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Release\Release\"/>
    </mc:Choice>
  </mc:AlternateContent>
  <xr:revisionPtr revIDLastSave="0" documentId="13_ncr:1_{0ED95862-85F9-4D51-A217-2736F6E463C5}" xr6:coauthVersionLast="47" xr6:coauthVersionMax="47" xr10:uidLastSave="{00000000-0000-0000-0000-000000000000}"/>
  <bookViews>
    <workbookView xWindow="2655" yWindow="-120" windowWidth="26265" windowHeight="16440" tabRatio="829" firstSheet="4" activeTab="12" xr2:uid="{5F52C25D-F438-4BBF-832C-7888BFA6D339}"/>
  </bookViews>
  <sheets>
    <sheet name="Process Tab" sheetId="21" r:id="rId1"/>
    <sheet name="Extra Pickup" sheetId="186" r:id="rId2"/>
    <sheet name="Hun Current" sheetId="175" r:id="rId3"/>
    <sheet name="CPL Mats" sheetId="22" r:id="rId4"/>
    <sheet name="Review" sheetId="1" r:id="rId5"/>
    <sheet name="Result" sheetId="182" r:id="rId6"/>
    <sheet name="Hun Price" sheetId="229" r:id="rId7"/>
    <sheet name="Weight" sheetId="183" r:id="rId8"/>
    <sheet name="Truck Input" sheetId="191" r:id="rId9"/>
    <sheet name="Truck Lineup" sheetId="189" r:id="rId10"/>
    <sheet name="Pickup Report" sheetId="188" r:id="rId11"/>
    <sheet name="Pickup ID" sheetId="213" r:id="rId12"/>
    <sheet name="PO Adj Current" sheetId="230" r:id="rId13"/>
    <sheet name="Distribution" sheetId="253" r:id="rId14"/>
    <sheet name="Tables" sheetId="20" r:id="rId15"/>
    <sheet name="Hun Release Current" sheetId="212" r:id="rId16"/>
    <sheet name="Pickup Locations" sheetId="185" r:id="rId17"/>
    <sheet name="Prev Aub" sheetId="24" r:id="rId18"/>
    <sheet name="Prev Hun" sheetId="25" r:id="rId19"/>
    <sheet name="Aub Demand" sheetId="263" r:id="rId20"/>
    <sheet name="Hun Demand" sheetId="264" r:id="rId21"/>
    <sheet name="Supp Consol" sheetId="265" r:id="rId22"/>
    <sheet name="Supplier Data" sheetId="266" r:id="rId23"/>
    <sheet name="&lt;blank&gt;" sheetId="94" r:id="rId24"/>
    <sheet name="Workbook" sheetId="73" r:id="rId25"/>
    <sheet name="Workbook2" sheetId="74" r:id="rId26"/>
    <sheet name="Workbook3" sheetId="133" r:id="rId27"/>
    <sheet name="SuppWorksheet 01" sheetId="215" r:id="rId28"/>
    <sheet name="SuppWorksheet 02" sheetId="216" r:id="rId29"/>
    <sheet name="Supp Request" sheetId="214" r:id="rId30"/>
  </sheets>
  <functionGroups builtInGroupCount="19"/>
  <externalReferences>
    <externalReference r:id="rId31"/>
  </externalReferences>
  <definedNames>
    <definedName name="_xlnm._FilterDatabase" localSheetId="20" hidden="1">'Hun Demand'!$A$3:$AJ$3</definedName>
    <definedName name="_xlnm._FilterDatabase" localSheetId="4" hidden="1">Review!$A$1:$BM$2000</definedName>
    <definedName name="_xlnm._FilterDatabase" localSheetId="21" hidden="1">'Supp Consol'!$A$1:$AC$597</definedName>
    <definedName name="_xlnm._FilterDatabase" localSheetId="22" hidden="1">'Supplier Data'!$B$1:$M$597</definedName>
    <definedName name="_xlnm._FilterDatabase" localSheetId="27" hidden="1">'SuppWorksheet 01'!$J$1:$J$24</definedName>
    <definedName name="_xlnm._FilterDatabase" localSheetId="24" hidden="1">Workbook!$C$1:$C$24</definedName>
    <definedName name="_xlnm._FilterDatabase" localSheetId="26" hidden="1">Workbook3!$A$1:$C$1763</definedName>
    <definedName name="OOSinput">[1]!Table3[#All]</definedName>
    <definedName name="_xlnm.Print_Area" localSheetId="20">'Hun Demand'!$M$4</definedName>
    <definedName name="_xlnm.Print_Area" localSheetId="6">'Hun Price'!$A$1:$H$30</definedName>
    <definedName name="_xlnm.Print_Area" localSheetId="7">Weight!$A$1:$J$25</definedName>
    <definedName name="_xlnm.Print_Titles" localSheetId="19">'Aub Demand'!$1:$3</definedName>
    <definedName name="_xlnm.Print_Titles" localSheetId="20">'Hun Demand'!$1:$3</definedName>
    <definedName name="_xlnm.Print_Titles" localSheetId="4">Review!$1:$1</definedName>
    <definedName name="_xlnm.Print_Titles" localSheetId="21">'Supp Consol'!$1:$1</definedName>
    <definedName name="_xlnm.Print_Titles" localSheetId="22">'Supplier Data'!$1:$1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230" l="1"/>
  <c r="Z4" i="230"/>
  <c r="Z5" i="230"/>
  <c r="Z6" i="230"/>
  <c r="Z7" i="230"/>
  <c r="Z8" i="230"/>
  <c r="Z9" i="230"/>
  <c r="Z10" i="230"/>
  <c r="Z11" i="230"/>
  <c r="Z12" i="230"/>
  <c r="Z13" i="230"/>
  <c r="Z14" i="230"/>
  <c r="Z15" i="230"/>
  <c r="Z16" i="230"/>
  <c r="Z17" i="230"/>
  <c r="Z18" i="230"/>
  <c r="Z19" i="230"/>
  <c r="Z20" i="230"/>
  <c r="Z21" i="230"/>
  <c r="Z22" i="230"/>
  <c r="Z23" i="230"/>
  <c r="Z24" i="230"/>
  <c r="Z25" i="230"/>
  <c r="Z26" i="230"/>
  <c r="Z27" i="230"/>
  <c r="Z28" i="230"/>
  <c r="V4" i="230"/>
  <c r="V5" i="230"/>
  <c r="V6" i="230"/>
  <c r="V7" i="230"/>
  <c r="V8" i="230"/>
  <c r="V9" i="230"/>
  <c r="V10" i="230"/>
  <c r="V11" i="230"/>
  <c r="V12" i="230"/>
  <c r="V13" i="230"/>
  <c r="V14" i="230"/>
  <c r="V15" i="230"/>
  <c r="V16" i="230"/>
  <c r="V17" i="230"/>
  <c r="V18" i="230"/>
  <c r="V19" i="230"/>
  <c r="V20" i="230"/>
  <c r="V21" i="230"/>
  <c r="V22" i="230"/>
  <c r="V23" i="230"/>
  <c r="V24" i="230"/>
  <c r="V25" i="230"/>
  <c r="V26" i="230"/>
  <c r="V27" i="230"/>
  <c r="V28" i="230"/>
  <c r="V3" i="230"/>
  <c r="V2" i="230"/>
  <c r="O4" i="230"/>
  <c r="O5" i="230"/>
  <c r="O6" i="230"/>
  <c r="O7" i="230"/>
  <c r="O8" i="230"/>
  <c r="O9" i="230"/>
  <c r="O10" i="230"/>
  <c r="O11" i="230"/>
  <c r="O12" i="230"/>
  <c r="O13" i="230"/>
  <c r="O14" i="230"/>
  <c r="O15" i="230"/>
  <c r="O16" i="230"/>
  <c r="O17" i="230"/>
  <c r="O18" i="230"/>
  <c r="O19" i="230"/>
  <c r="O20" i="230"/>
  <c r="O21" i="230"/>
  <c r="O22" i="230"/>
  <c r="O23" i="230"/>
  <c r="O24" i="230"/>
  <c r="O25" i="230"/>
  <c r="O26" i="230"/>
  <c r="O27" i="230"/>
  <c r="O28" i="230"/>
  <c r="O3" i="230"/>
  <c r="O2" i="230"/>
  <c r="C2" i="230" l="1"/>
  <c r="C10" i="230"/>
  <c r="C18" i="230"/>
  <c r="C21" i="230"/>
  <c r="C26" i="230"/>
  <c r="C20" i="230"/>
  <c r="X3" i="230"/>
  <c r="C3" i="230" s="1"/>
  <c r="X5" i="230"/>
  <c r="C5" i="230" s="1"/>
  <c r="X6" i="230"/>
  <c r="C6" i="230" s="1"/>
  <c r="X2" i="230"/>
  <c r="X7" i="230"/>
  <c r="C7" i="230" s="1"/>
  <c r="X8" i="230"/>
  <c r="C8" i="230" s="1"/>
  <c r="X9" i="230"/>
  <c r="C9" i="230" s="1"/>
  <c r="X10" i="230"/>
  <c r="X13" i="230"/>
  <c r="C13" i="230" s="1"/>
  <c r="X16" i="230"/>
  <c r="C16" i="230" s="1"/>
  <c r="X17" i="230"/>
  <c r="C17" i="230" s="1"/>
  <c r="X18" i="230"/>
  <c r="X14" i="230"/>
  <c r="C14" i="230" s="1"/>
  <c r="X15" i="230"/>
  <c r="C15" i="230" s="1"/>
  <c r="X19" i="230"/>
  <c r="C19" i="230" s="1"/>
  <c r="X21" i="230"/>
  <c r="X22" i="230"/>
  <c r="C22" i="230" s="1"/>
  <c r="X25" i="230"/>
  <c r="C25" i="230" s="1"/>
  <c r="X24" i="230"/>
  <c r="C24" i="230" s="1"/>
  <c r="X26" i="230"/>
  <c r="X27" i="230"/>
  <c r="C27" i="230" s="1"/>
  <c r="X28" i="230"/>
  <c r="C28" i="230" s="1"/>
  <c r="X12" i="230"/>
  <c r="C12" i="230" s="1"/>
  <c r="X20" i="230"/>
  <c r="X11" i="230"/>
  <c r="C11" i="230" s="1"/>
  <c r="X23" i="230"/>
  <c r="C23" i="230" s="1"/>
  <c r="U3" i="230"/>
  <c r="U5" i="230"/>
  <c r="U6" i="230"/>
  <c r="U2" i="230"/>
  <c r="U7" i="230"/>
  <c r="U8" i="230"/>
  <c r="U9" i="230"/>
  <c r="U10" i="230"/>
  <c r="U13" i="230"/>
  <c r="U16" i="230"/>
  <c r="U17" i="230"/>
  <c r="U18" i="230"/>
  <c r="U14" i="230"/>
  <c r="U15" i="230"/>
  <c r="U19" i="230"/>
  <c r="U21" i="230"/>
  <c r="U22" i="230"/>
  <c r="U25" i="230"/>
  <c r="U24" i="230"/>
  <c r="U26" i="230"/>
  <c r="U27" i="230"/>
  <c r="U28" i="230"/>
  <c r="U12" i="230"/>
  <c r="U20" i="230"/>
  <c r="U11" i="230"/>
  <c r="U23" i="230"/>
  <c r="U4" i="230"/>
  <c r="F26" i="182"/>
  <c r="F25" i="182"/>
  <c r="H3" i="175"/>
  <c r="H4" i="175"/>
  <c r="H5" i="175"/>
  <c r="H6" i="175"/>
  <c r="H7" i="175"/>
  <c r="H2" i="175"/>
  <c r="G3" i="175"/>
  <c r="G4" i="175"/>
  <c r="G5" i="175"/>
  <c r="G6" i="175"/>
  <c r="G7" i="175"/>
  <c r="G2" i="175"/>
  <c r="E2" i="214" l="1"/>
  <c r="C1" i="216"/>
  <c r="H3" i="215" l="1"/>
  <c r="I3" i="215" s="1"/>
  <c r="H4" i="215"/>
  <c r="I4" i="215" s="1"/>
  <c r="H5" i="215"/>
  <c r="I5" i="215" s="1"/>
  <c r="H6" i="215"/>
  <c r="I6" i="215" s="1"/>
  <c r="H7" i="215"/>
  <c r="I7" i="215" s="1"/>
  <c r="H8" i="215"/>
  <c r="I8" i="215" s="1"/>
  <c r="H9" i="215"/>
  <c r="I9" i="215" s="1"/>
  <c r="H10" i="215"/>
  <c r="I10" i="215" s="1"/>
  <c r="H11" i="215"/>
  <c r="I11" i="215" s="1"/>
  <c r="H12" i="215"/>
  <c r="I12" i="215" s="1"/>
  <c r="H13" i="215"/>
  <c r="I13" i="215" s="1"/>
  <c r="H14" i="215"/>
  <c r="I14" i="215" s="1"/>
  <c r="H15" i="215"/>
  <c r="I15" i="215" s="1"/>
  <c r="H16" i="215"/>
  <c r="I16" i="215" s="1"/>
  <c r="H17" i="215"/>
  <c r="I17" i="215" s="1"/>
  <c r="H18" i="215"/>
  <c r="I18" i="215" s="1"/>
  <c r="H19" i="215"/>
  <c r="I19" i="215" s="1"/>
  <c r="H20" i="215"/>
  <c r="I20" i="215" s="1"/>
  <c r="H21" i="215"/>
  <c r="I21" i="215" s="1"/>
  <c r="H22" i="215"/>
  <c r="I22" i="215" s="1"/>
  <c r="H23" i="215"/>
  <c r="I23" i="215" s="1"/>
  <c r="H24" i="215"/>
  <c r="I24" i="215" s="1"/>
  <c r="H2" i="215"/>
  <c r="I2" i="215" s="1"/>
  <c r="I12" i="182"/>
  <c r="I9" i="182"/>
  <c r="I13" i="182"/>
  <c r="I14" i="182"/>
  <c r="I20" i="182"/>
  <c r="I3" i="182"/>
  <c r="I18" i="182"/>
  <c r="I19" i="182"/>
  <c r="I22" i="182"/>
  <c r="I23" i="182"/>
  <c r="I4" i="182"/>
  <c r="I2" i="182"/>
  <c r="I5" i="182"/>
  <c r="I16" i="182"/>
  <c r="I15" i="182"/>
  <c r="I24" i="182"/>
  <c r="I6" i="182"/>
  <c r="I10" i="182"/>
  <c r="I17" i="182"/>
  <c r="I7" i="182"/>
  <c r="I11" i="182"/>
  <c r="I21" i="182"/>
  <c r="E12" i="182"/>
  <c r="E9" i="182"/>
  <c r="E13" i="182"/>
  <c r="E14" i="182"/>
  <c r="E20" i="182"/>
  <c r="E3" i="182"/>
  <c r="E18" i="182"/>
  <c r="E19" i="182"/>
  <c r="E22" i="182"/>
  <c r="E23" i="182"/>
  <c r="E4" i="182"/>
  <c r="E2" i="182"/>
  <c r="E5" i="182"/>
  <c r="E16" i="182"/>
  <c r="E15" i="182"/>
  <c r="E24" i="182"/>
  <c r="E6" i="182"/>
  <c r="E10" i="182"/>
  <c r="E17" i="182"/>
  <c r="E7" i="182"/>
  <c r="E11" i="182"/>
  <c r="E21" i="182"/>
  <c r="A12" i="182"/>
  <c r="S12" i="182" s="1"/>
  <c r="A9" i="182"/>
  <c r="A13" i="182"/>
  <c r="R13" i="182" s="1"/>
  <c r="A14" i="182"/>
  <c r="R14" i="182" s="1"/>
  <c r="A20" i="182"/>
  <c r="S20" i="182" s="1"/>
  <c r="A3" i="182"/>
  <c r="S3" i="182" s="1"/>
  <c r="A18" i="182"/>
  <c r="R18" i="182" s="1"/>
  <c r="A19" i="182"/>
  <c r="R19" i="182" s="1"/>
  <c r="A22" i="182"/>
  <c r="S22" i="182" s="1"/>
  <c r="A23" i="182"/>
  <c r="S23" i="182" s="1"/>
  <c r="A4" i="182"/>
  <c r="R4" i="182" s="1"/>
  <c r="A2" i="182"/>
  <c r="A5" i="182"/>
  <c r="S5" i="182" s="1"/>
  <c r="A16" i="182"/>
  <c r="S16" i="182" s="1"/>
  <c r="A15" i="182"/>
  <c r="R15" i="182" s="1"/>
  <c r="A24" i="182"/>
  <c r="R24" i="182" s="1"/>
  <c r="A6" i="182"/>
  <c r="A10" i="182"/>
  <c r="A17" i="182"/>
  <c r="R17" i="182" s="1"/>
  <c r="A7" i="182"/>
  <c r="R7" i="182" s="1"/>
  <c r="A11" i="182"/>
  <c r="S11" i="182" s="1"/>
  <c r="A21" i="182"/>
  <c r="S21" i="182" s="1"/>
  <c r="I8" i="182"/>
  <c r="E8" i="182"/>
  <c r="A8" i="182"/>
  <c r="S8" i="182" s="1"/>
  <c r="C2" i="73"/>
  <c r="C3" i="73"/>
  <c r="C4" i="73"/>
  <c r="C5" i="73"/>
  <c r="C6" i="73"/>
  <c r="C7" i="73"/>
  <c r="C8" i="73"/>
  <c r="C9" i="73"/>
  <c r="C10" i="73"/>
  <c r="C11" i="73"/>
  <c r="C12" i="73"/>
  <c r="C13" i="73"/>
  <c r="C14" i="73"/>
  <c r="C15" i="73"/>
  <c r="C16" i="73"/>
  <c r="C17" i="73"/>
  <c r="C18" i="73"/>
  <c r="C19" i="73"/>
  <c r="C20" i="73"/>
  <c r="C21" i="73"/>
  <c r="C22" i="73"/>
  <c r="C23" i="73"/>
  <c r="C24" i="73"/>
  <c r="AC3" i="265"/>
  <c r="AC4" i="265"/>
  <c r="AC5" i="265"/>
  <c r="AC6" i="265"/>
  <c r="AC7" i="265"/>
  <c r="AC8" i="265"/>
  <c r="AC9" i="265"/>
  <c r="AC10" i="265"/>
  <c r="AC11" i="265"/>
  <c r="AC12" i="265"/>
  <c r="AC13" i="265"/>
  <c r="AC14" i="265"/>
  <c r="AC15" i="265"/>
  <c r="AC16" i="265"/>
  <c r="AC17" i="265"/>
  <c r="AC18" i="265"/>
  <c r="AC19" i="265"/>
  <c r="AC20" i="265"/>
  <c r="AC21" i="265"/>
  <c r="AC22" i="265"/>
  <c r="AC23" i="265"/>
  <c r="AC24" i="265"/>
  <c r="AC25" i="265"/>
  <c r="AC26" i="265"/>
  <c r="AC27" i="265"/>
  <c r="AC28" i="265"/>
  <c r="AC29" i="265"/>
  <c r="AC30" i="265"/>
  <c r="AC31" i="265"/>
  <c r="AC32" i="265"/>
  <c r="AC33" i="265"/>
  <c r="AC34" i="265"/>
  <c r="AC35" i="265"/>
  <c r="AC36" i="265"/>
  <c r="AC37" i="265"/>
  <c r="AC38" i="265"/>
  <c r="AC39" i="265"/>
  <c r="AC40" i="265"/>
  <c r="AC41" i="265"/>
  <c r="AC42" i="265"/>
  <c r="AC43" i="265"/>
  <c r="AC44" i="265"/>
  <c r="AC45" i="265"/>
  <c r="AC46" i="265"/>
  <c r="AC47" i="265"/>
  <c r="AC48" i="265"/>
  <c r="AC49" i="265"/>
  <c r="AC50" i="265"/>
  <c r="AC51" i="265"/>
  <c r="AC52" i="265"/>
  <c r="AC53" i="265"/>
  <c r="AC54" i="265"/>
  <c r="AC55" i="265"/>
  <c r="AC56" i="265"/>
  <c r="AC57" i="265"/>
  <c r="AC58" i="265"/>
  <c r="AC59" i="265"/>
  <c r="AC60" i="265"/>
  <c r="AC61" i="265"/>
  <c r="AC62" i="265"/>
  <c r="AC63" i="265"/>
  <c r="AC64" i="265"/>
  <c r="AC65" i="265"/>
  <c r="AC66" i="265"/>
  <c r="AC67" i="265"/>
  <c r="AC68" i="265"/>
  <c r="AC69" i="265"/>
  <c r="AC70" i="265"/>
  <c r="AC71" i="265"/>
  <c r="AC72" i="265"/>
  <c r="AC73" i="265"/>
  <c r="AC74" i="265"/>
  <c r="AC75" i="265"/>
  <c r="AC76" i="265"/>
  <c r="AC77" i="265"/>
  <c r="AC78" i="265"/>
  <c r="AC79" i="265"/>
  <c r="AC80" i="265"/>
  <c r="AC81" i="265"/>
  <c r="AC82" i="265"/>
  <c r="AC83" i="265"/>
  <c r="AC84" i="265"/>
  <c r="AC85" i="265"/>
  <c r="AC86" i="265"/>
  <c r="AC87" i="265"/>
  <c r="AC88" i="265"/>
  <c r="AC89" i="265"/>
  <c r="AC90" i="265"/>
  <c r="AC91" i="265"/>
  <c r="AC92" i="265"/>
  <c r="AC93" i="265"/>
  <c r="AC94" i="265"/>
  <c r="AC95" i="265"/>
  <c r="AC96" i="265"/>
  <c r="AC97" i="265"/>
  <c r="AC98" i="265"/>
  <c r="AC99" i="265"/>
  <c r="AC100" i="265"/>
  <c r="AC101" i="265"/>
  <c r="AC102" i="265"/>
  <c r="AC103" i="265"/>
  <c r="AC104" i="265"/>
  <c r="AC105" i="265"/>
  <c r="AC106" i="265"/>
  <c r="AC107" i="265"/>
  <c r="AC108" i="265"/>
  <c r="AC109" i="265"/>
  <c r="AC110" i="265"/>
  <c r="AC111" i="265"/>
  <c r="AC112" i="265"/>
  <c r="AC113" i="265"/>
  <c r="AC114" i="265"/>
  <c r="AC115" i="265"/>
  <c r="AC116" i="265"/>
  <c r="AC117" i="265"/>
  <c r="AC118" i="265"/>
  <c r="AC119" i="265"/>
  <c r="AC120" i="265"/>
  <c r="AC121" i="265"/>
  <c r="AC122" i="265"/>
  <c r="AC123" i="265"/>
  <c r="AC124" i="265"/>
  <c r="AC125" i="265"/>
  <c r="AC126" i="265"/>
  <c r="AC127" i="265"/>
  <c r="AC128" i="265"/>
  <c r="AC129" i="265"/>
  <c r="AC130" i="265"/>
  <c r="AC131" i="265"/>
  <c r="AC132" i="265"/>
  <c r="AC133" i="265"/>
  <c r="AC134" i="265"/>
  <c r="AC135" i="265"/>
  <c r="AC136" i="265"/>
  <c r="AC137" i="265"/>
  <c r="AC138" i="265"/>
  <c r="AC139" i="265"/>
  <c r="AC140" i="265"/>
  <c r="AC141" i="265"/>
  <c r="AC142" i="265"/>
  <c r="AC143" i="265"/>
  <c r="AC144" i="265"/>
  <c r="AC145" i="265"/>
  <c r="AC146" i="265"/>
  <c r="AC147" i="265"/>
  <c r="AC148" i="265"/>
  <c r="AC149" i="265"/>
  <c r="AC150" i="265"/>
  <c r="AC151" i="265"/>
  <c r="AC152" i="265"/>
  <c r="AC153" i="265"/>
  <c r="AC154" i="265"/>
  <c r="AC155" i="265"/>
  <c r="AC156" i="265"/>
  <c r="AC157" i="265"/>
  <c r="AC158" i="265"/>
  <c r="AC159" i="265"/>
  <c r="AC160" i="265"/>
  <c r="AC161" i="265"/>
  <c r="AC162" i="265"/>
  <c r="AC163" i="265"/>
  <c r="AC164" i="265"/>
  <c r="AC165" i="265"/>
  <c r="AC166" i="265"/>
  <c r="AC167" i="265"/>
  <c r="AC168" i="265"/>
  <c r="AC169" i="265"/>
  <c r="AC170" i="265"/>
  <c r="AC171" i="265"/>
  <c r="AC172" i="265"/>
  <c r="AC173" i="265"/>
  <c r="AC174" i="265"/>
  <c r="AC175" i="265"/>
  <c r="AC176" i="265"/>
  <c r="AC177" i="265"/>
  <c r="AC178" i="265"/>
  <c r="AC179" i="265"/>
  <c r="AC180" i="265"/>
  <c r="AC181" i="265"/>
  <c r="AC182" i="265"/>
  <c r="AC183" i="265"/>
  <c r="AC184" i="265"/>
  <c r="AC185" i="265"/>
  <c r="AC186" i="265"/>
  <c r="AC187" i="265"/>
  <c r="AC188" i="265"/>
  <c r="AC189" i="265"/>
  <c r="AC190" i="265"/>
  <c r="AC191" i="265"/>
  <c r="AC192" i="265"/>
  <c r="AC193" i="265"/>
  <c r="AC194" i="265"/>
  <c r="AC195" i="265"/>
  <c r="AC196" i="265"/>
  <c r="AC197" i="265"/>
  <c r="AC198" i="265"/>
  <c r="AC199" i="265"/>
  <c r="AC200" i="265"/>
  <c r="AC201" i="265"/>
  <c r="AC202" i="265"/>
  <c r="AC203" i="265"/>
  <c r="AC204" i="265"/>
  <c r="AC205" i="265"/>
  <c r="AC206" i="265"/>
  <c r="AC207" i="265"/>
  <c r="AC208" i="265"/>
  <c r="AC209" i="265"/>
  <c r="AC210" i="265"/>
  <c r="AC211" i="265"/>
  <c r="AC212" i="265"/>
  <c r="AC213" i="265"/>
  <c r="AC214" i="265"/>
  <c r="AC215" i="265"/>
  <c r="AC216" i="265"/>
  <c r="AC217" i="265"/>
  <c r="AC218" i="265"/>
  <c r="AC219" i="265"/>
  <c r="AC220" i="265"/>
  <c r="AC221" i="265"/>
  <c r="AC222" i="265"/>
  <c r="AC223" i="265"/>
  <c r="AC224" i="265"/>
  <c r="AC225" i="265"/>
  <c r="AC226" i="265"/>
  <c r="AC227" i="265"/>
  <c r="AC228" i="265"/>
  <c r="AC229" i="265"/>
  <c r="AC230" i="265"/>
  <c r="AC231" i="265"/>
  <c r="AC232" i="265"/>
  <c r="AC233" i="265"/>
  <c r="AC234" i="265"/>
  <c r="AC235" i="265"/>
  <c r="AC236" i="265"/>
  <c r="AC237" i="265"/>
  <c r="AC238" i="265"/>
  <c r="AC239" i="265"/>
  <c r="AC240" i="265"/>
  <c r="AC241" i="265"/>
  <c r="AC242" i="265"/>
  <c r="AC243" i="265"/>
  <c r="AC244" i="265"/>
  <c r="AC245" i="265"/>
  <c r="AC246" i="265"/>
  <c r="AC247" i="265"/>
  <c r="AC248" i="265"/>
  <c r="AC249" i="265"/>
  <c r="AC250" i="265"/>
  <c r="AC251" i="265"/>
  <c r="AC252" i="265"/>
  <c r="AC253" i="265"/>
  <c r="AC254" i="265"/>
  <c r="AC255" i="265"/>
  <c r="AC256" i="265"/>
  <c r="AC257" i="265"/>
  <c r="AC258" i="265"/>
  <c r="AC259" i="265"/>
  <c r="AC260" i="265"/>
  <c r="AC261" i="265"/>
  <c r="AC262" i="265"/>
  <c r="AC263" i="265"/>
  <c r="AC264" i="265"/>
  <c r="AC265" i="265"/>
  <c r="AC266" i="265"/>
  <c r="AC267" i="265"/>
  <c r="AC268" i="265"/>
  <c r="AC269" i="265"/>
  <c r="AC270" i="265"/>
  <c r="AC271" i="265"/>
  <c r="AC272" i="265"/>
  <c r="AC273" i="265"/>
  <c r="AC274" i="265"/>
  <c r="AC275" i="265"/>
  <c r="AC276" i="265"/>
  <c r="AC277" i="265"/>
  <c r="AC278" i="265"/>
  <c r="AC279" i="265"/>
  <c r="AC280" i="265"/>
  <c r="AC281" i="265"/>
  <c r="AC282" i="265"/>
  <c r="AC283" i="265"/>
  <c r="AC284" i="265"/>
  <c r="AC285" i="265"/>
  <c r="AC286" i="265"/>
  <c r="AC287" i="265"/>
  <c r="AC288" i="265"/>
  <c r="AC289" i="265"/>
  <c r="AC290" i="265"/>
  <c r="AC291" i="265"/>
  <c r="AC292" i="265"/>
  <c r="AC293" i="265"/>
  <c r="AC294" i="265"/>
  <c r="AC295" i="265"/>
  <c r="AC296" i="265"/>
  <c r="AC297" i="265"/>
  <c r="AC298" i="265"/>
  <c r="AC299" i="265"/>
  <c r="AC300" i="265"/>
  <c r="AC301" i="265"/>
  <c r="AC302" i="265"/>
  <c r="AC303" i="265"/>
  <c r="AC304" i="265"/>
  <c r="AC305" i="265"/>
  <c r="AC306" i="265"/>
  <c r="AC307" i="265"/>
  <c r="AC308" i="265"/>
  <c r="AC309" i="265"/>
  <c r="AC310" i="265"/>
  <c r="AC311" i="265"/>
  <c r="AC312" i="265"/>
  <c r="AC313" i="265"/>
  <c r="AC314" i="265"/>
  <c r="AC315" i="265"/>
  <c r="AC316" i="265"/>
  <c r="AC317" i="265"/>
  <c r="AC318" i="265"/>
  <c r="AC319" i="265"/>
  <c r="AC320" i="265"/>
  <c r="AC321" i="265"/>
  <c r="AC322" i="265"/>
  <c r="AC323" i="265"/>
  <c r="AC324" i="265"/>
  <c r="AC325" i="265"/>
  <c r="AC326" i="265"/>
  <c r="AC327" i="265"/>
  <c r="AC328" i="265"/>
  <c r="AC329" i="265"/>
  <c r="AC330" i="265"/>
  <c r="AC331" i="265"/>
  <c r="AC332" i="265"/>
  <c r="AC333" i="265"/>
  <c r="AC334" i="265"/>
  <c r="AC335" i="265"/>
  <c r="AC336" i="265"/>
  <c r="AC337" i="265"/>
  <c r="AC338" i="265"/>
  <c r="AC339" i="265"/>
  <c r="AC340" i="265"/>
  <c r="AC341" i="265"/>
  <c r="AC342" i="265"/>
  <c r="AC343" i="265"/>
  <c r="AC344" i="265"/>
  <c r="AC345" i="265"/>
  <c r="AC346" i="265"/>
  <c r="AC347" i="265"/>
  <c r="AC348" i="265"/>
  <c r="AC349" i="265"/>
  <c r="AC350" i="265"/>
  <c r="AC351" i="265"/>
  <c r="AC352" i="265"/>
  <c r="AC353" i="265"/>
  <c r="AC354" i="265"/>
  <c r="AC355" i="265"/>
  <c r="AC356" i="265"/>
  <c r="AC357" i="265"/>
  <c r="AC358" i="265"/>
  <c r="AC359" i="265"/>
  <c r="AC360" i="265"/>
  <c r="AC361" i="265"/>
  <c r="AC362" i="265"/>
  <c r="AC363" i="265"/>
  <c r="AC364" i="265"/>
  <c r="AC365" i="265"/>
  <c r="AC366" i="265"/>
  <c r="AC367" i="265"/>
  <c r="AC368" i="265"/>
  <c r="AC369" i="265"/>
  <c r="AC370" i="265"/>
  <c r="AC371" i="265"/>
  <c r="AC372" i="265"/>
  <c r="AC373" i="265"/>
  <c r="AC374" i="265"/>
  <c r="AC375" i="265"/>
  <c r="AC376" i="265"/>
  <c r="AC377" i="265"/>
  <c r="AC378" i="265"/>
  <c r="AC379" i="265"/>
  <c r="AC380" i="265"/>
  <c r="AC381" i="265"/>
  <c r="AC382" i="265"/>
  <c r="AC383" i="265"/>
  <c r="AC384" i="265"/>
  <c r="AC385" i="265"/>
  <c r="AC386" i="265"/>
  <c r="AC387" i="265"/>
  <c r="AC388" i="265"/>
  <c r="AC389" i="265"/>
  <c r="AC390" i="265"/>
  <c r="AC391" i="265"/>
  <c r="AC392" i="265"/>
  <c r="AC393" i="265"/>
  <c r="AC394" i="265"/>
  <c r="AC395" i="265"/>
  <c r="AC396" i="265"/>
  <c r="AC397" i="265"/>
  <c r="AC398" i="265"/>
  <c r="AC399" i="265"/>
  <c r="AC400" i="265"/>
  <c r="AC401" i="265"/>
  <c r="AC402" i="265"/>
  <c r="AC403" i="265"/>
  <c r="AC404" i="265"/>
  <c r="AC405" i="265"/>
  <c r="AC406" i="265"/>
  <c r="AC407" i="265"/>
  <c r="AC408" i="265"/>
  <c r="AC409" i="265"/>
  <c r="AC410" i="265"/>
  <c r="AC411" i="265"/>
  <c r="AC412" i="265"/>
  <c r="AC413" i="265"/>
  <c r="AC414" i="265"/>
  <c r="AC415" i="265"/>
  <c r="AC416" i="265"/>
  <c r="AC417" i="265"/>
  <c r="AC418" i="265"/>
  <c r="AC419" i="265"/>
  <c r="AC420" i="265"/>
  <c r="AC421" i="265"/>
  <c r="AC422" i="265"/>
  <c r="AC423" i="265"/>
  <c r="AC424" i="265"/>
  <c r="AC425" i="265"/>
  <c r="AC426" i="265"/>
  <c r="AC427" i="265"/>
  <c r="AC428" i="265"/>
  <c r="AC429" i="265"/>
  <c r="AC430" i="265"/>
  <c r="AC431" i="265"/>
  <c r="AC432" i="265"/>
  <c r="AC433" i="265"/>
  <c r="AC434" i="265"/>
  <c r="AC435" i="265"/>
  <c r="AC436" i="265"/>
  <c r="AC437" i="265"/>
  <c r="AC438" i="265"/>
  <c r="AC439" i="265"/>
  <c r="AC440" i="265"/>
  <c r="AC441" i="265"/>
  <c r="AC442" i="265"/>
  <c r="AC443" i="265"/>
  <c r="AC444" i="265"/>
  <c r="AC445" i="265"/>
  <c r="AC446" i="265"/>
  <c r="AC447" i="265"/>
  <c r="AC448" i="265"/>
  <c r="AC449" i="265"/>
  <c r="AC450" i="265"/>
  <c r="AC451" i="265"/>
  <c r="AC452" i="265"/>
  <c r="AC453" i="265"/>
  <c r="AC454" i="265"/>
  <c r="AC455" i="265"/>
  <c r="AC456" i="265"/>
  <c r="AC457" i="265"/>
  <c r="AC458" i="265"/>
  <c r="AC459" i="265"/>
  <c r="AC460" i="265"/>
  <c r="AC461" i="265"/>
  <c r="AC462" i="265"/>
  <c r="AC463" i="265"/>
  <c r="AC464" i="265"/>
  <c r="AC465" i="265"/>
  <c r="AC466" i="265"/>
  <c r="AC467" i="265"/>
  <c r="AC468" i="265"/>
  <c r="AC469" i="265"/>
  <c r="AC470" i="265"/>
  <c r="AC471" i="265"/>
  <c r="AC472" i="265"/>
  <c r="AC473" i="265"/>
  <c r="AC474" i="265"/>
  <c r="AC475" i="265"/>
  <c r="AC476" i="265"/>
  <c r="AC477" i="265"/>
  <c r="AC478" i="265"/>
  <c r="AC479" i="265"/>
  <c r="AC480" i="265"/>
  <c r="AC481" i="265"/>
  <c r="AC482" i="265"/>
  <c r="AC483" i="265"/>
  <c r="AC484" i="265"/>
  <c r="AC485" i="265"/>
  <c r="AC486" i="265"/>
  <c r="AC487" i="265"/>
  <c r="AC488" i="265"/>
  <c r="AC489" i="265"/>
  <c r="AC490" i="265"/>
  <c r="AC491" i="265"/>
  <c r="AC492" i="265"/>
  <c r="AC493" i="265"/>
  <c r="AC494" i="265"/>
  <c r="AC495" i="265"/>
  <c r="AC496" i="265"/>
  <c r="AC497" i="265"/>
  <c r="AC498" i="265"/>
  <c r="AC499" i="265"/>
  <c r="AC500" i="265"/>
  <c r="AC501" i="265"/>
  <c r="AC502" i="265"/>
  <c r="AC503" i="265"/>
  <c r="AC504" i="265"/>
  <c r="AC505" i="265"/>
  <c r="AC506" i="265"/>
  <c r="AC507" i="265"/>
  <c r="AC508" i="265"/>
  <c r="AC509" i="265"/>
  <c r="AC510" i="265"/>
  <c r="AC511" i="265"/>
  <c r="AC512" i="265"/>
  <c r="AC513" i="265"/>
  <c r="AC514" i="265"/>
  <c r="AC515" i="265"/>
  <c r="AC516" i="265"/>
  <c r="AC517" i="265"/>
  <c r="AC518" i="265"/>
  <c r="AC519" i="265"/>
  <c r="AC520" i="265"/>
  <c r="AC521" i="265"/>
  <c r="AC522" i="265"/>
  <c r="AC523" i="265"/>
  <c r="AC524" i="265"/>
  <c r="AC525" i="265"/>
  <c r="AC526" i="265"/>
  <c r="AC527" i="265"/>
  <c r="AC528" i="265"/>
  <c r="AC529" i="265"/>
  <c r="AC530" i="265"/>
  <c r="AC531" i="265"/>
  <c r="AC532" i="265"/>
  <c r="AC533" i="265"/>
  <c r="AC534" i="265"/>
  <c r="AC535" i="265"/>
  <c r="AC536" i="265"/>
  <c r="AC537" i="265"/>
  <c r="AC538" i="265"/>
  <c r="AC539" i="265"/>
  <c r="AC540" i="265"/>
  <c r="AC541" i="265"/>
  <c r="AC542" i="265"/>
  <c r="AC543" i="265"/>
  <c r="AC544" i="265"/>
  <c r="AC545" i="265"/>
  <c r="AC546" i="265"/>
  <c r="AC547" i="265"/>
  <c r="AC548" i="265"/>
  <c r="AC549" i="265"/>
  <c r="AC550" i="265"/>
  <c r="AC551" i="265"/>
  <c r="AC552" i="265"/>
  <c r="AC553" i="265"/>
  <c r="AC554" i="265"/>
  <c r="AC555" i="265"/>
  <c r="AC556" i="265"/>
  <c r="AC557" i="265"/>
  <c r="AC558" i="265"/>
  <c r="AC559" i="265"/>
  <c r="AC560" i="265"/>
  <c r="AC561" i="265"/>
  <c r="AC562" i="265"/>
  <c r="AC563" i="265"/>
  <c r="AC564" i="265"/>
  <c r="AC565" i="265"/>
  <c r="AC566" i="265"/>
  <c r="AC567" i="265"/>
  <c r="AC568" i="265"/>
  <c r="AC569" i="265"/>
  <c r="AC570" i="265"/>
  <c r="AC571" i="265"/>
  <c r="AC572" i="265"/>
  <c r="AC573" i="265"/>
  <c r="AC574" i="265"/>
  <c r="AC575" i="265"/>
  <c r="AC576" i="265"/>
  <c r="AC577" i="265"/>
  <c r="AC578" i="265"/>
  <c r="AC579" i="265"/>
  <c r="AC580" i="265"/>
  <c r="AC581" i="265"/>
  <c r="AC582" i="265"/>
  <c r="AC583" i="265"/>
  <c r="AC584" i="265"/>
  <c r="AC585" i="265"/>
  <c r="AC586" i="265"/>
  <c r="AC587" i="265"/>
  <c r="AC588" i="265"/>
  <c r="AC589" i="265"/>
  <c r="AC590" i="265"/>
  <c r="AC591" i="265"/>
  <c r="AC592" i="265"/>
  <c r="AC593" i="265"/>
  <c r="AC594" i="265"/>
  <c r="AC595" i="265"/>
  <c r="AC596" i="265"/>
  <c r="AC597" i="265"/>
  <c r="AC598" i="265"/>
  <c r="AC599" i="265"/>
  <c r="AC2" i="265"/>
  <c r="L8" i="182" l="1"/>
  <c r="P8" i="182"/>
  <c r="J21" i="182"/>
  <c r="J10" i="182"/>
  <c r="J16" i="182"/>
  <c r="J23" i="182"/>
  <c r="J3" i="182"/>
  <c r="J9" i="182"/>
  <c r="K7" i="182"/>
  <c r="K24" i="182"/>
  <c r="F24" i="182" s="1"/>
  <c r="K2" i="182"/>
  <c r="K19" i="182"/>
  <c r="H19" i="182" s="1"/>
  <c r="F19" i="182" s="1"/>
  <c r="K14" i="182"/>
  <c r="L21" i="182"/>
  <c r="L10" i="182"/>
  <c r="L16" i="182"/>
  <c r="L23" i="182"/>
  <c r="L3" i="182"/>
  <c r="L9" i="182"/>
  <c r="M7" i="182"/>
  <c r="M24" i="182"/>
  <c r="M2" i="182"/>
  <c r="M19" i="182"/>
  <c r="M14" i="182"/>
  <c r="O7" i="182"/>
  <c r="O24" i="182"/>
  <c r="O2" i="182"/>
  <c r="O19" i="182"/>
  <c r="O14" i="182"/>
  <c r="P21" i="182"/>
  <c r="P10" i="182"/>
  <c r="P16" i="182"/>
  <c r="P23" i="182"/>
  <c r="P3" i="182"/>
  <c r="P9" i="182"/>
  <c r="Q7" i="182"/>
  <c r="Q24" i="182"/>
  <c r="Q2" i="182"/>
  <c r="Q19" i="182"/>
  <c r="Q14" i="182"/>
  <c r="R21" i="182"/>
  <c r="R10" i="182"/>
  <c r="R16" i="182"/>
  <c r="R23" i="182"/>
  <c r="R3" i="182"/>
  <c r="R9" i="182"/>
  <c r="S7" i="182"/>
  <c r="S24" i="182"/>
  <c r="S2" i="182"/>
  <c r="S19" i="182"/>
  <c r="S14" i="182"/>
  <c r="M8" i="182"/>
  <c r="Q8" i="182"/>
  <c r="J8" i="182"/>
  <c r="R8" i="182"/>
  <c r="K8" i="182"/>
  <c r="O8" i="182"/>
  <c r="J11" i="182"/>
  <c r="J6" i="182"/>
  <c r="J5" i="182"/>
  <c r="J22" i="182"/>
  <c r="J20" i="182"/>
  <c r="J12" i="182"/>
  <c r="K17" i="182"/>
  <c r="K15" i="182"/>
  <c r="K4" i="182"/>
  <c r="K18" i="182"/>
  <c r="K13" i="182"/>
  <c r="L11" i="182"/>
  <c r="L6" i="182"/>
  <c r="L5" i="182"/>
  <c r="L22" i="182"/>
  <c r="L20" i="182"/>
  <c r="L12" i="182"/>
  <c r="M17" i="182"/>
  <c r="M15" i="182"/>
  <c r="M4" i="182"/>
  <c r="M18" i="182"/>
  <c r="M13" i="182"/>
  <c r="O17" i="182"/>
  <c r="O15" i="182"/>
  <c r="O4" i="182"/>
  <c r="O18" i="182"/>
  <c r="O13" i="182"/>
  <c r="P11" i="182"/>
  <c r="P6" i="182"/>
  <c r="P5" i="182"/>
  <c r="P22" i="182"/>
  <c r="P20" i="182"/>
  <c r="P12" i="182"/>
  <c r="Q17" i="182"/>
  <c r="Q15" i="182"/>
  <c r="Q4" i="182"/>
  <c r="Q18" i="182"/>
  <c r="Q13" i="182"/>
  <c r="R11" i="182"/>
  <c r="R6" i="182"/>
  <c r="R5" i="182"/>
  <c r="R22" i="182"/>
  <c r="R20" i="182"/>
  <c r="R12" i="182"/>
  <c r="S17" i="182"/>
  <c r="S15" i="182"/>
  <c r="S4" i="182"/>
  <c r="S18" i="182"/>
  <c r="S13" i="182"/>
  <c r="J7" i="182"/>
  <c r="J24" i="182"/>
  <c r="J2" i="182"/>
  <c r="J19" i="182"/>
  <c r="J14" i="182"/>
  <c r="H14" i="182" s="1"/>
  <c r="F14" i="182" s="1"/>
  <c r="K21" i="182"/>
  <c r="H21" i="182" s="1"/>
  <c r="F21" i="182" s="1"/>
  <c r="K10" i="182"/>
  <c r="K16" i="182"/>
  <c r="H16" i="182" s="1"/>
  <c r="F16" i="182" s="1"/>
  <c r="K23" i="182"/>
  <c r="F23" i="182" s="1"/>
  <c r="K3" i="182"/>
  <c r="H3" i="182" s="1"/>
  <c r="F3" i="182" s="1"/>
  <c r="K9" i="182"/>
  <c r="L7" i="182"/>
  <c r="L24" i="182"/>
  <c r="L2" i="182"/>
  <c r="L19" i="182"/>
  <c r="L14" i="182"/>
  <c r="M21" i="182"/>
  <c r="M10" i="182"/>
  <c r="M16" i="182"/>
  <c r="M23" i="182"/>
  <c r="M3" i="182"/>
  <c r="M9" i="182"/>
  <c r="O21" i="182"/>
  <c r="O10" i="182"/>
  <c r="O16" i="182"/>
  <c r="O23" i="182"/>
  <c r="O3" i="182"/>
  <c r="O9" i="182"/>
  <c r="P7" i="182"/>
  <c r="P24" i="182"/>
  <c r="P2" i="182"/>
  <c r="P19" i="182"/>
  <c r="P14" i="182"/>
  <c r="Q21" i="182"/>
  <c r="Q10" i="182"/>
  <c r="Q16" i="182"/>
  <c r="Q23" i="182"/>
  <c r="Q3" i="182"/>
  <c r="Q9" i="182"/>
  <c r="R2" i="182"/>
  <c r="S10" i="182"/>
  <c r="J17" i="182"/>
  <c r="J15" i="182"/>
  <c r="H15" i="182" s="1"/>
  <c r="F15" i="182" s="1"/>
  <c r="J4" i="182"/>
  <c r="J18" i="182"/>
  <c r="H18" i="182" s="1"/>
  <c r="F18" i="182" s="1"/>
  <c r="J13" i="182"/>
  <c r="K11" i="182"/>
  <c r="H11" i="182" s="1"/>
  <c r="F11" i="182" s="1"/>
  <c r="K6" i="182"/>
  <c r="H6" i="182" s="1"/>
  <c r="F6" i="182" s="1"/>
  <c r="K5" i="182"/>
  <c r="K22" i="182"/>
  <c r="F22" i="182" s="1"/>
  <c r="K20" i="182"/>
  <c r="H20" i="182" s="1"/>
  <c r="F20" i="182" s="1"/>
  <c r="K12" i="182"/>
  <c r="H12" i="182" s="1"/>
  <c r="F12" i="182" s="1"/>
  <c r="L17" i="182"/>
  <c r="L15" i="182"/>
  <c r="L4" i="182"/>
  <c r="L18" i="182"/>
  <c r="L13" i="182"/>
  <c r="M11" i="182"/>
  <c r="M6" i="182"/>
  <c r="M5" i="182"/>
  <c r="M22" i="182"/>
  <c r="M20" i="182"/>
  <c r="M12" i="182"/>
  <c r="O11" i="182"/>
  <c r="O6" i="182"/>
  <c r="O5" i="182"/>
  <c r="O22" i="182"/>
  <c r="O20" i="182"/>
  <c r="O12" i="182"/>
  <c r="P17" i="182"/>
  <c r="P15" i="182"/>
  <c r="P4" i="182"/>
  <c r="P18" i="182"/>
  <c r="P13" i="182"/>
  <c r="Q11" i="182"/>
  <c r="Q6" i="182"/>
  <c r="Q5" i="182"/>
  <c r="Q22" i="182"/>
  <c r="Q20" i="182"/>
  <c r="Q12" i="182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8" i="1"/>
  <c r="AP1689" i="1"/>
  <c r="AP1690" i="1"/>
  <c r="AP1691" i="1"/>
  <c r="AP1692" i="1"/>
  <c r="AP1693" i="1"/>
  <c r="AP1694" i="1"/>
  <c r="AP1695" i="1"/>
  <c r="AP1696" i="1"/>
  <c r="AP1697" i="1"/>
  <c r="AP1698" i="1"/>
  <c r="AP1699" i="1"/>
  <c r="AP1700" i="1"/>
  <c r="AP1701" i="1"/>
  <c r="AP1702" i="1"/>
  <c r="AP1703" i="1"/>
  <c r="AP1704" i="1"/>
  <c r="AP1705" i="1"/>
  <c r="AP1706" i="1"/>
  <c r="AP1707" i="1"/>
  <c r="AP1708" i="1"/>
  <c r="AP1709" i="1"/>
  <c r="AP1710" i="1"/>
  <c r="AP1711" i="1"/>
  <c r="AP1712" i="1"/>
  <c r="AP1713" i="1"/>
  <c r="AP1714" i="1"/>
  <c r="AP1715" i="1"/>
  <c r="AP1716" i="1"/>
  <c r="AP1717" i="1"/>
  <c r="AP1718" i="1"/>
  <c r="AP1719" i="1"/>
  <c r="AP1720" i="1"/>
  <c r="AP1721" i="1"/>
  <c r="AP1722" i="1"/>
  <c r="AP1723" i="1"/>
  <c r="AP1724" i="1"/>
  <c r="AP1725" i="1"/>
  <c r="AP1726" i="1"/>
  <c r="AP1727" i="1"/>
  <c r="AP1728" i="1"/>
  <c r="AP1729" i="1"/>
  <c r="AP1730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I3" i="1"/>
  <c r="AW3" i="1" s="1"/>
  <c r="AI4" i="1"/>
  <c r="AW4" i="1" s="1"/>
  <c r="AI5" i="1"/>
  <c r="AW5" i="1" s="1"/>
  <c r="AI6" i="1"/>
  <c r="AW6" i="1" s="1"/>
  <c r="AI7" i="1"/>
  <c r="AW7" i="1" s="1"/>
  <c r="AI8" i="1"/>
  <c r="AW8" i="1" s="1"/>
  <c r="AI9" i="1"/>
  <c r="AW9" i="1" s="1"/>
  <c r="AI10" i="1"/>
  <c r="AW10" i="1" s="1"/>
  <c r="AI11" i="1"/>
  <c r="AW11" i="1" s="1"/>
  <c r="AI12" i="1"/>
  <c r="AW12" i="1" s="1"/>
  <c r="AI13" i="1"/>
  <c r="AW13" i="1" s="1"/>
  <c r="AI14" i="1"/>
  <c r="AW14" i="1" s="1"/>
  <c r="AI15" i="1"/>
  <c r="AW15" i="1" s="1"/>
  <c r="AI16" i="1"/>
  <c r="AW16" i="1" s="1"/>
  <c r="AI17" i="1"/>
  <c r="AW17" i="1" s="1"/>
  <c r="AI18" i="1"/>
  <c r="AW18" i="1" s="1"/>
  <c r="AI19" i="1"/>
  <c r="AW19" i="1" s="1"/>
  <c r="AI20" i="1"/>
  <c r="AW20" i="1" s="1"/>
  <c r="AI21" i="1"/>
  <c r="AW21" i="1" s="1"/>
  <c r="AI22" i="1"/>
  <c r="AW22" i="1" s="1"/>
  <c r="AI23" i="1"/>
  <c r="AW23" i="1" s="1"/>
  <c r="AI24" i="1"/>
  <c r="AW24" i="1" s="1"/>
  <c r="AI25" i="1"/>
  <c r="AW25" i="1" s="1"/>
  <c r="AI26" i="1"/>
  <c r="AW26" i="1" s="1"/>
  <c r="AI27" i="1"/>
  <c r="AW27" i="1" s="1"/>
  <c r="AI28" i="1"/>
  <c r="AW28" i="1" s="1"/>
  <c r="AI29" i="1"/>
  <c r="AW29" i="1" s="1"/>
  <c r="AI30" i="1"/>
  <c r="AW30" i="1" s="1"/>
  <c r="AI31" i="1"/>
  <c r="AW31" i="1" s="1"/>
  <c r="AI32" i="1"/>
  <c r="AW32" i="1" s="1"/>
  <c r="AI33" i="1"/>
  <c r="AW33" i="1" s="1"/>
  <c r="AI34" i="1"/>
  <c r="AW34" i="1" s="1"/>
  <c r="AI35" i="1"/>
  <c r="AW35" i="1" s="1"/>
  <c r="AI36" i="1"/>
  <c r="AW36" i="1" s="1"/>
  <c r="AI37" i="1"/>
  <c r="AW37" i="1" s="1"/>
  <c r="AI38" i="1"/>
  <c r="AW38" i="1" s="1"/>
  <c r="AI39" i="1"/>
  <c r="AW39" i="1" s="1"/>
  <c r="AI40" i="1"/>
  <c r="AW40" i="1" s="1"/>
  <c r="AI41" i="1"/>
  <c r="AW41" i="1" s="1"/>
  <c r="AI42" i="1"/>
  <c r="AW42" i="1" s="1"/>
  <c r="AI43" i="1"/>
  <c r="AW43" i="1" s="1"/>
  <c r="AI44" i="1"/>
  <c r="AW44" i="1" s="1"/>
  <c r="AI45" i="1"/>
  <c r="AW45" i="1" s="1"/>
  <c r="AI46" i="1"/>
  <c r="AW46" i="1" s="1"/>
  <c r="AI47" i="1"/>
  <c r="AW47" i="1" s="1"/>
  <c r="AI48" i="1"/>
  <c r="AW48" i="1" s="1"/>
  <c r="AI49" i="1"/>
  <c r="AW49" i="1" s="1"/>
  <c r="AI50" i="1"/>
  <c r="AW50" i="1" s="1"/>
  <c r="AI51" i="1"/>
  <c r="AW51" i="1" s="1"/>
  <c r="AI52" i="1"/>
  <c r="AW52" i="1" s="1"/>
  <c r="AI53" i="1"/>
  <c r="AW53" i="1" s="1"/>
  <c r="AI54" i="1"/>
  <c r="AW54" i="1" s="1"/>
  <c r="AI55" i="1"/>
  <c r="AW55" i="1" s="1"/>
  <c r="AI56" i="1"/>
  <c r="AW56" i="1" s="1"/>
  <c r="AI57" i="1"/>
  <c r="AW57" i="1" s="1"/>
  <c r="AI58" i="1"/>
  <c r="AW58" i="1" s="1"/>
  <c r="AI59" i="1"/>
  <c r="AW59" i="1" s="1"/>
  <c r="AI60" i="1"/>
  <c r="AW60" i="1" s="1"/>
  <c r="AI61" i="1"/>
  <c r="AW61" i="1" s="1"/>
  <c r="AI62" i="1"/>
  <c r="AW62" i="1" s="1"/>
  <c r="AI63" i="1"/>
  <c r="AW63" i="1" s="1"/>
  <c r="AI64" i="1"/>
  <c r="AW64" i="1" s="1"/>
  <c r="AI65" i="1"/>
  <c r="AW65" i="1" s="1"/>
  <c r="AI66" i="1"/>
  <c r="AW66" i="1" s="1"/>
  <c r="AI67" i="1"/>
  <c r="AW67" i="1" s="1"/>
  <c r="AI68" i="1"/>
  <c r="AW68" i="1" s="1"/>
  <c r="AI69" i="1"/>
  <c r="AW69" i="1" s="1"/>
  <c r="AI70" i="1"/>
  <c r="AW70" i="1" s="1"/>
  <c r="AI71" i="1"/>
  <c r="AW71" i="1" s="1"/>
  <c r="AI72" i="1"/>
  <c r="AW72" i="1" s="1"/>
  <c r="AI73" i="1"/>
  <c r="AW73" i="1" s="1"/>
  <c r="AI74" i="1"/>
  <c r="AW74" i="1" s="1"/>
  <c r="AI75" i="1"/>
  <c r="AW75" i="1" s="1"/>
  <c r="AI76" i="1"/>
  <c r="AW76" i="1" s="1"/>
  <c r="AI77" i="1"/>
  <c r="AW77" i="1" s="1"/>
  <c r="AI78" i="1"/>
  <c r="AW78" i="1" s="1"/>
  <c r="AI79" i="1"/>
  <c r="AW79" i="1" s="1"/>
  <c r="AI80" i="1"/>
  <c r="AW80" i="1" s="1"/>
  <c r="AI81" i="1"/>
  <c r="AW81" i="1" s="1"/>
  <c r="AI82" i="1"/>
  <c r="AW82" i="1" s="1"/>
  <c r="AI83" i="1"/>
  <c r="AW83" i="1" s="1"/>
  <c r="AI84" i="1"/>
  <c r="AW84" i="1" s="1"/>
  <c r="AI85" i="1"/>
  <c r="AW85" i="1" s="1"/>
  <c r="AI86" i="1"/>
  <c r="AW86" i="1" s="1"/>
  <c r="AI87" i="1"/>
  <c r="AW87" i="1" s="1"/>
  <c r="AI88" i="1"/>
  <c r="AW88" i="1" s="1"/>
  <c r="AI89" i="1"/>
  <c r="AW89" i="1" s="1"/>
  <c r="AI90" i="1"/>
  <c r="AW90" i="1" s="1"/>
  <c r="AI91" i="1"/>
  <c r="AW91" i="1" s="1"/>
  <c r="AI92" i="1"/>
  <c r="AW92" i="1" s="1"/>
  <c r="AI93" i="1"/>
  <c r="AW93" i="1" s="1"/>
  <c r="AI94" i="1"/>
  <c r="AW94" i="1" s="1"/>
  <c r="AI95" i="1"/>
  <c r="AW95" i="1" s="1"/>
  <c r="AI96" i="1"/>
  <c r="AW96" i="1" s="1"/>
  <c r="AI97" i="1"/>
  <c r="AW97" i="1" s="1"/>
  <c r="AI98" i="1"/>
  <c r="AW98" i="1" s="1"/>
  <c r="AI99" i="1"/>
  <c r="AW99" i="1" s="1"/>
  <c r="AI100" i="1"/>
  <c r="AW100" i="1" s="1"/>
  <c r="AI101" i="1"/>
  <c r="AW101" i="1" s="1"/>
  <c r="AI102" i="1"/>
  <c r="AW102" i="1" s="1"/>
  <c r="AI103" i="1"/>
  <c r="AW103" i="1" s="1"/>
  <c r="AI104" i="1"/>
  <c r="AW104" i="1" s="1"/>
  <c r="AI105" i="1"/>
  <c r="AW105" i="1" s="1"/>
  <c r="AI106" i="1"/>
  <c r="AW106" i="1" s="1"/>
  <c r="AI107" i="1"/>
  <c r="AW107" i="1" s="1"/>
  <c r="AI108" i="1"/>
  <c r="AW108" i="1" s="1"/>
  <c r="AI109" i="1"/>
  <c r="AW109" i="1" s="1"/>
  <c r="AI110" i="1"/>
  <c r="AW110" i="1" s="1"/>
  <c r="AI111" i="1"/>
  <c r="AW111" i="1" s="1"/>
  <c r="AI112" i="1"/>
  <c r="AW112" i="1" s="1"/>
  <c r="AI113" i="1"/>
  <c r="AW113" i="1" s="1"/>
  <c r="AI114" i="1"/>
  <c r="AW114" i="1" s="1"/>
  <c r="AI115" i="1"/>
  <c r="AW115" i="1" s="1"/>
  <c r="AI116" i="1"/>
  <c r="AW116" i="1" s="1"/>
  <c r="AI117" i="1"/>
  <c r="AW117" i="1" s="1"/>
  <c r="AI118" i="1"/>
  <c r="AW118" i="1" s="1"/>
  <c r="AI119" i="1"/>
  <c r="AW119" i="1" s="1"/>
  <c r="AI120" i="1"/>
  <c r="AW120" i="1" s="1"/>
  <c r="AI121" i="1"/>
  <c r="AW121" i="1" s="1"/>
  <c r="AI122" i="1"/>
  <c r="AW122" i="1" s="1"/>
  <c r="AI123" i="1"/>
  <c r="AW123" i="1" s="1"/>
  <c r="AI124" i="1"/>
  <c r="AW124" i="1" s="1"/>
  <c r="AI125" i="1"/>
  <c r="AW125" i="1" s="1"/>
  <c r="AI126" i="1"/>
  <c r="AW126" i="1" s="1"/>
  <c r="AI127" i="1"/>
  <c r="AW127" i="1" s="1"/>
  <c r="AI128" i="1"/>
  <c r="AW128" i="1" s="1"/>
  <c r="AI129" i="1"/>
  <c r="AW129" i="1" s="1"/>
  <c r="AI130" i="1"/>
  <c r="AW130" i="1" s="1"/>
  <c r="AI131" i="1"/>
  <c r="AW131" i="1" s="1"/>
  <c r="AI132" i="1"/>
  <c r="AW132" i="1" s="1"/>
  <c r="AI133" i="1"/>
  <c r="AW133" i="1" s="1"/>
  <c r="AI134" i="1"/>
  <c r="AW134" i="1" s="1"/>
  <c r="AI135" i="1"/>
  <c r="AW135" i="1" s="1"/>
  <c r="AI136" i="1"/>
  <c r="AW136" i="1" s="1"/>
  <c r="AI137" i="1"/>
  <c r="AW137" i="1" s="1"/>
  <c r="AI138" i="1"/>
  <c r="AW138" i="1" s="1"/>
  <c r="AI139" i="1"/>
  <c r="AW139" i="1" s="1"/>
  <c r="AI140" i="1"/>
  <c r="AW140" i="1" s="1"/>
  <c r="AI141" i="1"/>
  <c r="AW141" i="1" s="1"/>
  <c r="AI142" i="1"/>
  <c r="AW142" i="1" s="1"/>
  <c r="AI143" i="1"/>
  <c r="AW143" i="1" s="1"/>
  <c r="AI144" i="1"/>
  <c r="AW144" i="1" s="1"/>
  <c r="AI145" i="1"/>
  <c r="AW145" i="1" s="1"/>
  <c r="AI146" i="1"/>
  <c r="AW146" i="1" s="1"/>
  <c r="AI147" i="1"/>
  <c r="AW147" i="1" s="1"/>
  <c r="AI148" i="1"/>
  <c r="AW148" i="1" s="1"/>
  <c r="AI149" i="1"/>
  <c r="AW149" i="1" s="1"/>
  <c r="AI150" i="1"/>
  <c r="AW150" i="1" s="1"/>
  <c r="AI151" i="1"/>
  <c r="AW151" i="1" s="1"/>
  <c r="AI152" i="1"/>
  <c r="AW152" i="1" s="1"/>
  <c r="AI153" i="1"/>
  <c r="AW153" i="1" s="1"/>
  <c r="AI154" i="1"/>
  <c r="AW154" i="1" s="1"/>
  <c r="AI155" i="1"/>
  <c r="AW155" i="1" s="1"/>
  <c r="AI156" i="1"/>
  <c r="AW156" i="1" s="1"/>
  <c r="AI157" i="1"/>
  <c r="AW157" i="1" s="1"/>
  <c r="AI158" i="1"/>
  <c r="AW158" i="1" s="1"/>
  <c r="AI159" i="1"/>
  <c r="AW159" i="1" s="1"/>
  <c r="AI160" i="1"/>
  <c r="AW160" i="1" s="1"/>
  <c r="AI161" i="1"/>
  <c r="AW161" i="1" s="1"/>
  <c r="AI162" i="1"/>
  <c r="AW162" i="1" s="1"/>
  <c r="AI163" i="1"/>
  <c r="AW163" i="1" s="1"/>
  <c r="AI164" i="1"/>
  <c r="AW164" i="1" s="1"/>
  <c r="AI165" i="1"/>
  <c r="AW165" i="1" s="1"/>
  <c r="AI166" i="1"/>
  <c r="AW166" i="1" s="1"/>
  <c r="AI167" i="1"/>
  <c r="AW167" i="1" s="1"/>
  <c r="AI168" i="1"/>
  <c r="AW168" i="1" s="1"/>
  <c r="AI169" i="1"/>
  <c r="AW169" i="1" s="1"/>
  <c r="AI170" i="1"/>
  <c r="AW170" i="1" s="1"/>
  <c r="AI171" i="1"/>
  <c r="AW171" i="1" s="1"/>
  <c r="AI172" i="1"/>
  <c r="AW172" i="1" s="1"/>
  <c r="AI173" i="1"/>
  <c r="AW173" i="1" s="1"/>
  <c r="AI174" i="1"/>
  <c r="AW174" i="1" s="1"/>
  <c r="AI175" i="1"/>
  <c r="AW175" i="1" s="1"/>
  <c r="AI176" i="1"/>
  <c r="AW176" i="1" s="1"/>
  <c r="AI177" i="1"/>
  <c r="AW177" i="1" s="1"/>
  <c r="AI178" i="1"/>
  <c r="AW178" i="1" s="1"/>
  <c r="AI179" i="1"/>
  <c r="AW179" i="1" s="1"/>
  <c r="AI180" i="1"/>
  <c r="AW180" i="1" s="1"/>
  <c r="AI181" i="1"/>
  <c r="AW181" i="1" s="1"/>
  <c r="AI182" i="1"/>
  <c r="AW182" i="1" s="1"/>
  <c r="AI183" i="1"/>
  <c r="AW183" i="1" s="1"/>
  <c r="AI184" i="1"/>
  <c r="AW184" i="1" s="1"/>
  <c r="AI185" i="1"/>
  <c r="AW185" i="1" s="1"/>
  <c r="AI186" i="1"/>
  <c r="AW186" i="1" s="1"/>
  <c r="AI187" i="1"/>
  <c r="AW187" i="1" s="1"/>
  <c r="AI188" i="1"/>
  <c r="AW188" i="1" s="1"/>
  <c r="AI189" i="1"/>
  <c r="AW189" i="1" s="1"/>
  <c r="AI190" i="1"/>
  <c r="AW190" i="1" s="1"/>
  <c r="AI191" i="1"/>
  <c r="AW191" i="1" s="1"/>
  <c r="AI192" i="1"/>
  <c r="AW192" i="1" s="1"/>
  <c r="AI193" i="1"/>
  <c r="AW193" i="1" s="1"/>
  <c r="AI194" i="1"/>
  <c r="AW194" i="1" s="1"/>
  <c r="AI195" i="1"/>
  <c r="AW195" i="1" s="1"/>
  <c r="AI196" i="1"/>
  <c r="AW196" i="1" s="1"/>
  <c r="AI197" i="1"/>
  <c r="AW197" i="1" s="1"/>
  <c r="AI198" i="1"/>
  <c r="AW198" i="1" s="1"/>
  <c r="AI199" i="1"/>
  <c r="AW199" i="1" s="1"/>
  <c r="AI200" i="1"/>
  <c r="AW200" i="1" s="1"/>
  <c r="AI201" i="1"/>
  <c r="AW201" i="1" s="1"/>
  <c r="AI202" i="1"/>
  <c r="AW202" i="1" s="1"/>
  <c r="AI203" i="1"/>
  <c r="AW203" i="1" s="1"/>
  <c r="AI204" i="1"/>
  <c r="AW204" i="1" s="1"/>
  <c r="AI205" i="1"/>
  <c r="AW205" i="1" s="1"/>
  <c r="AI206" i="1"/>
  <c r="AW206" i="1" s="1"/>
  <c r="AI207" i="1"/>
  <c r="AW207" i="1" s="1"/>
  <c r="AI208" i="1"/>
  <c r="AW208" i="1" s="1"/>
  <c r="AI209" i="1"/>
  <c r="AW209" i="1" s="1"/>
  <c r="AI210" i="1"/>
  <c r="AW210" i="1" s="1"/>
  <c r="AI211" i="1"/>
  <c r="AW211" i="1" s="1"/>
  <c r="AI212" i="1"/>
  <c r="AW212" i="1" s="1"/>
  <c r="AI213" i="1"/>
  <c r="AW213" i="1" s="1"/>
  <c r="AI214" i="1"/>
  <c r="AW214" i="1" s="1"/>
  <c r="AI215" i="1"/>
  <c r="AW215" i="1" s="1"/>
  <c r="AI216" i="1"/>
  <c r="AW216" i="1" s="1"/>
  <c r="AI217" i="1"/>
  <c r="AW217" i="1" s="1"/>
  <c r="AI218" i="1"/>
  <c r="AW218" i="1" s="1"/>
  <c r="AI219" i="1"/>
  <c r="AW219" i="1" s="1"/>
  <c r="AI220" i="1"/>
  <c r="AW220" i="1" s="1"/>
  <c r="AI221" i="1"/>
  <c r="AW221" i="1" s="1"/>
  <c r="AI222" i="1"/>
  <c r="AW222" i="1" s="1"/>
  <c r="AI223" i="1"/>
  <c r="AW223" i="1" s="1"/>
  <c r="AI224" i="1"/>
  <c r="AW224" i="1" s="1"/>
  <c r="AI225" i="1"/>
  <c r="AW225" i="1" s="1"/>
  <c r="AI226" i="1"/>
  <c r="AW226" i="1" s="1"/>
  <c r="AI227" i="1"/>
  <c r="AW227" i="1" s="1"/>
  <c r="AI228" i="1"/>
  <c r="AW228" i="1" s="1"/>
  <c r="AI229" i="1"/>
  <c r="AW229" i="1" s="1"/>
  <c r="AI230" i="1"/>
  <c r="AW230" i="1" s="1"/>
  <c r="AI231" i="1"/>
  <c r="AW231" i="1" s="1"/>
  <c r="AI232" i="1"/>
  <c r="AW232" i="1" s="1"/>
  <c r="AI233" i="1"/>
  <c r="AW233" i="1" s="1"/>
  <c r="AI234" i="1"/>
  <c r="AW234" i="1" s="1"/>
  <c r="AI235" i="1"/>
  <c r="AW235" i="1" s="1"/>
  <c r="AI236" i="1"/>
  <c r="AW236" i="1" s="1"/>
  <c r="AI237" i="1"/>
  <c r="AW237" i="1" s="1"/>
  <c r="AI238" i="1"/>
  <c r="AW238" i="1" s="1"/>
  <c r="AI239" i="1"/>
  <c r="AW239" i="1" s="1"/>
  <c r="AI240" i="1"/>
  <c r="AW240" i="1" s="1"/>
  <c r="AI241" i="1"/>
  <c r="AW241" i="1" s="1"/>
  <c r="AI242" i="1"/>
  <c r="AW242" i="1" s="1"/>
  <c r="AI243" i="1"/>
  <c r="AW243" i="1" s="1"/>
  <c r="AI244" i="1"/>
  <c r="AW244" i="1" s="1"/>
  <c r="AI245" i="1"/>
  <c r="AW245" i="1" s="1"/>
  <c r="AI246" i="1"/>
  <c r="AW246" i="1" s="1"/>
  <c r="AI247" i="1"/>
  <c r="AW247" i="1" s="1"/>
  <c r="AI248" i="1"/>
  <c r="AW248" i="1" s="1"/>
  <c r="AI249" i="1"/>
  <c r="AW249" i="1" s="1"/>
  <c r="AI250" i="1"/>
  <c r="AW250" i="1" s="1"/>
  <c r="AI251" i="1"/>
  <c r="AW251" i="1" s="1"/>
  <c r="AI252" i="1"/>
  <c r="AW252" i="1" s="1"/>
  <c r="AI253" i="1"/>
  <c r="AW253" i="1" s="1"/>
  <c r="AI254" i="1"/>
  <c r="AW254" i="1" s="1"/>
  <c r="AI255" i="1"/>
  <c r="AW255" i="1" s="1"/>
  <c r="AI256" i="1"/>
  <c r="AW256" i="1" s="1"/>
  <c r="AI257" i="1"/>
  <c r="AW257" i="1" s="1"/>
  <c r="AI258" i="1"/>
  <c r="AW258" i="1" s="1"/>
  <c r="AI259" i="1"/>
  <c r="AW259" i="1" s="1"/>
  <c r="AI260" i="1"/>
  <c r="AW260" i="1" s="1"/>
  <c r="AI261" i="1"/>
  <c r="AW261" i="1" s="1"/>
  <c r="AI262" i="1"/>
  <c r="AW262" i="1" s="1"/>
  <c r="AI263" i="1"/>
  <c r="AW263" i="1" s="1"/>
  <c r="AI264" i="1"/>
  <c r="AW264" i="1" s="1"/>
  <c r="AI265" i="1"/>
  <c r="AW265" i="1" s="1"/>
  <c r="AI266" i="1"/>
  <c r="AW266" i="1" s="1"/>
  <c r="AI267" i="1"/>
  <c r="AW267" i="1" s="1"/>
  <c r="AI268" i="1"/>
  <c r="AW268" i="1" s="1"/>
  <c r="AI269" i="1"/>
  <c r="AW269" i="1" s="1"/>
  <c r="AI270" i="1"/>
  <c r="AW270" i="1" s="1"/>
  <c r="AI271" i="1"/>
  <c r="AW271" i="1" s="1"/>
  <c r="AI272" i="1"/>
  <c r="AW272" i="1" s="1"/>
  <c r="AI273" i="1"/>
  <c r="AW273" i="1" s="1"/>
  <c r="AI274" i="1"/>
  <c r="AW274" i="1" s="1"/>
  <c r="AI275" i="1"/>
  <c r="AW275" i="1" s="1"/>
  <c r="AI276" i="1"/>
  <c r="AW276" i="1" s="1"/>
  <c r="AI277" i="1"/>
  <c r="AW277" i="1" s="1"/>
  <c r="AI278" i="1"/>
  <c r="AW278" i="1" s="1"/>
  <c r="AI279" i="1"/>
  <c r="AW279" i="1" s="1"/>
  <c r="AI280" i="1"/>
  <c r="AW280" i="1" s="1"/>
  <c r="AI281" i="1"/>
  <c r="AW281" i="1" s="1"/>
  <c r="AI282" i="1"/>
  <c r="AW282" i="1" s="1"/>
  <c r="AI283" i="1"/>
  <c r="AW283" i="1" s="1"/>
  <c r="AI284" i="1"/>
  <c r="AW284" i="1" s="1"/>
  <c r="AI285" i="1"/>
  <c r="AW285" i="1" s="1"/>
  <c r="AI286" i="1"/>
  <c r="AW286" i="1" s="1"/>
  <c r="AI287" i="1"/>
  <c r="AW287" i="1" s="1"/>
  <c r="AI288" i="1"/>
  <c r="AW288" i="1" s="1"/>
  <c r="AI289" i="1"/>
  <c r="AW289" i="1" s="1"/>
  <c r="AI290" i="1"/>
  <c r="AW290" i="1" s="1"/>
  <c r="AI291" i="1"/>
  <c r="AW291" i="1" s="1"/>
  <c r="AI292" i="1"/>
  <c r="AW292" i="1" s="1"/>
  <c r="AI293" i="1"/>
  <c r="AW293" i="1" s="1"/>
  <c r="AI294" i="1"/>
  <c r="AW294" i="1" s="1"/>
  <c r="AI295" i="1"/>
  <c r="AW295" i="1" s="1"/>
  <c r="AI296" i="1"/>
  <c r="AW296" i="1" s="1"/>
  <c r="AI297" i="1"/>
  <c r="AW297" i="1" s="1"/>
  <c r="AI298" i="1"/>
  <c r="AW298" i="1" s="1"/>
  <c r="AI299" i="1"/>
  <c r="AW299" i="1" s="1"/>
  <c r="AI300" i="1"/>
  <c r="AW300" i="1" s="1"/>
  <c r="AI301" i="1"/>
  <c r="AW301" i="1" s="1"/>
  <c r="AI302" i="1"/>
  <c r="AW302" i="1" s="1"/>
  <c r="AI303" i="1"/>
  <c r="AW303" i="1" s="1"/>
  <c r="AI304" i="1"/>
  <c r="AW304" i="1" s="1"/>
  <c r="AI305" i="1"/>
  <c r="AW305" i="1" s="1"/>
  <c r="AI306" i="1"/>
  <c r="AW306" i="1" s="1"/>
  <c r="AI307" i="1"/>
  <c r="AW307" i="1" s="1"/>
  <c r="AI308" i="1"/>
  <c r="AW308" i="1" s="1"/>
  <c r="AI309" i="1"/>
  <c r="AW309" i="1" s="1"/>
  <c r="AI310" i="1"/>
  <c r="AW310" i="1" s="1"/>
  <c r="AI311" i="1"/>
  <c r="AW311" i="1" s="1"/>
  <c r="AI312" i="1"/>
  <c r="AW312" i="1" s="1"/>
  <c r="AI313" i="1"/>
  <c r="AW313" i="1" s="1"/>
  <c r="AI314" i="1"/>
  <c r="AW314" i="1" s="1"/>
  <c r="AI315" i="1"/>
  <c r="AW315" i="1" s="1"/>
  <c r="AI316" i="1"/>
  <c r="AW316" i="1" s="1"/>
  <c r="AI317" i="1"/>
  <c r="AW317" i="1" s="1"/>
  <c r="AI318" i="1"/>
  <c r="AW318" i="1" s="1"/>
  <c r="AI319" i="1"/>
  <c r="AW319" i="1" s="1"/>
  <c r="AI320" i="1"/>
  <c r="AW320" i="1" s="1"/>
  <c r="AI321" i="1"/>
  <c r="AW321" i="1" s="1"/>
  <c r="AI322" i="1"/>
  <c r="AW322" i="1" s="1"/>
  <c r="AI323" i="1"/>
  <c r="AW323" i="1" s="1"/>
  <c r="AI324" i="1"/>
  <c r="AW324" i="1" s="1"/>
  <c r="AI325" i="1"/>
  <c r="AW325" i="1" s="1"/>
  <c r="AI326" i="1"/>
  <c r="AW326" i="1" s="1"/>
  <c r="AI327" i="1"/>
  <c r="AW327" i="1" s="1"/>
  <c r="AI328" i="1"/>
  <c r="AW328" i="1" s="1"/>
  <c r="AI329" i="1"/>
  <c r="AW329" i="1" s="1"/>
  <c r="AI330" i="1"/>
  <c r="AW330" i="1" s="1"/>
  <c r="AI331" i="1"/>
  <c r="AW331" i="1" s="1"/>
  <c r="AI332" i="1"/>
  <c r="AW332" i="1" s="1"/>
  <c r="AI333" i="1"/>
  <c r="AW333" i="1" s="1"/>
  <c r="AI334" i="1"/>
  <c r="AW334" i="1" s="1"/>
  <c r="AI335" i="1"/>
  <c r="AW335" i="1" s="1"/>
  <c r="AI336" i="1"/>
  <c r="AW336" i="1" s="1"/>
  <c r="AI337" i="1"/>
  <c r="AW337" i="1" s="1"/>
  <c r="AI338" i="1"/>
  <c r="AW338" i="1" s="1"/>
  <c r="AI339" i="1"/>
  <c r="AW339" i="1" s="1"/>
  <c r="AI340" i="1"/>
  <c r="AW340" i="1" s="1"/>
  <c r="AI341" i="1"/>
  <c r="AW341" i="1" s="1"/>
  <c r="AI342" i="1"/>
  <c r="AW342" i="1" s="1"/>
  <c r="AI343" i="1"/>
  <c r="AW343" i="1" s="1"/>
  <c r="AI344" i="1"/>
  <c r="AW344" i="1" s="1"/>
  <c r="AI345" i="1"/>
  <c r="AW345" i="1" s="1"/>
  <c r="AI346" i="1"/>
  <c r="AW346" i="1" s="1"/>
  <c r="AI347" i="1"/>
  <c r="AW347" i="1" s="1"/>
  <c r="AI348" i="1"/>
  <c r="AW348" i="1" s="1"/>
  <c r="AI349" i="1"/>
  <c r="AW349" i="1" s="1"/>
  <c r="AI350" i="1"/>
  <c r="AW350" i="1" s="1"/>
  <c r="AI351" i="1"/>
  <c r="AW351" i="1" s="1"/>
  <c r="AI352" i="1"/>
  <c r="AW352" i="1" s="1"/>
  <c r="AI353" i="1"/>
  <c r="AW353" i="1" s="1"/>
  <c r="AI354" i="1"/>
  <c r="AW354" i="1" s="1"/>
  <c r="AI355" i="1"/>
  <c r="AW355" i="1" s="1"/>
  <c r="AI356" i="1"/>
  <c r="AW356" i="1" s="1"/>
  <c r="AI357" i="1"/>
  <c r="AW357" i="1" s="1"/>
  <c r="AI358" i="1"/>
  <c r="AW358" i="1" s="1"/>
  <c r="AI359" i="1"/>
  <c r="AW359" i="1" s="1"/>
  <c r="AI360" i="1"/>
  <c r="AW360" i="1" s="1"/>
  <c r="AI361" i="1"/>
  <c r="AW361" i="1" s="1"/>
  <c r="AI362" i="1"/>
  <c r="AW362" i="1" s="1"/>
  <c r="AI363" i="1"/>
  <c r="AW363" i="1" s="1"/>
  <c r="AI364" i="1"/>
  <c r="AW364" i="1" s="1"/>
  <c r="AI365" i="1"/>
  <c r="AW365" i="1" s="1"/>
  <c r="AI366" i="1"/>
  <c r="AW366" i="1" s="1"/>
  <c r="AI367" i="1"/>
  <c r="AW367" i="1" s="1"/>
  <c r="AI368" i="1"/>
  <c r="AW368" i="1" s="1"/>
  <c r="AI369" i="1"/>
  <c r="AW369" i="1" s="1"/>
  <c r="AI370" i="1"/>
  <c r="AW370" i="1" s="1"/>
  <c r="AI371" i="1"/>
  <c r="AW371" i="1" s="1"/>
  <c r="AI372" i="1"/>
  <c r="AW372" i="1" s="1"/>
  <c r="AI373" i="1"/>
  <c r="AW373" i="1" s="1"/>
  <c r="AI374" i="1"/>
  <c r="AW374" i="1" s="1"/>
  <c r="AI375" i="1"/>
  <c r="AW375" i="1" s="1"/>
  <c r="AI376" i="1"/>
  <c r="AW376" i="1" s="1"/>
  <c r="AI377" i="1"/>
  <c r="AW377" i="1" s="1"/>
  <c r="AI378" i="1"/>
  <c r="AW378" i="1" s="1"/>
  <c r="AI379" i="1"/>
  <c r="AW379" i="1" s="1"/>
  <c r="AI380" i="1"/>
  <c r="AW380" i="1" s="1"/>
  <c r="AI381" i="1"/>
  <c r="AW381" i="1" s="1"/>
  <c r="AI382" i="1"/>
  <c r="AW382" i="1" s="1"/>
  <c r="AI383" i="1"/>
  <c r="AW383" i="1" s="1"/>
  <c r="AI384" i="1"/>
  <c r="AW384" i="1" s="1"/>
  <c r="AI385" i="1"/>
  <c r="AW385" i="1" s="1"/>
  <c r="AI386" i="1"/>
  <c r="AW386" i="1" s="1"/>
  <c r="AI387" i="1"/>
  <c r="AW387" i="1" s="1"/>
  <c r="AI388" i="1"/>
  <c r="AW388" i="1" s="1"/>
  <c r="AI389" i="1"/>
  <c r="AW389" i="1" s="1"/>
  <c r="AI390" i="1"/>
  <c r="AW390" i="1" s="1"/>
  <c r="AI391" i="1"/>
  <c r="AW391" i="1" s="1"/>
  <c r="AI392" i="1"/>
  <c r="AW392" i="1" s="1"/>
  <c r="AI393" i="1"/>
  <c r="AW393" i="1" s="1"/>
  <c r="AI394" i="1"/>
  <c r="AW394" i="1" s="1"/>
  <c r="AI395" i="1"/>
  <c r="AW395" i="1" s="1"/>
  <c r="AI396" i="1"/>
  <c r="AW396" i="1" s="1"/>
  <c r="AI397" i="1"/>
  <c r="AW397" i="1" s="1"/>
  <c r="AI398" i="1"/>
  <c r="AW398" i="1" s="1"/>
  <c r="AI399" i="1"/>
  <c r="AW399" i="1" s="1"/>
  <c r="AI400" i="1"/>
  <c r="AW400" i="1" s="1"/>
  <c r="AI401" i="1"/>
  <c r="AW401" i="1" s="1"/>
  <c r="AI402" i="1"/>
  <c r="AW402" i="1" s="1"/>
  <c r="AI403" i="1"/>
  <c r="AW403" i="1" s="1"/>
  <c r="AI404" i="1"/>
  <c r="AW404" i="1" s="1"/>
  <c r="AI405" i="1"/>
  <c r="AW405" i="1" s="1"/>
  <c r="AI406" i="1"/>
  <c r="AW406" i="1" s="1"/>
  <c r="AI407" i="1"/>
  <c r="AW407" i="1" s="1"/>
  <c r="AI408" i="1"/>
  <c r="AW408" i="1" s="1"/>
  <c r="AI409" i="1"/>
  <c r="AW409" i="1" s="1"/>
  <c r="AI410" i="1"/>
  <c r="AW410" i="1" s="1"/>
  <c r="AI411" i="1"/>
  <c r="AW411" i="1" s="1"/>
  <c r="AI412" i="1"/>
  <c r="AW412" i="1" s="1"/>
  <c r="AI413" i="1"/>
  <c r="AW413" i="1" s="1"/>
  <c r="AI414" i="1"/>
  <c r="AW414" i="1" s="1"/>
  <c r="AI415" i="1"/>
  <c r="AW415" i="1" s="1"/>
  <c r="AI416" i="1"/>
  <c r="AW416" i="1" s="1"/>
  <c r="AI417" i="1"/>
  <c r="AW417" i="1" s="1"/>
  <c r="AI418" i="1"/>
  <c r="AW418" i="1" s="1"/>
  <c r="AI419" i="1"/>
  <c r="AW419" i="1" s="1"/>
  <c r="AI420" i="1"/>
  <c r="AW420" i="1" s="1"/>
  <c r="AI421" i="1"/>
  <c r="AW421" i="1" s="1"/>
  <c r="AI422" i="1"/>
  <c r="AW422" i="1" s="1"/>
  <c r="AI423" i="1"/>
  <c r="AW423" i="1" s="1"/>
  <c r="AI424" i="1"/>
  <c r="AW424" i="1" s="1"/>
  <c r="AI425" i="1"/>
  <c r="AW425" i="1" s="1"/>
  <c r="AI426" i="1"/>
  <c r="AW426" i="1" s="1"/>
  <c r="AI427" i="1"/>
  <c r="AW427" i="1" s="1"/>
  <c r="AI428" i="1"/>
  <c r="AW428" i="1" s="1"/>
  <c r="AI429" i="1"/>
  <c r="AW429" i="1" s="1"/>
  <c r="AI430" i="1"/>
  <c r="AW430" i="1" s="1"/>
  <c r="AI431" i="1"/>
  <c r="AW431" i="1" s="1"/>
  <c r="AI432" i="1"/>
  <c r="AW432" i="1" s="1"/>
  <c r="AI433" i="1"/>
  <c r="AW433" i="1" s="1"/>
  <c r="AI434" i="1"/>
  <c r="AW434" i="1" s="1"/>
  <c r="AI435" i="1"/>
  <c r="AW435" i="1" s="1"/>
  <c r="AI436" i="1"/>
  <c r="AW436" i="1" s="1"/>
  <c r="AI437" i="1"/>
  <c r="AW437" i="1" s="1"/>
  <c r="AI438" i="1"/>
  <c r="AW438" i="1" s="1"/>
  <c r="AI439" i="1"/>
  <c r="AW439" i="1" s="1"/>
  <c r="AI440" i="1"/>
  <c r="AW440" i="1" s="1"/>
  <c r="AI441" i="1"/>
  <c r="AW441" i="1" s="1"/>
  <c r="AI442" i="1"/>
  <c r="AW442" i="1" s="1"/>
  <c r="AI443" i="1"/>
  <c r="AW443" i="1" s="1"/>
  <c r="AI444" i="1"/>
  <c r="AW444" i="1" s="1"/>
  <c r="AI445" i="1"/>
  <c r="AW445" i="1" s="1"/>
  <c r="AI446" i="1"/>
  <c r="AW446" i="1" s="1"/>
  <c r="AI447" i="1"/>
  <c r="AW447" i="1" s="1"/>
  <c r="AI448" i="1"/>
  <c r="AW448" i="1" s="1"/>
  <c r="AI449" i="1"/>
  <c r="AW449" i="1" s="1"/>
  <c r="AI450" i="1"/>
  <c r="AW450" i="1" s="1"/>
  <c r="AI451" i="1"/>
  <c r="AW451" i="1" s="1"/>
  <c r="AI452" i="1"/>
  <c r="AW452" i="1" s="1"/>
  <c r="AI453" i="1"/>
  <c r="AW453" i="1" s="1"/>
  <c r="AI454" i="1"/>
  <c r="AW454" i="1" s="1"/>
  <c r="AI455" i="1"/>
  <c r="AW455" i="1" s="1"/>
  <c r="AI456" i="1"/>
  <c r="AW456" i="1" s="1"/>
  <c r="AI457" i="1"/>
  <c r="AW457" i="1" s="1"/>
  <c r="AI458" i="1"/>
  <c r="AW458" i="1" s="1"/>
  <c r="AI459" i="1"/>
  <c r="AW459" i="1" s="1"/>
  <c r="AI460" i="1"/>
  <c r="AW460" i="1" s="1"/>
  <c r="AI461" i="1"/>
  <c r="AW461" i="1" s="1"/>
  <c r="AI462" i="1"/>
  <c r="AW462" i="1" s="1"/>
  <c r="AI463" i="1"/>
  <c r="AW463" i="1" s="1"/>
  <c r="AI464" i="1"/>
  <c r="AW464" i="1" s="1"/>
  <c r="AI465" i="1"/>
  <c r="AW465" i="1" s="1"/>
  <c r="AI466" i="1"/>
  <c r="AW466" i="1" s="1"/>
  <c r="AI467" i="1"/>
  <c r="AW467" i="1" s="1"/>
  <c r="AI468" i="1"/>
  <c r="AW468" i="1" s="1"/>
  <c r="AI469" i="1"/>
  <c r="AW469" i="1" s="1"/>
  <c r="AI470" i="1"/>
  <c r="AW470" i="1" s="1"/>
  <c r="AI471" i="1"/>
  <c r="AW471" i="1" s="1"/>
  <c r="AI472" i="1"/>
  <c r="AW472" i="1" s="1"/>
  <c r="AI473" i="1"/>
  <c r="AW473" i="1" s="1"/>
  <c r="AI474" i="1"/>
  <c r="AW474" i="1" s="1"/>
  <c r="AI475" i="1"/>
  <c r="AW475" i="1" s="1"/>
  <c r="AI476" i="1"/>
  <c r="AW476" i="1" s="1"/>
  <c r="AI477" i="1"/>
  <c r="AW477" i="1" s="1"/>
  <c r="AI478" i="1"/>
  <c r="AW478" i="1" s="1"/>
  <c r="AI479" i="1"/>
  <c r="AW479" i="1" s="1"/>
  <c r="AI480" i="1"/>
  <c r="AW480" i="1" s="1"/>
  <c r="AI481" i="1"/>
  <c r="AW481" i="1" s="1"/>
  <c r="AI482" i="1"/>
  <c r="AW482" i="1" s="1"/>
  <c r="AI483" i="1"/>
  <c r="AW483" i="1" s="1"/>
  <c r="AI484" i="1"/>
  <c r="AW484" i="1" s="1"/>
  <c r="AI485" i="1"/>
  <c r="AW485" i="1" s="1"/>
  <c r="AI486" i="1"/>
  <c r="AW486" i="1" s="1"/>
  <c r="AI487" i="1"/>
  <c r="AW487" i="1" s="1"/>
  <c r="AI488" i="1"/>
  <c r="AW488" i="1" s="1"/>
  <c r="AI489" i="1"/>
  <c r="AW489" i="1" s="1"/>
  <c r="AI490" i="1"/>
  <c r="AW490" i="1" s="1"/>
  <c r="AI491" i="1"/>
  <c r="AW491" i="1" s="1"/>
  <c r="AI492" i="1"/>
  <c r="AW492" i="1" s="1"/>
  <c r="AI493" i="1"/>
  <c r="AW493" i="1" s="1"/>
  <c r="AI494" i="1"/>
  <c r="AW494" i="1" s="1"/>
  <c r="AI495" i="1"/>
  <c r="AW495" i="1" s="1"/>
  <c r="AI496" i="1"/>
  <c r="AW496" i="1" s="1"/>
  <c r="AI497" i="1"/>
  <c r="AW497" i="1" s="1"/>
  <c r="AI498" i="1"/>
  <c r="AW498" i="1" s="1"/>
  <c r="AI499" i="1"/>
  <c r="AW499" i="1" s="1"/>
  <c r="AI500" i="1"/>
  <c r="AW500" i="1" s="1"/>
  <c r="AI501" i="1"/>
  <c r="AW501" i="1" s="1"/>
  <c r="AI502" i="1"/>
  <c r="AW502" i="1" s="1"/>
  <c r="AI503" i="1"/>
  <c r="AW503" i="1" s="1"/>
  <c r="AI504" i="1"/>
  <c r="AW504" i="1" s="1"/>
  <c r="AI505" i="1"/>
  <c r="AW505" i="1" s="1"/>
  <c r="AI506" i="1"/>
  <c r="AW506" i="1" s="1"/>
  <c r="AI507" i="1"/>
  <c r="AW507" i="1" s="1"/>
  <c r="AI508" i="1"/>
  <c r="AW508" i="1" s="1"/>
  <c r="AI509" i="1"/>
  <c r="AW509" i="1" s="1"/>
  <c r="AI510" i="1"/>
  <c r="AW510" i="1" s="1"/>
  <c r="AI511" i="1"/>
  <c r="AW511" i="1" s="1"/>
  <c r="AI512" i="1"/>
  <c r="AW512" i="1" s="1"/>
  <c r="AI513" i="1"/>
  <c r="AW513" i="1" s="1"/>
  <c r="AI514" i="1"/>
  <c r="AW514" i="1" s="1"/>
  <c r="AI515" i="1"/>
  <c r="AW515" i="1" s="1"/>
  <c r="AI516" i="1"/>
  <c r="AW516" i="1" s="1"/>
  <c r="AI517" i="1"/>
  <c r="AW517" i="1" s="1"/>
  <c r="AI518" i="1"/>
  <c r="AW518" i="1" s="1"/>
  <c r="AI519" i="1"/>
  <c r="AW519" i="1" s="1"/>
  <c r="AI520" i="1"/>
  <c r="AW520" i="1" s="1"/>
  <c r="AI521" i="1"/>
  <c r="AW521" i="1" s="1"/>
  <c r="AI522" i="1"/>
  <c r="AW522" i="1" s="1"/>
  <c r="AI523" i="1"/>
  <c r="AW523" i="1" s="1"/>
  <c r="AI524" i="1"/>
  <c r="AW524" i="1" s="1"/>
  <c r="AI525" i="1"/>
  <c r="AW525" i="1" s="1"/>
  <c r="AI526" i="1"/>
  <c r="AW526" i="1" s="1"/>
  <c r="AI527" i="1"/>
  <c r="AW527" i="1" s="1"/>
  <c r="AI528" i="1"/>
  <c r="AW528" i="1" s="1"/>
  <c r="AI529" i="1"/>
  <c r="AW529" i="1" s="1"/>
  <c r="AI530" i="1"/>
  <c r="AW530" i="1" s="1"/>
  <c r="AI531" i="1"/>
  <c r="AW531" i="1" s="1"/>
  <c r="AI532" i="1"/>
  <c r="AW532" i="1" s="1"/>
  <c r="AI533" i="1"/>
  <c r="AW533" i="1" s="1"/>
  <c r="AI534" i="1"/>
  <c r="AW534" i="1" s="1"/>
  <c r="AI535" i="1"/>
  <c r="AW535" i="1" s="1"/>
  <c r="AI536" i="1"/>
  <c r="AW536" i="1" s="1"/>
  <c r="AI537" i="1"/>
  <c r="AW537" i="1" s="1"/>
  <c r="AI538" i="1"/>
  <c r="AW538" i="1" s="1"/>
  <c r="AI539" i="1"/>
  <c r="AW539" i="1" s="1"/>
  <c r="AI540" i="1"/>
  <c r="AW540" i="1" s="1"/>
  <c r="AI541" i="1"/>
  <c r="AW541" i="1" s="1"/>
  <c r="AI542" i="1"/>
  <c r="AW542" i="1" s="1"/>
  <c r="AI543" i="1"/>
  <c r="AW543" i="1" s="1"/>
  <c r="AI544" i="1"/>
  <c r="AW544" i="1" s="1"/>
  <c r="AI545" i="1"/>
  <c r="AW545" i="1" s="1"/>
  <c r="AI546" i="1"/>
  <c r="AW546" i="1" s="1"/>
  <c r="AI547" i="1"/>
  <c r="AW547" i="1" s="1"/>
  <c r="AI548" i="1"/>
  <c r="AW548" i="1" s="1"/>
  <c r="AI549" i="1"/>
  <c r="AW549" i="1" s="1"/>
  <c r="AI550" i="1"/>
  <c r="AW550" i="1" s="1"/>
  <c r="AI551" i="1"/>
  <c r="AW551" i="1" s="1"/>
  <c r="AI552" i="1"/>
  <c r="AW552" i="1" s="1"/>
  <c r="AI553" i="1"/>
  <c r="AW553" i="1" s="1"/>
  <c r="AI554" i="1"/>
  <c r="AW554" i="1" s="1"/>
  <c r="AI555" i="1"/>
  <c r="AW555" i="1" s="1"/>
  <c r="AI556" i="1"/>
  <c r="AW556" i="1" s="1"/>
  <c r="AI557" i="1"/>
  <c r="AW557" i="1" s="1"/>
  <c r="AI558" i="1"/>
  <c r="AW558" i="1" s="1"/>
  <c r="AI559" i="1"/>
  <c r="AW559" i="1" s="1"/>
  <c r="AI560" i="1"/>
  <c r="AW560" i="1" s="1"/>
  <c r="AI561" i="1"/>
  <c r="AW561" i="1" s="1"/>
  <c r="AI562" i="1"/>
  <c r="AW562" i="1" s="1"/>
  <c r="AI563" i="1"/>
  <c r="AW563" i="1" s="1"/>
  <c r="AI564" i="1"/>
  <c r="AW564" i="1" s="1"/>
  <c r="AI565" i="1"/>
  <c r="AW565" i="1" s="1"/>
  <c r="AI566" i="1"/>
  <c r="AW566" i="1" s="1"/>
  <c r="AI567" i="1"/>
  <c r="AW567" i="1" s="1"/>
  <c r="AI568" i="1"/>
  <c r="AW568" i="1" s="1"/>
  <c r="AI569" i="1"/>
  <c r="AW569" i="1" s="1"/>
  <c r="AI570" i="1"/>
  <c r="AW570" i="1" s="1"/>
  <c r="AI571" i="1"/>
  <c r="AW571" i="1" s="1"/>
  <c r="AI572" i="1"/>
  <c r="AW572" i="1" s="1"/>
  <c r="AI573" i="1"/>
  <c r="AW573" i="1" s="1"/>
  <c r="AI574" i="1"/>
  <c r="AW574" i="1" s="1"/>
  <c r="AI575" i="1"/>
  <c r="AW575" i="1" s="1"/>
  <c r="AI576" i="1"/>
  <c r="AW576" i="1" s="1"/>
  <c r="AI577" i="1"/>
  <c r="AW577" i="1" s="1"/>
  <c r="AI578" i="1"/>
  <c r="AW578" i="1" s="1"/>
  <c r="AI579" i="1"/>
  <c r="AW579" i="1" s="1"/>
  <c r="AI580" i="1"/>
  <c r="AW580" i="1" s="1"/>
  <c r="AI581" i="1"/>
  <c r="AW581" i="1" s="1"/>
  <c r="AI582" i="1"/>
  <c r="AW582" i="1" s="1"/>
  <c r="AI583" i="1"/>
  <c r="AW583" i="1" s="1"/>
  <c r="AI584" i="1"/>
  <c r="AW584" i="1" s="1"/>
  <c r="AI585" i="1"/>
  <c r="AW585" i="1" s="1"/>
  <c r="AI586" i="1"/>
  <c r="AW586" i="1" s="1"/>
  <c r="AI587" i="1"/>
  <c r="AW587" i="1" s="1"/>
  <c r="AI588" i="1"/>
  <c r="AW588" i="1" s="1"/>
  <c r="AI589" i="1"/>
  <c r="AW589" i="1" s="1"/>
  <c r="AI590" i="1"/>
  <c r="AW590" i="1" s="1"/>
  <c r="AI591" i="1"/>
  <c r="AW591" i="1" s="1"/>
  <c r="AI592" i="1"/>
  <c r="AW592" i="1" s="1"/>
  <c r="AI593" i="1"/>
  <c r="AW593" i="1" s="1"/>
  <c r="AI594" i="1"/>
  <c r="AW594" i="1" s="1"/>
  <c r="AI595" i="1"/>
  <c r="AW595" i="1" s="1"/>
  <c r="AI596" i="1"/>
  <c r="AW596" i="1" s="1"/>
  <c r="AI597" i="1"/>
  <c r="AW597" i="1" s="1"/>
  <c r="AI598" i="1"/>
  <c r="AW598" i="1" s="1"/>
  <c r="AI599" i="1"/>
  <c r="AW599" i="1" s="1"/>
  <c r="AI600" i="1"/>
  <c r="AW600" i="1" s="1"/>
  <c r="AI601" i="1"/>
  <c r="AW601" i="1" s="1"/>
  <c r="AI602" i="1"/>
  <c r="AW602" i="1" s="1"/>
  <c r="AI603" i="1"/>
  <c r="AW603" i="1" s="1"/>
  <c r="AI604" i="1"/>
  <c r="AW604" i="1" s="1"/>
  <c r="AI605" i="1"/>
  <c r="AW605" i="1" s="1"/>
  <c r="AI606" i="1"/>
  <c r="AW606" i="1" s="1"/>
  <c r="AI607" i="1"/>
  <c r="AW607" i="1" s="1"/>
  <c r="AI608" i="1"/>
  <c r="AW608" i="1" s="1"/>
  <c r="AI609" i="1"/>
  <c r="AW609" i="1" s="1"/>
  <c r="AI610" i="1"/>
  <c r="AW610" i="1" s="1"/>
  <c r="AI611" i="1"/>
  <c r="AW611" i="1" s="1"/>
  <c r="AI612" i="1"/>
  <c r="AW612" i="1" s="1"/>
  <c r="AI613" i="1"/>
  <c r="AW613" i="1" s="1"/>
  <c r="AI614" i="1"/>
  <c r="AW614" i="1" s="1"/>
  <c r="AI615" i="1"/>
  <c r="AW615" i="1" s="1"/>
  <c r="AI616" i="1"/>
  <c r="AW616" i="1" s="1"/>
  <c r="AI617" i="1"/>
  <c r="AW617" i="1" s="1"/>
  <c r="AI618" i="1"/>
  <c r="AW618" i="1" s="1"/>
  <c r="AI619" i="1"/>
  <c r="AW619" i="1" s="1"/>
  <c r="AI620" i="1"/>
  <c r="AW620" i="1" s="1"/>
  <c r="AI621" i="1"/>
  <c r="AW621" i="1" s="1"/>
  <c r="AI622" i="1"/>
  <c r="AW622" i="1" s="1"/>
  <c r="AI623" i="1"/>
  <c r="AW623" i="1" s="1"/>
  <c r="AI624" i="1"/>
  <c r="AW624" i="1" s="1"/>
  <c r="AI625" i="1"/>
  <c r="AW625" i="1" s="1"/>
  <c r="AI626" i="1"/>
  <c r="AW626" i="1" s="1"/>
  <c r="AI627" i="1"/>
  <c r="AW627" i="1" s="1"/>
  <c r="AI628" i="1"/>
  <c r="AW628" i="1" s="1"/>
  <c r="AI629" i="1"/>
  <c r="AW629" i="1" s="1"/>
  <c r="AI630" i="1"/>
  <c r="AW630" i="1" s="1"/>
  <c r="AI631" i="1"/>
  <c r="AW631" i="1" s="1"/>
  <c r="AI632" i="1"/>
  <c r="AW632" i="1" s="1"/>
  <c r="AI633" i="1"/>
  <c r="AW633" i="1" s="1"/>
  <c r="AI634" i="1"/>
  <c r="AW634" i="1" s="1"/>
  <c r="AI635" i="1"/>
  <c r="AW635" i="1" s="1"/>
  <c r="AI636" i="1"/>
  <c r="AW636" i="1" s="1"/>
  <c r="AI637" i="1"/>
  <c r="AW637" i="1" s="1"/>
  <c r="AI638" i="1"/>
  <c r="AW638" i="1" s="1"/>
  <c r="AI639" i="1"/>
  <c r="AW639" i="1" s="1"/>
  <c r="AI640" i="1"/>
  <c r="AW640" i="1" s="1"/>
  <c r="AI641" i="1"/>
  <c r="AW641" i="1" s="1"/>
  <c r="AI642" i="1"/>
  <c r="AW642" i="1" s="1"/>
  <c r="AI643" i="1"/>
  <c r="AW643" i="1" s="1"/>
  <c r="AI644" i="1"/>
  <c r="AW644" i="1" s="1"/>
  <c r="AI645" i="1"/>
  <c r="AW645" i="1" s="1"/>
  <c r="AI646" i="1"/>
  <c r="AW646" i="1" s="1"/>
  <c r="AI647" i="1"/>
  <c r="AW647" i="1" s="1"/>
  <c r="AI648" i="1"/>
  <c r="AW648" i="1" s="1"/>
  <c r="AI649" i="1"/>
  <c r="AW649" i="1" s="1"/>
  <c r="AI650" i="1"/>
  <c r="AW650" i="1" s="1"/>
  <c r="AI651" i="1"/>
  <c r="AW651" i="1" s="1"/>
  <c r="AI652" i="1"/>
  <c r="AW652" i="1" s="1"/>
  <c r="AI653" i="1"/>
  <c r="AW653" i="1" s="1"/>
  <c r="AI654" i="1"/>
  <c r="AW654" i="1" s="1"/>
  <c r="AI655" i="1"/>
  <c r="AW655" i="1" s="1"/>
  <c r="AI656" i="1"/>
  <c r="AW656" i="1" s="1"/>
  <c r="AI657" i="1"/>
  <c r="AW657" i="1" s="1"/>
  <c r="AI658" i="1"/>
  <c r="AW658" i="1" s="1"/>
  <c r="AI659" i="1"/>
  <c r="AW659" i="1" s="1"/>
  <c r="AI660" i="1"/>
  <c r="AW660" i="1" s="1"/>
  <c r="AI661" i="1"/>
  <c r="AW661" i="1" s="1"/>
  <c r="AI662" i="1"/>
  <c r="AW662" i="1" s="1"/>
  <c r="AI663" i="1"/>
  <c r="AW663" i="1" s="1"/>
  <c r="AI664" i="1"/>
  <c r="AW664" i="1" s="1"/>
  <c r="AI665" i="1"/>
  <c r="AW665" i="1" s="1"/>
  <c r="AI666" i="1"/>
  <c r="AW666" i="1" s="1"/>
  <c r="AI667" i="1"/>
  <c r="AW667" i="1" s="1"/>
  <c r="AI668" i="1"/>
  <c r="AW668" i="1" s="1"/>
  <c r="AI669" i="1"/>
  <c r="AW669" i="1" s="1"/>
  <c r="AI670" i="1"/>
  <c r="AW670" i="1" s="1"/>
  <c r="AI671" i="1"/>
  <c r="AW671" i="1" s="1"/>
  <c r="AI672" i="1"/>
  <c r="AW672" i="1" s="1"/>
  <c r="AI673" i="1"/>
  <c r="AW673" i="1" s="1"/>
  <c r="AI674" i="1"/>
  <c r="AW674" i="1" s="1"/>
  <c r="AI675" i="1"/>
  <c r="AW675" i="1" s="1"/>
  <c r="AI676" i="1"/>
  <c r="AW676" i="1" s="1"/>
  <c r="AI677" i="1"/>
  <c r="AW677" i="1" s="1"/>
  <c r="AI678" i="1"/>
  <c r="AW678" i="1" s="1"/>
  <c r="AI679" i="1"/>
  <c r="AW679" i="1" s="1"/>
  <c r="AI680" i="1"/>
  <c r="AW680" i="1" s="1"/>
  <c r="AI681" i="1"/>
  <c r="AW681" i="1" s="1"/>
  <c r="AI682" i="1"/>
  <c r="AW682" i="1" s="1"/>
  <c r="AI683" i="1"/>
  <c r="AW683" i="1" s="1"/>
  <c r="AI684" i="1"/>
  <c r="AW684" i="1" s="1"/>
  <c r="AI685" i="1"/>
  <c r="AW685" i="1" s="1"/>
  <c r="AI686" i="1"/>
  <c r="AW686" i="1" s="1"/>
  <c r="AI687" i="1"/>
  <c r="AW687" i="1" s="1"/>
  <c r="AI688" i="1"/>
  <c r="AW688" i="1" s="1"/>
  <c r="AI689" i="1"/>
  <c r="AW689" i="1" s="1"/>
  <c r="AI690" i="1"/>
  <c r="AW690" i="1" s="1"/>
  <c r="AI691" i="1"/>
  <c r="AW691" i="1" s="1"/>
  <c r="AI692" i="1"/>
  <c r="AW692" i="1" s="1"/>
  <c r="AI693" i="1"/>
  <c r="AW693" i="1" s="1"/>
  <c r="AI694" i="1"/>
  <c r="AW694" i="1" s="1"/>
  <c r="AI695" i="1"/>
  <c r="AW695" i="1" s="1"/>
  <c r="AI696" i="1"/>
  <c r="AW696" i="1" s="1"/>
  <c r="AI697" i="1"/>
  <c r="AW697" i="1" s="1"/>
  <c r="AI698" i="1"/>
  <c r="AW698" i="1" s="1"/>
  <c r="AI699" i="1"/>
  <c r="AW699" i="1" s="1"/>
  <c r="AI700" i="1"/>
  <c r="AW700" i="1" s="1"/>
  <c r="AI701" i="1"/>
  <c r="AW701" i="1" s="1"/>
  <c r="AI702" i="1"/>
  <c r="AW702" i="1" s="1"/>
  <c r="AI703" i="1"/>
  <c r="AW703" i="1" s="1"/>
  <c r="AI704" i="1"/>
  <c r="AW704" i="1" s="1"/>
  <c r="AI705" i="1"/>
  <c r="AW705" i="1" s="1"/>
  <c r="AI706" i="1"/>
  <c r="AW706" i="1" s="1"/>
  <c r="AI707" i="1"/>
  <c r="AW707" i="1" s="1"/>
  <c r="AI708" i="1"/>
  <c r="AW708" i="1" s="1"/>
  <c r="AI709" i="1"/>
  <c r="AW709" i="1" s="1"/>
  <c r="AI710" i="1"/>
  <c r="AW710" i="1" s="1"/>
  <c r="AI711" i="1"/>
  <c r="AW711" i="1" s="1"/>
  <c r="AI712" i="1"/>
  <c r="AW712" i="1" s="1"/>
  <c r="AI713" i="1"/>
  <c r="AW713" i="1" s="1"/>
  <c r="AI714" i="1"/>
  <c r="AW714" i="1" s="1"/>
  <c r="AI715" i="1"/>
  <c r="AW715" i="1" s="1"/>
  <c r="AI716" i="1"/>
  <c r="AW716" i="1" s="1"/>
  <c r="AI717" i="1"/>
  <c r="AW717" i="1" s="1"/>
  <c r="AI718" i="1"/>
  <c r="AW718" i="1" s="1"/>
  <c r="AI719" i="1"/>
  <c r="AW719" i="1" s="1"/>
  <c r="AI720" i="1"/>
  <c r="AW720" i="1" s="1"/>
  <c r="AI721" i="1"/>
  <c r="AW721" i="1" s="1"/>
  <c r="AI722" i="1"/>
  <c r="AW722" i="1" s="1"/>
  <c r="AI723" i="1"/>
  <c r="AW723" i="1" s="1"/>
  <c r="AI724" i="1"/>
  <c r="AW724" i="1" s="1"/>
  <c r="AI725" i="1"/>
  <c r="AW725" i="1" s="1"/>
  <c r="AI726" i="1"/>
  <c r="AW726" i="1" s="1"/>
  <c r="AI727" i="1"/>
  <c r="AW727" i="1" s="1"/>
  <c r="AI728" i="1"/>
  <c r="AW728" i="1" s="1"/>
  <c r="AI729" i="1"/>
  <c r="AW729" i="1" s="1"/>
  <c r="AI730" i="1"/>
  <c r="AW730" i="1" s="1"/>
  <c r="AI731" i="1"/>
  <c r="AW731" i="1" s="1"/>
  <c r="AI732" i="1"/>
  <c r="AW732" i="1" s="1"/>
  <c r="AI733" i="1"/>
  <c r="AW733" i="1" s="1"/>
  <c r="AI734" i="1"/>
  <c r="AW734" i="1" s="1"/>
  <c r="AI735" i="1"/>
  <c r="AW735" i="1" s="1"/>
  <c r="AI736" i="1"/>
  <c r="AW736" i="1" s="1"/>
  <c r="AI737" i="1"/>
  <c r="AW737" i="1" s="1"/>
  <c r="AI738" i="1"/>
  <c r="AW738" i="1" s="1"/>
  <c r="AI739" i="1"/>
  <c r="AW739" i="1" s="1"/>
  <c r="AI740" i="1"/>
  <c r="AW740" i="1" s="1"/>
  <c r="AI741" i="1"/>
  <c r="AW741" i="1" s="1"/>
  <c r="AI742" i="1"/>
  <c r="AW742" i="1" s="1"/>
  <c r="AI743" i="1"/>
  <c r="AW743" i="1" s="1"/>
  <c r="AI744" i="1"/>
  <c r="AW744" i="1" s="1"/>
  <c r="AI745" i="1"/>
  <c r="AW745" i="1" s="1"/>
  <c r="AI746" i="1"/>
  <c r="AW746" i="1" s="1"/>
  <c r="AI747" i="1"/>
  <c r="AW747" i="1" s="1"/>
  <c r="AI748" i="1"/>
  <c r="AW748" i="1" s="1"/>
  <c r="AI749" i="1"/>
  <c r="AW749" i="1" s="1"/>
  <c r="AI750" i="1"/>
  <c r="AW750" i="1" s="1"/>
  <c r="AI751" i="1"/>
  <c r="AW751" i="1" s="1"/>
  <c r="AI752" i="1"/>
  <c r="AW752" i="1" s="1"/>
  <c r="AI753" i="1"/>
  <c r="AW753" i="1" s="1"/>
  <c r="AI754" i="1"/>
  <c r="AW754" i="1" s="1"/>
  <c r="AI755" i="1"/>
  <c r="AW755" i="1" s="1"/>
  <c r="AI756" i="1"/>
  <c r="AW756" i="1" s="1"/>
  <c r="AI757" i="1"/>
  <c r="AW757" i="1" s="1"/>
  <c r="AI758" i="1"/>
  <c r="AW758" i="1" s="1"/>
  <c r="AI759" i="1"/>
  <c r="AW759" i="1" s="1"/>
  <c r="AI760" i="1"/>
  <c r="AW760" i="1" s="1"/>
  <c r="AI761" i="1"/>
  <c r="AW761" i="1" s="1"/>
  <c r="AI762" i="1"/>
  <c r="AW762" i="1" s="1"/>
  <c r="AI763" i="1"/>
  <c r="AW763" i="1" s="1"/>
  <c r="AI764" i="1"/>
  <c r="AW764" i="1" s="1"/>
  <c r="AI765" i="1"/>
  <c r="AW765" i="1" s="1"/>
  <c r="AI766" i="1"/>
  <c r="AW766" i="1" s="1"/>
  <c r="AI767" i="1"/>
  <c r="AW767" i="1" s="1"/>
  <c r="AI768" i="1"/>
  <c r="AW768" i="1" s="1"/>
  <c r="AI769" i="1"/>
  <c r="AW769" i="1" s="1"/>
  <c r="AI770" i="1"/>
  <c r="AW770" i="1" s="1"/>
  <c r="AI771" i="1"/>
  <c r="AW771" i="1" s="1"/>
  <c r="AI772" i="1"/>
  <c r="AW772" i="1" s="1"/>
  <c r="AI773" i="1"/>
  <c r="AW773" i="1" s="1"/>
  <c r="AI774" i="1"/>
  <c r="AW774" i="1" s="1"/>
  <c r="AI775" i="1"/>
  <c r="AW775" i="1" s="1"/>
  <c r="AI776" i="1"/>
  <c r="AW776" i="1" s="1"/>
  <c r="AI777" i="1"/>
  <c r="AW777" i="1" s="1"/>
  <c r="AI778" i="1"/>
  <c r="AW778" i="1" s="1"/>
  <c r="AI779" i="1"/>
  <c r="AW779" i="1" s="1"/>
  <c r="AI780" i="1"/>
  <c r="AW780" i="1" s="1"/>
  <c r="AI781" i="1"/>
  <c r="AW781" i="1" s="1"/>
  <c r="AI782" i="1"/>
  <c r="AW782" i="1" s="1"/>
  <c r="AI783" i="1"/>
  <c r="AW783" i="1" s="1"/>
  <c r="AI784" i="1"/>
  <c r="AW784" i="1" s="1"/>
  <c r="AI785" i="1"/>
  <c r="AW785" i="1" s="1"/>
  <c r="AI786" i="1"/>
  <c r="AW786" i="1" s="1"/>
  <c r="AI787" i="1"/>
  <c r="AW787" i="1" s="1"/>
  <c r="AI788" i="1"/>
  <c r="AW788" i="1" s="1"/>
  <c r="AI789" i="1"/>
  <c r="AW789" i="1" s="1"/>
  <c r="AI790" i="1"/>
  <c r="AW790" i="1" s="1"/>
  <c r="AI791" i="1"/>
  <c r="AW791" i="1" s="1"/>
  <c r="AI792" i="1"/>
  <c r="AW792" i="1" s="1"/>
  <c r="AI793" i="1"/>
  <c r="AW793" i="1" s="1"/>
  <c r="AI794" i="1"/>
  <c r="AW794" i="1" s="1"/>
  <c r="AI795" i="1"/>
  <c r="AW795" i="1" s="1"/>
  <c r="AI796" i="1"/>
  <c r="AW796" i="1" s="1"/>
  <c r="AI797" i="1"/>
  <c r="AW797" i="1" s="1"/>
  <c r="AI798" i="1"/>
  <c r="AW798" i="1" s="1"/>
  <c r="AI799" i="1"/>
  <c r="AW799" i="1" s="1"/>
  <c r="AI800" i="1"/>
  <c r="AW800" i="1" s="1"/>
  <c r="AI801" i="1"/>
  <c r="AW801" i="1" s="1"/>
  <c r="AI802" i="1"/>
  <c r="AW802" i="1" s="1"/>
  <c r="AI803" i="1"/>
  <c r="AW803" i="1" s="1"/>
  <c r="AI804" i="1"/>
  <c r="AW804" i="1" s="1"/>
  <c r="AI805" i="1"/>
  <c r="AW805" i="1" s="1"/>
  <c r="AI806" i="1"/>
  <c r="AW806" i="1" s="1"/>
  <c r="AI807" i="1"/>
  <c r="AW807" i="1" s="1"/>
  <c r="AI808" i="1"/>
  <c r="AW808" i="1" s="1"/>
  <c r="AI809" i="1"/>
  <c r="AW809" i="1" s="1"/>
  <c r="AI810" i="1"/>
  <c r="AW810" i="1" s="1"/>
  <c r="AI811" i="1"/>
  <c r="AW811" i="1" s="1"/>
  <c r="AI812" i="1"/>
  <c r="AW812" i="1" s="1"/>
  <c r="AI813" i="1"/>
  <c r="AW813" i="1" s="1"/>
  <c r="AI814" i="1"/>
  <c r="AW814" i="1" s="1"/>
  <c r="AI815" i="1"/>
  <c r="AW815" i="1" s="1"/>
  <c r="AI816" i="1"/>
  <c r="AW816" i="1" s="1"/>
  <c r="AI817" i="1"/>
  <c r="AW817" i="1" s="1"/>
  <c r="AI818" i="1"/>
  <c r="AW818" i="1" s="1"/>
  <c r="AI819" i="1"/>
  <c r="AW819" i="1" s="1"/>
  <c r="AI820" i="1"/>
  <c r="AW820" i="1" s="1"/>
  <c r="AI821" i="1"/>
  <c r="AW821" i="1" s="1"/>
  <c r="AI822" i="1"/>
  <c r="AW822" i="1" s="1"/>
  <c r="AI823" i="1"/>
  <c r="AW823" i="1" s="1"/>
  <c r="AI824" i="1"/>
  <c r="AW824" i="1" s="1"/>
  <c r="AI825" i="1"/>
  <c r="AW825" i="1" s="1"/>
  <c r="AI826" i="1"/>
  <c r="AW826" i="1" s="1"/>
  <c r="AI827" i="1"/>
  <c r="AW827" i="1" s="1"/>
  <c r="AI828" i="1"/>
  <c r="AW828" i="1" s="1"/>
  <c r="AI829" i="1"/>
  <c r="AW829" i="1" s="1"/>
  <c r="AI830" i="1"/>
  <c r="AW830" i="1" s="1"/>
  <c r="AI831" i="1"/>
  <c r="AW831" i="1" s="1"/>
  <c r="AI832" i="1"/>
  <c r="AW832" i="1" s="1"/>
  <c r="AI833" i="1"/>
  <c r="AW833" i="1" s="1"/>
  <c r="AI834" i="1"/>
  <c r="AW834" i="1" s="1"/>
  <c r="AI835" i="1"/>
  <c r="AW835" i="1" s="1"/>
  <c r="AI836" i="1"/>
  <c r="AW836" i="1" s="1"/>
  <c r="AI837" i="1"/>
  <c r="AW837" i="1" s="1"/>
  <c r="AI838" i="1"/>
  <c r="AW838" i="1" s="1"/>
  <c r="AI839" i="1"/>
  <c r="AW839" i="1" s="1"/>
  <c r="AI840" i="1"/>
  <c r="AW840" i="1" s="1"/>
  <c r="AI841" i="1"/>
  <c r="AW841" i="1" s="1"/>
  <c r="AI842" i="1"/>
  <c r="AW842" i="1" s="1"/>
  <c r="AI843" i="1"/>
  <c r="AW843" i="1" s="1"/>
  <c r="AI844" i="1"/>
  <c r="AW844" i="1" s="1"/>
  <c r="AI845" i="1"/>
  <c r="AW845" i="1" s="1"/>
  <c r="AI846" i="1"/>
  <c r="AW846" i="1" s="1"/>
  <c r="AI847" i="1"/>
  <c r="AW847" i="1" s="1"/>
  <c r="AI848" i="1"/>
  <c r="AW848" i="1" s="1"/>
  <c r="AI849" i="1"/>
  <c r="AW849" i="1" s="1"/>
  <c r="AI850" i="1"/>
  <c r="AW850" i="1" s="1"/>
  <c r="AI851" i="1"/>
  <c r="AW851" i="1" s="1"/>
  <c r="AI852" i="1"/>
  <c r="AW852" i="1" s="1"/>
  <c r="AI853" i="1"/>
  <c r="AW853" i="1" s="1"/>
  <c r="AI854" i="1"/>
  <c r="AW854" i="1" s="1"/>
  <c r="AI855" i="1"/>
  <c r="AW855" i="1" s="1"/>
  <c r="AI856" i="1"/>
  <c r="AW856" i="1" s="1"/>
  <c r="AI857" i="1"/>
  <c r="AW857" i="1" s="1"/>
  <c r="AI858" i="1"/>
  <c r="AW858" i="1" s="1"/>
  <c r="AI859" i="1"/>
  <c r="AW859" i="1" s="1"/>
  <c r="AI860" i="1"/>
  <c r="AW860" i="1" s="1"/>
  <c r="AI861" i="1"/>
  <c r="AW861" i="1" s="1"/>
  <c r="AI862" i="1"/>
  <c r="AW862" i="1" s="1"/>
  <c r="AI863" i="1"/>
  <c r="AW863" i="1" s="1"/>
  <c r="AI864" i="1"/>
  <c r="AW864" i="1" s="1"/>
  <c r="AI865" i="1"/>
  <c r="AW865" i="1" s="1"/>
  <c r="AI866" i="1"/>
  <c r="AW866" i="1" s="1"/>
  <c r="AI867" i="1"/>
  <c r="AW867" i="1" s="1"/>
  <c r="AI868" i="1"/>
  <c r="AW868" i="1" s="1"/>
  <c r="AI869" i="1"/>
  <c r="AW869" i="1" s="1"/>
  <c r="AI870" i="1"/>
  <c r="AW870" i="1" s="1"/>
  <c r="AI871" i="1"/>
  <c r="AW871" i="1" s="1"/>
  <c r="AI872" i="1"/>
  <c r="AW872" i="1" s="1"/>
  <c r="AI873" i="1"/>
  <c r="AW873" i="1" s="1"/>
  <c r="AI874" i="1"/>
  <c r="AW874" i="1" s="1"/>
  <c r="AI875" i="1"/>
  <c r="AW875" i="1" s="1"/>
  <c r="AI876" i="1"/>
  <c r="AW876" i="1" s="1"/>
  <c r="AI877" i="1"/>
  <c r="AW877" i="1" s="1"/>
  <c r="AI878" i="1"/>
  <c r="AW878" i="1" s="1"/>
  <c r="AI879" i="1"/>
  <c r="AW879" i="1" s="1"/>
  <c r="AI880" i="1"/>
  <c r="AW880" i="1" s="1"/>
  <c r="AI881" i="1"/>
  <c r="AW881" i="1" s="1"/>
  <c r="AI882" i="1"/>
  <c r="AW882" i="1" s="1"/>
  <c r="AI883" i="1"/>
  <c r="AW883" i="1" s="1"/>
  <c r="AI884" i="1"/>
  <c r="AW884" i="1" s="1"/>
  <c r="AI885" i="1"/>
  <c r="AW885" i="1" s="1"/>
  <c r="AI886" i="1"/>
  <c r="AW886" i="1" s="1"/>
  <c r="AI887" i="1"/>
  <c r="AW887" i="1" s="1"/>
  <c r="AI888" i="1"/>
  <c r="AW888" i="1" s="1"/>
  <c r="AI889" i="1"/>
  <c r="AW889" i="1" s="1"/>
  <c r="AI890" i="1"/>
  <c r="AW890" i="1" s="1"/>
  <c r="AI891" i="1"/>
  <c r="AW891" i="1" s="1"/>
  <c r="AI892" i="1"/>
  <c r="AW892" i="1" s="1"/>
  <c r="AI893" i="1"/>
  <c r="AW893" i="1" s="1"/>
  <c r="AI894" i="1"/>
  <c r="AW894" i="1" s="1"/>
  <c r="AI895" i="1"/>
  <c r="AW895" i="1" s="1"/>
  <c r="AI896" i="1"/>
  <c r="AW896" i="1" s="1"/>
  <c r="AI897" i="1"/>
  <c r="AW897" i="1" s="1"/>
  <c r="AI898" i="1"/>
  <c r="AW898" i="1" s="1"/>
  <c r="AI899" i="1"/>
  <c r="AW899" i="1" s="1"/>
  <c r="AI900" i="1"/>
  <c r="AW900" i="1" s="1"/>
  <c r="AI901" i="1"/>
  <c r="AW901" i="1" s="1"/>
  <c r="AI902" i="1"/>
  <c r="AW902" i="1" s="1"/>
  <c r="AI903" i="1"/>
  <c r="AW903" i="1" s="1"/>
  <c r="AI904" i="1"/>
  <c r="AW904" i="1" s="1"/>
  <c r="AI905" i="1"/>
  <c r="AW905" i="1" s="1"/>
  <c r="AI906" i="1"/>
  <c r="AW906" i="1" s="1"/>
  <c r="AI907" i="1"/>
  <c r="AW907" i="1" s="1"/>
  <c r="AI908" i="1"/>
  <c r="AW908" i="1" s="1"/>
  <c r="AI909" i="1"/>
  <c r="AW909" i="1" s="1"/>
  <c r="AI910" i="1"/>
  <c r="AW910" i="1" s="1"/>
  <c r="AI911" i="1"/>
  <c r="AW911" i="1" s="1"/>
  <c r="AI912" i="1"/>
  <c r="AW912" i="1" s="1"/>
  <c r="AI913" i="1"/>
  <c r="AW913" i="1" s="1"/>
  <c r="AI914" i="1"/>
  <c r="AW914" i="1" s="1"/>
  <c r="AI915" i="1"/>
  <c r="AW915" i="1" s="1"/>
  <c r="AI916" i="1"/>
  <c r="AW916" i="1" s="1"/>
  <c r="AI917" i="1"/>
  <c r="AW917" i="1" s="1"/>
  <c r="AI918" i="1"/>
  <c r="AW918" i="1" s="1"/>
  <c r="AI919" i="1"/>
  <c r="AW919" i="1" s="1"/>
  <c r="AI920" i="1"/>
  <c r="AW920" i="1" s="1"/>
  <c r="AI921" i="1"/>
  <c r="AW921" i="1" s="1"/>
  <c r="AI922" i="1"/>
  <c r="AW922" i="1" s="1"/>
  <c r="AI923" i="1"/>
  <c r="AW923" i="1" s="1"/>
  <c r="AI924" i="1"/>
  <c r="AW924" i="1" s="1"/>
  <c r="AI925" i="1"/>
  <c r="AW925" i="1" s="1"/>
  <c r="AI926" i="1"/>
  <c r="AW926" i="1" s="1"/>
  <c r="AI927" i="1"/>
  <c r="AW927" i="1" s="1"/>
  <c r="AI928" i="1"/>
  <c r="AW928" i="1" s="1"/>
  <c r="AI929" i="1"/>
  <c r="AW929" i="1" s="1"/>
  <c r="AI930" i="1"/>
  <c r="AW930" i="1" s="1"/>
  <c r="AI931" i="1"/>
  <c r="AW931" i="1" s="1"/>
  <c r="AI932" i="1"/>
  <c r="AW932" i="1" s="1"/>
  <c r="AI933" i="1"/>
  <c r="AW933" i="1" s="1"/>
  <c r="AI934" i="1"/>
  <c r="AW934" i="1" s="1"/>
  <c r="AI935" i="1"/>
  <c r="AW935" i="1" s="1"/>
  <c r="AI936" i="1"/>
  <c r="AW936" i="1" s="1"/>
  <c r="AI937" i="1"/>
  <c r="AW937" i="1" s="1"/>
  <c r="AI938" i="1"/>
  <c r="AW938" i="1" s="1"/>
  <c r="AI939" i="1"/>
  <c r="AW939" i="1" s="1"/>
  <c r="AI940" i="1"/>
  <c r="AW940" i="1" s="1"/>
  <c r="AI941" i="1"/>
  <c r="AW941" i="1" s="1"/>
  <c r="AI942" i="1"/>
  <c r="AW942" i="1" s="1"/>
  <c r="AI943" i="1"/>
  <c r="AW943" i="1" s="1"/>
  <c r="AI944" i="1"/>
  <c r="AW944" i="1" s="1"/>
  <c r="AI945" i="1"/>
  <c r="AW945" i="1" s="1"/>
  <c r="AI946" i="1"/>
  <c r="AW946" i="1" s="1"/>
  <c r="AI947" i="1"/>
  <c r="AW947" i="1" s="1"/>
  <c r="AI948" i="1"/>
  <c r="AW948" i="1" s="1"/>
  <c r="AI949" i="1"/>
  <c r="AW949" i="1" s="1"/>
  <c r="AI950" i="1"/>
  <c r="AW950" i="1" s="1"/>
  <c r="AI951" i="1"/>
  <c r="AW951" i="1" s="1"/>
  <c r="AI952" i="1"/>
  <c r="AW952" i="1" s="1"/>
  <c r="AI953" i="1"/>
  <c r="AW953" i="1" s="1"/>
  <c r="AI954" i="1"/>
  <c r="AW954" i="1" s="1"/>
  <c r="AI955" i="1"/>
  <c r="AW955" i="1" s="1"/>
  <c r="AI956" i="1"/>
  <c r="AW956" i="1" s="1"/>
  <c r="AI957" i="1"/>
  <c r="AW957" i="1" s="1"/>
  <c r="AI958" i="1"/>
  <c r="AW958" i="1" s="1"/>
  <c r="AI959" i="1"/>
  <c r="AW959" i="1" s="1"/>
  <c r="AI960" i="1"/>
  <c r="AW960" i="1" s="1"/>
  <c r="AI961" i="1"/>
  <c r="AW961" i="1" s="1"/>
  <c r="AI962" i="1"/>
  <c r="AW962" i="1" s="1"/>
  <c r="AI963" i="1"/>
  <c r="AW963" i="1" s="1"/>
  <c r="AI964" i="1"/>
  <c r="AW964" i="1" s="1"/>
  <c r="AI965" i="1"/>
  <c r="AW965" i="1" s="1"/>
  <c r="AI966" i="1"/>
  <c r="AW966" i="1" s="1"/>
  <c r="AI967" i="1"/>
  <c r="AW967" i="1" s="1"/>
  <c r="AI968" i="1"/>
  <c r="AW968" i="1" s="1"/>
  <c r="AI969" i="1"/>
  <c r="AW969" i="1" s="1"/>
  <c r="AI970" i="1"/>
  <c r="AW970" i="1" s="1"/>
  <c r="AI971" i="1"/>
  <c r="AW971" i="1" s="1"/>
  <c r="AI972" i="1"/>
  <c r="AW972" i="1" s="1"/>
  <c r="AI973" i="1"/>
  <c r="AW973" i="1" s="1"/>
  <c r="AI974" i="1"/>
  <c r="AW974" i="1" s="1"/>
  <c r="AI975" i="1"/>
  <c r="AW975" i="1" s="1"/>
  <c r="AI976" i="1"/>
  <c r="AW976" i="1" s="1"/>
  <c r="AI977" i="1"/>
  <c r="AW977" i="1" s="1"/>
  <c r="AI978" i="1"/>
  <c r="AW978" i="1" s="1"/>
  <c r="AI979" i="1"/>
  <c r="AW979" i="1" s="1"/>
  <c r="AI980" i="1"/>
  <c r="AW980" i="1" s="1"/>
  <c r="AI981" i="1"/>
  <c r="AW981" i="1" s="1"/>
  <c r="AI982" i="1"/>
  <c r="AW982" i="1" s="1"/>
  <c r="AI983" i="1"/>
  <c r="AW983" i="1" s="1"/>
  <c r="AI984" i="1"/>
  <c r="AW984" i="1" s="1"/>
  <c r="AI985" i="1"/>
  <c r="AW985" i="1" s="1"/>
  <c r="AI986" i="1"/>
  <c r="AW986" i="1" s="1"/>
  <c r="AI987" i="1"/>
  <c r="AW987" i="1" s="1"/>
  <c r="AI988" i="1"/>
  <c r="AW988" i="1" s="1"/>
  <c r="AI989" i="1"/>
  <c r="AW989" i="1" s="1"/>
  <c r="AI990" i="1"/>
  <c r="AW990" i="1" s="1"/>
  <c r="AI991" i="1"/>
  <c r="AW991" i="1" s="1"/>
  <c r="AI992" i="1"/>
  <c r="AW992" i="1" s="1"/>
  <c r="AI993" i="1"/>
  <c r="AW993" i="1" s="1"/>
  <c r="AI994" i="1"/>
  <c r="AW994" i="1" s="1"/>
  <c r="AI995" i="1"/>
  <c r="AW995" i="1" s="1"/>
  <c r="AI996" i="1"/>
  <c r="AW996" i="1" s="1"/>
  <c r="AI997" i="1"/>
  <c r="AW997" i="1" s="1"/>
  <c r="AI998" i="1"/>
  <c r="AW998" i="1" s="1"/>
  <c r="AI999" i="1"/>
  <c r="AW999" i="1" s="1"/>
  <c r="AI1000" i="1"/>
  <c r="AW1000" i="1" s="1"/>
  <c r="AI1001" i="1"/>
  <c r="AW1001" i="1" s="1"/>
  <c r="AI1002" i="1"/>
  <c r="AW1002" i="1" s="1"/>
  <c r="AI1003" i="1"/>
  <c r="AW1003" i="1" s="1"/>
  <c r="AI1004" i="1"/>
  <c r="AW1004" i="1" s="1"/>
  <c r="AI1005" i="1"/>
  <c r="AW1005" i="1" s="1"/>
  <c r="AI1006" i="1"/>
  <c r="AW1006" i="1" s="1"/>
  <c r="AI1007" i="1"/>
  <c r="AW1007" i="1" s="1"/>
  <c r="AI1008" i="1"/>
  <c r="AW1008" i="1" s="1"/>
  <c r="AI1009" i="1"/>
  <c r="AW1009" i="1" s="1"/>
  <c r="AI1010" i="1"/>
  <c r="AW1010" i="1" s="1"/>
  <c r="AI1011" i="1"/>
  <c r="AW1011" i="1" s="1"/>
  <c r="AI1012" i="1"/>
  <c r="AW1012" i="1" s="1"/>
  <c r="AI1013" i="1"/>
  <c r="AW1013" i="1" s="1"/>
  <c r="AI1014" i="1"/>
  <c r="AW1014" i="1" s="1"/>
  <c r="AI1015" i="1"/>
  <c r="AW1015" i="1" s="1"/>
  <c r="AI1016" i="1"/>
  <c r="AW1016" i="1" s="1"/>
  <c r="AI1017" i="1"/>
  <c r="AW1017" i="1" s="1"/>
  <c r="AI1018" i="1"/>
  <c r="AW1018" i="1" s="1"/>
  <c r="AI1019" i="1"/>
  <c r="AW1019" i="1" s="1"/>
  <c r="AI1020" i="1"/>
  <c r="AW1020" i="1" s="1"/>
  <c r="AI1021" i="1"/>
  <c r="AW1021" i="1" s="1"/>
  <c r="AI1022" i="1"/>
  <c r="AW1022" i="1" s="1"/>
  <c r="AI1023" i="1"/>
  <c r="AW1023" i="1" s="1"/>
  <c r="AI1024" i="1"/>
  <c r="AW1024" i="1" s="1"/>
  <c r="AI1025" i="1"/>
  <c r="AW1025" i="1" s="1"/>
  <c r="AI1026" i="1"/>
  <c r="AW1026" i="1" s="1"/>
  <c r="AI1027" i="1"/>
  <c r="AW1027" i="1" s="1"/>
  <c r="AI1028" i="1"/>
  <c r="AW1028" i="1" s="1"/>
  <c r="AI1029" i="1"/>
  <c r="AW1029" i="1" s="1"/>
  <c r="AI1030" i="1"/>
  <c r="AW1030" i="1" s="1"/>
  <c r="AI1031" i="1"/>
  <c r="AW1031" i="1" s="1"/>
  <c r="AI1032" i="1"/>
  <c r="AW1032" i="1" s="1"/>
  <c r="AI1033" i="1"/>
  <c r="AW1033" i="1" s="1"/>
  <c r="AI1034" i="1"/>
  <c r="AW1034" i="1" s="1"/>
  <c r="AI1035" i="1"/>
  <c r="AW1035" i="1" s="1"/>
  <c r="AI1036" i="1"/>
  <c r="AW1036" i="1" s="1"/>
  <c r="AI1037" i="1"/>
  <c r="AW1037" i="1" s="1"/>
  <c r="AI1038" i="1"/>
  <c r="AW1038" i="1" s="1"/>
  <c r="AI1039" i="1"/>
  <c r="AW1039" i="1" s="1"/>
  <c r="AI1040" i="1"/>
  <c r="AW1040" i="1" s="1"/>
  <c r="AI1041" i="1"/>
  <c r="AW1041" i="1" s="1"/>
  <c r="AI1042" i="1"/>
  <c r="AW1042" i="1" s="1"/>
  <c r="AI1043" i="1"/>
  <c r="AW1043" i="1" s="1"/>
  <c r="AI1044" i="1"/>
  <c r="AW1044" i="1" s="1"/>
  <c r="AI1045" i="1"/>
  <c r="AW1045" i="1" s="1"/>
  <c r="AI1046" i="1"/>
  <c r="AW1046" i="1" s="1"/>
  <c r="AI1047" i="1"/>
  <c r="AW1047" i="1" s="1"/>
  <c r="AI1048" i="1"/>
  <c r="AW1048" i="1" s="1"/>
  <c r="AI1049" i="1"/>
  <c r="AW1049" i="1" s="1"/>
  <c r="AI1050" i="1"/>
  <c r="AW1050" i="1" s="1"/>
  <c r="AI1051" i="1"/>
  <c r="AW1051" i="1" s="1"/>
  <c r="AI1052" i="1"/>
  <c r="AW1052" i="1" s="1"/>
  <c r="AI1053" i="1"/>
  <c r="AW1053" i="1" s="1"/>
  <c r="AI1054" i="1"/>
  <c r="AW1054" i="1" s="1"/>
  <c r="AI1055" i="1"/>
  <c r="AW1055" i="1" s="1"/>
  <c r="AI1056" i="1"/>
  <c r="AW1056" i="1" s="1"/>
  <c r="AI1057" i="1"/>
  <c r="AW1057" i="1" s="1"/>
  <c r="AI1058" i="1"/>
  <c r="AW1058" i="1" s="1"/>
  <c r="AI1059" i="1"/>
  <c r="AW1059" i="1" s="1"/>
  <c r="AI1060" i="1"/>
  <c r="AW1060" i="1" s="1"/>
  <c r="AI1061" i="1"/>
  <c r="AW1061" i="1" s="1"/>
  <c r="AI1062" i="1"/>
  <c r="AW1062" i="1" s="1"/>
  <c r="AI1063" i="1"/>
  <c r="AW1063" i="1" s="1"/>
  <c r="AI1064" i="1"/>
  <c r="AW1064" i="1" s="1"/>
  <c r="AI1065" i="1"/>
  <c r="AW1065" i="1" s="1"/>
  <c r="AI1066" i="1"/>
  <c r="AW1066" i="1" s="1"/>
  <c r="AI1067" i="1"/>
  <c r="AW1067" i="1" s="1"/>
  <c r="AI1068" i="1"/>
  <c r="AW1068" i="1" s="1"/>
  <c r="AI1069" i="1"/>
  <c r="AW1069" i="1" s="1"/>
  <c r="AI1070" i="1"/>
  <c r="AW1070" i="1" s="1"/>
  <c r="AI1071" i="1"/>
  <c r="AW1071" i="1" s="1"/>
  <c r="AI1072" i="1"/>
  <c r="AW1072" i="1" s="1"/>
  <c r="AI1073" i="1"/>
  <c r="AW1073" i="1" s="1"/>
  <c r="AI1074" i="1"/>
  <c r="AW1074" i="1" s="1"/>
  <c r="AI1075" i="1"/>
  <c r="AW1075" i="1" s="1"/>
  <c r="AI1076" i="1"/>
  <c r="AW1076" i="1" s="1"/>
  <c r="AI1077" i="1"/>
  <c r="AW1077" i="1" s="1"/>
  <c r="AI1078" i="1"/>
  <c r="AW1078" i="1" s="1"/>
  <c r="AI1079" i="1"/>
  <c r="AW1079" i="1" s="1"/>
  <c r="AI1080" i="1"/>
  <c r="AW1080" i="1" s="1"/>
  <c r="AI1081" i="1"/>
  <c r="AW1081" i="1" s="1"/>
  <c r="AI1082" i="1"/>
  <c r="AW1082" i="1" s="1"/>
  <c r="AI1083" i="1"/>
  <c r="AW1083" i="1" s="1"/>
  <c r="AI1084" i="1"/>
  <c r="AW1084" i="1" s="1"/>
  <c r="AI1085" i="1"/>
  <c r="AW1085" i="1" s="1"/>
  <c r="AI1086" i="1"/>
  <c r="AW1086" i="1" s="1"/>
  <c r="AI1087" i="1"/>
  <c r="AW1087" i="1" s="1"/>
  <c r="AI1088" i="1"/>
  <c r="AW1088" i="1" s="1"/>
  <c r="AI1089" i="1"/>
  <c r="AW1089" i="1" s="1"/>
  <c r="AI1090" i="1"/>
  <c r="AW1090" i="1" s="1"/>
  <c r="AI1091" i="1"/>
  <c r="AW1091" i="1" s="1"/>
  <c r="AI1092" i="1"/>
  <c r="AW1092" i="1" s="1"/>
  <c r="AI1093" i="1"/>
  <c r="AW1093" i="1" s="1"/>
  <c r="AI1094" i="1"/>
  <c r="AW1094" i="1" s="1"/>
  <c r="AI1095" i="1"/>
  <c r="AW1095" i="1" s="1"/>
  <c r="AI1096" i="1"/>
  <c r="AW1096" i="1" s="1"/>
  <c r="AI1097" i="1"/>
  <c r="AW1097" i="1" s="1"/>
  <c r="AI1098" i="1"/>
  <c r="AW1098" i="1" s="1"/>
  <c r="AI1099" i="1"/>
  <c r="AW1099" i="1" s="1"/>
  <c r="AI1100" i="1"/>
  <c r="AW1100" i="1" s="1"/>
  <c r="AI1101" i="1"/>
  <c r="AW1101" i="1" s="1"/>
  <c r="AI1102" i="1"/>
  <c r="AW1102" i="1" s="1"/>
  <c r="AI1103" i="1"/>
  <c r="AW1103" i="1" s="1"/>
  <c r="AI1104" i="1"/>
  <c r="AW1104" i="1" s="1"/>
  <c r="AI1105" i="1"/>
  <c r="AW1105" i="1" s="1"/>
  <c r="AI1106" i="1"/>
  <c r="AW1106" i="1" s="1"/>
  <c r="AI1107" i="1"/>
  <c r="AW1107" i="1" s="1"/>
  <c r="AI1108" i="1"/>
  <c r="AW1108" i="1" s="1"/>
  <c r="AI1109" i="1"/>
  <c r="AW1109" i="1" s="1"/>
  <c r="AI1110" i="1"/>
  <c r="AW1110" i="1" s="1"/>
  <c r="AI1111" i="1"/>
  <c r="AW1111" i="1" s="1"/>
  <c r="AI1112" i="1"/>
  <c r="AW1112" i="1" s="1"/>
  <c r="AI1113" i="1"/>
  <c r="AW1113" i="1" s="1"/>
  <c r="AI1114" i="1"/>
  <c r="AW1114" i="1" s="1"/>
  <c r="AI1115" i="1"/>
  <c r="AW1115" i="1" s="1"/>
  <c r="AI1116" i="1"/>
  <c r="AW1116" i="1" s="1"/>
  <c r="AI1117" i="1"/>
  <c r="AW1117" i="1" s="1"/>
  <c r="AI1118" i="1"/>
  <c r="AW1118" i="1" s="1"/>
  <c r="AI1119" i="1"/>
  <c r="AW1119" i="1" s="1"/>
  <c r="AI1120" i="1"/>
  <c r="AW1120" i="1" s="1"/>
  <c r="AI1121" i="1"/>
  <c r="AW1121" i="1" s="1"/>
  <c r="AI1122" i="1"/>
  <c r="AW1122" i="1" s="1"/>
  <c r="AI1123" i="1"/>
  <c r="AW1123" i="1" s="1"/>
  <c r="AI1124" i="1"/>
  <c r="AW1124" i="1" s="1"/>
  <c r="AI1125" i="1"/>
  <c r="AW1125" i="1" s="1"/>
  <c r="AI1126" i="1"/>
  <c r="AW1126" i="1" s="1"/>
  <c r="AI1127" i="1"/>
  <c r="AW1127" i="1" s="1"/>
  <c r="AI1128" i="1"/>
  <c r="AW1128" i="1" s="1"/>
  <c r="AI1129" i="1"/>
  <c r="AW1129" i="1" s="1"/>
  <c r="AI1130" i="1"/>
  <c r="AW1130" i="1" s="1"/>
  <c r="AI1131" i="1"/>
  <c r="AW1131" i="1" s="1"/>
  <c r="AI1132" i="1"/>
  <c r="AW1132" i="1" s="1"/>
  <c r="AI1133" i="1"/>
  <c r="AW1133" i="1" s="1"/>
  <c r="AI1134" i="1"/>
  <c r="AW1134" i="1" s="1"/>
  <c r="AI1135" i="1"/>
  <c r="AW1135" i="1" s="1"/>
  <c r="AI1136" i="1"/>
  <c r="AW1136" i="1" s="1"/>
  <c r="AI1137" i="1"/>
  <c r="AW1137" i="1" s="1"/>
  <c r="AI1138" i="1"/>
  <c r="AW1138" i="1" s="1"/>
  <c r="AI1139" i="1"/>
  <c r="AW1139" i="1" s="1"/>
  <c r="AI1140" i="1"/>
  <c r="AW1140" i="1" s="1"/>
  <c r="AI1141" i="1"/>
  <c r="AW1141" i="1" s="1"/>
  <c r="AI1142" i="1"/>
  <c r="AW1142" i="1" s="1"/>
  <c r="AI1143" i="1"/>
  <c r="AW1143" i="1" s="1"/>
  <c r="AI1144" i="1"/>
  <c r="AW1144" i="1" s="1"/>
  <c r="AI1145" i="1"/>
  <c r="AW1145" i="1" s="1"/>
  <c r="AI1146" i="1"/>
  <c r="AW1146" i="1" s="1"/>
  <c r="AI1147" i="1"/>
  <c r="AW1147" i="1" s="1"/>
  <c r="AI1148" i="1"/>
  <c r="AW1148" i="1" s="1"/>
  <c r="AI1149" i="1"/>
  <c r="AW1149" i="1" s="1"/>
  <c r="AI1150" i="1"/>
  <c r="AW1150" i="1" s="1"/>
  <c r="AI1151" i="1"/>
  <c r="AW1151" i="1" s="1"/>
  <c r="AI1152" i="1"/>
  <c r="AW1152" i="1" s="1"/>
  <c r="AI1153" i="1"/>
  <c r="AW1153" i="1" s="1"/>
  <c r="AI1154" i="1"/>
  <c r="AW1154" i="1" s="1"/>
  <c r="AI1155" i="1"/>
  <c r="AW1155" i="1" s="1"/>
  <c r="AI1156" i="1"/>
  <c r="AW1156" i="1" s="1"/>
  <c r="AI1157" i="1"/>
  <c r="AW1157" i="1" s="1"/>
  <c r="AI1158" i="1"/>
  <c r="AW1158" i="1" s="1"/>
  <c r="AI1159" i="1"/>
  <c r="AW1159" i="1" s="1"/>
  <c r="AI1160" i="1"/>
  <c r="AW1160" i="1" s="1"/>
  <c r="AI1161" i="1"/>
  <c r="AW1161" i="1" s="1"/>
  <c r="AI1162" i="1"/>
  <c r="AW1162" i="1" s="1"/>
  <c r="AI1163" i="1"/>
  <c r="AW1163" i="1" s="1"/>
  <c r="AI1164" i="1"/>
  <c r="AW1164" i="1" s="1"/>
  <c r="AI1165" i="1"/>
  <c r="AW1165" i="1" s="1"/>
  <c r="AI1166" i="1"/>
  <c r="AW1166" i="1" s="1"/>
  <c r="AI1167" i="1"/>
  <c r="AW1167" i="1" s="1"/>
  <c r="AI1168" i="1"/>
  <c r="AW1168" i="1" s="1"/>
  <c r="AI1169" i="1"/>
  <c r="AW1169" i="1" s="1"/>
  <c r="AI1170" i="1"/>
  <c r="AW1170" i="1" s="1"/>
  <c r="AI1171" i="1"/>
  <c r="AW1171" i="1" s="1"/>
  <c r="AI1172" i="1"/>
  <c r="AW1172" i="1" s="1"/>
  <c r="AI1173" i="1"/>
  <c r="AW1173" i="1" s="1"/>
  <c r="AI1174" i="1"/>
  <c r="AW1174" i="1" s="1"/>
  <c r="AI1175" i="1"/>
  <c r="AW1175" i="1" s="1"/>
  <c r="AI1176" i="1"/>
  <c r="AW1176" i="1" s="1"/>
  <c r="AI1177" i="1"/>
  <c r="AW1177" i="1" s="1"/>
  <c r="AI1178" i="1"/>
  <c r="AW1178" i="1" s="1"/>
  <c r="AI1179" i="1"/>
  <c r="AW1179" i="1" s="1"/>
  <c r="AI1180" i="1"/>
  <c r="AW1180" i="1" s="1"/>
  <c r="AI1181" i="1"/>
  <c r="AW1181" i="1" s="1"/>
  <c r="AI1182" i="1"/>
  <c r="AW1182" i="1" s="1"/>
  <c r="AI1183" i="1"/>
  <c r="AW1183" i="1" s="1"/>
  <c r="AI1184" i="1"/>
  <c r="AW1184" i="1" s="1"/>
  <c r="AI1185" i="1"/>
  <c r="AW1185" i="1" s="1"/>
  <c r="AI1186" i="1"/>
  <c r="AW1186" i="1" s="1"/>
  <c r="AI1187" i="1"/>
  <c r="AW1187" i="1" s="1"/>
  <c r="AI1188" i="1"/>
  <c r="AW1188" i="1" s="1"/>
  <c r="AI1189" i="1"/>
  <c r="AW1189" i="1" s="1"/>
  <c r="AI1190" i="1"/>
  <c r="AW1190" i="1" s="1"/>
  <c r="AI1191" i="1"/>
  <c r="AW1191" i="1" s="1"/>
  <c r="AI1192" i="1"/>
  <c r="AW1192" i="1" s="1"/>
  <c r="AI1193" i="1"/>
  <c r="AW1193" i="1" s="1"/>
  <c r="AI1194" i="1"/>
  <c r="AW1194" i="1" s="1"/>
  <c r="AI1195" i="1"/>
  <c r="AW1195" i="1" s="1"/>
  <c r="AI1196" i="1"/>
  <c r="AW1196" i="1" s="1"/>
  <c r="AI1197" i="1"/>
  <c r="AW1197" i="1" s="1"/>
  <c r="AI1198" i="1"/>
  <c r="AW1198" i="1" s="1"/>
  <c r="AI1199" i="1"/>
  <c r="AW1199" i="1" s="1"/>
  <c r="AI1200" i="1"/>
  <c r="AW1200" i="1" s="1"/>
  <c r="AI1201" i="1"/>
  <c r="AW1201" i="1" s="1"/>
  <c r="AI1202" i="1"/>
  <c r="AW1202" i="1" s="1"/>
  <c r="AI1203" i="1"/>
  <c r="AW1203" i="1" s="1"/>
  <c r="AI1204" i="1"/>
  <c r="AW1204" i="1" s="1"/>
  <c r="AI1205" i="1"/>
  <c r="AW1205" i="1" s="1"/>
  <c r="AI1206" i="1"/>
  <c r="AW1206" i="1" s="1"/>
  <c r="AI1207" i="1"/>
  <c r="AW1207" i="1" s="1"/>
  <c r="AI1208" i="1"/>
  <c r="AW1208" i="1" s="1"/>
  <c r="AI1209" i="1"/>
  <c r="AW1209" i="1" s="1"/>
  <c r="AI1210" i="1"/>
  <c r="AW1210" i="1" s="1"/>
  <c r="AI1211" i="1"/>
  <c r="AW1211" i="1" s="1"/>
  <c r="AI1212" i="1"/>
  <c r="AW1212" i="1" s="1"/>
  <c r="AI1213" i="1"/>
  <c r="AW1213" i="1" s="1"/>
  <c r="AI1214" i="1"/>
  <c r="AW1214" i="1" s="1"/>
  <c r="AI1215" i="1"/>
  <c r="AW1215" i="1" s="1"/>
  <c r="AI1216" i="1"/>
  <c r="AW1216" i="1" s="1"/>
  <c r="AI1217" i="1"/>
  <c r="AW1217" i="1" s="1"/>
  <c r="AI1218" i="1"/>
  <c r="AW1218" i="1" s="1"/>
  <c r="AI1219" i="1"/>
  <c r="AW1219" i="1" s="1"/>
  <c r="AI1220" i="1"/>
  <c r="AW1220" i="1" s="1"/>
  <c r="AI1221" i="1"/>
  <c r="AW1221" i="1" s="1"/>
  <c r="AI1222" i="1"/>
  <c r="AW1222" i="1" s="1"/>
  <c r="AI1223" i="1"/>
  <c r="AW1223" i="1" s="1"/>
  <c r="AI1224" i="1"/>
  <c r="AW1224" i="1" s="1"/>
  <c r="AI1225" i="1"/>
  <c r="AW1225" i="1" s="1"/>
  <c r="AI1226" i="1"/>
  <c r="AW1226" i="1" s="1"/>
  <c r="AI1227" i="1"/>
  <c r="AW1227" i="1" s="1"/>
  <c r="AI1228" i="1"/>
  <c r="AW1228" i="1" s="1"/>
  <c r="AI1229" i="1"/>
  <c r="AW1229" i="1" s="1"/>
  <c r="AI1230" i="1"/>
  <c r="AW1230" i="1" s="1"/>
  <c r="AI1231" i="1"/>
  <c r="AW1231" i="1" s="1"/>
  <c r="AI1232" i="1"/>
  <c r="AW1232" i="1" s="1"/>
  <c r="AI1233" i="1"/>
  <c r="AW1233" i="1" s="1"/>
  <c r="AI1234" i="1"/>
  <c r="AW1234" i="1" s="1"/>
  <c r="AI1235" i="1"/>
  <c r="AW1235" i="1" s="1"/>
  <c r="AI1236" i="1"/>
  <c r="AW1236" i="1" s="1"/>
  <c r="AI1237" i="1"/>
  <c r="AW1237" i="1" s="1"/>
  <c r="AI1238" i="1"/>
  <c r="AW1238" i="1" s="1"/>
  <c r="AI1239" i="1"/>
  <c r="AW1239" i="1" s="1"/>
  <c r="AI1240" i="1"/>
  <c r="AW1240" i="1" s="1"/>
  <c r="AI1241" i="1"/>
  <c r="AW1241" i="1" s="1"/>
  <c r="AI1242" i="1"/>
  <c r="AW1242" i="1" s="1"/>
  <c r="AI1243" i="1"/>
  <c r="AW1243" i="1" s="1"/>
  <c r="AI1244" i="1"/>
  <c r="AW1244" i="1" s="1"/>
  <c r="AI1245" i="1"/>
  <c r="AW1245" i="1" s="1"/>
  <c r="AI1246" i="1"/>
  <c r="AW1246" i="1" s="1"/>
  <c r="AI1247" i="1"/>
  <c r="AW1247" i="1" s="1"/>
  <c r="AI1248" i="1"/>
  <c r="AW1248" i="1" s="1"/>
  <c r="AI1249" i="1"/>
  <c r="AW1249" i="1" s="1"/>
  <c r="AI1250" i="1"/>
  <c r="AW1250" i="1" s="1"/>
  <c r="AI1251" i="1"/>
  <c r="AW1251" i="1" s="1"/>
  <c r="AI1252" i="1"/>
  <c r="AW1252" i="1" s="1"/>
  <c r="AI1253" i="1"/>
  <c r="AW1253" i="1" s="1"/>
  <c r="AI1254" i="1"/>
  <c r="AW1254" i="1" s="1"/>
  <c r="AI1255" i="1"/>
  <c r="AW1255" i="1" s="1"/>
  <c r="AI1256" i="1"/>
  <c r="AW1256" i="1" s="1"/>
  <c r="AI1257" i="1"/>
  <c r="AW1257" i="1" s="1"/>
  <c r="AI1258" i="1"/>
  <c r="AW1258" i="1" s="1"/>
  <c r="AI1259" i="1"/>
  <c r="AW1259" i="1" s="1"/>
  <c r="AI1260" i="1"/>
  <c r="AW1260" i="1" s="1"/>
  <c r="AI1261" i="1"/>
  <c r="AW1261" i="1" s="1"/>
  <c r="AI1262" i="1"/>
  <c r="AW1262" i="1" s="1"/>
  <c r="AI1263" i="1"/>
  <c r="AW1263" i="1" s="1"/>
  <c r="AI1264" i="1"/>
  <c r="AW1264" i="1" s="1"/>
  <c r="AI1265" i="1"/>
  <c r="AW1265" i="1" s="1"/>
  <c r="AI1266" i="1"/>
  <c r="AW1266" i="1" s="1"/>
  <c r="AI1267" i="1"/>
  <c r="AW1267" i="1" s="1"/>
  <c r="AI1268" i="1"/>
  <c r="AW1268" i="1" s="1"/>
  <c r="AI1269" i="1"/>
  <c r="AW1269" i="1" s="1"/>
  <c r="AI1270" i="1"/>
  <c r="AW1270" i="1" s="1"/>
  <c r="AI1271" i="1"/>
  <c r="AW1271" i="1" s="1"/>
  <c r="AI1272" i="1"/>
  <c r="AW1272" i="1" s="1"/>
  <c r="AI1273" i="1"/>
  <c r="AW1273" i="1" s="1"/>
  <c r="AI1274" i="1"/>
  <c r="AW1274" i="1" s="1"/>
  <c r="AI1275" i="1"/>
  <c r="AW1275" i="1" s="1"/>
  <c r="AI1276" i="1"/>
  <c r="AW1276" i="1" s="1"/>
  <c r="AI1277" i="1"/>
  <c r="AW1277" i="1" s="1"/>
  <c r="AI1278" i="1"/>
  <c r="AW1278" i="1" s="1"/>
  <c r="AI1279" i="1"/>
  <c r="AW1279" i="1" s="1"/>
  <c r="AI1280" i="1"/>
  <c r="AW1280" i="1" s="1"/>
  <c r="AI1281" i="1"/>
  <c r="AW1281" i="1" s="1"/>
  <c r="AI1282" i="1"/>
  <c r="AW1282" i="1" s="1"/>
  <c r="AI1283" i="1"/>
  <c r="AW1283" i="1" s="1"/>
  <c r="AI1284" i="1"/>
  <c r="AW1284" i="1" s="1"/>
  <c r="AI1285" i="1"/>
  <c r="AW1285" i="1" s="1"/>
  <c r="AI1286" i="1"/>
  <c r="AW1286" i="1" s="1"/>
  <c r="AI1287" i="1"/>
  <c r="AW1287" i="1" s="1"/>
  <c r="AI1288" i="1"/>
  <c r="AW1288" i="1" s="1"/>
  <c r="AI1289" i="1"/>
  <c r="AW1289" i="1" s="1"/>
  <c r="AI1290" i="1"/>
  <c r="AW1290" i="1" s="1"/>
  <c r="AI1291" i="1"/>
  <c r="AW1291" i="1" s="1"/>
  <c r="AI1292" i="1"/>
  <c r="AW1292" i="1" s="1"/>
  <c r="AI1293" i="1"/>
  <c r="AW1293" i="1" s="1"/>
  <c r="AI1294" i="1"/>
  <c r="AW1294" i="1" s="1"/>
  <c r="AI1295" i="1"/>
  <c r="AW1295" i="1" s="1"/>
  <c r="AI1296" i="1"/>
  <c r="AW1296" i="1" s="1"/>
  <c r="AI1297" i="1"/>
  <c r="AW1297" i="1" s="1"/>
  <c r="AI1298" i="1"/>
  <c r="AW1298" i="1" s="1"/>
  <c r="AI1299" i="1"/>
  <c r="AW1299" i="1" s="1"/>
  <c r="AI1300" i="1"/>
  <c r="AW1300" i="1" s="1"/>
  <c r="AI1301" i="1"/>
  <c r="AW1301" i="1" s="1"/>
  <c r="AI1302" i="1"/>
  <c r="AW1302" i="1" s="1"/>
  <c r="AI1303" i="1"/>
  <c r="AW1303" i="1" s="1"/>
  <c r="AI1304" i="1"/>
  <c r="AW1304" i="1" s="1"/>
  <c r="AI1305" i="1"/>
  <c r="AW1305" i="1" s="1"/>
  <c r="AI1306" i="1"/>
  <c r="AW1306" i="1" s="1"/>
  <c r="AI1307" i="1"/>
  <c r="AW1307" i="1" s="1"/>
  <c r="AI1308" i="1"/>
  <c r="AW1308" i="1" s="1"/>
  <c r="AI1309" i="1"/>
  <c r="AW1309" i="1" s="1"/>
  <c r="AI1310" i="1"/>
  <c r="AW1310" i="1" s="1"/>
  <c r="AI1311" i="1"/>
  <c r="AW1311" i="1" s="1"/>
  <c r="AI1312" i="1"/>
  <c r="AW1312" i="1" s="1"/>
  <c r="AI1313" i="1"/>
  <c r="AW1313" i="1" s="1"/>
  <c r="AI1314" i="1"/>
  <c r="AW1314" i="1" s="1"/>
  <c r="AI1315" i="1"/>
  <c r="AW1315" i="1" s="1"/>
  <c r="AI1316" i="1"/>
  <c r="AW1316" i="1" s="1"/>
  <c r="AI1317" i="1"/>
  <c r="AW1317" i="1" s="1"/>
  <c r="AI1318" i="1"/>
  <c r="AW1318" i="1" s="1"/>
  <c r="AI1319" i="1"/>
  <c r="AW1319" i="1" s="1"/>
  <c r="AI1320" i="1"/>
  <c r="AW1320" i="1" s="1"/>
  <c r="AI1321" i="1"/>
  <c r="AW1321" i="1" s="1"/>
  <c r="AI1322" i="1"/>
  <c r="AW1322" i="1" s="1"/>
  <c r="AI1323" i="1"/>
  <c r="AW1323" i="1" s="1"/>
  <c r="AI1324" i="1"/>
  <c r="AW1324" i="1" s="1"/>
  <c r="AI1325" i="1"/>
  <c r="AW1325" i="1" s="1"/>
  <c r="AI1326" i="1"/>
  <c r="AW1326" i="1" s="1"/>
  <c r="AI1327" i="1"/>
  <c r="AW1327" i="1" s="1"/>
  <c r="AI1328" i="1"/>
  <c r="AW1328" i="1" s="1"/>
  <c r="AI1329" i="1"/>
  <c r="AW1329" i="1" s="1"/>
  <c r="AI1330" i="1"/>
  <c r="AW1330" i="1" s="1"/>
  <c r="AI1331" i="1"/>
  <c r="AW1331" i="1" s="1"/>
  <c r="AI1332" i="1"/>
  <c r="AW1332" i="1" s="1"/>
  <c r="AI1333" i="1"/>
  <c r="AW1333" i="1" s="1"/>
  <c r="AI1334" i="1"/>
  <c r="AW1334" i="1" s="1"/>
  <c r="AI1335" i="1"/>
  <c r="AW1335" i="1" s="1"/>
  <c r="AI1336" i="1"/>
  <c r="AW1336" i="1" s="1"/>
  <c r="AI1337" i="1"/>
  <c r="AW1337" i="1" s="1"/>
  <c r="AI1338" i="1"/>
  <c r="AW1338" i="1" s="1"/>
  <c r="AI1339" i="1"/>
  <c r="AW1339" i="1" s="1"/>
  <c r="AI1340" i="1"/>
  <c r="AW1340" i="1" s="1"/>
  <c r="AI1341" i="1"/>
  <c r="AW1341" i="1" s="1"/>
  <c r="AI1342" i="1"/>
  <c r="AW1342" i="1" s="1"/>
  <c r="AI1343" i="1"/>
  <c r="AW1343" i="1" s="1"/>
  <c r="AI1344" i="1"/>
  <c r="AW1344" i="1" s="1"/>
  <c r="AI1345" i="1"/>
  <c r="AW1345" i="1" s="1"/>
  <c r="AI1346" i="1"/>
  <c r="AW1346" i="1" s="1"/>
  <c r="AI1347" i="1"/>
  <c r="AW1347" i="1" s="1"/>
  <c r="AI1348" i="1"/>
  <c r="AW1348" i="1" s="1"/>
  <c r="AI1349" i="1"/>
  <c r="AW1349" i="1" s="1"/>
  <c r="AI1350" i="1"/>
  <c r="AW1350" i="1" s="1"/>
  <c r="AI1351" i="1"/>
  <c r="AW1351" i="1" s="1"/>
  <c r="AI1352" i="1"/>
  <c r="AW1352" i="1" s="1"/>
  <c r="AI1353" i="1"/>
  <c r="AW1353" i="1" s="1"/>
  <c r="AI1354" i="1"/>
  <c r="AW1354" i="1" s="1"/>
  <c r="AI1355" i="1"/>
  <c r="AW1355" i="1" s="1"/>
  <c r="AI1356" i="1"/>
  <c r="AW1356" i="1" s="1"/>
  <c r="AI1357" i="1"/>
  <c r="AW1357" i="1" s="1"/>
  <c r="AI1358" i="1"/>
  <c r="AW1358" i="1" s="1"/>
  <c r="AI1359" i="1"/>
  <c r="AW1359" i="1" s="1"/>
  <c r="AI1360" i="1"/>
  <c r="AW1360" i="1" s="1"/>
  <c r="AI1361" i="1"/>
  <c r="AW1361" i="1" s="1"/>
  <c r="AI1362" i="1"/>
  <c r="AW1362" i="1" s="1"/>
  <c r="AI1363" i="1"/>
  <c r="AW1363" i="1" s="1"/>
  <c r="AI1364" i="1"/>
  <c r="AW1364" i="1" s="1"/>
  <c r="AI1365" i="1"/>
  <c r="AW1365" i="1" s="1"/>
  <c r="AI1366" i="1"/>
  <c r="AW1366" i="1" s="1"/>
  <c r="AI1367" i="1"/>
  <c r="AW1367" i="1" s="1"/>
  <c r="AI1368" i="1"/>
  <c r="AW1368" i="1" s="1"/>
  <c r="AI1369" i="1"/>
  <c r="AW1369" i="1" s="1"/>
  <c r="AI1370" i="1"/>
  <c r="AW1370" i="1" s="1"/>
  <c r="AI1371" i="1"/>
  <c r="AW1371" i="1" s="1"/>
  <c r="AI1372" i="1"/>
  <c r="AW1372" i="1" s="1"/>
  <c r="AI1373" i="1"/>
  <c r="AW1373" i="1" s="1"/>
  <c r="AI1374" i="1"/>
  <c r="AW1374" i="1" s="1"/>
  <c r="AI1375" i="1"/>
  <c r="AW1375" i="1" s="1"/>
  <c r="AI1376" i="1"/>
  <c r="AW1376" i="1" s="1"/>
  <c r="AI1377" i="1"/>
  <c r="AW1377" i="1" s="1"/>
  <c r="AI1378" i="1"/>
  <c r="AW1378" i="1" s="1"/>
  <c r="AI1379" i="1"/>
  <c r="AW1379" i="1" s="1"/>
  <c r="AI1380" i="1"/>
  <c r="AW1380" i="1" s="1"/>
  <c r="AI1381" i="1"/>
  <c r="AW1381" i="1" s="1"/>
  <c r="AI1382" i="1"/>
  <c r="AW1382" i="1" s="1"/>
  <c r="AI1383" i="1"/>
  <c r="AW1383" i="1" s="1"/>
  <c r="AI1384" i="1"/>
  <c r="AW1384" i="1" s="1"/>
  <c r="AI1385" i="1"/>
  <c r="AW1385" i="1" s="1"/>
  <c r="AI1386" i="1"/>
  <c r="AW1386" i="1" s="1"/>
  <c r="AI1387" i="1"/>
  <c r="AW1387" i="1" s="1"/>
  <c r="AI1388" i="1"/>
  <c r="AW1388" i="1" s="1"/>
  <c r="AI1389" i="1"/>
  <c r="AW1389" i="1" s="1"/>
  <c r="AI1390" i="1"/>
  <c r="AW1390" i="1" s="1"/>
  <c r="AI1391" i="1"/>
  <c r="AW1391" i="1" s="1"/>
  <c r="AI1392" i="1"/>
  <c r="AW1392" i="1" s="1"/>
  <c r="AI1393" i="1"/>
  <c r="AW1393" i="1" s="1"/>
  <c r="AI1394" i="1"/>
  <c r="AW1394" i="1" s="1"/>
  <c r="AI1395" i="1"/>
  <c r="AW1395" i="1" s="1"/>
  <c r="AI1396" i="1"/>
  <c r="AW1396" i="1" s="1"/>
  <c r="AI1397" i="1"/>
  <c r="AW1397" i="1" s="1"/>
  <c r="AI1398" i="1"/>
  <c r="AW1398" i="1" s="1"/>
  <c r="AI1399" i="1"/>
  <c r="AW1399" i="1" s="1"/>
  <c r="AI1400" i="1"/>
  <c r="AW1400" i="1" s="1"/>
  <c r="AI1401" i="1"/>
  <c r="AW1401" i="1" s="1"/>
  <c r="AI1402" i="1"/>
  <c r="AW1402" i="1" s="1"/>
  <c r="AI1403" i="1"/>
  <c r="AW1403" i="1" s="1"/>
  <c r="AI1404" i="1"/>
  <c r="AW1404" i="1" s="1"/>
  <c r="AI1405" i="1"/>
  <c r="AW1405" i="1" s="1"/>
  <c r="AI1406" i="1"/>
  <c r="AW1406" i="1" s="1"/>
  <c r="AI1407" i="1"/>
  <c r="AW1407" i="1" s="1"/>
  <c r="AI1408" i="1"/>
  <c r="AW1408" i="1" s="1"/>
  <c r="AI1409" i="1"/>
  <c r="AW1409" i="1" s="1"/>
  <c r="AI1410" i="1"/>
  <c r="AW1410" i="1" s="1"/>
  <c r="AI1411" i="1"/>
  <c r="AW1411" i="1" s="1"/>
  <c r="AI1412" i="1"/>
  <c r="AW1412" i="1" s="1"/>
  <c r="AI1413" i="1"/>
  <c r="AW1413" i="1" s="1"/>
  <c r="AI1414" i="1"/>
  <c r="AW1414" i="1" s="1"/>
  <c r="AI1415" i="1"/>
  <c r="AW1415" i="1" s="1"/>
  <c r="AI1416" i="1"/>
  <c r="AW1416" i="1" s="1"/>
  <c r="AI1417" i="1"/>
  <c r="AW1417" i="1" s="1"/>
  <c r="AI1418" i="1"/>
  <c r="AW1418" i="1" s="1"/>
  <c r="AI1419" i="1"/>
  <c r="AW1419" i="1" s="1"/>
  <c r="AI1420" i="1"/>
  <c r="AW1420" i="1" s="1"/>
  <c r="AI1421" i="1"/>
  <c r="AW1421" i="1" s="1"/>
  <c r="AI1422" i="1"/>
  <c r="AW1422" i="1" s="1"/>
  <c r="AI1423" i="1"/>
  <c r="AW1423" i="1" s="1"/>
  <c r="AI1424" i="1"/>
  <c r="AW1424" i="1" s="1"/>
  <c r="AI1425" i="1"/>
  <c r="AW1425" i="1" s="1"/>
  <c r="AI1426" i="1"/>
  <c r="AW1426" i="1" s="1"/>
  <c r="AI1427" i="1"/>
  <c r="AW1427" i="1" s="1"/>
  <c r="AI1428" i="1"/>
  <c r="AW1428" i="1" s="1"/>
  <c r="AI1429" i="1"/>
  <c r="AW1429" i="1" s="1"/>
  <c r="AI1430" i="1"/>
  <c r="AW1430" i="1" s="1"/>
  <c r="AI1431" i="1"/>
  <c r="AW1431" i="1" s="1"/>
  <c r="AI1432" i="1"/>
  <c r="AW1432" i="1" s="1"/>
  <c r="AI1433" i="1"/>
  <c r="AW1433" i="1" s="1"/>
  <c r="AI1434" i="1"/>
  <c r="AW1434" i="1" s="1"/>
  <c r="AI1435" i="1"/>
  <c r="AW1435" i="1" s="1"/>
  <c r="AI1436" i="1"/>
  <c r="AW1436" i="1" s="1"/>
  <c r="AI1437" i="1"/>
  <c r="AW1437" i="1" s="1"/>
  <c r="AI1438" i="1"/>
  <c r="AW1438" i="1" s="1"/>
  <c r="AI1439" i="1"/>
  <c r="AW1439" i="1" s="1"/>
  <c r="AI1440" i="1"/>
  <c r="AW1440" i="1" s="1"/>
  <c r="AI1441" i="1"/>
  <c r="AW1441" i="1" s="1"/>
  <c r="AI1442" i="1"/>
  <c r="AW1442" i="1" s="1"/>
  <c r="AI1443" i="1"/>
  <c r="AW1443" i="1" s="1"/>
  <c r="AI1444" i="1"/>
  <c r="AW1444" i="1" s="1"/>
  <c r="AI1445" i="1"/>
  <c r="AW1445" i="1" s="1"/>
  <c r="AI1446" i="1"/>
  <c r="AW1446" i="1" s="1"/>
  <c r="AI1447" i="1"/>
  <c r="AW1447" i="1" s="1"/>
  <c r="AI1448" i="1"/>
  <c r="AW1448" i="1" s="1"/>
  <c r="AI1449" i="1"/>
  <c r="AW1449" i="1" s="1"/>
  <c r="AI1450" i="1"/>
  <c r="AW1450" i="1" s="1"/>
  <c r="AI1451" i="1"/>
  <c r="AW1451" i="1" s="1"/>
  <c r="AI1452" i="1"/>
  <c r="AW1452" i="1" s="1"/>
  <c r="AI1453" i="1"/>
  <c r="AW1453" i="1" s="1"/>
  <c r="AI1454" i="1"/>
  <c r="AW1454" i="1" s="1"/>
  <c r="AI1455" i="1"/>
  <c r="AW1455" i="1" s="1"/>
  <c r="AI1456" i="1"/>
  <c r="AW1456" i="1" s="1"/>
  <c r="AI1457" i="1"/>
  <c r="AW1457" i="1" s="1"/>
  <c r="AI1458" i="1"/>
  <c r="AW1458" i="1" s="1"/>
  <c r="AI1459" i="1"/>
  <c r="AW1459" i="1" s="1"/>
  <c r="AI1460" i="1"/>
  <c r="AW1460" i="1" s="1"/>
  <c r="AI1461" i="1"/>
  <c r="AW1461" i="1" s="1"/>
  <c r="AI1462" i="1"/>
  <c r="AW1462" i="1" s="1"/>
  <c r="AI1463" i="1"/>
  <c r="AW1463" i="1" s="1"/>
  <c r="AI1464" i="1"/>
  <c r="AW1464" i="1" s="1"/>
  <c r="AI1465" i="1"/>
  <c r="AW1465" i="1" s="1"/>
  <c r="AI1466" i="1"/>
  <c r="AW1466" i="1" s="1"/>
  <c r="AI1467" i="1"/>
  <c r="AW1467" i="1" s="1"/>
  <c r="AI1468" i="1"/>
  <c r="AW1468" i="1" s="1"/>
  <c r="AI1469" i="1"/>
  <c r="AW1469" i="1" s="1"/>
  <c r="AI1470" i="1"/>
  <c r="AW1470" i="1" s="1"/>
  <c r="AI1471" i="1"/>
  <c r="AW1471" i="1" s="1"/>
  <c r="AI1472" i="1"/>
  <c r="AW1472" i="1" s="1"/>
  <c r="AI1473" i="1"/>
  <c r="AW1473" i="1" s="1"/>
  <c r="AI1474" i="1"/>
  <c r="AW1474" i="1" s="1"/>
  <c r="AI1475" i="1"/>
  <c r="AW1475" i="1" s="1"/>
  <c r="AI1476" i="1"/>
  <c r="AW1476" i="1" s="1"/>
  <c r="AI1477" i="1"/>
  <c r="AW1477" i="1" s="1"/>
  <c r="AI1478" i="1"/>
  <c r="AW1478" i="1" s="1"/>
  <c r="AI1479" i="1"/>
  <c r="AW1479" i="1" s="1"/>
  <c r="AI1480" i="1"/>
  <c r="AW1480" i="1" s="1"/>
  <c r="AI1481" i="1"/>
  <c r="AW1481" i="1" s="1"/>
  <c r="AI1482" i="1"/>
  <c r="AW1482" i="1" s="1"/>
  <c r="AI1483" i="1"/>
  <c r="AW1483" i="1" s="1"/>
  <c r="AI1484" i="1"/>
  <c r="AW1484" i="1" s="1"/>
  <c r="AI1485" i="1"/>
  <c r="AW1485" i="1" s="1"/>
  <c r="AI1486" i="1"/>
  <c r="AW1486" i="1" s="1"/>
  <c r="AI1487" i="1"/>
  <c r="AW1487" i="1" s="1"/>
  <c r="AI1488" i="1"/>
  <c r="AW1488" i="1" s="1"/>
  <c r="AI1489" i="1"/>
  <c r="AW1489" i="1" s="1"/>
  <c r="AI1490" i="1"/>
  <c r="AW1490" i="1" s="1"/>
  <c r="AI1491" i="1"/>
  <c r="AW1491" i="1" s="1"/>
  <c r="AI1492" i="1"/>
  <c r="AW1492" i="1" s="1"/>
  <c r="AI1493" i="1"/>
  <c r="AW1493" i="1" s="1"/>
  <c r="AI1494" i="1"/>
  <c r="AW1494" i="1" s="1"/>
  <c r="AI1495" i="1"/>
  <c r="AW1495" i="1" s="1"/>
  <c r="AI1496" i="1"/>
  <c r="AW1496" i="1" s="1"/>
  <c r="AI1497" i="1"/>
  <c r="AW1497" i="1" s="1"/>
  <c r="AI1498" i="1"/>
  <c r="AW1498" i="1" s="1"/>
  <c r="AI1499" i="1"/>
  <c r="AW1499" i="1" s="1"/>
  <c r="AI1500" i="1"/>
  <c r="AW1500" i="1" s="1"/>
  <c r="AI1501" i="1"/>
  <c r="AW1501" i="1" s="1"/>
  <c r="AI1502" i="1"/>
  <c r="AW1502" i="1" s="1"/>
  <c r="AI1503" i="1"/>
  <c r="AW1503" i="1" s="1"/>
  <c r="AI1504" i="1"/>
  <c r="AW1504" i="1" s="1"/>
  <c r="AI1505" i="1"/>
  <c r="AW1505" i="1" s="1"/>
  <c r="AI1506" i="1"/>
  <c r="AW1506" i="1" s="1"/>
  <c r="AI1507" i="1"/>
  <c r="AW1507" i="1" s="1"/>
  <c r="AI1508" i="1"/>
  <c r="AW1508" i="1" s="1"/>
  <c r="AI1509" i="1"/>
  <c r="AW1509" i="1" s="1"/>
  <c r="AI1510" i="1"/>
  <c r="AW1510" i="1" s="1"/>
  <c r="AI1511" i="1"/>
  <c r="AW1511" i="1" s="1"/>
  <c r="AI1512" i="1"/>
  <c r="AW1512" i="1" s="1"/>
  <c r="AI1513" i="1"/>
  <c r="AW1513" i="1" s="1"/>
  <c r="AI1514" i="1"/>
  <c r="AW1514" i="1" s="1"/>
  <c r="AI1515" i="1"/>
  <c r="AW1515" i="1" s="1"/>
  <c r="AI1516" i="1"/>
  <c r="AW1516" i="1" s="1"/>
  <c r="AI1517" i="1"/>
  <c r="AW1517" i="1" s="1"/>
  <c r="AI1518" i="1"/>
  <c r="AW1518" i="1" s="1"/>
  <c r="AI1519" i="1"/>
  <c r="AW1519" i="1" s="1"/>
  <c r="AI1520" i="1"/>
  <c r="AW1520" i="1" s="1"/>
  <c r="AI1521" i="1"/>
  <c r="AW1521" i="1" s="1"/>
  <c r="AI1522" i="1"/>
  <c r="AW1522" i="1" s="1"/>
  <c r="AI1523" i="1"/>
  <c r="AW1523" i="1" s="1"/>
  <c r="AI1524" i="1"/>
  <c r="AW1524" i="1" s="1"/>
  <c r="AI1525" i="1"/>
  <c r="AW1525" i="1" s="1"/>
  <c r="AI1526" i="1"/>
  <c r="AW1526" i="1" s="1"/>
  <c r="AI1527" i="1"/>
  <c r="AW1527" i="1" s="1"/>
  <c r="AI1528" i="1"/>
  <c r="AW1528" i="1" s="1"/>
  <c r="AI1529" i="1"/>
  <c r="AW1529" i="1" s="1"/>
  <c r="AI1530" i="1"/>
  <c r="AW1530" i="1" s="1"/>
  <c r="AI1531" i="1"/>
  <c r="AW1531" i="1" s="1"/>
  <c r="AI1532" i="1"/>
  <c r="AW1532" i="1" s="1"/>
  <c r="AI1533" i="1"/>
  <c r="AW1533" i="1" s="1"/>
  <c r="AI1534" i="1"/>
  <c r="AW1534" i="1" s="1"/>
  <c r="AI1535" i="1"/>
  <c r="AW1535" i="1" s="1"/>
  <c r="AI1536" i="1"/>
  <c r="AW1536" i="1" s="1"/>
  <c r="AI1537" i="1"/>
  <c r="AW1537" i="1" s="1"/>
  <c r="AI1538" i="1"/>
  <c r="AW1538" i="1" s="1"/>
  <c r="AI1539" i="1"/>
  <c r="AW1539" i="1" s="1"/>
  <c r="AI1540" i="1"/>
  <c r="AW1540" i="1" s="1"/>
  <c r="AI1541" i="1"/>
  <c r="AW1541" i="1" s="1"/>
  <c r="AI1542" i="1"/>
  <c r="AW1542" i="1" s="1"/>
  <c r="AI1543" i="1"/>
  <c r="AW1543" i="1" s="1"/>
  <c r="AI1544" i="1"/>
  <c r="AW1544" i="1" s="1"/>
  <c r="AI1545" i="1"/>
  <c r="AW1545" i="1" s="1"/>
  <c r="AI1546" i="1"/>
  <c r="AW1546" i="1" s="1"/>
  <c r="AI1547" i="1"/>
  <c r="AW1547" i="1" s="1"/>
  <c r="AI1548" i="1"/>
  <c r="AW1548" i="1" s="1"/>
  <c r="AI1549" i="1"/>
  <c r="AW1549" i="1" s="1"/>
  <c r="AI1550" i="1"/>
  <c r="AW1550" i="1" s="1"/>
  <c r="AI1551" i="1"/>
  <c r="AW1551" i="1" s="1"/>
  <c r="AI1552" i="1"/>
  <c r="AW1552" i="1" s="1"/>
  <c r="AI1553" i="1"/>
  <c r="AW1553" i="1" s="1"/>
  <c r="AI1554" i="1"/>
  <c r="AW1554" i="1" s="1"/>
  <c r="AI1555" i="1"/>
  <c r="AW1555" i="1" s="1"/>
  <c r="AI1556" i="1"/>
  <c r="AW1556" i="1" s="1"/>
  <c r="AI1557" i="1"/>
  <c r="AW1557" i="1" s="1"/>
  <c r="AI1558" i="1"/>
  <c r="AW1558" i="1" s="1"/>
  <c r="AI1559" i="1"/>
  <c r="AW1559" i="1" s="1"/>
  <c r="AI1560" i="1"/>
  <c r="AW1560" i="1" s="1"/>
  <c r="AI1561" i="1"/>
  <c r="AW1561" i="1" s="1"/>
  <c r="AI1562" i="1"/>
  <c r="AW1562" i="1" s="1"/>
  <c r="AI1563" i="1"/>
  <c r="AW1563" i="1" s="1"/>
  <c r="AI1564" i="1"/>
  <c r="AW1564" i="1" s="1"/>
  <c r="AI1565" i="1"/>
  <c r="AW1565" i="1" s="1"/>
  <c r="AI1566" i="1"/>
  <c r="AW1566" i="1" s="1"/>
  <c r="AI1567" i="1"/>
  <c r="AW1567" i="1" s="1"/>
  <c r="AI1568" i="1"/>
  <c r="AW1568" i="1" s="1"/>
  <c r="AI1569" i="1"/>
  <c r="AW1569" i="1" s="1"/>
  <c r="AI1570" i="1"/>
  <c r="AW1570" i="1" s="1"/>
  <c r="AI1571" i="1"/>
  <c r="AW1571" i="1" s="1"/>
  <c r="AI1572" i="1"/>
  <c r="AW1572" i="1" s="1"/>
  <c r="AI1573" i="1"/>
  <c r="AW1573" i="1" s="1"/>
  <c r="AI1574" i="1"/>
  <c r="AW1574" i="1" s="1"/>
  <c r="AI1575" i="1"/>
  <c r="AW1575" i="1" s="1"/>
  <c r="AI1576" i="1"/>
  <c r="AW1576" i="1" s="1"/>
  <c r="AI1577" i="1"/>
  <c r="AW1577" i="1" s="1"/>
  <c r="AI1578" i="1"/>
  <c r="AW1578" i="1" s="1"/>
  <c r="AI1579" i="1"/>
  <c r="AW1579" i="1" s="1"/>
  <c r="AI1580" i="1"/>
  <c r="AW1580" i="1" s="1"/>
  <c r="AI1581" i="1"/>
  <c r="AW1581" i="1" s="1"/>
  <c r="AI1582" i="1"/>
  <c r="AW1582" i="1" s="1"/>
  <c r="AI1583" i="1"/>
  <c r="AW1583" i="1" s="1"/>
  <c r="AI1584" i="1"/>
  <c r="AW1584" i="1" s="1"/>
  <c r="AI1585" i="1"/>
  <c r="AW1585" i="1" s="1"/>
  <c r="AI1586" i="1"/>
  <c r="AW1586" i="1" s="1"/>
  <c r="AI1587" i="1"/>
  <c r="AW1587" i="1" s="1"/>
  <c r="AI1588" i="1"/>
  <c r="AW1588" i="1" s="1"/>
  <c r="AI1589" i="1"/>
  <c r="AW1589" i="1" s="1"/>
  <c r="AI1590" i="1"/>
  <c r="AW1590" i="1" s="1"/>
  <c r="AI1591" i="1"/>
  <c r="AW1591" i="1" s="1"/>
  <c r="AI1592" i="1"/>
  <c r="AW1592" i="1" s="1"/>
  <c r="AI1593" i="1"/>
  <c r="AW1593" i="1" s="1"/>
  <c r="AI1594" i="1"/>
  <c r="AW1594" i="1" s="1"/>
  <c r="AI1595" i="1"/>
  <c r="AW1595" i="1" s="1"/>
  <c r="AI1596" i="1"/>
  <c r="AW1596" i="1" s="1"/>
  <c r="AI1597" i="1"/>
  <c r="AW1597" i="1" s="1"/>
  <c r="AI1598" i="1"/>
  <c r="AW1598" i="1" s="1"/>
  <c r="AI1599" i="1"/>
  <c r="AW1599" i="1" s="1"/>
  <c r="AI1600" i="1"/>
  <c r="AW1600" i="1" s="1"/>
  <c r="AI1601" i="1"/>
  <c r="AW1601" i="1" s="1"/>
  <c r="AI1602" i="1"/>
  <c r="AW1602" i="1" s="1"/>
  <c r="AI1603" i="1"/>
  <c r="AW1603" i="1" s="1"/>
  <c r="AI1604" i="1"/>
  <c r="AW1604" i="1" s="1"/>
  <c r="AI1605" i="1"/>
  <c r="AW1605" i="1" s="1"/>
  <c r="AI1606" i="1"/>
  <c r="AW1606" i="1" s="1"/>
  <c r="AI1607" i="1"/>
  <c r="AW1607" i="1" s="1"/>
  <c r="AI1608" i="1"/>
  <c r="AW1608" i="1" s="1"/>
  <c r="AI1609" i="1"/>
  <c r="AW1609" i="1" s="1"/>
  <c r="AI1610" i="1"/>
  <c r="AW1610" i="1" s="1"/>
  <c r="AI1611" i="1"/>
  <c r="AW1611" i="1" s="1"/>
  <c r="AI1612" i="1"/>
  <c r="AW1612" i="1" s="1"/>
  <c r="AI1613" i="1"/>
  <c r="AW1613" i="1" s="1"/>
  <c r="AI1614" i="1"/>
  <c r="AW1614" i="1" s="1"/>
  <c r="AI1615" i="1"/>
  <c r="AW1615" i="1" s="1"/>
  <c r="AI1616" i="1"/>
  <c r="AW1616" i="1" s="1"/>
  <c r="AI1617" i="1"/>
  <c r="AW1617" i="1" s="1"/>
  <c r="AI1618" i="1"/>
  <c r="AW1618" i="1" s="1"/>
  <c r="AI1619" i="1"/>
  <c r="AW1619" i="1" s="1"/>
  <c r="AI1620" i="1"/>
  <c r="AW1620" i="1" s="1"/>
  <c r="AI1621" i="1"/>
  <c r="AW1621" i="1" s="1"/>
  <c r="AI1622" i="1"/>
  <c r="AW1622" i="1" s="1"/>
  <c r="AI1623" i="1"/>
  <c r="AW1623" i="1" s="1"/>
  <c r="AI1624" i="1"/>
  <c r="AW1624" i="1" s="1"/>
  <c r="AI1625" i="1"/>
  <c r="AW1625" i="1" s="1"/>
  <c r="AI1626" i="1"/>
  <c r="AW1626" i="1" s="1"/>
  <c r="AI1627" i="1"/>
  <c r="AW1627" i="1" s="1"/>
  <c r="AI1628" i="1"/>
  <c r="AW1628" i="1" s="1"/>
  <c r="AI1629" i="1"/>
  <c r="AW1629" i="1" s="1"/>
  <c r="AI1630" i="1"/>
  <c r="AW1630" i="1" s="1"/>
  <c r="AI1631" i="1"/>
  <c r="AW1631" i="1" s="1"/>
  <c r="AI1632" i="1"/>
  <c r="AW1632" i="1" s="1"/>
  <c r="AI1633" i="1"/>
  <c r="AW1633" i="1" s="1"/>
  <c r="AI1634" i="1"/>
  <c r="AW1634" i="1" s="1"/>
  <c r="AI1635" i="1"/>
  <c r="AW1635" i="1" s="1"/>
  <c r="AI1636" i="1"/>
  <c r="AW1636" i="1" s="1"/>
  <c r="AI1637" i="1"/>
  <c r="AW1637" i="1" s="1"/>
  <c r="AI1638" i="1"/>
  <c r="AW1638" i="1" s="1"/>
  <c r="AI1639" i="1"/>
  <c r="AW1639" i="1" s="1"/>
  <c r="AI1640" i="1"/>
  <c r="AW1640" i="1" s="1"/>
  <c r="AI1641" i="1"/>
  <c r="AW1641" i="1" s="1"/>
  <c r="AI1642" i="1"/>
  <c r="AW1642" i="1" s="1"/>
  <c r="AI1643" i="1"/>
  <c r="AW1643" i="1" s="1"/>
  <c r="AI1644" i="1"/>
  <c r="AW1644" i="1" s="1"/>
  <c r="AI1645" i="1"/>
  <c r="AW1645" i="1" s="1"/>
  <c r="AI1646" i="1"/>
  <c r="AW1646" i="1" s="1"/>
  <c r="AI1647" i="1"/>
  <c r="AW1647" i="1" s="1"/>
  <c r="AI1648" i="1"/>
  <c r="AW1648" i="1" s="1"/>
  <c r="AI1649" i="1"/>
  <c r="AW1649" i="1" s="1"/>
  <c r="AI1650" i="1"/>
  <c r="AW1650" i="1" s="1"/>
  <c r="AI1651" i="1"/>
  <c r="AW1651" i="1" s="1"/>
  <c r="AI1652" i="1"/>
  <c r="AW1652" i="1" s="1"/>
  <c r="AI1653" i="1"/>
  <c r="AW1653" i="1" s="1"/>
  <c r="AI1654" i="1"/>
  <c r="AW1654" i="1" s="1"/>
  <c r="AI1655" i="1"/>
  <c r="AW1655" i="1" s="1"/>
  <c r="AI1656" i="1"/>
  <c r="AW1656" i="1" s="1"/>
  <c r="AI1657" i="1"/>
  <c r="AW1657" i="1" s="1"/>
  <c r="AI1658" i="1"/>
  <c r="AW1658" i="1" s="1"/>
  <c r="AI1659" i="1"/>
  <c r="AW1659" i="1" s="1"/>
  <c r="AI1660" i="1"/>
  <c r="AW1660" i="1" s="1"/>
  <c r="AI1661" i="1"/>
  <c r="AW1661" i="1" s="1"/>
  <c r="AI1662" i="1"/>
  <c r="AW1662" i="1" s="1"/>
  <c r="AI1663" i="1"/>
  <c r="AW1663" i="1" s="1"/>
  <c r="AI1664" i="1"/>
  <c r="AW1664" i="1" s="1"/>
  <c r="AI1665" i="1"/>
  <c r="AW1665" i="1" s="1"/>
  <c r="AI1666" i="1"/>
  <c r="AW1666" i="1" s="1"/>
  <c r="AI1667" i="1"/>
  <c r="AW1667" i="1" s="1"/>
  <c r="AI1668" i="1"/>
  <c r="AW1668" i="1" s="1"/>
  <c r="AI1669" i="1"/>
  <c r="AW1669" i="1" s="1"/>
  <c r="AI1670" i="1"/>
  <c r="AW1670" i="1" s="1"/>
  <c r="AI1671" i="1"/>
  <c r="AW1671" i="1" s="1"/>
  <c r="AI1672" i="1"/>
  <c r="AW1672" i="1" s="1"/>
  <c r="AI1673" i="1"/>
  <c r="AW1673" i="1" s="1"/>
  <c r="AI1674" i="1"/>
  <c r="AW1674" i="1" s="1"/>
  <c r="AI1675" i="1"/>
  <c r="AW1675" i="1" s="1"/>
  <c r="AI1676" i="1"/>
  <c r="AW1676" i="1" s="1"/>
  <c r="AI1677" i="1"/>
  <c r="AW1677" i="1" s="1"/>
  <c r="AI1678" i="1"/>
  <c r="AW1678" i="1" s="1"/>
  <c r="AI1679" i="1"/>
  <c r="AW1679" i="1" s="1"/>
  <c r="AI1680" i="1"/>
  <c r="AW1680" i="1" s="1"/>
  <c r="AI1681" i="1"/>
  <c r="AW1681" i="1" s="1"/>
  <c r="AI1682" i="1"/>
  <c r="AW1682" i="1" s="1"/>
  <c r="AI1683" i="1"/>
  <c r="AW1683" i="1" s="1"/>
  <c r="AI1684" i="1"/>
  <c r="AW1684" i="1" s="1"/>
  <c r="AI1685" i="1"/>
  <c r="AW1685" i="1" s="1"/>
  <c r="AI1686" i="1"/>
  <c r="AW1686" i="1" s="1"/>
  <c r="AI1687" i="1"/>
  <c r="AW1687" i="1" s="1"/>
  <c r="AI1688" i="1"/>
  <c r="AW1688" i="1" s="1"/>
  <c r="AI1689" i="1"/>
  <c r="AW1689" i="1" s="1"/>
  <c r="AI1690" i="1"/>
  <c r="AW1690" i="1" s="1"/>
  <c r="AI1691" i="1"/>
  <c r="AW1691" i="1" s="1"/>
  <c r="AI1692" i="1"/>
  <c r="AW1692" i="1" s="1"/>
  <c r="AI1693" i="1"/>
  <c r="AW1693" i="1" s="1"/>
  <c r="AI1694" i="1"/>
  <c r="AW1694" i="1" s="1"/>
  <c r="AI1695" i="1"/>
  <c r="AW1695" i="1" s="1"/>
  <c r="AI1696" i="1"/>
  <c r="AW1696" i="1" s="1"/>
  <c r="AI1697" i="1"/>
  <c r="AW1697" i="1" s="1"/>
  <c r="AI1698" i="1"/>
  <c r="AW1698" i="1" s="1"/>
  <c r="AI1699" i="1"/>
  <c r="AW1699" i="1" s="1"/>
  <c r="AI1700" i="1"/>
  <c r="AW1700" i="1" s="1"/>
  <c r="AI1701" i="1"/>
  <c r="AW1701" i="1" s="1"/>
  <c r="AI1702" i="1"/>
  <c r="AW1702" i="1" s="1"/>
  <c r="AI1703" i="1"/>
  <c r="AW1703" i="1" s="1"/>
  <c r="AI1704" i="1"/>
  <c r="AW1704" i="1" s="1"/>
  <c r="AI1705" i="1"/>
  <c r="AW1705" i="1" s="1"/>
  <c r="AI1706" i="1"/>
  <c r="AW1706" i="1" s="1"/>
  <c r="AI1707" i="1"/>
  <c r="AW1707" i="1" s="1"/>
  <c r="AI1708" i="1"/>
  <c r="AW1708" i="1" s="1"/>
  <c r="AI1709" i="1"/>
  <c r="AW1709" i="1" s="1"/>
  <c r="AI1710" i="1"/>
  <c r="AW1710" i="1" s="1"/>
  <c r="AI1711" i="1"/>
  <c r="AW1711" i="1" s="1"/>
  <c r="AI1712" i="1"/>
  <c r="AW1712" i="1" s="1"/>
  <c r="AI1713" i="1"/>
  <c r="AW1713" i="1" s="1"/>
  <c r="AI1714" i="1"/>
  <c r="AW1714" i="1" s="1"/>
  <c r="AI1715" i="1"/>
  <c r="AW1715" i="1" s="1"/>
  <c r="AI1716" i="1"/>
  <c r="AW1716" i="1" s="1"/>
  <c r="AI1717" i="1"/>
  <c r="AW1717" i="1" s="1"/>
  <c r="AI1718" i="1"/>
  <c r="AW1718" i="1" s="1"/>
  <c r="AI1719" i="1"/>
  <c r="AW1719" i="1" s="1"/>
  <c r="AI1720" i="1"/>
  <c r="AW1720" i="1" s="1"/>
  <c r="AI1721" i="1"/>
  <c r="AW1721" i="1" s="1"/>
  <c r="AI1722" i="1"/>
  <c r="AW1722" i="1" s="1"/>
  <c r="AI1723" i="1"/>
  <c r="AW1723" i="1" s="1"/>
  <c r="AI1724" i="1"/>
  <c r="AW1724" i="1" s="1"/>
  <c r="AI1725" i="1"/>
  <c r="AW1725" i="1" s="1"/>
  <c r="AI1726" i="1"/>
  <c r="AW1726" i="1" s="1"/>
  <c r="AI1727" i="1"/>
  <c r="AW1727" i="1" s="1"/>
  <c r="AI1728" i="1"/>
  <c r="AW1728" i="1" s="1"/>
  <c r="AI1729" i="1"/>
  <c r="AW1729" i="1" s="1"/>
  <c r="AI1730" i="1"/>
  <c r="AW1730" i="1" s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G3" i="1"/>
  <c r="AY3" i="1" s="1"/>
  <c r="AG4" i="1"/>
  <c r="AY4" i="1" s="1"/>
  <c r="AG5" i="1"/>
  <c r="AY5" i="1" s="1"/>
  <c r="AG6" i="1"/>
  <c r="AY6" i="1" s="1"/>
  <c r="AG7" i="1"/>
  <c r="AY7" i="1" s="1"/>
  <c r="AG8" i="1"/>
  <c r="AY8" i="1" s="1"/>
  <c r="AG9" i="1"/>
  <c r="AY9" i="1" s="1"/>
  <c r="AG10" i="1"/>
  <c r="AY10" i="1" s="1"/>
  <c r="AG11" i="1"/>
  <c r="AY11" i="1" s="1"/>
  <c r="AG12" i="1"/>
  <c r="AY12" i="1" s="1"/>
  <c r="AG13" i="1"/>
  <c r="AY13" i="1" s="1"/>
  <c r="AG14" i="1"/>
  <c r="AY14" i="1" s="1"/>
  <c r="AG15" i="1"/>
  <c r="AY15" i="1" s="1"/>
  <c r="AG16" i="1"/>
  <c r="AY16" i="1" s="1"/>
  <c r="AG17" i="1"/>
  <c r="AY17" i="1" s="1"/>
  <c r="AG18" i="1"/>
  <c r="AY18" i="1" s="1"/>
  <c r="AG19" i="1"/>
  <c r="AY19" i="1" s="1"/>
  <c r="AG20" i="1"/>
  <c r="AY20" i="1" s="1"/>
  <c r="AG21" i="1"/>
  <c r="AY21" i="1" s="1"/>
  <c r="AG22" i="1"/>
  <c r="AY22" i="1" s="1"/>
  <c r="AG23" i="1"/>
  <c r="AY23" i="1" s="1"/>
  <c r="AG24" i="1"/>
  <c r="AY24" i="1" s="1"/>
  <c r="AG25" i="1"/>
  <c r="AY25" i="1" s="1"/>
  <c r="AG26" i="1"/>
  <c r="AY26" i="1" s="1"/>
  <c r="AG27" i="1"/>
  <c r="AY27" i="1" s="1"/>
  <c r="AG28" i="1"/>
  <c r="AY28" i="1" s="1"/>
  <c r="AG29" i="1"/>
  <c r="AY29" i="1" s="1"/>
  <c r="AG30" i="1"/>
  <c r="AY30" i="1" s="1"/>
  <c r="AG31" i="1"/>
  <c r="AY31" i="1" s="1"/>
  <c r="AG32" i="1"/>
  <c r="AY32" i="1" s="1"/>
  <c r="AG33" i="1"/>
  <c r="AY33" i="1" s="1"/>
  <c r="AG34" i="1"/>
  <c r="AY34" i="1" s="1"/>
  <c r="AG35" i="1"/>
  <c r="AY35" i="1" s="1"/>
  <c r="AG36" i="1"/>
  <c r="AY36" i="1" s="1"/>
  <c r="AG37" i="1"/>
  <c r="AY37" i="1" s="1"/>
  <c r="AG38" i="1"/>
  <c r="AY38" i="1" s="1"/>
  <c r="AG39" i="1"/>
  <c r="AY39" i="1" s="1"/>
  <c r="AG40" i="1"/>
  <c r="AY40" i="1" s="1"/>
  <c r="AG41" i="1"/>
  <c r="AY41" i="1" s="1"/>
  <c r="AG42" i="1"/>
  <c r="AY42" i="1" s="1"/>
  <c r="AG43" i="1"/>
  <c r="AY43" i="1" s="1"/>
  <c r="AG44" i="1"/>
  <c r="AY44" i="1" s="1"/>
  <c r="AG45" i="1"/>
  <c r="AY45" i="1" s="1"/>
  <c r="AG46" i="1"/>
  <c r="AY46" i="1" s="1"/>
  <c r="AG47" i="1"/>
  <c r="AY47" i="1" s="1"/>
  <c r="AG48" i="1"/>
  <c r="AY48" i="1" s="1"/>
  <c r="AG49" i="1"/>
  <c r="AY49" i="1" s="1"/>
  <c r="AG50" i="1"/>
  <c r="AY50" i="1" s="1"/>
  <c r="AG51" i="1"/>
  <c r="AY51" i="1" s="1"/>
  <c r="AG52" i="1"/>
  <c r="AY52" i="1" s="1"/>
  <c r="AG53" i="1"/>
  <c r="AY53" i="1" s="1"/>
  <c r="AG54" i="1"/>
  <c r="AY54" i="1" s="1"/>
  <c r="AG55" i="1"/>
  <c r="AY55" i="1" s="1"/>
  <c r="AG56" i="1"/>
  <c r="AY56" i="1" s="1"/>
  <c r="AG57" i="1"/>
  <c r="AY57" i="1" s="1"/>
  <c r="AG58" i="1"/>
  <c r="AY58" i="1" s="1"/>
  <c r="AG59" i="1"/>
  <c r="AY59" i="1" s="1"/>
  <c r="AG60" i="1"/>
  <c r="AY60" i="1" s="1"/>
  <c r="AG61" i="1"/>
  <c r="AY61" i="1" s="1"/>
  <c r="AG62" i="1"/>
  <c r="AY62" i="1" s="1"/>
  <c r="AG63" i="1"/>
  <c r="AY63" i="1" s="1"/>
  <c r="AG64" i="1"/>
  <c r="AY64" i="1" s="1"/>
  <c r="AG65" i="1"/>
  <c r="AY65" i="1" s="1"/>
  <c r="AG66" i="1"/>
  <c r="AY66" i="1" s="1"/>
  <c r="AG67" i="1"/>
  <c r="AY67" i="1" s="1"/>
  <c r="AG68" i="1"/>
  <c r="AY68" i="1" s="1"/>
  <c r="AG69" i="1"/>
  <c r="AY69" i="1" s="1"/>
  <c r="AG70" i="1"/>
  <c r="AY70" i="1" s="1"/>
  <c r="AG71" i="1"/>
  <c r="AY71" i="1" s="1"/>
  <c r="AG72" i="1"/>
  <c r="AY72" i="1" s="1"/>
  <c r="AG73" i="1"/>
  <c r="AY73" i="1" s="1"/>
  <c r="AG74" i="1"/>
  <c r="AY74" i="1" s="1"/>
  <c r="AG75" i="1"/>
  <c r="AY75" i="1" s="1"/>
  <c r="AG76" i="1"/>
  <c r="AY76" i="1" s="1"/>
  <c r="AG77" i="1"/>
  <c r="AY77" i="1" s="1"/>
  <c r="AG78" i="1"/>
  <c r="AY78" i="1" s="1"/>
  <c r="AG79" i="1"/>
  <c r="AY79" i="1" s="1"/>
  <c r="AG80" i="1"/>
  <c r="AY80" i="1" s="1"/>
  <c r="AG81" i="1"/>
  <c r="AY81" i="1" s="1"/>
  <c r="AG82" i="1"/>
  <c r="AY82" i="1" s="1"/>
  <c r="AG83" i="1"/>
  <c r="AY83" i="1" s="1"/>
  <c r="AG84" i="1"/>
  <c r="AY84" i="1" s="1"/>
  <c r="AG85" i="1"/>
  <c r="AY85" i="1" s="1"/>
  <c r="AG86" i="1"/>
  <c r="AY86" i="1" s="1"/>
  <c r="AG87" i="1"/>
  <c r="AY87" i="1" s="1"/>
  <c r="AG88" i="1"/>
  <c r="AY88" i="1" s="1"/>
  <c r="AG89" i="1"/>
  <c r="AY89" i="1" s="1"/>
  <c r="AG90" i="1"/>
  <c r="AY90" i="1" s="1"/>
  <c r="AG91" i="1"/>
  <c r="AY91" i="1" s="1"/>
  <c r="AG92" i="1"/>
  <c r="AY92" i="1" s="1"/>
  <c r="AG93" i="1"/>
  <c r="AY93" i="1" s="1"/>
  <c r="AG94" i="1"/>
  <c r="AY94" i="1" s="1"/>
  <c r="AG95" i="1"/>
  <c r="AY95" i="1" s="1"/>
  <c r="AG96" i="1"/>
  <c r="AY96" i="1" s="1"/>
  <c r="AG97" i="1"/>
  <c r="AY97" i="1" s="1"/>
  <c r="AG98" i="1"/>
  <c r="AY98" i="1" s="1"/>
  <c r="AG99" i="1"/>
  <c r="AY99" i="1" s="1"/>
  <c r="AG100" i="1"/>
  <c r="AY100" i="1" s="1"/>
  <c r="AG101" i="1"/>
  <c r="AY101" i="1" s="1"/>
  <c r="AG102" i="1"/>
  <c r="AY102" i="1" s="1"/>
  <c r="AG103" i="1"/>
  <c r="AY103" i="1" s="1"/>
  <c r="AG104" i="1"/>
  <c r="AY104" i="1" s="1"/>
  <c r="AG105" i="1"/>
  <c r="AY105" i="1" s="1"/>
  <c r="AG106" i="1"/>
  <c r="AY106" i="1" s="1"/>
  <c r="AG107" i="1"/>
  <c r="AY107" i="1" s="1"/>
  <c r="AG108" i="1"/>
  <c r="AY108" i="1" s="1"/>
  <c r="AG109" i="1"/>
  <c r="AY109" i="1" s="1"/>
  <c r="AG110" i="1"/>
  <c r="AY110" i="1" s="1"/>
  <c r="AG111" i="1"/>
  <c r="AY111" i="1" s="1"/>
  <c r="AG112" i="1"/>
  <c r="AY112" i="1" s="1"/>
  <c r="AG113" i="1"/>
  <c r="AY113" i="1" s="1"/>
  <c r="AG114" i="1"/>
  <c r="AY114" i="1" s="1"/>
  <c r="AG115" i="1"/>
  <c r="AY115" i="1" s="1"/>
  <c r="AG116" i="1"/>
  <c r="AY116" i="1" s="1"/>
  <c r="AG117" i="1"/>
  <c r="AY117" i="1" s="1"/>
  <c r="AG118" i="1"/>
  <c r="AY118" i="1" s="1"/>
  <c r="AG119" i="1"/>
  <c r="AY119" i="1" s="1"/>
  <c r="AG120" i="1"/>
  <c r="AY120" i="1" s="1"/>
  <c r="AG121" i="1"/>
  <c r="AY121" i="1" s="1"/>
  <c r="AG122" i="1"/>
  <c r="AY122" i="1" s="1"/>
  <c r="AG123" i="1"/>
  <c r="AY123" i="1" s="1"/>
  <c r="AG124" i="1"/>
  <c r="AY124" i="1" s="1"/>
  <c r="AG125" i="1"/>
  <c r="AY125" i="1" s="1"/>
  <c r="AG126" i="1"/>
  <c r="AY126" i="1" s="1"/>
  <c r="AG127" i="1"/>
  <c r="AY127" i="1" s="1"/>
  <c r="AG128" i="1"/>
  <c r="AY128" i="1" s="1"/>
  <c r="AG129" i="1"/>
  <c r="AY129" i="1" s="1"/>
  <c r="AG130" i="1"/>
  <c r="AY130" i="1" s="1"/>
  <c r="AG131" i="1"/>
  <c r="AY131" i="1" s="1"/>
  <c r="AG132" i="1"/>
  <c r="AY132" i="1" s="1"/>
  <c r="AG133" i="1"/>
  <c r="AY133" i="1" s="1"/>
  <c r="AG134" i="1"/>
  <c r="AY134" i="1" s="1"/>
  <c r="AG135" i="1"/>
  <c r="AY135" i="1" s="1"/>
  <c r="AG136" i="1"/>
  <c r="AY136" i="1" s="1"/>
  <c r="AG137" i="1"/>
  <c r="AY137" i="1" s="1"/>
  <c r="AG138" i="1"/>
  <c r="AY138" i="1" s="1"/>
  <c r="AG139" i="1"/>
  <c r="AY139" i="1" s="1"/>
  <c r="AG140" i="1"/>
  <c r="AY140" i="1" s="1"/>
  <c r="AG141" i="1"/>
  <c r="AY141" i="1" s="1"/>
  <c r="AG142" i="1"/>
  <c r="AY142" i="1" s="1"/>
  <c r="AG143" i="1"/>
  <c r="AY143" i="1" s="1"/>
  <c r="AG144" i="1"/>
  <c r="AY144" i="1" s="1"/>
  <c r="AG145" i="1"/>
  <c r="AY145" i="1" s="1"/>
  <c r="AG146" i="1"/>
  <c r="AY146" i="1" s="1"/>
  <c r="AG147" i="1"/>
  <c r="AY147" i="1" s="1"/>
  <c r="AG148" i="1"/>
  <c r="AY148" i="1" s="1"/>
  <c r="AG149" i="1"/>
  <c r="AY149" i="1" s="1"/>
  <c r="AG150" i="1"/>
  <c r="AY150" i="1" s="1"/>
  <c r="AG151" i="1"/>
  <c r="AY151" i="1" s="1"/>
  <c r="AG152" i="1"/>
  <c r="AY152" i="1" s="1"/>
  <c r="AG153" i="1"/>
  <c r="AY153" i="1" s="1"/>
  <c r="AG154" i="1"/>
  <c r="AY154" i="1" s="1"/>
  <c r="AG155" i="1"/>
  <c r="AY155" i="1" s="1"/>
  <c r="AG156" i="1"/>
  <c r="AY156" i="1" s="1"/>
  <c r="AG157" i="1"/>
  <c r="AY157" i="1" s="1"/>
  <c r="AG158" i="1"/>
  <c r="AY158" i="1" s="1"/>
  <c r="AG159" i="1"/>
  <c r="AY159" i="1" s="1"/>
  <c r="AG160" i="1"/>
  <c r="AY160" i="1" s="1"/>
  <c r="AG161" i="1"/>
  <c r="AY161" i="1" s="1"/>
  <c r="AG162" i="1"/>
  <c r="AY162" i="1" s="1"/>
  <c r="AG163" i="1"/>
  <c r="AY163" i="1" s="1"/>
  <c r="AG164" i="1"/>
  <c r="AY164" i="1" s="1"/>
  <c r="AG165" i="1"/>
  <c r="AY165" i="1" s="1"/>
  <c r="AG166" i="1"/>
  <c r="AY166" i="1" s="1"/>
  <c r="AG167" i="1"/>
  <c r="AY167" i="1" s="1"/>
  <c r="AG168" i="1"/>
  <c r="AY168" i="1" s="1"/>
  <c r="AG169" i="1"/>
  <c r="AY169" i="1" s="1"/>
  <c r="AG170" i="1"/>
  <c r="AY170" i="1" s="1"/>
  <c r="AG171" i="1"/>
  <c r="AY171" i="1" s="1"/>
  <c r="AG172" i="1"/>
  <c r="AY172" i="1" s="1"/>
  <c r="AG173" i="1"/>
  <c r="AY173" i="1" s="1"/>
  <c r="AG174" i="1"/>
  <c r="AY174" i="1" s="1"/>
  <c r="AG175" i="1"/>
  <c r="AY175" i="1" s="1"/>
  <c r="AG176" i="1"/>
  <c r="AY176" i="1" s="1"/>
  <c r="AG177" i="1"/>
  <c r="AY177" i="1" s="1"/>
  <c r="AG178" i="1"/>
  <c r="AY178" i="1" s="1"/>
  <c r="AG179" i="1"/>
  <c r="AY179" i="1" s="1"/>
  <c r="AG180" i="1"/>
  <c r="AY180" i="1" s="1"/>
  <c r="AG181" i="1"/>
  <c r="AY181" i="1" s="1"/>
  <c r="AG182" i="1"/>
  <c r="AY182" i="1" s="1"/>
  <c r="AG183" i="1"/>
  <c r="AY183" i="1" s="1"/>
  <c r="AG184" i="1"/>
  <c r="AY184" i="1" s="1"/>
  <c r="AG185" i="1"/>
  <c r="AY185" i="1" s="1"/>
  <c r="AG186" i="1"/>
  <c r="AY186" i="1" s="1"/>
  <c r="AG187" i="1"/>
  <c r="AY187" i="1" s="1"/>
  <c r="AG188" i="1"/>
  <c r="AY188" i="1" s="1"/>
  <c r="AG189" i="1"/>
  <c r="AY189" i="1" s="1"/>
  <c r="AG190" i="1"/>
  <c r="AY190" i="1" s="1"/>
  <c r="AG191" i="1"/>
  <c r="AY191" i="1" s="1"/>
  <c r="AG192" i="1"/>
  <c r="AY192" i="1" s="1"/>
  <c r="AG193" i="1"/>
  <c r="AY193" i="1" s="1"/>
  <c r="AG194" i="1"/>
  <c r="AY194" i="1" s="1"/>
  <c r="AG195" i="1"/>
  <c r="AY195" i="1" s="1"/>
  <c r="AG196" i="1"/>
  <c r="AY196" i="1" s="1"/>
  <c r="AG197" i="1"/>
  <c r="AY197" i="1" s="1"/>
  <c r="AG198" i="1"/>
  <c r="AY198" i="1" s="1"/>
  <c r="AG199" i="1"/>
  <c r="AY199" i="1" s="1"/>
  <c r="AG200" i="1"/>
  <c r="AY200" i="1" s="1"/>
  <c r="AG201" i="1"/>
  <c r="AY201" i="1" s="1"/>
  <c r="AG202" i="1"/>
  <c r="AY202" i="1" s="1"/>
  <c r="AG203" i="1"/>
  <c r="AY203" i="1" s="1"/>
  <c r="AG204" i="1"/>
  <c r="AY204" i="1" s="1"/>
  <c r="AG205" i="1"/>
  <c r="AY205" i="1" s="1"/>
  <c r="AG206" i="1"/>
  <c r="AY206" i="1" s="1"/>
  <c r="AG207" i="1"/>
  <c r="AY207" i="1" s="1"/>
  <c r="AG208" i="1"/>
  <c r="AY208" i="1" s="1"/>
  <c r="AG209" i="1"/>
  <c r="AY209" i="1" s="1"/>
  <c r="AG210" i="1"/>
  <c r="AY210" i="1" s="1"/>
  <c r="AG211" i="1"/>
  <c r="AY211" i="1" s="1"/>
  <c r="AG212" i="1"/>
  <c r="AY212" i="1" s="1"/>
  <c r="AG213" i="1"/>
  <c r="AY213" i="1" s="1"/>
  <c r="AG214" i="1"/>
  <c r="AY214" i="1" s="1"/>
  <c r="AG215" i="1"/>
  <c r="AY215" i="1" s="1"/>
  <c r="AG216" i="1"/>
  <c r="AY216" i="1" s="1"/>
  <c r="AG217" i="1"/>
  <c r="AY217" i="1" s="1"/>
  <c r="AG218" i="1"/>
  <c r="AY218" i="1" s="1"/>
  <c r="AG219" i="1"/>
  <c r="AY219" i="1" s="1"/>
  <c r="AG220" i="1"/>
  <c r="AY220" i="1" s="1"/>
  <c r="AG221" i="1"/>
  <c r="AY221" i="1" s="1"/>
  <c r="AG222" i="1"/>
  <c r="AY222" i="1" s="1"/>
  <c r="AG223" i="1"/>
  <c r="AY223" i="1" s="1"/>
  <c r="AG224" i="1"/>
  <c r="AY224" i="1" s="1"/>
  <c r="AG225" i="1"/>
  <c r="AY225" i="1" s="1"/>
  <c r="AG226" i="1"/>
  <c r="AY226" i="1" s="1"/>
  <c r="AG227" i="1"/>
  <c r="AY227" i="1" s="1"/>
  <c r="AG228" i="1"/>
  <c r="AY228" i="1" s="1"/>
  <c r="AG229" i="1"/>
  <c r="AY229" i="1" s="1"/>
  <c r="AG230" i="1"/>
  <c r="AY230" i="1" s="1"/>
  <c r="AG231" i="1"/>
  <c r="AY231" i="1" s="1"/>
  <c r="AG232" i="1"/>
  <c r="AY232" i="1" s="1"/>
  <c r="AG233" i="1"/>
  <c r="AY233" i="1" s="1"/>
  <c r="AG234" i="1"/>
  <c r="AY234" i="1" s="1"/>
  <c r="AG235" i="1"/>
  <c r="AY235" i="1" s="1"/>
  <c r="AG236" i="1"/>
  <c r="AY236" i="1" s="1"/>
  <c r="AG237" i="1"/>
  <c r="AY237" i="1" s="1"/>
  <c r="AG238" i="1"/>
  <c r="AY238" i="1" s="1"/>
  <c r="AG239" i="1"/>
  <c r="AY239" i="1" s="1"/>
  <c r="AG240" i="1"/>
  <c r="AY240" i="1" s="1"/>
  <c r="AG241" i="1"/>
  <c r="AY241" i="1" s="1"/>
  <c r="AG242" i="1"/>
  <c r="AY242" i="1" s="1"/>
  <c r="AG243" i="1"/>
  <c r="AY243" i="1" s="1"/>
  <c r="AG244" i="1"/>
  <c r="AY244" i="1" s="1"/>
  <c r="AG245" i="1"/>
  <c r="AY245" i="1" s="1"/>
  <c r="AG246" i="1"/>
  <c r="AY246" i="1" s="1"/>
  <c r="AG247" i="1"/>
  <c r="AY247" i="1" s="1"/>
  <c r="AG248" i="1"/>
  <c r="AY248" i="1" s="1"/>
  <c r="AG249" i="1"/>
  <c r="AY249" i="1" s="1"/>
  <c r="AG250" i="1"/>
  <c r="AY250" i="1" s="1"/>
  <c r="AG251" i="1"/>
  <c r="AY251" i="1" s="1"/>
  <c r="AG252" i="1"/>
  <c r="AY252" i="1" s="1"/>
  <c r="AG253" i="1"/>
  <c r="AY253" i="1" s="1"/>
  <c r="AG254" i="1"/>
  <c r="AY254" i="1" s="1"/>
  <c r="AG255" i="1"/>
  <c r="AY255" i="1" s="1"/>
  <c r="AG256" i="1"/>
  <c r="AY256" i="1" s="1"/>
  <c r="AG257" i="1"/>
  <c r="AY257" i="1" s="1"/>
  <c r="AG258" i="1"/>
  <c r="AY258" i="1" s="1"/>
  <c r="AG259" i="1"/>
  <c r="AY259" i="1" s="1"/>
  <c r="AG260" i="1"/>
  <c r="AY260" i="1" s="1"/>
  <c r="AG261" i="1"/>
  <c r="AY261" i="1" s="1"/>
  <c r="AG262" i="1"/>
  <c r="AY262" i="1" s="1"/>
  <c r="AG263" i="1"/>
  <c r="AY263" i="1" s="1"/>
  <c r="AG264" i="1"/>
  <c r="AY264" i="1" s="1"/>
  <c r="AG265" i="1"/>
  <c r="AY265" i="1" s="1"/>
  <c r="AG266" i="1"/>
  <c r="AY266" i="1" s="1"/>
  <c r="AG267" i="1"/>
  <c r="AY267" i="1" s="1"/>
  <c r="AG268" i="1"/>
  <c r="AY268" i="1" s="1"/>
  <c r="AG269" i="1"/>
  <c r="AY269" i="1" s="1"/>
  <c r="AG270" i="1"/>
  <c r="AY270" i="1" s="1"/>
  <c r="AG271" i="1"/>
  <c r="AY271" i="1" s="1"/>
  <c r="AG272" i="1"/>
  <c r="AY272" i="1" s="1"/>
  <c r="AG273" i="1"/>
  <c r="AY273" i="1" s="1"/>
  <c r="AG274" i="1"/>
  <c r="AY274" i="1" s="1"/>
  <c r="AG275" i="1"/>
  <c r="AY275" i="1" s="1"/>
  <c r="AG276" i="1"/>
  <c r="AY276" i="1" s="1"/>
  <c r="AG277" i="1"/>
  <c r="AY277" i="1" s="1"/>
  <c r="AG278" i="1"/>
  <c r="AY278" i="1" s="1"/>
  <c r="AG279" i="1"/>
  <c r="AY279" i="1" s="1"/>
  <c r="AG280" i="1"/>
  <c r="AY280" i="1" s="1"/>
  <c r="AG281" i="1"/>
  <c r="AY281" i="1" s="1"/>
  <c r="AG282" i="1"/>
  <c r="AY282" i="1" s="1"/>
  <c r="AG283" i="1"/>
  <c r="AY283" i="1" s="1"/>
  <c r="AG284" i="1"/>
  <c r="AY284" i="1" s="1"/>
  <c r="AG285" i="1"/>
  <c r="AY285" i="1" s="1"/>
  <c r="AG286" i="1"/>
  <c r="AY286" i="1" s="1"/>
  <c r="AG287" i="1"/>
  <c r="AY287" i="1" s="1"/>
  <c r="AG288" i="1"/>
  <c r="AY288" i="1" s="1"/>
  <c r="AG289" i="1"/>
  <c r="AY289" i="1" s="1"/>
  <c r="AG290" i="1"/>
  <c r="AY290" i="1" s="1"/>
  <c r="AG291" i="1"/>
  <c r="AY291" i="1" s="1"/>
  <c r="AG292" i="1"/>
  <c r="AY292" i="1" s="1"/>
  <c r="AG293" i="1"/>
  <c r="AY293" i="1" s="1"/>
  <c r="AG294" i="1"/>
  <c r="AY294" i="1" s="1"/>
  <c r="AG295" i="1"/>
  <c r="AY295" i="1" s="1"/>
  <c r="AG296" i="1"/>
  <c r="AY296" i="1" s="1"/>
  <c r="AG297" i="1"/>
  <c r="AY297" i="1" s="1"/>
  <c r="AG298" i="1"/>
  <c r="AY298" i="1" s="1"/>
  <c r="AG299" i="1"/>
  <c r="AY299" i="1" s="1"/>
  <c r="AG300" i="1"/>
  <c r="AY300" i="1" s="1"/>
  <c r="AG301" i="1"/>
  <c r="AY301" i="1" s="1"/>
  <c r="AG302" i="1"/>
  <c r="AY302" i="1" s="1"/>
  <c r="AG303" i="1"/>
  <c r="AY303" i="1" s="1"/>
  <c r="AG304" i="1"/>
  <c r="AY304" i="1" s="1"/>
  <c r="AG305" i="1"/>
  <c r="AY305" i="1" s="1"/>
  <c r="AG306" i="1"/>
  <c r="AY306" i="1" s="1"/>
  <c r="AG307" i="1"/>
  <c r="AY307" i="1" s="1"/>
  <c r="AG308" i="1"/>
  <c r="AY308" i="1" s="1"/>
  <c r="AG309" i="1"/>
  <c r="AY309" i="1" s="1"/>
  <c r="AG310" i="1"/>
  <c r="AY310" i="1" s="1"/>
  <c r="AG311" i="1"/>
  <c r="AY311" i="1" s="1"/>
  <c r="AG312" i="1"/>
  <c r="AY312" i="1" s="1"/>
  <c r="AG313" i="1"/>
  <c r="AY313" i="1" s="1"/>
  <c r="AG314" i="1"/>
  <c r="AY314" i="1" s="1"/>
  <c r="AG315" i="1"/>
  <c r="AY315" i="1" s="1"/>
  <c r="AG316" i="1"/>
  <c r="AY316" i="1" s="1"/>
  <c r="AG317" i="1"/>
  <c r="AY317" i="1" s="1"/>
  <c r="AG318" i="1"/>
  <c r="AY318" i="1" s="1"/>
  <c r="AG319" i="1"/>
  <c r="AY319" i="1" s="1"/>
  <c r="AG320" i="1"/>
  <c r="AY320" i="1" s="1"/>
  <c r="AG321" i="1"/>
  <c r="AY321" i="1" s="1"/>
  <c r="AG322" i="1"/>
  <c r="AY322" i="1" s="1"/>
  <c r="AG323" i="1"/>
  <c r="AY323" i="1" s="1"/>
  <c r="AG324" i="1"/>
  <c r="AY324" i="1" s="1"/>
  <c r="AG325" i="1"/>
  <c r="AY325" i="1" s="1"/>
  <c r="AG326" i="1"/>
  <c r="AY326" i="1" s="1"/>
  <c r="AG327" i="1"/>
  <c r="AY327" i="1" s="1"/>
  <c r="AG328" i="1"/>
  <c r="AY328" i="1" s="1"/>
  <c r="AG329" i="1"/>
  <c r="AY329" i="1" s="1"/>
  <c r="AG330" i="1"/>
  <c r="AY330" i="1" s="1"/>
  <c r="AG331" i="1"/>
  <c r="AY331" i="1" s="1"/>
  <c r="AG332" i="1"/>
  <c r="AY332" i="1" s="1"/>
  <c r="AG333" i="1"/>
  <c r="AY333" i="1" s="1"/>
  <c r="AG334" i="1"/>
  <c r="AY334" i="1" s="1"/>
  <c r="AG335" i="1"/>
  <c r="AY335" i="1" s="1"/>
  <c r="AG336" i="1"/>
  <c r="AY336" i="1" s="1"/>
  <c r="AG337" i="1"/>
  <c r="AY337" i="1" s="1"/>
  <c r="AG338" i="1"/>
  <c r="AY338" i="1" s="1"/>
  <c r="AG339" i="1"/>
  <c r="AY339" i="1" s="1"/>
  <c r="AG340" i="1"/>
  <c r="AY340" i="1" s="1"/>
  <c r="AG341" i="1"/>
  <c r="AY341" i="1" s="1"/>
  <c r="AG342" i="1"/>
  <c r="AY342" i="1" s="1"/>
  <c r="AG343" i="1"/>
  <c r="AY343" i="1" s="1"/>
  <c r="AG344" i="1"/>
  <c r="AY344" i="1" s="1"/>
  <c r="AG345" i="1"/>
  <c r="AY345" i="1" s="1"/>
  <c r="AG346" i="1"/>
  <c r="AY346" i="1" s="1"/>
  <c r="AG347" i="1"/>
  <c r="AY347" i="1" s="1"/>
  <c r="AG348" i="1"/>
  <c r="AY348" i="1" s="1"/>
  <c r="AG349" i="1"/>
  <c r="AY349" i="1" s="1"/>
  <c r="AG350" i="1"/>
  <c r="AY350" i="1" s="1"/>
  <c r="AG351" i="1"/>
  <c r="AY351" i="1" s="1"/>
  <c r="AG352" i="1"/>
  <c r="AY352" i="1" s="1"/>
  <c r="AG353" i="1"/>
  <c r="AY353" i="1" s="1"/>
  <c r="AG354" i="1"/>
  <c r="AY354" i="1" s="1"/>
  <c r="AG355" i="1"/>
  <c r="AY355" i="1" s="1"/>
  <c r="AG356" i="1"/>
  <c r="AY356" i="1" s="1"/>
  <c r="AG357" i="1"/>
  <c r="AY357" i="1" s="1"/>
  <c r="AG358" i="1"/>
  <c r="AY358" i="1" s="1"/>
  <c r="AG359" i="1"/>
  <c r="AY359" i="1" s="1"/>
  <c r="AG360" i="1"/>
  <c r="AY360" i="1" s="1"/>
  <c r="AG361" i="1"/>
  <c r="AY361" i="1" s="1"/>
  <c r="AG362" i="1"/>
  <c r="AY362" i="1" s="1"/>
  <c r="AG363" i="1"/>
  <c r="AY363" i="1" s="1"/>
  <c r="AG364" i="1"/>
  <c r="AY364" i="1" s="1"/>
  <c r="AG365" i="1"/>
  <c r="AY365" i="1" s="1"/>
  <c r="AG366" i="1"/>
  <c r="AY366" i="1" s="1"/>
  <c r="AG367" i="1"/>
  <c r="AY367" i="1" s="1"/>
  <c r="AG368" i="1"/>
  <c r="AY368" i="1" s="1"/>
  <c r="AG369" i="1"/>
  <c r="AY369" i="1" s="1"/>
  <c r="AG370" i="1"/>
  <c r="AY370" i="1" s="1"/>
  <c r="AG371" i="1"/>
  <c r="AY371" i="1" s="1"/>
  <c r="AG372" i="1"/>
  <c r="AY372" i="1" s="1"/>
  <c r="AG373" i="1"/>
  <c r="AY373" i="1" s="1"/>
  <c r="AG374" i="1"/>
  <c r="AY374" i="1" s="1"/>
  <c r="AG375" i="1"/>
  <c r="AY375" i="1" s="1"/>
  <c r="AG376" i="1"/>
  <c r="AY376" i="1" s="1"/>
  <c r="AG377" i="1"/>
  <c r="AY377" i="1" s="1"/>
  <c r="AG378" i="1"/>
  <c r="AY378" i="1" s="1"/>
  <c r="AG379" i="1"/>
  <c r="AY379" i="1" s="1"/>
  <c r="AG380" i="1"/>
  <c r="AY380" i="1" s="1"/>
  <c r="AG381" i="1"/>
  <c r="AY381" i="1" s="1"/>
  <c r="AG382" i="1"/>
  <c r="AY382" i="1" s="1"/>
  <c r="AG383" i="1"/>
  <c r="AY383" i="1" s="1"/>
  <c r="AG384" i="1"/>
  <c r="AY384" i="1" s="1"/>
  <c r="AG385" i="1"/>
  <c r="AY385" i="1" s="1"/>
  <c r="AG386" i="1"/>
  <c r="AY386" i="1" s="1"/>
  <c r="AG387" i="1"/>
  <c r="AY387" i="1" s="1"/>
  <c r="AG388" i="1"/>
  <c r="AY388" i="1" s="1"/>
  <c r="AG389" i="1"/>
  <c r="AY389" i="1" s="1"/>
  <c r="AG390" i="1"/>
  <c r="AY390" i="1" s="1"/>
  <c r="AG391" i="1"/>
  <c r="AY391" i="1" s="1"/>
  <c r="AG392" i="1"/>
  <c r="AY392" i="1" s="1"/>
  <c r="AG393" i="1"/>
  <c r="AY393" i="1" s="1"/>
  <c r="AG394" i="1"/>
  <c r="AY394" i="1" s="1"/>
  <c r="AG395" i="1"/>
  <c r="AY395" i="1" s="1"/>
  <c r="AG396" i="1"/>
  <c r="AY396" i="1" s="1"/>
  <c r="AG397" i="1"/>
  <c r="AY397" i="1" s="1"/>
  <c r="AG398" i="1"/>
  <c r="AY398" i="1" s="1"/>
  <c r="AG399" i="1"/>
  <c r="AY399" i="1" s="1"/>
  <c r="AG400" i="1"/>
  <c r="AY400" i="1" s="1"/>
  <c r="AG401" i="1"/>
  <c r="AY401" i="1" s="1"/>
  <c r="AG402" i="1"/>
  <c r="AY402" i="1" s="1"/>
  <c r="AG403" i="1"/>
  <c r="AY403" i="1" s="1"/>
  <c r="AG404" i="1"/>
  <c r="AY404" i="1" s="1"/>
  <c r="AG405" i="1"/>
  <c r="AY405" i="1" s="1"/>
  <c r="AG406" i="1"/>
  <c r="AY406" i="1" s="1"/>
  <c r="AG407" i="1"/>
  <c r="AY407" i="1" s="1"/>
  <c r="AG408" i="1"/>
  <c r="AY408" i="1" s="1"/>
  <c r="AG409" i="1"/>
  <c r="AY409" i="1" s="1"/>
  <c r="AG410" i="1"/>
  <c r="AY410" i="1" s="1"/>
  <c r="AG411" i="1"/>
  <c r="AY411" i="1" s="1"/>
  <c r="AG412" i="1"/>
  <c r="AY412" i="1" s="1"/>
  <c r="AG413" i="1"/>
  <c r="AY413" i="1" s="1"/>
  <c r="AG414" i="1"/>
  <c r="AY414" i="1" s="1"/>
  <c r="AG415" i="1"/>
  <c r="AY415" i="1" s="1"/>
  <c r="AG416" i="1"/>
  <c r="AY416" i="1" s="1"/>
  <c r="AG417" i="1"/>
  <c r="AY417" i="1" s="1"/>
  <c r="AG418" i="1"/>
  <c r="AY418" i="1" s="1"/>
  <c r="AG419" i="1"/>
  <c r="AY419" i="1" s="1"/>
  <c r="AG420" i="1"/>
  <c r="AY420" i="1" s="1"/>
  <c r="AG421" i="1"/>
  <c r="AY421" i="1" s="1"/>
  <c r="AG422" i="1"/>
  <c r="AY422" i="1" s="1"/>
  <c r="AG423" i="1"/>
  <c r="AY423" i="1" s="1"/>
  <c r="AG424" i="1"/>
  <c r="AY424" i="1" s="1"/>
  <c r="AG425" i="1"/>
  <c r="AY425" i="1" s="1"/>
  <c r="AG426" i="1"/>
  <c r="AY426" i="1" s="1"/>
  <c r="AG427" i="1"/>
  <c r="AY427" i="1" s="1"/>
  <c r="AG428" i="1"/>
  <c r="AY428" i="1" s="1"/>
  <c r="AG429" i="1"/>
  <c r="AY429" i="1" s="1"/>
  <c r="AG430" i="1"/>
  <c r="AY430" i="1" s="1"/>
  <c r="AG431" i="1"/>
  <c r="AY431" i="1" s="1"/>
  <c r="AG432" i="1"/>
  <c r="AY432" i="1" s="1"/>
  <c r="AG433" i="1"/>
  <c r="AY433" i="1" s="1"/>
  <c r="AG434" i="1"/>
  <c r="AY434" i="1" s="1"/>
  <c r="AG435" i="1"/>
  <c r="AY435" i="1" s="1"/>
  <c r="AG436" i="1"/>
  <c r="AY436" i="1" s="1"/>
  <c r="AG437" i="1"/>
  <c r="AY437" i="1" s="1"/>
  <c r="AG438" i="1"/>
  <c r="AY438" i="1" s="1"/>
  <c r="AG439" i="1"/>
  <c r="AY439" i="1" s="1"/>
  <c r="AG440" i="1"/>
  <c r="AY440" i="1" s="1"/>
  <c r="AG441" i="1"/>
  <c r="AY441" i="1" s="1"/>
  <c r="AG442" i="1"/>
  <c r="AY442" i="1" s="1"/>
  <c r="AG443" i="1"/>
  <c r="AY443" i="1" s="1"/>
  <c r="AG444" i="1"/>
  <c r="AY444" i="1" s="1"/>
  <c r="AG445" i="1"/>
  <c r="AY445" i="1" s="1"/>
  <c r="AG446" i="1"/>
  <c r="AY446" i="1" s="1"/>
  <c r="AG447" i="1"/>
  <c r="AY447" i="1" s="1"/>
  <c r="AG448" i="1"/>
  <c r="AY448" i="1" s="1"/>
  <c r="AG449" i="1"/>
  <c r="AY449" i="1" s="1"/>
  <c r="AG450" i="1"/>
  <c r="AY450" i="1" s="1"/>
  <c r="AG451" i="1"/>
  <c r="AY451" i="1" s="1"/>
  <c r="AG452" i="1"/>
  <c r="AY452" i="1" s="1"/>
  <c r="AG453" i="1"/>
  <c r="AY453" i="1" s="1"/>
  <c r="AG454" i="1"/>
  <c r="AY454" i="1" s="1"/>
  <c r="AG455" i="1"/>
  <c r="AY455" i="1" s="1"/>
  <c r="AG456" i="1"/>
  <c r="AY456" i="1" s="1"/>
  <c r="AG457" i="1"/>
  <c r="AY457" i="1" s="1"/>
  <c r="AG458" i="1"/>
  <c r="AY458" i="1" s="1"/>
  <c r="AG459" i="1"/>
  <c r="AY459" i="1" s="1"/>
  <c r="AG460" i="1"/>
  <c r="AY460" i="1" s="1"/>
  <c r="AG461" i="1"/>
  <c r="AY461" i="1" s="1"/>
  <c r="AG462" i="1"/>
  <c r="AY462" i="1" s="1"/>
  <c r="AG463" i="1"/>
  <c r="AY463" i="1" s="1"/>
  <c r="AG464" i="1"/>
  <c r="AY464" i="1" s="1"/>
  <c r="AG465" i="1"/>
  <c r="AY465" i="1" s="1"/>
  <c r="AG466" i="1"/>
  <c r="AY466" i="1" s="1"/>
  <c r="AG467" i="1"/>
  <c r="AY467" i="1" s="1"/>
  <c r="AG468" i="1"/>
  <c r="AY468" i="1" s="1"/>
  <c r="AG469" i="1"/>
  <c r="AY469" i="1" s="1"/>
  <c r="AG470" i="1"/>
  <c r="AY470" i="1" s="1"/>
  <c r="AG471" i="1"/>
  <c r="AY471" i="1" s="1"/>
  <c r="AG472" i="1"/>
  <c r="AY472" i="1" s="1"/>
  <c r="AG473" i="1"/>
  <c r="AY473" i="1" s="1"/>
  <c r="AG474" i="1"/>
  <c r="AY474" i="1" s="1"/>
  <c r="AG475" i="1"/>
  <c r="AY475" i="1" s="1"/>
  <c r="AG476" i="1"/>
  <c r="AY476" i="1" s="1"/>
  <c r="AG477" i="1"/>
  <c r="AY477" i="1" s="1"/>
  <c r="AG478" i="1"/>
  <c r="AY478" i="1" s="1"/>
  <c r="AG479" i="1"/>
  <c r="AY479" i="1" s="1"/>
  <c r="AG480" i="1"/>
  <c r="AY480" i="1" s="1"/>
  <c r="AG481" i="1"/>
  <c r="AY481" i="1" s="1"/>
  <c r="AG482" i="1"/>
  <c r="AY482" i="1" s="1"/>
  <c r="AG483" i="1"/>
  <c r="AY483" i="1" s="1"/>
  <c r="AG484" i="1"/>
  <c r="AY484" i="1" s="1"/>
  <c r="AG485" i="1"/>
  <c r="AY485" i="1" s="1"/>
  <c r="AG486" i="1"/>
  <c r="AY486" i="1" s="1"/>
  <c r="AG487" i="1"/>
  <c r="AY487" i="1" s="1"/>
  <c r="AG488" i="1"/>
  <c r="AY488" i="1" s="1"/>
  <c r="AG489" i="1"/>
  <c r="AY489" i="1" s="1"/>
  <c r="AG490" i="1"/>
  <c r="AY490" i="1" s="1"/>
  <c r="AG491" i="1"/>
  <c r="AY491" i="1" s="1"/>
  <c r="AG492" i="1"/>
  <c r="AY492" i="1" s="1"/>
  <c r="AG493" i="1"/>
  <c r="AY493" i="1" s="1"/>
  <c r="AG494" i="1"/>
  <c r="AY494" i="1" s="1"/>
  <c r="AG495" i="1"/>
  <c r="AY495" i="1" s="1"/>
  <c r="AG496" i="1"/>
  <c r="AY496" i="1" s="1"/>
  <c r="AG497" i="1"/>
  <c r="AY497" i="1" s="1"/>
  <c r="AG498" i="1"/>
  <c r="AY498" i="1" s="1"/>
  <c r="AG499" i="1"/>
  <c r="AY499" i="1" s="1"/>
  <c r="AG500" i="1"/>
  <c r="AY500" i="1" s="1"/>
  <c r="AG501" i="1"/>
  <c r="AY501" i="1" s="1"/>
  <c r="AG502" i="1"/>
  <c r="AY502" i="1" s="1"/>
  <c r="AG503" i="1"/>
  <c r="AY503" i="1" s="1"/>
  <c r="AG504" i="1"/>
  <c r="AY504" i="1" s="1"/>
  <c r="AG505" i="1"/>
  <c r="AY505" i="1" s="1"/>
  <c r="AG506" i="1"/>
  <c r="AY506" i="1" s="1"/>
  <c r="AG507" i="1"/>
  <c r="AY507" i="1" s="1"/>
  <c r="AG508" i="1"/>
  <c r="AY508" i="1" s="1"/>
  <c r="AG509" i="1"/>
  <c r="AY509" i="1" s="1"/>
  <c r="AG510" i="1"/>
  <c r="AY510" i="1" s="1"/>
  <c r="AG511" i="1"/>
  <c r="AY511" i="1" s="1"/>
  <c r="AG512" i="1"/>
  <c r="AY512" i="1" s="1"/>
  <c r="AG513" i="1"/>
  <c r="AY513" i="1" s="1"/>
  <c r="AG514" i="1"/>
  <c r="AY514" i="1" s="1"/>
  <c r="AG515" i="1"/>
  <c r="AY515" i="1" s="1"/>
  <c r="AG516" i="1"/>
  <c r="AY516" i="1" s="1"/>
  <c r="AG517" i="1"/>
  <c r="AY517" i="1" s="1"/>
  <c r="AG518" i="1"/>
  <c r="AY518" i="1" s="1"/>
  <c r="AG519" i="1"/>
  <c r="AY519" i="1" s="1"/>
  <c r="AG520" i="1"/>
  <c r="AY520" i="1" s="1"/>
  <c r="AG521" i="1"/>
  <c r="AY521" i="1" s="1"/>
  <c r="AG522" i="1"/>
  <c r="AY522" i="1" s="1"/>
  <c r="AG523" i="1"/>
  <c r="AY523" i="1" s="1"/>
  <c r="AG524" i="1"/>
  <c r="AY524" i="1" s="1"/>
  <c r="AG525" i="1"/>
  <c r="AY525" i="1" s="1"/>
  <c r="AG526" i="1"/>
  <c r="AY526" i="1" s="1"/>
  <c r="AG527" i="1"/>
  <c r="AY527" i="1" s="1"/>
  <c r="AG528" i="1"/>
  <c r="AY528" i="1" s="1"/>
  <c r="AG529" i="1"/>
  <c r="AY529" i="1" s="1"/>
  <c r="AG530" i="1"/>
  <c r="AY530" i="1" s="1"/>
  <c r="AG531" i="1"/>
  <c r="AY531" i="1" s="1"/>
  <c r="AG532" i="1"/>
  <c r="AY532" i="1" s="1"/>
  <c r="AG533" i="1"/>
  <c r="AY533" i="1" s="1"/>
  <c r="AG534" i="1"/>
  <c r="AY534" i="1" s="1"/>
  <c r="AG535" i="1"/>
  <c r="AY535" i="1" s="1"/>
  <c r="AG536" i="1"/>
  <c r="AY536" i="1" s="1"/>
  <c r="AG537" i="1"/>
  <c r="AY537" i="1" s="1"/>
  <c r="AG538" i="1"/>
  <c r="AY538" i="1" s="1"/>
  <c r="AG539" i="1"/>
  <c r="AY539" i="1" s="1"/>
  <c r="AG540" i="1"/>
  <c r="AY540" i="1" s="1"/>
  <c r="AG541" i="1"/>
  <c r="AY541" i="1" s="1"/>
  <c r="AG542" i="1"/>
  <c r="AY542" i="1" s="1"/>
  <c r="AG543" i="1"/>
  <c r="AY543" i="1" s="1"/>
  <c r="AG544" i="1"/>
  <c r="AY544" i="1" s="1"/>
  <c r="AG545" i="1"/>
  <c r="AY545" i="1" s="1"/>
  <c r="AG546" i="1"/>
  <c r="AY546" i="1" s="1"/>
  <c r="AG547" i="1"/>
  <c r="AY547" i="1" s="1"/>
  <c r="AG548" i="1"/>
  <c r="AY548" i="1" s="1"/>
  <c r="AG549" i="1"/>
  <c r="AY549" i="1" s="1"/>
  <c r="AG550" i="1"/>
  <c r="AY550" i="1" s="1"/>
  <c r="AG551" i="1"/>
  <c r="AY551" i="1" s="1"/>
  <c r="AG552" i="1"/>
  <c r="AY552" i="1" s="1"/>
  <c r="AG553" i="1"/>
  <c r="AY553" i="1" s="1"/>
  <c r="AG554" i="1"/>
  <c r="AY554" i="1" s="1"/>
  <c r="AG555" i="1"/>
  <c r="AY555" i="1" s="1"/>
  <c r="AG556" i="1"/>
  <c r="AY556" i="1" s="1"/>
  <c r="AG557" i="1"/>
  <c r="AY557" i="1" s="1"/>
  <c r="AG558" i="1"/>
  <c r="AY558" i="1" s="1"/>
  <c r="AG559" i="1"/>
  <c r="AY559" i="1" s="1"/>
  <c r="AG560" i="1"/>
  <c r="AY560" i="1" s="1"/>
  <c r="AG561" i="1"/>
  <c r="AY561" i="1" s="1"/>
  <c r="AG562" i="1"/>
  <c r="AY562" i="1" s="1"/>
  <c r="AG563" i="1"/>
  <c r="AY563" i="1" s="1"/>
  <c r="AG564" i="1"/>
  <c r="AY564" i="1" s="1"/>
  <c r="AG565" i="1"/>
  <c r="AY565" i="1" s="1"/>
  <c r="AG566" i="1"/>
  <c r="AY566" i="1" s="1"/>
  <c r="AG567" i="1"/>
  <c r="AY567" i="1" s="1"/>
  <c r="AG568" i="1"/>
  <c r="AY568" i="1" s="1"/>
  <c r="AG569" i="1"/>
  <c r="AY569" i="1" s="1"/>
  <c r="AG570" i="1"/>
  <c r="AY570" i="1" s="1"/>
  <c r="AG571" i="1"/>
  <c r="AY571" i="1" s="1"/>
  <c r="AG572" i="1"/>
  <c r="AY572" i="1" s="1"/>
  <c r="AG573" i="1"/>
  <c r="AY573" i="1" s="1"/>
  <c r="AG574" i="1"/>
  <c r="AY574" i="1" s="1"/>
  <c r="AG575" i="1"/>
  <c r="AY575" i="1" s="1"/>
  <c r="AG576" i="1"/>
  <c r="AY576" i="1" s="1"/>
  <c r="AG577" i="1"/>
  <c r="AY577" i="1" s="1"/>
  <c r="AG578" i="1"/>
  <c r="AY578" i="1" s="1"/>
  <c r="AG579" i="1"/>
  <c r="AY579" i="1" s="1"/>
  <c r="AG580" i="1"/>
  <c r="AY580" i="1" s="1"/>
  <c r="AG581" i="1"/>
  <c r="AY581" i="1" s="1"/>
  <c r="AG582" i="1"/>
  <c r="AY582" i="1" s="1"/>
  <c r="AG583" i="1"/>
  <c r="AY583" i="1" s="1"/>
  <c r="AG584" i="1"/>
  <c r="AY584" i="1" s="1"/>
  <c r="AG585" i="1"/>
  <c r="AY585" i="1" s="1"/>
  <c r="AG586" i="1"/>
  <c r="AY586" i="1" s="1"/>
  <c r="AG587" i="1"/>
  <c r="AY587" i="1" s="1"/>
  <c r="AG588" i="1"/>
  <c r="AY588" i="1" s="1"/>
  <c r="AG589" i="1"/>
  <c r="AY589" i="1" s="1"/>
  <c r="AG590" i="1"/>
  <c r="AY590" i="1" s="1"/>
  <c r="AG591" i="1"/>
  <c r="AY591" i="1" s="1"/>
  <c r="AG592" i="1"/>
  <c r="AY592" i="1" s="1"/>
  <c r="AG593" i="1"/>
  <c r="AY593" i="1" s="1"/>
  <c r="AG594" i="1"/>
  <c r="AY594" i="1" s="1"/>
  <c r="AG595" i="1"/>
  <c r="AY595" i="1" s="1"/>
  <c r="AG596" i="1"/>
  <c r="AY596" i="1" s="1"/>
  <c r="AG597" i="1"/>
  <c r="AY597" i="1" s="1"/>
  <c r="AG598" i="1"/>
  <c r="AY598" i="1" s="1"/>
  <c r="AG599" i="1"/>
  <c r="AY599" i="1" s="1"/>
  <c r="AG600" i="1"/>
  <c r="AY600" i="1" s="1"/>
  <c r="AG601" i="1"/>
  <c r="AY601" i="1" s="1"/>
  <c r="AG602" i="1"/>
  <c r="AY602" i="1" s="1"/>
  <c r="AG603" i="1"/>
  <c r="AY603" i="1" s="1"/>
  <c r="AG604" i="1"/>
  <c r="AY604" i="1" s="1"/>
  <c r="AG605" i="1"/>
  <c r="AY605" i="1" s="1"/>
  <c r="AG606" i="1"/>
  <c r="AY606" i="1" s="1"/>
  <c r="AG607" i="1"/>
  <c r="AY607" i="1" s="1"/>
  <c r="AG608" i="1"/>
  <c r="AY608" i="1" s="1"/>
  <c r="AG609" i="1"/>
  <c r="AY609" i="1" s="1"/>
  <c r="AG610" i="1"/>
  <c r="AY610" i="1" s="1"/>
  <c r="AG611" i="1"/>
  <c r="AY611" i="1" s="1"/>
  <c r="AG612" i="1"/>
  <c r="AY612" i="1" s="1"/>
  <c r="AG613" i="1"/>
  <c r="AY613" i="1" s="1"/>
  <c r="AG614" i="1"/>
  <c r="AY614" i="1" s="1"/>
  <c r="AG615" i="1"/>
  <c r="AY615" i="1" s="1"/>
  <c r="AG616" i="1"/>
  <c r="AY616" i="1" s="1"/>
  <c r="AG617" i="1"/>
  <c r="AY617" i="1" s="1"/>
  <c r="AG618" i="1"/>
  <c r="AY618" i="1" s="1"/>
  <c r="AG619" i="1"/>
  <c r="AY619" i="1" s="1"/>
  <c r="AG620" i="1"/>
  <c r="AY620" i="1" s="1"/>
  <c r="AG621" i="1"/>
  <c r="AY621" i="1" s="1"/>
  <c r="AG622" i="1"/>
  <c r="AY622" i="1" s="1"/>
  <c r="AG623" i="1"/>
  <c r="AY623" i="1" s="1"/>
  <c r="AG624" i="1"/>
  <c r="AY624" i="1" s="1"/>
  <c r="AG625" i="1"/>
  <c r="AY625" i="1" s="1"/>
  <c r="AG626" i="1"/>
  <c r="AY626" i="1" s="1"/>
  <c r="AG627" i="1"/>
  <c r="AY627" i="1" s="1"/>
  <c r="AG628" i="1"/>
  <c r="AY628" i="1" s="1"/>
  <c r="AG629" i="1"/>
  <c r="AY629" i="1" s="1"/>
  <c r="AG630" i="1"/>
  <c r="AY630" i="1" s="1"/>
  <c r="AG631" i="1"/>
  <c r="AY631" i="1" s="1"/>
  <c r="AG632" i="1"/>
  <c r="AY632" i="1" s="1"/>
  <c r="AG633" i="1"/>
  <c r="AY633" i="1" s="1"/>
  <c r="AG634" i="1"/>
  <c r="AY634" i="1" s="1"/>
  <c r="AG635" i="1"/>
  <c r="AY635" i="1" s="1"/>
  <c r="AG636" i="1"/>
  <c r="AY636" i="1" s="1"/>
  <c r="AG637" i="1"/>
  <c r="AY637" i="1" s="1"/>
  <c r="AG638" i="1"/>
  <c r="AY638" i="1" s="1"/>
  <c r="AG639" i="1"/>
  <c r="AY639" i="1" s="1"/>
  <c r="AG640" i="1"/>
  <c r="AY640" i="1" s="1"/>
  <c r="AG641" i="1"/>
  <c r="AY641" i="1" s="1"/>
  <c r="AG642" i="1"/>
  <c r="AY642" i="1" s="1"/>
  <c r="AG643" i="1"/>
  <c r="AY643" i="1" s="1"/>
  <c r="AG644" i="1"/>
  <c r="AY644" i="1" s="1"/>
  <c r="AG645" i="1"/>
  <c r="AY645" i="1" s="1"/>
  <c r="AG646" i="1"/>
  <c r="AY646" i="1" s="1"/>
  <c r="AG647" i="1"/>
  <c r="AY647" i="1" s="1"/>
  <c r="AG648" i="1"/>
  <c r="AY648" i="1" s="1"/>
  <c r="AG649" i="1"/>
  <c r="AY649" i="1" s="1"/>
  <c r="AG650" i="1"/>
  <c r="AY650" i="1" s="1"/>
  <c r="AG651" i="1"/>
  <c r="AY651" i="1" s="1"/>
  <c r="AG652" i="1"/>
  <c r="AY652" i="1" s="1"/>
  <c r="AG653" i="1"/>
  <c r="AY653" i="1" s="1"/>
  <c r="AG654" i="1"/>
  <c r="AY654" i="1" s="1"/>
  <c r="AG655" i="1"/>
  <c r="AY655" i="1" s="1"/>
  <c r="AG656" i="1"/>
  <c r="AY656" i="1" s="1"/>
  <c r="AG657" i="1"/>
  <c r="AY657" i="1" s="1"/>
  <c r="AG658" i="1"/>
  <c r="AY658" i="1" s="1"/>
  <c r="AG659" i="1"/>
  <c r="AY659" i="1" s="1"/>
  <c r="AG660" i="1"/>
  <c r="AY660" i="1" s="1"/>
  <c r="AG661" i="1"/>
  <c r="AY661" i="1" s="1"/>
  <c r="AG662" i="1"/>
  <c r="AY662" i="1" s="1"/>
  <c r="AG663" i="1"/>
  <c r="AY663" i="1" s="1"/>
  <c r="AG664" i="1"/>
  <c r="AY664" i="1" s="1"/>
  <c r="AG665" i="1"/>
  <c r="AY665" i="1" s="1"/>
  <c r="AG666" i="1"/>
  <c r="AY666" i="1" s="1"/>
  <c r="AG667" i="1"/>
  <c r="AY667" i="1" s="1"/>
  <c r="AG668" i="1"/>
  <c r="AY668" i="1" s="1"/>
  <c r="AG669" i="1"/>
  <c r="AY669" i="1" s="1"/>
  <c r="AG670" i="1"/>
  <c r="AY670" i="1" s="1"/>
  <c r="AG671" i="1"/>
  <c r="AY671" i="1" s="1"/>
  <c r="AG672" i="1"/>
  <c r="AY672" i="1" s="1"/>
  <c r="AG673" i="1"/>
  <c r="AY673" i="1" s="1"/>
  <c r="AG674" i="1"/>
  <c r="AY674" i="1" s="1"/>
  <c r="AG675" i="1"/>
  <c r="AY675" i="1" s="1"/>
  <c r="AG676" i="1"/>
  <c r="AY676" i="1" s="1"/>
  <c r="AG677" i="1"/>
  <c r="AY677" i="1" s="1"/>
  <c r="AG678" i="1"/>
  <c r="AY678" i="1" s="1"/>
  <c r="AG679" i="1"/>
  <c r="AY679" i="1" s="1"/>
  <c r="AG680" i="1"/>
  <c r="AY680" i="1" s="1"/>
  <c r="AG681" i="1"/>
  <c r="AY681" i="1" s="1"/>
  <c r="AG682" i="1"/>
  <c r="AY682" i="1" s="1"/>
  <c r="AG683" i="1"/>
  <c r="AY683" i="1" s="1"/>
  <c r="AG684" i="1"/>
  <c r="AY684" i="1" s="1"/>
  <c r="AG685" i="1"/>
  <c r="AY685" i="1" s="1"/>
  <c r="AG686" i="1"/>
  <c r="AY686" i="1" s="1"/>
  <c r="AG687" i="1"/>
  <c r="AY687" i="1" s="1"/>
  <c r="AG688" i="1"/>
  <c r="AY688" i="1" s="1"/>
  <c r="AG689" i="1"/>
  <c r="AY689" i="1" s="1"/>
  <c r="AG690" i="1"/>
  <c r="AY690" i="1" s="1"/>
  <c r="AG691" i="1"/>
  <c r="AY691" i="1" s="1"/>
  <c r="AG692" i="1"/>
  <c r="AY692" i="1" s="1"/>
  <c r="AG693" i="1"/>
  <c r="AY693" i="1" s="1"/>
  <c r="AG694" i="1"/>
  <c r="AY694" i="1" s="1"/>
  <c r="AG695" i="1"/>
  <c r="AY695" i="1" s="1"/>
  <c r="AG696" i="1"/>
  <c r="AY696" i="1" s="1"/>
  <c r="AG697" i="1"/>
  <c r="AY697" i="1" s="1"/>
  <c r="AG698" i="1"/>
  <c r="AY698" i="1" s="1"/>
  <c r="AG699" i="1"/>
  <c r="AY699" i="1" s="1"/>
  <c r="AG700" i="1"/>
  <c r="AY700" i="1" s="1"/>
  <c r="AG701" i="1"/>
  <c r="AY701" i="1" s="1"/>
  <c r="AG702" i="1"/>
  <c r="AY702" i="1" s="1"/>
  <c r="AG703" i="1"/>
  <c r="AY703" i="1" s="1"/>
  <c r="AG704" i="1"/>
  <c r="AY704" i="1" s="1"/>
  <c r="AG705" i="1"/>
  <c r="AY705" i="1" s="1"/>
  <c r="AG706" i="1"/>
  <c r="AY706" i="1" s="1"/>
  <c r="AG707" i="1"/>
  <c r="AY707" i="1" s="1"/>
  <c r="AG708" i="1"/>
  <c r="AY708" i="1" s="1"/>
  <c r="AG709" i="1"/>
  <c r="AY709" i="1" s="1"/>
  <c r="AG710" i="1"/>
  <c r="AY710" i="1" s="1"/>
  <c r="AG711" i="1"/>
  <c r="AY711" i="1" s="1"/>
  <c r="AG712" i="1"/>
  <c r="AY712" i="1" s="1"/>
  <c r="AG713" i="1"/>
  <c r="AY713" i="1" s="1"/>
  <c r="AG714" i="1"/>
  <c r="AY714" i="1" s="1"/>
  <c r="AG715" i="1"/>
  <c r="AY715" i="1" s="1"/>
  <c r="AG716" i="1"/>
  <c r="AY716" i="1" s="1"/>
  <c r="AG717" i="1"/>
  <c r="AY717" i="1" s="1"/>
  <c r="AG718" i="1"/>
  <c r="AY718" i="1" s="1"/>
  <c r="AG719" i="1"/>
  <c r="AY719" i="1" s="1"/>
  <c r="AG720" i="1"/>
  <c r="AY720" i="1" s="1"/>
  <c r="AG721" i="1"/>
  <c r="AY721" i="1" s="1"/>
  <c r="AG722" i="1"/>
  <c r="AY722" i="1" s="1"/>
  <c r="AG723" i="1"/>
  <c r="AY723" i="1" s="1"/>
  <c r="AG724" i="1"/>
  <c r="AY724" i="1" s="1"/>
  <c r="AG725" i="1"/>
  <c r="AY725" i="1" s="1"/>
  <c r="AG726" i="1"/>
  <c r="AY726" i="1" s="1"/>
  <c r="AG727" i="1"/>
  <c r="AY727" i="1" s="1"/>
  <c r="AG728" i="1"/>
  <c r="AY728" i="1" s="1"/>
  <c r="AG729" i="1"/>
  <c r="AY729" i="1" s="1"/>
  <c r="AG730" i="1"/>
  <c r="AY730" i="1" s="1"/>
  <c r="AG731" i="1"/>
  <c r="AY731" i="1" s="1"/>
  <c r="AG732" i="1"/>
  <c r="AY732" i="1" s="1"/>
  <c r="AG733" i="1"/>
  <c r="AY733" i="1" s="1"/>
  <c r="AG734" i="1"/>
  <c r="AY734" i="1" s="1"/>
  <c r="AG735" i="1"/>
  <c r="AY735" i="1" s="1"/>
  <c r="AG736" i="1"/>
  <c r="AY736" i="1" s="1"/>
  <c r="AG737" i="1"/>
  <c r="AY737" i="1" s="1"/>
  <c r="AG738" i="1"/>
  <c r="AY738" i="1" s="1"/>
  <c r="AG739" i="1"/>
  <c r="AY739" i="1" s="1"/>
  <c r="AG740" i="1"/>
  <c r="AY740" i="1" s="1"/>
  <c r="AG741" i="1"/>
  <c r="AY741" i="1" s="1"/>
  <c r="AG742" i="1"/>
  <c r="AY742" i="1" s="1"/>
  <c r="AG743" i="1"/>
  <c r="AY743" i="1" s="1"/>
  <c r="AG744" i="1"/>
  <c r="AY744" i="1" s="1"/>
  <c r="AG745" i="1"/>
  <c r="AY745" i="1" s="1"/>
  <c r="AG746" i="1"/>
  <c r="AY746" i="1" s="1"/>
  <c r="AG747" i="1"/>
  <c r="AY747" i="1" s="1"/>
  <c r="AG748" i="1"/>
  <c r="AY748" i="1" s="1"/>
  <c r="AG749" i="1"/>
  <c r="AY749" i="1" s="1"/>
  <c r="AG750" i="1"/>
  <c r="AY750" i="1" s="1"/>
  <c r="AG751" i="1"/>
  <c r="AY751" i="1" s="1"/>
  <c r="AG752" i="1"/>
  <c r="AY752" i="1" s="1"/>
  <c r="AG753" i="1"/>
  <c r="AY753" i="1" s="1"/>
  <c r="AG754" i="1"/>
  <c r="AY754" i="1" s="1"/>
  <c r="AG755" i="1"/>
  <c r="AY755" i="1" s="1"/>
  <c r="AG756" i="1"/>
  <c r="AY756" i="1" s="1"/>
  <c r="AG757" i="1"/>
  <c r="AY757" i="1" s="1"/>
  <c r="AG758" i="1"/>
  <c r="AY758" i="1" s="1"/>
  <c r="AG759" i="1"/>
  <c r="AY759" i="1" s="1"/>
  <c r="AG760" i="1"/>
  <c r="AY760" i="1" s="1"/>
  <c r="AG761" i="1"/>
  <c r="AY761" i="1" s="1"/>
  <c r="AG762" i="1"/>
  <c r="AY762" i="1" s="1"/>
  <c r="AG763" i="1"/>
  <c r="AY763" i="1" s="1"/>
  <c r="AG764" i="1"/>
  <c r="AY764" i="1" s="1"/>
  <c r="AG765" i="1"/>
  <c r="AY765" i="1" s="1"/>
  <c r="AG766" i="1"/>
  <c r="AY766" i="1" s="1"/>
  <c r="AG767" i="1"/>
  <c r="AY767" i="1" s="1"/>
  <c r="AG768" i="1"/>
  <c r="AY768" i="1" s="1"/>
  <c r="AG769" i="1"/>
  <c r="AY769" i="1" s="1"/>
  <c r="AG770" i="1"/>
  <c r="AY770" i="1" s="1"/>
  <c r="AG771" i="1"/>
  <c r="AY771" i="1" s="1"/>
  <c r="AG772" i="1"/>
  <c r="AY772" i="1" s="1"/>
  <c r="AG773" i="1"/>
  <c r="AY773" i="1" s="1"/>
  <c r="AG774" i="1"/>
  <c r="AY774" i="1" s="1"/>
  <c r="AG775" i="1"/>
  <c r="AY775" i="1" s="1"/>
  <c r="AG776" i="1"/>
  <c r="AY776" i="1" s="1"/>
  <c r="AG777" i="1"/>
  <c r="AY777" i="1" s="1"/>
  <c r="AG778" i="1"/>
  <c r="AY778" i="1" s="1"/>
  <c r="AG779" i="1"/>
  <c r="AY779" i="1" s="1"/>
  <c r="AG780" i="1"/>
  <c r="AY780" i="1" s="1"/>
  <c r="AG781" i="1"/>
  <c r="AY781" i="1" s="1"/>
  <c r="AG782" i="1"/>
  <c r="AY782" i="1" s="1"/>
  <c r="AG783" i="1"/>
  <c r="AY783" i="1" s="1"/>
  <c r="AG784" i="1"/>
  <c r="AY784" i="1" s="1"/>
  <c r="AG785" i="1"/>
  <c r="AY785" i="1" s="1"/>
  <c r="AG786" i="1"/>
  <c r="AY786" i="1" s="1"/>
  <c r="AG787" i="1"/>
  <c r="AY787" i="1" s="1"/>
  <c r="AG788" i="1"/>
  <c r="AY788" i="1" s="1"/>
  <c r="AG789" i="1"/>
  <c r="AY789" i="1" s="1"/>
  <c r="AG790" i="1"/>
  <c r="AY790" i="1" s="1"/>
  <c r="AG791" i="1"/>
  <c r="AY791" i="1" s="1"/>
  <c r="AG792" i="1"/>
  <c r="AY792" i="1" s="1"/>
  <c r="AG793" i="1"/>
  <c r="AY793" i="1" s="1"/>
  <c r="AG794" i="1"/>
  <c r="AY794" i="1" s="1"/>
  <c r="AG795" i="1"/>
  <c r="AY795" i="1" s="1"/>
  <c r="AG796" i="1"/>
  <c r="AY796" i="1" s="1"/>
  <c r="AG797" i="1"/>
  <c r="AY797" i="1" s="1"/>
  <c r="AG798" i="1"/>
  <c r="AY798" i="1" s="1"/>
  <c r="AG799" i="1"/>
  <c r="AY799" i="1" s="1"/>
  <c r="AG800" i="1"/>
  <c r="AY800" i="1" s="1"/>
  <c r="AG801" i="1"/>
  <c r="AY801" i="1" s="1"/>
  <c r="AG802" i="1"/>
  <c r="AY802" i="1" s="1"/>
  <c r="AG803" i="1"/>
  <c r="AY803" i="1" s="1"/>
  <c r="AG804" i="1"/>
  <c r="AY804" i="1" s="1"/>
  <c r="AG805" i="1"/>
  <c r="AY805" i="1" s="1"/>
  <c r="AG806" i="1"/>
  <c r="AY806" i="1" s="1"/>
  <c r="AG807" i="1"/>
  <c r="AY807" i="1" s="1"/>
  <c r="AG808" i="1"/>
  <c r="AY808" i="1" s="1"/>
  <c r="AG809" i="1"/>
  <c r="AY809" i="1" s="1"/>
  <c r="AG810" i="1"/>
  <c r="AY810" i="1" s="1"/>
  <c r="AG811" i="1"/>
  <c r="AY811" i="1" s="1"/>
  <c r="AG812" i="1"/>
  <c r="AY812" i="1" s="1"/>
  <c r="AG813" i="1"/>
  <c r="AY813" i="1" s="1"/>
  <c r="AG814" i="1"/>
  <c r="AY814" i="1" s="1"/>
  <c r="AG815" i="1"/>
  <c r="AY815" i="1" s="1"/>
  <c r="AG816" i="1"/>
  <c r="AY816" i="1" s="1"/>
  <c r="AG817" i="1"/>
  <c r="AY817" i="1" s="1"/>
  <c r="AG818" i="1"/>
  <c r="AY818" i="1" s="1"/>
  <c r="AG819" i="1"/>
  <c r="AY819" i="1" s="1"/>
  <c r="AG820" i="1"/>
  <c r="AY820" i="1" s="1"/>
  <c r="AG821" i="1"/>
  <c r="AY821" i="1" s="1"/>
  <c r="AG822" i="1"/>
  <c r="AY822" i="1" s="1"/>
  <c r="AG823" i="1"/>
  <c r="AY823" i="1" s="1"/>
  <c r="AG824" i="1"/>
  <c r="AY824" i="1" s="1"/>
  <c r="AG825" i="1"/>
  <c r="AY825" i="1" s="1"/>
  <c r="AG826" i="1"/>
  <c r="AY826" i="1" s="1"/>
  <c r="AG827" i="1"/>
  <c r="AY827" i="1" s="1"/>
  <c r="AG828" i="1"/>
  <c r="AY828" i="1" s="1"/>
  <c r="AG829" i="1"/>
  <c r="AY829" i="1" s="1"/>
  <c r="AG830" i="1"/>
  <c r="AY830" i="1" s="1"/>
  <c r="AG831" i="1"/>
  <c r="AY831" i="1" s="1"/>
  <c r="AG832" i="1"/>
  <c r="AY832" i="1" s="1"/>
  <c r="AG833" i="1"/>
  <c r="AY833" i="1" s="1"/>
  <c r="AG834" i="1"/>
  <c r="AY834" i="1" s="1"/>
  <c r="AG835" i="1"/>
  <c r="AY835" i="1" s="1"/>
  <c r="AG836" i="1"/>
  <c r="AY836" i="1" s="1"/>
  <c r="AG837" i="1"/>
  <c r="AY837" i="1" s="1"/>
  <c r="AG838" i="1"/>
  <c r="AY838" i="1" s="1"/>
  <c r="AG839" i="1"/>
  <c r="AY839" i="1" s="1"/>
  <c r="AG840" i="1"/>
  <c r="AY840" i="1" s="1"/>
  <c r="AG841" i="1"/>
  <c r="AY841" i="1" s="1"/>
  <c r="AG842" i="1"/>
  <c r="AY842" i="1" s="1"/>
  <c r="AG843" i="1"/>
  <c r="AY843" i="1" s="1"/>
  <c r="AG844" i="1"/>
  <c r="AY844" i="1" s="1"/>
  <c r="AG845" i="1"/>
  <c r="AY845" i="1" s="1"/>
  <c r="AG846" i="1"/>
  <c r="AY846" i="1" s="1"/>
  <c r="AG847" i="1"/>
  <c r="AY847" i="1" s="1"/>
  <c r="AG848" i="1"/>
  <c r="AY848" i="1" s="1"/>
  <c r="AG849" i="1"/>
  <c r="AY849" i="1" s="1"/>
  <c r="AG850" i="1"/>
  <c r="AY850" i="1" s="1"/>
  <c r="AG851" i="1"/>
  <c r="AY851" i="1" s="1"/>
  <c r="AG852" i="1"/>
  <c r="AY852" i="1" s="1"/>
  <c r="AG853" i="1"/>
  <c r="AY853" i="1" s="1"/>
  <c r="AG854" i="1"/>
  <c r="AY854" i="1" s="1"/>
  <c r="AG855" i="1"/>
  <c r="AY855" i="1" s="1"/>
  <c r="AG856" i="1"/>
  <c r="AY856" i="1" s="1"/>
  <c r="AG857" i="1"/>
  <c r="AY857" i="1" s="1"/>
  <c r="AG858" i="1"/>
  <c r="AY858" i="1" s="1"/>
  <c r="AG859" i="1"/>
  <c r="AY859" i="1" s="1"/>
  <c r="AG860" i="1"/>
  <c r="AY860" i="1" s="1"/>
  <c r="AG861" i="1"/>
  <c r="AY861" i="1" s="1"/>
  <c r="AG862" i="1"/>
  <c r="AY862" i="1" s="1"/>
  <c r="AG863" i="1"/>
  <c r="AY863" i="1" s="1"/>
  <c r="AG864" i="1"/>
  <c r="AY864" i="1" s="1"/>
  <c r="AG865" i="1"/>
  <c r="AY865" i="1" s="1"/>
  <c r="AG866" i="1"/>
  <c r="AY866" i="1" s="1"/>
  <c r="AG867" i="1"/>
  <c r="AY867" i="1" s="1"/>
  <c r="AG868" i="1"/>
  <c r="AY868" i="1" s="1"/>
  <c r="AG869" i="1"/>
  <c r="AY869" i="1" s="1"/>
  <c r="AG870" i="1"/>
  <c r="AY870" i="1" s="1"/>
  <c r="AG871" i="1"/>
  <c r="AY871" i="1" s="1"/>
  <c r="AG872" i="1"/>
  <c r="AY872" i="1" s="1"/>
  <c r="AG873" i="1"/>
  <c r="AY873" i="1" s="1"/>
  <c r="AG874" i="1"/>
  <c r="AY874" i="1" s="1"/>
  <c r="AG875" i="1"/>
  <c r="AY875" i="1" s="1"/>
  <c r="AG876" i="1"/>
  <c r="AY876" i="1" s="1"/>
  <c r="AG877" i="1"/>
  <c r="AY877" i="1" s="1"/>
  <c r="AG878" i="1"/>
  <c r="AY878" i="1" s="1"/>
  <c r="AG879" i="1"/>
  <c r="AY879" i="1" s="1"/>
  <c r="AG880" i="1"/>
  <c r="AY880" i="1" s="1"/>
  <c r="AG881" i="1"/>
  <c r="AY881" i="1" s="1"/>
  <c r="AG882" i="1"/>
  <c r="AY882" i="1" s="1"/>
  <c r="AG883" i="1"/>
  <c r="AY883" i="1" s="1"/>
  <c r="AG884" i="1"/>
  <c r="AY884" i="1" s="1"/>
  <c r="AG885" i="1"/>
  <c r="AY885" i="1" s="1"/>
  <c r="AG886" i="1"/>
  <c r="AY886" i="1" s="1"/>
  <c r="AG887" i="1"/>
  <c r="AY887" i="1" s="1"/>
  <c r="AG888" i="1"/>
  <c r="AY888" i="1" s="1"/>
  <c r="AG889" i="1"/>
  <c r="AY889" i="1" s="1"/>
  <c r="AG890" i="1"/>
  <c r="AY890" i="1" s="1"/>
  <c r="AG891" i="1"/>
  <c r="AY891" i="1" s="1"/>
  <c r="AG892" i="1"/>
  <c r="AY892" i="1" s="1"/>
  <c r="AG893" i="1"/>
  <c r="AY893" i="1" s="1"/>
  <c r="AG894" i="1"/>
  <c r="AY894" i="1" s="1"/>
  <c r="AG895" i="1"/>
  <c r="AY895" i="1" s="1"/>
  <c r="AG896" i="1"/>
  <c r="AY896" i="1" s="1"/>
  <c r="AG897" i="1"/>
  <c r="AY897" i="1" s="1"/>
  <c r="AG898" i="1"/>
  <c r="AY898" i="1" s="1"/>
  <c r="AG899" i="1"/>
  <c r="AY899" i="1" s="1"/>
  <c r="AG900" i="1"/>
  <c r="AY900" i="1" s="1"/>
  <c r="AG901" i="1"/>
  <c r="AY901" i="1" s="1"/>
  <c r="AG902" i="1"/>
  <c r="AY902" i="1" s="1"/>
  <c r="AG903" i="1"/>
  <c r="AY903" i="1" s="1"/>
  <c r="AG904" i="1"/>
  <c r="AY904" i="1" s="1"/>
  <c r="AG905" i="1"/>
  <c r="AY905" i="1" s="1"/>
  <c r="AG906" i="1"/>
  <c r="AY906" i="1" s="1"/>
  <c r="AG907" i="1"/>
  <c r="AY907" i="1" s="1"/>
  <c r="AG908" i="1"/>
  <c r="AY908" i="1" s="1"/>
  <c r="AG909" i="1"/>
  <c r="AY909" i="1" s="1"/>
  <c r="AG910" i="1"/>
  <c r="AY910" i="1" s="1"/>
  <c r="AG911" i="1"/>
  <c r="AY911" i="1" s="1"/>
  <c r="AG912" i="1"/>
  <c r="AY912" i="1" s="1"/>
  <c r="AG913" i="1"/>
  <c r="AY913" i="1" s="1"/>
  <c r="AG914" i="1"/>
  <c r="AY914" i="1" s="1"/>
  <c r="AG915" i="1"/>
  <c r="AY915" i="1" s="1"/>
  <c r="AG916" i="1"/>
  <c r="AY916" i="1" s="1"/>
  <c r="AG917" i="1"/>
  <c r="AY917" i="1" s="1"/>
  <c r="AG918" i="1"/>
  <c r="AY918" i="1" s="1"/>
  <c r="AG919" i="1"/>
  <c r="AY919" i="1" s="1"/>
  <c r="AG920" i="1"/>
  <c r="AY920" i="1" s="1"/>
  <c r="AG921" i="1"/>
  <c r="AY921" i="1" s="1"/>
  <c r="AG922" i="1"/>
  <c r="AY922" i="1" s="1"/>
  <c r="AG923" i="1"/>
  <c r="AY923" i="1" s="1"/>
  <c r="AG924" i="1"/>
  <c r="AY924" i="1" s="1"/>
  <c r="AG925" i="1"/>
  <c r="AY925" i="1" s="1"/>
  <c r="AG926" i="1"/>
  <c r="AY926" i="1" s="1"/>
  <c r="AG927" i="1"/>
  <c r="AY927" i="1" s="1"/>
  <c r="AG928" i="1"/>
  <c r="AY928" i="1" s="1"/>
  <c r="AG929" i="1"/>
  <c r="AY929" i="1" s="1"/>
  <c r="AG930" i="1"/>
  <c r="AY930" i="1" s="1"/>
  <c r="AG931" i="1"/>
  <c r="AY931" i="1" s="1"/>
  <c r="AG932" i="1"/>
  <c r="AY932" i="1" s="1"/>
  <c r="AG933" i="1"/>
  <c r="AY933" i="1" s="1"/>
  <c r="AG934" i="1"/>
  <c r="AY934" i="1" s="1"/>
  <c r="AG935" i="1"/>
  <c r="AY935" i="1" s="1"/>
  <c r="AG936" i="1"/>
  <c r="AY936" i="1" s="1"/>
  <c r="AG937" i="1"/>
  <c r="AY937" i="1" s="1"/>
  <c r="AG938" i="1"/>
  <c r="AY938" i="1" s="1"/>
  <c r="AG939" i="1"/>
  <c r="AY939" i="1" s="1"/>
  <c r="AG940" i="1"/>
  <c r="AY940" i="1" s="1"/>
  <c r="AG941" i="1"/>
  <c r="AY941" i="1" s="1"/>
  <c r="AG942" i="1"/>
  <c r="AY942" i="1" s="1"/>
  <c r="AG943" i="1"/>
  <c r="AY943" i="1" s="1"/>
  <c r="AG944" i="1"/>
  <c r="AY944" i="1" s="1"/>
  <c r="AG945" i="1"/>
  <c r="AY945" i="1" s="1"/>
  <c r="AG946" i="1"/>
  <c r="AY946" i="1" s="1"/>
  <c r="AG947" i="1"/>
  <c r="AY947" i="1" s="1"/>
  <c r="AG948" i="1"/>
  <c r="AY948" i="1" s="1"/>
  <c r="AG949" i="1"/>
  <c r="AY949" i="1" s="1"/>
  <c r="AG950" i="1"/>
  <c r="AY950" i="1" s="1"/>
  <c r="AG951" i="1"/>
  <c r="AY951" i="1" s="1"/>
  <c r="AG952" i="1"/>
  <c r="AY952" i="1" s="1"/>
  <c r="AG953" i="1"/>
  <c r="AY953" i="1" s="1"/>
  <c r="AG954" i="1"/>
  <c r="AY954" i="1" s="1"/>
  <c r="AG955" i="1"/>
  <c r="AY955" i="1" s="1"/>
  <c r="AG956" i="1"/>
  <c r="AY956" i="1" s="1"/>
  <c r="AG957" i="1"/>
  <c r="AY957" i="1" s="1"/>
  <c r="AG958" i="1"/>
  <c r="AY958" i="1" s="1"/>
  <c r="AG959" i="1"/>
  <c r="AY959" i="1" s="1"/>
  <c r="AG960" i="1"/>
  <c r="AY960" i="1" s="1"/>
  <c r="AG961" i="1"/>
  <c r="AY961" i="1" s="1"/>
  <c r="AG962" i="1"/>
  <c r="AY962" i="1" s="1"/>
  <c r="AG963" i="1"/>
  <c r="AY963" i="1" s="1"/>
  <c r="AG964" i="1"/>
  <c r="AY964" i="1" s="1"/>
  <c r="AG965" i="1"/>
  <c r="AY965" i="1" s="1"/>
  <c r="AG966" i="1"/>
  <c r="AY966" i="1" s="1"/>
  <c r="AG967" i="1"/>
  <c r="AY967" i="1" s="1"/>
  <c r="AG968" i="1"/>
  <c r="AY968" i="1" s="1"/>
  <c r="AG969" i="1"/>
  <c r="AY969" i="1" s="1"/>
  <c r="AG970" i="1"/>
  <c r="AY970" i="1" s="1"/>
  <c r="AG971" i="1"/>
  <c r="AY971" i="1" s="1"/>
  <c r="AG972" i="1"/>
  <c r="AY972" i="1" s="1"/>
  <c r="AG973" i="1"/>
  <c r="AY973" i="1" s="1"/>
  <c r="AG974" i="1"/>
  <c r="AY974" i="1" s="1"/>
  <c r="AG975" i="1"/>
  <c r="AY975" i="1" s="1"/>
  <c r="AG976" i="1"/>
  <c r="AY976" i="1" s="1"/>
  <c r="AG977" i="1"/>
  <c r="AY977" i="1" s="1"/>
  <c r="AG978" i="1"/>
  <c r="AY978" i="1" s="1"/>
  <c r="AG979" i="1"/>
  <c r="AY979" i="1" s="1"/>
  <c r="AG980" i="1"/>
  <c r="AY980" i="1" s="1"/>
  <c r="AG981" i="1"/>
  <c r="AY981" i="1" s="1"/>
  <c r="AG982" i="1"/>
  <c r="AY982" i="1" s="1"/>
  <c r="AG983" i="1"/>
  <c r="AY983" i="1" s="1"/>
  <c r="AG984" i="1"/>
  <c r="AY984" i="1" s="1"/>
  <c r="AG985" i="1"/>
  <c r="AY985" i="1" s="1"/>
  <c r="AG986" i="1"/>
  <c r="AY986" i="1" s="1"/>
  <c r="AG987" i="1"/>
  <c r="AY987" i="1" s="1"/>
  <c r="AG988" i="1"/>
  <c r="AY988" i="1" s="1"/>
  <c r="AG989" i="1"/>
  <c r="AY989" i="1" s="1"/>
  <c r="AG990" i="1"/>
  <c r="AY990" i="1" s="1"/>
  <c r="AG991" i="1"/>
  <c r="AY991" i="1" s="1"/>
  <c r="AG992" i="1"/>
  <c r="AY992" i="1" s="1"/>
  <c r="AG993" i="1"/>
  <c r="AY993" i="1" s="1"/>
  <c r="AG994" i="1"/>
  <c r="AY994" i="1" s="1"/>
  <c r="AG995" i="1"/>
  <c r="AY995" i="1" s="1"/>
  <c r="AG996" i="1"/>
  <c r="AY996" i="1" s="1"/>
  <c r="AG997" i="1"/>
  <c r="AY997" i="1" s="1"/>
  <c r="AG998" i="1"/>
  <c r="AY998" i="1" s="1"/>
  <c r="AG999" i="1"/>
  <c r="AY999" i="1" s="1"/>
  <c r="AG1000" i="1"/>
  <c r="AY1000" i="1" s="1"/>
  <c r="AG1001" i="1"/>
  <c r="AY1001" i="1" s="1"/>
  <c r="AG1002" i="1"/>
  <c r="AY1002" i="1" s="1"/>
  <c r="AG1003" i="1"/>
  <c r="AY1003" i="1" s="1"/>
  <c r="AG1004" i="1"/>
  <c r="AY1004" i="1" s="1"/>
  <c r="AG1005" i="1"/>
  <c r="AY1005" i="1" s="1"/>
  <c r="AG1006" i="1"/>
  <c r="AY1006" i="1" s="1"/>
  <c r="AG1007" i="1"/>
  <c r="AY1007" i="1" s="1"/>
  <c r="AG1008" i="1"/>
  <c r="AY1008" i="1" s="1"/>
  <c r="AG1009" i="1"/>
  <c r="AY1009" i="1" s="1"/>
  <c r="AG1010" i="1"/>
  <c r="AY1010" i="1" s="1"/>
  <c r="AG1011" i="1"/>
  <c r="AY1011" i="1" s="1"/>
  <c r="AG1012" i="1"/>
  <c r="AY1012" i="1" s="1"/>
  <c r="AG1013" i="1"/>
  <c r="AY1013" i="1" s="1"/>
  <c r="AG1014" i="1"/>
  <c r="AY1014" i="1" s="1"/>
  <c r="AG1015" i="1"/>
  <c r="AY1015" i="1" s="1"/>
  <c r="AG1016" i="1"/>
  <c r="AY1016" i="1" s="1"/>
  <c r="AG1017" i="1"/>
  <c r="AY1017" i="1" s="1"/>
  <c r="AG1018" i="1"/>
  <c r="AY1018" i="1" s="1"/>
  <c r="AG1019" i="1"/>
  <c r="AY1019" i="1" s="1"/>
  <c r="AG1020" i="1"/>
  <c r="AY1020" i="1" s="1"/>
  <c r="AG1021" i="1"/>
  <c r="AY1021" i="1" s="1"/>
  <c r="AG1022" i="1"/>
  <c r="AY1022" i="1" s="1"/>
  <c r="AG1023" i="1"/>
  <c r="AY1023" i="1" s="1"/>
  <c r="AG1024" i="1"/>
  <c r="AY1024" i="1" s="1"/>
  <c r="AG1025" i="1"/>
  <c r="AY1025" i="1" s="1"/>
  <c r="AG1026" i="1"/>
  <c r="AY1026" i="1" s="1"/>
  <c r="AG1027" i="1"/>
  <c r="AY1027" i="1" s="1"/>
  <c r="AG1028" i="1"/>
  <c r="AY1028" i="1" s="1"/>
  <c r="AG1029" i="1"/>
  <c r="AY1029" i="1" s="1"/>
  <c r="AG1030" i="1"/>
  <c r="AY1030" i="1" s="1"/>
  <c r="AG1031" i="1"/>
  <c r="AY1031" i="1" s="1"/>
  <c r="AG1032" i="1"/>
  <c r="AY1032" i="1" s="1"/>
  <c r="AG1033" i="1"/>
  <c r="AY1033" i="1" s="1"/>
  <c r="AG1034" i="1"/>
  <c r="AY1034" i="1" s="1"/>
  <c r="AG1035" i="1"/>
  <c r="AY1035" i="1" s="1"/>
  <c r="AG1036" i="1"/>
  <c r="AY1036" i="1" s="1"/>
  <c r="AG1037" i="1"/>
  <c r="AY1037" i="1" s="1"/>
  <c r="AG1038" i="1"/>
  <c r="AY1038" i="1" s="1"/>
  <c r="AG1039" i="1"/>
  <c r="AY1039" i="1" s="1"/>
  <c r="AG1040" i="1"/>
  <c r="AY1040" i="1" s="1"/>
  <c r="AG1041" i="1"/>
  <c r="AY1041" i="1" s="1"/>
  <c r="AG1042" i="1"/>
  <c r="AY1042" i="1" s="1"/>
  <c r="AG1043" i="1"/>
  <c r="AY1043" i="1" s="1"/>
  <c r="AG1044" i="1"/>
  <c r="AY1044" i="1" s="1"/>
  <c r="AG1045" i="1"/>
  <c r="AY1045" i="1" s="1"/>
  <c r="AG1046" i="1"/>
  <c r="AY1046" i="1" s="1"/>
  <c r="AG1047" i="1"/>
  <c r="AY1047" i="1" s="1"/>
  <c r="AG1048" i="1"/>
  <c r="AY1048" i="1" s="1"/>
  <c r="AG1049" i="1"/>
  <c r="AY1049" i="1" s="1"/>
  <c r="AG1050" i="1"/>
  <c r="AY1050" i="1" s="1"/>
  <c r="AG1051" i="1"/>
  <c r="AY1051" i="1" s="1"/>
  <c r="AG1052" i="1"/>
  <c r="AY1052" i="1" s="1"/>
  <c r="AG1053" i="1"/>
  <c r="AY1053" i="1" s="1"/>
  <c r="AG1054" i="1"/>
  <c r="AY1054" i="1" s="1"/>
  <c r="AG1055" i="1"/>
  <c r="AY1055" i="1" s="1"/>
  <c r="AG1056" i="1"/>
  <c r="AY1056" i="1" s="1"/>
  <c r="AG1057" i="1"/>
  <c r="AY1057" i="1" s="1"/>
  <c r="AG1058" i="1"/>
  <c r="AY1058" i="1" s="1"/>
  <c r="AG1059" i="1"/>
  <c r="AY1059" i="1" s="1"/>
  <c r="AG1060" i="1"/>
  <c r="AY1060" i="1" s="1"/>
  <c r="AG1061" i="1"/>
  <c r="AY1061" i="1" s="1"/>
  <c r="AG1062" i="1"/>
  <c r="AY1062" i="1" s="1"/>
  <c r="AG1063" i="1"/>
  <c r="AY1063" i="1" s="1"/>
  <c r="AG1064" i="1"/>
  <c r="AY1064" i="1" s="1"/>
  <c r="AG1065" i="1"/>
  <c r="AY1065" i="1" s="1"/>
  <c r="AG1066" i="1"/>
  <c r="AY1066" i="1" s="1"/>
  <c r="AG1067" i="1"/>
  <c r="AY1067" i="1" s="1"/>
  <c r="AG1068" i="1"/>
  <c r="AY1068" i="1" s="1"/>
  <c r="AG1069" i="1"/>
  <c r="AY1069" i="1" s="1"/>
  <c r="AG1070" i="1"/>
  <c r="AY1070" i="1" s="1"/>
  <c r="AG1071" i="1"/>
  <c r="AY1071" i="1" s="1"/>
  <c r="AG1072" i="1"/>
  <c r="AY1072" i="1" s="1"/>
  <c r="AG1073" i="1"/>
  <c r="AY1073" i="1" s="1"/>
  <c r="AG1074" i="1"/>
  <c r="AY1074" i="1" s="1"/>
  <c r="AG1075" i="1"/>
  <c r="AY1075" i="1" s="1"/>
  <c r="AG1076" i="1"/>
  <c r="AY1076" i="1" s="1"/>
  <c r="AG1077" i="1"/>
  <c r="AY1077" i="1" s="1"/>
  <c r="AG1078" i="1"/>
  <c r="AY1078" i="1" s="1"/>
  <c r="AG1079" i="1"/>
  <c r="AY1079" i="1" s="1"/>
  <c r="AG1080" i="1"/>
  <c r="AY1080" i="1" s="1"/>
  <c r="AG1081" i="1"/>
  <c r="AY1081" i="1" s="1"/>
  <c r="AG1082" i="1"/>
  <c r="AY1082" i="1" s="1"/>
  <c r="AG1083" i="1"/>
  <c r="AY1083" i="1" s="1"/>
  <c r="AG1084" i="1"/>
  <c r="AY1084" i="1" s="1"/>
  <c r="AG1085" i="1"/>
  <c r="AY1085" i="1" s="1"/>
  <c r="AG1086" i="1"/>
  <c r="AY1086" i="1" s="1"/>
  <c r="AG1087" i="1"/>
  <c r="AY1087" i="1" s="1"/>
  <c r="AG1088" i="1"/>
  <c r="AY1088" i="1" s="1"/>
  <c r="AG1089" i="1"/>
  <c r="AY1089" i="1" s="1"/>
  <c r="AG1090" i="1"/>
  <c r="AY1090" i="1" s="1"/>
  <c r="AG1091" i="1"/>
  <c r="AY1091" i="1" s="1"/>
  <c r="AG1092" i="1"/>
  <c r="AY1092" i="1" s="1"/>
  <c r="AG1093" i="1"/>
  <c r="AY1093" i="1" s="1"/>
  <c r="AG1094" i="1"/>
  <c r="AY1094" i="1" s="1"/>
  <c r="AG1095" i="1"/>
  <c r="AY1095" i="1" s="1"/>
  <c r="AG1096" i="1"/>
  <c r="AY1096" i="1" s="1"/>
  <c r="AG1097" i="1"/>
  <c r="AY1097" i="1" s="1"/>
  <c r="AG1098" i="1"/>
  <c r="AY1098" i="1" s="1"/>
  <c r="AG1099" i="1"/>
  <c r="AY1099" i="1" s="1"/>
  <c r="AG1100" i="1"/>
  <c r="AY1100" i="1" s="1"/>
  <c r="AG1101" i="1"/>
  <c r="AY1101" i="1" s="1"/>
  <c r="AG1102" i="1"/>
  <c r="AY1102" i="1" s="1"/>
  <c r="AG1103" i="1"/>
  <c r="AY1103" i="1" s="1"/>
  <c r="AG1104" i="1"/>
  <c r="AY1104" i="1" s="1"/>
  <c r="AG1105" i="1"/>
  <c r="AY1105" i="1" s="1"/>
  <c r="AG1106" i="1"/>
  <c r="AY1106" i="1" s="1"/>
  <c r="AG1107" i="1"/>
  <c r="AY1107" i="1" s="1"/>
  <c r="AG1108" i="1"/>
  <c r="AY1108" i="1" s="1"/>
  <c r="AG1109" i="1"/>
  <c r="AY1109" i="1" s="1"/>
  <c r="AG1110" i="1"/>
  <c r="AY1110" i="1" s="1"/>
  <c r="AG1111" i="1"/>
  <c r="AY1111" i="1" s="1"/>
  <c r="AG1112" i="1"/>
  <c r="AY1112" i="1" s="1"/>
  <c r="AG1113" i="1"/>
  <c r="AY1113" i="1" s="1"/>
  <c r="AG1114" i="1"/>
  <c r="AY1114" i="1" s="1"/>
  <c r="AG1115" i="1"/>
  <c r="AY1115" i="1" s="1"/>
  <c r="AG1116" i="1"/>
  <c r="AY1116" i="1" s="1"/>
  <c r="AG1117" i="1"/>
  <c r="AY1117" i="1" s="1"/>
  <c r="AG1118" i="1"/>
  <c r="AY1118" i="1" s="1"/>
  <c r="AG1119" i="1"/>
  <c r="AY1119" i="1" s="1"/>
  <c r="AG1120" i="1"/>
  <c r="AY1120" i="1" s="1"/>
  <c r="AG1121" i="1"/>
  <c r="AY1121" i="1" s="1"/>
  <c r="AG1122" i="1"/>
  <c r="AY1122" i="1" s="1"/>
  <c r="AG1123" i="1"/>
  <c r="AY1123" i="1" s="1"/>
  <c r="AG1124" i="1"/>
  <c r="AY1124" i="1" s="1"/>
  <c r="AG1125" i="1"/>
  <c r="AY1125" i="1" s="1"/>
  <c r="AG1126" i="1"/>
  <c r="AY1126" i="1" s="1"/>
  <c r="AG1127" i="1"/>
  <c r="AY1127" i="1" s="1"/>
  <c r="AG1128" i="1"/>
  <c r="AY1128" i="1" s="1"/>
  <c r="AG1129" i="1"/>
  <c r="AY1129" i="1" s="1"/>
  <c r="AG1130" i="1"/>
  <c r="AY1130" i="1" s="1"/>
  <c r="AG1131" i="1"/>
  <c r="AY1131" i="1" s="1"/>
  <c r="AG1132" i="1"/>
  <c r="AY1132" i="1" s="1"/>
  <c r="AG1133" i="1"/>
  <c r="AY1133" i="1" s="1"/>
  <c r="AG1134" i="1"/>
  <c r="AY1134" i="1" s="1"/>
  <c r="AG1135" i="1"/>
  <c r="AY1135" i="1" s="1"/>
  <c r="AG1136" i="1"/>
  <c r="AY1136" i="1" s="1"/>
  <c r="AG1137" i="1"/>
  <c r="AY1137" i="1" s="1"/>
  <c r="AG1138" i="1"/>
  <c r="AY1138" i="1" s="1"/>
  <c r="AG1139" i="1"/>
  <c r="AY1139" i="1" s="1"/>
  <c r="AG1140" i="1"/>
  <c r="AY1140" i="1" s="1"/>
  <c r="AG1141" i="1"/>
  <c r="AY1141" i="1" s="1"/>
  <c r="AG1142" i="1"/>
  <c r="AY1142" i="1" s="1"/>
  <c r="AG1143" i="1"/>
  <c r="AY1143" i="1" s="1"/>
  <c r="AG1144" i="1"/>
  <c r="AY1144" i="1" s="1"/>
  <c r="AG1145" i="1"/>
  <c r="AY1145" i="1" s="1"/>
  <c r="AG1146" i="1"/>
  <c r="AY1146" i="1" s="1"/>
  <c r="AG1147" i="1"/>
  <c r="AY1147" i="1" s="1"/>
  <c r="AG1148" i="1"/>
  <c r="AY1148" i="1" s="1"/>
  <c r="AG1149" i="1"/>
  <c r="AY1149" i="1" s="1"/>
  <c r="AG1150" i="1"/>
  <c r="AY1150" i="1" s="1"/>
  <c r="AG1151" i="1"/>
  <c r="AY1151" i="1" s="1"/>
  <c r="AG1152" i="1"/>
  <c r="AY1152" i="1" s="1"/>
  <c r="AG1153" i="1"/>
  <c r="AY1153" i="1" s="1"/>
  <c r="AG1154" i="1"/>
  <c r="AY1154" i="1" s="1"/>
  <c r="AG1155" i="1"/>
  <c r="AY1155" i="1" s="1"/>
  <c r="AG1156" i="1"/>
  <c r="AY1156" i="1" s="1"/>
  <c r="AG1157" i="1"/>
  <c r="AY1157" i="1" s="1"/>
  <c r="AG1158" i="1"/>
  <c r="AY1158" i="1" s="1"/>
  <c r="AG1159" i="1"/>
  <c r="AY1159" i="1" s="1"/>
  <c r="AG1160" i="1"/>
  <c r="AY1160" i="1" s="1"/>
  <c r="AG1161" i="1"/>
  <c r="AY1161" i="1" s="1"/>
  <c r="AG1162" i="1"/>
  <c r="AY1162" i="1" s="1"/>
  <c r="AG1163" i="1"/>
  <c r="AY1163" i="1" s="1"/>
  <c r="AG1164" i="1"/>
  <c r="AY1164" i="1" s="1"/>
  <c r="AG1165" i="1"/>
  <c r="AY1165" i="1" s="1"/>
  <c r="AG1166" i="1"/>
  <c r="AY1166" i="1" s="1"/>
  <c r="AG1167" i="1"/>
  <c r="AY1167" i="1" s="1"/>
  <c r="AG1168" i="1"/>
  <c r="AY1168" i="1" s="1"/>
  <c r="AG1169" i="1"/>
  <c r="AY1169" i="1" s="1"/>
  <c r="AG1170" i="1"/>
  <c r="AY1170" i="1" s="1"/>
  <c r="AG1171" i="1"/>
  <c r="AY1171" i="1" s="1"/>
  <c r="AG1172" i="1"/>
  <c r="AY1172" i="1" s="1"/>
  <c r="AG1173" i="1"/>
  <c r="AY1173" i="1" s="1"/>
  <c r="AG1174" i="1"/>
  <c r="AY1174" i="1" s="1"/>
  <c r="AG1175" i="1"/>
  <c r="AY1175" i="1" s="1"/>
  <c r="AG1176" i="1"/>
  <c r="AY1176" i="1" s="1"/>
  <c r="AG1177" i="1"/>
  <c r="AY1177" i="1" s="1"/>
  <c r="AG1178" i="1"/>
  <c r="AY1178" i="1" s="1"/>
  <c r="AG1179" i="1"/>
  <c r="AY1179" i="1" s="1"/>
  <c r="AG1180" i="1"/>
  <c r="AY1180" i="1" s="1"/>
  <c r="AG1181" i="1"/>
  <c r="AY1181" i="1" s="1"/>
  <c r="AG1182" i="1"/>
  <c r="AY1182" i="1" s="1"/>
  <c r="AG1183" i="1"/>
  <c r="AY1183" i="1" s="1"/>
  <c r="AG1184" i="1"/>
  <c r="AY1184" i="1" s="1"/>
  <c r="AG1185" i="1"/>
  <c r="AY1185" i="1" s="1"/>
  <c r="AG1186" i="1"/>
  <c r="AY1186" i="1" s="1"/>
  <c r="AG1187" i="1"/>
  <c r="AY1187" i="1" s="1"/>
  <c r="AG1188" i="1"/>
  <c r="AY1188" i="1" s="1"/>
  <c r="AG1189" i="1"/>
  <c r="AY1189" i="1" s="1"/>
  <c r="AG1190" i="1"/>
  <c r="AY1190" i="1" s="1"/>
  <c r="AG1191" i="1"/>
  <c r="AY1191" i="1" s="1"/>
  <c r="AG1192" i="1"/>
  <c r="AY1192" i="1" s="1"/>
  <c r="AG1193" i="1"/>
  <c r="AY1193" i="1" s="1"/>
  <c r="AG1194" i="1"/>
  <c r="AY1194" i="1" s="1"/>
  <c r="AG1195" i="1"/>
  <c r="AY1195" i="1" s="1"/>
  <c r="AG1196" i="1"/>
  <c r="AY1196" i="1" s="1"/>
  <c r="AG1197" i="1"/>
  <c r="AY1197" i="1" s="1"/>
  <c r="AG1198" i="1"/>
  <c r="AY1198" i="1" s="1"/>
  <c r="AG1199" i="1"/>
  <c r="AY1199" i="1" s="1"/>
  <c r="AG1200" i="1"/>
  <c r="AY1200" i="1" s="1"/>
  <c r="AG1201" i="1"/>
  <c r="AY1201" i="1" s="1"/>
  <c r="AG1202" i="1"/>
  <c r="AY1202" i="1" s="1"/>
  <c r="AG1203" i="1"/>
  <c r="AY1203" i="1" s="1"/>
  <c r="AG1204" i="1"/>
  <c r="AY1204" i="1" s="1"/>
  <c r="AG1205" i="1"/>
  <c r="AY1205" i="1" s="1"/>
  <c r="AG1206" i="1"/>
  <c r="AY1206" i="1" s="1"/>
  <c r="AG1207" i="1"/>
  <c r="AY1207" i="1" s="1"/>
  <c r="AG1208" i="1"/>
  <c r="AY1208" i="1" s="1"/>
  <c r="AG1209" i="1"/>
  <c r="AY1209" i="1" s="1"/>
  <c r="AG1210" i="1"/>
  <c r="AY1210" i="1" s="1"/>
  <c r="AG1211" i="1"/>
  <c r="AY1211" i="1" s="1"/>
  <c r="AG1212" i="1"/>
  <c r="AY1212" i="1" s="1"/>
  <c r="AG1213" i="1"/>
  <c r="AY1213" i="1" s="1"/>
  <c r="AG1214" i="1"/>
  <c r="AY1214" i="1" s="1"/>
  <c r="AG1215" i="1"/>
  <c r="AY1215" i="1" s="1"/>
  <c r="AG1216" i="1"/>
  <c r="AY1216" i="1" s="1"/>
  <c r="AG1217" i="1"/>
  <c r="AY1217" i="1" s="1"/>
  <c r="AG1218" i="1"/>
  <c r="AY1218" i="1" s="1"/>
  <c r="AG1219" i="1"/>
  <c r="AY1219" i="1" s="1"/>
  <c r="AG1220" i="1"/>
  <c r="AY1220" i="1" s="1"/>
  <c r="AG1221" i="1"/>
  <c r="AY1221" i="1" s="1"/>
  <c r="AG1222" i="1"/>
  <c r="AY1222" i="1" s="1"/>
  <c r="AG1223" i="1"/>
  <c r="AY1223" i="1" s="1"/>
  <c r="AG1224" i="1"/>
  <c r="AY1224" i="1" s="1"/>
  <c r="AG1225" i="1"/>
  <c r="AY1225" i="1" s="1"/>
  <c r="AG1226" i="1"/>
  <c r="AY1226" i="1" s="1"/>
  <c r="AG1227" i="1"/>
  <c r="AY1227" i="1" s="1"/>
  <c r="AG1228" i="1"/>
  <c r="AY1228" i="1" s="1"/>
  <c r="AG1229" i="1"/>
  <c r="AY1229" i="1" s="1"/>
  <c r="AG1230" i="1"/>
  <c r="AY1230" i="1" s="1"/>
  <c r="AG1231" i="1"/>
  <c r="AY1231" i="1" s="1"/>
  <c r="AG1232" i="1"/>
  <c r="AY1232" i="1" s="1"/>
  <c r="AG1233" i="1"/>
  <c r="AY1233" i="1" s="1"/>
  <c r="AG1234" i="1"/>
  <c r="AY1234" i="1" s="1"/>
  <c r="AG1235" i="1"/>
  <c r="AY1235" i="1" s="1"/>
  <c r="AG1236" i="1"/>
  <c r="AY1236" i="1" s="1"/>
  <c r="AG1237" i="1"/>
  <c r="AY1237" i="1" s="1"/>
  <c r="AG1238" i="1"/>
  <c r="AY1238" i="1" s="1"/>
  <c r="AG1239" i="1"/>
  <c r="AY1239" i="1" s="1"/>
  <c r="AG1240" i="1"/>
  <c r="AY1240" i="1" s="1"/>
  <c r="AG1241" i="1"/>
  <c r="AY1241" i="1" s="1"/>
  <c r="AG1242" i="1"/>
  <c r="AY1242" i="1" s="1"/>
  <c r="AG1243" i="1"/>
  <c r="AY1243" i="1" s="1"/>
  <c r="AG1244" i="1"/>
  <c r="AY1244" i="1" s="1"/>
  <c r="AG1245" i="1"/>
  <c r="AY1245" i="1" s="1"/>
  <c r="AG1246" i="1"/>
  <c r="AY1246" i="1" s="1"/>
  <c r="AG1247" i="1"/>
  <c r="AY1247" i="1" s="1"/>
  <c r="AG1248" i="1"/>
  <c r="AY1248" i="1" s="1"/>
  <c r="AG1249" i="1"/>
  <c r="AY1249" i="1" s="1"/>
  <c r="AG1250" i="1"/>
  <c r="AY1250" i="1" s="1"/>
  <c r="AG1251" i="1"/>
  <c r="AY1251" i="1" s="1"/>
  <c r="AG1252" i="1"/>
  <c r="AY1252" i="1" s="1"/>
  <c r="AG1253" i="1"/>
  <c r="AY1253" i="1" s="1"/>
  <c r="AG1254" i="1"/>
  <c r="AY1254" i="1" s="1"/>
  <c r="AG1255" i="1"/>
  <c r="AY1255" i="1" s="1"/>
  <c r="AG1256" i="1"/>
  <c r="AY1256" i="1" s="1"/>
  <c r="AG1257" i="1"/>
  <c r="AY1257" i="1" s="1"/>
  <c r="AG1258" i="1"/>
  <c r="AY1258" i="1" s="1"/>
  <c r="AG1259" i="1"/>
  <c r="AY1259" i="1" s="1"/>
  <c r="AG1260" i="1"/>
  <c r="AY1260" i="1" s="1"/>
  <c r="AG1261" i="1"/>
  <c r="AY1261" i="1" s="1"/>
  <c r="AG1262" i="1"/>
  <c r="AY1262" i="1" s="1"/>
  <c r="AG1263" i="1"/>
  <c r="AY1263" i="1" s="1"/>
  <c r="AG1264" i="1"/>
  <c r="AY1264" i="1" s="1"/>
  <c r="AG1265" i="1"/>
  <c r="AY1265" i="1" s="1"/>
  <c r="AG1266" i="1"/>
  <c r="AY1266" i="1" s="1"/>
  <c r="AG1267" i="1"/>
  <c r="AY1267" i="1" s="1"/>
  <c r="AG1268" i="1"/>
  <c r="AY1268" i="1" s="1"/>
  <c r="AG1269" i="1"/>
  <c r="AY1269" i="1" s="1"/>
  <c r="AG1270" i="1"/>
  <c r="AY1270" i="1" s="1"/>
  <c r="AG1271" i="1"/>
  <c r="AY1271" i="1" s="1"/>
  <c r="AG1272" i="1"/>
  <c r="AY1272" i="1" s="1"/>
  <c r="AG1273" i="1"/>
  <c r="AY1273" i="1" s="1"/>
  <c r="AG1274" i="1"/>
  <c r="AY1274" i="1" s="1"/>
  <c r="AG1275" i="1"/>
  <c r="AY1275" i="1" s="1"/>
  <c r="AG1276" i="1"/>
  <c r="AY1276" i="1" s="1"/>
  <c r="AG1277" i="1"/>
  <c r="AY1277" i="1" s="1"/>
  <c r="AG1278" i="1"/>
  <c r="AY1278" i="1" s="1"/>
  <c r="AG1279" i="1"/>
  <c r="AY1279" i="1" s="1"/>
  <c r="AG1280" i="1"/>
  <c r="AY1280" i="1" s="1"/>
  <c r="AG1281" i="1"/>
  <c r="AY1281" i="1" s="1"/>
  <c r="AG1282" i="1"/>
  <c r="AY1282" i="1" s="1"/>
  <c r="AG1283" i="1"/>
  <c r="AY1283" i="1" s="1"/>
  <c r="AG1284" i="1"/>
  <c r="AY1284" i="1" s="1"/>
  <c r="AG1285" i="1"/>
  <c r="AY1285" i="1" s="1"/>
  <c r="AG1286" i="1"/>
  <c r="AY1286" i="1" s="1"/>
  <c r="AG1287" i="1"/>
  <c r="AY1287" i="1" s="1"/>
  <c r="AG1288" i="1"/>
  <c r="AY1288" i="1" s="1"/>
  <c r="AG1289" i="1"/>
  <c r="AY1289" i="1" s="1"/>
  <c r="AG1290" i="1"/>
  <c r="AY1290" i="1" s="1"/>
  <c r="AG1291" i="1"/>
  <c r="AY1291" i="1" s="1"/>
  <c r="AG1292" i="1"/>
  <c r="AY1292" i="1" s="1"/>
  <c r="AG1293" i="1"/>
  <c r="AY1293" i="1" s="1"/>
  <c r="AG1294" i="1"/>
  <c r="AY1294" i="1" s="1"/>
  <c r="AG1295" i="1"/>
  <c r="AY1295" i="1" s="1"/>
  <c r="AG1296" i="1"/>
  <c r="AY1296" i="1" s="1"/>
  <c r="AG1297" i="1"/>
  <c r="AY1297" i="1" s="1"/>
  <c r="AG1298" i="1"/>
  <c r="AY1298" i="1" s="1"/>
  <c r="AG1299" i="1"/>
  <c r="AY1299" i="1" s="1"/>
  <c r="AG1300" i="1"/>
  <c r="AY1300" i="1" s="1"/>
  <c r="AG1301" i="1"/>
  <c r="AY1301" i="1" s="1"/>
  <c r="AG1302" i="1"/>
  <c r="AY1302" i="1" s="1"/>
  <c r="AG1303" i="1"/>
  <c r="AY1303" i="1" s="1"/>
  <c r="AG1304" i="1"/>
  <c r="AY1304" i="1" s="1"/>
  <c r="AG1305" i="1"/>
  <c r="AY1305" i="1" s="1"/>
  <c r="AG1306" i="1"/>
  <c r="AY1306" i="1" s="1"/>
  <c r="AG1307" i="1"/>
  <c r="AY1307" i="1" s="1"/>
  <c r="AG1308" i="1"/>
  <c r="AY1308" i="1" s="1"/>
  <c r="AG1309" i="1"/>
  <c r="AY1309" i="1" s="1"/>
  <c r="AG1310" i="1"/>
  <c r="AY1310" i="1" s="1"/>
  <c r="AG1311" i="1"/>
  <c r="AY1311" i="1" s="1"/>
  <c r="AG1312" i="1"/>
  <c r="AY1312" i="1" s="1"/>
  <c r="AG1313" i="1"/>
  <c r="AY1313" i="1" s="1"/>
  <c r="AG1314" i="1"/>
  <c r="AY1314" i="1" s="1"/>
  <c r="AG1315" i="1"/>
  <c r="AY1315" i="1" s="1"/>
  <c r="AG1316" i="1"/>
  <c r="AY1316" i="1" s="1"/>
  <c r="AG1317" i="1"/>
  <c r="AY1317" i="1" s="1"/>
  <c r="AG1318" i="1"/>
  <c r="AY1318" i="1" s="1"/>
  <c r="AG1319" i="1"/>
  <c r="AY1319" i="1" s="1"/>
  <c r="AG1320" i="1"/>
  <c r="AY1320" i="1" s="1"/>
  <c r="AG1321" i="1"/>
  <c r="AY1321" i="1" s="1"/>
  <c r="AG1322" i="1"/>
  <c r="AY1322" i="1" s="1"/>
  <c r="AG1323" i="1"/>
  <c r="AY1323" i="1" s="1"/>
  <c r="AG1324" i="1"/>
  <c r="AY1324" i="1" s="1"/>
  <c r="AG1325" i="1"/>
  <c r="AY1325" i="1" s="1"/>
  <c r="AG1326" i="1"/>
  <c r="AY1326" i="1" s="1"/>
  <c r="AG1327" i="1"/>
  <c r="AY1327" i="1" s="1"/>
  <c r="AG1328" i="1"/>
  <c r="AY1328" i="1" s="1"/>
  <c r="AG1329" i="1"/>
  <c r="AY1329" i="1" s="1"/>
  <c r="AG1330" i="1"/>
  <c r="AY1330" i="1" s="1"/>
  <c r="AG1331" i="1"/>
  <c r="AY1331" i="1" s="1"/>
  <c r="AG1332" i="1"/>
  <c r="AY1332" i="1" s="1"/>
  <c r="AG1333" i="1"/>
  <c r="AY1333" i="1" s="1"/>
  <c r="AG1334" i="1"/>
  <c r="AY1334" i="1" s="1"/>
  <c r="AG1335" i="1"/>
  <c r="AY1335" i="1" s="1"/>
  <c r="AG1336" i="1"/>
  <c r="AY1336" i="1" s="1"/>
  <c r="AG1337" i="1"/>
  <c r="AY1337" i="1" s="1"/>
  <c r="AG1338" i="1"/>
  <c r="AY1338" i="1" s="1"/>
  <c r="AG1339" i="1"/>
  <c r="AY1339" i="1" s="1"/>
  <c r="AG1340" i="1"/>
  <c r="AY1340" i="1" s="1"/>
  <c r="AG1341" i="1"/>
  <c r="AY1341" i="1" s="1"/>
  <c r="AG1342" i="1"/>
  <c r="AY1342" i="1" s="1"/>
  <c r="AG1343" i="1"/>
  <c r="AY1343" i="1" s="1"/>
  <c r="AG1344" i="1"/>
  <c r="AY1344" i="1" s="1"/>
  <c r="AG1345" i="1"/>
  <c r="AY1345" i="1" s="1"/>
  <c r="AG1346" i="1"/>
  <c r="AY1346" i="1" s="1"/>
  <c r="AG1347" i="1"/>
  <c r="AY1347" i="1" s="1"/>
  <c r="AG1348" i="1"/>
  <c r="AY1348" i="1" s="1"/>
  <c r="AG1349" i="1"/>
  <c r="AY1349" i="1" s="1"/>
  <c r="AG1350" i="1"/>
  <c r="AY1350" i="1" s="1"/>
  <c r="AG1351" i="1"/>
  <c r="AY1351" i="1" s="1"/>
  <c r="AG1352" i="1"/>
  <c r="AY1352" i="1" s="1"/>
  <c r="AG1353" i="1"/>
  <c r="AY1353" i="1" s="1"/>
  <c r="AG1354" i="1"/>
  <c r="AY1354" i="1" s="1"/>
  <c r="AG1355" i="1"/>
  <c r="AY1355" i="1" s="1"/>
  <c r="AG1356" i="1"/>
  <c r="AY1356" i="1" s="1"/>
  <c r="AG1357" i="1"/>
  <c r="AY1357" i="1" s="1"/>
  <c r="AG1358" i="1"/>
  <c r="AY1358" i="1" s="1"/>
  <c r="AG1359" i="1"/>
  <c r="AY1359" i="1" s="1"/>
  <c r="AG1360" i="1"/>
  <c r="AY1360" i="1" s="1"/>
  <c r="AG1361" i="1"/>
  <c r="AY1361" i="1" s="1"/>
  <c r="AG1362" i="1"/>
  <c r="AY1362" i="1" s="1"/>
  <c r="AG1363" i="1"/>
  <c r="AY1363" i="1" s="1"/>
  <c r="AG1364" i="1"/>
  <c r="AY1364" i="1" s="1"/>
  <c r="AG1365" i="1"/>
  <c r="AY1365" i="1" s="1"/>
  <c r="AG1366" i="1"/>
  <c r="AY1366" i="1" s="1"/>
  <c r="AG1367" i="1"/>
  <c r="AY1367" i="1" s="1"/>
  <c r="AG1368" i="1"/>
  <c r="AY1368" i="1" s="1"/>
  <c r="AG1369" i="1"/>
  <c r="AY1369" i="1" s="1"/>
  <c r="AG1370" i="1"/>
  <c r="AY1370" i="1" s="1"/>
  <c r="AG1371" i="1"/>
  <c r="AY1371" i="1" s="1"/>
  <c r="AG1372" i="1"/>
  <c r="AY1372" i="1" s="1"/>
  <c r="AG1373" i="1"/>
  <c r="AY1373" i="1" s="1"/>
  <c r="AG1374" i="1"/>
  <c r="AY1374" i="1" s="1"/>
  <c r="AG1375" i="1"/>
  <c r="AY1375" i="1" s="1"/>
  <c r="AG1376" i="1"/>
  <c r="AY1376" i="1" s="1"/>
  <c r="AG1377" i="1"/>
  <c r="AY1377" i="1" s="1"/>
  <c r="AG1378" i="1"/>
  <c r="AY1378" i="1" s="1"/>
  <c r="AG1379" i="1"/>
  <c r="AY1379" i="1" s="1"/>
  <c r="AG1380" i="1"/>
  <c r="AY1380" i="1" s="1"/>
  <c r="AG1381" i="1"/>
  <c r="AY1381" i="1" s="1"/>
  <c r="AG1382" i="1"/>
  <c r="AY1382" i="1" s="1"/>
  <c r="AG1383" i="1"/>
  <c r="AY1383" i="1" s="1"/>
  <c r="AG1384" i="1"/>
  <c r="AY1384" i="1" s="1"/>
  <c r="AG1385" i="1"/>
  <c r="AY1385" i="1" s="1"/>
  <c r="AG1386" i="1"/>
  <c r="AY1386" i="1" s="1"/>
  <c r="AG1387" i="1"/>
  <c r="AY1387" i="1" s="1"/>
  <c r="AG1388" i="1"/>
  <c r="AY1388" i="1" s="1"/>
  <c r="AG1389" i="1"/>
  <c r="AY1389" i="1" s="1"/>
  <c r="AG1390" i="1"/>
  <c r="AY1390" i="1" s="1"/>
  <c r="AG1391" i="1"/>
  <c r="AY1391" i="1" s="1"/>
  <c r="AG1392" i="1"/>
  <c r="AY1392" i="1" s="1"/>
  <c r="AG1393" i="1"/>
  <c r="AY1393" i="1" s="1"/>
  <c r="AG1394" i="1"/>
  <c r="AY1394" i="1" s="1"/>
  <c r="AG1395" i="1"/>
  <c r="AY1395" i="1" s="1"/>
  <c r="AG1396" i="1"/>
  <c r="AY1396" i="1" s="1"/>
  <c r="AG1397" i="1"/>
  <c r="AY1397" i="1" s="1"/>
  <c r="AG1398" i="1"/>
  <c r="AY1398" i="1" s="1"/>
  <c r="AG1399" i="1"/>
  <c r="AY1399" i="1" s="1"/>
  <c r="AG1400" i="1"/>
  <c r="AY1400" i="1" s="1"/>
  <c r="AG1401" i="1"/>
  <c r="AY1401" i="1" s="1"/>
  <c r="AG1402" i="1"/>
  <c r="AY1402" i="1" s="1"/>
  <c r="AG1403" i="1"/>
  <c r="AY1403" i="1" s="1"/>
  <c r="AG1404" i="1"/>
  <c r="AY1404" i="1" s="1"/>
  <c r="AG1405" i="1"/>
  <c r="AY1405" i="1" s="1"/>
  <c r="AG1406" i="1"/>
  <c r="AY1406" i="1" s="1"/>
  <c r="AG1407" i="1"/>
  <c r="AY1407" i="1" s="1"/>
  <c r="AG1408" i="1"/>
  <c r="AY1408" i="1" s="1"/>
  <c r="AG1409" i="1"/>
  <c r="AY1409" i="1" s="1"/>
  <c r="AG1410" i="1"/>
  <c r="AY1410" i="1" s="1"/>
  <c r="AG1411" i="1"/>
  <c r="AY1411" i="1" s="1"/>
  <c r="AG1412" i="1"/>
  <c r="AY1412" i="1" s="1"/>
  <c r="AG1413" i="1"/>
  <c r="AY1413" i="1" s="1"/>
  <c r="AG1414" i="1"/>
  <c r="AY1414" i="1" s="1"/>
  <c r="AG1415" i="1"/>
  <c r="AY1415" i="1" s="1"/>
  <c r="AG1416" i="1"/>
  <c r="AY1416" i="1" s="1"/>
  <c r="AG1417" i="1"/>
  <c r="AY1417" i="1" s="1"/>
  <c r="AG1418" i="1"/>
  <c r="AY1418" i="1" s="1"/>
  <c r="AG1419" i="1"/>
  <c r="AY1419" i="1" s="1"/>
  <c r="AG1420" i="1"/>
  <c r="AY1420" i="1" s="1"/>
  <c r="AG1421" i="1"/>
  <c r="AY1421" i="1" s="1"/>
  <c r="AG1422" i="1"/>
  <c r="AY1422" i="1" s="1"/>
  <c r="AG1423" i="1"/>
  <c r="AY1423" i="1" s="1"/>
  <c r="AG1424" i="1"/>
  <c r="AY1424" i="1" s="1"/>
  <c r="AG1425" i="1"/>
  <c r="AY1425" i="1" s="1"/>
  <c r="AG1426" i="1"/>
  <c r="AY1426" i="1" s="1"/>
  <c r="AG1427" i="1"/>
  <c r="AY1427" i="1" s="1"/>
  <c r="AG1428" i="1"/>
  <c r="AY1428" i="1" s="1"/>
  <c r="AG1429" i="1"/>
  <c r="AY1429" i="1" s="1"/>
  <c r="AG1430" i="1"/>
  <c r="AY1430" i="1" s="1"/>
  <c r="AG1431" i="1"/>
  <c r="AY1431" i="1" s="1"/>
  <c r="AG1432" i="1"/>
  <c r="AY1432" i="1" s="1"/>
  <c r="AG1433" i="1"/>
  <c r="AY1433" i="1" s="1"/>
  <c r="AG1434" i="1"/>
  <c r="AY1434" i="1" s="1"/>
  <c r="AG1435" i="1"/>
  <c r="AY1435" i="1" s="1"/>
  <c r="AG1436" i="1"/>
  <c r="AY1436" i="1" s="1"/>
  <c r="AG1437" i="1"/>
  <c r="AY1437" i="1" s="1"/>
  <c r="AG1438" i="1"/>
  <c r="AY1438" i="1" s="1"/>
  <c r="AG1439" i="1"/>
  <c r="AY1439" i="1" s="1"/>
  <c r="AG1440" i="1"/>
  <c r="AY1440" i="1" s="1"/>
  <c r="AG1441" i="1"/>
  <c r="AY1441" i="1" s="1"/>
  <c r="AG1442" i="1"/>
  <c r="AY1442" i="1" s="1"/>
  <c r="AG1443" i="1"/>
  <c r="AY1443" i="1" s="1"/>
  <c r="AG1444" i="1"/>
  <c r="AY1444" i="1" s="1"/>
  <c r="AG1445" i="1"/>
  <c r="AY1445" i="1" s="1"/>
  <c r="AG1446" i="1"/>
  <c r="AY1446" i="1" s="1"/>
  <c r="AG1447" i="1"/>
  <c r="AY1447" i="1" s="1"/>
  <c r="AG1448" i="1"/>
  <c r="AY1448" i="1" s="1"/>
  <c r="AG1449" i="1"/>
  <c r="AY1449" i="1" s="1"/>
  <c r="AG1450" i="1"/>
  <c r="AY1450" i="1" s="1"/>
  <c r="AG1451" i="1"/>
  <c r="AY1451" i="1" s="1"/>
  <c r="AG1452" i="1"/>
  <c r="AY1452" i="1" s="1"/>
  <c r="AG1453" i="1"/>
  <c r="AY1453" i="1" s="1"/>
  <c r="AG1454" i="1"/>
  <c r="AY1454" i="1" s="1"/>
  <c r="AG1455" i="1"/>
  <c r="AY1455" i="1" s="1"/>
  <c r="AG1456" i="1"/>
  <c r="AY1456" i="1" s="1"/>
  <c r="AG1457" i="1"/>
  <c r="AY1457" i="1" s="1"/>
  <c r="AG1458" i="1"/>
  <c r="AY1458" i="1" s="1"/>
  <c r="AG1459" i="1"/>
  <c r="AY1459" i="1" s="1"/>
  <c r="AG1460" i="1"/>
  <c r="AY1460" i="1" s="1"/>
  <c r="AG1461" i="1"/>
  <c r="AY1461" i="1" s="1"/>
  <c r="AG1462" i="1"/>
  <c r="AY1462" i="1" s="1"/>
  <c r="AG1463" i="1"/>
  <c r="AY1463" i="1" s="1"/>
  <c r="AG1464" i="1"/>
  <c r="AY1464" i="1" s="1"/>
  <c r="AG1465" i="1"/>
  <c r="AY1465" i="1" s="1"/>
  <c r="AG1466" i="1"/>
  <c r="AY1466" i="1" s="1"/>
  <c r="AG1467" i="1"/>
  <c r="AY1467" i="1" s="1"/>
  <c r="AG1468" i="1"/>
  <c r="AY1468" i="1" s="1"/>
  <c r="AG1469" i="1"/>
  <c r="AY1469" i="1" s="1"/>
  <c r="AG1470" i="1"/>
  <c r="AY1470" i="1" s="1"/>
  <c r="AG1471" i="1"/>
  <c r="AY1471" i="1" s="1"/>
  <c r="AG1472" i="1"/>
  <c r="AY1472" i="1" s="1"/>
  <c r="AG1473" i="1"/>
  <c r="AY1473" i="1" s="1"/>
  <c r="AG1474" i="1"/>
  <c r="AY1474" i="1" s="1"/>
  <c r="AG1475" i="1"/>
  <c r="AY1475" i="1" s="1"/>
  <c r="AG1476" i="1"/>
  <c r="AY1476" i="1" s="1"/>
  <c r="AG1477" i="1"/>
  <c r="AY1477" i="1" s="1"/>
  <c r="AG1478" i="1"/>
  <c r="AY1478" i="1" s="1"/>
  <c r="AG1479" i="1"/>
  <c r="AY1479" i="1" s="1"/>
  <c r="AG1480" i="1"/>
  <c r="AY1480" i="1" s="1"/>
  <c r="AG1481" i="1"/>
  <c r="AY1481" i="1" s="1"/>
  <c r="AG1482" i="1"/>
  <c r="AY1482" i="1" s="1"/>
  <c r="AG1483" i="1"/>
  <c r="AY1483" i="1" s="1"/>
  <c r="AG1484" i="1"/>
  <c r="AY1484" i="1" s="1"/>
  <c r="AG1485" i="1"/>
  <c r="AY1485" i="1" s="1"/>
  <c r="AG1486" i="1"/>
  <c r="AY1486" i="1" s="1"/>
  <c r="AG1487" i="1"/>
  <c r="AY1487" i="1" s="1"/>
  <c r="AG1488" i="1"/>
  <c r="AY1488" i="1" s="1"/>
  <c r="AG1489" i="1"/>
  <c r="AY1489" i="1" s="1"/>
  <c r="AG1490" i="1"/>
  <c r="AY1490" i="1" s="1"/>
  <c r="AG1491" i="1"/>
  <c r="AY1491" i="1" s="1"/>
  <c r="AG1492" i="1"/>
  <c r="AY1492" i="1" s="1"/>
  <c r="AG1493" i="1"/>
  <c r="AY1493" i="1" s="1"/>
  <c r="AG1494" i="1"/>
  <c r="AY1494" i="1" s="1"/>
  <c r="AG1495" i="1"/>
  <c r="AY1495" i="1" s="1"/>
  <c r="AG1496" i="1"/>
  <c r="AY1496" i="1" s="1"/>
  <c r="AG1497" i="1"/>
  <c r="AY1497" i="1" s="1"/>
  <c r="AG1498" i="1"/>
  <c r="AY1498" i="1" s="1"/>
  <c r="AG1499" i="1"/>
  <c r="AY1499" i="1" s="1"/>
  <c r="AG1500" i="1"/>
  <c r="AY1500" i="1" s="1"/>
  <c r="AG1501" i="1"/>
  <c r="AY1501" i="1" s="1"/>
  <c r="AG1502" i="1"/>
  <c r="AY1502" i="1" s="1"/>
  <c r="AG1503" i="1"/>
  <c r="AY1503" i="1" s="1"/>
  <c r="AG1504" i="1"/>
  <c r="AY1504" i="1" s="1"/>
  <c r="AG1505" i="1"/>
  <c r="AY1505" i="1" s="1"/>
  <c r="AG1506" i="1"/>
  <c r="AY1506" i="1" s="1"/>
  <c r="AG1507" i="1"/>
  <c r="AY1507" i="1" s="1"/>
  <c r="AG1508" i="1"/>
  <c r="AY1508" i="1" s="1"/>
  <c r="AG1509" i="1"/>
  <c r="AY1509" i="1" s="1"/>
  <c r="AG1510" i="1"/>
  <c r="AY1510" i="1" s="1"/>
  <c r="AG1511" i="1"/>
  <c r="AY1511" i="1" s="1"/>
  <c r="AG1512" i="1"/>
  <c r="AY1512" i="1" s="1"/>
  <c r="AG1513" i="1"/>
  <c r="AY1513" i="1" s="1"/>
  <c r="AG1514" i="1"/>
  <c r="AY1514" i="1" s="1"/>
  <c r="AG1515" i="1"/>
  <c r="AY1515" i="1" s="1"/>
  <c r="AG1516" i="1"/>
  <c r="AY1516" i="1" s="1"/>
  <c r="AG1517" i="1"/>
  <c r="AY1517" i="1" s="1"/>
  <c r="AG1518" i="1"/>
  <c r="AY1518" i="1" s="1"/>
  <c r="AG1519" i="1"/>
  <c r="AY1519" i="1" s="1"/>
  <c r="AG1520" i="1"/>
  <c r="AY1520" i="1" s="1"/>
  <c r="AG1521" i="1"/>
  <c r="AY1521" i="1" s="1"/>
  <c r="AG1522" i="1"/>
  <c r="AY1522" i="1" s="1"/>
  <c r="AG1523" i="1"/>
  <c r="AY1523" i="1" s="1"/>
  <c r="AG1524" i="1"/>
  <c r="AY1524" i="1" s="1"/>
  <c r="AG1525" i="1"/>
  <c r="AY1525" i="1" s="1"/>
  <c r="AG1526" i="1"/>
  <c r="AY1526" i="1" s="1"/>
  <c r="AG1527" i="1"/>
  <c r="AY1527" i="1" s="1"/>
  <c r="AG1528" i="1"/>
  <c r="AY1528" i="1" s="1"/>
  <c r="AG1529" i="1"/>
  <c r="AY1529" i="1" s="1"/>
  <c r="AG1530" i="1"/>
  <c r="AY1530" i="1" s="1"/>
  <c r="AG1531" i="1"/>
  <c r="AY1531" i="1" s="1"/>
  <c r="AG1532" i="1"/>
  <c r="AY1532" i="1" s="1"/>
  <c r="AG1533" i="1"/>
  <c r="AY1533" i="1" s="1"/>
  <c r="AG1534" i="1"/>
  <c r="AY1534" i="1" s="1"/>
  <c r="AG1535" i="1"/>
  <c r="AY1535" i="1" s="1"/>
  <c r="AG1536" i="1"/>
  <c r="AY1536" i="1" s="1"/>
  <c r="AG1537" i="1"/>
  <c r="AY1537" i="1" s="1"/>
  <c r="AG1538" i="1"/>
  <c r="AY1538" i="1" s="1"/>
  <c r="AG1539" i="1"/>
  <c r="AY1539" i="1" s="1"/>
  <c r="AG1540" i="1"/>
  <c r="AY1540" i="1" s="1"/>
  <c r="AG1541" i="1"/>
  <c r="AY1541" i="1" s="1"/>
  <c r="AG1542" i="1"/>
  <c r="AY1542" i="1" s="1"/>
  <c r="AG1543" i="1"/>
  <c r="AY1543" i="1" s="1"/>
  <c r="AG1544" i="1"/>
  <c r="AY1544" i="1" s="1"/>
  <c r="AG1545" i="1"/>
  <c r="AY1545" i="1" s="1"/>
  <c r="AG1546" i="1"/>
  <c r="AY1546" i="1" s="1"/>
  <c r="AG1547" i="1"/>
  <c r="AY1547" i="1" s="1"/>
  <c r="AG1548" i="1"/>
  <c r="AY1548" i="1" s="1"/>
  <c r="AG1549" i="1"/>
  <c r="AY1549" i="1" s="1"/>
  <c r="AG1550" i="1"/>
  <c r="AY1550" i="1" s="1"/>
  <c r="AG1551" i="1"/>
  <c r="AY1551" i="1" s="1"/>
  <c r="AG1552" i="1"/>
  <c r="AY1552" i="1" s="1"/>
  <c r="AG1553" i="1"/>
  <c r="AY1553" i="1" s="1"/>
  <c r="AG1554" i="1"/>
  <c r="AY1554" i="1" s="1"/>
  <c r="AG1555" i="1"/>
  <c r="AY1555" i="1" s="1"/>
  <c r="AG1556" i="1"/>
  <c r="AY1556" i="1" s="1"/>
  <c r="AG1557" i="1"/>
  <c r="AY1557" i="1" s="1"/>
  <c r="AG1558" i="1"/>
  <c r="AY1558" i="1" s="1"/>
  <c r="AG1559" i="1"/>
  <c r="AY1559" i="1" s="1"/>
  <c r="AG1560" i="1"/>
  <c r="AY1560" i="1" s="1"/>
  <c r="AG1561" i="1"/>
  <c r="AY1561" i="1" s="1"/>
  <c r="AG1562" i="1"/>
  <c r="AY1562" i="1" s="1"/>
  <c r="AG1563" i="1"/>
  <c r="AY1563" i="1" s="1"/>
  <c r="AG1564" i="1"/>
  <c r="AY1564" i="1" s="1"/>
  <c r="AG1565" i="1"/>
  <c r="AY1565" i="1" s="1"/>
  <c r="AG1566" i="1"/>
  <c r="AY1566" i="1" s="1"/>
  <c r="AG1567" i="1"/>
  <c r="AY1567" i="1" s="1"/>
  <c r="AG1568" i="1"/>
  <c r="AY1568" i="1" s="1"/>
  <c r="AG1569" i="1"/>
  <c r="AY1569" i="1" s="1"/>
  <c r="AG1570" i="1"/>
  <c r="AY1570" i="1" s="1"/>
  <c r="AG1571" i="1"/>
  <c r="AY1571" i="1" s="1"/>
  <c r="AG1572" i="1"/>
  <c r="AY1572" i="1" s="1"/>
  <c r="AG1573" i="1"/>
  <c r="AY1573" i="1" s="1"/>
  <c r="AG1574" i="1"/>
  <c r="AY1574" i="1" s="1"/>
  <c r="AG1575" i="1"/>
  <c r="AY1575" i="1" s="1"/>
  <c r="AG1576" i="1"/>
  <c r="AY1576" i="1" s="1"/>
  <c r="AG1577" i="1"/>
  <c r="AY1577" i="1" s="1"/>
  <c r="AG1578" i="1"/>
  <c r="AY1578" i="1" s="1"/>
  <c r="AG1579" i="1"/>
  <c r="AY1579" i="1" s="1"/>
  <c r="AG1580" i="1"/>
  <c r="AY1580" i="1" s="1"/>
  <c r="AG1581" i="1"/>
  <c r="AY1581" i="1" s="1"/>
  <c r="AG1582" i="1"/>
  <c r="AY1582" i="1" s="1"/>
  <c r="AG1583" i="1"/>
  <c r="AY1583" i="1" s="1"/>
  <c r="AG1584" i="1"/>
  <c r="AY1584" i="1" s="1"/>
  <c r="AG1585" i="1"/>
  <c r="AY1585" i="1" s="1"/>
  <c r="AG1586" i="1"/>
  <c r="AY1586" i="1" s="1"/>
  <c r="AG1587" i="1"/>
  <c r="AY1587" i="1" s="1"/>
  <c r="AG1588" i="1"/>
  <c r="AY1588" i="1" s="1"/>
  <c r="AG1589" i="1"/>
  <c r="AY1589" i="1" s="1"/>
  <c r="AG1590" i="1"/>
  <c r="AY1590" i="1" s="1"/>
  <c r="AG1591" i="1"/>
  <c r="AY1591" i="1" s="1"/>
  <c r="AG1592" i="1"/>
  <c r="AY1592" i="1" s="1"/>
  <c r="AG1593" i="1"/>
  <c r="AY1593" i="1" s="1"/>
  <c r="AG1594" i="1"/>
  <c r="AY1594" i="1" s="1"/>
  <c r="AG1595" i="1"/>
  <c r="AY1595" i="1" s="1"/>
  <c r="AG1596" i="1"/>
  <c r="AY1596" i="1" s="1"/>
  <c r="AG1597" i="1"/>
  <c r="AY1597" i="1" s="1"/>
  <c r="AG1598" i="1"/>
  <c r="AY1598" i="1" s="1"/>
  <c r="AG1599" i="1"/>
  <c r="AY1599" i="1" s="1"/>
  <c r="AG1600" i="1"/>
  <c r="AY1600" i="1" s="1"/>
  <c r="AG1601" i="1"/>
  <c r="AY1601" i="1" s="1"/>
  <c r="AG1602" i="1"/>
  <c r="AY1602" i="1" s="1"/>
  <c r="AG1603" i="1"/>
  <c r="AY1603" i="1" s="1"/>
  <c r="AG1604" i="1"/>
  <c r="AY1604" i="1" s="1"/>
  <c r="AG1605" i="1"/>
  <c r="AY1605" i="1" s="1"/>
  <c r="AG1606" i="1"/>
  <c r="AY1606" i="1" s="1"/>
  <c r="AG1607" i="1"/>
  <c r="AY1607" i="1" s="1"/>
  <c r="AG1608" i="1"/>
  <c r="AY1608" i="1" s="1"/>
  <c r="AG1609" i="1"/>
  <c r="AY1609" i="1" s="1"/>
  <c r="AG1610" i="1"/>
  <c r="AY1610" i="1" s="1"/>
  <c r="AG1611" i="1"/>
  <c r="AY1611" i="1" s="1"/>
  <c r="AG1612" i="1"/>
  <c r="AY1612" i="1" s="1"/>
  <c r="AG1613" i="1"/>
  <c r="AY1613" i="1" s="1"/>
  <c r="AG1614" i="1"/>
  <c r="AY1614" i="1" s="1"/>
  <c r="AG1615" i="1"/>
  <c r="AY1615" i="1" s="1"/>
  <c r="AG1616" i="1"/>
  <c r="AY1616" i="1" s="1"/>
  <c r="AG1617" i="1"/>
  <c r="AY1617" i="1" s="1"/>
  <c r="AG1618" i="1"/>
  <c r="AY1618" i="1" s="1"/>
  <c r="AG1619" i="1"/>
  <c r="AY1619" i="1" s="1"/>
  <c r="AG1620" i="1"/>
  <c r="AY1620" i="1" s="1"/>
  <c r="AG1621" i="1"/>
  <c r="AY1621" i="1" s="1"/>
  <c r="AG1622" i="1"/>
  <c r="AY1622" i="1" s="1"/>
  <c r="AG1623" i="1"/>
  <c r="AY1623" i="1" s="1"/>
  <c r="AG1624" i="1"/>
  <c r="AY1624" i="1" s="1"/>
  <c r="AG1625" i="1"/>
  <c r="AY1625" i="1" s="1"/>
  <c r="AG1626" i="1"/>
  <c r="AY1626" i="1" s="1"/>
  <c r="AG1627" i="1"/>
  <c r="AY1627" i="1" s="1"/>
  <c r="AG1628" i="1"/>
  <c r="AY1628" i="1" s="1"/>
  <c r="AG1629" i="1"/>
  <c r="AY1629" i="1" s="1"/>
  <c r="AG1630" i="1"/>
  <c r="AY1630" i="1" s="1"/>
  <c r="AG1631" i="1"/>
  <c r="AY1631" i="1" s="1"/>
  <c r="AG1632" i="1"/>
  <c r="AY1632" i="1" s="1"/>
  <c r="AG1633" i="1"/>
  <c r="AY1633" i="1" s="1"/>
  <c r="AG1634" i="1"/>
  <c r="AY1634" i="1" s="1"/>
  <c r="AG1635" i="1"/>
  <c r="AY1635" i="1" s="1"/>
  <c r="AG1636" i="1"/>
  <c r="AY1636" i="1" s="1"/>
  <c r="AG1637" i="1"/>
  <c r="AY1637" i="1" s="1"/>
  <c r="AG1638" i="1"/>
  <c r="AY1638" i="1" s="1"/>
  <c r="AG1639" i="1"/>
  <c r="AY1639" i="1" s="1"/>
  <c r="AG1640" i="1"/>
  <c r="AY1640" i="1" s="1"/>
  <c r="AG1641" i="1"/>
  <c r="AY1641" i="1" s="1"/>
  <c r="AG1642" i="1"/>
  <c r="AY1642" i="1" s="1"/>
  <c r="AG1643" i="1"/>
  <c r="AY1643" i="1" s="1"/>
  <c r="AG1644" i="1"/>
  <c r="AY1644" i="1" s="1"/>
  <c r="AG1645" i="1"/>
  <c r="AY1645" i="1" s="1"/>
  <c r="AG1646" i="1"/>
  <c r="AY1646" i="1" s="1"/>
  <c r="AG1647" i="1"/>
  <c r="AY1647" i="1" s="1"/>
  <c r="AG1648" i="1"/>
  <c r="AY1648" i="1" s="1"/>
  <c r="AG1649" i="1"/>
  <c r="AY1649" i="1" s="1"/>
  <c r="AG1650" i="1"/>
  <c r="AY1650" i="1" s="1"/>
  <c r="AG1651" i="1"/>
  <c r="AY1651" i="1" s="1"/>
  <c r="AG1652" i="1"/>
  <c r="AY1652" i="1" s="1"/>
  <c r="AG1653" i="1"/>
  <c r="AY1653" i="1" s="1"/>
  <c r="AG1654" i="1"/>
  <c r="AY1654" i="1" s="1"/>
  <c r="AG1655" i="1"/>
  <c r="AY1655" i="1" s="1"/>
  <c r="AG1656" i="1"/>
  <c r="AY1656" i="1" s="1"/>
  <c r="AG1657" i="1"/>
  <c r="AY1657" i="1" s="1"/>
  <c r="AG1658" i="1"/>
  <c r="AY1658" i="1" s="1"/>
  <c r="AG1659" i="1"/>
  <c r="AY1659" i="1" s="1"/>
  <c r="AG1660" i="1"/>
  <c r="AY1660" i="1" s="1"/>
  <c r="AG1661" i="1"/>
  <c r="AY1661" i="1" s="1"/>
  <c r="AG1662" i="1"/>
  <c r="AY1662" i="1" s="1"/>
  <c r="AG1663" i="1"/>
  <c r="AY1663" i="1" s="1"/>
  <c r="AG1664" i="1"/>
  <c r="AY1664" i="1" s="1"/>
  <c r="AG1665" i="1"/>
  <c r="AY1665" i="1" s="1"/>
  <c r="AG1666" i="1"/>
  <c r="AY1666" i="1" s="1"/>
  <c r="AG1667" i="1"/>
  <c r="AY1667" i="1" s="1"/>
  <c r="AG1668" i="1"/>
  <c r="AY1668" i="1" s="1"/>
  <c r="AG1669" i="1"/>
  <c r="AY1669" i="1" s="1"/>
  <c r="AG1670" i="1"/>
  <c r="AY1670" i="1" s="1"/>
  <c r="AG1671" i="1"/>
  <c r="AY1671" i="1" s="1"/>
  <c r="AG1672" i="1"/>
  <c r="AY1672" i="1" s="1"/>
  <c r="AG1673" i="1"/>
  <c r="AY1673" i="1" s="1"/>
  <c r="AG1674" i="1"/>
  <c r="AY1674" i="1" s="1"/>
  <c r="AG1675" i="1"/>
  <c r="AY1675" i="1" s="1"/>
  <c r="AG1676" i="1"/>
  <c r="AY1676" i="1" s="1"/>
  <c r="AG1677" i="1"/>
  <c r="AY1677" i="1" s="1"/>
  <c r="AG1678" i="1"/>
  <c r="AY1678" i="1" s="1"/>
  <c r="AG1679" i="1"/>
  <c r="AY1679" i="1" s="1"/>
  <c r="AG1680" i="1"/>
  <c r="AY1680" i="1" s="1"/>
  <c r="AG1681" i="1"/>
  <c r="AY1681" i="1" s="1"/>
  <c r="AG1682" i="1"/>
  <c r="AY1682" i="1" s="1"/>
  <c r="AG1683" i="1"/>
  <c r="AY1683" i="1" s="1"/>
  <c r="AG1684" i="1"/>
  <c r="AY1684" i="1" s="1"/>
  <c r="AG1685" i="1"/>
  <c r="AY1685" i="1" s="1"/>
  <c r="AG1686" i="1"/>
  <c r="AY1686" i="1" s="1"/>
  <c r="AG1687" i="1"/>
  <c r="AY1687" i="1" s="1"/>
  <c r="AG1688" i="1"/>
  <c r="AY1688" i="1" s="1"/>
  <c r="AG1689" i="1"/>
  <c r="AY1689" i="1" s="1"/>
  <c r="AG1690" i="1"/>
  <c r="AY1690" i="1" s="1"/>
  <c r="AG1691" i="1"/>
  <c r="AY1691" i="1" s="1"/>
  <c r="AG1692" i="1"/>
  <c r="AY1692" i="1" s="1"/>
  <c r="AG1693" i="1"/>
  <c r="AY1693" i="1" s="1"/>
  <c r="AG1694" i="1"/>
  <c r="AY1694" i="1" s="1"/>
  <c r="AG1695" i="1"/>
  <c r="AY1695" i="1" s="1"/>
  <c r="AG1696" i="1"/>
  <c r="AY1696" i="1" s="1"/>
  <c r="AG1697" i="1"/>
  <c r="AY1697" i="1" s="1"/>
  <c r="AG1698" i="1"/>
  <c r="AY1698" i="1" s="1"/>
  <c r="AG1699" i="1"/>
  <c r="AY1699" i="1" s="1"/>
  <c r="AG1700" i="1"/>
  <c r="AY1700" i="1" s="1"/>
  <c r="AG1701" i="1"/>
  <c r="AY1701" i="1" s="1"/>
  <c r="AG1702" i="1"/>
  <c r="AY1702" i="1" s="1"/>
  <c r="AG1703" i="1"/>
  <c r="AY1703" i="1" s="1"/>
  <c r="AG1704" i="1"/>
  <c r="AY1704" i="1" s="1"/>
  <c r="AG1705" i="1"/>
  <c r="AY1705" i="1" s="1"/>
  <c r="AG1706" i="1"/>
  <c r="AY1706" i="1" s="1"/>
  <c r="AG1707" i="1"/>
  <c r="AY1707" i="1" s="1"/>
  <c r="AG1708" i="1"/>
  <c r="AY1708" i="1" s="1"/>
  <c r="AG1709" i="1"/>
  <c r="AY1709" i="1" s="1"/>
  <c r="AG1710" i="1"/>
  <c r="AY1710" i="1" s="1"/>
  <c r="AG1711" i="1"/>
  <c r="AY1711" i="1" s="1"/>
  <c r="AG1712" i="1"/>
  <c r="AY1712" i="1" s="1"/>
  <c r="AG1713" i="1"/>
  <c r="AY1713" i="1" s="1"/>
  <c r="AG1714" i="1"/>
  <c r="AY1714" i="1" s="1"/>
  <c r="AG1715" i="1"/>
  <c r="AY1715" i="1" s="1"/>
  <c r="AG1716" i="1"/>
  <c r="AY1716" i="1" s="1"/>
  <c r="AG1717" i="1"/>
  <c r="AY1717" i="1" s="1"/>
  <c r="AG1718" i="1"/>
  <c r="AY1718" i="1" s="1"/>
  <c r="AG1719" i="1"/>
  <c r="AY1719" i="1" s="1"/>
  <c r="AG1720" i="1"/>
  <c r="AY1720" i="1" s="1"/>
  <c r="AG1721" i="1"/>
  <c r="AY1721" i="1" s="1"/>
  <c r="AG1722" i="1"/>
  <c r="AY1722" i="1" s="1"/>
  <c r="AG1723" i="1"/>
  <c r="AY1723" i="1" s="1"/>
  <c r="AG1724" i="1"/>
  <c r="AY1724" i="1" s="1"/>
  <c r="AG1725" i="1"/>
  <c r="AY1725" i="1" s="1"/>
  <c r="AG1726" i="1"/>
  <c r="AY1726" i="1" s="1"/>
  <c r="AG1727" i="1"/>
  <c r="AY1727" i="1" s="1"/>
  <c r="AG1728" i="1"/>
  <c r="AY1728" i="1" s="1"/>
  <c r="AG1729" i="1"/>
  <c r="AY1729" i="1" s="1"/>
  <c r="AG1730" i="1"/>
  <c r="AY1730" i="1" s="1"/>
  <c r="AF3" i="1"/>
  <c r="AX3" i="1" s="1"/>
  <c r="AF4" i="1"/>
  <c r="AX4" i="1" s="1"/>
  <c r="AF5" i="1"/>
  <c r="AX5" i="1" s="1"/>
  <c r="AF6" i="1"/>
  <c r="AX6" i="1" s="1"/>
  <c r="AF7" i="1"/>
  <c r="AX7" i="1" s="1"/>
  <c r="AF8" i="1"/>
  <c r="AX8" i="1" s="1"/>
  <c r="AF9" i="1"/>
  <c r="AX9" i="1" s="1"/>
  <c r="AF10" i="1"/>
  <c r="AX10" i="1" s="1"/>
  <c r="AF11" i="1"/>
  <c r="AX11" i="1" s="1"/>
  <c r="AF12" i="1"/>
  <c r="AX12" i="1" s="1"/>
  <c r="AF13" i="1"/>
  <c r="AX13" i="1" s="1"/>
  <c r="AF14" i="1"/>
  <c r="AX14" i="1" s="1"/>
  <c r="AF15" i="1"/>
  <c r="AX15" i="1" s="1"/>
  <c r="AF16" i="1"/>
  <c r="AX16" i="1" s="1"/>
  <c r="AF17" i="1"/>
  <c r="AX17" i="1" s="1"/>
  <c r="AF18" i="1"/>
  <c r="AX18" i="1" s="1"/>
  <c r="AF19" i="1"/>
  <c r="AX19" i="1" s="1"/>
  <c r="AF20" i="1"/>
  <c r="AX20" i="1" s="1"/>
  <c r="AF21" i="1"/>
  <c r="AX21" i="1" s="1"/>
  <c r="AF22" i="1"/>
  <c r="AX22" i="1" s="1"/>
  <c r="AF23" i="1"/>
  <c r="AX23" i="1" s="1"/>
  <c r="AF24" i="1"/>
  <c r="AX24" i="1" s="1"/>
  <c r="AF25" i="1"/>
  <c r="AX25" i="1" s="1"/>
  <c r="AF26" i="1"/>
  <c r="AX26" i="1" s="1"/>
  <c r="AF27" i="1"/>
  <c r="AX27" i="1" s="1"/>
  <c r="AF28" i="1"/>
  <c r="AX28" i="1" s="1"/>
  <c r="AF29" i="1"/>
  <c r="AX29" i="1" s="1"/>
  <c r="AF30" i="1"/>
  <c r="AX30" i="1" s="1"/>
  <c r="AF31" i="1"/>
  <c r="AX31" i="1" s="1"/>
  <c r="AF32" i="1"/>
  <c r="AX32" i="1" s="1"/>
  <c r="AF33" i="1"/>
  <c r="AX33" i="1" s="1"/>
  <c r="AF34" i="1"/>
  <c r="AX34" i="1" s="1"/>
  <c r="AF35" i="1"/>
  <c r="AX35" i="1" s="1"/>
  <c r="AF36" i="1"/>
  <c r="AX36" i="1" s="1"/>
  <c r="AF37" i="1"/>
  <c r="AX37" i="1" s="1"/>
  <c r="AF38" i="1"/>
  <c r="AX38" i="1" s="1"/>
  <c r="AF39" i="1"/>
  <c r="AX39" i="1" s="1"/>
  <c r="AF40" i="1"/>
  <c r="AX40" i="1" s="1"/>
  <c r="AF41" i="1"/>
  <c r="AX41" i="1" s="1"/>
  <c r="AF42" i="1"/>
  <c r="AX42" i="1" s="1"/>
  <c r="AF43" i="1"/>
  <c r="AX43" i="1" s="1"/>
  <c r="AF44" i="1"/>
  <c r="AX44" i="1" s="1"/>
  <c r="AF45" i="1"/>
  <c r="AX45" i="1" s="1"/>
  <c r="AF46" i="1"/>
  <c r="AX46" i="1" s="1"/>
  <c r="AF47" i="1"/>
  <c r="AX47" i="1" s="1"/>
  <c r="AF48" i="1"/>
  <c r="AX48" i="1" s="1"/>
  <c r="AF49" i="1"/>
  <c r="AX49" i="1" s="1"/>
  <c r="AF50" i="1"/>
  <c r="AX50" i="1" s="1"/>
  <c r="AF51" i="1"/>
  <c r="AX51" i="1" s="1"/>
  <c r="AF52" i="1"/>
  <c r="AX52" i="1" s="1"/>
  <c r="AF53" i="1"/>
  <c r="AX53" i="1" s="1"/>
  <c r="AF54" i="1"/>
  <c r="AX54" i="1" s="1"/>
  <c r="AF55" i="1"/>
  <c r="AX55" i="1" s="1"/>
  <c r="AF56" i="1"/>
  <c r="AX56" i="1" s="1"/>
  <c r="AF57" i="1"/>
  <c r="AX57" i="1" s="1"/>
  <c r="AF58" i="1"/>
  <c r="AX58" i="1" s="1"/>
  <c r="AF59" i="1"/>
  <c r="AX59" i="1" s="1"/>
  <c r="AF60" i="1"/>
  <c r="AX60" i="1" s="1"/>
  <c r="AF61" i="1"/>
  <c r="AX61" i="1" s="1"/>
  <c r="AF62" i="1"/>
  <c r="AX62" i="1" s="1"/>
  <c r="AF63" i="1"/>
  <c r="AX63" i="1" s="1"/>
  <c r="AF64" i="1"/>
  <c r="AX64" i="1" s="1"/>
  <c r="AF65" i="1"/>
  <c r="AX65" i="1" s="1"/>
  <c r="AF66" i="1"/>
  <c r="AX66" i="1" s="1"/>
  <c r="AF67" i="1"/>
  <c r="AX67" i="1" s="1"/>
  <c r="AF68" i="1"/>
  <c r="AX68" i="1" s="1"/>
  <c r="AF69" i="1"/>
  <c r="AX69" i="1" s="1"/>
  <c r="AF70" i="1"/>
  <c r="AX70" i="1" s="1"/>
  <c r="AF71" i="1"/>
  <c r="AX71" i="1" s="1"/>
  <c r="AF72" i="1"/>
  <c r="AX72" i="1" s="1"/>
  <c r="AF73" i="1"/>
  <c r="AX73" i="1" s="1"/>
  <c r="AF74" i="1"/>
  <c r="AX74" i="1" s="1"/>
  <c r="AF75" i="1"/>
  <c r="AX75" i="1" s="1"/>
  <c r="AF76" i="1"/>
  <c r="AX76" i="1" s="1"/>
  <c r="AF77" i="1"/>
  <c r="AX77" i="1" s="1"/>
  <c r="AF78" i="1"/>
  <c r="AX78" i="1" s="1"/>
  <c r="AF79" i="1"/>
  <c r="AX79" i="1" s="1"/>
  <c r="AF80" i="1"/>
  <c r="AX80" i="1" s="1"/>
  <c r="AF81" i="1"/>
  <c r="AX81" i="1" s="1"/>
  <c r="AF82" i="1"/>
  <c r="AX82" i="1" s="1"/>
  <c r="AF83" i="1"/>
  <c r="AX83" i="1" s="1"/>
  <c r="AF84" i="1"/>
  <c r="AX84" i="1" s="1"/>
  <c r="AF85" i="1"/>
  <c r="AX85" i="1" s="1"/>
  <c r="AF86" i="1"/>
  <c r="AX86" i="1" s="1"/>
  <c r="AF87" i="1"/>
  <c r="AX87" i="1" s="1"/>
  <c r="AF88" i="1"/>
  <c r="AX88" i="1" s="1"/>
  <c r="AF89" i="1"/>
  <c r="AX89" i="1" s="1"/>
  <c r="AF90" i="1"/>
  <c r="AX90" i="1" s="1"/>
  <c r="AF91" i="1"/>
  <c r="AX91" i="1" s="1"/>
  <c r="AF92" i="1"/>
  <c r="AX92" i="1" s="1"/>
  <c r="AF93" i="1"/>
  <c r="AX93" i="1" s="1"/>
  <c r="AF94" i="1"/>
  <c r="AX94" i="1" s="1"/>
  <c r="AF95" i="1"/>
  <c r="AX95" i="1" s="1"/>
  <c r="AF96" i="1"/>
  <c r="AX96" i="1" s="1"/>
  <c r="AF97" i="1"/>
  <c r="AX97" i="1" s="1"/>
  <c r="AF98" i="1"/>
  <c r="AX98" i="1" s="1"/>
  <c r="AF99" i="1"/>
  <c r="AX99" i="1" s="1"/>
  <c r="AF100" i="1"/>
  <c r="AX100" i="1" s="1"/>
  <c r="AF101" i="1"/>
  <c r="AX101" i="1" s="1"/>
  <c r="AF102" i="1"/>
  <c r="AX102" i="1" s="1"/>
  <c r="AF103" i="1"/>
  <c r="AX103" i="1" s="1"/>
  <c r="AF104" i="1"/>
  <c r="AX104" i="1" s="1"/>
  <c r="AF105" i="1"/>
  <c r="AX105" i="1" s="1"/>
  <c r="AF106" i="1"/>
  <c r="AX106" i="1" s="1"/>
  <c r="AF107" i="1"/>
  <c r="AX107" i="1" s="1"/>
  <c r="AF108" i="1"/>
  <c r="AX108" i="1" s="1"/>
  <c r="AF109" i="1"/>
  <c r="AX109" i="1" s="1"/>
  <c r="AF110" i="1"/>
  <c r="AX110" i="1" s="1"/>
  <c r="AF111" i="1"/>
  <c r="AX111" i="1" s="1"/>
  <c r="AF112" i="1"/>
  <c r="AX112" i="1" s="1"/>
  <c r="AF113" i="1"/>
  <c r="AX113" i="1" s="1"/>
  <c r="AF114" i="1"/>
  <c r="AX114" i="1" s="1"/>
  <c r="AF115" i="1"/>
  <c r="AX115" i="1" s="1"/>
  <c r="AF116" i="1"/>
  <c r="AX116" i="1" s="1"/>
  <c r="AF117" i="1"/>
  <c r="AX117" i="1" s="1"/>
  <c r="AF118" i="1"/>
  <c r="AX118" i="1" s="1"/>
  <c r="AF119" i="1"/>
  <c r="AX119" i="1" s="1"/>
  <c r="AF120" i="1"/>
  <c r="AX120" i="1" s="1"/>
  <c r="AF121" i="1"/>
  <c r="AX121" i="1" s="1"/>
  <c r="AF122" i="1"/>
  <c r="AX122" i="1" s="1"/>
  <c r="AF123" i="1"/>
  <c r="AX123" i="1" s="1"/>
  <c r="AF124" i="1"/>
  <c r="AX124" i="1" s="1"/>
  <c r="AF125" i="1"/>
  <c r="AX125" i="1" s="1"/>
  <c r="AF126" i="1"/>
  <c r="AX126" i="1" s="1"/>
  <c r="AF127" i="1"/>
  <c r="AX127" i="1" s="1"/>
  <c r="AF128" i="1"/>
  <c r="AX128" i="1" s="1"/>
  <c r="AF129" i="1"/>
  <c r="AX129" i="1" s="1"/>
  <c r="AF130" i="1"/>
  <c r="AX130" i="1" s="1"/>
  <c r="AF131" i="1"/>
  <c r="AX131" i="1" s="1"/>
  <c r="AF132" i="1"/>
  <c r="AX132" i="1" s="1"/>
  <c r="AF133" i="1"/>
  <c r="AX133" i="1" s="1"/>
  <c r="AF134" i="1"/>
  <c r="AX134" i="1" s="1"/>
  <c r="AF135" i="1"/>
  <c r="AX135" i="1" s="1"/>
  <c r="AF136" i="1"/>
  <c r="AX136" i="1" s="1"/>
  <c r="AF137" i="1"/>
  <c r="AX137" i="1" s="1"/>
  <c r="AF138" i="1"/>
  <c r="AX138" i="1" s="1"/>
  <c r="AF139" i="1"/>
  <c r="AX139" i="1" s="1"/>
  <c r="AF140" i="1"/>
  <c r="AX140" i="1" s="1"/>
  <c r="AF141" i="1"/>
  <c r="AX141" i="1" s="1"/>
  <c r="AF142" i="1"/>
  <c r="AX142" i="1" s="1"/>
  <c r="AF143" i="1"/>
  <c r="AX143" i="1" s="1"/>
  <c r="AF144" i="1"/>
  <c r="AX144" i="1" s="1"/>
  <c r="AF145" i="1"/>
  <c r="AX145" i="1" s="1"/>
  <c r="AF146" i="1"/>
  <c r="AX146" i="1" s="1"/>
  <c r="AF147" i="1"/>
  <c r="AX147" i="1" s="1"/>
  <c r="AF148" i="1"/>
  <c r="AX148" i="1" s="1"/>
  <c r="AF149" i="1"/>
  <c r="AX149" i="1" s="1"/>
  <c r="AF150" i="1"/>
  <c r="AX150" i="1" s="1"/>
  <c r="AF151" i="1"/>
  <c r="AX151" i="1" s="1"/>
  <c r="AF152" i="1"/>
  <c r="AX152" i="1" s="1"/>
  <c r="AF153" i="1"/>
  <c r="AX153" i="1" s="1"/>
  <c r="AF154" i="1"/>
  <c r="AX154" i="1" s="1"/>
  <c r="AF155" i="1"/>
  <c r="AX155" i="1" s="1"/>
  <c r="AF156" i="1"/>
  <c r="AX156" i="1" s="1"/>
  <c r="AF157" i="1"/>
  <c r="AX157" i="1" s="1"/>
  <c r="AF158" i="1"/>
  <c r="AX158" i="1" s="1"/>
  <c r="AF159" i="1"/>
  <c r="AX159" i="1" s="1"/>
  <c r="AF160" i="1"/>
  <c r="AX160" i="1" s="1"/>
  <c r="AF161" i="1"/>
  <c r="AX161" i="1" s="1"/>
  <c r="AF162" i="1"/>
  <c r="AX162" i="1" s="1"/>
  <c r="AF163" i="1"/>
  <c r="AX163" i="1" s="1"/>
  <c r="AF164" i="1"/>
  <c r="AX164" i="1" s="1"/>
  <c r="AF165" i="1"/>
  <c r="AX165" i="1" s="1"/>
  <c r="AF166" i="1"/>
  <c r="AX166" i="1" s="1"/>
  <c r="AF167" i="1"/>
  <c r="AX167" i="1" s="1"/>
  <c r="AF168" i="1"/>
  <c r="AX168" i="1" s="1"/>
  <c r="AF169" i="1"/>
  <c r="AX169" i="1" s="1"/>
  <c r="AF170" i="1"/>
  <c r="AX170" i="1" s="1"/>
  <c r="AF171" i="1"/>
  <c r="AX171" i="1" s="1"/>
  <c r="AF172" i="1"/>
  <c r="AX172" i="1" s="1"/>
  <c r="AF173" i="1"/>
  <c r="AX173" i="1" s="1"/>
  <c r="AF174" i="1"/>
  <c r="AX174" i="1" s="1"/>
  <c r="AF175" i="1"/>
  <c r="AX175" i="1" s="1"/>
  <c r="AF176" i="1"/>
  <c r="AX176" i="1" s="1"/>
  <c r="AF177" i="1"/>
  <c r="AX177" i="1" s="1"/>
  <c r="AF178" i="1"/>
  <c r="AX178" i="1" s="1"/>
  <c r="AF179" i="1"/>
  <c r="AX179" i="1" s="1"/>
  <c r="AF180" i="1"/>
  <c r="AX180" i="1" s="1"/>
  <c r="AF181" i="1"/>
  <c r="AX181" i="1" s="1"/>
  <c r="AF182" i="1"/>
  <c r="AX182" i="1" s="1"/>
  <c r="AF183" i="1"/>
  <c r="AX183" i="1" s="1"/>
  <c r="AF184" i="1"/>
  <c r="AX184" i="1" s="1"/>
  <c r="AF185" i="1"/>
  <c r="AX185" i="1" s="1"/>
  <c r="AF186" i="1"/>
  <c r="AX186" i="1" s="1"/>
  <c r="AF187" i="1"/>
  <c r="AX187" i="1" s="1"/>
  <c r="AF188" i="1"/>
  <c r="AX188" i="1" s="1"/>
  <c r="AF189" i="1"/>
  <c r="AX189" i="1" s="1"/>
  <c r="AF190" i="1"/>
  <c r="AX190" i="1" s="1"/>
  <c r="AF191" i="1"/>
  <c r="AX191" i="1" s="1"/>
  <c r="AF192" i="1"/>
  <c r="AX192" i="1" s="1"/>
  <c r="AF193" i="1"/>
  <c r="AX193" i="1" s="1"/>
  <c r="AF194" i="1"/>
  <c r="AX194" i="1" s="1"/>
  <c r="AF195" i="1"/>
  <c r="AX195" i="1" s="1"/>
  <c r="AF196" i="1"/>
  <c r="AX196" i="1" s="1"/>
  <c r="AF197" i="1"/>
  <c r="AX197" i="1" s="1"/>
  <c r="AF198" i="1"/>
  <c r="AX198" i="1" s="1"/>
  <c r="AF199" i="1"/>
  <c r="AX199" i="1" s="1"/>
  <c r="AF200" i="1"/>
  <c r="AX200" i="1" s="1"/>
  <c r="AF201" i="1"/>
  <c r="AX201" i="1" s="1"/>
  <c r="AF202" i="1"/>
  <c r="AX202" i="1" s="1"/>
  <c r="AF203" i="1"/>
  <c r="AX203" i="1" s="1"/>
  <c r="AF204" i="1"/>
  <c r="AX204" i="1" s="1"/>
  <c r="AF205" i="1"/>
  <c r="AX205" i="1" s="1"/>
  <c r="AF206" i="1"/>
  <c r="AX206" i="1" s="1"/>
  <c r="AF207" i="1"/>
  <c r="AX207" i="1" s="1"/>
  <c r="AF208" i="1"/>
  <c r="AX208" i="1" s="1"/>
  <c r="AF209" i="1"/>
  <c r="AX209" i="1" s="1"/>
  <c r="AF210" i="1"/>
  <c r="AX210" i="1" s="1"/>
  <c r="AF211" i="1"/>
  <c r="AX211" i="1" s="1"/>
  <c r="AF212" i="1"/>
  <c r="AX212" i="1" s="1"/>
  <c r="AF213" i="1"/>
  <c r="AX213" i="1" s="1"/>
  <c r="AF214" i="1"/>
  <c r="AX214" i="1" s="1"/>
  <c r="AF215" i="1"/>
  <c r="AX215" i="1" s="1"/>
  <c r="AF216" i="1"/>
  <c r="AX216" i="1" s="1"/>
  <c r="AF217" i="1"/>
  <c r="AX217" i="1" s="1"/>
  <c r="AF218" i="1"/>
  <c r="AX218" i="1" s="1"/>
  <c r="AF219" i="1"/>
  <c r="AX219" i="1" s="1"/>
  <c r="AF220" i="1"/>
  <c r="AX220" i="1" s="1"/>
  <c r="AF221" i="1"/>
  <c r="AX221" i="1" s="1"/>
  <c r="AF222" i="1"/>
  <c r="AX222" i="1" s="1"/>
  <c r="AF223" i="1"/>
  <c r="AX223" i="1" s="1"/>
  <c r="AF224" i="1"/>
  <c r="AX224" i="1" s="1"/>
  <c r="AF225" i="1"/>
  <c r="AX225" i="1" s="1"/>
  <c r="AF226" i="1"/>
  <c r="AX226" i="1" s="1"/>
  <c r="AF227" i="1"/>
  <c r="AX227" i="1" s="1"/>
  <c r="AF228" i="1"/>
  <c r="AX228" i="1" s="1"/>
  <c r="AF229" i="1"/>
  <c r="AX229" i="1" s="1"/>
  <c r="AF230" i="1"/>
  <c r="AX230" i="1" s="1"/>
  <c r="AF231" i="1"/>
  <c r="AX231" i="1" s="1"/>
  <c r="AF232" i="1"/>
  <c r="AX232" i="1" s="1"/>
  <c r="AF233" i="1"/>
  <c r="AX233" i="1" s="1"/>
  <c r="AF234" i="1"/>
  <c r="AX234" i="1" s="1"/>
  <c r="AF235" i="1"/>
  <c r="AX235" i="1" s="1"/>
  <c r="AF236" i="1"/>
  <c r="AX236" i="1" s="1"/>
  <c r="AF237" i="1"/>
  <c r="AX237" i="1" s="1"/>
  <c r="AF238" i="1"/>
  <c r="AX238" i="1" s="1"/>
  <c r="AF239" i="1"/>
  <c r="AX239" i="1" s="1"/>
  <c r="AF240" i="1"/>
  <c r="AX240" i="1" s="1"/>
  <c r="AF241" i="1"/>
  <c r="AX241" i="1" s="1"/>
  <c r="AF242" i="1"/>
  <c r="AX242" i="1" s="1"/>
  <c r="AF243" i="1"/>
  <c r="AX243" i="1" s="1"/>
  <c r="AF244" i="1"/>
  <c r="AX244" i="1" s="1"/>
  <c r="AF245" i="1"/>
  <c r="AX245" i="1" s="1"/>
  <c r="AF246" i="1"/>
  <c r="AX246" i="1" s="1"/>
  <c r="AF247" i="1"/>
  <c r="AX247" i="1" s="1"/>
  <c r="AF248" i="1"/>
  <c r="AX248" i="1" s="1"/>
  <c r="AF249" i="1"/>
  <c r="AX249" i="1" s="1"/>
  <c r="AF250" i="1"/>
  <c r="AX250" i="1" s="1"/>
  <c r="AF251" i="1"/>
  <c r="AX251" i="1" s="1"/>
  <c r="AF252" i="1"/>
  <c r="AX252" i="1" s="1"/>
  <c r="AF253" i="1"/>
  <c r="AX253" i="1" s="1"/>
  <c r="AF254" i="1"/>
  <c r="AX254" i="1" s="1"/>
  <c r="AF255" i="1"/>
  <c r="AX255" i="1" s="1"/>
  <c r="AF256" i="1"/>
  <c r="AX256" i="1" s="1"/>
  <c r="AF257" i="1"/>
  <c r="AX257" i="1" s="1"/>
  <c r="AF258" i="1"/>
  <c r="AX258" i="1" s="1"/>
  <c r="AF259" i="1"/>
  <c r="AX259" i="1" s="1"/>
  <c r="AF260" i="1"/>
  <c r="AX260" i="1" s="1"/>
  <c r="AF261" i="1"/>
  <c r="AX261" i="1" s="1"/>
  <c r="AF262" i="1"/>
  <c r="AX262" i="1" s="1"/>
  <c r="AF263" i="1"/>
  <c r="AX263" i="1" s="1"/>
  <c r="AF264" i="1"/>
  <c r="AX264" i="1" s="1"/>
  <c r="AF265" i="1"/>
  <c r="AX265" i="1" s="1"/>
  <c r="AF266" i="1"/>
  <c r="AX266" i="1" s="1"/>
  <c r="AF267" i="1"/>
  <c r="AX267" i="1" s="1"/>
  <c r="AF268" i="1"/>
  <c r="AX268" i="1" s="1"/>
  <c r="AF269" i="1"/>
  <c r="AX269" i="1" s="1"/>
  <c r="AF270" i="1"/>
  <c r="AX270" i="1" s="1"/>
  <c r="AF271" i="1"/>
  <c r="AX271" i="1" s="1"/>
  <c r="AF272" i="1"/>
  <c r="AX272" i="1" s="1"/>
  <c r="AF273" i="1"/>
  <c r="AX273" i="1" s="1"/>
  <c r="AF274" i="1"/>
  <c r="AX274" i="1" s="1"/>
  <c r="AF275" i="1"/>
  <c r="AX275" i="1" s="1"/>
  <c r="AF276" i="1"/>
  <c r="AX276" i="1" s="1"/>
  <c r="AF277" i="1"/>
  <c r="AX277" i="1" s="1"/>
  <c r="AF278" i="1"/>
  <c r="AX278" i="1" s="1"/>
  <c r="AF279" i="1"/>
  <c r="AX279" i="1" s="1"/>
  <c r="AF280" i="1"/>
  <c r="AX280" i="1" s="1"/>
  <c r="AF281" i="1"/>
  <c r="AX281" i="1" s="1"/>
  <c r="AF282" i="1"/>
  <c r="AX282" i="1" s="1"/>
  <c r="AF283" i="1"/>
  <c r="AX283" i="1" s="1"/>
  <c r="AF284" i="1"/>
  <c r="AX284" i="1" s="1"/>
  <c r="AF285" i="1"/>
  <c r="AX285" i="1" s="1"/>
  <c r="AF286" i="1"/>
  <c r="AX286" i="1" s="1"/>
  <c r="AF287" i="1"/>
  <c r="AX287" i="1" s="1"/>
  <c r="AF288" i="1"/>
  <c r="AX288" i="1" s="1"/>
  <c r="AF289" i="1"/>
  <c r="AX289" i="1" s="1"/>
  <c r="AF290" i="1"/>
  <c r="AX290" i="1" s="1"/>
  <c r="AF291" i="1"/>
  <c r="AX291" i="1" s="1"/>
  <c r="AF292" i="1"/>
  <c r="AX292" i="1" s="1"/>
  <c r="AF293" i="1"/>
  <c r="AX293" i="1" s="1"/>
  <c r="AF294" i="1"/>
  <c r="AX294" i="1" s="1"/>
  <c r="AF295" i="1"/>
  <c r="AX295" i="1" s="1"/>
  <c r="AF296" i="1"/>
  <c r="AX296" i="1" s="1"/>
  <c r="AF297" i="1"/>
  <c r="AX297" i="1" s="1"/>
  <c r="AF298" i="1"/>
  <c r="AX298" i="1" s="1"/>
  <c r="AF299" i="1"/>
  <c r="AX299" i="1" s="1"/>
  <c r="AF300" i="1"/>
  <c r="AX300" i="1" s="1"/>
  <c r="AF301" i="1"/>
  <c r="AX301" i="1" s="1"/>
  <c r="AF302" i="1"/>
  <c r="AX302" i="1" s="1"/>
  <c r="AF303" i="1"/>
  <c r="AX303" i="1" s="1"/>
  <c r="AF304" i="1"/>
  <c r="AX304" i="1" s="1"/>
  <c r="AF305" i="1"/>
  <c r="AX305" i="1" s="1"/>
  <c r="AF306" i="1"/>
  <c r="AX306" i="1" s="1"/>
  <c r="AF307" i="1"/>
  <c r="AX307" i="1" s="1"/>
  <c r="AF308" i="1"/>
  <c r="AX308" i="1" s="1"/>
  <c r="AF309" i="1"/>
  <c r="AX309" i="1" s="1"/>
  <c r="AF310" i="1"/>
  <c r="AX310" i="1" s="1"/>
  <c r="AF311" i="1"/>
  <c r="AX311" i="1" s="1"/>
  <c r="AF312" i="1"/>
  <c r="AX312" i="1" s="1"/>
  <c r="AF313" i="1"/>
  <c r="AX313" i="1" s="1"/>
  <c r="AF314" i="1"/>
  <c r="AX314" i="1" s="1"/>
  <c r="AF315" i="1"/>
  <c r="AX315" i="1" s="1"/>
  <c r="AF316" i="1"/>
  <c r="AX316" i="1" s="1"/>
  <c r="AF317" i="1"/>
  <c r="AX317" i="1" s="1"/>
  <c r="AF318" i="1"/>
  <c r="AX318" i="1" s="1"/>
  <c r="AF319" i="1"/>
  <c r="AX319" i="1" s="1"/>
  <c r="AF320" i="1"/>
  <c r="AX320" i="1" s="1"/>
  <c r="AF321" i="1"/>
  <c r="AX321" i="1" s="1"/>
  <c r="AF322" i="1"/>
  <c r="AX322" i="1" s="1"/>
  <c r="AF323" i="1"/>
  <c r="AX323" i="1" s="1"/>
  <c r="AF324" i="1"/>
  <c r="AX324" i="1" s="1"/>
  <c r="AF325" i="1"/>
  <c r="AX325" i="1" s="1"/>
  <c r="AF326" i="1"/>
  <c r="AX326" i="1" s="1"/>
  <c r="AF327" i="1"/>
  <c r="AX327" i="1" s="1"/>
  <c r="AF328" i="1"/>
  <c r="AX328" i="1" s="1"/>
  <c r="AF329" i="1"/>
  <c r="AX329" i="1" s="1"/>
  <c r="AF330" i="1"/>
  <c r="AX330" i="1" s="1"/>
  <c r="AF331" i="1"/>
  <c r="AX331" i="1" s="1"/>
  <c r="AF332" i="1"/>
  <c r="AX332" i="1" s="1"/>
  <c r="AF333" i="1"/>
  <c r="AX333" i="1" s="1"/>
  <c r="AF334" i="1"/>
  <c r="AX334" i="1" s="1"/>
  <c r="AF335" i="1"/>
  <c r="AX335" i="1" s="1"/>
  <c r="AF336" i="1"/>
  <c r="AX336" i="1" s="1"/>
  <c r="AF337" i="1"/>
  <c r="AX337" i="1" s="1"/>
  <c r="AF338" i="1"/>
  <c r="AX338" i="1" s="1"/>
  <c r="AF339" i="1"/>
  <c r="AX339" i="1" s="1"/>
  <c r="AF340" i="1"/>
  <c r="AX340" i="1" s="1"/>
  <c r="AF341" i="1"/>
  <c r="AX341" i="1" s="1"/>
  <c r="AF342" i="1"/>
  <c r="AX342" i="1" s="1"/>
  <c r="AF343" i="1"/>
  <c r="AX343" i="1" s="1"/>
  <c r="AF344" i="1"/>
  <c r="AX344" i="1" s="1"/>
  <c r="AF345" i="1"/>
  <c r="AX345" i="1" s="1"/>
  <c r="AF346" i="1"/>
  <c r="AX346" i="1" s="1"/>
  <c r="AF347" i="1"/>
  <c r="AX347" i="1" s="1"/>
  <c r="AF348" i="1"/>
  <c r="AX348" i="1" s="1"/>
  <c r="AF349" i="1"/>
  <c r="AX349" i="1" s="1"/>
  <c r="AF350" i="1"/>
  <c r="AX350" i="1" s="1"/>
  <c r="AF351" i="1"/>
  <c r="AX351" i="1" s="1"/>
  <c r="AF352" i="1"/>
  <c r="AX352" i="1" s="1"/>
  <c r="AF353" i="1"/>
  <c r="AX353" i="1" s="1"/>
  <c r="AF354" i="1"/>
  <c r="AX354" i="1" s="1"/>
  <c r="AF355" i="1"/>
  <c r="AX355" i="1" s="1"/>
  <c r="AF356" i="1"/>
  <c r="AX356" i="1" s="1"/>
  <c r="AF357" i="1"/>
  <c r="AX357" i="1" s="1"/>
  <c r="AF358" i="1"/>
  <c r="AX358" i="1" s="1"/>
  <c r="AF359" i="1"/>
  <c r="AX359" i="1" s="1"/>
  <c r="AF360" i="1"/>
  <c r="AX360" i="1" s="1"/>
  <c r="AF361" i="1"/>
  <c r="AX361" i="1" s="1"/>
  <c r="AF362" i="1"/>
  <c r="AX362" i="1" s="1"/>
  <c r="AF363" i="1"/>
  <c r="AX363" i="1" s="1"/>
  <c r="AF364" i="1"/>
  <c r="AX364" i="1" s="1"/>
  <c r="AF365" i="1"/>
  <c r="AX365" i="1" s="1"/>
  <c r="AF366" i="1"/>
  <c r="AX366" i="1" s="1"/>
  <c r="AF367" i="1"/>
  <c r="AX367" i="1" s="1"/>
  <c r="AF368" i="1"/>
  <c r="AX368" i="1" s="1"/>
  <c r="AF369" i="1"/>
  <c r="AX369" i="1" s="1"/>
  <c r="AF370" i="1"/>
  <c r="AX370" i="1" s="1"/>
  <c r="AF371" i="1"/>
  <c r="AX371" i="1" s="1"/>
  <c r="AF372" i="1"/>
  <c r="AX372" i="1" s="1"/>
  <c r="AF373" i="1"/>
  <c r="AX373" i="1" s="1"/>
  <c r="AF374" i="1"/>
  <c r="AX374" i="1" s="1"/>
  <c r="AF375" i="1"/>
  <c r="AX375" i="1" s="1"/>
  <c r="AF376" i="1"/>
  <c r="AX376" i="1" s="1"/>
  <c r="AF377" i="1"/>
  <c r="AX377" i="1" s="1"/>
  <c r="AF378" i="1"/>
  <c r="AX378" i="1" s="1"/>
  <c r="AF379" i="1"/>
  <c r="AX379" i="1" s="1"/>
  <c r="AF380" i="1"/>
  <c r="AX380" i="1" s="1"/>
  <c r="AF381" i="1"/>
  <c r="AX381" i="1" s="1"/>
  <c r="AF382" i="1"/>
  <c r="AX382" i="1" s="1"/>
  <c r="AF383" i="1"/>
  <c r="AX383" i="1" s="1"/>
  <c r="AF384" i="1"/>
  <c r="AX384" i="1" s="1"/>
  <c r="AF385" i="1"/>
  <c r="AX385" i="1" s="1"/>
  <c r="AF386" i="1"/>
  <c r="AX386" i="1" s="1"/>
  <c r="AF387" i="1"/>
  <c r="AX387" i="1" s="1"/>
  <c r="AF388" i="1"/>
  <c r="AX388" i="1" s="1"/>
  <c r="AF389" i="1"/>
  <c r="AX389" i="1" s="1"/>
  <c r="AF390" i="1"/>
  <c r="AX390" i="1" s="1"/>
  <c r="AF391" i="1"/>
  <c r="AX391" i="1" s="1"/>
  <c r="AF392" i="1"/>
  <c r="AX392" i="1" s="1"/>
  <c r="AF393" i="1"/>
  <c r="AX393" i="1" s="1"/>
  <c r="AF394" i="1"/>
  <c r="AX394" i="1" s="1"/>
  <c r="AF395" i="1"/>
  <c r="AX395" i="1" s="1"/>
  <c r="AF396" i="1"/>
  <c r="AX396" i="1" s="1"/>
  <c r="AF397" i="1"/>
  <c r="AX397" i="1" s="1"/>
  <c r="AF398" i="1"/>
  <c r="AX398" i="1" s="1"/>
  <c r="AF399" i="1"/>
  <c r="AX399" i="1" s="1"/>
  <c r="AF400" i="1"/>
  <c r="AX400" i="1" s="1"/>
  <c r="AF401" i="1"/>
  <c r="AX401" i="1" s="1"/>
  <c r="AF402" i="1"/>
  <c r="AX402" i="1" s="1"/>
  <c r="AF403" i="1"/>
  <c r="AX403" i="1" s="1"/>
  <c r="AF404" i="1"/>
  <c r="AX404" i="1" s="1"/>
  <c r="AF405" i="1"/>
  <c r="AX405" i="1" s="1"/>
  <c r="AF406" i="1"/>
  <c r="AX406" i="1" s="1"/>
  <c r="AF407" i="1"/>
  <c r="AX407" i="1" s="1"/>
  <c r="AF408" i="1"/>
  <c r="AX408" i="1" s="1"/>
  <c r="AF409" i="1"/>
  <c r="AX409" i="1" s="1"/>
  <c r="AF410" i="1"/>
  <c r="AX410" i="1" s="1"/>
  <c r="AF411" i="1"/>
  <c r="AX411" i="1" s="1"/>
  <c r="AF412" i="1"/>
  <c r="AX412" i="1" s="1"/>
  <c r="AF413" i="1"/>
  <c r="AX413" i="1" s="1"/>
  <c r="AF414" i="1"/>
  <c r="AX414" i="1" s="1"/>
  <c r="AF415" i="1"/>
  <c r="AX415" i="1" s="1"/>
  <c r="AF416" i="1"/>
  <c r="AX416" i="1" s="1"/>
  <c r="AF417" i="1"/>
  <c r="AX417" i="1" s="1"/>
  <c r="AF418" i="1"/>
  <c r="AX418" i="1" s="1"/>
  <c r="AF419" i="1"/>
  <c r="AX419" i="1" s="1"/>
  <c r="AF420" i="1"/>
  <c r="AX420" i="1" s="1"/>
  <c r="AF421" i="1"/>
  <c r="AX421" i="1" s="1"/>
  <c r="AF422" i="1"/>
  <c r="AX422" i="1" s="1"/>
  <c r="AF423" i="1"/>
  <c r="AX423" i="1" s="1"/>
  <c r="AF424" i="1"/>
  <c r="AX424" i="1" s="1"/>
  <c r="AF425" i="1"/>
  <c r="AX425" i="1" s="1"/>
  <c r="AF426" i="1"/>
  <c r="AX426" i="1" s="1"/>
  <c r="AF427" i="1"/>
  <c r="AX427" i="1" s="1"/>
  <c r="AF428" i="1"/>
  <c r="AX428" i="1" s="1"/>
  <c r="AF429" i="1"/>
  <c r="AX429" i="1" s="1"/>
  <c r="AF430" i="1"/>
  <c r="AX430" i="1" s="1"/>
  <c r="AF431" i="1"/>
  <c r="AX431" i="1" s="1"/>
  <c r="AF432" i="1"/>
  <c r="AX432" i="1" s="1"/>
  <c r="AF433" i="1"/>
  <c r="AX433" i="1" s="1"/>
  <c r="AF434" i="1"/>
  <c r="AX434" i="1" s="1"/>
  <c r="AF435" i="1"/>
  <c r="AX435" i="1" s="1"/>
  <c r="AF436" i="1"/>
  <c r="AX436" i="1" s="1"/>
  <c r="AF437" i="1"/>
  <c r="AX437" i="1" s="1"/>
  <c r="AF438" i="1"/>
  <c r="AX438" i="1" s="1"/>
  <c r="AF439" i="1"/>
  <c r="AX439" i="1" s="1"/>
  <c r="AF440" i="1"/>
  <c r="AX440" i="1" s="1"/>
  <c r="AF441" i="1"/>
  <c r="AX441" i="1" s="1"/>
  <c r="AF442" i="1"/>
  <c r="AX442" i="1" s="1"/>
  <c r="AF443" i="1"/>
  <c r="AX443" i="1" s="1"/>
  <c r="AF444" i="1"/>
  <c r="AX444" i="1" s="1"/>
  <c r="AF445" i="1"/>
  <c r="AX445" i="1" s="1"/>
  <c r="AF446" i="1"/>
  <c r="AX446" i="1" s="1"/>
  <c r="AF447" i="1"/>
  <c r="AX447" i="1" s="1"/>
  <c r="AF448" i="1"/>
  <c r="AX448" i="1" s="1"/>
  <c r="AF449" i="1"/>
  <c r="AX449" i="1" s="1"/>
  <c r="AF450" i="1"/>
  <c r="AX450" i="1" s="1"/>
  <c r="AF451" i="1"/>
  <c r="AX451" i="1" s="1"/>
  <c r="AF452" i="1"/>
  <c r="AX452" i="1" s="1"/>
  <c r="AF453" i="1"/>
  <c r="AX453" i="1" s="1"/>
  <c r="AF454" i="1"/>
  <c r="AX454" i="1" s="1"/>
  <c r="AF455" i="1"/>
  <c r="AX455" i="1" s="1"/>
  <c r="AF456" i="1"/>
  <c r="AX456" i="1" s="1"/>
  <c r="AF457" i="1"/>
  <c r="AX457" i="1" s="1"/>
  <c r="AF458" i="1"/>
  <c r="AX458" i="1" s="1"/>
  <c r="AF459" i="1"/>
  <c r="AX459" i="1" s="1"/>
  <c r="AF460" i="1"/>
  <c r="AX460" i="1" s="1"/>
  <c r="AF461" i="1"/>
  <c r="AX461" i="1" s="1"/>
  <c r="AF462" i="1"/>
  <c r="AX462" i="1" s="1"/>
  <c r="AF463" i="1"/>
  <c r="AX463" i="1" s="1"/>
  <c r="AF464" i="1"/>
  <c r="AX464" i="1" s="1"/>
  <c r="AF465" i="1"/>
  <c r="AX465" i="1" s="1"/>
  <c r="AF466" i="1"/>
  <c r="AX466" i="1" s="1"/>
  <c r="AF467" i="1"/>
  <c r="AX467" i="1" s="1"/>
  <c r="AF468" i="1"/>
  <c r="AX468" i="1" s="1"/>
  <c r="AF469" i="1"/>
  <c r="AX469" i="1" s="1"/>
  <c r="AF470" i="1"/>
  <c r="AX470" i="1" s="1"/>
  <c r="AF471" i="1"/>
  <c r="AX471" i="1" s="1"/>
  <c r="AF472" i="1"/>
  <c r="AX472" i="1" s="1"/>
  <c r="AF473" i="1"/>
  <c r="AX473" i="1" s="1"/>
  <c r="AF474" i="1"/>
  <c r="AX474" i="1" s="1"/>
  <c r="AF475" i="1"/>
  <c r="AX475" i="1" s="1"/>
  <c r="AF476" i="1"/>
  <c r="AX476" i="1" s="1"/>
  <c r="AF477" i="1"/>
  <c r="AX477" i="1" s="1"/>
  <c r="AF478" i="1"/>
  <c r="AX478" i="1" s="1"/>
  <c r="AF479" i="1"/>
  <c r="AX479" i="1" s="1"/>
  <c r="AF480" i="1"/>
  <c r="AX480" i="1" s="1"/>
  <c r="AF481" i="1"/>
  <c r="AX481" i="1" s="1"/>
  <c r="AF482" i="1"/>
  <c r="AX482" i="1" s="1"/>
  <c r="AF483" i="1"/>
  <c r="AX483" i="1" s="1"/>
  <c r="AF484" i="1"/>
  <c r="AX484" i="1" s="1"/>
  <c r="AF485" i="1"/>
  <c r="AX485" i="1" s="1"/>
  <c r="AF486" i="1"/>
  <c r="AX486" i="1" s="1"/>
  <c r="AF487" i="1"/>
  <c r="AX487" i="1" s="1"/>
  <c r="AF488" i="1"/>
  <c r="AX488" i="1" s="1"/>
  <c r="AF489" i="1"/>
  <c r="AX489" i="1" s="1"/>
  <c r="AF490" i="1"/>
  <c r="AX490" i="1" s="1"/>
  <c r="AF491" i="1"/>
  <c r="AX491" i="1" s="1"/>
  <c r="AF492" i="1"/>
  <c r="AX492" i="1" s="1"/>
  <c r="AF493" i="1"/>
  <c r="AX493" i="1" s="1"/>
  <c r="AF494" i="1"/>
  <c r="AX494" i="1" s="1"/>
  <c r="AF495" i="1"/>
  <c r="AX495" i="1" s="1"/>
  <c r="AF496" i="1"/>
  <c r="AX496" i="1" s="1"/>
  <c r="AF497" i="1"/>
  <c r="AX497" i="1" s="1"/>
  <c r="AF498" i="1"/>
  <c r="AX498" i="1" s="1"/>
  <c r="AF499" i="1"/>
  <c r="AX499" i="1" s="1"/>
  <c r="AF500" i="1"/>
  <c r="AX500" i="1" s="1"/>
  <c r="AF501" i="1"/>
  <c r="AX501" i="1" s="1"/>
  <c r="AF502" i="1"/>
  <c r="AX502" i="1" s="1"/>
  <c r="AF503" i="1"/>
  <c r="AX503" i="1" s="1"/>
  <c r="AF504" i="1"/>
  <c r="AX504" i="1" s="1"/>
  <c r="AF505" i="1"/>
  <c r="AX505" i="1" s="1"/>
  <c r="AF506" i="1"/>
  <c r="AX506" i="1" s="1"/>
  <c r="AF507" i="1"/>
  <c r="AX507" i="1" s="1"/>
  <c r="AF508" i="1"/>
  <c r="AX508" i="1" s="1"/>
  <c r="AF509" i="1"/>
  <c r="AX509" i="1" s="1"/>
  <c r="AF510" i="1"/>
  <c r="AX510" i="1" s="1"/>
  <c r="AF511" i="1"/>
  <c r="AX511" i="1" s="1"/>
  <c r="AF512" i="1"/>
  <c r="AX512" i="1" s="1"/>
  <c r="AF513" i="1"/>
  <c r="AX513" i="1" s="1"/>
  <c r="AF514" i="1"/>
  <c r="AX514" i="1" s="1"/>
  <c r="AF515" i="1"/>
  <c r="AX515" i="1" s="1"/>
  <c r="AF516" i="1"/>
  <c r="AX516" i="1" s="1"/>
  <c r="AF517" i="1"/>
  <c r="AX517" i="1" s="1"/>
  <c r="AF518" i="1"/>
  <c r="AX518" i="1" s="1"/>
  <c r="AF519" i="1"/>
  <c r="AX519" i="1" s="1"/>
  <c r="AF520" i="1"/>
  <c r="AX520" i="1" s="1"/>
  <c r="AF521" i="1"/>
  <c r="AX521" i="1" s="1"/>
  <c r="AF522" i="1"/>
  <c r="AX522" i="1" s="1"/>
  <c r="AF523" i="1"/>
  <c r="AX523" i="1" s="1"/>
  <c r="AF524" i="1"/>
  <c r="AX524" i="1" s="1"/>
  <c r="AF525" i="1"/>
  <c r="AX525" i="1" s="1"/>
  <c r="AF526" i="1"/>
  <c r="AX526" i="1" s="1"/>
  <c r="AF527" i="1"/>
  <c r="AX527" i="1" s="1"/>
  <c r="AF528" i="1"/>
  <c r="AX528" i="1" s="1"/>
  <c r="AF529" i="1"/>
  <c r="AX529" i="1" s="1"/>
  <c r="AF530" i="1"/>
  <c r="AX530" i="1" s="1"/>
  <c r="AF531" i="1"/>
  <c r="AX531" i="1" s="1"/>
  <c r="AF532" i="1"/>
  <c r="AX532" i="1" s="1"/>
  <c r="AF533" i="1"/>
  <c r="AX533" i="1" s="1"/>
  <c r="AF534" i="1"/>
  <c r="AX534" i="1" s="1"/>
  <c r="AF535" i="1"/>
  <c r="AX535" i="1" s="1"/>
  <c r="AF536" i="1"/>
  <c r="AX536" i="1" s="1"/>
  <c r="AF537" i="1"/>
  <c r="AX537" i="1" s="1"/>
  <c r="AF538" i="1"/>
  <c r="AX538" i="1" s="1"/>
  <c r="AF539" i="1"/>
  <c r="AX539" i="1" s="1"/>
  <c r="AF540" i="1"/>
  <c r="AX540" i="1" s="1"/>
  <c r="AF541" i="1"/>
  <c r="AX541" i="1" s="1"/>
  <c r="AF542" i="1"/>
  <c r="AX542" i="1" s="1"/>
  <c r="AF543" i="1"/>
  <c r="AX543" i="1" s="1"/>
  <c r="AF544" i="1"/>
  <c r="AX544" i="1" s="1"/>
  <c r="AF545" i="1"/>
  <c r="AX545" i="1" s="1"/>
  <c r="AF546" i="1"/>
  <c r="AX546" i="1" s="1"/>
  <c r="AF547" i="1"/>
  <c r="AX547" i="1" s="1"/>
  <c r="AF548" i="1"/>
  <c r="AX548" i="1" s="1"/>
  <c r="AF549" i="1"/>
  <c r="AX549" i="1" s="1"/>
  <c r="AF550" i="1"/>
  <c r="AX550" i="1" s="1"/>
  <c r="AF551" i="1"/>
  <c r="AX551" i="1" s="1"/>
  <c r="AF552" i="1"/>
  <c r="AX552" i="1" s="1"/>
  <c r="AF553" i="1"/>
  <c r="AX553" i="1" s="1"/>
  <c r="AF554" i="1"/>
  <c r="AX554" i="1" s="1"/>
  <c r="AF555" i="1"/>
  <c r="AX555" i="1" s="1"/>
  <c r="AF556" i="1"/>
  <c r="AX556" i="1" s="1"/>
  <c r="AF557" i="1"/>
  <c r="AX557" i="1" s="1"/>
  <c r="AF558" i="1"/>
  <c r="AX558" i="1" s="1"/>
  <c r="AF559" i="1"/>
  <c r="AX559" i="1" s="1"/>
  <c r="AF560" i="1"/>
  <c r="AX560" i="1" s="1"/>
  <c r="AF561" i="1"/>
  <c r="AX561" i="1" s="1"/>
  <c r="AF562" i="1"/>
  <c r="AX562" i="1" s="1"/>
  <c r="AF563" i="1"/>
  <c r="AX563" i="1" s="1"/>
  <c r="AF564" i="1"/>
  <c r="AX564" i="1" s="1"/>
  <c r="AF565" i="1"/>
  <c r="AX565" i="1" s="1"/>
  <c r="AF566" i="1"/>
  <c r="AX566" i="1" s="1"/>
  <c r="AF567" i="1"/>
  <c r="AX567" i="1" s="1"/>
  <c r="AF568" i="1"/>
  <c r="AX568" i="1" s="1"/>
  <c r="AF569" i="1"/>
  <c r="AX569" i="1" s="1"/>
  <c r="AF570" i="1"/>
  <c r="AX570" i="1" s="1"/>
  <c r="AF571" i="1"/>
  <c r="AX571" i="1" s="1"/>
  <c r="AF572" i="1"/>
  <c r="AX572" i="1" s="1"/>
  <c r="AF573" i="1"/>
  <c r="AX573" i="1" s="1"/>
  <c r="AF574" i="1"/>
  <c r="AX574" i="1" s="1"/>
  <c r="AF575" i="1"/>
  <c r="AX575" i="1" s="1"/>
  <c r="AF576" i="1"/>
  <c r="AX576" i="1" s="1"/>
  <c r="AF577" i="1"/>
  <c r="AX577" i="1" s="1"/>
  <c r="AF578" i="1"/>
  <c r="AX578" i="1" s="1"/>
  <c r="AF579" i="1"/>
  <c r="AX579" i="1" s="1"/>
  <c r="AF580" i="1"/>
  <c r="AX580" i="1" s="1"/>
  <c r="AF581" i="1"/>
  <c r="AX581" i="1" s="1"/>
  <c r="AF582" i="1"/>
  <c r="AX582" i="1" s="1"/>
  <c r="AF583" i="1"/>
  <c r="AX583" i="1" s="1"/>
  <c r="AF584" i="1"/>
  <c r="AX584" i="1" s="1"/>
  <c r="AF585" i="1"/>
  <c r="AX585" i="1" s="1"/>
  <c r="AF586" i="1"/>
  <c r="AX586" i="1" s="1"/>
  <c r="AF587" i="1"/>
  <c r="AX587" i="1" s="1"/>
  <c r="AF588" i="1"/>
  <c r="AX588" i="1" s="1"/>
  <c r="AF589" i="1"/>
  <c r="AX589" i="1" s="1"/>
  <c r="AF590" i="1"/>
  <c r="AX590" i="1" s="1"/>
  <c r="AF591" i="1"/>
  <c r="AX591" i="1" s="1"/>
  <c r="AF592" i="1"/>
  <c r="AX592" i="1" s="1"/>
  <c r="AF593" i="1"/>
  <c r="AX593" i="1" s="1"/>
  <c r="AF594" i="1"/>
  <c r="AX594" i="1" s="1"/>
  <c r="AF595" i="1"/>
  <c r="AX595" i="1" s="1"/>
  <c r="AF596" i="1"/>
  <c r="AX596" i="1" s="1"/>
  <c r="AF597" i="1"/>
  <c r="AX597" i="1" s="1"/>
  <c r="AF598" i="1"/>
  <c r="AX598" i="1" s="1"/>
  <c r="AF599" i="1"/>
  <c r="AX599" i="1" s="1"/>
  <c r="AF600" i="1"/>
  <c r="AX600" i="1" s="1"/>
  <c r="AF601" i="1"/>
  <c r="AX601" i="1" s="1"/>
  <c r="AF602" i="1"/>
  <c r="AX602" i="1" s="1"/>
  <c r="AF603" i="1"/>
  <c r="AX603" i="1" s="1"/>
  <c r="AF604" i="1"/>
  <c r="AX604" i="1" s="1"/>
  <c r="AF605" i="1"/>
  <c r="AX605" i="1" s="1"/>
  <c r="AF606" i="1"/>
  <c r="AX606" i="1" s="1"/>
  <c r="AF607" i="1"/>
  <c r="AX607" i="1" s="1"/>
  <c r="AF608" i="1"/>
  <c r="AX608" i="1" s="1"/>
  <c r="AF609" i="1"/>
  <c r="AX609" i="1" s="1"/>
  <c r="AF610" i="1"/>
  <c r="AX610" i="1" s="1"/>
  <c r="AF611" i="1"/>
  <c r="AX611" i="1" s="1"/>
  <c r="AF612" i="1"/>
  <c r="AX612" i="1" s="1"/>
  <c r="AF613" i="1"/>
  <c r="AX613" i="1" s="1"/>
  <c r="AF614" i="1"/>
  <c r="AX614" i="1" s="1"/>
  <c r="AF615" i="1"/>
  <c r="AX615" i="1" s="1"/>
  <c r="AF616" i="1"/>
  <c r="AX616" i="1" s="1"/>
  <c r="AF617" i="1"/>
  <c r="AX617" i="1" s="1"/>
  <c r="AF618" i="1"/>
  <c r="AX618" i="1" s="1"/>
  <c r="AF619" i="1"/>
  <c r="AX619" i="1" s="1"/>
  <c r="AF620" i="1"/>
  <c r="AX620" i="1" s="1"/>
  <c r="AF621" i="1"/>
  <c r="AX621" i="1" s="1"/>
  <c r="AF622" i="1"/>
  <c r="AX622" i="1" s="1"/>
  <c r="AF623" i="1"/>
  <c r="AX623" i="1" s="1"/>
  <c r="AF624" i="1"/>
  <c r="AX624" i="1" s="1"/>
  <c r="AF625" i="1"/>
  <c r="AX625" i="1" s="1"/>
  <c r="AF626" i="1"/>
  <c r="AX626" i="1" s="1"/>
  <c r="AF627" i="1"/>
  <c r="AX627" i="1" s="1"/>
  <c r="AF628" i="1"/>
  <c r="AX628" i="1" s="1"/>
  <c r="AF629" i="1"/>
  <c r="AX629" i="1" s="1"/>
  <c r="AF630" i="1"/>
  <c r="AX630" i="1" s="1"/>
  <c r="AF631" i="1"/>
  <c r="AX631" i="1" s="1"/>
  <c r="AF632" i="1"/>
  <c r="AX632" i="1" s="1"/>
  <c r="AF633" i="1"/>
  <c r="AX633" i="1" s="1"/>
  <c r="AF634" i="1"/>
  <c r="AX634" i="1" s="1"/>
  <c r="AF635" i="1"/>
  <c r="AX635" i="1" s="1"/>
  <c r="AF636" i="1"/>
  <c r="AX636" i="1" s="1"/>
  <c r="AF637" i="1"/>
  <c r="AX637" i="1" s="1"/>
  <c r="AF638" i="1"/>
  <c r="AX638" i="1" s="1"/>
  <c r="AF639" i="1"/>
  <c r="AX639" i="1" s="1"/>
  <c r="AF640" i="1"/>
  <c r="AX640" i="1" s="1"/>
  <c r="AF641" i="1"/>
  <c r="AX641" i="1" s="1"/>
  <c r="AF642" i="1"/>
  <c r="AX642" i="1" s="1"/>
  <c r="AF643" i="1"/>
  <c r="AX643" i="1" s="1"/>
  <c r="AF644" i="1"/>
  <c r="AX644" i="1" s="1"/>
  <c r="AF645" i="1"/>
  <c r="AX645" i="1" s="1"/>
  <c r="AF646" i="1"/>
  <c r="AX646" i="1" s="1"/>
  <c r="AF647" i="1"/>
  <c r="AX647" i="1" s="1"/>
  <c r="AF648" i="1"/>
  <c r="AX648" i="1" s="1"/>
  <c r="AF649" i="1"/>
  <c r="AX649" i="1" s="1"/>
  <c r="AF650" i="1"/>
  <c r="AX650" i="1" s="1"/>
  <c r="AF651" i="1"/>
  <c r="AX651" i="1" s="1"/>
  <c r="AF652" i="1"/>
  <c r="AX652" i="1" s="1"/>
  <c r="AF653" i="1"/>
  <c r="AX653" i="1" s="1"/>
  <c r="AF654" i="1"/>
  <c r="AX654" i="1" s="1"/>
  <c r="AF655" i="1"/>
  <c r="AX655" i="1" s="1"/>
  <c r="AF656" i="1"/>
  <c r="AX656" i="1" s="1"/>
  <c r="AF657" i="1"/>
  <c r="AX657" i="1" s="1"/>
  <c r="AF658" i="1"/>
  <c r="AX658" i="1" s="1"/>
  <c r="AF659" i="1"/>
  <c r="AX659" i="1" s="1"/>
  <c r="AF660" i="1"/>
  <c r="AX660" i="1" s="1"/>
  <c r="AF661" i="1"/>
  <c r="AX661" i="1" s="1"/>
  <c r="AF662" i="1"/>
  <c r="AX662" i="1" s="1"/>
  <c r="AF663" i="1"/>
  <c r="AX663" i="1" s="1"/>
  <c r="AF664" i="1"/>
  <c r="AX664" i="1" s="1"/>
  <c r="AF665" i="1"/>
  <c r="AX665" i="1" s="1"/>
  <c r="AF666" i="1"/>
  <c r="AX666" i="1" s="1"/>
  <c r="AF667" i="1"/>
  <c r="AX667" i="1" s="1"/>
  <c r="AF668" i="1"/>
  <c r="AX668" i="1" s="1"/>
  <c r="AF669" i="1"/>
  <c r="AX669" i="1" s="1"/>
  <c r="AF670" i="1"/>
  <c r="AX670" i="1" s="1"/>
  <c r="AF671" i="1"/>
  <c r="AX671" i="1" s="1"/>
  <c r="AF672" i="1"/>
  <c r="AX672" i="1" s="1"/>
  <c r="AF673" i="1"/>
  <c r="AX673" i="1" s="1"/>
  <c r="AF674" i="1"/>
  <c r="AX674" i="1" s="1"/>
  <c r="AF675" i="1"/>
  <c r="AX675" i="1" s="1"/>
  <c r="AF676" i="1"/>
  <c r="AX676" i="1" s="1"/>
  <c r="AF677" i="1"/>
  <c r="AX677" i="1" s="1"/>
  <c r="AF678" i="1"/>
  <c r="AX678" i="1" s="1"/>
  <c r="AF679" i="1"/>
  <c r="AX679" i="1" s="1"/>
  <c r="AF680" i="1"/>
  <c r="AX680" i="1" s="1"/>
  <c r="AF681" i="1"/>
  <c r="AX681" i="1" s="1"/>
  <c r="AF682" i="1"/>
  <c r="AX682" i="1" s="1"/>
  <c r="AF683" i="1"/>
  <c r="AX683" i="1" s="1"/>
  <c r="AF684" i="1"/>
  <c r="AX684" i="1" s="1"/>
  <c r="AF685" i="1"/>
  <c r="AX685" i="1" s="1"/>
  <c r="AF686" i="1"/>
  <c r="AX686" i="1" s="1"/>
  <c r="AF687" i="1"/>
  <c r="AX687" i="1" s="1"/>
  <c r="AF688" i="1"/>
  <c r="AX688" i="1" s="1"/>
  <c r="AF689" i="1"/>
  <c r="AX689" i="1" s="1"/>
  <c r="AF690" i="1"/>
  <c r="AX690" i="1" s="1"/>
  <c r="AF691" i="1"/>
  <c r="AX691" i="1" s="1"/>
  <c r="AF692" i="1"/>
  <c r="AX692" i="1" s="1"/>
  <c r="AF693" i="1"/>
  <c r="AX693" i="1" s="1"/>
  <c r="AF694" i="1"/>
  <c r="AX694" i="1" s="1"/>
  <c r="AF695" i="1"/>
  <c r="AX695" i="1" s="1"/>
  <c r="AF696" i="1"/>
  <c r="AX696" i="1" s="1"/>
  <c r="AF697" i="1"/>
  <c r="AX697" i="1" s="1"/>
  <c r="AF698" i="1"/>
  <c r="AX698" i="1" s="1"/>
  <c r="AF699" i="1"/>
  <c r="AX699" i="1" s="1"/>
  <c r="AF700" i="1"/>
  <c r="AX700" i="1" s="1"/>
  <c r="AF701" i="1"/>
  <c r="AX701" i="1" s="1"/>
  <c r="AF702" i="1"/>
  <c r="AX702" i="1" s="1"/>
  <c r="AF703" i="1"/>
  <c r="AX703" i="1" s="1"/>
  <c r="AF704" i="1"/>
  <c r="AX704" i="1" s="1"/>
  <c r="AF705" i="1"/>
  <c r="AX705" i="1" s="1"/>
  <c r="AF706" i="1"/>
  <c r="AX706" i="1" s="1"/>
  <c r="AF707" i="1"/>
  <c r="AX707" i="1" s="1"/>
  <c r="AF708" i="1"/>
  <c r="AX708" i="1" s="1"/>
  <c r="AF709" i="1"/>
  <c r="AX709" i="1" s="1"/>
  <c r="AF710" i="1"/>
  <c r="AX710" i="1" s="1"/>
  <c r="AF711" i="1"/>
  <c r="AX711" i="1" s="1"/>
  <c r="AF712" i="1"/>
  <c r="AX712" i="1" s="1"/>
  <c r="AF713" i="1"/>
  <c r="AX713" i="1" s="1"/>
  <c r="AF714" i="1"/>
  <c r="AX714" i="1" s="1"/>
  <c r="AF715" i="1"/>
  <c r="AX715" i="1" s="1"/>
  <c r="AF716" i="1"/>
  <c r="AX716" i="1" s="1"/>
  <c r="AF717" i="1"/>
  <c r="AX717" i="1" s="1"/>
  <c r="AF718" i="1"/>
  <c r="AX718" i="1" s="1"/>
  <c r="AF719" i="1"/>
  <c r="AX719" i="1" s="1"/>
  <c r="AF720" i="1"/>
  <c r="AX720" i="1" s="1"/>
  <c r="AF721" i="1"/>
  <c r="AX721" i="1" s="1"/>
  <c r="AF722" i="1"/>
  <c r="AX722" i="1" s="1"/>
  <c r="AF723" i="1"/>
  <c r="AX723" i="1" s="1"/>
  <c r="AF724" i="1"/>
  <c r="AX724" i="1" s="1"/>
  <c r="AF725" i="1"/>
  <c r="AX725" i="1" s="1"/>
  <c r="AF726" i="1"/>
  <c r="AX726" i="1" s="1"/>
  <c r="AF727" i="1"/>
  <c r="AX727" i="1" s="1"/>
  <c r="AF728" i="1"/>
  <c r="AX728" i="1" s="1"/>
  <c r="AF729" i="1"/>
  <c r="AX729" i="1" s="1"/>
  <c r="AF730" i="1"/>
  <c r="AX730" i="1" s="1"/>
  <c r="AF731" i="1"/>
  <c r="AX731" i="1" s="1"/>
  <c r="AF732" i="1"/>
  <c r="AX732" i="1" s="1"/>
  <c r="AF733" i="1"/>
  <c r="AX733" i="1" s="1"/>
  <c r="AF734" i="1"/>
  <c r="AX734" i="1" s="1"/>
  <c r="AF735" i="1"/>
  <c r="AX735" i="1" s="1"/>
  <c r="AF736" i="1"/>
  <c r="AX736" i="1" s="1"/>
  <c r="AF737" i="1"/>
  <c r="AX737" i="1" s="1"/>
  <c r="AF738" i="1"/>
  <c r="AX738" i="1" s="1"/>
  <c r="AF739" i="1"/>
  <c r="AX739" i="1" s="1"/>
  <c r="AF740" i="1"/>
  <c r="AX740" i="1" s="1"/>
  <c r="AF741" i="1"/>
  <c r="AX741" i="1" s="1"/>
  <c r="AF742" i="1"/>
  <c r="AX742" i="1" s="1"/>
  <c r="AF743" i="1"/>
  <c r="AX743" i="1" s="1"/>
  <c r="AF744" i="1"/>
  <c r="AX744" i="1" s="1"/>
  <c r="AF745" i="1"/>
  <c r="AX745" i="1" s="1"/>
  <c r="AF746" i="1"/>
  <c r="AX746" i="1" s="1"/>
  <c r="AF747" i="1"/>
  <c r="AX747" i="1" s="1"/>
  <c r="AF748" i="1"/>
  <c r="AX748" i="1" s="1"/>
  <c r="AF749" i="1"/>
  <c r="AX749" i="1" s="1"/>
  <c r="AF750" i="1"/>
  <c r="AX750" i="1" s="1"/>
  <c r="AF751" i="1"/>
  <c r="AX751" i="1" s="1"/>
  <c r="AF752" i="1"/>
  <c r="AX752" i="1" s="1"/>
  <c r="AF753" i="1"/>
  <c r="AX753" i="1" s="1"/>
  <c r="AF754" i="1"/>
  <c r="AX754" i="1" s="1"/>
  <c r="AF755" i="1"/>
  <c r="AX755" i="1" s="1"/>
  <c r="AF756" i="1"/>
  <c r="AX756" i="1" s="1"/>
  <c r="AF757" i="1"/>
  <c r="AX757" i="1" s="1"/>
  <c r="AF758" i="1"/>
  <c r="AX758" i="1" s="1"/>
  <c r="AF759" i="1"/>
  <c r="AX759" i="1" s="1"/>
  <c r="AF760" i="1"/>
  <c r="AX760" i="1" s="1"/>
  <c r="AF761" i="1"/>
  <c r="AX761" i="1" s="1"/>
  <c r="AF762" i="1"/>
  <c r="AX762" i="1" s="1"/>
  <c r="AF763" i="1"/>
  <c r="AX763" i="1" s="1"/>
  <c r="AF764" i="1"/>
  <c r="AX764" i="1" s="1"/>
  <c r="AF765" i="1"/>
  <c r="AX765" i="1" s="1"/>
  <c r="AF766" i="1"/>
  <c r="AX766" i="1" s="1"/>
  <c r="AF767" i="1"/>
  <c r="AX767" i="1" s="1"/>
  <c r="AF768" i="1"/>
  <c r="AX768" i="1" s="1"/>
  <c r="AF769" i="1"/>
  <c r="AX769" i="1" s="1"/>
  <c r="AF770" i="1"/>
  <c r="AX770" i="1" s="1"/>
  <c r="AF771" i="1"/>
  <c r="AX771" i="1" s="1"/>
  <c r="AF772" i="1"/>
  <c r="AX772" i="1" s="1"/>
  <c r="AF773" i="1"/>
  <c r="AX773" i="1" s="1"/>
  <c r="AF774" i="1"/>
  <c r="AX774" i="1" s="1"/>
  <c r="AF775" i="1"/>
  <c r="AX775" i="1" s="1"/>
  <c r="AF776" i="1"/>
  <c r="AX776" i="1" s="1"/>
  <c r="AF777" i="1"/>
  <c r="AX777" i="1" s="1"/>
  <c r="AF778" i="1"/>
  <c r="AX778" i="1" s="1"/>
  <c r="AF779" i="1"/>
  <c r="AX779" i="1" s="1"/>
  <c r="AF780" i="1"/>
  <c r="AX780" i="1" s="1"/>
  <c r="AF781" i="1"/>
  <c r="AX781" i="1" s="1"/>
  <c r="AF782" i="1"/>
  <c r="AX782" i="1" s="1"/>
  <c r="AF783" i="1"/>
  <c r="AX783" i="1" s="1"/>
  <c r="AF784" i="1"/>
  <c r="AX784" i="1" s="1"/>
  <c r="AF785" i="1"/>
  <c r="AX785" i="1" s="1"/>
  <c r="AF786" i="1"/>
  <c r="AX786" i="1" s="1"/>
  <c r="AF787" i="1"/>
  <c r="AX787" i="1" s="1"/>
  <c r="AF788" i="1"/>
  <c r="AX788" i="1" s="1"/>
  <c r="AF789" i="1"/>
  <c r="AX789" i="1" s="1"/>
  <c r="AF790" i="1"/>
  <c r="AX790" i="1" s="1"/>
  <c r="AF791" i="1"/>
  <c r="AX791" i="1" s="1"/>
  <c r="AF792" i="1"/>
  <c r="AX792" i="1" s="1"/>
  <c r="AF793" i="1"/>
  <c r="AX793" i="1" s="1"/>
  <c r="AF794" i="1"/>
  <c r="AX794" i="1" s="1"/>
  <c r="AF795" i="1"/>
  <c r="AX795" i="1" s="1"/>
  <c r="AF796" i="1"/>
  <c r="AX796" i="1" s="1"/>
  <c r="AF797" i="1"/>
  <c r="AX797" i="1" s="1"/>
  <c r="AF798" i="1"/>
  <c r="AX798" i="1" s="1"/>
  <c r="AF799" i="1"/>
  <c r="AX799" i="1" s="1"/>
  <c r="AF800" i="1"/>
  <c r="AX800" i="1" s="1"/>
  <c r="AF801" i="1"/>
  <c r="AX801" i="1" s="1"/>
  <c r="AF802" i="1"/>
  <c r="AX802" i="1" s="1"/>
  <c r="AF803" i="1"/>
  <c r="AX803" i="1" s="1"/>
  <c r="AF804" i="1"/>
  <c r="AX804" i="1" s="1"/>
  <c r="AF805" i="1"/>
  <c r="AX805" i="1" s="1"/>
  <c r="AF806" i="1"/>
  <c r="AX806" i="1" s="1"/>
  <c r="AF807" i="1"/>
  <c r="AX807" i="1" s="1"/>
  <c r="AF808" i="1"/>
  <c r="AX808" i="1" s="1"/>
  <c r="AF809" i="1"/>
  <c r="AX809" i="1" s="1"/>
  <c r="AF810" i="1"/>
  <c r="AX810" i="1" s="1"/>
  <c r="AF811" i="1"/>
  <c r="AX811" i="1" s="1"/>
  <c r="AF812" i="1"/>
  <c r="AX812" i="1" s="1"/>
  <c r="AF813" i="1"/>
  <c r="AX813" i="1" s="1"/>
  <c r="AF814" i="1"/>
  <c r="AX814" i="1" s="1"/>
  <c r="AF815" i="1"/>
  <c r="AX815" i="1" s="1"/>
  <c r="AF816" i="1"/>
  <c r="AX816" i="1" s="1"/>
  <c r="AF817" i="1"/>
  <c r="AX817" i="1" s="1"/>
  <c r="AF818" i="1"/>
  <c r="AX818" i="1" s="1"/>
  <c r="AF819" i="1"/>
  <c r="AX819" i="1" s="1"/>
  <c r="AF820" i="1"/>
  <c r="AX820" i="1" s="1"/>
  <c r="AF821" i="1"/>
  <c r="AX821" i="1" s="1"/>
  <c r="AF822" i="1"/>
  <c r="AX822" i="1" s="1"/>
  <c r="AF823" i="1"/>
  <c r="AX823" i="1" s="1"/>
  <c r="AF824" i="1"/>
  <c r="AX824" i="1" s="1"/>
  <c r="AF825" i="1"/>
  <c r="AX825" i="1" s="1"/>
  <c r="AF826" i="1"/>
  <c r="AX826" i="1" s="1"/>
  <c r="AF827" i="1"/>
  <c r="AX827" i="1" s="1"/>
  <c r="AF828" i="1"/>
  <c r="AX828" i="1" s="1"/>
  <c r="AF829" i="1"/>
  <c r="AX829" i="1" s="1"/>
  <c r="AF830" i="1"/>
  <c r="AX830" i="1" s="1"/>
  <c r="AF831" i="1"/>
  <c r="AX831" i="1" s="1"/>
  <c r="AF832" i="1"/>
  <c r="AX832" i="1" s="1"/>
  <c r="AF833" i="1"/>
  <c r="AX833" i="1" s="1"/>
  <c r="AF834" i="1"/>
  <c r="AX834" i="1" s="1"/>
  <c r="AF835" i="1"/>
  <c r="AX835" i="1" s="1"/>
  <c r="AF836" i="1"/>
  <c r="AX836" i="1" s="1"/>
  <c r="AF837" i="1"/>
  <c r="AX837" i="1" s="1"/>
  <c r="AF838" i="1"/>
  <c r="AX838" i="1" s="1"/>
  <c r="AF839" i="1"/>
  <c r="AX839" i="1" s="1"/>
  <c r="AF840" i="1"/>
  <c r="AX840" i="1" s="1"/>
  <c r="AF841" i="1"/>
  <c r="AX841" i="1" s="1"/>
  <c r="AF842" i="1"/>
  <c r="AX842" i="1" s="1"/>
  <c r="AF843" i="1"/>
  <c r="AX843" i="1" s="1"/>
  <c r="AF844" i="1"/>
  <c r="AX844" i="1" s="1"/>
  <c r="AF845" i="1"/>
  <c r="AX845" i="1" s="1"/>
  <c r="AF846" i="1"/>
  <c r="AX846" i="1" s="1"/>
  <c r="AF847" i="1"/>
  <c r="AX847" i="1" s="1"/>
  <c r="AF848" i="1"/>
  <c r="AX848" i="1" s="1"/>
  <c r="AF849" i="1"/>
  <c r="AX849" i="1" s="1"/>
  <c r="AF850" i="1"/>
  <c r="AX850" i="1" s="1"/>
  <c r="AF851" i="1"/>
  <c r="AX851" i="1" s="1"/>
  <c r="AF852" i="1"/>
  <c r="AX852" i="1" s="1"/>
  <c r="AF853" i="1"/>
  <c r="AX853" i="1" s="1"/>
  <c r="AF854" i="1"/>
  <c r="AX854" i="1" s="1"/>
  <c r="AF855" i="1"/>
  <c r="AX855" i="1" s="1"/>
  <c r="AF856" i="1"/>
  <c r="AX856" i="1" s="1"/>
  <c r="AF857" i="1"/>
  <c r="AX857" i="1" s="1"/>
  <c r="AF858" i="1"/>
  <c r="AX858" i="1" s="1"/>
  <c r="AF859" i="1"/>
  <c r="AX859" i="1" s="1"/>
  <c r="AF860" i="1"/>
  <c r="AX860" i="1" s="1"/>
  <c r="AF861" i="1"/>
  <c r="AX861" i="1" s="1"/>
  <c r="AF862" i="1"/>
  <c r="AX862" i="1" s="1"/>
  <c r="AF863" i="1"/>
  <c r="AX863" i="1" s="1"/>
  <c r="AF864" i="1"/>
  <c r="AX864" i="1" s="1"/>
  <c r="AF865" i="1"/>
  <c r="AX865" i="1" s="1"/>
  <c r="AF866" i="1"/>
  <c r="AX866" i="1" s="1"/>
  <c r="AF867" i="1"/>
  <c r="AX867" i="1" s="1"/>
  <c r="AF868" i="1"/>
  <c r="AX868" i="1" s="1"/>
  <c r="AF869" i="1"/>
  <c r="AX869" i="1" s="1"/>
  <c r="AF870" i="1"/>
  <c r="AX870" i="1" s="1"/>
  <c r="AF871" i="1"/>
  <c r="AX871" i="1" s="1"/>
  <c r="AF872" i="1"/>
  <c r="AX872" i="1" s="1"/>
  <c r="AF873" i="1"/>
  <c r="AX873" i="1" s="1"/>
  <c r="AF874" i="1"/>
  <c r="AX874" i="1" s="1"/>
  <c r="AF875" i="1"/>
  <c r="AX875" i="1" s="1"/>
  <c r="AF876" i="1"/>
  <c r="AX876" i="1" s="1"/>
  <c r="AF877" i="1"/>
  <c r="AX877" i="1" s="1"/>
  <c r="AF878" i="1"/>
  <c r="AX878" i="1" s="1"/>
  <c r="AF879" i="1"/>
  <c r="AX879" i="1" s="1"/>
  <c r="AF880" i="1"/>
  <c r="AX880" i="1" s="1"/>
  <c r="AF881" i="1"/>
  <c r="AX881" i="1" s="1"/>
  <c r="AF882" i="1"/>
  <c r="AX882" i="1" s="1"/>
  <c r="AF883" i="1"/>
  <c r="AX883" i="1" s="1"/>
  <c r="AF884" i="1"/>
  <c r="AX884" i="1" s="1"/>
  <c r="AF885" i="1"/>
  <c r="AX885" i="1" s="1"/>
  <c r="AF886" i="1"/>
  <c r="AX886" i="1" s="1"/>
  <c r="AF887" i="1"/>
  <c r="AX887" i="1" s="1"/>
  <c r="AF888" i="1"/>
  <c r="AX888" i="1" s="1"/>
  <c r="AF889" i="1"/>
  <c r="AX889" i="1" s="1"/>
  <c r="AF890" i="1"/>
  <c r="AX890" i="1" s="1"/>
  <c r="AF891" i="1"/>
  <c r="AX891" i="1" s="1"/>
  <c r="AF892" i="1"/>
  <c r="AX892" i="1" s="1"/>
  <c r="AF893" i="1"/>
  <c r="AX893" i="1" s="1"/>
  <c r="AF894" i="1"/>
  <c r="AX894" i="1" s="1"/>
  <c r="AF895" i="1"/>
  <c r="AX895" i="1" s="1"/>
  <c r="AF896" i="1"/>
  <c r="AX896" i="1" s="1"/>
  <c r="AF897" i="1"/>
  <c r="AX897" i="1" s="1"/>
  <c r="AF898" i="1"/>
  <c r="AX898" i="1" s="1"/>
  <c r="AF899" i="1"/>
  <c r="AX899" i="1" s="1"/>
  <c r="AF900" i="1"/>
  <c r="AX900" i="1" s="1"/>
  <c r="AF901" i="1"/>
  <c r="AX901" i="1" s="1"/>
  <c r="AF902" i="1"/>
  <c r="AX902" i="1" s="1"/>
  <c r="AF903" i="1"/>
  <c r="AX903" i="1" s="1"/>
  <c r="AF904" i="1"/>
  <c r="AX904" i="1" s="1"/>
  <c r="AF905" i="1"/>
  <c r="AX905" i="1" s="1"/>
  <c r="AF906" i="1"/>
  <c r="AX906" i="1" s="1"/>
  <c r="AF907" i="1"/>
  <c r="AX907" i="1" s="1"/>
  <c r="AF908" i="1"/>
  <c r="AX908" i="1" s="1"/>
  <c r="AF909" i="1"/>
  <c r="AX909" i="1" s="1"/>
  <c r="AF910" i="1"/>
  <c r="AX910" i="1" s="1"/>
  <c r="AF911" i="1"/>
  <c r="AX911" i="1" s="1"/>
  <c r="AF912" i="1"/>
  <c r="AX912" i="1" s="1"/>
  <c r="AF913" i="1"/>
  <c r="AX913" i="1" s="1"/>
  <c r="AF914" i="1"/>
  <c r="AX914" i="1" s="1"/>
  <c r="AF915" i="1"/>
  <c r="AX915" i="1" s="1"/>
  <c r="AF916" i="1"/>
  <c r="AX916" i="1" s="1"/>
  <c r="AF917" i="1"/>
  <c r="AX917" i="1" s="1"/>
  <c r="AF918" i="1"/>
  <c r="AX918" i="1" s="1"/>
  <c r="AF919" i="1"/>
  <c r="AX919" i="1" s="1"/>
  <c r="AF920" i="1"/>
  <c r="AX920" i="1" s="1"/>
  <c r="AF921" i="1"/>
  <c r="AX921" i="1" s="1"/>
  <c r="AF922" i="1"/>
  <c r="AX922" i="1" s="1"/>
  <c r="AF923" i="1"/>
  <c r="AX923" i="1" s="1"/>
  <c r="AF924" i="1"/>
  <c r="AX924" i="1" s="1"/>
  <c r="AF925" i="1"/>
  <c r="AX925" i="1" s="1"/>
  <c r="AF926" i="1"/>
  <c r="AX926" i="1" s="1"/>
  <c r="AF927" i="1"/>
  <c r="AX927" i="1" s="1"/>
  <c r="AF928" i="1"/>
  <c r="AX928" i="1" s="1"/>
  <c r="AF929" i="1"/>
  <c r="AX929" i="1" s="1"/>
  <c r="AF930" i="1"/>
  <c r="AX930" i="1" s="1"/>
  <c r="AF931" i="1"/>
  <c r="AX931" i="1" s="1"/>
  <c r="AF932" i="1"/>
  <c r="AX932" i="1" s="1"/>
  <c r="AF933" i="1"/>
  <c r="AX933" i="1" s="1"/>
  <c r="AF934" i="1"/>
  <c r="AX934" i="1" s="1"/>
  <c r="AF935" i="1"/>
  <c r="AX935" i="1" s="1"/>
  <c r="AF936" i="1"/>
  <c r="AX936" i="1" s="1"/>
  <c r="AF937" i="1"/>
  <c r="AX937" i="1" s="1"/>
  <c r="AF938" i="1"/>
  <c r="AX938" i="1" s="1"/>
  <c r="AF939" i="1"/>
  <c r="AX939" i="1" s="1"/>
  <c r="AF940" i="1"/>
  <c r="AX940" i="1" s="1"/>
  <c r="AF941" i="1"/>
  <c r="AX941" i="1" s="1"/>
  <c r="AF942" i="1"/>
  <c r="AX942" i="1" s="1"/>
  <c r="AF943" i="1"/>
  <c r="AX943" i="1" s="1"/>
  <c r="AF944" i="1"/>
  <c r="AX944" i="1" s="1"/>
  <c r="AF945" i="1"/>
  <c r="AX945" i="1" s="1"/>
  <c r="AF946" i="1"/>
  <c r="AX946" i="1" s="1"/>
  <c r="AF947" i="1"/>
  <c r="AX947" i="1" s="1"/>
  <c r="AF948" i="1"/>
  <c r="AX948" i="1" s="1"/>
  <c r="AF949" i="1"/>
  <c r="AX949" i="1" s="1"/>
  <c r="AF950" i="1"/>
  <c r="AX950" i="1" s="1"/>
  <c r="AF951" i="1"/>
  <c r="AX951" i="1" s="1"/>
  <c r="AF952" i="1"/>
  <c r="AX952" i="1" s="1"/>
  <c r="AF953" i="1"/>
  <c r="AX953" i="1" s="1"/>
  <c r="AF954" i="1"/>
  <c r="AX954" i="1" s="1"/>
  <c r="AF955" i="1"/>
  <c r="AX955" i="1" s="1"/>
  <c r="AF956" i="1"/>
  <c r="AX956" i="1" s="1"/>
  <c r="AF957" i="1"/>
  <c r="AX957" i="1" s="1"/>
  <c r="AF958" i="1"/>
  <c r="AX958" i="1" s="1"/>
  <c r="AF959" i="1"/>
  <c r="AX959" i="1" s="1"/>
  <c r="AF960" i="1"/>
  <c r="AX960" i="1" s="1"/>
  <c r="AF961" i="1"/>
  <c r="AX961" i="1" s="1"/>
  <c r="AF962" i="1"/>
  <c r="AX962" i="1" s="1"/>
  <c r="AF963" i="1"/>
  <c r="AX963" i="1" s="1"/>
  <c r="AF964" i="1"/>
  <c r="AX964" i="1" s="1"/>
  <c r="AF965" i="1"/>
  <c r="AX965" i="1" s="1"/>
  <c r="AF966" i="1"/>
  <c r="AX966" i="1" s="1"/>
  <c r="AF967" i="1"/>
  <c r="AX967" i="1" s="1"/>
  <c r="AF968" i="1"/>
  <c r="AX968" i="1" s="1"/>
  <c r="AF969" i="1"/>
  <c r="AX969" i="1" s="1"/>
  <c r="AF970" i="1"/>
  <c r="AX970" i="1" s="1"/>
  <c r="AF971" i="1"/>
  <c r="AX971" i="1" s="1"/>
  <c r="AF972" i="1"/>
  <c r="AX972" i="1" s="1"/>
  <c r="AF973" i="1"/>
  <c r="AX973" i="1" s="1"/>
  <c r="AF974" i="1"/>
  <c r="AX974" i="1" s="1"/>
  <c r="AF975" i="1"/>
  <c r="AX975" i="1" s="1"/>
  <c r="AF976" i="1"/>
  <c r="AX976" i="1" s="1"/>
  <c r="AF977" i="1"/>
  <c r="AX977" i="1" s="1"/>
  <c r="AF978" i="1"/>
  <c r="AX978" i="1" s="1"/>
  <c r="AF979" i="1"/>
  <c r="AX979" i="1" s="1"/>
  <c r="AF980" i="1"/>
  <c r="AX980" i="1" s="1"/>
  <c r="AF981" i="1"/>
  <c r="AX981" i="1" s="1"/>
  <c r="AF982" i="1"/>
  <c r="AX982" i="1" s="1"/>
  <c r="AF983" i="1"/>
  <c r="AX983" i="1" s="1"/>
  <c r="AF984" i="1"/>
  <c r="AX984" i="1" s="1"/>
  <c r="AF985" i="1"/>
  <c r="AX985" i="1" s="1"/>
  <c r="AF986" i="1"/>
  <c r="AX986" i="1" s="1"/>
  <c r="AF987" i="1"/>
  <c r="AX987" i="1" s="1"/>
  <c r="AF988" i="1"/>
  <c r="AX988" i="1" s="1"/>
  <c r="AF989" i="1"/>
  <c r="AX989" i="1" s="1"/>
  <c r="AF990" i="1"/>
  <c r="AX990" i="1" s="1"/>
  <c r="AF991" i="1"/>
  <c r="AX991" i="1" s="1"/>
  <c r="AF992" i="1"/>
  <c r="AX992" i="1" s="1"/>
  <c r="AF993" i="1"/>
  <c r="AX993" i="1" s="1"/>
  <c r="AF994" i="1"/>
  <c r="AX994" i="1" s="1"/>
  <c r="AF995" i="1"/>
  <c r="AX995" i="1" s="1"/>
  <c r="AF996" i="1"/>
  <c r="AX996" i="1" s="1"/>
  <c r="AF997" i="1"/>
  <c r="AX997" i="1" s="1"/>
  <c r="AF998" i="1"/>
  <c r="AX998" i="1" s="1"/>
  <c r="AF999" i="1"/>
  <c r="AX999" i="1" s="1"/>
  <c r="AF1000" i="1"/>
  <c r="AX1000" i="1" s="1"/>
  <c r="AF1001" i="1"/>
  <c r="AX1001" i="1" s="1"/>
  <c r="AF1002" i="1"/>
  <c r="AX1002" i="1" s="1"/>
  <c r="AF1003" i="1"/>
  <c r="AX1003" i="1" s="1"/>
  <c r="AF1004" i="1"/>
  <c r="AX1004" i="1" s="1"/>
  <c r="AF1005" i="1"/>
  <c r="AX1005" i="1" s="1"/>
  <c r="AF1006" i="1"/>
  <c r="AX1006" i="1" s="1"/>
  <c r="AF1007" i="1"/>
  <c r="AX1007" i="1" s="1"/>
  <c r="AF1008" i="1"/>
  <c r="AX1008" i="1" s="1"/>
  <c r="AF1009" i="1"/>
  <c r="AX1009" i="1" s="1"/>
  <c r="AF1010" i="1"/>
  <c r="AX1010" i="1" s="1"/>
  <c r="AF1011" i="1"/>
  <c r="AX1011" i="1" s="1"/>
  <c r="AF1012" i="1"/>
  <c r="AX1012" i="1" s="1"/>
  <c r="AF1013" i="1"/>
  <c r="AX1013" i="1" s="1"/>
  <c r="AF1014" i="1"/>
  <c r="AX1014" i="1" s="1"/>
  <c r="AF1015" i="1"/>
  <c r="AX1015" i="1" s="1"/>
  <c r="AF1016" i="1"/>
  <c r="AX1016" i="1" s="1"/>
  <c r="AF1017" i="1"/>
  <c r="AX1017" i="1" s="1"/>
  <c r="AF1018" i="1"/>
  <c r="AX1018" i="1" s="1"/>
  <c r="AF1019" i="1"/>
  <c r="AX1019" i="1" s="1"/>
  <c r="AF1020" i="1"/>
  <c r="AX1020" i="1" s="1"/>
  <c r="AF1021" i="1"/>
  <c r="AX1021" i="1" s="1"/>
  <c r="AF1022" i="1"/>
  <c r="AX1022" i="1" s="1"/>
  <c r="AF1023" i="1"/>
  <c r="AX1023" i="1" s="1"/>
  <c r="AF1024" i="1"/>
  <c r="AX1024" i="1" s="1"/>
  <c r="AF1025" i="1"/>
  <c r="AX1025" i="1" s="1"/>
  <c r="AF1026" i="1"/>
  <c r="AX1026" i="1" s="1"/>
  <c r="AF1027" i="1"/>
  <c r="AX1027" i="1" s="1"/>
  <c r="AF1028" i="1"/>
  <c r="AX1028" i="1" s="1"/>
  <c r="AF1029" i="1"/>
  <c r="AX1029" i="1" s="1"/>
  <c r="AF1030" i="1"/>
  <c r="AX1030" i="1" s="1"/>
  <c r="AF1031" i="1"/>
  <c r="AX1031" i="1" s="1"/>
  <c r="AF1032" i="1"/>
  <c r="AX1032" i="1" s="1"/>
  <c r="AF1033" i="1"/>
  <c r="AX1033" i="1" s="1"/>
  <c r="AF1034" i="1"/>
  <c r="AX1034" i="1" s="1"/>
  <c r="AF1035" i="1"/>
  <c r="AX1035" i="1" s="1"/>
  <c r="AF1036" i="1"/>
  <c r="AX1036" i="1" s="1"/>
  <c r="AF1037" i="1"/>
  <c r="AX1037" i="1" s="1"/>
  <c r="AF1038" i="1"/>
  <c r="AX1038" i="1" s="1"/>
  <c r="AF1039" i="1"/>
  <c r="AX1039" i="1" s="1"/>
  <c r="AF1040" i="1"/>
  <c r="AX1040" i="1" s="1"/>
  <c r="AF1041" i="1"/>
  <c r="AX1041" i="1" s="1"/>
  <c r="AF1042" i="1"/>
  <c r="AX1042" i="1" s="1"/>
  <c r="AF1043" i="1"/>
  <c r="AX1043" i="1" s="1"/>
  <c r="AF1044" i="1"/>
  <c r="AX1044" i="1" s="1"/>
  <c r="AF1045" i="1"/>
  <c r="AX1045" i="1" s="1"/>
  <c r="AF1046" i="1"/>
  <c r="AX1046" i="1" s="1"/>
  <c r="AF1047" i="1"/>
  <c r="AX1047" i="1" s="1"/>
  <c r="AF1048" i="1"/>
  <c r="AX1048" i="1" s="1"/>
  <c r="AF1049" i="1"/>
  <c r="AX1049" i="1" s="1"/>
  <c r="AF1050" i="1"/>
  <c r="AX1050" i="1" s="1"/>
  <c r="AF1051" i="1"/>
  <c r="AX1051" i="1" s="1"/>
  <c r="AF1052" i="1"/>
  <c r="AX1052" i="1" s="1"/>
  <c r="AF1053" i="1"/>
  <c r="AX1053" i="1" s="1"/>
  <c r="AF1054" i="1"/>
  <c r="AX1054" i="1" s="1"/>
  <c r="AF1055" i="1"/>
  <c r="AX1055" i="1" s="1"/>
  <c r="AF1056" i="1"/>
  <c r="AX1056" i="1" s="1"/>
  <c r="AF1057" i="1"/>
  <c r="AX1057" i="1" s="1"/>
  <c r="AF1058" i="1"/>
  <c r="AX1058" i="1" s="1"/>
  <c r="AF1059" i="1"/>
  <c r="AX1059" i="1" s="1"/>
  <c r="AF1060" i="1"/>
  <c r="AX1060" i="1" s="1"/>
  <c r="AF1061" i="1"/>
  <c r="AX1061" i="1" s="1"/>
  <c r="AF1062" i="1"/>
  <c r="AX1062" i="1" s="1"/>
  <c r="AF1063" i="1"/>
  <c r="AX1063" i="1" s="1"/>
  <c r="AF1064" i="1"/>
  <c r="AX1064" i="1" s="1"/>
  <c r="AF1065" i="1"/>
  <c r="AX1065" i="1" s="1"/>
  <c r="AF1066" i="1"/>
  <c r="AX1066" i="1" s="1"/>
  <c r="AF1067" i="1"/>
  <c r="AX1067" i="1" s="1"/>
  <c r="AF1068" i="1"/>
  <c r="AX1068" i="1" s="1"/>
  <c r="AF1069" i="1"/>
  <c r="AX1069" i="1" s="1"/>
  <c r="AF1070" i="1"/>
  <c r="AX1070" i="1" s="1"/>
  <c r="AF1071" i="1"/>
  <c r="AX1071" i="1" s="1"/>
  <c r="AF1072" i="1"/>
  <c r="AX1072" i="1" s="1"/>
  <c r="AF1073" i="1"/>
  <c r="AX1073" i="1" s="1"/>
  <c r="AF1074" i="1"/>
  <c r="AX1074" i="1" s="1"/>
  <c r="AF1075" i="1"/>
  <c r="AX1075" i="1" s="1"/>
  <c r="AF1076" i="1"/>
  <c r="AX1076" i="1" s="1"/>
  <c r="AF1077" i="1"/>
  <c r="AX1077" i="1" s="1"/>
  <c r="AF1078" i="1"/>
  <c r="AX1078" i="1" s="1"/>
  <c r="AF1079" i="1"/>
  <c r="AX1079" i="1" s="1"/>
  <c r="AF1080" i="1"/>
  <c r="AX1080" i="1" s="1"/>
  <c r="AF1081" i="1"/>
  <c r="AX1081" i="1" s="1"/>
  <c r="AF1082" i="1"/>
  <c r="AX1082" i="1" s="1"/>
  <c r="AF1083" i="1"/>
  <c r="AX1083" i="1" s="1"/>
  <c r="AF1084" i="1"/>
  <c r="AX1084" i="1" s="1"/>
  <c r="AF1085" i="1"/>
  <c r="AX1085" i="1" s="1"/>
  <c r="AF1086" i="1"/>
  <c r="AX1086" i="1" s="1"/>
  <c r="AF1087" i="1"/>
  <c r="AX1087" i="1" s="1"/>
  <c r="AF1088" i="1"/>
  <c r="AX1088" i="1" s="1"/>
  <c r="AF1089" i="1"/>
  <c r="AX1089" i="1" s="1"/>
  <c r="AF1090" i="1"/>
  <c r="AX1090" i="1" s="1"/>
  <c r="AF1091" i="1"/>
  <c r="AX1091" i="1" s="1"/>
  <c r="AF1092" i="1"/>
  <c r="AX1092" i="1" s="1"/>
  <c r="AF1093" i="1"/>
  <c r="AX1093" i="1" s="1"/>
  <c r="AF1094" i="1"/>
  <c r="AX1094" i="1" s="1"/>
  <c r="AF1095" i="1"/>
  <c r="AX1095" i="1" s="1"/>
  <c r="AF1096" i="1"/>
  <c r="AX1096" i="1" s="1"/>
  <c r="AF1097" i="1"/>
  <c r="AX1097" i="1" s="1"/>
  <c r="AF1098" i="1"/>
  <c r="AX1098" i="1" s="1"/>
  <c r="AF1099" i="1"/>
  <c r="AX1099" i="1" s="1"/>
  <c r="AF1100" i="1"/>
  <c r="AX1100" i="1" s="1"/>
  <c r="AF1101" i="1"/>
  <c r="AX1101" i="1" s="1"/>
  <c r="AF1102" i="1"/>
  <c r="AX1102" i="1" s="1"/>
  <c r="AF1103" i="1"/>
  <c r="AX1103" i="1" s="1"/>
  <c r="AF1104" i="1"/>
  <c r="AX1104" i="1" s="1"/>
  <c r="AF1105" i="1"/>
  <c r="AX1105" i="1" s="1"/>
  <c r="AF1106" i="1"/>
  <c r="AX1106" i="1" s="1"/>
  <c r="AF1107" i="1"/>
  <c r="AX1107" i="1" s="1"/>
  <c r="AF1108" i="1"/>
  <c r="AX1108" i="1" s="1"/>
  <c r="AF1109" i="1"/>
  <c r="AX1109" i="1" s="1"/>
  <c r="AF1110" i="1"/>
  <c r="AX1110" i="1" s="1"/>
  <c r="AF1111" i="1"/>
  <c r="AX1111" i="1" s="1"/>
  <c r="AF1112" i="1"/>
  <c r="AX1112" i="1" s="1"/>
  <c r="AF1113" i="1"/>
  <c r="AX1113" i="1" s="1"/>
  <c r="AF1114" i="1"/>
  <c r="AX1114" i="1" s="1"/>
  <c r="AF1115" i="1"/>
  <c r="AX1115" i="1" s="1"/>
  <c r="AF1116" i="1"/>
  <c r="AX1116" i="1" s="1"/>
  <c r="AF1117" i="1"/>
  <c r="AX1117" i="1" s="1"/>
  <c r="AF1118" i="1"/>
  <c r="AX1118" i="1" s="1"/>
  <c r="AF1119" i="1"/>
  <c r="AX1119" i="1" s="1"/>
  <c r="AF1120" i="1"/>
  <c r="AX1120" i="1" s="1"/>
  <c r="AF1121" i="1"/>
  <c r="AX1121" i="1" s="1"/>
  <c r="AF1122" i="1"/>
  <c r="AX1122" i="1" s="1"/>
  <c r="AF1123" i="1"/>
  <c r="AX1123" i="1" s="1"/>
  <c r="AF1124" i="1"/>
  <c r="AX1124" i="1" s="1"/>
  <c r="AF1125" i="1"/>
  <c r="AX1125" i="1" s="1"/>
  <c r="AF1126" i="1"/>
  <c r="AX1126" i="1" s="1"/>
  <c r="AF1127" i="1"/>
  <c r="AX1127" i="1" s="1"/>
  <c r="AF1128" i="1"/>
  <c r="AX1128" i="1" s="1"/>
  <c r="AF1129" i="1"/>
  <c r="AX1129" i="1" s="1"/>
  <c r="AF1130" i="1"/>
  <c r="AX1130" i="1" s="1"/>
  <c r="AF1131" i="1"/>
  <c r="AX1131" i="1" s="1"/>
  <c r="AF1132" i="1"/>
  <c r="AX1132" i="1" s="1"/>
  <c r="AF1133" i="1"/>
  <c r="AX1133" i="1" s="1"/>
  <c r="AF1134" i="1"/>
  <c r="AX1134" i="1" s="1"/>
  <c r="AF1135" i="1"/>
  <c r="AX1135" i="1" s="1"/>
  <c r="AF1136" i="1"/>
  <c r="AX1136" i="1" s="1"/>
  <c r="AF1137" i="1"/>
  <c r="AX1137" i="1" s="1"/>
  <c r="AF1138" i="1"/>
  <c r="AX1138" i="1" s="1"/>
  <c r="AF1139" i="1"/>
  <c r="AX1139" i="1" s="1"/>
  <c r="AF1140" i="1"/>
  <c r="AX1140" i="1" s="1"/>
  <c r="AF1141" i="1"/>
  <c r="AX1141" i="1" s="1"/>
  <c r="AF1142" i="1"/>
  <c r="AX1142" i="1" s="1"/>
  <c r="AF1143" i="1"/>
  <c r="AX1143" i="1" s="1"/>
  <c r="AF1144" i="1"/>
  <c r="AX1144" i="1" s="1"/>
  <c r="AF1145" i="1"/>
  <c r="AX1145" i="1" s="1"/>
  <c r="AF1146" i="1"/>
  <c r="AX1146" i="1" s="1"/>
  <c r="AF1147" i="1"/>
  <c r="AX1147" i="1" s="1"/>
  <c r="AF1148" i="1"/>
  <c r="AX1148" i="1" s="1"/>
  <c r="AF1149" i="1"/>
  <c r="AX1149" i="1" s="1"/>
  <c r="AF1150" i="1"/>
  <c r="AX1150" i="1" s="1"/>
  <c r="AF1151" i="1"/>
  <c r="AX1151" i="1" s="1"/>
  <c r="AF1152" i="1"/>
  <c r="AX1152" i="1" s="1"/>
  <c r="AF1153" i="1"/>
  <c r="AX1153" i="1" s="1"/>
  <c r="AF1154" i="1"/>
  <c r="AX1154" i="1" s="1"/>
  <c r="AF1155" i="1"/>
  <c r="AX1155" i="1" s="1"/>
  <c r="AF1156" i="1"/>
  <c r="AX1156" i="1" s="1"/>
  <c r="AF1157" i="1"/>
  <c r="AX1157" i="1" s="1"/>
  <c r="AF1158" i="1"/>
  <c r="AX1158" i="1" s="1"/>
  <c r="AF1159" i="1"/>
  <c r="AX1159" i="1" s="1"/>
  <c r="AF1160" i="1"/>
  <c r="AX1160" i="1" s="1"/>
  <c r="AF1161" i="1"/>
  <c r="AX1161" i="1" s="1"/>
  <c r="AF1162" i="1"/>
  <c r="AX1162" i="1" s="1"/>
  <c r="AF1163" i="1"/>
  <c r="AX1163" i="1" s="1"/>
  <c r="AF1164" i="1"/>
  <c r="AX1164" i="1" s="1"/>
  <c r="AF1165" i="1"/>
  <c r="AX1165" i="1" s="1"/>
  <c r="AF1166" i="1"/>
  <c r="AX1166" i="1" s="1"/>
  <c r="AF1167" i="1"/>
  <c r="AX1167" i="1" s="1"/>
  <c r="AF1168" i="1"/>
  <c r="AX1168" i="1" s="1"/>
  <c r="AF1169" i="1"/>
  <c r="AX1169" i="1" s="1"/>
  <c r="AF1170" i="1"/>
  <c r="AX1170" i="1" s="1"/>
  <c r="AF1171" i="1"/>
  <c r="AX1171" i="1" s="1"/>
  <c r="AF1172" i="1"/>
  <c r="AX1172" i="1" s="1"/>
  <c r="AF1173" i="1"/>
  <c r="AX1173" i="1" s="1"/>
  <c r="AF1174" i="1"/>
  <c r="AX1174" i="1" s="1"/>
  <c r="AF1175" i="1"/>
  <c r="AX1175" i="1" s="1"/>
  <c r="AF1176" i="1"/>
  <c r="AX1176" i="1" s="1"/>
  <c r="AF1177" i="1"/>
  <c r="AX1177" i="1" s="1"/>
  <c r="AF1178" i="1"/>
  <c r="AX1178" i="1" s="1"/>
  <c r="AF1179" i="1"/>
  <c r="AX1179" i="1" s="1"/>
  <c r="AF1180" i="1"/>
  <c r="AX1180" i="1" s="1"/>
  <c r="AF1181" i="1"/>
  <c r="AX1181" i="1" s="1"/>
  <c r="AF1182" i="1"/>
  <c r="AX1182" i="1" s="1"/>
  <c r="AF1183" i="1"/>
  <c r="AX1183" i="1" s="1"/>
  <c r="AF1184" i="1"/>
  <c r="AX1184" i="1" s="1"/>
  <c r="AF1185" i="1"/>
  <c r="AX1185" i="1" s="1"/>
  <c r="AF1186" i="1"/>
  <c r="AX1186" i="1" s="1"/>
  <c r="AF1187" i="1"/>
  <c r="AX1187" i="1" s="1"/>
  <c r="AF1188" i="1"/>
  <c r="AX1188" i="1" s="1"/>
  <c r="AF1189" i="1"/>
  <c r="AX1189" i="1" s="1"/>
  <c r="AF1190" i="1"/>
  <c r="AX1190" i="1" s="1"/>
  <c r="AF1191" i="1"/>
  <c r="AX1191" i="1" s="1"/>
  <c r="AF1192" i="1"/>
  <c r="AX1192" i="1" s="1"/>
  <c r="AF1193" i="1"/>
  <c r="AX1193" i="1" s="1"/>
  <c r="AF1194" i="1"/>
  <c r="AX1194" i="1" s="1"/>
  <c r="AF1195" i="1"/>
  <c r="AX1195" i="1" s="1"/>
  <c r="AF1196" i="1"/>
  <c r="AX1196" i="1" s="1"/>
  <c r="AF1197" i="1"/>
  <c r="AX1197" i="1" s="1"/>
  <c r="AF1198" i="1"/>
  <c r="AX1198" i="1" s="1"/>
  <c r="AF1199" i="1"/>
  <c r="AX1199" i="1" s="1"/>
  <c r="AF1200" i="1"/>
  <c r="AX1200" i="1" s="1"/>
  <c r="AF1201" i="1"/>
  <c r="AX1201" i="1" s="1"/>
  <c r="AF1202" i="1"/>
  <c r="AX1202" i="1" s="1"/>
  <c r="AF1203" i="1"/>
  <c r="AX1203" i="1" s="1"/>
  <c r="AF1204" i="1"/>
  <c r="AX1204" i="1" s="1"/>
  <c r="AF1205" i="1"/>
  <c r="AX1205" i="1" s="1"/>
  <c r="AF1206" i="1"/>
  <c r="AX1206" i="1" s="1"/>
  <c r="AF1207" i="1"/>
  <c r="AX1207" i="1" s="1"/>
  <c r="AF1208" i="1"/>
  <c r="AX1208" i="1" s="1"/>
  <c r="AF1209" i="1"/>
  <c r="AX1209" i="1" s="1"/>
  <c r="AF1210" i="1"/>
  <c r="AX1210" i="1" s="1"/>
  <c r="AF1211" i="1"/>
  <c r="AX1211" i="1" s="1"/>
  <c r="AF1212" i="1"/>
  <c r="AX1212" i="1" s="1"/>
  <c r="AF1213" i="1"/>
  <c r="AX1213" i="1" s="1"/>
  <c r="AF1214" i="1"/>
  <c r="AX1214" i="1" s="1"/>
  <c r="AF1215" i="1"/>
  <c r="AX1215" i="1" s="1"/>
  <c r="AF1216" i="1"/>
  <c r="AX1216" i="1" s="1"/>
  <c r="AF1217" i="1"/>
  <c r="AX1217" i="1" s="1"/>
  <c r="AF1218" i="1"/>
  <c r="AX1218" i="1" s="1"/>
  <c r="AF1219" i="1"/>
  <c r="AX1219" i="1" s="1"/>
  <c r="AF1220" i="1"/>
  <c r="AX1220" i="1" s="1"/>
  <c r="AF1221" i="1"/>
  <c r="AX1221" i="1" s="1"/>
  <c r="AF1222" i="1"/>
  <c r="AX1222" i="1" s="1"/>
  <c r="AF1223" i="1"/>
  <c r="AX1223" i="1" s="1"/>
  <c r="AF1224" i="1"/>
  <c r="AX1224" i="1" s="1"/>
  <c r="AF1225" i="1"/>
  <c r="AX1225" i="1" s="1"/>
  <c r="AF1226" i="1"/>
  <c r="AX1226" i="1" s="1"/>
  <c r="AF1227" i="1"/>
  <c r="AX1227" i="1" s="1"/>
  <c r="AF1228" i="1"/>
  <c r="AX1228" i="1" s="1"/>
  <c r="AF1229" i="1"/>
  <c r="AX1229" i="1" s="1"/>
  <c r="AF1230" i="1"/>
  <c r="AX1230" i="1" s="1"/>
  <c r="AF1231" i="1"/>
  <c r="AX1231" i="1" s="1"/>
  <c r="AF1232" i="1"/>
  <c r="AX1232" i="1" s="1"/>
  <c r="AF1233" i="1"/>
  <c r="AX1233" i="1" s="1"/>
  <c r="AF1234" i="1"/>
  <c r="AX1234" i="1" s="1"/>
  <c r="AF1235" i="1"/>
  <c r="AX1235" i="1" s="1"/>
  <c r="AF1236" i="1"/>
  <c r="AX1236" i="1" s="1"/>
  <c r="AF1237" i="1"/>
  <c r="AX1237" i="1" s="1"/>
  <c r="AF1238" i="1"/>
  <c r="AX1238" i="1" s="1"/>
  <c r="AF1239" i="1"/>
  <c r="AX1239" i="1" s="1"/>
  <c r="AF1240" i="1"/>
  <c r="AX1240" i="1" s="1"/>
  <c r="AF1241" i="1"/>
  <c r="AX1241" i="1" s="1"/>
  <c r="AF1242" i="1"/>
  <c r="AX1242" i="1" s="1"/>
  <c r="AF1243" i="1"/>
  <c r="AX1243" i="1" s="1"/>
  <c r="AF1244" i="1"/>
  <c r="AX1244" i="1" s="1"/>
  <c r="AF1245" i="1"/>
  <c r="AX1245" i="1" s="1"/>
  <c r="AF1246" i="1"/>
  <c r="AX1246" i="1" s="1"/>
  <c r="AF1247" i="1"/>
  <c r="AX1247" i="1" s="1"/>
  <c r="AF1248" i="1"/>
  <c r="AX1248" i="1" s="1"/>
  <c r="AF1249" i="1"/>
  <c r="AX1249" i="1" s="1"/>
  <c r="AF1250" i="1"/>
  <c r="AX1250" i="1" s="1"/>
  <c r="AF1251" i="1"/>
  <c r="AX1251" i="1" s="1"/>
  <c r="AF1252" i="1"/>
  <c r="AX1252" i="1" s="1"/>
  <c r="AF1253" i="1"/>
  <c r="AX1253" i="1" s="1"/>
  <c r="AF1254" i="1"/>
  <c r="AX1254" i="1" s="1"/>
  <c r="AF1255" i="1"/>
  <c r="AX1255" i="1" s="1"/>
  <c r="AF1256" i="1"/>
  <c r="AX1256" i="1" s="1"/>
  <c r="AF1257" i="1"/>
  <c r="AX1257" i="1" s="1"/>
  <c r="AF1258" i="1"/>
  <c r="AX1258" i="1" s="1"/>
  <c r="AF1259" i="1"/>
  <c r="AX1259" i="1" s="1"/>
  <c r="AF1260" i="1"/>
  <c r="AX1260" i="1" s="1"/>
  <c r="AF1261" i="1"/>
  <c r="AX1261" i="1" s="1"/>
  <c r="AF1262" i="1"/>
  <c r="AX1262" i="1" s="1"/>
  <c r="AF1263" i="1"/>
  <c r="AX1263" i="1" s="1"/>
  <c r="AF1264" i="1"/>
  <c r="AX1264" i="1" s="1"/>
  <c r="AF1265" i="1"/>
  <c r="AX1265" i="1" s="1"/>
  <c r="AF1266" i="1"/>
  <c r="AX1266" i="1" s="1"/>
  <c r="AF1267" i="1"/>
  <c r="AX1267" i="1" s="1"/>
  <c r="AF1268" i="1"/>
  <c r="AX1268" i="1" s="1"/>
  <c r="AF1269" i="1"/>
  <c r="AX1269" i="1" s="1"/>
  <c r="AF1270" i="1"/>
  <c r="AX1270" i="1" s="1"/>
  <c r="AF1271" i="1"/>
  <c r="AX1271" i="1" s="1"/>
  <c r="AF1272" i="1"/>
  <c r="AX1272" i="1" s="1"/>
  <c r="AF1273" i="1"/>
  <c r="AX1273" i="1" s="1"/>
  <c r="AF1274" i="1"/>
  <c r="AX1274" i="1" s="1"/>
  <c r="AF1275" i="1"/>
  <c r="AX1275" i="1" s="1"/>
  <c r="AF1276" i="1"/>
  <c r="AX1276" i="1" s="1"/>
  <c r="AF1277" i="1"/>
  <c r="AX1277" i="1" s="1"/>
  <c r="AF1278" i="1"/>
  <c r="AX1278" i="1" s="1"/>
  <c r="AF1279" i="1"/>
  <c r="AX1279" i="1" s="1"/>
  <c r="AF1280" i="1"/>
  <c r="AX1280" i="1" s="1"/>
  <c r="AF1281" i="1"/>
  <c r="AX1281" i="1" s="1"/>
  <c r="AF1282" i="1"/>
  <c r="AX1282" i="1" s="1"/>
  <c r="AF1283" i="1"/>
  <c r="AX1283" i="1" s="1"/>
  <c r="AF1284" i="1"/>
  <c r="AX1284" i="1" s="1"/>
  <c r="AF1285" i="1"/>
  <c r="AX1285" i="1" s="1"/>
  <c r="AF1286" i="1"/>
  <c r="AX1286" i="1" s="1"/>
  <c r="AF1287" i="1"/>
  <c r="AX1287" i="1" s="1"/>
  <c r="AF1288" i="1"/>
  <c r="AX1288" i="1" s="1"/>
  <c r="AF1289" i="1"/>
  <c r="AX1289" i="1" s="1"/>
  <c r="AF1290" i="1"/>
  <c r="AX1290" i="1" s="1"/>
  <c r="AF1291" i="1"/>
  <c r="AX1291" i="1" s="1"/>
  <c r="AF1292" i="1"/>
  <c r="AX1292" i="1" s="1"/>
  <c r="AF1293" i="1"/>
  <c r="AX1293" i="1" s="1"/>
  <c r="AF1294" i="1"/>
  <c r="AX1294" i="1" s="1"/>
  <c r="AF1295" i="1"/>
  <c r="AX1295" i="1" s="1"/>
  <c r="AF1296" i="1"/>
  <c r="AX1296" i="1" s="1"/>
  <c r="AF1297" i="1"/>
  <c r="AX1297" i="1" s="1"/>
  <c r="AF1298" i="1"/>
  <c r="AX1298" i="1" s="1"/>
  <c r="AF1299" i="1"/>
  <c r="AX1299" i="1" s="1"/>
  <c r="AF1300" i="1"/>
  <c r="AX1300" i="1" s="1"/>
  <c r="AF1301" i="1"/>
  <c r="AX1301" i="1" s="1"/>
  <c r="AF1302" i="1"/>
  <c r="AX1302" i="1" s="1"/>
  <c r="AF1303" i="1"/>
  <c r="AX1303" i="1" s="1"/>
  <c r="AF1304" i="1"/>
  <c r="AX1304" i="1" s="1"/>
  <c r="AF1305" i="1"/>
  <c r="AX1305" i="1" s="1"/>
  <c r="AF1306" i="1"/>
  <c r="AX1306" i="1" s="1"/>
  <c r="AF1307" i="1"/>
  <c r="AX1307" i="1" s="1"/>
  <c r="AF1308" i="1"/>
  <c r="AX1308" i="1" s="1"/>
  <c r="AF1309" i="1"/>
  <c r="AX1309" i="1" s="1"/>
  <c r="AF1310" i="1"/>
  <c r="AX1310" i="1" s="1"/>
  <c r="AF1311" i="1"/>
  <c r="AX1311" i="1" s="1"/>
  <c r="AF1312" i="1"/>
  <c r="AX1312" i="1" s="1"/>
  <c r="AF1313" i="1"/>
  <c r="AX1313" i="1" s="1"/>
  <c r="AF1314" i="1"/>
  <c r="AX1314" i="1" s="1"/>
  <c r="AF1315" i="1"/>
  <c r="AX1315" i="1" s="1"/>
  <c r="AF1316" i="1"/>
  <c r="AX1316" i="1" s="1"/>
  <c r="AF1317" i="1"/>
  <c r="AX1317" i="1" s="1"/>
  <c r="AF1318" i="1"/>
  <c r="AX1318" i="1" s="1"/>
  <c r="AF1319" i="1"/>
  <c r="AX1319" i="1" s="1"/>
  <c r="AF1320" i="1"/>
  <c r="AX1320" i="1" s="1"/>
  <c r="AF1321" i="1"/>
  <c r="AX1321" i="1" s="1"/>
  <c r="AF1322" i="1"/>
  <c r="AX1322" i="1" s="1"/>
  <c r="AF1323" i="1"/>
  <c r="AX1323" i="1" s="1"/>
  <c r="AF1324" i="1"/>
  <c r="AX1324" i="1" s="1"/>
  <c r="AF1325" i="1"/>
  <c r="AX1325" i="1" s="1"/>
  <c r="AF1326" i="1"/>
  <c r="AX1326" i="1" s="1"/>
  <c r="AF1327" i="1"/>
  <c r="AX1327" i="1" s="1"/>
  <c r="AF1328" i="1"/>
  <c r="AX1328" i="1" s="1"/>
  <c r="AF1329" i="1"/>
  <c r="AX1329" i="1" s="1"/>
  <c r="AF1330" i="1"/>
  <c r="AX1330" i="1" s="1"/>
  <c r="AF1331" i="1"/>
  <c r="AX1331" i="1" s="1"/>
  <c r="AF1332" i="1"/>
  <c r="AX1332" i="1" s="1"/>
  <c r="AF1333" i="1"/>
  <c r="AX1333" i="1" s="1"/>
  <c r="AF1334" i="1"/>
  <c r="AX1334" i="1" s="1"/>
  <c r="AF1335" i="1"/>
  <c r="AX1335" i="1" s="1"/>
  <c r="AF1336" i="1"/>
  <c r="AX1336" i="1" s="1"/>
  <c r="AF1337" i="1"/>
  <c r="AX1337" i="1" s="1"/>
  <c r="AF1338" i="1"/>
  <c r="AX1338" i="1" s="1"/>
  <c r="AF1339" i="1"/>
  <c r="AX1339" i="1" s="1"/>
  <c r="AF1340" i="1"/>
  <c r="AX1340" i="1" s="1"/>
  <c r="AF1341" i="1"/>
  <c r="AX1341" i="1" s="1"/>
  <c r="AF1342" i="1"/>
  <c r="AX1342" i="1" s="1"/>
  <c r="AF1343" i="1"/>
  <c r="AX1343" i="1" s="1"/>
  <c r="AF1344" i="1"/>
  <c r="AX1344" i="1" s="1"/>
  <c r="AF1345" i="1"/>
  <c r="AX1345" i="1" s="1"/>
  <c r="AF1346" i="1"/>
  <c r="AX1346" i="1" s="1"/>
  <c r="AF1347" i="1"/>
  <c r="AX1347" i="1" s="1"/>
  <c r="AF1348" i="1"/>
  <c r="AX1348" i="1" s="1"/>
  <c r="AF1349" i="1"/>
  <c r="AX1349" i="1" s="1"/>
  <c r="AF1350" i="1"/>
  <c r="AX1350" i="1" s="1"/>
  <c r="AF1351" i="1"/>
  <c r="AX1351" i="1" s="1"/>
  <c r="AF1352" i="1"/>
  <c r="AX1352" i="1" s="1"/>
  <c r="AF1353" i="1"/>
  <c r="AX1353" i="1" s="1"/>
  <c r="AF1354" i="1"/>
  <c r="AX1354" i="1" s="1"/>
  <c r="AF1355" i="1"/>
  <c r="AX1355" i="1" s="1"/>
  <c r="AF1356" i="1"/>
  <c r="AX1356" i="1" s="1"/>
  <c r="AF1357" i="1"/>
  <c r="AX1357" i="1" s="1"/>
  <c r="AF1358" i="1"/>
  <c r="AX1358" i="1" s="1"/>
  <c r="AF1359" i="1"/>
  <c r="AX1359" i="1" s="1"/>
  <c r="AF1360" i="1"/>
  <c r="AX1360" i="1" s="1"/>
  <c r="AF1361" i="1"/>
  <c r="AX1361" i="1" s="1"/>
  <c r="AF1362" i="1"/>
  <c r="AX1362" i="1" s="1"/>
  <c r="AF1363" i="1"/>
  <c r="AX1363" i="1" s="1"/>
  <c r="AF1364" i="1"/>
  <c r="AX1364" i="1" s="1"/>
  <c r="AF1365" i="1"/>
  <c r="AX1365" i="1" s="1"/>
  <c r="AF1366" i="1"/>
  <c r="AX1366" i="1" s="1"/>
  <c r="AF1367" i="1"/>
  <c r="AX1367" i="1" s="1"/>
  <c r="AF1368" i="1"/>
  <c r="AX1368" i="1" s="1"/>
  <c r="AF1369" i="1"/>
  <c r="AX1369" i="1" s="1"/>
  <c r="AF1370" i="1"/>
  <c r="AX1370" i="1" s="1"/>
  <c r="AF1371" i="1"/>
  <c r="AX1371" i="1" s="1"/>
  <c r="AF1372" i="1"/>
  <c r="AX1372" i="1" s="1"/>
  <c r="AF1373" i="1"/>
  <c r="AX1373" i="1" s="1"/>
  <c r="AF1374" i="1"/>
  <c r="AX1374" i="1" s="1"/>
  <c r="AF1375" i="1"/>
  <c r="AX1375" i="1" s="1"/>
  <c r="AF1376" i="1"/>
  <c r="AX1376" i="1" s="1"/>
  <c r="AF1377" i="1"/>
  <c r="AX1377" i="1" s="1"/>
  <c r="AF1378" i="1"/>
  <c r="AX1378" i="1" s="1"/>
  <c r="AF1379" i="1"/>
  <c r="AX1379" i="1" s="1"/>
  <c r="AF1380" i="1"/>
  <c r="AX1380" i="1" s="1"/>
  <c r="AF1381" i="1"/>
  <c r="AX1381" i="1" s="1"/>
  <c r="AF1382" i="1"/>
  <c r="AX1382" i="1" s="1"/>
  <c r="AF1383" i="1"/>
  <c r="AX1383" i="1" s="1"/>
  <c r="AF1384" i="1"/>
  <c r="AX1384" i="1" s="1"/>
  <c r="AF1385" i="1"/>
  <c r="AX1385" i="1" s="1"/>
  <c r="AF1386" i="1"/>
  <c r="AX1386" i="1" s="1"/>
  <c r="AF1387" i="1"/>
  <c r="AX1387" i="1" s="1"/>
  <c r="AF1388" i="1"/>
  <c r="AX1388" i="1" s="1"/>
  <c r="AF1389" i="1"/>
  <c r="AX1389" i="1" s="1"/>
  <c r="AF1390" i="1"/>
  <c r="AX1390" i="1" s="1"/>
  <c r="AF1391" i="1"/>
  <c r="AX1391" i="1" s="1"/>
  <c r="AF1392" i="1"/>
  <c r="AX1392" i="1" s="1"/>
  <c r="AF1393" i="1"/>
  <c r="AX1393" i="1" s="1"/>
  <c r="AF1394" i="1"/>
  <c r="AX1394" i="1" s="1"/>
  <c r="AF1395" i="1"/>
  <c r="AX1395" i="1" s="1"/>
  <c r="AF1396" i="1"/>
  <c r="AX1396" i="1" s="1"/>
  <c r="AF1397" i="1"/>
  <c r="AX1397" i="1" s="1"/>
  <c r="AF1398" i="1"/>
  <c r="AX1398" i="1" s="1"/>
  <c r="AF1399" i="1"/>
  <c r="AX1399" i="1" s="1"/>
  <c r="AF1400" i="1"/>
  <c r="AX1400" i="1" s="1"/>
  <c r="AF1401" i="1"/>
  <c r="AX1401" i="1" s="1"/>
  <c r="AF1402" i="1"/>
  <c r="AX1402" i="1" s="1"/>
  <c r="AF1403" i="1"/>
  <c r="AX1403" i="1" s="1"/>
  <c r="AF1404" i="1"/>
  <c r="AX1404" i="1" s="1"/>
  <c r="AF1405" i="1"/>
  <c r="AX1405" i="1" s="1"/>
  <c r="AF1406" i="1"/>
  <c r="AX1406" i="1" s="1"/>
  <c r="AF1407" i="1"/>
  <c r="AX1407" i="1" s="1"/>
  <c r="AF1408" i="1"/>
  <c r="AX1408" i="1" s="1"/>
  <c r="AF1409" i="1"/>
  <c r="AX1409" i="1" s="1"/>
  <c r="AF1410" i="1"/>
  <c r="AX1410" i="1" s="1"/>
  <c r="AF1411" i="1"/>
  <c r="AX1411" i="1" s="1"/>
  <c r="AF1412" i="1"/>
  <c r="AX1412" i="1" s="1"/>
  <c r="AF1413" i="1"/>
  <c r="AX1413" i="1" s="1"/>
  <c r="AF1414" i="1"/>
  <c r="AX1414" i="1" s="1"/>
  <c r="AF1415" i="1"/>
  <c r="AX1415" i="1" s="1"/>
  <c r="AF1416" i="1"/>
  <c r="AX1416" i="1" s="1"/>
  <c r="AF1417" i="1"/>
  <c r="AX1417" i="1" s="1"/>
  <c r="AF1418" i="1"/>
  <c r="AX1418" i="1" s="1"/>
  <c r="AF1419" i="1"/>
  <c r="AX1419" i="1" s="1"/>
  <c r="AF1420" i="1"/>
  <c r="AX1420" i="1" s="1"/>
  <c r="AF1421" i="1"/>
  <c r="AX1421" i="1" s="1"/>
  <c r="AF1422" i="1"/>
  <c r="AX1422" i="1" s="1"/>
  <c r="AF1423" i="1"/>
  <c r="AX1423" i="1" s="1"/>
  <c r="AF1424" i="1"/>
  <c r="AX1424" i="1" s="1"/>
  <c r="AF1425" i="1"/>
  <c r="AX1425" i="1" s="1"/>
  <c r="AF1426" i="1"/>
  <c r="AX1426" i="1" s="1"/>
  <c r="AF1427" i="1"/>
  <c r="AX1427" i="1" s="1"/>
  <c r="AF1428" i="1"/>
  <c r="AX1428" i="1" s="1"/>
  <c r="AF1429" i="1"/>
  <c r="AX1429" i="1" s="1"/>
  <c r="AF1430" i="1"/>
  <c r="AX1430" i="1" s="1"/>
  <c r="AF1431" i="1"/>
  <c r="AX1431" i="1" s="1"/>
  <c r="AF1432" i="1"/>
  <c r="AX1432" i="1" s="1"/>
  <c r="AF1433" i="1"/>
  <c r="AX1433" i="1" s="1"/>
  <c r="AF1434" i="1"/>
  <c r="AX1434" i="1" s="1"/>
  <c r="AF1435" i="1"/>
  <c r="AX1435" i="1" s="1"/>
  <c r="AF1436" i="1"/>
  <c r="AX1436" i="1" s="1"/>
  <c r="AF1437" i="1"/>
  <c r="AX1437" i="1" s="1"/>
  <c r="AF1438" i="1"/>
  <c r="AX1438" i="1" s="1"/>
  <c r="AF1439" i="1"/>
  <c r="AX1439" i="1" s="1"/>
  <c r="AF1440" i="1"/>
  <c r="AX1440" i="1" s="1"/>
  <c r="AF1441" i="1"/>
  <c r="AX1441" i="1" s="1"/>
  <c r="AF1442" i="1"/>
  <c r="AX1442" i="1" s="1"/>
  <c r="AF1443" i="1"/>
  <c r="AX1443" i="1" s="1"/>
  <c r="AF1444" i="1"/>
  <c r="AX1444" i="1" s="1"/>
  <c r="AF1445" i="1"/>
  <c r="AX1445" i="1" s="1"/>
  <c r="AF1446" i="1"/>
  <c r="AX1446" i="1" s="1"/>
  <c r="AF1447" i="1"/>
  <c r="AX1447" i="1" s="1"/>
  <c r="AF1448" i="1"/>
  <c r="AX1448" i="1" s="1"/>
  <c r="AF1449" i="1"/>
  <c r="AX1449" i="1" s="1"/>
  <c r="AF1450" i="1"/>
  <c r="AX1450" i="1" s="1"/>
  <c r="AF1451" i="1"/>
  <c r="AX1451" i="1" s="1"/>
  <c r="AF1452" i="1"/>
  <c r="AX1452" i="1" s="1"/>
  <c r="AF1453" i="1"/>
  <c r="AX1453" i="1" s="1"/>
  <c r="AF1454" i="1"/>
  <c r="AX1454" i="1" s="1"/>
  <c r="AF1455" i="1"/>
  <c r="AX1455" i="1" s="1"/>
  <c r="AF1456" i="1"/>
  <c r="AX1456" i="1" s="1"/>
  <c r="AF1457" i="1"/>
  <c r="AX1457" i="1" s="1"/>
  <c r="AF1458" i="1"/>
  <c r="AX1458" i="1" s="1"/>
  <c r="AF1459" i="1"/>
  <c r="AX1459" i="1" s="1"/>
  <c r="AF1460" i="1"/>
  <c r="AX1460" i="1" s="1"/>
  <c r="AF1461" i="1"/>
  <c r="AX1461" i="1" s="1"/>
  <c r="AF1462" i="1"/>
  <c r="AX1462" i="1" s="1"/>
  <c r="AF1463" i="1"/>
  <c r="AX1463" i="1" s="1"/>
  <c r="AF1464" i="1"/>
  <c r="AX1464" i="1" s="1"/>
  <c r="AF1465" i="1"/>
  <c r="AX1465" i="1" s="1"/>
  <c r="AF1466" i="1"/>
  <c r="AX1466" i="1" s="1"/>
  <c r="AF1467" i="1"/>
  <c r="AX1467" i="1" s="1"/>
  <c r="AF1468" i="1"/>
  <c r="AX1468" i="1" s="1"/>
  <c r="AF1469" i="1"/>
  <c r="AX1469" i="1" s="1"/>
  <c r="AF1470" i="1"/>
  <c r="AX1470" i="1" s="1"/>
  <c r="AF1471" i="1"/>
  <c r="AX1471" i="1" s="1"/>
  <c r="AF1472" i="1"/>
  <c r="AX1472" i="1" s="1"/>
  <c r="AF1473" i="1"/>
  <c r="AX1473" i="1" s="1"/>
  <c r="AF1474" i="1"/>
  <c r="AX1474" i="1" s="1"/>
  <c r="AF1475" i="1"/>
  <c r="AX1475" i="1" s="1"/>
  <c r="AF1476" i="1"/>
  <c r="AX1476" i="1" s="1"/>
  <c r="AF1477" i="1"/>
  <c r="AX1477" i="1" s="1"/>
  <c r="AF1478" i="1"/>
  <c r="AX1478" i="1" s="1"/>
  <c r="AF1479" i="1"/>
  <c r="AX1479" i="1" s="1"/>
  <c r="AF1480" i="1"/>
  <c r="AX1480" i="1" s="1"/>
  <c r="AF1481" i="1"/>
  <c r="AX1481" i="1" s="1"/>
  <c r="AF1482" i="1"/>
  <c r="AX1482" i="1" s="1"/>
  <c r="AF1483" i="1"/>
  <c r="AX1483" i="1" s="1"/>
  <c r="AF1484" i="1"/>
  <c r="AX1484" i="1" s="1"/>
  <c r="AF1485" i="1"/>
  <c r="AX1485" i="1" s="1"/>
  <c r="AF1486" i="1"/>
  <c r="AX1486" i="1" s="1"/>
  <c r="AF1487" i="1"/>
  <c r="AX1487" i="1" s="1"/>
  <c r="AF1488" i="1"/>
  <c r="AX1488" i="1" s="1"/>
  <c r="AF1489" i="1"/>
  <c r="AX1489" i="1" s="1"/>
  <c r="AF1490" i="1"/>
  <c r="AX1490" i="1" s="1"/>
  <c r="AF1491" i="1"/>
  <c r="AX1491" i="1" s="1"/>
  <c r="AF1492" i="1"/>
  <c r="AX1492" i="1" s="1"/>
  <c r="AF1493" i="1"/>
  <c r="AX1493" i="1" s="1"/>
  <c r="AF1494" i="1"/>
  <c r="AX1494" i="1" s="1"/>
  <c r="AF1495" i="1"/>
  <c r="AX1495" i="1" s="1"/>
  <c r="AF1496" i="1"/>
  <c r="AX1496" i="1" s="1"/>
  <c r="AF1497" i="1"/>
  <c r="AX1497" i="1" s="1"/>
  <c r="AF1498" i="1"/>
  <c r="AX1498" i="1" s="1"/>
  <c r="AF1499" i="1"/>
  <c r="AX1499" i="1" s="1"/>
  <c r="AF1500" i="1"/>
  <c r="AX1500" i="1" s="1"/>
  <c r="AF1501" i="1"/>
  <c r="AX1501" i="1" s="1"/>
  <c r="AF1502" i="1"/>
  <c r="AX1502" i="1" s="1"/>
  <c r="AF1503" i="1"/>
  <c r="AX1503" i="1" s="1"/>
  <c r="AF1504" i="1"/>
  <c r="AX1504" i="1" s="1"/>
  <c r="AF1505" i="1"/>
  <c r="AX1505" i="1" s="1"/>
  <c r="AF1506" i="1"/>
  <c r="AX1506" i="1" s="1"/>
  <c r="AF1507" i="1"/>
  <c r="AX1507" i="1" s="1"/>
  <c r="AF1508" i="1"/>
  <c r="AX1508" i="1" s="1"/>
  <c r="AF1509" i="1"/>
  <c r="AX1509" i="1" s="1"/>
  <c r="AF1510" i="1"/>
  <c r="AX1510" i="1" s="1"/>
  <c r="AF1511" i="1"/>
  <c r="AX1511" i="1" s="1"/>
  <c r="AF1512" i="1"/>
  <c r="AX1512" i="1" s="1"/>
  <c r="AF1513" i="1"/>
  <c r="AX1513" i="1" s="1"/>
  <c r="AF1514" i="1"/>
  <c r="AX1514" i="1" s="1"/>
  <c r="AF1515" i="1"/>
  <c r="AX1515" i="1" s="1"/>
  <c r="AF1516" i="1"/>
  <c r="AX1516" i="1" s="1"/>
  <c r="AF1517" i="1"/>
  <c r="AX1517" i="1" s="1"/>
  <c r="AF1518" i="1"/>
  <c r="AX1518" i="1" s="1"/>
  <c r="AF1519" i="1"/>
  <c r="AX1519" i="1" s="1"/>
  <c r="AF1520" i="1"/>
  <c r="AX1520" i="1" s="1"/>
  <c r="AF1521" i="1"/>
  <c r="AX1521" i="1" s="1"/>
  <c r="AF1522" i="1"/>
  <c r="AX1522" i="1" s="1"/>
  <c r="AF1523" i="1"/>
  <c r="AX1523" i="1" s="1"/>
  <c r="AF1524" i="1"/>
  <c r="AX1524" i="1" s="1"/>
  <c r="AF1525" i="1"/>
  <c r="AX1525" i="1" s="1"/>
  <c r="AF1526" i="1"/>
  <c r="AX1526" i="1" s="1"/>
  <c r="AF1527" i="1"/>
  <c r="AX1527" i="1" s="1"/>
  <c r="AF1528" i="1"/>
  <c r="AX1528" i="1" s="1"/>
  <c r="AF1529" i="1"/>
  <c r="AX1529" i="1" s="1"/>
  <c r="AF1530" i="1"/>
  <c r="AX1530" i="1" s="1"/>
  <c r="AF1531" i="1"/>
  <c r="AX1531" i="1" s="1"/>
  <c r="AF1532" i="1"/>
  <c r="AX1532" i="1" s="1"/>
  <c r="AF1533" i="1"/>
  <c r="AX1533" i="1" s="1"/>
  <c r="AF1534" i="1"/>
  <c r="AX1534" i="1" s="1"/>
  <c r="AF1535" i="1"/>
  <c r="AX1535" i="1" s="1"/>
  <c r="AF1536" i="1"/>
  <c r="AX1536" i="1" s="1"/>
  <c r="AF1537" i="1"/>
  <c r="AX1537" i="1" s="1"/>
  <c r="AF1538" i="1"/>
  <c r="AX1538" i="1" s="1"/>
  <c r="AF1539" i="1"/>
  <c r="AX1539" i="1" s="1"/>
  <c r="AF1540" i="1"/>
  <c r="AX1540" i="1" s="1"/>
  <c r="AF1541" i="1"/>
  <c r="AX1541" i="1" s="1"/>
  <c r="AF1542" i="1"/>
  <c r="AX1542" i="1" s="1"/>
  <c r="AF1543" i="1"/>
  <c r="AX1543" i="1" s="1"/>
  <c r="AF1544" i="1"/>
  <c r="AX1544" i="1" s="1"/>
  <c r="AF1545" i="1"/>
  <c r="AX1545" i="1" s="1"/>
  <c r="AF1546" i="1"/>
  <c r="AX1546" i="1" s="1"/>
  <c r="AF1547" i="1"/>
  <c r="AX1547" i="1" s="1"/>
  <c r="AF1548" i="1"/>
  <c r="AX1548" i="1" s="1"/>
  <c r="AF1549" i="1"/>
  <c r="AX1549" i="1" s="1"/>
  <c r="AF1550" i="1"/>
  <c r="AX1550" i="1" s="1"/>
  <c r="AF1551" i="1"/>
  <c r="AX1551" i="1" s="1"/>
  <c r="AF1552" i="1"/>
  <c r="AX1552" i="1" s="1"/>
  <c r="AF1553" i="1"/>
  <c r="AX1553" i="1" s="1"/>
  <c r="AF1554" i="1"/>
  <c r="AX1554" i="1" s="1"/>
  <c r="AF1555" i="1"/>
  <c r="AX1555" i="1" s="1"/>
  <c r="AF1556" i="1"/>
  <c r="AX1556" i="1" s="1"/>
  <c r="AF1557" i="1"/>
  <c r="AX1557" i="1" s="1"/>
  <c r="AF1558" i="1"/>
  <c r="AX1558" i="1" s="1"/>
  <c r="AF1559" i="1"/>
  <c r="AX1559" i="1" s="1"/>
  <c r="AF1560" i="1"/>
  <c r="AX1560" i="1" s="1"/>
  <c r="AF1561" i="1"/>
  <c r="AX1561" i="1" s="1"/>
  <c r="AF1562" i="1"/>
  <c r="AX1562" i="1" s="1"/>
  <c r="AF1563" i="1"/>
  <c r="AX1563" i="1" s="1"/>
  <c r="AF1564" i="1"/>
  <c r="AX1564" i="1" s="1"/>
  <c r="AF1565" i="1"/>
  <c r="AX1565" i="1" s="1"/>
  <c r="AF1566" i="1"/>
  <c r="AX1566" i="1" s="1"/>
  <c r="AF1567" i="1"/>
  <c r="AX1567" i="1" s="1"/>
  <c r="AF1568" i="1"/>
  <c r="AX1568" i="1" s="1"/>
  <c r="AF1569" i="1"/>
  <c r="AX1569" i="1" s="1"/>
  <c r="AF1570" i="1"/>
  <c r="AX1570" i="1" s="1"/>
  <c r="AF1571" i="1"/>
  <c r="AX1571" i="1" s="1"/>
  <c r="AF1572" i="1"/>
  <c r="AX1572" i="1" s="1"/>
  <c r="AF1573" i="1"/>
  <c r="AX1573" i="1" s="1"/>
  <c r="AF1574" i="1"/>
  <c r="AX1574" i="1" s="1"/>
  <c r="AF1575" i="1"/>
  <c r="AX1575" i="1" s="1"/>
  <c r="AF1576" i="1"/>
  <c r="AX1576" i="1" s="1"/>
  <c r="AF1577" i="1"/>
  <c r="AX1577" i="1" s="1"/>
  <c r="AF1578" i="1"/>
  <c r="AX1578" i="1" s="1"/>
  <c r="AF1579" i="1"/>
  <c r="AX1579" i="1" s="1"/>
  <c r="AF1580" i="1"/>
  <c r="AX1580" i="1" s="1"/>
  <c r="AF1581" i="1"/>
  <c r="AX1581" i="1" s="1"/>
  <c r="AF1582" i="1"/>
  <c r="AX1582" i="1" s="1"/>
  <c r="AF1583" i="1"/>
  <c r="AX1583" i="1" s="1"/>
  <c r="AF1584" i="1"/>
  <c r="AX1584" i="1" s="1"/>
  <c r="AF1585" i="1"/>
  <c r="AX1585" i="1" s="1"/>
  <c r="AF1586" i="1"/>
  <c r="AX1586" i="1" s="1"/>
  <c r="AF1587" i="1"/>
  <c r="AX1587" i="1" s="1"/>
  <c r="AF1588" i="1"/>
  <c r="AX1588" i="1" s="1"/>
  <c r="AF1589" i="1"/>
  <c r="AX1589" i="1" s="1"/>
  <c r="AF1590" i="1"/>
  <c r="AX1590" i="1" s="1"/>
  <c r="AF1591" i="1"/>
  <c r="AX1591" i="1" s="1"/>
  <c r="AF1592" i="1"/>
  <c r="AX1592" i="1" s="1"/>
  <c r="AF1593" i="1"/>
  <c r="AX1593" i="1" s="1"/>
  <c r="AF1594" i="1"/>
  <c r="AX1594" i="1" s="1"/>
  <c r="AF1595" i="1"/>
  <c r="AX1595" i="1" s="1"/>
  <c r="AF1596" i="1"/>
  <c r="AX1596" i="1" s="1"/>
  <c r="AF1597" i="1"/>
  <c r="AX1597" i="1" s="1"/>
  <c r="AF1598" i="1"/>
  <c r="AX1598" i="1" s="1"/>
  <c r="AF1599" i="1"/>
  <c r="AX1599" i="1" s="1"/>
  <c r="AF1600" i="1"/>
  <c r="AX1600" i="1" s="1"/>
  <c r="AF1601" i="1"/>
  <c r="AX1601" i="1" s="1"/>
  <c r="AF1602" i="1"/>
  <c r="AX1602" i="1" s="1"/>
  <c r="AF1603" i="1"/>
  <c r="AX1603" i="1" s="1"/>
  <c r="AF1604" i="1"/>
  <c r="AX1604" i="1" s="1"/>
  <c r="AF1605" i="1"/>
  <c r="AX1605" i="1" s="1"/>
  <c r="AF1606" i="1"/>
  <c r="AX1606" i="1" s="1"/>
  <c r="AF1607" i="1"/>
  <c r="AX1607" i="1" s="1"/>
  <c r="AF1608" i="1"/>
  <c r="AX1608" i="1" s="1"/>
  <c r="AF1609" i="1"/>
  <c r="AX1609" i="1" s="1"/>
  <c r="AF1610" i="1"/>
  <c r="AX1610" i="1" s="1"/>
  <c r="AF1611" i="1"/>
  <c r="AX1611" i="1" s="1"/>
  <c r="AF1612" i="1"/>
  <c r="AX1612" i="1" s="1"/>
  <c r="AF1613" i="1"/>
  <c r="AX1613" i="1" s="1"/>
  <c r="AF1614" i="1"/>
  <c r="AX1614" i="1" s="1"/>
  <c r="AF1615" i="1"/>
  <c r="AX1615" i="1" s="1"/>
  <c r="AF1616" i="1"/>
  <c r="AX1616" i="1" s="1"/>
  <c r="AF1617" i="1"/>
  <c r="AX1617" i="1" s="1"/>
  <c r="AF1618" i="1"/>
  <c r="AX1618" i="1" s="1"/>
  <c r="AF1619" i="1"/>
  <c r="AX1619" i="1" s="1"/>
  <c r="AF1620" i="1"/>
  <c r="AX1620" i="1" s="1"/>
  <c r="AF1621" i="1"/>
  <c r="AX1621" i="1" s="1"/>
  <c r="AF1622" i="1"/>
  <c r="AX1622" i="1" s="1"/>
  <c r="AF1623" i="1"/>
  <c r="AX1623" i="1" s="1"/>
  <c r="AF1624" i="1"/>
  <c r="AX1624" i="1" s="1"/>
  <c r="AF1625" i="1"/>
  <c r="AX1625" i="1" s="1"/>
  <c r="AF1626" i="1"/>
  <c r="AX1626" i="1" s="1"/>
  <c r="AF1627" i="1"/>
  <c r="AX1627" i="1" s="1"/>
  <c r="AF1628" i="1"/>
  <c r="AX1628" i="1" s="1"/>
  <c r="AF1629" i="1"/>
  <c r="AX1629" i="1" s="1"/>
  <c r="AF1630" i="1"/>
  <c r="AX1630" i="1" s="1"/>
  <c r="AF1631" i="1"/>
  <c r="AX1631" i="1" s="1"/>
  <c r="AF1632" i="1"/>
  <c r="AX1632" i="1" s="1"/>
  <c r="AF1633" i="1"/>
  <c r="AX1633" i="1" s="1"/>
  <c r="AF1634" i="1"/>
  <c r="AX1634" i="1" s="1"/>
  <c r="AF1635" i="1"/>
  <c r="AX1635" i="1" s="1"/>
  <c r="AF1636" i="1"/>
  <c r="AX1636" i="1" s="1"/>
  <c r="AF1637" i="1"/>
  <c r="AX1637" i="1" s="1"/>
  <c r="AF1638" i="1"/>
  <c r="AX1638" i="1" s="1"/>
  <c r="AF1639" i="1"/>
  <c r="AX1639" i="1" s="1"/>
  <c r="AF1640" i="1"/>
  <c r="AX1640" i="1" s="1"/>
  <c r="AF1641" i="1"/>
  <c r="AX1641" i="1" s="1"/>
  <c r="AF1642" i="1"/>
  <c r="AX1642" i="1" s="1"/>
  <c r="AF1643" i="1"/>
  <c r="AX1643" i="1" s="1"/>
  <c r="AF1644" i="1"/>
  <c r="AX1644" i="1" s="1"/>
  <c r="AF1645" i="1"/>
  <c r="AX1645" i="1" s="1"/>
  <c r="AF1646" i="1"/>
  <c r="AX1646" i="1" s="1"/>
  <c r="AF1647" i="1"/>
  <c r="AX1647" i="1" s="1"/>
  <c r="AF1648" i="1"/>
  <c r="AX1648" i="1" s="1"/>
  <c r="AF1649" i="1"/>
  <c r="AX1649" i="1" s="1"/>
  <c r="AF1650" i="1"/>
  <c r="AX1650" i="1" s="1"/>
  <c r="AF1651" i="1"/>
  <c r="AX1651" i="1" s="1"/>
  <c r="AF1652" i="1"/>
  <c r="AX1652" i="1" s="1"/>
  <c r="AF1653" i="1"/>
  <c r="AX1653" i="1" s="1"/>
  <c r="AF1654" i="1"/>
  <c r="AX1654" i="1" s="1"/>
  <c r="AF1655" i="1"/>
  <c r="AX1655" i="1" s="1"/>
  <c r="AF1656" i="1"/>
  <c r="AX1656" i="1" s="1"/>
  <c r="AF1657" i="1"/>
  <c r="AX1657" i="1" s="1"/>
  <c r="AF1658" i="1"/>
  <c r="AX1658" i="1" s="1"/>
  <c r="AF1659" i="1"/>
  <c r="AX1659" i="1" s="1"/>
  <c r="AF1660" i="1"/>
  <c r="AX1660" i="1" s="1"/>
  <c r="AF1661" i="1"/>
  <c r="AX1661" i="1" s="1"/>
  <c r="AF1662" i="1"/>
  <c r="AX1662" i="1" s="1"/>
  <c r="AF1663" i="1"/>
  <c r="AX1663" i="1" s="1"/>
  <c r="AF1664" i="1"/>
  <c r="AX1664" i="1" s="1"/>
  <c r="AF1665" i="1"/>
  <c r="AX1665" i="1" s="1"/>
  <c r="AF1666" i="1"/>
  <c r="AX1666" i="1" s="1"/>
  <c r="AF1667" i="1"/>
  <c r="AX1667" i="1" s="1"/>
  <c r="AF1668" i="1"/>
  <c r="AX1668" i="1" s="1"/>
  <c r="AF1669" i="1"/>
  <c r="AX1669" i="1" s="1"/>
  <c r="AF1670" i="1"/>
  <c r="AX1670" i="1" s="1"/>
  <c r="AF1671" i="1"/>
  <c r="AX1671" i="1" s="1"/>
  <c r="AF1672" i="1"/>
  <c r="AX1672" i="1" s="1"/>
  <c r="AF1673" i="1"/>
  <c r="AX1673" i="1" s="1"/>
  <c r="AF1674" i="1"/>
  <c r="AX1674" i="1" s="1"/>
  <c r="AF1675" i="1"/>
  <c r="AX1675" i="1" s="1"/>
  <c r="AF1676" i="1"/>
  <c r="AX1676" i="1" s="1"/>
  <c r="AF1677" i="1"/>
  <c r="AX1677" i="1" s="1"/>
  <c r="AF1678" i="1"/>
  <c r="AX1678" i="1" s="1"/>
  <c r="AF1679" i="1"/>
  <c r="AX1679" i="1" s="1"/>
  <c r="AF1680" i="1"/>
  <c r="AX1680" i="1" s="1"/>
  <c r="AF1681" i="1"/>
  <c r="AX1681" i="1" s="1"/>
  <c r="AF1682" i="1"/>
  <c r="AX1682" i="1" s="1"/>
  <c r="AF1683" i="1"/>
  <c r="AX1683" i="1" s="1"/>
  <c r="AF1684" i="1"/>
  <c r="AX1684" i="1" s="1"/>
  <c r="AF1685" i="1"/>
  <c r="AX1685" i="1" s="1"/>
  <c r="AF1686" i="1"/>
  <c r="AX1686" i="1" s="1"/>
  <c r="AF1687" i="1"/>
  <c r="AX1687" i="1" s="1"/>
  <c r="AF1688" i="1"/>
  <c r="AX1688" i="1" s="1"/>
  <c r="AF1689" i="1"/>
  <c r="AX1689" i="1" s="1"/>
  <c r="AF1690" i="1"/>
  <c r="AX1690" i="1" s="1"/>
  <c r="AF1691" i="1"/>
  <c r="AX1691" i="1" s="1"/>
  <c r="AF1692" i="1"/>
  <c r="AX1692" i="1" s="1"/>
  <c r="AF1693" i="1"/>
  <c r="AX1693" i="1" s="1"/>
  <c r="AF1694" i="1"/>
  <c r="AX1694" i="1" s="1"/>
  <c r="AF1695" i="1"/>
  <c r="AX1695" i="1" s="1"/>
  <c r="AF1696" i="1"/>
  <c r="AX1696" i="1" s="1"/>
  <c r="AF1697" i="1"/>
  <c r="AX1697" i="1" s="1"/>
  <c r="AF1698" i="1"/>
  <c r="AX1698" i="1" s="1"/>
  <c r="AF1699" i="1"/>
  <c r="AX1699" i="1" s="1"/>
  <c r="AF1700" i="1"/>
  <c r="AX1700" i="1" s="1"/>
  <c r="AF1701" i="1"/>
  <c r="AX1701" i="1" s="1"/>
  <c r="AF1702" i="1"/>
  <c r="AX1702" i="1" s="1"/>
  <c r="AF1703" i="1"/>
  <c r="AX1703" i="1" s="1"/>
  <c r="AF1704" i="1"/>
  <c r="AX1704" i="1" s="1"/>
  <c r="AF1705" i="1"/>
  <c r="AX1705" i="1" s="1"/>
  <c r="AF1706" i="1"/>
  <c r="AX1706" i="1" s="1"/>
  <c r="AF1707" i="1"/>
  <c r="AX1707" i="1" s="1"/>
  <c r="AF1708" i="1"/>
  <c r="AX1708" i="1" s="1"/>
  <c r="AF1709" i="1"/>
  <c r="AX1709" i="1" s="1"/>
  <c r="AF1710" i="1"/>
  <c r="AX1710" i="1" s="1"/>
  <c r="AF1711" i="1"/>
  <c r="AX1711" i="1" s="1"/>
  <c r="AF1712" i="1"/>
  <c r="AX1712" i="1" s="1"/>
  <c r="AF1713" i="1"/>
  <c r="AX1713" i="1" s="1"/>
  <c r="AF1714" i="1"/>
  <c r="AX1714" i="1" s="1"/>
  <c r="AF1715" i="1"/>
  <c r="AX1715" i="1" s="1"/>
  <c r="AF1716" i="1"/>
  <c r="AX1716" i="1" s="1"/>
  <c r="AF1717" i="1"/>
  <c r="AX1717" i="1" s="1"/>
  <c r="AF1718" i="1"/>
  <c r="AX1718" i="1" s="1"/>
  <c r="AF1719" i="1"/>
  <c r="AX1719" i="1" s="1"/>
  <c r="AF1720" i="1"/>
  <c r="AX1720" i="1" s="1"/>
  <c r="AF1721" i="1"/>
  <c r="AX1721" i="1" s="1"/>
  <c r="AF1722" i="1"/>
  <c r="AX1722" i="1" s="1"/>
  <c r="AF1723" i="1"/>
  <c r="AX1723" i="1" s="1"/>
  <c r="AF1724" i="1"/>
  <c r="AX1724" i="1" s="1"/>
  <c r="AF1725" i="1"/>
  <c r="AX1725" i="1" s="1"/>
  <c r="AF1726" i="1"/>
  <c r="AX1726" i="1" s="1"/>
  <c r="AF1727" i="1"/>
  <c r="AX1727" i="1" s="1"/>
  <c r="AF1728" i="1"/>
  <c r="AX1728" i="1" s="1"/>
  <c r="AF1729" i="1"/>
  <c r="AX1729" i="1" s="1"/>
  <c r="AF1730" i="1"/>
  <c r="AX1730" i="1" s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Q3" i="1"/>
  <c r="Q4" i="1"/>
  <c r="Q5" i="1"/>
  <c r="B8" i="182" s="1"/>
  <c r="Q6" i="1"/>
  <c r="Q7" i="1"/>
  <c r="Q8" i="1"/>
  <c r="B12" i="182" s="1"/>
  <c r="Q9" i="1"/>
  <c r="Q10" i="1"/>
  <c r="Q11" i="1"/>
  <c r="B9" i="182" s="1"/>
  <c r="Q12" i="1"/>
  <c r="Q13" i="1"/>
  <c r="B13" i="182" s="1"/>
  <c r="N13" i="182" s="1"/>
  <c r="Q14" i="1"/>
  <c r="Q15" i="1"/>
  <c r="B14" i="182" s="1"/>
  <c r="N14" i="182" s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B20" i="182" s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B3" i="182" s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B18" i="182" s="1"/>
  <c r="N18" i="182" s="1"/>
  <c r="Q474" i="1"/>
  <c r="B19" i="182" s="1"/>
  <c r="N19" i="182" s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B22" i="182" s="1"/>
  <c r="Q490" i="1"/>
  <c r="B23" i="182" s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B4" i="182" s="1"/>
  <c r="N4" i="182" s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B2" i="182" s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B5" i="182" s="1"/>
  <c r="N5" i="182" s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B16" i="182" s="1"/>
  <c r="Q1131" i="1"/>
  <c r="Q1132" i="1"/>
  <c r="Q1133" i="1"/>
  <c r="Q1134" i="1"/>
  <c r="Q1135" i="1"/>
  <c r="Q1136" i="1"/>
  <c r="Q1137" i="1"/>
  <c r="Q1138" i="1"/>
  <c r="Q1139" i="1"/>
  <c r="Q1140" i="1"/>
  <c r="Q1141" i="1"/>
  <c r="B15" i="182" s="1"/>
  <c r="N15" i="182" s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B24" i="182" s="1"/>
  <c r="N24" i="182" s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B6" i="182" s="1"/>
  <c r="S6" i="182" s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B10" i="182" s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B17" i="182" s="1"/>
  <c r="N17" i="182" s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B7" i="182" s="1"/>
  <c r="N7" i="182" s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B11" i="182" s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B21" i="182" s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P3" i="1"/>
  <c r="P4" i="1"/>
  <c r="P5" i="1"/>
  <c r="D8" i="182" s="1"/>
  <c r="P6" i="1"/>
  <c r="P7" i="1"/>
  <c r="P8" i="1"/>
  <c r="D12" i="182" s="1"/>
  <c r="P9" i="1"/>
  <c r="P10" i="1"/>
  <c r="P11" i="1"/>
  <c r="D9" i="182" s="1"/>
  <c r="P12" i="1"/>
  <c r="P13" i="1"/>
  <c r="D13" i="182" s="1"/>
  <c r="P14" i="1"/>
  <c r="P15" i="1"/>
  <c r="D14" i="182" s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D20" i="182" s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D3" i="182" s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D18" i="182" s="1"/>
  <c r="P474" i="1"/>
  <c r="D19" i="182" s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D22" i="182" s="1"/>
  <c r="P490" i="1"/>
  <c r="D23" i="182" s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D4" i="182" s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D2" i="182" s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D5" i="182" s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D16" i="182" s="1"/>
  <c r="P1131" i="1"/>
  <c r="P1132" i="1"/>
  <c r="P1133" i="1"/>
  <c r="P1134" i="1"/>
  <c r="P1135" i="1"/>
  <c r="P1136" i="1"/>
  <c r="P1137" i="1"/>
  <c r="P1138" i="1"/>
  <c r="P1139" i="1"/>
  <c r="P1140" i="1"/>
  <c r="P1141" i="1"/>
  <c r="D15" i="182" s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D24" i="182" s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D6" i="182" s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D10" i="182" s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D17" i="182" s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D7" i="182" s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D11" i="182" s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D21" i="182" s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S2" i="1"/>
  <c r="AR2" i="1"/>
  <c r="U2" i="1" s="1"/>
  <c r="AQ2" i="1"/>
  <c r="AP2" i="1"/>
  <c r="AL2" i="1"/>
  <c r="AJ2" i="1"/>
  <c r="AI2" i="1"/>
  <c r="AH2" i="1"/>
  <c r="AG2" i="1"/>
  <c r="AF2" i="1"/>
  <c r="AX2" i="1" s="1"/>
  <c r="AZ2" i="1" s="1"/>
  <c r="AB2" i="1"/>
  <c r="Q2" i="1"/>
  <c r="P2" i="1"/>
  <c r="L2" i="1"/>
  <c r="K2" i="1"/>
  <c r="J2" i="1"/>
  <c r="I2" i="1"/>
  <c r="H2" i="1"/>
  <c r="G2" i="1"/>
  <c r="F2" i="1"/>
  <c r="E2" i="1"/>
  <c r="D2" i="1"/>
  <c r="C2" i="1"/>
  <c r="B2" i="1"/>
  <c r="A2" i="1"/>
  <c r="J3" i="74"/>
  <c r="J4" i="74"/>
  <c r="J5" i="74"/>
  <c r="J6" i="74"/>
  <c r="J7" i="74"/>
  <c r="J8" i="74"/>
  <c r="J9" i="74"/>
  <c r="J10" i="74"/>
  <c r="J11" i="74"/>
  <c r="J12" i="74"/>
  <c r="J13" i="74"/>
  <c r="J14" i="74"/>
  <c r="J15" i="74"/>
  <c r="J16" i="74"/>
  <c r="J17" i="74"/>
  <c r="J18" i="74"/>
  <c r="J19" i="74"/>
  <c r="J20" i="74"/>
  <c r="J21" i="74"/>
  <c r="J22" i="74"/>
  <c r="J23" i="74"/>
  <c r="J24" i="74"/>
  <c r="J25" i="74"/>
  <c r="J26" i="74"/>
  <c r="J27" i="74"/>
  <c r="J28" i="74"/>
  <c r="J29" i="74"/>
  <c r="J30" i="74"/>
  <c r="J31" i="74"/>
  <c r="J32" i="74"/>
  <c r="J33" i="74"/>
  <c r="J34" i="74"/>
  <c r="J35" i="74"/>
  <c r="J36" i="74"/>
  <c r="J37" i="74"/>
  <c r="J38" i="74"/>
  <c r="J39" i="74"/>
  <c r="J40" i="74"/>
  <c r="J41" i="74"/>
  <c r="J42" i="74"/>
  <c r="J43" i="74"/>
  <c r="J44" i="74"/>
  <c r="J45" i="74"/>
  <c r="J46" i="74"/>
  <c r="J47" i="74"/>
  <c r="J48" i="74"/>
  <c r="J49" i="74"/>
  <c r="J50" i="74"/>
  <c r="J51" i="74"/>
  <c r="J52" i="74"/>
  <c r="J53" i="74"/>
  <c r="J54" i="74"/>
  <c r="J55" i="74"/>
  <c r="J56" i="74"/>
  <c r="J57" i="74"/>
  <c r="J58" i="74"/>
  <c r="J59" i="74"/>
  <c r="J60" i="74"/>
  <c r="J61" i="74"/>
  <c r="J62" i="74"/>
  <c r="J63" i="74"/>
  <c r="J64" i="74"/>
  <c r="J65" i="74"/>
  <c r="J66" i="74"/>
  <c r="J67" i="74"/>
  <c r="J68" i="74"/>
  <c r="J69" i="74"/>
  <c r="J70" i="74"/>
  <c r="J71" i="74"/>
  <c r="J72" i="74"/>
  <c r="J73" i="74"/>
  <c r="J74" i="74"/>
  <c r="J75" i="74"/>
  <c r="J76" i="74"/>
  <c r="J77" i="74"/>
  <c r="J78" i="74"/>
  <c r="J79" i="74"/>
  <c r="J80" i="74"/>
  <c r="J81" i="74"/>
  <c r="J82" i="74"/>
  <c r="J83" i="74"/>
  <c r="J84" i="74"/>
  <c r="J85" i="74"/>
  <c r="J86" i="74"/>
  <c r="J87" i="74"/>
  <c r="J88" i="74"/>
  <c r="J89" i="74"/>
  <c r="J90" i="74"/>
  <c r="J91" i="74"/>
  <c r="J92" i="74"/>
  <c r="J93" i="74"/>
  <c r="J94" i="74"/>
  <c r="J95" i="74"/>
  <c r="J96" i="74"/>
  <c r="J97" i="74"/>
  <c r="J98" i="74"/>
  <c r="J99" i="74"/>
  <c r="J100" i="74"/>
  <c r="J101" i="74"/>
  <c r="J102" i="74"/>
  <c r="J103" i="74"/>
  <c r="J104" i="74"/>
  <c r="J105" i="74"/>
  <c r="J106" i="74"/>
  <c r="J107" i="74"/>
  <c r="J108" i="74"/>
  <c r="J109" i="74"/>
  <c r="J110" i="74"/>
  <c r="J111" i="74"/>
  <c r="J112" i="74"/>
  <c r="J113" i="74"/>
  <c r="J114" i="74"/>
  <c r="J115" i="74"/>
  <c r="J116" i="74"/>
  <c r="J117" i="74"/>
  <c r="J118" i="74"/>
  <c r="J119" i="74"/>
  <c r="J120" i="74"/>
  <c r="J121" i="74"/>
  <c r="J122" i="74"/>
  <c r="J123" i="74"/>
  <c r="J124" i="74"/>
  <c r="J125" i="74"/>
  <c r="J126" i="74"/>
  <c r="J127" i="74"/>
  <c r="J128" i="74"/>
  <c r="J129" i="74"/>
  <c r="J130" i="74"/>
  <c r="J131" i="74"/>
  <c r="J132" i="74"/>
  <c r="J133" i="74"/>
  <c r="J134" i="74"/>
  <c r="J135" i="74"/>
  <c r="J136" i="74"/>
  <c r="J137" i="74"/>
  <c r="J138" i="74"/>
  <c r="J139" i="74"/>
  <c r="J140" i="74"/>
  <c r="J141" i="74"/>
  <c r="J142" i="74"/>
  <c r="J143" i="74"/>
  <c r="J144" i="74"/>
  <c r="J145" i="74"/>
  <c r="J146" i="74"/>
  <c r="J147" i="74"/>
  <c r="J148" i="74"/>
  <c r="J149" i="74"/>
  <c r="J150" i="74"/>
  <c r="J151" i="74"/>
  <c r="J152" i="74"/>
  <c r="J153" i="74"/>
  <c r="J154" i="74"/>
  <c r="J155" i="74"/>
  <c r="J156" i="74"/>
  <c r="J157" i="74"/>
  <c r="J158" i="74"/>
  <c r="J159" i="74"/>
  <c r="J160" i="74"/>
  <c r="J161" i="74"/>
  <c r="J162" i="74"/>
  <c r="J163" i="74"/>
  <c r="J164" i="74"/>
  <c r="J165" i="74"/>
  <c r="J166" i="74"/>
  <c r="J167" i="74"/>
  <c r="J168" i="74"/>
  <c r="J169" i="74"/>
  <c r="J170" i="74"/>
  <c r="J171" i="74"/>
  <c r="J172" i="74"/>
  <c r="J173" i="74"/>
  <c r="J174" i="74"/>
  <c r="J175" i="74"/>
  <c r="J176" i="74"/>
  <c r="J177" i="74"/>
  <c r="J178" i="74"/>
  <c r="J179" i="74"/>
  <c r="J180" i="74"/>
  <c r="J181" i="74"/>
  <c r="J182" i="74"/>
  <c r="J183" i="74"/>
  <c r="J184" i="74"/>
  <c r="J185" i="74"/>
  <c r="J186" i="74"/>
  <c r="J187" i="74"/>
  <c r="J188" i="74"/>
  <c r="J189" i="74"/>
  <c r="J190" i="74"/>
  <c r="J191" i="74"/>
  <c r="J192" i="74"/>
  <c r="J193" i="74"/>
  <c r="J194" i="74"/>
  <c r="J195" i="74"/>
  <c r="J196" i="74"/>
  <c r="J197" i="74"/>
  <c r="J198" i="74"/>
  <c r="J199" i="74"/>
  <c r="J200" i="74"/>
  <c r="J201" i="74"/>
  <c r="J202" i="74"/>
  <c r="J203" i="74"/>
  <c r="J204" i="74"/>
  <c r="J205" i="74"/>
  <c r="J206" i="74"/>
  <c r="J207" i="74"/>
  <c r="J208" i="74"/>
  <c r="J209" i="74"/>
  <c r="J210" i="74"/>
  <c r="J211" i="74"/>
  <c r="J212" i="74"/>
  <c r="J213" i="74"/>
  <c r="J214" i="74"/>
  <c r="J215" i="74"/>
  <c r="J216" i="74"/>
  <c r="J217" i="74"/>
  <c r="J218" i="74"/>
  <c r="J219" i="74"/>
  <c r="J220" i="74"/>
  <c r="J221" i="74"/>
  <c r="J222" i="74"/>
  <c r="J223" i="74"/>
  <c r="J224" i="74"/>
  <c r="J225" i="74"/>
  <c r="J226" i="74"/>
  <c r="J227" i="74"/>
  <c r="J228" i="74"/>
  <c r="J229" i="74"/>
  <c r="J230" i="74"/>
  <c r="J231" i="74"/>
  <c r="J232" i="74"/>
  <c r="J233" i="74"/>
  <c r="J234" i="74"/>
  <c r="J235" i="74"/>
  <c r="J236" i="74"/>
  <c r="J237" i="74"/>
  <c r="J238" i="74"/>
  <c r="J239" i="74"/>
  <c r="J240" i="74"/>
  <c r="J241" i="74"/>
  <c r="J242" i="74"/>
  <c r="J243" i="74"/>
  <c r="J244" i="74"/>
  <c r="J245" i="74"/>
  <c r="J246" i="74"/>
  <c r="J247" i="74"/>
  <c r="J248" i="74"/>
  <c r="J249" i="74"/>
  <c r="J250" i="74"/>
  <c r="J251" i="74"/>
  <c r="J252" i="74"/>
  <c r="J253" i="74"/>
  <c r="J254" i="74"/>
  <c r="J255" i="74"/>
  <c r="J256" i="74"/>
  <c r="J257" i="74"/>
  <c r="J258" i="74"/>
  <c r="J259" i="74"/>
  <c r="J260" i="74"/>
  <c r="J261" i="74"/>
  <c r="J262" i="74"/>
  <c r="J263" i="74"/>
  <c r="J264" i="74"/>
  <c r="J265" i="74"/>
  <c r="J266" i="74"/>
  <c r="J267" i="74"/>
  <c r="J268" i="74"/>
  <c r="J269" i="74"/>
  <c r="J270" i="74"/>
  <c r="J271" i="74"/>
  <c r="J272" i="74"/>
  <c r="J273" i="74"/>
  <c r="J274" i="74"/>
  <c r="J275" i="74"/>
  <c r="J276" i="74"/>
  <c r="J277" i="74"/>
  <c r="J278" i="74"/>
  <c r="J279" i="74"/>
  <c r="J280" i="74"/>
  <c r="J281" i="74"/>
  <c r="J282" i="74"/>
  <c r="J283" i="74"/>
  <c r="J284" i="74"/>
  <c r="J285" i="74"/>
  <c r="J286" i="74"/>
  <c r="J287" i="74"/>
  <c r="J288" i="74"/>
  <c r="J289" i="74"/>
  <c r="J290" i="74"/>
  <c r="J291" i="74"/>
  <c r="J292" i="74"/>
  <c r="J293" i="74"/>
  <c r="J294" i="74"/>
  <c r="J295" i="74"/>
  <c r="J296" i="74"/>
  <c r="J297" i="74"/>
  <c r="J298" i="74"/>
  <c r="J299" i="74"/>
  <c r="J300" i="74"/>
  <c r="J301" i="74"/>
  <c r="J302" i="74"/>
  <c r="J303" i="74"/>
  <c r="J304" i="74"/>
  <c r="J305" i="74"/>
  <c r="J306" i="74"/>
  <c r="J307" i="74"/>
  <c r="J308" i="74"/>
  <c r="J309" i="74"/>
  <c r="J310" i="74"/>
  <c r="J311" i="74"/>
  <c r="J312" i="74"/>
  <c r="J313" i="74"/>
  <c r="J314" i="74"/>
  <c r="J315" i="74"/>
  <c r="J316" i="74"/>
  <c r="J317" i="74"/>
  <c r="J318" i="74"/>
  <c r="J319" i="74"/>
  <c r="J320" i="74"/>
  <c r="J321" i="74"/>
  <c r="J322" i="74"/>
  <c r="J323" i="74"/>
  <c r="J324" i="74"/>
  <c r="J325" i="74"/>
  <c r="J326" i="74"/>
  <c r="J327" i="74"/>
  <c r="J328" i="74"/>
  <c r="J329" i="74"/>
  <c r="J330" i="74"/>
  <c r="J331" i="74"/>
  <c r="J332" i="74"/>
  <c r="J333" i="74"/>
  <c r="J334" i="74"/>
  <c r="J335" i="74"/>
  <c r="J336" i="74"/>
  <c r="J337" i="74"/>
  <c r="J338" i="74"/>
  <c r="J339" i="74"/>
  <c r="J340" i="74"/>
  <c r="J341" i="74"/>
  <c r="J342" i="74"/>
  <c r="J343" i="74"/>
  <c r="J344" i="74"/>
  <c r="J345" i="74"/>
  <c r="J346" i="74"/>
  <c r="J347" i="74"/>
  <c r="J348" i="74"/>
  <c r="J349" i="74"/>
  <c r="J350" i="74"/>
  <c r="J351" i="74"/>
  <c r="J352" i="74"/>
  <c r="J353" i="74"/>
  <c r="J354" i="74"/>
  <c r="J355" i="74"/>
  <c r="J356" i="74"/>
  <c r="J357" i="74"/>
  <c r="J358" i="74"/>
  <c r="J359" i="74"/>
  <c r="J360" i="74"/>
  <c r="J361" i="74"/>
  <c r="J362" i="74"/>
  <c r="J363" i="74"/>
  <c r="J364" i="74"/>
  <c r="J365" i="74"/>
  <c r="J366" i="74"/>
  <c r="J367" i="74"/>
  <c r="J368" i="74"/>
  <c r="J369" i="74"/>
  <c r="J370" i="74"/>
  <c r="J371" i="74"/>
  <c r="J372" i="74"/>
  <c r="J373" i="74"/>
  <c r="J374" i="74"/>
  <c r="J375" i="74"/>
  <c r="J376" i="74"/>
  <c r="J377" i="74"/>
  <c r="J378" i="74"/>
  <c r="J379" i="74"/>
  <c r="J380" i="74"/>
  <c r="J381" i="74"/>
  <c r="J382" i="74"/>
  <c r="J383" i="74"/>
  <c r="J384" i="74"/>
  <c r="J385" i="74"/>
  <c r="J386" i="74"/>
  <c r="J387" i="74"/>
  <c r="J388" i="74"/>
  <c r="J389" i="74"/>
  <c r="J390" i="74"/>
  <c r="J391" i="74"/>
  <c r="J392" i="74"/>
  <c r="J393" i="74"/>
  <c r="J394" i="74"/>
  <c r="J395" i="74"/>
  <c r="J396" i="74"/>
  <c r="J397" i="74"/>
  <c r="J398" i="74"/>
  <c r="J399" i="74"/>
  <c r="J400" i="74"/>
  <c r="J401" i="74"/>
  <c r="J402" i="74"/>
  <c r="J403" i="74"/>
  <c r="J404" i="74"/>
  <c r="J405" i="74"/>
  <c r="J406" i="74"/>
  <c r="J407" i="74"/>
  <c r="J408" i="74"/>
  <c r="J409" i="74"/>
  <c r="J410" i="74"/>
  <c r="J411" i="74"/>
  <c r="J412" i="74"/>
  <c r="J413" i="74"/>
  <c r="J414" i="74"/>
  <c r="J415" i="74"/>
  <c r="J416" i="74"/>
  <c r="J417" i="74"/>
  <c r="J418" i="74"/>
  <c r="J419" i="74"/>
  <c r="J420" i="74"/>
  <c r="J421" i="74"/>
  <c r="J422" i="74"/>
  <c r="J423" i="74"/>
  <c r="J424" i="74"/>
  <c r="J425" i="74"/>
  <c r="J426" i="74"/>
  <c r="J427" i="74"/>
  <c r="J428" i="74"/>
  <c r="J429" i="74"/>
  <c r="J430" i="74"/>
  <c r="J431" i="74"/>
  <c r="J432" i="74"/>
  <c r="J433" i="74"/>
  <c r="J434" i="74"/>
  <c r="J435" i="74"/>
  <c r="J436" i="74"/>
  <c r="J437" i="74"/>
  <c r="J438" i="74"/>
  <c r="J439" i="74"/>
  <c r="J440" i="74"/>
  <c r="J441" i="74"/>
  <c r="J442" i="74"/>
  <c r="J443" i="74"/>
  <c r="J444" i="74"/>
  <c r="J445" i="74"/>
  <c r="J446" i="74"/>
  <c r="J447" i="74"/>
  <c r="J448" i="74"/>
  <c r="J449" i="74"/>
  <c r="J450" i="74"/>
  <c r="J451" i="74"/>
  <c r="J452" i="74"/>
  <c r="J453" i="74"/>
  <c r="J454" i="74"/>
  <c r="J455" i="74"/>
  <c r="J456" i="74"/>
  <c r="J457" i="74"/>
  <c r="J458" i="74"/>
  <c r="J459" i="74"/>
  <c r="J460" i="74"/>
  <c r="J461" i="74"/>
  <c r="J462" i="74"/>
  <c r="J463" i="74"/>
  <c r="J464" i="74"/>
  <c r="J465" i="74"/>
  <c r="J466" i="74"/>
  <c r="J467" i="74"/>
  <c r="J468" i="74"/>
  <c r="J469" i="74"/>
  <c r="J470" i="74"/>
  <c r="J471" i="74"/>
  <c r="J472" i="74"/>
  <c r="J473" i="74"/>
  <c r="J474" i="74"/>
  <c r="J475" i="74"/>
  <c r="J476" i="74"/>
  <c r="J477" i="74"/>
  <c r="J478" i="74"/>
  <c r="J479" i="74"/>
  <c r="J480" i="74"/>
  <c r="J481" i="74"/>
  <c r="J482" i="74"/>
  <c r="J483" i="74"/>
  <c r="J484" i="74"/>
  <c r="J485" i="74"/>
  <c r="J486" i="74"/>
  <c r="J487" i="74"/>
  <c r="J488" i="74"/>
  <c r="J489" i="74"/>
  <c r="J490" i="74"/>
  <c r="J491" i="74"/>
  <c r="J492" i="74"/>
  <c r="J493" i="74"/>
  <c r="J494" i="74"/>
  <c r="J495" i="74"/>
  <c r="J496" i="74"/>
  <c r="J497" i="74"/>
  <c r="J498" i="74"/>
  <c r="J499" i="74"/>
  <c r="J500" i="74"/>
  <c r="J501" i="74"/>
  <c r="J502" i="74"/>
  <c r="J503" i="74"/>
  <c r="J504" i="74"/>
  <c r="J505" i="74"/>
  <c r="J506" i="74"/>
  <c r="J507" i="74"/>
  <c r="J508" i="74"/>
  <c r="J509" i="74"/>
  <c r="J510" i="74"/>
  <c r="J511" i="74"/>
  <c r="J512" i="74"/>
  <c r="J513" i="74"/>
  <c r="J514" i="74"/>
  <c r="J515" i="74"/>
  <c r="J516" i="74"/>
  <c r="J517" i="74"/>
  <c r="J518" i="74"/>
  <c r="J519" i="74"/>
  <c r="J520" i="74"/>
  <c r="J521" i="74"/>
  <c r="J522" i="74"/>
  <c r="J523" i="74"/>
  <c r="J524" i="74"/>
  <c r="J525" i="74"/>
  <c r="J526" i="74"/>
  <c r="J527" i="74"/>
  <c r="J528" i="74"/>
  <c r="J529" i="74"/>
  <c r="J530" i="74"/>
  <c r="J531" i="74"/>
  <c r="J532" i="74"/>
  <c r="J533" i="74"/>
  <c r="J534" i="74"/>
  <c r="J535" i="74"/>
  <c r="J536" i="74"/>
  <c r="J537" i="74"/>
  <c r="J538" i="74"/>
  <c r="J539" i="74"/>
  <c r="J540" i="74"/>
  <c r="J541" i="74"/>
  <c r="J542" i="74"/>
  <c r="J543" i="74"/>
  <c r="J544" i="74"/>
  <c r="J545" i="74"/>
  <c r="J546" i="74"/>
  <c r="J547" i="74"/>
  <c r="J548" i="74"/>
  <c r="J549" i="74"/>
  <c r="J550" i="74"/>
  <c r="J551" i="74"/>
  <c r="J552" i="74"/>
  <c r="J553" i="74"/>
  <c r="J554" i="74"/>
  <c r="J555" i="74"/>
  <c r="J556" i="74"/>
  <c r="J557" i="74"/>
  <c r="J558" i="74"/>
  <c r="J559" i="74"/>
  <c r="J560" i="74"/>
  <c r="J561" i="74"/>
  <c r="J562" i="74"/>
  <c r="J563" i="74"/>
  <c r="J564" i="74"/>
  <c r="J565" i="74"/>
  <c r="J566" i="74"/>
  <c r="J567" i="74"/>
  <c r="J568" i="74"/>
  <c r="J569" i="74"/>
  <c r="J570" i="74"/>
  <c r="J571" i="74"/>
  <c r="J572" i="74"/>
  <c r="J573" i="74"/>
  <c r="J574" i="74"/>
  <c r="J575" i="74"/>
  <c r="J576" i="74"/>
  <c r="J577" i="74"/>
  <c r="J578" i="74"/>
  <c r="J579" i="74"/>
  <c r="J580" i="74"/>
  <c r="J581" i="74"/>
  <c r="J582" i="74"/>
  <c r="J583" i="74"/>
  <c r="J584" i="74"/>
  <c r="J585" i="74"/>
  <c r="J586" i="74"/>
  <c r="J587" i="74"/>
  <c r="J588" i="74"/>
  <c r="J589" i="74"/>
  <c r="J590" i="74"/>
  <c r="J591" i="74"/>
  <c r="J592" i="74"/>
  <c r="J593" i="74"/>
  <c r="J594" i="74"/>
  <c r="J595" i="74"/>
  <c r="J596" i="74"/>
  <c r="J597" i="74"/>
  <c r="J598" i="74"/>
  <c r="J599" i="74"/>
  <c r="J600" i="74"/>
  <c r="J601" i="74"/>
  <c r="J602" i="74"/>
  <c r="J603" i="74"/>
  <c r="J604" i="74"/>
  <c r="J605" i="74"/>
  <c r="J606" i="74"/>
  <c r="J607" i="74"/>
  <c r="J608" i="74"/>
  <c r="J609" i="74"/>
  <c r="J610" i="74"/>
  <c r="J611" i="74"/>
  <c r="J612" i="74"/>
  <c r="J613" i="74"/>
  <c r="J614" i="74"/>
  <c r="J615" i="74"/>
  <c r="J616" i="74"/>
  <c r="J617" i="74"/>
  <c r="J618" i="74"/>
  <c r="J619" i="74"/>
  <c r="J620" i="74"/>
  <c r="J621" i="74"/>
  <c r="J622" i="74"/>
  <c r="J623" i="74"/>
  <c r="J624" i="74"/>
  <c r="J625" i="74"/>
  <c r="J626" i="74"/>
  <c r="J627" i="74"/>
  <c r="J628" i="74"/>
  <c r="J629" i="74"/>
  <c r="J630" i="74"/>
  <c r="J631" i="74"/>
  <c r="J632" i="74"/>
  <c r="J633" i="74"/>
  <c r="J634" i="74"/>
  <c r="J635" i="74"/>
  <c r="J636" i="74"/>
  <c r="J637" i="74"/>
  <c r="J638" i="74"/>
  <c r="J639" i="74"/>
  <c r="J640" i="74"/>
  <c r="J641" i="74"/>
  <c r="J642" i="74"/>
  <c r="J643" i="74"/>
  <c r="J644" i="74"/>
  <c r="J645" i="74"/>
  <c r="J646" i="74"/>
  <c r="J647" i="74"/>
  <c r="J648" i="74"/>
  <c r="J649" i="74"/>
  <c r="J650" i="74"/>
  <c r="J651" i="74"/>
  <c r="J652" i="74"/>
  <c r="J653" i="74"/>
  <c r="J654" i="74"/>
  <c r="J655" i="74"/>
  <c r="J656" i="74"/>
  <c r="J657" i="74"/>
  <c r="J658" i="74"/>
  <c r="J659" i="74"/>
  <c r="J660" i="74"/>
  <c r="J661" i="74"/>
  <c r="J662" i="74"/>
  <c r="J663" i="74"/>
  <c r="J664" i="74"/>
  <c r="J665" i="74"/>
  <c r="J666" i="74"/>
  <c r="J667" i="74"/>
  <c r="J668" i="74"/>
  <c r="J669" i="74"/>
  <c r="J670" i="74"/>
  <c r="J671" i="74"/>
  <c r="J672" i="74"/>
  <c r="J673" i="74"/>
  <c r="J674" i="74"/>
  <c r="J675" i="74"/>
  <c r="J676" i="74"/>
  <c r="J677" i="74"/>
  <c r="J678" i="74"/>
  <c r="J679" i="74"/>
  <c r="J680" i="74"/>
  <c r="J681" i="74"/>
  <c r="J682" i="74"/>
  <c r="J683" i="74"/>
  <c r="J684" i="74"/>
  <c r="J685" i="74"/>
  <c r="J686" i="74"/>
  <c r="J687" i="74"/>
  <c r="J688" i="74"/>
  <c r="J689" i="74"/>
  <c r="J690" i="74"/>
  <c r="J691" i="74"/>
  <c r="J692" i="74"/>
  <c r="J693" i="74"/>
  <c r="J694" i="74"/>
  <c r="J695" i="74"/>
  <c r="J696" i="74"/>
  <c r="J697" i="74"/>
  <c r="J698" i="74"/>
  <c r="J699" i="74"/>
  <c r="J700" i="74"/>
  <c r="J701" i="74"/>
  <c r="J702" i="74"/>
  <c r="J703" i="74"/>
  <c r="J704" i="74"/>
  <c r="J705" i="74"/>
  <c r="J706" i="74"/>
  <c r="J707" i="74"/>
  <c r="J708" i="74"/>
  <c r="J709" i="74"/>
  <c r="J710" i="74"/>
  <c r="J711" i="74"/>
  <c r="J712" i="74"/>
  <c r="J713" i="74"/>
  <c r="J714" i="74"/>
  <c r="J715" i="74"/>
  <c r="J716" i="74"/>
  <c r="J717" i="74"/>
  <c r="J718" i="74"/>
  <c r="J719" i="74"/>
  <c r="J720" i="74"/>
  <c r="J721" i="74"/>
  <c r="J722" i="74"/>
  <c r="J723" i="74"/>
  <c r="J724" i="74"/>
  <c r="J725" i="74"/>
  <c r="J726" i="74"/>
  <c r="J727" i="74"/>
  <c r="J728" i="74"/>
  <c r="J729" i="74"/>
  <c r="J730" i="74"/>
  <c r="J731" i="74"/>
  <c r="J732" i="74"/>
  <c r="J733" i="74"/>
  <c r="J734" i="74"/>
  <c r="J735" i="74"/>
  <c r="J736" i="74"/>
  <c r="J737" i="74"/>
  <c r="J738" i="74"/>
  <c r="J739" i="74"/>
  <c r="J740" i="74"/>
  <c r="J741" i="74"/>
  <c r="J742" i="74"/>
  <c r="J743" i="74"/>
  <c r="J744" i="74"/>
  <c r="J745" i="74"/>
  <c r="J746" i="74"/>
  <c r="J747" i="74"/>
  <c r="J748" i="74"/>
  <c r="J749" i="74"/>
  <c r="J750" i="74"/>
  <c r="J751" i="74"/>
  <c r="J752" i="74"/>
  <c r="J753" i="74"/>
  <c r="J754" i="74"/>
  <c r="J755" i="74"/>
  <c r="J756" i="74"/>
  <c r="J757" i="74"/>
  <c r="J758" i="74"/>
  <c r="J759" i="74"/>
  <c r="J760" i="74"/>
  <c r="J761" i="74"/>
  <c r="J762" i="74"/>
  <c r="J763" i="74"/>
  <c r="J764" i="74"/>
  <c r="J765" i="74"/>
  <c r="J766" i="74"/>
  <c r="J767" i="74"/>
  <c r="J768" i="74"/>
  <c r="J769" i="74"/>
  <c r="J770" i="74"/>
  <c r="J771" i="74"/>
  <c r="J772" i="74"/>
  <c r="J773" i="74"/>
  <c r="J774" i="74"/>
  <c r="J775" i="74"/>
  <c r="J776" i="74"/>
  <c r="J777" i="74"/>
  <c r="J778" i="74"/>
  <c r="J779" i="74"/>
  <c r="J780" i="74"/>
  <c r="J781" i="74"/>
  <c r="J782" i="74"/>
  <c r="J783" i="74"/>
  <c r="J784" i="74"/>
  <c r="J785" i="74"/>
  <c r="J786" i="74"/>
  <c r="J787" i="74"/>
  <c r="J788" i="74"/>
  <c r="J789" i="74"/>
  <c r="J790" i="74"/>
  <c r="J791" i="74"/>
  <c r="J792" i="74"/>
  <c r="J793" i="74"/>
  <c r="J794" i="74"/>
  <c r="J795" i="74"/>
  <c r="J796" i="74"/>
  <c r="J797" i="74"/>
  <c r="J798" i="74"/>
  <c r="J799" i="74"/>
  <c r="J800" i="74"/>
  <c r="J801" i="74"/>
  <c r="J802" i="74"/>
  <c r="J803" i="74"/>
  <c r="J804" i="74"/>
  <c r="J805" i="74"/>
  <c r="J806" i="74"/>
  <c r="J807" i="74"/>
  <c r="J808" i="74"/>
  <c r="J809" i="74"/>
  <c r="J810" i="74"/>
  <c r="J811" i="74"/>
  <c r="J812" i="74"/>
  <c r="J813" i="74"/>
  <c r="J814" i="74"/>
  <c r="J815" i="74"/>
  <c r="J816" i="74"/>
  <c r="J817" i="74"/>
  <c r="J818" i="74"/>
  <c r="J819" i="74"/>
  <c r="J820" i="74"/>
  <c r="J821" i="74"/>
  <c r="J822" i="74"/>
  <c r="J823" i="74"/>
  <c r="J824" i="74"/>
  <c r="J825" i="74"/>
  <c r="J826" i="74"/>
  <c r="J827" i="74"/>
  <c r="J828" i="74"/>
  <c r="J829" i="74"/>
  <c r="J830" i="74"/>
  <c r="J831" i="74"/>
  <c r="J832" i="74"/>
  <c r="J833" i="74"/>
  <c r="J834" i="74"/>
  <c r="J835" i="74"/>
  <c r="J836" i="74"/>
  <c r="J837" i="74"/>
  <c r="J838" i="74"/>
  <c r="J839" i="74"/>
  <c r="J840" i="74"/>
  <c r="J841" i="74"/>
  <c r="J842" i="74"/>
  <c r="J843" i="74"/>
  <c r="J844" i="74"/>
  <c r="J845" i="74"/>
  <c r="J846" i="74"/>
  <c r="J847" i="74"/>
  <c r="J848" i="74"/>
  <c r="J849" i="74"/>
  <c r="J850" i="74"/>
  <c r="J851" i="74"/>
  <c r="J852" i="74"/>
  <c r="J853" i="74"/>
  <c r="J854" i="74"/>
  <c r="J855" i="74"/>
  <c r="J856" i="74"/>
  <c r="J857" i="74"/>
  <c r="J858" i="74"/>
  <c r="J859" i="74"/>
  <c r="J860" i="74"/>
  <c r="J861" i="74"/>
  <c r="J862" i="74"/>
  <c r="J863" i="74"/>
  <c r="J864" i="74"/>
  <c r="J865" i="74"/>
  <c r="J866" i="74"/>
  <c r="J867" i="74"/>
  <c r="J868" i="74"/>
  <c r="J869" i="74"/>
  <c r="J870" i="74"/>
  <c r="J871" i="74"/>
  <c r="J872" i="74"/>
  <c r="J873" i="74"/>
  <c r="J874" i="74"/>
  <c r="J875" i="74"/>
  <c r="J876" i="74"/>
  <c r="J877" i="74"/>
  <c r="J878" i="74"/>
  <c r="J879" i="74"/>
  <c r="J880" i="74"/>
  <c r="J881" i="74"/>
  <c r="J882" i="74"/>
  <c r="J883" i="74"/>
  <c r="J884" i="74"/>
  <c r="J885" i="74"/>
  <c r="J886" i="74"/>
  <c r="J887" i="74"/>
  <c r="J888" i="74"/>
  <c r="J889" i="74"/>
  <c r="J890" i="74"/>
  <c r="J891" i="74"/>
  <c r="J892" i="74"/>
  <c r="J893" i="74"/>
  <c r="J894" i="74"/>
  <c r="J895" i="74"/>
  <c r="J896" i="74"/>
  <c r="J897" i="74"/>
  <c r="J898" i="74"/>
  <c r="J899" i="74"/>
  <c r="J900" i="74"/>
  <c r="J901" i="74"/>
  <c r="J902" i="74"/>
  <c r="J903" i="74"/>
  <c r="J904" i="74"/>
  <c r="J905" i="74"/>
  <c r="J906" i="74"/>
  <c r="J907" i="74"/>
  <c r="J908" i="74"/>
  <c r="J909" i="74"/>
  <c r="J910" i="74"/>
  <c r="J911" i="74"/>
  <c r="J912" i="74"/>
  <c r="J913" i="74"/>
  <c r="J914" i="74"/>
  <c r="J915" i="74"/>
  <c r="J916" i="74"/>
  <c r="J917" i="74"/>
  <c r="J918" i="74"/>
  <c r="J919" i="74"/>
  <c r="J920" i="74"/>
  <c r="J921" i="74"/>
  <c r="J922" i="74"/>
  <c r="J923" i="74"/>
  <c r="J924" i="74"/>
  <c r="J925" i="74"/>
  <c r="J926" i="74"/>
  <c r="J927" i="74"/>
  <c r="J928" i="74"/>
  <c r="J929" i="74"/>
  <c r="J930" i="74"/>
  <c r="J931" i="74"/>
  <c r="J932" i="74"/>
  <c r="J933" i="74"/>
  <c r="J934" i="74"/>
  <c r="J935" i="74"/>
  <c r="J936" i="74"/>
  <c r="J937" i="74"/>
  <c r="J938" i="74"/>
  <c r="J939" i="74"/>
  <c r="J940" i="74"/>
  <c r="J941" i="74"/>
  <c r="J942" i="74"/>
  <c r="J943" i="74"/>
  <c r="J944" i="74"/>
  <c r="J945" i="74"/>
  <c r="J946" i="74"/>
  <c r="J947" i="74"/>
  <c r="J948" i="74"/>
  <c r="J949" i="74"/>
  <c r="J950" i="74"/>
  <c r="J951" i="74"/>
  <c r="J952" i="74"/>
  <c r="J953" i="74"/>
  <c r="J954" i="74"/>
  <c r="J955" i="74"/>
  <c r="J956" i="74"/>
  <c r="J957" i="74"/>
  <c r="J958" i="74"/>
  <c r="J959" i="74"/>
  <c r="J960" i="74"/>
  <c r="J961" i="74"/>
  <c r="J962" i="74"/>
  <c r="J963" i="74"/>
  <c r="J964" i="74"/>
  <c r="J965" i="74"/>
  <c r="J966" i="74"/>
  <c r="J967" i="74"/>
  <c r="J968" i="74"/>
  <c r="J969" i="74"/>
  <c r="J970" i="74"/>
  <c r="J971" i="74"/>
  <c r="J972" i="74"/>
  <c r="J973" i="74"/>
  <c r="J974" i="74"/>
  <c r="J975" i="74"/>
  <c r="J976" i="74"/>
  <c r="J977" i="74"/>
  <c r="J978" i="74"/>
  <c r="J979" i="74"/>
  <c r="J980" i="74"/>
  <c r="J981" i="74"/>
  <c r="J982" i="74"/>
  <c r="J983" i="74"/>
  <c r="J984" i="74"/>
  <c r="J985" i="74"/>
  <c r="J986" i="74"/>
  <c r="J987" i="74"/>
  <c r="J988" i="74"/>
  <c r="J989" i="74"/>
  <c r="J990" i="74"/>
  <c r="J991" i="74"/>
  <c r="J992" i="74"/>
  <c r="J993" i="74"/>
  <c r="J994" i="74"/>
  <c r="J995" i="74"/>
  <c r="J996" i="74"/>
  <c r="J997" i="74"/>
  <c r="J998" i="74"/>
  <c r="J999" i="74"/>
  <c r="J1000" i="74"/>
  <c r="J1001" i="74"/>
  <c r="J1002" i="74"/>
  <c r="J1003" i="74"/>
  <c r="J1004" i="74"/>
  <c r="J1005" i="74"/>
  <c r="J1006" i="74"/>
  <c r="J1007" i="74"/>
  <c r="J1008" i="74"/>
  <c r="J1009" i="74"/>
  <c r="J1010" i="74"/>
  <c r="J1011" i="74"/>
  <c r="J1012" i="74"/>
  <c r="J1013" i="74"/>
  <c r="J1014" i="74"/>
  <c r="J1015" i="74"/>
  <c r="J1016" i="74"/>
  <c r="J1017" i="74"/>
  <c r="J1018" i="74"/>
  <c r="J1019" i="74"/>
  <c r="J1020" i="74"/>
  <c r="J1021" i="74"/>
  <c r="J1022" i="74"/>
  <c r="J1023" i="74"/>
  <c r="J1024" i="74"/>
  <c r="J1025" i="74"/>
  <c r="J1026" i="74"/>
  <c r="J1027" i="74"/>
  <c r="J1028" i="74"/>
  <c r="J1029" i="74"/>
  <c r="J1030" i="74"/>
  <c r="J1031" i="74"/>
  <c r="J1032" i="74"/>
  <c r="J1033" i="74"/>
  <c r="J1034" i="74"/>
  <c r="J1035" i="74"/>
  <c r="J1036" i="74"/>
  <c r="J1037" i="74"/>
  <c r="J1038" i="74"/>
  <c r="J1039" i="74"/>
  <c r="J1040" i="74"/>
  <c r="J1041" i="74"/>
  <c r="J1042" i="74"/>
  <c r="J1043" i="74"/>
  <c r="J1044" i="74"/>
  <c r="J1045" i="74"/>
  <c r="J1046" i="74"/>
  <c r="J1047" i="74"/>
  <c r="J1048" i="74"/>
  <c r="J1049" i="74"/>
  <c r="J1050" i="74"/>
  <c r="J1051" i="74"/>
  <c r="J1052" i="74"/>
  <c r="J1053" i="74"/>
  <c r="J1054" i="74"/>
  <c r="J1055" i="74"/>
  <c r="J1056" i="74"/>
  <c r="J1057" i="74"/>
  <c r="J1058" i="74"/>
  <c r="J1059" i="74"/>
  <c r="J1060" i="74"/>
  <c r="J1061" i="74"/>
  <c r="J1062" i="74"/>
  <c r="J1063" i="74"/>
  <c r="J1064" i="74"/>
  <c r="J1065" i="74"/>
  <c r="J1066" i="74"/>
  <c r="J1067" i="74"/>
  <c r="J1068" i="74"/>
  <c r="J1069" i="74"/>
  <c r="J1070" i="74"/>
  <c r="J1071" i="74"/>
  <c r="J1072" i="74"/>
  <c r="J1073" i="74"/>
  <c r="J1074" i="74"/>
  <c r="J1075" i="74"/>
  <c r="J1076" i="74"/>
  <c r="J1077" i="74"/>
  <c r="J1078" i="74"/>
  <c r="J1079" i="74"/>
  <c r="J1080" i="74"/>
  <c r="J1081" i="74"/>
  <c r="J1082" i="74"/>
  <c r="J1083" i="74"/>
  <c r="J1084" i="74"/>
  <c r="J1085" i="74"/>
  <c r="J1086" i="74"/>
  <c r="J1087" i="74"/>
  <c r="J1088" i="74"/>
  <c r="J1089" i="74"/>
  <c r="J1090" i="74"/>
  <c r="J1091" i="74"/>
  <c r="J1092" i="74"/>
  <c r="J1093" i="74"/>
  <c r="J1094" i="74"/>
  <c r="J1095" i="74"/>
  <c r="J1096" i="74"/>
  <c r="J1097" i="74"/>
  <c r="J1098" i="74"/>
  <c r="J1099" i="74"/>
  <c r="J1100" i="74"/>
  <c r="J1101" i="74"/>
  <c r="J1102" i="74"/>
  <c r="J1103" i="74"/>
  <c r="J1104" i="74"/>
  <c r="J1105" i="74"/>
  <c r="J1106" i="74"/>
  <c r="J1107" i="74"/>
  <c r="J1108" i="74"/>
  <c r="J1109" i="74"/>
  <c r="J1110" i="74"/>
  <c r="J1111" i="74"/>
  <c r="J1112" i="74"/>
  <c r="J1113" i="74"/>
  <c r="J1114" i="74"/>
  <c r="J1115" i="74"/>
  <c r="J1116" i="74"/>
  <c r="J1117" i="74"/>
  <c r="J1118" i="74"/>
  <c r="J1119" i="74"/>
  <c r="J1120" i="74"/>
  <c r="J1121" i="74"/>
  <c r="J1122" i="74"/>
  <c r="J1123" i="74"/>
  <c r="J1124" i="74"/>
  <c r="J1125" i="74"/>
  <c r="J1126" i="74"/>
  <c r="J1127" i="74"/>
  <c r="J1128" i="74"/>
  <c r="J1129" i="74"/>
  <c r="J1130" i="74"/>
  <c r="J1131" i="74"/>
  <c r="J1132" i="74"/>
  <c r="J1133" i="74"/>
  <c r="J1134" i="74"/>
  <c r="J1135" i="74"/>
  <c r="J1136" i="74"/>
  <c r="J1137" i="74"/>
  <c r="J1138" i="74"/>
  <c r="J1139" i="74"/>
  <c r="J1140" i="74"/>
  <c r="J1141" i="74"/>
  <c r="J1142" i="74"/>
  <c r="J1143" i="74"/>
  <c r="J1144" i="74"/>
  <c r="J1145" i="74"/>
  <c r="J1146" i="74"/>
  <c r="J1147" i="74"/>
  <c r="J1148" i="74"/>
  <c r="J1149" i="74"/>
  <c r="J1150" i="74"/>
  <c r="J1151" i="74"/>
  <c r="J1152" i="74"/>
  <c r="J1153" i="74"/>
  <c r="J1154" i="74"/>
  <c r="J1155" i="74"/>
  <c r="J1156" i="74"/>
  <c r="J1157" i="74"/>
  <c r="J1158" i="74"/>
  <c r="J1159" i="74"/>
  <c r="J1160" i="74"/>
  <c r="J1161" i="74"/>
  <c r="J1162" i="74"/>
  <c r="J1163" i="74"/>
  <c r="J1164" i="74"/>
  <c r="J1165" i="74"/>
  <c r="J1166" i="74"/>
  <c r="J1167" i="74"/>
  <c r="J1168" i="74"/>
  <c r="J1169" i="74"/>
  <c r="J1170" i="74"/>
  <c r="J1171" i="74"/>
  <c r="J1172" i="74"/>
  <c r="J1173" i="74"/>
  <c r="J1174" i="74"/>
  <c r="J1175" i="74"/>
  <c r="J1176" i="74"/>
  <c r="J1177" i="74"/>
  <c r="J1178" i="74"/>
  <c r="J1179" i="74"/>
  <c r="J1180" i="74"/>
  <c r="J1181" i="74"/>
  <c r="J1182" i="74"/>
  <c r="J1183" i="74"/>
  <c r="J1184" i="74"/>
  <c r="J1185" i="74"/>
  <c r="J1186" i="74"/>
  <c r="J1187" i="74"/>
  <c r="J1188" i="74"/>
  <c r="J1189" i="74"/>
  <c r="J1190" i="74"/>
  <c r="J1191" i="74"/>
  <c r="J1192" i="74"/>
  <c r="J1193" i="74"/>
  <c r="J1194" i="74"/>
  <c r="J1195" i="74"/>
  <c r="J1196" i="74"/>
  <c r="J1197" i="74"/>
  <c r="J1198" i="74"/>
  <c r="J1199" i="74"/>
  <c r="J1200" i="74"/>
  <c r="J1201" i="74"/>
  <c r="J1202" i="74"/>
  <c r="J1203" i="74"/>
  <c r="J1204" i="74"/>
  <c r="J1205" i="74"/>
  <c r="J1206" i="74"/>
  <c r="J1207" i="74"/>
  <c r="J1208" i="74"/>
  <c r="J1209" i="74"/>
  <c r="J1210" i="74"/>
  <c r="J1211" i="74"/>
  <c r="J1212" i="74"/>
  <c r="J1213" i="74"/>
  <c r="J1214" i="74"/>
  <c r="J1215" i="74"/>
  <c r="J1216" i="74"/>
  <c r="J1217" i="74"/>
  <c r="J1218" i="74"/>
  <c r="J1219" i="74"/>
  <c r="J1220" i="74"/>
  <c r="J1221" i="74"/>
  <c r="J1222" i="74"/>
  <c r="J1223" i="74"/>
  <c r="J1224" i="74"/>
  <c r="J1225" i="74"/>
  <c r="J1226" i="74"/>
  <c r="J1227" i="74"/>
  <c r="J1228" i="74"/>
  <c r="J1229" i="74"/>
  <c r="J1230" i="74"/>
  <c r="J1231" i="74"/>
  <c r="J1232" i="74"/>
  <c r="J1233" i="74"/>
  <c r="J1234" i="74"/>
  <c r="J1235" i="74"/>
  <c r="J1236" i="74"/>
  <c r="J1237" i="74"/>
  <c r="J1238" i="74"/>
  <c r="J1239" i="74"/>
  <c r="J1240" i="74"/>
  <c r="J1241" i="74"/>
  <c r="J1242" i="74"/>
  <c r="J1243" i="74"/>
  <c r="J1244" i="74"/>
  <c r="J1245" i="74"/>
  <c r="J1246" i="74"/>
  <c r="J1247" i="74"/>
  <c r="J1248" i="74"/>
  <c r="J1249" i="74"/>
  <c r="J1250" i="74"/>
  <c r="J1251" i="74"/>
  <c r="J1252" i="74"/>
  <c r="J1253" i="74"/>
  <c r="J1254" i="74"/>
  <c r="J1255" i="74"/>
  <c r="J1256" i="74"/>
  <c r="J1257" i="74"/>
  <c r="J1258" i="74"/>
  <c r="J1259" i="74"/>
  <c r="J1260" i="74"/>
  <c r="J1261" i="74"/>
  <c r="J1262" i="74"/>
  <c r="J1263" i="74"/>
  <c r="J1264" i="74"/>
  <c r="J1265" i="74"/>
  <c r="J1266" i="74"/>
  <c r="J1267" i="74"/>
  <c r="J1268" i="74"/>
  <c r="J1269" i="74"/>
  <c r="J1270" i="74"/>
  <c r="J1271" i="74"/>
  <c r="J1272" i="74"/>
  <c r="J1273" i="74"/>
  <c r="J1274" i="74"/>
  <c r="J1275" i="74"/>
  <c r="J1276" i="74"/>
  <c r="J1277" i="74"/>
  <c r="J1278" i="74"/>
  <c r="J1279" i="74"/>
  <c r="J1280" i="74"/>
  <c r="J1281" i="74"/>
  <c r="J1282" i="74"/>
  <c r="J1283" i="74"/>
  <c r="J1284" i="74"/>
  <c r="J1285" i="74"/>
  <c r="J1286" i="74"/>
  <c r="J1287" i="74"/>
  <c r="J1288" i="74"/>
  <c r="J1289" i="74"/>
  <c r="J1290" i="74"/>
  <c r="J1291" i="74"/>
  <c r="J1292" i="74"/>
  <c r="J1293" i="74"/>
  <c r="J1294" i="74"/>
  <c r="J1295" i="74"/>
  <c r="J1296" i="74"/>
  <c r="J1297" i="74"/>
  <c r="J1298" i="74"/>
  <c r="J1299" i="74"/>
  <c r="J1300" i="74"/>
  <c r="J1301" i="74"/>
  <c r="J1302" i="74"/>
  <c r="J1303" i="74"/>
  <c r="J1304" i="74"/>
  <c r="J1305" i="74"/>
  <c r="J1306" i="74"/>
  <c r="J1307" i="74"/>
  <c r="J1308" i="74"/>
  <c r="J1309" i="74"/>
  <c r="J1310" i="74"/>
  <c r="J1311" i="74"/>
  <c r="J1312" i="74"/>
  <c r="J1313" i="74"/>
  <c r="J1314" i="74"/>
  <c r="J1315" i="74"/>
  <c r="J1316" i="74"/>
  <c r="J1317" i="74"/>
  <c r="J1318" i="74"/>
  <c r="J1319" i="74"/>
  <c r="J1320" i="74"/>
  <c r="J1321" i="74"/>
  <c r="J1322" i="74"/>
  <c r="J1323" i="74"/>
  <c r="J1324" i="74"/>
  <c r="J1325" i="74"/>
  <c r="J1326" i="74"/>
  <c r="J1327" i="74"/>
  <c r="J1328" i="74"/>
  <c r="J1329" i="74"/>
  <c r="J1330" i="74"/>
  <c r="J1331" i="74"/>
  <c r="J1332" i="74"/>
  <c r="J1333" i="74"/>
  <c r="J1334" i="74"/>
  <c r="J1335" i="74"/>
  <c r="J1336" i="74"/>
  <c r="J1337" i="74"/>
  <c r="J1338" i="74"/>
  <c r="J1339" i="74"/>
  <c r="J1340" i="74"/>
  <c r="J1341" i="74"/>
  <c r="J1342" i="74"/>
  <c r="J1343" i="74"/>
  <c r="J1344" i="74"/>
  <c r="J1345" i="74"/>
  <c r="J1346" i="74"/>
  <c r="J1347" i="74"/>
  <c r="J1348" i="74"/>
  <c r="J1349" i="74"/>
  <c r="J1350" i="74"/>
  <c r="J1351" i="74"/>
  <c r="J1352" i="74"/>
  <c r="J1353" i="74"/>
  <c r="J1354" i="74"/>
  <c r="J1355" i="74"/>
  <c r="J1356" i="74"/>
  <c r="J1357" i="74"/>
  <c r="J1358" i="74"/>
  <c r="J1359" i="74"/>
  <c r="J1360" i="74"/>
  <c r="J1361" i="74"/>
  <c r="J1362" i="74"/>
  <c r="J1363" i="74"/>
  <c r="J1364" i="74"/>
  <c r="J1365" i="74"/>
  <c r="J1366" i="74"/>
  <c r="J1367" i="74"/>
  <c r="J1368" i="74"/>
  <c r="J1369" i="74"/>
  <c r="J1370" i="74"/>
  <c r="J1371" i="74"/>
  <c r="J1372" i="74"/>
  <c r="J1373" i="74"/>
  <c r="J1374" i="74"/>
  <c r="J1375" i="74"/>
  <c r="J1376" i="74"/>
  <c r="J1377" i="74"/>
  <c r="J1378" i="74"/>
  <c r="J1379" i="74"/>
  <c r="J1380" i="74"/>
  <c r="J1381" i="74"/>
  <c r="J1382" i="74"/>
  <c r="J1383" i="74"/>
  <c r="J1384" i="74"/>
  <c r="J1385" i="74"/>
  <c r="J1386" i="74"/>
  <c r="J1387" i="74"/>
  <c r="J1388" i="74"/>
  <c r="J1389" i="74"/>
  <c r="J1390" i="74"/>
  <c r="J1391" i="74"/>
  <c r="J1392" i="74"/>
  <c r="J1393" i="74"/>
  <c r="J1394" i="74"/>
  <c r="J1395" i="74"/>
  <c r="J1396" i="74"/>
  <c r="J1397" i="74"/>
  <c r="J1398" i="74"/>
  <c r="J1399" i="74"/>
  <c r="J1400" i="74"/>
  <c r="J1401" i="74"/>
  <c r="J1402" i="74"/>
  <c r="J1403" i="74"/>
  <c r="J1404" i="74"/>
  <c r="J1405" i="74"/>
  <c r="J1406" i="74"/>
  <c r="J1407" i="74"/>
  <c r="J1408" i="74"/>
  <c r="J1409" i="74"/>
  <c r="J1410" i="74"/>
  <c r="J1411" i="74"/>
  <c r="J1412" i="74"/>
  <c r="J1413" i="74"/>
  <c r="J1414" i="74"/>
  <c r="J1415" i="74"/>
  <c r="J1416" i="74"/>
  <c r="J1417" i="74"/>
  <c r="J1418" i="74"/>
  <c r="J1419" i="74"/>
  <c r="J1420" i="74"/>
  <c r="J1421" i="74"/>
  <c r="J1422" i="74"/>
  <c r="J1423" i="74"/>
  <c r="J1424" i="74"/>
  <c r="J1425" i="74"/>
  <c r="J1426" i="74"/>
  <c r="J1427" i="74"/>
  <c r="J1428" i="74"/>
  <c r="J1429" i="74"/>
  <c r="J1430" i="74"/>
  <c r="J1431" i="74"/>
  <c r="J1432" i="74"/>
  <c r="J1433" i="74"/>
  <c r="J1434" i="74"/>
  <c r="J1435" i="74"/>
  <c r="J1436" i="74"/>
  <c r="J1437" i="74"/>
  <c r="J1438" i="74"/>
  <c r="J1439" i="74"/>
  <c r="J1440" i="74"/>
  <c r="J1441" i="74"/>
  <c r="J1442" i="74"/>
  <c r="J1443" i="74"/>
  <c r="J1444" i="74"/>
  <c r="J1445" i="74"/>
  <c r="J1446" i="74"/>
  <c r="J1447" i="74"/>
  <c r="J1448" i="74"/>
  <c r="J1449" i="74"/>
  <c r="J1450" i="74"/>
  <c r="J1451" i="74"/>
  <c r="J1452" i="74"/>
  <c r="J1453" i="74"/>
  <c r="J1454" i="74"/>
  <c r="J1455" i="74"/>
  <c r="J1456" i="74"/>
  <c r="J1457" i="74"/>
  <c r="J1458" i="74"/>
  <c r="J1459" i="74"/>
  <c r="J1460" i="74"/>
  <c r="J1461" i="74"/>
  <c r="J1462" i="74"/>
  <c r="J1463" i="74"/>
  <c r="J1464" i="74"/>
  <c r="J1465" i="74"/>
  <c r="J1466" i="74"/>
  <c r="J1467" i="74"/>
  <c r="J1468" i="74"/>
  <c r="J1469" i="74"/>
  <c r="J1470" i="74"/>
  <c r="J1471" i="74"/>
  <c r="J1472" i="74"/>
  <c r="J1473" i="74"/>
  <c r="J1474" i="74"/>
  <c r="J1475" i="74"/>
  <c r="J1476" i="74"/>
  <c r="J1477" i="74"/>
  <c r="J1478" i="74"/>
  <c r="J1479" i="74"/>
  <c r="J1480" i="74"/>
  <c r="J1481" i="74"/>
  <c r="J1482" i="74"/>
  <c r="J1483" i="74"/>
  <c r="J1484" i="74"/>
  <c r="J1485" i="74"/>
  <c r="J1486" i="74"/>
  <c r="J1487" i="74"/>
  <c r="J1488" i="74"/>
  <c r="J1489" i="74"/>
  <c r="J1490" i="74"/>
  <c r="J1491" i="74"/>
  <c r="J1492" i="74"/>
  <c r="J1493" i="74"/>
  <c r="J1494" i="74"/>
  <c r="J1495" i="74"/>
  <c r="J1496" i="74"/>
  <c r="J1497" i="74"/>
  <c r="J1498" i="74"/>
  <c r="J1499" i="74"/>
  <c r="J1500" i="74"/>
  <c r="J1501" i="74"/>
  <c r="J1502" i="74"/>
  <c r="J1503" i="74"/>
  <c r="J1504" i="74"/>
  <c r="J1505" i="74"/>
  <c r="J1506" i="74"/>
  <c r="J1507" i="74"/>
  <c r="J1508" i="74"/>
  <c r="J1509" i="74"/>
  <c r="J1510" i="74"/>
  <c r="J1511" i="74"/>
  <c r="J1512" i="74"/>
  <c r="J1513" i="74"/>
  <c r="J1514" i="74"/>
  <c r="J1515" i="74"/>
  <c r="J1516" i="74"/>
  <c r="J1517" i="74"/>
  <c r="J1518" i="74"/>
  <c r="J1519" i="74"/>
  <c r="J1520" i="74"/>
  <c r="J1521" i="74"/>
  <c r="J1522" i="74"/>
  <c r="J1523" i="74"/>
  <c r="J1524" i="74"/>
  <c r="J1525" i="74"/>
  <c r="J1526" i="74"/>
  <c r="J1527" i="74"/>
  <c r="J1528" i="74"/>
  <c r="J1529" i="74"/>
  <c r="J1530" i="74"/>
  <c r="J1531" i="74"/>
  <c r="J1532" i="74"/>
  <c r="J1533" i="74"/>
  <c r="J1534" i="74"/>
  <c r="J1535" i="74"/>
  <c r="J1536" i="74"/>
  <c r="J1537" i="74"/>
  <c r="J1538" i="74"/>
  <c r="J1539" i="74"/>
  <c r="J1540" i="74"/>
  <c r="J1541" i="74"/>
  <c r="J1542" i="74"/>
  <c r="J1543" i="74"/>
  <c r="J1544" i="74"/>
  <c r="J1545" i="74"/>
  <c r="J1546" i="74"/>
  <c r="J1547" i="74"/>
  <c r="J1548" i="74"/>
  <c r="J1549" i="74"/>
  <c r="J1550" i="74"/>
  <c r="J1551" i="74"/>
  <c r="J1552" i="74"/>
  <c r="J1553" i="74"/>
  <c r="J1554" i="74"/>
  <c r="J1555" i="74"/>
  <c r="J1556" i="74"/>
  <c r="J1557" i="74"/>
  <c r="J1558" i="74"/>
  <c r="J1559" i="74"/>
  <c r="J1560" i="74"/>
  <c r="J1561" i="74"/>
  <c r="J1562" i="74"/>
  <c r="J1563" i="74"/>
  <c r="J1564" i="74"/>
  <c r="J1565" i="74"/>
  <c r="J1566" i="74"/>
  <c r="J1567" i="74"/>
  <c r="J1568" i="74"/>
  <c r="J1569" i="74"/>
  <c r="J1570" i="74"/>
  <c r="J1571" i="74"/>
  <c r="J1572" i="74"/>
  <c r="J1573" i="74"/>
  <c r="J1574" i="74"/>
  <c r="J1575" i="74"/>
  <c r="J1576" i="74"/>
  <c r="J1577" i="74"/>
  <c r="J1578" i="74"/>
  <c r="J1579" i="74"/>
  <c r="J1580" i="74"/>
  <c r="J1581" i="74"/>
  <c r="J1582" i="74"/>
  <c r="J1583" i="74"/>
  <c r="J1584" i="74"/>
  <c r="J1585" i="74"/>
  <c r="J1586" i="74"/>
  <c r="J1587" i="74"/>
  <c r="J1588" i="74"/>
  <c r="J1589" i="74"/>
  <c r="J1590" i="74"/>
  <c r="J1591" i="74"/>
  <c r="J1592" i="74"/>
  <c r="J1593" i="74"/>
  <c r="J1594" i="74"/>
  <c r="J1595" i="74"/>
  <c r="J1596" i="74"/>
  <c r="J1597" i="74"/>
  <c r="J1598" i="74"/>
  <c r="J1599" i="74"/>
  <c r="J1600" i="74"/>
  <c r="J1601" i="74"/>
  <c r="J1602" i="74"/>
  <c r="J1603" i="74"/>
  <c r="J1604" i="74"/>
  <c r="J1605" i="74"/>
  <c r="J1606" i="74"/>
  <c r="J1607" i="74"/>
  <c r="J1608" i="74"/>
  <c r="J1609" i="74"/>
  <c r="J1610" i="74"/>
  <c r="J1611" i="74"/>
  <c r="J1612" i="74"/>
  <c r="J1613" i="74"/>
  <c r="J1614" i="74"/>
  <c r="J1615" i="74"/>
  <c r="J1616" i="74"/>
  <c r="J1617" i="74"/>
  <c r="J1618" i="74"/>
  <c r="J1619" i="74"/>
  <c r="J1620" i="74"/>
  <c r="J1621" i="74"/>
  <c r="J1622" i="74"/>
  <c r="J1623" i="74"/>
  <c r="J1624" i="74"/>
  <c r="J1625" i="74"/>
  <c r="J1626" i="74"/>
  <c r="J1627" i="74"/>
  <c r="J1628" i="74"/>
  <c r="J1629" i="74"/>
  <c r="J1630" i="74"/>
  <c r="J1631" i="74"/>
  <c r="J1632" i="74"/>
  <c r="J1633" i="74"/>
  <c r="J1634" i="74"/>
  <c r="J1635" i="74"/>
  <c r="J1636" i="74"/>
  <c r="J1637" i="74"/>
  <c r="J1638" i="74"/>
  <c r="J1639" i="74"/>
  <c r="J1640" i="74"/>
  <c r="J1641" i="74"/>
  <c r="J1642" i="74"/>
  <c r="J1643" i="74"/>
  <c r="J1644" i="74"/>
  <c r="J1645" i="74"/>
  <c r="J1646" i="74"/>
  <c r="J1647" i="74"/>
  <c r="J1648" i="74"/>
  <c r="J1649" i="74"/>
  <c r="J1650" i="74"/>
  <c r="J1651" i="74"/>
  <c r="J1652" i="74"/>
  <c r="J1653" i="74"/>
  <c r="J1654" i="74"/>
  <c r="J1655" i="74"/>
  <c r="J1656" i="74"/>
  <c r="J1657" i="74"/>
  <c r="J1658" i="74"/>
  <c r="J1659" i="74"/>
  <c r="J1660" i="74"/>
  <c r="J1661" i="74"/>
  <c r="J1662" i="74"/>
  <c r="J1663" i="74"/>
  <c r="J1664" i="74"/>
  <c r="J1665" i="74"/>
  <c r="J1666" i="74"/>
  <c r="J1667" i="74"/>
  <c r="J1668" i="74"/>
  <c r="J1669" i="74"/>
  <c r="J1670" i="74"/>
  <c r="J1671" i="74"/>
  <c r="J1672" i="74"/>
  <c r="J1673" i="74"/>
  <c r="J1674" i="74"/>
  <c r="J1675" i="74"/>
  <c r="J1676" i="74"/>
  <c r="J1677" i="74"/>
  <c r="J1678" i="74"/>
  <c r="J1679" i="74"/>
  <c r="J1680" i="74"/>
  <c r="J1681" i="74"/>
  <c r="J1682" i="74"/>
  <c r="J1683" i="74"/>
  <c r="J1684" i="74"/>
  <c r="J1685" i="74"/>
  <c r="J1686" i="74"/>
  <c r="J1687" i="74"/>
  <c r="J1688" i="74"/>
  <c r="J1689" i="74"/>
  <c r="J1690" i="74"/>
  <c r="J1691" i="74"/>
  <c r="J1692" i="74"/>
  <c r="J1693" i="74"/>
  <c r="J1694" i="74"/>
  <c r="J1695" i="74"/>
  <c r="J1696" i="74"/>
  <c r="J1697" i="74"/>
  <c r="J1698" i="74"/>
  <c r="J1699" i="74"/>
  <c r="J1700" i="74"/>
  <c r="J1701" i="74"/>
  <c r="J1702" i="74"/>
  <c r="J1703" i="74"/>
  <c r="J1704" i="74"/>
  <c r="J1705" i="74"/>
  <c r="J1706" i="74"/>
  <c r="J1707" i="74"/>
  <c r="J1708" i="74"/>
  <c r="J1709" i="74"/>
  <c r="J1710" i="74"/>
  <c r="J1711" i="74"/>
  <c r="J1712" i="74"/>
  <c r="J1713" i="74"/>
  <c r="J1714" i="74"/>
  <c r="J1715" i="74"/>
  <c r="J1716" i="74"/>
  <c r="J1717" i="74"/>
  <c r="J1718" i="74"/>
  <c r="J1719" i="74"/>
  <c r="J1720" i="74"/>
  <c r="J1721" i="74"/>
  <c r="J1722" i="74"/>
  <c r="J1723" i="74"/>
  <c r="J1724" i="74"/>
  <c r="J1725" i="74"/>
  <c r="J1726" i="74"/>
  <c r="J1727" i="74"/>
  <c r="J1728" i="74"/>
  <c r="J1729" i="74"/>
  <c r="J1730" i="74"/>
  <c r="J1731" i="74"/>
  <c r="J1732" i="74"/>
  <c r="J1733" i="74"/>
  <c r="J1734" i="74"/>
  <c r="J1735" i="74"/>
  <c r="J1736" i="74"/>
  <c r="J1737" i="74"/>
  <c r="J1738" i="74"/>
  <c r="J1739" i="74"/>
  <c r="J1740" i="74"/>
  <c r="J1741" i="74"/>
  <c r="J1742" i="74"/>
  <c r="J1743" i="74"/>
  <c r="J1744" i="74"/>
  <c r="J1745" i="74"/>
  <c r="J1746" i="74"/>
  <c r="J2" i="74"/>
  <c r="I3" i="74"/>
  <c r="I4" i="74"/>
  <c r="I5" i="74"/>
  <c r="I6" i="74"/>
  <c r="I7" i="74"/>
  <c r="I8" i="74"/>
  <c r="I9" i="74"/>
  <c r="I10" i="74"/>
  <c r="I11" i="74"/>
  <c r="I12" i="74"/>
  <c r="I13" i="74"/>
  <c r="I14" i="74"/>
  <c r="I15" i="74"/>
  <c r="I16" i="74"/>
  <c r="I17" i="74"/>
  <c r="I18" i="74"/>
  <c r="I19" i="74"/>
  <c r="I20" i="74"/>
  <c r="I21" i="74"/>
  <c r="I22" i="74"/>
  <c r="I23" i="74"/>
  <c r="I24" i="74"/>
  <c r="I25" i="74"/>
  <c r="I26" i="74"/>
  <c r="I27" i="74"/>
  <c r="I28" i="74"/>
  <c r="I29" i="74"/>
  <c r="I30" i="74"/>
  <c r="I31" i="74"/>
  <c r="I32" i="74"/>
  <c r="I33" i="74"/>
  <c r="I34" i="74"/>
  <c r="I35" i="74"/>
  <c r="I36" i="74"/>
  <c r="I37" i="74"/>
  <c r="I38" i="74"/>
  <c r="I39" i="74"/>
  <c r="I40" i="74"/>
  <c r="I41" i="74"/>
  <c r="I42" i="74"/>
  <c r="I43" i="74"/>
  <c r="I44" i="74"/>
  <c r="I45" i="74"/>
  <c r="I46" i="74"/>
  <c r="I47" i="74"/>
  <c r="I48" i="74"/>
  <c r="I49" i="74"/>
  <c r="I50" i="74"/>
  <c r="I51" i="74"/>
  <c r="I52" i="74"/>
  <c r="I53" i="74"/>
  <c r="I54" i="74"/>
  <c r="I55" i="74"/>
  <c r="I56" i="74"/>
  <c r="I57" i="74"/>
  <c r="I58" i="74"/>
  <c r="I59" i="74"/>
  <c r="I60" i="74"/>
  <c r="I61" i="74"/>
  <c r="I62" i="74"/>
  <c r="I63" i="74"/>
  <c r="I64" i="74"/>
  <c r="I65" i="74"/>
  <c r="I66" i="74"/>
  <c r="I67" i="74"/>
  <c r="I68" i="74"/>
  <c r="I69" i="74"/>
  <c r="I70" i="74"/>
  <c r="I71" i="74"/>
  <c r="I72" i="74"/>
  <c r="I73" i="74"/>
  <c r="I74" i="74"/>
  <c r="I75" i="74"/>
  <c r="I76" i="74"/>
  <c r="I77" i="74"/>
  <c r="I78" i="74"/>
  <c r="I79" i="74"/>
  <c r="I80" i="74"/>
  <c r="I81" i="74"/>
  <c r="I82" i="74"/>
  <c r="I83" i="74"/>
  <c r="I84" i="74"/>
  <c r="I85" i="74"/>
  <c r="I86" i="74"/>
  <c r="I87" i="74"/>
  <c r="I88" i="74"/>
  <c r="I89" i="74"/>
  <c r="I90" i="74"/>
  <c r="I91" i="74"/>
  <c r="I92" i="74"/>
  <c r="I93" i="74"/>
  <c r="I94" i="74"/>
  <c r="I95" i="74"/>
  <c r="I96" i="74"/>
  <c r="I97" i="74"/>
  <c r="I98" i="74"/>
  <c r="I99" i="74"/>
  <c r="I100" i="74"/>
  <c r="I101" i="74"/>
  <c r="I102" i="74"/>
  <c r="I103" i="74"/>
  <c r="I104" i="74"/>
  <c r="I105" i="74"/>
  <c r="I106" i="74"/>
  <c r="I107" i="74"/>
  <c r="I108" i="74"/>
  <c r="I109" i="74"/>
  <c r="I110" i="74"/>
  <c r="I111" i="74"/>
  <c r="I112" i="74"/>
  <c r="I113" i="74"/>
  <c r="I114" i="74"/>
  <c r="I115" i="74"/>
  <c r="I116" i="74"/>
  <c r="I117" i="74"/>
  <c r="I118" i="74"/>
  <c r="I119" i="74"/>
  <c r="I120" i="74"/>
  <c r="I121" i="74"/>
  <c r="I122" i="74"/>
  <c r="I123" i="74"/>
  <c r="I124" i="74"/>
  <c r="I125" i="74"/>
  <c r="I126" i="74"/>
  <c r="I127" i="74"/>
  <c r="I128" i="74"/>
  <c r="I129" i="74"/>
  <c r="I130" i="74"/>
  <c r="I131" i="74"/>
  <c r="I132" i="74"/>
  <c r="I133" i="74"/>
  <c r="I134" i="74"/>
  <c r="I135" i="74"/>
  <c r="I136" i="74"/>
  <c r="I137" i="74"/>
  <c r="I138" i="74"/>
  <c r="I139" i="74"/>
  <c r="I140" i="74"/>
  <c r="I141" i="74"/>
  <c r="I142" i="74"/>
  <c r="I143" i="74"/>
  <c r="I144" i="74"/>
  <c r="I145" i="74"/>
  <c r="I146" i="74"/>
  <c r="I147" i="74"/>
  <c r="I148" i="74"/>
  <c r="I149" i="74"/>
  <c r="I150" i="74"/>
  <c r="I151" i="74"/>
  <c r="I152" i="74"/>
  <c r="I153" i="74"/>
  <c r="I154" i="74"/>
  <c r="I155" i="74"/>
  <c r="I156" i="74"/>
  <c r="I157" i="74"/>
  <c r="I158" i="74"/>
  <c r="I159" i="74"/>
  <c r="I160" i="74"/>
  <c r="I161" i="74"/>
  <c r="I162" i="74"/>
  <c r="I163" i="74"/>
  <c r="I164" i="74"/>
  <c r="I165" i="74"/>
  <c r="I166" i="74"/>
  <c r="I167" i="74"/>
  <c r="I168" i="74"/>
  <c r="I169" i="74"/>
  <c r="I170" i="74"/>
  <c r="I171" i="74"/>
  <c r="I172" i="74"/>
  <c r="I173" i="74"/>
  <c r="I174" i="74"/>
  <c r="I175" i="74"/>
  <c r="I176" i="74"/>
  <c r="I177" i="74"/>
  <c r="I178" i="74"/>
  <c r="I179" i="74"/>
  <c r="I180" i="74"/>
  <c r="I181" i="74"/>
  <c r="I182" i="74"/>
  <c r="I183" i="74"/>
  <c r="I184" i="74"/>
  <c r="I185" i="74"/>
  <c r="I186" i="74"/>
  <c r="I187" i="74"/>
  <c r="I188" i="74"/>
  <c r="I189" i="74"/>
  <c r="I190" i="74"/>
  <c r="I191" i="74"/>
  <c r="I192" i="74"/>
  <c r="I193" i="74"/>
  <c r="I194" i="74"/>
  <c r="I195" i="74"/>
  <c r="I196" i="74"/>
  <c r="I197" i="74"/>
  <c r="I198" i="74"/>
  <c r="I199" i="74"/>
  <c r="I200" i="74"/>
  <c r="I201" i="74"/>
  <c r="I202" i="74"/>
  <c r="I203" i="74"/>
  <c r="I204" i="74"/>
  <c r="I205" i="74"/>
  <c r="I206" i="74"/>
  <c r="I207" i="74"/>
  <c r="I208" i="74"/>
  <c r="I209" i="74"/>
  <c r="I210" i="74"/>
  <c r="I211" i="74"/>
  <c r="I212" i="74"/>
  <c r="I213" i="74"/>
  <c r="I214" i="74"/>
  <c r="I215" i="74"/>
  <c r="I216" i="74"/>
  <c r="I217" i="74"/>
  <c r="I218" i="74"/>
  <c r="I219" i="74"/>
  <c r="I220" i="74"/>
  <c r="I221" i="74"/>
  <c r="I222" i="74"/>
  <c r="I223" i="74"/>
  <c r="I224" i="74"/>
  <c r="I225" i="74"/>
  <c r="I226" i="74"/>
  <c r="I227" i="74"/>
  <c r="I228" i="74"/>
  <c r="I229" i="74"/>
  <c r="I230" i="74"/>
  <c r="I231" i="74"/>
  <c r="I232" i="74"/>
  <c r="I233" i="74"/>
  <c r="I234" i="74"/>
  <c r="I235" i="74"/>
  <c r="I236" i="74"/>
  <c r="I237" i="74"/>
  <c r="I238" i="74"/>
  <c r="I239" i="74"/>
  <c r="I240" i="74"/>
  <c r="I241" i="74"/>
  <c r="I242" i="74"/>
  <c r="I243" i="74"/>
  <c r="I244" i="74"/>
  <c r="I245" i="74"/>
  <c r="I246" i="74"/>
  <c r="I247" i="74"/>
  <c r="I248" i="74"/>
  <c r="I249" i="74"/>
  <c r="I250" i="74"/>
  <c r="I251" i="74"/>
  <c r="I252" i="74"/>
  <c r="I253" i="74"/>
  <c r="I254" i="74"/>
  <c r="I255" i="74"/>
  <c r="I256" i="74"/>
  <c r="I257" i="74"/>
  <c r="I258" i="74"/>
  <c r="I259" i="74"/>
  <c r="I260" i="74"/>
  <c r="I261" i="74"/>
  <c r="I262" i="74"/>
  <c r="I263" i="74"/>
  <c r="I264" i="74"/>
  <c r="I265" i="74"/>
  <c r="I266" i="74"/>
  <c r="I267" i="74"/>
  <c r="I268" i="74"/>
  <c r="I269" i="74"/>
  <c r="I270" i="74"/>
  <c r="I271" i="74"/>
  <c r="I272" i="74"/>
  <c r="I273" i="74"/>
  <c r="I274" i="74"/>
  <c r="I275" i="74"/>
  <c r="I276" i="74"/>
  <c r="I277" i="74"/>
  <c r="I278" i="74"/>
  <c r="I279" i="74"/>
  <c r="I280" i="74"/>
  <c r="I281" i="74"/>
  <c r="I282" i="74"/>
  <c r="I283" i="74"/>
  <c r="I284" i="74"/>
  <c r="I285" i="74"/>
  <c r="I286" i="74"/>
  <c r="I287" i="74"/>
  <c r="I288" i="74"/>
  <c r="I289" i="74"/>
  <c r="I290" i="74"/>
  <c r="I291" i="74"/>
  <c r="I292" i="74"/>
  <c r="I293" i="74"/>
  <c r="I294" i="74"/>
  <c r="I295" i="74"/>
  <c r="I296" i="74"/>
  <c r="I297" i="74"/>
  <c r="I298" i="74"/>
  <c r="I299" i="74"/>
  <c r="I300" i="74"/>
  <c r="I301" i="74"/>
  <c r="I302" i="74"/>
  <c r="I303" i="74"/>
  <c r="I304" i="74"/>
  <c r="I305" i="74"/>
  <c r="I306" i="74"/>
  <c r="I307" i="74"/>
  <c r="I308" i="74"/>
  <c r="I309" i="74"/>
  <c r="I310" i="74"/>
  <c r="I311" i="74"/>
  <c r="I312" i="74"/>
  <c r="I313" i="74"/>
  <c r="I314" i="74"/>
  <c r="I315" i="74"/>
  <c r="I316" i="74"/>
  <c r="I317" i="74"/>
  <c r="I318" i="74"/>
  <c r="I319" i="74"/>
  <c r="I320" i="74"/>
  <c r="I321" i="74"/>
  <c r="I322" i="74"/>
  <c r="I323" i="74"/>
  <c r="I324" i="74"/>
  <c r="I325" i="74"/>
  <c r="I326" i="74"/>
  <c r="I327" i="74"/>
  <c r="I328" i="74"/>
  <c r="I329" i="74"/>
  <c r="I330" i="74"/>
  <c r="I331" i="74"/>
  <c r="I332" i="74"/>
  <c r="I333" i="74"/>
  <c r="I334" i="74"/>
  <c r="I335" i="74"/>
  <c r="I336" i="74"/>
  <c r="I337" i="74"/>
  <c r="I338" i="74"/>
  <c r="I339" i="74"/>
  <c r="I340" i="74"/>
  <c r="I341" i="74"/>
  <c r="I342" i="74"/>
  <c r="I343" i="74"/>
  <c r="I344" i="74"/>
  <c r="I345" i="74"/>
  <c r="I346" i="74"/>
  <c r="I347" i="74"/>
  <c r="I348" i="74"/>
  <c r="I349" i="74"/>
  <c r="I350" i="74"/>
  <c r="I351" i="74"/>
  <c r="I352" i="74"/>
  <c r="I353" i="74"/>
  <c r="I354" i="74"/>
  <c r="I355" i="74"/>
  <c r="I356" i="74"/>
  <c r="I357" i="74"/>
  <c r="I358" i="74"/>
  <c r="I359" i="74"/>
  <c r="I360" i="74"/>
  <c r="I361" i="74"/>
  <c r="I362" i="74"/>
  <c r="I363" i="74"/>
  <c r="I364" i="74"/>
  <c r="I365" i="74"/>
  <c r="I366" i="74"/>
  <c r="I367" i="74"/>
  <c r="I368" i="74"/>
  <c r="I369" i="74"/>
  <c r="I370" i="74"/>
  <c r="I371" i="74"/>
  <c r="I372" i="74"/>
  <c r="I373" i="74"/>
  <c r="I374" i="74"/>
  <c r="I375" i="74"/>
  <c r="I376" i="74"/>
  <c r="I377" i="74"/>
  <c r="I378" i="74"/>
  <c r="I379" i="74"/>
  <c r="I380" i="74"/>
  <c r="I381" i="74"/>
  <c r="I382" i="74"/>
  <c r="I383" i="74"/>
  <c r="I384" i="74"/>
  <c r="I385" i="74"/>
  <c r="I386" i="74"/>
  <c r="I387" i="74"/>
  <c r="I388" i="74"/>
  <c r="I389" i="74"/>
  <c r="I390" i="74"/>
  <c r="I391" i="74"/>
  <c r="I392" i="74"/>
  <c r="I393" i="74"/>
  <c r="I394" i="74"/>
  <c r="I395" i="74"/>
  <c r="I396" i="74"/>
  <c r="I397" i="74"/>
  <c r="I398" i="74"/>
  <c r="I399" i="74"/>
  <c r="I400" i="74"/>
  <c r="I401" i="74"/>
  <c r="I402" i="74"/>
  <c r="I403" i="74"/>
  <c r="I404" i="74"/>
  <c r="I405" i="74"/>
  <c r="I406" i="74"/>
  <c r="I407" i="74"/>
  <c r="I408" i="74"/>
  <c r="I409" i="74"/>
  <c r="I410" i="74"/>
  <c r="I411" i="74"/>
  <c r="I412" i="74"/>
  <c r="I413" i="74"/>
  <c r="I414" i="74"/>
  <c r="I415" i="74"/>
  <c r="I416" i="74"/>
  <c r="I417" i="74"/>
  <c r="I418" i="74"/>
  <c r="I419" i="74"/>
  <c r="I420" i="74"/>
  <c r="I421" i="74"/>
  <c r="I422" i="74"/>
  <c r="I423" i="74"/>
  <c r="I424" i="74"/>
  <c r="I425" i="74"/>
  <c r="I426" i="74"/>
  <c r="I427" i="74"/>
  <c r="I428" i="74"/>
  <c r="I429" i="74"/>
  <c r="I430" i="74"/>
  <c r="I431" i="74"/>
  <c r="I432" i="74"/>
  <c r="I433" i="74"/>
  <c r="I434" i="74"/>
  <c r="I435" i="74"/>
  <c r="I436" i="74"/>
  <c r="I437" i="74"/>
  <c r="I438" i="74"/>
  <c r="I439" i="74"/>
  <c r="I440" i="74"/>
  <c r="I441" i="74"/>
  <c r="I442" i="74"/>
  <c r="I443" i="74"/>
  <c r="I444" i="74"/>
  <c r="I445" i="74"/>
  <c r="I446" i="74"/>
  <c r="I447" i="74"/>
  <c r="I448" i="74"/>
  <c r="I449" i="74"/>
  <c r="I450" i="74"/>
  <c r="I451" i="74"/>
  <c r="I452" i="74"/>
  <c r="I453" i="74"/>
  <c r="I454" i="74"/>
  <c r="I455" i="74"/>
  <c r="I456" i="74"/>
  <c r="I457" i="74"/>
  <c r="I458" i="74"/>
  <c r="I459" i="74"/>
  <c r="I460" i="74"/>
  <c r="I461" i="74"/>
  <c r="I462" i="74"/>
  <c r="I463" i="74"/>
  <c r="I464" i="74"/>
  <c r="I465" i="74"/>
  <c r="I466" i="74"/>
  <c r="I467" i="74"/>
  <c r="I468" i="74"/>
  <c r="I469" i="74"/>
  <c r="I470" i="74"/>
  <c r="I471" i="74"/>
  <c r="I472" i="74"/>
  <c r="I473" i="74"/>
  <c r="I474" i="74"/>
  <c r="I475" i="74"/>
  <c r="I476" i="74"/>
  <c r="I477" i="74"/>
  <c r="I478" i="74"/>
  <c r="I479" i="74"/>
  <c r="I480" i="74"/>
  <c r="I481" i="74"/>
  <c r="I482" i="74"/>
  <c r="I483" i="74"/>
  <c r="I484" i="74"/>
  <c r="I485" i="74"/>
  <c r="I486" i="74"/>
  <c r="I487" i="74"/>
  <c r="I488" i="74"/>
  <c r="I489" i="74"/>
  <c r="I490" i="74"/>
  <c r="I491" i="74"/>
  <c r="I492" i="74"/>
  <c r="I493" i="74"/>
  <c r="I494" i="74"/>
  <c r="I495" i="74"/>
  <c r="I496" i="74"/>
  <c r="I497" i="74"/>
  <c r="I498" i="74"/>
  <c r="I499" i="74"/>
  <c r="I500" i="74"/>
  <c r="I501" i="74"/>
  <c r="I502" i="74"/>
  <c r="I503" i="74"/>
  <c r="I504" i="74"/>
  <c r="I505" i="74"/>
  <c r="I506" i="74"/>
  <c r="I507" i="74"/>
  <c r="I508" i="74"/>
  <c r="I509" i="74"/>
  <c r="I510" i="74"/>
  <c r="I511" i="74"/>
  <c r="I512" i="74"/>
  <c r="I513" i="74"/>
  <c r="I514" i="74"/>
  <c r="I515" i="74"/>
  <c r="I516" i="74"/>
  <c r="I517" i="74"/>
  <c r="I518" i="74"/>
  <c r="I519" i="74"/>
  <c r="I520" i="74"/>
  <c r="I521" i="74"/>
  <c r="I522" i="74"/>
  <c r="I523" i="74"/>
  <c r="I524" i="74"/>
  <c r="I525" i="74"/>
  <c r="I526" i="74"/>
  <c r="I527" i="74"/>
  <c r="I528" i="74"/>
  <c r="I529" i="74"/>
  <c r="I530" i="74"/>
  <c r="I531" i="74"/>
  <c r="I532" i="74"/>
  <c r="I533" i="74"/>
  <c r="I534" i="74"/>
  <c r="I535" i="74"/>
  <c r="I536" i="74"/>
  <c r="I537" i="74"/>
  <c r="I538" i="74"/>
  <c r="I539" i="74"/>
  <c r="I540" i="74"/>
  <c r="I541" i="74"/>
  <c r="I542" i="74"/>
  <c r="I543" i="74"/>
  <c r="I544" i="74"/>
  <c r="I545" i="74"/>
  <c r="I546" i="74"/>
  <c r="I547" i="74"/>
  <c r="I548" i="74"/>
  <c r="I549" i="74"/>
  <c r="I550" i="74"/>
  <c r="I551" i="74"/>
  <c r="I552" i="74"/>
  <c r="I553" i="74"/>
  <c r="I554" i="74"/>
  <c r="I555" i="74"/>
  <c r="I556" i="74"/>
  <c r="I557" i="74"/>
  <c r="I558" i="74"/>
  <c r="I559" i="74"/>
  <c r="I560" i="74"/>
  <c r="I561" i="74"/>
  <c r="I562" i="74"/>
  <c r="I563" i="74"/>
  <c r="I564" i="74"/>
  <c r="I565" i="74"/>
  <c r="I566" i="74"/>
  <c r="I567" i="74"/>
  <c r="I568" i="74"/>
  <c r="I569" i="74"/>
  <c r="I570" i="74"/>
  <c r="I571" i="74"/>
  <c r="I572" i="74"/>
  <c r="I573" i="74"/>
  <c r="I574" i="74"/>
  <c r="I575" i="74"/>
  <c r="I576" i="74"/>
  <c r="I577" i="74"/>
  <c r="I578" i="74"/>
  <c r="I579" i="74"/>
  <c r="I580" i="74"/>
  <c r="I581" i="74"/>
  <c r="I582" i="74"/>
  <c r="I583" i="74"/>
  <c r="I584" i="74"/>
  <c r="I585" i="74"/>
  <c r="I586" i="74"/>
  <c r="I587" i="74"/>
  <c r="I588" i="74"/>
  <c r="I589" i="74"/>
  <c r="I590" i="74"/>
  <c r="I591" i="74"/>
  <c r="I592" i="74"/>
  <c r="I593" i="74"/>
  <c r="I594" i="74"/>
  <c r="I595" i="74"/>
  <c r="I596" i="74"/>
  <c r="I597" i="74"/>
  <c r="I598" i="74"/>
  <c r="I599" i="74"/>
  <c r="I600" i="74"/>
  <c r="I601" i="74"/>
  <c r="I602" i="74"/>
  <c r="I603" i="74"/>
  <c r="I604" i="74"/>
  <c r="I605" i="74"/>
  <c r="I606" i="74"/>
  <c r="I607" i="74"/>
  <c r="I608" i="74"/>
  <c r="I609" i="74"/>
  <c r="I610" i="74"/>
  <c r="I611" i="74"/>
  <c r="I612" i="74"/>
  <c r="I613" i="74"/>
  <c r="I614" i="74"/>
  <c r="I615" i="74"/>
  <c r="I616" i="74"/>
  <c r="I617" i="74"/>
  <c r="I618" i="74"/>
  <c r="I619" i="74"/>
  <c r="I620" i="74"/>
  <c r="I621" i="74"/>
  <c r="I622" i="74"/>
  <c r="I623" i="74"/>
  <c r="I624" i="74"/>
  <c r="I625" i="74"/>
  <c r="I626" i="74"/>
  <c r="I627" i="74"/>
  <c r="I628" i="74"/>
  <c r="I629" i="74"/>
  <c r="I630" i="74"/>
  <c r="I631" i="74"/>
  <c r="I632" i="74"/>
  <c r="I633" i="74"/>
  <c r="I634" i="74"/>
  <c r="I635" i="74"/>
  <c r="I636" i="74"/>
  <c r="I637" i="74"/>
  <c r="I638" i="74"/>
  <c r="I639" i="74"/>
  <c r="I640" i="74"/>
  <c r="I641" i="74"/>
  <c r="I642" i="74"/>
  <c r="I643" i="74"/>
  <c r="I644" i="74"/>
  <c r="I645" i="74"/>
  <c r="I646" i="74"/>
  <c r="I647" i="74"/>
  <c r="I648" i="74"/>
  <c r="I649" i="74"/>
  <c r="I650" i="74"/>
  <c r="I651" i="74"/>
  <c r="I652" i="74"/>
  <c r="I653" i="74"/>
  <c r="I654" i="74"/>
  <c r="I655" i="74"/>
  <c r="I656" i="74"/>
  <c r="I657" i="74"/>
  <c r="I658" i="74"/>
  <c r="I659" i="74"/>
  <c r="I660" i="74"/>
  <c r="I661" i="74"/>
  <c r="I662" i="74"/>
  <c r="I663" i="74"/>
  <c r="I664" i="74"/>
  <c r="I665" i="74"/>
  <c r="I666" i="74"/>
  <c r="I667" i="74"/>
  <c r="I668" i="74"/>
  <c r="I669" i="74"/>
  <c r="I670" i="74"/>
  <c r="I671" i="74"/>
  <c r="I672" i="74"/>
  <c r="I673" i="74"/>
  <c r="I674" i="74"/>
  <c r="I675" i="74"/>
  <c r="I676" i="74"/>
  <c r="I677" i="74"/>
  <c r="I678" i="74"/>
  <c r="I679" i="74"/>
  <c r="I680" i="74"/>
  <c r="I681" i="74"/>
  <c r="I682" i="74"/>
  <c r="I683" i="74"/>
  <c r="I684" i="74"/>
  <c r="I685" i="74"/>
  <c r="I686" i="74"/>
  <c r="I687" i="74"/>
  <c r="I688" i="74"/>
  <c r="I689" i="74"/>
  <c r="I690" i="74"/>
  <c r="I691" i="74"/>
  <c r="I692" i="74"/>
  <c r="I693" i="74"/>
  <c r="I694" i="74"/>
  <c r="I695" i="74"/>
  <c r="I696" i="74"/>
  <c r="I697" i="74"/>
  <c r="I698" i="74"/>
  <c r="I699" i="74"/>
  <c r="I700" i="74"/>
  <c r="I701" i="74"/>
  <c r="I702" i="74"/>
  <c r="I703" i="74"/>
  <c r="I704" i="74"/>
  <c r="I705" i="74"/>
  <c r="I706" i="74"/>
  <c r="I707" i="74"/>
  <c r="I708" i="74"/>
  <c r="I709" i="74"/>
  <c r="I710" i="74"/>
  <c r="I711" i="74"/>
  <c r="I712" i="74"/>
  <c r="I713" i="74"/>
  <c r="I714" i="74"/>
  <c r="I715" i="74"/>
  <c r="I716" i="74"/>
  <c r="I717" i="74"/>
  <c r="I718" i="74"/>
  <c r="I719" i="74"/>
  <c r="I720" i="74"/>
  <c r="I721" i="74"/>
  <c r="I722" i="74"/>
  <c r="I723" i="74"/>
  <c r="I724" i="74"/>
  <c r="I725" i="74"/>
  <c r="I726" i="74"/>
  <c r="I727" i="74"/>
  <c r="I728" i="74"/>
  <c r="I729" i="74"/>
  <c r="I730" i="74"/>
  <c r="I731" i="74"/>
  <c r="I732" i="74"/>
  <c r="I733" i="74"/>
  <c r="I734" i="74"/>
  <c r="I735" i="74"/>
  <c r="I736" i="74"/>
  <c r="I737" i="74"/>
  <c r="I738" i="74"/>
  <c r="I739" i="74"/>
  <c r="I740" i="74"/>
  <c r="I741" i="74"/>
  <c r="I742" i="74"/>
  <c r="I743" i="74"/>
  <c r="I744" i="74"/>
  <c r="I745" i="74"/>
  <c r="I746" i="74"/>
  <c r="I747" i="74"/>
  <c r="I748" i="74"/>
  <c r="I749" i="74"/>
  <c r="I750" i="74"/>
  <c r="I751" i="74"/>
  <c r="I752" i="74"/>
  <c r="I753" i="74"/>
  <c r="I754" i="74"/>
  <c r="I755" i="74"/>
  <c r="I756" i="74"/>
  <c r="I757" i="74"/>
  <c r="I758" i="74"/>
  <c r="I759" i="74"/>
  <c r="I760" i="74"/>
  <c r="I761" i="74"/>
  <c r="I762" i="74"/>
  <c r="I763" i="74"/>
  <c r="I764" i="74"/>
  <c r="I765" i="74"/>
  <c r="I766" i="74"/>
  <c r="I767" i="74"/>
  <c r="I768" i="74"/>
  <c r="I769" i="74"/>
  <c r="I770" i="74"/>
  <c r="I771" i="74"/>
  <c r="I772" i="74"/>
  <c r="I773" i="74"/>
  <c r="I774" i="74"/>
  <c r="I775" i="74"/>
  <c r="I776" i="74"/>
  <c r="I777" i="74"/>
  <c r="I778" i="74"/>
  <c r="I779" i="74"/>
  <c r="I780" i="74"/>
  <c r="I781" i="74"/>
  <c r="I782" i="74"/>
  <c r="I783" i="74"/>
  <c r="I784" i="74"/>
  <c r="I785" i="74"/>
  <c r="I786" i="74"/>
  <c r="I787" i="74"/>
  <c r="I788" i="74"/>
  <c r="I789" i="74"/>
  <c r="I790" i="74"/>
  <c r="I791" i="74"/>
  <c r="I792" i="74"/>
  <c r="I793" i="74"/>
  <c r="I794" i="74"/>
  <c r="I795" i="74"/>
  <c r="I796" i="74"/>
  <c r="I797" i="74"/>
  <c r="I798" i="74"/>
  <c r="I799" i="74"/>
  <c r="I800" i="74"/>
  <c r="I801" i="74"/>
  <c r="I802" i="74"/>
  <c r="I803" i="74"/>
  <c r="I804" i="74"/>
  <c r="I805" i="74"/>
  <c r="I806" i="74"/>
  <c r="I807" i="74"/>
  <c r="I808" i="74"/>
  <c r="I809" i="74"/>
  <c r="I810" i="74"/>
  <c r="I811" i="74"/>
  <c r="I812" i="74"/>
  <c r="I813" i="74"/>
  <c r="I814" i="74"/>
  <c r="I815" i="74"/>
  <c r="I816" i="74"/>
  <c r="I817" i="74"/>
  <c r="I818" i="74"/>
  <c r="I819" i="74"/>
  <c r="I820" i="74"/>
  <c r="I821" i="74"/>
  <c r="I822" i="74"/>
  <c r="I823" i="74"/>
  <c r="I824" i="74"/>
  <c r="I825" i="74"/>
  <c r="I826" i="74"/>
  <c r="I827" i="74"/>
  <c r="I828" i="74"/>
  <c r="I829" i="74"/>
  <c r="I830" i="74"/>
  <c r="I831" i="74"/>
  <c r="I832" i="74"/>
  <c r="I833" i="74"/>
  <c r="I834" i="74"/>
  <c r="I835" i="74"/>
  <c r="I836" i="74"/>
  <c r="I837" i="74"/>
  <c r="I838" i="74"/>
  <c r="I839" i="74"/>
  <c r="I840" i="74"/>
  <c r="I841" i="74"/>
  <c r="I842" i="74"/>
  <c r="I843" i="74"/>
  <c r="I844" i="74"/>
  <c r="I845" i="74"/>
  <c r="I846" i="74"/>
  <c r="I847" i="74"/>
  <c r="I848" i="74"/>
  <c r="I849" i="74"/>
  <c r="I850" i="74"/>
  <c r="I851" i="74"/>
  <c r="I852" i="74"/>
  <c r="I853" i="74"/>
  <c r="I854" i="74"/>
  <c r="I855" i="74"/>
  <c r="I856" i="74"/>
  <c r="I857" i="74"/>
  <c r="I858" i="74"/>
  <c r="I859" i="74"/>
  <c r="I860" i="74"/>
  <c r="I861" i="74"/>
  <c r="I862" i="74"/>
  <c r="I863" i="74"/>
  <c r="I864" i="74"/>
  <c r="I865" i="74"/>
  <c r="I866" i="74"/>
  <c r="I867" i="74"/>
  <c r="I868" i="74"/>
  <c r="I869" i="74"/>
  <c r="I870" i="74"/>
  <c r="I871" i="74"/>
  <c r="I872" i="74"/>
  <c r="I873" i="74"/>
  <c r="I874" i="74"/>
  <c r="I875" i="74"/>
  <c r="I876" i="74"/>
  <c r="I877" i="74"/>
  <c r="I878" i="74"/>
  <c r="I879" i="74"/>
  <c r="I880" i="74"/>
  <c r="I881" i="74"/>
  <c r="I882" i="74"/>
  <c r="I883" i="74"/>
  <c r="I884" i="74"/>
  <c r="I885" i="74"/>
  <c r="I886" i="74"/>
  <c r="I887" i="74"/>
  <c r="I888" i="74"/>
  <c r="I889" i="74"/>
  <c r="I890" i="74"/>
  <c r="I891" i="74"/>
  <c r="I892" i="74"/>
  <c r="I893" i="74"/>
  <c r="I894" i="74"/>
  <c r="I895" i="74"/>
  <c r="I896" i="74"/>
  <c r="I897" i="74"/>
  <c r="I898" i="74"/>
  <c r="I899" i="74"/>
  <c r="I900" i="74"/>
  <c r="I901" i="74"/>
  <c r="I902" i="74"/>
  <c r="I903" i="74"/>
  <c r="I904" i="74"/>
  <c r="I905" i="74"/>
  <c r="I906" i="74"/>
  <c r="I907" i="74"/>
  <c r="I908" i="74"/>
  <c r="I909" i="74"/>
  <c r="I910" i="74"/>
  <c r="I911" i="74"/>
  <c r="I912" i="74"/>
  <c r="I913" i="74"/>
  <c r="I914" i="74"/>
  <c r="I915" i="74"/>
  <c r="I916" i="74"/>
  <c r="I917" i="74"/>
  <c r="I918" i="74"/>
  <c r="I919" i="74"/>
  <c r="I920" i="74"/>
  <c r="I921" i="74"/>
  <c r="I922" i="74"/>
  <c r="I923" i="74"/>
  <c r="I924" i="74"/>
  <c r="I925" i="74"/>
  <c r="I926" i="74"/>
  <c r="I927" i="74"/>
  <c r="I928" i="74"/>
  <c r="I929" i="74"/>
  <c r="I930" i="74"/>
  <c r="I931" i="74"/>
  <c r="I932" i="74"/>
  <c r="I933" i="74"/>
  <c r="I934" i="74"/>
  <c r="I935" i="74"/>
  <c r="I936" i="74"/>
  <c r="I937" i="74"/>
  <c r="I938" i="74"/>
  <c r="I939" i="74"/>
  <c r="I940" i="74"/>
  <c r="I941" i="74"/>
  <c r="I942" i="74"/>
  <c r="I943" i="74"/>
  <c r="I944" i="74"/>
  <c r="I945" i="74"/>
  <c r="I946" i="74"/>
  <c r="I947" i="74"/>
  <c r="I948" i="74"/>
  <c r="I949" i="74"/>
  <c r="I950" i="74"/>
  <c r="I951" i="74"/>
  <c r="I952" i="74"/>
  <c r="I953" i="74"/>
  <c r="I954" i="74"/>
  <c r="I955" i="74"/>
  <c r="I956" i="74"/>
  <c r="I957" i="74"/>
  <c r="I958" i="74"/>
  <c r="I959" i="74"/>
  <c r="I960" i="74"/>
  <c r="I961" i="74"/>
  <c r="I962" i="74"/>
  <c r="I963" i="74"/>
  <c r="I964" i="74"/>
  <c r="I965" i="74"/>
  <c r="I966" i="74"/>
  <c r="I967" i="74"/>
  <c r="I968" i="74"/>
  <c r="I969" i="74"/>
  <c r="I970" i="74"/>
  <c r="I971" i="74"/>
  <c r="I972" i="74"/>
  <c r="I973" i="74"/>
  <c r="I974" i="74"/>
  <c r="I975" i="74"/>
  <c r="I976" i="74"/>
  <c r="I977" i="74"/>
  <c r="I978" i="74"/>
  <c r="I979" i="74"/>
  <c r="I980" i="74"/>
  <c r="I981" i="74"/>
  <c r="I982" i="74"/>
  <c r="I983" i="74"/>
  <c r="I984" i="74"/>
  <c r="I985" i="74"/>
  <c r="I986" i="74"/>
  <c r="I987" i="74"/>
  <c r="I988" i="74"/>
  <c r="I989" i="74"/>
  <c r="I990" i="74"/>
  <c r="I991" i="74"/>
  <c r="I992" i="74"/>
  <c r="I993" i="74"/>
  <c r="I994" i="74"/>
  <c r="I995" i="74"/>
  <c r="I996" i="74"/>
  <c r="I997" i="74"/>
  <c r="I998" i="74"/>
  <c r="I999" i="74"/>
  <c r="I1000" i="74"/>
  <c r="I1001" i="74"/>
  <c r="I1002" i="74"/>
  <c r="I1003" i="74"/>
  <c r="I1004" i="74"/>
  <c r="I1005" i="74"/>
  <c r="I1006" i="74"/>
  <c r="I1007" i="74"/>
  <c r="I1008" i="74"/>
  <c r="I1009" i="74"/>
  <c r="I1010" i="74"/>
  <c r="I1011" i="74"/>
  <c r="I1012" i="74"/>
  <c r="I1013" i="74"/>
  <c r="I1014" i="74"/>
  <c r="I1015" i="74"/>
  <c r="I1016" i="74"/>
  <c r="I1017" i="74"/>
  <c r="I1018" i="74"/>
  <c r="I1019" i="74"/>
  <c r="I1020" i="74"/>
  <c r="I1021" i="74"/>
  <c r="I1022" i="74"/>
  <c r="I1023" i="74"/>
  <c r="I1024" i="74"/>
  <c r="I1025" i="74"/>
  <c r="I1026" i="74"/>
  <c r="I1027" i="74"/>
  <c r="I1028" i="74"/>
  <c r="I1029" i="74"/>
  <c r="I1030" i="74"/>
  <c r="I1031" i="74"/>
  <c r="I1032" i="74"/>
  <c r="I1033" i="74"/>
  <c r="I1034" i="74"/>
  <c r="I1035" i="74"/>
  <c r="I1036" i="74"/>
  <c r="I1037" i="74"/>
  <c r="I1038" i="74"/>
  <c r="I1039" i="74"/>
  <c r="I1040" i="74"/>
  <c r="I1041" i="74"/>
  <c r="I1042" i="74"/>
  <c r="I1043" i="74"/>
  <c r="I1044" i="74"/>
  <c r="I1045" i="74"/>
  <c r="I1046" i="74"/>
  <c r="I1047" i="74"/>
  <c r="I1048" i="74"/>
  <c r="I1049" i="74"/>
  <c r="I1050" i="74"/>
  <c r="I1051" i="74"/>
  <c r="I1052" i="74"/>
  <c r="I1053" i="74"/>
  <c r="I1054" i="74"/>
  <c r="I1055" i="74"/>
  <c r="I1056" i="74"/>
  <c r="I1057" i="74"/>
  <c r="I1058" i="74"/>
  <c r="I1059" i="74"/>
  <c r="I1060" i="74"/>
  <c r="I1061" i="74"/>
  <c r="I1062" i="74"/>
  <c r="I1063" i="74"/>
  <c r="I1064" i="74"/>
  <c r="I1065" i="74"/>
  <c r="I1066" i="74"/>
  <c r="I1067" i="74"/>
  <c r="I1068" i="74"/>
  <c r="I1069" i="74"/>
  <c r="I1070" i="74"/>
  <c r="I1071" i="74"/>
  <c r="I1072" i="74"/>
  <c r="I1073" i="74"/>
  <c r="I1074" i="74"/>
  <c r="I1075" i="74"/>
  <c r="I1076" i="74"/>
  <c r="I1077" i="74"/>
  <c r="I1078" i="74"/>
  <c r="I1079" i="74"/>
  <c r="I1080" i="74"/>
  <c r="I1081" i="74"/>
  <c r="I1082" i="74"/>
  <c r="I1083" i="74"/>
  <c r="I1084" i="74"/>
  <c r="I1085" i="74"/>
  <c r="I1086" i="74"/>
  <c r="I1087" i="74"/>
  <c r="I1088" i="74"/>
  <c r="I1089" i="74"/>
  <c r="I1090" i="74"/>
  <c r="I1091" i="74"/>
  <c r="I1092" i="74"/>
  <c r="I1093" i="74"/>
  <c r="I1094" i="74"/>
  <c r="I1095" i="74"/>
  <c r="I1096" i="74"/>
  <c r="I1097" i="74"/>
  <c r="I1098" i="74"/>
  <c r="I1099" i="74"/>
  <c r="I1100" i="74"/>
  <c r="I1101" i="74"/>
  <c r="I1102" i="74"/>
  <c r="I1103" i="74"/>
  <c r="I1104" i="74"/>
  <c r="I1105" i="74"/>
  <c r="I1106" i="74"/>
  <c r="I1107" i="74"/>
  <c r="I1108" i="74"/>
  <c r="I1109" i="74"/>
  <c r="I1110" i="74"/>
  <c r="I1111" i="74"/>
  <c r="I1112" i="74"/>
  <c r="I1113" i="74"/>
  <c r="I1114" i="74"/>
  <c r="I1115" i="74"/>
  <c r="I1116" i="74"/>
  <c r="I1117" i="74"/>
  <c r="I1118" i="74"/>
  <c r="I1119" i="74"/>
  <c r="I1120" i="74"/>
  <c r="I1121" i="74"/>
  <c r="I1122" i="74"/>
  <c r="I1123" i="74"/>
  <c r="I1124" i="74"/>
  <c r="I1125" i="74"/>
  <c r="I1126" i="74"/>
  <c r="I1127" i="74"/>
  <c r="I1128" i="74"/>
  <c r="I1129" i="74"/>
  <c r="I1130" i="74"/>
  <c r="I1131" i="74"/>
  <c r="I1132" i="74"/>
  <c r="I1133" i="74"/>
  <c r="I1134" i="74"/>
  <c r="I1135" i="74"/>
  <c r="I1136" i="74"/>
  <c r="I1137" i="74"/>
  <c r="I1138" i="74"/>
  <c r="I1139" i="74"/>
  <c r="I1140" i="74"/>
  <c r="I1141" i="74"/>
  <c r="I1142" i="74"/>
  <c r="I1143" i="74"/>
  <c r="I1144" i="74"/>
  <c r="I1145" i="74"/>
  <c r="I1146" i="74"/>
  <c r="I1147" i="74"/>
  <c r="I1148" i="74"/>
  <c r="I1149" i="74"/>
  <c r="I1150" i="74"/>
  <c r="I1151" i="74"/>
  <c r="I1152" i="74"/>
  <c r="I1153" i="74"/>
  <c r="I1154" i="74"/>
  <c r="I1155" i="74"/>
  <c r="I1156" i="74"/>
  <c r="I1157" i="74"/>
  <c r="I1158" i="74"/>
  <c r="I1159" i="74"/>
  <c r="I1160" i="74"/>
  <c r="I1161" i="74"/>
  <c r="I1162" i="74"/>
  <c r="I1163" i="74"/>
  <c r="I1164" i="74"/>
  <c r="I1165" i="74"/>
  <c r="I1166" i="74"/>
  <c r="I1167" i="74"/>
  <c r="I1168" i="74"/>
  <c r="I1169" i="74"/>
  <c r="I1170" i="74"/>
  <c r="I1171" i="74"/>
  <c r="I1172" i="74"/>
  <c r="I1173" i="74"/>
  <c r="I1174" i="74"/>
  <c r="I1175" i="74"/>
  <c r="I1176" i="74"/>
  <c r="I1177" i="74"/>
  <c r="I1178" i="74"/>
  <c r="I1179" i="74"/>
  <c r="I1180" i="74"/>
  <c r="I1181" i="74"/>
  <c r="I1182" i="74"/>
  <c r="I1183" i="74"/>
  <c r="I1184" i="74"/>
  <c r="I1185" i="74"/>
  <c r="I1186" i="74"/>
  <c r="I1187" i="74"/>
  <c r="I1188" i="74"/>
  <c r="I1189" i="74"/>
  <c r="I1190" i="74"/>
  <c r="I1191" i="74"/>
  <c r="I1192" i="74"/>
  <c r="I1193" i="74"/>
  <c r="I1194" i="74"/>
  <c r="I1195" i="74"/>
  <c r="I1196" i="74"/>
  <c r="I1197" i="74"/>
  <c r="I1198" i="74"/>
  <c r="I1199" i="74"/>
  <c r="I1200" i="74"/>
  <c r="I1201" i="74"/>
  <c r="I1202" i="74"/>
  <c r="I1203" i="74"/>
  <c r="I1204" i="74"/>
  <c r="I1205" i="74"/>
  <c r="I1206" i="74"/>
  <c r="I1207" i="74"/>
  <c r="I1208" i="74"/>
  <c r="I1209" i="74"/>
  <c r="I1210" i="74"/>
  <c r="I1211" i="74"/>
  <c r="I1212" i="74"/>
  <c r="I1213" i="74"/>
  <c r="I1214" i="74"/>
  <c r="I1215" i="74"/>
  <c r="I1216" i="74"/>
  <c r="I1217" i="74"/>
  <c r="I1218" i="74"/>
  <c r="I1219" i="74"/>
  <c r="I1220" i="74"/>
  <c r="I1221" i="74"/>
  <c r="I1222" i="74"/>
  <c r="I1223" i="74"/>
  <c r="I1224" i="74"/>
  <c r="I1225" i="74"/>
  <c r="I1226" i="74"/>
  <c r="I1227" i="74"/>
  <c r="I1228" i="74"/>
  <c r="I1229" i="74"/>
  <c r="I1230" i="74"/>
  <c r="I1231" i="74"/>
  <c r="I1232" i="74"/>
  <c r="I1233" i="74"/>
  <c r="I1234" i="74"/>
  <c r="I1235" i="74"/>
  <c r="I1236" i="74"/>
  <c r="I1237" i="74"/>
  <c r="I1238" i="74"/>
  <c r="I1239" i="74"/>
  <c r="I1240" i="74"/>
  <c r="I1241" i="74"/>
  <c r="I1242" i="74"/>
  <c r="I1243" i="74"/>
  <c r="I1244" i="74"/>
  <c r="I1245" i="74"/>
  <c r="I1246" i="74"/>
  <c r="I1247" i="74"/>
  <c r="I1248" i="74"/>
  <c r="I1249" i="74"/>
  <c r="I1250" i="74"/>
  <c r="I1251" i="74"/>
  <c r="I1252" i="74"/>
  <c r="I1253" i="74"/>
  <c r="I1254" i="74"/>
  <c r="I1255" i="74"/>
  <c r="I1256" i="74"/>
  <c r="I1257" i="74"/>
  <c r="I1258" i="74"/>
  <c r="I1259" i="74"/>
  <c r="I1260" i="74"/>
  <c r="I1261" i="74"/>
  <c r="I1262" i="74"/>
  <c r="I1263" i="74"/>
  <c r="I1264" i="74"/>
  <c r="I1265" i="74"/>
  <c r="I1266" i="74"/>
  <c r="I1267" i="74"/>
  <c r="I1268" i="74"/>
  <c r="I1269" i="74"/>
  <c r="I1270" i="74"/>
  <c r="I1271" i="74"/>
  <c r="I1272" i="74"/>
  <c r="I1273" i="74"/>
  <c r="I1274" i="74"/>
  <c r="I1275" i="74"/>
  <c r="I1276" i="74"/>
  <c r="I1277" i="74"/>
  <c r="I1278" i="74"/>
  <c r="I1279" i="74"/>
  <c r="I1280" i="74"/>
  <c r="I1281" i="74"/>
  <c r="I1282" i="74"/>
  <c r="I1283" i="74"/>
  <c r="I1284" i="74"/>
  <c r="I1285" i="74"/>
  <c r="I1286" i="74"/>
  <c r="I1287" i="74"/>
  <c r="I1288" i="74"/>
  <c r="I1289" i="74"/>
  <c r="I1290" i="74"/>
  <c r="I1291" i="74"/>
  <c r="I1292" i="74"/>
  <c r="I1293" i="74"/>
  <c r="I1294" i="74"/>
  <c r="I1295" i="74"/>
  <c r="I1296" i="74"/>
  <c r="I1297" i="74"/>
  <c r="I1298" i="74"/>
  <c r="I1299" i="74"/>
  <c r="I1300" i="74"/>
  <c r="I1301" i="74"/>
  <c r="I1302" i="74"/>
  <c r="I1303" i="74"/>
  <c r="I1304" i="74"/>
  <c r="I1305" i="74"/>
  <c r="I1306" i="74"/>
  <c r="I1307" i="74"/>
  <c r="I1308" i="74"/>
  <c r="I1309" i="74"/>
  <c r="I1310" i="74"/>
  <c r="I1311" i="74"/>
  <c r="I1312" i="74"/>
  <c r="I1313" i="74"/>
  <c r="I1314" i="74"/>
  <c r="I1315" i="74"/>
  <c r="I1316" i="74"/>
  <c r="I1317" i="74"/>
  <c r="I1318" i="74"/>
  <c r="I1319" i="74"/>
  <c r="I1320" i="74"/>
  <c r="I1321" i="74"/>
  <c r="I1322" i="74"/>
  <c r="I1323" i="74"/>
  <c r="I1324" i="74"/>
  <c r="I1325" i="74"/>
  <c r="I1326" i="74"/>
  <c r="I1327" i="74"/>
  <c r="I1328" i="74"/>
  <c r="I1329" i="74"/>
  <c r="I1330" i="74"/>
  <c r="I1331" i="74"/>
  <c r="I1332" i="74"/>
  <c r="I1333" i="74"/>
  <c r="I1334" i="74"/>
  <c r="I1335" i="74"/>
  <c r="I1336" i="74"/>
  <c r="I1337" i="74"/>
  <c r="I1338" i="74"/>
  <c r="I1339" i="74"/>
  <c r="I1340" i="74"/>
  <c r="I1341" i="74"/>
  <c r="I1342" i="74"/>
  <c r="I1343" i="74"/>
  <c r="I1344" i="74"/>
  <c r="I1345" i="74"/>
  <c r="I1346" i="74"/>
  <c r="I1347" i="74"/>
  <c r="I1348" i="74"/>
  <c r="I1349" i="74"/>
  <c r="I1350" i="74"/>
  <c r="I1351" i="74"/>
  <c r="I1352" i="74"/>
  <c r="I1353" i="74"/>
  <c r="I1354" i="74"/>
  <c r="I1355" i="74"/>
  <c r="I1356" i="74"/>
  <c r="I1357" i="74"/>
  <c r="I1358" i="74"/>
  <c r="I1359" i="74"/>
  <c r="I1360" i="74"/>
  <c r="I1361" i="74"/>
  <c r="I1362" i="74"/>
  <c r="I1363" i="74"/>
  <c r="I1364" i="74"/>
  <c r="I1365" i="74"/>
  <c r="I1366" i="74"/>
  <c r="I1367" i="74"/>
  <c r="I1368" i="74"/>
  <c r="I1369" i="74"/>
  <c r="I1370" i="74"/>
  <c r="I1371" i="74"/>
  <c r="I1372" i="74"/>
  <c r="I1373" i="74"/>
  <c r="I1374" i="74"/>
  <c r="I1375" i="74"/>
  <c r="I1376" i="74"/>
  <c r="I1377" i="74"/>
  <c r="I1378" i="74"/>
  <c r="I1379" i="74"/>
  <c r="I1380" i="74"/>
  <c r="I1381" i="74"/>
  <c r="I1382" i="74"/>
  <c r="I1383" i="74"/>
  <c r="I1384" i="74"/>
  <c r="I1385" i="74"/>
  <c r="I1386" i="74"/>
  <c r="I1387" i="74"/>
  <c r="I1388" i="74"/>
  <c r="I1389" i="74"/>
  <c r="I1390" i="74"/>
  <c r="I1391" i="74"/>
  <c r="I1392" i="74"/>
  <c r="I1393" i="74"/>
  <c r="I1394" i="74"/>
  <c r="I1395" i="74"/>
  <c r="I1396" i="74"/>
  <c r="I1397" i="74"/>
  <c r="I1398" i="74"/>
  <c r="I1399" i="74"/>
  <c r="I1400" i="74"/>
  <c r="I1401" i="74"/>
  <c r="I1402" i="74"/>
  <c r="I1403" i="74"/>
  <c r="I1404" i="74"/>
  <c r="I1405" i="74"/>
  <c r="I1406" i="74"/>
  <c r="I1407" i="74"/>
  <c r="I1408" i="74"/>
  <c r="I1409" i="74"/>
  <c r="I1410" i="74"/>
  <c r="I1411" i="74"/>
  <c r="I1412" i="74"/>
  <c r="I1413" i="74"/>
  <c r="I1414" i="74"/>
  <c r="I1415" i="74"/>
  <c r="I1416" i="74"/>
  <c r="I1417" i="74"/>
  <c r="I1418" i="74"/>
  <c r="I1419" i="74"/>
  <c r="I1420" i="74"/>
  <c r="I1421" i="74"/>
  <c r="I1422" i="74"/>
  <c r="I1423" i="74"/>
  <c r="I1424" i="74"/>
  <c r="I1425" i="74"/>
  <c r="I1426" i="74"/>
  <c r="I1427" i="74"/>
  <c r="I1428" i="74"/>
  <c r="I1429" i="74"/>
  <c r="I1430" i="74"/>
  <c r="I1431" i="74"/>
  <c r="I1432" i="74"/>
  <c r="I1433" i="74"/>
  <c r="I1434" i="74"/>
  <c r="I1435" i="74"/>
  <c r="I1436" i="74"/>
  <c r="I1437" i="74"/>
  <c r="I1438" i="74"/>
  <c r="I1439" i="74"/>
  <c r="I1440" i="74"/>
  <c r="I1441" i="74"/>
  <c r="I1442" i="74"/>
  <c r="I1443" i="74"/>
  <c r="I1444" i="74"/>
  <c r="I1445" i="74"/>
  <c r="I1446" i="74"/>
  <c r="I1447" i="74"/>
  <c r="I1448" i="74"/>
  <c r="I1449" i="74"/>
  <c r="I1450" i="74"/>
  <c r="I1451" i="74"/>
  <c r="I1452" i="74"/>
  <c r="I1453" i="74"/>
  <c r="I1454" i="74"/>
  <c r="I1455" i="74"/>
  <c r="I1456" i="74"/>
  <c r="I1457" i="74"/>
  <c r="I1458" i="74"/>
  <c r="I1459" i="74"/>
  <c r="I1460" i="74"/>
  <c r="I1461" i="74"/>
  <c r="I1462" i="74"/>
  <c r="I1463" i="74"/>
  <c r="I1464" i="74"/>
  <c r="I1465" i="74"/>
  <c r="I1466" i="74"/>
  <c r="I1467" i="74"/>
  <c r="I1468" i="74"/>
  <c r="I1469" i="74"/>
  <c r="I1470" i="74"/>
  <c r="I1471" i="74"/>
  <c r="I1472" i="74"/>
  <c r="I1473" i="74"/>
  <c r="I1474" i="74"/>
  <c r="I1475" i="74"/>
  <c r="I1476" i="74"/>
  <c r="I1477" i="74"/>
  <c r="I1478" i="74"/>
  <c r="I1479" i="74"/>
  <c r="I1480" i="74"/>
  <c r="I1481" i="74"/>
  <c r="I1482" i="74"/>
  <c r="I1483" i="74"/>
  <c r="I1484" i="74"/>
  <c r="I1485" i="74"/>
  <c r="I1486" i="74"/>
  <c r="I1487" i="74"/>
  <c r="I1488" i="74"/>
  <c r="I1489" i="74"/>
  <c r="I1490" i="74"/>
  <c r="I1491" i="74"/>
  <c r="I1492" i="74"/>
  <c r="I1493" i="74"/>
  <c r="I1494" i="74"/>
  <c r="I1495" i="74"/>
  <c r="I1496" i="74"/>
  <c r="I1497" i="74"/>
  <c r="I1498" i="74"/>
  <c r="I1499" i="74"/>
  <c r="I1500" i="74"/>
  <c r="I1501" i="74"/>
  <c r="I1502" i="74"/>
  <c r="I1503" i="74"/>
  <c r="I1504" i="74"/>
  <c r="I1505" i="74"/>
  <c r="I1506" i="74"/>
  <c r="I1507" i="74"/>
  <c r="I1508" i="74"/>
  <c r="I1509" i="74"/>
  <c r="I1510" i="74"/>
  <c r="I1511" i="74"/>
  <c r="I1512" i="74"/>
  <c r="I1513" i="74"/>
  <c r="I1514" i="74"/>
  <c r="I1515" i="74"/>
  <c r="I1516" i="74"/>
  <c r="I1517" i="74"/>
  <c r="I1518" i="74"/>
  <c r="I1519" i="74"/>
  <c r="I1520" i="74"/>
  <c r="I1521" i="74"/>
  <c r="I1522" i="74"/>
  <c r="I1523" i="74"/>
  <c r="I1524" i="74"/>
  <c r="I1525" i="74"/>
  <c r="I1526" i="74"/>
  <c r="I1527" i="74"/>
  <c r="I1528" i="74"/>
  <c r="I1529" i="74"/>
  <c r="I1530" i="74"/>
  <c r="I1531" i="74"/>
  <c r="I1532" i="74"/>
  <c r="I1533" i="74"/>
  <c r="I1534" i="74"/>
  <c r="I1535" i="74"/>
  <c r="I1536" i="74"/>
  <c r="I1537" i="74"/>
  <c r="I1538" i="74"/>
  <c r="I1539" i="74"/>
  <c r="I1540" i="74"/>
  <c r="I1541" i="74"/>
  <c r="I1542" i="74"/>
  <c r="I1543" i="74"/>
  <c r="I1544" i="74"/>
  <c r="I1545" i="74"/>
  <c r="I1546" i="74"/>
  <c r="I1547" i="74"/>
  <c r="I1548" i="74"/>
  <c r="I1549" i="74"/>
  <c r="I1550" i="74"/>
  <c r="I1551" i="74"/>
  <c r="I1552" i="74"/>
  <c r="I1553" i="74"/>
  <c r="I1554" i="74"/>
  <c r="I1555" i="74"/>
  <c r="I1556" i="74"/>
  <c r="I1557" i="74"/>
  <c r="I1558" i="74"/>
  <c r="I1559" i="74"/>
  <c r="I1560" i="74"/>
  <c r="I1561" i="74"/>
  <c r="I1562" i="74"/>
  <c r="I1563" i="74"/>
  <c r="I1564" i="74"/>
  <c r="I1565" i="74"/>
  <c r="I1566" i="74"/>
  <c r="I1567" i="74"/>
  <c r="I1568" i="74"/>
  <c r="I1569" i="74"/>
  <c r="I1570" i="74"/>
  <c r="I1571" i="74"/>
  <c r="I1572" i="74"/>
  <c r="I1573" i="74"/>
  <c r="I1574" i="74"/>
  <c r="I1575" i="74"/>
  <c r="I1576" i="74"/>
  <c r="I1577" i="74"/>
  <c r="I1578" i="74"/>
  <c r="I1579" i="74"/>
  <c r="I1580" i="74"/>
  <c r="I1581" i="74"/>
  <c r="I1582" i="74"/>
  <c r="I1583" i="74"/>
  <c r="I1584" i="74"/>
  <c r="I1585" i="74"/>
  <c r="I1586" i="74"/>
  <c r="I1587" i="74"/>
  <c r="I1588" i="74"/>
  <c r="I1589" i="74"/>
  <c r="I1590" i="74"/>
  <c r="I1591" i="74"/>
  <c r="I1592" i="74"/>
  <c r="I1593" i="74"/>
  <c r="I1594" i="74"/>
  <c r="I1595" i="74"/>
  <c r="I1596" i="74"/>
  <c r="I1597" i="74"/>
  <c r="I1598" i="74"/>
  <c r="I1599" i="74"/>
  <c r="I1600" i="74"/>
  <c r="I1601" i="74"/>
  <c r="I1602" i="74"/>
  <c r="I1603" i="74"/>
  <c r="I1604" i="74"/>
  <c r="I1605" i="74"/>
  <c r="I1606" i="74"/>
  <c r="I1607" i="74"/>
  <c r="I1608" i="74"/>
  <c r="I1609" i="74"/>
  <c r="I1610" i="74"/>
  <c r="I1611" i="74"/>
  <c r="I1612" i="74"/>
  <c r="I1613" i="74"/>
  <c r="I1614" i="74"/>
  <c r="I1615" i="74"/>
  <c r="I1616" i="74"/>
  <c r="I1617" i="74"/>
  <c r="I1618" i="74"/>
  <c r="I1619" i="74"/>
  <c r="I1620" i="74"/>
  <c r="I1621" i="74"/>
  <c r="I1622" i="74"/>
  <c r="I1623" i="74"/>
  <c r="I1624" i="74"/>
  <c r="I1625" i="74"/>
  <c r="I1626" i="74"/>
  <c r="I1627" i="74"/>
  <c r="I1628" i="74"/>
  <c r="I1629" i="74"/>
  <c r="I1630" i="74"/>
  <c r="I1631" i="74"/>
  <c r="I1632" i="74"/>
  <c r="I1633" i="74"/>
  <c r="I1634" i="74"/>
  <c r="I1635" i="74"/>
  <c r="I1636" i="74"/>
  <c r="I1637" i="74"/>
  <c r="I1638" i="74"/>
  <c r="I1639" i="74"/>
  <c r="I1640" i="74"/>
  <c r="I1641" i="74"/>
  <c r="I1642" i="74"/>
  <c r="I1643" i="74"/>
  <c r="I1644" i="74"/>
  <c r="I1645" i="74"/>
  <c r="I1646" i="74"/>
  <c r="I1647" i="74"/>
  <c r="I1648" i="74"/>
  <c r="I1649" i="74"/>
  <c r="I1650" i="74"/>
  <c r="I1651" i="74"/>
  <c r="I1652" i="74"/>
  <c r="I1653" i="74"/>
  <c r="I1654" i="74"/>
  <c r="I1655" i="74"/>
  <c r="I1656" i="74"/>
  <c r="I1657" i="74"/>
  <c r="I1658" i="74"/>
  <c r="I1659" i="74"/>
  <c r="I1660" i="74"/>
  <c r="I1661" i="74"/>
  <c r="I1662" i="74"/>
  <c r="I1663" i="74"/>
  <c r="I1664" i="74"/>
  <c r="I1665" i="74"/>
  <c r="I1666" i="74"/>
  <c r="I1667" i="74"/>
  <c r="I1668" i="74"/>
  <c r="I1669" i="74"/>
  <c r="I1670" i="74"/>
  <c r="I1671" i="74"/>
  <c r="I1672" i="74"/>
  <c r="I1673" i="74"/>
  <c r="I1674" i="74"/>
  <c r="I1675" i="74"/>
  <c r="I1676" i="74"/>
  <c r="I1677" i="74"/>
  <c r="I1678" i="74"/>
  <c r="I1679" i="74"/>
  <c r="I1680" i="74"/>
  <c r="I1681" i="74"/>
  <c r="I1682" i="74"/>
  <c r="I1683" i="74"/>
  <c r="I1684" i="74"/>
  <c r="I1685" i="74"/>
  <c r="I1686" i="74"/>
  <c r="I1687" i="74"/>
  <c r="I1688" i="74"/>
  <c r="I1689" i="74"/>
  <c r="I1690" i="74"/>
  <c r="I1691" i="74"/>
  <c r="I1692" i="74"/>
  <c r="I1693" i="74"/>
  <c r="I1694" i="74"/>
  <c r="I1695" i="74"/>
  <c r="I1696" i="74"/>
  <c r="I1697" i="74"/>
  <c r="I1698" i="74"/>
  <c r="I1699" i="74"/>
  <c r="I1700" i="74"/>
  <c r="I1701" i="74"/>
  <c r="I1702" i="74"/>
  <c r="I1703" i="74"/>
  <c r="I1704" i="74"/>
  <c r="I1705" i="74"/>
  <c r="I1706" i="74"/>
  <c r="I1707" i="74"/>
  <c r="I1708" i="74"/>
  <c r="I1709" i="74"/>
  <c r="I1710" i="74"/>
  <c r="I1711" i="74"/>
  <c r="I1712" i="74"/>
  <c r="I1713" i="74"/>
  <c r="I1714" i="74"/>
  <c r="I1715" i="74"/>
  <c r="I1716" i="74"/>
  <c r="I1717" i="74"/>
  <c r="I1718" i="74"/>
  <c r="I1719" i="74"/>
  <c r="I1720" i="74"/>
  <c r="I1721" i="74"/>
  <c r="I1722" i="74"/>
  <c r="I1723" i="74"/>
  <c r="I1724" i="74"/>
  <c r="I1725" i="74"/>
  <c r="I1726" i="74"/>
  <c r="I1727" i="74"/>
  <c r="I1728" i="74"/>
  <c r="I1729" i="74"/>
  <c r="I1730" i="74"/>
  <c r="I1731" i="74"/>
  <c r="I1732" i="74"/>
  <c r="I1733" i="74"/>
  <c r="I1734" i="74"/>
  <c r="I1735" i="74"/>
  <c r="I1736" i="74"/>
  <c r="I1737" i="74"/>
  <c r="I1738" i="74"/>
  <c r="I1739" i="74"/>
  <c r="I1740" i="74"/>
  <c r="I1741" i="74"/>
  <c r="I1742" i="74"/>
  <c r="I1743" i="74"/>
  <c r="I1744" i="74"/>
  <c r="I1745" i="74"/>
  <c r="I1746" i="74"/>
  <c r="I2" i="74"/>
  <c r="H3" i="74"/>
  <c r="H4" i="74"/>
  <c r="H5" i="74"/>
  <c r="H6" i="74"/>
  <c r="H7" i="74"/>
  <c r="H8" i="74"/>
  <c r="H9" i="74"/>
  <c r="H10" i="74"/>
  <c r="H11" i="74"/>
  <c r="H12" i="74"/>
  <c r="H13" i="74"/>
  <c r="H14" i="74"/>
  <c r="H15" i="74"/>
  <c r="H16" i="74"/>
  <c r="H17" i="74"/>
  <c r="H18" i="74"/>
  <c r="H19" i="74"/>
  <c r="H20" i="74"/>
  <c r="H21" i="74"/>
  <c r="H22" i="74"/>
  <c r="H23" i="74"/>
  <c r="H24" i="74"/>
  <c r="H25" i="74"/>
  <c r="H26" i="74"/>
  <c r="H27" i="74"/>
  <c r="H28" i="74"/>
  <c r="H29" i="74"/>
  <c r="H30" i="74"/>
  <c r="H31" i="74"/>
  <c r="H32" i="74"/>
  <c r="H33" i="74"/>
  <c r="H34" i="74"/>
  <c r="H35" i="74"/>
  <c r="H36" i="74"/>
  <c r="H37" i="74"/>
  <c r="H38" i="74"/>
  <c r="H39" i="74"/>
  <c r="H40" i="74"/>
  <c r="H41" i="74"/>
  <c r="H42" i="74"/>
  <c r="H43" i="74"/>
  <c r="H44" i="74"/>
  <c r="H45" i="74"/>
  <c r="H46" i="74"/>
  <c r="H47" i="74"/>
  <c r="H48" i="74"/>
  <c r="H49" i="74"/>
  <c r="H50" i="74"/>
  <c r="H51" i="74"/>
  <c r="H52" i="74"/>
  <c r="H53" i="74"/>
  <c r="H54" i="74"/>
  <c r="H55" i="74"/>
  <c r="H56" i="74"/>
  <c r="H57" i="74"/>
  <c r="H58" i="74"/>
  <c r="H59" i="74"/>
  <c r="H60" i="74"/>
  <c r="H61" i="74"/>
  <c r="H62" i="74"/>
  <c r="H63" i="74"/>
  <c r="H64" i="74"/>
  <c r="H65" i="74"/>
  <c r="H66" i="74"/>
  <c r="H67" i="74"/>
  <c r="H68" i="74"/>
  <c r="H69" i="74"/>
  <c r="H70" i="74"/>
  <c r="H71" i="74"/>
  <c r="H72" i="74"/>
  <c r="H73" i="74"/>
  <c r="H74" i="74"/>
  <c r="H75" i="74"/>
  <c r="H76" i="74"/>
  <c r="H77" i="74"/>
  <c r="H78" i="74"/>
  <c r="H79" i="74"/>
  <c r="H80" i="74"/>
  <c r="H81" i="74"/>
  <c r="H82" i="74"/>
  <c r="H83" i="74"/>
  <c r="H84" i="74"/>
  <c r="H85" i="74"/>
  <c r="H86" i="74"/>
  <c r="H87" i="74"/>
  <c r="H88" i="74"/>
  <c r="H89" i="74"/>
  <c r="H90" i="74"/>
  <c r="H91" i="74"/>
  <c r="H92" i="74"/>
  <c r="H93" i="74"/>
  <c r="H94" i="74"/>
  <c r="H95" i="74"/>
  <c r="H96" i="74"/>
  <c r="H97" i="74"/>
  <c r="H98" i="74"/>
  <c r="H99" i="74"/>
  <c r="H100" i="74"/>
  <c r="H101" i="74"/>
  <c r="H102" i="74"/>
  <c r="H103" i="74"/>
  <c r="H104" i="74"/>
  <c r="H105" i="74"/>
  <c r="H106" i="74"/>
  <c r="H107" i="74"/>
  <c r="H108" i="74"/>
  <c r="H109" i="74"/>
  <c r="H110" i="74"/>
  <c r="H111" i="74"/>
  <c r="H112" i="74"/>
  <c r="H113" i="74"/>
  <c r="H114" i="74"/>
  <c r="H115" i="74"/>
  <c r="H116" i="74"/>
  <c r="H117" i="74"/>
  <c r="H118" i="74"/>
  <c r="H119" i="74"/>
  <c r="H120" i="74"/>
  <c r="H121" i="74"/>
  <c r="H122" i="74"/>
  <c r="H123" i="74"/>
  <c r="H124" i="74"/>
  <c r="H125" i="74"/>
  <c r="H126" i="74"/>
  <c r="H127" i="74"/>
  <c r="H128" i="74"/>
  <c r="H129" i="74"/>
  <c r="H130" i="74"/>
  <c r="H131" i="74"/>
  <c r="H132" i="74"/>
  <c r="H133" i="74"/>
  <c r="H134" i="74"/>
  <c r="H135" i="74"/>
  <c r="H136" i="74"/>
  <c r="H137" i="74"/>
  <c r="H138" i="74"/>
  <c r="H139" i="74"/>
  <c r="H140" i="74"/>
  <c r="H141" i="74"/>
  <c r="H142" i="74"/>
  <c r="H143" i="74"/>
  <c r="H144" i="74"/>
  <c r="H145" i="74"/>
  <c r="H146" i="74"/>
  <c r="H147" i="74"/>
  <c r="H148" i="74"/>
  <c r="H149" i="74"/>
  <c r="H150" i="74"/>
  <c r="H151" i="74"/>
  <c r="H152" i="74"/>
  <c r="H153" i="74"/>
  <c r="H154" i="74"/>
  <c r="H155" i="74"/>
  <c r="H156" i="74"/>
  <c r="H157" i="74"/>
  <c r="H158" i="74"/>
  <c r="H159" i="74"/>
  <c r="H160" i="74"/>
  <c r="H161" i="74"/>
  <c r="H162" i="74"/>
  <c r="H163" i="74"/>
  <c r="H164" i="74"/>
  <c r="H165" i="74"/>
  <c r="H166" i="74"/>
  <c r="H167" i="74"/>
  <c r="H168" i="74"/>
  <c r="H169" i="74"/>
  <c r="H170" i="74"/>
  <c r="H171" i="74"/>
  <c r="H172" i="74"/>
  <c r="H173" i="74"/>
  <c r="H174" i="74"/>
  <c r="H175" i="74"/>
  <c r="H176" i="74"/>
  <c r="H177" i="74"/>
  <c r="H178" i="74"/>
  <c r="H179" i="74"/>
  <c r="H180" i="74"/>
  <c r="H181" i="74"/>
  <c r="H182" i="74"/>
  <c r="H183" i="74"/>
  <c r="H184" i="74"/>
  <c r="H185" i="74"/>
  <c r="H186" i="74"/>
  <c r="H187" i="74"/>
  <c r="H188" i="74"/>
  <c r="H189" i="74"/>
  <c r="H190" i="74"/>
  <c r="H191" i="74"/>
  <c r="H192" i="74"/>
  <c r="H193" i="74"/>
  <c r="H194" i="74"/>
  <c r="H195" i="74"/>
  <c r="H196" i="74"/>
  <c r="H197" i="74"/>
  <c r="H198" i="74"/>
  <c r="H199" i="74"/>
  <c r="H200" i="74"/>
  <c r="H201" i="74"/>
  <c r="H202" i="74"/>
  <c r="H203" i="74"/>
  <c r="H204" i="74"/>
  <c r="H205" i="74"/>
  <c r="H206" i="74"/>
  <c r="H207" i="74"/>
  <c r="H208" i="74"/>
  <c r="H209" i="74"/>
  <c r="H210" i="74"/>
  <c r="H211" i="74"/>
  <c r="H212" i="74"/>
  <c r="H213" i="74"/>
  <c r="H214" i="74"/>
  <c r="H215" i="74"/>
  <c r="H216" i="74"/>
  <c r="H217" i="74"/>
  <c r="H218" i="74"/>
  <c r="H219" i="74"/>
  <c r="H220" i="74"/>
  <c r="H221" i="74"/>
  <c r="H222" i="74"/>
  <c r="H223" i="74"/>
  <c r="H224" i="74"/>
  <c r="H225" i="74"/>
  <c r="H226" i="74"/>
  <c r="H227" i="74"/>
  <c r="H228" i="74"/>
  <c r="H229" i="74"/>
  <c r="H230" i="74"/>
  <c r="H231" i="74"/>
  <c r="H232" i="74"/>
  <c r="H233" i="74"/>
  <c r="H234" i="74"/>
  <c r="H235" i="74"/>
  <c r="H236" i="74"/>
  <c r="H237" i="74"/>
  <c r="H238" i="74"/>
  <c r="H239" i="74"/>
  <c r="H240" i="74"/>
  <c r="H241" i="74"/>
  <c r="H242" i="74"/>
  <c r="H243" i="74"/>
  <c r="H244" i="74"/>
  <c r="H245" i="74"/>
  <c r="H246" i="74"/>
  <c r="H247" i="74"/>
  <c r="H248" i="74"/>
  <c r="H249" i="74"/>
  <c r="H250" i="74"/>
  <c r="H251" i="74"/>
  <c r="H252" i="74"/>
  <c r="H253" i="74"/>
  <c r="H254" i="74"/>
  <c r="H255" i="74"/>
  <c r="H256" i="74"/>
  <c r="H257" i="74"/>
  <c r="H258" i="74"/>
  <c r="H259" i="74"/>
  <c r="H260" i="74"/>
  <c r="H261" i="74"/>
  <c r="H262" i="74"/>
  <c r="H263" i="74"/>
  <c r="H264" i="74"/>
  <c r="H265" i="74"/>
  <c r="H266" i="74"/>
  <c r="H267" i="74"/>
  <c r="H268" i="74"/>
  <c r="H269" i="74"/>
  <c r="H270" i="74"/>
  <c r="H271" i="74"/>
  <c r="H272" i="74"/>
  <c r="H273" i="74"/>
  <c r="H274" i="74"/>
  <c r="H275" i="74"/>
  <c r="H276" i="74"/>
  <c r="H277" i="74"/>
  <c r="H278" i="74"/>
  <c r="H279" i="74"/>
  <c r="H280" i="74"/>
  <c r="H281" i="74"/>
  <c r="H282" i="74"/>
  <c r="H283" i="74"/>
  <c r="H284" i="74"/>
  <c r="H285" i="74"/>
  <c r="H286" i="74"/>
  <c r="H287" i="74"/>
  <c r="H288" i="74"/>
  <c r="H289" i="74"/>
  <c r="H290" i="74"/>
  <c r="H291" i="74"/>
  <c r="H292" i="74"/>
  <c r="H293" i="74"/>
  <c r="H294" i="74"/>
  <c r="H295" i="74"/>
  <c r="H296" i="74"/>
  <c r="H297" i="74"/>
  <c r="H298" i="74"/>
  <c r="H299" i="74"/>
  <c r="H300" i="74"/>
  <c r="H301" i="74"/>
  <c r="H302" i="74"/>
  <c r="H303" i="74"/>
  <c r="H304" i="74"/>
  <c r="H305" i="74"/>
  <c r="H306" i="74"/>
  <c r="H307" i="74"/>
  <c r="H308" i="74"/>
  <c r="H309" i="74"/>
  <c r="H310" i="74"/>
  <c r="H311" i="74"/>
  <c r="H312" i="74"/>
  <c r="H313" i="74"/>
  <c r="H314" i="74"/>
  <c r="H315" i="74"/>
  <c r="H316" i="74"/>
  <c r="H317" i="74"/>
  <c r="H318" i="74"/>
  <c r="H319" i="74"/>
  <c r="H320" i="74"/>
  <c r="H321" i="74"/>
  <c r="H322" i="74"/>
  <c r="H323" i="74"/>
  <c r="H324" i="74"/>
  <c r="H325" i="74"/>
  <c r="H326" i="74"/>
  <c r="H327" i="74"/>
  <c r="H328" i="74"/>
  <c r="H329" i="74"/>
  <c r="H330" i="74"/>
  <c r="H331" i="74"/>
  <c r="H332" i="74"/>
  <c r="H333" i="74"/>
  <c r="H334" i="74"/>
  <c r="H335" i="74"/>
  <c r="H336" i="74"/>
  <c r="H337" i="74"/>
  <c r="H338" i="74"/>
  <c r="H339" i="74"/>
  <c r="H340" i="74"/>
  <c r="H341" i="74"/>
  <c r="H342" i="74"/>
  <c r="H343" i="74"/>
  <c r="H344" i="74"/>
  <c r="H345" i="74"/>
  <c r="H346" i="74"/>
  <c r="H347" i="74"/>
  <c r="H348" i="74"/>
  <c r="H349" i="74"/>
  <c r="H350" i="74"/>
  <c r="H351" i="74"/>
  <c r="H352" i="74"/>
  <c r="H353" i="74"/>
  <c r="H354" i="74"/>
  <c r="H355" i="74"/>
  <c r="H356" i="74"/>
  <c r="H357" i="74"/>
  <c r="H358" i="74"/>
  <c r="H359" i="74"/>
  <c r="H360" i="74"/>
  <c r="H361" i="74"/>
  <c r="H362" i="74"/>
  <c r="H363" i="74"/>
  <c r="H364" i="74"/>
  <c r="H365" i="74"/>
  <c r="H366" i="74"/>
  <c r="H367" i="74"/>
  <c r="H368" i="74"/>
  <c r="H369" i="74"/>
  <c r="H370" i="74"/>
  <c r="H371" i="74"/>
  <c r="H372" i="74"/>
  <c r="H373" i="74"/>
  <c r="H374" i="74"/>
  <c r="H375" i="74"/>
  <c r="H376" i="74"/>
  <c r="H377" i="74"/>
  <c r="H378" i="74"/>
  <c r="H379" i="74"/>
  <c r="H380" i="74"/>
  <c r="H381" i="74"/>
  <c r="H382" i="74"/>
  <c r="H383" i="74"/>
  <c r="H384" i="74"/>
  <c r="H385" i="74"/>
  <c r="H386" i="74"/>
  <c r="H387" i="74"/>
  <c r="H388" i="74"/>
  <c r="H389" i="74"/>
  <c r="H390" i="74"/>
  <c r="H391" i="74"/>
  <c r="H392" i="74"/>
  <c r="H393" i="74"/>
  <c r="H394" i="74"/>
  <c r="H395" i="74"/>
  <c r="H396" i="74"/>
  <c r="H397" i="74"/>
  <c r="H398" i="74"/>
  <c r="H399" i="74"/>
  <c r="H400" i="74"/>
  <c r="H401" i="74"/>
  <c r="H402" i="74"/>
  <c r="H403" i="74"/>
  <c r="H404" i="74"/>
  <c r="H405" i="74"/>
  <c r="H406" i="74"/>
  <c r="H407" i="74"/>
  <c r="H408" i="74"/>
  <c r="H409" i="74"/>
  <c r="H410" i="74"/>
  <c r="H411" i="74"/>
  <c r="H412" i="74"/>
  <c r="H413" i="74"/>
  <c r="H414" i="74"/>
  <c r="H415" i="74"/>
  <c r="H416" i="74"/>
  <c r="H417" i="74"/>
  <c r="H418" i="74"/>
  <c r="H419" i="74"/>
  <c r="H420" i="74"/>
  <c r="H421" i="74"/>
  <c r="H422" i="74"/>
  <c r="H423" i="74"/>
  <c r="H424" i="74"/>
  <c r="H425" i="74"/>
  <c r="H426" i="74"/>
  <c r="H427" i="74"/>
  <c r="H428" i="74"/>
  <c r="H429" i="74"/>
  <c r="H430" i="74"/>
  <c r="H431" i="74"/>
  <c r="H432" i="74"/>
  <c r="H433" i="74"/>
  <c r="H434" i="74"/>
  <c r="H435" i="74"/>
  <c r="H436" i="74"/>
  <c r="H437" i="74"/>
  <c r="H438" i="74"/>
  <c r="H439" i="74"/>
  <c r="H440" i="74"/>
  <c r="H441" i="74"/>
  <c r="H442" i="74"/>
  <c r="H443" i="74"/>
  <c r="H444" i="74"/>
  <c r="H445" i="74"/>
  <c r="H446" i="74"/>
  <c r="H447" i="74"/>
  <c r="H448" i="74"/>
  <c r="H449" i="74"/>
  <c r="H450" i="74"/>
  <c r="H451" i="74"/>
  <c r="H452" i="74"/>
  <c r="H453" i="74"/>
  <c r="H454" i="74"/>
  <c r="H455" i="74"/>
  <c r="H456" i="74"/>
  <c r="H457" i="74"/>
  <c r="H458" i="74"/>
  <c r="H459" i="74"/>
  <c r="H460" i="74"/>
  <c r="H461" i="74"/>
  <c r="H462" i="74"/>
  <c r="H463" i="74"/>
  <c r="H464" i="74"/>
  <c r="H465" i="74"/>
  <c r="H466" i="74"/>
  <c r="H467" i="74"/>
  <c r="H468" i="74"/>
  <c r="H469" i="74"/>
  <c r="H470" i="74"/>
  <c r="H471" i="74"/>
  <c r="H472" i="74"/>
  <c r="H473" i="74"/>
  <c r="H474" i="74"/>
  <c r="H475" i="74"/>
  <c r="H476" i="74"/>
  <c r="H477" i="74"/>
  <c r="H478" i="74"/>
  <c r="H479" i="74"/>
  <c r="H480" i="74"/>
  <c r="H481" i="74"/>
  <c r="H482" i="74"/>
  <c r="H483" i="74"/>
  <c r="H484" i="74"/>
  <c r="H485" i="74"/>
  <c r="H486" i="74"/>
  <c r="H487" i="74"/>
  <c r="H488" i="74"/>
  <c r="H489" i="74"/>
  <c r="H490" i="74"/>
  <c r="H491" i="74"/>
  <c r="H492" i="74"/>
  <c r="H493" i="74"/>
  <c r="H494" i="74"/>
  <c r="H495" i="74"/>
  <c r="H496" i="74"/>
  <c r="H497" i="74"/>
  <c r="H498" i="74"/>
  <c r="H499" i="74"/>
  <c r="H500" i="74"/>
  <c r="H501" i="74"/>
  <c r="H502" i="74"/>
  <c r="H503" i="74"/>
  <c r="H504" i="74"/>
  <c r="H505" i="74"/>
  <c r="H506" i="74"/>
  <c r="H507" i="74"/>
  <c r="H508" i="74"/>
  <c r="H509" i="74"/>
  <c r="H510" i="74"/>
  <c r="H511" i="74"/>
  <c r="H512" i="74"/>
  <c r="H513" i="74"/>
  <c r="H514" i="74"/>
  <c r="H515" i="74"/>
  <c r="H516" i="74"/>
  <c r="H517" i="74"/>
  <c r="H518" i="74"/>
  <c r="H519" i="74"/>
  <c r="H520" i="74"/>
  <c r="H521" i="74"/>
  <c r="H522" i="74"/>
  <c r="H523" i="74"/>
  <c r="H524" i="74"/>
  <c r="H525" i="74"/>
  <c r="H526" i="74"/>
  <c r="H527" i="74"/>
  <c r="H528" i="74"/>
  <c r="H529" i="74"/>
  <c r="H530" i="74"/>
  <c r="H531" i="74"/>
  <c r="H532" i="74"/>
  <c r="H533" i="74"/>
  <c r="H534" i="74"/>
  <c r="H535" i="74"/>
  <c r="H536" i="74"/>
  <c r="H537" i="74"/>
  <c r="H538" i="74"/>
  <c r="H539" i="74"/>
  <c r="H540" i="74"/>
  <c r="H541" i="74"/>
  <c r="H542" i="74"/>
  <c r="H543" i="74"/>
  <c r="H544" i="74"/>
  <c r="H545" i="74"/>
  <c r="H546" i="74"/>
  <c r="H547" i="74"/>
  <c r="H548" i="74"/>
  <c r="H549" i="74"/>
  <c r="H550" i="74"/>
  <c r="H551" i="74"/>
  <c r="H552" i="74"/>
  <c r="H553" i="74"/>
  <c r="H554" i="74"/>
  <c r="H555" i="74"/>
  <c r="H556" i="74"/>
  <c r="H557" i="74"/>
  <c r="H558" i="74"/>
  <c r="H559" i="74"/>
  <c r="H560" i="74"/>
  <c r="H561" i="74"/>
  <c r="H562" i="74"/>
  <c r="H563" i="74"/>
  <c r="H564" i="74"/>
  <c r="H565" i="74"/>
  <c r="H566" i="74"/>
  <c r="H567" i="74"/>
  <c r="H568" i="74"/>
  <c r="H569" i="74"/>
  <c r="H570" i="74"/>
  <c r="H571" i="74"/>
  <c r="H572" i="74"/>
  <c r="H573" i="74"/>
  <c r="H574" i="74"/>
  <c r="H575" i="74"/>
  <c r="H576" i="74"/>
  <c r="H577" i="74"/>
  <c r="H578" i="74"/>
  <c r="H579" i="74"/>
  <c r="H580" i="74"/>
  <c r="H581" i="74"/>
  <c r="H582" i="74"/>
  <c r="H583" i="74"/>
  <c r="H584" i="74"/>
  <c r="H585" i="74"/>
  <c r="H586" i="74"/>
  <c r="H587" i="74"/>
  <c r="H588" i="74"/>
  <c r="H589" i="74"/>
  <c r="H590" i="74"/>
  <c r="H591" i="74"/>
  <c r="H592" i="74"/>
  <c r="H593" i="74"/>
  <c r="H594" i="74"/>
  <c r="H595" i="74"/>
  <c r="H596" i="74"/>
  <c r="H597" i="74"/>
  <c r="H598" i="74"/>
  <c r="H599" i="74"/>
  <c r="H600" i="74"/>
  <c r="H601" i="74"/>
  <c r="H602" i="74"/>
  <c r="H603" i="74"/>
  <c r="H604" i="74"/>
  <c r="H605" i="74"/>
  <c r="H606" i="74"/>
  <c r="H607" i="74"/>
  <c r="H608" i="74"/>
  <c r="H609" i="74"/>
  <c r="H610" i="74"/>
  <c r="H611" i="74"/>
  <c r="H612" i="74"/>
  <c r="H613" i="74"/>
  <c r="H614" i="74"/>
  <c r="H615" i="74"/>
  <c r="H616" i="74"/>
  <c r="H617" i="74"/>
  <c r="H618" i="74"/>
  <c r="H619" i="74"/>
  <c r="H620" i="74"/>
  <c r="H621" i="74"/>
  <c r="H622" i="74"/>
  <c r="H623" i="74"/>
  <c r="H624" i="74"/>
  <c r="H625" i="74"/>
  <c r="H626" i="74"/>
  <c r="H627" i="74"/>
  <c r="H628" i="74"/>
  <c r="H629" i="74"/>
  <c r="H630" i="74"/>
  <c r="H631" i="74"/>
  <c r="H632" i="74"/>
  <c r="H633" i="74"/>
  <c r="H634" i="74"/>
  <c r="H635" i="74"/>
  <c r="H636" i="74"/>
  <c r="H637" i="74"/>
  <c r="H638" i="74"/>
  <c r="H639" i="74"/>
  <c r="H640" i="74"/>
  <c r="H641" i="74"/>
  <c r="H642" i="74"/>
  <c r="H643" i="74"/>
  <c r="H644" i="74"/>
  <c r="H645" i="74"/>
  <c r="H646" i="74"/>
  <c r="H647" i="74"/>
  <c r="H648" i="74"/>
  <c r="H649" i="74"/>
  <c r="H650" i="74"/>
  <c r="H651" i="74"/>
  <c r="H652" i="74"/>
  <c r="H653" i="74"/>
  <c r="H654" i="74"/>
  <c r="H655" i="74"/>
  <c r="H656" i="74"/>
  <c r="H657" i="74"/>
  <c r="H658" i="74"/>
  <c r="H659" i="74"/>
  <c r="H660" i="74"/>
  <c r="H661" i="74"/>
  <c r="H662" i="74"/>
  <c r="H663" i="74"/>
  <c r="H664" i="74"/>
  <c r="H665" i="74"/>
  <c r="H666" i="74"/>
  <c r="H667" i="74"/>
  <c r="H668" i="74"/>
  <c r="H669" i="74"/>
  <c r="H670" i="74"/>
  <c r="H671" i="74"/>
  <c r="H672" i="74"/>
  <c r="H673" i="74"/>
  <c r="H674" i="74"/>
  <c r="H675" i="74"/>
  <c r="H676" i="74"/>
  <c r="H677" i="74"/>
  <c r="H678" i="74"/>
  <c r="H679" i="74"/>
  <c r="H680" i="74"/>
  <c r="H681" i="74"/>
  <c r="H682" i="74"/>
  <c r="H683" i="74"/>
  <c r="H684" i="74"/>
  <c r="H685" i="74"/>
  <c r="H686" i="74"/>
  <c r="H687" i="74"/>
  <c r="H688" i="74"/>
  <c r="H689" i="74"/>
  <c r="H690" i="74"/>
  <c r="H691" i="74"/>
  <c r="H692" i="74"/>
  <c r="H693" i="74"/>
  <c r="H694" i="74"/>
  <c r="H695" i="74"/>
  <c r="H696" i="74"/>
  <c r="H697" i="74"/>
  <c r="H698" i="74"/>
  <c r="H699" i="74"/>
  <c r="H700" i="74"/>
  <c r="H701" i="74"/>
  <c r="H702" i="74"/>
  <c r="H703" i="74"/>
  <c r="H704" i="74"/>
  <c r="H705" i="74"/>
  <c r="H706" i="74"/>
  <c r="H707" i="74"/>
  <c r="H708" i="74"/>
  <c r="H709" i="74"/>
  <c r="H710" i="74"/>
  <c r="H711" i="74"/>
  <c r="H712" i="74"/>
  <c r="H713" i="74"/>
  <c r="H714" i="74"/>
  <c r="H715" i="74"/>
  <c r="H716" i="74"/>
  <c r="H717" i="74"/>
  <c r="H718" i="74"/>
  <c r="H719" i="74"/>
  <c r="H720" i="74"/>
  <c r="H721" i="74"/>
  <c r="H722" i="74"/>
  <c r="H723" i="74"/>
  <c r="H724" i="74"/>
  <c r="H725" i="74"/>
  <c r="H726" i="74"/>
  <c r="H727" i="74"/>
  <c r="H728" i="74"/>
  <c r="H729" i="74"/>
  <c r="H730" i="74"/>
  <c r="H731" i="74"/>
  <c r="H732" i="74"/>
  <c r="H733" i="74"/>
  <c r="H734" i="74"/>
  <c r="H735" i="74"/>
  <c r="H736" i="74"/>
  <c r="H737" i="74"/>
  <c r="H738" i="74"/>
  <c r="H739" i="74"/>
  <c r="H740" i="74"/>
  <c r="H741" i="74"/>
  <c r="H742" i="74"/>
  <c r="H743" i="74"/>
  <c r="H744" i="74"/>
  <c r="H745" i="74"/>
  <c r="H746" i="74"/>
  <c r="H747" i="74"/>
  <c r="H748" i="74"/>
  <c r="H749" i="74"/>
  <c r="H750" i="74"/>
  <c r="H751" i="74"/>
  <c r="H752" i="74"/>
  <c r="H753" i="74"/>
  <c r="H754" i="74"/>
  <c r="H755" i="74"/>
  <c r="H756" i="74"/>
  <c r="H757" i="74"/>
  <c r="H758" i="74"/>
  <c r="H759" i="74"/>
  <c r="H760" i="74"/>
  <c r="H761" i="74"/>
  <c r="H762" i="74"/>
  <c r="H763" i="74"/>
  <c r="H764" i="74"/>
  <c r="H765" i="74"/>
  <c r="H766" i="74"/>
  <c r="H767" i="74"/>
  <c r="H768" i="74"/>
  <c r="H769" i="74"/>
  <c r="H770" i="74"/>
  <c r="H771" i="74"/>
  <c r="H772" i="74"/>
  <c r="H773" i="74"/>
  <c r="H774" i="74"/>
  <c r="H775" i="74"/>
  <c r="H776" i="74"/>
  <c r="H777" i="74"/>
  <c r="H778" i="74"/>
  <c r="H779" i="74"/>
  <c r="H780" i="74"/>
  <c r="H781" i="74"/>
  <c r="H782" i="74"/>
  <c r="H783" i="74"/>
  <c r="H784" i="74"/>
  <c r="H785" i="74"/>
  <c r="H786" i="74"/>
  <c r="H787" i="74"/>
  <c r="H788" i="74"/>
  <c r="H789" i="74"/>
  <c r="H790" i="74"/>
  <c r="H791" i="74"/>
  <c r="H792" i="74"/>
  <c r="H793" i="74"/>
  <c r="H794" i="74"/>
  <c r="H795" i="74"/>
  <c r="H796" i="74"/>
  <c r="H797" i="74"/>
  <c r="H798" i="74"/>
  <c r="H799" i="74"/>
  <c r="H800" i="74"/>
  <c r="H801" i="74"/>
  <c r="H802" i="74"/>
  <c r="H803" i="74"/>
  <c r="H804" i="74"/>
  <c r="H805" i="74"/>
  <c r="H806" i="74"/>
  <c r="H807" i="74"/>
  <c r="H808" i="74"/>
  <c r="H809" i="74"/>
  <c r="H810" i="74"/>
  <c r="H811" i="74"/>
  <c r="H812" i="74"/>
  <c r="H813" i="74"/>
  <c r="H814" i="74"/>
  <c r="H815" i="74"/>
  <c r="H816" i="74"/>
  <c r="H817" i="74"/>
  <c r="H818" i="74"/>
  <c r="H819" i="74"/>
  <c r="H820" i="74"/>
  <c r="H821" i="74"/>
  <c r="H822" i="74"/>
  <c r="H823" i="74"/>
  <c r="H824" i="74"/>
  <c r="H825" i="74"/>
  <c r="H826" i="74"/>
  <c r="H827" i="74"/>
  <c r="H828" i="74"/>
  <c r="H829" i="74"/>
  <c r="H830" i="74"/>
  <c r="H831" i="74"/>
  <c r="H832" i="74"/>
  <c r="H833" i="74"/>
  <c r="H834" i="74"/>
  <c r="H835" i="74"/>
  <c r="H836" i="74"/>
  <c r="H837" i="74"/>
  <c r="H838" i="74"/>
  <c r="H839" i="74"/>
  <c r="H840" i="74"/>
  <c r="H841" i="74"/>
  <c r="H842" i="74"/>
  <c r="H843" i="74"/>
  <c r="H844" i="74"/>
  <c r="H845" i="74"/>
  <c r="H846" i="74"/>
  <c r="H847" i="74"/>
  <c r="H848" i="74"/>
  <c r="H849" i="74"/>
  <c r="H850" i="74"/>
  <c r="H851" i="74"/>
  <c r="H852" i="74"/>
  <c r="H853" i="74"/>
  <c r="H854" i="74"/>
  <c r="H855" i="74"/>
  <c r="H856" i="74"/>
  <c r="H857" i="74"/>
  <c r="H858" i="74"/>
  <c r="H859" i="74"/>
  <c r="H860" i="74"/>
  <c r="H861" i="74"/>
  <c r="H862" i="74"/>
  <c r="H863" i="74"/>
  <c r="H864" i="74"/>
  <c r="H865" i="74"/>
  <c r="H866" i="74"/>
  <c r="H867" i="74"/>
  <c r="H868" i="74"/>
  <c r="H869" i="74"/>
  <c r="H870" i="74"/>
  <c r="H871" i="74"/>
  <c r="H872" i="74"/>
  <c r="H873" i="74"/>
  <c r="H874" i="74"/>
  <c r="H875" i="74"/>
  <c r="H876" i="74"/>
  <c r="H877" i="74"/>
  <c r="H878" i="74"/>
  <c r="H879" i="74"/>
  <c r="H880" i="74"/>
  <c r="H881" i="74"/>
  <c r="H882" i="74"/>
  <c r="H883" i="74"/>
  <c r="H884" i="74"/>
  <c r="H885" i="74"/>
  <c r="H886" i="74"/>
  <c r="H887" i="74"/>
  <c r="H888" i="74"/>
  <c r="H889" i="74"/>
  <c r="H890" i="74"/>
  <c r="H891" i="74"/>
  <c r="H892" i="74"/>
  <c r="H893" i="74"/>
  <c r="H894" i="74"/>
  <c r="H895" i="74"/>
  <c r="H896" i="74"/>
  <c r="H897" i="74"/>
  <c r="H898" i="74"/>
  <c r="H899" i="74"/>
  <c r="H900" i="74"/>
  <c r="H901" i="74"/>
  <c r="H902" i="74"/>
  <c r="H903" i="74"/>
  <c r="H904" i="74"/>
  <c r="H905" i="74"/>
  <c r="H906" i="74"/>
  <c r="H907" i="74"/>
  <c r="H908" i="74"/>
  <c r="H909" i="74"/>
  <c r="H910" i="74"/>
  <c r="H911" i="74"/>
  <c r="H912" i="74"/>
  <c r="H913" i="74"/>
  <c r="H914" i="74"/>
  <c r="H915" i="74"/>
  <c r="H916" i="74"/>
  <c r="H917" i="74"/>
  <c r="H918" i="74"/>
  <c r="H919" i="74"/>
  <c r="H920" i="74"/>
  <c r="H921" i="74"/>
  <c r="H922" i="74"/>
  <c r="H923" i="74"/>
  <c r="H924" i="74"/>
  <c r="H925" i="74"/>
  <c r="H926" i="74"/>
  <c r="H927" i="74"/>
  <c r="H928" i="74"/>
  <c r="H929" i="74"/>
  <c r="H930" i="74"/>
  <c r="H931" i="74"/>
  <c r="H932" i="74"/>
  <c r="H933" i="74"/>
  <c r="H934" i="74"/>
  <c r="H935" i="74"/>
  <c r="H936" i="74"/>
  <c r="H937" i="74"/>
  <c r="H938" i="74"/>
  <c r="H939" i="74"/>
  <c r="H940" i="74"/>
  <c r="H941" i="74"/>
  <c r="H942" i="74"/>
  <c r="H943" i="74"/>
  <c r="H944" i="74"/>
  <c r="H945" i="74"/>
  <c r="H946" i="74"/>
  <c r="H947" i="74"/>
  <c r="H948" i="74"/>
  <c r="H949" i="74"/>
  <c r="H950" i="74"/>
  <c r="H951" i="74"/>
  <c r="H952" i="74"/>
  <c r="H953" i="74"/>
  <c r="H954" i="74"/>
  <c r="H955" i="74"/>
  <c r="H956" i="74"/>
  <c r="H957" i="74"/>
  <c r="H958" i="74"/>
  <c r="H959" i="74"/>
  <c r="H960" i="74"/>
  <c r="H961" i="74"/>
  <c r="H962" i="74"/>
  <c r="H963" i="74"/>
  <c r="H964" i="74"/>
  <c r="H965" i="74"/>
  <c r="H966" i="74"/>
  <c r="H967" i="74"/>
  <c r="H968" i="74"/>
  <c r="H969" i="74"/>
  <c r="H970" i="74"/>
  <c r="H971" i="74"/>
  <c r="H972" i="74"/>
  <c r="H973" i="74"/>
  <c r="H974" i="74"/>
  <c r="H975" i="74"/>
  <c r="H976" i="74"/>
  <c r="H977" i="74"/>
  <c r="H978" i="74"/>
  <c r="H979" i="74"/>
  <c r="H980" i="74"/>
  <c r="H981" i="74"/>
  <c r="H982" i="74"/>
  <c r="H983" i="74"/>
  <c r="H984" i="74"/>
  <c r="H985" i="74"/>
  <c r="H986" i="74"/>
  <c r="H987" i="74"/>
  <c r="H988" i="74"/>
  <c r="H989" i="74"/>
  <c r="H990" i="74"/>
  <c r="H991" i="74"/>
  <c r="H992" i="74"/>
  <c r="H993" i="74"/>
  <c r="H994" i="74"/>
  <c r="H995" i="74"/>
  <c r="H996" i="74"/>
  <c r="H997" i="74"/>
  <c r="H998" i="74"/>
  <c r="H999" i="74"/>
  <c r="H1000" i="74"/>
  <c r="H1001" i="74"/>
  <c r="H1002" i="74"/>
  <c r="H1003" i="74"/>
  <c r="H1004" i="74"/>
  <c r="H1005" i="74"/>
  <c r="H1006" i="74"/>
  <c r="H1007" i="74"/>
  <c r="H1008" i="74"/>
  <c r="H1009" i="74"/>
  <c r="H1010" i="74"/>
  <c r="H1011" i="74"/>
  <c r="H1012" i="74"/>
  <c r="H1013" i="74"/>
  <c r="H1014" i="74"/>
  <c r="H1015" i="74"/>
  <c r="H1016" i="74"/>
  <c r="H1017" i="74"/>
  <c r="H1018" i="74"/>
  <c r="H1019" i="74"/>
  <c r="H1020" i="74"/>
  <c r="H1021" i="74"/>
  <c r="H1022" i="74"/>
  <c r="H1023" i="74"/>
  <c r="H1024" i="74"/>
  <c r="H1025" i="74"/>
  <c r="H1026" i="74"/>
  <c r="H1027" i="74"/>
  <c r="H1028" i="74"/>
  <c r="H1029" i="74"/>
  <c r="H1030" i="74"/>
  <c r="H1031" i="74"/>
  <c r="H1032" i="74"/>
  <c r="H1033" i="74"/>
  <c r="H1034" i="74"/>
  <c r="H1035" i="74"/>
  <c r="H1036" i="74"/>
  <c r="H1037" i="74"/>
  <c r="H1038" i="74"/>
  <c r="H1039" i="74"/>
  <c r="H1040" i="74"/>
  <c r="H1041" i="74"/>
  <c r="H1042" i="74"/>
  <c r="H1043" i="74"/>
  <c r="H1044" i="74"/>
  <c r="H1045" i="74"/>
  <c r="H1046" i="74"/>
  <c r="H1047" i="74"/>
  <c r="H1048" i="74"/>
  <c r="H1049" i="74"/>
  <c r="H1050" i="74"/>
  <c r="H1051" i="74"/>
  <c r="H1052" i="74"/>
  <c r="H1053" i="74"/>
  <c r="H1054" i="74"/>
  <c r="H1055" i="74"/>
  <c r="H1056" i="74"/>
  <c r="H1057" i="74"/>
  <c r="H1058" i="74"/>
  <c r="H1059" i="74"/>
  <c r="H1060" i="74"/>
  <c r="H1061" i="74"/>
  <c r="H1062" i="74"/>
  <c r="H1063" i="74"/>
  <c r="H1064" i="74"/>
  <c r="H1065" i="74"/>
  <c r="H1066" i="74"/>
  <c r="H1067" i="74"/>
  <c r="H1068" i="74"/>
  <c r="H1069" i="74"/>
  <c r="H1070" i="74"/>
  <c r="H1071" i="74"/>
  <c r="H1072" i="74"/>
  <c r="H1073" i="74"/>
  <c r="H1074" i="74"/>
  <c r="H1075" i="74"/>
  <c r="H1076" i="74"/>
  <c r="H1077" i="74"/>
  <c r="H1078" i="74"/>
  <c r="H1079" i="74"/>
  <c r="H1080" i="74"/>
  <c r="H1081" i="74"/>
  <c r="H1082" i="74"/>
  <c r="H1083" i="74"/>
  <c r="H1084" i="74"/>
  <c r="H1085" i="74"/>
  <c r="H1086" i="74"/>
  <c r="H1087" i="74"/>
  <c r="H1088" i="74"/>
  <c r="H1089" i="74"/>
  <c r="H1090" i="74"/>
  <c r="H1091" i="74"/>
  <c r="H1092" i="74"/>
  <c r="H1093" i="74"/>
  <c r="H1094" i="74"/>
  <c r="H1095" i="74"/>
  <c r="H1096" i="74"/>
  <c r="H1097" i="74"/>
  <c r="H1098" i="74"/>
  <c r="H1099" i="74"/>
  <c r="H1100" i="74"/>
  <c r="H1101" i="74"/>
  <c r="H1102" i="74"/>
  <c r="H1103" i="74"/>
  <c r="H1104" i="74"/>
  <c r="H1105" i="74"/>
  <c r="H1106" i="74"/>
  <c r="H1107" i="74"/>
  <c r="H1108" i="74"/>
  <c r="H1109" i="74"/>
  <c r="H1110" i="74"/>
  <c r="H1111" i="74"/>
  <c r="H1112" i="74"/>
  <c r="H1113" i="74"/>
  <c r="H1114" i="74"/>
  <c r="H1115" i="74"/>
  <c r="H1116" i="74"/>
  <c r="H1117" i="74"/>
  <c r="H1118" i="74"/>
  <c r="H1119" i="74"/>
  <c r="H1120" i="74"/>
  <c r="H1121" i="74"/>
  <c r="H1122" i="74"/>
  <c r="H1123" i="74"/>
  <c r="H1124" i="74"/>
  <c r="H1125" i="74"/>
  <c r="H1126" i="74"/>
  <c r="H1127" i="74"/>
  <c r="H1128" i="74"/>
  <c r="H1129" i="74"/>
  <c r="H1130" i="74"/>
  <c r="H1131" i="74"/>
  <c r="H1132" i="74"/>
  <c r="H1133" i="74"/>
  <c r="H1134" i="74"/>
  <c r="H1135" i="74"/>
  <c r="H1136" i="74"/>
  <c r="H1137" i="74"/>
  <c r="H1138" i="74"/>
  <c r="H1139" i="74"/>
  <c r="H1140" i="74"/>
  <c r="H1141" i="74"/>
  <c r="H1142" i="74"/>
  <c r="H1143" i="74"/>
  <c r="H1144" i="74"/>
  <c r="H1145" i="74"/>
  <c r="H1146" i="74"/>
  <c r="H1147" i="74"/>
  <c r="H1148" i="74"/>
  <c r="H1149" i="74"/>
  <c r="H1150" i="74"/>
  <c r="H1151" i="74"/>
  <c r="H1152" i="74"/>
  <c r="H1153" i="74"/>
  <c r="H1154" i="74"/>
  <c r="H1155" i="74"/>
  <c r="H1156" i="74"/>
  <c r="H1157" i="74"/>
  <c r="H1158" i="74"/>
  <c r="H1159" i="74"/>
  <c r="H1160" i="74"/>
  <c r="H1161" i="74"/>
  <c r="H1162" i="74"/>
  <c r="H1163" i="74"/>
  <c r="H1164" i="74"/>
  <c r="H1165" i="74"/>
  <c r="H1166" i="74"/>
  <c r="H1167" i="74"/>
  <c r="H1168" i="74"/>
  <c r="H1169" i="74"/>
  <c r="H1170" i="74"/>
  <c r="H1171" i="74"/>
  <c r="H1172" i="74"/>
  <c r="H1173" i="74"/>
  <c r="H1174" i="74"/>
  <c r="H1175" i="74"/>
  <c r="H1176" i="74"/>
  <c r="H1177" i="74"/>
  <c r="H1178" i="74"/>
  <c r="H1179" i="74"/>
  <c r="H1180" i="74"/>
  <c r="H1181" i="74"/>
  <c r="H1182" i="74"/>
  <c r="H1183" i="74"/>
  <c r="H1184" i="74"/>
  <c r="H1185" i="74"/>
  <c r="H1186" i="74"/>
  <c r="H1187" i="74"/>
  <c r="H1188" i="74"/>
  <c r="H1189" i="74"/>
  <c r="H1190" i="74"/>
  <c r="H1191" i="74"/>
  <c r="H1192" i="74"/>
  <c r="H1193" i="74"/>
  <c r="H1194" i="74"/>
  <c r="H1195" i="74"/>
  <c r="H1196" i="74"/>
  <c r="H1197" i="74"/>
  <c r="H1198" i="74"/>
  <c r="H1199" i="74"/>
  <c r="H1200" i="74"/>
  <c r="H1201" i="74"/>
  <c r="H1202" i="74"/>
  <c r="H1203" i="74"/>
  <c r="H1204" i="74"/>
  <c r="H1205" i="74"/>
  <c r="H1206" i="74"/>
  <c r="H1207" i="74"/>
  <c r="H1208" i="74"/>
  <c r="H1209" i="74"/>
  <c r="H1210" i="74"/>
  <c r="H1211" i="74"/>
  <c r="H1212" i="74"/>
  <c r="H1213" i="74"/>
  <c r="H1214" i="74"/>
  <c r="H1215" i="74"/>
  <c r="H1216" i="74"/>
  <c r="H1217" i="74"/>
  <c r="H1218" i="74"/>
  <c r="H1219" i="74"/>
  <c r="H1220" i="74"/>
  <c r="H1221" i="74"/>
  <c r="H1222" i="74"/>
  <c r="H1223" i="74"/>
  <c r="H1224" i="74"/>
  <c r="H1225" i="74"/>
  <c r="H1226" i="74"/>
  <c r="H1227" i="74"/>
  <c r="H1228" i="74"/>
  <c r="H1229" i="74"/>
  <c r="H1230" i="74"/>
  <c r="H1231" i="74"/>
  <c r="H1232" i="74"/>
  <c r="H1233" i="74"/>
  <c r="H1234" i="74"/>
  <c r="H1235" i="74"/>
  <c r="H1236" i="74"/>
  <c r="H1237" i="74"/>
  <c r="H1238" i="74"/>
  <c r="H1239" i="74"/>
  <c r="H1240" i="74"/>
  <c r="H1241" i="74"/>
  <c r="H1242" i="74"/>
  <c r="H1243" i="74"/>
  <c r="H1244" i="74"/>
  <c r="H1245" i="74"/>
  <c r="H1246" i="74"/>
  <c r="H1247" i="74"/>
  <c r="H1248" i="74"/>
  <c r="H1249" i="74"/>
  <c r="H1250" i="74"/>
  <c r="H1251" i="74"/>
  <c r="H1252" i="74"/>
  <c r="H1253" i="74"/>
  <c r="H1254" i="74"/>
  <c r="H1255" i="74"/>
  <c r="H1256" i="74"/>
  <c r="H1257" i="74"/>
  <c r="H1258" i="74"/>
  <c r="H1259" i="74"/>
  <c r="H1260" i="74"/>
  <c r="H1261" i="74"/>
  <c r="H1262" i="74"/>
  <c r="H1263" i="74"/>
  <c r="H1264" i="74"/>
  <c r="H1265" i="74"/>
  <c r="H1266" i="74"/>
  <c r="H1267" i="74"/>
  <c r="H1268" i="74"/>
  <c r="H1269" i="74"/>
  <c r="H1270" i="74"/>
  <c r="H1271" i="74"/>
  <c r="H1272" i="74"/>
  <c r="H1273" i="74"/>
  <c r="H1274" i="74"/>
  <c r="H1275" i="74"/>
  <c r="H1276" i="74"/>
  <c r="H1277" i="74"/>
  <c r="H1278" i="74"/>
  <c r="H1279" i="74"/>
  <c r="H1280" i="74"/>
  <c r="H1281" i="74"/>
  <c r="H1282" i="74"/>
  <c r="H1283" i="74"/>
  <c r="H1284" i="74"/>
  <c r="H1285" i="74"/>
  <c r="H1286" i="74"/>
  <c r="H1287" i="74"/>
  <c r="H1288" i="74"/>
  <c r="H1289" i="74"/>
  <c r="H1290" i="74"/>
  <c r="H1291" i="74"/>
  <c r="H1292" i="74"/>
  <c r="H1293" i="74"/>
  <c r="H1294" i="74"/>
  <c r="H1295" i="74"/>
  <c r="H1296" i="74"/>
  <c r="H1297" i="74"/>
  <c r="H1298" i="74"/>
  <c r="H1299" i="74"/>
  <c r="H1300" i="74"/>
  <c r="H1301" i="74"/>
  <c r="H1302" i="74"/>
  <c r="H1303" i="74"/>
  <c r="H1304" i="74"/>
  <c r="H1305" i="74"/>
  <c r="H1306" i="74"/>
  <c r="H1307" i="74"/>
  <c r="H1308" i="74"/>
  <c r="H1309" i="74"/>
  <c r="H1310" i="74"/>
  <c r="H1311" i="74"/>
  <c r="H1312" i="74"/>
  <c r="H1313" i="74"/>
  <c r="H1314" i="74"/>
  <c r="H1315" i="74"/>
  <c r="H1316" i="74"/>
  <c r="H1317" i="74"/>
  <c r="H1318" i="74"/>
  <c r="H1319" i="74"/>
  <c r="H1320" i="74"/>
  <c r="H1321" i="74"/>
  <c r="H1322" i="74"/>
  <c r="H1323" i="74"/>
  <c r="H1324" i="74"/>
  <c r="H1325" i="74"/>
  <c r="H1326" i="74"/>
  <c r="H1327" i="74"/>
  <c r="H1328" i="74"/>
  <c r="H1329" i="74"/>
  <c r="H1330" i="74"/>
  <c r="H1331" i="74"/>
  <c r="H1332" i="74"/>
  <c r="H1333" i="74"/>
  <c r="H1334" i="74"/>
  <c r="H1335" i="74"/>
  <c r="H1336" i="74"/>
  <c r="H1337" i="74"/>
  <c r="H1338" i="74"/>
  <c r="H1339" i="74"/>
  <c r="H1340" i="74"/>
  <c r="H1341" i="74"/>
  <c r="H1342" i="74"/>
  <c r="H1343" i="74"/>
  <c r="H1344" i="74"/>
  <c r="H1345" i="74"/>
  <c r="H1346" i="74"/>
  <c r="H1347" i="74"/>
  <c r="H1348" i="74"/>
  <c r="H1349" i="74"/>
  <c r="H1350" i="74"/>
  <c r="H1351" i="74"/>
  <c r="H1352" i="74"/>
  <c r="H1353" i="74"/>
  <c r="H1354" i="74"/>
  <c r="H1355" i="74"/>
  <c r="H1356" i="74"/>
  <c r="H1357" i="74"/>
  <c r="H1358" i="74"/>
  <c r="H1359" i="74"/>
  <c r="H1360" i="74"/>
  <c r="H1361" i="74"/>
  <c r="H1362" i="74"/>
  <c r="H1363" i="74"/>
  <c r="H1364" i="74"/>
  <c r="H1365" i="74"/>
  <c r="H1366" i="74"/>
  <c r="H1367" i="74"/>
  <c r="H1368" i="74"/>
  <c r="H1369" i="74"/>
  <c r="H1370" i="74"/>
  <c r="H1371" i="74"/>
  <c r="H1372" i="74"/>
  <c r="H1373" i="74"/>
  <c r="H1374" i="74"/>
  <c r="H1375" i="74"/>
  <c r="H1376" i="74"/>
  <c r="H1377" i="74"/>
  <c r="H1378" i="74"/>
  <c r="H1379" i="74"/>
  <c r="H1380" i="74"/>
  <c r="H1381" i="74"/>
  <c r="H1382" i="74"/>
  <c r="H1383" i="74"/>
  <c r="H1384" i="74"/>
  <c r="H1385" i="74"/>
  <c r="H1386" i="74"/>
  <c r="H1387" i="74"/>
  <c r="H1388" i="74"/>
  <c r="H1389" i="74"/>
  <c r="H1390" i="74"/>
  <c r="H1391" i="74"/>
  <c r="H1392" i="74"/>
  <c r="H1393" i="74"/>
  <c r="H1394" i="74"/>
  <c r="H1395" i="74"/>
  <c r="H1396" i="74"/>
  <c r="H1397" i="74"/>
  <c r="H1398" i="74"/>
  <c r="H1399" i="74"/>
  <c r="H1400" i="74"/>
  <c r="H1401" i="74"/>
  <c r="H1402" i="74"/>
  <c r="H1403" i="74"/>
  <c r="H1404" i="74"/>
  <c r="H1405" i="74"/>
  <c r="H1406" i="74"/>
  <c r="H1407" i="74"/>
  <c r="H1408" i="74"/>
  <c r="H1409" i="74"/>
  <c r="H1410" i="74"/>
  <c r="H1411" i="74"/>
  <c r="H1412" i="74"/>
  <c r="H1413" i="74"/>
  <c r="H1414" i="74"/>
  <c r="H1415" i="74"/>
  <c r="H1416" i="74"/>
  <c r="H1417" i="74"/>
  <c r="H1418" i="74"/>
  <c r="H1419" i="74"/>
  <c r="H1420" i="74"/>
  <c r="H1421" i="74"/>
  <c r="H1422" i="74"/>
  <c r="H1423" i="74"/>
  <c r="H1424" i="74"/>
  <c r="H1425" i="74"/>
  <c r="H1426" i="74"/>
  <c r="H1427" i="74"/>
  <c r="H1428" i="74"/>
  <c r="H1429" i="74"/>
  <c r="H1430" i="74"/>
  <c r="H1431" i="74"/>
  <c r="H1432" i="74"/>
  <c r="H1433" i="74"/>
  <c r="H1434" i="74"/>
  <c r="H1435" i="74"/>
  <c r="H1436" i="74"/>
  <c r="H1437" i="74"/>
  <c r="H1438" i="74"/>
  <c r="H1439" i="74"/>
  <c r="H1440" i="74"/>
  <c r="H1441" i="74"/>
  <c r="H1442" i="74"/>
  <c r="H1443" i="74"/>
  <c r="H1444" i="74"/>
  <c r="H1445" i="74"/>
  <c r="H1446" i="74"/>
  <c r="H1447" i="74"/>
  <c r="H1448" i="74"/>
  <c r="H1449" i="74"/>
  <c r="H1450" i="74"/>
  <c r="H1451" i="74"/>
  <c r="H1452" i="74"/>
  <c r="H1453" i="74"/>
  <c r="H1454" i="74"/>
  <c r="H1455" i="74"/>
  <c r="H1456" i="74"/>
  <c r="H1457" i="74"/>
  <c r="H1458" i="74"/>
  <c r="H1459" i="74"/>
  <c r="H1460" i="74"/>
  <c r="H1461" i="74"/>
  <c r="H1462" i="74"/>
  <c r="H1463" i="74"/>
  <c r="H1464" i="74"/>
  <c r="H1465" i="74"/>
  <c r="H1466" i="74"/>
  <c r="H1467" i="74"/>
  <c r="H1468" i="74"/>
  <c r="H1469" i="74"/>
  <c r="H1470" i="74"/>
  <c r="H1471" i="74"/>
  <c r="H1472" i="74"/>
  <c r="H1473" i="74"/>
  <c r="H1474" i="74"/>
  <c r="H1475" i="74"/>
  <c r="H1476" i="74"/>
  <c r="H1477" i="74"/>
  <c r="H1478" i="74"/>
  <c r="H1479" i="74"/>
  <c r="H1480" i="74"/>
  <c r="H1481" i="74"/>
  <c r="H1482" i="74"/>
  <c r="H1483" i="74"/>
  <c r="H1484" i="74"/>
  <c r="H1485" i="74"/>
  <c r="H1486" i="74"/>
  <c r="H1487" i="74"/>
  <c r="H1488" i="74"/>
  <c r="H1489" i="74"/>
  <c r="H1490" i="74"/>
  <c r="H1491" i="74"/>
  <c r="H1492" i="74"/>
  <c r="H1493" i="74"/>
  <c r="H1494" i="74"/>
  <c r="H1495" i="74"/>
  <c r="H1496" i="74"/>
  <c r="H1497" i="74"/>
  <c r="H1498" i="74"/>
  <c r="H1499" i="74"/>
  <c r="H1500" i="74"/>
  <c r="H1501" i="74"/>
  <c r="H1502" i="74"/>
  <c r="H1503" i="74"/>
  <c r="H1504" i="74"/>
  <c r="H1505" i="74"/>
  <c r="H1506" i="74"/>
  <c r="H1507" i="74"/>
  <c r="H1508" i="74"/>
  <c r="H1509" i="74"/>
  <c r="H1510" i="74"/>
  <c r="H1511" i="74"/>
  <c r="H1512" i="74"/>
  <c r="H1513" i="74"/>
  <c r="H1514" i="74"/>
  <c r="H1515" i="74"/>
  <c r="H1516" i="74"/>
  <c r="H1517" i="74"/>
  <c r="H1518" i="74"/>
  <c r="H1519" i="74"/>
  <c r="H1520" i="74"/>
  <c r="H1521" i="74"/>
  <c r="H1522" i="74"/>
  <c r="H1523" i="74"/>
  <c r="H1524" i="74"/>
  <c r="H1525" i="74"/>
  <c r="H1526" i="74"/>
  <c r="H1527" i="74"/>
  <c r="H1528" i="74"/>
  <c r="H1529" i="74"/>
  <c r="H1530" i="74"/>
  <c r="H1531" i="74"/>
  <c r="H1532" i="74"/>
  <c r="H1533" i="74"/>
  <c r="H1534" i="74"/>
  <c r="H1535" i="74"/>
  <c r="H1536" i="74"/>
  <c r="H1537" i="74"/>
  <c r="H1538" i="74"/>
  <c r="H1539" i="74"/>
  <c r="H1540" i="74"/>
  <c r="H1541" i="74"/>
  <c r="H1542" i="74"/>
  <c r="H1543" i="74"/>
  <c r="H1544" i="74"/>
  <c r="H1545" i="74"/>
  <c r="H1546" i="74"/>
  <c r="H1547" i="74"/>
  <c r="H1548" i="74"/>
  <c r="H1549" i="74"/>
  <c r="H1550" i="74"/>
  <c r="H1551" i="74"/>
  <c r="H1552" i="74"/>
  <c r="H1553" i="74"/>
  <c r="H1554" i="74"/>
  <c r="H1555" i="74"/>
  <c r="H1556" i="74"/>
  <c r="H1557" i="74"/>
  <c r="H1558" i="74"/>
  <c r="H1559" i="74"/>
  <c r="H1560" i="74"/>
  <c r="H1561" i="74"/>
  <c r="H1562" i="74"/>
  <c r="H1563" i="74"/>
  <c r="H1564" i="74"/>
  <c r="H1565" i="74"/>
  <c r="H1566" i="74"/>
  <c r="H1567" i="74"/>
  <c r="H1568" i="74"/>
  <c r="H1569" i="74"/>
  <c r="H1570" i="74"/>
  <c r="H1571" i="74"/>
  <c r="H1572" i="74"/>
  <c r="H1573" i="74"/>
  <c r="H1574" i="74"/>
  <c r="H1575" i="74"/>
  <c r="H1576" i="74"/>
  <c r="H1577" i="74"/>
  <c r="H1578" i="74"/>
  <c r="H1579" i="74"/>
  <c r="H1580" i="74"/>
  <c r="H1581" i="74"/>
  <c r="H1582" i="74"/>
  <c r="H1583" i="74"/>
  <c r="H1584" i="74"/>
  <c r="H1585" i="74"/>
  <c r="H1586" i="74"/>
  <c r="H1587" i="74"/>
  <c r="H1588" i="74"/>
  <c r="H1589" i="74"/>
  <c r="H1590" i="74"/>
  <c r="H1591" i="74"/>
  <c r="H1592" i="74"/>
  <c r="H1593" i="74"/>
  <c r="H1594" i="74"/>
  <c r="H1595" i="74"/>
  <c r="H1596" i="74"/>
  <c r="H1597" i="74"/>
  <c r="H1598" i="74"/>
  <c r="H1599" i="74"/>
  <c r="H1600" i="74"/>
  <c r="H1601" i="74"/>
  <c r="H1602" i="74"/>
  <c r="H1603" i="74"/>
  <c r="H1604" i="74"/>
  <c r="H1605" i="74"/>
  <c r="H1606" i="74"/>
  <c r="H1607" i="74"/>
  <c r="H1608" i="74"/>
  <c r="H1609" i="74"/>
  <c r="H1610" i="74"/>
  <c r="H1611" i="74"/>
  <c r="H1612" i="74"/>
  <c r="H1613" i="74"/>
  <c r="H1614" i="74"/>
  <c r="H1615" i="74"/>
  <c r="H1616" i="74"/>
  <c r="H1617" i="74"/>
  <c r="H1618" i="74"/>
  <c r="H1619" i="74"/>
  <c r="H1620" i="74"/>
  <c r="H1621" i="74"/>
  <c r="H1622" i="74"/>
  <c r="H1623" i="74"/>
  <c r="H1624" i="74"/>
  <c r="H1625" i="74"/>
  <c r="H1626" i="74"/>
  <c r="H1627" i="74"/>
  <c r="H1628" i="74"/>
  <c r="H1629" i="74"/>
  <c r="H1630" i="74"/>
  <c r="H1631" i="74"/>
  <c r="H1632" i="74"/>
  <c r="H1633" i="74"/>
  <c r="H1634" i="74"/>
  <c r="H1635" i="74"/>
  <c r="H1636" i="74"/>
  <c r="H1637" i="74"/>
  <c r="H1638" i="74"/>
  <c r="H1639" i="74"/>
  <c r="H1640" i="74"/>
  <c r="H1641" i="74"/>
  <c r="H1642" i="74"/>
  <c r="H1643" i="74"/>
  <c r="H1644" i="74"/>
  <c r="H1645" i="74"/>
  <c r="H1646" i="74"/>
  <c r="H1647" i="74"/>
  <c r="H1648" i="74"/>
  <c r="H1649" i="74"/>
  <c r="H1650" i="74"/>
  <c r="H1651" i="74"/>
  <c r="H1652" i="74"/>
  <c r="H1653" i="74"/>
  <c r="H1654" i="74"/>
  <c r="H1655" i="74"/>
  <c r="H1656" i="74"/>
  <c r="H1657" i="74"/>
  <c r="H1658" i="74"/>
  <c r="H1659" i="74"/>
  <c r="H1660" i="74"/>
  <c r="H1661" i="74"/>
  <c r="H1662" i="74"/>
  <c r="H1663" i="74"/>
  <c r="H1664" i="74"/>
  <c r="H1665" i="74"/>
  <c r="H1666" i="74"/>
  <c r="H1667" i="74"/>
  <c r="H1668" i="74"/>
  <c r="H1669" i="74"/>
  <c r="H1670" i="74"/>
  <c r="H1671" i="74"/>
  <c r="H1672" i="74"/>
  <c r="H1673" i="74"/>
  <c r="H1674" i="74"/>
  <c r="H1675" i="74"/>
  <c r="H1676" i="74"/>
  <c r="H1677" i="74"/>
  <c r="H1678" i="74"/>
  <c r="H1679" i="74"/>
  <c r="H1680" i="74"/>
  <c r="H1681" i="74"/>
  <c r="H1682" i="74"/>
  <c r="H1683" i="74"/>
  <c r="H1684" i="74"/>
  <c r="H1685" i="74"/>
  <c r="H1686" i="74"/>
  <c r="H1687" i="74"/>
  <c r="H1688" i="74"/>
  <c r="H1689" i="74"/>
  <c r="H1690" i="74"/>
  <c r="H1691" i="74"/>
  <c r="H1692" i="74"/>
  <c r="H1693" i="74"/>
  <c r="H1694" i="74"/>
  <c r="H1695" i="74"/>
  <c r="H1696" i="74"/>
  <c r="H1697" i="74"/>
  <c r="H1698" i="74"/>
  <c r="H1699" i="74"/>
  <c r="H1700" i="74"/>
  <c r="H1701" i="74"/>
  <c r="H1702" i="74"/>
  <c r="H1703" i="74"/>
  <c r="H1704" i="74"/>
  <c r="H1705" i="74"/>
  <c r="H1706" i="74"/>
  <c r="H1707" i="74"/>
  <c r="H1708" i="74"/>
  <c r="H1709" i="74"/>
  <c r="H1710" i="74"/>
  <c r="H1711" i="74"/>
  <c r="H1712" i="74"/>
  <c r="H1713" i="74"/>
  <c r="H1714" i="74"/>
  <c r="H1715" i="74"/>
  <c r="H1716" i="74"/>
  <c r="H1717" i="74"/>
  <c r="H1718" i="74"/>
  <c r="H1719" i="74"/>
  <c r="H1720" i="74"/>
  <c r="H1721" i="74"/>
  <c r="H1722" i="74"/>
  <c r="H1723" i="74"/>
  <c r="H1724" i="74"/>
  <c r="H1725" i="74"/>
  <c r="H1726" i="74"/>
  <c r="H1727" i="74"/>
  <c r="H1728" i="74"/>
  <c r="H1729" i="74"/>
  <c r="H1730" i="74"/>
  <c r="H1731" i="74"/>
  <c r="H1732" i="74"/>
  <c r="H1733" i="74"/>
  <c r="H1734" i="74"/>
  <c r="H1735" i="74"/>
  <c r="H1736" i="74"/>
  <c r="H1737" i="74"/>
  <c r="H1738" i="74"/>
  <c r="H1739" i="74"/>
  <c r="H1740" i="74"/>
  <c r="H1741" i="74"/>
  <c r="H1742" i="74"/>
  <c r="H1743" i="74"/>
  <c r="H1744" i="74"/>
  <c r="H1745" i="74"/>
  <c r="H1746" i="74"/>
  <c r="H2" i="74"/>
  <c r="G3" i="74"/>
  <c r="G4" i="74"/>
  <c r="G5" i="74"/>
  <c r="G6" i="74"/>
  <c r="G7" i="74"/>
  <c r="G8" i="74"/>
  <c r="G9" i="74"/>
  <c r="G10" i="74"/>
  <c r="G11" i="74"/>
  <c r="G12" i="74"/>
  <c r="G13" i="74"/>
  <c r="G14" i="74"/>
  <c r="G15" i="74"/>
  <c r="G16" i="74"/>
  <c r="G17" i="74"/>
  <c r="G18" i="74"/>
  <c r="G19" i="74"/>
  <c r="G20" i="74"/>
  <c r="G21" i="74"/>
  <c r="G22" i="74"/>
  <c r="G23" i="74"/>
  <c r="G24" i="74"/>
  <c r="G25" i="74"/>
  <c r="G26" i="74"/>
  <c r="G27" i="74"/>
  <c r="G28" i="74"/>
  <c r="G29" i="74"/>
  <c r="G30" i="74"/>
  <c r="G31" i="74"/>
  <c r="G32" i="74"/>
  <c r="G33" i="74"/>
  <c r="G34" i="74"/>
  <c r="G35" i="74"/>
  <c r="G36" i="74"/>
  <c r="G37" i="74"/>
  <c r="G38" i="74"/>
  <c r="G39" i="74"/>
  <c r="G40" i="74"/>
  <c r="G41" i="74"/>
  <c r="G42" i="74"/>
  <c r="G43" i="74"/>
  <c r="G44" i="74"/>
  <c r="G45" i="74"/>
  <c r="G46" i="74"/>
  <c r="G47" i="74"/>
  <c r="G48" i="74"/>
  <c r="G49" i="74"/>
  <c r="G50" i="74"/>
  <c r="G51" i="74"/>
  <c r="G52" i="74"/>
  <c r="G53" i="74"/>
  <c r="G54" i="74"/>
  <c r="G55" i="74"/>
  <c r="G56" i="74"/>
  <c r="G57" i="74"/>
  <c r="G58" i="74"/>
  <c r="G59" i="74"/>
  <c r="G60" i="74"/>
  <c r="G61" i="74"/>
  <c r="G62" i="74"/>
  <c r="G63" i="74"/>
  <c r="G64" i="74"/>
  <c r="G65" i="74"/>
  <c r="G66" i="74"/>
  <c r="G67" i="74"/>
  <c r="G68" i="74"/>
  <c r="G69" i="74"/>
  <c r="G70" i="74"/>
  <c r="G71" i="74"/>
  <c r="G72" i="74"/>
  <c r="G73" i="74"/>
  <c r="G74" i="74"/>
  <c r="G75" i="74"/>
  <c r="G76" i="74"/>
  <c r="G77" i="74"/>
  <c r="G78" i="74"/>
  <c r="G79" i="74"/>
  <c r="G80" i="74"/>
  <c r="G81" i="74"/>
  <c r="G82" i="74"/>
  <c r="G83" i="74"/>
  <c r="G84" i="74"/>
  <c r="G85" i="74"/>
  <c r="G86" i="74"/>
  <c r="G87" i="74"/>
  <c r="G88" i="74"/>
  <c r="G89" i="74"/>
  <c r="G90" i="74"/>
  <c r="G91" i="74"/>
  <c r="G92" i="74"/>
  <c r="G93" i="74"/>
  <c r="G94" i="74"/>
  <c r="G95" i="74"/>
  <c r="G96" i="74"/>
  <c r="G97" i="74"/>
  <c r="G98" i="74"/>
  <c r="G99" i="74"/>
  <c r="G100" i="74"/>
  <c r="G101" i="74"/>
  <c r="G102" i="74"/>
  <c r="G103" i="74"/>
  <c r="G104" i="74"/>
  <c r="G105" i="74"/>
  <c r="G106" i="74"/>
  <c r="G107" i="74"/>
  <c r="G108" i="74"/>
  <c r="G109" i="74"/>
  <c r="G110" i="74"/>
  <c r="G111" i="74"/>
  <c r="G112" i="74"/>
  <c r="G113" i="74"/>
  <c r="G114" i="74"/>
  <c r="G115" i="74"/>
  <c r="G116" i="74"/>
  <c r="G117" i="74"/>
  <c r="G118" i="74"/>
  <c r="G119" i="74"/>
  <c r="G120" i="74"/>
  <c r="G121" i="74"/>
  <c r="G122" i="74"/>
  <c r="G123" i="74"/>
  <c r="G124" i="74"/>
  <c r="G125" i="74"/>
  <c r="G126" i="74"/>
  <c r="G127" i="74"/>
  <c r="G128" i="74"/>
  <c r="G129" i="74"/>
  <c r="G130" i="74"/>
  <c r="G131" i="74"/>
  <c r="G132" i="74"/>
  <c r="G133" i="74"/>
  <c r="G134" i="74"/>
  <c r="G135" i="74"/>
  <c r="G136" i="74"/>
  <c r="G137" i="74"/>
  <c r="G138" i="74"/>
  <c r="G139" i="74"/>
  <c r="G140" i="74"/>
  <c r="G141" i="74"/>
  <c r="G142" i="74"/>
  <c r="G143" i="74"/>
  <c r="G144" i="74"/>
  <c r="G145" i="74"/>
  <c r="G146" i="74"/>
  <c r="G147" i="74"/>
  <c r="G148" i="74"/>
  <c r="G149" i="74"/>
  <c r="G150" i="74"/>
  <c r="G151" i="74"/>
  <c r="G152" i="74"/>
  <c r="G153" i="74"/>
  <c r="G154" i="74"/>
  <c r="G155" i="74"/>
  <c r="G156" i="74"/>
  <c r="G157" i="74"/>
  <c r="G158" i="74"/>
  <c r="G159" i="74"/>
  <c r="G160" i="74"/>
  <c r="G161" i="74"/>
  <c r="G162" i="74"/>
  <c r="G163" i="74"/>
  <c r="G164" i="74"/>
  <c r="G165" i="74"/>
  <c r="G166" i="74"/>
  <c r="G167" i="74"/>
  <c r="G168" i="74"/>
  <c r="G169" i="74"/>
  <c r="G170" i="74"/>
  <c r="G171" i="74"/>
  <c r="G172" i="74"/>
  <c r="G173" i="74"/>
  <c r="G174" i="74"/>
  <c r="G175" i="74"/>
  <c r="G176" i="74"/>
  <c r="G177" i="74"/>
  <c r="G178" i="74"/>
  <c r="G179" i="74"/>
  <c r="G180" i="74"/>
  <c r="G181" i="74"/>
  <c r="G182" i="74"/>
  <c r="G183" i="74"/>
  <c r="G184" i="74"/>
  <c r="G185" i="74"/>
  <c r="G186" i="74"/>
  <c r="G187" i="74"/>
  <c r="G188" i="74"/>
  <c r="G189" i="74"/>
  <c r="G190" i="74"/>
  <c r="G191" i="74"/>
  <c r="G192" i="74"/>
  <c r="G193" i="74"/>
  <c r="G194" i="74"/>
  <c r="G195" i="74"/>
  <c r="G196" i="74"/>
  <c r="G197" i="74"/>
  <c r="G198" i="74"/>
  <c r="G199" i="74"/>
  <c r="G200" i="74"/>
  <c r="G201" i="74"/>
  <c r="G202" i="74"/>
  <c r="G203" i="74"/>
  <c r="G204" i="74"/>
  <c r="G205" i="74"/>
  <c r="G206" i="74"/>
  <c r="G207" i="74"/>
  <c r="G208" i="74"/>
  <c r="G209" i="74"/>
  <c r="G210" i="74"/>
  <c r="G211" i="74"/>
  <c r="G212" i="74"/>
  <c r="G213" i="74"/>
  <c r="G214" i="74"/>
  <c r="G215" i="74"/>
  <c r="G216" i="74"/>
  <c r="G217" i="74"/>
  <c r="G218" i="74"/>
  <c r="G219" i="74"/>
  <c r="G220" i="74"/>
  <c r="G221" i="74"/>
  <c r="G222" i="74"/>
  <c r="G223" i="74"/>
  <c r="G224" i="74"/>
  <c r="G225" i="74"/>
  <c r="G226" i="74"/>
  <c r="G227" i="74"/>
  <c r="G228" i="74"/>
  <c r="G229" i="74"/>
  <c r="G230" i="74"/>
  <c r="G231" i="74"/>
  <c r="G232" i="74"/>
  <c r="G233" i="74"/>
  <c r="G234" i="74"/>
  <c r="G235" i="74"/>
  <c r="G236" i="74"/>
  <c r="G237" i="74"/>
  <c r="G238" i="74"/>
  <c r="G239" i="74"/>
  <c r="G240" i="74"/>
  <c r="G241" i="74"/>
  <c r="G242" i="74"/>
  <c r="G243" i="74"/>
  <c r="G244" i="74"/>
  <c r="G245" i="74"/>
  <c r="G246" i="74"/>
  <c r="G247" i="74"/>
  <c r="G248" i="74"/>
  <c r="G249" i="74"/>
  <c r="G250" i="74"/>
  <c r="G251" i="74"/>
  <c r="G252" i="74"/>
  <c r="G253" i="74"/>
  <c r="G254" i="74"/>
  <c r="G255" i="74"/>
  <c r="G256" i="74"/>
  <c r="G257" i="74"/>
  <c r="G258" i="74"/>
  <c r="G259" i="74"/>
  <c r="G260" i="74"/>
  <c r="G261" i="74"/>
  <c r="G262" i="74"/>
  <c r="G263" i="74"/>
  <c r="G264" i="74"/>
  <c r="G265" i="74"/>
  <c r="G266" i="74"/>
  <c r="G267" i="74"/>
  <c r="G268" i="74"/>
  <c r="G269" i="74"/>
  <c r="G270" i="74"/>
  <c r="G271" i="74"/>
  <c r="G272" i="74"/>
  <c r="G273" i="74"/>
  <c r="G274" i="74"/>
  <c r="G275" i="74"/>
  <c r="G276" i="74"/>
  <c r="G277" i="74"/>
  <c r="G278" i="74"/>
  <c r="G279" i="74"/>
  <c r="G280" i="74"/>
  <c r="G281" i="74"/>
  <c r="G282" i="74"/>
  <c r="G283" i="74"/>
  <c r="G284" i="74"/>
  <c r="G285" i="74"/>
  <c r="G286" i="74"/>
  <c r="G287" i="74"/>
  <c r="G288" i="74"/>
  <c r="G289" i="74"/>
  <c r="G290" i="74"/>
  <c r="G291" i="74"/>
  <c r="G292" i="74"/>
  <c r="G293" i="74"/>
  <c r="G294" i="74"/>
  <c r="G295" i="74"/>
  <c r="G296" i="74"/>
  <c r="G297" i="74"/>
  <c r="G298" i="74"/>
  <c r="G299" i="74"/>
  <c r="G300" i="74"/>
  <c r="G301" i="74"/>
  <c r="G302" i="74"/>
  <c r="G303" i="74"/>
  <c r="G304" i="74"/>
  <c r="G305" i="74"/>
  <c r="G306" i="74"/>
  <c r="G307" i="74"/>
  <c r="G308" i="74"/>
  <c r="G309" i="74"/>
  <c r="G310" i="74"/>
  <c r="G311" i="74"/>
  <c r="G312" i="74"/>
  <c r="G313" i="74"/>
  <c r="G314" i="74"/>
  <c r="G315" i="74"/>
  <c r="G316" i="74"/>
  <c r="G317" i="74"/>
  <c r="G318" i="74"/>
  <c r="G319" i="74"/>
  <c r="G320" i="74"/>
  <c r="G321" i="74"/>
  <c r="G322" i="74"/>
  <c r="G323" i="74"/>
  <c r="G324" i="74"/>
  <c r="G325" i="74"/>
  <c r="G326" i="74"/>
  <c r="G327" i="74"/>
  <c r="G328" i="74"/>
  <c r="G329" i="74"/>
  <c r="G330" i="74"/>
  <c r="G331" i="74"/>
  <c r="G332" i="74"/>
  <c r="G333" i="74"/>
  <c r="G334" i="74"/>
  <c r="G335" i="74"/>
  <c r="G336" i="74"/>
  <c r="G337" i="74"/>
  <c r="G338" i="74"/>
  <c r="G339" i="74"/>
  <c r="G340" i="74"/>
  <c r="G341" i="74"/>
  <c r="G342" i="74"/>
  <c r="G343" i="74"/>
  <c r="G344" i="74"/>
  <c r="G345" i="74"/>
  <c r="G346" i="74"/>
  <c r="G347" i="74"/>
  <c r="G348" i="74"/>
  <c r="G349" i="74"/>
  <c r="G350" i="74"/>
  <c r="G351" i="74"/>
  <c r="G352" i="74"/>
  <c r="G353" i="74"/>
  <c r="G354" i="74"/>
  <c r="G355" i="74"/>
  <c r="G356" i="74"/>
  <c r="G357" i="74"/>
  <c r="G358" i="74"/>
  <c r="G359" i="74"/>
  <c r="G360" i="74"/>
  <c r="G361" i="74"/>
  <c r="G362" i="74"/>
  <c r="G363" i="74"/>
  <c r="G364" i="74"/>
  <c r="G365" i="74"/>
  <c r="G366" i="74"/>
  <c r="G367" i="74"/>
  <c r="G368" i="74"/>
  <c r="G369" i="74"/>
  <c r="G370" i="74"/>
  <c r="G371" i="74"/>
  <c r="G372" i="74"/>
  <c r="G373" i="74"/>
  <c r="G374" i="74"/>
  <c r="G375" i="74"/>
  <c r="G376" i="74"/>
  <c r="G377" i="74"/>
  <c r="G378" i="74"/>
  <c r="G379" i="74"/>
  <c r="G380" i="74"/>
  <c r="G381" i="74"/>
  <c r="G382" i="74"/>
  <c r="G383" i="74"/>
  <c r="G384" i="74"/>
  <c r="G385" i="74"/>
  <c r="G386" i="74"/>
  <c r="G387" i="74"/>
  <c r="G388" i="74"/>
  <c r="G389" i="74"/>
  <c r="G390" i="74"/>
  <c r="G391" i="74"/>
  <c r="G392" i="74"/>
  <c r="G393" i="74"/>
  <c r="G394" i="74"/>
  <c r="G395" i="74"/>
  <c r="G396" i="74"/>
  <c r="G397" i="74"/>
  <c r="G398" i="74"/>
  <c r="G399" i="74"/>
  <c r="G400" i="74"/>
  <c r="G401" i="74"/>
  <c r="G402" i="74"/>
  <c r="G403" i="74"/>
  <c r="G404" i="74"/>
  <c r="G405" i="74"/>
  <c r="G406" i="74"/>
  <c r="G407" i="74"/>
  <c r="G408" i="74"/>
  <c r="G409" i="74"/>
  <c r="G410" i="74"/>
  <c r="G411" i="74"/>
  <c r="G412" i="74"/>
  <c r="G413" i="74"/>
  <c r="G414" i="74"/>
  <c r="G415" i="74"/>
  <c r="G416" i="74"/>
  <c r="G417" i="74"/>
  <c r="G418" i="74"/>
  <c r="G419" i="74"/>
  <c r="G420" i="74"/>
  <c r="G421" i="74"/>
  <c r="G422" i="74"/>
  <c r="G423" i="74"/>
  <c r="G424" i="74"/>
  <c r="G425" i="74"/>
  <c r="G426" i="74"/>
  <c r="G427" i="74"/>
  <c r="G428" i="74"/>
  <c r="G429" i="74"/>
  <c r="G430" i="74"/>
  <c r="G431" i="74"/>
  <c r="G432" i="74"/>
  <c r="G433" i="74"/>
  <c r="G434" i="74"/>
  <c r="G435" i="74"/>
  <c r="G436" i="74"/>
  <c r="G437" i="74"/>
  <c r="G438" i="74"/>
  <c r="G439" i="74"/>
  <c r="G440" i="74"/>
  <c r="G441" i="74"/>
  <c r="G442" i="74"/>
  <c r="G443" i="74"/>
  <c r="G444" i="74"/>
  <c r="G445" i="74"/>
  <c r="G446" i="74"/>
  <c r="G447" i="74"/>
  <c r="G448" i="74"/>
  <c r="G449" i="74"/>
  <c r="G450" i="74"/>
  <c r="G451" i="74"/>
  <c r="G452" i="74"/>
  <c r="G453" i="74"/>
  <c r="G454" i="74"/>
  <c r="G455" i="74"/>
  <c r="G456" i="74"/>
  <c r="G457" i="74"/>
  <c r="G458" i="74"/>
  <c r="G459" i="74"/>
  <c r="G460" i="74"/>
  <c r="G461" i="74"/>
  <c r="G462" i="74"/>
  <c r="G463" i="74"/>
  <c r="G464" i="74"/>
  <c r="G465" i="74"/>
  <c r="G466" i="74"/>
  <c r="G467" i="74"/>
  <c r="G468" i="74"/>
  <c r="G469" i="74"/>
  <c r="G470" i="74"/>
  <c r="G471" i="74"/>
  <c r="G472" i="74"/>
  <c r="G473" i="74"/>
  <c r="G474" i="74"/>
  <c r="G475" i="74"/>
  <c r="G476" i="74"/>
  <c r="G477" i="74"/>
  <c r="G478" i="74"/>
  <c r="G479" i="74"/>
  <c r="G480" i="74"/>
  <c r="G481" i="74"/>
  <c r="G482" i="74"/>
  <c r="G483" i="74"/>
  <c r="G484" i="74"/>
  <c r="G485" i="74"/>
  <c r="G486" i="74"/>
  <c r="G487" i="74"/>
  <c r="G488" i="74"/>
  <c r="G489" i="74"/>
  <c r="G490" i="74"/>
  <c r="G491" i="74"/>
  <c r="G492" i="74"/>
  <c r="G493" i="74"/>
  <c r="G494" i="74"/>
  <c r="G495" i="74"/>
  <c r="G496" i="74"/>
  <c r="G497" i="74"/>
  <c r="G498" i="74"/>
  <c r="G499" i="74"/>
  <c r="G500" i="74"/>
  <c r="G501" i="74"/>
  <c r="G502" i="74"/>
  <c r="G503" i="74"/>
  <c r="G504" i="74"/>
  <c r="G505" i="74"/>
  <c r="G506" i="74"/>
  <c r="G507" i="74"/>
  <c r="G508" i="74"/>
  <c r="G509" i="74"/>
  <c r="G510" i="74"/>
  <c r="G511" i="74"/>
  <c r="G512" i="74"/>
  <c r="G513" i="74"/>
  <c r="G514" i="74"/>
  <c r="G515" i="74"/>
  <c r="G516" i="74"/>
  <c r="G517" i="74"/>
  <c r="G518" i="74"/>
  <c r="G519" i="74"/>
  <c r="G520" i="74"/>
  <c r="G521" i="74"/>
  <c r="G522" i="74"/>
  <c r="G523" i="74"/>
  <c r="G524" i="74"/>
  <c r="G525" i="74"/>
  <c r="G526" i="74"/>
  <c r="G527" i="74"/>
  <c r="G528" i="74"/>
  <c r="G529" i="74"/>
  <c r="G530" i="74"/>
  <c r="G531" i="74"/>
  <c r="G532" i="74"/>
  <c r="G533" i="74"/>
  <c r="G534" i="74"/>
  <c r="G535" i="74"/>
  <c r="G536" i="74"/>
  <c r="G537" i="74"/>
  <c r="G538" i="74"/>
  <c r="G539" i="74"/>
  <c r="G540" i="74"/>
  <c r="G541" i="74"/>
  <c r="G542" i="74"/>
  <c r="G543" i="74"/>
  <c r="G544" i="74"/>
  <c r="G545" i="74"/>
  <c r="G546" i="74"/>
  <c r="G547" i="74"/>
  <c r="G548" i="74"/>
  <c r="G549" i="74"/>
  <c r="G550" i="74"/>
  <c r="G551" i="74"/>
  <c r="G552" i="74"/>
  <c r="G553" i="74"/>
  <c r="G554" i="74"/>
  <c r="G555" i="74"/>
  <c r="G556" i="74"/>
  <c r="G557" i="74"/>
  <c r="G558" i="74"/>
  <c r="G559" i="74"/>
  <c r="G560" i="74"/>
  <c r="G561" i="74"/>
  <c r="G562" i="74"/>
  <c r="G563" i="74"/>
  <c r="G564" i="74"/>
  <c r="G565" i="74"/>
  <c r="G566" i="74"/>
  <c r="G567" i="74"/>
  <c r="G568" i="74"/>
  <c r="G569" i="74"/>
  <c r="G570" i="74"/>
  <c r="G571" i="74"/>
  <c r="G572" i="74"/>
  <c r="G573" i="74"/>
  <c r="G574" i="74"/>
  <c r="G575" i="74"/>
  <c r="G576" i="74"/>
  <c r="G577" i="74"/>
  <c r="G578" i="74"/>
  <c r="G579" i="74"/>
  <c r="G580" i="74"/>
  <c r="G581" i="74"/>
  <c r="G582" i="74"/>
  <c r="G583" i="74"/>
  <c r="G584" i="74"/>
  <c r="G585" i="74"/>
  <c r="G586" i="74"/>
  <c r="G587" i="74"/>
  <c r="G588" i="74"/>
  <c r="G589" i="74"/>
  <c r="G590" i="74"/>
  <c r="G591" i="74"/>
  <c r="G592" i="74"/>
  <c r="G593" i="74"/>
  <c r="G594" i="74"/>
  <c r="G595" i="74"/>
  <c r="G596" i="74"/>
  <c r="G597" i="74"/>
  <c r="G598" i="74"/>
  <c r="G599" i="74"/>
  <c r="G600" i="74"/>
  <c r="G601" i="74"/>
  <c r="G602" i="74"/>
  <c r="G603" i="74"/>
  <c r="G604" i="74"/>
  <c r="G605" i="74"/>
  <c r="G606" i="74"/>
  <c r="G607" i="74"/>
  <c r="G608" i="74"/>
  <c r="G609" i="74"/>
  <c r="G610" i="74"/>
  <c r="G611" i="74"/>
  <c r="G612" i="74"/>
  <c r="G613" i="74"/>
  <c r="G614" i="74"/>
  <c r="G615" i="74"/>
  <c r="G616" i="74"/>
  <c r="G617" i="74"/>
  <c r="G618" i="74"/>
  <c r="G619" i="74"/>
  <c r="G620" i="74"/>
  <c r="G621" i="74"/>
  <c r="G622" i="74"/>
  <c r="G623" i="74"/>
  <c r="G624" i="74"/>
  <c r="G625" i="74"/>
  <c r="G626" i="74"/>
  <c r="G627" i="74"/>
  <c r="G628" i="74"/>
  <c r="G629" i="74"/>
  <c r="G630" i="74"/>
  <c r="G631" i="74"/>
  <c r="G632" i="74"/>
  <c r="G633" i="74"/>
  <c r="G634" i="74"/>
  <c r="G635" i="74"/>
  <c r="G636" i="74"/>
  <c r="G637" i="74"/>
  <c r="G638" i="74"/>
  <c r="G639" i="74"/>
  <c r="G640" i="74"/>
  <c r="G641" i="74"/>
  <c r="G642" i="74"/>
  <c r="G643" i="74"/>
  <c r="G644" i="74"/>
  <c r="G645" i="74"/>
  <c r="G646" i="74"/>
  <c r="G647" i="74"/>
  <c r="G648" i="74"/>
  <c r="G649" i="74"/>
  <c r="G650" i="74"/>
  <c r="G651" i="74"/>
  <c r="G652" i="74"/>
  <c r="G653" i="74"/>
  <c r="G654" i="74"/>
  <c r="G655" i="74"/>
  <c r="G656" i="74"/>
  <c r="G657" i="74"/>
  <c r="G658" i="74"/>
  <c r="G659" i="74"/>
  <c r="G660" i="74"/>
  <c r="G661" i="74"/>
  <c r="G662" i="74"/>
  <c r="G663" i="74"/>
  <c r="G664" i="74"/>
  <c r="G665" i="74"/>
  <c r="G666" i="74"/>
  <c r="G667" i="74"/>
  <c r="G668" i="74"/>
  <c r="G669" i="74"/>
  <c r="G670" i="74"/>
  <c r="G671" i="74"/>
  <c r="G672" i="74"/>
  <c r="G673" i="74"/>
  <c r="G674" i="74"/>
  <c r="G675" i="74"/>
  <c r="G676" i="74"/>
  <c r="G677" i="74"/>
  <c r="G678" i="74"/>
  <c r="G679" i="74"/>
  <c r="G680" i="74"/>
  <c r="G681" i="74"/>
  <c r="G682" i="74"/>
  <c r="G683" i="74"/>
  <c r="G684" i="74"/>
  <c r="G685" i="74"/>
  <c r="G686" i="74"/>
  <c r="G687" i="74"/>
  <c r="G688" i="74"/>
  <c r="G689" i="74"/>
  <c r="G690" i="74"/>
  <c r="G691" i="74"/>
  <c r="G692" i="74"/>
  <c r="G693" i="74"/>
  <c r="G694" i="74"/>
  <c r="G695" i="74"/>
  <c r="G696" i="74"/>
  <c r="G697" i="74"/>
  <c r="G698" i="74"/>
  <c r="G699" i="74"/>
  <c r="G700" i="74"/>
  <c r="G701" i="74"/>
  <c r="G702" i="74"/>
  <c r="G703" i="74"/>
  <c r="G704" i="74"/>
  <c r="G705" i="74"/>
  <c r="G706" i="74"/>
  <c r="G707" i="74"/>
  <c r="G708" i="74"/>
  <c r="G709" i="74"/>
  <c r="G710" i="74"/>
  <c r="G711" i="74"/>
  <c r="G712" i="74"/>
  <c r="G713" i="74"/>
  <c r="G714" i="74"/>
  <c r="G715" i="74"/>
  <c r="G716" i="74"/>
  <c r="G717" i="74"/>
  <c r="G718" i="74"/>
  <c r="G719" i="74"/>
  <c r="G720" i="74"/>
  <c r="G721" i="74"/>
  <c r="G722" i="74"/>
  <c r="G723" i="74"/>
  <c r="G724" i="74"/>
  <c r="G725" i="74"/>
  <c r="G726" i="74"/>
  <c r="G727" i="74"/>
  <c r="G728" i="74"/>
  <c r="G729" i="74"/>
  <c r="G730" i="74"/>
  <c r="G731" i="74"/>
  <c r="G732" i="74"/>
  <c r="G733" i="74"/>
  <c r="G734" i="74"/>
  <c r="G735" i="74"/>
  <c r="G736" i="74"/>
  <c r="G737" i="74"/>
  <c r="G738" i="74"/>
  <c r="G739" i="74"/>
  <c r="G740" i="74"/>
  <c r="G741" i="74"/>
  <c r="G742" i="74"/>
  <c r="G743" i="74"/>
  <c r="G744" i="74"/>
  <c r="G745" i="74"/>
  <c r="G746" i="74"/>
  <c r="G747" i="74"/>
  <c r="G748" i="74"/>
  <c r="G749" i="74"/>
  <c r="G750" i="74"/>
  <c r="G751" i="74"/>
  <c r="G752" i="74"/>
  <c r="G753" i="74"/>
  <c r="G754" i="74"/>
  <c r="G755" i="74"/>
  <c r="G756" i="74"/>
  <c r="G757" i="74"/>
  <c r="G758" i="74"/>
  <c r="G759" i="74"/>
  <c r="G760" i="74"/>
  <c r="G761" i="74"/>
  <c r="G762" i="74"/>
  <c r="G763" i="74"/>
  <c r="G764" i="74"/>
  <c r="G765" i="74"/>
  <c r="G766" i="74"/>
  <c r="G767" i="74"/>
  <c r="G768" i="74"/>
  <c r="G769" i="74"/>
  <c r="G770" i="74"/>
  <c r="G771" i="74"/>
  <c r="G772" i="74"/>
  <c r="G773" i="74"/>
  <c r="G774" i="74"/>
  <c r="G775" i="74"/>
  <c r="G776" i="74"/>
  <c r="G777" i="74"/>
  <c r="G778" i="74"/>
  <c r="G779" i="74"/>
  <c r="G780" i="74"/>
  <c r="G781" i="74"/>
  <c r="G782" i="74"/>
  <c r="G783" i="74"/>
  <c r="G784" i="74"/>
  <c r="G785" i="74"/>
  <c r="G786" i="74"/>
  <c r="G787" i="74"/>
  <c r="G788" i="74"/>
  <c r="G789" i="74"/>
  <c r="G790" i="74"/>
  <c r="G791" i="74"/>
  <c r="G792" i="74"/>
  <c r="G793" i="74"/>
  <c r="G794" i="74"/>
  <c r="G795" i="74"/>
  <c r="G796" i="74"/>
  <c r="G797" i="74"/>
  <c r="G798" i="74"/>
  <c r="G799" i="74"/>
  <c r="G800" i="74"/>
  <c r="G801" i="74"/>
  <c r="G802" i="74"/>
  <c r="G803" i="74"/>
  <c r="G804" i="74"/>
  <c r="G805" i="74"/>
  <c r="G806" i="74"/>
  <c r="G807" i="74"/>
  <c r="G808" i="74"/>
  <c r="G809" i="74"/>
  <c r="G810" i="74"/>
  <c r="G811" i="74"/>
  <c r="G812" i="74"/>
  <c r="G813" i="74"/>
  <c r="G814" i="74"/>
  <c r="G815" i="74"/>
  <c r="G816" i="74"/>
  <c r="G817" i="74"/>
  <c r="G818" i="74"/>
  <c r="G819" i="74"/>
  <c r="G820" i="74"/>
  <c r="G821" i="74"/>
  <c r="G822" i="74"/>
  <c r="G823" i="74"/>
  <c r="G824" i="74"/>
  <c r="G825" i="74"/>
  <c r="G826" i="74"/>
  <c r="G827" i="74"/>
  <c r="G828" i="74"/>
  <c r="G829" i="74"/>
  <c r="G830" i="74"/>
  <c r="G831" i="74"/>
  <c r="G832" i="74"/>
  <c r="G833" i="74"/>
  <c r="G834" i="74"/>
  <c r="G835" i="74"/>
  <c r="G836" i="74"/>
  <c r="G837" i="74"/>
  <c r="G838" i="74"/>
  <c r="G839" i="74"/>
  <c r="G840" i="74"/>
  <c r="G841" i="74"/>
  <c r="G842" i="74"/>
  <c r="G843" i="74"/>
  <c r="G844" i="74"/>
  <c r="G845" i="74"/>
  <c r="G846" i="74"/>
  <c r="G847" i="74"/>
  <c r="G848" i="74"/>
  <c r="G849" i="74"/>
  <c r="G850" i="74"/>
  <c r="G851" i="74"/>
  <c r="G852" i="74"/>
  <c r="G853" i="74"/>
  <c r="G854" i="74"/>
  <c r="G855" i="74"/>
  <c r="G856" i="74"/>
  <c r="G857" i="74"/>
  <c r="G858" i="74"/>
  <c r="G859" i="74"/>
  <c r="G860" i="74"/>
  <c r="G861" i="74"/>
  <c r="G862" i="74"/>
  <c r="G863" i="74"/>
  <c r="G864" i="74"/>
  <c r="G865" i="74"/>
  <c r="G866" i="74"/>
  <c r="G867" i="74"/>
  <c r="G868" i="74"/>
  <c r="G869" i="74"/>
  <c r="G870" i="74"/>
  <c r="G871" i="74"/>
  <c r="G872" i="74"/>
  <c r="G873" i="74"/>
  <c r="G874" i="74"/>
  <c r="G875" i="74"/>
  <c r="G876" i="74"/>
  <c r="G877" i="74"/>
  <c r="G878" i="74"/>
  <c r="G879" i="74"/>
  <c r="G880" i="74"/>
  <c r="G881" i="74"/>
  <c r="G882" i="74"/>
  <c r="G883" i="74"/>
  <c r="G884" i="74"/>
  <c r="G885" i="74"/>
  <c r="G886" i="74"/>
  <c r="G887" i="74"/>
  <c r="G888" i="74"/>
  <c r="G889" i="74"/>
  <c r="G890" i="74"/>
  <c r="G891" i="74"/>
  <c r="G892" i="74"/>
  <c r="G893" i="74"/>
  <c r="G894" i="74"/>
  <c r="G895" i="74"/>
  <c r="G896" i="74"/>
  <c r="G897" i="74"/>
  <c r="G898" i="74"/>
  <c r="G899" i="74"/>
  <c r="G900" i="74"/>
  <c r="G901" i="74"/>
  <c r="G902" i="74"/>
  <c r="G903" i="74"/>
  <c r="G904" i="74"/>
  <c r="G905" i="74"/>
  <c r="G906" i="74"/>
  <c r="G907" i="74"/>
  <c r="G908" i="74"/>
  <c r="G909" i="74"/>
  <c r="G910" i="74"/>
  <c r="G911" i="74"/>
  <c r="G912" i="74"/>
  <c r="G913" i="74"/>
  <c r="G914" i="74"/>
  <c r="G915" i="74"/>
  <c r="G916" i="74"/>
  <c r="G917" i="74"/>
  <c r="G918" i="74"/>
  <c r="G919" i="74"/>
  <c r="G920" i="74"/>
  <c r="G921" i="74"/>
  <c r="G922" i="74"/>
  <c r="G923" i="74"/>
  <c r="G924" i="74"/>
  <c r="G925" i="74"/>
  <c r="G926" i="74"/>
  <c r="G927" i="74"/>
  <c r="G928" i="74"/>
  <c r="G929" i="74"/>
  <c r="G930" i="74"/>
  <c r="G931" i="74"/>
  <c r="G932" i="74"/>
  <c r="G933" i="74"/>
  <c r="G934" i="74"/>
  <c r="G935" i="74"/>
  <c r="G936" i="74"/>
  <c r="G937" i="74"/>
  <c r="G938" i="74"/>
  <c r="G939" i="74"/>
  <c r="G940" i="74"/>
  <c r="G941" i="74"/>
  <c r="G942" i="74"/>
  <c r="G943" i="74"/>
  <c r="G944" i="74"/>
  <c r="G945" i="74"/>
  <c r="G946" i="74"/>
  <c r="G947" i="74"/>
  <c r="G948" i="74"/>
  <c r="G949" i="74"/>
  <c r="G950" i="74"/>
  <c r="G951" i="74"/>
  <c r="G952" i="74"/>
  <c r="G953" i="74"/>
  <c r="G954" i="74"/>
  <c r="G955" i="74"/>
  <c r="G956" i="74"/>
  <c r="G957" i="74"/>
  <c r="G958" i="74"/>
  <c r="G959" i="74"/>
  <c r="G960" i="74"/>
  <c r="G961" i="74"/>
  <c r="G962" i="74"/>
  <c r="G963" i="74"/>
  <c r="G964" i="74"/>
  <c r="G965" i="74"/>
  <c r="G966" i="74"/>
  <c r="G967" i="74"/>
  <c r="G968" i="74"/>
  <c r="G969" i="74"/>
  <c r="G970" i="74"/>
  <c r="G971" i="74"/>
  <c r="G972" i="74"/>
  <c r="G973" i="74"/>
  <c r="G974" i="74"/>
  <c r="G975" i="74"/>
  <c r="G976" i="74"/>
  <c r="G977" i="74"/>
  <c r="G978" i="74"/>
  <c r="G979" i="74"/>
  <c r="G980" i="74"/>
  <c r="G981" i="74"/>
  <c r="G982" i="74"/>
  <c r="G983" i="74"/>
  <c r="G984" i="74"/>
  <c r="G985" i="74"/>
  <c r="G986" i="74"/>
  <c r="G987" i="74"/>
  <c r="G988" i="74"/>
  <c r="G989" i="74"/>
  <c r="G990" i="74"/>
  <c r="G991" i="74"/>
  <c r="G992" i="74"/>
  <c r="G993" i="74"/>
  <c r="G994" i="74"/>
  <c r="G995" i="74"/>
  <c r="G996" i="74"/>
  <c r="G997" i="74"/>
  <c r="G998" i="74"/>
  <c r="G999" i="74"/>
  <c r="G1000" i="74"/>
  <c r="G1001" i="74"/>
  <c r="G1002" i="74"/>
  <c r="G1003" i="74"/>
  <c r="G1004" i="74"/>
  <c r="G1005" i="74"/>
  <c r="G1006" i="74"/>
  <c r="G1007" i="74"/>
  <c r="G1008" i="74"/>
  <c r="G1009" i="74"/>
  <c r="G1010" i="74"/>
  <c r="G1011" i="74"/>
  <c r="G1012" i="74"/>
  <c r="G1013" i="74"/>
  <c r="G1014" i="74"/>
  <c r="G1015" i="74"/>
  <c r="G1016" i="74"/>
  <c r="G1017" i="74"/>
  <c r="G1018" i="74"/>
  <c r="G1019" i="74"/>
  <c r="G1020" i="74"/>
  <c r="G1021" i="74"/>
  <c r="G1022" i="74"/>
  <c r="G1023" i="74"/>
  <c r="G1024" i="74"/>
  <c r="G1025" i="74"/>
  <c r="G1026" i="74"/>
  <c r="G1027" i="74"/>
  <c r="G1028" i="74"/>
  <c r="G1029" i="74"/>
  <c r="G1030" i="74"/>
  <c r="G1031" i="74"/>
  <c r="G1032" i="74"/>
  <c r="G1033" i="74"/>
  <c r="G1034" i="74"/>
  <c r="G1035" i="74"/>
  <c r="G1036" i="74"/>
  <c r="G1037" i="74"/>
  <c r="G1038" i="74"/>
  <c r="G1039" i="74"/>
  <c r="G1040" i="74"/>
  <c r="G1041" i="74"/>
  <c r="G1042" i="74"/>
  <c r="G1043" i="74"/>
  <c r="G1044" i="74"/>
  <c r="G1045" i="74"/>
  <c r="G1046" i="74"/>
  <c r="G1047" i="74"/>
  <c r="G1048" i="74"/>
  <c r="G1049" i="74"/>
  <c r="G1050" i="74"/>
  <c r="G1051" i="74"/>
  <c r="G1052" i="74"/>
  <c r="G1053" i="74"/>
  <c r="G1054" i="74"/>
  <c r="G1055" i="74"/>
  <c r="G1056" i="74"/>
  <c r="G1057" i="74"/>
  <c r="G1058" i="74"/>
  <c r="G1059" i="74"/>
  <c r="G1060" i="74"/>
  <c r="G1061" i="74"/>
  <c r="G1062" i="74"/>
  <c r="G1063" i="74"/>
  <c r="G1064" i="74"/>
  <c r="G1065" i="74"/>
  <c r="G1066" i="74"/>
  <c r="G1067" i="74"/>
  <c r="G1068" i="74"/>
  <c r="G1069" i="74"/>
  <c r="G1070" i="74"/>
  <c r="G1071" i="74"/>
  <c r="G1072" i="74"/>
  <c r="G1073" i="74"/>
  <c r="G1074" i="74"/>
  <c r="G1075" i="74"/>
  <c r="G1076" i="74"/>
  <c r="G1077" i="74"/>
  <c r="G1078" i="74"/>
  <c r="G1079" i="74"/>
  <c r="G1080" i="74"/>
  <c r="G1081" i="74"/>
  <c r="G1082" i="74"/>
  <c r="G1083" i="74"/>
  <c r="G1084" i="74"/>
  <c r="G1085" i="74"/>
  <c r="G1086" i="74"/>
  <c r="G1087" i="74"/>
  <c r="G1088" i="74"/>
  <c r="G1089" i="74"/>
  <c r="G1090" i="74"/>
  <c r="G1091" i="74"/>
  <c r="G1092" i="74"/>
  <c r="G1093" i="74"/>
  <c r="G1094" i="74"/>
  <c r="G1095" i="74"/>
  <c r="G1096" i="74"/>
  <c r="G1097" i="74"/>
  <c r="G1098" i="74"/>
  <c r="G1099" i="74"/>
  <c r="G1100" i="74"/>
  <c r="G1101" i="74"/>
  <c r="G1102" i="74"/>
  <c r="G1103" i="74"/>
  <c r="G1104" i="74"/>
  <c r="G1105" i="74"/>
  <c r="G1106" i="74"/>
  <c r="G1107" i="74"/>
  <c r="G1108" i="74"/>
  <c r="G1109" i="74"/>
  <c r="G1110" i="74"/>
  <c r="G1111" i="74"/>
  <c r="G1112" i="74"/>
  <c r="G1113" i="74"/>
  <c r="G1114" i="74"/>
  <c r="G1115" i="74"/>
  <c r="G1116" i="74"/>
  <c r="G1117" i="74"/>
  <c r="G1118" i="74"/>
  <c r="G1119" i="74"/>
  <c r="G1120" i="74"/>
  <c r="G1121" i="74"/>
  <c r="G1122" i="74"/>
  <c r="G1123" i="74"/>
  <c r="G1124" i="74"/>
  <c r="G1125" i="74"/>
  <c r="G1126" i="74"/>
  <c r="G1127" i="74"/>
  <c r="G1128" i="74"/>
  <c r="G1129" i="74"/>
  <c r="G1130" i="74"/>
  <c r="G1131" i="74"/>
  <c r="G1132" i="74"/>
  <c r="G1133" i="74"/>
  <c r="G1134" i="74"/>
  <c r="G1135" i="74"/>
  <c r="G1136" i="74"/>
  <c r="G1137" i="74"/>
  <c r="G1138" i="74"/>
  <c r="G1139" i="74"/>
  <c r="G1140" i="74"/>
  <c r="G1141" i="74"/>
  <c r="G1142" i="74"/>
  <c r="G1143" i="74"/>
  <c r="G1144" i="74"/>
  <c r="G1145" i="74"/>
  <c r="G1146" i="74"/>
  <c r="G1147" i="74"/>
  <c r="G1148" i="74"/>
  <c r="G1149" i="74"/>
  <c r="G1150" i="74"/>
  <c r="G1151" i="74"/>
  <c r="G1152" i="74"/>
  <c r="G1153" i="74"/>
  <c r="G1154" i="74"/>
  <c r="G1155" i="74"/>
  <c r="G1156" i="74"/>
  <c r="G1157" i="74"/>
  <c r="G1158" i="74"/>
  <c r="G1159" i="74"/>
  <c r="G1160" i="74"/>
  <c r="G1161" i="74"/>
  <c r="G1162" i="74"/>
  <c r="G1163" i="74"/>
  <c r="G1164" i="74"/>
  <c r="G1165" i="74"/>
  <c r="G1166" i="74"/>
  <c r="G1167" i="74"/>
  <c r="G1168" i="74"/>
  <c r="G1169" i="74"/>
  <c r="G1170" i="74"/>
  <c r="G1171" i="74"/>
  <c r="G1172" i="74"/>
  <c r="G1173" i="74"/>
  <c r="G1174" i="74"/>
  <c r="G1175" i="74"/>
  <c r="G1176" i="74"/>
  <c r="G1177" i="74"/>
  <c r="G1178" i="74"/>
  <c r="G1179" i="74"/>
  <c r="G1180" i="74"/>
  <c r="G1181" i="74"/>
  <c r="G1182" i="74"/>
  <c r="G1183" i="74"/>
  <c r="G1184" i="74"/>
  <c r="G1185" i="74"/>
  <c r="G1186" i="74"/>
  <c r="G1187" i="74"/>
  <c r="G1188" i="74"/>
  <c r="G1189" i="74"/>
  <c r="G1190" i="74"/>
  <c r="G1191" i="74"/>
  <c r="G1192" i="74"/>
  <c r="G1193" i="74"/>
  <c r="G1194" i="74"/>
  <c r="G1195" i="74"/>
  <c r="G1196" i="74"/>
  <c r="G1197" i="74"/>
  <c r="G1198" i="74"/>
  <c r="G1199" i="74"/>
  <c r="G1200" i="74"/>
  <c r="G1201" i="74"/>
  <c r="G1202" i="74"/>
  <c r="G1203" i="74"/>
  <c r="G1204" i="74"/>
  <c r="G1205" i="74"/>
  <c r="G1206" i="74"/>
  <c r="G1207" i="74"/>
  <c r="G1208" i="74"/>
  <c r="G1209" i="74"/>
  <c r="G1210" i="74"/>
  <c r="G1211" i="74"/>
  <c r="G1212" i="74"/>
  <c r="G1213" i="74"/>
  <c r="G1214" i="74"/>
  <c r="G1215" i="74"/>
  <c r="G1216" i="74"/>
  <c r="G1217" i="74"/>
  <c r="G1218" i="74"/>
  <c r="G1219" i="74"/>
  <c r="G1220" i="74"/>
  <c r="G1221" i="74"/>
  <c r="G1222" i="74"/>
  <c r="G1223" i="74"/>
  <c r="G1224" i="74"/>
  <c r="G1225" i="74"/>
  <c r="G1226" i="74"/>
  <c r="G1227" i="74"/>
  <c r="G1228" i="74"/>
  <c r="G1229" i="74"/>
  <c r="G1230" i="74"/>
  <c r="G1231" i="74"/>
  <c r="G1232" i="74"/>
  <c r="G1233" i="74"/>
  <c r="G1234" i="74"/>
  <c r="G1235" i="74"/>
  <c r="G1236" i="74"/>
  <c r="G1237" i="74"/>
  <c r="G1238" i="74"/>
  <c r="G1239" i="74"/>
  <c r="G1240" i="74"/>
  <c r="G1241" i="74"/>
  <c r="G1242" i="74"/>
  <c r="G1243" i="74"/>
  <c r="G1244" i="74"/>
  <c r="G1245" i="74"/>
  <c r="G1246" i="74"/>
  <c r="G1247" i="74"/>
  <c r="G1248" i="74"/>
  <c r="G1249" i="74"/>
  <c r="G1250" i="74"/>
  <c r="G1251" i="74"/>
  <c r="G1252" i="74"/>
  <c r="G1253" i="74"/>
  <c r="G1254" i="74"/>
  <c r="G1255" i="74"/>
  <c r="G1256" i="74"/>
  <c r="G1257" i="74"/>
  <c r="G1258" i="74"/>
  <c r="G1259" i="74"/>
  <c r="G1260" i="74"/>
  <c r="G1261" i="74"/>
  <c r="G1262" i="74"/>
  <c r="G1263" i="74"/>
  <c r="G1264" i="74"/>
  <c r="G1265" i="74"/>
  <c r="G1266" i="74"/>
  <c r="G1267" i="74"/>
  <c r="G1268" i="74"/>
  <c r="G1269" i="74"/>
  <c r="G1270" i="74"/>
  <c r="G1271" i="74"/>
  <c r="G1272" i="74"/>
  <c r="G1273" i="74"/>
  <c r="G1274" i="74"/>
  <c r="G1275" i="74"/>
  <c r="G1276" i="74"/>
  <c r="G1277" i="74"/>
  <c r="G1278" i="74"/>
  <c r="G1279" i="74"/>
  <c r="G1280" i="74"/>
  <c r="G1281" i="74"/>
  <c r="G1282" i="74"/>
  <c r="G1283" i="74"/>
  <c r="G1284" i="74"/>
  <c r="G1285" i="74"/>
  <c r="G1286" i="74"/>
  <c r="G1287" i="74"/>
  <c r="G1288" i="74"/>
  <c r="G1289" i="74"/>
  <c r="G1290" i="74"/>
  <c r="G1291" i="74"/>
  <c r="G1292" i="74"/>
  <c r="G1293" i="74"/>
  <c r="G1294" i="74"/>
  <c r="G1295" i="74"/>
  <c r="G1296" i="74"/>
  <c r="G1297" i="74"/>
  <c r="G1298" i="74"/>
  <c r="G1299" i="74"/>
  <c r="G1300" i="74"/>
  <c r="G1301" i="74"/>
  <c r="G1302" i="74"/>
  <c r="G1303" i="74"/>
  <c r="G1304" i="74"/>
  <c r="G1305" i="74"/>
  <c r="G1306" i="74"/>
  <c r="G1307" i="74"/>
  <c r="G1308" i="74"/>
  <c r="G1309" i="74"/>
  <c r="G1310" i="74"/>
  <c r="G1311" i="74"/>
  <c r="G1312" i="74"/>
  <c r="G1313" i="74"/>
  <c r="G1314" i="74"/>
  <c r="G1315" i="74"/>
  <c r="G1316" i="74"/>
  <c r="G1317" i="74"/>
  <c r="G1318" i="74"/>
  <c r="G1319" i="74"/>
  <c r="G1320" i="74"/>
  <c r="G1321" i="74"/>
  <c r="G1322" i="74"/>
  <c r="G1323" i="74"/>
  <c r="G1324" i="74"/>
  <c r="G1325" i="74"/>
  <c r="G1326" i="74"/>
  <c r="G1327" i="74"/>
  <c r="G1328" i="74"/>
  <c r="G1329" i="74"/>
  <c r="G1330" i="74"/>
  <c r="G1331" i="74"/>
  <c r="G1332" i="74"/>
  <c r="G1333" i="74"/>
  <c r="G1334" i="74"/>
  <c r="G1335" i="74"/>
  <c r="G1336" i="74"/>
  <c r="G1337" i="74"/>
  <c r="G1338" i="74"/>
  <c r="G1339" i="74"/>
  <c r="G1340" i="74"/>
  <c r="G1341" i="74"/>
  <c r="G1342" i="74"/>
  <c r="G1343" i="74"/>
  <c r="G1344" i="74"/>
  <c r="G1345" i="74"/>
  <c r="G1346" i="74"/>
  <c r="G1347" i="74"/>
  <c r="G1348" i="74"/>
  <c r="G1349" i="74"/>
  <c r="G1350" i="74"/>
  <c r="G1351" i="74"/>
  <c r="G1352" i="74"/>
  <c r="G1353" i="74"/>
  <c r="G1354" i="74"/>
  <c r="G1355" i="74"/>
  <c r="G1356" i="74"/>
  <c r="G1357" i="74"/>
  <c r="G1358" i="74"/>
  <c r="G1359" i="74"/>
  <c r="G1360" i="74"/>
  <c r="G1361" i="74"/>
  <c r="G1362" i="74"/>
  <c r="G1363" i="74"/>
  <c r="G1364" i="74"/>
  <c r="G1365" i="74"/>
  <c r="G1366" i="74"/>
  <c r="G1367" i="74"/>
  <c r="G1368" i="74"/>
  <c r="G1369" i="74"/>
  <c r="G1370" i="74"/>
  <c r="G1371" i="74"/>
  <c r="G1372" i="74"/>
  <c r="G1373" i="74"/>
  <c r="G1374" i="74"/>
  <c r="G1375" i="74"/>
  <c r="G1376" i="74"/>
  <c r="G1377" i="74"/>
  <c r="G1378" i="74"/>
  <c r="G1379" i="74"/>
  <c r="G1380" i="74"/>
  <c r="G1381" i="74"/>
  <c r="G1382" i="74"/>
  <c r="G1383" i="74"/>
  <c r="G1384" i="74"/>
  <c r="G1385" i="74"/>
  <c r="G1386" i="74"/>
  <c r="G1387" i="74"/>
  <c r="G1388" i="74"/>
  <c r="G1389" i="74"/>
  <c r="G1390" i="74"/>
  <c r="G1391" i="74"/>
  <c r="G1392" i="74"/>
  <c r="G1393" i="74"/>
  <c r="G1394" i="74"/>
  <c r="G1395" i="74"/>
  <c r="G1396" i="74"/>
  <c r="G1397" i="74"/>
  <c r="G1398" i="74"/>
  <c r="G1399" i="74"/>
  <c r="G1400" i="74"/>
  <c r="G1401" i="74"/>
  <c r="G1402" i="74"/>
  <c r="G1403" i="74"/>
  <c r="G1404" i="74"/>
  <c r="G1405" i="74"/>
  <c r="G1406" i="74"/>
  <c r="G1407" i="74"/>
  <c r="G1408" i="74"/>
  <c r="G1409" i="74"/>
  <c r="G1410" i="74"/>
  <c r="G1411" i="74"/>
  <c r="G1412" i="74"/>
  <c r="G1413" i="74"/>
  <c r="G1414" i="74"/>
  <c r="G1415" i="74"/>
  <c r="G1416" i="74"/>
  <c r="G1417" i="74"/>
  <c r="G1418" i="74"/>
  <c r="G1419" i="74"/>
  <c r="G1420" i="74"/>
  <c r="G1421" i="74"/>
  <c r="G1422" i="74"/>
  <c r="G1423" i="74"/>
  <c r="G1424" i="74"/>
  <c r="G1425" i="74"/>
  <c r="G1426" i="74"/>
  <c r="G1427" i="74"/>
  <c r="G1428" i="74"/>
  <c r="G1429" i="74"/>
  <c r="G1430" i="74"/>
  <c r="G1431" i="74"/>
  <c r="G1432" i="74"/>
  <c r="G1433" i="74"/>
  <c r="G1434" i="74"/>
  <c r="G1435" i="74"/>
  <c r="G1436" i="74"/>
  <c r="G1437" i="74"/>
  <c r="G1438" i="74"/>
  <c r="G1439" i="74"/>
  <c r="G1440" i="74"/>
  <c r="G1441" i="74"/>
  <c r="G1442" i="74"/>
  <c r="G1443" i="74"/>
  <c r="G1444" i="74"/>
  <c r="G1445" i="74"/>
  <c r="G1446" i="74"/>
  <c r="G1447" i="74"/>
  <c r="G1448" i="74"/>
  <c r="G1449" i="74"/>
  <c r="G1450" i="74"/>
  <c r="G1451" i="74"/>
  <c r="G1452" i="74"/>
  <c r="G1453" i="74"/>
  <c r="G1454" i="74"/>
  <c r="G1455" i="74"/>
  <c r="G1456" i="74"/>
  <c r="G1457" i="74"/>
  <c r="G1458" i="74"/>
  <c r="G1459" i="74"/>
  <c r="G1460" i="74"/>
  <c r="G1461" i="74"/>
  <c r="G1462" i="74"/>
  <c r="G1463" i="74"/>
  <c r="G1464" i="74"/>
  <c r="G1465" i="74"/>
  <c r="G1466" i="74"/>
  <c r="G1467" i="74"/>
  <c r="G1468" i="74"/>
  <c r="G1469" i="74"/>
  <c r="G1470" i="74"/>
  <c r="G1471" i="74"/>
  <c r="G1472" i="74"/>
  <c r="G1473" i="74"/>
  <c r="G1474" i="74"/>
  <c r="G1475" i="74"/>
  <c r="G1476" i="74"/>
  <c r="G1477" i="74"/>
  <c r="G1478" i="74"/>
  <c r="G1479" i="74"/>
  <c r="G1480" i="74"/>
  <c r="G1481" i="74"/>
  <c r="G1482" i="74"/>
  <c r="G1483" i="74"/>
  <c r="G1484" i="74"/>
  <c r="G1485" i="74"/>
  <c r="G1486" i="74"/>
  <c r="G1487" i="74"/>
  <c r="G1488" i="74"/>
  <c r="G1489" i="74"/>
  <c r="G1490" i="74"/>
  <c r="G1491" i="74"/>
  <c r="G1492" i="74"/>
  <c r="G1493" i="74"/>
  <c r="G1494" i="74"/>
  <c r="G1495" i="74"/>
  <c r="G1496" i="74"/>
  <c r="G1497" i="74"/>
  <c r="G1498" i="74"/>
  <c r="G1499" i="74"/>
  <c r="G1500" i="74"/>
  <c r="G1501" i="74"/>
  <c r="G1502" i="74"/>
  <c r="G1503" i="74"/>
  <c r="G1504" i="74"/>
  <c r="G1505" i="74"/>
  <c r="G1506" i="74"/>
  <c r="G1507" i="74"/>
  <c r="G1508" i="74"/>
  <c r="G1509" i="74"/>
  <c r="G1510" i="74"/>
  <c r="G1511" i="74"/>
  <c r="G1512" i="74"/>
  <c r="G1513" i="74"/>
  <c r="G1514" i="74"/>
  <c r="G1515" i="74"/>
  <c r="G1516" i="74"/>
  <c r="G1517" i="74"/>
  <c r="G1518" i="74"/>
  <c r="G1519" i="74"/>
  <c r="G1520" i="74"/>
  <c r="G1521" i="74"/>
  <c r="G1522" i="74"/>
  <c r="G1523" i="74"/>
  <c r="G1524" i="74"/>
  <c r="G1525" i="74"/>
  <c r="G1526" i="74"/>
  <c r="G1527" i="74"/>
  <c r="G1528" i="74"/>
  <c r="G1529" i="74"/>
  <c r="G1530" i="74"/>
  <c r="G1531" i="74"/>
  <c r="G1532" i="74"/>
  <c r="G1533" i="74"/>
  <c r="G1534" i="74"/>
  <c r="G1535" i="74"/>
  <c r="G1536" i="74"/>
  <c r="G1537" i="74"/>
  <c r="G1538" i="74"/>
  <c r="G1539" i="74"/>
  <c r="G1540" i="74"/>
  <c r="G1541" i="74"/>
  <c r="G1542" i="74"/>
  <c r="G1543" i="74"/>
  <c r="G1544" i="74"/>
  <c r="G1545" i="74"/>
  <c r="G1546" i="74"/>
  <c r="G1547" i="74"/>
  <c r="G1548" i="74"/>
  <c r="G1549" i="74"/>
  <c r="G1550" i="74"/>
  <c r="G1551" i="74"/>
  <c r="G1552" i="74"/>
  <c r="G1553" i="74"/>
  <c r="G1554" i="74"/>
  <c r="G1555" i="74"/>
  <c r="G1556" i="74"/>
  <c r="G1557" i="74"/>
  <c r="G1558" i="74"/>
  <c r="G1559" i="74"/>
  <c r="G1560" i="74"/>
  <c r="G1561" i="74"/>
  <c r="G1562" i="74"/>
  <c r="G1563" i="74"/>
  <c r="G1564" i="74"/>
  <c r="G1565" i="74"/>
  <c r="G1566" i="74"/>
  <c r="G1567" i="74"/>
  <c r="G1568" i="74"/>
  <c r="G1569" i="74"/>
  <c r="G1570" i="74"/>
  <c r="G1571" i="74"/>
  <c r="G1572" i="74"/>
  <c r="G1573" i="74"/>
  <c r="G1574" i="74"/>
  <c r="G1575" i="74"/>
  <c r="G1576" i="74"/>
  <c r="G1577" i="74"/>
  <c r="G1578" i="74"/>
  <c r="G1579" i="74"/>
  <c r="G1580" i="74"/>
  <c r="G1581" i="74"/>
  <c r="G1582" i="74"/>
  <c r="G1583" i="74"/>
  <c r="G1584" i="74"/>
  <c r="G1585" i="74"/>
  <c r="G1586" i="74"/>
  <c r="G1587" i="74"/>
  <c r="G1588" i="74"/>
  <c r="G1589" i="74"/>
  <c r="G1590" i="74"/>
  <c r="G1591" i="74"/>
  <c r="G1592" i="74"/>
  <c r="G1593" i="74"/>
  <c r="G1594" i="74"/>
  <c r="G1595" i="74"/>
  <c r="G1596" i="74"/>
  <c r="G1597" i="74"/>
  <c r="G1598" i="74"/>
  <c r="G1599" i="74"/>
  <c r="G1600" i="74"/>
  <c r="G1601" i="74"/>
  <c r="G1602" i="74"/>
  <c r="G1603" i="74"/>
  <c r="G1604" i="74"/>
  <c r="G1605" i="74"/>
  <c r="G1606" i="74"/>
  <c r="G1607" i="74"/>
  <c r="G1608" i="74"/>
  <c r="G1609" i="74"/>
  <c r="G1610" i="74"/>
  <c r="G1611" i="74"/>
  <c r="G1612" i="74"/>
  <c r="G1613" i="74"/>
  <c r="G1614" i="74"/>
  <c r="G1615" i="74"/>
  <c r="G1616" i="74"/>
  <c r="G1617" i="74"/>
  <c r="G1618" i="74"/>
  <c r="G1619" i="74"/>
  <c r="G1620" i="74"/>
  <c r="G1621" i="74"/>
  <c r="G1622" i="74"/>
  <c r="G1623" i="74"/>
  <c r="G1624" i="74"/>
  <c r="G1625" i="74"/>
  <c r="G1626" i="74"/>
  <c r="G1627" i="74"/>
  <c r="G1628" i="74"/>
  <c r="G1629" i="74"/>
  <c r="G1630" i="74"/>
  <c r="G1631" i="74"/>
  <c r="G1632" i="74"/>
  <c r="G1633" i="74"/>
  <c r="G1634" i="74"/>
  <c r="G1635" i="74"/>
  <c r="G1636" i="74"/>
  <c r="G1637" i="74"/>
  <c r="G1638" i="74"/>
  <c r="G1639" i="74"/>
  <c r="G1640" i="74"/>
  <c r="G1641" i="74"/>
  <c r="G1642" i="74"/>
  <c r="G1643" i="74"/>
  <c r="G1644" i="74"/>
  <c r="G1645" i="74"/>
  <c r="G1646" i="74"/>
  <c r="G1647" i="74"/>
  <c r="G1648" i="74"/>
  <c r="G1649" i="74"/>
  <c r="G1650" i="74"/>
  <c r="G1651" i="74"/>
  <c r="G1652" i="74"/>
  <c r="G1653" i="74"/>
  <c r="G1654" i="74"/>
  <c r="G1655" i="74"/>
  <c r="G1656" i="74"/>
  <c r="G1657" i="74"/>
  <c r="G1658" i="74"/>
  <c r="G1659" i="74"/>
  <c r="G1660" i="74"/>
  <c r="G1661" i="74"/>
  <c r="G1662" i="74"/>
  <c r="G1663" i="74"/>
  <c r="G1664" i="74"/>
  <c r="G1665" i="74"/>
  <c r="G1666" i="74"/>
  <c r="G1667" i="74"/>
  <c r="G1668" i="74"/>
  <c r="G1669" i="74"/>
  <c r="G1670" i="74"/>
  <c r="G1671" i="74"/>
  <c r="G1672" i="74"/>
  <c r="G1673" i="74"/>
  <c r="G1674" i="74"/>
  <c r="G1675" i="74"/>
  <c r="G1676" i="74"/>
  <c r="G1677" i="74"/>
  <c r="G1678" i="74"/>
  <c r="G1679" i="74"/>
  <c r="G1680" i="74"/>
  <c r="G1681" i="74"/>
  <c r="G1682" i="74"/>
  <c r="G1683" i="74"/>
  <c r="G1684" i="74"/>
  <c r="G1685" i="74"/>
  <c r="G1686" i="74"/>
  <c r="G1687" i="74"/>
  <c r="G1688" i="74"/>
  <c r="G1689" i="74"/>
  <c r="G1690" i="74"/>
  <c r="G1691" i="74"/>
  <c r="G1692" i="74"/>
  <c r="G1693" i="74"/>
  <c r="G1694" i="74"/>
  <c r="G1695" i="74"/>
  <c r="G1696" i="74"/>
  <c r="G1697" i="74"/>
  <c r="G1698" i="74"/>
  <c r="G1699" i="74"/>
  <c r="G1700" i="74"/>
  <c r="G1701" i="74"/>
  <c r="G1702" i="74"/>
  <c r="G1703" i="74"/>
  <c r="G1704" i="74"/>
  <c r="G1705" i="74"/>
  <c r="G1706" i="74"/>
  <c r="G1707" i="74"/>
  <c r="G1708" i="74"/>
  <c r="G1709" i="74"/>
  <c r="G1710" i="74"/>
  <c r="G1711" i="74"/>
  <c r="G1712" i="74"/>
  <c r="G1713" i="74"/>
  <c r="G1714" i="74"/>
  <c r="G1715" i="74"/>
  <c r="G1716" i="74"/>
  <c r="G1717" i="74"/>
  <c r="G1718" i="74"/>
  <c r="G1719" i="74"/>
  <c r="G1720" i="74"/>
  <c r="G1721" i="74"/>
  <c r="G1722" i="74"/>
  <c r="G1723" i="74"/>
  <c r="G1724" i="74"/>
  <c r="G1725" i="74"/>
  <c r="G1726" i="74"/>
  <c r="G1727" i="74"/>
  <c r="G1728" i="74"/>
  <c r="G1729" i="74"/>
  <c r="G1730" i="74"/>
  <c r="G1731" i="74"/>
  <c r="G1732" i="74"/>
  <c r="G1733" i="74"/>
  <c r="G1734" i="74"/>
  <c r="G1735" i="74"/>
  <c r="G1736" i="74"/>
  <c r="G1737" i="74"/>
  <c r="G1738" i="74"/>
  <c r="G1739" i="74"/>
  <c r="G1740" i="74"/>
  <c r="G1741" i="74"/>
  <c r="G1742" i="74"/>
  <c r="G1743" i="74"/>
  <c r="G1744" i="74"/>
  <c r="G1745" i="74"/>
  <c r="G1746" i="74"/>
  <c r="G2" i="74"/>
  <c r="F3" i="74"/>
  <c r="F4" i="74"/>
  <c r="F5" i="74"/>
  <c r="F6" i="74"/>
  <c r="F7" i="74"/>
  <c r="F8" i="74"/>
  <c r="F9" i="74"/>
  <c r="F10" i="74"/>
  <c r="F11" i="74"/>
  <c r="F12" i="74"/>
  <c r="F13" i="74"/>
  <c r="F14" i="74"/>
  <c r="F15" i="74"/>
  <c r="F16" i="74"/>
  <c r="F17" i="74"/>
  <c r="F18" i="74"/>
  <c r="F19" i="74"/>
  <c r="F20" i="74"/>
  <c r="F21" i="74"/>
  <c r="F22" i="74"/>
  <c r="F23" i="74"/>
  <c r="F24" i="74"/>
  <c r="F25" i="74"/>
  <c r="F26" i="74"/>
  <c r="F27" i="74"/>
  <c r="F28" i="74"/>
  <c r="F29" i="74"/>
  <c r="F30" i="74"/>
  <c r="F31" i="74"/>
  <c r="F32" i="74"/>
  <c r="F33" i="74"/>
  <c r="F34" i="74"/>
  <c r="F35" i="74"/>
  <c r="F36" i="74"/>
  <c r="F37" i="74"/>
  <c r="F38" i="74"/>
  <c r="F39" i="74"/>
  <c r="F40" i="74"/>
  <c r="F41" i="74"/>
  <c r="F42" i="74"/>
  <c r="F43" i="74"/>
  <c r="F44" i="74"/>
  <c r="F45" i="74"/>
  <c r="F46" i="74"/>
  <c r="F47" i="74"/>
  <c r="F48" i="74"/>
  <c r="F49" i="74"/>
  <c r="F50" i="74"/>
  <c r="F51" i="74"/>
  <c r="F52" i="74"/>
  <c r="F53" i="74"/>
  <c r="F54" i="74"/>
  <c r="F55" i="74"/>
  <c r="F56" i="74"/>
  <c r="F57" i="74"/>
  <c r="F58" i="74"/>
  <c r="F59" i="74"/>
  <c r="F60" i="74"/>
  <c r="F61" i="74"/>
  <c r="F62" i="74"/>
  <c r="F63" i="74"/>
  <c r="F64" i="74"/>
  <c r="F65" i="74"/>
  <c r="F66" i="74"/>
  <c r="F67" i="74"/>
  <c r="F68" i="74"/>
  <c r="F69" i="74"/>
  <c r="F70" i="74"/>
  <c r="F71" i="74"/>
  <c r="F72" i="74"/>
  <c r="F73" i="74"/>
  <c r="F74" i="74"/>
  <c r="F75" i="74"/>
  <c r="F76" i="74"/>
  <c r="F77" i="74"/>
  <c r="F78" i="74"/>
  <c r="F79" i="74"/>
  <c r="F80" i="74"/>
  <c r="F81" i="74"/>
  <c r="F82" i="74"/>
  <c r="F83" i="74"/>
  <c r="F84" i="74"/>
  <c r="F85" i="74"/>
  <c r="F86" i="74"/>
  <c r="F87" i="74"/>
  <c r="F88" i="74"/>
  <c r="F89" i="74"/>
  <c r="F90" i="74"/>
  <c r="F91" i="74"/>
  <c r="F92" i="74"/>
  <c r="F93" i="74"/>
  <c r="F94" i="74"/>
  <c r="F95" i="74"/>
  <c r="F96" i="74"/>
  <c r="F97" i="74"/>
  <c r="F98" i="74"/>
  <c r="F99" i="74"/>
  <c r="F100" i="74"/>
  <c r="F101" i="74"/>
  <c r="F102" i="74"/>
  <c r="F103" i="74"/>
  <c r="F104" i="74"/>
  <c r="F105" i="74"/>
  <c r="F106" i="74"/>
  <c r="F107" i="74"/>
  <c r="F108" i="74"/>
  <c r="F109" i="74"/>
  <c r="F110" i="74"/>
  <c r="F111" i="74"/>
  <c r="F112" i="74"/>
  <c r="F113" i="74"/>
  <c r="F114" i="74"/>
  <c r="F115" i="74"/>
  <c r="F116" i="74"/>
  <c r="F117" i="74"/>
  <c r="F118" i="74"/>
  <c r="F119" i="74"/>
  <c r="F120" i="74"/>
  <c r="F121" i="74"/>
  <c r="F122" i="74"/>
  <c r="F123" i="74"/>
  <c r="F124" i="74"/>
  <c r="F125" i="74"/>
  <c r="F126" i="74"/>
  <c r="F127" i="74"/>
  <c r="F128" i="74"/>
  <c r="F129" i="74"/>
  <c r="F130" i="74"/>
  <c r="F131" i="74"/>
  <c r="F132" i="74"/>
  <c r="F133" i="74"/>
  <c r="F134" i="74"/>
  <c r="F135" i="74"/>
  <c r="F136" i="74"/>
  <c r="F137" i="74"/>
  <c r="F138" i="74"/>
  <c r="F139" i="74"/>
  <c r="F140" i="74"/>
  <c r="F141" i="74"/>
  <c r="F142" i="74"/>
  <c r="F143" i="74"/>
  <c r="F144" i="74"/>
  <c r="F145" i="74"/>
  <c r="F146" i="74"/>
  <c r="F147" i="74"/>
  <c r="F148" i="74"/>
  <c r="F149" i="74"/>
  <c r="F150" i="74"/>
  <c r="F151" i="74"/>
  <c r="F152" i="74"/>
  <c r="F153" i="74"/>
  <c r="F154" i="74"/>
  <c r="F155" i="74"/>
  <c r="F156" i="74"/>
  <c r="F157" i="74"/>
  <c r="F158" i="74"/>
  <c r="F159" i="74"/>
  <c r="F160" i="74"/>
  <c r="F161" i="74"/>
  <c r="F162" i="74"/>
  <c r="F163" i="74"/>
  <c r="F164" i="74"/>
  <c r="F165" i="74"/>
  <c r="F166" i="74"/>
  <c r="F167" i="74"/>
  <c r="F168" i="74"/>
  <c r="F169" i="74"/>
  <c r="F170" i="74"/>
  <c r="F171" i="74"/>
  <c r="F172" i="74"/>
  <c r="F173" i="74"/>
  <c r="F174" i="74"/>
  <c r="F175" i="74"/>
  <c r="F176" i="74"/>
  <c r="F177" i="74"/>
  <c r="F178" i="74"/>
  <c r="F179" i="74"/>
  <c r="F180" i="74"/>
  <c r="F181" i="74"/>
  <c r="F182" i="74"/>
  <c r="F183" i="74"/>
  <c r="F184" i="74"/>
  <c r="F185" i="74"/>
  <c r="F186" i="74"/>
  <c r="F187" i="74"/>
  <c r="F188" i="74"/>
  <c r="F189" i="74"/>
  <c r="F190" i="74"/>
  <c r="F191" i="74"/>
  <c r="F192" i="74"/>
  <c r="F193" i="74"/>
  <c r="F194" i="74"/>
  <c r="F195" i="74"/>
  <c r="F196" i="74"/>
  <c r="F197" i="74"/>
  <c r="F198" i="74"/>
  <c r="F199" i="74"/>
  <c r="F200" i="74"/>
  <c r="F201" i="74"/>
  <c r="F202" i="74"/>
  <c r="F203" i="74"/>
  <c r="F204" i="74"/>
  <c r="F205" i="74"/>
  <c r="F206" i="74"/>
  <c r="F207" i="74"/>
  <c r="F208" i="74"/>
  <c r="F209" i="74"/>
  <c r="F210" i="74"/>
  <c r="F211" i="74"/>
  <c r="F212" i="74"/>
  <c r="F213" i="74"/>
  <c r="F214" i="74"/>
  <c r="F215" i="74"/>
  <c r="F216" i="74"/>
  <c r="F217" i="74"/>
  <c r="F218" i="74"/>
  <c r="F219" i="74"/>
  <c r="F220" i="74"/>
  <c r="F221" i="74"/>
  <c r="F222" i="74"/>
  <c r="F223" i="74"/>
  <c r="F224" i="74"/>
  <c r="F225" i="74"/>
  <c r="F226" i="74"/>
  <c r="F227" i="74"/>
  <c r="F228" i="74"/>
  <c r="F229" i="74"/>
  <c r="F230" i="74"/>
  <c r="F231" i="74"/>
  <c r="F232" i="74"/>
  <c r="F233" i="74"/>
  <c r="F234" i="74"/>
  <c r="F235" i="74"/>
  <c r="F236" i="74"/>
  <c r="F237" i="74"/>
  <c r="F238" i="74"/>
  <c r="F239" i="74"/>
  <c r="F240" i="74"/>
  <c r="F241" i="74"/>
  <c r="F242" i="74"/>
  <c r="F243" i="74"/>
  <c r="F244" i="74"/>
  <c r="F245" i="74"/>
  <c r="F246" i="74"/>
  <c r="F247" i="74"/>
  <c r="F248" i="74"/>
  <c r="F249" i="74"/>
  <c r="F250" i="74"/>
  <c r="F251" i="74"/>
  <c r="F252" i="74"/>
  <c r="F253" i="74"/>
  <c r="F254" i="74"/>
  <c r="F255" i="74"/>
  <c r="F256" i="74"/>
  <c r="F257" i="74"/>
  <c r="F258" i="74"/>
  <c r="F259" i="74"/>
  <c r="F260" i="74"/>
  <c r="F261" i="74"/>
  <c r="F262" i="74"/>
  <c r="F263" i="74"/>
  <c r="F264" i="74"/>
  <c r="F265" i="74"/>
  <c r="F266" i="74"/>
  <c r="F267" i="74"/>
  <c r="F268" i="74"/>
  <c r="F269" i="74"/>
  <c r="F270" i="74"/>
  <c r="F271" i="74"/>
  <c r="F272" i="74"/>
  <c r="F273" i="74"/>
  <c r="F274" i="74"/>
  <c r="F275" i="74"/>
  <c r="F276" i="74"/>
  <c r="F277" i="74"/>
  <c r="F278" i="74"/>
  <c r="F279" i="74"/>
  <c r="F280" i="74"/>
  <c r="F281" i="74"/>
  <c r="F282" i="74"/>
  <c r="F283" i="74"/>
  <c r="F284" i="74"/>
  <c r="F285" i="74"/>
  <c r="F286" i="74"/>
  <c r="F287" i="74"/>
  <c r="F288" i="74"/>
  <c r="F289" i="74"/>
  <c r="F290" i="74"/>
  <c r="F291" i="74"/>
  <c r="F292" i="74"/>
  <c r="F293" i="74"/>
  <c r="F294" i="74"/>
  <c r="F295" i="74"/>
  <c r="F296" i="74"/>
  <c r="F297" i="74"/>
  <c r="F298" i="74"/>
  <c r="F299" i="74"/>
  <c r="F300" i="74"/>
  <c r="F301" i="74"/>
  <c r="F302" i="74"/>
  <c r="F303" i="74"/>
  <c r="F304" i="74"/>
  <c r="F305" i="74"/>
  <c r="F306" i="74"/>
  <c r="F307" i="74"/>
  <c r="F308" i="74"/>
  <c r="F309" i="74"/>
  <c r="F310" i="74"/>
  <c r="F311" i="74"/>
  <c r="F312" i="74"/>
  <c r="F313" i="74"/>
  <c r="F314" i="74"/>
  <c r="F315" i="74"/>
  <c r="F316" i="74"/>
  <c r="F317" i="74"/>
  <c r="F318" i="74"/>
  <c r="F319" i="74"/>
  <c r="F320" i="74"/>
  <c r="F321" i="74"/>
  <c r="F322" i="74"/>
  <c r="F323" i="74"/>
  <c r="F324" i="74"/>
  <c r="F325" i="74"/>
  <c r="F326" i="74"/>
  <c r="F327" i="74"/>
  <c r="F328" i="74"/>
  <c r="F329" i="74"/>
  <c r="F330" i="74"/>
  <c r="F331" i="74"/>
  <c r="F332" i="74"/>
  <c r="F333" i="74"/>
  <c r="F334" i="74"/>
  <c r="F335" i="74"/>
  <c r="F336" i="74"/>
  <c r="F337" i="74"/>
  <c r="F338" i="74"/>
  <c r="F339" i="74"/>
  <c r="F340" i="74"/>
  <c r="F341" i="74"/>
  <c r="F342" i="74"/>
  <c r="F343" i="74"/>
  <c r="F344" i="74"/>
  <c r="F345" i="74"/>
  <c r="F346" i="74"/>
  <c r="F347" i="74"/>
  <c r="F348" i="74"/>
  <c r="F349" i="74"/>
  <c r="F350" i="74"/>
  <c r="F351" i="74"/>
  <c r="F352" i="74"/>
  <c r="F353" i="74"/>
  <c r="F354" i="74"/>
  <c r="F355" i="74"/>
  <c r="F356" i="74"/>
  <c r="F357" i="74"/>
  <c r="F358" i="74"/>
  <c r="F359" i="74"/>
  <c r="F360" i="74"/>
  <c r="F361" i="74"/>
  <c r="F362" i="74"/>
  <c r="F363" i="74"/>
  <c r="F364" i="74"/>
  <c r="F365" i="74"/>
  <c r="F366" i="74"/>
  <c r="F367" i="74"/>
  <c r="F368" i="74"/>
  <c r="F369" i="74"/>
  <c r="F370" i="74"/>
  <c r="F371" i="74"/>
  <c r="F372" i="74"/>
  <c r="F373" i="74"/>
  <c r="F374" i="74"/>
  <c r="F375" i="74"/>
  <c r="F376" i="74"/>
  <c r="F377" i="74"/>
  <c r="F378" i="74"/>
  <c r="F379" i="74"/>
  <c r="F380" i="74"/>
  <c r="F381" i="74"/>
  <c r="F382" i="74"/>
  <c r="F383" i="74"/>
  <c r="F384" i="74"/>
  <c r="F385" i="74"/>
  <c r="F386" i="74"/>
  <c r="F387" i="74"/>
  <c r="F388" i="74"/>
  <c r="F389" i="74"/>
  <c r="F390" i="74"/>
  <c r="F391" i="74"/>
  <c r="F392" i="74"/>
  <c r="F393" i="74"/>
  <c r="F394" i="74"/>
  <c r="F395" i="74"/>
  <c r="F396" i="74"/>
  <c r="F397" i="74"/>
  <c r="F398" i="74"/>
  <c r="F399" i="74"/>
  <c r="F400" i="74"/>
  <c r="F401" i="74"/>
  <c r="F402" i="74"/>
  <c r="F403" i="74"/>
  <c r="F404" i="74"/>
  <c r="F405" i="74"/>
  <c r="F406" i="74"/>
  <c r="F407" i="74"/>
  <c r="F408" i="74"/>
  <c r="F409" i="74"/>
  <c r="F410" i="74"/>
  <c r="F411" i="74"/>
  <c r="F412" i="74"/>
  <c r="F413" i="74"/>
  <c r="F414" i="74"/>
  <c r="F415" i="74"/>
  <c r="F416" i="74"/>
  <c r="F417" i="74"/>
  <c r="F418" i="74"/>
  <c r="F419" i="74"/>
  <c r="F420" i="74"/>
  <c r="F421" i="74"/>
  <c r="F422" i="74"/>
  <c r="F423" i="74"/>
  <c r="F424" i="74"/>
  <c r="F425" i="74"/>
  <c r="F426" i="74"/>
  <c r="F427" i="74"/>
  <c r="F428" i="74"/>
  <c r="F429" i="74"/>
  <c r="F430" i="74"/>
  <c r="F431" i="74"/>
  <c r="F432" i="74"/>
  <c r="F433" i="74"/>
  <c r="F434" i="74"/>
  <c r="F435" i="74"/>
  <c r="F436" i="74"/>
  <c r="F437" i="74"/>
  <c r="F438" i="74"/>
  <c r="F439" i="74"/>
  <c r="F440" i="74"/>
  <c r="F441" i="74"/>
  <c r="F442" i="74"/>
  <c r="F443" i="74"/>
  <c r="F444" i="74"/>
  <c r="F445" i="74"/>
  <c r="F446" i="74"/>
  <c r="F447" i="74"/>
  <c r="F448" i="74"/>
  <c r="F449" i="74"/>
  <c r="F450" i="74"/>
  <c r="F451" i="74"/>
  <c r="F452" i="74"/>
  <c r="F453" i="74"/>
  <c r="F454" i="74"/>
  <c r="F455" i="74"/>
  <c r="F456" i="74"/>
  <c r="F457" i="74"/>
  <c r="F458" i="74"/>
  <c r="F459" i="74"/>
  <c r="F460" i="74"/>
  <c r="F461" i="74"/>
  <c r="F462" i="74"/>
  <c r="F463" i="74"/>
  <c r="F464" i="74"/>
  <c r="F465" i="74"/>
  <c r="F466" i="74"/>
  <c r="F467" i="74"/>
  <c r="F468" i="74"/>
  <c r="F469" i="74"/>
  <c r="F470" i="74"/>
  <c r="F471" i="74"/>
  <c r="F472" i="74"/>
  <c r="F473" i="74"/>
  <c r="F474" i="74"/>
  <c r="F475" i="74"/>
  <c r="F476" i="74"/>
  <c r="F477" i="74"/>
  <c r="F478" i="74"/>
  <c r="F479" i="74"/>
  <c r="F480" i="74"/>
  <c r="F481" i="74"/>
  <c r="F482" i="74"/>
  <c r="F483" i="74"/>
  <c r="F484" i="74"/>
  <c r="F485" i="74"/>
  <c r="F486" i="74"/>
  <c r="F487" i="74"/>
  <c r="F488" i="74"/>
  <c r="F489" i="74"/>
  <c r="F490" i="74"/>
  <c r="F491" i="74"/>
  <c r="F492" i="74"/>
  <c r="F493" i="74"/>
  <c r="F494" i="74"/>
  <c r="F495" i="74"/>
  <c r="F496" i="74"/>
  <c r="F497" i="74"/>
  <c r="F498" i="74"/>
  <c r="F499" i="74"/>
  <c r="F500" i="74"/>
  <c r="F501" i="74"/>
  <c r="F502" i="74"/>
  <c r="F503" i="74"/>
  <c r="F504" i="74"/>
  <c r="F505" i="74"/>
  <c r="F506" i="74"/>
  <c r="F507" i="74"/>
  <c r="F508" i="74"/>
  <c r="F509" i="74"/>
  <c r="F510" i="74"/>
  <c r="F511" i="74"/>
  <c r="F512" i="74"/>
  <c r="F513" i="74"/>
  <c r="F514" i="74"/>
  <c r="F515" i="74"/>
  <c r="F516" i="74"/>
  <c r="F517" i="74"/>
  <c r="F518" i="74"/>
  <c r="F519" i="74"/>
  <c r="F520" i="74"/>
  <c r="F521" i="74"/>
  <c r="F522" i="74"/>
  <c r="F523" i="74"/>
  <c r="F524" i="74"/>
  <c r="F525" i="74"/>
  <c r="F526" i="74"/>
  <c r="F527" i="74"/>
  <c r="F528" i="74"/>
  <c r="F529" i="74"/>
  <c r="F530" i="74"/>
  <c r="F531" i="74"/>
  <c r="F532" i="74"/>
  <c r="F533" i="74"/>
  <c r="F534" i="74"/>
  <c r="F535" i="74"/>
  <c r="F536" i="74"/>
  <c r="F537" i="74"/>
  <c r="F538" i="74"/>
  <c r="F539" i="74"/>
  <c r="F540" i="74"/>
  <c r="F541" i="74"/>
  <c r="F542" i="74"/>
  <c r="F543" i="74"/>
  <c r="F544" i="74"/>
  <c r="F545" i="74"/>
  <c r="F546" i="74"/>
  <c r="F547" i="74"/>
  <c r="F548" i="74"/>
  <c r="F549" i="74"/>
  <c r="F550" i="74"/>
  <c r="F551" i="74"/>
  <c r="F552" i="74"/>
  <c r="F553" i="74"/>
  <c r="F554" i="74"/>
  <c r="F555" i="74"/>
  <c r="F556" i="74"/>
  <c r="F557" i="74"/>
  <c r="F558" i="74"/>
  <c r="F559" i="74"/>
  <c r="F560" i="74"/>
  <c r="F561" i="74"/>
  <c r="F562" i="74"/>
  <c r="F563" i="74"/>
  <c r="F564" i="74"/>
  <c r="F565" i="74"/>
  <c r="F566" i="74"/>
  <c r="F567" i="74"/>
  <c r="F568" i="74"/>
  <c r="F569" i="74"/>
  <c r="F570" i="74"/>
  <c r="F571" i="74"/>
  <c r="F572" i="74"/>
  <c r="F573" i="74"/>
  <c r="F574" i="74"/>
  <c r="F575" i="74"/>
  <c r="F576" i="74"/>
  <c r="F577" i="74"/>
  <c r="F578" i="74"/>
  <c r="F579" i="74"/>
  <c r="F580" i="74"/>
  <c r="F581" i="74"/>
  <c r="F582" i="74"/>
  <c r="F583" i="74"/>
  <c r="F584" i="74"/>
  <c r="F585" i="74"/>
  <c r="F586" i="74"/>
  <c r="F587" i="74"/>
  <c r="F588" i="74"/>
  <c r="F589" i="74"/>
  <c r="F590" i="74"/>
  <c r="F591" i="74"/>
  <c r="F592" i="74"/>
  <c r="F593" i="74"/>
  <c r="F594" i="74"/>
  <c r="F595" i="74"/>
  <c r="F596" i="74"/>
  <c r="F597" i="74"/>
  <c r="F598" i="74"/>
  <c r="F599" i="74"/>
  <c r="F600" i="74"/>
  <c r="F601" i="74"/>
  <c r="F602" i="74"/>
  <c r="F603" i="74"/>
  <c r="F604" i="74"/>
  <c r="F605" i="74"/>
  <c r="F606" i="74"/>
  <c r="F607" i="74"/>
  <c r="F608" i="74"/>
  <c r="F609" i="74"/>
  <c r="F610" i="74"/>
  <c r="F611" i="74"/>
  <c r="F612" i="74"/>
  <c r="F613" i="74"/>
  <c r="F614" i="74"/>
  <c r="F615" i="74"/>
  <c r="F616" i="74"/>
  <c r="F617" i="74"/>
  <c r="F618" i="74"/>
  <c r="F619" i="74"/>
  <c r="F620" i="74"/>
  <c r="F621" i="74"/>
  <c r="F622" i="74"/>
  <c r="F623" i="74"/>
  <c r="F624" i="74"/>
  <c r="F625" i="74"/>
  <c r="F626" i="74"/>
  <c r="F627" i="74"/>
  <c r="F628" i="74"/>
  <c r="F629" i="74"/>
  <c r="F630" i="74"/>
  <c r="F631" i="74"/>
  <c r="F632" i="74"/>
  <c r="F633" i="74"/>
  <c r="F634" i="74"/>
  <c r="F635" i="74"/>
  <c r="F636" i="74"/>
  <c r="F637" i="74"/>
  <c r="F638" i="74"/>
  <c r="F639" i="74"/>
  <c r="F640" i="74"/>
  <c r="F641" i="74"/>
  <c r="F642" i="74"/>
  <c r="F643" i="74"/>
  <c r="F644" i="74"/>
  <c r="F645" i="74"/>
  <c r="F646" i="74"/>
  <c r="F647" i="74"/>
  <c r="F648" i="74"/>
  <c r="F649" i="74"/>
  <c r="F650" i="74"/>
  <c r="F651" i="74"/>
  <c r="F652" i="74"/>
  <c r="F653" i="74"/>
  <c r="F654" i="74"/>
  <c r="F655" i="74"/>
  <c r="F656" i="74"/>
  <c r="F657" i="74"/>
  <c r="F658" i="74"/>
  <c r="F659" i="74"/>
  <c r="F660" i="74"/>
  <c r="F661" i="74"/>
  <c r="F662" i="74"/>
  <c r="F663" i="74"/>
  <c r="F664" i="74"/>
  <c r="F665" i="74"/>
  <c r="F666" i="74"/>
  <c r="F667" i="74"/>
  <c r="F668" i="74"/>
  <c r="F669" i="74"/>
  <c r="F670" i="74"/>
  <c r="F671" i="74"/>
  <c r="F672" i="74"/>
  <c r="F673" i="74"/>
  <c r="F674" i="74"/>
  <c r="F675" i="74"/>
  <c r="F676" i="74"/>
  <c r="F677" i="74"/>
  <c r="F678" i="74"/>
  <c r="F679" i="74"/>
  <c r="F680" i="74"/>
  <c r="F681" i="74"/>
  <c r="F682" i="74"/>
  <c r="F683" i="74"/>
  <c r="F684" i="74"/>
  <c r="F685" i="74"/>
  <c r="F686" i="74"/>
  <c r="F687" i="74"/>
  <c r="F688" i="74"/>
  <c r="F689" i="74"/>
  <c r="F690" i="74"/>
  <c r="F691" i="74"/>
  <c r="F692" i="74"/>
  <c r="F693" i="74"/>
  <c r="F694" i="74"/>
  <c r="F695" i="74"/>
  <c r="F696" i="74"/>
  <c r="F697" i="74"/>
  <c r="F698" i="74"/>
  <c r="F699" i="74"/>
  <c r="F700" i="74"/>
  <c r="F701" i="74"/>
  <c r="F702" i="74"/>
  <c r="F703" i="74"/>
  <c r="F704" i="74"/>
  <c r="F705" i="74"/>
  <c r="F706" i="74"/>
  <c r="F707" i="74"/>
  <c r="F708" i="74"/>
  <c r="F709" i="74"/>
  <c r="F710" i="74"/>
  <c r="F711" i="74"/>
  <c r="F712" i="74"/>
  <c r="F713" i="74"/>
  <c r="F714" i="74"/>
  <c r="F715" i="74"/>
  <c r="F716" i="74"/>
  <c r="F717" i="74"/>
  <c r="F718" i="74"/>
  <c r="F719" i="74"/>
  <c r="F720" i="74"/>
  <c r="F721" i="74"/>
  <c r="F722" i="74"/>
  <c r="F723" i="74"/>
  <c r="F724" i="74"/>
  <c r="F725" i="74"/>
  <c r="F726" i="74"/>
  <c r="F727" i="74"/>
  <c r="F728" i="74"/>
  <c r="F729" i="74"/>
  <c r="F730" i="74"/>
  <c r="F731" i="74"/>
  <c r="F732" i="74"/>
  <c r="F733" i="74"/>
  <c r="F734" i="74"/>
  <c r="F735" i="74"/>
  <c r="F736" i="74"/>
  <c r="F737" i="74"/>
  <c r="F738" i="74"/>
  <c r="F739" i="74"/>
  <c r="F740" i="74"/>
  <c r="F741" i="74"/>
  <c r="F742" i="74"/>
  <c r="F743" i="74"/>
  <c r="F744" i="74"/>
  <c r="F745" i="74"/>
  <c r="F746" i="74"/>
  <c r="F747" i="74"/>
  <c r="F748" i="74"/>
  <c r="F749" i="74"/>
  <c r="F750" i="74"/>
  <c r="F751" i="74"/>
  <c r="F752" i="74"/>
  <c r="F753" i="74"/>
  <c r="F754" i="74"/>
  <c r="F755" i="74"/>
  <c r="F756" i="74"/>
  <c r="F757" i="74"/>
  <c r="F758" i="74"/>
  <c r="F759" i="74"/>
  <c r="F760" i="74"/>
  <c r="F761" i="74"/>
  <c r="F762" i="74"/>
  <c r="F763" i="74"/>
  <c r="F764" i="74"/>
  <c r="F765" i="74"/>
  <c r="F766" i="74"/>
  <c r="F767" i="74"/>
  <c r="F768" i="74"/>
  <c r="F769" i="74"/>
  <c r="F770" i="74"/>
  <c r="F771" i="74"/>
  <c r="F772" i="74"/>
  <c r="F773" i="74"/>
  <c r="F774" i="74"/>
  <c r="F775" i="74"/>
  <c r="F776" i="74"/>
  <c r="F777" i="74"/>
  <c r="F778" i="74"/>
  <c r="F779" i="74"/>
  <c r="F780" i="74"/>
  <c r="F781" i="74"/>
  <c r="F782" i="74"/>
  <c r="F783" i="74"/>
  <c r="F784" i="74"/>
  <c r="F785" i="74"/>
  <c r="F786" i="74"/>
  <c r="F787" i="74"/>
  <c r="F788" i="74"/>
  <c r="F789" i="74"/>
  <c r="F790" i="74"/>
  <c r="F791" i="74"/>
  <c r="F792" i="74"/>
  <c r="F793" i="74"/>
  <c r="F794" i="74"/>
  <c r="F795" i="74"/>
  <c r="F796" i="74"/>
  <c r="F797" i="74"/>
  <c r="F798" i="74"/>
  <c r="F799" i="74"/>
  <c r="F800" i="74"/>
  <c r="F801" i="74"/>
  <c r="F802" i="74"/>
  <c r="F803" i="74"/>
  <c r="F804" i="74"/>
  <c r="F805" i="74"/>
  <c r="F806" i="74"/>
  <c r="F807" i="74"/>
  <c r="F808" i="74"/>
  <c r="F809" i="74"/>
  <c r="F810" i="74"/>
  <c r="F811" i="74"/>
  <c r="F812" i="74"/>
  <c r="F813" i="74"/>
  <c r="F814" i="74"/>
  <c r="F815" i="74"/>
  <c r="F816" i="74"/>
  <c r="F817" i="74"/>
  <c r="F818" i="74"/>
  <c r="F819" i="74"/>
  <c r="F820" i="74"/>
  <c r="F821" i="74"/>
  <c r="F822" i="74"/>
  <c r="F823" i="74"/>
  <c r="F824" i="74"/>
  <c r="F825" i="74"/>
  <c r="F826" i="74"/>
  <c r="F827" i="74"/>
  <c r="F828" i="74"/>
  <c r="F829" i="74"/>
  <c r="F830" i="74"/>
  <c r="F831" i="74"/>
  <c r="F832" i="74"/>
  <c r="F833" i="74"/>
  <c r="F834" i="74"/>
  <c r="F835" i="74"/>
  <c r="F836" i="74"/>
  <c r="F837" i="74"/>
  <c r="F838" i="74"/>
  <c r="F839" i="74"/>
  <c r="F840" i="74"/>
  <c r="F841" i="74"/>
  <c r="F842" i="74"/>
  <c r="F843" i="74"/>
  <c r="F844" i="74"/>
  <c r="F845" i="74"/>
  <c r="F846" i="74"/>
  <c r="F847" i="74"/>
  <c r="F848" i="74"/>
  <c r="F849" i="74"/>
  <c r="F850" i="74"/>
  <c r="F851" i="74"/>
  <c r="F852" i="74"/>
  <c r="F853" i="74"/>
  <c r="F854" i="74"/>
  <c r="F855" i="74"/>
  <c r="F856" i="74"/>
  <c r="F857" i="74"/>
  <c r="F858" i="74"/>
  <c r="F859" i="74"/>
  <c r="F860" i="74"/>
  <c r="F861" i="74"/>
  <c r="F862" i="74"/>
  <c r="F863" i="74"/>
  <c r="F864" i="74"/>
  <c r="F865" i="74"/>
  <c r="F866" i="74"/>
  <c r="F867" i="74"/>
  <c r="F868" i="74"/>
  <c r="F869" i="74"/>
  <c r="F870" i="74"/>
  <c r="F871" i="74"/>
  <c r="F872" i="74"/>
  <c r="F873" i="74"/>
  <c r="F874" i="74"/>
  <c r="F875" i="74"/>
  <c r="F876" i="74"/>
  <c r="F877" i="74"/>
  <c r="F878" i="74"/>
  <c r="F879" i="74"/>
  <c r="F880" i="74"/>
  <c r="F881" i="74"/>
  <c r="F882" i="74"/>
  <c r="F883" i="74"/>
  <c r="F884" i="74"/>
  <c r="F885" i="74"/>
  <c r="F886" i="74"/>
  <c r="F887" i="74"/>
  <c r="F888" i="74"/>
  <c r="F889" i="74"/>
  <c r="F890" i="74"/>
  <c r="F891" i="74"/>
  <c r="F892" i="74"/>
  <c r="F893" i="74"/>
  <c r="F894" i="74"/>
  <c r="F895" i="74"/>
  <c r="F896" i="74"/>
  <c r="F897" i="74"/>
  <c r="F898" i="74"/>
  <c r="F899" i="74"/>
  <c r="F900" i="74"/>
  <c r="F901" i="74"/>
  <c r="F902" i="74"/>
  <c r="F903" i="74"/>
  <c r="F904" i="74"/>
  <c r="F905" i="74"/>
  <c r="F906" i="74"/>
  <c r="F907" i="74"/>
  <c r="F908" i="74"/>
  <c r="F909" i="74"/>
  <c r="F910" i="74"/>
  <c r="F911" i="74"/>
  <c r="F912" i="74"/>
  <c r="F913" i="74"/>
  <c r="F914" i="74"/>
  <c r="F915" i="74"/>
  <c r="F916" i="74"/>
  <c r="F917" i="74"/>
  <c r="F918" i="74"/>
  <c r="F919" i="74"/>
  <c r="F920" i="74"/>
  <c r="F921" i="74"/>
  <c r="F922" i="74"/>
  <c r="F923" i="74"/>
  <c r="F924" i="74"/>
  <c r="F925" i="74"/>
  <c r="F926" i="74"/>
  <c r="F927" i="74"/>
  <c r="F928" i="74"/>
  <c r="F929" i="74"/>
  <c r="F930" i="74"/>
  <c r="F931" i="74"/>
  <c r="F932" i="74"/>
  <c r="F933" i="74"/>
  <c r="F934" i="74"/>
  <c r="F935" i="74"/>
  <c r="F936" i="74"/>
  <c r="F937" i="74"/>
  <c r="F938" i="74"/>
  <c r="F939" i="74"/>
  <c r="F940" i="74"/>
  <c r="F941" i="74"/>
  <c r="F942" i="74"/>
  <c r="F943" i="74"/>
  <c r="F944" i="74"/>
  <c r="F945" i="74"/>
  <c r="F946" i="74"/>
  <c r="F947" i="74"/>
  <c r="F948" i="74"/>
  <c r="F949" i="74"/>
  <c r="F950" i="74"/>
  <c r="F951" i="74"/>
  <c r="F952" i="74"/>
  <c r="F953" i="74"/>
  <c r="F954" i="74"/>
  <c r="F955" i="74"/>
  <c r="F956" i="74"/>
  <c r="F957" i="74"/>
  <c r="F958" i="74"/>
  <c r="F959" i="74"/>
  <c r="F960" i="74"/>
  <c r="F961" i="74"/>
  <c r="F962" i="74"/>
  <c r="F963" i="74"/>
  <c r="F964" i="74"/>
  <c r="F965" i="74"/>
  <c r="F966" i="74"/>
  <c r="F967" i="74"/>
  <c r="F968" i="74"/>
  <c r="F969" i="74"/>
  <c r="F970" i="74"/>
  <c r="F971" i="74"/>
  <c r="F972" i="74"/>
  <c r="F973" i="74"/>
  <c r="F974" i="74"/>
  <c r="F975" i="74"/>
  <c r="F976" i="74"/>
  <c r="F977" i="74"/>
  <c r="F978" i="74"/>
  <c r="F979" i="74"/>
  <c r="F980" i="74"/>
  <c r="F981" i="74"/>
  <c r="F982" i="74"/>
  <c r="F983" i="74"/>
  <c r="F984" i="74"/>
  <c r="F985" i="74"/>
  <c r="F986" i="74"/>
  <c r="F987" i="74"/>
  <c r="F988" i="74"/>
  <c r="F989" i="74"/>
  <c r="F990" i="74"/>
  <c r="F991" i="74"/>
  <c r="F992" i="74"/>
  <c r="F993" i="74"/>
  <c r="F994" i="74"/>
  <c r="F995" i="74"/>
  <c r="F996" i="74"/>
  <c r="F997" i="74"/>
  <c r="F998" i="74"/>
  <c r="F999" i="74"/>
  <c r="F1000" i="74"/>
  <c r="F1001" i="74"/>
  <c r="F1002" i="74"/>
  <c r="F1003" i="74"/>
  <c r="F1004" i="74"/>
  <c r="F1005" i="74"/>
  <c r="F1006" i="74"/>
  <c r="F1007" i="74"/>
  <c r="F1008" i="74"/>
  <c r="F1009" i="74"/>
  <c r="F1010" i="74"/>
  <c r="F1011" i="74"/>
  <c r="F1012" i="74"/>
  <c r="F1013" i="74"/>
  <c r="F1014" i="74"/>
  <c r="F1015" i="74"/>
  <c r="F1016" i="74"/>
  <c r="F1017" i="74"/>
  <c r="F1018" i="74"/>
  <c r="F1019" i="74"/>
  <c r="F1020" i="74"/>
  <c r="F1021" i="74"/>
  <c r="F1022" i="74"/>
  <c r="F1023" i="74"/>
  <c r="F1024" i="74"/>
  <c r="F1025" i="74"/>
  <c r="F1026" i="74"/>
  <c r="F1027" i="74"/>
  <c r="F1028" i="74"/>
  <c r="F1029" i="74"/>
  <c r="F1030" i="74"/>
  <c r="F1031" i="74"/>
  <c r="F1032" i="74"/>
  <c r="F1033" i="74"/>
  <c r="F1034" i="74"/>
  <c r="F1035" i="74"/>
  <c r="F1036" i="74"/>
  <c r="F1037" i="74"/>
  <c r="F1038" i="74"/>
  <c r="F1039" i="74"/>
  <c r="F1040" i="74"/>
  <c r="F1041" i="74"/>
  <c r="F1042" i="74"/>
  <c r="F1043" i="74"/>
  <c r="F1044" i="74"/>
  <c r="F1045" i="74"/>
  <c r="F1046" i="74"/>
  <c r="F1047" i="74"/>
  <c r="F1048" i="74"/>
  <c r="F1049" i="74"/>
  <c r="F1050" i="74"/>
  <c r="F1051" i="74"/>
  <c r="F1052" i="74"/>
  <c r="F1053" i="74"/>
  <c r="F1054" i="74"/>
  <c r="F1055" i="74"/>
  <c r="F1056" i="74"/>
  <c r="F1057" i="74"/>
  <c r="F1058" i="74"/>
  <c r="F1059" i="74"/>
  <c r="F1060" i="74"/>
  <c r="F1061" i="74"/>
  <c r="F1062" i="74"/>
  <c r="F1063" i="74"/>
  <c r="F1064" i="74"/>
  <c r="F1065" i="74"/>
  <c r="F1066" i="74"/>
  <c r="F1067" i="74"/>
  <c r="F1068" i="74"/>
  <c r="F1069" i="74"/>
  <c r="F1070" i="74"/>
  <c r="F1071" i="74"/>
  <c r="F1072" i="74"/>
  <c r="F1073" i="74"/>
  <c r="F1074" i="74"/>
  <c r="F1075" i="74"/>
  <c r="F1076" i="74"/>
  <c r="F1077" i="74"/>
  <c r="F1078" i="74"/>
  <c r="F1079" i="74"/>
  <c r="F1080" i="74"/>
  <c r="F1081" i="74"/>
  <c r="F1082" i="74"/>
  <c r="F1083" i="74"/>
  <c r="F1084" i="74"/>
  <c r="F1085" i="74"/>
  <c r="F1086" i="74"/>
  <c r="F1087" i="74"/>
  <c r="F1088" i="74"/>
  <c r="F1089" i="74"/>
  <c r="F1090" i="74"/>
  <c r="F1091" i="74"/>
  <c r="F1092" i="74"/>
  <c r="F1093" i="74"/>
  <c r="F1094" i="74"/>
  <c r="F1095" i="74"/>
  <c r="F1096" i="74"/>
  <c r="F1097" i="74"/>
  <c r="F1098" i="74"/>
  <c r="F1099" i="74"/>
  <c r="F1100" i="74"/>
  <c r="F1101" i="74"/>
  <c r="F1102" i="74"/>
  <c r="F1103" i="74"/>
  <c r="F1104" i="74"/>
  <c r="F1105" i="74"/>
  <c r="F1106" i="74"/>
  <c r="F1107" i="74"/>
  <c r="F1108" i="74"/>
  <c r="F1109" i="74"/>
  <c r="F1110" i="74"/>
  <c r="F1111" i="74"/>
  <c r="F1112" i="74"/>
  <c r="F1113" i="74"/>
  <c r="F1114" i="74"/>
  <c r="F1115" i="74"/>
  <c r="F1116" i="74"/>
  <c r="F1117" i="74"/>
  <c r="F1118" i="74"/>
  <c r="F1119" i="74"/>
  <c r="F1120" i="74"/>
  <c r="F1121" i="74"/>
  <c r="F1122" i="74"/>
  <c r="F1123" i="74"/>
  <c r="F1124" i="74"/>
  <c r="F1125" i="74"/>
  <c r="F1126" i="74"/>
  <c r="F1127" i="74"/>
  <c r="F1128" i="74"/>
  <c r="F1129" i="74"/>
  <c r="F1130" i="74"/>
  <c r="F1131" i="74"/>
  <c r="F1132" i="74"/>
  <c r="F1133" i="74"/>
  <c r="F1134" i="74"/>
  <c r="F1135" i="74"/>
  <c r="F1136" i="74"/>
  <c r="F1137" i="74"/>
  <c r="F1138" i="74"/>
  <c r="F1139" i="74"/>
  <c r="F1140" i="74"/>
  <c r="F1141" i="74"/>
  <c r="F1142" i="74"/>
  <c r="F1143" i="74"/>
  <c r="F1144" i="74"/>
  <c r="F1145" i="74"/>
  <c r="F1146" i="74"/>
  <c r="F1147" i="74"/>
  <c r="F1148" i="74"/>
  <c r="F1149" i="74"/>
  <c r="F1150" i="74"/>
  <c r="F1151" i="74"/>
  <c r="F1152" i="74"/>
  <c r="F1153" i="74"/>
  <c r="F1154" i="74"/>
  <c r="F1155" i="74"/>
  <c r="F1156" i="74"/>
  <c r="F1157" i="74"/>
  <c r="F1158" i="74"/>
  <c r="F1159" i="74"/>
  <c r="F1160" i="74"/>
  <c r="F1161" i="74"/>
  <c r="F1162" i="74"/>
  <c r="F1163" i="74"/>
  <c r="F1164" i="74"/>
  <c r="F1165" i="74"/>
  <c r="F1166" i="74"/>
  <c r="F1167" i="74"/>
  <c r="F1168" i="74"/>
  <c r="F1169" i="74"/>
  <c r="F1170" i="74"/>
  <c r="F1171" i="74"/>
  <c r="F1172" i="74"/>
  <c r="F1173" i="74"/>
  <c r="F1174" i="74"/>
  <c r="F1175" i="74"/>
  <c r="F1176" i="74"/>
  <c r="F1177" i="74"/>
  <c r="F1178" i="74"/>
  <c r="F1179" i="74"/>
  <c r="F1180" i="74"/>
  <c r="F1181" i="74"/>
  <c r="F1182" i="74"/>
  <c r="F1183" i="74"/>
  <c r="F1184" i="74"/>
  <c r="F1185" i="74"/>
  <c r="F1186" i="74"/>
  <c r="F1187" i="74"/>
  <c r="F1188" i="74"/>
  <c r="F1189" i="74"/>
  <c r="F1190" i="74"/>
  <c r="F1191" i="74"/>
  <c r="F1192" i="74"/>
  <c r="F1193" i="74"/>
  <c r="F1194" i="74"/>
  <c r="F1195" i="74"/>
  <c r="F1196" i="74"/>
  <c r="F1197" i="74"/>
  <c r="F1198" i="74"/>
  <c r="F1199" i="74"/>
  <c r="F1200" i="74"/>
  <c r="F1201" i="74"/>
  <c r="F1202" i="74"/>
  <c r="F1203" i="74"/>
  <c r="F1204" i="74"/>
  <c r="F1205" i="74"/>
  <c r="F1206" i="74"/>
  <c r="F1207" i="74"/>
  <c r="F1208" i="74"/>
  <c r="F1209" i="74"/>
  <c r="F1210" i="74"/>
  <c r="F1211" i="74"/>
  <c r="F1212" i="74"/>
  <c r="F1213" i="74"/>
  <c r="F1214" i="74"/>
  <c r="F1215" i="74"/>
  <c r="F1216" i="74"/>
  <c r="F1217" i="74"/>
  <c r="F1218" i="74"/>
  <c r="F1219" i="74"/>
  <c r="F1220" i="74"/>
  <c r="F1221" i="74"/>
  <c r="F1222" i="74"/>
  <c r="F1223" i="74"/>
  <c r="F1224" i="74"/>
  <c r="F1225" i="74"/>
  <c r="F1226" i="74"/>
  <c r="F1227" i="74"/>
  <c r="F1228" i="74"/>
  <c r="F1229" i="74"/>
  <c r="F1230" i="74"/>
  <c r="F1231" i="74"/>
  <c r="F1232" i="74"/>
  <c r="F1233" i="74"/>
  <c r="F1234" i="74"/>
  <c r="F1235" i="74"/>
  <c r="F1236" i="74"/>
  <c r="F1237" i="74"/>
  <c r="F1238" i="74"/>
  <c r="F1239" i="74"/>
  <c r="F1240" i="74"/>
  <c r="F1241" i="74"/>
  <c r="F1242" i="74"/>
  <c r="F1243" i="74"/>
  <c r="F1244" i="74"/>
  <c r="F1245" i="74"/>
  <c r="F1246" i="74"/>
  <c r="F1247" i="74"/>
  <c r="F1248" i="74"/>
  <c r="F1249" i="74"/>
  <c r="F1250" i="74"/>
  <c r="F1251" i="74"/>
  <c r="F1252" i="74"/>
  <c r="F1253" i="74"/>
  <c r="F1254" i="74"/>
  <c r="F1255" i="74"/>
  <c r="F1256" i="74"/>
  <c r="F1257" i="74"/>
  <c r="F1258" i="74"/>
  <c r="F1259" i="74"/>
  <c r="F1260" i="74"/>
  <c r="F1261" i="74"/>
  <c r="F1262" i="74"/>
  <c r="F1263" i="74"/>
  <c r="F1264" i="74"/>
  <c r="F1265" i="74"/>
  <c r="F1266" i="74"/>
  <c r="F1267" i="74"/>
  <c r="F1268" i="74"/>
  <c r="F1269" i="74"/>
  <c r="F1270" i="74"/>
  <c r="F1271" i="74"/>
  <c r="F1272" i="74"/>
  <c r="F1273" i="74"/>
  <c r="F1274" i="74"/>
  <c r="F1275" i="74"/>
  <c r="F1276" i="74"/>
  <c r="F1277" i="74"/>
  <c r="F1278" i="74"/>
  <c r="F1279" i="74"/>
  <c r="F1280" i="74"/>
  <c r="F1281" i="74"/>
  <c r="F1282" i="74"/>
  <c r="F1283" i="74"/>
  <c r="F1284" i="74"/>
  <c r="F1285" i="74"/>
  <c r="F1286" i="74"/>
  <c r="F1287" i="74"/>
  <c r="F1288" i="74"/>
  <c r="F1289" i="74"/>
  <c r="F1290" i="74"/>
  <c r="F1291" i="74"/>
  <c r="F1292" i="74"/>
  <c r="F1293" i="74"/>
  <c r="F1294" i="74"/>
  <c r="F1295" i="74"/>
  <c r="F1296" i="74"/>
  <c r="F1297" i="74"/>
  <c r="F1298" i="74"/>
  <c r="F1299" i="74"/>
  <c r="F1300" i="74"/>
  <c r="F1301" i="74"/>
  <c r="F1302" i="74"/>
  <c r="F1303" i="74"/>
  <c r="F1304" i="74"/>
  <c r="F1305" i="74"/>
  <c r="F1306" i="74"/>
  <c r="F1307" i="74"/>
  <c r="F1308" i="74"/>
  <c r="F1309" i="74"/>
  <c r="F1310" i="74"/>
  <c r="F1311" i="74"/>
  <c r="F1312" i="74"/>
  <c r="F1313" i="74"/>
  <c r="F1314" i="74"/>
  <c r="F1315" i="74"/>
  <c r="F1316" i="74"/>
  <c r="F1317" i="74"/>
  <c r="F1318" i="74"/>
  <c r="F1319" i="74"/>
  <c r="F1320" i="74"/>
  <c r="F1321" i="74"/>
  <c r="F1322" i="74"/>
  <c r="F1323" i="74"/>
  <c r="F1324" i="74"/>
  <c r="F1325" i="74"/>
  <c r="F1326" i="74"/>
  <c r="F1327" i="74"/>
  <c r="F1328" i="74"/>
  <c r="F1329" i="74"/>
  <c r="F1330" i="74"/>
  <c r="F1331" i="74"/>
  <c r="F1332" i="74"/>
  <c r="F1333" i="74"/>
  <c r="F1334" i="74"/>
  <c r="F1335" i="74"/>
  <c r="F1336" i="74"/>
  <c r="F1337" i="74"/>
  <c r="F1338" i="74"/>
  <c r="F1339" i="74"/>
  <c r="F1340" i="74"/>
  <c r="F1341" i="74"/>
  <c r="F1342" i="74"/>
  <c r="F1343" i="74"/>
  <c r="F1344" i="74"/>
  <c r="F1345" i="74"/>
  <c r="F1346" i="74"/>
  <c r="F1347" i="74"/>
  <c r="F1348" i="74"/>
  <c r="F1349" i="74"/>
  <c r="F1350" i="74"/>
  <c r="F1351" i="74"/>
  <c r="F1352" i="74"/>
  <c r="F1353" i="74"/>
  <c r="F1354" i="74"/>
  <c r="F1355" i="74"/>
  <c r="F1356" i="74"/>
  <c r="F1357" i="74"/>
  <c r="F1358" i="74"/>
  <c r="F1359" i="74"/>
  <c r="F1360" i="74"/>
  <c r="F1361" i="74"/>
  <c r="F1362" i="74"/>
  <c r="F1363" i="74"/>
  <c r="F1364" i="74"/>
  <c r="F1365" i="74"/>
  <c r="F1366" i="74"/>
  <c r="F1367" i="74"/>
  <c r="F1368" i="74"/>
  <c r="F1369" i="74"/>
  <c r="F1370" i="74"/>
  <c r="F1371" i="74"/>
  <c r="F1372" i="74"/>
  <c r="F1373" i="74"/>
  <c r="F1374" i="74"/>
  <c r="F1375" i="74"/>
  <c r="F1376" i="74"/>
  <c r="F1377" i="74"/>
  <c r="F1378" i="74"/>
  <c r="F1379" i="74"/>
  <c r="F1380" i="74"/>
  <c r="F1381" i="74"/>
  <c r="F1382" i="74"/>
  <c r="F1383" i="74"/>
  <c r="F1384" i="74"/>
  <c r="F1385" i="74"/>
  <c r="F1386" i="74"/>
  <c r="F1387" i="74"/>
  <c r="F1388" i="74"/>
  <c r="F1389" i="74"/>
  <c r="F1390" i="74"/>
  <c r="F1391" i="74"/>
  <c r="F1392" i="74"/>
  <c r="F1393" i="74"/>
  <c r="F1394" i="74"/>
  <c r="F1395" i="74"/>
  <c r="F1396" i="74"/>
  <c r="F1397" i="74"/>
  <c r="F1398" i="74"/>
  <c r="F1399" i="74"/>
  <c r="F1400" i="74"/>
  <c r="F1401" i="74"/>
  <c r="F1402" i="74"/>
  <c r="F1403" i="74"/>
  <c r="F1404" i="74"/>
  <c r="F1405" i="74"/>
  <c r="F1406" i="74"/>
  <c r="F1407" i="74"/>
  <c r="F1408" i="74"/>
  <c r="F1409" i="74"/>
  <c r="F1410" i="74"/>
  <c r="F1411" i="74"/>
  <c r="F1412" i="74"/>
  <c r="F1413" i="74"/>
  <c r="F1414" i="74"/>
  <c r="F1415" i="74"/>
  <c r="F1416" i="74"/>
  <c r="F1417" i="74"/>
  <c r="F1418" i="74"/>
  <c r="F1419" i="74"/>
  <c r="F1420" i="74"/>
  <c r="F1421" i="74"/>
  <c r="F1422" i="74"/>
  <c r="F1423" i="74"/>
  <c r="F1424" i="74"/>
  <c r="F1425" i="74"/>
  <c r="F1426" i="74"/>
  <c r="F1427" i="74"/>
  <c r="F1428" i="74"/>
  <c r="F1429" i="74"/>
  <c r="F1430" i="74"/>
  <c r="F1431" i="74"/>
  <c r="F1432" i="74"/>
  <c r="F1433" i="74"/>
  <c r="F1434" i="74"/>
  <c r="F1435" i="74"/>
  <c r="F1436" i="74"/>
  <c r="F1437" i="74"/>
  <c r="F1438" i="74"/>
  <c r="F1439" i="74"/>
  <c r="F1440" i="74"/>
  <c r="F1441" i="74"/>
  <c r="F1442" i="74"/>
  <c r="F1443" i="74"/>
  <c r="F1444" i="74"/>
  <c r="F1445" i="74"/>
  <c r="F1446" i="74"/>
  <c r="F1447" i="74"/>
  <c r="F1448" i="74"/>
  <c r="F1449" i="74"/>
  <c r="F1450" i="74"/>
  <c r="F1451" i="74"/>
  <c r="F1452" i="74"/>
  <c r="F1453" i="74"/>
  <c r="F1454" i="74"/>
  <c r="F1455" i="74"/>
  <c r="F1456" i="74"/>
  <c r="F1457" i="74"/>
  <c r="F1458" i="74"/>
  <c r="F1459" i="74"/>
  <c r="F1460" i="74"/>
  <c r="F1461" i="74"/>
  <c r="F1462" i="74"/>
  <c r="F1463" i="74"/>
  <c r="F1464" i="74"/>
  <c r="F1465" i="74"/>
  <c r="F1466" i="74"/>
  <c r="F1467" i="74"/>
  <c r="F1468" i="74"/>
  <c r="F1469" i="74"/>
  <c r="F1470" i="74"/>
  <c r="F1471" i="74"/>
  <c r="F1472" i="74"/>
  <c r="F1473" i="74"/>
  <c r="F1474" i="74"/>
  <c r="F1475" i="74"/>
  <c r="F1476" i="74"/>
  <c r="F1477" i="74"/>
  <c r="F1478" i="74"/>
  <c r="F1479" i="74"/>
  <c r="F1480" i="74"/>
  <c r="F1481" i="74"/>
  <c r="F1482" i="74"/>
  <c r="F1483" i="74"/>
  <c r="F1484" i="74"/>
  <c r="F1485" i="74"/>
  <c r="F1486" i="74"/>
  <c r="F1487" i="74"/>
  <c r="F1488" i="74"/>
  <c r="F1489" i="74"/>
  <c r="F1490" i="74"/>
  <c r="F1491" i="74"/>
  <c r="F1492" i="74"/>
  <c r="F1493" i="74"/>
  <c r="F1494" i="74"/>
  <c r="F1495" i="74"/>
  <c r="F1496" i="74"/>
  <c r="F1497" i="74"/>
  <c r="F1498" i="74"/>
  <c r="F1499" i="74"/>
  <c r="F1500" i="74"/>
  <c r="F1501" i="74"/>
  <c r="F1502" i="74"/>
  <c r="F1503" i="74"/>
  <c r="F1504" i="74"/>
  <c r="F1505" i="74"/>
  <c r="F1506" i="74"/>
  <c r="F1507" i="74"/>
  <c r="F1508" i="74"/>
  <c r="F1509" i="74"/>
  <c r="F1510" i="74"/>
  <c r="F1511" i="74"/>
  <c r="F1512" i="74"/>
  <c r="F1513" i="74"/>
  <c r="F1514" i="74"/>
  <c r="F1515" i="74"/>
  <c r="F1516" i="74"/>
  <c r="F1517" i="74"/>
  <c r="F1518" i="74"/>
  <c r="F1519" i="74"/>
  <c r="F1520" i="74"/>
  <c r="F1521" i="74"/>
  <c r="F1522" i="74"/>
  <c r="F1523" i="74"/>
  <c r="F1524" i="74"/>
  <c r="F1525" i="74"/>
  <c r="F1526" i="74"/>
  <c r="F1527" i="74"/>
  <c r="F1528" i="74"/>
  <c r="F1529" i="74"/>
  <c r="F1530" i="74"/>
  <c r="F1531" i="74"/>
  <c r="F1532" i="74"/>
  <c r="F1533" i="74"/>
  <c r="F1534" i="74"/>
  <c r="F1535" i="74"/>
  <c r="F1536" i="74"/>
  <c r="F1537" i="74"/>
  <c r="F1538" i="74"/>
  <c r="F1539" i="74"/>
  <c r="F1540" i="74"/>
  <c r="F1541" i="74"/>
  <c r="F1542" i="74"/>
  <c r="F1543" i="74"/>
  <c r="F1544" i="74"/>
  <c r="F1545" i="74"/>
  <c r="F1546" i="74"/>
  <c r="F1547" i="74"/>
  <c r="F1548" i="74"/>
  <c r="F1549" i="74"/>
  <c r="F1550" i="74"/>
  <c r="F1551" i="74"/>
  <c r="F1552" i="74"/>
  <c r="F1553" i="74"/>
  <c r="F1554" i="74"/>
  <c r="F1555" i="74"/>
  <c r="F1556" i="74"/>
  <c r="F1557" i="74"/>
  <c r="F1558" i="74"/>
  <c r="F1559" i="74"/>
  <c r="F1560" i="74"/>
  <c r="F1561" i="74"/>
  <c r="F1562" i="74"/>
  <c r="F1563" i="74"/>
  <c r="F1564" i="74"/>
  <c r="F1565" i="74"/>
  <c r="F1566" i="74"/>
  <c r="F1567" i="74"/>
  <c r="F1568" i="74"/>
  <c r="F1569" i="74"/>
  <c r="F1570" i="74"/>
  <c r="F1571" i="74"/>
  <c r="F1572" i="74"/>
  <c r="F1573" i="74"/>
  <c r="F1574" i="74"/>
  <c r="F1575" i="74"/>
  <c r="F1576" i="74"/>
  <c r="F1577" i="74"/>
  <c r="F1578" i="74"/>
  <c r="F1579" i="74"/>
  <c r="F1580" i="74"/>
  <c r="F1581" i="74"/>
  <c r="F1582" i="74"/>
  <c r="F1583" i="74"/>
  <c r="F1584" i="74"/>
  <c r="F1585" i="74"/>
  <c r="F1586" i="74"/>
  <c r="F1587" i="74"/>
  <c r="F1588" i="74"/>
  <c r="F1589" i="74"/>
  <c r="F1590" i="74"/>
  <c r="F1591" i="74"/>
  <c r="F1592" i="74"/>
  <c r="F1593" i="74"/>
  <c r="F1594" i="74"/>
  <c r="F1595" i="74"/>
  <c r="F1596" i="74"/>
  <c r="F1597" i="74"/>
  <c r="F1598" i="74"/>
  <c r="F1599" i="74"/>
  <c r="F1600" i="74"/>
  <c r="F1601" i="74"/>
  <c r="F1602" i="74"/>
  <c r="F1603" i="74"/>
  <c r="F1604" i="74"/>
  <c r="F1605" i="74"/>
  <c r="F1606" i="74"/>
  <c r="F1607" i="74"/>
  <c r="F1608" i="74"/>
  <c r="F1609" i="74"/>
  <c r="F1610" i="74"/>
  <c r="F1611" i="74"/>
  <c r="F1612" i="74"/>
  <c r="F1613" i="74"/>
  <c r="F1614" i="74"/>
  <c r="F1615" i="74"/>
  <c r="F1616" i="74"/>
  <c r="F1617" i="74"/>
  <c r="F1618" i="74"/>
  <c r="F1619" i="74"/>
  <c r="F1620" i="74"/>
  <c r="F1621" i="74"/>
  <c r="F1622" i="74"/>
  <c r="F1623" i="74"/>
  <c r="F1624" i="74"/>
  <c r="F1625" i="74"/>
  <c r="F1626" i="74"/>
  <c r="F1627" i="74"/>
  <c r="F1628" i="74"/>
  <c r="F1629" i="74"/>
  <c r="F1630" i="74"/>
  <c r="F1631" i="74"/>
  <c r="F1632" i="74"/>
  <c r="F1633" i="74"/>
  <c r="F1634" i="74"/>
  <c r="F1635" i="74"/>
  <c r="F1636" i="74"/>
  <c r="F1637" i="74"/>
  <c r="F1638" i="74"/>
  <c r="F1639" i="74"/>
  <c r="F1640" i="74"/>
  <c r="F1641" i="74"/>
  <c r="F1642" i="74"/>
  <c r="F1643" i="74"/>
  <c r="F1644" i="74"/>
  <c r="F1645" i="74"/>
  <c r="F1646" i="74"/>
  <c r="F1647" i="74"/>
  <c r="F1648" i="74"/>
  <c r="F1649" i="74"/>
  <c r="F1650" i="74"/>
  <c r="F1651" i="74"/>
  <c r="F1652" i="74"/>
  <c r="F1653" i="74"/>
  <c r="F1654" i="74"/>
  <c r="F1655" i="74"/>
  <c r="F1656" i="74"/>
  <c r="F1657" i="74"/>
  <c r="F1658" i="74"/>
  <c r="F1659" i="74"/>
  <c r="F1660" i="74"/>
  <c r="F1661" i="74"/>
  <c r="F1662" i="74"/>
  <c r="F1663" i="74"/>
  <c r="F1664" i="74"/>
  <c r="F1665" i="74"/>
  <c r="F1666" i="74"/>
  <c r="F1667" i="74"/>
  <c r="F1668" i="74"/>
  <c r="F1669" i="74"/>
  <c r="F1670" i="74"/>
  <c r="F1671" i="74"/>
  <c r="F1672" i="74"/>
  <c r="F1673" i="74"/>
  <c r="F1674" i="74"/>
  <c r="F1675" i="74"/>
  <c r="F1676" i="74"/>
  <c r="F1677" i="74"/>
  <c r="F1678" i="74"/>
  <c r="F1679" i="74"/>
  <c r="F1680" i="74"/>
  <c r="F1681" i="74"/>
  <c r="F1682" i="74"/>
  <c r="F1683" i="74"/>
  <c r="F1684" i="74"/>
  <c r="F1685" i="74"/>
  <c r="F1686" i="74"/>
  <c r="F1687" i="74"/>
  <c r="F1688" i="74"/>
  <c r="F1689" i="74"/>
  <c r="F1690" i="74"/>
  <c r="F1691" i="74"/>
  <c r="F1692" i="74"/>
  <c r="F1693" i="74"/>
  <c r="F1694" i="74"/>
  <c r="F1695" i="74"/>
  <c r="F1696" i="74"/>
  <c r="F1697" i="74"/>
  <c r="F1698" i="74"/>
  <c r="F1699" i="74"/>
  <c r="F1700" i="74"/>
  <c r="F1701" i="74"/>
  <c r="F1702" i="74"/>
  <c r="F1703" i="74"/>
  <c r="F1704" i="74"/>
  <c r="F1705" i="74"/>
  <c r="F1706" i="74"/>
  <c r="F1707" i="74"/>
  <c r="F1708" i="74"/>
  <c r="F1709" i="74"/>
  <c r="F1710" i="74"/>
  <c r="F1711" i="74"/>
  <c r="F1712" i="74"/>
  <c r="F1713" i="74"/>
  <c r="F1714" i="74"/>
  <c r="F1715" i="74"/>
  <c r="F1716" i="74"/>
  <c r="F1717" i="74"/>
  <c r="F1718" i="74"/>
  <c r="F1719" i="74"/>
  <c r="F1720" i="74"/>
  <c r="F1721" i="74"/>
  <c r="F1722" i="74"/>
  <c r="F1723" i="74"/>
  <c r="F1724" i="74"/>
  <c r="F1725" i="74"/>
  <c r="F1726" i="74"/>
  <c r="F1727" i="74"/>
  <c r="F1728" i="74"/>
  <c r="F1729" i="74"/>
  <c r="F1730" i="74"/>
  <c r="F1731" i="74"/>
  <c r="F1732" i="74"/>
  <c r="F1733" i="74"/>
  <c r="F1734" i="74"/>
  <c r="F1735" i="74"/>
  <c r="F1736" i="74"/>
  <c r="F1737" i="74"/>
  <c r="F1738" i="74"/>
  <c r="F1739" i="74"/>
  <c r="F1740" i="74"/>
  <c r="F1741" i="74"/>
  <c r="F1742" i="74"/>
  <c r="F1743" i="74"/>
  <c r="F1744" i="74"/>
  <c r="F1745" i="74"/>
  <c r="F1746" i="74"/>
  <c r="F2" i="74"/>
  <c r="AS1731" i="1"/>
  <c r="AR1731" i="1"/>
  <c r="X1730" i="1" s="1"/>
  <c r="AQ1731" i="1"/>
  <c r="AP1731" i="1"/>
  <c r="AL1731" i="1"/>
  <c r="AJ1731" i="1"/>
  <c r="AI1731" i="1"/>
  <c r="AH1731" i="1"/>
  <c r="AG1731" i="1"/>
  <c r="AF1731" i="1"/>
  <c r="AX1731" i="1" s="1"/>
  <c r="AC1731" i="1"/>
  <c r="AB1731" i="1"/>
  <c r="Q1731" i="1"/>
  <c r="P1731" i="1"/>
  <c r="L1731" i="1"/>
  <c r="AA1731" i="1" s="1"/>
  <c r="K1731" i="1"/>
  <c r="J1731" i="1"/>
  <c r="I1731" i="1"/>
  <c r="H1731" i="1"/>
  <c r="G1731" i="1"/>
  <c r="F1731" i="1"/>
  <c r="E1731" i="1"/>
  <c r="D1731" i="1"/>
  <c r="C1731" i="1"/>
  <c r="B1731" i="1"/>
  <c r="A1731" i="1"/>
  <c r="AK5" i="263"/>
  <c r="AK6" i="263"/>
  <c r="AK7" i="263"/>
  <c r="AK8" i="263"/>
  <c r="AK9" i="263"/>
  <c r="AK10" i="263"/>
  <c r="AK11" i="263"/>
  <c r="AK12" i="263"/>
  <c r="AK13" i="263"/>
  <c r="AK14" i="263"/>
  <c r="AK15" i="263"/>
  <c r="AK16" i="263"/>
  <c r="AK17" i="263"/>
  <c r="AK18" i="263"/>
  <c r="AK19" i="263"/>
  <c r="AK20" i="263"/>
  <c r="AK21" i="263"/>
  <c r="AK22" i="263"/>
  <c r="AK23" i="263"/>
  <c r="AK24" i="263"/>
  <c r="AK25" i="263"/>
  <c r="AK26" i="263"/>
  <c r="AK27" i="263"/>
  <c r="AK28" i="263"/>
  <c r="AK29" i="263"/>
  <c r="AK30" i="263"/>
  <c r="AK31" i="263"/>
  <c r="AK32" i="263"/>
  <c r="AK33" i="263"/>
  <c r="AK34" i="263"/>
  <c r="AK35" i="263"/>
  <c r="AK36" i="263"/>
  <c r="AK37" i="263"/>
  <c r="AK38" i="263"/>
  <c r="AK39" i="263"/>
  <c r="AK40" i="263"/>
  <c r="AK41" i="263"/>
  <c r="AK42" i="263"/>
  <c r="AK43" i="263"/>
  <c r="AK44" i="263"/>
  <c r="AK45" i="263"/>
  <c r="AK46" i="263"/>
  <c r="AK47" i="263"/>
  <c r="AK48" i="263"/>
  <c r="AK49" i="263"/>
  <c r="AK50" i="263"/>
  <c r="AK51" i="263"/>
  <c r="AK52" i="263"/>
  <c r="AK53" i="263"/>
  <c r="AK54" i="263"/>
  <c r="AK55" i="263"/>
  <c r="AK56" i="263"/>
  <c r="AK57" i="263"/>
  <c r="AK58" i="263"/>
  <c r="AK59" i="263"/>
  <c r="AK60" i="263"/>
  <c r="AK61" i="263"/>
  <c r="AK62" i="263"/>
  <c r="AK63" i="263"/>
  <c r="AK64" i="263"/>
  <c r="AK65" i="263"/>
  <c r="AK66" i="263"/>
  <c r="AK67" i="263"/>
  <c r="AK68" i="263"/>
  <c r="AK69" i="263"/>
  <c r="AK70" i="263"/>
  <c r="AK71" i="263"/>
  <c r="AK72" i="263"/>
  <c r="AK73" i="263"/>
  <c r="AK74" i="263"/>
  <c r="AK75" i="263"/>
  <c r="AK76" i="263"/>
  <c r="AK77" i="263"/>
  <c r="AK78" i="263"/>
  <c r="AK79" i="263"/>
  <c r="AK80" i="263"/>
  <c r="AK81" i="263"/>
  <c r="AK82" i="263"/>
  <c r="AK83" i="263"/>
  <c r="AK84" i="263"/>
  <c r="AK85" i="263"/>
  <c r="AK86" i="263"/>
  <c r="AK87" i="263"/>
  <c r="AK88" i="263"/>
  <c r="AK89" i="263"/>
  <c r="AK90" i="263"/>
  <c r="AK91" i="263"/>
  <c r="AK92" i="263"/>
  <c r="AK93" i="263"/>
  <c r="AK94" i="263"/>
  <c r="AK95" i="263"/>
  <c r="AK96" i="263"/>
  <c r="AK97" i="263"/>
  <c r="AK98" i="263"/>
  <c r="AK99" i="263"/>
  <c r="AK100" i="263"/>
  <c r="AK101" i="263"/>
  <c r="AK102" i="263"/>
  <c r="AK103" i="263"/>
  <c r="AK104" i="263"/>
  <c r="AK105" i="263"/>
  <c r="AK106" i="263"/>
  <c r="AK107" i="263"/>
  <c r="AK108" i="263"/>
  <c r="AK109" i="263"/>
  <c r="AK110" i="263"/>
  <c r="AK111" i="263"/>
  <c r="AK112" i="263"/>
  <c r="AK113" i="263"/>
  <c r="AK114" i="263"/>
  <c r="AK115" i="263"/>
  <c r="AK116" i="263"/>
  <c r="AK117" i="263"/>
  <c r="AK118" i="263"/>
  <c r="AK119" i="263"/>
  <c r="AK120" i="263"/>
  <c r="AK121" i="263"/>
  <c r="AK122" i="263"/>
  <c r="AK123" i="263"/>
  <c r="AK124" i="263"/>
  <c r="AK125" i="263"/>
  <c r="AK126" i="263"/>
  <c r="AK127" i="263"/>
  <c r="AK128" i="263"/>
  <c r="AK129" i="263"/>
  <c r="AK130" i="263"/>
  <c r="AK131" i="263"/>
  <c r="AK132" i="263"/>
  <c r="AK133" i="263"/>
  <c r="AK134" i="263"/>
  <c r="AK135" i="263"/>
  <c r="AK136" i="263"/>
  <c r="AK137" i="263"/>
  <c r="AK138" i="263"/>
  <c r="AK139" i="263"/>
  <c r="AK140" i="263"/>
  <c r="AK141" i="263"/>
  <c r="AK142" i="263"/>
  <c r="AK143" i="263"/>
  <c r="AK144" i="263"/>
  <c r="AK145" i="263"/>
  <c r="AK146" i="263"/>
  <c r="AK147" i="263"/>
  <c r="AK148" i="263"/>
  <c r="AK149" i="263"/>
  <c r="AK150" i="263"/>
  <c r="AK151" i="263"/>
  <c r="AK152" i="263"/>
  <c r="AK153" i="263"/>
  <c r="AK154" i="263"/>
  <c r="AK155" i="263"/>
  <c r="AK156" i="263"/>
  <c r="AK157" i="263"/>
  <c r="AK158" i="263"/>
  <c r="AK159" i="263"/>
  <c r="AK160" i="263"/>
  <c r="AK161" i="263"/>
  <c r="AK162" i="263"/>
  <c r="AK163" i="263"/>
  <c r="AK164" i="263"/>
  <c r="AK165" i="263"/>
  <c r="AK166" i="263"/>
  <c r="AK167" i="263"/>
  <c r="AK168" i="263"/>
  <c r="AK169" i="263"/>
  <c r="AK170" i="263"/>
  <c r="AK171" i="263"/>
  <c r="AK172" i="263"/>
  <c r="AK173" i="263"/>
  <c r="AK174" i="263"/>
  <c r="AK175" i="263"/>
  <c r="AK176" i="263"/>
  <c r="AK177" i="263"/>
  <c r="AK178" i="263"/>
  <c r="AK179" i="263"/>
  <c r="AK180" i="263"/>
  <c r="AK181" i="263"/>
  <c r="AK182" i="263"/>
  <c r="AK183" i="263"/>
  <c r="AK184" i="263"/>
  <c r="AK185" i="263"/>
  <c r="AK186" i="263"/>
  <c r="AK187" i="263"/>
  <c r="AK188" i="263"/>
  <c r="AK189" i="263"/>
  <c r="AK190" i="263"/>
  <c r="AK191" i="263"/>
  <c r="AK192" i="263"/>
  <c r="AK193" i="263"/>
  <c r="AK194" i="263"/>
  <c r="AK195" i="263"/>
  <c r="AK196" i="263"/>
  <c r="AK197" i="263"/>
  <c r="AK198" i="263"/>
  <c r="AK199" i="263"/>
  <c r="AK200" i="263"/>
  <c r="AK201" i="263"/>
  <c r="AK202" i="263"/>
  <c r="AK203" i="263"/>
  <c r="AK204" i="263"/>
  <c r="AK205" i="263"/>
  <c r="AK206" i="263"/>
  <c r="AK207" i="263"/>
  <c r="AK208" i="263"/>
  <c r="AK209" i="263"/>
  <c r="AK210" i="263"/>
  <c r="AK211" i="263"/>
  <c r="AK212" i="263"/>
  <c r="AK213" i="263"/>
  <c r="AK214" i="263"/>
  <c r="AK215" i="263"/>
  <c r="AK216" i="263"/>
  <c r="AK217" i="263"/>
  <c r="AK218" i="263"/>
  <c r="AK219" i="263"/>
  <c r="AK220" i="263"/>
  <c r="AK221" i="263"/>
  <c r="AK222" i="263"/>
  <c r="AK223" i="263"/>
  <c r="AK224" i="263"/>
  <c r="AK225" i="263"/>
  <c r="AK226" i="263"/>
  <c r="AK227" i="263"/>
  <c r="AK228" i="263"/>
  <c r="AK229" i="263"/>
  <c r="AK230" i="263"/>
  <c r="AK231" i="263"/>
  <c r="AK232" i="263"/>
  <c r="AK233" i="263"/>
  <c r="AK234" i="263"/>
  <c r="AK235" i="263"/>
  <c r="AK236" i="263"/>
  <c r="AK237" i="263"/>
  <c r="AK238" i="263"/>
  <c r="AK239" i="263"/>
  <c r="AK240" i="263"/>
  <c r="AK241" i="263"/>
  <c r="AK242" i="263"/>
  <c r="AK243" i="263"/>
  <c r="AK244" i="263"/>
  <c r="AK245" i="263"/>
  <c r="AK246" i="263"/>
  <c r="AK247" i="263"/>
  <c r="AK248" i="263"/>
  <c r="AK249" i="263"/>
  <c r="AK250" i="263"/>
  <c r="AK251" i="263"/>
  <c r="AK252" i="263"/>
  <c r="AK253" i="263"/>
  <c r="AK254" i="263"/>
  <c r="AK255" i="263"/>
  <c r="AK256" i="263"/>
  <c r="AK257" i="263"/>
  <c r="AK258" i="263"/>
  <c r="AK259" i="263"/>
  <c r="AK260" i="263"/>
  <c r="AK261" i="263"/>
  <c r="AK262" i="263"/>
  <c r="AK263" i="263"/>
  <c r="AK264" i="263"/>
  <c r="AK265" i="263"/>
  <c r="AK266" i="263"/>
  <c r="AK267" i="263"/>
  <c r="AK268" i="263"/>
  <c r="AK269" i="263"/>
  <c r="AK270" i="263"/>
  <c r="AK271" i="263"/>
  <c r="AK272" i="263"/>
  <c r="AK273" i="263"/>
  <c r="AK274" i="263"/>
  <c r="AK275" i="263"/>
  <c r="AK276" i="263"/>
  <c r="AK277" i="263"/>
  <c r="AK278" i="263"/>
  <c r="AK279" i="263"/>
  <c r="AK280" i="263"/>
  <c r="AK281" i="263"/>
  <c r="AK282" i="263"/>
  <c r="AK283" i="263"/>
  <c r="AK284" i="263"/>
  <c r="AK285" i="263"/>
  <c r="AK286" i="263"/>
  <c r="AK287" i="263"/>
  <c r="AK288" i="263"/>
  <c r="AK289" i="263"/>
  <c r="AK290" i="263"/>
  <c r="AK291" i="263"/>
  <c r="AK292" i="263"/>
  <c r="AK293" i="263"/>
  <c r="AK294" i="263"/>
  <c r="AK295" i="263"/>
  <c r="AK296" i="263"/>
  <c r="AK297" i="263"/>
  <c r="AK298" i="263"/>
  <c r="AK299" i="263"/>
  <c r="AK300" i="263"/>
  <c r="AK301" i="263"/>
  <c r="AK302" i="263"/>
  <c r="AK303" i="263"/>
  <c r="AK304" i="263"/>
  <c r="AK305" i="263"/>
  <c r="AK306" i="263"/>
  <c r="AK307" i="263"/>
  <c r="AK308" i="263"/>
  <c r="AK309" i="263"/>
  <c r="AK310" i="263"/>
  <c r="AK311" i="263"/>
  <c r="AK312" i="263"/>
  <c r="AK313" i="263"/>
  <c r="AK314" i="263"/>
  <c r="AK315" i="263"/>
  <c r="AK316" i="263"/>
  <c r="AK317" i="263"/>
  <c r="AK318" i="263"/>
  <c r="AK319" i="263"/>
  <c r="AK320" i="263"/>
  <c r="AK321" i="263"/>
  <c r="AK322" i="263"/>
  <c r="AK323" i="263"/>
  <c r="AK324" i="263"/>
  <c r="AK325" i="263"/>
  <c r="AK326" i="263"/>
  <c r="AK327" i="263"/>
  <c r="AK328" i="263"/>
  <c r="AK329" i="263"/>
  <c r="AK330" i="263"/>
  <c r="AK331" i="263"/>
  <c r="AK332" i="263"/>
  <c r="AK333" i="263"/>
  <c r="AK334" i="263"/>
  <c r="AK335" i="263"/>
  <c r="AK336" i="263"/>
  <c r="AK337" i="263"/>
  <c r="AK338" i="263"/>
  <c r="AK339" i="263"/>
  <c r="AK340" i="263"/>
  <c r="AK341" i="263"/>
  <c r="AK342" i="263"/>
  <c r="AK343" i="263"/>
  <c r="AK344" i="263"/>
  <c r="AK345" i="263"/>
  <c r="AK346" i="263"/>
  <c r="AK347" i="263"/>
  <c r="AK348" i="263"/>
  <c r="AK349" i="263"/>
  <c r="AK350" i="263"/>
  <c r="AK351" i="263"/>
  <c r="AK352" i="263"/>
  <c r="AK353" i="263"/>
  <c r="AK354" i="263"/>
  <c r="AK355" i="263"/>
  <c r="AK356" i="263"/>
  <c r="AK357" i="263"/>
  <c r="AK358" i="263"/>
  <c r="AK359" i="263"/>
  <c r="AK360" i="263"/>
  <c r="AK361" i="263"/>
  <c r="AK362" i="263"/>
  <c r="AK363" i="263"/>
  <c r="AK364" i="263"/>
  <c r="AK365" i="263"/>
  <c r="AK366" i="263"/>
  <c r="AK367" i="263"/>
  <c r="AK368" i="263"/>
  <c r="AK369" i="263"/>
  <c r="AK370" i="263"/>
  <c r="AK371" i="263"/>
  <c r="AK372" i="263"/>
  <c r="AK373" i="263"/>
  <c r="AK374" i="263"/>
  <c r="AK375" i="263"/>
  <c r="AK376" i="263"/>
  <c r="AK377" i="263"/>
  <c r="AK378" i="263"/>
  <c r="AK379" i="263"/>
  <c r="AK380" i="263"/>
  <c r="AK381" i="263"/>
  <c r="AK382" i="263"/>
  <c r="AK383" i="263"/>
  <c r="AK384" i="263"/>
  <c r="AK385" i="263"/>
  <c r="AK386" i="263"/>
  <c r="AK387" i="263"/>
  <c r="AK388" i="263"/>
  <c r="AK389" i="263"/>
  <c r="AK390" i="263"/>
  <c r="AK391" i="263"/>
  <c r="AK392" i="263"/>
  <c r="AK393" i="263"/>
  <c r="AK394" i="263"/>
  <c r="AK395" i="263"/>
  <c r="AK396" i="263"/>
  <c r="AK397" i="263"/>
  <c r="AK398" i="263"/>
  <c r="AK399" i="263"/>
  <c r="AK400" i="263"/>
  <c r="AK401" i="263"/>
  <c r="AK402" i="263"/>
  <c r="AK403" i="263"/>
  <c r="AK404" i="263"/>
  <c r="AK405" i="263"/>
  <c r="AK406" i="263"/>
  <c r="AK407" i="263"/>
  <c r="AK408" i="263"/>
  <c r="AK409" i="263"/>
  <c r="AK410" i="263"/>
  <c r="AK411" i="263"/>
  <c r="AK412" i="263"/>
  <c r="AK413" i="263"/>
  <c r="AK414" i="263"/>
  <c r="AK415" i="263"/>
  <c r="AK416" i="263"/>
  <c r="AK417" i="263"/>
  <c r="AK418" i="263"/>
  <c r="AK419" i="263"/>
  <c r="AK420" i="263"/>
  <c r="AK421" i="263"/>
  <c r="AK422" i="263"/>
  <c r="AK423" i="263"/>
  <c r="AK424" i="263"/>
  <c r="AK425" i="263"/>
  <c r="AK426" i="263"/>
  <c r="AK427" i="263"/>
  <c r="AK428" i="263"/>
  <c r="AK429" i="263"/>
  <c r="AK430" i="263"/>
  <c r="AK431" i="263"/>
  <c r="AK432" i="263"/>
  <c r="AK433" i="263"/>
  <c r="AK434" i="263"/>
  <c r="AK435" i="263"/>
  <c r="AK436" i="263"/>
  <c r="AK437" i="263"/>
  <c r="AK438" i="263"/>
  <c r="AK439" i="263"/>
  <c r="AK440" i="263"/>
  <c r="AK441" i="263"/>
  <c r="AK442" i="263"/>
  <c r="AK443" i="263"/>
  <c r="AK444" i="263"/>
  <c r="AK445" i="263"/>
  <c r="AK446" i="263"/>
  <c r="AK447" i="263"/>
  <c r="AK448" i="263"/>
  <c r="AK449" i="263"/>
  <c r="AK450" i="263"/>
  <c r="AK451" i="263"/>
  <c r="AK452" i="263"/>
  <c r="AK453" i="263"/>
  <c r="AK454" i="263"/>
  <c r="AK455" i="263"/>
  <c r="AK456" i="263"/>
  <c r="AK457" i="263"/>
  <c r="AK458" i="263"/>
  <c r="AK459" i="263"/>
  <c r="AK460" i="263"/>
  <c r="AK461" i="263"/>
  <c r="AK462" i="263"/>
  <c r="AK463" i="263"/>
  <c r="AK464" i="263"/>
  <c r="AK465" i="263"/>
  <c r="AK466" i="263"/>
  <c r="AK467" i="263"/>
  <c r="AK468" i="263"/>
  <c r="AK469" i="263"/>
  <c r="AK470" i="263"/>
  <c r="AK471" i="263"/>
  <c r="AK472" i="263"/>
  <c r="AK473" i="263"/>
  <c r="AK474" i="263"/>
  <c r="AK475" i="263"/>
  <c r="AK476" i="263"/>
  <c r="AK477" i="263"/>
  <c r="AK478" i="263"/>
  <c r="AK479" i="263"/>
  <c r="AK480" i="263"/>
  <c r="AK481" i="263"/>
  <c r="AK482" i="263"/>
  <c r="AK483" i="263"/>
  <c r="AK484" i="263"/>
  <c r="AK485" i="263"/>
  <c r="AK486" i="263"/>
  <c r="AK487" i="263"/>
  <c r="AK488" i="263"/>
  <c r="AK489" i="263"/>
  <c r="AK490" i="263"/>
  <c r="AK491" i="263"/>
  <c r="AK492" i="263"/>
  <c r="AK493" i="263"/>
  <c r="AK494" i="263"/>
  <c r="AK495" i="263"/>
  <c r="AK496" i="263"/>
  <c r="AK497" i="263"/>
  <c r="AK498" i="263"/>
  <c r="AK499" i="263"/>
  <c r="AK500" i="263"/>
  <c r="AK501" i="263"/>
  <c r="AK502" i="263"/>
  <c r="AK503" i="263"/>
  <c r="AK504" i="263"/>
  <c r="AK505" i="263"/>
  <c r="AK506" i="263"/>
  <c r="AK507" i="263"/>
  <c r="AK508" i="263"/>
  <c r="AK509" i="263"/>
  <c r="AK510" i="263"/>
  <c r="AK511" i="263"/>
  <c r="AK512" i="263"/>
  <c r="AK513" i="263"/>
  <c r="AK514" i="263"/>
  <c r="AK515" i="263"/>
  <c r="AK516" i="263"/>
  <c r="AK517" i="263"/>
  <c r="AK518" i="263"/>
  <c r="AK519" i="263"/>
  <c r="AK520" i="263"/>
  <c r="AK521" i="263"/>
  <c r="AK522" i="263"/>
  <c r="AK523" i="263"/>
  <c r="AK524" i="263"/>
  <c r="AK525" i="263"/>
  <c r="AK526" i="263"/>
  <c r="AK527" i="263"/>
  <c r="AK528" i="263"/>
  <c r="AK529" i="263"/>
  <c r="AK530" i="263"/>
  <c r="AK531" i="263"/>
  <c r="AK532" i="263"/>
  <c r="AK533" i="263"/>
  <c r="AK534" i="263"/>
  <c r="AK535" i="263"/>
  <c r="AK536" i="263"/>
  <c r="AK537" i="263"/>
  <c r="AK538" i="263"/>
  <c r="AK539" i="263"/>
  <c r="AK540" i="263"/>
  <c r="AK541" i="263"/>
  <c r="AK542" i="263"/>
  <c r="AK543" i="263"/>
  <c r="AK544" i="263"/>
  <c r="AK545" i="263"/>
  <c r="AK546" i="263"/>
  <c r="AK547" i="263"/>
  <c r="AK548" i="263"/>
  <c r="AK549" i="263"/>
  <c r="AK550" i="263"/>
  <c r="AK551" i="263"/>
  <c r="AK552" i="263"/>
  <c r="AK553" i="263"/>
  <c r="AK554" i="263"/>
  <c r="AK555" i="263"/>
  <c r="AK556" i="263"/>
  <c r="AK557" i="263"/>
  <c r="AK558" i="263"/>
  <c r="AK559" i="263"/>
  <c r="AK560" i="263"/>
  <c r="AK561" i="263"/>
  <c r="AK562" i="263"/>
  <c r="AK563" i="263"/>
  <c r="AK564" i="263"/>
  <c r="AK565" i="263"/>
  <c r="AK566" i="263"/>
  <c r="AK567" i="263"/>
  <c r="AK568" i="263"/>
  <c r="AK569" i="263"/>
  <c r="AK570" i="263"/>
  <c r="AK571" i="263"/>
  <c r="AK572" i="263"/>
  <c r="AK573" i="263"/>
  <c r="AK574" i="263"/>
  <c r="AK575" i="263"/>
  <c r="AK576" i="263"/>
  <c r="AK577" i="263"/>
  <c r="AK578" i="263"/>
  <c r="AK579" i="263"/>
  <c r="AK580" i="263"/>
  <c r="AK581" i="263"/>
  <c r="AK582" i="263"/>
  <c r="AK583" i="263"/>
  <c r="AK584" i="263"/>
  <c r="AK585" i="263"/>
  <c r="AK586" i="263"/>
  <c r="AK587" i="263"/>
  <c r="AK588" i="263"/>
  <c r="AK589" i="263"/>
  <c r="AK590" i="263"/>
  <c r="AK591" i="263"/>
  <c r="AK592" i="263"/>
  <c r="AK593" i="263"/>
  <c r="AK594" i="263"/>
  <c r="AK595" i="263"/>
  <c r="AK596" i="263"/>
  <c r="AK597" i="263"/>
  <c r="AK598" i="263"/>
  <c r="AK599" i="263"/>
  <c r="AK600" i="263"/>
  <c r="AK601" i="263"/>
  <c r="AK602" i="263"/>
  <c r="AK603" i="263"/>
  <c r="AK604" i="263"/>
  <c r="AK605" i="263"/>
  <c r="AK606" i="263"/>
  <c r="AK607" i="263"/>
  <c r="AK608" i="263"/>
  <c r="AK609" i="263"/>
  <c r="AK610" i="263"/>
  <c r="AK611" i="263"/>
  <c r="AK612" i="263"/>
  <c r="AK613" i="263"/>
  <c r="AK614" i="263"/>
  <c r="AK615" i="263"/>
  <c r="AK616" i="263"/>
  <c r="AK617" i="263"/>
  <c r="AK618" i="263"/>
  <c r="AK619" i="263"/>
  <c r="AK620" i="263"/>
  <c r="AK621" i="263"/>
  <c r="AK622" i="263"/>
  <c r="AK623" i="263"/>
  <c r="AK624" i="263"/>
  <c r="AK625" i="263"/>
  <c r="AK626" i="263"/>
  <c r="AK627" i="263"/>
  <c r="AK628" i="263"/>
  <c r="AK629" i="263"/>
  <c r="AK630" i="263"/>
  <c r="AK631" i="263"/>
  <c r="AK632" i="263"/>
  <c r="AK633" i="263"/>
  <c r="AK634" i="263"/>
  <c r="AK635" i="263"/>
  <c r="AK636" i="263"/>
  <c r="AK637" i="263"/>
  <c r="AK638" i="263"/>
  <c r="AK639" i="263"/>
  <c r="AK640" i="263"/>
  <c r="AK641" i="263"/>
  <c r="AK642" i="263"/>
  <c r="AK643" i="263"/>
  <c r="AK644" i="263"/>
  <c r="AK645" i="263"/>
  <c r="AK646" i="263"/>
  <c r="AK647" i="263"/>
  <c r="AK648" i="263"/>
  <c r="AK649" i="263"/>
  <c r="AK650" i="263"/>
  <c r="AK651" i="263"/>
  <c r="AK652" i="263"/>
  <c r="AK653" i="263"/>
  <c r="AK654" i="263"/>
  <c r="AK655" i="263"/>
  <c r="AK656" i="263"/>
  <c r="AK657" i="263"/>
  <c r="AK658" i="263"/>
  <c r="AK659" i="263"/>
  <c r="AK660" i="263"/>
  <c r="AK661" i="263"/>
  <c r="AK662" i="263"/>
  <c r="AK663" i="263"/>
  <c r="AK664" i="263"/>
  <c r="AK665" i="263"/>
  <c r="AK666" i="263"/>
  <c r="AK667" i="263"/>
  <c r="AK668" i="263"/>
  <c r="AK669" i="263"/>
  <c r="AK670" i="263"/>
  <c r="AK671" i="263"/>
  <c r="AK672" i="263"/>
  <c r="AK673" i="263"/>
  <c r="AK674" i="263"/>
  <c r="AK675" i="263"/>
  <c r="AK676" i="263"/>
  <c r="AK677" i="263"/>
  <c r="AK678" i="263"/>
  <c r="AK679" i="263"/>
  <c r="AK680" i="263"/>
  <c r="AK681" i="263"/>
  <c r="AK682" i="263"/>
  <c r="AK683" i="263"/>
  <c r="AK684" i="263"/>
  <c r="AK685" i="263"/>
  <c r="AK686" i="263"/>
  <c r="AK687" i="263"/>
  <c r="AK688" i="263"/>
  <c r="AK689" i="263"/>
  <c r="AK690" i="263"/>
  <c r="AK691" i="263"/>
  <c r="AK692" i="263"/>
  <c r="AK693" i="263"/>
  <c r="AK694" i="263"/>
  <c r="AK695" i="263"/>
  <c r="AK696" i="263"/>
  <c r="AK697" i="263"/>
  <c r="AK698" i="263"/>
  <c r="AK699" i="263"/>
  <c r="AK700" i="263"/>
  <c r="AK701" i="263"/>
  <c r="AK702" i="263"/>
  <c r="AK703" i="263"/>
  <c r="AK704" i="263"/>
  <c r="AK705" i="263"/>
  <c r="AK706" i="263"/>
  <c r="AK707" i="263"/>
  <c r="AK708" i="263"/>
  <c r="AK709" i="263"/>
  <c r="AK710" i="263"/>
  <c r="AK711" i="263"/>
  <c r="AK712" i="263"/>
  <c r="AK713" i="263"/>
  <c r="AK714" i="263"/>
  <c r="AK715" i="263"/>
  <c r="AK716" i="263"/>
  <c r="AK717" i="263"/>
  <c r="AK718" i="263"/>
  <c r="AK719" i="263"/>
  <c r="AK720" i="263"/>
  <c r="AK721" i="263"/>
  <c r="AK722" i="263"/>
  <c r="AK723" i="263"/>
  <c r="AK724" i="263"/>
  <c r="AK725" i="263"/>
  <c r="AK726" i="263"/>
  <c r="AK727" i="263"/>
  <c r="AK728" i="263"/>
  <c r="AK729" i="263"/>
  <c r="AK730" i="263"/>
  <c r="AK731" i="263"/>
  <c r="AK732" i="263"/>
  <c r="AK733" i="263"/>
  <c r="AK734" i="263"/>
  <c r="AK735" i="263"/>
  <c r="AK736" i="263"/>
  <c r="AK737" i="263"/>
  <c r="AK738" i="263"/>
  <c r="AK739" i="263"/>
  <c r="AK740" i="263"/>
  <c r="AK741" i="263"/>
  <c r="AK742" i="263"/>
  <c r="AK743" i="263"/>
  <c r="AK744" i="263"/>
  <c r="AK745" i="263"/>
  <c r="AK746" i="263"/>
  <c r="AK747" i="263"/>
  <c r="AK748" i="263"/>
  <c r="AK749" i="263"/>
  <c r="AK750" i="263"/>
  <c r="AK751" i="263"/>
  <c r="AK752" i="263"/>
  <c r="AK753" i="263"/>
  <c r="AK754" i="263"/>
  <c r="AK755" i="263"/>
  <c r="AK756" i="263"/>
  <c r="AK757" i="263"/>
  <c r="AK758" i="263"/>
  <c r="AK759" i="263"/>
  <c r="AK760" i="263"/>
  <c r="AK761" i="263"/>
  <c r="AK762" i="263"/>
  <c r="AK763" i="263"/>
  <c r="AK764" i="263"/>
  <c r="AK765" i="263"/>
  <c r="AK766" i="263"/>
  <c r="AK767" i="263"/>
  <c r="AK768" i="263"/>
  <c r="AK769" i="263"/>
  <c r="AK770" i="263"/>
  <c r="AK771" i="263"/>
  <c r="AK772" i="263"/>
  <c r="AK773" i="263"/>
  <c r="AK774" i="263"/>
  <c r="AK775" i="263"/>
  <c r="AK776" i="263"/>
  <c r="AK777" i="263"/>
  <c r="AK778" i="263"/>
  <c r="AK779" i="263"/>
  <c r="AK780" i="263"/>
  <c r="AK781" i="263"/>
  <c r="AK782" i="263"/>
  <c r="AK783" i="263"/>
  <c r="AK784" i="263"/>
  <c r="AK785" i="263"/>
  <c r="AK786" i="263"/>
  <c r="AK787" i="263"/>
  <c r="AK788" i="263"/>
  <c r="AK789" i="263"/>
  <c r="AK790" i="263"/>
  <c r="AK791" i="263"/>
  <c r="AK792" i="263"/>
  <c r="AK793" i="263"/>
  <c r="AK794" i="263"/>
  <c r="AK795" i="263"/>
  <c r="AK796" i="263"/>
  <c r="AK797" i="263"/>
  <c r="AK798" i="263"/>
  <c r="AK799" i="263"/>
  <c r="AK800" i="263"/>
  <c r="AK801" i="263"/>
  <c r="AK802" i="263"/>
  <c r="AK803" i="263"/>
  <c r="AK804" i="263"/>
  <c r="AK805" i="263"/>
  <c r="AK806" i="263"/>
  <c r="AK807" i="263"/>
  <c r="AK808" i="263"/>
  <c r="AK809" i="263"/>
  <c r="AK810" i="263"/>
  <c r="AK811" i="263"/>
  <c r="AK812" i="263"/>
  <c r="AK813" i="263"/>
  <c r="AK814" i="263"/>
  <c r="AK815" i="263"/>
  <c r="AK816" i="263"/>
  <c r="AK817" i="263"/>
  <c r="AK818" i="263"/>
  <c r="AK819" i="263"/>
  <c r="AK820" i="263"/>
  <c r="AK821" i="263"/>
  <c r="AK822" i="263"/>
  <c r="AK823" i="263"/>
  <c r="AK824" i="263"/>
  <c r="AK825" i="263"/>
  <c r="AK826" i="263"/>
  <c r="AK827" i="263"/>
  <c r="AK828" i="263"/>
  <c r="AK829" i="263"/>
  <c r="AK830" i="263"/>
  <c r="AK831" i="263"/>
  <c r="AK832" i="263"/>
  <c r="AK833" i="263"/>
  <c r="AK834" i="263"/>
  <c r="AK835" i="263"/>
  <c r="AK836" i="263"/>
  <c r="AK837" i="263"/>
  <c r="AK838" i="263"/>
  <c r="AK839" i="263"/>
  <c r="AK840" i="263"/>
  <c r="AK841" i="263"/>
  <c r="AK842" i="263"/>
  <c r="AK843" i="263"/>
  <c r="AK844" i="263"/>
  <c r="AK845" i="263"/>
  <c r="AK846" i="263"/>
  <c r="AK847" i="263"/>
  <c r="AK848" i="263"/>
  <c r="AK849" i="263"/>
  <c r="AK850" i="263"/>
  <c r="AK851" i="263"/>
  <c r="AK852" i="263"/>
  <c r="AK853" i="263"/>
  <c r="AK854" i="263"/>
  <c r="AK855" i="263"/>
  <c r="AK856" i="263"/>
  <c r="AK857" i="263"/>
  <c r="AK858" i="263"/>
  <c r="AK859" i="263"/>
  <c r="AK860" i="263"/>
  <c r="AK861" i="263"/>
  <c r="AK862" i="263"/>
  <c r="AK863" i="263"/>
  <c r="AK864" i="263"/>
  <c r="AK865" i="263"/>
  <c r="AK866" i="263"/>
  <c r="AK867" i="263"/>
  <c r="AK868" i="263"/>
  <c r="AK869" i="263"/>
  <c r="AK870" i="263"/>
  <c r="AK871" i="263"/>
  <c r="AK872" i="263"/>
  <c r="AK873" i="263"/>
  <c r="AK874" i="263"/>
  <c r="AK875" i="263"/>
  <c r="AK876" i="263"/>
  <c r="AK877" i="263"/>
  <c r="AK878" i="263"/>
  <c r="AK879" i="263"/>
  <c r="AK880" i="263"/>
  <c r="AK881" i="263"/>
  <c r="AK882" i="263"/>
  <c r="AK883" i="263"/>
  <c r="AK884" i="263"/>
  <c r="AK885" i="263"/>
  <c r="AK886" i="263"/>
  <c r="AK887" i="263"/>
  <c r="AK888" i="263"/>
  <c r="AK889" i="263"/>
  <c r="AK890" i="263"/>
  <c r="AK891" i="263"/>
  <c r="AK892" i="263"/>
  <c r="AK893" i="263"/>
  <c r="AK894" i="263"/>
  <c r="AK895" i="263"/>
  <c r="AK896" i="263"/>
  <c r="AK897" i="263"/>
  <c r="AK898" i="263"/>
  <c r="AK899" i="263"/>
  <c r="AK900" i="263"/>
  <c r="AK901" i="263"/>
  <c r="AK902" i="263"/>
  <c r="AK903" i="263"/>
  <c r="AK904" i="263"/>
  <c r="AK905" i="263"/>
  <c r="AK906" i="263"/>
  <c r="AK907" i="263"/>
  <c r="AK908" i="263"/>
  <c r="AK909" i="263"/>
  <c r="AK910" i="263"/>
  <c r="AK911" i="263"/>
  <c r="AK912" i="263"/>
  <c r="AK913" i="263"/>
  <c r="AK914" i="263"/>
  <c r="AK915" i="263"/>
  <c r="AK916" i="263"/>
  <c r="AK917" i="263"/>
  <c r="AK918" i="263"/>
  <c r="AK919" i="263"/>
  <c r="AK920" i="263"/>
  <c r="AK921" i="263"/>
  <c r="AK922" i="263"/>
  <c r="AK923" i="263"/>
  <c r="AK924" i="263"/>
  <c r="AK925" i="263"/>
  <c r="AK926" i="263"/>
  <c r="AK927" i="263"/>
  <c r="AK928" i="263"/>
  <c r="AK929" i="263"/>
  <c r="AK930" i="263"/>
  <c r="AK931" i="263"/>
  <c r="AK932" i="263"/>
  <c r="AK933" i="263"/>
  <c r="AK934" i="263"/>
  <c r="AK935" i="263"/>
  <c r="AK936" i="263"/>
  <c r="AK937" i="263"/>
  <c r="AK938" i="263"/>
  <c r="AK939" i="263"/>
  <c r="AK940" i="263"/>
  <c r="AK941" i="263"/>
  <c r="AK942" i="263"/>
  <c r="AK943" i="263"/>
  <c r="AK944" i="263"/>
  <c r="AK945" i="263"/>
  <c r="AK946" i="263"/>
  <c r="AK947" i="263"/>
  <c r="AK948" i="263"/>
  <c r="AK949" i="263"/>
  <c r="AK950" i="263"/>
  <c r="AK951" i="263"/>
  <c r="AK952" i="263"/>
  <c r="AK953" i="263"/>
  <c r="AK954" i="263"/>
  <c r="AK955" i="263"/>
  <c r="AK956" i="263"/>
  <c r="AK957" i="263"/>
  <c r="AK958" i="263"/>
  <c r="AK959" i="263"/>
  <c r="AK960" i="263"/>
  <c r="AK961" i="263"/>
  <c r="AK962" i="263"/>
  <c r="AK963" i="263"/>
  <c r="AK964" i="263"/>
  <c r="AK965" i="263"/>
  <c r="AK966" i="263"/>
  <c r="AK967" i="263"/>
  <c r="AK968" i="263"/>
  <c r="AK969" i="263"/>
  <c r="AK970" i="263"/>
  <c r="AK971" i="263"/>
  <c r="AK972" i="263"/>
  <c r="AK973" i="263"/>
  <c r="AK974" i="263"/>
  <c r="AK975" i="263"/>
  <c r="AK976" i="263"/>
  <c r="AK977" i="263"/>
  <c r="AK978" i="263"/>
  <c r="AK979" i="263"/>
  <c r="AK980" i="263"/>
  <c r="AK981" i="263"/>
  <c r="AK982" i="263"/>
  <c r="AK983" i="263"/>
  <c r="AK984" i="263"/>
  <c r="AK985" i="263"/>
  <c r="AK986" i="263"/>
  <c r="AK987" i="263"/>
  <c r="AK988" i="263"/>
  <c r="AK989" i="263"/>
  <c r="AK990" i="263"/>
  <c r="AK991" i="263"/>
  <c r="AK992" i="263"/>
  <c r="AK993" i="263"/>
  <c r="AK994" i="263"/>
  <c r="AK995" i="263"/>
  <c r="AK996" i="263"/>
  <c r="AK997" i="263"/>
  <c r="AK998" i="263"/>
  <c r="AK999" i="263"/>
  <c r="AK1000" i="263"/>
  <c r="AK1001" i="263"/>
  <c r="AK1002" i="263"/>
  <c r="AK1003" i="263"/>
  <c r="AK1004" i="263"/>
  <c r="AK1005" i="263"/>
  <c r="AK1006" i="263"/>
  <c r="AK1007" i="263"/>
  <c r="AK1008" i="263"/>
  <c r="AK1009" i="263"/>
  <c r="AK1010" i="263"/>
  <c r="AK1011" i="263"/>
  <c r="AK1012" i="263"/>
  <c r="AK1013" i="263"/>
  <c r="AK1014" i="263"/>
  <c r="AK1015" i="263"/>
  <c r="AK1016" i="263"/>
  <c r="AK1017" i="263"/>
  <c r="AK1018" i="263"/>
  <c r="AK1019" i="263"/>
  <c r="AK1020" i="263"/>
  <c r="AK1021" i="263"/>
  <c r="AK1022" i="263"/>
  <c r="AK1023" i="263"/>
  <c r="AK1024" i="263"/>
  <c r="AK1025" i="263"/>
  <c r="AK1026" i="263"/>
  <c r="AK1027" i="263"/>
  <c r="AK1028" i="263"/>
  <c r="AK1029" i="263"/>
  <c r="AK1030" i="263"/>
  <c r="AK1031" i="263"/>
  <c r="AK1032" i="263"/>
  <c r="AK1033" i="263"/>
  <c r="AK1034" i="263"/>
  <c r="AK1035" i="263"/>
  <c r="AK1036" i="263"/>
  <c r="AK1037" i="263"/>
  <c r="AK1038" i="263"/>
  <c r="AK1039" i="263"/>
  <c r="AK1040" i="263"/>
  <c r="AK1041" i="263"/>
  <c r="AK1042" i="263"/>
  <c r="AK1043" i="263"/>
  <c r="AK1044" i="263"/>
  <c r="AK1045" i="263"/>
  <c r="AK1046" i="263"/>
  <c r="AK1047" i="263"/>
  <c r="AK1048" i="263"/>
  <c r="AK1049" i="263"/>
  <c r="AK1050" i="263"/>
  <c r="AK1051" i="263"/>
  <c r="AK1052" i="263"/>
  <c r="AK1053" i="263"/>
  <c r="AK1054" i="263"/>
  <c r="AK1055" i="263"/>
  <c r="AK1056" i="263"/>
  <c r="AK1057" i="263"/>
  <c r="AK1058" i="263"/>
  <c r="AK1059" i="263"/>
  <c r="AK1060" i="263"/>
  <c r="AK1061" i="263"/>
  <c r="AK1062" i="263"/>
  <c r="AK1063" i="263"/>
  <c r="AK1064" i="263"/>
  <c r="AK1065" i="263"/>
  <c r="AK1066" i="263"/>
  <c r="AK1067" i="263"/>
  <c r="AK1068" i="263"/>
  <c r="AK1069" i="263"/>
  <c r="AK1070" i="263"/>
  <c r="AK1071" i="263"/>
  <c r="AK1072" i="263"/>
  <c r="AK1073" i="263"/>
  <c r="AK1074" i="263"/>
  <c r="AK1075" i="263"/>
  <c r="AK1076" i="263"/>
  <c r="AK1077" i="263"/>
  <c r="AK1078" i="263"/>
  <c r="AK1079" i="263"/>
  <c r="AK1080" i="263"/>
  <c r="AK1081" i="263"/>
  <c r="AK1082" i="263"/>
  <c r="AK1083" i="263"/>
  <c r="AK1084" i="263"/>
  <c r="AK1085" i="263"/>
  <c r="AK1086" i="263"/>
  <c r="AK1087" i="263"/>
  <c r="AK1088" i="263"/>
  <c r="AK1089" i="263"/>
  <c r="AK1090" i="263"/>
  <c r="AK1091" i="263"/>
  <c r="AK1092" i="263"/>
  <c r="AK1093" i="263"/>
  <c r="AK1094" i="263"/>
  <c r="AK1095" i="263"/>
  <c r="AK1096" i="263"/>
  <c r="AK1097" i="263"/>
  <c r="AK1098" i="263"/>
  <c r="AK1099" i="263"/>
  <c r="AK1100" i="263"/>
  <c r="AK1101" i="263"/>
  <c r="AK1102" i="263"/>
  <c r="AK1103" i="263"/>
  <c r="AK1104" i="263"/>
  <c r="AK1105" i="263"/>
  <c r="AK1106" i="263"/>
  <c r="AK1107" i="263"/>
  <c r="AK1108" i="263"/>
  <c r="AK1109" i="263"/>
  <c r="AK1110" i="263"/>
  <c r="AK1111" i="263"/>
  <c r="AK1112" i="263"/>
  <c r="AK1113" i="263"/>
  <c r="AK1114" i="263"/>
  <c r="AK1115" i="263"/>
  <c r="AK1116" i="263"/>
  <c r="AK1117" i="263"/>
  <c r="AK1118" i="263"/>
  <c r="AK1119" i="263"/>
  <c r="AK1120" i="263"/>
  <c r="AK1121" i="263"/>
  <c r="AK1122" i="263"/>
  <c r="AK1123" i="263"/>
  <c r="AK1124" i="263"/>
  <c r="AK1125" i="263"/>
  <c r="AK1126" i="263"/>
  <c r="AK1127" i="263"/>
  <c r="AK1128" i="263"/>
  <c r="AK1129" i="263"/>
  <c r="AK1130" i="263"/>
  <c r="AK1131" i="263"/>
  <c r="AK1132" i="263"/>
  <c r="AK1133" i="263"/>
  <c r="AK1134" i="263"/>
  <c r="AK1135" i="263"/>
  <c r="AK1136" i="263"/>
  <c r="AK1137" i="263"/>
  <c r="AK1138" i="263"/>
  <c r="AK1139" i="263"/>
  <c r="AK1140" i="263"/>
  <c r="AK1141" i="263"/>
  <c r="AK1142" i="263"/>
  <c r="AK1143" i="263"/>
  <c r="AK1144" i="263"/>
  <c r="AK1145" i="263"/>
  <c r="AK1146" i="263"/>
  <c r="AK1147" i="263"/>
  <c r="AK1148" i="263"/>
  <c r="AK1149" i="263"/>
  <c r="AK1150" i="263"/>
  <c r="AK1151" i="263"/>
  <c r="AK1152" i="263"/>
  <c r="AK1153" i="263"/>
  <c r="AK1154" i="263"/>
  <c r="AK1155" i="263"/>
  <c r="AK1156" i="263"/>
  <c r="AK1157" i="263"/>
  <c r="AK1158" i="263"/>
  <c r="AK1159" i="263"/>
  <c r="AK1160" i="263"/>
  <c r="AK1161" i="263"/>
  <c r="AK1162" i="263"/>
  <c r="AK1163" i="263"/>
  <c r="AK1164" i="263"/>
  <c r="AK1165" i="263"/>
  <c r="AK1166" i="263"/>
  <c r="AK1167" i="263"/>
  <c r="AK1168" i="263"/>
  <c r="AK1169" i="263"/>
  <c r="AK1170" i="263"/>
  <c r="AK1171" i="263"/>
  <c r="AK1172" i="263"/>
  <c r="AK1173" i="263"/>
  <c r="AK1174" i="263"/>
  <c r="AK1175" i="263"/>
  <c r="AK1176" i="263"/>
  <c r="AK1177" i="263"/>
  <c r="AK1178" i="263"/>
  <c r="AK1179" i="263"/>
  <c r="AK1180" i="263"/>
  <c r="AK1181" i="263"/>
  <c r="AK1182" i="263"/>
  <c r="AK1183" i="263"/>
  <c r="AK1184" i="263"/>
  <c r="AK1185" i="263"/>
  <c r="AK1186" i="263"/>
  <c r="AK1187" i="263"/>
  <c r="AK1188" i="263"/>
  <c r="AK1189" i="263"/>
  <c r="AK1190" i="263"/>
  <c r="AK1191" i="263"/>
  <c r="AK1192" i="263"/>
  <c r="AK1193" i="263"/>
  <c r="AK1194" i="263"/>
  <c r="AK1195" i="263"/>
  <c r="AK1196" i="263"/>
  <c r="AK1197" i="263"/>
  <c r="AK1198" i="263"/>
  <c r="AK1199" i="263"/>
  <c r="AK1200" i="263"/>
  <c r="AK1201" i="263"/>
  <c r="AK1202" i="263"/>
  <c r="AK1203" i="263"/>
  <c r="AK1204" i="263"/>
  <c r="AK1205" i="263"/>
  <c r="AK1206" i="263"/>
  <c r="AK1207" i="263"/>
  <c r="AK1208" i="263"/>
  <c r="AK1209" i="263"/>
  <c r="AK1210" i="263"/>
  <c r="AK1211" i="263"/>
  <c r="AK1212" i="263"/>
  <c r="AK1213" i="263"/>
  <c r="AK1214" i="263"/>
  <c r="AK1215" i="263"/>
  <c r="AK1216" i="263"/>
  <c r="AK1217" i="263"/>
  <c r="AK1218" i="263"/>
  <c r="AK1219" i="263"/>
  <c r="AK1220" i="263"/>
  <c r="AK1221" i="263"/>
  <c r="AK1222" i="263"/>
  <c r="AK1223" i="263"/>
  <c r="AK1224" i="263"/>
  <c r="AK1225" i="263"/>
  <c r="AK1226" i="263"/>
  <c r="AK1227" i="263"/>
  <c r="AK1228" i="263"/>
  <c r="AK1229" i="263"/>
  <c r="AK1230" i="263"/>
  <c r="AK1231" i="263"/>
  <c r="AK1232" i="263"/>
  <c r="AK1233" i="263"/>
  <c r="AK1234" i="263"/>
  <c r="AK1235" i="263"/>
  <c r="AK1236" i="263"/>
  <c r="AK1237" i="263"/>
  <c r="AK1238" i="263"/>
  <c r="AK1239" i="263"/>
  <c r="AK1240" i="263"/>
  <c r="AK1241" i="263"/>
  <c r="AK1242" i="263"/>
  <c r="AK1243" i="263"/>
  <c r="AK1244" i="263"/>
  <c r="AK1245" i="263"/>
  <c r="AK1246" i="263"/>
  <c r="AK1247" i="263"/>
  <c r="AK1248" i="263"/>
  <c r="AK1249" i="263"/>
  <c r="AK1250" i="263"/>
  <c r="AK1251" i="263"/>
  <c r="AK1252" i="263"/>
  <c r="AK1253" i="263"/>
  <c r="AK1254" i="263"/>
  <c r="AK1255" i="263"/>
  <c r="AK1256" i="263"/>
  <c r="AK1257" i="263"/>
  <c r="AK1258" i="263"/>
  <c r="AK1259" i="263"/>
  <c r="AK1260" i="263"/>
  <c r="AK1261" i="263"/>
  <c r="AK1262" i="263"/>
  <c r="AK1263" i="263"/>
  <c r="AK1264" i="263"/>
  <c r="AK1265" i="263"/>
  <c r="AK1266" i="263"/>
  <c r="AK1267" i="263"/>
  <c r="AK1268" i="263"/>
  <c r="AK1269" i="263"/>
  <c r="AK1270" i="263"/>
  <c r="AK1271" i="263"/>
  <c r="AK1272" i="263"/>
  <c r="AK1273" i="263"/>
  <c r="AK1274" i="263"/>
  <c r="AK1275" i="263"/>
  <c r="AK1276" i="263"/>
  <c r="AK1277" i="263"/>
  <c r="AK1278" i="263"/>
  <c r="AK1279" i="263"/>
  <c r="AK1280" i="263"/>
  <c r="AK1281" i="263"/>
  <c r="AK1282" i="263"/>
  <c r="AK1283" i="263"/>
  <c r="AK1284" i="263"/>
  <c r="AK1285" i="263"/>
  <c r="AK1286" i="263"/>
  <c r="AK1287" i="263"/>
  <c r="AK1288" i="263"/>
  <c r="AK1289" i="263"/>
  <c r="AK1290" i="263"/>
  <c r="AK1291" i="263"/>
  <c r="AK1292" i="263"/>
  <c r="AK1293" i="263"/>
  <c r="AK1294" i="263"/>
  <c r="AK1295" i="263"/>
  <c r="AK1296" i="263"/>
  <c r="AK1297" i="263"/>
  <c r="AK1298" i="263"/>
  <c r="AK1299" i="263"/>
  <c r="AK1300" i="263"/>
  <c r="AK1301" i="263"/>
  <c r="AK1302" i="263"/>
  <c r="AK1303" i="263"/>
  <c r="AK1304" i="263"/>
  <c r="AK1305" i="263"/>
  <c r="AK1306" i="263"/>
  <c r="AK1307" i="263"/>
  <c r="AK1308" i="263"/>
  <c r="AK1309" i="263"/>
  <c r="AK1310" i="263"/>
  <c r="AK1311" i="263"/>
  <c r="AK1312" i="263"/>
  <c r="AK1313" i="263"/>
  <c r="AK1314" i="263"/>
  <c r="AK1315" i="263"/>
  <c r="AK1316" i="263"/>
  <c r="AK1317" i="263"/>
  <c r="AK1318" i="263"/>
  <c r="AK1319" i="263"/>
  <c r="AK1320" i="263"/>
  <c r="AK1321" i="263"/>
  <c r="AK1322" i="263"/>
  <c r="AK1323" i="263"/>
  <c r="AK1324" i="263"/>
  <c r="AK1325" i="263"/>
  <c r="AK1326" i="263"/>
  <c r="AK1327" i="263"/>
  <c r="AK1328" i="263"/>
  <c r="AK1329" i="263"/>
  <c r="AK1330" i="263"/>
  <c r="AK1331" i="263"/>
  <c r="AK1332" i="263"/>
  <c r="AK1333" i="263"/>
  <c r="AK1334" i="263"/>
  <c r="AK1335" i="263"/>
  <c r="AK1336" i="263"/>
  <c r="AK1337" i="263"/>
  <c r="AK1338" i="263"/>
  <c r="AK1339" i="263"/>
  <c r="AK1340" i="263"/>
  <c r="AK1341" i="263"/>
  <c r="AK1342" i="263"/>
  <c r="AK1343" i="263"/>
  <c r="AK1344" i="263"/>
  <c r="AK1345" i="263"/>
  <c r="AK1346" i="263"/>
  <c r="AK1347" i="263"/>
  <c r="AK1348" i="263"/>
  <c r="AK1349" i="263"/>
  <c r="AK1350" i="263"/>
  <c r="AK1351" i="263"/>
  <c r="AK1352" i="263"/>
  <c r="AK1353" i="263"/>
  <c r="AK1354" i="263"/>
  <c r="AK1355" i="263"/>
  <c r="AK1356" i="263"/>
  <c r="AK1357" i="263"/>
  <c r="AK1358" i="263"/>
  <c r="AK1359" i="263"/>
  <c r="AK1360" i="263"/>
  <c r="AK1361" i="263"/>
  <c r="AK1362" i="263"/>
  <c r="AK1363" i="263"/>
  <c r="AK1364" i="263"/>
  <c r="AK1365" i="263"/>
  <c r="AK1366" i="263"/>
  <c r="AK1367" i="263"/>
  <c r="AK1368" i="263"/>
  <c r="AK1369" i="263"/>
  <c r="AK1370" i="263"/>
  <c r="AK1371" i="263"/>
  <c r="AK1372" i="263"/>
  <c r="AK1373" i="263"/>
  <c r="AK1374" i="263"/>
  <c r="AK1375" i="263"/>
  <c r="AK1376" i="263"/>
  <c r="AK1377" i="263"/>
  <c r="AK1378" i="263"/>
  <c r="AK1379" i="263"/>
  <c r="AK1380" i="263"/>
  <c r="AK1381" i="263"/>
  <c r="AK1382" i="263"/>
  <c r="AK1383" i="263"/>
  <c r="AK1384" i="263"/>
  <c r="AK1385" i="263"/>
  <c r="AK1386" i="263"/>
  <c r="AK1387" i="263"/>
  <c r="AK1388" i="263"/>
  <c r="AK1389" i="263"/>
  <c r="AK1390" i="263"/>
  <c r="AK1391" i="263"/>
  <c r="AK1392" i="263"/>
  <c r="AK1393" i="263"/>
  <c r="AK1394" i="263"/>
  <c r="AK1395" i="263"/>
  <c r="AK1396" i="263"/>
  <c r="AK1397" i="263"/>
  <c r="AK1398" i="263"/>
  <c r="AK1399" i="263"/>
  <c r="AK1400" i="263"/>
  <c r="AK1401" i="263"/>
  <c r="AK1402" i="263"/>
  <c r="AK1403" i="263"/>
  <c r="AK1404" i="263"/>
  <c r="AK1405" i="263"/>
  <c r="AK1406" i="263"/>
  <c r="AK1407" i="263"/>
  <c r="AK1408" i="263"/>
  <c r="AK1409" i="263"/>
  <c r="AK1410" i="263"/>
  <c r="AK1411" i="263"/>
  <c r="AK1412" i="263"/>
  <c r="AK1413" i="263"/>
  <c r="AK1414" i="263"/>
  <c r="AK1415" i="263"/>
  <c r="AK1416" i="263"/>
  <c r="AK1417" i="263"/>
  <c r="AK1418" i="263"/>
  <c r="AK1419" i="263"/>
  <c r="AK1420" i="263"/>
  <c r="AK1421" i="263"/>
  <c r="AK1422" i="263"/>
  <c r="AK1423" i="263"/>
  <c r="AK1424" i="263"/>
  <c r="AK1425" i="263"/>
  <c r="AK1426" i="263"/>
  <c r="AK1427" i="263"/>
  <c r="AK1428" i="263"/>
  <c r="AK1429" i="263"/>
  <c r="AK1430" i="263"/>
  <c r="AK1431" i="263"/>
  <c r="AK1432" i="263"/>
  <c r="AK1433" i="263"/>
  <c r="AK1434" i="263"/>
  <c r="AK1435" i="263"/>
  <c r="AK1436" i="263"/>
  <c r="AK1437" i="263"/>
  <c r="AK1438" i="263"/>
  <c r="AK1439" i="263"/>
  <c r="AK1440" i="263"/>
  <c r="AK1441" i="263"/>
  <c r="AK1442" i="263"/>
  <c r="AK1443" i="263"/>
  <c r="AK1444" i="263"/>
  <c r="AK1445" i="263"/>
  <c r="AK1446" i="263"/>
  <c r="AK1447" i="263"/>
  <c r="AK1448" i="263"/>
  <c r="AK1449" i="263"/>
  <c r="AK1450" i="263"/>
  <c r="AK1451" i="263"/>
  <c r="AK1452" i="263"/>
  <c r="AK1453" i="263"/>
  <c r="AK1454" i="263"/>
  <c r="AK1455" i="263"/>
  <c r="AK1456" i="263"/>
  <c r="AK1457" i="263"/>
  <c r="AK1458" i="263"/>
  <c r="AK1459" i="263"/>
  <c r="AK1460" i="263"/>
  <c r="AK1461" i="263"/>
  <c r="AK1462" i="263"/>
  <c r="AK1463" i="263"/>
  <c r="AK1464" i="263"/>
  <c r="AK1465" i="263"/>
  <c r="AK1466" i="263"/>
  <c r="AK1467" i="263"/>
  <c r="AK1468" i="263"/>
  <c r="AK1469" i="263"/>
  <c r="AK1470" i="263"/>
  <c r="AK1471" i="263"/>
  <c r="AK1472" i="263"/>
  <c r="AK1473" i="263"/>
  <c r="AK1474" i="263"/>
  <c r="AK1475" i="263"/>
  <c r="AK1476" i="263"/>
  <c r="AK1477" i="263"/>
  <c r="AK1478" i="263"/>
  <c r="AK1479" i="263"/>
  <c r="AK1480" i="263"/>
  <c r="AK1481" i="263"/>
  <c r="AK1482" i="263"/>
  <c r="AK1483" i="263"/>
  <c r="AK1484" i="263"/>
  <c r="AK1485" i="263"/>
  <c r="AK1486" i="263"/>
  <c r="AK1487" i="263"/>
  <c r="AK1488" i="263"/>
  <c r="AK1489" i="263"/>
  <c r="AK1490" i="263"/>
  <c r="AK1491" i="263"/>
  <c r="AK1492" i="263"/>
  <c r="AK1493" i="263"/>
  <c r="AK1494" i="263"/>
  <c r="AK1495" i="263"/>
  <c r="AK1496" i="263"/>
  <c r="AK1497" i="263"/>
  <c r="AK1498" i="263"/>
  <c r="AK1499" i="263"/>
  <c r="AK1500" i="263"/>
  <c r="AK1501" i="263"/>
  <c r="AK1502" i="263"/>
  <c r="AK1503" i="263"/>
  <c r="AK1504" i="263"/>
  <c r="AK1505" i="263"/>
  <c r="AK1506" i="263"/>
  <c r="AK1507" i="263"/>
  <c r="AK1508" i="263"/>
  <c r="AK1509" i="263"/>
  <c r="AK1510" i="263"/>
  <c r="AK1511" i="263"/>
  <c r="AK1512" i="263"/>
  <c r="AK1513" i="263"/>
  <c r="AK1514" i="263"/>
  <c r="AK1515" i="263"/>
  <c r="AK1516" i="263"/>
  <c r="AK1517" i="263"/>
  <c r="AK1518" i="263"/>
  <c r="AK1519" i="263"/>
  <c r="AK1520" i="263"/>
  <c r="AK1521" i="263"/>
  <c r="AK1522" i="263"/>
  <c r="AK1523" i="263"/>
  <c r="AK1524" i="263"/>
  <c r="AK1525" i="263"/>
  <c r="AK1526" i="263"/>
  <c r="AK1527" i="263"/>
  <c r="AK1528" i="263"/>
  <c r="AK1529" i="263"/>
  <c r="AK1530" i="263"/>
  <c r="AK1531" i="263"/>
  <c r="AK1532" i="263"/>
  <c r="AK1533" i="263"/>
  <c r="AK1534" i="263"/>
  <c r="AK1535" i="263"/>
  <c r="AK1536" i="263"/>
  <c r="AK1537" i="263"/>
  <c r="AK1538" i="263"/>
  <c r="AK1539" i="263"/>
  <c r="AK1540" i="263"/>
  <c r="AK1541" i="263"/>
  <c r="AK1542" i="263"/>
  <c r="AK1543" i="263"/>
  <c r="AK1544" i="263"/>
  <c r="AK1545" i="263"/>
  <c r="AK1546" i="263"/>
  <c r="AK1547" i="263"/>
  <c r="AK1548" i="263"/>
  <c r="AK1549" i="263"/>
  <c r="AK1550" i="263"/>
  <c r="AK1551" i="263"/>
  <c r="AK1552" i="263"/>
  <c r="AK1553" i="263"/>
  <c r="AK1554" i="263"/>
  <c r="AK1555" i="263"/>
  <c r="AK1556" i="263"/>
  <c r="AK1557" i="263"/>
  <c r="AK1558" i="263"/>
  <c r="AK1559" i="263"/>
  <c r="AK1560" i="263"/>
  <c r="AK1561" i="263"/>
  <c r="AK1562" i="263"/>
  <c r="AK1563" i="263"/>
  <c r="AK1564" i="263"/>
  <c r="AK1565" i="263"/>
  <c r="AK1566" i="263"/>
  <c r="AK1567" i="263"/>
  <c r="AK1568" i="263"/>
  <c r="AK1569" i="263"/>
  <c r="AK1570" i="263"/>
  <c r="AK1571" i="263"/>
  <c r="AK1572" i="263"/>
  <c r="AK1573" i="263"/>
  <c r="AK1574" i="263"/>
  <c r="AK1575" i="263"/>
  <c r="AK1576" i="263"/>
  <c r="AK1577" i="263"/>
  <c r="AK1578" i="263"/>
  <c r="AK1579" i="263"/>
  <c r="AK1580" i="263"/>
  <c r="AK1581" i="263"/>
  <c r="AK1582" i="263"/>
  <c r="AK1583" i="263"/>
  <c r="AK1584" i="263"/>
  <c r="AK1585" i="263"/>
  <c r="AK1586" i="263"/>
  <c r="AK1587" i="263"/>
  <c r="AK1588" i="263"/>
  <c r="AK1589" i="263"/>
  <c r="AK1590" i="263"/>
  <c r="AK1591" i="263"/>
  <c r="AK1592" i="263"/>
  <c r="AK1593" i="263"/>
  <c r="AK1594" i="263"/>
  <c r="AK1595" i="263"/>
  <c r="AK1596" i="263"/>
  <c r="AK1597" i="263"/>
  <c r="AK1598" i="263"/>
  <c r="AK1599" i="263"/>
  <c r="AK1600" i="263"/>
  <c r="AK1601" i="263"/>
  <c r="AK1602" i="263"/>
  <c r="AK1603" i="263"/>
  <c r="AK1604" i="263"/>
  <c r="AK1605" i="263"/>
  <c r="AK1606" i="263"/>
  <c r="AK1607" i="263"/>
  <c r="AK1608" i="263"/>
  <c r="AK1609" i="263"/>
  <c r="AK1610" i="263"/>
  <c r="AK1611" i="263"/>
  <c r="AK1612" i="263"/>
  <c r="AK1613" i="263"/>
  <c r="AK1614" i="263"/>
  <c r="AK1615" i="263"/>
  <c r="AK1616" i="263"/>
  <c r="AK1617" i="263"/>
  <c r="AK1618" i="263"/>
  <c r="AK1619" i="263"/>
  <c r="AK1620" i="263"/>
  <c r="AK1621" i="263"/>
  <c r="AK1622" i="263"/>
  <c r="AK1623" i="263"/>
  <c r="AK1624" i="263"/>
  <c r="AK1625" i="263"/>
  <c r="AK1626" i="263"/>
  <c r="AK1627" i="263"/>
  <c r="AK1628" i="263"/>
  <c r="AK1629" i="263"/>
  <c r="AK1630" i="263"/>
  <c r="AK1631" i="263"/>
  <c r="AK1632" i="263"/>
  <c r="AK1633" i="263"/>
  <c r="AK1634" i="263"/>
  <c r="AK1635" i="263"/>
  <c r="AK1636" i="263"/>
  <c r="AK1637" i="263"/>
  <c r="AK1638" i="263"/>
  <c r="AK1639" i="263"/>
  <c r="AK1640" i="263"/>
  <c r="AK1641" i="263"/>
  <c r="AK1642" i="263"/>
  <c r="AK1643" i="263"/>
  <c r="AK1644" i="263"/>
  <c r="AK1645" i="263"/>
  <c r="AK1646" i="263"/>
  <c r="AK1647" i="263"/>
  <c r="AK1648" i="263"/>
  <c r="AK1649" i="263"/>
  <c r="AK1650" i="263"/>
  <c r="AK1651" i="263"/>
  <c r="AK1652" i="263"/>
  <c r="AK1653" i="263"/>
  <c r="AK1654" i="263"/>
  <c r="AK1655" i="263"/>
  <c r="AK1656" i="263"/>
  <c r="AK1657" i="263"/>
  <c r="AK1658" i="263"/>
  <c r="AK1659" i="263"/>
  <c r="AK1660" i="263"/>
  <c r="AK1661" i="263"/>
  <c r="AK1662" i="263"/>
  <c r="AK1663" i="263"/>
  <c r="AK1664" i="263"/>
  <c r="AK1665" i="263"/>
  <c r="AK1666" i="263"/>
  <c r="AK1667" i="263"/>
  <c r="AK1668" i="263"/>
  <c r="AK1669" i="263"/>
  <c r="AK1670" i="263"/>
  <c r="AK1671" i="263"/>
  <c r="AK1672" i="263"/>
  <c r="AK1673" i="263"/>
  <c r="AK1674" i="263"/>
  <c r="AK1675" i="263"/>
  <c r="AK1676" i="263"/>
  <c r="AK1677" i="263"/>
  <c r="AK1678" i="263"/>
  <c r="AK1679" i="263"/>
  <c r="AK1680" i="263"/>
  <c r="AK1681" i="263"/>
  <c r="AK1682" i="263"/>
  <c r="AK1683" i="263"/>
  <c r="AK1684" i="263"/>
  <c r="AK1685" i="263"/>
  <c r="AK1686" i="263"/>
  <c r="AK1687" i="263"/>
  <c r="AK1688" i="263"/>
  <c r="AK1689" i="263"/>
  <c r="AK1690" i="263"/>
  <c r="AK1691" i="263"/>
  <c r="AK1692" i="263"/>
  <c r="AK1693" i="263"/>
  <c r="AK1694" i="263"/>
  <c r="AK1695" i="263"/>
  <c r="AK1696" i="263"/>
  <c r="AK1697" i="263"/>
  <c r="AK1698" i="263"/>
  <c r="AK1699" i="263"/>
  <c r="AK1700" i="263"/>
  <c r="AK1701" i="263"/>
  <c r="AK1702" i="263"/>
  <c r="AK1703" i="263"/>
  <c r="AK1704" i="263"/>
  <c r="AK1705" i="263"/>
  <c r="AK1706" i="263"/>
  <c r="AK1707" i="263"/>
  <c r="AK1708" i="263"/>
  <c r="AK1709" i="263"/>
  <c r="AK1710" i="263"/>
  <c r="AK1711" i="263"/>
  <c r="AK1712" i="263"/>
  <c r="AK1713" i="263"/>
  <c r="AK1714" i="263"/>
  <c r="AK1715" i="263"/>
  <c r="AK1716" i="263"/>
  <c r="AK1717" i="263"/>
  <c r="AK1718" i="263"/>
  <c r="AK1719" i="263"/>
  <c r="AK1720" i="263"/>
  <c r="AK1721" i="263"/>
  <c r="AK1722" i="263"/>
  <c r="AK1723" i="263"/>
  <c r="AK1724" i="263"/>
  <c r="AK1725" i="263"/>
  <c r="AK1726" i="263"/>
  <c r="AK1727" i="263"/>
  <c r="AK1728" i="263"/>
  <c r="AK1729" i="263"/>
  <c r="AK1730" i="263"/>
  <c r="AK1731" i="263"/>
  <c r="AK1732" i="263"/>
  <c r="AK1733" i="263"/>
  <c r="AK1734" i="263"/>
  <c r="AK1735" i="263"/>
  <c r="AK1736" i="263"/>
  <c r="AK1737" i="263"/>
  <c r="AK1738" i="263"/>
  <c r="AK1739" i="263"/>
  <c r="AK1740" i="263"/>
  <c r="AK1741" i="263"/>
  <c r="AK1742" i="263"/>
  <c r="AK1743" i="263"/>
  <c r="AK1744" i="263"/>
  <c r="AK1745" i="263"/>
  <c r="AK1746" i="263"/>
  <c r="AK1747" i="263"/>
  <c r="AK1748" i="263"/>
  <c r="AK1749" i="263"/>
  <c r="AK1750" i="263"/>
  <c r="AK1751" i="263"/>
  <c r="AK1752" i="263"/>
  <c r="AK1753" i="263"/>
  <c r="AK1754" i="263"/>
  <c r="AK1755" i="263"/>
  <c r="AK1756" i="263"/>
  <c r="AK1757" i="263"/>
  <c r="AK1758" i="263"/>
  <c r="AK1759" i="263"/>
  <c r="AK1760" i="263"/>
  <c r="AK1761" i="263"/>
  <c r="AK1762" i="263"/>
  <c r="AK1763" i="263"/>
  <c r="AK1764" i="263"/>
  <c r="AK1765" i="263"/>
  <c r="AK1766" i="263"/>
  <c r="AK1767" i="263"/>
  <c r="AK1768" i="263"/>
  <c r="AK1769" i="263"/>
  <c r="AK1770" i="263"/>
  <c r="AK1771" i="263"/>
  <c r="AK1772" i="263"/>
  <c r="AK1773" i="263"/>
  <c r="AK1774" i="263"/>
  <c r="AK1775" i="263"/>
  <c r="AK1776" i="263"/>
  <c r="AK1777" i="263"/>
  <c r="AK1778" i="263"/>
  <c r="AK1779" i="263"/>
  <c r="AK1780" i="263"/>
  <c r="AK1781" i="263"/>
  <c r="AK1782" i="263"/>
  <c r="AK1783" i="263"/>
  <c r="AK1784" i="263"/>
  <c r="AK1785" i="263"/>
  <c r="AK1786" i="263"/>
  <c r="AK1787" i="263"/>
  <c r="AK1788" i="263"/>
  <c r="AK1789" i="263"/>
  <c r="AK1790" i="263"/>
  <c r="AK1791" i="263"/>
  <c r="AK1792" i="263"/>
  <c r="AK1793" i="263"/>
  <c r="AK1794" i="263"/>
  <c r="AK1795" i="263"/>
  <c r="AK1796" i="263"/>
  <c r="AK1797" i="263"/>
  <c r="AK1798" i="263"/>
  <c r="AK1799" i="263"/>
  <c r="AK1800" i="263"/>
  <c r="AK1801" i="263"/>
  <c r="AK1802" i="263"/>
  <c r="AK1803" i="263"/>
  <c r="AK1804" i="263"/>
  <c r="AK1805" i="263"/>
  <c r="AK1806" i="263"/>
  <c r="AK1807" i="263"/>
  <c r="AK1808" i="263"/>
  <c r="AK1809" i="263"/>
  <c r="AK1810" i="263"/>
  <c r="AK1811" i="263"/>
  <c r="AK1812" i="263"/>
  <c r="AK1813" i="263"/>
  <c r="AK1814" i="263"/>
  <c r="AK1815" i="263"/>
  <c r="AK1816" i="263"/>
  <c r="AK1817" i="263"/>
  <c r="AK1818" i="263"/>
  <c r="AK1819" i="263"/>
  <c r="AK1820" i="263"/>
  <c r="AK1821" i="263"/>
  <c r="AK1822" i="263"/>
  <c r="AK1823" i="263"/>
  <c r="AK1824" i="263"/>
  <c r="AK1825" i="263"/>
  <c r="AK1826" i="263"/>
  <c r="AK1827" i="263"/>
  <c r="AK1828" i="263"/>
  <c r="AK1829" i="263"/>
  <c r="AK1830" i="263"/>
  <c r="AK1831" i="263"/>
  <c r="AK1832" i="263"/>
  <c r="AK1833" i="263"/>
  <c r="AK1834" i="263"/>
  <c r="AK1835" i="263"/>
  <c r="AK1836" i="263"/>
  <c r="AK4" i="263"/>
  <c r="AK5" i="264"/>
  <c r="AK6" i="264"/>
  <c r="AK7" i="264"/>
  <c r="AK8" i="264"/>
  <c r="AK9" i="264"/>
  <c r="AK10" i="264"/>
  <c r="AK11" i="264"/>
  <c r="AK12" i="264"/>
  <c r="AK13" i="264"/>
  <c r="AK14" i="264"/>
  <c r="AK15" i="264"/>
  <c r="AK16" i="264"/>
  <c r="AK17" i="264"/>
  <c r="AK18" i="264"/>
  <c r="AK19" i="264"/>
  <c r="AK20" i="264"/>
  <c r="AK21" i="264"/>
  <c r="AK22" i="264"/>
  <c r="AK23" i="264"/>
  <c r="AK24" i="264"/>
  <c r="AK25" i="264"/>
  <c r="AK26" i="264"/>
  <c r="AK27" i="264"/>
  <c r="AK28" i="264"/>
  <c r="AK29" i="264"/>
  <c r="AK30" i="264"/>
  <c r="AK31" i="264"/>
  <c r="AK32" i="264"/>
  <c r="AK33" i="264"/>
  <c r="AK34" i="264"/>
  <c r="AK35" i="264"/>
  <c r="AK36" i="264"/>
  <c r="AK37" i="264"/>
  <c r="AK38" i="264"/>
  <c r="AK39" i="264"/>
  <c r="AK40" i="264"/>
  <c r="AK41" i="264"/>
  <c r="AK42" i="264"/>
  <c r="AK43" i="264"/>
  <c r="AK44" i="264"/>
  <c r="AK45" i="264"/>
  <c r="AK46" i="264"/>
  <c r="AK47" i="264"/>
  <c r="AK48" i="264"/>
  <c r="AK49" i="264"/>
  <c r="AK50" i="264"/>
  <c r="AK51" i="264"/>
  <c r="AK52" i="264"/>
  <c r="AK53" i="264"/>
  <c r="AK54" i="264"/>
  <c r="AK55" i="264"/>
  <c r="AK56" i="264"/>
  <c r="AK57" i="264"/>
  <c r="AK58" i="264"/>
  <c r="AK59" i="264"/>
  <c r="AK60" i="264"/>
  <c r="AK61" i="264"/>
  <c r="AK62" i="264"/>
  <c r="AK63" i="264"/>
  <c r="AK64" i="264"/>
  <c r="AK65" i="264"/>
  <c r="AK66" i="264"/>
  <c r="AK67" i="264"/>
  <c r="AK68" i="264"/>
  <c r="AK69" i="264"/>
  <c r="AK70" i="264"/>
  <c r="AK71" i="264"/>
  <c r="AK72" i="264"/>
  <c r="AK73" i="264"/>
  <c r="AK74" i="264"/>
  <c r="AK75" i="264"/>
  <c r="AK76" i="264"/>
  <c r="AK77" i="264"/>
  <c r="AK78" i="264"/>
  <c r="AK79" i="264"/>
  <c r="AK80" i="264"/>
  <c r="AK81" i="264"/>
  <c r="AK82" i="264"/>
  <c r="AK83" i="264"/>
  <c r="AK84" i="264"/>
  <c r="AK85" i="264"/>
  <c r="AK86" i="264"/>
  <c r="AK87" i="264"/>
  <c r="AK88" i="264"/>
  <c r="AK89" i="264"/>
  <c r="AK90" i="264"/>
  <c r="AK91" i="264"/>
  <c r="AK92" i="264"/>
  <c r="AK93" i="264"/>
  <c r="AK94" i="264"/>
  <c r="AK95" i="264"/>
  <c r="AK96" i="264"/>
  <c r="AK97" i="264"/>
  <c r="AK98" i="264"/>
  <c r="AK99" i="264"/>
  <c r="AK100" i="264"/>
  <c r="AK101" i="264"/>
  <c r="AK102" i="264"/>
  <c r="AK103" i="264"/>
  <c r="AK104" i="264"/>
  <c r="AK105" i="264"/>
  <c r="AK106" i="264"/>
  <c r="AK107" i="264"/>
  <c r="AK108" i="264"/>
  <c r="AK109" i="264"/>
  <c r="AK110" i="264"/>
  <c r="AK111" i="264"/>
  <c r="AK112" i="264"/>
  <c r="AK113" i="264"/>
  <c r="AK114" i="264"/>
  <c r="AK115" i="264"/>
  <c r="AK116" i="264"/>
  <c r="AK117" i="264"/>
  <c r="AK118" i="264"/>
  <c r="AK119" i="264"/>
  <c r="AK120" i="264"/>
  <c r="AK121" i="264"/>
  <c r="AK122" i="264"/>
  <c r="AK123" i="264"/>
  <c r="AK124" i="264"/>
  <c r="AK125" i="264"/>
  <c r="AK126" i="264"/>
  <c r="AK127" i="264"/>
  <c r="AK128" i="264"/>
  <c r="AK129" i="264"/>
  <c r="AK130" i="264"/>
  <c r="AK131" i="264"/>
  <c r="AK132" i="264"/>
  <c r="AK133" i="264"/>
  <c r="AK134" i="264"/>
  <c r="AK135" i="264"/>
  <c r="AK136" i="264"/>
  <c r="AK137" i="264"/>
  <c r="AK138" i="264"/>
  <c r="AK139" i="264"/>
  <c r="AK140" i="264"/>
  <c r="AK141" i="264"/>
  <c r="AK142" i="264"/>
  <c r="AK143" i="264"/>
  <c r="AK144" i="264"/>
  <c r="AK145" i="264"/>
  <c r="AK146" i="264"/>
  <c r="AK147" i="264"/>
  <c r="AK148" i="264"/>
  <c r="AK149" i="264"/>
  <c r="AK150" i="264"/>
  <c r="AK151" i="264"/>
  <c r="AK152" i="264"/>
  <c r="AK153" i="264"/>
  <c r="AK154" i="264"/>
  <c r="AK155" i="264"/>
  <c r="AK156" i="264"/>
  <c r="AK157" i="264"/>
  <c r="AK158" i="264"/>
  <c r="AK159" i="264"/>
  <c r="AK160" i="264"/>
  <c r="AK161" i="264"/>
  <c r="AK162" i="264"/>
  <c r="AK163" i="264"/>
  <c r="AK164" i="264"/>
  <c r="AK165" i="264"/>
  <c r="AK166" i="264"/>
  <c r="AK167" i="264"/>
  <c r="AK168" i="264"/>
  <c r="AK169" i="264"/>
  <c r="AK170" i="264"/>
  <c r="AK171" i="264"/>
  <c r="AK172" i="264"/>
  <c r="AK173" i="264"/>
  <c r="AK174" i="264"/>
  <c r="AK175" i="264"/>
  <c r="AK176" i="264"/>
  <c r="AK177" i="264"/>
  <c r="AK178" i="264"/>
  <c r="AK179" i="264"/>
  <c r="AK180" i="264"/>
  <c r="AK181" i="264"/>
  <c r="AK182" i="264"/>
  <c r="AK183" i="264"/>
  <c r="AK184" i="264"/>
  <c r="AK185" i="264"/>
  <c r="AK186" i="264"/>
  <c r="AK187" i="264"/>
  <c r="AK188" i="264"/>
  <c r="AK189" i="264"/>
  <c r="AK190" i="264"/>
  <c r="AK191" i="264"/>
  <c r="AK192" i="264"/>
  <c r="AK193" i="264"/>
  <c r="AK194" i="264"/>
  <c r="AK195" i="264"/>
  <c r="AK196" i="264"/>
  <c r="AK197" i="264"/>
  <c r="AK198" i="264"/>
  <c r="AK199" i="264"/>
  <c r="AK200" i="264"/>
  <c r="AK201" i="264"/>
  <c r="AK202" i="264"/>
  <c r="AK203" i="264"/>
  <c r="AK204" i="264"/>
  <c r="AK205" i="264"/>
  <c r="AK206" i="264"/>
  <c r="AK207" i="264"/>
  <c r="AK208" i="264"/>
  <c r="AK209" i="264"/>
  <c r="AK210" i="264"/>
  <c r="AK211" i="264"/>
  <c r="AK212" i="264"/>
  <c r="AK213" i="264"/>
  <c r="AK214" i="264"/>
  <c r="AK215" i="264"/>
  <c r="AK216" i="264"/>
  <c r="AK217" i="264"/>
  <c r="AK218" i="264"/>
  <c r="AK219" i="264"/>
  <c r="AK220" i="264"/>
  <c r="AK221" i="264"/>
  <c r="AK222" i="264"/>
  <c r="AK223" i="264"/>
  <c r="AK224" i="264"/>
  <c r="AK225" i="264"/>
  <c r="AK226" i="264"/>
  <c r="AK227" i="264"/>
  <c r="AK228" i="264"/>
  <c r="AK229" i="264"/>
  <c r="AK230" i="264"/>
  <c r="AK231" i="264"/>
  <c r="AK232" i="264"/>
  <c r="AK233" i="264"/>
  <c r="AK234" i="264"/>
  <c r="AK235" i="264"/>
  <c r="AK236" i="264"/>
  <c r="AK237" i="264"/>
  <c r="AK238" i="264"/>
  <c r="AK239" i="264"/>
  <c r="AK240" i="264"/>
  <c r="AK241" i="264"/>
  <c r="AK242" i="264"/>
  <c r="AK243" i="264"/>
  <c r="AK244" i="264"/>
  <c r="AK245" i="264"/>
  <c r="AK246" i="264"/>
  <c r="AK247" i="264"/>
  <c r="AK248" i="264"/>
  <c r="AK249" i="264"/>
  <c r="AK250" i="264"/>
  <c r="AK251" i="264"/>
  <c r="AK252" i="264"/>
  <c r="AK253" i="264"/>
  <c r="AK254" i="264"/>
  <c r="AK255" i="264"/>
  <c r="AK256" i="264"/>
  <c r="AK257" i="264"/>
  <c r="AK258" i="264"/>
  <c r="AK259" i="264"/>
  <c r="AK260" i="264"/>
  <c r="AK261" i="264"/>
  <c r="AK262" i="264"/>
  <c r="AK263" i="264"/>
  <c r="AK264" i="264"/>
  <c r="AK265" i="264"/>
  <c r="AK266" i="264"/>
  <c r="AK267" i="264"/>
  <c r="AK268" i="264"/>
  <c r="AK269" i="264"/>
  <c r="AK270" i="264"/>
  <c r="AK271" i="264"/>
  <c r="AK272" i="264"/>
  <c r="AK273" i="264"/>
  <c r="AK274" i="264"/>
  <c r="AK275" i="264"/>
  <c r="AK276" i="264"/>
  <c r="AK277" i="264"/>
  <c r="AK278" i="264"/>
  <c r="AK279" i="264"/>
  <c r="AK280" i="264"/>
  <c r="AK281" i="264"/>
  <c r="AK282" i="264"/>
  <c r="AK283" i="264"/>
  <c r="AK284" i="264"/>
  <c r="AK285" i="264"/>
  <c r="AK286" i="264"/>
  <c r="AK287" i="264"/>
  <c r="AK288" i="264"/>
  <c r="AK289" i="264"/>
  <c r="AK290" i="264"/>
  <c r="AK291" i="264"/>
  <c r="AK292" i="264"/>
  <c r="AK293" i="264"/>
  <c r="AK294" i="264"/>
  <c r="AK295" i="264"/>
  <c r="AK296" i="264"/>
  <c r="AK297" i="264"/>
  <c r="AK298" i="264"/>
  <c r="AK299" i="264"/>
  <c r="AK300" i="264"/>
  <c r="AK301" i="264"/>
  <c r="AK302" i="264"/>
  <c r="AK303" i="264"/>
  <c r="AK304" i="264"/>
  <c r="AK305" i="264"/>
  <c r="AK306" i="264"/>
  <c r="AK307" i="264"/>
  <c r="AK308" i="264"/>
  <c r="AK309" i="264"/>
  <c r="AK310" i="264"/>
  <c r="AK311" i="264"/>
  <c r="AK312" i="264"/>
  <c r="AK313" i="264"/>
  <c r="AK314" i="264"/>
  <c r="AK315" i="264"/>
  <c r="AK316" i="264"/>
  <c r="AK317" i="264"/>
  <c r="AK318" i="264"/>
  <c r="AK319" i="264"/>
  <c r="AK320" i="264"/>
  <c r="AK321" i="264"/>
  <c r="AK322" i="264"/>
  <c r="AK323" i="264"/>
  <c r="AK324" i="264"/>
  <c r="AK325" i="264"/>
  <c r="AK326" i="264"/>
  <c r="AK327" i="264"/>
  <c r="AK328" i="264"/>
  <c r="AK329" i="264"/>
  <c r="AK330" i="264"/>
  <c r="AK331" i="264"/>
  <c r="AK332" i="264"/>
  <c r="AK333" i="264"/>
  <c r="AK334" i="264"/>
  <c r="AK335" i="264"/>
  <c r="AK336" i="264"/>
  <c r="AK337" i="264"/>
  <c r="AK338" i="264"/>
  <c r="AK339" i="264"/>
  <c r="AK340" i="264"/>
  <c r="AK341" i="264"/>
  <c r="AK342" i="264"/>
  <c r="AK343" i="264"/>
  <c r="AK344" i="264"/>
  <c r="AK345" i="264"/>
  <c r="AK346" i="264"/>
  <c r="AK347" i="264"/>
  <c r="AK348" i="264"/>
  <c r="AK349" i="264"/>
  <c r="AK350" i="264"/>
  <c r="AK351" i="264"/>
  <c r="AK352" i="264"/>
  <c r="AK353" i="264"/>
  <c r="AK354" i="264"/>
  <c r="AK355" i="264"/>
  <c r="AK356" i="264"/>
  <c r="AK357" i="264"/>
  <c r="AK358" i="264"/>
  <c r="AK359" i="264"/>
  <c r="AK360" i="264"/>
  <c r="AK361" i="264"/>
  <c r="AK362" i="264"/>
  <c r="AK363" i="264"/>
  <c r="AK364" i="264"/>
  <c r="AK365" i="264"/>
  <c r="AK366" i="264"/>
  <c r="AK367" i="264"/>
  <c r="AK368" i="264"/>
  <c r="AK369" i="264"/>
  <c r="AK370" i="264"/>
  <c r="AK371" i="264"/>
  <c r="AK372" i="264"/>
  <c r="AK373" i="264"/>
  <c r="AK374" i="264"/>
  <c r="AK375" i="264"/>
  <c r="AK376" i="264"/>
  <c r="AK377" i="264"/>
  <c r="AK378" i="264"/>
  <c r="AK379" i="264"/>
  <c r="AK380" i="264"/>
  <c r="AK381" i="264"/>
  <c r="AK382" i="264"/>
  <c r="AK383" i="264"/>
  <c r="AK384" i="264"/>
  <c r="AK385" i="264"/>
  <c r="AK386" i="264"/>
  <c r="AK387" i="264"/>
  <c r="AK388" i="264"/>
  <c r="AK389" i="264"/>
  <c r="AK390" i="264"/>
  <c r="AK391" i="264"/>
  <c r="AK392" i="264"/>
  <c r="AK393" i="264"/>
  <c r="AK394" i="264"/>
  <c r="AK395" i="264"/>
  <c r="AK396" i="264"/>
  <c r="AK397" i="264"/>
  <c r="AK398" i="264"/>
  <c r="AK399" i="264"/>
  <c r="AK400" i="264"/>
  <c r="AK401" i="264"/>
  <c r="AK402" i="264"/>
  <c r="AK403" i="264"/>
  <c r="AK404" i="264"/>
  <c r="AK405" i="264"/>
  <c r="AK406" i="264"/>
  <c r="AK407" i="264"/>
  <c r="AK408" i="264"/>
  <c r="AK409" i="264"/>
  <c r="AK410" i="264"/>
  <c r="AK411" i="264"/>
  <c r="AK412" i="264"/>
  <c r="AK413" i="264"/>
  <c r="AK414" i="264"/>
  <c r="AK415" i="264"/>
  <c r="AK416" i="264"/>
  <c r="AK417" i="264"/>
  <c r="AK418" i="264"/>
  <c r="AK419" i="264"/>
  <c r="AK420" i="264"/>
  <c r="AK421" i="264"/>
  <c r="AK422" i="264"/>
  <c r="AK423" i="264"/>
  <c r="AK424" i="264"/>
  <c r="AK425" i="264"/>
  <c r="AK426" i="264"/>
  <c r="AK427" i="264"/>
  <c r="AK428" i="264"/>
  <c r="AK429" i="264"/>
  <c r="AK430" i="264"/>
  <c r="AK431" i="264"/>
  <c r="AK432" i="264"/>
  <c r="AK433" i="264"/>
  <c r="AK434" i="264"/>
  <c r="AK435" i="264"/>
  <c r="AK436" i="264"/>
  <c r="AK437" i="264"/>
  <c r="AK438" i="264"/>
  <c r="AK439" i="264"/>
  <c r="AK440" i="264"/>
  <c r="AK441" i="264"/>
  <c r="AK442" i="264"/>
  <c r="AK443" i="264"/>
  <c r="AK444" i="264"/>
  <c r="AK445" i="264"/>
  <c r="AK446" i="264"/>
  <c r="AK447" i="264"/>
  <c r="AK448" i="264"/>
  <c r="AK449" i="264"/>
  <c r="AK450" i="264"/>
  <c r="AK451" i="264"/>
  <c r="AK452" i="264"/>
  <c r="AK453" i="264"/>
  <c r="AK454" i="264"/>
  <c r="AK455" i="264"/>
  <c r="AK456" i="264"/>
  <c r="AK457" i="264"/>
  <c r="AK458" i="264"/>
  <c r="AK459" i="264"/>
  <c r="AK460" i="264"/>
  <c r="AK461" i="264"/>
  <c r="AK462" i="264"/>
  <c r="AK463" i="264"/>
  <c r="AK464" i="264"/>
  <c r="AK465" i="264"/>
  <c r="AK466" i="264"/>
  <c r="AK467" i="264"/>
  <c r="AK468" i="264"/>
  <c r="AK469" i="264"/>
  <c r="AK470" i="264"/>
  <c r="AK471" i="264"/>
  <c r="AK472" i="264"/>
  <c r="AK473" i="264"/>
  <c r="AK474" i="264"/>
  <c r="AK475" i="264"/>
  <c r="AK476" i="264"/>
  <c r="AK477" i="264"/>
  <c r="AK478" i="264"/>
  <c r="AK479" i="264"/>
  <c r="AK480" i="264"/>
  <c r="AK481" i="264"/>
  <c r="AK482" i="264"/>
  <c r="AK483" i="264"/>
  <c r="AK484" i="264"/>
  <c r="AK485" i="264"/>
  <c r="AK486" i="264"/>
  <c r="AK487" i="264"/>
  <c r="AK488" i="264"/>
  <c r="AK489" i="264"/>
  <c r="AK490" i="264"/>
  <c r="AK491" i="264"/>
  <c r="AK492" i="264"/>
  <c r="AK493" i="264"/>
  <c r="AK494" i="264"/>
  <c r="AK495" i="264"/>
  <c r="AK496" i="264"/>
  <c r="AK497" i="264"/>
  <c r="AK498" i="264"/>
  <c r="AK499" i="264"/>
  <c r="AK500" i="264"/>
  <c r="AK501" i="264"/>
  <c r="AK502" i="264"/>
  <c r="AK503" i="264"/>
  <c r="AK504" i="264"/>
  <c r="AK505" i="264"/>
  <c r="AK506" i="264"/>
  <c r="AK507" i="264"/>
  <c r="AK508" i="264"/>
  <c r="AK509" i="264"/>
  <c r="AK510" i="264"/>
  <c r="AK511" i="264"/>
  <c r="AK512" i="264"/>
  <c r="AK513" i="264"/>
  <c r="AK514" i="264"/>
  <c r="AK515" i="264"/>
  <c r="AK516" i="264"/>
  <c r="AK517" i="264"/>
  <c r="AK518" i="264"/>
  <c r="AK519" i="264"/>
  <c r="AK520" i="264"/>
  <c r="AK521" i="264"/>
  <c r="AK522" i="264"/>
  <c r="AK523" i="264"/>
  <c r="AK524" i="264"/>
  <c r="AK525" i="264"/>
  <c r="AK526" i="264"/>
  <c r="AK527" i="264"/>
  <c r="AK528" i="264"/>
  <c r="AK529" i="264"/>
  <c r="AK530" i="264"/>
  <c r="AK531" i="264"/>
  <c r="AK532" i="264"/>
  <c r="AK533" i="264"/>
  <c r="AK534" i="264"/>
  <c r="AK535" i="264"/>
  <c r="AK536" i="264"/>
  <c r="AK537" i="264"/>
  <c r="AK538" i="264"/>
  <c r="AK539" i="264"/>
  <c r="AK540" i="264"/>
  <c r="AK541" i="264"/>
  <c r="AK542" i="264"/>
  <c r="AK543" i="264"/>
  <c r="AK544" i="264"/>
  <c r="AK545" i="264"/>
  <c r="AK546" i="264"/>
  <c r="AK547" i="264"/>
  <c r="AK548" i="264"/>
  <c r="AK549" i="264"/>
  <c r="AK550" i="264"/>
  <c r="AK551" i="264"/>
  <c r="AK552" i="264"/>
  <c r="AK553" i="264"/>
  <c r="AK554" i="264"/>
  <c r="AK555" i="264"/>
  <c r="AK556" i="264"/>
  <c r="AK557" i="264"/>
  <c r="AK558" i="264"/>
  <c r="AK559" i="264"/>
  <c r="AK560" i="264"/>
  <c r="AK561" i="264"/>
  <c r="AK562" i="264"/>
  <c r="AK563" i="264"/>
  <c r="AK564" i="264"/>
  <c r="AK565" i="264"/>
  <c r="AK566" i="264"/>
  <c r="AK567" i="264"/>
  <c r="AK568" i="264"/>
  <c r="AK569" i="264"/>
  <c r="AK570" i="264"/>
  <c r="AK571" i="264"/>
  <c r="AK572" i="264"/>
  <c r="AK573" i="264"/>
  <c r="AK574" i="264"/>
  <c r="AK575" i="264"/>
  <c r="AK576" i="264"/>
  <c r="AK577" i="264"/>
  <c r="AK578" i="264"/>
  <c r="AK579" i="264"/>
  <c r="AK580" i="264"/>
  <c r="AK581" i="264"/>
  <c r="AK582" i="264"/>
  <c r="AK583" i="264"/>
  <c r="AK584" i="264"/>
  <c r="AK585" i="264"/>
  <c r="AK586" i="264"/>
  <c r="AK587" i="264"/>
  <c r="AK588" i="264"/>
  <c r="AK589" i="264"/>
  <c r="AK590" i="264"/>
  <c r="AK591" i="264"/>
  <c r="AK592" i="264"/>
  <c r="AK593" i="264"/>
  <c r="AK594" i="264"/>
  <c r="AK595" i="264"/>
  <c r="AK596" i="264"/>
  <c r="AK597" i="264"/>
  <c r="AK598" i="264"/>
  <c r="AK599" i="264"/>
  <c r="AK600" i="264"/>
  <c r="AK601" i="264"/>
  <c r="AK602" i="264"/>
  <c r="AK603" i="264"/>
  <c r="AK604" i="264"/>
  <c r="AK605" i="264"/>
  <c r="AK606" i="264"/>
  <c r="AK607" i="264"/>
  <c r="AK608" i="264"/>
  <c r="AK609" i="264"/>
  <c r="AK610" i="264"/>
  <c r="AK611" i="264"/>
  <c r="AK612" i="264"/>
  <c r="AK613" i="264"/>
  <c r="AK614" i="264"/>
  <c r="AK615" i="264"/>
  <c r="AK616" i="264"/>
  <c r="AK617" i="264"/>
  <c r="AK618" i="264"/>
  <c r="AK619" i="264"/>
  <c r="AK620" i="264"/>
  <c r="AK621" i="264"/>
  <c r="AK622" i="264"/>
  <c r="AK623" i="264"/>
  <c r="AK624" i="264"/>
  <c r="AK625" i="264"/>
  <c r="AK626" i="264"/>
  <c r="AK4" i="264"/>
  <c r="AK599" i="265"/>
  <c r="AK598" i="265"/>
  <c r="AK597" i="265"/>
  <c r="AK596" i="265"/>
  <c r="AK595" i="265"/>
  <c r="AK594" i="265"/>
  <c r="AK263" i="265"/>
  <c r="AK593" i="265"/>
  <c r="AK262" i="265"/>
  <c r="AK261" i="265"/>
  <c r="AK260" i="265"/>
  <c r="AK259" i="265"/>
  <c r="AK592" i="265"/>
  <c r="AK258" i="265"/>
  <c r="AK591" i="265"/>
  <c r="AK590" i="265"/>
  <c r="AK589" i="265"/>
  <c r="AK588" i="265"/>
  <c r="AK587" i="265"/>
  <c r="AK586" i="265"/>
  <c r="AK585" i="265"/>
  <c r="AK584" i="265"/>
  <c r="AK583" i="265"/>
  <c r="AK582" i="265"/>
  <c r="AK581" i="265"/>
  <c r="AK580" i="265"/>
  <c r="AK579" i="265"/>
  <c r="AK257" i="265"/>
  <c r="AK256" i="265"/>
  <c r="AK254" i="265"/>
  <c r="AK255" i="265"/>
  <c r="AK253" i="265"/>
  <c r="AK578" i="265"/>
  <c r="AK252" i="265"/>
  <c r="AK577" i="265"/>
  <c r="AK576" i="265"/>
  <c r="AK575" i="265"/>
  <c r="AK251" i="265"/>
  <c r="AK574" i="265"/>
  <c r="AK573" i="265"/>
  <c r="AK572" i="265"/>
  <c r="AK571" i="265"/>
  <c r="AK570" i="265"/>
  <c r="AK569" i="265"/>
  <c r="AK568" i="265"/>
  <c r="AK250" i="265"/>
  <c r="AK567" i="265"/>
  <c r="AK249" i="265"/>
  <c r="AK566" i="265"/>
  <c r="AK565" i="265"/>
  <c r="AK248" i="265"/>
  <c r="AK564" i="265"/>
  <c r="AK563" i="265"/>
  <c r="AK247" i="265"/>
  <c r="AK246" i="265"/>
  <c r="AK245" i="265"/>
  <c r="AK244" i="265"/>
  <c r="AK562" i="265"/>
  <c r="AK561" i="265"/>
  <c r="AK243" i="265"/>
  <c r="AK560" i="265"/>
  <c r="AK242" i="265"/>
  <c r="AK559" i="265"/>
  <c r="AK558" i="265"/>
  <c r="AK241" i="265"/>
  <c r="AK240" i="265"/>
  <c r="AK557" i="265"/>
  <c r="AK239" i="265"/>
  <c r="AK556" i="265"/>
  <c r="AK555" i="265"/>
  <c r="AK554" i="265"/>
  <c r="AK553" i="265"/>
  <c r="AK552" i="265"/>
  <c r="AK551" i="265"/>
  <c r="AK238" i="265"/>
  <c r="AK237" i="265"/>
  <c r="AK550" i="265"/>
  <c r="AK549" i="265"/>
  <c r="AK548" i="265"/>
  <c r="AK236" i="265"/>
  <c r="AK235" i="265"/>
  <c r="AK547" i="265"/>
  <c r="AK546" i="265"/>
  <c r="AK234" i="265"/>
  <c r="AK233" i="265"/>
  <c r="AK232" i="265"/>
  <c r="AK545" i="265"/>
  <c r="AK544" i="265"/>
  <c r="AK543" i="265"/>
  <c r="AK542" i="265"/>
  <c r="AK231" i="265"/>
  <c r="AK541" i="265"/>
  <c r="AK540" i="265"/>
  <c r="AK539" i="265"/>
  <c r="AK538" i="265"/>
  <c r="AK537" i="265"/>
  <c r="AK230" i="265"/>
  <c r="AK536" i="265"/>
  <c r="AK535" i="265"/>
  <c r="AK229" i="265"/>
  <c r="AK228" i="265"/>
  <c r="AK534" i="265"/>
  <c r="AK227" i="265"/>
  <c r="AK533" i="265"/>
  <c r="AK532" i="265"/>
  <c r="AK226" i="265"/>
  <c r="AK531" i="265"/>
  <c r="AK225" i="265"/>
  <c r="AK530" i="265"/>
  <c r="AK529" i="265"/>
  <c r="AK528" i="265"/>
  <c r="AK527" i="265"/>
  <c r="AK526" i="265"/>
  <c r="AK525" i="265"/>
  <c r="AK524" i="265"/>
  <c r="AK523" i="265"/>
  <c r="AK224" i="265"/>
  <c r="AK522" i="265"/>
  <c r="AK521" i="265"/>
  <c r="AK520" i="265"/>
  <c r="AK223" i="265"/>
  <c r="AK222" i="265"/>
  <c r="AK519" i="265"/>
  <c r="AK518" i="265"/>
  <c r="AK221" i="265"/>
  <c r="AK517" i="265"/>
  <c r="AK516" i="265"/>
  <c r="AK220" i="265"/>
  <c r="AK219" i="265"/>
  <c r="AK218" i="265"/>
  <c r="AK217" i="265"/>
  <c r="AK216" i="265"/>
  <c r="AK515" i="265"/>
  <c r="AK514" i="265"/>
  <c r="AK513" i="265"/>
  <c r="AK512" i="265"/>
  <c r="AK215" i="265"/>
  <c r="AK214" i="265"/>
  <c r="AK213" i="265"/>
  <c r="AK212" i="265"/>
  <c r="AK211" i="265"/>
  <c r="AK210" i="265"/>
  <c r="AK511" i="265"/>
  <c r="AK510" i="265"/>
  <c r="AK509" i="265"/>
  <c r="AK508" i="265"/>
  <c r="AK209" i="265"/>
  <c r="AK208" i="265"/>
  <c r="AK507" i="265"/>
  <c r="AK207" i="265"/>
  <c r="AK506" i="265"/>
  <c r="AK205" i="265"/>
  <c r="AK206" i="265"/>
  <c r="AK505" i="265"/>
  <c r="AK204" i="265"/>
  <c r="AK504" i="265"/>
  <c r="AK203" i="265"/>
  <c r="AK202" i="265"/>
  <c r="AK503" i="265"/>
  <c r="AK502" i="265"/>
  <c r="AK201" i="265"/>
  <c r="AK200" i="265"/>
  <c r="AK199" i="265"/>
  <c r="AK198" i="265"/>
  <c r="AK501" i="265"/>
  <c r="AK500" i="265"/>
  <c r="AK499" i="265"/>
  <c r="AK498" i="265"/>
  <c r="AK497" i="265"/>
  <c r="AK496" i="265"/>
  <c r="AK495" i="265"/>
  <c r="AK494" i="265"/>
  <c r="AK197" i="265"/>
  <c r="AK493" i="265"/>
  <c r="AK492" i="265"/>
  <c r="AK491" i="265"/>
  <c r="AK490" i="265"/>
  <c r="AK489" i="265"/>
  <c r="AK196" i="265"/>
  <c r="AK488" i="265"/>
  <c r="AK487" i="265"/>
  <c r="AK486" i="265"/>
  <c r="AK485" i="265"/>
  <c r="AK195" i="265"/>
  <c r="AK194" i="265"/>
  <c r="AK484" i="265"/>
  <c r="AK483" i="265"/>
  <c r="AK482" i="265"/>
  <c r="AK193" i="265"/>
  <c r="AK192" i="265"/>
  <c r="AK191" i="265"/>
  <c r="AK481" i="265"/>
  <c r="AK480" i="265"/>
  <c r="AK190" i="265"/>
  <c r="AK479" i="265"/>
  <c r="AK189" i="265"/>
  <c r="AK188" i="265"/>
  <c r="AK187" i="265"/>
  <c r="AK478" i="265"/>
  <c r="AK477" i="265"/>
  <c r="AK186" i="265"/>
  <c r="AK476" i="265"/>
  <c r="AK475" i="265"/>
  <c r="AK474" i="265"/>
  <c r="AK185" i="265"/>
  <c r="AK184" i="265"/>
  <c r="AK183" i="265"/>
  <c r="AK473" i="265"/>
  <c r="AK472" i="265"/>
  <c r="AK471" i="265"/>
  <c r="AK470" i="265"/>
  <c r="AK182" i="265"/>
  <c r="AK469" i="265"/>
  <c r="AK468" i="265"/>
  <c r="AK181" i="265"/>
  <c r="AK467" i="265"/>
  <c r="AK466" i="265"/>
  <c r="AK465" i="265"/>
  <c r="AK180" i="265"/>
  <c r="AK179" i="265"/>
  <c r="AK178" i="265"/>
  <c r="AK177" i="265"/>
  <c r="AK464" i="265"/>
  <c r="AK176" i="265"/>
  <c r="AK463" i="265"/>
  <c r="AK175" i="265"/>
  <c r="AK462" i="265"/>
  <c r="AK174" i="265"/>
  <c r="AK173" i="265"/>
  <c r="AK461" i="265"/>
  <c r="AK172" i="265"/>
  <c r="AK460" i="265"/>
  <c r="AK459" i="265"/>
  <c r="AK458" i="265"/>
  <c r="AK457" i="265"/>
  <c r="AK456" i="265"/>
  <c r="AK455" i="265"/>
  <c r="AK454" i="265"/>
  <c r="AK453" i="265"/>
  <c r="AK452" i="265"/>
  <c r="AK451" i="265"/>
  <c r="AK450" i="265"/>
  <c r="AK449" i="265"/>
  <c r="AK448" i="265"/>
  <c r="AK447" i="265"/>
  <c r="AK446" i="265"/>
  <c r="AK171" i="265"/>
  <c r="AK445" i="265"/>
  <c r="AK170" i="265"/>
  <c r="AK169" i="265"/>
  <c r="AK168" i="265"/>
  <c r="AK444" i="265"/>
  <c r="AK167" i="265"/>
  <c r="AK166" i="265"/>
  <c r="AK443" i="265"/>
  <c r="AK165" i="265"/>
  <c r="AK442" i="265"/>
  <c r="AK441" i="265"/>
  <c r="AK440" i="265"/>
  <c r="AK164" i="265"/>
  <c r="AK439" i="265"/>
  <c r="AK438" i="265"/>
  <c r="AK437" i="265"/>
  <c r="AK163" i="265"/>
  <c r="AK436" i="265"/>
  <c r="AK162" i="265"/>
  <c r="AK161" i="265"/>
  <c r="AK435" i="265"/>
  <c r="AK434" i="265"/>
  <c r="AK160" i="265"/>
  <c r="AK159" i="265"/>
  <c r="AK433" i="265"/>
  <c r="AK158" i="265"/>
  <c r="AK157" i="265"/>
  <c r="AK432" i="265"/>
  <c r="AK431" i="265"/>
  <c r="AK156" i="265"/>
  <c r="AK155" i="265"/>
  <c r="AK154" i="265"/>
  <c r="AK153" i="265"/>
  <c r="AK430" i="265"/>
  <c r="AK429" i="265"/>
  <c r="AK152" i="265"/>
  <c r="AK151" i="265"/>
  <c r="AK150" i="265"/>
  <c r="AK428" i="265"/>
  <c r="AK427" i="265"/>
  <c r="AK426" i="265"/>
  <c r="AK425" i="265"/>
  <c r="AK424" i="265"/>
  <c r="AK149" i="265"/>
  <c r="AK423" i="265"/>
  <c r="AK422" i="265"/>
  <c r="AK421" i="265"/>
  <c r="AK420" i="265"/>
  <c r="AK148" i="265"/>
  <c r="AK147" i="265"/>
  <c r="AK419" i="265"/>
  <c r="AK146" i="265"/>
  <c r="AK418" i="265"/>
  <c r="AK417" i="265"/>
  <c r="AK416" i="265"/>
  <c r="AK415" i="265"/>
  <c r="AK414" i="265"/>
  <c r="AK413" i="265"/>
  <c r="AK145" i="265"/>
  <c r="AK144" i="265"/>
  <c r="AK412" i="265"/>
  <c r="AK411" i="265"/>
  <c r="AK143" i="265"/>
  <c r="AK410" i="265"/>
  <c r="AK142" i="265"/>
  <c r="AK409" i="265"/>
  <c r="AK141" i="265"/>
  <c r="AK140" i="265"/>
  <c r="AK408" i="265"/>
  <c r="AK139" i="265"/>
  <c r="AK407" i="265"/>
  <c r="AK406" i="265"/>
  <c r="AK405" i="265"/>
  <c r="AK404" i="265"/>
  <c r="AK403" i="265"/>
  <c r="AK402" i="265"/>
  <c r="AK401" i="265"/>
  <c r="AK400" i="265"/>
  <c r="AK138" i="265"/>
  <c r="AK399" i="265"/>
  <c r="AK137" i="265"/>
  <c r="AK136" i="265"/>
  <c r="AK135" i="265"/>
  <c r="AK134" i="265"/>
  <c r="AK398" i="265"/>
  <c r="AK133" i="265"/>
  <c r="AK397" i="265"/>
  <c r="AK132" i="265"/>
  <c r="AK131" i="265"/>
  <c r="AK130" i="265"/>
  <c r="AK129" i="265"/>
  <c r="AK396" i="265"/>
  <c r="AK395" i="265"/>
  <c r="AK128" i="265"/>
  <c r="AK127" i="265"/>
  <c r="AK126" i="265"/>
  <c r="AK125" i="265"/>
  <c r="AK394" i="265"/>
  <c r="AK393" i="265"/>
  <c r="AK124" i="265"/>
  <c r="AK392" i="265"/>
  <c r="AK391" i="265"/>
  <c r="AK390" i="265"/>
  <c r="AK389" i="265"/>
  <c r="AK123" i="265"/>
  <c r="AK122" i="265"/>
  <c r="AK388" i="265"/>
  <c r="AK387" i="265"/>
  <c r="AK121" i="265"/>
  <c r="AK386" i="265"/>
  <c r="AK385" i="265"/>
  <c r="AK384" i="265"/>
  <c r="AK383" i="265"/>
  <c r="AK120" i="265"/>
  <c r="AK382" i="265"/>
  <c r="AK381" i="265"/>
  <c r="AK380" i="265"/>
  <c r="AK379" i="265"/>
  <c r="AK119" i="265"/>
  <c r="AK118" i="265"/>
  <c r="AK117" i="265"/>
  <c r="AK378" i="265"/>
  <c r="AK116" i="265"/>
  <c r="AK377" i="265"/>
  <c r="AK376" i="265"/>
  <c r="AK375" i="265"/>
  <c r="AK374" i="265"/>
  <c r="AK115" i="265"/>
  <c r="AK373" i="265"/>
  <c r="AK372" i="265"/>
  <c r="AK114" i="265"/>
  <c r="AK371" i="265"/>
  <c r="AK113" i="265"/>
  <c r="AK370" i="265"/>
  <c r="AK112" i="265"/>
  <c r="AK369" i="265"/>
  <c r="AK368" i="265"/>
  <c r="AK111" i="265"/>
  <c r="AK367" i="265"/>
  <c r="AK110" i="265"/>
  <c r="AK109" i="265"/>
  <c r="AK108" i="265"/>
  <c r="AK107" i="265"/>
  <c r="AK366" i="265"/>
  <c r="AK106" i="265"/>
  <c r="AK365" i="265"/>
  <c r="AK364" i="265"/>
  <c r="AK105" i="265"/>
  <c r="AK104" i="265"/>
  <c r="AK103" i="265"/>
  <c r="AK102" i="265"/>
  <c r="AK101" i="265"/>
  <c r="AK100" i="265"/>
  <c r="AK363" i="265"/>
  <c r="AK362" i="265"/>
  <c r="AK361" i="265"/>
  <c r="AK360" i="265"/>
  <c r="AK359" i="265"/>
  <c r="AK358" i="265"/>
  <c r="AK357" i="265"/>
  <c r="AK99" i="265"/>
  <c r="AK356" i="265"/>
  <c r="AK98" i="265"/>
  <c r="AK355" i="265"/>
  <c r="AK97" i="265"/>
  <c r="AK354" i="265"/>
  <c r="AK96" i="265"/>
  <c r="AK353" i="265"/>
  <c r="AK352" i="265"/>
  <c r="AK351" i="265"/>
  <c r="AK95" i="265"/>
  <c r="AK350" i="265"/>
  <c r="AK349" i="265"/>
  <c r="AK348" i="265"/>
  <c r="AK94" i="265"/>
  <c r="AK93" i="265"/>
  <c r="AK92" i="265"/>
  <c r="AK91" i="265"/>
  <c r="AK347" i="265"/>
  <c r="AK346" i="265"/>
  <c r="AK90" i="265"/>
  <c r="AK89" i="265"/>
  <c r="AK88" i="265"/>
  <c r="AK345" i="265"/>
  <c r="AK344" i="265"/>
  <c r="AK343" i="265"/>
  <c r="AK87" i="265"/>
  <c r="AK86" i="265"/>
  <c r="AK342" i="265"/>
  <c r="AK341" i="265"/>
  <c r="AK85" i="265"/>
  <c r="AK340" i="265"/>
  <c r="AK339" i="265"/>
  <c r="AK338" i="265"/>
  <c r="AK337" i="265"/>
  <c r="AK336" i="265"/>
  <c r="AK84" i="265"/>
  <c r="AK335" i="265"/>
  <c r="AK334" i="265"/>
  <c r="AK83" i="265"/>
  <c r="AK333" i="265"/>
  <c r="AK82" i="265"/>
  <c r="AK332" i="265"/>
  <c r="AK331" i="265"/>
  <c r="AK330" i="265"/>
  <c r="AK81" i="265"/>
  <c r="AK329" i="265"/>
  <c r="AK80" i="265"/>
  <c r="AK328" i="265"/>
  <c r="AK327" i="265"/>
  <c r="AK79" i="265"/>
  <c r="AK78" i="265"/>
  <c r="AK77" i="265"/>
  <c r="AK326" i="265"/>
  <c r="AK76" i="265"/>
  <c r="AK325" i="265"/>
  <c r="AK324" i="265"/>
  <c r="AK75" i="265"/>
  <c r="AK74" i="265"/>
  <c r="AK73" i="265"/>
  <c r="AK323" i="265"/>
  <c r="AK72" i="265"/>
  <c r="AK322" i="265"/>
  <c r="AK321" i="265"/>
  <c r="AK320" i="265"/>
  <c r="AK71" i="265"/>
  <c r="AK70" i="265"/>
  <c r="AK319" i="265"/>
  <c r="AK318" i="265"/>
  <c r="AK317" i="265"/>
  <c r="AK316" i="265"/>
  <c r="AK315" i="265"/>
  <c r="AK314" i="265"/>
  <c r="AK69" i="265"/>
  <c r="AK68" i="265"/>
  <c r="AK67" i="265"/>
  <c r="AK66" i="265"/>
  <c r="AK312" i="265"/>
  <c r="AK313" i="265"/>
  <c r="AK65" i="265"/>
  <c r="AK64" i="265"/>
  <c r="AK310" i="265"/>
  <c r="AK311" i="265"/>
  <c r="AK63" i="265"/>
  <c r="AK62" i="265"/>
  <c r="AK61" i="265"/>
  <c r="AK309" i="265"/>
  <c r="AK308" i="265"/>
  <c r="AK60" i="265"/>
  <c r="AK59" i="265"/>
  <c r="AK307" i="265"/>
  <c r="AK306" i="265"/>
  <c r="AK305" i="265"/>
  <c r="AK58" i="265"/>
  <c r="AK57" i="265"/>
  <c r="AK304" i="265"/>
  <c r="AK303" i="265"/>
  <c r="AK56" i="265"/>
  <c r="AK302" i="265"/>
  <c r="AK301" i="265"/>
  <c r="AK300" i="265"/>
  <c r="AK299" i="265"/>
  <c r="AK55" i="265"/>
  <c r="AK298" i="265"/>
  <c r="AK54" i="265"/>
  <c r="AK297" i="265"/>
  <c r="AK53" i="265"/>
  <c r="AK296" i="265"/>
  <c r="AK295" i="265"/>
  <c r="AK294" i="265"/>
  <c r="AK293" i="265"/>
  <c r="AK52" i="265"/>
  <c r="AK51" i="265"/>
  <c r="AK292" i="265"/>
  <c r="AK50" i="265"/>
  <c r="AK291" i="265"/>
  <c r="AK49" i="265"/>
  <c r="AK290" i="265"/>
  <c r="AK289" i="265"/>
  <c r="AK48" i="265"/>
  <c r="AK47" i="265"/>
  <c r="AK288" i="265"/>
  <c r="AK46" i="265"/>
  <c r="AK287" i="265"/>
  <c r="AK45" i="265"/>
  <c r="AK44" i="265"/>
  <c r="AK286" i="265"/>
  <c r="AK43" i="265"/>
  <c r="AK285" i="265"/>
  <c r="AK42" i="265"/>
  <c r="AK284" i="265"/>
  <c r="AK41" i="265"/>
  <c r="AK283" i="265"/>
  <c r="AK40" i="265"/>
  <c r="AK39" i="265"/>
  <c r="AK38" i="265"/>
  <c r="AK282" i="265"/>
  <c r="AK36" i="265"/>
  <c r="AK37" i="265"/>
  <c r="AK35" i="265"/>
  <c r="AK34" i="265"/>
  <c r="AK33" i="265"/>
  <c r="AK281" i="265"/>
  <c r="AK32" i="265"/>
  <c r="AK31" i="265"/>
  <c r="AK30" i="265"/>
  <c r="AK29" i="265"/>
  <c r="AK28" i="265"/>
  <c r="AK27" i="265"/>
  <c r="AK26" i="265"/>
  <c r="AK25" i="265"/>
  <c r="AK24" i="265"/>
  <c r="AK23" i="265"/>
  <c r="AK280" i="265"/>
  <c r="AK279" i="265"/>
  <c r="AK22" i="265"/>
  <c r="AK21" i="265"/>
  <c r="AK20" i="265"/>
  <c r="AK278" i="265"/>
  <c r="AK19" i="265"/>
  <c r="AK18" i="265"/>
  <c r="AK277" i="265"/>
  <c r="AK276" i="265"/>
  <c r="AK275" i="265"/>
  <c r="AK274" i="265"/>
  <c r="AK273" i="265"/>
  <c r="AK17" i="265"/>
  <c r="AK272" i="265"/>
  <c r="AK16" i="265"/>
  <c r="AK271" i="265"/>
  <c r="AK270" i="265"/>
  <c r="AK15" i="265"/>
  <c r="AK269" i="265"/>
  <c r="AK268" i="265"/>
  <c r="AK14" i="265"/>
  <c r="AK13" i="265"/>
  <c r="AK12" i="265"/>
  <c r="AK11" i="265"/>
  <c r="AK10" i="265"/>
  <c r="AK9" i="265"/>
  <c r="AK8" i="265"/>
  <c r="AK7" i="265"/>
  <c r="AK6" i="265"/>
  <c r="AK5" i="265"/>
  <c r="AK4" i="265"/>
  <c r="AK267" i="265"/>
  <c r="AK3" i="265"/>
  <c r="AK266" i="265"/>
  <c r="AK265" i="265"/>
  <c r="AK264" i="265"/>
  <c r="AK2" i="265"/>
  <c r="H9" i="182" l="1"/>
  <c r="F9" i="182" s="1"/>
  <c r="H10" i="182"/>
  <c r="F10" i="182" s="1"/>
  <c r="N12" i="182"/>
  <c r="N6" i="182"/>
  <c r="G15" i="182"/>
  <c r="N16" i="182"/>
  <c r="G24" i="182"/>
  <c r="N8" i="182"/>
  <c r="G22" i="182"/>
  <c r="N20" i="182"/>
  <c r="N11" i="182"/>
  <c r="H13" i="182"/>
  <c r="F13" i="182" s="1"/>
  <c r="G13" i="182" s="1"/>
  <c r="H17" i="182"/>
  <c r="F17" i="182" s="1"/>
  <c r="G17" i="182" s="1"/>
  <c r="N9" i="182"/>
  <c r="N10" i="182"/>
  <c r="H2" i="182"/>
  <c r="F2" i="182" s="1"/>
  <c r="H5" i="182"/>
  <c r="F5" i="182" s="1"/>
  <c r="G5" i="182" s="1"/>
  <c r="N3" i="182"/>
  <c r="N21" i="182"/>
  <c r="G14" i="182"/>
  <c r="H4" i="182"/>
  <c r="F4" i="182" s="1"/>
  <c r="G4" i="182" s="1"/>
  <c r="S9" i="182"/>
  <c r="N2" i="182"/>
  <c r="G23" i="182"/>
  <c r="G18" i="182"/>
  <c r="G20" i="182"/>
  <c r="G10" i="182"/>
  <c r="G3" i="182"/>
  <c r="G21" i="182"/>
  <c r="G12" i="182"/>
  <c r="G9" i="182"/>
  <c r="H7" i="182"/>
  <c r="F7" i="182" s="1"/>
  <c r="G7" i="182" s="1"/>
  <c r="G11" i="182"/>
  <c r="G16" i="182"/>
  <c r="G6" i="182"/>
  <c r="G19" i="182"/>
  <c r="H8" i="182"/>
  <c r="F8" i="182" s="1"/>
  <c r="G8" i="182" s="1"/>
  <c r="AY2" i="1"/>
  <c r="R2" i="1"/>
  <c r="AY1731" i="1"/>
  <c r="AA2" i="1"/>
  <c r="AW2" i="1"/>
  <c r="Z2" i="1"/>
  <c r="V2" i="1" s="1"/>
  <c r="W2" i="1" s="1"/>
  <c r="AC2" i="1"/>
  <c r="R1730" i="1"/>
  <c r="U1730" i="1"/>
  <c r="AW1731" i="1"/>
  <c r="AA1727" i="1"/>
  <c r="Z1727" i="1"/>
  <c r="S1727" i="1" s="1"/>
  <c r="AA1723" i="1"/>
  <c r="Z1723" i="1"/>
  <c r="S1723" i="1" s="1"/>
  <c r="AA1719" i="1"/>
  <c r="Z1719" i="1"/>
  <c r="S1719" i="1" s="1"/>
  <c r="AA1715" i="1"/>
  <c r="Z1715" i="1"/>
  <c r="S1715" i="1" s="1"/>
  <c r="AA1711" i="1"/>
  <c r="Z1711" i="1"/>
  <c r="S1711" i="1" s="1"/>
  <c r="AA1707" i="1"/>
  <c r="Z1707" i="1"/>
  <c r="S1707" i="1" s="1"/>
  <c r="AA1703" i="1"/>
  <c r="Z1703" i="1"/>
  <c r="S1703" i="1" s="1"/>
  <c r="AA1699" i="1"/>
  <c r="Z1699" i="1"/>
  <c r="S1699" i="1" s="1"/>
  <c r="AA1695" i="1"/>
  <c r="Z1695" i="1"/>
  <c r="S1695" i="1" s="1"/>
  <c r="AA1691" i="1"/>
  <c r="Z1691" i="1"/>
  <c r="S1691" i="1" s="1"/>
  <c r="AA1687" i="1"/>
  <c r="Z1687" i="1"/>
  <c r="S1687" i="1" s="1"/>
  <c r="AA1683" i="1"/>
  <c r="Z1683" i="1"/>
  <c r="S1683" i="1" s="1"/>
  <c r="AA1679" i="1"/>
  <c r="Z1679" i="1"/>
  <c r="S1679" i="1" s="1"/>
  <c r="AA1675" i="1"/>
  <c r="Z1675" i="1"/>
  <c r="S1675" i="1" s="1"/>
  <c r="AA1671" i="1"/>
  <c r="Z1671" i="1"/>
  <c r="S1671" i="1" s="1"/>
  <c r="AA1667" i="1"/>
  <c r="Z1667" i="1"/>
  <c r="S1667" i="1" s="1"/>
  <c r="AA1663" i="1"/>
  <c r="Z1663" i="1"/>
  <c r="S1663" i="1" s="1"/>
  <c r="AA1659" i="1"/>
  <c r="Z1659" i="1"/>
  <c r="S1659" i="1" s="1"/>
  <c r="AA1655" i="1"/>
  <c r="Z1655" i="1"/>
  <c r="S1655" i="1" s="1"/>
  <c r="AA1651" i="1"/>
  <c r="Z1651" i="1"/>
  <c r="S1651" i="1" s="1"/>
  <c r="AA1647" i="1"/>
  <c r="Z1647" i="1"/>
  <c r="S1647" i="1" s="1"/>
  <c r="AA1643" i="1"/>
  <c r="Z1643" i="1"/>
  <c r="S1643" i="1" s="1"/>
  <c r="AA1639" i="1"/>
  <c r="Z1639" i="1"/>
  <c r="S1639" i="1" s="1"/>
  <c r="AA1635" i="1"/>
  <c r="Z1635" i="1"/>
  <c r="S1635" i="1" s="1"/>
  <c r="AA1631" i="1"/>
  <c r="Z1631" i="1"/>
  <c r="S1631" i="1" s="1"/>
  <c r="AA1627" i="1"/>
  <c r="Z1627" i="1"/>
  <c r="S1627" i="1" s="1"/>
  <c r="AA1623" i="1"/>
  <c r="Z1623" i="1"/>
  <c r="S1623" i="1" s="1"/>
  <c r="AA1619" i="1"/>
  <c r="Z1619" i="1"/>
  <c r="S1619" i="1" s="1"/>
  <c r="AA1615" i="1"/>
  <c r="Z1615" i="1"/>
  <c r="S1615" i="1" s="1"/>
  <c r="AA1611" i="1"/>
  <c r="Z1611" i="1"/>
  <c r="S1611" i="1" s="1"/>
  <c r="AA1607" i="1"/>
  <c r="Z1607" i="1"/>
  <c r="S1607" i="1" s="1"/>
  <c r="AA1603" i="1"/>
  <c r="Z1603" i="1"/>
  <c r="S1603" i="1" s="1"/>
  <c r="AA1599" i="1"/>
  <c r="Z1599" i="1"/>
  <c r="S1599" i="1" s="1"/>
  <c r="AA1595" i="1"/>
  <c r="Z1595" i="1"/>
  <c r="S1595" i="1" s="1"/>
  <c r="AA1591" i="1"/>
  <c r="Z1591" i="1"/>
  <c r="S1591" i="1" s="1"/>
  <c r="AA1587" i="1"/>
  <c r="Z1587" i="1"/>
  <c r="S1587" i="1" s="1"/>
  <c r="AA1583" i="1"/>
  <c r="Z1583" i="1"/>
  <c r="S1583" i="1" s="1"/>
  <c r="AA1579" i="1"/>
  <c r="Z1579" i="1"/>
  <c r="S1579" i="1" s="1"/>
  <c r="AA1575" i="1"/>
  <c r="Z1575" i="1"/>
  <c r="S1575" i="1" s="1"/>
  <c r="AA1571" i="1"/>
  <c r="Z1571" i="1"/>
  <c r="S1571" i="1" s="1"/>
  <c r="AA1567" i="1"/>
  <c r="Z1567" i="1"/>
  <c r="S1567" i="1" s="1"/>
  <c r="AA1563" i="1"/>
  <c r="Z1563" i="1"/>
  <c r="S1563" i="1" s="1"/>
  <c r="AA1559" i="1"/>
  <c r="Z1559" i="1"/>
  <c r="S1559" i="1" s="1"/>
  <c r="AA1555" i="1"/>
  <c r="Z1555" i="1"/>
  <c r="S1555" i="1" s="1"/>
  <c r="AA1551" i="1"/>
  <c r="Z1551" i="1"/>
  <c r="S1551" i="1" s="1"/>
  <c r="AA1547" i="1"/>
  <c r="Z1547" i="1"/>
  <c r="S1547" i="1" s="1"/>
  <c r="AA1543" i="1"/>
  <c r="Z1543" i="1"/>
  <c r="S1543" i="1" s="1"/>
  <c r="AA1539" i="1"/>
  <c r="Z1539" i="1"/>
  <c r="S1539" i="1" s="1"/>
  <c r="AA1535" i="1"/>
  <c r="Z1535" i="1"/>
  <c r="S1535" i="1" s="1"/>
  <c r="AA1531" i="1"/>
  <c r="Z1531" i="1"/>
  <c r="S1531" i="1" s="1"/>
  <c r="AA1527" i="1"/>
  <c r="Z1527" i="1"/>
  <c r="S1527" i="1" s="1"/>
  <c r="AA1523" i="1"/>
  <c r="Z1523" i="1"/>
  <c r="S1523" i="1" s="1"/>
  <c r="AA1519" i="1"/>
  <c r="Z1519" i="1"/>
  <c r="S1519" i="1" s="1"/>
  <c r="AA1515" i="1"/>
  <c r="Z1515" i="1"/>
  <c r="S1515" i="1" s="1"/>
  <c r="AA1511" i="1"/>
  <c r="Z1511" i="1"/>
  <c r="S1511" i="1" s="1"/>
  <c r="AA1507" i="1"/>
  <c r="Z1507" i="1"/>
  <c r="S1507" i="1" s="1"/>
  <c r="AA1503" i="1"/>
  <c r="Z1503" i="1"/>
  <c r="S1503" i="1" s="1"/>
  <c r="AA1499" i="1"/>
  <c r="Z1499" i="1"/>
  <c r="S1499" i="1" s="1"/>
  <c r="AA1495" i="1"/>
  <c r="Z1495" i="1"/>
  <c r="S1495" i="1" s="1"/>
  <c r="AA1491" i="1"/>
  <c r="Z1491" i="1"/>
  <c r="S1491" i="1" s="1"/>
  <c r="AA1487" i="1"/>
  <c r="Z1487" i="1"/>
  <c r="S1487" i="1" s="1"/>
  <c r="AA1483" i="1"/>
  <c r="Z1483" i="1"/>
  <c r="S1483" i="1" s="1"/>
  <c r="AA1479" i="1"/>
  <c r="Z1479" i="1"/>
  <c r="S1479" i="1" s="1"/>
  <c r="AA1475" i="1"/>
  <c r="Z1475" i="1"/>
  <c r="S1475" i="1" s="1"/>
  <c r="AA1471" i="1"/>
  <c r="Z1471" i="1"/>
  <c r="S1471" i="1" s="1"/>
  <c r="AA1467" i="1"/>
  <c r="Z1467" i="1"/>
  <c r="S1467" i="1" s="1"/>
  <c r="AA1463" i="1"/>
  <c r="Z1463" i="1"/>
  <c r="S1463" i="1" s="1"/>
  <c r="AA1459" i="1"/>
  <c r="Z1459" i="1"/>
  <c r="S1459" i="1" s="1"/>
  <c r="AA1455" i="1"/>
  <c r="Z1455" i="1"/>
  <c r="S1455" i="1" s="1"/>
  <c r="AA1451" i="1"/>
  <c r="Z1451" i="1"/>
  <c r="S1451" i="1" s="1"/>
  <c r="AA1447" i="1"/>
  <c r="Z1447" i="1"/>
  <c r="S1447" i="1" s="1"/>
  <c r="AA1443" i="1"/>
  <c r="Z1443" i="1"/>
  <c r="S1443" i="1" s="1"/>
  <c r="AA1439" i="1"/>
  <c r="Z1439" i="1"/>
  <c r="S1439" i="1" s="1"/>
  <c r="AA1435" i="1"/>
  <c r="Z1435" i="1"/>
  <c r="S1435" i="1" s="1"/>
  <c r="AA1431" i="1"/>
  <c r="Z1431" i="1"/>
  <c r="S1431" i="1" s="1"/>
  <c r="AA1427" i="1"/>
  <c r="Z1427" i="1"/>
  <c r="S1427" i="1" s="1"/>
  <c r="AA1423" i="1"/>
  <c r="Z1423" i="1"/>
  <c r="S1423" i="1" s="1"/>
  <c r="AA1419" i="1"/>
  <c r="Z1419" i="1"/>
  <c r="S1419" i="1" s="1"/>
  <c r="AA1415" i="1"/>
  <c r="Z1415" i="1"/>
  <c r="S1415" i="1" s="1"/>
  <c r="AA1411" i="1"/>
  <c r="Z1411" i="1"/>
  <c r="S1411" i="1" s="1"/>
  <c r="AA1407" i="1"/>
  <c r="Z1407" i="1"/>
  <c r="S1407" i="1" s="1"/>
  <c r="AA1403" i="1"/>
  <c r="Z1403" i="1"/>
  <c r="S1403" i="1" s="1"/>
  <c r="AA1399" i="1"/>
  <c r="Z1399" i="1"/>
  <c r="S1399" i="1" s="1"/>
  <c r="AA1395" i="1"/>
  <c r="Z1395" i="1"/>
  <c r="S1395" i="1" s="1"/>
  <c r="AA1391" i="1"/>
  <c r="Z1391" i="1"/>
  <c r="S1391" i="1" s="1"/>
  <c r="AA1387" i="1"/>
  <c r="Z1387" i="1"/>
  <c r="S1387" i="1" s="1"/>
  <c r="AA1383" i="1"/>
  <c r="Z1383" i="1"/>
  <c r="S1383" i="1" s="1"/>
  <c r="AA1379" i="1"/>
  <c r="Z1379" i="1"/>
  <c r="S1379" i="1" s="1"/>
  <c r="AA1375" i="1"/>
  <c r="Z1375" i="1"/>
  <c r="S1375" i="1" s="1"/>
  <c r="AA1371" i="1"/>
  <c r="Z1371" i="1"/>
  <c r="S1371" i="1" s="1"/>
  <c r="AA1367" i="1"/>
  <c r="Z1367" i="1"/>
  <c r="S1367" i="1" s="1"/>
  <c r="AA1363" i="1"/>
  <c r="Z1363" i="1"/>
  <c r="S1363" i="1" s="1"/>
  <c r="AA1359" i="1"/>
  <c r="Z1359" i="1"/>
  <c r="S1359" i="1" s="1"/>
  <c r="AA1355" i="1"/>
  <c r="Z1355" i="1"/>
  <c r="S1355" i="1" s="1"/>
  <c r="AA1351" i="1"/>
  <c r="Z1351" i="1"/>
  <c r="S1351" i="1" s="1"/>
  <c r="AA1347" i="1"/>
  <c r="Z1347" i="1"/>
  <c r="S1347" i="1" s="1"/>
  <c r="AA1343" i="1"/>
  <c r="Z1343" i="1"/>
  <c r="S1343" i="1" s="1"/>
  <c r="AA1339" i="1"/>
  <c r="Z1339" i="1"/>
  <c r="S1339" i="1" s="1"/>
  <c r="AA1335" i="1"/>
  <c r="Z1335" i="1"/>
  <c r="S1335" i="1" s="1"/>
  <c r="AA1331" i="1"/>
  <c r="Z1331" i="1"/>
  <c r="S1331" i="1" s="1"/>
  <c r="AA1327" i="1"/>
  <c r="Z1327" i="1"/>
  <c r="S1327" i="1" s="1"/>
  <c r="AA1323" i="1"/>
  <c r="Z1323" i="1"/>
  <c r="S1323" i="1" s="1"/>
  <c r="AA1319" i="1"/>
  <c r="Z1319" i="1"/>
  <c r="S1319" i="1" s="1"/>
  <c r="AA1315" i="1"/>
  <c r="Z1315" i="1"/>
  <c r="S1315" i="1" s="1"/>
  <c r="AA1311" i="1"/>
  <c r="Z1311" i="1"/>
  <c r="S1311" i="1" s="1"/>
  <c r="AA1307" i="1"/>
  <c r="Z1307" i="1"/>
  <c r="S1307" i="1" s="1"/>
  <c r="AA1303" i="1"/>
  <c r="Z1303" i="1"/>
  <c r="S1303" i="1" s="1"/>
  <c r="AA1299" i="1"/>
  <c r="Z1299" i="1"/>
  <c r="S1299" i="1" s="1"/>
  <c r="AA1295" i="1"/>
  <c r="Z1295" i="1"/>
  <c r="S1295" i="1" s="1"/>
  <c r="AA1291" i="1"/>
  <c r="Z1291" i="1"/>
  <c r="S1291" i="1" s="1"/>
  <c r="AA1287" i="1"/>
  <c r="Z1287" i="1"/>
  <c r="S1287" i="1" s="1"/>
  <c r="AA1283" i="1"/>
  <c r="Z1283" i="1"/>
  <c r="S1283" i="1" s="1"/>
  <c r="AA1279" i="1"/>
  <c r="Z1279" i="1"/>
  <c r="S1279" i="1" s="1"/>
  <c r="AA1275" i="1"/>
  <c r="Z1275" i="1"/>
  <c r="S1275" i="1" s="1"/>
  <c r="AA1271" i="1"/>
  <c r="Z1271" i="1"/>
  <c r="S1271" i="1" s="1"/>
  <c r="AA1267" i="1"/>
  <c r="Z1267" i="1"/>
  <c r="S1267" i="1" s="1"/>
  <c r="AA1263" i="1"/>
  <c r="Z1263" i="1"/>
  <c r="S1263" i="1" s="1"/>
  <c r="AA1259" i="1"/>
  <c r="Z1259" i="1"/>
  <c r="S1259" i="1" s="1"/>
  <c r="AA1255" i="1"/>
  <c r="Z1255" i="1"/>
  <c r="S1255" i="1" s="1"/>
  <c r="AA1251" i="1"/>
  <c r="Z1251" i="1"/>
  <c r="S1251" i="1" s="1"/>
  <c r="AA1247" i="1"/>
  <c r="Z1247" i="1"/>
  <c r="S1247" i="1" s="1"/>
  <c r="AA1243" i="1"/>
  <c r="Z1243" i="1"/>
  <c r="S1243" i="1" s="1"/>
  <c r="AA1239" i="1"/>
  <c r="Z1239" i="1"/>
  <c r="S1239" i="1" s="1"/>
  <c r="AA1235" i="1"/>
  <c r="Z1235" i="1"/>
  <c r="S1235" i="1" s="1"/>
  <c r="AA1231" i="1"/>
  <c r="Z1231" i="1"/>
  <c r="S1231" i="1" s="1"/>
  <c r="AA1227" i="1"/>
  <c r="Z1227" i="1"/>
  <c r="S1227" i="1" s="1"/>
  <c r="AA1223" i="1"/>
  <c r="Z1223" i="1"/>
  <c r="S1223" i="1" s="1"/>
  <c r="AA1219" i="1"/>
  <c r="Z1219" i="1"/>
  <c r="S1219" i="1" s="1"/>
  <c r="AA1215" i="1"/>
  <c r="Z1215" i="1"/>
  <c r="S1215" i="1" s="1"/>
  <c r="AA1211" i="1"/>
  <c r="Z1211" i="1"/>
  <c r="S1211" i="1" s="1"/>
  <c r="AA1207" i="1"/>
  <c r="Z1207" i="1"/>
  <c r="S1207" i="1" s="1"/>
  <c r="AA1203" i="1"/>
  <c r="Z1203" i="1"/>
  <c r="S1203" i="1" s="1"/>
  <c r="AA1199" i="1"/>
  <c r="Z1199" i="1"/>
  <c r="S1199" i="1" s="1"/>
  <c r="AA1195" i="1"/>
  <c r="Z1195" i="1"/>
  <c r="S1195" i="1" s="1"/>
  <c r="AA1191" i="1"/>
  <c r="Z1191" i="1"/>
  <c r="S1191" i="1" s="1"/>
  <c r="AA1187" i="1"/>
  <c r="Z1187" i="1"/>
  <c r="S1187" i="1" s="1"/>
  <c r="AA1183" i="1"/>
  <c r="Z1183" i="1"/>
  <c r="S1183" i="1" s="1"/>
  <c r="AA1179" i="1"/>
  <c r="Z1179" i="1"/>
  <c r="S1179" i="1" s="1"/>
  <c r="AA1175" i="1"/>
  <c r="Z1175" i="1"/>
  <c r="S1175" i="1" s="1"/>
  <c r="AA1171" i="1"/>
  <c r="Z1171" i="1"/>
  <c r="S1171" i="1" s="1"/>
  <c r="AA1167" i="1"/>
  <c r="Z1167" i="1"/>
  <c r="S1167" i="1" s="1"/>
  <c r="AA1163" i="1"/>
  <c r="Z1163" i="1"/>
  <c r="S1163" i="1" s="1"/>
  <c r="AA1159" i="1"/>
  <c r="Z1159" i="1"/>
  <c r="S1159" i="1" s="1"/>
  <c r="AA1155" i="1"/>
  <c r="Z1155" i="1"/>
  <c r="S1155" i="1" s="1"/>
  <c r="AA1151" i="1"/>
  <c r="Z1151" i="1"/>
  <c r="S1151" i="1" s="1"/>
  <c r="AA1147" i="1"/>
  <c r="Z1147" i="1"/>
  <c r="S1147" i="1" s="1"/>
  <c r="AA1143" i="1"/>
  <c r="Z1143" i="1"/>
  <c r="S1143" i="1" s="1"/>
  <c r="AA1139" i="1"/>
  <c r="Z1139" i="1"/>
  <c r="S1139" i="1" s="1"/>
  <c r="AA1135" i="1"/>
  <c r="Z1135" i="1"/>
  <c r="S1135" i="1" s="1"/>
  <c r="AA1131" i="1"/>
  <c r="Z1131" i="1"/>
  <c r="S1131" i="1" s="1"/>
  <c r="AA1127" i="1"/>
  <c r="Z1127" i="1"/>
  <c r="S1127" i="1" s="1"/>
  <c r="AA1123" i="1"/>
  <c r="Z1123" i="1"/>
  <c r="S1123" i="1" s="1"/>
  <c r="AA1119" i="1"/>
  <c r="Z1119" i="1"/>
  <c r="S1119" i="1" s="1"/>
  <c r="AA1115" i="1"/>
  <c r="Z1115" i="1"/>
  <c r="S1115" i="1" s="1"/>
  <c r="AA1111" i="1"/>
  <c r="Z1111" i="1"/>
  <c r="S1111" i="1" s="1"/>
  <c r="AA1107" i="1"/>
  <c r="Z1107" i="1"/>
  <c r="S1107" i="1" s="1"/>
  <c r="AA1103" i="1"/>
  <c r="Z1103" i="1"/>
  <c r="S1103" i="1" s="1"/>
  <c r="AA1099" i="1"/>
  <c r="Z1099" i="1"/>
  <c r="S1099" i="1" s="1"/>
  <c r="AA1095" i="1"/>
  <c r="Z1095" i="1"/>
  <c r="S1095" i="1" s="1"/>
  <c r="AA1091" i="1"/>
  <c r="Z1091" i="1"/>
  <c r="S1091" i="1" s="1"/>
  <c r="AA1087" i="1"/>
  <c r="Z1087" i="1"/>
  <c r="S1087" i="1" s="1"/>
  <c r="AA1083" i="1"/>
  <c r="Z1083" i="1"/>
  <c r="S1083" i="1" s="1"/>
  <c r="AA1079" i="1"/>
  <c r="Z1079" i="1"/>
  <c r="S1079" i="1" s="1"/>
  <c r="AA1075" i="1"/>
  <c r="Z1075" i="1"/>
  <c r="S1075" i="1" s="1"/>
  <c r="AA1071" i="1"/>
  <c r="Z1071" i="1"/>
  <c r="S1071" i="1" s="1"/>
  <c r="AA1067" i="1"/>
  <c r="Z1067" i="1"/>
  <c r="S1067" i="1" s="1"/>
  <c r="AA1063" i="1"/>
  <c r="Z1063" i="1"/>
  <c r="S1063" i="1" s="1"/>
  <c r="AA1059" i="1"/>
  <c r="Z1059" i="1"/>
  <c r="S1059" i="1" s="1"/>
  <c r="AA1055" i="1"/>
  <c r="Z1055" i="1"/>
  <c r="S1055" i="1" s="1"/>
  <c r="AA1051" i="1"/>
  <c r="Z1051" i="1"/>
  <c r="S1051" i="1" s="1"/>
  <c r="AA1047" i="1"/>
  <c r="Z1047" i="1"/>
  <c r="S1047" i="1" s="1"/>
  <c r="AA1043" i="1"/>
  <c r="Z1043" i="1"/>
  <c r="S1043" i="1" s="1"/>
  <c r="AA1039" i="1"/>
  <c r="Z1039" i="1"/>
  <c r="S1039" i="1" s="1"/>
  <c r="AA1035" i="1"/>
  <c r="Z1035" i="1"/>
  <c r="S1035" i="1" s="1"/>
  <c r="AA1031" i="1"/>
  <c r="Z1031" i="1"/>
  <c r="S1031" i="1" s="1"/>
  <c r="AA1027" i="1"/>
  <c r="Z1027" i="1"/>
  <c r="S1027" i="1" s="1"/>
  <c r="AA1023" i="1"/>
  <c r="Z1023" i="1"/>
  <c r="S1023" i="1" s="1"/>
  <c r="AA1019" i="1"/>
  <c r="Z1019" i="1"/>
  <c r="S1019" i="1" s="1"/>
  <c r="AA1015" i="1"/>
  <c r="Z1015" i="1"/>
  <c r="S1015" i="1" s="1"/>
  <c r="AA1011" i="1"/>
  <c r="Z1011" i="1"/>
  <c r="S1011" i="1" s="1"/>
  <c r="AA1007" i="1"/>
  <c r="Z1007" i="1"/>
  <c r="S1007" i="1" s="1"/>
  <c r="AA1003" i="1"/>
  <c r="Z1003" i="1"/>
  <c r="S1003" i="1" s="1"/>
  <c r="AA999" i="1"/>
  <c r="Z999" i="1"/>
  <c r="S999" i="1" s="1"/>
  <c r="AA995" i="1"/>
  <c r="Z995" i="1"/>
  <c r="S995" i="1" s="1"/>
  <c r="AA991" i="1"/>
  <c r="Z991" i="1"/>
  <c r="S991" i="1" s="1"/>
  <c r="AA987" i="1"/>
  <c r="Z987" i="1"/>
  <c r="S987" i="1" s="1"/>
  <c r="AA983" i="1"/>
  <c r="Z983" i="1"/>
  <c r="S983" i="1" s="1"/>
  <c r="AA979" i="1"/>
  <c r="Z979" i="1"/>
  <c r="S979" i="1" s="1"/>
  <c r="AA975" i="1"/>
  <c r="Z975" i="1"/>
  <c r="S975" i="1" s="1"/>
  <c r="AA971" i="1"/>
  <c r="Z971" i="1"/>
  <c r="S971" i="1" s="1"/>
  <c r="AA967" i="1"/>
  <c r="Z967" i="1"/>
  <c r="S967" i="1" s="1"/>
  <c r="AA963" i="1"/>
  <c r="Z963" i="1"/>
  <c r="S963" i="1" s="1"/>
  <c r="AA959" i="1"/>
  <c r="Z959" i="1"/>
  <c r="S959" i="1" s="1"/>
  <c r="AA955" i="1"/>
  <c r="Z955" i="1"/>
  <c r="S955" i="1" s="1"/>
  <c r="AA951" i="1"/>
  <c r="Z951" i="1"/>
  <c r="S951" i="1" s="1"/>
  <c r="AA947" i="1"/>
  <c r="Z947" i="1"/>
  <c r="S947" i="1" s="1"/>
  <c r="AA943" i="1"/>
  <c r="Z943" i="1"/>
  <c r="S943" i="1" s="1"/>
  <c r="AA939" i="1"/>
  <c r="Z939" i="1"/>
  <c r="S939" i="1" s="1"/>
  <c r="AA935" i="1"/>
  <c r="Z935" i="1"/>
  <c r="S935" i="1" s="1"/>
  <c r="AA931" i="1"/>
  <c r="Z931" i="1"/>
  <c r="S931" i="1" s="1"/>
  <c r="AA927" i="1"/>
  <c r="Z927" i="1"/>
  <c r="S927" i="1" s="1"/>
  <c r="AA923" i="1"/>
  <c r="Z923" i="1"/>
  <c r="S923" i="1" s="1"/>
  <c r="AA919" i="1"/>
  <c r="Z919" i="1"/>
  <c r="S919" i="1" s="1"/>
  <c r="AA915" i="1"/>
  <c r="Z915" i="1"/>
  <c r="S915" i="1" s="1"/>
  <c r="AA911" i="1"/>
  <c r="Z911" i="1"/>
  <c r="S911" i="1" s="1"/>
  <c r="AA907" i="1"/>
  <c r="Z907" i="1"/>
  <c r="S907" i="1" s="1"/>
  <c r="AA903" i="1"/>
  <c r="Z903" i="1"/>
  <c r="S903" i="1" s="1"/>
  <c r="AA899" i="1"/>
  <c r="Z899" i="1"/>
  <c r="S899" i="1" s="1"/>
  <c r="AA895" i="1"/>
  <c r="Z895" i="1"/>
  <c r="S895" i="1" s="1"/>
  <c r="AA891" i="1"/>
  <c r="Z891" i="1"/>
  <c r="S891" i="1" s="1"/>
  <c r="AA887" i="1"/>
  <c r="Z887" i="1"/>
  <c r="S887" i="1" s="1"/>
  <c r="AA883" i="1"/>
  <c r="Z883" i="1"/>
  <c r="S883" i="1" s="1"/>
  <c r="AA879" i="1"/>
  <c r="Z879" i="1"/>
  <c r="S879" i="1" s="1"/>
  <c r="AA875" i="1"/>
  <c r="Z875" i="1"/>
  <c r="S875" i="1" s="1"/>
  <c r="AA871" i="1"/>
  <c r="Z871" i="1"/>
  <c r="S871" i="1" s="1"/>
  <c r="AA867" i="1"/>
  <c r="Z867" i="1"/>
  <c r="S867" i="1" s="1"/>
  <c r="AA863" i="1"/>
  <c r="Z863" i="1"/>
  <c r="S863" i="1" s="1"/>
  <c r="AA859" i="1"/>
  <c r="Z859" i="1"/>
  <c r="S859" i="1" s="1"/>
  <c r="AA855" i="1"/>
  <c r="Z855" i="1"/>
  <c r="S855" i="1" s="1"/>
  <c r="AA851" i="1"/>
  <c r="Z851" i="1"/>
  <c r="S851" i="1" s="1"/>
  <c r="AA847" i="1"/>
  <c r="Z847" i="1"/>
  <c r="S847" i="1" s="1"/>
  <c r="AA843" i="1"/>
  <c r="Z843" i="1"/>
  <c r="S843" i="1" s="1"/>
  <c r="AA839" i="1"/>
  <c r="Z839" i="1"/>
  <c r="S839" i="1" s="1"/>
  <c r="AA835" i="1"/>
  <c r="Z835" i="1"/>
  <c r="S835" i="1" s="1"/>
  <c r="AA831" i="1"/>
  <c r="Z831" i="1"/>
  <c r="S831" i="1" s="1"/>
  <c r="AA827" i="1"/>
  <c r="Z827" i="1"/>
  <c r="S827" i="1" s="1"/>
  <c r="AA823" i="1"/>
  <c r="Z823" i="1"/>
  <c r="S823" i="1" s="1"/>
  <c r="AA819" i="1"/>
  <c r="Z819" i="1"/>
  <c r="S819" i="1" s="1"/>
  <c r="AA815" i="1"/>
  <c r="Z815" i="1"/>
  <c r="S815" i="1" s="1"/>
  <c r="AA811" i="1"/>
  <c r="Z811" i="1"/>
  <c r="S811" i="1" s="1"/>
  <c r="AA807" i="1"/>
  <c r="Z807" i="1"/>
  <c r="S807" i="1" s="1"/>
  <c r="AA803" i="1"/>
  <c r="Z803" i="1"/>
  <c r="S803" i="1" s="1"/>
  <c r="AA799" i="1"/>
  <c r="Z799" i="1"/>
  <c r="S799" i="1" s="1"/>
  <c r="AA795" i="1"/>
  <c r="Z795" i="1"/>
  <c r="S795" i="1" s="1"/>
  <c r="AA791" i="1"/>
  <c r="Z791" i="1"/>
  <c r="S791" i="1" s="1"/>
  <c r="AA787" i="1"/>
  <c r="Z787" i="1"/>
  <c r="S787" i="1" s="1"/>
  <c r="AA783" i="1"/>
  <c r="Z783" i="1"/>
  <c r="S783" i="1" s="1"/>
  <c r="AA779" i="1"/>
  <c r="Z779" i="1"/>
  <c r="S779" i="1" s="1"/>
  <c r="AA775" i="1"/>
  <c r="Z775" i="1"/>
  <c r="S775" i="1" s="1"/>
  <c r="AA771" i="1"/>
  <c r="Z771" i="1"/>
  <c r="S771" i="1" s="1"/>
  <c r="AA767" i="1"/>
  <c r="Z767" i="1"/>
  <c r="S767" i="1" s="1"/>
  <c r="AA763" i="1"/>
  <c r="Z763" i="1"/>
  <c r="S763" i="1" s="1"/>
  <c r="AA759" i="1"/>
  <c r="Z759" i="1"/>
  <c r="S759" i="1" s="1"/>
  <c r="AA755" i="1"/>
  <c r="Z755" i="1"/>
  <c r="S755" i="1" s="1"/>
  <c r="AA751" i="1"/>
  <c r="Z751" i="1"/>
  <c r="S751" i="1" s="1"/>
  <c r="AA747" i="1"/>
  <c r="Z747" i="1"/>
  <c r="S747" i="1" s="1"/>
  <c r="AA743" i="1"/>
  <c r="Z743" i="1"/>
  <c r="S743" i="1" s="1"/>
  <c r="AA739" i="1"/>
  <c r="Z739" i="1"/>
  <c r="S739" i="1" s="1"/>
  <c r="AA735" i="1"/>
  <c r="Z735" i="1"/>
  <c r="S735" i="1" s="1"/>
  <c r="AA731" i="1"/>
  <c r="Z731" i="1"/>
  <c r="S731" i="1" s="1"/>
  <c r="AA727" i="1"/>
  <c r="Z727" i="1"/>
  <c r="S727" i="1" s="1"/>
  <c r="AA723" i="1"/>
  <c r="Z723" i="1"/>
  <c r="S723" i="1" s="1"/>
  <c r="AA719" i="1"/>
  <c r="Z719" i="1"/>
  <c r="S719" i="1" s="1"/>
  <c r="AA715" i="1"/>
  <c r="Z715" i="1"/>
  <c r="S715" i="1" s="1"/>
  <c r="AA711" i="1"/>
  <c r="Z711" i="1"/>
  <c r="S711" i="1" s="1"/>
  <c r="AA707" i="1"/>
  <c r="Z707" i="1"/>
  <c r="S707" i="1" s="1"/>
  <c r="AA703" i="1"/>
  <c r="Z703" i="1"/>
  <c r="S703" i="1" s="1"/>
  <c r="AA699" i="1"/>
  <c r="Z699" i="1"/>
  <c r="S699" i="1" s="1"/>
  <c r="AA695" i="1"/>
  <c r="Z695" i="1"/>
  <c r="S695" i="1" s="1"/>
  <c r="AA691" i="1"/>
  <c r="Z691" i="1"/>
  <c r="S691" i="1" s="1"/>
  <c r="AA687" i="1"/>
  <c r="Z687" i="1"/>
  <c r="S687" i="1" s="1"/>
  <c r="AA683" i="1"/>
  <c r="Z683" i="1"/>
  <c r="S683" i="1" s="1"/>
  <c r="AA679" i="1"/>
  <c r="Z679" i="1"/>
  <c r="S679" i="1" s="1"/>
  <c r="AA675" i="1"/>
  <c r="Z675" i="1"/>
  <c r="S675" i="1" s="1"/>
  <c r="AA671" i="1"/>
  <c r="Z671" i="1"/>
  <c r="S671" i="1" s="1"/>
  <c r="AA667" i="1"/>
  <c r="Z667" i="1"/>
  <c r="S667" i="1" s="1"/>
  <c r="AA663" i="1"/>
  <c r="Z663" i="1"/>
  <c r="S663" i="1" s="1"/>
  <c r="AA659" i="1"/>
  <c r="Z659" i="1"/>
  <c r="S659" i="1" s="1"/>
  <c r="AA655" i="1"/>
  <c r="Z655" i="1"/>
  <c r="S655" i="1" s="1"/>
  <c r="AA651" i="1"/>
  <c r="Z651" i="1"/>
  <c r="S651" i="1" s="1"/>
  <c r="AA647" i="1"/>
  <c r="Z647" i="1"/>
  <c r="S647" i="1" s="1"/>
  <c r="AA643" i="1"/>
  <c r="Z643" i="1"/>
  <c r="S643" i="1" s="1"/>
  <c r="AA639" i="1"/>
  <c r="Z639" i="1"/>
  <c r="S639" i="1" s="1"/>
  <c r="AA635" i="1"/>
  <c r="Z635" i="1"/>
  <c r="S635" i="1" s="1"/>
  <c r="AA631" i="1"/>
  <c r="Z631" i="1"/>
  <c r="S631" i="1" s="1"/>
  <c r="AA627" i="1"/>
  <c r="Z627" i="1"/>
  <c r="S627" i="1" s="1"/>
  <c r="AA623" i="1"/>
  <c r="Z623" i="1"/>
  <c r="S623" i="1" s="1"/>
  <c r="AA619" i="1"/>
  <c r="Z619" i="1"/>
  <c r="S619" i="1" s="1"/>
  <c r="AA615" i="1"/>
  <c r="Z615" i="1"/>
  <c r="S615" i="1" s="1"/>
  <c r="AA611" i="1"/>
  <c r="Z611" i="1"/>
  <c r="S611" i="1" s="1"/>
  <c r="AA607" i="1"/>
  <c r="Z607" i="1"/>
  <c r="S607" i="1" s="1"/>
  <c r="AA603" i="1"/>
  <c r="Z603" i="1"/>
  <c r="S603" i="1" s="1"/>
  <c r="AA599" i="1"/>
  <c r="Z599" i="1"/>
  <c r="S599" i="1" s="1"/>
  <c r="AA595" i="1"/>
  <c r="Z595" i="1"/>
  <c r="S595" i="1" s="1"/>
  <c r="AA591" i="1"/>
  <c r="Z591" i="1"/>
  <c r="S591" i="1" s="1"/>
  <c r="AA587" i="1"/>
  <c r="Z587" i="1"/>
  <c r="S587" i="1" s="1"/>
  <c r="AA583" i="1"/>
  <c r="Z583" i="1"/>
  <c r="S583" i="1" s="1"/>
  <c r="AA579" i="1"/>
  <c r="Z579" i="1"/>
  <c r="S579" i="1" s="1"/>
  <c r="AA575" i="1"/>
  <c r="Z575" i="1"/>
  <c r="S575" i="1" s="1"/>
  <c r="AA571" i="1"/>
  <c r="Z571" i="1"/>
  <c r="S571" i="1" s="1"/>
  <c r="AA567" i="1"/>
  <c r="Z567" i="1"/>
  <c r="S567" i="1" s="1"/>
  <c r="AA563" i="1"/>
  <c r="Z563" i="1"/>
  <c r="S563" i="1" s="1"/>
  <c r="AA559" i="1"/>
  <c r="Z559" i="1"/>
  <c r="S559" i="1" s="1"/>
  <c r="AA555" i="1"/>
  <c r="Z555" i="1"/>
  <c r="S555" i="1" s="1"/>
  <c r="AA551" i="1"/>
  <c r="Z551" i="1"/>
  <c r="S551" i="1" s="1"/>
  <c r="AA547" i="1"/>
  <c r="Z547" i="1"/>
  <c r="S547" i="1" s="1"/>
  <c r="AA543" i="1"/>
  <c r="Z543" i="1"/>
  <c r="S543" i="1" s="1"/>
  <c r="AA539" i="1"/>
  <c r="Z539" i="1"/>
  <c r="S539" i="1" s="1"/>
  <c r="AA535" i="1"/>
  <c r="Z535" i="1"/>
  <c r="S535" i="1" s="1"/>
  <c r="AA531" i="1"/>
  <c r="Z531" i="1"/>
  <c r="S531" i="1" s="1"/>
  <c r="AA527" i="1"/>
  <c r="Z527" i="1"/>
  <c r="S527" i="1" s="1"/>
  <c r="AA523" i="1"/>
  <c r="Z523" i="1"/>
  <c r="S523" i="1" s="1"/>
  <c r="AA519" i="1"/>
  <c r="Z519" i="1"/>
  <c r="S519" i="1" s="1"/>
  <c r="AA515" i="1"/>
  <c r="Z515" i="1"/>
  <c r="S515" i="1" s="1"/>
  <c r="AA511" i="1"/>
  <c r="Z511" i="1"/>
  <c r="S511" i="1" s="1"/>
  <c r="AA507" i="1"/>
  <c r="Z507" i="1"/>
  <c r="S507" i="1" s="1"/>
  <c r="AA503" i="1"/>
  <c r="Z503" i="1"/>
  <c r="S503" i="1" s="1"/>
  <c r="AA499" i="1"/>
  <c r="Z499" i="1"/>
  <c r="S499" i="1" s="1"/>
  <c r="AA495" i="1"/>
  <c r="Z495" i="1"/>
  <c r="S495" i="1" s="1"/>
  <c r="AA491" i="1"/>
  <c r="Z491" i="1"/>
  <c r="S491" i="1" s="1"/>
  <c r="AA487" i="1"/>
  <c r="Z487" i="1"/>
  <c r="S487" i="1" s="1"/>
  <c r="AA483" i="1"/>
  <c r="Z483" i="1"/>
  <c r="S483" i="1" s="1"/>
  <c r="AA479" i="1"/>
  <c r="Z479" i="1"/>
  <c r="S479" i="1" s="1"/>
  <c r="AA475" i="1"/>
  <c r="Z475" i="1"/>
  <c r="S475" i="1" s="1"/>
  <c r="AA471" i="1"/>
  <c r="Z471" i="1"/>
  <c r="S471" i="1" s="1"/>
  <c r="AA467" i="1"/>
  <c r="Z467" i="1"/>
  <c r="S467" i="1" s="1"/>
  <c r="AA463" i="1"/>
  <c r="Z463" i="1"/>
  <c r="S463" i="1" s="1"/>
  <c r="AA459" i="1"/>
  <c r="Z459" i="1"/>
  <c r="S459" i="1" s="1"/>
  <c r="AA455" i="1"/>
  <c r="Z455" i="1"/>
  <c r="S455" i="1" s="1"/>
  <c r="AA451" i="1"/>
  <c r="Z451" i="1"/>
  <c r="S451" i="1" s="1"/>
  <c r="AA447" i="1"/>
  <c r="Z447" i="1"/>
  <c r="S447" i="1" s="1"/>
  <c r="AA443" i="1"/>
  <c r="Z443" i="1"/>
  <c r="S443" i="1" s="1"/>
  <c r="AA439" i="1"/>
  <c r="Z439" i="1"/>
  <c r="S439" i="1" s="1"/>
  <c r="AA435" i="1"/>
  <c r="Z435" i="1"/>
  <c r="S435" i="1" s="1"/>
  <c r="AA431" i="1"/>
  <c r="Z431" i="1"/>
  <c r="S431" i="1" s="1"/>
  <c r="AA427" i="1"/>
  <c r="Z427" i="1"/>
  <c r="S427" i="1" s="1"/>
  <c r="AA423" i="1"/>
  <c r="Z423" i="1"/>
  <c r="S423" i="1" s="1"/>
  <c r="AA419" i="1"/>
  <c r="Z419" i="1"/>
  <c r="S419" i="1" s="1"/>
  <c r="AA415" i="1"/>
  <c r="Z415" i="1"/>
  <c r="S415" i="1" s="1"/>
  <c r="AA411" i="1"/>
  <c r="Z411" i="1"/>
  <c r="S411" i="1" s="1"/>
  <c r="AA407" i="1"/>
  <c r="Z407" i="1"/>
  <c r="S407" i="1" s="1"/>
  <c r="AA403" i="1"/>
  <c r="Z403" i="1"/>
  <c r="S403" i="1" s="1"/>
  <c r="AA399" i="1"/>
  <c r="Z399" i="1"/>
  <c r="S399" i="1" s="1"/>
  <c r="AA395" i="1"/>
  <c r="Z395" i="1"/>
  <c r="S395" i="1" s="1"/>
  <c r="AA391" i="1"/>
  <c r="Z391" i="1"/>
  <c r="S391" i="1" s="1"/>
  <c r="AA387" i="1"/>
  <c r="Z387" i="1"/>
  <c r="S387" i="1" s="1"/>
  <c r="AA383" i="1"/>
  <c r="Z383" i="1"/>
  <c r="S383" i="1" s="1"/>
  <c r="AA379" i="1"/>
  <c r="Z379" i="1"/>
  <c r="S379" i="1" s="1"/>
  <c r="AA375" i="1"/>
  <c r="Z375" i="1"/>
  <c r="S375" i="1" s="1"/>
  <c r="AA371" i="1"/>
  <c r="Z371" i="1"/>
  <c r="S371" i="1" s="1"/>
  <c r="AA367" i="1"/>
  <c r="Z367" i="1"/>
  <c r="S367" i="1" s="1"/>
  <c r="AA363" i="1"/>
  <c r="Z363" i="1"/>
  <c r="S363" i="1" s="1"/>
  <c r="AA359" i="1"/>
  <c r="Z359" i="1"/>
  <c r="S359" i="1" s="1"/>
  <c r="AA355" i="1"/>
  <c r="Z355" i="1"/>
  <c r="S355" i="1" s="1"/>
  <c r="AA351" i="1"/>
  <c r="Z351" i="1"/>
  <c r="S351" i="1" s="1"/>
  <c r="AA347" i="1"/>
  <c r="Z347" i="1"/>
  <c r="S347" i="1" s="1"/>
  <c r="AA343" i="1"/>
  <c r="Z343" i="1"/>
  <c r="S343" i="1" s="1"/>
  <c r="AA339" i="1"/>
  <c r="Z339" i="1"/>
  <c r="S339" i="1" s="1"/>
  <c r="AA335" i="1"/>
  <c r="Z335" i="1"/>
  <c r="S335" i="1" s="1"/>
  <c r="AA331" i="1"/>
  <c r="Z331" i="1"/>
  <c r="S331" i="1" s="1"/>
  <c r="AA327" i="1"/>
  <c r="Z327" i="1"/>
  <c r="S327" i="1" s="1"/>
  <c r="AA323" i="1"/>
  <c r="Z323" i="1"/>
  <c r="S323" i="1" s="1"/>
  <c r="AA319" i="1"/>
  <c r="Z319" i="1"/>
  <c r="S319" i="1" s="1"/>
  <c r="AA315" i="1"/>
  <c r="Z315" i="1"/>
  <c r="S315" i="1" s="1"/>
  <c r="AA311" i="1"/>
  <c r="Z311" i="1"/>
  <c r="S311" i="1" s="1"/>
  <c r="AA307" i="1"/>
  <c r="Z307" i="1"/>
  <c r="S307" i="1" s="1"/>
  <c r="AA303" i="1"/>
  <c r="Z303" i="1"/>
  <c r="S303" i="1" s="1"/>
  <c r="AA299" i="1"/>
  <c r="Z299" i="1"/>
  <c r="S299" i="1" s="1"/>
  <c r="AA295" i="1"/>
  <c r="Z295" i="1"/>
  <c r="S295" i="1" s="1"/>
  <c r="AA291" i="1"/>
  <c r="Z291" i="1"/>
  <c r="S291" i="1" s="1"/>
  <c r="AA287" i="1"/>
  <c r="Z287" i="1"/>
  <c r="S287" i="1" s="1"/>
  <c r="AA283" i="1"/>
  <c r="Z283" i="1"/>
  <c r="S283" i="1" s="1"/>
  <c r="AA279" i="1"/>
  <c r="Z279" i="1"/>
  <c r="S279" i="1" s="1"/>
  <c r="AA275" i="1"/>
  <c r="Z275" i="1"/>
  <c r="S275" i="1" s="1"/>
  <c r="AA271" i="1"/>
  <c r="Z271" i="1"/>
  <c r="S271" i="1" s="1"/>
  <c r="AA267" i="1"/>
  <c r="Z267" i="1"/>
  <c r="S267" i="1" s="1"/>
  <c r="AA263" i="1"/>
  <c r="Z263" i="1"/>
  <c r="S263" i="1" s="1"/>
  <c r="AA259" i="1"/>
  <c r="Z259" i="1"/>
  <c r="S259" i="1" s="1"/>
  <c r="AA255" i="1"/>
  <c r="Z255" i="1"/>
  <c r="S255" i="1" s="1"/>
  <c r="AA251" i="1"/>
  <c r="Z251" i="1"/>
  <c r="S251" i="1" s="1"/>
  <c r="AA247" i="1"/>
  <c r="Z247" i="1"/>
  <c r="S247" i="1" s="1"/>
  <c r="AA243" i="1"/>
  <c r="Z243" i="1"/>
  <c r="S243" i="1" s="1"/>
  <c r="AA239" i="1"/>
  <c r="Z239" i="1"/>
  <c r="S239" i="1" s="1"/>
  <c r="AA235" i="1"/>
  <c r="Z235" i="1"/>
  <c r="S235" i="1" s="1"/>
  <c r="AA231" i="1"/>
  <c r="Z231" i="1"/>
  <c r="S231" i="1" s="1"/>
  <c r="AA227" i="1"/>
  <c r="Z227" i="1"/>
  <c r="S227" i="1" s="1"/>
  <c r="AA223" i="1"/>
  <c r="Z223" i="1"/>
  <c r="S223" i="1" s="1"/>
  <c r="AA219" i="1"/>
  <c r="Z219" i="1"/>
  <c r="S219" i="1" s="1"/>
  <c r="AA215" i="1"/>
  <c r="Z215" i="1"/>
  <c r="S215" i="1" s="1"/>
  <c r="AA211" i="1"/>
  <c r="Z211" i="1"/>
  <c r="S211" i="1" s="1"/>
  <c r="AA207" i="1"/>
  <c r="Z207" i="1"/>
  <c r="S207" i="1" s="1"/>
  <c r="AA203" i="1"/>
  <c r="Z203" i="1"/>
  <c r="S203" i="1" s="1"/>
  <c r="AA199" i="1"/>
  <c r="Z199" i="1"/>
  <c r="S199" i="1" s="1"/>
  <c r="AA195" i="1"/>
  <c r="Z195" i="1"/>
  <c r="S195" i="1" s="1"/>
  <c r="AA191" i="1"/>
  <c r="Z191" i="1"/>
  <c r="S191" i="1" s="1"/>
  <c r="AA187" i="1"/>
  <c r="Z187" i="1"/>
  <c r="S187" i="1" s="1"/>
  <c r="AA183" i="1"/>
  <c r="Z183" i="1"/>
  <c r="S183" i="1" s="1"/>
  <c r="AA179" i="1"/>
  <c r="Z179" i="1"/>
  <c r="S179" i="1" s="1"/>
  <c r="AA175" i="1"/>
  <c r="Z175" i="1"/>
  <c r="S175" i="1" s="1"/>
  <c r="AA171" i="1"/>
  <c r="Z171" i="1"/>
  <c r="S171" i="1" s="1"/>
  <c r="AA167" i="1"/>
  <c r="Z167" i="1"/>
  <c r="S167" i="1" s="1"/>
  <c r="AA163" i="1"/>
  <c r="Z163" i="1"/>
  <c r="S163" i="1" s="1"/>
  <c r="AA159" i="1"/>
  <c r="Z159" i="1"/>
  <c r="S159" i="1" s="1"/>
  <c r="AA155" i="1"/>
  <c r="Z155" i="1"/>
  <c r="S155" i="1" s="1"/>
  <c r="AA151" i="1"/>
  <c r="Z151" i="1"/>
  <c r="S151" i="1" s="1"/>
  <c r="AA147" i="1"/>
  <c r="Z147" i="1"/>
  <c r="S147" i="1" s="1"/>
  <c r="AA143" i="1"/>
  <c r="Z143" i="1"/>
  <c r="S143" i="1" s="1"/>
  <c r="AA139" i="1"/>
  <c r="Z139" i="1"/>
  <c r="S139" i="1" s="1"/>
  <c r="AA135" i="1"/>
  <c r="Z135" i="1"/>
  <c r="S135" i="1" s="1"/>
  <c r="AA131" i="1"/>
  <c r="Z131" i="1"/>
  <c r="S131" i="1" s="1"/>
  <c r="AA127" i="1"/>
  <c r="Z127" i="1"/>
  <c r="S127" i="1" s="1"/>
  <c r="AA123" i="1"/>
  <c r="Z123" i="1"/>
  <c r="S123" i="1" s="1"/>
  <c r="AA119" i="1"/>
  <c r="Z119" i="1"/>
  <c r="S119" i="1" s="1"/>
  <c r="AA115" i="1"/>
  <c r="Z115" i="1"/>
  <c r="S115" i="1" s="1"/>
  <c r="AA111" i="1"/>
  <c r="Z111" i="1"/>
  <c r="S111" i="1" s="1"/>
  <c r="AA107" i="1"/>
  <c r="Z107" i="1"/>
  <c r="S107" i="1" s="1"/>
  <c r="AA103" i="1"/>
  <c r="Z103" i="1"/>
  <c r="S103" i="1" s="1"/>
  <c r="AA99" i="1"/>
  <c r="Z99" i="1"/>
  <c r="S99" i="1" s="1"/>
  <c r="AA95" i="1"/>
  <c r="Z95" i="1"/>
  <c r="S95" i="1" s="1"/>
  <c r="AA91" i="1"/>
  <c r="Z91" i="1"/>
  <c r="S91" i="1" s="1"/>
  <c r="AA87" i="1"/>
  <c r="Z87" i="1"/>
  <c r="S87" i="1" s="1"/>
  <c r="AA83" i="1"/>
  <c r="Z83" i="1"/>
  <c r="S83" i="1" s="1"/>
  <c r="AA79" i="1"/>
  <c r="Z79" i="1"/>
  <c r="S79" i="1" s="1"/>
  <c r="AA75" i="1"/>
  <c r="Z75" i="1"/>
  <c r="S75" i="1" s="1"/>
  <c r="AA71" i="1"/>
  <c r="Z71" i="1"/>
  <c r="S71" i="1" s="1"/>
  <c r="AA67" i="1"/>
  <c r="Z67" i="1"/>
  <c r="S67" i="1" s="1"/>
  <c r="AA63" i="1"/>
  <c r="Z63" i="1"/>
  <c r="S63" i="1" s="1"/>
  <c r="AA59" i="1"/>
  <c r="Z59" i="1"/>
  <c r="S59" i="1" s="1"/>
  <c r="AA55" i="1"/>
  <c r="Z55" i="1"/>
  <c r="S55" i="1" s="1"/>
  <c r="AA51" i="1"/>
  <c r="Z51" i="1"/>
  <c r="S51" i="1" s="1"/>
  <c r="AA47" i="1"/>
  <c r="Z47" i="1"/>
  <c r="S47" i="1" s="1"/>
  <c r="AA43" i="1"/>
  <c r="Z43" i="1"/>
  <c r="S43" i="1" s="1"/>
  <c r="AA39" i="1"/>
  <c r="Z39" i="1"/>
  <c r="S39" i="1" s="1"/>
  <c r="AA35" i="1"/>
  <c r="Z35" i="1"/>
  <c r="S35" i="1" s="1"/>
  <c r="AA31" i="1"/>
  <c r="Z31" i="1"/>
  <c r="S31" i="1" s="1"/>
  <c r="AA27" i="1"/>
  <c r="Z27" i="1"/>
  <c r="S27" i="1" s="1"/>
  <c r="AA23" i="1"/>
  <c r="Z23" i="1"/>
  <c r="S23" i="1" s="1"/>
  <c r="AA19" i="1"/>
  <c r="Z19" i="1"/>
  <c r="S19" i="1" s="1"/>
  <c r="AA15" i="1"/>
  <c r="Z15" i="1"/>
  <c r="S15" i="1" s="1"/>
  <c r="AA11" i="1"/>
  <c r="Z11" i="1"/>
  <c r="S11" i="1" s="1"/>
  <c r="AA7" i="1"/>
  <c r="Z7" i="1"/>
  <c r="S7" i="1" s="1"/>
  <c r="AA3" i="1"/>
  <c r="Z3" i="1"/>
  <c r="S3" i="1" s="1"/>
  <c r="AA1730" i="1"/>
  <c r="Z1730" i="1"/>
  <c r="S1730" i="1" s="1"/>
  <c r="AA1726" i="1"/>
  <c r="Z1726" i="1"/>
  <c r="S1726" i="1" s="1"/>
  <c r="AA1722" i="1"/>
  <c r="Z1722" i="1"/>
  <c r="S1722" i="1" s="1"/>
  <c r="AA1718" i="1"/>
  <c r="Z1718" i="1"/>
  <c r="S1718" i="1" s="1"/>
  <c r="AA1714" i="1"/>
  <c r="Z1714" i="1"/>
  <c r="S1714" i="1" s="1"/>
  <c r="AA1710" i="1"/>
  <c r="Z1710" i="1"/>
  <c r="S1710" i="1" s="1"/>
  <c r="AA1706" i="1"/>
  <c r="Z1706" i="1"/>
  <c r="S1706" i="1" s="1"/>
  <c r="AA1702" i="1"/>
  <c r="Z1702" i="1"/>
  <c r="S1702" i="1" s="1"/>
  <c r="AA1698" i="1"/>
  <c r="Z1698" i="1"/>
  <c r="S1698" i="1" s="1"/>
  <c r="AA1694" i="1"/>
  <c r="Z1694" i="1"/>
  <c r="S1694" i="1" s="1"/>
  <c r="AA1690" i="1"/>
  <c r="Z1690" i="1"/>
  <c r="S1690" i="1" s="1"/>
  <c r="AA1686" i="1"/>
  <c r="Z1686" i="1"/>
  <c r="S1686" i="1" s="1"/>
  <c r="AA1682" i="1"/>
  <c r="Z1682" i="1"/>
  <c r="S1682" i="1" s="1"/>
  <c r="AA1678" i="1"/>
  <c r="Z1678" i="1"/>
  <c r="S1678" i="1" s="1"/>
  <c r="AA1674" i="1"/>
  <c r="Z1674" i="1"/>
  <c r="S1674" i="1" s="1"/>
  <c r="AA1670" i="1"/>
  <c r="Z1670" i="1"/>
  <c r="S1670" i="1" s="1"/>
  <c r="AA1666" i="1"/>
  <c r="Z1666" i="1"/>
  <c r="S1666" i="1" s="1"/>
  <c r="AA1662" i="1"/>
  <c r="Z1662" i="1"/>
  <c r="S1662" i="1" s="1"/>
  <c r="AA1658" i="1"/>
  <c r="Z1658" i="1"/>
  <c r="S1658" i="1" s="1"/>
  <c r="AA1654" i="1"/>
  <c r="Z1654" i="1"/>
  <c r="S1654" i="1" s="1"/>
  <c r="AA1650" i="1"/>
  <c r="Z1650" i="1"/>
  <c r="S1650" i="1" s="1"/>
  <c r="AA1646" i="1"/>
  <c r="Z1646" i="1"/>
  <c r="S1646" i="1" s="1"/>
  <c r="AA1642" i="1"/>
  <c r="Z1642" i="1"/>
  <c r="S1642" i="1" s="1"/>
  <c r="AA1638" i="1"/>
  <c r="Z1638" i="1"/>
  <c r="S1638" i="1" s="1"/>
  <c r="AA1634" i="1"/>
  <c r="Z1634" i="1"/>
  <c r="S1634" i="1" s="1"/>
  <c r="AA1630" i="1"/>
  <c r="Z1630" i="1"/>
  <c r="S1630" i="1" s="1"/>
  <c r="AA1626" i="1"/>
  <c r="Z1626" i="1"/>
  <c r="S1626" i="1" s="1"/>
  <c r="AA1622" i="1"/>
  <c r="Z1622" i="1"/>
  <c r="S1622" i="1" s="1"/>
  <c r="AA1618" i="1"/>
  <c r="Z1618" i="1"/>
  <c r="S1618" i="1" s="1"/>
  <c r="AA1614" i="1"/>
  <c r="Z1614" i="1"/>
  <c r="S1614" i="1" s="1"/>
  <c r="AA1610" i="1"/>
  <c r="Z1610" i="1"/>
  <c r="S1610" i="1" s="1"/>
  <c r="AA1606" i="1"/>
  <c r="Z1606" i="1"/>
  <c r="S1606" i="1" s="1"/>
  <c r="AA1602" i="1"/>
  <c r="Z1602" i="1"/>
  <c r="S1602" i="1" s="1"/>
  <c r="AA1598" i="1"/>
  <c r="Z1598" i="1"/>
  <c r="S1598" i="1" s="1"/>
  <c r="AA1594" i="1"/>
  <c r="Z1594" i="1"/>
  <c r="S1594" i="1" s="1"/>
  <c r="AA1590" i="1"/>
  <c r="Z1590" i="1"/>
  <c r="S1590" i="1" s="1"/>
  <c r="AA1586" i="1"/>
  <c r="Z1586" i="1"/>
  <c r="S1586" i="1" s="1"/>
  <c r="AA1582" i="1"/>
  <c r="Z1582" i="1"/>
  <c r="S1582" i="1" s="1"/>
  <c r="AA1578" i="1"/>
  <c r="Z1578" i="1"/>
  <c r="S1578" i="1" s="1"/>
  <c r="AA1574" i="1"/>
  <c r="Z1574" i="1"/>
  <c r="S1574" i="1" s="1"/>
  <c r="AA1570" i="1"/>
  <c r="Z1570" i="1"/>
  <c r="S1570" i="1" s="1"/>
  <c r="AA1566" i="1"/>
  <c r="Z1566" i="1"/>
  <c r="S1566" i="1" s="1"/>
  <c r="AA1562" i="1"/>
  <c r="Z1562" i="1"/>
  <c r="S1562" i="1" s="1"/>
  <c r="AA1558" i="1"/>
  <c r="Z1558" i="1"/>
  <c r="S1558" i="1" s="1"/>
  <c r="AA1554" i="1"/>
  <c r="Z1554" i="1"/>
  <c r="S1554" i="1" s="1"/>
  <c r="AA1550" i="1"/>
  <c r="Z1550" i="1"/>
  <c r="S1550" i="1" s="1"/>
  <c r="AA1546" i="1"/>
  <c r="Z1546" i="1"/>
  <c r="S1546" i="1" s="1"/>
  <c r="AA1542" i="1"/>
  <c r="Z1542" i="1"/>
  <c r="S1542" i="1" s="1"/>
  <c r="AA1538" i="1"/>
  <c r="Z1538" i="1"/>
  <c r="S1538" i="1" s="1"/>
  <c r="AA1534" i="1"/>
  <c r="Z1534" i="1"/>
  <c r="S1534" i="1" s="1"/>
  <c r="AA1530" i="1"/>
  <c r="Z1530" i="1"/>
  <c r="S1530" i="1" s="1"/>
  <c r="AA1526" i="1"/>
  <c r="Z1526" i="1"/>
  <c r="S1526" i="1" s="1"/>
  <c r="AA1522" i="1"/>
  <c r="Z1522" i="1"/>
  <c r="S1522" i="1" s="1"/>
  <c r="AA1518" i="1"/>
  <c r="Z1518" i="1"/>
  <c r="S1518" i="1" s="1"/>
  <c r="AA1514" i="1"/>
  <c r="Z1514" i="1"/>
  <c r="S1514" i="1" s="1"/>
  <c r="AA1510" i="1"/>
  <c r="Z1510" i="1"/>
  <c r="S1510" i="1" s="1"/>
  <c r="AA1506" i="1"/>
  <c r="Z1506" i="1"/>
  <c r="S1506" i="1" s="1"/>
  <c r="AA1502" i="1"/>
  <c r="Z1502" i="1"/>
  <c r="S1502" i="1" s="1"/>
  <c r="AA1498" i="1"/>
  <c r="Z1498" i="1"/>
  <c r="S1498" i="1" s="1"/>
  <c r="AA1494" i="1"/>
  <c r="Z1494" i="1"/>
  <c r="S1494" i="1" s="1"/>
  <c r="AA1490" i="1"/>
  <c r="Z1490" i="1"/>
  <c r="S1490" i="1" s="1"/>
  <c r="AA1486" i="1"/>
  <c r="Z1486" i="1"/>
  <c r="S1486" i="1" s="1"/>
  <c r="AA1482" i="1"/>
  <c r="Z1482" i="1"/>
  <c r="S1482" i="1" s="1"/>
  <c r="AA1478" i="1"/>
  <c r="Z1478" i="1"/>
  <c r="S1478" i="1" s="1"/>
  <c r="AA1474" i="1"/>
  <c r="Z1474" i="1"/>
  <c r="S1474" i="1" s="1"/>
  <c r="AA1470" i="1"/>
  <c r="Z1470" i="1"/>
  <c r="S1470" i="1" s="1"/>
  <c r="AA1466" i="1"/>
  <c r="Z1466" i="1"/>
  <c r="S1466" i="1" s="1"/>
  <c r="AA1462" i="1"/>
  <c r="Z1462" i="1"/>
  <c r="S1462" i="1" s="1"/>
  <c r="AA1458" i="1"/>
  <c r="Z1458" i="1"/>
  <c r="S1458" i="1" s="1"/>
  <c r="AA1454" i="1"/>
  <c r="Z1454" i="1"/>
  <c r="S1454" i="1" s="1"/>
  <c r="AA1450" i="1"/>
  <c r="Z1450" i="1"/>
  <c r="S1450" i="1" s="1"/>
  <c r="AA1446" i="1"/>
  <c r="Z1446" i="1"/>
  <c r="S1446" i="1" s="1"/>
  <c r="AA1442" i="1"/>
  <c r="Z1442" i="1"/>
  <c r="S1442" i="1" s="1"/>
  <c r="AA1438" i="1"/>
  <c r="Z1438" i="1"/>
  <c r="S1438" i="1" s="1"/>
  <c r="AA1434" i="1"/>
  <c r="Z1434" i="1"/>
  <c r="S1434" i="1" s="1"/>
  <c r="AA1430" i="1"/>
  <c r="Z1430" i="1"/>
  <c r="S1430" i="1" s="1"/>
  <c r="AA1426" i="1"/>
  <c r="Z1426" i="1"/>
  <c r="S1426" i="1" s="1"/>
  <c r="AA1422" i="1"/>
  <c r="Z1422" i="1"/>
  <c r="S1422" i="1" s="1"/>
  <c r="AA1418" i="1"/>
  <c r="Z1418" i="1"/>
  <c r="S1418" i="1" s="1"/>
  <c r="AA1414" i="1"/>
  <c r="Z1414" i="1"/>
  <c r="S1414" i="1" s="1"/>
  <c r="AA1410" i="1"/>
  <c r="Z1410" i="1"/>
  <c r="S1410" i="1" s="1"/>
  <c r="AA1406" i="1"/>
  <c r="Z1406" i="1"/>
  <c r="S1406" i="1" s="1"/>
  <c r="AA1402" i="1"/>
  <c r="Z1402" i="1"/>
  <c r="S1402" i="1" s="1"/>
  <c r="AA1398" i="1"/>
  <c r="Z1398" i="1"/>
  <c r="S1398" i="1" s="1"/>
  <c r="AA1394" i="1"/>
  <c r="Z1394" i="1"/>
  <c r="S1394" i="1" s="1"/>
  <c r="AA1390" i="1"/>
  <c r="Z1390" i="1"/>
  <c r="S1390" i="1" s="1"/>
  <c r="AA1386" i="1"/>
  <c r="Z1386" i="1"/>
  <c r="S1386" i="1" s="1"/>
  <c r="AA1382" i="1"/>
  <c r="Z1382" i="1"/>
  <c r="S1382" i="1" s="1"/>
  <c r="AA1378" i="1"/>
  <c r="Z1378" i="1"/>
  <c r="S1378" i="1" s="1"/>
  <c r="AA1374" i="1"/>
  <c r="Z1374" i="1"/>
  <c r="S1374" i="1" s="1"/>
  <c r="AA1370" i="1"/>
  <c r="Z1370" i="1"/>
  <c r="S1370" i="1" s="1"/>
  <c r="AA1366" i="1"/>
  <c r="Z1366" i="1"/>
  <c r="S1366" i="1" s="1"/>
  <c r="AA1362" i="1"/>
  <c r="Z1362" i="1"/>
  <c r="S1362" i="1" s="1"/>
  <c r="AA1358" i="1"/>
  <c r="Z1358" i="1"/>
  <c r="S1358" i="1" s="1"/>
  <c r="AA1354" i="1"/>
  <c r="Z1354" i="1"/>
  <c r="S1354" i="1" s="1"/>
  <c r="AA1350" i="1"/>
  <c r="Z1350" i="1"/>
  <c r="S1350" i="1" s="1"/>
  <c r="AA1346" i="1"/>
  <c r="Z1346" i="1"/>
  <c r="S1346" i="1" s="1"/>
  <c r="AA1342" i="1"/>
  <c r="Z1342" i="1"/>
  <c r="S1342" i="1" s="1"/>
  <c r="AA1338" i="1"/>
  <c r="Z1338" i="1"/>
  <c r="S1338" i="1" s="1"/>
  <c r="AA1334" i="1"/>
  <c r="Z1334" i="1"/>
  <c r="S1334" i="1" s="1"/>
  <c r="AA1330" i="1"/>
  <c r="Z1330" i="1"/>
  <c r="S1330" i="1" s="1"/>
  <c r="AA1326" i="1"/>
  <c r="Z1326" i="1"/>
  <c r="S1326" i="1" s="1"/>
  <c r="AA1322" i="1"/>
  <c r="Z1322" i="1"/>
  <c r="S1322" i="1" s="1"/>
  <c r="AA1318" i="1"/>
  <c r="Z1318" i="1"/>
  <c r="S1318" i="1" s="1"/>
  <c r="AA1314" i="1"/>
  <c r="Z1314" i="1"/>
  <c r="S1314" i="1" s="1"/>
  <c r="AA1310" i="1"/>
  <c r="Z1310" i="1"/>
  <c r="S1310" i="1" s="1"/>
  <c r="AA1306" i="1"/>
  <c r="Z1306" i="1"/>
  <c r="S1306" i="1" s="1"/>
  <c r="AA1302" i="1"/>
  <c r="Z1302" i="1"/>
  <c r="S1302" i="1" s="1"/>
  <c r="AA1298" i="1"/>
  <c r="Z1298" i="1"/>
  <c r="S1298" i="1" s="1"/>
  <c r="AA1294" i="1"/>
  <c r="Z1294" i="1"/>
  <c r="S1294" i="1" s="1"/>
  <c r="AA1290" i="1"/>
  <c r="Z1290" i="1"/>
  <c r="S1290" i="1" s="1"/>
  <c r="AA1286" i="1"/>
  <c r="Z1286" i="1"/>
  <c r="S1286" i="1" s="1"/>
  <c r="AA1282" i="1"/>
  <c r="Z1282" i="1"/>
  <c r="S1282" i="1" s="1"/>
  <c r="AA1278" i="1"/>
  <c r="Z1278" i="1"/>
  <c r="S1278" i="1" s="1"/>
  <c r="AA1274" i="1"/>
  <c r="Z1274" i="1"/>
  <c r="S1274" i="1" s="1"/>
  <c r="AA1270" i="1"/>
  <c r="Z1270" i="1"/>
  <c r="S1270" i="1" s="1"/>
  <c r="AA1266" i="1"/>
  <c r="Z1266" i="1"/>
  <c r="S1266" i="1" s="1"/>
  <c r="AA1262" i="1"/>
  <c r="Z1262" i="1"/>
  <c r="S1262" i="1" s="1"/>
  <c r="AA1258" i="1"/>
  <c r="Z1258" i="1"/>
  <c r="S1258" i="1" s="1"/>
  <c r="AA1254" i="1"/>
  <c r="Z1254" i="1"/>
  <c r="S1254" i="1" s="1"/>
  <c r="AA1250" i="1"/>
  <c r="Z1250" i="1"/>
  <c r="S1250" i="1" s="1"/>
  <c r="AA1246" i="1"/>
  <c r="Z1246" i="1"/>
  <c r="S1246" i="1" s="1"/>
  <c r="AA1242" i="1"/>
  <c r="Z1242" i="1"/>
  <c r="S1242" i="1" s="1"/>
  <c r="AA1238" i="1"/>
  <c r="Z1238" i="1"/>
  <c r="S1238" i="1" s="1"/>
  <c r="AA1234" i="1"/>
  <c r="Z1234" i="1"/>
  <c r="S1234" i="1" s="1"/>
  <c r="AA1230" i="1"/>
  <c r="Z1230" i="1"/>
  <c r="S1230" i="1" s="1"/>
  <c r="AA1226" i="1"/>
  <c r="Z1226" i="1"/>
  <c r="S1226" i="1" s="1"/>
  <c r="AA1222" i="1"/>
  <c r="Z1222" i="1"/>
  <c r="S1222" i="1" s="1"/>
  <c r="AA1218" i="1"/>
  <c r="Z1218" i="1"/>
  <c r="S1218" i="1" s="1"/>
  <c r="AA1214" i="1"/>
  <c r="Z1214" i="1"/>
  <c r="S1214" i="1" s="1"/>
  <c r="AA1210" i="1"/>
  <c r="Z1210" i="1"/>
  <c r="S1210" i="1" s="1"/>
  <c r="AA1206" i="1"/>
  <c r="Z1206" i="1"/>
  <c r="S1206" i="1" s="1"/>
  <c r="AA1202" i="1"/>
  <c r="Z1202" i="1"/>
  <c r="S1202" i="1" s="1"/>
  <c r="AA1198" i="1"/>
  <c r="Z1198" i="1"/>
  <c r="S1198" i="1" s="1"/>
  <c r="AA1194" i="1"/>
  <c r="Z1194" i="1"/>
  <c r="S1194" i="1" s="1"/>
  <c r="AA1190" i="1"/>
  <c r="Z1190" i="1"/>
  <c r="S1190" i="1" s="1"/>
  <c r="AA1186" i="1"/>
  <c r="Z1186" i="1"/>
  <c r="S1186" i="1" s="1"/>
  <c r="AA1182" i="1"/>
  <c r="Z1182" i="1"/>
  <c r="S1182" i="1" s="1"/>
  <c r="AA1178" i="1"/>
  <c r="Z1178" i="1"/>
  <c r="S1178" i="1" s="1"/>
  <c r="AA1174" i="1"/>
  <c r="Z1174" i="1"/>
  <c r="S1174" i="1" s="1"/>
  <c r="AA1170" i="1"/>
  <c r="Z1170" i="1"/>
  <c r="S1170" i="1" s="1"/>
  <c r="AA1166" i="1"/>
  <c r="Z1166" i="1"/>
  <c r="S1166" i="1" s="1"/>
  <c r="AA1162" i="1"/>
  <c r="Z1162" i="1"/>
  <c r="S1162" i="1" s="1"/>
  <c r="AA1158" i="1"/>
  <c r="Z1158" i="1"/>
  <c r="S1158" i="1" s="1"/>
  <c r="AA1154" i="1"/>
  <c r="Z1154" i="1"/>
  <c r="S1154" i="1" s="1"/>
  <c r="AA1150" i="1"/>
  <c r="Z1150" i="1"/>
  <c r="S1150" i="1" s="1"/>
  <c r="AA1146" i="1"/>
  <c r="Z1146" i="1"/>
  <c r="S1146" i="1" s="1"/>
  <c r="AA1142" i="1"/>
  <c r="Z1142" i="1"/>
  <c r="S1142" i="1" s="1"/>
  <c r="AA1138" i="1"/>
  <c r="Z1138" i="1"/>
  <c r="S1138" i="1" s="1"/>
  <c r="AA1134" i="1"/>
  <c r="Z1134" i="1"/>
  <c r="S1134" i="1" s="1"/>
  <c r="AA1130" i="1"/>
  <c r="Z1130" i="1"/>
  <c r="S1130" i="1" s="1"/>
  <c r="AA1126" i="1"/>
  <c r="Z1126" i="1"/>
  <c r="S1126" i="1" s="1"/>
  <c r="AA1122" i="1"/>
  <c r="Z1122" i="1"/>
  <c r="S1122" i="1" s="1"/>
  <c r="AA1118" i="1"/>
  <c r="Z1118" i="1"/>
  <c r="S1118" i="1" s="1"/>
  <c r="AA1114" i="1"/>
  <c r="Z1114" i="1"/>
  <c r="S1114" i="1" s="1"/>
  <c r="AA1110" i="1"/>
  <c r="Z1110" i="1"/>
  <c r="S1110" i="1" s="1"/>
  <c r="AA1106" i="1"/>
  <c r="Z1106" i="1"/>
  <c r="S1106" i="1" s="1"/>
  <c r="AA1102" i="1"/>
  <c r="Z1102" i="1"/>
  <c r="S1102" i="1" s="1"/>
  <c r="AA1098" i="1"/>
  <c r="Z1098" i="1"/>
  <c r="S1098" i="1" s="1"/>
  <c r="AA1094" i="1"/>
  <c r="Z1094" i="1"/>
  <c r="S1094" i="1" s="1"/>
  <c r="AA1090" i="1"/>
  <c r="Z1090" i="1"/>
  <c r="S1090" i="1" s="1"/>
  <c r="AA1086" i="1"/>
  <c r="Z1086" i="1"/>
  <c r="S1086" i="1" s="1"/>
  <c r="AA1082" i="1"/>
  <c r="Z1082" i="1"/>
  <c r="S1082" i="1" s="1"/>
  <c r="AA1078" i="1"/>
  <c r="Z1078" i="1"/>
  <c r="S1078" i="1" s="1"/>
  <c r="AA1074" i="1"/>
  <c r="Z1074" i="1"/>
  <c r="S1074" i="1" s="1"/>
  <c r="AA1070" i="1"/>
  <c r="Z1070" i="1"/>
  <c r="S1070" i="1" s="1"/>
  <c r="AA1066" i="1"/>
  <c r="Z1066" i="1"/>
  <c r="S1066" i="1" s="1"/>
  <c r="AA1062" i="1"/>
  <c r="Z1062" i="1"/>
  <c r="S1062" i="1" s="1"/>
  <c r="AA1058" i="1"/>
  <c r="Z1058" i="1"/>
  <c r="S1058" i="1" s="1"/>
  <c r="AA1054" i="1"/>
  <c r="Z1054" i="1"/>
  <c r="S1054" i="1" s="1"/>
  <c r="AA1050" i="1"/>
  <c r="Z1050" i="1"/>
  <c r="S1050" i="1" s="1"/>
  <c r="AA1046" i="1"/>
  <c r="Z1046" i="1"/>
  <c r="S1046" i="1" s="1"/>
  <c r="AA1042" i="1"/>
  <c r="Z1042" i="1"/>
  <c r="S1042" i="1" s="1"/>
  <c r="AA1038" i="1"/>
  <c r="Z1038" i="1"/>
  <c r="S1038" i="1" s="1"/>
  <c r="AA1034" i="1"/>
  <c r="Z1034" i="1"/>
  <c r="S1034" i="1" s="1"/>
  <c r="AA1030" i="1"/>
  <c r="Z1030" i="1"/>
  <c r="S1030" i="1" s="1"/>
  <c r="AA1026" i="1"/>
  <c r="Z1026" i="1"/>
  <c r="S1026" i="1" s="1"/>
  <c r="AA1022" i="1"/>
  <c r="Z1022" i="1"/>
  <c r="S1022" i="1" s="1"/>
  <c r="AA1018" i="1"/>
  <c r="Z1018" i="1"/>
  <c r="S1018" i="1" s="1"/>
  <c r="AA1014" i="1"/>
  <c r="Z1014" i="1"/>
  <c r="S1014" i="1" s="1"/>
  <c r="AA1010" i="1"/>
  <c r="Z1010" i="1"/>
  <c r="S1010" i="1" s="1"/>
  <c r="AA1006" i="1"/>
  <c r="Z1006" i="1"/>
  <c r="S1006" i="1" s="1"/>
  <c r="AA1002" i="1"/>
  <c r="Z1002" i="1"/>
  <c r="S1002" i="1" s="1"/>
  <c r="AA998" i="1"/>
  <c r="Z998" i="1"/>
  <c r="S998" i="1" s="1"/>
  <c r="AA994" i="1"/>
  <c r="Z994" i="1"/>
  <c r="S994" i="1" s="1"/>
  <c r="AA990" i="1"/>
  <c r="Z990" i="1"/>
  <c r="S990" i="1" s="1"/>
  <c r="AA986" i="1"/>
  <c r="Z986" i="1"/>
  <c r="S986" i="1" s="1"/>
  <c r="AA982" i="1"/>
  <c r="Z982" i="1"/>
  <c r="S982" i="1" s="1"/>
  <c r="AA978" i="1"/>
  <c r="Z978" i="1"/>
  <c r="S978" i="1" s="1"/>
  <c r="AA974" i="1"/>
  <c r="Z974" i="1"/>
  <c r="S974" i="1" s="1"/>
  <c r="AA970" i="1"/>
  <c r="Z970" i="1"/>
  <c r="S970" i="1" s="1"/>
  <c r="AA966" i="1"/>
  <c r="Z966" i="1"/>
  <c r="S966" i="1" s="1"/>
  <c r="AA962" i="1"/>
  <c r="Z962" i="1"/>
  <c r="S962" i="1" s="1"/>
  <c r="AA958" i="1"/>
  <c r="Z958" i="1"/>
  <c r="S958" i="1" s="1"/>
  <c r="AA954" i="1"/>
  <c r="Z954" i="1"/>
  <c r="S954" i="1" s="1"/>
  <c r="AA950" i="1"/>
  <c r="Z950" i="1"/>
  <c r="S950" i="1" s="1"/>
  <c r="AA946" i="1"/>
  <c r="Z946" i="1"/>
  <c r="S946" i="1" s="1"/>
  <c r="AA942" i="1"/>
  <c r="Z942" i="1"/>
  <c r="S942" i="1" s="1"/>
  <c r="AA938" i="1"/>
  <c r="Z938" i="1"/>
  <c r="S938" i="1" s="1"/>
  <c r="AA934" i="1"/>
  <c r="Z934" i="1"/>
  <c r="S934" i="1" s="1"/>
  <c r="AA930" i="1"/>
  <c r="Z930" i="1"/>
  <c r="S930" i="1" s="1"/>
  <c r="AA926" i="1"/>
  <c r="Z926" i="1"/>
  <c r="S926" i="1" s="1"/>
  <c r="AA922" i="1"/>
  <c r="Z922" i="1"/>
  <c r="S922" i="1" s="1"/>
  <c r="AA918" i="1"/>
  <c r="Z918" i="1"/>
  <c r="S918" i="1" s="1"/>
  <c r="AA914" i="1"/>
  <c r="Z914" i="1"/>
  <c r="S914" i="1" s="1"/>
  <c r="AA910" i="1"/>
  <c r="Z910" i="1"/>
  <c r="S910" i="1" s="1"/>
  <c r="AA906" i="1"/>
  <c r="Z906" i="1"/>
  <c r="S906" i="1" s="1"/>
  <c r="AA902" i="1"/>
  <c r="Z902" i="1"/>
  <c r="S902" i="1" s="1"/>
  <c r="AA898" i="1"/>
  <c r="Z898" i="1"/>
  <c r="S898" i="1" s="1"/>
  <c r="AA894" i="1"/>
  <c r="Z894" i="1"/>
  <c r="S894" i="1" s="1"/>
  <c r="AA890" i="1"/>
  <c r="Z890" i="1"/>
  <c r="S890" i="1" s="1"/>
  <c r="AA886" i="1"/>
  <c r="Z886" i="1"/>
  <c r="S886" i="1" s="1"/>
  <c r="AA882" i="1"/>
  <c r="Z882" i="1"/>
  <c r="S882" i="1" s="1"/>
  <c r="AA878" i="1"/>
  <c r="Z878" i="1"/>
  <c r="S878" i="1" s="1"/>
  <c r="AA874" i="1"/>
  <c r="Z874" i="1"/>
  <c r="S874" i="1" s="1"/>
  <c r="AA870" i="1"/>
  <c r="Z870" i="1"/>
  <c r="S870" i="1" s="1"/>
  <c r="AA866" i="1"/>
  <c r="Z866" i="1"/>
  <c r="S866" i="1" s="1"/>
  <c r="AA862" i="1"/>
  <c r="Z862" i="1"/>
  <c r="S862" i="1" s="1"/>
  <c r="AA858" i="1"/>
  <c r="Z858" i="1"/>
  <c r="S858" i="1" s="1"/>
  <c r="AA854" i="1"/>
  <c r="Z854" i="1"/>
  <c r="S854" i="1" s="1"/>
  <c r="AA850" i="1"/>
  <c r="Z850" i="1"/>
  <c r="S850" i="1" s="1"/>
  <c r="AA846" i="1"/>
  <c r="Z846" i="1"/>
  <c r="S846" i="1" s="1"/>
  <c r="AA842" i="1"/>
  <c r="Z842" i="1"/>
  <c r="S842" i="1" s="1"/>
  <c r="AA838" i="1"/>
  <c r="Z838" i="1"/>
  <c r="S838" i="1" s="1"/>
  <c r="AA834" i="1"/>
  <c r="Z834" i="1"/>
  <c r="S834" i="1" s="1"/>
  <c r="AA830" i="1"/>
  <c r="Z830" i="1"/>
  <c r="S830" i="1" s="1"/>
  <c r="AA826" i="1"/>
  <c r="Z826" i="1"/>
  <c r="S826" i="1" s="1"/>
  <c r="AA822" i="1"/>
  <c r="Z822" i="1"/>
  <c r="S822" i="1" s="1"/>
  <c r="AA818" i="1"/>
  <c r="Z818" i="1"/>
  <c r="S818" i="1" s="1"/>
  <c r="AA814" i="1"/>
  <c r="Z814" i="1"/>
  <c r="S814" i="1" s="1"/>
  <c r="AA810" i="1"/>
  <c r="Z810" i="1"/>
  <c r="S810" i="1" s="1"/>
  <c r="AA806" i="1"/>
  <c r="Z806" i="1"/>
  <c r="S806" i="1" s="1"/>
  <c r="AA802" i="1"/>
  <c r="Z802" i="1"/>
  <c r="S802" i="1" s="1"/>
  <c r="AA798" i="1"/>
  <c r="Z798" i="1"/>
  <c r="S798" i="1" s="1"/>
  <c r="AA794" i="1"/>
  <c r="Z794" i="1"/>
  <c r="S794" i="1" s="1"/>
  <c r="AA790" i="1"/>
  <c r="Z790" i="1"/>
  <c r="S790" i="1" s="1"/>
  <c r="AA786" i="1"/>
  <c r="Z786" i="1"/>
  <c r="S786" i="1" s="1"/>
  <c r="AA782" i="1"/>
  <c r="Z782" i="1"/>
  <c r="S782" i="1" s="1"/>
  <c r="AA778" i="1"/>
  <c r="Z778" i="1"/>
  <c r="S778" i="1" s="1"/>
  <c r="AA774" i="1"/>
  <c r="Z774" i="1"/>
  <c r="S774" i="1" s="1"/>
  <c r="AA770" i="1"/>
  <c r="Z770" i="1"/>
  <c r="S770" i="1" s="1"/>
  <c r="AA766" i="1"/>
  <c r="Z766" i="1"/>
  <c r="S766" i="1" s="1"/>
  <c r="AA762" i="1"/>
  <c r="Z762" i="1"/>
  <c r="S762" i="1" s="1"/>
  <c r="AA758" i="1"/>
  <c r="Z758" i="1"/>
  <c r="S758" i="1" s="1"/>
  <c r="AA754" i="1"/>
  <c r="Z754" i="1"/>
  <c r="S754" i="1" s="1"/>
  <c r="AA750" i="1"/>
  <c r="Z750" i="1"/>
  <c r="S750" i="1" s="1"/>
  <c r="AA746" i="1"/>
  <c r="Z746" i="1"/>
  <c r="S746" i="1" s="1"/>
  <c r="AA742" i="1"/>
  <c r="Z742" i="1"/>
  <c r="S742" i="1" s="1"/>
  <c r="AA738" i="1"/>
  <c r="Z738" i="1"/>
  <c r="S738" i="1" s="1"/>
  <c r="AA734" i="1"/>
  <c r="Z734" i="1"/>
  <c r="S734" i="1" s="1"/>
  <c r="AA730" i="1"/>
  <c r="Z730" i="1"/>
  <c r="S730" i="1" s="1"/>
  <c r="AA726" i="1"/>
  <c r="Z726" i="1"/>
  <c r="S726" i="1" s="1"/>
  <c r="AA722" i="1"/>
  <c r="Z722" i="1"/>
  <c r="S722" i="1" s="1"/>
  <c r="AA718" i="1"/>
  <c r="Z718" i="1"/>
  <c r="S718" i="1" s="1"/>
  <c r="AA714" i="1"/>
  <c r="Z714" i="1"/>
  <c r="S714" i="1" s="1"/>
  <c r="AA710" i="1"/>
  <c r="Z710" i="1"/>
  <c r="S710" i="1" s="1"/>
  <c r="AA706" i="1"/>
  <c r="Z706" i="1"/>
  <c r="S706" i="1" s="1"/>
  <c r="AA702" i="1"/>
  <c r="Z702" i="1"/>
  <c r="S702" i="1" s="1"/>
  <c r="AA698" i="1"/>
  <c r="Z698" i="1"/>
  <c r="S698" i="1" s="1"/>
  <c r="AA694" i="1"/>
  <c r="Z694" i="1"/>
  <c r="S694" i="1" s="1"/>
  <c r="AA690" i="1"/>
  <c r="Z690" i="1"/>
  <c r="S690" i="1" s="1"/>
  <c r="AA686" i="1"/>
  <c r="Z686" i="1"/>
  <c r="S686" i="1" s="1"/>
  <c r="AA682" i="1"/>
  <c r="Z682" i="1"/>
  <c r="S682" i="1" s="1"/>
  <c r="AA678" i="1"/>
  <c r="Z678" i="1"/>
  <c r="S678" i="1" s="1"/>
  <c r="AA674" i="1"/>
  <c r="Z674" i="1"/>
  <c r="S674" i="1" s="1"/>
  <c r="AA670" i="1"/>
  <c r="Z670" i="1"/>
  <c r="S670" i="1" s="1"/>
  <c r="AA666" i="1"/>
  <c r="Z666" i="1"/>
  <c r="S666" i="1" s="1"/>
  <c r="AA662" i="1"/>
  <c r="Z662" i="1"/>
  <c r="S662" i="1" s="1"/>
  <c r="AA658" i="1"/>
  <c r="Z658" i="1"/>
  <c r="S658" i="1" s="1"/>
  <c r="AA654" i="1"/>
  <c r="Z654" i="1"/>
  <c r="S654" i="1" s="1"/>
  <c r="AA650" i="1"/>
  <c r="Z650" i="1"/>
  <c r="S650" i="1" s="1"/>
  <c r="AA646" i="1"/>
  <c r="Z646" i="1"/>
  <c r="S646" i="1" s="1"/>
  <c r="AA642" i="1"/>
  <c r="Z642" i="1"/>
  <c r="S642" i="1" s="1"/>
  <c r="AA638" i="1"/>
  <c r="Z638" i="1"/>
  <c r="S638" i="1" s="1"/>
  <c r="AA634" i="1"/>
  <c r="Z634" i="1"/>
  <c r="S634" i="1" s="1"/>
  <c r="AA630" i="1"/>
  <c r="Z630" i="1"/>
  <c r="S630" i="1" s="1"/>
  <c r="AA626" i="1"/>
  <c r="Z626" i="1"/>
  <c r="S626" i="1" s="1"/>
  <c r="AA622" i="1"/>
  <c r="Z622" i="1"/>
  <c r="S622" i="1" s="1"/>
  <c r="AA618" i="1"/>
  <c r="Z618" i="1"/>
  <c r="S618" i="1" s="1"/>
  <c r="AA614" i="1"/>
  <c r="Z614" i="1"/>
  <c r="S614" i="1" s="1"/>
  <c r="AA610" i="1"/>
  <c r="Z610" i="1"/>
  <c r="S610" i="1" s="1"/>
  <c r="AA606" i="1"/>
  <c r="Z606" i="1"/>
  <c r="S606" i="1" s="1"/>
  <c r="AA602" i="1"/>
  <c r="Z602" i="1"/>
  <c r="S602" i="1" s="1"/>
  <c r="AA598" i="1"/>
  <c r="Z598" i="1"/>
  <c r="S598" i="1" s="1"/>
  <c r="AA594" i="1"/>
  <c r="Z594" i="1"/>
  <c r="S594" i="1" s="1"/>
  <c r="AA590" i="1"/>
  <c r="Z590" i="1"/>
  <c r="S590" i="1" s="1"/>
  <c r="AA586" i="1"/>
  <c r="Z586" i="1"/>
  <c r="S586" i="1" s="1"/>
  <c r="AA582" i="1"/>
  <c r="Z582" i="1"/>
  <c r="S582" i="1" s="1"/>
  <c r="AA578" i="1"/>
  <c r="Z578" i="1"/>
  <c r="S578" i="1" s="1"/>
  <c r="AA574" i="1"/>
  <c r="Z574" i="1"/>
  <c r="S574" i="1" s="1"/>
  <c r="AA570" i="1"/>
  <c r="Z570" i="1"/>
  <c r="S570" i="1" s="1"/>
  <c r="AA566" i="1"/>
  <c r="Z566" i="1"/>
  <c r="S566" i="1" s="1"/>
  <c r="AA562" i="1"/>
  <c r="Z562" i="1"/>
  <c r="S562" i="1" s="1"/>
  <c r="AA558" i="1"/>
  <c r="Z558" i="1"/>
  <c r="S558" i="1" s="1"/>
  <c r="AA554" i="1"/>
  <c r="Z554" i="1"/>
  <c r="S554" i="1" s="1"/>
  <c r="AA550" i="1"/>
  <c r="Z550" i="1"/>
  <c r="S550" i="1" s="1"/>
  <c r="AA546" i="1"/>
  <c r="Z546" i="1"/>
  <c r="S546" i="1" s="1"/>
  <c r="AA542" i="1"/>
  <c r="Z542" i="1"/>
  <c r="S542" i="1" s="1"/>
  <c r="AA538" i="1"/>
  <c r="Z538" i="1"/>
  <c r="S538" i="1" s="1"/>
  <c r="AA534" i="1"/>
  <c r="Z534" i="1"/>
  <c r="S534" i="1" s="1"/>
  <c r="AA530" i="1"/>
  <c r="Z530" i="1"/>
  <c r="S530" i="1" s="1"/>
  <c r="AA526" i="1"/>
  <c r="Z526" i="1"/>
  <c r="S526" i="1" s="1"/>
  <c r="AA522" i="1"/>
  <c r="Z522" i="1"/>
  <c r="S522" i="1" s="1"/>
  <c r="AA518" i="1"/>
  <c r="Z518" i="1"/>
  <c r="S518" i="1" s="1"/>
  <c r="AA514" i="1"/>
  <c r="Z514" i="1"/>
  <c r="S514" i="1" s="1"/>
  <c r="AA510" i="1"/>
  <c r="Z510" i="1"/>
  <c r="S510" i="1" s="1"/>
  <c r="AA506" i="1"/>
  <c r="Z506" i="1"/>
  <c r="S506" i="1" s="1"/>
  <c r="AA502" i="1"/>
  <c r="Z502" i="1"/>
  <c r="S502" i="1" s="1"/>
  <c r="AA498" i="1"/>
  <c r="Z498" i="1"/>
  <c r="S498" i="1" s="1"/>
  <c r="AA494" i="1"/>
  <c r="Z494" i="1"/>
  <c r="S494" i="1" s="1"/>
  <c r="AA490" i="1"/>
  <c r="Z490" i="1"/>
  <c r="S490" i="1" s="1"/>
  <c r="AA486" i="1"/>
  <c r="Z486" i="1"/>
  <c r="S486" i="1" s="1"/>
  <c r="AA482" i="1"/>
  <c r="Z482" i="1"/>
  <c r="S482" i="1" s="1"/>
  <c r="AA478" i="1"/>
  <c r="Z478" i="1"/>
  <c r="S478" i="1" s="1"/>
  <c r="AA474" i="1"/>
  <c r="Z474" i="1"/>
  <c r="S474" i="1" s="1"/>
  <c r="AA470" i="1"/>
  <c r="Z470" i="1"/>
  <c r="S470" i="1" s="1"/>
  <c r="AA466" i="1"/>
  <c r="Z466" i="1"/>
  <c r="S466" i="1" s="1"/>
  <c r="AA462" i="1"/>
  <c r="Z462" i="1"/>
  <c r="S462" i="1" s="1"/>
  <c r="AA458" i="1"/>
  <c r="Z458" i="1"/>
  <c r="S458" i="1" s="1"/>
  <c r="AA454" i="1"/>
  <c r="Z454" i="1"/>
  <c r="S454" i="1" s="1"/>
  <c r="AA450" i="1"/>
  <c r="Z450" i="1"/>
  <c r="S450" i="1" s="1"/>
  <c r="AA446" i="1"/>
  <c r="Z446" i="1"/>
  <c r="S446" i="1" s="1"/>
  <c r="AA442" i="1"/>
  <c r="Z442" i="1"/>
  <c r="S442" i="1" s="1"/>
  <c r="AA438" i="1"/>
  <c r="Z438" i="1"/>
  <c r="S438" i="1" s="1"/>
  <c r="AA434" i="1"/>
  <c r="Z434" i="1"/>
  <c r="S434" i="1" s="1"/>
  <c r="AA430" i="1"/>
  <c r="Z430" i="1"/>
  <c r="S430" i="1" s="1"/>
  <c r="AA426" i="1"/>
  <c r="Z426" i="1"/>
  <c r="S426" i="1" s="1"/>
  <c r="AA422" i="1"/>
  <c r="Z422" i="1"/>
  <c r="S422" i="1" s="1"/>
  <c r="AA418" i="1"/>
  <c r="Z418" i="1"/>
  <c r="S418" i="1" s="1"/>
  <c r="AA414" i="1"/>
  <c r="Z414" i="1"/>
  <c r="S414" i="1" s="1"/>
  <c r="AA410" i="1"/>
  <c r="Z410" i="1"/>
  <c r="S410" i="1" s="1"/>
  <c r="AA406" i="1"/>
  <c r="Z406" i="1"/>
  <c r="S406" i="1" s="1"/>
  <c r="AA402" i="1"/>
  <c r="Z402" i="1"/>
  <c r="S402" i="1" s="1"/>
  <c r="AA398" i="1"/>
  <c r="Z398" i="1"/>
  <c r="S398" i="1" s="1"/>
  <c r="AA394" i="1"/>
  <c r="Z394" i="1"/>
  <c r="S394" i="1" s="1"/>
  <c r="AA390" i="1"/>
  <c r="Z390" i="1"/>
  <c r="S390" i="1" s="1"/>
  <c r="AA386" i="1"/>
  <c r="Z386" i="1"/>
  <c r="S386" i="1" s="1"/>
  <c r="AA382" i="1"/>
  <c r="Z382" i="1"/>
  <c r="S382" i="1" s="1"/>
  <c r="AA378" i="1"/>
  <c r="Z378" i="1"/>
  <c r="S378" i="1" s="1"/>
  <c r="AA374" i="1"/>
  <c r="Z374" i="1"/>
  <c r="S374" i="1" s="1"/>
  <c r="AA370" i="1"/>
  <c r="Z370" i="1"/>
  <c r="S370" i="1" s="1"/>
  <c r="AA366" i="1"/>
  <c r="Z366" i="1"/>
  <c r="S366" i="1" s="1"/>
  <c r="AA362" i="1"/>
  <c r="Z362" i="1"/>
  <c r="S362" i="1" s="1"/>
  <c r="AA358" i="1"/>
  <c r="Z358" i="1"/>
  <c r="S358" i="1" s="1"/>
  <c r="AA354" i="1"/>
  <c r="Z354" i="1"/>
  <c r="S354" i="1" s="1"/>
  <c r="AA350" i="1"/>
  <c r="Z350" i="1"/>
  <c r="S350" i="1" s="1"/>
  <c r="AA346" i="1"/>
  <c r="Z346" i="1"/>
  <c r="S346" i="1" s="1"/>
  <c r="AA342" i="1"/>
  <c r="Z342" i="1"/>
  <c r="S342" i="1" s="1"/>
  <c r="AA338" i="1"/>
  <c r="Z338" i="1"/>
  <c r="S338" i="1" s="1"/>
  <c r="AA334" i="1"/>
  <c r="Z334" i="1"/>
  <c r="S334" i="1" s="1"/>
  <c r="AA330" i="1"/>
  <c r="Z330" i="1"/>
  <c r="S330" i="1" s="1"/>
  <c r="AA326" i="1"/>
  <c r="Z326" i="1"/>
  <c r="S326" i="1" s="1"/>
  <c r="AA322" i="1"/>
  <c r="Z322" i="1"/>
  <c r="S322" i="1" s="1"/>
  <c r="AA318" i="1"/>
  <c r="Z318" i="1"/>
  <c r="S318" i="1" s="1"/>
  <c r="AA314" i="1"/>
  <c r="Z314" i="1"/>
  <c r="S314" i="1" s="1"/>
  <c r="AA310" i="1"/>
  <c r="Z310" i="1"/>
  <c r="S310" i="1" s="1"/>
  <c r="AA306" i="1"/>
  <c r="Z306" i="1"/>
  <c r="S306" i="1" s="1"/>
  <c r="AA302" i="1"/>
  <c r="Z302" i="1"/>
  <c r="S302" i="1" s="1"/>
  <c r="AA298" i="1"/>
  <c r="Z298" i="1"/>
  <c r="S298" i="1" s="1"/>
  <c r="AA294" i="1"/>
  <c r="Z294" i="1"/>
  <c r="S294" i="1" s="1"/>
  <c r="AA290" i="1"/>
  <c r="Z290" i="1"/>
  <c r="S290" i="1" s="1"/>
  <c r="AA286" i="1"/>
  <c r="Z286" i="1"/>
  <c r="S286" i="1" s="1"/>
  <c r="AA282" i="1"/>
  <c r="Z282" i="1"/>
  <c r="S282" i="1" s="1"/>
  <c r="AA278" i="1"/>
  <c r="Z278" i="1"/>
  <c r="S278" i="1" s="1"/>
  <c r="AA274" i="1"/>
  <c r="Z274" i="1"/>
  <c r="S274" i="1" s="1"/>
  <c r="AA270" i="1"/>
  <c r="Z270" i="1"/>
  <c r="S270" i="1" s="1"/>
  <c r="AA266" i="1"/>
  <c r="Z266" i="1"/>
  <c r="S266" i="1" s="1"/>
  <c r="AA262" i="1"/>
  <c r="Z262" i="1"/>
  <c r="S262" i="1" s="1"/>
  <c r="AA258" i="1"/>
  <c r="Z258" i="1"/>
  <c r="S258" i="1" s="1"/>
  <c r="AA254" i="1"/>
  <c r="Z254" i="1"/>
  <c r="S254" i="1" s="1"/>
  <c r="AA250" i="1"/>
  <c r="Z250" i="1"/>
  <c r="S250" i="1" s="1"/>
  <c r="AA246" i="1"/>
  <c r="Z246" i="1"/>
  <c r="S246" i="1" s="1"/>
  <c r="AA242" i="1"/>
  <c r="Z242" i="1"/>
  <c r="S242" i="1" s="1"/>
  <c r="AA238" i="1"/>
  <c r="Z238" i="1"/>
  <c r="S238" i="1" s="1"/>
  <c r="AA234" i="1"/>
  <c r="Z234" i="1"/>
  <c r="S234" i="1" s="1"/>
  <c r="AA230" i="1"/>
  <c r="Z230" i="1"/>
  <c r="S230" i="1" s="1"/>
  <c r="AA226" i="1"/>
  <c r="Z226" i="1"/>
  <c r="S226" i="1" s="1"/>
  <c r="AA222" i="1"/>
  <c r="Z222" i="1"/>
  <c r="S222" i="1" s="1"/>
  <c r="AA218" i="1"/>
  <c r="Z218" i="1"/>
  <c r="S218" i="1" s="1"/>
  <c r="AA214" i="1"/>
  <c r="Z214" i="1"/>
  <c r="S214" i="1" s="1"/>
  <c r="AA210" i="1"/>
  <c r="Z210" i="1"/>
  <c r="S210" i="1" s="1"/>
  <c r="AA206" i="1"/>
  <c r="Z206" i="1"/>
  <c r="S206" i="1" s="1"/>
  <c r="AA202" i="1"/>
  <c r="Z202" i="1"/>
  <c r="S202" i="1" s="1"/>
  <c r="AA198" i="1"/>
  <c r="Z198" i="1"/>
  <c r="S198" i="1" s="1"/>
  <c r="AA194" i="1"/>
  <c r="Z194" i="1"/>
  <c r="S194" i="1" s="1"/>
  <c r="AA190" i="1"/>
  <c r="Z190" i="1"/>
  <c r="S190" i="1" s="1"/>
  <c r="AA186" i="1"/>
  <c r="Z186" i="1"/>
  <c r="S186" i="1" s="1"/>
  <c r="AA182" i="1"/>
  <c r="Z182" i="1"/>
  <c r="S182" i="1" s="1"/>
  <c r="AA178" i="1"/>
  <c r="Z178" i="1"/>
  <c r="S178" i="1" s="1"/>
  <c r="AA174" i="1"/>
  <c r="Z174" i="1"/>
  <c r="S174" i="1" s="1"/>
  <c r="AA170" i="1"/>
  <c r="Z170" i="1"/>
  <c r="S170" i="1" s="1"/>
  <c r="AA166" i="1"/>
  <c r="Z166" i="1"/>
  <c r="S166" i="1" s="1"/>
  <c r="AA162" i="1"/>
  <c r="Z162" i="1"/>
  <c r="S162" i="1" s="1"/>
  <c r="AA158" i="1"/>
  <c r="Z158" i="1"/>
  <c r="S158" i="1" s="1"/>
  <c r="AA154" i="1"/>
  <c r="Z154" i="1"/>
  <c r="S154" i="1" s="1"/>
  <c r="AA150" i="1"/>
  <c r="Z150" i="1"/>
  <c r="S150" i="1" s="1"/>
  <c r="AA146" i="1"/>
  <c r="Z146" i="1"/>
  <c r="S146" i="1" s="1"/>
  <c r="AA142" i="1"/>
  <c r="Z142" i="1"/>
  <c r="S142" i="1" s="1"/>
  <c r="AA138" i="1"/>
  <c r="Z138" i="1"/>
  <c r="S138" i="1" s="1"/>
  <c r="AA134" i="1"/>
  <c r="Z134" i="1"/>
  <c r="S134" i="1" s="1"/>
  <c r="AA130" i="1"/>
  <c r="Z130" i="1"/>
  <c r="S130" i="1" s="1"/>
  <c r="AA126" i="1"/>
  <c r="Z126" i="1"/>
  <c r="S126" i="1" s="1"/>
  <c r="AA122" i="1"/>
  <c r="Z122" i="1"/>
  <c r="S122" i="1" s="1"/>
  <c r="AA118" i="1"/>
  <c r="Z118" i="1"/>
  <c r="S118" i="1" s="1"/>
  <c r="AA114" i="1"/>
  <c r="Z114" i="1"/>
  <c r="S114" i="1" s="1"/>
  <c r="AA110" i="1"/>
  <c r="Z110" i="1"/>
  <c r="S110" i="1" s="1"/>
  <c r="AA106" i="1"/>
  <c r="Z106" i="1"/>
  <c r="S106" i="1" s="1"/>
  <c r="AA102" i="1"/>
  <c r="Z102" i="1"/>
  <c r="S102" i="1" s="1"/>
  <c r="AA98" i="1"/>
  <c r="Z98" i="1"/>
  <c r="S98" i="1" s="1"/>
  <c r="AA94" i="1"/>
  <c r="Z94" i="1"/>
  <c r="S94" i="1" s="1"/>
  <c r="AA90" i="1"/>
  <c r="Z90" i="1"/>
  <c r="S90" i="1" s="1"/>
  <c r="AA86" i="1"/>
  <c r="Z86" i="1"/>
  <c r="S86" i="1" s="1"/>
  <c r="AA82" i="1"/>
  <c r="Z82" i="1"/>
  <c r="S82" i="1" s="1"/>
  <c r="AA78" i="1"/>
  <c r="Z78" i="1"/>
  <c r="S78" i="1" s="1"/>
  <c r="AA74" i="1"/>
  <c r="Z74" i="1"/>
  <c r="S74" i="1" s="1"/>
  <c r="AA70" i="1"/>
  <c r="Z70" i="1"/>
  <c r="S70" i="1" s="1"/>
  <c r="AA66" i="1"/>
  <c r="Z66" i="1"/>
  <c r="S66" i="1" s="1"/>
  <c r="AA62" i="1"/>
  <c r="Z62" i="1"/>
  <c r="S62" i="1" s="1"/>
  <c r="AA58" i="1"/>
  <c r="Z58" i="1"/>
  <c r="S58" i="1" s="1"/>
  <c r="AA54" i="1"/>
  <c r="Z54" i="1"/>
  <c r="S54" i="1" s="1"/>
  <c r="AA50" i="1"/>
  <c r="Z50" i="1"/>
  <c r="S50" i="1" s="1"/>
  <c r="AA46" i="1"/>
  <c r="Z46" i="1"/>
  <c r="S46" i="1" s="1"/>
  <c r="AA42" i="1"/>
  <c r="Z42" i="1"/>
  <c r="S42" i="1" s="1"/>
  <c r="AA38" i="1"/>
  <c r="Z38" i="1"/>
  <c r="S38" i="1" s="1"/>
  <c r="AA34" i="1"/>
  <c r="Z34" i="1"/>
  <c r="S34" i="1" s="1"/>
  <c r="AA30" i="1"/>
  <c r="Z30" i="1"/>
  <c r="S30" i="1" s="1"/>
  <c r="AA26" i="1"/>
  <c r="Z26" i="1"/>
  <c r="S26" i="1" s="1"/>
  <c r="AA22" i="1"/>
  <c r="Z22" i="1"/>
  <c r="S22" i="1" s="1"/>
  <c r="AA18" i="1"/>
  <c r="Z18" i="1"/>
  <c r="S18" i="1" s="1"/>
  <c r="AA14" i="1"/>
  <c r="Z14" i="1"/>
  <c r="S14" i="1" s="1"/>
  <c r="AA10" i="1"/>
  <c r="Z10" i="1"/>
  <c r="S10" i="1" s="1"/>
  <c r="AA6" i="1"/>
  <c r="Z6" i="1"/>
  <c r="S6" i="1" s="1"/>
  <c r="AA1729" i="1"/>
  <c r="Z1729" i="1"/>
  <c r="V1729" i="1" s="1"/>
  <c r="AA1725" i="1"/>
  <c r="Z1725" i="1"/>
  <c r="S1725" i="1" s="1"/>
  <c r="AA1721" i="1"/>
  <c r="Z1721" i="1"/>
  <c r="V1721" i="1" s="1"/>
  <c r="W1721" i="1" s="1"/>
  <c r="AA1717" i="1"/>
  <c r="Z1717" i="1"/>
  <c r="S1717" i="1" s="1"/>
  <c r="AA1713" i="1"/>
  <c r="Z1713" i="1"/>
  <c r="V1713" i="1" s="1"/>
  <c r="W1713" i="1" s="1"/>
  <c r="AA1709" i="1"/>
  <c r="Z1709" i="1"/>
  <c r="S1709" i="1" s="1"/>
  <c r="AA1705" i="1"/>
  <c r="Z1705" i="1"/>
  <c r="V1705" i="1" s="1"/>
  <c r="AA1701" i="1"/>
  <c r="Z1701" i="1"/>
  <c r="S1701" i="1" s="1"/>
  <c r="AA1697" i="1"/>
  <c r="Z1697" i="1"/>
  <c r="V1697" i="1" s="1"/>
  <c r="W1697" i="1" s="1"/>
  <c r="AA1693" i="1"/>
  <c r="Z1693" i="1"/>
  <c r="S1693" i="1" s="1"/>
  <c r="AA1689" i="1"/>
  <c r="Z1689" i="1"/>
  <c r="V1689" i="1" s="1"/>
  <c r="W1689" i="1" s="1"/>
  <c r="AA1685" i="1"/>
  <c r="Z1685" i="1"/>
  <c r="S1685" i="1" s="1"/>
  <c r="AA1681" i="1"/>
  <c r="Z1681" i="1"/>
  <c r="V1681" i="1" s="1"/>
  <c r="W1681" i="1" s="1"/>
  <c r="AA1677" i="1"/>
  <c r="Z1677" i="1"/>
  <c r="S1677" i="1" s="1"/>
  <c r="AA1673" i="1"/>
  <c r="Z1673" i="1"/>
  <c r="V1673" i="1" s="1"/>
  <c r="W1673" i="1" s="1"/>
  <c r="AA1669" i="1"/>
  <c r="Z1669" i="1"/>
  <c r="S1669" i="1" s="1"/>
  <c r="AA1665" i="1"/>
  <c r="Z1665" i="1"/>
  <c r="V1665" i="1" s="1"/>
  <c r="W1665" i="1" s="1"/>
  <c r="AA1661" i="1"/>
  <c r="Z1661" i="1"/>
  <c r="S1661" i="1" s="1"/>
  <c r="AA1657" i="1"/>
  <c r="Z1657" i="1"/>
  <c r="V1657" i="1" s="1"/>
  <c r="W1657" i="1" s="1"/>
  <c r="AA1653" i="1"/>
  <c r="Z1653" i="1"/>
  <c r="S1653" i="1" s="1"/>
  <c r="AA1649" i="1"/>
  <c r="Z1649" i="1"/>
  <c r="V1649" i="1" s="1"/>
  <c r="W1649" i="1" s="1"/>
  <c r="AA1645" i="1"/>
  <c r="Z1645" i="1"/>
  <c r="S1645" i="1" s="1"/>
  <c r="AA1641" i="1"/>
  <c r="Z1641" i="1"/>
  <c r="V1641" i="1" s="1"/>
  <c r="W1641" i="1" s="1"/>
  <c r="AA1637" i="1"/>
  <c r="Z1637" i="1"/>
  <c r="S1637" i="1" s="1"/>
  <c r="AA1633" i="1"/>
  <c r="Z1633" i="1"/>
  <c r="V1633" i="1" s="1"/>
  <c r="W1633" i="1" s="1"/>
  <c r="AA1629" i="1"/>
  <c r="Z1629" i="1"/>
  <c r="S1629" i="1" s="1"/>
  <c r="AA1625" i="1"/>
  <c r="Z1625" i="1"/>
  <c r="V1625" i="1" s="1"/>
  <c r="W1625" i="1" s="1"/>
  <c r="AA1621" i="1"/>
  <c r="Z1621" i="1"/>
  <c r="S1621" i="1" s="1"/>
  <c r="AA1617" i="1"/>
  <c r="Z1617" i="1"/>
  <c r="V1617" i="1" s="1"/>
  <c r="W1617" i="1" s="1"/>
  <c r="AA1613" i="1"/>
  <c r="Z1613" i="1"/>
  <c r="S1613" i="1" s="1"/>
  <c r="AA1609" i="1"/>
  <c r="Z1609" i="1"/>
  <c r="V1609" i="1" s="1"/>
  <c r="W1609" i="1" s="1"/>
  <c r="AA1605" i="1"/>
  <c r="Z1605" i="1"/>
  <c r="S1605" i="1" s="1"/>
  <c r="AA1601" i="1"/>
  <c r="Z1601" i="1"/>
  <c r="V1601" i="1" s="1"/>
  <c r="W1601" i="1" s="1"/>
  <c r="AA1597" i="1"/>
  <c r="Z1597" i="1"/>
  <c r="S1597" i="1" s="1"/>
  <c r="AA1593" i="1"/>
  <c r="Z1593" i="1"/>
  <c r="V1593" i="1" s="1"/>
  <c r="W1593" i="1" s="1"/>
  <c r="AA1589" i="1"/>
  <c r="Z1589" i="1"/>
  <c r="S1589" i="1" s="1"/>
  <c r="AA1585" i="1"/>
  <c r="Z1585" i="1"/>
  <c r="V1585" i="1" s="1"/>
  <c r="W1585" i="1" s="1"/>
  <c r="AA1581" i="1"/>
  <c r="Z1581" i="1"/>
  <c r="S1581" i="1" s="1"/>
  <c r="AA1577" i="1"/>
  <c r="Z1577" i="1"/>
  <c r="V1577" i="1" s="1"/>
  <c r="W1577" i="1" s="1"/>
  <c r="AA1573" i="1"/>
  <c r="Z1573" i="1"/>
  <c r="S1573" i="1" s="1"/>
  <c r="AA1569" i="1"/>
  <c r="Z1569" i="1"/>
  <c r="V1569" i="1" s="1"/>
  <c r="W1569" i="1" s="1"/>
  <c r="AA1565" i="1"/>
  <c r="Z1565" i="1"/>
  <c r="S1565" i="1" s="1"/>
  <c r="AA1561" i="1"/>
  <c r="Z1561" i="1"/>
  <c r="V1561" i="1" s="1"/>
  <c r="W1561" i="1" s="1"/>
  <c r="AA1557" i="1"/>
  <c r="Z1557" i="1"/>
  <c r="S1557" i="1" s="1"/>
  <c r="AA1553" i="1"/>
  <c r="Z1553" i="1"/>
  <c r="V1553" i="1" s="1"/>
  <c r="W1553" i="1" s="1"/>
  <c r="AA1549" i="1"/>
  <c r="Z1549" i="1"/>
  <c r="S1549" i="1" s="1"/>
  <c r="AA1545" i="1"/>
  <c r="Z1545" i="1"/>
  <c r="V1545" i="1" s="1"/>
  <c r="W1545" i="1" s="1"/>
  <c r="AA1541" i="1"/>
  <c r="Z1541" i="1"/>
  <c r="S1541" i="1" s="1"/>
  <c r="AA1537" i="1"/>
  <c r="Z1537" i="1"/>
  <c r="V1537" i="1" s="1"/>
  <c r="W1537" i="1" s="1"/>
  <c r="AA1533" i="1"/>
  <c r="Z1533" i="1"/>
  <c r="S1533" i="1" s="1"/>
  <c r="AA1529" i="1"/>
  <c r="Z1529" i="1"/>
  <c r="V1529" i="1" s="1"/>
  <c r="W1529" i="1" s="1"/>
  <c r="AA1525" i="1"/>
  <c r="Z1525" i="1"/>
  <c r="S1525" i="1" s="1"/>
  <c r="AA1521" i="1"/>
  <c r="Z1521" i="1"/>
  <c r="V1521" i="1" s="1"/>
  <c r="W1521" i="1" s="1"/>
  <c r="AA1517" i="1"/>
  <c r="Z1517" i="1"/>
  <c r="S1517" i="1" s="1"/>
  <c r="AA1513" i="1"/>
  <c r="Z1513" i="1"/>
  <c r="V1513" i="1" s="1"/>
  <c r="AA1509" i="1"/>
  <c r="Z1509" i="1"/>
  <c r="S1509" i="1" s="1"/>
  <c r="AA1505" i="1"/>
  <c r="Z1505" i="1"/>
  <c r="V1505" i="1" s="1"/>
  <c r="W1505" i="1" s="1"/>
  <c r="AA1501" i="1"/>
  <c r="Z1501" i="1"/>
  <c r="S1501" i="1" s="1"/>
  <c r="AA1497" i="1"/>
  <c r="Z1497" i="1"/>
  <c r="V1497" i="1" s="1"/>
  <c r="AA1493" i="1"/>
  <c r="Z1493" i="1"/>
  <c r="S1493" i="1" s="1"/>
  <c r="AA1489" i="1"/>
  <c r="Z1489" i="1"/>
  <c r="V1489" i="1" s="1"/>
  <c r="W1489" i="1" s="1"/>
  <c r="AA1485" i="1"/>
  <c r="Z1485" i="1"/>
  <c r="S1485" i="1" s="1"/>
  <c r="AA1481" i="1"/>
  <c r="Z1481" i="1"/>
  <c r="V1481" i="1" s="1"/>
  <c r="W1481" i="1" s="1"/>
  <c r="AA1477" i="1"/>
  <c r="Z1477" i="1"/>
  <c r="S1477" i="1" s="1"/>
  <c r="AA1473" i="1"/>
  <c r="Z1473" i="1"/>
  <c r="V1473" i="1" s="1"/>
  <c r="W1473" i="1" s="1"/>
  <c r="AA1469" i="1"/>
  <c r="Z1469" i="1"/>
  <c r="S1469" i="1" s="1"/>
  <c r="AA1465" i="1"/>
  <c r="Z1465" i="1"/>
  <c r="V1465" i="1" s="1"/>
  <c r="W1465" i="1" s="1"/>
  <c r="AA1461" i="1"/>
  <c r="Z1461" i="1"/>
  <c r="S1461" i="1" s="1"/>
  <c r="AA1457" i="1"/>
  <c r="Z1457" i="1"/>
  <c r="V1457" i="1" s="1"/>
  <c r="W1457" i="1" s="1"/>
  <c r="AA1453" i="1"/>
  <c r="Z1453" i="1"/>
  <c r="S1453" i="1" s="1"/>
  <c r="AA1449" i="1"/>
  <c r="Z1449" i="1"/>
  <c r="V1449" i="1" s="1"/>
  <c r="W1449" i="1" s="1"/>
  <c r="AA1445" i="1"/>
  <c r="Z1445" i="1"/>
  <c r="S1445" i="1" s="1"/>
  <c r="AA1441" i="1"/>
  <c r="Z1441" i="1"/>
  <c r="V1441" i="1" s="1"/>
  <c r="AA1437" i="1"/>
  <c r="Z1437" i="1"/>
  <c r="S1437" i="1" s="1"/>
  <c r="AA1433" i="1"/>
  <c r="Z1433" i="1"/>
  <c r="V1433" i="1" s="1"/>
  <c r="W1433" i="1" s="1"/>
  <c r="AA1429" i="1"/>
  <c r="Z1429" i="1"/>
  <c r="S1429" i="1" s="1"/>
  <c r="AA1425" i="1"/>
  <c r="Z1425" i="1"/>
  <c r="V1425" i="1" s="1"/>
  <c r="W1425" i="1" s="1"/>
  <c r="AA1421" i="1"/>
  <c r="Z1421" i="1"/>
  <c r="S1421" i="1" s="1"/>
  <c r="AA1417" i="1"/>
  <c r="Z1417" i="1"/>
  <c r="V1417" i="1" s="1"/>
  <c r="W1417" i="1" s="1"/>
  <c r="AA1413" i="1"/>
  <c r="Z1413" i="1"/>
  <c r="S1413" i="1" s="1"/>
  <c r="AA1409" i="1"/>
  <c r="Z1409" i="1"/>
  <c r="V1409" i="1" s="1"/>
  <c r="W1409" i="1" s="1"/>
  <c r="AA1405" i="1"/>
  <c r="Z1405" i="1"/>
  <c r="S1405" i="1" s="1"/>
  <c r="AA1401" i="1"/>
  <c r="Z1401" i="1"/>
  <c r="V1401" i="1" s="1"/>
  <c r="W1401" i="1" s="1"/>
  <c r="AA1397" i="1"/>
  <c r="Z1397" i="1"/>
  <c r="S1397" i="1" s="1"/>
  <c r="AA1393" i="1"/>
  <c r="Z1393" i="1"/>
  <c r="V1393" i="1" s="1"/>
  <c r="W1393" i="1" s="1"/>
  <c r="AA1389" i="1"/>
  <c r="Z1389" i="1"/>
  <c r="S1389" i="1" s="1"/>
  <c r="AA1385" i="1"/>
  <c r="Z1385" i="1"/>
  <c r="V1385" i="1" s="1"/>
  <c r="W1385" i="1" s="1"/>
  <c r="AA1381" i="1"/>
  <c r="Z1381" i="1"/>
  <c r="S1381" i="1" s="1"/>
  <c r="AA1377" i="1"/>
  <c r="Z1377" i="1"/>
  <c r="V1377" i="1" s="1"/>
  <c r="W1377" i="1" s="1"/>
  <c r="AA1373" i="1"/>
  <c r="Z1373" i="1"/>
  <c r="S1373" i="1" s="1"/>
  <c r="AA1369" i="1"/>
  <c r="Z1369" i="1"/>
  <c r="V1369" i="1" s="1"/>
  <c r="W1369" i="1" s="1"/>
  <c r="AA1365" i="1"/>
  <c r="Z1365" i="1"/>
  <c r="S1365" i="1" s="1"/>
  <c r="AA1361" i="1"/>
  <c r="Z1361" i="1"/>
  <c r="V1361" i="1" s="1"/>
  <c r="AA1357" i="1"/>
  <c r="Z1357" i="1"/>
  <c r="S1357" i="1" s="1"/>
  <c r="AA1353" i="1"/>
  <c r="Z1353" i="1"/>
  <c r="V1353" i="1" s="1"/>
  <c r="W1353" i="1" s="1"/>
  <c r="AA1349" i="1"/>
  <c r="Z1349" i="1"/>
  <c r="S1349" i="1" s="1"/>
  <c r="AA1345" i="1"/>
  <c r="Z1345" i="1"/>
  <c r="V1345" i="1" s="1"/>
  <c r="W1345" i="1" s="1"/>
  <c r="AA1341" i="1"/>
  <c r="Z1341" i="1"/>
  <c r="S1341" i="1" s="1"/>
  <c r="AA1337" i="1"/>
  <c r="Z1337" i="1"/>
  <c r="V1337" i="1" s="1"/>
  <c r="W1337" i="1" s="1"/>
  <c r="AA1333" i="1"/>
  <c r="Z1333" i="1"/>
  <c r="S1333" i="1" s="1"/>
  <c r="AA1329" i="1"/>
  <c r="Z1329" i="1"/>
  <c r="V1329" i="1" s="1"/>
  <c r="W1329" i="1" s="1"/>
  <c r="AA1325" i="1"/>
  <c r="Z1325" i="1"/>
  <c r="S1325" i="1" s="1"/>
  <c r="AA1321" i="1"/>
  <c r="Z1321" i="1"/>
  <c r="V1321" i="1" s="1"/>
  <c r="W1321" i="1" s="1"/>
  <c r="AA1317" i="1"/>
  <c r="Z1317" i="1"/>
  <c r="S1317" i="1" s="1"/>
  <c r="AA1313" i="1"/>
  <c r="Z1313" i="1"/>
  <c r="V1313" i="1" s="1"/>
  <c r="W1313" i="1" s="1"/>
  <c r="AA1309" i="1"/>
  <c r="Z1309" i="1"/>
  <c r="S1309" i="1" s="1"/>
  <c r="AA1305" i="1"/>
  <c r="Z1305" i="1"/>
  <c r="V1305" i="1" s="1"/>
  <c r="W1305" i="1" s="1"/>
  <c r="AA1301" i="1"/>
  <c r="Z1301" i="1"/>
  <c r="S1301" i="1" s="1"/>
  <c r="AA1297" i="1"/>
  <c r="Z1297" i="1"/>
  <c r="V1297" i="1" s="1"/>
  <c r="W1297" i="1" s="1"/>
  <c r="AA1293" i="1"/>
  <c r="Z1293" i="1"/>
  <c r="S1293" i="1" s="1"/>
  <c r="AA1289" i="1"/>
  <c r="Z1289" i="1"/>
  <c r="V1289" i="1" s="1"/>
  <c r="W1289" i="1" s="1"/>
  <c r="AA1285" i="1"/>
  <c r="Z1285" i="1"/>
  <c r="S1285" i="1" s="1"/>
  <c r="AA1281" i="1"/>
  <c r="Z1281" i="1"/>
  <c r="V1281" i="1" s="1"/>
  <c r="W1281" i="1" s="1"/>
  <c r="AA1277" i="1"/>
  <c r="Z1277" i="1"/>
  <c r="S1277" i="1" s="1"/>
  <c r="AA1273" i="1"/>
  <c r="Z1273" i="1"/>
  <c r="V1273" i="1" s="1"/>
  <c r="W1273" i="1" s="1"/>
  <c r="AA1269" i="1"/>
  <c r="Z1269" i="1"/>
  <c r="S1269" i="1" s="1"/>
  <c r="AA1265" i="1"/>
  <c r="Z1265" i="1"/>
  <c r="V1265" i="1" s="1"/>
  <c r="AA1261" i="1"/>
  <c r="Z1261" i="1"/>
  <c r="S1261" i="1" s="1"/>
  <c r="AA1257" i="1"/>
  <c r="Z1257" i="1"/>
  <c r="V1257" i="1" s="1"/>
  <c r="W1257" i="1" s="1"/>
  <c r="AA1253" i="1"/>
  <c r="Z1253" i="1"/>
  <c r="S1253" i="1" s="1"/>
  <c r="AA1249" i="1"/>
  <c r="Z1249" i="1"/>
  <c r="V1249" i="1" s="1"/>
  <c r="AA1245" i="1"/>
  <c r="Z1245" i="1"/>
  <c r="S1245" i="1" s="1"/>
  <c r="AA1241" i="1"/>
  <c r="Z1241" i="1"/>
  <c r="V1241" i="1" s="1"/>
  <c r="W1241" i="1" s="1"/>
  <c r="AA1237" i="1"/>
  <c r="Z1237" i="1"/>
  <c r="S1237" i="1" s="1"/>
  <c r="AA1233" i="1"/>
  <c r="Z1233" i="1"/>
  <c r="V1233" i="1" s="1"/>
  <c r="W1233" i="1" s="1"/>
  <c r="AA1229" i="1"/>
  <c r="Z1229" i="1"/>
  <c r="S1229" i="1" s="1"/>
  <c r="AA1225" i="1"/>
  <c r="Z1225" i="1"/>
  <c r="V1225" i="1" s="1"/>
  <c r="W1225" i="1" s="1"/>
  <c r="AA1221" i="1"/>
  <c r="Z1221" i="1"/>
  <c r="S1221" i="1" s="1"/>
  <c r="AA1217" i="1"/>
  <c r="Z1217" i="1"/>
  <c r="V1217" i="1" s="1"/>
  <c r="W1217" i="1" s="1"/>
  <c r="AA1213" i="1"/>
  <c r="Z1213" i="1"/>
  <c r="S1213" i="1" s="1"/>
  <c r="AA1209" i="1"/>
  <c r="Z1209" i="1"/>
  <c r="V1209" i="1" s="1"/>
  <c r="AA1205" i="1"/>
  <c r="Z1205" i="1"/>
  <c r="S1205" i="1" s="1"/>
  <c r="AA1201" i="1"/>
  <c r="Z1201" i="1"/>
  <c r="V1201" i="1" s="1"/>
  <c r="W1201" i="1" s="1"/>
  <c r="AA1197" i="1"/>
  <c r="Z1197" i="1"/>
  <c r="V1197" i="1" s="1"/>
  <c r="W1197" i="1" s="1"/>
  <c r="AA1193" i="1"/>
  <c r="Z1193" i="1"/>
  <c r="V1193" i="1" s="1"/>
  <c r="W1193" i="1" s="1"/>
  <c r="AA1189" i="1"/>
  <c r="Z1189" i="1"/>
  <c r="S1189" i="1" s="1"/>
  <c r="AA1185" i="1"/>
  <c r="Z1185" i="1"/>
  <c r="V1185" i="1" s="1"/>
  <c r="W1185" i="1" s="1"/>
  <c r="AA1181" i="1"/>
  <c r="Z1181" i="1"/>
  <c r="V1181" i="1" s="1"/>
  <c r="W1181" i="1" s="1"/>
  <c r="AA1177" i="1"/>
  <c r="Z1177" i="1"/>
  <c r="V1177" i="1" s="1"/>
  <c r="W1177" i="1" s="1"/>
  <c r="AA1173" i="1"/>
  <c r="Z1173" i="1"/>
  <c r="S1173" i="1" s="1"/>
  <c r="AA1169" i="1"/>
  <c r="Z1169" i="1"/>
  <c r="V1169" i="1" s="1"/>
  <c r="W1169" i="1" s="1"/>
  <c r="AA1165" i="1"/>
  <c r="Z1165" i="1"/>
  <c r="V1165" i="1" s="1"/>
  <c r="W1165" i="1" s="1"/>
  <c r="AA1161" i="1"/>
  <c r="Z1161" i="1"/>
  <c r="V1161" i="1" s="1"/>
  <c r="W1161" i="1" s="1"/>
  <c r="AA1157" i="1"/>
  <c r="Z1157" i="1"/>
  <c r="S1157" i="1" s="1"/>
  <c r="AA1153" i="1"/>
  <c r="Z1153" i="1"/>
  <c r="V1153" i="1" s="1"/>
  <c r="W1153" i="1" s="1"/>
  <c r="AA1149" i="1"/>
  <c r="Z1149" i="1"/>
  <c r="V1149" i="1" s="1"/>
  <c r="W1149" i="1" s="1"/>
  <c r="AA1145" i="1"/>
  <c r="Z1145" i="1"/>
  <c r="V1145" i="1" s="1"/>
  <c r="W1145" i="1" s="1"/>
  <c r="AA1141" i="1"/>
  <c r="Z1141" i="1"/>
  <c r="S1141" i="1" s="1"/>
  <c r="AA1137" i="1"/>
  <c r="Z1137" i="1"/>
  <c r="V1137" i="1" s="1"/>
  <c r="W1137" i="1" s="1"/>
  <c r="AA1133" i="1"/>
  <c r="Z1133" i="1"/>
  <c r="V1133" i="1" s="1"/>
  <c r="W1133" i="1" s="1"/>
  <c r="AA1129" i="1"/>
  <c r="Z1129" i="1"/>
  <c r="V1129" i="1" s="1"/>
  <c r="W1129" i="1" s="1"/>
  <c r="AA1125" i="1"/>
  <c r="Z1125" i="1"/>
  <c r="S1125" i="1" s="1"/>
  <c r="AA1121" i="1"/>
  <c r="Z1121" i="1"/>
  <c r="V1121" i="1" s="1"/>
  <c r="W1121" i="1" s="1"/>
  <c r="AA1117" i="1"/>
  <c r="Z1117" i="1"/>
  <c r="V1117" i="1" s="1"/>
  <c r="W1117" i="1" s="1"/>
  <c r="AA1113" i="1"/>
  <c r="Z1113" i="1"/>
  <c r="V1113" i="1" s="1"/>
  <c r="W1113" i="1" s="1"/>
  <c r="AA1109" i="1"/>
  <c r="Z1109" i="1"/>
  <c r="S1109" i="1" s="1"/>
  <c r="AA1105" i="1"/>
  <c r="Z1105" i="1"/>
  <c r="V1105" i="1" s="1"/>
  <c r="W1105" i="1" s="1"/>
  <c r="AA1101" i="1"/>
  <c r="Z1101" i="1"/>
  <c r="V1101" i="1" s="1"/>
  <c r="W1101" i="1" s="1"/>
  <c r="AA1097" i="1"/>
  <c r="Z1097" i="1"/>
  <c r="V1097" i="1" s="1"/>
  <c r="W1097" i="1" s="1"/>
  <c r="AA1093" i="1"/>
  <c r="Z1093" i="1"/>
  <c r="S1093" i="1" s="1"/>
  <c r="AA1089" i="1"/>
  <c r="Z1089" i="1"/>
  <c r="V1089" i="1" s="1"/>
  <c r="W1089" i="1" s="1"/>
  <c r="AA1085" i="1"/>
  <c r="Z1085" i="1"/>
  <c r="V1085" i="1" s="1"/>
  <c r="W1085" i="1" s="1"/>
  <c r="AA1081" i="1"/>
  <c r="Z1081" i="1"/>
  <c r="V1081" i="1" s="1"/>
  <c r="W1081" i="1" s="1"/>
  <c r="AA1077" i="1"/>
  <c r="Z1077" i="1"/>
  <c r="S1077" i="1" s="1"/>
  <c r="AA1073" i="1"/>
  <c r="Z1073" i="1"/>
  <c r="V1073" i="1" s="1"/>
  <c r="W1073" i="1" s="1"/>
  <c r="AA1069" i="1"/>
  <c r="Z1069" i="1"/>
  <c r="V1069" i="1" s="1"/>
  <c r="W1069" i="1" s="1"/>
  <c r="AA1065" i="1"/>
  <c r="Z1065" i="1"/>
  <c r="V1065" i="1" s="1"/>
  <c r="W1065" i="1" s="1"/>
  <c r="AA1061" i="1"/>
  <c r="Z1061" i="1"/>
  <c r="S1061" i="1" s="1"/>
  <c r="AA1057" i="1"/>
  <c r="Z1057" i="1"/>
  <c r="V1057" i="1" s="1"/>
  <c r="W1057" i="1" s="1"/>
  <c r="AA1053" i="1"/>
  <c r="Z1053" i="1"/>
  <c r="V1053" i="1" s="1"/>
  <c r="W1053" i="1" s="1"/>
  <c r="AA1049" i="1"/>
  <c r="Z1049" i="1"/>
  <c r="V1049" i="1" s="1"/>
  <c r="W1049" i="1" s="1"/>
  <c r="AA1045" i="1"/>
  <c r="Z1045" i="1"/>
  <c r="S1045" i="1" s="1"/>
  <c r="AA1041" i="1"/>
  <c r="Z1041" i="1"/>
  <c r="V1041" i="1" s="1"/>
  <c r="W1041" i="1" s="1"/>
  <c r="AA1037" i="1"/>
  <c r="Z1037" i="1"/>
  <c r="V1037" i="1" s="1"/>
  <c r="W1037" i="1" s="1"/>
  <c r="AA1033" i="1"/>
  <c r="Z1033" i="1"/>
  <c r="V1033" i="1" s="1"/>
  <c r="W1033" i="1" s="1"/>
  <c r="AA1029" i="1"/>
  <c r="Z1029" i="1"/>
  <c r="S1029" i="1" s="1"/>
  <c r="AA1025" i="1"/>
  <c r="Z1025" i="1"/>
  <c r="V1025" i="1" s="1"/>
  <c r="W1025" i="1" s="1"/>
  <c r="AA1021" i="1"/>
  <c r="Z1021" i="1"/>
  <c r="V1021" i="1" s="1"/>
  <c r="W1021" i="1" s="1"/>
  <c r="AA1017" i="1"/>
  <c r="Z1017" i="1"/>
  <c r="V1017" i="1" s="1"/>
  <c r="AA1013" i="1"/>
  <c r="Z1013" i="1"/>
  <c r="S1013" i="1" s="1"/>
  <c r="AA1009" i="1"/>
  <c r="Z1009" i="1"/>
  <c r="V1009" i="1" s="1"/>
  <c r="W1009" i="1" s="1"/>
  <c r="AA1005" i="1"/>
  <c r="Z1005" i="1"/>
  <c r="V1005" i="1" s="1"/>
  <c r="AA1001" i="1"/>
  <c r="Z1001" i="1"/>
  <c r="V1001" i="1" s="1"/>
  <c r="W1001" i="1" s="1"/>
  <c r="AA997" i="1"/>
  <c r="Z997" i="1"/>
  <c r="S997" i="1" s="1"/>
  <c r="AA993" i="1"/>
  <c r="Z993" i="1"/>
  <c r="V993" i="1" s="1"/>
  <c r="AA989" i="1"/>
  <c r="Z989" i="1"/>
  <c r="V989" i="1" s="1"/>
  <c r="W989" i="1" s="1"/>
  <c r="AA985" i="1"/>
  <c r="Z985" i="1"/>
  <c r="V985" i="1" s="1"/>
  <c r="W985" i="1" s="1"/>
  <c r="AA981" i="1"/>
  <c r="Z981" i="1"/>
  <c r="S981" i="1" s="1"/>
  <c r="AA977" i="1"/>
  <c r="Z977" i="1"/>
  <c r="V977" i="1" s="1"/>
  <c r="W977" i="1" s="1"/>
  <c r="AA973" i="1"/>
  <c r="Z973" i="1"/>
  <c r="V973" i="1" s="1"/>
  <c r="W973" i="1" s="1"/>
  <c r="AA969" i="1"/>
  <c r="Z969" i="1"/>
  <c r="V969" i="1" s="1"/>
  <c r="AA965" i="1"/>
  <c r="Z965" i="1"/>
  <c r="S965" i="1" s="1"/>
  <c r="AA961" i="1"/>
  <c r="Z961" i="1"/>
  <c r="V961" i="1" s="1"/>
  <c r="AA957" i="1"/>
  <c r="Z957" i="1"/>
  <c r="V957" i="1" s="1"/>
  <c r="AA953" i="1"/>
  <c r="Z953" i="1"/>
  <c r="V953" i="1" s="1"/>
  <c r="AA949" i="1"/>
  <c r="Z949" i="1"/>
  <c r="S949" i="1" s="1"/>
  <c r="AA945" i="1"/>
  <c r="Z945" i="1"/>
  <c r="V945" i="1" s="1"/>
  <c r="AA941" i="1"/>
  <c r="Z941" i="1"/>
  <c r="V941" i="1" s="1"/>
  <c r="W941" i="1" s="1"/>
  <c r="AA937" i="1"/>
  <c r="Z937" i="1"/>
  <c r="V937" i="1" s="1"/>
  <c r="W937" i="1" s="1"/>
  <c r="AA933" i="1"/>
  <c r="Z933" i="1"/>
  <c r="S933" i="1" s="1"/>
  <c r="AA929" i="1"/>
  <c r="Z929" i="1"/>
  <c r="V929" i="1" s="1"/>
  <c r="W929" i="1" s="1"/>
  <c r="AA925" i="1"/>
  <c r="Z925" i="1"/>
  <c r="V925" i="1" s="1"/>
  <c r="W925" i="1" s="1"/>
  <c r="AA921" i="1"/>
  <c r="Z921" i="1"/>
  <c r="V921" i="1" s="1"/>
  <c r="W921" i="1" s="1"/>
  <c r="AA917" i="1"/>
  <c r="Z917" i="1"/>
  <c r="S917" i="1" s="1"/>
  <c r="AA913" i="1"/>
  <c r="Z913" i="1"/>
  <c r="V913" i="1" s="1"/>
  <c r="W913" i="1" s="1"/>
  <c r="AA909" i="1"/>
  <c r="Z909" i="1"/>
  <c r="V909" i="1" s="1"/>
  <c r="W909" i="1" s="1"/>
  <c r="AA905" i="1"/>
  <c r="Z905" i="1"/>
  <c r="V905" i="1" s="1"/>
  <c r="W905" i="1" s="1"/>
  <c r="AA901" i="1"/>
  <c r="Z901" i="1"/>
  <c r="S901" i="1" s="1"/>
  <c r="AA897" i="1"/>
  <c r="Z897" i="1"/>
  <c r="V897" i="1" s="1"/>
  <c r="W897" i="1" s="1"/>
  <c r="AA893" i="1"/>
  <c r="Z893" i="1"/>
  <c r="V893" i="1" s="1"/>
  <c r="W893" i="1" s="1"/>
  <c r="AA889" i="1"/>
  <c r="Z889" i="1"/>
  <c r="V889" i="1" s="1"/>
  <c r="W889" i="1" s="1"/>
  <c r="AA885" i="1"/>
  <c r="Z885" i="1"/>
  <c r="S885" i="1" s="1"/>
  <c r="AA881" i="1"/>
  <c r="Z881" i="1"/>
  <c r="V881" i="1" s="1"/>
  <c r="W881" i="1" s="1"/>
  <c r="AA877" i="1"/>
  <c r="Z877" i="1"/>
  <c r="V877" i="1" s="1"/>
  <c r="W877" i="1" s="1"/>
  <c r="AA873" i="1"/>
  <c r="Z873" i="1"/>
  <c r="V873" i="1" s="1"/>
  <c r="W873" i="1" s="1"/>
  <c r="AA869" i="1"/>
  <c r="Z869" i="1"/>
  <c r="S869" i="1" s="1"/>
  <c r="AA865" i="1"/>
  <c r="Z865" i="1"/>
  <c r="V865" i="1" s="1"/>
  <c r="W865" i="1" s="1"/>
  <c r="AA861" i="1"/>
  <c r="Z861" i="1"/>
  <c r="V861" i="1" s="1"/>
  <c r="AA857" i="1"/>
  <c r="Z857" i="1"/>
  <c r="V857" i="1" s="1"/>
  <c r="W857" i="1" s="1"/>
  <c r="AA853" i="1"/>
  <c r="Z853" i="1"/>
  <c r="S853" i="1" s="1"/>
  <c r="AA849" i="1"/>
  <c r="Z849" i="1"/>
  <c r="V849" i="1" s="1"/>
  <c r="W849" i="1" s="1"/>
  <c r="AA845" i="1"/>
  <c r="Z845" i="1"/>
  <c r="V845" i="1" s="1"/>
  <c r="W845" i="1" s="1"/>
  <c r="AA841" i="1"/>
  <c r="Z841" i="1"/>
  <c r="V841" i="1" s="1"/>
  <c r="AA837" i="1"/>
  <c r="Z837" i="1"/>
  <c r="S837" i="1" s="1"/>
  <c r="AA833" i="1"/>
  <c r="Z833" i="1"/>
  <c r="V833" i="1" s="1"/>
  <c r="W833" i="1" s="1"/>
  <c r="AA829" i="1"/>
  <c r="Z829" i="1"/>
  <c r="V829" i="1" s="1"/>
  <c r="W829" i="1" s="1"/>
  <c r="AA825" i="1"/>
  <c r="Z825" i="1"/>
  <c r="V825" i="1" s="1"/>
  <c r="W825" i="1" s="1"/>
  <c r="AA821" i="1"/>
  <c r="Z821" i="1"/>
  <c r="S821" i="1" s="1"/>
  <c r="AA817" i="1"/>
  <c r="Z817" i="1"/>
  <c r="V817" i="1" s="1"/>
  <c r="W817" i="1" s="1"/>
  <c r="AA813" i="1"/>
  <c r="Z813" i="1"/>
  <c r="V813" i="1" s="1"/>
  <c r="W813" i="1" s="1"/>
  <c r="AA809" i="1"/>
  <c r="Z809" i="1"/>
  <c r="V809" i="1" s="1"/>
  <c r="W809" i="1" s="1"/>
  <c r="AA805" i="1"/>
  <c r="Z805" i="1"/>
  <c r="S805" i="1" s="1"/>
  <c r="AA801" i="1"/>
  <c r="Z801" i="1"/>
  <c r="V801" i="1" s="1"/>
  <c r="W801" i="1" s="1"/>
  <c r="AA797" i="1"/>
  <c r="Z797" i="1"/>
  <c r="V797" i="1" s="1"/>
  <c r="W797" i="1" s="1"/>
  <c r="AA793" i="1"/>
  <c r="Z793" i="1"/>
  <c r="V793" i="1" s="1"/>
  <c r="W793" i="1" s="1"/>
  <c r="AA789" i="1"/>
  <c r="Z789" i="1"/>
  <c r="S789" i="1" s="1"/>
  <c r="AA785" i="1"/>
  <c r="Z785" i="1"/>
  <c r="V785" i="1" s="1"/>
  <c r="W785" i="1" s="1"/>
  <c r="AA781" i="1"/>
  <c r="Z781" i="1"/>
  <c r="V781" i="1" s="1"/>
  <c r="W781" i="1" s="1"/>
  <c r="AA777" i="1"/>
  <c r="Z777" i="1"/>
  <c r="V777" i="1" s="1"/>
  <c r="AA773" i="1"/>
  <c r="Z773" i="1"/>
  <c r="S773" i="1" s="1"/>
  <c r="AA769" i="1"/>
  <c r="Z769" i="1"/>
  <c r="V769" i="1" s="1"/>
  <c r="W769" i="1" s="1"/>
  <c r="AA765" i="1"/>
  <c r="Z765" i="1"/>
  <c r="V765" i="1" s="1"/>
  <c r="W765" i="1" s="1"/>
  <c r="AA761" i="1"/>
  <c r="Z761" i="1"/>
  <c r="V761" i="1" s="1"/>
  <c r="W761" i="1" s="1"/>
  <c r="AA757" i="1"/>
  <c r="Z757" i="1"/>
  <c r="S757" i="1" s="1"/>
  <c r="AA753" i="1"/>
  <c r="Z753" i="1"/>
  <c r="V753" i="1" s="1"/>
  <c r="W753" i="1" s="1"/>
  <c r="AA749" i="1"/>
  <c r="Z749" i="1"/>
  <c r="V749" i="1" s="1"/>
  <c r="W749" i="1" s="1"/>
  <c r="AA745" i="1"/>
  <c r="Z745" i="1"/>
  <c r="V745" i="1" s="1"/>
  <c r="W745" i="1" s="1"/>
  <c r="AA741" i="1"/>
  <c r="Z741" i="1"/>
  <c r="S741" i="1" s="1"/>
  <c r="AA737" i="1"/>
  <c r="Z737" i="1"/>
  <c r="V737" i="1" s="1"/>
  <c r="AA733" i="1"/>
  <c r="Z733" i="1"/>
  <c r="V733" i="1" s="1"/>
  <c r="W733" i="1" s="1"/>
  <c r="AA729" i="1"/>
  <c r="Z729" i="1"/>
  <c r="V729" i="1" s="1"/>
  <c r="W729" i="1" s="1"/>
  <c r="AA725" i="1"/>
  <c r="Z725" i="1"/>
  <c r="S725" i="1" s="1"/>
  <c r="AA721" i="1"/>
  <c r="Z721" i="1"/>
  <c r="V721" i="1" s="1"/>
  <c r="W721" i="1" s="1"/>
  <c r="AA717" i="1"/>
  <c r="Z717" i="1"/>
  <c r="V717" i="1" s="1"/>
  <c r="W717" i="1" s="1"/>
  <c r="AA713" i="1"/>
  <c r="Z713" i="1"/>
  <c r="V713" i="1" s="1"/>
  <c r="W713" i="1" s="1"/>
  <c r="AA709" i="1"/>
  <c r="Z709" i="1"/>
  <c r="S709" i="1" s="1"/>
  <c r="AA705" i="1"/>
  <c r="Z705" i="1"/>
  <c r="V705" i="1" s="1"/>
  <c r="W705" i="1" s="1"/>
  <c r="AA701" i="1"/>
  <c r="Z701" i="1"/>
  <c r="V701" i="1" s="1"/>
  <c r="W701" i="1" s="1"/>
  <c r="AA697" i="1"/>
  <c r="Z697" i="1"/>
  <c r="V697" i="1" s="1"/>
  <c r="W697" i="1" s="1"/>
  <c r="AA693" i="1"/>
  <c r="Z693" i="1"/>
  <c r="S693" i="1" s="1"/>
  <c r="AA689" i="1"/>
  <c r="Z689" i="1"/>
  <c r="V689" i="1" s="1"/>
  <c r="W689" i="1" s="1"/>
  <c r="AA685" i="1"/>
  <c r="Z685" i="1"/>
  <c r="V685" i="1" s="1"/>
  <c r="W685" i="1" s="1"/>
  <c r="AA681" i="1"/>
  <c r="Z681" i="1"/>
  <c r="V681" i="1" s="1"/>
  <c r="W681" i="1" s="1"/>
  <c r="AA677" i="1"/>
  <c r="Z677" i="1"/>
  <c r="S677" i="1" s="1"/>
  <c r="AA673" i="1"/>
  <c r="Z673" i="1"/>
  <c r="V673" i="1" s="1"/>
  <c r="AA669" i="1"/>
  <c r="Z669" i="1"/>
  <c r="V669" i="1" s="1"/>
  <c r="W669" i="1" s="1"/>
  <c r="AA665" i="1"/>
  <c r="Z665" i="1"/>
  <c r="V665" i="1" s="1"/>
  <c r="W665" i="1" s="1"/>
  <c r="AA661" i="1"/>
  <c r="Z661" i="1"/>
  <c r="S661" i="1" s="1"/>
  <c r="AA657" i="1"/>
  <c r="Z657" i="1"/>
  <c r="V657" i="1" s="1"/>
  <c r="AA653" i="1"/>
  <c r="Z653" i="1"/>
  <c r="V653" i="1" s="1"/>
  <c r="W653" i="1" s="1"/>
  <c r="AA649" i="1"/>
  <c r="Z649" i="1"/>
  <c r="V649" i="1" s="1"/>
  <c r="W649" i="1" s="1"/>
  <c r="AA645" i="1"/>
  <c r="Z645" i="1"/>
  <c r="S645" i="1" s="1"/>
  <c r="AA641" i="1"/>
  <c r="Z641" i="1"/>
  <c r="V641" i="1" s="1"/>
  <c r="W641" i="1" s="1"/>
  <c r="AA637" i="1"/>
  <c r="Z637" i="1"/>
  <c r="V637" i="1" s="1"/>
  <c r="W637" i="1" s="1"/>
  <c r="AA633" i="1"/>
  <c r="Z633" i="1"/>
  <c r="V633" i="1" s="1"/>
  <c r="AA629" i="1"/>
  <c r="Z629" i="1"/>
  <c r="S629" i="1" s="1"/>
  <c r="AA625" i="1"/>
  <c r="Z625" i="1"/>
  <c r="V625" i="1" s="1"/>
  <c r="W625" i="1" s="1"/>
  <c r="AA621" i="1"/>
  <c r="Z621" i="1"/>
  <c r="V621" i="1" s="1"/>
  <c r="W621" i="1" s="1"/>
  <c r="AA617" i="1"/>
  <c r="Z617" i="1"/>
  <c r="V617" i="1" s="1"/>
  <c r="W617" i="1" s="1"/>
  <c r="AA613" i="1"/>
  <c r="Z613" i="1"/>
  <c r="S613" i="1" s="1"/>
  <c r="AA609" i="1"/>
  <c r="Z609" i="1"/>
  <c r="V609" i="1" s="1"/>
  <c r="W609" i="1" s="1"/>
  <c r="AA605" i="1"/>
  <c r="Z605" i="1"/>
  <c r="V605" i="1" s="1"/>
  <c r="W605" i="1" s="1"/>
  <c r="AA601" i="1"/>
  <c r="Z601" i="1"/>
  <c r="V601" i="1" s="1"/>
  <c r="W601" i="1" s="1"/>
  <c r="AA597" i="1"/>
  <c r="Z597" i="1"/>
  <c r="S597" i="1" s="1"/>
  <c r="AA593" i="1"/>
  <c r="Z593" i="1"/>
  <c r="V593" i="1" s="1"/>
  <c r="W593" i="1" s="1"/>
  <c r="AA589" i="1"/>
  <c r="Z589" i="1"/>
  <c r="V589" i="1" s="1"/>
  <c r="W589" i="1" s="1"/>
  <c r="AA585" i="1"/>
  <c r="Z585" i="1"/>
  <c r="V585" i="1" s="1"/>
  <c r="W585" i="1" s="1"/>
  <c r="AA581" i="1"/>
  <c r="Z581" i="1"/>
  <c r="S581" i="1" s="1"/>
  <c r="AA577" i="1"/>
  <c r="Z577" i="1"/>
  <c r="V577" i="1" s="1"/>
  <c r="W577" i="1" s="1"/>
  <c r="AA573" i="1"/>
  <c r="Z573" i="1"/>
  <c r="V573" i="1" s="1"/>
  <c r="W573" i="1" s="1"/>
  <c r="AA569" i="1"/>
  <c r="Z569" i="1"/>
  <c r="V569" i="1" s="1"/>
  <c r="W569" i="1" s="1"/>
  <c r="AA565" i="1"/>
  <c r="Z565" i="1"/>
  <c r="S565" i="1" s="1"/>
  <c r="AA561" i="1"/>
  <c r="Z561" i="1"/>
  <c r="V561" i="1" s="1"/>
  <c r="W561" i="1" s="1"/>
  <c r="AA557" i="1"/>
  <c r="Z557" i="1"/>
  <c r="V557" i="1" s="1"/>
  <c r="AA553" i="1"/>
  <c r="Z553" i="1"/>
  <c r="V553" i="1" s="1"/>
  <c r="W553" i="1" s="1"/>
  <c r="AA549" i="1"/>
  <c r="Z549" i="1"/>
  <c r="S549" i="1" s="1"/>
  <c r="AA545" i="1"/>
  <c r="Z545" i="1"/>
  <c r="V545" i="1" s="1"/>
  <c r="W545" i="1" s="1"/>
  <c r="AA541" i="1"/>
  <c r="Z541" i="1"/>
  <c r="V541" i="1" s="1"/>
  <c r="AA537" i="1"/>
  <c r="Z537" i="1"/>
  <c r="V537" i="1" s="1"/>
  <c r="W537" i="1" s="1"/>
  <c r="AA533" i="1"/>
  <c r="Z533" i="1"/>
  <c r="S533" i="1" s="1"/>
  <c r="AA529" i="1"/>
  <c r="Z529" i="1"/>
  <c r="V529" i="1" s="1"/>
  <c r="W529" i="1" s="1"/>
  <c r="AA525" i="1"/>
  <c r="Z525" i="1"/>
  <c r="V525" i="1" s="1"/>
  <c r="W525" i="1" s="1"/>
  <c r="AA521" i="1"/>
  <c r="Z521" i="1"/>
  <c r="V521" i="1" s="1"/>
  <c r="AA517" i="1"/>
  <c r="Z517" i="1"/>
  <c r="S517" i="1" s="1"/>
  <c r="AA513" i="1"/>
  <c r="Z513" i="1"/>
  <c r="V513" i="1" s="1"/>
  <c r="W513" i="1" s="1"/>
  <c r="AA509" i="1"/>
  <c r="Z509" i="1"/>
  <c r="V509" i="1" s="1"/>
  <c r="W509" i="1" s="1"/>
  <c r="AA505" i="1"/>
  <c r="Z505" i="1"/>
  <c r="V505" i="1" s="1"/>
  <c r="W505" i="1" s="1"/>
  <c r="AA501" i="1"/>
  <c r="Z501" i="1"/>
  <c r="S501" i="1" s="1"/>
  <c r="AA497" i="1"/>
  <c r="Z497" i="1"/>
  <c r="V497" i="1" s="1"/>
  <c r="W497" i="1" s="1"/>
  <c r="AA493" i="1"/>
  <c r="Z493" i="1"/>
  <c r="V493" i="1" s="1"/>
  <c r="AA489" i="1"/>
  <c r="Z489" i="1"/>
  <c r="V489" i="1" s="1"/>
  <c r="W489" i="1" s="1"/>
  <c r="AA485" i="1"/>
  <c r="Z485" i="1"/>
  <c r="S485" i="1" s="1"/>
  <c r="AA481" i="1"/>
  <c r="Z481" i="1"/>
  <c r="V481" i="1" s="1"/>
  <c r="W481" i="1" s="1"/>
  <c r="AA477" i="1"/>
  <c r="Z477" i="1"/>
  <c r="V477" i="1" s="1"/>
  <c r="W477" i="1" s="1"/>
  <c r="AA473" i="1"/>
  <c r="Z473" i="1"/>
  <c r="V473" i="1" s="1"/>
  <c r="AA469" i="1"/>
  <c r="Z469" i="1"/>
  <c r="S469" i="1" s="1"/>
  <c r="AA465" i="1"/>
  <c r="Z465" i="1"/>
  <c r="V465" i="1" s="1"/>
  <c r="W465" i="1" s="1"/>
  <c r="AA461" i="1"/>
  <c r="Z461" i="1"/>
  <c r="V461" i="1" s="1"/>
  <c r="W461" i="1" s="1"/>
  <c r="AA457" i="1"/>
  <c r="Z457" i="1"/>
  <c r="V457" i="1" s="1"/>
  <c r="W457" i="1" s="1"/>
  <c r="AA453" i="1"/>
  <c r="Z453" i="1"/>
  <c r="S453" i="1" s="1"/>
  <c r="AA449" i="1"/>
  <c r="Z449" i="1"/>
  <c r="V449" i="1" s="1"/>
  <c r="W449" i="1" s="1"/>
  <c r="AA445" i="1"/>
  <c r="Z445" i="1"/>
  <c r="V445" i="1" s="1"/>
  <c r="W445" i="1" s="1"/>
  <c r="AA441" i="1"/>
  <c r="Z441" i="1"/>
  <c r="V441" i="1" s="1"/>
  <c r="W441" i="1" s="1"/>
  <c r="AA437" i="1"/>
  <c r="Z437" i="1"/>
  <c r="S437" i="1" s="1"/>
  <c r="AA433" i="1"/>
  <c r="Z433" i="1"/>
  <c r="V433" i="1" s="1"/>
  <c r="W433" i="1" s="1"/>
  <c r="AA429" i="1"/>
  <c r="Z429" i="1"/>
  <c r="V429" i="1" s="1"/>
  <c r="W429" i="1" s="1"/>
  <c r="AA425" i="1"/>
  <c r="Z425" i="1"/>
  <c r="V425" i="1" s="1"/>
  <c r="W425" i="1" s="1"/>
  <c r="AA421" i="1"/>
  <c r="Z421" i="1"/>
  <c r="S421" i="1" s="1"/>
  <c r="AA417" i="1"/>
  <c r="Z417" i="1"/>
  <c r="V417" i="1" s="1"/>
  <c r="W417" i="1" s="1"/>
  <c r="AA413" i="1"/>
  <c r="Z413" i="1"/>
  <c r="V413" i="1" s="1"/>
  <c r="W413" i="1" s="1"/>
  <c r="AA409" i="1"/>
  <c r="Z409" i="1"/>
  <c r="V409" i="1" s="1"/>
  <c r="W409" i="1" s="1"/>
  <c r="AA405" i="1"/>
  <c r="Z405" i="1"/>
  <c r="S405" i="1" s="1"/>
  <c r="AA401" i="1"/>
  <c r="Z401" i="1"/>
  <c r="V401" i="1" s="1"/>
  <c r="W401" i="1" s="1"/>
  <c r="AA397" i="1"/>
  <c r="Z397" i="1"/>
  <c r="V397" i="1" s="1"/>
  <c r="W397" i="1" s="1"/>
  <c r="AA393" i="1"/>
  <c r="Z393" i="1"/>
  <c r="V393" i="1" s="1"/>
  <c r="AA389" i="1"/>
  <c r="Z389" i="1"/>
  <c r="S389" i="1" s="1"/>
  <c r="AA385" i="1"/>
  <c r="Z385" i="1"/>
  <c r="V385" i="1" s="1"/>
  <c r="W385" i="1" s="1"/>
  <c r="AA381" i="1"/>
  <c r="Z381" i="1"/>
  <c r="V381" i="1" s="1"/>
  <c r="W381" i="1" s="1"/>
  <c r="AA377" i="1"/>
  <c r="Z377" i="1"/>
  <c r="V377" i="1" s="1"/>
  <c r="W377" i="1" s="1"/>
  <c r="AA373" i="1"/>
  <c r="Z373" i="1"/>
  <c r="S373" i="1" s="1"/>
  <c r="AA369" i="1"/>
  <c r="Z369" i="1"/>
  <c r="V369" i="1" s="1"/>
  <c r="W369" i="1" s="1"/>
  <c r="AA365" i="1"/>
  <c r="Z365" i="1"/>
  <c r="V365" i="1" s="1"/>
  <c r="W365" i="1" s="1"/>
  <c r="AA361" i="1"/>
  <c r="Z361" i="1"/>
  <c r="V361" i="1" s="1"/>
  <c r="W361" i="1" s="1"/>
  <c r="AA357" i="1"/>
  <c r="Z357" i="1"/>
  <c r="S357" i="1" s="1"/>
  <c r="AA353" i="1"/>
  <c r="Z353" i="1"/>
  <c r="V353" i="1" s="1"/>
  <c r="W353" i="1" s="1"/>
  <c r="AA349" i="1"/>
  <c r="Z349" i="1"/>
  <c r="V349" i="1" s="1"/>
  <c r="W349" i="1" s="1"/>
  <c r="AA345" i="1"/>
  <c r="Z345" i="1"/>
  <c r="V345" i="1" s="1"/>
  <c r="W345" i="1" s="1"/>
  <c r="AA341" i="1"/>
  <c r="Z341" i="1"/>
  <c r="S341" i="1" s="1"/>
  <c r="AA337" i="1"/>
  <c r="Z337" i="1"/>
  <c r="V337" i="1" s="1"/>
  <c r="W337" i="1" s="1"/>
  <c r="AA333" i="1"/>
  <c r="Z333" i="1"/>
  <c r="V333" i="1" s="1"/>
  <c r="W333" i="1" s="1"/>
  <c r="AA329" i="1"/>
  <c r="Z329" i="1"/>
  <c r="V329" i="1" s="1"/>
  <c r="W329" i="1" s="1"/>
  <c r="AA325" i="1"/>
  <c r="Z325" i="1"/>
  <c r="S325" i="1" s="1"/>
  <c r="AA321" i="1"/>
  <c r="Z321" i="1"/>
  <c r="V321" i="1" s="1"/>
  <c r="W321" i="1" s="1"/>
  <c r="AA317" i="1"/>
  <c r="Z317" i="1"/>
  <c r="V317" i="1" s="1"/>
  <c r="W317" i="1" s="1"/>
  <c r="AA313" i="1"/>
  <c r="Z313" i="1"/>
  <c r="V313" i="1" s="1"/>
  <c r="W313" i="1" s="1"/>
  <c r="AA309" i="1"/>
  <c r="Z309" i="1"/>
  <c r="S309" i="1" s="1"/>
  <c r="AA305" i="1"/>
  <c r="Z305" i="1"/>
  <c r="V305" i="1" s="1"/>
  <c r="AA301" i="1"/>
  <c r="Z301" i="1"/>
  <c r="V301" i="1" s="1"/>
  <c r="W301" i="1" s="1"/>
  <c r="AA297" i="1"/>
  <c r="Z297" i="1"/>
  <c r="V297" i="1" s="1"/>
  <c r="W297" i="1" s="1"/>
  <c r="AA293" i="1"/>
  <c r="Z293" i="1"/>
  <c r="S293" i="1" s="1"/>
  <c r="AA289" i="1"/>
  <c r="Z289" i="1"/>
  <c r="V289" i="1" s="1"/>
  <c r="W289" i="1" s="1"/>
  <c r="AA285" i="1"/>
  <c r="Z285" i="1"/>
  <c r="V285" i="1" s="1"/>
  <c r="W285" i="1" s="1"/>
  <c r="AA281" i="1"/>
  <c r="Z281" i="1"/>
  <c r="V281" i="1" s="1"/>
  <c r="AA277" i="1"/>
  <c r="Z277" i="1"/>
  <c r="S277" i="1" s="1"/>
  <c r="AA273" i="1"/>
  <c r="Z273" i="1"/>
  <c r="V273" i="1" s="1"/>
  <c r="W273" i="1" s="1"/>
  <c r="AA269" i="1"/>
  <c r="Z269" i="1"/>
  <c r="V269" i="1" s="1"/>
  <c r="W269" i="1" s="1"/>
  <c r="AA265" i="1"/>
  <c r="Z265" i="1"/>
  <c r="V265" i="1" s="1"/>
  <c r="W265" i="1" s="1"/>
  <c r="AA261" i="1"/>
  <c r="Z261" i="1"/>
  <c r="S261" i="1" s="1"/>
  <c r="AA257" i="1"/>
  <c r="Z257" i="1"/>
  <c r="V257" i="1" s="1"/>
  <c r="W257" i="1" s="1"/>
  <c r="AA253" i="1"/>
  <c r="Z253" i="1"/>
  <c r="V253" i="1" s="1"/>
  <c r="AA249" i="1"/>
  <c r="Z249" i="1"/>
  <c r="V249" i="1" s="1"/>
  <c r="W249" i="1" s="1"/>
  <c r="AA245" i="1"/>
  <c r="Z245" i="1"/>
  <c r="S245" i="1" s="1"/>
  <c r="AA241" i="1"/>
  <c r="Z241" i="1"/>
  <c r="V241" i="1" s="1"/>
  <c r="W241" i="1" s="1"/>
  <c r="AA237" i="1"/>
  <c r="Z237" i="1"/>
  <c r="V237" i="1" s="1"/>
  <c r="AA233" i="1"/>
  <c r="Z233" i="1"/>
  <c r="V233" i="1" s="1"/>
  <c r="W233" i="1" s="1"/>
  <c r="AA229" i="1"/>
  <c r="Z229" i="1"/>
  <c r="S229" i="1" s="1"/>
  <c r="AA225" i="1"/>
  <c r="Z225" i="1"/>
  <c r="V225" i="1" s="1"/>
  <c r="W225" i="1" s="1"/>
  <c r="AA221" i="1"/>
  <c r="Z221" i="1"/>
  <c r="V221" i="1" s="1"/>
  <c r="W221" i="1" s="1"/>
  <c r="AA217" i="1"/>
  <c r="Z217" i="1"/>
  <c r="V217" i="1" s="1"/>
  <c r="W217" i="1" s="1"/>
  <c r="AA213" i="1"/>
  <c r="Z213" i="1"/>
  <c r="S213" i="1" s="1"/>
  <c r="AA209" i="1"/>
  <c r="Z209" i="1"/>
  <c r="V209" i="1" s="1"/>
  <c r="AA205" i="1"/>
  <c r="Z205" i="1"/>
  <c r="V205" i="1" s="1"/>
  <c r="W205" i="1" s="1"/>
  <c r="AA201" i="1"/>
  <c r="Z201" i="1"/>
  <c r="V201" i="1" s="1"/>
  <c r="W201" i="1" s="1"/>
  <c r="AA197" i="1"/>
  <c r="Z197" i="1"/>
  <c r="S197" i="1" s="1"/>
  <c r="AA193" i="1"/>
  <c r="Z193" i="1"/>
  <c r="V193" i="1" s="1"/>
  <c r="W193" i="1" s="1"/>
  <c r="AA189" i="1"/>
  <c r="Z189" i="1"/>
  <c r="V189" i="1" s="1"/>
  <c r="W189" i="1" s="1"/>
  <c r="AA185" i="1"/>
  <c r="Z185" i="1"/>
  <c r="V185" i="1" s="1"/>
  <c r="W185" i="1" s="1"/>
  <c r="AA181" i="1"/>
  <c r="Z181" i="1"/>
  <c r="S181" i="1" s="1"/>
  <c r="AA177" i="1"/>
  <c r="Z177" i="1"/>
  <c r="V177" i="1" s="1"/>
  <c r="W177" i="1" s="1"/>
  <c r="AA173" i="1"/>
  <c r="Z173" i="1"/>
  <c r="V173" i="1" s="1"/>
  <c r="W173" i="1" s="1"/>
  <c r="AA169" i="1"/>
  <c r="Z169" i="1"/>
  <c r="V169" i="1" s="1"/>
  <c r="W169" i="1" s="1"/>
  <c r="AA165" i="1"/>
  <c r="Z165" i="1"/>
  <c r="S165" i="1" s="1"/>
  <c r="AA161" i="1"/>
  <c r="Z161" i="1"/>
  <c r="V161" i="1" s="1"/>
  <c r="W161" i="1" s="1"/>
  <c r="AA157" i="1"/>
  <c r="Z157" i="1"/>
  <c r="V157" i="1" s="1"/>
  <c r="W157" i="1" s="1"/>
  <c r="AA153" i="1"/>
  <c r="Z153" i="1"/>
  <c r="V153" i="1" s="1"/>
  <c r="W153" i="1" s="1"/>
  <c r="AA149" i="1"/>
  <c r="Z149" i="1"/>
  <c r="S149" i="1" s="1"/>
  <c r="AA145" i="1"/>
  <c r="Z145" i="1"/>
  <c r="V145" i="1" s="1"/>
  <c r="W145" i="1" s="1"/>
  <c r="AA141" i="1"/>
  <c r="Z141" i="1"/>
  <c r="V141" i="1" s="1"/>
  <c r="AA137" i="1"/>
  <c r="Z137" i="1"/>
  <c r="V137" i="1" s="1"/>
  <c r="W137" i="1" s="1"/>
  <c r="AA133" i="1"/>
  <c r="Z133" i="1"/>
  <c r="S133" i="1" s="1"/>
  <c r="AA129" i="1"/>
  <c r="Z129" i="1"/>
  <c r="V129" i="1" s="1"/>
  <c r="W129" i="1" s="1"/>
  <c r="AA125" i="1"/>
  <c r="Z125" i="1"/>
  <c r="V125" i="1" s="1"/>
  <c r="W125" i="1" s="1"/>
  <c r="AA121" i="1"/>
  <c r="Z121" i="1"/>
  <c r="V121" i="1" s="1"/>
  <c r="W121" i="1" s="1"/>
  <c r="AA117" i="1"/>
  <c r="Z117" i="1"/>
  <c r="S117" i="1" s="1"/>
  <c r="AA113" i="1"/>
  <c r="Z113" i="1"/>
  <c r="V113" i="1" s="1"/>
  <c r="W113" i="1" s="1"/>
  <c r="AA109" i="1"/>
  <c r="Z109" i="1"/>
  <c r="V109" i="1" s="1"/>
  <c r="AA105" i="1"/>
  <c r="Z105" i="1"/>
  <c r="V105" i="1" s="1"/>
  <c r="W105" i="1" s="1"/>
  <c r="AA101" i="1"/>
  <c r="Z101" i="1"/>
  <c r="S101" i="1" s="1"/>
  <c r="AA97" i="1"/>
  <c r="Z97" i="1"/>
  <c r="V97" i="1" s="1"/>
  <c r="W97" i="1" s="1"/>
  <c r="AA93" i="1"/>
  <c r="Z93" i="1"/>
  <c r="V93" i="1" s="1"/>
  <c r="W93" i="1" s="1"/>
  <c r="AA89" i="1"/>
  <c r="Z89" i="1"/>
  <c r="V89" i="1" s="1"/>
  <c r="W89" i="1" s="1"/>
  <c r="AA85" i="1"/>
  <c r="Z85" i="1"/>
  <c r="S85" i="1" s="1"/>
  <c r="AA81" i="1"/>
  <c r="Z81" i="1"/>
  <c r="V81" i="1" s="1"/>
  <c r="W81" i="1" s="1"/>
  <c r="AA77" i="1"/>
  <c r="Z77" i="1"/>
  <c r="V77" i="1" s="1"/>
  <c r="W77" i="1" s="1"/>
  <c r="AA73" i="1"/>
  <c r="Z73" i="1"/>
  <c r="V73" i="1" s="1"/>
  <c r="W73" i="1" s="1"/>
  <c r="AA69" i="1"/>
  <c r="Z69" i="1"/>
  <c r="S69" i="1" s="1"/>
  <c r="AA65" i="1"/>
  <c r="Z65" i="1"/>
  <c r="V65" i="1" s="1"/>
  <c r="W65" i="1" s="1"/>
  <c r="AA61" i="1"/>
  <c r="Z61" i="1"/>
  <c r="V61" i="1" s="1"/>
  <c r="AA57" i="1"/>
  <c r="Z57" i="1"/>
  <c r="V57" i="1" s="1"/>
  <c r="W57" i="1" s="1"/>
  <c r="AA53" i="1"/>
  <c r="Z53" i="1"/>
  <c r="S53" i="1" s="1"/>
  <c r="AA49" i="1"/>
  <c r="Z49" i="1"/>
  <c r="V49" i="1" s="1"/>
  <c r="W49" i="1" s="1"/>
  <c r="AA45" i="1"/>
  <c r="Z45" i="1"/>
  <c r="V45" i="1" s="1"/>
  <c r="W45" i="1" s="1"/>
  <c r="AA41" i="1"/>
  <c r="Z41" i="1"/>
  <c r="V41" i="1" s="1"/>
  <c r="W41" i="1" s="1"/>
  <c r="AA37" i="1"/>
  <c r="Z37" i="1"/>
  <c r="S37" i="1" s="1"/>
  <c r="AA33" i="1"/>
  <c r="Z33" i="1"/>
  <c r="V33" i="1" s="1"/>
  <c r="AA29" i="1"/>
  <c r="Z29" i="1"/>
  <c r="V29" i="1" s="1"/>
  <c r="W29" i="1" s="1"/>
  <c r="AA25" i="1"/>
  <c r="Z25" i="1"/>
  <c r="V25" i="1" s="1"/>
  <c r="W25" i="1" s="1"/>
  <c r="AA21" i="1"/>
  <c r="Z21" i="1"/>
  <c r="S21" i="1" s="1"/>
  <c r="AA17" i="1"/>
  <c r="Z17" i="1"/>
  <c r="V17" i="1" s="1"/>
  <c r="W17" i="1" s="1"/>
  <c r="AA13" i="1"/>
  <c r="Z13" i="1"/>
  <c r="V13" i="1" s="1"/>
  <c r="AA9" i="1"/>
  <c r="Z9" i="1"/>
  <c r="V9" i="1" s="1"/>
  <c r="W9" i="1" s="1"/>
  <c r="AA5" i="1"/>
  <c r="Z5" i="1"/>
  <c r="S5" i="1" s="1"/>
  <c r="AA1728" i="1"/>
  <c r="Z1728" i="1"/>
  <c r="AA1724" i="1"/>
  <c r="Z1724" i="1"/>
  <c r="V1724" i="1" s="1"/>
  <c r="W1724" i="1" s="1"/>
  <c r="AA1720" i="1"/>
  <c r="Z1720" i="1"/>
  <c r="AA1716" i="1"/>
  <c r="Z1716" i="1"/>
  <c r="V1716" i="1" s="1"/>
  <c r="W1716" i="1" s="1"/>
  <c r="AA1712" i="1"/>
  <c r="Z1712" i="1"/>
  <c r="AA1708" i="1"/>
  <c r="Z1708" i="1"/>
  <c r="V1708" i="1" s="1"/>
  <c r="W1708" i="1" s="1"/>
  <c r="AA1704" i="1"/>
  <c r="Z1704" i="1"/>
  <c r="AA1700" i="1"/>
  <c r="Z1700" i="1"/>
  <c r="V1700" i="1" s="1"/>
  <c r="W1700" i="1" s="1"/>
  <c r="AA1696" i="1"/>
  <c r="Z1696" i="1"/>
  <c r="AA1692" i="1"/>
  <c r="Z1692" i="1"/>
  <c r="V1692" i="1" s="1"/>
  <c r="W1692" i="1" s="1"/>
  <c r="AA1688" i="1"/>
  <c r="Z1688" i="1"/>
  <c r="AA1684" i="1"/>
  <c r="Z1684" i="1"/>
  <c r="V1684" i="1" s="1"/>
  <c r="W1684" i="1" s="1"/>
  <c r="AA1680" i="1"/>
  <c r="Z1680" i="1"/>
  <c r="AA1676" i="1"/>
  <c r="Z1676" i="1"/>
  <c r="V1676" i="1" s="1"/>
  <c r="W1676" i="1" s="1"/>
  <c r="AA1672" i="1"/>
  <c r="Z1672" i="1"/>
  <c r="AA1668" i="1"/>
  <c r="Z1668" i="1"/>
  <c r="V1668" i="1" s="1"/>
  <c r="W1668" i="1" s="1"/>
  <c r="AA1664" i="1"/>
  <c r="Z1664" i="1"/>
  <c r="AA1660" i="1"/>
  <c r="Z1660" i="1"/>
  <c r="V1660" i="1" s="1"/>
  <c r="W1660" i="1" s="1"/>
  <c r="AA1656" i="1"/>
  <c r="Z1656" i="1"/>
  <c r="AA1652" i="1"/>
  <c r="Z1652" i="1"/>
  <c r="V1652" i="1" s="1"/>
  <c r="AA1648" i="1"/>
  <c r="Z1648" i="1"/>
  <c r="AA1644" i="1"/>
  <c r="Z1644" i="1"/>
  <c r="V1644" i="1" s="1"/>
  <c r="W1644" i="1" s="1"/>
  <c r="AA1640" i="1"/>
  <c r="Z1640" i="1"/>
  <c r="AA1636" i="1"/>
  <c r="Z1636" i="1"/>
  <c r="V1636" i="1" s="1"/>
  <c r="W1636" i="1" s="1"/>
  <c r="AA1632" i="1"/>
  <c r="Z1632" i="1"/>
  <c r="AA1628" i="1"/>
  <c r="Z1628" i="1"/>
  <c r="V1628" i="1" s="1"/>
  <c r="W1628" i="1" s="1"/>
  <c r="AA1624" i="1"/>
  <c r="Z1624" i="1"/>
  <c r="AA1620" i="1"/>
  <c r="Z1620" i="1"/>
  <c r="V1620" i="1" s="1"/>
  <c r="W1620" i="1" s="1"/>
  <c r="AA1616" i="1"/>
  <c r="Z1616" i="1"/>
  <c r="AA1612" i="1"/>
  <c r="Z1612" i="1"/>
  <c r="V1612" i="1" s="1"/>
  <c r="W1612" i="1" s="1"/>
  <c r="AA1608" i="1"/>
  <c r="Z1608" i="1"/>
  <c r="AA1604" i="1"/>
  <c r="Z1604" i="1"/>
  <c r="V1604" i="1" s="1"/>
  <c r="W1604" i="1" s="1"/>
  <c r="AA1600" i="1"/>
  <c r="Z1600" i="1"/>
  <c r="AA1596" i="1"/>
  <c r="Z1596" i="1"/>
  <c r="V1596" i="1" s="1"/>
  <c r="W1596" i="1" s="1"/>
  <c r="AA1592" i="1"/>
  <c r="Z1592" i="1"/>
  <c r="AA1588" i="1"/>
  <c r="Z1588" i="1"/>
  <c r="V1588" i="1" s="1"/>
  <c r="W1588" i="1" s="1"/>
  <c r="AA1584" i="1"/>
  <c r="Z1584" i="1"/>
  <c r="AA1580" i="1"/>
  <c r="Z1580" i="1"/>
  <c r="V1580" i="1" s="1"/>
  <c r="W1580" i="1" s="1"/>
  <c r="AA1576" i="1"/>
  <c r="Z1576" i="1"/>
  <c r="AA1572" i="1"/>
  <c r="Z1572" i="1"/>
  <c r="V1572" i="1" s="1"/>
  <c r="W1572" i="1" s="1"/>
  <c r="AA1568" i="1"/>
  <c r="Z1568" i="1"/>
  <c r="AA1564" i="1"/>
  <c r="Z1564" i="1"/>
  <c r="V1564" i="1" s="1"/>
  <c r="W1564" i="1" s="1"/>
  <c r="AA1560" i="1"/>
  <c r="Z1560" i="1"/>
  <c r="AA1556" i="1"/>
  <c r="Z1556" i="1"/>
  <c r="V1556" i="1" s="1"/>
  <c r="W1556" i="1" s="1"/>
  <c r="AA1552" i="1"/>
  <c r="Z1552" i="1"/>
  <c r="AA1548" i="1"/>
  <c r="Z1548" i="1"/>
  <c r="V1548" i="1" s="1"/>
  <c r="W1548" i="1" s="1"/>
  <c r="AA1544" i="1"/>
  <c r="Z1544" i="1"/>
  <c r="AA1540" i="1"/>
  <c r="Z1540" i="1"/>
  <c r="V1540" i="1" s="1"/>
  <c r="W1540" i="1" s="1"/>
  <c r="AA1536" i="1"/>
  <c r="Z1536" i="1"/>
  <c r="AA1532" i="1"/>
  <c r="Z1532" i="1"/>
  <c r="V1532" i="1" s="1"/>
  <c r="W1532" i="1" s="1"/>
  <c r="AA1528" i="1"/>
  <c r="Z1528" i="1"/>
  <c r="AA1524" i="1"/>
  <c r="Z1524" i="1"/>
  <c r="V1524" i="1" s="1"/>
  <c r="W1524" i="1" s="1"/>
  <c r="AA1520" i="1"/>
  <c r="Z1520" i="1"/>
  <c r="AA1516" i="1"/>
  <c r="Z1516" i="1"/>
  <c r="V1516" i="1" s="1"/>
  <c r="W1516" i="1" s="1"/>
  <c r="AA1512" i="1"/>
  <c r="Z1512" i="1"/>
  <c r="AA1508" i="1"/>
  <c r="Z1508" i="1"/>
  <c r="V1508" i="1" s="1"/>
  <c r="W1508" i="1" s="1"/>
  <c r="AA1504" i="1"/>
  <c r="Z1504" i="1"/>
  <c r="AA1500" i="1"/>
  <c r="Z1500" i="1"/>
  <c r="V1500" i="1" s="1"/>
  <c r="W1500" i="1" s="1"/>
  <c r="AA1496" i="1"/>
  <c r="Z1496" i="1"/>
  <c r="AA1492" i="1"/>
  <c r="Z1492" i="1"/>
  <c r="V1492" i="1" s="1"/>
  <c r="W1492" i="1" s="1"/>
  <c r="AA1488" i="1"/>
  <c r="Z1488" i="1"/>
  <c r="AA1484" i="1"/>
  <c r="Z1484" i="1"/>
  <c r="V1484" i="1" s="1"/>
  <c r="W1484" i="1" s="1"/>
  <c r="AA1480" i="1"/>
  <c r="Z1480" i="1"/>
  <c r="AA1476" i="1"/>
  <c r="Z1476" i="1"/>
  <c r="V1476" i="1" s="1"/>
  <c r="W1476" i="1" s="1"/>
  <c r="AA1472" i="1"/>
  <c r="Z1472" i="1"/>
  <c r="AA1468" i="1"/>
  <c r="Z1468" i="1"/>
  <c r="V1468" i="1" s="1"/>
  <c r="W1468" i="1" s="1"/>
  <c r="AA1464" i="1"/>
  <c r="Z1464" i="1"/>
  <c r="AA1460" i="1"/>
  <c r="Z1460" i="1"/>
  <c r="V1460" i="1" s="1"/>
  <c r="AA1456" i="1"/>
  <c r="Z1456" i="1"/>
  <c r="AA1452" i="1"/>
  <c r="Z1452" i="1"/>
  <c r="V1452" i="1" s="1"/>
  <c r="W1452" i="1" s="1"/>
  <c r="AA1448" i="1"/>
  <c r="Z1448" i="1"/>
  <c r="AA1444" i="1"/>
  <c r="Z1444" i="1"/>
  <c r="V1444" i="1" s="1"/>
  <c r="W1444" i="1" s="1"/>
  <c r="AA1440" i="1"/>
  <c r="Z1440" i="1"/>
  <c r="AA1436" i="1"/>
  <c r="Z1436" i="1"/>
  <c r="V1436" i="1" s="1"/>
  <c r="W1436" i="1" s="1"/>
  <c r="AA1432" i="1"/>
  <c r="Z1432" i="1"/>
  <c r="AA1428" i="1"/>
  <c r="Z1428" i="1"/>
  <c r="V1428" i="1" s="1"/>
  <c r="W1428" i="1" s="1"/>
  <c r="AA1424" i="1"/>
  <c r="Z1424" i="1"/>
  <c r="AA1420" i="1"/>
  <c r="Z1420" i="1"/>
  <c r="V1420" i="1" s="1"/>
  <c r="W1420" i="1" s="1"/>
  <c r="AA1416" i="1"/>
  <c r="Z1416" i="1"/>
  <c r="AA1412" i="1"/>
  <c r="Z1412" i="1"/>
  <c r="V1412" i="1" s="1"/>
  <c r="AA1408" i="1"/>
  <c r="Z1408" i="1"/>
  <c r="AA1404" i="1"/>
  <c r="Z1404" i="1"/>
  <c r="V1404" i="1" s="1"/>
  <c r="AA1400" i="1"/>
  <c r="Z1400" i="1"/>
  <c r="AA1396" i="1"/>
  <c r="Z1396" i="1"/>
  <c r="V1396" i="1" s="1"/>
  <c r="W1396" i="1" s="1"/>
  <c r="AA1392" i="1"/>
  <c r="Z1392" i="1"/>
  <c r="AA1388" i="1"/>
  <c r="Z1388" i="1"/>
  <c r="V1388" i="1" s="1"/>
  <c r="W1388" i="1" s="1"/>
  <c r="AA1384" i="1"/>
  <c r="Z1384" i="1"/>
  <c r="AA1380" i="1"/>
  <c r="Z1380" i="1"/>
  <c r="V1380" i="1" s="1"/>
  <c r="W1380" i="1" s="1"/>
  <c r="AA1376" i="1"/>
  <c r="Z1376" i="1"/>
  <c r="AA1372" i="1"/>
  <c r="Z1372" i="1"/>
  <c r="V1372" i="1" s="1"/>
  <c r="W1372" i="1" s="1"/>
  <c r="AA1368" i="1"/>
  <c r="Z1368" i="1"/>
  <c r="AA1364" i="1"/>
  <c r="Z1364" i="1"/>
  <c r="V1364" i="1" s="1"/>
  <c r="W1364" i="1" s="1"/>
  <c r="AA1360" i="1"/>
  <c r="Z1360" i="1"/>
  <c r="AA1356" i="1"/>
  <c r="Z1356" i="1"/>
  <c r="V1356" i="1" s="1"/>
  <c r="W1356" i="1" s="1"/>
  <c r="AA1352" i="1"/>
  <c r="Z1352" i="1"/>
  <c r="AA1348" i="1"/>
  <c r="Z1348" i="1"/>
  <c r="V1348" i="1" s="1"/>
  <c r="W1348" i="1" s="1"/>
  <c r="AA1344" i="1"/>
  <c r="Z1344" i="1"/>
  <c r="AA1340" i="1"/>
  <c r="Z1340" i="1"/>
  <c r="V1340" i="1" s="1"/>
  <c r="W1340" i="1" s="1"/>
  <c r="AA1336" i="1"/>
  <c r="Z1336" i="1"/>
  <c r="AA1332" i="1"/>
  <c r="Z1332" i="1"/>
  <c r="V1332" i="1" s="1"/>
  <c r="W1332" i="1" s="1"/>
  <c r="AA1328" i="1"/>
  <c r="Z1328" i="1"/>
  <c r="AA1324" i="1"/>
  <c r="Z1324" i="1"/>
  <c r="V1324" i="1" s="1"/>
  <c r="W1324" i="1" s="1"/>
  <c r="AA1320" i="1"/>
  <c r="Z1320" i="1"/>
  <c r="AA1316" i="1"/>
  <c r="Z1316" i="1"/>
  <c r="V1316" i="1" s="1"/>
  <c r="AA1312" i="1"/>
  <c r="Z1312" i="1"/>
  <c r="AA1308" i="1"/>
  <c r="Z1308" i="1"/>
  <c r="V1308" i="1" s="1"/>
  <c r="W1308" i="1" s="1"/>
  <c r="AA1304" i="1"/>
  <c r="Z1304" i="1"/>
  <c r="AA1300" i="1"/>
  <c r="Z1300" i="1"/>
  <c r="V1300" i="1" s="1"/>
  <c r="W1300" i="1" s="1"/>
  <c r="AA1296" i="1"/>
  <c r="Z1296" i="1"/>
  <c r="AA1292" i="1"/>
  <c r="Z1292" i="1"/>
  <c r="V1292" i="1" s="1"/>
  <c r="W1292" i="1" s="1"/>
  <c r="AA1288" i="1"/>
  <c r="Z1288" i="1"/>
  <c r="AA1284" i="1"/>
  <c r="Z1284" i="1"/>
  <c r="V1284" i="1" s="1"/>
  <c r="W1284" i="1" s="1"/>
  <c r="AA1280" i="1"/>
  <c r="Z1280" i="1"/>
  <c r="AA1276" i="1"/>
  <c r="Z1276" i="1"/>
  <c r="V1276" i="1" s="1"/>
  <c r="W1276" i="1" s="1"/>
  <c r="AA1272" i="1"/>
  <c r="Z1272" i="1"/>
  <c r="AA1268" i="1"/>
  <c r="Z1268" i="1"/>
  <c r="V1268" i="1" s="1"/>
  <c r="AA1264" i="1"/>
  <c r="Z1264" i="1"/>
  <c r="AA1260" i="1"/>
  <c r="Z1260" i="1"/>
  <c r="V1260" i="1" s="1"/>
  <c r="W1260" i="1" s="1"/>
  <c r="AA1256" i="1"/>
  <c r="Z1256" i="1"/>
  <c r="AA1252" i="1"/>
  <c r="Z1252" i="1"/>
  <c r="V1252" i="1" s="1"/>
  <c r="W1252" i="1" s="1"/>
  <c r="AA1248" i="1"/>
  <c r="Z1248" i="1"/>
  <c r="AA1244" i="1"/>
  <c r="Z1244" i="1"/>
  <c r="V1244" i="1" s="1"/>
  <c r="W1244" i="1" s="1"/>
  <c r="AA1240" i="1"/>
  <c r="Z1240" i="1"/>
  <c r="AA1236" i="1"/>
  <c r="Z1236" i="1"/>
  <c r="V1236" i="1" s="1"/>
  <c r="W1236" i="1" s="1"/>
  <c r="AA1232" i="1"/>
  <c r="Z1232" i="1"/>
  <c r="AA1228" i="1"/>
  <c r="Z1228" i="1"/>
  <c r="V1228" i="1" s="1"/>
  <c r="W1228" i="1" s="1"/>
  <c r="AA1224" i="1"/>
  <c r="Z1224" i="1"/>
  <c r="AA1220" i="1"/>
  <c r="Z1220" i="1"/>
  <c r="V1220" i="1" s="1"/>
  <c r="W1220" i="1" s="1"/>
  <c r="AA1216" i="1"/>
  <c r="Z1216" i="1"/>
  <c r="AA1212" i="1"/>
  <c r="Z1212" i="1"/>
  <c r="V1212" i="1" s="1"/>
  <c r="W1212" i="1" s="1"/>
  <c r="AA1208" i="1"/>
  <c r="Z1208" i="1"/>
  <c r="AA1204" i="1"/>
  <c r="Z1204" i="1"/>
  <c r="V1204" i="1" s="1"/>
  <c r="W1204" i="1" s="1"/>
  <c r="AA1200" i="1"/>
  <c r="Z1200" i="1"/>
  <c r="AA1196" i="1"/>
  <c r="Z1196" i="1"/>
  <c r="V1196" i="1" s="1"/>
  <c r="W1196" i="1" s="1"/>
  <c r="AA1192" i="1"/>
  <c r="Z1192" i="1"/>
  <c r="AA1188" i="1"/>
  <c r="Z1188" i="1"/>
  <c r="V1188" i="1" s="1"/>
  <c r="W1188" i="1" s="1"/>
  <c r="AA1184" i="1"/>
  <c r="Z1184" i="1"/>
  <c r="AA1180" i="1"/>
  <c r="Z1180" i="1"/>
  <c r="V1180" i="1" s="1"/>
  <c r="W1180" i="1" s="1"/>
  <c r="AA1176" i="1"/>
  <c r="Z1176" i="1"/>
  <c r="AA1172" i="1"/>
  <c r="Z1172" i="1"/>
  <c r="V1172" i="1" s="1"/>
  <c r="W1172" i="1" s="1"/>
  <c r="AA1168" i="1"/>
  <c r="Z1168" i="1"/>
  <c r="AA1164" i="1"/>
  <c r="Z1164" i="1"/>
  <c r="V1164" i="1" s="1"/>
  <c r="W1164" i="1" s="1"/>
  <c r="AA1160" i="1"/>
  <c r="Z1160" i="1"/>
  <c r="AA1156" i="1"/>
  <c r="Z1156" i="1"/>
  <c r="V1156" i="1" s="1"/>
  <c r="W1156" i="1" s="1"/>
  <c r="AA1152" i="1"/>
  <c r="Z1152" i="1"/>
  <c r="AA1148" i="1"/>
  <c r="Z1148" i="1"/>
  <c r="V1148" i="1" s="1"/>
  <c r="W1148" i="1" s="1"/>
  <c r="AA1144" i="1"/>
  <c r="Z1144" i="1"/>
  <c r="AA1140" i="1"/>
  <c r="Z1140" i="1"/>
  <c r="V1140" i="1" s="1"/>
  <c r="W1140" i="1" s="1"/>
  <c r="AA1136" i="1"/>
  <c r="Z1136" i="1"/>
  <c r="AA1132" i="1"/>
  <c r="Z1132" i="1"/>
  <c r="V1132" i="1" s="1"/>
  <c r="W1132" i="1" s="1"/>
  <c r="AA1128" i="1"/>
  <c r="Z1128" i="1"/>
  <c r="AA1124" i="1"/>
  <c r="Z1124" i="1"/>
  <c r="V1124" i="1" s="1"/>
  <c r="AA1120" i="1"/>
  <c r="Z1120" i="1"/>
  <c r="AA1116" i="1"/>
  <c r="Z1116" i="1"/>
  <c r="V1116" i="1" s="1"/>
  <c r="W1116" i="1" s="1"/>
  <c r="AA1112" i="1"/>
  <c r="Z1112" i="1"/>
  <c r="AA1108" i="1"/>
  <c r="Z1108" i="1"/>
  <c r="V1108" i="1" s="1"/>
  <c r="W1108" i="1" s="1"/>
  <c r="AA1104" i="1"/>
  <c r="Z1104" i="1"/>
  <c r="AA1100" i="1"/>
  <c r="Z1100" i="1"/>
  <c r="V1100" i="1" s="1"/>
  <c r="W1100" i="1" s="1"/>
  <c r="AA1096" i="1"/>
  <c r="Z1096" i="1"/>
  <c r="S1096" i="1" s="1"/>
  <c r="AA1092" i="1"/>
  <c r="Z1092" i="1"/>
  <c r="V1092" i="1" s="1"/>
  <c r="W1092" i="1" s="1"/>
  <c r="AA1088" i="1"/>
  <c r="Z1088" i="1"/>
  <c r="V1088" i="1" s="1"/>
  <c r="W1088" i="1" s="1"/>
  <c r="AA1084" i="1"/>
  <c r="Z1084" i="1"/>
  <c r="V1084" i="1" s="1"/>
  <c r="W1084" i="1" s="1"/>
  <c r="AA1080" i="1"/>
  <c r="Z1080" i="1"/>
  <c r="S1080" i="1" s="1"/>
  <c r="AA1076" i="1"/>
  <c r="Z1076" i="1"/>
  <c r="V1076" i="1" s="1"/>
  <c r="W1076" i="1" s="1"/>
  <c r="AA1072" i="1"/>
  <c r="Z1072" i="1"/>
  <c r="AA1068" i="1"/>
  <c r="Z1068" i="1"/>
  <c r="V1068" i="1" s="1"/>
  <c r="W1068" i="1" s="1"/>
  <c r="AA1064" i="1"/>
  <c r="Z1064" i="1"/>
  <c r="S1064" i="1" s="1"/>
  <c r="AA1060" i="1"/>
  <c r="Z1060" i="1"/>
  <c r="V1060" i="1" s="1"/>
  <c r="W1060" i="1" s="1"/>
  <c r="AA1056" i="1"/>
  <c r="Z1056" i="1"/>
  <c r="AA1052" i="1"/>
  <c r="Z1052" i="1"/>
  <c r="V1052" i="1" s="1"/>
  <c r="W1052" i="1" s="1"/>
  <c r="AA1048" i="1"/>
  <c r="Z1048" i="1"/>
  <c r="S1048" i="1" s="1"/>
  <c r="AA1044" i="1"/>
  <c r="Z1044" i="1"/>
  <c r="V1044" i="1" s="1"/>
  <c r="W1044" i="1" s="1"/>
  <c r="AA1040" i="1"/>
  <c r="Z1040" i="1"/>
  <c r="AA1036" i="1"/>
  <c r="Z1036" i="1"/>
  <c r="V1036" i="1" s="1"/>
  <c r="W1036" i="1" s="1"/>
  <c r="AA1032" i="1"/>
  <c r="Z1032" i="1"/>
  <c r="S1032" i="1" s="1"/>
  <c r="AA1028" i="1"/>
  <c r="Z1028" i="1"/>
  <c r="V1028" i="1" s="1"/>
  <c r="W1028" i="1" s="1"/>
  <c r="AA1024" i="1"/>
  <c r="Z1024" i="1"/>
  <c r="V1024" i="1" s="1"/>
  <c r="AA1020" i="1"/>
  <c r="Z1020" i="1"/>
  <c r="V1020" i="1" s="1"/>
  <c r="AA1016" i="1"/>
  <c r="Z1016" i="1"/>
  <c r="S1016" i="1" s="1"/>
  <c r="AA1012" i="1"/>
  <c r="Z1012" i="1"/>
  <c r="V1012" i="1" s="1"/>
  <c r="AA1008" i="1"/>
  <c r="Z1008" i="1"/>
  <c r="AA1004" i="1"/>
  <c r="Z1004" i="1"/>
  <c r="V1004" i="1" s="1"/>
  <c r="W1004" i="1" s="1"/>
  <c r="AA1000" i="1"/>
  <c r="Z1000" i="1"/>
  <c r="S1000" i="1" s="1"/>
  <c r="AA996" i="1"/>
  <c r="Z996" i="1"/>
  <c r="V996" i="1" s="1"/>
  <c r="AA992" i="1"/>
  <c r="Z992" i="1"/>
  <c r="AA988" i="1"/>
  <c r="Z988" i="1"/>
  <c r="V988" i="1" s="1"/>
  <c r="W988" i="1" s="1"/>
  <c r="AA984" i="1"/>
  <c r="Z984" i="1"/>
  <c r="S984" i="1" s="1"/>
  <c r="AA980" i="1"/>
  <c r="Z980" i="1"/>
  <c r="V980" i="1" s="1"/>
  <c r="W980" i="1" s="1"/>
  <c r="AA976" i="1"/>
  <c r="Z976" i="1"/>
  <c r="AA972" i="1"/>
  <c r="Z972" i="1"/>
  <c r="V972" i="1" s="1"/>
  <c r="W972" i="1" s="1"/>
  <c r="AA968" i="1"/>
  <c r="Z968" i="1"/>
  <c r="S968" i="1" s="1"/>
  <c r="AA964" i="1"/>
  <c r="Z964" i="1"/>
  <c r="V964" i="1" s="1"/>
  <c r="W964" i="1" s="1"/>
  <c r="AA960" i="1"/>
  <c r="Z960" i="1"/>
  <c r="V960" i="1" s="1"/>
  <c r="W960" i="1" s="1"/>
  <c r="AA956" i="1"/>
  <c r="Z956" i="1"/>
  <c r="V956" i="1" s="1"/>
  <c r="W956" i="1" s="1"/>
  <c r="AA952" i="1"/>
  <c r="Z952" i="1"/>
  <c r="S952" i="1" s="1"/>
  <c r="AA948" i="1"/>
  <c r="Z948" i="1"/>
  <c r="V948" i="1" s="1"/>
  <c r="W948" i="1" s="1"/>
  <c r="AA944" i="1"/>
  <c r="Z944" i="1"/>
  <c r="AA940" i="1"/>
  <c r="Z940" i="1"/>
  <c r="V940" i="1" s="1"/>
  <c r="W940" i="1" s="1"/>
  <c r="AA936" i="1"/>
  <c r="Z936" i="1"/>
  <c r="S936" i="1" s="1"/>
  <c r="AA932" i="1"/>
  <c r="Z932" i="1"/>
  <c r="V932" i="1" s="1"/>
  <c r="W932" i="1" s="1"/>
  <c r="AA928" i="1"/>
  <c r="Z928" i="1"/>
  <c r="AA924" i="1"/>
  <c r="Z924" i="1"/>
  <c r="V924" i="1" s="1"/>
  <c r="W924" i="1" s="1"/>
  <c r="AA920" i="1"/>
  <c r="Z920" i="1"/>
  <c r="S920" i="1" s="1"/>
  <c r="AA916" i="1"/>
  <c r="Z916" i="1"/>
  <c r="V916" i="1" s="1"/>
  <c r="W916" i="1" s="1"/>
  <c r="AA912" i="1"/>
  <c r="Z912" i="1"/>
  <c r="V912" i="1" s="1"/>
  <c r="W912" i="1" s="1"/>
  <c r="AA908" i="1"/>
  <c r="Z908" i="1"/>
  <c r="V908" i="1" s="1"/>
  <c r="W908" i="1" s="1"/>
  <c r="AA904" i="1"/>
  <c r="Z904" i="1"/>
  <c r="S904" i="1" s="1"/>
  <c r="AA900" i="1"/>
  <c r="Z900" i="1"/>
  <c r="V900" i="1" s="1"/>
  <c r="W900" i="1" s="1"/>
  <c r="AA896" i="1"/>
  <c r="Z896" i="1"/>
  <c r="V896" i="1" s="1"/>
  <c r="W896" i="1" s="1"/>
  <c r="AA892" i="1"/>
  <c r="Z892" i="1"/>
  <c r="V892" i="1" s="1"/>
  <c r="W892" i="1" s="1"/>
  <c r="AA888" i="1"/>
  <c r="Z888" i="1"/>
  <c r="S888" i="1" s="1"/>
  <c r="AA884" i="1"/>
  <c r="Z884" i="1"/>
  <c r="V884" i="1" s="1"/>
  <c r="W884" i="1" s="1"/>
  <c r="AA880" i="1"/>
  <c r="Z880" i="1"/>
  <c r="V880" i="1" s="1"/>
  <c r="W880" i="1" s="1"/>
  <c r="AA876" i="1"/>
  <c r="Z876" i="1"/>
  <c r="V876" i="1" s="1"/>
  <c r="W876" i="1" s="1"/>
  <c r="AA872" i="1"/>
  <c r="Z872" i="1"/>
  <c r="S872" i="1" s="1"/>
  <c r="AA868" i="1"/>
  <c r="Z868" i="1"/>
  <c r="V868" i="1" s="1"/>
  <c r="W868" i="1" s="1"/>
  <c r="AA864" i="1"/>
  <c r="Z864" i="1"/>
  <c r="V864" i="1" s="1"/>
  <c r="W864" i="1" s="1"/>
  <c r="AA860" i="1"/>
  <c r="Z860" i="1"/>
  <c r="V860" i="1" s="1"/>
  <c r="W860" i="1" s="1"/>
  <c r="AA856" i="1"/>
  <c r="Z856" i="1"/>
  <c r="S856" i="1" s="1"/>
  <c r="AA852" i="1"/>
  <c r="Z852" i="1"/>
  <c r="V852" i="1" s="1"/>
  <c r="W852" i="1" s="1"/>
  <c r="AA848" i="1"/>
  <c r="Z848" i="1"/>
  <c r="V848" i="1" s="1"/>
  <c r="W848" i="1" s="1"/>
  <c r="AA844" i="1"/>
  <c r="Z844" i="1"/>
  <c r="V844" i="1" s="1"/>
  <c r="W844" i="1" s="1"/>
  <c r="AA840" i="1"/>
  <c r="Z840" i="1"/>
  <c r="S840" i="1" s="1"/>
  <c r="AA836" i="1"/>
  <c r="Z836" i="1"/>
  <c r="V836" i="1" s="1"/>
  <c r="W836" i="1" s="1"/>
  <c r="AA832" i="1"/>
  <c r="Z832" i="1"/>
  <c r="V832" i="1" s="1"/>
  <c r="W832" i="1" s="1"/>
  <c r="AA828" i="1"/>
  <c r="Z828" i="1"/>
  <c r="V828" i="1" s="1"/>
  <c r="W828" i="1" s="1"/>
  <c r="AA824" i="1"/>
  <c r="Z824" i="1"/>
  <c r="S824" i="1" s="1"/>
  <c r="AA820" i="1"/>
  <c r="Z820" i="1"/>
  <c r="V820" i="1" s="1"/>
  <c r="W820" i="1" s="1"/>
  <c r="AA816" i="1"/>
  <c r="Z816" i="1"/>
  <c r="V816" i="1" s="1"/>
  <c r="W816" i="1" s="1"/>
  <c r="AA812" i="1"/>
  <c r="Z812" i="1"/>
  <c r="V812" i="1" s="1"/>
  <c r="W812" i="1" s="1"/>
  <c r="AA808" i="1"/>
  <c r="Z808" i="1"/>
  <c r="S808" i="1" s="1"/>
  <c r="AA804" i="1"/>
  <c r="Z804" i="1"/>
  <c r="V804" i="1" s="1"/>
  <c r="W804" i="1" s="1"/>
  <c r="AA800" i="1"/>
  <c r="Z800" i="1"/>
  <c r="V800" i="1" s="1"/>
  <c r="W800" i="1" s="1"/>
  <c r="AA796" i="1"/>
  <c r="Z796" i="1"/>
  <c r="V796" i="1" s="1"/>
  <c r="W796" i="1" s="1"/>
  <c r="AA792" i="1"/>
  <c r="Z792" i="1"/>
  <c r="S792" i="1" s="1"/>
  <c r="AA788" i="1"/>
  <c r="Z788" i="1"/>
  <c r="V788" i="1" s="1"/>
  <c r="W788" i="1" s="1"/>
  <c r="AA784" i="1"/>
  <c r="Z784" i="1"/>
  <c r="V784" i="1" s="1"/>
  <c r="W784" i="1" s="1"/>
  <c r="AA780" i="1"/>
  <c r="Z780" i="1"/>
  <c r="V780" i="1" s="1"/>
  <c r="W780" i="1" s="1"/>
  <c r="AA776" i="1"/>
  <c r="Z776" i="1"/>
  <c r="S776" i="1" s="1"/>
  <c r="AA772" i="1"/>
  <c r="Z772" i="1"/>
  <c r="V772" i="1" s="1"/>
  <c r="W772" i="1" s="1"/>
  <c r="AA768" i="1"/>
  <c r="Z768" i="1"/>
  <c r="V768" i="1" s="1"/>
  <c r="W768" i="1" s="1"/>
  <c r="AA764" i="1"/>
  <c r="Z764" i="1"/>
  <c r="V764" i="1" s="1"/>
  <c r="W764" i="1" s="1"/>
  <c r="AA760" i="1"/>
  <c r="Z760" i="1"/>
  <c r="S760" i="1" s="1"/>
  <c r="AA756" i="1"/>
  <c r="Z756" i="1"/>
  <c r="V756" i="1" s="1"/>
  <c r="W756" i="1" s="1"/>
  <c r="AA752" i="1"/>
  <c r="Z752" i="1"/>
  <c r="V752" i="1" s="1"/>
  <c r="W752" i="1" s="1"/>
  <c r="AA748" i="1"/>
  <c r="Z748" i="1"/>
  <c r="V748" i="1" s="1"/>
  <c r="W748" i="1" s="1"/>
  <c r="AA744" i="1"/>
  <c r="Z744" i="1"/>
  <c r="S744" i="1" s="1"/>
  <c r="AA740" i="1"/>
  <c r="Z740" i="1"/>
  <c r="V740" i="1" s="1"/>
  <c r="W740" i="1" s="1"/>
  <c r="AA736" i="1"/>
  <c r="Z736" i="1"/>
  <c r="V736" i="1" s="1"/>
  <c r="W736" i="1" s="1"/>
  <c r="AA732" i="1"/>
  <c r="Z732" i="1"/>
  <c r="V732" i="1" s="1"/>
  <c r="W732" i="1" s="1"/>
  <c r="AA728" i="1"/>
  <c r="Z728" i="1"/>
  <c r="S728" i="1" s="1"/>
  <c r="AA724" i="1"/>
  <c r="Z724" i="1"/>
  <c r="V724" i="1" s="1"/>
  <c r="W724" i="1" s="1"/>
  <c r="AA720" i="1"/>
  <c r="Z720" i="1"/>
  <c r="V720" i="1" s="1"/>
  <c r="W720" i="1" s="1"/>
  <c r="AA716" i="1"/>
  <c r="Z716" i="1"/>
  <c r="V716" i="1" s="1"/>
  <c r="W716" i="1" s="1"/>
  <c r="AA712" i="1"/>
  <c r="Z712" i="1"/>
  <c r="S712" i="1" s="1"/>
  <c r="AA708" i="1"/>
  <c r="Z708" i="1"/>
  <c r="V708" i="1" s="1"/>
  <c r="W708" i="1" s="1"/>
  <c r="AA704" i="1"/>
  <c r="Z704" i="1"/>
  <c r="V704" i="1" s="1"/>
  <c r="W704" i="1" s="1"/>
  <c r="AA700" i="1"/>
  <c r="Z700" i="1"/>
  <c r="V700" i="1" s="1"/>
  <c r="W700" i="1" s="1"/>
  <c r="AA696" i="1"/>
  <c r="Z696" i="1"/>
  <c r="S696" i="1" s="1"/>
  <c r="AA692" i="1"/>
  <c r="Z692" i="1"/>
  <c r="V692" i="1" s="1"/>
  <c r="W692" i="1" s="1"/>
  <c r="AA688" i="1"/>
  <c r="Z688" i="1"/>
  <c r="V688" i="1" s="1"/>
  <c r="W688" i="1" s="1"/>
  <c r="AA684" i="1"/>
  <c r="Z684" i="1"/>
  <c r="V684" i="1" s="1"/>
  <c r="W684" i="1" s="1"/>
  <c r="AA680" i="1"/>
  <c r="Z680" i="1"/>
  <c r="S680" i="1" s="1"/>
  <c r="AA676" i="1"/>
  <c r="Z676" i="1"/>
  <c r="V676" i="1" s="1"/>
  <c r="W676" i="1" s="1"/>
  <c r="AA672" i="1"/>
  <c r="Z672" i="1"/>
  <c r="V672" i="1" s="1"/>
  <c r="W672" i="1" s="1"/>
  <c r="AA668" i="1"/>
  <c r="Z668" i="1"/>
  <c r="V668" i="1" s="1"/>
  <c r="W668" i="1" s="1"/>
  <c r="AA664" i="1"/>
  <c r="Z664" i="1"/>
  <c r="S664" i="1" s="1"/>
  <c r="AA660" i="1"/>
  <c r="Z660" i="1"/>
  <c r="V660" i="1" s="1"/>
  <c r="W660" i="1" s="1"/>
  <c r="AA656" i="1"/>
  <c r="Z656" i="1"/>
  <c r="V656" i="1" s="1"/>
  <c r="AA652" i="1"/>
  <c r="Z652" i="1"/>
  <c r="V652" i="1" s="1"/>
  <c r="W652" i="1" s="1"/>
  <c r="AA648" i="1"/>
  <c r="Z648" i="1"/>
  <c r="S648" i="1" s="1"/>
  <c r="AA644" i="1"/>
  <c r="Z644" i="1"/>
  <c r="V644" i="1" s="1"/>
  <c r="W644" i="1" s="1"/>
  <c r="AA640" i="1"/>
  <c r="Z640" i="1"/>
  <c r="V640" i="1" s="1"/>
  <c r="W640" i="1" s="1"/>
  <c r="AA636" i="1"/>
  <c r="Z636" i="1"/>
  <c r="V636" i="1" s="1"/>
  <c r="W636" i="1" s="1"/>
  <c r="AA632" i="1"/>
  <c r="Z632" i="1"/>
  <c r="S632" i="1" s="1"/>
  <c r="AA628" i="1"/>
  <c r="Z628" i="1"/>
  <c r="V628" i="1" s="1"/>
  <c r="W628" i="1" s="1"/>
  <c r="AA624" i="1"/>
  <c r="Z624" i="1"/>
  <c r="V624" i="1" s="1"/>
  <c r="W624" i="1" s="1"/>
  <c r="AA620" i="1"/>
  <c r="Z620" i="1"/>
  <c r="V620" i="1" s="1"/>
  <c r="W620" i="1" s="1"/>
  <c r="AA616" i="1"/>
  <c r="Z616" i="1"/>
  <c r="S616" i="1" s="1"/>
  <c r="AA612" i="1"/>
  <c r="Z612" i="1"/>
  <c r="V612" i="1" s="1"/>
  <c r="W612" i="1" s="1"/>
  <c r="AA608" i="1"/>
  <c r="Z608" i="1"/>
  <c r="V608" i="1" s="1"/>
  <c r="W608" i="1" s="1"/>
  <c r="AA604" i="1"/>
  <c r="Z604" i="1"/>
  <c r="V604" i="1" s="1"/>
  <c r="W604" i="1" s="1"/>
  <c r="AA600" i="1"/>
  <c r="Z600" i="1"/>
  <c r="S600" i="1" s="1"/>
  <c r="AA596" i="1"/>
  <c r="Z596" i="1"/>
  <c r="V596" i="1" s="1"/>
  <c r="W596" i="1" s="1"/>
  <c r="AA592" i="1"/>
  <c r="Z592" i="1"/>
  <c r="V592" i="1" s="1"/>
  <c r="W592" i="1" s="1"/>
  <c r="AA588" i="1"/>
  <c r="Z588" i="1"/>
  <c r="V588" i="1" s="1"/>
  <c r="W588" i="1" s="1"/>
  <c r="AA584" i="1"/>
  <c r="Z584" i="1"/>
  <c r="S584" i="1" s="1"/>
  <c r="AA580" i="1"/>
  <c r="Z580" i="1"/>
  <c r="V580" i="1" s="1"/>
  <c r="W580" i="1" s="1"/>
  <c r="AA576" i="1"/>
  <c r="Z576" i="1"/>
  <c r="V576" i="1" s="1"/>
  <c r="W576" i="1" s="1"/>
  <c r="AA572" i="1"/>
  <c r="Z572" i="1"/>
  <c r="V572" i="1" s="1"/>
  <c r="W572" i="1" s="1"/>
  <c r="AA568" i="1"/>
  <c r="Z568" i="1"/>
  <c r="S568" i="1" s="1"/>
  <c r="AA564" i="1"/>
  <c r="Z564" i="1"/>
  <c r="V564" i="1" s="1"/>
  <c r="W564" i="1" s="1"/>
  <c r="AA560" i="1"/>
  <c r="Z560" i="1"/>
  <c r="V560" i="1" s="1"/>
  <c r="W560" i="1" s="1"/>
  <c r="AA556" i="1"/>
  <c r="Z556" i="1"/>
  <c r="V556" i="1" s="1"/>
  <c r="W556" i="1" s="1"/>
  <c r="AA552" i="1"/>
  <c r="Z552" i="1"/>
  <c r="S552" i="1" s="1"/>
  <c r="AA548" i="1"/>
  <c r="Z548" i="1"/>
  <c r="V548" i="1" s="1"/>
  <c r="W548" i="1" s="1"/>
  <c r="AA544" i="1"/>
  <c r="Z544" i="1"/>
  <c r="V544" i="1" s="1"/>
  <c r="W544" i="1" s="1"/>
  <c r="AA540" i="1"/>
  <c r="Z540" i="1"/>
  <c r="V540" i="1" s="1"/>
  <c r="W540" i="1" s="1"/>
  <c r="AA536" i="1"/>
  <c r="Z536" i="1"/>
  <c r="S536" i="1" s="1"/>
  <c r="AA532" i="1"/>
  <c r="Z532" i="1"/>
  <c r="V532" i="1" s="1"/>
  <c r="W532" i="1" s="1"/>
  <c r="AA528" i="1"/>
  <c r="Z528" i="1"/>
  <c r="V528" i="1" s="1"/>
  <c r="W528" i="1" s="1"/>
  <c r="AA524" i="1"/>
  <c r="Z524" i="1"/>
  <c r="V524" i="1" s="1"/>
  <c r="W524" i="1" s="1"/>
  <c r="AA520" i="1"/>
  <c r="Z520" i="1"/>
  <c r="S520" i="1" s="1"/>
  <c r="AA516" i="1"/>
  <c r="Z516" i="1"/>
  <c r="V516" i="1" s="1"/>
  <c r="W516" i="1" s="1"/>
  <c r="AA512" i="1"/>
  <c r="Z512" i="1"/>
  <c r="V512" i="1" s="1"/>
  <c r="W512" i="1" s="1"/>
  <c r="AA508" i="1"/>
  <c r="Z508" i="1"/>
  <c r="V508" i="1" s="1"/>
  <c r="W508" i="1" s="1"/>
  <c r="AA504" i="1"/>
  <c r="Z504" i="1"/>
  <c r="S504" i="1" s="1"/>
  <c r="AA500" i="1"/>
  <c r="Z500" i="1"/>
  <c r="V500" i="1" s="1"/>
  <c r="W500" i="1" s="1"/>
  <c r="AA496" i="1"/>
  <c r="Z496" i="1"/>
  <c r="V496" i="1" s="1"/>
  <c r="W496" i="1" s="1"/>
  <c r="AA492" i="1"/>
  <c r="Z492" i="1"/>
  <c r="V492" i="1" s="1"/>
  <c r="W492" i="1" s="1"/>
  <c r="AA488" i="1"/>
  <c r="Z488" i="1"/>
  <c r="S488" i="1" s="1"/>
  <c r="AA484" i="1"/>
  <c r="Z484" i="1"/>
  <c r="V484" i="1" s="1"/>
  <c r="W484" i="1" s="1"/>
  <c r="AA480" i="1"/>
  <c r="Z480" i="1"/>
  <c r="V480" i="1" s="1"/>
  <c r="W480" i="1" s="1"/>
  <c r="AA476" i="1"/>
  <c r="Z476" i="1"/>
  <c r="V476" i="1" s="1"/>
  <c r="W476" i="1" s="1"/>
  <c r="AA472" i="1"/>
  <c r="Z472" i="1"/>
  <c r="S472" i="1" s="1"/>
  <c r="AA468" i="1"/>
  <c r="Z468" i="1"/>
  <c r="V468" i="1" s="1"/>
  <c r="W468" i="1" s="1"/>
  <c r="AA464" i="1"/>
  <c r="Z464" i="1"/>
  <c r="V464" i="1" s="1"/>
  <c r="W464" i="1" s="1"/>
  <c r="AA460" i="1"/>
  <c r="Z460" i="1"/>
  <c r="V460" i="1" s="1"/>
  <c r="W460" i="1" s="1"/>
  <c r="AA456" i="1"/>
  <c r="Z456" i="1"/>
  <c r="S456" i="1" s="1"/>
  <c r="AA452" i="1"/>
  <c r="Z452" i="1"/>
  <c r="V452" i="1" s="1"/>
  <c r="W452" i="1" s="1"/>
  <c r="AA448" i="1"/>
  <c r="Z448" i="1"/>
  <c r="V448" i="1" s="1"/>
  <c r="W448" i="1" s="1"/>
  <c r="AA444" i="1"/>
  <c r="Z444" i="1"/>
  <c r="V444" i="1" s="1"/>
  <c r="W444" i="1" s="1"/>
  <c r="AA440" i="1"/>
  <c r="Z440" i="1"/>
  <c r="S440" i="1" s="1"/>
  <c r="AA436" i="1"/>
  <c r="Z436" i="1"/>
  <c r="V436" i="1" s="1"/>
  <c r="W436" i="1" s="1"/>
  <c r="AA432" i="1"/>
  <c r="Z432" i="1"/>
  <c r="V432" i="1" s="1"/>
  <c r="W432" i="1" s="1"/>
  <c r="AA428" i="1"/>
  <c r="Z428" i="1"/>
  <c r="V428" i="1" s="1"/>
  <c r="W428" i="1" s="1"/>
  <c r="AA424" i="1"/>
  <c r="Z424" i="1"/>
  <c r="S424" i="1" s="1"/>
  <c r="AA420" i="1"/>
  <c r="Z420" i="1"/>
  <c r="V420" i="1" s="1"/>
  <c r="W420" i="1" s="1"/>
  <c r="AA416" i="1"/>
  <c r="Z416" i="1"/>
  <c r="V416" i="1" s="1"/>
  <c r="W416" i="1" s="1"/>
  <c r="AA412" i="1"/>
  <c r="Z412" i="1"/>
  <c r="V412" i="1" s="1"/>
  <c r="W412" i="1" s="1"/>
  <c r="AA408" i="1"/>
  <c r="Z408" i="1"/>
  <c r="S408" i="1" s="1"/>
  <c r="AA404" i="1"/>
  <c r="Z404" i="1"/>
  <c r="V404" i="1" s="1"/>
  <c r="W404" i="1" s="1"/>
  <c r="AA400" i="1"/>
  <c r="Z400" i="1"/>
  <c r="V400" i="1" s="1"/>
  <c r="W400" i="1" s="1"/>
  <c r="AA396" i="1"/>
  <c r="Z396" i="1"/>
  <c r="V396" i="1" s="1"/>
  <c r="W396" i="1" s="1"/>
  <c r="AA392" i="1"/>
  <c r="Z392" i="1"/>
  <c r="S392" i="1" s="1"/>
  <c r="AA388" i="1"/>
  <c r="Z388" i="1"/>
  <c r="V388" i="1" s="1"/>
  <c r="W388" i="1" s="1"/>
  <c r="AA384" i="1"/>
  <c r="Z384" i="1"/>
  <c r="V384" i="1" s="1"/>
  <c r="W384" i="1" s="1"/>
  <c r="AA380" i="1"/>
  <c r="Z380" i="1"/>
  <c r="V380" i="1" s="1"/>
  <c r="W380" i="1" s="1"/>
  <c r="AA376" i="1"/>
  <c r="Z376" i="1"/>
  <c r="S376" i="1" s="1"/>
  <c r="AA372" i="1"/>
  <c r="Z372" i="1"/>
  <c r="V372" i="1" s="1"/>
  <c r="W372" i="1" s="1"/>
  <c r="AA368" i="1"/>
  <c r="Z368" i="1"/>
  <c r="V368" i="1" s="1"/>
  <c r="W368" i="1" s="1"/>
  <c r="AA364" i="1"/>
  <c r="Z364" i="1"/>
  <c r="V364" i="1" s="1"/>
  <c r="W364" i="1" s="1"/>
  <c r="AA360" i="1"/>
  <c r="Z360" i="1"/>
  <c r="S360" i="1" s="1"/>
  <c r="AA356" i="1"/>
  <c r="Z356" i="1"/>
  <c r="V356" i="1" s="1"/>
  <c r="W356" i="1" s="1"/>
  <c r="AA352" i="1"/>
  <c r="Z352" i="1"/>
  <c r="V352" i="1" s="1"/>
  <c r="W352" i="1" s="1"/>
  <c r="AA348" i="1"/>
  <c r="Z348" i="1"/>
  <c r="V348" i="1" s="1"/>
  <c r="W348" i="1" s="1"/>
  <c r="AA344" i="1"/>
  <c r="Z344" i="1"/>
  <c r="S344" i="1" s="1"/>
  <c r="AA340" i="1"/>
  <c r="Z340" i="1"/>
  <c r="V340" i="1" s="1"/>
  <c r="W340" i="1" s="1"/>
  <c r="AA336" i="1"/>
  <c r="Z336" i="1"/>
  <c r="V336" i="1" s="1"/>
  <c r="W336" i="1" s="1"/>
  <c r="AA332" i="1"/>
  <c r="Z332" i="1"/>
  <c r="V332" i="1" s="1"/>
  <c r="W332" i="1" s="1"/>
  <c r="AA328" i="1"/>
  <c r="Z328" i="1"/>
  <c r="S328" i="1" s="1"/>
  <c r="AA324" i="1"/>
  <c r="Z324" i="1"/>
  <c r="V324" i="1" s="1"/>
  <c r="W324" i="1" s="1"/>
  <c r="AA320" i="1"/>
  <c r="Z320" i="1"/>
  <c r="V320" i="1" s="1"/>
  <c r="W320" i="1" s="1"/>
  <c r="AA316" i="1"/>
  <c r="Z316" i="1"/>
  <c r="V316" i="1" s="1"/>
  <c r="W316" i="1" s="1"/>
  <c r="AA312" i="1"/>
  <c r="Z312" i="1"/>
  <c r="S312" i="1" s="1"/>
  <c r="AA308" i="1"/>
  <c r="Z308" i="1"/>
  <c r="V308" i="1" s="1"/>
  <c r="W308" i="1" s="1"/>
  <c r="AA304" i="1"/>
  <c r="Z304" i="1"/>
  <c r="V304" i="1" s="1"/>
  <c r="W304" i="1" s="1"/>
  <c r="AA300" i="1"/>
  <c r="Z300" i="1"/>
  <c r="V300" i="1" s="1"/>
  <c r="W300" i="1" s="1"/>
  <c r="AA296" i="1"/>
  <c r="Z296" i="1"/>
  <c r="S296" i="1" s="1"/>
  <c r="AA292" i="1"/>
  <c r="Z292" i="1"/>
  <c r="V292" i="1" s="1"/>
  <c r="W292" i="1" s="1"/>
  <c r="AA288" i="1"/>
  <c r="Z288" i="1"/>
  <c r="V288" i="1" s="1"/>
  <c r="W288" i="1" s="1"/>
  <c r="AA284" i="1"/>
  <c r="Z284" i="1"/>
  <c r="V284" i="1" s="1"/>
  <c r="W284" i="1" s="1"/>
  <c r="AA280" i="1"/>
  <c r="Z280" i="1"/>
  <c r="S280" i="1" s="1"/>
  <c r="AA276" i="1"/>
  <c r="Z276" i="1"/>
  <c r="V276" i="1" s="1"/>
  <c r="W276" i="1" s="1"/>
  <c r="AA272" i="1"/>
  <c r="Z272" i="1"/>
  <c r="V272" i="1" s="1"/>
  <c r="W272" i="1" s="1"/>
  <c r="AA268" i="1"/>
  <c r="Z268" i="1"/>
  <c r="V268" i="1" s="1"/>
  <c r="W268" i="1" s="1"/>
  <c r="AA264" i="1"/>
  <c r="Z264" i="1"/>
  <c r="S264" i="1" s="1"/>
  <c r="AA260" i="1"/>
  <c r="Z260" i="1"/>
  <c r="V260" i="1" s="1"/>
  <c r="W260" i="1" s="1"/>
  <c r="AA256" i="1"/>
  <c r="Z256" i="1"/>
  <c r="V256" i="1" s="1"/>
  <c r="W256" i="1" s="1"/>
  <c r="AA252" i="1"/>
  <c r="Z252" i="1"/>
  <c r="V252" i="1" s="1"/>
  <c r="W252" i="1" s="1"/>
  <c r="AA248" i="1"/>
  <c r="Z248" i="1"/>
  <c r="S248" i="1" s="1"/>
  <c r="AA244" i="1"/>
  <c r="Z244" i="1"/>
  <c r="V244" i="1" s="1"/>
  <c r="W244" i="1" s="1"/>
  <c r="AA240" i="1"/>
  <c r="Z240" i="1"/>
  <c r="V240" i="1" s="1"/>
  <c r="W240" i="1" s="1"/>
  <c r="AA236" i="1"/>
  <c r="Z236" i="1"/>
  <c r="V236" i="1" s="1"/>
  <c r="W236" i="1" s="1"/>
  <c r="AA232" i="1"/>
  <c r="Z232" i="1"/>
  <c r="S232" i="1" s="1"/>
  <c r="AA228" i="1"/>
  <c r="Z228" i="1"/>
  <c r="V228" i="1" s="1"/>
  <c r="W228" i="1" s="1"/>
  <c r="AA224" i="1"/>
  <c r="Z224" i="1"/>
  <c r="V224" i="1" s="1"/>
  <c r="W224" i="1" s="1"/>
  <c r="AA220" i="1"/>
  <c r="Z220" i="1"/>
  <c r="V220" i="1" s="1"/>
  <c r="W220" i="1" s="1"/>
  <c r="AA216" i="1"/>
  <c r="Z216" i="1"/>
  <c r="S216" i="1" s="1"/>
  <c r="AA212" i="1"/>
  <c r="Z212" i="1"/>
  <c r="V212" i="1" s="1"/>
  <c r="W212" i="1" s="1"/>
  <c r="AA208" i="1"/>
  <c r="Z208" i="1"/>
  <c r="V208" i="1" s="1"/>
  <c r="W208" i="1" s="1"/>
  <c r="AA204" i="1"/>
  <c r="Z204" i="1"/>
  <c r="V204" i="1" s="1"/>
  <c r="W204" i="1" s="1"/>
  <c r="AA200" i="1"/>
  <c r="Z200" i="1"/>
  <c r="S200" i="1" s="1"/>
  <c r="AA196" i="1"/>
  <c r="Z196" i="1"/>
  <c r="V196" i="1" s="1"/>
  <c r="W196" i="1" s="1"/>
  <c r="AA192" i="1"/>
  <c r="Z192" i="1"/>
  <c r="V192" i="1" s="1"/>
  <c r="W192" i="1" s="1"/>
  <c r="AA188" i="1"/>
  <c r="Z188" i="1"/>
  <c r="V188" i="1" s="1"/>
  <c r="W188" i="1" s="1"/>
  <c r="AA184" i="1"/>
  <c r="Z184" i="1"/>
  <c r="S184" i="1" s="1"/>
  <c r="AA180" i="1"/>
  <c r="Z180" i="1"/>
  <c r="V180" i="1" s="1"/>
  <c r="W180" i="1" s="1"/>
  <c r="AA176" i="1"/>
  <c r="Z176" i="1"/>
  <c r="V176" i="1" s="1"/>
  <c r="W176" i="1" s="1"/>
  <c r="AA172" i="1"/>
  <c r="Z172" i="1"/>
  <c r="V172" i="1" s="1"/>
  <c r="W172" i="1" s="1"/>
  <c r="AA168" i="1"/>
  <c r="Z168" i="1"/>
  <c r="S168" i="1" s="1"/>
  <c r="AA164" i="1"/>
  <c r="Z164" i="1"/>
  <c r="V164" i="1" s="1"/>
  <c r="W164" i="1" s="1"/>
  <c r="AA160" i="1"/>
  <c r="Z160" i="1"/>
  <c r="V160" i="1" s="1"/>
  <c r="W160" i="1" s="1"/>
  <c r="AA156" i="1"/>
  <c r="Z156" i="1"/>
  <c r="V156" i="1" s="1"/>
  <c r="W156" i="1" s="1"/>
  <c r="AA152" i="1"/>
  <c r="Z152" i="1"/>
  <c r="S152" i="1" s="1"/>
  <c r="AA148" i="1"/>
  <c r="Z148" i="1"/>
  <c r="V148" i="1" s="1"/>
  <c r="W148" i="1" s="1"/>
  <c r="AA144" i="1"/>
  <c r="Z144" i="1"/>
  <c r="V144" i="1" s="1"/>
  <c r="W144" i="1" s="1"/>
  <c r="AA140" i="1"/>
  <c r="Z140" i="1"/>
  <c r="V140" i="1" s="1"/>
  <c r="W140" i="1" s="1"/>
  <c r="AA136" i="1"/>
  <c r="Z136" i="1"/>
  <c r="S136" i="1" s="1"/>
  <c r="AA132" i="1"/>
  <c r="Z132" i="1"/>
  <c r="V132" i="1" s="1"/>
  <c r="W132" i="1" s="1"/>
  <c r="AA128" i="1"/>
  <c r="Z128" i="1"/>
  <c r="V128" i="1" s="1"/>
  <c r="W128" i="1" s="1"/>
  <c r="AA124" i="1"/>
  <c r="Z124" i="1"/>
  <c r="V124" i="1" s="1"/>
  <c r="W124" i="1" s="1"/>
  <c r="AA120" i="1"/>
  <c r="Z120" i="1"/>
  <c r="S120" i="1" s="1"/>
  <c r="AA116" i="1"/>
  <c r="Z116" i="1"/>
  <c r="V116" i="1" s="1"/>
  <c r="W116" i="1" s="1"/>
  <c r="AA112" i="1"/>
  <c r="Z112" i="1"/>
  <c r="V112" i="1" s="1"/>
  <c r="W112" i="1" s="1"/>
  <c r="AA108" i="1"/>
  <c r="Z108" i="1"/>
  <c r="V108" i="1" s="1"/>
  <c r="W108" i="1" s="1"/>
  <c r="AA104" i="1"/>
  <c r="Z104" i="1"/>
  <c r="S104" i="1" s="1"/>
  <c r="AA100" i="1"/>
  <c r="Z100" i="1"/>
  <c r="V100" i="1" s="1"/>
  <c r="W100" i="1" s="1"/>
  <c r="AA96" i="1"/>
  <c r="Z96" i="1"/>
  <c r="V96" i="1" s="1"/>
  <c r="W96" i="1" s="1"/>
  <c r="AA92" i="1"/>
  <c r="Z92" i="1"/>
  <c r="V92" i="1" s="1"/>
  <c r="W92" i="1" s="1"/>
  <c r="AA88" i="1"/>
  <c r="Z88" i="1"/>
  <c r="S88" i="1" s="1"/>
  <c r="AA84" i="1"/>
  <c r="Z84" i="1"/>
  <c r="V84" i="1" s="1"/>
  <c r="W84" i="1" s="1"/>
  <c r="AA80" i="1"/>
  <c r="Z80" i="1"/>
  <c r="V80" i="1" s="1"/>
  <c r="W80" i="1" s="1"/>
  <c r="AA76" i="1"/>
  <c r="Z76" i="1"/>
  <c r="V76" i="1" s="1"/>
  <c r="W76" i="1" s="1"/>
  <c r="AA72" i="1"/>
  <c r="Z72" i="1"/>
  <c r="S72" i="1" s="1"/>
  <c r="AA68" i="1"/>
  <c r="Z68" i="1"/>
  <c r="V68" i="1" s="1"/>
  <c r="W68" i="1" s="1"/>
  <c r="AA64" i="1"/>
  <c r="Z64" i="1"/>
  <c r="V64" i="1" s="1"/>
  <c r="W64" i="1" s="1"/>
  <c r="AA60" i="1"/>
  <c r="Z60" i="1"/>
  <c r="V60" i="1" s="1"/>
  <c r="W60" i="1" s="1"/>
  <c r="AA56" i="1"/>
  <c r="Z56" i="1"/>
  <c r="S56" i="1" s="1"/>
  <c r="AA52" i="1"/>
  <c r="Z52" i="1"/>
  <c r="V52" i="1" s="1"/>
  <c r="W52" i="1" s="1"/>
  <c r="AA48" i="1"/>
  <c r="Z48" i="1"/>
  <c r="V48" i="1" s="1"/>
  <c r="W48" i="1" s="1"/>
  <c r="AA44" i="1"/>
  <c r="Z44" i="1"/>
  <c r="V44" i="1" s="1"/>
  <c r="W44" i="1" s="1"/>
  <c r="AA40" i="1"/>
  <c r="Z40" i="1"/>
  <c r="S40" i="1" s="1"/>
  <c r="AA36" i="1"/>
  <c r="Z36" i="1"/>
  <c r="V36" i="1" s="1"/>
  <c r="W36" i="1" s="1"/>
  <c r="AA32" i="1"/>
  <c r="Z32" i="1"/>
  <c r="V32" i="1" s="1"/>
  <c r="W32" i="1" s="1"/>
  <c r="AA28" i="1"/>
  <c r="Z28" i="1"/>
  <c r="V28" i="1" s="1"/>
  <c r="W28" i="1" s="1"/>
  <c r="AA24" i="1"/>
  <c r="Z24" i="1"/>
  <c r="S24" i="1" s="1"/>
  <c r="AA20" i="1"/>
  <c r="Z20" i="1"/>
  <c r="V20" i="1" s="1"/>
  <c r="W20" i="1" s="1"/>
  <c r="AA16" i="1"/>
  <c r="Z16" i="1"/>
  <c r="V16" i="1" s="1"/>
  <c r="W16" i="1" s="1"/>
  <c r="AA12" i="1"/>
  <c r="Z12" i="1"/>
  <c r="V12" i="1" s="1"/>
  <c r="W12" i="1" s="1"/>
  <c r="AA8" i="1"/>
  <c r="Z8" i="1"/>
  <c r="S8" i="1" s="1"/>
  <c r="AA4" i="1"/>
  <c r="Z4" i="1"/>
  <c r="V4" i="1" s="1"/>
  <c r="W4" i="1" s="1"/>
  <c r="V1727" i="1"/>
  <c r="W1727" i="1" s="1"/>
  <c r="V1723" i="1"/>
  <c r="W1723" i="1" s="1"/>
  <c r="V1719" i="1"/>
  <c r="W1719" i="1" s="1"/>
  <c r="V1715" i="1"/>
  <c r="W1715" i="1" s="1"/>
  <c r="V1711" i="1"/>
  <c r="W1711" i="1" s="1"/>
  <c r="V1707" i="1"/>
  <c r="W1707" i="1" s="1"/>
  <c r="V1703" i="1"/>
  <c r="W1703" i="1" s="1"/>
  <c r="V1699" i="1"/>
  <c r="W1699" i="1" s="1"/>
  <c r="V1695" i="1"/>
  <c r="W1695" i="1" s="1"/>
  <c r="V1691" i="1"/>
  <c r="W1691" i="1" s="1"/>
  <c r="V1687" i="1"/>
  <c r="W1687" i="1" s="1"/>
  <c r="V1683" i="1"/>
  <c r="W1683" i="1" s="1"/>
  <c r="V1679" i="1"/>
  <c r="W1679" i="1" s="1"/>
  <c r="V1675" i="1"/>
  <c r="W1675" i="1" s="1"/>
  <c r="V1671" i="1"/>
  <c r="W1671" i="1" s="1"/>
  <c r="V1667" i="1"/>
  <c r="W1667" i="1" s="1"/>
  <c r="V1663" i="1"/>
  <c r="W1663" i="1" s="1"/>
  <c r="V1659" i="1"/>
  <c r="W1659" i="1" s="1"/>
  <c r="V1655" i="1"/>
  <c r="W1655" i="1" s="1"/>
  <c r="V1651" i="1"/>
  <c r="W1651" i="1" s="1"/>
  <c r="V1647" i="1"/>
  <c r="W1647" i="1" s="1"/>
  <c r="V1643" i="1"/>
  <c r="W1643" i="1" s="1"/>
  <c r="V1639" i="1"/>
  <c r="W1639" i="1" s="1"/>
  <c r="V1635" i="1"/>
  <c r="W1635" i="1" s="1"/>
  <c r="V1631" i="1"/>
  <c r="W1631" i="1" s="1"/>
  <c r="V1627" i="1"/>
  <c r="W1627" i="1" s="1"/>
  <c r="V1623" i="1"/>
  <c r="W1623" i="1" s="1"/>
  <c r="V1619" i="1"/>
  <c r="W1619" i="1" s="1"/>
  <c r="V1615" i="1"/>
  <c r="W1615" i="1" s="1"/>
  <c r="V1611" i="1"/>
  <c r="W1611" i="1" s="1"/>
  <c r="V1607" i="1"/>
  <c r="W1607" i="1" s="1"/>
  <c r="V1603" i="1"/>
  <c r="W1603" i="1" s="1"/>
  <c r="V1599" i="1"/>
  <c r="W1599" i="1" s="1"/>
  <c r="V1595" i="1"/>
  <c r="W1595" i="1" s="1"/>
  <c r="V1591" i="1"/>
  <c r="W1591" i="1" s="1"/>
  <c r="V1587" i="1"/>
  <c r="W1587" i="1" s="1"/>
  <c r="V1583" i="1"/>
  <c r="W1583" i="1" s="1"/>
  <c r="V1579" i="1"/>
  <c r="W1579" i="1" s="1"/>
  <c r="V1575" i="1"/>
  <c r="W1575" i="1" s="1"/>
  <c r="V1571" i="1"/>
  <c r="W1571" i="1" s="1"/>
  <c r="V1567" i="1"/>
  <c r="W1567" i="1" s="1"/>
  <c r="V1563" i="1"/>
  <c r="W1563" i="1" s="1"/>
  <c r="V1559" i="1"/>
  <c r="W1559" i="1" s="1"/>
  <c r="V1555" i="1"/>
  <c r="W1555" i="1" s="1"/>
  <c r="V1551" i="1"/>
  <c r="W1551" i="1" s="1"/>
  <c r="V1547" i="1"/>
  <c r="W1547" i="1" s="1"/>
  <c r="V1543" i="1"/>
  <c r="W1543" i="1" s="1"/>
  <c r="V1539" i="1"/>
  <c r="W1539" i="1" s="1"/>
  <c r="V1535" i="1"/>
  <c r="W1535" i="1" s="1"/>
  <c r="V1531" i="1"/>
  <c r="W1531" i="1" s="1"/>
  <c r="V1527" i="1"/>
  <c r="W1527" i="1" s="1"/>
  <c r="V1523" i="1"/>
  <c r="W1523" i="1" s="1"/>
  <c r="V1519" i="1"/>
  <c r="W1519" i="1" s="1"/>
  <c r="V1515" i="1"/>
  <c r="W1515" i="1" s="1"/>
  <c r="V1511" i="1"/>
  <c r="W1511" i="1" s="1"/>
  <c r="V1507" i="1"/>
  <c r="W1507" i="1" s="1"/>
  <c r="V1503" i="1"/>
  <c r="W1503" i="1" s="1"/>
  <c r="V1499" i="1"/>
  <c r="W1499" i="1" s="1"/>
  <c r="V1495" i="1"/>
  <c r="W1495" i="1" s="1"/>
  <c r="V1491" i="1"/>
  <c r="W1491" i="1" s="1"/>
  <c r="V1487" i="1"/>
  <c r="W1487" i="1" s="1"/>
  <c r="V1483" i="1"/>
  <c r="W1483" i="1" s="1"/>
  <c r="V1479" i="1"/>
  <c r="W1479" i="1" s="1"/>
  <c r="V1475" i="1"/>
  <c r="W1475" i="1" s="1"/>
  <c r="V1471" i="1"/>
  <c r="W1471" i="1" s="1"/>
  <c r="V1467" i="1"/>
  <c r="W1467" i="1" s="1"/>
  <c r="V1463" i="1"/>
  <c r="W1463" i="1" s="1"/>
  <c r="V1459" i="1"/>
  <c r="W1459" i="1" s="1"/>
  <c r="V1455" i="1"/>
  <c r="W1455" i="1" s="1"/>
  <c r="V1451" i="1"/>
  <c r="W1451" i="1" s="1"/>
  <c r="V1447" i="1"/>
  <c r="W1447" i="1" s="1"/>
  <c r="V1443" i="1"/>
  <c r="W1443" i="1" s="1"/>
  <c r="V1439" i="1"/>
  <c r="W1439" i="1" s="1"/>
  <c r="V1435" i="1"/>
  <c r="W1435" i="1" s="1"/>
  <c r="V1431" i="1"/>
  <c r="W1431" i="1" s="1"/>
  <c r="V1427" i="1"/>
  <c r="W1427" i="1" s="1"/>
  <c r="V1423" i="1"/>
  <c r="W1423" i="1" s="1"/>
  <c r="V1419" i="1"/>
  <c r="W1419" i="1" s="1"/>
  <c r="V1415" i="1"/>
  <c r="W1415" i="1" s="1"/>
  <c r="V1411" i="1"/>
  <c r="W1411" i="1" s="1"/>
  <c r="V1407" i="1"/>
  <c r="W1407" i="1" s="1"/>
  <c r="V1403" i="1"/>
  <c r="W1403" i="1" s="1"/>
  <c r="V1399" i="1"/>
  <c r="W1399" i="1" s="1"/>
  <c r="V1395" i="1"/>
  <c r="W1395" i="1" s="1"/>
  <c r="V1391" i="1"/>
  <c r="W1391" i="1" s="1"/>
  <c r="V1387" i="1"/>
  <c r="W1387" i="1" s="1"/>
  <c r="V1383" i="1"/>
  <c r="W1383" i="1" s="1"/>
  <c r="V1379" i="1"/>
  <c r="W1379" i="1" s="1"/>
  <c r="V1375" i="1"/>
  <c r="W1375" i="1" s="1"/>
  <c r="V1371" i="1"/>
  <c r="W1371" i="1" s="1"/>
  <c r="V1367" i="1"/>
  <c r="W1367" i="1" s="1"/>
  <c r="V1363" i="1"/>
  <c r="W1363" i="1" s="1"/>
  <c r="V1359" i="1"/>
  <c r="W1359" i="1" s="1"/>
  <c r="V1355" i="1"/>
  <c r="W1355" i="1" s="1"/>
  <c r="V1351" i="1"/>
  <c r="W1351" i="1" s="1"/>
  <c r="V1347" i="1"/>
  <c r="W1347" i="1" s="1"/>
  <c r="V1343" i="1"/>
  <c r="W1343" i="1" s="1"/>
  <c r="V1339" i="1"/>
  <c r="W1339" i="1" s="1"/>
  <c r="V1335" i="1"/>
  <c r="W1335" i="1" s="1"/>
  <c r="V1331" i="1"/>
  <c r="W1331" i="1" s="1"/>
  <c r="V1327" i="1"/>
  <c r="W1327" i="1" s="1"/>
  <c r="V1323" i="1"/>
  <c r="W1323" i="1" s="1"/>
  <c r="V1319" i="1"/>
  <c r="W1319" i="1" s="1"/>
  <c r="V1315" i="1"/>
  <c r="W1315" i="1" s="1"/>
  <c r="V1311" i="1"/>
  <c r="W1311" i="1" s="1"/>
  <c r="V1307" i="1"/>
  <c r="W1307" i="1" s="1"/>
  <c r="V1303" i="1"/>
  <c r="W1303" i="1" s="1"/>
  <c r="V1299" i="1"/>
  <c r="W1299" i="1" s="1"/>
  <c r="V1295" i="1"/>
  <c r="W1295" i="1" s="1"/>
  <c r="V1291" i="1"/>
  <c r="W1291" i="1" s="1"/>
  <c r="V1287" i="1"/>
  <c r="W1287" i="1" s="1"/>
  <c r="V1283" i="1"/>
  <c r="W1283" i="1" s="1"/>
  <c r="V1279" i="1"/>
  <c r="W1279" i="1" s="1"/>
  <c r="V1275" i="1"/>
  <c r="W1275" i="1" s="1"/>
  <c r="V1271" i="1"/>
  <c r="W1271" i="1" s="1"/>
  <c r="V1267" i="1"/>
  <c r="W1267" i="1" s="1"/>
  <c r="V1263" i="1"/>
  <c r="W1263" i="1" s="1"/>
  <c r="V1259" i="1"/>
  <c r="W1259" i="1" s="1"/>
  <c r="V1255" i="1"/>
  <c r="W1255" i="1" s="1"/>
  <c r="V1251" i="1"/>
  <c r="W1251" i="1" s="1"/>
  <c r="V1247" i="1"/>
  <c r="W1247" i="1" s="1"/>
  <c r="V1243" i="1"/>
  <c r="W1243" i="1" s="1"/>
  <c r="V1239" i="1"/>
  <c r="W1239" i="1" s="1"/>
  <c r="V1235" i="1"/>
  <c r="W1235" i="1" s="1"/>
  <c r="V1231" i="1"/>
  <c r="W1231" i="1" s="1"/>
  <c r="V1227" i="1"/>
  <c r="W1227" i="1" s="1"/>
  <c r="V1223" i="1"/>
  <c r="W1223" i="1" s="1"/>
  <c r="V1219" i="1"/>
  <c r="W1219" i="1" s="1"/>
  <c r="V1215" i="1"/>
  <c r="W1215" i="1" s="1"/>
  <c r="V1211" i="1"/>
  <c r="W1211" i="1" s="1"/>
  <c r="V1207" i="1"/>
  <c r="W1207" i="1" s="1"/>
  <c r="V1203" i="1"/>
  <c r="W1203" i="1" s="1"/>
  <c r="V1199" i="1"/>
  <c r="W1199" i="1" s="1"/>
  <c r="V1195" i="1"/>
  <c r="W1195" i="1" s="1"/>
  <c r="V1191" i="1"/>
  <c r="W1191" i="1" s="1"/>
  <c r="V1187" i="1"/>
  <c r="W1187" i="1" s="1"/>
  <c r="V1183" i="1"/>
  <c r="W1183" i="1" s="1"/>
  <c r="V1179" i="1"/>
  <c r="W1179" i="1" s="1"/>
  <c r="V1175" i="1"/>
  <c r="W1175" i="1" s="1"/>
  <c r="V1171" i="1"/>
  <c r="W1171" i="1" s="1"/>
  <c r="V1167" i="1"/>
  <c r="W1167" i="1" s="1"/>
  <c r="V1163" i="1"/>
  <c r="W1163" i="1" s="1"/>
  <c r="V1159" i="1"/>
  <c r="W1159" i="1" s="1"/>
  <c r="V1155" i="1"/>
  <c r="W1155" i="1" s="1"/>
  <c r="V1151" i="1"/>
  <c r="W1151" i="1" s="1"/>
  <c r="V1147" i="1"/>
  <c r="W1147" i="1" s="1"/>
  <c r="V1143" i="1"/>
  <c r="W1143" i="1" s="1"/>
  <c r="V1139" i="1"/>
  <c r="W1139" i="1" s="1"/>
  <c r="V1135" i="1"/>
  <c r="W1135" i="1" s="1"/>
  <c r="V1131" i="1"/>
  <c r="W1131" i="1" s="1"/>
  <c r="V1127" i="1"/>
  <c r="W1127" i="1" s="1"/>
  <c r="V1123" i="1"/>
  <c r="W1123" i="1" s="1"/>
  <c r="V1119" i="1"/>
  <c r="W1119" i="1" s="1"/>
  <c r="V1115" i="1"/>
  <c r="W1115" i="1" s="1"/>
  <c r="V1111" i="1"/>
  <c r="W1111" i="1" s="1"/>
  <c r="V1107" i="1"/>
  <c r="W1107" i="1" s="1"/>
  <c r="V1103" i="1"/>
  <c r="W1103" i="1" s="1"/>
  <c r="V1099" i="1"/>
  <c r="W1099" i="1" s="1"/>
  <c r="V1095" i="1"/>
  <c r="W1095" i="1" s="1"/>
  <c r="V1091" i="1"/>
  <c r="W1091" i="1" s="1"/>
  <c r="V1087" i="1"/>
  <c r="W1087" i="1" s="1"/>
  <c r="V1083" i="1"/>
  <c r="W1083" i="1" s="1"/>
  <c r="V1079" i="1"/>
  <c r="W1079" i="1" s="1"/>
  <c r="V1075" i="1"/>
  <c r="W1075" i="1" s="1"/>
  <c r="V1071" i="1"/>
  <c r="W1071" i="1" s="1"/>
  <c r="V1067" i="1"/>
  <c r="W1067" i="1" s="1"/>
  <c r="V1063" i="1"/>
  <c r="W1063" i="1" s="1"/>
  <c r="V1059" i="1"/>
  <c r="W1059" i="1" s="1"/>
  <c r="V1055" i="1"/>
  <c r="W1055" i="1" s="1"/>
  <c r="V1051" i="1"/>
  <c r="W1051" i="1" s="1"/>
  <c r="V1047" i="1"/>
  <c r="W1047" i="1" s="1"/>
  <c r="V1043" i="1"/>
  <c r="W1043" i="1" s="1"/>
  <c r="V1039" i="1"/>
  <c r="W1039" i="1" s="1"/>
  <c r="V1035" i="1"/>
  <c r="W1035" i="1" s="1"/>
  <c r="V1031" i="1"/>
  <c r="W1031" i="1" s="1"/>
  <c r="V1027" i="1"/>
  <c r="W1027" i="1" s="1"/>
  <c r="V1023" i="1"/>
  <c r="W1023" i="1" s="1"/>
  <c r="V1019" i="1"/>
  <c r="W1019" i="1" s="1"/>
  <c r="V1015" i="1"/>
  <c r="W1015" i="1" s="1"/>
  <c r="V1011" i="1"/>
  <c r="W1011" i="1" s="1"/>
  <c r="V1007" i="1"/>
  <c r="W1007" i="1" s="1"/>
  <c r="V1003" i="1"/>
  <c r="W1003" i="1" s="1"/>
  <c r="V999" i="1"/>
  <c r="W999" i="1" s="1"/>
  <c r="V995" i="1"/>
  <c r="W995" i="1" s="1"/>
  <c r="V991" i="1"/>
  <c r="W991" i="1" s="1"/>
  <c r="V987" i="1"/>
  <c r="W987" i="1" s="1"/>
  <c r="V983" i="1"/>
  <c r="W983" i="1" s="1"/>
  <c r="V979" i="1"/>
  <c r="W979" i="1" s="1"/>
  <c r="V975" i="1"/>
  <c r="W975" i="1" s="1"/>
  <c r="V971" i="1"/>
  <c r="W971" i="1" s="1"/>
  <c r="V967" i="1"/>
  <c r="W967" i="1" s="1"/>
  <c r="V963" i="1"/>
  <c r="W963" i="1" s="1"/>
  <c r="V959" i="1"/>
  <c r="W959" i="1" s="1"/>
  <c r="V955" i="1"/>
  <c r="W955" i="1" s="1"/>
  <c r="V951" i="1"/>
  <c r="W951" i="1" s="1"/>
  <c r="V947" i="1"/>
  <c r="W947" i="1" s="1"/>
  <c r="V943" i="1"/>
  <c r="W943" i="1" s="1"/>
  <c r="V939" i="1"/>
  <c r="W939" i="1" s="1"/>
  <c r="V935" i="1"/>
  <c r="W935" i="1" s="1"/>
  <c r="V931" i="1"/>
  <c r="W931" i="1" s="1"/>
  <c r="V927" i="1"/>
  <c r="W927" i="1" s="1"/>
  <c r="V923" i="1"/>
  <c r="W923" i="1" s="1"/>
  <c r="V919" i="1"/>
  <c r="W919" i="1" s="1"/>
  <c r="V915" i="1"/>
  <c r="W915" i="1" s="1"/>
  <c r="V911" i="1"/>
  <c r="W911" i="1" s="1"/>
  <c r="V907" i="1"/>
  <c r="W907" i="1" s="1"/>
  <c r="V903" i="1"/>
  <c r="W903" i="1" s="1"/>
  <c r="V899" i="1"/>
  <c r="W899" i="1" s="1"/>
  <c r="V895" i="1"/>
  <c r="W895" i="1" s="1"/>
  <c r="V891" i="1"/>
  <c r="W891" i="1" s="1"/>
  <c r="V887" i="1"/>
  <c r="W887" i="1" s="1"/>
  <c r="V883" i="1"/>
  <c r="W883" i="1" s="1"/>
  <c r="V879" i="1"/>
  <c r="W879" i="1" s="1"/>
  <c r="V875" i="1"/>
  <c r="W875" i="1" s="1"/>
  <c r="V871" i="1"/>
  <c r="W871" i="1" s="1"/>
  <c r="V867" i="1"/>
  <c r="W867" i="1" s="1"/>
  <c r="V863" i="1"/>
  <c r="W863" i="1" s="1"/>
  <c r="V859" i="1"/>
  <c r="W859" i="1" s="1"/>
  <c r="V855" i="1"/>
  <c r="W855" i="1" s="1"/>
  <c r="V851" i="1"/>
  <c r="W851" i="1" s="1"/>
  <c r="V847" i="1"/>
  <c r="W847" i="1" s="1"/>
  <c r="V843" i="1"/>
  <c r="W843" i="1" s="1"/>
  <c r="V839" i="1"/>
  <c r="W839" i="1" s="1"/>
  <c r="V835" i="1"/>
  <c r="W835" i="1" s="1"/>
  <c r="V831" i="1"/>
  <c r="W831" i="1" s="1"/>
  <c r="V827" i="1"/>
  <c r="W827" i="1" s="1"/>
  <c r="V823" i="1"/>
  <c r="W823" i="1" s="1"/>
  <c r="V819" i="1"/>
  <c r="W819" i="1" s="1"/>
  <c r="V815" i="1"/>
  <c r="W815" i="1" s="1"/>
  <c r="V811" i="1"/>
  <c r="W811" i="1" s="1"/>
  <c r="V807" i="1"/>
  <c r="W807" i="1" s="1"/>
  <c r="V803" i="1"/>
  <c r="W803" i="1" s="1"/>
  <c r="V799" i="1"/>
  <c r="W799" i="1" s="1"/>
  <c r="V795" i="1"/>
  <c r="W795" i="1" s="1"/>
  <c r="V791" i="1"/>
  <c r="W791" i="1" s="1"/>
  <c r="V787" i="1"/>
  <c r="W787" i="1" s="1"/>
  <c r="V783" i="1"/>
  <c r="W783" i="1" s="1"/>
  <c r="V779" i="1"/>
  <c r="W779" i="1" s="1"/>
  <c r="V775" i="1"/>
  <c r="W775" i="1" s="1"/>
  <c r="V771" i="1"/>
  <c r="W771" i="1" s="1"/>
  <c r="V767" i="1"/>
  <c r="W767" i="1" s="1"/>
  <c r="V763" i="1"/>
  <c r="W763" i="1" s="1"/>
  <c r="V759" i="1"/>
  <c r="W759" i="1" s="1"/>
  <c r="V755" i="1"/>
  <c r="W755" i="1" s="1"/>
  <c r="V751" i="1"/>
  <c r="W751" i="1" s="1"/>
  <c r="V747" i="1"/>
  <c r="W747" i="1" s="1"/>
  <c r="V743" i="1"/>
  <c r="W743" i="1" s="1"/>
  <c r="V739" i="1"/>
  <c r="W739" i="1" s="1"/>
  <c r="V735" i="1"/>
  <c r="W735" i="1" s="1"/>
  <c r="V731" i="1"/>
  <c r="W731" i="1" s="1"/>
  <c r="V727" i="1"/>
  <c r="W727" i="1" s="1"/>
  <c r="V723" i="1"/>
  <c r="W723" i="1" s="1"/>
  <c r="V719" i="1"/>
  <c r="W719" i="1" s="1"/>
  <c r="V715" i="1"/>
  <c r="W715" i="1" s="1"/>
  <c r="V711" i="1"/>
  <c r="W711" i="1" s="1"/>
  <c r="V707" i="1"/>
  <c r="W707" i="1" s="1"/>
  <c r="V703" i="1"/>
  <c r="W703" i="1" s="1"/>
  <c r="V699" i="1"/>
  <c r="W699" i="1" s="1"/>
  <c r="V695" i="1"/>
  <c r="W695" i="1" s="1"/>
  <c r="V691" i="1"/>
  <c r="W691" i="1" s="1"/>
  <c r="V687" i="1"/>
  <c r="W687" i="1" s="1"/>
  <c r="V683" i="1"/>
  <c r="W683" i="1" s="1"/>
  <c r="V679" i="1"/>
  <c r="W679" i="1" s="1"/>
  <c r="V675" i="1"/>
  <c r="W675" i="1" s="1"/>
  <c r="V671" i="1"/>
  <c r="W671" i="1" s="1"/>
  <c r="V667" i="1"/>
  <c r="W667" i="1" s="1"/>
  <c r="V663" i="1"/>
  <c r="W663" i="1" s="1"/>
  <c r="V659" i="1"/>
  <c r="W659" i="1" s="1"/>
  <c r="V655" i="1"/>
  <c r="W655" i="1" s="1"/>
  <c r="V651" i="1"/>
  <c r="W651" i="1" s="1"/>
  <c r="V647" i="1"/>
  <c r="W647" i="1" s="1"/>
  <c r="V643" i="1"/>
  <c r="W643" i="1" s="1"/>
  <c r="V639" i="1"/>
  <c r="W639" i="1" s="1"/>
  <c r="V635" i="1"/>
  <c r="W635" i="1" s="1"/>
  <c r="V631" i="1"/>
  <c r="W631" i="1" s="1"/>
  <c r="V627" i="1"/>
  <c r="W627" i="1" s="1"/>
  <c r="V623" i="1"/>
  <c r="W623" i="1" s="1"/>
  <c r="V619" i="1"/>
  <c r="W619" i="1" s="1"/>
  <c r="V615" i="1"/>
  <c r="W615" i="1" s="1"/>
  <c r="V611" i="1"/>
  <c r="W611" i="1" s="1"/>
  <c r="V607" i="1"/>
  <c r="W607" i="1" s="1"/>
  <c r="V603" i="1"/>
  <c r="W603" i="1" s="1"/>
  <c r="V599" i="1"/>
  <c r="W599" i="1" s="1"/>
  <c r="V595" i="1"/>
  <c r="W595" i="1" s="1"/>
  <c r="V591" i="1"/>
  <c r="W591" i="1" s="1"/>
  <c r="V587" i="1"/>
  <c r="W587" i="1" s="1"/>
  <c r="V583" i="1"/>
  <c r="W583" i="1" s="1"/>
  <c r="V579" i="1"/>
  <c r="W579" i="1" s="1"/>
  <c r="V575" i="1"/>
  <c r="W575" i="1" s="1"/>
  <c r="V571" i="1"/>
  <c r="W571" i="1" s="1"/>
  <c r="V567" i="1"/>
  <c r="W567" i="1" s="1"/>
  <c r="V563" i="1"/>
  <c r="W563" i="1" s="1"/>
  <c r="V559" i="1"/>
  <c r="W559" i="1" s="1"/>
  <c r="V555" i="1"/>
  <c r="W555" i="1" s="1"/>
  <c r="V551" i="1"/>
  <c r="W551" i="1" s="1"/>
  <c r="V547" i="1"/>
  <c r="W547" i="1" s="1"/>
  <c r="V543" i="1"/>
  <c r="W543" i="1" s="1"/>
  <c r="V539" i="1"/>
  <c r="W539" i="1" s="1"/>
  <c r="V535" i="1"/>
  <c r="W535" i="1" s="1"/>
  <c r="V531" i="1"/>
  <c r="W531" i="1" s="1"/>
  <c r="V527" i="1"/>
  <c r="W527" i="1" s="1"/>
  <c r="V523" i="1"/>
  <c r="W523" i="1" s="1"/>
  <c r="V519" i="1"/>
  <c r="W519" i="1" s="1"/>
  <c r="V515" i="1"/>
  <c r="W515" i="1" s="1"/>
  <c r="V511" i="1"/>
  <c r="W511" i="1" s="1"/>
  <c r="V507" i="1"/>
  <c r="W507" i="1" s="1"/>
  <c r="V503" i="1"/>
  <c r="W503" i="1" s="1"/>
  <c r="V499" i="1"/>
  <c r="W499" i="1" s="1"/>
  <c r="V495" i="1"/>
  <c r="W495" i="1" s="1"/>
  <c r="V491" i="1"/>
  <c r="W491" i="1" s="1"/>
  <c r="V487" i="1"/>
  <c r="W487" i="1" s="1"/>
  <c r="V483" i="1"/>
  <c r="W483" i="1" s="1"/>
  <c r="V479" i="1"/>
  <c r="W479" i="1" s="1"/>
  <c r="V475" i="1"/>
  <c r="W475" i="1" s="1"/>
  <c r="V471" i="1"/>
  <c r="W471" i="1" s="1"/>
  <c r="V467" i="1"/>
  <c r="W467" i="1" s="1"/>
  <c r="V463" i="1"/>
  <c r="W463" i="1" s="1"/>
  <c r="V459" i="1"/>
  <c r="W459" i="1" s="1"/>
  <c r="V455" i="1"/>
  <c r="W455" i="1" s="1"/>
  <c r="V451" i="1"/>
  <c r="W451" i="1" s="1"/>
  <c r="V447" i="1"/>
  <c r="W447" i="1" s="1"/>
  <c r="V443" i="1"/>
  <c r="W443" i="1" s="1"/>
  <c r="V439" i="1"/>
  <c r="W439" i="1" s="1"/>
  <c r="V435" i="1"/>
  <c r="W435" i="1" s="1"/>
  <c r="V431" i="1"/>
  <c r="W431" i="1" s="1"/>
  <c r="V427" i="1"/>
  <c r="W427" i="1" s="1"/>
  <c r="V423" i="1"/>
  <c r="W423" i="1" s="1"/>
  <c r="V419" i="1"/>
  <c r="W419" i="1" s="1"/>
  <c r="V415" i="1"/>
  <c r="W415" i="1" s="1"/>
  <c r="V411" i="1"/>
  <c r="W411" i="1" s="1"/>
  <c r="V407" i="1"/>
  <c r="W407" i="1" s="1"/>
  <c r="V403" i="1"/>
  <c r="W403" i="1" s="1"/>
  <c r="V399" i="1"/>
  <c r="W399" i="1" s="1"/>
  <c r="V395" i="1"/>
  <c r="W395" i="1" s="1"/>
  <c r="V391" i="1"/>
  <c r="W391" i="1" s="1"/>
  <c r="V387" i="1"/>
  <c r="W387" i="1" s="1"/>
  <c r="V383" i="1"/>
  <c r="W383" i="1" s="1"/>
  <c r="V379" i="1"/>
  <c r="W379" i="1" s="1"/>
  <c r="V375" i="1"/>
  <c r="W375" i="1" s="1"/>
  <c r="V371" i="1"/>
  <c r="W371" i="1" s="1"/>
  <c r="V367" i="1"/>
  <c r="W367" i="1" s="1"/>
  <c r="V363" i="1"/>
  <c r="W363" i="1" s="1"/>
  <c r="V359" i="1"/>
  <c r="W359" i="1" s="1"/>
  <c r="V355" i="1"/>
  <c r="W355" i="1" s="1"/>
  <c r="V351" i="1"/>
  <c r="W351" i="1" s="1"/>
  <c r="V347" i="1"/>
  <c r="W347" i="1" s="1"/>
  <c r="V343" i="1"/>
  <c r="W343" i="1" s="1"/>
  <c r="V339" i="1"/>
  <c r="W339" i="1" s="1"/>
  <c r="V335" i="1"/>
  <c r="W335" i="1" s="1"/>
  <c r="V331" i="1"/>
  <c r="W331" i="1" s="1"/>
  <c r="V327" i="1"/>
  <c r="W327" i="1" s="1"/>
  <c r="V323" i="1"/>
  <c r="W323" i="1" s="1"/>
  <c r="V319" i="1"/>
  <c r="W319" i="1" s="1"/>
  <c r="V315" i="1"/>
  <c r="W315" i="1" s="1"/>
  <c r="V311" i="1"/>
  <c r="W311" i="1" s="1"/>
  <c r="V307" i="1"/>
  <c r="W307" i="1" s="1"/>
  <c r="V303" i="1"/>
  <c r="W303" i="1" s="1"/>
  <c r="V299" i="1"/>
  <c r="W299" i="1" s="1"/>
  <c r="V295" i="1"/>
  <c r="W295" i="1" s="1"/>
  <c r="V291" i="1"/>
  <c r="W291" i="1" s="1"/>
  <c r="V287" i="1"/>
  <c r="W287" i="1" s="1"/>
  <c r="V283" i="1"/>
  <c r="W283" i="1" s="1"/>
  <c r="V279" i="1"/>
  <c r="W279" i="1" s="1"/>
  <c r="V275" i="1"/>
  <c r="W275" i="1" s="1"/>
  <c r="V271" i="1"/>
  <c r="W271" i="1" s="1"/>
  <c r="V267" i="1"/>
  <c r="W267" i="1" s="1"/>
  <c r="V263" i="1"/>
  <c r="W263" i="1" s="1"/>
  <c r="V259" i="1"/>
  <c r="W259" i="1" s="1"/>
  <c r="V255" i="1"/>
  <c r="W255" i="1" s="1"/>
  <c r="V251" i="1"/>
  <c r="W251" i="1" s="1"/>
  <c r="V247" i="1"/>
  <c r="W247" i="1" s="1"/>
  <c r="V243" i="1"/>
  <c r="W243" i="1" s="1"/>
  <c r="V239" i="1"/>
  <c r="W239" i="1" s="1"/>
  <c r="V235" i="1"/>
  <c r="W235" i="1" s="1"/>
  <c r="V231" i="1"/>
  <c r="W231" i="1" s="1"/>
  <c r="V227" i="1"/>
  <c r="W227" i="1" s="1"/>
  <c r="V223" i="1"/>
  <c r="W223" i="1" s="1"/>
  <c r="V219" i="1"/>
  <c r="W219" i="1" s="1"/>
  <c r="V215" i="1"/>
  <c r="W215" i="1" s="1"/>
  <c r="V211" i="1"/>
  <c r="W211" i="1" s="1"/>
  <c r="V207" i="1"/>
  <c r="W207" i="1" s="1"/>
  <c r="V203" i="1"/>
  <c r="W203" i="1" s="1"/>
  <c r="V199" i="1"/>
  <c r="W199" i="1" s="1"/>
  <c r="V195" i="1"/>
  <c r="W195" i="1" s="1"/>
  <c r="V191" i="1"/>
  <c r="W191" i="1" s="1"/>
  <c r="V187" i="1"/>
  <c r="W187" i="1" s="1"/>
  <c r="V183" i="1"/>
  <c r="W183" i="1" s="1"/>
  <c r="V179" i="1"/>
  <c r="W179" i="1" s="1"/>
  <c r="V175" i="1"/>
  <c r="W175" i="1" s="1"/>
  <c r="V171" i="1"/>
  <c r="W171" i="1" s="1"/>
  <c r="V167" i="1"/>
  <c r="W167" i="1" s="1"/>
  <c r="V163" i="1"/>
  <c r="W163" i="1" s="1"/>
  <c r="V159" i="1"/>
  <c r="W159" i="1" s="1"/>
  <c r="V155" i="1"/>
  <c r="W155" i="1" s="1"/>
  <c r="V151" i="1"/>
  <c r="W151" i="1" s="1"/>
  <c r="V147" i="1"/>
  <c r="W147" i="1" s="1"/>
  <c r="V143" i="1"/>
  <c r="W143" i="1" s="1"/>
  <c r="V139" i="1"/>
  <c r="W139" i="1" s="1"/>
  <c r="V135" i="1"/>
  <c r="W135" i="1" s="1"/>
  <c r="V131" i="1"/>
  <c r="W131" i="1" s="1"/>
  <c r="V127" i="1"/>
  <c r="W127" i="1" s="1"/>
  <c r="V123" i="1"/>
  <c r="W123" i="1" s="1"/>
  <c r="V119" i="1"/>
  <c r="W119" i="1" s="1"/>
  <c r="V115" i="1"/>
  <c r="W115" i="1" s="1"/>
  <c r="V111" i="1"/>
  <c r="W111" i="1" s="1"/>
  <c r="V107" i="1"/>
  <c r="W107" i="1" s="1"/>
  <c r="V103" i="1"/>
  <c r="W103" i="1" s="1"/>
  <c r="V99" i="1"/>
  <c r="W99" i="1" s="1"/>
  <c r="V95" i="1"/>
  <c r="W95" i="1" s="1"/>
  <c r="V91" i="1"/>
  <c r="W91" i="1" s="1"/>
  <c r="V87" i="1"/>
  <c r="W87" i="1" s="1"/>
  <c r="V83" i="1"/>
  <c r="W83" i="1" s="1"/>
  <c r="V79" i="1"/>
  <c r="W79" i="1" s="1"/>
  <c r="V75" i="1"/>
  <c r="W75" i="1" s="1"/>
  <c r="V71" i="1"/>
  <c r="W71" i="1" s="1"/>
  <c r="V67" i="1"/>
  <c r="W67" i="1" s="1"/>
  <c r="V63" i="1"/>
  <c r="W63" i="1" s="1"/>
  <c r="V59" i="1"/>
  <c r="W59" i="1" s="1"/>
  <c r="V55" i="1"/>
  <c r="W55" i="1" s="1"/>
  <c r="V51" i="1"/>
  <c r="W51" i="1" s="1"/>
  <c r="V47" i="1"/>
  <c r="W47" i="1" s="1"/>
  <c r="V43" i="1"/>
  <c r="W43" i="1" s="1"/>
  <c r="V39" i="1"/>
  <c r="W39" i="1" s="1"/>
  <c r="V35" i="1"/>
  <c r="W35" i="1" s="1"/>
  <c r="V31" i="1"/>
  <c r="W31" i="1" s="1"/>
  <c r="V27" i="1"/>
  <c r="W27" i="1" s="1"/>
  <c r="V23" i="1"/>
  <c r="W23" i="1" s="1"/>
  <c r="V19" i="1"/>
  <c r="W19" i="1" s="1"/>
  <c r="V15" i="1"/>
  <c r="W15" i="1" s="1"/>
  <c r="V11" i="1"/>
  <c r="W11" i="1" s="1"/>
  <c r="V7" i="1"/>
  <c r="W7" i="1" s="1"/>
  <c r="V3" i="1"/>
  <c r="W3" i="1" s="1"/>
  <c r="Y1727" i="1"/>
  <c r="AU1727" i="1" s="1"/>
  <c r="Y1723" i="1"/>
  <c r="AU1723" i="1" s="1"/>
  <c r="Y1719" i="1"/>
  <c r="AU1719" i="1" s="1"/>
  <c r="Y1715" i="1"/>
  <c r="AU1715" i="1" s="1"/>
  <c r="Y1711" i="1"/>
  <c r="AU1711" i="1" s="1"/>
  <c r="Y1707" i="1"/>
  <c r="AU1707" i="1" s="1"/>
  <c r="Y1703" i="1"/>
  <c r="AU1703" i="1" s="1"/>
  <c r="Y1699" i="1"/>
  <c r="AU1699" i="1" s="1"/>
  <c r="Y1695" i="1"/>
  <c r="AU1695" i="1" s="1"/>
  <c r="Y1691" i="1"/>
  <c r="AU1691" i="1" s="1"/>
  <c r="Y1687" i="1"/>
  <c r="AU1687" i="1" s="1"/>
  <c r="Y1683" i="1"/>
  <c r="AU1683" i="1" s="1"/>
  <c r="Y1679" i="1"/>
  <c r="AU1679" i="1" s="1"/>
  <c r="Y1675" i="1"/>
  <c r="AU1675" i="1" s="1"/>
  <c r="Y1671" i="1"/>
  <c r="AU1671" i="1" s="1"/>
  <c r="Y1667" i="1"/>
  <c r="AU1667" i="1" s="1"/>
  <c r="Y1663" i="1"/>
  <c r="AU1663" i="1" s="1"/>
  <c r="Y1659" i="1"/>
  <c r="AU1659" i="1" s="1"/>
  <c r="Y1655" i="1"/>
  <c r="AU1655" i="1" s="1"/>
  <c r="Y1651" i="1"/>
  <c r="AU1651" i="1" s="1"/>
  <c r="Y1647" i="1"/>
  <c r="AU1647" i="1" s="1"/>
  <c r="Y1643" i="1"/>
  <c r="AU1643" i="1" s="1"/>
  <c r="Y1639" i="1"/>
  <c r="AU1639" i="1" s="1"/>
  <c r="Y1635" i="1"/>
  <c r="AU1635" i="1" s="1"/>
  <c r="Y1631" i="1"/>
  <c r="AU1631" i="1" s="1"/>
  <c r="Y1627" i="1"/>
  <c r="AU1627" i="1" s="1"/>
  <c r="Y1623" i="1"/>
  <c r="AU1623" i="1" s="1"/>
  <c r="Y1619" i="1"/>
  <c r="AU1619" i="1" s="1"/>
  <c r="Y1615" i="1"/>
  <c r="AU1615" i="1" s="1"/>
  <c r="Y1611" i="1"/>
  <c r="AU1611" i="1" s="1"/>
  <c r="Y1607" i="1"/>
  <c r="AU1607" i="1" s="1"/>
  <c r="Y1603" i="1"/>
  <c r="AU1603" i="1" s="1"/>
  <c r="Y1599" i="1"/>
  <c r="AU1599" i="1" s="1"/>
  <c r="Y1595" i="1"/>
  <c r="AU1595" i="1" s="1"/>
  <c r="Y1591" i="1"/>
  <c r="AU1591" i="1" s="1"/>
  <c r="Y1587" i="1"/>
  <c r="AU1587" i="1" s="1"/>
  <c r="Y1583" i="1"/>
  <c r="AU1583" i="1" s="1"/>
  <c r="Y1579" i="1"/>
  <c r="AU1579" i="1" s="1"/>
  <c r="Y1575" i="1"/>
  <c r="AU1575" i="1" s="1"/>
  <c r="Y1571" i="1"/>
  <c r="AU1571" i="1" s="1"/>
  <c r="Y1567" i="1"/>
  <c r="AU1567" i="1" s="1"/>
  <c r="Y1563" i="1"/>
  <c r="AU1563" i="1" s="1"/>
  <c r="Y1559" i="1"/>
  <c r="AU1559" i="1" s="1"/>
  <c r="Y1555" i="1"/>
  <c r="AU1555" i="1" s="1"/>
  <c r="Y1551" i="1"/>
  <c r="AU1551" i="1" s="1"/>
  <c r="Y1547" i="1"/>
  <c r="AU1547" i="1" s="1"/>
  <c r="Y1543" i="1"/>
  <c r="AU1543" i="1" s="1"/>
  <c r="Y1539" i="1"/>
  <c r="AU1539" i="1" s="1"/>
  <c r="Y1535" i="1"/>
  <c r="AU1535" i="1" s="1"/>
  <c r="Y1531" i="1"/>
  <c r="AU1531" i="1" s="1"/>
  <c r="Y1527" i="1"/>
  <c r="AU1527" i="1" s="1"/>
  <c r="Y1523" i="1"/>
  <c r="AU1523" i="1" s="1"/>
  <c r="Y1519" i="1"/>
  <c r="AU1519" i="1" s="1"/>
  <c r="Y1515" i="1"/>
  <c r="AU1515" i="1" s="1"/>
  <c r="Y1511" i="1"/>
  <c r="AU1511" i="1" s="1"/>
  <c r="Y1507" i="1"/>
  <c r="AU1507" i="1" s="1"/>
  <c r="Y1503" i="1"/>
  <c r="AU1503" i="1" s="1"/>
  <c r="Y1499" i="1"/>
  <c r="AU1499" i="1" s="1"/>
  <c r="Y1495" i="1"/>
  <c r="AU1495" i="1" s="1"/>
  <c r="Y1491" i="1"/>
  <c r="AU1491" i="1" s="1"/>
  <c r="Y1487" i="1"/>
  <c r="AU1487" i="1" s="1"/>
  <c r="Y1483" i="1"/>
  <c r="AU1483" i="1" s="1"/>
  <c r="Y1479" i="1"/>
  <c r="AU1479" i="1" s="1"/>
  <c r="Y1475" i="1"/>
  <c r="AU1475" i="1" s="1"/>
  <c r="Y1471" i="1"/>
  <c r="AU1471" i="1" s="1"/>
  <c r="Y1467" i="1"/>
  <c r="AU1467" i="1" s="1"/>
  <c r="Y1463" i="1"/>
  <c r="AU1463" i="1" s="1"/>
  <c r="Y1459" i="1"/>
  <c r="AU1459" i="1" s="1"/>
  <c r="Y1455" i="1"/>
  <c r="AU1455" i="1" s="1"/>
  <c r="Y1451" i="1"/>
  <c r="AU1451" i="1" s="1"/>
  <c r="Y1447" i="1"/>
  <c r="AU1447" i="1" s="1"/>
  <c r="Y1443" i="1"/>
  <c r="AU1443" i="1" s="1"/>
  <c r="Y1439" i="1"/>
  <c r="AU1439" i="1" s="1"/>
  <c r="Y1435" i="1"/>
  <c r="AU1435" i="1" s="1"/>
  <c r="Y1431" i="1"/>
  <c r="AU1431" i="1" s="1"/>
  <c r="Y1427" i="1"/>
  <c r="AU1427" i="1" s="1"/>
  <c r="Y1423" i="1"/>
  <c r="AU1423" i="1" s="1"/>
  <c r="Y1419" i="1"/>
  <c r="AU1419" i="1" s="1"/>
  <c r="Y1415" i="1"/>
  <c r="AU1415" i="1" s="1"/>
  <c r="Y1411" i="1"/>
  <c r="AU1411" i="1" s="1"/>
  <c r="Y1407" i="1"/>
  <c r="AU1407" i="1" s="1"/>
  <c r="Y1403" i="1"/>
  <c r="AU1403" i="1" s="1"/>
  <c r="Y1399" i="1"/>
  <c r="AU1399" i="1" s="1"/>
  <c r="Y1395" i="1"/>
  <c r="AU1395" i="1" s="1"/>
  <c r="Y1391" i="1"/>
  <c r="AU1391" i="1" s="1"/>
  <c r="Y1387" i="1"/>
  <c r="AU1387" i="1" s="1"/>
  <c r="Y1383" i="1"/>
  <c r="AU1383" i="1" s="1"/>
  <c r="Y1379" i="1"/>
  <c r="AU1379" i="1" s="1"/>
  <c r="Y1375" i="1"/>
  <c r="AU1375" i="1" s="1"/>
  <c r="Y1371" i="1"/>
  <c r="AU1371" i="1" s="1"/>
  <c r="Y1367" i="1"/>
  <c r="AU1367" i="1" s="1"/>
  <c r="Y1363" i="1"/>
  <c r="AU1363" i="1" s="1"/>
  <c r="Y1359" i="1"/>
  <c r="AU1359" i="1" s="1"/>
  <c r="Y1355" i="1"/>
  <c r="AU1355" i="1" s="1"/>
  <c r="Y1351" i="1"/>
  <c r="AU1351" i="1" s="1"/>
  <c r="Y1347" i="1"/>
  <c r="AU1347" i="1" s="1"/>
  <c r="Y1343" i="1"/>
  <c r="AU1343" i="1" s="1"/>
  <c r="Y1339" i="1"/>
  <c r="AU1339" i="1" s="1"/>
  <c r="Y1335" i="1"/>
  <c r="AU1335" i="1" s="1"/>
  <c r="Y1331" i="1"/>
  <c r="AU1331" i="1" s="1"/>
  <c r="Y1327" i="1"/>
  <c r="AU1327" i="1" s="1"/>
  <c r="Y1323" i="1"/>
  <c r="AU1323" i="1" s="1"/>
  <c r="Y1319" i="1"/>
  <c r="AU1319" i="1" s="1"/>
  <c r="Y1315" i="1"/>
  <c r="AU1315" i="1" s="1"/>
  <c r="Y1311" i="1"/>
  <c r="AU1311" i="1" s="1"/>
  <c r="Y1307" i="1"/>
  <c r="AU1307" i="1" s="1"/>
  <c r="Y1303" i="1"/>
  <c r="AU1303" i="1" s="1"/>
  <c r="Y1299" i="1"/>
  <c r="AU1299" i="1" s="1"/>
  <c r="Y1295" i="1"/>
  <c r="AU1295" i="1" s="1"/>
  <c r="Y1291" i="1"/>
  <c r="AU1291" i="1" s="1"/>
  <c r="Y1287" i="1"/>
  <c r="AU1287" i="1" s="1"/>
  <c r="Y1283" i="1"/>
  <c r="AU1283" i="1" s="1"/>
  <c r="Y1279" i="1"/>
  <c r="AU1279" i="1" s="1"/>
  <c r="Y1275" i="1"/>
  <c r="AU1275" i="1" s="1"/>
  <c r="Y1271" i="1"/>
  <c r="AU1271" i="1" s="1"/>
  <c r="Y1267" i="1"/>
  <c r="AU1267" i="1" s="1"/>
  <c r="Y1263" i="1"/>
  <c r="AU1263" i="1" s="1"/>
  <c r="Y1259" i="1"/>
  <c r="AU1259" i="1" s="1"/>
  <c r="Y1255" i="1"/>
  <c r="AU1255" i="1" s="1"/>
  <c r="Y1251" i="1"/>
  <c r="AU1251" i="1" s="1"/>
  <c r="Y1247" i="1"/>
  <c r="AU1247" i="1" s="1"/>
  <c r="Y1243" i="1"/>
  <c r="AU1243" i="1" s="1"/>
  <c r="Y1239" i="1"/>
  <c r="AU1239" i="1" s="1"/>
  <c r="Y1235" i="1"/>
  <c r="AU1235" i="1" s="1"/>
  <c r="Y1231" i="1"/>
  <c r="AU1231" i="1" s="1"/>
  <c r="Y1227" i="1"/>
  <c r="AU1227" i="1" s="1"/>
  <c r="Y1223" i="1"/>
  <c r="AU1223" i="1" s="1"/>
  <c r="Y1219" i="1"/>
  <c r="AU1219" i="1" s="1"/>
  <c r="Y1215" i="1"/>
  <c r="AU1215" i="1" s="1"/>
  <c r="Y1211" i="1"/>
  <c r="AU1211" i="1" s="1"/>
  <c r="Y1207" i="1"/>
  <c r="AU1207" i="1" s="1"/>
  <c r="Y1203" i="1"/>
  <c r="AU1203" i="1" s="1"/>
  <c r="Y1199" i="1"/>
  <c r="AU1199" i="1" s="1"/>
  <c r="Y1195" i="1"/>
  <c r="AU1195" i="1" s="1"/>
  <c r="Y1191" i="1"/>
  <c r="AU1191" i="1" s="1"/>
  <c r="Y1187" i="1"/>
  <c r="AU1187" i="1" s="1"/>
  <c r="Y1183" i="1"/>
  <c r="AU1183" i="1" s="1"/>
  <c r="Y1179" i="1"/>
  <c r="AU1179" i="1" s="1"/>
  <c r="Y1175" i="1"/>
  <c r="AU1175" i="1" s="1"/>
  <c r="Y1171" i="1"/>
  <c r="AU1171" i="1" s="1"/>
  <c r="Y1167" i="1"/>
  <c r="AU1167" i="1" s="1"/>
  <c r="Y1163" i="1"/>
  <c r="AU1163" i="1" s="1"/>
  <c r="Y1159" i="1"/>
  <c r="AU1159" i="1" s="1"/>
  <c r="Y1155" i="1"/>
  <c r="AU1155" i="1" s="1"/>
  <c r="Y1151" i="1"/>
  <c r="AU1151" i="1" s="1"/>
  <c r="Y1147" i="1"/>
  <c r="AU1147" i="1" s="1"/>
  <c r="Y1143" i="1"/>
  <c r="AU1143" i="1" s="1"/>
  <c r="Y1139" i="1"/>
  <c r="AU1139" i="1" s="1"/>
  <c r="Y1135" i="1"/>
  <c r="AU1135" i="1" s="1"/>
  <c r="Y1131" i="1"/>
  <c r="AU1131" i="1" s="1"/>
  <c r="Y1127" i="1"/>
  <c r="AU1127" i="1" s="1"/>
  <c r="Y1123" i="1"/>
  <c r="AU1123" i="1" s="1"/>
  <c r="Y1119" i="1"/>
  <c r="AU1119" i="1" s="1"/>
  <c r="Y1115" i="1"/>
  <c r="AU1115" i="1" s="1"/>
  <c r="Y1111" i="1"/>
  <c r="AU1111" i="1" s="1"/>
  <c r="Y1107" i="1"/>
  <c r="AU1107" i="1" s="1"/>
  <c r="Y1103" i="1"/>
  <c r="AU1103" i="1" s="1"/>
  <c r="Y1099" i="1"/>
  <c r="AU1099" i="1" s="1"/>
  <c r="Y1095" i="1"/>
  <c r="AU1095" i="1" s="1"/>
  <c r="Y1091" i="1"/>
  <c r="AU1091" i="1" s="1"/>
  <c r="Y1087" i="1"/>
  <c r="AU1087" i="1" s="1"/>
  <c r="Y1083" i="1"/>
  <c r="AU1083" i="1" s="1"/>
  <c r="Y1079" i="1"/>
  <c r="AU1079" i="1" s="1"/>
  <c r="Y1075" i="1"/>
  <c r="AU1075" i="1" s="1"/>
  <c r="Y1071" i="1"/>
  <c r="AU1071" i="1" s="1"/>
  <c r="Y1067" i="1"/>
  <c r="AU1067" i="1" s="1"/>
  <c r="Y1063" i="1"/>
  <c r="AU1063" i="1" s="1"/>
  <c r="Y1059" i="1"/>
  <c r="AU1059" i="1" s="1"/>
  <c r="Y1055" i="1"/>
  <c r="AU1055" i="1" s="1"/>
  <c r="Y1051" i="1"/>
  <c r="AU1051" i="1" s="1"/>
  <c r="Y1047" i="1"/>
  <c r="AU1047" i="1" s="1"/>
  <c r="Y1043" i="1"/>
  <c r="AU1043" i="1" s="1"/>
  <c r="Y1039" i="1"/>
  <c r="AU1039" i="1" s="1"/>
  <c r="Y1035" i="1"/>
  <c r="AU1035" i="1" s="1"/>
  <c r="Y1031" i="1"/>
  <c r="AU1031" i="1" s="1"/>
  <c r="Y1027" i="1"/>
  <c r="AU1027" i="1" s="1"/>
  <c r="Y1023" i="1"/>
  <c r="AU1023" i="1" s="1"/>
  <c r="Y1019" i="1"/>
  <c r="AU1019" i="1" s="1"/>
  <c r="Y1015" i="1"/>
  <c r="AU1015" i="1" s="1"/>
  <c r="Y1011" i="1"/>
  <c r="AU1011" i="1" s="1"/>
  <c r="Y1007" i="1"/>
  <c r="AU1007" i="1" s="1"/>
  <c r="Y1003" i="1"/>
  <c r="AU1003" i="1" s="1"/>
  <c r="Y999" i="1"/>
  <c r="AU999" i="1" s="1"/>
  <c r="Y995" i="1"/>
  <c r="AU995" i="1" s="1"/>
  <c r="Y991" i="1"/>
  <c r="AU991" i="1" s="1"/>
  <c r="Y987" i="1"/>
  <c r="AU987" i="1" s="1"/>
  <c r="Y983" i="1"/>
  <c r="AU983" i="1" s="1"/>
  <c r="Y979" i="1"/>
  <c r="AU979" i="1" s="1"/>
  <c r="Y975" i="1"/>
  <c r="AU975" i="1" s="1"/>
  <c r="Y971" i="1"/>
  <c r="AU971" i="1" s="1"/>
  <c r="Y967" i="1"/>
  <c r="AU967" i="1" s="1"/>
  <c r="Y963" i="1"/>
  <c r="AU963" i="1" s="1"/>
  <c r="Y959" i="1"/>
  <c r="AU959" i="1" s="1"/>
  <c r="Y955" i="1"/>
  <c r="AU955" i="1" s="1"/>
  <c r="Y951" i="1"/>
  <c r="AU951" i="1" s="1"/>
  <c r="Y947" i="1"/>
  <c r="AU947" i="1" s="1"/>
  <c r="Y943" i="1"/>
  <c r="AU943" i="1" s="1"/>
  <c r="Y939" i="1"/>
  <c r="AU939" i="1" s="1"/>
  <c r="Y935" i="1"/>
  <c r="AU935" i="1" s="1"/>
  <c r="Y931" i="1"/>
  <c r="AU931" i="1" s="1"/>
  <c r="Y927" i="1"/>
  <c r="AU927" i="1" s="1"/>
  <c r="Y923" i="1"/>
  <c r="AU923" i="1" s="1"/>
  <c r="Y919" i="1"/>
  <c r="AU919" i="1" s="1"/>
  <c r="Y915" i="1"/>
  <c r="AU915" i="1" s="1"/>
  <c r="Y911" i="1"/>
  <c r="AU911" i="1" s="1"/>
  <c r="Y907" i="1"/>
  <c r="AU907" i="1" s="1"/>
  <c r="Y903" i="1"/>
  <c r="AU903" i="1" s="1"/>
  <c r="Y899" i="1"/>
  <c r="AU899" i="1" s="1"/>
  <c r="Y895" i="1"/>
  <c r="AU895" i="1" s="1"/>
  <c r="Y891" i="1"/>
  <c r="AU891" i="1" s="1"/>
  <c r="Y887" i="1"/>
  <c r="AU887" i="1" s="1"/>
  <c r="Y883" i="1"/>
  <c r="AU883" i="1" s="1"/>
  <c r="Y879" i="1"/>
  <c r="AU879" i="1" s="1"/>
  <c r="Y875" i="1"/>
  <c r="AU875" i="1" s="1"/>
  <c r="Y871" i="1"/>
  <c r="AU871" i="1" s="1"/>
  <c r="Y867" i="1"/>
  <c r="AU867" i="1" s="1"/>
  <c r="Y863" i="1"/>
  <c r="AU863" i="1" s="1"/>
  <c r="Y859" i="1"/>
  <c r="AU859" i="1" s="1"/>
  <c r="Y855" i="1"/>
  <c r="AU855" i="1" s="1"/>
  <c r="Y851" i="1"/>
  <c r="AU851" i="1" s="1"/>
  <c r="Y847" i="1"/>
  <c r="AU847" i="1" s="1"/>
  <c r="Y843" i="1"/>
  <c r="AU843" i="1" s="1"/>
  <c r="Y839" i="1"/>
  <c r="AU839" i="1" s="1"/>
  <c r="Y835" i="1"/>
  <c r="AU835" i="1" s="1"/>
  <c r="Y831" i="1"/>
  <c r="AU831" i="1" s="1"/>
  <c r="Y827" i="1"/>
  <c r="AU827" i="1" s="1"/>
  <c r="Y823" i="1"/>
  <c r="AU823" i="1" s="1"/>
  <c r="Y819" i="1"/>
  <c r="AU819" i="1" s="1"/>
  <c r="Y815" i="1"/>
  <c r="AU815" i="1" s="1"/>
  <c r="Y811" i="1"/>
  <c r="AU811" i="1" s="1"/>
  <c r="Y807" i="1"/>
  <c r="AU807" i="1" s="1"/>
  <c r="Y803" i="1"/>
  <c r="AU803" i="1" s="1"/>
  <c r="Y799" i="1"/>
  <c r="AU799" i="1" s="1"/>
  <c r="Y795" i="1"/>
  <c r="AU795" i="1" s="1"/>
  <c r="Y791" i="1"/>
  <c r="AU791" i="1" s="1"/>
  <c r="Y787" i="1"/>
  <c r="AU787" i="1" s="1"/>
  <c r="Y783" i="1"/>
  <c r="AU783" i="1" s="1"/>
  <c r="Y779" i="1"/>
  <c r="AU779" i="1" s="1"/>
  <c r="Y775" i="1"/>
  <c r="AU775" i="1" s="1"/>
  <c r="Y771" i="1"/>
  <c r="AU771" i="1" s="1"/>
  <c r="Y767" i="1"/>
  <c r="AU767" i="1" s="1"/>
  <c r="Y763" i="1"/>
  <c r="AU763" i="1" s="1"/>
  <c r="Y759" i="1"/>
  <c r="AU759" i="1" s="1"/>
  <c r="Y755" i="1"/>
  <c r="AU755" i="1" s="1"/>
  <c r="Y751" i="1"/>
  <c r="AU751" i="1" s="1"/>
  <c r="Y747" i="1"/>
  <c r="AU747" i="1" s="1"/>
  <c r="Y743" i="1"/>
  <c r="AU743" i="1" s="1"/>
  <c r="Y739" i="1"/>
  <c r="AU739" i="1" s="1"/>
  <c r="Y735" i="1"/>
  <c r="AU735" i="1" s="1"/>
  <c r="Y731" i="1"/>
  <c r="AU731" i="1" s="1"/>
  <c r="Y727" i="1"/>
  <c r="AU727" i="1" s="1"/>
  <c r="Y723" i="1"/>
  <c r="AU723" i="1" s="1"/>
  <c r="Y719" i="1"/>
  <c r="AU719" i="1" s="1"/>
  <c r="Y715" i="1"/>
  <c r="AU715" i="1" s="1"/>
  <c r="Y711" i="1"/>
  <c r="AU711" i="1" s="1"/>
  <c r="Y707" i="1"/>
  <c r="AU707" i="1" s="1"/>
  <c r="Y703" i="1"/>
  <c r="AU703" i="1" s="1"/>
  <c r="Y699" i="1"/>
  <c r="AU699" i="1" s="1"/>
  <c r="Y695" i="1"/>
  <c r="AU695" i="1" s="1"/>
  <c r="Y691" i="1"/>
  <c r="AU691" i="1" s="1"/>
  <c r="Y687" i="1"/>
  <c r="AU687" i="1" s="1"/>
  <c r="Y683" i="1"/>
  <c r="AU683" i="1" s="1"/>
  <c r="Y679" i="1"/>
  <c r="AU679" i="1" s="1"/>
  <c r="Y675" i="1"/>
  <c r="AU675" i="1" s="1"/>
  <c r="Y671" i="1"/>
  <c r="AU671" i="1" s="1"/>
  <c r="Y667" i="1"/>
  <c r="AU667" i="1" s="1"/>
  <c r="Y663" i="1"/>
  <c r="AU663" i="1" s="1"/>
  <c r="Y659" i="1"/>
  <c r="AU659" i="1" s="1"/>
  <c r="Y655" i="1"/>
  <c r="AU655" i="1" s="1"/>
  <c r="Y651" i="1"/>
  <c r="AU651" i="1" s="1"/>
  <c r="Y647" i="1"/>
  <c r="AU647" i="1" s="1"/>
  <c r="Y643" i="1"/>
  <c r="AU643" i="1" s="1"/>
  <c r="Y639" i="1"/>
  <c r="AU639" i="1" s="1"/>
  <c r="Y635" i="1"/>
  <c r="AU635" i="1" s="1"/>
  <c r="Y631" i="1"/>
  <c r="AU631" i="1" s="1"/>
  <c r="Y627" i="1"/>
  <c r="AU627" i="1" s="1"/>
  <c r="Y623" i="1"/>
  <c r="AU623" i="1" s="1"/>
  <c r="Y619" i="1"/>
  <c r="AU619" i="1" s="1"/>
  <c r="Y615" i="1"/>
  <c r="AU615" i="1" s="1"/>
  <c r="Y611" i="1"/>
  <c r="AU611" i="1" s="1"/>
  <c r="Y607" i="1"/>
  <c r="AU607" i="1" s="1"/>
  <c r="Y603" i="1"/>
  <c r="AU603" i="1" s="1"/>
  <c r="Y599" i="1"/>
  <c r="AU599" i="1" s="1"/>
  <c r="Y595" i="1"/>
  <c r="AU595" i="1" s="1"/>
  <c r="Y591" i="1"/>
  <c r="AU591" i="1" s="1"/>
  <c r="Y587" i="1"/>
  <c r="AU587" i="1" s="1"/>
  <c r="Y583" i="1"/>
  <c r="AU583" i="1" s="1"/>
  <c r="Y579" i="1"/>
  <c r="AU579" i="1" s="1"/>
  <c r="Y575" i="1"/>
  <c r="AU575" i="1" s="1"/>
  <c r="Y571" i="1"/>
  <c r="AU571" i="1" s="1"/>
  <c r="Y567" i="1"/>
  <c r="AU567" i="1" s="1"/>
  <c r="Y563" i="1"/>
  <c r="AU563" i="1" s="1"/>
  <c r="Y559" i="1"/>
  <c r="AU559" i="1" s="1"/>
  <c r="Y555" i="1"/>
  <c r="AU555" i="1" s="1"/>
  <c r="Y551" i="1"/>
  <c r="AU551" i="1" s="1"/>
  <c r="Y547" i="1"/>
  <c r="AU547" i="1" s="1"/>
  <c r="Y543" i="1"/>
  <c r="AU543" i="1" s="1"/>
  <c r="Y539" i="1"/>
  <c r="AU539" i="1" s="1"/>
  <c r="Y535" i="1"/>
  <c r="AU535" i="1" s="1"/>
  <c r="Y531" i="1"/>
  <c r="AU531" i="1" s="1"/>
  <c r="Y527" i="1"/>
  <c r="AU527" i="1" s="1"/>
  <c r="Y523" i="1"/>
  <c r="AU523" i="1" s="1"/>
  <c r="Y519" i="1"/>
  <c r="AU519" i="1" s="1"/>
  <c r="Y515" i="1"/>
  <c r="AU515" i="1" s="1"/>
  <c r="Y511" i="1"/>
  <c r="AU511" i="1" s="1"/>
  <c r="Y507" i="1"/>
  <c r="AU507" i="1" s="1"/>
  <c r="Y503" i="1"/>
  <c r="AU503" i="1" s="1"/>
  <c r="Y499" i="1"/>
  <c r="AU499" i="1" s="1"/>
  <c r="Y495" i="1"/>
  <c r="AU495" i="1" s="1"/>
  <c r="Y491" i="1"/>
  <c r="AU491" i="1" s="1"/>
  <c r="Y487" i="1"/>
  <c r="AU487" i="1" s="1"/>
  <c r="Y483" i="1"/>
  <c r="AU483" i="1" s="1"/>
  <c r="Y479" i="1"/>
  <c r="AU479" i="1" s="1"/>
  <c r="Y475" i="1"/>
  <c r="AU475" i="1" s="1"/>
  <c r="Y471" i="1"/>
  <c r="AU471" i="1" s="1"/>
  <c r="Y467" i="1"/>
  <c r="AU467" i="1" s="1"/>
  <c r="Y463" i="1"/>
  <c r="AU463" i="1" s="1"/>
  <c r="Y459" i="1"/>
  <c r="AU459" i="1" s="1"/>
  <c r="Y455" i="1"/>
  <c r="AU455" i="1" s="1"/>
  <c r="Y451" i="1"/>
  <c r="AU451" i="1" s="1"/>
  <c r="Y447" i="1"/>
  <c r="AU447" i="1" s="1"/>
  <c r="Y443" i="1"/>
  <c r="AU443" i="1" s="1"/>
  <c r="Y439" i="1"/>
  <c r="AU439" i="1" s="1"/>
  <c r="Y435" i="1"/>
  <c r="AU435" i="1" s="1"/>
  <c r="Y431" i="1"/>
  <c r="AU431" i="1" s="1"/>
  <c r="Y427" i="1"/>
  <c r="AU427" i="1" s="1"/>
  <c r="Y423" i="1"/>
  <c r="AU423" i="1" s="1"/>
  <c r="Y419" i="1"/>
  <c r="AU419" i="1" s="1"/>
  <c r="Y415" i="1"/>
  <c r="AU415" i="1" s="1"/>
  <c r="Y411" i="1"/>
  <c r="AU411" i="1" s="1"/>
  <c r="Y407" i="1"/>
  <c r="AU407" i="1" s="1"/>
  <c r="Y403" i="1"/>
  <c r="AU403" i="1" s="1"/>
  <c r="Y399" i="1"/>
  <c r="AU399" i="1" s="1"/>
  <c r="Y395" i="1"/>
  <c r="AU395" i="1" s="1"/>
  <c r="Y391" i="1"/>
  <c r="AU391" i="1" s="1"/>
  <c r="Y387" i="1"/>
  <c r="AU387" i="1" s="1"/>
  <c r="Y383" i="1"/>
  <c r="AU383" i="1" s="1"/>
  <c r="Y379" i="1"/>
  <c r="AU379" i="1" s="1"/>
  <c r="Y375" i="1"/>
  <c r="AU375" i="1" s="1"/>
  <c r="Y371" i="1"/>
  <c r="AU371" i="1" s="1"/>
  <c r="Y367" i="1"/>
  <c r="AU367" i="1" s="1"/>
  <c r="Y363" i="1"/>
  <c r="AU363" i="1" s="1"/>
  <c r="Y359" i="1"/>
  <c r="AU359" i="1" s="1"/>
  <c r="Y355" i="1"/>
  <c r="AU355" i="1" s="1"/>
  <c r="Y351" i="1"/>
  <c r="AU351" i="1" s="1"/>
  <c r="Y347" i="1"/>
  <c r="AU347" i="1" s="1"/>
  <c r="Y343" i="1"/>
  <c r="AU343" i="1" s="1"/>
  <c r="Y339" i="1"/>
  <c r="AU339" i="1" s="1"/>
  <c r="Y335" i="1"/>
  <c r="AU335" i="1" s="1"/>
  <c r="Y331" i="1"/>
  <c r="AU331" i="1" s="1"/>
  <c r="Y327" i="1"/>
  <c r="AU327" i="1" s="1"/>
  <c r="Y323" i="1"/>
  <c r="AU323" i="1" s="1"/>
  <c r="Y319" i="1"/>
  <c r="AU319" i="1" s="1"/>
  <c r="Y315" i="1"/>
  <c r="AU315" i="1" s="1"/>
  <c r="Y311" i="1"/>
  <c r="AU311" i="1" s="1"/>
  <c r="Y307" i="1"/>
  <c r="AU307" i="1" s="1"/>
  <c r="Y303" i="1"/>
  <c r="AU303" i="1" s="1"/>
  <c r="Y299" i="1"/>
  <c r="AU299" i="1" s="1"/>
  <c r="Y295" i="1"/>
  <c r="AU295" i="1" s="1"/>
  <c r="Y291" i="1"/>
  <c r="AU291" i="1" s="1"/>
  <c r="Y287" i="1"/>
  <c r="AU287" i="1" s="1"/>
  <c r="Y283" i="1"/>
  <c r="AU283" i="1" s="1"/>
  <c r="Y279" i="1"/>
  <c r="AU279" i="1" s="1"/>
  <c r="Y275" i="1"/>
  <c r="AU275" i="1" s="1"/>
  <c r="Y271" i="1"/>
  <c r="AU271" i="1" s="1"/>
  <c r="Y267" i="1"/>
  <c r="AU267" i="1" s="1"/>
  <c r="Y263" i="1"/>
  <c r="AU263" i="1" s="1"/>
  <c r="Y259" i="1"/>
  <c r="AU259" i="1" s="1"/>
  <c r="Y255" i="1"/>
  <c r="AU255" i="1" s="1"/>
  <c r="Y251" i="1"/>
  <c r="AU251" i="1" s="1"/>
  <c r="Y247" i="1"/>
  <c r="AU247" i="1" s="1"/>
  <c r="Y243" i="1"/>
  <c r="AU243" i="1" s="1"/>
  <c r="Y239" i="1"/>
  <c r="AU239" i="1" s="1"/>
  <c r="Y235" i="1"/>
  <c r="AU235" i="1" s="1"/>
  <c r="Y231" i="1"/>
  <c r="AU231" i="1" s="1"/>
  <c r="Y227" i="1"/>
  <c r="AU227" i="1" s="1"/>
  <c r="Y223" i="1"/>
  <c r="AU223" i="1" s="1"/>
  <c r="Y219" i="1"/>
  <c r="AU219" i="1" s="1"/>
  <c r="Y215" i="1"/>
  <c r="AU215" i="1" s="1"/>
  <c r="Y211" i="1"/>
  <c r="AU211" i="1" s="1"/>
  <c r="Y207" i="1"/>
  <c r="AU207" i="1" s="1"/>
  <c r="Y203" i="1"/>
  <c r="AU203" i="1" s="1"/>
  <c r="Y199" i="1"/>
  <c r="AU199" i="1" s="1"/>
  <c r="Y195" i="1"/>
  <c r="AU195" i="1" s="1"/>
  <c r="Y191" i="1"/>
  <c r="AU191" i="1" s="1"/>
  <c r="Y187" i="1"/>
  <c r="AU187" i="1" s="1"/>
  <c r="Y183" i="1"/>
  <c r="AU183" i="1" s="1"/>
  <c r="Y179" i="1"/>
  <c r="AU179" i="1" s="1"/>
  <c r="Y175" i="1"/>
  <c r="AU175" i="1" s="1"/>
  <c r="Y171" i="1"/>
  <c r="AU171" i="1" s="1"/>
  <c r="Y167" i="1"/>
  <c r="AU167" i="1" s="1"/>
  <c r="Y163" i="1"/>
  <c r="AU163" i="1" s="1"/>
  <c r="Y159" i="1"/>
  <c r="AU159" i="1" s="1"/>
  <c r="Y155" i="1"/>
  <c r="AU155" i="1" s="1"/>
  <c r="Y151" i="1"/>
  <c r="AU151" i="1" s="1"/>
  <c r="Y147" i="1"/>
  <c r="AU147" i="1" s="1"/>
  <c r="Y143" i="1"/>
  <c r="AU143" i="1" s="1"/>
  <c r="Y139" i="1"/>
  <c r="AU139" i="1" s="1"/>
  <c r="Y135" i="1"/>
  <c r="AU135" i="1" s="1"/>
  <c r="Y131" i="1"/>
  <c r="AU131" i="1" s="1"/>
  <c r="Y127" i="1"/>
  <c r="AU127" i="1" s="1"/>
  <c r="Y123" i="1"/>
  <c r="AU123" i="1" s="1"/>
  <c r="Y119" i="1"/>
  <c r="AU119" i="1" s="1"/>
  <c r="Y115" i="1"/>
  <c r="AU115" i="1" s="1"/>
  <c r="Y111" i="1"/>
  <c r="AU111" i="1" s="1"/>
  <c r="Y107" i="1"/>
  <c r="AU107" i="1" s="1"/>
  <c r="Y103" i="1"/>
  <c r="AU103" i="1" s="1"/>
  <c r="Y99" i="1"/>
  <c r="AU99" i="1" s="1"/>
  <c r="Y95" i="1"/>
  <c r="AU95" i="1" s="1"/>
  <c r="Y91" i="1"/>
  <c r="AU91" i="1" s="1"/>
  <c r="Y87" i="1"/>
  <c r="AU87" i="1" s="1"/>
  <c r="Y83" i="1"/>
  <c r="AU83" i="1" s="1"/>
  <c r="Y79" i="1"/>
  <c r="AU79" i="1" s="1"/>
  <c r="Y75" i="1"/>
  <c r="AU75" i="1" s="1"/>
  <c r="Y71" i="1"/>
  <c r="AU71" i="1" s="1"/>
  <c r="Y67" i="1"/>
  <c r="AU67" i="1" s="1"/>
  <c r="Y63" i="1"/>
  <c r="AU63" i="1" s="1"/>
  <c r="Y59" i="1"/>
  <c r="AU59" i="1" s="1"/>
  <c r="Y55" i="1"/>
  <c r="AU55" i="1" s="1"/>
  <c r="Y51" i="1"/>
  <c r="AU51" i="1" s="1"/>
  <c r="Y47" i="1"/>
  <c r="AU47" i="1" s="1"/>
  <c r="Y43" i="1"/>
  <c r="AU43" i="1" s="1"/>
  <c r="Y39" i="1"/>
  <c r="AU39" i="1" s="1"/>
  <c r="Y35" i="1"/>
  <c r="AU35" i="1" s="1"/>
  <c r="Y31" i="1"/>
  <c r="AU31" i="1" s="1"/>
  <c r="Y27" i="1"/>
  <c r="AU27" i="1" s="1"/>
  <c r="Y23" i="1"/>
  <c r="AU23" i="1" s="1"/>
  <c r="Y19" i="1"/>
  <c r="AU19" i="1" s="1"/>
  <c r="Y15" i="1"/>
  <c r="AU15" i="1" s="1"/>
  <c r="Y11" i="1"/>
  <c r="AU11" i="1" s="1"/>
  <c r="Y7" i="1"/>
  <c r="AU7" i="1" s="1"/>
  <c r="Y3" i="1"/>
  <c r="AU3" i="1" s="1"/>
  <c r="BA1703" i="1"/>
  <c r="AZ1703" i="1"/>
  <c r="BE1699" i="1"/>
  <c r="AZ1699" i="1"/>
  <c r="BA1679" i="1"/>
  <c r="BA1663" i="1"/>
  <c r="BA1651" i="1"/>
  <c r="AZ1651" i="1"/>
  <c r="BA1639" i="1"/>
  <c r="BA1635" i="1"/>
  <c r="BA1631" i="1"/>
  <c r="AZ1631" i="1"/>
  <c r="BA1615" i="1"/>
  <c r="BA1603" i="1"/>
  <c r="AZ1603" i="1"/>
  <c r="BA1599" i="1"/>
  <c r="BA1591" i="1"/>
  <c r="BE1575" i="1"/>
  <c r="BA1575" i="1"/>
  <c r="AZ1575" i="1"/>
  <c r="BA1571" i="1"/>
  <c r="BA1567" i="1"/>
  <c r="BE1559" i="1"/>
  <c r="BA1559" i="1"/>
  <c r="AZ1559" i="1"/>
  <c r="AZ1551" i="1"/>
  <c r="BA1547" i="1"/>
  <c r="BA1535" i="1"/>
  <c r="BA1527" i="1"/>
  <c r="BE1523" i="1"/>
  <c r="BA1523" i="1"/>
  <c r="AZ1523" i="1"/>
  <c r="AZ1519" i="1"/>
  <c r="AZ1515" i="1"/>
  <c r="BE1511" i="1"/>
  <c r="AZ1511" i="1"/>
  <c r="BA1503" i="1"/>
  <c r="BA1499" i="1"/>
  <c r="BA1495" i="1"/>
  <c r="BA1491" i="1"/>
  <c r="AZ1491" i="1"/>
  <c r="BA1483" i="1"/>
  <c r="AZ1471" i="1"/>
  <c r="BA1467" i="1"/>
  <c r="BA1463" i="1"/>
  <c r="AZ1463" i="1"/>
  <c r="AZ1459" i="1"/>
  <c r="AZ1455" i="1"/>
  <c r="BA1447" i="1"/>
  <c r="BA1431" i="1"/>
  <c r="BA1427" i="1"/>
  <c r="AZ1427" i="1"/>
  <c r="BA1415" i="1"/>
  <c r="AZ1415" i="1"/>
  <c r="AZ1411" i="1"/>
  <c r="BE1407" i="1"/>
  <c r="AZ1407" i="1"/>
  <c r="BA1403" i="1"/>
  <c r="BA1399" i="1"/>
  <c r="AZ1383" i="1"/>
  <c r="BA1379" i="1"/>
  <c r="BE1375" i="1"/>
  <c r="BA1375" i="1"/>
  <c r="AZ1375" i="1"/>
  <c r="BA1371" i="1"/>
  <c r="BA1335" i="1"/>
  <c r="BA1331" i="1"/>
  <c r="BA1327" i="1"/>
  <c r="AZ1327" i="1"/>
  <c r="BA1323" i="1"/>
  <c r="BA1315" i="1"/>
  <c r="BA1311" i="1"/>
  <c r="BA1303" i="1"/>
  <c r="BA1299" i="1"/>
  <c r="BA1291" i="1"/>
  <c r="BA1283" i="1"/>
  <c r="BA1279" i="1"/>
  <c r="BA1275" i="1"/>
  <c r="AZ1275" i="1"/>
  <c r="BA1271" i="1"/>
  <c r="AZ1271" i="1"/>
  <c r="BA1259" i="1"/>
  <c r="BA1223" i="1"/>
  <c r="BA1215" i="1"/>
  <c r="BA1211" i="1"/>
  <c r="AZ1203" i="1"/>
  <c r="AZ1199" i="1"/>
  <c r="BA1187" i="1"/>
  <c r="AZ1175" i="1"/>
  <c r="AZ1171" i="1"/>
  <c r="BA1163" i="1"/>
  <c r="AZ1159" i="1"/>
  <c r="BE1151" i="1"/>
  <c r="AZ1151" i="1"/>
  <c r="BA1147" i="1"/>
  <c r="BA1143" i="1"/>
  <c r="BE1139" i="1"/>
  <c r="AZ1139" i="1"/>
  <c r="AZ1135" i="1"/>
  <c r="BA1131" i="1"/>
  <c r="AZ1131" i="1"/>
  <c r="BA1119" i="1"/>
  <c r="BE1107" i="1"/>
  <c r="AZ1107" i="1"/>
  <c r="BA1099" i="1"/>
  <c r="BA1091" i="1"/>
  <c r="AZ1075" i="1"/>
  <c r="AZ1055" i="1"/>
  <c r="BA1051" i="1"/>
  <c r="BA1039" i="1"/>
  <c r="AZ1039" i="1"/>
  <c r="BA1035" i="1"/>
  <c r="BE1007" i="1"/>
  <c r="AZ1007" i="1"/>
  <c r="BA1003" i="1"/>
  <c r="BA987" i="1"/>
  <c r="AZ979" i="1"/>
  <c r="AZ967" i="1"/>
  <c r="AZ959" i="1"/>
  <c r="BA955" i="1"/>
  <c r="BA947" i="1"/>
  <c r="BA939" i="1"/>
  <c r="BE871" i="1"/>
  <c r="BA871" i="1"/>
  <c r="AZ871" i="1"/>
  <c r="AZ847" i="1"/>
  <c r="BA819" i="1"/>
  <c r="AZ811" i="1"/>
  <c r="AZ791" i="1"/>
  <c r="AZ763" i="1"/>
  <c r="AZ751" i="1"/>
  <c r="AZ735" i="1"/>
  <c r="AZ707" i="1"/>
  <c r="BA683" i="1"/>
  <c r="BA679" i="1"/>
  <c r="BA675" i="1"/>
  <c r="AZ651" i="1"/>
  <c r="BA627" i="1"/>
  <c r="BA623" i="1"/>
  <c r="BA615" i="1"/>
  <c r="BA611" i="1"/>
  <c r="BA607" i="1"/>
  <c r="BA603" i="1"/>
  <c r="BA599" i="1"/>
  <c r="BA595" i="1"/>
  <c r="BA591" i="1"/>
  <c r="AZ591" i="1"/>
  <c r="BA587" i="1"/>
  <c r="BE583" i="1"/>
  <c r="BA583" i="1"/>
  <c r="AZ583" i="1"/>
  <c r="BA579" i="1"/>
  <c r="BA575" i="1"/>
  <c r="BA571" i="1"/>
  <c r="AZ571" i="1"/>
  <c r="BE567" i="1"/>
  <c r="BA567" i="1"/>
  <c r="AZ567" i="1"/>
  <c r="BA563" i="1"/>
  <c r="AZ563" i="1"/>
  <c r="BA559" i="1"/>
  <c r="BA555" i="1"/>
  <c r="BA547" i="1"/>
  <c r="BE543" i="1"/>
  <c r="BA543" i="1"/>
  <c r="AZ543" i="1"/>
  <c r="BA539" i="1"/>
  <c r="BA535" i="1"/>
  <c r="BA531" i="1"/>
  <c r="BA527" i="1"/>
  <c r="BA515" i="1"/>
  <c r="BA511" i="1"/>
  <c r="BA507" i="1"/>
  <c r="BA503" i="1"/>
  <c r="AZ391" i="1"/>
  <c r="BA383" i="1"/>
  <c r="BA379" i="1"/>
  <c r="AZ379" i="1"/>
  <c r="BA371" i="1"/>
  <c r="BA359" i="1"/>
  <c r="BA347" i="1"/>
  <c r="AZ347" i="1"/>
  <c r="BA343" i="1"/>
  <c r="AZ343" i="1"/>
  <c r="AZ323" i="1"/>
  <c r="BA319" i="1"/>
  <c r="BA307" i="1"/>
  <c r="BA287" i="1"/>
  <c r="BA275" i="1"/>
  <c r="BA271" i="1"/>
  <c r="BE263" i="1"/>
  <c r="AZ263" i="1"/>
  <c r="BA251" i="1"/>
  <c r="BA235" i="1"/>
  <c r="AZ207" i="1"/>
  <c r="BA203" i="1"/>
  <c r="BA191" i="1"/>
  <c r="BA187" i="1"/>
  <c r="BA183" i="1"/>
  <c r="AZ183" i="1"/>
  <c r="BE175" i="1"/>
  <c r="AZ175" i="1"/>
  <c r="AZ159" i="1"/>
  <c r="BA151" i="1"/>
  <c r="BE135" i="1"/>
  <c r="BA135" i="1"/>
  <c r="AZ135" i="1"/>
  <c r="BA131" i="1"/>
  <c r="AZ131" i="1"/>
  <c r="BA127" i="1"/>
  <c r="BA119" i="1"/>
  <c r="BA111" i="1"/>
  <c r="BA99" i="1"/>
  <c r="AZ91" i="1"/>
  <c r="BE79" i="1"/>
  <c r="AZ79" i="1"/>
  <c r="BE75" i="1"/>
  <c r="AZ75" i="1"/>
  <c r="AZ67" i="1"/>
  <c r="AZ63" i="1"/>
  <c r="AZ59" i="1"/>
  <c r="AZ55" i="1"/>
  <c r="AZ23" i="1"/>
  <c r="AZ15" i="1"/>
  <c r="AZ11" i="1"/>
  <c r="AZ7" i="1"/>
  <c r="AZ3" i="1"/>
  <c r="BA1714" i="1"/>
  <c r="AZ1706" i="1"/>
  <c r="BA1698" i="1"/>
  <c r="BA1694" i="1"/>
  <c r="BA1690" i="1"/>
  <c r="AZ1690" i="1"/>
  <c r="BA1686" i="1"/>
  <c r="BA1678" i="1"/>
  <c r="BA1674" i="1"/>
  <c r="BA1666" i="1"/>
  <c r="BA1658" i="1"/>
  <c r="AZ1658" i="1"/>
  <c r="BA1650" i="1"/>
  <c r="AZ1650" i="1"/>
  <c r="BA1638" i="1"/>
  <c r="BA1634" i="1"/>
  <c r="BA1630" i="1"/>
  <c r="AZ1630" i="1"/>
  <c r="BA1614" i="1"/>
  <c r="BA1602" i="1"/>
  <c r="BA1590" i="1"/>
  <c r="BE1574" i="1"/>
  <c r="BA1574" i="1"/>
  <c r="AZ1574" i="1"/>
  <c r="BA1558" i="1"/>
  <c r="AZ1558" i="1"/>
  <c r="BA1554" i="1"/>
  <c r="AZ1550" i="1"/>
  <c r="BA1546" i="1"/>
  <c r="BA1534" i="1"/>
  <c r="BE1530" i="1"/>
  <c r="BA1530" i="1"/>
  <c r="AZ1530" i="1"/>
  <c r="BA1526" i="1"/>
  <c r="BE1522" i="1"/>
  <c r="BA1522" i="1"/>
  <c r="AZ1522" i="1"/>
  <c r="BE1510" i="1"/>
  <c r="AZ1510" i="1"/>
  <c r="BA1502" i="1"/>
  <c r="BA1494" i="1"/>
  <c r="BA1490" i="1"/>
  <c r="AZ1490" i="1"/>
  <c r="BE1486" i="1"/>
  <c r="AZ1486" i="1"/>
  <c r="BA1482" i="1"/>
  <c r="BA1474" i="1"/>
  <c r="BA1466" i="1"/>
  <c r="BA1462" i="1"/>
  <c r="AZ1462" i="1"/>
  <c r="BA1458" i="1"/>
  <c r="AZ1454" i="1"/>
  <c r="BA1446" i="1"/>
  <c r="AZ1442" i="1"/>
  <c r="BA1426" i="1"/>
  <c r="AZ1426" i="1"/>
  <c r="BA1414" i="1"/>
  <c r="AZ1414" i="1"/>
  <c r="AZ1410" i="1"/>
  <c r="AZ1406" i="1"/>
  <c r="BA1402" i="1"/>
  <c r="BA1398" i="1"/>
  <c r="AZ1398" i="1"/>
  <c r="AZ1382" i="1"/>
  <c r="BA1378" i="1"/>
  <c r="BE1374" i="1"/>
  <c r="BA1374" i="1"/>
  <c r="AZ1374" i="1"/>
  <c r="BA1370" i="1"/>
  <c r="BA1354" i="1"/>
  <c r="BA1350" i="1"/>
  <c r="BA1346" i="1"/>
  <c r="BA1334" i="1"/>
  <c r="BA1330" i="1"/>
  <c r="BA1326" i="1"/>
  <c r="AZ1326" i="1"/>
  <c r="BA1322" i="1"/>
  <c r="AZ1310" i="1"/>
  <c r="BA1302" i="1"/>
  <c r="BA1298" i="1"/>
  <c r="BA1290" i="1"/>
  <c r="BA1282" i="1"/>
  <c r="AZ1282" i="1"/>
  <c r="BA1278" i="1"/>
  <c r="AZ1278" i="1"/>
  <c r="BA1274" i="1"/>
  <c r="BA1258" i="1"/>
  <c r="AZ1250" i="1"/>
  <c r="BA1222" i="1"/>
  <c r="BA1214" i="1"/>
  <c r="BE1210" i="1"/>
  <c r="BA1210" i="1"/>
  <c r="AZ1210" i="1"/>
  <c r="AZ1206" i="1"/>
  <c r="AZ1202" i="1"/>
  <c r="AZ1198" i="1"/>
  <c r="BA1170" i="1"/>
  <c r="BA1166" i="1"/>
  <c r="BA1162" i="1"/>
  <c r="BE1150" i="1"/>
  <c r="AZ1150" i="1"/>
  <c r="BA1146" i="1"/>
  <c r="BA1142" i="1"/>
  <c r="BA1138" i="1"/>
  <c r="BA1130" i="1"/>
  <c r="AZ1130" i="1"/>
  <c r="BA1118" i="1"/>
  <c r="BA1114" i="1"/>
  <c r="BE1106" i="1"/>
  <c r="AZ1106" i="1"/>
  <c r="BA1098" i="1"/>
  <c r="BA1090" i="1"/>
  <c r="BE1082" i="1"/>
  <c r="AZ1082" i="1"/>
  <c r="BA1078" i="1"/>
  <c r="AZ1054" i="1"/>
  <c r="BA1050" i="1"/>
  <c r="BA1038" i="1"/>
  <c r="AZ1038" i="1"/>
  <c r="BA1034" i="1"/>
  <c r="BE1014" i="1"/>
  <c r="AZ1014" i="1"/>
  <c r="BA994" i="1"/>
  <c r="BA990" i="1"/>
  <c r="AZ990" i="1"/>
  <c r="BA986" i="1"/>
  <c r="AZ974" i="1"/>
  <c r="AZ966" i="1"/>
  <c r="BA958" i="1"/>
  <c r="AZ958" i="1"/>
  <c r="BA950" i="1"/>
  <c r="AZ930" i="1"/>
  <c r="BA886" i="1"/>
  <c r="BA882" i="1"/>
  <c r="BE870" i="1"/>
  <c r="BA870" i="1"/>
  <c r="AZ870" i="1"/>
  <c r="BA854" i="1"/>
  <c r="AZ854" i="1"/>
  <c r="BA822" i="1"/>
  <c r="BA818" i="1"/>
  <c r="AZ814" i="1"/>
  <c r="BA810" i="1"/>
  <c r="AZ790" i="1"/>
  <c r="AZ774" i="1"/>
  <c r="AZ766" i="1"/>
  <c r="AZ758" i="1"/>
  <c r="AZ750" i="1"/>
  <c r="BE738" i="1"/>
  <c r="AZ738" i="1"/>
  <c r="AZ710" i="1"/>
  <c r="AZ706" i="1"/>
  <c r="BA678" i="1"/>
  <c r="BA674" i="1"/>
  <c r="AZ650" i="1"/>
  <c r="BA622" i="1"/>
  <c r="BA618" i="1"/>
  <c r="AZ618" i="1"/>
  <c r="BA614" i="1"/>
  <c r="AZ614" i="1"/>
  <c r="BA610" i="1"/>
  <c r="BA606" i="1"/>
  <c r="BA602" i="1"/>
  <c r="BA598" i="1"/>
  <c r="BA594" i="1"/>
  <c r="BA590" i="1"/>
  <c r="AZ590" i="1"/>
  <c r="BE582" i="1"/>
  <c r="BA582" i="1"/>
  <c r="AZ582" i="1"/>
  <c r="BA578" i="1"/>
  <c r="BA574" i="1"/>
  <c r="BA570" i="1"/>
  <c r="BA566" i="1"/>
  <c r="AZ566" i="1"/>
  <c r="BA562" i="1"/>
  <c r="BA558" i="1"/>
  <c r="BA554" i="1"/>
  <c r="BA550" i="1"/>
  <c r="BA546" i="1"/>
  <c r="BA542" i="1"/>
  <c r="BA538" i="1"/>
  <c r="BA534" i="1"/>
  <c r="BA530" i="1"/>
  <c r="BE526" i="1"/>
  <c r="BA526" i="1"/>
  <c r="AZ526" i="1"/>
  <c r="BA514" i="1"/>
  <c r="AZ514" i="1"/>
  <c r="BE510" i="1"/>
  <c r="BA510" i="1"/>
  <c r="AZ510" i="1"/>
  <c r="BA506" i="1"/>
  <c r="BE502" i="1"/>
  <c r="BA502" i="1"/>
  <c r="AZ502" i="1"/>
  <c r="BA498" i="1"/>
  <c r="AZ498" i="1"/>
  <c r="AZ486" i="1"/>
  <c r="AZ474" i="1"/>
  <c r="AZ390" i="1"/>
  <c r="BA382" i="1"/>
  <c r="AZ382" i="1"/>
  <c r="BA378" i="1"/>
  <c r="AZ378" i="1"/>
  <c r="BA370" i="1"/>
  <c r="AZ330" i="1"/>
  <c r="BA326" i="1"/>
  <c r="AZ322" i="1"/>
  <c r="BA318" i="1"/>
  <c r="BA314" i="1"/>
  <c r="BA274" i="1"/>
  <c r="BA242" i="1"/>
  <c r="BA234" i="1"/>
  <c r="AZ206" i="1"/>
  <c r="BA202" i="1"/>
  <c r="BA190" i="1"/>
  <c r="BA178" i="1"/>
  <c r="BE174" i="1"/>
  <c r="AZ174" i="1"/>
  <c r="BA170" i="1"/>
  <c r="AZ166" i="1"/>
  <c r="BA158" i="1"/>
  <c r="BA150" i="1"/>
  <c r="AZ134" i="1"/>
  <c r="BA130" i="1"/>
  <c r="BA126" i="1"/>
  <c r="BA122" i="1"/>
  <c r="BA114" i="1"/>
  <c r="BA98" i="1"/>
  <c r="AZ90" i="1"/>
  <c r="BE78" i="1"/>
  <c r="AZ78" i="1"/>
  <c r="BE74" i="1"/>
  <c r="AZ74" i="1"/>
  <c r="AZ66" i="1"/>
  <c r="AZ62" i="1"/>
  <c r="AZ58" i="1"/>
  <c r="AZ54" i="1"/>
  <c r="AZ46" i="1"/>
  <c r="AZ22" i="1"/>
  <c r="BA18" i="1"/>
  <c r="AZ18" i="1"/>
  <c r="AZ14" i="1"/>
  <c r="AZ10" i="1"/>
  <c r="AZ6" i="1"/>
  <c r="AZ1721" i="1"/>
  <c r="BA1713" i="1"/>
  <c r="AZ1705" i="1"/>
  <c r="BA1697" i="1"/>
  <c r="BA1693" i="1"/>
  <c r="BA1689" i="1"/>
  <c r="AZ1689" i="1"/>
  <c r="BA1685" i="1"/>
  <c r="BA1677" i="1"/>
  <c r="BA1673" i="1"/>
  <c r="BA1665" i="1"/>
  <c r="BA1657" i="1"/>
  <c r="AZ1657" i="1"/>
  <c r="BA1649" i="1"/>
  <c r="BA1645" i="1"/>
  <c r="BA1641" i="1"/>
  <c r="BA1637" i="1"/>
  <c r="BE1633" i="1"/>
  <c r="BA1633" i="1"/>
  <c r="AZ1633" i="1"/>
  <c r="BA1629" i="1"/>
  <c r="AZ1629" i="1"/>
  <c r="BA1617" i="1"/>
  <c r="BA1609" i="1"/>
  <c r="BA1605" i="1"/>
  <c r="BA1601" i="1"/>
  <c r="BA1589" i="1"/>
  <c r="BA1585" i="1"/>
  <c r="BA1581" i="1"/>
  <c r="AZ1581" i="1"/>
  <c r="BA1577" i="1"/>
  <c r="AZ1577" i="1"/>
  <c r="BA1557" i="1"/>
  <c r="AZ1557" i="1"/>
  <c r="BA1553" i="1"/>
  <c r="BA1545" i="1"/>
  <c r="BA1541" i="1"/>
  <c r="AZ1541" i="1"/>
  <c r="BA1537" i="1"/>
  <c r="BE1529" i="1"/>
  <c r="BA1529" i="1"/>
  <c r="AZ1529" i="1"/>
  <c r="BA1525" i="1"/>
  <c r="BA1521" i="1"/>
  <c r="AZ1521" i="1"/>
  <c r="BA1501" i="1"/>
  <c r="BA1493" i="1"/>
  <c r="BA1489" i="1"/>
  <c r="AZ1489" i="1"/>
  <c r="BE1485" i="1"/>
  <c r="AZ1485" i="1"/>
  <c r="BA1477" i="1"/>
  <c r="BA1473" i="1"/>
  <c r="BA1469" i="1"/>
  <c r="BA1461" i="1"/>
  <c r="AZ1461" i="1"/>
  <c r="BA1457" i="1"/>
  <c r="AZ1453" i="1"/>
  <c r="BA1449" i="1"/>
  <c r="BA1445" i="1"/>
  <c r="AZ1441" i="1"/>
  <c r="BA1433" i="1"/>
  <c r="BA1397" i="1"/>
  <c r="AZ1397" i="1"/>
  <c r="BA1393" i="1"/>
  <c r="BA1385" i="1"/>
  <c r="BA1381" i="1"/>
  <c r="BA1369" i="1"/>
  <c r="BA1365" i="1"/>
  <c r="BA1361" i="1"/>
  <c r="AZ1361" i="1"/>
  <c r="BA1353" i="1"/>
  <c r="BA1349" i="1"/>
  <c r="BA1345" i="1"/>
  <c r="BA1337" i="1"/>
  <c r="BA1329" i="1"/>
  <c r="AZ1329" i="1"/>
  <c r="BA1325" i="1"/>
  <c r="AZ1325" i="1"/>
  <c r="BA1321" i="1"/>
  <c r="AZ1309" i="1"/>
  <c r="BA1305" i="1"/>
  <c r="BA1301" i="1"/>
  <c r="BE1297" i="1"/>
  <c r="BA1297" i="1"/>
  <c r="AZ1297" i="1"/>
  <c r="BA1289" i="1"/>
  <c r="BA1281" i="1"/>
  <c r="AZ1281" i="1"/>
  <c r="BA1277" i="1"/>
  <c r="AZ1277" i="1"/>
  <c r="BA1273" i="1"/>
  <c r="BA1269" i="1"/>
  <c r="AZ1249" i="1"/>
  <c r="BA1245" i="1"/>
  <c r="AZ1245" i="1"/>
  <c r="AZ1237" i="1"/>
  <c r="BA1213" i="1"/>
  <c r="BE1209" i="1"/>
  <c r="BA1209" i="1"/>
  <c r="AZ1209" i="1"/>
  <c r="AZ1205" i="1"/>
  <c r="AZ1201" i="1"/>
  <c r="AZ1197" i="1"/>
  <c r="BA1193" i="1"/>
  <c r="AZ1193" i="1"/>
  <c r="BA1169" i="1"/>
  <c r="BA1165" i="1"/>
  <c r="BA1161" i="1"/>
  <c r="BA1149" i="1"/>
  <c r="BE1141" i="1"/>
  <c r="AZ1141" i="1"/>
  <c r="BA1137" i="1"/>
  <c r="AZ1129" i="1"/>
  <c r="BA1125" i="1"/>
  <c r="BA1117" i="1"/>
  <c r="BA1113" i="1"/>
  <c r="BA1105" i="1"/>
  <c r="BA1097" i="1"/>
  <c r="BE1081" i="1"/>
  <c r="AZ1081" i="1"/>
  <c r="AZ1077" i="1"/>
  <c r="AZ1053" i="1"/>
  <c r="BA1033" i="1"/>
  <c r="BE1029" i="1"/>
  <c r="BA1029" i="1"/>
  <c r="AZ1029" i="1"/>
  <c r="BA1025" i="1"/>
  <c r="AZ1025" i="1"/>
  <c r="BE1013" i="1"/>
  <c r="AZ1013" i="1"/>
  <c r="BA997" i="1"/>
  <c r="BA993" i="1"/>
  <c r="BA989" i="1"/>
  <c r="AZ989" i="1"/>
  <c r="AZ973" i="1"/>
  <c r="BE969" i="1"/>
  <c r="AZ969" i="1"/>
  <c r="BA965" i="1"/>
  <c r="BA957" i="1"/>
  <c r="AZ957" i="1"/>
  <c r="BA949" i="1"/>
  <c r="AZ929" i="1"/>
  <c r="BA885" i="1"/>
  <c r="BA881" i="1"/>
  <c r="AZ881" i="1"/>
  <c r="BA877" i="1"/>
  <c r="BA853" i="1"/>
  <c r="AZ853" i="1"/>
  <c r="BA821" i="1"/>
  <c r="BA817" i="1"/>
  <c r="AZ813" i="1"/>
  <c r="BA809" i="1"/>
  <c r="AZ797" i="1"/>
  <c r="AZ765" i="1"/>
  <c r="BA745" i="1"/>
  <c r="AZ737" i="1"/>
  <c r="AZ709" i="1"/>
  <c r="BA677" i="1"/>
  <c r="BA673" i="1"/>
  <c r="BA629" i="1"/>
  <c r="BA625" i="1"/>
  <c r="BA621" i="1"/>
  <c r="BA617" i="1"/>
  <c r="AZ617" i="1"/>
  <c r="BA609" i="1"/>
  <c r="BA605" i="1"/>
  <c r="BA601" i="1"/>
  <c r="BA597" i="1"/>
  <c r="BA593" i="1"/>
  <c r="AZ593" i="1"/>
  <c r="BA589" i="1"/>
  <c r="BA585" i="1"/>
  <c r="BA581" i="1"/>
  <c r="BA577" i="1"/>
  <c r="BA573" i="1"/>
  <c r="BA569" i="1"/>
  <c r="BA565" i="1"/>
  <c r="AZ565" i="1"/>
  <c r="BA561" i="1"/>
  <c r="BA557" i="1"/>
  <c r="BA553" i="1"/>
  <c r="BA549" i="1"/>
  <c r="BA545" i="1"/>
  <c r="BA541" i="1"/>
  <c r="BA537" i="1"/>
  <c r="AZ537" i="1"/>
  <c r="BA533" i="1"/>
  <c r="BA529" i="1"/>
  <c r="BE525" i="1"/>
  <c r="BA525" i="1"/>
  <c r="AZ525" i="1"/>
  <c r="BA517" i="1"/>
  <c r="BA513" i="1"/>
  <c r="AZ513" i="1"/>
  <c r="BE509" i="1"/>
  <c r="BA509" i="1"/>
  <c r="AZ509" i="1"/>
  <c r="BA505" i="1"/>
  <c r="BE501" i="1"/>
  <c r="BA501" i="1"/>
  <c r="AZ501" i="1"/>
  <c r="BA497" i="1"/>
  <c r="AZ497" i="1"/>
  <c r="AZ493" i="1"/>
  <c r="AZ473" i="1"/>
  <c r="BA381" i="1"/>
  <c r="AZ381" i="1"/>
  <c r="BA377" i="1"/>
  <c r="AZ377" i="1"/>
  <c r="BA369" i="1"/>
  <c r="BA357" i="1"/>
  <c r="BA353" i="1"/>
  <c r="AZ329" i="1"/>
  <c r="BA325" i="1"/>
  <c r="BA313" i="1"/>
  <c r="BA277" i="1"/>
  <c r="BA261" i="1"/>
  <c r="BA225" i="1"/>
  <c r="BA189" i="1"/>
  <c r="BA177" i="1"/>
  <c r="BA173" i="1"/>
  <c r="BA169" i="1"/>
  <c r="AZ165" i="1"/>
  <c r="AZ161" i="1"/>
  <c r="BA157" i="1"/>
  <c r="AZ149" i="1"/>
  <c r="AZ133" i="1"/>
  <c r="BA129" i="1"/>
  <c r="BA125" i="1"/>
  <c r="BA121" i="1"/>
  <c r="BA113" i="1"/>
  <c r="BA101" i="1"/>
  <c r="BE93" i="1"/>
  <c r="AZ93" i="1"/>
  <c r="BE89" i="1"/>
  <c r="AZ89" i="1"/>
  <c r="BE73" i="1"/>
  <c r="AZ73" i="1"/>
  <c r="AZ65" i="1"/>
  <c r="AZ61" i="1"/>
  <c r="AZ57" i="1"/>
  <c r="AZ45" i="1"/>
  <c r="AZ21" i="1"/>
  <c r="BA17" i="1"/>
  <c r="AZ17" i="1"/>
  <c r="AZ13" i="1"/>
  <c r="AZ9" i="1"/>
  <c r="AZ5" i="1"/>
  <c r="BA1724" i="1"/>
  <c r="AZ1720" i="1"/>
  <c r="BA1704" i="1"/>
  <c r="AZ1704" i="1"/>
  <c r="BE1700" i="1"/>
  <c r="AZ1700" i="1"/>
  <c r="BA1680" i="1"/>
  <c r="BA1664" i="1"/>
  <c r="BA1648" i="1"/>
  <c r="BA1644" i="1"/>
  <c r="BA1640" i="1"/>
  <c r="BA1636" i="1"/>
  <c r="BE1632" i="1"/>
  <c r="BA1632" i="1"/>
  <c r="AZ1632" i="1"/>
  <c r="BA1628" i="1"/>
  <c r="AZ1628" i="1"/>
  <c r="BA1616" i="1"/>
  <c r="BA1608" i="1"/>
  <c r="BA1604" i="1"/>
  <c r="AZ1604" i="1"/>
  <c r="BA1600" i="1"/>
  <c r="BA1584" i="1"/>
  <c r="BA1580" i="1"/>
  <c r="AZ1580" i="1"/>
  <c r="BA1576" i="1"/>
  <c r="AZ1576" i="1"/>
  <c r="BA1572" i="1"/>
  <c r="BA1568" i="1"/>
  <c r="BE1560" i="1"/>
  <c r="BA1560" i="1"/>
  <c r="AZ1560" i="1"/>
  <c r="BA1544" i="1"/>
  <c r="BA1540" i="1"/>
  <c r="AZ1540" i="1"/>
  <c r="BA1536" i="1"/>
  <c r="BA1528" i="1"/>
  <c r="BA1524" i="1"/>
  <c r="AZ1520" i="1"/>
  <c r="AZ1516" i="1"/>
  <c r="BE1512" i="1"/>
  <c r="AZ1512" i="1"/>
  <c r="BA1504" i="1"/>
  <c r="BA1500" i="1"/>
  <c r="BA1496" i="1"/>
  <c r="BA1492" i="1"/>
  <c r="AZ1492" i="1"/>
  <c r="BA1488" i="1"/>
  <c r="BE1484" i="1"/>
  <c r="AZ1484" i="1"/>
  <c r="BA1476" i="1"/>
  <c r="AZ1472" i="1"/>
  <c r="BA1456" i="1"/>
  <c r="BA1448" i="1"/>
  <c r="AZ1440" i="1"/>
  <c r="BA1432" i="1"/>
  <c r="BA1392" i="1"/>
  <c r="BA1384" i="1"/>
  <c r="BA1380" i="1"/>
  <c r="BA1368" i="1"/>
  <c r="BA1364" i="1"/>
  <c r="BA1360" i="1"/>
  <c r="AZ1360" i="1"/>
  <c r="BA1336" i="1"/>
  <c r="BA1332" i="1"/>
  <c r="BA1328" i="1"/>
  <c r="AZ1328" i="1"/>
  <c r="BA1324" i="1"/>
  <c r="BA1320" i="1"/>
  <c r="BA1312" i="1"/>
  <c r="BA1304" i="1"/>
  <c r="BA1300" i="1"/>
  <c r="BE1296" i="1"/>
  <c r="BA1296" i="1"/>
  <c r="AZ1296" i="1"/>
  <c r="BA1292" i="1"/>
  <c r="BA1288" i="1"/>
  <c r="BA1284" i="1"/>
  <c r="BA1280" i="1"/>
  <c r="BA1276" i="1"/>
  <c r="AZ1276" i="1"/>
  <c r="BA1272" i="1"/>
  <c r="AZ1272" i="1"/>
  <c r="BA1268" i="1"/>
  <c r="BA1244" i="1"/>
  <c r="AZ1244" i="1"/>
  <c r="AZ1236" i="1"/>
  <c r="BA1224" i="1"/>
  <c r="BA1216" i="1"/>
  <c r="BA1212" i="1"/>
  <c r="BE1208" i="1"/>
  <c r="BA1208" i="1"/>
  <c r="AZ1208" i="1"/>
  <c r="AZ1204" i="1"/>
  <c r="AZ1200" i="1"/>
  <c r="AZ1196" i="1"/>
  <c r="BA1188" i="1"/>
  <c r="AZ1176" i="1"/>
  <c r="AZ1172" i="1"/>
  <c r="BA1164" i="1"/>
  <c r="AZ1160" i="1"/>
  <c r="BA1148" i="1"/>
  <c r="BE1140" i="1"/>
  <c r="AZ1140" i="1"/>
  <c r="AZ1136" i="1"/>
  <c r="AZ1128" i="1"/>
  <c r="BA1124" i="1"/>
  <c r="BA1120" i="1"/>
  <c r="BA1104" i="1"/>
  <c r="BA1096" i="1"/>
  <c r="AZ1076" i="1"/>
  <c r="BA1052" i="1"/>
  <c r="BA1040" i="1"/>
  <c r="AZ1040" i="1"/>
  <c r="BA1032" i="1"/>
  <c r="BE1028" i="1"/>
  <c r="BA1028" i="1"/>
  <c r="AZ1028" i="1"/>
  <c r="BA1024" i="1"/>
  <c r="AZ1024" i="1"/>
  <c r="BE1012" i="1"/>
  <c r="AZ1012" i="1"/>
  <c r="BE1008" i="1"/>
  <c r="AZ1008" i="1"/>
  <c r="BA1004" i="1"/>
  <c r="BA996" i="1"/>
  <c r="BA988" i="1"/>
  <c r="AZ988" i="1"/>
  <c r="AZ980" i="1"/>
  <c r="AZ972" i="1"/>
  <c r="BE968" i="1"/>
  <c r="AZ968" i="1"/>
  <c r="BA964" i="1"/>
  <c r="AZ960" i="1"/>
  <c r="BA956" i="1"/>
  <c r="BA940" i="1"/>
  <c r="BA892" i="1"/>
  <c r="BA880" i="1"/>
  <c r="AZ880" i="1"/>
  <c r="BA876" i="1"/>
  <c r="AZ848" i="1"/>
  <c r="BA820" i="1"/>
  <c r="AZ812" i="1"/>
  <c r="AZ796" i="1"/>
  <c r="AZ764" i="1"/>
  <c r="BA744" i="1"/>
  <c r="AZ736" i="1"/>
  <c r="AZ708" i="1"/>
  <c r="BA680" i="1"/>
  <c r="BA676" i="1"/>
  <c r="BA628" i="1"/>
  <c r="BA624" i="1"/>
  <c r="BA616" i="1"/>
  <c r="BA612" i="1"/>
  <c r="BA608" i="1"/>
  <c r="BA604" i="1"/>
  <c r="BA600" i="1"/>
  <c r="BA592" i="1"/>
  <c r="AZ592" i="1"/>
  <c r="BA588" i="1"/>
  <c r="BA584" i="1"/>
  <c r="BA580" i="1"/>
  <c r="BA576" i="1"/>
  <c r="BA572" i="1"/>
  <c r="AZ572" i="1"/>
  <c r="BA564" i="1"/>
  <c r="AZ564" i="1"/>
  <c r="BA560" i="1"/>
  <c r="BA552" i="1"/>
  <c r="BA548" i="1"/>
  <c r="BE544" i="1"/>
  <c r="BA544" i="1"/>
  <c r="AZ544" i="1"/>
  <c r="BA540" i="1"/>
  <c r="BA536" i="1"/>
  <c r="AZ536" i="1"/>
  <c r="BA532" i="1"/>
  <c r="BA528" i="1"/>
  <c r="BA516" i="1"/>
  <c r="BA512" i="1"/>
  <c r="BA508" i="1"/>
  <c r="BA504" i="1"/>
  <c r="AZ472" i="1"/>
  <c r="BA380" i="1"/>
  <c r="AZ380" i="1"/>
  <c r="BA372" i="1"/>
  <c r="BA360" i="1"/>
  <c r="BA356" i="1"/>
  <c r="BA352" i="1"/>
  <c r="BA348" i="1"/>
  <c r="AZ348" i="1"/>
  <c r="BA344" i="1"/>
  <c r="AZ344" i="1"/>
  <c r="BA308" i="1"/>
  <c r="BA288" i="1"/>
  <c r="BA276" i="1"/>
  <c r="BA272" i="1"/>
  <c r="BE264" i="1"/>
  <c r="AZ264" i="1"/>
  <c r="BA252" i="1"/>
  <c r="BA224" i="1"/>
  <c r="BA188" i="1"/>
  <c r="BA184" i="1"/>
  <c r="AZ184" i="1"/>
  <c r="AZ160" i="1"/>
  <c r="BA156" i="1"/>
  <c r="AZ148" i="1"/>
  <c r="BE136" i="1"/>
  <c r="BA136" i="1"/>
  <c r="AZ136" i="1"/>
  <c r="BA132" i="1"/>
  <c r="AZ132" i="1"/>
  <c r="BA128" i="1"/>
  <c r="BA120" i="1"/>
  <c r="BA112" i="1"/>
  <c r="BA100" i="1"/>
  <c r="BE92" i="1"/>
  <c r="AZ92" i="1"/>
  <c r="BE88" i="1"/>
  <c r="AZ88" i="1"/>
  <c r="BE72" i="1"/>
  <c r="AZ72" i="1"/>
  <c r="AZ64" i="1"/>
  <c r="AZ60" i="1"/>
  <c r="AZ56" i="1"/>
  <c r="BA16" i="1"/>
  <c r="AZ16" i="1"/>
  <c r="AZ12" i="1"/>
  <c r="AZ8" i="1"/>
  <c r="AZ4" i="1"/>
  <c r="X2" i="1"/>
  <c r="Y2" i="1" s="1"/>
  <c r="AU2" i="1" s="1"/>
  <c r="S2" i="1"/>
  <c r="Z1731" i="1"/>
  <c r="G2" i="182" l="1"/>
  <c r="A4" i="183" s="1" a="1"/>
  <c r="Y1365" i="1"/>
  <c r="AU1365" i="1" s="1"/>
  <c r="Y1621" i="1"/>
  <c r="AU1621" i="1" s="1"/>
  <c r="V1365" i="1"/>
  <c r="W1365" i="1" s="1"/>
  <c r="V1621" i="1"/>
  <c r="W1621" i="1" s="1"/>
  <c r="Y1109" i="1"/>
  <c r="AU1109" i="1" s="1"/>
  <c r="Y1173" i="1"/>
  <c r="AU1173" i="1" s="1"/>
  <c r="Y1429" i="1"/>
  <c r="AU1429" i="1" s="1"/>
  <c r="Y1677" i="1"/>
  <c r="AU1677" i="1" s="1"/>
  <c r="V1429" i="1"/>
  <c r="W1429" i="1" s="1"/>
  <c r="V1685" i="1"/>
  <c r="W1685" i="1" s="1"/>
  <c r="Y981" i="1"/>
  <c r="AU981" i="1" s="1"/>
  <c r="Y1237" i="1"/>
  <c r="AU1237" i="1" s="1"/>
  <c r="Y1493" i="1"/>
  <c r="AU1493" i="1" s="1"/>
  <c r="Y1717" i="1"/>
  <c r="AU1717" i="1" s="1"/>
  <c r="V1493" i="1"/>
  <c r="W1493" i="1" s="1"/>
  <c r="AV981" i="1"/>
  <c r="AV1109" i="1"/>
  <c r="AV1173" i="1"/>
  <c r="AV1365" i="1"/>
  <c r="AV1493" i="1"/>
  <c r="AV1621" i="1"/>
  <c r="AV1717" i="1"/>
  <c r="Y1045" i="1"/>
  <c r="AU1045" i="1" s="1"/>
  <c r="Y1301" i="1"/>
  <c r="AU1301" i="1" s="1"/>
  <c r="Y1557" i="1"/>
  <c r="AU1557" i="1" s="1"/>
  <c r="V1301" i="1"/>
  <c r="W1301" i="1" s="1"/>
  <c r="V1557" i="1"/>
  <c r="Y1013" i="1"/>
  <c r="AU1013" i="1" s="1"/>
  <c r="Y1141" i="1"/>
  <c r="AU1141" i="1" s="1"/>
  <c r="Y1269" i="1"/>
  <c r="AU1269" i="1" s="1"/>
  <c r="Y1397" i="1"/>
  <c r="AU1397" i="1" s="1"/>
  <c r="Y1525" i="1"/>
  <c r="AU1525" i="1" s="1"/>
  <c r="Y1653" i="1"/>
  <c r="AU1653" i="1" s="1"/>
  <c r="V1245" i="1"/>
  <c r="W1245" i="1" s="1"/>
  <c r="V1397" i="1"/>
  <c r="W1397" i="1" s="1"/>
  <c r="V1525" i="1"/>
  <c r="V1653" i="1"/>
  <c r="W1653" i="1" s="1"/>
  <c r="W996" i="1"/>
  <c r="W1012" i="1"/>
  <c r="W1020" i="1"/>
  <c r="W1124" i="1"/>
  <c r="Y925" i="1"/>
  <c r="AU925" i="1" s="1"/>
  <c r="Y1077" i="1"/>
  <c r="AU1077" i="1" s="1"/>
  <c r="Y1205" i="1"/>
  <c r="AU1205" i="1" s="1"/>
  <c r="Y1333" i="1"/>
  <c r="AU1333" i="1" s="1"/>
  <c r="Y1461" i="1"/>
  <c r="AU1461" i="1" s="1"/>
  <c r="Y1589" i="1"/>
  <c r="AU1589" i="1" s="1"/>
  <c r="Y1701" i="1"/>
  <c r="AU1701" i="1" s="1"/>
  <c r="V1333" i="1"/>
  <c r="W1333" i="1" s="1"/>
  <c r="V1461" i="1"/>
  <c r="V1589" i="1"/>
  <c r="W1589" i="1" s="1"/>
  <c r="V1709" i="1"/>
  <c r="W1709" i="1" s="1"/>
  <c r="AV1077" i="1"/>
  <c r="AV1269" i="1"/>
  <c r="AV1397" i="1"/>
  <c r="AV1429" i="1"/>
  <c r="AV1557" i="1"/>
  <c r="AV1589" i="1"/>
  <c r="W656" i="1"/>
  <c r="W1024" i="1"/>
  <c r="Y957" i="1"/>
  <c r="AU957" i="1" s="1"/>
  <c r="Y1029" i="1"/>
  <c r="AU1029" i="1" s="1"/>
  <c r="Y1093" i="1"/>
  <c r="AU1093" i="1" s="1"/>
  <c r="Y1157" i="1"/>
  <c r="AU1157" i="1" s="1"/>
  <c r="Y1221" i="1"/>
  <c r="AU1221" i="1" s="1"/>
  <c r="Y1285" i="1"/>
  <c r="AU1285" i="1" s="1"/>
  <c r="Y1349" i="1"/>
  <c r="AU1349" i="1" s="1"/>
  <c r="Y1413" i="1"/>
  <c r="AU1413" i="1" s="1"/>
  <c r="Y1477" i="1"/>
  <c r="AU1477" i="1" s="1"/>
  <c r="Y1541" i="1"/>
  <c r="AU1541" i="1" s="1"/>
  <c r="Y1605" i="1"/>
  <c r="AU1605" i="1" s="1"/>
  <c r="Y1669" i="1"/>
  <c r="AU1669" i="1" s="1"/>
  <c r="Y1709" i="1"/>
  <c r="AU1709" i="1" s="1"/>
  <c r="V1277" i="1"/>
  <c r="W1277" i="1" s="1"/>
  <c r="V1349" i="1"/>
  <c r="W1349" i="1" s="1"/>
  <c r="V1413" i="1"/>
  <c r="W1413" i="1" s="1"/>
  <c r="V1477" i="1"/>
  <c r="W1477" i="1" s="1"/>
  <c r="V1541" i="1"/>
  <c r="W1541" i="1" s="1"/>
  <c r="V1605" i="1"/>
  <c r="W1605" i="1" s="1"/>
  <c r="V1669" i="1"/>
  <c r="W1669" i="1" s="1"/>
  <c r="V1717" i="1"/>
  <c r="W1717" i="1" s="1"/>
  <c r="Y893" i="1"/>
  <c r="AU893" i="1" s="1"/>
  <c r="Y997" i="1"/>
  <c r="AU997" i="1" s="1"/>
  <c r="Y1061" i="1"/>
  <c r="AU1061" i="1" s="1"/>
  <c r="Y1125" i="1"/>
  <c r="AU1125" i="1" s="1"/>
  <c r="Y1189" i="1"/>
  <c r="AU1189" i="1" s="1"/>
  <c r="Y1253" i="1"/>
  <c r="AU1253" i="1" s="1"/>
  <c r="Y1317" i="1"/>
  <c r="AU1317" i="1" s="1"/>
  <c r="Y1381" i="1"/>
  <c r="AU1381" i="1" s="1"/>
  <c r="Y1445" i="1"/>
  <c r="AU1445" i="1" s="1"/>
  <c r="Y1509" i="1"/>
  <c r="AU1509" i="1" s="1"/>
  <c r="Y1573" i="1"/>
  <c r="AU1573" i="1" s="1"/>
  <c r="Y1637" i="1"/>
  <c r="AU1637" i="1" s="1"/>
  <c r="Y1685" i="1"/>
  <c r="AU1685" i="1" s="1"/>
  <c r="V1213" i="1"/>
  <c r="W1213" i="1" s="1"/>
  <c r="V1317" i="1"/>
  <c r="W1317" i="1" s="1"/>
  <c r="V1381" i="1"/>
  <c r="W1381" i="1" s="1"/>
  <c r="V1445" i="1"/>
  <c r="W1445" i="1" s="1"/>
  <c r="V1509" i="1"/>
  <c r="W1509" i="1" s="1"/>
  <c r="V1573" i="1"/>
  <c r="W1573" i="1" s="1"/>
  <c r="V1637" i="1"/>
  <c r="W1637" i="1" s="1"/>
  <c r="V1701" i="1"/>
  <c r="W1701" i="1" s="1"/>
  <c r="AV1093" i="1"/>
  <c r="AV1157" i="1"/>
  <c r="AV1221" i="1"/>
  <c r="AV1349" i="1"/>
  <c r="AV1605" i="1"/>
  <c r="Y960" i="1"/>
  <c r="AU960" i="1" s="1"/>
  <c r="Y1024" i="1"/>
  <c r="AU1024" i="1" s="1"/>
  <c r="V928" i="1"/>
  <c r="W928" i="1" s="1"/>
  <c r="Y928" i="1"/>
  <c r="AU928" i="1" s="1"/>
  <c r="V944" i="1"/>
  <c r="W944" i="1" s="1"/>
  <c r="Y944" i="1"/>
  <c r="AU944" i="1" s="1"/>
  <c r="V976" i="1"/>
  <c r="W976" i="1" s="1"/>
  <c r="Y976" i="1"/>
  <c r="AU976" i="1" s="1"/>
  <c r="V992" i="1"/>
  <c r="W992" i="1" s="1"/>
  <c r="Y992" i="1"/>
  <c r="AU992" i="1" s="1"/>
  <c r="V1008" i="1"/>
  <c r="W1008" i="1" s="1"/>
  <c r="Y1008" i="1"/>
  <c r="AU1008" i="1" s="1"/>
  <c r="V1040" i="1"/>
  <c r="W1040" i="1" s="1"/>
  <c r="Y1040" i="1"/>
  <c r="AU1040" i="1" s="1"/>
  <c r="V1056" i="1"/>
  <c r="W1056" i="1" s="1"/>
  <c r="Y1056" i="1"/>
  <c r="AU1056" i="1" s="1"/>
  <c r="V1072" i="1"/>
  <c r="W1072" i="1" s="1"/>
  <c r="Y1072" i="1"/>
  <c r="AU1072" i="1" s="1"/>
  <c r="V1104" i="1"/>
  <c r="W1104" i="1" s="1"/>
  <c r="Y1104" i="1"/>
  <c r="AU1104" i="1" s="1"/>
  <c r="S1112" i="1"/>
  <c r="Y1112" i="1"/>
  <c r="AU1112" i="1" s="1"/>
  <c r="V1120" i="1"/>
  <c r="W1120" i="1" s="1"/>
  <c r="Y1120" i="1"/>
  <c r="AU1120" i="1" s="1"/>
  <c r="S1128" i="1"/>
  <c r="Y1128" i="1"/>
  <c r="AU1128" i="1" s="1"/>
  <c r="V1136" i="1"/>
  <c r="W1136" i="1" s="1"/>
  <c r="Y1136" i="1"/>
  <c r="AU1136" i="1" s="1"/>
  <c r="S1144" i="1"/>
  <c r="Y1144" i="1"/>
  <c r="AU1144" i="1" s="1"/>
  <c r="V1152" i="1"/>
  <c r="W1152" i="1" s="1"/>
  <c r="Y1152" i="1"/>
  <c r="AU1152" i="1" s="1"/>
  <c r="S1160" i="1"/>
  <c r="AT1160" i="1" s="1"/>
  <c r="Y1160" i="1"/>
  <c r="AU1160" i="1" s="1"/>
  <c r="V1168" i="1"/>
  <c r="W1168" i="1" s="1"/>
  <c r="Y1168" i="1"/>
  <c r="AU1168" i="1" s="1"/>
  <c r="S1176" i="1"/>
  <c r="Y1176" i="1"/>
  <c r="AU1176" i="1" s="1"/>
  <c r="V1184" i="1"/>
  <c r="W1184" i="1" s="1"/>
  <c r="Y1184" i="1"/>
  <c r="AU1184" i="1" s="1"/>
  <c r="S1192" i="1"/>
  <c r="Y1192" i="1"/>
  <c r="AU1192" i="1" s="1"/>
  <c r="S1200" i="1"/>
  <c r="AT1200" i="1" s="1"/>
  <c r="V1200" i="1"/>
  <c r="W1200" i="1" s="1"/>
  <c r="Y1200" i="1"/>
  <c r="AU1200" i="1" s="1"/>
  <c r="S1208" i="1"/>
  <c r="AT1208" i="1" s="1"/>
  <c r="Y1208" i="1"/>
  <c r="AU1208" i="1" s="1"/>
  <c r="S1216" i="1"/>
  <c r="Y1216" i="1"/>
  <c r="AU1216" i="1" s="1"/>
  <c r="V1216" i="1"/>
  <c r="W1216" i="1" s="1"/>
  <c r="S1224" i="1"/>
  <c r="AT1224" i="1" s="1"/>
  <c r="Y1224" i="1"/>
  <c r="AU1224" i="1" s="1"/>
  <c r="S1232" i="1"/>
  <c r="Y1232" i="1"/>
  <c r="AU1232" i="1" s="1"/>
  <c r="V1232" i="1"/>
  <c r="W1232" i="1" s="1"/>
  <c r="S1240" i="1"/>
  <c r="Y1240" i="1"/>
  <c r="AU1240" i="1" s="1"/>
  <c r="S1248" i="1"/>
  <c r="AT1248" i="1" s="1"/>
  <c r="V1248" i="1"/>
  <c r="W1248" i="1" s="1"/>
  <c r="Y1248" i="1"/>
  <c r="AU1248" i="1" s="1"/>
  <c r="S1256" i="1"/>
  <c r="Y1256" i="1"/>
  <c r="AU1256" i="1" s="1"/>
  <c r="S1264" i="1"/>
  <c r="AT1264" i="1" s="1"/>
  <c r="Y1264" i="1"/>
  <c r="AU1264" i="1" s="1"/>
  <c r="V1264" i="1"/>
  <c r="S1272" i="1"/>
  <c r="AT1272" i="1" s="1"/>
  <c r="Y1272" i="1"/>
  <c r="AU1272" i="1" s="1"/>
  <c r="S1280" i="1"/>
  <c r="Y1280" i="1"/>
  <c r="AU1280" i="1" s="1"/>
  <c r="V1280" i="1"/>
  <c r="W1280" i="1" s="1"/>
  <c r="S1288" i="1"/>
  <c r="AT1288" i="1" s="1"/>
  <c r="Y1288" i="1"/>
  <c r="AU1288" i="1" s="1"/>
  <c r="S1296" i="1"/>
  <c r="V1296" i="1"/>
  <c r="W1296" i="1" s="1"/>
  <c r="Y1296" i="1"/>
  <c r="AU1296" i="1" s="1"/>
  <c r="S1304" i="1"/>
  <c r="Y1304" i="1"/>
  <c r="AU1304" i="1" s="1"/>
  <c r="S1312" i="1"/>
  <c r="AT1312" i="1" s="1"/>
  <c r="V1312" i="1"/>
  <c r="W1312" i="1" s="1"/>
  <c r="Y1312" i="1"/>
  <c r="AU1312" i="1" s="1"/>
  <c r="S1320" i="1"/>
  <c r="Y1320" i="1"/>
  <c r="AU1320" i="1" s="1"/>
  <c r="S1328" i="1"/>
  <c r="AT1328" i="1" s="1"/>
  <c r="V1328" i="1"/>
  <c r="W1328" i="1" s="1"/>
  <c r="Y1328" i="1"/>
  <c r="AU1328" i="1" s="1"/>
  <c r="S1336" i="1"/>
  <c r="AT1336" i="1" s="1"/>
  <c r="Y1336" i="1"/>
  <c r="AU1336" i="1" s="1"/>
  <c r="S1344" i="1"/>
  <c r="Y1344" i="1"/>
  <c r="AU1344" i="1" s="1"/>
  <c r="V1344" i="1"/>
  <c r="W1344" i="1" s="1"/>
  <c r="S1352" i="1"/>
  <c r="AT1352" i="1" s="1"/>
  <c r="Y1352" i="1"/>
  <c r="AU1352" i="1" s="1"/>
  <c r="S1360" i="1"/>
  <c r="Y1360" i="1"/>
  <c r="AU1360" i="1" s="1"/>
  <c r="V1360" i="1"/>
  <c r="W1360" i="1" s="1"/>
  <c r="S1368" i="1"/>
  <c r="Y1368" i="1"/>
  <c r="AU1368" i="1" s="1"/>
  <c r="S1376" i="1"/>
  <c r="T1376" i="1" s="1"/>
  <c r="V1376" i="1"/>
  <c r="W1376" i="1" s="1"/>
  <c r="Y1376" i="1"/>
  <c r="AU1376" i="1" s="1"/>
  <c r="S1384" i="1"/>
  <c r="Y1384" i="1"/>
  <c r="AU1384" i="1" s="1"/>
  <c r="S1392" i="1"/>
  <c r="AT1392" i="1" s="1"/>
  <c r="V1392" i="1"/>
  <c r="W1392" i="1" s="1"/>
  <c r="Y1392" i="1"/>
  <c r="AU1392" i="1" s="1"/>
  <c r="S1400" i="1"/>
  <c r="T1400" i="1" s="1"/>
  <c r="Y1400" i="1"/>
  <c r="AU1400" i="1" s="1"/>
  <c r="V1400" i="1"/>
  <c r="W1400" i="1" s="1"/>
  <c r="S1408" i="1"/>
  <c r="Y1408" i="1"/>
  <c r="AU1408" i="1" s="1"/>
  <c r="V1408" i="1"/>
  <c r="W1408" i="1" s="1"/>
  <c r="S1416" i="1"/>
  <c r="V1416" i="1"/>
  <c r="W1416" i="1" s="1"/>
  <c r="Y1416" i="1"/>
  <c r="AU1416" i="1" s="1"/>
  <c r="S1424" i="1"/>
  <c r="AT1424" i="1" s="1"/>
  <c r="V1424" i="1"/>
  <c r="Y1424" i="1"/>
  <c r="AU1424" i="1" s="1"/>
  <c r="S1432" i="1"/>
  <c r="AT1432" i="1" s="1"/>
  <c r="V1432" i="1"/>
  <c r="W1432" i="1" s="1"/>
  <c r="Y1432" i="1"/>
  <c r="AU1432" i="1" s="1"/>
  <c r="S1440" i="1"/>
  <c r="AT1440" i="1" s="1"/>
  <c r="Y1440" i="1"/>
  <c r="AU1440" i="1" s="1"/>
  <c r="V1440" i="1"/>
  <c r="W1440" i="1" s="1"/>
  <c r="S1448" i="1"/>
  <c r="V1448" i="1"/>
  <c r="W1448" i="1" s="1"/>
  <c r="Y1448" i="1"/>
  <c r="AU1448" i="1" s="1"/>
  <c r="S1456" i="1"/>
  <c r="AT1456" i="1" s="1"/>
  <c r="V1456" i="1"/>
  <c r="Y1456" i="1"/>
  <c r="AU1456" i="1" s="1"/>
  <c r="S1464" i="1"/>
  <c r="AT1464" i="1" s="1"/>
  <c r="V1464" i="1"/>
  <c r="W1464" i="1" s="1"/>
  <c r="Y1464" i="1"/>
  <c r="AU1464" i="1" s="1"/>
  <c r="S1472" i="1"/>
  <c r="Y1472" i="1"/>
  <c r="AU1472" i="1" s="1"/>
  <c r="V1472" i="1"/>
  <c r="W1472" i="1" s="1"/>
  <c r="S1480" i="1"/>
  <c r="V1480" i="1"/>
  <c r="W1480" i="1" s="1"/>
  <c r="Y1480" i="1"/>
  <c r="AU1480" i="1" s="1"/>
  <c r="S1488" i="1"/>
  <c r="AT1488" i="1" s="1"/>
  <c r="Y1488" i="1"/>
  <c r="AU1488" i="1" s="1"/>
  <c r="V1488" i="1"/>
  <c r="W1488" i="1" s="1"/>
  <c r="S1496" i="1"/>
  <c r="AT1496" i="1" s="1"/>
  <c r="V1496" i="1"/>
  <c r="W1496" i="1" s="1"/>
  <c r="Y1496" i="1"/>
  <c r="AU1496" i="1" s="1"/>
  <c r="S1504" i="1"/>
  <c r="Y1504" i="1"/>
  <c r="AU1504" i="1" s="1"/>
  <c r="V1504" i="1"/>
  <c r="W1504" i="1" s="1"/>
  <c r="S1512" i="1"/>
  <c r="V1512" i="1"/>
  <c r="W1512" i="1" s="1"/>
  <c r="Y1512" i="1"/>
  <c r="AU1512" i="1" s="1"/>
  <c r="S1520" i="1"/>
  <c r="AT1520" i="1" s="1"/>
  <c r="V1520" i="1"/>
  <c r="W1520" i="1" s="1"/>
  <c r="Y1520" i="1"/>
  <c r="AU1520" i="1" s="1"/>
  <c r="S1528" i="1"/>
  <c r="AT1528" i="1" s="1"/>
  <c r="Y1528" i="1"/>
  <c r="AU1528" i="1" s="1"/>
  <c r="V1528" i="1"/>
  <c r="W1528" i="1" s="1"/>
  <c r="S1536" i="1"/>
  <c r="Y1536" i="1"/>
  <c r="AU1536" i="1" s="1"/>
  <c r="V1536" i="1"/>
  <c r="W1536" i="1" s="1"/>
  <c r="S1544" i="1"/>
  <c r="V1544" i="1"/>
  <c r="W1544" i="1" s="1"/>
  <c r="Y1544" i="1"/>
  <c r="AU1544" i="1" s="1"/>
  <c r="S1552" i="1"/>
  <c r="AT1552" i="1" s="1"/>
  <c r="V1552" i="1"/>
  <c r="W1552" i="1" s="1"/>
  <c r="Y1552" i="1"/>
  <c r="AU1552" i="1" s="1"/>
  <c r="S1560" i="1"/>
  <c r="T1560" i="1" s="1"/>
  <c r="V1560" i="1"/>
  <c r="Y1560" i="1"/>
  <c r="AU1560" i="1" s="1"/>
  <c r="S1568" i="1"/>
  <c r="Y1568" i="1"/>
  <c r="AU1568" i="1" s="1"/>
  <c r="V1568" i="1"/>
  <c r="W1568" i="1" s="1"/>
  <c r="S1576" i="1"/>
  <c r="V1576" i="1"/>
  <c r="W1576" i="1" s="1"/>
  <c r="Y1576" i="1"/>
  <c r="AU1576" i="1" s="1"/>
  <c r="S1584" i="1"/>
  <c r="AT1584" i="1" s="1"/>
  <c r="V1584" i="1"/>
  <c r="W1584" i="1" s="1"/>
  <c r="Y1584" i="1"/>
  <c r="AU1584" i="1" s="1"/>
  <c r="S1592" i="1"/>
  <c r="AT1592" i="1" s="1"/>
  <c r="V1592" i="1"/>
  <c r="W1592" i="1" s="1"/>
  <c r="Y1592" i="1"/>
  <c r="AU1592" i="1" s="1"/>
  <c r="S1600" i="1"/>
  <c r="Y1600" i="1"/>
  <c r="AU1600" i="1" s="1"/>
  <c r="V1600" i="1"/>
  <c r="W1600" i="1" s="1"/>
  <c r="S1608" i="1"/>
  <c r="V1608" i="1"/>
  <c r="W1608" i="1" s="1"/>
  <c r="Y1608" i="1"/>
  <c r="AU1608" i="1" s="1"/>
  <c r="S1616" i="1"/>
  <c r="AT1616" i="1" s="1"/>
  <c r="Y1616" i="1"/>
  <c r="AU1616" i="1" s="1"/>
  <c r="V1616" i="1"/>
  <c r="W1616" i="1" s="1"/>
  <c r="S1624" i="1"/>
  <c r="AT1624" i="1" s="1"/>
  <c r="V1624" i="1"/>
  <c r="W1624" i="1" s="1"/>
  <c r="Y1624" i="1"/>
  <c r="AU1624" i="1" s="1"/>
  <c r="S1632" i="1"/>
  <c r="Y1632" i="1"/>
  <c r="AU1632" i="1" s="1"/>
  <c r="V1632" i="1"/>
  <c r="W1632" i="1" s="1"/>
  <c r="S1640" i="1"/>
  <c r="V1640" i="1"/>
  <c r="W1640" i="1" s="1"/>
  <c r="Y1640" i="1"/>
  <c r="AU1640" i="1" s="1"/>
  <c r="S1648" i="1"/>
  <c r="AT1648" i="1" s="1"/>
  <c r="V1648" i="1"/>
  <c r="W1648" i="1" s="1"/>
  <c r="Y1648" i="1"/>
  <c r="AU1648" i="1" s="1"/>
  <c r="S1656" i="1"/>
  <c r="AT1656" i="1" s="1"/>
  <c r="Y1656" i="1"/>
  <c r="AU1656" i="1" s="1"/>
  <c r="V1656" i="1"/>
  <c r="W1656" i="1" s="1"/>
  <c r="S1664" i="1"/>
  <c r="Y1664" i="1"/>
  <c r="AU1664" i="1" s="1"/>
  <c r="V1664" i="1"/>
  <c r="W1664" i="1" s="1"/>
  <c r="S1672" i="1"/>
  <c r="V1672" i="1"/>
  <c r="W1672" i="1" s="1"/>
  <c r="Y1672" i="1"/>
  <c r="AU1672" i="1" s="1"/>
  <c r="S1680" i="1"/>
  <c r="AT1680" i="1" s="1"/>
  <c r="V1680" i="1"/>
  <c r="W1680" i="1" s="1"/>
  <c r="Y1680" i="1"/>
  <c r="AU1680" i="1" s="1"/>
  <c r="S1688" i="1"/>
  <c r="T1688" i="1" s="1"/>
  <c r="V1688" i="1"/>
  <c r="W1688" i="1" s="1"/>
  <c r="Y1688" i="1"/>
  <c r="AU1688" i="1" s="1"/>
  <c r="S1696" i="1"/>
  <c r="Y1696" i="1"/>
  <c r="AU1696" i="1" s="1"/>
  <c r="V1696" i="1"/>
  <c r="W1696" i="1" s="1"/>
  <c r="S1704" i="1"/>
  <c r="V1704" i="1"/>
  <c r="W1704" i="1" s="1"/>
  <c r="Y1704" i="1"/>
  <c r="AU1704" i="1" s="1"/>
  <c r="S1712" i="1"/>
  <c r="AT1712" i="1" s="1"/>
  <c r="V1712" i="1"/>
  <c r="W1712" i="1" s="1"/>
  <c r="Y1712" i="1"/>
  <c r="AU1712" i="1" s="1"/>
  <c r="S1720" i="1"/>
  <c r="AT1720" i="1" s="1"/>
  <c r="V1720" i="1"/>
  <c r="W1720" i="1" s="1"/>
  <c r="Y1720" i="1"/>
  <c r="AU1720" i="1" s="1"/>
  <c r="S1728" i="1"/>
  <c r="Y1728" i="1"/>
  <c r="AU1728" i="1" s="1"/>
  <c r="V1728" i="1"/>
  <c r="W1728" i="1" s="1"/>
  <c r="Y1088" i="1"/>
  <c r="AU1088" i="1" s="1"/>
  <c r="AV997" i="1"/>
  <c r="AV1061" i="1"/>
  <c r="AV1253" i="1"/>
  <c r="AV1317" i="1"/>
  <c r="AV1381" i="1"/>
  <c r="AV1509" i="1"/>
  <c r="AV1573" i="1"/>
  <c r="AV928" i="1"/>
  <c r="AV960" i="1"/>
  <c r="AV976" i="1"/>
  <c r="AV992" i="1"/>
  <c r="AV1008" i="1"/>
  <c r="AV1056" i="1"/>
  <c r="AV1072" i="1"/>
  <c r="AV1088" i="1"/>
  <c r="AV1104" i="1"/>
  <c r="AV1120" i="1"/>
  <c r="AV1152" i="1"/>
  <c r="AV1160" i="1"/>
  <c r="AV1168" i="1"/>
  <c r="AV1184" i="1"/>
  <c r="AV1192" i="1"/>
  <c r="AV1200" i="1"/>
  <c r="AV1216" i="1"/>
  <c r="AV1224" i="1"/>
  <c r="AV1232" i="1"/>
  <c r="AV1240" i="1"/>
  <c r="AV1248" i="1"/>
  <c r="AV1264" i="1"/>
  <c r="AV1280" i="1"/>
  <c r="AV1288" i="1"/>
  <c r="AV1304" i="1"/>
  <c r="AV1312" i="1"/>
  <c r="AV1328" i="1"/>
  <c r="AV1344" i="1"/>
  <c r="AV1352" i="1"/>
  <c r="AV1368" i="1"/>
  <c r="AV1376" i="1"/>
  <c r="AV1384" i="1"/>
  <c r="AV1392" i="1"/>
  <c r="AV1424" i="1"/>
  <c r="AV1432" i="1"/>
  <c r="AV1456" i="1"/>
  <c r="AV1464" i="1"/>
  <c r="AV1488" i="1"/>
  <c r="AV1496" i="1"/>
  <c r="AV1504" i="1"/>
  <c r="AV1520" i="1"/>
  <c r="AV1528" i="1"/>
  <c r="AV1552" i="1"/>
  <c r="AV1584" i="1"/>
  <c r="AV1592" i="1"/>
  <c r="AV1600" i="1"/>
  <c r="AV1616" i="1"/>
  <c r="AV1624" i="1"/>
  <c r="AV1648" i="1"/>
  <c r="AV1680" i="1"/>
  <c r="AV1688" i="1"/>
  <c r="AV1696" i="1"/>
  <c r="AV1712" i="1"/>
  <c r="AV1720" i="1"/>
  <c r="W33" i="1"/>
  <c r="W209" i="1"/>
  <c r="W281" i="1"/>
  <c r="W1268" i="1"/>
  <c r="W1316" i="1"/>
  <c r="W1404" i="1"/>
  <c r="W1412" i="1"/>
  <c r="W1460" i="1"/>
  <c r="W1652" i="1"/>
  <c r="W305" i="1"/>
  <c r="W393" i="1"/>
  <c r="W473" i="1"/>
  <c r="W521" i="1"/>
  <c r="W633" i="1"/>
  <c r="W657" i="1"/>
  <c r="W673" i="1"/>
  <c r="W737" i="1"/>
  <c r="W777" i="1"/>
  <c r="W841" i="1"/>
  <c r="W945" i="1"/>
  <c r="W953" i="1"/>
  <c r="W961" i="1"/>
  <c r="W969" i="1"/>
  <c r="W993" i="1"/>
  <c r="W1017" i="1"/>
  <c r="W1209" i="1"/>
  <c r="W1249" i="1"/>
  <c r="W1265" i="1"/>
  <c r="W1361" i="1"/>
  <c r="W1441" i="1"/>
  <c r="W1497" i="1"/>
  <c r="W1513" i="1"/>
  <c r="W1705" i="1"/>
  <c r="W1729" i="1"/>
  <c r="Y909" i="1"/>
  <c r="AU909" i="1" s="1"/>
  <c r="Y973" i="1"/>
  <c r="AU973" i="1" s="1"/>
  <c r="Y1005" i="1"/>
  <c r="AU1005" i="1" s="1"/>
  <c r="Y1037" i="1"/>
  <c r="AU1037" i="1" s="1"/>
  <c r="Y1069" i="1"/>
  <c r="AU1069" i="1" s="1"/>
  <c r="Y1101" i="1"/>
  <c r="AU1101" i="1" s="1"/>
  <c r="Y1133" i="1"/>
  <c r="AU1133" i="1" s="1"/>
  <c r="Y1165" i="1"/>
  <c r="AU1165" i="1" s="1"/>
  <c r="Y1197" i="1"/>
  <c r="AU1197" i="1" s="1"/>
  <c r="Y1229" i="1"/>
  <c r="AU1229" i="1" s="1"/>
  <c r="Y1261" i="1"/>
  <c r="AU1261" i="1" s="1"/>
  <c r="Y1293" i="1"/>
  <c r="AU1293" i="1" s="1"/>
  <c r="Y1325" i="1"/>
  <c r="AU1325" i="1" s="1"/>
  <c r="Y1357" i="1"/>
  <c r="AU1357" i="1" s="1"/>
  <c r="Y1389" i="1"/>
  <c r="AU1389" i="1" s="1"/>
  <c r="Y1421" i="1"/>
  <c r="AU1421" i="1" s="1"/>
  <c r="Y1453" i="1"/>
  <c r="AU1453" i="1" s="1"/>
  <c r="Y1485" i="1"/>
  <c r="AU1485" i="1" s="1"/>
  <c r="Y1517" i="1"/>
  <c r="AU1517" i="1" s="1"/>
  <c r="Y1549" i="1"/>
  <c r="AU1549" i="1" s="1"/>
  <c r="Y1581" i="1"/>
  <c r="AU1581" i="1" s="1"/>
  <c r="Y1613" i="1"/>
  <c r="AU1613" i="1" s="1"/>
  <c r="Y1645" i="1"/>
  <c r="AU1645" i="1" s="1"/>
  <c r="V1229" i="1"/>
  <c r="W1229" i="1" s="1"/>
  <c r="V1293" i="1"/>
  <c r="W1293" i="1" s="1"/>
  <c r="V1325" i="1"/>
  <c r="V1357" i="1"/>
  <c r="V1389" i="1"/>
  <c r="W1389" i="1" s="1"/>
  <c r="V1421" i="1"/>
  <c r="W1421" i="1" s="1"/>
  <c r="V1453" i="1"/>
  <c r="V1485" i="1"/>
  <c r="W1485" i="1" s="1"/>
  <c r="V1517" i="1"/>
  <c r="W1517" i="1" s="1"/>
  <c r="V1549" i="1"/>
  <c r="W1549" i="1" s="1"/>
  <c r="V1581" i="1"/>
  <c r="W1581" i="1" s="1"/>
  <c r="V1613" i="1"/>
  <c r="W1613" i="1" s="1"/>
  <c r="V1645" i="1"/>
  <c r="W1645" i="1" s="1"/>
  <c r="V1677" i="1"/>
  <c r="W13" i="1"/>
  <c r="W61" i="1"/>
  <c r="W109" i="1"/>
  <c r="W141" i="1"/>
  <c r="W237" i="1"/>
  <c r="W253" i="1"/>
  <c r="W493" i="1"/>
  <c r="W541" i="1"/>
  <c r="W557" i="1"/>
  <c r="W861" i="1"/>
  <c r="W957" i="1"/>
  <c r="W1005" i="1"/>
  <c r="Y877" i="1"/>
  <c r="AU877" i="1" s="1"/>
  <c r="Y941" i="1"/>
  <c r="AU941" i="1" s="1"/>
  <c r="Y989" i="1"/>
  <c r="AU989" i="1" s="1"/>
  <c r="Y1021" i="1"/>
  <c r="AU1021" i="1" s="1"/>
  <c r="Y1053" i="1"/>
  <c r="AU1053" i="1" s="1"/>
  <c r="Y1085" i="1"/>
  <c r="AU1085" i="1" s="1"/>
  <c r="Y1117" i="1"/>
  <c r="AU1117" i="1" s="1"/>
  <c r="Y1149" i="1"/>
  <c r="AU1149" i="1" s="1"/>
  <c r="Y1181" i="1"/>
  <c r="AU1181" i="1" s="1"/>
  <c r="Y1213" i="1"/>
  <c r="AU1213" i="1" s="1"/>
  <c r="Y1245" i="1"/>
  <c r="AU1245" i="1" s="1"/>
  <c r="Y1277" i="1"/>
  <c r="AU1277" i="1" s="1"/>
  <c r="Y1309" i="1"/>
  <c r="AU1309" i="1" s="1"/>
  <c r="Y1341" i="1"/>
  <c r="AU1341" i="1" s="1"/>
  <c r="Y1373" i="1"/>
  <c r="AU1373" i="1" s="1"/>
  <c r="Y1405" i="1"/>
  <c r="AU1405" i="1" s="1"/>
  <c r="Y1437" i="1"/>
  <c r="AU1437" i="1" s="1"/>
  <c r="Y1469" i="1"/>
  <c r="AU1469" i="1" s="1"/>
  <c r="Y1501" i="1"/>
  <c r="AU1501" i="1" s="1"/>
  <c r="Y1533" i="1"/>
  <c r="AU1533" i="1" s="1"/>
  <c r="Y1565" i="1"/>
  <c r="AU1565" i="1" s="1"/>
  <c r="Y1597" i="1"/>
  <c r="AU1597" i="1" s="1"/>
  <c r="Y1629" i="1"/>
  <c r="AU1629" i="1" s="1"/>
  <c r="Y1661" i="1"/>
  <c r="AU1661" i="1" s="1"/>
  <c r="Y1693" i="1"/>
  <c r="AU1693" i="1" s="1"/>
  <c r="Y1725" i="1"/>
  <c r="AU1725" i="1" s="1"/>
  <c r="V1261" i="1"/>
  <c r="W1261" i="1" s="1"/>
  <c r="V1309" i="1"/>
  <c r="V1341" i="1"/>
  <c r="W1341" i="1" s="1"/>
  <c r="V1373" i="1"/>
  <c r="W1373" i="1" s="1"/>
  <c r="V1405" i="1"/>
  <c r="W1405" i="1" s="1"/>
  <c r="V1437" i="1"/>
  <c r="W1437" i="1" s="1"/>
  <c r="V1469" i="1"/>
  <c r="W1469" i="1" s="1"/>
  <c r="V1501" i="1"/>
  <c r="W1501" i="1" s="1"/>
  <c r="V1533" i="1"/>
  <c r="W1533" i="1" s="1"/>
  <c r="V1565" i="1"/>
  <c r="W1565" i="1" s="1"/>
  <c r="V1597" i="1"/>
  <c r="W1597" i="1" s="1"/>
  <c r="V1629" i="1"/>
  <c r="W1629" i="1" s="1"/>
  <c r="V1661" i="1"/>
  <c r="W1661" i="1" s="1"/>
  <c r="V1693" i="1"/>
  <c r="V1725" i="1"/>
  <c r="W1725" i="1" s="1"/>
  <c r="AV1480" i="1"/>
  <c r="AV1608" i="1"/>
  <c r="BJ136" i="1"/>
  <c r="BJ184" i="1"/>
  <c r="BJ344" i="1"/>
  <c r="BJ536" i="1"/>
  <c r="BJ880" i="1"/>
  <c r="BJ1632" i="1"/>
  <c r="BJ497" i="1"/>
  <c r="BJ617" i="1"/>
  <c r="AV2" i="1"/>
  <c r="T2" i="1"/>
  <c r="AT2" i="1"/>
  <c r="BJ1029" i="1"/>
  <c r="BJ1397" i="1"/>
  <c r="BJ1461" i="1"/>
  <c r="BJ1541" i="1"/>
  <c r="BJ1557" i="1"/>
  <c r="BJ502" i="1"/>
  <c r="BJ566" i="1"/>
  <c r="BJ582" i="1"/>
  <c r="BJ614" i="1"/>
  <c r="BJ854" i="1"/>
  <c r="BJ870" i="1"/>
  <c r="BJ1398" i="1"/>
  <c r="BJ1414" i="1"/>
  <c r="BJ1462" i="1"/>
  <c r="BJ1558" i="1"/>
  <c r="BJ1574" i="1"/>
  <c r="BJ131" i="1"/>
  <c r="BJ563" i="1"/>
  <c r="BJ1131" i="1"/>
  <c r="BJ1275" i="1"/>
  <c r="BJ1427" i="1"/>
  <c r="AT8" i="1"/>
  <c r="T8" i="1"/>
  <c r="AT24" i="1"/>
  <c r="T24" i="1"/>
  <c r="AT40" i="1"/>
  <c r="T40" i="1"/>
  <c r="AT56" i="1"/>
  <c r="T56" i="1"/>
  <c r="AT72" i="1"/>
  <c r="T72" i="1"/>
  <c r="AT88" i="1"/>
  <c r="T88" i="1"/>
  <c r="AT104" i="1"/>
  <c r="T104" i="1"/>
  <c r="AT120" i="1"/>
  <c r="T120" i="1"/>
  <c r="AT136" i="1"/>
  <c r="T136" i="1"/>
  <c r="AT152" i="1"/>
  <c r="T152" i="1"/>
  <c r="AT168" i="1"/>
  <c r="T168" i="1"/>
  <c r="AT184" i="1"/>
  <c r="T184" i="1"/>
  <c r="AT200" i="1"/>
  <c r="T200" i="1"/>
  <c r="AT216" i="1"/>
  <c r="T216" i="1"/>
  <c r="AT232" i="1"/>
  <c r="T232" i="1"/>
  <c r="AT248" i="1"/>
  <c r="T248" i="1"/>
  <c r="AT264" i="1"/>
  <c r="T264" i="1"/>
  <c r="AT280" i="1"/>
  <c r="T280" i="1"/>
  <c r="AT296" i="1"/>
  <c r="T296" i="1"/>
  <c r="AT312" i="1"/>
  <c r="T312" i="1"/>
  <c r="AT328" i="1"/>
  <c r="T328" i="1"/>
  <c r="AT344" i="1"/>
  <c r="T344" i="1"/>
  <c r="AT360" i="1"/>
  <c r="T360" i="1"/>
  <c r="AT376" i="1"/>
  <c r="T376" i="1"/>
  <c r="AT392" i="1"/>
  <c r="T392" i="1"/>
  <c r="AT408" i="1"/>
  <c r="T408" i="1"/>
  <c r="AT424" i="1"/>
  <c r="T424" i="1"/>
  <c r="AT440" i="1"/>
  <c r="T440" i="1"/>
  <c r="AT456" i="1"/>
  <c r="T456" i="1"/>
  <c r="AT472" i="1"/>
  <c r="T472" i="1"/>
  <c r="AT488" i="1"/>
  <c r="T488" i="1"/>
  <c r="AT504" i="1"/>
  <c r="T504" i="1"/>
  <c r="AT520" i="1"/>
  <c r="T520" i="1"/>
  <c r="AT536" i="1"/>
  <c r="T536" i="1"/>
  <c r="AT552" i="1"/>
  <c r="T552" i="1"/>
  <c r="AT568" i="1"/>
  <c r="T568" i="1"/>
  <c r="AT584" i="1"/>
  <c r="T584" i="1"/>
  <c r="AT600" i="1"/>
  <c r="T600" i="1"/>
  <c r="AT616" i="1"/>
  <c r="T616" i="1"/>
  <c r="AT632" i="1"/>
  <c r="T632" i="1"/>
  <c r="AT648" i="1"/>
  <c r="T648" i="1"/>
  <c r="AT664" i="1"/>
  <c r="T664" i="1"/>
  <c r="AT680" i="1"/>
  <c r="T680" i="1"/>
  <c r="AT696" i="1"/>
  <c r="T696" i="1"/>
  <c r="AT712" i="1"/>
  <c r="T712" i="1"/>
  <c r="T728" i="1"/>
  <c r="AT728" i="1"/>
  <c r="T744" i="1"/>
  <c r="AT744" i="1"/>
  <c r="T760" i="1"/>
  <c r="AT760" i="1"/>
  <c r="T776" i="1"/>
  <c r="AT776" i="1"/>
  <c r="T792" i="1"/>
  <c r="AT792" i="1"/>
  <c r="T808" i="1"/>
  <c r="AT808" i="1"/>
  <c r="T824" i="1"/>
  <c r="AT824" i="1"/>
  <c r="T840" i="1"/>
  <c r="AT840" i="1"/>
  <c r="T856" i="1"/>
  <c r="AT856" i="1"/>
  <c r="T872" i="1"/>
  <c r="AT872" i="1"/>
  <c r="T888" i="1"/>
  <c r="AT888" i="1"/>
  <c r="T904" i="1"/>
  <c r="AT904" i="1"/>
  <c r="T920" i="1"/>
  <c r="AT920" i="1"/>
  <c r="T936" i="1"/>
  <c r="AT936" i="1"/>
  <c r="T952" i="1"/>
  <c r="AT952" i="1"/>
  <c r="T968" i="1"/>
  <c r="AT968" i="1"/>
  <c r="T984" i="1"/>
  <c r="AT984" i="1"/>
  <c r="T1000" i="1"/>
  <c r="AT1000" i="1"/>
  <c r="T1016" i="1"/>
  <c r="AT1016" i="1"/>
  <c r="T1032" i="1"/>
  <c r="AT1032" i="1"/>
  <c r="T1048" i="1"/>
  <c r="AT1048" i="1"/>
  <c r="T1064" i="1"/>
  <c r="AT1064" i="1"/>
  <c r="T1080" i="1"/>
  <c r="AT1080" i="1"/>
  <c r="T1096" i="1"/>
  <c r="AT1096" i="1"/>
  <c r="T1112" i="1"/>
  <c r="AT1112" i="1"/>
  <c r="T1128" i="1"/>
  <c r="AT1128" i="1"/>
  <c r="T1144" i="1"/>
  <c r="AT1144" i="1"/>
  <c r="T1160" i="1"/>
  <c r="T1176" i="1"/>
  <c r="AT1176" i="1"/>
  <c r="T1192" i="1"/>
  <c r="AT1192" i="1"/>
  <c r="AT1216" i="1"/>
  <c r="T1216" i="1"/>
  <c r="T1224" i="1"/>
  <c r="AT1232" i="1"/>
  <c r="T1232" i="1"/>
  <c r="AT1240" i="1"/>
  <c r="T1240" i="1"/>
  <c r="AT1256" i="1"/>
  <c r="T1256" i="1"/>
  <c r="AT1280" i="1"/>
  <c r="T1280" i="1"/>
  <c r="T1288" i="1"/>
  <c r="AT1296" i="1"/>
  <c r="T1296" i="1"/>
  <c r="AT1304" i="1"/>
  <c r="T1304" i="1"/>
  <c r="T1312" i="1"/>
  <c r="AT1320" i="1"/>
  <c r="T1320" i="1"/>
  <c r="T1336" i="1"/>
  <c r="AT1344" i="1"/>
  <c r="T1344" i="1"/>
  <c r="T1352" i="1"/>
  <c r="AT1360" i="1"/>
  <c r="T1360" i="1"/>
  <c r="AT1368" i="1"/>
  <c r="T1368" i="1"/>
  <c r="AT1376" i="1"/>
  <c r="AT1384" i="1"/>
  <c r="T1384" i="1"/>
  <c r="AT1400" i="1"/>
  <c r="AT1408" i="1"/>
  <c r="T1408" i="1"/>
  <c r="AT1416" i="1"/>
  <c r="T1416" i="1"/>
  <c r="AT1448" i="1"/>
  <c r="T1448" i="1"/>
  <c r="T1456" i="1"/>
  <c r="T1464" i="1"/>
  <c r="AT1472" i="1"/>
  <c r="T1472" i="1"/>
  <c r="AT1480" i="1"/>
  <c r="T1480" i="1"/>
  <c r="T1488" i="1"/>
  <c r="AT1504" i="1"/>
  <c r="T1504" i="1"/>
  <c r="AT1512" i="1"/>
  <c r="T1512" i="1"/>
  <c r="T1520" i="1"/>
  <c r="AT1536" i="1"/>
  <c r="T1536" i="1"/>
  <c r="AT1544" i="1"/>
  <c r="T1544" i="1"/>
  <c r="T1552" i="1"/>
  <c r="AT1560" i="1"/>
  <c r="AT1568" i="1"/>
  <c r="T1568" i="1"/>
  <c r="AT1576" i="1"/>
  <c r="T1576" i="1"/>
  <c r="T1584" i="1"/>
  <c r="T1592" i="1"/>
  <c r="AT1600" i="1"/>
  <c r="T1600" i="1"/>
  <c r="AT1608" i="1"/>
  <c r="T1608" i="1"/>
  <c r="T1616" i="1"/>
  <c r="AT1632" i="1"/>
  <c r="T1632" i="1"/>
  <c r="AT1640" i="1"/>
  <c r="T1640" i="1"/>
  <c r="T1648" i="1"/>
  <c r="AT1664" i="1"/>
  <c r="T1664" i="1"/>
  <c r="AT1672" i="1"/>
  <c r="T1672" i="1"/>
  <c r="T1680" i="1"/>
  <c r="AT1688" i="1"/>
  <c r="AT1696" i="1"/>
  <c r="T1696" i="1"/>
  <c r="AT1704" i="1"/>
  <c r="T1704" i="1"/>
  <c r="T1712" i="1"/>
  <c r="T1720" i="1"/>
  <c r="AT1728" i="1"/>
  <c r="T1728" i="1"/>
  <c r="AT6" i="1"/>
  <c r="T6" i="1"/>
  <c r="AT14" i="1"/>
  <c r="T14" i="1"/>
  <c r="AT22" i="1"/>
  <c r="T22" i="1"/>
  <c r="AT30" i="1"/>
  <c r="T30" i="1"/>
  <c r="AT38" i="1"/>
  <c r="T38" i="1"/>
  <c r="AT46" i="1"/>
  <c r="T46" i="1"/>
  <c r="AT54" i="1"/>
  <c r="T54" i="1"/>
  <c r="AT62" i="1"/>
  <c r="T62" i="1"/>
  <c r="AT70" i="1"/>
  <c r="T70" i="1"/>
  <c r="AT78" i="1"/>
  <c r="T78" i="1"/>
  <c r="AT86" i="1"/>
  <c r="T86" i="1"/>
  <c r="AT94" i="1"/>
  <c r="T94" i="1"/>
  <c r="AT102" i="1"/>
  <c r="T102" i="1"/>
  <c r="AT110" i="1"/>
  <c r="T110" i="1"/>
  <c r="AT118" i="1"/>
  <c r="T118" i="1"/>
  <c r="AT126" i="1"/>
  <c r="T126" i="1"/>
  <c r="AT134" i="1"/>
  <c r="T134" i="1"/>
  <c r="AT142" i="1"/>
  <c r="T142" i="1"/>
  <c r="AT150" i="1"/>
  <c r="T150" i="1"/>
  <c r="AT158" i="1"/>
  <c r="T158" i="1"/>
  <c r="AT166" i="1"/>
  <c r="T166" i="1"/>
  <c r="AT174" i="1"/>
  <c r="T174" i="1"/>
  <c r="AT182" i="1"/>
  <c r="T182" i="1"/>
  <c r="AT190" i="1"/>
  <c r="T190" i="1"/>
  <c r="AT198" i="1"/>
  <c r="T198" i="1"/>
  <c r="AT206" i="1"/>
  <c r="T206" i="1"/>
  <c r="AT214" i="1"/>
  <c r="T214" i="1"/>
  <c r="AT222" i="1"/>
  <c r="T222" i="1"/>
  <c r="AT230" i="1"/>
  <c r="T230" i="1"/>
  <c r="AT238" i="1"/>
  <c r="T238" i="1"/>
  <c r="AT246" i="1"/>
  <c r="T246" i="1"/>
  <c r="AT254" i="1"/>
  <c r="T254" i="1"/>
  <c r="AT262" i="1"/>
  <c r="T262" i="1"/>
  <c r="AT270" i="1"/>
  <c r="T270" i="1"/>
  <c r="AT278" i="1"/>
  <c r="T278" i="1"/>
  <c r="AT286" i="1"/>
  <c r="T286" i="1"/>
  <c r="AT294" i="1"/>
  <c r="T294" i="1"/>
  <c r="AT302" i="1"/>
  <c r="T302" i="1"/>
  <c r="AT310" i="1"/>
  <c r="T310" i="1"/>
  <c r="AT318" i="1"/>
  <c r="T318" i="1"/>
  <c r="AT326" i="1"/>
  <c r="T326" i="1"/>
  <c r="AT334" i="1"/>
  <c r="T334" i="1"/>
  <c r="AT342" i="1"/>
  <c r="T342" i="1"/>
  <c r="AT350" i="1"/>
  <c r="T350" i="1"/>
  <c r="AT358" i="1"/>
  <c r="T358" i="1"/>
  <c r="AT366" i="1"/>
  <c r="T366" i="1"/>
  <c r="AT374" i="1"/>
  <c r="T374" i="1"/>
  <c r="AT382" i="1"/>
  <c r="T382" i="1"/>
  <c r="AT390" i="1"/>
  <c r="T390" i="1"/>
  <c r="AT398" i="1"/>
  <c r="T398" i="1"/>
  <c r="AT406" i="1"/>
  <c r="T406" i="1"/>
  <c r="AT414" i="1"/>
  <c r="T414" i="1"/>
  <c r="AT422" i="1"/>
  <c r="T422" i="1"/>
  <c r="AT430" i="1"/>
  <c r="T430" i="1"/>
  <c r="AT438" i="1"/>
  <c r="T438" i="1"/>
  <c r="AT446" i="1"/>
  <c r="T446" i="1"/>
  <c r="AT454" i="1"/>
  <c r="T454" i="1"/>
  <c r="AT462" i="1"/>
  <c r="T462" i="1"/>
  <c r="AT470" i="1"/>
  <c r="T470" i="1"/>
  <c r="AT478" i="1"/>
  <c r="T478" i="1"/>
  <c r="AT486" i="1"/>
  <c r="T486" i="1"/>
  <c r="AT494" i="1"/>
  <c r="T494" i="1"/>
  <c r="AT502" i="1"/>
  <c r="T502" i="1"/>
  <c r="AT510" i="1"/>
  <c r="T510" i="1"/>
  <c r="AT518" i="1"/>
  <c r="T518" i="1"/>
  <c r="AT526" i="1"/>
  <c r="T526" i="1"/>
  <c r="AT534" i="1"/>
  <c r="T534" i="1"/>
  <c r="AT542" i="1"/>
  <c r="T542" i="1"/>
  <c r="AT550" i="1"/>
  <c r="T550" i="1"/>
  <c r="AT558" i="1"/>
  <c r="T558" i="1"/>
  <c r="AT566" i="1"/>
  <c r="T566" i="1"/>
  <c r="AT574" i="1"/>
  <c r="T574" i="1"/>
  <c r="AT582" i="1"/>
  <c r="T582" i="1"/>
  <c r="AT590" i="1"/>
  <c r="T590" i="1"/>
  <c r="AT598" i="1"/>
  <c r="T598" i="1"/>
  <c r="AT606" i="1"/>
  <c r="T606" i="1"/>
  <c r="AT614" i="1"/>
  <c r="T614" i="1"/>
  <c r="AT622" i="1"/>
  <c r="T622" i="1"/>
  <c r="AT630" i="1"/>
  <c r="T630" i="1"/>
  <c r="AT638" i="1"/>
  <c r="T638" i="1"/>
  <c r="AT646" i="1"/>
  <c r="T646" i="1"/>
  <c r="AT654" i="1"/>
  <c r="T654" i="1"/>
  <c r="AT662" i="1"/>
  <c r="T662" i="1"/>
  <c r="AT670" i="1"/>
  <c r="T670" i="1"/>
  <c r="AT678" i="1"/>
  <c r="T678" i="1"/>
  <c r="AT686" i="1"/>
  <c r="T686" i="1"/>
  <c r="AT694" i="1"/>
  <c r="T694" i="1"/>
  <c r="AT702" i="1"/>
  <c r="T702" i="1"/>
  <c r="AT710" i="1"/>
  <c r="T710" i="1"/>
  <c r="AT718" i="1"/>
  <c r="T718" i="1"/>
  <c r="AT726" i="1"/>
  <c r="T726" i="1"/>
  <c r="AT734" i="1"/>
  <c r="T734" i="1"/>
  <c r="AT742" i="1"/>
  <c r="T742" i="1"/>
  <c r="AT750" i="1"/>
  <c r="T750" i="1"/>
  <c r="AT758" i="1"/>
  <c r="T758" i="1"/>
  <c r="AT766" i="1"/>
  <c r="T766" i="1"/>
  <c r="AT774" i="1"/>
  <c r="T774" i="1"/>
  <c r="AT782" i="1"/>
  <c r="T782" i="1"/>
  <c r="AT790" i="1"/>
  <c r="T790" i="1"/>
  <c r="AT798" i="1"/>
  <c r="T798" i="1"/>
  <c r="AT806" i="1"/>
  <c r="T806" i="1"/>
  <c r="AT814" i="1"/>
  <c r="T814" i="1"/>
  <c r="AT822" i="1"/>
  <c r="T822" i="1"/>
  <c r="AT830" i="1"/>
  <c r="T830" i="1"/>
  <c r="AT838" i="1"/>
  <c r="T838" i="1"/>
  <c r="AT846" i="1"/>
  <c r="T846" i="1"/>
  <c r="AT854" i="1"/>
  <c r="T854" i="1"/>
  <c r="AT862" i="1"/>
  <c r="T862" i="1"/>
  <c r="AT870" i="1"/>
  <c r="T870" i="1"/>
  <c r="AT878" i="1"/>
  <c r="T878" i="1"/>
  <c r="AT886" i="1"/>
  <c r="T886" i="1"/>
  <c r="AT894" i="1"/>
  <c r="T894" i="1"/>
  <c r="AT902" i="1"/>
  <c r="T902" i="1"/>
  <c r="AT910" i="1"/>
  <c r="T910" i="1"/>
  <c r="AT918" i="1"/>
  <c r="T918" i="1"/>
  <c r="AT926" i="1"/>
  <c r="T926" i="1"/>
  <c r="AT934" i="1"/>
  <c r="T934" i="1"/>
  <c r="AT942" i="1"/>
  <c r="T942" i="1"/>
  <c r="AT950" i="1"/>
  <c r="T950" i="1"/>
  <c r="AT958" i="1"/>
  <c r="T958" i="1"/>
  <c r="AT966" i="1"/>
  <c r="T966" i="1"/>
  <c r="AT974" i="1"/>
  <c r="T974" i="1"/>
  <c r="AT982" i="1"/>
  <c r="T982" i="1"/>
  <c r="AT990" i="1"/>
  <c r="T990" i="1"/>
  <c r="AT998" i="1"/>
  <c r="T998" i="1"/>
  <c r="AT1006" i="1"/>
  <c r="T1006" i="1"/>
  <c r="AT1014" i="1"/>
  <c r="T1014" i="1"/>
  <c r="AT1022" i="1"/>
  <c r="T1022" i="1"/>
  <c r="AT1030" i="1"/>
  <c r="T1030" i="1"/>
  <c r="AT1038" i="1"/>
  <c r="T1038" i="1"/>
  <c r="AT1046" i="1"/>
  <c r="T1046" i="1"/>
  <c r="AT1054" i="1"/>
  <c r="T1054" i="1"/>
  <c r="AT1062" i="1"/>
  <c r="T1062" i="1"/>
  <c r="AT1070" i="1"/>
  <c r="T1070" i="1"/>
  <c r="AT1078" i="1"/>
  <c r="T1078" i="1"/>
  <c r="AT1086" i="1"/>
  <c r="T1086" i="1"/>
  <c r="AT1094" i="1"/>
  <c r="T1094" i="1"/>
  <c r="AT1102" i="1"/>
  <c r="T1102" i="1"/>
  <c r="AT1110" i="1"/>
  <c r="T1110" i="1"/>
  <c r="AT1118" i="1"/>
  <c r="T1118" i="1"/>
  <c r="AT1126" i="1"/>
  <c r="T1126" i="1"/>
  <c r="AT1134" i="1"/>
  <c r="T1134" i="1"/>
  <c r="AT1142" i="1"/>
  <c r="T1142" i="1"/>
  <c r="AT1150" i="1"/>
  <c r="T1150" i="1"/>
  <c r="AT1158" i="1"/>
  <c r="T1158" i="1"/>
  <c r="AT1166" i="1"/>
  <c r="T1166" i="1"/>
  <c r="AT1174" i="1"/>
  <c r="T1174" i="1"/>
  <c r="AT1182" i="1"/>
  <c r="T1182" i="1"/>
  <c r="AT1190" i="1"/>
  <c r="T1190" i="1"/>
  <c r="AT1198" i="1"/>
  <c r="T1198" i="1"/>
  <c r="AT1206" i="1"/>
  <c r="T1206" i="1"/>
  <c r="AT1214" i="1"/>
  <c r="T1214" i="1"/>
  <c r="AT1222" i="1"/>
  <c r="T1222" i="1"/>
  <c r="AT1230" i="1"/>
  <c r="T1230" i="1"/>
  <c r="AT1238" i="1"/>
  <c r="T1238" i="1"/>
  <c r="AT1246" i="1"/>
  <c r="T1246" i="1"/>
  <c r="AT1254" i="1"/>
  <c r="T1254" i="1"/>
  <c r="AT1262" i="1"/>
  <c r="T1262" i="1"/>
  <c r="AT1270" i="1"/>
  <c r="T1270" i="1"/>
  <c r="AT1278" i="1"/>
  <c r="T1278" i="1"/>
  <c r="AT1286" i="1"/>
  <c r="T1286" i="1"/>
  <c r="AT1294" i="1"/>
  <c r="T1294" i="1"/>
  <c r="AT1302" i="1"/>
  <c r="T1302" i="1"/>
  <c r="AT1310" i="1"/>
  <c r="T1310" i="1"/>
  <c r="AT1318" i="1"/>
  <c r="T1318" i="1"/>
  <c r="AT1326" i="1"/>
  <c r="T1326" i="1"/>
  <c r="AT1334" i="1"/>
  <c r="T1334" i="1"/>
  <c r="AT1342" i="1"/>
  <c r="T1342" i="1"/>
  <c r="AT1350" i="1"/>
  <c r="T1350" i="1"/>
  <c r="AT1358" i="1"/>
  <c r="T1358" i="1"/>
  <c r="AT1366" i="1"/>
  <c r="T1366" i="1"/>
  <c r="AT1374" i="1"/>
  <c r="T1374" i="1"/>
  <c r="AT1382" i="1"/>
  <c r="T1382" i="1"/>
  <c r="AT1390" i="1"/>
  <c r="T1390" i="1"/>
  <c r="AT1398" i="1"/>
  <c r="T1398" i="1"/>
  <c r="AT1406" i="1"/>
  <c r="T1406" i="1"/>
  <c r="AT1414" i="1"/>
  <c r="T1414" i="1"/>
  <c r="AT1422" i="1"/>
  <c r="T1422" i="1"/>
  <c r="AT1430" i="1"/>
  <c r="T1430" i="1"/>
  <c r="AT1438" i="1"/>
  <c r="T1438" i="1"/>
  <c r="AT1446" i="1"/>
  <c r="T1446" i="1"/>
  <c r="AT1454" i="1"/>
  <c r="T1454" i="1"/>
  <c r="AT1462" i="1"/>
  <c r="T1462" i="1"/>
  <c r="AT1470" i="1"/>
  <c r="T1470" i="1"/>
  <c r="AT1478" i="1"/>
  <c r="T1478" i="1"/>
  <c r="AT1486" i="1"/>
  <c r="T1486" i="1"/>
  <c r="AT1494" i="1"/>
  <c r="T1494" i="1"/>
  <c r="AT1502" i="1"/>
  <c r="T1502" i="1"/>
  <c r="AT1510" i="1"/>
  <c r="T1510" i="1"/>
  <c r="AT1518" i="1"/>
  <c r="T1518" i="1"/>
  <c r="AT1526" i="1"/>
  <c r="T1526" i="1"/>
  <c r="AT1534" i="1"/>
  <c r="T1534" i="1"/>
  <c r="AT1542" i="1"/>
  <c r="T1542" i="1"/>
  <c r="AT1550" i="1"/>
  <c r="T1550" i="1"/>
  <c r="AT1558" i="1"/>
  <c r="T1558" i="1"/>
  <c r="AT1566" i="1"/>
  <c r="T1566" i="1"/>
  <c r="AT1574" i="1"/>
  <c r="T1574" i="1"/>
  <c r="AT1582" i="1"/>
  <c r="T1582" i="1"/>
  <c r="AT1590" i="1"/>
  <c r="T1590" i="1"/>
  <c r="AT1598" i="1"/>
  <c r="T1598" i="1"/>
  <c r="AT1606" i="1"/>
  <c r="T1606" i="1"/>
  <c r="AT1614" i="1"/>
  <c r="T1614" i="1"/>
  <c r="AT1622" i="1"/>
  <c r="T1622" i="1"/>
  <c r="AT1630" i="1"/>
  <c r="T1630" i="1"/>
  <c r="AT1638" i="1"/>
  <c r="T1638" i="1"/>
  <c r="AT1646" i="1"/>
  <c r="T1646" i="1"/>
  <c r="AT1654" i="1"/>
  <c r="T1654" i="1"/>
  <c r="AT1662" i="1"/>
  <c r="T1662" i="1"/>
  <c r="AT1670" i="1"/>
  <c r="T1670" i="1"/>
  <c r="AT1678" i="1"/>
  <c r="T1678" i="1"/>
  <c r="AT1686" i="1"/>
  <c r="T1686" i="1"/>
  <c r="AT1694" i="1"/>
  <c r="T1694" i="1"/>
  <c r="AT1702" i="1"/>
  <c r="T1702" i="1"/>
  <c r="AT1710" i="1"/>
  <c r="T1710" i="1"/>
  <c r="AT1718" i="1"/>
  <c r="T1718" i="1"/>
  <c r="AT1726" i="1"/>
  <c r="T1726" i="1"/>
  <c r="AT3" i="1"/>
  <c r="T3" i="1"/>
  <c r="AT11" i="1"/>
  <c r="T11" i="1"/>
  <c r="AT19" i="1"/>
  <c r="T19" i="1"/>
  <c r="AT27" i="1"/>
  <c r="T27" i="1"/>
  <c r="AT35" i="1"/>
  <c r="T35" i="1"/>
  <c r="AT43" i="1"/>
  <c r="T43" i="1"/>
  <c r="AT51" i="1"/>
  <c r="T51" i="1"/>
  <c r="AT59" i="1"/>
  <c r="T59" i="1"/>
  <c r="AT67" i="1"/>
  <c r="T67" i="1"/>
  <c r="AT75" i="1"/>
  <c r="T75" i="1"/>
  <c r="AT83" i="1"/>
  <c r="T83" i="1"/>
  <c r="AT91" i="1"/>
  <c r="T91" i="1"/>
  <c r="AT99" i="1"/>
  <c r="T99" i="1"/>
  <c r="AT107" i="1"/>
  <c r="T107" i="1"/>
  <c r="AT115" i="1"/>
  <c r="T115" i="1"/>
  <c r="AT123" i="1"/>
  <c r="T123" i="1"/>
  <c r="AT131" i="1"/>
  <c r="T131" i="1"/>
  <c r="AT139" i="1"/>
  <c r="T139" i="1"/>
  <c r="AT147" i="1"/>
  <c r="T147" i="1"/>
  <c r="AT155" i="1"/>
  <c r="T155" i="1"/>
  <c r="AT163" i="1"/>
  <c r="T163" i="1"/>
  <c r="AT171" i="1"/>
  <c r="T171" i="1"/>
  <c r="AT179" i="1"/>
  <c r="T179" i="1"/>
  <c r="AT187" i="1"/>
  <c r="T187" i="1"/>
  <c r="AT195" i="1"/>
  <c r="T195" i="1"/>
  <c r="AT203" i="1"/>
  <c r="T203" i="1"/>
  <c r="AT211" i="1"/>
  <c r="T211" i="1"/>
  <c r="AT219" i="1"/>
  <c r="T219" i="1"/>
  <c r="AT227" i="1"/>
  <c r="T227" i="1"/>
  <c r="AT235" i="1"/>
  <c r="T235" i="1"/>
  <c r="AT243" i="1"/>
  <c r="T243" i="1"/>
  <c r="AT251" i="1"/>
  <c r="T251" i="1"/>
  <c r="AT259" i="1"/>
  <c r="T259" i="1"/>
  <c r="AT267" i="1"/>
  <c r="T267" i="1"/>
  <c r="AT275" i="1"/>
  <c r="T275" i="1"/>
  <c r="AT283" i="1"/>
  <c r="T283" i="1"/>
  <c r="AT291" i="1"/>
  <c r="T291" i="1"/>
  <c r="AT299" i="1"/>
  <c r="T299" i="1"/>
  <c r="AT307" i="1"/>
  <c r="T307" i="1"/>
  <c r="AT315" i="1"/>
  <c r="T315" i="1"/>
  <c r="AT323" i="1"/>
  <c r="T323" i="1"/>
  <c r="AT331" i="1"/>
  <c r="T331" i="1"/>
  <c r="AT339" i="1"/>
  <c r="T339" i="1"/>
  <c r="AT347" i="1"/>
  <c r="T347" i="1"/>
  <c r="AT355" i="1"/>
  <c r="T355" i="1"/>
  <c r="AT363" i="1"/>
  <c r="T363" i="1"/>
  <c r="AT371" i="1"/>
  <c r="T371" i="1"/>
  <c r="AT379" i="1"/>
  <c r="T379" i="1"/>
  <c r="AT387" i="1"/>
  <c r="T387" i="1"/>
  <c r="AT395" i="1"/>
  <c r="T395" i="1"/>
  <c r="AT403" i="1"/>
  <c r="T403" i="1"/>
  <c r="AT411" i="1"/>
  <c r="T411" i="1"/>
  <c r="AT419" i="1"/>
  <c r="T419" i="1"/>
  <c r="AT427" i="1"/>
  <c r="T427" i="1"/>
  <c r="AT435" i="1"/>
  <c r="T435" i="1"/>
  <c r="AT443" i="1"/>
  <c r="T443" i="1"/>
  <c r="AT451" i="1"/>
  <c r="T451" i="1"/>
  <c r="AT459" i="1"/>
  <c r="T459" i="1"/>
  <c r="AT467" i="1"/>
  <c r="T467" i="1"/>
  <c r="AT475" i="1"/>
  <c r="T475" i="1"/>
  <c r="AT483" i="1"/>
  <c r="T483" i="1"/>
  <c r="AT491" i="1"/>
  <c r="T491" i="1"/>
  <c r="AT499" i="1"/>
  <c r="T499" i="1"/>
  <c r="AT507" i="1"/>
  <c r="T507" i="1"/>
  <c r="AT515" i="1"/>
  <c r="T515" i="1"/>
  <c r="AT523" i="1"/>
  <c r="T523" i="1"/>
  <c r="AT531" i="1"/>
  <c r="T531" i="1"/>
  <c r="AT539" i="1"/>
  <c r="T539" i="1"/>
  <c r="AT547" i="1"/>
  <c r="T547" i="1"/>
  <c r="AT555" i="1"/>
  <c r="T555" i="1"/>
  <c r="AT563" i="1"/>
  <c r="T563" i="1"/>
  <c r="AT571" i="1"/>
  <c r="T571" i="1"/>
  <c r="AT579" i="1"/>
  <c r="T579" i="1"/>
  <c r="AT587" i="1"/>
  <c r="T587" i="1"/>
  <c r="AT595" i="1"/>
  <c r="T595" i="1"/>
  <c r="AT603" i="1"/>
  <c r="T603" i="1"/>
  <c r="AT611" i="1"/>
  <c r="T611" i="1"/>
  <c r="AT619" i="1"/>
  <c r="T619" i="1"/>
  <c r="AT627" i="1"/>
  <c r="T627" i="1"/>
  <c r="AT635" i="1"/>
  <c r="T635" i="1"/>
  <c r="AT643" i="1"/>
  <c r="T643" i="1"/>
  <c r="AT651" i="1"/>
  <c r="T651" i="1"/>
  <c r="AT659" i="1"/>
  <c r="T659" i="1"/>
  <c r="AT667" i="1"/>
  <c r="T667" i="1"/>
  <c r="AT675" i="1"/>
  <c r="T675" i="1"/>
  <c r="AT683" i="1"/>
  <c r="T683" i="1"/>
  <c r="AT691" i="1"/>
  <c r="T691" i="1"/>
  <c r="AT699" i="1"/>
  <c r="T699" i="1"/>
  <c r="AT707" i="1"/>
  <c r="T707" i="1"/>
  <c r="AT715" i="1"/>
  <c r="T715" i="1"/>
  <c r="AT723" i="1"/>
  <c r="T723" i="1"/>
  <c r="AT731" i="1"/>
  <c r="T731" i="1"/>
  <c r="AT739" i="1"/>
  <c r="T739" i="1"/>
  <c r="AT747" i="1"/>
  <c r="T747" i="1"/>
  <c r="AT755" i="1"/>
  <c r="T755" i="1"/>
  <c r="AT763" i="1"/>
  <c r="T763" i="1"/>
  <c r="AT771" i="1"/>
  <c r="T771" i="1"/>
  <c r="AT779" i="1"/>
  <c r="T779" i="1"/>
  <c r="AT787" i="1"/>
  <c r="T787" i="1"/>
  <c r="AT795" i="1"/>
  <c r="T795" i="1"/>
  <c r="AT803" i="1"/>
  <c r="T803" i="1"/>
  <c r="AT811" i="1"/>
  <c r="T811" i="1"/>
  <c r="AT819" i="1"/>
  <c r="T819" i="1"/>
  <c r="AT827" i="1"/>
  <c r="T827" i="1"/>
  <c r="AT835" i="1"/>
  <c r="T835" i="1"/>
  <c r="AT843" i="1"/>
  <c r="T843" i="1"/>
  <c r="AT851" i="1"/>
  <c r="T851" i="1"/>
  <c r="AT859" i="1"/>
  <c r="T859" i="1"/>
  <c r="AT867" i="1"/>
  <c r="T867" i="1"/>
  <c r="AT875" i="1"/>
  <c r="T875" i="1"/>
  <c r="AT883" i="1"/>
  <c r="T883" i="1"/>
  <c r="AT891" i="1"/>
  <c r="T891" i="1"/>
  <c r="AT899" i="1"/>
  <c r="T899" i="1"/>
  <c r="AT907" i="1"/>
  <c r="T907" i="1"/>
  <c r="AT915" i="1"/>
  <c r="T915" i="1"/>
  <c r="AT923" i="1"/>
  <c r="T923" i="1"/>
  <c r="AT931" i="1"/>
  <c r="T931" i="1"/>
  <c r="AT939" i="1"/>
  <c r="T939" i="1"/>
  <c r="AT947" i="1"/>
  <c r="T947" i="1"/>
  <c r="AT955" i="1"/>
  <c r="T955" i="1"/>
  <c r="AT963" i="1"/>
  <c r="T963" i="1"/>
  <c r="AT971" i="1"/>
  <c r="T971" i="1"/>
  <c r="AT979" i="1"/>
  <c r="T979" i="1"/>
  <c r="AT987" i="1"/>
  <c r="T987" i="1"/>
  <c r="AT995" i="1"/>
  <c r="T995" i="1"/>
  <c r="AT1003" i="1"/>
  <c r="T1003" i="1"/>
  <c r="AT1011" i="1"/>
  <c r="T1011" i="1"/>
  <c r="AT1019" i="1"/>
  <c r="T1019" i="1"/>
  <c r="AT1027" i="1"/>
  <c r="T1027" i="1"/>
  <c r="AT1035" i="1"/>
  <c r="T1035" i="1"/>
  <c r="AT1043" i="1"/>
  <c r="T1043" i="1"/>
  <c r="AT1051" i="1"/>
  <c r="T1051" i="1"/>
  <c r="AT1059" i="1"/>
  <c r="T1059" i="1"/>
  <c r="AT1067" i="1"/>
  <c r="T1067" i="1"/>
  <c r="AT1075" i="1"/>
  <c r="T1075" i="1"/>
  <c r="AT1083" i="1"/>
  <c r="T1083" i="1"/>
  <c r="AT1091" i="1"/>
  <c r="T1091" i="1"/>
  <c r="AT1099" i="1"/>
  <c r="T1099" i="1"/>
  <c r="AT1107" i="1"/>
  <c r="T1107" i="1"/>
  <c r="AT1115" i="1"/>
  <c r="T1115" i="1"/>
  <c r="AT1123" i="1"/>
  <c r="T1123" i="1"/>
  <c r="AT1131" i="1"/>
  <c r="T1131" i="1"/>
  <c r="AT1139" i="1"/>
  <c r="T1139" i="1"/>
  <c r="AT1147" i="1"/>
  <c r="T1147" i="1"/>
  <c r="AT1155" i="1"/>
  <c r="T1155" i="1"/>
  <c r="AT1163" i="1"/>
  <c r="T1163" i="1"/>
  <c r="AT1171" i="1"/>
  <c r="T1171" i="1"/>
  <c r="AT1179" i="1"/>
  <c r="T1179" i="1"/>
  <c r="AT1187" i="1"/>
  <c r="T1187" i="1"/>
  <c r="AT1195" i="1"/>
  <c r="T1195" i="1"/>
  <c r="AT1203" i="1"/>
  <c r="T1203" i="1"/>
  <c r="AT1211" i="1"/>
  <c r="T1211" i="1"/>
  <c r="AT1219" i="1"/>
  <c r="T1219" i="1"/>
  <c r="AT1227" i="1"/>
  <c r="T1227" i="1"/>
  <c r="AT1235" i="1"/>
  <c r="T1235" i="1"/>
  <c r="AT1243" i="1"/>
  <c r="T1243" i="1"/>
  <c r="AT1251" i="1"/>
  <c r="T1251" i="1"/>
  <c r="AT1259" i="1"/>
  <c r="T1259" i="1"/>
  <c r="AT1267" i="1"/>
  <c r="T1267" i="1"/>
  <c r="AT1275" i="1"/>
  <c r="T1275" i="1"/>
  <c r="AT1283" i="1"/>
  <c r="T1283" i="1"/>
  <c r="AT1291" i="1"/>
  <c r="T1291" i="1"/>
  <c r="AT1299" i="1"/>
  <c r="T1299" i="1"/>
  <c r="AT1307" i="1"/>
  <c r="T1307" i="1"/>
  <c r="AT1315" i="1"/>
  <c r="T1315" i="1"/>
  <c r="AT1323" i="1"/>
  <c r="T1323" i="1"/>
  <c r="AT1331" i="1"/>
  <c r="T1331" i="1"/>
  <c r="AT1339" i="1"/>
  <c r="T1339" i="1"/>
  <c r="AT1347" i="1"/>
  <c r="T1347" i="1"/>
  <c r="AT1355" i="1"/>
  <c r="T1355" i="1"/>
  <c r="AT1363" i="1"/>
  <c r="T1363" i="1"/>
  <c r="AT1371" i="1"/>
  <c r="T1371" i="1"/>
  <c r="AT1379" i="1"/>
  <c r="T1379" i="1"/>
  <c r="AT1387" i="1"/>
  <c r="T1387" i="1"/>
  <c r="AT1395" i="1"/>
  <c r="T1395" i="1"/>
  <c r="AT1403" i="1"/>
  <c r="T1403" i="1"/>
  <c r="AT1411" i="1"/>
  <c r="T1411" i="1"/>
  <c r="AT1419" i="1"/>
  <c r="T1419" i="1"/>
  <c r="AT1427" i="1"/>
  <c r="T1427" i="1"/>
  <c r="AT1435" i="1"/>
  <c r="T1435" i="1"/>
  <c r="AT1443" i="1"/>
  <c r="T1443" i="1"/>
  <c r="AT1451" i="1"/>
  <c r="T1451" i="1"/>
  <c r="AT1459" i="1"/>
  <c r="T1459" i="1"/>
  <c r="AT1467" i="1"/>
  <c r="T1467" i="1"/>
  <c r="AT1475" i="1"/>
  <c r="T1475" i="1"/>
  <c r="AT1483" i="1"/>
  <c r="T1483" i="1"/>
  <c r="AT1491" i="1"/>
  <c r="T1491" i="1"/>
  <c r="AT1499" i="1"/>
  <c r="T1499" i="1"/>
  <c r="AT1507" i="1"/>
  <c r="T1507" i="1"/>
  <c r="AT1515" i="1"/>
  <c r="T1515" i="1"/>
  <c r="AT1523" i="1"/>
  <c r="T1523" i="1"/>
  <c r="AT1531" i="1"/>
  <c r="T1531" i="1"/>
  <c r="AT1539" i="1"/>
  <c r="T1539" i="1"/>
  <c r="AT1547" i="1"/>
  <c r="T1547" i="1"/>
  <c r="AT1555" i="1"/>
  <c r="T1555" i="1"/>
  <c r="AT1563" i="1"/>
  <c r="T1563" i="1"/>
  <c r="AT1571" i="1"/>
  <c r="T1571" i="1"/>
  <c r="AT1579" i="1"/>
  <c r="T1579" i="1"/>
  <c r="AT1587" i="1"/>
  <c r="T1587" i="1"/>
  <c r="AT1595" i="1"/>
  <c r="T1595" i="1"/>
  <c r="AT1603" i="1"/>
  <c r="T1603" i="1"/>
  <c r="AT1611" i="1"/>
  <c r="T1611" i="1"/>
  <c r="AT1619" i="1"/>
  <c r="T1619" i="1"/>
  <c r="AT1627" i="1"/>
  <c r="T1627" i="1"/>
  <c r="AT1635" i="1"/>
  <c r="T1635" i="1"/>
  <c r="AT1643" i="1"/>
  <c r="T1643" i="1"/>
  <c r="AT1651" i="1"/>
  <c r="T1651" i="1"/>
  <c r="AT1659" i="1"/>
  <c r="T1659" i="1"/>
  <c r="AT1667" i="1"/>
  <c r="T1667" i="1"/>
  <c r="AT1675" i="1"/>
  <c r="T1675" i="1"/>
  <c r="AT1683" i="1"/>
  <c r="T1683" i="1"/>
  <c r="AT1691" i="1"/>
  <c r="T1691" i="1"/>
  <c r="AT1699" i="1"/>
  <c r="T1699" i="1"/>
  <c r="AT1707" i="1"/>
  <c r="T1707" i="1"/>
  <c r="AT1715" i="1"/>
  <c r="T1715" i="1"/>
  <c r="AT1723" i="1"/>
  <c r="T1723" i="1"/>
  <c r="BJ1208" i="1"/>
  <c r="BJ1272" i="1"/>
  <c r="BJ17" i="1"/>
  <c r="BJ377" i="1"/>
  <c r="BJ881" i="1"/>
  <c r="BJ16" i="1"/>
  <c r="BJ1024" i="1"/>
  <c r="BJ1040" i="1"/>
  <c r="BJ1328" i="1"/>
  <c r="BJ1560" i="1"/>
  <c r="BJ1704" i="1"/>
  <c r="BJ513" i="1"/>
  <c r="BJ1245" i="1"/>
  <c r="BJ1277" i="1"/>
  <c r="BJ1325" i="1"/>
  <c r="BJ1581" i="1"/>
  <c r="BJ1629" i="1"/>
  <c r="BJ382" i="1"/>
  <c r="BJ510" i="1"/>
  <c r="BJ526" i="1"/>
  <c r="BJ590" i="1"/>
  <c r="BJ958" i="1"/>
  <c r="BJ990" i="1"/>
  <c r="BJ1038" i="1"/>
  <c r="BJ1278" i="1"/>
  <c r="BJ1326" i="1"/>
  <c r="BJ1374" i="1"/>
  <c r="BJ1630" i="1"/>
  <c r="BJ347" i="1"/>
  <c r="BJ379" i="1"/>
  <c r="BJ571" i="1"/>
  <c r="AT10" i="1"/>
  <c r="T10" i="1"/>
  <c r="AT18" i="1"/>
  <c r="T18" i="1"/>
  <c r="AT26" i="1"/>
  <c r="T26" i="1"/>
  <c r="AT34" i="1"/>
  <c r="T34" i="1"/>
  <c r="AT42" i="1"/>
  <c r="T42" i="1"/>
  <c r="AT50" i="1"/>
  <c r="T50" i="1"/>
  <c r="AT58" i="1"/>
  <c r="T58" i="1"/>
  <c r="AT66" i="1"/>
  <c r="T66" i="1"/>
  <c r="AT74" i="1"/>
  <c r="T74" i="1"/>
  <c r="AT82" i="1"/>
  <c r="T82" i="1"/>
  <c r="AT90" i="1"/>
  <c r="T90" i="1"/>
  <c r="AT98" i="1"/>
  <c r="T98" i="1"/>
  <c r="AT106" i="1"/>
  <c r="T106" i="1"/>
  <c r="AT114" i="1"/>
  <c r="T114" i="1"/>
  <c r="AT122" i="1"/>
  <c r="T122" i="1"/>
  <c r="AT130" i="1"/>
  <c r="T130" i="1"/>
  <c r="AT138" i="1"/>
  <c r="T138" i="1"/>
  <c r="AT146" i="1"/>
  <c r="T146" i="1"/>
  <c r="AT154" i="1"/>
  <c r="T154" i="1"/>
  <c r="AT162" i="1"/>
  <c r="T162" i="1"/>
  <c r="AT170" i="1"/>
  <c r="T170" i="1"/>
  <c r="AT178" i="1"/>
  <c r="T178" i="1"/>
  <c r="AT186" i="1"/>
  <c r="T186" i="1"/>
  <c r="AT194" i="1"/>
  <c r="T194" i="1"/>
  <c r="AT202" i="1"/>
  <c r="T202" i="1"/>
  <c r="AT210" i="1"/>
  <c r="T210" i="1"/>
  <c r="AT218" i="1"/>
  <c r="T218" i="1"/>
  <c r="AT226" i="1"/>
  <c r="T226" i="1"/>
  <c r="AT234" i="1"/>
  <c r="T234" i="1"/>
  <c r="AT242" i="1"/>
  <c r="T242" i="1"/>
  <c r="AT250" i="1"/>
  <c r="T250" i="1"/>
  <c r="AT258" i="1"/>
  <c r="T258" i="1"/>
  <c r="AT266" i="1"/>
  <c r="T266" i="1"/>
  <c r="AT274" i="1"/>
  <c r="T274" i="1"/>
  <c r="AT282" i="1"/>
  <c r="T282" i="1"/>
  <c r="AT290" i="1"/>
  <c r="T290" i="1"/>
  <c r="AT298" i="1"/>
  <c r="T298" i="1"/>
  <c r="AT306" i="1"/>
  <c r="T306" i="1"/>
  <c r="AT314" i="1"/>
  <c r="T314" i="1"/>
  <c r="AT322" i="1"/>
  <c r="T322" i="1"/>
  <c r="AT330" i="1"/>
  <c r="T330" i="1"/>
  <c r="AT338" i="1"/>
  <c r="T338" i="1"/>
  <c r="AT346" i="1"/>
  <c r="T346" i="1"/>
  <c r="AT354" i="1"/>
  <c r="T354" i="1"/>
  <c r="AT362" i="1"/>
  <c r="T362" i="1"/>
  <c r="AT370" i="1"/>
  <c r="T370" i="1"/>
  <c r="AT378" i="1"/>
  <c r="T378" i="1"/>
  <c r="AT386" i="1"/>
  <c r="T386" i="1"/>
  <c r="AT394" i="1"/>
  <c r="T394" i="1"/>
  <c r="AT402" i="1"/>
  <c r="T402" i="1"/>
  <c r="AT410" i="1"/>
  <c r="T410" i="1"/>
  <c r="AT418" i="1"/>
  <c r="T418" i="1"/>
  <c r="AT426" i="1"/>
  <c r="T426" i="1"/>
  <c r="AT434" i="1"/>
  <c r="T434" i="1"/>
  <c r="AT442" i="1"/>
  <c r="T442" i="1"/>
  <c r="AT450" i="1"/>
  <c r="T450" i="1"/>
  <c r="AT458" i="1"/>
  <c r="T458" i="1"/>
  <c r="AT466" i="1"/>
  <c r="T466" i="1"/>
  <c r="AT474" i="1"/>
  <c r="T474" i="1"/>
  <c r="AT482" i="1"/>
  <c r="T482" i="1"/>
  <c r="AT490" i="1"/>
  <c r="T490" i="1"/>
  <c r="AT498" i="1"/>
  <c r="T498" i="1"/>
  <c r="AT506" i="1"/>
  <c r="T506" i="1"/>
  <c r="AT514" i="1"/>
  <c r="T514" i="1"/>
  <c r="AT522" i="1"/>
  <c r="T522" i="1"/>
  <c r="AT530" i="1"/>
  <c r="T530" i="1"/>
  <c r="AT538" i="1"/>
  <c r="T538" i="1"/>
  <c r="AT546" i="1"/>
  <c r="T546" i="1"/>
  <c r="AT554" i="1"/>
  <c r="T554" i="1"/>
  <c r="AT562" i="1"/>
  <c r="T562" i="1"/>
  <c r="AT570" i="1"/>
  <c r="T570" i="1"/>
  <c r="AT578" i="1"/>
  <c r="T578" i="1"/>
  <c r="AT586" i="1"/>
  <c r="T586" i="1"/>
  <c r="AT594" i="1"/>
  <c r="T594" i="1"/>
  <c r="AT602" i="1"/>
  <c r="T602" i="1"/>
  <c r="AT610" i="1"/>
  <c r="T610" i="1"/>
  <c r="AT618" i="1"/>
  <c r="T618" i="1"/>
  <c r="AT626" i="1"/>
  <c r="T626" i="1"/>
  <c r="AT634" i="1"/>
  <c r="T634" i="1"/>
  <c r="AT642" i="1"/>
  <c r="T642" i="1"/>
  <c r="AT650" i="1"/>
  <c r="T650" i="1"/>
  <c r="AT658" i="1"/>
  <c r="T658" i="1"/>
  <c r="AT666" i="1"/>
  <c r="T666" i="1"/>
  <c r="AT674" i="1"/>
  <c r="T674" i="1"/>
  <c r="AT682" i="1"/>
  <c r="T682" i="1"/>
  <c r="AT690" i="1"/>
  <c r="T690" i="1"/>
  <c r="AT698" i="1"/>
  <c r="T698" i="1"/>
  <c r="AT706" i="1"/>
  <c r="T706" i="1"/>
  <c r="AT714" i="1"/>
  <c r="T714" i="1"/>
  <c r="AT722" i="1"/>
  <c r="T722" i="1"/>
  <c r="AT730" i="1"/>
  <c r="T730" i="1"/>
  <c r="AT738" i="1"/>
  <c r="T738" i="1"/>
  <c r="AT746" i="1"/>
  <c r="T746" i="1"/>
  <c r="AT754" i="1"/>
  <c r="T754" i="1"/>
  <c r="AT762" i="1"/>
  <c r="T762" i="1"/>
  <c r="AT770" i="1"/>
  <c r="T770" i="1"/>
  <c r="AT778" i="1"/>
  <c r="T778" i="1"/>
  <c r="AT786" i="1"/>
  <c r="T786" i="1"/>
  <c r="AT794" i="1"/>
  <c r="T794" i="1"/>
  <c r="AT802" i="1"/>
  <c r="T802" i="1"/>
  <c r="AT810" i="1"/>
  <c r="T810" i="1"/>
  <c r="AT818" i="1"/>
  <c r="T818" i="1"/>
  <c r="AT826" i="1"/>
  <c r="T826" i="1"/>
  <c r="AT834" i="1"/>
  <c r="T834" i="1"/>
  <c r="AT842" i="1"/>
  <c r="T842" i="1"/>
  <c r="AT850" i="1"/>
  <c r="T850" i="1"/>
  <c r="AT858" i="1"/>
  <c r="T858" i="1"/>
  <c r="AT866" i="1"/>
  <c r="T866" i="1"/>
  <c r="AT874" i="1"/>
  <c r="T874" i="1"/>
  <c r="AT882" i="1"/>
  <c r="T882" i="1"/>
  <c r="AT890" i="1"/>
  <c r="T890" i="1"/>
  <c r="AT898" i="1"/>
  <c r="T898" i="1"/>
  <c r="AT906" i="1"/>
  <c r="T906" i="1"/>
  <c r="AT914" i="1"/>
  <c r="T914" i="1"/>
  <c r="AT922" i="1"/>
  <c r="T922" i="1"/>
  <c r="AT930" i="1"/>
  <c r="T930" i="1"/>
  <c r="AT938" i="1"/>
  <c r="T938" i="1"/>
  <c r="AT946" i="1"/>
  <c r="T946" i="1"/>
  <c r="AT954" i="1"/>
  <c r="T954" i="1"/>
  <c r="AT962" i="1"/>
  <c r="T962" i="1"/>
  <c r="AT970" i="1"/>
  <c r="T970" i="1"/>
  <c r="AT978" i="1"/>
  <c r="T978" i="1"/>
  <c r="AT986" i="1"/>
  <c r="T986" i="1"/>
  <c r="AT994" i="1"/>
  <c r="T994" i="1"/>
  <c r="AT1002" i="1"/>
  <c r="T1002" i="1"/>
  <c r="AT1010" i="1"/>
  <c r="T1010" i="1"/>
  <c r="AT1018" i="1"/>
  <c r="T1018" i="1"/>
  <c r="AT1026" i="1"/>
  <c r="T1026" i="1"/>
  <c r="AT1034" i="1"/>
  <c r="T1034" i="1"/>
  <c r="AT1042" i="1"/>
  <c r="T1042" i="1"/>
  <c r="AT1050" i="1"/>
  <c r="T1050" i="1"/>
  <c r="AT1058" i="1"/>
  <c r="T1058" i="1"/>
  <c r="AT1066" i="1"/>
  <c r="T1066" i="1"/>
  <c r="AT1074" i="1"/>
  <c r="T1074" i="1"/>
  <c r="AT1082" i="1"/>
  <c r="T1082" i="1"/>
  <c r="AT1090" i="1"/>
  <c r="T1090" i="1"/>
  <c r="AT1098" i="1"/>
  <c r="T1098" i="1"/>
  <c r="AT1106" i="1"/>
  <c r="T1106" i="1"/>
  <c r="AT1114" i="1"/>
  <c r="T1114" i="1"/>
  <c r="AT1122" i="1"/>
  <c r="T1122" i="1"/>
  <c r="AT1130" i="1"/>
  <c r="T1130" i="1"/>
  <c r="AT1138" i="1"/>
  <c r="T1138" i="1"/>
  <c r="AT1146" i="1"/>
  <c r="T1146" i="1"/>
  <c r="AT1154" i="1"/>
  <c r="T1154" i="1"/>
  <c r="AT1162" i="1"/>
  <c r="T1162" i="1"/>
  <c r="AT1170" i="1"/>
  <c r="T1170" i="1"/>
  <c r="AT1178" i="1"/>
  <c r="T1178" i="1"/>
  <c r="AT1186" i="1"/>
  <c r="T1186" i="1"/>
  <c r="AT1194" i="1"/>
  <c r="T1194" i="1"/>
  <c r="AT1202" i="1"/>
  <c r="T1202" i="1"/>
  <c r="AT1210" i="1"/>
  <c r="T1210" i="1"/>
  <c r="AT1218" i="1"/>
  <c r="T1218" i="1"/>
  <c r="AT1226" i="1"/>
  <c r="T1226" i="1"/>
  <c r="AT1234" i="1"/>
  <c r="T1234" i="1"/>
  <c r="AT1242" i="1"/>
  <c r="T1242" i="1"/>
  <c r="AT1250" i="1"/>
  <c r="T1250" i="1"/>
  <c r="AT1258" i="1"/>
  <c r="T1258" i="1"/>
  <c r="AT1266" i="1"/>
  <c r="T1266" i="1"/>
  <c r="AT1274" i="1"/>
  <c r="T1274" i="1"/>
  <c r="AT1282" i="1"/>
  <c r="T1282" i="1"/>
  <c r="AT1290" i="1"/>
  <c r="T1290" i="1"/>
  <c r="AT1298" i="1"/>
  <c r="T1298" i="1"/>
  <c r="AT1306" i="1"/>
  <c r="T1306" i="1"/>
  <c r="AT1314" i="1"/>
  <c r="T1314" i="1"/>
  <c r="AT1322" i="1"/>
  <c r="T1322" i="1"/>
  <c r="AT1330" i="1"/>
  <c r="T1330" i="1"/>
  <c r="AT1338" i="1"/>
  <c r="T1338" i="1"/>
  <c r="AT1346" i="1"/>
  <c r="T1346" i="1"/>
  <c r="AT1354" i="1"/>
  <c r="T1354" i="1"/>
  <c r="AT1362" i="1"/>
  <c r="T1362" i="1"/>
  <c r="AT1370" i="1"/>
  <c r="T1370" i="1"/>
  <c r="AT1378" i="1"/>
  <c r="T1378" i="1"/>
  <c r="AT1386" i="1"/>
  <c r="T1386" i="1"/>
  <c r="AT1394" i="1"/>
  <c r="T1394" i="1"/>
  <c r="AT1402" i="1"/>
  <c r="T1402" i="1"/>
  <c r="AT1410" i="1"/>
  <c r="T1410" i="1"/>
  <c r="AT1418" i="1"/>
  <c r="T1418" i="1"/>
  <c r="AT1426" i="1"/>
  <c r="T1426" i="1"/>
  <c r="AT1434" i="1"/>
  <c r="T1434" i="1"/>
  <c r="AT1442" i="1"/>
  <c r="T1442" i="1"/>
  <c r="AT1450" i="1"/>
  <c r="T1450" i="1"/>
  <c r="AT1458" i="1"/>
  <c r="T1458" i="1"/>
  <c r="AT1466" i="1"/>
  <c r="T1466" i="1"/>
  <c r="AT1474" i="1"/>
  <c r="T1474" i="1"/>
  <c r="AT1482" i="1"/>
  <c r="T1482" i="1"/>
  <c r="AT1490" i="1"/>
  <c r="T1490" i="1"/>
  <c r="AT1498" i="1"/>
  <c r="T1498" i="1"/>
  <c r="AT1506" i="1"/>
  <c r="T1506" i="1"/>
  <c r="AT1514" i="1"/>
  <c r="T1514" i="1"/>
  <c r="AT1522" i="1"/>
  <c r="T1522" i="1"/>
  <c r="AT1530" i="1"/>
  <c r="T1530" i="1"/>
  <c r="AT1538" i="1"/>
  <c r="T1538" i="1"/>
  <c r="AT1546" i="1"/>
  <c r="T1546" i="1"/>
  <c r="AT1554" i="1"/>
  <c r="T1554" i="1"/>
  <c r="AT1562" i="1"/>
  <c r="T1562" i="1"/>
  <c r="AT1570" i="1"/>
  <c r="T1570" i="1"/>
  <c r="AT1578" i="1"/>
  <c r="T1578" i="1"/>
  <c r="AT1586" i="1"/>
  <c r="T1586" i="1"/>
  <c r="AT1594" i="1"/>
  <c r="T1594" i="1"/>
  <c r="AT1602" i="1"/>
  <c r="T1602" i="1"/>
  <c r="AT1610" i="1"/>
  <c r="T1610" i="1"/>
  <c r="AT1618" i="1"/>
  <c r="T1618" i="1"/>
  <c r="AT1626" i="1"/>
  <c r="T1626" i="1"/>
  <c r="AT1634" i="1"/>
  <c r="T1634" i="1"/>
  <c r="AT1642" i="1"/>
  <c r="T1642" i="1"/>
  <c r="AT1650" i="1"/>
  <c r="T1650" i="1"/>
  <c r="AT1658" i="1"/>
  <c r="T1658" i="1"/>
  <c r="AT1666" i="1"/>
  <c r="T1666" i="1"/>
  <c r="AT1674" i="1"/>
  <c r="T1674" i="1"/>
  <c r="AT1682" i="1"/>
  <c r="T1682" i="1"/>
  <c r="AT1690" i="1"/>
  <c r="T1690" i="1"/>
  <c r="AT1698" i="1"/>
  <c r="T1698" i="1"/>
  <c r="AT1706" i="1"/>
  <c r="T1706" i="1"/>
  <c r="AT1714" i="1"/>
  <c r="T1714" i="1"/>
  <c r="AT1722" i="1"/>
  <c r="T1722" i="1"/>
  <c r="AT1730" i="1"/>
  <c r="T1730" i="1"/>
  <c r="AT7" i="1"/>
  <c r="T7" i="1"/>
  <c r="AT15" i="1"/>
  <c r="T15" i="1"/>
  <c r="AT23" i="1"/>
  <c r="T23" i="1"/>
  <c r="AT31" i="1"/>
  <c r="T31" i="1"/>
  <c r="AT39" i="1"/>
  <c r="T39" i="1"/>
  <c r="AT47" i="1"/>
  <c r="T47" i="1"/>
  <c r="AT55" i="1"/>
  <c r="T55" i="1"/>
  <c r="AT63" i="1"/>
  <c r="T63" i="1"/>
  <c r="AT71" i="1"/>
  <c r="T71" i="1"/>
  <c r="AT79" i="1"/>
  <c r="T79" i="1"/>
  <c r="AT87" i="1"/>
  <c r="T87" i="1"/>
  <c r="AT95" i="1"/>
  <c r="T95" i="1"/>
  <c r="AT103" i="1"/>
  <c r="T103" i="1"/>
  <c r="AT111" i="1"/>
  <c r="T111" i="1"/>
  <c r="AT119" i="1"/>
  <c r="T119" i="1"/>
  <c r="AT127" i="1"/>
  <c r="T127" i="1"/>
  <c r="AT135" i="1"/>
  <c r="T135" i="1"/>
  <c r="AT143" i="1"/>
  <c r="T143" i="1"/>
  <c r="AT151" i="1"/>
  <c r="T151" i="1"/>
  <c r="AT159" i="1"/>
  <c r="T159" i="1"/>
  <c r="AT167" i="1"/>
  <c r="T167" i="1"/>
  <c r="AT175" i="1"/>
  <c r="T175" i="1"/>
  <c r="AT183" i="1"/>
  <c r="T183" i="1"/>
  <c r="AT191" i="1"/>
  <c r="T191" i="1"/>
  <c r="AT199" i="1"/>
  <c r="T199" i="1"/>
  <c r="AT207" i="1"/>
  <c r="T207" i="1"/>
  <c r="AT215" i="1"/>
  <c r="T215" i="1"/>
  <c r="AT223" i="1"/>
  <c r="T223" i="1"/>
  <c r="AT231" i="1"/>
  <c r="T231" i="1"/>
  <c r="AT239" i="1"/>
  <c r="T239" i="1"/>
  <c r="AT247" i="1"/>
  <c r="T247" i="1"/>
  <c r="AT255" i="1"/>
  <c r="T255" i="1"/>
  <c r="AT263" i="1"/>
  <c r="T263" i="1"/>
  <c r="AT271" i="1"/>
  <c r="T271" i="1"/>
  <c r="AT279" i="1"/>
  <c r="T279" i="1"/>
  <c r="AT287" i="1"/>
  <c r="T287" i="1"/>
  <c r="AT295" i="1"/>
  <c r="T295" i="1"/>
  <c r="AT303" i="1"/>
  <c r="T303" i="1"/>
  <c r="AT311" i="1"/>
  <c r="T311" i="1"/>
  <c r="AT319" i="1"/>
  <c r="T319" i="1"/>
  <c r="AT327" i="1"/>
  <c r="T327" i="1"/>
  <c r="AT335" i="1"/>
  <c r="T335" i="1"/>
  <c r="AT343" i="1"/>
  <c r="T343" i="1"/>
  <c r="AT351" i="1"/>
  <c r="T351" i="1"/>
  <c r="AT359" i="1"/>
  <c r="T359" i="1"/>
  <c r="AT367" i="1"/>
  <c r="T367" i="1"/>
  <c r="AT375" i="1"/>
  <c r="T375" i="1"/>
  <c r="AT383" i="1"/>
  <c r="T383" i="1"/>
  <c r="AT391" i="1"/>
  <c r="T391" i="1"/>
  <c r="AT399" i="1"/>
  <c r="T399" i="1"/>
  <c r="AT407" i="1"/>
  <c r="T407" i="1"/>
  <c r="AT415" i="1"/>
  <c r="T415" i="1"/>
  <c r="AT423" i="1"/>
  <c r="T423" i="1"/>
  <c r="AT431" i="1"/>
  <c r="T431" i="1"/>
  <c r="AT439" i="1"/>
  <c r="T439" i="1"/>
  <c r="AT447" i="1"/>
  <c r="T447" i="1"/>
  <c r="AT455" i="1"/>
  <c r="T455" i="1"/>
  <c r="AT463" i="1"/>
  <c r="T463" i="1"/>
  <c r="AT471" i="1"/>
  <c r="T471" i="1"/>
  <c r="AT479" i="1"/>
  <c r="T479" i="1"/>
  <c r="AT487" i="1"/>
  <c r="T487" i="1"/>
  <c r="AT495" i="1"/>
  <c r="T495" i="1"/>
  <c r="AT503" i="1"/>
  <c r="T503" i="1"/>
  <c r="AT511" i="1"/>
  <c r="T511" i="1"/>
  <c r="AT519" i="1"/>
  <c r="T519" i="1"/>
  <c r="AT527" i="1"/>
  <c r="T527" i="1"/>
  <c r="AT535" i="1"/>
  <c r="T535" i="1"/>
  <c r="AT543" i="1"/>
  <c r="T543" i="1"/>
  <c r="AT551" i="1"/>
  <c r="T551" i="1"/>
  <c r="AT559" i="1"/>
  <c r="T559" i="1"/>
  <c r="AT567" i="1"/>
  <c r="T567" i="1"/>
  <c r="AT575" i="1"/>
  <c r="T575" i="1"/>
  <c r="AT583" i="1"/>
  <c r="T583" i="1"/>
  <c r="AT591" i="1"/>
  <c r="T591" i="1"/>
  <c r="AT599" i="1"/>
  <c r="T599" i="1"/>
  <c r="AT607" i="1"/>
  <c r="T607" i="1"/>
  <c r="AT615" i="1"/>
  <c r="T615" i="1"/>
  <c r="AT623" i="1"/>
  <c r="T623" i="1"/>
  <c r="AT631" i="1"/>
  <c r="T631" i="1"/>
  <c r="AT639" i="1"/>
  <c r="T639" i="1"/>
  <c r="AT647" i="1"/>
  <c r="T647" i="1"/>
  <c r="AT655" i="1"/>
  <c r="T655" i="1"/>
  <c r="AT663" i="1"/>
  <c r="T663" i="1"/>
  <c r="AT671" i="1"/>
  <c r="T671" i="1"/>
  <c r="AT679" i="1"/>
  <c r="T679" i="1"/>
  <c r="AT687" i="1"/>
  <c r="T687" i="1"/>
  <c r="AT695" i="1"/>
  <c r="T695" i="1"/>
  <c r="AT703" i="1"/>
  <c r="T703" i="1"/>
  <c r="AT711" i="1"/>
  <c r="T711" i="1"/>
  <c r="AT719" i="1"/>
  <c r="T719" i="1"/>
  <c r="AT727" i="1"/>
  <c r="T727" i="1"/>
  <c r="AT735" i="1"/>
  <c r="T735" i="1"/>
  <c r="AT743" i="1"/>
  <c r="T743" i="1"/>
  <c r="AT751" i="1"/>
  <c r="T751" i="1"/>
  <c r="AT759" i="1"/>
  <c r="T759" i="1"/>
  <c r="AT767" i="1"/>
  <c r="T767" i="1"/>
  <c r="AT775" i="1"/>
  <c r="T775" i="1"/>
  <c r="AT783" i="1"/>
  <c r="T783" i="1"/>
  <c r="AT791" i="1"/>
  <c r="T791" i="1"/>
  <c r="AT799" i="1"/>
  <c r="T799" i="1"/>
  <c r="AT807" i="1"/>
  <c r="T807" i="1"/>
  <c r="AT815" i="1"/>
  <c r="T815" i="1"/>
  <c r="AT823" i="1"/>
  <c r="T823" i="1"/>
  <c r="AT831" i="1"/>
  <c r="T831" i="1"/>
  <c r="AT839" i="1"/>
  <c r="T839" i="1"/>
  <c r="AT847" i="1"/>
  <c r="T847" i="1"/>
  <c r="AT855" i="1"/>
  <c r="T855" i="1"/>
  <c r="AT863" i="1"/>
  <c r="T863" i="1"/>
  <c r="AT871" i="1"/>
  <c r="T871" i="1"/>
  <c r="AT879" i="1"/>
  <c r="T879" i="1"/>
  <c r="AT887" i="1"/>
  <c r="T887" i="1"/>
  <c r="AT895" i="1"/>
  <c r="T895" i="1"/>
  <c r="AT903" i="1"/>
  <c r="T903" i="1"/>
  <c r="AT911" i="1"/>
  <c r="T911" i="1"/>
  <c r="AT919" i="1"/>
  <c r="T919" i="1"/>
  <c r="AT927" i="1"/>
  <c r="T927" i="1"/>
  <c r="AT935" i="1"/>
  <c r="T935" i="1"/>
  <c r="AT943" i="1"/>
  <c r="T943" i="1"/>
  <c r="AT951" i="1"/>
  <c r="T951" i="1"/>
  <c r="AT959" i="1"/>
  <c r="T959" i="1"/>
  <c r="AT967" i="1"/>
  <c r="T967" i="1"/>
  <c r="AT975" i="1"/>
  <c r="T975" i="1"/>
  <c r="AT983" i="1"/>
  <c r="T983" i="1"/>
  <c r="AT991" i="1"/>
  <c r="T991" i="1"/>
  <c r="AT999" i="1"/>
  <c r="T999" i="1"/>
  <c r="AT1007" i="1"/>
  <c r="T1007" i="1"/>
  <c r="AT1015" i="1"/>
  <c r="T1015" i="1"/>
  <c r="AT1023" i="1"/>
  <c r="T1023" i="1"/>
  <c r="AT1031" i="1"/>
  <c r="T1031" i="1"/>
  <c r="AT1039" i="1"/>
  <c r="T1039" i="1"/>
  <c r="AT1047" i="1"/>
  <c r="T1047" i="1"/>
  <c r="AT1055" i="1"/>
  <c r="T1055" i="1"/>
  <c r="AT1063" i="1"/>
  <c r="T1063" i="1"/>
  <c r="AT1071" i="1"/>
  <c r="T1071" i="1"/>
  <c r="AT1079" i="1"/>
  <c r="T1079" i="1"/>
  <c r="AT1087" i="1"/>
  <c r="T1087" i="1"/>
  <c r="AT1095" i="1"/>
  <c r="T1095" i="1"/>
  <c r="AT1103" i="1"/>
  <c r="T1103" i="1"/>
  <c r="AT1111" i="1"/>
  <c r="T1111" i="1"/>
  <c r="AT1119" i="1"/>
  <c r="T1119" i="1"/>
  <c r="AT1127" i="1"/>
  <c r="T1127" i="1"/>
  <c r="AT1135" i="1"/>
  <c r="T1135" i="1"/>
  <c r="AT1143" i="1"/>
  <c r="T1143" i="1"/>
  <c r="AT1151" i="1"/>
  <c r="T1151" i="1"/>
  <c r="AT1159" i="1"/>
  <c r="T1159" i="1"/>
  <c r="AT1167" i="1"/>
  <c r="T1167" i="1"/>
  <c r="AT1175" i="1"/>
  <c r="T1175" i="1"/>
  <c r="AT1183" i="1"/>
  <c r="T1183" i="1"/>
  <c r="AT1191" i="1"/>
  <c r="T1191" i="1"/>
  <c r="AT1199" i="1"/>
  <c r="T1199" i="1"/>
  <c r="AT1207" i="1"/>
  <c r="T1207" i="1"/>
  <c r="AT1215" i="1"/>
  <c r="T1215" i="1"/>
  <c r="AT1223" i="1"/>
  <c r="T1223" i="1"/>
  <c r="AT1231" i="1"/>
  <c r="T1231" i="1"/>
  <c r="AT1239" i="1"/>
  <c r="T1239" i="1"/>
  <c r="AT1247" i="1"/>
  <c r="T1247" i="1"/>
  <c r="AT1255" i="1"/>
  <c r="T1255" i="1"/>
  <c r="AT1263" i="1"/>
  <c r="T1263" i="1"/>
  <c r="AT1271" i="1"/>
  <c r="T1271" i="1"/>
  <c r="AT1279" i="1"/>
  <c r="T1279" i="1"/>
  <c r="AT1287" i="1"/>
  <c r="T1287" i="1"/>
  <c r="AT1295" i="1"/>
  <c r="T1295" i="1"/>
  <c r="AT1303" i="1"/>
  <c r="T1303" i="1"/>
  <c r="AT1311" i="1"/>
  <c r="T1311" i="1"/>
  <c r="AT1319" i="1"/>
  <c r="T1319" i="1"/>
  <c r="AT1327" i="1"/>
  <c r="T1327" i="1"/>
  <c r="AT1335" i="1"/>
  <c r="T1335" i="1"/>
  <c r="AT1343" i="1"/>
  <c r="T1343" i="1"/>
  <c r="AT1351" i="1"/>
  <c r="T1351" i="1"/>
  <c r="AT1359" i="1"/>
  <c r="T1359" i="1"/>
  <c r="AT1367" i="1"/>
  <c r="T1367" i="1"/>
  <c r="AT1375" i="1"/>
  <c r="T1375" i="1"/>
  <c r="AT1383" i="1"/>
  <c r="T1383" i="1"/>
  <c r="AT1391" i="1"/>
  <c r="T1391" i="1"/>
  <c r="AT1399" i="1"/>
  <c r="T1399" i="1"/>
  <c r="AT1407" i="1"/>
  <c r="T1407" i="1"/>
  <c r="AT1415" i="1"/>
  <c r="T1415" i="1"/>
  <c r="AT1423" i="1"/>
  <c r="T1423" i="1"/>
  <c r="AT1431" i="1"/>
  <c r="T1431" i="1"/>
  <c r="AT1439" i="1"/>
  <c r="T1439" i="1"/>
  <c r="AT1447" i="1"/>
  <c r="T1447" i="1"/>
  <c r="AT1455" i="1"/>
  <c r="T1455" i="1"/>
  <c r="AT1463" i="1"/>
  <c r="T1463" i="1"/>
  <c r="AT1471" i="1"/>
  <c r="T1471" i="1"/>
  <c r="AT1479" i="1"/>
  <c r="T1479" i="1"/>
  <c r="AT1487" i="1"/>
  <c r="T1487" i="1"/>
  <c r="AT1495" i="1"/>
  <c r="T1495" i="1"/>
  <c r="AT1503" i="1"/>
  <c r="T1503" i="1"/>
  <c r="AT1511" i="1"/>
  <c r="T1511" i="1"/>
  <c r="AT1519" i="1"/>
  <c r="T1519" i="1"/>
  <c r="AT1527" i="1"/>
  <c r="T1527" i="1"/>
  <c r="AT1535" i="1"/>
  <c r="T1535" i="1"/>
  <c r="AT1543" i="1"/>
  <c r="T1543" i="1"/>
  <c r="AT1551" i="1"/>
  <c r="T1551" i="1"/>
  <c r="AT1559" i="1"/>
  <c r="T1559" i="1"/>
  <c r="AT1567" i="1"/>
  <c r="T1567" i="1"/>
  <c r="AT1575" i="1"/>
  <c r="T1575" i="1"/>
  <c r="AT1583" i="1"/>
  <c r="T1583" i="1"/>
  <c r="AT1591" i="1"/>
  <c r="T1591" i="1"/>
  <c r="AT1599" i="1"/>
  <c r="T1599" i="1"/>
  <c r="AT1607" i="1"/>
  <c r="T1607" i="1"/>
  <c r="AT1615" i="1"/>
  <c r="T1615" i="1"/>
  <c r="AT1623" i="1"/>
  <c r="T1623" i="1"/>
  <c r="AT1631" i="1"/>
  <c r="T1631" i="1"/>
  <c r="AT1639" i="1"/>
  <c r="T1639" i="1"/>
  <c r="AT1647" i="1"/>
  <c r="T1647" i="1"/>
  <c r="AT1655" i="1"/>
  <c r="T1655" i="1"/>
  <c r="AT1663" i="1"/>
  <c r="T1663" i="1"/>
  <c r="AT1671" i="1"/>
  <c r="T1671" i="1"/>
  <c r="AT1679" i="1"/>
  <c r="T1679" i="1"/>
  <c r="AT1687" i="1"/>
  <c r="T1687" i="1"/>
  <c r="AT1695" i="1"/>
  <c r="T1695" i="1"/>
  <c r="AT1703" i="1"/>
  <c r="T1703" i="1"/>
  <c r="AT1711" i="1"/>
  <c r="T1711" i="1"/>
  <c r="AT1719" i="1"/>
  <c r="T1719" i="1"/>
  <c r="AT1727" i="1"/>
  <c r="T1727" i="1"/>
  <c r="BJ544" i="1"/>
  <c r="BJ592" i="1"/>
  <c r="BJ1296" i="1"/>
  <c r="BJ1360" i="1"/>
  <c r="BJ1576" i="1"/>
  <c r="BJ537" i="1"/>
  <c r="BJ593" i="1"/>
  <c r="BJ132" i="1"/>
  <c r="BJ348" i="1"/>
  <c r="BJ380" i="1"/>
  <c r="BJ564" i="1"/>
  <c r="BJ572" i="1"/>
  <c r="BJ988" i="1"/>
  <c r="BJ1028" i="1"/>
  <c r="BJ1244" i="1"/>
  <c r="BJ1276" i="1"/>
  <c r="BJ1492" i="1"/>
  <c r="BJ1540" i="1"/>
  <c r="BJ1580" i="1"/>
  <c r="BJ1604" i="1"/>
  <c r="BJ1628" i="1"/>
  <c r="BJ381" i="1"/>
  <c r="BJ501" i="1"/>
  <c r="BJ509" i="1"/>
  <c r="BJ525" i="1"/>
  <c r="BJ565" i="1"/>
  <c r="BJ853" i="1"/>
  <c r="BJ957" i="1"/>
  <c r="BJ989" i="1"/>
  <c r="AT5" i="1"/>
  <c r="T5" i="1"/>
  <c r="AT21" i="1"/>
  <c r="T21" i="1"/>
  <c r="AT37" i="1"/>
  <c r="T37" i="1"/>
  <c r="AT53" i="1"/>
  <c r="T53" i="1"/>
  <c r="AT69" i="1"/>
  <c r="T69" i="1"/>
  <c r="AT85" i="1"/>
  <c r="T85" i="1"/>
  <c r="AT101" i="1"/>
  <c r="T101" i="1"/>
  <c r="AT117" i="1"/>
  <c r="T117" i="1"/>
  <c r="AT133" i="1"/>
  <c r="T133" i="1"/>
  <c r="AT149" i="1"/>
  <c r="T149" i="1"/>
  <c r="AT165" i="1"/>
  <c r="T165" i="1"/>
  <c r="AT181" i="1"/>
  <c r="T181" i="1"/>
  <c r="AT197" i="1"/>
  <c r="T197" i="1"/>
  <c r="AT213" i="1"/>
  <c r="T213" i="1"/>
  <c r="AT229" i="1"/>
  <c r="T229" i="1"/>
  <c r="AT245" i="1"/>
  <c r="T245" i="1"/>
  <c r="AT261" i="1"/>
  <c r="T261" i="1"/>
  <c r="AT277" i="1"/>
  <c r="T277" i="1"/>
  <c r="AT293" i="1"/>
  <c r="T293" i="1"/>
  <c r="AT309" i="1"/>
  <c r="T309" i="1"/>
  <c r="AT325" i="1"/>
  <c r="T325" i="1"/>
  <c r="AT341" i="1"/>
  <c r="T341" i="1"/>
  <c r="AT357" i="1"/>
  <c r="T357" i="1"/>
  <c r="AT373" i="1"/>
  <c r="T373" i="1"/>
  <c r="AT389" i="1"/>
  <c r="T389" i="1"/>
  <c r="AT405" i="1"/>
  <c r="T405" i="1"/>
  <c r="AT421" i="1"/>
  <c r="T421" i="1"/>
  <c r="AT437" i="1"/>
  <c r="T437" i="1"/>
  <c r="AT453" i="1"/>
  <c r="T453" i="1"/>
  <c r="AT469" i="1"/>
  <c r="T469" i="1"/>
  <c r="AT485" i="1"/>
  <c r="T485" i="1"/>
  <c r="AT501" i="1"/>
  <c r="T501" i="1"/>
  <c r="AT517" i="1"/>
  <c r="T517" i="1"/>
  <c r="AT533" i="1"/>
  <c r="T533" i="1"/>
  <c r="AT549" i="1"/>
  <c r="T549" i="1"/>
  <c r="AT565" i="1"/>
  <c r="T565" i="1"/>
  <c r="AT581" i="1"/>
  <c r="T581" i="1"/>
  <c r="AT597" i="1"/>
  <c r="T597" i="1"/>
  <c r="AT613" i="1"/>
  <c r="T613" i="1"/>
  <c r="AT629" i="1"/>
  <c r="T629" i="1"/>
  <c r="AT645" i="1"/>
  <c r="T645" i="1"/>
  <c r="AT661" i="1"/>
  <c r="T661" i="1"/>
  <c r="AT677" i="1"/>
  <c r="T677" i="1"/>
  <c r="AT693" i="1"/>
  <c r="T693" i="1"/>
  <c r="AT709" i="1"/>
  <c r="T709" i="1"/>
  <c r="AT725" i="1"/>
  <c r="T725" i="1"/>
  <c r="AT741" i="1"/>
  <c r="T741" i="1"/>
  <c r="AT757" i="1"/>
  <c r="T757" i="1"/>
  <c r="AT773" i="1"/>
  <c r="T773" i="1"/>
  <c r="AT789" i="1"/>
  <c r="T789" i="1"/>
  <c r="AT805" i="1"/>
  <c r="T805" i="1"/>
  <c r="AT821" i="1"/>
  <c r="T821" i="1"/>
  <c r="AT837" i="1"/>
  <c r="T837" i="1"/>
  <c r="AT853" i="1"/>
  <c r="T853" i="1"/>
  <c r="AT869" i="1"/>
  <c r="T869" i="1"/>
  <c r="AT885" i="1"/>
  <c r="T885" i="1"/>
  <c r="AT901" i="1"/>
  <c r="T901" i="1"/>
  <c r="AT917" i="1"/>
  <c r="T917" i="1"/>
  <c r="AT933" i="1"/>
  <c r="T933" i="1"/>
  <c r="AT949" i="1"/>
  <c r="T949" i="1"/>
  <c r="AT965" i="1"/>
  <c r="T965" i="1"/>
  <c r="AT981" i="1"/>
  <c r="T981" i="1"/>
  <c r="AT997" i="1"/>
  <c r="T997" i="1"/>
  <c r="AT1013" i="1"/>
  <c r="T1013" i="1"/>
  <c r="AT1029" i="1"/>
  <c r="T1029" i="1"/>
  <c r="AT1045" i="1"/>
  <c r="T1045" i="1"/>
  <c r="AT1061" i="1"/>
  <c r="T1061" i="1"/>
  <c r="AT1077" i="1"/>
  <c r="T1077" i="1"/>
  <c r="AT1093" i="1"/>
  <c r="T1093" i="1"/>
  <c r="AT1109" i="1"/>
  <c r="T1109" i="1"/>
  <c r="AT1125" i="1"/>
  <c r="T1125" i="1"/>
  <c r="AT1141" i="1"/>
  <c r="T1141" i="1"/>
  <c r="AT1157" i="1"/>
  <c r="T1157" i="1"/>
  <c r="AT1173" i="1"/>
  <c r="T1173" i="1"/>
  <c r="AT1189" i="1"/>
  <c r="T1189" i="1"/>
  <c r="AT1205" i="1"/>
  <c r="T1205" i="1"/>
  <c r="AT1213" i="1"/>
  <c r="T1213" i="1"/>
  <c r="AT1221" i="1"/>
  <c r="T1221" i="1"/>
  <c r="AT1229" i="1"/>
  <c r="T1229" i="1"/>
  <c r="AT1237" i="1"/>
  <c r="T1237" i="1"/>
  <c r="AT1245" i="1"/>
  <c r="T1245" i="1"/>
  <c r="AT1253" i="1"/>
  <c r="T1253" i="1"/>
  <c r="AT1261" i="1"/>
  <c r="T1261" i="1"/>
  <c r="AT1269" i="1"/>
  <c r="T1269" i="1"/>
  <c r="AT1277" i="1"/>
  <c r="T1277" i="1"/>
  <c r="AT1285" i="1"/>
  <c r="T1285" i="1"/>
  <c r="AT1293" i="1"/>
  <c r="T1293" i="1"/>
  <c r="AT1301" i="1"/>
  <c r="T1301" i="1"/>
  <c r="AT1309" i="1"/>
  <c r="T1309" i="1"/>
  <c r="AT1317" i="1"/>
  <c r="T1317" i="1"/>
  <c r="AT1325" i="1"/>
  <c r="T1325" i="1"/>
  <c r="AT1333" i="1"/>
  <c r="T1333" i="1"/>
  <c r="AT1341" i="1"/>
  <c r="T1341" i="1"/>
  <c r="AT1349" i="1"/>
  <c r="T1349" i="1"/>
  <c r="AT1357" i="1"/>
  <c r="T1357" i="1"/>
  <c r="AT1365" i="1"/>
  <c r="T1365" i="1"/>
  <c r="AT1373" i="1"/>
  <c r="T1373" i="1"/>
  <c r="AT1381" i="1"/>
  <c r="T1381" i="1"/>
  <c r="AT1389" i="1"/>
  <c r="T1389" i="1"/>
  <c r="AT1397" i="1"/>
  <c r="T1397" i="1"/>
  <c r="AT1405" i="1"/>
  <c r="T1405" i="1"/>
  <c r="AT1413" i="1"/>
  <c r="T1413" i="1"/>
  <c r="AT1421" i="1"/>
  <c r="T1421" i="1"/>
  <c r="AT1429" i="1"/>
  <c r="T1429" i="1"/>
  <c r="AT1437" i="1"/>
  <c r="T1437" i="1"/>
  <c r="AT1445" i="1"/>
  <c r="T1445" i="1"/>
  <c r="AT1453" i="1"/>
  <c r="T1453" i="1"/>
  <c r="AT1461" i="1"/>
  <c r="T1461" i="1"/>
  <c r="AT1469" i="1"/>
  <c r="T1469" i="1"/>
  <c r="AT1477" i="1"/>
  <c r="T1477" i="1"/>
  <c r="AT1485" i="1"/>
  <c r="T1485" i="1"/>
  <c r="AT1493" i="1"/>
  <c r="T1493" i="1"/>
  <c r="AT1501" i="1"/>
  <c r="T1501" i="1"/>
  <c r="AT1509" i="1"/>
  <c r="T1509" i="1"/>
  <c r="AT1517" i="1"/>
  <c r="T1517" i="1"/>
  <c r="AT1525" i="1"/>
  <c r="T1525" i="1"/>
  <c r="AT1533" i="1"/>
  <c r="T1533" i="1"/>
  <c r="AT1541" i="1"/>
  <c r="T1541" i="1"/>
  <c r="AT1549" i="1"/>
  <c r="T1549" i="1"/>
  <c r="AT1557" i="1"/>
  <c r="T1557" i="1"/>
  <c r="AT1565" i="1"/>
  <c r="T1565" i="1"/>
  <c r="AT1573" i="1"/>
  <c r="T1573" i="1"/>
  <c r="AT1581" i="1"/>
  <c r="T1581" i="1"/>
  <c r="AT1589" i="1"/>
  <c r="T1589" i="1"/>
  <c r="AT1597" i="1"/>
  <c r="T1597" i="1"/>
  <c r="AT1605" i="1"/>
  <c r="T1605" i="1"/>
  <c r="AT1613" i="1"/>
  <c r="T1613" i="1"/>
  <c r="AT1621" i="1"/>
  <c r="T1621" i="1"/>
  <c r="AT1629" i="1"/>
  <c r="T1629" i="1"/>
  <c r="AT1637" i="1"/>
  <c r="T1637" i="1"/>
  <c r="AT1645" i="1"/>
  <c r="T1645" i="1"/>
  <c r="AT1653" i="1"/>
  <c r="T1653" i="1"/>
  <c r="AT1661" i="1"/>
  <c r="T1661" i="1"/>
  <c r="AT1669" i="1"/>
  <c r="T1669" i="1"/>
  <c r="AT1677" i="1"/>
  <c r="T1677" i="1"/>
  <c r="AT1685" i="1"/>
  <c r="T1685" i="1"/>
  <c r="AT1693" i="1"/>
  <c r="T1693" i="1"/>
  <c r="AT1701" i="1"/>
  <c r="T1701" i="1"/>
  <c r="AT1709" i="1"/>
  <c r="T1709" i="1"/>
  <c r="AT1717" i="1"/>
  <c r="T1717" i="1"/>
  <c r="AT1725" i="1"/>
  <c r="T1725" i="1"/>
  <c r="Y8" i="1"/>
  <c r="AU8" i="1" s="1"/>
  <c r="Y24" i="1"/>
  <c r="AU24" i="1" s="1"/>
  <c r="Y40" i="1"/>
  <c r="AU40" i="1" s="1"/>
  <c r="Y56" i="1"/>
  <c r="AU56" i="1" s="1"/>
  <c r="Y72" i="1"/>
  <c r="AU72" i="1" s="1"/>
  <c r="Y88" i="1"/>
  <c r="AU88" i="1" s="1"/>
  <c r="Y104" i="1"/>
  <c r="AU104" i="1" s="1"/>
  <c r="Y120" i="1"/>
  <c r="AU120" i="1" s="1"/>
  <c r="Y136" i="1"/>
  <c r="AU136" i="1" s="1"/>
  <c r="Y152" i="1"/>
  <c r="AU152" i="1" s="1"/>
  <c r="Y168" i="1"/>
  <c r="AU168" i="1" s="1"/>
  <c r="Y184" i="1"/>
  <c r="AU184" i="1" s="1"/>
  <c r="Y200" i="1"/>
  <c r="AU200" i="1" s="1"/>
  <c r="Y216" i="1"/>
  <c r="AU216" i="1" s="1"/>
  <c r="Y232" i="1"/>
  <c r="AU232" i="1" s="1"/>
  <c r="Y248" i="1"/>
  <c r="AU248" i="1" s="1"/>
  <c r="Y264" i="1"/>
  <c r="AU264" i="1" s="1"/>
  <c r="Y280" i="1"/>
  <c r="AU280" i="1" s="1"/>
  <c r="Y296" i="1"/>
  <c r="AU296" i="1" s="1"/>
  <c r="Y312" i="1"/>
  <c r="AU312" i="1" s="1"/>
  <c r="Y328" i="1"/>
  <c r="AU328" i="1" s="1"/>
  <c r="Y344" i="1"/>
  <c r="AU344" i="1" s="1"/>
  <c r="Y360" i="1"/>
  <c r="AU360" i="1" s="1"/>
  <c r="Y376" i="1"/>
  <c r="AU376" i="1" s="1"/>
  <c r="Y392" i="1"/>
  <c r="AU392" i="1" s="1"/>
  <c r="Y408" i="1"/>
  <c r="AU408" i="1" s="1"/>
  <c r="Y424" i="1"/>
  <c r="AU424" i="1" s="1"/>
  <c r="Y440" i="1"/>
  <c r="AU440" i="1" s="1"/>
  <c r="Y456" i="1"/>
  <c r="AU456" i="1" s="1"/>
  <c r="Y472" i="1"/>
  <c r="AU472" i="1" s="1"/>
  <c r="Y488" i="1"/>
  <c r="AU488" i="1" s="1"/>
  <c r="Y504" i="1"/>
  <c r="AU504" i="1" s="1"/>
  <c r="Y520" i="1"/>
  <c r="AU520" i="1" s="1"/>
  <c r="Y536" i="1"/>
  <c r="AU536" i="1" s="1"/>
  <c r="Y552" i="1"/>
  <c r="AU552" i="1" s="1"/>
  <c r="Y568" i="1"/>
  <c r="AU568" i="1" s="1"/>
  <c r="Y584" i="1"/>
  <c r="AU584" i="1" s="1"/>
  <c r="Y600" i="1"/>
  <c r="AU600" i="1" s="1"/>
  <c r="Y616" i="1"/>
  <c r="AU616" i="1" s="1"/>
  <c r="Y632" i="1"/>
  <c r="AU632" i="1" s="1"/>
  <c r="Y648" i="1"/>
  <c r="AU648" i="1" s="1"/>
  <c r="Y664" i="1"/>
  <c r="AU664" i="1" s="1"/>
  <c r="Y680" i="1"/>
  <c r="AU680" i="1" s="1"/>
  <c r="Y696" i="1"/>
  <c r="AU696" i="1" s="1"/>
  <c r="Y712" i="1"/>
  <c r="AU712" i="1" s="1"/>
  <c r="Y728" i="1"/>
  <c r="AU728" i="1" s="1"/>
  <c r="Y744" i="1"/>
  <c r="AU744" i="1" s="1"/>
  <c r="Y760" i="1"/>
  <c r="AU760" i="1" s="1"/>
  <c r="Y776" i="1"/>
  <c r="AU776" i="1" s="1"/>
  <c r="Y792" i="1"/>
  <c r="AU792" i="1" s="1"/>
  <c r="Y808" i="1"/>
  <c r="AU808" i="1" s="1"/>
  <c r="Y824" i="1"/>
  <c r="AU824" i="1" s="1"/>
  <c r="Y840" i="1"/>
  <c r="AU840" i="1" s="1"/>
  <c r="Y856" i="1"/>
  <c r="AU856" i="1" s="1"/>
  <c r="Y872" i="1"/>
  <c r="AU872" i="1" s="1"/>
  <c r="Y888" i="1"/>
  <c r="AU888" i="1" s="1"/>
  <c r="Y904" i="1"/>
  <c r="AU904" i="1" s="1"/>
  <c r="Y920" i="1"/>
  <c r="AU920" i="1" s="1"/>
  <c r="Y936" i="1"/>
  <c r="AU936" i="1" s="1"/>
  <c r="Y952" i="1"/>
  <c r="AU952" i="1" s="1"/>
  <c r="Y968" i="1"/>
  <c r="AU968" i="1" s="1"/>
  <c r="Y984" i="1"/>
  <c r="AU984" i="1" s="1"/>
  <c r="Y1000" i="1"/>
  <c r="AU1000" i="1" s="1"/>
  <c r="Y1016" i="1"/>
  <c r="AU1016" i="1" s="1"/>
  <c r="Y1032" i="1"/>
  <c r="AU1032" i="1" s="1"/>
  <c r="Y1048" i="1"/>
  <c r="AU1048" i="1" s="1"/>
  <c r="Y1064" i="1"/>
  <c r="AU1064" i="1" s="1"/>
  <c r="Y1080" i="1"/>
  <c r="AU1080" i="1" s="1"/>
  <c r="Y1096" i="1"/>
  <c r="AU1096" i="1" s="1"/>
  <c r="V8" i="1"/>
  <c r="W8" i="1" s="1"/>
  <c r="V24" i="1"/>
  <c r="W24" i="1" s="1"/>
  <c r="V40" i="1"/>
  <c r="W40" i="1" s="1"/>
  <c r="V56" i="1"/>
  <c r="W56" i="1" s="1"/>
  <c r="V72" i="1"/>
  <c r="W72" i="1" s="1"/>
  <c r="V88" i="1"/>
  <c r="W88" i="1" s="1"/>
  <c r="V104" i="1"/>
  <c r="W104" i="1" s="1"/>
  <c r="V120" i="1"/>
  <c r="W120" i="1" s="1"/>
  <c r="V136" i="1"/>
  <c r="W136" i="1" s="1"/>
  <c r="V152" i="1"/>
  <c r="W152" i="1" s="1"/>
  <c r="V168" i="1"/>
  <c r="W168" i="1" s="1"/>
  <c r="V184" i="1"/>
  <c r="W184" i="1" s="1"/>
  <c r="V200" i="1"/>
  <c r="W200" i="1" s="1"/>
  <c r="V216" i="1"/>
  <c r="W216" i="1" s="1"/>
  <c r="V232" i="1"/>
  <c r="W232" i="1" s="1"/>
  <c r="V248" i="1"/>
  <c r="W248" i="1" s="1"/>
  <c r="V264" i="1"/>
  <c r="W264" i="1" s="1"/>
  <c r="V280" i="1"/>
  <c r="W280" i="1" s="1"/>
  <c r="V296" i="1"/>
  <c r="W296" i="1" s="1"/>
  <c r="V312" i="1"/>
  <c r="W312" i="1" s="1"/>
  <c r="V328" i="1"/>
  <c r="W328" i="1" s="1"/>
  <c r="V344" i="1"/>
  <c r="W344" i="1" s="1"/>
  <c r="V360" i="1"/>
  <c r="W360" i="1" s="1"/>
  <c r="V376" i="1"/>
  <c r="W376" i="1" s="1"/>
  <c r="V392" i="1"/>
  <c r="W392" i="1" s="1"/>
  <c r="V408" i="1"/>
  <c r="W408" i="1" s="1"/>
  <c r="V424" i="1"/>
  <c r="W424" i="1" s="1"/>
  <c r="V440" i="1"/>
  <c r="W440" i="1" s="1"/>
  <c r="V456" i="1"/>
  <c r="W456" i="1" s="1"/>
  <c r="V472" i="1"/>
  <c r="W472" i="1" s="1"/>
  <c r="V488" i="1"/>
  <c r="W488" i="1" s="1"/>
  <c r="V504" i="1"/>
  <c r="W504" i="1" s="1"/>
  <c r="V520" i="1"/>
  <c r="W520" i="1" s="1"/>
  <c r="V536" i="1"/>
  <c r="W536" i="1" s="1"/>
  <c r="V552" i="1"/>
  <c r="W552" i="1" s="1"/>
  <c r="V568" i="1"/>
  <c r="W568" i="1" s="1"/>
  <c r="V584" i="1"/>
  <c r="W584" i="1" s="1"/>
  <c r="V600" i="1"/>
  <c r="W600" i="1" s="1"/>
  <c r="V616" i="1"/>
  <c r="W616" i="1" s="1"/>
  <c r="V632" i="1"/>
  <c r="W632" i="1" s="1"/>
  <c r="V648" i="1"/>
  <c r="W648" i="1" s="1"/>
  <c r="V664" i="1"/>
  <c r="W664" i="1" s="1"/>
  <c r="V680" i="1"/>
  <c r="W680" i="1" s="1"/>
  <c r="V696" i="1"/>
  <c r="W696" i="1" s="1"/>
  <c r="V712" i="1"/>
  <c r="W712" i="1" s="1"/>
  <c r="V728" i="1"/>
  <c r="W728" i="1" s="1"/>
  <c r="V744" i="1"/>
  <c r="W744" i="1" s="1"/>
  <c r="V760" i="1"/>
  <c r="W760" i="1" s="1"/>
  <c r="V776" i="1"/>
  <c r="W776" i="1" s="1"/>
  <c r="V792" i="1"/>
  <c r="W792" i="1" s="1"/>
  <c r="V808" i="1"/>
  <c r="W808" i="1" s="1"/>
  <c r="V824" i="1"/>
  <c r="W824" i="1" s="1"/>
  <c r="V840" i="1"/>
  <c r="W840" i="1" s="1"/>
  <c r="V856" i="1"/>
  <c r="W856" i="1" s="1"/>
  <c r="V872" i="1"/>
  <c r="W872" i="1" s="1"/>
  <c r="V888" i="1"/>
  <c r="W888" i="1" s="1"/>
  <c r="V904" i="1"/>
  <c r="W904" i="1" s="1"/>
  <c r="V920" i="1"/>
  <c r="W920" i="1" s="1"/>
  <c r="V936" i="1"/>
  <c r="W936" i="1" s="1"/>
  <c r="V952" i="1"/>
  <c r="W952" i="1" s="1"/>
  <c r="V968" i="1"/>
  <c r="W968" i="1" s="1"/>
  <c r="V984" i="1"/>
  <c r="W984" i="1" s="1"/>
  <c r="V1000" i="1"/>
  <c r="W1000" i="1" s="1"/>
  <c r="V1016" i="1"/>
  <c r="W1016" i="1" s="1"/>
  <c r="V1032" i="1"/>
  <c r="W1032" i="1" s="1"/>
  <c r="V1048" i="1"/>
  <c r="W1048" i="1" s="1"/>
  <c r="V1064" i="1"/>
  <c r="W1064" i="1" s="1"/>
  <c r="V1080" i="1"/>
  <c r="W1080" i="1" s="1"/>
  <c r="V1096" i="1"/>
  <c r="W1096" i="1" s="1"/>
  <c r="V1112" i="1"/>
  <c r="W1112" i="1" s="1"/>
  <c r="V1128" i="1"/>
  <c r="W1128" i="1" s="1"/>
  <c r="V1144" i="1"/>
  <c r="W1144" i="1" s="1"/>
  <c r="V1160" i="1"/>
  <c r="W1160" i="1" s="1"/>
  <c r="V1176" i="1"/>
  <c r="W1176" i="1" s="1"/>
  <c r="V1192" i="1"/>
  <c r="W1192" i="1" s="1"/>
  <c r="V1208" i="1"/>
  <c r="W1208" i="1" s="1"/>
  <c r="V1224" i="1"/>
  <c r="W1224" i="1" s="1"/>
  <c r="V1240" i="1"/>
  <c r="W1240" i="1" s="1"/>
  <c r="V1256" i="1"/>
  <c r="W1256" i="1" s="1"/>
  <c r="V1272" i="1"/>
  <c r="W1272" i="1" s="1"/>
  <c r="V1288" i="1"/>
  <c r="W1288" i="1" s="1"/>
  <c r="V1304" i="1"/>
  <c r="W1304" i="1" s="1"/>
  <c r="V1320" i="1"/>
  <c r="W1320" i="1" s="1"/>
  <c r="V1336" i="1"/>
  <c r="W1336" i="1" s="1"/>
  <c r="V1352" i="1"/>
  <c r="W1352" i="1" s="1"/>
  <c r="V1368" i="1"/>
  <c r="W1368" i="1" s="1"/>
  <c r="V1384" i="1"/>
  <c r="W1384" i="1" s="1"/>
  <c r="W1560" i="1"/>
  <c r="Y5" i="1"/>
  <c r="AU5" i="1" s="1"/>
  <c r="Y21" i="1"/>
  <c r="AU21" i="1" s="1"/>
  <c r="Y37" i="1"/>
  <c r="AU37" i="1" s="1"/>
  <c r="Y53" i="1"/>
  <c r="AU53" i="1" s="1"/>
  <c r="Y69" i="1"/>
  <c r="AU69" i="1" s="1"/>
  <c r="Y85" i="1"/>
  <c r="AU85" i="1" s="1"/>
  <c r="Y101" i="1"/>
  <c r="AU101" i="1" s="1"/>
  <c r="Y117" i="1"/>
  <c r="AU117" i="1" s="1"/>
  <c r="Y133" i="1"/>
  <c r="AU133" i="1" s="1"/>
  <c r="Y149" i="1"/>
  <c r="AU149" i="1" s="1"/>
  <c r="Y165" i="1"/>
  <c r="AU165" i="1" s="1"/>
  <c r="Y181" i="1"/>
  <c r="AU181" i="1" s="1"/>
  <c r="Y197" i="1"/>
  <c r="AU197" i="1" s="1"/>
  <c r="Y213" i="1"/>
  <c r="AU213" i="1" s="1"/>
  <c r="Y229" i="1"/>
  <c r="AU229" i="1" s="1"/>
  <c r="Y245" i="1"/>
  <c r="AU245" i="1" s="1"/>
  <c r="Y261" i="1"/>
  <c r="AU261" i="1" s="1"/>
  <c r="Y277" i="1"/>
  <c r="AU277" i="1" s="1"/>
  <c r="Y293" i="1"/>
  <c r="AU293" i="1" s="1"/>
  <c r="Y309" i="1"/>
  <c r="AU309" i="1" s="1"/>
  <c r="Y325" i="1"/>
  <c r="AU325" i="1" s="1"/>
  <c r="Y341" i="1"/>
  <c r="AU341" i="1" s="1"/>
  <c r="Y357" i="1"/>
  <c r="AU357" i="1" s="1"/>
  <c r="Y373" i="1"/>
  <c r="AU373" i="1" s="1"/>
  <c r="Y389" i="1"/>
  <c r="AU389" i="1" s="1"/>
  <c r="Y405" i="1"/>
  <c r="AU405" i="1" s="1"/>
  <c r="Y421" i="1"/>
  <c r="AU421" i="1" s="1"/>
  <c r="Y437" i="1"/>
  <c r="AU437" i="1" s="1"/>
  <c r="Y453" i="1"/>
  <c r="AU453" i="1" s="1"/>
  <c r="Y469" i="1"/>
  <c r="AU469" i="1" s="1"/>
  <c r="Y485" i="1"/>
  <c r="AU485" i="1" s="1"/>
  <c r="Y501" i="1"/>
  <c r="AU501" i="1" s="1"/>
  <c r="Y517" i="1"/>
  <c r="AU517" i="1" s="1"/>
  <c r="Y533" i="1"/>
  <c r="AU533" i="1" s="1"/>
  <c r="Y549" i="1"/>
  <c r="AU549" i="1" s="1"/>
  <c r="Y565" i="1"/>
  <c r="AU565" i="1" s="1"/>
  <c r="Y581" i="1"/>
  <c r="AU581" i="1" s="1"/>
  <c r="Y597" i="1"/>
  <c r="AU597" i="1" s="1"/>
  <c r="Y613" i="1"/>
  <c r="AU613" i="1" s="1"/>
  <c r="Y629" i="1"/>
  <c r="AU629" i="1" s="1"/>
  <c r="Y645" i="1"/>
  <c r="AU645" i="1" s="1"/>
  <c r="Y661" i="1"/>
  <c r="AU661" i="1" s="1"/>
  <c r="Y677" i="1"/>
  <c r="AU677" i="1" s="1"/>
  <c r="Y693" i="1"/>
  <c r="AU693" i="1" s="1"/>
  <c r="Y709" i="1"/>
  <c r="AU709" i="1" s="1"/>
  <c r="Y725" i="1"/>
  <c r="AU725" i="1" s="1"/>
  <c r="Y741" i="1"/>
  <c r="AU741" i="1" s="1"/>
  <c r="Y757" i="1"/>
  <c r="AU757" i="1" s="1"/>
  <c r="Y773" i="1"/>
  <c r="AU773" i="1" s="1"/>
  <c r="Y789" i="1"/>
  <c r="AU789" i="1" s="1"/>
  <c r="Y805" i="1"/>
  <c r="AU805" i="1" s="1"/>
  <c r="Y821" i="1"/>
  <c r="AU821" i="1" s="1"/>
  <c r="Y837" i="1"/>
  <c r="AU837" i="1" s="1"/>
  <c r="Y853" i="1"/>
  <c r="AU853" i="1" s="1"/>
  <c r="Y869" i="1"/>
  <c r="AU869" i="1" s="1"/>
  <c r="Y885" i="1"/>
  <c r="AU885" i="1" s="1"/>
  <c r="Y901" i="1"/>
  <c r="AU901" i="1" s="1"/>
  <c r="Y917" i="1"/>
  <c r="AU917" i="1" s="1"/>
  <c r="Y933" i="1"/>
  <c r="AU933" i="1" s="1"/>
  <c r="Y949" i="1"/>
  <c r="AU949" i="1" s="1"/>
  <c r="Y965" i="1"/>
  <c r="AU965" i="1" s="1"/>
  <c r="V5" i="1"/>
  <c r="W5" i="1" s="1"/>
  <c r="V21" i="1"/>
  <c r="W21" i="1" s="1"/>
  <c r="V37" i="1"/>
  <c r="W37" i="1" s="1"/>
  <c r="V53" i="1"/>
  <c r="W53" i="1" s="1"/>
  <c r="V69" i="1"/>
  <c r="W69" i="1" s="1"/>
  <c r="V85" i="1"/>
  <c r="W85" i="1" s="1"/>
  <c r="V101" i="1"/>
  <c r="W101" i="1" s="1"/>
  <c r="V117" i="1"/>
  <c r="W117" i="1" s="1"/>
  <c r="V133" i="1"/>
  <c r="W133" i="1" s="1"/>
  <c r="V149" i="1"/>
  <c r="W149" i="1" s="1"/>
  <c r="V165" i="1"/>
  <c r="W165" i="1" s="1"/>
  <c r="V181" i="1"/>
  <c r="W181" i="1" s="1"/>
  <c r="V197" i="1"/>
  <c r="W197" i="1" s="1"/>
  <c r="V213" i="1"/>
  <c r="W213" i="1" s="1"/>
  <c r="V229" i="1"/>
  <c r="W229" i="1" s="1"/>
  <c r="V245" i="1"/>
  <c r="W245" i="1" s="1"/>
  <c r="V261" i="1"/>
  <c r="W261" i="1" s="1"/>
  <c r="V277" i="1"/>
  <c r="W277" i="1" s="1"/>
  <c r="V293" i="1"/>
  <c r="W293" i="1" s="1"/>
  <c r="V309" i="1"/>
  <c r="W309" i="1" s="1"/>
  <c r="V325" i="1"/>
  <c r="W325" i="1" s="1"/>
  <c r="V341" i="1"/>
  <c r="W341" i="1" s="1"/>
  <c r="V357" i="1"/>
  <c r="W357" i="1" s="1"/>
  <c r="V373" i="1"/>
  <c r="W373" i="1" s="1"/>
  <c r="V389" i="1"/>
  <c r="W389" i="1" s="1"/>
  <c r="V405" i="1"/>
  <c r="W405" i="1" s="1"/>
  <c r="V421" i="1"/>
  <c r="W421" i="1" s="1"/>
  <c r="V437" i="1"/>
  <c r="W437" i="1" s="1"/>
  <c r="V453" i="1"/>
  <c r="W453" i="1" s="1"/>
  <c r="V469" i="1"/>
  <c r="W469" i="1" s="1"/>
  <c r="V485" i="1"/>
  <c r="W485" i="1" s="1"/>
  <c r="V501" i="1"/>
  <c r="W501" i="1" s="1"/>
  <c r="V517" i="1"/>
  <c r="W517" i="1" s="1"/>
  <c r="V533" i="1"/>
  <c r="W533" i="1" s="1"/>
  <c r="V549" i="1"/>
  <c r="W549" i="1" s="1"/>
  <c r="V565" i="1"/>
  <c r="W565" i="1" s="1"/>
  <c r="V581" i="1"/>
  <c r="W581" i="1" s="1"/>
  <c r="V597" i="1"/>
  <c r="W597" i="1" s="1"/>
  <c r="V613" i="1"/>
  <c r="W613" i="1" s="1"/>
  <c r="V629" i="1"/>
  <c r="W629" i="1" s="1"/>
  <c r="V645" i="1"/>
  <c r="W645" i="1" s="1"/>
  <c r="V661" i="1"/>
  <c r="W661" i="1" s="1"/>
  <c r="V677" i="1"/>
  <c r="W677" i="1" s="1"/>
  <c r="V693" i="1"/>
  <c r="W693" i="1" s="1"/>
  <c r="V709" i="1"/>
  <c r="W709" i="1" s="1"/>
  <c r="V725" i="1"/>
  <c r="W725" i="1" s="1"/>
  <c r="V741" i="1"/>
  <c r="W741" i="1" s="1"/>
  <c r="V757" i="1"/>
  <c r="W757" i="1" s="1"/>
  <c r="V773" i="1"/>
  <c r="W773" i="1" s="1"/>
  <c r="V789" i="1"/>
  <c r="W789" i="1" s="1"/>
  <c r="V805" i="1"/>
  <c r="W805" i="1" s="1"/>
  <c r="V821" i="1"/>
  <c r="W821" i="1" s="1"/>
  <c r="V837" i="1"/>
  <c r="W837" i="1" s="1"/>
  <c r="V853" i="1"/>
  <c r="W853" i="1" s="1"/>
  <c r="V869" i="1"/>
  <c r="W869" i="1" s="1"/>
  <c r="V885" i="1"/>
  <c r="W885" i="1" s="1"/>
  <c r="V901" i="1"/>
  <c r="W901" i="1" s="1"/>
  <c r="V917" i="1"/>
  <c r="W917" i="1" s="1"/>
  <c r="V933" i="1"/>
  <c r="W933" i="1" s="1"/>
  <c r="V949" i="1"/>
  <c r="W949" i="1" s="1"/>
  <c r="V965" i="1"/>
  <c r="W965" i="1" s="1"/>
  <c r="V981" i="1"/>
  <c r="W981" i="1" s="1"/>
  <c r="V997" i="1"/>
  <c r="W997" i="1" s="1"/>
  <c r="V1013" i="1"/>
  <c r="W1013" i="1" s="1"/>
  <c r="V1029" i="1"/>
  <c r="W1029" i="1" s="1"/>
  <c r="V1045" i="1"/>
  <c r="W1045" i="1" s="1"/>
  <c r="V1061" i="1"/>
  <c r="W1061" i="1" s="1"/>
  <c r="V1077" i="1"/>
  <c r="W1077" i="1" s="1"/>
  <c r="V1093" i="1"/>
  <c r="W1093" i="1" s="1"/>
  <c r="V1109" i="1"/>
  <c r="W1109" i="1" s="1"/>
  <c r="V1125" i="1"/>
  <c r="W1125" i="1" s="1"/>
  <c r="V1141" i="1"/>
  <c r="W1141" i="1" s="1"/>
  <c r="V1157" i="1"/>
  <c r="W1157" i="1" s="1"/>
  <c r="V1173" i="1"/>
  <c r="W1173" i="1" s="1"/>
  <c r="V1189" i="1"/>
  <c r="W1189" i="1" s="1"/>
  <c r="V1205" i="1"/>
  <c r="W1205" i="1" s="1"/>
  <c r="V1221" i="1"/>
  <c r="W1221" i="1" s="1"/>
  <c r="V1237" i="1"/>
  <c r="W1237" i="1" s="1"/>
  <c r="V1253" i="1"/>
  <c r="W1253" i="1" s="1"/>
  <c r="V1269" i="1"/>
  <c r="W1269" i="1" s="1"/>
  <c r="V1285" i="1"/>
  <c r="W1285" i="1" s="1"/>
  <c r="W1461" i="1"/>
  <c r="W1525" i="1"/>
  <c r="W1557" i="1"/>
  <c r="Y6" i="1"/>
  <c r="AU6" i="1" s="1"/>
  <c r="Y22" i="1"/>
  <c r="AU22" i="1" s="1"/>
  <c r="Y38" i="1"/>
  <c r="AU38" i="1" s="1"/>
  <c r="Y54" i="1"/>
  <c r="AU54" i="1" s="1"/>
  <c r="Y70" i="1"/>
  <c r="AU70" i="1" s="1"/>
  <c r="Y86" i="1"/>
  <c r="AU86" i="1" s="1"/>
  <c r="Y102" i="1"/>
  <c r="AU102" i="1" s="1"/>
  <c r="Y118" i="1"/>
  <c r="AU118" i="1" s="1"/>
  <c r="Y134" i="1"/>
  <c r="AU134" i="1" s="1"/>
  <c r="Y150" i="1"/>
  <c r="AU150" i="1" s="1"/>
  <c r="Y166" i="1"/>
  <c r="AU166" i="1" s="1"/>
  <c r="Y182" i="1"/>
  <c r="AU182" i="1" s="1"/>
  <c r="Y198" i="1"/>
  <c r="AU198" i="1" s="1"/>
  <c r="Y214" i="1"/>
  <c r="AU214" i="1" s="1"/>
  <c r="Y230" i="1"/>
  <c r="AU230" i="1" s="1"/>
  <c r="Y246" i="1"/>
  <c r="AU246" i="1" s="1"/>
  <c r="Y262" i="1"/>
  <c r="AU262" i="1" s="1"/>
  <c r="Y278" i="1"/>
  <c r="AU278" i="1" s="1"/>
  <c r="Y294" i="1"/>
  <c r="AU294" i="1" s="1"/>
  <c r="Y310" i="1"/>
  <c r="AU310" i="1" s="1"/>
  <c r="Y326" i="1"/>
  <c r="AU326" i="1" s="1"/>
  <c r="Y342" i="1"/>
  <c r="AU342" i="1" s="1"/>
  <c r="Y358" i="1"/>
  <c r="AU358" i="1" s="1"/>
  <c r="Y374" i="1"/>
  <c r="AU374" i="1" s="1"/>
  <c r="Y390" i="1"/>
  <c r="AU390" i="1" s="1"/>
  <c r="Y406" i="1"/>
  <c r="AU406" i="1" s="1"/>
  <c r="Y422" i="1"/>
  <c r="AU422" i="1" s="1"/>
  <c r="Y438" i="1"/>
  <c r="AU438" i="1" s="1"/>
  <c r="Y454" i="1"/>
  <c r="AU454" i="1" s="1"/>
  <c r="Y470" i="1"/>
  <c r="AU470" i="1" s="1"/>
  <c r="Y486" i="1"/>
  <c r="AU486" i="1" s="1"/>
  <c r="Y502" i="1"/>
  <c r="AU502" i="1" s="1"/>
  <c r="Y518" i="1"/>
  <c r="AU518" i="1" s="1"/>
  <c r="Y534" i="1"/>
  <c r="AU534" i="1" s="1"/>
  <c r="Y550" i="1"/>
  <c r="AU550" i="1" s="1"/>
  <c r="Y566" i="1"/>
  <c r="AU566" i="1" s="1"/>
  <c r="Y582" i="1"/>
  <c r="AU582" i="1" s="1"/>
  <c r="Y598" i="1"/>
  <c r="AU598" i="1" s="1"/>
  <c r="Y614" i="1"/>
  <c r="AU614" i="1" s="1"/>
  <c r="Y630" i="1"/>
  <c r="AU630" i="1" s="1"/>
  <c r="Y646" i="1"/>
  <c r="AU646" i="1" s="1"/>
  <c r="Y662" i="1"/>
  <c r="AU662" i="1" s="1"/>
  <c r="Y678" i="1"/>
  <c r="AU678" i="1" s="1"/>
  <c r="Y694" i="1"/>
  <c r="AU694" i="1" s="1"/>
  <c r="Y710" i="1"/>
  <c r="AU710" i="1" s="1"/>
  <c r="Y726" i="1"/>
  <c r="AU726" i="1" s="1"/>
  <c r="Y742" i="1"/>
  <c r="AU742" i="1" s="1"/>
  <c r="Y758" i="1"/>
  <c r="AU758" i="1" s="1"/>
  <c r="Y774" i="1"/>
  <c r="AU774" i="1" s="1"/>
  <c r="Y790" i="1"/>
  <c r="AU790" i="1" s="1"/>
  <c r="Y806" i="1"/>
  <c r="AU806" i="1" s="1"/>
  <c r="Y822" i="1"/>
  <c r="AU822" i="1" s="1"/>
  <c r="Y838" i="1"/>
  <c r="AU838" i="1" s="1"/>
  <c r="Y854" i="1"/>
  <c r="AU854" i="1" s="1"/>
  <c r="Y870" i="1"/>
  <c r="AU870" i="1" s="1"/>
  <c r="Y886" i="1"/>
  <c r="AU886" i="1" s="1"/>
  <c r="Y902" i="1"/>
  <c r="AU902" i="1" s="1"/>
  <c r="Y918" i="1"/>
  <c r="AU918" i="1" s="1"/>
  <c r="Y934" i="1"/>
  <c r="AU934" i="1" s="1"/>
  <c r="Y950" i="1"/>
  <c r="AU950" i="1" s="1"/>
  <c r="Y966" i="1"/>
  <c r="AU966" i="1" s="1"/>
  <c r="Y982" i="1"/>
  <c r="AU982" i="1" s="1"/>
  <c r="Y998" i="1"/>
  <c r="AU998" i="1" s="1"/>
  <c r="Y1014" i="1"/>
  <c r="AU1014" i="1" s="1"/>
  <c r="Y1030" i="1"/>
  <c r="AU1030" i="1" s="1"/>
  <c r="Y1046" i="1"/>
  <c r="AU1046" i="1" s="1"/>
  <c r="Y1062" i="1"/>
  <c r="AU1062" i="1" s="1"/>
  <c r="Y1078" i="1"/>
  <c r="AU1078" i="1" s="1"/>
  <c r="Y1094" i="1"/>
  <c r="AU1094" i="1" s="1"/>
  <c r="Y1110" i="1"/>
  <c r="AU1110" i="1" s="1"/>
  <c r="Y1126" i="1"/>
  <c r="AU1126" i="1" s="1"/>
  <c r="Y1142" i="1"/>
  <c r="AU1142" i="1" s="1"/>
  <c r="Y1158" i="1"/>
  <c r="AU1158" i="1" s="1"/>
  <c r="Y1174" i="1"/>
  <c r="AU1174" i="1" s="1"/>
  <c r="Y1190" i="1"/>
  <c r="AU1190" i="1" s="1"/>
  <c r="Y1206" i="1"/>
  <c r="AU1206" i="1" s="1"/>
  <c r="Y1222" i="1"/>
  <c r="AU1222" i="1" s="1"/>
  <c r="Y1238" i="1"/>
  <c r="AU1238" i="1" s="1"/>
  <c r="Y1254" i="1"/>
  <c r="AU1254" i="1" s="1"/>
  <c r="Y1270" i="1"/>
  <c r="AU1270" i="1" s="1"/>
  <c r="Y1286" i="1"/>
  <c r="AU1286" i="1" s="1"/>
  <c r="Y1302" i="1"/>
  <c r="AU1302" i="1" s="1"/>
  <c r="Y1318" i="1"/>
  <c r="AU1318" i="1" s="1"/>
  <c r="Y1334" i="1"/>
  <c r="AU1334" i="1" s="1"/>
  <c r="Y1350" i="1"/>
  <c r="AU1350" i="1" s="1"/>
  <c r="Y1366" i="1"/>
  <c r="AU1366" i="1" s="1"/>
  <c r="Y1382" i="1"/>
  <c r="AU1382" i="1" s="1"/>
  <c r="Y1398" i="1"/>
  <c r="AU1398" i="1" s="1"/>
  <c r="Y1414" i="1"/>
  <c r="AU1414" i="1" s="1"/>
  <c r="Y1430" i="1"/>
  <c r="AU1430" i="1" s="1"/>
  <c r="Y1446" i="1"/>
  <c r="AU1446" i="1" s="1"/>
  <c r="Y1462" i="1"/>
  <c r="AU1462" i="1" s="1"/>
  <c r="Y1478" i="1"/>
  <c r="AU1478" i="1" s="1"/>
  <c r="Y1494" i="1"/>
  <c r="AU1494" i="1" s="1"/>
  <c r="Y1510" i="1"/>
  <c r="AU1510" i="1" s="1"/>
  <c r="Y1526" i="1"/>
  <c r="AU1526" i="1" s="1"/>
  <c r="Y1542" i="1"/>
  <c r="AU1542" i="1" s="1"/>
  <c r="Y1558" i="1"/>
  <c r="AU1558" i="1" s="1"/>
  <c r="Y1574" i="1"/>
  <c r="AU1574" i="1" s="1"/>
  <c r="Y1590" i="1"/>
  <c r="AU1590" i="1" s="1"/>
  <c r="Y1606" i="1"/>
  <c r="AU1606" i="1" s="1"/>
  <c r="Y1622" i="1"/>
  <c r="AU1622" i="1" s="1"/>
  <c r="Y1638" i="1"/>
  <c r="AU1638" i="1" s="1"/>
  <c r="Y1654" i="1"/>
  <c r="AU1654" i="1" s="1"/>
  <c r="Y1670" i="1"/>
  <c r="AU1670" i="1" s="1"/>
  <c r="Y1686" i="1"/>
  <c r="AU1686" i="1" s="1"/>
  <c r="Y1702" i="1"/>
  <c r="AU1702" i="1" s="1"/>
  <c r="Y1718" i="1"/>
  <c r="AU1718" i="1" s="1"/>
  <c r="V6" i="1"/>
  <c r="W6" i="1" s="1"/>
  <c r="V22" i="1"/>
  <c r="W22" i="1" s="1"/>
  <c r="V38" i="1"/>
  <c r="W38" i="1" s="1"/>
  <c r="V54" i="1"/>
  <c r="W54" i="1" s="1"/>
  <c r="V70" i="1"/>
  <c r="W70" i="1" s="1"/>
  <c r="V86" i="1"/>
  <c r="W86" i="1" s="1"/>
  <c r="V102" i="1"/>
  <c r="W102" i="1" s="1"/>
  <c r="V118" i="1"/>
  <c r="W118" i="1" s="1"/>
  <c r="V134" i="1"/>
  <c r="W134" i="1" s="1"/>
  <c r="V150" i="1"/>
  <c r="W150" i="1" s="1"/>
  <c r="V166" i="1"/>
  <c r="W166" i="1" s="1"/>
  <c r="V182" i="1"/>
  <c r="W182" i="1" s="1"/>
  <c r="V198" i="1"/>
  <c r="W198" i="1" s="1"/>
  <c r="V214" i="1"/>
  <c r="W214" i="1" s="1"/>
  <c r="V230" i="1"/>
  <c r="W230" i="1" s="1"/>
  <c r="V246" i="1"/>
  <c r="W246" i="1" s="1"/>
  <c r="V262" i="1"/>
  <c r="W262" i="1" s="1"/>
  <c r="V278" i="1"/>
  <c r="W278" i="1" s="1"/>
  <c r="V294" i="1"/>
  <c r="W294" i="1" s="1"/>
  <c r="V310" i="1"/>
  <c r="W310" i="1" s="1"/>
  <c r="V326" i="1"/>
  <c r="W326" i="1" s="1"/>
  <c r="V342" i="1"/>
  <c r="W342" i="1" s="1"/>
  <c r="V358" i="1"/>
  <c r="W358" i="1" s="1"/>
  <c r="V374" i="1"/>
  <c r="W374" i="1" s="1"/>
  <c r="V390" i="1"/>
  <c r="W390" i="1" s="1"/>
  <c r="V406" i="1"/>
  <c r="W406" i="1" s="1"/>
  <c r="V422" i="1"/>
  <c r="W422" i="1" s="1"/>
  <c r="V438" i="1"/>
  <c r="W438" i="1" s="1"/>
  <c r="V454" i="1"/>
  <c r="W454" i="1" s="1"/>
  <c r="V470" i="1"/>
  <c r="W470" i="1" s="1"/>
  <c r="V486" i="1"/>
  <c r="W486" i="1" s="1"/>
  <c r="V502" i="1"/>
  <c r="W502" i="1" s="1"/>
  <c r="V518" i="1"/>
  <c r="W518" i="1" s="1"/>
  <c r="V534" i="1"/>
  <c r="W534" i="1" s="1"/>
  <c r="V550" i="1"/>
  <c r="W550" i="1" s="1"/>
  <c r="V566" i="1"/>
  <c r="W566" i="1" s="1"/>
  <c r="V582" i="1"/>
  <c r="W582" i="1" s="1"/>
  <c r="V598" i="1"/>
  <c r="W598" i="1" s="1"/>
  <c r="V614" i="1"/>
  <c r="W614" i="1" s="1"/>
  <c r="V630" i="1"/>
  <c r="W630" i="1" s="1"/>
  <c r="V646" i="1"/>
  <c r="W646" i="1" s="1"/>
  <c r="V662" i="1"/>
  <c r="W662" i="1" s="1"/>
  <c r="V678" i="1"/>
  <c r="W678" i="1" s="1"/>
  <c r="V694" i="1"/>
  <c r="W694" i="1" s="1"/>
  <c r="V710" i="1"/>
  <c r="W710" i="1" s="1"/>
  <c r="V726" i="1"/>
  <c r="W726" i="1" s="1"/>
  <c r="V742" i="1"/>
  <c r="W742" i="1" s="1"/>
  <c r="V758" i="1"/>
  <c r="W758" i="1" s="1"/>
  <c r="V774" i="1"/>
  <c r="W774" i="1" s="1"/>
  <c r="V790" i="1"/>
  <c r="W790" i="1" s="1"/>
  <c r="V806" i="1"/>
  <c r="W806" i="1" s="1"/>
  <c r="V822" i="1"/>
  <c r="W822" i="1" s="1"/>
  <c r="V838" i="1"/>
  <c r="W838" i="1" s="1"/>
  <c r="V854" i="1"/>
  <c r="W854" i="1" s="1"/>
  <c r="V870" i="1"/>
  <c r="W870" i="1" s="1"/>
  <c r="V886" i="1"/>
  <c r="W886" i="1" s="1"/>
  <c r="V902" i="1"/>
  <c r="W902" i="1" s="1"/>
  <c r="V918" i="1"/>
  <c r="W918" i="1" s="1"/>
  <c r="V934" i="1"/>
  <c r="W934" i="1" s="1"/>
  <c r="V950" i="1"/>
  <c r="W950" i="1" s="1"/>
  <c r="V966" i="1"/>
  <c r="W966" i="1" s="1"/>
  <c r="V982" i="1"/>
  <c r="W982" i="1" s="1"/>
  <c r="V998" i="1"/>
  <c r="W998" i="1" s="1"/>
  <c r="V1014" i="1"/>
  <c r="W1014" i="1" s="1"/>
  <c r="V1030" i="1"/>
  <c r="W1030" i="1" s="1"/>
  <c r="V1046" i="1"/>
  <c r="W1046" i="1" s="1"/>
  <c r="V1062" i="1"/>
  <c r="W1062" i="1" s="1"/>
  <c r="V1078" i="1"/>
  <c r="W1078" i="1" s="1"/>
  <c r="V1094" i="1"/>
  <c r="W1094" i="1" s="1"/>
  <c r="V1110" i="1"/>
  <c r="W1110" i="1" s="1"/>
  <c r="V1126" i="1"/>
  <c r="W1126" i="1" s="1"/>
  <c r="V1142" i="1"/>
  <c r="W1142" i="1" s="1"/>
  <c r="V1158" i="1"/>
  <c r="W1158" i="1" s="1"/>
  <c r="V1174" i="1"/>
  <c r="W1174" i="1" s="1"/>
  <c r="V1190" i="1"/>
  <c r="W1190" i="1" s="1"/>
  <c r="V1206" i="1"/>
  <c r="W1206" i="1" s="1"/>
  <c r="V1222" i="1"/>
  <c r="W1222" i="1" s="1"/>
  <c r="V1238" i="1"/>
  <c r="W1238" i="1" s="1"/>
  <c r="V1254" i="1"/>
  <c r="W1254" i="1" s="1"/>
  <c r="V1270" i="1"/>
  <c r="W1270" i="1" s="1"/>
  <c r="V1286" i="1"/>
  <c r="W1286" i="1" s="1"/>
  <c r="V1302" i="1"/>
  <c r="W1302" i="1" s="1"/>
  <c r="V1318" i="1"/>
  <c r="W1318" i="1" s="1"/>
  <c r="V1334" i="1"/>
  <c r="W1334" i="1" s="1"/>
  <c r="V1350" i="1"/>
  <c r="W1350" i="1" s="1"/>
  <c r="V1366" i="1"/>
  <c r="W1366" i="1" s="1"/>
  <c r="V1382" i="1"/>
  <c r="W1382" i="1" s="1"/>
  <c r="V1398" i="1"/>
  <c r="W1398" i="1" s="1"/>
  <c r="V1414" i="1"/>
  <c r="W1414" i="1" s="1"/>
  <c r="V1430" i="1"/>
  <c r="W1430" i="1" s="1"/>
  <c r="V1446" i="1"/>
  <c r="W1446" i="1" s="1"/>
  <c r="V1462" i="1"/>
  <c r="W1462" i="1" s="1"/>
  <c r="V1478" i="1"/>
  <c r="W1478" i="1" s="1"/>
  <c r="V1494" i="1"/>
  <c r="W1494" i="1" s="1"/>
  <c r="V1510" i="1"/>
  <c r="W1510" i="1" s="1"/>
  <c r="V1526" i="1"/>
  <c r="W1526" i="1" s="1"/>
  <c r="V1542" i="1"/>
  <c r="W1542" i="1" s="1"/>
  <c r="V1558" i="1"/>
  <c r="W1558" i="1" s="1"/>
  <c r="V1574" i="1"/>
  <c r="W1574" i="1" s="1"/>
  <c r="V1590" i="1"/>
  <c r="W1590" i="1" s="1"/>
  <c r="V1606" i="1"/>
  <c r="W1606" i="1" s="1"/>
  <c r="V1622" i="1"/>
  <c r="W1622" i="1" s="1"/>
  <c r="V1638" i="1"/>
  <c r="W1638" i="1" s="1"/>
  <c r="V1654" i="1"/>
  <c r="W1654" i="1" s="1"/>
  <c r="V1670" i="1"/>
  <c r="W1670" i="1" s="1"/>
  <c r="V1686" i="1"/>
  <c r="W1686" i="1" s="1"/>
  <c r="V1702" i="1"/>
  <c r="W1702" i="1" s="1"/>
  <c r="V1718" i="1"/>
  <c r="W1718" i="1" s="1"/>
  <c r="S12" i="1"/>
  <c r="S28" i="1"/>
  <c r="S44" i="1"/>
  <c r="S60" i="1"/>
  <c r="S76" i="1"/>
  <c r="S92" i="1"/>
  <c r="S108" i="1"/>
  <c r="S124" i="1"/>
  <c r="S140" i="1"/>
  <c r="S156" i="1"/>
  <c r="S172" i="1"/>
  <c r="S188" i="1"/>
  <c r="S204" i="1"/>
  <c r="S220" i="1"/>
  <c r="S236" i="1"/>
  <c r="S252" i="1"/>
  <c r="S268" i="1"/>
  <c r="S284" i="1"/>
  <c r="S300" i="1"/>
  <c r="S316" i="1"/>
  <c r="S332" i="1"/>
  <c r="S348" i="1"/>
  <c r="S364" i="1"/>
  <c r="S380" i="1"/>
  <c r="S396" i="1"/>
  <c r="S412" i="1"/>
  <c r="S428" i="1"/>
  <c r="S444" i="1"/>
  <c r="S460" i="1"/>
  <c r="S476" i="1"/>
  <c r="S492" i="1"/>
  <c r="S508" i="1"/>
  <c r="S524" i="1"/>
  <c r="S540" i="1"/>
  <c r="S556" i="1"/>
  <c r="S572" i="1"/>
  <c r="S588" i="1"/>
  <c r="S604" i="1"/>
  <c r="S620" i="1"/>
  <c r="S636" i="1"/>
  <c r="S652" i="1"/>
  <c r="S668" i="1"/>
  <c r="S684" i="1"/>
  <c r="S700" i="1"/>
  <c r="S716" i="1"/>
  <c r="S732" i="1"/>
  <c r="S748" i="1"/>
  <c r="S764" i="1"/>
  <c r="S780" i="1"/>
  <c r="S796" i="1"/>
  <c r="S812" i="1"/>
  <c r="S828" i="1"/>
  <c r="S844" i="1"/>
  <c r="S860" i="1"/>
  <c r="S876" i="1"/>
  <c r="S892" i="1"/>
  <c r="S908" i="1"/>
  <c r="S924" i="1"/>
  <c r="S940" i="1"/>
  <c r="S956" i="1"/>
  <c r="S972" i="1"/>
  <c r="S988" i="1"/>
  <c r="S1004" i="1"/>
  <c r="S1020" i="1"/>
  <c r="S1036" i="1"/>
  <c r="S1052" i="1"/>
  <c r="S1068" i="1"/>
  <c r="S1084" i="1"/>
  <c r="S1100" i="1"/>
  <c r="S1116" i="1"/>
  <c r="S1132" i="1"/>
  <c r="S1148" i="1"/>
  <c r="S1164" i="1"/>
  <c r="S1180" i="1"/>
  <c r="S1196" i="1"/>
  <c r="S1212" i="1"/>
  <c r="S1228" i="1"/>
  <c r="S1244" i="1"/>
  <c r="S1260" i="1"/>
  <c r="S1276" i="1"/>
  <c r="S1292" i="1"/>
  <c r="S1308" i="1"/>
  <c r="S1324" i="1"/>
  <c r="S1340" i="1"/>
  <c r="S1356" i="1"/>
  <c r="S1372" i="1"/>
  <c r="S1388" i="1"/>
  <c r="S1404" i="1"/>
  <c r="S1420" i="1"/>
  <c r="S1436" i="1"/>
  <c r="S1452" i="1"/>
  <c r="S1468" i="1"/>
  <c r="S1484" i="1"/>
  <c r="S1500" i="1"/>
  <c r="S1516" i="1"/>
  <c r="S1532" i="1"/>
  <c r="S1548" i="1"/>
  <c r="S1564" i="1"/>
  <c r="S1580" i="1"/>
  <c r="S1596" i="1"/>
  <c r="S1612" i="1"/>
  <c r="S1628" i="1"/>
  <c r="S1644" i="1"/>
  <c r="S1660" i="1"/>
  <c r="S1676" i="1"/>
  <c r="S1692" i="1"/>
  <c r="S1708" i="1"/>
  <c r="S1724" i="1"/>
  <c r="S9" i="1"/>
  <c r="S25" i="1"/>
  <c r="S41" i="1"/>
  <c r="S57" i="1"/>
  <c r="S73" i="1"/>
  <c r="S89" i="1"/>
  <c r="S105" i="1"/>
  <c r="S121" i="1"/>
  <c r="S137" i="1"/>
  <c r="S153" i="1"/>
  <c r="S169" i="1"/>
  <c r="S185" i="1"/>
  <c r="S201" i="1"/>
  <c r="S217" i="1"/>
  <c r="S233" i="1"/>
  <c r="S249" i="1"/>
  <c r="S265" i="1"/>
  <c r="S281" i="1"/>
  <c r="S297" i="1"/>
  <c r="S313" i="1"/>
  <c r="S329" i="1"/>
  <c r="S345" i="1"/>
  <c r="S361" i="1"/>
  <c r="S377" i="1"/>
  <c r="S393" i="1"/>
  <c r="S409" i="1"/>
  <c r="S425" i="1"/>
  <c r="S441" i="1"/>
  <c r="S457" i="1"/>
  <c r="S473" i="1"/>
  <c r="S489" i="1"/>
  <c r="S505" i="1"/>
  <c r="S521" i="1"/>
  <c r="S537" i="1"/>
  <c r="S553" i="1"/>
  <c r="S569" i="1"/>
  <c r="S585" i="1"/>
  <c r="S601" i="1"/>
  <c r="S617" i="1"/>
  <c r="S633" i="1"/>
  <c r="S649" i="1"/>
  <c r="S665" i="1"/>
  <c r="S681" i="1"/>
  <c r="S697" i="1"/>
  <c r="S713" i="1"/>
  <c r="S729" i="1"/>
  <c r="S745" i="1"/>
  <c r="S761" i="1"/>
  <c r="S777" i="1"/>
  <c r="S793" i="1"/>
  <c r="S809" i="1"/>
  <c r="S825" i="1"/>
  <c r="S841" i="1"/>
  <c r="S857" i="1"/>
  <c r="S873" i="1"/>
  <c r="S889" i="1"/>
  <c r="S905" i="1"/>
  <c r="S921" i="1"/>
  <c r="S937" i="1"/>
  <c r="S953" i="1"/>
  <c r="S969" i="1"/>
  <c r="S985" i="1"/>
  <c r="S1001" i="1"/>
  <c r="S1017" i="1"/>
  <c r="S1033" i="1"/>
  <c r="S1049" i="1"/>
  <c r="S1065" i="1"/>
  <c r="S1081" i="1"/>
  <c r="S1097" i="1"/>
  <c r="S1113" i="1"/>
  <c r="S1129" i="1"/>
  <c r="S1145" i="1"/>
  <c r="S1161" i="1"/>
  <c r="S1177" i="1"/>
  <c r="S1193" i="1"/>
  <c r="S1209" i="1"/>
  <c r="S1225" i="1"/>
  <c r="S1241" i="1"/>
  <c r="S1257" i="1"/>
  <c r="S1273" i="1"/>
  <c r="S1289" i="1"/>
  <c r="S1305" i="1"/>
  <c r="S1321" i="1"/>
  <c r="S1337" i="1"/>
  <c r="S1353" i="1"/>
  <c r="S1369" i="1"/>
  <c r="S1385" i="1"/>
  <c r="S1401" i="1"/>
  <c r="S1417" i="1"/>
  <c r="S1433" i="1"/>
  <c r="S1449" i="1"/>
  <c r="S1465" i="1"/>
  <c r="S1481" i="1"/>
  <c r="S1497" i="1"/>
  <c r="S1513" i="1"/>
  <c r="S1529" i="1"/>
  <c r="S1545" i="1"/>
  <c r="S1561" i="1"/>
  <c r="S1577" i="1"/>
  <c r="S1593" i="1"/>
  <c r="S1609" i="1"/>
  <c r="S1625" i="1"/>
  <c r="S1641" i="1"/>
  <c r="S1657" i="1"/>
  <c r="S1673" i="1"/>
  <c r="S1689" i="1"/>
  <c r="S1705" i="1"/>
  <c r="S1721" i="1"/>
  <c r="BJ1025" i="1"/>
  <c r="BJ1193" i="1"/>
  <c r="BJ1209" i="1"/>
  <c r="BJ1281" i="1"/>
  <c r="BJ1297" i="1"/>
  <c r="BJ1329" i="1"/>
  <c r="BJ1361" i="1"/>
  <c r="BJ1489" i="1"/>
  <c r="BJ1521" i="1"/>
  <c r="BJ1529" i="1"/>
  <c r="BJ1577" i="1"/>
  <c r="BJ1633" i="1"/>
  <c r="BJ1657" i="1"/>
  <c r="BJ1689" i="1"/>
  <c r="BJ18" i="1"/>
  <c r="BJ378" i="1"/>
  <c r="BJ498" i="1"/>
  <c r="BJ514" i="1"/>
  <c r="BJ618" i="1"/>
  <c r="BJ1130" i="1"/>
  <c r="BJ1210" i="1"/>
  <c r="BJ1282" i="1"/>
  <c r="BJ1426" i="1"/>
  <c r="BJ1490" i="1"/>
  <c r="BJ1522" i="1"/>
  <c r="BJ1530" i="1"/>
  <c r="BJ1650" i="1"/>
  <c r="BJ1658" i="1"/>
  <c r="BJ1690" i="1"/>
  <c r="BJ135" i="1"/>
  <c r="BJ183" i="1"/>
  <c r="BJ343" i="1"/>
  <c r="BJ543" i="1"/>
  <c r="BJ567" i="1"/>
  <c r="BJ583" i="1"/>
  <c r="BJ591" i="1"/>
  <c r="BJ871" i="1"/>
  <c r="BJ1039" i="1"/>
  <c r="BJ1271" i="1"/>
  <c r="BJ1327" i="1"/>
  <c r="BJ1375" i="1"/>
  <c r="BJ1415" i="1"/>
  <c r="BJ1463" i="1"/>
  <c r="BJ1559" i="1"/>
  <c r="BJ1575" i="1"/>
  <c r="BJ1631" i="1"/>
  <c r="BJ1703" i="1"/>
  <c r="Y12" i="1"/>
  <c r="AU12" i="1" s="1"/>
  <c r="Y28" i="1"/>
  <c r="AU28" i="1" s="1"/>
  <c r="Y44" i="1"/>
  <c r="AU44" i="1" s="1"/>
  <c r="Y60" i="1"/>
  <c r="AU60" i="1" s="1"/>
  <c r="Y76" i="1"/>
  <c r="AU76" i="1" s="1"/>
  <c r="Y92" i="1"/>
  <c r="AU92" i="1" s="1"/>
  <c r="Y108" i="1"/>
  <c r="AU108" i="1" s="1"/>
  <c r="Y124" i="1"/>
  <c r="AU124" i="1" s="1"/>
  <c r="Y140" i="1"/>
  <c r="AU140" i="1" s="1"/>
  <c r="Y156" i="1"/>
  <c r="AU156" i="1" s="1"/>
  <c r="Y172" i="1"/>
  <c r="AU172" i="1" s="1"/>
  <c r="Y188" i="1"/>
  <c r="AU188" i="1" s="1"/>
  <c r="Y204" i="1"/>
  <c r="AU204" i="1" s="1"/>
  <c r="Y220" i="1"/>
  <c r="AU220" i="1" s="1"/>
  <c r="Y236" i="1"/>
  <c r="AU236" i="1" s="1"/>
  <c r="Y252" i="1"/>
  <c r="AU252" i="1" s="1"/>
  <c r="Y268" i="1"/>
  <c r="AU268" i="1" s="1"/>
  <c r="Y284" i="1"/>
  <c r="AU284" i="1" s="1"/>
  <c r="Y300" i="1"/>
  <c r="AU300" i="1" s="1"/>
  <c r="Y316" i="1"/>
  <c r="AU316" i="1" s="1"/>
  <c r="Y332" i="1"/>
  <c r="AU332" i="1" s="1"/>
  <c r="Y348" i="1"/>
  <c r="AU348" i="1" s="1"/>
  <c r="Y364" i="1"/>
  <c r="AU364" i="1" s="1"/>
  <c r="Y380" i="1"/>
  <c r="AU380" i="1" s="1"/>
  <c r="Y396" i="1"/>
  <c r="AU396" i="1" s="1"/>
  <c r="Y412" i="1"/>
  <c r="AU412" i="1" s="1"/>
  <c r="Y428" i="1"/>
  <c r="AU428" i="1" s="1"/>
  <c r="Y444" i="1"/>
  <c r="AU444" i="1" s="1"/>
  <c r="Y460" i="1"/>
  <c r="AU460" i="1" s="1"/>
  <c r="Y476" i="1"/>
  <c r="AU476" i="1" s="1"/>
  <c r="Y492" i="1"/>
  <c r="AU492" i="1" s="1"/>
  <c r="Y508" i="1"/>
  <c r="AU508" i="1" s="1"/>
  <c r="Y524" i="1"/>
  <c r="AU524" i="1" s="1"/>
  <c r="Y540" i="1"/>
  <c r="AU540" i="1" s="1"/>
  <c r="Y556" i="1"/>
  <c r="AU556" i="1" s="1"/>
  <c r="Y572" i="1"/>
  <c r="AU572" i="1" s="1"/>
  <c r="Y588" i="1"/>
  <c r="AU588" i="1" s="1"/>
  <c r="Y604" i="1"/>
  <c r="AU604" i="1" s="1"/>
  <c r="Y620" i="1"/>
  <c r="AU620" i="1" s="1"/>
  <c r="Y636" i="1"/>
  <c r="AU636" i="1" s="1"/>
  <c r="Y652" i="1"/>
  <c r="AU652" i="1" s="1"/>
  <c r="Y668" i="1"/>
  <c r="AU668" i="1" s="1"/>
  <c r="Y684" i="1"/>
  <c r="AU684" i="1" s="1"/>
  <c r="Y700" i="1"/>
  <c r="AU700" i="1" s="1"/>
  <c r="Y716" i="1"/>
  <c r="AU716" i="1" s="1"/>
  <c r="Y732" i="1"/>
  <c r="AU732" i="1" s="1"/>
  <c r="Y748" i="1"/>
  <c r="AU748" i="1" s="1"/>
  <c r="Y764" i="1"/>
  <c r="AU764" i="1" s="1"/>
  <c r="Y780" i="1"/>
  <c r="AU780" i="1" s="1"/>
  <c r="Y796" i="1"/>
  <c r="AU796" i="1" s="1"/>
  <c r="Y812" i="1"/>
  <c r="AU812" i="1" s="1"/>
  <c r="Y828" i="1"/>
  <c r="AU828" i="1" s="1"/>
  <c r="Y844" i="1"/>
  <c r="AU844" i="1" s="1"/>
  <c r="Y860" i="1"/>
  <c r="AU860" i="1" s="1"/>
  <c r="Y876" i="1"/>
  <c r="AU876" i="1" s="1"/>
  <c r="Y892" i="1"/>
  <c r="AU892" i="1" s="1"/>
  <c r="Y908" i="1"/>
  <c r="AU908" i="1" s="1"/>
  <c r="Y924" i="1"/>
  <c r="AU924" i="1" s="1"/>
  <c r="Y940" i="1"/>
  <c r="AU940" i="1" s="1"/>
  <c r="Y956" i="1"/>
  <c r="AU956" i="1" s="1"/>
  <c r="Y972" i="1"/>
  <c r="AU972" i="1" s="1"/>
  <c r="Y988" i="1"/>
  <c r="AU988" i="1" s="1"/>
  <c r="Y1004" i="1"/>
  <c r="AU1004" i="1" s="1"/>
  <c r="Y1020" i="1"/>
  <c r="AU1020" i="1" s="1"/>
  <c r="Y1036" i="1"/>
  <c r="AU1036" i="1" s="1"/>
  <c r="Y1052" i="1"/>
  <c r="AU1052" i="1" s="1"/>
  <c r="Y1068" i="1"/>
  <c r="AU1068" i="1" s="1"/>
  <c r="Y1084" i="1"/>
  <c r="AU1084" i="1" s="1"/>
  <c r="Y1100" i="1"/>
  <c r="AU1100" i="1" s="1"/>
  <c r="Y1116" i="1"/>
  <c r="AU1116" i="1" s="1"/>
  <c r="Y1132" i="1"/>
  <c r="AU1132" i="1" s="1"/>
  <c r="Y1148" i="1"/>
  <c r="AU1148" i="1" s="1"/>
  <c r="Y1164" i="1"/>
  <c r="AU1164" i="1" s="1"/>
  <c r="Y1180" i="1"/>
  <c r="AU1180" i="1" s="1"/>
  <c r="Y1196" i="1"/>
  <c r="AU1196" i="1" s="1"/>
  <c r="Y1212" i="1"/>
  <c r="AU1212" i="1" s="1"/>
  <c r="Y1228" i="1"/>
  <c r="AU1228" i="1" s="1"/>
  <c r="Y1244" i="1"/>
  <c r="AU1244" i="1" s="1"/>
  <c r="Y1260" i="1"/>
  <c r="AU1260" i="1" s="1"/>
  <c r="Y1276" i="1"/>
  <c r="AU1276" i="1" s="1"/>
  <c r="Y1292" i="1"/>
  <c r="AU1292" i="1" s="1"/>
  <c r="Y1308" i="1"/>
  <c r="AU1308" i="1" s="1"/>
  <c r="Y1324" i="1"/>
  <c r="AU1324" i="1" s="1"/>
  <c r="Y1340" i="1"/>
  <c r="AU1340" i="1" s="1"/>
  <c r="Y1356" i="1"/>
  <c r="AU1356" i="1" s="1"/>
  <c r="Y1372" i="1"/>
  <c r="AU1372" i="1" s="1"/>
  <c r="Y1388" i="1"/>
  <c r="AU1388" i="1" s="1"/>
  <c r="Y1404" i="1"/>
  <c r="AU1404" i="1" s="1"/>
  <c r="Y1420" i="1"/>
  <c r="AU1420" i="1" s="1"/>
  <c r="Y1436" i="1"/>
  <c r="AU1436" i="1" s="1"/>
  <c r="Y1452" i="1"/>
  <c r="AU1452" i="1" s="1"/>
  <c r="Y1468" i="1"/>
  <c r="AU1468" i="1" s="1"/>
  <c r="Y1484" i="1"/>
  <c r="AU1484" i="1" s="1"/>
  <c r="Y1500" i="1"/>
  <c r="AU1500" i="1" s="1"/>
  <c r="Y1516" i="1"/>
  <c r="AU1516" i="1" s="1"/>
  <c r="Y1532" i="1"/>
  <c r="AU1532" i="1" s="1"/>
  <c r="Y1548" i="1"/>
  <c r="AU1548" i="1" s="1"/>
  <c r="Y1564" i="1"/>
  <c r="AU1564" i="1" s="1"/>
  <c r="Y1580" i="1"/>
  <c r="AU1580" i="1" s="1"/>
  <c r="Y1596" i="1"/>
  <c r="AU1596" i="1" s="1"/>
  <c r="Y1612" i="1"/>
  <c r="AU1612" i="1" s="1"/>
  <c r="Y1628" i="1"/>
  <c r="AU1628" i="1" s="1"/>
  <c r="Y1644" i="1"/>
  <c r="AU1644" i="1" s="1"/>
  <c r="Y1660" i="1"/>
  <c r="AU1660" i="1" s="1"/>
  <c r="Y1676" i="1"/>
  <c r="AU1676" i="1" s="1"/>
  <c r="Y1692" i="1"/>
  <c r="AU1692" i="1" s="1"/>
  <c r="Y1708" i="1"/>
  <c r="AU1708" i="1" s="1"/>
  <c r="Y1724" i="1"/>
  <c r="AU1724" i="1" s="1"/>
  <c r="Y9" i="1"/>
  <c r="AU9" i="1" s="1"/>
  <c r="Y25" i="1"/>
  <c r="AU25" i="1" s="1"/>
  <c r="Y41" i="1"/>
  <c r="AU41" i="1" s="1"/>
  <c r="Y57" i="1"/>
  <c r="AU57" i="1" s="1"/>
  <c r="Y73" i="1"/>
  <c r="AU73" i="1" s="1"/>
  <c r="Y89" i="1"/>
  <c r="AU89" i="1" s="1"/>
  <c r="Y105" i="1"/>
  <c r="AU105" i="1" s="1"/>
  <c r="Y121" i="1"/>
  <c r="AU121" i="1" s="1"/>
  <c r="Y137" i="1"/>
  <c r="AU137" i="1" s="1"/>
  <c r="Y153" i="1"/>
  <c r="AU153" i="1" s="1"/>
  <c r="Y169" i="1"/>
  <c r="AU169" i="1" s="1"/>
  <c r="Y185" i="1"/>
  <c r="AU185" i="1" s="1"/>
  <c r="Y201" i="1"/>
  <c r="AU201" i="1" s="1"/>
  <c r="Y217" i="1"/>
  <c r="AU217" i="1" s="1"/>
  <c r="Y233" i="1"/>
  <c r="AU233" i="1" s="1"/>
  <c r="Y249" i="1"/>
  <c r="AU249" i="1" s="1"/>
  <c r="Y265" i="1"/>
  <c r="AU265" i="1" s="1"/>
  <c r="Y281" i="1"/>
  <c r="AU281" i="1" s="1"/>
  <c r="Y297" i="1"/>
  <c r="AU297" i="1" s="1"/>
  <c r="Y313" i="1"/>
  <c r="AU313" i="1" s="1"/>
  <c r="Y329" i="1"/>
  <c r="AU329" i="1" s="1"/>
  <c r="Y345" i="1"/>
  <c r="AU345" i="1" s="1"/>
  <c r="Y361" i="1"/>
  <c r="AU361" i="1" s="1"/>
  <c r="Y377" i="1"/>
  <c r="AU377" i="1" s="1"/>
  <c r="Y393" i="1"/>
  <c r="AU393" i="1" s="1"/>
  <c r="Y409" i="1"/>
  <c r="AU409" i="1" s="1"/>
  <c r="Y425" i="1"/>
  <c r="AU425" i="1" s="1"/>
  <c r="Y441" i="1"/>
  <c r="AU441" i="1" s="1"/>
  <c r="Y457" i="1"/>
  <c r="AU457" i="1" s="1"/>
  <c r="Y473" i="1"/>
  <c r="AU473" i="1" s="1"/>
  <c r="Y489" i="1"/>
  <c r="AU489" i="1" s="1"/>
  <c r="Y505" i="1"/>
  <c r="AU505" i="1" s="1"/>
  <c r="Y521" i="1"/>
  <c r="AU521" i="1" s="1"/>
  <c r="Y537" i="1"/>
  <c r="AU537" i="1" s="1"/>
  <c r="Y553" i="1"/>
  <c r="AU553" i="1" s="1"/>
  <c r="Y569" i="1"/>
  <c r="AU569" i="1" s="1"/>
  <c r="Y585" i="1"/>
  <c r="AU585" i="1" s="1"/>
  <c r="Y601" i="1"/>
  <c r="AU601" i="1" s="1"/>
  <c r="Y617" i="1"/>
  <c r="AU617" i="1" s="1"/>
  <c r="Y633" i="1"/>
  <c r="AU633" i="1" s="1"/>
  <c r="Y649" i="1"/>
  <c r="AU649" i="1" s="1"/>
  <c r="Y665" i="1"/>
  <c r="AU665" i="1" s="1"/>
  <c r="Y681" i="1"/>
  <c r="AU681" i="1" s="1"/>
  <c r="Y697" i="1"/>
  <c r="AU697" i="1" s="1"/>
  <c r="Y713" i="1"/>
  <c r="AU713" i="1" s="1"/>
  <c r="Y729" i="1"/>
  <c r="AU729" i="1" s="1"/>
  <c r="Y745" i="1"/>
  <c r="AU745" i="1" s="1"/>
  <c r="Y761" i="1"/>
  <c r="AU761" i="1" s="1"/>
  <c r="Y777" i="1"/>
  <c r="AU777" i="1" s="1"/>
  <c r="Y793" i="1"/>
  <c r="AU793" i="1" s="1"/>
  <c r="Y809" i="1"/>
  <c r="AU809" i="1" s="1"/>
  <c r="Y825" i="1"/>
  <c r="AU825" i="1" s="1"/>
  <c r="Y841" i="1"/>
  <c r="AU841" i="1" s="1"/>
  <c r="Y857" i="1"/>
  <c r="AU857" i="1" s="1"/>
  <c r="Y873" i="1"/>
  <c r="AU873" i="1" s="1"/>
  <c r="Y889" i="1"/>
  <c r="AU889" i="1" s="1"/>
  <c r="Y905" i="1"/>
  <c r="AU905" i="1" s="1"/>
  <c r="Y921" i="1"/>
  <c r="AU921" i="1" s="1"/>
  <c r="Y937" i="1"/>
  <c r="AU937" i="1" s="1"/>
  <c r="Y953" i="1"/>
  <c r="AU953" i="1" s="1"/>
  <c r="Y969" i="1"/>
  <c r="AU969" i="1" s="1"/>
  <c r="Y985" i="1"/>
  <c r="AU985" i="1" s="1"/>
  <c r="Y1001" i="1"/>
  <c r="AU1001" i="1" s="1"/>
  <c r="Y1017" i="1"/>
  <c r="AU1017" i="1" s="1"/>
  <c r="Y1033" i="1"/>
  <c r="AU1033" i="1" s="1"/>
  <c r="Y1049" i="1"/>
  <c r="AU1049" i="1" s="1"/>
  <c r="Y1065" i="1"/>
  <c r="AU1065" i="1" s="1"/>
  <c r="Y1081" i="1"/>
  <c r="AU1081" i="1" s="1"/>
  <c r="Y1097" i="1"/>
  <c r="AU1097" i="1" s="1"/>
  <c r="Y1113" i="1"/>
  <c r="AU1113" i="1" s="1"/>
  <c r="Y1129" i="1"/>
  <c r="AU1129" i="1" s="1"/>
  <c r="Y1145" i="1"/>
  <c r="AU1145" i="1" s="1"/>
  <c r="Y1161" i="1"/>
  <c r="AU1161" i="1" s="1"/>
  <c r="Y1177" i="1"/>
  <c r="AU1177" i="1" s="1"/>
  <c r="Y1193" i="1"/>
  <c r="AU1193" i="1" s="1"/>
  <c r="Y1209" i="1"/>
  <c r="AU1209" i="1" s="1"/>
  <c r="Y1225" i="1"/>
  <c r="AU1225" i="1" s="1"/>
  <c r="Y1241" i="1"/>
  <c r="AU1241" i="1" s="1"/>
  <c r="Y1257" i="1"/>
  <c r="AU1257" i="1" s="1"/>
  <c r="Y1273" i="1"/>
  <c r="AU1273" i="1" s="1"/>
  <c r="Y1289" i="1"/>
  <c r="AU1289" i="1" s="1"/>
  <c r="Y1305" i="1"/>
  <c r="AU1305" i="1" s="1"/>
  <c r="Y1321" i="1"/>
  <c r="AU1321" i="1" s="1"/>
  <c r="Y1337" i="1"/>
  <c r="AU1337" i="1" s="1"/>
  <c r="Y1353" i="1"/>
  <c r="AU1353" i="1" s="1"/>
  <c r="Y1369" i="1"/>
  <c r="AU1369" i="1" s="1"/>
  <c r="Y1385" i="1"/>
  <c r="AU1385" i="1" s="1"/>
  <c r="Y1401" i="1"/>
  <c r="AU1401" i="1" s="1"/>
  <c r="Y1417" i="1"/>
  <c r="AU1417" i="1" s="1"/>
  <c r="Y1433" i="1"/>
  <c r="AU1433" i="1" s="1"/>
  <c r="Y1449" i="1"/>
  <c r="AU1449" i="1" s="1"/>
  <c r="Y1465" i="1"/>
  <c r="AU1465" i="1" s="1"/>
  <c r="Y1481" i="1"/>
  <c r="AU1481" i="1" s="1"/>
  <c r="Y1497" i="1"/>
  <c r="AU1497" i="1" s="1"/>
  <c r="Y1513" i="1"/>
  <c r="AU1513" i="1" s="1"/>
  <c r="Y1529" i="1"/>
  <c r="AU1529" i="1" s="1"/>
  <c r="Y1545" i="1"/>
  <c r="AU1545" i="1" s="1"/>
  <c r="Y1561" i="1"/>
  <c r="AU1561" i="1" s="1"/>
  <c r="Y1577" i="1"/>
  <c r="AU1577" i="1" s="1"/>
  <c r="Y1593" i="1"/>
  <c r="AU1593" i="1" s="1"/>
  <c r="Y1609" i="1"/>
  <c r="AU1609" i="1" s="1"/>
  <c r="Y1625" i="1"/>
  <c r="AU1625" i="1" s="1"/>
  <c r="Y1641" i="1"/>
  <c r="AU1641" i="1" s="1"/>
  <c r="Y1657" i="1"/>
  <c r="AU1657" i="1" s="1"/>
  <c r="Y1673" i="1"/>
  <c r="AU1673" i="1" s="1"/>
  <c r="Y1689" i="1"/>
  <c r="AU1689" i="1" s="1"/>
  <c r="Y1705" i="1"/>
  <c r="AU1705" i="1" s="1"/>
  <c r="Y1721" i="1"/>
  <c r="AU1721" i="1" s="1"/>
  <c r="AV6" i="1"/>
  <c r="AV22" i="1"/>
  <c r="AV54" i="1"/>
  <c r="AV70" i="1"/>
  <c r="AV86" i="1"/>
  <c r="AV118" i="1"/>
  <c r="AV134" i="1"/>
  <c r="AV150" i="1"/>
  <c r="AV182" i="1"/>
  <c r="AV198" i="1"/>
  <c r="AV214" i="1"/>
  <c r="AV246" i="1"/>
  <c r="AV262" i="1"/>
  <c r="AV278" i="1"/>
  <c r="AV310" i="1"/>
  <c r="AV326" i="1"/>
  <c r="AV342" i="1"/>
  <c r="AV374" i="1"/>
  <c r="AV390" i="1"/>
  <c r="AV406" i="1"/>
  <c r="AV438" i="1"/>
  <c r="AV454" i="1"/>
  <c r="AV470" i="1"/>
  <c r="AV502" i="1"/>
  <c r="AV518" i="1"/>
  <c r="AV534" i="1"/>
  <c r="AV566" i="1"/>
  <c r="AV582" i="1"/>
  <c r="AV598" i="1"/>
  <c r="AV630" i="1"/>
  <c r="AV646" i="1"/>
  <c r="AV662" i="1"/>
  <c r="AV694" i="1"/>
  <c r="AV710" i="1"/>
  <c r="AV726" i="1"/>
  <c r="AV758" i="1"/>
  <c r="AV774" i="1"/>
  <c r="AV790" i="1"/>
  <c r="AV822" i="1"/>
  <c r="AV838" i="1"/>
  <c r="AV854" i="1"/>
  <c r="AV886" i="1"/>
  <c r="AV902" i="1"/>
  <c r="AV918" i="1"/>
  <c r="AV950" i="1"/>
  <c r="AV966" i="1"/>
  <c r="AV982" i="1"/>
  <c r="AV1014" i="1"/>
  <c r="AV1030" i="1"/>
  <c r="AV1046" i="1"/>
  <c r="AV1078" i="1"/>
  <c r="AV1094" i="1"/>
  <c r="AV1110" i="1"/>
  <c r="AV1142" i="1"/>
  <c r="AV1158" i="1"/>
  <c r="AV1174" i="1"/>
  <c r="AV1206" i="1"/>
  <c r="AV1222" i="1"/>
  <c r="AV1238" i="1"/>
  <c r="AV1270" i="1"/>
  <c r="AV1286" i="1"/>
  <c r="AV1302" i="1"/>
  <c r="AV1334" i="1"/>
  <c r="AV1350" i="1"/>
  <c r="AV1366" i="1"/>
  <c r="AV1398" i="1"/>
  <c r="AV1414" i="1"/>
  <c r="AV1430" i="1"/>
  <c r="AV1478" i="1"/>
  <c r="AV1494" i="1"/>
  <c r="AV1526" i="1"/>
  <c r="AV1542" i="1"/>
  <c r="AV1558" i="1"/>
  <c r="AV1590" i="1"/>
  <c r="AV1606" i="1"/>
  <c r="AV1622" i="1"/>
  <c r="AV1654" i="1"/>
  <c r="AV1670" i="1"/>
  <c r="AV1686" i="1"/>
  <c r="AV1718" i="1"/>
  <c r="Y10" i="1"/>
  <c r="AU10" i="1" s="1"/>
  <c r="Y26" i="1"/>
  <c r="AU26" i="1" s="1"/>
  <c r="Y42" i="1"/>
  <c r="AU42" i="1" s="1"/>
  <c r="Y58" i="1"/>
  <c r="AU58" i="1" s="1"/>
  <c r="Y74" i="1"/>
  <c r="AU74" i="1" s="1"/>
  <c r="Y90" i="1"/>
  <c r="AU90" i="1" s="1"/>
  <c r="Y106" i="1"/>
  <c r="AU106" i="1" s="1"/>
  <c r="Y122" i="1"/>
  <c r="AU122" i="1" s="1"/>
  <c r="Y138" i="1"/>
  <c r="AU138" i="1" s="1"/>
  <c r="Y154" i="1"/>
  <c r="AU154" i="1" s="1"/>
  <c r="Y170" i="1"/>
  <c r="AU170" i="1" s="1"/>
  <c r="Y186" i="1"/>
  <c r="AU186" i="1" s="1"/>
  <c r="Y202" i="1"/>
  <c r="AU202" i="1" s="1"/>
  <c r="Y218" i="1"/>
  <c r="AU218" i="1" s="1"/>
  <c r="Y234" i="1"/>
  <c r="AU234" i="1" s="1"/>
  <c r="Y250" i="1"/>
  <c r="AU250" i="1" s="1"/>
  <c r="Y266" i="1"/>
  <c r="AU266" i="1" s="1"/>
  <c r="Y282" i="1"/>
  <c r="AU282" i="1" s="1"/>
  <c r="Y298" i="1"/>
  <c r="AU298" i="1" s="1"/>
  <c r="Y314" i="1"/>
  <c r="AU314" i="1" s="1"/>
  <c r="Y330" i="1"/>
  <c r="AU330" i="1" s="1"/>
  <c r="Y346" i="1"/>
  <c r="AU346" i="1" s="1"/>
  <c r="Y362" i="1"/>
  <c r="AU362" i="1" s="1"/>
  <c r="Y378" i="1"/>
  <c r="AU378" i="1" s="1"/>
  <c r="Y394" i="1"/>
  <c r="AU394" i="1" s="1"/>
  <c r="Y410" i="1"/>
  <c r="AU410" i="1" s="1"/>
  <c r="Y426" i="1"/>
  <c r="AU426" i="1" s="1"/>
  <c r="Y442" i="1"/>
  <c r="AU442" i="1" s="1"/>
  <c r="Y458" i="1"/>
  <c r="AU458" i="1" s="1"/>
  <c r="Y474" i="1"/>
  <c r="AU474" i="1" s="1"/>
  <c r="Y490" i="1"/>
  <c r="AU490" i="1" s="1"/>
  <c r="Y506" i="1"/>
  <c r="AU506" i="1" s="1"/>
  <c r="Y522" i="1"/>
  <c r="AU522" i="1" s="1"/>
  <c r="Y538" i="1"/>
  <c r="AU538" i="1" s="1"/>
  <c r="Y554" i="1"/>
  <c r="AU554" i="1" s="1"/>
  <c r="Y570" i="1"/>
  <c r="AU570" i="1" s="1"/>
  <c r="Y586" i="1"/>
  <c r="AU586" i="1" s="1"/>
  <c r="Y602" i="1"/>
  <c r="AU602" i="1" s="1"/>
  <c r="Y618" i="1"/>
  <c r="AU618" i="1" s="1"/>
  <c r="Y634" i="1"/>
  <c r="AU634" i="1" s="1"/>
  <c r="Y650" i="1"/>
  <c r="AU650" i="1" s="1"/>
  <c r="Y666" i="1"/>
  <c r="AU666" i="1" s="1"/>
  <c r="Y682" i="1"/>
  <c r="AU682" i="1" s="1"/>
  <c r="Y698" i="1"/>
  <c r="AU698" i="1" s="1"/>
  <c r="Y714" i="1"/>
  <c r="AU714" i="1" s="1"/>
  <c r="Y730" i="1"/>
  <c r="AU730" i="1" s="1"/>
  <c r="Y746" i="1"/>
  <c r="AU746" i="1" s="1"/>
  <c r="Y762" i="1"/>
  <c r="AU762" i="1" s="1"/>
  <c r="Y778" i="1"/>
  <c r="AU778" i="1" s="1"/>
  <c r="Y794" i="1"/>
  <c r="AU794" i="1" s="1"/>
  <c r="Y810" i="1"/>
  <c r="AU810" i="1" s="1"/>
  <c r="Y826" i="1"/>
  <c r="AU826" i="1" s="1"/>
  <c r="Y842" i="1"/>
  <c r="AU842" i="1" s="1"/>
  <c r="Y858" i="1"/>
  <c r="AU858" i="1" s="1"/>
  <c r="Y874" i="1"/>
  <c r="AU874" i="1" s="1"/>
  <c r="Y890" i="1"/>
  <c r="AU890" i="1" s="1"/>
  <c r="Y906" i="1"/>
  <c r="AU906" i="1" s="1"/>
  <c r="Y922" i="1"/>
  <c r="AU922" i="1" s="1"/>
  <c r="Y938" i="1"/>
  <c r="AU938" i="1" s="1"/>
  <c r="Y954" i="1"/>
  <c r="AU954" i="1" s="1"/>
  <c r="Y970" i="1"/>
  <c r="AU970" i="1" s="1"/>
  <c r="Y986" i="1"/>
  <c r="AU986" i="1" s="1"/>
  <c r="Y1002" i="1"/>
  <c r="AU1002" i="1" s="1"/>
  <c r="Y1018" i="1"/>
  <c r="AU1018" i="1" s="1"/>
  <c r="Y1034" i="1"/>
  <c r="AU1034" i="1" s="1"/>
  <c r="Y1050" i="1"/>
  <c r="AU1050" i="1" s="1"/>
  <c r="Y1066" i="1"/>
  <c r="AU1066" i="1" s="1"/>
  <c r="Y1082" i="1"/>
  <c r="AU1082" i="1" s="1"/>
  <c r="Y1098" i="1"/>
  <c r="AU1098" i="1" s="1"/>
  <c r="Y1114" i="1"/>
  <c r="AU1114" i="1" s="1"/>
  <c r="Y1130" i="1"/>
  <c r="AU1130" i="1" s="1"/>
  <c r="Y1146" i="1"/>
  <c r="AU1146" i="1" s="1"/>
  <c r="Y1162" i="1"/>
  <c r="AU1162" i="1" s="1"/>
  <c r="Y1178" i="1"/>
  <c r="AU1178" i="1" s="1"/>
  <c r="Y1194" i="1"/>
  <c r="AU1194" i="1" s="1"/>
  <c r="Y1210" i="1"/>
  <c r="AU1210" i="1" s="1"/>
  <c r="Y1226" i="1"/>
  <c r="AU1226" i="1" s="1"/>
  <c r="Y1242" i="1"/>
  <c r="AU1242" i="1" s="1"/>
  <c r="Y1258" i="1"/>
  <c r="AU1258" i="1" s="1"/>
  <c r="Y1274" i="1"/>
  <c r="AU1274" i="1" s="1"/>
  <c r="Y1290" i="1"/>
  <c r="AU1290" i="1" s="1"/>
  <c r="Y1306" i="1"/>
  <c r="AU1306" i="1" s="1"/>
  <c r="Y1322" i="1"/>
  <c r="AU1322" i="1" s="1"/>
  <c r="Y1338" i="1"/>
  <c r="AU1338" i="1" s="1"/>
  <c r="Y1354" i="1"/>
  <c r="AU1354" i="1" s="1"/>
  <c r="Y1370" i="1"/>
  <c r="AU1370" i="1" s="1"/>
  <c r="Y1386" i="1"/>
  <c r="AU1386" i="1" s="1"/>
  <c r="Y1402" i="1"/>
  <c r="AU1402" i="1" s="1"/>
  <c r="Y1418" i="1"/>
  <c r="AU1418" i="1" s="1"/>
  <c r="Y1434" i="1"/>
  <c r="AU1434" i="1" s="1"/>
  <c r="Y1450" i="1"/>
  <c r="AU1450" i="1" s="1"/>
  <c r="Y1466" i="1"/>
  <c r="AU1466" i="1" s="1"/>
  <c r="Y1482" i="1"/>
  <c r="AU1482" i="1" s="1"/>
  <c r="Y1498" i="1"/>
  <c r="AU1498" i="1" s="1"/>
  <c r="Y1514" i="1"/>
  <c r="AU1514" i="1" s="1"/>
  <c r="Y1530" i="1"/>
  <c r="AU1530" i="1" s="1"/>
  <c r="Y1546" i="1"/>
  <c r="AU1546" i="1" s="1"/>
  <c r="Y1562" i="1"/>
  <c r="AU1562" i="1" s="1"/>
  <c r="Y1578" i="1"/>
  <c r="AU1578" i="1" s="1"/>
  <c r="Y1594" i="1"/>
  <c r="AU1594" i="1" s="1"/>
  <c r="Y1610" i="1"/>
  <c r="AU1610" i="1" s="1"/>
  <c r="Y1626" i="1"/>
  <c r="AU1626" i="1" s="1"/>
  <c r="Y1642" i="1"/>
  <c r="AU1642" i="1" s="1"/>
  <c r="Y1658" i="1"/>
  <c r="AU1658" i="1" s="1"/>
  <c r="Y1674" i="1"/>
  <c r="AU1674" i="1" s="1"/>
  <c r="Y1690" i="1"/>
  <c r="AU1690" i="1" s="1"/>
  <c r="Y1706" i="1"/>
  <c r="AU1706" i="1" s="1"/>
  <c r="Y1722" i="1"/>
  <c r="AU1722" i="1" s="1"/>
  <c r="V10" i="1"/>
  <c r="W10" i="1" s="1"/>
  <c r="V26" i="1"/>
  <c r="W26" i="1" s="1"/>
  <c r="V42" i="1"/>
  <c r="W42" i="1" s="1"/>
  <c r="V58" i="1"/>
  <c r="W58" i="1" s="1"/>
  <c r="V74" i="1"/>
  <c r="W74" i="1" s="1"/>
  <c r="V90" i="1"/>
  <c r="W90" i="1" s="1"/>
  <c r="V106" i="1"/>
  <c r="W106" i="1" s="1"/>
  <c r="V122" i="1"/>
  <c r="W122" i="1" s="1"/>
  <c r="V138" i="1"/>
  <c r="W138" i="1" s="1"/>
  <c r="V154" i="1"/>
  <c r="W154" i="1" s="1"/>
  <c r="V170" i="1"/>
  <c r="W170" i="1" s="1"/>
  <c r="V186" i="1"/>
  <c r="W186" i="1" s="1"/>
  <c r="V202" i="1"/>
  <c r="W202" i="1" s="1"/>
  <c r="V218" i="1"/>
  <c r="W218" i="1" s="1"/>
  <c r="V234" i="1"/>
  <c r="W234" i="1" s="1"/>
  <c r="V250" i="1"/>
  <c r="W250" i="1" s="1"/>
  <c r="V266" i="1"/>
  <c r="W266" i="1" s="1"/>
  <c r="V282" i="1"/>
  <c r="W282" i="1" s="1"/>
  <c r="V298" i="1"/>
  <c r="W298" i="1" s="1"/>
  <c r="V314" i="1"/>
  <c r="W314" i="1" s="1"/>
  <c r="V330" i="1"/>
  <c r="W330" i="1" s="1"/>
  <c r="V346" i="1"/>
  <c r="W346" i="1" s="1"/>
  <c r="V362" i="1"/>
  <c r="W362" i="1" s="1"/>
  <c r="V378" i="1"/>
  <c r="W378" i="1" s="1"/>
  <c r="V394" i="1"/>
  <c r="W394" i="1" s="1"/>
  <c r="V410" i="1"/>
  <c r="W410" i="1" s="1"/>
  <c r="V426" i="1"/>
  <c r="W426" i="1" s="1"/>
  <c r="V442" i="1"/>
  <c r="W442" i="1" s="1"/>
  <c r="V458" i="1"/>
  <c r="W458" i="1" s="1"/>
  <c r="V474" i="1"/>
  <c r="W474" i="1" s="1"/>
  <c r="V490" i="1"/>
  <c r="W490" i="1" s="1"/>
  <c r="V506" i="1"/>
  <c r="W506" i="1" s="1"/>
  <c r="V522" i="1"/>
  <c r="W522" i="1" s="1"/>
  <c r="V538" i="1"/>
  <c r="W538" i="1" s="1"/>
  <c r="V554" i="1"/>
  <c r="W554" i="1" s="1"/>
  <c r="V570" i="1"/>
  <c r="W570" i="1" s="1"/>
  <c r="V586" i="1"/>
  <c r="W586" i="1" s="1"/>
  <c r="V602" i="1"/>
  <c r="W602" i="1" s="1"/>
  <c r="V618" i="1"/>
  <c r="W618" i="1" s="1"/>
  <c r="V634" i="1"/>
  <c r="W634" i="1" s="1"/>
  <c r="V650" i="1"/>
  <c r="W650" i="1" s="1"/>
  <c r="V666" i="1"/>
  <c r="W666" i="1" s="1"/>
  <c r="V682" i="1"/>
  <c r="W682" i="1" s="1"/>
  <c r="V698" i="1"/>
  <c r="W698" i="1" s="1"/>
  <c r="V714" i="1"/>
  <c r="W714" i="1" s="1"/>
  <c r="V730" i="1"/>
  <c r="W730" i="1" s="1"/>
  <c r="V746" i="1"/>
  <c r="W746" i="1" s="1"/>
  <c r="V762" i="1"/>
  <c r="W762" i="1" s="1"/>
  <c r="V778" i="1"/>
  <c r="W778" i="1" s="1"/>
  <c r="V794" i="1"/>
  <c r="W794" i="1" s="1"/>
  <c r="V810" i="1"/>
  <c r="W810" i="1" s="1"/>
  <c r="V826" i="1"/>
  <c r="W826" i="1" s="1"/>
  <c r="V842" i="1"/>
  <c r="W842" i="1" s="1"/>
  <c r="V858" i="1"/>
  <c r="W858" i="1" s="1"/>
  <c r="V874" i="1"/>
  <c r="W874" i="1" s="1"/>
  <c r="V890" i="1"/>
  <c r="W890" i="1" s="1"/>
  <c r="V906" i="1"/>
  <c r="W906" i="1" s="1"/>
  <c r="V922" i="1"/>
  <c r="W922" i="1" s="1"/>
  <c r="V938" i="1"/>
  <c r="W938" i="1" s="1"/>
  <c r="V954" i="1"/>
  <c r="W954" i="1" s="1"/>
  <c r="V970" i="1"/>
  <c r="W970" i="1" s="1"/>
  <c r="V986" i="1"/>
  <c r="W986" i="1" s="1"/>
  <c r="V1002" i="1"/>
  <c r="W1002" i="1" s="1"/>
  <c r="V1018" i="1"/>
  <c r="W1018" i="1" s="1"/>
  <c r="V1034" i="1"/>
  <c r="W1034" i="1" s="1"/>
  <c r="V1050" i="1"/>
  <c r="W1050" i="1" s="1"/>
  <c r="V1066" i="1"/>
  <c r="W1066" i="1" s="1"/>
  <c r="V1082" i="1"/>
  <c r="W1082" i="1" s="1"/>
  <c r="V1098" i="1"/>
  <c r="W1098" i="1" s="1"/>
  <c r="V1114" i="1"/>
  <c r="W1114" i="1" s="1"/>
  <c r="V1130" i="1"/>
  <c r="W1130" i="1" s="1"/>
  <c r="V1146" i="1"/>
  <c r="W1146" i="1" s="1"/>
  <c r="V1162" i="1"/>
  <c r="W1162" i="1" s="1"/>
  <c r="V1178" i="1"/>
  <c r="W1178" i="1" s="1"/>
  <c r="V1194" i="1"/>
  <c r="W1194" i="1" s="1"/>
  <c r="V1210" i="1"/>
  <c r="W1210" i="1" s="1"/>
  <c r="V1226" i="1"/>
  <c r="W1226" i="1" s="1"/>
  <c r="V1242" i="1"/>
  <c r="W1242" i="1" s="1"/>
  <c r="V1258" i="1"/>
  <c r="W1258" i="1" s="1"/>
  <c r="V1274" i="1"/>
  <c r="W1274" i="1" s="1"/>
  <c r="V1290" i="1"/>
  <c r="W1290" i="1" s="1"/>
  <c r="V1306" i="1"/>
  <c r="W1306" i="1" s="1"/>
  <c r="V1322" i="1"/>
  <c r="W1322" i="1" s="1"/>
  <c r="V1338" i="1"/>
  <c r="W1338" i="1" s="1"/>
  <c r="V1354" i="1"/>
  <c r="W1354" i="1" s="1"/>
  <c r="V1370" i="1"/>
  <c r="W1370" i="1" s="1"/>
  <c r="V1386" i="1"/>
  <c r="W1386" i="1" s="1"/>
  <c r="V1402" i="1"/>
  <c r="W1402" i="1" s="1"/>
  <c r="V1418" i="1"/>
  <c r="W1418" i="1" s="1"/>
  <c r="V1434" i="1"/>
  <c r="W1434" i="1" s="1"/>
  <c r="V1450" i="1"/>
  <c r="W1450" i="1" s="1"/>
  <c r="V1466" i="1"/>
  <c r="W1466" i="1" s="1"/>
  <c r="V1482" i="1"/>
  <c r="W1482" i="1" s="1"/>
  <c r="V1498" i="1"/>
  <c r="W1498" i="1" s="1"/>
  <c r="V1514" i="1"/>
  <c r="W1514" i="1" s="1"/>
  <c r="V1530" i="1"/>
  <c r="W1530" i="1" s="1"/>
  <c r="V1546" i="1"/>
  <c r="W1546" i="1" s="1"/>
  <c r="V1562" i="1"/>
  <c r="W1562" i="1" s="1"/>
  <c r="V1578" i="1"/>
  <c r="W1578" i="1" s="1"/>
  <c r="V1594" i="1"/>
  <c r="W1594" i="1" s="1"/>
  <c r="V1610" i="1"/>
  <c r="W1610" i="1" s="1"/>
  <c r="V1626" i="1"/>
  <c r="W1626" i="1" s="1"/>
  <c r="V1642" i="1"/>
  <c r="W1642" i="1" s="1"/>
  <c r="V1658" i="1"/>
  <c r="W1658" i="1" s="1"/>
  <c r="V1674" i="1"/>
  <c r="W1674" i="1" s="1"/>
  <c r="V1690" i="1"/>
  <c r="W1690" i="1" s="1"/>
  <c r="V1706" i="1"/>
  <c r="W1706" i="1" s="1"/>
  <c r="V1722" i="1"/>
  <c r="W1722" i="1" s="1"/>
  <c r="AV3" i="1"/>
  <c r="AV11" i="1"/>
  <c r="AV19" i="1"/>
  <c r="AV27" i="1"/>
  <c r="AV35" i="1"/>
  <c r="AV43" i="1"/>
  <c r="AV51" i="1"/>
  <c r="AV59" i="1"/>
  <c r="AV67" i="1"/>
  <c r="AV75" i="1"/>
  <c r="AV83" i="1"/>
  <c r="AV91" i="1"/>
  <c r="AV99" i="1"/>
  <c r="AV107" i="1"/>
  <c r="AV115" i="1"/>
  <c r="AV123" i="1"/>
  <c r="AV131" i="1"/>
  <c r="AV139" i="1"/>
  <c r="AV147" i="1"/>
  <c r="AV155" i="1"/>
  <c r="AV163" i="1"/>
  <c r="AV171" i="1"/>
  <c r="AV179" i="1"/>
  <c r="AV187" i="1"/>
  <c r="AV195" i="1"/>
  <c r="AV203" i="1"/>
  <c r="AV211" i="1"/>
  <c r="AV219" i="1"/>
  <c r="AV227" i="1"/>
  <c r="AV235" i="1"/>
  <c r="AV243" i="1"/>
  <c r="AV251" i="1"/>
  <c r="AV259" i="1"/>
  <c r="AV267" i="1"/>
  <c r="AV275" i="1"/>
  <c r="AV283" i="1"/>
  <c r="AV291" i="1"/>
  <c r="AV299" i="1"/>
  <c r="AV307" i="1"/>
  <c r="AV315" i="1"/>
  <c r="AV323" i="1"/>
  <c r="AV331" i="1"/>
  <c r="AV339" i="1"/>
  <c r="AV347" i="1"/>
  <c r="AV355" i="1"/>
  <c r="AV363" i="1"/>
  <c r="AV371" i="1"/>
  <c r="AV379" i="1"/>
  <c r="AV387" i="1"/>
  <c r="AV395" i="1"/>
  <c r="AV403" i="1"/>
  <c r="AV411" i="1"/>
  <c r="AV419" i="1"/>
  <c r="AV427" i="1"/>
  <c r="AV435" i="1"/>
  <c r="AV443" i="1"/>
  <c r="AV451" i="1"/>
  <c r="AV459" i="1"/>
  <c r="AV467" i="1"/>
  <c r="AV475" i="1"/>
  <c r="AV483" i="1"/>
  <c r="AV491" i="1"/>
  <c r="AV499" i="1"/>
  <c r="AV507" i="1"/>
  <c r="AV515" i="1"/>
  <c r="AV523" i="1"/>
  <c r="AV531" i="1"/>
  <c r="AV539" i="1"/>
  <c r="AV547" i="1"/>
  <c r="AV555" i="1"/>
  <c r="AV563" i="1"/>
  <c r="AV571" i="1"/>
  <c r="AV579" i="1"/>
  <c r="AV587" i="1"/>
  <c r="AV595" i="1"/>
  <c r="AV603" i="1"/>
  <c r="AV611" i="1"/>
  <c r="AV619" i="1"/>
  <c r="AV627" i="1"/>
  <c r="AV635" i="1"/>
  <c r="AV643" i="1"/>
  <c r="AV651" i="1"/>
  <c r="AV659" i="1"/>
  <c r="AV667" i="1"/>
  <c r="AV675" i="1"/>
  <c r="AV683" i="1"/>
  <c r="AV691" i="1"/>
  <c r="AV699" i="1"/>
  <c r="AV707" i="1"/>
  <c r="AV715" i="1"/>
  <c r="AV723" i="1"/>
  <c r="AV731" i="1"/>
  <c r="AV739" i="1"/>
  <c r="AV747" i="1"/>
  <c r="AV755" i="1"/>
  <c r="AV763" i="1"/>
  <c r="AV771" i="1"/>
  <c r="AV779" i="1"/>
  <c r="AV787" i="1"/>
  <c r="AV795" i="1"/>
  <c r="AV803" i="1"/>
  <c r="AV811" i="1"/>
  <c r="AV819" i="1"/>
  <c r="AV827" i="1"/>
  <c r="AV835" i="1"/>
  <c r="AV843" i="1"/>
  <c r="AV851" i="1"/>
  <c r="AV859" i="1"/>
  <c r="AV867" i="1"/>
  <c r="AV875" i="1"/>
  <c r="AV883" i="1"/>
  <c r="AV891" i="1"/>
  <c r="AV899" i="1"/>
  <c r="AV907" i="1"/>
  <c r="AV915" i="1"/>
  <c r="AV923" i="1"/>
  <c r="AV931" i="1"/>
  <c r="AV939" i="1"/>
  <c r="AV947" i="1"/>
  <c r="AV955" i="1"/>
  <c r="AV963" i="1"/>
  <c r="AV971" i="1"/>
  <c r="AV979" i="1"/>
  <c r="AV987" i="1"/>
  <c r="AV995" i="1"/>
  <c r="AV1003" i="1"/>
  <c r="AV1011" i="1"/>
  <c r="AV1019" i="1"/>
  <c r="AV1027" i="1"/>
  <c r="AV1035" i="1"/>
  <c r="AV1043" i="1"/>
  <c r="AV1051" i="1"/>
  <c r="AV1059" i="1"/>
  <c r="AV1067" i="1"/>
  <c r="AV1075" i="1"/>
  <c r="AV1083" i="1"/>
  <c r="AV1091" i="1"/>
  <c r="AV1099" i="1"/>
  <c r="AV1107" i="1"/>
  <c r="AV1115" i="1"/>
  <c r="AV1123" i="1"/>
  <c r="AV1131" i="1"/>
  <c r="AV1139" i="1"/>
  <c r="AV1147" i="1"/>
  <c r="AV1155" i="1"/>
  <c r="AV1163" i="1"/>
  <c r="AV1171" i="1"/>
  <c r="AV1179" i="1"/>
  <c r="AV1187" i="1"/>
  <c r="AV1195" i="1"/>
  <c r="AV1203" i="1"/>
  <c r="AV1211" i="1"/>
  <c r="AV1219" i="1"/>
  <c r="AV1227" i="1"/>
  <c r="AV1235" i="1"/>
  <c r="AV1243" i="1"/>
  <c r="AV1251" i="1"/>
  <c r="AV1259" i="1"/>
  <c r="AV1267" i="1"/>
  <c r="AV1275" i="1"/>
  <c r="AV1283" i="1"/>
  <c r="AV1291" i="1"/>
  <c r="AV1299" i="1"/>
  <c r="AV1307" i="1"/>
  <c r="AV1315" i="1"/>
  <c r="AV1323" i="1"/>
  <c r="AV1331" i="1"/>
  <c r="AV1339" i="1"/>
  <c r="AV1347" i="1"/>
  <c r="AV1355" i="1"/>
  <c r="AV1363" i="1"/>
  <c r="AV1371" i="1"/>
  <c r="AV1379" i="1"/>
  <c r="AV1387" i="1"/>
  <c r="AV1395" i="1"/>
  <c r="AV1403" i="1"/>
  <c r="AV1411" i="1"/>
  <c r="AV1419" i="1"/>
  <c r="AV1427" i="1"/>
  <c r="AV1435" i="1"/>
  <c r="AV1443" i="1"/>
  <c r="AV1451" i="1"/>
  <c r="AV1459" i="1"/>
  <c r="AV1467" i="1"/>
  <c r="AV1475" i="1"/>
  <c r="AV1483" i="1"/>
  <c r="AV1491" i="1"/>
  <c r="AV1499" i="1"/>
  <c r="AV1507" i="1"/>
  <c r="AV1515" i="1"/>
  <c r="AV1523" i="1"/>
  <c r="AV1531" i="1"/>
  <c r="AV1539" i="1"/>
  <c r="AV1547" i="1"/>
  <c r="AV1555" i="1"/>
  <c r="AV1563" i="1"/>
  <c r="AV1571" i="1"/>
  <c r="AV1579" i="1"/>
  <c r="AV1587" i="1"/>
  <c r="AV1595" i="1"/>
  <c r="AV1603" i="1"/>
  <c r="AV1611" i="1"/>
  <c r="AV1619" i="1"/>
  <c r="AV1627" i="1"/>
  <c r="AV1635" i="1"/>
  <c r="AV1643" i="1"/>
  <c r="AV1651" i="1"/>
  <c r="AV1659" i="1"/>
  <c r="AV1667" i="1"/>
  <c r="AV1675" i="1"/>
  <c r="AV1683" i="1"/>
  <c r="AV1691" i="1"/>
  <c r="AV1699" i="1"/>
  <c r="AV1707" i="1"/>
  <c r="AV1715" i="1"/>
  <c r="AV1723" i="1"/>
  <c r="S16" i="1"/>
  <c r="S32" i="1"/>
  <c r="S48" i="1"/>
  <c r="S64" i="1"/>
  <c r="S80" i="1"/>
  <c r="S96" i="1"/>
  <c r="S112" i="1"/>
  <c r="S128" i="1"/>
  <c r="S144" i="1"/>
  <c r="S160" i="1"/>
  <c r="S176" i="1"/>
  <c r="S192" i="1"/>
  <c r="S208" i="1"/>
  <c r="S224" i="1"/>
  <c r="S240" i="1"/>
  <c r="S256" i="1"/>
  <c r="S272" i="1"/>
  <c r="S288" i="1"/>
  <c r="S304" i="1"/>
  <c r="S320" i="1"/>
  <c r="S336" i="1"/>
  <c r="S352" i="1"/>
  <c r="S368" i="1"/>
  <c r="S384" i="1"/>
  <c r="S400" i="1"/>
  <c r="S416" i="1"/>
  <c r="S432" i="1"/>
  <c r="S448" i="1"/>
  <c r="S464" i="1"/>
  <c r="S480" i="1"/>
  <c r="S496" i="1"/>
  <c r="S512" i="1"/>
  <c r="S528" i="1"/>
  <c r="S544" i="1"/>
  <c r="S560" i="1"/>
  <c r="S576" i="1"/>
  <c r="S592" i="1"/>
  <c r="S608" i="1"/>
  <c r="S624" i="1"/>
  <c r="S640" i="1"/>
  <c r="S656" i="1"/>
  <c r="S672" i="1"/>
  <c r="S688" i="1"/>
  <c r="S704" i="1"/>
  <c r="S720" i="1"/>
  <c r="S736" i="1"/>
  <c r="S752" i="1"/>
  <c r="S768" i="1"/>
  <c r="S784" i="1"/>
  <c r="S800" i="1"/>
  <c r="S816" i="1"/>
  <c r="S832" i="1"/>
  <c r="S848" i="1"/>
  <c r="S864" i="1"/>
  <c r="S880" i="1"/>
  <c r="S896" i="1"/>
  <c r="S912" i="1"/>
  <c r="S928" i="1"/>
  <c r="S944" i="1"/>
  <c r="S960" i="1"/>
  <c r="S976" i="1"/>
  <c r="S992" i="1"/>
  <c r="S1008" i="1"/>
  <c r="S1024" i="1"/>
  <c r="S1040" i="1"/>
  <c r="S1056" i="1"/>
  <c r="S1072" i="1"/>
  <c r="S1088" i="1"/>
  <c r="S1104" i="1"/>
  <c r="S1120" i="1"/>
  <c r="S1136" i="1"/>
  <c r="S1152" i="1"/>
  <c r="S1168" i="1"/>
  <c r="S1184" i="1"/>
  <c r="S13" i="1"/>
  <c r="S29" i="1"/>
  <c r="S45" i="1"/>
  <c r="S61" i="1"/>
  <c r="S77" i="1"/>
  <c r="S93" i="1"/>
  <c r="S109" i="1"/>
  <c r="S125" i="1"/>
  <c r="S141" i="1"/>
  <c r="S157" i="1"/>
  <c r="S173" i="1"/>
  <c r="S189" i="1"/>
  <c r="S205" i="1"/>
  <c r="S221" i="1"/>
  <c r="S237" i="1"/>
  <c r="S253" i="1"/>
  <c r="S269" i="1"/>
  <c r="S285" i="1"/>
  <c r="S301" i="1"/>
  <c r="S317" i="1"/>
  <c r="S333" i="1"/>
  <c r="S349" i="1"/>
  <c r="S365" i="1"/>
  <c r="S381" i="1"/>
  <c r="S397" i="1"/>
  <c r="S413" i="1"/>
  <c r="S429" i="1"/>
  <c r="S445" i="1"/>
  <c r="S461" i="1"/>
  <c r="S477" i="1"/>
  <c r="S493" i="1"/>
  <c r="S509" i="1"/>
  <c r="S525" i="1"/>
  <c r="S541" i="1"/>
  <c r="S557" i="1"/>
  <c r="S573" i="1"/>
  <c r="S589" i="1"/>
  <c r="S605" i="1"/>
  <c r="S621" i="1"/>
  <c r="S637" i="1"/>
  <c r="S653" i="1"/>
  <c r="S669" i="1"/>
  <c r="S685" i="1"/>
  <c r="S701" i="1"/>
  <c r="S717" i="1"/>
  <c r="S733" i="1"/>
  <c r="S749" i="1"/>
  <c r="S765" i="1"/>
  <c r="S781" i="1"/>
  <c r="S797" i="1"/>
  <c r="S813" i="1"/>
  <c r="S829" i="1"/>
  <c r="S845" i="1"/>
  <c r="S861" i="1"/>
  <c r="S877" i="1"/>
  <c r="S893" i="1"/>
  <c r="S909" i="1"/>
  <c r="S925" i="1"/>
  <c r="S941" i="1"/>
  <c r="S957" i="1"/>
  <c r="S973" i="1"/>
  <c r="S989" i="1"/>
  <c r="S1005" i="1"/>
  <c r="S1021" i="1"/>
  <c r="S1037" i="1"/>
  <c r="S1053" i="1"/>
  <c r="S1069" i="1"/>
  <c r="S1085" i="1"/>
  <c r="S1101" i="1"/>
  <c r="S1117" i="1"/>
  <c r="S1133" i="1"/>
  <c r="S1149" i="1"/>
  <c r="S1165" i="1"/>
  <c r="S1181" i="1"/>
  <c r="S1197" i="1"/>
  <c r="AV8" i="1"/>
  <c r="AV40" i="1"/>
  <c r="AV56" i="1"/>
  <c r="AV72" i="1"/>
  <c r="AV104" i="1"/>
  <c r="AV120" i="1"/>
  <c r="AV136" i="1"/>
  <c r="AV168" i="1"/>
  <c r="AV184" i="1"/>
  <c r="AV200" i="1"/>
  <c r="AV232" i="1"/>
  <c r="AV248" i="1"/>
  <c r="AV264" i="1"/>
  <c r="AV296" i="1"/>
  <c r="AV312" i="1"/>
  <c r="AV328" i="1"/>
  <c r="AV360" i="1"/>
  <c r="AV376" i="1"/>
  <c r="AV392" i="1"/>
  <c r="AV424" i="1"/>
  <c r="AV440" i="1"/>
  <c r="AV456" i="1"/>
  <c r="AV488" i="1"/>
  <c r="AV504" i="1"/>
  <c r="AV520" i="1"/>
  <c r="AV552" i="1"/>
  <c r="AV568" i="1"/>
  <c r="AV584" i="1"/>
  <c r="AV616" i="1"/>
  <c r="AV632" i="1"/>
  <c r="AV648" i="1"/>
  <c r="AV680" i="1"/>
  <c r="AV696" i="1"/>
  <c r="AV712" i="1"/>
  <c r="AV744" i="1"/>
  <c r="AV760" i="1"/>
  <c r="AV776" i="1"/>
  <c r="AV808" i="1"/>
  <c r="AV824" i="1"/>
  <c r="AV840" i="1"/>
  <c r="AV872" i="1"/>
  <c r="AV888" i="1"/>
  <c r="AV904" i="1"/>
  <c r="AV936" i="1"/>
  <c r="AV952" i="1"/>
  <c r="AV968" i="1"/>
  <c r="AV1000" i="1"/>
  <c r="AV1016" i="1"/>
  <c r="AV1032" i="1"/>
  <c r="AV1064" i="1"/>
  <c r="AV1080" i="1"/>
  <c r="AV1096" i="1"/>
  <c r="Y16" i="1"/>
  <c r="AU16" i="1" s="1"/>
  <c r="Y32" i="1"/>
  <c r="AU32" i="1" s="1"/>
  <c r="Y48" i="1"/>
  <c r="AU48" i="1" s="1"/>
  <c r="Y64" i="1"/>
  <c r="AU64" i="1" s="1"/>
  <c r="Y80" i="1"/>
  <c r="AU80" i="1" s="1"/>
  <c r="Y96" i="1"/>
  <c r="AU96" i="1" s="1"/>
  <c r="Y112" i="1"/>
  <c r="AU112" i="1" s="1"/>
  <c r="Y128" i="1"/>
  <c r="AU128" i="1" s="1"/>
  <c r="Y144" i="1"/>
  <c r="AU144" i="1" s="1"/>
  <c r="Y160" i="1"/>
  <c r="AU160" i="1" s="1"/>
  <c r="Y176" i="1"/>
  <c r="AU176" i="1" s="1"/>
  <c r="Y192" i="1"/>
  <c r="AU192" i="1" s="1"/>
  <c r="Y208" i="1"/>
  <c r="AU208" i="1" s="1"/>
  <c r="Y224" i="1"/>
  <c r="AU224" i="1" s="1"/>
  <c r="Y240" i="1"/>
  <c r="AU240" i="1" s="1"/>
  <c r="Y256" i="1"/>
  <c r="AU256" i="1" s="1"/>
  <c r="Y272" i="1"/>
  <c r="AU272" i="1" s="1"/>
  <c r="Y288" i="1"/>
  <c r="AU288" i="1" s="1"/>
  <c r="Y304" i="1"/>
  <c r="AU304" i="1" s="1"/>
  <c r="Y320" i="1"/>
  <c r="AU320" i="1" s="1"/>
  <c r="Y336" i="1"/>
  <c r="AU336" i="1" s="1"/>
  <c r="Y352" i="1"/>
  <c r="AU352" i="1" s="1"/>
  <c r="Y368" i="1"/>
  <c r="AU368" i="1" s="1"/>
  <c r="Y384" i="1"/>
  <c r="AU384" i="1" s="1"/>
  <c r="Y400" i="1"/>
  <c r="AU400" i="1" s="1"/>
  <c r="Y416" i="1"/>
  <c r="AU416" i="1" s="1"/>
  <c r="Y432" i="1"/>
  <c r="AU432" i="1" s="1"/>
  <c r="Y448" i="1"/>
  <c r="AU448" i="1" s="1"/>
  <c r="Y464" i="1"/>
  <c r="AU464" i="1" s="1"/>
  <c r="Y480" i="1"/>
  <c r="AU480" i="1" s="1"/>
  <c r="Y496" i="1"/>
  <c r="AU496" i="1" s="1"/>
  <c r="Y512" i="1"/>
  <c r="AU512" i="1" s="1"/>
  <c r="Y528" i="1"/>
  <c r="AU528" i="1" s="1"/>
  <c r="Y544" i="1"/>
  <c r="AU544" i="1" s="1"/>
  <c r="Y560" i="1"/>
  <c r="AU560" i="1" s="1"/>
  <c r="Y576" i="1"/>
  <c r="AU576" i="1" s="1"/>
  <c r="Y592" i="1"/>
  <c r="AU592" i="1" s="1"/>
  <c r="Y608" i="1"/>
  <c r="AU608" i="1" s="1"/>
  <c r="Y624" i="1"/>
  <c r="AU624" i="1" s="1"/>
  <c r="Y640" i="1"/>
  <c r="AU640" i="1" s="1"/>
  <c r="Y656" i="1"/>
  <c r="AU656" i="1" s="1"/>
  <c r="Y672" i="1"/>
  <c r="AU672" i="1" s="1"/>
  <c r="Y688" i="1"/>
  <c r="AU688" i="1" s="1"/>
  <c r="Y704" i="1"/>
  <c r="AU704" i="1" s="1"/>
  <c r="Y720" i="1"/>
  <c r="AU720" i="1" s="1"/>
  <c r="Y736" i="1"/>
  <c r="AU736" i="1" s="1"/>
  <c r="Y752" i="1"/>
  <c r="AU752" i="1" s="1"/>
  <c r="Y768" i="1"/>
  <c r="AU768" i="1" s="1"/>
  <c r="Y784" i="1"/>
  <c r="AU784" i="1" s="1"/>
  <c r="Y800" i="1"/>
  <c r="AU800" i="1" s="1"/>
  <c r="Y816" i="1"/>
  <c r="AU816" i="1" s="1"/>
  <c r="Y832" i="1"/>
  <c r="AU832" i="1" s="1"/>
  <c r="Y848" i="1"/>
  <c r="AU848" i="1" s="1"/>
  <c r="Y864" i="1"/>
  <c r="AU864" i="1" s="1"/>
  <c r="Y880" i="1"/>
  <c r="AU880" i="1" s="1"/>
  <c r="Y896" i="1"/>
  <c r="AU896" i="1" s="1"/>
  <c r="Y912" i="1"/>
  <c r="AU912" i="1" s="1"/>
  <c r="W1264" i="1"/>
  <c r="W1424" i="1"/>
  <c r="W1456" i="1"/>
  <c r="AV9" i="1"/>
  <c r="AV25" i="1"/>
  <c r="AV41" i="1"/>
  <c r="AV73" i="1"/>
  <c r="AV89" i="1"/>
  <c r="AV105" i="1"/>
  <c r="AV137" i="1"/>
  <c r="AV153" i="1"/>
  <c r="AV169" i="1"/>
  <c r="AV201" i="1"/>
  <c r="AV217" i="1"/>
  <c r="AV233" i="1"/>
  <c r="AV265" i="1"/>
  <c r="AV281" i="1"/>
  <c r="AV297" i="1"/>
  <c r="AV329" i="1"/>
  <c r="AV345" i="1"/>
  <c r="AV361" i="1"/>
  <c r="AV393" i="1"/>
  <c r="AV409" i="1"/>
  <c r="AV425" i="1"/>
  <c r="AV457" i="1"/>
  <c r="AV489" i="1"/>
  <c r="AV521" i="1"/>
  <c r="AV537" i="1"/>
  <c r="AV553" i="1"/>
  <c r="AV585" i="1"/>
  <c r="AV601" i="1"/>
  <c r="AV617" i="1"/>
  <c r="AV649" i="1"/>
  <c r="AV665" i="1"/>
  <c r="AV681" i="1"/>
  <c r="AV713" i="1"/>
  <c r="AV729" i="1"/>
  <c r="AV745" i="1"/>
  <c r="AV777" i="1"/>
  <c r="AV793" i="1"/>
  <c r="AV809" i="1"/>
  <c r="AV841" i="1"/>
  <c r="AV857" i="1"/>
  <c r="AV873" i="1"/>
  <c r="AV905" i="1"/>
  <c r="AV921" i="1"/>
  <c r="AV937" i="1"/>
  <c r="AV969" i="1"/>
  <c r="AV985" i="1"/>
  <c r="AV1001" i="1"/>
  <c r="AV1033" i="1"/>
  <c r="AV1049" i="1"/>
  <c r="AV1065" i="1"/>
  <c r="AV1097" i="1"/>
  <c r="AV1113" i="1"/>
  <c r="AV1129" i="1"/>
  <c r="AV1161" i="1"/>
  <c r="AV1177" i="1"/>
  <c r="AV1193" i="1"/>
  <c r="AV1225" i="1"/>
  <c r="AV1241" i="1"/>
  <c r="AV1257" i="1"/>
  <c r="AV1289" i="1"/>
  <c r="AV1305" i="1"/>
  <c r="AV1321" i="1"/>
  <c r="AV1353" i="1"/>
  <c r="AV1369" i="1"/>
  <c r="AV1385" i="1"/>
  <c r="AV1417" i="1"/>
  <c r="AV1433" i="1"/>
  <c r="AV1449" i="1"/>
  <c r="AV1481" i="1"/>
  <c r="AV1497" i="1"/>
  <c r="AV1513" i="1"/>
  <c r="AV1545" i="1"/>
  <c r="AV1561" i="1"/>
  <c r="AV1577" i="1"/>
  <c r="AV1609" i="1"/>
  <c r="AV1625" i="1"/>
  <c r="AV1641" i="1"/>
  <c r="AV1673" i="1"/>
  <c r="AV1689" i="1"/>
  <c r="AV1705" i="1"/>
  <c r="Y13" i="1"/>
  <c r="Y29" i="1"/>
  <c r="Y45" i="1"/>
  <c r="Y61" i="1"/>
  <c r="Y77" i="1"/>
  <c r="Y93" i="1"/>
  <c r="Y109" i="1"/>
  <c r="Y125" i="1"/>
  <c r="Y141" i="1"/>
  <c r="Y157" i="1"/>
  <c r="Y173" i="1"/>
  <c r="Y189" i="1"/>
  <c r="Y205" i="1"/>
  <c r="Y221" i="1"/>
  <c r="Y237" i="1"/>
  <c r="Y253" i="1"/>
  <c r="Y269" i="1"/>
  <c r="Y285" i="1"/>
  <c r="Y301" i="1"/>
  <c r="Y317" i="1"/>
  <c r="Y333" i="1"/>
  <c r="Y349" i="1"/>
  <c r="Y365" i="1"/>
  <c r="Y381" i="1"/>
  <c r="Y397" i="1"/>
  <c r="Y413" i="1"/>
  <c r="Y429" i="1"/>
  <c r="Y445" i="1"/>
  <c r="Y461" i="1"/>
  <c r="Y477" i="1"/>
  <c r="Y493" i="1"/>
  <c r="Y509" i="1"/>
  <c r="Y525" i="1"/>
  <c r="Y541" i="1"/>
  <c r="Y557" i="1"/>
  <c r="Y573" i="1"/>
  <c r="Y589" i="1"/>
  <c r="Y605" i="1"/>
  <c r="Y621" i="1"/>
  <c r="Y637" i="1"/>
  <c r="Y653" i="1"/>
  <c r="Y669" i="1"/>
  <c r="Y685" i="1"/>
  <c r="Y701" i="1"/>
  <c r="Y717" i="1"/>
  <c r="Y733" i="1"/>
  <c r="Y749" i="1"/>
  <c r="Y765" i="1"/>
  <c r="Y781" i="1"/>
  <c r="Y797" i="1"/>
  <c r="Y813" i="1"/>
  <c r="Y829" i="1"/>
  <c r="Y845" i="1"/>
  <c r="Y861" i="1"/>
  <c r="W1309" i="1"/>
  <c r="W1325" i="1"/>
  <c r="W1357" i="1"/>
  <c r="W1453" i="1"/>
  <c r="W1677" i="1"/>
  <c r="W1693" i="1"/>
  <c r="Y14" i="1"/>
  <c r="Y30" i="1"/>
  <c r="Y46" i="1"/>
  <c r="Y62" i="1"/>
  <c r="Y78" i="1"/>
  <c r="Y94" i="1"/>
  <c r="Y110" i="1"/>
  <c r="Y126" i="1"/>
  <c r="Y142" i="1"/>
  <c r="Y158" i="1"/>
  <c r="Y174" i="1"/>
  <c r="Y190" i="1"/>
  <c r="Y206" i="1"/>
  <c r="Y222" i="1"/>
  <c r="Y238" i="1"/>
  <c r="Y254" i="1"/>
  <c r="Y270" i="1"/>
  <c r="Y286" i="1"/>
  <c r="Y302" i="1"/>
  <c r="Y318" i="1"/>
  <c r="Y334" i="1"/>
  <c r="Y350" i="1"/>
  <c r="Y366" i="1"/>
  <c r="Y382" i="1"/>
  <c r="Y398" i="1"/>
  <c r="Y414" i="1"/>
  <c r="Y430" i="1"/>
  <c r="Y446" i="1"/>
  <c r="Y462" i="1"/>
  <c r="Y478" i="1"/>
  <c r="Y494" i="1"/>
  <c r="Y510" i="1"/>
  <c r="Y526" i="1"/>
  <c r="Y542" i="1"/>
  <c r="Y558" i="1"/>
  <c r="Y574" i="1"/>
  <c r="Y590" i="1"/>
  <c r="Y606" i="1"/>
  <c r="Y622" i="1"/>
  <c r="Y638" i="1"/>
  <c r="Y654" i="1"/>
  <c r="Y670" i="1"/>
  <c r="Y686" i="1"/>
  <c r="Y702" i="1"/>
  <c r="Y718" i="1"/>
  <c r="Y734" i="1"/>
  <c r="Y750" i="1"/>
  <c r="Y766" i="1"/>
  <c r="Y782" i="1"/>
  <c r="Y798" i="1"/>
  <c r="Y814" i="1"/>
  <c r="Y830" i="1"/>
  <c r="Y846" i="1"/>
  <c r="Y862" i="1"/>
  <c r="Y878" i="1"/>
  <c r="Y894" i="1"/>
  <c r="Y910" i="1"/>
  <c r="Y926" i="1"/>
  <c r="Y942" i="1"/>
  <c r="Y958" i="1"/>
  <c r="Y974" i="1"/>
  <c r="Y990" i="1"/>
  <c r="Y1006" i="1"/>
  <c r="Y1022" i="1"/>
  <c r="Y1038" i="1"/>
  <c r="Y1054" i="1"/>
  <c r="Y1070" i="1"/>
  <c r="Y1086" i="1"/>
  <c r="Y1102" i="1"/>
  <c r="Y1118" i="1"/>
  <c r="Y1134" i="1"/>
  <c r="Y1150" i="1"/>
  <c r="Y1166" i="1"/>
  <c r="Y1182" i="1"/>
  <c r="Y1198" i="1"/>
  <c r="Y1214" i="1"/>
  <c r="Y1230" i="1"/>
  <c r="Y1246" i="1"/>
  <c r="Y1262" i="1"/>
  <c r="Y1278" i="1"/>
  <c r="Y1294" i="1"/>
  <c r="Y1310" i="1"/>
  <c r="Y1326" i="1"/>
  <c r="Y1342" i="1"/>
  <c r="Y1358" i="1"/>
  <c r="Y1374" i="1"/>
  <c r="Y1390" i="1"/>
  <c r="Y1406" i="1"/>
  <c r="Y1422" i="1"/>
  <c r="Y1438" i="1"/>
  <c r="Y1454" i="1"/>
  <c r="Y1470" i="1"/>
  <c r="Y1486" i="1"/>
  <c r="Y1502" i="1"/>
  <c r="Y1518" i="1"/>
  <c r="Y1534" i="1"/>
  <c r="Y1550" i="1"/>
  <c r="Y1566" i="1"/>
  <c r="Y1582" i="1"/>
  <c r="Y1598" i="1"/>
  <c r="Y1614" i="1"/>
  <c r="Y1630" i="1"/>
  <c r="Y1646" i="1"/>
  <c r="Y1662" i="1"/>
  <c r="Y1678" i="1"/>
  <c r="Y1694" i="1"/>
  <c r="Y1710" i="1"/>
  <c r="Y1726" i="1"/>
  <c r="V14" i="1"/>
  <c r="W14" i="1" s="1"/>
  <c r="V30" i="1"/>
  <c r="W30" i="1" s="1"/>
  <c r="V46" i="1"/>
  <c r="W46" i="1" s="1"/>
  <c r="V62" i="1"/>
  <c r="W62" i="1" s="1"/>
  <c r="V78" i="1"/>
  <c r="W78" i="1" s="1"/>
  <c r="V94" i="1"/>
  <c r="W94" i="1" s="1"/>
  <c r="V110" i="1"/>
  <c r="W110" i="1" s="1"/>
  <c r="V126" i="1"/>
  <c r="W126" i="1" s="1"/>
  <c r="V142" i="1"/>
  <c r="W142" i="1" s="1"/>
  <c r="V158" i="1"/>
  <c r="W158" i="1" s="1"/>
  <c r="V174" i="1"/>
  <c r="W174" i="1" s="1"/>
  <c r="V190" i="1"/>
  <c r="W190" i="1" s="1"/>
  <c r="V206" i="1"/>
  <c r="W206" i="1" s="1"/>
  <c r="V222" i="1"/>
  <c r="W222" i="1" s="1"/>
  <c r="V238" i="1"/>
  <c r="W238" i="1" s="1"/>
  <c r="V254" i="1"/>
  <c r="W254" i="1" s="1"/>
  <c r="V270" i="1"/>
  <c r="W270" i="1" s="1"/>
  <c r="V286" i="1"/>
  <c r="W286" i="1" s="1"/>
  <c r="V302" i="1"/>
  <c r="W302" i="1" s="1"/>
  <c r="V318" i="1"/>
  <c r="W318" i="1" s="1"/>
  <c r="V334" i="1"/>
  <c r="W334" i="1" s="1"/>
  <c r="V350" i="1"/>
  <c r="W350" i="1" s="1"/>
  <c r="V366" i="1"/>
  <c r="W366" i="1" s="1"/>
  <c r="V382" i="1"/>
  <c r="W382" i="1" s="1"/>
  <c r="V398" i="1"/>
  <c r="W398" i="1" s="1"/>
  <c r="V414" i="1"/>
  <c r="W414" i="1" s="1"/>
  <c r="V430" i="1"/>
  <c r="W430" i="1" s="1"/>
  <c r="V446" i="1"/>
  <c r="W446" i="1" s="1"/>
  <c r="V462" i="1"/>
  <c r="W462" i="1" s="1"/>
  <c r="V478" i="1"/>
  <c r="W478" i="1" s="1"/>
  <c r="V494" i="1"/>
  <c r="W494" i="1" s="1"/>
  <c r="V510" i="1"/>
  <c r="W510" i="1" s="1"/>
  <c r="V526" i="1"/>
  <c r="W526" i="1" s="1"/>
  <c r="V542" i="1"/>
  <c r="W542" i="1" s="1"/>
  <c r="V558" i="1"/>
  <c r="W558" i="1" s="1"/>
  <c r="V574" i="1"/>
  <c r="W574" i="1" s="1"/>
  <c r="V590" i="1"/>
  <c r="W590" i="1" s="1"/>
  <c r="V606" i="1"/>
  <c r="W606" i="1" s="1"/>
  <c r="V622" i="1"/>
  <c r="W622" i="1" s="1"/>
  <c r="V638" i="1"/>
  <c r="W638" i="1" s="1"/>
  <c r="V654" i="1"/>
  <c r="W654" i="1" s="1"/>
  <c r="V670" i="1"/>
  <c r="W670" i="1" s="1"/>
  <c r="V686" i="1"/>
  <c r="W686" i="1" s="1"/>
  <c r="V702" i="1"/>
  <c r="W702" i="1" s="1"/>
  <c r="V718" i="1"/>
  <c r="W718" i="1" s="1"/>
  <c r="V734" i="1"/>
  <c r="W734" i="1" s="1"/>
  <c r="V750" i="1"/>
  <c r="W750" i="1" s="1"/>
  <c r="V766" i="1"/>
  <c r="W766" i="1" s="1"/>
  <c r="V782" i="1"/>
  <c r="W782" i="1" s="1"/>
  <c r="V798" i="1"/>
  <c r="W798" i="1" s="1"/>
  <c r="V814" i="1"/>
  <c r="W814" i="1" s="1"/>
  <c r="V830" i="1"/>
  <c r="W830" i="1" s="1"/>
  <c r="V846" i="1"/>
  <c r="W846" i="1" s="1"/>
  <c r="V862" i="1"/>
  <c r="W862" i="1" s="1"/>
  <c r="V878" i="1"/>
  <c r="W878" i="1" s="1"/>
  <c r="V894" i="1"/>
  <c r="W894" i="1" s="1"/>
  <c r="V910" i="1"/>
  <c r="W910" i="1" s="1"/>
  <c r="V926" i="1"/>
  <c r="W926" i="1" s="1"/>
  <c r="V942" i="1"/>
  <c r="W942" i="1" s="1"/>
  <c r="V958" i="1"/>
  <c r="W958" i="1" s="1"/>
  <c r="V974" i="1"/>
  <c r="W974" i="1" s="1"/>
  <c r="V990" i="1"/>
  <c r="W990" i="1" s="1"/>
  <c r="V1006" i="1"/>
  <c r="W1006" i="1" s="1"/>
  <c r="V1022" i="1"/>
  <c r="W1022" i="1" s="1"/>
  <c r="V1038" i="1"/>
  <c r="W1038" i="1" s="1"/>
  <c r="V1054" i="1"/>
  <c r="W1054" i="1" s="1"/>
  <c r="V1070" i="1"/>
  <c r="W1070" i="1" s="1"/>
  <c r="V1086" i="1"/>
  <c r="W1086" i="1" s="1"/>
  <c r="V1102" i="1"/>
  <c r="W1102" i="1" s="1"/>
  <c r="V1118" i="1"/>
  <c r="W1118" i="1" s="1"/>
  <c r="V1134" i="1"/>
  <c r="W1134" i="1" s="1"/>
  <c r="V1150" i="1"/>
  <c r="W1150" i="1" s="1"/>
  <c r="V1166" i="1"/>
  <c r="W1166" i="1" s="1"/>
  <c r="V1182" i="1"/>
  <c r="W1182" i="1" s="1"/>
  <c r="V1198" i="1"/>
  <c r="W1198" i="1" s="1"/>
  <c r="V1214" i="1"/>
  <c r="W1214" i="1" s="1"/>
  <c r="V1230" i="1"/>
  <c r="W1230" i="1" s="1"/>
  <c r="V1246" i="1"/>
  <c r="W1246" i="1" s="1"/>
  <c r="V1262" i="1"/>
  <c r="W1262" i="1" s="1"/>
  <c r="V1278" i="1"/>
  <c r="W1278" i="1" s="1"/>
  <c r="V1294" i="1"/>
  <c r="W1294" i="1" s="1"/>
  <c r="V1310" i="1"/>
  <c r="W1310" i="1" s="1"/>
  <c r="V1326" i="1"/>
  <c r="W1326" i="1" s="1"/>
  <c r="V1342" i="1"/>
  <c r="W1342" i="1" s="1"/>
  <c r="V1358" i="1"/>
  <c r="W1358" i="1" s="1"/>
  <c r="V1374" i="1"/>
  <c r="W1374" i="1" s="1"/>
  <c r="V1390" i="1"/>
  <c r="W1390" i="1" s="1"/>
  <c r="V1406" i="1"/>
  <c r="W1406" i="1" s="1"/>
  <c r="V1422" i="1"/>
  <c r="W1422" i="1" s="1"/>
  <c r="V1438" i="1"/>
  <c r="W1438" i="1" s="1"/>
  <c r="V1454" i="1"/>
  <c r="W1454" i="1" s="1"/>
  <c r="V1470" i="1"/>
  <c r="W1470" i="1" s="1"/>
  <c r="V1486" i="1"/>
  <c r="W1486" i="1" s="1"/>
  <c r="V1502" i="1"/>
  <c r="W1502" i="1" s="1"/>
  <c r="V1518" i="1"/>
  <c r="W1518" i="1" s="1"/>
  <c r="V1534" i="1"/>
  <c r="W1534" i="1" s="1"/>
  <c r="V1550" i="1"/>
  <c r="W1550" i="1" s="1"/>
  <c r="V1566" i="1"/>
  <c r="W1566" i="1" s="1"/>
  <c r="V1582" i="1"/>
  <c r="W1582" i="1" s="1"/>
  <c r="V1598" i="1"/>
  <c r="W1598" i="1" s="1"/>
  <c r="V1614" i="1"/>
  <c r="W1614" i="1" s="1"/>
  <c r="V1630" i="1"/>
  <c r="W1630" i="1" s="1"/>
  <c r="V1646" i="1"/>
  <c r="W1646" i="1" s="1"/>
  <c r="V1662" i="1"/>
  <c r="W1662" i="1" s="1"/>
  <c r="V1678" i="1"/>
  <c r="W1678" i="1" s="1"/>
  <c r="V1694" i="1"/>
  <c r="W1694" i="1" s="1"/>
  <c r="V1710" i="1"/>
  <c r="W1710" i="1" s="1"/>
  <c r="V1726" i="1"/>
  <c r="W1726" i="1" s="1"/>
  <c r="S4" i="1"/>
  <c r="S20" i="1"/>
  <c r="S36" i="1"/>
  <c r="S52" i="1"/>
  <c r="S68" i="1"/>
  <c r="S84" i="1"/>
  <c r="S100" i="1"/>
  <c r="S116" i="1"/>
  <c r="S132" i="1"/>
  <c r="S148" i="1"/>
  <c r="S164" i="1"/>
  <c r="S180" i="1"/>
  <c r="S196" i="1"/>
  <c r="S212" i="1"/>
  <c r="S228" i="1"/>
  <c r="S244" i="1"/>
  <c r="S260" i="1"/>
  <c r="S276" i="1"/>
  <c r="S292" i="1"/>
  <c r="S308" i="1"/>
  <c r="S324" i="1"/>
  <c r="S340" i="1"/>
  <c r="S356" i="1"/>
  <c r="S372" i="1"/>
  <c r="S388" i="1"/>
  <c r="S404" i="1"/>
  <c r="S420" i="1"/>
  <c r="S436" i="1"/>
  <c r="S452" i="1"/>
  <c r="S468" i="1"/>
  <c r="S484" i="1"/>
  <c r="S500" i="1"/>
  <c r="S516" i="1"/>
  <c r="S532" i="1"/>
  <c r="S548" i="1"/>
  <c r="S564" i="1"/>
  <c r="S580" i="1"/>
  <c r="S596" i="1"/>
  <c r="S612" i="1"/>
  <c r="S628" i="1"/>
  <c r="S644" i="1"/>
  <c r="S660" i="1"/>
  <c r="S676" i="1"/>
  <c r="S692" i="1"/>
  <c r="S708" i="1"/>
  <c r="S724" i="1"/>
  <c r="S740" i="1"/>
  <c r="S756" i="1"/>
  <c r="S772" i="1"/>
  <c r="S788" i="1"/>
  <c r="S804" i="1"/>
  <c r="S820" i="1"/>
  <c r="S836" i="1"/>
  <c r="S852" i="1"/>
  <c r="S868" i="1"/>
  <c r="S884" i="1"/>
  <c r="S900" i="1"/>
  <c r="S916" i="1"/>
  <c r="S932" i="1"/>
  <c r="S948" i="1"/>
  <c r="S964" i="1"/>
  <c r="S980" i="1"/>
  <c r="S996" i="1"/>
  <c r="S1012" i="1"/>
  <c r="S1028" i="1"/>
  <c r="S1044" i="1"/>
  <c r="S1060" i="1"/>
  <c r="S1076" i="1"/>
  <c r="S1092" i="1"/>
  <c r="S1108" i="1"/>
  <c r="S1124" i="1"/>
  <c r="S1140" i="1"/>
  <c r="S1156" i="1"/>
  <c r="S1172" i="1"/>
  <c r="S1188" i="1"/>
  <c r="S1204" i="1"/>
  <c r="S1220" i="1"/>
  <c r="S1236" i="1"/>
  <c r="S1252" i="1"/>
  <c r="S1268" i="1"/>
  <c r="S1284" i="1"/>
  <c r="S1300" i="1"/>
  <c r="S1316" i="1"/>
  <c r="S1332" i="1"/>
  <c r="S1348" i="1"/>
  <c r="S1364" i="1"/>
  <c r="S1380" i="1"/>
  <c r="S1396" i="1"/>
  <c r="S1412" i="1"/>
  <c r="S1428" i="1"/>
  <c r="S1444" i="1"/>
  <c r="S1460" i="1"/>
  <c r="S1476" i="1"/>
  <c r="S1492" i="1"/>
  <c r="S1508" i="1"/>
  <c r="S1524" i="1"/>
  <c r="S1540" i="1"/>
  <c r="S1556" i="1"/>
  <c r="S1572" i="1"/>
  <c r="S1588" i="1"/>
  <c r="S1604" i="1"/>
  <c r="S1620" i="1"/>
  <c r="S1636" i="1"/>
  <c r="S1652" i="1"/>
  <c r="S1668" i="1"/>
  <c r="S1684" i="1"/>
  <c r="S1700" i="1"/>
  <c r="S1716" i="1"/>
  <c r="S17" i="1"/>
  <c r="S33" i="1"/>
  <c r="S49" i="1"/>
  <c r="S65" i="1"/>
  <c r="S81" i="1"/>
  <c r="S97" i="1"/>
  <c r="S113" i="1"/>
  <c r="S129" i="1"/>
  <c r="S145" i="1"/>
  <c r="S161" i="1"/>
  <c r="S177" i="1"/>
  <c r="S193" i="1"/>
  <c r="S209" i="1"/>
  <c r="S225" i="1"/>
  <c r="S241" i="1"/>
  <c r="S257" i="1"/>
  <c r="S273" i="1"/>
  <c r="S289" i="1"/>
  <c r="S305" i="1"/>
  <c r="S321" i="1"/>
  <c r="S337" i="1"/>
  <c r="S353" i="1"/>
  <c r="S369" i="1"/>
  <c r="S385" i="1"/>
  <c r="S401" i="1"/>
  <c r="S417" i="1"/>
  <c r="S433" i="1"/>
  <c r="S449" i="1"/>
  <c r="S465" i="1"/>
  <c r="S481" i="1"/>
  <c r="S497" i="1"/>
  <c r="S513" i="1"/>
  <c r="S529" i="1"/>
  <c r="S545" i="1"/>
  <c r="S561" i="1"/>
  <c r="S577" i="1"/>
  <c r="S593" i="1"/>
  <c r="S609" i="1"/>
  <c r="S625" i="1"/>
  <c r="S641" i="1"/>
  <c r="S657" i="1"/>
  <c r="S673" i="1"/>
  <c r="S689" i="1"/>
  <c r="S705" i="1"/>
  <c r="S721" i="1"/>
  <c r="S737" i="1"/>
  <c r="S753" i="1"/>
  <c r="S769" i="1"/>
  <c r="S785" i="1"/>
  <c r="S801" i="1"/>
  <c r="S817" i="1"/>
  <c r="S833" i="1"/>
  <c r="S849" i="1"/>
  <c r="S865" i="1"/>
  <c r="S881" i="1"/>
  <c r="S897" i="1"/>
  <c r="S913" i="1"/>
  <c r="S929" i="1"/>
  <c r="S945" i="1"/>
  <c r="S961" i="1"/>
  <c r="S977" i="1"/>
  <c r="S993" i="1"/>
  <c r="S1009" i="1"/>
  <c r="S1025" i="1"/>
  <c r="S1041" i="1"/>
  <c r="S1057" i="1"/>
  <c r="S1073" i="1"/>
  <c r="S1089" i="1"/>
  <c r="S1105" i="1"/>
  <c r="S1121" i="1"/>
  <c r="S1137" i="1"/>
  <c r="S1153" i="1"/>
  <c r="S1169" i="1"/>
  <c r="S1185" i="1"/>
  <c r="S1201" i="1"/>
  <c r="S1217" i="1"/>
  <c r="S1233" i="1"/>
  <c r="S1249" i="1"/>
  <c r="S1265" i="1"/>
  <c r="S1281" i="1"/>
  <c r="S1297" i="1"/>
  <c r="S1313" i="1"/>
  <c r="S1329" i="1"/>
  <c r="S1345" i="1"/>
  <c r="S1361" i="1"/>
  <c r="S1377" i="1"/>
  <c r="S1393" i="1"/>
  <c r="S1409" i="1"/>
  <c r="S1425" i="1"/>
  <c r="S1441" i="1"/>
  <c r="S1457" i="1"/>
  <c r="S1473" i="1"/>
  <c r="S1489" i="1"/>
  <c r="S1505" i="1"/>
  <c r="S1521" i="1"/>
  <c r="S1537" i="1"/>
  <c r="S1553" i="1"/>
  <c r="S1569" i="1"/>
  <c r="S1585" i="1"/>
  <c r="S1601" i="1"/>
  <c r="S1617" i="1"/>
  <c r="S1633" i="1"/>
  <c r="S1649" i="1"/>
  <c r="S1665" i="1"/>
  <c r="S1681" i="1"/>
  <c r="S1697" i="1"/>
  <c r="S1713" i="1"/>
  <c r="S1729" i="1"/>
  <c r="BJ1491" i="1"/>
  <c r="BJ1523" i="1"/>
  <c r="BJ1603" i="1"/>
  <c r="BJ1651" i="1"/>
  <c r="Y4" i="1"/>
  <c r="Y20" i="1"/>
  <c r="Y36" i="1"/>
  <c r="Y52" i="1"/>
  <c r="Y68" i="1"/>
  <c r="Y84" i="1"/>
  <c r="Y100" i="1"/>
  <c r="Y116" i="1"/>
  <c r="Y132" i="1"/>
  <c r="Y148" i="1"/>
  <c r="Y164" i="1"/>
  <c r="Y180" i="1"/>
  <c r="Y196" i="1"/>
  <c r="Y212" i="1"/>
  <c r="Y228" i="1"/>
  <c r="Y244" i="1"/>
  <c r="Y260" i="1"/>
  <c r="Y276" i="1"/>
  <c r="Y292" i="1"/>
  <c r="Y308" i="1"/>
  <c r="Y324" i="1"/>
  <c r="Y340" i="1"/>
  <c r="Y356" i="1"/>
  <c r="Y372" i="1"/>
  <c r="Y388" i="1"/>
  <c r="Y404" i="1"/>
  <c r="Y420" i="1"/>
  <c r="Y436" i="1"/>
  <c r="Y452" i="1"/>
  <c r="Y468" i="1"/>
  <c r="Y484" i="1"/>
  <c r="Y500" i="1"/>
  <c r="Y516" i="1"/>
  <c r="Y532" i="1"/>
  <c r="Y548" i="1"/>
  <c r="Y564" i="1"/>
  <c r="Y580" i="1"/>
  <c r="Y596" i="1"/>
  <c r="Y612" i="1"/>
  <c r="Y628" i="1"/>
  <c r="Y644" i="1"/>
  <c r="Y660" i="1"/>
  <c r="Y676" i="1"/>
  <c r="Y692" i="1"/>
  <c r="Y708" i="1"/>
  <c r="Y724" i="1"/>
  <c r="Y740" i="1"/>
  <c r="Y756" i="1"/>
  <c r="Y772" i="1"/>
  <c r="Y788" i="1"/>
  <c r="Y804" i="1"/>
  <c r="Y820" i="1"/>
  <c r="Y836" i="1"/>
  <c r="Y852" i="1"/>
  <c r="Y868" i="1"/>
  <c r="Y884" i="1"/>
  <c r="Y900" i="1"/>
  <c r="Y916" i="1"/>
  <c r="Y932" i="1"/>
  <c r="Y948" i="1"/>
  <c r="Y964" i="1"/>
  <c r="Y980" i="1"/>
  <c r="Y996" i="1"/>
  <c r="Y1012" i="1"/>
  <c r="Y1028" i="1"/>
  <c r="Y1044" i="1"/>
  <c r="Y1060" i="1"/>
  <c r="Y1076" i="1"/>
  <c r="Y1092" i="1"/>
  <c r="Y1108" i="1"/>
  <c r="Y1124" i="1"/>
  <c r="Y1140" i="1"/>
  <c r="Y1156" i="1"/>
  <c r="Y1172" i="1"/>
  <c r="Y1188" i="1"/>
  <c r="Y1204" i="1"/>
  <c r="Y1220" i="1"/>
  <c r="Y1236" i="1"/>
  <c r="Y1252" i="1"/>
  <c r="Y1268" i="1"/>
  <c r="Y1284" i="1"/>
  <c r="Y1300" i="1"/>
  <c r="Y1316" i="1"/>
  <c r="Y1332" i="1"/>
  <c r="Y1348" i="1"/>
  <c r="Y1364" i="1"/>
  <c r="Y1380" i="1"/>
  <c r="Y1396" i="1"/>
  <c r="Y1412" i="1"/>
  <c r="Y1428" i="1"/>
  <c r="Y1444" i="1"/>
  <c r="Y1460" i="1"/>
  <c r="Y1476" i="1"/>
  <c r="Y1492" i="1"/>
  <c r="Y1508" i="1"/>
  <c r="Y1524" i="1"/>
  <c r="Y1540" i="1"/>
  <c r="Y1556" i="1"/>
  <c r="Y1572" i="1"/>
  <c r="Y1588" i="1"/>
  <c r="Y1604" i="1"/>
  <c r="Y1620" i="1"/>
  <c r="Y1636" i="1"/>
  <c r="Y1652" i="1"/>
  <c r="Y1668" i="1"/>
  <c r="Y1684" i="1"/>
  <c r="Y1700" i="1"/>
  <c r="Y1716" i="1"/>
  <c r="Y17" i="1"/>
  <c r="AU17" i="1" s="1"/>
  <c r="Y33" i="1"/>
  <c r="AU33" i="1" s="1"/>
  <c r="Y49" i="1"/>
  <c r="AU49" i="1" s="1"/>
  <c r="Y65" i="1"/>
  <c r="AU65" i="1" s="1"/>
  <c r="Y81" i="1"/>
  <c r="AU81" i="1" s="1"/>
  <c r="Y97" i="1"/>
  <c r="AU97" i="1" s="1"/>
  <c r="Y113" i="1"/>
  <c r="AU113" i="1" s="1"/>
  <c r="Y129" i="1"/>
  <c r="AU129" i="1" s="1"/>
  <c r="Y145" i="1"/>
  <c r="AU145" i="1" s="1"/>
  <c r="Y161" i="1"/>
  <c r="AU161" i="1" s="1"/>
  <c r="Y177" i="1"/>
  <c r="AU177" i="1" s="1"/>
  <c r="Y193" i="1"/>
  <c r="AU193" i="1" s="1"/>
  <c r="Y209" i="1"/>
  <c r="AU209" i="1" s="1"/>
  <c r="Y225" i="1"/>
  <c r="AU225" i="1" s="1"/>
  <c r="Y241" i="1"/>
  <c r="AU241" i="1" s="1"/>
  <c r="Y257" i="1"/>
  <c r="AU257" i="1" s="1"/>
  <c r="Y273" i="1"/>
  <c r="AU273" i="1" s="1"/>
  <c r="Y289" i="1"/>
  <c r="AU289" i="1" s="1"/>
  <c r="Y305" i="1"/>
  <c r="AU305" i="1" s="1"/>
  <c r="Y321" i="1"/>
  <c r="AU321" i="1" s="1"/>
  <c r="Y337" i="1"/>
  <c r="AU337" i="1" s="1"/>
  <c r="Y353" i="1"/>
  <c r="AU353" i="1" s="1"/>
  <c r="Y369" i="1"/>
  <c r="AU369" i="1" s="1"/>
  <c r="Y385" i="1"/>
  <c r="AU385" i="1" s="1"/>
  <c r="Y401" i="1"/>
  <c r="AU401" i="1" s="1"/>
  <c r="Y417" i="1"/>
  <c r="AU417" i="1" s="1"/>
  <c r="Y433" i="1"/>
  <c r="AU433" i="1" s="1"/>
  <c r="Y449" i="1"/>
  <c r="AU449" i="1" s="1"/>
  <c r="Y465" i="1"/>
  <c r="AU465" i="1" s="1"/>
  <c r="Y481" i="1"/>
  <c r="AU481" i="1" s="1"/>
  <c r="Y497" i="1"/>
  <c r="AU497" i="1" s="1"/>
  <c r="Y513" i="1"/>
  <c r="AU513" i="1" s="1"/>
  <c r="Y529" i="1"/>
  <c r="AU529" i="1" s="1"/>
  <c r="Y545" i="1"/>
  <c r="AU545" i="1" s="1"/>
  <c r="Y561" i="1"/>
  <c r="AU561" i="1" s="1"/>
  <c r="Y577" i="1"/>
  <c r="AU577" i="1" s="1"/>
  <c r="Y593" i="1"/>
  <c r="AU593" i="1" s="1"/>
  <c r="Y609" i="1"/>
  <c r="AU609" i="1" s="1"/>
  <c r="Y625" i="1"/>
  <c r="AU625" i="1" s="1"/>
  <c r="Y641" i="1"/>
  <c r="AU641" i="1" s="1"/>
  <c r="Y657" i="1"/>
  <c r="AU657" i="1" s="1"/>
  <c r="Y673" i="1"/>
  <c r="AU673" i="1" s="1"/>
  <c r="Y689" i="1"/>
  <c r="AU689" i="1" s="1"/>
  <c r="Y705" i="1"/>
  <c r="AU705" i="1" s="1"/>
  <c r="Y721" i="1"/>
  <c r="AU721" i="1" s="1"/>
  <c r="Y737" i="1"/>
  <c r="AU737" i="1" s="1"/>
  <c r="Y753" i="1"/>
  <c r="AU753" i="1" s="1"/>
  <c r="Y769" i="1"/>
  <c r="AU769" i="1" s="1"/>
  <c r="Y785" i="1"/>
  <c r="AU785" i="1" s="1"/>
  <c r="Y801" i="1"/>
  <c r="AU801" i="1" s="1"/>
  <c r="Y817" i="1"/>
  <c r="AU817" i="1" s="1"/>
  <c r="Y833" i="1"/>
  <c r="AU833" i="1" s="1"/>
  <c r="Y849" i="1"/>
  <c r="AU849" i="1" s="1"/>
  <c r="Y865" i="1"/>
  <c r="AU865" i="1" s="1"/>
  <c r="Y881" i="1"/>
  <c r="AU881" i="1" s="1"/>
  <c r="Y897" i="1"/>
  <c r="AU897" i="1" s="1"/>
  <c r="Y913" i="1"/>
  <c r="AU913" i="1" s="1"/>
  <c r="Y929" i="1"/>
  <c r="AU929" i="1" s="1"/>
  <c r="Y945" i="1"/>
  <c r="AU945" i="1" s="1"/>
  <c r="Y961" i="1"/>
  <c r="AU961" i="1" s="1"/>
  <c r="Y977" i="1"/>
  <c r="AU977" i="1" s="1"/>
  <c r="Y993" i="1"/>
  <c r="AU993" i="1" s="1"/>
  <c r="Y1009" i="1"/>
  <c r="AU1009" i="1" s="1"/>
  <c r="Y1025" i="1"/>
  <c r="AU1025" i="1" s="1"/>
  <c r="Y1041" i="1"/>
  <c r="AU1041" i="1" s="1"/>
  <c r="Y1057" i="1"/>
  <c r="AU1057" i="1" s="1"/>
  <c r="Y1073" i="1"/>
  <c r="AU1073" i="1" s="1"/>
  <c r="Y1089" i="1"/>
  <c r="AU1089" i="1" s="1"/>
  <c r="Y1105" i="1"/>
  <c r="AU1105" i="1" s="1"/>
  <c r="Y1121" i="1"/>
  <c r="AU1121" i="1" s="1"/>
  <c r="Y1137" i="1"/>
  <c r="AU1137" i="1" s="1"/>
  <c r="Y1153" i="1"/>
  <c r="AU1153" i="1" s="1"/>
  <c r="Y1169" i="1"/>
  <c r="AU1169" i="1" s="1"/>
  <c r="Y1185" i="1"/>
  <c r="AU1185" i="1" s="1"/>
  <c r="Y1201" i="1"/>
  <c r="AU1201" i="1" s="1"/>
  <c r="Y1217" i="1"/>
  <c r="AU1217" i="1" s="1"/>
  <c r="Y1233" i="1"/>
  <c r="AU1233" i="1" s="1"/>
  <c r="Y1249" i="1"/>
  <c r="AU1249" i="1" s="1"/>
  <c r="Y1265" i="1"/>
  <c r="AU1265" i="1" s="1"/>
  <c r="Y1281" i="1"/>
  <c r="AU1281" i="1" s="1"/>
  <c r="Y1297" i="1"/>
  <c r="AU1297" i="1" s="1"/>
  <c r="Y1313" i="1"/>
  <c r="AU1313" i="1" s="1"/>
  <c r="Y1329" i="1"/>
  <c r="AU1329" i="1" s="1"/>
  <c r="Y1345" i="1"/>
  <c r="AU1345" i="1" s="1"/>
  <c r="Y1361" i="1"/>
  <c r="AU1361" i="1" s="1"/>
  <c r="Y1377" i="1"/>
  <c r="AU1377" i="1" s="1"/>
  <c r="Y1393" i="1"/>
  <c r="AU1393" i="1" s="1"/>
  <c r="Y1409" i="1"/>
  <c r="AU1409" i="1" s="1"/>
  <c r="Y1425" i="1"/>
  <c r="AU1425" i="1" s="1"/>
  <c r="Y1441" i="1"/>
  <c r="AU1441" i="1" s="1"/>
  <c r="Y1457" i="1"/>
  <c r="AU1457" i="1" s="1"/>
  <c r="Y1473" i="1"/>
  <c r="AU1473" i="1" s="1"/>
  <c r="Y1489" i="1"/>
  <c r="AU1489" i="1" s="1"/>
  <c r="Y1505" i="1"/>
  <c r="AU1505" i="1" s="1"/>
  <c r="Y1521" i="1"/>
  <c r="AU1521" i="1" s="1"/>
  <c r="Y1537" i="1"/>
  <c r="AU1537" i="1" s="1"/>
  <c r="Y1553" i="1"/>
  <c r="AU1553" i="1" s="1"/>
  <c r="Y1569" i="1"/>
  <c r="AU1569" i="1" s="1"/>
  <c r="Y1585" i="1"/>
  <c r="AU1585" i="1" s="1"/>
  <c r="Y1601" i="1"/>
  <c r="AU1601" i="1" s="1"/>
  <c r="Y1617" i="1"/>
  <c r="AU1617" i="1" s="1"/>
  <c r="Y1633" i="1"/>
  <c r="AU1633" i="1" s="1"/>
  <c r="Y1649" i="1"/>
  <c r="AU1649" i="1" s="1"/>
  <c r="Y1665" i="1"/>
  <c r="AU1665" i="1" s="1"/>
  <c r="Y1681" i="1"/>
  <c r="AU1681" i="1" s="1"/>
  <c r="Y1697" i="1"/>
  <c r="AU1697" i="1" s="1"/>
  <c r="Y1713" i="1"/>
  <c r="AU1713" i="1" s="1"/>
  <c r="Y1729" i="1"/>
  <c r="AU1729" i="1" s="1"/>
  <c r="AV10" i="1"/>
  <c r="AV26" i="1"/>
  <c r="AV42" i="1"/>
  <c r="AV58" i="1"/>
  <c r="AV74" i="1"/>
  <c r="AV90" i="1"/>
  <c r="AV106" i="1"/>
  <c r="AV122" i="1"/>
  <c r="AV138" i="1"/>
  <c r="AV154" i="1"/>
  <c r="AV170" i="1"/>
  <c r="AV186" i="1"/>
  <c r="AV202" i="1"/>
  <c r="AV218" i="1"/>
  <c r="AV234" i="1"/>
  <c r="AV250" i="1"/>
  <c r="AV266" i="1"/>
  <c r="AV282" i="1"/>
  <c r="AV298" i="1"/>
  <c r="AV314" i="1"/>
  <c r="AV330" i="1"/>
  <c r="AV346" i="1"/>
  <c r="AV362" i="1"/>
  <c r="AV378" i="1"/>
  <c r="AV394" i="1"/>
  <c r="AV410" i="1"/>
  <c r="AV426" i="1"/>
  <c r="AV442" i="1"/>
  <c r="AV458" i="1"/>
  <c r="AV474" i="1"/>
  <c r="AV490" i="1"/>
  <c r="AV506" i="1"/>
  <c r="AV522" i="1"/>
  <c r="AV538" i="1"/>
  <c r="AV554" i="1"/>
  <c r="AV570" i="1"/>
  <c r="AV586" i="1"/>
  <c r="AV602" i="1"/>
  <c r="AV618" i="1"/>
  <c r="AV634" i="1"/>
  <c r="AV650" i="1"/>
  <c r="AV666" i="1"/>
  <c r="AV682" i="1"/>
  <c r="AV698" i="1"/>
  <c r="AV714" i="1"/>
  <c r="AV730" i="1"/>
  <c r="AV746" i="1"/>
  <c r="AV762" i="1"/>
  <c r="AV778" i="1"/>
  <c r="AV794" i="1"/>
  <c r="AV810" i="1"/>
  <c r="AV826" i="1"/>
  <c r="AV842" i="1"/>
  <c r="AV858" i="1"/>
  <c r="AV874" i="1"/>
  <c r="AV890" i="1"/>
  <c r="AV906" i="1"/>
  <c r="AV922" i="1"/>
  <c r="AV938" i="1"/>
  <c r="AV954" i="1"/>
  <c r="AV970" i="1"/>
  <c r="AV986" i="1"/>
  <c r="AV1002" i="1"/>
  <c r="AV1018" i="1"/>
  <c r="AV1034" i="1"/>
  <c r="AV1050" i="1"/>
  <c r="AV1066" i="1"/>
  <c r="AV1082" i="1"/>
  <c r="AV1098" i="1"/>
  <c r="AV1114" i="1"/>
  <c r="AV1130" i="1"/>
  <c r="AV1146" i="1"/>
  <c r="AV1162" i="1"/>
  <c r="AV1178" i="1"/>
  <c r="AV1194" i="1"/>
  <c r="AV1210" i="1"/>
  <c r="AV1226" i="1"/>
  <c r="AV1242" i="1"/>
  <c r="AV1258" i="1"/>
  <c r="AV1274" i="1"/>
  <c r="AV1290" i="1"/>
  <c r="AV1306" i="1"/>
  <c r="AV1322" i="1"/>
  <c r="AV1338" i="1"/>
  <c r="AV1354" i="1"/>
  <c r="AV1370" i="1"/>
  <c r="AV1386" i="1"/>
  <c r="AV1402" i="1"/>
  <c r="AV1418" i="1"/>
  <c r="AV1434" i="1"/>
  <c r="AV1450" i="1"/>
  <c r="AV1466" i="1"/>
  <c r="AV1482" i="1"/>
  <c r="AV1498" i="1"/>
  <c r="AV1514" i="1"/>
  <c r="AV1530" i="1"/>
  <c r="AV1546" i="1"/>
  <c r="AV1562" i="1"/>
  <c r="AV1578" i="1"/>
  <c r="AV1594" i="1"/>
  <c r="AV1610" i="1"/>
  <c r="AV1626" i="1"/>
  <c r="AV1642" i="1"/>
  <c r="AV1658" i="1"/>
  <c r="AV1674" i="1"/>
  <c r="AV1690" i="1"/>
  <c r="AV1706" i="1"/>
  <c r="AV1722" i="1"/>
  <c r="Y18" i="1"/>
  <c r="AU18" i="1" s="1"/>
  <c r="Y34" i="1"/>
  <c r="AU34" i="1" s="1"/>
  <c r="Y50" i="1"/>
  <c r="AU50" i="1" s="1"/>
  <c r="Y66" i="1"/>
  <c r="AU66" i="1" s="1"/>
  <c r="Y82" i="1"/>
  <c r="AU82" i="1" s="1"/>
  <c r="Y98" i="1"/>
  <c r="AU98" i="1" s="1"/>
  <c r="Y114" i="1"/>
  <c r="AU114" i="1" s="1"/>
  <c r="Y130" i="1"/>
  <c r="AU130" i="1" s="1"/>
  <c r="Y146" i="1"/>
  <c r="AU146" i="1" s="1"/>
  <c r="Y162" i="1"/>
  <c r="AU162" i="1" s="1"/>
  <c r="Y178" i="1"/>
  <c r="AU178" i="1" s="1"/>
  <c r="Y194" i="1"/>
  <c r="AU194" i="1" s="1"/>
  <c r="Y210" i="1"/>
  <c r="AU210" i="1" s="1"/>
  <c r="Y226" i="1"/>
  <c r="AU226" i="1" s="1"/>
  <c r="Y242" i="1"/>
  <c r="AU242" i="1" s="1"/>
  <c r="Y258" i="1"/>
  <c r="AU258" i="1" s="1"/>
  <c r="Y274" i="1"/>
  <c r="AU274" i="1" s="1"/>
  <c r="Y290" i="1"/>
  <c r="AU290" i="1" s="1"/>
  <c r="Y306" i="1"/>
  <c r="AU306" i="1" s="1"/>
  <c r="Y322" i="1"/>
  <c r="AU322" i="1" s="1"/>
  <c r="Y338" i="1"/>
  <c r="AU338" i="1" s="1"/>
  <c r="Y354" i="1"/>
  <c r="AU354" i="1" s="1"/>
  <c r="Y370" i="1"/>
  <c r="AU370" i="1" s="1"/>
  <c r="Y386" i="1"/>
  <c r="AU386" i="1" s="1"/>
  <c r="Y402" i="1"/>
  <c r="AU402" i="1" s="1"/>
  <c r="Y418" i="1"/>
  <c r="AU418" i="1" s="1"/>
  <c r="Y434" i="1"/>
  <c r="AU434" i="1" s="1"/>
  <c r="Y450" i="1"/>
  <c r="AU450" i="1" s="1"/>
  <c r="Y466" i="1"/>
  <c r="AU466" i="1" s="1"/>
  <c r="Y482" i="1"/>
  <c r="AU482" i="1" s="1"/>
  <c r="Y498" i="1"/>
  <c r="AU498" i="1" s="1"/>
  <c r="Y514" i="1"/>
  <c r="AU514" i="1" s="1"/>
  <c r="Y530" i="1"/>
  <c r="AU530" i="1" s="1"/>
  <c r="Y546" i="1"/>
  <c r="AU546" i="1" s="1"/>
  <c r="Y562" i="1"/>
  <c r="AU562" i="1" s="1"/>
  <c r="Y578" i="1"/>
  <c r="AU578" i="1" s="1"/>
  <c r="Y594" i="1"/>
  <c r="AU594" i="1" s="1"/>
  <c r="Y610" i="1"/>
  <c r="AU610" i="1" s="1"/>
  <c r="Y626" i="1"/>
  <c r="AU626" i="1" s="1"/>
  <c r="Y642" i="1"/>
  <c r="AU642" i="1" s="1"/>
  <c r="Y658" i="1"/>
  <c r="AU658" i="1" s="1"/>
  <c r="Y674" i="1"/>
  <c r="AU674" i="1" s="1"/>
  <c r="Y690" i="1"/>
  <c r="AU690" i="1" s="1"/>
  <c r="Y706" i="1"/>
  <c r="AU706" i="1" s="1"/>
  <c r="Y722" i="1"/>
  <c r="AU722" i="1" s="1"/>
  <c r="Y738" i="1"/>
  <c r="AU738" i="1" s="1"/>
  <c r="Y754" i="1"/>
  <c r="AU754" i="1" s="1"/>
  <c r="Y770" i="1"/>
  <c r="AU770" i="1" s="1"/>
  <c r="Y786" i="1"/>
  <c r="AU786" i="1" s="1"/>
  <c r="Y802" i="1"/>
  <c r="AU802" i="1" s="1"/>
  <c r="Y818" i="1"/>
  <c r="AU818" i="1" s="1"/>
  <c r="Y834" i="1"/>
  <c r="AU834" i="1" s="1"/>
  <c r="Y850" i="1"/>
  <c r="AU850" i="1" s="1"/>
  <c r="Y866" i="1"/>
  <c r="AU866" i="1" s="1"/>
  <c r="Y882" i="1"/>
  <c r="AU882" i="1" s="1"/>
  <c r="Y898" i="1"/>
  <c r="AU898" i="1" s="1"/>
  <c r="Y914" i="1"/>
  <c r="AU914" i="1" s="1"/>
  <c r="Y930" i="1"/>
  <c r="AU930" i="1" s="1"/>
  <c r="Y946" i="1"/>
  <c r="AU946" i="1" s="1"/>
  <c r="Y962" i="1"/>
  <c r="AU962" i="1" s="1"/>
  <c r="Y978" i="1"/>
  <c r="AU978" i="1" s="1"/>
  <c r="Y994" i="1"/>
  <c r="AU994" i="1" s="1"/>
  <c r="Y1010" i="1"/>
  <c r="AU1010" i="1" s="1"/>
  <c r="Y1026" i="1"/>
  <c r="AU1026" i="1" s="1"/>
  <c r="Y1042" i="1"/>
  <c r="AU1042" i="1" s="1"/>
  <c r="Y1058" i="1"/>
  <c r="AU1058" i="1" s="1"/>
  <c r="Y1074" i="1"/>
  <c r="AU1074" i="1" s="1"/>
  <c r="Y1090" i="1"/>
  <c r="AU1090" i="1" s="1"/>
  <c r="Y1106" i="1"/>
  <c r="AU1106" i="1" s="1"/>
  <c r="Y1122" i="1"/>
  <c r="AU1122" i="1" s="1"/>
  <c r="Y1138" i="1"/>
  <c r="AU1138" i="1" s="1"/>
  <c r="Y1154" i="1"/>
  <c r="AU1154" i="1" s="1"/>
  <c r="Y1170" i="1"/>
  <c r="AU1170" i="1" s="1"/>
  <c r="Y1186" i="1"/>
  <c r="AU1186" i="1" s="1"/>
  <c r="Y1202" i="1"/>
  <c r="AU1202" i="1" s="1"/>
  <c r="Y1218" i="1"/>
  <c r="AU1218" i="1" s="1"/>
  <c r="Y1234" i="1"/>
  <c r="AU1234" i="1" s="1"/>
  <c r="Y1250" i="1"/>
  <c r="AU1250" i="1" s="1"/>
  <c r="Y1266" i="1"/>
  <c r="AU1266" i="1" s="1"/>
  <c r="Y1282" i="1"/>
  <c r="AU1282" i="1" s="1"/>
  <c r="Y1298" i="1"/>
  <c r="AU1298" i="1" s="1"/>
  <c r="Y1314" i="1"/>
  <c r="AU1314" i="1" s="1"/>
  <c r="Y1330" i="1"/>
  <c r="AU1330" i="1" s="1"/>
  <c r="Y1346" i="1"/>
  <c r="AU1346" i="1" s="1"/>
  <c r="Y1362" i="1"/>
  <c r="AU1362" i="1" s="1"/>
  <c r="Y1378" i="1"/>
  <c r="AU1378" i="1" s="1"/>
  <c r="Y1394" i="1"/>
  <c r="AU1394" i="1" s="1"/>
  <c r="Y1410" i="1"/>
  <c r="AU1410" i="1" s="1"/>
  <c r="Y1426" i="1"/>
  <c r="AU1426" i="1" s="1"/>
  <c r="Y1442" i="1"/>
  <c r="AU1442" i="1" s="1"/>
  <c r="Y1458" i="1"/>
  <c r="AU1458" i="1" s="1"/>
  <c r="Y1474" i="1"/>
  <c r="AU1474" i="1" s="1"/>
  <c r="Y1490" i="1"/>
  <c r="AU1490" i="1" s="1"/>
  <c r="Y1506" i="1"/>
  <c r="AU1506" i="1" s="1"/>
  <c r="Y1522" i="1"/>
  <c r="AU1522" i="1" s="1"/>
  <c r="Y1538" i="1"/>
  <c r="AU1538" i="1" s="1"/>
  <c r="Y1554" i="1"/>
  <c r="AU1554" i="1" s="1"/>
  <c r="Y1570" i="1"/>
  <c r="AU1570" i="1" s="1"/>
  <c r="Y1586" i="1"/>
  <c r="AU1586" i="1" s="1"/>
  <c r="Y1602" i="1"/>
  <c r="AU1602" i="1" s="1"/>
  <c r="Y1618" i="1"/>
  <c r="AU1618" i="1" s="1"/>
  <c r="Y1634" i="1"/>
  <c r="AU1634" i="1" s="1"/>
  <c r="Y1650" i="1"/>
  <c r="AU1650" i="1" s="1"/>
  <c r="Y1666" i="1"/>
  <c r="AU1666" i="1" s="1"/>
  <c r="Y1682" i="1"/>
  <c r="AU1682" i="1" s="1"/>
  <c r="Y1698" i="1"/>
  <c r="AU1698" i="1" s="1"/>
  <c r="Y1714" i="1"/>
  <c r="AU1714" i="1" s="1"/>
  <c r="Y1730" i="1"/>
  <c r="AU1730" i="1" s="1"/>
  <c r="V18" i="1"/>
  <c r="W18" i="1" s="1"/>
  <c r="V34" i="1"/>
  <c r="W34" i="1" s="1"/>
  <c r="V50" i="1"/>
  <c r="W50" i="1" s="1"/>
  <c r="V66" i="1"/>
  <c r="W66" i="1" s="1"/>
  <c r="V82" i="1"/>
  <c r="W82" i="1" s="1"/>
  <c r="V98" i="1"/>
  <c r="W98" i="1" s="1"/>
  <c r="V114" i="1"/>
  <c r="W114" i="1" s="1"/>
  <c r="V130" i="1"/>
  <c r="W130" i="1" s="1"/>
  <c r="V146" i="1"/>
  <c r="W146" i="1" s="1"/>
  <c r="V162" i="1"/>
  <c r="W162" i="1" s="1"/>
  <c r="V178" i="1"/>
  <c r="W178" i="1" s="1"/>
  <c r="V194" i="1"/>
  <c r="W194" i="1" s="1"/>
  <c r="V210" i="1"/>
  <c r="W210" i="1" s="1"/>
  <c r="V226" i="1"/>
  <c r="W226" i="1" s="1"/>
  <c r="V242" i="1"/>
  <c r="W242" i="1" s="1"/>
  <c r="V258" i="1"/>
  <c r="W258" i="1" s="1"/>
  <c r="V274" i="1"/>
  <c r="W274" i="1" s="1"/>
  <c r="V290" i="1"/>
  <c r="W290" i="1" s="1"/>
  <c r="V306" i="1"/>
  <c r="W306" i="1" s="1"/>
  <c r="V322" i="1"/>
  <c r="W322" i="1" s="1"/>
  <c r="V338" i="1"/>
  <c r="W338" i="1" s="1"/>
  <c r="V354" i="1"/>
  <c r="W354" i="1" s="1"/>
  <c r="V370" i="1"/>
  <c r="W370" i="1" s="1"/>
  <c r="V386" i="1"/>
  <c r="W386" i="1" s="1"/>
  <c r="V402" i="1"/>
  <c r="W402" i="1" s="1"/>
  <c r="V418" i="1"/>
  <c r="W418" i="1" s="1"/>
  <c r="V434" i="1"/>
  <c r="W434" i="1" s="1"/>
  <c r="V450" i="1"/>
  <c r="W450" i="1" s="1"/>
  <c r="V466" i="1"/>
  <c r="W466" i="1" s="1"/>
  <c r="V482" i="1"/>
  <c r="W482" i="1" s="1"/>
  <c r="V498" i="1"/>
  <c r="W498" i="1" s="1"/>
  <c r="V514" i="1"/>
  <c r="W514" i="1" s="1"/>
  <c r="V530" i="1"/>
  <c r="W530" i="1" s="1"/>
  <c r="V546" i="1"/>
  <c r="W546" i="1" s="1"/>
  <c r="V562" i="1"/>
  <c r="W562" i="1" s="1"/>
  <c r="V578" i="1"/>
  <c r="W578" i="1" s="1"/>
  <c r="V594" i="1"/>
  <c r="W594" i="1" s="1"/>
  <c r="V610" i="1"/>
  <c r="W610" i="1" s="1"/>
  <c r="V626" i="1"/>
  <c r="W626" i="1" s="1"/>
  <c r="V642" i="1"/>
  <c r="W642" i="1" s="1"/>
  <c r="V658" i="1"/>
  <c r="W658" i="1" s="1"/>
  <c r="V674" i="1"/>
  <c r="W674" i="1" s="1"/>
  <c r="V690" i="1"/>
  <c r="W690" i="1" s="1"/>
  <c r="V706" i="1"/>
  <c r="W706" i="1" s="1"/>
  <c r="V722" i="1"/>
  <c r="W722" i="1" s="1"/>
  <c r="V738" i="1"/>
  <c r="W738" i="1" s="1"/>
  <c r="V754" i="1"/>
  <c r="W754" i="1" s="1"/>
  <c r="V770" i="1"/>
  <c r="W770" i="1" s="1"/>
  <c r="V786" i="1"/>
  <c r="W786" i="1" s="1"/>
  <c r="V802" i="1"/>
  <c r="W802" i="1" s="1"/>
  <c r="V818" i="1"/>
  <c r="W818" i="1" s="1"/>
  <c r="V834" i="1"/>
  <c r="W834" i="1" s="1"/>
  <c r="V850" i="1"/>
  <c r="W850" i="1" s="1"/>
  <c r="V866" i="1"/>
  <c r="W866" i="1" s="1"/>
  <c r="V882" i="1"/>
  <c r="W882" i="1" s="1"/>
  <c r="V898" i="1"/>
  <c r="W898" i="1" s="1"/>
  <c r="V914" i="1"/>
  <c r="W914" i="1" s="1"/>
  <c r="V930" i="1"/>
  <c r="W930" i="1" s="1"/>
  <c r="V946" i="1"/>
  <c r="W946" i="1" s="1"/>
  <c r="V962" i="1"/>
  <c r="W962" i="1" s="1"/>
  <c r="V978" i="1"/>
  <c r="W978" i="1" s="1"/>
  <c r="V994" i="1"/>
  <c r="W994" i="1" s="1"/>
  <c r="V1010" i="1"/>
  <c r="W1010" i="1" s="1"/>
  <c r="V1026" i="1"/>
  <c r="W1026" i="1" s="1"/>
  <c r="V1042" i="1"/>
  <c r="W1042" i="1" s="1"/>
  <c r="V1058" i="1"/>
  <c r="W1058" i="1" s="1"/>
  <c r="V1074" i="1"/>
  <c r="W1074" i="1" s="1"/>
  <c r="V1090" i="1"/>
  <c r="W1090" i="1" s="1"/>
  <c r="V1106" i="1"/>
  <c r="W1106" i="1" s="1"/>
  <c r="V1122" i="1"/>
  <c r="W1122" i="1" s="1"/>
  <c r="V1138" i="1"/>
  <c r="W1138" i="1" s="1"/>
  <c r="V1154" i="1"/>
  <c r="W1154" i="1" s="1"/>
  <c r="V1170" i="1"/>
  <c r="W1170" i="1" s="1"/>
  <c r="V1186" i="1"/>
  <c r="W1186" i="1" s="1"/>
  <c r="V1202" i="1"/>
  <c r="W1202" i="1" s="1"/>
  <c r="V1218" i="1"/>
  <c r="W1218" i="1" s="1"/>
  <c r="V1234" i="1"/>
  <c r="W1234" i="1" s="1"/>
  <c r="V1250" i="1"/>
  <c r="W1250" i="1" s="1"/>
  <c r="V1266" i="1"/>
  <c r="W1266" i="1" s="1"/>
  <c r="V1282" i="1"/>
  <c r="W1282" i="1" s="1"/>
  <c r="V1298" i="1"/>
  <c r="W1298" i="1" s="1"/>
  <c r="V1314" i="1"/>
  <c r="W1314" i="1" s="1"/>
  <c r="V1330" i="1"/>
  <c r="W1330" i="1" s="1"/>
  <c r="V1346" i="1"/>
  <c r="W1346" i="1" s="1"/>
  <c r="V1362" i="1"/>
  <c r="W1362" i="1" s="1"/>
  <c r="V1378" i="1"/>
  <c r="W1378" i="1" s="1"/>
  <c r="V1394" i="1"/>
  <c r="W1394" i="1" s="1"/>
  <c r="V1410" i="1"/>
  <c r="W1410" i="1" s="1"/>
  <c r="V1426" i="1"/>
  <c r="W1426" i="1" s="1"/>
  <c r="V1442" i="1"/>
  <c r="W1442" i="1" s="1"/>
  <c r="V1458" i="1"/>
  <c r="W1458" i="1" s="1"/>
  <c r="V1474" i="1"/>
  <c r="W1474" i="1" s="1"/>
  <c r="V1490" i="1"/>
  <c r="W1490" i="1" s="1"/>
  <c r="V1506" i="1"/>
  <c r="W1506" i="1" s="1"/>
  <c r="V1522" i="1"/>
  <c r="W1522" i="1" s="1"/>
  <c r="V1538" i="1"/>
  <c r="W1538" i="1" s="1"/>
  <c r="V1554" i="1"/>
  <c r="W1554" i="1" s="1"/>
  <c r="V1570" i="1"/>
  <c r="W1570" i="1" s="1"/>
  <c r="V1586" i="1"/>
  <c r="W1586" i="1" s="1"/>
  <c r="V1602" i="1"/>
  <c r="W1602" i="1" s="1"/>
  <c r="V1618" i="1"/>
  <c r="W1618" i="1" s="1"/>
  <c r="V1634" i="1"/>
  <c r="W1634" i="1" s="1"/>
  <c r="V1650" i="1"/>
  <c r="W1650" i="1" s="1"/>
  <c r="V1666" i="1"/>
  <c r="W1666" i="1" s="1"/>
  <c r="V1682" i="1"/>
  <c r="W1682" i="1" s="1"/>
  <c r="V1698" i="1"/>
  <c r="W1698" i="1" s="1"/>
  <c r="V1714" i="1"/>
  <c r="W1714" i="1" s="1"/>
  <c r="V1730" i="1"/>
  <c r="W1730" i="1" s="1"/>
  <c r="AV7" i="1"/>
  <c r="AV15" i="1"/>
  <c r="AV23" i="1"/>
  <c r="AV31" i="1"/>
  <c r="AV39" i="1"/>
  <c r="AV47" i="1"/>
  <c r="AV55" i="1"/>
  <c r="AV63" i="1"/>
  <c r="AV71" i="1"/>
  <c r="AV79" i="1"/>
  <c r="AV87" i="1"/>
  <c r="AV95" i="1"/>
  <c r="AV103" i="1"/>
  <c r="AV111" i="1"/>
  <c r="AV119" i="1"/>
  <c r="AV127" i="1"/>
  <c r="AV135" i="1"/>
  <c r="AV143" i="1"/>
  <c r="AV151" i="1"/>
  <c r="AV159" i="1"/>
  <c r="AV167" i="1"/>
  <c r="AV175" i="1"/>
  <c r="AV183" i="1"/>
  <c r="AV191" i="1"/>
  <c r="AV199" i="1"/>
  <c r="AV207" i="1"/>
  <c r="AV215" i="1"/>
  <c r="AV223" i="1"/>
  <c r="AV231" i="1"/>
  <c r="AV239" i="1"/>
  <c r="AV247" i="1"/>
  <c r="AV255" i="1"/>
  <c r="AV263" i="1"/>
  <c r="AV271" i="1"/>
  <c r="AV279" i="1"/>
  <c r="AV287" i="1"/>
  <c r="AV295" i="1"/>
  <c r="AV303" i="1"/>
  <c r="AV311" i="1"/>
  <c r="AV319" i="1"/>
  <c r="AV327" i="1"/>
  <c r="AV335" i="1"/>
  <c r="AV343" i="1"/>
  <c r="AV351" i="1"/>
  <c r="AV359" i="1"/>
  <c r="AV367" i="1"/>
  <c r="AV375" i="1"/>
  <c r="AV383" i="1"/>
  <c r="AV391" i="1"/>
  <c r="AV399" i="1"/>
  <c r="AV407" i="1"/>
  <c r="AV415" i="1"/>
  <c r="AV423" i="1"/>
  <c r="AV431" i="1"/>
  <c r="AV439" i="1"/>
  <c r="AV447" i="1"/>
  <c r="AV455" i="1"/>
  <c r="AV463" i="1"/>
  <c r="AV471" i="1"/>
  <c r="AV479" i="1"/>
  <c r="AV487" i="1"/>
  <c r="AV495" i="1"/>
  <c r="AV503" i="1"/>
  <c r="AV511" i="1"/>
  <c r="AV519" i="1"/>
  <c r="AV527" i="1"/>
  <c r="AV535" i="1"/>
  <c r="AV543" i="1"/>
  <c r="AV551" i="1"/>
  <c r="AV559" i="1"/>
  <c r="AV567" i="1"/>
  <c r="AV575" i="1"/>
  <c r="AV583" i="1"/>
  <c r="AV591" i="1"/>
  <c r="AV599" i="1"/>
  <c r="AV607" i="1"/>
  <c r="AV615" i="1"/>
  <c r="AV623" i="1"/>
  <c r="AV631" i="1"/>
  <c r="AV639" i="1"/>
  <c r="AV647" i="1"/>
  <c r="AV655" i="1"/>
  <c r="AV663" i="1"/>
  <c r="AV671" i="1"/>
  <c r="AV679" i="1"/>
  <c r="AV687" i="1"/>
  <c r="AV695" i="1"/>
  <c r="AV703" i="1"/>
  <c r="AV711" i="1"/>
  <c r="AV719" i="1"/>
  <c r="AV727" i="1"/>
  <c r="AV735" i="1"/>
  <c r="AV743" i="1"/>
  <c r="AV751" i="1"/>
  <c r="AV759" i="1"/>
  <c r="AV767" i="1"/>
  <c r="AV775" i="1"/>
  <c r="AV783" i="1"/>
  <c r="AV791" i="1"/>
  <c r="AV799" i="1"/>
  <c r="AV807" i="1"/>
  <c r="AV815" i="1"/>
  <c r="AV823" i="1"/>
  <c r="AV831" i="1"/>
  <c r="AV839" i="1"/>
  <c r="AV847" i="1"/>
  <c r="AV855" i="1"/>
  <c r="AV863" i="1"/>
  <c r="AV871" i="1"/>
  <c r="AV879" i="1"/>
  <c r="AV887" i="1"/>
  <c r="AV895" i="1"/>
  <c r="AV903" i="1"/>
  <c r="AV911" i="1"/>
  <c r="AV919" i="1"/>
  <c r="AV927" i="1"/>
  <c r="AV935" i="1"/>
  <c r="AV943" i="1"/>
  <c r="AV951" i="1"/>
  <c r="AV959" i="1"/>
  <c r="AV967" i="1"/>
  <c r="AV975" i="1"/>
  <c r="AV983" i="1"/>
  <c r="AV991" i="1"/>
  <c r="AV999" i="1"/>
  <c r="AV1007" i="1"/>
  <c r="AV1015" i="1"/>
  <c r="AV1023" i="1"/>
  <c r="AV1031" i="1"/>
  <c r="AV1039" i="1"/>
  <c r="AV1047" i="1"/>
  <c r="AV1055" i="1"/>
  <c r="AV1063" i="1"/>
  <c r="AV1071" i="1"/>
  <c r="AV1079" i="1"/>
  <c r="AV1087" i="1"/>
  <c r="AV1095" i="1"/>
  <c r="AV1103" i="1"/>
  <c r="AV1111" i="1"/>
  <c r="AV1119" i="1"/>
  <c r="AV1127" i="1"/>
  <c r="AV1135" i="1"/>
  <c r="AV1143" i="1"/>
  <c r="AV1151" i="1"/>
  <c r="AV1159" i="1"/>
  <c r="AV1167" i="1"/>
  <c r="AV1175" i="1"/>
  <c r="AV1183" i="1"/>
  <c r="AV1191" i="1"/>
  <c r="AV1199" i="1"/>
  <c r="AV1207" i="1"/>
  <c r="AV1215" i="1"/>
  <c r="AV1223" i="1"/>
  <c r="AV1231" i="1"/>
  <c r="AV1239" i="1"/>
  <c r="AV1247" i="1"/>
  <c r="AV1255" i="1"/>
  <c r="AV1263" i="1"/>
  <c r="AV1271" i="1"/>
  <c r="AV1279" i="1"/>
  <c r="AV1287" i="1"/>
  <c r="AV1295" i="1"/>
  <c r="AV1303" i="1"/>
  <c r="AV1311" i="1"/>
  <c r="AV1319" i="1"/>
  <c r="AV1327" i="1"/>
  <c r="AV1335" i="1"/>
  <c r="AV1343" i="1"/>
  <c r="AV1351" i="1"/>
  <c r="AV1359" i="1"/>
  <c r="AV1367" i="1"/>
  <c r="AV1375" i="1"/>
  <c r="AV1383" i="1"/>
  <c r="AV1391" i="1"/>
  <c r="AV1399" i="1"/>
  <c r="AV1407" i="1"/>
  <c r="AV1415" i="1"/>
  <c r="AV1423" i="1"/>
  <c r="AV1431" i="1"/>
  <c r="AV1439" i="1"/>
  <c r="AV1447" i="1"/>
  <c r="AV1455" i="1"/>
  <c r="AV1463" i="1"/>
  <c r="AV1471" i="1"/>
  <c r="AV1479" i="1"/>
  <c r="AV1487" i="1"/>
  <c r="AV1495" i="1"/>
  <c r="AV1503" i="1"/>
  <c r="AV1511" i="1"/>
  <c r="AV1519" i="1"/>
  <c r="AV1527" i="1"/>
  <c r="AV1535" i="1"/>
  <c r="AV1543" i="1"/>
  <c r="AV1551" i="1"/>
  <c r="AV1559" i="1"/>
  <c r="AV1567" i="1"/>
  <c r="AV1575" i="1"/>
  <c r="AV1583" i="1"/>
  <c r="AV1591" i="1"/>
  <c r="AV1599" i="1"/>
  <c r="AV1607" i="1"/>
  <c r="AV1615" i="1"/>
  <c r="AV1623" i="1"/>
  <c r="AV1631" i="1"/>
  <c r="AV1639" i="1"/>
  <c r="AV1647" i="1"/>
  <c r="AV1655" i="1"/>
  <c r="AV1663" i="1"/>
  <c r="AV1671" i="1"/>
  <c r="AV1679" i="1"/>
  <c r="AV1687" i="1"/>
  <c r="AV1695" i="1"/>
  <c r="AV1703" i="1"/>
  <c r="AV1711" i="1"/>
  <c r="AV1719" i="1"/>
  <c r="AV1727" i="1"/>
  <c r="C1" i="253"/>
  <c r="A1" i="253"/>
  <c r="B1" i="253"/>
  <c r="AV1669" i="1" l="1"/>
  <c r="AV1413" i="1"/>
  <c r="AV473" i="1"/>
  <c r="T1624" i="1"/>
  <c r="T1496" i="1"/>
  <c r="T1432" i="1"/>
  <c r="T1272" i="1"/>
  <c r="T1248" i="1"/>
  <c r="AV1704" i="1"/>
  <c r="AV1576" i="1"/>
  <c r="AV1728" i="1"/>
  <c r="AV1632" i="1"/>
  <c r="AV1536" i="1"/>
  <c r="AV1416" i="1"/>
  <c r="AV1256" i="1"/>
  <c r="AV1112" i="1"/>
  <c r="AV1637" i="1"/>
  <c r="AV1477" i="1"/>
  <c r="T1656" i="1"/>
  <c r="T1528" i="1"/>
  <c r="T1208" i="1"/>
  <c r="AV1672" i="1"/>
  <c r="AV1544" i="1"/>
  <c r="AV1448" i="1"/>
  <c r="AV1408" i="1"/>
  <c r="AV1176" i="1"/>
  <c r="AV1144" i="1"/>
  <c r="AV1024" i="1"/>
  <c r="AV1709" i="1"/>
  <c r="AV1525" i="1"/>
  <c r="AV1205" i="1"/>
  <c r="AV1640" i="1"/>
  <c r="AV1512" i="1"/>
  <c r="AV1664" i="1"/>
  <c r="AV1568" i="1"/>
  <c r="AV1472" i="1"/>
  <c r="AV1360" i="1"/>
  <c r="AV1320" i="1"/>
  <c r="AV1128" i="1"/>
  <c r="AV944" i="1"/>
  <c r="AV1125" i="1"/>
  <c r="AV1701" i="1"/>
  <c r="A4" i="183"/>
  <c r="D8" i="183"/>
  <c r="C7" i="183"/>
  <c r="B6" i="183"/>
  <c r="D6" i="183"/>
  <c r="C5" i="183"/>
  <c r="B8" i="183"/>
  <c r="B11" i="183"/>
  <c r="D11" i="183"/>
  <c r="C10" i="183"/>
  <c r="B9" i="183"/>
  <c r="D9" i="183"/>
  <c r="B7" i="183"/>
  <c r="D7" i="183"/>
  <c r="C6" i="183"/>
  <c r="B5" i="183"/>
  <c r="D5" i="183"/>
  <c r="C8" i="183"/>
  <c r="C11" i="183"/>
  <c r="B10" i="183"/>
  <c r="D10" i="183"/>
  <c r="C9" i="183"/>
  <c r="AV1446" i="1"/>
  <c r="AV1382" i="1"/>
  <c r="AV1318" i="1"/>
  <c r="AV1254" i="1"/>
  <c r="AV1190" i="1"/>
  <c r="AV1126" i="1"/>
  <c r="AV1062" i="1"/>
  <c r="AV998" i="1"/>
  <c r="AV934" i="1"/>
  <c r="AV870" i="1"/>
  <c r="AV806" i="1"/>
  <c r="AV742" i="1"/>
  <c r="AV678" i="1"/>
  <c r="AV614" i="1"/>
  <c r="AV550" i="1"/>
  <c r="AV486" i="1"/>
  <c r="AV422" i="1"/>
  <c r="AV358" i="1"/>
  <c r="AV294" i="1"/>
  <c r="AV230" i="1"/>
  <c r="AV166" i="1"/>
  <c r="AV102" i="1"/>
  <c r="AV38" i="1"/>
  <c r="AV1685" i="1"/>
  <c r="AV1656" i="1"/>
  <c r="AV1400" i="1"/>
  <c r="AV1336" i="1"/>
  <c r="AV1272" i="1"/>
  <c r="AV1208" i="1"/>
  <c r="AV1677" i="1"/>
  <c r="AV1333" i="1"/>
  <c r="AV1237" i="1"/>
  <c r="AV1721" i="1"/>
  <c r="AV1657" i="1"/>
  <c r="AV1593" i="1"/>
  <c r="AV1529" i="1"/>
  <c r="AV1465" i="1"/>
  <c r="AV1401" i="1"/>
  <c r="AV1337" i="1"/>
  <c r="AV1273" i="1"/>
  <c r="AV1209" i="1"/>
  <c r="AV1145" i="1"/>
  <c r="AV1081" i="1"/>
  <c r="AV1017" i="1"/>
  <c r="AV953" i="1"/>
  <c r="AV889" i="1"/>
  <c r="AV825" i="1"/>
  <c r="AV761" i="1"/>
  <c r="AV697" i="1"/>
  <c r="AV633" i="1"/>
  <c r="AV569" i="1"/>
  <c r="AV505" i="1"/>
  <c r="AV441" i="1"/>
  <c r="AV377" i="1"/>
  <c r="AV313" i="1"/>
  <c r="AV249" i="1"/>
  <c r="AV185" i="1"/>
  <c r="AV121" i="1"/>
  <c r="AV57" i="1"/>
  <c r="AV1048" i="1"/>
  <c r="AV984" i="1"/>
  <c r="AV920" i="1"/>
  <c r="AV856" i="1"/>
  <c r="AV792" i="1"/>
  <c r="AV728" i="1"/>
  <c r="AV664" i="1"/>
  <c r="AV600" i="1"/>
  <c r="AV536" i="1"/>
  <c r="AV472" i="1"/>
  <c r="AV408" i="1"/>
  <c r="AV344" i="1"/>
  <c r="AV280" i="1"/>
  <c r="AV216" i="1"/>
  <c r="AV152" i="1"/>
  <c r="AV88" i="1"/>
  <c r="AV24" i="1"/>
  <c r="AV1702" i="1"/>
  <c r="AV1638" i="1"/>
  <c r="AV1574" i="1"/>
  <c r="AV1510" i="1"/>
  <c r="T1424" i="1"/>
  <c r="T1392" i="1"/>
  <c r="T1328" i="1"/>
  <c r="T1264" i="1"/>
  <c r="T1200" i="1"/>
  <c r="AV1296" i="1"/>
  <c r="AV1541" i="1"/>
  <c r="AV1285" i="1"/>
  <c r="AV1029" i="1"/>
  <c r="AV1653" i="1"/>
  <c r="AV1461" i="1"/>
  <c r="AV1445" i="1"/>
  <c r="AV1189" i="1"/>
  <c r="AV893" i="1"/>
  <c r="AV1301" i="1"/>
  <c r="AV1045" i="1"/>
  <c r="AV1560" i="1"/>
  <c r="AV1462" i="1"/>
  <c r="T1440" i="1"/>
  <c r="AV1440" i="1"/>
  <c r="AV1141" i="1"/>
  <c r="AV1136" i="1"/>
  <c r="AV1040" i="1"/>
  <c r="AV1013" i="1"/>
  <c r="AV957" i="1"/>
  <c r="AV925" i="1"/>
  <c r="AV384" i="1"/>
  <c r="AV320" i="1"/>
  <c r="AV896" i="1"/>
  <c r="AV832" i="1"/>
  <c r="AV1725" i="1"/>
  <c r="AV1581" i="1"/>
  <c r="AV1533" i="1"/>
  <c r="AV1485" i="1"/>
  <c r="AV1437" i="1"/>
  <c r="AV1325" i="1"/>
  <c r="AV1277" i="1"/>
  <c r="AV1229" i="1"/>
  <c r="AV1181" i="1"/>
  <c r="AV1069" i="1"/>
  <c r="AV1021" i="1"/>
  <c r="AV973" i="1"/>
  <c r="AV1693" i="1"/>
  <c r="AV1629" i="1"/>
  <c r="AV1517" i="1"/>
  <c r="AV1469" i="1"/>
  <c r="AV1421" i="1"/>
  <c r="AV1373" i="1"/>
  <c r="AV1261" i="1"/>
  <c r="AV1213" i="1"/>
  <c r="AV1165" i="1"/>
  <c r="AV1117" i="1"/>
  <c r="AV1005" i="1"/>
  <c r="AV941" i="1"/>
  <c r="AV1661" i="1"/>
  <c r="AV1613" i="1"/>
  <c r="AV1565" i="1"/>
  <c r="AV1453" i="1"/>
  <c r="AV1405" i="1"/>
  <c r="AV1357" i="1"/>
  <c r="AV1309" i="1"/>
  <c r="AV1197" i="1"/>
  <c r="AV1149" i="1"/>
  <c r="AV1101" i="1"/>
  <c r="AV1053" i="1"/>
  <c r="AV909" i="1"/>
  <c r="AV1645" i="1"/>
  <c r="AV1597" i="1"/>
  <c r="AV1549" i="1"/>
  <c r="AV1501" i="1"/>
  <c r="AV1389" i="1"/>
  <c r="AV1341" i="1"/>
  <c r="AV1293" i="1"/>
  <c r="AV1245" i="1"/>
  <c r="AV1133" i="1"/>
  <c r="AV1085" i="1"/>
  <c r="AV1037" i="1"/>
  <c r="AV989" i="1"/>
  <c r="AV877" i="1"/>
  <c r="AV576" i="1"/>
  <c r="AV640" i="1"/>
  <c r="AV128" i="1"/>
  <c r="AV768" i="1"/>
  <c r="AV512" i="1"/>
  <c r="AV256" i="1"/>
  <c r="AV704" i="1"/>
  <c r="AV448" i="1"/>
  <c r="AV192" i="1"/>
  <c r="AV64" i="1"/>
  <c r="AU1668" i="1"/>
  <c r="AV1668" i="1"/>
  <c r="AU1604" i="1"/>
  <c r="AV1604" i="1"/>
  <c r="AU1540" i="1"/>
  <c r="AV1540" i="1"/>
  <c r="AU1476" i="1"/>
  <c r="AV1476" i="1"/>
  <c r="AU1412" i="1"/>
  <c r="AV1412" i="1"/>
  <c r="AU1348" i="1"/>
  <c r="AV1348" i="1"/>
  <c r="AU1284" i="1"/>
  <c r="AV1284" i="1"/>
  <c r="AU1220" i="1"/>
  <c r="AV1220" i="1"/>
  <c r="AU1156" i="1"/>
  <c r="AV1156" i="1"/>
  <c r="AU1092" i="1"/>
  <c r="AV1092" i="1"/>
  <c r="AU1028" i="1"/>
  <c r="AV1028" i="1"/>
  <c r="AU964" i="1"/>
  <c r="AV964" i="1"/>
  <c r="AU900" i="1"/>
  <c r="AV900" i="1"/>
  <c r="AU836" i="1"/>
  <c r="AV836" i="1"/>
  <c r="AU772" i="1"/>
  <c r="AV772" i="1"/>
  <c r="AU708" i="1"/>
  <c r="AV708" i="1"/>
  <c r="AU644" i="1"/>
  <c r="AV644" i="1"/>
  <c r="AU580" i="1"/>
  <c r="AV580" i="1"/>
  <c r="AU516" i="1"/>
  <c r="AV516" i="1"/>
  <c r="AU452" i="1"/>
  <c r="AV452" i="1"/>
  <c r="AU388" i="1"/>
  <c r="AV388" i="1"/>
  <c r="AU324" i="1"/>
  <c r="AV324" i="1"/>
  <c r="AU260" i="1"/>
  <c r="AV260" i="1"/>
  <c r="AU196" i="1"/>
  <c r="AV196" i="1"/>
  <c r="AU132" i="1"/>
  <c r="AV132" i="1"/>
  <c r="AU68" i="1"/>
  <c r="AV68" i="1"/>
  <c r="AU4" i="1"/>
  <c r="AV4" i="1"/>
  <c r="AT1697" i="1"/>
  <c r="T1697" i="1"/>
  <c r="AT1633" i="1"/>
  <c r="T1633" i="1"/>
  <c r="AT1569" i="1"/>
  <c r="T1569" i="1"/>
  <c r="AT1505" i="1"/>
  <c r="T1505" i="1"/>
  <c r="AT1441" i="1"/>
  <c r="T1441" i="1"/>
  <c r="AT1377" i="1"/>
  <c r="T1377" i="1"/>
  <c r="AT1313" i="1"/>
  <c r="T1313" i="1"/>
  <c r="AT1249" i="1"/>
  <c r="T1249" i="1"/>
  <c r="AT1185" i="1"/>
  <c r="T1185" i="1"/>
  <c r="AT1121" i="1"/>
  <c r="T1121" i="1"/>
  <c r="AT1057" i="1"/>
  <c r="T1057" i="1"/>
  <c r="AT993" i="1"/>
  <c r="T993" i="1"/>
  <c r="AT929" i="1"/>
  <c r="T929" i="1"/>
  <c r="AT865" i="1"/>
  <c r="T865" i="1"/>
  <c r="AT801" i="1"/>
  <c r="T801" i="1"/>
  <c r="AT737" i="1"/>
  <c r="T737" i="1"/>
  <c r="AT673" i="1"/>
  <c r="T673" i="1"/>
  <c r="AT609" i="1"/>
  <c r="T609" i="1"/>
  <c r="AT545" i="1"/>
  <c r="T545" i="1"/>
  <c r="AT481" i="1"/>
  <c r="T481" i="1"/>
  <c r="AT417" i="1"/>
  <c r="T417" i="1"/>
  <c r="AT353" i="1"/>
  <c r="T353" i="1"/>
  <c r="AT289" i="1"/>
  <c r="T289" i="1"/>
  <c r="AT225" i="1"/>
  <c r="T225" i="1"/>
  <c r="AT161" i="1"/>
  <c r="T161" i="1"/>
  <c r="AT97" i="1"/>
  <c r="T97" i="1"/>
  <c r="AT33" i="1"/>
  <c r="T33" i="1"/>
  <c r="AT1684" i="1"/>
  <c r="T1684" i="1"/>
  <c r="AT1620" i="1"/>
  <c r="T1620" i="1"/>
  <c r="AT1556" i="1"/>
  <c r="T1556" i="1"/>
  <c r="AT1492" i="1"/>
  <c r="T1492" i="1"/>
  <c r="AT1428" i="1"/>
  <c r="T1428" i="1"/>
  <c r="AT1364" i="1"/>
  <c r="T1364" i="1"/>
  <c r="AT1300" i="1"/>
  <c r="T1300" i="1"/>
  <c r="AT1236" i="1"/>
  <c r="T1236" i="1"/>
  <c r="T1172" i="1"/>
  <c r="AT1172" i="1"/>
  <c r="T1108" i="1"/>
  <c r="AT1108" i="1"/>
  <c r="T1044" i="1"/>
  <c r="AT1044" i="1"/>
  <c r="T980" i="1"/>
  <c r="AT980" i="1"/>
  <c r="T916" i="1"/>
  <c r="AT916" i="1"/>
  <c r="T852" i="1"/>
  <c r="AT852" i="1"/>
  <c r="T788" i="1"/>
  <c r="AT788" i="1"/>
  <c r="T724" i="1"/>
  <c r="AT724" i="1"/>
  <c r="AT660" i="1"/>
  <c r="T660" i="1"/>
  <c r="AT596" i="1"/>
  <c r="T596" i="1"/>
  <c r="AT532" i="1"/>
  <c r="T532" i="1"/>
  <c r="AT468" i="1"/>
  <c r="T468" i="1"/>
  <c r="AT404" i="1"/>
  <c r="T404" i="1"/>
  <c r="AT340" i="1"/>
  <c r="T340" i="1"/>
  <c r="AT276" i="1"/>
  <c r="T276" i="1"/>
  <c r="AT212" i="1"/>
  <c r="T212" i="1"/>
  <c r="AT148" i="1"/>
  <c r="T148" i="1"/>
  <c r="AT84" i="1"/>
  <c r="T84" i="1"/>
  <c r="AT20" i="1"/>
  <c r="T20" i="1"/>
  <c r="AU1694" i="1"/>
  <c r="AV1694" i="1"/>
  <c r="AU1630" i="1"/>
  <c r="AV1630" i="1"/>
  <c r="AU1566" i="1"/>
  <c r="AV1566" i="1"/>
  <c r="AU1502" i="1"/>
  <c r="AV1502" i="1"/>
  <c r="AU1438" i="1"/>
  <c r="AV1438" i="1"/>
  <c r="AU1374" i="1"/>
  <c r="AV1374" i="1"/>
  <c r="AU1310" i="1"/>
  <c r="AV1310" i="1"/>
  <c r="AU1246" i="1"/>
  <c r="AV1246" i="1"/>
  <c r="AU1182" i="1"/>
  <c r="AV1182" i="1"/>
  <c r="AU1118" i="1"/>
  <c r="AV1118" i="1"/>
  <c r="AU1054" i="1"/>
  <c r="AV1054" i="1"/>
  <c r="AU990" i="1"/>
  <c r="AV990" i="1"/>
  <c r="AU926" i="1"/>
  <c r="AV926" i="1"/>
  <c r="AU862" i="1"/>
  <c r="AV862" i="1"/>
  <c r="AU798" i="1"/>
  <c r="AV798" i="1"/>
  <c r="AU734" i="1"/>
  <c r="AV734" i="1"/>
  <c r="AU670" i="1"/>
  <c r="AV670" i="1"/>
  <c r="AU606" i="1"/>
  <c r="AV606" i="1"/>
  <c r="AU542" i="1"/>
  <c r="AV542" i="1"/>
  <c r="AU478" i="1"/>
  <c r="AV478" i="1"/>
  <c r="AU414" i="1"/>
  <c r="AV414" i="1"/>
  <c r="AU350" i="1"/>
  <c r="AV350" i="1"/>
  <c r="AU286" i="1"/>
  <c r="AV286" i="1"/>
  <c r="AU222" i="1"/>
  <c r="AV222" i="1"/>
  <c r="AU158" i="1"/>
  <c r="AV158" i="1"/>
  <c r="AU94" i="1"/>
  <c r="AV94" i="1"/>
  <c r="AU30" i="1"/>
  <c r="AV30" i="1"/>
  <c r="AU813" i="1"/>
  <c r="AV813" i="1"/>
  <c r="AU749" i="1"/>
  <c r="AV749" i="1"/>
  <c r="AU685" i="1"/>
  <c r="AV685" i="1"/>
  <c r="AU621" i="1"/>
  <c r="AV621" i="1"/>
  <c r="AU557" i="1"/>
  <c r="AV557" i="1"/>
  <c r="AU493" i="1"/>
  <c r="AV493" i="1"/>
  <c r="AU429" i="1"/>
  <c r="AV429" i="1"/>
  <c r="AU365" i="1"/>
  <c r="AV365" i="1"/>
  <c r="AU301" i="1"/>
  <c r="AV301" i="1"/>
  <c r="AU237" i="1"/>
  <c r="AV237" i="1"/>
  <c r="AU173" i="1"/>
  <c r="AV173" i="1"/>
  <c r="AU109" i="1"/>
  <c r="AV109" i="1"/>
  <c r="AU45" i="1"/>
  <c r="AV45" i="1"/>
  <c r="AV912" i="1"/>
  <c r="AV880" i="1"/>
  <c r="AV848" i="1"/>
  <c r="AV816" i="1"/>
  <c r="AV784" i="1"/>
  <c r="AV752" i="1"/>
  <c r="AV720" i="1"/>
  <c r="AV688" i="1"/>
  <c r="AV656" i="1"/>
  <c r="AV624" i="1"/>
  <c r="AV592" i="1"/>
  <c r="AV560" i="1"/>
  <c r="AV528" i="1"/>
  <c r="AV496" i="1"/>
  <c r="AV464" i="1"/>
  <c r="AV432" i="1"/>
  <c r="AV400" i="1"/>
  <c r="AV368" i="1"/>
  <c r="AV336" i="1"/>
  <c r="AV304" i="1"/>
  <c r="AV272" i="1"/>
  <c r="AV240" i="1"/>
  <c r="AV208" i="1"/>
  <c r="AV176" i="1"/>
  <c r="AV144" i="1"/>
  <c r="AV112" i="1"/>
  <c r="AV80" i="1"/>
  <c r="AV48" i="1"/>
  <c r="AV16" i="1"/>
  <c r="AV1730" i="1"/>
  <c r="AV1698" i="1"/>
  <c r="AV1666" i="1"/>
  <c r="AV1634" i="1"/>
  <c r="AV1602" i="1"/>
  <c r="AV1570" i="1"/>
  <c r="AV1538" i="1"/>
  <c r="AV1506" i="1"/>
  <c r="AV1474" i="1"/>
  <c r="AV1442" i="1"/>
  <c r="AV1410" i="1"/>
  <c r="AV1378" i="1"/>
  <c r="AV1346" i="1"/>
  <c r="AV1314" i="1"/>
  <c r="AV1282" i="1"/>
  <c r="AV1250" i="1"/>
  <c r="AV1218" i="1"/>
  <c r="AV1186" i="1"/>
  <c r="AV1154" i="1"/>
  <c r="AV1122" i="1"/>
  <c r="AV1090" i="1"/>
  <c r="AV1058" i="1"/>
  <c r="AV1026" i="1"/>
  <c r="AV994" i="1"/>
  <c r="AV962" i="1"/>
  <c r="AV930" i="1"/>
  <c r="AV898" i="1"/>
  <c r="AV866" i="1"/>
  <c r="AV834" i="1"/>
  <c r="AV802" i="1"/>
  <c r="AV770" i="1"/>
  <c r="AV738" i="1"/>
  <c r="AV706" i="1"/>
  <c r="AV674" i="1"/>
  <c r="AV642" i="1"/>
  <c r="AV610" i="1"/>
  <c r="AV578" i="1"/>
  <c r="AV546" i="1"/>
  <c r="AV514" i="1"/>
  <c r="AV482" i="1"/>
  <c r="AV450" i="1"/>
  <c r="AV418" i="1"/>
  <c r="AV386" i="1"/>
  <c r="AV354" i="1"/>
  <c r="AV322" i="1"/>
  <c r="AV290" i="1"/>
  <c r="AV258" i="1"/>
  <c r="AV226" i="1"/>
  <c r="AV194" i="1"/>
  <c r="AV162" i="1"/>
  <c r="AV130" i="1"/>
  <c r="AV98" i="1"/>
  <c r="AV66" i="1"/>
  <c r="AV34" i="1"/>
  <c r="AU1716" i="1"/>
  <c r="AV1716" i="1"/>
  <c r="AU1652" i="1"/>
  <c r="AV1652" i="1"/>
  <c r="AU1588" i="1"/>
  <c r="AV1588" i="1"/>
  <c r="AU1524" i="1"/>
  <c r="AV1524" i="1"/>
  <c r="AU1460" i="1"/>
  <c r="AV1460" i="1"/>
  <c r="AU1396" i="1"/>
  <c r="AV1396" i="1"/>
  <c r="AU1332" i="1"/>
  <c r="AV1332" i="1"/>
  <c r="AU1268" i="1"/>
  <c r="AV1268" i="1"/>
  <c r="AU1204" i="1"/>
  <c r="AV1204" i="1"/>
  <c r="AU1140" i="1"/>
  <c r="AV1140" i="1"/>
  <c r="AU1076" i="1"/>
  <c r="AV1076" i="1"/>
  <c r="AU1012" i="1"/>
  <c r="AV1012" i="1"/>
  <c r="AU948" i="1"/>
  <c r="AV948" i="1"/>
  <c r="AU884" i="1"/>
  <c r="AV884" i="1"/>
  <c r="AU820" i="1"/>
  <c r="AV820" i="1"/>
  <c r="AU756" i="1"/>
  <c r="AV756" i="1"/>
  <c r="AU692" i="1"/>
  <c r="AV692" i="1"/>
  <c r="AU628" i="1"/>
  <c r="AV628" i="1"/>
  <c r="AU564" i="1"/>
  <c r="AV564" i="1"/>
  <c r="AU500" i="1"/>
  <c r="AV500" i="1"/>
  <c r="AU436" i="1"/>
  <c r="AV436" i="1"/>
  <c r="AU372" i="1"/>
  <c r="AV372" i="1"/>
  <c r="AU308" i="1"/>
  <c r="AV308" i="1"/>
  <c r="AU244" i="1"/>
  <c r="AV244" i="1"/>
  <c r="AU180" i="1"/>
  <c r="AV180" i="1"/>
  <c r="AU116" i="1"/>
  <c r="AV116" i="1"/>
  <c r="AU52" i="1"/>
  <c r="AV52" i="1"/>
  <c r="AT1681" i="1"/>
  <c r="T1681" i="1"/>
  <c r="AT1617" i="1"/>
  <c r="T1617" i="1"/>
  <c r="AT1553" i="1"/>
  <c r="T1553" i="1"/>
  <c r="AT1489" i="1"/>
  <c r="T1489" i="1"/>
  <c r="AT1425" i="1"/>
  <c r="T1425" i="1"/>
  <c r="AT1361" i="1"/>
  <c r="T1361" i="1"/>
  <c r="AT1297" i="1"/>
  <c r="T1297" i="1"/>
  <c r="AT1233" i="1"/>
  <c r="T1233" i="1"/>
  <c r="AT1169" i="1"/>
  <c r="T1169" i="1"/>
  <c r="AT1105" i="1"/>
  <c r="T1105" i="1"/>
  <c r="AT1041" i="1"/>
  <c r="T1041" i="1"/>
  <c r="AT977" i="1"/>
  <c r="T977" i="1"/>
  <c r="AT913" i="1"/>
  <c r="T913" i="1"/>
  <c r="AT849" i="1"/>
  <c r="T849" i="1"/>
  <c r="AT785" i="1"/>
  <c r="T785" i="1"/>
  <c r="AT721" i="1"/>
  <c r="T721" i="1"/>
  <c r="AT657" i="1"/>
  <c r="T657" i="1"/>
  <c r="AT593" i="1"/>
  <c r="T593" i="1"/>
  <c r="AT529" i="1"/>
  <c r="T529" i="1"/>
  <c r="AT465" i="1"/>
  <c r="T465" i="1"/>
  <c r="AT401" i="1"/>
  <c r="T401" i="1"/>
  <c r="AT337" i="1"/>
  <c r="T337" i="1"/>
  <c r="AT273" i="1"/>
  <c r="T273" i="1"/>
  <c r="AT209" i="1"/>
  <c r="T209" i="1"/>
  <c r="AT145" i="1"/>
  <c r="T145" i="1"/>
  <c r="AT81" i="1"/>
  <c r="T81" i="1"/>
  <c r="AT17" i="1"/>
  <c r="T17" i="1"/>
  <c r="AT1668" i="1"/>
  <c r="T1668" i="1"/>
  <c r="AT1604" i="1"/>
  <c r="T1604" i="1"/>
  <c r="AT1540" i="1"/>
  <c r="T1540" i="1"/>
  <c r="AT1476" i="1"/>
  <c r="T1476" i="1"/>
  <c r="AT1412" i="1"/>
  <c r="T1412" i="1"/>
  <c r="AT1348" i="1"/>
  <c r="T1348" i="1"/>
  <c r="AT1284" i="1"/>
  <c r="T1284" i="1"/>
  <c r="AT1220" i="1"/>
  <c r="T1220" i="1"/>
  <c r="T1156" i="1"/>
  <c r="AT1156" i="1"/>
  <c r="T1092" i="1"/>
  <c r="AT1092" i="1"/>
  <c r="T1028" i="1"/>
  <c r="AT1028" i="1"/>
  <c r="T964" i="1"/>
  <c r="AT964" i="1"/>
  <c r="T900" i="1"/>
  <c r="AT900" i="1"/>
  <c r="T836" i="1"/>
  <c r="AT836" i="1"/>
  <c r="T772" i="1"/>
  <c r="AT772" i="1"/>
  <c r="AT708" i="1"/>
  <c r="T708" i="1"/>
  <c r="AT644" i="1"/>
  <c r="T644" i="1"/>
  <c r="AT580" i="1"/>
  <c r="T580" i="1"/>
  <c r="AT516" i="1"/>
  <c r="T516" i="1"/>
  <c r="AT452" i="1"/>
  <c r="T452" i="1"/>
  <c r="AT388" i="1"/>
  <c r="T388" i="1"/>
  <c r="AT324" i="1"/>
  <c r="T324" i="1"/>
  <c r="AT260" i="1"/>
  <c r="T260" i="1"/>
  <c r="AT196" i="1"/>
  <c r="T196" i="1"/>
  <c r="AT132" i="1"/>
  <c r="T132" i="1"/>
  <c r="AT68" i="1"/>
  <c r="T68" i="1"/>
  <c r="AT4" i="1"/>
  <c r="T4" i="1"/>
  <c r="AU1678" i="1"/>
  <c r="AV1678" i="1"/>
  <c r="AU1614" i="1"/>
  <c r="AV1614" i="1"/>
  <c r="AU1550" i="1"/>
  <c r="AV1550" i="1"/>
  <c r="AU1486" i="1"/>
  <c r="AV1486" i="1"/>
  <c r="AU1422" i="1"/>
  <c r="AV1422" i="1"/>
  <c r="AU1358" i="1"/>
  <c r="AV1358" i="1"/>
  <c r="AU1294" i="1"/>
  <c r="AV1294" i="1"/>
  <c r="AU1230" i="1"/>
  <c r="AV1230" i="1"/>
  <c r="AU1166" i="1"/>
  <c r="AV1166" i="1"/>
  <c r="AU1102" i="1"/>
  <c r="AV1102" i="1"/>
  <c r="AU1038" i="1"/>
  <c r="AV1038" i="1"/>
  <c r="AU974" i="1"/>
  <c r="AV974" i="1"/>
  <c r="AU910" i="1"/>
  <c r="AV910" i="1"/>
  <c r="AU846" i="1"/>
  <c r="AV846" i="1"/>
  <c r="AU782" i="1"/>
  <c r="AV782" i="1"/>
  <c r="AU718" i="1"/>
  <c r="AV718" i="1"/>
  <c r="AU654" i="1"/>
  <c r="AV654" i="1"/>
  <c r="AU590" i="1"/>
  <c r="AV590" i="1"/>
  <c r="AU526" i="1"/>
  <c r="AV526" i="1"/>
  <c r="AU462" i="1"/>
  <c r="AV462" i="1"/>
  <c r="AU398" i="1"/>
  <c r="AV398" i="1"/>
  <c r="AU334" i="1"/>
  <c r="AV334" i="1"/>
  <c r="AU270" i="1"/>
  <c r="AV270" i="1"/>
  <c r="AU206" i="1"/>
  <c r="AV206" i="1"/>
  <c r="AU142" i="1"/>
  <c r="AV142" i="1"/>
  <c r="AU78" i="1"/>
  <c r="AV78" i="1"/>
  <c r="AU14" i="1"/>
  <c r="AV14" i="1"/>
  <c r="AU861" i="1"/>
  <c r="AV861" i="1"/>
  <c r="AU797" i="1"/>
  <c r="AV797" i="1"/>
  <c r="AU733" i="1"/>
  <c r="AV733" i="1"/>
  <c r="AU669" i="1"/>
  <c r="AV669" i="1"/>
  <c r="AU605" i="1"/>
  <c r="AV605" i="1"/>
  <c r="AU541" i="1"/>
  <c r="AV541" i="1"/>
  <c r="AU477" i="1"/>
  <c r="AV477" i="1"/>
  <c r="AU413" i="1"/>
  <c r="AV413" i="1"/>
  <c r="AU349" i="1"/>
  <c r="AV349" i="1"/>
  <c r="AU285" i="1"/>
  <c r="AV285" i="1"/>
  <c r="AU221" i="1"/>
  <c r="AV221" i="1"/>
  <c r="AU157" i="1"/>
  <c r="AV157" i="1"/>
  <c r="AU93" i="1"/>
  <c r="AV93" i="1"/>
  <c r="AU29" i="1"/>
  <c r="AV29" i="1"/>
  <c r="AV1713" i="1"/>
  <c r="AV1681" i="1"/>
  <c r="AV1649" i="1"/>
  <c r="AV1617" i="1"/>
  <c r="AV1585" i="1"/>
  <c r="AV1553" i="1"/>
  <c r="AV1521" i="1"/>
  <c r="AV1489" i="1"/>
  <c r="AV1457" i="1"/>
  <c r="AV1425" i="1"/>
  <c r="AV1393" i="1"/>
  <c r="AV1361" i="1"/>
  <c r="AV1329" i="1"/>
  <c r="AV1297" i="1"/>
  <c r="AV1265" i="1"/>
  <c r="AV1233" i="1"/>
  <c r="AV1201" i="1"/>
  <c r="AV1169" i="1"/>
  <c r="AV1137" i="1"/>
  <c r="AV1105" i="1"/>
  <c r="AV1073" i="1"/>
  <c r="AV1041" i="1"/>
  <c r="AV1009" i="1"/>
  <c r="AV977" i="1"/>
  <c r="AV945" i="1"/>
  <c r="AV913" i="1"/>
  <c r="AV881" i="1"/>
  <c r="AV849" i="1"/>
  <c r="AV817" i="1"/>
  <c r="AV785" i="1"/>
  <c r="AV753" i="1"/>
  <c r="AV721" i="1"/>
  <c r="AV689" i="1"/>
  <c r="AV657" i="1"/>
  <c r="AV625" i="1"/>
  <c r="AV593" i="1"/>
  <c r="AV561" i="1"/>
  <c r="AV529" i="1"/>
  <c r="AV497" i="1"/>
  <c r="AV465" i="1"/>
  <c r="AV433" i="1"/>
  <c r="AV401" i="1"/>
  <c r="AV369" i="1"/>
  <c r="AV337" i="1"/>
  <c r="AV305" i="1"/>
  <c r="AV273" i="1"/>
  <c r="AV241" i="1"/>
  <c r="AV209" i="1"/>
  <c r="AV177" i="1"/>
  <c r="AV145" i="1"/>
  <c r="AV113" i="1"/>
  <c r="AV81" i="1"/>
  <c r="AV49" i="1"/>
  <c r="AV17" i="1"/>
  <c r="AT1197" i="1"/>
  <c r="T1197" i="1"/>
  <c r="AT1133" i="1"/>
  <c r="T1133" i="1"/>
  <c r="AT1069" i="1"/>
  <c r="T1069" i="1"/>
  <c r="AT1005" i="1"/>
  <c r="T1005" i="1"/>
  <c r="AT941" i="1"/>
  <c r="T941" i="1"/>
  <c r="AT877" i="1"/>
  <c r="T877" i="1"/>
  <c r="AT813" i="1"/>
  <c r="T813" i="1"/>
  <c r="AT749" i="1"/>
  <c r="T749" i="1"/>
  <c r="AT685" i="1"/>
  <c r="T685" i="1"/>
  <c r="AT621" i="1"/>
  <c r="T621" i="1"/>
  <c r="AT557" i="1"/>
  <c r="T557" i="1"/>
  <c r="AT493" i="1"/>
  <c r="T493" i="1"/>
  <c r="AT429" i="1"/>
  <c r="T429" i="1"/>
  <c r="AT365" i="1"/>
  <c r="T365" i="1"/>
  <c r="AT301" i="1"/>
  <c r="T301" i="1"/>
  <c r="AT237" i="1"/>
  <c r="T237" i="1"/>
  <c r="AT173" i="1"/>
  <c r="T173" i="1"/>
  <c r="AT109" i="1"/>
  <c r="T109" i="1"/>
  <c r="AT45" i="1"/>
  <c r="T45" i="1"/>
  <c r="AT1168" i="1"/>
  <c r="T1168" i="1"/>
  <c r="AT1104" i="1"/>
  <c r="T1104" i="1"/>
  <c r="AT1040" i="1"/>
  <c r="T1040" i="1"/>
  <c r="AT976" i="1"/>
  <c r="T976" i="1"/>
  <c r="AT912" i="1"/>
  <c r="T912" i="1"/>
  <c r="AT848" i="1"/>
  <c r="T848" i="1"/>
  <c r="AT784" i="1"/>
  <c r="T784" i="1"/>
  <c r="AT720" i="1"/>
  <c r="T720" i="1"/>
  <c r="AT656" i="1"/>
  <c r="T656" i="1"/>
  <c r="AT592" i="1"/>
  <c r="T592" i="1"/>
  <c r="AT528" i="1"/>
  <c r="T528" i="1"/>
  <c r="AT464" i="1"/>
  <c r="T464" i="1"/>
  <c r="AT400" i="1"/>
  <c r="T400" i="1"/>
  <c r="AT336" i="1"/>
  <c r="T336" i="1"/>
  <c r="AT272" i="1"/>
  <c r="T272" i="1"/>
  <c r="AT208" i="1"/>
  <c r="T208" i="1"/>
  <c r="AT144" i="1"/>
  <c r="T144" i="1"/>
  <c r="AT80" i="1"/>
  <c r="T80" i="1"/>
  <c r="AT16" i="1"/>
  <c r="T16" i="1"/>
  <c r="AU1700" i="1"/>
  <c r="AV1700" i="1"/>
  <c r="AU1636" i="1"/>
  <c r="AV1636" i="1"/>
  <c r="AU1572" i="1"/>
  <c r="AV1572" i="1"/>
  <c r="AU1508" i="1"/>
  <c r="AV1508" i="1"/>
  <c r="AU1444" i="1"/>
  <c r="AV1444" i="1"/>
  <c r="AU1380" i="1"/>
  <c r="AV1380" i="1"/>
  <c r="AU1316" i="1"/>
  <c r="AV1316" i="1"/>
  <c r="AU1252" i="1"/>
  <c r="AV1252" i="1"/>
  <c r="AU1188" i="1"/>
  <c r="AV1188" i="1"/>
  <c r="AU1124" i="1"/>
  <c r="AV1124" i="1"/>
  <c r="AU1060" i="1"/>
  <c r="AV1060" i="1"/>
  <c r="AU996" i="1"/>
  <c r="AV996" i="1"/>
  <c r="AU932" i="1"/>
  <c r="AV932" i="1"/>
  <c r="AU868" i="1"/>
  <c r="AV868" i="1"/>
  <c r="AU804" i="1"/>
  <c r="AV804" i="1"/>
  <c r="AU740" i="1"/>
  <c r="AV740" i="1"/>
  <c r="AU676" i="1"/>
  <c r="AV676" i="1"/>
  <c r="AU612" i="1"/>
  <c r="AV612" i="1"/>
  <c r="AU548" i="1"/>
  <c r="AV548" i="1"/>
  <c r="AU484" i="1"/>
  <c r="AV484" i="1"/>
  <c r="AU420" i="1"/>
  <c r="AV420" i="1"/>
  <c r="AU356" i="1"/>
  <c r="AV356" i="1"/>
  <c r="AU292" i="1"/>
  <c r="AV292" i="1"/>
  <c r="AU228" i="1"/>
  <c r="AV228" i="1"/>
  <c r="AU164" i="1"/>
  <c r="AV164" i="1"/>
  <c r="AU100" i="1"/>
  <c r="AV100" i="1"/>
  <c r="AU36" i="1"/>
  <c r="AV36" i="1"/>
  <c r="AT1729" i="1"/>
  <c r="T1729" i="1"/>
  <c r="AT1665" i="1"/>
  <c r="T1665" i="1"/>
  <c r="AT1601" i="1"/>
  <c r="T1601" i="1"/>
  <c r="AT1537" i="1"/>
  <c r="T1537" i="1"/>
  <c r="AT1473" i="1"/>
  <c r="T1473" i="1"/>
  <c r="AT1409" i="1"/>
  <c r="T1409" i="1"/>
  <c r="AT1345" i="1"/>
  <c r="T1345" i="1"/>
  <c r="AT1281" i="1"/>
  <c r="T1281" i="1"/>
  <c r="AT1217" i="1"/>
  <c r="T1217" i="1"/>
  <c r="AT1153" i="1"/>
  <c r="T1153" i="1"/>
  <c r="AT1089" i="1"/>
  <c r="T1089" i="1"/>
  <c r="AT1025" i="1"/>
  <c r="T1025" i="1"/>
  <c r="AT961" i="1"/>
  <c r="T961" i="1"/>
  <c r="AT897" i="1"/>
  <c r="T897" i="1"/>
  <c r="AT833" i="1"/>
  <c r="T833" i="1"/>
  <c r="AT769" i="1"/>
  <c r="T769" i="1"/>
  <c r="AT705" i="1"/>
  <c r="T705" i="1"/>
  <c r="AT641" i="1"/>
  <c r="T641" i="1"/>
  <c r="AT577" i="1"/>
  <c r="T577" i="1"/>
  <c r="AT513" i="1"/>
  <c r="T513" i="1"/>
  <c r="AT449" i="1"/>
  <c r="T449" i="1"/>
  <c r="AT385" i="1"/>
  <c r="T385" i="1"/>
  <c r="AT321" i="1"/>
  <c r="T321" i="1"/>
  <c r="AT257" i="1"/>
  <c r="T257" i="1"/>
  <c r="AT193" i="1"/>
  <c r="T193" i="1"/>
  <c r="AT129" i="1"/>
  <c r="T129" i="1"/>
  <c r="AT65" i="1"/>
  <c r="T65" i="1"/>
  <c r="AT1716" i="1"/>
  <c r="T1716" i="1"/>
  <c r="AT1652" i="1"/>
  <c r="T1652" i="1"/>
  <c r="AT1588" i="1"/>
  <c r="T1588" i="1"/>
  <c r="AT1524" i="1"/>
  <c r="T1524" i="1"/>
  <c r="AT1460" i="1"/>
  <c r="T1460" i="1"/>
  <c r="AT1396" i="1"/>
  <c r="T1396" i="1"/>
  <c r="AT1332" i="1"/>
  <c r="T1332" i="1"/>
  <c r="AT1268" i="1"/>
  <c r="T1268" i="1"/>
  <c r="T1204" i="1"/>
  <c r="AT1204" i="1"/>
  <c r="T1140" i="1"/>
  <c r="AT1140" i="1"/>
  <c r="T1076" i="1"/>
  <c r="AT1076" i="1"/>
  <c r="T1012" i="1"/>
  <c r="AT1012" i="1"/>
  <c r="T948" i="1"/>
  <c r="AT948" i="1"/>
  <c r="T884" i="1"/>
  <c r="AT884" i="1"/>
  <c r="T820" i="1"/>
  <c r="AT820" i="1"/>
  <c r="T756" i="1"/>
  <c r="AT756" i="1"/>
  <c r="AT692" i="1"/>
  <c r="T692" i="1"/>
  <c r="AT628" i="1"/>
  <c r="T628" i="1"/>
  <c r="AT564" i="1"/>
  <c r="T564" i="1"/>
  <c r="AT500" i="1"/>
  <c r="T500" i="1"/>
  <c r="AT436" i="1"/>
  <c r="T436" i="1"/>
  <c r="AT372" i="1"/>
  <c r="T372" i="1"/>
  <c r="AT308" i="1"/>
  <c r="T308" i="1"/>
  <c r="AT244" i="1"/>
  <c r="T244" i="1"/>
  <c r="AT180" i="1"/>
  <c r="T180" i="1"/>
  <c r="AT116" i="1"/>
  <c r="T116" i="1"/>
  <c r="AT52" i="1"/>
  <c r="T52" i="1"/>
  <c r="AU1726" i="1"/>
  <c r="AV1726" i="1"/>
  <c r="AU1662" i="1"/>
  <c r="AV1662" i="1"/>
  <c r="AU1598" i="1"/>
  <c r="AV1598" i="1"/>
  <c r="AU1534" i="1"/>
  <c r="AV1534" i="1"/>
  <c r="AU1470" i="1"/>
  <c r="AV1470" i="1"/>
  <c r="AU1406" i="1"/>
  <c r="AV1406" i="1"/>
  <c r="AU1342" i="1"/>
  <c r="AV1342" i="1"/>
  <c r="AU1278" i="1"/>
  <c r="AV1278" i="1"/>
  <c r="AU1214" i="1"/>
  <c r="AV1214" i="1"/>
  <c r="AU1150" i="1"/>
  <c r="AV1150" i="1"/>
  <c r="AU1086" i="1"/>
  <c r="AV1086" i="1"/>
  <c r="AU1022" i="1"/>
  <c r="AV1022" i="1"/>
  <c r="AU958" i="1"/>
  <c r="AV958" i="1"/>
  <c r="AU894" i="1"/>
  <c r="AV894" i="1"/>
  <c r="AU830" i="1"/>
  <c r="AV830" i="1"/>
  <c r="AU766" i="1"/>
  <c r="AV766" i="1"/>
  <c r="AU702" i="1"/>
  <c r="AV702" i="1"/>
  <c r="AU638" i="1"/>
  <c r="AV638" i="1"/>
  <c r="AU574" i="1"/>
  <c r="AV574" i="1"/>
  <c r="AU510" i="1"/>
  <c r="AV510" i="1"/>
  <c r="AU446" i="1"/>
  <c r="AV446" i="1"/>
  <c r="AU382" i="1"/>
  <c r="AV382" i="1"/>
  <c r="AU318" i="1"/>
  <c r="AV318" i="1"/>
  <c r="AU254" i="1"/>
  <c r="AV254" i="1"/>
  <c r="AU190" i="1"/>
  <c r="AV190" i="1"/>
  <c r="AU126" i="1"/>
  <c r="AV126" i="1"/>
  <c r="AU62" i="1"/>
  <c r="AV62" i="1"/>
  <c r="AU845" i="1"/>
  <c r="AV845" i="1"/>
  <c r="AU781" i="1"/>
  <c r="AV781" i="1"/>
  <c r="AU717" i="1"/>
  <c r="AV717" i="1"/>
  <c r="AU653" i="1"/>
  <c r="AV653" i="1"/>
  <c r="AU589" i="1"/>
  <c r="AV589" i="1"/>
  <c r="AU525" i="1"/>
  <c r="AV525" i="1"/>
  <c r="AU461" i="1"/>
  <c r="AV461" i="1"/>
  <c r="AU397" i="1"/>
  <c r="AV397" i="1"/>
  <c r="AU333" i="1"/>
  <c r="AV333" i="1"/>
  <c r="AU269" i="1"/>
  <c r="AV269" i="1"/>
  <c r="AU205" i="1"/>
  <c r="AV205" i="1"/>
  <c r="AU141" i="1"/>
  <c r="AV141" i="1"/>
  <c r="AU77" i="1"/>
  <c r="AV77" i="1"/>
  <c r="AU13" i="1"/>
  <c r="AV13" i="1"/>
  <c r="AV864" i="1"/>
  <c r="AV800" i="1"/>
  <c r="AV736" i="1"/>
  <c r="AV672" i="1"/>
  <c r="AV608" i="1"/>
  <c r="AV544" i="1"/>
  <c r="AV480" i="1"/>
  <c r="AV416" i="1"/>
  <c r="AV352" i="1"/>
  <c r="AV288" i="1"/>
  <c r="AV224" i="1"/>
  <c r="AV160" i="1"/>
  <c r="AV96" i="1"/>
  <c r="AV32" i="1"/>
  <c r="AT1181" i="1"/>
  <c r="T1181" i="1"/>
  <c r="AT1117" i="1"/>
  <c r="T1117" i="1"/>
  <c r="AT1053" i="1"/>
  <c r="T1053" i="1"/>
  <c r="AT989" i="1"/>
  <c r="T989" i="1"/>
  <c r="AT925" i="1"/>
  <c r="T925" i="1"/>
  <c r="AT861" i="1"/>
  <c r="T861" i="1"/>
  <c r="AT797" i="1"/>
  <c r="T797" i="1"/>
  <c r="AT733" i="1"/>
  <c r="T733" i="1"/>
  <c r="AT669" i="1"/>
  <c r="T669" i="1"/>
  <c r="AT605" i="1"/>
  <c r="T605" i="1"/>
  <c r="AT541" i="1"/>
  <c r="T541" i="1"/>
  <c r="AT477" i="1"/>
  <c r="T477" i="1"/>
  <c r="AT413" i="1"/>
  <c r="T413" i="1"/>
  <c r="AT349" i="1"/>
  <c r="T349" i="1"/>
  <c r="AT285" i="1"/>
  <c r="T285" i="1"/>
  <c r="AT221" i="1"/>
  <c r="T221" i="1"/>
  <c r="AT157" i="1"/>
  <c r="T157" i="1"/>
  <c r="AT93" i="1"/>
  <c r="T93" i="1"/>
  <c r="AT29" i="1"/>
  <c r="T29" i="1"/>
  <c r="AT1152" i="1"/>
  <c r="T1152" i="1"/>
  <c r="AT1088" i="1"/>
  <c r="T1088" i="1"/>
  <c r="AT1024" i="1"/>
  <c r="T1024" i="1"/>
  <c r="AT960" i="1"/>
  <c r="T960" i="1"/>
  <c r="AT896" i="1"/>
  <c r="T896" i="1"/>
  <c r="AT832" i="1"/>
  <c r="T832" i="1"/>
  <c r="AT768" i="1"/>
  <c r="T768" i="1"/>
  <c r="AT704" i="1"/>
  <c r="T704" i="1"/>
  <c r="AT640" i="1"/>
  <c r="T640" i="1"/>
  <c r="AT576" i="1"/>
  <c r="T576" i="1"/>
  <c r="AT512" i="1"/>
  <c r="T512" i="1"/>
  <c r="AT448" i="1"/>
  <c r="T448" i="1"/>
  <c r="AT384" i="1"/>
  <c r="T384" i="1"/>
  <c r="AT320" i="1"/>
  <c r="T320" i="1"/>
  <c r="AT256" i="1"/>
  <c r="T256" i="1"/>
  <c r="AT192" i="1"/>
  <c r="T192" i="1"/>
  <c r="AT128" i="1"/>
  <c r="T128" i="1"/>
  <c r="AT64" i="1"/>
  <c r="T64" i="1"/>
  <c r="AV1714" i="1"/>
  <c r="AV1682" i="1"/>
  <c r="AV1650" i="1"/>
  <c r="AV1618" i="1"/>
  <c r="AV1586" i="1"/>
  <c r="AV1554" i="1"/>
  <c r="AV1522" i="1"/>
  <c r="AV1490" i="1"/>
  <c r="AV1458" i="1"/>
  <c r="AV1426" i="1"/>
  <c r="AV1394" i="1"/>
  <c r="AV1362" i="1"/>
  <c r="AV1330" i="1"/>
  <c r="AV1298" i="1"/>
  <c r="AV1266" i="1"/>
  <c r="AV1234" i="1"/>
  <c r="AV1202" i="1"/>
  <c r="AV1170" i="1"/>
  <c r="AV1138" i="1"/>
  <c r="AV1106" i="1"/>
  <c r="AV1074" i="1"/>
  <c r="AV1042" i="1"/>
  <c r="AV1010" i="1"/>
  <c r="AV978" i="1"/>
  <c r="AV946" i="1"/>
  <c r="AV914" i="1"/>
  <c r="AV882" i="1"/>
  <c r="AV850" i="1"/>
  <c r="AV818" i="1"/>
  <c r="AV786" i="1"/>
  <c r="AV754" i="1"/>
  <c r="AV722" i="1"/>
  <c r="AV690" i="1"/>
  <c r="AV658" i="1"/>
  <c r="AV626" i="1"/>
  <c r="AV594" i="1"/>
  <c r="AV562" i="1"/>
  <c r="AV530" i="1"/>
  <c r="AV498" i="1"/>
  <c r="AV466" i="1"/>
  <c r="AV434" i="1"/>
  <c r="AV402" i="1"/>
  <c r="AV370" i="1"/>
  <c r="AV338" i="1"/>
  <c r="AV306" i="1"/>
  <c r="AV274" i="1"/>
  <c r="AV242" i="1"/>
  <c r="AV210" i="1"/>
  <c r="AV178" i="1"/>
  <c r="AV146" i="1"/>
  <c r="AV114" i="1"/>
  <c r="AV82" i="1"/>
  <c r="AV50" i="1"/>
  <c r="AV18" i="1"/>
  <c r="AU1684" i="1"/>
  <c r="AV1684" i="1"/>
  <c r="AU1620" i="1"/>
  <c r="AV1620" i="1"/>
  <c r="AU1556" i="1"/>
  <c r="AV1556" i="1"/>
  <c r="AU1492" i="1"/>
  <c r="AV1492" i="1"/>
  <c r="AU1428" i="1"/>
  <c r="AV1428" i="1"/>
  <c r="AU1364" i="1"/>
  <c r="AV1364" i="1"/>
  <c r="AU1300" i="1"/>
  <c r="AV1300" i="1"/>
  <c r="AU1236" i="1"/>
  <c r="AV1236" i="1"/>
  <c r="AU1172" i="1"/>
  <c r="AV1172" i="1"/>
  <c r="AU1108" i="1"/>
  <c r="AV1108" i="1"/>
  <c r="AU1044" i="1"/>
  <c r="AV1044" i="1"/>
  <c r="AU980" i="1"/>
  <c r="AV980" i="1"/>
  <c r="AU916" i="1"/>
  <c r="AV916" i="1"/>
  <c r="AU852" i="1"/>
  <c r="AV852" i="1"/>
  <c r="AU788" i="1"/>
  <c r="AV788" i="1"/>
  <c r="AU724" i="1"/>
  <c r="AV724" i="1"/>
  <c r="AU660" i="1"/>
  <c r="AV660" i="1"/>
  <c r="AU596" i="1"/>
  <c r="AV596" i="1"/>
  <c r="AU532" i="1"/>
  <c r="AV532" i="1"/>
  <c r="AU468" i="1"/>
  <c r="AV468" i="1"/>
  <c r="AU404" i="1"/>
  <c r="AV404" i="1"/>
  <c r="AU340" i="1"/>
  <c r="AV340" i="1"/>
  <c r="AU276" i="1"/>
  <c r="AV276" i="1"/>
  <c r="AU212" i="1"/>
  <c r="AV212" i="1"/>
  <c r="AU148" i="1"/>
  <c r="AV148" i="1"/>
  <c r="AU84" i="1"/>
  <c r="AV84" i="1"/>
  <c r="AU20" i="1"/>
  <c r="AV20" i="1"/>
  <c r="AT1713" i="1"/>
  <c r="T1713" i="1"/>
  <c r="AT1649" i="1"/>
  <c r="T1649" i="1"/>
  <c r="AT1585" i="1"/>
  <c r="T1585" i="1"/>
  <c r="AT1521" i="1"/>
  <c r="T1521" i="1"/>
  <c r="AT1457" i="1"/>
  <c r="T1457" i="1"/>
  <c r="AT1393" i="1"/>
  <c r="T1393" i="1"/>
  <c r="AT1329" i="1"/>
  <c r="T1329" i="1"/>
  <c r="AT1265" i="1"/>
  <c r="T1265" i="1"/>
  <c r="AT1201" i="1"/>
  <c r="T1201" i="1"/>
  <c r="AT1137" i="1"/>
  <c r="T1137" i="1"/>
  <c r="AT1073" i="1"/>
  <c r="T1073" i="1"/>
  <c r="AT1009" i="1"/>
  <c r="T1009" i="1"/>
  <c r="AT945" i="1"/>
  <c r="T945" i="1"/>
  <c r="AT881" i="1"/>
  <c r="T881" i="1"/>
  <c r="AT817" i="1"/>
  <c r="T817" i="1"/>
  <c r="AT753" i="1"/>
  <c r="T753" i="1"/>
  <c r="AT689" i="1"/>
  <c r="T689" i="1"/>
  <c r="AT625" i="1"/>
  <c r="T625" i="1"/>
  <c r="AT561" i="1"/>
  <c r="T561" i="1"/>
  <c r="AT497" i="1"/>
  <c r="T497" i="1"/>
  <c r="AT433" i="1"/>
  <c r="T433" i="1"/>
  <c r="AT369" i="1"/>
  <c r="T369" i="1"/>
  <c r="AT305" i="1"/>
  <c r="T305" i="1"/>
  <c r="AT241" i="1"/>
  <c r="T241" i="1"/>
  <c r="AT177" i="1"/>
  <c r="T177" i="1"/>
  <c r="AT113" i="1"/>
  <c r="T113" i="1"/>
  <c r="AT49" i="1"/>
  <c r="T49" i="1"/>
  <c r="AT1700" i="1"/>
  <c r="T1700" i="1"/>
  <c r="AT1636" i="1"/>
  <c r="T1636" i="1"/>
  <c r="AT1572" i="1"/>
  <c r="T1572" i="1"/>
  <c r="AT1508" i="1"/>
  <c r="T1508" i="1"/>
  <c r="AT1444" i="1"/>
  <c r="T1444" i="1"/>
  <c r="AT1380" i="1"/>
  <c r="T1380" i="1"/>
  <c r="AT1316" i="1"/>
  <c r="T1316" i="1"/>
  <c r="AT1252" i="1"/>
  <c r="T1252" i="1"/>
  <c r="T1188" i="1"/>
  <c r="AT1188" i="1"/>
  <c r="T1124" i="1"/>
  <c r="AT1124" i="1"/>
  <c r="T1060" i="1"/>
  <c r="AT1060" i="1"/>
  <c r="T996" i="1"/>
  <c r="AT996" i="1"/>
  <c r="T932" i="1"/>
  <c r="AT932" i="1"/>
  <c r="T868" i="1"/>
  <c r="AT868" i="1"/>
  <c r="T804" i="1"/>
  <c r="AT804" i="1"/>
  <c r="T740" i="1"/>
  <c r="AT740" i="1"/>
  <c r="AT676" i="1"/>
  <c r="T676" i="1"/>
  <c r="AT612" i="1"/>
  <c r="T612" i="1"/>
  <c r="AT548" i="1"/>
  <c r="T548" i="1"/>
  <c r="AT484" i="1"/>
  <c r="T484" i="1"/>
  <c r="AT420" i="1"/>
  <c r="T420" i="1"/>
  <c r="AT356" i="1"/>
  <c r="T356" i="1"/>
  <c r="AT292" i="1"/>
  <c r="T292" i="1"/>
  <c r="AT228" i="1"/>
  <c r="T228" i="1"/>
  <c r="AT164" i="1"/>
  <c r="T164" i="1"/>
  <c r="AT100" i="1"/>
  <c r="T100" i="1"/>
  <c r="AT36" i="1"/>
  <c r="T36" i="1"/>
  <c r="AU1710" i="1"/>
  <c r="AV1710" i="1"/>
  <c r="AU1646" i="1"/>
  <c r="AV1646" i="1"/>
  <c r="AU1582" i="1"/>
  <c r="AV1582" i="1"/>
  <c r="AU1518" i="1"/>
  <c r="AV1518" i="1"/>
  <c r="AU1454" i="1"/>
  <c r="AV1454" i="1"/>
  <c r="AU1390" i="1"/>
  <c r="AV1390" i="1"/>
  <c r="AU1326" i="1"/>
  <c r="AV1326" i="1"/>
  <c r="AU1262" i="1"/>
  <c r="AV1262" i="1"/>
  <c r="AU1198" i="1"/>
  <c r="AV1198" i="1"/>
  <c r="AU1134" i="1"/>
  <c r="AV1134" i="1"/>
  <c r="AU1070" i="1"/>
  <c r="AV1070" i="1"/>
  <c r="AU1006" i="1"/>
  <c r="AV1006" i="1"/>
  <c r="AU942" i="1"/>
  <c r="AV942" i="1"/>
  <c r="AU878" i="1"/>
  <c r="AV878" i="1"/>
  <c r="AU814" i="1"/>
  <c r="AV814" i="1"/>
  <c r="AU750" i="1"/>
  <c r="AV750" i="1"/>
  <c r="AU686" i="1"/>
  <c r="AV686" i="1"/>
  <c r="AU622" i="1"/>
  <c r="AV622" i="1"/>
  <c r="AU558" i="1"/>
  <c r="AV558" i="1"/>
  <c r="AU494" i="1"/>
  <c r="AV494" i="1"/>
  <c r="AU430" i="1"/>
  <c r="AV430" i="1"/>
  <c r="AU366" i="1"/>
  <c r="AV366" i="1"/>
  <c r="AU302" i="1"/>
  <c r="AV302" i="1"/>
  <c r="AU238" i="1"/>
  <c r="AV238" i="1"/>
  <c r="AU174" i="1"/>
  <c r="AV174" i="1"/>
  <c r="AU110" i="1"/>
  <c r="AV110" i="1"/>
  <c r="AU46" i="1"/>
  <c r="AV46" i="1"/>
  <c r="AU829" i="1"/>
  <c r="AV829" i="1"/>
  <c r="AU765" i="1"/>
  <c r="AV765" i="1"/>
  <c r="AU701" i="1"/>
  <c r="AV701" i="1"/>
  <c r="AU637" i="1"/>
  <c r="AV637" i="1"/>
  <c r="AU573" i="1"/>
  <c r="AV573" i="1"/>
  <c r="AU509" i="1"/>
  <c r="AV509" i="1"/>
  <c r="AU445" i="1"/>
  <c r="AV445" i="1"/>
  <c r="AU381" i="1"/>
  <c r="AV381" i="1"/>
  <c r="AU317" i="1"/>
  <c r="AV317" i="1"/>
  <c r="AU253" i="1"/>
  <c r="AV253" i="1"/>
  <c r="AU189" i="1"/>
  <c r="AV189" i="1"/>
  <c r="AU125" i="1"/>
  <c r="AV125" i="1"/>
  <c r="AU61" i="1"/>
  <c r="AV61" i="1"/>
  <c r="AV1729" i="1"/>
  <c r="AV1697" i="1"/>
  <c r="AV1665" i="1"/>
  <c r="AV1633" i="1"/>
  <c r="AV1601" i="1"/>
  <c r="AV1569" i="1"/>
  <c r="AV1537" i="1"/>
  <c r="AV1505" i="1"/>
  <c r="AV1473" i="1"/>
  <c r="AV1441" i="1"/>
  <c r="AV1409" i="1"/>
  <c r="AV1377" i="1"/>
  <c r="AV1345" i="1"/>
  <c r="AV1313" i="1"/>
  <c r="AV1281" i="1"/>
  <c r="AV1249" i="1"/>
  <c r="AV1217" i="1"/>
  <c r="AV1185" i="1"/>
  <c r="AV1153" i="1"/>
  <c r="AV1121" i="1"/>
  <c r="AV1089" i="1"/>
  <c r="AV1057" i="1"/>
  <c r="AV1025" i="1"/>
  <c r="AV993" i="1"/>
  <c r="AV961" i="1"/>
  <c r="AV929" i="1"/>
  <c r="AV897" i="1"/>
  <c r="AV865" i="1"/>
  <c r="AV833" i="1"/>
  <c r="AV801" i="1"/>
  <c r="AV769" i="1"/>
  <c r="AV737" i="1"/>
  <c r="AV705" i="1"/>
  <c r="AV673" i="1"/>
  <c r="AV641" i="1"/>
  <c r="AV609" i="1"/>
  <c r="AV577" i="1"/>
  <c r="AV545" i="1"/>
  <c r="AV513" i="1"/>
  <c r="AV481" i="1"/>
  <c r="AV449" i="1"/>
  <c r="AV417" i="1"/>
  <c r="AV385" i="1"/>
  <c r="AV353" i="1"/>
  <c r="AV321" i="1"/>
  <c r="AV289" i="1"/>
  <c r="AV257" i="1"/>
  <c r="AV225" i="1"/>
  <c r="AV193" i="1"/>
  <c r="AV161" i="1"/>
  <c r="AV129" i="1"/>
  <c r="AV97" i="1"/>
  <c r="AV65" i="1"/>
  <c r="AV33" i="1"/>
  <c r="AT1165" i="1"/>
  <c r="T1165" i="1"/>
  <c r="AT1101" i="1"/>
  <c r="T1101" i="1"/>
  <c r="AT1037" i="1"/>
  <c r="T1037" i="1"/>
  <c r="AT973" i="1"/>
  <c r="T973" i="1"/>
  <c r="AT909" i="1"/>
  <c r="T909" i="1"/>
  <c r="AT845" i="1"/>
  <c r="T845" i="1"/>
  <c r="AT781" i="1"/>
  <c r="T781" i="1"/>
  <c r="AT717" i="1"/>
  <c r="T717" i="1"/>
  <c r="AT653" i="1"/>
  <c r="T653" i="1"/>
  <c r="AT589" i="1"/>
  <c r="T589" i="1"/>
  <c r="AT525" i="1"/>
  <c r="T525" i="1"/>
  <c r="AT461" i="1"/>
  <c r="T461" i="1"/>
  <c r="AT397" i="1"/>
  <c r="T397" i="1"/>
  <c r="AT333" i="1"/>
  <c r="T333" i="1"/>
  <c r="AT269" i="1"/>
  <c r="T269" i="1"/>
  <c r="AT205" i="1"/>
  <c r="T205" i="1"/>
  <c r="AT141" i="1"/>
  <c r="T141" i="1"/>
  <c r="AT77" i="1"/>
  <c r="T77" i="1"/>
  <c r="AT13" i="1"/>
  <c r="T13" i="1"/>
  <c r="AT1136" i="1"/>
  <c r="T1136" i="1"/>
  <c r="AT1072" i="1"/>
  <c r="T1072" i="1"/>
  <c r="AT1008" i="1"/>
  <c r="T1008" i="1"/>
  <c r="AT944" i="1"/>
  <c r="T944" i="1"/>
  <c r="AT880" i="1"/>
  <c r="T880" i="1"/>
  <c r="AT816" i="1"/>
  <c r="T816" i="1"/>
  <c r="AT752" i="1"/>
  <c r="T752" i="1"/>
  <c r="AT688" i="1"/>
  <c r="T688" i="1"/>
  <c r="AT624" i="1"/>
  <c r="T624" i="1"/>
  <c r="AT560" i="1"/>
  <c r="T560" i="1"/>
  <c r="AT496" i="1"/>
  <c r="T496" i="1"/>
  <c r="AT432" i="1"/>
  <c r="T432" i="1"/>
  <c r="AT368" i="1"/>
  <c r="T368" i="1"/>
  <c r="AT304" i="1"/>
  <c r="T304" i="1"/>
  <c r="AT240" i="1"/>
  <c r="T240" i="1"/>
  <c r="AT176" i="1"/>
  <c r="T176" i="1"/>
  <c r="AT112" i="1"/>
  <c r="T112" i="1"/>
  <c r="AT48" i="1"/>
  <c r="T48" i="1"/>
  <c r="AT1149" i="1"/>
  <c r="T1149" i="1"/>
  <c r="AT1085" i="1"/>
  <c r="T1085" i="1"/>
  <c r="AT1021" i="1"/>
  <c r="T1021" i="1"/>
  <c r="AT957" i="1"/>
  <c r="T957" i="1"/>
  <c r="AT893" i="1"/>
  <c r="T893" i="1"/>
  <c r="AT829" i="1"/>
  <c r="T829" i="1"/>
  <c r="AT765" i="1"/>
  <c r="T765" i="1"/>
  <c r="AT701" i="1"/>
  <c r="T701" i="1"/>
  <c r="AT637" i="1"/>
  <c r="T637" i="1"/>
  <c r="AT573" i="1"/>
  <c r="T573" i="1"/>
  <c r="AT509" i="1"/>
  <c r="T509" i="1"/>
  <c r="AT445" i="1"/>
  <c r="T445" i="1"/>
  <c r="AT381" i="1"/>
  <c r="T381" i="1"/>
  <c r="AT317" i="1"/>
  <c r="T317" i="1"/>
  <c r="AT253" i="1"/>
  <c r="T253" i="1"/>
  <c r="AT189" i="1"/>
  <c r="T189" i="1"/>
  <c r="AT125" i="1"/>
  <c r="T125" i="1"/>
  <c r="AT61" i="1"/>
  <c r="T61" i="1"/>
  <c r="AT1184" i="1"/>
  <c r="T1184" i="1"/>
  <c r="AT1120" i="1"/>
  <c r="T1120" i="1"/>
  <c r="AT1056" i="1"/>
  <c r="T1056" i="1"/>
  <c r="AT992" i="1"/>
  <c r="T992" i="1"/>
  <c r="AT928" i="1"/>
  <c r="T928" i="1"/>
  <c r="AT864" i="1"/>
  <c r="T864" i="1"/>
  <c r="AT800" i="1"/>
  <c r="T800" i="1"/>
  <c r="AT736" i="1"/>
  <c r="T736" i="1"/>
  <c r="AT672" i="1"/>
  <c r="T672" i="1"/>
  <c r="AT608" i="1"/>
  <c r="T608" i="1"/>
  <c r="AT544" i="1"/>
  <c r="T544" i="1"/>
  <c r="AT480" i="1"/>
  <c r="T480" i="1"/>
  <c r="AT416" i="1"/>
  <c r="T416" i="1"/>
  <c r="AT352" i="1"/>
  <c r="T352" i="1"/>
  <c r="AT288" i="1"/>
  <c r="T288" i="1"/>
  <c r="AT224" i="1"/>
  <c r="T224" i="1"/>
  <c r="AT160" i="1"/>
  <c r="T160" i="1"/>
  <c r="AT96" i="1"/>
  <c r="T96" i="1"/>
  <c r="AT32" i="1"/>
  <c r="T32" i="1"/>
  <c r="AT1689" i="1"/>
  <c r="T1689" i="1"/>
  <c r="AT1625" i="1"/>
  <c r="T1625" i="1"/>
  <c r="AT1561" i="1"/>
  <c r="T1561" i="1"/>
  <c r="AT1497" i="1"/>
  <c r="T1497" i="1"/>
  <c r="AT1433" i="1"/>
  <c r="T1433" i="1"/>
  <c r="AT1369" i="1"/>
  <c r="T1369" i="1"/>
  <c r="AT1305" i="1"/>
  <c r="T1305" i="1"/>
  <c r="AT1241" i="1"/>
  <c r="T1241" i="1"/>
  <c r="AT1177" i="1"/>
  <c r="T1177" i="1"/>
  <c r="AT1113" i="1"/>
  <c r="T1113" i="1"/>
  <c r="AT1049" i="1"/>
  <c r="T1049" i="1"/>
  <c r="AT985" i="1"/>
  <c r="T985" i="1"/>
  <c r="AT921" i="1"/>
  <c r="T921" i="1"/>
  <c r="AT857" i="1"/>
  <c r="T857" i="1"/>
  <c r="AT793" i="1"/>
  <c r="T793" i="1"/>
  <c r="AT729" i="1"/>
  <c r="T729" i="1"/>
  <c r="AT665" i="1"/>
  <c r="T665" i="1"/>
  <c r="AT601" i="1"/>
  <c r="T601" i="1"/>
  <c r="AT537" i="1"/>
  <c r="T537" i="1"/>
  <c r="AT473" i="1"/>
  <c r="T473" i="1"/>
  <c r="AT409" i="1"/>
  <c r="T409" i="1"/>
  <c r="AT345" i="1"/>
  <c r="T345" i="1"/>
  <c r="AT281" i="1"/>
  <c r="T281" i="1"/>
  <c r="AT217" i="1"/>
  <c r="T217" i="1"/>
  <c r="AT153" i="1"/>
  <c r="T153" i="1"/>
  <c r="AT89" i="1"/>
  <c r="T89" i="1"/>
  <c r="AT25" i="1"/>
  <c r="T25" i="1"/>
  <c r="AT1692" i="1"/>
  <c r="T1692" i="1"/>
  <c r="AT1628" i="1"/>
  <c r="T1628" i="1"/>
  <c r="AT1564" i="1"/>
  <c r="T1564" i="1"/>
  <c r="AT1500" i="1"/>
  <c r="T1500" i="1"/>
  <c r="AT1436" i="1"/>
  <c r="T1436" i="1"/>
  <c r="AT1372" i="1"/>
  <c r="T1372" i="1"/>
  <c r="AT1308" i="1"/>
  <c r="T1308" i="1"/>
  <c r="AT1244" i="1"/>
  <c r="T1244" i="1"/>
  <c r="T1180" i="1"/>
  <c r="AT1180" i="1"/>
  <c r="T1116" i="1"/>
  <c r="AT1116" i="1"/>
  <c r="T1052" i="1"/>
  <c r="AT1052" i="1"/>
  <c r="T988" i="1"/>
  <c r="AT988" i="1"/>
  <c r="T924" i="1"/>
  <c r="AT924" i="1"/>
  <c r="T860" i="1"/>
  <c r="AT860" i="1"/>
  <c r="T796" i="1"/>
  <c r="AT796" i="1"/>
  <c r="T732" i="1"/>
  <c r="AT732" i="1"/>
  <c r="AT668" i="1"/>
  <c r="T668" i="1"/>
  <c r="AT604" i="1"/>
  <c r="T604" i="1"/>
  <c r="AT540" i="1"/>
  <c r="T540" i="1"/>
  <c r="AT476" i="1"/>
  <c r="T476" i="1"/>
  <c r="AT412" i="1"/>
  <c r="T412" i="1"/>
  <c r="AT348" i="1"/>
  <c r="T348" i="1"/>
  <c r="AT284" i="1"/>
  <c r="T284" i="1"/>
  <c r="AT220" i="1"/>
  <c r="T220" i="1"/>
  <c r="AT156" i="1"/>
  <c r="T156" i="1"/>
  <c r="AT92" i="1"/>
  <c r="T92" i="1"/>
  <c r="AT28" i="1"/>
  <c r="T28" i="1"/>
  <c r="AV949" i="1"/>
  <c r="AV885" i="1"/>
  <c r="AV1724" i="1"/>
  <c r="AV1692" i="1"/>
  <c r="AV1660" i="1"/>
  <c r="AV1628" i="1"/>
  <c r="AV1596" i="1"/>
  <c r="AV1564" i="1"/>
  <c r="AV1532" i="1"/>
  <c r="AV1500" i="1"/>
  <c r="AV1468" i="1"/>
  <c r="AV1436" i="1"/>
  <c r="AV1404" i="1"/>
  <c r="AV1372" i="1"/>
  <c r="AV1340" i="1"/>
  <c r="AV1308" i="1"/>
  <c r="AV1276" i="1"/>
  <c r="AV1244" i="1"/>
  <c r="AV1212" i="1"/>
  <c r="AV1180" i="1"/>
  <c r="AV1148" i="1"/>
  <c r="AV1116" i="1"/>
  <c r="AV1084" i="1"/>
  <c r="AV1052" i="1"/>
  <c r="AV1020" i="1"/>
  <c r="AV988" i="1"/>
  <c r="AV956" i="1"/>
  <c r="AV924" i="1"/>
  <c r="AV892" i="1"/>
  <c r="AV860" i="1"/>
  <c r="AV828" i="1"/>
  <c r="AV796" i="1"/>
  <c r="AV764" i="1"/>
  <c r="AV732" i="1"/>
  <c r="AV700" i="1"/>
  <c r="AV668" i="1"/>
  <c r="AV636" i="1"/>
  <c r="AV604" i="1"/>
  <c r="AV572" i="1"/>
  <c r="AV540" i="1"/>
  <c r="AV508" i="1"/>
  <c r="AV476" i="1"/>
  <c r="AV444" i="1"/>
  <c r="AV412" i="1"/>
  <c r="AV380" i="1"/>
  <c r="AV348" i="1"/>
  <c r="AV316" i="1"/>
  <c r="AV284" i="1"/>
  <c r="AV252" i="1"/>
  <c r="AV220" i="1"/>
  <c r="AV188" i="1"/>
  <c r="AV156" i="1"/>
  <c r="AV124" i="1"/>
  <c r="AV92" i="1"/>
  <c r="AV60" i="1"/>
  <c r="AV28" i="1"/>
  <c r="AT1673" i="1"/>
  <c r="T1673" i="1"/>
  <c r="AT1609" i="1"/>
  <c r="T1609" i="1"/>
  <c r="AT1545" i="1"/>
  <c r="T1545" i="1"/>
  <c r="AT1481" i="1"/>
  <c r="T1481" i="1"/>
  <c r="AT1417" i="1"/>
  <c r="T1417" i="1"/>
  <c r="AT1353" i="1"/>
  <c r="T1353" i="1"/>
  <c r="AT1289" i="1"/>
  <c r="T1289" i="1"/>
  <c r="AT1225" i="1"/>
  <c r="T1225" i="1"/>
  <c r="AT1161" i="1"/>
  <c r="T1161" i="1"/>
  <c r="AT1097" i="1"/>
  <c r="T1097" i="1"/>
  <c r="AT1033" i="1"/>
  <c r="T1033" i="1"/>
  <c r="AT969" i="1"/>
  <c r="T969" i="1"/>
  <c r="AT905" i="1"/>
  <c r="T905" i="1"/>
  <c r="AT841" i="1"/>
  <c r="T841" i="1"/>
  <c r="AT777" i="1"/>
  <c r="T777" i="1"/>
  <c r="AT713" i="1"/>
  <c r="T713" i="1"/>
  <c r="AT649" i="1"/>
  <c r="T649" i="1"/>
  <c r="AT585" i="1"/>
  <c r="T585" i="1"/>
  <c r="AT521" i="1"/>
  <c r="T521" i="1"/>
  <c r="AT457" i="1"/>
  <c r="T457" i="1"/>
  <c r="AT393" i="1"/>
  <c r="T393" i="1"/>
  <c r="AT329" i="1"/>
  <c r="T329" i="1"/>
  <c r="AT265" i="1"/>
  <c r="T265" i="1"/>
  <c r="AT201" i="1"/>
  <c r="T201" i="1"/>
  <c r="AT137" i="1"/>
  <c r="T137" i="1"/>
  <c r="AT73" i="1"/>
  <c r="T73" i="1"/>
  <c r="AT9" i="1"/>
  <c r="T9" i="1"/>
  <c r="AT1676" i="1"/>
  <c r="T1676" i="1"/>
  <c r="AT1612" i="1"/>
  <c r="T1612" i="1"/>
  <c r="AT1548" i="1"/>
  <c r="T1548" i="1"/>
  <c r="AT1484" i="1"/>
  <c r="T1484" i="1"/>
  <c r="AT1420" i="1"/>
  <c r="T1420" i="1"/>
  <c r="AT1356" i="1"/>
  <c r="T1356" i="1"/>
  <c r="AT1292" i="1"/>
  <c r="T1292" i="1"/>
  <c r="AT1228" i="1"/>
  <c r="T1228" i="1"/>
  <c r="T1164" i="1"/>
  <c r="AT1164" i="1"/>
  <c r="T1100" i="1"/>
  <c r="AT1100" i="1"/>
  <c r="T1036" i="1"/>
  <c r="AT1036" i="1"/>
  <c r="T972" i="1"/>
  <c r="AT972" i="1"/>
  <c r="T908" i="1"/>
  <c r="AT908" i="1"/>
  <c r="T844" i="1"/>
  <c r="AT844" i="1"/>
  <c r="T780" i="1"/>
  <c r="AT780" i="1"/>
  <c r="AT716" i="1"/>
  <c r="T716" i="1"/>
  <c r="AT652" i="1"/>
  <c r="T652" i="1"/>
  <c r="AT588" i="1"/>
  <c r="T588" i="1"/>
  <c r="AT524" i="1"/>
  <c r="T524" i="1"/>
  <c r="AT460" i="1"/>
  <c r="T460" i="1"/>
  <c r="AT396" i="1"/>
  <c r="T396" i="1"/>
  <c r="AT332" i="1"/>
  <c r="T332" i="1"/>
  <c r="AT268" i="1"/>
  <c r="T268" i="1"/>
  <c r="AT204" i="1"/>
  <c r="T204" i="1"/>
  <c r="AT140" i="1"/>
  <c r="T140" i="1"/>
  <c r="AT76" i="1"/>
  <c r="T76" i="1"/>
  <c r="AT12" i="1"/>
  <c r="T12" i="1"/>
  <c r="AV933" i="1"/>
  <c r="AV869" i="1"/>
  <c r="AV837" i="1"/>
  <c r="AV805" i="1"/>
  <c r="AV773" i="1"/>
  <c r="AV741" i="1"/>
  <c r="AV709" i="1"/>
  <c r="AV677" i="1"/>
  <c r="AV645" i="1"/>
  <c r="AV613" i="1"/>
  <c r="AV581" i="1"/>
  <c r="AV549" i="1"/>
  <c r="AV517" i="1"/>
  <c r="AV485" i="1"/>
  <c r="AV453" i="1"/>
  <c r="AV421" i="1"/>
  <c r="AV389" i="1"/>
  <c r="AV357" i="1"/>
  <c r="AV325" i="1"/>
  <c r="AV293" i="1"/>
  <c r="AV261" i="1"/>
  <c r="AV229" i="1"/>
  <c r="AV197" i="1"/>
  <c r="AV165" i="1"/>
  <c r="AV133" i="1"/>
  <c r="AV101" i="1"/>
  <c r="AV69" i="1"/>
  <c r="AV37" i="1"/>
  <c r="AV5" i="1"/>
  <c r="AT1721" i="1"/>
  <c r="T1721" i="1"/>
  <c r="AT1657" i="1"/>
  <c r="T1657" i="1"/>
  <c r="AT1593" i="1"/>
  <c r="T1593" i="1"/>
  <c r="AT1529" i="1"/>
  <c r="T1529" i="1"/>
  <c r="AT1465" i="1"/>
  <c r="T1465" i="1"/>
  <c r="AT1401" i="1"/>
  <c r="T1401" i="1"/>
  <c r="AT1337" i="1"/>
  <c r="T1337" i="1"/>
  <c r="AT1273" i="1"/>
  <c r="T1273" i="1"/>
  <c r="AT1209" i="1"/>
  <c r="T1209" i="1"/>
  <c r="AT1145" i="1"/>
  <c r="T1145" i="1"/>
  <c r="AT1081" i="1"/>
  <c r="T1081" i="1"/>
  <c r="AT1017" i="1"/>
  <c r="T1017" i="1"/>
  <c r="AT953" i="1"/>
  <c r="T953" i="1"/>
  <c r="AT889" i="1"/>
  <c r="T889" i="1"/>
  <c r="AT825" i="1"/>
  <c r="T825" i="1"/>
  <c r="AT761" i="1"/>
  <c r="T761" i="1"/>
  <c r="AT697" i="1"/>
  <c r="T697" i="1"/>
  <c r="AT633" i="1"/>
  <c r="T633" i="1"/>
  <c r="AT569" i="1"/>
  <c r="T569" i="1"/>
  <c r="AT505" i="1"/>
  <c r="T505" i="1"/>
  <c r="AT441" i="1"/>
  <c r="T441" i="1"/>
  <c r="AT377" i="1"/>
  <c r="T377" i="1"/>
  <c r="AT313" i="1"/>
  <c r="T313" i="1"/>
  <c r="AT249" i="1"/>
  <c r="T249" i="1"/>
  <c r="AT185" i="1"/>
  <c r="T185" i="1"/>
  <c r="AT121" i="1"/>
  <c r="T121" i="1"/>
  <c r="AT57" i="1"/>
  <c r="T57" i="1"/>
  <c r="AT1724" i="1"/>
  <c r="T1724" i="1"/>
  <c r="AT1660" i="1"/>
  <c r="T1660" i="1"/>
  <c r="AT1596" i="1"/>
  <c r="T1596" i="1"/>
  <c r="AT1532" i="1"/>
  <c r="T1532" i="1"/>
  <c r="AT1468" i="1"/>
  <c r="T1468" i="1"/>
  <c r="AT1404" i="1"/>
  <c r="T1404" i="1"/>
  <c r="AT1340" i="1"/>
  <c r="T1340" i="1"/>
  <c r="AT1276" i="1"/>
  <c r="T1276" i="1"/>
  <c r="AT1212" i="1"/>
  <c r="T1212" i="1"/>
  <c r="T1148" i="1"/>
  <c r="AT1148" i="1"/>
  <c r="T1084" i="1"/>
  <c r="AT1084" i="1"/>
  <c r="T1020" i="1"/>
  <c r="AT1020" i="1"/>
  <c r="T956" i="1"/>
  <c r="AT956" i="1"/>
  <c r="T892" i="1"/>
  <c r="AT892" i="1"/>
  <c r="T828" i="1"/>
  <c r="AT828" i="1"/>
  <c r="T764" i="1"/>
  <c r="AT764" i="1"/>
  <c r="AT700" i="1"/>
  <c r="T700" i="1"/>
  <c r="AT636" i="1"/>
  <c r="T636" i="1"/>
  <c r="AT572" i="1"/>
  <c r="T572" i="1"/>
  <c r="AT508" i="1"/>
  <c r="T508" i="1"/>
  <c r="AT444" i="1"/>
  <c r="T444" i="1"/>
  <c r="AT380" i="1"/>
  <c r="T380" i="1"/>
  <c r="AT316" i="1"/>
  <c r="T316" i="1"/>
  <c r="AT252" i="1"/>
  <c r="T252" i="1"/>
  <c r="AT188" i="1"/>
  <c r="T188" i="1"/>
  <c r="AT124" i="1"/>
  <c r="T124" i="1"/>
  <c r="AT60" i="1"/>
  <c r="T60" i="1"/>
  <c r="AV917" i="1"/>
  <c r="AV1708" i="1"/>
  <c r="AV1676" i="1"/>
  <c r="AV1644" i="1"/>
  <c r="AV1612" i="1"/>
  <c r="AV1580" i="1"/>
  <c r="AV1548" i="1"/>
  <c r="AV1516" i="1"/>
  <c r="AV1484" i="1"/>
  <c r="AV1452" i="1"/>
  <c r="AV1420" i="1"/>
  <c r="AV1388" i="1"/>
  <c r="AV1356" i="1"/>
  <c r="AV1324" i="1"/>
  <c r="AV1292" i="1"/>
  <c r="AV1260" i="1"/>
  <c r="AV1228" i="1"/>
  <c r="AV1196" i="1"/>
  <c r="AV1164" i="1"/>
  <c r="AV1132" i="1"/>
  <c r="AV1100" i="1"/>
  <c r="AV1068" i="1"/>
  <c r="AV1036" i="1"/>
  <c r="AV1004" i="1"/>
  <c r="AV972" i="1"/>
  <c r="AV940" i="1"/>
  <c r="AV908" i="1"/>
  <c r="AV876" i="1"/>
  <c r="AV844" i="1"/>
  <c r="AV812" i="1"/>
  <c r="AV780" i="1"/>
  <c r="AV748" i="1"/>
  <c r="AV716" i="1"/>
  <c r="AV684" i="1"/>
  <c r="AV652" i="1"/>
  <c r="AV620" i="1"/>
  <c r="AV588" i="1"/>
  <c r="AV556" i="1"/>
  <c r="AV524" i="1"/>
  <c r="AV492" i="1"/>
  <c r="AV460" i="1"/>
  <c r="AV428" i="1"/>
  <c r="AV396" i="1"/>
  <c r="AV364" i="1"/>
  <c r="AV332" i="1"/>
  <c r="AV300" i="1"/>
  <c r="AV268" i="1"/>
  <c r="AV236" i="1"/>
  <c r="AV204" i="1"/>
  <c r="AV172" i="1"/>
  <c r="AV140" i="1"/>
  <c r="AV108" i="1"/>
  <c r="AV76" i="1"/>
  <c r="AV44" i="1"/>
  <c r="AV12" i="1"/>
  <c r="AT1705" i="1"/>
  <c r="T1705" i="1"/>
  <c r="AT1641" i="1"/>
  <c r="T1641" i="1"/>
  <c r="AT1577" i="1"/>
  <c r="T1577" i="1"/>
  <c r="AT1513" i="1"/>
  <c r="T1513" i="1"/>
  <c r="AT1449" i="1"/>
  <c r="T1449" i="1"/>
  <c r="AT1385" i="1"/>
  <c r="T1385" i="1"/>
  <c r="AT1321" i="1"/>
  <c r="T1321" i="1"/>
  <c r="AT1257" i="1"/>
  <c r="T1257" i="1"/>
  <c r="AT1193" i="1"/>
  <c r="T1193" i="1"/>
  <c r="AT1129" i="1"/>
  <c r="T1129" i="1"/>
  <c r="AT1065" i="1"/>
  <c r="T1065" i="1"/>
  <c r="AT1001" i="1"/>
  <c r="T1001" i="1"/>
  <c r="AT937" i="1"/>
  <c r="T937" i="1"/>
  <c r="AT873" i="1"/>
  <c r="T873" i="1"/>
  <c r="AT809" i="1"/>
  <c r="T809" i="1"/>
  <c r="AT745" i="1"/>
  <c r="T745" i="1"/>
  <c r="AT681" i="1"/>
  <c r="T681" i="1"/>
  <c r="AT617" i="1"/>
  <c r="T617" i="1"/>
  <c r="AT553" i="1"/>
  <c r="T553" i="1"/>
  <c r="AT489" i="1"/>
  <c r="T489" i="1"/>
  <c r="AT425" i="1"/>
  <c r="T425" i="1"/>
  <c r="AT361" i="1"/>
  <c r="T361" i="1"/>
  <c r="AT297" i="1"/>
  <c r="T297" i="1"/>
  <c r="AT233" i="1"/>
  <c r="T233" i="1"/>
  <c r="AT169" i="1"/>
  <c r="T169" i="1"/>
  <c r="AT105" i="1"/>
  <c r="T105" i="1"/>
  <c r="AT41" i="1"/>
  <c r="T41" i="1"/>
  <c r="AT1708" i="1"/>
  <c r="T1708" i="1"/>
  <c r="AT1644" i="1"/>
  <c r="T1644" i="1"/>
  <c r="AT1580" i="1"/>
  <c r="T1580" i="1"/>
  <c r="AT1516" i="1"/>
  <c r="T1516" i="1"/>
  <c r="AT1452" i="1"/>
  <c r="T1452" i="1"/>
  <c r="AT1388" i="1"/>
  <c r="T1388" i="1"/>
  <c r="AT1324" i="1"/>
  <c r="T1324" i="1"/>
  <c r="AT1260" i="1"/>
  <c r="T1260" i="1"/>
  <c r="T1196" i="1"/>
  <c r="AT1196" i="1"/>
  <c r="T1132" i="1"/>
  <c r="AT1132" i="1"/>
  <c r="T1068" i="1"/>
  <c r="AT1068" i="1"/>
  <c r="T1004" i="1"/>
  <c r="AT1004" i="1"/>
  <c r="T940" i="1"/>
  <c r="AT940" i="1"/>
  <c r="T876" i="1"/>
  <c r="AT876" i="1"/>
  <c r="T812" i="1"/>
  <c r="AT812" i="1"/>
  <c r="T748" i="1"/>
  <c r="AT748" i="1"/>
  <c r="AT684" i="1"/>
  <c r="T684" i="1"/>
  <c r="AT620" i="1"/>
  <c r="T620" i="1"/>
  <c r="AT556" i="1"/>
  <c r="T556" i="1"/>
  <c r="AT492" i="1"/>
  <c r="T492" i="1"/>
  <c r="AT428" i="1"/>
  <c r="T428" i="1"/>
  <c r="AT364" i="1"/>
  <c r="T364" i="1"/>
  <c r="AT300" i="1"/>
  <c r="T300" i="1"/>
  <c r="AT236" i="1"/>
  <c r="T236" i="1"/>
  <c r="AT172" i="1"/>
  <c r="T172" i="1"/>
  <c r="AT108" i="1"/>
  <c r="T108" i="1"/>
  <c r="AT44" i="1"/>
  <c r="T44" i="1"/>
  <c r="AV965" i="1"/>
  <c r="AV901" i="1"/>
  <c r="AV853" i="1"/>
  <c r="AV821" i="1"/>
  <c r="AV789" i="1"/>
  <c r="AV757" i="1"/>
  <c r="AV725" i="1"/>
  <c r="AV693" i="1"/>
  <c r="AV661" i="1"/>
  <c r="AV629" i="1"/>
  <c r="AV597" i="1"/>
  <c r="AV565" i="1"/>
  <c r="AV533" i="1"/>
  <c r="AV501" i="1"/>
  <c r="AV469" i="1"/>
  <c r="AV437" i="1"/>
  <c r="AV405" i="1"/>
  <c r="AV373" i="1"/>
  <c r="AV341" i="1"/>
  <c r="AV309" i="1"/>
  <c r="AV277" i="1"/>
  <c r="AV245" i="1"/>
  <c r="AV213" i="1"/>
  <c r="AV181" i="1"/>
  <c r="AV149" i="1"/>
  <c r="AV117" i="1"/>
  <c r="AV85" i="1"/>
  <c r="AV53" i="1"/>
  <c r="AV21" i="1"/>
  <c r="D4" i="183" l="1"/>
  <c r="E23" i="183" s="1"/>
  <c r="B4" i="183"/>
  <c r="C4" i="183"/>
  <c r="BB37" i="1"/>
  <c r="BB36" i="1"/>
  <c r="BB31" i="1"/>
  <c r="BB32" i="1"/>
  <c r="BD1192" i="1"/>
  <c r="BD209" i="1"/>
  <c r="BD697" i="1"/>
  <c r="BD1404" i="1"/>
  <c r="BD109" i="1"/>
  <c r="BD237" i="1"/>
  <c r="BD557" i="1"/>
  <c r="BI557" i="1" s="1"/>
  <c r="BD621" i="1"/>
  <c r="BI621" i="1" s="1"/>
  <c r="BD631" i="1"/>
  <c r="BD855" i="1"/>
  <c r="BD216" i="1"/>
  <c r="BD320" i="1"/>
  <c r="BD384" i="1"/>
  <c r="BD305" i="1"/>
  <c r="BD961" i="1"/>
  <c r="BD993" i="1"/>
  <c r="BI993" i="1" s="1"/>
  <c r="BD1693" i="1"/>
  <c r="BI1693" i="1" s="1"/>
  <c r="BD222" i="1"/>
  <c r="BD478" i="1"/>
  <c r="BD542" i="1"/>
  <c r="BI542" i="1" s="1"/>
  <c r="BD862" i="1"/>
  <c r="BD1054" i="1"/>
  <c r="BD1182" i="1"/>
  <c r="BD1246" i="1"/>
  <c r="BD1694" i="1"/>
  <c r="BI1694" i="1" s="1"/>
  <c r="BD155" i="1"/>
  <c r="BD219" i="1"/>
  <c r="BD784" i="1"/>
  <c r="BD1264" i="1"/>
  <c r="BD968" i="1"/>
  <c r="BD1224" i="1"/>
  <c r="BI1224" i="1" s="1"/>
  <c r="BD1432" i="1"/>
  <c r="BI1432" i="1" s="1"/>
  <c r="BD1464" i="1"/>
  <c r="BD1496" i="1"/>
  <c r="BI1496" i="1" s="1"/>
  <c r="BD531" i="1"/>
  <c r="BI531" i="1" s="1"/>
  <c r="BD659" i="1"/>
  <c r="BD883" i="1"/>
  <c r="BD944" i="1"/>
  <c r="BD201" i="1"/>
  <c r="BD712" i="1"/>
  <c r="BD36" i="1"/>
  <c r="BD164" i="1"/>
  <c r="BD196" i="1"/>
  <c r="BD260" i="1"/>
  <c r="BD484" i="1"/>
  <c r="BD676" i="1"/>
  <c r="BI676" i="1" s="1"/>
  <c r="BD996" i="1"/>
  <c r="BI996" i="1" s="1"/>
  <c r="BD1124" i="1"/>
  <c r="BI1124" i="1" s="1"/>
  <c r="BD1252" i="1"/>
  <c r="BD1396" i="1"/>
  <c r="BD1460" i="1"/>
  <c r="BD1692" i="1"/>
  <c r="BD61" i="1"/>
  <c r="BD253" i="1"/>
  <c r="BD997" i="1"/>
  <c r="BI997" i="1" s="1"/>
  <c r="BD1045" i="1"/>
  <c r="BD1109" i="1"/>
  <c r="BD598" i="1"/>
  <c r="BI598" i="1" s="1"/>
  <c r="BD662" i="1"/>
  <c r="BD1046" i="1"/>
  <c r="BD1110" i="1"/>
  <c r="BD339" i="1"/>
  <c r="BD1251" i="1"/>
  <c r="BD1047" i="1"/>
  <c r="BD1431" i="1"/>
  <c r="BI1431" i="1" s="1"/>
  <c r="BD1495" i="1"/>
  <c r="BI1495" i="1" s="1"/>
  <c r="BD1033" i="1"/>
  <c r="BI1033" i="1" s="1"/>
  <c r="BD1257" i="1"/>
  <c r="BD1289" i="1"/>
  <c r="BI1289" i="1" s="1"/>
  <c r="BD1385" i="1"/>
  <c r="BI1385" i="1" s="1"/>
  <c r="BD1481" i="1"/>
  <c r="BD1513" i="1"/>
  <c r="BD522" i="1"/>
  <c r="BD554" i="1"/>
  <c r="BI554" i="1" s="1"/>
  <c r="BD778" i="1"/>
  <c r="BD906" i="1"/>
  <c r="BD1034" i="1"/>
  <c r="BI1034" i="1" s="1"/>
  <c r="BD1290" i="1"/>
  <c r="BI1290" i="1" s="1"/>
  <c r="BD1322" i="1"/>
  <c r="BI1322" i="1" s="1"/>
  <c r="BD1386" i="1"/>
  <c r="BD1450" i="1"/>
  <c r="BD1514" i="1"/>
  <c r="BD455" i="1"/>
  <c r="BD495" i="1"/>
  <c r="BD943" i="1"/>
  <c r="BD1263" i="1"/>
  <c r="BD979" i="1"/>
  <c r="BD1019" i="1"/>
  <c r="BD1051" i="1"/>
  <c r="BI1051" i="1" s="1"/>
  <c r="BD1291" i="1"/>
  <c r="BI1291" i="1" s="1"/>
  <c r="BD1323" i="1"/>
  <c r="BI1323" i="1" s="1"/>
  <c r="BD1387" i="1"/>
  <c r="BD1419" i="1"/>
  <c r="BD1451" i="1"/>
  <c r="BD1675" i="1"/>
  <c r="BB196" i="1"/>
  <c r="BB1020" i="1"/>
  <c r="BB1316" i="1"/>
  <c r="BB1556" i="1"/>
  <c r="BB164" i="1"/>
  <c r="BB884" i="1"/>
  <c r="BB996" i="1"/>
  <c r="BB805" i="1"/>
  <c r="BB1013" i="1"/>
  <c r="BB1265" i="1"/>
  <c r="BB1457" i="1"/>
  <c r="BB306" i="1"/>
  <c r="BB946" i="1"/>
  <c r="BB1266" i="1"/>
  <c r="BB1458" i="1"/>
  <c r="BB367" i="1"/>
  <c r="BB495" i="1"/>
  <c r="BB340" i="1"/>
  <c r="BB484" i="1"/>
  <c r="BB660" i="1"/>
  <c r="BB852" i="1"/>
  <c r="BB1124" i="1"/>
  <c r="BB1183" i="1"/>
  <c r="BB1247" i="1"/>
  <c r="BB1343" i="1"/>
  <c r="BB1052" i="1"/>
  <c r="BB53" i="1"/>
  <c r="BB557" i="1"/>
  <c r="BB216" i="1"/>
  <c r="BB280" i="1"/>
  <c r="BB312" i="1"/>
  <c r="BB632" i="1"/>
  <c r="BB696" i="1"/>
  <c r="BB856" i="1"/>
  <c r="BB984" i="1"/>
  <c r="BB1208" i="1"/>
  <c r="BB1432" i="1"/>
  <c r="BB1464" i="1"/>
  <c r="BB1656" i="1"/>
  <c r="BB1688" i="1"/>
  <c r="BB217" i="1"/>
  <c r="BB281" i="1"/>
  <c r="BB633" i="1"/>
  <c r="BB697" i="1"/>
  <c r="BB953" i="1"/>
  <c r="BB985" i="1"/>
  <c r="BB1017" i="1"/>
  <c r="BB1209" i="1"/>
  <c r="BB1465" i="1"/>
  <c r="BB634" i="1"/>
  <c r="BB954" i="1"/>
  <c r="BB1018" i="1"/>
  <c r="BB1210" i="1"/>
  <c r="BB311" i="1"/>
  <c r="BB631" i="1"/>
  <c r="BB943" i="1"/>
  <c r="BB1039" i="1"/>
  <c r="BB1125" i="1"/>
  <c r="BB1189" i="1"/>
  <c r="BB1285" i="1"/>
  <c r="BB1317" i="1"/>
  <c r="BB294" i="1"/>
  <c r="BB454" i="1"/>
  <c r="BB518" i="1"/>
  <c r="BB806" i="1"/>
  <c r="BB1190" i="1"/>
  <c r="BB1222" i="1"/>
  <c r="BB1254" i="1"/>
  <c r="BB1286" i="1"/>
  <c r="BB1542" i="1"/>
  <c r="BB163" i="1"/>
  <c r="BB259" i="1"/>
  <c r="BB355" i="1"/>
  <c r="BB387" i="1"/>
  <c r="BB483" i="1"/>
  <c r="BB675" i="1"/>
  <c r="BB1251" i="1"/>
  <c r="BB1411" i="1"/>
  <c r="BB1667" i="1"/>
  <c r="BD321" i="1"/>
  <c r="BD521" i="1"/>
  <c r="BD1420" i="1"/>
  <c r="BD197" i="1"/>
  <c r="BD861" i="1"/>
  <c r="BD635" i="1"/>
  <c r="BD667" i="1"/>
  <c r="BD392" i="1"/>
  <c r="BD488" i="1"/>
  <c r="BD33" i="1"/>
  <c r="BD217" i="1"/>
  <c r="BD281" i="1"/>
  <c r="BD385" i="1"/>
  <c r="BD657" i="1"/>
  <c r="BD777" i="1"/>
  <c r="BD841" i="1"/>
  <c r="BD969" i="1"/>
  <c r="BD1645" i="1"/>
  <c r="BI1645" i="1" s="1"/>
  <c r="BD110" i="1"/>
  <c r="BD238" i="1"/>
  <c r="BD366" i="1"/>
  <c r="BD558" i="1"/>
  <c r="BI558" i="1" s="1"/>
  <c r="BD622" i="1"/>
  <c r="BI622" i="1" s="1"/>
  <c r="BD942" i="1"/>
  <c r="BD1006" i="1"/>
  <c r="BD1184" i="1"/>
  <c r="BD1656" i="1"/>
  <c r="BD673" i="1"/>
  <c r="BI673" i="1" s="1"/>
  <c r="BD984" i="1"/>
  <c r="BD1344" i="1"/>
  <c r="BD1568" i="1"/>
  <c r="BI1568" i="1" s="1"/>
  <c r="BD1600" i="1"/>
  <c r="BI1600" i="1" s="1"/>
  <c r="BD675" i="1"/>
  <c r="BI675" i="1" s="1"/>
  <c r="BD1688" i="1"/>
  <c r="BD713" i="1"/>
  <c r="BD140" i="1"/>
  <c r="BD524" i="1"/>
  <c r="BD844" i="1"/>
  <c r="BD940" i="1"/>
  <c r="BI940" i="1" s="1"/>
  <c r="BD1228" i="1"/>
  <c r="BD1292" i="1"/>
  <c r="BI1292" i="1" s="1"/>
  <c r="BD1412" i="1"/>
  <c r="BD1668" i="1"/>
  <c r="BD597" i="1"/>
  <c r="BI597" i="1" s="1"/>
  <c r="BD661" i="1"/>
  <c r="BD789" i="1"/>
  <c r="BD1005" i="1"/>
  <c r="BD1125" i="1"/>
  <c r="BI1125" i="1" s="1"/>
  <c r="BD1189" i="1"/>
  <c r="BD1317" i="1"/>
  <c r="BD294" i="1"/>
  <c r="BD806" i="1"/>
  <c r="BD1190" i="1"/>
  <c r="BD1254" i="1"/>
  <c r="BD35" i="1"/>
  <c r="BD163" i="1"/>
  <c r="BD355" i="1"/>
  <c r="BD483" i="1"/>
  <c r="BD999" i="1"/>
  <c r="BD1191" i="1"/>
  <c r="BD1255" i="1"/>
  <c r="BD1265" i="1"/>
  <c r="BD1425" i="1"/>
  <c r="BD1457" i="1"/>
  <c r="BI1457" i="1" s="1"/>
  <c r="BD210" i="1"/>
  <c r="BD306" i="1"/>
  <c r="BD338" i="1"/>
  <c r="BD658" i="1"/>
  <c r="BD946" i="1"/>
  <c r="BD1106" i="1"/>
  <c r="BD1234" i="1"/>
  <c r="BD1266" i="1"/>
  <c r="BD1458" i="1"/>
  <c r="BI1458" i="1" s="1"/>
  <c r="BD367" i="1"/>
  <c r="BD1343" i="1"/>
  <c r="BD1655" i="1"/>
  <c r="BD1687" i="1"/>
  <c r="BD1719" i="1"/>
  <c r="BD1227" i="1"/>
  <c r="BD1395" i="1"/>
  <c r="BB316" i="1"/>
  <c r="BB1044" i="1"/>
  <c r="BB1228" i="1"/>
  <c r="BB1324" i="1"/>
  <c r="BB1420" i="1"/>
  <c r="BB197" i="1"/>
  <c r="BB140" i="1"/>
  <c r="BB1452" i="1"/>
  <c r="BB109" i="1"/>
  <c r="BB541" i="1"/>
  <c r="BB957" i="1"/>
  <c r="BB1729" i="1"/>
  <c r="BB386" i="1"/>
  <c r="BB962" i="1"/>
  <c r="BB1410" i="1"/>
  <c r="BB1730" i="1"/>
  <c r="BB524" i="1"/>
  <c r="BB668" i="1"/>
  <c r="BB788" i="1"/>
  <c r="BB1644" i="1"/>
  <c r="BB661" i="1"/>
  <c r="BB1159" i="1"/>
  <c r="BB1191" i="1"/>
  <c r="BB1223" i="1"/>
  <c r="BB1255" i="1"/>
  <c r="BB1287" i="1"/>
  <c r="BB1479" i="1"/>
  <c r="BB1404" i="1"/>
  <c r="BB237" i="1"/>
  <c r="BB320" i="1"/>
  <c r="BB384" i="1"/>
  <c r="BB736" i="1"/>
  <c r="BB864" i="1"/>
  <c r="BB928" i="1"/>
  <c r="BB1184" i="1"/>
  <c r="BB1344" i="1"/>
  <c r="BB1568" i="1"/>
  <c r="BB1600" i="1"/>
  <c r="BB321" i="1"/>
  <c r="BB385" i="1"/>
  <c r="BB673" i="1"/>
  <c r="BB737" i="1"/>
  <c r="BB961" i="1"/>
  <c r="BB993" i="1"/>
  <c r="BB1033" i="1"/>
  <c r="BB1289" i="1"/>
  <c r="BB1481" i="1"/>
  <c r="BB522" i="1"/>
  <c r="BB778" i="1"/>
  <c r="BB906" i="1"/>
  <c r="BB1034" i="1"/>
  <c r="BB1290" i="1"/>
  <c r="BB455" i="1"/>
  <c r="BB519" i="1"/>
  <c r="BB711" i="1"/>
  <c r="BB1047" i="1"/>
  <c r="BB1357" i="1"/>
  <c r="BB1645" i="1"/>
  <c r="BB110" i="1"/>
  <c r="BB142" i="1"/>
  <c r="BB206" i="1"/>
  <c r="BB238" i="1"/>
  <c r="BB366" i="1"/>
  <c r="BB558" i="1"/>
  <c r="BB654" i="1"/>
  <c r="BB942" i="1"/>
  <c r="BB1006" i="1"/>
  <c r="BB1038" i="1"/>
  <c r="BB1358" i="1"/>
  <c r="BB1422" i="1"/>
  <c r="BB139" i="1"/>
  <c r="BB523" i="1"/>
  <c r="BB555" i="1"/>
  <c r="BB843" i="1"/>
  <c r="BB939" i="1"/>
  <c r="BB1035" i="1"/>
  <c r="BB1227" i="1"/>
  <c r="BB1291" i="1"/>
  <c r="BB1323" i="1"/>
  <c r="BB1387" i="1"/>
  <c r="BB1419" i="1"/>
  <c r="BB1451" i="1"/>
  <c r="BB1675" i="1"/>
  <c r="BB1655" i="1"/>
  <c r="BB1687" i="1"/>
  <c r="BB1719" i="1"/>
  <c r="BD1040" i="1"/>
  <c r="BI1040" i="1" s="1"/>
  <c r="BD141" i="1"/>
  <c r="BD487" i="1"/>
  <c r="BD519" i="1"/>
  <c r="BD711" i="1"/>
  <c r="BD32" i="1"/>
  <c r="BD200" i="1"/>
  <c r="BD496" i="1"/>
  <c r="BD864" i="1"/>
  <c r="BD737" i="1"/>
  <c r="BD945" i="1"/>
  <c r="BD1405" i="1"/>
  <c r="BD254" i="1"/>
  <c r="BD1534" i="1"/>
  <c r="BI1534" i="1" s="1"/>
  <c r="BD59" i="1"/>
  <c r="BD187" i="1"/>
  <c r="BI187" i="1" s="1"/>
  <c r="BD315" i="1"/>
  <c r="BD280" i="1"/>
  <c r="BD1384" i="1"/>
  <c r="BI1384" i="1" s="1"/>
  <c r="BD1480" i="1"/>
  <c r="BD1053" i="1"/>
  <c r="BD499" i="1"/>
  <c r="BD851" i="1"/>
  <c r="BD656" i="1"/>
  <c r="BD928" i="1"/>
  <c r="BD1000" i="1"/>
  <c r="BD633" i="1"/>
  <c r="BD52" i="1"/>
  <c r="BD244" i="1"/>
  <c r="BD340" i="1"/>
  <c r="BD500" i="1"/>
  <c r="BD532" i="1"/>
  <c r="BI532" i="1" s="1"/>
  <c r="BD660" i="1"/>
  <c r="BD756" i="1"/>
  <c r="BD788" i="1"/>
  <c r="BD852" i="1"/>
  <c r="BD884" i="1"/>
  <c r="BD980" i="1"/>
  <c r="BD1012" i="1"/>
  <c r="BD1044" i="1"/>
  <c r="BD1268" i="1"/>
  <c r="BI1268" i="1" s="1"/>
  <c r="BD1644" i="1"/>
  <c r="BI1644" i="1" s="1"/>
  <c r="BD1676" i="1"/>
  <c r="BD221" i="1"/>
  <c r="BD285" i="1"/>
  <c r="BD541" i="1"/>
  <c r="BI541" i="1" s="1"/>
  <c r="BD757" i="1"/>
  <c r="BD805" i="1"/>
  <c r="BD1013" i="1"/>
  <c r="BD1269" i="1"/>
  <c r="BI1269" i="1" s="1"/>
  <c r="BD1525" i="1"/>
  <c r="BI1525" i="1" s="1"/>
  <c r="BD1653" i="1"/>
  <c r="BD374" i="1"/>
  <c r="BD1014" i="1"/>
  <c r="BD1334" i="1"/>
  <c r="BI1334" i="1" s="1"/>
  <c r="BD1526" i="1"/>
  <c r="BI1526" i="1" s="1"/>
  <c r="BD1654" i="1"/>
  <c r="BD1718" i="1"/>
  <c r="BD243" i="1"/>
  <c r="BD1335" i="1"/>
  <c r="BI1335" i="1" s="1"/>
  <c r="BD1017" i="1"/>
  <c r="BD1209" i="1"/>
  <c r="BI1209" i="1" s="1"/>
  <c r="BD1433" i="1"/>
  <c r="BI1433" i="1" s="1"/>
  <c r="BD1465" i="1"/>
  <c r="BD1497" i="1"/>
  <c r="BD154" i="1"/>
  <c r="BD218" i="1"/>
  <c r="BD282" i="1"/>
  <c r="BD474" i="1"/>
  <c r="BD634" i="1"/>
  <c r="BD954" i="1"/>
  <c r="BD1018" i="1"/>
  <c r="BD1050" i="1"/>
  <c r="BI1050" i="1" s="1"/>
  <c r="BD1210" i="1"/>
  <c r="BI1210" i="1" s="1"/>
  <c r="BD1498" i="1"/>
  <c r="BD279" i="1"/>
  <c r="BD311" i="1"/>
  <c r="BD655" i="1"/>
  <c r="BD783" i="1"/>
  <c r="BD1039" i="1"/>
  <c r="BI1039" i="1" s="1"/>
  <c r="BD1423" i="1"/>
  <c r="BD1535" i="1"/>
  <c r="BI1535" i="1" s="1"/>
  <c r="BD1567" i="1"/>
  <c r="BI1567" i="1" s="1"/>
  <c r="BD1599" i="1"/>
  <c r="BI1599" i="1" s="1"/>
  <c r="BD1035" i="1"/>
  <c r="BI1035" i="1" s="1"/>
  <c r="BD1107" i="1"/>
  <c r="BD1235" i="1"/>
  <c r="BD1691" i="1"/>
  <c r="BB500" i="1"/>
  <c r="BB1268" i="1"/>
  <c r="BB844" i="1"/>
  <c r="BB980" i="1"/>
  <c r="BB1668" i="1"/>
  <c r="BB789" i="1"/>
  <c r="BB861" i="1"/>
  <c r="BB997" i="1"/>
  <c r="BB1425" i="1"/>
  <c r="BB210" i="1"/>
  <c r="BB658" i="1"/>
  <c r="BB1234" i="1"/>
  <c r="BB207" i="1"/>
  <c r="BB655" i="1"/>
  <c r="BB783" i="1"/>
  <c r="BB52" i="1"/>
  <c r="BB220" i="1"/>
  <c r="BB532" i="1"/>
  <c r="BB676" i="1"/>
  <c r="BB940" i="1"/>
  <c r="BB1396" i="1"/>
  <c r="BB1652" i="1"/>
  <c r="BB141" i="1"/>
  <c r="BB221" i="1"/>
  <c r="BB285" i="1"/>
  <c r="BB1263" i="1"/>
  <c r="BB1423" i="1"/>
  <c r="BB200" i="1"/>
  <c r="BB488" i="1"/>
  <c r="BB712" i="1"/>
  <c r="BB968" i="1"/>
  <c r="BB1032" i="1"/>
  <c r="BB1160" i="1"/>
  <c r="BB1192" i="1"/>
  <c r="BB1224" i="1"/>
  <c r="BB1256" i="1"/>
  <c r="BB1288" i="1"/>
  <c r="BB1384" i="1"/>
  <c r="BB1480" i="1"/>
  <c r="BB201" i="1"/>
  <c r="BB521" i="1"/>
  <c r="BB713" i="1"/>
  <c r="BB777" i="1"/>
  <c r="BB841" i="1"/>
  <c r="BB969" i="1"/>
  <c r="BB1433" i="1"/>
  <c r="BB1497" i="1"/>
  <c r="BB154" i="1"/>
  <c r="BB218" i="1"/>
  <c r="BB282" i="1"/>
  <c r="BB1050" i="1"/>
  <c r="BB1498" i="1"/>
  <c r="BB279" i="1"/>
  <c r="BB855" i="1"/>
  <c r="BB1055" i="1"/>
  <c r="BB1045" i="1"/>
  <c r="BB1109" i="1"/>
  <c r="BB1269" i="1"/>
  <c r="BB1525" i="1"/>
  <c r="BB1653" i="1"/>
  <c r="BB598" i="1"/>
  <c r="BB662" i="1"/>
  <c r="BB1014" i="1"/>
  <c r="BB1046" i="1"/>
  <c r="BB1110" i="1"/>
  <c r="BB1334" i="1"/>
  <c r="BB1526" i="1"/>
  <c r="BB1654" i="1"/>
  <c r="BB1718" i="1"/>
  <c r="BB243" i="1"/>
  <c r="BB339" i="1"/>
  <c r="BB499" i="1"/>
  <c r="BB531" i="1"/>
  <c r="BB659" i="1"/>
  <c r="BB851" i="1"/>
  <c r="BB883" i="1"/>
  <c r="BB979" i="1"/>
  <c r="BB1043" i="1"/>
  <c r="BB1235" i="1"/>
  <c r="BB1395" i="1"/>
  <c r="BB1555" i="1"/>
  <c r="BB1535" i="1"/>
  <c r="BB1567" i="1"/>
  <c r="BB1599" i="1"/>
  <c r="BD736" i="1"/>
  <c r="BD337" i="1"/>
  <c r="BD1324" i="1"/>
  <c r="BI1324" i="1" s="1"/>
  <c r="BD1452" i="1"/>
  <c r="BD37" i="1"/>
  <c r="BD293" i="1"/>
  <c r="BD523" i="1"/>
  <c r="BD555" i="1"/>
  <c r="BI555" i="1" s="1"/>
  <c r="BD843" i="1"/>
  <c r="BD312" i="1"/>
  <c r="BD472" i="1"/>
  <c r="BD632" i="1"/>
  <c r="BD473" i="1"/>
  <c r="BD953" i="1"/>
  <c r="BD985" i="1"/>
  <c r="BD1021" i="1"/>
  <c r="BD1357" i="1"/>
  <c r="BD1677" i="1"/>
  <c r="BI1677" i="1" s="1"/>
  <c r="BD142" i="1"/>
  <c r="BD654" i="1"/>
  <c r="BD1038" i="1"/>
  <c r="BI1038" i="1" s="1"/>
  <c r="BD1358" i="1"/>
  <c r="BD1422" i="1"/>
  <c r="BD1678" i="1"/>
  <c r="BI1678" i="1" s="1"/>
  <c r="BD139" i="1"/>
  <c r="BD1256" i="1"/>
  <c r="BD696" i="1"/>
  <c r="BD856" i="1"/>
  <c r="BD1032" i="1"/>
  <c r="BI1032" i="1" s="1"/>
  <c r="BD1208" i="1"/>
  <c r="BI1208" i="1" s="1"/>
  <c r="BD1288" i="1"/>
  <c r="BI1288" i="1" s="1"/>
  <c r="BD1424" i="1"/>
  <c r="BD1456" i="1"/>
  <c r="BI1456" i="1" s="1"/>
  <c r="BD393" i="1"/>
  <c r="BD60" i="1"/>
  <c r="BD188" i="1"/>
  <c r="BI188" i="1" s="1"/>
  <c r="BD220" i="1"/>
  <c r="BD284" i="1"/>
  <c r="BD316" i="1"/>
  <c r="BD668" i="1"/>
  <c r="BD1020" i="1"/>
  <c r="BD1052" i="1"/>
  <c r="BI1052" i="1" s="1"/>
  <c r="BD1116" i="1"/>
  <c r="BD1316" i="1"/>
  <c r="BD1556" i="1"/>
  <c r="BD1652" i="1"/>
  <c r="BD53" i="1"/>
  <c r="BD373" i="1"/>
  <c r="BD1285" i="1"/>
  <c r="BD454" i="1"/>
  <c r="BD518" i="1"/>
  <c r="BD1222" i="1"/>
  <c r="BI1222" i="1" s="1"/>
  <c r="BD1286" i="1"/>
  <c r="BD1542" i="1"/>
  <c r="BD259" i="1"/>
  <c r="BD387" i="1"/>
  <c r="BD1223" i="1"/>
  <c r="BI1223" i="1" s="1"/>
  <c r="BD1287" i="1"/>
  <c r="BD1479" i="1"/>
  <c r="BD1555" i="1"/>
  <c r="BD1729" i="1"/>
  <c r="BD34" i="1"/>
  <c r="BD354" i="1"/>
  <c r="BD386" i="1"/>
  <c r="BD482" i="1"/>
  <c r="BD674" i="1"/>
  <c r="BI674" i="1" s="1"/>
  <c r="BD962" i="1"/>
  <c r="BD994" i="1"/>
  <c r="BI994" i="1" s="1"/>
  <c r="BD1410" i="1"/>
  <c r="BD1730" i="1"/>
  <c r="BD31" i="1"/>
  <c r="BD223" i="1"/>
  <c r="BD479" i="1"/>
  <c r="BD735" i="1"/>
  <c r="BD863" i="1"/>
  <c r="BD927" i="1"/>
  <c r="BD1055" i="1"/>
  <c r="BD1183" i="1"/>
  <c r="BD1247" i="1"/>
  <c r="BD1543" i="1"/>
  <c r="BD939" i="1"/>
  <c r="BI939" i="1" s="1"/>
  <c r="BD1043" i="1"/>
  <c r="BD1115" i="1"/>
  <c r="BD1411" i="1"/>
  <c r="BD1667" i="1"/>
  <c r="BB188" i="1"/>
  <c r="BB1012" i="1"/>
  <c r="BB757" i="1"/>
  <c r="BB284" i="1"/>
  <c r="BB1692" i="1"/>
  <c r="BB1005" i="1"/>
  <c r="BB1249" i="1"/>
  <c r="BB354" i="1"/>
  <c r="BB482" i="1"/>
  <c r="BB674" i="1"/>
  <c r="BB994" i="1"/>
  <c r="BB1250" i="1"/>
  <c r="BB223" i="1"/>
  <c r="BB479" i="1"/>
  <c r="BB735" i="1"/>
  <c r="BB863" i="1"/>
  <c r="BB927" i="1"/>
  <c r="BB260" i="1"/>
  <c r="BB756" i="1"/>
  <c r="BB1116" i="1"/>
  <c r="BB1292" i="1"/>
  <c r="BB293" i="1"/>
  <c r="BB597" i="1"/>
  <c r="BB1335" i="1"/>
  <c r="BB1431" i="1"/>
  <c r="BB244" i="1"/>
  <c r="BB1252" i="1"/>
  <c r="BB1676" i="1"/>
  <c r="BB253" i="1"/>
  <c r="BB496" i="1"/>
  <c r="BB656" i="1"/>
  <c r="BB784" i="1"/>
  <c r="BB944" i="1"/>
  <c r="BB1040" i="1"/>
  <c r="BB1264" i="1"/>
  <c r="BB1424" i="1"/>
  <c r="BB1456" i="1"/>
  <c r="BB209" i="1"/>
  <c r="BB305" i="1"/>
  <c r="BB657" i="1"/>
  <c r="BB945" i="1"/>
  <c r="BB1257" i="1"/>
  <c r="BB1385" i="1"/>
  <c r="BB1513" i="1"/>
  <c r="BB554" i="1"/>
  <c r="BB1322" i="1"/>
  <c r="BB1386" i="1"/>
  <c r="BB1450" i="1"/>
  <c r="BB1514" i="1"/>
  <c r="BB487" i="1"/>
  <c r="BB1021" i="1"/>
  <c r="BB1053" i="1"/>
  <c r="BB1405" i="1"/>
  <c r="BB1693" i="1"/>
  <c r="BB222" i="1"/>
  <c r="BB254" i="1"/>
  <c r="BB478" i="1"/>
  <c r="BB542" i="1"/>
  <c r="BB862" i="1"/>
  <c r="BB958" i="1"/>
  <c r="BB1054" i="1"/>
  <c r="BB1182" i="1"/>
  <c r="BB1246" i="1"/>
  <c r="BB1534" i="1"/>
  <c r="BB1694" i="1"/>
  <c r="BB155" i="1"/>
  <c r="BB187" i="1"/>
  <c r="BB219" i="1"/>
  <c r="BB315" i="1"/>
  <c r="BB635" i="1"/>
  <c r="BB667" i="1"/>
  <c r="BB1019" i="1"/>
  <c r="BB1051" i="1"/>
  <c r="BB1115" i="1"/>
  <c r="BB1691" i="1"/>
  <c r="BB1543" i="1"/>
  <c r="BC284" i="1"/>
  <c r="BC1464" i="1"/>
  <c r="BC673" i="1"/>
  <c r="BC697" i="1"/>
  <c r="BC713" i="1"/>
  <c r="BC841" i="1"/>
  <c r="BC945" i="1"/>
  <c r="BC953" i="1"/>
  <c r="BC961" i="1"/>
  <c r="BC969" i="1"/>
  <c r="BC1433" i="1"/>
  <c r="BC1497" i="1"/>
  <c r="BC1645" i="1"/>
  <c r="BC110" i="1"/>
  <c r="BC154" i="1"/>
  <c r="BC218" i="1"/>
  <c r="BC238" i="1"/>
  <c r="BC282" i="1"/>
  <c r="BC366" i="1"/>
  <c r="BC474" i="1"/>
  <c r="BC558" i="1"/>
  <c r="BC622" i="1"/>
  <c r="BC942" i="1"/>
  <c r="BC1006" i="1"/>
  <c r="BC1050" i="1"/>
  <c r="BC1498" i="1"/>
  <c r="BC279" i="1"/>
  <c r="BC532" i="1"/>
  <c r="BC788" i="1"/>
  <c r="BC980" i="1"/>
  <c r="BC1052" i="1"/>
  <c r="BC1228" i="1"/>
  <c r="BC1404" i="1"/>
  <c r="BC1644" i="1"/>
  <c r="BC1652" i="1"/>
  <c r="BC1668" i="1"/>
  <c r="BC1676" i="1"/>
  <c r="BC1692" i="1"/>
  <c r="BC53" i="1"/>
  <c r="BC61" i="1"/>
  <c r="BC221" i="1"/>
  <c r="BC253" i="1"/>
  <c r="BC285" i="1"/>
  <c r="BC373" i="1"/>
  <c r="BC541" i="1"/>
  <c r="BC557" i="1"/>
  <c r="BC597" i="1"/>
  <c r="BC621" i="1"/>
  <c r="BC661" i="1"/>
  <c r="BC757" i="1"/>
  <c r="BC789" i="1"/>
  <c r="BC805" i="1"/>
  <c r="BC861" i="1"/>
  <c r="BC997" i="1"/>
  <c r="BC1005" i="1"/>
  <c r="BC1013" i="1"/>
  <c r="BC1269" i="1"/>
  <c r="BC1317" i="1"/>
  <c r="BC1425" i="1"/>
  <c r="BC210" i="1"/>
  <c r="BC294" i="1"/>
  <c r="BC338" i="1"/>
  <c r="BC658" i="1"/>
  <c r="BC806" i="1"/>
  <c r="BC1106" i="1"/>
  <c r="BC1190" i="1"/>
  <c r="BC1234" i="1"/>
  <c r="BC1254" i="1"/>
  <c r="BC35" i="1"/>
  <c r="BC163" i="1"/>
  <c r="BC355" i="1"/>
  <c r="BC483" i="1"/>
  <c r="BC735" i="1"/>
  <c r="BC1291" i="1"/>
  <c r="BC1323" i="1"/>
  <c r="BC1387" i="1"/>
  <c r="BC1419" i="1"/>
  <c r="BC1451" i="1"/>
  <c r="BC1675" i="1"/>
  <c r="BC1335" i="1"/>
  <c r="BC631" i="1"/>
  <c r="BC1251" i="1"/>
  <c r="BC1039" i="1"/>
  <c r="BC1456" i="1"/>
  <c r="BC260" i="1"/>
  <c r="BC660" i="1"/>
  <c r="BC141" i="1"/>
  <c r="BC851" i="1"/>
  <c r="BC883" i="1"/>
  <c r="BC1035" i="1"/>
  <c r="BC1107" i="1"/>
  <c r="BC164" i="1"/>
  <c r="BC188" i="1"/>
  <c r="BC1384" i="1"/>
  <c r="BC33" i="1"/>
  <c r="BC209" i="1"/>
  <c r="BC217" i="1"/>
  <c r="BC281" i="1"/>
  <c r="BC337" i="1"/>
  <c r="BC473" i="1"/>
  <c r="BC657" i="1"/>
  <c r="BC1033" i="1"/>
  <c r="BC1053" i="1"/>
  <c r="BC1289" i="1"/>
  <c r="BC1481" i="1"/>
  <c r="BC1693" i="1"/>
  <c r="BC222" i="1"/>
  <c r="BC478" i="1"/>
  <c r="BC522" i="1"/>
  <c r="BC542" i="1"/>
  <c r="BC778" i="1"/>
  <c r="BC862" i="1"/>
  <c r="BC906" i="1"/>
  <c r="BC1034" i="1"/>
  <c r="BC1054" i="1"/>
  <c r="BC1182" i="1"/>
  <c r="BC1246" i="1"/>
  <c r="BC1290" i="1"/>
  <c r="BC1694" i="1"/>
  <c r="BC155" i="1"/>
  <c r="BC219" i="1"/>
  <c r="BC455" i="1"/>
  <c r="BC140" i="1"/>
  <c r="BC220" i="1"/>
  <c r="BC668" i="1"/>
  <c r="BC756" i="1"/>
  <c r="BC852" i="1"/>
  <c r="BC1044" i="1"/>
  <c r="BC1116" i="1"/>
  <c r="BC1124" i="1"/>
  <c r="BC1292" i="1"/>
  <c r="BC1396" i="1"/>
  <c r="BC1460" i="1"/>
  <c r="BC1556" i="1"/>
  <c r="BC1045" i="1"/>
  <c r="BC1125" i="1"/>
  <c r="BC1729" i="1"/>
  <c r="BC386" i="1"/>
  <c r="BC598" i="1"/>
  <c r="BC662" i="1"/>
  <c r="BC962" i="1"/>
  <c r="BC1046" i="1"/>
  <c r="BC1110" i="1"/>
  <c r="BC1410" i="1"/>
  <c r="BC1730" i="1"/>
  <c r="BC339" i="1"/>
  <c r="BC1227" i="1"/>
  <c r="BC1395" i="1"/>
  <c r="BC1667" i="1"/>
  <c r="BC1255" i="1"/>
  <c r="BC1191" i="1"/>
  <c r="BC999" i="1"/>
  <c r="BC487" i="1"/>
  <c r="BC1543" i="1"/>
  <c r="BC1423" i="1"/>
  <c r="BC1247" i="1"/>
  <c r="BC1183" i="1"/>
  <c r="BC196" i="1"/>
  <c r="BC484" i="1"/>
  <c r="BC524" i="1"/>
  <c r="BC884" i="1"/>
  <c r="BC197" i="1"/>
  <c r="BC939" i="1"/>
  <c r="BC1043" i="1"/>
  <c r="BC1115" i="1"/>
  <c r="BC244" i="1"/>
  <c r="BC32" i="1"/>
  <c r="BC200" i="1"/>
  <c r="BC216" i="1"/>
  <c r="BC280" i="1"/>
  <c r="BC312" i="1"/>
  <c r="BC320" i="1"/>
  <c r="BC384" i="1"/>
  <c r="BC392" i="1"/>
  <c r="BC472" i="1"/>
  <c r="BC488" i="1"/>
  <c r="BC496" i="1"/>
  <c r="BC632" i="1"/>
  <c r="BC656" i="1"/>
  <c r="BC696" i="1"/>
  <c r="BC712" i="1"/>
  <c r="BC736" i="1"/>
  <c r="BC784" i="1"/>
  <c r="BC856" i="1"/>
  <c r="BC864" i="1"/>
  <c r="BC928" i="1"/>
  <c r="BC944" i="1"/>
  <c r="BC968" i="1"/>
  <c r="BC984" i="1"/>
  <c r="BC1000" i="1"/>
  <c r="BC1032" i="1"/>
  <c r="BC1040" i="1"/>
  <c r="BC1184" i="1"/>
  <c r="BC1192" i="1"/>
  <c r="BC1208" i="1"/>
  <c r="BC1224" i="1"/>
  <c r="BC1256" i="1"/>
  <c r="BC1264" i="1"/>
  <c r="BC1288" i="1"/>
  <c r="BC1424" i="1"/>
  <c r="BC1432" i="1"/>
  <c r="BC201" i="1"/>
  <c r="BC393" i="1"/>
  <c r="BC521" i="1"/>
  <c r="BC737" i="1"/>
  <c r="BC777" i="1"/>
  <c r="BC993" i="1"/>
  <c r="BC1017" i="1"/>
  <c r="BC1209" i="1"/>
  <c r="BC1357" i="1"/>
  <c r="BC1465" i="1"/>
  <c r="BC1677" i="1"/>
  <c r="BC142" i="1"/>
  <c r="BC634" i="1"/>
  <c r="BC654" i="1"/>
  <c r="BC954" i="1"/>
  <c r="BC1018" i="1"/>
  <c r="BC1038" i="1"/>
  <c r="BC1210" i="1"/>
  <c r="BC1358" i="1"/>
  <c r="BC1422" i="1"/>
  <c r="BC1678" i="1"/>
  <c r="BC139" i="1"/>
  <c r="BC311" i="1"/>
  <c r="BC52" i="1"/>
  <c r="BC316" i="1"/>
  <c r="BC940" i="1"/>
  <c r="BC1020" i="1"/>
  <c r="BC1324" i="1"/>
  <c r="BC1420" i="1"/>
  <c r="BC1452" i="1"/>
  <c r="BC1457" i="1"/>
  <c r="BC306" i="1"/>
  <c r="BC454" i="1"/>
  <c r="BC518" i="1"/>
  <c r="BC946" i="1"/>
  <c r="BC1222" i="1"/>
  <c r="BC1266" i="1"/>
  <c r="BC1286" i="1"/>
  <c r="BC1458" i="1"/>
  <c r="BC1542" i="1"/>
  <c r="BC259" i="1"/>
  <c r="BC367" i="1"/>
  <c r="BC387" i="1"/>
  <c r="BC495" i="1"/>
  <c r="BC655" i="1"/>
  <c r="BC863" i="1"/>
  <c r="BC927" i="1"/>
  <c r="BC1235" i="1"/>
  <c r="BC1691" i="1"/>
  <c r="BC1495" i="1"/>
  <c r="BC1431" i="1"/>
  <c r="BC1047" i="1"/>
  <c r="BC855" i="1"/>
  <c r="BC1599" i="1"/>
  <c r="BC1567" i="1"/>
  <c r="BC1535" i="1"/>
  <c r="BC1343" i="1"/>
  <c r="BC500" i="1"/>
  <c r="BC109" i="1"/>
  <c r="BC237" i="1"/>
  <c r="BC499" i="1"/>
  <c r="BC531" i="1"/>
  <c r="BC659" i="1"/>
  <c r="BC675" i="1"/>
  <c r="BC979" i="1"/>
  <c r="BC1019" i="1"/>
  <c r="BC1051" i="1"/>
  <c r="BC60" i="1"/>
  <c r="BC1344" i="1"/>
  <c r="BC1480" i="1"/>
  <c r="BC1496" i="1"/>
  <c r="BC1568" i="1"/>
  <c r="BC1600" i="1"/>
  <c r="BC1656" i="1"/>
  <c r="BC1688" i="1"/>
  <c r="BC305" i="1"/>
  <c r="BC321" i="1"/>
  <c r="BC385" i="1"/>
  <c r="BC633" i="1"/>
  <c r="BC985" i="1"/>
  <c r="BC1021" i="1"/>
  <c r="BC1257" i="1"/>
  <c r="BC1385" i="1"/>
  <c r="BC1405" i="1"/>
  <c r="BC1513" i="1"/>
  <c r="BC254" i="1"/>
  <c r="BC554" i="1"/>
  <c r="BC1322" i="1"/>
  <c r="BC1386" i="1"/>
  <c r="BC1450" i="1"/>
  <c r="BC1514" i="1"/>
  <c r="BC1534" i="1"/>
  <c r="BC59" i="1"/>
  <c r="BC187" i="1"/>
  <c r="BC315" i="1"/>
  <c r="BC523" i="1"/>
  <c r="BC555" i="1"/>
  <c r="BC635" i="1"/>
  <c r="BC667" i="1"/>
  <c r="BC843" i="1"/>
  <c r="BC36" i="1"/>
  <c r="BC844" i="1"/>
  <c r="BC996" i="1"/>
  <c r="BC1012" i="1"/>
  <c r="BC1252" i="1"/>
  <c r="BC1268" i="1"/>
  <c r="BC1316" i="1"/>
  <c r="BC1412" i="1"/>
  <c r="BC1109" i="1"/>
  <c r="BC1189" i="1"/>
  <c r="BC1265" i="1"/>
  <c r="BC1285" i="1"/>
  <c r="BC1525" i="1"/>
  <c r="BC1653" i="1"/>
  <c r="BC34" i="1"/>
  <c r="BC354" i="1"/>
  <c r="BC374" i="1"/>
  <c r="BC482" i="1"/>
  <c r="BC674" i="1"/>
  <c r="BC994" i="1"/>
  <c r="BC1014" i="1"/>
  <c r="BC1334" i="1"/>
  <c r="BC1526" i="1"/>
  <c r="BC1654" i="1"/>
  <c r="BC1718" i="1"/>
  <c r="BC31" i="1"/>
  <c r="BC223" i="1"/>
  <c r="BC243" i="1"/>
  <c r="BC479" i="1"/>
  <c r="BC783" i="1"/>
  <c r="BC1411" i="1"/>
  <c r="BC1555" i="1"/>
  <c r="BC1479" i="1"/>
  <c r="BC1287" i="1"/>
  <c r="BC1223" i="1"/>
  <c r="BC711" i="1"/>
  <c r="BC519" i="1"/>
  <c r="BC1719" i="1"/>
  <c r="BC1687" i="1"/>
  <c r="BC1655" i="1"/>
  <c r="BC1263" i="1"/>
  <c r="BC1055" i="1"/>
  <c r="BC943" i="1"/>
  <c r="BC340" i="1"/>
  <c r="BC676" i="1"/>
  <c r="BC37" i="1"/>
  <c r="BC293" i="1"/>
  <c r="Q3" i="22"/>
  <c r="R3" i="22"/>
  <c r="S3" i="22" s="1"/>
  <c r="Q4" i="22"/>
  <c r="R4" i="22"/>
  <c r="S4" i="22" s="1"/>
  <c r="Q5" i="22"/>
  <c r="R5" i="22"/>
  <c r="S5" i="22" s="1"/>
  <c r="Q6" i="22"/>
  <c r="R6" i="22"/>
  <c r="S6" i="22" s="1"/>
  <c r="Q7" i="22"/>
  <c r="R7" i="22"/>
  <c r="S7" i="22" s="1"/>
  <c r="Q8" i="22"/>
  <c r="R8" i="22"/>
  <c r="S8" i="22" s="1"/>
  <c r="Q9" i="22"/>
  <c r="R9" i="22"/>
  <c r="S9" i="22" s="1"/>
  <c r="Q10" i="22"/>
  <c r="R10" i="22"/>
  <c r="S10" i="22" s="1"/>
  <c r="Q11" i="22"/>
  <c r="R11" i="22"/>
  <c r="S11" i="22" s="1"/>
  <c r="Q12" i="22"/>
  <c r="R12" i="22"/>
  <c r="S12" i="22" s="1"/>
  <c r="Q13" i="22"/>
  <c r="R13" i="22"/>
  <c r="S13" i="22" s="1"/>
  <c r="Q14" i="22"/>
  <c r="R14" i="22"/>
  <c r="S14" i="22" s="1"/>
  <c r="Q15" i="22"/>
  <c r="R15" i="22"/>
  <c r="S15" i="22" s="1"/>
  <c r="Q16" i="22"/>
  <c r="R16" i="22"/>
  <c r="S16" i="22" s="1"/>
  <c r="Q17" i="22"/>
  <c r="R17" i="22"/>
  <c r="S17" i="22" s="1"/>
  <c r="Q18" i="22"/>
  <c r="R18" i="22"/>
  <c r="S18" i="22" s="1"/>
  <c r="Q19" i="22"/>
  <c r="R19" i="22"/>
  <c r="S19" i="22" s="1"/>
  <c r="Q20" i="22"/>
  <c r="R20" i="22"/>
  <c r="S20" i="22" s="1"/>
  <c r="Q21" i="22"/>
  <c r="R21" i="22"/>
  <c r="S21" i="22" s="1"/>
  <c r="Q22" i="22"/>
  <c r="R22" i="22"/>
  <c r="S22" i="22" s="1"/>
  <c r="Q23" i="22"/>
  <c r="R23" i="22"/>
  <c r="S23" i="22" s="1"/>
  <c r="Q24" i="22"/>
  <c r="R24" i="22"/>
  <c r="S24" i="22"/>
  <c r="Q25" i="22"/>
  <c r="R25" i="22"/>
  <c r="S25" i="22" s="1"/>
  <c r="Q26" i="22"/>
  <c r="R26" i="22"/>
  <c r="S26" i="22"/>
  <c r="Q27" i="22"/>
  <c r="R27" i="22"/>
  <c r="S27" i="22" s="1"/>
  <c r="Q28" i="22"/>
  <c r="R28" i="22"/>
  <c r="S28" i="22" s="1"/>
  <c r="Q29" i="22"/>
  <c r="R29" i="22"/>
  <c r="S29" i="22" s="1"/>
  <c r="Q30" i="22"/>
  <c r="R30" i="22"/>
  <c r="S30" i="22" s="1"/>
  <c r="Q31" i="22"/>
  <c r="R31" i="22"/>
  <c r="S31" i="22" s="1"/>
  <c r="Q32" i="22"/>
  <c r="R32" i="22"/>
  <c r="S32" i="22" s="1"/>
  <c r="Q33" i="22"/>
  <c r="R33" i="22"/>
  <c r="S33" i="22" s="1"/>
  <c r="Q34" i="22"/>
  <c r="R34" i="22"/>
  <c r="S34" i="22"/>
  <c r="Q35" i="22"/>
  <c r="R35" i="22"/>
  <c r="S35" i="22" s="1"/>
  <c r="Q36" i="22"/>
  <c r="R36" i="22"/>
  <c r="S36" i="22" s="1"/>
  <c r="Q37" i="22"/>
  <c r="R37" i="22"/>
  <c r="S37" i="22" s="1"/>
  <c r="Q38" i="22"/>
  <c r="R38" i="22"/>
  <c r="S38" i="22" s="1"/>
  <c r="Q39" i="22"/>
  <c r="R39" i="22"/>
  <c r="S39" i="22" s="1"/>
  <c r="Q40" i="22"/>
  <c r="R40" i="22"/>
  <c r="S40" i="22"/>
  <c r="Q41" i="22"/>
  <c r="R41" i="22"/>
  <c r="S41" i="22" s="1"/>
  <c r="Q42" i="22"/>
  <c r="R42" i="22"/>
  <c r="S42" i="22"/>
  <c r="Q43" i="22"/>
  <c r="R43" i="22"/>
  <c r="S43" i="22" s="1"/>
  <c r="Q44" i="22"/>
  <c r="R44" i="22"/>
  <c r="S44" i="22" s="1"/>
  <c r="Q45" i="22"/>
  <c r="R45" i="22"/>
  <c r="S45" i="22" s="1"/>
  <c r="Q46" i="22"/>
  <c r="R46" i="22"/>
  <c r="S46" i="22" s="1"/>
  <c r="Q47" i="22"/>
  <c r="R47" i="22"/>
  <c r="S47" i="22" s="1"/>
  <c r="Q48" i="22"/>
  <c r="R48" i="22"/>
  <c r="S48" i="22"/>
  <c r="Q49" i="22"/>
  <c r="R49" i="22"/>
  <c r="S49" i="22" s="1"/>
  <c r="Q50" i="22"/>
  <c r="R50" i="22"/>
  <c r="S50" i="22"/>
  <c r="Q51" i="22"/>
  <c r="R51" i="22"/>
  <c r="S51" i="22" s="1"/>
  <c r="Q52" i="22"/>
  <c r="R52" i="22"/>
  <c r="S52" i="22" s="1"/>
  <c r="Q53" i="22"/>
  <c r="R53" i="22"/>
  <c r="S53" i="22" s="1"/>
  <c r="Q54" i="22"/>
  <c r="R54" i="22"/>
  <c r="S54" i="22"/>
  <c r="Q55" i="22"/>
  <c r="R55" i="22"/>
  <c r="S55" i="22" s="1"/>
  <c r="Q56" i="22"/>
  <c r="R56" i="22"/>
  <c r="S56" i="22" s="1"/>
  <c r="Q57" i="22"/>
  <c r="R57" i="22"/>
  <c r="S57" i="22" s="1"/>
  <c r="Q58" i="22"/>
  <c r="R58" i="22"/>
  <c r="S58" i="22"/>
  <c r="Q59" i="22"/>
  <c r="R59" i="22"/>
  <c r="S59" i="22" s="1"/>
  <c r="Q60" i="22"/>
  <c r="R60" i="22"/>
  <c r="S60" i="22" s="1"/>
  <c r="Q61" i="22"/>
  <c r="R61" i="22"/>
  <c r="S61" i="22" s="1"/>
  <c r="Q62" i="22"/>
  <c r="R62" i="22"/>
  <c r="S62" i="22"/>
  <c r="Q63" i="22"/>
  <c r="R63" i="22"/>
  <c r="S63" i="22" s="1"/>
  <c r="Q64" i="22"/>
  <c r="R64" i="22"/>
  <c r="S64" i="22"/>
  <c r="Q65" i="22"/>
  <c r="R65" i="22"/>
  <c r="S65" i="22" s="1"/>
  <c r="Q66" i="22"/>
  <c r="R66" i="22"/>
  <c r="S66" i="22" s="1"/>
  <c r="Q67" i="22"/>
  <c r="R67" i="22"/>
  <c r="S67" i="22" s="1"/>
  <c r="Q68" i="22"/>
  <c r="R68" i="22"/>
  <c r="S68" i="22" s="1"/>
  <c r="Q69" i="22"/>
  <c r="R69" i="22"/>
  <c r="S69" i="22" s="1"/>
  <c r="Q70" i="22"/>
  <c r="R70" i="22"/>
  <c r="S70" i="22" s="1"/>
  <c r="Q71" i="22"/>
  <c r="R71" i="22"/>
  <c r="S71" i="22" s="1"/>
  <c r="Q72" i="22"/>
  <c r="R72" i="22"/>
  <c r="S72" i="22"/>
  <c r="Q73" i="22"/>
  <c r="R73" i="22"/>
  <c r="S73" i="22" s="1"/>
  <c r="Q74" i="22"/>
  <c r="R74" i="22"/>
  <c r="S74" i="22"/>
  <c r="Q75" i="22"/>
  <c r="R75" i="22"/>
  <c r="S75" i="22" s="1"/>
  <c r="Q76" i="22"/>
  <c r="R76" i="22"/>
  <c r="S76" i="22" s="1"/>
  <c r="Q77" i="22"/>
  <c r="R77" i="22"/>
  <c r="S77" i="22" s="1"/>
  <c r="Q78" i="22"/>
  <c r="R78" i="22"/>
  <c r="S78" i="22"/>
  <c r="Q79" i="22"/>
  <c r="R79" i="22"/>
  <c r="S79" i="22" s="1"/>
  <c r="Q80" i="22"/>
  <c r="R80" i="22"/>
  <c r="S80" i="22" s="1"/>
  <c r="Q81" i="22"/>
  <c r="R81" i="22"/>
  <c r="S81" i="22" s="1"/>
  <c r="Q82" i="22"/>
  <c r="R82" i="22"/>
  <c r="S82" i="22"/>
  <c r="Q83" i="22"/>
  <c r="R83" i="22"/>
  <c r="S83" i="22" s="1"/>
  <c r="Q84" i="22"/>
  <c r="R84" i="22"/>
  <c r="S84" i="22" s="1"/>
  <c r="Q85" i="22"/>
  <c r="R85" i="22"/>
  <c r="S85" i="22" s="1"/>
  <c r="Q86" i="22"/>
  <c r="R86" i="22"/>
  <c r="S86" i="22"/>
  <c r="Q87" i="22"/>
  <c r="R87" i="22"/>
  <c r="S87" i="22" s="1"/>
  <c r="Q88" i="22"/>
  <c r="R88" i="22"/>
  <c r="S88" i="22"/>
  <c r="Q89" i="22"/>
  <c r="R89" i="22"/>
  <c r="S89" i="22" s="1"/>
  <c r="Q90" i="22"/>
  <c r="R90" i="22"/>
  <c r="S90" i="22" s="1"/>
  <c r="Q91" i="22"/>
  <c r="R91" i="22"/>
  <c r="S91" i="22" s="1"/>
  <c r="Q92" i="22"/>
  <c r="R92" i="22"/>
  <c r="S92" i="22" s="1"/>
  <c r="Q93" i="22"/>
  <c r="R93" i="22"/>
  <c r="S93" i="22" s="1"/>
  <c r="Q94" i="22"/>
  <c r="R94" i="22"/>
  <c r="S94" i="22" s="1"/>
  <c r="Q95" i="22"/>
  <c r="R95" i="22"/>
  <c r="S95" i="22" s="1"/>
  <c r="Q96" i="22"/>
  <c r="R96" i="22"/>
  <c r="S96" i="22"/>
  <c r="Q97" i="22"/>
  <c r="R97" i="22"/>
  <c r="S97" i="22" s="1"/>
  <c r="Q98" i="22"/>
  <c r="R98" i="22"/>
  <c r="S98" i="22"/>
  <c r="Q99" i="22"/>
  <c r="R99" i="22"/>
  <c r="S99" i="22" s="1"/>
  <c r="Q100" i="22"/>
  <c r="R100" i="22"/>
  <c r="S100" i="22" s="1"/>
  <c r="Q101" i="22"/>
  <c r="R101" i="22"/>
  <c r="S101" i="22" s="1"/>
  <c r="Q102" i="22"/>
  <c r="R102" i="22"/>
  <c r="S102" i="22" s="1"/>
  <c r="Q103" i="22"/>
  <c r="R103" i="22"/>
  <c r="S103" i="22" s="1"/>
  <c r="Q104" i="22"/>
  <c r="R104" i="22"/>
  <c r="S104" i="22"/>
  <c r="Q105" i="22"/>
  <c r="R105" i="22"/>
  <c r="S105" i="22" s="1"/>
  <c r="Q106" i="22"/>
  <c r="R106" i="22"/>
  <c r="S106" i="22" s="1"/>
  <c r="Q107" i="22"/>
  <c r="R107" i="22"/>
  <c r="S107" i="22" s="1"/>
  <c r="Q108" i="22"/>
  <c r="R108" i="22"/>
  <c r="S108" i="22" s="1"/>
  <c r="Q109" i="22"/>
  <c r="R109" i="22"/>
  <c r="S109" i="22" s="1"/>
  <c r="Q110" i="22"/>
  <c r="R110" i="22"/>
  <c r="S110" i="22" s="1"/>
  <c r="Q111" i="22"/>
  <c r="R111" i="22"/>
  <c r="S111" i="22" s="1"/>
  <c r="Q112" i="22"/>
  <c r="R112" i="22"/>
  <c r="S112" i="22"/>
  <c r="Q113" i="22"/>
  <c r="R113" i="22"/>
  <c r="S113" i="22" s="1"/>
  <c r="Q114" i="22"/>
  <c r="R114" i="22"/>
  <c r="S114" i="22"/>
  <c r="Q115" i="22"/>
  <c r="R115" i="22"/>
  <c r="S115" i="22" s="1"/>
  <c r="Q116" i="22"/>
  <c r="R116" i="22"/>
  <c r="S116" i="22" s="1"/>
  <c r="Q117" i="22"/>
  <c r="R117" i="22"/>
  <c r="S117" i="22" s="1"/>
  <c r="Q118" i="22"/>
  <c r="R118" i="22"/>
  <c r="S118" i="22" s="1"/>
  <c r="Q119" i="22"/>
  <c r="R119" i="22"/>
  <c r="S119" i="22" s="1"/>
  <c r="Q120" i="22"/>
  <c r="R120" i="22"/>
  <c r="S120" i="22"/>
  <c r="Q121" i="22"/>
  <c r="R121" i="22"/>
  <c r="S121" i="22" s="1"/>
  <c r="Q122" i="22"/>
  <c r="R122" i="22"/>
  <c r="S122" i="22"/>
  <c r="Q123" i="22"/>
  <c r="R123" i="22"/>
  <c r="S123" i="22" s="1"/>
  <c r="Q124" i="22"/>
  <c r="R124" i="22"/>
  <c r="S124" i="22" s="1"/>
  <c r="Q125" i="22"/>
  <c r="R125" i="22"/>
  <c r="S125" i="22" s="1"/>
  <c r="Q126" i="22"/>
  <c r="R126" i="22"/>
  <c r="S126" i="22"/>
  <c r="Q127" i="22"/>
  <c r="R127" i="22"/>
  <c r="S127" i="22" s="1"/>
  <c r="Q128" i="22"/>
  <c r="R128" i="22"/>
  <c r="S128" i="22" s="1"/>
  <c r="Q129" i="22"/>
  <c r="R129" i="22"/>
  <c r="S129" i="22" s="1"/>
  <c r="Q130" i="22"/>
  <c r="R130" i="22"/>
  <c r="S130" i="22"/>
  <c r="Q131" i="22"/>
  <c r="R131" i="22"/>
  <c r="S131" i="22" s="1"/>
  <c r="Q132" i="22"/>
  <c r="R132" i="22"/>
  <c r="S132" i="22" s="1"/>
  <c r="Q133" i="22"/>
  <c r="R133" i="22"/>
  <c r="S133" i="22" s="1"/>
  <c r="Q134" i="22"/>
  <c r="R134" i="22"/>
  <c r="S134" i="22"/>
  <c r="Q135" i="22"/>
  <c r="R135" i="22"/>
  <c r="S135" i="22" s="1"/>
  <c r="Q136" i="22"/>
  <c r="R136" i="22"/>
  <c r="S136" i="22"/>
  <c r="Q137" i="22"/>
  <c r="R137" i="22"/>
  <c r="S137" i="22" s="1"/>
  <c r="Q138" i="22"/>
  <c r="R138" i="22"/>
  <c r="S138" i="22" s="1"/>
  <c r="Q139" i="22"/>
  <c r="R139" i="22"/>
  <c r="S139" i="22" s="1"/>
  <c r="Q140" i="22"/>
  <c r="R140" i="22"/>
  <c r="S140" i="22" s="1"/>
  <c r="Q141" i="22"/>
  <c r="R141" i="22"/>
  <c r="S141" i="22" s="1"/>
  <c r="Q142" i="22"/>
  <c r="R142" i="22"/>
  <c r="S142" i="22"/>
  <c r="Q143" i="22"/>
  <c r="R143" i="22"/>
  <c r="S143" i="22" s="1"/>
  <c r="Q144" i="22"/>
  <c r="R144" i="22"/>
  <c r="S144" i="22"/>
  <c r="Q145" i="22"/>
  <c r="R145" i="22"/>
  <c r="S145" i="22" s="1"/>
  <c r="Q146" i="22"/>
  <c r="R146" i="22"/>
  <c r="S146" i="22"/>
  <c r="Q147" i="22"/>
  <c r="R147" i="22"/>
  <c r="S147" i="22" s="1"/>
  <c r="Q148" i="22"/>
  <c r="R148" i="22"/>
  <c r="S148" i="22" s="1"/>
  <c r="Q149" i="22"/>
  <c r="R149" i="22"/>
  <c r="S149" i="22" s="1"/>
  <c r="Q150" i="22"/>
  <c r="R150" i="22"/>
  <c r="S150" i="22" s="1"/>
  <c r="Q151" i="22"/>
  <c r="R151" i="22"/>
  <c r="S151" i="22" s="1"/>
  <c r="Q152" i="22"/>
  <c r="R152" i="22"/>
  <c r="S152" i="22"/>
  <c r="Q153" i="22"/>
  <c r="R153" i="22"/>
  <c r="S153" i="22" s="1"/>
  <c r="Q154" i="22"/>
  <c r="R154" i="22"/>
  <c r="S154" i="22"/>
  <c r="Q155" i="22"/>
  <c r="R155" i="22"/>
  <c r="S155" i="22" s="1"/>
  <c r="Q156" i="22"/>
  <c r="R156" i="22"/>
  <c r="S156" i="22" s="1"/>
  <c r="Q157" i="22"/>
  <c r="R157" i="22"/>
  <c r="S157" i="22" s="1"/>
  <c r="Q158" i="22"/>
  <c r="R158" i="22"/>
  <c r="S158" i="22"/>
  <c r="Q159" i="22"/>
  <c r="R159" i="22"/>
  <c r="S159" i="22" s="1"/>
  <c r="Q160" i="22"/>
  <c r="R160" i="22"/>
  <c r="S160" i="22" s="1"/>
  <c r="Q161" i="22"/>
  <c r="R161" i="22"/>
  <c r="S161" i="22" s="1"/>
  <c r="Q162" i="22"/>
  <c r="R162" i="22"/>
  <c r="S162" i="22"/>
  <c r="Q163" i="22"/>
  <c r="R163" i="22"/>
  <c r="S163" i="22" s="1"/>
  <c r="Q164" i="22"/>
  <c r="R164" i="22"/>
  <c r="S164" i="22" s="1"/>
  <c r="Q165" i="22"/>
  <c r="R165" i="22"/>
  <c r="S165" i="22" s="1"/>
  <c r="Q166" i="22"/>
  <c r="R166" i="22"/>
  <c r="S166" i="22"/>
  <c r="Q167" i="22"/>
  <c r="R167" i="22"/>
  <c r="S167" i="22" s="1"/>
  <c r="Q168" i="22"/>
  <c r="R168" i="22"/>
  <c r="S168" i="22"/>
  <c r="Q169" i="22"/>
  <c r="R169" i="22"/>
  <c r="S169" i="22" s="1"/>
  <c r="Q170" i="22"/>
  <c r="R170" i="22"/>
  <c r="S170" i="22" s="1"/>
  <c r="Q171" i="22"/>
  <c r="R171" i="22"/>
  <c r="S171" i="22" s="1"/>
  <c r="Q172" i="22"/>
  <c r="R172" i="22"/>
  <c r="S172" i="22" s="1"/>
  <c r="Q173" i="22"/>
  <c r="R173" i="22"/>
  <c r="S173" i="22" s="1"/>
  <c r="Q174" i="22"/>
  <c r="R174" i="22"/>
  <c r="S174" i="22" s="1"/>
  <c r="Q175" i="22"/>
  <c r="R175" i="22"/>
  <c r="S175" i="22" s="1"/>
  <c r="Q176" i="22"/>
  <c r="R176" i="22"/>
  <c r="S176" i="22"/>
  <c r="Q177" i="22"/>
  <c r="R177" i="22"/>
  <c r="S177" i="22" s="1"/>
  <c r="Q178" i="22"/>
  <c r="R178" i="22"/>
  <c r="S178" i="22"/>
  <c r="Q179" i="22"/>
  <c r="R179" i="22"/>
  <c r="S179" i="22" s="1"/>
  <c r="Q180" i="22"/>
  <c r="R180" i="22"/>
  <c r="S180" i="22" s="1"/>
  <c r="Q181" i="22"/>
  <c r="R181" i="22"/>
  <c r="S181" i="22" s="1"/>
  <c r="Q182" i="22"/>
  <c r="R182" i="22"/>
  <c r="S182" i="22" s="1"/>
  <c r="Q183" i="22"/>
  <c r="R183" i="22"/>
  <c r="S183" i="22" s="1"/>
  <c r="Q184" i="22"/>
  <c r="R184" i="22"/>
  <c r="S184" i="22" s="1"/>
  <c r="Q185" i="22"/>
  <c r="R185" i="22"/>
  <c r="S185" i="22" s="1"/>
  <c r="Q186" i="22"/>
  <c r="R186" i="22"/>
  <c r="S186" i="22"/>
  <c r="Q187" i="22"/>
  <c r="R187" i="22"/>
  <c r="S187" i="22" s="1"/>
  <c r="Q188" i="22"/>
  <c r="R188" i="22"/>
  <c r="S188" i="22" s="1"/>
  <c r="Q189" i="22"/>
  <c r="R189" i="22"/>
  <c r="S189" i="22" s="1"/>
  <c r="Q190" i="22"/>
  <c r="R190" i="22"/>
  <c r="S190" i="22"/>
  <c r="Q191" i="22"/>
  <c r="R191" i="22"/>
  <c r="S191" i="22" s="1"/>
  <c r="Q192" i="22"/>
  <c r="R192" i="22"/>
  <c r="S192" i="22" s="1"/>
  <c r="Q193" i="22"/>
  <c r="R193" i="22"/>
  <c r="S193" i="22" s="1"/>
  <c r="Q194" i="22"/>
  <c r="R194" i="22"/>
  <c r="S194" i="22" s="1"/>
  <c r="Q195" i="22"/>
  <c r="R195" i="22"/>
  <c r="S195" i="22" s="1"/>
  <c r="Q196" i="22"/>
  <c r="R196" i="22"/>
  <c r="S196" i="22" s="1"/>
  <c r="Q197" i="22"/>
  <c r="R197" i="22"/>
  <c r="S197" i="22" s="1"/>
  <c r="Q198" i="22"/>
  <c r="R198" i="22"/>
  <c r="S198" i="22"/>
  <c r="Q199" i="22"/>
  <c r="R199" i="22"/>
  <c r="S199" i="22" s="1"/>
  <c r="Q200" i="22"/>
  <c r="R200" i="22"/>
  <c r="S200" i="22"/>
  <c r="Q201" i="22"/>
  <c r="R201" i="22"/>
  <c r="S201" i="22" s="1"/>
  <c r="Q202" i="22"/>
  <c r="R202" i="22"/>
  <c r="S202" i="22" s="1"/>
  <c r="Q203" i="22"/>
  <c r="R203" i="22"/>
  <c r="S203" i="22" s="1"/>
  <c r="Q204" i="22"/>
  <c r="R204" i="22"/>
  <c r="S204" i="22" s="1"/>
  <c r="Q205" i="22"/>
  <c r="R205" i="22"/>
  <c r="S205" i="22" s="1"/>
  <c r="Q206" i="22"/>
  <c r="R206" i="22"/>
  <c r="S206" i="22" s="1"/>
  <c r="Q207" i="22"/>
  <c r="R207" i="22"/>
  <c r="S207" i="22" s="1"/>
  <c r="Q208" i="22"/>
  <c r="R208" i="22"/>
  <c r="S208" i="22"/>
  <c r="Q209" i="22"/>
  <c r="R209" i="22"/>
  <c r="S209" i="22" s="1"/>
  <c r="Q210" i="22"/>
  <c r="R210" i="22"/>
  <c r="S210" i="22"/>
  <c r="Q211" i="22"/>
  <c r="R211" i="22"/>
  <c r="S211" i="22" s="1"/>
  <c r="Q212" i="22"/>
  <c r="R212" i="22"/>
  <c r="S212" i="22" s="1"/>
  <c r="Q213" i="22"/>
  <c r="R213" i="22"/>
  <c r="S213" i="22" s="1"/>
  <c r="Q214" i="22"/>
  <c r="R214" i="22"/>
  <c r="S214" i="22" s="1"/>
  <c r="Q215" i="22"/>
  <c r="R215" i="22"/>
  <c r="S215" i="22" s="1"/>
  <c r="Q216" i="22"/>
  <c r="R216" i="22"/>
  <c r="S216" i="22" s="1"/>
  <c r="Q217" i="22"/>
  <c r="R217" i="22"/>
  <c r="S217" i="22" s="1"/>
  <c r="Q218" i="22"/>
  <c r="R218" i="22"/>
  <c r="S218" i="22"/>
  <c r="Q219" i="22"/>
  <c r="R219" i="22"/>
  <c r="S219" i="22" s="1"/>
  <c r="Q220" i="22"/>
  <c r="R220" i="22"/>
  <c r="S220" i="22" s="1"/>
  <c r="Q221" i="22"/>
  <c r="R221" i="22"/>
  <c r="S221" i="22" s="1"/>
  <c r="Q222" i="22"/>
  <c r="R222" i="22"/>
  <c r="S222" i="22"/>
  <c r="Q223" i="22"/>
  <c r="R223" i="22"/>
  <c r="S223" i="22" s="1"/>
  <c r="Q224" i="22"/>
  <c r="R224" i="22"/>
  <c r="S224" i="22" s="1"/>
  <c r="Q225" i="22"/>
  <c r="R225" i="22"/>
  <c r="S225" i="22" s="1"/>
  <c r="Q226" i="22"/>
  <c r="R226" i="22"/>
  <c r="S226" i="22" s="1"/>
  <c r="Q227" i="22"/>
  <c r="R227" i="22"/>
  <c r="S227" i="22" s="1"/>
  <c r="Q228" i="22"/>
  <c r="R228" i="22"/>
  <c r="S228" i="22" s="1"/>
  <c r="Q229" i="22"/>
  <c r="R229" i="22"/>
  <c r="S229" i="22" s="1"/>
  <c r="Q230" i="22"/>
  <c r="R230" i="22"/>
  <c r="S230" i="22"/>
  <c r="Q231" i="22"/>
  <c r="R231" i="22"/>
  <c r="S231" i="22" s="1"/>
  <c r="Q232" i="22"/>
  <c r="R232" i="22"/>
  <c r="S232" i="22"/>
  <c r="Q233" i="22"/>
  <c r="R233" i="22"/>
  <c r="S233" i="22" s="1"/>
  <c r="Q234" i="22"/>
  <c r="R234" i="22"/>
  <c r="S234" i="22" s="1"/>
  <c r="Q235" i="22"/>
  <c r="R235" i="22"/>
  <c r="S235" i="22" s="1"/>
  <c r="Q236" i="22"/>
  <c r="R236" i="22"/>
  <c r="S236" i="22" s="1"/>
  <c r="Q237" i="22"/>
  <c r="R237" i="22"/>
  <c r="S237" i="22" s="1"/>
  <c r="Q238" i="22"/>
  <c r="R238" i="22"/>
  <c r="S238" i="22"/>
  <c r="Q239" i="22"/>
  <c r="R239" i="22"/>
  <c r="S239" i="22" s="1"/>
  <c r="Q240" i="22"/>
  <c r="R240" i="22"/>
  <c r="S240" i="22"/>
  <c r="Q241" i="22"/>
  <c r="R241" i="22"/>
  <c r="S241" i="22" s="1"/>
  <c r="Q242" i="22"/>
  <c r="R242" i="22"/>
  <c r="S242" i="22"/>
  <c r="Q243" i="22"/>
  <c r="R243" i="22"/>
  <c r="S243" i="22" s="1"/>
  <c r="Q244" i="22"/>
  <c r="R244" i="22"/>
  <c r="S244" i="22" s="1"/>
  <c r="Q245" i="22"/>
  <c r="R245" i="22"/>
  <c r="S245" i="22" s="1"/>
  <c r="Q246" i="22"/>
  <c r="R246" i="22"/>
  <c r="S246" i="22" s="1"/>
  <c r="Q247" i="22"/>
  <c r="R247" i="22"/>
  <c r="S247" i="22" s="1"/>
  <c r="Q248" i="22"/>
  <c r="R248" i="22"/>
  <c r="S248" i="22"/>
  <c r="Q249" i="22"/>
  <c r="R249" i="22"/>
  <c r="S249" i="22" s="1"/>
  <c r="Q250" i="22"/>
  <c r="R250" i="22"/>
  <c r="S250" i="22"/>
  <c r="Q251" i="22"/>
  <c r="R251" i="22"/>
  <c r="S251" i="22" s="1"/>
  <c r="Q252" i="22"/>
  <c r="R252" i="22"/>
  <c r="S252" i="22" s="1"/>
  <c r="Q253" i="22"/>
  <c r="R253" i="22"/>
  <c r="S253" i="22" s="1"/>
  <c r="Q254" i="22"/>
  <c r="R254" i="22"/>
  <c r="S254" i="22"/>
  <c r="Q255" i="22"/>
  <c r="R255" i="22"/>
  <c r="S255" i="22" s="1"/>
  <c r="Q256" i="22"/>
  <c r="R256" i="22"/>
  <c r="S256" i="22" s="1"/>
  <c r="Q257" i="22"/>
  <c r="R257" i="22"/>
  <c r="S257" i="22" s="1"/>
  <c r="Q258" i="22"/>
  <c r="R258" i="22"/>
  <c r="S258" i="22"/>
  <c r="Q259" i="22"/>
  <c r="R259" i="22"/>
  <c r="S259" i="22" s="1"/>
  <c r="Q260" i="22"/>
  <c r="R260" i="22"/>
  <c r="S260" i="22" s="1"/>
  <c r="Q261" i="22"/>
  <c r="R261" i="22"/>
  <c r="S261" i="22" s="1"/>
  <c r="Q262" i="22"/>
  <c r="R262" i="22"/>
  <c r="S262" i="22"/>
  <c r="Q263" i="22"/>
  <c r="R263" i="22"/>
  <c r="S263" i="22" s="1"/>
  <c r="Q264" i="22"/>
  <c r="R264" i="22"/>
  <c r="S264" i="22"/>
  <c r="Q265" i="22"/>
  <c r="R265" i="22"/>
  <c r="S265" i="22" s="1"/>
  <c r="Q266" i="22"/>
  <c r="R266" i="22"/>
  <c r="S266" i="22" s="1"/>
  <c r="Q267" i="22"/>
  <c r="R267" i="22"/>
  <c r="S267" i="22" s="1"/>
  <c r="Q268" i="22"/>
  <c r="R268" i="22"/>
  <c r="S268" i="22" s="1"/>
  <c r="Q269" i="22"/>
  <c r="R269" i="22"/>
  <c r="S269" i="22" s="1"/>
  <c r="Q270" i="22"/>
  <c r="R270" i="22"/>
  <c r="S270" i="22"/>
  <c r="Q271" i="22"/>
  <c r="R271" i="22"/>
  <c r="S271" i="22" s="1"/>
  <c r="Q272" i="22"/>
  <c r="R272" i="22"/>
  <c r="S272" i="22"/>
  <c r="Q273" i="22"/>
  <c r="R273" i="22"/>
  <c r="S273" i="22" s="1"/>
  <c r="Q274" i="22"/>
  <c r="R274" i="22"/>
  <c r="S274" i="22"/>
  <c r="Q275" i="22"/>
  <c r="R275" i="22"/>
  <c r="S275" i="22" s="1"/>
  <c r="Q276" i="22"/>
  <c r="R276" i="22"/>
  <c r="S276" i="22" s="1"/>
  <c r="Q277" i="22"/>
  <c r="R277" i="22"/>
  <c r="S277" i="22" s="1"/>
  <c r="Q278" i="22"/>
  <c r="R278" i="22"/>
  <c r="S278" i="22" s="1"/>
  <c r="Q279" i="22"/>
  <c r="R279" i="22"/>
  <c r="S279" i="22" s="1"/>
  <c r="Q280" i="22"/>
  <c r="R280" i="22"/>
  <c r="S280" i="22"/>
  <c r="Q281" i="22"/>
  <c r="R281" i="22"/>
  <c r="S281" i="22" s="1"/>
  <c r="Q282" i="22"/>
  <c r="R282" i="22"/>
  <c r="S282" i="22"/>
  <c r="Q283" i="22"/>
  <c r="R283" i="22"/>
  <c r="S283" i="22" s="1"/>
  <c r="Q284" i="22"/>
  <c r="R284" i="22"/>
  <c r="S284" i="22" s="1"/>
  <c r="Q285" i="22"/>
  <c r="R285" i="22"/>
  <c r="S285" i="22" s="1"/>
  <c r="Q286" i="22"/>
  <c r="R286" i="22"/>
  <c r="S286" i="22"/>
  <c r="Q287" i="22"/>
  <c r="R287" i="22"/>
  <c r="S287" i="22" s="1"/>
  <c r="Q288" i="22"/>
  <c r="R288" i="22"/>
  <c r="S288" i="22" s="1"/>
  <c r="Q289" i="22"/>
  <c r="R289" i="22"/>
  <c r="S289" i="22" s="1"/>
  <c r="Q290" i="22"/>
  <c r="R290" i="22"/>
  <c r="S290" i="22"/>
  <c r="Q291" i="22"/>
  <c r="R291" i="22"/>
  <c r="S291" i="22" s="1"/>
  <c r="Q292" i="22"/>
  <c r="R292" i="22"/>
  <c r="S292" i="22" s="1"/>
  <c r="Q293" i="22"/>
  <c r="R293" i="22"/>
  <c r="S293" i="22" s="1"/>
  <c r="Q294" i="22"/>
  <c r="R294" i="22"/>
  <c r="S294" i="22"/>
  <c r="Q295" i="22"/>
  <c r="R295" i="22"/>
  <c r="S295" i="22" s="1"/>
  <c r="Q296" i="22"/>
  <c r="R296" i="22"/>
  <c r="S296" i="22"/>
  <c r="Q297" i="22"/>
  <c r="R297" i="22"/>
  <c r="S297" i="22" s="1"/>
  <c r="Q298" i="22"/>
  <c r="R298" i="22"/>
  <c r="S298" i="22" s="1"/>
  <c r="Q299" i="22"/>
  <c r="R299" i="22"/>
  <c r="S299" i="22" s="1"/>
  <c r="Q300" i="22"/>
  <c r="R300" i="22"/>
  <c r="S300" i="22" s="1"/>
  <c r="Q301" i="22"/>
  <c r="R301" i="22"/>
  <c r="S301" i="22" s="1"/>
  <c r="Q302" i="22"/>
  <c r="R302" i="22"/>
  <c r="S302" i="22"/>
  <c r="Q303" i="22"/>
  <c r="R303" i="22"/>
  <c r="S303" i="22" s="1"/>
  <c r="Q304" i="22"/>
  <c r="R304" i="22"/>
  <c r="S304" i="22"/>
  <c r="Q305" i="22"/>
  <c r="R305" i="22"/>
  <c r="S305" i="22" s="1"/>
  <c r="Q306" i="22"/>
  <c r="R306" i="22"/>
  <c r="S306" i="22"/>
  <c r="Q307" i="22"/>
  <c r="R307" i="22"/>
  <c r="S307" i="22" s="1"/>
  <c r="Q308" i="22"/>
  <c r="R308" i="22"/>
  <c r="S308" i="22" s="1"/>
  <c r="Q309" i="22"/>
  <c r="R309" i="22"/>
  <c r="S309" i="22" s="1"/>
  <c r="Q310" i="22"/>
  <c r="R310" i="22"/>
  <c r="S310" i="22" s="1"/>
  <c r="Q311" i="22"/>
  <c r="R311" i="22"/>
  <c r="S311" i="22" s="1"/>
  <c r="Q312" i="22"/>
  <c r="R312" i="22"/>
  <c r="S312" i="22"/>
  <c r="Q313" i="22"/>
  <c r="R313" i="22"/>
  <c r="S313" i="22" s="1"/>
  <c r="Q314" i="22"/>
  <c r="R314" i="22"/>
  <c r="S314" i="22"/>
  <c r="Q315" i="22"/>
  <c r="R315" i="22"/>
  <c r="S315" i="22" s="1"/>
  <c r="Q316" i="22"/>
  <c r="R316" i="22"/>
  <c r="S316" i="22" s="1"/>
  <c r="Q317" i="22"/>
  <c r="R317" i="22"/>
  <c r="S317" i="22" s="1"/>
  <c r="Q318" i="22"/>
  <c r="R318" i="22"/>
  <c r="S318" i="22"/>
  <c r="Q319" i="22"/>
  <c r="R319" i="22"/>
  <c r="S319" i="22" s="1"/>
  <c r="Q320" i="22"/>
  <c r="R320" i="22"/>
  <c r="S320" i="22" s="1"/>
  <c r="Q321" i="22"/>
  <c r="R321" i="22"/>
  <c r="S321" i="22" s="1"/>
  <c r="Q322" i="22"/>
  <c r="R322" i="22"/>
  <c r="S322" i="22"/>
  <c r="Q323" i="22"/>
  <c r="R323" i="22"/>
  <c r="S323" i="22" s="1"/>
  <c r="Q324" i="22"/>
  <c r="R324" i="22"/>
  <c r="S324" i="22" s="1"/>
  <c r="Q325" i="22"/>
  <c r="R325" i="22"/>
  <c r="S325" i="22" s="1"/>
  <c r="Q326" i="22"/>
  <c r="R326" i="22"/>
  <c r="S326" i="22"/>
  <c r="Q327" i="22"/>
  <c r="R327" i="22"/>
  <c r="S327" i="22" s="1"/>
  <c r="Q328" i="22"/>
  <c r="R328" i="22"/>
  <c r="S328" i="22"/>
  <c r="Q329" i="22"/>
  <c r="R329" i="22"/>
  <c r="S329" i="22" s="1"/>
  <c r="Q330" i="22"/>
  <c r="R330" i="22"/>
  <c r="S330" i="22" s="1"/>
  <c r="Q331" i="22"/>
  <c r="R331" i="22"/>
  <c r="S331" i="22" s="1"/>
  <c r="Q332" i="22"/>
  <c r="R332" i="22"/>
  <c r="S332" i="22" s="1"/>
  <c r="Q333" i="22"/>
  <c r="R333" i="22"/>
  <c r="S333" i="22" s="1"/>
  <c r="Q334" i="22"/>
  <c r="R334" i="22"/>
  <c r="S334" i="22"/>
  <c r="Q335" i="22"/>
  <c r="R335" i="22"/>
  <c r="S335" i="22" s="1"/>
  <c r="Q336" i="22"/>
  <c r="R336" i="22"/>
  <c r="S336" i="22"/>
  <c r="Q337" i="22"/>
  <c r="R337" i="22"/>
  <c r="S337" i="22" s="1"/>
  <c r="Q338" i="22"/>
  <c r="R338" i="22"/>
  <c r="S338" i="22"/>
  <c r="Q339" i="22"/>
  <c r="R339" i="22"/>
  <c r="S339" i="22" s="1"/>
  <c r="Q340" i="22"/>
  <c r="R340" i="22"/>
  <c r="S340" i="22" s="1"/>
  <c r="Q341" i="22"/>
  <c r="R341" i="22"/>
  <c r="S341" i="22"/>
  <c r="Q342" i="22"/>
  <c r="R342" i="22"/>
  <c r="S342" i="22"/>
  <c r="Q343" i="22"/>
  <c r="R343" i="22"/>
  <c r="S343" i="22" s="1"/>
  <c r="Q344" i="22"/>
  <c r="R344" i="22"/>
  <c r="S344" i="22" s="1"/>
  <c r="Q345" i="22"/>
  <c r="R345" i="22"/>
  <c r="S345" i="22" s="1"/>
  <c r="Q346" i="22"/>
  <c r="R346" i="22"/>
  <c r="S346" i="22" s="1"/>
  <c r="Q347" i="22"/>
  <c r="R347" i="22"/>
  <c r="S347" i="22"/>
  <c r="Q348" i="22"/>
  <c r="R348" i="22"/>
  <c r="S348" i="22" s="1"/>
  <c r="Q349" i="22"/>
  <c r="R349" i="22"/>
  <c r="S349" i="22" s="1"/>
  <c r="Q350" i="22"/>
  <c r="R350" i="22"/>
  <c r="S350" i="22" s="1"/>
  <c r="Q351" i="22"/>
  <c r="R351" i="22"/>
  <c r="S351" i="22"/>
  <c r="Q352" i="22"/>
  <c r="R352" i="22"/>
  <c r="S352" i="22" s="1"/>
  <c r="Q353" i="22"/>
  <c r="R353" i="22"/>
  <c r="S353" i="22" s="1"/>
  <c r="Q354" i="22"/>
  <c r="R354" i="22"/>
  <c r="S354" i="22"/>
  <c r="Q355" i="22"/>
  <c r="R355" i="22"/>
  <c r="S355" i="22" s="1"/>
  <c r="Q356" i="22"/>
  <c r="R356" i="22"/>
  <c r="S356" i="22" s="1"/>
  <c r="Q357" i="22"/>
  <c r="R357" i="22"/>
  <c r="S357" i="22"/>
  <c r="Q358" i="22"/>
  <c r="R358" i="22"/>
  <c r="S358" i="22" s="1"/>
  <c r="Q359" i="22"/>
  <c r="R359" i="22"/>
  <c r="S359" i="22" s="1"/>
  <c r="Q360" i="22"/>
  <c r="R360" i="22"/>
  <c r="S360" i="22" s="1"/>
  <c r="Q361" i="22"/>
  <c r="R361" i="22"/>
  <c r="S361" i="22"/>
  <c r="Q362" i="22"/>
  <c r="R362" i="22"/>
  <c r="S362" i="22" s="1"/>
  <c r="Q363" i="22"/>
  <c r="R363" i="22"/>
  <c r="S363" i="22" s="1"/>
  <c r="Q364" i="22"/>
  <c r="R364" i="22"/>
  <c r="S364" i="22" s="1"/>
  <c r="Q365" i="22"/>
  <c r="R365" i="22"/>
  <c r="S365" i="22" s="1"/>
  <c r="Q366" i="22"/>
  <c r="R366" i="22"/>
  <c r="S366" i="22"/>
  <c r="Q367" i="22"/>
  <c r="R367" i="22"/>
  <c r="S367" i="22"/>
  <c r="Q368" i="22"/>
  <c r="R368" i="22"/>
  <c r="S368" i="22" s="1"/>
  <c r="Q369" i="22"/>
  <c r="R369" i="22"/>
  <c r="S369" i="22"/>
  <c r="Q370" i="22"/>
  <c r="R370" i="22"/>
  <c r="S370" i="22"/>
  <c r="Q371" i="22"/>
  <c r="R371" i="22"/>
  <c r="S371" i="22"/>
  <c r="Q372" i="22"/>
  <c r="R372" i="22"/>
  <c r="S372" i="22" s="1"/>
  <c r="Q373" i="22"/>
  <c r="R373" i="22"/>
  <c r="S373" i="22"/>
  <c r="Q374" i="22"/>
  <c r="R374" i="22"/>
  <c r="S374" i="22"/>
  <c r="Q375" i="22"/>
  <c r="R375" i="22"/>
  <c r="S375" i="22" s="1"/>
  <c r="Q376" i="22"/>
  <c r="R376" i="22"/>
  <c r="S376" i="22" s="1"/>
  <c r="Q377" i="22"/>
  <c r="R377" i="22"/>
  <c r="S377" i="22" s="1"/>
  <c r="Q378" i="22"/>
  <c r="R378" i="22"/>
  <c r="S378" i="22" s="1"/>
  <c r="Q379" i="22"/>
  <c r="R379" i="22"/>
  <c r="S379" i="22"/>
  <c r="Q380" i="22"/>
  <c r="R380" i="22"/>
  <c r="S380" i="22" s="1"/>
  <c r="Q381" i="22"/>
  <c r="R381" i="22"/>
  <c r="S381" i="22" s="1"/>
  <c r="Q382" i="22"/>
  <c r="R382" i="22"/>
  <c r="S382" i="22" s="1"/>
  <c r="Q383" i="22"/>
  <c r="R383" i="22"/>
  <c r="S383" i="22"/>
  <c r="Q384" i="22"/>
  <c r="R384" i="22"/>
  <c r="S384" i="22" s="1"/>
  <c r="Q385" i="22"/>
  <c r="R385" i="22"/>
  <c r="S385" i="22" s="1"/>
  <c r="Q386" i="22"/>
  <c r="R386" i="22"/>
  <c r="S386" i="22"/>
  <c r="Q387" i="22"/>
  <c r="R387" i="22"/>
  <c r="S387" i="22"/>
  <c r="Q388" i="22"/>
  <c r="R388" i="22"/>
  <c r="S388" i="22" s="1"/>
  <c r="Q389" i="22"/>
  <c r="R389" i="22"/>
  <c r="S389" i="22"/>
  <c r="Q390" i="22"/>
  <c r="R390" i="22"/>
  <c r="S390" i="22"/>
  <c r="Q391" i="22"/>
  <c r="R391" i="22"/>
  <c r="S391" i="22" s="1"/>
  <c r="Q392" i="22"/>
  <c r="R392" i="22"/>
  <c r="S392" i="22" s="1"/>
  <c r="Q393" i="22"/>
  <c r="R393" i="22"/>
  <c r="S393" i="22"/>
  <c r="Q394" i="22"/>
  <c r="R394" i="22"/>
  <c r="S394" i="22" s="1"/>
  <c r="Q395" i="22"/>
  <c r="R395" i="22"/>
  <c r="S395" i="22" s="1"/>
  <c r="Q396" i="22"/>
  <c r="R396" i="22"/>
  <c r="S396" i="22" s="1"/>
  <c r="Q397" i="22"/>
  <c r="R397" i="22"/>
  <c r="S397" i="22" s="1"/>
  <c r="Q398" i="22"/>
  <c r="R398" i="22"/>
  <c r="S398" i="22" s="1"/>
  <c r="Q399" i="22"/>
  <c r="R399" i="22"/>
  <c r="S399" i="22"/>
  <c r="Q400" i="22"/>
  <c r="R400" i="22"/>
  <c r="S400" i="22" s="1"/>
  <c r="Q401" i="22"/>
  <c r="R401" i="22"/>
  <c r="S401" i="22" s="1"/>
  <c r="Q402" i="22"/>
  <c r="R402" i="22"/>
  <c r="S402" i="22"/>
  <c r="Q403" i="22"/>
  <c r="R403" i="22"/>
  <c r="S403" i="22" s="1"/>
  <c r="Q404" i="22"/>
  <c r="R404" i="22"/>
  <c r="S404" i="22" s="1"/>
  <c r="Q405" i="22"/>
  <c r="R405" i="22"/>
  <c r="S405" i="22"/>
  <c r="Q406" i="22"/>
  <c r="R406" i="22"/>
  <c r="S406" i="22" s="1"/>
  <c r="Q407" i="22"/>
  <c r="R407" i="22"/>
  <c r="S407" i="22" s="1"/>
  <c r="Q408" i="22"/>
  <c r="R408" i="22"/>
  <c r="S408" i="22" s="1"/>
  <c r="Q409" i="22"/>
  <c r="R409" i="22"/>
  <c r="S409" i="22"/>
  <c r="Q410" i="22"/>
  <c r="R410" i="22"/>
  <c r="S410" i="22" s="1"/>
  <c r="Q411" i="22"/>
  <c r="R411" i="22"/>
  <c r="S411" i="22" s="1"/>
  <c r="Q412" i="22"/>
  <c r="R412" i="22"/>
  <c r="S412" i="22" s="1"/>
  <c r="Q413" i="22"/>
  <c r="R413" i="22"/>
  <c r="S413" i="22" s="1"/>
  <c r="Q414" i="22"/>
  <c r="R414" i="22"/>
  <c r="S414" i="22" s="1"/>
  <c r="Q415" i="22"/>
  <c r="R415" i="22"/>
  <c r="S415" i="22"/>
  <c r="Q416" i="22"/>
  <c r="R416" i="22"/>
  <c r="S416" i="22" s="1"/>
  <c r="Q417" i="22"/>
  <c r="R417" i="22"/>
  <c r="S417" i="22" s="1"/>
  <c r="Q418" i="22"/>
  <c r="R418" i="22"/>
  <c r="S418" i="22" s="1"/>
  <c r="Q419" i="22"/>
  <c r="R419" i="22"/>
  <c r="S419" i="22" s="1"/>
  <c r="Q420" i="22"/>
  <c r="R420" i="22"/>
  <c r="S420" i="22" s="1"/>
  <c r="Q421" i="22"/>
  <c r="R421" i="22"/>
  <c r="S421" i="22"/>
  <c r="Q422" i="22"/>
  <c r="R422" i="22"/>
  <c r="S422" i="22" s="1"/>
  <c r="Q423" i="22"/>
  <c r="R423" i="22"/>
  <c r="S423" i="22" s="1"/>
  <c r="Q424" i="22"/>
  <c r="R424" i="22"/>
  <c r="S424" i="22" s="1"/>
  <c r="Q425" i="22"/>
  <c r="R425" i="22"/>
  <c r="S425" i="22" s="1"/>
  <c r="Q426" i="22"/>
  <c r="R426" i="22"/>
  <c r="S426" i="22" s="1"/>
  <c r="Q427" i="22"/>
  <c r="R427" i="22"/>
  <c r="S427" i="22" s="1"/>
  <c r="Q428" i="22"/>
  <c r="R428" i="22"/>
  <c r="S428" i="22" s="1"/>
  <c r="Q429" i="22"/>
  <c r="R429" i="22"/>
  <c r="S429" i="22" s="1"/>
  <c r="Q430" i="22"/>
  <c r="R430" i="22"/>
  <c r="S430" i="22"/>
  <c r="Q431" i="22"/>
  <c r="R431" i="22"/>
  <c r="S431" i="22"/>
  <c r="Q432" i="22"/>
  <c r="R432" i="22"/>
  <c r="S432" i="22" s="1"/>
  <c r="Q433" i="22"/>
  <c r="R433" i="22"/>
  <c r="S433" i="22"/>
  <c r="Q434" i="22"/>
  <c r="R434" i="22"/>
  <c r="S434" i="22"/>
  <c r="Q435" i="22"/>
  <c r="R435" i="22"/>
  <c r="S435" i="22" s="1"/>
  <c r="Q436" i="22"/>
  <c r="R436" i="22"/>
  <c r="S436" i="22" s="1"/>
  <c r="Q437" i="22"/>
  <c r="R437" i="22"/>
  <c r="S437" i="22"/>
  <c r="Q438" i="22"/>
  <c r="R438" i="22"/>
  <c r="S438" i="22" s="1"/>
  <c r="Q439" i="22"/>
  <c r="R439" i="22"/>
  <c r="S439" i="22" s="1"/>
  <c r="Q440" i="22"/>
  <c r="R440" i="22"/>
  <c r="S440" i="22" s="1"/>
  <c r="Q441" i="22"/>
  <c r="R441" i="22"/>
  <c r="S441" i="22" s="1"/>
  <c r="Q442" i="22"/>
  <c r="R442" i="22"/>
  <c r="S442" i="22" s="1"/>
  <c r="Q443" i="22"/>
  <c r="R443" i="22"/>
  <c r="S443" i="22"/>
  <c r="Q444" i="22"/>
  <c r="R444" i="22"/>
  <c r="S444" i="22" s="1"/>
  <c r="Q445" i="22"/>
  <c r="R445" i="22"/>
  <c r="S445" i="22" s="1"/>
  <c r="Q446" i="22"/>
  <c r="R446" i="22"/>
  <c r="S446" i="22" s="1"/>
  <c r="Q447" i="22"/>
  <c r="R447" i="22"/>
  <c r="S447" i="22"/>
  <c r="Q448" i="22"/>
  <c r="R448" i="22"/>
  <c r="S448" i="22" s="1"/>
  <c r="Q449" i="22"/>
  <c r="R449" i="22"/>
  <c r="S449" i="22" s="1"/>
  <c r="Q450" i="22"/>
  <c r="R450" i="22"/>
  <c r="S450" i="22"/>
  <c r="Q451" i="22"/>
  <c r="R451" i="22"/>
  <c r="S451" i="22" s="1"/>
  <c r="Q452" i="22"/>
  <c r="R452" i="22"/>
  <c r="S452" i="22" s="1"/>
  <c r="Q453" i="22"/>
  <c r="R453" i="22"/>
  <c r="S453" i="22"/>
  <c r="Q454" i="22"/>
  <c r="R454" i="22"/>
  <c r="S454" i="22" s="1"/>
  <c r="Q455" i="22"/>
  <c r="R455" i="22"/>
  <c r="S455" i="22" s="1"/>
  <c r="Q456" i="22"/>
  <c r="R456" i="22"/>
  <c r="S456" i="22" s="1"/>
  <c r="Q457" i="22"/>
  <c r="R457" i="22"/>
  <c r="S457" i="22" s="1"/>
  <c r="Q458" i="22"/>
  <c r="R458" i="22"/>
  <c r="S458" i="22" s="1"/>
  <c r="Q459" i="22"/>
  <c r="R459" i="22"/>
  <c r="S459" i="22" s="1"/>
  <c r="Q460" i="22"/>
  <c r="R460" i="22"/>
  <c r="S460" i="22" s="1"/>
  <c r="Q461" i="22"/>
  <c r="R461" i="22"/>
  <c r="S461" i="22" s="1"/>
  <c r="Q462" i="22"/>
  <c r="R462" i="22"/>
  <c r="S462" i="22" s="1"/>
  <c r="Q463" i="22"/>
  <c r="R463" i="22"/>
  <c r="S463" i="22"/>
  <c r="Q464" i="22"/>
  <c r="R464" i="22"/>
  <c r="S464" i="22" s="1"/>
  <c r="Q465" i="22"/>
  <c r="R465" i="22"/>
  <c r="S465" i="22" s="1"/>
  <c r="Q466" i="22"/>
  <c r="R466" i="22"/>
  <c r="S466" i="22"/>
  <c r="Q467" i="22"/>
  <c r="R467" i="22"/>
  <c r="S467" i="22" s="1"/>
  <c r="Q468" i="22"/>
  <c r="R468" i="22"/>
  <c r="S468" i="22" s="1"/>
  <c r="Q469" i="22"/>
  <c r="R469" i="22"/>
  <c r="S469" i="22"/>
  <c r="Q470" i="22"/>
  <c r="R470" i="22"/>
  <c r="S470" i="22" s="1"/>
  <c r="Q471" i="22"/>
  <c r="R471" i="22"/>
  <c r="S471" i="22" s="1"/>
  <c r="Q472" i="22"/>
  <c r="R472" i="22"/>
  <c r="S472" i="22" s="1"/>
  <c r="Q473" i="22"/>
  <c r="R473" i="22"/>
  <c r="S473" i="22" s="1"/>
  <c r="Q474" i="22"/>
  <c r="R474" i="22"/>
  <c r="S474" i="22" s="1"/>
  <c r="Q475" i="22"/>
  <c r="R475" i="22"/>
  <c r="S475" i="22"/>
  <c r="Q476" i="22"/>
  <c r="R476" i="22"/>
  <c r="S476" i="22" s="1"/>
  <c r="Q477" i="22"/>
  <c r="R477" i="22"/>
  <c r="S477" i="22" s="1"/>
  <c r="Q478" i="22"/>
  <c r="R478" i="22"/>
  <c r="S478" i="22" s="1"/>
  <c r="Q479" i="22"/>
  <c r="R479" i="22"/>
  <c r="S479" i="22" s="1"/>
  <c r="Q480" i="22"/>
  <c r="R480" i="22"/>
  <c r="S480" i="22" s="1"/>
  <c r="Q481" i="22"/>
  <c r="R481" i="22"/>
  <c r="S481" i="22" s="1"/>
  <c r="Q482" i="22"/>
  <c r="R482" i="22"/>
  <c r="S482" i="22"/>
  <c r="Q483" i="22"/>
  <c r="R483" i="22"/>
  <c r="S483" i="22" s="1"/>
  <c r="Q484" i="22"/>
  <c r="R484" i="22"/>
  <c r="S484" i="22" s="1"/>
  <c r="Q485" i="22"/>
  <c r="R485" i="22"/>
  <c r="S485" i="22"/>
  <c r="Q486" i="22"/>
  <c r="R486" i="22"/>
  <c r="S486" i="22" s="1"/>
  <c r="Q487" i="22"/>
  <c r="R487" i="22"/>
  <c r="S487" i="22" s="1"/>
  <c r="Q488" i="22"/>
  <c r="R488" i="22"/>
  <c r="S488" i="22" s="1"/>
  <c r="Q489" i="22"/>
  <c r="R489" i="22"/>
  <c r="S489" i="22" s="1"/>
  <c r="Q490" i="22"/>
  <c r="R490" i="22"/>
  <c r="S490" i="22" s="1"/>
  <c r="Q491" i="22"/>
  <c r="R491" i="22"/>
  <c r="S491" i="22"/>
  <c r="Q492" i="22"/>
  <c r="R492" i="22"/>
  <c r="S492" i="22" s="1"/>
  <c r="Q493" i="22"/>
  <c r="R493" i="22"/>
  <c r="S493" i="22" s="1"/>
  <c r="Q494" i="22"/>
  <c r="R494" i="22"/>
  <c r="S494" i="22"/>
  <c r="Q495" i="22"/>
  <c r="R495" i="22"/>
  <c r="S495" i="22"/>
  <c r="Q496" i="22"/>
  <c r="R496" i="22"/>
  <c r="S496" i="22" s="1"/>
  <c r="Q497" i="22"/>
  <c r="R497" i="22"/>
  <c r="S497" i="22"/>
  <c r="Q498" i="22"/>
  <c r="R498" i="22"/>
  <c r="S498" i="22"/>
  <c r="Q499" i="22"/>
  <c r="R499" i="22"/>
  <c r="S499" i="22" s="1"/>
  <c r="Q500" i="22"/>
  <c r="R500" i="22"/>
  <c r="S500" i="22" s="1"/>
  <c r="Q501" i="22"/>
  <c r="R501" i="22"/>
  <c r="S501" i="22" s="1"/>
  <c r="Q502" i="22"/>
  <c r="R502" i="22"/>
  <c r="S502" i="22" s="1"/>
  <c r="Q503" i="22"/>
  <c r="R503" i="22"/>
  <c r="S503" i="22" s="1"/>
  <c r="Q504" i="22"/>
  <c r="R504" i="22"/>
  <c r="S504" i="22" s="1"/>
  <c r="Q505" i="22"/>
  <c r="R505" i="22"/>
  <c r="S505" i="22" s="1"/>
  <c r="Q506" i="22"/>
  <c r="R506" i="22"/>
  <c r="S506" i="22" s="1"/>
  <c r="Q507" i="22"/>
  <c r="R507" i="22"/>
  <c r="S507" i="22"/>
  <c r="Q508" i="22"/>
  <c r="R508" i="22"/>
  <c r="S508" i="22" s="1"/>
  <c r="Q509" i="22"/>
  <c r="R509" i="22"/>
  <c r="S509" i="22" s="1"/>
  <c r="Q510" i="22"/>
  <c r="R510" i="22"/>
  <c r="S510" i="22" s="1"/>
  <c r="Q511" i="22"/>
  <c r="R511" i="22"/>
  <c r="S511" i="22"/>
  <c r="Q512" i="22"/>
  <c r="R512" i="22"/>
  <c r="S512" i="22" s="1"/>
  <c r="Q513" i="22"/>
  <c r="R513" i="22"/>
  <c r="S513" i="22" s="1"/>
  <c r="Q514" i="22"/>
  <c r="R514" i="22"/>
  <c r="S514" i="22"/>
  <c r="Q515" i="22"/>
  <c r="R515" i="22"/>
  <c r="S515" i="22" s="1"/>
  <c r="Q516" i="22"/>
  <c r="R516" i="22"/>
  <c r="S516" i="22" s="1"/>
  <c r="Q517" i="22"/>
  <c r="R517" i="22"/>
  <c r="S517" i="22" s="1"/>
  <c r="Q518" i="22"/>
  <c r="R518" i="22"/>
  <c r="S518" i="22" s="1"/>
  <c r="Q519" i="22"/>
  <c r="R519" i="22"/>
  <c r="S519" i="22" s="1"/>
  <c r="Q520" i="22"/>
  <c r="R520" i="22"/>
  <c r="S520" i="22" s="1"/>
  <c r="Q521" i="22"/>
  <c r="R521" i="22"/>
  <c r="S521" i="22" s="1"/>
  <c r="Q522" i="22"/>
  <c r="R522" i="22"/>
  <c r="S522" i="22" s="1"/>
  <c r="Q523" i="22"/>
  <c r="R523" i="22"/>
  <c r="S523" i="22" s="1"/>
  <c r="Q524" i="22"/>
  <c r="R524" i="22"/>
  <c r="S524" i="22" s="1"/>
  <c r="Q525" i="22"/>
  <c r="R525" i="22"/>
  <c r="S525" i="22" s="1"/>
  <c r="Q526" i="22"/>
  <c r="R526" i="22"/>
  <c r="S526" i="22"/>
  <c r="Q527" i="22"/>
  <c r="R527" i="22"/>
  <c r="S527" i="22"/>
  <c r="Q528" i="22"/>
  <c r="R528" i="22"/>
  <c r="S528" i="22" s="1"/>
  <c r="Q529" i="22"/>
  <c r="R529" i="22"/>
  <c r="S529" i="22"/>
  <c r="Q530" i="22"/>
  <c r="R530" i="22"/>
  <c r="S530" i="22"/>
  <c r="Q531" i="22"/>
  <c r="R531" i="22"/>
  <c r="S531" i="22" s="1"/>
  <c r="Q532" i="22"/>
  <c r="R532" i="22"/>
  <c r="S532" i="22" s="1"/>
  <c r="Q533" i="22"/>
  <c r="R533" i="22"/>
  <c r="S533" i="22"/>
  <c r="Q534" i="22"/>
  <c r="R534" i="22"/>
  <c r="S534" i="22" s="1"/>
  <c r="Q535" i="22"/>
  <c r="R535" i="22"/>
  <c r="S535" i="22" s="1"/>
  <c r="Q536" i="22"/>
  <c r="R536" i="22"/>
  <c r="S536" i="22" s="1"/>
  <c r="Q537" i="22"/>
  <c r="R537" i="22"/>
  <c r="S537" i="22" s="1"/>
  <c r="Q538" i="22"/>
  <c r="R538" i="22"/>
  <c r="S538" i="22" s="1"/>
  <c r="Q539" i="22"/>
  <c r="R539" i="22"/>
  <c r="S539" i="22"/>
  <c r="Q540" i="22"/>
  <c r="R540" i="22"/>
  <c r="S540" i="22" s="1"/>
  <c r="Q541" i="22"/>
  <c r="R541" i="22"/>
  <c r="S541" i="22" s="1"/>
  <c r="Q542" i="22"/>
  <c r="R542" i="22"/>
  <c r="S542" i="22" s="1"/>
  <c r="Q543" i="22"/>
  <c r="R543" i="22"/>
  <c r="S543" i="22"/>
  <c r="Q544" i="22"/>
  <c r="R544" i="22"/>
  <c r="S544" i="22" s="1"/>
  <c r="Q545" i="22"/>
  <c r="R545" i="22"/>
  <c r="S545" i="22" s="1"/>
  <c r="Q546" i="22"/>
  <c r="R546" i="22"/>
  <c r="S546" i="22"/>
  <c r="Q547" i="22"/>
  <c r="R547" i="22"/>
  <c r="S547" i="22" s="1"/>
  <c r="Q548" i="22"/>
  <c r="R548" i="22"/>
  <c r="S548" i="22" s="1"/>
  <c r="Q549" i="22"/>
  <c r="R549" i="22"/>
  <c r="S549" i="22"/>
  <c r="Q550" i="22"/>
  <c r="R550" i="22"/>
  <c r="S550" i="22" s="1"/>
  <c r="Q551" i="22"/>
  <c r="R551" i="22"/>
  <c r="S551" i="22" s="1"/>
  <c r="Q552" i="22"/>
  <c r="R552" i="22"/>
  <c r="S552" i="22" s="1"/>
  <c r="Q553" i="22"/>
  <c r="R553" i="22"/>
  <c r="S553" i="22" s="1"/>
  <c r="Q554" i="22"/>
  <c r="R554" i="22"/>
  <c r="S554" i="22" s="1"/>
  <c r="Q555" i="22"/>
  <c r="R555" i="22"/>
  <c r="S555" i="22"/>
  <c r="Q556" i="22"/>
  <c r="R556" i="22"/>
  <c r="S556" i="22" s="1"/>
  <c r="Q557" i="22"/>
  <c r="R557" i="22"/>
  <c r="S557" i="22" s="1"/>
  <c r="Q558" i="22"/>
  <c r="R558" i="22"/>
  <c r="S558" i="22"/>
  <c r="Q559" i="22"/>
  <c r="R559" i="22"/>
  <c r="S559" i="22" s="1"/>
  <c r="Q560" i="22"/>
  <c r="R560" i="22"/>
  <c r="S560" i="22" s="1"/>
  <c r="Q561" i="22"/>
  <c r="R561" i="22"/>
  <c r="S561" i="22"/>
  <c r="Q562" i="22"/>
  <c r="R562" i="22"/>
  <c r="S562" i="22" s="1"/>
  <c r="Q563" i="22"/>
  <c r="R563" i="22"/>
  <c r="S563" i="22" s="1"/>
  <c r="Q564" i="22"/>
  <c r="R564" i="22"/>
  <c r="S564" i="22" s="1"/>
  <c r="Q565" i="22"/>
  <c r="R565" i="22"/>
  <c r="S565" i="22" s="1"/>
  <c r="Q566" i="22"/>
  <c r="R566" i="22"/>
  <c r="S566" i="22" s="1"/>
  <c r="Q567" i="22"/>
  <c r="R567" i="22"/>
  <c r="S567" i="22" s="1"/>
  <c r="Q568" i="22"/>
  <c r="R568" i="22"/>
  <c r="S568" i="22" s="1"/>
  <c r="Q569" i="22"/>
  <c r="R569" i="22"/>
  <c r="S569" i="22"/>
  <c r="Q570" i="22"/>
  <c r="R570" i="22"/>
  <c r="S570" i="22" s="1"/>
  <c r="Q571" i="22"/>
  <c r="R571" i="22"/>
  <c r="S571" i="22" s="1"/>
  <c r="Q572" i="22"/>
  <c r="R572" i="22"/>
  <c r="S572" i="22" s="1"/>
  <c r="Q573" i="22"/>
  <c r="R573" i="22"/>
  <c r="S573" i="22" s="1"/>
  <c r="Q574" i="22"/>
  <c r="R574" i="22"/>
  <c r="S574" i="22"/>
  <c r="Q575" i="22"/>
  <c r="R575" i="22"/>
  <c r="S575" i="22"/>
  <c r="Q576" i="22"/>
  <c r="R576" i="22"/>
  <c r="S576" i="22" s="1"/>
  <c r="Q577" i="22"/>
  <c r="R577" i="22"/>
  <c r="S577" i="22"/>
  <c r="Q578" i="22"/>
  <c r="R578" i="22"/>
  <c r="S578" i="22"/>
  <c r="Q579" i="22"/>
  <c r="R579" i="22"/>
  <c r="S579" i="22" s="1"/>
  <c r="Q580" i="22"/>
  <c r="R580" i="22"/>
  <c r="S580" i="22" s="1"/>
  <c r="Q581" i="22"/>
  <c r="R581" i="22"/>
  <c r="S581" i="22" s="1"/>
  <c r="Q582" i="22"/>
  <c r="R582" i="22"/>
  <c r="S582" i="22"/>
  <c r="Q583" i="22"/>
  <c r="R583" i="22"/>
  <c r="S583" i="22"/>
  <c r="Q584" i="22"/>
  <c r="R584" i="22"/>
  <c r="S584" i="22" s="1"/>
  <c r="Q585" i="22"/>
  <c r="R585" i="22"/>
  <c r="S585" i="22"/>
  <c r="Q586" i="22"/>
  <c r="R586" i="22"/>
  <c r="S586" i="22" s="1"/>
  <c r="Q587" i="22"/>
  <c r="R587" i="22"/>
  <c r="S587" i="22" s="1"/>
  <c r="Q588" i="22"/>
  <c r="R588" i="22"/>
  <c r="S588" i="22" s="1"/>
  <c r="Q589" i="22"/>
  <c r="R589" i="22"/>
  <c r="S589" i="22" s="1"/>
  <c r="Q590" i="22"/>
  <c r="R590" i="22"/>
  <c r="S590" i="22"/>
  <c r="Q591" i="22"/>
  <c r="R591" i="22"/>
  <c r="S591" i="22" s="1"/>
  <c r="Q592" i="22"/>
  <c r="R592" i="22"/>
  <c r="S592" i="22" s="1"/>
  <c r="Q593" i="22"/>
  <c r="R593" i="22"/>
  <c r="S593" i="22"/>
  <c r="Q594" i="22"/>
  <c r="R594" i="22"/>
  <c r="S594" i="22" s="1"/>
  <c r="Q595" i="22"/>
  <c r="R595" i="22"/>
  <c r="S595" i="22" s="1"/>
  <c r="Q596" i="22"/>
  <c r="R596" i="22"/>
  <c r="S596" i="22" s="1"/>
  <c r="Q597" i="22"/>
  <c r="R597" i="22"/>
  <c r="S597" i="22" s="1"/>
  <c r="Q598" i="22"/>
  <c r="R598" i="22"/>
  <c r="S598" i="22" s="1"/>
  <c r="Q599" i="22"/>
  <c r="R599" i="22"/>
  <c r="S599" i="22"/>
  <c r="Q600" i="22"/>
  <c r="R600" i="22"/>
  <c r="S600" i="22" s="1"/>
  <c r="Q601" i="22"/>
  <c r="R601" i="22"/>
  <c r="S601" i="22" s="1"/>
  <c r="Q602" i="22"/>
  <c r="R602" i="22"/>
  <c r="S602" i="22" s="1"/>
  <c r="Q603" i="22"/>
  <c r="R603" i="22"/>
  <c r="S603" i="22" s="1"/>
  <c r="Q604" i="22"/>
  <c r="R604" i="22"/>
  <c r="S604" i="22" s="1"/>
  <c r="Q605" i="22"/>
  <c r="R605" i="22"/>
  <c r="S605" i="22" s="1"/>
  <c r="Q606" i="22"/>
  <c r="R606" i="22"/>
  <c r="S606" i="22" s="1"/>
  <c r="Q607" i="22"/>
  <c r="R607" i="22"/>
  <c r="S607" i="22"/>
  <c r="Q608" i="22"/>
  <c r="R608" i="22"/>
  <c r="S608" i="22" s="1"/>
  <c r="Q609" i="22"/>
  <c r="R609" i="22"/>
  <c r="S609" i="22" s="1"/>
  <c r="Q610" i="22"/>
  <c r="R610" i="22"/>
  <c r="S610" i="22" s="1"/>
  <c r="Q611" i="22"/>
  <c r="R611" i="22"/>
  <c r="S611" i="22" s="1"/>
  <c r="Q612" i="22"/>
  <c r="R612" i="22"/>
  <c r="S612" i="22" s="1"/>
  <c r="Q613" i="22"/>
  <c r="R613" i="22"/>
  <c r="S613" i="22" s="1"/>
  <c r="Q614" i="22"/>
  <c r="R614" i="22"/>
  <c r="S614" i="22" s="1"/>
  <c r="Q615" i="22"/>
  <c r="R615" i="22"/>
  <c r="S615" i="22"/>
  <c r="Q616" i="22"/>
  <c r="R616" i="22"/>
  <c r="S616" i="22" s="1"/>
  <c r="Q617" i="22"/>
  <c r="R617" i="22"/>
  <c r="S617" i="22" s="1"/>
  <c r="Q618" i="22"/>
  <c r="R618" i="22"/>
  <c r="S618" i="22" s="1"/>
  <c r="Q619" i="22"/>
  <c r="R619" i="22"/>
  <c r="S619" i="22" s="1"/>
  <c r="Q620" i="22"/>
  <c r="R620" i="22"/>
  <c r="S620" i="22" s="1"/>
  <c r="Q621" i="22"/>
  <c r="R621" i="22"/>
  <c r="S621" i="22" s="1"/>
  <c r="Q622" i="22"/>
  <c r="R622" i="22"/>
  <c r="S622" i="22"/>
  <c r="Q623" i="22"/>
  <c r="R623" i="22"/>
  <c r="S623" i="22"/>
  <c r="Q624" i="22"/>
  <c r="R624" i="22"/>
  <c r="S624" i="22" s="1"/>
  <c r="Q625" i="22"/>
  <c r="R625" i="22"/>
  <c r="S625" i="22"/>
  <c r="Q626" i="22"/>
  <c r="R626" i="22"/>
  <c r="S626" i="22" s="1"/>
  <c r="Q627" i="22"/>
  <c r="R627" i="22"/>
  <c r="S627" i="22" s="1"/>
  <c r="Q628" i="22"/>
  <c r="R628" i="22"/>
  <c r="S628" i="22" s="1"/>
  <c r="Q629" i="22"/>
  <c r="R629" i="22"/>
  <c r="S629" i="22" s="1"/>
  <c r="Q630" i="22"/>
  <c r="R630" i="22"/>
  <c r="S630" i="22"/>
  <c r="Q631" i="22"/>
  <c r="R631" i="22"/>
  <c r="S631" i="22"/>
  <c r="Q632" i="22"/>
  <c r="R632" i="22"/>
  <c r="S632" i="22" s="1"/>
  <c r="Q633" i="22"/>
  <c r="R633" i="22"/>
  <c r="S633" i="22"/>
  <c r="Q634" i="22"/>
  <c r="R634" i="22"/>
  <c r="S634" i="22" s="1"/>
  <c r="Q635" i="22"/>
  <c r="R635" i="22"/>
  <c r="S635" i="22" s="1"/>
  <c r="Q636" i="22"/>
  <c r="R636" i="22"/>
  <c r="S636" i="22" s="1"/>
  <c r="Q637" i="22"/>
  <c r="R637" i="22"/>
  <c r="S637" i="22" s="1"/>
  <c r="Q638" i="22"/>
  <c r="R638" i="22"/>
  <c r="S638" i="22" s="1"/>
  <c r="Q639" i="22"/>
  <c r="R639" i="22"/>
  <c r="S639" i="22"/>
  <c r="Q640" i="22"/>
  <c r="R640" i="22"/>
  <c r="S640" i="22" s="1"/>
  <c r="Q641" i="22"/>
  <c r="R641" i="22"/>
  <c r="S641" i="22" s="1"/>
  <c r="Q642" i="22"/>
  <c r="R642" i="22"/>
  <c r="S642" i="22" s="1"/>
  <c r="Q643" i="22"/>
  <c r="R643" i="22"/>
  <c r="S643" i="22" s="1"/>
  <c r="Q644" i="22"/>
  <c r="R644" i="22"/>
  <c r="S644" i="22" s="1"/>
  <c r="Q645" i="22"/>
  <c r="R645" i="22"/>
  <c r="S645" i="22" s="1"/>
  <c r="Q646" i="22"/>
  <c r="R646" i="22"/>
  <c r="S646" i="22"/>
  <c r="Q647" i="22"/>
  <c r="R647" i="22"/>
  <c r="S647" i="22"/>
  <c r="Q648" i="22"/>
  <c r="R648" i="22"/>
  <c r="S648" i="22" s="1"/>
  <c r="Q649" i="22"/>
  <c r="R649" i="22"/>
  <c r="S649" i="22"/>
  <c r="Q650" i="22"/>
  <c r="R650" i="22"/>
  <c r="S650" i="22" s="1"/>
  <c r="Q651" i="22"/>
  <c r="R651" i="22"/>
  <c r="S651" i="22" s="1"/>
  <c r="Q652" i="22"/>
  <c r="R652" i="22"/>
  <c r="S652" i="22" s="1"/>
  <c r="Q653" i="22"/>
  <c r="R653" i="22"/>
  <c r="S653" i="22" s="1"/>
  <c r="Q654" i="22"/>
  <c r="R654" i="22"/>
  <c r="S654" i="22"/>
  <c r="Q655" i="22"/>
  <c r="R655" i="22"/>
  <c r="S655" i="22" s="1"/>
  <c r="Q656" i="22"/>
  <c r="R656" i="22"/>
  <c r="S656" i="22" s="1"/>
  <c r="Q657" i="22"/>
  <c r="R657" i="22"/>
  <c r="S657" i="22"/>
  <c r="Q658" i="22"/>
  <c r="R658" i="22"/>
  <c r="S658" i="22" s="1"/>
  <c r="Q659" i="22"/>
  <c r="R659" i="22"/>
  <c r="S659" i="22" s="1"/>
  <c r="Q660" i="22"/>
  <c r="R660" i="22"/>
  <c r="S660" i="22" s="1"/>
  <c r="Q661" i="22"/>
  <c r="R661" i="22"/>
  <c r="S661" i="22" s="1"/>
  <c r="Q662" i="22"/>
  <c r="R662" i="22"/>
  <c r="S662" i="22" s="1"/>
  <c r="Q663" i="22"/>
  <c r="R663" i="22"/>
  <c r="S663" i="22"/>
  <c r="Q664" i="22"/>
  <c r="R664" i="22"/>
  <c r="S664" i="22" s="1"/>
  <c r="Q665" i="22"/>
  <c r="R665" i="22"/>
  <c r="S665" i="22" s="1"/>
  <c r="Q666" i="22"/>
  <c r="R666" i="22"/>
  <c r="S666" i="22" s="1"/>
  <c r="Q667" i="22"/>
  <c r="R667" i="22"/>
  <c r="S667" i="22" s="1"/>
  <c r="Q668" i="22"/>
  <c r="R668" i="22"/>
  <c r="S668" i="22" s="1"/>
  <c r="Q669" i="22"/>
  <c r="R669" i="22"/>
  <c r="S669" i="22" s="1"/>
  <c r="Q670" i="22"/>
  <c r="R670" i="22"/>
  <c r="S670" i="22" s="1"/>
  <c r="Q671" i="22"/>
  <c r="R671" i="22"/>
  <c r="S671" i="22"/>
  <c r="Q672" i="22"/>
  <c r="R672" i="22"/>
  <c r="S672" i="22" s="1"/>
  <c r="Q673" i="22"/>
  <c r="R673" i="22"/>
  <c r="S673" i="22" s="1"/>
  <c r="Q674" i="22"/>
  <c r="R674" i="22"/>
  <c r="S674" i="22" s="1"/>
  <c r="Q675" i="22"/>
  <c r="R675" i="22"/>
  <c r="S675" i="22" s="1"/>
  <c r="Q676" i="22"/>
  <c r="R676" i="22"/>
  <c r="S676" i="22" s="1"/>
  <c r="Q677" i="22"/>
  <c r="R677" i="22"/>
  <c r="S677" i="22" s="1"/>
  <c r="Q678" i="22"/>
  <c r="R678" i="22"/>
  <c r="S678" i="22" s="1"/>
  <c r="Q679" i="22"/>
  <c r="R679" i="22"/>
  <c r="S679" i="22" s="1"/>
  <c r="Q680" i="22"/>
  <c r="R680" i="22"/>
  <c r="S680" i="22" s="1"/>
  <c r="Q681" i="22"/>
  <c r="R681" i="22"/>
  <c r="S681" i="22" s="1"/>
  <c r="Q682" i="22"/>
  <c r="R682" i="22"/>
  <c r="S682" i="22"/>
  <c r="Q683" i="22"/>
  <c r="R683" i="22"/>
  <c r="S683" i="22" s="1"/>
  <c r="Q684" i="22"/>
  <c r="R684" i="22"/>
  <c r="S684" i="22"/>
  <c r="Q685" i="22"/>
  <c r="R685" i="22"/>
  <c r="S685" i="22" s="1"/>
  <c r="Q686" i="22"/>
  <c r="R686" i="22"/>
  <c r="S686" i="22"/>
  <c r="Q687" i="22"/>
  <c r="R687" i="22"/>
  <c r="S687" i="22" s="1"/>
  <c r="Q688" i="22"/>
  <c r="R688" i="22"/>
  <c r="S688" i="22" s="1"/>
  <c r="Q689" i="22"/>
  <c r="R689" i="22"/>
  <c r="S689" i="22" s="1"/>
  <c r="Q690" i="22"/>
  <c r="R690" i="22"/>
  <c r="S690" i="22" s="1"/>
  <c r="Q691" i="22"/>
  <c r="R691" i="22"/>
  <c r="S691" i="22" s="1"/>
  <c r="Q692" i="22"/>
  <c r="R692" i="22"/>
  <c r="S692" i="22"/>
  <c r="Q693" i="22"/>
  <c r="R693" i="22"/>
  <c r="S693" i="22" s="1"/>
  <c r="Q694" i="22"/>
  <c r="R694" i="22"/>
  <c r="S694" i="22"/>
  <c r="Q695" i="22"/>
  <c r="R695" i="22"/>
  <c r="S695" i="22" s="1"/>
  <c r="Q696" i="22"/>
  <c r="R696" i="22"/>
  <c r="S696" i="22" s="1"/>
  <c r="Q697" i="22"/>
  <c r="R697" i="22"/>
  <c r="S697" i="22" s="1"/>
  <c r="Q698" i="22"/>
  <c r="R698" i="22"/>
  <c r="S698" i="22"/>
  <c r="Q699" i="22"/>
  <c r="R699" i="22"/>
  <c r="S699" i="22" s="1"/>
  <c r="Q700" i="22"/>
  <c r="R700" i="22"/>
  <c r="S700" i="22" s="1"/>
  <c r="Q701" i="22"/>
  <c r="R701" i="22"/>
  <c r="S701" i="22" s="1"/>
  <c r="Q702" i="22"/>
  <c r="R702" i="22"/>
  <c r="S702" i="22" s="1"/>
  <c r="Q703" i="22"/>
  <c r="R703" i="22"/>
  <c r="S703" i="22" s="1"/>
  <c r="Q704" i="22"/>
  <c r="R704" i="22"/>
  <c r="S704" i="22" s="1"/>
  <c r="Q705" i="22"/>
  <c r="R705" i="22"/>
  <c r="S705" i="22" s="1"/>
  <c r="Q706" i="22"/>
  <c r="R706" i="22"/>
  <c r="S706" i="22"/>
  <c r="Q707" i="22"/>
  <c r="R707" i="22"/>
  <c r="S707" i="22" s="1"/>
  <c r="Q708" i="22"/>
  <c r="R708" i="22"/>
  <c r="S708" i="22"/>
  <c r="Q709" i="22"/>
  <c r="R709" i="22"/>
  <c r="S709" i="22" s="1"/>
  <c r="Q710" i="22"/>
  <c r="R710" i="22"/>
  <c r="S710" i="22"/>
  <c r="Q711" i="22"/>
  <c r="R711" i="22"/>
  <c r="S711" i="22" s="1"/>
  <c r="Q712" i="22"/>
  <c r="R712" i="22"/>
  <c r="S712" i="22" s="1"/>
  <c r="Q713" i="22"/>
  <c r="R713" i="22"/>
  <c r="S713" i="22" s="1"/>
  <c r="Q714" i="22"/>
  <c r="R714" i="22"/>
  <c r="S714" i="22" s="1"/>
  <c r="Q715" i="22"/>
  <c r="R715" i="22"/>
  <c r="S715" i="22" s="1"/>
  <c r="Q716" i="22"/>
  <c r="R716" i="22"/>
  <c r="S716" i="22"/>
  <c r="Q717" i="22"/>
  <c r="R717" i="22"/>
  <c r="S717" i="22" s="1"/>
  <c r="Q718" i="22"/>
  <c r="R718" i="22"/>
  <c r="S718" i="22"/>
  <c r="Q719" i="22"/>
  <c r="R719" i="22"/>
  <c r="S719" i="22" s="1"/>
  <c r="Q720" i="22"/>
  <c r="R720" i="22"/>
  <c r="S720" i="22" s="1"/>
  <c r="Q721" i="22"/>
  <c r="R721" i="22"/>
  <c r="S721" i="22" s="1"/>
  <c r="Q722" i="22"/>
  <c r="R722" i="22"/>
  <c r="S722" i="22"/>
  <c r="Q723" i="22"/>
  <c r="R723" i="22"/>
  <c r="S723" i="22" s="1"/>
  <c r="Q724" i="22"/>
  <c r="R724" i="22"/>
  <c r="S724" i="22" s="1"/>
  <c r="Q725" i="22"/>
  <c r="R725" i="22"/>
  <c r="S725" i="22" s="1"/>
  <c r="Q726" i="22"/>
  <c r="R726" i="22"/>
  <c r="S726" i="22"/>
  <c r="Q727" i="22"/>
  <c r="R727" i="22"/>
  <c r="S727" i="22" s="1"/>
  <c r="Q728" i="22"/>
  <c r="R728" i="22"/>
  <c r="S728" i="22" s="1"/>
  <c r="Q729" i="22"/>
  <c r="R729" i="22"/>
  <c r="S729" i="22" s="1"/>
  <c r="Q730" i="22"/>
  <c r="R730" i="22"/>
  <c r="S730" i="22"/>
  <c r="Q731" i="22"/>
  <c r="R731" i="22"/>
  <c r="S731" i="22" s="1"/>
  <c r="Q732" i="22"/>
  <c r="R732" i="22"/>
  <c r="S732" i="22"/>
  <c r="Q733" i="22"/>
  <c r="R733" i="22"/>
  <c r="S733" i="22" s="1"/>
  <c r="Q734" i="22"/>
  <c r="R734" i="22"/>
  <c r="S734" i="22" s="1"/>
  <c r="Q735" i="22"/>
  <c r="R735" i="22"/>
  <c r="S735" i="22" s="1"/>
  <c r="Q736" i="22"/>
  <c r="R736" i="22"/>
  <c r="S736" i="22" s="1"/>
  <c r="Q737" i="22"/>
  <c r="R737" i="22"/>
  <c r="S737" i="22" s="1"/>
  <c r="Q738" i="22"/>
  <c r="R738" i="22"/>
  <c r="S738" i="22" s="1"/>
  <c r="Q739" i="22"/>
  <c r="R739" i="22"/>
  <c r="S739" i="22" s="1"/>
  <c r="Q740" i="22"/>
  <c r="R740" i="22"/>
  <c r="S740" i="22"/>
  <c r="Q741" i="22"/>
  <c r="R741" i="22"/>
  <c r="S741" i="22" s="1"/>
  <c r="Q742" i="22"/>
  <c r="R742" i="22"/>
  <c r="S742" i="22"/>
  <c r="Q743" i="22"/>
  <c r="R743" i="22"/>
  <c r="S743" i="22" s="1"/>
  <c r="Q744" i="22"/>
  <c r="R744" i="22"/>
  <c r="S744" i="22" s="1"/>
  <c r="Q745" i="22"/>
  <c r="R745" i="22"/>
  <c r="S745" i="22" s="1"/>
  <c r="Q746" i="22"/>
  <c r="R746" i="22"/>
  <c r="S746" i="22"/>
  <c r="Q747" i="22"/>
  <c r="R747" i="22"/>
  <c r="S747" i="22" s="1"/>
  <c r="Q748" i="22"/>
  <c r="R748" i="22"/>
  <c r="S748" i="22" s="1"/>
  <c r="Q749" i="22"/>
  <c r="R749" i="22"/>
  <c r="S749" i="22" s="1"/>
  <c r="Q750" i="22"/>
  <c r="R750" i="22"/>
  <c r="S750" i="22"/>
  <c r="Q751" i="22"/>
  <c r="R751" i="22"/>
  <c r="S751" i="22" s="1"/>
  <c r="Q752" i="22"/>
  <c r="R752" i="22"/>
  <c r="S752" i="22" s="1"/>
  <c r="Q753" i="22"/>
  <c r="R753" i="22"/>
  <c r="S753" i="22" s="1"/>
  <c r="Q754" i="22"/>
  <c r="R754" i="22"/>
  <c r="S754" i="22"/>
  <c r="Q755" i="22"/>
  <c r="R755" i="22"/>
  <c r="S755" i="22" s="1"/>
  <c r="Q756" i="22"/>
  <c r="R756" i="22"/>
  <c r="S756" i="22" s="1"/>
  <c r="Q757" i="22"/>
  <c r="R757" i="22"/>
  <c r="S757" i="22" s="1"/>
  <c r="Q758" i="22"/>
  <c r="R758" i="22"/>
  <c r="S758" i="22" s="1"/>
  <c r="Q759" i="22"/>
  <c r="R759" i="22"/>
  <c r="S759" i="22" s="1"/>
  <c r="Q760" i="22"/>
  <c r="R760" i="22"/>
  <c r="S760" i="22" s="1"/>
  <c r="Q761" i="22"/>
  <c r="R761" i="22"/>
  <c r="S761" i="22" s="1"/>
  <c r="Q762" i="22"/>
  <c r="R762" i="22"/>
  <c r="S762" i="22"/>
  <c r="Q763" i="22"/>
  <c r="R763" i="22"/>
  <c r="S763" i="22" s="1"/>
  <c r="Q764" i="22"/>
  <c r="R764" i="22"/>
  <c r="S764" i="22"/>
  <c r="Q765" i="22"/>
  <c r="R765" i="22"/>
  <c r="S765" i="22" s="1"/>
  <c r="Q766" i="22"/>
  <c r="R766" i="22"/>
  <c r="S766" i="22" s="1"/>
  <c r="Q767" i="22"/>
  <c r="R767" i="22"/>
  <c r="S767" i="22" s="1"/>
  <c r="Q768" i="22"/>
  <c r="R768" i="22"/>
  <c r="S768" i="22" s="1"/>
  <c r="Q769" i="22"/>
  <c r="R769" i="22"/>
  <c r="S769" i="22" s="1"/>
  <c r="Q770" i="22"/>
  <c r="R770" i="22"/>
  <c r="S770" i="22"/>
  <c r="Q771" i="22"/>
  <c r="R771" i="22"/>
  <c r="S771" i="22" s="1"/>
  <c r="Q772" i="22"/>
  <c r="R772" i="22"/>
  <c r="S772" i="22" s="1"/>
  <c r="Q773" i="22"/>
  <c r="R773" i="22"/>
  <c r="S773" i="22" s="1"/>
  <c r="Q774" i="22"/>
  <c r="R774" i="22"/>
  <c r="S774" i="22"/>
  <c r="Q775" i="22"/>
  <c r="R775" i="22"/>
  <c r="S775" i="22" s="1"/>
  <c r="Q776" i="22"/>
  <c r="R776" i="22"/>
  <c r="S776" i="22" s="1"/>
  <c r="Q777" i="22"/>
  <c r="R777" i="22"/>
  <c r="S777" i="22" s="1"/>
  <c r="Q778" i="22"/>
  <c r="R778" i="22"/>
  <c r="S778" i="22"/>
  <c r="Q779" i="22"/>
  <c r="R779" i="22"/>
  <c r="S779" i="22" s="1"/>
  <c r="Q780" i="22"/>
  <c r="R780" i="22"/>
  <c r="S780" i="22"/>
  <c r="Q781" i="22"/>
  <c r="R781" i="22"/>
  <c r="S781" i="22" s="1"/>
  <c r="Q782" i="22"/>
  <c r="R782" i="22"/>
  <c r="S782" i="22" s="1"/>
  <c r="Q783" i="22"/>
  <c r="R783" i="22"/>
  <c r="S783" i="22" s="1"/>
  <c r="Q784" i="22"/>
  <c r="R784" i="22"/>
  <c r="S784" i="22" s="1"/>
  <c r="Q785" i="22"/>
  <c r="R785" i="22"/>
  <c r="S785" i="22" s="1"/>
  <c r="Q786" i="22"/>
  <c r="R786" i="22"/>
  <c r="S786" i="22"/>
  <c r="Q787" i="22"/>
  <c r="R787" i="22"/>
  <c r="S787" i="22" s="1"/>
  <c r="Q788" i="22"/>
  <c r="R788" i="22"/>
  <c r="S788" i="22"/>
  <c r="Q789" i="22"/>
  <c r="R789" i="22"/>
  <c r="S789" i="22" s="1"/>
  <c r="Q790" i="22"/>
  <c r="R790" i="22"/>
  <c r="S790" i="22"/>
  <c r="Q791" i="22"/>
  <c r="R791" i="22"/>
  <c r="S791" i="22" s="1"/>
  <c r="Q792" i="22"/>
  <c r="R792" i="22"/>
  <c r="S792" i="22" s="1"/>
  <c r="Q793" i="22"/>
  <c r="R793" i="22"/>
  <c r="S793" i="22" s="1"/>
  <c r="Q794" i="22"/>
  <c r="R794" i="22"/>
  <c r="S794" i="22" s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P1732" i="1"/>
  <c r="AP1733" i="1"/>
  <c r="AP1734" i="1"/>
  <c r="AP1735" i="1"/>
  <c r="AP1736" i="1"/>
  <c r="AP1737" i="1"/>
  <c r="AP1738" i="1"/>
  <c r="AP1739" i="1"/>
  <c r="AP1740" i="1"/>
  <c r="AP1741" i="1"/>
  <c r="AP1742" i="1"/>
  <c r="AP1743" i="1"/>
  <c r="AP1744" i="1"/>
  <c r="AP1745" i="1"/>
  <c r="AP1746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F1732" i="1"/>
  <c r="AX1732" i="1" s="1"/>
  <c r="AF1733" i="1"/>
  <c r="AX1733" i="1" s="1"/>
  <c r="AF1734" i="1"/>
  <c r="AX1734" i="1" s="1"/>
  <c r="AF1735" i="1"/>
  <c r="AX1735" i="1" s="1"/>
  <c r="AF1736" i="1"/>
  <c r="AX1736" i="1" s="1"/>
  <c r="AF1737" i="1"/>
  <c r="AX1737" i="1" s="1"/>
  <c r="AF1738" i="1"/>
  <c r="AX1738" i="1" s="1"/>
  <c r="AF1739" i="1"/>
  <c r="AX1739" i="1" s="1"/>
  <c r="AF1740" i="1"/>
  <c r="AX1740" i="1" s="1"/>
  <c r="AF1741" i="1"/>
  <c r="AX1741" i="1" s="1"/>
  <c r="AF1742" i="1"/>
  <c r="AX1742" i="1" s="1"/>
  <c r="AF1743" i="1"/>
  <c r="AX1743" i="1" s="1"/>
  <c r="AF1744" i="1"/>
  <c r="AX1744" i="1" s="1"/>
  <c r="AF1745" i="1"/>
  <c r="AX1745" i="1" s="1"/>
  <c r="AF1746" i="1"/>
  <c r="AX1746" i="1" s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R1742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L1732" i="1"/>
  <c r="L1733" i="1"/>
  <c r="L1734" i="1"/>
  <c r="L1735" i="1"/>
  <c r="L1736" i="1"/>
  <c r="L1737" i="1"/>
  <c r="Z1737" i="1" s="1"/>
  <c r="L1738" i="1"/>
  <c r="L1739" i="1"/>
  <c r="L1740" i="1"/>
  <c r="L1741" i="1"/>
  <c r="L1742" i="1"/>
  <c r="L1743" i="1"/>
  <c r="L1744" i="1"/>
  <c r="L1745" i="1"/>
  <c r="L1746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Y1739" i="1" l="1"/>
  <c r="AW1737" i="1"/>
  <c r="AY1743" i="1"/>
  <c r="AY1735" i="1"/>
  <c r="AW1745" i="1"/>
  <c r="AW1741" i="1"/>
  <c r="AW1733" i="1"/>
  <c r="R1745" i="1"/>
  <c r="U1741" i="1"/>
  <c r="R1737" i="1"/>
  <c r="U1733" i="1"/>
  <c r="U1744" i="1"/>
  <c r="R1735" i="1"/>
  <c r="X1742" i="1"/>
  <c r="R1738" i="1"/>
  <c r="AY1744" i="1"/>
  <c r="AY1740" i="1"/>
  <c r="AY1736" i="1"/>
  <c r="AY1732" i="1"/>
  <c r="AW1746" i="1"/>
  <c r="AW1742" i="1"/>
  <c r="AW1738" i="1"/>
  <c r="AW1734" i="1"/>
  <c r="X1738" i="1"/>
  <c r="X1734" i="1"/>
  <c r="AY1742" i="1"/>
  <c r="AY1734" i="1"/>
  <c r="AW1740" i="1"/>
  <c r="AW1732" i="1"/>
  <c r="R1736" i="1"/>
  <c r="R1743" i="1"/>
  <c r="R1734" i="1"/>
  <c r="AY1745" i="1"/>
  <c r="AY1741" i="1"/>
  <c r="AY1737" i="1"/>
  <c r="AY1733" i="1"/>
  <c r="AW1743" i="1"/>
  <c r="AW1739" i="1"/>
  <c r="AW1735" i="1"/>
  <c r="X1743" i="1"/>
  <c r="X1739" i="1"/>
  <c r="X1735" i="1"/>
  <c r="AY1746" i="1"/>
  <c r="AY1738" i="1"/>
  <c r="AW1744" i="1"/>
  <c r="AW1736" i="1"/>
  <c r="R1744" i="1"/>
  <c r="X1740" i="1"/>
  <c r="X1732" i="1"/>
  <c r="X1733" i="1"/>
  <c r="U1745" i="1"/>
  <c r="X1744" i="1"/>
  <c r="X1737" i="1"/>
  <c r="U1737" i="1"/>
  <c r="X1741" i="1"/>
  <c r="X1745" i="1"/>
  <c r="R1739" i="1"/>
  <c r="U1740" i="1"/>
  <c r="R1740" i="1"/>
  <c r="U1732" i="1"/>
  <c r="R1732" i="1"/>
  <c r="U1736" i="1"/>
  <c r="X1736" i="1"/>
  <c r="R1741" i="1"/>
  <c r="R1733" i="1"/>
  <c r="BH1334" i="1"/>
  <c r="BH1525" i="1"/>
  <c r="BH555" i="1"/>
  <c r="BH1567" i="1"/>
  <c r="BH1431" i="1"/>
  <c r="BH1324" i="1"/>
  <c r="BH940" i="1"/>
  <c r="BH1209" i="1"/>
  <c r="BF1209" i="1"/>
  <c r="BG1209" i="1" s="1"/>
  <c r="BK1209" i="1"/>
  <c r="BL1209" i="1" s="1"/>
  <c r="BH993" i="1"/>
  <c r="BF737" i="1"/>
  <c r="BH1432" i="1"/>
  <c r="BH1208" i="1"/>
  <c r="BF1208" i="1"/>
  <c r="BG1208" i="1" s="1"/>
  <c r="BK1208" i="1"/>
  <c r="BL1208" i="1" s="1"/>
  <c r="BH1032" i="1"/>
  <c r="BF968" i="1"/>
  <c r="BG968" i="1" s="1"/>
  <c r="BF472" i="1"/>
  <c r="BH939" i="1"/>
  <c r="BF1410" i="1"/>
  <c r="BH1693" i="1"/>
  <c r="BF1053" i="1"/>
  <c r="BF1107" i="1"/>
  <c r="BG1107" i="1" s="1"/>
  <c r="BH541" i="1"/>
  <c r="BF61" i="1"/>
  <c r="BF474" i="1"/>
  <c r="BH1433" i="1"/>
  <c r="BH1223" i="1"/>
  <c r="BH674" i="1"/>
  <c r="BH996" i="1"/>
  <c r="BH1322" i="1"/>
  <c r="BH554" i="1"/>
  <c r="BH1385" i="1"/>
  <c r="BH1600" i="1"/>
  <c r="BH1568" i="1"/>
  <c r="BF60" i="1"/>
  <c r="BF979" i="1"/>
  <c r="BH1599" i="1"/>
  <c r="BH1495" i="1"/>
  <c r="BH1457" i="1"/>
  <c r="BH1677" i="1"/>
  <c r="BH598" i="1"/>
  <c r="BH1292" i="1"/>
  <c r="BH1289" i="1"/>
  <c r="BH1033" i="1"/>
  <c r="BF1039" i="1"/>
  <c r="BH1039" i="1"/>
  <c r="BK1039" i="1"/>
  <c r="BH1323" i="1"/>
  <c r="BH997" i="1"/>
  <c r="BH597" i="1"/>
  <c r="BH558" i="1"/>
  <c r="BH1645" i="1"/>
  <c r="BF969" i="1"/>
  <c r="BG969" i="1" s="1"/>
  <c r="BF1055" i="1"/>
  <c r="BF1411" i="1"/>
  <c r="BH1526" i="1"/>
  <c r="BF1014" i="1"/>
  <c r="BG1014" i="1" s="1"/>
  <c r="BH187" i="1"/>
  <c r="BF59" i="1"/>
  <c r="BH1534" i="1"/>
  <c r="BH1496" i="1"/>
  <c r="BH675" i="1"/>
  <c r="BH1222" i="1"/>
  <c r="BH1210" i="1"/>
  <c r="BF1210" i="1"/>
  <c r="BG1210" i="1" s="1"/>
  <c r="BK1210" i="1"/>
  <c r="BL1210" i="1" s="1"/>
  <c r="BH1288" i="1"/>
  <c r="BH1224" i="1"/>
  <c r="BH1125" i="1"/>
  <c r="BH1124" i="1"/>
  <c r="BH1694" i="1"/>
  <c r="BF1054" i="1"/>
  <c r="BH542" i="1"/>
  <c r="BH188" i="1"/>
  <c r="BH1035" i="1"/>
  <c r="BH1335" i="1"/>
  <c r="BH1291" i="1"/>
  <c r="BF1106" i="1"/>
  <c r="BG1106" i="1" s="1"/>
  <c r="BH621" i="1"/>
  <c r="BH557" i="1"/>
  <c r="BH1644" i="1"/>
  <c r="BH1052" i="1"/>
  <c r="BH1050" i="1"/>
  <c r="BH673" i="1"/>
  <c r="BH676" i="1"/>
  <c r="BH994" i="1"/>
  <c r="BH1268" i="1"/>
  <c r="BF1012" i="1"/>
  <c r="BG1012" i="1" s="1"/>
  <c r="BH1051" i="1"/>
  <c r="BH531" i="1"/>
  <c r="BH1535" i="1"/>
  <c r="BH1458" i="1"/>
  <c r="BH1678" i="1"/>
  <c r="BH1038" i="1"/>
  <c r="BF1038" i="1"/>
  <c r="BK1038" i="1"/>
  <c r="BF1040" i="1"/>
  <c r="BH1040" i="1"/>
  <c r="BK1040" i="1"/>
  <c r="BF736" i="1"/>
  <c r="BH1290" i="1"/>
  <c r="BH1034" i="1"/>
  <c r="BF473" i="1"/>
  <c r="BH1384" i="1"/>
  <c r="BH1456" i="1"/>
  <c r="BF735" i="1"/>
  <c r="BH1269" i="1"/>
  <c r="BF1013" i="1"/>
  <c r="BG1013" i="1" s="1"/>
  <c r="BF980" i="1"/>
  <c r="BH532" i="1"/>
  <c r="BH622" i="1"/>
  <c r="X1731" i="1"/>
  <c r="U1731" i="1"/>
  <c r="V1731" i="1" s="1"/>
  <c r="W1731" i="1" s="1"/>
  <c r="R1731" i="1"/>
  <c r="S1731" i="1" s="1"/>
  <c r="Y1737" i="1"/>
  <c r="AU1737" i="1" s="1"/>
  <c r="U1742" i="1"/>
  <c r="U1743" i="1"/>
  <c r="U1738" i="1"/>
  <c r="U1739" i="1"/>
  <c r="U1734" i="1"/>
  <c r="U1735" i="1"/>
  <c r="AC1741" i="1"/>
  <c r="AC1737" i="1"/>
  <c r="AC1733" i="1"/>
  <c r="AC1744" i="1"/>
  <c r="AC1740" i="1"/>
  <c r="AC1736" i="1"/>
  <c r="AC1732" i="1"/>
  <c r="AC1743" i="1"/>
  <c r="AC1739" i="1"/>
  <c r="AC1735" i="1"/>
  <c r="AC1742" i="1"/>
  <c r="AC1738" i="1"/>
  <c r="AC1734" i="1"/>
  <c r="AC1745" i="1"/>
  <c r="AC1746" i="1"/>
  <c r="AA1742" i="1"/>
  <c r="S1737" i="1"/>
  <c r="V1737" i="1"/>
  <c r="W1737" i="1" s="1"/>
  <c r="AA1743" i="1"/>
  <c r="Z1743" i="1"/>
  <c r="S1743" i="1" s="1"/>
  <c r="AA1739" i="1"/>
  <c r="Z1739" i="1"/>
  <c r="S1739" i="1" s="1"/>
  <c r="AA1735" i="1"/>
  <c r="Z1735" i="1"/>
  <c r="S1735" i="1" s="1"/>
  <c r="Y1735" i="1"/>
  <c r="AU1735" i="1" s="1"/>
  <c r="Z1742" i="1"/>
  <c r="Y1742" i="1" s="1"/>
  <c r="AU1742" i="1" s="1"/>
  <c r="AA1737" i="1"/>
  <c r="AV1737" i="1" s="1"/>
  <c r="AA1746" i="1"/>
  <c r="Z1746" i="1"/>
  <c r="AA1738" i="1"/>
  <c r="Z1738" i="1"/>
  <c r="S1738" i="1" s="1"/>
  <c r="AA1734" i="1"/>
  <c r="Z1734" i="1"/>
  <c r="S1734" i="1" s="1"/>
  <c r="Y1738" i="1"/>
  <c r="AU1738" i="1" s="1"/>
  <c r="AA1745" i="1"/>
  <c r="Z1745" i="1"/>
  <c r="AA1741" i="1"/>
  <c r="Z1741" i="1"/>
  <c r="AA1733" i="1"/>
  <c r="Z1733" i="1"/>
  <c r="V1733" i="1" s="1"/>
  <c r="W1733" i="1" s="1"/>
  <c r="AA1744" i="1"/>
  <c r="Z1744" i="1"/>
  <c r="S1744" i="1" s="1"/>
  <c r="AA1740" i="1"/>
  <c r="Z1740" i="1"/>
  <c r="S1740" i="1" s="1"/>
  <c r="AA1736" i="1"/>
  <c r="Z1736" i="1"/>
  <c r="S1736" i="1" s="1"/>
  <c r="AA1732" i="1"/>
  <c r="Z1732" i="1"/>
  <c r="S1732" i="1" s="1"/>
  <c r="Y1732" i="1"/>
  <c r="AU1732" i="1" s="1"/>
  <c r="Y1731" i="1" l="1"/>
  <c r="AU1731" i="1" s="1"/>
  <c r="T1731" i="1"/>
  <c r="AT1731" i="1"/>
  <c r="Y1743" i="1"/>
  <c r="AU1743" i="1" s="1"/>
  <c r="Y1734" i="1"/>
  <c r="AU1734" i="1" s="1"/>
  <c r="Y1744" i="1"/>
  <c r="AU1744" i="1" s="1"/>
  <c r="S1745" i="1"/>
  <c r="AT1745" i="1" s="1"/>
  <c r="Y1745" i="1"/>
  <c r="AU1745" i="1" s="1"/>
  <c r="Y1733" i="1"/>
  <c r="AU1733" i="1" s="1"/>
  <c r="Y1740" i="1"/>
  <c r="AU1740" i="1" s="1"/>
  <c r="Y1736" i="1"/>
  <c r="AU1736" i="1" s="1"/>
  <c r="Y1739" i="1"/>
  <c r="AU1739" i="1" s="1"/>
  <c r="S1741" i="1"/>
  <c r="T1741" i="1" s="1"/>
  <c r="Y1741" i="1"/>
  <c r="AU1741" i="1" s="1"/>
  <c r="AT1736" i="1"/>
  <c r="T1736" i="1"/>
  <c r="AT1744" i="1"/>
  <c r="T1744" i="1"/>
  <c r="AT1739" i="1"/>
  <c r="T1739" i="1"/>
  <c r="AT1734" i="1"/>
  <c r="T1734" i="1"/>
  <c r="AT1732" i="1"/>
  <c r="T1732" i="1"/>
  <c r="AT1740" i="1"/>
  <c r="T1740" i="1"/>
  <c r="AT1735" i="1"/>
  <c r="T1735" i="1"/>
  <c r="AT1743" i="1"/>
  <c r="T1743" i="1"/>
  <c r="AT1738" i="1"/>
  <c r="T1738" i="1"/>
  <c r="AV1732" i="1"/>
  <c r="V1739" i="1"/>
  <c r="W1739" i="1" s="1"/>
  <c r="V1740" i="1"/>
  <c r="W1740" i="1" s="1"/>
  <c r="S1733" i="1"/>
  <c r="AV1735" i="1"/>
  <c r="V1743" i="1"/>
  <c r="W1743" i="1" s="1"/>
  <c r="V1744" i="1"/>
  <c r="W1744" i="1" s="1"/>
  <c r="V1741" i="1"/>
  <c r="W1741" i="1" s="1"/>
  <c r="AT1737" i="1"/>
  <c r="T1737" i="1"/>
  <c r="V1734" i="1"/>
  <c r="W1734" i="1" s="1"/>
  <c r="AV1736" i="1"/>
  <c r="AV1738" i="1"/>
  <c r="V1732" i="1"/>
  <c r="W1732" i="1" s="1"/>
  <c r="V1745" i="1"/>
  <c r="W1745" i="1" s="1"/>
  <c r="V1738" i="1"/>
  <c r="W1738" i="1" s="1"/>
  <c r="V1735" i="1"/>
  <c r="W1735" i="1" s="1"/>
  <c r="V1736" i="1"/>
  <c r="W1736" i="1" s="1"/>
  <c r="V1742" i="1"/>
  <c r="W1742" i="1" s="1"/>
  <c r="S1742" i="1"/>
  <c r="AV1742" i="1"/>
  <c r="AV1739" i="1" l="1"/>
  <c r="AV1743" i="1"/>
  <c r="AT1741" i="1"/>
  <c r="AV1733" i="1"/>
  <c r="AV1740" i="1"/>
  <c r="AV1745" i="1"/>
  <c r="AV1741" i="1"/>
  <c r="AV1734" i="1"/>
  <c r="T1745" i="1"/>
  <c r="AV1744" i="1"/>
  <c r="AV1731" i="1"/>
  <c r="AT1742" i="1"/>
  <c r="T1742" i="1"/>
  <c r="AT1733" i="1"/>
  <c r="T1733" i="1"/>
  <c r="E25" i="183" l="1"/>
  <c r="E24" i="183"/>
  <c r="E21" i="183"/>
  <c r="I4" i="183" l="1" a="1"/>
  <c r="I4" i="183" s="1"/>
  <c r="J846" i="215"/>
  <c r="J847" i="215"/>
  <c r="E22" i="183" l="1"/>
  <c r="A38" i="191"/>
  <c r="C38" i="191" s="1"/>
  <c r="H38" i="191"/>
  <c r="H4" i="191"/>
  <c r="H5" i="191"/>
  <c r="H6" i="191"/>
  <c r="H7" i="191"/>
  <c r="H8" i="191"/>
  <c r="H9" i="191"/>
  <c r="H10" i="191"/>
  <c r="H11" i="191"/>
  <c r="H12" i="191"/>
  <c r="H13" i="191"/>
  <c r="H14" i="191"/>
  <c r="H15" i="191"/>
  <c r="H16" i="191"/>
  <c r="H17" i="191"/>
  <c r="H18" i="191"/>
  <c r="H19" i="191"/>
  <c r="H20" i="191"/>
  <c r="H21" i="191"/>
  <c r="H22" i="191"/>
  <c r="H23" i="191"/>
  <c r="H24" i="191"/>
  <c r="H25" i="191"/>
  <c r="H26" i="191"/>
  <c r="H27" i="191"/>
  <c r="H28" i="191"/>
  <c r="H29" i="191"/>
  <c r="H30" i="191"/>
  <c r="H31" i="191"/>
  <c r="H32" i="191"/>
  <c r="H33" i="191"/>
  <c r="H34" i="191"/>
  <c r="H35" i="191"/>
  <c r="H36" i="191"/>
  <c r="H37" i="191"/>
  <c r="B11" i="191"/>
  <c r="A11" i="191" s="1"/>
  <c r="D11" i="191" s="1"/>
  <c r="B12" i="191"/>
  <c r="A12" i="191" s="1"/>
  <c r="B13" i="191"/>
  <c r="A13" i="191" s="1"/>
  <c r="B14" i="191"/>
  <c r="A14" i="191" s="1"/>
  <c r="B15" i="191"/>
  <c r="A15" i="191" s="1"/>
  <c r="D15" i="191" s="1"/>
  <c r="B16" i="191"/>
  <c r="A16" i="191" s="1"/>
  <c r="B17" i="191"/>
  <c r="A17" i="191" s="1"/>
  <c r="B18" i="191"/>
  <c r="A18" i="191" s="1"/>
  <c r="B19" i="191"/>
  <c r="A19" i="191" s="1"/>
  <c r="D19" i="191" s="1"/>
  <c r="B20" i="191"/>
  <c r="A20" i="191" s="1"/>
  <c r="B21" i="191"/>
  <c r="A21" i="191" s="1"/>
  <c r="B22" i="191"/>
  <c r="A22" i="191" s="1"/>
  <c r="B23" i="191"/>
  <c r="A23" i="191" s="1"/>
  <c r="D23" i="191" s="1"/>
  <c r="B24" i="191"/>
  <c r="A24" i="191" s="1"/>
  <c r="B25" i="191"/>
  <c r="A25" i="191" s="1"/>
  <c r="B26" i="191"/>
  <c r="A26" i="191" s="1"/>
  <c r="B27" i="191"/>
  <c r="A27" i="191" s="1"/>
  <c r="D27" i="191" s="1"/>
  <c r="B28" i="191"/>
  <c r="A28" i="191" s="1"/>
  <c r="B29" i="191"/>
  <c r="A29" i="191" s="1"/>
  <c r="B30" i="191"/>
  <c r="A30" i="191" s="1"/>
  <c r="B31" i="191"/>
  <c r="A31" i="191" s="1"/>
  <c r="D31" i="191" s="1"/>
  <c r="B32" i="191"/>
  <c r="A32" i="191" s="1"/>
  <c r="B33" i="191"/>
  <c r="A33" i="191" s="1"/>
  <c r="B34" i="191"/>
  <c r="A34" i="191" s="1"/>
  <c r="B35" i="191"/>
  <c r="A35" i="191" s="1"/>
  <c r="D35" i="191" s="1"/>
  <c r="B36" i="191"/>
  <c r="A36" i="191" s="1"/>
  <c r="B37" i="191"/>
  <c r="A37" i="191" s="1"/>
  <c r="B38" i="191"/>
  <c r="D38" i="191" l="1"/>
  <c r="D34" i="191"/>
  <c r="C34" i="191"/>
  <c r="D37" i="191"/>
  <c r="C37" i="191"/>
  <c r="D33" i="191"/>
  <c r="C33" i="191"/>
  <c r="D29" i="191"/>
  <c r="C29" i="191"/>
  <c r="D25" i="191"/>
  <c r="C25" i="191"/>
  <c r="D21" i="191"/>
  <c r="C21" i="191"/>
  <c r="D17" i="191"/>
  <c r="C17" i="191"/>
  <c r="D13" i="191"/>
  <c r="C13" i="191"/>
  <c r="D36" i="191"/>
  <c r="C36" i="191"/>
  <c r="D32" i="191"/>
  <c r="C32" i="191"/>
  <c r="D28" i="191"/>
  <c r="C28" i="191"/>
  <c r="D24" i="191"/>
  <c r="C24" i="191"/>
  <c r="D20" i="191"/>
  <c r="C20" i="191"/>
  <c r="D16" i="191"/>
  <c r="C16" i="191"/>
  <c r="D12" i="191"/>
  <c r="C12" i="191"/>
  <c r="D30" i="191"/>
  <c r="C30" i="191"/>
  <c r="D26" i="191"/>
  <c r="C26" i="191"/>
  <c r="D22" i="191"/>
  <c r="C22" i="191"/>
  <c r="D18" i="191"/>
  <c r="C18" i="191"/>
  <c r="D14" i="191"/>
  <c r="C14" i="191"/>
  <c r="C35" i="191"/>
  <c r="C31" i="191"/>
  <c r="C27" i="191"/>
  <c r="C23" i="191"/>
  <c r="C19" i="191"/>
  <c r="C15" i="191"/>
  <c r="C11" i="191"/>
  <c r="H3" i="191" l="1"/>
  <c r="Z2" i="230"/>
  <c r="B10" i="191" l="1"/>
  <c r="A10" i="191" s="1"/>
  <c r="E10" i="191" s="1"/>
  <c r="B7" i="191"/>
  <c r="A7" i="191" s="1"/>
  <c r="B8" i="191"/>
  <c r="A8" i="191" s="1"/>
  <c r="E8" i="191" s="1"/>
  <c r="B9" i="191"/>
  <c r="A9" i="191" s="1"/>
  <c r="E9" i="191" s="1"/>
  <c r="B5" i="191"/>
  <c r="A5" i="191" s="1"/>
  <c r="C5" i="191" s="1"/>
  <c r="B4" i="191"/>
  <c r="A4" i="191" s="1"/>
  <c r="D4" i="191" s="1"/>
  <c r="B6" i="191"/>
  <c r="A6" i="191" s="1"/>
  <c r="D6" i="191" s="1"/>
  <c r="B3" i="191"/>
  <c r="E28" i="191"/>
  <c r="E12" i="191"/>
  <c r="E35" i="191"/>
  <c r="E19" i="191"/>
  <c r="E34" i="191"/>
  <c r="E18" i="191"/>
  <c r="E33" i="191"/>
  <c r="E17" i="191"/>
  <c r="E24" i="191"/>
  <c r="E31" i="191"/>
  <c r="E15" i="191"/>
  <c r="E30" i="191"/>
  <c r="E14" i="191"/>
  <c r="E29" i="191"/>
  <c r="E13" i="191"/>
  <c r="E36" i="191"/>
  <c r="E20" i="191"/>
  <c r="E27" i="191"/>
  <c r="E11" i="191"/>
  <c r="E26" i="191"/>
  <c r="E25" i="191"/>
  <c r="E32" i="191"/>
  <c r="E16" i="191"/>
  <c r="E23" i="191"/>
  <c r="E38" i="191"/>
  <c r="E22" i="191"/>
  <c r="E37" i="191"/>
  <c r="E21" i="191"/>
  <c r="N2" i="215" l="1"/>
  <c r="L10" i="215"/>
  <c r="L21" i="215"/>
  <c r="M2" i="215"/>
  <c r="M3" i="215"/>
  <c r="M4" i="215"/>
  <c r="M5" i="215"/>
  <c r="M6" i="215"/>
  <c r="M7" i="215"/>
  <c r="M8" i="215"/>
  <c r="M9" i="215"/>
  <c r="M10" i="215"/>
  <c r="M11" i="215"/>
  <c r="M12" i="215"/>
  <c r="M13" i="215"/>
  <c r="M14" i="215"/>
  <c r="M15" i="215"/>
  <c r="M16" i="215"/>
  <c r="M17" i="215"/>
  <c r="M18" i="215"/>
  <c r="M19" i="215"/>
  <c r="M20" i="215"/>
  <c r="M21" i="215"/>
  <c r="M22" i="215"/>
  <c r="M23" i="215"/>
  <c r="M24" i="215"/>
  <c r="N3" i="215"/>
  <c r="N4" i="215"/>
  <c r="N5" i="215"/>
  <c r="N6" i="215"/>
  <c r="N7" i="215"/>
  <c r="N8" i="215"/>
  <c r="N9" i="215"/>
  <c r="N10" i="215"/>
  <c r="N11" i="215"/>
  <c r="N12" i="215"/>
  <c r="N13" i="215"/>
  <c r="N14" i="215"/>
  <c r="N15" i="215"/>
  <c r="N16" i="215"/>
  <c r="N17" i="215"/>
  <c r="N18" i="215"/>
  <c r="N19" i="215"/>
  <c r="N20" i="215"/>
  <c r="N21" i="215"/>
  <c r="N22" i="215"/>
  <c r="N23" i="215"/>
  <c r="N24" i="215"/>
  <c r="E4" i="191"/>
  <c r="C4" i="191"/>
  <c r="A3" i="191"/>
  <c r="E3" i="191" s="1"/>
  <c r="M846" i="215"/>
  <c r="N847" i="215"/>
  <c r="N846" i="215"/>
  <c r="M847" i="215"/>
  <c r="D8" i="191"/>
  <c r="L14" i="215" s="1"/>
  <c r="C8" i="191"/>
  <c r="C7" i="191"/>
  <c r="D7" i="191"/>
  <c r="L22" i="215" s="1"/>
  <c r="E7" i="191"/>
  <c r="D10" i="191"/>
  <c r="L17" i="215" s="1"/>
  <c r="C10" i="191"/>
  <c r="D9" i="191"/>
  <c r="L6" i="215" s="1"/>
  <c r="C9" i="191"/>
  <c r="E5" i="191"/>
  <c r="E6" i="191"/>
  <c r="O4" i="189" s="1"/>
  <c r="D5" i="191"/>
  <c r="L8" i="215" s="1"/>
  <c r="C6" i="191"/>
  <c r="L13" i="215" l="1"/>
  <c r="L9" i="215"/>
  <c r="L5" i="215"/>
  <c r="L2" i="215"/>
  <c r="L24" i="215"/>
  <c r="L20" i="215"/>
  <c r="L16" i="215"/>
  <c r="L12" i="215"/>
  <c r="L4" i="215"/>
  <c r="L23" i="215"/>
  <c r="L15" i="215"/>
  <c r="L11" i="215"/>
  <c r="L7" i="215"/>
  <c r="L3" i="215"/>
  <c r="C3" i="191"/>
  <c r="D3" i="191"/>
  <c r="X4" i="230"/>
  <c r="C4" i="230" s="1"/>
  <c r="L18" i="215" l="1"/>
  <c r="L19" i="215"/>
  <c r="L847" i="215"/>
  <c r="L846" i="215"/>
  <c r="E7" i="214"/>
  <c r="H8" i="175"/>
  <c r="H9" i="175"/>
  <c r="H10" i="175"/>
  <c r="H11" i="175"/>
  <c r="H12" i="175"/>
  <c r="H13" i="175"/>
  <c r="H14" i="175"/>
  <c r="G8" i="175"/>
  <c r="G9" i="175"/>
  <c r="G10" i="175"/>
  <c r="G11" i="175"/>
  <c r="G12" i="175"/>
  <c r="G13" i="175"/>
  <c r="G14" i="175"/>
  <c r="B8" i="214" l="1"/>
  <c r="J1747" i="74" l="1"/>
  <c r="J1748" i="74"/>
  <c r="J1749" i="74"/>
  <c r="J1750" i="74"/>
  <c r="I1747" i="74"/>
  <c r="I1748" i="74"/>
  <c r="I1749" i="74"/>
  <c r="I1750" i="74"/>
  <c r="H1747" i="74"/>
  <c r="H1748" i="74"/>
  <c r="H1749" i="74"/>
  <c r="H1750" i="74"/>
  <c r="F1747" i="74"/>
  <c r="G1747" i="74" s="1"/>
  <c r="F1748" i="74"/>
  <c r="G1748" i="74" s="1"/>
  <c r="F1749" i="74"/>
  <c r="G1749" i="74" s="1"/>
  <c r="F1750" i="74"/>
  <c r="G1750" i="74" s="1"/>
  <c r="AS1747" i="1"/>
  <c r="AS1748" i="1"/>
  <c r="AS1749" i="1"/>
  <c r="AS1750" i="1"/>
  <c r="AR1747" i="1"/>
  <c r="AR1748" i="1"/>
  <c r="AR1749" i="1"/>
  <c r="AR1750" i="1"/>
  <c r="AQ1747" i="1"/>
  <c r="AQ1748" i="1"/>
  <c r="AQ1749" i="1"/>
  <c r="AQ1750" i="1"/>
  <c r="AP1747" i="1"/>
  <c r="AP1748" i="1"/>
  <c r="AP1749" i="1"/>
  <c r="AP1750" i="1"/>
  <c r="AL1747" i="1"/>
  <c r="AL1748" i="1"/>
  <c r="AL1749" i="1"/>
  <c r="AL1750" i="1"/>
  <c r="AJ1747" i="1"/>
  <c r="AJ1748" i="1"/>
  <c r="AJ1749" i="1"/>
  <c r="AJ1750" i="1"/>
  <c r="AI1747" i="1"/>
  <c r="AI1748" i="1"/>
  <c r="AI1749" i="1"/>
  <c r="AI1750" i="1"/>
  <c r="AH1747" i="1"/>
  <c r="AH1748" i="1"/>
  <c r="AH1749" i="1"/>
  <c r="AH1750" i="1"/>
  <c r="AG1747" i="1"/>
  <c r="AG1748" i="1"/>
  <c r="AG1749" i="1"/>
  <c r="AY1749" i="1" s="1"/>
  <c r="AG1750" i="1"/>
  <c r="AF1747" i="1"/>
  <c r="AX1747" i="1" s="1"/>
  <c r="AF1748" i="1"/>
  <c r="AX1748" i="1" s="1"/>
  <c r="AF1749" i="1"/>
  <c r="AX1749" i="1" s="1"/>
  <c r="AF1750" i="1"/>
  <c r="AX1750" i="1" s="1"/>
  <c r="AC1747" i="1"/>
  <c r="AC1748" i="1"/>
  <c r="AC1749" i="1"/>
  <c r="AC1750" i="1"/>
  <c r="AB1747" i="1"/>
  <c r="AB1748" i="1"/>
  <c r="AB1749" i="1"/>
  <c r="AB1750" i="1"/>
  <c r="Q1747" i="1"/>
  <c r="Q1748" i="1"/>
  <c r="Q1749" i="1"/>
  <c r="Q1750" i="1"/>
  <c r="P1747" i="1"/>
  <c r="P1748" i="1"/>
  <c r="P1749" i="1"/>
  <c r="P1750" i="1"/>
  <c r="L1747" i="1"/>
  <c r="L1748" i="1"/>
  <c r="L1749" i="1"/>
  <c r="L1750" i="1"/>
  <c r="K1747" i="1"/>
  <c r="K1748" i="1"/>
  <c r="K1749" i="1"/>
  <c r="K1750" i="1"/>
  <c r="J1747" i="1"/>
  <c r="J1748" i="1"/>
  <c r="J1749" i="1"/>
  <c r="J1750" i="1"/>
  <c r="I1747" i="1"/>
  <c r="I1748" i="1"/>
  <c r="I1749" i="1"/>
  <c r="I1750" i="1"/>
  <c r="H1747" i="1"/>
  <c r="H1748" i="1"/>
  <c r="H1749" i="1"/>
  <c r="H1750" i="1"/>
  <c r="G1747" i="1"/>
  <c r="G1748" i="1"/>
  <c r="G1749" i="1"/>
  <c r="G1750" i="1"/>
  <c r="F1747" i="1"/>
  <c r="F1748" i="1"/>
  <c r="F1749" i="1"/>
  <c r="F1750" i="1"/>
  <c r="E1747" i="1"/>
  <c r="E1748" i="1"/>
  <c r="E1749" i="1"/>
  <c r="E1750" i="1"/>
  <c r="D1747" i="1"/>
  <c r="D1748" i="1"/>
  <c r="D1749" i="1"/>
  <c r="D1750" i="1"/>
  <c r="C1747" i="1"/>
  <c r="C1748" i="1"/>
  <c r="C1749" i="1"/>
  <c r="C1750" i="1"/>
  <c r="B1747" i="1"/>
  <c r="B1748" i="1"/>
  <c r="B1749" i="1"/>
  <c r="B1750" i="1"/>
  <c r="A1747" i="1"/>
  <c r="A1748" i="1"/>
  <c r="A1749" i="1"/>
  <c r="A1750" i="1"/>
  <c r="U1746" i="1" l="1"/>
  <c r="V1746" i="1" s="1"/>
  <c r="W1746" i="1" s="1"/>
  <c r="R1746" i="1"/>
  <c r="S1746" i="1" s="1"/>
  <c r="X1746" i="1"/>
  <c r="AY1748" i="1"/>
  <c r="X1747" i="1"/>
  <c r="AY1750" i="1"/>
  <c r="AW1749" i="1"/>
  <c r="AW1747" i="1"/>
  <c r="AW1748" i="1"/>
  <c r="AW1750" i="1"/>
  <c r="AY1747" i="1"/>
  <c r="X1748" i="1"/>
  <c r="R1749" i="1"/>
  <c r="U1749" i="1"/>
  <c r="X1749" i="1"/>
  <c r="R1748" i="1"/>
  <c r="U1748" i="1"/>
  <c r="U1747" i="1"/>
  <c r="R1747" i="1"/>
  <c r="AA1747" i="1"/>
  <c r="Z1747" i="1"/>
  <c r="S1747" i="1"/>
  <c r="AA1750" i="1"/>
  <c r="Z1750" i="1"/>
  <c r="S1750" i="1"/>
  <c r="V1750" i="1"/>
  <c r="W1750" i="1" s="1"/>
  <c r="Y1750" i="1"/>
  <c r="AU1750" i="1" s="1"/>
  <c r="AA1749" i="1"/>
  <c r="Z1749" i="1"/>
  <c r="S1749" i="1" s="1"/>
  <c r="V1749" i="1"/>
  <c r="W1749" i="1" s="1"/>
  <c r="AA1748" i="1"/>
  <c r="Z1748" i="1"/>
  <c r="S1748" i="1"/>
  <c r="Y1747" i="1"/>
  <c r="AU1747" i="1" s="1"/>
  <c r="V1748" i="1"/>
  <c r="W1748" i="1" s="1"/>
  <c r="V1747" i="1"/>
  <c r="W1747" i="1" s="1"/>
  <c r="Y1749" i="1"/>
  <c r="AU1749" i="1" s="1"/>
  <c r="Y1748" i="1"/>
  <c r="AU1748" i="1" s="1"/>
  <c r="BA1750" i="1"/>
  <c r="AZ1750" i="1"/>
  <c r="BA1749" i="1"/>
  <c r="AZ1749" i="1"/>
  <c r="BA1748" i="1"/>
  <c r="AZ1748" i="1"/>
  <c r="BA1747" i="1"/>
  <c r="AZ1747" i="1"/>
  <c r="AT1746" i="1" l="1"/>
  <c r="T1746" i="1"/>
  <c r="Y1746" i="1"/>
  <c r="AU1746" i="1" s="1"/>
  <c r="AT1749" i="1"/>
  <c r="T1749" i="1"/>
  <c r="BJ1748" i="1"/>
  <c r="BJ1750" i="1"/>
  <c r="AT1748" i="1"/>
  <c r="T1748" i="1"/>
  <c r="AV1749" i="1"/>
  <c r="AT1747" i="1"/>
  <c r="T1747" i="1"/>
  <c r="AV1747" i="1"/>
  <c r="BJ1747" i="1"/>
  <c r="BJ1749" i="1"/>
  <c r="AV1748" i="1"/>
  <c r="AT1750" i="1"/>
  <c r="T1750" i="1"/>
  <c r="AV1746" i="1" l="1"/>
  <c r="BD1749" i="1"/>
  <c r="BI1749" i="1" s="1"/>
  <c r="BB1749" i="1"/>
  <c r="BB1750" i="1"/>
  <c r="BD1750" i="1"/>
  <c r="BI1750" i="1" s="1"/>
  <c r="BB1747" i="1"/>
  <c r="BC1750" i="1"/>
  <c r="BC1749" i="1"/>
  <c r="BB1748" i="1"/>
  <c r="BH1749" i="1" l="1"/>
  <c r="BF1749" i="1"/>
  <c r="BK1749" i="1"/>
  <c r="BF1750" i="1"/>
  <c r="BH1750" i="1"/>
  <c r="BK1750" i="1"/>
  <c r="C10" i="229"/>
  <c r="C11" i="229"/>
  <c r="C12" i="229"/>
  <c r="C13" i="229"/>
  <c r="C14" i="229"/>
  <c r="C15" i="229"/>
  <c r="C16" i="229"/>
  <c r="C17" i="229"/>
  <c r="C18" i="229"/>
  <c r="C19" i="229"/>
  <c r="C20" i="229"/>
  <c r="C21" i="229"/>
  <c r="C22" i="229"/>
  <c r="C23" i="229"/>
  <c r="C24" i="229"/>
  <c r="C25" i="229"/>
  <c r="C26" i="229"/>
  <c r="C27" i="229"/>
  <c r="C28" i="229"/>
  <c r="C29" i="229"/>
  <c r="C30" i="229"/>
  <c r="C31" i="229"/>
  <c r="C32" i="229"/>
  <c r="C33" i="229"/>
  <c r="H1" i="229"/>
  <c r="B10" i="229"/>
  <c r="B11" i="229"/>
  <c r="B12" i="229"/>
  <c r="B13" i="229"/>
  <c r="B14" i="229"/>
  <c r="B15" i="229"/>
  <c r="B16" i="229"/>
  <c r="B17" i="229"/>
  <c r="B18" i="229"/>
  <c r="B19" i="229"/>
  <c r="B20" i="229"/>
  <c r="B21" i="229"/>
  <c r="B22" i="229"/>
  <c r="B23" i="229"/>
  <c r="B24" i="229"/>
  <c r="B25" i="229"/>
  <c r="B26" i="229"/>
  <c r="B27" i="229"/>
  <c r="B28" i="229"/>
  <c r="B29" i="229"/>
  <c r="B30" i="229"/>
  <c r="B31" i="229"/>
  <c r="B32" i="229"/>
  <c r="B33" i="229"/>
  <c r="AA5" i="20"/>
  <c r="V5" i="20"/>
  <c r="U5" i="20"/>
  <c r="J1751" i="74" l="1"/>
  <c r="J1752" i="74"/>
  <c r="J1753" i="74"/>
  <c r="J1754" i="74"/>
  <c r="J1755" i="74"/>
  <c r="J1756" i="74"/>
  <c r="I1751" i="74"/>
  <c r="I1752" i="74"/>
  <c r="I1753" i="74"/>
  <c r="I1754" i="74"/>
  <c r="I1755" i="74"/>
  <c r="I1756" i="74"/>
  <c r="H1751" i="74"/>
  <c r="H1752" i="74"/>
  <c r="H1753" i="74"/>
  <c r="H1754" i="74"/>
  <c r="H1755" i="74"/>
  <c r="H1756" i="74"/>
  <c r="F1751" i="74"/>
  <c r="G1751" i="74" s="1"/>
  <c r="F1752" i="74"/>
  <c r="G1752" i="74" s="1"/>
  <c r="F1753" i="74"/>
  <c r="G1753" i="74" s="1"/>
  <c r="F1754" i="74"/>
  <c r="G1754" i="74" s="1"/>
  <c r="F1755" i="74"/>
  <c r="G1755" i="74" s="1"/>
  <c r="F1756" i="74"/>
  <c r="G1756" i="74" s="1"/>
  <c r="A2" i="229" l="1" a="1"/>
  <c r="AS1751" i="1"/>
  <c r="AS1752" i="1"/>
  <c r="AS1753" i="1"/>
  <c r="AS1754" i="1"/>
  <c r="AS1755" i="1"/>
  <c r="AS1756" i="1"/>
  <c r="AR1751" i="1"/>
  <c r="AR1752" i="1"/>
  <c r="AR1753" i="1"/>
  <c r="AR1754" i="1"/>
  <c r="AR1755" i="1"/>
  <c r="AR1756" i="1"/>
  <c r="AQ1751" i="1"/>
  <c r="AQ1752" i="1"/>
  <c r="AQ1753" i="1"/>
  <c r="AQ1754" i="1"/>
  <c r="AQ1755" i="1"/>
  <c r="AQ1756" i="1"/>
  <c r="AP1751" i="1"/>
  <c r="AP1752" i="1"/>
  <c r="AP1753" i="1"/>
  <c r="AP1754" i="1"/>
  <c r="R1753" i="1" s="1"/>
  <c r="AP1755" i="1"/>
  <c r="R1754" i="1" s="1"/>
  <c r="AP1756" i="1"/>
  <c r="AL1751" i="1"/>
  <c r="AL1752" i="1"/>
  <c r="AL1753" i="1"/>
  <c r="AL1754" i="1"/>
  <c r="AL1755" i="1"/>
  <c r="AL1756" i="1"/>
  <c r="AJ1751" i="1"/>
  <c r="AJ1752" i="1"/>
  <c r="AJ1753" i="1"/>
  <c r="AJ1754" i="1"/>
  <c r="AJ1755" i="1"/>
  <c r="AJ1756" i="1"/>
  <c r="AI1751" i="1"/>
  <c r="AI1752" i="1"/>
  <c r="AI1753" i="1"/>
  <c r="AI1754" i="1"/>
  <c r="AI1755" i="1"/>
  <c r="AI1756" i="1"/>
  <c r="AH1751" i="1"/>
  <c r="AH1752" i="1"/>
  <c r="AH1753" i="1"/>
  <c r="AH1754" i="1"/>
  <c r="AH1755" i="1"/>
  <c r="AH1756" i="1"/>
  <c r="AG1751" i="1"/>
  <c r="AG1752" i="1"/>
  <c r="AG1753" i="1"/>
  <c r="AG1754" i="1"/>
  <c r="AG1755" i="1"/>
  <c r="AG1756" i="1"/>
  <c r="AF1751" i="1"/>
  <c r="AX1751" i="1" s="1"/>
  <c r="AF1752" i="1"/>
  <c r="AX1752" i="1" s="1"/>
  <c r="AF1753" i="1"/>
  <c r="AX1753" i="1" s="1"/>
  <c r="AF1754" i="1"/>
  <c r="AX1754" i="1" s="1"/>
  <c r="AF1755" i="1"/>
  <c r="AX1755" i="1" s="1"/>
  <c r="AF1756" i="1"/>
  <c r="AX1756" i="1" s="1"/>
  <c r="AC1751" i="1"/>
  <c r="AC1752" i="1"/>
  <c r="AC1753" i="1"/>
  <c r="AC1754" i="1"/>
  <c r="AC1755" i="1"/>
  <c r="AC1756" i="1"/>
  <c r="AB1751" i="1"/>
  <c r="AB1752" i="1"/>
  <c r="AB1753" i="1"/>
  <c r="AB1754" i="1"/>
  <c r="AB1755" i="1"/>
  <c r="AB1756" i="1"/>
  <c r="Q1751" i="1"/>
  <c r="Q1752" i="1"/>
  <c r="Q1753" i="1"/>
  <c r="Q1754" i="1"/>
  <c r="Q1755" i="1"/>
  <c r="Q1756" i="1"/>
  <c r="P1751" i="1"/>
  <c r="P1752" i="1"/>
  <c r="P1753" i="1"/>
  <c r="P1754" i="1"/>
  <c r="P1755" i="1"/>
  <c r="P1756" i="1"/>
  <c r="L1751" i="1"/>
  <c r="L1752" i="1"/>
  <c r="L1753" i="1"/>
  <c r="L1754" i="1"/>
  <c r="L1755" i="1"/>
  <c r="L1756" i="1"/>
  <c r="K1751" i="1"/>
  <c r="K1752" i="1"/>
  <c r="K1753" i="1"/>
  <c r="K1754" i="1"/>
  <c r="K1755" i="1"/>
  <c r="K1756" i="1"/>
  <c r="J1751" i="1"/>
  <c r="J1752" i="1"/>
  <c r="J1753" i="1"/>
  <c r="J1754" i="1"/>
  <c r="J1755" i="1"/>
  <c r="J1756" i="1"/>
  <c r="I1751" i="1"/>
  <c r="I1752" i="1"/>
  <c r="I1753" i="1"/>
  <c r="I1754" i="1"/>
  <c r="I1755" i="1"/>
  <c r="I1756" i="1"/>
  <c r="H1751" i="1"/>
  <c r="H1752" i="1"/>
  <c r="H1753" i="1"/>
  <c r="H1754" i="1"/>
  <c r="H1755" i="1"/>
  <c r="H1756" i="1"/>
  <c r="G1751" i="1"/>
  <c r="G1752" i="1"/>
  <c r="G1753" i="1"/>
  <c r="G1754" i="1"/>
  <c r="G1755" i="1"/>
  <c r="G1756" i="1"/>
  <c r="F1751" i="1"/>
  <c r="F1752" i="1"/>
  <c r="F1753" i="1"/>
  <c r="F1754" i="1"/>
  <c r="F1755" i="1"/>
  <c r="F1756" i="1"/>
  <c r="E1751" i="1"/>
  <c r="E1752" i="1"/>
  <c r="E1753" i="1"/>
  <c r="E1754" i="1"/>
  <c r="E1755" i="1"/>
  <c r="E1756" i="1"/>
  <c r="D1751" i="1"/>
  <c r="D1752" i="1"/>
  <c r="D1753" i="1"/>
  <c r="D1754" i="1"/>
  <c r="D1755" i="1"/>
  <c r="D1756" i="1"/>
  <c r="C1751" i="1"/>
  <c r="C1752" i="1"/>
  <c r="C1753" i="1"/>
  <c r="C1754" i="1"/>
  <c r="C1755" i="1"/>
  <c r="C1756" i="1"/>
  <c r="B1751" i="1"/>
  <c r="B1752" i="1"/>
  <c r="B1753" i="1"/>
  <c r="B1754" i="1"/>
  <c r="B1755" i="1"/>
  <c r="B1756" i="1"/>
  <c r="A1751" i="1"/>
  <c r="A1752" i="1"/>
  <c r="A1753" i="1"/>
  <c r="A1754" i="1"/>
  <c r="A1755" i="1"/>
  <c r="A1756" i="1"/>
  <c r="B9" i="229" l="1"/>
  <c r="B8" i="229"/>
  <c r="C8" i="229"/>
  <c r="C9" i="229"/>
  <c r="U1754" i="1"/>
  <c r="X1750" i="1"/>
  <c r="AV1750" i="1" s="1"/>
  <c r="U1750" i="1"/>
  <c r="R1750" i="1"/>
  <c r="U1755" i="1"/>
  <c r="U1751" i="1"/>
  <c r="A2" i="229"/>
  <c r="C3" i="229"/>
  <c r="C7" i="229"/>
  <c r="C4" i="229"/>
  <c r="C5" i="229"/>
  <c r="C6" i="229"/>
  <c r="B4" i="229"/>
  <c r="B7" i="229"/>
  <c r="B6" i="229"/>
  <c r="B3" i="229"/>
  <c r="B5" i="229"/>
  <c r="AW1752" i="1"/>
  <c r="U1753" i="1"/>
  <c r="X1753" i="1"/>
  <c r="R1755" i="1"/>
  <c r="U1752" i="1"/>
  <c r="X1752" i="1"/>
  <c r="AW1751" i="1"/>
  <c r="X1754" i="1"/>
  <c r="X1755" i="1"/>
  <c r="X1751" i="1"/>
  <c r="R1752" i="1"/>
  <c r="AW1754" i="1"/>
  <c r="R1751" i="1"/>
  <c r="AW1753" i="1"/>
  <c r="AW1756" i="1"/>
  <c r="AW1755" i="1"/>
  <c r="AY1754" i="1"/>
  <c r="AY1753" i="1"/>
  <c r="AY1756" i="1"/>
  <c r="AY1752" i="1"/>
  <c r="AY1755" i="1"/>
  <c r="AY1751" i="1"/>
  <c r="AA1754" i="1"/>
  <c r="Z1754" i="1"/>
  <c r="Z1753" i="1"/>
  <c r="V1753" i="1" s="1"/>
  <c r="W1753" i="1" s="1"/>
  <c r="AA1753" i="1"/>
  <c r="Z1756" i="1"/>
  <c r="S1756" i="1" s="1"/>
  <c r="AA1756" i="1"/>
  <c r="Z1752" i="1"/>
  <c r="S1752" i="1" s="1"/>
  <c r="AA1752" i="1"/>
  <c r="Y1754" i="1"/>
  <c r="AU1754" i="1" s="1"/>
  <c r="AA1755" i="1"/>
  <c r="Z1755" i="1"/>
  <c r="V1755" i="1" s="1"/>
  <c r="AA1751" i="1"/>
  <c r="Z1751" i="1"/>
  <c r="Y1751" i="1" s="1"/>
  <c r="AU1751" i="1" s="1"/>
  <c r="BA1754" i="1"/>
  <c r="AZ1752" i="1"/>
  <c r="BE1753" i="1"/>
  <c r="AZ1753" i="1"/>
  <c r="BA1753" i="1"/>
  <c r="BE1756" i="1"/>
  <c r="BA1756" i="1"/>
  <c r="BE1752" i="1"/>
  <c r="BA1752" i="1"/>
  <c r="BE1755" i="1"/>
  <c r="BA1755" i="1"/>
  <c r="AZ1755" i="1"/>
  <c r="BE1751" i="1"/>
  <c r="BA1751" i="1"/>
  <c r="AZ1751" i="1"/>
  <c r="BE1754" i="1"/>
  <c r="AZ1754" i="1"/>
  <c r="AZ1756" i="1"/>
  <c r="B2" i="229" l="1"/>
  <c r="C2" i="229"/>
  <c r="W1755" i="1"/>
  <c r="Y1755" i="1"/>
  <c r="AU1755" i="1" s="1"/>
  <c r="V1754" i="1"/>
  <c r="W1754" i="1" s="1"/>
  <c r="S1754" i="1"/>
  <c r="BJ1751" i="1"/>
  <c r="AT1756" i="1"/>
  <c r="T1756" i="1"/>
  <c r="BJ1755" i="1"/>
  <c r="BJ1756" i="1"/>
  <c r="BJ1754" i="1"/>
  <c r="AT1752" i="1"/>
  <c r="T1752" i="1"/>
  <c r="S1753" i="1"/>
  <c r="V1752" i="1"/>
  <c r="W1752" i="1" s="1"/>
  <c r="S1751" i="1"/>
  <c r="BJ1753" i="1"/>
  <c r="Y1753" i="1"/>
  <c r="AU1753" i="1" s="1"/>
  <c r="AV1751" i="1"/>
  <c r="Y1752" i="1"/>
  <c r="AU1752" i="1" s="1"/>
  <c r="V1751" i="1"/>
  <c r="W1751" i="1" s="1"/>
  <c r="V1756" i="1"/>
  <c r="W1756" i="1" s="1"/>
  <c r="S1755" i="1"/>
  <c r="BJ1752" i="1"/>
  <c r="Y1756" i="1"/>
  <c r="AU1756" i="1" s="1"/>
  <c r="AV1754" i="1"/>
  <c r="AA2" i="20"/>
  <c r="AA3" i="20"/>
  <c r="AA4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T1754" i="1" l="1"/>
  <c r="T1754" i="1"/>
  <c r="AV1753" i="1"/>
  <c r="AV1755" i="1"/>
  <c r="AV1752" i="1"/>
  <c r="BC1751" i="1"/>
  <c r="BK1751" i="1" s="1"/>
  <c r="BL1751" i="1" s="1"/>
  <c r="BC1756" i="1"/>
  <c r="BK1756" i="1" s="1"/>
  <c r="BL1756" i="1" s="1"/>
  <c r="AT1753" i="1"/>
  <c r="T1753" i="1"/>
  <c r="BC1753" i="1"/>
  <c r="BK1753" i="1" s="1"/>
  <c r="BL1753" i="1" s="1"/>
  <c r="BC1755" i="1"/>
  <c r="BK1755" i="1" s="1"/>
  <c r="BL1755" i="1" s="1"/>
  <c r="BC1754" i="1"/>
  <c r="BK1754" i="1" s="1"/>
  <c r="BL1754" i="1" s="1"/>
  <c r="AT1755" i="1"/>
  <c r="T1755" i="1"/>
  <c r="AT1751" i="1"/>
  <c r="T1751" i="1"/>
  <c r="BC1752" i="1"/>
  <c r="BK1752" i="1" s="1"/>
  <c r="BL1752" i="1" s="1"/>
  <c r="F2" i="213" l="1"/>
  <c r="F7" i="213"/>
  <c r="F11" i="213"/>
  <c r="F4" i="213"/>
  <c r="F8" i="213"/>
  <c r="F12" i="213"/>
  <c r="F5" i="213"/>
  <c r="F9" i="213"/>
  <c r="F13" i="213"/>
  <c r="F6" i="213"/>
  <c r="F10" i="213"/>
  <c r="F3" i="213"/>
  <c r="A2" i="216" a="1"/>
  <c r="BD1754" i="1"/>
  <c r="BI1754" i="1" s="1"/>
  <c r="BD1756" i="1"/>
  <c r="BI1756" i="1" s="1"/>
  <c r="BB1754" i="1"/>
  <c r="BB1752" i="1"/>
  <c r="BH1752" i="1"/>
  <c r="BF1752" i="1"/>
  <c r="BG1752" i="1" s="1"/>
  <c r="BH1754" i="1"/>
  <c r="BF1754" i="1"/>
  <c r="BG1754" i="1" s="1"/>
  <c r="BH1753" i="1"/>
  <c r="BF1753" i="1"/>
  <c r="BG1753" i="1" s="1"/>
  <c r="BH1756" i="1"/>
  <c r="BF1756" i="1"/>
  <c r="BG1756" i="1" s="1"/>
  <c r="BD1751" i="1"/>
  <c r="BI1751" i="1" s="1"/>
  <c r="BD1755" i="1"/>
  <c r="BI1755" i="1" s="1"/>
  <c r="BD1753" i="1"/>
  <c r="BI1753" i="1" s="1"/>
  <c r="BB1756" i="1"/>
  <c r="BB1755" i="1"/>
  <c r="BF1755" i="1"/>
  <c r="BG1755" i="1" s="1"/>
  <c r="BH1755" i="1"/>
  <c r="BF1751" i="1"/>
  <c r="BG1751" i="1" s="1"/>
  <c r="BH1751" i="1"/>
  <c r="BD1752" i="1"/>
  <c r="BI1752" i="1" s="1"/>
  <c r="BB1751" i="1"/>
  <c r="BB1753" i="1"/>
  <c r="A2" i="216" l="1"/>
  <c r="J4" i="215" l="1"/>
  <c r="J6" i="215"/>
  <c r="J8" i="215"/>
  <c r="J10" i="215"/>
  <c r="J12" i="215"/>
  <c r="J14" i="215"/>
  <c r="J16" i="215"/>
  <c r="J18" i="215"/>
  <c r="J20" i="215"/>
  <c r="J22" i="215"/>
  <c r="J24" i="215"/>
  <c r="J3" i="215"/>
  <c r="J5" i="215"/>
  <c r="J7" i="215"/>
  <c r="J13" i="215"/>
  <c r="J15" i="215"/>
  <c r="J17" i="215"/>
  <c r="J19" i="215"/>
  <c r="J21" i="215"/>
  <c r="J9" i="215"/>
  <c r="J11" i="215"/>
  <c r="J23" i="215"/>
  <c r="J2" i="215"/>
  <c r="A2" i="212" a="1"/>
  <c r="B7" i="212" l="1"/>
  <c r="C8" i="212"/>
  <c r="D9" i="212"/>
  <c r="B11" i="212"/>
  <c r="C12" i="212"/>
  <c r="D13" i="212"/>
  <c r="B15" i="212"/>
  <c r="C16" i="212"/>
  <c r="C7" i="212"/>
  <c r="D8" i="212"/>
  <c r="B10" i="212"/>
  <c r="C11" i="212"/>
  <c r="D12" i="212"/>
  <c r="B14" i="212"/>
  <c r="C15" i="212"/>
  <c r="D16" i="212"/>
  <c r="B8" i="212"/>
  <c r="D10" i="212"/>
  <c r="C13" i="212"/>
  <c r="B16" i="212"/>
  <c r="D7" i="212"/>
  <c r="B9" i="212"/>
  <c r="C10" i="212"/>
  <c r="D11" i="212"/>
  <c r="B13" i="212"/>
  <c r="C14" i="212"/>
  <c r="D15" i="212"/>
  <c r="C9" i="212"/>
  <c r="B12" i="212"/>
  <c r="D14" i="212"/>
  <c r="A2" i="212"/>
  <c r="D4" i="212"/>
  <c r="C3" i="212"/>
  <c r="B6" i="212"/>
  <c r="D5" i="212"/>
  <c r="C4" i="212"/>
  <c r="B3" i="212"/>
  <c r="D6" i="212"/>
  <c r="C5" i="212"/>
  <c r="B4" i="212"/>
  <c r="C6" i="212"/>
  <c r="D3" i="212"/>
  <c r="B5" i="212"/>
  <c r="AK5" i="1" l="1"/>
  <c r="AK9" i="1"/>
  <c r="AK13" i="1"/>
  <c r="AK17" i="1"/>
  <c r="AK21" i="1"/>
  <c r="AK25" i="1"/>
  <c r="AK29" i="1"/>
  <c r="AK33" i="1"/>
  <c r="AK37" i="1"/>
  <c r="AK41" i="1"/>
  <c r="AK45" i="1"/>
  <c r="AK49" i="1"/>
  <c r="AK53" i="1"/>
  <c r="AK57" i="1"/>
  <c r="AK61" i="1"/>
  <c r="AK65" i="1"/>
  <c r="AK69" i="1"/>
  <c r="AK73" i="1"/>
  <c r="AK77" i="1"/>
  <c r="AK81" i="1"/>
  <c r="AK85" i="1"/>
  <c r="AK89" i="1"/>
  <c r="AK93" i="1"/>
  <c r="AK97" i="1"/>
  <c r="AK101" i="1"/>
  <c r="AK105" i="1"/>
  <c r="AK109" i="1"/>
  <c r="AK113" i="1"/>
  <c r="AK117" i="1"/>
  <c r="AK121" i="1"/>
  <c r="AK125" i="1"/>
  <c r="AK129" i="1"/>
  <c r="AK133" i="1"/>
  <c r="AK137" i="1"/>
  <c r="AK141" i="1"/>
  <c r="AK145" i="1"/>
  <c r="AK149" i="1"/>
  <c r="AK153" i="1"/>
  <c r="AK157" i="1"/>
  <c r="AK161" i="1"/>
  <c r="AK165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1" i="1"/>
  <c r="AK245" i="1"/>
  <c r="AK249" i="1"/>
  <c r="AK253" i="1"/>
  <c r="AK257" i="1"/>
  <c r="AK261" i="1"/>
  <c r="AK265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6" i="1"/>
  <c r="AK10" i="1"/>
  <c r="AK14" i="1"/>
  <c r="AK18" i="1"/>
  <c r="AK22" i="1"/>
  <c r="AK26" i="1"/>
  <c r="AK30" i="1"/>
  <c r="AK34" i="1"/>
  <c r="AK38" i="1"/>
  <c r="AK42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6" i="1"/>
  <c r="AK110" i="1"/>
  <c r="AK114" i="1"/>
  <c r="AK118" i="1"/>
  <c r="AK122" i="1"/>
  <c r="AK126" i="1"/>
  <c r="AK130" i="1"/>
  <c r="AK134" i="1"/>
  <c r="AK138" i="1"/>
  <c r="AK142" i="1"/>
  <c r="AK146" i="1"/>
  <c r="AK150" i="1"/>
  <c r="AK154" i="1"/>
  <c r="AK158" i="1"/>
  <c r="AK162" i="1"/>
  <c r="AK166" i="1"/>
  <c r="AK170" i="1"/>
  <c r="AK174" i="1"/>
  <c r="AK178" i="1"/>
  <c r="AK182" i="1"/>
  <c r="AK186" i="1"/>
  <c r="AK190" i="1"/>
  <c r="AK194" i="1"/>
  <c r="AK198" i="1"/>
  <c r="AK202" i="1"/>
  <c r="AK206" i="1"/>
  <c r="AK210" i="1"/>
  <c r="AK214" i="1"/>
  <c r="AK218" i="1"/>
  <c r="AK222" i="1"/>
  <c r="AK226" i="1"/>
  <c r="AK230" i="1"/>
  <c r="AK234" i="1"/>
  <c r="AK238" i="1"/>
  <c r="AK242" i="1"/>
  <c r="AK246" i="1"/>
  <c r="AK250" i="1"/>
  <c r="AK254" i="1"/>
  <c r="AK258" i="1"/>
  <c r="AK262" i="1"/>
  <c r="AK266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" i="1"/>
  <c r="AK7" i="1"/>
  <c r="AK11" i="1"/>
  <c r="AK15" i="1"/>
  <c r="AK19" i="1"/>
  <c r="AK23" i="1"/>
  <c r="AK27" i="1"/>
  <c r="AK31" i="1"/>
  <c r="AK35" i="1"/>
  <c r="AK39" i="1"/>
  <c r="AK43" i="1"/>
  <c r="AK47" i="1"/>
  <c r="AK51" i="1"/>
  <c r="AK55" i="1"/>
  <c r="AK59" i="1"/>
  <c r="AK63" i="1"/>
  <c r="AK67" i="1"/>
  <c r="AK71" i="1"/>
  <c r="AK75" i="1"/>
  <c r="AK79" i="1"/>
  <c r="AK83" i="1"/>
  <c r="AK87" i="1"/>
  <c r="AK91" i="1"/>
  <c r="AK95" i="1"/>
  <c r="AK99" i="1"/>
  <c r="AK103" i="1"/>
  <c r="AK107" i="1"/>
  <c r="AK111" i="1"/>
  <c r="AK115" i="1"/>
  <c r="AK119" i="1"/>
  <c r="AK123" i="1"/>
  <c r="AK127" i="1"/>
  <c r="AK131" i="1"/>
  <c r="AK135" i="1"/>
  <c r="AK139" i="1"/>
  <c r="AK143" i="1"/>
  <c r="AK147" i="1"/>
  <c r="AK151" i="1"/>
  <c r="AK155" i="1"/>
  <c r="AK159" i="1"/>
  <c r="AK163" i="1"/>
  <c r="AK167" i="1"/>
  <c r="AK171" i="1"/>
  <c r="AK175" i="1"/>
  <c r="AK179" i="1"/>
  <c r="AK183" i="1"/>
  <c r="AK187" i="1"/>
  <c r="AK191" i="1"/>
  <c r="AK195" i="1"/>
  <c r="AK199" i="1"/>
  <c r="AK203" i="1"/>
  <c r="AK207" i="1"/>
  <c r="AK211" i="1"/>
  <c r="AK215" i="1"/>
  <c r="AK219" i="1"/>
  <c r="AK223" i="1"/>
  <c r="AK227" i="1"/>
  <c r="AK231" i="1"/>
  <c r="AK235" i="1"/>
  <c r="AK239" i="1"/>
  <c r="AK243" i="1"/>
  <c r="AK247" i="1"/>
  <c r="AK251" i="1"/>
  <c r="AK255" i="1"/>
  <c r="AK259" i="1"/>
  <c r="AK263" i="1"/>
  <c r="AK267" i="1"/>
  <c r="AK271" i="1"/>
  <c r="AK275" i="1"/>
  <c r="AK279" i="1"/>
  <c r="AK283" i="1"/>
  <c r="AK287" i="1"/>
  <c r="AK291" i="1"/>
  <c r="AK295" i="1"/>
  <c r="AK299" i="1"/>
  <c r="AK303" i="1"/>
  <c r="AK307" i="1"/>
  <c r="AK311" i="1"/>
  <c r="AK315" i="1"/>
  <c r="AK319" i="1"/>
  <c r="AK323" i="1"/>
  <c r="AK327" i="1"/>
  <c r="AK331" i="1"/>
  <c r="AK335" i="1"/>
  <c r="AK339" i="1"/>
  <c r="AK4" i="1"/>
  <c r="AK8" i="1"/>
  <c r="AK12" i="1"/>
  <c r="AK16" i="1"/>
  <c r="AK20" i="1"/>
  <c r="AK24" i="1"/>
  <c r="AK28" i="1"/>
  <c r="AK32" i="1"/>
  <c r="AK36" i="1"/>
  <c r="AK40" i="1"/>
  <c r="AK44" i="1"/>
  <c r="AK48" i="1"/>
  <c r="AK52" i="1"/>
  <c r="AK56" i="1"/>
  <c r="AK60" i="1"/>
  <c r="AK64" i="1"/>
  <c r="AK68" i="1"/>
  <c r="AK72" i="1"/>
  <c r="AK76" i="1"/>
  <c r="AK80" i="1"/>
  <c r="AK84" i="1"/>
  <c r="AK88" i="1"/>
  <c r="AK92" i="1"/>
  <c r="AK96" i="1"/>
  <c r="AK100" i="1"/>
  <c r="AK104" i="1"/>
  <c r="AK108" i="1"/>
  <c r="AK112" i="1"/>
  <c r="AK116" i="1"/>
  <c r="AK120" i="1"/>
  <c r="AK124" i="1"/>
  <c r="AK128" i="1"/>
  <c r="AK132" i="1"/>
  <c r="AK136" i="1"/>
  <c r="AK140" i="1"/>
  <c r="AK144" i="1"/>
  <c r="AK148" i="1"/>
  <c r="AK152" i="1"/>
  <c r="AK156" i="1"/>
  <c r="AK160" i="1"/>
  <c r="AK164" i="1"/>
  <c r="AK168" i="1"/>
  <c r="AK172" i="1"/>
  <c r="AK176" i="1"/>
  <c r="AK180" i="1"/>
  <c r="AK184" i="1"/>
  <c r="AK188" i="1"/>
  <c r="AK192" i="1"/>
  <c r="AK196" i="1"/>
  <c r="AK200" i="1"/>
  <c r="AK204" i="1"/>
  <c r="AK208" i="1"/>
  <c r="AK212" i="1"/>
  <c r="AK216" i="1"/>
  <c r="AK220" i="1"/>
  <c r="AK224" i="1"/>
  <c r="AK228" i="1"/>
  <c r="AK232" i="1"/>
  <c r="AK236" i="1"/>
  <c r="AK240" i="1"/>
  <c r="AK244" i="1"/>
  <c r="AK248" i="1"/>
  <c r="AK252" i="1"/>
  <c r="AK256" i="1"/>
  <c r="AK260" i="1"/>
  <c r="AK264" i="1"/>
  <c r="AK268" i="1"/>
  <c r="AK272" i="1"/>
  <c r="AK276" i="1"/>
  <c r="AK280" i="1"/>
  <c r="AK284" i="1"/>
  <c r="AK288" i="1"/>
  <c r="AK292" i="1"/>
  <c r="AK296" i="1"/>
  <c r="AK300" i="1"/>
  <c r="AK304" i="1"/>
  <c r="AK308" i="1"/>
  <c r="AK312" i="1"/>
  <c r="AK316" i="1"/>
  <c r="AK320" i="1"/>
  <c r="AK324" i="1"/>
  <c r="AK328" i="1"/>
  <c r="AK332" i="1"/>
  <c r="AK336" i="1"/>
  <c r="AK347" i="1"/>
  <c r="AK351" i="1"/>
  <c r="AK355" i="1"/>
  <c r="AK359" i="1"/>
  <c r="AK363" i="1"/>
  <c r="AK367" i="1"/>
  <c r="AK371" i="1"/>
  <c r="AK375" i="1"/>
  <c r="AK379" i="1"/>
  <c r="AK383" i="1"/>
  <c r="AK387" i="1"/>
  <c r="AK391" i="1"/>
  <c r="AK395" i="1"/>
  <c r="AK399" i="1"/>
  <c r="AK403" i="1"/>
  <c r="AK407" i="1"/>
  <c r="AK411" i="1"/>
  <c r="AK415" i="1"/>
  <c r="AK419" i="1"/>
  <c r="AK423" i="1"/>
  <c r="AK427" i="1"/>
  <c r="AK431" i="1"/>
  <c r="AK435" i="1"/>
  <c r="AK439" i="1"/>
  <c r="AK443" i="1"/>
  <c r="AK447" i="1"/>
  <c r="AK451" i="1"/>
  <c r="AK455" i="1"/>
  <c r="AK459" i="1"/>
  <c r="AK463" i="1"/>
  <c r="AK467" i="1"/>
  <c r="AK471" i="1"/>
  <c r="AK475" i="1"/>
  <c r="AK479" i="1"/>
  <c r="AK483" i="1"/>
  <c r="AK487" i="1"/>
  <c r="AK491" i="1"/>
  <c r="AK495" i="1"/>
  <c r="AK499" i="1"/>
  <c r="AK503" i="1"/>
  <c r="AK507" i="1"/>
  <c r="AK511" i="1"/>
  <c r="AK515" i="1"/>
  <c r="AK519" i="1"/>
  <c r="AK523" i="1"/>
  <c r="AK527" i="1"/>
  <c r="AK531" i="1"/>
  <c r="AK535" i="1"/>
  <c r="AK539" i="1"/>
  <c r="AK543" i="1"/>
  <c r="AK547" i="1"/>
  <c r="AK551" i="1"/>
  <c r="AK555" i="1"/>
  <c r="AK559" i="1"/>
  <c r="AK563" i="1"/>
  <c r="AK567" i="1"/>
  <c r="AK571" i="1"/>
  <c r="AK575" i="1"/>
  <c r="AK579" i="1"/>
  <c r="AK583" i="1"/>
  <c r="AK587" i="1"/>
  <c r="AK591" i="1"/>
  <c r="AK595" i="1"/>
  <c r="AK599" i="1"/>
  <c r="AK603" i="1"/>
  <c r="AK607" i="1"/>
  <c r="AK611" i="1"/>
  <c r="AK615" i="1"/>
  <c r="AK619" i="1"/>
  <c r="AK623" i="1"/>
  <c r="AK627" i="1"/>
  <c r="AK631" i="1"/>
  <c r="AK635" i="1"/>
  <c r="AK639" i="1"/>
  <c r="AK643" i="1"/>
  <c r="AK647" i="1"/>
  <c r="AK651" i="1"/>
  <c r="AK655" i="1"/>
  <c r="AK659" i="1"/>
  <c r="AK663" i="1"/>
  <c r="AK667" i="1"/>
  <c r="AK671" i="1"/>
  <c r="AK675" i="1"/>
  <c r="AK679" i="1"/>
  <c r="AK344" i="1"/>
  <c r="AK348" i="1"/>
  <c r="AK352" i="1"/>
  <c r="AK356" i="1"/>
  <c r="AK360" i="1"/>
  <c r="AK364" i="1"/>
  <c r="AK368" i="1"/>
  <c r="AK372" i="1"/>
  <c r="AK376" i="1"/>
  <c r="AK380" i="1"/>
  <c r="AK384" i="1"/>
  <c r="AK388" i="1"/>
  <c r="AK392" i="1"/>
  <c r="AK396" i="1"/>
  <c r="AK400" i="1"/>
  <c r="AK404" i="1"/>
  <c r="AK408" i="1"/>
  <c r="AK412" i="1"/>
  <c r="AK416" i="1"/>
  <c r="AK420" i="1"/>
  <c r="AK424" i="1"/>
  <c r="AK428" i="1"/>
  <c r="AK432" i="1"/>
  <c r="AK436" i="1"/>
  <c r="AK440" i="1"/>
  <c r="AK444" i="1"/>
  <c r="AK448" i="1"/>
  <c r="AK452" i="1"/>
  <c r="AK456" i="1"/>
  <c r="AK460" i="1"/>
  <c r="AK464" i="1"/>
  <c r="AK468" i="1"/>
  <c r="AK472" i="1"/>
  <c r="AK476" i="1"/>
  <c r="AK480" i="1"/>
  <c r="AK484" i="1"/>
  <c r="AK488" i="1"/>
  <c r="AK492" i="1"/>
  <c r="AK496" i="1"/>
  <c r="AK500" i="1"/>
  <c r="AK504" i="1"/>
  <c r="AK508" i="1"/>
  <c r="AK512" i="1"/>
  <c r="AK516" i="1"/>
  <c r="AK520" i="1"/>
  <c r="AK524" i="1"/>
  <c r="AK528" i="1"/>
  <c r="AK532" i="1"/>
  <c r="AK536" i="1"/>
  <c r="AK540" i="1"/>
  <c r="AK544" i="1"/>
  <c r="AK548" i="1"/>
  <c r="AK552" i="1"/>
  <c r="AK556" i="1"/>
  <c r="AK560" i="1"/>
  <c r="AK564" i="1"/>
  <c r="AK568" i="1"/>
  <c r="AK572" i="1"/>
  <c r="AK576" i="1"/>
  <c r="AK580" i="1"/>
  <c r="AK584" i="1"/>
  <c r="AK588" i="1"/>
  <c r="AK592" i="1"/>
  <c r="AK596" i="1"/>
  <c r="AK600" i="1"/>
  <c r="AK604" i="1"/>
  <c r="AK608" i="1"/>
  <c r="AK612" i="1"/>
  <c r="AK616" i="1"/>
  <c r="AK620" i="1"/>
  <c r="AK624" i="1"/>
  <c r="AK628" i="1"/>
  <c r="AK632" i="1"/>
  <c r="AK636" i="1"/>
  <c r="AK640" i="1"/>
  <c r="AK644" i="1"/>
  <c r="AK648" i="1"/>
  <c r="AK652" i="1"/>
  <c r="AK656" i="1"/>
  <c r="AK660" i="1"/>
  <c r="AK664" i="1"/>
  <c r="AK668" i="1"/>
  <c r="AK672" i="1"/>
  <c r="AK676" i="1"/>
  <c r="AK680" i="1"/>
  <c r="AK340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401" i="1"/>
  <c r="AK405" i="1"/>
  <c r="AK409" i="1"/>
  <c r="AK413" i="1"/>
  <c r="AK417" i="1"/>
  <c r="AK421" i="1"/>
  <c r="AK425" i="1"/>
  <c r="AK429" i="1"/>
  <c r="AK433" i="1"/>
  <c r="AK437" i="1"/>
  <c r="AK441" i="1"/>
  <c r="AK445" i="1"/>
  <c r="AK449" i="1"/>
  <c r="AK453" i="1"/>
  <c r="AK457" i="1"/>
  <c r="AK461" i="1"/>
  <c r="AK465" i="1"/>
  <c r="AK469" i="1"/>
  <c r="AK473" i="1"/>
  <c r="AK477" i="1"/>
  <c r="AK481" i="1"/>
  <c r="AK485" i="1"/>
  <c r="AK489" i="1"/>
  <c r="AK493" i="1"/>
  <c r="AK497" i="1"/>
  <c r="AK501" i="1"/>
  <c r="AK505" i="1"/>
  <c r="AK509" i="1"/>
  <c r="AK513" i="1"/>
  <c r="AK517" i="1"/>
  <c r="AK521" i="1"/>
  <c r="AK525" i="1"/>
  <c r="AK529" i="1"/>
  <c r="AK533" i="1"/>
  <c r="AK537" i="1"/>
  <c r="AK541" i="1"/>
  <c r="AK545" i="1"/>
  <c r="AK549" i="1"/>
  <c r="AK553" i="1"/>
  <c r="AK557" i="1"/>
  <c r="AK561" i="1"/>
  <c r="AK565" i="1"/>
  <c r="AK569" i="1"/>
  <c r="AK573" i="1"/>
  <c r="AK577" i="1"/>
  <c r="AK581" i="1"/>
  <c r="AK585" i="1"/>
  <c r="AK589" i="1"/>
  <c r="AK593" i="1"/>
  <c r="AK597" i="1"/>
  <c r="AK601" i="1"/>
  <c r="AK605" i="1"/>
  <c r="AK609" i="1"/>
  <c r="AK613" i="1"/>
  <c r="AK617" i="1"/>
  <c r="AK621" i="1"/>
  <c r="AK625" i="1"/>
  <c r="AK629" i="1"/>
  <c r="AK633" i="1"/>
  <c r="AK637" i="1"/>
  <c r="AK641" i="1"/>
  <c r="AK645" i="1"/>
  <c r="AK649" i="1"/>
  <c r="AK653" i="1"/>
  <c r="AK657" i="1"/>
  <c r="AK661" i="1"/>
  <c r="AK342" i="1"/>
  <c r="AK346" i="1"/>
  <c r="AK350" i="1"/>
  <c r="AK354" i="1"/>
  <c r="AK358" i="1"/>
  <c r="AK362" i="1"/>
  <c r="AK366" i="1"/>
  <c r="AK370" i="1"/>
  <c r="AK374" i="1"/>
  <c r="AK378" i="1"/>
  <c r="AK382" i="1"/>
  <c r="AK386" i="1"/>
  <c r="AK390" i="1"/>
  <c r="AK394" i="1"/>
  <c r="AK398" i="1"/>
  <c r="AK402" i="1"/>
  <c r="AK406" i="1"/>
  <c r="AK410" i="1"/>
  <c r="AK414" i="1"/>
  <c r="AK418" i="1"/>
  <c r="AK422" i="1"/>
  <c r="AK426" i="1"/>
  <c r="AK430" i="1"/>
  <c r="AK434" i="1"/>
  <c r="AK438" i="1"/>
  <c r="AK442" i="1"/>
  <c r="AK446" i="1"/>
  <c r="AK450" i="1"/>
  <c r="AK454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30" i="1"/>
  <c r="AK534" i="1"/>
  <c r="AK538" i="1"/>
  <c r="AK542" i="1"/>
  <c r="AK546" i="1"/>
  <c r="AK550" i="1"/>
  <c r="AK554" i="1"/>
  <c r="AK558" i="1"/>
  <c r="AK562" i="1"/>
  <c r="AK566" i="1"/>
  <c r="AK570" i="1"/>
  <c r="AK574" i="1"/>
  <c r="AK578" i="1"/>
  <c r="AK582" i="1"/>
  <c r="AK586" i="1"/>
  <c r="AK590" i="1"/>
  <c r="AK594" i="1"/>
  <c r="AK598" i="1"/>
  <c r="AK602" i="1"/>
  <c r="AK606" i="1"/>
  <c r="AK610" i="1"/>
  <c r="AK614" i="1"/>
  <c r="AK618" i="1"/>
  <c r="AK622" i="1"/>
  <c r="AK626" i="1"/>
  <c r="AK630" i="1"/>
  <c r="AK634" i="1"/>
  <c r="AK638" i="1"/>
  <c r="AK642" i="1"/>
  <c r="AK646" i="1"/>
  <c r="AK650" i="1"/>
  <c r="AK654" i="1"/>
  <c r="AK658" i="1"/>
  <c r="AK662" i="1"/>
  <c r="AK666" i="1"/>
  <c r="AK670" i="1"/>
  <c r="AK674" i="1"/>
  <c r="AK678" i="1"/>
  <c r="AK673" i="1"/>
  <c r="AK683" i="1"/>
  <c r="AK687" i="1"/>
  <c r="AK691" i="1"/>
  <c r="AK695" i="1"/>
  <c r="AK699" i="1"/>
  <c r="AK703" i="1"/>
  <c r="AK707" i="1"/>
  <c r="AK711" i="1"/>
  <c r="AK715" i="1"/>
  <c r="AK719" i="1"/>
  <c r="AK723" i="1"/>
  <c r="AK727" i="1"/>
  <c r="AK731" i="1"/>
  <c r="AK735" i="1"/>
  <c r="AK739" i="1"/>
  <c r="AK743" i="1"/>
  <c r="AK747" i="1"/>
  <c r="AK751" i="1"/>
  <c r="AK755" i="1"/>
  <c r="AK759" i="1"/>
  <c r="AK763" i="1"/>
  <c r="AK767" i="1"/>
  <c r="AK771" i="1"/>
  <c r="AK775" i="1"/>
  <c r="AK779" i="1"/>
  <c r="AK783" i="1"/>
  <c r="AK787" i="1"/>
  <c r="AK791" i="1"/>
  <c r="AK795" i="1"/>
  <c r="AK799" i="1"/>
  <c r="AK803" i="1"/>
  <c r="AK807" i="1"/>
  <c r="AK811" i="1"/>
  <c r="AK815" i="1"/>
  <c r="AK819" i="1"/>
  <c r="AK823" i="1"/>
  <c r="AK827" i="1"/>
  <c r="AK831" i="1"/>
  <c r="AK835" i="1"/>
  <c r="AK839" i="1"/>
  <c r="AK843" i="1"/>
  <c r="AK847" i="1"/>
  <c r="AK851" i="1"/>
  <c r="AK855" i="1"/>
  <c r="AK859" i="1"/>
  <c r="AK863" i="1"/>
  <c r="AK867" i="1"/>
  <c r="AK871" i="1"/>
  <c r="AK875" i="1"/>
  <c r="AK879" i="1"/>
  <c r="AK883" i="1"/>
  <c r="AK887" i="1"/>
  <c r="AK891" i="1"/>
  <c r="AK895" i="1"/>
  <c r="AK899" i="1"/>
  <c r="AK903" i="1"/>
  <c r="AK907" i="1"/>
  <c r="AK911" i="1"/>
  <c r="AK915" i="1"/>
  <c r="AK919" i="1"/>
  <c r="AK923" i="1"/>
  <c r="AK927" i="1"/>
  <c r="AK931" i="1"/>
  <c r="AK935" i="1"/>
  <c r="AK939" i="1"/>
  <c r="AK943" i="1"/>
  <c r="AK677" i="1"/>
  <c r="AK684" i="1"/>
  <c r="AK688" i="1"/>
  <c r="AK692" i="1"/>
  <c r="AK696" i="1"/>
  <c r="AK700" i="1"/>
  <c r="AK704" i="1"/>
  <c r="AK708" i="1"/>
  <c r="AK712" i="1"/>
  <c r="AK716" i="1"/>
  <c r="AK720" i="1"/>
  <c r="AK724" i="1"/>
  <c r="AK728" i="1"/>
  <c r="AK732" i="1"/>
  <c r="AK736" i="1"/>
  <c r="AK740" i="1"/>
  <c r="AK744" i="1"/>
  <c r="AK748" i="1"/>
  <c r="AK752" i="1"/>
  <c r="AK756" i="1"/>
  <c r="AK760" i="1"/>
  <c r="AK764" i="1"/>
  <c r="AK768" i="1"/>
  <c r="AK772" i="1"/>
  <c r="AK776" i="1"/>
  <c r="AK780" i="1"/>
  <c r="AK784" i="1"/>
  <c r="AK788" i="1"/>
  <c r="AK792" i="1"/>
  <c r="AK796" i="1"/>
  <c r="AK800" i="1"/>
  <c r="AK804" i="1"/>
  <c r="AK808" i="1"/>
  <c r="AK812" i="1"/>
  <c r="AK816" i="1"/>
  <c r="AK820" i="1"/>
  <c r="AK824" i="1"/>
  <c r="AK828" i="1"/>
  <c r="AK832" i="1"/>
  <c r="AK836" i="1"/>
  <c r="AK840" i="1"/>
  <c r="AK844" i="1"/>
  <c r="AK848" i="1"/>
  <c r="AK852" i="1"/>
  <c r="AK856" i="1"/>
  <c r="AK860" i="1"/>
  <c r="AK864" i="1"/>
  <c r="AK868" i="1"/>
  <c r="AK872" i="1"/>
  <c r="AK876" i="1"/>
  <c r="AK880" i="1"/>
  <c r="AK884" i="1"/>
  <c r="AK888" i="1"/>
  <c r="AK892" i="1"/>
  <c r="AK896" i="1"/>
  <c r="AK900" i="1"/>
  <c r="AK904" i="1"/>
  <c r="AK908" i="1"/>
  <c r="AK912" i="1"/>
  <c r="AK916" i="1"/>
  <c r="AK920" i="1"/>
  <c r="AK924" i="1"/>
  <c r="AK928" i="1"/>
  <c r="AK932" i="1"/>
  <c r="AK936" i="1"/>
  <c r="AK940" i="1"/>
  <c r="AK944" i="1"/>
  <c r="AK948" i="1"/>
  <c r="AK952" i="1"/>
  <c r="AK956" i="1"/>
  <c r="AK960" i="1"/>
  <c r="AK964" i="1"/>
  <c r="AK968" i="1"/>
  <c r="AK972" i="1"/>
  <c r="AK976" i="1"/>
  <c r="AK980" i="1"/>
  <c r="AK984" i="1"/>
  <c r="AK988" i="1"/>
  <c r="AK992" i="1"/>
  <c r="AK996" i="1"/>
  <c r="AK1000" i="1"/>
  <c r="AK1004" i="1"/>
  <c r="AK1008" i="1"/>
  <c r="AK1012" i="1"/>
  <c r="AK665" i="1"/>
  <c r="AK681" i="1"/>
  <c r="AK685" i="1"/>
  <c r="AK689" i="1"/>
  <c r="AK693" i="1"/>
  <c r="AK697" i="1"/>
  <c r="AK701" i="1"/>
  <c r="AK705" i="1"/>
  <c r="AK709" i="1"/>
  <c r="AK713" i="1"/>
  <c r="AK717" i="1"/>
  <c r="AK721" i="1"/>
  <c r="AK725" i="1"/>
  <c r="AK729" i="1"/>
  <c r="AK733" i="1"/>
  <c r="AK737" i="1"/>
  <c r="AK741" i="1"/>
  <c r="AK745" i="1"/>
  <c r="AK749" i="1"/>
  <c r="AK753" i="1"/>
  <c r="AK757" i="1"/>
  <c r="AK761" i="1"/>
  <c r="AK765" i="1"/>
  <c r="AK769" i="1"/>
  <c r="AK773" i="1"/>
  <c r="AK777" i="1"/>
  <c r="AK781" i="1"/>
  <c r="AK785" i="1"/>
  <c r="AK789" i="1"/>
  <c r="AK793" i="1"/>
  <c r="AK797" i="1"/>
  <c r="AK801" i="1"/>
  <c r="AK805" i="1"/>
  <c r="AK809" i="1"/>
  <c r="AK813" i="1"/>
  <c r="AK817" i="1"/>
  <c r="AK821" i="1"/>
  <c r="AK825" i="1"/>
  <c r="AK829" i="1"/>
  <c r="AK833" i="1"/>
  <c r="AK837" i="1"/>
  <c r="AK841" i="1"/>
  <c r="AK845" i="1"/>
  <c r="AK849" i="1"/>
  <c r="AK853" i="1"/>
  <c r="AK857" i="1"/>
  <c r="AK861" i="1"/>
  <c r="AK865" i="1"/>
  <c r="AK869" i="1"/>
  <c r="AK873" i="1"/>
  <c r="AK877" i="1"/>
  <c r="AK881" i="1"/>
  <c r="AK885" i="1"/>
  <c r="AK889" i="1"/>
  <c r="AK893" i="1"/>
  <c r="AK897" i="1"/>
  <c r="AK901" i="1"/>
  <c r="AK905" i="1"/>
  <c r="AK909" i="1"/>
  <c r="AK913" i="1"/>
  <c r="AK917" i="1"/>
  <c r="AK921" i="1"/>
  <c r="AK925" i="1"/>
  <c r="AK929" i="1"/>
  <c r="AK933" i="1"/>
  <c r="AK937" i="1"/>
  <c r="AK941" i="1"/>
  <c r="AK945" i="1"/>
  <c r="AK949" i="1"/>
  <c r="AK953" i="1"/>
  <c r="AK957" i="1"/>
  <c r="AK961" i="1"/>
  <c r="AK965" i="1"/>
  <c r="AK969" i="1"/>
  <c r="AK973" i="1"/>
  <c r="AK977" i="1"/>
  <c r="AK981" i="1"/>
  <c r="AK985" i="1"/>
  <c r="AK989" i="1"/>
  <c r="AK993" i="1"/>
  <c r="AK997" i="1"/>
  <c r="AK1001" i="1"/>
  <c r="AK1005" i="1"/>
  <c r="AK1009" i="1"/>
  <c r="AK1013" i="1"/>
  <c r="AK1017" i="1"/>
  <c r="AK669" i="1"/>
  <c r="AK682" i="1"/>
  <c r="AK686" i="1"/>
  <c r="AK690" i="1"/>
  <c r="AK694" i="1"/>
  <c r="AK698" i="1"/>
  <c r="AK702" i="1"/>
  <c r="AK706" i="1"/>
  <c r="AK710" i="1"/>
  <c r="AK714" i="1"/>
  <c r="AK718" i="1"/>
  <c r="AK722" i="1"/>
  <c r="AK726" i="1"/>
  <c r="AK730" i="1"/>
  <c r="AK734" i="1"/>
  <c r="AK738" i="1"/>
  <c r="AK742" i="1"/>
  <c r="AK746" i="1"/>
  <c r="AK750" i="1"/>
  <c r="AK754" i="1"/>
  <c r="AK758" i="1"/>
  <c r="AK762" i="1"/>
  <c r="AK766" i="1"/>
  <c r="AK770" i="1"/>
  <c r="AK774" i="1"/>
  <c r="AK778" i="1"/>
  <c r="AK782" i="1"/>
  <c r="AK786" i="1"/>
  <c r="AK790" i="1"/>
  <c r="AK794" i="1"/>
  <c r="AK798" i="1"/>
  <c r="AK802" i="1"/>
  <c r="AK806" i="1"/>
  <c r="AK810" i="1"/>
  <c r="AK814" i="1"/>
  <c r="AK818" i="1"/>
  <c r="AK822" i="1"/>
  <c r="AK826" i="1"/>
  <c r="AK830" i="1"/>
  <c r="AK834" i="1"/>
  <c r="AK838" i="1"/>
  <c r="AK842" i="1"/>
  <c r="AK846" i="1"/>
  <c r="AK850" i="1"/>
  <c r="AK854" i="1"/>
  <c r="AK858" i="1"/>
  <c r="AK862" i="1"/>
  <c r="AK866" i="1"/>
  <c r="AK870" i="1"/>
  <c r="AK874" i="1"/>
  <c r="AK878" i="1"/>
  <c r="AK882" i="1"/>
  <c r="AK886" i="1"/>
  <c r="AK890" i="1"/>
  <c r="AK894" i="1"/>
  <c r="AK898" i="1"/>
  <c r="AK902" i="1"/>
  <c r="AK906" i="1"/>
  <c r="AK910" i="1"/>
  <c r="AK914" i="1"/>
  <c r="AK918" i="1"/>
  <c r="AK922" i="1"/>
  <c r="AK926" i="1"/>
  <c r="AK930" i="1"/>
  <c r="AK934" i="1"/>
  <c r="AK938" i="1"/>
  <c r="AK942" i="1"/>
  <c r="AK946" i="1"/>
  <c r="AK950" i="1"/>
  <c r="AK954" i="1"/>
  <c r="AK958" i="1"/>
  <c r="AK962" i="1"/>
  <c r="AK966" i="1"/>
  <c r="AK970" i="1"/>
  <c r="AK974" i="1"/>
  <c r="AK978" i="1"/>
  <c r="AK982" i="1"/>
  <c r="AK986" i="1"/>
  <c r="AK990" i="1"/>
  <c r="AK994" i="1"/>
  <c r="AK998" i="1"/>
  <c r="AK1002" i="1"/>
  <c r="AK1006" i="1"/>
  <c r="AK1010" i="1"/>
  <c r="AK1014" i="1"/>
  <c r="AK955" i="1"/>
  <c r="AK971" i="1"/>
  <c r="AK987" i="1"/>
  <c r="AK1003" i="1"/>
  <c r="AK1016" i="1"/>
  <c r="AK1021" i="1"/>
  <c r="AK1025" i="1"/>
  <c r="AK1029" i="1"/>
  <c r="AK1033" i="1"/>
  <c r="AK1037" i="1"/>
  <c r="AK1041" i="1"/>
  <c r="AK1045" i="1"/>
  <c r="AK1049" i="1"/>
  <c r="AK1053" i="1"/>
  <c r="AK1057" i="1"/>
  <c r="AK1061" i="1"/>
  <c r="AK1065" i="1"/>
  <c r="AK1069" i="1"/>
  <c r="AK1073" i="1"/>
  <c r="AK1077" i="1"/>
  <c r="AK1081" i="1"/>
  <c r="AK1085" i="1"/>
  <c r="AK1089" i="1"/>
  <c r="AK1093" i="1"/>
  <c r="AK1097" i="1"/>
  <c r="AK1101" i="1"/>
  <c r="AK1105" i="1"/>
  <c r="AK1109" i="1"/>
  <c r="AK1113" i="1"/>
  <c r="AK1117" i="1"/>
  <c r="AK1121" i="1"/>
  <c r="AK1125" i="1"/>
  <c r="AK1129" i="1"/>
  <c r="AK1133" i="1"/>
  <c r="AK1137" i="1"/>
  <c r="AK1141" i="1"/>
  <c r="AK1145" i="1"/>
  <c r="AK1149" i="1"/>
  <c r="AK1153" i="1"/>
  <c r="AK1157" i="1"/>
  <c r="AK1161" i="1"/>
  <c r="AK1165" i="1"/>
  <c r="AK1169" i="1"/>
  <c r="AK1173" i="1"/>
  <c r="AK1177" i="1"/>
  <c r="AK1181" i="1"/>
  <c r="AK1185" i="1"/>
  <c r="AK1189" i="1"/>
  <c r="AK1193" i="1"/>
  <c r="AK1197" i="1"/>
  <c r="AK1201" i="1"/>
  <c r="AK1205" i="1"/>
  <c r="AK1209" i="1"/>
  <c r="AK1213" i="1"/>
  <c r="AK1217" i="1"/>
  <c r="AK1221" i="1"/>
  <c r="AK1225" i="1"/>
  <c r="AK1229" i="1"/>
  <c r="AK1233" i="1"/>
  <c r="AK1237" i="1"/>
  <c r="AK1241" i="1"/>
  <c r="AK1245" i="1"/>
  <c r="AK1249" i="1"/>
  <c r="AK1253" i="1"/>
  <c r="AK1257" i="1"/>
  <c r="AK1261" i="1"/>
  <c r="AK1265" i="1"/>
  <c r="AK1269" i="1"/>
  <c r="AK1273" i="1"/>
  <c r="AK1277" i="1"/>
  <c r="AK1281" i="1"/>
  <c r="AK1285" i="1"/>
  <c r="AK1289" i="1"/>
  <c r="AK1293" i="1"/>
  <c r="AK1297" i="1"/>
  <c r="AK1301" i="1"/>
  <c r="AK1305" i="1"/>
  <c r="AK1309" i="1"/>
  <c r="AK1313" i="1"/>
  <c r="AK1317" i="1"/>
  <c r="AK1321" i="1"/>
  <c r="AK1325" i="1"/>
  <c r="AK1329" i="1"/>
  <c r="AK1333" i="1"/>
  <c r="AK1337" i="1"/>
  <c r="AK1341" i="1"/>
  <c r="AK959" i="1"/>
  <c r="AK975" i="1"/>
  <c r="AK991" i="1"/>
  <c r="AK1007" i="1"/>
  <c r="AK1018" i="1"/>
  <c r="AK1022" i="1"/>
  <c r="AK1026" i="1"/>
  <c r="AK1030" i="1"/>
  <c r="AK1034" i="1"/>
  <c r="AK1038" i="1"/>
  <c r="AK1042" i="1"/>
  <c r="AK1046" i="1"/>
  <c r="AK1050" i="1"/>
  <c r="AK1054" i="1"/>
  <c r="AK1058" i="1"/>
  <c r="AK1062" i="1"/>
  <c r="AK1066" i="1"/>
  <c r="AK1070" i="1"/>
  <c r="AK1074" i="1"/>
  <c r="AK1078" i="1"/>
  <c r="AK1082" i="1"/>
  <c r="AK1086" i="1"/>
  <c r="AK1090" i="1"/>
  <c r="AK1094" i="1"/>
  <c r="AK1098" i="1"/>
  <c r="AK1102" i="1"/>
  <c r="AK1106" i="1"/>
  <c r="AK1110" i="1"/>
  <c r="AK1114" i="1"/>
  <c r="AK1118" i="1"/>
  <c r="AK1122" i="1"/>
  <c r="AK1126" i="1"/>
  <c r="AK1130" i="1"/>
  <c r="AK1134" i="1"/>
  <c r="AK1138" i="1"/>
  <c r="AK1142" i="1"/>
  <c r="AK1146" i="1"/>
  <c r="AK1150" i="1"/>
  <c r="AK1154" i="1"/>
  <c r="AK1158" i="1"/>
  <c r="AK1162" i="1"/>
  <c r="AK1166" i="1"/>
  <c r="AK1170" i="1"/>
  <c r="AK1174" i="1"/>
  <c r="AK1178" i="1"/>
  <c r="AK1182" i="1"/>
  <c r="AK1186" i="1"/>
  <c r="AK1190" i="1"/>
  <c r="AK1194" i="1"/>
  <c r="AK1198" i="1"/>
  <c r="AK1202" i="1"/>
  <c r="AK1206" i="1"/>
  <c r="AK1210" i="1"/>
  <c r="AK1214" i="1"/>
  <c r="AK1218" i="1"/>
  <c r="AK1222" i="1"/>
  <c r="AK1226" i="1"/>
  <c r="AK1230" i="1"/>
  <c r="AK1234" i="1"/>
  <c r="AK1238" i="1"/>
  <c r="AK1242" i="1"/>
  <c r="AK1246" i="1"/>
  <c r="AK1250" i="1"/>
  <c r="AK1254" i="1"/>
  <c r="AK1258" i="1"/>
  <c r="AK1262" i="1"/>
  <c r="AK1266" i="1"/>
  <c r="AK1270" i="1"/>
  <c r="AK1274" i="1"/>
  <c r="AK1278" i="1"/>
  <c r="AK1282" i="1"/>
  <c r="AK1286" i="1"/>
  <c r="AK1290" i="1"/>
  <c r="AK1294" i="1"/>
  <c r="AK1298" i="1"/>
  <c r="AK1302" i="1"/>
  <c r="AK1306" i="1"/>
  <c r="AK1310" i="1"/>
  <c r="AK1314" i="1"/>
  <c r="AK1318" i="1"/>
  <c r="AK1322" i="1"/>
  <c r="AK1326" i="1"/>
  <c r="AK1330" i="1"/>
  <c r="AK1334" i="1"/>
  <c r="AK1338" i="1"/>
  <c r="AK947" i="1"/>
  <c r="AK963" i="1"/>
  <c r="AK979" i="1"/>
  <c r="AK995" i="1"/>
  <c r="AK1011" i="1"/>
  <c r="AK1019" i="1"/>
  <c r="AK1023" i="1"/>
  <c r="AK1027" i="1"/>
  <c r="AK1031" i="1"/>
  <c r="AK1035" i="1"/>
  <c r="AK1039" i="1"/>
  <c r="AK1043" i="1"/>
  <c r="AK1047" i="1"/>
  <c r="AK1051" i="1"/>
  <c r="AK1055" i="1"/>
  <c r="AK1059" i="1"/>
  <c r="AK1063" i="1"/>
  <c r="AK1067" i="1"/>
  <c r="AK1071" i="1"/>
  <c r="AK1075" i="1"/>
  <c r="AK1079" i="1"/>
  <c r="AK1083" i="1"/>
  <c r="AK1087" i="1"/>
  <c r="AK1091" i="1"/>
  <c r="AK1095" i="1"/>
  <c r="AK1099" i="1"/>
  <c r="AK1103" i="1"/>
  <c r="AK1107" i="1"/>
  <c r="AK1111" i="1"/>
  <c r="AK1115" i="1"/>
  <c r="AK1119" i="1"/>
  <c r="AK1123" i="1"/>
  <c r="AK1127" i="1"/>
  <c r="AK1131" i="1"/>
  <c r="AK1135" i="1"/>
  <c r="AK1139" i="1"/>
  <c r="AK1143" i="1"/>
  <c r="AK1147" i="1"/>
  <c r="AK1151" i="1"/>
  <c r="AK1155" i="1"/>
  <c r="AK1159" i="1"/>
  <c r="AK1163" i="1"/>
  <c r="AK1167" i="1"/>
  <c r="AK1171" i="1"/>
  <c r="AK1175" i="1"/>
  <c r="AK1179" i="1"/>
  <c r="AK1183" i="1"/>
  <c r="AK1187" i="1"/>
  <c r="AK1191" i="1"/>
  <c r="AK1195" i="1"/>
  <c r="AK1199" i="1"/>
  <c r="AK1203" i="1"/>
  <c r="AK1207" i="1"/>
  <c r="AK1211" i="1"/>
  <c r="AK1215" i="1"/>
  <c r="AK1219" i="1"/>
  <c r="AK1223" i="1"/>
  <c r="AK1227" i="1"/>
  <c r="AK1231" i="1"/>
  <c r="AK1235" i="1"/>
  <c r="AK1239" i="1"/>
  <c r="AK1243" i="1"/>
  <c r="AK1247" i="1"/>
  <c r="AK1251" i="1"/>
  <c r="AK1255" i="1"/>
  <c r="AK1259" i="1"/>
  <c r="AK1263" i="1"/>
  <c r="AK1267" i="1"/>
  <c r="AK1271" i="1"/>
  <c r="AK1275" i="1"/>
  <c r="AK1279" i="1"/>
  <c r="AK1283" i="1"/>
  <c r="AK1287" i="1"/>
  <c r="AK1291" i="1"/>
  <c r="AK1295" i="1"/>
  <c r="AK1299" i="1"/>
  <c r="AK1303" i="1"/>
  <c r="AK1307" i="1"/>
  <c r="AK1311" i="1"/>
  <c r="AK1315" i="1"/>
  <c r="AK1319" i="1"/>
  <c r="AK1323" i="1"/>
  <c r="AK1327" i="1"/>
  <c r="AK1331" i="1"/>
  <c r="AK1335" i="1"/>
  <c r="AK1339" i="1"/>
  <c r="AK951" i="1"/>
  <c r="AK967" i="1"/>
  <c r="AK983" i="1"/>
  <c r="AK999" i="1"/>
  <c r="AK1015" i="1"/>
  <c r="AK1020" i="1"/>
  <c r="AK1024" i="1"/>
  <c r="AK1028" i="1"/>
  <c r="AK1032" i="1"/>
  <c r="AK1036" i="1"/>
  <c r="AK1040" i="1"/>
  <c r="AK1044" i="1"/>
  <c r="AK1048" i="1"/>
  <c r="AK1052" i="1"/>
  <c r="AK1056" i="1"/>
  <c r="AK1060" i="1"/>
  <c r="AK1064" i="1"/>
  <c r="AK1068" i="1"/>
  <c r="AK1072" i="1"/>
  <c r="AK1076" i="1"/>
  <c r="AK1080" i="1"/>
  <c r="AK1084" i="1"/>
  <c r="AK1088" i="1"/>
  <c r="AK1092" i="1"/>
  <c r="AK1096" i="1"/>
  <c r="AK1100" i="1"/>
  <c r="AK1104" i="1"/>
  <c r="AK1108" i="1"/>
  <c r="AK1112" i="1"/>
  <c r="AK1116" i="1"/>
  <c r="AK1120" i="1"/>
  <c r="AK1124" i="1"/>
  <c r="AK1128" i="1"/>
  <c r="AK1132" i="1"/>
  <c r="AK1136" i="1"/>
  <c r="AK1140" i="1"/>
  <c r="AK1144" i="1"/>
  <c r="AK1148" i="1"/>
  <c r="AK1152" i="1"/>
  <c r="AK1156" i="1"/>
  <c r="AK1160" i="1"/>
  <c r="AK1164" i="1"/>
  <c r="AK1168" i="1"/>
  <c r="AK1172" i="1"/>
  <c r="AK1176" i="1"/>
  <c r="AK1180" i="1"/>
  <c r="AK1184" i="1"/>
  <c r="AK1188" i="1"/>
  <c r="AK1192" i="1"/>
  <c r="AK1196" i="1"/>
  <c r="AK1200" i="1"/>
  <c r="AK1204" i="1"/>
  <c r="AK1208" i="1"/>
  <c r="AK1212" i="1"/>
  <c r="AK1216" i="1"/>
  <c r="AK1220" i="1"/>
  <c r="AK1224" i="1"/>
  <c r="AK1228" i="1"/>
  <c r="AK1232" i="1"/>
  <c r="AK1236" i="1"/>
  <c r="AK1240" i="1"/>
  <c r="AK1244" i="1"/>
  <c r="AK1248" i="1"/>
  <c r="AK1252" i="1"/>
  <c r="AK1256" i="1"/>
  <c r="AK1260" i="1"/>
  <c r="AK1264" i="1"/>
  <c r="AK1268" i="1"/>
  <c r="AK1272" i="1"/>
  <c r="AK1276" i="1"/>
  <c r="AK1280" i="1"/>
  <c r="AK1284" i="1"/>
  <c r="AK1288" i="1"/>
  <c r="AK1292" i="1"/>
  <c r="AK1296" i="1"/>
  <c r="AK1300" i="1"/>
  <c r="AK1304" i="1"/>
  <c r="AK1308" i="1"/>
  <c r="AK1312" i="1"/>
  <c r="AK1316" i="1"/>
  <c r="AK1320" i="1"/>
  <c r="AK1324" i="1"/>
  <c r="AK1328" i="1"/>
  <c r="AK1332" i="1"/>
  <c r="AK1336" i="1"/>
  <c r="AK1343" i="1"/>
  <c r="AK1347" i="1"/>
  <c r="AK1351" i="1"/>
  <c r="AK1355" i="1"/>
  <c r="AK1359" i="1"/>
  <c r="AK1363" i="1"/>
  <c r="AK1367" i="1"/>
  <c r="AK1371" i="1"/>
  <c r="AK1375" i="1"/>
  <c r="AK1379" i="1"/>
  <c r="AK1383" i="1"/>
  <c r="AK1387" i="1"/>
  <c r="AK1391" i="1"/>
  <c r="AK1395" i="1"/>
  <c r="AK1399" i="1"/>
  <c r="AK1403" i="1"/>
  <c r="AK1407" i="1"/>
  <c r="AK1411" i="1"/>
  <c r="AK1415" i="1"/>
  <c r="AK1419" i="1"/>
  <c r="AK1423" i="1"/>
  <c r="AK1427" i="1"/>
  <c r="AK1431" i="1"/>
  <c r="AK1435" i="1"/>
  <c r="AK1439" i="1"/>
  <c r="AK1443" i="1"/>
  <c r="AK1447" i="1"/>
  <c r="AK1451" i="1"/>
  <c r="AK1455" i="1"/>
  <c r="AK1459" i="1"/>
  <c r="AK1463" i="1"/>
  <c r="AK1467" i="1"/>
  <c r="AK1471" i="1"/>
  <c r="AK1475" i="1"/>
  <c r="AK1479" i="1"/>
  <c r="AK1483" i="1"/>
  <c r="AK1487" i="1"/>
  <c r="AK1491" i="1"/>
  <c r="AK1495" i="1"/>
  <c r="AK1499" i="1"/>
  <c r="AK1503" i="1"/>
  <c r="AK1507" i="1"/>
  <c r="AK1511" i="1"/>
  <c r="AK1515" i="1"/>
  <c r="AK1519" i="1"/>
  <c r="AK1523" i="1"/>
  <c r="AK1527" i="1"/>
  <c r="AK1531" i="1"/>
  <c r="AK1535" i="1"/>
  <c r="AK1539" i="1"/>
  <c r="AK1543" i="1"/>
  <c r="AK1547" i="1"/>
  <c r="AK1551" i="1"/>
  <c r="AK1555" i="1"/>
  <c r="AK1559" i="1"/>
  <c r="AK1563" i="1"/>
  <c r="AK1567" i="1"/>
  <c r="AK1571" i="1"/>
  <c r="AK1575" i="1"/>
  <c r="AK1579" i="1"/>
  <c r="AK1583" i="1"/>
  <c r="AK1587" i="1"/>
  <c r="AK1591" i="1"/>
  <c r="AK1595" i="1"/>
  <c r="AK1599" i="1"/>
  <c r="AK1603" i="1"/>
  <c r="AK1607" i="1"/>
  <c r="AK1611" i="1"/>
  <c r="AK1615" i="1"/>
  <c r="AK1619" i="1"/>
  <c r="AK1623" i="1"/>
  <c r="AK1627" i="1"/>
  <c r="AK1631" i="1"/>
  <c r="AK1635" i="1"/>
  <c r="AK1639" i="1"/>
  <c r="AK1643" i="1"/>
  <c r="AK1647" i="1"/>
  <c r="AK1651" i="1"/>
  <c r="AK1655" i="1"/>
  <c r="AK1659" i="1"/>
  <c r="AK1663" i="1"/>
  <c r="AK1667" i="1"/>
  <c r="AK1671" i="1"/>
  <c r="AK1675" i="1"/>
  <c r="AK1679" i="1"/>
  <c r="AK1683" i="1"/>
  <c r="AK1687" i="1"/>
  <c r="AK1691" i="1"/>
  <c r="AK1695" i="1"/>
  <c r="AK1699" i="1"/>
  <c r="AK1703" i="1"/>
  <c r="AK1707" i="1"/>
  <c r="AK1711" i="1"/>
  <c r="AK1715" i="1"/>
  <c r="AK1719" i="1"/>
  <c r="AK1723" i="1"/>
  <c r="AK1727" i="1"/>
  <c r="AK1620" i="1"/>
  <c r="AK1644" i="1"/>
  <c r="AK1656" i="1"/>
  <c r="AK1668" i="1"/>
  <c r="AK1680" i="1"/>
  <c r="AK1700" i="1"/>
  <c r="AK1712" i="1"/>
  <c r="AK1724" i="1"/>
  <c r="AK1731" i="1"/>
  <c r="AK1344" i="1"/>
  <c r="AK1348" i="1"/>
  <c r="AK1352" i="1"/>
  <c r="AK1356" i="1"/>
  <c r="AK1360" i="1"/>
  <c r="AK1364" i="1"/>
  <c r="AK1368" i="1"/>
  <c r="AK1372" i="1"/>
  <c r="AK1376" i="1"/>
  <c r="AK1380" i="1"/>
  <c r="AK1384" i="1"/>
  <c r="AK1388" i="1"/>
  <c r="AK1392" i="1"/>
  <c r="AK1396" i="1"/>
  <c r="AK1400" i="1"/>
  <c r="AK1404" i="1"/>
  <c r="AK1408" i="1"/>
  <c r="AK1412" i="1"/>
  <c r="AK1416" i="1"/>
  <c r="AK1420" i="1"/>
  <c r="AK1424" i="1"/>
  <c r="AK1428" i="1"/>
  <c r="AK1432" i="1"/>
  <c r="AK1436" i="1"/>
  <c r="AK1440" i="1"/>
  <c r="AK1444" i="1"/>
  <c r="AK1448" i="1"/>
  <c r="AK1452" i="1"/>
  <c r="AK1456" i="1"/>
  <c r="AK1460" i="1"/>
  <c r="AK1464" i="1"/>
  <c r="AK1468" i="1"/>
  <c r="AK1472" i="1"/>
  <c r="AK1476" i="1"/>
  <c r="AK1480" i="1"/>
  <c r="AK1484" i="1"/>
  <c r="AK1488" i="1"/>
  <c r="AK1492" i="1"/>
  <c r="AK1496" i="1"/>
  <c r="AK1500" i="1"/>
  <c r="AK1504" i="1"/>
  <c r="AK1508" i="1"/>
  <c r="AK1512" i="1"/>
  <c r="AK1516" i="1"/>
  <c r="AK1520" i="1"/>
  <c r="AK1524" i="1"/>
  <c r="AK1528" i="1"/>
  <c r="AK1532" i="1"/>
  <c r="AK1536" i="1"/>
  <c r="AK1540" i="1"/>
  <c r="AK1544" i="1"/>
  <c r="AK1548" i="1"/>
  <c r="AK1552" i="1"/>
  <c r="AK1556" i="1"/>
  <c r="AK1560" i="1"/>
  <c r="AK1564" i="1"/>
  <c r="AK1568" i="1"/>
  <c r="AK1572" i="1"/>
  <c r="AK1576" i="1"/>
  <c r="AK1580" i="1"/>
  <c r="AK1584" i="1"/>
  <c r="AK1588" i="1"/>
  <c r="AK1592" i="1"/>
  <c r="AK1596" i="1"/>
  <c r="AK1600" i="1"/>
  <c r="AK1604" i="1"/>
  <c r="AK1608" i="1"/>
  <c r="AK1612" i="1"/>
  <c r="AK1616" i="1"/>
  <c r="AK1340" i="1"/>
  <c r="AK1345" i="1"/>
  <c r="AK1349" i="1"/>
  <c r="AK1353" i="1"/>
  <c r="AK1357" i="1"/>
  <c r="AK1361" i="1"/>
  <c r="AK1365" i="1"/>
  <c r="AK1369" i="1"/>
  <c r="AK1373" i="1"/>
  <c r="AK1377" i="1"/>
  <c r="AK1381" i="1"/>
  <c r="AK1385" i="1"/>
  <c r="AK1389" i="1"/>
  <c r="AK1393" i="1"/>
  <c r="AK1397" i="1"/>
  <c r="AK1401" i="1"/>
  <c r="AK1405" i="1"/>
  <c r="AK1409" i="1"/>
  <c r="AK1413" i="1"/>
  <c r="AK1417" i="1"/>
  <c r="AK1421" i="1"/>
  <c r="AK1425" i="1"/>
  <c r="AK1429" i="1"/>
  <c r="AK1433" i="1"/>
  <c r="AK1437" i="1"/>
  <c r="AK1441" i="1"/>
  <c r="AK1445" i="1"/>
  <c r="AK1449" i="1"/>
  <c r="AK1453" i="1"/>
  <c r="AK1457" i="1"/>
  <c r="AK1461" i="1"/>
  <c r="AK1465" i="1"/>
  <c r="AK1469" i="1"/>
  <c r="AK1473" i="1"/>
  <c r="AK1477" i="1"/>
  <c r="AK1481" i="1"/>
  <c r="AK1485" i="1"/>
  <c r="AK1489" i="1"/>
  <c r="AK1493" i="1"/>
  <c r="AK1497" i="1"/>
  <c r="AK1501" i="1"/>
  <c r="AK1505" i="1"/>
  <c r="AK1509" i="1"/>
  <c r="AK1513" i="1"/>
  <c r="AK1517" i="1"/>
  <c r="AK1521" i="1"/>
  <c r="AK1525" i="1"/>
  <c r="AK1529" i="1"/>
  <c r="AK1533" i="1"/>
  <c r="AK1537" i="1"/>
  <c r="AK1541" i="1"/>
  <c r="AK1545" i="1"/>
  <c r="AK1549" i="1"/>
  <c r="AK1553" i="1"/>
  <c r="AK1557" i="1"/>
  <c r="AK1561" i="1"/>
  <c r="AK1565" i="1"/>
  <c r="AK1569" i="1"/>
  <c r="AK1573" i="1"/>
  <c r="AK1577" i="1"/>
  <c r="AK1581" i="1"/>
  <c r="AK1585" i="1"/>
  <c r="AK1589" i="1"/>
  <c r="AK1593" i="1"/>
  <c r="AK1597" i="1"/>
  <c r="AK1601" i="1"/>
  <c r="AK1605" i="1"/>
  <c r="AK1609" i="1"/>
  <c r="AK1613" i="1"/>
  <c r="AK1617" i="1"/>
  <c r="AK1621" i="1"/>
  <c r="AK1625" i="1"/>
  <c r="AK1629" i="1"/>
  <c r="AK1633" i="1"/>
  <c r="AK1637" i="1"/>
  <c r="AK1641" i="1"/>
  <c r="AK1645" i="1"/>
  <c r="AK1649" i="1"/>
  <c r="AK1653" i="1"/>
  <c r="AK1657" i="1"/>
  <c r="AK1661" i="1"/>
  <c r="AK1665" i="1"/>
  <c r="AK1669" i="1"/>
  <c r="AK1673" i="1"/>
  <c r="AK1677" i="1"/>
  <c r="AK1681" i="1"/>
  <c r="AK1685" i="1"/>
  <c r="AK1689" i="1"/>
  <c r="AK1693" i="1"/>
  <c r="AK1697" i="1"/>
  <c r="AK1701" i="1"/>
  <c r="AK1705" i="1"/>
  <c r="AK1709" i="1"/>
  <c r="AK1713" i="1"/>
  <c r="AK1717" i="1"/>
  <c r="AK1721" i="1"/>
  <c r="AK1725" i="1"/>
  <c r="AK1729" i="1"/>
  <c r="AK2" i="1"/>
  <c r="AK1628" i="1"/>
  <c r="AK1632" i="1"/>
  <c r="AK1640" i="1"/>
  <c r="AK1652" i="1"/>
  <c r="AK1664" i="1"/>
  <c r="AK1676" i="1"/>
  <c r="AK1688" i="1"/>
  <c r="AK1696" i="1"/>
  <c r="AK1708" i="1"/>
  <c r="AK1720" i="1"/>
  <c r="AK1342" i="1"/>
  <c r="AK1346" i="1"/>
  <c r="AK1350" i="1"/>
  <c r="AK1354" i="1"/>
  <c r="AK1358" i="1"/>
  <c r="AK1362" i="1"/>
  <c r="AK1366" i="1"/>
  <c r="AK1370" i="1"/>
  <c r="AK1374" i="1"/>
  <c r="AK1378" i="1"/>
  <c r="AK1382" i="1"/>
  <c r="AK1386" i="1"/>
  <c r="AK1390" i="1"/>
  <c r="AK1394" i="1"/>
  <c r="AK1398" i="1"/>
  <c r="AK1402" i="1"/>
  <c r="AK1406" i="1"/>
  <c r="AK1410" i="1"/>
  <c r="AK1414" i="1"/>
  <c r="AK1418" i="1"/>
  <c r="AK1422" i="1"/>
  <c r="AK1426" i="1"/>
  <c r="AK1430" i="1"/>
  <c r="AK1434" i="1"/>
  <c r="AK1438" i="1"/>
  <c r="AK1442" i="1"/>
  <c r="AK1446" i="1"/>
  <c r="AK1450" i="1"/>
  <c r="AK1454" i="1"/>
  <c r="AK1458" i="1"/>
  <c r="AK1462" i="1"/>
  <c r="AK1466" i="1"/>
  <c r="AK1470" i="1"/>
  <c r="AK1474" i="1"/>
  <c r="AK1478" i="1"/>
  <c r="AK1482" i="1"/>
  <c r="AK1486" i="1"/>
  <c r="AK1490" i="1"/>
  <c r="AK1494" i="1"/>
  <c r="AK1498" i="1"/>
  <c r="AK1502" i="1"/>
  <c r="AK1506" i="1"/>
  <c r="AK1510" i="1"/>
  <c r="AK1514" i="1"/>
  <c r="AK1518" i="1"/>
  <c r="AK1522" i="1"/>
  <c r="AK1526" i="1"/>
  <c r="AK1530" i="1"/>
  <c r="AK1534" i="1"/>
  <c r="AK1538" i="1"/>
  <c r="AK1542" i="1"/>
  <c r="AK1546" i="1"/>
  <c r="AK1550" i="1"/>
  <c r="AK1554" i="1"/>
  <c r="AK1558" i="1"/>
  <c r="AK1562" i="1"/>
  <c r="AK1566" i="1"/>
  <c r="AK1570" i="1"/>
  <c r="AK1574" i="1"/>
  <c r="AK1578" i="1"/>
  <c r="AK1582" i="1"/>
  <c r="AK1586" i="1"/>
  <c r="AK1590" i="1"/>
  <c r="AK1594" i="1"/>
  <c r="AK1598" i="1"/>
  <c r="AK1602" i="1"/>
  <c r="AK1606" i="1"/>
  <c r="AK1610" i="1"/>
  <c r="AK1614" i="1"/>
  <c r="AK1618" i="1"/>
  <c r="AK1622" i="1"/>
  <c r="AK1626" i="1"/>
  <c r="AK1630" i="1"/>
  <c r="AK1634" i="1"/>
  <c r="AK1638" i="1"/>
  <c r="AK1642" i="1"/>
  <c r="AK1646" i="1"/>
  <c r="AK1650" i="1"/>
  <c r="AK1654" i="1"/>
  <c r="AK1658" i="1"/>
  <c r="AK1662" i="1"/>
  <c r="AK1666" i="1"/>
  <c r="AK1670" i="1"/>
  <c r="AK1674" i="1"/>
  <c r="AK1678" i="1"/>
  <c r="AK1682" i="1"/>
  <c r="AK1686" i="1"/>
  <c r="AK1690" i="1"/>
  <c r="AK1694" i="1"/>
  <c r="AK1698" i="1"/>
  <c r="AK1702" i="1"/>
  <c r="AK1706" i="1"/>
  <c r="AK1710" i="1"/>
  <c r="AK1714" i="1"/>
  <c r="AK1718" i="1"/>
  <c r="AK1722" i="1"/>
  <c r="AK1726" i="1"/>
  <c r="AK1730" i="1"/>
  <c r="AK1624" i="1"/>
  <c r="AK1636" i="1"/>
  <c r="AK1648" i="1"/>
  <c r="AK1660" i="1"/>
  <c r="AK1672" i="1"/>
  <c r="AK1684" i="1"/>
  <c r="AK1692" i="1"/>
  <c r="AK1704" i="1"/>
  <c r="AK1716" i="1"/>
  <c r="AK1728" i="1"/>
  <c r="AK1735" i="1"/>
  <c r="AK1739" i="1"/>
  <c r="AK1743" i="1"/>
  <c r="AK1732" i="1"/>
  <c r="AK1736" i="1"/>
  <c r="AK1740" i="1"/>
  <c r="AK1744" i="1"/>
  <c r="AK1733" i="1"/>
  <c r="AK1737" i="1"/>
  <c r="AK1741" i="1"/>
  <c r="AK1745" i="1"/>
  <c r="AK1742" i="1"/>
  <c r="AK1746" i="1"/>
  <c r="AK1738" i="1"/>
  <c r="AK1734" i="1"/>
  <c r="AK1749" i="1"/>
  <c r="AK1750" i="1"/>
  <c r="AK1747" i="1"/>
  <c r="AK1748" i="1"/>
  <c r="AK1752" i="1"/>
  <c r="AK1756" i="1"/>
  <c r="AK1753" i="1"/>
  <c r="AK1755" i="1"/>
  <c r="AK1754" i="1"/>
  <c r="AK1751" i="1"/>
  <c r="AK1758" i="1"/>
  <c r="AK1762" i="1"/>
  <c r="AK1766" i="1"/>
  <c r="AK1770" i="1"/>
  <c r="AK1774" i="1"/>
  <c r="AK1778" i="1"/>
  <c r="AK1782" i="1"/>
  <c r="AK1786" i="1"/>
  <c r="AK1790" i="1"/>
  <c r="AK1794" i="1"/>
  <c r="AK1798" i="1"/>
  <c r="AK1802" i="1"/>
  <c r="AK1806" i="1"/>
  <c r="AK1810" i="1"/>
  <c r="AK1814" i="1"/>
  <c r="AK1818" i="1"/>
  <c r="AK1822" i="1"/>
  <c r="AK1826" i="1"/>
  <c r="AK1830" i="1"/>
  <c r="AK1834" i="1"/>
  <c r="AK1838" i="1"/>
  <c r="AK1842" i="1"/>
  <c r="AK1846" i="1"/>
  <c r="AK1850" i="1"/>
  <c r="AK1854" i="1"/>
  <c r="AK1858" i="1"/>
  <c r="AK1862" i="1"/>
  <c r="AK1866" i="1"/>
  <c r="AK1870" i="1"/>
  <c r="AK1874" i="1"/>
  <c r="AK1878" i="1"/>
  <c r="AK1882" i="1"/>
  <c r="AK1886" i="1"/>
  <c r="AK1890" i="1"/>
  <c r="AK1894" i="1"/>
  <c r="AK1898" i="1"/>
  <c r="AK1902" i="1"/>
  <c r="AK1906" i="1"/>
  <c r="AK1910" i="1"/>
  <c r="AK1914" i="1"/>
  <c r="AK1918" i="1"/>
  <c r="AK1922" i="1"/>
  <c r="AK1926" i="1"/>
  <c r="AK1930" i="1"/>
  <c r="AK1934" i="1"/>
  <c r="AK1938" i="1"/>
  <c r="AK1942" i="1"/>
  <c r="AK1946" i="1"/>
  <c r="AK1950" i="1"/>
  <c r="AK1954" i="1"/>
  <c r="AK1958" i="1"/>
  <c r="AK1962" i="1"/>
  <c r="AK1966" i="1"/>
  <c r="AK1970" i="1"/>
  <c r="AK1974" i="1"/>
  <c r="AK1978" i="1"/>
  <c r="AK1982" i="1"/>
  <c r="AK1986" i="1"/>
  <c r="AK1990" i="1"/>
  <c r="AK1994" i="1"/>
  <c r="AK1998" i="1"/>
  <c r="C2" i="212"/>
  <c r="AK1759" i="1"/>
  <c r="AK1763" i="1"/>
  <c r="AK1767" i="1"/>
  <c r="AK1771" i="1"/>
  <c r="AK1775" i="1"/>
  <c r="AK1779" i="1"/>
  <c r="AK1783" i="1"/>
  <c r="AK1787" i="1"/>
  <c r="AK1791" i="1"/>
  <c r="AK1795" i="1"/>
  <c r="AK1799" i="1"/>
  <c r="AK1803" i="1"/>
  <c r="AK1807" i="1"/>
  <c r="AK1811" i="1"/>
  <c r="AK1815" i="1"/>
  <c r="AK1819" i="1"/>
  <c r="AK1823" i="1"/>
  <c r="AK1827" i="1"/>
  <c r="AK1831" i="1"/>
  <c r="AK1835" i="1"/>
  <c r="AK1839" i="1"/>
  <c r="AK1843" i="1"/>
  <c r="AK1847" i="1"/>
  <c r="AK1851" i="1"/>
  <c r="AK1855" i="1"/>
  <c r="AK1859" i="1"/>
  <c r="AK1863" i="1"/>
  <c r="AK1867" i="1"/>
  <c r="AK1871" i="1"/>
  <c r="AK1875" i="1"/>
  <c r="AK1879" i="1"/>
  <c r="AK1883" i="1"/>
  <c r="AK1887" i="1"/>
  <c r="AK1891" i="1"/>
  <c r="AK1895" i="1"/>
  <c r="AK1899" i="1"/>
  <c r="AK1903" i="1"/>
  <c r="AK1907" i="1"/>
  <c r="AK1911" i="1"/>
  <c r="AK1915" i="1"/>
  <c r="AK1919" i="1"/>
  <c r="AK1923" i="1"/>
  <c r="AK1927" i="1"/>
  <c r="AK1931" i="1"/>
  <c r="AK1935" i="1"/>
  <c r="AK1939" i="1"/>
  <c r="AK1943" i="1"/>
  <c r="AK1947" i="1"/>
  <c r="AK1951" i="1"/>
  <c r="AK1955" i="1"/>
  <c r="AK1959" i="1"/>
  <c r="AK1963" i="1"/>
  <c r="AK1967" i="1"/>
  <c r="AK1971" i="1"/>
  <c r="AK1975" i="1"/>
  <c r="AK1979" i="1"/>
  <c r="AK1983" i="1"/>
  <c r="AK1987" i="1"/>
  <c r="AK1991" i="1"/>
  <c r="AK1995" i="1"/>
  <c r="AK1999" i="1"/>
  <c r="B2" i="212"/>
  <c r="AK343" i="1" s="1"/>
  <c r="AK1760" i="1"/>
  <c r="AK1764" i="1"/>
  <c r="AK1768" i="1"/>
  <c r="AK1772" i="1"/>
  <c r="AK1776" i="1"/>
  <c r="AK1780" i="1"/>
  <c r="AK1784" i="1"/>
  <c r="AK1788" i="1"/>
  <c r="AK1792" i="1"/>
  <c r="AK1796" i="1"/>
  <c r="AK1800" i="1"/>
  <c r="AK1804" i="1"/>
  <c r="AK1808" i="1"/>
  <c r="AK1812" i="1"/>
  <c r="AK1816" i="1"/>
  <c r="AK1820" i="1"/>
  <c r="AK1824" i="1"/>
  <c r="AK1828" i="1"/>
  <c r="AK1832" i="1"/>
  <c r="AK1836" i="1"/>
  <c r="AK1840" i="1"/>
  <c r="AK1844" i="1"/>
  <c r="AK1848" i="1"/>
  <c r="AK1852" i="1"/>
  <c r="AK1856" i="1"/>
  <c r="AK1860" i="1"/>
  <c r="AK1864" i="1"/>
  <c r="AK1868" i="1"/>
  <c r="AK1872" i="1"/>
  <c r="AK1876" i="1"/>
  <c r="AK1880" i="1"/>
  <c r="AK1884" i="1"/>
  <c r="AK1888" i="1"/>
  <c r="AK1892" i="1"/>
  <c r="AK1896" i="1"/>
  <c r="AK1900" i="1"/>
  <c r="AK1904" i="1"/>
  <c r="AK1908" i="1"/>
  <c r="AK1912" i="1"/>
  <c r="AK1916" i="1"/>
  <c r="AK1920" i="1"/>
  <c r="AK1924" i="1"/>
  <c r="AK1928" i="1"/>
  <c r="AK1932" i="1"/>
  <c r="AK1936" i="1"/>
  <c r="AK1940" i="1"/>
  <c r="AK1944" i="1"/>
  <c r="AK1948" i="1"/>
  <c r="AK1952" i="1"/>
  <c r="AK1956" i="1"/>
  <c r="AK1960" i="1"/>
  <c r="AK1964" i="1"/>
  <c r="AK1968" i="1"/>
  <c r="AK1972" i="1"/>
  <c r="AK1976" i="1"/>
  <c r="AK1980" i="1"/>
  <c r="AK1984" i="1"/>
  <c r="AK1988" i="1"/>
  <c r="AK1992" i="1"/>
  <c r="AK1996" i="1"/>
  <c r="AK2000" i="1"/>
  <c r="AK1769" i="1"/>
  <c r="AK1785" i="1"/>
  <c r="AK1801" i="1"/>
  <c r="AK1817" i="1"/>
  <c r="AK1833" i="1"/>
  <c r="AK1849" i="1"/>
  <c r="AK1865" i="1"/>
  <c r="AK1881" i="1"/>
  <c r="AK1897" i="1"/>
  <c r="AK1913" i="1"/>
  <c r="AK1929" i="1"/>
  <c r="AK1945" i="1"/>
  <c r="AK1961" i="1"/>
  <c r="AK1977" i="1"/>
  <c r="AK1993" i="1"/>
  <c r="AK1781" i="1"/>
  <c r="AK1829" i="1"/>
  <c r="AK1877" i="1"/>
  <c r="AK1925" i="1"/>
  <c r="AK1973" i="1"/>
  <c r="AK1757" i="1"/>
  <c r="AK1773" i="1"/>
  <c r="AK1789" i="1"/>
  <c r="AK1805" i="1"/>
  <c r="AK1821" i="1"/>
  <c r="AK1837" i="1"/>
  <c r="AK1853" i="1"/>
  <c r="AK1869" i="1"/>
  <c r="AK1885" i="1"/>
  <c r="AK1901" i="1"/>
  <c r="AK1917" i="1"/>
  <c r="AK1933" i="1"/>
  <c r="AK1949" i="1"/>
  <c r="AK1965" i="1"/>
  <c r="AK1981" i="1"/>
  <c r="AK1997" i="1"/>
  <c r="AK1985" i="1"/>
  <c r="AK1765" i="1"/>
  <c r="AK1797" i="1"/>
  <c r="AK1845" i="1"/>
  <c r="AK1893" i="1"/>
  <c r="AK1941" i="1"/>
  <c r="AK1989" i="1"/>
  <c r="AK1761" i="1"/>
  <c r="AK1777" i="1"/>
  <c r="AK1793" i="1"/>
  <c r="AK1809" i="1"/>
  <c r="AK1825" i="1"/>
  <c r="AK1841" i="1"/>
  <c r="AK1857" i="1"/>
  <c r="AK1873" i="1"/>
  <c r="AK1889" i="1"/>
  <c r="AK1905" i="1"/>
  <c r="AK1921" i="1"/>
  <c r="AK1937" i="1"/>
  <c r="AK1953" i="1"/>
  <c r="AK1969" i="1"/>
  <c r="AK1813" i="1"/>
  <c r="AK1861" i="1"/>
  <c r="AK1909" i="1"/>
  <c r="AK1957" i="1"/>
  <c r="D2" i="212"/>
  <c r="K8" i="188"/>
  <c r="C11" i="188" s="1"/>
  <c r="C6" i="188" l="1"/>
  <c r="I4" i="188" l="1"/>
  <c r="K25" i="188"/>
  <c r="K12" i="188" s="1"/>
  <c r="M25" i="188"/>
  <c r="M13" i="188" s="1"/>
  <c r="E11" i="188"/>
  <c r="G11" i="188"/>
  <c r="I11" i="188"/>
  <c r="K11" i="188"/>
  <c r="M11" i="188"/>
  <c r="K22" i="188" l="1"/>
  <c r="M21" i="188"/>
  <c r="K21" i="188"/>
  <c r="M20" i="188"/>
  <c r="K19" i="188"/>
  <c r="K20" i="188"/>
  <c r="M22" i="188"/>
  <c r="M19" i="188"/>
  <c r="K17" i="188"/>
  <c r="M15" i="188"/>
  <c r="K15" i="188"/>
  <c r="M16" i="188"/>
  <c r="M18" i="188"/>
  <c r="K14" i="188"/>
  <c r="K16" i="188"/>
  <c r="K18" i="188"/>
  <c r="M17" i="188"/>
  <c r="M14" i="188"/>
  <c r="K13" i="188"/>
  <c r="M12" i="188"/>
  <c r="L31" i="189"/>
  <c r="J1" i="183"/>
  <c r="AP1757" i="1" l="1"/>
  <c r="AP1758" i="1"/>
  <c r="AP1759" i="1"/>
  <c r="AP1760" i="1"/>
  <c r="AP1761" i="1"/>
  <c r="AP1762" i="1"/>
  <c r="AP1763" i="1"/>
  <c r="AP1764" i="1"/>
  <c r="AP1765" i="1"/>
  <c r="AP1766" i="1"/>
  <c r="AP1767" i="1"/>
  <c r="AP1768" i="1"/>
  <c r="AP1769" i="1"/>
  <c r="AP1770" i="1"/>
  <c r="AP1771" i="1"/>
  <c r="AP1772" i="1"/>
  <c r="AP1773" i="1"/>
  <c r="AP1774" i="1"/>
  <c r="AP1775" i="1"/>
  <c r="AP1776" i="1"/>
  <c r="AP1777" i="1"/>
  <c r="AP1778" i="1"/>
  <c r="AP1779" i="1"/>
  <c r="AP1780" i="1"/>
  <c r="AP1781" i="1"/>
  <c r="AP1782" i="1"/>
  <c r="AP1783" i="1"/>
  <c r="AP1784" i="1"/>
  <c r="AP1785" i="1"/>
  <c r="AP1786" i="1"/>
  <c r="AP1787" i="1"/>
  <c r="AP1788" i="1"/>
  <c r="AP1789" i="1"/>
  <c r="AP1790" i="1"/>
  <c r="AP1791" i="1"/>
  <c r="AP1792" i="1"/>
  <c r="AP1793" i="1"/>
  <c r="AP1794" i="1"/>
  <c r="AP1795" i="1"/>
  <c r="AP1796" i="1"/>
  <c r="AP1797" i="1"/>
  <c r="AP1798" i="1"/>
  <c r="AP1799" i="1"/>
  <c r="AP1800" i="1"/>
  <c r="AP1801" i="1"/>
  <c r="AP1802" i="1"/>
  <c r="AP1803" i="1"/>
  <c r="AP1804" i="1"/>
  <c r="AP1805" i="1"/>
  <c r="AP1806" i="1"/>
  <c r="AP1807" i="1"/>
  <c r="AP1808" i="1"/>
  <c r="AP1809" i="1"/>
  <c r="AP1810" i="1"/>
  <c r="AP1811" i="1"/>
  <c r="AP1812" i="1"/>
  <c r="AP1813" i="1"/>
  <c r="AP1814" i="1"/>
  <c r="AP1815" i="1"/>
  <c r="AP1816" i="1"/>
  <c r="AP1817" i="1"/>
  <c r="AP1818" i="1"/>
  <c r="AP1819" i="1"/>
  <c r="AP1820" i="1"/>
  <c r="AP1821" i="1"/>
  <c r="AP1822" i="1"/>
  <c r="AP1823" i="1"/>
  <c r="AP1824" i="1"/>
  <c r="AP1825" i="1"/>
  <c r="AP1826" i="1"/>
  <c r="AP1827" i="1"/>
  <c r="AP1828" i="1"/>
  <c r="AP1829" i="1"/>
  <c r="AP1830" i="1"/>
  <c r="AP1831" i="1"/>
  <c r="AP1832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J1757" i="74" l="1"/>
  <c r="J1758" i="74"/>
  <c r="J1759" i="74"/>
  <c r="J1760" i="74"/>
  <c r="J1761" i="74"/>
  <c r="J1762" i="74"/>
  <c r="J1763" i="74"/>
  <c r="J1764" i="74"/>
  <c r="J1765" i="74"/>
  <c r="J1766" i="74"/>
  <c r="J1767" i="74"/>
  <c r="J1768" i="74"/>
  <c r="J1769" i="74"/>
  <c r="J1770" i="74"/>
  <c r="J1771" i="74"/>
  <c r="J1772" i="74"/>
  <c r="J1773" i="74"/>
  <c r="J1774" i="74"/>
  <c r="J1775" i="74"/>
  <c r="J1776" i="74"/>
  <c r="J1777" i="74"/>
  <c r="J1778" i="74"/>
  <c r="J1779" i="74"/>
  <c r="J1780" i="74"/>
  <c r="J1781" i="74"/>
  <c r="J1782" i="74"/>
  <c r="J1783" i="74"/>
  <c r="J1784" i="74"/>
  <c r="J1785" i="74"/>
  <c r="J1786" i="74"/>
  <c r="J1787" i="74"/>
  <c r="J1788" i="74"/>
  <c r="J1789" i="74"/>
  <c r="J1790" i="74"/>
  <c r="J1791" i="74"/>
  <c r="J1792" i="74"/>
  <c r="J1793" i="74"/>
  <c r="J1794" i="74"/>
  <c r="J1795" i="74"/>
  <c r="J1796" i="74"/>
  <c r="J1797" i="74"/>
  <c r="J1798" i="74"/>
  <c r="J1799" i="74"/>
  <c r="J1800" i="74"/>
  <c r="J1801" i="74"/>
  <c r="J1802" i="74"/>
  <c r="J1803" i="74"/>
  <c r="J1804" i="74"/>
  <c r="J1805" i="74"/>
  <c r="J1806" i="74"/>
  <c r="J1807" i="74"/>
  <c r="J1808" i="74"/>
  <c r="J1809" i="74"/>
  <c r="J1810" i="74"/>
  <c r="J1811" i="74"/>
  <c r="J1812" i="74"/>
  <c r="J1813" i="74"/>
  <c r="J1814" i="74"/>
  <c r="J1815" i="74"/>
  <c r="J1816" i="74"/>
  <c r="J1817" i="74"/>
  <c r="J1818" i="74"/>
  <c r="J1819" i="74"/>
  <c r="J1820" i="74"/>
  <c r="J1821" i="74"/>
  <c r="J1822" i="74"/>
  <c r="J1823" i="74"/>
  <c r="J1824" i="74"/>
  <c r="J1825" i="74"/>
  <c r="J1826" i="74"/>
  <c r="J1827" i="74"/>
  <c r="J1828" i="74"/>
  <c r="J1829" i="74"/>
  <c r="J1830" i="74"/>
  <c r="J1831" i="74"/>
  <c r="J1832" i="74"/>
  <c r="J1833" i="74"/>
  <c r="J1834" i="74"/>
  <c r="J1835" i="74"/>
  <c r="J1836" i="74"/>
  <c r="J1837" i="74"/>
  <c r="J1838" i="74"/>
  <c r="J1839" i="74"/>
  <c r="J1840" i="74"/>
  <c r="J1841" i="74"/>
  <c r="J1842" i="74"/>
  <c r="J1843" i="74"/>
  <c r="J1844" i="74"/>
  <c r="J1845" i="74"/>
  <c r="J1846" i="74"/>
  <c r="J1847" i="74"/>
  <c r="J1848" i="74"/>
  <c r="J1849" i="74"/>
  <c r="J1850" i="74"/>
  <c r="J1851" i="74"/>
  <c r="J1852" i="74"/>
  <c r="J1853" i="74"/>
  <c r="J1854" i="74"/>
  <c r="J1855" i="74"/>
  <c r="J1856" i="74"/>
  <c r="J1857" i="74"/>
  <c r="J1858" i="74"/>
  <c r="J1859" i="74"/>
  <c r="J1860" i="74"/>
  <c r="J1861" i="74"/>
  <c r="J1862" i="74"/>
  <c r="J1863" i="74"/>
  <c r="J1864" i="74"/>
  <c r="J1865" i="74"/>
  <c r="J1866" i="74"/>
  <c r="J1867" i="74"/>
  <c r="J1868" i="74"/>
  <c r="J1869" i="74"/>
  <c r="J1870" i="74"/>
  <c r="J1871" i="74"/>
  <c r="J1872" i="74"/>
  <c r="J1873" i="74"/>
  <c r="J1874" i="74"/>
  <c r="J1875" i="74"/>
  <c r="J1876" i="74"/>
  <c r="J1877" i="74"/>
  <c r="J1878" i="74"/>
  <c r="J1879" i="74"/>
  <c r="J1880" i="74"/>
  <c r="J1881" i="74"/>
  <c r="J1882" i="74"/>
  <c r="J1883" i="74"/>
  <c r="I1757" i="74"/>
  <c r="I1758" i="74"/>
  <c r="I1759" i="74"/>
  <c r="I1760" i="74"/>
  <c r="I1761" i="74"/>
  <c r="I1762" i="74"/>
  <c r="I1763" i="74"/>
  <c r="I1764" i="74"/>
  <c r="I1765" i="74"/>
  <c r="I1766" i="74"/>
  <c r="I1767" i="74"/>
  <c r="I1768" i="74"/>
  <c r="I1769" i="74"/>
  <c r="I1770" i="74"/>
  <c r="I1771" i="74"/>
  <c r="I1772" i="74"/>
  <c r="I1773" i="74"/>
  <c r="I1774" i="74"/>
  <c r="I1775" i="74"/>
  <c r="I1776" i="74"/>
  <c r="I1777" i="74"/>
  <c r="I1778" i="74"/>
  <c r="I1779" i="74"/>
  <c r="I1780" i="74"/>
  <c r="I1781" i="74"/>
  <c r="I1782" i="74"/>
  <c r="I1783" i="74"/>
  <c r="I1784" i="74"/>
  <c r="I1785" i="74"/>
  <c r="I1786" i="74"/>
  <c r="I1787" i="74"/>
  <c r="I1788" i="74"/>
  <c r="I1789" i="74"/>
  <c r="I1790" i="74"/>
  <c r="I1791" i="74"/>
  <c r="I1792" i="74"/>
  <c r="I1793" i="74"/>
  <c r="I1794" i="74"/>
  <c r="I1795" i="74"/>
  <c r="I1796" i="74"/>
  <c r="I1797" i="74"/>
  <c r="I1798" i="74"/>
  <c r="I1799" i="74"/>
  <c r="I1800" i="74"/>
  <c r="I1801" i="74"/>
  <c r="I1802" i="74"/>
  <c r="I1803" i="74"/>
  <c r="I1804" i="74"/>
  <c r="I1805" i="74"/>
  <c r="I1806" i="74"/>
  <c r="I1807" i="74"/>
  <c r="I1808" i="74"/>
  <c r="I1809" i="74"/>
  <c r="I1810" i="74"/>
  <c r="I1811" i="74"/>
  <c r="I1812" i="74"/>
  <c r="I1813" i="74"/>
  <c r="I1814" i="74"/>
  <c r="I1815" i="74"/>
  <c r="I1816" i="74"/>
  <c r="I1817" i="74"/>
  <c r="I1818" i="74"/>
  <c r="I1819" i="74"/>
  <c r="I1820" i="74"/>
  <c r="I1821" i="74"/>
  <c r="I1822" i="74"/>
  <c r="I1823" i="74"/>
  <c r="I1824" i="74"/>
  <c r="I1825" i="74"/>
  <c r="I1826" i="74"/>
  <c r="I1827" i="74"/>
  <c r="I1828" i="74"/>
  <c r="I1829" i="74"/>
  <c r="I1830" i="74"/>
  <c r="I1831" i="74"/>
  <c r="I1832" i="74"/>
  <c r="I1833" i="74"/>
  <c r="I1834" i="74"/>
  <c r="I1835" i="74"/>
  <c r="I1836" i="74"/>
  <c r="I1837" i="74"/>
  <c r="I1838" i="74"/>
  <c r="I1839" i="74"/>
  <c r="I1840" i="74"/>
  <c r="I1841" i="74"/>
  <c r="I1842" i="74"/>
  <c r="I1843" i="74"/>
  <c r="I1844" i="74"/>
  <c r="I1845" i="74"/>
  <c r="I1846" i="74"/>
  <c r="I1847" i="74"/>
  <c r="I1848" i="74"/>
  <c r="I1849" i="74"/>
  <c r="I1850" i="74"/>
  <c r="I1851" i="74"/>
  <c r="I1852" i="74"/>
  <c r="I1853" i="74"/>
  <c r="I1854" i="74"/>
  <c r="I1855" i="74"/>
  <c r="I1856" i="74"/>
  <c r="I1857" i="74"/>
  <c r="I1858" i="74"/>
  <c r="I1859" i="74"/>
  <c r="I1860" i="74"/>
  <c r="I1861" i="74"/>
  <c r="I1862" i="74"/>
  <c r="I1863" i="74"/>
  <c r="I1864" i="74"/>
  <c r="I1865" i="74"/>
  <c r="I1866" i="74"/>
  <c r="I1867" i="74"/>
  <c r="I1868" i="74"/>
  <c r="I1869" i="74"/>
  <c r="I1870" i="74"/>
  <c r="I1871" i="74"/>
  <c r="I1872" i="74"/>
  <c r="I1873" i="74"/>
  <c r="I1874" i="74"/>
  <c r="I1875" i="74"/>
  <c r="I1876" i="74"/>
  <c r="I1877" i="74"/>
  <c r="I1878" i="74"/>
  <c r="I1879" i="74"/>
  <c r="I1880" i="74"/>
  <c r="I1881" i="74"/>
  <c r="I1882" i="74"/>
  <c r="I1883" i="74"/>
  <c r="H1757" i="74"/>
  <c r="H1758" i="74"/>
  <c r="H1759" i="74"/>
  <c r="H1760" i="74"/>
  <c r="H1761" i="74"/>
  <c r="H1762" i="74"/>
  <c r="H1763" i="74"/>
  <c r="H1764" i="74"/>
  <c r="H1765" i="74"/>
  <c r="H1766" i="74"/>
  <c r="H1767" i="74"/>
  <c r="H1768" i="74"/>
  <c r="H1769" i="74"/>
  <c r="H1770" i="74"/>
  <c r="H1771" i="74"/>
  <c r="H1772" i="74"/>
  <c r="H1773" i="74"/>
  <c r="H1774" i="74"/>
  <c r="H1775" i="74"/>
  <c r="H1776" i="74"/>
  <c r="H1777" i="74"/>
  <c r="H1778" i="74"/>
  <c r="H1779" i="74"/>
  <c r="H1780" i="74"/>
  <c r="H1781" i="74"/>
  <c r="H1782" i="74"/>
  <c r="H1783" i="74"/>
  <c r="H1784" i="74"/>
  <c r="H1785" i="74"/>
  <c r="H1786" i="74"/>
  <c r="H1787" i="74"/>
  <c r="H1788" i="74"/>
  <c r="H1789" i="74"/>
  <c r="H1790" i="74"/>
  <c r="H1791" i="74"/>
  <c r="H1792" i="74"/>
  <c r="H1793" i="74"/>
  <c r="H1794" i="74"/>
  <c r="H1795" i="74"/>
  <c r="H1796" i="74"/>
  <c r="H1797" i="74"/>
  <c r="H1798" i="74"/>
  <c r="H1799" i="74"/>
  <c r="H1800" i="74"/>
  <c r="H1801" i="74"/>
  <c r="H1802" i="74"/>
  <c r="H1803" i="74"/>
  <c r="H1804" i="74"/>
  <c r="H1805" i="74"/>
  <c r="H1806" i="74"/>
  <c r="H1807" i="74"/>
  <c r="H1808" i="74"/>
  <c r="H1809" i="74"/>
  <c r="H1810" i="74"/>
  <c r="H1811" i="74"/>
  <c r="H1812" i="74"/>
  <c r="H1813" i="74"/>
  <c r="H1814" i="74"/>
  <c r="H1815" i="74"/>
  <c r="H1816" i="74"/>
  <c r="H1817" i="74"/>
  <c r="H1818" i="74"/>
  <c r="H1819" i="74"/>
  <c r="H1820" i="74"/>
  <c r="H1821" i="74"/>
  <c r="H1822" i="74"/>
  <c r="H1823" i="74"/>
  <c r="H1824" i="74"/>
  <c r="H1825" i="74"/>
  <c r="H1826" i="74"/>
  <c r="H1827" i="74"/>
  <c r="H1828" i="74"/>
  <c r="H1829" i="74"/>
  <c r="H1830" i="74"/>
  <c r="H1831" i="74"/>
  <c r="H1832" i="74"/>
  <c r="H1833" i="74"/>
  <c r="H1834" i="74"/>
  <c r="H1835" i="74"/>
  <c r="H1836" i="74"/>
  <c r="H1837" i="74"/>
  <c r="H1838" i="74"/>
  <c r="H1839" i="74"/>
  <c r="H1840" i="74"/>
  <c r="H1841" i="74"/>
  <c r="H1842" i="74"/>
  <c r="H1843" i="74"/>
  <c r="H1844" i="74"/>
  <c r="H1845" i="74"/>
  <c r="H1846" i="74"/>
  <c r="H1847" i="74"/>
  <c r="H1848" i="74"/>
  <c r="H1849" i="74"/>
  <c r="H1850" i="74"/>
  <c r="H1851" i="74"/>
  <c r="H1852" i="74"/>
  <c r="H1853" i="74"/>
  <c r="H1854" i="74"/>
  <c r="H1855" i="74"/>
  <c r="H1856" i="74"/>
  <c r="H1857" i="74"/>
  <c r="H1858" i="74"/>
  <c r="H1859" i="74"/>
  <c r="H1860" i="74"/>
  <c r="H1861" i="74"/>
  <c r="H1862" i="74"/>
  <c r="H1863" i="74"/>
  <c r="H1864" i="74"/>
  <c r="H1865" i="74"/>
  <c r="H1866" i="74"/>
  <c r="H1867" i="74"/>
  <c r="H1868" i="74"/>
  <c r="H1869" i="74"/>
  <c r="H1870" i="74"/>
  <c r="H1871" i="74"/>
  <c r="H1872" i="74"/>
  <c r="H1873" i="74"/>
  <c r="H1874" i="74"/>
  <c r="H1875" i="74"/>
  <c r="H1876" i="74"/>
  <c r="H1877" i="74"/>
  <c r="H1878" i="74"/>
  <c r="H1879" i="74"/>
  <c r="H1880" i="74"/>
  <c r="H1881" i="74"/>
  <c r="H1882" i="74"/>
  <c r="H1883" i="74"/>
  <c r="F1757" i="74"/>
  <c r="G1757" i="74" s="1"/>
  <c r="F1758" i="74"/>
  <c r="G1758" i="74" s="1"/>
  <c r="F1759" i="74"/>
  <c r="G1759" i="74" s="1"/>
  <c r="F1760" i="74"/>
  <c r="G1760" i="74" s="1"/>
  <c r="F1761" i="74"/>
  <c r="G1761" i="74" s="1"/>
  <c r="F1762" i="74"/>
  <c r="G1762" i="74" s="1"/>
  <c r="F1763" i="74"/>
  <c r="G1763" i="74" s="1"/>
  <c r="F1764" i="74"/>
  <c r="G1764" i="74" s="1"/>
  <c r="F1765" i="74"/>
  <c r="G1765" i="74" s="1"/>
  <c r="F1766" i="74"/>
  <c r="G1766" i="74" s="1"/>
  <c r="F1767" i="74"/>
  <c r="G1767" i="74" s="1"/>
  <c r="F1768" i="74"/>
  <c r="G1768" i="74" s="1"/>
  <c r="F1769" i="74"/>
  <c r="G1769" i="74" s="1"/>
  <c r="F1770" i="74"/>
  <c r="G1770" i="74" s="1"/>
  <c r="F1771" i="74"/>
  <c r="G1771" i="74" s="1"/>
  <c r="F1772" i="74"/>
  <c r="G1772" i="74" s="1"/>
  <c r="F1773" i="74"/>
  <c r="G1773" i="74" s="1"/>
  <c r="F1774" i="74"/>
  <c r="G1774" i="74" s="1"/>
  <c r="F1775" i="74"/>
  <c r="G1775" i="74" s="1"/>
  <c r="F1776" i="74"/>
  <c r="G1776" i="74" s="1"/>
  <c r="F1777" i="74"/>
  <c r="G1777" i="74" s="1"/>
  <c r="F1778" i="74"/>
  <c r="G1778" i="74" s="1"/>
  <c r="F1779" i="74"/>
  <c r="G1779" i="74" s="1"/>
  <c r="F1780" i="74"/>
  <c r="G1780" i="74" s="1"/>
  <c r="F1781" i="74"/>
  <c r="G1781" i="74" s="1"/>
  <c r="F1782" i="74"/>
  <c r="G1782" i="74" s="1"/>
  <c r="F1783" i="74"/>
  <c r="G1783" i="74" s="1"/>
  <c r="F1784" i="74"/>
  <c r="G1784" i="74" s="1"/>
  <c r="F1785" i="74"/>
  <c r="G1785" i="74" s="1"/>
  <c r="F1786" i="74"/>
  <c r="G1786" i="74" s="1"/>
  <c r="F1787" i="74"/>
  <c r="G1787" i="74" s="1"/>
  <c r="F1788" i="74"/>
  <c r="G1788" i="74" s="1"/>
  <c r="F1789" i="74"/>
  <c r="G1789" i="74" s="1"/>
  <c r="F1790" i="74"/>
  <c r="G1790" i="74" s="1"/>
  <c r="F1791" i="74"/>
  <c r="G1791" i="74" s="1"/>
  <c r="F1792" i="74"/>
  <c r="G1792" i="74" s="1"/>
  <c r="F1793" i="74"/>
  <c r="G1793" i="74" s="1"/>
  <c r="F1794" i="74"/>
  <c r="G1794" i="74" s="1"/>
  <c r="F1795" i="74"/>
  <c r="G1795" i="74" s="1"/>
  <c r="F1796" i="74"/>
  <c r="G1796" i="74" s="1"/>
  <c r="F1797" i="74"/>
  <c r="G1797" i="74" s="1"/>
  <c r="F1798" i="74"/>
  <c r="G1798" i="74" s="1"/>
  <c r="F1799" i="74"/>
  <c r="G1799" i="74" s="1"/>
  <c r="F1800" i="74"/>
  <c r="G1800" i="74" s="1"/>
  <c r="F1801" i="74"/>
  <c r="G1801" i="74" s="1"/>
  <c r="F1802" i="74"/>
  <c r="G1802" i="74" s="1"/>
  <c r="F1803" i="74"/>
  <c r="G1803" i="74" s="1"/>
  <c r="F1804" i="74"/>
  <c r="G1804" i="74" s="1"/>
  <c r="F1805" i="74"/>
  <c r="G1805" i="74" s="1"/>
  <c r="F1806" i="74"/>
  <c r="G1806" i="74" s="1"/>
  <c r="F1807" i="74"/>
  <c r="G1807" i="74" s="1"/>
  <c r="F1808" i="74"/>
  <c r="G1808" i="74" s="1"/>
  <c r="F1809" i="74"/>
  <c r="G1809" i="74" s="1"/>
  <c r="F1810" i="74"/>
  <c r="G1810" i="74" s="1"/>
  <c r="F1811" i="74"/>
  <c r="G1811" i="74" s="1"/>
  <c r="F1812" i="74"/>
  <c r="G1812" i="74" s="1"/>
  <c r="F1813" i="74"/>
  <c r="G1813" i="74" s="1"/>
  <c r="F1814" i="74"/>
  <c r="G1814" i="74" s="1"/>
  <c r="F1815" i="74"/>
  <c r="G1815" i="74" s="1"/>
  <c r="F1816" i="74"/>
  <c r="G1816" i="74" s="1"/>
  <c r="F1817" i="74"/>
  <c r="G1817" i="74" s="1"/>
  <c r="F1818" i="74"/>
  <c r="G1818" i="74" s="1"/>
  <c r="F1819" i="74"/>
  <c r="G1819" i="74" s="1"/>
  <c r="F1820" i="74"/>
  <c r="G1820" i="74" s="1"/>
  <c r="F1821" i="74"/>
  <c r="G1821" i="74" s="1"/>
  <c r="F1822" i="74"/>
  <c r="G1822" i="74" s="1"/>
  <c r="F1823" i="74"/>
  <c r="G1823" i="74" s="1"/>
  <c r="F1824" i="74"/>
  <c r="G1824" i="74" s="1"/>
  <c r="F1825" i="74"/>
  <c r="G1825" i="74" s="1"/>
  <c r="F1826" i="74"/>
  <c r="G1826" i="74" s="1"/>
  <c r="F1827" i="74"/>
  <c r="G1827" i="74" s="1"/>
  <c r="F1828" i="74"/>
  <c r="G1828" i="74" s="1"/>
  <c r="F1829" i="74"/>
  <c r="G1829" i="74" s="1"/>
  <c r="F1830" i="74"/>
  <c r="G1830" i="74" s="1"/>
  <c r="F1831" i="74"/>
  <c r="G1831" i="74" s="1"/>
  <c r="F1832" i="74"/>
  <c r="G1832" i="74" s="1"/>
  <c r="F1833" i="74"/>
  <c r="G1833" i="74" s="1"/>
  <c r="F1834" i="74"/>
  <c r="G1834" i="74" s="1"/>
  <c r="F1835" i="74"/>
  <c r="G1835" i="74" s="1"/>
  <c r="F1836" i="74"/>
  <c r="G1836" i="74" s="1"/>
  <c r="F1837" i="74"/>
  <c r="G1837" i="74" s="1"/>
  <c r="F1838" i="74"/>
  <c r="G1838" i="74" s="1"/>
  <c r="F1839" i="74"/>
  <c r="G1839" i="74" s="1"/>
  <c r="F1840" i="74"/>
  <c r="G1840" i="74" s="1"/>
  <c r="F1841" i="74"/>
  <c r="G1841" i="74" s="1"/>
  <c r="F1842" i="74"/>
  <c r="G1842" i="74" s="1"/>
  <c r="F1843" i="74"/>
  <c r="G1843" i="74" s="1"/>
  <c r="F1844" i="74"/>
  <c r="G1844" i="74" s="1"/>
  <c r="F1845" i="74"/>
  <c r="G1845" i="74" s="1"/>
  <c r="F1846" i="74"/>
  <c r="G1846" i="74" s="1"/>
  <c r="F1847" i="74"/>
  <c r="G1847" i="74" s="1"/>
  <c r="F1848" i="74"/>
  <c r="G1848" i="74" s="1"/>
  <c r="F1849" i="74"/>
  <c r="G1849" i="74" s="1"/>
  <c r="F1850" i="74"/>
  <c r="G1850" i="74" s="1"/>
  <c r="F1851" i="74"/>
  <c r="G1851" i="74" s="1"/>
  <c r="F1852" i="74"/>
  <c r="G1852" i="74" s="1"/>
  <c r="F1853" i="74"/>
  <c r="G1853" i="74" s="1"/>
  <c r="F1854" i="74"/>
  <c r="G1854" i="74" s="1"/>
  <c r="F1855" i="74"/>
  <c r="G1855" i="74" s="1"/>
  <c r="F1856" i="74"/>
  <c r="G1856" i="74" s="1"/>
  <c r="F1857" i="74"/>
  <c r="G1857" i="74" s="1"/>
  <c r="F1858" i="74"/>
  <c r="G1858" i="74" s="1"/>
  <c r="F1859" i="74"/>
  <c r="G1859" i="74" s="1"/>
  <c r="F1860" i="74"/>
  <c r="G1860" i="74" s="1"/>
  <c r="F1861" i="74"/>
  <c r="G1861" i="74" s="1"/>
  <c r="F1862" i="74"/>
  <c r="G1862" i="74" s="1"/>
  <c r="F1863" i="74"/>
  <c r="G1863" i="74" s="1"/>
  <c r="F1864" i="74"/>
  <c r="G1864" i="74" s="1"/>
  <c r="F1865" i="74"/>
  <c r="G1865" i="74" s="1"/>
  <c r="F1866" i="74"/>
  <c r="G1866" i="74" s="1"/>
  <c r="F1867" i="74"/>
  <c r="G1867" i="74" s="1"/>
  <c r="F1868" i="74"/>
  <c r="G1868" i="74" s="1"/>
  <c r="F1869" i="74"/>
  <c r="G1869" i="74" s="1"/>
  <c r="F1870" i="74"/>
  <c r="G1870" i="74" s="1"/>
  <c r="F1871" i="74"/>
  <c r="G1871" i="74" s="1"/>
  <c r="F1872" i="74"/>
  <c r="G1872" i="74" s="1"/>
  <c r="F1873" i="74"/>
  <c r="G1873" i="74" s="1"/>
  <c r="F1874" i="74"/>
  <c r="G1874" i="74" s="1"/>
  <c r="F1875" i="74"/>
  <c r="G1875" i="74" s="1"/>
  <c r="F1876" i="74"/>
  <c r="G1876" i="74" s="1"/>
  <c r="F1877" i="74"/>
  <c r="G1877" i="74" s="1"/>
  <c r="F1878" i="74"/>
  <c r="G1878" i="74" s="1"/>
  <c r="F1879" i="74"/>
  <c r="G1879" i="74" s="1"/>
  <c r="F1880" i="74"/>
  <c r="G1880" i="74" s="1"/>
  <c r="F1881" i="74"/>
  <c r="G1881" i="74" s="1"/>
  <c r="F1882" i="74"/>
  <c r="G1882" i="74" s="1"/>
  <c r="F1883" i="74"/>
  <c r="G1883" i="74" s="1"/>
  <c r="B3" i="186" l="1"/>
  <c r="C3" i="186"/>
  <c r="B4" i="186"/>
  <c r="C4" i="186"/>
  <c r="AQ1757" i="1" l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I1757" i="1"/>
  <c r="AW1757" i="1" s="1"/>
  <c r="AI1758" i="1"/>
  <c r="AI1759" i="1"/>
  <c r="AI1760" i="1"/>
  <c r="AI1761" i="1"/>
  <c r="AW1761" i="1" s="1"/>
  <c r="AI1762" i="1"/>
  <c r="AI1763" i="1"/>
  <c r="AI1764" i="1"/>
  <c r="AI1765" i="1"/>
  <c r="AW1765" i="1" s="1"/>
  <c r="AI1766" i="1"/>
  <c r="AI1767" i="1"/>
  <c r="AI1768" i="1"/>
  <c r="AI1769" i="1"/>
  <c r="AW1769" i="1" s="1"/>
  <c r="AI1770" i="1"/>
  <c r="AI1771" i="1"/>
  <c r="AI1772" i="1"/>
  <c r="AI1773" i="1"/>
  <c r="AW1773" i="1" s="1"/>
  <c r="AI1774" i="1"/>
  <c r="AI1775" i="1"/>
  <c r="AI1776" i="1"/>
  <c r="AI1777" i="1"/>
  <c r="AW1777" i="1" s="1"/>
  <c r="AI1778" i="1"/>
  <c r="AI1779" i="1"/>
  <c r="AI1780" i="1"/>
  <c r="AI1781" i="1"/>
  <c r="AW1781" i="1" s="1"/>
  <c r="AI1782" i="1"/>
  <c r="AI1783" i="1"/>
  <c r="AI1784" i="1"/>
  <c r="AI1785" i="1"/>
  <c r="AW1785" i="1" s="1"/>
  <c r="AI1786" i="1"/>
  <c r="AI1787" i="1"/>
  <c r="AI1788" i="1"/>
  <c r="AI1789" i="1"/>
  <c r="AW1789" i="1" s="1"/>
  <c r="AI1790" i="1"/>
  <c r="AI1791" i="1"/>
  <c r="AI1792" i="1"/>
  <c r="AI1793" i="1"/>
  <c r="AW1793" i="1" s="1"/>
  <c r="AI1794" i="1"/>
  <c r="AI1795" i="1"/>
  <c r="AI1796" i="1"/>
  <c r="AI1797" i="1"/>
  <c r="AW1797" i="1" s="1"/>
  <c r="AI1798" i="1"/>
  <c r="AI1799" i="1"/>
  <c r="AI1800" i="1"/>
  <c r="AI1801" i="1"/>
  <c r="AW1801" i="1" s="1"/>
  <c r="AI1802" i="1"/>
  <c r="AI1803" i="1"/>
  <c r="AI1804" i="1"/>
  <c r="AI1805" i="1"/>
  <c r="AW1805" i="1" s="1"/>
  <c r="AI1806" i="1"/>
  <c r="AI1807" i="1"/>
  <c r="AI1808" i="1"/>
  <c r="AI1809" i="1"/>
  <c r="AW1809" i="1" s="1"/>
  <c r="AI1810" i="1"/>
  <c r="AI1811" i="1"/>
  <c r="AI1812" i="1"/>
  <c r="AI1813" i="1"/>
  <c r="AW1813" i="1" s="1"/>
  <c r="AI1814" i="1"/>
  <c r="AI1815" i="1"/>
  <c r="AI1816" i="1"/>
  <c r="AI1817" i="1"/>
  <c r="AW1817" i="1" s="1"/>
  <c r="AI1818" i="1"/>
  <c r="AI1819" i="1"/>
  <c r="AI1820" i="1"/>
  <c r="AI1821" i="1"/>
  <c r="AW1821" i="1" s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F1757" i="1"/>
  <c r="AX1757" i="1" s="1"/>
  <c r="AF1758" i="1"/>
  <c r="AX1758" i="1" s="1"/>
  <c r="AF1759" i="1"/>
  <c r="AX1759" i="1" s="1"/>
  <c r="AF1760" i="1"/>
  <c r="AX1760" i="1" s="1"/>
  <c r="AF1761" i="1"/>
  <c r="AX1761" i="1" s="1"/>
  <c r="AF1762" i="1"/>
  <c r="AX1762" i="1" s="1"/>
  <c r="AF1763" i="1"/>
  <c r="AX1763" i="1" s="1"/>
  <c r="AF1764" i="1"/>
  <c r="AX1764" i="1" s="1"/>
  <c r="AF1765" i="1"/>
  <c r="AX1765" i="1" s="1"/>
  <c r="AF1766" i="1"/>
  <c r="AX1766" i="1" s="1"/>
  <c r="AF1767" i="1"/>
  <c r="AX1767" i="1" s="1"/>
  <c r="AF1768" i="1"/>
  <c r="AX1768" i="1" s="1"/>
  <c r="AF1769" i="1"/>
  <c r="AX1769" i="1" s="1"/>
  <c r="AF1770" i="1"/>
  <c r="AX1770" i="1" s="1"/>
  <c r="AF1771" i="1"/>
  <c r="AX1771" i="1" s="1"/>
  <c r="AF1772" i="1"/>
  <c r="AX1772" i="1" s="1"/>
  <c r="AF1773" i="1"/>
  <c r="AX1773" i="1" s="1"/>
  <c r="AF1774" i="1"/>
  <c r="AX1774" i="1" s="1"/>
  <c r="AF1775" i="1"/>
  <c r="AX1775" i="1" s="1"/>
  <c r="AF1776" i="1"/>
  <c r="AX1776" i="1" s="1"/>
  <c r="AF1777" i="1"/>
  <c r="AX1777" i="1" s="1"/>
  <c r="AF1778" i="1"/>
  <c r="AX1778" i="1" s="1"/>
  <c r="AF1779" i="1"/>
  <c r="AX1779" i="1" s="1"/>
  <c r="AF1780" i="1"/>
  <c r="AX1780" i="1" s="1"/>
  <c r="AF1781" i="1"/>
  <c r="AX1781" i="1" s="1"/>
  <c r="AF1782" i="1"/>
  <c r="AX1782" i="1" s="1"/>
  <c r="AF1783" i="1"/>
  <c r="AX1783" i="1" s="1"/>
  <c r="AF1784" i="1"/>
  <c r="AX1784" i="1" s="1"/>
  <c r="AF1785" i="1"/>
  <c r="AX1785" i="1" s="1"/>
  <c r="AF1786" i="1"/>
  <c r="AX1786" i="1" s="1"/>
  <c r="AF1787" i="1"/>
  <c r="AX1787" i="1" s="1"/>
  <c r="AF1788" i="1"/>
  <c r="AX1788" i="1" s="1"/>
  <c r="AF1789" i="1"/>
  <c r="AX1789" i="1" s="1"/>
  <c r="AF1790" i="1"/>
  <c r="AX1790" i="1" s="1"/>
  <c r="AF1791" i="1"/>
  <c r="AX1791" i="1" s="1"/>
  <c r="AF1792" i="1"/>
  <c r="AX1792" i="1" s="1"/>
  <c r="AF1793" i="1"/>
  <c r="AX1793" i="1" s="1"/>
  <c r="AF1794" i="1"/>
  <c r="AX1794" i="1" s="1"/>
  <c r="AF1795" i="1"/>
  <c r="AX1795" i="1" s="1"/>
  <c r="AF1796" i="1"/>
  <c r="AX1796" i="1" s="1"/>
  <c r="AF1797" i="1"/>
  <c r="AX1797" i="1" s="1"/>
  <c r="AF1798" i="1"/>
  <c r="AX1798" i="1" s="1"/>
  <c r="AF1799" i="1"/>
  <c r="AX1799" i="1" s="1"/>
  <c r="AF1800" i="1"/>
  <c r="AX1800" i="1" s="1"/>
  <c r="AF1801" i="1"/>
  <c r="AX1801" i="1" s="1"/>
  <c r="AF1802" i="1"/>
  <c r="AX1802" i="1" s="1"/>
  <c r="AF1803" i="1"/>
  <c r="AX1803" i="1" s="1"/>
  <c r="AF1804" i="1"/>
  <c r="AX1804" i="1" s="1"/>
  <c r="AF1805" i="1"/>
  <c r="AX1805" i="1" s="1"/>
  <c r="AF1806" i="1"/>
  <c r="AX1806" i="1" s="1"/>
  <c r="AF1807" i="1"/>
  <c r="AX1807" i="1" s="1"/>
  <c r="AF1808" i="1"/>
  <c r="AX1808" i="1" s="1"/>
  <c r="AF1809" i="1"/>
  <c r="AX1809" i="1" s="1"/>
  <c r="AF1810" i="1"/>
  <c r="AX1810" i="1" s="1"/>
  <c r="AF1811" i="1"/>
  <c r="AX1811" i="1" s="1"/>
  <c r="AF1812" i="1"/>
  <c r="AX1812" i="1" s="1"/>
  <c r="AF1813" i="1"/>
  <c r="AX1813" i="1" s="1"/>
  <c r="AF1814" i="1"/>
  <c r="AX1814" i="1" s="1"/>
  <c r="AF1815" i="1"/>
  <c r="AX1815" i="1" s="1"/>
  <c r="AF1816" i="1"/>
  <c r="AX1816" i="1" s="1"/>
  <c r="AF1817" i="1"/>
  <c r="AX1817" i="1" s="1"/>
  <c r="AF1818" i="1"/>
  <c r="AX1818" i="1" s="1"/>
  <c r="AF1819" i="1"/>
  <c r="AX1819" i="1" s="1"/>
  <c r="AF1820" i="1"/>
  <c r="AX1820" i="1" s="1"/>
  <c r="AF1821" i="1"/>
  <c r="AX1821" i="1" s="1"/>
  <c r="AF1822" i="1"/>
  <c r="AX1822" i="1" s="1"/>
  <c r="AF1823" i="1"/>
  <c r="AX1823" i="1" s="1"/>
  <c r="AF1824" i="1"/>
  <c r="AX1824" i="1" s="1"/>
  <c r="AF1825" i="1"/>
  <c r="AX1825" i="1" s="1"/>
  <c r="AF1826" i="1"/>
  <c r="AX1826" i="1" s="1"/>
  <c r="AF1827" i="1"/>
  <c r="AX1827" i="1" s="1"/>
  <c r="AF1828" i="1"/>
  <c r="AX1828" i="1" s="1"/>
  <c r="AF1829" i="1"/>
  <c r="AX1829" i="1" s="1"/>
  <c r="AF1830" i="1"/>
  <c r="AX1830" i="1" s="1"/>
  <c r="AF1831" i="1"/>
  <c r="AX1831" i="1" s="1"/>
  <c r="AF1832" i="1"/>
  <c r="AX1832" i="1" s="1"/>
  <c r="AF1833" i="1"/>
  <c r="AX1833" i="1" s="1"/>
  <c r="AF1834" i="1"/>
  <c r="AX1834" i="1" s="1"/>
  <c r="AF1835" i="1"/>
  <c r="AX1835" i="1" s="1"/>
  <c r="AF1836" i="1"/>
  <c r="AX1836" i="1" s="1"/>
  <c r="AF1837" i="1"/>
  <c r="AX1837" i="1" s="1"/>
  <c r="AF1838" i="1"/>
  <c r="AX1838" i="1" s="1"/>
  <c r="AF1839" i="1"/>
  <c r="AX1839" i="1" s="1"/>
  <c r="AF1840" i="1"/>
  <c r="AX1840" i="1" s="1"/>
  <c r="AF1841" i="1"/>
  <c r="AX1841" i="1" s="1"/>
  <c r="AF1842" i="1"/>
  <c r="AX1842" i="1" s="1"/>
  <c r="AF1843" i="1"/>
  <c r="AX1843" i="1" s="1"/>
  <c r="AF1844" i="1"/>
  <c r="AX1844" i="1" s="1"/>
  <c r="AF1845" i="1"/>
  <c r="AX1845" i="1" s="1"/>
  <c r="AF1846" i="1"/>
  <c r="AX1846" i="1" s="1"/>
  <c r="AF1847" i="1"/>
  <c r="AX1847" i="1" s="1"/>
  <c r="AF1848" i="1"/>
  <c r="AX1848" i="1" s="1"/>
  <c r="AF1849" i="1"/>
  <c r="AX1849" i="1" s="1"/>
  <c r="AF1850" i="1"/>
  <c r="AX1850" i="1" s="1"/>
  <c r="AF1851" i="1"/>
  <c r="AX1851" i="1" s="1"/>
  <c r="AF1852" i="1"/>
  <c r="AX1852" i="1" s="1"/>
  <c r="AF1853" i="1"/>
  <c r="AX1853" i="1" s="1"/>
  <c r="AF1854" i="1"/>
  <c r="AX1854" i="1" s="1"/>
  <c r="AF1855" i="1"/>
  <c r="AX1855" i="1" s="1"/>
  <c r="AF1856" i="1"/>
  <c r="AX1856" i="1" s="1"/>
  <c r="AF1857" i="1"/>
  <c r="AX1857" i="1" s="1"/>
  <c r="AF1858" i="1"/>
  <c r="AX1858" i="1" s="1"/>
  <c r="AF1859" i="1"/>
  <c r="AX1859" i="1" s="1"/>
  <c r="AF1860" i="1"/>
  <c r="AX1860" i="1" s="1"/>
  <c r="AF1861" i="1"/>
  <c r="AX1861" i="1" s="1"/>
  <c r="AF1862" i="1"/>
  <c r="AX1862" i="1" s="1"/>
  <c r="AF1863" i="1"/>
  <c r="AX1863" i="1" s="1"/>
  <c r="AF1864" i="1"/>
  <c r="AX1864" i="1" s="1"/>
  <c r="AF1865" i="1"/>
  <c r="AX1865" i="1" s="1"/>
  <c r="AF1866" i="1"/>
  <c r="AX1866" i="1" s="1"/>
  <c r="AF1867" i="1"/>
  <c r="AX1867" i="1" s="1"/>
  <c r="AF1868" i="1"/>
  <c r="AX1868" i="1" s="1"/>
  <c r="AF1869" i="1"/>
  <c r="AX1869" i="1" s="1"/>
  <c r="AF1870" i="1"/>
  <c r="AX1870" i="1" s="1"/>
  <c r="AF1871" i="1"/>
  <c r="AX1871" i="1" s="1"/>
  <c r="AF1872" i="1"/>
  <c r="AX1872" i="1" s="1"/>
  <c r="AF1873" i="1"/>
  <c r="AX1873" i="1" s="1"/>
  <c r="AF1874" i="1"/>
  <c r="AX1874" i="1" s="1"/>
  <c r="AF1875" i="1"/>
  <c r="AX1875" i="1" s="1"/>
  <c r="AF1876" i="1"/>
  <c r="AX1876" i="1" s="1"/>
  <c r="AF1877" i="1"/>
  <c r="AX1877" i="1" s="1"/>
  <c r="AF1878" i="1"/>
  <c r="AX1878" i="1" s="1"/>
  <c r="AF1879" i="1"/>
  <c r="AX1879" i="1" s="1"/>
  <c r="AF1880" i="1"/>
  <c r="AX1880" i="1" s="1"/>
  <c r="AF1881" i="1"/>
  <c r="AX1881" i="1" s="1"/>
  <c r="AF1882" i="1"/>
  <c r="AX1882" i="1" s="1"/>
  <c r="AF1883" i="1"/>
  <c r="AX1883" i="1" s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AB1805" i="1"/>
  <c r="AB1806" i="1"/>
  <c r="AB1807" i="1"/>
  <c r="AB1808" i="1"/>
  <c r="AB1809" i="1"/>
  <c r="AB1810" i="1"/>
  <c r="AB1811" i="1"/>
  <c r="AB1812" i="1"/>
  <c r="AB1813" i="1"/>
  <c r="AB1814" i="1"/>
  <c r="AB1815" i="1"/>
  <c r="AB1816" i="1"/>
  <c r="AB1817" i="1"/>
  <c r="AB1818" i="1"/>
  <c r="AB1819" i="1"/>
  <c r="AB1820" i="1"/>
  <c r="AB1821" i="1"/>
  <c r="AB1822" i="1"/>
  <c r="AB1823" i="1"/>
  <c r="AB1824" i="1"/>
  <c r="AB1825" i="1"/>
  <c r="AB1826" i="1"/>
  <c r="AB1827" i="1"/>
  <c r="AB1828" i="1"/>
  <c r="AB1829" i="1"/>
  <c r="AB1830" i="1"/>
  <c r="AB1831" i="1"/>
  <c r="AB1832" i="1"/>
  <c r="AB1833" i="1"/>
  <c r="AB1834" i="1"/>
  <c r="AB1835" i="1"/>
  <c r="AB1836" i="1"/>
  <c r="AB1837" i="1"/>
  <c r="AB1838" i="1"/>
  <c r="AB1839" i="1"/>
  <c r="AB1840" i="1"/>
  <c r="AB1841" i="1"/>
  <c r="AB1842" i="1"/>
  <c r="AB1843" i="1"/>
  <c r="AB1844" i="1"/>
  <c r="AB1845" i="1"/>
  <c r="AB1846" i="1"/>
  <c r="AB1847" i="1"/>
  <c r="AB1848" i="1"/>
  <c r="AB1849" i="1"/>
  <c r="AB1850" i="1"/>
  <c r="AB1851" i="1"/>
  <c r="AB1852" i="1"/>
  <c r="AB1853" i="1"/>
  <c r="AB1854" i="1"/>
  <c r="AB1855" i="1"/>
  <c r="AB1856" i="1"/>
  <c r="AB1857" i="1"/>
  <c r="AB1858" i="1"/>
  <c r="AB1859" i="1"/>
  <c r="AB1860" i="1"/>
  <c r="AB1861" i="1"/>
  <c r="AB1862" i="1"/>
  <c r="AB1863" i="1"/>
  <c r="AB1864" i="1"/>
  <c r="AB1865" i="1"/>
  <c r="AB1866" i="1"/>
  <c r="AB1867" i="1"/>
  <c r="AB1868" i="1"/>
  <c r="AB1869" i="1"/>
  <c r="AB1870" i="1"/>
  <c r="AB1871" i="1"/>
  <c r="AB1872" i="1"/>
  <c r="AB1873" i="1"/>
  <c r="AB1874" i="1"/>
  <c r="AB1875" i="1"/>
  <c r="AB1876" i="1"/>
  <c r="AB1877" i="1"/>
  <c r="AB1878" i="1"/>
  <c r="AB1879" i="1"/>
  <c r="AB1880" i="1"/>
  <c r="AB1881" i="1"/>
  <c r="AB1882" i="1"/>
  <c r="AB1883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W1841" i="1" l="1"/>
  <c r="AW1837" i="1"/>
  <c r="AW1833" i="1"/>
  <c r="AW1829" i="1"/>
  <c r="AW1825" i="1"/>
  <c r="AZ1675" i="1"/>
  <c r="AZ1367" i="1"/>
  <c r="AZ1251" i="1"/>
  <c r="AZ647" i="1"/>
  <c r="AZ27" i="1"/>
  <c r="AZ1474" i="1"/>
  <c r="BJ1474" i="1" s="1"/>
  <c r="AZ1430" i="1"/>
  <c r="AZ151" i="1"/>
  <c r="BJ151" i="1" s="1"/>
  <c r="AZ1390" i="1"/>
  <c r="AZ318" i="1"/>
  <c r="BJ318" i="1" s="1"/>
  <c r="AZ1649" i="1"/>
  <c r="BJ1649" i="1" s="1"/>
  <c r="AZ1429" i="1"/>
  <c r="AZ1513" i="1"/>
  <c r="AZ433" i="1"/>
  <c r="AZ389" i="1"/>
  <c r="AZ201" i="1"/>
  <c r="AZ1659" i="1"/>
  <c r="AZ1351" i="1"/>
  <c r="AZ1235" i="1"/>
  <c r="AZ631" i="1"/>
  <c r="AZ1726" i="1"/>
  <c r="AZ1458" i="1"/>
  <c r="AZ1418" i="1"/>
  <c r="AZ119" i="1"/>
  <c r="BJ119" i="1" s="1"/>
  <c r="AZ1370" i="1"/>
  <c r="BJ1370" i="1" s="1"/>
  <c r="AZ302" i="1"/>
  <c r="AZ1617" i="1"/>
  <c r="BJ1617" i="1" s="1"/>
  <c r="AZ1413" i="1"/>
  <c r="AZ1497" i="1"/>
  <c r="AZ417" i="1"/>
  <c r="AZ373" i="1"/>
  <c r="AZ185" i="1"/>
  <c r="AZ1588" i="1"/>
  <c r="AZ1080" i="1"/>
  <c r="AZ1020" i="1"/>
  <c r="AZ1536" i="1"/>
  <c r="BJ1536" i="1" s="1"/>
  <c r="AZ548" i="1"/>
  <c r="BJ548" i="1" s="1"/>
  <c r="AZ1583" i="1"/>
  <c r="AZ939" i="1"/>
  <c r="AZ1331" i="1"/>
  <c r="BJ1331" i="1" s="1"/>
  <c r="AZ747" i="1"/>
  <c r="AZ495" i="1"/>
  <c r="AZ435" i="1"/>
  <c r="AZ1186" i="1"/>
  <c r="AZ1126" i="1"/>
  <c r="AZ922" i="1"/>
  <c r="AZ1501" i="1"/>
  <c r="BJ1501" i="1" s="1"/>
  <c r="AZ450" i="1"/>
  <c r="AZ830" i="1"/>
  <c r="AZ1341" i="1"/>
  <c r="AZ1101" i="1"/>
  <c r="AZ889" i="1"/>
  <c r="AZ717" i="1"/>
  <c r="AZ1647" i="1"/>
  <c r="AZ987" i="1"/>
  <c r="BJ987" i="1" s="1"/>
  <c r="AZ787" i="1"/>
  <c r="AZ199" i="1"/>
  <c r="AZ559" i="1"/>
  <c r="BJ559" i="1" s="1"/>
  <c r="AZ483" i="1"/>
  <c r="AZ1266" i="1"/>
  <c r="AZ1174" i="1"/>
  <c r="AZ970" i="1"/>
  <c r="AZ1549" i="1"/>
  <c r="AZ574" i="1"/>
  <c r="BJ574" i="1" s="1"/>
  <c r="AZ1006" i="1"/>
  <c r="AZ1097" i="1"/>
  <c r="BJ1097" i="1" s="1"/>
  <c r="AZ1169" i="1"/>
  <c r="BJ1169" i="1" s="1"/>
  <c r="AZ937" i="1"/>
  <c r="AZ781" i="1"/>
  <c r="AZ1624" i="1"/>
  <c r="AZ1392" i="1"/>
  <c r="BJ1392" i="1" s="1"/>
  <c r="AZ1104" i="1"/>
  <c r="BJ1104" i="1" s="1"/>
  <c r="AZ125" i="1"/>
  <c r="BJ125" i="1" s="1"/>
  <c r="AZ580" i="1"/>
  <c r="BJ580" i="1" s="1"/>
  <c r="AZ1308" i="1"/>
  <c r="AZ460" i="1"/>
  <c r="AZ308" i="1"/>
  <c r="BJ308" i="1" s="1"/>
  <c r="AZ1695" i="1"/>
  <c r="AZ1035" i="1"/>
  <c r="AZ835" i="1"/>
  <c r="AZ247" i="1"/>
  <c r="AZ623" i="1"/>
  <c r="BJ623" i="1" s="1"/>
  <c r="AZ531" i="1"/>
  <c r="AZ1330" i="1"/>
  <c r="BJ1330" i="1" s="1"/>
  <c r="AZ1238" i="1"/>
  <c r="AZ1018" i="1"/>
  <c r="AZ1613" i="1"/>
  <c r="AZ638" i="1"/>
  <c r="AZ1118" i="1"/>
  <c r="BJ1118" i="1" s="1"/>
  <c r="AZ1161" i="1"/>
  <c r="BJ1161" i="1" s="1"/>
  <c r="AZ1373" i="1"/>
  <c r="AZ1001" i="1"/>
  <c r="AZ861" i="1"/>
  <c r="AZ1679" i="1"/>
  <c r="BJ1679" i="1" s="1"/>
  <c r="AZ1019" i="1"/>
  <c r="AZ819" i="1"/>
  <c r="BJ819" i="1" s="1"/>
  <c r="AZ231" i="1"/>
  <c r="AZ607" i="1"/>
  <c r="BJ607" i="1" s="1"/>
  <c r="AZ515" i="1"/>
  <c r="BJ515" i="1" s="1"/>
  <c r="AZ1314" i="1"/>
  <c r="AZ1222" i="1"/>
  <c r="AZ1002" i="1"/>
  <c r="AZ1597" i="1"/>
  <c r="AZ622" i="1"/>
  <c r="AZ1070" i="1"/>
  <c r="AZ1145" i="1"/>
  <c r="AZ1293" i="1"/>
  <c r="AZ985" i="1"/>
  <c r="AZ845" i="1"/>
  <c r="AZ1220" i="1"/>
  <c r="AZ744" i="1"/>
  <c r="BJ744" i="1" s="1"/>
  <c r="AZ1676" i="1"/>
  <c r="AZ1088" i="1"/>
  <c r="AZ32" i="1"/>
  <c r="AZ1475" i="1"/>
  <c r="AZ1119" i="1"/>
  <c r="BJ1119" i="1" s="1"/>
  <c r="AZ951" i="1"/>
  <c r="AZ395" i="1"/>
  <c r="AZ127" i="1"/>
  <c r="BJ127" i="1" s="1"/>
  <c r="AZ83" i="1"/>
  <c r="AZ834" i="1"/>
  <c r="AZ678" i="1"/>
  <c r="BJ678" i="1" s="1"/>
  <c r="AZ570" i="1"/>
  <c r="BJ570" i="1" s="1"/>
  <c r="AZ242" i="1"/>
  <c r="BJ242" i="1" s="1"/>
  <c r="AZ86" i="1"/>
  <c r="AZ234" i="1"/>
  <c r="BJ234" i="1" s="1"/>
  <c r="AZ785" i="1"/>
  <c r="AZ725" i="1"/>
  <c r="AZ553" i="1"/>
  <c r="BJ553" i="1" s="1"/>
  <c r="AZ333" i="1"/>
  <c r="AZ1555" i="1"/>
  <c r="AZ1215" i="1"/>
  <c r="BJ1215" i="1" s="1"/>
  <c r="AZ1015" i="1"/>
  <c r="AZ443" i="1"/>
  <c r="AZ223" i="1"/>
  <c r="AZ147" i="1"/>
  <c r="AZ882" i="1"/>
  <c r="BJ882" i="1" s="1"/>
  <c r="AZ742" i="1"/>
  <c r="AZ634" i="1"/>
  <c r="AZ290" i="1"/>
  <c r="AZ150" i="1"/>
  <c r="BJ150" i="1" s="1"/>
  <c r="AZ282" i="1"/>
  <c r="AZ833" i="1"/>
  <c r="AZ773" i="1"/>
  <c r="AZ601" i="1"/>
  <c r="BJ601" i="1" s="1"/>
  <c r="AZ397" i="1"/>
  <c r="AZ1528" i="1"/>
  <c r="BJ1528" i="1" s="1"/>
  <c r="AZ360" i="1"/>
  <c r="BJ360" i="1" s="1"/>
  <c r="AZ1228" i="1"/>
  <c r="AZ624" i="1"/>
  <c r="BJ624" i="1" s="1"/>
  <c r="AZ632" i="1"/>
  <c r="AZ912" i="1"/>
  <c r="AZ144" i="1"/>
  <c r="AZ1476" i="1"/>
  <c r="BJ1476" i="1" s="1"/>
  <c r="AZ908" i="1"/>
  <c r="AZ500" i="1"/>
  <c r="AZ884" i="1"/>
  <c r="AZ1432" i="1"/>
  <c r="AZ221" i="1"/>
  <c r="AZ740" i="1"/>
  <c r="AZ256" i="1"/>
  <c r="AZ664" i="1"/>
  <c r="AZ944" i="1"/>
  <c r="AZ164" i="1"/>
  <c r="AZ280" i="1"/>
  <c r="AZ1524" i="1"/>
  <c r="BJ1524" i="1" s="1"/>
  <c r="AZ752" i="1"/>
  <c r="AZ364" i="1"/>
  <c r="AZ1164" i="1"/>
  <c r="BJ1164" i="1" s="1"/>
  <c r="AZ268" i="1"/>
  <c r="AZ1612" i="1"/>
  <c r="AZ288" i="1"/>
  <c r="BJ288" i="1" s="1"/>
  <c r="AZ1004" i="1"/>
  <c r="BJ1004" i="1" s="1"/>
  <c r="AZ84" i="1"/>
  <c r="AZ1615" i="1"/>
  <c r="BJ1615" i="1" s="1"/>
  <c r="AZ971" i="1"/>
  <c r="AZ1371" i="1"/>
  <c r="BJ1371" i="1" s="1"/>
  <c r="AZ167" i="1"/>
  <c r="AZ527" i="1"/>
  <c r="BJ527" i="1" s="1"/>
  <c r="AZ467" i="1"/>
  <c r="AZ1234" i="1"/>
  <c r="AZ1158" i="1"/>
  <c r="AZ954" i="1"/>
  <c r="AZ1533" i="1"/>
  <c r="AZ490" i="1"/>
  <c r="AZ910" i="1"/>
  <c r="AZ1421" i="1"/>
  <c r="AZ1153" i="1"/>
  <c r="AZ921" i="1"/>
  <c r="AZ749" i="1"/>
  <c r="AZ1599" i="1"/>
  <c r="AZ955" i="1"/>
  <c r="BJ955" i="1" s="1"/>
  <c r="AZ1339" i="1"/>
  <c r="AZ779" i="1"/>
  <c r="AZ511" i="1"/>
  <c r="BJ511" i="1" s="1"/>
  <c r="AZ451" i="1"/>
  <c r="AZ1218" i="1"/>
  <c r="AZ1142" i="1"/>
  <c r="BJ1142" i="1" s="1"/>
  <c r="AZ938" i="1"/>
  <c r="AZ1517" i="1"/>
  <c r="AZ478" i="1"/>
  <c r="AZ862" i="1"/>
  <c r="AZ1389" i="1"/>
  <c r="AZ1137" i="1"/>
  <c r="BJ1137" i="1" s="1"/>
  <c r="AZ905" i="1"/>
  <c r="AZ733" i="1"/>
  <c r="AZ1108" i="1"/>
  <c r="AZ680" i="1"/>
  <c r="BJ680" i="1" s="1"/>
  <c r="AZ1596" i="1"/>
  <c r="AZ976" i="1"/>
  <c r="AZ396" i="1"/>
  <c r="AZ1687" i="1"/>
  <c r="AZ1023" i="1"/>
  <c r="AZ887" i="1"/>
  <c r="AZ299" i="1"/>
  <c r="AZ31" i="1"/>
  <c r="AZ1718" i="1"/>
  <c r="AZ770" i="1"/>
  <c r="AZ598" i="1"/>
  <c r="AZ926" i="1"/>
  <c r="AZ178" i="1"/>
  <c r="BJ178" i="1" s="1"/>
  <c r="AZ1701" i="1"/>
  <c r="AZ170" i="1"/>
  <c r="BJ170" i="1" s="1"/>
  <c r="AZ705" i="1"/>
  <c r="AZ645" i="1"/>
  <c r="AZ457" i="1"/>
  <c r="AZ269" i="1"/>
  <c r="AZ1443" i="1"/>
  <c r="AZ1103" i="1"/>
  <c r="AZ935" i="1"/>
  <c r="AZ363" i="1"/>
  <c r="AZ111" i="1"/>
  <c r="BJ111" i="1" s="1"/>
  <c r="AZ51" i="1"/>
  <c r="AZ818" i="1"/>
  <c r="BJ818" i="1" s="1"/>
  <c r="AZ662" i="1"/>
  <c r="AZ554" i="1"/>
  <c r="AZ226" i="1"/>
  <c r="AZ70" i="1"/>
  <c r="AZ218" i="1"/>
  <c r="AZ769" i="1"/>
  <c r="AZ693" i="1"/>
  <c r="AZ521" i="1"/>
  <c r="AZ317" i="1"/>
  <c r="AZ1448" i="1"/>
  <c r="BJ1448" i="1" s="1"/>
  <c r="AZ1052" i="1"/>
  <c r="AZ528" i="1"/>
  <c r="BJ528" i="1" s="1"/>
  <c r="AZ468" i="1"/>
  <c r="AZ296" i="1"/>
  <c r="AZ636" i="1"/>
  <c r="AZ240" i="1"/>
  <c r="AZ520" i="1"/>
  <c r="AZ20" i="1"/>
  <c r="AZ1479" i="1"/>
  <c r="AZ1315" i="1"/>
  <c r="BJ1315" i="1" s="1"/>
  <c r="AZ711" i="1"/>
  <c r="AZ139" i="1"/>
  <c r="AZ1570" i="1"/>
  <c r="AZ1514" i="1"/>
  <c r="AZ578" i="1"/>
  <c r="BJ578" i="1" s="1"/>
  <c r="AZ1502" i="1"/>
  <c r="BJ1502" i="1" s="1"/>
  <c r="AZ398" i="1"/>
  <c r="AZ1713" i="1"/>
  <c r="BJ1713" i="1" s="1"/>
  <c r="AZ1509" i="1"/>
  <c r="AZ1609" i="1"/>
  <c r="BJ1609" i="1" s="1"/>
  <c r="AZ529" i="1"/>
  <c r="BJ529" i="1" s="1"/>
  <c r="AZ453" i="1"/>
  <c r="AZ265" i="1"/>
  <c r="AZ1723" i="1"/>
  <c r="AZ1447" i="1"/>
  <c r="BJ1447" i="1" s="1"/>
  <c r="AZ1299" i="1"/>
  <c r="BJ1299" i="1" s="1"/>
  <c r="AZ695" i="1"/>
  <c r="AZ123" i="1"/>
  <c r="AZ1554" i="1"/>
  <c r="BJ1554" i="1" s="1"/>
  <c r="AZ1494" i="1"/>
  <c r="BJ1494" i="1" s="1"/>
  <c r="AZ562" i="1"/>
  <c r="BJ562" i="1" s="1"/>
  <c r="AZ1470" i="1"/>
  <c r="AZ366" i="1"/>
  <c r="AZ1697" i="1"/>
  <c r="BJ1697" i="1" s="1"/>
  <c r="AZ1493" i="1"/>
  <c r="BJ1493" i="1" s="1"/>
  <c r="AZ481" i="1"/>
  <c r="AZ437" i="1"/>
  <c r="AZ249" i="1"/>
  <c r="AZ1192" i="1"/>
  <c r="AZ1600" i="1"/>
  <c r="AZ1003" i="1"/>
  <c r="BJ1003" i="1" s="1"/>
  <c r="AZ215" i="1"/>
  <c r="AZ1298" i="1"/>
  <c r="BJ1298" i="1" s="1"/>
  <c r="AZ986" i="1"/>
  <c r="BJ986" i="1" s="1"/>
  <c r="AZ606" i="1"/>
  <c r="BJ606" i="1" s="1"/>
  <c r="AZ1217" i="1"/>
  <c r="AZ829" i="1"/>
  <c r="AZ1051" i="1"/>
  <c r="AZ639" i="1"/>
  <c r="AZ1346" i="1"/>
  <c r="BJ1346" i="1" s="1"/>
  <c r="AZ1645" i="1"/>
  <c r="AZ1045" i="1"/>
  <c r="AZ113" i="1"/>
  <c r="BJ113" i="1" s="1"/>
  <c r="AZ1268" i="1"/>
  <c r="AZ1708" i="1"/>
  <c r="AZ1496" i="1"/>
  <c r="AZ48" i="1"/>
  <c r="AZ1072" i="1"/>
  <c r="AZ1620" i="1"/>
  <c r="AZ68" i="1"/>
  <c r="AZ1260" i="1"/>
  <c r="AZ304" i="1"/>
  <c r="AZ760" i="1"/>
  <c r="AZ1144" i="1"/>
  <c r="AZ1608" i="1"/>
  <c r="BJ1608" i="1" s="1"/>
  <c r="AZ916" i="1"/>
  <c r="AZ1403" i="1"/>
  <c r="BJ1403" i="1" s="1"/>
  <c r="AZ1099" i="1"/>
  <c r="BJ1099" i="1" s="1"/>
  <c r="AZ899" i="1"/>
  <c r="AZ327" i="1"/>
  <c r="AZ687" i="1"/>
  <c r="AZ611" i="1"/>
  <c r="BJ611" i="1" s="1"/>
  <c r="AZ1466" i="1"/>
  <c r="BJ1466" i="1" s="1"/>
  <c r="AZ1302" i="1"/>
  <c r="BJ1302" i="1" s="1"/>
  <c r="AZ1098" i="1"/>
  <c r="BJ1098" i="1" s="1"/>
  <c r="AZ1693" i="1"/>
  <c r="AZ1265" i="1"/>
  <c r="AZ1109" i="1"/>
  <c r="AZ1257" i="1"/>
  <c r="AZ177" i="1"/>
  <c r="BJ177" i="1" s="1"/>
  <c r="AZ1085" i="1"/>
  <c r="AZ925" i="1"/>
  <c r="AZ1387" i="1"/>
  <c r="AZ1083" i="1"/>
  <c r="AZ883" i="1"/>
  <c r="AZ311" i="1"/>
  <c r="AZ671" i="1"/>
  <c r="AZ595" i="1"/>
  <c r="BJ595" i="1" s="1"/>
  <c r="AZ1386" i="1"/>
  <c r="AZ1286" i="1"/>
  <c r="AZ1066" i="1"/>
  <c r="AZ1677" i="1"/>
  <c r="AZ894" i="1"/>
  <c r="AZ1093" i="1"/>
  <c r="AZ1241" i="1"/>
  <c r="AZ145" i="1"/>
  <c r="AZ1073" i="1"/>
  <c r="AZ909" i="1"/>
  <c r="AZ1300" i="1"/>
  <c r="BJ1300" i="1" s="1"/>
  <c r="AZ808" i="1"/>
  <c r="AZ29" i="1"/>
  <c r="AZ1168" i="1"/>
  <c r="AZ204" i="1"/>
  <c r="AZ1571" i="1"/>
  <c r="BJ1571" i="1" s="1"/>
  <c r="AZ1231" i="1"/>
  <c r="AZ1031" i="1"/>
  <c r="AZ459" i="1"/>
  <c r="AZ239" i="1"/>
  <c r="AZ163" i="1"/>
  <c r="AZ898" i="1"/>
  <c r="AZ806" i="1"/>
  <c r="AZ666" i="1"/>
  <c r="AZ306" i="1"/>
  <c r="AZ182" i="1"/>
  <c r="AZ298" i="1"/>
  <c r="AZ849" i="1"/>
  <c r="AZ789" i="1"/>
  <c r="AZ633" i="1"/>
  <c r="AZ413" i="1"/>
  <c r="AZ1635" i="1"/>
  <c r="BJ1635" i="1" s="1"/>
  <c r="AZ1279" i="1"/>
  <c r="BJ1279" i="1" s="1"/>
  <c r="AZ1079" i="1"/>
  <c r="AZ507" i="1"/>
  <c r="BJ507" i="1" s="1"/>
  <c r="AZ287" i="1"/>
  <c r="BJ287" i="1" s="1"/>
  <c r="AZ211" i="1"/>
  <c r="AZ962" i="1"/>
  <c r="AZ886" i="1"/>
  <c r="BJ886" i="1" s="1"/>
  <c r="AZ714" i="1"/>
  <c r="AZ370" i="1"/>
  <c r="BJ370" i="1" s="1"/>
  <c r="AZ230" i="1"/>
  <c r="AZ362" i="1"/>
  <c r="AZ913" i="1"/>
  <c r="AZ837" i="1"/>
  <c r="AZ681" i="1"/>
  <c r="AZ461" i="1"/>
  <c r="AZ712" i="1"/>
  <c r="AZ220" i="1"/>
  <c r="AZ300" i="1"/>
  <c r="AZ600" i="1"/>
  <c r="BJ600" i="1" s="1"/>
  <c r="AZ80" i="1"/>
  <c r="AZ672" i="1"/>
  <c r="AZ792" i="1"/>
  <c r="AZ284" i="1"/>
  <c r="AZ1715" i="1"/>
  <c r="AZ1355" i="1"/>
  <c r="AZ1127" i="1"/>
  <c r="AZ555" i="1"/>
  <c r="AZ335" i="1"/>
  <c r="AZ259" i="1"/>
  <c r="AZ1010" i="1"/>
  <c r="AZ934" i="1"/>
  <c r="AZ762" i="1"/>
  <c r="AZ418" i="1"/>
  <c r="AZ278" i="1"/>
  <c r="AZ426" i="1"/>
  <c r="AZ977" i="1"/>
  <c r="AZ901" i="1"/>
  <c r="AZ729" i="1"/>
  <c r="AZ557" i="1"/>
  <c r="AZ1683" i="1"/>
  <c r="AZ1311" i="1"/>
  <c r="BJ1311" i="1" s="1"/>
  <c r="AZ1111" i="1"/>
  <c r="AZ539" i="1"/>
  <c r="BJ539" i="1" s="1"/>
  <c r="AZ319" i="1"/>
  <c r="BJ319" i="1" s="1"/>
  <c r="AZ243" i="1"/>
  <c r="AZ994" i="1"/>
  <c r="AZ918" i="1"/>
  <c r="AZ746" i="1"/>
  <c r="AZ402" i="1"/>
  <c r="AZ262" i="1"/>
  <c r="AZ410" i="1"/>
  <c r="AZ961" i="1"/>
  <c r="AZ885" i="1"/>
  <c r="BJ885" i="1" s="1"/>
  <c r="AZ713" i="1"/>
  <c r="AZ541" i="1"/>
  <c r="AZ1656" i="1"/>
  <c r="AZ456" i="1"/>
  <c r="AZ1356" i="1"/>
  <c r="AZ720" i="1"/>
  <c r="AZ1707" i="1"/>
  <c r="AZ1431" i="1"/>
  <c r="AZ1283" i="1"/>
  <c r="BJ1283" i="1" s="1"/>
  <c r="AZ679" i="1"/>
  <c r="BJ679" i="1" s="1"/>
  <c r="AZ107" i="1"/>
  <c r="AZ1538" i="1"/>
  <c r="AZ1482" i="1"/>
  <c r="BJ1482" i="1" s="1"/>
  <c r="AZ546" i="1"/>
  <c r="BJ546" i="1" s="1"/>
  <c r="AZ1450" i="1"/>
  <c r="AZ350" i="1"/>
  <c r="AZ1681" i="1"/>
  <c r="AZ1477" i="1"/>
  <c r="BJ1477" i="1" s="1"/>
  <c r="AZ1561" i="1"/>
  <c r="AZ465" i="1"/>
  <c r="AZ421" i="1"/>
  <c r="AZ233" i="1"/>
  <c r="AZ1652" i="1"/>
  <c r="AZ1495" i="1"/>
  <c r="AZ1363" i="1"/>
  <c r="AZ727" i="1"/>
  <c r="AZ155" i="1"/>
  <c r="AZ1586" i="1"/>
  <c r="AZ1546" i="1"/>
  <c r="BJ1546" i="1" s="1"/>
  <c r="AZ594" i="1"/>
  <c r="BJ594" i="1" s="1"/>
  <c r="AZ1562" i="1"/>
  <c r="AZ414" i="1"/>
  <c r="AZ1729" i="1"/>
  <c r="AZ1525" i="1"/>
  <c r="AZ1625" i="1"/>
  <c r="AZ545" i="1"/>
  <c r="BJ545" i="1" s="1"/>
  <c r="AZ469" i="1"/>
  <c r="AZ281" i="1"/>
  <c r="AZ1716" i="1"/>
  <c r="AZ1240" i="1"/>
  <c r="AZ1116" i="1"/>
  <c r="AZ1648" i="1"/>
  <c r="BJ1648" i="1" s="1"/>
  <c r="AZ836" i="1"/>
  <c r="AZ1100" i="1"/>
  <c r="AZ724" i="1"/>
  <c r="AZ140" i="1"/>
  <c r="AZ1640" i="1"/>
  <c r="BJ1640" i="1" s="1"/>
  <c r="AZ1340" i="1"/>
  <c r="AZ432" i="1"/>
  <c r="AZ340" i="1"/>
  <c r="AZ824" i="1"/>
  <c r="AZ1184" i="1"/>
  <c r="AZ292" i="1"/>
  <c r="AZ100" i="1"/>
  <c r="BJ100" i="1" s="1"/>
  <c r="AZ1132" i="1"/>
  <c r="AZ868" i="1"/>
  <c r="AZ192" i="1"/>
  <c r="AZ1452" i="1"/>
  <c r="AZ1672" i="1"/>
  <c r="AZ512" i="1"/>
  <c r="BJ512" i="1" s="1"/>
  <c r="AZ1348" i="1"/>
  <c r="AZ560" i="1"/>
  <c r="BJ560" i="1" s="1"/>
  <c r="AZ228" i="1"/>
  <c r="AZ992" i="1"/>
  <c r="AZ188" i="1"/>
  <c r="AZ1504" i="1"/>
  <c r="BJ1504" i="1" s="1"/>
  <c r="AZ372" i="1"/>
  <c r="BJ372" i="1" s="1"/>
  <c r="AZ1619" i="1"/>
  <c r="AZ1263" i="1"/>
  <c r="AZ1063" i="1"/>
  <c r="AZ491" i="1"/>
  <c r="AZ271" i="1"/>
  <c r="BJ271" i="1" s="1"/>
  <c r="AZ195" i="1"/>
  <c r="AZ946" i="1"/>
  <c r="AZ838" i="1"/>
  <c r="AZ698" i="1"/>
  <c r="AZ354" i="1"/>
  <c r="AZ214" i="1"/>
  <c r="AZ346" i="1"/>
  <c r="AZ897" i="1"/>
  <c r="AZ821" i="1"/>
  <c r="BJ821" i="1" s="1"/>
  <c r="AZ665" i="1"/>
  <c r="AZ445" i="1"/>
  <c r="AZ1587" i="1"/>
  <c r="AZ1247" i="1"/>
  <c r="AZ1047" i="1"/>
  <c r="AZ475" i="1"/>
  <c r="AZ255" i="1"/>
  <c r="AZ179" i="1"/>
  <c r="AZ914" i="1"/>
  <c r="AZ822" i="1"/>
  <c r="BJ822" i="1" s="1"/>
  <c r="AZ682" i="1"/>
  <c r="AZ338" i="1"/>
  <c r="AZ198" i="1"/>
  <c r="AZ314" i="1"/>
  <c r="BJ314" i="1" s="1"/>
  <c r="AZ865" i="1"/>
  <c r="AZ805" i="1"/>
  <c r="AZ649" i="1"/>
  <c r="AZ429" i="1"/>
  <c r="AZ1592" i="1"/>
  <c r="AZ392" i="1"/>
  <c r="AZ1292" i="1"/>
  <c r="AZ656" i="1"/>
  <c r="AZ1643" i="1"/>
  <c r="AZ1335" i="1"/>
  <c r="AZ1219" i="1"/>
  <c r="AZ615" i="1"/>
  <c r="BJ615" i="1" s="1"/>
  <c r="AZ1710" i="1"/>
  <c r="AZ1394" i="1"/>
  <c r="AZ1358" i="1"/>
  <c r="AZ103" i="1"/>
  <c r="AZ1354" i="1"/>
  <c r="BJ1354" i="1" s="1"/>
  <c r="AZ286" i="1"/>
  <c r="AZ1601" i="1"/>
  <c r="BJ1601" i="1" s="1"/>
  <c r="AZ1381" i="1"/>
  <c r="BJ1381" i="1" s="1"/>
  <c r="AZ1481" i="1"/>
  <c r="AZ401" i="1"/>
  <c r="AZ357" i="1"/>
  <c r="BJ357" i="1" s="1"/>
  <c r="AZ169" i="1"/>
  <c r="BJ169" i="1" s="1"/>
  <c r="AZ1691" i="1"/>
  <c r="AZ1399" i="1"/>
  <c r="BJ1399" i="1" s="1"/>
  <c r="AZ1267" i="1"/>
  <c r="AZ663" i="1"/>
  <c r="AZ43" i="1"/>
  <c r="AZ1506" i="1"/>
  <c r="AZ1438" i="1"/>
  <c r="AZ530" i="1"/>
  <c r="BJ530" i="1" s="1"/>
  <c r="AZ1402" i="1"/>
  <c r="BJ1402" i="1" s="1"/>
  <c r="AZ334" i="1"/>
  <c r="AZ1665" i="1"/>
  <c r="BJ1665" i="1" s="1"/>
  <c r="AZ1445" i="1"/>
  <c r="BJ1445" i="1" s="1"/>
  <c r="AZ1545" i="1"/>
  <c r="BJ1545" i="1" s="1"/>
  <c r="AZ449" i="1"/>
  <c r="AZ405" i="1"/>
  <c r="AZ217" i="1"/>
  <c r="AZ1636" i="1"/>
  <c r="BJ1636" i="1" s="1"/>
  <c r="AZ1112" i="1"/>
  <c r="AZ109" i="1"/>
  <c r="AZ1032" i="1"/>
  <c r="AZ76" i="1"/>
  <c r="AZ1232" i="1"/>
  <c r="AZ1124" i="1"/>
  <c r="AZ196" i="1"/>
  <c r="AZ1404" i="1"/>
  <c r="AZ1467" i="1"/>
  <c r="BJ1467" i="1" s="1"/>
  <c r="AZ1179" i="1"/>
  <c r="AZ963" i="1"/>
  <c r="AZ423" i="1"/>
  <c r="AZ1518" i="1"/>
  <c r="AZ675" i="1"/>
  <c r="AZ1610" i="1"/>
  <c r="AZ1366" i="1"/>
  <c r="AZ1178" i="1"/>
  <c r="AZ94" i="1"/>
  <c r="AZ1393" i="1"/>
  <c r="BJ1393" i="1" s="1"/>
  <c r="AZ1189" i="1"/>
  <c r="AZ1321" i="1"/>
  <c r="BJ1321" i="1" s="1"/>
  <c r="AZ241" i="1"/>
  <c r="AZ197" i="1"/>
  <c r="AZ1049" i="1"/>
  <c r="AZ1451" i="1"/>
  <c r="AZ1163" i="1"/>
  <c r="BJ1163" i="1" s="1"/>
  <c r="AZ947" i="1"/>
  <c r="BJ947" i="1" s="1"/>
  <c r="AZ407" i="1"/>
  <c r="AZ767" i="1"/>
  <c r="AZ659" i="1"/>
  <c r="AZ1542" i="1"/>
  <c r="AZ1350" i="1"/>
  <c r="BJ1350" i="1" s="1"/>
  <c r="AZ1162" i="1"/>
  <c r="BJ1162" i="1" s="1"/>
  <c r="AZ30" i="1"/>
  <c r="AZ1377" i="1"/>
  <c r="AZ1173" i="1"/>
  <c r="AZ1305" i="1"/>
  <c r="BJ1305" i="1" s="1"/>
  <c r="AZ225" i="1"/>
  <c r="BJ225" i="1" s="1"/>
  <c r="AZ181" i="1"/>
  <c r="AZ1017" i="1"/>
  <c r="AZ1364" i="1"/>
  <c r="BJ1364" i="1" s="1"/>
  <c r="AZ872" i="1"/>
  <c r="AZ173" i="1"/>
  <c r="BJ173" i="1" s="1"/>
  <c r="AZ1248" i="1"/>
  <c r="AZ272" i="1"/>
  <c r="BJ272" i="1" s="1"/>
  <c r="AZ1667" i="1"/>
  <c r="AZ1295" i="1"/>
  <c r="AZ1095" i="1"/>
  <c r="AZ523" i="1"/>
  <c r="AZ303" i="1"/>
  <c r="AZ227" i="1"/>
  <c r="AZ978" i="1"/>
  <c r="AZ902" i="1"/>
  <c r="AZ730" i="1"/>
  <c r="AZ386" i="1"/>
  <c r="AZ246" i="1"/>
  <c r="AZ394" i="1"/>
  <c r="AZ945" i="1"/>
  <c r="AZ869" i="1"/>
  <c r="AZ697" i="1"/>
  <c r="AZ477" i="1"/>
  <c r="AZ1343" i="1"/>
  <c r="AZ1379" i="1"/>
  <c r="BJ1379" i="1" s="1"/>
  <c r="AZ1143" i="1"/>
  <c r="BJ1143" i="1" s="1"/>
  <c r="AZ587" i="1"/>
  <c r="BJ587" i="1" s="1"/>
  <c r="AZ351" i="1"/>
  <c r="AZ275" i="1"/>
  <c r="BJ275" i="1" s="1"/>
  <c r="AZ1026" i="1"/>
  <c r="AZ950" i="1"/>
  <c r="BJ950" i="1" s="1"/>
  <c r="AZ778" i="1"/>
  <c r="AZ434" i="1"/>
  <c r="AZ294" i="1"/>
  <c r="AZ442" i="1"/>
  <c r="AZ993" i="1"/>
  <c r="AZ917" i="1"/>
  <c r="AZ745" i="1"/>
  <c r="BJ745" i="1" s="1"/>
  <c r="AZ573" i="1"/>
  <c r="BJ573" i="1" s="1"/>
  <c r="AZ1688" i="1"/>
  <c r="AZ504" i="1"/>
  <c r="BJ504" i="1" s="1"/>
  <c r="AZ1388" i="1"/>
  <c r="AZ768" i="1"/>
  <c r="AZ888" i="1"/>
  <c r="AZ1264" i="1"/>
  <c r="AZ352" i="1"/>
  <c r="BJ352" i="1" s="1"/>
  <c r="AZ356" i="1"/>
  <c r="BJ356" i="1" s="1"/>
  <c r="AZ120" i="1"/>
  <c r="BJ120" i="1" s="1"/>
  <c r="AZ788" i="1"/>
  <c r="AZ324" i="1"/>
  <c r="AZ105" i="1"/>
  <c r="AZ1436" i="1"/>
  <c r="AZ112" i="1"/>
  <c r="BJ112" i="1" s="1"/>
  <c r="AZ384" i="1"/>
  <c r="AZ920" i="1"/>
  <c r="AZ1312" i="1"/>
  <c r="BJ1312" i="1" s="1"/>
  <c r="AZ400" i="1"/>
  <c r="AZ404" i="1"/>
  <c r="AZ424" i="1"/>
  <c r="AZ1056" i="1"/>
  <c r="AZ1692" i="1"/>
  <c r="AZ532" i="1"/>
  <c r="AZ1068" i="1"/>
  <c r="AZ124" i="1"/>
  <c r="AZ408" i="1"/>
  <c r="AZ316" i="1"/>
  <c r="AZ1400" i="1"/>
  <c r="AZ732" i="1"/>
  <c r="AZ1138" i="1"/>
  <c r="BJ1138" i="1" s="1"/>
  <c r="AZ406" i="1"/>
  <c r="AZ1181" i="1"/>
  <c r="AZ841" i="1"/>
  <c r="AZ157" i="1"/>
  <c r="BJ157" i="1" s="1"/>
  <c r="AZ1500" i="1"/>
  <c r="BJ1500" i="1" s="1"/>
  <c r="AZ896" i="1"/>
  <c r="AZ1623" i="1"/>
  <c r="AZ807" i="1"/>
  <c r="AZ1682" i="1"/>
  <c r="AZ1654" i="1"/>
  <c r="AZ470" i="1"/>
  <c r="AZ114" i="1"/>
  <c r="BJ114" i="1" s="1"/>
  <c r="AZ106" i="1"/>
  <c r="AZ641" i="1"/>
  <c r="AZ393" i="1"/>
  <c r="AZ1671" i="1"/>
  <c r="AZ855" i="1"/>
  <c r="AZ283" i="1"/>
  <c r="AZ1702" i="1"/>
  <c r="AZ550" i="1"/>
  <c r="BJ550" i="1" s="1"/>
  <c r="AZ162" i="1"/>
  <c r="AZ1685" i="1"/>
  <c r="BJ1685" i="1" s="1"/>
  <c r="AZ689" i="1"/>
  <c r="AZ441" i="1"/>
  <c r="AZ1384" i="1"/>
  <c r="AZ200" i="1"/>
  <c r="AZ852" i="1"/>
  <c r="AZ608" i="1"/>
  <c r="BJ608" i="1" s="1"/>
  <c r="AZ756" i="1"/>
  <c r="AZ1660" i="1"/>
  <c r="AZ516" i="1"/>
  <c r="BJ516" i="1" s="1"/>
  <c r="AZ1552" i="1"/>
  <c r="AZ484" i="1"/>
  <c r="AZ376" i="1"/>
  <c r="AZ28" i="1"/>
  <c r="AZ85" i="1"/>
  <c r="AZ688" i="1"/>
  <c r="AZ236" i="1"/>
  <c r="AZ412" i="1"/>
  <c r="AZ876" i="1"/>
  <c r="BJ876" i="1" s="1"/>
  <c r="AZ216" i="1"/>
  <c r="AZ1423" i="1"/>
  <c r="AZ843" i="1"/>
  <c r="AZ1223" i="1"/>
  <c r="AZ635" i="1"/>
  <c r="AZ399" i="1"/>
  <c r="AZ339" i="1"/>
  <c r="AZ1074" i="1"/>
  <c r="AZ1030" i="1"/>
  <c r="AZ826" i="1"/>
  <c r="AZ558" i="1"/>
  <c r="AZ342" i="1"/>
  <c r="AZ542" i="1"/>
  <c r="AZ1089" i="1"/>
  <c r="AZ965" i="1"/>
  <c r="BJ965" i="1" s="1"/>
  <c r="AZ793" i="1"/>
  <c r="AZ621" i="1"/>
  <c r="AZ1391" i="1"/>
  <c r="AZ827" i="1"/>
  <c r="AZ1207" i="1"/>
  <c r="AZ619" i="1"/>
  <c r="AZ383" i="1"/>
  <c r="BJ383" i="1" s="1"/>
  <c r="AZ307" i="1"/>
  <c r="BJ307" i="1" s="1"/>
  <c r="AZ1058" i="1"/>
  <c r="AZ998" i="1"/>
  <c r="AZ810" i="1"/>
  <c r="BJ810" i="1" s="1"/>
  <c r="AZ466" i="1"/>
  <c r="AZ326" i="1"/>
  <c r="BJ326" i="1" s="1"/>
  <c r="AZ522" i="1"/>
  <c r="AZ1069" i="1"/>
  <c r="AZ949" i="1"/>
  <c r="BJ949" i="1" s="1"/>
  <c r="AZ777" i="1"/>
  <c r="AZ605" i="1"/>
  <c r="BJ605" i="1" s="1"/>
  <c r="AZ41" i="1"/>
  <c r="AZ552" i="1"/>
  <c r="BJ552" i="1" s="1"/>
  <c r="AZ1420" i="1"/>
  <c r="AZ800" i="1"/>
  <c r="AZ700" i="1"/>
  <c r="AZ1527" i="1"/>
  <c r="BJ1527" i="1" s="1"/>
  <c r="AZ863" i="1"/>
  <c r="AZ743" i="1"/>
  <c r="AZ171" i="1"/>
  <c r="AZ1602" i="1"/>
  <c r="BJ1602" i="1" s="1"/>
  <c r="AZ1594" i="1"/>
  <c r="AZ610" i="1"/>
  <c r="BJ610" i="1" s="1"/>
  <c r="AZ1578" i="1"/>
  <c r="AZ430" i="1"/>
  <c r="AZ34" i="1"/>
  <c r="AZ1573" i="1"/>
  <c r="AZ1641" i="1"/>
  <c r="BJ1641" i="1" s="1"/>
  <c r="AZ561" i="1"/>
  <c r="BJ561" i="1" s="1"/>
  <c r="AZ485" i="1"/>
  <c r="AZ297" i="1"/>
  <c r="AZ37" i="1"/>
  <c r="AZ1607" i="1"/>
  <c r="AZ911" i="1"/>
  <c r="AZ831" i="1"/>
  <c r="AZ219" i="1"/>
  <c r="AZ1666" i="1"/>
  <c r="BJ1666" i="1" s="1"/>
  <c r="AZ1674" i="1"/>
  <c r="BJ1674" i="1" s="1"/>
  <c r="AZ658" i="1"/>
  <c r="AZ454" i="1"/>
  <c r="AZ494" i="1"/>
  <c r="AZ98" i="1"/>
  <c r="BJ98" i="1" s="1"/>
  <c r="AZ1621" i="1"/>
  <c r="AZ42" i="1"/>
  <c r="AZ625" i="1"/>
  <c r="BJ625" i="1" s="1"/>
  <c r="AZ549" i="1"/>
  <c r="BJ549" i="1" s="1"/>
  <c r="AZ361" i="1"/>
  <c r="AZ1460" i="1"/>
  <c r="AZ104" i="1"/>
  <c r="AZ1368" i="1"/>
  <c r="BJ1368" i="1" s="1"/>
  <c r="AZ252" i="1"/>
  <c r="BJ252" i="1" s="1"/>
  <c r="AZ1584" i="1"/>
  <c r="BJ1584" i="1" s="1"/>
  <c r="AZ1444" i="1"/>
  <c r="AZ428" i="1"/>
  <c r="AZ1724" i="1"/>
  <c r="BJ1724" i="1" s="1"/>
  <c r="AZ244" i="1"/>
  <c r="AZ1655" i="1"/>
  <c r="AZ975" i="1"/>
  <c r="AZ839" i="1"/>
  <c r="AZ267" i="1"/>
  <c r="AZ1714" i="1"/>
  <c r="BJ1714" i="1" s="1"/>
  <c r="AZ1686" i="1"/>
  <c r="BJ1686" i="1" s="1"/>
  <c r="AZ722" i="1"/>
  <c r="AZ534" i="1"/>
  <c r="BJ534" i="1" s="1"/>
  <c r="AZ734" i="1"/>
  <c r="AZ146" i="1"/>
  <c r="AZ1669" i="1"/>
  <c r="AZ138" i="1"/>
  <c r="AZ673" i="1"/>
  <c r="AZ613" i="1"/>
  <c r="AZ425" i="1"/>
  <c r="AZ237" i="1"/>
  <c r="AZ1639" i="1"/>
  <c r="BJ1639" i="1" s="1"/>
  <c r="AZ943" i="1"/>
  <c r="AZ823" i="1"/>
  <c r="AZ251" i="1"/>
  <c r="BJ251" i="1" s="1"/>
  <c r="AZ1698" i="1"/>
  <c r="BJ1698" i="1" s="1"/>
  <c r="AZ1670" i="1"/>
  <c r="AZ690" i="1"/>
  <c r="AZ518" i="1"/>
  <c r="AZ702" i="1"/>
  <c r="AZ130" i="1"/>
  <c r="BJ130" i="1" s="1"/>
  <c r="AZ1653" i="1"/>
  <c r="AZ122" i="1"/>
  <c r="BJ122" i="1" s="1"/>
  <c r="AZ657" i="1"/>
  <c r="AZ597" i="1"/>
  <c r="AZ409" i="1"/>
  <c r="AZ141" i="1"/>
  <c r="AZ1352" i="1"/>
  <c r="AZ152" i="1"/>
  <c r="AZ33" i="1"/>
  <c r="AZ820" i="1"/>
  <c r="BJ820" i="1" s="1"/>
  <c r="AZ1435" i="1"/>
  <c r="AZ1147" i="1"/>
  <c r="BJ1147" i="1" s="1"/>
  <c r="AZ931" i="1"/>
  <c r="AZ375" i="1"/>
  <c r="AZ719" i="1"/>
  <c r="AZ643" i="1"/>
  <c r="AZ1526" i="1"/>
  <c r="AZ1334" i="1"/>
  <c r="AZ1146" i="1"/>
  <c r="BJ1146" i="1" s="1"/>
  <c r="AZ1725" i="1"/>
  <c r="AZ1345" i="1"/>
  <c r="BJ1345" i="1" s="1"/>
  <c r="AZ1157" i="1"/>
  <c r="AZ1289" i="1"/>
  <c r="AZ209" i="1"/>
  <c r="AZ1133" i="1"/>
  <c r="AZ1005" i="1"/>
  <c r="AZ1483" i="1"/>
  <c r="BJ1483" i="1" s="1"/>
  <c r="AZ1195" i="1"/>
  <c r="AZ995" i="1"/>
  <c r="AZ439" i="1"/>
  <c r="AZ1534" i="1"/>
  <c r="AZ691" i="1"/>
  <c r="AZ71" i="1"/>
  <c r="AZ1422" i="1"/>
  <c r="AZ1194" i="1"/>
  <c r="AZ110" i="1"/>
  <c r="AZ1409" i="1"/>
  <c r="AZ1221" i="1"/>
  <c r="AZ1337" i="1"/>
  <c r="BJ1337" i="1" s="1"/>
  <c r="AZ257" i="1"/>
  <c r="AZ213" i="1"/>
  <c r="AZ1057" i="1"/>
  <c r="AZ1396" i="1"/>
  <c r="AZ904" i="1"/>
  <c r="AZ205" i="1"/>
  <c r="AZ1280" i="1"/>
  <c r="BJ1280" i="1" s="1"/>
  <c r="AZ1044" i="1"/>
  <c r="AZ1532" i="1"/>
  <c r="AZ180" i="1"/>
  <c r="AZ420" i="1"/>
  <c r="AZ1000" i="1"/>
  <c r="AZ1408" i="1"/>
  <c r="AZ436" i="1"/>
  <c r="AZ508" i="1"/>
  <c r="BJ508" i="1" s="1"/>
  <c r="AZ248" i="1"/>
  <c r="AZ996" i="1"/>
  <c r="AZ684" i="1"/>
  <c r="AZ1092" i="1"/>
  <c r="AZ1564" i="1"/>
  <c r="AZ212" i="1"/>
  <c r="AZ448" i="1"/>
  <c r="AZ1568" i="1"/>
  <c r="AZ488" i="1"/>
  <c r="AZ464" i="1"/>
  <c r="AZ856" i="1"/>
  <c r="AZ772" i="1"/>
  <c r="AZ1304" i="1"/>
  <c r="BJ1304" i="1" s="1"/>
  <c r="AZ948" i="1"/>
  <c r="AZ1572" i="1"/>
  <c r="BJ1572" i="1" s="1"/>
  <c r="AZ784" i="1"/>
  <c r="AZ36" i="1"/>
  <c r="AZ1591" i="1"/>
  <c r="BJ1591" i="1" s="1"/>
  <c r="AZ895" i="1"/>
  <c r="AZ775" i="1"/>
  <c r="AZ203" i="1"/>
  <c r="BJ203" i="1" s="1"/>
  <c r="AZ1634" i="1"/>
  <c r="BJ1634" i="1" s="1"/>
  <c r="AZ1638" i="1"/>
  <c r="BJ1638" i="1" s="1"/>
  <c r="AZ642" i="1"/>
  <c r="AZ87" i="1"/>
  <c r="AZ482" i="1"/>
  <c r="AZ82" i="1"/>
  <c r="AZ1605" i="1"/>
  <c r="BJ1605" i="1" s="1"/>
  <c r="AZ26" i="1"/>
  <c r="AZ609" i="1"/>
  <c r="BJ609" i="1" s="1"/>
  <c r="AZ533" i="1"/>
  <c r="BJ533" i="1" s="1"/>
  <c r="AZ345" i="1"/>
  <c r="AZ69" i="1"/>
  <c r="AZ1543" i="1"/>
  <c r="AZ879" i="1"/>
  <c r="AZ759" i="1"/>
  <c r="AZ187" i="1"/>
  <c r="AZ1618" i="1"/>
  <c r="AZ1622" i="1"/>
  <c r="AZ626" i="1"/>
  <c r="AZ1626" i="1"/>
  <c r="AZ446" i="1"/>
  <c r="AZ50" i="1"/>
  <c r="AZ1589" i="1"/>
  <c r="BJ1589" i="1" s="1"/>
  <c r="AZ1673" i="1"/>
  <c r="BJ1673" i="1" s="1"/>
  <c r="AZ577" i="1"/>
  <c r="BJ577" i="1" s="1"/>
  <c r="AZ517" i="1"/>
  <c r="BJ517" i="1" s="1"/>
  <c r="AZ313" i="1"/>
  <c r="BJ313" i="1" s="1"/>
  <c r="AZ53" i="1"/>
  <c r="AZ1288" i="1"/>
  <c r="AZ24" i="1"/>
  <c r="AZ1680" i="1"/>
  <c r="BJ1680" i="1" s="1"/>
  <c r="AZ932" i="1"/>
  <c r="AZ1727" i="1"/>
  <c r="AZ1067" i="1"/>
  <c r="AZ867" i="1"/>
  <c r="AZ295" i="1"/>
  <c r="AZ655" i="1"/>
  <c r="AZ579" i="1"/>
  <c r="BJ579" i="1" s="1"/>
  <c r="AZ1362" i="1"/>
  <c r="AZ1270" i="1"/>
  <c r="AZ1050" i="1"/>
  <c r="AZ1661" i="1"/>
  <c r="AZ878" i="1"/>
  <c r="AZ1061" i="1"/>
  <c r="AZ1225" i="1"/>
  <c r="AZ129" i="1"/>
  <c r="BJ129" i="1" s="1"/>
  <c r="AZ1065" i="1"/>
  <c r="AZ893" i="1"/>
  <c r="AZ1419" i="1"/>
  <c r="AZ1115" i="1"/>
  <c r="AZ915" i="1"/>
  <c r="AZ359" i="1"/>
  <c r="BJ359" i="1" s="1"/>
  <c r="AZ703" i="1"/>
  <c r="AZ627" i="1"/>
  <c r="BJ627" i="1" s="1"/>
  <c r="AZ1498" i="1"/>
  <c r="AZ1318" i="1"/>
  <c r="AZ1114" i="1"/>
  <c r="BJ1114" i="1" s="1"/>
  <c r="AZ1709" i="1"/>
  <c r="AZ1313" i="1"/>
  <c r="AZ1125" i="1"/>
  <c r="AZ1273" i="1"/>
  <c r="BJ1273" i="1" s="1"/>
  <c r="AZ193" i="1"/>
  <c r="AZ1117" i="1"/>
  <c r="BJ1117" i="1" s="1"/>
  <c r="AZ941" i="1"/>
  <c r="AZ1332" i="1"/>
  <c r="BJ1332" i="1" s="1"/>
  <c r="AZ840" i="1"/>
  <c r="AZ1148" i="1"/>
  <c r="BJ1148" i="1" s="1"/>
  <c r="AZ940" i="1"/>
  <c r="AZ676" i="1"/>
  <c r="AZ388" i="1"/>
  <c r="AZ40" i="1"/>
  <c r="AZ496" i="1"/>
  <c r="AZ556" i="1"/>
  <c r="AZ1535" i="1"/>
  <c r="AZ907" i="1"/>
  <c r="AZ1303" i="1"/>
  <c r="BJ1303" i="1" s="1"/>
  <c r="AZ715" i="1"/>
  <c r="AZ463" i="1"/>
  <c r="AZ403" i="1"/>
  <c r="AZ1154" i="1"/>
  <c r="AZ1094" i="1"/>
  <c r="AZ890" i="1"/>
  <c r="AZ1437" i="1"/>
  <c r="AZ422" i="1"/>
  <c r="AZ782" i="1"/>
  <c r="AZ1229" i="1"/>
  <c r="AZ1021" i="1"/>
  <c r="AZ857" i="1"/>
  <c r="AZ685" i="1"/>
  <c r="AZ1503" i="1"/>
  <c r="BJ1503" i="1" s="1"/>
  <c r="AZ891" i="1"/>
  <c r="AZ1287" i="1"/>
  <c r="AZ699" i="1"/>
  <c r="AZ447" i="1"/>
  <c r="AZ387" i="1"/>
  <c r="AZ1078" i="1"/>
  <c r="BJ1078" i="1" s="1"/>
  <c r="AZ874" i="1"/>
  <c r="AZ1134" i="1"/>
  <c r="AZ718" i="1"/>
  <c r="AZ1009" i="1"/>
  <c r="AZ669" i="1"/>
  <c r="AZ616" i="1"/>
  <c r="BJ616" i="1" s="1"/>
  <c r="AZ804" i="1"/>
  <c r="AZ927" i="1"/>
  <c r="AZ235" i="1"/>
  <c r="BJ235" i="1" s="1"/>
  <c r="AZ674" i="1"/>
  <c r="AZ506" i="1"/>
  <c r="BJ506" i="1" s="1"/>
  <c r="AZ1637" i="1"/>
  <c r="BJ1637" i="1" s="1"/>
  <c r="AZ581" i="1"/>
  <c r="BJ581" i="1" s="1"/>
  <c r="AZ101" i="1"/>
  <c r="BJ101" i="1" s="1"/>
  <c r="AZ991" i="1"/>
  <c r="AZ1730" i="1"/>
  <c r="AZ754" i="1"/>
  <c r="AZ846" i="1"/>
  <c r="AZ154" i="1"/>
  <c r="AZ629" i="1"/>
  <c r="BJ629" i="1" s="1"/>
  <c r="AZ253" i="1"/>
  <c r="AZ81" i="1"/>
  <c r="AZ328" i="1"/>
  <c r="AZ1188" i="1"/>
  <c r="BJ1188" i="1" s="1"/>
  <c r="AZ260" i="1"/>
  <c r="AZ1096" i="1"/>
  <c r="BJ1096" i="1" s="1"/>
  <c r="AZ108" i="1"/>
  <c r="AZ640" i="1"/>
  <c r="AZ892" i="1"/>
  <c r="BJ892" i="1" s="1"/>
  <c r="AZ49" i="1"/>
  <c r="AZ1468" i="1"/>
  <c r="AZ44" i="1"/>
  <c r="AZ644" i="1"/>
  <c r="AZ1395" i="1"/>
  <c r="AZ1087" i="1"/>
  <c r="AZ919" i="1"/>
  <c r="AZ331" i="1"/>
  <c r="AZ95" i="1"/>
  <c r="AZ35" i="1"/>
  <c r="AZ802" i="1"/>
  <c r="AZ646" i="1"/>
  <c r="AZ538" i="1"/>
  <c r="BJ538" i="1" s="1"/>
  <c r="AZ210" i="1"/>
  <c r="AZ38" i="1"/>
  <c r="AZ202" i="1"/>
  <c r="BJ202" i="1" s="1"/>
  <c r="AZ753" i="1"/>
  <c r="AZ677" i="1"/>
  <c r="BJ677" i="1" s="1"/>
  <c r="AZ505" i="1"/>
  <c r="BJ505" i="1" s="1"/>
  <c r="AZ301" i="1"/>
  <c r="AZ1719" i="1"/>
  <c r="AZ1071" i="1"/>
  <c r="AZ903" i="1"/>
  <c r="AZ315" i="1"/>
  <c r="AZ47" i="1"/>
  <c r="AZ19" i="1"/>
  <c r="AZ786" i="1"/>
  <c r="AZ630" i="1"/>
  <c r="AZ942" i="1"/>
  <c r="AZ194" i="1"/>
  <c r="AZ1717" i="1"/>
  <c r="AZ186" i="1"/>
  <c r="AZ721" i="1"/>
  <c r="AZ661" i="1"/>
  <c r="AZ489" i="1"/>
  <c r="AZ285" i="1"/>
  <c r="AZ1416" i="1"/>
  <c r="AZ232" i="1"/>
  <c r="AZ121" i="1"/>
  <c r="BJ121" i="1" s="1"/>
  <c r="AZ964" i="1"/>
  <c r="BJ964" i="1" s="1"/>
  <c r="AZ1499" i="1"/>
  <c r="BJ1499" i="1" s="1"/>
  <c r="AZ1211" i="1"/>
  <c r="BJ1211" i="1" s="1"/>
  <c r="AZ1011" i="1"/>
  <c r="AZ455" i="1"/>
  <c r="AZ1566" i="1"/>
  <c r="AZ723" i="1"/>
  <c r="AZ1166" i="1"/>
  <c r="BJ1166" i="1" s="1"/>
  <c r="AZ1434" i="1"/>
  <c r="AZ1226" i="1"/>
  <c r="AZ126" i="1"/>
  <c r="BJ126" i="1" s="1"/>
  <c r="AZ1425" i="1"/>
  <c r="AZ1253" i="1"/>
  <c r="AZ1353" i="1"/>
  <c r="BJ1353" i="1" s="1"/>
  <c r="AZ273" i="1"/>
  <c r="AZ229" i="1"/>
  <c r="AZ1149" i="1"/>
  <c r="BJ1149" i="1" s="1"/>
  <c r="AZ1563" i="1"/>
  <c r="AZ1259" i="1"/>
  <c r="BJ1259" i="1" s="1"/>
  <c r="AZ1059" i="1"/>
  <c r="AZ503" i="1"/>
  <c r="BJ503" i="1" s="1"/>
  <c r="AZ1614" i="1"/>
  <c r="BJ1614" i="1" s="1"/>
  <c r="AZ771" i="1"/>
  <c r="AZ1230" i="1"/>
  <c r="AZ1590" i="1"/>
  <c r="BJ1590" i="1" s="1"/>
  <c r="AZ1274" i="1"/>
  <c r="BJ1274" i="1" s="1"/>
  <c r="AZ190" i="1"/>
  <c r="BJ190" i="1" s="1"/>
  <c r="AZ1505" i="1"/>
  <c r="AZ1301" i="1"/>
  <c r="BJ1301" i="1" s="1"/>
  <c r="AZ1401" i="1"/>
  <c r="AZ321" i="1"/>
  <c r="AZ277" i="1"/>
  <c r="BJ277" i="1" s="1"/>
  <c r="AZ1213" i="1"/>
  <c r="BJ1213" i="1" s="1"/>
  <c r="AZ1156" i="1"/>
  <c r="AZ1324" i="1"/>
  <c r="AZ168" i="1"/>
  <c r="AZ524" i="1"/>
  <c r="AZ652" i="1"/>
  <c r="AZ952" i="1"/>
  <c r="AZ780" i="1"/>
  <c r="AZ1152" i="1"/>
  <c r="AZ1611" i="1"/>
  <c r="AZ1323" i="1"/>
  <c r="AZ1155" i="1"/>
  <c r="AZ551" i="1"/>
  <c r="AZ1678" i="1"/>
  <c r="AZ815" i="1"/>
  <c r="AZ1294" i="1"/>
  <c r="AZ1722" i="1"/>
  <c r="AZ1322" i="1"/>
  <c r="AZ254" i="1"/>
  <c r="AZ1569" i="1"/>
  <c r="AZ1349" i="1"/>
  <c r="BJ1349" i="1" s="1"/>
  <c r="AZ1449" i="1"/>
  <c r="BJ1449" i="1" s="1"/>
  <c r="AZ369" i="1"/>
  <c r="BJ369" i="1" s="1"/>
  <c r="AZ325" i="1"/>
  <c r="BJ325" i="1" s="1"/>
  <c r="AZ1405" i="1"/>
  <c r="AZ1595" i="1"/>
  <c r="AZ1307" i="1"/>
  <c r="AZ1123" i="1"/>
  <c r="AZ535" i="1"/>
  <c r="BJ535" i="1" s="1"/>
  <c r="AZ1662" i="1"/>
  <c r="AZ799" i="1"/>
  <c r="AZ1262" i="1"/>
  <c r="AZ1642" i="1"/>
  <c r="AZ1306" i="1"/>
  <c r="AZ238" i="1"/>
  <c r="AZ1553" i="1"/>
  <c r="BJ1553" i="1" s="1"/>
  <c r="AZ1333" i="1"/>
  <c r="AZ1433" i="1"/>
  <c r="AZ353" i="1"/>
  <c r="BJ353" i="1" s="1"/>
  <c r="AZ309" i="1"/>
  <c r="AZ1357" i="1"/>
  <c r="AZ1508" i="1"/>
  <c r="AZ1016" i="1"/>
  <c r="AZ924" i="1"/>
  <c r="AZ1424" i="1"/>
  <c r="AZ452" i="1"/>
  <c r="AZ1487" i="1"/>
  <c r="AZ875" i="1"/>
  <c r="AZ1255" i="1"/>
  <c r="AZ683" i="1"/>
  <c r="BJ683" i="1" s="1"/>
  <c r="AZ431" i="1"/>
  <c r="AZ371" i="1"/>
  <c r="BJ371" i="1" s="1"/>
  <c r="AZ1122" i="1"/>
  <c r="AZ1062" i="1"/>
  <c r="AZ858" i="1"/>
  <c r="AZ1102" i="1"/>
  <c r="AZ374" i="1"/>
  <c r="AZ686" i="1"/>
  <c r="AZ1121" i="1"/>
  <c r="AZ997" i="1"/>
  <c r="AZ825" i="1"/>
  <c r="AZ653" i="1"/>
  <c r="AZ1567" i="1"/>
  <c r="AZ923" i="1"/>
  <c r="AZ1319" i="1"/>
  <c r="AZ731" i="1"/>
  <c r="AZ479" i="1"/>
  <c r="AZ419" i="1"/>
  <c r="AZ1170" i="1"/>
  <c r="BJ1170" i="1" s="1"/>
  <c r="AZ1110" i="1"/>
  <c r="AZ906" i="1"/>
  <c r="AZ1469" i="1"/>
  <c r="BJ1469" i="1" s="1"/>
  <c r="AZ438" i="1"/>
  <c r="AZ798" i="1"/>
  <c r="AZ1261" i="1"/>
  <c r="AZ1033" i="1"/>
  <c r="AZ873" i="1"/>
  <c r="AZ701" i="1"/>
  <c r="AZ1060" i="1"/>
  <c r="AZ648" i="1"/>
  <c r="AZ1548" i="1"/>
  <c r="AZ928" i="1"/>
  <c r="AZ1224" i="1"/>
  <c r="AZ1616" i="1"/>
  <c r="BJ1616" i="1" s="1"/>
  <c r="AZ588" i="1"/>
  <c r="BJ588" i="1" s="1"/>
  <c r="AZ156" i="1"/>
  <c r="BJ156" i="1" s="1"/>
  <c r="AZ440" i="1"/>
  <c r="AZ704" i="1"/>
  <c r="AZ52" i="1"/>
  <c r="AZ1316" i="1"/>
  <c r="AZ77" i="1"/>
  <c r="AZ336" i="1"/>
  <c r="AZ628" i="1"/>
  <c r="BJ628" i="1" s="1"/>
  <c r="AZ1256" i="1"/>
  <c r="AZ1664" i="1"/>
  <c r="BJ1664" i="1" s="1"/>
  <c r="AZ604" i="1"/>
  <c r="BJ604" i="1" s="1"/>
  <c r="AZ176" i="1"/>
  <c r="AZ832" i="1"/>
  <c r="AZ1372" i="1"/>
  <c r="AZ900" i="1"/>
  <c r="AZ137" i="1"/>
  <c r="AZ716" i="1"/>
  <c r="AZ696" i="1"/>
  <c r="AZ612" i="1"/>
  <c r="BJ612" i="1" s="1"/>
  <c r="AZ1064" i="1"/>
  <c r="AZ480" i="1"/>
  <c r="AZ1547" i="1"/>
  <c r="BJ1547" i="1" s="1"/>
  <c r="AZ1243" i="1"/>
  <c r="AZ1043" i="1"/>
  <c r="AZ487" i="1"/>
  <c r="AZ1598" i="1"/>
  <c r="AZ755" i="1"/>
  <c r="AZ1214" i="1"/>
  <c r="BJ1214" i="1" s="1"/>
  <c r="AZ1478" i="1"/>
  <c r="AZ1258" i="1"/>
  <c r="BJ1258" i="1" s="1"/>
  <c r="AZ158" i="1"/>
  <c r="BJ158" i="1" s="1"/>
  <c r="AZ1473" i="1"/>
  <c r="BJ1473" i="1" s="1"/>
  <c r="AZ1285" i="1"/>
  <c r="AZ1385" i="1"/>
  <c r="AZ305" i="1"/>
  <c r="AZ261" i="1"/>
  <c r="BJ261" i="1" s="1"/>
  <c r="AZ1185" i="1"/>
  <c r="AZ1531" i="1"/>
  <c r="AZ1227" i="1"/>
  <c r="AZ1027" i="1"/>
  <c r="AZ471" i="1"/>
  <c r="AZ1582" i="1"/>
  <c r="AZ739" i="1"/>
  <c r="AZ1182" i="1"/>
  <c r="AZ1446" i="1"/>
  <c r="BJ1446" i="1" s="1"/>
  <c r="AZ1242" i="1"/>
  <c r="AZ142" i="1"/>
  <c r="AZ1457" i="1"/>
  <c r="AZ1269" i="1"/>
  <c r="AZ1369" i="1"/>
  <c r="BJ1369" i="1" s="1"/>
  <c r="AZ289" i="1"/>
  <c r="AZ245" i="1"/>
  <c r="AZ1165" i="1"/>
  <c r="BJ1165" i="1" s="1"/>
  <c r="AZ1428" i="1"/>
  <c r="AZ936" i="1"/>
  <c r="AZ860" i="1"/>
  <c r="AZ1344" i="1"/>
  <c r="AZ368" i="1"/>
  <c r="AZ1359" i="1"/>
  <c r="AZ795" i="1"/>
  <c r="AZ1191" i="1"/>
  <c r="AZ603" i="1"/>
  <c r="BJ603" i="1" s="1"/>
  <c r="AZ367" i="1"/>
  <c r="AZ291" i="1"/>
  <c r="AZ1042" i="1"/>
  <c r="AZ982" i="1"/>
  <c r="AZ794" i="1"/>
  <c r="AZ458" i="1"/>
  <c r="AZ310" i="1"/>
  <c r="AZ462" i="1"/>
  <c r="AZ1041" i="1"/>
  <c r="AZ933" i="1"/>
  <c r="AZ761" i="1"/>
  <c r="AZ589" i="1"/>
  <c r="BJ589" i="1" s="1"/>
  <c r="AZ1439" i="1"/>
  <c r="AZ859" i="1"/>
  <c r="AZ1239" i="1"/>
  <c r="AZ667" i="1"/>
  <c r="AZ415" i="1"/>
  <c r="AZ355" i="1"/>
  <c r="AZ1090" i="1"/>
  <c r="BJ1090" i="1" s="1"/>
  <c r="AZ1046" i="1"/>
  <c r="AZ842" i="1"/>
  <c r="AZ1086" i="1"/>
  <c r="AZ358" i="1"/>
  <c r="AZ670" i="1"/>
  <c r="AZ1105" i="1"/>
  <c r="BJ1105" i="1" s="1"/>
  <c r="AZ981" i="1"/>
  <c r="AZ809" i="1"/>
  <c r="BJ809" i="1" s="1"/>
  <c r="AZ637" i="1"/>
  <c r="AZ117" i="1"/>
  <c r="AZ584" i="1"/>
  <c r="BJ584" i="1" s="1"/>
  <c r="AZ1216" i="1"/>
  <c r="BJ1216" i="1" s="1"/>
  <c r="AZ1456" i="1"/>
  <c r="AZ1464" i="1"/>
  <c r="AZ320" i="1"/>
  <c r="AZ1696" i="1"/>
  <c r="AZ25" i="1"/>
  <c r="AZ476" i="1"/>
  <c r="AZ1539" i="1"/>
  <c r="AZ1183" i="1"/>
  <c r="AZ999" i="1"/>
  <c r="AZ427" i="1"/>
  <c r="AZ191" i="1"/>
  <c r="BJ191" i="1" s="1"/>
  <c r="AZ115" i="1"/>
  <c r="AZ866" i="1"/>
  <c r="AZ726" i="1"/>
  <c r="AZ602" i="1"/>
  <c r="BJ602" i="1" s="1"/>
  <c r="AZ274" i="1"/>
  <c r="BJ274" i="1" s="1"/>
  <c r="AZ118" i="1"/>
  <c r="AZ266" i="1"/>
  <c r="AZ817" i="1"/>
  <c r="BJ817" i="1" s="1"/>
  <c r="AZ757" i="1"/>
  <c r="AZ585" i="1"/>
  <c r="BJ585" i="1" s="1"/>
  <c r="AZ365" i="1"/>
  <c r="AZ1507" i="1"/>
  <c r="AZ1167" i="1"/>
  <c r="AZ983" i="1"/>
  <c r="AZ411" i="1"/>
  <c r="AZ143" i="1"/>
  <c r="AZ99" i="1"/>
  <c r="BJ99" i="1" s="1"/>
  <c r="AZ850" i="1"/>
  <c r="AZ694" i="1"/>
  <c r="AZ586" i="1"/>
  <c r="AZ258" i="1"/>
  <c r="AZ102" i="1"/>
  <c r="AZ250" i="1"/>
  <c r="AZ801" i="1"/>
  <c r="AZ741" i="1"/>
  <c r="AZ569" i="1"/>
  <c r="BJ569" i="1" s="1"/>
  <c r="AZ349" i="1"/>
  <c r="AZ1480" i="1"/>
  <c r="AZ312" i="1"/>
  <c r="AZ1180" i="1"/>
  <c r="AZ576" i="1"/>
  <c r="BJ576" i="1" s="1"/>
  <c r="AZ1579" i="1"/>
  <c r="AZ1291" i="1"/>
  <c r="AZ1091" i="1"/>
  <c r="BJ1091" i="1" s="1"/>
  <c r="AZ519" i="1"/>
  <c r="AZ1646" i="1"/>
  <c r="AZ783" i="1"/>
  <c r="AZ1246" i="1"/>
  <c r="AZ1606" i="1"/>
  <c r="AZ1290" i="1"/>
  <c r="AZ222" i="1"/>
  <c r="AZ1537" i="1"/>
  <c r="BJ1537" i="1" s="1"/>
  <c r="AZ1317" i="1"/>
  <c r="AZ1417" i="1"/>
  <c r="AZ337" i="1"/>
  <c r="AZ293" i="1"/>
  <c r="AZ1233" i="1"/>
  <c r="AZ1627" i="1"/>
  <c r="AZ1347" i="1"/>
  <c r="AZ1187" i="1"/>
  <c r="BJ1187" i="1" s="1"/>
  <c r="AZ599" i="1"/>
  <c r="BJ599" i="1" s="1"/>
  <c r="AZ1694" i="1"/>
  <c r="AZ1378" i="1"/>
  <c r="BJ1378" i="1" s="1"/>
  <c r="AZ1342" i="1"/>
  <c r="AZ39" i="1"/>
  <c r="AZ1338" i="1"/>
  <c r="AZ270" i="1"/>
  <c r="AZ1585" i="1"/>
  <c r="BJ1585" i="1" s="1"/>
  <c r="AZ1365" i="1"/>
  <c r="BJ1365" i="1" s="1"/>
  <c r="AZ1465" i="1"/>
  <c r="AZ385" i="1"/>
  <c r="AZ341" i="1"/>
  <c r="AZ153" i="1"/>
  <c r="AZ1556" i="1"/>
  <c r="AZ1048" i="1"/>
  <c r="AZ956" i="1"/>
  <c r="BJ956" i="1" s="1"/>
  <c r="AZ1488" i="1"/>
  <c r="BJ1488" i="1" s="1"/>
  <c r="AZ1380" i="1"/>
  <c r="BJ1380" i="1" s="1"/>
  <c r="AZ189" i="1"/>
  <c r="BJ189" i="1" s="1"/>
  <c r="AZ416" i="1"/>
  <c r="AZ668" i="1"/>
  <c r="AZ1336" i="1"/>
  <c r="BJ1336" i="1" s="1"/>
  <c r="AZ1728" i="1"/>
  <c r="AZ620" i="1"/>
  <c r="AZ208" i="1"/>
  <c r="AZ568" i="1"/>
  <c r="AZ816" i="1"/>
  <c r="AZ96" i="1"/>
  <c r="AZ1412" i="1"/>
  <c r="AZ844" i="1"/>
  <c r="AZ444" i="1"/>
  <c r="AZ748" i="1"/>
  <c r="AZ1320" i="1"/>
  <c r="BJ1320" i="1" s="1"/>
  <c r="AZ1644" i="1"/>
  <c r="AZ1252" i="1"/>
  <c r="AZ828" i="1"/>
  <c r="AZ1684" i="1"/>
  <c r="AZ864" i="1"/>
  <c r="AZ116" i="1"/>
  <c r="AZ1376" i="1"/>
  <c r="AZ332" i="1"/>
  <c r="AZ97" i="1"/>
  <c r="AZ540" i="1"/>
  <c r="BJ540" i="1" s="1"/>
  <c r="AZ1593" i="1"/>
  <c r="AZ1668" i="1"/>
  <c r="AZ1084" i="1"/>
  <c r="AZ692" i="1"/>
  <c r="AZ1663" i="1"/>
  <c r="BJ1663" i="1" s="1"/>
  <c r="AZ803" i="1"/>
  <c r="AZ575" i="1"/>
  <c r="BJ575" i="1" s="1"/>
  <c r="AZ499" i="1"/>
  <c r="AZ1190" i="1"/>
  <c r="AZ1565" i="1"/>
  <c r="AZ1022" i="1"/>
  <c r="AZ1113" i="1"/>
  <c r="BJ1113" i="1" s="1"/>
  <c r="AZ953" i="1"/>
  <c r="AZ1711" i="1"/>
  <c r="AZ851" i="1"/>
  <c r="AZ279" i="1"/>
  <c r="AZ547" i="1"/>
  <c r="BJ547" i="1" s="1"/>
  <c r="AZ1254" i="1"/>
  <c r="AZ1034" i="1"/>
  <c r="AZ654" i="1"/>
  <c r="AZ1177" i="1"/>
  <c r="AZ1037" i="1"/>
  <c r="AZ877" i="1"/>
  <c r="BJ877" i="1" s="1"/>
  <c r="AZ776" i="1"/>
  <c r="AZ1120" i="1"/>
  <c r="BJ1120" i="1" s="1"/>
  <c r="AZ1212" i="1"/>
  <c r="BJ1212" i="1" s="1"/>
  <c r="AZ276" i="1"/>
  <c r="BJ276" i="1" s="1"/>
  <c r="AZ728" i="1"/>
  <c r="AZ224" i="1"/>
  <c r="BJ224" i="1" s="1"/>
  <c r="AZ1036" i="1"/>
  <c r="AZ596" i="1"/>
  <c r="AZ1544" i="1"/>
  <c r="BJ1544" i="1" s="1"/>
  <c r="AZ128" i="1"/>
  <c r="BJ128" i="1" s="1"/>
  <c r="AZ984" i="1"/>
  <c r="AZ1712" i="1"/>
  <c r="AZ660" i="1"/>
  <c r="AZ172" i="1"/>
  <c r="AZ492" i="1"/>
  <c r="AZ1284" i="1"/>
  <c r="BJ1284" i="1" s="1"/>
  <c r="AZ1731" i="1"/>
  <c r="AZ1736" i="1"/>
  <c r="AZ1737" i="1"/>
  <c r="AZ1742" i="1"/>
  <c r="AZ1734" i="1"/>
  <c r="AZ1740" i="1"/>
  <c r="AZ1738" i="1"/>
  <c r="AZ1732" i="1"/>
  <c r="AZ1741" i="1"/>
  <c r="AZ1733" i="1"/>
  <c r="AZ1744" i="1"/>
  <c r="AZ1739" i="1"/>
  <c r="AZ1735" i="1"/>
  <c r="AZ1746" i="1"/>
  <c r="AZ1745" i="1"/>
  <c r="AZ1743" i="1"/>
  <c r="AW1802" i="1"/>
  <c r="AW1798" i="1"/>
  <c r="AW1790" i="1"/>
  <c r="AW1786" i="1"/>
  <c r="AW1782" i="1"/>
  <c r="AW1778" i="1"/>
  <c r="AW1774" i="1"/>
  <c r="AW1770" i="1"/>
  <c r="AW1766" i="1"/>
  <c r="AW1762" i="1"/>
  <c r="AW1758" i="1"/>
  <c r="AW1839" i="1"/>
  <c r="AW1835" i="1"/>
  <c r="AW1831" i="1"/>
  <c r="AW1827" i="1"/>
  <c r="AW1823" i="1"/>
  <c r="AW1819" i="1"/>
  <c r="AW1815" i="1"/>
  <c r="AW1811" i="1"/>
  <c r="AW1807" i="1"/>
  <c r="AW1803" i="1"/>
  <c r="AW1799" i="1"/>
  <c r="AW1795" i="1"/>
  <c r="AW1791" i="1"/>
  <c r="AW1783" i="1"/>
  <c r="AW1779" i="1"/>
  <c r="AW1775" i="1"/>
  <c r="AW1771" i="1"/>
  <c r="AW1767" i="1"/>
  <c r="AW1763" i="1"/>
  <c r="AW1759" i="1"/>
  <c r="U1756" i="1"/>
  <c r="X1756" i="1"/>
  <c r="AV1756" i="1" s="1"/>
  <c r="R1756" i="1"/>
  <c r="AW1851" i="1"/>
  <c r="AW1847" i="1"/>
  <c r="AW1843" i="1"/>
  <c r="AW1876" i="1"/>
  <c r="AW1872" i="1"/>
  <c r="AW1868" i="1"/>
  <c r="AW1864" i="1"/>
  <c r="AW1860" i="1"/>
  <c r="AW1856" i="1"/>
  <c r="AW1852" i="1"/>
  <c r="AW1848" i="1"/>
  <c r="AW1844" i="1"/>
  <c r="AW1840" i="1"/>
  <c r="AW1836" i="1"/>
  <c r="AW1832" i="1"/>
  <c r="AW1828" i="1"/>
  <c r="AW1824" i="1"/>
  <c r="AW1820" i="1"/>
  <c r="AW1816" i="1"/>
  <c r="AW1812" i="1"/>
  <c r="AW1808" i="1"/>
  <c r="AW1804" i="1"/>
  <c r="AW1800" i="1"/>
  <c r="AW1796" i="1"/>
  <c r="AW1792" i="1"/>
  <c r="AW1788" i="1"/>
  <c r="AW1784" i="1"/>
  <c r="AW1780" i="1"/>
  <c r="AW1776" i="1"/>
  <c r="AW1772" i="1"/>
  <c r="AW1768" i="1"/>
  <c r="AW1764" i="1"/>
  <c r="AW1760" i="1"/>
  <c r="AW1859" i="1"/>
  <c r="AW1855" i="1"/>
  <c r="AW1875" i="1"/>
  <c r="AW1871" i="1"/>
  <c r="AW1867" i="1"/>
  <c r="AW1863" i="1"/>
  <c r="AW1877" i="1"/>
  <c r="AW1869" i="1"/>
  <c r="AW1865" i="1"/>
  <c r="AW1861" i="1"/>
  <c r="AW1857" i="1"/>
  <c r="AW1853" i="1"/>
  <c r="AW1849" i="1"/>
  <c r="AW1845" i="1"/>
  <c r="AW1882" i="1"/>
  <c r="AW1878" i="1"/>
  <c r="AW1866" i="1"/>
  <c r="AW1862" i="1"/>
  <c r="AW1854" i="1"/>
  <c r="AW1850" i="1"/>
  <c r="AW1846" i="1"/>
  <c r="AW1842" i="1"/>
  <c r="AW1838" i="1"/>
  <c r="AW1834" i="1"/>
  <c r="AW1830" i="1"/>
  <c r="AW1826" i="1"/>
  <c r="AW1822" i="1"/>
  <c r="AW1818" i="1"/>
  <c r="AW1814" i="1"/>
  <c r="AW1810" i="1"/>
  <c r="AW1806" i="1"/>
  <c r="AW1880" i="1"/>
  <c r="AW1879" i="1"/>
  <c r="AW1881" i="1"/>
  <c r="X1830" i="1"/>
  <c r="U1830" i="1"/>
  <c r="R1830" i="1"/>
  <c r="AW1883" i="1"/>
  <c r="R1881" i="1"/>
  <c r="U1881" i="1"/>
  <c r="X1881" i="1"/>
  <c r="R1877" i="1"/>
  <c r="X1877" i="1"/>
  <c r="U1877" i="1"/>
  <c r="X1873" i="1"/>
  <c r="U1873" i="1"/>
  <c r="R1873" i="1"/>
  <c r="R1869" i="1"/>
  <c r="X1869" i="1"/>
  <c r="U1869" i="1"/>
  <c r="R1865" i="1"/>
  <c r="X1865" i="1"/>
  <c r="U1865" i="1"/>
  <c r="U1861" i="1"/>
  <c r="R1861" i="1"/>
  <c r="X1861" i="1"/>
  <c r="X1857" i="1"/>
  <c r="U1857" i="1"/>
  <c r="R1857" i="1"/>
  <c r="U1853" i="1"/>
  <c r="R1853" i="1"/>
  <c r="X1853" i="1"/>
  <c r="R1849" i="1"/>
  <c r="X1849" i="1"/>
  <c r="U1849" i="1"/>
  <c r="U1845" i="1"/>
  <c r="R1845" i="1"/>
  <c r="X1845" i="1"/>
  <c r="X1841" i="1"/>
  <c r="U1841" i="1"/>
  <c r="R1841" i="1"/>
  <c r="X1837" i="1"/>
  <c r="R1837" i="1"/>
  <c r="U1837" i="1"/>
  <c r="U1833" i="1"/>
  <c r="X1833" i="1"/>
  <c r="R1833" i="1"/>
  <c r="R1829" i="1"/>
  <c r="U1829" i="1"/>
  <c r="X1829" i="1"/>
  <c r="X1825" i="1"/>
  <c r="U1825" i="1"/>
  <c r="R1825" i="1"/>
  <c r="X1821" i="1"/>
  <c r="R1821" i="1"/>
  <c r="U1821" i="1"/>
  <c r="U1817" i="1"/>
  <c r="X1817" i="1"/>
  <c r="R1817" i="1"/>
  <c r="R1813" i="1"/>
  <c r="X1813" i="1"/>
  <c r="U1813" i="1"/>
  <c r="X1809" i="1"/>
  <c r="U1809" i="1"/>
  <c r="R1809" i="1"/>
  <c r="X1805" i="1"/>
  <c r="R1805" i="1"/>
  <c r="U1805" i="1"/>
  <c r="R1801" i="1"/>
  <c r="X1801" i="1"/>
  <c r="U1801" i="1"/>
  <c r="U1797" i="1"/>
  <c r="R1797" i="1"/>
  <c r="X1797" i="1"/>
  <c r="X1793" i="1"/>
  <c r="R1793" i="1"/>
  <c r="U1793" i="1"/>
  <c r="R1789" i="1"/>
  <c r="U1789" i="1"/>
  <c r="X1789" i="1"/>
  <c r="U1785" i="1"/>
  <c r="R1785" i="1"/>
  <c r="X1785" i="1"/>
  <c r="X1781" i="1"/>
  <c r="U1781" i="1"/>
  <c r="R1781" i="1"/>
  <c r="U1777" i="1"/>
  <c r="R1777" i="1"/>
  <c r="X1777" i="1"/>
  <c r="X1773" i="1"/>
  <c r="R1773" i="1"/>
  <c r="U1773" i="1"/>
  <c r="U1769" i="1"/>
  <c r="R1769" i="1"/>
  <c r="X1769" i="1"/>
  <c r="R1765" i="1"/>
  <c r="X1765" i="1"/>
  <c r="U1765" i="1"/>
  <c r="U1761" i="1"/>
  <c r="R1761" i="1"/>
  <c r="X1761" i="1"/>
  <c r="X1757" i="1"/>
  <c r="U1757" i="1"/>
  <c r="R1757" i="1"/>
  <c r="R1878" i="1"/>
  <c r="X1878" i="1"/>
  <c r="U1878" i="1"/>
  <c r="X1854" i="1"/>
  <c r="R1854" i="1"/>
  <c r="U1854" i="1"/>
  <c r="R1822" i="1"/>
  <c r="X1822" i="1"/>
  <c r="U1822" i="1"/>
  <c r="X1818" i="1"/>
  <c r="U1818" i="1"/>
  <c r="R1818" i="1"/>
  <c r="X1814" i="1"/>
  <c r="U1814" i="1"/>
  <c r="R1814" i="1"/>
  <c r="U1810" i="1"/>
  <c r="R1810" i="1"/>
  <c r="X1810" i="1"/>
  <c r="R1806" i="1"/>
  <c r="X1806" i="1"/>
  <c r="U1806" i="1"/>
  <c r="X1802" i="1"/>
  <c r="U1802" i="1"/>
  <c r="R1802" i="1"/>
  <c r="X1798" i="1"/>
  <c r="U1798" i="1"/>
  <c r="R1798" i="1"/>
  <c r="U1794" i="1"/>
  <c r="R1794" i="1"/>
  <c r="X1794" i="1"/>
  <c r="R1790" i="1"/>
  <c r="X1790" i="1"/>
  <c r="U1790" i="1"/>
  <c r="X1786" i="1"/>
  <c r="U1786" i="1"/>
  <c r="R1786" i="1"/>
  <c r="X1782" i="1"/>
  <c r="U1782" i="1"/>
  <c r="R1782" i="1"/>
  <c r="U1778" i="1"/>
  <c r="R1778" i="1"/>
  <c r="X1778" i="1"/>
  <c r="R1774" i="1"/>
  <c r="X1774" i="1"/>
  <c r="U1774" i="1"/>
  <c r="X1770" i="1"/>
  <c r="U1770" i="1"/>
  <c r="R1770" i="1"/>
  <c r="X1766" i="1"/>
  <c r="U1766" i="1"/>
  <c r="R1766" i="1"/>
  <c r="U1762" i="1"/>
  <c r="R1762" i="1"/>
  <c r="X1762" i="1"/>
  <c r="R1758" i="1"/>
  <c r="X1758" i="1"/>
  <c r="U1758" i="1"/>
  <c r="U1880" i="1"/>
  <c r="X1880" i="1"/>
  <c r="R1880" i="1"/>
  <c r="R1876" i="1"/>
  <c r="X1876" i="1"/>
  <c r="U1876" i="1"/>
  <c r="X1872" i="1"/>
  <c r="R1872" i="1"/>
  <c r="U1872" i="1"/>
  <c r="U1868" i="1"/>
  <c r="R1868" i="1"/>
  <c r="X1868" i="1"/>
  <c r="U1864" i="1"/>
  <c r="X1864" i="1"/>
  <c r="R1864" i="1"/>
  <c r="R1860" i="1"/>
  <c r="X1860" i="1"/>
  <c r="U1860" i="1"/>
  <c r="X1856" i="1"/>
  <c r="R1856" i="1"/>
  <c r="U1856" i="1"/>
  <c r="U1852" i="1"/>
  <c r="R1852" i="1"/>
  <c r="X1852" i="1"/>
  <c r="U1848" i="1"/>
  <c r="X1848" i="1"/>
  <c r="R1848" i="1"/>
  <c r="R1844" i="1"/>
  <c r="X1844" i="1"/>
  <c r="U1844" i="1"/>
  <c r="X1840" i="1"/>
  <c r="R1840" i="1"/>
  <c r="U1840" i="1"/>
  <c r="U1836" i="1"/>
  <c r="R1836" i="1"/>
  <c r="X1836" i="1"/>
  <c r="U1832" i="1"/>
  <c r="R1832" i="1"/>
  <c r="X1832" i="1"/>
  <c r="R1828" i="1"/>
  <c r="X1828" i="1"/>
  <c r="U1828" i="1"/>
  <c r="R1824" i="1"/>
  <c r="X1824" i="1"/>
  <c r="U1824" i="1"/>
  <c r="X1820" i="1"/>
  <c r="U1820" i="1"/>
  <c r="R1820" i="1"/>
  <c r="X1816" i="1"/>
  <c r="U1816" i="1"/>
  <c r="R1816" i="1"/>
  <c r="X1812" i="1"/>
  <c r="U1812" i="1"/>
  <c r="R1812" i="1"/>
  <c r="U1808" i="1"/>
  <c r="R1808" i="1"/>
  <c r="X1808" i="1"/>
  <c r="R1804" i="1"/>
  <c r="X1804" i="1"/>
  <c r="U1804" i="1"/>
  <c r="X1800" i="1"/>
  <c r="U1800" i="1"/>
  <c r="R1800" i="1"/>
  <c r="X1796" i="1"/>
  <c r="U1796" i="1"/>
  <c r="R1796" i="1"/>
  <c r="U1792" i="1"/>
  <c r="R1792" i="1"/>
  <c r="X1792" i="1"/>
  <c r="R1788" i="1"/>
  <c r="X1788" i="1"/>
  <c r="U1788" i="1"/>
  <c r="X1784" i="1"/>
  <c r="U1784" i="1"/>
  <c r="R1784" i="1"/>
  <c r="X1780" i="1"/>
  <c r="U1780" i="1"/>
  <c r="R1780" i="1"/>
  <c r="U1776" i="1"/>
  <c r="R1776" i="1"/>
  <c r="X1776" i="1"/>
  <c r="R1772" i="1"/>
  <c r="X1772" i="1"/>
  <c r="U1772" i="1"/>
  <c r="X1768" i="1"/>
  <c r="U1768" i="1"/>
  <c r="R1768" i="1"/>
  <c r="X1764" i="1"/>
  <c r="U1764" i="1"/>
  <c r="R1764" i="1"/>
  <c r="U1760" i="1"/>
  <c r="R1760" i="1"/>
  <c r="X1760" i="1"/>
  <c r="U1883" i="1"/>
  <c r="R1883" i="1"/>
  <c r="X1883" i="1"/>
  <c r="X1882" i="1"/>
  <c r="U1882" i="1"/>
  <c r="R1882" i="1"/>
  <c r="X1874" i="1"/>
  <c r="U1874" i="1"/>
  <c r="R1874" i="1"/>
  <c r="X1870" i="1"/>
  <c r="R1870" i="1"/>
  <c r="U1870" i="1"/>
  <c r="X1866" i="1"/>
  <c r="U1866" i="1"/>
  <c r="R1866" i="1"/>
  <c r="R1862" i="1"/>
  <c r="X1862" i="1"/>
  <c r="U1862" i="1"/>
  <c r="X1858" i="1"/>
  <c r="U1858" i="1"/>
  <c r="R1858" i="1"/>
  <c r="X1850" i="1"/>
  <c r="U1850" i="1"/>
  <c r="R1850" i="1"/>
  <c r="R1846" i="1"/>
  <c r="X1846" i="1"/>
  <c r="U1846" i="1"/>
  <c r="X1842" i="1"/>
  <c r="U1842" i="1"/>
  <c r="R1842" i="1"/>
  <c r="R1838" i="1"/>
  <c r="X1838" i="1"/>
  <c r="U1838" i="1"/>
  <c r="X1834" i="1"/>
  <c r="U1834" i="1"/>
  <c r="R1834" i="1"/>
  <c r="U1826" i="1"/>
  <c r="R1826" i="1"/>
  <c r="X1826" i="1"/>
  <c r="R1879" i="1"/>
  <c r="X1879" i="1"/>
  <c r="U1879" i="1"/>
  <c r="R1875" i="1"/>
  <c r="X1875" i="1"/>
  <c r="U1875" i="1"/>
  <c r="X1871" i="1"/>
  <c r="U1871" i="1"/>
  <c r="R1871" i="1"/>
  <c r="X1867" i="1"/>
  <c r="R1867" i="1"/>
  <c r="U1867" i="1"/>
  <c r="R1863" i="1"/>
  <c r="X1863" i="1"/>
  <c r="U1863" i="1"/>
  <c r="R1859" i="1"/>
  <c r="X1859" i="1"/>
  <c r="U1859" i="1"/>
  <c r="X1855" i="1"/>
  <c r="U1855" i="1"/>
  <c r="R1855" i="1"/>
  <c r="X1851" i="1"/>
  <c r="R1851" i="1"/>
  <c r="U1851" i="1"/>
  <c r="R1847" i="1"/>
  <c r="X1847" i="1"/>
  <c r="U1847" i="1"/>
  <c r="R1843" i="1"/>
  <c r="X1843" i="1"/>
  <c r="U1843" i="1"/>
  <c r="X1839" i="1"/>
  <c r="U1839" i="1"/>
  <c r="R1839" i="1"/>
  <c r="U1835" i="1"/>
  <c r="R1835" i="1"/>
  <c r="X1835" i="1"/>
  <c r="R1831" i="1"/>
  <c r="X1831" i="1"/>
  <c r="U1831" i="1"/>
  <c r="X1827" i="1"/>
  <c r="U1827" i="1"/>
  <c r="R1827" i="1"/>
  <c r="X1823" i="1"/>
  <c r="U1823" i="1"/>
  <c r="R1823" i="1"/>
  <c r="U1819" i="1"/>
  <c r="R1819" i="1"/>
  <c r="X1819" i="1"/>
  <c r="R1815" i="1"/>
  <c r="X1815" i="1"/>
  <c r="U1815" i="1"/>
  <c r="X1811" i="1"/>
  <c r="U1811" i="1"/>
  <c r="R1811" i="1"/>
  <c r="X1807" i="1"/>
  <c r="U1807" i="1"/>
  <c r="R1807" i="1"/>
  <c r="U1803" i="1"/>
  <c r="R1803" i="1"/>
  <c r="X1803" i="1"/>
  <c r="R1799" i="1"/>
  <c r="X1799" i="1"/>
  <c r="U1799" i="1"/>
  <c r="X1795" i="1"/>
  <c r="U1795" i="1"/>
  <c r="R1795" i="1"/>
  <c r="X1791" i="1"/>
  <c r="U1791" i="1"/>
  <c r="R1791" i="1"/>
  <c r="U1787" i="1"/>
  <c r="R1787" i="1"/>
  <c r="X1787" i="1"/>
  <c r="R1783" i="1"/>
  <c r="X1783" i="1"/>
  <c r="U1783" i="1"/>
  <c r="X1779" i="1"/>
  <c r="U1779" i="1"/>
  <c r="R1779" i="1"/>
  <c r="X1775" i="1"/>
  <c r="U1775" i="1"/>
  <c r="R1775" i="1"/>
  <c r="U1771" i="1"/>
  <c r="R1771" i="1"/>
  <c r="X1771" i="1"/>
  <c r="R1767" i="1"/>
  <c r="X1767" i="1"/>
  <c r="U1767" i="1"/>
  <c r="X1763" i="1"/>
  <c r="U1763" i="1"/>
  <c r="R1763" i="1"/>
  <c r="X1759" i="1"/>
  <c r="U1759" i="1"/>
  <c r="R1759" i="1"/>
  <c r="AW1870" i="1"/>
  <c r="AW1858" i="1"/>
  <c r="AW1794" i="1"/>
  <c r="AW1787" i="1"/>
  <c r="AY1878" i="1"/>
  <c r="AY1876" i="1"/>
  <c r="AY1870" i="1"/>
  <c r="AY1868" i="1"/>
  <c r="AY1866" i="1"/>
  <c r="AY1860" i="1"/>
  <c r="AY1858" i="1"/>
  <c r="AY1856" i="1"/>
  <c r="AY1851" i="1"/>
  <c r="AY1850" i="1"/>
  <c r="AY1847" i="1"/>
  <c r="AY1843" i="1"/>
  <c r="AY1838" i="1"/>
  <c r="AY1834" i="1"/>
  <c r="AY1832" i="1"/>
  <c r="AY1826" i="1"/>
  <c r="AY1823" i="1"/>
  <c r="AY1883" i="1"/>
  <c r="AY1877" i="1"/>
  <c r="AY1875" i="1"/>
  <c r="AY1869" i="1"/>
  <c r="AY1867" i="1"/>
  <c r="AY1865" i="1"/>
  <c r="AY1863" i="1"/>
  <c r="AY1857" i="1"/>
  <c r="AY1855" i="1"/>
  <c r="AY1846" i="1"/>
  <c r="AY1842" i="1"/>
  <c r="AY1837" i="1"/>
  <c r="AY1833" i="1"/>
  <c r="AY1831" i="1"/>
  <c r="AY1829" i="1"/>
  <c r="AY1825" i="1"/>
  <c r="AY1819" i="1"/>
  <c r="AY1817" i="1"/>
  <c r="AY1813" i="1"/>
  <c r="AY1811" i="1"/>
  <c r="AY1807" i="1"/>
  <c r="AY1806" i="1"/>
  <c r="AY1802" i="1"/>
  <c r="AY1798" i="1"/>
  <c r="AY1793" i="1"/>
  <c r="AY1786" i="1"/>
  <c r="AY1781" i="1"/>
  <c r="AY1775" i="1"/>
  <c r="AY1771" i="1"/>
  <c r="AY1767" i="1"/>
  <c r="AY1763" i="1"/>
  <c r="AY1761" i="1"/>
  <c r="AY1824" i="1"/>
  <c r="AY1822" i="1"/>
  <c r="AY1820" i="1"/>
  <c r="AY1818" i="1"/>
  <c r="AY1814" i="1"/>
  <c r="AY1808" i="1"/>
  <c r="AY1803" i="1"/>
  <c r="AY1799" i="1"/>
  <c r="AY1794" i="1"/>
  <c r="AY1790" i="1"/>
  <c r="AY1787" i="1"/>
  <c r="AY1782" i="1"/>
  <c r="AY1776" i="1"/>
  <c r="AY1772" i="1"/>
  <c r="AY1768" i="1"/>
  <c r="AY1764" i="1"/>
  <c r="AY1758" i="1"/>
  <c r="AY1757" i="1"/>
  <c r="AY1882" i="1"/>
  <c r="AY1880" i="1"/>
  <c r="AY1874" i="1"/>
  <c r="AY1872" i="1"/>
  <c r="AY1864" i="1"/>
  <c r="AY1862" i="1"/>
  <c r="AY1854" i="1"/>
  <c r="AY1845" i="1"/>
  <c r="AY1841" i="1"/>
  <c r="AY1840" i="1"/>
  <c r="AY1836" i="1"/>
  <c r="AY1830" i="1"/>
  <c r="AY1828" i="1"/>
  <c r="AY1816" i="1"/>
  <c r="AY1812" i="1"/>
  <c r="AY1810" i="1"/>
  <c r="AY1805" i="1"/>
  <c r="AY1801" i="1"/>
  <c r="AY1796" i="1"/>
  <c r="AY1792" i="1"/>
  <c r="AY1789" i="1"/>
  <c r="AY1785" i="1"/>
  <c r="AY1780" i="1"/>
  <c r="AY1778" i="1"/>
  <c r="AY1774" i="1"/>
  <c r="AY1770" i="1"/>
  <c r="AY1766" i="1"/>
  <c r="AY1762" i="1"/>
  <c r="AW1874" i="1"/>
  <c r="AY1881" i="1"/>
  <c r="AY1879" i="1"/>
  <c r="AY1873" i="1"/>
  <c r="AY1871" i="1"/>
  <c r="AY1861" i="1"/>
  <c r="AY1859" i="1"/>
  <c r="AY1853" i="1"/>
  <c r="AY1852" i="1"/>
  <c r="AY1849" i="1"/>
  <c r="AY1848" i="1"/>
  <c r="AY1844" i="1"/>
  <c r="AY1839" i="1"/>
  <c r="AY1835" i="1"/>
  <c r="AY1827" i="1"/>
  <c r="AY1821" i="1"/>
  <c r="AY1815" i="1"/>
  <c r="AY1809" i="1"/>
  <c r="AY1804" i="1"/>
  <c r="AY1800" i="1"/>
  <c r="AY1797" i="1"/>
  <c r="AY1795" i="1"/>
  <c r="AY1791" i="1"/>
  <c r="AY1788" i="1"/>
  <c r="AY1784" i="1"/>
  <c r="AY1783" i="1"/>
  <c r="AY1779" i="1"/>
  <c r="AY1777" i="1"/>
  <c r="AY1773" i="1"/>
  <c r="AY1769" i="1"/>
  <c r="AY1765" i="1"/>
  <c r="AY1760" i="1"/>
  <c r="AY1759" i="1"/>
  <c r="AW1873" i="1"/>
  <c r="Z1882" i="1"/>
  <c r="V1882" i="1" s="1"/>
  <c r="W1882" i="1" s="1"/>
  <c r="AA1882" i="1"/>
  <c r="Z1880" i="1"/>
  <c r="V1880" i="1" s="1"/>
  <c r="W1880" i="1" s="1"/>
  <c r="AA1880" i="1"/>
  <c r="Z1874" i="1"/>
  <c r="V1874" i="1" s="1"/>
  <c r="AA1874" i="1"/>
  <c r="Z1872" i="1"/>
  <c r="V1872" i="1" s="1"/>
  <c r="W1872" i="1" s="1"/>
  <c r="AA1872" i="1"/>
  <c r="Z1864" i="1"/>
  <c r="V1864" i="1" s="1"/>
  <c r="W1864" i="1" s="1"/>
  <c r="AA1864" i="1"/>
  <c r="Z1862" i="1"/>
  <c r="S1862" i="1" s="1"/>
  <c r="AA1862" i="1"/>
  <c r="Z1854" i="1"/>
  <c r="V1854" i="1" s="1"/>
  <c r="W1854" i="1" s="1"/>
  <c r="AA1854" i="1"/>
  <c r="Z1845" i="1"/>
  <c r="S1845" i="1" s="1"/>
  <c r="AA1845" i="1"/>
  <c r="Z1841" i="1"/>
  <c r="V1841" i="1" s="1"/>
  <c r="W1841" i="1" s="1"/>
  <c r="AA1841" i="1"/>
  <c r="Z1840" i="1"/>
  <c r="S1840" i="1" s="1"/>
  <c r="AA1840" i="1"/>
  <c r="Z1836" i="1"/>
  <c r="V1836" i="1" s="1"/>
  <c r="W1836" i="1" s="1"/>
  <c r="AA1836" i="1"/>
  <c r="Z1830" i="1"/>
  <c r="V1830" i="1" s="1"/>
  <c r="W1830" i="1" s="1"/>
  <c r="AA1830" i="1"/>
  <c r="Z1828" i="1"/>
  <c r="V1828" i="1" s="1"/>
  <c r="W1828" i="1" s="1"/>
  <c r="AA1828" i="1"/>
  <c r="Z1816" i="1"/>
  <c r="V1816" i="1" s="1"/>
  <c r="W1816" i="1" s="1"/>
  <c r="AA1816" i="1"/>
  <c r="Z1812" i="1"/>
  <c r="V1812" i="1" s="1"/>
  <c r="W1812" i="1" s="1"/>
  <c r="AA1812" i="1"/>
  <c r="AA1810" i="1"/>
  <c r="Z1810" i="1"/>
  <c r="S1810" i="1" s="1"/>
  <c r="AA1805" i="1"/>
  <c r="Z1805" i="1"/>
  <c r="V1805" i="1" s="1"/>
  <c r="W1805" i="1" s="1"/>
  <c r="AA1801" i="1"/>
  <c r="Z1801" i="1"/>
  <c r="S1801" i="1" s="1"/>
  <c r="AA1796" i="1"/>
  <c r="Z1796" i="1"/>
  <c r="V1796" i="1" s="1"/>
  <c r="W1796" i="1" s="1"/>
  <c r="AA1792" i="1"/>
  <c r="Z1792" i="1"/>
  <c r="V1792" i="1" s="1"/>
  <c r="W1792" i="1" s="1"/>
  <c r="AA1789" i="1"/>
  <c r="Z1789" i="1"/>
  <c r="S1789" i="1" s="1"/>
  <c r="AA1785" i="1"/>
  <c r="Z1785" i="1"/>
  <c r="V1785" i="1" s="1"/>
  <c r="W1785" i="1" s="1"/>
  <c r="AA1780" i="1"/>
  <c r="Z1780" i="1"/>
  <c r="V1780" i="1" s="1"/>
  <c r="W1780" i="1" s="1"/>
  <c r="AA1778" i="1"/>
  <c r="Z1778" i="1"/>
  <c r="S1778" i="1" s="1"/>
  <c r="AA1774" i="1"/>
  <c r="Z1774" i="1"/>
  <c r="V1774" i="1" s="1"/>
  <c r="W1774" i="1" s="1"/>
  <c r="AA1770" i="1"/>
  <c r="Z1770" i="1"/>
  <c r="V1770" i="1" s="1"/>
  <c r="W1770" i="1" s="1"/>
  <c r="AA1766" i="1"/>
  <c r="Z1766" i="1"/>
  <c r="V1766" i="1" s="1"/>
  <c r="AA1762" i="1"/>
  <c r="Z1762" i="1"/>
  <c r="V1762" i="1" s="1"/>
  <c r="AA1881" i="1"/>
  <c r="Z1881" i="1"/>
  <c r="V1881" i="1" s="1"/>
  <c r="W1881" i="1" s="1"/>
  <c r="AA1879" i="1"/>
  <c r="Z1879" i="1"/>
  <c r="V1879" i="1" s="1"/>
  <c r="W1879" i="1" s="1"/>
  <c r="AA1873" i="1"/>
  <c r="Z1873" i="1"/>
  <c r="V1873" i="1" s="1"/>
  <c r="W1873" i="1" s="1"/>
  <c r="AA1871" i="1"/>
  <c r="Z1871" i="1"/>
  <c r="V1871" i="1" s="1"/>
  <c r="W1871" i="1" s="1"/>
  <c r="AA1861" i="1"/>
  <c r="Z1861" i="1"/>
  <c r="V1861" i="1" s="1"/>
  <c r="W1861" i="1" s="1"/>
  <c r="AA1859" i="1"/>
  <c r="Z1859" i="1"/>
  <c r="V1859" i="1" s="1"/>
  <c r="W1859" i="1" s="1"/>
  <c r="AA1853" i="1"/>
  <c r="Z1853" i="1"/>
  <c r="V1853" i="1" s="1"/>
  <c r="W1853" i="1" s="1"/>
  <c r="AA1852" i="1"/>
  <c r="Z1852" i="1"/>
  <c r="V1852" i="1" s="1"/>
  <c r="AA1849" i="1"/>
  <c r="Z1849" i="1"/>
  <c r="V1849" i="1" s="1"/>
  <c r="W1849" i="1" s="1"/>
  <c r="AA1848" i="1"/>
  <c r="Z1848" i="1"/>
  <c r="V1848" i="1" s="1"/>
  <c r="W1848" i="1" s="1"/>
  <c r="AA1844" i="1"/>
  <c r="Z1844" i="1"/>
  <c r="V1844" i="1" s="1"/>
  <c r="W1844" i="1" s="1"/>
  <c r="AA1839" i="1"/>
  <c r="Z1839" i="1"/>
  <c r="V1839" i="1" s="1"/>
  <c r="W1839" i="1" s="1"/>
  <c r="AA1835" i="1"/>
  <c r="Z1835" i="1"/>
  <c r="V1835" i="1" s="1"/>
  <c r="W1835" i="1" s="1"/>
  <c r="AA1827" i="1"/>
  <c r="Z1827" i="1"/>
  <c r="V1827" i="1" s="1"/>
  <c r="AA1821" i="1"/>
  <c r="Z1821" i="1"/>
  <c r="V1821" i="1" s="1"/>
  <c r="W1821" i="1" s="1"/>
  <c r="AA1815" i="1"/>
  <c r="Z1815" i="1"/>
  <c r="V1815" i="1" s="1"/>
  <c r="W1815" i="1" s="1"/>
  <c r="AA1809" i="1"/>
  <c r="Z1809" i="1"/>
  <c r="V1809" i="1" s="1"/>
  <c r="W1809" i="1" s="1"/>
  <c r="AA1804" i="1"/>
  <c r="Z1804" i="1"/>
  <c r="V1804" i="1" s="1"/>
  <c r="W1804" i="1" s="1"/>
  <c r="AA1800" i="1"/>
  <c r="Z1800" i="1"/>
  <c r="V1800" i="1" s="1"/>
  <c r="W1800" i="1" s="1"/>
  <c r="AA1797" i="1"/>
  <c r="Z1797" i="1"/>
  <c r="V1797" i="1" s="1"/>
  <c r="W1797" i="1" s="1"/>
  <c r="AA1795" i="1"/>
  <c r="Z1795" i="1"/>
  <c r="V1795" i="1" s="1"/>
  <c r="W1795" i="1" s="1"/>
  <c r="AA1791" i="1"/>
  <c r="Z1791" i="1"/>
  <c r="V1791" i="1" s="1"/>
  <c r="W1791" i="1" s="1"/>
  <c r="AA1788" i="1"/>
  <c r="Z1788" i="1"/>
  <c r="V1788" i="1" s="1"/>
  <c r="W1788" i="1" s="1"/>
  <c r="AA1784" i="1"/>
  <c r="Z1784" i="1"/>
  <c r="V1784" i="1" s="1"/>
  <c r="W1784" i="1" s="1"/>
  <c r="AA1783" i="1"/>
  <c r="Z1783" i="1"/>
  <c r="V1783" i="1" s="1"/>
  <c r="AA1779" i="1"/>
  <c r="Z1779" i="1"/>
  <c r="V1779" i="1" s="1"/>
  <c r="W1779" i="1" s="1"/>
  <c r="AA1777" i="1"/>
  <c r="Z1777" i="1"/>
  <c r="V1777" i="1" s="1"/>
  <c r="AA1773" i="1"/>
  <c r="Z1773" i="1"/>
  <c r="V1773" i="1" s="1"/>
  <c r="W1773" i="1" s="1"/>
  <c r="AA1769" i="1"/>
  <c r="Z1769" i="1"/>
  <c r="V1769" i="1" s="1"/>
  <c r="W1769" i="1" s="1"/>
  <c r="AA1765" i="1"/>
  <c r="Z1765" i="1"/>
  <c r="V1765" i="1" s="1"/>
  <c r="W1765" i="1" s="1"/>
  <c r="AA1760" i="1"/>
  <c r="Z1760" i="1"/>
  <c r="V1760" i="1" s="1"/>
  <c r="W1760" i="1" s="1"/>
  <c r="AA1759" i="1"/>
  <c r="Z1759" i="1"/>
  <c r="V1759" i="1" s="1"/>
  <c r="W1759" i="1" s="1"/>
  <c r="AA1878" i="1"/>
  <c r="Z1878" i="1"/>
  <c r="Y1878" i="1" s="1"/>
  <c r="AU1878" i="1" s="1"/>
  <c r="AA1876" i="1"/>
  <c r="Z1876" i="1"/>
  <c r="S1876" i="1" s="1"/>
  <c r="AA1870" i="1"/>
  <c r="Z1870" i="1"/>
  <c r="Y1870" i="1" s="1"/>
  <c r="AU1870" i="1" s="1"/>
  <c r="AA1868" i="1"/>
  <c r="Z1868" i="1"/>
  <c r="S1868" i="1" s="1"/>
  <c r="AA1866" i="1"/>
  <c r="Z1866" i="1"/>
  <c r="Y1866" i="1" s="1"/>
  <c r="AU1866" i="1" s="1"/>
  <c r="AA1860" i="1"/>
  <c r="Z1860" i="1"/>
  <c r="S1860" i="1" s="1"/>
  <c r="AA1858" i="1"/>
  <c r="Z1858" i="1"/>
  <c r="Y1858" i="1" s="1"/>
  <c r="AU1858" i="1" s="1"/>
  <c r="AA1856" i="1"/>
  <c r="Z1856" i="1"/>
  <c r="Y1856" i="1" s="1"/>
  <c r="AU1856" i="1" s="1"/>
  <c r="AA1851" i="1"/>
  <c r="Z1851" i="1"/>
  <c r="Y1851" i="1" s="1"/>
  <c r="AU1851" i="1" s="1"/>
  <c r="AA1850" i="1"/>
  <c r="Z1850" i="1"/>
  <c r="Y1850" i="1" s="1"/>
  <c r="AU1850" i="1" s="1"/>
  <c r="AA1847" i="1"/>
  <c r="Z1847" i="1"/>
  <c r="Y1847" i="1" s="1"/>
  <c r="AU1847" i="1" s="1"/>
  <c r="AA1843" i="1"/>
  <c r="Z1843" i="1"/>
  <c r="Y1843" i="1" s="1"/>
  <c r="AU1843" i="1" s="1"/>
  <c r="AA1838" i="1"/>
  <c r="Z1838" i="1"/>
  <c r="Y1838" i="1" s="1"/>
  <c r="AU1838" i="1" s="1"/>
  <c r="AA1834" i="1"/>
  <c r="Z1834" i="1"/>
  <c r="Y1834" i="1" s="1"/>
  <c r="AU1834" i="1" s="1"/>
  <c r="AA1832" i="1"/>
  <c r="Z1832" i="1"/>
  <c r="S1832" i="1" s="1"/>
  <c r="AA1826" i="1"/>
  <c r="Z1826" i="1"/>
  <c r="Y1826" i="1" s="1"/>
  <c r="AU1826" i="1" s="1"/>
  <c r="AA1824" i="1"/>
  <c r="Z1824" i="1"/>
  <c r="Y1824" i="1" s="1"/>
  <c r="AU1824" i="1" s="1"/>
  <c r="AA1822" i="1"/>
  <c r="Z1822" i="1"/>
  <c r="Y1822" i="1" s="1"/>
  <c r="AU1822" i="1" s="1"/>
  <c r="AA1820" i="1"/>
  <c r="Z1820" i="1"/>
  <c r="Y1820" i="1" s="1"/>
  <c r="AU1820" i="1" s="1"/>
  <c r="AA1818" i="1"/>
  <c r="Z1818" i="1"/>
  <c r="S1818" i="1" s="1"/>
  <c r="AA1814" i="1"/>
  <c r="Z1814" i="1"/>
  <c r="Y1814" i="1" s="1"/>
  <c r="AU1814" i="1" s="1"/>
  <c r="AA1808" i="1"/>
  <c r="Z1808" i="1"/>
  <c r="S1808" i="1" s="1"/>
  <c r="AA1803" i="1"/>
  <c r="Z1803" i="1"/>
  <c r="Y1803" i="1" s="1"/>
  <c r="AU1803" i="1" s="1"/>
  <c r="AA1799" i="1"/>
  <c r="Z1799" i="1"/>
  <c r="S1799" i="1" s="1"/>
  <c r="AA1794" i="1"/>
  <c r="Z1794" i="1"/>
  <c r="Y1794" i="1" s="1"/>
  <c r="AU1794" i="1" s="1"/>
  <c r="AA1790" i="1"/>
  <c r="Z1790" i="1"/>
  <c r="Y1790" i="1" s="1"/>
  <c r="AU1790" i="1" s="1"/>
  <c r="AA1787" i="1"/>
  <c r="Z1787" i="1"/>
  <c r="S1787" i="1" s="1"/>
  <c r="AA1782" i="1"/>
  <c r="Z1782" i="1"/>
  <c r="Y1782" i="1" s="1"/>
  <c r="AU1782" i="1" s="1"/>
  <c r="AA1776" i="1"/>
  <c r="Z1776" i="1"/>
  <c r="S1776" i="1" s="1"/>
  <c r="AA1772" i="1"/>
  <c r="Z1772" i="1"/>
  <c r="Y1772" i="1" s="1"/>
  <c r="AU1772" i="1" s="1"/>
  <c r="AA1768" i="1"/>
  <c r="Z1768" i="1"/>
  <c r="Y1768" i="1" s="1"/>
  <c r="AU1768" i="1" s="1"/>
  <c r="AA1764" i="1"/>
  <c r="Z1764" i="1"/>
  <c r="Y1764" i="1" s="1"/>
  <c r="AU1764" i="1" s="1"/>
  <c r="AA1758" i="1"/>
  <c r="Z1758" i="1"/>
  <c r="Y1758" i="1" s="1"/>
  <c r="AU1758" i="1" s="1"/>
  <c r="AA1757" i="1"/>
  <c r="Z1757" i="1"/>
  <c r="Y1757" i="1" s="1"/>
  <c r="AU1757" i="1" s="1"/>
  <c r="Y1882" i="1"/>
  <c r="AU1882" i="1" s="1"/>
  <c r="Y1880" i="1"/>
  <c r="AU1880" i="1" s="1"/>
  <c r="Y1874" i="1"/>
  <c r="AU1874" i="1" s="1"/>
  <c r="Y1872" i="1"/>
  <c r="AU1872" i="1" s="1"/>
  <c r="Y1864" i="1"/>
  <c r="AU1864" i="1" s="1"/>
  <c r="Y1862" i="1"/>
  <c r="AU1862" i="1" s="1"/>
  <c r="Y1854" i="1"/>
  <c r="AU1854" i="1" s="1"/>
  <c r="Y1845" i="1"/>
  <c r="AU1845" i="1" s="1"/>
  <c r="Y1841" i="1"/>
  <c r="AU1841" i="1" s="1"/>
  <c r="Y1840" i="1"/>
  <c r="AU1840" i="1" s="1"/>
  <c r="Y1836" i="1"/>
  <c r="AU1836" i="1" s="1"/>
  <c r="Y1830" i="1"/>
  <c r="AU1830" i="1" s="1"/>
  <c r="Y1828" i="1"/>
  <c r="AU1828" i="1" s="1"/>
  <c r="Y1816" i="1"/>
  <c r="AU1816" i="1" s="1"/>
  <c r="Y1812" i="1"/>
  <c r="AU1812" i="1" s="1"/>
  <c r="Y1810" i="1"/>
  <c r="AU1810" i="1" s="1"/>
  <c r="Y1805" i="1"/>
  <c r="AU1805" i="1" s="1"/>
  <c r="Y1801" i="1"/>
  <c r="AU1801" i="1" s="1"/>
  <c r="Y1796" i="1"/>
  <c r="AU1796" i="1" s="1"/>
  <c r="Y1792" i="1"/>
  <c r="AU1792" i="1" s="1"/>
  <c r="Y1789" i="1"/>
  <c r="AU1789" i="1" s="1"/>
  <c r="Y1785" i="1"/>
  <c r="AU1785" i="1" s="1"/>
  <c r="Y1780" i="1"/>
  <c r="AU1780" i="1" s="1"/>
  <c r="Y1778" i="1"/>
  <c r="AU1778" i="1" s="1"/>
  <c r="Y1774" i="1"/>
  <c r="AU1774" i="1" s="1"/>
  <c r="Y1770" i="1"/>
  <c r="AU1770" i="1" s="1"/>
  <c r="Y1766" i="1"/>
  <c r="AU1766" i="1" s="1"/>
  <c r="Y1762" i="1"/>
  <c r="AU1762" i="1" s="1"/>
  <c r="Z1883" i="1"/>
  <c r="S1883" i="1" s="1"/>
  <c r="AA1883" i="1"/>
  <c r="Z1877" i="1"/>
  <c r="S1877" i="1" s="1"/>
  <c r="AA1877" i="1"/>
  <c r="Z1875" i="1"/>
  <c r="S1875" i="1" s="1"/>
  <c r="AA1875" i="1"/>
  <c r="Z1869" i="1"/>
  <c r="S1869" i="1" s="1"/>
  <c r="AA1869" i="1"/>
  <c r="Z1867" i="1"/>
  <c r="S1867" i="1" s="1"/>
  <c r="AA1867" i="1"/>
  <c r="Z1865" i="1"/>
  <c r="S1865" i="1" s="1"/>
  <c r="AA1865" i="1"/>
  <c r="Z1863" i="1"/>
  <c r="S1863" i="1" s="1"/>
  <c r="AA1863" i="1"/>
  <c r="Z1857" i="1"/>
  <c r="S1857" i="1" s="1"/>
  <c r="AA1857" i="1"/>
  <c r="Z1855" i="1"/>
  <c r="S1855" i="1" s="1"/>
  <c r="AA1855" i="1"/>
  <c r="Z1846" i="1"/>
  <c r="S1846" i="1" s="1"/>
  <c r="AA1846" i="1"/>
  <c r="Z1842" i="1"/>
  <c r="S1842" i="1" s="1"/>
  <c r="AA1842" i="1"/>
  <c r="Z1837" i="1"/>
  <c r="S1837" i="1" s="1"/>
  <c r="AA1837" i="1"/>
  <c r="Z1833" i="1"/>
  <c r="S1833" i="1" s="1"/>
  <c r="AA1833" i="1"/>
  <c r="Z1831" i="1"/>
  <c r="S1831" i="1" s="1"/>
  <c r="AA1831" i="1"/>
  <c r="Z1829" i="1"/>
  <c r="S1829" i="1" s="1"/>
  <c r="AA1829" i="1"/>
  <c r="Z1825" i="1"/>
  <c r="S1825" i="1" s="1"/>
  <c r="AA1825" i="1"/>
  <c r="Z1823" i="1"/>
  <c r="S1823" i="1" s="1"/>
  <c r="AA1823" i="1"/>
  <c r="Z1819" i="1"/>
  <c r="S1819" i="1" s="1"/>
  <c r="AA1819" i="1"/>
  <c r="Z1817" i="1"/>
  <c r="S1817" i="1" s="1"/>
  <c r="AA1817" i="1"/>
  <c r="Z1813" i="1"/>
  <c r="S1813" i="1" s="1"/>
  <c r="AA1813" i="1"/>
  <c r="AA1811" i="1"/>
  <c r="Z1811" i="1"/>
  <c r="S1811" i="1" s="1"/>
  <c r="Z1807" i="1"/>
  <c r="S1807" i="1" s="1"/>
  <c r="AA1807" i="1"/>
  <c r="Z1806" i="1"/>
  <c r="S1806" i="1" s="1"/>
  <c r="AA1806" i="1"/>
  <c r="AA1802" i="1"/>
  <c r="Z1802" i="1"/>
  <c r="S1802" i="1" s="1"/>
  <c r="Z1798" i="1"/>
  <c r="S1798" i="1" s="1"/>
  <c r="AA1798" i="1"/>
  <c r="Z1793" i="1"/>
  <c r="S1793" i="1" s="1"/>
  <c r="AA1793" i="1"/>
  <c r="Z1786" i="1"/>
  <c r="S1786" i="1" s="1"/>
  <c r="AA1786" i="1"/>
  <c r="Z1781" i="1"/>
  <c r="S1781" i="1" s="1"/>
  <c r="AA1781" i="1"/>
  <c r="Z1775" i="1"/>
  <c r="S1775" i="1" s="1"/>
  <c r="AA1775" i="1"/>
  <c r="AA1771" i="1"/>
  <c r="Z1771" i="1"/>
  <c r="S1771" i="1" s="1"/>
  <c r="Z1767" i="1"/>
  <c r="S1767" i="1" s="1"/>
  <c r="AA1767" i="1"/>
  <c r="AA1763" i="1"/>
  <c r="Z1763" i="1"/>
  <c r="S1763" i="1" s="1"/>
  <c r="Z1761" i="1"/>
  <c r="S1761" i="1" s="1"/>
  <c r="AA1761" i="1"/>
  <c r="Y1881" i="1"/>
  <c r="AU1881" i="1" s="1"/>
  <c r="Y1879" i="1"/>
  <c r="AU1879" i="1" s="1"/>
  <c r="Y1873" i="1"/>
  <c r="AU1873" i="1" s="1"/>
  <c r="Y1871" i="1"/>
  <c r="AU1871" i="1" s="1"/>
  <c r="Y1861" i="1"/>
  <c r="AU1861" i="1" s="1"/>
  <c r="Y1859" i="1"/>
  <c r="AU1859" i="1" s="1"/>
  <c r="Y1853" i="1"/>
  <c r="AU1853" i="1" s="1"/>
  <c r="Y1852" i="1"/>
  <c r="AU1852" i="1" s="1"/>
  <c r="Y1849" i="1"/>
  <c r="AU1849" i="1" s="1"/>
  <c r="Y1848" i="1"/>
  <c r="AU1848" i="1" s="1"/>
  <c r="Y1844" i="1"/>
  <c r="AU1844" i="1" s="1"/>
  <c r="Y1839" i="1"/>
  <c r="AU1839" i="1" s="1"/>
  <c r="Y1835" i="1"/>
  <c r="AU1835" i="1" s="1"/>
  <c r="Y1827" i="1"/>
  <c r="AU1827" i="1" s="1"/>
  <c r="Y1821" i="1"/>
  <c r="AU1821" i="1" s="1"/>
  <c r="Y1815" i="1"/>
  <c r="AU1815" i="1" s="1"/>
  <c r="Y1809" i="1"/>
  <c r="AU1809" i="1" s="1"/>
  <c r="Y1804" i="1"/>
  <c r="AU1804" i="1" s="1"/>
  <c r="Y1800" i="1"/>
  <c r="AU1800" i="1" s="1"/>
  <c r="Y1797" i="1"/>
  <c r="AU1797" i="1" s="1"/>
  <c r="Y1795" i="1"/>
  <c r="AU1795" i="1" s="1"/>
  <c r="Y1791" i="1"/>
  <c r="AU1791" i="1" s="1"/>
  <c r="Y1788" i="1"/>
  <c r="AU1788" i="1" s="1"/>
  <c r="Y1784" i="1"/>
  <c r="AU1784" i="1" s="1"/>
  <c r="Y1783" i="1"/>
  <c r="AU1783" i="1" s="1"/>
  <c r="Y1779" i="1"/>
  <c r="AU1779" i="1" s="1"/>
  <c r="Y1777" i="1"/>
  <c r="AU1777" i="1" s="1"/>
  <c r="Y1773" i="1"/>
  <c r="AU1773" i="1" s="1"/>
  <c r="Y1769" i="1"/>
  <c r="AU1769" i="1" s="1"/>
  <c r="Y1765" i="1"/>
  <c r="AU1765" i="1" s="1"/>
  <c r="Y1760" i="1"/>
  <c r="AU1760" i="1" s="1"/>
  <c r="Y1759" i="1"/>
  <c r="AU1759" i="1" s="1"/>
  <c r="BE2" i="1" l="1"/>
  <c r="BE1447" i="1"/>
  <c r="BE589" i="1"/>
  <c r="BE286" i="1"/>
  <c r="BE479" i="1"/>
  <c r="BA2" i="1"/>
  <c r="BA240" i="1"/>
  <c r="BJ240" i="1" s="1"/>
  <c r="BA1727" i="1"/>
  <c r="BJ1727" i="1" s="1"/>
  <c r="BF279" i="1"/>
  <c r="BF499" i="1"/>
  <c r="BF1252" i="1"/>
  <c r="BF385" i="1"/>
  <c r="BF222" i="1"/>
  <c r="BJ1291" i="1"/>
  <c r="BK1291" i="1" s="1"/>
  <c r="BF1291" i="1"/>
  <c r="BF757" i="1"/>
  <c r="BF1191" i="1"/>
  <c r="BF1285" i="1"/>
  <c r="BF487" i="1"/>
  <c r="BF1256" i="1"/>
  <c r="BF1316" i="1"/>
  <c r="BF928" i="1"/>
  <c r="BJ1322" i="1"/>
  <c r="BK1322" i="1" s="1"/>
  <c r="BF1322" i="1"/>
  <c r="BF1395" i="1"/>
  <c r="BJ674" i="1"/>
  <c r="BK674" i="1" s="1"/>
  <c r="BF674" i="1"/>
  <c r="BF856" i="1"/>
  <c r="BJ1526" i="1"/>
  <c r="BK1526" i="1" s="1"/>
  <c r="BF1526" i="1"/>
  <c r="BF33" i="1"/>
  <c r="BF1653" i="1"/>
  <c r="BF658" i="1"/>
  <c r="BF522" i="1"/>
  <c r="BJ621" i="1"/>
  <c r="BK621" i="1" s="1"/>
  <c r="BF621" i="1"/>
  <c r="BF756" i="1"/>
  <c r="BJ1384" i="1"/>
  <c r="BK1384" i="1" s="1"/>
  <c r="BF1384" i="1"/>
  <c r="BF855" i="1"/>
  <c r="BF316" i="1"/>
  <c r="BF294" i="1"/>
  <c r="BF697" i="1"/>
  <c r="BF1189" i="1"/>
  <c r="BF1481" i="1"/>
  <c r="BF1184" i="1"/>
  <c r="BF243" i="1"/>
  <c r="BF259" i="1"/>
  <c r="BF220" i="1"/>
  <c r="BF789" i="1"/>
  <c r="BF306" i="1"/>
  <c r="BF1386" i="1"/>
  <c r="BF883" i="1"/>
  <c r="BF1265" i="1"/>
  <c r="BF366" i="1"/>
  <c r="BF1479" i="1"/>
  <c r="BJ1052" i="1"/>
  <c r="BK1052" i="1" s="1"/>
  <c r="BF1052" i="1"/>
  <c r="BF1718" i="1"/>
  <c r="BF478" i="1"/>
  <c r="BF1234" i="1"/>
  <c r="BF280" i="1"/>
  <c r="BF884" i="1"/>
  <c r="BF1228" i="1"/>
  <c r="BJ1222" i="1"/>
  <c r="BK1222" i="1" s="1"/>
  <c r="BF1222" i="1"/>
  <c r="BF861" i="1"/>
  <c r="BF1006" i="1"/>
  <c r="BF1497" i="1"/>
  <c r="BF1513" i="1"/>
  <c r="BF1675" i="1"/>
  <c r="BE1240" i="1"/>
  <c r="BE809" i="1"/>
  <c r="BE1708" i="1"/>
  <c r="BE1600" i="1"/>
  <c r="BE370" i="1"/>
  <c r="BE276" i="1"/>
  <c r="BE1419" i="1"/>
  <c r="BE1528" i="1"/>
  <c r="BE1353" i="1"/>
  <c r="BE950" i="1"/>
  <c r="BE34" i="1"/>
  <c r="BE22" i="1"/>
  <c r="BE480" i="1"/>
  <c r="BE586" i="1"/>
  <c r="BE760" i="1"/>
  <c r="BE396" i="1"/>
  <c r="BE44" i="1"/>
  <c r="BE1072" i="1"/>
  <c r="BE833" i="1"/>
  <c r="BE167" i="1"/>
  <c r="BE999" i="1"/>
  <c r="BE562" i="1"/>
  <c r="BE628" i="1"/>
  <c r="BE1216" i="1"/>
  <c r="BE958" i="1"/>
  <c r="BE720" i="1"/>
  <c r="BE1330" i="1"/>
  <c r="BE1282" i="1"/>
  <c r="BE1401" i="1"/>
  <c r="BE564" i="1"/>
  <c r="BE58" i="1"/>
  <c r="BE788" i="1"/>
  <c r="BE985" i="1"/>
  <c r="BE933" i="1"/>
  <c r="BE506" i="1"/>
  <c r="BE1328" i="1"/>
  <c r="BE866" i="1"/>
  <c r="BE70" i="1"/>
  <c r="BE1507" i="1"/>
  <c r="BE361" i="1"/>
  <c r="BE226" i="1"/>
  <c r="BE1173" i="1"/>
  <c r="BE1408" i="1"/>
  <c r="BE498" i="1"/>
  <c r="BE536" i="1"/>
  <c r="BE1134" i="1"/>
  <c r="BE16" i="1"/>
  <c r="BE1044" i="1"/>
  <c r="BE877" i="1"/>
  <c r="BE1449" i="1"/>
  <c r="BE1475" i="1"/>
  <c r="BE418" i="1"/>
  <c r="BE416" i="1"/>
  <c r="BE960" i="1"/>
  <c r="BE432" i="1"/>
  <c r="BE121" i="1"/>
  <c r="BE442" i="1"/>
  <c r="BE740" i="1"/>
  <c r="BE425" i="1"/>
  <c r="BE66" i="1"/>
  <c r="BE440" i="1"/>
  <c r="BE80" i="1"/>
  <c r="BE123" i="1"/>
  <c r="BE1537" i="1"/>
  <c r="BE722" i="1"/>
  <c r="BE426" i="1"/>
  <c r="BE585" i="1"/>
  <c r="BE1132" i="1"/>
  <c r="BE162" i="1"/>
  <c r="BE1299" i="1"/>
  <c r="BE965" i="1"/>
  <c r="BE436" i="1"/>
  <c r="BE524" i="1"/>
  <c r="BE1164" i="1"/>
  <c r="BE178" i="1"/>
  <c r="BE1343" i="1"/>
  <c r="BE160" i="1"/>
  <c r="BE137" i="1"/>
  <c r="BE299" i="1"/>
  <c r="BE742" i="1"/>
  <c r="BE187" i="1"/>
  <c r="BE1083" i="1"/>
  <c r="BE25" i="1"/>
  <c r="BE629" i="1"/>
  <c r="BE1601" i="1"/>
  <c r="BE530" i="1"/>
  <c r="BE395" i="1"/>
  <c r="BE1291" i="1"/>
  <c r="BE1477" i="1"/>
  <c r="BE1414" i="1"/>
  <c r="BE767" i="1"/>
  <c r="BE1527" i="1"/>
  <c r="BE1190" i="1"/>
  <c r="BE1627" i="1"/>
  <c r="BE940" i="1"/>
  <c r="BE24" i="1"/>
  <c r="BE657" i="1"/>
  <c r="BE86" i="1"/>
  <c r="BE744" i="1"/>
  <c r="BE1233" i="1"/>
  <c r="BE1032" i="1"/>
  <c r="BE1416" i="1"/>
  <c r="BE673" i="1"/>
  <c r="BE150" i="1"/>
  <c r="BE1020" i="1"/>
  <c r="BE1532" i="1"/>
  <c r="BE1094" i="1"/>
  <c r="BE1724" i="1"/>
  <c r="BE766" i="1"/>
  <c r="BE743" i="1"/>
  <c r="BE1647" i="1"/>
  <c r="BE512" i="1"/>
  <c r="BE189" i="1"/>
  <c r="BE254" i="1"/>
  <c r="BE974" i="1"/>
  <c r="BE1686" i="1"/>
  <c r="BE1499" i="1"/>
  <c r="BE1074" i="1"/>
  <c r="BE1546" i="1"/>
  <c r="BE1331" i="1"/>
  <c r="BE1656" i="1"/>
  <c r="BE252" i="1"/>
  <c r="BE397" i="1"/>
  <c r="BE942" i="1"/>
  <c r="BE1348" i="1"/>
  <c r="BE1181" i="1"/>
  <c r="BE1540" i="1"/>
  <c r="BE1476" i="1"/>
  <c r="BE413" i="1"/>
  <c r="BE1006" i="1"/>
  <c r="BE804" i="1"/>
  <c r="BE677" i="1"/>
  <c r="BE46" i="1"/>
  <c r="BE1259" i="1"/>
  <c r="BE1358" i="1"/>
  <c r="BE323" i="1"/>
  <c r="BE1463" i="1"/>
  <c r="BE1120" i="1"/>
  <c r="BE797" i="1"/>
  <c r="BE1609" i="1"/>
  <c r="BE522" i="1"/>
  <c r="BE531" i="1"/>
  <c r="BE1719" i="1"/>
  <c r="BE446" i="1"/>
  <c r="BE423" i="1"/>
  <c r="BE1327" i="1"/>
  <c r="BE1682" i="1"/>
  <c r="BE927" i="1"/>
  <c r="BE1395" i="1"/>
  <c r="BE913" i="1"/>
  <c r="BE624" i="1"/>
  <c r="BE52" i="1"/>
  <c r="BE201" i="1"/>
  <c r="BE61" i="1"/>
  <c r="BG61" i="1" s="1"/>
  <c r="BE255" i="1"/>
  <c r="BE1646" i="1"/>
  <c r="BE1483" i="1"/>
  <c r="BE385" i="1"/>
  <c r="BE662" i="1"/>
  <c r="BE559" i="1"/>
  <c r="BE566" i="1"/>
  <c r="BE495" i="1"/>
  <c r="BE246" i="1"/>
  <c r="BE1471" i="1"/>
  <c r="BE1061" i="1"/>
  <c r="BE953" i="1"/>
  <c r="BE456" i="1"/>
  <c r="BE874" i="1"/>
  <c r="BE1048" i="1"/>
  <c r="BE1053" i="1"/>
  <c r="BG1053" i="1" s="1"/>
  <c r="BE632" i="1"/>
  <c r="BE569" i="1"/>
  <c r="BE642" i="1"/>
  <c r="BE515" i="1"/>
  <c r="BE1332" i="1"/>
  <c r="BE989" i="1"/>
  <c r="BE718" i="1"/>
  <c r="BE1119" i="1"/>
  <c r="BE670" i="1"/>
  <c r="BE1079" i="1"/>
  <c r="BE1269" i="1"/>
  <c r="BE1097" i="1"/>
  <c r="BE1363" i="1"/>
  <c r="BE598" i="1"/>
  <c r="BE181" i="1"/>
  <c r="BE1729" i="1"/>
  <c r="BE1432" i="1"/>
  <c r="BE1313" i="1"/>
  <c r="BE470" i="1"/>
  <c r="BE1706" i="1"/>
  <c r="BE1624" i="1"/>
  <c r="BE777" i="1"/>
  <c r="BE1251" i="1"/>
  <c r="BE591" i="1"/>
  <c r="BE1200" i="1"/>
  <c r="BE429" i="1"/>
  <c r="BE1039" i="1"/>
  <c r="BE1146" i="1"/>
  <c r="BE243" i="1"/>
  <c r="BE1543" i="1"/>
  <c r="BE1067" i="1"/>
  <c r="BE1552" i="1"/>
  <c r="BE813" i="1"/>
  <c r="BE1311" i="1"/>
  <c r="BE477" i="1"/>
  <c r="BE805" i="1"/>
  <c r="BE8" i="1"/>
  <c r="BE20" i="1"/>
  <c r="BE1314" i="1"/>
  <c r="BE577" i="1"/>
  <c r="BE1673" i="1"/>
  <c r="BE1727" i="1"/>
  <c r="BE789" i="1"/>
  <c r="BE896" i="1"/>
  <c r="BE873" i="1"/>
  <c r="BE435" i="1"/>
  <c r="BE49" i="1"/>
  <c r="BE1462" i="1"/>
  <c r="BE472" i="1"/>
  <c r="BG472" i="1" s="1"/>
  <c r="BE928" i="1"/>
  <c r="BE889" i="1"/>
  <c r="BE499" i="1"/>
  <c r="BE1236" i="1"/>
  <c r="BE173" i="1"/>
  <c r="BE1534" i="1"/>
  <c r="BE1573" i="1"/>
  <c r="BE1502" i="1"/>
  <c r="BE831" i="1"/>
  <c r="BE920" i="1"/>
  <c r="BE1468" i="1"/>
  <c r="BE857" i="1"/>
  <c r="BE54" i="1"/>
  <c r="BE1254" i="1"/>
  <c r="BE1055" i="1"/>
  <c r="BG1055" i="1" s="1"/>
  <c r="BE1689" i="1"/>
  <c r="BE602" i="1"/>
  <c r="BE611" i="1"/>
  <c r="BE1443" i="1"/>
  <c r="BE1382" i="1"/>
  <c r="BE1255" i="1"/>
  <c r="BE1054" i="1"/>
  <c r="BG1054" i="1" s="1"/>
  <c r="BE250" i="1"/>
  <c r="BE645" i="1"/>
  <c r="BE1725" i="1"/>
  <c r="BE404" i="1"/>
  <c r="BE749" i="1"/>
  <c r="BE780" i="1"/>
  <c r="BE772" i="1"/>
  <c r="BE661" i="1"/>
  <c r="BE14" i="1"/>
  <c r="BE492" i="1"/>
  <c r="BE1312" i="1"/>
  <c r="BE1217" i="1"/>
  <c r="BE943" i="1"/>
  <c r="BE1186" i="1"/>
  <c r="BE1642" i="1"/>
  <c r="BE835" i="1"/>
  <c r="BE141" i="1"/>
  <c r="BE449" i="1"/>
  <c r="BE1165" i="1"/>
  <c r="BE1406" i="1"/>
  <c r="BE119" i="1"/>
  <c r="BE1043" i="1"/>
  <c r="BE678" i="1"/>
  <c r="BE155" i="1"/>
  <c r="BE1051" i="1"/>
  <c r="BE148" i="1"/>
  <c r="BE23" i="1"/>
  <c r="BE401" i="1"/>
  <c r="BE314" i="1"/>
  <c r="BE700" i="1"/>
  <c r="BE937" i="1"/>
  <c r="BE680" i="1"/>
  <c r="BE1144" i="1"/>
  <c r="BE417" i="1"/>
  <c r="BE378" i="1"/>
  <c r="BE708" i="1"/>
  <c r="BE1260" i="1"/>
  <c r="BE290" i="1"/>
  <c r="BE1695" i="1"/>
  <c r="BE574" i="1"/>
  <c r="BE519" i="1"/>
  <c r="BE1455" i="1"/>
  <c r="BE320" i="1"/>
  <c r="BE1041" i="1"/>
  <c r="BE30" i="1"/>
  <c r="BE782" i="1"/>
  <c r="BE759" i="1"/>
  <c r="BE1663" i="1"/>
  <c r="BE882" i="1"/>
  <c r="BE731" i="1"/>
  <c r="BE1143" i="1"/>
  <c r="BE794" i="1"/>
  <c r="BE823" i="1"/>
  <c r="BE1651" i="1"/>
  <c r="BE1645" i="1"/>
  <c r="BE200" i="1"/>
  <c r="BE916" i="1"/>
  <c r="BE179" i="1"/>
  <c r="BE1204" i="1"/>
  <c r="BE452" i="1"/>
  <c r="BE45" i="1"/>
  <c r="BE745" i="1"/>
  <c r="BE1047" i="1"/>
  <c r="BE816" i="1"/>
  <c r="BE364" i="1"/>
  <c r="BE856" i="1"/>
  <c r="BE28" i="1"/>
  <c r="BE469" i="1"/>
  <c r="BE1189" i="1"/>
  <c r="BE1303" i="1"/>
  <c r="BE1513" i="1"/>
  <c r="BE1381" i="1"/>
  <c r="BE1188" i="1"/>
  <c r="BE428" i="1"/>
  <c r="BE1166" i="1"/>
  <c r="BE605" i="1"/>
  <c r="BE1461" i="1"/>
  <c r="BE1427" i="1"/>
  <c r="BE721" i="1"/>
  <c r="BE1264" i="1"/>
  <c r="BE1169" i="1"/>
  <c r="BE815" i="1"/>
  <c r="BE1452" i="1"/>
  <c r="BE107" i="1"/>
  <c r="BE444" i="1"/>
  <c r="BE1280" i="1"/>
  <c r="BE1185" i="1"/>
  <c r="BE879" i="1"/>
  <c r="BE1572" i="1"/>
  <c r="BE557" i="1"/>
  <c r="BE1342" i="1"/>
  <c r="BE102" i="1"/>
  <c r="BE1302" i="1"/>
  <c r="BE1103" i="1"/>
  <c r="BE1192" i="1"/>
  <c r="BE13" i="1"/>
  <c r="BE1317" i="1"/>
  <c r="BE310" i="1"/>
  <c r="BE1730" i="1"/>
  <c r="BE1347" i="1"/>
  <c r="BE234" i="1"/>
  <c r="BE858" i="1"/>
  <c r="BE239" i="1"/>
  <c r="BE842" i="1"/>
  <c r="BE915" i="1"/>
  <c r="BE328" i="1"/>
  <c r="BE878" i="1"/>
  <c r="BE981" i="1"/>
  <c r="BE1257" i="1"/>
  <c r="BE204" i="1"/>
  <c r="BE169" i="1"/>
  <c r="BE284" i="1"/>
  <c r="BE696" i="1"/>
  <c r="BE997" i="1"/>
  <c r="BE1305" i="1"/>
  <c r="BE228" i="1"/>
  <c r="BE1680" i="1"/>
  <c r="BE1569" i="1"/>
  <c r="BE967" i="1"/>
  <c r="BE1454" i="1"/>
  <c r="BE183" i="1"/>
  <c r="BE1091" i="1"/>
  <c r="BE1124" i="1"/>
  <c r="BE705" i="1"/>
  <c r="BE1421" i="1"/>
  <c r="BE143" i="1"/>
  <c r="BE407" i="1"/>
  <c r="BE1355" i="1"/>
  <c r="BE546" i="1"/>
  <c r="BE411" i="1"/>
  <c r="BE1307" i="1"/>
  <c r="BE604" i="1"/>
  <c r="BE612" i="1"/>
  <c r="BE737" i="1"/>
  <c r="BG737" i="1" s="1"/>
  <c r="BE342" i="1"/>
  <c r="BE824" i="1"/>
  <c r="BE1425" i="1"/>
  <c r="BE1224" i="1"/>
  <c r="BE1496" i="1"/>
  <c r="BE753" i="1"/>
  <c r="BE406" i="1"/>
  <c r="BE360" i="1"/>
  <c r="BE1628" i="1"/>
  <c r="BE1069" i="1"/>
  <c r="BE505" i="1"/>
  <c r="BE830" i="1"/>
  <c r="BE1526" i="1"/>
  <c r="BE1711" i="1"/>
  <c r="BE592" i="1"/>
  <c r="BE253" i="1"/>
  <c r="BE318" i="1"/>
  <c r="BE1038" i="1"/>
  <c r="BE19" i="1"/>
  <c r="BE1563" i="1"/>
  <c r="BE1154" i="1"/>
  <c r="BE1610" i="1"/>
  <c r="BE803" i="1"/>
  <c r="BE1050" i="1"/>
  <c r="BE431" i="1"/>
  <c r="BE1595" i="1"/>
  <c r="BE430" i="1"/>
  <c r="BE473" i="1"/>
  <c r="BG473" i="1" s="1"/>
  <c r="BE1030" i="1"/>
  <c r="BE1322" i="1"/>
  <c r="BE687" i="1"/>
  <c r="BE1289" i="1"/>
  <c r="BE1262" i="1"/>
  <c r="BE227" i="1"/>
  <c r="BE1367" i="1"/>
  <c r="BE283" i="1"/>
  <c r="BE1179" i="1"/>
  <c r="BF1190" i="1"/>
  <c r="BF293" i="1"/>
  <c r="BF1246" i="1"/>
  <c r="BJ1456" i="1"/>
  <c r="BK1456" i="1" s="1"/>
  <c r="BF1456" i="1"/>
  <c r="BF667" i="1"/>
  <c r="BJ1385" i="1"/>
  <c r="BK1385" i="1" s="1"/>
  <c r="BF1385" i="1"/>
  <c r="BF696" i="1"/>
  <c r="BG696" i="1" s="1"/>
  <c r="BJ1224" i="1"/>
  <c r="BK1224" i="1" s="1"/>
  <c r="BF1224" i="1"/>
  <c r="BG1224" i="1" s="1"/>
  <c r="BF479" i="1"/>
  <c r="BF238" i="1"/>
  <c r="BF210" i="1"/>
  <c r="BF154" i="1"/>
  <c r="BF1498" i="1"/>
  <c r="BF1422" i="1"/>
  <c r="BF1005" i="1"/>
  <c r="BJ1334" i="1"/>
  <c r="BK1334" i="1" s="1"/>
  <c r="BF1334" i="1"/>
  <c r="BF141" i="1"/>
  <c r="BF1460" i="1"/>
  <c r="BF454" i="1"/>
  <c r="BF37" i="1"/>
  <c r="BF1423" i="1"/>
  <c r="BF200" i="1"/>
  <c r="BF1654" i="1"/>
  <c r="BJ1335" i="1"/>
  <c r="BK1335" i="1" s="1"/>
  <c r="BF1335" i="1"/>
  <c r="BF392" i="1"/>
  <c r="BF805" i="1"/>
  <c r="BF338" i="1"/>
  <c r="BF1247" i="1"/>
  <c r="BF354" i="1"/>
  <c r="BF1263" i="1"/>
  <c r="BJ188" i="1"/>
  <c r="BK188" i="1" s="1"/>
  <c r="BF188" i="1"/>
  <c r="BF1116" i="1"/>
  <c r="BF713" i="1"/>
  <c r="BJ994" i="1"/>
  <c r="BK994" i="1" s="1"/>
  <c r="BF994" i="1"/>
  <c r="BF962" i="1"/>
  <c r="BF633" i="1"/>
  <c r="BF1286" i="1"/>
  <c r="BF311" i="1"/>
  <c r="BF1109" i="1"/>
  <c r="BJ1268" i="1"/>
  <c r="BK1268" i="1" s="1"/>
  <c r="BF1268" i="1"/>
  <c r="BF1514" i="1"/>
  <c r="BF521" i="1"/>
  <c r="BF282" i="1"/>
  <c r="BF32" i="1"/>
  <c r="BF1018" i="1"/>
  <c r="BJ1458" i="1"/>
  <c r="BK1458" i="1" s="1"/>
  <c r="BF1458" i="1"/>
  <c r="BE376" i="1"/>
  <c r="BE1078" i="1"/>
  <c r="BE497" i="1"/>
  <c r="BE1149" i="1"/>
  <c r="BE652" i="1"/>
  <c r="BE1073" i="1"/>
  <c r="BE790" i="1"/>
  <c r="BE87" i="1"/>
  <c r="BE481" i="1"/>
  <c r="BE1157" i="1"/>
  <c r="BE1116" i="1"/>
  <c r="BE600" i="1"/>
  <c r="BE1565" i="1"/>
  <c r="BE1480" i="1"/>
  <c r="BE232" i="1"/>
  <c r="BE988" i="1"/>
  <c r="BE694" i="1"/>
  <c r="BE931" i="1"/>
  <c r="BE685" i="1"/>
  <c r="BE761" i="1"/>
  <c r="BE608" i="1"/>
  <c r="BE1000" i="1"/>
  <c r="BE1693" i="1"/>
  <c r="BE1071" i="1"/>
  <c r="BE81" i="1"/>
  <c r="BE400" i="1"/>
  <c r="BE340" i="1"/>
  <c r="BE955" i="1"/>
  <c r="BE387" i="1"/>
  <c r="BE1226" i="1"/>
  <c r="BE1237" i="1"/>
  <c r="BE643" i="1"/>
  <c r="BE1577" i="1"/>
  <c r="BE171" i="1"/>
  <c r="BE144" i="1"/>
  <c r="BE271" i="1"/>
  <c r="BE1052" i="1"/>
  <c r="BE164" i="1"/>
  <c r="BE646" i="1"/>
  <c r="BE565" i="1"/>
  <c r="BE1203" i="1"/>
  <c r="BE1372" i="1"/>
  <c r="BE521" i="1"/>
  <c r="BE375" i="1"/>
  <c r="BE1026" i="1"/>
  <c r="BE576" i="1"/>
  <c r="BE553" i="1"/>
  <c r="BE1640" i="1"/>
  <c r="BE966" i="1"/>
  <c r="BE838" i="1"/>
  <c r="BE607" i="1"/>
  <c r="BE664" i="1"/>
  <c r="BE601" i="1"/>
  <c r="BE1470" i="1"/>
  <c r="BE783" i="1"/>
  <c r="BE1438" i="1"/>
  <c r="BE355" i="1"/>
  <c r="BE846" i="1"/>
  <c r="BE542" i="1"/>
  <c r="BE1533" i="1"/>
  <c r="BE1373" i="1"/>
  <c r="BE380" i="1"/>
  <c r="BE168" i="1"/>
  <c r="BE309" i="1"/>
  <c r="BE1389" i="1"/>
  <c r="BE944" i="1"/>
  <c r="BE905" i="1"/>
  <c r="BE914" i="1"/>
  <c r="BE1175" i="1"/>
  <c r="BE1588" i="1"/>
  <c r="BE474" i="1"/>
  <c r="BG474" i="1" s="1"/>
  <c r="BE1138" i="1"/>
  <c r="BE787" i="1"/>
  <c r="BE326" i="1"/>
  <c r="BE795" i="1"/>
  <c r="BE618" i="1"/>
  <c r="BE1113" i="1"/>
  <c r="BE56" i="1"/>
  <c r="BE249" i="1"/>
  <c r="BE776" i="1"/>
  <c r="BE1433" i="1"/>
  <c r="BE324" i="1"/>
  <c r="BE1665" i="1"/>
  <c r="BE1223" i="1"/>
  <c r="BE247" i="1"/>
  <c r="BE1187" i="1"/>
  <c r="BE769" i="1"/>
  <c r="BE1501" i="1"/>
  <c r="BE471" i="1"/>
  <c r="BE1391" i="1"/>
  <c r="BE610" i="1"/>
  <c r="BE887" i="1"/>
  <c r="BE538" i="1"/>
  <c r="BE547" i="1"/>
  <c r="BE1379" i="1"/>
  <c r="BE1616" i="1"/>
  <c r="BE1323" i="1"/>
  <c r="BE668" i="1"/>
  <c r="BE929" i="1"/>
  <c r="BE1256" i="1"/>
  <c r="BE1429" i="1"/>
  <c r="BE954" i="1"/>
  <c r="BE1371" i="1"/>
  <c r="BE65" i="1"/>
  <c r="BE454" i="1"/>
  <c r="BE147" i="1"/>
  <c r="BE514" i="1"/>
  <c r="BE7" i="1"/>
  <c r="BE1659" i="1"/>
  <c r="BE971" i="1"/>
  <c r="BE1684" i="1"/>
  <c r="BE1580" i="1"/>
  <c r="BE691" i="1"/>
  <c r="BE1613" i="1"/>
  <c r="BE292" i="1"/>
  <c r="BE701" i="1"/>
  <c r="BE180" i="1"/>
  <c r="BE269" i="1"/>
  <c r="BE947" i="1"/>
  <c r="BE507" i="1"/>
  <c r="BE1703" i="1"/>
  <c r="BE118" i="1"/>
  <c r="BE818" i="1"/>
  <c r="BE675" i="1"/>
  <c r="BE725" i="1"/>
  <c r="BE1562" i="1"/>
  <c r="BE829" i="1"/>
  <c r="BE377" i="1"/>
  <c r="BE596" i="1"/>
  <c r="BE689" i="1"/>
  <c r="BE779" i="1"/>
  <c r="BE43" i="1"/>
  <c r="BE1611" i="1"/>
  <c r="BE541" i="1"/>
  <c r="BE883" i="1"/>
  <c r="BE1397" i="1"/>
  <c r="BE172" i="1"/>
  <c r="BE1492" i="1"/>
  <c r="BE1238" i="1"/>
  <c r="BE1145" i="1"/>
  <c r="BE832" i="1"/>
  <c r="BE379" i="1"/>
  <c r="BE1441" i="1"/>
  <c r="BE100" i="1"/>
  <c r="BE113" i="1"/>
  <c r="BE1582" i="1"/>
  <c r="BE1265" i="1"/>
  <c r="BE770" i="1"/>
  <c r="BE1025" i="1"/>
  <c r="BE793" i="1"/>
  <c r="BF660" i="1"/>
  <c r="BF654" i="1"/>
  <c r="BF337" i="1"/>
  <c r="BF783" i="1"/>
  <c r="BF312" i="1"/>
  <c r="BF1183" i="1"/>
  <c r="BF1344" i="1"/>
  <c r="BJ1269" i="1"/>
  <c r="BK1269" i="1" s="1"/>
  <c r="BF1269" i="1"/>
  <c r="BF1110" i="1"/>
  <c r="BJ1433" i="1"/>
  <c r="BK1433" i="1" s="1"/>
  <c r="BF1433" i="1"/>
  <c r="BJ1678" i="1"/>
  <c r="BK1678" i="1" s="1"/>
  <c r="BF1678" i="1"/>
  <c r="BF942" i="1"/>
  <c r="BF1719" i="1"/>
  <c r="BJ1535" i="1"/>
  <c r="BK1535" i="1" s="1"/>
  <c r="BF1535" i="1"/>
  <c r="BF1115" i="1"/>
  <c r="BJ542" i="1"/>
  <c r="BK542" i="1" s="1"/>
  <c r="BF542" i="1"/>
  <c r="BF635" i="1"/>
  <c r="BF216" i="1"/>
  <c r="BF484" i="1"/>
  <c r="BJ532" i="1"/>
  <c r="BK532" i="1" s="1"/>
  <c r="BF532" i="1"/>
  <c r="BF384" i="1"/>
  <c r="BF1017" i="1"/>
  <c r="BF1404" i="1"/>
  <c r="BF1691" i="1"/>
  <c r="BJ1495" i="1"/>
  <c r="BK1495" i="1" s="1"/>
  <c r="BF1495" i="1"/>
  <c r="BJ1431" i="1"/>
  <c r="BK1431" i="1" s="1"/>
  <c r="BF1431" i="1"/>
  <c r="BF163" i="1"/>
  <c r="BJ1034" i="1"/>
  <c r="BK1034" i="1" s="1"/>
  <c r="BF1034" i="1"/>
  <c r="BF851" i="1"/>
  <c r="BF864" i="1"/>
  <c r="BJ1644" i="1"/>
  <c r="BK1644" i="1" s="1"/>
  <c r="BF1644" i="1"/>
  <c r="BF844" i="1"/>
  <c r="BF1556" i="1"/>
  <c r="BF1465" i="1"/>
  <c r="BJ1694" i="1"/>
  <c r="BK1694" i="1" s="1"/>
  <c r="BF1694" i="1"/>
  <c r="BJ1290" i="1"/>
  <c r="BK1290" i="1" s="1"/>
  <c r="BF1290" i="1"/>
  <c r="BF1480" i="1"/>
  <c r="BF320" i="1"/>
  <c r="BG320" i="1" s="1"/>
  <c r="BF355" i="1"/>
  <c r="BJ1457" i="1"/>
  <c r="BK1457" i="1" s="1"/>
  <c r="BF1457" i="1"/>
  <c r="BF1182" i="1"/>
  <c r="BF1043" i="1"/>
  <c r="BF52" i="1"/>
  <c r="BF374" i="1"/>
  <c r="BF1255" i="1"/>
  <c r="BG1255" i="1" s="1"/>
  <c r="BF1424" i="1"/>
  <c r="BF1357" i="1"/>
  <c r="BF1405" i="1"/>
  <c r="BF524" i="1"/>
  <c r="BF455" i="1"/>
  <c r="BF285" i="1"/>
  <c r="BF315" i="1"/>
  <c r="BF260" i="1"/>
  <c r="BF253" i="1"/>
  <c r="BJ676" i="1"/>
  <c r="BK676" i="1" s="1"/>
  <c r="BF676" i="1"/>
  <c r="BF1419" i="1"/>
  <c r="BJ1050" i="1"/>
  <c r="BK1050" i="1" s="1"/>
  <c r="BF1050" i="1"/>
  <c r="BF655" i="1"/>
  <c r="BJ1288" i="1"/>
  <c r="BK1288" i="1" s="1"/>
  <c r="BF1288" i="1"/>
  <c r="BF1543" i="1"/>
  <c r="BF482" i="1"/>
  <c r="BJ996" i="1"/>
  <c r="BK996" i="1" s="1"/>
  <c r="BF996" i="1"/>
  <c r="BF110" i="1"/>
  <c r="BF209" i="1"/>
  <c r="BJ597" i="1"/>
  <c r="BK597" i="1" s="1"/>
  <c r="BF597" i="1"/>
  <c r="BF943" i="1"/>
  <c r="BF34" i="1"/>
  <c r="BF863" i="1"/>
  <c r="BF1420" i="1"/>
  <c r="BF777" i="1"/>
  <c r="BJ1223" i="1"/>
  <c r="BK1223" i="1" s="1"/>
  <c r="BF1223" i="1"/>
  <c r="BF1692" i="1"/>
  <c r="BF788" i="1"/>
  <c r="BF1264" i="1"/>
  <c r="BF386" i="1"/>
  <c r="BF1542" i="1"/>
  <c r="BF197" i="1"/>
  <c r="BF196" i="1"/>
  <c r="BJ1032" i="1"/>
  <c r="BK1032" i="1" s="1"/>
  <c r="BF1032" i="1"/>
  <c r="BF217" i="1"/>
  <c r="BF656" i="1"/>
  <c r="BF155" i="1"/>
  <c r="BF1652" i="1"/>
  <c r="BF1450" i="1"/>
  <c r="BF1656" i="1"/>
  <c r="BF961" i="1"/>
  <c r="BF712" i="1"/>
  <c r="BJ1677" i="1"/>
  <c r="BK1677" i="1" s="1"/>
  <c r="BF1677" i="1"/>
  <c r="BJ1693" i="1"/>
  <c r="BK1693" i="1" s="1"/>
  <c r="BF1693" i="1"/>
  <c r="BJ1496" i="1"/>
  <c r="BK1496" i="1" s="1"/>
  <c r="BF1496" i="1"/>
  <c r="BF1045" i="1"/>
  <c r="BJ1051" i="1"/>
  <c r="BK1051" i="1" s="1"/>
  <c r="BF1051" i="1"/>
  <c r="BJ1600" i="1"/>
  <c r="BK1600" i="1" s="1"/>
  <c r="BF1600" i="1"/>
  <c r="BG1600" i="1" s="1"/>
  <c r="BF139" i="1"/>
  <c r="BJ554" i="1"/>
  <c r="BK554" i="1" s="1"/>
  <c r="BF554" i="1"/>
  <c r="BF31" i="1"/>
  <c r="BF1687" i="1"/>
  <c r="BF164" i="1"/>
  <c r="BG164" i="1" s="1"/>
  <c r="BF500" i="1"/>
  <c r="BF1676" i="1"/>
  <c r="BF985" i="1"/>
  <c r="BJ622" i="1"/>
  <c r="BK622" i="1" s="1"/>
  <c r="BF622" i="1"/>
  <c r="BF1266" i="1"/>
  <c r="BF631" i="1"/>
  <c r="BF201" i="1"/>
  <c r="BE1329" i="1"/>
  <c r="BE1356" i="1"/>
  <c r="BE791" i="1"/>
  <c r="BE1606" i="1"/>
  <c r="BE332" i="1"/>
  <c r="BE1519" i="1"/>
  <c r="BE1016" i="1"/>
  <c r="BE156" i="1"/>
  <c r="BE1162" i="1"/>
  <c r="BE493" i="1"/>
  <c r="BE548" i="1"/>
  <c r="BE220" i="1"/>
  <c r="BE656" i="1"/>
  <c r="BE785" i="1"/>
  <c r="BE1218" i="1"/>
  <c r="BE820" i="1"/>
  <c r="BE1698" i="1"/>
  <c r="BE894" i="1"/>
  <c r="BE457" i="1"/>
  <c r="BE1542" i="1"/>
  <c r="BE614" i="1"/>
  <c r="BE1232" i="1"/>
  <c r="BE1096" i="1"/>
  <c r="BE581" i="1"/>
  <c r="BE1121" i="1"/>
  <c r="BE1578" i="1"/>
  <c r="BE357" i="1"/>
  <c r="BE55" i="1"/>
  <c r="BE1130" i="1"/>
  <c r="BE590" i="1"/>
  <c r="BE50" i="1"/>
  <c r="BE212" i="1"/>
  <c r="BE684" i="1"/>
  <c r="BE746" i="1"/>
  <c r="BE194" i="1"/>
  <c r="BE455" i="1"/>
  <c r="BE949" i="1"/>
  <c r="BE714" i="1"/>
  <c r="BE666" i="1"/>
  <c r="BE1696" i="1"/>
  <c r="BE1090" i="1"/>
  <c r="BE956" i="1"/>
  <c r="BE142" i="1"/>
  <c r="BE1109" i="1"/>
  <c r="BE1098" i="1"/>
  <c r="BE1084" i="1"/>
  <c r="BE1278" i="1"/>
  <c r="BE840" i="1"/>
  <c r="BE222" i="1"/>
  <c r="BE1290" i="1"/>
  <c r="BE1503" i="1"/>
  <c r="BE1456" i="1"/>
  <c r="BE369" i="1"/>
  <c r="BE1690" i="1"/>
  <c r="BE149" i="1"/>
  <c r="BE42" i="1"/>
  <c r="BE235" i="1"/>
  <c r="BE266" i="1"/>
  <c r="BE1728" i="1"/>
  <c r="BE434" i="1"/>
  <c r="BE1011" i="1"/>
  <c r="BE1068" i="1"/>
  <c r="BE1253" i="1"/>
  <c r="BE1019" i="1"/>
  <c r="BE1184" i="1"/>
  <c r="BE1390" i="1"/>
  <c r="BE1326" i="1"/>
  <c r="BE1298" i="1"/>
  <c r="BE901" i="1"/>
  <c r="BE366" i="1"/>
  <c r="BE844" i="1"/>
  <c r="BE1125" i="1"/>
  <c r="BE76" i="1"/>
  <c r="BE616" i="1"/>
  <c r="BE917" i="1"/>
  <c r="BE414" i="1"/>
  <c r="BE108" i="1"/>
  <c r="BE1568" i="1"/>
  <c r="BE1489" i="1"/>
  <c r="BE1195" i="1"/>
  <c r="BE1394" i="1"/>
  <c r="BE103" i="1"/>
  <c r="BE1027" i="1"/>
  <c r="BE1060" i="1"/>
  <c r="BE641" i="1"/>
  <c r="BE1357" i="1"/>
  <c r="BE1714" i="1"/>
  <c r="BE343" i="1"/>
  <c r="BE1267" i="1"/>
  <c r="BE1062" i="1"/>
  <c r="BE347" i="1"/>
  <c r="BE1243" i="1"/>
  <c r="BE218" i="1"/>
  <c r="BE1722" i="1"/>
  <c r="BE1625" i="1"/>
  <c r="BE528" i="1"/>
  <c r="BE1384" i="1"/>
  <c r="BE1057" i="1"/>
  <c r="BE1286" i="1"/>
  <c r="BE176" i="1"/>
  <c r="BE1369" i="1"/>
  <c r="BE368" i="1"/>
  <c r="BE1092" i="1"/>
  <c r="BE1065" i="1"/>
  <c r="BE1350" i="1"/>
  <c r="BE984" i="1"/>
  <c r="BE273" i="1"/>
  <c r="BE1721" i="1"/>
  <c r="BE138" i="1"/>
  <c r="BE762" i="1"/>
  <c r="BE771" i="1"/>
  <c r="BE1619" i="1"/>
  <c r="BE1584" i="1"/>
  <c r="BE153" i="1"/>
  <c r="BE346" i="1"/>
  <c r="BE970" i="1"/>
  <c r="BE351" i="1"/>
  <c r="BE206" i="1"/>
  <c r="BE926" i="1"/>
  <c r="BE1638" i="1"/>
  <c r="BE1451" i="1"/>
  <c r="BE261" i="1"/>
  <c r="BE640" i="1"/>
  <c r="BE697" i="1"/>
  <c r="BE1654" i="1"/>
  <c r="BE1424" i="1"/>
  <c r="BE622" i="1"/>
  <c r="BE316" i="1"/>
  <c r="BE752" i="1"/>
  <c r="BE713" i="1"/>
  <c r="BE1718" i="1"/>
  <c r="BE105" i="1"/>
  <c r="BE1049" i="1"/>
  <c r="BE962" i="1"/>
  <c r="BE1445" i="1"/>
  <c r="BE1370" i="1"/>
  <c r="BE735" i="1"/>
  <c r="BG735" i="1" s="1"/>
  <c r="BE792" i="1"/>
  <c r="BE1340" i="1"/>
  <c r="BE729" i="1"/>
  <c r="BE1653" i="1"/>
  <c r="BE1666" i="1"/>
  <c r="BE911" i="1"/>
  <c r="BE1561" i="1"/>
  <c r="BE127" i="1"/>
  <c r="BE483" i="1"/>
  <c r="BE1671" i="1"/>
  <c r="BE539" i="1"/>
  <c r="BE951" i="1"/>
  <c r="BE653" i="1"/>
  <c r="BE1521" i="1"/>
  <c r="BE437" i="1"/>
  <c r="BE1704" i="1"/>
  <c r="BE626" i="1"/>
  <c r="BE529" i="1"/>
  <c r="BE358" i="1"/>
  <c r="BE1670" i="1"/>
  <c r="BE1464" i="1"/>
  <c r="BE381" i="1"/>
  <c r="BE1182" i="1"/>
  <c r="BE979" i="1"/>
  <c r="BG979" i="1" s="1"/>
  <c r="BE1118" i="1"/>
  <c r="BE987" i="1"/>
  <c r="BE1114" i="1"/>
  <c r="BE1669" i="1"/>
  <c r="BE619" i="1"/>
  <c r="BE1021" i="1"/>
  <c r="BE53" i="1"/>
  <c r="BE1004" i="1"/>
  <c r="BE1024" i="1"/>
  <c r="BE122" i="1"/>
  <c r="BE1316" i="1"/>
  <c r="BE558" i="1"/>
  <c r="BE478" i="1"/>
  <c r="BE895" i="1"/>
  <c r="BE256" i="1"/>
  <c r="BE210" i="1"/>
  <c r="BE1318" i="1"/>
  <c r="BE1599" i="1"/>
  <c r="BE1270" i="1"/>
  <c r="BE1551" i="1"/>
  <c r="BE40" i="1"/>
  <c r="BE1713" i="1"/>
  <c r="BE1368" i="1"/>
  <c r="BE627" i="1"/>
  <c r="BE97" i="1"/>
  <c r="BE1170" i="1"/>
  <c r="BE1108" i="1"/>
  <c r="BE1405" i="1"/>
  <c r="BE1250" i="1"/>
  <c r="BE463" i="1"/>
  <c r="BE848" i="1"/>
  <c r="BE1716" i="1"/>
  <c r="BE465" i="1"/>
  <c r="BE1292" i="1"/>
  <c r="BE1105" i="1"/>
  <c r="BE1070" i="1"/>
  <c r="BE1128" i="1"/>
  <c r="BE1214" i="1"/>
  <c r="BE773" i="1"/>
  <c r="BE461" i="1"/>
  <c r="BE341" i="1"/>
  <c r="BE1457" i="1"/>
  <c r="BE1066" i="1"/>
  <c r="BE1400" i="1"/>
  <c r="BE620" i="1"/>
  <c r="BE238" i="1"/>
  <c r="BE520" i="1"/>
  <c r="BE1488" i="1"/>
  <c r="BE39" i="1"/>
  <c r="BE1293" i="1"/>
  <c r="BE1586" i="1"/>
  <c r="BE198" i="1"/>
  <c r="BE1505" i="1"/>
  <c r="BE1500" i="1"/>
  <c r="BE550" i="1"/>
  <c r="BE580" i="1"/>
  <c r="BE545" i="1"/>
  <c r="BE644" i="1"/>
  <c r="BE972" i="1"/>
  <c r="BE1516" i="1"/>
  <c r="BE630" i="1"/>
  <c r="BE692" i="1"/>
  <c r="BE496" i="1"/>
  <c r="BE489" i="1"/>
  <c r="BE231" i="1"/>
  <c r="BE578" i="1"/>
  <c r="BE443" i="1"/>
  <c r="BE1339" i="1"/>
  <c r="BE1268" i="1"/>
  <c r="BE885" i="1"/>
  <c r="BE146" i="1"/>
  <c r="BE802" i="1"/>
  <c r="BE651" i="1"/>
  <c r="BE1063" i="1"/>
  <c r="BE6" i="1"/>
  <c r="BE1206" i="1"/>
  <c r="BE991" i="1"/>
  <c r="BE1459" i="1"/>
  <c r="BE1446" i="1"/>
  <c r="BE1479" i="1"/>
  <c r="BE908" i="1"/>
  <c r="BE152" i="1"/>
  <c r="BE993" i="1"/>
  <c r="BE834" i="1"/>
  <c r="BE1288" i="1"/>
  <c r="BE130" i="1"/>
  <c r="BE1592" i="1"/>
  <c r="BE57" i="1"/>
  <c r="BE1017" i="1"/>
  <c r="BE898" i="1"/>
  <c r="BE244" i="1"/>
  <c r="BE245" i="1"/>
  <c r="BE1325" i="1"/>
  <c r="BE511" i="1"/>
  <c r="BE1022" i="1"/>
  <c r="BE3" i="1"/>
  <c r="BE1547" i="1"/>
  <c r="BE784" i="1"/>
  <c r="BE445" i="1"/>
  <c r="BE1273" i="1"/>
  <c r="BE1246" i="1"/>
  <c r="BE211" i="1"/>
  <c r="BE1351" i="1"/>
  <c r="BE1346" i="1"/>
  <c r="BE71" i="1"/>
  <c r="BE995" i="1"/>
  <c r="BE932" i="1"/>
  <c r="BE584" i="1"/>
  <c r="BE765" i="1"/>
  <c r="BE938" i="1"/>
  <c r="BE852" i="1"/>
  <c r="BE1709" i="1"/>
  <c r="BE1076" i="1"/>
  <c r="BE101" i="1"/>
  <c r="BE781" i="1"/>
  <c r="BE1002" i="1"/>
  <c r="BE712" i="1"/>
  <c r="BE1033" i="1"/>
  <c r="BE1321" i="1"/>
  <c r="BE1235" i="1"/>
  <c r="BE570" i="1"/>
  <c r="BE579" i="1"/>
  <c r="BE1411" i="1"/>
  <c r="BG1411" i="1" s="1"/>
  <c r="BE1392" i="1"/>
  <c r="BE1077" i="1"/>
  <c r="BE154" i="1"/>
  <c r="BE778" i="1"/>
  <c r="BE807" i="1"/>
  <c r="BE1635" i="1"/>
  <c r="BE734" i="1"/>
  <c r="BE711" i="1"/>
  <c r="BE1615" i="1"/>
  <c r="BE1398" i="1"/>
  <c r="BE1215" i="1"/>
  <c r="BE1667" i="1"/>
  <c r="BE236" i="1"/>
  <c r="BE1648" i="1"/>
  <c r="BE893" i="1"/>
  <c r="BE1556" i="1"/>
  <c r="BE1005" i="1"/>
  <c r="BE881" i="1"/>
  <c r="BE1213" i="1"/>
  <c r="BE51" i="1"/>
  <c r="BE1460" i="1"/>
  <c r="BE132" i="1"/>
  <c r="BE393" i="1"/>
  <c r="BE1142" i="1"/>
  <c r="BE365" i="1"/>
  <c r="BE1581" i="1"/>
  <c r="BE447" i="1"/>
  <c r="BE5" i="1"/>
  <c r="BE872" i="1"/>
  <c r="BE1362" i="1"/>
  <c r="BE1220" i="1"/>
  <c r="BE405" i="1"/>
  <c r="BE131" i="1"/>
  <c r="BE1234" i="1"/>
  <c r="BE1102" i="1"/>
  <c r="BE674" i="1"/>
  <c r="BE1261" i="1"/>
  <c r="BE117" i="1"/>
  <c r="BE1277" i="1"/>
  <c r="BE104" i="1"/>
  <c r="BE1089" i="1"/>
  <c r="BE68" i="1"/>
  <c r="BE216" i="1"/>
  <c r="BE165" i="1"/>
  <c r="BE1309" i="1"/>
  <c r="BE424" i="1"/>
  <c r="BE864" i="1"/>
  <c r="BE825" i="1"/>
  <c r="BE307" i="1"/>
  <c r="BE850" i="1"/>
  <c r="BE699" i="1"/>
  <c r="BE1111" i="1"/>
  <c r="BE1524" i="1"/>
  <c r="BE1365" i="1"/>
  <c r="BE402" i="1"/>
  <c r="BE1058" i="1"/>
  <c r="BE1514" i="1"/>
  <c r="BE1319" i="1"/>
  <c r="BE262" i="1"/>
  <c r="BE1550" i="1"/>
  <c r="BE1279" i="1"/>
  <c r="BE110" i="1"/>
  <c r="BE331" i="1"/>
  <c r="BE1715" i="1"/>
  <c r="BE1448" i="1"/>
  <c r="BE860" i="1"/>
  <c r="BE301" i="1"/>
  <c r="BE686" i="1"/>
  <c r="BE1172" i="1"/>
  <c r="BE1085" i="1"/>
  <c r="BE1444" i="1"/>
  <c r="BE1380" i="1"/>
  <c r="BE333" i="1"/>
  <c r="BE750" i="1"/>
  <c r="BE660" i="1"/>
  <c r="BE597" i="1"/>
  <c r="BE1677" i="1"/>
  <c r="BE1003" i="1"/>
  <c r="BE1294" i="1"/>
  <c r="BE259" i="1"/>
  <c r="BE1399" i="1"/>
  <c r="BE1056" i="1"/>
  <c r="BE733" i="1"/>
  <c r="BE1545" i="1"/>
  <c r="BE15" i="1"/>
  <c r="BE467" i="1"/>
  <c r="BE1655" i="1"/>
  <c r="BE31" i="1"/>
  <c r="BE359" i="1"/>
  <c r="BE1283" i="1"/>
  <c r="BE704" i="1"/>
  <c r="BE1672" i="1"/>
  <c r="BE1177" i="1"/>
  <c r="BE95" i="1"/>
  <c r="BE352" i="1"/>
  <c r="BE1497" i="1"/>
  <c r="BE560" i="1"/>
  <c r="BE48" i="1"/>
  <c r="BE1225" i="1"/>
  <c r="BE1694" i="1"/>
  <c r="BE1080" i="1"/>
  <c r="BE353" i="1"/>
  <c r="BE186" i="1"/>
  <c r="BE202" i="1"/>
  <c r="BE826" i="1"/>
  <c r="BE207" i="1"/>
  <c r="BE1683" i="1"/>
  <c r="BE1664" i="1"/>
  <c r="BE217" i="1"/>
  <c r="BE410" i="1"/>
  <c r="BE1034" i="1"/>
  <c r="BE415" i="1"/>
  <c r="BE270" i="1"/>
  <c r="BE990" i="1"/>
  <c r="BE1702" i="1"/>
  <c r="BE1515" i="1"/>
  <c r="BE11" i="1"/>
  <c r="BE923" i="1"/>
  <c r="BE491" i="1"/>
  <c r="BE26" i="1"/>
  <c r="BE1473" i="1"/>
  <c r="BE854" i="1"/>
  <c r="BE267" i="1"/>
  <c r="BE1163" i="1"/>
  <c r="BE934" i="1"/>
  <c r="BE1274" i="1"/>
  <c r="BE639" i="1"/>
  <c r="BE1383" i="1"/>
  <c r="BE215" i="1"/>
  <c r="BE1155" i="1"/>
  <c r="BA452" i="1"/>
  <c r="BJ452" i="1" s="1"/>
  <c r="BA916" i="1"/>
  <c r="BJ916" i="1" s="1"/>
  <c r="BA872" i="1"/>
  <c r="BJ872" i="1" s="1"/>
  <c r="BA264" i="1"/>
  <c r="BJ264" i="1" s="1"/>
  <c r="BA340" i="1"/>
  <c r="BA1157" i="1"/>
  <c r="BA834" i="1"/>
  <c r="BJ834" i="1" s="1"/>
  <c r="BA231" i="1"/>
  <c r="BJ231" i="1" s="1"/>
  <c r="BA1611" i="1"/>
  <c r="BJ1611" i="1" s="1"/>
  <c r="BA109" i="1"/>
  <c r="BA238" i="1"/>
  <c r="BA902" i="1"/>
  <c r="BJ902" i="1" s="1"/>
  <c r="BA1239" i="1"/>
  <c r="BJ1239" i="1" s="1"/>
  <c r="BA1140" i="1"/>
  <c r="BA749" i="1"/>
  <c r="BJ749" i="1" s="1"/>
  <c r="BA118" i="1"/>
  <c r="BJ118" i="1" s="1"/>
  <c r="BA1510" i="1"/>
  <c r="BA1667" i="1"/>
  <c r="BA460" i="1"/>
  <c r="BJ460" i="1" s="1"/>
  <c r="BA645" i="1"/>
  <c r="BJ645" i="1" s="1"/>
  <c r="BA1438" i="1"/>
  <c r="BA411" i="1"/>
  <c r="BA1036" i="1"/>
  <c r="BJ1036" i="1" s="1"/>
  <c r="BA1101" i="1"/>
  <c r="BA890" i="1"/>
  <c r="BJ890" i="1" s="1"/>
  <c r="BA923" i="1"/>
  <c r="BA1712" i="1"/>
  <c r="BJ1712" i="1" s="1"/>
  <c r="BA713" i="1"/>
  <c r="BJ713" i="1" s="1"/>
  <c r="BK713" i="1" s="1"/>
  <c r="BL713" i="1" s="1"/>
  <c r="BA386" i="1"/>
  <c r="BA1586" i="1"/>
  <c r="BJ1586" i="1" s="1"/>
  <c r="BA440" i="1"/>
  <c r="BA1388" i="1"/>
  <c r="BJ1388" i="1" s="1"/>
  <c r="BA1437" i="1"/>
  <c r="BJ1437" i="1" s="1"/>
  <c r="BA1306" i="1"/>
  <c r="BJ1306" i="1" s="1"/>
  <c r="BA823" i="1"/>
  <c r="BJ823" i="1" s="1"/>
  <c r="BA836" i="1"/>
  <c r="BJ836" i="1" s="1"/>
  <c r="BA365" i="1"/>
  <c r="BA1429" i="1"/>
  <c r="BJ1429" i="1" s="1"/>
  <c r="BA519" i="1"/>
  <c r="BA1671" i="1"/>
  <c r="BJ1671" i="1" s="1"/>
  <c r="BA633" i="1"/>
  <c r="BJ633" i="1" s="1"/>
  <c r="BK633" i="1" s="1"/>
  <c r="BA290" i="1"/>
  <c r="BJ290" i="1" s="1"/>
  <c r="BA771" i="1"/>
  <c r="BJ771" i="1" s="1"/>
  <c r="BA936" i="1"/>
  <c r="BJ936" i="1" s="1"/>
  <c r="BA1173" i="1"/>
  <c r="BJ1173" i="1" s="1"/>
  <c r="BA866" i="1"/>
  <c r="BA247" i="1"/>
  <c r="BJ247" i="1" s="1"/>
  <c r="BA1627" i="1"/>
  <c r="BJ1627" i="1" s="1"/>
  <c r="BA44" i="1"/>
  <c r="BA117" i="1"/>
  <c r="BA926" i="1"/>
  <c r="BJ926" i="1" s="1"/>
  <c r="BA463" i="1"/>
  <c r="BJ463" i="1" s="1"/>
  <c r="BA216" i="1"/>
  <c r="BA1160" i="1"/>
  <c r="BA430" i="1"/>
  <c r="BA1094" i="1"/>
  <c r="BJ1094" i="1" s="1"/>
  <c r="BA931" i="1"/>
  <c r="BJ931" i="1" s="1"/>
  <c r="BA705" i="1"/>
  <c r="BJ705" i="1" s="1"/>
  <c r="BA266" i="1"/>
  <c r="BJ266" i="1" s="1"/>
  <c r="BA1506" i="1"/>
  <c r="BJ1506" i="1" s="1"/>
  <c r="BA1151" i="1"/>
  <c r="BJ1151" i="1" s="1"/>
  <c r="BA1436" i="1"/>
  <c r="BA1517" i="1"/>
  <c r="BJ1517" i="1" s="1"/>
  <c r="BA1450" i="1"/>
  <c r="BJ1450" i="1" s="1"/>
  <c r="BK1450" i="1" s="1"/>
  <c r="BA887" i="1"/>
  <c r="BJ887" i="1" s="1"/>
  <c r="BA740" i="1"/>
  <c r="BJ740" i="1" s="1"/>
  <c r="BA285" i="1"/>
  <c r="BA72" i="1"/>
  <c r="BJ72" i="1" s="1"/>
  <c r="BA596" i="1"/>
  <c r="BJ596" i="1" s="1"/>
  <c r="BA400" i="1"/>
  <c r="BJ400" i="1" s="1"/>
  <c r="BA416" i="1"/>
  <c r="BA116" i="1"/>
  <c r="BJ116" i="1" s="1"/>
  <c r="BA397" i="1"/>
  <c r="BJ397" i="1" s="1"/>
  <c r="BA1509" i="1"/>
  <c r="BA551" i="1"/>
  <c r="BJ551" i="1" s="1"/>
  <c r="BA1687" i="1"/>
  <c r="BJ1687" i="1" s="1"/>
  <c r="BK1687" i="1" s="1"/>
  <c r="BA1400" i="1"/>
  <c r="BJ1400" i="1" s="1"/>
  <c r="BA946" i="1"/>
  <c r="BA1206" i="1"/>
  <c r="BJ1206" i="1" s="1"/>
  <c r="BA1043" i="1"/>
  <c r="BA1588" i="1"/>
  <c r="BJ1588" i="1" s="1"/>
  <c r="BA1109" i="1"/>
  <c r="BA406" i="1"/>
  <c r="BJ406" i="1" s="1"/>
  <c r="BA163" i="1"/>
  <c r="BJ163" i="1" s="1"/>
  <c r="BK163" i="1" s="1"/>
  <c r="BA1711" i="1"/>
  <c r="BA796" i="1"/>
  <c r="BJ796" i="1" s="1"/>
  <c r="BA1009" i="1"/>
  <c r="BJ1009" i="1" s="1"/>
  <c r="BA730" i="1"/>
  <c r="BJ730" i="1" s="1"/>
  <c r="BA779" i="1"/>
  <c r="BJ779" i="1" s="1"/>
  <c r="BA1420" i="1"/>
  <c r="BA1485" i="1"/>
  <c r="BJ1485" i="1" s="1"/>
  <c r="BA1390" i="1"/>
  <c r="BJ1390" i="1" s="1"/>
  <c r="BA855" i="1"/>
  <c r="BJ855" i="1" s="1"/>
  <c r="BK855" i="1" s="1"/>
  <c r="BA976" i="1"/>
  <c r="BJ976" i="1" s="1"/>
  <c r="BA1001" i="1"/>
  <c r="BJ1001" i="1" s="1"/>
  <c r="BA782" i="1"/>
  <c r="BJ782" i="1" s="1"/>
  <c r="BA255" i="1"/>
  <c r="BJ255" i="1" s="1"/>
  <c r="BA212" i="1"/>
  <c r="BJ212" i="1" s="1"/>
  <c r="BA1708" i="1"/>
  <c r="BA78" i="1"/>
  <c r="BJ78" i="1" s="1"/>
  <c r="BA726" i="1"/>
  <c r="BA1095" i="1"/>
  <c r="BJ1095" i="1" s="1"/>
  <c r="BA1156" i="1"/>
  <c r="BJ1156" i="1" s="1"/>
  <c r="BA765" i="1"/>
  <c r="BJ765" i="1" s="1"/>
  <c r="BA134" i="1"/>
  <c r="BJ134" i="1" s="1"/>
  <c r="BA1542" i="1"/>
  <c r="BJ1542" i="1" s="1"/>
  <c r="BK1542" i="1" s="1"/>
  <c r="BL1542" i="1" s="1"/>
  <c r="BA1683" i="1"/>
  <c r="BJ1683" i="1" s="1"/>
  <c r="BA921" i="1"/>
  <c r="BJ921" i="1" s="1"/>
  <c r="BA702" i="1"/>
  <c r="BA159" i="1"/>
  <c r="BJ159" i="1" s="1"/>
  <c r="BA868" i="1"/>
  <c r="BJ868" i="1" s="1"/>
  <c r="BA413" i="1"/>
  <c r="BA1573" i="1"/>
  <c r="BJ1573" i="1" s="1"/>
  <c r="BA631" i="1"/>
  <c r="BA1719" i="1"/>
  <c r="BA364" i="1"/>
  <c r="BJ364" i="1" s="1"/>
  <c r="BA437" i="1"/>
  <c r="BJ437" i="1" s="1"/>
  <c r="BA1294" i="1"/>
  <c r="BA299" i="1"/>
  <c r="BJ299" i="1" s="1"/>
  <c r="BA792" i="1"/>
  <c r="BJ792" i="1" s="1"/>
  <c r="BA1720" i="1"/>
  <c r="BJ1720" i="1" s="1"/>
  <c r="BA1241" i="1"/>
  <c r="BA1486" i="1"/>
  <c r="BJ1486" i="1" s="1"/>
  <c r="BA1235" i="1"/>
  <c r="BA1041" i="1"/>
  <c r="BA754" i="1"/>
  <c r="BJ754" i="1" s="1"/>
  <c r="BA103" i="1"/>
  <c r="BJ103" i="1" s="1"/>
  <c r="BA1531" i="1"/>
  <c r="BJ1531" i="1" s="1"/>
  <c r="BA45" i="1"/>
  <c r="BJ45" i="1" s="1"/>
  <c r="BA142" i="1"/>
  <c r="BA774" i="1"/>
  <c r="BJ774" i="1" s="1"/>
  <c r="BA1159" i="1"/>
  <c r="BA1060" i="1"/>
  <c r="BA685" i="1"/>
  <c r="BJ685" i="1" s="1"/>
  <c r="BA54" i="1"/>
  <c r="BJ54" i="1" s="1"/>
  <c r="BA835" i="1"/>
  <c r="BJ835" i="1" s="1"/>
  <c r="BA1539" i="1"/>
  <c r="BJ1539" i="1" s="1"/>
  <c r="BA396" i="1"/>
  <c r="BA453" i="1"/>
  <c r="BJ453" i="1" s="1"/>
  <c r="BA1310" i="1"/>
  <c r="BA315" i="1"/>
  <c r="BJ315" i="1" s="1"/>
  <c r="BK315" i="1" s="1"/>
  <c r="BA1726" i="1"/>
  <c r="BJ1726" i="1" s="1"/>
  <c r="BA1168" i="1"/>
  <c r="BJ1168" i="1" s="1"/>
  <c r="BA786" i="1"/>
  <c r="BJ786" i="1" s="1"/>
  <c r="BA851" i="1"/>
  <c r="BJ851" i="1" s="1"/>
  <c r="BK851" i="1" s="1"/>
  <c r="BA701" i="1"/>
  <c r="BJ701" i="1" s="1"/>
  <c r="BA1382" i="1"/>
  <c r="BJ1382" i="1" s="1"/>
  <c r="BA849" i="1"/>
  <c r="BJ849" i="1" s="1"/>
  <c r="BA758" i="1"/>
  <c r="BJ758" i="1" s="1"/>
  <c r="BA172" i="1"/>
  <c r="BJ172" i="1" s="1"/>
  <c r="BA1086" i="1"/>
  <c r="BJ1086" i="1" s="1"/>
  <c r="BA1695" i="1"/>
  <c r="BJ1695" i="1" s="1"/>
  <c r="BA425" i="1"/>
  <c r="BJ425" i="1" s="1"/>
  <c r="BA659" i="1"/>
  <c r="BA220" i="1"/>
  <c r="BA422" i="1"/>
  <c r="BJ422" i="1" s="1"/>
  <c r="BA1199" i="1"/>
  <c r="BJ1199" i="1" s="1"/>
  <c r="BA294" i="1"/>
  <c r="BA1071" i="1"/>
  <c r="BJ1071" i="1" s="1"/>
  <c r="BA1421" i="1"/>
  <c r="BA367" i="1"/>
  <c r="BA1240" i="1"/>
  <c r="BJ1240" i="1" s="1"/>
  <c r="BA650" i="1"/>
  <c r="BJ650" i="1" s="1"/>
  <c r="BA468" i="1"/>
  <c r="BA1453" i="1"/>
  <c r="BA415" i="1"/>
  <c r="BA1021" i="1"/>
  <c r="BA1570" i="1"/>
  <c r="BJ1570" i="1" s="1"/>
  <c r="BA205" i="1"/>
  <c r="BJ205" i="1" s="1"/>
  <c r="BA311" i="1"/>
  <c r="BJ311" i="1" s="1"/>
  <c r="BK311" i="1" s="1"/>
  <c r="BA1444" i="1"/>
  <c r="BA342" i="1"/>
  <c r="BJ342" i="1" s="1"/>
  <c r="BA1551" i="1"/>
  <c r="BJ1551" i="1" s="1"/>
  <c r="BA521" i="1"/>
  <c r="BA755" i="1"/>
  <c r="BJ755" i="1" s="1"/>
  <c r="BA888" i="1"/>
  <c r="BJ888" i="1" s="1"/>
  <c r="BA484" i="1"/>
  <c r="BJ484" i="1" s="1"/>
  <c r="BK484" i="1" s="1"/>
  <c r="BA4" i="1"/>
  <c r="BA448" i="1"/>
  <c r="BJ448" i="1" s="1"/>
  <c r="BA472" i="1"/>
  <c r="BA781" i="1"/>
  <c r="BJ781" i="1" s="1"/>
  <c r="BA166" i="1"/>
  <c r="BA1606" i="1"/>
  <c r="BJ1606" i="1" s="1"/>
  <c r="BA1699" i="1"/>
  <c r="BJ1699" i="1" s="1"/>
  <c r="BA669" i="1"/>
  <c r="BJ669" i="1" s="1"/>
  <c r="BA38" i="1"/>
  <c r="BJ38" i="1" s="1"/>
  <c r="BA1115" i="1"/>
  <c r="BA1089" i="1"/>
  <c r="BA467" i="1"/>
  <c r="BJ467" i="1" s="1"/>
  <c r="BA193" i="1"/>
  <c r="BJ193" i="1" s="1"/>
  <c r="BA59" i="1"/>
  <c r="BA405" i="1"/>
  <c r="BJ405" i="1" s="1"/>
  <c r="BA267" i="1"/>
  <c r="BJ267" i="1" s="1"/>
  <c r="BA1077" i="1"/>
  <c r="BJ1077" i="1" s="1"/>
  <c r="BA703" i="1"/>
  <c r="BJ703" i="1" s="1"/>
  <c r="BA1144" i="1"/>
  <c r="BJ1144" i="1" s="1"/>
  <c r="BA263" i="1"/>
  <c r="BJ263" i="1" s="1"/>
  <c r="BA1660" i="1"/>
  <c r="BJ1660" i="1" s="1"/>
  <c r="BA27" i="1"/>
  <c r="BJ27" i="1" s="1"/>
  <c r="BA149" i="1"/>
  <c r="BA935" i="1"/>
  <c r="BJ935" i="1" s="1"/>
  <c r="BA1073" i="1"/>
  <c r="BJ1073" i="1" s="1"/>
  <c r="BA807" i="1"/>
  <c r="BJ807" i="1" s="1"/>
  <c r="BA221" i="1"/>
  <c r="BJ221" i="1" s="1"/>
  <c r="BK221" i="1" s="1"/>
  <c r="BA739" i="1"/>
  <c r="BA401" i="1"/>
  <c r="BJ401" i="1" s="1"/>
  <c r="BA1670" i="1"/>
  <c r="BJ1670" i="1" s="1"/>
  <c r="BA697" i="1"/>
  <c r="BJ697" i="1" s="1"/>
  <c r="BK697" i="1" s="1"/>
  <c r="BA795" i="1"/>
  <c r="BJ795" i="1" s="1"/>
  <c r="BA473" i="1"/>
  <c r="BA667" i="1"/>
  <c r="BA657" i="1"/>
  <c r="BA1454" i="1"/>
  <c r="BA732" i="1"/>
  <c r="BA666" i="1"/>
  <c r="BJ666" i="1" s="1"/>
  <c r="BA1006" i="1"/>
  <c r="BA167" i="1"/>
  <c r="BJ167" i="1" s="1"/>
  <c r="BA1692" i="1"/>
  <c r="BJ1692" i="1" s="1"/>
  <c r="BK1692" i="1" s="1"/>
  <c r="BA1066" i="1"/>
  <c r="BJ1066" i="1" s="1"/>
  <c r="BA1468" i="1"/>
  <c r="BJ1468" i="1" s="1"/>
  <c r="BA852" i="1"/>
  <c r="BA346" i="1"/>
  <c r="BJ346" i="1" s="1"/>
  <c r="BA1597" i="1"/>
  <c r="BJ1597" i="1" s="1"/>
  <c r="BA349" i="1"/>
  <c r="BJ349" i="1" s="1"/>
  <c r="BA124" i="1"/>
  <c r="BJ124" i="1" s="1"/>
  <c r="BA684" i="1"/>
  <c r="BJ684" i="1" s="1"/>
  <c r="BA1152" i="1"/>
  <c r="BJ1152" i="1" s="1"/>
  <c r="BA248" i="1"/>
  <c r="BJ248" i="1" s="1"/>
  <c r="BA891" i="1"/>
  <c r="BJ891" i="1" s="1"/>
  <c r="BA215" i="1"/>
  <c r="BJ215" i="1" s="1"/>
  <c r="BA355" i="1"/>
  <c r="BA139" i="1"/>
  <c r="BJ139" i="1" s="1"/>
  <c r="BK139" i="1" s="1"/>
  <c r="BA670" i="1"/>
  <c r="BJ670" i="1" s="1"/>
  <c r="BA94" i="1"/>
  <c r="BA1593" i="1"/>
  <c r="BJ1593" i="1" s="1"/>
  <c r="BA1133" i="1"/>
  <c r="BJ1133" i="1" s="1"/>
  <c r="BA961" i="1"/>
  <c r="BJ961" i="1" s="1"/>
  <c r="BK961" i="1" s="1"/>
  <c r="BA395" i="1"/>
  <c r="BJ395" i="1" s="1"/>
  <c r="BA57" i="1"/>
  <c r="BJ57" i="1" s="1"/>
  <c r="BA1646" i="1"/>
  <c r="BJ1646" i="1" s="1"/>
  <c r="BA694" i="1"/>
  <c r="BJ694" i="1" s="1"/>
  <c r="BA358" i="1"/>
  <c r="BJ358" i="1" s="1"/>
  <c r="BA31" i="1"/>
  <c r="BJ31" i="1" s="1"/>
  <c r="BK31" i="1" s="1"/>
  <c r="BA1717" i="1"/>
  <c r="BJ1717" i="1" s="1"/>
  <c r="BA664" i="1"/>
  <c r="BJ664" i="1" s="1"/>
  <c r="BA19" i="1"/>
  <c r="BJ19" i="1" s="1"/>
  <c r="BA176" i="1"/>
  <c r="BJ176" i="1" s="1"/>
  <c r="BA195" i="1"/>
  <c r="BJ195" i="1" s="1"/>
  <c r="BA1442" i="1"/>
  <c r="BA402" i="1"/>
  <c r="BJ402" i="1" s="1"/>
  <c r="BA1661" i="1"/>
  <c r="BJ1661" i="1" s="1"/>
  <c r="BA446" i="1"/>
  <c r="BJ446" i="1" s="1"/>
  <c r="BA693" i="1"/>
  <c r="BJ693" i="1" s="1"/>
  <c r="BA1688" i="1"/>
  <c r="BA1184" i="1"/>
  <c r="BA412" i="1"/>
  <c r="BJ412" i="1" s="1"/>
  <c r="BA1668" i="1"/>
  <c r="BA68" i="1"/>
  <c r="BJ68" i="1" s="1"/>
  <c r="BA1019" i="1"/>
  <c r="BA1642" i="1"/>
  <c r="BJ1642" i="1" s="1"/>
  <c r="BA1430" i="1"/>
  <c r="BJ1430" i="1" s="1"/>
  <c r="BA1566" i="1"/>
  <c r="BJ1566" i="1" s="1"/>
  <c r="BA1253" i="1"/>
  <c r="BJ1253" i="1" s="1"/>
  <c r="BA1511" i="1"/>
  <c r="BA133" i="1"/>
  <c r="BJ133" i="1" s="1"/>
  <c r="BA479" i="1"/>
  <c r="BA75" i="1"/>
  <c r="BJ75" i="1" s="1"/>
  <c r="BA341" i="1"/>
  <c r="BJ341" i="1" s="1"/>
  <c r="BA1700" i="1"/>
  <c r="BJ1700" i="1" s="1"/>
  <c r="BA239" i="1"/>
  <c r="BJ239" i="1" s="1"/>
  <c r="BA1505" i="1"/>
  <c r="BJ1505" i="1" s="1"/>
  <c r="BA637" i="1"/>
  <c r="BJ637" i="1" s="1"/>
  <c r="BA241" i="1"/>
  <c r="BA1081" i="1"/>
  <c r="BA81" i="1"/>
  <c r="BJ81" i="1" s="1"/>
  <c r="BA1079" i="1"/>
  <c r="BJ1079" i="1" s="1"/>
  <c r="BA79" i="1"/>
  <c r="BJ79" i="1" s="1"/>
  <c r="BA919" i="1"/>
  <c r="BA432" i="1"/>
  <c r="BJ432" i="1" s="1"/>
  <c r="BA751" i="1"/>
  <c r="BA51" i="1"/>
  <c r="BJ51" i="1" s="1"/>
  <c r="BA778" i="1"/>
  <c r="BA250" i="1"/>
  <c r="BJ250" i="1" s="1"/>
  <c r="BA962" i="1"/>
  <c r="BA302" i="1"/>
  <c r="BJ302" i="1" s="1"/>
  <c r="BA429" i="1"/>
  <c r="BJ429" i="1" s="1"/>
  <c r="BA475" i="1"/>
  <c r="BJ475" i="1" s="1"/>
  <c r="BA904" i="1"/>
  <c r="BJ904" i="1" s="1"/>
  <c r="BA243" i="1"/>
  <c r="BJ243" i="1" s="1"/>
  <c r="BK243" i="1" s="1"/>
  <c r="BA1411" i="1"/>
  <c r="BA980" i="1"/>
  <c r="BA48" i="1"/>
  <c r="BJ48" i="1" s="1"/>
  <c r="BA1460" i="1"/>
  <c r="BA1080" i="1"/>
  <c r="BJ1080" i="1" s="1"/>
  <c r="BA389" i="1"/>
  <c r="BJ389" i="1" s="1"/>
  <c r="BA1396" i="1"/>
  <c r="BJ1396" i="1" s="1"/>
  <c r="BK1396" i="1" s="1"/>
  <c r="BA456" i="1"/>
  <c r="BJ456" i="1" s="1"/>
  <c r="BA832" i="1"/>
  <c r="BJ832" i="1" s="1"/>
  <c r="BA244" i="1"/>
  <c r="BA632" i="1"/>
  <c r="BJ632" i="1" s="1"/>
  <c r="BK632" i="1" s="1"/>
  <c r="BA696" i="1"/>
  <c r="BJ696" i="1" s="1"/>
  <c r="BK696" i="1" s="1"/>
  <c r="BA393" i="1"/>
  <c r="BJ393" i="1" s="1"/>
  <c r="BK393" i="1" s="1"/>
  <c r="BA66" i="1"/>
  <c r="BJ66" i="1" s="1"/>
  <c r="BA499" i="1"/>
  <c r="BJ499" i="1" s="1"/>
  <c r="BK499" i="1" s="1"/>
  <c r="BL499" i="1" s="1"/>
  <c r="BA640" i="1"/>
  <c r="BA945" i="1"/>
  <c r="BA706" i="1"/>
  <c r="BJ706" i="1" s="1"/>
  <c r="BA55" i="1"/>
  <c r="BJ55" i="1" s="1"/>
  <c r="BA1435" i="1"/>
  <c r="BA992" i="1"/>
  <c r="BJ992" i="1" s="1"/>
  <c r="BA1013" i="1"/>
  <c r="BA798" i="1"/>
  <c r="BJ798" i="1" s="1"/>
  <c r="BA303" i="1"/>
  <c r="BA704" i="1"/>
  <c r="BJ704" i="1" s="1"/>
  <c r="BA145" i="1"/>
  <c r="BJ145" i="1" s="1"/>
  <c r="BA270" i="1"/>
  <c r="BJ270" i="1" s="1"/>
  <c r="BA934" i="1"/>
  <c r="BA1287" i="1"/>
  <c r="BJ1287" i="1" s="1"/>
  <c r="BK1287" i="1" s="1"/>
  <c r="BA9" i="1"/>
  <c r="BA1257" i="1"/>
  <c r="BJ1257" i="1" s="1"/>
  <c r="BK1257" i="1" s="1"/>
  <c r="BL1257" i="1" s="1"/>
  <c r="BA1550" i="1"/>
  <c r="BJ1550" i="1" s="1"/>
  <c r="BA1251" i="1"/>
  <c r="BJ1251" i="1" s="1"/>
  <c r="BK1251" i="1" s="1"/>
  <c r="BL1251" i="1" s="1"/>
  <c r="BA828" i="1"/>
  <c r="BJ828" i="1" s="1"/>
  <c r="BA1053" i="1"/>
  <c r="BA762" i="1"/>
  <c r="BJ762" i="1" s="1"/>
  <c r="BA811" i="1"/>
  <c r="BJ811" i="1" s="1"/>
  <c r="BA52" i="1"/>
  <c r="BA385" i="1"/>
  <c r="BA42" i="1"/>
  <c r="BJ42" i="1" s="1"/>
  <c r="BA1250" i="1"/>
  <c r="BA959" i="1"/>
  <c r="BJ959" i="1" s="1"/>
  <c r="BA33" i="1"/>
  <c r="BA761" i="1"/>
  <c r="BJ761" i="1" s="1"/>
  <c r="BA418" i="1"/>
  <c r="BJ418" i="1" s="1"/>
  <c r="BA1682" i="1"/>
  <c r="BJ1682" i="1" s="1"/>
  <c r="BA748" i="1"/>
  <c r="BJ748" i="1" s="1"/>
  <c r="BA917" i="1"/>
  <c r="BJ917" i="1" s="1"/>
  <c r="BA682" i="1"/>
  <c r="BJ682" i="1" s="1"/>
  <c r="BA731" i="1"/>
  <c r="BJ731" i="1" s="1"/>
  <c r="BA1232" i="1"/>
  <c r="BJ1232" i="1" s="1"/>
  <c r="BA409" i="1"/>
  <c r="BJ409" i="1" s="1"/>
  <c r="BA82" i="1"/>
  <c r="BJ82" i="1" s="1"/>
  <c r="BA643" i="1"/>
  <c r="BJ643" i="1" s="1"/>
  <c r="BA568" i="1"/>
  <c r="BJ568" i="1" s="1"/>
  <c r="BA1452" i="1"/>
  <c r="BJ1452" i="1" s="1"/>
  <c r="BK1452" i="1" s="1"/>
  <c r="BL1452" i="1" s="1"/>
  <c r="BA1533" i="1"/>
  <c r="BJ1533" i="1" s="1"/>
  <c r="BA1470" i="1"/>
  <c r="BJ1470" i="1" s="1"/>
  <c r="BA903" i="1"/>
  <c r="BJ903" i="1" s="1"/>
  <c r="BA984" i="1"/>
  <c r="BA1265" i="1"/>
  <c r="BA930" i="1"/>
  <c r="BJ930" i="1" s="1"/>
  <c r="BA279" i="1"/>
  <c r="BJ279" i="1" s="1"/>
  <c r="BK279" i="1" s="1"/>
  <c r="BA1659" i="1"/>
  <c r="BJ1659" i="1" s="1"/>
  <c r="BA1057" i="1"/>
  <c r="BJ1057" i="1" s="1"/>
  <c r="BA374" i="1"/>
  <c r="BA115" i="1"/>
  <c r="BJ115" i="1" s="1"/>
  <c r="BA1647" i="1"/>
  <c r="BJ1647" i="1" s="1"/>
  <c r="BA433" i="1"/>
  <c r="BJ433" i="1" s="1"/>
  <c r="BA90" i="1"/>
  <c r="BJ90" i="1" s="1"/>
  <c r="BA1362" i="1"/>
  <c r="BA1007" i="1"/>
  <c r="BA1520" i="1"/>
  <c r="BJ1520" i="1" s="1"/>
  <c r="BA665" i="1"/>
  <c r="BJ665" i="1" s="1"/>
  <c r="BA384" i="1"/>
  <c r="BJ384" i="1" s="1"/>
  <c r="BK384" i="1" s="1"/>
  <c r="BA256" i="1"/>
  <c r="BJ256" i="1" s="1"/>
  <c r="BA8" i="1"/>
  <c r="BA40" i="1"/>
  <c r="BJ40" i="1" s="1"/>
  <c r="BA404" i="1"/>
  <c r="BJ404" i="1" s="1"/>
  <c r="BA777" i="1"/>
  <c r="BJ777" i="1" s="1"/>
  <c r="BK777" i="1" s="1"/>
  <c r="BL777" i="1" s="1"/>
  <c r="BA434" i="1"/>
  <c r="BJ434" i="1" s="1"/>
  <c r="BA1730" i="1"/>
  <c r="BA724" i="1"/>
  <c r="BJ724" i="1" s="1"/>
  <c r="BA269" i="1"/>
  <c r="BJ269" i="1" s="1"/>
  <c r="BA1154" i="1"/>
  <c r="BJ1154" i="1" s="1"/>
  <c r="BA407" i="1"/>
  <c r="BJ407" i="1" s="1"/>
  <c r="BA1479" i="1"/>
  <c r="BJ1479" i="1" s="1"/>
  <c r="BK1479" i="1" s="1"/>
  <c r="BA204" i="1"/>
  <c r="BJ204" i="1" s="1"/>
  <c r="BA245" i="1"/>
  <c r="BJ245" i="1" s="1"/>
  <c r="BA1102" i="1"/>
  <c r="BJ1102" i="1" s="1"/>
  <c r="BA719" i="1"/>
  <c r="BJ719" i="1" s="1"/>
  <c r="BA420" i="1"/>
  <c r="BJ420" i="1" s="1"/>
  <c r="BA1464" i="1"/>
  <c r="BJ1464" i="1" s="1"/>
  <c r="BK1464" i="1" s="1"/>
  <c r="BA1017" i="1"/>
  <c r="BJ1017" i="1" s="1"/>
  <c r="BK1017" i="1" s="1"/>
  <c r="BA1254" i="1"/>
  <c r="BJ1254" i="1" s="1"/>
  <c r="BK1254" i="1" s="1"/>
  <c r="BL1254" i="1" s="1"/>
  <c r="BA1075" i="1"/>
  <c r="BJ1075" i="1" s="1"/>
  <c r="BA417" i="1"/>
  <c r="BJ417" i="1" s="1"/>
  <c r="BA74" i="1"/>
  <c r="BJ74" i="1" s="1"/>
  <c r="BA1314" i="1"/>
  <c r="BJ1314" i="1" s="1"/>
  <c r="BA991" i="1"/>
  <c r="BJ991" i="1" s="1"/>
  <c r="BA1260" i="1"/>
  <c r="BJ1260" i="1" s="1"/>
  <c r="BA1357" i="1"/>
  <c r="BJ1357" i="1" s="1"/>
  <c r="BK1357" i="1" s="1"/>
  <c r="BA1082" i="1"/>
  <c r="BA1243" i="1"/>
  <c r="BJ1243" i="1" s="1"/>
  <c r="BA436" i="1"/>
  <c r="BJ436" i="1" s="1"/>
  <c r="BA801" i="1"/>
  <c r="BJ801" i="1" s="1"/>
  <c r="BA394" i="1"/>
  <c r="BJ394" i="1" s="1"/>
  <c r="BA155" i="1"/>
  <c r="BA1263" i="1"/>
  <c r="BJ1263" i="1" s="1"/>
  <c r="BK1263" i="1" s="1"/>
  <c r="BA1008" i="1"/>
  <c r="BA1037" i="1"/>
  <c r="BJ1037" i="1" s="1"/>
  <c r="BA814" i="1"/>
  <c r="BJ814" i="1" s="1"/>
  <c r="BA335" i="1"/>
  <c r="BJ335" i="1" s="1"/>
  <c r="BA1116" i="1"/>
  <c r="BJ1116" i="1" s="1"/>
  <c r="BK1116" i="1" s="1"/>
  <c r="BA1229" i="1"/>
  <c r="BJ1229" i="1" s="1"/>
  <c r="BA954" i="1"/>
  <c r="BJ954" i="1" s="1"/>
  <c r="BK954" i="1" s="1"/>
  <c r="BL954" i="1" s="1"/>
  <c r="BA1083" i="1"/>
  <c r="BJ1083" i="1" s="1"/>
  <c r="BA65" i="1"/>
  <c r="BJ65" i="1" s="1"/>
  <c r="BA793" i="1"/>
  <c r="BJ793" i="1" s="1"/>
  <c r="BA466" i="1"/>
  <c r="BA15" i="1"/>
  <c r="BA368" i="1"/>
  <c r="BJ368" i="1" s="1"/>
  <c r="BA61" i="1"/>
  <c r="BA174" i="1"/>
  <c r="BJ174" i="1" s="1"/>
  <c r="BA790" i="1"/>
  <c r="BJ790" i="1" s="1"/>
  <c r="BA1175" i="1"/>
  <c r="BJ1175" i="1" s="1"/>
  <c r="BA900" i="1"/>
  <c r="BJ900" i="1" s="1"/>
  <c r="BA445" i="1"/>
  <c r="BJ445" i="1" s="1"/>
  <c r="BA1653" i="1"/>
  <c r="BA663" i="1"/>
  <c r="BJ663" i="1" s="1"/>
  <c r="BA1363" i="1"/>
  <c r="BJ1363" i="1" s="1"/>
  <c r="BA297" i="1"/>
  <c r="BJ297" i="1" s="1"/>
  <c r="BA1681" i="1"/>
  <c r="BJ1681" i="1" s="1"/>
  <c r="BA435" i="1"/>
  <c r="BA408" i="1"/>
  <c r="BJ408" i="1" s="1"/>
  <c r="BA865" i="1"/>
  <c r="BJ865" i="1" s="1"/>
  <c r="BA442" i="1"/>
  <c r="BJ442" i="1" s="1"/>
  <c r="BA1722" i="1"/>
  <c r="BJ1722" i="1" s="1"/>
  <c r="BA1339" i="1"/>
  <c r="BJ1339" i="1" s="1"/>
  <c r="BA928" i="1"/>
  <c r="BA953" i="1"/>
  <c r="BJ953" i="1" s="1"/>
  <c r="BK953" i="1" s="1"/>
  <c r="BL953" i="1" s="1"/>
  <c r="BA734" i="1"/>
  <c r="BJ734" i="1" s="1"/>
  <c r="BA207" i="1"/>
  <c r="BA424" i="1"/>
  <c r="BJ424" i="1" s="1"/>
  <c r="BA77" i="1"/>
  <c r="BJ77" i="1" s="1"/>
  <c r="BA206" i="1"/>
  <c r="BA806" i="1"/>
  <c r="BJ806" i="1" s="1"/>
  <c r="BK806" i="1" s="1"/>
  <c r="BA1191" i="1"/>
  <c r="BA175" i="1"/>
  <c r="BJ175" i="1" s="1"/>
  <c r="BA1064" i="1"/>
  <c r="BJ1064" i="1" s="1"/>
  <c r="BA1662" i="1"/>
  <c r="BJ1662" i="1" s="1"/>
  <c r="BA192" i="1"/>
  <c r="BJ192" i="1" s="1"/>
  <c r="BA1309" i="1"/>
  <c r="BA223" i="1"/>
  <c r="BA1409" i="1"/>
  <c r="BJ1409" i="1" s="1"/>
  <c r="BA259" i="1"/>
  <c r="BA721" i="1"/>
  <c r="BJ721" i="1" s="1"/>
  <c r="BA630" i="1"/>
  <c r="BJ630" i="1" s="1"/>
  <c r="BA952" i="1"/>
  <c r="BJ952" i="1" s="1"/>
  <c r="BA414" i="1"/>
  <c r="BJ414" i="1" s="1"/>
  <c r="BA915" i="1"/>
  <c r="BJ915" i="1" s="1"/>
  <c r="BA753" i="1"/>
  <c r="BJ753" i="1" s="1"/>
  <c r="BA662" i="1"/>
  <c r="BJ662" i="1" s="1"/>
  <c r="BK662" i="1" s="1"/>
  <c r="BL662" i="1" s="1"/>
  <c r="BA1484" i="1"/>
  <c r="BJ1484" i="1" s="1"/>
  <c r="BA974" i="1"/>
  <c r="BJ974" i="1" s="1"/>
  <c r="BA1204" i="1"/>
  <c r="BJ1204" i="1" s="1"/>
  <c r="BA26" i="1"/>
  <c r="BJ26" i="1" s="1"/>
  <c r="BA943" i="1"/>
  <c r="BA489" i="1"/>
  <c r="BJ489" i="1" s="1"/>
  <c r="BA327" i="1"/>
  <c r="BJ327" i="1" s="1"/>
  <c r="BA1236" i="1"/>
  <c r="BJ1236" i="1" s="1"/>
  <c r="BA58" i="1"/>
  <c r="BJ58" i="1" s="1"/>
  <c r="BA975" i="1"/>
  <c r="BJ975" i="1" s="1"/>
  <c r="BA1317" i="1"/>
  <c r="BJ1317" i="1" s="1"/>
  <c r="BK1317" i="1" s="1"/>
  <c r="BL1317" i="1" s="1"/>
  <c r="BA1107" i="1"/>
  <c r="BA837" i="1"/>
  <c r="BJ837" i="1" s="1"/>
  <c r="BA723" i="1"/>
  <c r="BJ723" i="1" s="1"/>
  <c r="BA1532" i="1"/>
  <c r="BJ1532" i="1" s="1"/>
  <c r="BA1598" i="1"/>
  <c r="BJ1598" i="1" s="1"/>
  <c r="BA692" i="1"/>
  <c r="BJ692" i="1" s="1"/>
  <c r="BA494" i="1"/>
  <c r="BJ494" i="1" s="1"/>
  <c r="BA715" i="1"/>
  <c r="BJ715" i="1" s="1"/>
  <c r="BA1056" i="1"/>
  <c r="BA36" i="1"/>
  <c r="BA280" i="1"/>
  <c r="BA728" i="1"/>
  <c r="BJ728" i="1" s="1"/>
  <c r="BA148" i="1"/>
  <c r="BA1045" i="1"/>
  <c r="BJ1045" i="1" s="1"/>
  <c r="BK1045" i="1" s="1"/>
  <c r="BA830" i="1"/>
  <c r="BJ830" i="1" s="1"/>
  <c r="BA351" i="1"/>
  <c r="BA1044" i="1"/>
  <c r="BJ1044" i="1" s="1"/>
  <c r="BK1044" i="1" s="1"/>
  <c r="BL1044" i="1" s="1"/>
  <c r="BA937" i="1"/>
  <c r="BJ937" i="1" s="1"/>
  <c r="BA718" i="1"/>
  <c r="BJ718" i="1" s="1"/>
  <c r="BA1507" i="1"/>
  <c r="BJ1507" i="1" s="1"/>
  <c r="BA334" i="1"/>
  <c r="BJ334" i="1" s="1"/>
  <c r="BA1579" i="1"/>
  <c r="BJ1579" i="1" s="1"/>
  <c r="BA969" i="1"/>
  <c r="BA1195" i="1"/>
  <c r="BJ1195" i="1" s="1"/>
  <c r="BA426" i="1"/>
  <c r="BJ426" i="1" s="1"/>
  <c r="BA1367" i="1"/>
  <c r="BJ1367" i="1" s="1"/>
  <c r="BA1725" i="1"/>
  <c r="BJ1725" i="1" s="1"/>
  <c r="BA1167" i="1"/>
  <c r="BJ1167" i="1" s="1"/>
  <c r="BA773" i="1"/>
  <c r="BJ773" i="1" s="1"/>
  <c r="BA619" i="1"/>
  <c r="BJ619" i="1" s="1"/>
  <c r="BA1141" i="1"/>
  <c r="BA735" i="1"/>
  <c r="BA154" i="1"/>
  <c r="BJ154" i="1" s="1"/>
  <c r="BK154" i="1" s="1"/>
  <c r="BA1487" i="1"/>
  <c r="BJ1487" i="1" s="1"/>
  <c r="BA182" i="1"/>
  <c r="BJ182" i="1" s="1"/>
  <c r="BA1715" i="1"/>
  <c r="BJ1715" i="1" s="1"/>
  <c r="BA869" i="1"/>
  <c r="BJ869" i="1" s="1"/>
  <c r="BA995" i="1"/>
  <c r="BJ995" i="1" s="1"/>
  <c r="BA1093" i="1"/>
  <c r="BJ1093" i="1" s="1"/>
  <c r="BA839" i="1"/>
  <c r="BJ839" i="1" s="1"/>
  <c r="BA1049" i="1"/>
  <c r="BJ1049" i="1" s="1"/>
  <c r="BA1607" i="1"/>
  <c r="BJ1607" i="1" s="1"/>
  <c r="BA454" i="1"/>
  <c r="BJ454" i="1" s="1"/>
  <c r="BK454" i="1" s="1"/>
  <c r="BA1691" i="1"/>
  <c r="BA181" i="1"/>
  <c r="BJ181" i="1" s="1"/>
  <c r="BA655" i="1"/>
  <c r="BA237" i="1"/>
  <c r="BA375" i="1"/>
  <c r="BA1139" i="1"/>
  <c r="BA486" i="1"/>
  <c r="BJ486" i="1" s="1"/>
  <c r="BA948" i="1"/>
  <c r="BJ948" i="1" s="1"/>
  <c r="BA873" i="1"/>
  <c r="BJ873" i="1" s="1"/>
  <c r="BA1518" i="1"/>
  <c r="BJ1518" i="1" s="1"/>
  <c r="BA968" i="1"/>
  <c r="BA123" i="1"/>
  <c r="BJ123" i="1" s="1"/>
  <c r="BA1578" i="1"/>
  <c r="BJ1578" i="1" s="1"/>
  <c r="BA1413" i="1"/>
  <c r="BJ1413" i="1" s="1"/>
  <c r="BA197" i="1"/>
  <c r="BA805" i="1"/>
  <c r="BJ805" i="1" s="1"/>
  <c r="BK805" i="1" s="1"/>
  <c r="BL805" i="1" s="1"/>
  <c r="BA329" i="1"/>
  <c r="BJ329" i="1" s="1"/>
  <c r="BA972" i="1"/>
  <c r="BJ972" i="1" s="1"/>
  <c r="BA808" i="1"/>
  <c r="BJ808" i="1" s="1"/>
  <c r="BA1595" i="1"/>
  <c r="BJ1595" i="1" s="1"/>
  <c r="BA292" i="1"/>
  <c r="BA1247" i="1"/>
  <c r="BA95" i="1"/>
  <c r="BJ95" i="1" s="1"/>
  <c r="BA742" i="1"/>
  <c r="BJ742" i="1" s="1"/>
  <c r="BA91" i="1"/>
  <c r="BJ91" i="1" s="1"/>
  <c r="BA906" i="1"/>
  <c r="BJ906" i="1" s="1"/>
  <c r="BK906" i="1" s="1"/>
  <c r="BA722" i="1"/>
  <c r="BJ722" i="1" s="1"/>
  <c r="BA1451" i="1"/>
  <c r="BJ1451" i="1" s="1"/>
  <c r="BK1451" i="1" s="1"/>
  <c r="BL1451" i="1" s="1"/>
  <c r="BA905" i="1"/>
  <c r="BJ905" i="1" s="1"/>
  <c r="BA143" i="1"/>
  <c r="BJ143" i="1" s="1"/>
  <c r="BA92" i="1"/>
  <c r="BJ92" i="1" s="1"/>
  <c r="BA457" i="1"/>
  <c r="BJ457" i="1" s="1"/>
  <c r="BA1014" i="1"/>
  <c r="BA300" i="1"/>
  <c r="BJ300" i="1" s="1"/>
  <c r="BA322" i="1"/>
  <c r="BJ322" i="1" s="1"/>
  <c r="BA720" i="1"/>
  <c r="BJ720" i="1" s="1"/>
  <c r="BA1016" i="1"/>
  <c r="BJ1016" i="1" s="1"/>
  <c r="BA1087" i="1"/>
  <c r="BJ1087" i="1" s="1"/>
  <c r="BA1618" i="1"/>
  <c r="BJ1618" i="1" s="1"/>
  <c r="BA1626" i="1"/>
  <c r="BJ1626" i="1" s="1"/>
  <c r="BA1110" i="1"/>
  <c r="BA1594" i="1"/>
  <c r="BJ1594" i="1" s="1"/>
  <c r="BA1225" i="1"/>
  <c r="BJ1225" i="1" s="1"/>
  <c r="BA361" i="1"/>
  <c r="BJ361" i="1" s="1"/>
  <c r="BA469" i="1"/>
  <c r="BJ469" i="1" s="1"/>
  <c r="BA1201" i="1"/>
  <c r="BJ1201" i="1" s="1"/>
  <c r="BA1084" i="1"/>
  <c r="BJ1084" i="1" s="1"/>
  <c r="BA464" i="1"/>
  <c r="BJ464" i="1" s="1"/>
  <c r="BA1295" i="1"/>
  <c r="BJ1295" i="1" s="1"/>
  <c r="BA1587" i="1"/>
  <c r="BJ1587" i="1" s="1"/>
  <c r="BA1267" i="1"/>
  <c r="BA714" i="1"/>
  <c r="BJ714" i="1" s="1"/>
  <c r="BA144" i="1"/>
  <c r="BJ144" i="1" s="1"/>
  <c r="BA138" i="1"/>
  <c r="BJ138" i="1" s="1"/>
  <c r="BA1055" i="1"/>
  <c r="BA93" i="1"/>
  <c r="BJ93" i="1" s="1"/>
  <c r="BA767" i="1"/>
  <c r="BJ767" i="1" s="1"/>
  <c r="BA642" i="1"/>
  <c r="BA477" i="1"/>
  <c r="BJ477" i="1" s="1"/>
  <c r="BA403" i="1"/>
  <c r="BJ403" i="1" s="1"/>
  <c r="BA6" i="1"/>
  <c r="BA1676" i="1"/>
  <c r="BJ1676" i="1" s="1"/>
  <c r="BK1676" i="1" s="1"/>
  <c r="BA1005" i="1"/>
  <c r="BA88" i="1"/>
  <c r="BJ88" i="1" s="1"/>
  <c r="BA727" i="1"/>
  <c r="BJ727" i="1" s="1"/>
  <c r="BA1238" i="1"/>
  <c r="BJ1238" i="1" s="1"/>
  <c r="BA960" i="1"/>
  <c r="BJ960" i="1" s="1"/>
  <c r="BA236" i="1"/>
  <c r="BJ236" i="1" s="1"/>
  <c r="BA1428" i="1"/>
  <c r="BJ1428" i="1" s="1"/>
  <c r="BA1519" i="1"/>
  <c r="BJ1519" i="1" s="1"/>
  <c r="BA827" i="1"/>
  <c r="BA1498" i="1"/>
  <c r="BA295" i="1"/>
  <c r="BJ295" i="1" s="1"/>
  <c r="BA982" i="1"/>
  <c r="BJ982" i="1" s="1"/>
  <c r="BA647" i="1"/>
  <c r="BJ647" i="1" s="1"/>
  <c r="BA222" i="1"/>
  <c r="BA1417" i="1"/>
  <c r="BJ1417" i="1" s="1"/>
  <c r="BA766" i="1"/>
  <c r="BJ766" i="1" s="1"/>
  <c r="BA613" i="1"/>
  <c r="BJ613" i="1" s="1"/>
  <c r="BA1197" i="1"/>
  <c r="BJ1197" i="1" s="1"/>
  <c r="BA46" i="1"/>
  <c r="BJ46" i="1" s="1"/>
  <c r="BA1583" i="1"/>
  <c r="BJ1583" i="1" s="1"/>
  <c r="BA929" i="1"/>
  <c r="BJ929" i="1" s="1"/>
  <c r="BA1341" i="1"/>
  <c r="BJ1341" i="1" s="1"/>
  <c r="BA278" i="1"/>
  <c r="BJ278" i="1" s="1"/>
  <c r="BA106" i="1"/>
  <c r="BJ106" i="1" s="1"/>
  <c r="BA140" i="1"/>
  <c r="BJ140" i="1" s="1"/>
  <c r="BK140" i="1" s="1"/>
  <c r="BA1070" i="1"/>
  <c r="BJ1070" i="1" s="1"/>
  <c r="BA1316" i="1"/>
  <c r="BJ1316" i="1" s="1"/>
  <c r="BK1316" i="1" s="1"/>
  <c r="BA246" i="1"/>
  <c r="BJ246" i="1" s="1"/>
  <c r="BA1439" i="1"/>
  <c r="BJ1439" i="1" s="1"/>
  <c r="BA981" i="1"/>
  <c r="BJ981" i="1" s="1"/>
  <c r="BA488" i="1"/>
  <c r="BA200" i="1"/>
  <c r="BJ200" i="1" s="1"/>
  <c r="BK200" i="1" s="1"/>
  <c r="BL200" i="1" s="1"/>
  <c r="BA908" i="1"/>
  <c r="BJ908" i="1" s="1"/>
  <c r="BA826" i="1"/>
  <c r="BJ826" i="1" s="1"/>
  <c r="BA1472" i="1"/>
  <c r="BJ1472" i="1" s="1"/>
  <c r="BA306" i="1"/>
  <c r="BJ306" i="1" s="1"/>
  <c r="BK306" i="1" s="1"/>
  <c r="BA856" i="1"/>
  <c r="BJ856" i="1" s="1"/>
  <c r="BK856" i="1" s="1"/>
  <c r="BA1612" i="1"/>
  <c r="BJ1612" i="1" s="1"/>
  <c r="BA646" i="1"/>
  <c r="BJ646" i="1" s="1"/>
  <c r="BA756" i="1"/>
  <c r="BJ756" i="1" s="1"/>
  <c r="BK756" i="1" s="1"/>
  <c r="BA1285" i="1"/>
  <c r="BJ1285" i="1" s="1"/>
  <c r="BK1285" i="1" s="1"/>
  <c r="BA439" i="1"/>
  <c r="BA845" i="1"/>
  <c r="BJ845" i="1" s="1"/>
  <c r="BA1702" i="1"/>
  <c r="BJ1702" i="1" s="1"/>
  <c r="BA273" i="1"/>
  <c r="BJ273" i="1" s="1"/>
  <c r="BA107" i="1"/>
  <c r="BJ107" i="1" s="1"/>
  <c r="BA1684" i="1"/>
  <c r="BJ1684" i="1" s="1"/>
  <c r="BA1233" i="1"/>
  <c r="BJ1233" i="1" s="1"/>
  <c r="BA227" i="1"/>
  <c r="BJ227" i="1" s="1"/>
  <c r="BA1340" i="1"/>
  <c r="BJ1340" i="1" s="1"/>
  <c r="BA1194" i="1"/>
  <c r="BA73" i="1"/>
  <c r="BJ73" i="1" s="1"/>
  <c r="BA1710" i="1"/>
  <c r="BJ1710" i="1" s="1"/>
  <c r="BA799" i="1"/>
  <c r="BJ799" i="1" s="1"/>
  <c r="BA1217" i="1"/>
  <c r="BJ1217" i="1" s="1"/>
  <c r="BA875" i="1"/>
  <c r="BJ875" i="1" s="1"/>
  <c r="BA897" i="1"/>
  <c r="BJ897" i="1" s="1"/>
  <c r="BA7" i="1"/>
  <c r="BA97" i="1"/>
  <c r="BJ97" i="1" s="1"/>
  <c r="BA626" i="1"/>
  <c r="BJ626" i="1" s="1"/>
  <c r="BA476" i="1"/>
  <c r="BJ476" i="1" s="1"/>
  <c r="BA1514" i="1"/>
  <c r="BA427" i="1"/>
  <c r="BJ427" i="1" s="1"/>
  <c r="BA185" i="1"/>
  <c r="BJ185" i="1" s="1"/>
  <c r="BA291" i="1"/>
  <c r="BJ291" i="1" s="1"/>
  <c r="BA1180" i="1"/>
  <c r="BJ1180" i="1" s="1"/>
  <c r="BA1002" i="1"/>
  <c r="BJ1002" i="1" s="1"/>
  <c r="BA1179" i="1"/>
  <c r="BJ1179" i="1" s="1"/>
  <c r="BA913" i="1"/>
  <c r="BJ913" i="1" s="1"/>
  <c r="BA23" i="1"/>
  <c r="BJ23" i="1" s="1"/>
  <c r="BA815" i="1"/>
  <c r="BJ815" i="1" s="1"/>
  <c r="BA199" i="1"/>
  <c r="BJ199" i="1" s="1"/>
  <c r="BA70" i="1"/>
  <c r="BA110" i="1"/>
  <c r="BA229" i="1"/>
  <c r="BJ229" i="1" s="1"/>
  <c r="BA652" i="1"/>
  <c r="BJ652" i="1" s="1"/>
  <c r="BA146" i="1"/>
  <c r="BJ146" i="1" s="1"/>
  <c r="BA293" i="1"/>
  <c r="BA925" i="1"/>
  <c r="BJ925" i="1" s="1"/>
  <c r="BA1372" i="1"/>
  <c r="BJ1372" i="1" s="1"/>
  <c r="BA304" i="1"/>
  <c r="BJ304" i="1" s="1"/>
  <c r="BA482" i="1"/>
  <c r="BA1404" i="1"/>
  <c r="BA812" i="1"/>
  <c r="BJ812" i="1" s="1"/>
  <c r="BA644" i="1"/>
  <c r="BJ644" i="1" s="1"/>
  <c r="BA979" i="1"/>
  <c r="BA67" i="1"/>
  <c r="BJ67" i="1" s="1"/>
  <c r="BA258" i="1"/>
  <c r="BJ258" i="1" s="1"/>
  <c r="BA49" i="1"/>
  <c r="BJ49" i="1" s="1"/>
  <c r="BA20" i="1"/>
  <c r="BJ20" i="1" s="1"/>
  <c r="BA1356" i="1"/>
  <c r="BJ1356" i="1" s="1"/>
  <c r="BA1226" i="1"/>
  <c r="BJ1226" i="1" s="1"/>
  <c r="BA912" i="1"/>
  <c r="BJ912" i="1" s="1"/>
  <c r="BA1261" i="1"/>
  <c r="BJ1261" i="1" s="1"/>
  <c r="BA776" i="1"/>
  <c r="BJ776" i="1" s="1"/>
  <c r="BA376" i="1"/>
  <c r="BJ376" i="1" s="1"/>
  <c r="BA1555" i="1"/>
  <c r="BJ1555" i="1" s="1"/>
  <c r="BK1555" i="1" s="1"/>
  <c r="BA1556" i="1"/>
  <c r="BA208" i="1"/>
  <c r="BJ208" i="1" s="1"/>
  <c r="BA920" i="1"/>
  <c r="BJ920" i="1" s="1"/>
  <c r="BA30" i="1"/>
  <c r="BJ30" i="1" s="1"/>
  <c r="BA1562" i="1"/>
  <c r="BJ1562" i="1" s="1"/>
  <c r="BA1242" i="1"/>
  <c r="BJ1242" i="1" s="1"/>
  <c r="BA226" i="1"/>
  <c r="BJ226" i="1" s="1"/>
  <c r="BA214" i="1"/>
  <c r="BA1407" i="1"/>
  <c r="BJ1407" i="1" s="1"/>
  <c r="BA1376" i="1"/>
  <c r="BJ1376" i="1" s="1"/>
  <c r="BA196" i="1"/>
  <c r="BJ196" i="1" s="1"/>
  <c r="BK196" i="1" s="1"/>
  <c r="BA1103" i="1"/>
  <c r="BJ1103" i="1" s="1"/>
  <c r="BA1011" i="1"/>
  <c r="BJ1011" i="1" s="1"/>
  <c r="BA350" i="1"/>
  <c r="BJ350" i="1" s="1"/>
  <c r="BA137" i="1"/>
  <c r="BJ137" i="1" s="1"/>
  <c r="BA24" i="1"/>
  <c r="BJ24" i="1" s="1"/>
  <c r="BA1231" i="1"/>
  <c r="BJ1231" i="1" s="1"/>
  <c r="BA487" i="1"/>
  <c r="BA586" i="1"/>
  <c r="BJ586" i="1" s="1"/>
  <c r="BA1237" i="1"/>
  <c r="BJ1237" i="1" s="1"/>
  <c r="BA233" i="1"/>
  <c r="BJ233" i="1" s="1"/>
  <c r="BA848" i="1"/>
  <c r="BA1111" i="1"/>
  <c r="BJ1111" i="1" s="1"/>
  <c r="BA863" i="1"/>
  <c r="BJ863" i="1" s="1"/>
  <c r="BK863" i="1" s="1"/>
  <c r="BA1418" i="1"/>
  <c r="BJ1418" i="1" s="1"/>
  <c r="BA1465" i="1"/>
  <c r="BA496" i="1"/>
  <c r="BJ496" i="1" s="1"/>
  <c r="BK496" i="1" s="1"/>
  <c r="BA39" i="1"/>
  <c r="BA1059" i="1"/>
  <c r="BJ1059" i="1" s="1"/>
  <c r="BA1185" i="1"/>
  <c r="BJ1185" i="1" s="1"/>
  <c r="BA641" i="1"/>
  <c r="BJ641" i="1" s="1"/>
  <c r="BA768" i="1"/>
  <c r="BJ768" i="1" s="1"/>
  <c r="BA963" i="1"/>
  <c r="BJ963" i="1" s="1"/>
  <c r="BA1434" i="1"/>
  <c r="BJ1434" i="1" s="1"/>
  <c r="BA1342" i="1"/>
  <c r="BJ1342" i="1" s="1"/>
  <c r="BA1181" i="1"/>
  <c r="BJ1181" i="1" s="1"/>
  <c r="BA717" i="1"/>
  <c r="BJ717" i="1" s="1"/>
  <c r="BA85" i="1"/>
  <c r="BJ85" i="1" s="1"/>
  <c r="BA423" i="1"/>
  <c r="BJ423" i="1" s="1"/>
  <c r="BA942" i="1"/>
  <c r="BJ942" i="1" s="1"/>
  <c r="BK942" i="1" s="1"/>
  <c r="BL942" i="1" s="1"/>
  <c r="BA838" i="1"/>
  <c r="BJ838" i="1" s="1"/>
  <c r="BA80" i="1"/>
  <c r="BJ80" i="1" s="1"/>
  <c r="BA194" i="1"/>
  <c r="BA1230" i="1"/>
  <c r="BJ1230" i="1" s="1"/>
  <c r="BA656" i="1"/>
  <c r="BA309" i="1"/>
  <c r="BJ309" i="1" s="1"/>
  <c r="BA844" i="1"/>
  <c r="BJ844" i="1" s="1"/>
  <c r="BK844" i="1" s="1"/>
  <c r="BA1135" i="1"/>
  <c r="BA1351" i="1"/>
  <c r="BJ1351" i="1" s="1"/>
  <c r="BA1207" i="1"/>
  <c r="BJ1207" i="1" s="1"/>
  <c r="BA1343" i="1"/>
  <c r="BJ1343" i="1" s="1"/>
  <c r="BK1343" i="1" s="1"/>
  <c r="BL1343" i="1" s="1"/>
  <c r="BA918" i="1"/>
  <c r="BA165" i="1"/>
  <c r="BA62" i="1"/>
  <c r="BJ62" i="1" s="1"/>
  <c r="BA1471" i="1"/>
  <c r="BJ1471" i="1" s="1"/>
  <c r="BA896" i="1"/>
  <c r="BJ896" i="1" s="1"/>
  <c r="BA840" i="1"/>
  <c r="BJ840" i="1" s="1"/>
  <c r="BA480" i="1"/>
  <c r="BJ480" i="1" s="1"/>
  <c r="BA160" i="1"/>
  <c r="BJ160" i="1" s="1"/>
  <c r="BA620" i="1"/>
  <c r="BJ620" i="1" s="1"/>
  <c r="BA741" i="1"/>
  <c r="BJ741" i="1" s="1"/>
  <c r="BA458" i="1"/>
  <c r="BJ458" i="1" s="1"/>
  <c r="BA491" i="1"/>
  <c r="BJ491" i="1" s="1"/>
  <c r="BA69" i="1"/>
  <c r="BJ69" i="1" s="1"/>
  <c r="BA249" i="1"/>
  <c r="BJ249" i="1" s="1"/>
  <c r="BA1441" i="1"/>
  <c r="BA387" i="1"/>
  <c r="BA296" i="1"/>
  <c r="BJ296" i="1" s="1"/>
  <c r="BA1308" i="1"/>
  <c r="BJ1308" i="1" s="1"/>
  <c r="BA1373" i="1"/>
  <c r="BJ1373" i="1" s="1"/>
  <c r="BA1178" i="1"/>
  <c r="BJ1178" i="1" s="1"/>
  <c r="BA1307" i="1"/>
  <c r="BJ1307" i="1" s="1"/>
  <c r="BA824" i="1"/>
  <c r="BJ824" i="1" s="1"/>
  <c r="BA977" i="1"/>
  <c r="BJ977" i="1" s="1"/>
  <c r="BA738" i="1"/>
  <c r="BJ738" i="1" s="1"/>
  <c r="BA87" i="1"/>
  <c r="BJ87" i="1" s="1"/>
  <c r="BA1515" i="1"/>
  <c r="BJ1515" i="1" s="1"/>
  <c r="BA461" i="1"/>
  <c r="BJ461" i="1" s="1"/>
  <c r="BA1669" i="1"/>
  <c r="BJ1669" i="1" s="1"/>
  <c r="BA695" i="1"/>
  <c r="BA1395" i="1"/>
  <c r="BA1512" i="1"/>
  <c r="BA1065" i="1"/>
  <c r="BJ1065" i="1" s="1"/>
  <c r="BA1286" i="1"/>
  <c r="BJ1286" i="1" s="1"/>
  <c r="BK1286" i="1" s="1"/>
  <c r="BL1286" i="1" s="1"/>
  <c r="BA1123" i="1"/>
  <c r="BJ1123" i="1" s="1"/>
  <c r="BA1220" i="1"/>
  <c r="BA813" i="1"/>
  <c r="BJ813" i="1" s="1"/>
  <c r="BA198" i="1"/>
  <c r="BJ198" i="1" s="1"/>
  <c r="BA1654" i="1"/>
  <c r="BA1391" i="1"/>
  <c r="BJ1391" i="1" s="1"/>
  <c r="BA860" i="1"/>
  <c r="BJ860" i="1" s="1"/>
  <c r="BA1153" i="1"/>
  <c r="BJ1153" i="1" s="1"/>
  <c r="BA794" i="1"/>
  <c r="BA843" i="1"/>
  <c r="BA1352" i="1"/>
  <c r="BJ1352" i="1" s="1"/>
  <c r="BA850" i="1"/>
  <c r="BA1190" i="1"/>
  <c r="BJ1190" i="1" s="1"/>
  <c r="BK1190" i="1" s="1"/>
  <c r="BL1190" i="1" s="1"/>
  <c r="BA1027" i="1"/>
  <c r="BJ1027" i="1" s="1"/>
  <c r="BA636" i="1"/>
  <c r="BJ636" i="1" s="1"/>
  <c r="BA757" i="1"/>
  <c r="BA474" i="1"/>
  <c r="BA523" i="1"/>
  <c r="BA104" i="1"/>
  <c r="BJ104" i="1" s="1"/>
  <c r="BA449" i="1"/>
  <c r="BJ449" i="1" s="1"/>
  <c r="BA1386" i="1"/>
  <c r="BJ1386" i="1" s="1"/>
  <c r="BK1386" i="1" s="1"/>
  <c r="BA1023" i="1"/>
  <c r="BJ1023" i="1" s="1"/>
  <c r="BA1264" i="1"/>
  <c r="BA441" i="1"/>
  <c r="BJ441" i="1" s="1"/>
  <c r="BA162" i="1"/>
  <c r="BJ162" i="1" s="1"/>
  <c r="BA691" i="1"/>
  <c r="BJ691" i="1" s="1"/>
  <c r="BA213" i="1"/>
  <c r="BJ213" i="1" s="1"/>
  <c r="BA687" i="1"/>
  <c r="BJ687" i="1" s="1"/>
  <c r="BA861" i="1"/>
  <c r="BJ861" i="1" s="1"/>
  <c r="BK861" i="1" s="1"/>
  <c r="BA1718" i="1"/>
  <c r="BA780" i="1"/>
  <c r="BJ780" i="1" s="1"/>
  <c r="BA153" i="1"/>
  <c r="BJ153" i="1" s="1"/>
  <c r="BA53" i="1"/>
  <c r="BJ53" i="1" s="1"/>
  <c r="BK53" i="1" s="1"/>
  <c r="BL53" i="1" s="1"/>
  <c r="BA1205" i="1"/>
  <c r="BJ1205" i="1" s="1"/>
  <c r="BA859" i="1"/>
  <c r="BJ859" i="1" s="1"/>
  <c r="BA649" i="1"/>
  <c r="BJ649" i="1" s="1"/>
  <c r="BA787" i="1"/>
  <c r="BJ787" i="1" s="1"/>
  <c r="BA14" i="1"/>
  <c r="BA1031" i="1"/>
  <c r="BJ1031" i="1" s="1"/>
  <c r="BA301" i="1"/>
  <c r="BJ301" i="1" s="1"/>
  <c r="BA1543" i="1"/>
  <c r="BJ1543" i="1" s="1"/>
  <c r="BK1543" i="1" s="1"/>
  <c r="BL1543" i="1" s="1"/>
  <c r="BA230" i="1"/>
  <c r="BJ230" i="1" s="1"/>
  <c r="BA1423" i="1"/>
  <c r="BA1625" i="1"/>
  <c r="BJ1625" i="1" s="1"/>
  <c r="BA879" i="1"/>
  <c r="BJ879" i="1" s="1"/>
  <c r="BA478" i="1"/>
  <c r="BA324" i="1"/>
  <c r="BJ324" i="1" s="1"/>
  <c r="BA1389" i="1"/>
  <c r="BJ1389" i="1" s="1"/>
  <c r="BA1359" i="1"/>
  <c r="BJ1359" i="1" s="1"/>
  <c r="BA1481" i="1"/>
  <c r="BA924" i="1"/>
  <c r="BJ924" i="1" s="1"/>
  <c r="BA842" i="1"/>
  <c r="BJ842" i="1" s="1"/>
  <c r="BA672" i="1"/>
  <c r="BJ672" i="1" s="1"/>
  <c r="BA462" i="1"/>
  <c r="BJ462" i="1" s="1"/>
  <c r="BA1355" i="1"/>
  <c r="BJ1355" i="1" s="1"/>
  <c r="BA841" i="1"/>
  <c r="BJ841" i="1" s="1"/>
  <c r="BK841" i="1" s="1"/>
  <c r="BA47" i="1"/>
  <c r="BJ47" i="1" s="1"/>
  <c r="BA661" i="1"/>
  <c r="BA5" i="1"/>
  <c r="BA898" i="1"/>
  <c r="BJ898" i="1" s="1"/>
  <c r="BA168" i="1"/>
  <c r="BJ168" i="1" s="1"/>
  <c r="BA1293" i="1"/>
  <c r="BJ1293" i="1" s="1"/>
  <c r="BA712" i="1"/>
  <c r="BJ712" i="1" s="1"/>
  <c r="BK712" i="1" s="1"/>
  <c r="BL712" i="1" s="1"/>
  <c r="BA470" i="1"/>
  <c r="BJ470" i="1" s="1"/>
  <c r="BA1387" i="1"/>
  <c r="BJ1387" i="1" s="1"/>
  <c r="BK1387" i="1" s="1"/>
  <c r="BA345" i="1"/>
  <c r="BJ345" i="1" s="1"/>
  <c r="BA1076" i="1"/>
  <c r="BJ1076" i="1" s="1"/>
  <c r="BA847" i="1"/>
  <c r="BA1127" i="1"/>
  <c r="BJ1127" i="1" s="1"/>
  <c r="BA147" i="1"/>
  <c r="BJ147" i="1" s="1"/>
  <c r="BA1643" i="1"/>
  <c r="BJ1643" i="1" s="1"/>
  <c r="BA179" i="1"/>
  <c r="BJ179" i="1" s="1"/>
  <c r="BA1406" i="1"/>
  <c r="BJ1406" i="1" s="1"/>
  <c r="BA846" i="1"/>
  <c r="BJ846" i="1" s="1"/>
  <c r="BA699" i="1"/>
  <c r="BJ699" i="1" s="1"/>
  <c r="BA878" i="1"/>
  <c r="BJ878" i="1" s="1"/>
  <c r="BA746" i="1"/>
  <c r="BJ746" i="1" s="1"/>
  <c r="BA978" i="1"/>
  <c r="BJ978" i="1" s="1"/>
  <c r="BA973" i="1"/>
  <c r="BJ973" i="1" s="1"/>
  <c r="BA1424" i="1"/>
  <c r="BA1723" i="1"/>
  <c r="BJ1723" i="1" s="1"/>
  <c r="BA228" i="1"/>
  <c r="BJ228" i="1" s="1"/>
  <c r="BA1412" i="1"/>
  <c r="BJ1412" i="1" s="1"/>
  <c r="BK1412" i="1" s="1"/>
  <c r="BA1405" i="1"/>
  <c r="BJ1405" i="1" s="1"/>
  <c r="BK1405" i="1" s="1"/>
  <c r="BA791" i="1"/>
  <c r="BJ791" i="1" s="1"/>
  <c r="BA970" i="1"/>
  <c r="BJ970" i="1" s="1"/>
  <c r="BA34" i="1"/>
  <c r="BJ34" i="1" s="1"/>
  <c r="BK34" i="1" s="1"/>
  <c r="BL34" i="1" s="1"/>
  <c r="BA1561" i="1"/>
  <c r="BJ1561" i="1" s="1"/>
  <c r="BA1246" i="1"/>
  <c r="BJ1246" i="1" s="1"/>
  <c r="BK1246" i="1" s="1"/>
  <c r="BA390" i="1"/>
  <c r="BA914" i="1"/>
  <c r="BJ914" i="1" s="1"/>
  <c r="BA76" i="1"/>
  <c r="BJ76" i="1" s="1"/>
  <c r="BA1072" i="1"/>
  <c r="BJ1072" i="1" s="1"/>
  <c r="BA660" i="1"/>
  <c r="BA64" i="1"/>
  <c r="BJ64" i="1" s="1"/>
  <c r="BA354" i="1"/>
  <c r="BJ354" i="1" s="1"/>
  <c r="BK354" i="1" s="1"/>
  <c r="BA210" i="1"/>
  <c r="BJ210" i="1" s="1"/>
  <c r="BK210" i="1" s="1"/>
  <c r="BA218" i="1"/>
  <c r="BA901" i="1"/>
  <c r="BJ901" i="1" s="1"/>
  <c r="BA83" i="1"/>
  <c r="BJ83" i="1" s="1"/>
  <c r="BA1443" i="1"/>
  <c r="BJ1443" i="1" s="1"/>
  <c r="BA32" i="1"/>
  <c r="BA951" i="1"/>
  <c r="BJ951" i="1" s="1"/>
  <c r="BA1054" i="1"/>
  <c r="BA1729" i="1"/>
  <c r="BJ1729" i="1" s="1"/>
  <c r="BK1729" i="1" s="1"/>
  <c r="BL1729" i="1" s="1"/>
  <c r="BA1121" i="1"/>
  <c r="BJ1121" i="1" s="1"/>
  <c r="BA785" i="1"/>
  <c r="BJ785" i="1" s="1"/>
  <c r="BA260" i="1"/>
  <c r="BJ260" i="1" s="1"/>
  <c r="BK260" i="1" s="1"/>
  <c r="BA971" i="1"/>
  <c r="BJ971" i="1" s="1"/>
  <c r="BA1000" i="1"/>
  <c r="BA783" i="1"/>
  <c r="BJ783" i="1" s="1"/>
  <c r="BK783" i="1" s="1"/>
  <c r="BL783" i="1" s="1"/>
  <c r="BA784" i="1"/>
  <c r="BJ784" i="1" s="1"/>
  <c r="BK784" i="1" s="1"/>
  <c r="BL784" i="1" s="1"/>
  <c r="BA1228" i="1"/>
  <c r="BJ1228" i="1" s="1"/>
  <c r="BK1228" i="1" s="1"/>
  <c r="BA84" i="1"/>
  <c r="BJ84" i="1" s="1"/>
  <c r="BA1728" i="1"/>
  <c r="BJ1728" i="1" s="1"/>
  <c r="BA983" i="1"/>
  <c r="BJ983" i="1" s="1"/>
  <c r="BA443" i="1"/>
  <c r="BJ443" i="1" s="1"/>
  <c r="BA50" i="1"/>
  <c r="BJ50" i="1" s="1"/>
  <c r="BA450" i="1"/>
  <c r="BJ450" i="1" s="1"/>
  <c r="BA833" i="1"/>
  <c r="BA25" i="1"/>
  <c r="BJ25" i="1" s="1"/>
  <c r="BA60" i="1"/>
  <c r="BA1621" i="1"/>
  <c r="BJ1621" i="1" s="1"/>
  <c r="BA41" i="1"/>
  <c r="BJ41" i="1" s="1"/>
  <c r="BA711" i="1"/>
  <c r="BJ711" i="1" s="1"/>
  <c r="BK711" i="1" s="1"/>
  <c r="BL711" i="1" s="1"/>
  <c r="BA743" i="1"/>
  <c r="BJ743" i="1" s="1"/>
  <c r="BA1063" i="1"/>
  <c r="BJ1063" i="1" s="1"/>
  <c r="BA867" i="1"/>
  <c r="BA336" i="1"/>
  <c r="BA941" i="1"/>
  <c r="BA232" i="1"/>
  <c r="BJ232" i="1" s="1"/>
  <c r="BA1675" i="1"/>
  <c r="BA1347" i="1"/>
  <c r="BJ1347" i="1" s="1"/>
  <c r="BA932" i="1"/>
  <c r="BA938" i="1"/>
  <c r="BJ938" i="1" s="1"/>
  <c r="BA1069" i="1"/>
  <c r="BJ1069" i="1" s="1"/>
  <c r="BA654" i="1"/>
  <c r="BA253" i="1"/>
  <c r="BA447" i="1"/>
  <c r="BJ447" i="1" s="1"/>
  <c r="BA1656" i="1"/>
  <c r="BJ1656" i="1" s="1"/>
  <c r="BK1656" i="1" s="1"/>
  <c r="BA1183" i="1"/>
  <c r="BJ1183" i="1" s="1"/>
  <c r="BK1183" i="1" s="1"/>
  <c r="BA1478" i="1"/>
  <c r="BJ1478" i="1" s="1"/>
  <c r="BA22" i="1"/>
  <c r="BJ22" i="1" s="1"/>
  <c r="BA180" i="1"/>
  <c r="BJ180" i="1" s="1"/>
  <c r="BA658" i="1"/>
  <c r="BA829" i="1"/>
  <c r="BJ829" i="1" s="1"/>
  <c r="BA321" i="1"/>
  <c r="BJ321" i="1" s="1"/>
  <c r="BK321" i="1" s="1"/>
  <c r="BA490" i="1"/>
  <c r="BJ490" i="1" s="1"/>
  <c r="BA1022" i="1"/>
  <c r="BJ1022" i="1" s="1"/>
  <c r="BA858" i="1"/>
  <c r="BJ858" i="1" s="1"/>
  <c r="BA161" i="1"/>
  <c r="BJ161" i="1" s="1"/>
  <c r="BA86" i="1"/>
  <c r="BJ86" i="1" s="1"/>
  <c r="BA310" i="1"/>
  <c r="BJ310" i="1" s="1"/>
  <c r="BA1592" i="1"/>
  <c r="BJ1592" i="1" s="1"/>
  <c r="BA1440" i="1"/>
  <c r="BA1112" i="1"/>
  <c r="BJ1112" i="1" s="1"/>
  <c r="BA428" i="1"/>
  <c r="BJ428" i="1" s="1"/>
  <c r="BA500" i="1"/>
  <c r="BA895" i="1"/>
  <c r="BJ895" i="1" s="1"/>
  <c r="BA419" i="1"/>
  <c r="BJ419" i="1" s="1"/>
  <c r="BA63" i="1"/>
  <c r="BJ63" i="1" s="1"/>
  <c r="BA471" i="1"/>
  <c r="BJ471" i="1" s="1"/>
  <c r="BA862" i="1"/>
  <c r="BJ862" i="1" s="1"/>
  <c r="BK862" i="1" s="1"/>
  <c r="BA1129" i="1"/>
  <c r="BJ1129" i="1" s="1"/>
  <c r="BA1074" i="1"/>
  <c r="BJ1074" i="1" s="1"/>
  <c r="BA398" i="1"/>
  <c r="BJ398" i="1" s="1"/>
  <c r="BA893" i="1"/>
  <c r="BJ893" i="1" s="1"/>
  <c r="BA668" i="1"/>
  <c r="BJ668" i="1" s="1"/>
  <c r="BK668" i="1" s="1"/>
  <c r="BA1564" i="1"/>
  <c r="BJ1564" i="1" s="1"/>
  <c r="BA28" i="1"/>
  <c r="BJ28" i="1" s="1"/>
  <c r="BA392" i="1"/>
  <c r="BJ392" i="1" s="1"/>
  <c r="BK392" i="1" s="1"/>
  <c r="BA1652" i="1"/>
  <c r="BJ1652" i="1" s="1"/>
  <c r="BK1652" i="1" s="1"/>
  <c r="BA1145" i="1"/>
  <c r="BJ1145" i="1" s="1"/>
  <c r="BA933" i="1"/>
  <c r="BJ933" i="1" s="1"/>
  <c r="BA737" i="1"/>
  <c r="BA1552" i="1"/>
  <c r="BJ1552" i="1" s="1"/>
  <c r="BA12" i="1"/>
  <c r="BA1108" i="1"/>
  <c r="BA1619" i="1"/>
  <c r="BJ1619" i="1" s="1"/>
  <c r="BA171" i="1"/>
  <c r="BJ171" i="1" s="1"/>
  <c r="BA1202" i="1"/>
  <c r="BJ1202" i="1" s="1"/>
  <c r="BA759" i="1"/>
  <c r="BJ759" i="1" s="1"/>
  <c r="BA1422" i="1"/>
  <c r="BJ1422" i="1" s="1"/>
  <c r="BK1422" i="1" s="1"/>
  <c r="BA1042" i="1"/>
  <c r="BJ1042" i="1" s="1"/>
  <c r="BA1377" i="1"/>
  <c r="BJ1377" i="1" s="1"/>
  <c r="BA286" i="1"/>
  <c r="BJ286" i="1" s="1"/>
  <c r="BA421" i="1"/>
  <c r="BJ421" i="1" s="1"/>
  <c r="BA105" i="1"/>
  <c r="BJ105" i="1" s="1"/>
  <c r="BA37" i="1"/>
  <c r="BA89" i="1"/>
  <c r="BJ89" i="1" s="1"/>
  <c r="BA1196" i="1"/>
  <c r="BJ1196" i="1" s="1"/>
  <c r="BA164" i="1"/>
  <c r="BJ164" i="1" s="1"/>
  <c r="BK164" i="1" s="1"/>
  <c r="BA1062" i="1"/>
  <c r="BJ1062" i="1" s="1"/>
  <c r="BA1565" i="1"/>
  <c r="BJ1565" i="1" s="1"/>
  <c r="BA1408" i="1"/>
  <c r="BJ1408" i="1" s="1"/>
  <c r="BA1266" i="1"/>
  <c r="BA634" i="1"/>
  <c r="BJ634" i="1" s="1"/>
  <c r="BK634" i="1" s="1"/>
  <c r="BA1256" i="1"/>
  <c r="BA1172" i="1"/>
  <c r="BJ1172" i="1" s="1"/>
  <c r="BA10" i="1"/>
  <c r="BA1497" i="1"/>
  <c r="BA944" i="1"/>
  <c r="BA1596" i="1"/>
  <c r="BJ1596" i="1" s="1"/>
  <c r="BA1620" i="1"/>
  <c r="BJ1620" i="1" s="1"/>
  <c r="BA337" i="1"/>
  <c r="BJ337" i="1" s="1"/>
  <c r="BK337" i="1" s="1"/>
  <c r="BA1136" i="1"/>
  <c r="BA1192" i="1"/>
  <c r="BJ1192" i="1" s="1"/>
  <c r="BK1192" i="1" s="1"/>
  <c r="BL1192" i="1" s="1"/>
  <c r="BA312" i="1"/>
  <c r="BJ312" i="1" s="1"/>
  <c r="BK312" i="1" s="1"/>
  <c r="BA690" i="1"/>
  <c r="BJ690" i="1" s="1"/>
  <c r="BA769" i="1"/>
  <c r="BJ769" i="1" s="1"/>
  <c r="BA671" i="1"/>
  <c r="BJ671" i="1" s="1"/>
  <c r="BA802" i="1"/>
  <c r="BJ802" i="1" s="1"/>
  <c r="BA13" i="1"/>
  <c r="BA71" i="1"/>
  <c r="BJ71" i="1" s="1"/>
  <c r="BA1318" i="1"/>
  <c r="BJ1318" i="1" s="1"/>
  <c r="BA909" i="1"/>
  <c r="BA729" i="1"/>
  <c r="BJ729" i="1" s="1"/>
  <c r="BA760" i="1"/>
  <c r="BJ760" i="1" s="1"/>
  <c r="BA211" i="1"/>
  <c r="BJ211" i="1" s="1"/>
  <c r="BA1401" i="1"/>
  <c r="BJ1401" i="1" s="1"/>
  <c r="BA1394" i="1"/>
  <c r="BJ1394" i="1" s="1"/>
  <c r="BA985" i="1"/>
  <c r="BJ985" i="1" s="1"/>
  <c r="BK985" i="1" s="1"/>
  <c r="BL985" i="1" s="1"/>
  <c r="BA639" i="1"/>
  <c r="BJ639" i="1" s="1"/>
  <c r="BA1549" i="1"/>
  <c r="BJ1549" i="1" s="1"/>
  <c r="BA1061" i="1"/>
  <c r="BA884" i="1"/>
  <c r="BA1701" i="1"/>
  <c r="BJ1701" i="1" s="1"/>
  <c r="BA825" i="1"/>
  <c r="BJ825" i="1" s="1"/>
  <c r="BA800" i="1"/>
  <c r="BJ800" i="1" s="1"/>
  <c r="BA689" i="1"/>
  <c r="BJ689" i="1" s="1"/>
  <c r="BA725" i="1"/>
  <c r="BJ725" i="1" s="1"/>
  <c r="BA1255" i="1"/>
  <c r="BJ1255" i="1" s="1"/>
  <c r="BK1255" i="1" s="1"/>
  <c r="BL1255" i="1" s="1"/>
  <c r="BA493" i="1"/>
  <c r="BA1455" i="1"/>
  <c r="BA764" i="1"/>
  <c r="BA1538" i="1"/>
  <c r="BJ1538" i="1" s="1"/>
  <c r="BA1721" i="1"/>
  <c r="BJ1721" i="1" s="1"/>
  <c r="BA201" i="1"/>
  <c r="BA332" i="1"/>
  <c r="BJ332" i="1" s="1"/>
  <c r="BA459" i="1"/>
  <c r="BJ459" i="1" s="1"/>
  <c r="BA1047" i="1"/>
  <c r="BJ1047" i="1" s="1"/>
  <c r="BK1047" i="1" s="1"/>
  <c r="BL1047" i="1" s="1"/>
  <c r="BA967" i="1"/>
  <c r="BA1706" i="1"/>
  <c r="BA1158" i="1"/>
  <c r="BJ1158" i="1" s="1"/>
  <c r="BA707" i="1"/>
  <c r="BJ707" i="1" s="1"/>
  <c r="BA889" i="1"/>
  <c r="BJ889" i="1" s="1"/>
  <c r="BA186" i="1"/>
  <c r="BJ186" i="1" s="1"/>
  <c r="BA465" i="1"/>
  <c r="BJ465" i="1" s="1"/>
  <c r="BA1227" i="1"/>
  <c r="BJ1227" i="1" s="1"/>
  <c r="BK1227" i="1" s="1"/>
  <c r="BA1249" i="1"/>
  <c r="BA1200" i="1"/>
  <c r="BJ1200" i="1" s="1"/>
  <c r="BA366" i="1"/>
  <c r="BJ366" i="1" s="1"/>
  <c r="BK366" i="1" s="1"/>
  <c r="BA485" i="1"/>
  <c r="BJ485" i="1" s="1"/>
  <c r="BA289" i="1"/>
  <c r="BJ289" i="1" s="1"/>
  <c r="BA141" i="1"/>
  <c r="BJ141" i="1" s="1"/>
  <c r="BK141" i="1" s="1"/>
  <c r="BL141" i="1" s="1"/>
  <c r="BA788" i="1"/>
  <c r="BJ788" i="1" s="1"/>
  <c r="BK788" i="1" s="1"/>
  <c r="BL788" i="1" s="1"/>
  <c r="BA1623" i="1"/>
  <c r="BJ1623" i="1" s="1"/>
  <c r="BA399" i="1"/>
  <c r="BJ399" i="1" s="1"/>
  <c r="BA1366" i="1"/>
  <c r="BJ1366" i="1" s="1"/>
  <c r="BA391" i="1"/>
  <c r="BA1046" i="1"/>
  <c r="BJ1046" i="1" s="1"/>
  <c r="BK1046" i="1" s="1"/>
  <c r="BA262" i="1"/>
  <c r="BJ262" i="1" s="1"/>
  <c r="BA789" i="1"/>
  <c r="BJ789" i="1" s="1"/>
  <c r="BK789" i="1" s="1"/>
  <c r="BL789" i="1" s="1"/>
  <c r="BA1709" i="1"/>
  <c r="BJ1709" i="1" s="1"/>
  <c r="BA1313" i="1"/>
  <c r="BJ1313" i="1" s="1"/>
  <c r="BA1416" i="1"/>
  <c r="BJ1416" i="1" s="1"/>
  <c r="BA1092" i="1"/>
  <c r="BJ1092" i="1" s="1"/>
  <c r="BA1410" i="1"/>
  <c r="BA698" i="1"/>
  <c r="BJ698" i="1" s="1"/>
  <c r="BA298" i="1"/>
  <c r="BA681" i="1"/>
  <c r="BJ681" i="1" s="1"/>
  <c r="BA1189" i="1"/>
  <c r="BA733" i="1"/>
  <c r="BJ733" i="1" s="1"/>
  <c r="BA284" i="1"/>
  <c r="BJ284" i="1" s="1"/>
  <c r="BK284" i="1" s="1"/>
  <c r="BL284" i="1" s="1"/>
  <c r="BA520" i="1"/>
  <c r="BJ520" i="1" s="1"/>
  <c r="BA911" i="1"/>
  <c r="BJ911" i="1" s="1"/>
  <c r="BA1475" i="1"/>
  <c r="BA1203" i="1"/>
  <c r="BJ1203" i="1" s="1"/>
  <c r="BA323" i="1"/>
  <c r="BJ323" i="1" s="1"/>
  <c r="BA874" i="1"/>
  <c r="BJ874" i="1" s="1"/>
  <c r="BA966" i="1"/>
  <c r="BA1262" i="1"/>
  <c r="BJ1262" i="1" s="1"/>
  <c r="BA1513" i="1"/>
  <c r="BA217" i="1"/>
  <c r="BA56" i="1"/>
  <c r="BJ56" i="1" s="1"/>
  <c r="BA1018" i="1"/>
  <c r="BA282" i="1"/>
  <c r="BA328" i="1"/>
  <c r="BJ328" i="1" s="1"/>
  <c r="BA495" i="1"/>
  <c r="BJ495" i="1" s="1"/>
  <c r="BK495" i="1" s="1"/>
  <c r="BL495" i="1" s="1"/>
  <c r="BA1010" i="1"/>
  <c r="BJ1010" i="1" s="1"/>
  <c r="BA317" i="1"/>
  <c r="BJ317" i="1" s="1"/>
  <c r="BA736" i="1"/>
  <c r="BA1174" i="1"/>
  <c r="BJ1174" i="1" s="1"/>
  <c r="BA772" i="1"/>
  <c r="BJ772" i="1" s="1"/>
  <c r="BA1218" i="1"/>
  <c r="BJ1218" i="1" s="1"/>
  <c r="BA775" i="1"/>
  <c r="BJ775" i="1" s="1"/>
  <c r="BA750" i="1"/>
  <c r="BA1610" i="1"/>
  <c r="BJ1610" i="1" s="1"/>
  <c r="BA1134" i="1"/>
  <c r="BJ1134" i="1" s="1"/>
  <c r="BA1622" i="1"/>
  <c r="BJ1622" i="1" s="1"/>
  <c r="BA1338" i="1"/>
  <c r="BJ1338" i="1" s="1"/>
  <c r="BA1126" i="1"/>
  <c r="BJ1126" i="1" s="1"/>
  <c r="BA1026" i="1"/>
  <c r="BJ1026" i="1" s="1"/>
  <c r="BA219" i="1"/>
  <c r="BJ219" i="1" s="1"/>
  <c r="BK219" i="1" s="1"/>
  <c r="BA1516" i="1"/>
  <c r="BJ1516" i="1" s="1"/>
  <c r="BA651" i="1"/>
  <c r="BJ651" i="1" s="1"/>
  <c r="BA1122" i="1"/>
  <c r="BJ1122" i="1" s="1"/>
  <c r="BA257" i="1"/>
  <c r="BJ257" i="1" s="1"/>
  <c r="BA864" i="1"/>
  <c r="BJ864" i="1" s="1"/>
  <c r="BK864" i="1" s="1"/>
  <c r="BA1563" i="1"/>
  <c r="BJ1563" i="1" s="1"/>
  <c r="BA688" i="1"/>
  <c r="BJ688" i="1" s="1"/>
  <c r="BA1548" i="1"/>
  <c r="BJ1548" i="1" s="1"/>
  <c r="BA1219" i="1"/>
  <c r="BA922" i="1"/>
  <c r="BJ922" i="1" s="1"/>
  <c r="BA265" i="1"/>
  <c r="BJ265" i="1" s="1"/>
  <c r="BA556" i="1"/>
  <c r="BJ556" i="1" s="1"/>
  <c r="BA444" i="1"/>
  <c r="BJ444" i="1" s="1"/>
  <c r="BA770" i="1"/>
  <c r="BJ770" i="1" s="1"/>
  <c r="BA999" i="1"/>
  <c r="BJ999" i="1" s="1"/>
  <c r="BK999" i="1" s="1"/>
  <c r="BL999" i="1" s="1"/>
  <c r="BA431" i="1"/>
  <c r="BJ431" i="1" s="1"/>
  <c r="BA1177" i="1"/>
  <c r="BJ1177" i="1" s="1"/>
  <c r="BA209" i="1"/>
  <c r="BA339" i="1"/>
  <c r="BA1234" i="1"/>
  <c r="BJ1234" i="1" s="1"/>
  <c r="BK1234" i="1" s="1"/>
  <c r="BA1716" i="1"/>
  <c r="BJ1716" i="1" s="1"/>
  <c r="BA1132" i="1"/>
  <c r="BJ1132" i="1" s="1"/>
  <c r="BA35" i="1"/>
  <c r="BA1252" i="1"/>
  <c r="BA816" i="1"/>
  <c r="BJ816" i="1" s="1"/>
  <c r="BA492" i="1"/>
  <c r="BJ492" i="1" s="1"/>
  <c r="BA1582" i="1"/>
  <c r="BJ1582" i="1" s="1"/>
  <c r="BA1048" i="1"/>
  <c r="BJ1048" i="1" s="1"/>
  <c r="BA1508" i="1"/>
  <c r="BJ1508" i="1" s="1"/>
  <c r="BA1030" i="1"/>
  <c r="BJ1030" i="1" s="1"/>
  <c r="BA1358" i="1"/>
  <c r="BJ1358" i="1" s="1"/>
  <c r="BK1358" i="1" s="1"/>
  <c r="BL1358" i="1" s="1"/>
  <c r="BA1705" i="1"/>
  <c r="BA281" i="1"/>
  <c r="BJ281" i="1" s="1"/>
  <c r="BK281" i="1" s="1"/>
  <c r="BA857" i="1"/>
  <c r="BJ857" i="1" s="1"/>
  <c r="BA333" i="1"/>
  <c r="BJ333" i="1" s="1"/>
  <c r="BA1088" i="1"/>
  <c r="BJ1088" i="1" s="1"/>
  <c r="BA648" i="1"/>
  <c r="BJ648" i="1" s="1"/>
  <c r="BA1155" i="1"/>
  <c r="BJ1155" i="1" s="1"/>
  <c r="BA1383" i="1"/>
  <c r="BJ1383" i="1" s="1"/>
  <c r="BA899" i="1"/>
  <c r="BJ899" i="1" s="1"/>
  <c r="BA3" i="1"/>
  <c r="BA522" i="1"/>
  <c r="BA518" i="1"/>
  <c r="BA910" i="1"/>
  <c r="BJ910" i="1" s="1"/>
  <c r="BA1106" i="1"/>
  <c r="BA752" i="1"/>
  <c r="BA1171" i="1"/>
  <c r="BJ1171" i="1" s="1"/>
  <c r="BA747" i="1"/>
  <c r="BJ747" i="1" s="1"/>
  <c r="BA11" i="1"/>
  <c r="BA338" i="1"/>
  <c r="BA894" i="1"/>
  <c r="BJ894" i="1" s="1"/>
  <c r="BA102" i="1"/>
  <c r="BJ102" i="1" s="1"/>
  <c r="BA373" i="1"/>
  <c r="BJ373" i="1" s="1"/>
  <c r="BK373" i="1" s="1"/>
  <c r="BA305" i="1"/>
  <c r="BA653" i="1"/>
  <c r="BJ653" i="1" s="1"/>
  <c r="BA1672" i="1"/>
  <c r="BJ1672" i="1" s="1"/>
  <c r="BA21" i="1"/>
  <c r="BJ21" i="1" s="1"/>
  <c r="BA388" i="1"/>
  <c r="BJ388" i="1" s="1"/>
  <c r="BA907" i="1"/>
  <c r="BJ907" i="1" s="1"/>
  <c r="BA1319" i="1"/>
  <c r="BJ1319" i="1" s="1"/>
  <c r="BA283" i="1"/>
  <c r="BJ283" i="1" s="1"/>
  <c r="BA43" i="1"/>
  <c r="BJ43" i="1" s="1"/>
  <c r="BA1058" i="1"/>
  <c r="BJ1058" i="1" s="1"/>
  <c r="BA709" i="1"/>
  <c r="BJ709" i="1" s="1"/>
  <c r="BA316" i="1"/>
  <c r="BJ316" i="1" s="1"/>
  <c r="BK316" i="1" s="1"/>
  <c r="BL316" i="1" s="1"/>
  <c r="BA1015" i="1"/>
  <c r="BJ1015" i="1" s="1"/>
  <c r="BA330" i="1"/>
  <c r="BJ330" i="1" s="1"/>
  <c r="BA797" i="1"/>
  <c r="BJ797" i="1" s="1"/>
  <c r="BA1707" i="1"/>
  <c r="BJ1707" i="1" s="1"/>
  <c r="BA455" i="1"/>
  <c r="BA1613" i="1"/>
  <c r="BJ1613" i="1" s="1"/>
  <c r="BA96" i="1"/>
  <c r="BJ96" i="1" s="1"/>
  <c r="BA152" i="1"/>
  <c r="BJ152" i="1" s="1"/>
  <c r="BA927" i="1"/>
  <c r="BJ927" i="1" s="1"/>
  <c r="BK927" i="1" s="1"/>
  <c r="BL927" i="1" s="1"/>
  <c r="BA524" i="1"/>
  <c r="BA29" i="1"/>
  <c r="BJ29" i="1" s="1"/>
  <c r="BA1248" i="1"/>
  <c r="BJ1248" i="1" s="1"/>
  <c r="BA481" i="1"/>
  <c r="BJ481" i="1" s="1"/>
  <c r="BA716" i="1"/>
  <c r="BJ716" i="1" s="1"/>
  <c r="BA1480" i="1"/>
  <c r="BJ1480" i="1" s="1"/>
  <c r="BK1480" i="1" s="1"/>
  <c r="BA108" i="1"/>
  <c r="BJ108" i="1" s="1"/>
  <c r="BA1696" i="1"/>
  <c r="BJ1696" i="1" s="1"/>
  <c r="BA803" i="1"/>
  <c r="BJ803" i="1" s="1"/>
  <c r="BA804" i="1"/>
  <c r="BJ804" i="1" s="1"/>
  <c r="BA451" i="1"/>
  <c r="BJ451" i="1" s="1"/>
  <c r="BA362" i="1"/>
  <c r="BJ362" i="1" s="1"/>
  <c r="BA1068" i="1"/>
  <c r="BJ1068" i="1" s="1"/>
  <c r="BA686" i="1"/>
  <c r="BJ686" i="1" s="1"/>
  <c r="BA710" i="1"/>
  <c r="BJ710" i="1" s="1"/>
  <c r="BA438" i="1"/>
  <c r="BJ438" i="1" s="1"/>
  <c r="BA1176" i="1"/>
  <c r="BJ1176" i="1" s="1"/>
  <c r="BA483" i="1"/>
  <c r="BJ483" i="1" s="1"/>
  <c r="BK483" i="1" s="1"/>
  <c r="BA410" i="1"/>
  <c r="BJ410" i="1" s="1"/>
  <c r="BA763" i="1"/>
  <c r="BA268" i="1"/>
  <c r="BJ268" i="1" s="1"/>
  <c r="BA1100" i="1"/>
  <c r="BJ1100" i="1" s="1"/>
  <c r="BA1419" i="1"/>
  <c r="BJ1419" i="1" s="1"/>
  <c r="BK1419" i="1" s="1"/>
  <c r="BL1419" i="1" s="1"/>
  <c r="BA1150" i="1"/>
  <c r="BJ1150" i="1" s="1"/>
  <c r="BA1425" i="1"/>
  <c r="BA1182" i="1"/>
  <c r="BA1067" i="1"/>
  <c r="BJ1067" i="1" s="1"/>
  <c r="BA254" i="1"/>
  <c r="BJ254" i="1" s="1"/>
  <c r="BK254" i="1" s="1"/>
  <c r="BL254" i="1" s="1"/>
  <c r="BA708" i="1"/>
  <c r="BJ708" i="1" s="1"/>
  <c r="BA883" i="1"/>
  <c r="BA363" i="1"/>
  <c r="BJ363" i="1" s="1"/>
  <c r="BA1186" i="1"/>
  <c r="BJ1186" i="1" s="1"/>
  <c r="BA1569" i="1"/>
  <c r="BJ1569" i="1" s="1"/>
  <c r="BA638" i="1"/>
  <c r="BJ638" i="1" s="1"/>
  <c r="BA1333" i="1"/>
  <c r="BJ1333" i="1" s="1"/>
  <c r="BA1085" i="1"/>
  <c r="BJ1085" i="1" s="1"/>
  <c r="BA1624" i="1"/>
  <c r="BJ1624" i="1" s="1"/>
  <c r="BA1128" i="1"/>
  <c r="BJ1128" i="1" s="1"/>
  <c r="BA1348" i="1"/>
  <c r="BJ1348" i="1" s="1"/>
  <c r="BA635" i="1"/>
  <c r="BJ635" i="1" s="1"/>
  <c r="BK635" i="1" s="1"/>
  <c r="BA1344" i="1"/>
  <c r="BA320" i="1"/>
  <c r="BJ320" i="1" s="1"/>
  <c r="BK320" i="1" s="1"/>
  <c r="BL320" i="1" s="1"/>
  <c r="BA1198" i="1"/>
  <c r="BJ1198" i="1" s="1"/>
  <c r="BA1020" i="1"/>
  <c r="BJ1020" i="1" s="1"/>
  <c r="BK1020" i="1" s="1"/>
  <c r="BL1020" i="1" s="1"/>
  <c r="BA831" i="1"/>
  <c r="BJ831" i="1" s="1"/>
  <c r="BA1221" i="1"/>
  <c r="BJ1221" i="1" s="1"/>
  <c r="BA700" i="1"/>
  <c r="BJ700" i="1" s="1"/>
  <c r="BA998" i="1"/>
  <c r="BJ998" i="1" s="1"/>
  <c r="BA1270" i="1"/>
  <c r="BJ1270" i="1" s="1"/>
  <c r="BA1655" i="1"/>
  <c r="BJ1655" i="1" s="1"/>
  <c r="BK1655" i="1" s="1"/>
  <c r="BL1655" i="1" s="1"/>
  <c r="BA1012" i="1"/>
  <c r="BA331" i="1"/>
  <c r="BJ331" i="1" s="1"/>
  <c r="BA1459" i="1"/>
  <c r="BJ1459" i="1" s="1"/>
  <c r="BF953" i="1"/>
  <c r="BG953" i="1" s="1"/>
  <c r="BJ416" i="1"/>
  <c r="BJ850" i="1"/>
  <c r="BJ866" i="1"/>
  <c r="BF999" i="1"/>
  <c r="BG999" i="1" s="1"/>
  <c r="BF1046" i="1"/>
  <c r="BJ440" i="1"/>
  <c r="BJ1060" i="1"/>
  <c r="BF906" i="1"/>
  <c r="BJ1567" i="1"/>
  <c r="BK1567" i="1" s="1"/>
  <c r="BF1567" i="1"/>
  <c r="BF254" i="1"/>
  <c r="BG254" i="1" s="1"/>
  <c r="BJ1323" i="1"/>
  <c r="BK1323" i="1" s="1"/>
  <c r="BL1323" i="1" s="1"/>
  <c r="BF1323" i="1"/>
  <c r="BJ1324" i="1"/>
  <c r="BK1324" i="1" s="1"/>
  <c r="BF1324" i="1"/>
  <c r="BF321" i="1"/>
  <c r="BF661" i="1"/>
  <c r="BG661" i="1" s="1"/>
  <c r="BJ194" i="1"/>
  <c r="BF35" i="1"/>
  <c r="BJ387" i="1"/>
  <c r="BK387" i="1" s="1"/>
  <c r="BL387" i="1" s="1"/>
  <c r="BF387" i="1"/>
  <c r="BF1021" i="1"/>
  <c r="BG1021" i="1" s="1"/>
  <c r="BJ1362" i="1"/>
  <c r="BJ867" i="1"/>
  <c r="BJ642" i="1"/>
  <c r="BF784" i="1"/>
  <c r="BG784" i="1" s="1"/>
  <c r="BJ1568" i="1"/>
  <c r="BK1568" i="1" s="1"/>
  <c r="BL1568" i="1" s="1"/>
  <c r="BF1568" i="1"/>
  <c r="BJ439" i="1"/>
  <c r="BJ1157" i="1"/>
  <c r="BJ375" i="1"/>
  <c r="BF518" i="1"/>
  <c r="BJ237" i="1"/>
  <c r="BK237" i="1" s="1"/>
  <c r="BF237" i="1"/>
  <c r="BF244" i="1"/>
  <c r="BF219" i="1"/>
  <c r="BJ1089" i="1"/>
  <c r="BF523" i="1"/>
  <c r="BF1451" i="1"/>
  <c r="BG1451" i="1" s="1"/>
  <c r="BJ292" i="1"/>
  <c r="BF1729" i="1"/>
  <c r="BG1729" i="1" s="1"/>
  <c r="BJ909" i="1"/>
  <c r="BJ70" i="1"/>
  <c r="BF862" i="1"/>
  <c r="BJ1432" i="1"/>
  <c r="BK1432" i="1" s="1"/>
  <c r="BF1432" i="1"/>
  <c r="BG1432" i="1" s="1"/>
  <c r="BJ1220" i="1"/>
  <c r="BF495" i="1"/>
  <c r="BE806" i="1"/>
  <c r="BE1608" i="1"/>
  <c r="BE796" i="1"/>
  <c r="BE518" i="1"/>
  <c r="BE1428" i="1"/>
  <c r="BE128" i="1"/>
  <c r="BE1304" i="1"/>
  <c r="BE32" i="1"/>
  <c r="BE185" i="1"/>
  <c r="BE330" i="1"/>
  <c r="BE398" i="1"/>
  <c r="BE334" i="1"/>
  <c r="BE337" i="1"/>
  <c r="BE1637" i="1"/>
  <c r="BE1127" i="1"/>
  <c r="BE880" i="1"/>
  <c r="BE1231" i="1"/>
  <c r="BE1388" i="1"/>
  <c r="BE884" i="1"/>
  <c r="BE533" i="1"/>
  <c r="BE1275" i="1"/>
  <c r="BE433" i="1"/>
  <c r="BE188" i="1"/>
  <c r="BE1075" i="1"/>
  <c r="BE382" i="1"/>
  <c r="BE288" i="1"/>
  <c r="BE1152" i="1"/>
  <c r="BE140" i="1"/>
  <c r="BE439" i="1"/>
  <c r="BE865" i="1"/>
  <c r="BE1242" i="1"/>
  <c r="BE1212" i="1"/>
  <c r="BE1525" i="1"/>
  <c r="BE1417" i="1"/>
  <c r="BE1495" i="1"/>
  <c r="BE1227" i="1"/>
  <c r="BE277" i="1"/>
  <c r="BE1241" i="1"/>
  <c r="BE312" i="1"/>
  <c r="BE500" i="1"/>
  <c r="BE563" i="1"/>
  <c r="BE763" i="1"/>
  <c r="BE193" i="1"/>
  <c r="BE1594" i="1"/>
  <c r="BE47" i="1"/>
  <c r="BE724" i="1"/>
  <c r="BE1385" i="1"/>
  <c r="BE392" i="1"/>
  <c r="BE1205" i="1"/>
  <c r="BE33" i="1"/>
  <c r="BE1570" i="1"/>
  <c r="BE64" i="1"/>
  <c r="BE494" i="1"/>
  <c r="BE475" i="1"/>
  <c r="BE961" i="1"/>
  <c r="BE723" i="1"/>
  <c r="BE648" i="1"/>
  <c r="BE356" i="1"/>
  <c r="BE939" i="1"/>
  <c r="BJ984" i="1"/>
  <c r="BK984" i="1" s="1"/>
  <c r="BF984" i="1"/>
  <c r="BG984" i="1" s="1"/>
  <c r="BF1254" i="1"/>
  <c r="BG1254" i="1" s="1"/>
  <c r="BJ1711" i="1"/>
  <c r="BJ1668" i="1"/>
  <c r="BK1668" i="1" s="1"/>
  <c r="BF1668" i="1"/>
  <c r="BF1412" i="1"/>
  <c r="BF668" i="1"/>
  <c r="BG668" i="1" s="1"/>
  <c r="BJ39" i="1"/>
  <c r="BF1317" i="1"/>
  <c r="BG1317" i="1" s="1"/>
  <c r="BJ519" i="1"/>
  <c r="BK519" i="1" s="1"/>
  <c r="BF519" i="1"/>
  <c r="BG519" i="1" s="1"/>
  <c r="BJ411" i="1"/>
  <c r="BJ365" i="1"/>
  <c r="BJ726" i="1"/>
  <c r="BF1464" i="1"/>
  <c r="BG1464" i="1" s="1"/>
  <c r="BJ117" i="1"/>
  <c r="BJ415" i="1"/>
  <c r="BJ1041" i="1"/>
  <c r="BJ794" i="1"/>
  <c r="BJ367" i="1"/>
  <c r="BK367" i="1" s="1"/>
  <c r="BF367" i="1"/>
  <c r="BJ142" i="1"/>
  <c r="BK142" i="1" s="1"/>
  <c r="BL142" i="1" s="1"/>
  <c r="BF142" i="1"/>
  <c r="BG142" i="1" s="1"/>
  <c r="BJ739" i="1"/>
  <c r="BF1227" i="1"/>
  <c r="BJ305" i="1"/>
  <c r="BK305" i="1" s="1"/>
  <c r="BF305" i="1"/>
  <c r="BJ336" i="1"/>
  <c r="BJ1033" i="1"/>
  <c r="BK1033" i="1" s="1"/>
  <c r="BL1033" i="1" s="1"/>
  <c r="BF1033" i="1"/>
  <c r="BG1033" i="1" s="1"/>
  <c r="BJ923" i="1"/>
  <c r="BJ997" i="1"/>
  <c r="BK997" i="1" s="1"/>
  <c r="BL997" i="1" s="1"/>
  <c r="BF997" i="1"/>
  <c r="BJ1294" i="1"/>
  <c r="BF1425" i="1"/>
  <c r="BG1425" i="1" s="1"/>
  <c r="BJ919" i="1"/>
  <c r="BJ44" i="1"/>
  <c r="BJ640" i="1"/>
  <c r="BF1730" i="1"/>
  <c r="BG1730" i="1" s="1"/>
  <c r="BF927" i="1"/>
  <c r="BG927" i="1" s="1"/>
  <c r="BF1287" i="1"/>
  <c r="BF496" i="1"/>
  <c r="BG496" i="1" s="1"/>
  <c r="BJ940" i="1"/>
  <c r="BK940" i="1" s="1"/>
  <c r="BL940" i="1" s="1"/>
  <c r="BF940" i="1"/>
  <c r="BG940" i="1" s="1"/>
  <c r="BJ941" i="1"/>
  <c r="BJ1125" i="1"/>
  <c r="BK1125" i="1" s="1"/>
  <c r="BL1125" i="1" s="1"/>
  <c r="BF1125" i="1"/>
  <c r="BG1125" i="1" s="1"/>
  <c r="BJ1061" i="1"/>
  <c r="BJ932" i="1"/>
  <c r="BF53" i="1"/>
  <c r="BG53" i="1" s="1"/>
  <c r="BJ187" i="1"/>
  <c r="BK187" i="1" s="1"/>
  <c r="BL187" i="1" s="1"/>
  <c r="BF187" i="1"/>
  <c r="BJ36" i="1"/>
  <c r="BK36" i="1" s="1"/>
  <c r="BF36" i="1"/>
  <c r="BF488" i="1"/>
  <c r="BF1000" i="1"/>
  <c r="BG1000" i="1" s="1"/>
  <c r="BF1044" i="1"/>
  <c r="BG1044" i="1" s="1"/>
  <c r="BF1396" i="1"/>
  <c r="BJ1194" i="1"/>
  <c r="BJ1534" i="1"/>
  <c r="BK1534" i="1" s="1"/>
  <c r="BL1534" i="1" s="1"/>
  <c r="BF1534" i="1"/>
  <c r="BG1534" i="1" s="1"/>
  <c r="BJ1289" i="1"/>
  <c r="BK1289" i="1" s="1"/>
  <c r="BF1289" i="1"/>
  <c r="BG1289" i="1" s="1"/>
  <c r="BJ1435" i="1"/>
  <c r="BJ657" i="1"/>
  <c r="BK657" i="1" s="1"/>
  <c r="BL657" i="1" s="1"/>
  <c r="BF657" i="1"/>
  <c r="BJ702" i="1"/>
  <c r="BJ673" i="1"/>
  <c r="BK673" i="1" s="1"/>
  <c r="BL673" i="1" s="1"/>
  <c r="BF673" i="1"/>
  <c r="BG673" i="1" s="1"/>
  <c r="BF1655" i="1"/>
  <c r="BG1655" i="1" s="1"/>
  <c r="BJ1444" i="1"/>
  <c r="BJ430" i="1"/>
  <c r="BJ466" i="1"/>
  <c r="BJ827" i="1"/>
  <c r="BJ558" i="1"/>
  <c r="BK558" i="1" s="1"/>
  <c r="BL558" i="1" s="1"/>
  <c r="BF558" i="1"/>
  <c r="BG558" i="1" s="1"/>
  <c r="BF339" i="1"/>
  <c r="BJ843" i="1"/>
  <c r="BK843" i="1" s="1"/>
  <c r="BF843" i="1"/>
  <c r="BJ852" i="1"/>
  <c r="BK852" i="1" s="1"/>
  <c r="BL852" i="1" s="1"/>
  <c r="BF852" i="1"/>
  <c r="BF393" i="1"/>
  <c r="BG393" i="1" s="1"/>
  <c r="BF841" i="1"/>
  <c r="BJ732" i="1"/>
  <c r="BJ1056" i="1"/>
  <c r="BJ1436" i="1"/>
  <c r="BJ1688" i="1"/>
  <c r="BK1688" i="1" s="1"/>
  <c r="BF1688" i="1"/>
  <c r="BJ993" i="1"/>
  <c r="BK993" i="1" s="1"/>
  <c r="BF993" i="1"/>
  <c r="BJ778" i="1"/>
  <c r="BK778" i="1" s="1"/>
  <c r="BL778" i="1" s="1"/>
  <c r="BF778" i="1"/>
  <c r="BG778" i="1" s="1"/>
  <c r="BJ351" i="1"/>
  <c r="BF1343" i="1"/>
  <c r="BG1343" i="1" s="1"/>
  <c r="BJ945" i="1"/>
  <c r="BK945" i="1" s="1"/>
  <c r="BF945" i="1"/>
  <c r="BJ303" i="1"/>
  <c r="BJ1667" i="1"/>
  <c r="BK1667" i="1" s="1"/>
  <c r="BF1667" i="1"/>
  <c r="BG1667" i="1" s="1"/>
  <c r="BJ659" i="1"/>
  <c r="BK659" i="1" s="1"/>
  <c r="BF659" i="1"/>
  <c r="BJ241" i="1"/>
  <c r="BJ94" i="1"/>
  <c r="BJ675" i="1"/>
  <c r="BK675" i="1" s="1"/>
  <c r="BL675" i="1" s="1"/>
  <c r="BF675" i="1"/>
  <c r="BG675" i="1" s="1"/>
  <c r="BJ1124" i="1"/>
  <c r="BK1124" i="1" s="1"/>
  <c r="BL1124" i="1" s="1"/>
  <c r="BF1124" i="1"/>
  <c r="BG1124" i="1" s="1"/>
  <c r="BJ109" i="1"/>
  <c r="BK109" i="1" s="1"/>
  <c r="BF109" i="1"/>
  <c r="BJ1438" i="1"/>
  <c r="BJ1267" i="1"/>
  <c r="BF1358" i="1"/>
  <c r="BG1358" i="1" s="1"/>
  <c r="BJ1219" i="1"/>
  <c r="BJ1292" i="1"/>
  <c r="BK1292" i="1" s="1"/>
  <c r="BL1292" i="1" s="1"/>
  <c r="BF1292" i="1"/>
  <c r="BG1292" i="1" s="1"/>
  <c r="BF1047" i="1"/>
  <c r="BG1047" i="1" s="1"/>
  <c r="BJ214" i="1"/>
  <c r="BJ946" i="1"/>
  <c r="BK946" i="1" s="1"/>
  <c r="BF946" i="1"/>
  <c r="BF1452" i="1"/>
  <c r="BG1452" i="1" s="1"/>
  <c r="BJ340" i="1"/>
  <c r="BK340" i="1" s="1"/>
  <c r="BL340" i="1" s="1"/>
  <c r="BF340" i="1"/>
  <c r="BG340" i="1" s="1"/>
  <c r="BF140" i="1"/>
  <c r="BF281" i="1"/>
  <c r="BJ1525" i="1"/>
  <c r="BK1525" i="1" s="1"/>
  <c r="BF1525" i="1"/>
  <c r="BJ541" i="1"/>
  <c r="BK541" i="1" s="1"/>
  <c r="BL541" i="1" s="1"/>
  <c r="BF541" i="1"/>
  <c r="BJ918" i="1"/>
  <c r="BJ557" i="1"/>
  <c r="BK557" i="1" s="1"/>
  <c r="BL557" i="1" s="1"/>
  <c r="BF557" i="1"/>
  <c r="BG557" i="1" s="1"/>
  <c r="BJ934" i="1"/>
  <c r="BJ555" i="1"/>
  <c r="BK555" i="1" s="1"/>
  <c r="BF555" i="1"/>
  <c r="BF284" i="1"/>
  <c r="BJ413" i="1"/>
  <c r="BJ298" i="1"/>
  <c r="BF806" i="1"/>
  <c r="BJ1241" i="1"/>
  <c r="BF1387" i="1"/>
  <c r="BF1257" i="1"/>
  <c r="BJ1708" i="1"/>
  <c r="BJ1645" i="1"/>
  <c r="BK1645" i="1" s="1"/>
  <c r="BL1645" i="1" s="1"/>
  <c r="BF1645" i="1"/>
  <c r="BG1645" i="1" s="1"/>
  <c r="BF1192" i="1"/>
  <c r="BG1192" i="1" s="1"/>
  <c r="BJ695" i="1"/>
  <c r="BJ1509" i="1"/>
  <c r="BF711" i="1"/>
  <c r="BJ468" i="1"/>
  <c r="BF218" i="1"/>
  <c r="BF662" i="1"/>
  <c r="BG662" i="1" s="1"/>
  <c r="BJ598" i="1"/>
  <c r="BK598" i="1" s="1"/>
  <c r="BL598" i="1" s="1"/>
  <c r="BF598" i="1"/>
  <c r="BG598" i="1" s="1"/>
  <c r="BJ396" i="1"/>
  <c r="BJ1108" i="1"/>
  <c r="BJ1599" i="1"/>
  <c r="BK1599" i="1" s="1"/>
  <c r="BL1599" i="1" s="1"/>
  <c r="BF1599" i="1"/>
  <c r="BG1599" i="1" s="1"/>
  <c r="BJ1421" i="1"/>
  <c r="BF954" i="1"/>
  <c r="BG954" i="1" s="1"/>
  <c r="BJ752" i="1"/>
  <c r="BF944" i="1"/>
  <c r="BG944" i="1" s="1"/>
  <c r="BF221" i="1"/>
  <c r="BF632" i="1"/>
  <c r="BG632" i="1" s="1"/>
  <c r="BJ833" i="1"/>
  <c r="BF634" i="1"/>
  <c r="BJ223" i="1"/>
  <c r="BK223" i="1" s="1"/>
  <c r="BF223" i="1"/>
  <c r="BF1555" i="1"/>
  <c r="BJ1475" i="1"/>
  <c r="BJ1019" i="1"/>
  <c r="BK1019" i="1" s="1"/>
  <c r="BF1019" i="1"/>
  <c r="BG1019" i="1" s="1"/>
  <c r="BJ531" i="1"/>
  <c r="BK531" i="1" s="1"/>
  <c r="BL531" i="1" s="1"/>
  <c r="BF531" i="1"/>
  <c r="BG531" i="1" s="1"/>
  <c r="BJ1035" i="1"/>
  <c r="BK1035" i="1" s="1"/>
  <c r="BF1035" i="1"/>
  <c r="BF483" i="1"/>
  <c r="BJ1101" i="1"/>
  <c r="BJ435" i="1"/>
  <c r="BJ939" i="1"/>
  <c r="BK939" i="1" s="1"/>
  <c r="BF939" i="1"/>
  <c r="BF1020" i="1"/>
  <c r="BG1020" i="1" s="1"/>
  <c r="BF373" i="1"/>
  <c r="BJ1235" i="1"/>
  <c r="BK1235" i="1" s="1"/>
  <c r="BL1235" i="1" s="1"/>
  <c r="BF1235" i="1"/>
  <c r="BF1251" i="1"/>
  <c r="BE1458" i="1"/>
  <c r="BE615" i="1"/>
  <c r="BE710" i="1"/>
  <c r="BE1252" i="1"/>
  <c r="BE892" i="1"/>
  <c r="BE145" i="1"/>
  <c r="BE849" i="1"/>
  <c r="BE441" i="1"/>
  <c r="BE537" i="1"/>
  <c r="BE1590" i="1"/>
  <c r="BE384" i="1"/>
  <c r="BE1585" i="1"/>
  <c r="BE1420" i="1"/>
  <c r="BE527" i="1"/>
  <c r="BE1221" i="1"/>
  <c r="BE638" i="1"/>
  <c r="BE817" i="1"/>
  <c r="BE317" i="1"/>
  <c r="BE458" i="1"/>
  <c r="BE540" i="1"/>
  <c r="BE1148" i="1"/>
  <c r="BE1364" i="1"/>
  <c r="BE1697" i="1"/>
  <c r="BE1661" i="1"/>
  <c r="BE1354" i="1"/>
  <c r="BE827" i="1"/>
  <c r="BE345" i="1"/>
  <c r="BE1035" i="1"/>
  <c r="BE99" i="1"/>
  <c r="BE595" i="1"/>
  <c r="BE992" i="1"/>
  <c r="BE1036" i="1"/>
  <c r="BE21" i="1"/>
  <c r="BE532" i="1"/>
  <c r="BE1439" i="1"/>
  <c r="BE919" i="1"/>
  <c r="BE921" i="1"/>
  <c r="BE695" i="1"/>
  <c r="BE647" i="1"/>
  <c r="BE278" i="1"/>
  <c r="BE488" i="1"/>
  <c r="BE484" i="1"/>
  <c r="BE1626" i="1"/>
  <c r="BE214" i="1"/>
  <c r="BE67" i="1"/>
  <c r="BE513" i="1"/>
  <c r="BE158" i="1"/>
  <c r="BE845" i="1"/>
  <c r="BE112" i="1"/>
  <c r="BE808" i="1"/>
  <c r="BE634" i="1"/>
  <c r="BE1193" i="1"/>
  <c r="BE876" i="1"/>
  <c r="BE1494" i="1"/>
  <c r="BE1413" i="1"/>
  <c r="BE736" i="1"/>
  <c r="BG736" i="1" s="1"/>
  <c r="BE1160" i="1"/>
  <c r="BE890" i="1"/>
  <c r="BE281" i="1"/>
  <c r="BE329" i="1"/>
  <c r="BE869" i="1"/>
  <c r="BE98" i="1"/>
  <c r="BE27" i="1"/>
  <c r="BE1688" i="1"/>
  <c r="BE861" i="1"/>
  <c r="BE339" i="1"/>
  <c r="BE1176" i="1"/>
  <c r="BE508" i="1"/>
  <c r="BE221" i="1"/>
  <c r="BE63" i="1"/>
  <c r="BE9" i="1"/>
  <c r="BE486" i="1"/>
  <c r="BE1284" i="1"/>
  <c r="BE1300" i="1"/>
  <c r="BE237" i="1"/>
  <c r="BE462" i="1"/>
  <c r="BE516" i="1"/>
  <c r="BE517" i="1"/>
  <c r="BE1597" i="1"/>
  <c r="BE1295" i="1"/>
  <c r="BE1230" i="1"/>
  <c r="BE195" i="1"/>
  <c r="BE1335" i="1"/>
  <c r="BE976" i="1"/>
  <c r="BE669" i="1"/>
  <c r="BE1465" i="1"/>
  <c r="BE1538" i="1"/>
  <c r="BE403" i="1"/>
  <c r="BE1591" i="1"/>
  <c r="BE1602" i="1"/>
  <c r="BE295" i="1"/>
  <c r="BE1219" i="1"/>
  <c r="BE1046" i="1"/>
  <c r="BE223" i="1"/>
  <c r="BE450" i="1"/>
  <c r="BE977" i="1"/>
  <c r="BE1360" i="1"/>
  <c r="BE1249" i="1"/>
  <c r="BE1087" i="1"/>
  <c r="BE1644" i="1"/>
  <c r="BE363" i="1"/>
  <c r="BE588" i="1"/>
  <c r="BE1376" i="1"/>
  <c r="BE1281" i="1"/>
  <c r="BE1167" i="1"/>
  <c r="BE1668" i="1"/>
  <c r="BE637" i="1"/>
  <c r="BE554" i="1"/>
  <c r="BE166" i="1"/>
  <c r="BE1366" i="1"/>
  <c r="BE1183" i="1"/>
  <c r="BE1272" i="1"/>
  <c r="BE77" i="1"/>
  <c r="BE1137" i="1"/>
  <c r="BE374" i="1"/>
  <c r="BE1662" i="1"/>
  <c r="BE843" i="1"/>
  <c r="BE298" i="1"/>
  <c r="BE922" i="1"/>
  <c r="BE303" i="1"/>
  <c r="BE1467" i="1"/>
  <c r="BE1301" i="1"/>
  <c r="BE1308" i="1"/>
  <c r="BE322" i="1"/>
  <c r="BE300" i="1"/>
  <c r="BE289" i="1"/>
  <c r="BE308" i="1"/>
  <c r="BE812" i="1"/>
  <c r="BE1324" i="1"/>
  <c r="BE354" i="1"/>
  <c r="BE84" i="1"/>
  <c r="BE336" i="1"/>
  <c r="BE313" i="1"/>
  <c r="BE1418" i="1"/>
  <c r="BE998" i="1"/>
  <c r="BE315" i="1"/>
  <c r="BE1211" i="1"/>
  <c r="BE197" i="1"/>
  <c r="BE757" i="1"/>
  <c r="BE18" i="1"/>
  <c r="BE658" i="1"/>
  <c r="BE523" i="1"/>
  <c r="BE935" i="1"/>
  <c r="BE1605" i="1"/>
  <c r="BE1598" i="1"/>
  <c r="BE863" i="1"/>
  <c r="BE1687" i="1"/>
  <c r="BE487" i="1"/>
  <c r="BE1423" i="1"/>
  <c r="BE1641" i="1"/>
  <c r="BE427" i="1"/>
  <c r="BE534" i="1"/>
  <c r="BE224" i="1"/>
  <c r="BE124" i="1"/>
  <c r="BE1245" i="1"/>
  <c r="BE1122" i="1"/>
  <c r="BE335" i="1"/>
  <c r="BE69" i="1"/>
  <c r="BE1345" i="1"/>
  <c r="BE1178" i="1"/>
  <c r="BE1691" i="1"/>
  <c r="BE91" i="1"/>
  <c r="BE1643" i="1"/>
  <c r="BE587" i="1"/>
  <c r="BE1506" i="1"/>
  <c r="BE732" i="1"/>
  <c r="BE682" i="1"/>
  <c r="BE625" i="1"/>
  <c r="BE948" i="1"/>
  <c r="BE1596" i="1"/>
  <c r="BE755" i="1"/>
  <c r="BE1180" i="1"/>
  <c r="BE503" i="1"/>
  <c r="BE1634" i="1"/>
  <c r="BE1359" i="1"/>
  <c r="BE1548" i="1"/>
  <c r="BE90" i="1"/>
  <c r="BE715" i="1"/>
  <c r="BE1571" i="1"/>
  <c r="BE667" i="1"/>
  <c r="BE1539" i="1"/>
  <c r="BE868" i="1"/>
  <c r="BE94" i="1"/>
  <c r="BE709" i="1"/>
  <c r="BE41" i="1"/>
  <c r="BE741" i="1"/>
  <c r="BE819" i="1"/>
  <c r="BE325" i="1"/>
  <c r="BE1410" i="1"/>
  <c r="BG1410" i="1" s="1"/>
  <c r="BE1086" i="1"/>
  <c r="BE899" i="1"/>
  <c r="BE485" i="1"/>
  <c r="BE556" i="1"/>
  <c r="BE1168" i="1"/>
  <c r="BE1222" i="1"/>
  <c r="BE655" i="1"/>
  <c r="BE38" i="1"/>
  <c r="BE1676" i="1"/>
  <c r="BE1341" i="1"/>
  <c r="BE1031" i="1"/>
  <c r="BE1536" i="1"/>
  <c r="BE311" i="1"/>
  <c r="BE1131" i="1"/>
  <c r="BE294" i="1"/>
  <c r="BE293" i="1"/>
  <c r="BE129" i="1"/>
  <c r="BE748" i="1"/>
  <c r="BE837" i="1"/>
  <c r="BE1393" i="1"/>
  <c r="BE963" i="1"/>
  <c r="BE1404" i="1"/>
  <c r="BE59" i="1"/>
  <c r="BG59" i="1" s="1"/>
  <c r="BE756" i="1"/>
  <c r="BE1566" i="1"/>
  <c r="BE225" i="1"/>
  <c r="BE1657" i="1"/>
  <c r="BE372" i="1"/>
  <c r="BE681" i="1"/>
  <c r="BE184" i="1"/>
  <c r="BE952" i="1"/>
  <c r="BE241" i="1"/>
  <c r="BE1705" i="1"/>
  <c r="BE468" i="1"/>
  <c r="BE1100" i="1"/>
  <c r="BE114" i="1"/>
  <c r="BE1171" i="1"/>
  <c r="BE111" i="1"/>
  <c r="BE391" i="1"/>
  <c r="BE1315" i="1"/>
  <c r="BE192" i="1"/>
  <c r="BE897" i="1"/>
  <c r="BE1629" i="1"/>
  <c r="BE654" i="1"/>
  <c r="BE631" i="1"/>
  <c r="BE1535" i="1"/>
  <c r="BE754" i="1"/>
  <c r="BE603" i="1"/>
  <c r="BE1015" i="1"/>
  <c r="BE490" i="1"/>
  <c r="BE535" i="1"/>
  <c r="BE170" i="1"/>
  <c r="BE1504" i="1"/>
  <c r="BE1620" i="1"/>
  <c r="BE265" i="1"/>
  <c r="BE683" i="1"/>
  <c r="BE800" i="1"/>
  <c r="BE1493" i="1"/>
  <c r="BE196" i="1"/>
  <c r="BE304" i="1"/>
  <c r="BE297" i="1"/>
  <c r="BE747" i="1"/>
  <c r="BE1352" i="1"/>
  <c r="BE609" i="1"/>
  <c r="BE1685" i="1"/>
  <c r="BE394" i="1"/>
  <c r="BE1018" i="1"/>
  <c r="BE399" i="1"/>
  <c r="BE836" i="1"/>
  <c r="BE229" i="1"/>
  <c r="BE409" i="1"/>
  <c r="BE918" i="1"/>
  <c r="BE1258" i="1"/>
  <c r="BE623" i="1"/>
  <c r="BE482" i="1"/>
  <c r="BE1198" i="1"/>
  <c r="BE163" i="1"/>
  <c r="BE1707" i="1"/>
  <c r="BE209" i="1"/>
  <c r="BE1088" i="1"/>
  <c r="BE1093" i="1"/>
  <c r="BE319" i="1"/>
  <c r="BE1196" i="1"/>
  <c r="BE1426" i="1"/>
  <c r="BE828" i="1"/>
  <c r="BE1104" i="1"/>
  <c r="BE1161" i="1"/>
  <c r="BE383" i="1"/>
  <c r="BE1412" i="1"/>
  <c r="BE349" i="1"/>
  <c r="BE814" i="1"/>
  <c r="BE1701" i="1"/>
  <c r="BE1174" i="1"/>
  <c r="BE959" i="1"/>
  <c r="BE1064" i="1"/>
  <c r="BE1612" i="1"/>
  <c r="BE1001" i="1"/>
  <c r="BE182" i="1"/>
  <c r="BE1378" i="1"/>
  <c r="BE1199" i="1"/>
  <c r="BE106" i="1"/>
  <c r="BE730" i="1"/>
  <c r="BE739" i="1"/>
  <c r="BE1587" i="1"/>
  <c r="BE1402" i="1"/>
  <c r="BE1207" i="1"/>
  <c r="BE460" i="1"/>
  <c r="BE573" i="1"/>
  <c r="BE1553" i="1"/>
  <c r="BE719" i="1"/>
  <c r="BE1156" i="1"/>
  <c r="BE29" i="1"/>
  <c r="BE572" i="1"/>
  <c r="BE348" i="1"/>
  <c r="BE786" i="1"/>
  <c r="BE1129" i="1"/>
  <c r="BE388" i="1"/>
  <c r="BE1509" i="1"/>
  <c r="BE453" i="1"/>
  <c r="BE412" i="1"/>
  <c r="BE4" i="1"/>
  <c r="BE1042" i="1"/>
  <c r="BE321" i="1"/>
  <c r="BE904" i="1"/>
  <c r="BE1576" i="1"/>
  <c r="BE157" i="1"/>
  <c r="BE1517" i="1"/>
  <c r="BE1675" i="1"/>
  <c r="BE821" i="1"/>
  <c r="BE1450" i="1"/>
  <c r="BE636" i="1"/>
  <c r="BE371" i="1"/>
  <c r="BE561" i="1"/>
  <c r="BE1557" i="1"/>
  <c r="BE568" i="1"/>
  <c r="BE1153" i="1"/>
  <c r="BE936" i="1"/>
  <c r="BE1320" i="1"/>
  <c r="BE593" i="1"/>
  <c r="BE1621" i="1"/>
  <c r="BE924" i="1"/>
  <c r="BE1436" i="1"/>
  <c r="BE466" i="1"/>
  <c r="BE133" i="1"/>
  <c r="BE702" i="1"/>
  <c r="BE679" i="1"/>
  <c r="BE1583" i="1"/>
  <c r="BE448" i="1"/>
  <c r="BE1333" i="1"/>
  <c r="BE190" i="1"/>
  <c r="BE910" i="1"/>
  <c r="BE1622" i="1"/>
  <c r="BE1435" i="1"/>
  <c r="BE1010" i="1"/>
  <c r="BE1466" i="1"/>
  <c r="BE1271" i="1"/>
  <c r="BE1717" i="1"/>
  <c r="BE83" i="1"/>
  <c r="BE1110" i="1"/>
  <c r="BE1564" i="1"/>
  <c r="BE464" i="1"/>
  <c r="BE617" i="1"/>
  <c r="BE663" i="1"/>
  <c r="BE1344" i="1"/>
  <c r="BE1630" i="1"/>
  <c r="BE248" i="1"/>
  <c r="BE672" i="1"/>
  <c r="BE633" i="1"/>
  <c r="BE727" i="1"/>
  <c r="BE1720" i="1"/>
  <c r="BE945" i="1"/>
  <c r="BE690" i="1"/>
  <c r="BE982" i="1"/>
  <c r="BE1306" i="1"/>
  <c r="BE671" i="1"/>
  <c r="BE728" i="1"/>
  <c r="BE1276" i="1"/>
  <c r="BE665" i="1"/>
  <c r="BE1589" i="1"/>
  <c r="BE1518" i="1"/>
  <c r="BE847" i="1"/>
  <c r="BE1481" i="1"/>
  <c r="BE1554" i="1"/>
  <c r="BE419" i="1"/>
  <c r="BE1607" i="1"/>
  <c r="BE205" i="1"/>
  <c r="BE1440" i="1"/>
  <c r="BE1361" i="1"/>
  <c r="BE811" i="1"/>
  <c r="BE109" i="1"/>
  <c r="BE1482" i="1"/>
  <c r="BE60" i="1"/>
  <c r="BG60" i="1" s="1"/>
  <c r="BE1472" i="1"/>
  <c r="BE1377" i="1"/>
  <c r="BE875" i="1"/>
  <c r="BE37" i="1"/>
  <c r="BE717" i="1"/>
  <c r="BE810" i="1"/>
  <c r="BE230" i="1"/>
  <c r="BE1422" i="1"/>
  <c r="BE1247" i="1"/>
  <c r="BE1336" i="1"/>
  <c r="BE213" i="1"/>
  <c r="BE1201" i="1"/>
  <c r="BE438" i="1"/>
  <c r="BE1726" i="1"/>
  <c r="BE907" i="1"/>
  <c r="BE362" i="1"/>
  <c r="BE986" i="1"/>
  <c r="BE367" i="1"/>
  <c r="BE1531" i="1"/>
  <c r="BE1674" i="1"/>
  <c r="BE867" i="1"/>
  <c r="BE139" i="1"/>
  <c r="BE764" i="1"/>
  <c r="BE1229" i="1"/>
  <c r="BE1474" i="1"/>
  <c r="BE199" i="1"/>
  <c r="BE1123" i="1"/>
  <c r="BE774" i="1"/>
  <c r="BE219" i="1"/>
  <c r="BE1115" i="1"/>
  <c r="BE798" i="1"/>
  <c r="BE291" i="1"/>
  <c r="BE1431" i="1"/>
  <c r="BE964" i="1"/>
  <c r="BE1508" i="1"/>
  <c r="BE476" i="1"/>
  <c r="BE1614" i="1"/>
  <c r="BE1604" i="1"/>
  <c r="BE1437" i="1"/>
  <c r="BE85" i="1"/>
  <c r="BE1636" i="1"/>
  <c r="BE621" i="1"/>
  <c r="BE159" i="1"/>
  <c r="BE552" i="1"/>
  <c r="BE853" i="1"/>
  <c r="BE302" i="1"/>
  <c r="BE1287" i="1"/>
  <c r="BE1650" i="1"/>
  <c r="BE451" i="1"/>
  <c r="BE1639" i="1"/>
  <c r="BE1248" i="1"/>
  <c r="BE925" i="1"/>
  <c r="BE10" i="1"/>
  <c r="BE650" i="1"/>
  <c r="BE659" i="1"/>
  <c r="BE1491" i="1"/>
  <c r="BE606" i="1"/>
  <c r="BE551" i="1"/>
  <c r="BE1487" i="1"/>
  <c r="BE994" i="1"/>
  <c r="BE751" i="1"/>
  <c r="BE902" i="1"/>
  <c r="BE909" i="1"/>
  <c r="BE1712" i="1"/>
  <c r="BE1617" i="1"/>
  <c r="BE1095" i="1"/>
  <c r="BE613" i="1"/>
  <c r="BE115" i="1"/>
  <c r="BE296" i="1"/>
  <c r="BE17" i="1"/>
  <c r="BE1649" i="1"/>
  <c r="BE1159" i="1"/>
  <c r="BE996" i="1"/>
  <c r="BE973" i="1"/>
  <c r="BE1158" i="1"/>
  <c r="BE422" i="1"/>
  <c r="BE1710" i="1"/>
  <c r="BE891" i="1"/>
  <c r="BE1544" i="1"/>
  <c r="BE421" i="1"/>
  <c r="BE1409" i="1"/>
  <c r="BE758" i="1"/>
  <c r="BE203" i="1"/>
  <c r="BE1099" i="1"/>
  <c r="BE726" i="1"/>
  <c r="BE1194" i="1"/>
  <c r="BE575" i="1"/>
  <c r="BE1723" i="1"/>
  <c r="BE306" i="1"/>
  <c r="BE1660" i="1"/>
  <c r="BE1117" i="1"/>
  <c r="BE280" i="1"/>
  <c r="BE801" i="1"/>
  <c r="BE408" i="1"/>
  <c r="BE36" i="1"/>
  <c r="BE1692" i="1"/>
  <c r="BE1133" i="1"/>
  <c r="BE260" i="1"/>
  <c r="BE688" i="1"/>
  <c r="BE649" i="1"/>
  <c r="BE839" i="1"/>
  <c r="BE706" i="1"/>
  <c r="BE571" i="1"/>
  <c r="BE983" i="1"/>
  <c r="BE1396" i="1"/>
  <c r="BE1009" i="1"/>
  <c r="BE274" i="1"/>
  <c r="BE930" i="1"/>
  <c r="BE1386" i="1"/>
  <c r="BE1191" i="1"/>
  <c r="BE134" i="1"/>
  <c r="BE1334" i="1"/>
  <c r="BE1135" i="1"/>
  <c r="BE1603" i="1"/>
  <c r="BE775" i="1"/>
  <c r="BE1679" i="1"/>
  <c r="BE549" i="1"/>
  <c r="BE599" i="1"/>
  <c r="BE903" i="1"/>
  <c r="BE1101" i="1"/>
  <c r="BE1126" i="1"/>
  <c r="BE1197" i="1"/>
  <c r="BE116" i="1"/>
  <c r="BE768" i="1"/>
  <c r="BE635" i="1"/>
  <c r="BE338" i="1"/>
  <c r="BE161" i="1"/>
  <c r="BE327" i="1"/>
  <c r="BE1549" i="1"/>
  <c r="BE504" i="1"/>
  <c r="BE1136" i="1"/>
  <c r="BE1498" i="1"/>
  <c r="BE1037" i="1"/>
  <c r="BE268" i="1"/>
  <c r="BE386" i="1"/>
  <c r="BE1442" i="1"/>
  <c r="BE1023" i="1"/>
  <c r="BE912" i="1"/>
  <c r="BE82" i="1"/>
  <c r="BE1263" i="1"/>
  <c r="BE272" i="1"/>
  <c r="BE1112" i="1"/>
  <c r="BE941" i="1"/>
  <c r="BE1490" i="1"/>
  <c r="BE96" i="1"/>
  <c r="BE350" i="1"/>
  <c r="BE208" i="1"/>
  <c r="BE980" i="1"/>
  <c r="BG980" i="1" s="1"/>
  <c r="BE957" i="1"/>
  <c r="BE1618" i="1"/>
  <c r="BE888" i="1"/>
  <c r="BE177" i="1"/>
  <c r="BE1593" i="1"/>
  <c r="BE1403" i="1"/>
  <c r="BE698" i="1"/>
  <c r="BE707" i="1"/>
  <c r="BE1555" i="1"/>
  <c r="BE1520" i="1"/>
  <c r="BE1349" i="1"/>
  <c r="BE282" i="1"/>
  <c r="BE906" i="1"/>
  <c r="BE287" i="1"/>
  <c r="BE126" i="1"/>
  <c r="BE862" i="1"/>
  <c r="BE1558" i="1"/>
  <c r="BE1387" i="1"/>
  <c r="BE1266" i="1"/>
  <c r="BE975" i="1"/>
  <c r="BE946" i="1"/>
  <c r="BE841" i="1"/>
  <c r="BE1228" i="1"/>
  <c r="BE242" i="1"/>
  <c r="BE1567" i="1"/>
  <c r="BE1285" i="1"/>
  <c r="BE120" i="1"/>
  <c r="BE676" i="1"/>
  <c r="BE1244" i="1"/>
  <c r="BE258" i="1"/>
  <c r="BE1631" i="1"/>
  <c r="BE240" i="1"/>
  <c r="BE233" i="1"/>
  <c r="BE555" i="1"/>
  <c r="BE822" i="1"/>
  <c r="BE251" i="1"/>
  <c r="BE1147" i="1"/>
  <c r="BE125" i="1"/>
  <c r="BE693" i="1"/>
  <c r="BE1681" i="1"/>
  <c r="BE594" i="1"/>
  <c r="BE459" i="1"/>
  <c r="BE855" i="1"/>
  <c r="BE1541" i="1"/>
  <c r="BE1478" i="1"/>
  <c r="BE799" i="1"/>
  <c r="BE1623" i="1"/>
  <c r="BE62" i="1"/>
  <c r="BE373" i="1"/>
  <c r="BE1453" i="1"/>
  <c r="BE12" i="1"/>
  <c r="BE285" i="1"/>
  <c r="BE344" i="1"/>
  <c r="BE420" i="1"/>
  <c r="BE389" i="1"/>
  <c r="BE1469" i="1"/>
  <c r="BE716" i="1"/>
  <c r="BE1040" i="1"/>
  <c r="BE1045" i="1"/>
  <c r="BE191" i="1"/>
  <c r="BE978" i="1"/>
  <c r="BE1434" i="1"/>
  <c r="BE1239" i="1"/>
  <c r="BE1652" i="1"/>
  <c r="BE257" i="1"/>
  <c r="BE886" i="1"/>
  <c r="BE1202" i="1"/>
  <c r="BE1658" i="1"/>
  <c r="BE851" i="1"/>
  <c r="BE390" i="1"/>
  <c r="BE1678" i="1"/>
  <c r="BE859" i="1"/>
  <c r="BE279" i="1"/>
  <c r="BE35" i="1"/>
  <c r="BE1579" i="1"/>
  <c r="BE305" i="1"/>
  <c r="BE900" i="1"/>
  <c r="BE1337" i="1"/>
  <c r="BE1310" i="1"/>
  <c r="BE275" i="1"/>
  <c r="BE1415" i="1"/>
  <c r="BE1430" i="1"/>
  <c r="BE151" i="1"/>
  <c r="BE1059" i="1"/>
  <c r="BE1338" i="1"/>
  <c r="BE703" i="1"/>
  <c r="BA1740" i="1"/>
  <c r="BJ1740" i="1" s="1"/>
  <c r="BA1731" i="1"/>
  <c r="BJ1731" i="1" s="1"/>
  <c r="BE1731" i="1"/>
  <c r="BE1734" i="1"/>
  <c r="BE1742" i="1"/>
  <c r="BE1743" i="1"/>
  <c r="BE1745" i="1"/>
  <c r="BE1739" i="1"/>
  <c r="BE1733" i="1"/>
  <c r="BE1740" i="1"/>
  <c r="BE1732" i="1"/>
  <c r="BE1737" i="1"/>
  <c r="BE1735" i="1"/>
  <c r="BE1744" i="1"/>
  <c r="BE1736" i="1"/>
  <c r="BA1734" i="1"/>
  <c r="BA1744" i="1"/>
  <c r="BJ1744" i="1" s="1"/>
  <c r="BA1732" i="1"/>
  <c r="BA1736" i="1"/>
  <c r="BA1746" i="1"/>
  <c r="BA1737" i="1"/>
  <c r="BA1733" i="1"/>
  <c r="BA1735" i="1"/>
  <c r="BJ1735" i="1" s="1"/>
  <c r="BA1743" i="1"/>
  <c r="BA1745" i="1"/>
  <c r="BA1741" i="1"/>
  <c r="BA1742" i="1"/>
  <c r="BA1738" i="1"/>
  <c r="BA1739" i="1"/>
  <c r="BE1738" i="1"/>
  <c r="BE1741" i="1"/>
  <c r="BE1746" i="1"/>
  <c r="BE1750" i="1"/>
  <c r="BE1749" i="1"/>
  <c r="BE1748" i="1"/>
  <c r="BE1747" i="1"/>
  <c r="W1874" i="1"/>
  <c r="W1777" i="1"/>
  <c r="W1783" i="1"/>
  <c r="W1827" i="1"/>
  <c r="W1852" i="1"/>
  <c r="W1762" i="1"/>
  <c r="W1766" i="1"/>
  <c r="AT1776" i="1"/>
  <c r="T1776" i="1"/>
  <c r="AT1787" i="1"/>
  <c r="T1787" i="1"/>
  <c r="AT1799" i="1"/>
  <c r="T1799" i="1"/>
  <c r="AT1808" i="1"/>
  <c r="T1808" i="1"/>
  <c r="AT1818" i="1"/>
  <c r="T1818" i="1"/>
  <c r="AT1832" i="1"/>
  <c r="T1832" i="1"/>
  <c r="AT1860" i="1"/>
  <c r="T1860" i="1"/>
  <c r="AT1868" i="1"/>
  <c r="T1868" i="1"/>
  <c r="AT1876" i="1"/>
  <c r="T1876" i="1"/>
  <c r="AT1778" i="1"/>
  <c r="T1778" i="1"/>
  <c r="AT1789" i="1"/>
  <c r="T1789" i="1"/>
  <c r="AT1801" i="1"/>
  <c r="T1801" i="1"/>
  <c r="AT1810" i="1"/>
  <c r="T1810" i="1"/>
  <c r="AT1840" i="1"/>
  <c r="T1840" i="1"/>
  <c r="AT1845" i="1"/>
  <c r="T1845" i="1"/>
  <c r="AT1862" i="1"/>
  <c r="T1862" i="1"/>
  <c r="AT1763" i="1"/>
  <c r="T1763" i="1"/>
  <c r="AT1771" i="1"/>
  <c r="T1771" i="1"/>
  <c r="AT1802" i="1"/>
  <c r="T1802" i="1"/>
  <c r="AT1811" i="1"/>
  <c r="T1811" i="1"/>
  <c r="Y1775" i="1"/>
  <c r="AU1775" i="1" s="1"/>
  <c r="Y1786" i="1"/>
  <c r="AU1786" i="1" s="1"/>
  <c r="Y1798" i="1"/>
  <c r="AU1798" i="1" s="1"/>
  <c r="Y1807" i="1"/>
  <c r="AU1807" i="1" s="1"/>
  <c r="Y1817" i="1"/>
  <c r="AU1817" i="1" s="1"/>
  <c r="Y1831" i="1"/>
  <c r="AU1831" i="1" s="1"/>
  <c r="Y1867" i="1"/>
  <c r="Y1875" i="1"/>
  <c r="AU1875" i="1" s="1"/>
  <c r="AV1769" i="1"/>
  <c r="AV1777" i="1"/>
  <c r="AV1783" i="1"/>
  <c r="AV1788" i="1"/>
  <c r="AV1795" i="1"/>
  <c r="AV1800" i="1"/>
  <c r="AV1809" i="1"/>
  <c r="AV1815" i="1"/>
  <c r="AV1827" i="1"/>
  <c r="AV1844" i="1"/>
  <c r="AV1848" i="1"/>
  <c r="AV1852" i="1"/>
  <c r="AV1853" i="1"/>
  <c r="AV1861" i="1"/>
  <c r="AV1871" i="1"/>
  <c r="AV1879" i="1"/>
  <c r="Y1776" i="1"/>
  <c r="AU1776" i="1" s="1"/>
  <c r="Y1787" i="1"/>
  <c r="AU1787" i="1" s="1"/>
  <c r="Y1799" i="1"/>
  <c r="AU1799" i="1" s="1"/>
  <c r="Y1808" i="1"/>
  <c r="AU1808" i="1" s="1"/>
  <c r="Y1818" i="1"/>
  <c r="AU1818" i="1" s="1"/>
  <c r="Y1832" i="1"/>
  <c r="AU1832" i="1" s="1"/>
  <c r="Y1860" i="1"/>
  <c r="AU1860" i="1" s="1"/>
  <c r="Y1868" i="1"/>
  <c r="AU1868" i="1" s="1"/>
  <c r="Y1876" i="1"/>
  <c r="AU1876" i="1" s="1"/>
  <c r="AV1762" i="1"/>
  <c r="AV1770" i="1"/>
  <c r="AV1778" i="1"/>
  <c r="AV1789" i="1"/>
  <c r="AV1796" i="1"/>
  <c r="AV1801" i="1"/>
  <c r="AV1810" i="1"/>
  <c r="V1802" i="1"/>
  <c r="W1802" i="1" s="1"/>
  <c r="V1811" i="1"/>
  <c r="W1811" i="1" s="1"/>
  <c r="V1833" i="1"/>
  <c r="W1833" i="1" s="1"/>
  <c r="V1846" i="1"/>
  <c r="W1846" i="1" s="1"/>
  <c r="V1863" i="1"/>
  <c r="W1863" i="1" s="1"/>
  <c r="V1883" i="1"/>
  <c r="W1883" i="1" s="1"/>
  <c r="S1760" i="1"/>
  <c r="S1779" i="1"/>
  <c r="S1791" i="1"/>
  <c r="S1797" i="1"/>
  <c r="S1804" i="1"/>
  <c r="S1821" i="1"/>
  <c r="S1835" i="1"/>
  <c r="S1849" i="1"/>
  <c r="S1859" i="1"/>
  <c r="S1881" i="1"/>
  <c r="V1790" i="1"/>
  <c r="W1790" i="1" s="1"/>
  <c r="V1803" i="1"/>
  <c r="W1803" i="1" s="1"/>
  <c r="V1822" i="1"/>
  <c r="W1822" i="1" s="1"/>
  <c r="V1834" i="1"/>
  <c r="W1834" i="1" s="1"/>
  <c r="V1850" i="1"/>
  <c r="W1850" i="1" s="1"/>
  <c r="S1766" i="1"/>
  <c r="S1780" i="1"/>
  <c r="S1792" i="1"/>
  <c r="S1805" i="1"/>
  <c r="S1812" i="1"/>
  <c r="S1836" i="1"/>
  <c r="S1864" i="1"/>
  <c r="S1882" i="1"/>
  <c r="V1778" i="1"/>
  <c r="W1778" i="1" s="1"/>
  <c r="V1789" i="1"/>
  <c r="W1789" i="1" s="1"/>
  <c r="V1801" i="1"/>
  <c r="W1801" i="1" s="1"/>
  <c r="V1810" i="1"/>
  <c r="W1810" i="1" s="1"/>
  <c r="V1840" i="1"/>
  <c r="W1840" i="1" s="1"/>
  <c r="V1845" i="1"/>
  <c r="W1845" i="1" s="1"/>
  <c r="V1862" i="1"/>
  <c r="W1862" i="1" s="1"/>
  <c r="S1790" i="1"/>
  <c r="S1803" i="1"/>
  <c r="S1822" i="1"/>
  <c r="S1834" i="1"/>
  <c r="S1850" i="1"/>
  <c r="AT1829" i="1"/>
  <c r="T1829" i="1"/>
  <c r="AT1833" i="1"/>
  <c r="T1833" i="1"/>
  <c r="AT1842" i="1"/>
  <c r="T1842" i="1"/>
  <c r="AT1846" i="1"/>
  <c r="T1846" i="1"/>
  <c r="AT1855" i="1"/>
  <c r="T1855" i="1"/>
  <c r="AT1863" i="1"/>
  <c r="T1863" i="1"/>
  <c r="AT1883" i="1"/>
  <c r="T1883" i="1"/>
  <c r="AV1757" i="1"/>
  <c r="AV1768" i="1"/>
  <c r="AV1782" i="1"/>
  <c r="AV1794" i="1"/>
  <c r="AV1814" i="1"/>
  <c r="AV1820" i="1"/>
  <c r="AV1824" i="1"/>
  <c r="AV1826" i="1"/>
  <c r="AV1847" i="1"/>
  <c r="AV1851" i="1"/>
  <c r="AV1858" i="1"/>
  <c r="AV1866" i="1"/>
  <c r="AV1870" i="1"/>
  <c r="AV1878" i="1"/>
  <c r="Y1802" i="1"/>
  <c r="AU1802" i="1" s="1"/>
  <c r="Y1811" i="1"/>
  <c r="AU1811" i="1" s="1"/>
  <c r="Y1833" i="1"/>
  <c r="AU1833" i="1" s="1"/>
  <c r="Y1846" i="1"/>
  <c r="AU1846" i="1" s="1"/>
  <c r="Y1863" i="1"/>
  <c r="AU1863" i="1" s="1"/>
  <c r="Y1883" i="1"/>
  <c r="AU1883" i="1" s="1"/>
  <c r="AV1812" i="1"/>
  <c r="AV1830" i="1"/>
  <c r="AV1836" i="1"/>
  <c r="AV1841" i="1"/>
  <c r="AV1864" i="1"/>
  <c r="AV1874" i="1"/>
  <c r="AV1882" i="1"/>
  <c r="V1761" i="1"/>
  <c r="W1761" i="1" s="1"/>
  <c r="V1767" i="1"/>
  <c r="W1767" i="1" s="1"/>
  <c r="V1781" i="1"/>
  <c r="W1781" i="1" s="1"/>
  <c r="V1793" i="1"/>
  <c r="W1793" i="1" s="1"/>
  <c r="V1806" i="1"/>
  <c r="W1806" i="1" s="1"/>
  <c r="V1813" i="1"/>
  <c r="W1813" i="1" s="1"/>
  <c r="V1819" i="1"/>
  <c r="W1819" i="1" s="1"/>
  <c r="V1823" i="1"/>
  <c r="W1823" i="1" s="1"/>
  <c r="V1825" i="1"/>
  <c r="W1825" i="1" s="1"/>
  <c r="V1837" i="1"/>
  <c r="W1837" i="1" s="1"/>
  <c r="V1857" i="1"/>
  <c r="W1857" i="1" s="1"/>
  <c r="V1865" i="1"/>
  <c r="W1865" i="1" s="1"/>
  <c r="V1869" i="1"/>
  <c r="W1869" i="1" s="1"/>
  <c r="V1877" i="1"/>
  <c r="W1877" i="1" s="1"/>
  <c r="S1769" i="1"/>
  <c r="S1783" i="1"/>
  <c r="S1795" i="1"/>
  <c r="S1815" i="1"/>
  <c r="S1827" i="1"/>
  <c r="S1848" i="1"/>
  <c r="S1852" i="1"/>
  <c r="S1853" i="1"/>
  <c r="S1871" i="1"/>
  <c r="S1879" i="1"/>
  <c r="V1757" i="1"/>
  <c r="W1757" i="1" s="1"/>
  <c r="V1768" i="1"/>
  <c r="W1768" i="1" s="1"/>
  <c r="V1782" i="1"/>
  <c r="W1782" i="1" s="1"/>
  <c r="V1794" i="1"/>
  <c r="W1794" i="1" s="1"/>
  <c r="V1814" i="1"/>
  <c r="W1814" i="1" s="1"/>
  <c r="V1820" i="1"/>
  <c r="W1820" i="1" s="1"/>
  <c r="V1824" i="1"/>
  <c r="W1824" i="1" s="1"/>
  <c r="V1826" i="1"/>
  <c r="W1826" i="1" s="1"/>
  <c r="V1847" i="1"/>
  <c r="W1847" i="1" s="1"/>
  <c r="V1851" i="1"/>
  <c r="W1851" i="1" s="1"/>
  <c r="V1858" i="1"/>
  <c r="W1858" i="1" s="1"/>
  <c r="V1866" i="1"/>
  <c r="W1866" i="1" s="1"/>
  <c r="V1870" i="1"/>
  <c r="W1870" i="1" s="1"/>
  <c r="V1878" i="1"/>
  <c r="W1878" i="1" s="1"/>
  <c r="S1762" i="1"/>
  <c r="S1770" i="1"/>
  <c r="S1796" i="1"/>
  <c r="S1816" i="1"/>
  <c r="S1828" i="1"/>
  <c r="S1854" i="1"/>
  <c r="S1872" i="1"/>
  <c r="S1880" i="1"/>
  <c r="S1757" i="1"/>
  <c r="S1768" i="1"/>
  <c r="S1782" i="1"/>
  <c r="S1794" i="1"/>
  <c r="S1814" i="1"/>
  <c r="S1820" i="1"/>
  <c r="S1824" i="1"/>
  <c r="S1826" i="1"/>
  <c r="S1847" i="1"/>
  <c r="S1851" i="1"/>
  <c r="S1858" i="1"/>
  <c r="S1866" i="1"/>
  <c r="S1870" i="1"/>
  <c r="S1878" i="1"/>
  <c r="Y1761" i="1"/>
  <c r="AU1761" i="1" s="1"/>
  <c r="Y1767" i="1"/>
  <c r="AU1767" i="1" s="1"/>
  <c r="Y1781" i="1"/>
  <c r="AU1781" i="1" s="1"/>
  <c r="Y1793" i="1"/>
  <c r="AU1793" i="1" s="1"/>
  <c r="Y1806" i="1"/>
  <c r="AU1806" i="1" s="1"/>
  <c r="Y1813" i="1"/>
  <c r="AU1813" i="1" s="1"/>
  <c r="Y1819" i="1"/>
  <c r="AU1819" i="1" s="1"/>
  <c r="Y1823" i="1"/>
  <c r="AU1823" i="1" s="1"/>
  <c r="Y1825" i="1"/>
  <c r="AU1825" i="1" s="1"/>
  <c r="Y1837" i="1"/>
  <c r="AU1837" i="1" s="1"/>
  <c r="Y1857" i="1"/>
  <c r="AU1857" i="1" s="1"/>
  <c r="Y1865" i="1"/>
  <c r="AU1865" i="1" s="1"/>
  <c r="Y1869" i="1"/>
  <c r="AU1869" i="1" s="1"/>
  <c r="Y1877" i="1"/>
  <c r="AU1877" i="1" s="1"/>
  <c r="AV1759" i="1"/>
  <c r="AV1760" i="1"/>
  <c r="AV1765" i="1"/>
  <c r="AV1773" i="1"/>
  <c r="AV1779" i="1"/>
  <c r="AV1784" i="1"/>
  <c r="AV1791" i="1"/>
  <c r="AV1797" i="1"/>
  <c r="AV1804" i="1"/>
  <c r="AV1821" i="1"/>
  <c r="AV1835" i="1"/>
  <c r="AV1839" i="1"/>
  <c r="AV1849" i="1"/>
  <c r="AV1859" i="1"/>
  <c r="AV1873" i="1"/>
  <c r="AV1881" i="1"/>
  <c r="AV1766" i="1"/>
  <c r="AV1774" i="1"/>
  <c r="AV1780" i="1"/>
  <c r="AV1785" i="1"/>
  <c r="AV1792" i="1"/>
  <c r="AV1805" i="1"/>
  <c r="V1763" i="1"/>
  <c r="W1763" i="1" s="1"/>
  <c r="V1771" i="1"/>
  <c r="W1771" i="1" s="1"/>
  <c r="V1829" i="1"/>
  <c r="W1829" i="1" s="1"/>
  <c r="V1842" i="1"/>
  <c r="W1842" i="1" s="1"/>
  <c r="V1855" i="1"/>
  <c r="W1855" i="1" s="1"/>
  <c r="S1759" i="1"/>
  <c r="S1765" i="1"/>
  <c r="S1773" i="1"/>
  <c r="S1784" i="1"/>
  <c r="S1839" i="1"/>
  <c r="S1873" i="1"/>
  <c r="V1758" i="1"/>
  <c r="W1758" i="1" s="1"/>
  <c r="V1764" i="1"/>
  <c r="W1764" i="1" s="1"/>
  <c r="V1772" i="1"/>
  <c r="W1772" i="1" s="1"/>
  <c r="V1838" i="1"/>
  <c r="W1838" i="1" s="1"/>
  <c r="V1843" i="1"/>
  <c r="W1843" i="1" s="1"/>
  <c r="V1856" i="1"/>
  <c r="W1856" i="1" s="1"/>
  <c r="S1774" i="1"/>
  <c r="S1785" i="1"/>
  <c r="S1830" i="1"/>
  <c r="S1841" i="1"/>
  <c r="S1874" i="1"/>
  <c r="S1758" i="1"/>
  <c r="S1764" i="1"/>
  <c r="S1772" i="1"/>
  <c r="S1838" i="1"/>
  <c r="S1843" i="1"/>
  <c r="S1856" i="1"/>
  <c r="AT1761" i="1"/>
  <c r="T1761" i="1"/>
  <c r="AT1767" i="1"/>
  <c r="T1767" i="1"/>
  <c r="AT1775" i="1"/>
  <c r="T1775" i="1"/>
  <c r="AT1781" i="1"/>
  <c r="T1781" i="1"/>
  <c r="AT1786" i="1"/>
  <c r="T1786" i="1"/>
  <c r="AT1793" i="1"/>
  <c r="T1793" i="1"/>
  <c r="AT1798" i="1"/>
  <c r="T1798" i="1"/>
  <c r="AT1806" i="1"/>
  <c r="T1806" i="1"/>
  <c r="AT1807" i="1"/>
  <c r="T1807" i="1"/>
  <c r="AT1813" i="1"/>
  <c r="T1813" i="1"/>
  <c r="AT1817" i="1"/>
  <c r="T1817" i="1"/>
  <c r="AT1819" i="1"/>
  <c r="T1819" i="1"/>
  <c r="AT1823" i="1"/>
  <c r="T1823" i="1"/>
  <c r="AT1825" i="1"/>
  <c r="T1825" i="1"/>
  <c r="AT1831" i="1"/>
  <c r="T1831" i="1"/>
  <c r="AT1837" i="1"/>
  <c r="T1837" i="1"/>
  <c r="AT1857" i="1"/>
  <c r="T1857" i="1"/>
  <c r="AT1865" i="1"/>
  <c r="T1865" i="1"/>
  <c r="AT1867" i="1"/>
  <c r="T1867" i="1"/>
  <c r="AT1869" i="1"/>
  <c r="T1869" i="1"/>
  <c r="AT1875" i="1"/>
  <c r="T1875" i="1"/>
  <c r="AT1877" i="1"/>
  <c r="T1877" i="1"/>
  <c r="AV1758" i="1"/>
  <c r="AV1764" i="1"/>
  <c r="AV1772" i="1"/>
  <c r="AV1790" i="1"/>
  <c r="AV1803" i="1"/>
  <c r="AV1822" i="1"/>
  <c r="AV1834" i="1"/>
  <c r="AV1838" i="1"/>
  <c r="AV1843" i="1"/>
  <c r="AV1850" i="1"/>
  <c r="AV1856" i="1"/>
  <c r="Y1763" i="1"/>
  <c r="AU1763" i="1" s="1"/>
  <c r="Y1771" i="1"/>
  <c r="AU1771" i="1" s="1"/>
  <c r="Y1829" i="1"/>
  <c r="AU1829" i="1" s="1"/>
  <c r="Y1842" i="1"/>
  <c r="AU1842" i="1" s="1"/>
  <c r="Y1855" i="1"/>
  <c r="AU1855" i="1" s="1"/>
  <c r="AV1816" i="1"/>
  <c r="AV1828" i="1"/>
  <c r="AV1840" i="1"/>
  <c r="AV1845" i="1"/>
  <c r="AV1854" i="1"/>
  <c r="AV1862" i="1"/>
  <c r="AV1872" i="1"/>
  <c r="AV1880" i="1"/>
  <c r="V1775" i="1"/>
  <c r="W1775" i="1" s="1"/>
  <c r="V1786" i="1"/>
  <c r="W1786" i="1" s="1"/>
  <c r="V1798" i="1"/>
  <c r="W1798" i="1" s="1"/>
  <c r="V1807" i="1"/>
  <c r="W1807" i="1" s="1"/>
  <c r="V1817" i="1"/>
  <c r="W1817" i="1" s="1"/>
  <c r="V1831" i="1"/>
  <c r="W1831" i="1" s="1"/>
  <c r="V1867" i="1"/>
  <c r="W1867" i="1" s="1"/>
  <c r="V1875" i="1"/>
  <c r="W1875" i="1" s="1"/>
  <c r="S1777" i="1"/>
  <c r="S1788" i="1"/>
  <c r="S1800" i="1"/>
  <c r="S1809" i="1"/>
  <c r="S1844" i="1"/>
  <c r="S1861" i="1"/>
  <c r="V1776" i="1"/>
  <c r="W1776" i="1" s="1"/>
  <c r="V1787" i="1"/>
  <c r="W1787" i="1" s="1"/>
  <c r="V1799" i="1"/>
  <c r="W1799" i="1" s="1"/>
  <c r="V1808" i="1"/>
  <c r="W1808" i="1" s="1"/>
  <c r="V1818" i="1"/>
  <c r="W1818" i="1" s="1"/>
  <c r="V1832" i="1"/>
  <c r="W1832" i="1" s="1"/>
  <c r="V1860" i="1"/>
  <c r="W1860" i="1" s="1"/>
  <c r="V1868" i="1"/>
  <c r="W1868" i="1" s="1"/>
  <c r="V1876" i="1"/>
  <c r="W1876" i="1" s="1"/>
  <c r="BL864" i="1" l="1"/>
  <c r="BL393" i="1"/>
  <c r="BG939" i="1"/>
  <c r="BL1357" i="1"/>
  <c r="BL1017" i="1"/>
  <c r="BG34" i="1"/>
  <c r="BG1251" i="1"/>
  <c r="BL1019" i="1"/>
  <c r="BG711" i="1"/>
  <c r="BG1257" i="1"/>
  <c r="BG284" i="1"/>
  <c r="BG541" i="1"/>
  <c r="BL1667" i="1"/>
  <c r="BG993" i="1"/>
  <c r="BG657" i="1"/>
  <c r="BL1289" i="1"/>
  <c r="BG187" i="1"/>
  <c r="BG997" i="1"/>
  <c r="BL519" i="1"/>
  <c r="BL984" i="1"/>
  <c r="BG495" i="1"/>
  <c r="BL1432" i="1"/>
  <c r="BG1568" i="1"/>
  <c r="BL1480" i="1"/>
  <c r="BL1234" i="1"/>
  <c r="BL366" i="1"/>
  <c r="BL164" i="1"/>
  <c r="BL668" i="1"/>
  <c r="BL1656" i="1"/>
  <c r="BL856" i="1"/>
  <c r="BL696" i="1"/>
  <c r="BL243" i="1"/>
  <c r="BL1050" i="1"/>
  <c r="BG479" i="1"/>
  <c r="BL993" i="1"/>
  <c r="BG852" i="1"/>
  <c r="BG244" i="1"/>
  <c r="BG805" i="1"/>
  <c r="BG1480" i="1"/>
  <c r="BG942" i="1"/>
  <c r="BL939" i="1"/>
  <c r="BL36" i="1"/>
  <c r="BL1223" i="1"/>
  <c r="BL1496" i="1"/>
  <c r="BG1543" i="1"/>
  <c r="BG52" i="1"/>
  <c r="BG223" i="1"/>
  <c r="BL945" i="1"/>
  <c r="BL321" i="1"/>
  <c r="BL496" i="1"/>
  <c r="BL697" i="1"/>
  <c r="BG31" i="1"/>
  <c r="BG1693" i="1"/>
  <c r="BG542" i="1"/>
  <c r="BG1109" i="1"/>
  <c r="BG1526" i="1"/>
  <c r="BG140" i="1"/>
  <c r="BL1412" i="1"/>
  <c r="BL635" i="1"/>
  <c r="BL1316" i="1"/>
  <c r="BL1116" i="1"/>
  <c r="BL31" i="1"/>
  <c r="BL1600" i="1"/>
  <c r="BG1496" i="1"/>
  <c r="BL1693" i="1"/>
  <c r="BG1032" i="1"/>
  <c r="BG1542" i="1"/>
  <c r="BG788" i="1"/>
  <c r="BG777" i="1"/>
  <c r="BG253" i="1"/>
  <c r="BG1556" i="1"/>
  <c r="BL542" i="1"/>
  <c r="BG1116" i="1"/>
  <c r="BG1316" i="1"/>
  <c r="BG597" i="1"/>
  <c r="BG1694" i="1"/>
  <c r="BL659" i="1"/>
  <c r="BL1668" i="1"/>
  <c r="BL219" i="1"/>
  <c r="BL354" i="1"/>
  <c r="BL140" i="1"/>
  <c r="BG985" i="1"/>
  <c r="BG783" i="1"/>
  <c r="BL1456" i="1"/>
  <c r="BL221" i="1"/>
  <c r="BL843" i="1"/>
  <c r="BG945" i="1"/>
  <c r="BG1688" i="1"/>
  <c r="BL305" i="1"/>
  <c r="BL961" i="1"/>
  <c r="BG221" i="1"/>
  <c r="BL1525" i="1"/>
  <c r="BG659" i="1"/>
  <c r="BG843" i="1"/>
  <c r="BG1227" i="1"/>
  <c r="BG1324" i="1"/>
  <c r="BG488" i="1"/>
  <c r="BG1046" i="1"/>
  <c r="BG1287" i="1"/>
  <c r="BL1227" i="1"/>
  <c r="BL1567" i="1"/>
  <c r="BL1422" i="1"/>
  <c r="BL392" i="1"/>
  <c r="BL862" i="1"/>
  <c r="BL844" i="1"/>
  <c r="BL196" i="1"/>
  <c r="BL756" i="1"/>
  <c r="BL306" i="1"/>
  <c r="BL1676" i="1"/>
  <c r="BL906" i="1"/>
  <c r="BL154" i="1"/>
  <c r="BL806" i="1"/>
  <c r="BL1479" i="1"/>
  <c r="BL384" i="1"/>
  <c r="BL279" i="1"/>
  <c r="BL632" i="1"/>
  <c r="BL1396" i="1"/>
  <c r="BL139" i="1"/>
  <c r="BL163" i="1"/>
  <c r="BL1687" i="1"/>
  <c r="BL1450" i="1"/>
  <c r="BL1032" i="1"/>
  <c r="BG1050" i="1"/>
  <c r="BG1043" i="1"/>
  <c r="BG864" i="1"/>
  <c r="BG1495" i="1"/>
  <c r="BG1719" i="1"/>
  <c r="BG1269" i="1"/>
  <c r="BG238" i="1"/>
  <c r="BL1224" i="1"/>
  <c r="BG1190" i="1"/>
  <c r="BG243" i="1"/>
  <c r="BG1291" i="1"/>
  <c r="BG844" i="1"/>
  <c r="BL1034" i="1"/>
  <c r="BL1228" i="1"/>
  <c r="BL861" i="1"/>
  <c r="BL1386" i="1"/>
  <c r="BG201" i="1"/>
  <c r="BG1656" i="1"/>
  <c r="BG1223" i="1"/>
  <c r="BG1420" i="1"/>
  <c r="BG1419" i="1"/>
  <c r="BG1457" i="1"/>
  <c r="BG355" i="1"/>
  <c r="BL1694" i="1"/>
  <c r="BG1433" i="1"/>
  <c r="BG660" i="1"/>
  <c r="BG1286" i="1"/>
  <c r="BG200" i="1"/>
  <c r="BG1456" i="1"/>
  <c r="BG697" i="1"/>
  <c r="BL851" i="1"/>
  <c r="BL315" i="1"/>
  <c r="BL1457" i="1"/>
  <c r="BG154" i="1"/>
  <c r="BG841" i="1"/>
  <c r="BG237" i="1"/>
  <c r="BI524" i="1"/>
  <c r="BH524" i="1"/>
  <c r="BI1513" i="1"/>
  <c r="BH1513" i="1"/>
  <c r="BL223" i="1"/>
  <c r="BG281" i="1"/>
  <c r="BG367" i="1"/>
  <c r="BL237" i="1"/>
  <c r="BG906" i="1"/>
  <c r="BI1020" i="1"/>
  <c r="BH1020" i="1"/>
  <c r="BJ763" i="1"/>
  <c r="BI338" i="1"/>
  <c r="BH338" i="1"/>
  <c r="BI209" i="1"/>
  <c r="BH209" i="1"/>
  <c r="BI1018" i="1"/>
  <c r="BH1018" i="1"/>
  <c r="BI284" i="1"/>
  <c r="BH284" i="1"/>
  <c r="BJ1249" i="1"/>
  <c r="BH201" i="1"/>
  <c r="BI201" i="1"/>
  <c r="BI884" i="1"/>
  <c r="BH884" i="1"/>
  <c r="BJ1136" i="1"/>
  <c r="BI1256" i="1"/>
  <c r="BH1256" i="1"/>
  <c r="BI253" i="1"/>
  <c r="BH253" i="1"/>
  <c r="BI32" i="1"/>
  <c r="BH32" i="1"/>
  <c r="BI660" i="1"/>
  <c r="BH660" i="1"/>
  <c r="BH661" i="1"/>
  <c r="BI661" i="1"/>
  <c r="BI478" i="1"/>
  <c r="BH478" i="1"/>
  <c r="BI843" i="1"/>
  <c r="BH843" i="1"/>
  <c r="BJ1512" i="1"/>
  <c r="BI487" i="1"/>
  <c r="BH487" i="1"/>
  <c r="BI488" i="1"/>
  <c r="BH488" i="1"/>
  <c r="BJ6" i="1"/>
  <c r="BJ1008" i="1"/>
  <c r="BI1730" i="1"/>
  <c r="BH1730" i="1"/>
  <c r="BH374" i="1"/>
  <c r="BI374" i="1"/>
  <c r="BH52" i="1"/>
  <c r="BI52" i="1"/>
  <c r="BJ9" i="1"/>
  <c r="BJ1013" i="1"/>
  <c r="BK1013" i="1" s="1"/>
  <c r="BL1013" i="1" s="1"/>
  <c r="BI1013" i="1"/>
  <c r="BH1013" i="1"/>
  <c r="BI244" i="1"/>
  <c r="BH244" i="1"/>
  <c r="BJ980" i="1"/>
  <c r="BK980" i="1" s="1"/>
  <c r="BL980" i="1" s="1"/>
  <c r="BI980" i="1"/>
  <c r="BH980" i="1"/>
  <c r="BI1019" i="1"/>
  <c r="BH1019" i="1"/>
  <c r="BI1184" i="1"/>
  <c r="BH1184" i="1"/>
  <c r="BI355" i="1"/>
  <c r="BH355" i="1"/>
  <c r="BI667" i="1"/>
  <c r="BH667" i="1"/>
  <c r="BJ59" i="1"/>
  <c r="BK59" i="1" s="1"/>
  <c r="BL59" i="1" s="1"/>
  <c r="BI59" i="1"/>
  <c r="BH59" i="1"/>
  <c r="BI1115" i="1"/>
  <c r="BH1115" i="1"/>
  <c r="BI1021" i="1"/>
  <c r="BH1021" i="1"/>
  <c r="BI220" i="1"/>
  <c r="BH220" i="1"/>
  <c r="BI1719" i="1"/>
  <c r="BH1719" i="1"/>
  <c r="BH285" i="1"/>
  <c r="BI285" i="1"/>
  <c r="BI519" i="1"/>
  <c r="BH519" i="1"/>
  <c r="BI238" i="1"/>
  <c r="BH238" i="1"/>
  <c r="BJ201" i="1"/>
  <c r="BK201" i="1" s="1"/>
  <c r="BL201" i="1" s="1"/>
  <c r="BG554" i="1"/>
  <c r="BL1045" i="1"/>
  <c r="BG1677" i="1"/>
  <c r="BG1450" i="1"/>
  <c r="BL1652" i="1"/>
  <c r="BL1692" i="1"/>
  <c r="BL996" i="1"/>
  <c r="BG482" i="1"/>
  <c r="BG315" i="1"/>
  <c r="BG285" i="1"/>
  <c r="BL1405" i="1"/>
  <c r="BL1290" i="1"/>
  <c r="BG851" i="1"/>
  <c r="BG163" i="1"/>
  <c r="BG1404" i="1"/>
  <c r="BG1017" i="1"/>
  <c r="BL532" i="1"/>
  <c r="BL484" i="1"/>
  <c r="BJ1115" i="1"/>
  <c r="BK1115" i="1" s="1"/>
  <c r="BL1115" i="1" s="1"/>
  <c r="BL1535" i="1"/>
  <c r="BL1458" i="1"/>
  <c r="BG1018" i="1"/>
  <c r="BJ32" i="1"/>
  <c r="BK32" i="1" s="1"/>
  <c r="BL32" i="1" s="1"/>
  <c r="BG1514" i="1"/>
  <c r="BL633" i="1"/>
  <c r="BG994" i="1"/>
  <c r="BG188" i="1"/>
  <c r="BG354" i="1"/>
  <c r="BL1335" i="1"/>
  <c r="BG1654" i="1"/>
  <c r="BL454" i="1"/>
  <c r="BL1334" i="1"/>
  <c r="BL210" i="1"/>
  <c r="BG667" i="1"/>
  <c r="BG293" i="1"/>
  <c r="BL1038" i="1"/>
  <c r="BG1038" i="1"/>
  <c r="BG1039" i="1"/>
  <c r="BL1039" i="1"/>
  <c r="BG1052" i="1"/>
  <c r="BG1184" i="1"/>
  <c r="BL855" i="1"/>
  <c r="BL621" i="1"/>
  <c r="BG1653" i="1"/>
  <c r="BG1395" i="1"/>
  <c r="BL1285" i="1"/>
  <c r="BI1344" i="1"/>
  <c r="BH1344" i="1"/>
  <c r="BI1425" i="1"/>
  <c r="BH1425" i="1"/>
  <c r="BI518" i="1"/>
  <c r="BH518" i="1"/>
  <c r="BI35" i="1"/>
  <c r="BH35" i="1"/>
  <c r="BH282" i="1"/>
  <c r="BI282" i="1"/>
  <c r="BI1422" i="1"/>
  <c r="BH1422" i="1"/>
  <c r="BG35" i="1"/>
  <c r="BH455" i="1"/>
  <c r="BI455" i="1"/>
  <c r="BJ967" i="1"/>
  <c r="BI944" i="1"/>
  <c r="BH944" i="1"/>
  <c r="BI500" i="1"/>
  <c r="BH500" i="1"/>
  <c r="BJ60" i="1"/>
  <c r="BK60" i="1" s="1"/>
  <c r="BL60" i="1" s="1"/>
  <c r="BI60" i="1"/>
  <c r="BH60" i="1"/>
  <c r="BI1000" i="1"/>
  <c r="BH1000" i="1"/>
  <c r="BI218" i="1"/>
  <c r="BH218" i="1"/>
  <c r="BJ390" i="1"/>
  <c r="BJ14" i="1"/>
  <c r="BJ1441" i="1"/>
  <c r="BJ848" i="1"/>
  <c r="BH1404" i="1"/>
  <c r="BI1404" i="1"/>
  <c r="BI1317" i="1"/>
  <c r="BH1317" i="1"/>
  <c r="BJ206" i="1"/>
  <c r="BH1357" i="1"/>
  <c r="BI1357" i="1"/>
  <c r="BH31" i="1"/>
  <c r="BI31" i="1"/>
  <c r="BG373" i="1"/>
  <c r="BG483" i="1"/>
  <c r="BG1035" i="1"/>
  <c r="BG1555" i="1"/>
  <c r="BG634" i="1"/>
  <c r="BG218" i="1"/>
  <c r="BG806" i="1"/>
  <c r="BG555" i="1"/>
  <c r="BL281" i="1"/>
  <c r="BG946" i="1"/>
  <c r="BL1688" i="1"/>
  <c r="BG339" i="1"/>
  <c r="BJ1000" i="1"/>
  <c r="BK1000" i="1" s="1"/>
  <c r="BL1000" i="1" s="1"/>
  <c r="BJ488" i="1"/>
  <c r="BK488" i="1" s="1"/>
  <c r="BL488" i="1" s="1"/>
  <c r="BL1287" i="1"/>
  <c r="BL367" i="1"/>
  <c r="BL1464" i="1"/>
  <c r="BG862" i="1"/>
  <c r="BG523" i="1"/>
  <c r="BG518" i="1"/>
  <c r="BJ1021" i="1"/>
  <c r="BK1021" i="1" s="1"/>
  <c r="BL1021" i="1" s="1"/>
  <c r="BJ35" i="1"/>
  <c r="BK35" i="1" s="1"/>
  <c r="BL35" i="1" s="1"/>
  <c r="BJ661" i="1"/>
  <c r="BK661" i="1" s="1"/>
  <c r="BL661" i="1" s="1"/>
  <c r="BL1324" i="1"/>
  <c r="BL1046" i="1"/>
  <c r="BJ1012" i="1"/>
  <c r="BK1012" i="1" s="1"/>
  <c r="BL1012" i="1" s="1"/>
  <c r="BI1012" i="1"/>
  <c r="BH1012" i="1"/>
  <c r="BI1419" i="1"/>
  <c r="BH1419" i="1"/>
  <c r="BI316" i="1"/>
  <c r="BH316" i="1"/>
  <c r="BH373" i="1"/>
  <c r="BI373" i="1"/>
  <c r="BJ11" i="1"/>
  <c r="BJ1106" i="1"/>
  <c r="BK1106" i="1" s="1"/>
  <c r="BL1106" i="1" s="1"/>
  <c r="BI1106" i="1"/>
  <c r="BH1106" i="1"/>
  <c r="BJ3" i="1"/>
  <c r="BI281" i="1"/>
  <c r="BH281" i="1"/>
  <c r="BH864" i="1"/>
  <c r="BI864" i="1"/>
  <c r="BJ750" i="1"/>
  <c r="BI495" i="1"/>
  <c r="BH495" i="1"/>
  <c r="BJ966" i="1"/>
  <c r="BI1046" i="1"/>
  <c r="BH1046" i="1"/>
  <c r="BI1227" i="1"/>
  <c r="BH1227" i="1"/>
  <c r="BI1047" i="1"/>
  <c r="BH1047" i="1"/>
  <c r="BJ493" i="1"/>
  <c r="BJ13" i="1"/>
  <c r="BI337" i="1"/>
  <c r="BH337" i="1"/>
  <c r="BI1497" i="1"/>
  <c r="BH1497" i="1"/>
  <c r="BI634" i="1"/>
  <c r="BH634" i="1"/>
  <c r="BI37" i="1"/>
  <c r="BH37" i="1"/>
  <c r="BJ12" i="1"/>
  <c r="BI658" i="1"/>
  <c r="BH658" i="1"/>
  <c r="BI1183" i="1"/>
  <c r="BH1183" i="1"/>
  <c r="BI654" i="1"/>
  <c r="BH654" i="1"/>
  <c r="BI711" i="1"/>
  <c r="BH711" i="1"/>
  <c r="BI1228" i="1"/>
  <c r="BH1228" i="1"/>
  <c r="BI1729" i="1"/>
  <c r="BH1729" i="1"/>
  <c r="BI210" i="1"/>
  <c r="BH210" i="1"/>
  <c r="BH1246" i="1"/>
  <c r="BI1246" i="1"/>
  <c r="BI1387" i="1"/>
  <c r="BH1387" i="1"/>
  <c r="BH1543" i="1"/>
  <c r="BI1543" i="1"/>
  <c r="BI53" i="1"/>
  <c r="BH53" i="1"/>
  <c r="BI861" i="1"/>
  <c r="BH861" i="1"/>
  <c r="BI1386" i="1"/>
  <c r="BH1386" i="1"/>
  <c r="BJ474" i="1"/>
  <c r="BK474" i="1" s="1"/>
  <c r="BL474" i="1" s="1"/>
  <c r="BI474" i="1"/>
  <c r="BH474" i="1"/>
  <c r="BI1190" i="1"/>
  <c r="BH1190" i="1"/>
  <c r="BI1654" i="1"/>
  <c r="BH1654" i="1"/>
  <c r="BH1395" i="1"/>
  <c r="BI1395" i="1"/>
  <c r="BJ165" i="1"/>
  <c r="BI656" i="1"/>
  <c r="BH656" i="1"/>
  <c r="BI1556" i="1"/>
  <c r="BH1556" i="1"/>
  <c r="BJ979" i="1"/>
  <c r="BK979" i="1" s="1"/>
  <c r="BL979" i="1" s="1"/>
  <c r="BI979" i="1"/>
  <c r="BH979" i="1"/>
  <c r="BI482" i="1"/>
  <c r="BH482" i="1"/>
  <c r="BI293" i="1"/>
  <c r="BH293" i="1"/>
  <c r="BH110" i="1"/>
  <c r="BI110" i="1"/>
  <c r="BI1514" i="1"/>
  <c r="BH1514" i="1"/>
  <c r="BJ7" i="1"/>
  <c r="BI222" i="1"/>
  <c r="BH222" i="1"/>
  <c r="BI1498" i="1"/>
  <c r="BH1498" i="1"/>
  <c r="BI1451" i="1"/>
  <c r="BH1451" i="1"/>
  <c r="BI805" i="1"/>
  <c r="BH805" i="1"/>
  <c r="BI237" i="1"/>
  <c r="BH237" i="1"/>
  <c r="BI454" i="1"/>
  <c r="BH454" i="1"/>
  <c r="BJ1141" i="1"/>
  <c r="BJ969" i="1"/>
  <c r="BK969" i="1" s="1"/>
  <c r="BL969" i="1" s="1"/>
  <c r="BI969" i="1"/>
  <c r="BH969" i="1"/>
  <c r="BH280" i="1"/>
  <c r="BI280" i="1"/>
  <c r="BJ1309" i="1"/>
  <c r="BI953" i="1"/>
  <c r="BH953" i="1"/>
  <c r="BH1653" i="1"/>
  <c r="BI1653" i="1"/>
  <c r="BJ15" i="1"/>
  <c r="BI1263" i="1"/>
  <c r="BH1263" i="1"/>
  <c r="BI1464" i="1"/>
  <c r="BH1464" i="1"/>
  <c r="BJ8" i="1"/>
  <c r="BI1265" i="1"/>
  <c r="BH1265" i="1"/>
  <c r="BJ1250" i="1"/>
  <c r="BI1251" i="1"/>
  <c r="BH1251" i="1"/>
  <c r="BI1287" i="1"/>
  <c r="BH1287" i="1"/>
  <c r="BI945" i="1"/>
  <c r="BH945" i="1"/>
  <c r="BI393" i="1"/>
  <c r="BH393" i="1"/>
  <c r="BJ1411" i="1"/>
  <c r="BK1411" i="1" s="1"/>
  <c r="BL1411" i="1" s="1"/>
  <c r="BH1411" i="1"/>
  <c r="BI1411" i="1"/>
  <c r="BI778" i="1"/>
  <c r="BH778" i="1"/>
  <c r="BJ1081" i="1"/>
  <c r="BI479" i="1"/>
  <c r="BH479" i="1"/>
  <c r="BI1688" i="1"/>
  <c r="BH1688" i="1"/>
  <c r="BI1692" i="1"/>
  <c r="BH1692" i="1"/>
  <c r="BJ473" i="1"/>
  <c r="BK473" i="1" s="1"/>
  <c r="BL473" i="1" s="1"/>
  <c r="BI473" i="1"/>
  <c r="BH473" i="1"/>
  <c r="BJ166" i="1"/>
  <c r="BJ4" i="1"/>
  <c r="BH521" i="1"/>
  <c r="BI521" i="1"/>
  <c r="BI311" i="1"/>
  <c r="BH311" i="1"/>
  <c r="BI294" i="1"/>
  <c r="BH294" i="1"/>
  <c r="BI659" i="1"/>
  <c r="BH659" i="1"/>
  <c r="BI142" i="1"/>
  <c r="BH142" i="1"/>
  <c r="BH631" i="1"/>
  <c r="BI631" i="1"/>
  <c r="BI1542" i="1"/>
  <c r="BH1542" i="1"/>
  <c r="BI1420" i="1"/>
  <c r="BH1420" i="1"/>
  <c r="BI1109" i="1"/>
  <c r="BH1109" i="1"/>
  <c r="BH946" i="1"/>
  <c r="BI946" i="1"/>
  <c r="BJ1160" i="1"/>
  <c r="BI1667" i="1"/>
  <c r="BH1667" i="1"/>
  <c r="BJ1140" i="1"/>
  <c r="BI109" i="1"/>
  <c r="BH109" i="1"/>
  <c r="BG631" i="1"/>
  <c r="BG1266" i="1"/>
  <c r="BG622" i="1"/>
  <c r="BG1676" i="1"/>
  <c r="BG500" i="1"/>
  <c r="BG1687" i="1"/>
  <c r="BL554" i="1"/>
  <c r="BG139" i="1"/>
  <c r="BG1051" i="1"/>
  <c r="BL1677" i="1"/>
  <c r="BG712" i="1"/>
  <c r="BG155" i="1"/>
  <c r="BG656" i="1"/>
  <c r="BG217" i="1"/>
  <c r="BG196" i="1"/>
  <c r="BG197" i="1"/>
  <c r="BG386" i="1"/>
  <c r="BJ1420" i="1"/>
  <c r="BK1420" i="1" s="1"/>
  <c r="BL1420" i="1" s="1"/>
  <c r="BG943" i="1"/>
  <c r="BL597" i="1"/>
  <c r="BG209" i="1"/>
  <c r="BG110" i="1"/>
  <c r="BJ482" i="1"/>
  <c r="BK482" i="1" s="1"/>
  <c r="BL482" i="1" s="1"/>
  <c r="BG655" i="1"/>
  <c r="BG676" i="1"/>
  <c r="BJ253" i="1"/>
  <c r="BK253" i="1" s="1"/>
  <c r="BL253" i="1" s="1"/>
  <c r="BJ285" i="1"/>
  <c r="BK285" i="1" s="1"/>
  <c r="BL285" i="1" s="1"/>
  <c r="BG1424" i="1"/>
  <c r="BG1182" i="1"/>
  <c r="BJ355" i="1"/>
  <c r="BK355" i="1" s="1"/>
  <c r="BL355" i="1" s="1"/>
  <c r="BJ1556" i="1"/>
  <c r="BK1556" i="1" s="1"/>
  <c r="BL1556" i="1" s="1"/>
  <c r="BG1644" i="1"/>
  <c r="BG1431" i="1"/>
  <c r="BL1495" i="1"/>
  <c r="BJ1404" i="1"/>
  <c r="BK1404" i="1" s="1"/>
  <c r="BL1404" i="1" s="1"/>
  <c r="BG384" i="1"/>
  <c r="BG216" i="1"/>
  <c r="BG1678" i="1"/>
  <c r="BL1433" i="1"/>
  <c r="BG1110" i="1"/>
  <c r="BL1269" i="1"/>
  <c r="BG654" i="1"/>
  <c r="BJ660" i="1"/>
  <c r="BK660" i="1" s="1"/>
  <c r="BL660" i="1" s="1"/>
  <c r="BJ1018" i="1"/>
  <c r="BK1018" i="1" s="1"/>
  <c r="BL1018" i="1" s="1"/>
  <c r="BG521" i="1"/>
  <c r="BJ1514" i="1"/>
  <c r="BK1514" i="1" s="1"/>
  <c r="BL1514" i="1" s="1"/>
  <c r="BJ1109" i="1"/>
  <c r="BK1109" i="1" s="1"/>
  <c r="BL1109" i="1" s="1"/>
  <c r="BL994" i="1"/>
  <c r="BL188" i="1"/>
  <c r="BG338" i="1"/>
  <c r="BG392" i="1"/>
  <c r="BJ1654" i="1"/>
  <c r="BK1654" i="1" s="1"/>
  <c r="BL1654" i="1" s="1"/>
  <c r="BG37" i="1"/>
  <c r="BG1460" i="1"/>
  <c r="BG141" i="1"/>
  <c r="BG1005" i="1"/>
  <c r="BG1498" i="1"/>
  <c r="BJ238" i="1"/>
  <c r="BK238" i="1" s="1"/>
  <c r="BL238" i="1" s="1"/>
  <c r="BJ667" i="1"/>
  <c r="BK667" i="1" s="1"/>
  <c r="BL667" i="1" s="1"/>
  <c r="BJ293" i="1"/>
  <c r="BK293" i="1" s="1"/>
  <c r="BL293" i="1" s="1"/>
  <c r="BG1675" i="1"/>
  <c r="BG1513" i="1"/>
  <c r="BG1497" i="1"/>
  <c r="BG280" i="1"/>
  <c r="BG478" i="1"/>
  <c r="BL1052" i="1"/>
  <c r="BG883" i="1"/>
  <c r="BG306" i="1"/>
  <c r="BG259" i="1"/>
  <c r="BJ1184" i="1"/>
  <c r="BK1184" i="1" s="1"/>
  <c r="BL1184" i="1" s="1"/>
  <c r="BG1481" i="1"/>
  <c r="BG1384" i="1"/>
  <c r="BJ1653" i="1"/>
  <c r="BK1653" i="1" s="1"/>
  <c r="BL1653" i="1" s="1"/>
  <c r="BL1526" i="1"/>
  <c r="BG674" i="1"/>
  <c r="BJ1395" i="1"/>
  <c r="BK1395" i="1" s="1"/>
  <c r="BL1395" i="1" s="1"/>
  <c r="BG487" i="1"/>
  <c r="BG757" i="1"/>
  <c r="BL1291" i="1"/>
  <c r="BG1252" i="1"/>
  <c r="BG279" i="1"/>
  <c r="BL1387" i="1"/>
  <c r="BL109" i="1"/>
  <c r="BH339" i="1"/>
  <c r="BI339" i="1"/>
  <c r="BL841" i="1"/>
  <c r="BG1396" i="1"/>
  <c r="BI635" i="1"/>
  <c r="BH635" i="1"/>
  <c r="BH254" i="1"/>
  <c r="BI254" i="1"/>
  <c r="BI927" i="1"/>
  <c r="BH927" i="1"/>
  <c r="BI305" i="1"/>
  <c r="BH305" i="1"/>
  <c r="BI522" i="1"/>
  <c r="BH522" i="1"/>
  <c r="BJ1455" i="1"/>
  <c r="BI985" i="1"/>
  <c r="BH985" i="1"/>
  <c r="BI1481" i="1"/>
  <c r="BH1481" i="1"/>
  <c r="BH1718" i="1"/>
  <c r="BI1718" i="1"/>
  <c r="BH523" i="1"/>
  <c r="BI523" i="1"/>
  <c r="BH1465" i="1"/>
  <c r="BI1465" i="1"/>
  <c r="BH1316" i="1"/>
  <c r="BI1316" i="1"/>
  <c r="BI1110" i="1"/>
  <c r="BH1110" i="1"/>
  <c r="BJ1014" i="1"/>
  <c r="BK1014" i="1" s="1"/>
  <c r="BL1014" i="1" s="1"/>
  <c r="BI1014" i="1"/>
  <c r="BH1014" i="1"/>
  <c r="BI1691" i="1"/>
  <c r="BH1691" i="1"/>
  <c r="BJ735" i="1"/>
  <c r="BK735" i="1" s="1"/>
  <c r="BL735" i="1" s="1"/>
  <c r="BI735" i="1"/>
  <c r="BH735" i="1"/>
  <c r="BI223" i="1"/>
  <c r="BH223" i="1"/>
  <c r="BI1116" i="1"/>
  <c r="BH1116" i="1"/>
  <c r="BI1017" i="1"/>
  <c r="BH1017" i="1"/>
  <c r="BG1235" i="1"/>
  <c r="BL373" i="1"/>
  <c r="BL483" i="1"/>
  <c r="BL1035" i="1"/>
  <c r="BL1555" i="1"/>
  <c r="BL634" i="1"/>
  <c r="BJ944" i="1"/>
  <c r="BK944" i="1" s="1"/>
  <c r="BL944" i="1" s="1"/>
  <c r="BJ218" i="1"/>
  <c r="BK218" i="1" s="1"/>
  <c r="BL218" i="1" s="1"/>
  <c r="BG1387" i="1"/>
  <c r="BL555" i="1"/>
  <c r="BG1525" i="1"/>
  <c r="BL946" i="1"/>
  <c r="BG109" i="1"/>
  <c r="BJ339" i="1"/>
  <c r="BK339" i="1" s="1"/>
  <c r="BL339" i="1" s="1"/>
  <c r="BG36" i="1"/>
  <c r="BJ1730" i="1"/>
  <c r="BK1730" i="1" s="1"/>
  <c r="BL1730" i="1" s="1"/>
  <c r="BJ1425" i="1"/>
  <c r="BK1425" i="1" s="1"/>
  <c r="BL1425" i="1" s="1"/>
  <c r="BG305" i="1"/>
  <c r="BG1412" i="1"/>
  <c r="BG1668" i="1"/>
  <c r="BJ523" i="1"/>
  <c r="BK523" i="1" s="1"/>
  <c r="BL523" i="1" s="1"/>
  <c r="BG219" i="1"/>
  <c r="BJ244" i="1"/>
  <c r="BK244" i="1" s="1"/>
  <c r="BL244" i="1" s="1"/>
  <c r="BJ518" i="1"/>
  <c r="BK518" i="1" s="1"/>
  <c r="BL518" i="1" s="1"/>
  <c r="BG387" i="1"/>
  <c r="BG321" i="1"/>
  <c r="BG1323" i="1"/>
  <c r="BG1567" i="1"/>
  <c r="BI1655" i="1"/>
  <c r="BH1655" i="1"/>
  <c r="BI320" i="1"/>
  <c r="BH320" i="1"/>
  <c r="BI883" i="1"/>
  <c r="BH883" i="1"/>
  <c r="BH1182" i="1"/>
  <c r="BI1182" i="1"/>
  <c r="BI483" i="1"/>
  <c r="BH483" i="1"/>
  <c r="BI1480" i="1"/>
  <c r="BH1480" i="1"/>
  <c r="BJ1705" i="1"/>
  <c r="BI1252" i="1"/>
  <c r="BH1252" i="1"/>
  <c r="BI1234" i="1"/>
  <c r="BH1234" i="1"/>
  <c r="BI219" i="1"/>
  <c r="BH219" i="1"/>
  <c r="BJ736" i="1"/>
  <c r="BK736" i="1" s="1"/>
  <c r="BL736" i="1" s="1"/>
  <c r="BI736" i="1"/>
  <c r="BH736" i="1"/>
  <c r="BI217" i="1"/>
  <c r="BH217" i="1"/>
  <c r="BI1189" i="1"/>
  <c r="BH1189" i="1"/>
  <c r="BJ1410" i="1"/>
  <c r="BK1410" i="1" s="1"/>
  <c r="BL1410" i="1" s="1"/>
  <c r="BI1410" i="1"/>
  <c r="BH1410" i="1"/>
  <c r="BJ391" i="1"/>
  <c r="BI788" i="1"/>
  <c r="BH788" i="1"/>
  <c r="BI366" i="1"/>
  <c r="BH366" i="1"/>
  <c r="BI1255" i="1"/>
  <c r="BH1255" i="1"/>
  <c r="BI312" i="1"/>
  <c r="BH312" i="1"/>
  <c r="BJ10" i="1"/>
  <c r="BI1266" i="1"/>
  <c r="BH1266" i="1"/>
  <c r="BI164" i="1"/>
  <c r="BH164" i="1"/>
  <c r="BI1652" i="1"/>
  <c r="BH1652" i="1"/>
  <c r="BI668" i="1"/>
  <c r="BH668" i="1"/>
  <c r="BI1656" i="1"/>
  <c r="BH1656" i="1"/>
  <c r="BI1675" i="1"/>
  <c r="BH1675" i="1"/>
  <c r="BI784" i="1"/>
  <c r="BH784" i="1"/>
  <c r="BI260" i="1"/>
  <c r="BH260" i="1"/>
  <c r="BJ1054" i="1"/>
  <c r="BK1054" i="1" s="1"/>
  <c r="BL1054" i="1" s="1"/>
  <c r="BI1054" i="1"/>
  <c r="BH1054" i="1"/>
  <c r="BI354" i="1"/>
  <c r="BH354" i="1"/>
  <c r="BI1405" i="1"/>
  <c r="BH1405" i="1"/>
  <c r="BI1424" i="1"/>
  <c r="BH1424" i="1"/>
  <c r="BJ847" i="1"/>
  <c r="BI841" i="1"/>
  <c r="BH841" i="1"/>
  <c r="BH757" i="1"/>
  <c r="BI757" i="1"/>
  <c r="BI1286" i="1"/>
  <c r="BH1286" i="1"/>
  <c r="BJ1135" i="1"/>
  <c r="BI942" i="1"/>
  <c r="BH942" i="1"/>
  <c r="BI863" i="1"/>
  <c r="BH863" i="1"/>
  <c r="BI1555" i="1"/>
  <c r="BH1555" i="1"/>
  <c r="BI1285" i="1"/>
  <c r="BH1285" i="1"/>
  <c r="BI856" i="1"/>
  <c r="BH856" i="1"/>
  <c r="BI140" i="1"/>
  <c r="BH140" i="1"/>
  <c r="BI1005" i="1"/>
  <c r="BH1005" i="1"/>
  <c r="BJ1055" i="1"/>
  <c r="BK1055" i="1" s="1"/>
  <c r="BL1055" i="1" s="1"/>
  <c r="BI1055" i="1"/>
  <c r="BH1055" i="1"/>
  <c r="BI197" i="1"/>
  <c r="BH197" i="1"/>
  <c r="BJ968" i="1"/>
  <c r="BK968" i="1" s="1"/>
  <c r="BL968" i="1" s="1"/>
  <c r="BI968" i="1"/>
  <c r="BH968" i="1"/>
  <c r="BI655" i="1"/>
  <c r="BH655" i="1"/>
  <c r="BI1045" i="1"/>
  <c r="BH1045" i="1"/>
  <c r="BI36" i="1"/>
  <c r="BH36" i="1"/>
  <c r="BI943" i="1"/>
  <c r="BH943" i="1"/>
  <c r="BI259" i="1"/>
  <c r="BH259" i="1"/>
  <c r="BH1191" i="1"/>
  <c r="BI1191" i="1"/>
  <c r="BH928" i="1"/>
  <c r="BI928" i="1"/>
  <c r="BI954" i="1"/>
  <c r="BH954" i="1"/>
  <c r="BI155" i="1"/>
  <c r="BH155" i="1"/>
  <c r="BI777" i="1"/>
  <c r="BH777" i="1"/>
  <c r="BJ1007" i="1"/>
  <c r="BI984" i="1"/>
  <c r="BH984" i="1"/>
  <c r="BI1452" i="1"/>
  <c r="BH1452" i="1"/>
  <c r="BI696" i="1"/>
  <c r="BH696" i="1"/>
  <c r="BI1460" i="1"/>
  <c r="BH1460" i="1"/>
  <c r="BI243" i="1"/>
  <c r="BH243" i="1"/>
  <c r="BH1668" i="1"/>
  <c r="BI1668" i="1"/>
  <c r="BJ1442" i="1"/>
  <c r="BI961" i="1"/>
  <c r="BH961" i="1"/>
  <c r="BI852" i="1"/>
  <c r="BH852" i="1"/>
  <c r="BJ1454" i="1"/>
  <c r="BI484" i="1"/>
  <c r="BH484" i="1"/>
  <c r="BJ1453" i="1"/>
  <c r="BI367" i="1"/>
  <c r="BH367" i="1"/>
  <c r="BI851" i="1"/>
  <c r="BH851" i="1"/>
  <c r="BI315" i="1"/>
  <c r="BH315" i="1"/>
  <c r="BI855" i="1"/>
  <c r="BH855" i="1"/>
  <c r="BH216" i="1"/>
  <c r="BI216" i="1"/>
  <c r="BI633" i="1"/>
  <c r="BH633" i="1"/>
  <c r="BI386" i="1"/>
  <c r="BH386" i="1"/>
  <c r="BJ1510" i="1"/>
  <c r="BI340" i="1"/>
  <c r="BH340" i="1"/>
  <c r="BJ631" i="1"/>
  <c r="BK631" i="1" s="1"/>
  <c r="BL631" i="1" s="1"/>
  <c r="BJ1266" i="1"/>
  <c r="BK1266" i="1" s="1"/>
  <c r="BL1266" i="1" s="1"/>
  <c r="BL622" i="1"/>
  <c r="BJ500" i="1"/>
  <c r="BK500" i="1" s="1"/>
  <c r="BL500" i="1" s="1"/>
  <c r="BL1051" i="1"/>
  <c r="BG961" i="1"/>
  <c r="BJ155" i="1"/>
  <c r="BK155" i="1" s="1"/>
  <c r="BL155" i="1" s="1"/>
  <c r="BJ656" i="1"/>
  <c r="BK656" i="1" s="1"/>
  <c r="BL656" i="1" s="1"/>
  <c r="BJ217" i="1"/>
  <c r="BK217" i="1" s="1"/>
  <c r="BL217" i="1" s="1"/>
  <c r="BJ197" i="1"/>
  <c r="BK197" i="1" s="1"/>
  <c r="BL197" i="1" s="1"/>
  <c r="BJ386" i="1"/>
  <c r="BK386" i="1" s="1"/>
  <c r="BL386" i="1" s="1"/>
  <c r="BG1264" i="1"/>
  <c r="BG863" i="1"/>
  <c r="BJ943" i="1"/>
  <c r="BK943" i="1" s="1"/>
  <c r="BL943" i="1" s="1"/>
  <c r="BJ209" i="1"/>
  <c r="BK209" i="1" s="1"/>
  <c r="BL209" i="1" s="1"/>
  <c r="BJ110" i="1"/>
  <c r="BK110" i="1" s="1"/>
  <c r="BL110" i="1" s="1"/>
  <c r="BG1288" i="1"/>
  <c r="BJ655" i="1"/>
  <c r="BK655" i="1" s="1"/>
  <c r="BL655" i="1" s="1"/>
  <c r="BL676" i="1"/>
  <c r="BG260" i="1"/>
  <c r="BG455" i="1"/>
  <c r="BG524" i="1"/>
  <c r="BJ1424" i="1"/>
  <c r="BK1424" i="1" s="1"/>
  <c r="BL1424" i="1" s="1"/>
  <c r="BG374" i="1"/>
  <c r="BJ52" i="1"/>
  <c r="BK52" i="1" s="1"/>
  <c r="BL52" i="1" s="1"/>
  <c r="BJ1182" i="1"/>
  <c r="BK1182" i="1" s="1"/>
  <c r="BL1182" i="1" s="1"/>
  <c r="BG1465" i="1"/>
  <c r="BL1644" i="1"/>
  <c r="BG1034" i="1"/>
  <c r="BL1431" i="1"/>
  <c r="BG1691" i="1"/>
  <c r="BJ216" i="1"/>
  <c r="BK216" i="1" s="1"/>
  <c r="BL216" i="1" s="1"/>
  <c r="BJ1719" i="1"/>
  <c r="BK1719" i="1" s="1"/>
  <c r="BL1719" i="1" s="1"/>
  <c r="BL1678" i="1"/>
  <c r="BJ1110" i="1"/>
  <c r="BK1110" i="1" s="1"/>
  <c r="BL1110" i="1" s="1"/>
  <c r="BG1344" i="1"/>
  <c r="BG1183" i="1"/>
  <c r="BG312" i="1"/>
  <c r="BG337" i="1"/>
  <c r="BJ654" i="1"/>
  <c r="BK654" i="1" s="1"/>
  <c r="BL654" i="1" s="1"/>
  <c r="BG282" i="1"/>
  <c r="BJ521" i="1"/>
  <c r="BK521" i="1" s="1"/>
  <c r="BL521" i="1" s="1"/>
  <c r="BG1268" i="1"/>
  <c r="BG311" i="1"/>
  <c r="BG962" i="1"/>
  <c r="BG1263" i="1"/>
  <c r="BG1247" i="1"/>
  <c r="BJ338" i="1"/>
  <c r="BK338" i="1" s="1"/>
  <c r="BL338" i="1" s="1"/>
  <c r="BG1423" i="1"/>
  <c r="BJ37" i="1"/>
  <c r="BK37" i="1" s="1"/>
  <c r="BL37" i="1" s="1"/>
  <c r="BJ1460" i="1"/>
  <c r="BK1460" i="1" s="1"/>
  <c r="BL1460" i="1" s="1"/>
  <c r="BJ1005" i="1"/>
  <c r="BK1005" i="1" s="1"/>
  <c r="BL1005" i="1" s="1"/>
  <c r="BJ1498" i="1"/>
  <c r="BK1498" i="1" s="1"/>
  <c r="BL1498" i="1" s="1"/>
  <c r="BJ479" i="1"/>
  <c r="BK479" i="1" s="1"/>
  <c r="BL479" i="1" s="1"/>
  <c r="BG1385" i="1"/>
  <c r="BG1246" i="1"/>
  <c r="BJ1675" i="1"/>
  <c r="BK1675" i="1" s="1"/>
  <c r="BL1675" i="1" s="1"/>
  <c r="BJ1513" i="1"/>
  <c r="BK1513" i="1" s="1"/>
  <c r="BL1513" i="1" s="1"/>
  <c r="BJ1497" i="1"/>
  <c r="BK1497" i="1" s="1"/>
  <c r="BL1497" i="1" s="1"/>
  <c r="BG1006" i="1"/>
  <c r="BG1222" i="1"/>
  <c r="BG884" i="1"/>
  <c r="BJ280" i="1"/>
  <c r="BK280" i="1" s="1"/>
  <c r="BL280" i="1" s="1"/>
  <c r="BJ478" i="1"/>
  <c r="BK478" i="1" s="1"/>
  <c r="BL478" i="1" s="1"/>
  <c r="BG1718" i="1"/>
  <c r="BG1265" i="1"/>
  <c r="BJ883" i="1"/>
  <c r="BK883" i="1" s="1"/>
  <c r="BL883" i="1" s="1"/>
  <c r="BG220" i="1"/>
  <c r="BJ259" i="1"/>
  <c r="BK259" i="1" s="1"/>
  <c r="BL259" i="1" s="1"/>
  <c r="BJ1481" i="1"/>
  <c r="BK1481" i="1" s="1"/>
  <c r="BL1481" i="1" s="1"/>
  <c r="BG1189" i="1"/>
  <c r="BG294" i="1"/>
  <c r="BL1384" i="1"/>
  <c r="BG522" i="1"/>
  <c r="BG658" i="1"/>
  <c r="BG33" i="1"/>
  <c r="BL674" i="1"/>
  <c r="BG1322" i="1"/>
  <c r="BG928" i="1"/>
  <c r="BG1256" i="1"/>
  <c r="BJ487" i="1"/>
  <c r="BK487" i="1" s="1"/>
  <c r="BL487" i="1" s="1"/>
  <c r="BG1191" i="1"/>
  <c r="BJ757" i="1"/>
  <c r="BK757" i="1" s="1"/>
  <c r="BL757" i="1" s="1"/>
  <c r="BG222" i="1"/>
  <c r="BG385" i="1"/>
  <c r="BJ1252" i="1"/>
  <c r="BK1252" i="1" s="1"/>
  <c r="BL1252" i="1" s="1"/>
  <c r="BJ2" i="1"/>
  <c r="BG1040" i="1"/>
  <c r="BL1040" i="1"/>
  <c r="BI1358" i="1"/>
  <c r="BH1358" i="1"/>
  <c r="BI999" i="1"/>
  <c r="BH999" i="1"/>
  <c r="BH789" i="1"/>
  <c r="BI789" i="1"/>
  <c r="BI141" i="1"/>
  <c r="BH141" i="1"/>
  <c r="BJ1706" i="1"/>
  <c r="BJ764" i="1"/>
  <c r="BI1192" i="1"/>
  <c r="BH1192" i="1"/>
  <c r="BJ737" i="1"/>
  <c r="BK737" i="1" s="1"/>
  <c r="BL737" i="1" s="1"/>
  <c r="BI737" i="1"/>
  <c r="BH737" i="1"/>
  <c r="BI392" i="1"/>
  <c r="BH392" i="1"/>
  <c r="BI862" i="1"/>
  <c r="BH862" i="1"/>
  <c r="BJ1440" i="1"/>
  <c r="BI321" i="1"/>
  <c r="BH321" i="1"/>
  <c r="BI783" i="1"/>
  <c r="BH783" i="1"/>
  <c r="BI34" i="1"/>
  <c r="BH34" i="1"/>
  <c r="BI1412" i="1"/>
  <c r="BH1412" i="1"/>
  <c r="BI712" i="1"/>
  <c r="BH712" i="1"/>
  <c r="BJ5" i="1"/>
  <c r="BI1423" i="1"/>
  <c r="BH1423" i="1"/>
  <c r="BI1264" i="1"/>
  <c r="BH1264" i="1"/>
  <c r="BI387" i="1"/>
  <c r="BH387" i="1"/>
  <c r="BH1343" i="1"/>
  <c r="BI1343" i="1"/>
  <c r="BI844" i="1"/>
  <c r="BH844" i="1"/>
  <c r="BH496" i="1"/>
  <c r="BI496" i="1"/>
  <c r="BI196" i="1"/>
  <c r="BH196" i="1"/>
  <c r="BI756" i="1"/>
  <c r="BH756" i="1"/>
  <c r="BI306" i="1"/>
  <c r="BH306" i="1"/>
  <c r="BI200" i="1"/>
  <c r="BH200" i="1"/>
  <c r="BI1676" i="1"/>
  <c r="BH1676" i="1"/>
  <c r="BH906" i="1"/>
  <c r="BI906" i="1"/>
  <c r="BI1247" i="1"/>
  <c r="BH1247" i="1"/>
  <c r="BJ1139" i="1"/>
  <c r="BI154" i="1"/>
  <c r="BH154" i="1"/>
  <c r="BI1044" i="1"/>
  <c r="BH1044" i="1"/>
  <c r="BJ148" i="1"/>
  <c r="BJ1107" i="1"/>
  <c r="BK1107" i="1" s="1"/>
  <c r="BL1107" i="1" s="1"/>
  <c r="BI1107" i="1"/>
  <c r="BH1107" i="1"/>
  <c r="BH662" i="1"/>
  <c r="BI662" i="1"/>
  <c r="BI806" i="1"/>
  <c r="BH806" i="1"/>
  <c r="BJ207" i="1"/>
  <c r="BJ61" i="1"/>
  <c r="BK61" i="1" s="1"/>
  <c r="BL61" i="1" s="1"/>
  <c r="BI61" i="1"/>
  <c r="BH61" i="1"/>
  <c r="BJ1082" i="1"/>
  <c r="BI1254" i="1"/>
  <c r="BH1254" i="1"/>
  <c r="BI1479" i="1"/>
  <c r="BH1479" i="1"/>
  <c r="BI384" i="1"/>
  <c r="BH384" i="1"/>
  <c r="BI279" i="1"/>
  <c r="BH279" i="1"/>
  <c r="BI33" i="1"/>
  <c r="BH33" i="1"/>
  <c r="BH385" i="1"/>
  <c r="BI385" i="1"/>
  <c r="BJ1053" i="1"/>
  <c r="BK1053" i="1" s="1"/>
  <c r="BL1053" i="1" s="1"/>
  <c r="BI1053" i="1"/>
  <c r="BH1053" i="1"/>
  <c r="BI1257" i="1"/>
  <c r="BH1257" i="1"/>
  <c r="BI499" i="1"/>
  <c r="BH499" i="1"/>
  <c r="BI632" i="1"/>
  <c r="BH632" i="1"/>
  <c r="BI1396" i="1"/>
  <c r="BH1396" i="1"/>
  <c r="BI962" i="1"/>
  <c r="BH962" i="1"/>
  <c r="BJ751" i="1"/>
  <c r="BJ1511" i="1"/>
  <c r="BI139" i="1"/>
  <c r="BH139" i="1"/>
  <c r="BI1006" i="1"/>
  <c r="BH1006" i="1"/>
  <c r="BI657" i="1"/>
  <c r="BH657" i="1"/>
  <c r="BI697" i="1"/>
  <c r="BH697" i="1"/>
  <c r="BI221" i="1"/>
  <c r="BH221" i="1"/>
  <c r="BJ149" i="1"/>
  <c r="BJ472" i="1"/>
  <c r="BK472" i="1" s="1"/>
  <c r="BL472" i="1" s="1"/>
  <c r="BI472" i="1"/>
  <c r="BH472" i="1"/>
  <c r="BJ1310" i="1"/>
  <c r="BJ1159" i="1"/>
  <c r="BI1235" i="1"/>
  <c r="BH1235" i="1"/>
  <c r="BI163" i="1"/>
  <c r="BH163" i="1"/>
  <c r="BI1043" i="1"/>
  <c r="BH1043" i="1"/>
  <c r="BH1687" i="1"/>
  <c r="BI1687" i="1"/>
  <c r="BH1450" i="1"/>
  <c r="BI1450" i="1"/>
  <c r="BI713" i="1"/>
  <c r="BH713" i="1"/>
  <c r="BG1045" i="1"/>
  <c r="BG1652" i="1"/>
  <c r="BJ1264" i="1"/>
  <c r="BK1264" i="1" s="1"/>
  <c r="BL1264" i="1" s="1"/>
  <c r="BG1692" i="1"/>
  <c r="BL863" i="1"/>
  <c r="BG996" i="1"/>
  <c r="BL1288" i="1"/>
  <c r="BL260" i="1"/>
  <c r="BJ455" i="1"/>
  <c r="BK455" i="1" s="1"/>
  <c r="BL455" i="1" s="1"/>
  <c r="BJ524" i="1"/>
  <c r="BK524" i="1" s="1"/>
  <c r="BL524" i="1" s="1"/>
  <c r="BG1405" i="1"/>
  <c r="BG1357" i="1"/>
  <c r="BJ374" i="1"/>
  <c r="BK374" i="1" s="1"/>
  <c r="BL374" i="1" s="1"/>
  <c r="BJ1043" i="1"/>
  <c r="BK1043" i="1" s="1"/>
  <c r="BL1043" i="1" s="1"/>
  <c r="BG1290" i="1"/>
  <c r="BJ1465" i="1"/>
  <c r="BK1465" i="1" s="1"/>
  <c r="BL1465" i="1" s="1"/>
  <c r="BJ1691" i="1"/>
  <c r="BK1691" i="1" s="1"/>
  <c r="BL1691" i="1" s="1"/>
  <c r="BG532" i="1"/>
  <c r="BG484" i="1"/>
  <c r="BG635" i="1"/>
  <c r="BG1115" i="1"/>
  <c r="BG1535" i="1"/>
  <c r="BJ1344" i="1"/>
  <c r="BK1344" i="1" s="1"/>
  <c r="BL1344" i="1" s="1"/>
  <c r="BL1183" i="1"/>
  <c r="BL312" i="1"/>
  <c r="BL337" i="1"/>
  <c r="BG1458" i="1"/>
  <c r="BG32" i="1"/>
  <c r="BJ282" i="1"/>
  <c r="BK282" i="1" s="1"/>
  <c r="BL282" i="1" s="1"/>
  <c r="BL1268" i="1"/>
  <c r="BL311" i="1"/>
  <c r="BG633" i="1"/>
  <c r="BJ962" i="1"/>
  <c r="BK962" i="1" s="1"/>
  <c r="BL962" i="1" s="1"/>
  <c r="BG713" i="1"/>
  <c r="BL1263" i="1"/>
  <c r="BJ1247" i="1"/>
  <c r="BK1247" i="1" s="1"/>
  <c r="BL1247" i="1" s="1"/>
  <c r="BG1335" i="1"/>
  <c r="BJ1423" i="1"/>
  <c r="BK1423" i="1" s="1"/>
  <c r="BL1423" i="1" s="1"/>
  <c r="BG454" i="1"/>
  <c r="BG1334" i="1"/>
  <c r="BG1422" i="1"/>
  <c r="BG210" i="1"/>
  <c r="BL1385" i="1"/>
  <c r="BL1246" i="1"/>
  <c r="BJ1006" i="1"/>
  <c r="BK1006" i="1" s="1"/>
  <c r="BL1006" i="1" s="1"/>
  <c r="BG861" i="1"/>
  <c r="BL1222" i="1"/>
  <c r="BG1228" i="1"/>
  <c r="BJ884" i="1"/>
  <c r="BK884" i="1" s="1"/>
  <c r="BL884" i="1" s="1"/>
  <c r="BG1234" i="1"/>
  <c r="BJ1718" i="1"/>
  <c r="BK1718" i="1" s="1"/>
  <c r="BL1718" i="1" s="1"/>
  <c r="BG1479" i="1"/>
  <c r="BG366" i="1"/>
  <c r="BJ1265" i="1"/>
  <c r="BK1265" i="1" s="1"/>
  <c r="BL1265" i="1" s="1"/>
  <c r="BG1386" i="1"/>
  <c r="BG789" i="1"/>
  <c r="BJ220" i="1"/>
  <c r="BK220" i="1" s="1"/>
  <c r="BL220" i="1" s="1"/>
  <c r="BJ1189" i="1"/>
  <c r="BK1189" i="1" s="1"/>
  <c r="BL1189" i="1" s="1"/>
  <c r="BJ294" i="1"/>
  <c r="BK294" i="1" s="1"/>
  <c r="BL294" i="1" s="1"/>
  <c r="BG316" i="1"/>
  <c r="BG855" i="1"/>
  <c r="BG756" i="1"/>
  <c r="BG621" i="1"/>
  <c r="BJ522" i="1"/>
  <c r="BK522" i="1" s="1"/>
  <c r="BL522" i="1" s="1"/>
  <c r="BJ658" i="1"/>
  <c r="BK658" i="1" s="1"/>
  <c r="BL658" i="1" s="1"/>
  <c r="BJ33" i="1"/>
  <c r="BK33" i="1" s="1"/>
  <c r="BL33" i="1" s="1"/>
  <c r="BG856" i="1"/>
  <c r="BL1322" i="1"/>
  <c r="BJ928" i="1"/>
  <c r="BK928" i="1" s="1"/>
  <c r="BL928" i="1" s="1"/>
  <c r="BJ1256" i="1"/>
  <c r="BK1256" i="1" s="1"/>
  <c r="BL1256" i="1" s="1"/>
  <c r="BG1285" i="1"/>
  <c r="BJ1191" i="1"/>
  <c r="BK1191" i="1" s="1"/>
  <c r="BL1191" i="1" s="1"/>
  <c r="BJ222" i="1"/>
  <c r="BK222" i="1" s="1"/>
  <c r="BL222" i="1" s="1"/>
  <c r="BJ385" i="1"/>
  <c r="BK385" i="1" s="1"/>
  <c r="BL385" i="1" s="1"/>
  <c r="BG499" i="1"/>
  <c r="BC370" i="1"/>
  <c r="BJ1738" i="1"/>
  <c r="BJ1741" i="1"/>
  <c r="BJ1732" i="1"/>
  <c r="BJ1739" i="1"/>
  <c r="BJ1742" i="1"/>
  <c r="BJ1733" i="1"/>
  <c r="BJ1737" i="1"/>
  <c r="BJ1746" i="1"/>
  <c r="BJ1745" i="1"/>
  <c r="BJ1736" i="1"/>
  <c r="BJ1734" i="1"/>
  <c r="BJ1743" i="1"/>
  <c r="BG1750" i="1"/>
  <c r="BL1750" i="1"/>
  <c r="BL1749" i="1"/>
  <c r="BG1749" i="1"/>
  <c r="AV1798" i="1"/>
  <c r="AV1799" i="1"/>
  <c r="AU1867" i="1"/>
  <c r="BC684" i="1" s="1"/>
  <c r="AV1867" i="1"/>
  <c r="AV1775" i="1"/>
  <c r="AV1868" i="1"/>
  <c r="AV1875" i="1"/>
  <c r="AV1808" i="1"/>
  <c r="AV1876" i="1"/>
  <c r="AV1776" i="1"/>
  <c r="AV1817" i="1"/>
  <c r="AV1818" i="1"/>
  <c r="AV1807" i="1"/>
  <c r="AV1787" i="1"/>
  <c r="AV1831" i="1"/>
  <c r="AV1786" i="1"/>
  <c r="AV1860" i="1"/>
  <c r="AV1832" i="1"/>
  <c r="AV1767" i="1"/>
  <c r="AV1865" i="1"/>
  <c r="AV1877" i="1"/>
  <c r="AV1823" i="1"/>
  <c r="AV1837" i="1"/>
  <c r="AV1813" i="1"/>
  <c r="AT1788" i="1"/>
  <c r="T1788" i="1"/>
  <c r="AT1764" i="1"/>
  <c r="T1764" i="1"/>
  <c r="AT1830" i="1"/>
  <c r="T1830" i="1"/>
  <c r="AT1866" i="1"/>
  <c r="T1866" i="1"/>
  <c r="AT1814" i="1"/>
  <c r="T1814" i="1"/>
  <c r="AT1757" i="1"/>
  <c r="T1757" i="1"/>
  <c r="AT1880" i="1"/>
  <c r="T1880" i="1"/>
  <c r="AT1770" i="1"/>
  <c r="T1770" i="1"/>
  <c r="AT1879" i="1"/>
  <c r="T1879" i="1"/>
  <c r="AT1769" i="1"/>
  <c r="T1769" i="1"/>
  <c r="AV1763" i="1"/>
  <c r="AT1850" i="1"/>
  <c r="T1850" i="1"/>
  <c r="AT1803" i="1"/>
  <c r="T1803" i="1"/>
  <c r="AT1766" i="1"/>
  <c r="T1766" i="1"/>
  <c r="AT1791" i="1"/>
  <c r="T1791" i="1"/>
  <c r="AV1829" i="1"/>
  <c r="AT1861" i="1"/>
  <c r="T1861" i="1"/>
  <c r="AT1809" i="1"/>
  <c r="T1809" i="1"/>
  <c r="AT1856" i="1"/>
  <c r="T1856" i="1"/>
  <c r="AT1838" i="1"/>
  <c r="T1838" i="1"/>
  <c r="AT1774" i="1"/>
  <c r="T1774" i="1"/>
  <c r="AT1773" i="1"/>
  <c r="T1773" i="1"/>
  <c r="AT1759" i="1"/>
  <c r="T1759" i="1"/>
  <c r="AT1851" i="1"/>
  <c r="T1851" i="1"/>
  <c r="AT1847" i="1"/>
  <c r="T1847" i="1"/>
  <c r="AT1826" i="1"/>
  <c r="T1826" i="1"/>
  <c r="AT1820" i="1"/>
  <c r="T1820" i="1"/>
  <c r="AT1782" i="1"/>
  <c r="T1782" i="1"/>
  <c r="AT1872" i="1"/>
  <c r="T1872" i="1"/>
  <c r="AT1796" i="1"/>
  <c r="T1796" i="1"/>
  <c r="AT1762" i="1"/>
  <c r="T1762" i="1"/>
  <c r="AT1871" i="1"/>
  <c r="T1871" i="1"/>
  <c r="AT1795" i="1"/>
  <c r="T1795" i="1"/>
  <c r="AV1802" i="1"/>
  <c r="AT1822" i="1"/>
  <c r="T1822" i="1"/>
  <c r="AT1792" i="1"/>
  <c r="T1792" i="1"/>
  <c r="AT1849" i="1"/>
  <c r="T1849" i="1"/>
  <c r="AT1835" i="1"/>
  <c r="T1835" i="1"/>
  <c r="AT1821" i="1"/>
  <c r="T1821" i="1"/>
  <c r="AV1846" i="1"/>
  <c r="AT1844" i="1"/>
  <c r="T1844" i="1"/>
  <c r="AT1800" i="1"/>
  <c r="T1800" i="1"/>
  <c r="AT1777" i="1"/>
  <c r="T1777" i="1"/>
  <c r="AT1874" i="1"/>
  <c r="T1874" i="1"/>
  <c r="AT1841" i="1"/>
  <c r="T1841" i="1"/>
  <c r="AT1873" i="1"/>
  <c r="T1873" i="1"/>
  <c r="AT1765" i="1"/>
  <c r="T1765" i="1"/>
  <c r="AV1869" i="1"/>
  <c r="AV1857" i="1"/>
  <c r="AV1825" i="1"/>
  <c r="AV1819" i="1"/>
  <c r="AV1806" i="1"/>
  <c r="AV1793" i="1"/>
  <c r="AV1781" i="1"/>
  <c r="AV1761" i="1"/>
  <c r="BD1746" i="1" s="1"/>
  <c r="BI1746" i="1" s="1"/>
  <c r="AT1878" i="1"/>
  <c r="T1878" i="1"/>
  <c r="AT1824" i="1"/>
  <c r="T1824" i="1"/>
  <c r="AT1768" i="1"/>
  <c r="T1768" i="1"/>
  <c r="AT1854" i="1"/>
  <c r="T1854" i="1"/>
  <c r="AT1816" i="1"/>
  <c r="T1816" i="1"/>
  <c r="AT1853" i="1"/>
  <c r="T1853" i="1"/>
  <c r="AT1815" i="1"/>
  <c r="T1815" i="1"/>
  <c r="AV1771" i="1"/>
  <c r="AT1790" i="1"/>
  <c r="T1790" i="1"/>
  <c r="AT1864" i="1"/>
  <c r="T1864" i="1"/>
  <c r="AT1836" i="1"/>
  <c r="T1836" i="1"/>
  <c r="AT1812" i="1"/>
  <c r="T1812" i="1"/>
  <c r="AT1881" i="1"/>
  <c r="T1881" i="1"/>
  <c r="AT1804" i="1"/>
  <c r="T1804" i="1"/>
  <c r="AT1779" i="1"/>
  <c r="T1779" i="1"/>
  <c r="AT1760" i="1"/>
  <c r="T1760" i="1"/>
  <c r="AV1855" i="1"/>
  <c r="AV1842" i="1"/>
  <c r="AT1843" i="1"/>
  <c r="T1843" i="1"/>
  <c r="AT1772" i="1"/>
  <c r="T1772" i="1"/>
  <c r="AT1758" i="1"/>
  <c r="T1758" i="1"/>
  <c r="AT1785" i="1"/>
  <c r="T1785" i="1"/>
  <c r="AT1839" i="1"/>
  <c r="T1839" i="1"/>
  <c r="AT1784" i="1"/>
  <c r="T1784" i="1"/>
  <c r="AT1870" i="1"/>
  <c r="T1870" i="1"/>
  <c r="AT1858" i="1"/>
  <c r="T1858" i="1"/>
  <c r="AT1794" i="1"/>
  <c r="T1794" i="1"/>
  <c r="AT1828" i="1"/>
  <c r="T1828" i="1"/>
  <c r="AT1852" i="1"/>
  <c r="T1852" i="1"/>
  <c r="AT1848" i="1"/>
  <c r="T1848" i="1"/>
  <c r="AT1827" i="1"/>
  <c r="T1827" i="1"/>
  <c r="AT1783" i="1"/>
  <c r="T1783" i="1"/>
  <c r="AV1811" i="1"/>
  <c r="AT1834" i="1"/>
  <c r="T1834" i="1"/>
  <c r="AT1882" i="1"/>
  <c r="T1882" i="1"/>
  <c r="AT1805" i="1"/>
  <c r="T1805" i="1"/>
  <c r="AT1780" i="1"/>
  <c r="T1780" i="1"/>
  <c r="AT1859" i="1"/>
  <c r="T1859" i="1"/>
  <c r="AT1797" i="1"/>
  <c r="T1797" i="1"/>
  <c r="AV1883" i="1"/>
  <c r="AV1863" i="1"/>
  <c r="AV1833" i="1"/>
  <c r="BC1441" i="1" l="1"/>
  <c r="BC1160" i="1"/>
  <c r="BC988" i="1"/>
  <c r="BC958" i="1"/>
  <c r="BC1560" i="1"/>
  <c r="BC1558" i="1"/>
  <c r="BC967" i="1"/>
  <c r="BC1139" i="1"/>
  <c r="BC1455" i="1"/>
  <c r="BK1455" i="1" s="1"/>
  <c r="BL1455" i="1" s="1"/>
  <c r="BC1557" i="1"/>
  <c r="BC1461" i="1"/>
  <c r="BC1510" i="1"/>
  <c r="BC990" i="1"/>
  <c r="BC1454" i="1"/>
  <c r="BC1310" i="1"/>
  <c r="BK1510" i="1"/>
  <c r="BL1510" i="1" s="1"/>
  <c r="BK1441" i="1"/>
  <c r="BL1441" i="1" s="1"/>
  <c r="BC1135" i="1"/>
  <c r="BK1135" i="1" s="1"/>
  <c r="BL1135" i="1" s="1"/>
  <c r="BC1706" i="1"/>
  <c r="BC1309" i="1"/>
  <c r="BK1309" i="1" s="1"/>
  <c r="BL1309" i="1" s="1"/>
  <c r="BC1360" i="1"/>
  <c r="BC564" i="1"/>
  <c r="BC1511" i="1"/>
  <c r="BC1024" i="1"/>
  <c r="BC493" i="1"/>
  <c r="BC1462" i="1"/>
  <c r="BC1025" i="1"/>
  <c r="BC966" i="1"/>
  <c r="BC1559" i="1"/>
  <c r="BC1442" i="1"/>
  <c r="BK1442" i="1" s="1"/>
  <c r="BL1442" i="1" s="1"/>
  <c r="BC1141" i="1"/>
  <c r="BK1141" i="1" s="1"/>
  <c r="BL1141" i="1" s="1"/>
  <c r="BC1375" i="1"/>
  <c r="BC1440" i="1"/>
  <c r="BB764" i="1"/>
  <c r="BB1462" i="1"/>
  <c r="BB990" i="1"/>
  <c r="BB1140" i="1"/>
  <c r="BB1441" i="1"/>
  <c r="BB1463" i="1"/>
  <c r="BB1007" i="1"/>
  <c r="BB1136" i="1"/>
  <c r="BB988" i="1"/>
  <c r="BB1442" i="1"/>
  <c r="BB1455" i="1"/>
  <c r="BB1705" i="1"/>
  <c r="BB848" i="1"/>
  <c r="BB1512" i="1"/>
  <c r="BB1706" i="1"/>
  <c r="BB751" i="1"/>
  <c r="BB1453" i="1"/>
  <c r="BB750" i="1"/>
  <c r="BB564" i="1"/>
  <c r="BB563" i="1"/>
  <c r="BB1461" i="1"/>
  <c r="BB1454" i="1"/>
  <c r="BB1008" i="1"/>
  <c r="BB1141" i="1"/>
  <c r="BB847" i="1"/>
  <c r="BB1510" i="1"/>
  <c r="BB989" i="1"/>
  <c r="BB390" i="1"/>
  <c r="BB1139" i="1"/>
  <c r="BB1310" i="1"/>
  <c r="BB1511" i="1"/>
  <c r="BB1135" i="1"/>
  <c r="BB1440" i="1"/>
  <c r="BC391" i="1"/>
  <c r="BC750" i="1"/>
  <c r="BC1705" i="1"/>
  <c r="BC390" i="1"/>
  <c r="BK390" i="1" s="1"/>
  <c r="BL390" i="1" s="1"/>
  <c r="BC207" i="1"/>
  <c r="BK207" i="1" s="1"/>
  <c r="BL207" i="1" s="1"/>
  <c r="BC989" i="1"/>
  <c r="BC1463" i="1"/>
  <c r="BB1309" i="1"/>
  <c r="BC1081" i="1"/>
  <c r="BK1081" i="1" s="1"/>
  <c r="BL1081" i="1" s="1"/>
  <c r="BC1130" i="1"/>
  <c r="BC1008" i="1"/>
  <c r="BC1136" i="1"/>
  <c r="BK1136" i="1" s="1"/>
  <c r="BL1136" i="1" s="1"/>
  <c r="BC847" i="1"/>
  <c r="BK847" i="1" s="1"/>
  <c r="BL847" i="1" s="1"/>
  <c r="BC848" i="1"/>
  <c r="BK848" i="1" s="1"/>
  <c r="BL848" i="1" s="1"/>
  <c r="BD391" i="1"/>
  <c r="BI391" i="1" s="1"/>
  <c r="BD988" i="1"/>
  <c r="BI988" i="1" s="1"/>
  <c r="BD1462" i="1"/>
  <c r="BI1462" i="1" s="1"/>
  <c r="BD1374" i="1"/>
  <c r="BI1374" i="1" s="1"/>
  <c r="BD207" i="1"/>
  <c r="BI207" i="1" s="1"/>
  <c r="BD1705" i="1"/>
  <c r="BI1705" i="1" s="1"/>
  <c r="BD958" i="1"/>
  <c r="BI958" i="1" s="1"/>
  <c r="BD1706" i="1"/>
  <c r="BI1706" i="1" s="1"/>
  <c r="BD206" i="1"/>
  <c r="BI206" i="1" s="1"/>
  <c r="BD1310" i="1"/>
  <c r="BI1310" i="1" s="1"/>
  <c r="BD1139" i="1"/>
  <c r="BI1139" i="1" s="1"/>
  <c r="BD1130" i="1"/>
  <c r="BI1130" i="1" s="1"/>
  <c r="BD1510" i="1"/>
  <c r="BI1510" i="1" s="1"/>
  <c r="BD967" i="1"/>
  <c r="BI967" i="1" s="1"/>
  <c r="BD1557" i="1"/>
  <c r="BI1557" i="1" s="1"/>
  <c r="BD1136" i="1"/>
  <c r="BI1136" i="1" s="1"/>
  <c r="BD1160" i="1"/>
  <c r="BI1160" i="1" s="1"/>
  <c r="BD1560" i="1"/>
  <c r="BI1560" i="1" s="1"/>
  <c r="BD1309" i="1"/>
  <c r="BI1309" i="1" s="1"/>
  <c r="BD847" i="1"/>
  <c r="BI847" i="1" s="1"/>
  <c r="BD848" i="1"/>
  <c r="BI848" i="1" s="1"/>
  <c r="BD1131" i="1"/>
  <c r="BI1131" i="1" s="1"/>
  <c r="BD1512" i="1"/>
  <c r="BI1512" i="1" s="1"/>
  <c r="BD1511" i="1"/>
  <c r="BI1511" i="1" s="1"/>
  <c r="BD1081" i="1"/>
  <c r="BI1081" i="1" s="1"/>
  <c r="BD1360" i="1"/>
  <c r="BI1360" i="1" s="1"/>
  <c r="BD493" i="1"/>
  <c r="BI493" i="1" s="1"/>
  <c r="BD1024" i="1"/>
  <c r="BI1024" i="1" s="1"/>
  <c r="BD1455" i="1"/>
  <c r="BI1455" i="1" s="1"/>
  <c r="BD1140" i="1"/>
  <c r="BI1140" i="1" s="1"/>
  <c r="BD1082" i="1"/>
  <c r="BI1082" i="1" s="1"/>
  <c r="BD750" i="1"/>
  <c r="BI750" i="1" s="1"/>
  <c r="BD1558" i="1"/>
  <c r="BI1558" i="1" s="1"/>
  <c r="BD1559" i="1"/>
  <c r="BI1559" i="1" s="1"/>
  <c r="BD1141" i="1"/>
  <c r="BI1141" i="1" s="1"/>
  <c r="BD1375" i="1"/>
  <c r="BI1375" i="1" s="1"/>
  <c r="BD957" i="1"/>
  <c r="BI957" i="1" s="1"/>
  <c r="BD564" i="1"/>
  <c r="BI564" i="1" s="1"/>
  <c r="BD1463" i="1"/>
  <c r="BI1463" i="1" s="1"/>
  <c r="BD1442" i="1"/>
  <c r="BI1442" i="1" s="1"/>
  <c r="BD1461" i="1"/>
  <c r="BI1461" i="1" s="1"/>
  <c r="BD966" i="1"/>
  <c r="BI966" i="1" s="1"/>
  <c r="BD1453" i="1"/>
  <c r="BI1453" i="1" s="1"/>
  <c r="BD1008" i="1"/>
  <c r="BI1008" i="1" s="1"/>
  <c r="BD1159" i="1"/>
  <c r="BI1159" i="1" s="1"/>
  <c r="BD1361" i="1"/>
  <c r="BI1361" i="1" s="1"/>
  <c r="BD1135" i="1"/>
  <c r="BI1135" i="1" s="1"/>
  <c r="BD1025" i="1"/>
  <c r="BI1025" i="1" s="1"/>
  <c r="BD1454" i="1"/>
  <c r="BI1454" i="1" s="1"/>
  <c r="BD1007" i="1"/>
  <c r="BI1007" i="1" s="1"/>
  <c r="BD390" i="1"/>
  <c r="BI390" i="1" s="1"/>
  <c r="BD1441" i="1"/>
  <c r="BI1441" i="1" s="1"/>
  <c r="BD989" i="1"/>
  <c r="BI989" i="1" s="1"/>
  <c r="BD990" i="1"/>
  <c r="BI990" i="1" s="1"/>
  <c r="BD563" i="1"/>
  <c r="BI563" i="1" s="1"/>
  <c r="BD1440" i="1"/>
  <c r="BI1440" i="1" s="1"/>
  <c r="BD751" i="1"/>
  <c r="BI751" i="1" s="1"/>
  <c r="BK1310" i="1"/>
  <c r="BL1310" i="1" s="1"/>
  <c r="BK1454" i="1"/>
  <c r="BL1454" i="1" s="1"/>
  <c r="BK1705" i="1"/>
  <c r="BL1705" i="1" s="1"/>
  <c r="BK1160" i="1"/>
  <c r="BL1160" i="1" s="1"/>
  <c r="BK493" i="1"/>
  <c r="BL493" i="1" s="1"/>
  <c r="BK967" i="1"/>
  <c r="BL967" i="1" s="1"/>
  <c r="BC1082" i="1"/>
  <c r="BC1374" i="1"/>
  <c r="BC1131" i="1"/>
  <c r="BC206" i="1"/>
  <c r="BK206" i="1" s="1"/>
  <c r="BL206" i="1" s="1"/>
  <c r="BC1512" i="1"/>
  <c r="BK1512" i="1" s="1"/>
  <c r="BL1512" i="1" s="1"/>
  <c r="BC751" i="1"/>
  <c r="BK751" i="1" s="1"/>
  <c r="BL751" i="1" s="1"/>
  <c r="BB391" i="1"/>
  <c r="BC957" i="1"/>
  <c r="BC1361" i="1"/>
  <c r="BC1140" i="1"/>
  <c r="BC1159" i="1"/>
  <c r="BC1007" i="1"/>
  <c r="BK1007" i="1" s="1"/>
  <c r="BL1007" i="1" s="1"/>
  <c r="BC563" i="1"/>
  <c r="BC1453" i="1"/>
  <c r="BC1249" i="1"/>
  <c r="BC165" i="1"/>
  <c r="BC763" i="1"/>
  <c r="BC1650" i="1"/>
  <c r="BB763" i="1"/>
  <c r="BC764" i="1"/>
  <c r="BD1651" i="1"/>
  <c r="BI1651" i="1" s="1"/>
  <c r="BD763" i="1"/>
  <c r="BI763" i="1" s="1"/>
  <c r="BD166" i="1"/>
  <c r="BI166" i="1" s="1"/>
  <c r="BD1650" i="1"/>
  <c r="BI1650" i="1" s="1"/>
  <c r="BD165" i="1"/>
  <c r="BI165" i="1" s="1"/>
  <c r="BD1249" i="1"/>
  <c r="BI1249" i="1" s="1"/>
  <c r="BD764" i="1"/>
  <c r="BI764" i="1" s="1"/>
  <c r="BD1250" i="1"/>
  <c r="BI1250" i="1" s="1"/>
  <c r="BK763" i="1"/>
  <c r="BL763" i="1" s="1"/>
  <c r="BC1651" i="1"/>
  <c r="BC1250" i="1"/>
  <c r="BK1250" i="1" s="1"/>
  <c r="BL1250" i="1" s="1"/>
  <c r="BC166" i="1"/>
  <c r="BB149" i="1"/>
  <c r="BC1517" i="1"/>
  <c r="BF1517" i="1" s="1"/>
  <c r="BG1517" i="1" s="1"/>
  <c r="BD149" i="1"/>
  <c r="BI149" i="1" s="1"/>
  <c r="BD148" i="1"/>
  <c r="BI148" i="1" s="1"/>
  <c r="BC148" i="1"/>
  <c r="BB148" i="1"/>
  <c r="BC149" i="1"/>
  <c r="BC565" i="1"/>
  <c r="BK565" i="1" s="1"/>
  <c r="BL565" i="1" s="1"/>
  <c r="BC1616" i="1"/>
  <c r="BH1616" i="1" s="1"/>
  <c r="BC1311" i="1"/>
  <c r="BF1311" i="1" s="1"/>
  <c r="BG1311" i="1" s="1"/>
  <c r="BC395" i="1"/>
  <c r="BK395" i="1" s="1"/>
  <c r="BL395" i="1" s="1"/>
  <c r="BC468" i="1"/>
  <c r="BH468" i="1" s="1"/>
  <c r="BC743" i="1"/>
  <c r="BF743" i="1" s="1"/>
  <c r="BG743" i="1" s="1"/>
  <c r="BC14" i="1"/>
  <c r="BK14" i="1" s="1"/>
  <c r="BL14" i="1" s="1"/>
  <c r="BC13" i="1"/>
  <c r="BK13" i="1" s="1"/>
  <c r="BL13" i="1" s="1"/>
  <c r="BC700" i="1"/>
  <c r="BK700" i="1" s="1"/>
  <c r="BL700" i="1" s="1"/>
  <c r="BC360" i="1"/>
  <c r="BK360" i="1" s="1"/>
  <c r="BL360" i="1" s="1"/>
  <c r="BC1080" i="1"/>
  <c r="BK1080" i="1" s="1"/>
  <c r="BL1080" i="1" s="1"/>
  <c r="BC825" i="1"/>
  <c r="BH825" i="1" s="1"/>
  <c r="BC1301" i="1"/>
  <c r="BK1301" i="1" s="1"/>
  <c r="BL1301" i="1" s="1"/>
  <c r="BC9" i="1"/>
  <c r="BK9" i="1" s="1"/>
  <c r="BL9" i="1" s="1"/>
  <c r="BC4" i="1"/>
  <c r="BK4" i="1" s="1"/>
  <c r="BL4" i="1" s="1"/>
  <c r="BC7" i="1"/>
  <c r="BK7" i="1" s="1"/>
  <c r="BL7" i="1" s="1"/>
  <c r="BD6" i="1"/>
  <c r="BI6" i="1" s="1"/>
  <c r="BD15" i="1"/>
  <c r="BI15" i="1" s="1"/>
  <c r="BD3" i="1"/>
  <c r="BI3" i="1" s="1"/>
  <c r="BD7" i="1"/>
  <c r="BI7" i="1" s="1"/>
  <c r="BD14" i="1"/>
  <c r="BI14" i="1" s="1"/>
  <c r="BD5" i="1"/>
  <c r="BI5" i="1" s="1"/>
  <c r="BD4" i="1"/>
  <c r="BI4" i="1" s="1"/>
  <c r="BD11" i="1"/>
  <c r="BI11" i="1" s="1"/>
  <c r="BD9" i="1"/>
  <c r="BI9" i="1" s="1"/>
  <c r="BD2" i="1"/>
  <c r="BI2" i="1" s="1"/>
  <c r="BD12" i="1"/>
  <c r="BI12" i="1" s="1"/>
  <c r="BD8" i="1"/>
  <c r="BI8" i="1" s="1"/>
  <c r="BD13" i="1"/>
  <c r="BI13" i="1" s="1"/>
  <c r="BD10" i="1"/>
  <c r="BI10" i="1" s="1"/>
  <c r="BC249" i="1"/>
  <c r="BF249" i="1" s="1"/>
  <c r="BG249" i="1" s="1"/>
  <c r="BC112" i="1"/>
  <c r="BC1682" i="1"/>
  <c r="BF1682" i="1" s="1"/>
  <c r="BG1682" i="1" s="1"/>
  <c r="BC1575" i="1"/>
  <c r="BK1575" i="1" s="1"/>
  <c r="BL1575" i="1" s="1"/>
  <c r="BC6" i="1"/>
  <c r="BC10" i="1"/>
  <c r="BC12" i="1"/>
  <c r="BC798" i="1"/>
  <c r="BK798" i="1" s="1"/>
  <c r="BL798" i="1" s="1"/>
  <c r="BC575" i="1"/>
  <c r="BF575" i="1" s="1"/>
  <c r="BG575" i="1" s="1"/>
  <c r="BC11" i="1"/>
  <c r="BK11" i="1" s="1"/>
  <c r="BL11" i="1" s="1"/>
  <c r="BC5" i="1"/>
  <c r="BK5" i="1" s="1"/>
  <c r="BL5" i="1" s="1"/>
  <c r="BC15" i="1"/>
  <c r="BC3" i="1"/>
  <c r="BC8" i="1"/>
  <c r="BK8" i="1" s="1"/>
  <c r="BL8" i="1" s="1"/>
  <c r="BC2" i="1"/>
  <c r="BB6" i="1"/>
  <c r="BC909" i="1"/>
  <c r="BF909" i="1" s="1"/>
  <c r="BG909" i="1" s="1"/>
  <c r="BC1213" i="1"/>
  <c r="BF1213" i="1" s="1"/>
  <c r="BG1213" i="1" s="1"/>
  <c r="BC645" i="1"/>
  <c r="BK645" i="1" s="1"/>
  <c r="BL645" i="1" s="1"/>
  <c r="BC459" i="1"/>
  <c r="BK459" i="1" s="1"/>
  <c r="BL459" i="1" s="1"/>
  <c r="BC1541" i="1"/>
  <c r="BK1541" i="1" s="1"/>
  <c r="BL1541" i="1" s="1"/>
  <c r="BC1176" i="1"/>
  <c r="BH1176" i="1" s="1"/>
  <c r="BC1129" i="1"/>
  <c r="BF1129" i="1" s="1"/>
  <c r="BG1129" i="1" s="1"/>
  <c r="BC70" i="1"/>
  <c r="BH70" i="1" s="1"/>
  <c r="BC1072" i="1"/>
  <c r="BH1072" i="1" s="1"/>
  <c r="BC20" i="1"/>
  <c r="BF20" i="1" s="1"/>
  <c r="BG20" i="1" s="1"/>
  <c r="BC1319" i="1"/>
  <c r="BK1319" i="1" s="1"/>
  <c r="BL1319" i="1" s="1"/>
  <c r="BC1373" i="1"/>
  <c r="BH1373" i="1" s="1"/>
  <c r="BC470" i="1"/>
  <c r="BK470" i="1" s="1"/>
  <c r="BL470" i="1" s="1"/>
  <c r="BC978" i="1"/>
  <c r="BH978" i="1" s="1"/>
  <c r="BC790" i="1"/>
  <c r="BH790" i="1" s="1"/>
  <c r="BC376" i="1"/>
  <c r="BH376" i="1" s="1"/>
  <c r="BC624" i="1"/>
  <c r="BF624" i="1" s="1"/>
  <c r="BG624" i="1" s="1"/>
  <c r="BC1446" i="1"/>
  <c r="BF1446" i="1" s="1"/>
  <c r="BG1446" i="1" s="1"/>
  <c r="BC83" i="1"/>
  <c r="BF83" i="1" s="1"/>
  <c r="BG83" i="1" s="1"/>
  <c r="BC1066" i="1"/>
  <c r="BF1066" i="1" s="1"/>
  <c r="BG1066" i="1" s="1"/>
  <c r="BC774" i="1"/>
  <c r="BH774" i="1" s="1"/>
  <c r="BC865" i="1"/>
  <c r="BH865" i="1" s="1"/>
  <c r="BC595" i="1"/>
  <c r="BH595" i="1" s="1"/>
  <c r="BC515" i="1"/>
  <c r="BH515" i="1" s="1"/>
  <c r="BC545" i="1"/>
  <c r="BH545" i="1" s="1"/>
  <c r="BC1057" i="1"/>
  <c r="BK1057" i="1" s="1"/>
  <c r="BL1057" i="1" s="1"/>
  <c r="BC1608" i="1"/>
  <c r="BK1608" i="1" s="1"/>
  <c r="BL1608" i="1" s="1"/>
  <c r="BC710" i="1"/>
  <c r="BH710" i="1" s="1"/>
  <c r="BC686" i="1"/>
  <c r="BF686" i="1" s="1"/>
  <c r="BG686" i="1" s="1"/>
  <c r="BC1476" i="1"/>
  <c r="BH1476" i="1" s="1"/>
  <c r="BC772" i="1"/>
  <c r="BH772" i="1" s="1"/>
  <c r="BC1587" i="1"/>
  <c r="BH1587" i="1" s="1"/>
  <c r="BC1220" i="1"/>
  <c r="BF1220" i="1" s="1"/>
  <c r="BG1220" i="1" s="1"/>
  <c r="BC1685" i="1"/>
  <c r="BH1685" i="1" s="1"/>
  <c r="BC721" i="1"/>
  <c r="BK721" i="1" s="1"/>
  <c r="BL721" i="1" s="1"/>
  <c r="BC860" i="1"/>
  <c r="BF860" i="1" s="1"/>
  <c r="BG860" i="1" s="1"/>
  <c r="BC1372" i="1"/>
  <c r="BK1372" i="1" s="1"/>
  <c r="BL1372" i="1" s="1"/>
  <c r="BC728" i="1"/>
  <c r="BK728" i="1" s="1"/>
  <c r="BL728" i="1" s="1"/>
  <c r="BC343" i="1"/>
  <c r="BF343" i="1" s="1"/>
  <c r="BG343" i="1" s="1"/>
  <c r="BC1074" i="1"/>
  <c r="BH1074" i="1" s="1"/>
  <c r="BC580" i="1"/>
  <c r="BH580" i="1" s="1"/>
  <c r="BC1661" i="1"/>
  <c r="BF1661" i="1" s="1"/>
  <c r="BG1661" i="1" s="1"/>
  <c r="BC1070" i="1"/>
  <c r="BH1070" i="1" s="1"/>
  <c r="BC1015" i="1"/>
  <c r="BH1015" i="1" s="1"/>
  <c r="BC214" i="1"/>
  <c r="BH214" i="1" s="1"/>
  <c r="BC1101" i="1"/>
  <c r="BK1101" i="1" s="1"/>
  <c r="BL1101" i="1" s="1"/>
  <c r="BC870" i="1"/>
  <c r="BK870" i="1" s="1"/>
  <c r="BL870" i="1" s="1"/>
  <c r="BC1147" i="1"/>
  <c r="BF1147" i="1" s="1"/>
  <c r="BG1147" i="1" s="1"/>
  <c r="BC829" i="1"/>
  <c r="BK829" i="1" s="1"/>
  <c r="BL829" i="1" s="1"/>
  <c r="BC471" i="1"/>
  <c r="BH471" i="1" s="1"/>
  <c r="BC198" i="1"/>
  <c r="BF198" i="1" s="1"/>
  <c r="BG198" i="1" s="1"/>
  <c r="BC1708" i="1"/>
  <c r="BF1708" i="1" s="1"/>
  <c r="BG1708" i="1" s="1"/>
  <c r="BC937" i="1"/>
  <c r="BH937" i="1" s="1"/>
  <c r="BC1626" i="1"/>
  <c r="BK1626" i="1" s="1"/>
  <c r="BL1626" i="1" s="1"/>
  <c r="BC1485" i="1"/>
  <c r="BK1485" i="1" s="1"/>
  <c r="BL1485" i="1" s="1"/>
  <c r="BC742" i="1"/>
  <c r="BK742" i="1" s="1"/>
  <c r="BL742" i="1" s="1"/>
  <c r="BC228" i="1"/>
  <c r="BF228" i="1" s="1"/>
  <c r="BG228" i="1" s="1"/>
  <c r="BC117" i="1"/>
  <c r="BK117" i="1" s="1"/>
  <c r="BL117" i="1" s="1"/>
  <c r="BC986" i="1"/>
  <c r="BF986" i="1" s="1"/>
  <c r="BG986" i="1" s="1"/>
  <c r="BC1561" i="1"/>
  <c r="BF1561" i="1" s="1"/>
  <c r="BG1561" i="1" s="1"/>
  <c r="BC227" i="1"/>
  <c r="BF227" i="1" s="1"/>
  <c r="BG227" i="1" s="1"/>
  <c r="BC419" i="1"/>
  <c r="BK419" i="1" s="1"/>
  <c r="BL419" i="1" s="1"/>
  <c r="BC353" i="1"/>
  <c r="BK353" i="1" s="1"/>
  <c r="BL353" i="1" s="1"/>
  <c r="BC179" i="1"/>
  <c r="BK179" i="1" s="1"/>
  <c r="BL179" i="1" s="1"/>
  <c r="BC28" i="1"/>
  <c r="BK28" i="1" s="1"/>
  <c r="BL28" i="1" s="1"/>
  <c r="BC574" i="1"/>
  <c r="BH574" i="1" s="1"/>
  <c r="BC1240" i="1"/>
  <c r="BF1240" i="1" s="1"/>
  <c r="BG1240" i="1" s="1"/>
  <c r="BC1162" i="1"/>
  <c r="BK1162" i="1" s="1"/>
  <c r="BL1162" i="1" s="1"/>
  <c r="BC544" i="1"/>
  <c r="BH544" i="1" s="1"/>
  <c r="BC586" i="1"/>
  <c r="BH586" i="1" s="1"/>
  <c r="BC1367" i="1"/>
  <c r="BF1367" i="1" s="1"/>
  <c r="BG1367" i="1" s="1"/>
  <c r="BC362" i="1"/>
  <c r="BK362" i="1" s="1"/>
  <c r="BL362" i="1" s="1"/>
  <c r="BC194" i="1"/>
  <c r="BF194" i="1" s="1"/>
  <c r="BG194" i="1" s="1"/>
  <c r="BC719" i="1"/>
  <c r="BH719" i="1" s="1"/>
  <c r="BC1245" i="1"/>
  <c r="BK1245" i="1" s="1"/>
  <c r="BL1245" i="1" s="1"/>
  <c r="BC182" i="1"/>
  <c r="BF182" i="1" s="1"/>
  <c r="BG182" i="1" s="1"/>
  <c r="BC708" i="1"/>
  <c r="BF708" i="1" s="1"/>
  <c r="BG708" i="1" s="1"/>
  <c r="BC587" i="1"/>
  <c r="BH587" i="1" s="1"/>
  <c r="BC908" i="1"/>
  <c r="BF908" i="1" s="1"/>
  <c r="BG908" i="1" s="1"/>
  <c r="BC189" i="1"/>
  <c r="BK189" i="1" s="1"/>
  <c r="BL189" i="1" s="1"/>
  <c r="BC144" i="1"/>
  <c r="BF144" i="1" s="1"/>
  <c r="BG144" i="1" s="1"/>
  <c r="BC1665" i="1"/>
  <c r="BK1665" i="1" s="1"/>
  <c r="BL1665" i="1" s="1"/>
  <c r="BC418" i="1"/>
  <c r="BF418" i="1" s="1"/>
  <c r="BG418" i="1" s="1"/>
  <c r="BC213" i="1"/>
  <c r="BF213" i="1" s="1"/>
  <c r="BG213" i="1" s="1"/>
  <c r="BC903" i="1"/>
  <c r="BF903" i="1" s="1"/>
  <c r="BG903" i="1" s="1"/>
  <c r="BC1666" i="1"/>
  <c r="BK1666" i="1" s="1"/>
  <c r="BL1666" i="1" s="1"/>
  <c r="BC618" i="1"/>
  <c r="BF618" i="1" s="1"/>
  <c r="BG618" i="1" s="1"/>
  <c r="BC1239" i="1"/>
  <c r="BF1239" i="1" s="1"/>
  <c r="BG1239" i="1" s="1"/>
  <c r="BC1486" i="1"/>
  <c r="BK1486" i="1" s="1"/>
  <c r="BL1486" i="1" s="1"/>
  <c r="BC570" i="1"/>
  <c r="BF570" i="1" s="1"/>
  <c r="BG570" i="1" s="1"/>
  <c r="BC1304" i="1"/>
  <c r="BF1304" i="1" s="1"/>
  <c r="BG1304" i="1" s="1"/>
  <c r="BC1571" i="1"/>
  <c r="BK1571" i="1" s="1"/>
  <c r="BL1571" i="1" s="1"/>
  <c r="BC235" i="1"/>
  <c r="BH235" i="1" s="1"/>
  <c r="BC638" i="1"/>
  <c r="BK638" i="1" s="1"/>
  <c r="BL638" i="1" s="1"/>
  <c r="BC415" i="1"/>
  <c r="BK415" i="1" s="1"/>
  <c r="BL415" i="1" s="1"/>
  <c r="BC874" i="1"/>
  <c r="BF874" i="1" s="1"/>
  <c r="BG874" i="1" s="1"/>
  <c r="BC1716" i="1"/>
  <c r="BH1716" i="1" s="1"/>
  <c r="BC733" i="1"/>
  <c r="BK733" i="1" s="1"/>
  <c r="BL733" i="1" s="1"/>
  <c r="BC975" i="1"/>
  <c r="BF975" i="1" s="1"/>
  <c r="BG975" i="1" s="1"/>
  <c r="BC331" i="1"/>
  <c r="BF331" i="1" s="1"/>
  <c r="BG331" i="1" s="1"/>
  <c r="BC375" i="1"/>
  <c r="BF375" i="1" s="1"/>
  <c r="BG375" i="1" s="1"/>
  <c r="BC1573" i="1"/>
  <c r="BH1573" i="1" s="1"/>
  <c r="BC581" i="1"/>
  <c r="BF581" i="1" s="1"/>
  <c r="BG581" i="1" s="1"/>
  <c r="BC192" i="1"/>
  <c r="BH192" i="1" s="1"/>
  <c r="BC503" i="1"/>
  <c r="BK503" i="1" s="1"/>
  <c r="BL503" i="1" s="1"/>
  <c r="BC734" i="1"/>
  <c r="BK734" i="1" s="1"/>
  <c r="BL734" i="1" s="1"/>
  <c r="BC1619" i="1"/>
  <c r="BK1619" i="1" s="1"/>
  <c r="BL1619" i="1" s="1"/>
  <c r="BC1281" i="1"/>
  <c r="BK1281" i="1" s="1"/>
  <c r="BL1281" i="1" s="1"/>
  <c r="BC388" i="1"/>
  <c r="BK388" i="1" s="1"/>
  <c r="BL388" i="1" s="1"/>
  <c r="BC1614" i="1"/>
  <c r="BK1614" i="1" s="1"/>
  <c r="BL1614" i="1" s="1"/>
  <c r="BC30" i="1"/>
  <c r="BK30" i="1" s="1"/>
  <c r="BL30" i="1" s="1"/>
  <c r="BC1710" i="1"/>
  <c r="BK1710" i="1" s="1"/>
  <c r="BL1710" i="1" s="1"/>
  <c r="BC1168" i="1"/>
  <c r="BF1168" i="1" s="1"/>
  <c r="BG1168" i="1" s="1"/>
  <c r="BC1274" i="1"/>
  <c r="BH1274" i="1" s="1"/>
  <c r="BC1521" i="1"/>
  <c r="BK1521" i="1" s="1"/>
  <c r="BL1521" i="1" s="1"/>
  <c r="BC694" i="1"/>
  <c r="BF694" i="1" s="1"/>
  <c r="BG694" i="1" s="1"/>
  <c r="BC369" i="1"/>
  <c r="BH369" i="1" s="1"/>
  <c r="BC753" i="1"/>
  <c r="BK753" i="1" s="1"/>
  <c r="BL753" i="1" s="1"/>
  <c r="BC748" i="1"/>
  <c r="BF748" i="1" s="1"/>
  <c r="BG748" i="1" s="1"/>
  <c r="BC497" i="1"/>
  <c r="BF497" i="1" s="1"/>
  <c r="BG497" i="1" s="1"/>
  <c r="BC646" i="1"/>
  <c r="BK646" i="1" s="1"/>
  <c r="BL646" i="1" s="1"/>
  <c r="BC1503" i="1"/>
  <c r="BK1503" i="1" s="1"/>
  <c r="BL1503" i="1" s="1"/>
  <c r="BC1276" i="1"/>
  <c r="BH1276" i="1" s="1"/>
  <c r="BC1699" i="1"/>
  <c r="BF1699" i="1" s="1"/>
  <c r="BG1699" i="1" s="1"/>
  <c r="BC1355" i="1"/>
  <c r="BF1355" i="1" s="1"/>
  <c r="BG1355" i="1" s="1"/>
  <c r="BC1211" i="1"/>
  <c r="BF1211" i="1" s="1"/>
  <c r="BG1211" i="1" s="1"/>
  <c r="BC319" i="1"/>
  <c r="BK319" i="1" s="1"/>
  <c r="BL319" i="1" s="1"/>
  <c r="BC1198" i="1"/>
  <c r="BF1198" i="1" s="1"/>
  <c r="BG1198" i="1" s="1"/>
  <c r="BC1489" i="1"/>
  <c r="BH1489" i="1" s="1"/>
  <c r="BC640" i="1"/>
  <c r="BH640" i="1" s="1"/>
  <c r="BC183" i="1"/>
  <c r="BF183" i="1" s="1"/>
  <c r="BG183" i="1" s="1"/>
  <c r="BC1148" i="1"/>
  <c r="BK1148" i="1" s="1"/>
  <c r="BL1148" i="1" s="1"/>
  <c r="BC941" i="1"/>
  <c r="BH941" i="1" s="1"/>
  <c r="BC1482" i="1"/>
  <c r="BF1482" i="1" s="1"/>
  <c r="BG1482" i="1" s="1"/>
  <c r="BC535" i="1"/>
  <c r="BF535" i="1" s="1"/>
  <c r="BG535" i="1" s="1"/>
  <c r="BC100" i="1"/>
  <c r="BH100" i="1" s="1"/>
  <c r="BC485" i="1"/>
  <c r="BF485" i="1" s="1"/>
  <c r="BG485" i="1" s="1"/>
  <c r="BC448" i="1"/>
  <c r="BH448" i="1" s="1"/>
  <c r="BC514" i="1"/>
  <c r="BH514" i="1" s="1"/>
  <c r="BC1494" i="1"/>
  <c r="BK1494" i="1" s="1"/>
  <c r="BL1494" i="1" s="1"/>
  <c r="BC932" i="1"/>
  <c r="BK932" i="1" s="1"/>
  <c r="BL932" i="1" s="1"/>
  <c r="BC959" i="1"/>
  <c r="BH959" i="1" s="1"/>
  <c r="BC1133" i="1"/>
  <c r="BF1133" i="1" s="1"/>
  <c r="BG1133" i="1" s="1"/>
  <c r="BC346" i="1"/>
  <c r="BH346" i="1" s="1"/>
  <c r="BC1618" i="1"/>
  <c r="BF1618" i="1" s="1"/>
  <c r="BG1618" i="1" s="1"/>
  <c r="BC724" i="1"/>
  <c r="BF724" i="1" s="1"/>
  <c r="BG724" i="1" s="1"/>
  <c r="BC592" i="1"/>
  <c r="BK592" i="1" s="1"/>
  <c r="BL592" i="1" s="1"/>
  <c r="BC866" i="1"/>
  <c r="BH866" i="1" s="1"/>
  <c r="BC178" i="1"/>
  <c r="BF178" i="1" s="1"/>
  <c r="BG178" i="1" s="1"/>
  <c r="BC313" i="1"/>
  <c r="BF313" i="1" s="1"/>
  <c r="BG313" i="1" s="1"/>
  <c r="BC477" i="1"/>
  <c r="BH477" i="1" s="1"/>
  <c r="BC802" i="1"/>
  <c r="BH802" i="1" s="1"/>
  <c r="BC1121" i="1"/>
  <c r="BF1121" i="1" s="1"/>
  <c r="BG1121" i="1" s="1"/>
  <c r="BC530" i="1"/>
  <c r="BH530" i="1" s="1"/>
  <c r="BC1327" i="1"/>
  <c r="BF1327" i="1" s="1"/>
  <c r="BG1327" i="1" s="1"/>
  <c r="BC591" i="1"/>
  <c r="BF591" i="1" s="1"/>
  <c r="BG591" i="1" s="1"/>
  <c r="BC706" i="1"/>
  <c r="BF706" i="1" s="1"/>
  <c r="BG706" i="1" s="1"/>
  <c r="BC440" i="1"/>
  <c r="BH440" i="1" s="1"/>
  <c r="BC1345" i="1"/>
  <c r="BK1345" i="1" s="1"/>
  <c r="BL1345" i="1" s="1"/>
  <c r="BC1362" i="1"/>
  <c r="BF1362" i="1" s="1"/>
  <c r="BG1362" i="1" s="1"/>
  <c r="BC404" i="1"/>
  <c r="BH404" i="1" s="1"/>
  <c r="BC480" i="1"/>
  <c r="BK480" i="1" s="1"/>
  <c r="BL480" i="1" s="1"/>
  <c r="BC1079" i="1"/>
  <c r="BK1079" i="1" s="1"/>
  <c r="BL1079" i="1" s="1"/>
  <c r="BC86" i="1"/>
  <c r="BF86" i="1" s="1"/>
  <c r="BG86" i="1" s="1"/>
  <c r="BC973" i="1"/>
  <c r="BK973" i="1" s="1"/>
  <c r="BL973" i="1" s="1"/>
  <c r="BC1604" i="1"/>
  <c r="BK1604" i="1" s="1"/>
  <c r="BL1604" i="1" s="1"/>
  <c r="BC24" i="1"/>
  <c r="BK24" i="1" s="1"/>
  <c r="BL24" i="1" s="1"/>
  <c r="BC190" i="1"/>
  <c r="BK190" i="1" s="1"/>
  <c r="BL190" i="1" s="1"/>
  <c r="BC76" i="1"/>
  <c r="BH76" i="1" s="1"/>
  <c r="BC899" i="1"/>
  <c r="BK899" i="1" s="1"/>
  <c r="BL899" i="1" s="1"/>
  <c r="BC890" i="1"/>
  <c r="BH890" i="1" s="1"/>
  <c r="BC352" i="1"/>
  <c r="BH352" i="1" s="1"/>
  <c r="BC1428" i="1"/>
  <c r="BF1428" i="1" s="1"/>
  <c r="BG1428" i="1" s="1"/>
  <c r="BC982" i="1"/>
  <c r="BF982" i="1" s="1"/>
  <c r="BG982" i="1" s="1"/>
  <c r="BC256" i="1"/>
  <c r="BH256" i="1" s="1"/>
  <c r="BC442" i="1"/>
  <c r="BH442" i="1" s="1"/>
  <c r="BC98" i="1"/>
  <c r="BH98" i="1" s="1"/>
  <c r="BC334" i="1"/>
  <c r="BK334" i="1" s="1"/>
  <c r="BL334" i="1" s="1"/>
  <c r="BC1648" i="1"/>
  <c r="BF1648" i="1" s="1"/>
  <c r="BG1648" i="1" s="1"/>
  <c r="BC509" i="1"/>
  <c r="BK509" i="1" s="1"/>
  <c r="BL509" i="1" s="1"/>
  <c r="BC512" i="1"/>
  <c r="BK512" i="1" s="1"/>
  <c r="BL512" i="1" s="1"/>
  <c r="BC1123" i="1"/>
  <c r="BF1123" i="1" s="1"/>
  <c r="BG1123" i="1" s="1"/>
  <c r="BC672" i="1"/>
  <c r="BF672" i="1" s="1"/>
  <c r="BG672" i="1" s="1"/>
  <c r="BC38" i="1"/>
  <c r="BH38" i="1" s="1"/>
  <c r="BC1545" i="1"/>
  <c r="BK1545" i="1" s="1"/>
  <c r="BL1545" i="1" s="1"/>
  <c r="BC335" i="1"/>
  <c r="BK335" i="1" s="1"/>
  <c r="BL335" i="1" s="1"/>
  <c r="BC816" i="1"/>
  <c r="BK816" i="1" s="1"/>
  <c r="BL816" i="1" s="1"/>
  <c r="BC1684" i="1"/>
  <c r="BH1684" i="1" s="1"/>
  <c r="BC1105" i="1"/>
  <c r="BH1105" i="1" s="1"/>
  <c r="BC755" i="1"/>
  <c r="BK755" i="1" s="1"/>
  <c r="BL755" i="1" s="1"/>
  <c r="BC704" i="1"/>
  <c r="BK704" i="1" s="1"/>
  <c r="BL704" i="1" s="1"/>
  <c r="BC639" i="1"/>
  <c r="BF639" i="1" s="1"/>
  <c r="BG639" i="1" s="1"/>
  <c r="BC494" i="1"/>
  <c r="BH494" i="1" s="1"/>
  <c r="BC689" i="1"/>
  <c r="BK689" i="1" s="1"/>
  <c r="BL689" i="1" s="1"/>
  <c r="BC804" i="1"/>
  <c r="BK804" i="1" s="1"/>
  <c r="BL804" i="1" s="1"/>
  <c r="BC87" i="1"/>
  <c r="BF87" i="1" s="1"/>
  <c r="BG87" i="1" s="1"/>
  <c r="BC1392" i="1"/>
  <c r="BF1392" i="1" s="1"/>
  <c r="BG1392" i="1" s="1"/>
  <c r="BC433" i="1"/>
  <c r="BK433" i="1" s="1"/>
  <c r="BL433" i="1" s="1"/>
  <c r="BC1639" i="1"/>
  <c r="BF1639" i="1" s="1"/>
  <c r="BG1639" i="1" s="1"/>
  <c r="BC1016" i="1"/>
  <c r="BH1016" i="1" s="1"/>
  <c r="BC845" i="1"/>
  <c r="BK845" i="1" s="1"/>
  <c r="BL845" i="1" s="1"/>
  <c r="BC1409" i="1"/>
  <c r="BH1409" i="1" s="1"/>
  <c r="BC1120" i="1"/>
  <c r="BF1120" i="1" s="1"/>
  <c r="BG1120" i="1" s="1"/>
  <c r="BC1515" i="1"/>
  <c r="BK1515" i="1" s="1"/>
  <c r="BL1515" i="1" s="1"/>
  <c r="BC766" i="1"/>
  <c r="BK766" i="1" s="1"/>
  <c r="BL766" i="1" s="1"/>
  <c r="BC1426" i="1"/>
  <c r="BH1426" i="1" s="1"/>
  <c r="BC1347" i="1"/>
  <c r="BF1347" i="1" s="1"/>
  <c r="BG1347" i="1" s="1"/>
  <c r="BC18" i="1"/>
  <c r="BH18" i="1" s="1"/>
  <c r="BC1389" i="1"/>
  <c r="BF1389" i="1" s="1"/>
  <c r="BG1389" i="1" s="1"/>
  <c r="BC649" i="1"/>
  <c r="BK649" i="1" s="1"/>
  <c r="BL649" i="1" s="1"/>
  <c r="BC229" i="1"/>
  <c r="BF229" i="1" s="1"/>
  <c r="BG229" i="1" s="1"/>
  <c r="BC443" i="1"/>
  <c r="BK443" i="1" s="1"/>
  <c r="BL443" i="1" s="1"/>
  <c r="BC1356" i="1"/>
  <c r="BH1356" i="1" s="1"/>
  <c r="BC324" i="1"/>
  <c r="BH324" i="1" s="1"/>
  <c r="BC1346" i="1"/>
  <c r="BH1346" i="1" s="1"/>
  <c r="BC1049" i="1"/>
  <c r="BF1049" i="1" s="1"/>
  <c r="BG1049" i="1" s="1"/>
  <c r="BC1414" i="1"/>
  <c r="BH1414" i="1" s="1"/>
  <c r="BC1394" i="1"/>
  <c r="BH1394" i="1" s="1"/>
  <c r="BC75" i="1"/>
  <c r="BH75" i="1" s="1"/>
  <c r="BC99" i="1"/>
  <c r="BH99" i="1" s="1"/>
  <c r="BC1262" i="1"/>
  <c r="BK1262" i="1" s="1"/>
  <c r="BL1262" i="1" s="1"/>
  <c r="BC1071" i="1"/>
  <c r="BH1071" i="1" s="1"/>
  <c r="BC1226" i="1"/>
  <c r="BF1226" i="1" s="1"/>
  <c r="BG1226" i="1" s="1"/>
  <c r="BC1574" i="1"/>
  <c r="BF1574" i="1" s="1"/>
  <c r="BG1574" i="1" s="1"/>
  <c r="BC1181" i="1"/>
  <c r="BF1181" i="1" s="1"/>
  <c r="BG1181" i="1" s="1"/>
  <c r="BC25" i="1"/>
  <c r="BK25" i="1" s="1"/>
  <c r="BL25" i="1" s="1"/>
  <c r="BC832" i="1"/>
  <c r="BK832" i="1" s="1"/>
  <c r="BL832" i="1" s="1"/>
  <c r="BC1728" i="1"/>
  <c r="BF1728" i="1" s="1"/>
  <c r="BG1728" i="1" s="1"/>
  <c r="BC80" i="1"/>
  <c r="BF80" i="1" s="1"/>
  <c r="BG80" i="1" s="1"/>
  <c r="BC1663" i="1"/>
  <c r="BF1663" i="1" s="1"/>
  <c r="BG1663" i="1" s="1"/>
  <c r="BC1408" i="1"/>
  <c r="BF1408" i="1" s="1"/>
  <c r="BG1408" i="1" s="1"/>
  <c r="BC1658" i="1"/>
  <c r="BK1658" i="1" s="1"/>
  <c r="BL1658" i="1" s="1"/>
  <c r="BC1193" i="1"/>
  <c r="BF1193" i="1" s="1"/>
  <c r="BG1193" i="1" s="1"/>
  <c r="BC781" i="1"/>
  <c r="BH781" i="1" s="1"/>
  <c r="BC617" i="1"/>
  <c r="BH617" i="1" s="1"/>
  <c r="BC341" i="1"/>
  <c r="BF341" i="1" s="1"/>
  <c r="BG341" i="1" s="1"/>
  <c r="BC926" i="1"/>
  <c r="BK926" i="1" s="1"/>
  <c r="BL926" i="1" s="1"/>
  <c r="BC690" i="1"/>
  <c r="BF690" i="1" s="1"/>
  <c r="BG690" i="1" s="1"/>
  <c r="BC171" i="1"/>
  <c r="BF171" i="1" s="1"/>
  <c r="BG171" i="1" s="1"/>
  <c r="BC1364" i="1"/>
  <c r="BK1364" i="1" s="1"/>
  <c r="BL1364" i="1" s="1"/>
  <c r="BC1601" i="1"/>
  <c r="BF1601" i="1" s="1"/>
  <c r="BG1601" i="1" s="1"/>
  <c r="BC528" i="1"/>
  <c r="BH528" i="1" s="1"/>
  <c r="BC502" i="1"/>
  <c r="BK502" i="1" s="1"/>
  <c r="BL502" i="1" s="1"/>
  <c r="BC1096" i="1"/>
  <c r="BF1096" i="1" s="1"/>
  <c r="BG1096" i="1" s="1"/>
  <c r="BC714" i="1"/>
  <c r="BH714" i="1" s="1"/>
  <c r="BC556" i="1"/>
  <c r="BK556" i="1" s="1"/>
  <c r="BL556" i="1" s="1"/>
  <c r="BC1126" i="1"/>
  <c r="BK1126" i="1" s="1"/>
  <c r="BL1126" i="1" s="1"/>
  <c r="BC288" i="1"/>
  <c r="BF288" i="1" s="1"/>
  <c r="BG288" i="1" s="1"/>
  <c r="BC1624" i="1"/>
  <c r="BH1624" i="1" s="1"/>
  <c r="BC301" i="1"/>
  <c r="BH301" i="1" s="1"/>
  <c r="BC1217" i="1"/>
  <c r="BH1217" i="1" s="1"/>
  <c r="BC39" i="1"/>
  <c r="BH39" i="1" s="1"/>
  <c r="BC172" i="1"/>
  <c r="BF172" i="1" s="1"/>
  <c r="BG172" i="1" s="1"/>
  <c r="BC824" i="1"/>
  <c r="BF824" i="1" s="1"/>
  <c r="BG824" i="1" s="1"/>
  <c r="BC1723" i="1"/>
  <c r="BF1723" i="1" s="1"/>
  <c r="BG1723" i="1" s="1"/>
  <c r="BC898" i="1"/>
  <c r="BF898" i="1" s="1"/>
  <c r="BG898" i="1" s="1"/>
  <c r="BC858" i="1"/>
  <c r="BH858" i="1" s="1"/>
  <c r="BC1509" i="1"/>
  <c r="BF1509" i="1" s="1"/>
  <c r="BG1509" i="1" s="1"/>
  <c r="BC466" i="1"/>
  <c r="BH466" i="1" s="1"/>
  <c r="BC606" i="1"/>
  <c r="BH606" i="1" s="1"/>
  <c r="BC257" i="1"/>
  <c r="BK257" i="1" s="1"/>
  <c r="BL257" i="1" s="1"/>
  <c r="BC741" i="1"/>
  <c r="BK741" i="1" s="1"/>
  <c r="BL741" i="1" s="1"/>
  <c r="BC1671" i="1"/>
  <c r="BF1671" i="1" s="1"/>
  <c r="BG1671" i="1" s="1"/>
  <c r="BC1712" i="1"/>
  <c r="BF1712" i="1" s="1"/>
  <c r="BG1712" i="1" s="1"/>
  <c r="BC120" i="1"/>
  <c r="BH120" i="1" s="1"/>
  <c r="BC1069" i="1"/>
  <c r="BF1069" i="1" s="1"/>
  <c r="BG1069" i="1" s="1"/>
  <c r="BC1562" i="1"/>
  <c r="BH1562" i="1" s="1"/>
  <c r="BC298" i="1"/>
  <c r="BF298" i="1" s="1"/>
  <c r="BG298" i="1" s="1"/>
  <c r="BC836" i="1"/>
  <c r="BH836" i="1" s="1"/>
  <c r="BC51" i="1"/>
  <c r="BF51" i="1" s="1"/>
  <c r="BG51" i="1" s="1"/>
  <c r="BC1366" i="1"/>
  <c r="BH1366" i="1" s="1"/>
  <c r="BC1229" i="1"/>
  <c r="BF1229" i="1" s="1"/>
  <c r="BG1229" i="1" s="1"/>
  <c r="BC1471" i="1"/>
  <c r="BK1471" i="1" s="1"/>
  <c r="BL1471" i="1" s="1"/>
  <c r="BC241" i="1"/>
  <c r="BF241" i="1" s="1"/>
  <c r="BG241" i="1" s="1"/>
  <c r="BC268" i="1"/>
  <c r="BK268" i="1" s="1"/>
  <c r="BL268" i="1" s="1"/>
  <c r="BC1551" i="1"/>
  <c r="BH1551" i="1" s="1"/>
  <c r="BC1022" i="1"/>
  <c r="BK1022" i="1" s="1"/>
  <c r="BL1022" i="1" s="1"/>
  <c r="BC1172" i="1"/>
  <c r="BF1172" i="1" s="1"/>
  <c r="BG1172" i="1" s="1"/>
  <c r="BC462" i="1"/>
  <c r="BK462" i="1" s="1"/>
  <c r="BL462" i="1" s="1"/>
  <c r="BC525" i="1"/>
  <c r="BF525" i="1" s="1"/>
  <c r="BG525" i="1" s="1"/>
  <c r="BC1586" i="1"/>
  <c r="BF1586" i="1" s="1"/>
  <c r="BG1586" i="1" s="1"/>
  <c r="BC63" i="1"/>
  <c r="BK63" i="1" s="1"/>
  <c r="BL63" i="1" s="1"/>
  <c r="BC822" i="1"/>
  <c r="BK822" i="1" s="1"/>
  <c r="BL822" i="1" s="1"/>
  <c r="BC877" i="1"/>
  <c r="BH877" i="1" s="1"/>
  <c r="BC569" i="1"/>
  <c r="BH569" i="1" s="1"/>
  <c r="BC630" i="1"/>
  <c r="BK630" i="1" s="1"/>
  <c r="BL630" i="1" s="1"/>
  <c r="BC935" i="1"/>
  <c r="BF935" i="1" s="1"/>
  <c r="BG935" i="1" s="1"/>
  <c r="BC358" i="1"/>
  <c r="BH358" i="1" s="1"/>
  <c r="BC1549" i="1"/>
  <c r="BF1549" i="1" s="1"/>
  <c r="BG1549" i="1" s="1"/>
  <c r="BC1242" i="1"/>
  <c r="BF1242" i="1" s="1"/>
  <c r="BG1242" i="1" s="1"/>
  <c r="BC1416" i="1"/>
  <c r="BK1416" i="1" s="1"/>
  <c r="BL1416" i="1" s="1"/>
  <c r="BC1717" i="1"/>
  <c r="BH1717" i="1" s="1"/>
  <c r="BC56" i="1"/>
  <c r="BF56" i="1" s="1"/>
  <c r="BG56" i="1" s="1"/>
  <c r="BC671" i="1"/>
  <c r="BH671" i="1" s="1"/>
  <c r="BC1617" i="1"/>
  <c r="BH1617" i="1" s="1"/>
  <c r="BC786" i="1"/>
  <c r="BK786" i="1" s="1"/>
  <c r="BL786" i="1" s="1"/>
  <c r="BC677" i="1"/>
  <c r="BK677" i="1" s="1"/>
  <c r="BL677" i="1" s="1"/>
  <c r="BC796" i="1"/>
  <c r="BK796" i="1" s="1"/>
  <c r="BL796" i="1" s="1"/>
  <c r="BC553" i="1"/>
  <c r="BH553" i="1" s="1"/>
  <c r="BC1590" i="1"/>
  <c r="BK1590" i="1" s="1"/>
  <c r="BL1590" i="1" s="1"/>
  <c r="BC1631" i="1"/>
  <c r="BK1631" i="1" s="1"/>
  <c r="BL1631" i="1" s="1"/>
  <c r="BC770" i="1"/>
  <c r="BK770" i="1" s="1"/>
  <c r="BL770" i="1" s="1"/>
  <c r="BC1519" i="1"/>
  <c r="BK1519" i="1" s="1"/>
  <c r="BL1519" i="1" s="1"/>
  <c r="BC585" i="1"/>
  <c r="BK585" i="1" s="1"/>
  <c r="BL585" i="1" s="1"/>
  <c r="BC823" i="1"/>
  <c r="BF823" i="1" s="1"/>
  <c r="BG823" i="1" s="1"/>
  <c r="BC1622" i="1"/>
  <c r="BF1622" i="1" s="1"/>
  <c r="BG1622" i="1" s="1"/>
  <c r="BC145" i="1"/>
  <c r="BF145" i="1" s="1"/>
  <c r="BG145" i="1" s="1"/>
  <c r="BC760" i="1"/>
  <c r="BH760" i="1" s="1"/>
  <c r="BC364" i="1"/>
  <c r="BH364" i="1" s="1"/>
  <c r="BB1220" i="1"/>
  <c r="BH343" i="1"/>
  <c r="BC489" i="1"/>
  <c r="BC619" i="1"/>
  <c r="BC1042" i="1"/>
  <c r="BC1502" i="1"/>
  <c r="BC762" i="1"/>
  <c r="BC872" i="1"/>
  <c r="BC1714" i="1"/>
  <c r="BC1230" i="1"/>
  <c r="BC610" i="1"/>
  <c r="BC159" i="1"/>
  <c r="BC401" i="1"/>
  <c r="BC397" i="1"/>
  <c r="BC445" i="1"/>
  <c r="BC45" i="1"/>
  <c r="BC153" i="1"/>
  <c r="BC628" i="1"/>
  <c r="BC1149" i="1"/>
  <c r="BC951" i="1"/>
  <c r="BC882" i="1"/>
  <c r="BC905" i="1"/>
  <c r="BC1445" i="1"/>
  <c r="BC637" i="1"/>
  <c r="BC950" i="1"/>
  <c r="BC1378" i="1"/>
  <c r="BC881" i="1"/>
  <c r="BC1470" i="1"/>
  <c r="BC921" i="1"/>
  <c r="BC1075" i="1"/>
  <c r="BC702" i="1"/>
  <c r="BC589" i="1"/>
  <c r="BC344" i="1"/>
  <c r="BC167" i="1"/>
  <c r="BC1504" i="1"/>
  <c r="BC1500" i="1"/>
  <c r="BC539" i="1"/>
  <c r="BC1138" i="1"/>
  <c r="BC456" i="1"/>
  <c r="BC407" i="1"/>
  <c r="BC559" i="1"/>
  <c r="BC437" i="1"/>
  <c r="BC476" i="1"/>
  <c r="BC1001" i="1"/>
  <c r="BC601" i="1"/>
  <c r="BC1683" i="1"/>
  <c r="BC814" i="1"/>
  <c r="BC1068" i="1"/>
  <c r="BC821" i="1"/>
  <c r="BC1689" i="1"/>
  <c r="BC873" i="1"/>
  <c r="BC889" i="1"/>
  <c r="BC810" i="1"/>
  <c r="BC465" i="1"/>
  <c r="BC212" i="1"/>
  <c r="BC779" i="1"/>
  <c r="BC1371" i="1"/>
  <c r="BC868" i="1"/>
  <c r="BC174" i="1"/>
  <c r="BC1552" i="1"/>
  <c r="BC1204" i="1"/>
  <c r="BC55" i="1"/>
  <c r="BC1004" i="1"/>
  <c r="BC1507" i="1"/>
  <c r="BC1438" i="1"/>
  <c r="BC1679" i="1"/>
  <c r="BC691" i="1"/>
  <c r="BC412" i="1"/>
  <c r="BC181" i="1"/>
  <c r="BC1161" i="1"/>
  <c r="BC1060" i="1"/>
  <c r="BC663" i="1"/>
  <c r="BC1403" i="1"/>
  <c r="BC328" i="1"/>
  <c r="BC308" i="1"/>
  <c r="BC135" i="1"/>
  <c r="BC1233" i="1"/>
  <c r="BC1237" i="1"/>
  <c r="BC1299" i="1"/>
  <c r="BC1492" i="1"/>
  <c r="BC357" i="1"/>
  <c r="BC900" i="1"/>
  <c r="BC1449" i="1"/>
  <c r="BC1589" i="1"/>
  <c r="BC1381" i="1"/>
  <c r="BC1418" i="1"/>
  <c r="BC1466" i="1"/>
  <c r="BC1248" i="1"/>
  <c r="BC1697" i="1"/>
  <c r="BC998" i="1"/>
  <c r="BC1207" i="1"/>
  <c r="BC1415" i="1"/>
  <c r="BC1613" i="1"/>
  <c r="BC1363" i="1"/>
  <c r="BC186" i="1"/>
  <c r="BC1010" i="1"/>
  <c r="BC1536" i="1"/>
  <c r="BC1528" i="1"/>
  <c r="BC1194" i="1"/>
  <c r="BC1627" i="1"/>
  <c r="BC1352" i="1"/>
  <c r="BC252" i="1"/>
  <c r="BC918" i="1"/>
  <c r="BC838" i="1"/>
  <c r="BC1350" i="1"/>
  <c r="BC1218" i="1"/>
  <c r="BC607" i="1"/>
  <c r="BC629" i="1"/>
  <c r="BC812" i="1"/>
  <c r="BC1128" i="1"/>
  <c r="BC211" i="1"/>
  <c r="BC956" i="1"/>
  <c r="BC1649" i="1"/>
  <c r="BC738" i="1"/>
  <c r="BC551" i="1"/>
  <c r="BC263" i="1"/>
  <c r="BC572" i="1"/>
  <c r="BC1333" i="1"/>
  <c r="BC709" i="1"/>
  <c r="BC1026" i="1"/>
  <c r="BC1173" i="1"/>
  <c r="BC648" i="1"/>
  <c r="BC576" i="1"/>
  <c r="BC547" i="1"/>
  <c r="BC71" i="1"/>
  <c r="BC1606" i="1"/>
  <c r="BC1279" i="1"/>
  <c r="BC1715" i="1"/>
  <c r="BC1275" i="1"/>
  <c r="BC113" i="1"/>
  <c r="BC27" i="1"/>
  <c r="BC1646" i="1"/>
  <c r="BC1488" i="1"/>
  <c r="BC1321" i="1"/>
  <c r="BC1531" i="1"/>
  <c r="BC1444" i="1"/>
  <c r="BC231" i="1"/>
  <c r="BC811" i="1"/>
  <c r="BC1625" i="1"/>
  <c r="BC1083" i="1"/>
  <c r="BC773" i="1"/>
  <c r="BC871" i="1"/>
  <c r="BC1041" i="1"/>
  <c r="BC240" i="1"/>
  <c r="BC446" i="1"/>
  <c r="BC715" i="1"/>
  <c r="BC160" i="1"/>
  <c r="BC1341" i="1"/>
  <c r="BC1473" i="1"/>
  <c r="BC432" i="1"/>
  <c r="BC540" i="1"/>
  <c r="BC1215" i="1"/>
  <c r="BC106" i="1"/>
  <c r="BC1085" i="1"/>
  <c r="BC1673" i="1"/>
  <c r="BC1477" i="1"/>
  <c r="BC1219" i="1"/>
  <c r="BC54" i="1"/>
  <c r="BC273" i="1"/>
  <c r="BC807" i="1"/>
  <c r="BC799" i="1"/>
  <c r="BC430" i="1"/>
  <c r="BC1154" i="1"/>
  <c r="BC245" i="1"/>
  <c r="BC636" i="1"/>
  <c r="BC463" i="1"/>
  <c r="BC1003" i="1"/>
  <c r="BC1413" i="1"/>
  <c r="BC1108" i="1"/>
  <c r="BC1577" i="1"/>
  <c r="BC272" i="1"/>
  <c r="BC129" i="1"/>
  <c r="BC620" i="1"/>
  <c r="BC1094" i="1"/>
  <c r="BC800" i="1"/>
  <c r="BC744" i="1"/>
  <c r="BC62" i="1"/>
  <c r="BC1475" i="1"/>
  <c r="BB4" i="1"/>
  <c r="BB3" i="1"/>
  <c r="BC1620" i="1"/>
  <c r="BC128" i="1"/>
  <c r="BC1221" i="1"/>
  <c r="BC289" i="1"/>
  <c r="BC1570" i="1"/>
  <c r="BC1169" i="1"/>
  <c r="BC1119" i="1"/>
  <c r="BC820" i="1"/>
  <c r="BC1175" i="1"/>
  <c r="BC977" i="1"/>
  <c r="BC1177" i="1"/>
  <c r="BC526" i="1"/>
  <c r="BC1086" i="1"/>
  <c r="BC1437" i="1"/>
  <c r="BC1633" i="1"/>
  <c r="BC1185" i="1"/>
  <c r="BC389" i="1"/>
  <c r="BC1630" i="1"/>
  <c r="BC1382" i="1"/>
  <c r="BC730" i="1"/>
  <c r="BC888" i="1"/>
  <c r="BC768" i="1"/>
  <c r="BC722" i="1"/>
  <c r="BC40" i="1"/>
  <c r="BC1595" i="1"/>
  <c r="BC48" i="1"/>
  <c r="BC681" i="1"/>
  <c r="BC840" i="1"/>
  <c r="BC1704" i="1"/>
  <c r="BC616" i="1"/>
  <c r="BC1328" i="1"/>
  <c r="BC262" i="1"/>
  <c r="BC411" i="1"/>
  <c r="BC1144" i="1"/>
  <c r="BC623" i="1"/>
  <c r="BC952" i="1"/>
  <c r="BC1166" i="1"/>
  <c r="BC427" i="1"/>
  <c r="BC377" i="1"/>
  <c r="BC169" i="1"/>
  <c r="BC453" i="1"/>
  <c r="BC933" i="1"/>
  <c r="BC1469" i="1"/>
  <c r="BC613" i="1"/>
  <c r="BC185" i="1"/>
  <c r="BC1112" i="1"/>
  <c r="BC314" i="1"/>
  <c r="BC1332" i="1"/>
  <c r="BC716" i="1"/>
  <c r="BC1713" i="1"/>
  <c r="BC507" i="1"/>
  <c r="BC1104" i="1"/>
  <c r="BC1563" i="1"/>
  <c r="BC739" i="1"/>
  <c r="BC317" i="1"/>
  <c r="BC1544" i="1"/>
  <c r="BC850" i="1"/>
  <c r="BC801" i="1"/>
  <c r="BC917" i="1"/>
  <c r="BC1261" i="1"/>
  <c r="BC1295" i="1"/>
  <c r="BC1090" i="1"/>
  <c r="BC1199" i="1"/>
  <c r="BC1711" i="1"/>
  <c r="BC1527" i="1"/>
  <c r="BC1293" i="1"/>
  <c r="BC1306" i="1"/>
  <c r="BC1638" i="1"/>
  <c r="BC1100" i="1"/>
  <c r="BC1597" i="1"/>
  <c r="BC131" i="1"/>
  <c r="BC236" i="1"/>
  <c r="BC327" i="1"/>
  <c r="BC1307" i="1"/>
  <c r="BC1727" i="1"/>
  <c r="BC1197" i="1"/>
  <c r="BC275" i="1"/>
  <c r="BC1591" i="1"/>
  <c r="BC191" i="1"/>
  <c r="BC101" i="1"/>
  <c r="BC964" i="1"/>
  <c r="BC1398" i="1"/>
  <c r="BC1214" i="1"/>
  <c r="BC588" i="1"/>
  <c r="BC1657" i="1"/>
  <c r="BC232" i="1"/>
  <c r="BC265" i="1"/>
  <c r="BC1722" i="1"/>
  <c r="BC1593" i="1"/>
  <c r="BC136" i="1"/>
  <c r="BC1152" i="1"/>
  <c r="BK56" i="1"/>
  <c r="BL56" i="1" s="1"/>
  <c r="BH395" i="1"/>
  <c r="BB1703" i="1"/>
  <c r="BH743" i="1"/>
  <c r="BK684" i="1"/>
  <c r="BL684" i="1" s="1"/>
  <c r="BH684" i="1"/>
  <c r="BF684" i="1"/>
  <c r="BG684" i="1" s="1"/>
  <c r="BH370" i="1"/>
  <c r="BK370" i="1"/>
  <c r="BL370" i="1" s="1"/>
  <c r="BF370" i="1"/>
  <c r="BG370" i="1" s="1"/>
  <c r="BD744" i="1"/>
  <c r="BI744" i="1" s="1"/>
  <c r="BD1699" i="1"/>
  <c r="BI1699" i="1" s="1"/>
  <c r="BD1274" i="1"/>
  <c r="BI1274" i="1" s="1"/>
  <c r="BD93" i="1"/>
  <c r="BI93" i="1" s="1"/>
  <c r="BD793" i="1"/>
  <c r="BI793" i="1" s="1"/>
  <c r="BD291" i="1"/>
  <c r="BI291" i="1" s="1"/>
  <c r="BD1623" i="1"/>
  <c r="BI1623" i="1" s="1"/>
  <c r="BD377" i="1"/>
  <c r="BI377" i="1" s="1"/>
  <c r="BD370" i="1"/>
  <c r="BI370" i="1" s="1"/>
  <c r="BD419" i="1"/>
  <c r="BI419" i="1" s="1"/>
  <c r="BD978" i="1"/>
  <c r="BI978" i="1" s="1"/>
  <c r="BD443" i="1"/>
  <c r="BI443" i="1" s="1"/>
  <c r="BD1484" i="1"/>
  <c r="BI1484" i="1" s="1"/>
  <c r="BD1620" i="1"/>
  <c r="BI1620" i="1" s="1"/>
  <c r="BD424" i="1"/>
  <c r="BI424" i="1" s="1"/>
  <c r="BD465" i="1"/>
  <c r="BI465" i="1" s="1"/>
  <c r="BD215" i="1"/>
  <c r="BI215" i="1" s="1"/>
  <c r="BD485" i="1"/>
  <c r="BI485" i="1" s="1"/>
  <c r="BD912" i="1"/>
  <c r="BI912" i="1" s="1"/>
  <c r="BD505" i="1"/>
  <c r="BI505" i="1" s="1"/>
  <c r="BD1702" i="1"/>
  <c r="BI1702" i="1" s="1"/>
  <c r="BD1622" i="1"/>
  <c r="BI1622" i="1" s="1"/>
  <c r="BD1613" i="1"/>
  <c r="BI1613" i="1" s="1"/>
  <c r="BD204" i="1"/>
  <c r="BI204" i="1" s="1"/>
  <c r="BD507" i="1"/>
  <c r="BI507" i="1" s="1"/>
  <c r="BD800" i="1"/>
  <c r="BI800" i="1" s="1"/>
  <c r="BD740" i="1"/>
  <c r="BI740" i="1" s="1"/>
  <c r="BD813" i="1"/>
  <c r="BI813" i="1" s="1"/>
  <c r="BD626" i="1"/>
  <c r="BI626" i="1" s="1"/>
  <c r="BD1049" i="1"/>
  <c r="BI1049" i="1" s="1"/>
  <c r="BD108" i="1"/>
  <c r="BI108" i="1" s="1"/>
  <c r="BD1261" i="1"/>
  <c r="BI1261" i="1" s="1"/>
  <c r="BD1408" i="1"/>
  <c r="BI1408" i="1" s="1"/>
  <c r="BD1326" i="1"/>
  <c r="BI1326" i="1" s="1"/>
  <c r="BD545" i="1"/>
  <c r="BI545" i="1" s="1"/>
  <c r="BD1090" i="1"/>
  <c r="BI1090" i="1" s="1"/>
  <c r="BD1088" i="1"/>
  <c r="BI1088" i="1" s="1"/>
  <c r="BD1072" i="1"/>
  <c r="BI1072" i="1" s="1"/>
  <c r="BD645" i="1"/>
  <c r="BI645" i="1" s="1"/>
  <c r="BD552" i="1"/>
  <c r="BI552" i="1" s="1"/>
  <c r="BD45" i="1"/>
  <c r="BI45" i="1" s="1"/>
  <c r="BD539" i="1"/>
  <c r="BI539" i="1" s="1"/>
  <c r="BD1037" i="1"/>
  <c r="BI1037" i="1" s="1"/>
  <c r="BD638" i="1"/>
  <c r="BI638" i="1" s="1"/>
  <c r="BD82" i="1"/>
  <c r="BI82" i="1" s="1"/>
  <c r="BD949" i="1"/>
  <c r="BI949" i="1" s="1"/>
  <c r="BD698" i="1"/>
  <c r="BI698" i="1" s="1"/>
  <c r="BD1593" i="1"/>
  <c r="BI1593" i="1" s="1"/>
  <c r="BD749" i="1"/>
  <c r="BI749" i="1" s="1"/>
  <c r="BD300" i="1"/>
  <c r="BI300" i="1" s="1"/>
  <c r="BD665" i="1"/>
  <c r="BI665" i="1" s="1"/>
  <c r="BD308" i="1"/>
  <c r="BI308" i="1" s="1"/>
  <c r="BD895" i="1"/>
  <c r="BI895" i="1" s="1"/>
  <c r="BD1545" i="1"/>
  <c r="BI1545" i="1" s="1"/>
  <c r="BD415" i="1"/>
  <c r="BI415" i="1" s="1"/>
  <c r="BD1101" i="1"/>
  <c r="BI1101" i="1" s="1"/>
  <c r="BD1494" i="1"/>
  <c r="BI1494" i="1" s="1"/>
  <c r="BD62" i="1"/>
  <c r="BI62" i="1" s="1"/>
  <c r="BD1077" i="1"/>
  <c r="BI1077" i="1" s="1"/>
  <c r="BD1499" i="1"/>
  <c r="BI1499" i="1" s="1"/>
  <c r="BD1194" i="1"/>
  <c r="BI1194" i="1" s="1"/>
  <c r="BD345" i="1"/>
  <c r="BI345" i="1" s="1"/>
  <c r="BD600" i="1"/>
  <c r="BI600" i="1" s="1"/>
  <c r="BD1151" i="1"/>
  <c r="BI1151" i="1" s="1"/>
  <c r="BD1318" i="1"/>
  <c r="BI1318" i="1" s="1"/>
  <c r="BD576" i="1"/>
  <c r="BI576" i="1" s="1"/>
  <c r="BD1721" i="1"/>
  <c r="BI1721" i="1" s="1"/>
  <c r="BD528" i="1"/>
  <c r="BI528" i="1" s="1"/>
  <c r="BD481" i="1"/>
  <c r="BI481" i="1" s="1"/>
  <c r="BD161" i="1"/>
  <c r="BI161" i="1" s="1"/>
  <c r="BD893" i="1"/>
  <c r="BI893" i="1" s="1"/>
  <c r="BD937" i="1"/>
  <c r="BI937" i="1" s="1"/>
  <c r="BD837" i="1"/>
  <c r="BI837" i="1" s="1"/>
  <c r="BD1363" i="1"/>
  <c r="BI1363" i="1" s="1"/>
  <c r="BD874" i="1"/>
  <c r="BI874" i="1" s="1"/>
  <c r="BD1703" i="1"/>
  <c r="BI1703" i="1" s="1"/>
  <c r="BD853" i="1"/>
  <c r="BI853" i="1" s="1"/>
  <c r="BD776" i="1"/>
  <c r="BI776" i="1" s="1"/>
  <c r="BD396" i="1"/>
  <c r="BI396" i="1" s="1"/>
  <c r="BD955" i="1"/>
  <c r="BI955" i="1" s="1"/>
  <c r="BD877" i="1"/>
  <c r="BI877" i="1" s="1"/>
  <c r="BD1391" i="1"/>
  <c r="BI1391" i="1" s="1"/>
  <c r="BD134" i="1"/>
  <c r="BI134" i="1" s="1"/>
  <c r="BD334" i="1"/>
  <c r="BI334" i="1" s="1"/>
  <c r="BD1080" i="1"/>
  <c r="BI1080" i="1" s="1"/>
  <c r="BD1070" i="1"/>
  <c r="BI1070" i="1" s="1"/>
  <c r="BD273" i="1"/>
  <c r="BI273" i="1" s="1"/>
  <c r="BD834" i="1"/>
  <c r="BI834" i="1" s="1"/>
  <c r="BD1329" i="1"/>
  <c r="BI1329" i="1" s="1"/>
  <c r="BD381" i="1"/>
  <c r="BI381" i="1" s="1"/>
  <c r="BD1569" i="1"/>
  <c r="BI1569" i="1" s="1"/>
  <c r="BD272" i="1"/>
  <c r="BI272" i="1" s="1"/>
  <c r="BD399" i="1"/>
  <c r="BI399" i="1" s="1"/>
  <c r="BD1166" i="1"/>
  <c r="BI1166" i="1" s="1"/>
  <c r="BD341" i="1"/>
  <c r="BI341" i="1" s="1"/>
  <c r="BD879" i="1"/>
  <c r="BI879" i="1" s="1"/>
  <c r="BD1541" i="1"/>
  <c r="BI1541" i="1" s="1"/>
  <c r="BD1146" i="1"/>
  <c r="BI1146" i="1" s="1"/>
  <c r="BD299" i="1"/>
  <c r="BI299" i="1" s="1"/>
  <c r="BD1673" i="1"/>
  <c r="BI1673" i="1" s="1"/>
  <c r="BD449" i="1"/>
  <c r="BI449" i="1" s="1"/>
  <c r="BD1149" i="1"/>
  <c r="BI1149" i="1" s="1"/>
  <c r="BD827" i="1"/>
  <c r="BI827" i="1" s="1"/>
  <c r="BD1416" i="1"/>
  <c r="BI1416" i="1" s="1"/>
  <c r="BD1502" i="1"/>
  <c r="BI1502" i="1" s="1"/>
  <c r="BD867" i="1"/>
  <c r="BI867" i="1" s="1"/>
  <c r="BD1349" i="1"/>
  <c r="BI1349" i="1" s="1"/>
  <c r="BD820" i="1"/>
  <c r="BI820" i="1" s="1"/>
  <c r="BD960" i="1"/>
  <c r="BI960" i="1" s="1"/>
  <c r="BD1640" i="1"/>
  <c r="BI1640" i="1" s="1"/>
  <c r="BD625" i="1"/>
  <c r="BI625" i="1" s="1"/>
  <c r="BD1612" i="1"/>
  <c r="BI1612" i="1" s="1"/>
  <c r="BD746" i="1"/>
  <c r="BI746" i="1" s="1"/>
  <c r="BD1157" i="1"/>
  <c r="BI1157" i="1" s="1"/>
  <c r="BD25" i="1"/>
  <c r="BI25" i="1" s="1"/>
  <c r="BD451" i="1"/>
  <c r="BI451" i="1" s="1"/>
  <c r="BD560" i="1"/>
  <c r="BI560" i="1" s="1"/>
  <c r="BD1242" i="1"/>
  <c r="BI1242" i="1" s="1"/>
  <c r="BD1353" i="1"/>
  <c r="BI1353" i="1" s="1"/>
  <c r="BD376" i="1"/>
  <c r="BI376" i="1" s="1"/>
  <c r="BD453" i="1"/>
  <c r="BI453" i="1" s="1"/>
  <c r="BD1372" i="1"/>
  <c r="BI1372" i="1" s="1"/>
  <c r="BD1061" i="1"/>
  <c r="BI1061" i="1" s="1"/>
  <c r="BD1660" i="1"/>
  <c r="BI1660" i="1" s="1"/>
  <c r="BD1248" i="1"/>
  <c r="BI1248" i="1" s="1"/>
  <c r="BD1307" i="1"/>
  <c r="BI1307" i="1" s="1"/>
  <c r="BD1327" i="1"/>
  <c r="BI1327" i="1" s="1"/>
  <c r="BD1059" i="1"/>
  <c r="BI1059" i="1" s="1"/>
  <c r="BD881" i="1"/>
  <c r="BI881" i="1" s="1"/>
  <c r="BD357" i="1"/>
  <c r="BI357" i="1" s="1"/>
  <c r="BD336" i="1"/>
  <c r="BI336" i="1" s="1"/>
  <c r="BD1114" i="1"/>
  <c r="BI1114" i="1" s="1"/>
  <c r="BD1225" i="1"/>
  <c r="BI1225" i="1" s="1"/>
  <c r="BD418" i="1"/>
  <c r="BI418" i="1" s="1"/>
  <c r="BD426" i="1"/>
  <c r="BI426" i="1" s="1"/>
  <c r="BD1232" i="1"/>
  <c r="BI1232" i="1" s="1"/>
  <c r="BD1298" i="1"/>
  <c r="BI1298" i="1" s="1"/>
  <c r="BD1085" i="1"/>
  <c r="BI1085" i="1" s="1"/>
  <c r="BD1123" i="1"/>
  <c r="BI1123" i="1" s="1"/>
  <c r="BD1671" i="1"/>
  <c r="BI1671" i="1" s="1"/>
  <c r="BD494" i="1"/>
  <c r="BI494" i="1" s="1"/>
  <c r="BD365" i="1"/>
  <c r="BI365" i="1" s="1"/>
  <c r="BD520" i="1"/>
  <c r="BI520" i="1" s="1"/>
  <c r="BD1328" i="1"/>
  <c r="BI1328" i="1" s="1"/>
  <c r="BD1365" i="1"/>
  <c r="BI1365" i="1" s="1"/>
  <c r="BD1628" i="1"/>
  <c r="BI1628" i="1" s="1"/>
  <c r="BD854" i="1"/>
  <c r="BI854" i="1" s="1"/>
  <c r="BD292" i="1"/>
  <c r="BI292" i="1" s="1"/>
  <c r="BD1475" i="1"/>
  <c r="BI1475" i="1" s="1"/>
  <c r="BD914" i="1"/>
  <c r="BI914" i="1" s="1"/>
  <c r="BD1172" i="1"/>
  <c r="BI1172" i="1" s="1"/>
  <c r="BD170" i="1"/>
  <c r="BI170" i="1" s="1"/>
  <c r="BD936" i="1"/>
  <c r="BI936" i="1" s="1"/>
  <c r="BD313" i="1"/>
  <c r="BI313" i="1" s="1"/>
  <c r="BD346" i="1"/>
  <c r="BI346" i="1" s="1"/>
  <c r="BD1520" i="1"/>
  <c r="BI1520" i="1" s="1"/>
  <c r="BD1293" i="1"/>
  <c r="BI1293" i="1" s="1"/>
  <c r="BD1727" i="1"/>
  <c r="BI1727" i="1" s="1"/>
  <c r="BD649" i="1"/>
  <c r="BI649" i="1" s="1"/>
  <c r="BD1713" i="1"/>
  <c r="BI1713" i="1" s="1"/>
  <c r="BD1342" i="1"/>
  <c r="BI1342" i="1" s="1"/>
  <c r="BD670" i="1"/>
  <c r="BI670" i="1" s="1"/>
  <c r="BD1434" i="1"/>
  <c r="BI1434" i="1" s="1"/>
  <c r="BD1591" i="1"/>
  <c r="BI1591" i="1" s="1"/>
  <c r="BD1300" i="1"/>
  <c r="BI1300" i="1" s="1"/>
  <c r="BD137" i="1"/>
  <c r="BI137" i="1" s="1"/>
  <c r="BD1585" i="1"/>
  <c r="BI1585" i="1" s="1"/>
  <c r="BD832" i="1"/>
  <c r="BI832" i="1" s="1"/>
  <c r="BD431" i="1"/>
  <c r="BI431" i="1" s="1"/>
  <c r="BD603" i="1"/>
  <c r="BI603" i="1" s="1"/>
  <c r="BD248" i="1"/>
  <c r="BI248" i="1" s="1"/>
  <c r="BD1350" i="1"/>
  <c r="BI1350" i="1" s="1"/>
  <c r="BD615" i="1"/>
  <c r="BI615" i="1" s="1"/>
  <c r="BD858" i="1"/>
  <c r="BI858" i="1" s="1"/>
  <c r="BD132" i="1"/>
  <c r="BI132" i="1" s="1"/>
  <c r="BD903" i="1"/>
  <c r="BI903" i="1" s="1"/>
  <c r="BD1347" i="1"/>
  <c r="BI1347" i="1" s="1"/>
  <c r="BD463" i="1"/>
  <c r="BI463" i="1" s="1"/>
  <c r="BD64" i="1"/>
  <c r="BI64" i="1" s="1"/>
  <c r="BD66" i="1"/>
  <c r="BI66" i="1" s="1"/>
  <c r="BD1406" i="1"/>
  <c r="BI1406" i="1" s="1"/>
  <c r="BD1359" i="1"/>
  <c r="BI1359" i="1" s="1"/>
  <c r="BD103" i="1"/>
  <c r="BI103" i="1" s="1"/>
  <c r="BD378" i="1"/>
  <c r="BI378" i="1" s="1"/>
  <c r="BD16" i="1"/>
  <c r="BI16" i="1" s="1"/>
  <c r="BD1094" i="1"/>
  <c r="BI1094" i="1" s="1"/>
  <c r="BD781" i="1"/>
  <c r="BI781" i="1" s="1"/>
  <c r="BD730" i="1"/>
  <c r="BI730" i="1" s="1"/>
  <c r="BD19" i="1"/>
  <c r="BI19" i="1" s="1"/>
  <c r="BD420" i="1"/>
  <c r="BI420" i="1" s="1"/>
  <c r="BD803" i="1"/>
  <c r="BI803" i="1" s="1"/>
  <c r="BD1203" i="1"/>
  <c r="BI1203" i="1" s="1"/>
  <c r="BD1138" i="1"/>
  <c r="BI1138" i="1" s="1"/>
  <c r="BD405" i="1"/>
  <c r="BI405" i="1" s="1"/>
  <c r="BD30" i="1"/>
  <c r="BI30" i="1" s="1"/>
  <c r="BD127" i="1"/>
  <c r="BI127" i="1" s="1"/>
  <c r="BD758" i="1"/>
  <c r="BI758" i="1" s="1"/>
  <c r="BD619" i="1"/>
  <c r="BI619" i="1" s="1"/>
  <c r="BD456" i="1"/>
  <c r="BI456" i="1" s="1"/>
  <c r="BD974" i="1"/>
  <c r="BI974" i="1" s="1"/>
  <c r="BD1216" i="1"/>
  <c r="BI1216" i="1" s="1"/>
  <c r="BD1233" i="1"/>
  <c r="BI1233" i="1" s="1"/>
  <c r="BD1565" i="1"/>
  <c r="BI1565" i="1" s="1"/>
  <c r="BD1352" i="1"/>
  <c r="BI1352" i="1" s="1"/>
  <c r="BD1231" i="1"/>
  <c r="BI1231" i="1" s="1"/>
  <c r="BD1093" i="1"/>
  <c r="BI1093" i="1" s="1"/>
  <c r="BD692" i="1"/>
  <c r="BI692" i="1" s="1"/>
  <c r="BD1267" i="1"/>
  <c r="BI1267" i="1" s="1"/>
  <c r="BD189" i="1"/>
  <c r="BI189" i="1" s="1"/>
  <c r="BD1330" i="1"/>
  <c r="BI1330" i="1" s="1"/>
  <c r="BD270" i="1"/>
  <c r="BI270" i="1" s="1"/>
  <c r="BD1643" i="1"/>
  <c r="BI1643" i="1" s="1"/>
  <c r="BD118" i="1"/>
  <c r="BI118" i="1" s="1"/>
  <c r="BD403" i="1"/>
  <c r="BI403" i="1" s="1"/>
  <c r="BD1297" i="1"/>
  <c r="BI1297" i="1" s="1"/>
  <c r="BD404" i="1"/>
  <c r="BI404" i="1" s="1"/>
  <c r="BD1564" i="1"/>
  <c r="BI1564" i="1" s="1"/>
  <c r="BD1084" i="1"/>
  <c r="BI1084" i="1" s="1"/>
  <c r="BD1554" i="1"/>
  <c r="BI1554" i="1" s="1"/>
  <c r="BD704" i="1"/>
  <c r="BI704" i="1" s="1"/>
  <c r="BD650" i="1"/>
  <c r="BI650" i="1" s="1"/>
  <c r="BD224" i="1"/>
  <c r="BI224" i="1" s="1"/>
  <c r="BD412" i="1"/>
  <c r="BI412" i="1" s="1"/>
  <c r="BD486" i="1"/>
  <c r="BI486" i="1" s="1"/>
  <c r="BD395" i="1"/>
  <c r="BI395" i="1" s="1"/>
  <c r="BD769" i="1"/>
  <c r="BI769" i="1" s="1"/>
  <c r="BD1439" i="1"/>
  <c r="BI1439" i="1" s="1"/>
  <c r="BD1587" i="1"/>
  <c r="BI1587" i="1" s="1"/>
  <c r="BD249" i="1"/>
  <c r="BI249" i="1" s="1"/>
  <c r="BD80" i="1"/>
  <c r="BI80" i="1" s="1"/>
  <c r="BD1670" i="1"/>
  <c r="BI1670" i="1" s="1"/>
  <c r="BD1427" i="1"/>
  <c r="BI1427" i="1" s="1"/>
  <c r="BD39" i="1"/>
  <c r="BI39" i="1" s="1"/>
  <c r="BD646" i="1"/>
  <c r="BI646" i="1" s="1"/>
  <c r="BD1586" i="1"/>
  <c r="BI1586" i="1" s="1"/>
  <c r="BD664" i="1"/>
  <c r="BI664" i="1" s="1"/>
  <c r="BD1619" i="1"/>
  <c r="BI1619" i="1" s="1"/>
  <c r="BD959" i="1"/>
  <c r="BI959" i="1" s="1"/>
  <c r="BD642" i="1"/>
  <c r="BI642" i="1" s="1"/>
  <c r="BD74" i="1"/>
  <c r="BI74" i="1" s="1"/>
  <c r="BD143" i="1"/>
  <c r="BI143" i="1" s="1"/>
  <c r="BD1446" i="1"/>
  <c r="BI1446" i="1" s="1"/>
  <c r="BD1380" i="1"/>
  <c r="BI1380" i="1" s="1"/>
  <c r="BD1581" i="1"/>
  <c r="BI1581" i="1" s="1"/>
  <c r="BD952" i="1"/>
  <c r="BI952" i="1" s="1"/>
  <c r="BD548" i="1"/>
  <c r="BI548" i="1" s="1"/>
  <c r="BD1529" i="1"/>
  <c r="BI1529" i="1" s="1"/>
  <c r="BD1417" i="1"/>
  <c r="BI1417" i="1" s="1"/>
  <c r="BD278" i="1"/>
  <c r="BI278" i="1" s="1"/>
  <c r="BD471" i="1"/>
  <c r="BI471" i="1" s="1"/>
  <c r="BD231" i="1"/>
  <c r="BI231" i="1" s="1"/>
  <c r="BD701" i="1"/>
  <c r="BI701" i="1" s="1"/>
  <c r="BD566" i="1"/>
  <c r="BI566" i="1" s="1"/>
  <c r="BD792" i="1"/>
  <c r="BI792" i="1" s="1"/>
  <c r="BD1611" i="1"/>
  <c r="BI1611" i="1" s="1"/>
  <c r="BD78" i="1"/>
  <c r="BI78" i="1" s="1"/>
  <c r="BD277" i="1"/>
  <c r="BI277" i="1" s="1"/>
  <c r="BD1152" i="1"/>
  <c r="BI1152" i="1" s="1"/>
  <c r="BD1517" i="1"/>
  <c r="BI1517" i="1" s="1"/>
  <c r="BD1621" i="1"/>
  <c r="BI1621" i="1" s="1"/>
  <c r="BD553" i="1"/>
  <c r="BI553" i="1" s="1"/>
  <c r="BD477" i="1"/>
  <c r="BI477" i="1" s="1"/>
  <c r="BD821" i="1"/>
  <c r="BI821" i="1" s="1"/>
  <c r="BD408" i="1"/>
  <c r="BI408" i="1" s="1"/>
  <c r="BD549" i="1"/>
  <c r="BI549" i="1" s="1"/>
  <c r="BD255" i="1"/>
  <c r="BI255" i="1" s="1"/>
  <c r="BD114" i="1"/>
  <c r="BI114" i="1" s="1"/>
  <c r="BD1197" i="1"/>
  <c r="BI1197" i="1" s="1"/>
  <c r="BD1296" i="1"/>
  <c r="BI1296" i="1" s="1"/>
  <c r="BD213" i="1"/>
  <c r="BI213" i="1" s="1"/>
  <c r="BD92" i="1"/>
  <c r="BI92" i="1" s="1"/>
  <c r="BD470" i="1"/>
  <c r="BI470" i="1" s="1"/>
  <c r="BD1418" i="1"/>
  <c r="BI1418" i="1" s="1"/>
  <c r="BD981" i="1"/>
  <c r="BI981" i="1" s="1"/>
  <c r="BD760" i="1"/>
  <c r="BI760" i="1" s="1"/>
  <c r="BD90" i="1"/>
  <c r="BI90" i="1" s="1"/>
  <c r="BD1165" i="1"/>
  <c r="BI1165" i="1" s="1"/>
  <c r="BD1680" i="1"/>
  <c r="BI1680" i="1" s="1"/>
  <c r="BD1445" i="1"/>
  <c r="BI1445" i="1" s="1"/>
  <c r="BD159" i="1"/>
  <c r="BI159" i="1" s="1"/>
  <c r="BD1340" i="1"/>
  <c r="BI1340" i="1" s="1"/>
  <c r="BD925" i="1"/>
  <c r="BI925" i="1" s="1"/>
  <c r="BD452" i="1"/>
  <c r="BI452" i="1" s="1"/>
  <c r="BD679" i="1"/>
  <c r="BI679" i="1" s="1"/>
  <c r="BD677" i="1"/>
  <c r="BI677" i="1" s="1"/>
  <c r="BD785" i="1"/>
  <c r="BI785" i="1" s="1"/>
  <c r="BD24" i="1"/>
  <c r="BI24" i="1" s="1"/>
  <c r="BD694" i="1"/>
  <c r="BI694" i="1" s="1"/>
  <c r="BD726" i="1"/>
  <c r="BI726" i="1" s="1"/>
  <c r="BD186" i="1"/>
  <c r="BI186" i="1" s="1"/>
  <c r="BD922" i="1"/>
  <c r="BI922" i="1" s="1"/>
  <c r="BD1528" i="1"/>
  <c r="BI1528" i="1" s="1"/>
  <c r="BD838" i="1"/>
  <c r="BI838" i="1" s="1"/>
  <c r="BD1551" i="1"/>
  <c r="BI1551" i="1" s="1"/>
  <c r="BD535" i="1"/>
  <c r="BI535" i="1" s="1"/>
  <c r="BD382" i="1"/>
  <c r="BI382" i="1" s="1"/>
  <c r="BD887" i="1"/>
  <c r="BI887" i="1" s="1"/>
  <c r="BD873" i="1"/>
  <c r="BI873" i="1" s="1"/>
  <c r="BD29" i="1"/>
  <c r="BI29" i="1" s="1"/>
  <c r="BD577" i="1"/>
  <c r="BI577" i="1" s="1"/>
  <c r="BD1258" i="1"/>
  <c r="BI1258" i="1" s="1"/>
  <c r="BD1561" i="1"/>
  <c r="BI1561" i="1" s="1"/>
  <c r="BD1336" i="1"/>
  <c r="BI1336" i="1" s="1"/>
  <c r="BD230" i="1"/>
  <c r="BI230" i="1" s="1"/>
  <c r="BD826" i="1"/>
  <c r="BI826" i="1" s="1"/>
  <c r="BD1629" i="1"/>
  <c r="BI1629" i="1" s="1"/>
  <c r="BD669" i="1"/>
  <c r="BI669" i="1" s="1"/>
  <c r="BD581" i="1"/>
  <c r="BI581" i="1" s="1"/>
  <c r="BD506" i="1"/>
  <c r="BI506" i="1" s="1"/>
  <c r="BD1091" i="1"/>
  <c r="BI1091" i="1" s="1"/>
  <c r="BD1137" i="1"/>
  <c r="BI1137" i="1" s="1"/>
  <c r="BD818" i="1"/>
  <c r="BI818" i="1" s="1"/>
  <c r="BD178" i="1"/>
  <c r="BI178" i="1" s="1"/>
  <c r="BD1437" i="1"/>
  <c r="BI1437" i="1" s="1"/>
  <c r="BD160" i="1"/>
  <c r="BI160" i="1" s="1"/>
  <c r="BD1169" i="1"/>
  <c r="BI1169" i="1" s="1"/>
  <c r="BD435" i="1"/>
  <c r="BI435" i="1" s="1"/>
  <c r="BD335" i="1"/>
  <c r="BI335" i="1" s="1"/>
  <c r="BD1175" i="1"/>
  <c r="BI1175" i="1" s="1"/>
  <c r="BD561" i="1"/>
  <c r="BI561" i="1" s="1"/>
  <c r="BD1449" i="1"/>
  <c r="BI1449" i="1" s="1"/>
  <c r="BD427" i="1"/>
  <c r="BI427" i="1" s="1"/>
  <c r="BD1009" i="1"/>
  <c r="BI1009" i="1" s="1"/>
  <c r="BD325" i="1"/>
  <c r="BI325" i="1" s="1"/>
  <c r="BD588" i="1"/>
  <c r="BI588" i="1" s="1"/>
  <c r="BD586" i="1"/>
  <c r="BI586" i="1" s="1"/>
  <c r="BD1641" i="1"/>
  <c r="BI1641" i="1" s="1"/>
  <c r="BD875" i="1"/>
  <c r="BI875" i="1" s="1"/>
  <c r="BD630" i="1"/>
  <c r="BI630" i="1" s="1"/>
  <c r="BD287" i="1"/>
  <c r="BI287" i="1" s="1"/>
  <c r="BD663" i="1"/>
  <c r="BI663" i="1" s="1"/>
  <c r="BD28" i="1"/>
  <c r="BI28" i="1" s="1"/>
  <c r="BD572" i="1"/>
  <c r="BI572" i="1" s="1"/>
  <c r="BD1686" i="1"/>
  <c r="BI1686" i="1" s="1"/>
  <c r="BD845" i="1"/>
  <c r="BI845" i="1" s="1"/>
  <c r="BD1689" i="1"/>
  <c r="BI1689" i="1" s="1"/>
  <c r="BD1624" i="1"/>
  <c r="BI1624" i="1" s="1"/>
  <c r="BD182" i="1"/>
  <c r="BI182" i="1" s="1"/>
  <c r="BD1712" i="1"/>
  <c r="BI1712" i="1" s="1"/>
  <c r="BD729" i="1"/>
  <c r="BI729" i="1" s="1"/>
  <c r="BD568" i="1"/>
  <c r="BI568" i="1" s="1"/>
  <c r="BD476" i="1"/>
  <c r="BI476" i="1" s="1"/>
  <c r="BD1219" i="1"/>
  <c r="BI1219" i="1" s="1"/>
  <c r="BD1245" i="1"/>
  <c r="BI1245" i="1" s="1"/>
  <c r="BD1725" i="1"/>
  <c r="BI1725" i="1" s="1"/>
  <c r="BD747" i="1"/>
  <c r="BI747" i="1" s="1"/>
  <c r="BD913" i="1"/>
  <c r="BI913" i="1" s="1"/>
  <c r="BD256" i="1"/>
  <c r="BI256" i="1" s="1"/>
  <c r="BD1684" i="1"/>
  <c r="BI1684" i="1" s="1"/>
  <c r="BD1144" i="1"/>
  <c r="BI1144" i="1" s="1"/>
  <c r="BD1664" i="1"/>
  <c r="BI1664" i="1" s="1"/>
  <c r="BD258" i="1"/>
  <c r="BI258" i="1" s="1"/>
  <c r="BD1714" i="1"/>
  <c r="BI1714" i="1" s="1"/>
  <c r="BD1647" i="1"/>
  <c r="BI1647" i="1" s="1"/>
  <c r="BD1280" i="1"/>
  <c r="BI1280" i="1" s="1"/>
  <c r="BD296" i="1"/>
  <c r="BI296" i="1" s="1"/>
  <c r="BD623" i="1"/>
  <c r="BI623" i="1" s="1"/>
  <c r="BD428" i="1"/>
  <c r="BI428" i="1" s="1"/>
  <c r="BD807" i="1"/>
  <c r="BI807" i="1" s="1"/>
  <c r="BD439" i="1"/>
  <c r="BI439" i="1" s="1"/>
  <c r="BD761" i="1"/>
  <c r="BI761" i="1" s="1"/>
  <c r="BD447" i="1"/>
  <c r="BI447" i="1" s="1"/>
  <c r="BD267" i="1"/>
  <c r="BI267" i="1" s="1"/>
  <c r="BD1212" i="1"/>
  <c r="BI1212" i="1" s="1"/>
  <c r="BD965" i="1"/>
  <c r="BI965" i="1" s="1"/>
  <c r="BD120" i="1"/>
  <c r="BI120" i="1" s="1"/>
  <c r="BD1121" i="1"/>
  <c r="BI1121" i="1" s="1"/>
  <c r="BD816" i="1"/>
  <c r="BI816" i="1" s="1"/>
  <c r="BD368" i="1"/>
  <c r="BI368" i="1" s="1"/>
  <c r="BD556" i="1"/>
  <c r="BI556" i="1" s="1"/>
  <c r="BD322" i="1"/>
  <c r="BI322" i="1" s="1"/>
  <c r="BD1504" i="1"/>
  <c r="BI1504" i="1" s="1"/>
  <c r="BD394" i="1"/>
  <c r="BI394" i="1" s="1"/>
  <c r="BD768" i="1"/>
  <c r="BI768" i="1" s="1"/>
  <c r="BD1351" i="1"/>
  <c r="BI1351" i="1" s="1"/>
  <c r="BD1665" i="1"/>
  <c r="BI1665" i="1" s="1"/>
  <c r="BD1584" i="1"/>
  <c r="BI1584" i="1" s="1"/>
  <c r="BD112" i="1"/>
  <c r="BI112" i="1" s="1"/>
  <c r="BD1631" i="1"/>
  <c r="BI1631" i="1" s="1"/>
  <c r="BD924" i="1"/>
  <c r="BI924" i="1" s="1"/>
  <c r="BD1066" i="1"/>
  <c r="BI1066" i="1" s="1"/>
  <c r="BD703" i="1"/>
  <c r="BI703" i="1" s="1"/>
  <c r="BD1062" i="1"/>
  <c r="BI1062" i="1" s="1"/>
  <c r="BD448" i="1"/>
  <c r="BI448" i="1" s="1"/>
  <c r="BD289" i="1"/>
  <c r="BI289" i="1" s="1"/>
  <c r="BD1403" i="1"/>
  <c r="BI1403" i="1" s="1"/>
  <c r="BD976" i="1"/>
  <c r="BI976" i="1" s="1"/>
  <c r="BD1596" i="1"/>
  <c r="BI1596" i="1" s="1"/>
  <c r="BD1186" i="1"/>
  <c r="BI1186" i="1" s="1"/>
  <c r="BD794" i="1"/>
  <c r="BI794" i="1" s="1"/>
  <c r="BD402" i="1"/>
  <c r="BI402" i="1" s="1"/>
  <c r="BD411" i="1"/>
  <c r="BI411" i="1" s="1"/>
  <c r="BD1516" i="1"/>
  <c r="BI1516" i="1" s="1"/>
  <c r="BD889" i="1"/>
  <c r="BI889" i="1" s="1"/>
  <c r="BD1164" i="1"/>
  <c r="BI1164" i="1" s="1"/>
  <c r="BD331" i="1"/>
  <c r="BI331" i="1" s="1"/>
  <c r="BD550" i="1"/>
  <c r="BI550" i="1" s="1"/>
  <c r="BD184" i="1"/>
  <c r="BI184" i="1" s="1"/>
  <c r="BD653" i="1"/>
  <c r="BI653" i="1" s="1"/>
  <c r="BD1075" i="1"/>
  <c r="BI1075" i="1" s="1"/>
  <c r="BD422" i="1"/>
  <c r="BI422" i="1" s="1"/>
  <c r="BD766" i="1"/>
  <c r="BI766" i="1" s="1"/>
  <c r="BD509" i="1"/>
  <c r="BI509" i="1" s="1"/>
  <c r="BD95" i="1"/>
  <c r="BI95" i="1" s="1"/>
  <c r="BD1345" i="1"/>
  <c r="BI1345" i="1" s="1"/>
  <c r="BD1589" i="1"/>
  <c r="BI1589" i="1" s="1"/>
  <c r="BD511" i="1"/>
  <c r="BI511" i="1" s="1"/>
  <c r="BD708" i="1"/>
  <c r="BI708" i="1" s="1"/>
  <c r="BD343" i="1"/>
  <c r="BI343" i="1" s="1"/>
  <c r="BD515" i="1"/>
  <c r="BI515" i="1" s="1"/>
  <c r="BD1193" i="1"/>
  <c r="BI1193" i="1" s="1"/>
  <c r="BD715" i="1"/>
  <c r="BI715" i="1" s="1"/>
  <c r="BD1282" i="1"/>
  <c r="BI1282" i="1" s="1"/>
  <c r="BD1100" i="1"/>
  <c r="BI1100" i="1" s="1"/>
  <c r="BD899" i="1"/>
  <c r="BI899" i="1" s="1"/>
  <c r="BD963" i="1"/>
  <c r="BI963" i="1" s="1"/>
  <c r="BD628" i="1"/>
  <c r="BI628" i="1" s="1"/>
  <c r="BD234" i="1"/>
  <c r="BI234" i="1" s="1"/>
  <c r="BD1276" i="1"/>
  <c r="BI1276" i="1" s="1"/>
  <c r="BD319" i="1"/>
  <c r="BI319" i="1" s="1"/>
  <c r="BD1126" i="1"/>
  <c r="BI1126" i="1" s="1"/>
  <c r="BD145" i="1"/>
  <c r="BI145" i="1" s="1"/>
  <c r="BD147" i="1"/>
  <c r="BI147" i="1" s="1"/>
  <c r="BD590" i="1"/>
  <c r="BI590" i="1" s="1"/>
  <c r="BD876" i="1"/>
  <c r="BI876" i="1" s="1"/>
  <c r="BD1156" i="1"/>
  <c r="BI1156" i="1" s="1"/>
  <c r="BD1625" i="1"/>
  <c r="BI1625" i="1" s="1"/>
  <c r="BD430" i="1"/>
  <c r="BI430" i="1" s="1"/>
  <c r="BD397" i="1"/>
  <c r="BI397" i="1" s="1"/>
  <c r="BD1381" i="1"/>
  <c r="BI1381" i="1" s="1"/>
  <c r="BD1087" i="1"/>
  <c r="BI1087" i="1" s="1"/>
  <c r="BD42" i="1"/>
  <c r="BI42" i="1" s="1"/>
  <c r="BD508" i="1"/>
  <c r="BI508" i="1" s="1"/>
  <c r="BD191" i="1"/>
  <c r="BI191" i="1" s="1"/>
  <c r="BD678" i="1"/>
  <c r="BI678" i="1" s="1"/>
  <c r="BD236" i="1"/>
  <c r="BI236" i="1" s="1"/>
  <c r="BD263" i="1"/>
  <c r="BI263" i="1" s="1"/>
  <c r="BD850" i="1"/>
  <c r="BI850" i="1" s="1"/>
  <c r="BD1355" i="1"/>
  <c r="BI1355" i="1" s="1"/>
  <c r="BD1539" i="1"/>
  <c r="BI1539" i="1" s="1"/>
  <c r="BD501" i="1"/>
  <c r="BI501" i="1" s="1"/>
  <c r="BD1696" i="1"/>
  <c r="BI1696" i="1" s="1"/>
  <c r="BD1279" i="1"/>
  <c r="BI1279" i="1" s="1"/>
  <c r="BD1630" i="1"/>
  <c r="BI1630" i="1" s="1"/>
  <c r="BD1108" i="1"/>
  <c r="BI1108" i="1" s="1"/>
  <c r="BD745" i="1"/>
  <c r="BI745" i="1" s="1"/>
  <c r="BD972" i="1"/>
  <c r="BI972" i="1" s="1"/>
  <c r="BD1716" i="1"/>
  <c r="BI1716" i="1" s="1"/>
  <c r="BD1089" i="1"/>
  <c r="BI1089" i="1" s="1"/>
  <c r="BD349" i="1"/>
  <c r="BI349" i="1" s="1"/>
  <c r="BD328" i="1"/>
  <c r="BI328" i="1" s="1"/>
  <c r="BD1366" i="1"/>
  <c r="BI1366" i="1" s="1"/>
  <c r="BD1277" i="1"/>
  <c r="BI1277" i="1" s="1"/>
  <c r="BD1398" i="1"/>
  <c r="BI1398" i="1" s="1"/>
  <c r="BD245" i="1"/>
  <c r="BI245" i="1" s="1"/>
  <c r="BD627" i="1"/>
  <c r="BI627" i="1" s="1"/>
  <c r="BD1023" i="1"/>
  <c r="BI1023" i="1" s="1"/>
  <c r="BD964" i="1"/>
  <c r="BI964" i="1" s="1"/>
  <c r="BD775" i="1"/>
  <c r="BI775" i="1" s="1"/>
  <c r="BD817" i="1"/>
  <c r="BI817" i="1" s="1"/>
  <c r="BD23" i="1"/>
  <c r="BI23" i="1" s="1"/>
  <c r="BD266" i="1"/>
  <c r="BI266" i="1" s="1"/>
  <c r="BD1639" i="1"/>
  <c r="BI1639" i="1" s="1"/>
  <c r="BD98" i="1"/>
  <c r="BI98" i="1" s="1"/>
  <c r="BD871" i="1"/>
  <c r="BI871" i="1" s="1"/>
  <c r="BD614" i="1"/>
  <c r="BI614" i="1" s="1"/>
  <c r="BD1603" i="1"/>
  <c r="BI1603" i="1" s="1"/>
  <c r="BD1414" i="1"/>
  <c r="BI1414" i="1" s="1"/>
  <c r="BD1723" i="1"/>
  <c r="BI1723" i="1" s="1"/>
  <c r="BD1563" i="1"/>
  <c r="BI1563" i="1" s="1"/>
  <c r="BD1112" i="1"/>
  <c r="BI1112" i="1" s="1"/>
  <c r="BD1150" i="1"/>
  <c r="BI1150" i="1" s="1"/>
  <c r="BD1717" i="1"/>
  <c r="BI1717" i="1" s="1"/>
  <c r="BD1338" i="1"/>
  <c r="BI1338" i="1" s="1"/>
  <c r="BD1672" i="1"/>
  <c r="BI1672" i="1" s="1"/>
  <c r="BD467" i="1"/>
  <c r="BI467" i="1" s="1"/>
  <c r="BD608" i="1"/>
  <c r="BI608" i="1" s="1"/>
  <c r="BD233" i="1"/>
  <c r="BI233" i="1" s="1"/>
  <c r="BD96" i="1"/>
  <c r="BI96" i="1" s="1"/>
  <c r="BD400" i="1"/>
  <c r="BI400" i="1" s="1"/>
  <c r="BD1483" i="1"/>
  <c r="BI1483" i="1" s="1"/>
  <c r="BD537" i="1"/>
  <c r="BI537" i="1" s="1"/>
  <c r="BD725" i="1"/>
  <c r="BI725" i="1" s="1"/>
  <c r="BD1674" i="1"/>
  <c r="BI1674" i="1" s="1"/>
  <c r="BD926" i="1"/>
  <c r="BI926" i="1" s="1"/>
  <c r="BD1552" i="1"/>
  <c r="BI1552" i="1" s="1"/>
  <c r="BD1262" i="1"/>
  <c r="BI1262" i="1" s="1"/>
  <c r="BD372" i="1"/>
  <c r="BI372" i="1" s="1"/>
  <c r="BD1337" i="1"/>
  <c r="BI1337" i="1" s="1"/>
  <c r="BD83" i="1"/>
  <c r="BI83" i="1" s="1"/>
  <c r="BD480" i="1"/>
  <c r="BI480" i="1" s="1"/>
  <c r="BD720" i="1"/>
  <c r="BI720" i="1" s="1"/>
  <c r="BD1659" i="1"/>
  <c r="BI1659" i="1" s="1"/>
  <c r="BD152" i="1"/>
  <c r="BI152" i="1" s="1"/>
  <c r="BD1178" i="1"/>
  <c r="BI1178" i="1" s="1"/>
  <c r="BD1313" i="1"/>
  <c r="BI1313" i="1" s="1"/>
  <c r="BD1058" i="1"/>
  <c r="BI1058" i="1" s="1"/>
  <c r="BD1283" i="1"/>
  <c r="BI1283" i="1" s="1"/>
  <c r="BD1120" i="1"/>
  <c r="BI1120" i="1" s="1"/>
  <c r="BD637" i="1"/>
  <c r="BI637" i="1" s="1"/>
  <c r="BD225" i="1"/>
  <c r="BI225" i="1" s="1"/>
  <c r="BD859" i="1"/>
  <c r="BI859" i="1" s="1"/>
  <c r="BD1407" i="1"/>
  <c r="BI1407" i="1" s="1"/>
  <c r="BD1707" i="1"/>
  <c r="BI1707" i="1" s="1"/>
  <c r="BD1428" i="1"/>
  <c r="BI1428" i="1" s="1"/>
  <c r="BD1354" i="1"/>
  <c r="BI1354" i="1" s="1"/>
  <c r="BD1609" i="1"/>
  <c r="BI1609" i="1" s="1"/>
  <c r="BD436" i="1"/>
  <c r="BI436" i="1" s="1"/>
  <c r="BD514" i="1"/>
  <c r="BI514" i="1" s="1"/>
  <c r="BD995" i="1"/>
  <c r="BI995" i="1" s="1"/>
  <c r="BD1215" i="1"/>
  <c r="BI1215" i="1" s="1"/>
  <c r="BD309" i="1"/>
  <c r="BI309" i="1" s="1"/>
  <c r="BD811" i="1"/>
  <c r="BI811" i="1" s="1"/>
  <c r="BD569" i="1"/>
  <c r="BI569" i="1" s="1"/>
  <c r="BD790" i="1"/>
  <c r="BI790" i="1" s="1"/>
  <c r="BD457" i="1"/>
  <c r="BI457" i="1" s="1"/>
  <c r="BD286" i="1"/>
  <c r="BI286" i="1" s="1"/>
  <c r="BD947" i="1"/>
  <c r="BI947" i="1" s="1"/>
  <c r="BD860" i="1"/>
  <c r="BI860" i="1" s="1"/>
  <c r="BD1521" i="1"/>
  <c r="BI1521" i="1" s="1"/>
  <c r="BD727" i="1"/>
  <c r="BI727" i="1" s="1"/>
  <c r="BD1071" i="1"/>
  <c r="BI1071" i="1" s="1"/>
  <c r="BD104" i="1"/>
  <c r="BI104" i="1" s="1"/>
  <c r="BD719" i="1"/>
  <c r="BI719" i="1" s="1"/>
  <c r="BD379" i="1"/>
  <c r="BI379" i="1" s="1"/>
  <c r="BD702" i="1"/>
  <c r="BI702" i="1" s="1"/>
  <c r="BD1311" i="1"/>
  <c r="BI1311" i="1" s="1"/>
  <c r="BD612" i="1"/>
  <c r="BI612" i="1" s="1"/>
  <c r="BD1632" i="1"/>
  <c r="BI1632" i="1" s="1"/>
  <c r="BD119" i="1"/>
  <c r="BI119" i="1" s="1"/>
  <c r="BD923" i="1"/>
  <c r="BI923" i="1" s="1"/>
  <c r="BD1174" i="1"/>
  <c r="BI1174" i="1" s="1"/>
  <c r="BD919" i="1"/>
  <c r="BI919" i="1" s="1"/>
  <c r="BD559" i="1"/>
  <c r="BI559" i="1" s="1"/>
  <c r="BD1015" i="1"/>
  <c r="BI1015" i="1" s="1"/>
  <c r="BD583" i="1"/>
  <c r="BI583" i="1" s="1"/>
  <c r="BD1679" i="1"/>
  <c r="BI1679" i="1" s="1"/>
  <c r="BD885" i="1"/>
  <c r="BI885" i="1" s="1"/>
  <c r="BD611" i="1"/>
  <c r="BI611" i="1" s="1"/>
  <c r="BD810" i="1"/>
  <c r="BI810" i="1" s="1"/>
  <c r="BD158" i="1"/>
  <c r="BI158" i="1" s="1"/>
  <c r="BD75" i="1"/>
  <c r="BI75" i="1" s="1"/>
  <c r="BD584" i="1"/>
  <c r="BI584" i="1" s="1"/>
  <c r="BD466" i="1"/>
  <c r="BI466" i="1" s="1"/>
  <c r="BD699" i="1"/>
  <c r="BI699" i="1" s="1"/>
  <c r="BD918" i="1"/>
  <c r="BI918" i="1" s="1"/>
  <c r="BD791" i="1"/>
  <c r="BI791" i="1" s="1"/>
  <c r="BD208" i="1"/>
  <c r="BI208" i="1" s="1"/>
  <c r="BD629" i="1"/>
  <c r="BI629" i="1" s="1"/>
  <c r="BD1076" i="1"/>
  <c r="BI1076" i="1" s="1"/>
  <c r="BD17" i="1"/>
  <c r="BI17" i="1" s="1"/>
  <c r="BD869" i="1"/>
  <c r="BI869" i="1" s="1"/>
  <c r="BD240" i="1"/>
  <c r="BI240" i="1" s="1"/>
  <c r="BD796" i="1"/>
  <c r="BI796" i="1" s="1"/>
  <c r="BD934" i="1"/>
  <c r="BI934" i="1" s="1"/>
  <c r="BD687" i="1"/>
  <c r="BI687" i="1" s="1"/>
  <c r="BD1064" i="1"/>
  <c r="BI1064" i="1" s="1"/>
  <c r="BD700" i="1"/>
  <c r="BI700" i="1" s="1"/>
  <c r="BD1198" i="1"/>
  <c r="BI1198" i="1" s="1"/>
  <c r="BD1129" i="1"/>
  <c r="BI1129" i="1" s="1"/>
  <c r="BD459" i="1"/>
  <c r="BI459" i="1" s="1"/>
  <c r="BD639" i="1"/>
  <c r="BI639" i="1" s="1"/>
  <c r="BD489" i="1"/>
  <c r="BI489" i="1" s="1"/>
  <c r="BD1260" i="1"/>
  <c r="BI1260" i="1" s="1"/>
  <c r="BD1701" i="1"/>
  <c r="BI1701" i="1" s="1"/>
  <c r="BD1187" i="1"/>
  <c r="BI1187" i="1" s="1"/>
  <c r="BD1158" i="1"/>
  <c r="BI1158" i="1" s="1"/>
  <c r="BD375" i="1"/>
  <c r="BI375" i="1" s="1"/>
  <c r="BD50" i="1"/>
  <c r="BI50" i="1" s="1"/>
  <c r="BD107" i="1"/>
  <c r="BI107" i="1" s="1"/>
  <c r="BD929" i="1"/>
  <c r="BI929" i="1" s="1"/>
  <c r="BD1346" i="1"/>
  <c r="BI1346" i="1" s="1"/>
  <c r="BD596" i="1"/>
  <c r="BI596" i="1" s="1"/>
  <c r="BD1173" i="1"/>
  <c r="BI1173" i="1" s="1"/>
  <c r="BD226" i="1"/>
  <c r="BI226" i="1" s="1"/>
  <c r="BD1720" i="1"/>
  <c r="BI1720" i="1" s="1"/>
  <c r="BD1099" i="1"/>
  <c r="BI1099" i="1" s="1"/>
  <c r="BD1574" i="1"/>
  <c r="BI1574" i="1" s="1"/>
  <c r="BD894" i="1"/>
  <c r="BI894" i="1" s="1"/>
  <c r="BD1711" i="1"/>
  <c r="BI1711" i="1" s="1"/>
  <c r="BD902" i="1"/>
  <c r="BI902" i="1" s="1"/>
  <c r="BD247" i="1"/>
  <c r="BI247" i="1" s="1"/>
  <c r="BD1553" i="1"/>
  <c r="BI1553" i="1" s="1"/>
  <c r="BD1068" i="1"/>
  <c r="BI1068" i="1" s="1"/>
  <c r="BD840" i="1"/>
  <c r="BI840" i="1" s="1"/>
  <c r="BD364" i="1"/>
  <c r="BI364" i="1" s="1"/>
  <c r="BD444" i="1"/>
  <c r="BI444" i="1" s="1"/>
  <c r="BD241" i="1"/>
  <c r="BI241" i="1" s="1"/>
  <c r="BD1029" i="1"/>
  <c r="BI1029" i="1" s="1"/>
  <c r="BD1299" i="1"/>
  <c r="BI1299" i="1" s="1"/>
  <c r="BD1728" i="1"/>
  <c r="BI1728" i="1" s="1"/>
  <c r="BD1572" i="1"/>
  <c r="BI1572" i="1" s="1"/>
  <c r="BD1244" i="1"/>
  <c r="BI1244" i="1" s="1"/>
  <c r="BD1594" i="1"/>
  <c r="BI1594" i="1" s="1"/>
  <c r="BD146" i="1"/>
  <c r="BI146" i="1" s="1"/>
  <c r="BD1118" i="1"/>
  <c r="BI1118" i="1" s="1"/>
  <c r="BD1487" i="1"/>
  <c r="BI1487" i="1" s="1"/>
  <c r="BD543" i="1"/>
  <c r="BI543" i="1" s="1"/>
  <c r="BD271" i="1"/>
  <c r="BI271" i="1" s="1"/>
  <c r="BD920" i="1"/>
  <c r="BI920" i="1" s="1"/>
  <c r="BD318" i="1"/>
  <c r="BI318" i="1" s="1"/>
  <c r="BD546" i="1"/>
  <c r="BI546" i="1" s="1"/>
  <c r="BD497" i="1"/>
  <c r="BI497" i="1" s="1"/>
  <c r="BD828" i="1"/>
  <c r="BI828" i="1" s="1"/>
  <c r="BD1576" i="1"/>
  <c r="BI1576" i="1" s="1"/>
  <c r="BD1162" i="1"/>
  <c r="BI1162" i="1" s="1"/>
  <c r="BD718" i="1"/>
  <c r="BI718" i="1" s="1"/>
  <c r="BD1333" i="1"/>
  <c r="BI1333" i="1" s="1"/>
  <c r="BD185" i="1"/>
  <c r="BI185" i="1" s="1"/>
  <c r="BD1097" i="1"/>
  <c r="BI1097" i="1" s="1"/>
  <c r="BD99" i="1"/>
  <c r="BI99" i="1" s="1"/>
  <c r="BD809" i="1"/>
  <c r="BI809" i="1" s="1"/>
  <c r="BD1171" i="1"/>
  <c r="BI1171" i="1" s="1"/>
  <c r="BD116" i="1"/>
  <c r="BI116" i="1" s="1"/>
  <c r="BD363" i="1"/>
  <c r="BI363" i="1" s="1"/>
  <c r="BD1537" i="1"/>
  <c r="BI1537" i="1" s="1"/>
  <c r="BD115" i="1"/>
  <c r="BI115" i="1" s="1"/>
  <c r="BD716" i="1"/>
  <c r="BI716" i="1" s="1"/>
  <c r="BD880" i="1"/>
  <c r="BI880" i="1" s="1"/>
  <c r="BD1566" i="1"/>
  <c r="BI1566" i="1" s="1"/>
  <c r="BD1715" i="1"/>
  <c r="BI1715" i="1" s="1"/>
  <c r="BD446" i="1"/>
  <c r="BI446" i="1" s="1"/>
  <c r="BD1103" i="1"/>
  <c r="BI1103" i="1" s="1"/>
  <c r="BD1642" i="1"/>
  <c r="BI1642" i="1" s="1"/>
  <c r="BD1079" i="1"/>
  <c r="BI1079" i="1" s="1"/>
  <c r="BD498" i="1"/>
  <c r="BI498" i="1" s="1"/>
  <c r="BD1348" i="1"/>
  <c r="BI1348" i="1" s="1"/>
  <c r="BD40" i="1"/>
  <c r="BI40" i="1" s="1"/>
  <c r="BD1472" i="1"/>
  <c r="BI1472" i="1" s="1"/>
  <c r="BD1690" i="1"/>
  <c r="BI1690" i="1" s="1"/>
  <c r="BD1616" i="1"/>
  <c r="BI1616" i="1" s="1"/>
  <c r="BD492" i="1"/>
  <c r="BI492" i="1" s="1"/>
  <c r="BD755" i="1"/>
  <c r="BI755" i="1" s="1"/>
  <c r="BD798" i="1"/>
  <c r="BI798" i="1" s="1"/>
  <c r="BD383" i="1"/>
  <c r="BI383" i="1" s="1"/>
  <c r="BD607" i="1"/>
  <c r="BI607" i="1" s="1"/>
  <c r="BD886" i="1"/>
  <c r="BI886" i="1" s="1"/>
  <c r="BD1436" i="1"/>
  <c r="BI1436" i="1" s="1"/>
  <c r="BD359" i="1"/>
  <c r="BI359" i="1" s="1"/>
  <c r="BD1595" i="1"/>
  <c r="BI1595" i="1" s="1"/>
  <c r="BD1447" i="1"/>
  <c r="BI1447" i="1" s="1"/>
  <c r="BD1459" i="1"/>
  <c r="BI1459" i="1" s="1"/>
  <c r="BD1105" i="1"/>
  <c r="BI1105" i="1" s="1"/>
  <c r="BD833" i="1"/>
  <c r="BI833" i="1" s="1"/>
  <c r="BD123" i="1"/>
  <c r="BI123" i="1" s="1"/>
  <c r="BD257" i="1"/>
  <c r="BI257" i="1" s="1"/>
  <c r="BD1400" i="1"/>
  <c r="BI1400" i="1" s="1"/>
  <c r="BD348" i="1"/>
  <c r="BI348" i="1" s="1"/>
  <c r="BD1605" i="1"/>
  <c r="BI1605" i="1" s="1"/>
  <c r="BD948" i="1"/>
  <c r="BI948" i="1" s="1"/>
  <c r="BD1485" i="1"/>
  <c r="BI1485" i="1" s="1"/>
  <c r="BD1722" i="1"/>
  <c r="BI1722" i="1" s="1"/>
  <c r="BD1469" i="1"/>
  <c r="BI1469" i="1" s="1"/>
  <c r="BD1500" i="1"/>
  <c r="BI1500" i="1" s="1"/>
  <c r="BD1377" i="1"/>
  <c r="BI1377" i="1" s="1"/>
  <c r="BD931" i="1"/>
  <c r="BI931" i="1" s="1"/>
  <c r="BD1214" i="1"/>
  <c r="BI1214" i="1" s="1"/>
  <c r="BD1682" i="1"/>
  <c r="BI1682" i="1" s="1"/>
  <c r="BD324" i="1"/>
  <c r="BI324" i="1" s="1"/>
  <c r="BD1306" i="1"/>
  <c r="BI1306" i="1" s="1"/>
  <c r="BD1544" i="1"/>
  <c r="BI1544" i="1" s="1"/>
  <c r="BD275" i="1"/>
  <c r="BI275" i="1" s="1"/>
  <c r="BD179" i="1"/>
  <c r="BI179" i="1" s="1"/>
  <c r="BD898" i="1"/>
  <c r="BI898" i="1" s="1"/>
  <c r="BD1376" i="1"/>
  <c r="BI1376" i="1" s="1"/>
  <c r="BD1698" i="1"/>
  <c r="BI1698" i="1" s="1"/>
  <c r="BD1133" i="1"/>
  <c r="BI1133" i="1" s="1"/>
  <c r="BD1284" i="1"/>
  <c r="BI1284" i="1" s="1"/>
  <c r="BD1669" i="1"/>
  <c r="BI1669" i="1" s="1"/>
  <c r="BD67" i="1"/>
  <c r="BI67" i="1" s="1"/>
  <c r="BD1471" i="1"/>
  <c r="BI1471" i="1" s="1"/>
  <c r="BD174" i="1"/>
  <c r="BI174" i="1" s="1"/>
  <c r="BD592" i="1"/>
  <c r="BI592" i="1" s="1"/>
  <c r="BD1074" i="1"/>
  <c r="BI1074" i="1" s="1"/>
  <c r="BD1238" i="1"/>
  <c r="BI1238" i="1" s="1"/>
  <c r="BD1378" i="1"/>
  <c r="BI1378" i="1" s="1"/>
  <c r="BD1614" i="1"/>
  <c r="BI1614" i="1" s="1"/>
  <c r="BD205" i="1"/>
  <c r="BI205" i="1" s="1"/>
  <c r="BD1196" i="1"/>
  <c r="BI1196" i="1" s="1"/>
  <c r="BD401" i="1"/>
  <c r="BI401" i="1" s="1"/>
  <c r="BD1710" i="1"/>
  <c r="BI1710" i="1" s="1"/>
  <c r="BD1530" i="1"/>
  <c r="BI1530" i="1" s="1"/>
  <c r="BD1546" i="1"/>
  <c r="BI1546" i="1" s="1"/>
  <c r="BD1315" i="1"/>
  <c r="BI1315" i="1" s="1"/>
  <c r="BD636" i="1"/>
  <c r="BI636" i="1" s="1"/>
  <c r="BD574" i="1"/>
  <c r="BI574" i="1" s="1"/>
  <c r="BD1426" i="1"/>
  <c r="BI1426" i="1" s="1"/>
  <c r="BD1700" i="1"/>
  <c r="BI1700" i="1" s="1"/>
  <c r="BD982" i="1"/>
  <c r="BI982" i="1" s="1"/>
  <c r="BD1122" i="1"/>
  <c r="BI1122" i="1" s="1"/>
  <c r="BD1230" i="1"/>
  <c r="BI1230" i="1" s="1"/>
  <c r="BD1308" i="1"/>
  <c r="BI1308" i="1" s="1"/>
  <c r="BD1489" i="1"/>
  <c r="BI1489" i="1" s="1"/>
  <c r="BD100" i="1"/>
  <c r="BI100" i="1" s="1"/>
  <c r="BD1148" i="1"/>
  <c r="BI1148" i="1" s="1"/>
  <c r="BD998" i="1"/>
  <c r="BI998" i="1" s="1"/>
  <c r="BD1206" i="1"/>
  <c r="BI1206" i="1" s="1"/>
  <c r="BD772" i="1"/>
  <c r="BI772" i="1" s="1"/>
  <c r="BD450" i="1"/>
  <c r="BI450" i="1" s="1"/>
  <c r="BD1154" i="1"/>
  <c r="BI1154" i="1" s="1"/>
  <c r="BD460" i="1"/>
  <c r="BI460" i="1" s="1"/>
  <c r="BD547" i="1"/>
  <c r="BI547" i="1" s="1"/>
  <c r="BD406" i="1"/>
  <c r="BI406" i="1" s="1"/>
  <c r="BD333" i="1"/>
  <c r="BI333" i="1" s="1"/>
  <c r="BD602" i="1"/>
  <c r="BI602" i="1" s="1"/>
  <c r="BD1430" i="1"/>
  <c r="BI1430" i="1" s="1"/>
  <c r="BD565" i="1"/>
  <c r="BI565" i="1" s="1"/>
  <c r="BD1646" i="1"/>
  <c r="BI1646" i="1" s="1"/>
  <c r="BD739" i="1"/>
  <c r="BI739" i="1" s="1"/>
  <c r="BD310" i="1"/>
  <c r="BI310" i="1" s="1"/>
  <c r="BD491" i="1"/>
  <c r="BI491" i="1" s="1"/>
  <c r="BD48" i="1"/>
  <c r="BI48" i="1" s="1"/>
  <c r="BD1413" i="1"/>
  <c r="BI1413" i="1" s="1"/>
  <c r="BD1523" i="1"/>
  <c r="BI1523" i="1" s="1"/>
  <c r="BD1320" i="1"/>
  <c r="BI1320" i="1" s="1"/>
  <c r="BD1394" i="1"/>
  <c r="BI1394" i="1" s="1"/>
  <c r="BD211" i="1"/>
  <c r="BI211" i="1" s="1"/>
  <c r="BD1506" i="1"/>
  <c r="BI1506" i="1" s="1"/>
  <c r="BD1356" i="1"/>
  <c r="BI1356" i="1" s="1"/>
  <c r="BD901" i="1"/>
  <c r="BI901" i="1" s="1"/>
  <c r="BD429" i="1"/>
  <c r="BI429" i="1" s="1"/>
  <c r="BD1339" i="1"/>
  <c r="BI1339" i="1" s="1"/>
  <c r="BD1562" i="1"/>
  <c r="BI1562" i="1" s="1"/>
  <c r="BD1666" i="1"/>
  <c r="BI1666" i="1" s="1"/>
  <c r="BD613" i="1"/>
  <c r="BI613" i="1" s="1"/>
  <c r="BD1117" i="1"/>
  <c r="BI1117" i="1" s="1"/>
  <c r="BD765" i="1"/>
  <c r="BI765" i="1" s="1"/>
  <c r="BD724" i="1"/>
  <c r="BI724" i="1" s="1"/>
  <c r="BD1104" i="1"/>
  <c r="BI1104" i="1" s="1"/>
  <c r="BD421" i="1"/>
  <c r="BI421" i="1" s="1"/>
  <c r="BD1661" i="1"/>
  <c r="BI1661" i="1" s="1"/>
  <c r="BD882" i="1"/>
  <c r="BI882" i="1" s="1"/>
  <c r="BD538" i="1"/>
  <c r="BI538" i="1" s="1"/>
  <c r="BD168" i="1"/>
  <c r="BI168" i="1" s="1"/>
  <c r="BD173" i="1"/>
  <c r="BI173" i="1" s="1"/>
  <c r="BD829" i="1"/>
  <c r="BI829" i="1" s="1"/>
  <c r="BD1474" i="1"/>
  <c r="BI1474" i="1" s="1"/>
  <c r="BD44" i="1"/>
  <c r="BI44" i="1" s="1"/>
  <c r="BD1305" i="1"/>
  <c r="BI1305" i="1" s="1"/>
  <c r="BD1067" i="1"/>
  <c r="BI1067" i="1" s="1"/>
  <c r="BD907" i="1"/>
  <c r="BI907" i="1" s="1"/>
  <c r="BD389" i="1"/>
  <c r="BI389" i="1" s="1"/>
  <c r="BD839" i="1"/>
  <c r="BI839" i="1" s="1"/>
  <c r="BD951" i="1"/>
  <c r="BI951" i="1" s="1"/>
  <c r="BD1321" i="1"/>
  <c r="BI1321" i="1" s="1"/>
  <c r="BD1538" i="1"/>
  <c r="BI1538" i="1" s="1"/>
  <c r="BD94" i="1"/>
  <c r="BI94" i="1" s="1"/>
  <c r="BD416" i="1"/>
  <c r="BI416" i="1" s="1"/>
  <c r="BD409" i="1"/>
  <c r="BI409" i="1" s="1"/>
  <c r="BD183" i="1"/>
  <c r="BI183" i="1" s="1"/>
  <c r="BD1531" i="1"/>
  <c r="BI1531" i="1" s="1"/>
  <c r="BD1638" i="1"/>
  <c r="BI1638" i="1" s="1"/>
  <c r="BD1142" i="1"/>
  <c r="BI1142" i="1" s="1"/>
  <c r="BD917" i="1"/>
  <c r="BI917" i="1" s="1"/>
  <c r="BD172" i="1"/>
  <c r="BI172" i="1" s="1"/>
  <c r="BD122" i="1"/>
  <c r="BI122" i="1" s="1"/>
  <c r="BD55" i="1"/>
  <c r="BI55" i="1" s="1"/>
  <c r="BD246" i="1"/>
  <c r="BI246" i="1" s="1"/>
  <c r="BD640" i="1"/>
  <c r="BI640" i="1" s="1"/>
  <c r="BD762" i="1"/>
  <c r="BI762" i="1" s="1"/>
  <c r="BD347" i="1"/>
  <c r="BI347" i="1" s="1"/>
  <c r="BD599" i="1"/>
  <c r="BI599" i="1" s="1"/>
  <c r="BD490" i="1"/>
  <c r="BI490" i="1" s="1"/>
  <c r="BD801" i="1"/>
  <c r="BI801" i="1" s="1"/>
  <c r="BD1218" i="1"/>
  <c r="BI1218" i="1" s="1"/>
  <c r="BD468" i="1"/>
  <c r="BI468" i="1" s="1"/>
  <c r="BD101" i="1"/>
  <c r="BI101" i="1" s="1"/>
  <c r="BD27" i="1"/>
  <c r="BI27" i="1" s="1"/>
  <c r="BD1128" i="1"/>
  <c r="BI1128" i="1" s="1"/>
  <c r="BD742" i="1"/>
  <c r="BI742" i="1" s="1"/>
  <c r="BD251" i="1"/>
  <c r="BI251" i="1" s="1"/>
  <c r="BD722" i="1"/>
  <c r="BI722" i="1" s="1"/>
  <c r="BD573" i="1"/>
  <c r="BI573" i="1" s="1"/>
  <c r="BD250" i="1"/>
  <c r="BI250" i="1" s="1"/>
  <c r="BD129" i="1"/>
  <c r="BI129" i="1" s="1"/>
  <c r="BD1724" i="1"/>
  <c r="BI1724" i="1" s="1"/>
  <c r="BD991" i="1"/>
  <c r="BI991" i="1" s="1"/>
  <c r="BD87" i="1"/>
  <c r="BI87" i="1" s="1"/>
  <c r="BD891" i="1"/>
  <c r="BI891" i="1" s="1"/>
  <c r="BD276" i="1"/>
  <c r="BI276" i="1" s="1"/>
  <c r="BD73" i="1"/>
  <c r="BI73" i="1" s="1"/>
  <c r="BD897" i="1"/>
  <c r="BI897" i="1" s="1"/>
  <c r="BD1392" i="1"/>
  <c r="BI1392" i="1" s="1"/>
  <c r="BD815" i="1"/>
  <c r="BI815" i="1" s="1"/>
  <c r="BD707" i="1"/>
  <c r="BI707" i="1" s="1"/>
  <c r="BD624" i="1"/>
  <c r="BI624" i="1" s="1"/>
  <c r="BD786" i="1"/>
  <c r="BI786" i="1" s="1"/>
  <c r="BD1048" i="1"/>
  <c r="BI1048" i="1" s="1"/>
  <c r="BD562" i="1"/>
  <c r="BI562" i="1" s="1"/>
  <c r="BD1295" i="1"/>
  <c r="BI1295" i="1" s="1"/>
  <c r="BD585" i="1"/>
  <c r="BI585" i="1" s="1"/>
  <c r="BD1111" i="1"/>
  <c r="BI1111" i="1" s="1"/>
  <c r="BD1168" i="1"/>
  <c r="BI1168" i="1" s="1"/>
  <c r="BD1608" i="1"/>
  <c r="BI1608" i="1" s="1"/>
  <c r="BD767" i="1"/>
  <c r="BI767" i="1" s="1"/>
  <c r="BD836" i="1"/>
  <c r="BI836" i="1" s="1"/>
  <c r="BD1167" i="1"/>
  <c r="BI1167" i="1" s="1"/>
  <c r="BD787" i="1"/>
  <c r="BI787" i="1" s="1"/>
  <c r="BD1466" i="1"/>
  <c r="BI1466" i="1" s="1"/>
  <c r="BD835" i="1"/>
  <c r="BI835" i="1" s="1"/>
  <c r="BD1240" i="1"/>
  <c r="BI1240" i="1" s="1"/>
  <c r="BD458" i="1"/>
  <c r="BI458" i="1" s="1"/>
  <c r="BD105" i="1"/>
  <c r="BI105" i="1" s="1"/>
  <c r="BD593" i="1"/>
  <c r="BI593" i="1" s="1"/>
  <c r="BD831" i="1"/>
  <c r="BI831" i="1" s="1"/>
  <c r="BD731" i="1"/>
  <c r="BI731" i="1" s="1"/>
  <c r="BD512" i="1"/>
  <c r="BI512" i="1" s="1"/>
  <c r="BD1606" i="1"/>
  <c r="BI1606" i="1" s="1"/>
  <c r="BD1036" i="1"/>
  <c r="BI1036" i="1" s="1"/>
  <c r="BD167" i="1"/>
  <c r="BI167" i="1" s="1"/>
  <c r="BD437" i="1"/>
  <c r="BI437" i="1" s="1"/>
  <c r="BD1113" i="1"/>
  <c r="BI1113" i="1" s="1"/>
  <c r="BD1604" i="1"/>
  <c r="BI1604" i="1" s="1"/>
  <c r="BD1663" i="1"/>
  <c r="BI1663" i="1" s="1"/>
  <c r="BD904" i="1"/>
  <c r="BI904" i="1" s="1"/>
  <c r="BD330" i="1"/>
  <c r="BI330" i="1" s="1"/>
  <c r="BD680" i="1"/>
  <c r="BI680" i="1" s="1"/>
  <c r="BD743" i="1"/>
  <c r="BI743" i="1" s="1"/>
  <c r="BD307" i="1"/>
  <c r="BI307" i="1" s="1"/>
  <c r="BD1573" i="1"/>
  <c r="BI1573" i="1" s="1"/>
  <c r="BD1368" i="1"/>
  <c r="BI1368" i="1" s="1"/>
  <c r="BD905" i="1"/>
  <c r="BI905" i="1" s="1"/>
  <c r="BD910" i="1"/>
  <c r="BI910" i="1" s="1"/>
  <c r="BD1229" i="1"/>
  <c r="BI1229" i="1" s="1"/>
  <c r="BD987" i="1"/>
  <c r="BI987" i="1" s="1"/>
  <c r="BD1388" i="1"/>
  <c r="BI1388" i="1" s="1"/>
  <c r="BD68" i="1"/>
  <c r="BI68" i="1" s="1"/>
  <c r="BD935" i="1"/>
  <c r="BI935" i="1" s="1"/>
  <c r="BD1102" i="1"/>
  <c r="BI1102" i="1" s="1"/>
  <c r="BD445" i="1"/>
  <c r="BI445" i="1" s="1"/>
  <c r="BD303" i="1"/>
  <c r="BI303" i="1" s="1"/>
  <c r="BD617" i="1"/>
  <c r="BI617" i="1" s="1"/>
  <c r="BD227" i="1"/>
  <c r="BI227" i="1" s="1"/>
  <c r="BD262" i="1"/>
  <c r="BI262" i="1" s="1"/>
  <c r="BD908" i="1"/>
  <c r="BI908" i="1" s="1"/>
  <c r="BD1486" i="1"/>
  <c r="BI1486" i="1" s="1"/>
  <c r="BD1011" i="1"/>
  <c r="BI1011" i="1" s="1"/>
  <c r="BD870" i="1"/>
  <c r="BI870" i="1" s="1"/>
  <c r="BD534" i="1"/>
  <c r="BI534" i="1" s="1"/>
  <c r="BD849" i="1"/>
  <c r="BI849" i="1" s="1"/>
  <c r="BD181" i="1"/>
  <c r="BI181" i="1" s="1"/>
  <c r="BD1132" i="1"/>
  <c r="BI1132" i="1" s="1"/>
  <c r="BD97" i="1"/>
  <c r="BI97" i="1" s="1"/>
  <c r="BD1634" i="1"/>
  <c r="BI1634" i="1" s="1"/>
  <c r="BD1027" i="1"/>
  <c r="BI1027" i="1" s="1"/>
  <c r="BD1060" i="1"/>
  <c r="BI1060" i="1" s="1"/>
  <c r="BD1491" i="1"/>
  <c r="BI1491" i="1" s="1"/>
  <c r="BD171" i="1"/>
  <c r="BI171" i="1" s="1"/>
  <c r="BD156" i="1"/>
  <c r="BI156" i="1" s="1"/>
  <c r="BD823" i="1"/>
  <c r="BI823" i="1" s="1"/>
  <c r="BD1482" i="1"/>
  <c r="BI1482" i="1" s="1"/>
  <c r="BD1078" i="1"/>
  <c r="BI1078" i="1" s="1"/>
  <c r="BD1518" i="1"/>
  <c r="BI1518" i="1" s="1"/>
  <c r="BD709" i="1"/>
  <c r="BI709" i="1" s="1"/>
  <c r="BD1031" i="1"/>
  <c r="BI1031" i="1" s="1"/>
  <c r="BD575" i="1"/>
  <c r="BI575" i="1" s="1"/>
  <c r="BD1488" i="1"/>
  <c r="BI1488" i="1" s="1"/>
  <c r="BD779" i="1"/>
  <c r="BI779" i="1" s="1"/>
  <c r="BD510" i="1"/>
  <c r="BI510" i="1" s="1"/>
  <c r="BD595" i="1"/>
  <c r="BI595" i="1" s="1"/>
  <c r="BD438" i="1"/>
  <c r="BI438" i="1" s="1"/>
  <c r="BD770" i="1"/>
  <c r="BI770" i="1" s="1"/>
  <c r="BD70" i="1"/>
  <c r="BI70" i="1" s="1"/>
  <c r="BD214" i="1"/>
  <c r="BI214" i="1" s="1"/>
  <c r="BD380" i="1"/>
  <c r="BI380" i="1" s="1"/>
  <c r="BD888" i="1"/>
  <c r="BI888" i="1" s="1"/>
  <c r="BD1473" i="1"/>
  <c r="BI1473" i="1" s="1"/>
  <c r="BD533" i="1"/>
  <c r="BI533" i="1" s="1"/>
  <c r="BD526" i="1"/>
  <c r="BI526" i="1" s="1"/>
  <c r="BD432" i="1"/>
  <c r="BI432" i="1" s="1"/>
  <c r="BD1241" i="1"/>
  <c r="BI1241" i="1" s="1"/>
  <c r="BD398" i="1"/>
  <c r="BI398" i="1" s="1"/>
  <c r="BD1468" i="1"/>
  <c r="BI1468" i="1" s="1"/>
  <c r="BD1550" i="1"/>
  <c r="BI1550" i="1" s="1"/>
  <c r="BD580" i="1"/>
  <c r="BI580" i="1" s="1"/>
  <c r="BD1163" i="1"/>
  <c r="BI1163" i="1" s="1"/>
  <c r="BD195" i="1"/>
  <c r="BI195" i="1" s="1"/>
  <c r="BD1657" i="1"/>
  <c r="BI1657" i="1" s="1"/>
  <c r="BD1155" i="1"/>
  <c r="BI1155" i="1" s="1"/>
  <c r="BD652" i="1"/>
  <c r="BI652" i="1" s="1"/>
  <c r="BD232" i="1"/>
  <c r="BI232" i="1" s="1"/>
  <c r="BD868" i="1"/>
  <c r="BI868" i="1" s="1"/>
  <c r="BD1177" i="1"/>
  <c r="BI1177" i="1" s="1"/>
  <c r="BD641" i="1"/>
  <c r="BI641" i="1" s="1"/>
  <c r="BD842" i="1"/>
  <c r="BI842" i="1" s="1"/>
  <c r="BD896" i="1"/>
  <c r="BI896" i="1" s="1"/>
  <c r="BD1095" i="1"/>
  <c r="BI1095" i="1" s="1"/>
  <c r="BD314" i="1"/>
  <c r="BI314" i="1" s="1"/>
  <c r="BD1161" i="1"/>
  <c r="BI1161" i="1" s="1"/>
  <c r="BD274" i="1"/>
  <c r="BI274" i="1" s="1"/>
  <c r="BD360" i="1"/>
  <c r="BI360" i="1" s="1"/>
  <c r="BD111" i="1"/>
  <c r="BI111" i="1" s="1"/>
  <c r="BD128" i="1"/>
  <c r="BI128" i="1" s="1"/>
  <c r="BD892" i="1"/>
  <c r="BI892" i="1" s="1"/>
  <c r="BD1685" i="1"/>
  <c r="BI1685" i="1" s="1"/>
  <c r="BD329" i="1"/>
  <c r="BI329" i="1" s="1"/>
  <c r="BD199" i="1"/>
  <c r="BI199" i="1" s="1"/>
  <c r="BD1443" i="1"/>
  <c r="BI1443" i="1" s="1"/>
  <c r="BD956" i="1"/>
  <c r="BI956" i="1" s="1"/>
  <c r="BD1421" i="1"/>
  <c r="BI1421" i="1" s="1"/>
  <c r="BD22" i="1"/>
  <c r="BI22" i="1" s="1"/>
  <c r="BD1001" i="1"/>
  <c r="BI1001" i="1" s="1"/>
  <c r="BD1312" i="1"/>
  <c r="BI1312" i="1" s="1"/>
  <c r="BD705" i="1"/>
  <c r="BI705" i="1" s="1"/>
  <c r="BD283" i="1"/>
  <c r="BI283" i="1" s="1"/>
  <c r="BD177" i="1"/>
  <c r="BI177" i="1" s="1"/>
  <c r="BD361" i="1"/>
  <c r="BI361" i="1" s="1"/>
  <c r="BD1503" i="1"/>
  <c r="BI1503" i="1" s="1"/>
  <c r="BD117" i="1"/>
  <c r="BI117" i="1" s="1"/>
  <c r="BD135" i="1"/>
  <c r="BI135" i="1" s="1"/>
  <c r="BD138" i="1"/>
  <c r="BI138" i="1" s="1"/>
  <c r="BD1220" i="1"/>
  <c r="BI1220" i="1" s="1"/>
  <c r="BD1153" i="1"/>
  <c r="BI1153" i="1" s="1"/>
  <c r="BD782" i="1"/>
  <c r="BI782" i="1" s="1"/>
  <c r="BD684" i="1"/>
  <c r="BI684" i="1" s="1"/>
  <c r="BD682" i="1"/>
  <c r="BI682" i="1" s="1"/>
  <c r="BD1185" i="1"/>
  <c r="BI1185" i="1" s="1"/>
  <c r="BD825" i="1"/>
  <c r="BI825" i="1" s="1"/>
  <c r="BD150" i="1"/>
  <c r="BI150" i="1" s="1"/>
  <c r="BD695" i="1"/>
  <c r="BI695" i="1" s="1"/>
  <c r="BD169" i="1"/>
  <c r="BI169" i="1" s="1"/>
  <c r="BD921" i="1"/>
  <c r="BI921" i="1" s="1"/>
  <c r="BD571" i="1"/>
  <c r="BI571" i="1" s="1"/>
  <c r="BD1272" i="1"/>
  <c r="BI1272" i="1" s="1"/>
  <c r="BD1302" i="1"/>
  <c r="BI1302" i="1" s="1"/>
  <c r="BD866" i="1"/>
  <c r="BI866" i="1" s="1"/>
  <c r="BD1226" i="1"/>
  <c r="BI1226" i="1" s="1"/>
  <c r="BD819" i="1"/>
  <c r="BI819" i="1" s="1"/>
  <c r="BD1119" i="1"/>
  <c r="BI1119" i="1" s="1"/>
  <c r="BD504" i="1"/>
  <c r="BI504" i="1" s="1"/>
  <c r="BD971" i="1"/>
  <c r="BI971" i="1" s="1"/>
  <c r="BD753" i="1"/>
  <c r="BI753" i="1" s="1"/>
  <c r="BD1270" i="1"/>
  <c r="BI1270" i="1" s="1"/>
  <c r="BD235" i="1"/>
  <c r="BI235" i="1" s="1"/>
  <c r="BD304" i="1"/>
  <c r="BI304" i="1" s="1"/>
  <c r="BD1370" i="1"/>
  <c r="BI1370" i="1" s="1"/>
  <c r="BD1633" i="1"/>
  <c r="BI1633" i="1" s="1"/>
  <c r="BD20" i="1"/>
  <c r="BI20" i="1" s="1"/>
  <c r="BD1253" i="1"/>
  <c r="BI1253" i="1" s="1"/>
  <c r="BD1637" i="1"/>
  <c r="BI1637" i="1" s="1"/>
  <c r="BD544" i="1"/>
  <c r="BI544" i="1" s="1"/>
  <c r="BD1057" i="1"/>
  <c r="BI1057" i="1" s="1"/>
  <c r="BD1476" i="1"/>
  <c r="BI1476" i="1" s="1"/>
  <c r="BD734" i="1"/>
  <c r="BI734" i="1" s="1"/>
  <c r="BD342" i="1"/>
  <c r="BI342" i="1" s="1"/>
  <c r="BD706" i="1"/>
  <c r="BI706" i="1" s="1"/>
  <c r="BD754" i="1"/>
  <c r="BI754" i="1" s="1"/>
  <c r="BD71" i="1"/>
  <c r="BI71" i="1" s="1"/>
  <c r="BD513" i="1"/>
  <c r="BI513" i="1" s="1"/>
  <c r="BD1221" i="1"/>
  <c r="BI1221" i="1" s="1"/>
  <c r="BD916" i="1"/>
  <c r="BI916" i="1" s="1"/>
  <c r="BD822" i="1"/>
  <c r="BI822" i="1" s="1"/>
  <c r="BD81" i="1"/>
  <c r="BI81" i="1" s="1"/>
  <c r="BD180" i="1"/>
  <c r="BI180" i="1" s="1"/>
  <c r="BD1507" i="1"/>
  <c r="BI1507" i="1" s="1"/>
  <c r="BD51" i="1"/>
  <c r="BI51" i="1" s="1"/>
  <c r="BD1236" i="1"/>
  <c r="BI1236" i="1" s="1"/>
  <c r="BD1367" i="1"/>
  <c r="BI1367" i="1" s="1"/>
  <c r="BD91" i="1"/>
  <c r="BI91" i="1" s="1"/>
  <c r="BD1028" i="1"/>
  <c r="BI1028" i="1" s="1"/>
  <c r="BD1096" i="1"/>
  <c r="BI1096" i="1" s="1"/>
  <c r="BD977" i="1"/>
  <c r="BI977" i="1" s="1"/>
  <c r="BD1393" i="1"/>
  <c r="BI1393" i="1" s="1"/>
  <c r="BD689" i="1"/>
  <c r="BI689" i="1" s="1"/>
  <c r="BD1501" i="1"/>
  <c r="BI1501" i="1" s="1"/>
  <c r="BD1704" i="1"/>
  <c r="BI1704" i="1" s="1"/>
  <c r="BD102" i="1"/>
  <c r="BI102" i="1" s="1"/>
  <c r="BD252" i="1"/>
  <c r="BI252" i="1" s="1"/>
  <c r="BD1303" i="1"/>
  <c r="BI1303" i="1" s="1"/>
  <c r="BD909" i="1"/>
  <c r="BI909" i="1" s="1"/>
  <c r="BD1509" i="1"/>
  <c r="BI1509" i="1" s="1"/>
  <c r="BD714" i="1"/>
  <c r="BI714" i="1" s="1"/>
  <c r="BD124" i="1"/>
  <c r="BI124" i="1" s="1"/>
  <c r="BD830" i="1"/>
  <c r="BI830" i="1" s="1"/>
  <c r="BD1536" i="1"/>
  <c r="BI1536" i="1" s="1"/>
  <c r="BD1582" i="1"/>
  <c r="BI1582" i="1" s="1"/>
  <c r="BD69" i="1"/>
  <c r="BI69" i="1" s="1"/>
  <c r="BD795" i="1"/>
  <c r="BI795" i="1" s="1"/>
  <c r="BD691" i="1"/>
  <c r="BI691" i="1" s="1"/>
  <c r="BD369" i="1"/>
  <c r="BI369" i="1" s="1"/>
  <c r="BD1065" i="1"/>
  <c r="BI1065" i="1" s="1"/>
  <c r="BD1243" i="1"/>
  <c r="BI1243" i="1" s="1"/>
  <c r="BD47" i="1"/>
  <c r="BI47" i="1" s="1"/>
  <c r="BD774" i="1"/>
  <c r="BI774" i="1" s="1"/>
  <c r="BD1409" i="1"/>
  <c r="BI1409" i="1" s="1"/>
  <c r="BD1200" i="1"/>
  <c r="BI1200" i="1" s="1"/>
  <c r="BD1578" i="1"/>
  <c r="BI1578" i="1" s="1"/>
  <c r="BD202" i="1"/>
  <c r="BI202" i="1" s="1"/>
  <c r="BD302" i="1"/>
  <c r="BI302" i="1" s="1"/>
  <c r="BD1180" i="1"/>
  <c r="BI1180" i="1" s="1"/>
  <c r="BD1617" i="1"/>
  <c r="BI1617" i="1" s="1"/>
  <c r="BD932" i="1"/>
  <c r="BI932" i="1" s="1"/>
  <c r="BD517" i="1"/>
  <c r="BI517" i="1" s="1"/>
  <c r="BD1444" i="1"/>
  <c r="BI1444" i="1" s="1"/>
  <c r="BD58" i="1"/>
  <c r="BI58" i="1" s="1"/>
  <c r="BD1597" i="1"/>
  <c r="BI1597" i="1" s="1"/>
  <c r="BD1697" i="1"/>
  <c r="BI1697" i="1" s="1"/>
  <c r="BD601" i="1"/>
  <c r="BI601" i="1" s="1"/>
  <c r="BD1275" i="1"/>
  <c r="BI1275" i="1" s="1"/>
  <c r="BD609" i="1"/>
  <c r="BI609" i="1" s="1"/>
  <c r="BD1580" i="1"/>
  <c r="BI1580" i="1" s="1"/>
  <c r="BD190" i="1"/>
  <c r="BI190" i="1" s="1"/>
  <c r="BD54" i="1"/>
  <c r="BI54" i="1" s="1"/>
  <c r="BD1402" i="1"/>
  <c r="BI1402" i="1" s="1"/>
  <c r="BD1467" i="1"/>
  <c r="BI1467" i="1" s="1"/>
  <c r="BD298" i="1"/>
  <c r="BI298" i="1" s="1"/>
  <c r="BD49" i="1"/>
  <c r="BI49" i="1" s="1"/>
  <c r="BD797" i="1"/>
  <c r="BI797" i="1" s="1"/>
  <c r="BD878" i="1"/>
  <c r="BI878" i="1" s="1"/>
  <c r="BD414" i="1"/>
  <c r="BI414" i="1" s="1"/>
  <c r="BD1063" i="1"/>
  <c r="BI1063" i="1" s="1"/>
  <c r="BD65" i="1"/>
  <c r="BI65" i="1" s="1"/>
  <c r="BD579" i="1"/>
  <c r="BI579" i="1" s="1"/>
  <c r="BD268" i="1"/>
  <c r="BI268" i="1" s="1"/>
  <c r="BD1601" i="1"/>
  <c r="BI1601" i="1" s="1"/>
  <c r="BD1683" i="1"/>
  <c r="BI1683" i="1" s="1"/>
  <c r="BD647" i="1"/>
  <c r="BI647" i="1" s="1"/>
  <c r="BD162" i="1"/>
  <c r="BI162" i="1" s="1"/>
  <c r="BD1533" i="1"/>
  <c r="BI1533" i="1" s="1"/>
  <c r="BD643" i="1"/>
  <c r="BI643" i="1" s="1"/>
  <c r="BD941" i="1"/>
  <c r="BI941" i="1" s="1"/>
  <c r="BD1170" i="1"/>
  <c r="BI1170" i="1" s="1"/>
  <c r="BD413" i="1"/>
  <c r="BI413" i="1" s="1"/>
  <c r="BD1301" i="1"/>
  <c r="BI1301" i="1" s="1"/>
  <c r="BD1041" i="1"/>
  <c r="BI1041" i="1" s="1"/>
  <c r="BD193" i="1"/>
  <c r="BI193" i="1" s="1"/>
  <c r="BD434" i="1"/>
  <c r="BI434" i="1" s="1"/>
  <c r="BD388" i="1"/>
  <c r="BI388" i="1" s="1"/>
  <c r="BD1341" i="1"/>
  <c r="BI1341" i="1" s="1"/>
  <c r="BD911" i="1"/>
  <c r="BI911" i="1" s="1"/>
  <c r="BD890" i="1"/>
  <c r="BI890" i="1" s="1"/>
  <c r="BD503" i="1"/>
  <c r="BI503" i="1" s="1"/>
  <c r="BD717" i="1"/>
  <c r="BI717" i="1" s="1"/>
  <c r="BD992" i="1"/>
  <c r="BI992" i="1" s="1"/>
  <c r="BD133" i="1"/>
  <c r="BI133" i="1" s="1"/>
  <c r="BD1505" i="1"/>
  <c r="BI1505" i="1" s="1"/>
  <c r="BD812" i="1"/>
  <c r="BI812" i="1" s="1"/>
  <c r="BD76" i="1"/>
  <c r="BI76" i="1" s="1"/>
  <c r="BD759" i="1"/>
  <c r="BI759" i="1" s="1"/>
  <c r="BD540" i="1"/>
  <c r="BI540" i="1" s="1"/>
  <c r="BD423" i="1"/>
  <c r="BI423" i="1" s="1"/>
  <c r="BD529" i="1"/>
  <c r="BI529" i="1" s="1"/>
  <c r="BD144" i="1"/>
  <c r="BI144" i="1" s="1"/>
  <c r="BD1176" i="1"/>
  <c r="BI1176" i="1" s="1"/>
  <c r="BD1648" i="1"/>
  <c r="BI1648" i="1" s="1"/>
  <c r="BD265" i="1"/>
  <c r="BI265" i="1" s="1"/>
  <c r="BD126" i="1"/>
  <c r="BI126" i="1" s="1"/>
  <c r="BD671" i="1"/>
  <c r="BI671" i="1" s="1"/>
  <c r="BD1383" i="1"/>
  <c r="BI1383" i="1" s="1"/>
  <c r="BD748" i="1"/>
  <c r="BI748" i="1" s="1"/>
  <c r="BD1610" i="1"/>
  <c r="BI1610" i="1" s="1"/>
  <c r="BD203" i="1"/>
  <c r="BI203" i="1" s="1"/>
  <c r="BD1373" i="1"/>
  <c r="BI1373" i="1" s="1"/>
  <c r="BD417" i="1"/>
  <c r="BI417" i="1" s="1"/>
  <c r="BD710" i="1"/>
  <c r="BI710" i="1" s="1"/>
  <c r="BD1004" i="1"/>
  <c r="BI1004" i="1" s="1"/>
  <c r="BD1083" i="1"/>
  <c r="BI1083" i="1" s="1"/>
  <c r="BD672" i="1"/>
  <c r="BI672" i="1" s="1"/>
  <c r="BD1022" i="1"/>
  <c r="BI1022" i="1" s="1"/>
  <c r="BD1259" i="1"/>
  <c r="BI1259" i="1" s="1"/>
  <c r="BD344" i="1"/>
  <c r="BI344" i="1" s="1"/>
  <c r="BD1294" i="1"/>
  <c r="BI1294" i="1" s="1"/>
  <c r="BD1549" i="1"/>
  <c r="BI1549" i="1" s="1"/>
  <c r="BD425" i="1"/>
  <c r="BI425" i="1" s="1"/>
  <c r="BD1592" i="1"/>
  <c r="BI1592" i="1" s="1"/>
  <c r="BD323" i="1"/>
  <c r="BI323" i="1" s="1"/>
  <c r="BD1547" i="1"/>
  <c r="BI1547" i="1" s="1"/>
  <c r="BD353" i="1"/>
  <c r="BI353" i="1" s="1"/>
  <c r="BD1493" i="1"/>
  <c r="BI1493" i="1" s="1"/>
  <c r="BD21" i="1"/>
  <c r="BI21" i="1" s="1"/>
  <c r="BD930" i="1"/>
  <c r="BI930" i="1" s="1"/>
  <c r="BD1579" i="1"/>
  <c r="BI1579" i="1" s="1"/>
  <c r="BD1626" i="1"/>
  <c r="BI1626" i="1" s="1"/>
  <c r="BD106" i="1"/>
  <c r="BI106" i="1" s="1"/>
  <c r="BD351" i="1"/>
  <c r="BI351" i="1" s="1"/>
  <c r="BD1127" i="1"/>
  <c r="BI1127" i="1" s="1"/>
  <c r="BD1635" i="1"/>
  <c r="BI1635" i="1" s="1"/>
  <c r="BD1636" i="1"/>
  <c r="BI1636" i="1" s="1"/>
  <c r="BD1379" i="1"/>
  <c r="BI1379" i="1" s="1"/>
  <c r="BD1571" i="1"/>
  <c r="BI1571" i="1" s="1"/>
  <c r="BD121" i="1"/>
  <c r="BI121" i="1" s="1"/>
  <c r="BD1278" i="1"/>
  <c r="BI1278" i="1" s="1"/>
  <c r="BD1207" i="1"/>
  <c r="BI1207" i="1" s="1"/>
  <c r="BD1030" i="1"/>
  <c r="BI1030" i="1" s="1"/>
  <c r="BD1515" i="1"/>
  <c r="BI1515" i="1" s="1"/>
  <c r="BD865" i="1"/>
  <c r="BI865" i="1" s="1"/>
  <c r="BD261" i="1"/>
  <c r="BI261" i="1" s="1"/>
  <c r="BD88" i="1"/>
  <c r="BI88" i="1" s="1"/>
  <c r="BD18" i="1"/>
  <c r="BI18" i="1" s="1"/>
  <c r="BD1179" i="1"/>
  <c r="BI1179" i="1" s="1"/>
  <c r="BD1490" i="1"/>
  <c r="BI1490" i="1" s="1"/>
  <c r="BD1390" i="1"/>
  <c r="BI1390" i="1" s="1"/>
  <c r="BD1319" i="1"/>
  <c r="BI1319" i="1" s="1"/>
  <c r="BD1577" i="1"/>
  <c r="BI1577" i="1" s="1"/>
  <c r="BD685" i="1"/>
  <c r="BI685" i="1" s="1"/>
  <c r="BD814" i="1"/>
  <c r="BI814" i="1" s="1"/>
  <c r="BD1532" i="1"/>
  <c r="BI1532" i="1" s="1"/>
  <c r="BD1304" i="1"/>
  <c r="BI1304" i="1" s="1"/>
  <c r="BD1147" i="1"/>
  <c r="BI1147" i="1" s="1"/>
  <c r="BD410" i="1"/>
  <c r="BI410" i="1" s="1"/>
  <c r="BD297" i="1"/>
  <c r="BI297" i="1" s="1"/>
  <c r="BD317" i="1"/>
  <c r="BI317" i="1" s="1"/>
  <c r="BD846" i="1"/>
  <c r="BI846" i="1" s="1"/>
  <c r="BD1188" i="1"/>
  <c r="BI1188" i="1" s="1"/>
  <c r="BD327" i="1"/>
  <c r="BI327" i="1" s="1"/>
  <c r="BD644" i="1"/>
  <c r="BI644" i="1" s="1"/>
  <c r="BD1492" i="1"/>
  <c r="BI1492" i="1" s="1"/>
  <c r="BD975" i="1"/>
  <c r="BI975" i="1" s="1"/>
  <c r="BD1145" i="1"/>
  <c r="BI1145" i="1" s="1"/>
  <c r="BD620" i="1"/>
  <c r="BI620" i="1" s="1"/>
  <c r="BD1369" i="1"/>
  <c r="BI1369" i="1" s="1"/>
  <c r="BD752" i="1"/>
  <c r="BI752" i="1" s="1"/>
  <c r="BD301" i="1"/>
  <c r="BI301" i="1" s="1"/>
  <c r="BD84" i="1"/>
  <c r="BI84" i="1" s="1"/>
  <c r="BD872" i="1"/>
  <c r="BI872" i="1" s="1"/>
  <c r="BD57" i="1"/>
  <c r="BI57" i="1" s="1"/>
  <c r="BD1092" i="1"/>
  <c r="BI1092" i="1" s="1"/>
  <c r="BD551" i="1"/>
  <c r="BI551" i="1" s="1"/>
  <c r="BD1098" i="1"/>
  <c r="BI1098" i="1" s="1"/>
  <c r="BD502" i="1"/>
  <c r="BI502" i="1" s="1"/>
  <c r="BD198" i="1"/>
  <c r="BI198" i="1" s="1"/>
  <c r="BD1519" i="1"/>
  <c r="BI1519" i="1" s="1"/>
  <c r="BD733" i="1"/>
  <c r="BI733" i="1" s="1"/>
  <c r="BD464" i="1"/>
  <c r="BI464" i="1" s="1"/>
  <c r="BD530" i="1"/>
  <c r="BI530" i="1" s="1"/>
  <c r="BD721" i="1"/>
  <c r="BI721" i="1" s="1"/>
  <c r="BD1708" i="1"/>
  <c r="BI1708" i="1" s="1"/>
  <c r="BD857" i="1"/>
  <c r="BI857" i="1" s="1"/>
  <c r="BD915" i="1"/>
  <c r="BI915" i="1" s="1"/>
  <c r="BD938" i="1"/>
  <c r="BI938" i="1" s="1"/>
  <c r="BD229" i="1"/>
  <c r="BI229" i="1" s="1"/>
  <c r="BD604" i="1"/>
  <c r="BI604" i="1" s="1"/>
  <c r="BD1508" i="1"/>
  <c r="BI1508" i="1" s="1"/>
  <c r="BD1332" i="1"/>
  <c r="BI1332" i="1" s="1"/>
  <c r="BD933" i="1"/>
  <c r="BI933" i="1" s="1"/>
  <c r="BD113" i="1"/>
  <c r="BI113" i="1" s="1"/>
  <c r="BD407" i="1"/>
  <c r="BI407" i="1" s="1"/>
  <c r="BD326" i="1"/>
  <c r="BI326" i="1" s="1"/>
  <c r="BD1524" i="1"/>
  <c r="BI1524" i="1" s="1"/>
  <c r="BD77" i="1"/>
  <c r="BI77" i="1" s="1"/>
  <c r="BD86" i="1"/>
  <c r="BI86" i="1" s="1"/>
  <c r="BD72" i="1"/>
  <c r="BI72" i="1" s="1"/>
  <c r="BD771" i="1"/>
  <c r="BI771" i="1" s="1"/>
  <c r="BD1478" i="1"/>
  <c r="BI1478" i="1" s="1"/>
  <c r="BD1199" i="1"/>
  <c r="BI1199" i="1" s="1"/>
  <c r="BD239" i="1"/>
  <c r="BI239" i="1" s="1"/>
  <c r="BD1649" i="1"/>
  <c r="BI1649" i="1" s="1"/>
  <c r="BD582" i="1"/>
  <c r="BI582" i="1" s="1"/>
  <c r="BD1314" i="1"/>
  <c r="BI1314" i="1" s="1"/>
  <c r="BD1073" i="1"/>
  <c r="BI1073" i="1" s="1"/>
  <c r="BD1042" i="1"/>
  <c r="BI1042" i="1" s="1"/>
  <c r="BD1575" i="1"/>
  <c r="BI1575" i="1" s="1"/>
  <c r="BD686" i="1"/>
  <c r="BI686" i="1" s="1"/>
  <c r="BD1401" i="1"/>
  <c r="BI1401" i="1" s="1"/>
  <c r="BD1588" i="1"/>
  <c r="BI1588" i="1" s="1"/>
  <c r="BD808" i="1"/>
  <c r="BI808" i="1" s="1"/>
  <c r="BD1271" i="1"/>
  <c r="BI1271" i="1" s="1"/>
  <c r="BD688" i="1"/>
  <c r="BI688" i="1" s="1"/>
  <c r="BD295" i="1"/>
  <c r="BI295" i="1" s="1"/>
  <c r="BD651" i="1"/>
  <c r="BI651" i="1" s="1"/>
  <c r="BD242" i="1"/>
  <c r="BI242" i="1" s="1"/>
  <c r="BD136" i="1"/>
  <c r="BI136" i="1" s="1"/>
  <c r="BD799" i="1"/>
  <c r="BI799" i="1" s="1"/>
  <c r="BD151" i="1"/>
  <c r="BI151" i="1" s="1"/>
  <c r="BD1202" i="1"/>
  <c r="BI1202" i="1" s="1"/>
  <c r="BD1211" i="1"/>
  <c r="BI1211" i="1" s="1"/>
  <c r="BD693" i="1"/>
  <c r="BI693" i="1" s="1"/>
  <c r="BD1205" i="1"/>
  <c r="BI1205" i="1" s="1"/>
  <c r="BD970" i="1"/>
  <c r="BI970" i="1" s="1"/>
  <c r="BD1607" i="1"/>
  <c r="BI1607" i="1" s="1"/>
  <c r="BD228" i="1"/>
  <c r="BI228" i="1" s="1"/>
  <c r="BD350" i="1"/>
  <c r="BI350" i="1" s="1"/>
  <c r="BD1618" i="1"/>
  <c r="BI1618" i="1" s="1"/>
  <c r="BD728" i="1"/>
  <c r="BI728" i="1" s="1"/>
  <c r="BD125" i="1"/>
  <c r="BI125" i="1" s="1"/>
  <c r="BD1570" i="1"/>
  <c r="BI1570" i="1" s="1"/>
  <c r="BD1217" i="1"/>
  <c r="BI1217" i="1" s="1"/>
  <c r="BD605" i="1"/>
  <c r="BI605" i="1" s="1"/>
  <c r="BD648" i="1"/>
  <c r="BI648" i="1" s="1"/>
  <c r="BD79" i="1"/>
  <c r="BI79" i="1" s="1"/>
  <c r="BD591" i="1"/>
  <c r="BI591" i="1" s="1"/>
  <c r="BD570" i="1"/>
  <c r="BI570" i="1" s="1"/>
  <c r="BD1204" i="1"/>
  <c r="BI1204" i="1" s="1"/>
  <c r="BD1397" i="1"/>
  <c r="BI1397" i="1" s="1"/>
  <c r="BD85" i="1"/>
  <c r="BI85" i="1" s="1"/>
  <c r="BD802" i="1"/>
  <c r="BI802" i="1" s="1"/>
  <c r="BD773" i="1"/>
  <c r="BI773" i="1" s="1"/>
  <c r="BD356" i="1"/>
  <c r="BI356" i="1" s="1"/>
  <c r="BD332" i="1"/>
  <c r="BI332" i="1" s="1"/>
  <c r="BD1709" i="1"/>
  <c r="BI1709" i="1" s="1"/>
  <c r="BD1527" i="1"/>
  <c r="BI1527" i="1" s="1"/>
  <c r="BD1362" i="1"/>
  <c r="BI1362" i="1" s="1"/>
  <c r="BD371" i="1"/>
  <c r="BI371" i="1" s="1"/>
  <c r="BD1201" i="1"/>
  <c r="BI1201" i="1" s="1"/>
  <c r="BD1195" i="1"/>
  <c r="BI1195" i="1" s="1"/>
  <c r="BD433" i="1"/>
  <c r="BI433" i="1" s="1"/>
  <c r="BD610" i="1"/>
  <c r="BI610" i="1" s="1"/>
  <c r="BD1435" i="1"/>
  <c r="BI1435" i="1" s="1"/>
  <c r="BD1399" i="1"/>
  <c r="BI1399" i="1" s="1"/>
  <c r="BD475" i="1"/>
  <c r="BI475" i="1" s="1"/>
  <c r="BD358" i="1"/>
  <c r="BI358" i="1" s="1"/>
  <c r="BD950" i="1"/>
  <c r="BI950" i="1" s="1"/>
  <c r="BD516" i="1"/>
  <c r="BI516" i="1" s="1"/>
  <c r="BD1590" i="1"/>
  <c r="BI1590" i="1" s="1"/>
  <c r="BD1583" i="1"/>
  <c r="BI1583" i="1" s="1"/>
  <c r="BD527" i="1"/>
  <c r="BI527" i="1" s="1"/>
  <c r="BD780" i="1"/>
  <c r="BI780" i="1" s="1"/>
  <c r="BD362" i="1"/>
  <c r="BI362" i="1" s="1"/>
  <c r="BD352" i="1"/>
  <c r="BI352" i="1" s="1"/>
  <c r="BD1237" i="1"/>
  <c r="BI1237" i="1" s="1"/>
  <c r="BD442" i="1"/>
  <c r="BI442" i="1" s="1"/>
  <c r="BD1016" i="1"/>
  <c r="BI1016" i="1" s="1"/>
  <c r="BD1627" i="1"/>
  <c r="BI1627" i="1" s="1"/>
  <c r="BD462" i="1"/>
  <c r="BI462" i="1" s="1"/>
  <c r="BD1429" i="1"/>
  <c r="BI1429" i="1" s="1"/>
  <c r="BD804" i="1"/>
  <c r="BI804" i="1" s="1"/>
  <c r="BD606" i="1"/>
  <c r="BI606" i="1" s="1"/>
  <c r="BD1522" i="1"/>
  <c r="BI1522" i="1" s="1"/>
  <c r="BD824" i="1"/>
  <c r="BI824" i="1" s="1"/>
  <c r="BD46" i="1"/>
  <c r="BI46" i="1" s="1"/>
  <c r="BD900" i="1"/>
  <c r="BI900" i="1" s="1"/>
  <c r="BD1010" i="1"/>
  <c r="BI1010" i="1" s="1"/>
  <c r="BD1477" i="1"/>
  <c r="BI1477" i="1" s="1"/>
  <c r="BD441" i="1"/>
  <c r="BI441" i="1" s="1"/>
  <c r="BD1273" i="1"/>
  <c r="BI1273" i="1" s="1"/>
  <c r="BD1213" i="1"/>
  <c r="BI1213" i="1" s="1"/>
  <c r="BD288" i="1"/>
  <c r="BI288" i="1" s="1"/>
  <c r="BD194" i="1"/>
  <c r="BI194" i="1" s="1"/>
  <c r="BD1662" i="1"/>
  <c r="BI1662" i="1" s="1"/>
  <c r="BD1389" i="1"/>
  <c r="BI1389" i="1" s="1"/>
  <c r="BD26" i="1"/>
  <c r="BI26" i="1" s="1"/>
  <c r="BD1681" i="1"/>
  <c r="BI1681" i="1" s="1"/>
  <c r="BD738" i="1"/>
  <c r="BI738" i="1" s="1"/>
  <c r="BD1415" i="1"/>
  <c r="BI1415" i="1" s="1"/>
  <c r="BD212" i="1"/>
  <c r="BI212" i="1" s="1"/>
  <c r="BD618" i="1"/>
  <c r="BI618" i="1" s="1"/>
  <c r="BD1695" i="1"/>
  <c r="BI1695" i="1" s="1"/>
  <c r="BD1086" i="1"/>
  <c r="BI1086" i="1" s="1"/>
  <c r="BD440" i="1"/>
  <c r="BI440" i="1" s="1"/>
  <c r="BD578" i="1"/>
  <c r="BI578" i="1" s="1"/>
  <c r="BD1281" i="1"/>
  <c r="BI1281" i="1" s="1"/>
  <c r="BD1658" i="1"/>
  <c r="BI1658" i="1" s="1"/>
  <c r="BD192" i="1"/>
  <c r="BI192" i="1" s="1"/>
  <c r="BD176" i="1"/>
  <c r="BI176" i="1" s="1"/>
  <c r="BD1371" i="1"/>
  <c r="BI1371" i="1" s="1"/>
  <c r="BD63" i="1"/>
  <c r="BI63" i="1" s="1"/>
  <c r="BD732" i="1"/>
  <c r="BI732" i="1" s="1"/>
  <c r="BD1325" i="1"/>
  <c r="BI1325" i="1" s="1"/>
  <c r="BD38" i="1"/>
  <c r="BI38" i="1" s="1"/>
  <c r="BD157" i="1"/>
  <c r="BI157" i="1" s="1"/>
  <c r="BD1448" i="1"/>
  <c r="BI1448" i="1" s="1"/>
  <c r="BD1003" i="1"/>
  <c r="BI1003" i="1" s="1"/>
  <c r="BD690" i="1"/>
  <c r="BI690" i="1" s="1"/>
  <c r="BD1540" i="1"/>
  <c r="BI1540" i="1" s="1"/>
  <c r="BD89" i="1"/>
  <c r="BI89" i="1" s="1"/>
  <c r="BD616" i="1"/>
  <c r="BI616" i="1" s="1"/>
  <c r="BD41" i="1"/>
  <c r="BI41" i="1" s="1"/>
  <c r="BD130" i="1"/>
  <c r="BI130" i="1" s="1"/>
  <c r="BD469" i="1"/>
  <c r="BI469" i="1" s="1"/>
  <c r="BD986" i="1"/>
  <c r="BI986" i="1" s="1"/>
  <c r="BD1470" i="1"/>
  <c r="BI1470" i="1" s="1"/>
  <c r="BD666" i="1"/>
  <c r="BI666" i="1" s="1"/>
  <c r="BD1069" i="1"/>
  <c r="BI1069" i="1" s="1"/>
  <c r="BD973" i="1"/>
  <c r="BI973" i="1" s="1"/>
  <c r="BD1026" i="1"/>
  <c r="BI1026" i="1" s="1"/>
  <c r="BD1602" i="1"/>
  <c r="BI1602" i="1" s="1"/>
  <c r="BD1382" i="1"/>
  <c r="BI1382" i="1" s="1"/>
  <c r="BD43" i="1"/>
  <c r="BI43" i="1" s="1"/>
  <c r="BD536" i="1"/>
  <c r="BI536" i="1" s="1"/>
  <c r="BD1615" i="1"/>
  <c r="BI1615" i="1" s="1"/>
  <c r="BD56" i="1"/>
  <c r="BI56" i="1" s="1"/>
  <c r="BD1364" i="1"/>
  <c r="BI1364" i="1" s="1"/>
  <c r="BD1598" i="1"/>
  <c r="BI1598" i="1" s="1"/>
  <c r="BD983" i="1"/>
  <c r="BI983" i="1" s="1"/>
  <c r="BD461" i="1"/>
  <c r="BI461" i="1" s="1"/>
  <c r="BD741" i="1"/>
  <c r="BI741" i="1" s="1"/>
  <c r="BD594" i="1"/>
  <c r="BI594" i="1" s="1"/>
  <c r="BD1181" i="1"/>
  <c r="BI1181" i="1" s="1"/>
  <c r="BD1438" i="1"/>
  <c r="BI1438" i="1" s="1"/>
  <c r="BD723" i="1"/>
  <c r="BI723" i="1" s="1"/>
  <c r="BD1726" i="1"/>
  <c r="BI1726" i="1" s="1"/>
  <c r="BD131" i="1"/>
  <c r="BI131" i="1" s="1"/>
  <c r="BD264" i="1"/>
  <c r="BI264" i="1" s="1"/>
  <c r="BD1056" i="1"/>
  <c r="BI1056" i="1" s="1"/>
  <c r="BD269" i="1"/>
  <c r="BI269" i="1" s="1"/>
  <c r="BD589" i="1"/>
  <c r="BI589" i="1" s="1"/>
  <c r="BD153" i="1"/>
  <c r="BI153" i="1" s="1"/>
  <c r="BD175" i="1"/>
  <c r="BI175" i="1" s="1"/>
  <c r="BD1002" i="1"/>
  <c r="BI1002" i="1" s="1"/>
  <c r="BD1239" i="1"/>
  <c r="BI1239" i="1" s="1"/>
  <c r="BD525" i="1"/>
  <c r="BI525" i="1" s="1"/>
  <c r="BD290" i="1"/>
  <c r="BI290" i="1" s="1"/>
  <c r="BD1548" i="1"/>
  <c r="BI1548" i="1" s="1"/>
  <c r="BD1134" i="1"/>
  <c r="BI1134" i="1" s="1"/>
  <c r="BD587" i="1"/>
  <c r="BI587" i="1" s="1"/>
  <c r="BD683" i="1"/>
  <c r="BI683" i="1" s="1"/>
  <c r="BD1143" i="1"/>
  <c r="BI1143" i="1" s="1"/>
  <c r="BD567" i="1"/>
  <c r="BI567" i="1" s="1"/>
  <c r="BD1331" i="1"/>
  <c r="BI1331" i="1" s="1"/>
  <c r="BD681" i="1"/>
  <c r="BI681" i="1" s="1"/>
  <c r="BF1616" i="1"/>
  <c r="BG1616" i="1" s="1"/>
  <c r="BK1616" i="1"/>
  <c r="BL1616" i="1" s="1"/>
  <c r="BC326" i="1"/>
  <c r="BC787" i="1"/>
  <c r="BC47" i="1"/>
  <c r="BC143" i="1"/>
  <c r="BC1443" i="1"/>
  <c r="BC723" i="1"/>
  <c r="BC920" i="1"/>
  <c r="BC199" i="1"/>
  <c r="BC599" i="1"/>
  <c r="BC815" i="1"/>
  <c r="BC41" i="1"/>
  <c r="BC752" i="1"/>
  <c r="BC546" i="1"/>
  <c r="BC345" i="1"/>
  <c r="BC157" i="1"/>
  <c r="BC248" i="1"/>
  <c r="BC1376" i="1"/>
  <c r="BC84" i="1"/>
  <c r="BC506" i="1"/>
  <c r="BC1280" i="1"/>
  <c r="BC1602" i="1"/>
  <c r="BC1244" i="1"/>
  <c r="BC571" i="1"/>
  <c r="BC1406" i="1"/>
  <c r="BC1380" i="1"/>
  <c r="BC342" i="1"/>
  <c r="BC1522" i="1"/>
  <c r="BC180" i="1"/>
  <c r="BC1267" i="1"/>
  <c r="BC1553" i="1"/>
  <c r="BC435" i="1"/>
  <c r="BC123" i="1"/>
  <c r="BC146" i="1"/>
  <c r="BC1695" i="1"/>
  <c r="BC422" i="1"/>
  <c r="BC797" i="1"/>
  <c r="BC409" i="1"/>
  <c r="BC680" i="1"/>
  <c r="BC93" i="1"/>
  <c r="BC1092" i="1"/>
  <c r="BC89" i="1"/>
  <c r="BC894" i="1"/>
  <c r="BC1313" i="1"/>
  <c r="BC1641" i="1"/>
  <c r="BC1637" i="1"/>
  <c r="BC1429" i="1"/>
  <c r="BC971" i="1"/>
  <c r="BC1174" i="1"/>
  <c r="BC1401" i="1"/>
  <c r="BC1459" i="1"/>
  <c r="BC414" i="1"/>
  <c r="BC1605" i="1"/>
  <c r="BC1258" i="1"/>
  <c r="BC1724" i="1"/>
  <c r="BC647" i="1"/>
  <c r="BC1143" i="1"/>
  <c r="BC782" i="1"/>
  <c r="BC1063" i="1"/>
  <c r="BC1300" i="1"/>
  <c r="BC1580" i="1"/>
  <c r="BC1158" i="1"/>
  <c r="BC1579" i="1"/>
  <c r="BC137" i="1"/>
  <c r="BC504" i="1"/>
  <c r="BC303" i="1"/>
  <c r="BC1439" i="1"/>
  <c r="BC826" i="1"/>
  <c r="BC78" i="1"/>
  <c r="BC1312" i="1"/>
  <c r="BC46" i="1"/>
  <c r="BC1011" i="1"/>
  <c r="BC1315" i="1"/>
  <c r="BC1659" i="1"/>
  <c r="BC1167" i="1"/>
  <c r="BC90" i="1"/>
  <c r="BC336" i="1"/>
  <c r="BC162" i="1"/>
  <c r="BC1640" i="1"/>
  <c r="BC175" i="1"/>
  <c r="BC584" i="1"/>
  <c r="BC527" i="1"/>
  <c r="BC818" i="1"/>
  <c r="BC566" i="1"/>
  <c r="BC74" i="1"/>
  <c r="BC291" i="1"/>
  <c r="BC88" i="1"/>
  <c r="BC332" i="1"/>
  <c r="BC44" i="1"/>
  <c r="BC991" i="1"/>
  <c r="BC490" i="1"/>
  <c r="BC1216" i="1"/>
  <c r="BC1113" i="1"/>
  <c r="BC133" i="1"/>
  <c r="BC347" i="1"/>
  <c r="BC831" i="1"/>
  <c r="BC857" i="1"/>
  <c r="BC720" i="1"/>
  <c r="BC361" i="1"/>
  <c r="BC330" i="1"/>
  <c r="BC266" i="1"/>
  <c r="BC365" i="1"/>
  <c r="BC50" i="1"/>
  <c r="BC1598" i="1"/>
  <c r="BC1009" i="1"/>
  <c r="BC732" i="1"/>
  <c r="BC403" i="1"/>
  <c r="BC1610" i="1"/>
  <c r="BC1283" i="1"/>
  <c r="BC849" i="1"/>
  <c r="BC105" i="1"/>
  <c r="BC907" i="1"/>
  <c r="BC892" i="1"/>
  <c r="BC449" i="1"/>
  <c r="BC1709" i="1"/>
  <c r="BC79" i="1"/>
  <c r="BC1592" i="1"/>
  <c r="BC1472" i="1"/>
  <c r="BC102" i="1"/>
  <c r="BC1537" i="1"/>
  <c r="BC1294" i="1"/>
  <c r="BC1061" i="1"/>
  <c r="BC452" i="1"/>
  <c r="BC267" i="1"/>
  <c r="BC118" i="1"/>
  <c r="BC828" i="1"/>
  <c r="BC1623" i="1"/>
  <c r="BC323" i="1"/>
  <c r="BC1538" i="1"/>
  <c r="BC919" i="1"/>
  <c r="BC1165" i="1"/>
  <c r="BC548" i="1"/>
  <c r="BC1297" i="1"/>
  <c r="BC130" i="1"/>
  <c r="BC1067" i="1"/>
  <c r="BC1634" i="1"/>
  <c r="BC1349" i="1"/>
  <c r="BC1564" i="1"/>
  <c r="BC1397" i="1"/>
  <c r="BC457" i="1"/>
  <c r="BC1056" i="1"/>
  <c r="BC1114" i="1"/>
  <c r="BC875" i="1"/>
  <c r="BC550" i="1"/>
  <c r="BC560" i="1"/>
  <c r="BC270" i="1"/>
  <c r="BC947" i="1"/>
  <c r="BC1027" i="1"/>
  <c r="BC436" i="1"/>
  <c r="BC1202" i="1"/>
  <c r="BC1499" i="1"/>
  <c r="BC747" i="1"/>
  <c r="BC1585" i="1"/>
  <c r="BC769" i="1"/>
  <c r="BC615" i="1"/>
  <c r="BC1091" i="1"/>
  <c r="BC1099" i="1"/>
  <c r="BC1122" i="1"/>
  <c r="BC776" i="1"/>
  <c r="BC611" i="1"/>
  <c r="BC416" i="1"/>
  <c r="BC1036" i="1"/>
  <c r="BC406" i="1"/>
  <c r="BC161" i="1"/>
  <c r="BC1078" i="1"/>
  <c r="BC438" i="1"/>
  <c r="BC833" i="1"/>
  <c r="BC1232" i="1"/>
  <c r="BC1089" i="1"/>
  <c r="BC42" i="1"/>
  <c r="BC830" i="1"/>
  <c r="BC1487" i="1"/>
  <c r="BC827" i="1"/>
  <c r="BC1137" i="1"/>
  <c r="BC408" i="1"/>
  <c r="BC147" i="1"/>
  <c r="BC1548" i="1"/>
  <c r="BC1393" i="1"/>
  <c r="BC707" i="1"/>
  <c r="BC543" i="1"/>
  <c r="BC1059" i="1"/>
  <c r="BC1353" i="1"/>
  <c r="BC1023" i="1"/>
  <c r="BC85" i="1"/>
  <c r="BC520" i="1"/>
  <c r="BC1700" i="1"/>
  <c r="BC562" i="1"/>
  <c r="BC300" i="1"/>
  <c r="BC594" i="1"/>
  <c r="BC1098" i="1"/>
  <c r="BC609" i="1"/>
  <c r="BC1351" i="1"/>
  <c r="BC1669" i="1"/>
  <c r="BC880" i="1"/>
  <c r="BC170" i="1"/>
  <c r="BC650" i="1"/>
  <c r="BC1127" i="1"/>
  <c r="BC486" i="1"/>
  <c r="BC1417" i="1"/>
  <c r="BC233" i="1"/>
  <c r="BC1681" i="1"/>
  <c r="BC23" i="1"/>
  <c r="BC846" i="1"/>
  <c r="BC992" i="1"/>
  <c r="BC731" i="1"/>
  <c r="BC1187" i="1"/>
  <c r="BC302" i="1"/>
  <c r="BC441" i="1"/>
  <c r="BC596" i="1"/>
  <c r="BC960" i="1"/>
  <c r="BC278" i="1"/>
  <c r="BC1103" i="1"/>
  <c r="BC363" i="1"/>
  <c r="BC226" i="1"/>
  <c r="BC258" i="1"/>
  <c r="BC842" i="1"/>
  <c r="BC1155" i="1"/>
  <c r="BC853" i="1"/>
  <c r="BC205" i="1"/>
  <c r="BC666" i="1"/>
  <c r="BC701" i="1"/>
  <c r="BC1421" i="1"/>
  <c r="BC351" i="1"/>
  <c r="BF1074" i="1"/>
  <c r="BG1074" i="1" s="1"/>
  <c r="BC1721" i="1"/>
  <c r="BC1037" i="1"/>
  <c r="BC754" i="1"/>
  <c r="BC1539" i="1"/>
  <c r="BC1474" i="1"/>
  <c r="BC325" i="1"/>
  <c r="BC529" i="1"/>
  <c r="BC1073" i="1"/>
  <c r="BC1337" i="1"/>
  <c r="BC274" i="1"/>
  <c r="BC1029" i="1"/>
  <c r="BC974" i="1"/>
  <c r="BC614" i="1"/>
  <c r="BC695" i="1"/>
  <c r="BC1077" i="1"/>
  <c r="BC1084" i="1"/>
  <c r="BC505" i="1"/>
  <c r="BC1031" i="1"/>
  <c r="BH1057" i="1"/>
  <c r="BH112" i="1"/>
  <c r="BF112" i="1"/>
  <c r="BG112" i="1" s="1"/>
  <c r="BK112" i="1"/>
  <c r="BL112" i="1" s="1"/>
  <c r="BK710" i="1"/>
  <c r="BL710" i="1" s="1"/>
  <c r="BH20" i="1"/>
  <c r="BB1575" i="1"/>
  <c r="BB630" i="1"/>
  <c r="BB1060" i="1"/>
  <c r="BB363" i="1"/>
  <c r="BB813" i="1"/>
  <c r="BB22" i="1"/>
  <c r="BB582" i="1"/>
  <c r="BB123" i="1"/>
  <c r="BB1205" i="1"/>
  <c r="BB566" i="1"/>
  <c r="BB836" i="1"/>
  <c r="BB55" i="1"/>
  <c r="BB1068" i="1"/>
  <c r="BB1665" i="1"/>
  <c r="BB428" i="1"/>
  <c r="BB1118" i="1"/>
  <c r="BB720" i="1"/>
  <c r="BB1199" i="1"/>
  <c r="BB951" i="1"/>
  <c r="BB1593" i="1"/>
  <c r="BB1166" i="1"/>
  <c r="BB1145" i="1"/>
  <c r="BB827" i="1"/>
  <c r="BB302" i="1"/>
  <c r="BB1181" i="1"/>
  <c r="BB1415" i="1"/>
  <c r="BB413" i="1"/>
  <c r="BB177" i="1"/>
  <c r="BB914" i="1"/>
  <c r="BB1063" i="1"/>
  <c r="BB165" i="1"/>
  <c r="BB1647" i="1"/>
  <c r="BB1696" i="1"/>
  <c r="BB153" i="1"/>
  <c r="BB1389" i="1"/>
  <c r="BB1280" i="1"/>
  <c r="BB1206" i="1"/>
  <c r="BB681" i="1"/>
  <c r="BB793" i="1"/>
  <c r="BB146" i="1"/>
  <c r="BB388" i="1"/>
  <c r="BB1336" i="1"/>
  <c r="BB1149" i="1"/>
  <c r="BB717" i="1"/>
  <c r="BB992" i="1"/>
  <c r="BB251" i="1"/>
  <c r="BB1685" i="1"/>
  <c r="BB694" i="1"/>
  <c r="BB1572" i="1"/>
  <c r="BB375" i="1"/>
  <c r="BB1492" i="1"/>
  <c r="BB1278" i="1"/>
  <c r="BB799" i="1"/>
  <c r="BB1418" i="1"/>
  <c r="BB1015" i="1"/>
  <c r="BB1330" i="1"/>
  <c r="BB1111" i="1"/>
  <c r="BB725" i="1"/>
  <c r="BB303" i="1"/>
  <c r="BB144" i="1"/>
  <c r="BB286" i="1"/>
  <c r="BB40" i="1"/>
  <c r="BB1490" i="1"/>
  <c r="BB952" i="1"/>
  <c r="BB921" i="1"/>
  <c r="BB213" i="1"/>
  <c r="BB1650" i="1"/>
  <c r="BB722" i="1"/>
  <c r="BB1074" i="1"/>
  <c r="BB275" i="1"/>
  <c r="BB1320" i="1"/>
  <c r="BB796" i="1"/>
  <c r="BB1104" i="1"/>
  <c r="BB559" i="1"/>
  <c r="BB398" i="1"/>
  <c r="BB1158" i="1"/>
  <c r="BB1123" i="1"/>
  <c r="BB932" i="1"/>
  <c r="BB643" i="1"/>
  <c r="BB759" i="1"/>
  <c r="BB457" i="1"/>
  <c r="BB319" i="1"/>
  <c r="BB172" i="1"/>
  <c r="BB854" i="1"/>
  <c r="BB111" i="1"/>
  <c r="BB742" i="1"/>
  <c r="BB1094" i="1"/>
  <c r="BB190" i="1"/>
  <c r="BB1566" i="1"/>
  <c r="BB1473" i="1"/>
  <c r="BB117" i="1"/>
  <c r="BB174" i="1"/>
  <c r="BB1030" i="1"/>
  <c r="BB1333" i="1"/>
  <c r="BB1709" i="1"/>
  <c r="BB1388" i="1"/>
  <c r="BB1273" i="1"/>
  <c r="BB1093" i="1"/>
  <c r="BB1672" i="1"/>
  <c r="BB1544" i="1"/>
  <c r="BB63" i="1"/>
  <c r="BB87" i="1"/>
  <c r="BB683" i="1"/>
  <c r="BB1640" i="1"/>
  <c r="BB970" i="1"/>
  <c r="BB1612" i="1"/>
  <c r="BB1397" i="1"/>
  <c r="BB1313" i="1"/>
  <c r="BB1083" i="1"/>
  <c r="BB112" i="1"/>
  <c r="BB1198" i="1"/>
  <c r="BB462" i="1"/>
  <c r="BB605" i="1"/>
  <c r="BB1207" i="1"/>
  <c r="BB1041" i="1"/>
  <c r="BB1346" i="1"/>
  <c r="BB406" i="1"/>
  <c r="BB966" i="1"/>
  <c r="BB361" i="1"/>
  <c r="BB1132" i="1"/>
  <c r="BB121" i="1"/>
  <c r="BB804" i="1"/>
  <c r="BB1152" i="1"/>
  <c r="BB82" i="1"/>
  <c r="BB1218" i="1"/>
  <c r="BB1332" i="1"/>
  <c r="BB129" i="1"/>
  <c r="BB1130" i="1"/>
  <c r="BB393" i="1"/>
  <c r="BB679" i="1"/>
  <c r="BB1426" i="1"/>
  <c r="BB1604" i="1"/>
  <c r="BB1533" i="1"/>
  <c r="BB1359" i="1"/>
  <c r="BB1200" i="1"/>
  <c r="BB399" i="1"/>
  <c r="BB448" i="1"/>
  <c r="BB1302" i="1"/>
  <c r="BB35" i="1"/>
  <c r="BB1079" i="1"/>
  <c r="BB1695" i="1"/>
  <c r="BB755" i="1"/>
  <c r="BB383" i="1"/>
  <c r="BB358" i="1"/>
  <c r="BB1372" i="1"/>
  <c r="BB1244" i="1"/>
  <c r="BB64" i="1"/>
  <c r="BB1193" i="1"/>
  <c r="BB368" i="1"/>
  <c r="BB329" i="1"/>
  <c r="BB1392" i="1"/>
  <c r="BB29" i="1"/>
  <c r="BB649" i="1"/>
  <c r="BB1270" i="1"/>
  <c r="BB1113" i="1"/>
  <c r="BB941" i="1"/>
  <c r="BB1383" i="1"/>
  <c r="BB1563" i="1"/>
  <c r="BB593" i="1"/>
  <c r="BB732" i="1"/>
  <c r="BB871" i="1"/>
  <c r="BB1371" i="1"/>
  <c r="BB1306" i="1"/>
  <c r="BB616" i="1"/>
  <c r="BB917" i="1"/>
  <c r="BB1697" i="1"/>
  <c r="BB1229" i="1"/>
  <c r="BB292" i="1"/>
  <c r="BB69" i="1"/>
  <c r="BB192" i="1"/>
  <c r="BB1558" i="1"/>
  <c r="BB419" i="1"/>
  <c r="BB1231" i="1"/>
  <c r="BB508" i="1"/>
  <c r="BB1171" i="1"/>
  <c r="BB1180" i="1"/>
  <c r="BB931" i="1"/>
  <c r="BB1049" i="1"/>
  <c r="BB924" i="1"/>
  <c r="BB193" i="1"/>
  <c r="BB1545" i="1"/>
  <c r="BB1398" i="1"/>
  <c r="BB1308" i="1"/>
  <c r="BB1164" i="1"/>
  <c r="BB1299" i="1"/>
  <c r="BB807" i="1"/>
  <c r="BB80" i="1"/>
  <c r="BB1361" i="1"/>
  <c r="BB1098" i="1"/>
  <c r="BB1519" i="1"/>
  <c r="BB242" i="1"/>
  <c r="BB916" i="1"/>
  <c r="BB1245" i="1"/>
  <c r="BB1084" i="1"/>
  <c r="BB965" i="1"/>
  <c r="BB690" i="1"/>
  <c r="BB65" i="1"/>
  <c r="BB1546" i="1"/>
  <c r="BB1201" i="1"/>
  <c r="BB1683" i="1"/>
  <c r="BB346" i="1"/>
  <c r="BB1284" i="1"/>
  <c r="BB738" i="1"/>
  <c r="BB1581" i="1"/>
  <c r="BB612" i="1"/>
  <c r="BB549" i="1"/>
  <c r="BB889" i="1"/>
  <c r="BB401" i="1"/>
  <c r="BB474" i="1"/>
  <c r="BB1294" i="1"/>
  <c r="BB108" i="1"/>
  <c r="BB1151" i="1"/>
  <c r="BB1724" i="1"/>
  <c r="BB249" i="1"/>
  <c r="BB408" i="1"/>
  <c r="BB1211" i="1"/>
  <c r="BB240" i="1"/>
  <c r="BB1390" i="1"/>
  <c r="BB590" i="1"/>
  <c r="BB1311" i="1"/>
  <c r="BB580" i="1"/>
  <c r="BB831" i="1"/>
  <c r="BB606" i="1"/>
  <c r="BB570" i="1"/>
  <c r="BB1277" i="1"/>
  <c r="BB1261" i="1"/>
  <c r="BB1061" i="1"/>
  <c r="BB695" i="1"/>
  <c r="BB1678" i="1"/>
  <c r="BB1196" i="1"/>
  <c r="BB435" i="1"/>
  <c r="BB749" i="1"/>
  <c r="BB565" i="1"/>
  <c r="BB882" i="1"/>
  <c r="BB1225" i="1"/>
  <c r="BB1393" i="1"/>
  <c r="BB1001" i="1"/>
  <c r="BB1669" i="1"/>
  <c r="BB376" i="1"/>
  <c r="BB840" i="1"/>
  <c r="BB94" i="1"/>
  <c r="BB1213" i="1"/>
  <c r="BB1726" i="1"/>
  <c r="BB13" i="1"/>
  <c r="BB158" i="1"/>
  <c r="BB1628" i="1"/>
  <c r="BB978" i="1"/>
  <c r="BB760" i="1"/>
  <c r="BB299" i="1"/>
  <c r="BB1267" i="1"/>
  <c r="BB1707" i="1"/>
  <c r="BB1615" i="1"/>
  <c r="BB898" i="1"/>
  <c r="BB1062" i="1"/>
  <c r="BB959" i="1"/>
  <c r="BB1381" i="1"/>
  <c r="BB1437" i="1"/>
  <c r="BB90" i="1"/>
  <c r="BB535" i="1"/>
  <c r="BB1379" i="1"/>
  <c r="BB1401" i="1"/>
  <c r="BB1485" i="1"/>
  <c r="BB1522" i="1"/>
  <c r="BB1162" i="1"/>
  <c r="BB1429" i="1"/>
  <c r="BB1374" i="1"/>
  <c r="BB731" i="1"/>
  <c r="BB27" i="1"/>
  <c r="BB776" i="1"/>
  <c r="BB95" i="1"/>
  <c r="BB98" i="1"/>
  <c r="BB896" i="1"/>
  <c r="BB1248" i="1"/>
  <c r="BB1413" i="1"/>
  <c r="BB345" i="1"/>
  <c r="BB274" i="1"/>
  <c r="BB433" i="1"/>
  <c r="BB324" i="1"/>
  <c r="BB395" i="1"/>
  <c r="BB1092" i="1"/>
  <c r="BB1515" i="1"/>
  <c r="BB416" i="1"/>
  <c r="BB1112" i="1"/>
  <c r="BB1342" i="1"/>
  <c r="BB424" i="1"/>
  <c r="BB1416" i="1"/>
  <c r="BB669" i="1"/>
  <c r="BB1523" i="1"/>
  <c r="BB212" i="1"/>
  <c r="BB204" i="1"/>
  <c r="BB1154" i="1"/>
  <c r="BB359" i="1"/>
  <c r="BB341" i="1"/>
  <c r="BB901" i="1"/>
  <c r="BB842" i="1"/>
  <c r="BB1603" i="1"/>
  <c r="BB1713" i="1"/>
  <c r="BB1539" i="1"/>
  <c r="BB250" i="1"/>
  <c r="BB431" i="1"/>
  <c r="BB510" i="1"/>
  <c r="BB418" i="1"/>
  <c r="BB1216" i="1"/>
  <c r="BB266" i="1"/>
  <c r="BB981" i="1"/>
  <c r="BB47" i="1"/>
  <c r="BB706" i="1"/>
  <c r="BB234" i="1"/>
  <c r="BB1187" i="1"/>
  <c r="BB1239" i="1"/>
  <c r="BB998" i="1"/>
  <c r="BB100" i="1"/>
  <c r="BB1711" i="1"/>
  <c r="BB1129" i="1"/>
  <c r="BB1275" i="1"/>
  <c r="BB814" i="1"/>
  <c r="BB639" i="1"/>
  <c r="BB1095" i="1"/>
  <c r="BB745" i="1"/>
  <c r="BB1337" i="1"/>
  <c r="BB1468" i="1"/>
  <c r="BB1666" i="1"/>
  <c r="BB498" i="1"/>
  <c r="BB1574" i="1"/>
  <c r="BB1276" i="1"/>
  <c r="BB1360" i="1"/>
  <c r="BB887" i="1"/>
  <c r="BB461" i="1"/>
  <c r="BB362" i="1"/>
  <c r="BB1527" i="1"/>
  <c r="BB459" i="1"/>
  <c r="BB577" i="1"/>
  <c r="BB1659" i="1"/>
  <c r="BB986" i="1"/>
  <c r="BB575" i="1"/>
  <c r="BB867" i="1"/>
  <c r="BB1639" i="1"/>
  <c r="BB1495" i="1"/>
  <c r="BB504" i="1"/>
  <c r="BB136" i="1"/>
  <c r="BB516" i="1"/>
  <c r="BB103" i="1"/>
  <c r="BB1661" i="1"/>
  <c r="BB1238" i="1"/>
  <c r="BB904" i="1"/>
  <c r="BB1460" i="1"/>
  <c r="BB62" i="1"/>
  <c r="BB263" i="1"/>
  <c r="BB948" i="1"/>
  <c r="BB1402" i="1"/>
  <c r="BB1185" i="1"/>
  <c r="BB351" i="1"/>
  <c r="BB1347" i="1"/>
  <c r="BB84" i="1"/>
  <c r="BB740" i="1"/>
  <c r="BB378" i="1"/>
  <c r="BB1059" i="1"/>
  <c r="BB371" i="1"/>
  <c r="BB156" i="1"/>
  <c r="BB1700" i="1"/>
  <c r="BB1504" i="1"/>
  <c r="BB584" i="1"/>
  <c r="BB208" i="1"/>
  <c r="BB425" i="1"/>
  <c r="BB1165" i="1"/>
  <c r="BB525" i="1"/>
  <c r="BB77" i="1"/>
  <c r="BB394" i="1"/>
  <c r="BB1056" i="1"/>
  <c r="BB747" i="1"/>
  <c r="BB301" i="1"/>
  <c r="BB1611" i="1"/>
  <c r="BB1042" i="1"/>
  <c r="BB832" i="1"/>
  <c r="BB638" i="1"/>
  <c r="BB1331" i="1"/>
  <c r="BB1150" i="1"/>
  <c r="BB730" i="1"/>
  <c r="BB1641" i="1"/>
  <c r="BB1297" i="1"/>
  <c r="BB1547" i="1"/>
  <c r="BB888" i="1"/>
  <c r="BB551" i="1"/>
  <c r="BB265" i="1"/>
  <c r="BB202" i="1"/>
  <c r="BB1491" i="1"/>
  <c r="BB1699" i="1"/>
  <c r="BB886" i="1"/>
  <c r="BB553" i="1"/>
  <c r="BB569" i="1"/>
  <c r="BB272" i="1"/>
  <c r="BB1028" i="1"/>
  <c r="BB808" i="1"/>
  <c r="BB102" i="1"/>
  <c r="BB1375" i="1"/>
  <c r="BB491" i="1"/>
  <c r="BB24" i="1"/>
  <c r="BB644" i="1"/>
  <c r="BB452" i="1"/>
  <c r="BB849" i="1"/>
  <c r="BB151" i="1"/>
  <c r="BB1066" i="1"/>
  <c r="BB543" i="1"/>
  <c r="BB1403" i="1"/>
  <c r="BB819" i="1"/>
  <c r="BB115" i="1"/>
  <c r="BB258" i="1"/>
  <c r="BB1541" i="1"/>
  <c r="BB1215" i="1"/>
  <c r="BB443" i="1"/>
  <c r="BB1708" i="1"/>
  <c r="BB1325" i="1"/>
  <c r="BB1421" i="1"/>
  <c r="BB879" i="1"/>
  <c r="BB270" i="1"/>
  <c r="BB450" i="1"/>
  <c r="BB548" i="1"/>
  <c r="BB1168" i="1"/>
  <c r="BB1629" i="1"/>
  <c r="BB99" i="1"/>
  <c r="BB999" i="1"/>
  <c r="BB585" i="1"/>
  <c r="BB650" i="1"/>
  <c r="BB1619" i="1"/>
  <c r="BB1583" i="1"/>
  <c r="BB1314" i="1"/>
  <c r="BB1569" i="1"/>
  <c r="BB1447" i="1"/>
  <c r="BB1120" i="1"/>
  <c r="BB1221" i="1"/>
  <c r="BB89" i="1"/>
  <c r="BB422" i="1"/>
  <c r="BB826" i="1"/>
  <c r="BB1521" i="1"/>
  <c r="BB874" i="1"/>
  <c r="BB1590" i="1"/>
  <c r="BB1259" i="1"/>
  <c r="BB288" i="1"/>
  <c r="BB728" i="1"/>
  <c r="BB152" i="1"/>
  <c r="BB83" i="1"/>
  <c r="BB1367" i="1"/>
  <c r="BB440" i="1"/>
  <c r="BB677" i="1"/>
  <c r="BB9" i="1"/>
  <c r="BB365" i="1"/>
  <c r="BB1684" i="1"/>
  <c r="BB636" i="1"/>
  <c r="BB364" i="1"/>
  <c r="BB641" i="1"/>
  <c r="BB134" i="1"/>
  <c r="BB820" i="1"/>
  <c r="BB379" i="1"/>
  <c r="BB1345" i="1"/>
  <c r="BB295" i="1"/>
  <c r="BB1127" i="1"/>
  <c r="BB1350" i="1"/>
  <c r="BB429" i="1"/>
  <c r="BB845" i="1"/>
  <c r="BB17" i="1"/>
  <c r="BB534" i="1"/>
  <c r="BB1720" i="1"/>
  <c r="BB1584" i="1"/>
  <c r="BB1494" i="1"/>
  <c r="BB1274" i="1"/>
  <c r="BB261" i="1"/>
  <c r="BB449" i="1"/>
  <c r="BB1657" i="1"/>
  <c r="BB1170" i="1"/>
  <c r="BB150" i="1"/>
  <c r="BB506" i="1"/>
  <c r="BB685" i="1"/>
  <c r="BB1003" i="1"/>
  <c r="BB926" i="1"/>
  <c r="BB1082" i="1"/>
  <c r="BB1620" i="1"/>
  <c r="BB43" i="1"/>
  <c r="BB701" i="1"/>
  <c r="BB205" i="1"/>
  <c r="BB1596" i="1"/>
  <c r="BB688" i="1"/>
  <c r="BB1632" i="1"/>
  <c r="BB1296" i="1"/>
  <c r="BB1588" i="1"/>
  <c r="BB686" i="1"/>
  <c r="BB769" i="1"/>
  <c r="BB1670" i="1"/>
  <c r="BB621" i="1"/>
  <c r="BB1380" i="1"/>
  <c r="BB682" i="1"/>
  <c r="BB402" i="1"/>
  <c r="BB596" i="1"/>
  <c r="BB1528" i="1"/>
  <c r="BB127" i="1"/>
  <c r="BB225" i="1"/>
  <c r="BB537" i="1"/>
  <c r="BB715" i="1"/>
  <c r="BB1728" i="1"/>
  <c r="BB147" i="1"/>
  <c r="BB937" i="1"/>
  <c r="BB116" i="1"/>
  <c r="BB809" i="1"/>
  <c r="BB304" i="1"/>
  <c r="BB374" i="1"/>
  <c r="BB702" i="1"/>
  <c r="BB592" i="1"/>
  <c r="BB51" i="1"/>
  <c r="BB336" i="1"/>
  <c r="BB973" i="1"/>
  <c r="BB546" i="1"/>
  <c r="BB967" i="1"/>
  <c r="BB335" i="1"/>
  <c r="BB1172" i="1"/>
  <c r="BB533" i="1"/>
  <c r="BB1214" i="1"/>
  <c r="BB182" i="1"/>
  <c r="BB526" i="1"/>
  <c r="BB902" i="1"/>
  <c r="BB1660" i="1"/>
  <c r="BB1446" i="1"/>
  <c r="BB666" i="1"/>
  <c r="BB1466" i="1"/>
  <c r="BB1364" i="1"/>
  <c r="BB106" i="1"/>
  <c r="BB1579" i="1"/>
  <c r="BB881" i="1"/>
  <c r="BB1617" i="1"/>
  <c r="BB622" i="1"/>
  <c r="BB1448" i="1"/>
  <c r="BB61" i="1"/>
  <c r="BB971" i="1"/>
  <c r="BB39" i="1"/>
  <c r="BB1075" i="1"/>
  <c r="BB475" i="1"/>
  <c r="BB1663" i="1"/>
  <c r="BB382" i="1"/>
  <c r="BB162" i="1"/>
  <c r="BB1024" i="1"/>
  <c r="BB10" i="1"/>
  <c r="BB1636" i="1"/>
  <c r="BB982" i="1"/>
  <c r="BB716" i="1"/>
  <c r="BB1638" i="1"/>
  <c r="BB922" i="1"/>
  <c r="BB1722" i="1"/>
  <c r="BB356" i="1"/>
  <c r="BB821" i="1"/>
  <c r="BB1649" i="1"/>
  <c r="BB1598" i="1"/>
  <c r="BB758" i="1"/>
  <c r="BB1518" i="1"/>
  <c r="BB67" i="1"/>
  <c r="BB88" i="1"/>
  <c r="BB1219" i="1"/>
  <c r="BB1630" i="1"/>
  <c r="BB369" i="1"/>
  <c r="BB923" i="1"/>
  <c r="BB494" i="1"/>
  <c r="BB1594" i="1"/>
  <c r="BB1204" i="1"/>
  <c r="BB1142" i="1"/>
  <c r="BB692" i="1"/>
  <c r="BB1131" i="1"/>
  <c r="BB1412" i="1"/>
  <c r="BB160" i="1"/>
  <c r="BB762" i="1"/>
  <c r="BB468" i="1"/>
  <c r="BB1065" i="1"/>
  <c r="BB1023" i="1"/>
  <c r="BB331" i="1"/>
  <c r="BB629" i="1"/>
  <c r="BB1148" i="1"/>
  <c r="BB96" i="1"/>
  <c r="BB1530" i="1"/>
  <c r="BB920" i="1"/>
  <c r="BB81" i="1"/>
  <c r="BB1370" i="1"/>
  <c r="BB1002" i="1"/>
  <c r="BB1622" i="1"/>
  <c r="BB709" i="1"/>
  <c r="BB323" i="1"/>
  <c r="BB1178" i="1"/>
  <c r="BB247" i="1"/>
  <c r="BB810" i="1"/>
  <c r="BB245" i="1"/>
  <c r="BB1689" i="1"/>
  <c r="BB1702" i="1"/>
  <c r="BB614" i="1"/>
  <c r="BB370" i="1"/>
  <c r="BB227" i="1"/>
  <c r="BB1089" i="1"/>
  <c r="BB1552" i="1"/>
  <c r="BB229" i="1"/>
  <c r="BB1262" i="1"/>
  <c r="BB929" i="1"/>
  <c r="BB131" i="1"/>
  <c r="BB812" i="1"/>
  <c r="BB1241" i="1"/>
  <c r="BB651" i="1"/>
  <c r="BB23" i="1"/>
  <c r="BB687" i="1"/>
  <c r="BB1085" i="1"/>
  <c r="BB834" i="1"/>
  <c r="BB423" i="1"/>
  <c r="BB579" i="1"/>
  <c r="BB1100" i="1"/>
  <c r="BB503" i="1"/>
  <c r="BB1369" i="1"/>
  <c r="BB825" i="1"/>
  <c r="BB1472" i="1"/>
  <c r="BB126" i="1"/>
  <c r="BB853" i="1"/>
  <c r="BB159" i="1"/>
  <c r="BB1106" i="1"/>
  <c r="BB377" i="1"/>
  <c r="BB1631" i="1"/>
  <c r="BB1102" i="1"/>
  <c r="BB1627" i="1"/>
  <c r="BB933" i="1"/>
  <c r="BB1602" i="1"/>
  <c r="BB618" i="1"/>
  <c r="BB1078" i="1"/>
  <c r="BB1099" i="1"/>
  <c r="BB128" i="1"/>
  <c r="BB318" i="1"/>
  <c r="BB919" i="1"/>
  <c r="BB1000" i="1"/>
  <c r="BB239" i="1"/>
  <c r="BB257" i="1"/>
  <c r="BB1549" i="1"/>
  <c r="BB703" i="1"/>
  <c r="BB405" i="1"/>
  <c r="BB1128" i="1"/>
  <c r="BB467" i="1"/>
  <c r="BB314" i="1"/>
  <c r="BB310" i="1"/>
  <c r="BB536" i="1"/>
  <c r="BB1559" i="1"/>
  <c r="BB477" i="1"/>
  <c r="BB1502" i="1"/>
  <c r="BB1242" i="1"/>
  <c r="BB507" i="1"/>
  <c r="BB1232" i="1"/>
  <c r="BB309" i="1"/>
  <c r="BB1517" i="1"/>
  <c r="BB1537" i="1"/>
  <c r="BB815" i="1"/>
  <c r="BB560" i="1"/>
  <c r="BB670" i="1"/>
  <c r="BB520" i="1"/>
  <c r="BB271" i="1"/>
  <c r="BB178" i="1"/>
  <c r="BB1101" i="1"/>
  <c r="BB1293" i="1"/>
  <c r="BB623" i="1"/>
  <c r="BB1506" i="1"/>
  <c r="BB46" i="1"/>
  <c r="BB1487" i="1"/>
  <c r="BB1365" i="1"/>
  <c r="BB175" i="1"/>
  <c r="BB1237" i="1"/>
  <c r="BB400" i="1"/>
  <c r="BB913" i="1"/>
  <c r="BB1328" i="1"/>
  <c r="BB1484" i="1"/>
  <c r="BB781" i="1"/>
  <c r="BB987" i="1"/>
  <c r="BB403" i="1"/>
  <c r="BB350" i="1"/>
  <c r="BB343" i="1"/>
  <c r="BB1069" i="1"/>
  <c r="BB567" i="1"/>
  <c r="BB501" i="1"/>
  <c r="BB645" i="1"/>
  <c r="BB1122" i="1"/>
  <c r="BB1353" i="1"/>
  <c r="BB1664" i="1"/>
  <c r="BB230" i="1"/>
  <c r="BB729" i="1"/>
  <c r="BB1071" i="1"/>
  <c r="BB1029" i="1"/>
  <c r="BB397" i="1"/>
  <c r="BB118" i="1"/>
  <c r="BB59" i="1"/>
  <c r="BB396" i="1"/>
  <c r="BB816" i="1"/>
  <c r="BB798" i="1"/>
  <c r="BB680" i="1"/>
  <c r="BB527" i="1"/>
  <c r="BB1714" i="1"/>
  <c r="BB296" i="1"/>
  <c r="BB460" i="1"/>
  <c r="BB180" i="1"/>
  <c r="BB892" i="1"/>
  <c r="BB447" i="1"/>
  <c r="BB1564" i="1"/>
  <c r="BB1493" i="1"/>
  <c r="BB198" i="1"/>
  <c r="BB1470" i="1"/>
  <c r="BB991" i="1"/>
  <c r="BB214" i="1"/>
  <c r="BB492" i="1"/>
  <c r="BB1146" i="1"/>
  <c r="BB420" i="1"/>
  <c r="BB561" i="1"/>
  <c r="BB678" i="1"/>
  <c r="BB30" i="1"/>
  <c r="BB714" i="1"/>
  <c r="BB947" i="1"/>
  <c r="BB352" i="1"/>
  <c r="BB1177" i="1"/>
  <c r="BB1573" i="1"/>
  <c r="BB1197" i="1"/>
  <c r="BB528" i="1"/>
  <c r="BB1318" i="1"/>
  <c r="BB114" i="1"/>
  <c r="BB733" i="1"/>
  <c r="BB179" i="1"/>
  <c r="BB963" i="1"/>
  <c r="BB145" i="1"/>
  <c r="BB782" i="1"/>
  <c r="BB269" i="1"/>
  <c r="BB556" i="1"/>
  <c r="BB1081" i="1"/>
  <c r="BB767" i="1"/>
  <c r="BB1348" i="1"/>
  <c r="BB1716" i="1"/>
  <c r="BB935" i="1"/>
  <c r="BB903" i="1"/>
  <c r="BB493" i="1"/>
  <c r="BB25" i="1"/>
  <c r="BB1474" i="1"/>
  <c r="BB1212" i="1"/>
  <c r="BB264" i="1"/>
  <c r="BB1658" i="1"/>
  <c r="BB877" i="1"/>
  <c r="BB950" i="1"/>
  <c r="BB49" i="1"/>
  <c r="BB800" i="1"/>
  <c r="BB372" i="1"/>
  <c r="BB1478" i="1"/>
  <c r="BB1243" i="1"/>
  <c r="BB1057" i="1"/>
  <c r="BB236" i="1"/>
  <c r="BB473" i="1"/>
  <c r="BB1105" i="1"/>
  <c r="BB1036" i="1"/>
  <c r="BB1508" i="1"/>
  <c r="BB833" i="1"/>
  <c r="BB1298" i="1"/>
  <c r="BB511" i="1"/>
  <c r="BB1351" i="1"/>
  <c r="BB1671" i="1"/>
  <c r="BB1616" i="1"/>
  <c r="BB1352" i="1"/>
  <c r="BB430" i="1"/>
  <c r="BB770" i="1"/>
  <c r="BB1236" i="1"/>
  <c r="BB1026" i="1"/>
  <c r="BB166" i="1"/>
  <c r="BB860" i="1"/>
  <c r="BB699" i="1"/>
  <c r="BB1303" i="1"/>
  <c r="BB14" i="1"/>
  <c r="BB1677" i="1"/>
  <c r="BB1717" i="1"/>
  <c r="BB486" i="1"/>
  <c r="BB76" i="1"/>
  <c r="BB381" i="1"/>
  <c r="BB16" i="1"/>
  <c r="BB502" i="1"/>
  <c r="BB426" i="1"/>
  <c r="BB168" i="1"/>
  <c r="BB231" i="1"/>
  <c r="BB529" i="1"/>
  <c r="BB1114" i="1"/>
  <c r="BB1582" i="1"/>
  <c r="BB604" i="1"/>
  <c r="BB1279" i="1"/>
  <c r="BB753" i="1"/>
  <c r="BB603" i="1"/>
  <c r="BB873" i="1"/>
  <c r="BB1516" i="1"/>
  <c r="BB505" i="1"/>
  <c r="BB1550" i="1"/>
  <c r="BB718" i="1"/>
  <c r="BB1439" i="1"/>
  <c r="BB189" i="1"/>
  <c r="BB332" i="1"/>
  <c r="BB905" i="1"/>
  <c r="BB748" i="1"/>
  <c r="BB938" i="1"/>
  <c r="BB1090" i="1"/>
  <c r="BB1312" i="1"/>
  <c r="BB170" i="1"/>
  <c r="BB8" i="1"/>
  <c r="BB1281" i="1"/>
  <c r="BB607" i="1"/>
  <c r="BB19" i="1"/>
  <c r="BB1557" i="1"/>
  <c r="BB469" i="1"/>
  <c r="BB1651" i="1"/>
  <c r="BB1156" i="1"/>
  <c r="BB1721" i="1"/>
  <c r="BB664" i="1"/>
  <c r="BB1467" i="1"/>
  <c r="BB624" i="1"/>
  <c r="BB75" i="1"/>
  <c r="BB846" i="1"/>
  <c r="BB652" i="1"/>
  <c r="BB171" i="1"/>
  <c r="BB277" i="1"/>
  <c r="BB252" i="1"/>
  <c r="BB42" i="1"/>
  <c r="BB859" i="1"/>
  <c r="BB26" i="1"/>
  <c r="BB104" i="1"/>
  <c r="BB1133" i="1"/>
  <c r="BB1169" i="1"/>
  <c r="BB1077" i="1"/>
  <c r="BB908" i="1"/>
  <c r="BB822" i="1"/>
  <c r="BB571" i="1"/>
  <c r="BB1435" i="1"/>
  <c r="BB972" i="1"/>
  <c r="BB930" i="1"/>
  <c r="BB1356" i="1"/>
  <c r="BB801" i="1"/>
  <c r="BB1507" i="1"/>
  <c r="BB471" i="1"/>
  <c r="BB1103" i="1"/>
  <c r="BB1031" i="1"/>
  <c r="BB617" i="1"/>
  <c r="BB1562" i="1"/>
  <c r="BB995" i="1"/>
  <c r="BB1592" i="1"/>
  <c r="BB1394" i="1"/>
  <c r="BB1635" i="1"/>
  <c r="BB642" i="1"/>
  <c r="BB490" i="1"/>
  <c r="BB517" i="1"/>
  <c r="BB66" i="1"/>
  <c r="BB1548" i="1"/>
  <c r="BB1595" i="1"/>
  <c r="BB752" i="1"/>
  <c r="BB235" i="1"/>
  <c r="BB974" i="1"/>
  <c r="BB1260" i="1"/>
  <c r="BB432" i="1"/>
  <c r="BB1554" i="1"/>
  <c r="BB224" i="1"/>
  <c r="BB1174" i="1"/>
  <c r="BB1606" i="1"/>
  <c r="BB602" i="1"/>
  <c r="BB232" i="1"/>
  <c r="BB404" i="1"/>
  <c r="BB829" i="1"/>
  <c r="BB138" i="1"/>
  <c r="BB1618" i="1"/>
  <c r="BB895" i="1"/>
  <c r="BB868" i="1"/>
  <c r="BB609" i="1"/>
  <c r="BB333" i="1"/>
  <c r="BB1076" i="1"/>
  <c r="BB1589" i="1"/>
  <c r="BB741" i="1"/>
  <c r="BB1173" i="1"/>
  <c r="BB11" i="1"/>
  <c r="BB1623" i="1"/>
  <c r="BB1073" i="1"/>
  <c r="BB1621" i="1"/>
  <c r="BB637" i="1"/>
  <c r="BB186" i="1"/>
  <c r="BB574" i="1"/>
  <c r="BB726" i="1"/>
  <c r="BB1633" i="1"/>
  <c r="BB586" i="1"/>
  <c r="BB1327" i="1"/>
  <c r="BB1445" i="1"/>
  <c r="BB1585" i="1"/>
  <c r="BB415" i="1"/>
  <c r="BB1496" i="1"/>
  <c r="BB552" i="1"/>
  <c r="BB7" i="1"/>
  <c r="BB1086" i="1"/>
  <c r="BB407" i="1"/>
  <c r="BB54" i="1"/>
  <c r="BB68" i="1"/>
  <c r="BB890" i="1"/>
  <c r="BB20" i="1"/>
  <c r="BB766" i="1"/>
  <c r="BB1186" i="1"/>
  <c r="BB545" i="1"/>
  <c r="BB71" i="1"/>
  <c r="BB50" i="1"/>
  <c r="BB1674" i="1"/>
  <c r="BB380" i="1"/>
  <c r="BB754" i="1"/>
  <c r="BB357" i="1"/>
  <c r="BB1501" i="1"/>
  <c r="BB1167" i="1"/>
  <c r="BB1681" i="1"/>
  <c r="BB1373" i="1"/>
  <c r="BB481" i="1"/>
  <c r="BB73" i="1"/>
  <c r="BB1117" i="1"/>
  <c r="BB1561" i="1"/>
  <c r="BB1469" i="1"/>
  <c r="BB241" i="1"/>
  <c r="BB1505" i="1"/>
  <c r="BB298" i="1"/>
  <c r="BB795" i="1"/>
  <c r="BB900" i="1"/>
  <c r="BB438" i="1"/>
  <c r="BB297" i="1"/>
  <c r="BB185" i="1"/>
  <c r="BB1428" i="1"/>
  <c r="BB1188" i="1"/>
  <c r="BB328" i="1"/>
  <c r="BB704" i="1"/>
  <c r="BB1529" i="1"/>
  <c r="BB1540" i="1"/>
  <c r="BB1363" i="1"/>
  <c r="BB1571" i="1"/>
  <c r="BB34" i="1"/>
  <c r="BB775" i="1"/>
  <c r="BB608" i="1"/>
  <c r="BB1070" i="1"/>
  <c r="BB894" i="1"/>
  <c r="BB1698" i="1"/>
  <c r="BB1609" i="1"/>
  <c r="BB327" i="1"/>
  <c r="BB562" i="1"/>
  <c r="BB389" i="1"/>
  <c r="BB417" i="1"/>
  <c r="BB1283" i="1"/>
  <c r="BB215" i="1"/>
  <c r="BB975" i="1"/>
  <c r="BB1295" i="1"/>
  <c r="BB466" i="1"/>
  <c r="BB184" i="1"/>
  <c r="BB1307" i="1"/>
  <c r="BB915" i="1"/>
  <c r="BB587" i="1"/>
  <c r="BB1027" i="1"/>
  <c r="BB130" i="1"/>
  <c r="BB870" i="1"/>
  <c r="BB1011" i="1"/>
  <c r="BB1637" i="1"/>
  <c r="BB705" i="1"/>
  <c r="BB41" i="1"/>
  <c r="BB74" i="1"/>
  <c r="BB1679" i="1"/>
  <c r="BB1532" i="1"/>
  <c r="BB1407" i="1"/>
  <c r="BB1163" i="1"/>
  <c r="BB955" i="1"/>
  <c r="BB317" i="1"/>
  <c r="BB337" i="1"/>
  <c r="BB911" i="1"/>
  <c r="BB1459" i="1"/>
  <c r="BB228" i="1"/>
  <c r="BB1715" i="1"/>
  <c r="BB588" i="1"/>
  <c r="BB578" i="1"/>
  <c r="BB1723" i="1"/>
  <c r="BB125" i="1"/>
  <c r="BB1179" i="1"/>
  <c r="BB137" i="1"/>
  <c r="BB710" i="1"/>
  <c r="BB573" i="1"/>
  <c r="BB960" i="1"/>
  <c r="BB727" i="1"/>
  <c r="BB18" i="1"/>
  <c r="BB373" i="1"/>
  <c r="BB768" i="1"/>
  <c r="BB1230" i="1"/>
  <c r="BB823" i="1"/>
  <c r="BB1434" i="1"/>
  <c r="BB976" i="1"/>
  <c r="BB445" i="1"/>
  <c r="BB1072" i="1"/>
  <c r="BB594" i="1"/>
  <c r="BB1704" i="1"/>
  <c r="BB183" i="1"/>
  <c r="BB1338" i="1"/>
  <c r="BB828" i="1"/>
  <c r="BB1642" i="1"/>
  <c r="BB1203" i="1"/>
  <c r="BB1591" i="1"/>
  <c r="BB544" i="1"/>
  <c r="BB1240" i="1"/>
  <c r="BB1536" i="1"/>
  <c r="BB38" i="1"/>
  <c r="BB601" i="1"/>
  <c r="BB72" i="1"/>
  <c r="BB689" i="1"/>
  <c r="BB45" i="1"/>
  <c r="BB779" i="1"/>
  <c r="BB1175" i="1"/>
  <c r="BB437" i="1"/>
  <c r="BB414" i="1"/>
  <c r="BB338" i="1"/>
  <c r="BB1438" i="1"/>
  <c r="BB1321" i="1"/>
  <c r="BB453" i="1"/>
  <c r="BB1643" i="1"/>
  <c r="BB176" i="1"/>
  <c r="BB113" i="1"/>
  <c r="BB91" i="1"/>
  <c r="BB1576" i="1"/>
  <c r="BB1391" i="1"/>
  <c r="BB568" i="1"/>
  <c r="BB470" i="1"/>
  <c r="BB255" i="1"/>
  <c r="BB1233" i="1"/>
  <c r="BB322" i="1"/>
  <c r="BB708" i="1"/>
  <c r="BB514" i="1"/>
  <c r="BB278" i="1"/>
  <c r="BB838" i="1"/>
  <c r="BB411" i="1"/>
  <c r="BB1340" i="1"/>
  <c r="BB513" i="1"/>
  <c r="BB161" i="1"/>
  <c r="BB167" i="1"/>
  <c r="BB1587" i="1"/>
  <c r="BB1414" i="1"/>
  <c r="BB672" i="1"/>
  <c r="BB1368" i="1"/>
  <c r="BB539" i="1"/>
  <c r="BB348" i="1"/>
  <c r="BB246" i="1"/>
  <c r="BB169" i="1"/>
  <c r="BB1272" i="1"/>
  <c r="BB509" i="1"/>
  <c r="BB907" i="1"/>
  <c r="BB1436" i="1"/>
  <c r="BB1258" i="1"/>
  <c r="BB1096" i="1"/>
  <c r="BB1161" i="1"/>
  <c r="BB1107" i="1"/>
  <c r="BB1443" i="1"/>
  <c r="BB1400" i="1"/>
  <c r="BB1489" i="1"/>
  <c r="BB761" i="1"/>
  <c r="BB964" i="1"/>
  <c r="BB839" i="1"/>
  <c r="BB347" i="1"/>
  <c r="BB57" i="1"/>
  <c r="BB515" i="1"/>
  <c r="BB283" i="1"/>
  <c r="BB1217" i="1"/>
  <c r="BB476" i="1"/>
  <c r="BB85" i="1"/>
  <c r="BB1662" i="1"/>
  <c r="BB983" i="1"/>
  <c r="BB203" i="1"/>
  <c r="BB1690" i="1"/>
  <c r="BB530" i="1"/>
  <c r="BB790" i="1"/>
  <c r="BB1605" i="1"/>
  <c r="BB1399" i="1"/>
  <c r="BB1430" i="1"/>
  <c r="BB786" i="1"/>
  <c r="BB1477" i="1"/>
  <c r="BB1147" i="1"/>
  <c r="BB794" i="1"/>
  <c r="BB1475" i="1"/>
  <c r="BB1349" i="1"/>
  <c r="BB307" i="1"/>
  <c r="BB78" i="1"/>
  <c r="BB1712" i="1"/>
  <c r="BB1409" i="1"/>
  <c r="BB1080" i="1"/>
  <c r="BB647" i="1"/>
  <c r="BB472" i="1"/>
  <c r="BB824" i="1"/>
  <c r="BB912" i="1"/>
  <c r="BB780" i="1"/>
  <c r="BB785" i="1"/>
  <c r="BB360" i="1"/>
  <c r="BB1301" i="1"/>
  <c r="BB1624" i="1"/>
  <c r="BB1427" i="1"/>
  <c r="BB830" i="1"/>
  <c r="BB802" i="1"/>
  <c r="BB1064" i="1"/>
  <c r="BB12" i="1"/>
  <c r="BB627" i="1"/>
  <c r="BB1625" i="1"/>
  <c r="BB442" i="1"/>
  <c r="BB465" i="1"/>
  <c r="BB463" i="1"/>
  <c r="BB489" i="1"/>
  <c r="BB262" i="1"/>
  <c r="BB1157" i="1"/>
  <c r="BB21" i="1"/>
  <c r="BB550" i="1"/>
  <c r="BB1004" i="1"/>
  <c r="BB48" i="1"/>
  <c r="BB1634" i="1"/>
  <c r="BB1482" i="1"/>
  <c r="BB289" i="1"/>
  <c r="BB1524" i="1"/>
  <c r="BB1155" i="1"/>
  <c r="BB885" i="1"/>
  <c r="BB615" i="1"/>
  <c r="BB572" i="1"/>
  <c r="BB1058" i="1"/>
  <c r="BB589" i="1"/>
  <c r="BB1725" i="1"/>
  <c r="BB1710" i="1"/>
  <c r="BB1578" i="1"/>
  <c r="BB456" i="1"/>
  <c r="BB538" i="1"/>
  <c r="BB195" i="1"/>
  <c r="BB774" i="1"/>
  <c r="BB626" i="1"/>
  <c r="BB1341" i="1"/>
  <c r="BB797" i="1"/>
  <c r="BB276" i="1"/>
  <c r="BB353" i="1"/>
  <c r="BB665" i="1"/>
  <c r="BB1097" i="1"/>
  <c r="BB451" i="1"/>
  <c r="BB1444" i="1"/>
  <c r="BB1339" i="1"/>
  <c r="BB866" i="1"/>
  <c r="BB1607" i="1"/>
  <c r="BB124" i="1"/>
  <c r="BB1608" i="1"/>
  <c r="BB837" i="1"/>
  <c r="BB653" i="1"/>
  <c r="BB194" i="1"/>
  <c r="BB1137" i="1"/>
  <c r="BB1253" i="1"/>
  <c r="BB878" i="1"/>
  <c r="BB1305" i="1"/>
  <c r="BB891" i="1"/>
  <c r="BB691" i="1"/>
  <c r="BB427" i="1"/>
  <c r="BB835" i="1"/>
  <c r="BB1601" i="1"/>
  <c r="BB497" i="1"/>
  <c r="BB1143" i="1"/>
  <c r="BB1355" i="1"/>
  <c r="BB1417" i="1"/>
  <c r="BB611" i="1"/>
  <c r="BB773" i="1"/>
  <c r="BB771" i="1"/>
  <c r="BB1126" i="1"/>
  <c r="BB1138" i="1"/>
  <c r="BB1597" i="1"/>
  <c r="BB1121" i="1"/>
  <c r="BB628" i="1"/>
  <c r="BB1108" i="1"/>
  <c r="BB458" i="1"/>
  <c r="BB122" i="1"/>
  <c r="BB421" i="1"/>
  <c r="BB1195" i="1"/>
  <c r="BB60" i="1"/>
  <c r="BB1378" i="1"/>
  <c r="BB1488" i="1"/>
  <c r="BB92" i="1"/>
  <c r="BB273" i="1"/>
  <c r="BB1646" i="1"/>
  <c r="BB1648" i="1"/>
  <c r="BB1067" i="1"/>
  <c r="BB1614" i="1"/>
  <c r="BB248" i="1"/>
  <c r="BB625" i="1"/>
  <c r="BB693" i="1"/>
  <c r="BB1376" i="1"/>
  <c r="BB1686" i="1"/>
  <c r="BB547" i="1"/>
  <c r="BB599" i="1"/>
  <c r="BB872" i="1"/>
  <c r="BB1202" i="1"/>
  <c r="BB1570" i="1"/>
  <c r="BB446" i="1"/>
  <c r="BB325" i="1"/>
  <c r="BB721" i="1"/>
  <c r="BB1271" i="1"/>
  <c r="BB1483" i="1"/>
  <c r="BB1673" i="1"/>
  <c r="BB739" i="1"/>
  <c r="BB949" i="1"/>
  <c r="BB226" i="1"/>
  <c r="BB743" i="1"/>
  <c r="BB1682" i="1"/>
  <c r="BB772" i="1"/>
  <c r="BB684" i="1"/>
  <c r="BB256" i="1"/>
  <c r="BB865" i="1"/>
  <c r="BB173" i="1"/>
  <c r="BB791" i="1"/>
  <c r="BB1282" i="1"/>
  <c r="BB787" i="1"/>
  <c r="BB410" i="1"/>
  <c r="BB698" i="1"/>
  <c r="BB925" i="1"/>
  <c r="BB1366" i="1"/>
  <c r="BB308" i="1"/>
  <c r="BB1551" i="1"/>
  <c r="BB191" i="1"/>
  <c r="BB581" i="1"/>
  <c r="BB409" i="1"/>
  <c r="BB330" i="1"/>
  <c r="BB620" i="1"/>
  <c r="BB326" i="1"/>
  <c r="BB1610" i="1"/>
  <c r="BB1362" i="1"/>
  <c r="BB610" i="1"/>
  <c r="BB1408" i="1"/>
  <c r="BB576" i="1"/>
  <c r="BB1091" i="1"/>
  <c r="BB1194" i="1"/>
  <c r="BB349" i="1"/>
  <c r="BB97" i="1"/>
  <c r="BB1088" i="1"/>
  <c r="BB934" i="1"/>
  <c r="BB817" i="1"/>
  <c r="BB1613" i="1"/>
  <c r="BB746" i="1"/>
  <c r="BB936" i="1"/>
  <c r="BB897" i="1"/>
  <c r="BB723" i="1"/>
  <c r="BB1315" i="1"/>
  <c r="BB876" i="1"/>
  <c r="BB765" i="1"/>
  <c r="BB444" i="1"/>
  <c r="BB480" i="1"/>
  <c r="BB119" i="1"/>
  <c r="BB1048" i="1"/>
  <c r="BB512" i="1"/>
  <c r="BB441" i="1"/>
  <c r="BB132" i="1"/>
  <c r="BB1577" i="1"/>
  <c r="BB342" i="1"/>
  <c r="BB619" i="1"/>
  <c r="BB724" i="1"/>
  <c r="BB648" i="1"/>
  <c r="BB803" i="1"/>
  <c r="BB157" i="1"/>
  <c r="BB1377" i="1"/>
  <c r="BB719" i="1"/>
  <c r="BB300" i="1"/>
  <c r="BB79" i="1"/>
  <c r="BB1226" i="1"/>
  <c r="BB44" i="1"/>
  <c r="BB1406" i="1"/>
  <c r="BB540" i="1"/>
  <c r="BB135" i="1"/>
  <c r="BB1037" i="1"/>
  <c r="BB1586" i="1"/>
  <c r="BB290" i="1"/>
  <c r="BB199" i="1"/>
  <c r="BB707" i="1"/>
  <c r="BB1087" i="1"/>
  <c r="BB1509" i="1"/>
  <c r="BB392" i="1"/>
  <c r="BB15" i="1"/>
  <c r="BB1144" i="1"/>
  <c r="BB850" i="1"/>
  <c r="BB1449" i="1"/>
  <c r="BB663" i="1"/>
  <c r="BB869" i="1"/>
  <c r="BB909" i="1"/>
  <c r="BB1538" i="1"/>
  <c r="BB640" i="1"/>
  <c r="BB439" i="1"/>
  <c r="BB1176" i="1"/>
  <c r="BB1326" i="1"/>
  <c r="BB1520" i="1"/>
  <c r="BB875" i="1"/>
  <c r="BB1486" i="1"/>
  <c r="BB120" i="1"/>
  <c r="BB811" i="1"/>
  <c r="BB1500" i="1"/>
  <c r="BB344" i="1"/>
  <c r="BB1565" i="1"/>
  <c r="BB1499" i="1"/>
  <c r="BB1626" i="1"/>
  <c r="BB744" i="1"/>
  <c r="BB1329" i="1"/>
  <c r="BB70" i="1"/>
  <c r="BB956" i="1"/>
  <c r="BB857" i="1"/>
  <c r="BB595" i="1"/>
  <c r="BB1016" i="1"/>
  <c r="BB143" i="1"/>
  <c r="BB1471" i="1"/>
  <c r="BB1503" i="1"/>
  <c r="BB233" i="1"/>
  <c r="BB56" i="1"/>
  <c r="BB613" i="1"/>
  <c r="BB1134" i="1"/>
  <c r="BB105" i="1"/>
  <c r="BB1153" i="1"/>
  <c r="BB485" i="1"/>
  <c r="BB58" i="1"/>
  <c r="BB287" i="1"/>
  <c r="BB583" i="1"/>
  <c r="BB1701" i="1"/>
  <c r="BB880" i="1"/>
  <c r="BB291" i="1"/>
  <c r="BB101" i="1"/>
  <c r="BB1553" i="1"/>
  <c r="BB268" i="1"/>
  <c r="BB434" i="1"/>
  <c r="BB1560" i="1"/>
  <c r="BB1025" i="1"/>
  <c r="BB646" i="1"/>
  <c r="BB918" i="1"/>
  <c r="BB313" i="1"/>
  <c r="BB1680" i="1"/>
  <c r="BB1304" i="1"/>
  <c r="BB181" i="1"/>
  <c r="BB600" i="1"/>
  <c r="BB267" i="1"/>
  <c r="BB1009" i="1"/>
  <c r="BB211" i="1"/>
  <c r="BB1382" i="1"/>
  <c r="BB412" i="1"/>
  <c r="BB977" i="1"/>
  <c r="BB591" i="1"/>
  <c r="BB1476" i="1"/>
  <c r="BB893" i="1"/>
  <c r="BB464" i="1"/>
  <c r="BB93" i="1"/>
  <c r="BB1010" i="1"/>
  <c r="BB700" i="1"/>
  <c r="BB1531" i="1"/>
  <c r="BB734" i="1"/>
  <c r="BB1119" i="1"/>
  <c r="BB671" i="1"/>
  <c r="BB107" i="1"/>
  <c r="BB1300" i="1"/>
  <c r="BB1727" i="1"/>
  <c r="BB792" i="1"/>
  <c r="BB1319" i="1"/>
  <c r="BB86" i="1"/>
  <c r="BB1354" i="1"/>
  <c r="BB1580" i="1"/>
  <c r="BB334" i="1"/>
  <c r="BB858" i="1"/>
  <c r="BB1022" i="1"/>
  <c r="BB818" i="1"/>
  <c r="BB899" i="1"/>
  <c r="BB133" i="1"/>
  <c r="BB33" i="1"/>
  <c r="BB28" i="1"/>
  <c r="BB436" i="1"/>
  <c r="BB910" i="1"/>
  <c r="BC43" i="1"/>
  <c r="BC511" i="1"/>
  <c r="BC1142" i="1"/>
  <c r="BC771" i="1"/>
  <c r="BC1318" i="1"/>
  <c r="BC1145" i="1"/>
  <c r="BC653" i="1"/>
  <c r="BC878" i="1"/>
  <c r="BC1339" i="1"/>
  <c r="BC625" i="1"/>
  <c r="BC703" i="1"/>
  <c r="BC705" i="1"/>
  <c r="BC533" i="1"/>
  <c r="BC1680" i="1"/>
  <c r="BC271" i="1"/>
  <c r="BC1058" i="1"/>
  <c r="BC299" i="1"/>
  <c r="BC1354" i="1"/>
  <c r="BC322" i="1"/>
  <c r="BC1379" i="1"/>
  <c r="BC792" i="1"/>
  <c r="BC567" i="1"/>
  <c r="BC688" i="1"/>
  <c r="BC1296" i="1"/>
  <c r="BC1554" i="1"/>
  <c r="BC193" i="1"/>
  <c r="BC1030" i="1"/>
  <c r="BC682" i="1"/>
  <c r="BC498" i="1"/>
  <c r="BC251" i="1"/>
  <c r="BC307" i="1"/>
  <c r="BC1062" i="1"/>
  <c r="BC924" i="1"/>
  <c r="BC1048" i="1"/>
  <c r="BC1065" i="1"/>
  <c r="BC795" i="1"/>
  <c r="BC202" i="1"/>
  <c r="BC1150" i="1"/>
  <c r="BC239" i="1"/>
  <c r="BC803" i="1"/>
  <c r="BC1576" i="1"/>
  <c r="BC891" i="1"/>
  <c r="BC517" i="1"/>
  <c r="BC1686" i="1"/>
  <c r="BC246" i="1"/>
  <c r="BC590" i="1"/>
  <c r="BC775" i="1"/>
  <c r="BC29" i="1"/>
  <c r="BC461" i="1"/>
  <c r="BC1134" i="1"/>
  <c r="BC318" i="1"/>
  <c r="BC424" i="1"/>
  <c r="BC1282" i="1"/>
  <c r="BC19" i="1"/>
  <c r="BC1550" i="1"/>
  <c r="BC138" i="1"/>
  <c r="BC114" i="1"/>
  <c r="BC383" i="1"/>
  <c r="BC746" i="1"/>
  <c r="BC1146" i="1"/>
  <c r="BC1483" i="1"/>
  <c r="BC1603" i="1"/>
  <c r="BC1314" i="1"/>
  <c r="BC664" i="1"/>
  <c r="BC1588" i="1"/>
  <c r="BC247" i="1"/>
  <c r="BC156" i="1"/>
  <c r="BC491" i="1"/>
  <c r="BC552" i="1"/>
  <c r="BC1702" i="1"/>
  <c r="BC1151" i="1"/>
  <c r="BC380" i="1"/>
  <c r="BC1201" i="1"/>
  <c r="BC1277" i="1"/>
  <c r="BC1530" i="1"/>
  <c r="BC58" i="1"/>
  <c r="BC1578" i="1"/>
  <c r="BC583" i="1"/>
  <c r="BC600" i="1"/>
  <c r="BC309" i="1"/>
  <c r="BC912" i="1"/>
  <c r="BC1664" i="1"/>
  <c r="BC152" i="1"/>
  <c r="BC819" i="1"/>
  <c r="BC1643" i="1"/>
  <c r="BC66" i="1"/>
  <c r="BC963" i="1"/>
  <c r="BC426" i="1"/>
  <c r="BC92" i="1"/>
  <c r="BC593" i="1"/>
  <c r="BC913" i="1"/>
  <c r="BC350" i="1"/>
  <c r="BC1533" i="1"/>
  <c r="BC1156" i="1"/>
  <c r="BC297" i="1"/>
  <c r="BC204" i="1"/>
  <c r="BC1272" i="1"/>
  <c r="BC1478" i="1"/>
  <c r="BC286" i="1"/>
  <c r="BC1117" i="1"/>
  <c r="BC379" i="1"/>
  <c r="BC670" i="1"/>
  <c r="BC269" i="1"/>
  <c r="BC400" i="1"/>
  <c r="BC1508" i="1"/>
  <c r="BC420" i="1"/>
  <c r="BC1726" i="1"/>
  <c r="BC1118" i="1"/>
  <c r="BC329" i="1"/>
  <c r="BC936" i="1"/>
  <c r="BC1609" i="1"/>
  <c r="BC834" i="1"/>
  <c r="BC837" i="1"/>
  <c r="BC469" i="1"/>
  <c r="BC1427" i="1"/>
  <c r="BC794" i="1"/>
  <c r="BC405" i="1"/>
  <c r="BC21" i="1"/>
  <c r="BC26" i="1"/>
  <c r="BC121" i="1"/>
  <c r="BC458" i="1"/>
  <c r="BC250" i="1"/>
  <c r="BC22" i="1"/>
  <c r="BC292" i="1"/>
  <c r="BC125" i="1"/>
  <c r="BC1370" i="1"/>
  <c r="BC1701" i="1"/>
  <c r="BC173" i="1"/>
  <c r="BC501" i="1"/>
  <c r="BC1340" i="1"/>
  <c r="BC561" i="1"/>
  <c r="BC116" i="1"/>
  <c r="BC1615" i="1"/>
  <c r="BC573" i="1"/>
  <c r="BC759" i="1"/>
  <c r="BC1088" i="1"/>
  <c r="BC895" i="1"/>
  <c r="BC1636" i="1"/>
  <c r="BC536" i="1"/>
  <c r="BC372" i="1"/>
  <c r="BC869" i="1"/>
  <c r="BC1696" i="1"/>
  <c r="BC264" i="1"/>
  <c r="BC126" i="1"/>
  <c r="BC780" i="1"/>
  <c r="BC516" i="1"/>
  <c r="BC678" i="1"/>
  <c r="BC208" i="1"/>
  <c r="BC1430" i="1"/>
  <c r="BC203" i="1"/>
  <c r="BC651" i="1"/>
  <c r="BC1111" i="1"/>
  <c r="BC1205" i="1"/>
  <c r="BC1621" i="1"/>
  <c r="BC1303" i="1"/>
  <c r="BC641" i="1"/>
  <c r="BC481" i="1"/>
  <c r="BC1206" i="1"/>
  <c r="BC460" i="1"/>
  <c r="BC1448" i="1"/>
  <c r="BC277" i="1"/>
  <c r="BC1178" i="1"/>
  <c r="BC1302" i="1"/>
  <c r="BC230" i="1"/>
  <c r="BC508" i="1"/>
  <c r="BC626" i="1"/>
  <c r="BC1720" i="1"/>
  <c r="BC356" i="1"/>
  <c r="BC876" i="1"/>
  <c r="BC1320" i="1"/>
  <c r="BC693" i="1"/>
  <c r="BC1518" i="1"/>
  <c r="BC970" i="1"/>
  <c r="BC835" i="1"/>
  <c r="BC447" i="1"/>
  <c r="BC1270" i="1"/>
  <c r="BC1468" i="1"/>
  <c r="BC1400" i="1"/>
  <c r="BC817" i="1"/>
  <c r="BC603" i="1"/>
  <c r="BC1662" i="1"/>
  <c r="BC1523" i="1"/>
  <c r="BC643" i="1"/>
  <c r="BC1493" i="1"/>
  <c r="BC1243" i="1"/>
  <c r="BC1170" i="1"/>
  <c r="BC1434" i="1"/>
  <c r="BC96" i="1"/>
  <c r="BC261" i="1"/>
  <c r="BC115" i="1"/>
  <c r="BC168" i="1"/>
  <c r="BC578" i="1"/>
  <c r="BC127" i="1"/>
  <c r="BC276" i="1"/>
  <c r="BC1259" i="1"/>
  <c r="BC1348" i="1"/>
  <c r="BC981" i="1"/>
  <c r="BC1484" i="1"/>
  <c r="BC1365" i="1"/>
  <c r="BC965" i="1"/>
  <c r="BC394" i="1"/>
  <c r="BC758" i="1"/>
  <c r="BC1028" i="1"/>
  <c r="BC987" i="1"/>
  <c r="BC382" i="1"/>
  <c r="BC451" i="1"/>
  <c r="BC885" i="1"/>
  <c r="BC740" i="1"/>
  <c r="BC1690" i="1"/>
  <c r="BC808" i="1"/>
  <c r="BC911" i="1"/>
  <c r="BC765" i="1"/>
  <c r="BC413" i="1"/>
  <c r="BC1203" i="1"/>
  <c r="BC1186" i="1"/>
  <c r="BC922" i="1"/>
  <c r="BC1308" i="1"/>
  <c r="BC97" i="1"/>
  <c r="BC1670" i="1"/>
  <c r="BC1171" i="1"/>
  <c r="BC359" i="1"/>
  <c r="BC537" i="1"/>
  <c r="BC124" i="1"/>
  <c r="BC923" i="1"/>
  <c r="BC717" i="1"/>
  <c r="BC1338" i="1"/>
  <c r="BC428" i="1"/>
  <c r="BC287" i="1"/>
  <c r="BC725" i="1"/>
  <c r="BC423" i="1"/>
  <c r="BC513" i="1"/>
  <c r="BC538" i="1"/>
  <c r="BC612" i="1"/>
  <c r="BC1629" i="1"/>
  <c r="BC1326" i="1"/>
  <c r="BC65" i="1"/>
  <c r="BC184" i="1"/>
  <c r="BC813" i="1"/>
  <c r="BC1707" i="1"/>
  <c r="BC17" i="1"/>
  <c r="BC534" i="1"/>
  <c r="BC1238" i="1"/>
  <c r="BC1095" i="1"/>
  <c r="BC429" i="1"/>
  <c r="BC1342" i="1"/>
  <c r="BC749" i="1"/>
  <c r="BC915" i="1"/>
  <c r="BC1529" i="1"/>
  <c r="BC1647" i="1"/>
  <c r="BC1402" i="1"/>
  <c r="BC1391" i="1"/>
  <c r="BC683" i="1"/>
  <c r="BC938" i="1"/>
  <c r="BC95" i="1"/>
  <c r="BC948" i="1"/>
  <c r="BC1377" i="1"/>
  <c r="BC1331" i="1"/>
  <c r="BC425" i="1"/>
  <c r="BC68" i="1"/>
  <c r="BC602" i="1"/>
  <c r="BC893" i="1"/>
  <c r="BC1399" i="1"/>
  <c r="BC887" i="1"/>
  <c r="BC605" i="1"/>
  <c r="BC492" i="1"/>
  <c r="BC901" i="1"/>
  <c r="BC417" i="1"/>
  <c r="BC1628" i="1"/>
  <c r="BC439" i="1"/>
  <c r="BC1064" i="1"/>
  <c r="BC579" i="1"/>
  <c r="BC1196" i="1"/>
  <c r="BC1612" i="1"/>
  <c r="BC242" i="1"/>
  <c r="BC1390" i="1"/>
  <c r="BC1660" i="1"/>
  <c r="BC348" i="1"/>
  <c r="BC290" i="1"/>
  <c r="BC57" i="1"/>
  <c r="BC399" i="1"/>
  <c r="BC1520" i="1"/>
  <c r="BC1298" i="1"/>
  <c r="BC69" i="1"/>
  <c r="BC931" i="1"/>
  <c r="BC692" i="1"/>
  <c r="BC224" i="1"/>
  <c r="BC1195" i="1"/>
  <c r="BC195" i="1"/>
  <c r="BC1407" i="1"/>
  <c r="BC1093" i="1"/>
  <c r="BC1132" i="1"/>
  <c r="BC464" i="1"/>
  <c r="BC1273" i="1"/>
  <c r="BC1524" i="1"/>
  <c r="BC368" i="1"/>
  <c r="BC1436" i="1"/>
  <c r="BC929" i="1"/>
  <c r="BC378" i="1"/>
  <c r="BC304" i="1"/>
  <c r="BC111" i="1"/>
  <c r="BC687" i="1"/>
  <c r="BC549" i="1"/>
  <c r="BC1725" i="1"/>
  <c r="BC467" i="1"/>
  <c r="BC1565" i="1"/>
  <c r="BC225" i="1"/>
  <c r="BC896" i="1"/>
  <c r="BC767" i="1"/>
  <c r="BC1447" i="1"/>
  <c r="BC1164" i="1"/>
  <c r="BC1305" i="1"/>
  <c r="BC652" i="1"/>
  <c r="BC82" i="1"/>
  <c r="BC1225" i="1"/>
  <c r="BC150" i="1"/>
  <c r="BC1163" i="1"/>
  <c r="BC1505" i="1"/>
  <c r="BC934" i="1"/>
  <c r="BC1278" i="1"/>
  <c r="BC718" i="1"/>
  <c r="BC381" i="1"/>
  <c r="BC64" i="1"/>
  <c r="BC396" i="1"/>
  <c r="BC679" i="1"/>
  <c r="BC295" i="1"/>
  <c r="BC1188" i="1"/>
  <c r="BC1236" i="1"/>
  <c r="BC627" i="1"/>
  <c r="BC976" i="1"/>
  <c r="BC1582" i="1"/>
  <c r="BC886" i="1"/>
  <c r="BC904" i="1"/>
  <c r="BC402" i="1"/>
  <c r="BC1336" i="1"/>
  <c r="BC839" i="1"/>
  <c r="BC665" i="1"/>
  <c r="BC1253" i="1"/>
  <c r="BC1698" i="1"/>
  <c r="BC1674" i="1"/>
  <c r="BC1547" i="1"/>
  <c r="BC475" i="1"/>
  <c r="BC122" i="1"/>
  <c r="BC1583" i="1"/>
  <c r="BC1241" i="1"/>
  <c r="BC283" i="1"/>
  <c r="BC81" i="1"/>
  <c r="BC1359" i="1"/>
  <c r="BC1087" i="1"/>
  <c r="BC1329" i="1"/>
  <c r="BC1260" i="1"/>
  <c r="BC1330" i="1"/>
  <c r="BC104" i="1"/>
  <c r="BC234" i="1"/>
  <c r="BC255" i="1"/>
  <c r="BC914" i="1"/>
  <c r="BC726" i="1"/>
  <c r="BC955" i="1"/>
  <c r="BC410" i="1"/>
  <c r="BC972" i="1"/>
  <c r="BC1212" i="1"/>
  <c r="BC727" i="1"/>
  <c r="BC685" i="1"/>
  <c r="BC729" i="1"/>
  <c r="BC902" i="1"/>
  <c r="BC854" i="1"/>
  <c r="BC1672" i="1"/>
  <c r="BC119" i="1"/>
  <c r="BC1157" i="1"/>
  <c r="BC1569" i="1"/>
  <c r="BC879" i="1"/>
  <c r="BC421" i="1"/>
  <c r="BC510" i="1"/>
  <c r="BB2" i="1"/>
  <c r="BB5" i="1"/>
  <c r="BC745" i="1"/>
  <c r="BC1635" i="1"/>
  <c r="BC699" i="1"/>
  <c r="BC132" i="1"/>
  <c r="BC1607" i="1"/>
  <c r="BC434" i="1"/>
  <c r="BC983" i="1"/>
  <c r="BC108" i="1"/>
  <c r="BC94" i="1"/>
  <c r="BC809" i="1"/>
  <c r="BC577" i="1"/>
  <c r="BC1566" i="1"/>
  <c r="BC949" i="1"/>
  <c r="BC859" i="1"/>
  <c r="BC644" i="1"/>
  <c r="BC1368" i="1"/>
  <c r="BC642" i="1"/>
  <c r="BC1516" i="1"/>
  <c r="BC791" i="1"/>
  <c r="BC177" i="1"/>
  <c r="BC910" i="1"/>
  <c r="BC995" i="1"/>
  <c r="BC582" i="1"/>
  <c r="BC1383" i="1"/>
  <c r="BC1581" i="1"/>
  <c r="BC151" i="1"/>
  <c r="BC1284" i="1"/>
  <c r="BC310" i="1"/>
  <c r="BC134" i="1"/>
  <c r="BC761" i="1"/>
  <c r="BC1632" i="1"/>
  <c r="BC930" i="1"/>
  <c r="BC1491" i="1"/>
  <c r="BC49" i="1"/>
  <c r="BC16" i="1"/>
  <c r="BC1102" i="1"/>
  <c r="BC1490" i="1"/>
  <c r="BC1231" i="1"/>
  <c r="BC669" i="1"/>
  <c r="BC1200" i="1"/>
  <c r="BC1325" i="1"/>
  <c r="BC431" i="1"/>
  <c r="BC1153" i="1"/>
  <c r="BC444" i="1"/>
  <c r="BC793" i="1"/>
  <c r="BC1546" i="1"/>
  <c r="BC1271" i="1"/>
  <c r="BC1572" i="1"/>
  <c r="BC349" i="1"/>
  <c r="BC67" i="1"/>
  <c r="BC1076" i="1"/>
  <c r="BC867" i="1"/>
  <c r="BC107" i="1"/>
  <c r="BC698" i="1"/>
  <c r="BC1596" i="1"/>
  <c r="BC1584" i="1"/>
  <c r="BC897" i="1"/>
  <c r="BC371" i="1"/>
  <c r="BC73" i="1"/>
  <c r="BC604" i="1"/>
  <c r="BC568" i="1"/>
  <c r="BC398" i="1"/>
  <c r="BC1388" i="1"/>
  <c r="BC1435" i="1"/>
  <c r="BC91" i="1"/>
  <c r="BC1594" i="1"/>
  <c r="BC916" i="1"/>
  <c r="BC215" i="1"/>
  <c r="BC925" i="1"/>
  <c r="BC1180" i="1"/>
  <c r="BC1703" i="1"/>
  <c r="BC333" i="1"/>
  <c r="BC103" i="1"/>
  <c r="BC1611" i="1"/>
  <c r="BC1642" i="1"/>
  <c r="BC1532" i="1"/>
  <c r="BC1501" i="1"/>
  <c r="BC72" i="1"/>
  <c r="BC296" i="1"/>
  <c r="BC77" i="1"/>
  <c r="BC1097" i="1"/>
  <c r="BC1506" i="1"/>
  <c r="BC1369" i="1"/>
  <c r="BC158" i="1"/>
  <c r="BC785" i="1"/>
  <c r="BC1467" i="1"/>
  <c r="BC1002" i="1"/>
  <c r="BC1540" i="1"/>
  <c r="BC608" i="1"/>
  <c r="BC1179" i="1"/>
  <c r="BC176" i="1"/>
  <c r="BC450" i="1"/>
  <c r="BC1731" i="1"/>
  <c r="BB1731" i="1"/>
  <c r="BB1735" i="1"/>
  <c r="BB1745" i="1"/>
  <c r="BB1746" i="1"/>
  <c r="BB1734" i="1"/>
  <c r="BC1734" i="1"/>
  <c r="BK1734" i="1" s="1"/>
  <c r="BL1734" i="1" s="1"/>
  <c r="BC1746" i="1"/>
  <c r="BK1746" i="1" s="1"/>
  <c r="BL1746" i="1" s="1"/>
  <c r="BC1745" i="1"/>
  <c r="BK1745" i="1" s="1"/>
  <c r="BL1745" i="1" s="1"/>
  <c r="BC1735" i="1"/>
  <c r="BD1731" i="1"/>
  <c r="BI1731" i="1" s="1"/>
  <c r="BD1735" i="1"/>
  <c r="BI1735" i="1" s="1"/>
  <c r="BD1734" i="1"/>
  <c r="BI1734" i="1" s="1"/>
  <c r="BD1745" i="1"/>
  <c r="BI1745" i="1" s="1"/>
  <c r="BD1737" i="1"/>
  <c r="BI1737" i="1" s="1"/>
  <c r="BD1741" i="1"/>
  <c r="BI1741" i="1" s="1"/>
  <c r="BD1733" i="1"/>
  <c r="BI1733" i="1" s="1"/>
  <c r="BD1742" i="1"/>
  <c r="BI1742" i="1" s="1"/>
  <c r="BD1740" i="1"/>
  <c r="BI1740" i="1" s="1"/>
  <c r="BD1736" i="1"/>
  <c r="BI1736" i="1" s="1"/>
  <c r="BD1744" i="1"/>
  <c r="BI1744" i="1" s="1"/>
  <c r="BD1738" i="1"/>
  <c r="BI1738" i="1" s="1"/>
  <c r="BD1739" i="1"/>
  <c r="BI1739" i="1" s="1"/>
  <c r="BD1732" i="1"/>
  <c r="BI1732" i="1" s="1"/>
  <c r="BD1743" i="1"/>
  <c r="BI1743" i="1" s="1"/>
  <c r="BC1738" i="1"/>
  <c r="BK1738" i="1" s="1"/>
  <c r="BL1738" i="1" s="1"/>
  <c r="BC1743" i="1"/>
  <c r="BK1743" i="1" s="1"/>
  <c r="BL1743" i="1" s="1"/>
  <c r="BC1740" i="1"/>
  <c r="BB1739" i="1"/>
  <c r="BB1740" i="1"/>
  <c r="BB1744" i="1"/>
  <c r="BB1743" i="1"/>
  <c r="BB1732" i="1"/>
  <c r="BB1741" i="1"/>
  <c r="BB1742" i="1"/>
  <c r="BB1738" i="1"/>
  <c r="BB1733" i="1"/>
  <c r="BB1737" i="1"/>
  <c r="BB1736" i="1"/>
  <c r="BC1742" i="1"/>
  <c r="BK1742" i="1" s="1"/>
  <c r="BL1742" i="1" s="1"/>
  <c r="BC1741" i="1"/>
  <c r="BK1741" i="1" s="1"/>
  <c r="BL1741" i="1" s="1"/>
  <c r="BC1736" i="1"/>
  <c r="BC1739" i="1"/>
  <c r="BK1739" i="1" s="1"/>
  <c r="BL1739" i="1" s="1"/>
  <c r="BC1733" i="1"/>
  <c r="BC1744" i="1"/>
  <c r="BC1732" i="1"/>
  <c r="BC1737" i="1"/>
  <c r="BC1748" i="1"/>
  <c r="BK1748" i="1" s="1"/>
  <c r="BL1748" i="1" s="1"/>
  <c r="BC1747" i="1"/>
  <c r="BK1747" i="1" s="1"/>
  <c r="BL1747" i="1" s="1"/>
  <c r="BF1748" i="1"/>
  <c r="BG1748" i="1" s="1"/>
  <c r="BH1748" i="1"/>
  <c r="BD1747" i="1"/>
  <c r="BI1747" i="1" s="1"/>
  <c r="BD1748" i="1"/>
  <c r="BI1748" i="1" s="1"/>
  <c r="BH1747" i="1"/>
  <c r="BF1747" i="1"/>
  <c r="BG1747" i="1" s="1"/>
  <c r="N25" i="189"/>
  <c r="N24" i="189"/>
  <c r="I25" i="189"/>
  <c r="I24" i="189"/>
  <c r="D25" i="189"/>
  <c r="D24" i="189"/>
  <c r="N12" i="189"/>
  <c r="N11" i="189"/>
  <c r="I12" i="189"/>
  <c r="I11" i="189"/>
  <c r="BF645" i="1" l="1"/>
  <c r="BG645" i="1" s="1"/>
  <c r="BH645" i="1"/>
  <c r="BF565" i="1"/>
  <c r="BG565" i="1" s="1"/>
  <c r="BH565" i="1"/>
  <c r="BF1453" i="1"/>
  <c r="BG1453" i="1" s="1"/>
  <c r="BH1453" i="1"/>
  <c r="BF1140" i="1"/>
  <c r="BG1140" i="1" s="1"/>
  <c r="BH1140" i="1"/>
  <c r="BF751" i="1"/>
  <c r="BG751" i="1" s="1"/>
  <c r="BH751" i="1"/>
  <c r="BH1374" i="1"/>
  <c r="BF1374" i="1"/>
  <c r="BG1374" i="1" s="1"/>
  <c r="BK1374" i="1"/>
  <c r="BL1374" i="1" s="1"/>
  <c r="BF1008" i="1"/>
  <c r="BG1008" i="1" s="1"/>
  <c r="BH1008" i="1"/>
  <c r="BK1463" i="1"/>
  <c r="BL1463" i="1" s="1"/>
  <c r="BF1463" i="1"/>
  <c r="BG1463" i="1" s="1"/>
  <c r="BH1463" i="1"/>
  <c r="BF1705" i="1"/>
  <c r="BG1705" i="1" s="1"/>
  <c r="BH1705" i="1"/>
  <c r="BF1440" i="1"/>
  <c r="BG1440" i="1" s="1"/>
  <c r="BH1440" i="1"/>
  <c r="BF1559" i="1"/>
  <c r="BG1559" i="1" s="1"/>
  <c r="BH1559" i="1"/>
  <c r="BK1559" i="1"/>
  <c r="BL1559" i="1" s="1"/>
  <c r="BF493" i="1"/>
  <c r="BG493" i="1" s="1"/>
  <c r="BH493" i="1"/>
  <c r="BF1360" i="1"/>
  <c r="BG1360" i="1" s="1"/>
  <c r="BK1360" i="1"/>
  <c r="BL1360" i="1" s="1"/>
  <c r="BH1360" i="1"/>
  <c r="BF1510" i="1"/>
  <c r="BG1510" i="1" s="1"/>
  <c r="BH1510" i="1"/>
  <c r="BF1139" i="1"/>
  <c r="BG1139" i="1" s="1"/>
  <c r="BH1139" i="1"/>
  <c r="BH958" i="1"/>
  <c r="BF958" i="1"/>
  <c r="BG958" i="1" s="1"/>
  <c r="BK958" i="1"/>
  <c r="BL958" i="1" s="1"/>
  <c r="BK1440" i="1"/>
  <c r="BL1440" i="1" s="1"/>
  <c r="BF563" i="1"/>
  <c r="BG563" i="1" s="1"/>
  <c r="BK563" i="1"/>
  <c r="BL563" i="1" s="1"/>
  <c r="BH563" i="1"/>
  <c r="BK1361" i="1"/>
  <c r="BL1361" i="1" s="1"/>
  <c r="BH1361" i="1"/>
  <c r="BF1361" i="1"/>
  <c r="BG1361" i="1" s="1"/>
  <c r="BF1512" i="1"/>
  <c r="BG1512" i="1" s="1"/>
  <c r="BH1512" i="1"/>
  <c r="BF1082" i="1"/>
  <c r="BG1082" i="1" s="1"/>
  <c r="BH1082" i="1"/>
  <c r="BK1082" i="1"/>
  <c r="BL1082" i="1" s="1"/>
  <c r="BF848" i="1"/>
  <c r="BG848" i="1" s="1"/>
  <c r="BH848" i="1"/>
  <c r="BH1130" i="1"/>
  <c r="BF1130" i="1"/>
  <c r="BG1130" i="1" s="1"/>
  <c r="BK1130" i="1"/>
  <c r="BL1130" i="1" s="1"/>
  <c r="BH989" i="1"/>
  <c r="BF989" i="1"/>
  <c r="BG989" i="1" s="1"/>
  <c r="BK989" i="1"/>
  <c r="BL989" i="1" s="1"/>
  <c r="BF750" i="1"/>
  <c r="BG750" i="1" s="1"/>
  <c r="BH750" i="1"/>
  <c r="BH1375" i="1"/>
  <c r="BK1375" i="1"/>
  <c r="BL1375" i="1" s="1"/>
  <c r="BF1375" i="1"/>
  <c r="BG1375" i="1" s="1"/>
  <c r="BF966" i="1"/>
  <c r="BG966" i="1" s="1"/>
  <c r="BH966" i="1"/>
  <c r="BH1024" i="1"/>
  <c r="BF1024" i="1"/>
  <c r="BG1024" i="1" s="1"/>
  <c r="BK1024" i="1"/>
  <c r="BL1024" i="1" s="1"/>
  <c r="BF1309" i="1"/>
  <c r="BG1309" i="1" s="1"/>
  <c r="BH1309" i="1"/>
  <c r="BF1310" i="1"/>
  <c r="BG1310" i="1" s="1"/>
  <c r="BH1310" i="1"/>
  <c r="BF1461" i="1"/>
  <c r="BG1461" i="1" s="1"/>
  <c r="BH1461" i="1"/>
  <c r="BK1461" i="1"/>
  <c r="BL1461" i="1" s="1"/>
  <c r="BF967" i="1"/>
  <c r="BG967" i="1" s="1"/>
  <c r="BH967" i="1"/>
  <c r="BH988" i="1"/>
  <c r="BF988" i="1"/>
  <c r="BG988" i="1" s="1"/>
  <c r="BK988" i="1"/>
  <c r="BL988" i="1" s="1"/>
  <c r="BK1008" i="1"/>
  <c r="BL1008" i="1" s="1"/>
  <c r="BK1139" i="1"/>
  <c r="BL1139" i="1" s="1"/>
  <c r="BF1007" i="1"/>
  <c r="BG1007" i="1" s="1"/>
  <c r="BH1007" i="1"/>
  <c r="BF957" i="1"/>
  <c r="BG957" i="1" s="1"/>
  <c r="BK957" i="1"/>
  <c r="BL957" i="1" s="1"/>
  <c r="BH957" i="1"/>
  <c r="BF206" i="1"/>
  <c r="BG206" i="1" s="1"/>
  <c r="BH206" i="1"/>
  <c r="BF847" i="1"/>
  <c r="BG847" i="1" s="1"/>
  <c r="BH847" i="1"/>
  <c r="BF1081" i="1"/>
  <c r="BG1081" i="1" s="1"/>
  <c r="BH1081" i="1"/>
  <c r="BF207" i="1"/>
  <c r="BG207" i="1" s="1"/>
  <c r="BH207" i="1"/>
  <c r="BF391" i="1"/>
  <c r="BG391" i="1" s="1"/>
  <c r="BH391" i="1"/>
  <c r="BK1140" i="1"/>
  <c r="BL1140" i="1" s="1"/>
  <c r="BK1453" i="1"/>
  <c r="BL1453" i="1" s="1"/>
  <c r="BF1141" i="1"/>
  <c r="BG1141" i="1" s="1"/>
  <c r="BH1141" i="1"/>
  <c r="BH1025" i="1"/>
  <c r="BF1025" i="1"/>
  <c r="BG1025" i="1" s="1"/>
  <c r="BK1025" i="1"/>
  <c r="BL1025" i="1" s="1"/>
  <c r="BF1511" i="1"/>
  <c r="BG1511" i="1" s="1"/>
  <c r="BH1511" i="1"/>
  <c r="BF1706" i="1"/>
  <c r="BG1706" i="1" s="1"/>
  <c r="BH1706" i="1"/>
  <c r="BF1454" i="1"/>
  <c r="BG1454" i="1" s="1"/>
  <c r="BH1454" i="1"/>
  <c r="BF1557" i="1"/>
  <c r="BG1557" i="1" s="1"/>
  <c r="BH1557" i="1"/>
  <c r="BK1557" i="1"/>
  <c r="BL1557" i="1" s="1"/>
  <c r="BH1558" i="1"/>
  <c r="BK1558" i="1"/>
  <c r="BL1558" i="1" s="1"/>
  <c r="BF1558" i="1"/>
  <c r="BG1558" i="1" s="1"/>
  <c r="BF1160" i="1"/>
  <c r="BG1160" i="1" s="1"/>
  <c r="BH1160" i="1"/>
  <c r="BK966" i="1"/>
  <c r="BL966" i="1" s="1"/>
  <c r="BK1511" i="1"/>
  <c r="BL1511" i="1" s="1"/>
  <c r="BF1159" i="1"/>
  <c r="BG1159" i="1" s="1"/>
  <c r="BH1159" i="1"/>
  <c r="BH1131" i="1"/>
  <c r="BK1131" i="1"/>
  <c r="BL1131" i="1" s="1"/>
  <c r="BF1131" i="1"/>
  <c r="BG1131" i="1" s="1"/>
  <c r="BF1136" i="1"/>
  <c r="BG1136" i="1" s="1"/>
  <c r="BH1136" i="1"/>
  <c r="BF390" i="1"/>
  <c r="BG390" i="1" s="1"/>
  <c r="BH390" i="1"/>
  <c r="BF1442" i="1"/>
  <c r="BG1442" i="1" s="1"/>
  <c r="BH1442" i="1"/>
  <c r="BK1462" i="1"/>
  <c r="BL1462" i="1" s="1"/>
  <c r="BF1462" i="1"/>
  <c r="BG1462" i="1" s="1"/>
  <c r="BH1462" i="1"/>
  <c r="BK564" i="1"/>
  <c r="BL564" i="1" s="1"/>
  <c r="BH564" i="1"/>
  <c r="BF564" i="1"/>
  <c r="BG564" i="1" s="1"/>
  <c r="BF1135" i="1"/>
  <c r="BG1135" i="1" s="1"/>
  <c r="BH1135" i="1"/>
  <c r="BK750" i="1"/>
  <c r="BL750" i="1" s="1"/>
  <c r="BK1706" i="1"/>
  <c r="BL1706" i="1" s="1"/>
  <c r="BF990" i="1"/>
  <c r="BG990" i="1" s="1"/>
  <c r="BK990" i="1"/>
  <c r="BL990" i="1" s="1"/>
  <c r="BH990" i="1"/>
  <c r="BF1455" i="1"/>
  <c r="BG1455" i="1" s="1"/>
  <c r="BH1455" i="1"/>
  <c r="BK1560" i="1"/>
  <c r="BL1560" i="1" s="1"/>
  <c r="BF1560" i="1"/>
  <c r="BG1560" i="1" s="1"/>
  <c r="BH1560" i="1"/>
  <c r="BF1441" i="1"/>
  <c r="BG1441" i="1" s="1"/>
  <c r="BH1441" i="1"/>
  <c r="BK391" i="1"/>
  <c r="BL391" i="1" s="1"/>
  <c r="BK1159" i="1"/>
  <c r="BL1159" i="1" s="1"/>
  <c r="BK1176" i="1"/>
  <c r="BL1176" i="1" s="1"/>
  <c r="BF865" i="1"/>
  <c r="BG865" i="1" s="1"/>
  <c r="BK20" i="1"/>
  <c r="BL20" i="1" s="1"/>
  <c r="BK570" i="1"/>
  <c r="BL570" i="1" s="1"/>
  <c r="BF1057" i="1"/>
  <c r="BG1057" i="1" s="1"/>
  <c r="BF1176" i="1"/>
  <c r="BG1176" i="1" s="1"/>
  <c r="BK865" i="1"/>
  <c r="BL865" i="1" s="1"/>
  <c r="BH1211" i="1"/>
  <c r="BK671" i="1"/>
  <c r="BL671" i="1" s="1"/>
  <c r="BH824" i="1"/>
  <c r="BH1614" i="1"/>
  <c r="BH1123" i="1"/>
  <c r="BH1242" i="1"/>
  <c r="BH1571" i="1"/>
  <c r="BK1699" i="1"/>
  <c r="BL1699" i="1" s="1"/>
  <c r="BK1517" i="1"/>
  <c r="BL1517" i="1" s="1"/>
  <c r="BF677" i="1"/>
  <c r="BG677" i="1" s="1"/>
  <c r="BK1311" i="1"/>
  <c r="BL1311" i="1" s="1"/>
  <c r="BF1471" i="1"/>
  <c r="BG1471" i="1" s="1"/>
  <c r="BH1517" i="1"/>
  <c r="BK1355" i="1"/>
  <c r="BL1355" i="1" s="1"/>
  <c r="BH686" i="1"/>
  <c r="BH1311" i="1"/>
  <c r="BH1541" i="1"/>
  <c r="BH646" i="1"/>
  <c r="BK580" i="1"/>
  <c r="BL580" i="1" s="1"/>
  <c r="BH257" i="1"/>
  <c r="BF825" i="1"/>
  <c r="BG825" i="1" s="1"/>
  <c r="BF120" i="1"/>
  <c r="BG120" i="1" s="1"/>
  <c r="BH1428" i="1"/>
  <c r="BK909" i="1"/>
  <c r="BL909" i="1" s="1"/>
  <c r="BF257" i="1"/>
  <c r="BG257" i="1" s="1"/>
  <c r="BK494" i="1"/>
  <c r="BL494" i="1" s="1"/>
  <c r="BF545" i="1"/>
  <c r="BG545" i="1" s="1"/>
  <c r="BF388" i="1"/>
  <c r="BG388" i="1" s="1"/>
  <c r="BH909" i="1"/>
  <c r="BF766" i="1"/>
  <c r="BG766" i="1" s="1"/>
  <c r="BF858" i="1"/>
  <c r="BG858" i="1" s="1"/>
  <c r="BF836" i="1"/>
  <c r="BG836" i="1" s="1"/>
  <c r="BH1022" i="1"/>
  <c r="BK774" i="1"/>
  <c r="BL774" i="1" s="1"/>
  <c r="BK836" i="1"/>
  <c r="BL836" i="1" s="1"/>
  <c r="BK545" i="1"/>
  <c r="BL545" i="1" s="1"/>
  <c r="BF1541" i="1"/>
  <c r="BG1541" i="1" s="1"/>
  <c r="BF646" i="1"/>
  <c r="BG646" i="1" s="1"/>
  <c r="BH766" i="1"/>
  <c r="BK858" i="1"/>
  <c r="BL858" i="1" s="1"/>
  <c r="BK120" i="1"/>
  <c r="BL120" i="1" s="1"/>
  <c r="BF1105" i="1"/>
  <c r="BG1105" i="1" s="1"/>
  <c r="BH845" i="1"/>
  <c r="BF1624" i="1"/>
  <c r="BG1624" i="1" s="1"/>
  <c r="BF76" i="1"/>
  <c r="BG76" i="1" s="1"/>
  <c r="BK1428" i="1"/>
  <c r="BL1428" i="1" s="1"/>
  <c r="BH677" i="1"/>
  <c r="BH388" i="1"/>
  <c r="BF580" i="1"/>
  <c r="BG580" i="1" s="1"/>
  <c r="BF98" i="1"/>
  <c r="BG98" i="1" s="1"/>
  <c r="BF512" i="1"/>
  <c r="BG512" i="1" s="1"/>
  <c r="BF1545" i="1"/>
  <c r="BG1545" i="1" s="1"/>
  <c r="BH1471" i="1"/>
  <c r="BF1022" i="1"/>
  <c r="BG1022" i="1" s="1"/>
  <c r="BF395" i="1"/>
  <c r="BG395" i="1" s="1"/>
  <c r="BF165" i="1"/>
  <c r="BG165" i="1" s="1"/>
  <c r="BH165" i="1"/>
  <c r="BK686" i="1"/>
  <c r="BL686" i="1" s="1"/>
  <c r="BH1545" i="1"/>
  <c r="BK1105" i="1"/>
  <c r="BL1105" i="1" s="1"/>
  <c r="BF494" i="1"/>
  <c r="BG494" i="1" s="1"/>
  <c r="BK1392" i="1"/>
  <c r="BL1392" i="1" s="1"/>
  <c r="BF774" i="1"/>
  <c r="BG774" i="1" s="1"/>
  <c r="BH228" i="1"/>
  <c r="BF166" i="1"/>
  <c r="BG166" i="1" s="1"/>
  <c r="BH166" i="1"/>
  <c r="BK1650" i="1"/>
  <c r="BL1650" i="1" s="1"/>
  <c r="BF1650" i="1"/>
  <c r="BG1650" i="1" s="1"/>
  <c r="BH1650" i="1"/>
  <c r="BF1249" i="1"/>
  <c r="BG1249" i="1" s="1"/>
  <c r="BH1249" i="1"/>
  <c r="BF1250" i="1"/>
  <c r="BG1250" i="1" s="1"/>
  <c r="BH1250" i="1"/>
  <c r="BK166" i="1"/>
  <c r="BL166" i="1" s="1"/>
  <c r="BK165" i="1"/>
  <c r="BL165" i="1" s="1"/>
  <c r="BK1249" i="1"/>
  <c r="BL1249" i="1" s="1"/>
  <c r="BK1651" i="1"/>
  <c r="BL1651" i="1" s="1"/>
  <c r="BH1651" i="1"/>
  <c r="BF1651" i="1"/>
  <c r="BG1651" i="1" s="1"/>
  <c r="BF764" i="1"/>
  <c r="BG764" i="1" s="1"/>
  <c r="BH764" i="1"/>
  <c r="BF763" i="1"/>
  <c r="BG763" i="1" s="1"/>
  <c r="BH763" i="1"/>
  <c r="BK764" i="1"/>
  <c r="BL764" i="1" s="1"/>
  <c r="BH874" i="1"/>
  <c r="BK1096" i="1"/>
  <c r="BL1096" i="1" s="1"/>
  <c r="BK288" i="1"/>
  <c r="BL288" i="1" s="1"/>
  <c r="BH525" i="1"/>
  <c r="BK1016" i="1"/>
  <c r="BL1016" i="1" s="1"/>
  <c r="BH798" i="1"/>
  <c r="BH1355" i="1"/>
  <c r="BK1624" i="1"/>
  <c r="BL1624" i="1" s="1"/>
  <c r="BK76" i="1"/>
  <c r="BL76" i="1" s="1"/>
  <c r="BK98" i="1"/>
  <c r="BL98" i="1" s="1"/>
  <c r="BH512" i="1"/>
  <c r="BH1392" i="1"/>
  <c r="BF845" i="1"/>
  <c r="BG845" i="1" s="1"/>
  <c r="BF932" i="1"/>
  <c r="BG932" i="1" s="1"/>
  <c r="BK825" i="1"/>
  <c r="BL825" i="1" s="1"/>
  <c r="BF798" i="1"/>
  <c r="BG798" i="1" s="1"/>
  <c r="BK1072" i="1"/>
  <c r="BL1072" i="1" s="1"/>
  <c r="BK80" i="1"/>
  <c r="BL80" i="1" s="1"/>
  <c r="BK404" i="1"/>
  <c r="BL404" i="1" s="1"/>
  <c r="BF1414" i="1"/>
  <c r="BG1414" i="1" s="1"/>
  <c r="BK1618" i="1"/>
  <c r="BL1618" i="1" s="1"/>
  <c r="BH178" i="1"/>
  <c r="BH1631" i="1"/>
  <c r="BK172" i="1"/>
  <c r="BL172" i="1" s="1"/>
  <c r="BK1198" i="1"/>
  <c r="BL1198" i="1" s="1"/>
  <c r="BF710" i="1"/>
  <c r="BG710" i="1" s="1"/>
  <c r="BF1281" i="1"/>
  <c r="BG1281" i="1" s="1"/>
  <c r="BF700" i="1"/>
  <c r="BG700" i="1" s="1"/>
  <c r="BH1586" i="1"/>
  <c r="BF937" i="1"/>
  <c r="BG937" i="1" s="1"/>
  <c r="BH1121" i="1"/>
  <c r="BF973" i="1"/>
  <c r="BG973" i="1" s="1"/>
  <c r="BF235" i="1"/>
  <c r="BG235" i="1" s="1"/>
  <c r="BH1666" i="1"/>
  <c r="BK352" i="1"/>
  <c r="BL352" i="1" s="1"/>
  <c r="BK874" i="1"/>
  <c r="BL874" i="1" s="1"/>
  <c r="BH734" i="1"/>
  <c r="BF753" i="1"/>
  <c r="BG753" i="1" s="1"/>
  <c r="BH1712" i="1"/>
  <c r="BK38" i="1"/>
  <c r="BL38" i="1" s="1"/>
  <c r="BH298" i="1"/>
  <c r="BK1684" i="1"/>
  <c r="BL1684" i="1" s="1"/>
  <c r="BK1229" i="1"/>
  <c r="BL1229" i="1" s="1"/>
  <c r="BK639" i="1"/>
  <c r="BL639" i="1" s="1"/>
  <c r="BK214" i="1"/>
  <c r="BL214" i="1" s="1"/>
  <c r="BK941" i="1"/>
  <c r="BL941" i="1" s="1"/>
  <c r="BH624" i="1"/>
  <c r="BK1181" i="1"/>
  <c r="BL1181" i="1" s="1"/>
  <c r="BK544" i="1"/>
  <c r="BL544" i="1" s="1"/>
  <c r="BF470" i="1"/>
  <c r="BG470" i="1" s="1"/>
  <c r="BH973" i="1"/>
  <c r="BH172" i="1"/>
  <c r="BF1716" i="1"/>
  <c r="BG1716" i="1" s="1"/>
  <c r="BK1509" i="1"/>
  <c r="BL1509" i="1" s="1"/>
  <c r="BK241" i="1"/>
  <c r="BL241" i="1" s="1"/>
  <c r="BH183" i="1"/>
  <c r="BH145" i="1"/>
  <c r="BF530" i="1"/>
  <c r="BG530" i="1" s="1"/>
  <c r="BF360" i="1"/>
  <c r="BG360" i="1" s="1"/>
  <c r="BF1409" i="1"/>
  <c r="BG1409" i="1" s="1"/>
  <c r="BK1685" i="1"/>
  <c r="BL1685" i="1" s="1"/>
  <c r="BF1666" i="1"/>
  <c r="BG1666" i="1" s="1"/>
  <c r="BF638" i="1"/>
  <c r="BG638" i="1" s="1"/>
  <c r="BF671" i="1"/>
  <c r="BG671" i="1" s="1"/>
  <c r="BF1614" i="1"/>
  <c r="BG1614" i="1" s="1"/>
  <c r="BK1211" i="1"/>
  <c r="BL1211" i="1" s="1"/>
  <c r="BK1661" i="1"/>
  <c r="BL1661" i="1" s="1"/>
  <c r="BF334" i="1"/>
  <c r="BG334" i="1" s="1"/>
  <c r="BK1069" i="1"/>
  <c r="BL1069" i="1" s="1"/>
  <c r="BF335" i="1"/>
  <c r="BG335" i="1" s="1"/>
  <c r="BH51" i="1"/>
  <c r="BF755" i="1"/>
  <c r="BG755" i="1" s="1"/>
  <c r="BF433" i="1"/>
  <c r="BG433" i="1" s="1"/>
  <c r="BF630" i="1"/>
  <c r="BG630" i="1" s="1"/>
  <c r="BF728" i="1"/>
  <c r="BG728" i="1" s="1"/>
  <c r="BF419" i="1"/>
  <c r="BG419" i="1" s="1"/>
  <c r="BK719" i="1"/>
  <c r="BL719" i="1" s="1"/>
  <c r="BK1274" i="1"/>
  <c r="BL1274" i="1" s="1"/>
  <c r="BK824" i="1"/>
  <c r="BL824" i="1" s="1"/>
  <c r="BH570" i="1"/>
  <c r="BH638" i="1"/>
  <c r="BF734" i="1"/>
  <c r="BG734" i="1" s="1"/>
  <c r="BH753" i="1"/>
  <c r="BH1661" i="1"/>
  <c r="BH334" i="1"/>
  <c r="BH741" i="1"/>
  <c r="BK1123" i="1"/>
  <c r="BL1123" i="1" s="1"/>
  <c r="BH335" i="1"/>
  <c r="BH630" i="1"/>
  <c r="BH1213" i="1"/>
  <c r="BH1626" i="1"/>
  <c r="BH1509" i="1"/>
  <c r="BK51" i="1"/>
  <c r="BL51" i="1" s="1"/>
  <c r="BH241" i="1"/>
  <c r="BH689" i="1"/>
  <c r="BH1172" i="1"/>
  <c r="BH433" i="1"/>
  <c r="BK978" i="1"/>
  <c r="BL978" i="1" s="1"/>
  <c r="BH770" i="1"/>
  <c r="BF1080" i="1"/>
  <c r="BG1080" i="1" s="1"/>
  <c r="BK249" i="1"/>
  <c r="BL249" i="1" s="1"/>
  <c r="BF1571" i="1"/>
  <c r="BG1571" i="1" s="1"/>
  <c r="BH1281" i="1"/>
  <c r="BK1074" i="1"/>
  <c r="BL1074" i="1" s="1"/>
  <c r="BK18" i="1"/>
  <c r="BL18" i="1" s="1"/>
  <c r="BK606" i="1"/>
  <c r="BL606" i="1" s="1"/>
  <c r="BF509" i="1"/>
  <c r="BG509" i="1" s="1"/>
  <c r="BK1551" i="1"/>
  <c r="BL1551" i="1" s="1"/>
  <c r="BH87" i="1"/>
  <c r="BK1489" i="1"/>
  <c r="BL1489" i="1" s="1"/>
  <c r="BH829" i="1"/>
  <c r="BH485" i="1"/>
  <c r="BH1262" i="1"/>
  <c r="BH823" i="1"/>
  <c r="BH28" i="1"/>
  <c r="BF781" i="1"/>
  <c r="BG781" i="1" s="1"/>
  <c r="BF586" i="1"/>
  <c r="BG586" i="1" s="1"/>
  <c r="BF926" i="1"/>
  <c r="BG926" i="1" s="1"/>
  <c r="BH194" i="1"/>
  <c r="BK708" i="1"/>
  <c r="BL708" i="1" s="1"/>
  <c r="BF1604" i="1"/>
  <c r="BG1604" i="1" s="1"/>
  <c r="BH903" i="1"/>
  <c r="BH1486" i="1"/>
  <c r="BH375" i="1"/>
  <c r="BK1549" i="1"/>
  <c r="BL1549" i="1" s="1"/>
  <c r="BF324" i="1"/>
  <c r="BG324" i="1" s="1"/>
  <c r="BK376" i="1"/>
  <c r="BL376" i="1" s="1"/>
  <c r="BH1663" i="1"/>
  <c r="BK468" i="1"/>
  <c r="BL468" i="1" s="1"/>
  <c r="BH690" i="1"/>
  <c r="BF369" i="1"/>
  <c r="BG369" i="1" s="1"/>
  <c r="BK1389" i="1"/>
  <c r="BL1389" i="1" s="1"/>
  <c r="BF1489" i="1"/>
  <c r="BG1489" i="1" s="1"/>
  <c r="BK1356" i="1"/>
  <c r="BL1356" i="1" s="1"/>
  <c r="BK1482" i="1"/>
  <c r="BL1482" i="1" s="1"/>
  <c r="BK1446" i="1"/>
  <c r="BL1446" i="1" s="1"/>
  <c r="BF1372" i="1"/>
  <c r="BG1372" i="1" s="1"/>
  <c r="BK1071" i="1"/>
  <c r="BL1071" i="1" s="1"/>
  <c r="BK228" i="1"/>
  <c r="BL228" i="1" s="1"/>
  <c r="BH1618" i="1"/>
  <c r="BH80" i="1"/>
  <c r="BF28" i="1"/>
  <c r="BG28" i="1" s="1"/>
  <c r="BK1193" i="1"/>
  <c r="BL1193" i="1" s="1"/>
  <c r="BK1121" i="1"/>
  <c r="BL1121" i="1" s="1"/>
  <c r="BH1220" i="1"/>
  <c r="BH706" i="1"/>
  <c r="BK1682" i="1"/>
  <c r="BL1682" i="1" s="1"/>
  <c r="BH480" i="1"/>
  <c r="BH144" i="1"/>
  <c r="BH899" i="1"/>
  <c r="BF796" i="1"/>
  <c r="BG796" i="1" s="1"/>
  <c r="BK235" i="1"/>
  <c r="BL235" i="1" s="1"/>
  <c r="BH503" i="1"/>
  <c r="BH56" i="1"/>
  <c r="BF569" i="1"/>
  <c r="BG569" i="1" s="1"/>
  <c r="BK1213" i="1"/>
  <c r="BL1213" i="1" s="1"/>
  <c r="BF649" i="1"/>
  <c r="BG649" i="1" s="1"/>
  <c r="BK640" i="1"/>
  <c r="BL640" i="1" s="1"/>
  <c r="BH1101" i="1"/>
  <c r="BH1622" i="1"/>
  <c r="BF574" i="1"/>
  <c r="BG574" i="1" s="1"/>
  <c r="BF978" i="1"/>
  <c r="BG978" i="1" s="1"/>
  <c r="BF1665" i="1"/>
  <c r="BG1665" i="1" s="1"/>
  <c r="BF301" i="1"/>
  <c r="BG301" i="1" s="1"/>
  <c r="BK982" i="1"/>
  <c r="BL982" i="1" s="1"/>
  <c r="BH249" i="1"/>
  <c r="BH63" i="1"/>
  <c r="BH1096" i="1"/>
  <c r="BF352" i="1"/>
  <c r="BG352" i="1" s="1"/>
  <c r="BF1717" i="1"/>
  <c r="BG1717" i="1" s="1"/>
  <c r="BF1515" i="1"/>
  <c r="BG1515" i="1" s="1"/>
  <c r="BF18" i="1"/>
  <c r="BG18" i="1" s="1"/>
  <c r="BF38" i="1"/>
  <c r="BG38" i="1" s="1"/>
  <c r="BH639" i="1"/>
  <c r="BF1016" i="1"/>
  <c r="BG1016" i="1" s="1"/>
  <c r="BK1586" i="1"/>
  <c r="BL1586" i="1" s="1"/>
  <c r="BF1426" i="1"/>
  <c r="BG1426" i="1" s="1"/>
  <c r="BK364" i="1"/>
  <c r="BL364" i="1" s="1"/>
  <c r="BF1301" i="1"/>
  <c r="BG1301" i="1" s="1"/>
  <c r="BF829" i="1"/>
  <c r="BG829" i="1" s="1"/>
  <c r="BF471" i="1"/>
  <c r="BG471" i="1" s="1"/>
  <c r="BK1394" i="1"/>
  <c r="BL1394" i="1" s="1"/>
  <c r="BK448" i="1"/>
  <c r="BL448" i="1" s="1"/>
  <c r="BF1262" i="1"/>
  <c r="BG1262" i="1" s="1"/>
  <c r="BH932" i="1"/>
  <c r="BF117" i="1"/>
  <c r="BG117" i="1" s="1"/>
  <c r="BF25" i="1"/>
  <c r="BG25" i="1" s="1"/>
  <c r="BK227" i="1"/>
  <c r="BL227" i="1" s="1"/>
  <c r="BK178" i="1"/>
  <c r="BL178" i="1" s="1"/>
  <c r="BH313" i="1"/>
  <c r="BH1193" i="1"/>
  <c r="BF544" i="1"/>
  <c r="BG544" i="1" s="1"/>
  <c r="BK1220" i="1"/>
  <c r="BL1220" i="1" s="1"/>
  <c r="BH362" i="1"/>
  <c r="BF440" i="1"/>
  <c r="BG440" i="1" s="1"/>
  <c r="BH1601" i="1"/>
  <c r="BH708" i="1"/>
  <c r="BK714" i="1"/>
  <c r="BL714" i="1" s="1"/>
  <c r="BK144" i="1"/>
  <c r="BL144" i="1" s="1"/>
  <c r="BK903" i="1"/>
  <c r="BL903" i="1" s="1"/>
  <c r="BF1072" i="1"/>
  <c r="BG1072" i="1" s="1"/>
  <c r="BF1486" i="1"/>
  <c r="BG1486" i="1" s="1"/>
  <c r="BH360" i="1"/>
  <c r="BF503" i="1"/>
  <c r="BG503" i="1" s="1"/>
  <c r="BK1168" i="1"/>
  <c r="BL1168" i="1" s="1"/>
  <c r="BK569" i="1"/>
  <c r="BL569" i="1" s="1"/>
  <c r="BH288" i="1"/>
  <c r="BH1515" i="1"/>
  <c r="BF442" i="1"/>
  <c r="BG442" i="1" s="1"/>
  <c r="BH694" i="1"/>
  <c r="BH1066" i="1"/>
  <c r="BH182" i="1"/>
  <c r="BK442" i="1"/>
  <c r="BL442" i="1" s="1"/>
  <c r="BK1712" i="1"/>
  <c r="BL1712" i="1" s="1"/>
  <c r="BH1229" i="1"/>
  <c r="BK525" i="1"/>
  <c r="BL525" i="1" s="1"/>
  <c r="BH1682" i="1"/>
  <c r="BK369" i="1"/>
  <c r="BL369" i="1" s="1"/>
  <c r="BH1389" i="1"/>
  <c r="BF364" i="1"/>
  <c r="BG364" i="1" s="1"/>
  <c r="BF214" i="1"/>
  <c r="BG214" i="1" s="1"/>
  <c r="BH1301" i="1"/>
  <c r="BF1356" i="1"/>
  <c r="BG1356" i="1" s="1"/>
  <c r="BF941" i="1"/>
  <c r="BG941" i="1" s="1"/>
  <c r="BK743" i="1"/>
  <c r="BL743" i="1" s="1"/>
  <c r="BK1414" i="1"/>
  <c r="BL1414" i="1" s="1"/>
  <c r="BK485" i="1"/>
  <c r="BL485" i="1" s="1"/>
  <c r="BK937" i="1"/>
  <c r="BL937" i="1" s="1"/>
  <c r="BH1372" i="1"/>
  <c r="BH575" i="1"/>
  <c r="BK624" i="1"/>
  <c r="BL624" i="1" s="1"/>
  <c r="BH742" i="1"/>
  <c r="BH860" i="1"/>
  <c r="BH1181" i="1"/>
  <c r="BK1561" i="1"/>
  <c r="BL1561" i="1" s="1"/>
  <c r="BK823" i="1"/>
  <c r="BL823" i="1" s="1"/>
  <c r="BH227" i="1"/>
  <c r="BF468" i="1"/>
  <c r="BG468" i="1" s="1"/>
  <c r="BH926" i="1"/>
  <c r="BH470" i="1"/>
  <c r="BK706" i="1"/>
  <c r="BL706" i="1" s="1"/>
  <c r="BK194" i="1"/>
  <c r="BL194" i="1" s="1"/>
  <c r="BK1601" i="1"/>
  <c r="BL1601" i="1" s="1"/>
  <c r="BF404" i="1"/>
  <c r="BG404" i="1" s="1"/>
  <c r="BF1631" i="1"/>
  <c r="BG1631" i="1" s="1"/>
  <c r="BF714" i="1"/>
  <c r="BG714" i="1" s="1"/>
  <c r="BK1239" i="1"/>
  <c r="BL1239" i="1" s="1"/>
  <c r="BK1716" i="1"/>
  <c r="BL1716" i="1" s="1"/>
  <c r="BK375" i="1"/>
  <c r="BL375" i="1" s="1"/>
  <c r="BH459" i="1"/>
  <c r="BH700" i="1"/>
  <c r="BH1168" i="1"/>
  <c r="BH1549" i="1"/>
  <c r="BH1162" i="1"/>
  <c r="BK1717" i="1"/>
  <c r="BL1717" i="1" s="1"/>
  <c r="BF606" i="1"/>
  <c r="BG606" i="1" s="1"/>
  <c r="BH509" i="1"/>
  <c r="BK298" i="1"/>
  <c r="BL298" i="1" s="1"/>
  <c r="BF1684" i="1"/>
  <c r="BG1684" i="1" s="1"/>
  <c r="BF1551" i="1"/>
  <c r="BG1551" i="1" s="1"/>
  <c r="BK87" i="1"/>
  <c r="BL87" i="1" s="1"/>
  <c r="BK694" i="1"/>
  <c r="BL694" i="1" s="1"/>
  <c r="BH1699" i="1"/>
  <c r="BK877" i="1"/>
  <c r="BL877" i="1" s="1"/>
  <c r="BH497" i="1"/>
  <c r="BH443" i="1"/>
  <c r="BK1147" i="1"/>
  <c r="BL1147" i="1" s="1"/>
  <c r="BF760" i="1"/>
  <c r="BG760" i="1" s="1"/>
  <c r="BK575" i="1"/>
  <c r="BL575" i="1" s="1"/>
  <c r="BK860" i="1"/>
  <c r="BL860" i="1" s="1"/>
  <c r="BH1575" i="1"/>
  <c r="BF376" i="1"/>
  <c r="BG376" i="1" s="1"/>
  <c r="BF179" i="1"/>
  <c r="BG179" i="1" s="1"/>
  <c r="BK1587" i="1"/>
  <c r="BL1587" i="1" s="1"/>
  <c r="BH1080" i="1"/>
  <c r="BH189" i="1"/>
  <c r="BF148" i="1"/>
  <c r="BG148" i="1" s="1"/>
  <c r="BH148" i="1"/>
  <c r="BK1066" i="1"/>
  <c r="BL1066" i="1" s="1"/>
  <c r="BF443" i="1"/>
  <c r="BG443" i="1" s="1"/>
  <c r="BH1708" i="1"/>
  <c r="BK99" i="1"/>
  <c r="BL99" i="1" s="1"/>
  <c r="BH1494" i="1"/>
  <c r="BH1574" i="1"/>
  <c r="BF1575" i="1"/>
  <c r="BG1575" i="1" s="1"/>
  <c r="BH1728" i="1"/>
  <c r="BK866" i="1"/>
  <c r="BL866" i="1" s="1"/>
  <c r="BH1658" i="1"/>
  <c r="BF802" i="1"/>
  <c r="BG802" i="1" s="1"/>
  <c r="BF1587" i="1"/>
  <c r="BG1587" i="1" s="1"/>
  <c r="BK1362" i="1"/>
  <c r="BL1362" i="1" s="1"/>
  <c r="BK148" i="1"/>
  <c r="BL148" i="1" s="1"/>
  <c r="BK1015" i="1"/>
  <c r="BL1015" i="1" s="1"/>
  <c r="BH1148" i="1"/>
  <c r="BH1049" i="1"/>
  <c r="BF100" i="1"/>
  <c r="BG100" i="1" s="1"/>
  <c r="BF1494" i="1"/>
  <c r="BG1494" i="1" s="1"/>
  <c r="BK346" i="1"/>
  <c r="BL346" i="1" s="1"/>
  <c r="BH1561" i="1"/>
  <c r="BF866" i="1"/>
  <c r="BG866" i="1" s="1"/>
  <c r="BF1162" i="1"/>
  <c r="BG1162" i="1" s="1"/>
  <c r="BH341" i="1"/>
  <c r="BH591" i="1"/>
  <c r="BK1373" i="1"/>
  <c r="BL1373" i="1" s="1"/>
  <c r="BK331" i="1"/>
  <c r="BL331" i="1" s="1"/>
  <c r="BK192" i="1"/>
  <c r="BL192" i="1" s="1"/>
  <c r="BK515" i="1"/>
  <c r="BL515" i="1" s="1"/>
  <c r="BF459" i="1"/>
  <c r="BG459" i="1" s="1"/>
  <c r="BH1710" i="1"/>
  <c r="BF149" i="1"/>
  <c r="BG149" i="1" s="1"/>
  <c r="BH149" i="1"/>
  <c r="BK149" i="1"/>
  <c r="BL149" i="1" s="1"/>
  <c r="BH898" i="1"/>
  <c r="BK341" i="1"/>
  <c r="BL341" i="1" s="1"/>
  <c r="BH1362" i="1"/>
  <c r="BK86" i="1"/>
  <c r="BL86" i="1" s="1"/>
  <c r="BF190" i="1"/>
  <c r="BG190" i="1" s="1"/>
  <c r="BH331" i="1"/>
  <c r="BF3" i="1"/>
  <c r="BG3" i="1" s="1"/>
  <c r="BH3" i="1"/>
  <c r="BF11" i="1"/>
  <c r="BG11" i="1" s="1"/>
  <c r="BH11" i="1"/>
  <c r="BF12" i="1"/>
  <c r="BG12" i="1" s="1"/>
  <c r="BH12" i="1"/>
  <c r="BF13" i="1"/>
  <c r="BG13" i="1" s="1"/>
  <c r="BH13" i="1"/>
  <c r="BF10" i="1"/>
  <c r="BG10" i="1" s="1"/>
  <c r="BH10" i="1"/>
  <c r="BF7" i="1"/>
  <c r="BG7" i="1" s="1"/>
  <c r="BH7" i="1"/>
  <c r="BK12" i="1"/>
  <c r="BL12" i="1" s="1"/>
  <c r="BK497" i="1"/>
  <c r="BL497" i="1" s="1"/>
  <c r="BH1198" i="1"/>
  <c r="BF1015" i="1"/>
  <c r="BG1015" i="1" s="1"/>
  <c r="BF1148" i="1"/>
  <c r="BG1148" i="1" s="1"/>
  <c r="BH1147" i="1"/>
  <c r="BK760" i="1"/>
  <c r="BL760" i="1" s="1"/>
  <c r="BK1049" i="1"/>
  <c r="BL1049" i="1" s="1"/>
  <c r="BK100" i="1"/>
  <c r="BL100" i="1" s="1"/>
  <c r="BK1708" i="1"/>
  <c r="BL1708" i="1" s="1"/>
  <c r="BF742" i="1"/>
  <c r="BG742" i="1" s="1"/>
  <c r="BF346" i="1"/>
  <c r="BG346" i="1" s="1"/>
  <c r="BK1728" i="1"/>
  <c r="BL1728" i="1" s="1"/>
  <c r="BH179" i="1"/>
  <c r="BF1658" i="1"/>
  <c r="BG1658" i="1" s="1"/>
  <c r="BK802" i="1"/>
  <c r="BL802" i="1" s="1"/>
  <c r="BK591" i="1"/>
  <c r="BL591" i="1" s="1"/>
  <c r="BH1364" i="1"/>
  <c r="BF1373" i="1"/>
  <c r="BG1373" i="1" s="1"/>
  <c r="BF189" i="1"/>
  <c r="BG189" i="1" s="1"/>
  <c r="BF1590" i="1"/>
  <c r="BG1590" i="1" s="1"/>
  <c r="BK213" i="1"/>
  <c r="BL213" i="1" s="1"/>
  <c r="BH1239" i="1"/>
  <c r="BF70" i="1"/>
  <c r="BG70" i="1" s="1"/>
  <c r="BF192" i="1"/>
  <c r="BG192" i="1" s="1"/>
  <c r="BF515" i="1"/>
  <c r="BG515" i="1" s="1"/>
  <c r="BF2" i="1"/>
  <c r="BG2" i="1" s="1"/>
  <c r="BH2" i="1"/>
  <c r="BF15" i="1"/>
  <c r="BG15" i="1" s="1"/>
  <c r="BH15" i="1"/>
  <c r="BF6" i="1"/>
  <c r="BG6" i="1" s="1"/>
  <c r="BH6" i="1"/>
  <c r="BK6" i="1"/>
  <c r="BL6" i="1" s="1"/>
  <c r="BF4" i="1"/>
  <c r="BG4" i="1" s="1"/>
  <c r="BH4" i="1"/>
  <c r="BK15" i="1"/>
  <c r="BL15" i="1" s="1"/>
  <c r="BF14" i="1"/>
  <c r="BG14" i="1" s="1"/>
  <c r="BH14" i="1"/>
  <c r="BH585" i="1"/>
  <c r="BF1364" i="1"/>
  <c r="BG1364" i="1" s="1"/>
  <c r="BH1590" i="1"/>
  <c r="BF39" i="1"/>
  <c r="BG39" i="1" s="1"/>
  <c r="BK358" i="1"/>
  <c r="BL358" i="1" s="1"/>
  <c r="BF8" i="1"/>
  <c r="BG8" i="1" s="1"/>
  <c r="BH8" i="1"/>
  <c r="BF5" i="1"/>
  <c r="BG5" i="1" s="1"/>
  <c r="BH5" i="1"/>
  <c r="BK2" i="1"/>
  <c r="BL2" i="1" s="1"/>
  <c r="BK3" i="1"/>
  <c r="BL3" i="1" s="1"/>
  <c r="BF9" i="1"/>
  <c r="BG9" i="1" s="1"/>
  <c r="BH9" i="1"/>
  <c r="BK10" i="1"/>
  <c r="BL10" i="1" s="1"/>
  <c r="BH748" i="1"/>
  <c r="BK1276" i="1"/>
  <c r="BL1276" i="1" s="1"/>
  <c r="BK1648" i="1"/>
  <c r="BL1648" i="1" s="1"/>
  <c r="BK672" i="1"/>
  <c r="BL672" i="1" s="1"/>
  <c r="BF816" i="1"/>
  <c r="BG816" i="1" s="1"/>
  <c r="BF704" i="1"/>
  <c r="BG704" i="1" s="1"/>
  <c r="BF804" i="1"/>
  <c r="BG804" i="1" s="1"/>
  <c r="BK1367" i="1"/>
  <c r="BL1367" i="1" s="1"/>
  <c r="BK1217" i="1"/>
  <c r="BL1217" i="1" s="1"/>
  <c r="BH1521" i="1"/>
  <c r="BK1120" i="1"/>
  <c r="BL1120" i="1" s="1"/>
  <c r="BH822" i="1"/>
  <c r="BF1070" i="1"/>
  <c r="BG1070" i="1" s="1"/>
  <c r="BH1485" i="1"/>
  <c r="BH353" i="1"/>
  <c r="BK1327" i="1"/>
  <c r="BL1327" i="1" s="1"/>
  <c r="BH908" i="1"/>
  <c r="BH415" i="1"/>
  <c r="BF1619" i="1"/>
  <c r="BG1619" i="1" s="1"/>
  <c r="BF1416" i="1"/>
  <c r="BG1416" i="1" s="1"/>
  <c r="BH1347" i="1"/>
  <c r="BK83" i="1"/>
  <c r="BL83" i="1" s="1"/>
  <c r="BH198" i="1"/>
  <c r="BK514" i="1"/>
  <c r="BL514" i="1" s="1"/>
  <c r="BH1226" i="1"/>
  <c r="BH986" i="1"/>
  <c r="BK1240" i="1"/>
  <c r="BL1240" i="1" s="1"/>
  <c r="BH1519" i="1"/>
  <c r="BF870" i="1"/>
  <c r="BG870" i="1" s="1"/>
  <c r="BH535" i="1"/>
  <c r="BH721" i="1"/>
  <c r="BF477" i="1"/>
  <c r="BG477" i="1" s="1"/>
  <c r="BF1245" i="1"/>
  <c r="BG1245" i="1" s="1"/>
  <c r="BH1319" i="1"/>
  <c r="BK890" i="1"/>
  <c r="BL890" i="1" s="1"/>
  <c r="BH618" i="1"/>
  <c r="BK1304" i="1"/>
  <c r="BL1304" i="1" s="1"/>
  <c r="BH1503" i="1"/>
  <c r="BK1426" i="1"/>
  <c r="BL1426" i="1" s="1"/>
  <c r="BH649" i="1"/>
  <c r="BK324" i="1"/>
  <c r="BL324" i="1" s="1"/>
  <c r="BH1482" i="1"/>
  <c r="BH728" i="1"/>
  <c r="BK471" i="1"/>
  <c r="BL471" i="1" s="1"/>
  <c r="BF1394" i="1"/>
  <c r="BG1394" i="1" s="1"/>
  <c r="BF448" i="1"/>
  <c r="BG448" i="1" s="1"/>
  <c r="BF1626" i="1"/>
  <c r="BG1626" i="1" s="1"/>
  <c r="BF1071" i="1"/>
  <c r="BG1071" i="1" s="1"/>
  <c r="BK1622" i="1"/>
  <c r="BL1622" i="1" s="1"/>
  <c r="BF959" i="1"/>
  <c r="BG959" i="1" s="1"/>
  <c r="BH25" i="1"/>
  <c r="BH724" i="1"/>
  <c r="BH419" i="1"/>
  <c r="BK1663" i="1"/>
  <c r="BL1663" i="1" s="1"/>
  <c r="BK313" i="1"/>
  <c r="BL313" i="1" s="1"/>
  <c r="BF1685" i="1"/>
  <c r="BG1685" i="1" s="1"/>
  <c r="BK574" i="1"/>
  <c r="BL574" i="1" s="1"/>
  <c r="BK781" i="1"/>
  <c r="BL781" i="1" s="1"/>
  <c r="BK530" i="1"/>
  <c r="BL530" i="1" s="1"/>
  <c r="BK586" i="1"/>
  <c r="BL586" i="1" s="1"/>
  <c r="BK690" i="1"/>
  <c r="BL690" i="1" s="1"/>
  <c r="BF770" i="1"/>
  <c r="BG770" i="1" s="1"/>
  <c r="BF719" i="1"/>
  <c r="BG719" i="1" s="1"/>
  <c r="BK528" i="1"/>
  <c r="BL528" i="1" s="1"/>
  <c r="BF480" i="1"/>
  <c r="BG480" i="1" s="1"/>
  <c r="BK587" i="1"/>
  <c r="BL587" i="1" s="1"/>
  <c r="BF556" i="1"/>
  <c r="BG556" i="1" s="1"/>
  <c r="BH1604" i="1"/>
  <c r="BF1476" i="1"/>
  <c r="BG1476" i="1" s="1"/>
  <c r="BK301" i="1"/>
  <c r="BL301" i="1" s="1"/>
  <c r="BF899" i="1"/>
  <c r="BG899" i="1" s="1"/>
  <c r="BH982" i="1"/>
  <c r="BF733" i="1"/>
  <c r="BG733" i="1" s="1"/>
  <c r="BF1573" i="1"/>
  <c r="BG1573" i="1" s="1"/>
  <c r="BF63" i="1"/>
  <c r="BG63" i="1" s="1"/>
  <c r="BK1409" i="1"/>
  <c r="BL1409" i="1" s="1"/>
  <c r="BF741" i="1"/>
  <c r="BG741" i="1" s="1"/>
  <c r="BH1069" i="1"/>
  <c r="BH755" i="1"/>
  <c r="BF689" i="1"/>
  <c r="BG689" i="1" s="1"/>
  <c r="BK1172" i="1"/>
  <c r="BL1172" i="1" s="1"/>
  <c r="BK1242" i="1"/>
  <c r="BL1242" i="1" s="1"/>
  <c r="BF1503" i="1"/>
  <c r="BG1503" i="1" s="1"/>
  <c r="BF640" i="1"/>
  <c r="BG640" i="1" s="1"/>
  <c r="BF1101" i="1"/>
  <c r="BG1101" i="1" s="1"/>
  <c r="BH1446" i="1"/>
  <c r="BK959" i="1"/>
  <c r="BL959" i="1" s="1"/>
  <c r="BH117" i="1"/>
  <c r="BK724" i="1"/>
  <c r="BL724" i="1" s="1"/>
  <c r="BK440" i="1"/>
  <c r="BL440" i="1" s="1"/>
  <c r="BF528" i="1"/>
  <c r="BG528" i="1" s="1"/>
  <c r="BF587" i="1"/>
  <c r="BG587" i="1" s="1"/>
  <c r="BH556" i="1"/>
  <c r="BK1476" i="1"/>
  <c r="BL1476" i="1" s="1"/>
  <c r="BH1665" i="1"/>
  <c r="BH796" i="1"/>
  <c r="BH733" i="1"/>
  <c r="BK1573" i="1"/>
  <c r="BL1573" i="1" s="1"/>
  <c r="BF1274" i="1"/>
  <c r="BG1274" i="1" s="1"/>
  <c r="BF75" i="1"/>
  <c r="BG75" i="1" s="1"/>
  <c r="BF832" i="1"/>
  <c r="BG832" i="1" s="1"/>
  <c r="BF617" i="1"/>
  <c r="BG617" i="1" s="1"/>
  <c r="BF1345" i="1"/>
  <c r="BG1345" i="1" s="1"/>
  <c r="BH1079" i="1"/>
  <c r="BF24" i="1"/>
  <c r="BG24" i="1" s="1"/>
  <c r="BK418" i="1"/>
  <c r="BL418" i="1" s="1"/>
  <c r="BF1608" i="1"/>
  <c r="BG1608" i="1" s="1"/>
  <c r="BH786" i="1"/>
  <c r="BK975" i="1"/>
  <c r="BL975" i="1" s="1"/>
  <c r="BH30" i="1"/>
  <c r="BK1133" i="1"/>
  <c r="BL1133" i="1" s="1"/>
  <c r="BF592" i="1"/>
  <c r="BG592" i="1" s="1"/>
  <c r="BK898" i="1"/>
  <c r="BL898" i="1" s="1"/>
  <c r="BF786" i="1"/>
  <c r="BG786" i="1" s="1"/>
  <c r="BH581" i="1"/>
  <c r="BK1639" i="1"/>
  <c r="BL1639" i="1" s="1"/>
  <c r="BK171" i="1"/>
  <c r="BL171" i="1" s="1"/>
  <c r="BH502" i="1"/>
  <c r="BF553" i="1"/>
  <c r="BG553" i="1" s="1"/>
  <c r="BF1217" i="1"/>
  <c r="BG1217" i="1" s="1"/>
  <c r="BH1723" i="1"/>
  <c r="BK1617" i="1"/>
  <c r="BL1617" i="1" s="1"/>
  <c r="BH1619" i="1"/>
  <c r="BF1521" i="1"/>
  <c r="BG1521" i="1" s="1"/>
  <c r="BH1416" i="1"/>
  <c r="BH1120" i="1"/>
  <c r="BK1347" i="1"/>
  <c r="BL1347" i="1" s="1"/>
  <c r="BF319" i="1"/>
  <c r="BG319" i="1" s="1"/>
  <c r="BK466" i="1"/>
  <c r="BL466" i="1" s="1"/>
  <c r="BK1671" i="1"/>
  <c r="BL1671" i="1" s="1"/>
  <c r="BK1562" i="1"/>
  <c r="BL1562" i="1" s="1"/>
  <c r="BK1366" i="1"/>
  <c r="BL1366" i="1" s="1"/>
  <c r="BF268" i="1"/>
  <c r="BG268" i="1" s="1"/>
  <c r="BF462" i="1"/>
  <c r="BG462" i="1" s="1"/>
  <c r="BF822" i="1"/>
  <c r="BG822" i="1" s="1"/>
  <c r="BK748" i="1"/>
  <c r="BL748" i="1" s="1"/>
  <c r="BF1276" i="1"/>
  <c r="BG1276" i="1" s="1"/>
  <c r="BH935" i="1"/>
  <c r="BH229" i="1"/>
  <c r="BH870" i="1"/>
  <c r="BH83" i="1"/>
  <c r="BK1346" i="1"/>
  <c r="BL1346" i="1" s="1"/>
  <c r="BK198" i="1"/>
  <c r="BL198" i="1" s="1"/>
  <c r="BK145" i="1"/>
  <c r="BL145" i="1" s="1"/>
  <c r="BF1485" i="1"/>
  <c r="BG1485" i="1" s="1"/>
  <c r="BH1133" i="1"/>
  <c r="BK986" i="1"/>
  <c r="BL986" i="1" s="1"/>
  <c r="BF721" i="1"/>
  <c r="BG721" i="1" s="1"/>
  <c r="BH592" i="1"/>
  <c r="BF353" i="1"/>
  <c r="BG353" i="1" s="1"/>
  <c r="BK790" i="1"/>
  <c r="BL790" i="1" s="1"/>
  <c r="BK1408" i="1"/>
  <c r="BL1408" i="1" s="1"/>
  <c r="BH1240" i="1"/>
  <c r="BF1519" i="1"/>
  <c r="BG1519" i="1" s="1"/>
  <c r="BH1327" i="1"/>
  <c r="BH1367" i="1"/>
  <c r="BH1245" i="1"/>
  <c r="BF502" i="1"/>
  <c r="BG502" i="1" s="1"/>
  <c r="BK772" i="1"/>
  <c r="BL772" i="1" s="1"/>
  <c r="BF1079" i="1"/>
  <c r="BG1079" i="1" s="1"/>
  <c r="BK908" i="1"/>
  <c r="BL908" i="1" s="1"/>
  <c r="BF1319" i="1"/>
  <c r="BG1319" i="1" s="1"/>
  <c r="BF1126" i="1"/>
  <c r="BG1126" i="1" s="1"/>
  <c r="BH24" i="1"/>
  <c r="BF890" i="1"/>
  <c r="BG890" i="1" s="1"/>
  <c r="BF256" i="1"/>
  <c r="BG256" i="1" s="1"/>
  <c r="BH1304" i="1"/>
  <c r="BH1608" i="1"/>
  <c r="BH1129" i="1"/>
  <c r="BH975" i="1"/>
  <c r="BK581" i="1"/>
  <c r="BL581" i="1" s="1"/>
  <c r="BF595" i="1"/>
  <c r="BG595" i="1" s="1"/>
  <c r="BF30" i="1"/>
  <c r="BG30" i="1" s="1"/>
  <c r="BK1723" i="1"/>
  <c r="BL1723" i="1" s="1"/>
  <c r="BF415" i="1"/>
  <c r="BG415" i="1" s="1"/>
  <c r="BF1617" i="1"/>
  <c r="BG1617" i="1" s="1"/>
  <c r="BH319" i="1"/>
  <c r="BF466" i="1"/>
  <c r="BG466" i="1" s="1"/>
  <c r="BH1648" i="1"/>
  <c r="BH1671" i="1"/>
  <c r="BH672" i="1"/>
  <c r="BF1562" i="1"/>
  <c r="BG1562" i="1" s="1"/>
  <c r="BH816" i="1"/>
  <c r="BF1366" i="1"/>
  <c r="BG1366" i="1" s="1"/>
  <c r="BH704" i="1"/>
  <c r="BH268" i="1"/>
  <c r="BH804" i="1"/>
  <c r="BH462" i="1"/>
  <c r="BK935" i="1"/>
  <c r="BL935" i="1" s="1"/>
  <c r="BK1070" i="1"/>
  <c r="BL1070" i="1" s="1"/>
  <c r="BK229" i="1"/>
  <c r="BL229" i="1" s="1"/>
  <c r="BK183" i="1"/>
  <c r="BL183" i="1" s="1"/>
  <c r="BF1346" i="1"/>
  <c r="BG1346" i="1" s="1"/>
  <c r="BK535" i="1"/>
  <c r="BL535" i="1" s="1"/>
  <c r="BK75" i="1"/>
  <c r="BL75" i="1" s="1"/>
  <c r="BF514" i="1"/>
  <c r="BG514" i="1" s="1"/>
  <c r="BK1226" i="1"/>
  <c r="BL1226" i="1" s="1"/>
  <c r="BH832" i="1"/>
  <c r="BF790" i="1"/>
  <c r="BG790" i="1" s="1"/>
  <c r="BH1408" i="1"/>
  <c r="BK477" i="1"/>
  <c r="BL477" i="1" s="1"/>
  <c r="BK617" i="1"/>
  <c r="BL617" i="1" s="1"/>
  <c r="BH171" i="1"/>
  <c r="BH1345" i="1"/>
  <c r="BF772" i="1"/>
  <c r="BG772" i="1" s="1"/>
  <c r="BH1126" i="1"/>
  <c r="BH418" i="1"/>
  <c r="BK553" i="1"/>
  <c r="BL553" i="1" s="1"/>
  <c r="BK618" i="1"/>
  <c r="BL618" i="1" s="1"/>
  <c r="BK256" i="1"/>
  <c r="BL256" i="1" s="1"/>
  <c r="BK1129" i="1"/>
  <c r="BL1129" i="1" s="1"/>
  <c r="BK595" i="1"/>
  <c r="BL595" i="1" s="1"/>
  <c r="BH1639" i="1"/>
  <c r="BK343" i="1"/>
  <c r="BL343" i="1" s="1"/>
  <c r="BF877" i="1"/>
  <c r="BG877" i="1" s="1"/>
  <c r="BF99" i="1"/>
  <c r="BG99" i="1" s="1"/>
  <c r="BK1574" i="1"/>
  <c r="BL1574" i="1" s="1"/>
  <c r="BF585" i="1"/>
  <c r="BG585" i="1" s="1"/>
  <c r="BF362" i="1"/>
  <c r="BG362" i="1" s="1"/>
  <c r="BK182" i="1"/>
  <c r="BL182" i="1" s="1"/>
  <c r="BH86" i="1"/>
  <c r="BH190" i="1"/>
  <c r="BH213" i="1"/>
  <c r="BK39" i="1"/>
  <c r="BL39" i="1" s="1"/>
  <c r="BK70" i="1"/>
  <c r="BL70" i="1" s="1"/>
  <c r="BF1710" i="1"/>
  <c r="BG1710" i="1" s="1"/>
  <c r="BF358" i="1"/>
  <c r="BG358" i="1" s="1"/>
  <c r="BK205" i="1"/>
  <c r="BL205" i="1" s="1"/>
  <c r="BH205" i="1"/>
  <c r="BF205" i="1"/>
  <c r="BG205" i="1" s="1"/>
  <c r="BH258" i="1"/>
  <c r="BF258" i="1"/>
  <c r="BG258" i="1" s="1"/>
  <c r="BK258" i="1"/>
  <c r="BL258" i="1" s="1"/>
  <c r="BH278" i="1"/>
  <c r="BF278" i="1"/>
  <c r="BG278" i="1" s="1"/>
  <c r="BK278" i="1"/>
  <c r="BL278" i="1" s="1"/>
  <c r="BK302" i="1"/>
  <c r="BL302" i="1" s="1"/>
  <c r="BF302" i="1"/>
  <c r="BG302" i="1" s="1"/>
  <c r="BH302" i="1"/>
  <c r="BH846" i="1"/>
  <c r="BF846" i="1"/>
  <c r="BG846" i="1" s="1"/>
  <c r="BK846" i="1"/>
  <c r="BL846" i="1" s="1"/>
  <c r="BH1417" i="1"/>
  <c r="BF1417" i="1"/>
  <c r="BG1417" i="1" s="1"/>
  <c r="BK1417" i="1"/>
  <c r="BL1417" i="1" s="1"/>
  <c r="BH170" i="1"/>
  <c r="BF170" i="1"/>
  <c r="BG170" i="1" s="1"/>
  <c r="BK170" i="1"/>
  <c r="BL170" i="1" s="1"/>
  <c r="BF609" i="1"/>
  <c r="BG609" i="1" s="1"/>
  <c r="BH609" i="1"/>
  <c r="BK609" i="1"/>
  <c r="BL609" i="1" s="1"/>
  <c r="BF562" i="1"/>
  <c r="BG562" i="1" s="1"/>
  <c r="BH562" i="1"/>
  <c r="BK562" i="1"/>
  <c r="BL562" i="1" s="1"/>
  <c r="BF1023" i="1"/>
  <c r="BG1023" i="1" s="1"/>
  <c r="BH1023" i="1"/>
  <c r="BK1023" i="1"/>
  <c r="BL1023" i="1" s="1"/>
  <c r="BH707" i="1"/>
  <c r="BF707" i="1"/>
  <c r="BG707" i="1" s="1"/>
  <c r="BK707" i="1"/>
  <c r="BL707" i="1" s="1"/>
  <c r="BK408" i="1"/>
  <c r="BL408" i="1" s="1"/>
  <c r="BH408" i="1"/>
  <c r="BF408" i="1"/>
  <c r="BG408" i="1" s="1"/>
  <c r="BK830" i="1"/>
  <c r="BL830" i="1" s="1"/>
  <c r="BH830" i="1"/>
  <c r="BF830" i="1"/>
  <c r="BG830" i="1" s="1"/>
  <c r="BF833" i="1"/>
  <c r="BG833" i="1" s="1"/>
  <c r="BH833" i="1"/>
  <c r="BK833" i="1"/>
  <c r="BL833" i="1" s="1"/>
  <c r="BH406" i="1"/>
  <c r="BF406" i="1"/>
  <c r="BG406" i="1" s="1"/>
  <c r="BK406" i="1"/>
  <c r="BL406" i="1" s="1"/>
  <c r="BK776" i="1"/>
  <c r="BL776" i="1" s="1"/>
  <c r="BH776" i="1"/>
  <c r="BF776" i="1"/>
  <c r="BG776" i="1" s="1"/>
  <c r="BH615" i="1"/>
  <c r="BF615" i="1"/>
  <c r="BG615" i="1" s="1"/>
  <c r="BK615" i="1"/>
  <c r="BL615" i="1" s="1"/>
  <c r="BF1499" i="1"/>
  <c r="BG1499" i="1" s="1"/>
  <c r="BK1499" i="1"/>
  <c r="BL1499" i="1" s="1"/>
  <c r="BH1499" i="1"/>
  <c r="BK947" i="1"/>
  <c r="BL947" i="1" s="1"/>
  <c r="BF947" i="1"/>
  <c r="BG947" i="1" s="1"/>
  <c r="BH947" i="1"/>
  <c r="BH875" i="1"/>
  <c r="BK875" i="1"/>
  <c r="BL875" i="1" s="1"/>
  <c r="BF875" i="1"/>
  <c r="BG875" i="1" s="1"/>
  <c r="BF1397" i="1"/>
  <c r="BG1397" i="1" s="1"/>
  <c r="BH1397" i="1"/>
  <c r="BK1397" i="1"/>
  <c r="BL1397" i="1" s="1"/>
  <c r="BH1067" i="1"/>
  <c r="BF1067" i="1"/>
  <c r="BG1067" i="1" s="1"/>
  <c r="BK1067" i="1"/>
  <c r="BL1067" i="1" s="1"/>
  <c r="BH1165" i="1"/>
  <c r="BF1165" i="1"/>
  <c r="BG1165" i="1" s="1"/>
  <c r="BK1165" i="1"/>
  <c r="BL1165" i="1" s="1"/>
  <c r="BF1623" i="1"/>
  <c r="BG1623" i="1" s="1"/>
  <c r="BH1623" i="1"/>
  <c r="BK1623" i="1"/>
  <c r="BL1623" i="1" s="1"/>
  <c r="BF452" i="1"/>
  <c r="BG452" i="1" s="1"/>
  <c r="BK452" i="1"/>
  <c r="BL452" i="1" s="1"/>
  <c r="BH452" i="1"/>
  <c r="BK102" i="1"/>
  <c r="BL102" i="1" s="1"/>
  <c r="BH102" i="1"/>
  <c r="BF102" i="1"/>
  <c r="BG102" i="1" s="1"/>
  <c r="BH1709" i="1"/>
  <c r="BK1709" i="1"/>
  <c r="BL1709" i="1" s="1"/>
  <c r="BF1709" i="1"/>
  <c r="BG1709" i="1" s="1"/>
  <c r="BK105" i="1"/>
  <c r="BL105" i="1" s="1"/>
  <c r="BF105" i="1"/>
  <c r="BG105" i="1" s="1"/>
  <c r="BH105" i="1"/>
  <c r="BH403" i="1"/>
  <c r="BK403" i="1"/>
  <c r="BL403" i="1" s="1"/>
  <c r="BF403" i="1"/>
  <c r="BG403" i="1" s="1"/>
  <c r="BH50" i="1"/>
  <c r="BF50" i="1"/>
  <c r="BG50" i="1" s="1"/>
  <c r="BK50" i="1"/>
  <c r="BL50" i="1" s="1"/>
  <c r="BK361" i="1"/>
  <c r="BL361" i="1" s="1"/>
  <c r="BF361" i="1"/>
  <c r="BG361" i="1" s="1"/>
  <c r="BH361" i="1"/>
  <c r="BF347" i="1"/>
  <c r="BG347" i="1" s="1"/>
  <c r="BH347" i="1"/>
  <c r="BK347" i="1"/>
  <c r="BL347" i="1" s="1"/>
  <c r="BF490" i="1"/>
  <c r="BG490" i="1" s="1"/>
  <c r="BK490" i="1"/>
  <c r="BL490" i="1" s="1"/>
  <c r="BH490" i="1"/>
  <c r="BH88" i="1"/>
  <c r="BF88" i="1"/>
  <c r="BG88" i="1" s="1"/>
  <c r="BK88" i="1"/>
  <c r="BL88" i="1" s="1"/>
  <c r="BK818" i="1"/>
  <c r="BL818" i="1" s="1"/>
  <c r="BF818" i="1"/>
  <c r="BG818" i="1" s="1"/>
  <c r="BH818" i="1"/>
  <c r="BK1640" i="1"/>
  <c r="BL1640" i="1" s="1"/>
  <c r="BF1640" i="1"/>
  <c r="BG1640" i="1" s="1"/>
  <c r="BH1640" i="1"/>
  <c r="BF1167" i="1"/>
  <c r="BG1167" i="1" s="1"/>
  <c r="BH1167" i="1"/>
  <c r="BK1167" i="1"/>
  <c r="BL1167" i="1" s="1"/>
  <c r="BF46" i="1"/>
  <c r="BG46" i="1" s="1"/>
  <c r="BH46" i="1"/>
  <c r="BK46" i="1"/>
  <c r="BL46" i="1" s="1"/>
  <c r="BF1439" i="1"/>
  <c r="BG1439" i="1" s="1"/>
  <c r="BH1439" i="1"/>
  <c r="BK1439" i="1"/>
  <c r="BL1439" i="1" s="1"/>
  <c r="BH1579" i="1"/>
  <c r="BF1579" i="1"/>
  <c r="BG1579" i="1" s="1"/>
  <c r="BK1579" i="1"/>
  <c r="BL1579" i="1" s="1"/>
  <c r="BH1063" i="1"/>
  <c r="BF1063" i="1"/>
  <c r="BG1063" i="1" s="1"/>
  <c r="BK1063" i="1"/>
  <c r="BL1063" i="1" s="1"/>
  <c r="BH1724" i="1"/>
  <c r="BF1724" i="1"/>
  <c r="BG1724" i="1" s="1"/>
  <c r="BK1724" i="1"/>
  <c r="BL1724" i="1" s="1"/>
  <c r="BH1459" i="1"/>
  <c r="BK1459" i="1"/>
  <c r="BL1459" i="1" s="1"/>
  <c r="BF1459" i="1"/>
  <c r="BG1459" i="1" s="1"/>
  <c r="BF1429" i="1"/>
  <c r="BG1429" i="1" s="1"/>
  <c r="BH1429" i="1"/>
  <c r="BK1429" i="1"/>
  <c r="BL1429" i="1" s="1"/>
  <c r="BK894" i="1"/>
  <c r="BL894" i="1" s="1"/>
  <c r="BF894" i="1"/>
  <c r="BG894" i="1" s="1"/>
  <c r="BH894" i="1"/>
  <c r="BF680" i="1"/>
  <c r="BG680" i="1" s="1"/>
  <c r="BK680" i="1"/>
  <c r="BL680" i="1" s="1"/>
  <c r="BH680" i="1"/>
  <c r="BF1695" i="1"/>
  <c r="BG1695" i="1" s="1"/>
  <c r="BH1695" i="1"/>
  <c r="BK1695" i="1"/>
  <c r="BL1695" i="1" s="1"/>
  <c r="BH1553" i="1"/>
  <c r="BF1553" i="1"/>
  <c r="BG1553" i="1" s="1"/>
  <c r="BK1553" i="1"/>
  <c r="BL1553" i="1" s="1"/>
  <c r="BH342" i="1"/>
  <c r="BF342" i="1"/>
  <c r="BG342" i="1" s="1"/>
  <c r="BK342" i="1"/>
  <c r="BL342" i="1" s="1"/>
  <c r="BK1244" i="1"/>
  <c r="BL1244" i="1" s="1"/>
  <c r="BF1244" i="1"/>
  <c r="BG1244" i="1" s="1"/>
  <c r="BH1244" i="1"/>
  <c r="BF84" i="1"/>
  <c r="BG84" i="1" s="1"/>
  <c r="BK84" i="1"/>
  <c r="BL84" i="1" s="1"/>
  <c r="BH84" i="1"/>
  <c r="BH345" i="1"/>
  <c r="BF345" i="1"/>
  <c r="BG345" i="1" s="1"/>
  <c r="BK345" i="1"/>
  <c r="BL345" i="1" s="1"/>
  <c r="BH815" i="1"/>
  <c r="BF815" i="1"/>
  <c r="BG815" i="1" s="1"/>
  <c r="BK815" i="1"/>
  <c r="BL815" i="1" s="1"/>
  <c r="BF723" i="1"/>
  <c r="BG723" i="1" s="1"/>
  <c r="BH723" i="1"/>
  <c r="BK723" i="1"/>
  <c r="BL723" i="1" s="1"/>
  <c r="BH787" i="1"/>
  <c r="BK787" i="1"/>
  <c r="BL787" i="1" s="1"/>
  <c r="BF787" i="1"/>
  <c r="BG787" i="1" s="1"/>
  <c r="BH1722" i="1"/>
  <c r="BF1722" i="1"/>
  <c r="BG1722" i="1" s="1"/>
  <c r="BK1722" i="1"/>
  <c r="BL1722" i="1" s="1"/>
  <c r="BH588" i="1"/>
  <c r="BF588" i="1"/>
  <c r="BG588" i="1" s="1"/>
  <c r="BK588" i="1"/>
  <c r="BL588" i="1" s="1"/>
  <c r="BF101" i="1"/>
  <c r="BG101" i="1" s="1"/>
  <c r="BK101" i="1"/>
  <c r="BL101" i="1" s="1"/>
  <c r="BH101" i="1"/>
  <c r="BH1197" i="1"/>
  <c r="BK1197" i="1"/>
  <c r="BL1197" i="1" s="1"/>
  <c r="BF1197" i="1"/>
  <c r="BG1197" i="1" s="1"/>
  <c r="BK236" i="1"/>
  <c r="BL236" i="1" s="1"/>
  <c r="BH236" i="1"/>
  <c r="BF236" i="1"/>
  <c r="BG236" i="1" s="1"/>
  <c r="BK1638" i="1"/>
  <c r="BL1638" i="1" s="1"/>
  <c r="BF1638" i="1"/>
  <c r="BG1638" i="1" s="1"/>
  <c r="BH1638" i="1"/>
  <c r="BK1711" i="1"/>
  <c r="BL1711" i="1" s="1"/>
  <c r="BH1711" i="1"/>
  <c r="BF1711" i="1"/>
  <c r="BG1711" i="1" s="1"/>
  <c r="BF1261" i="1"/>
  <c r="BG1261" i="1" s="1"/>
  <c r="BH1261" i="1"/>
  <c r="BK1261" i="1"/>
  <c r="BL1261" i="1" s="1"/>
  <c r="BF1544" i="1"/>
  <c r="BG1544" i="1" s="1"/>
  <c r="BK1544" i="1"/>
  <c r="BL1544" i="1" s="1"/>
  <c r="BH1544" i="1"/>
  <c r="BF1104" i="1"/>
  <c r="BG1104" i="1" s="1"/>
  <c r="BK1104" i="1"/>
  <c r="BL1104" i="1" s="1"/>
  <c r="BH1104" i="1"/>
  <c r="BK1332" i="1"/>
  <c r="BL1332" i="1" s="1"/>
  <c r="BH1332" i="1"/>
  <c r="BF1332" i="1"/>
  <c r="BG1332" i="1" s="1"/>
  <c r="BF613" i="1"/>
  <c r="BG613" i="1" s="1"/>
  <c r="BK613" i="1"/>
  <c r="BL613" i="1" s="1"/>
  <c r="BH613" i="1"/>
  <c r="BF169" i="1"/>
  <c r="BG169" i="1" s="1"/>
  <c r="BH169" i="1"/>
  <c r="BK169" i="1"/>
  <c r="BL169" i="1" s="1"/>
  <c r="BF952" i="1"/>
  <c r="BG952" i="1" s="1"/>
  <c r="BK952" i="1"/>
  <c r="BL952" i="1" s="1"/>
  <c r="BH952" i="1"/>
  <c r="BK262" i="1"/>
  <c r="BL262" i="1" s="1"/>
  <c r="BH262" i="1"/>
  <c r="BF262" i="1"/>
  <c r="BG262" i="1" s="1"/>
  <c r="BF840" i="1"/>
  <c r="BG840" i="1" s="1"/>
  <c r="BK840" i="1"/>
  <c r="BL840" i="1" s="1"/>
  <c r="BH840" i="1"/>
  <c r="BF40" i="1"/>
  <c r="BG40" i="1" s="1"/>
  <c r="BK40" i="1"/>
  <c r="BL40" i="1" s="1"/>
  <c r="BH40" i="1"/>
  <c r="BH730" i="1"/>
  <c r="BF730" i="1"/>
  <c r="BG730" i="1" s="1"/>
  <c r="BK730" i="1"/>
  <c r="BL730" i="1" s="1"/>
  <c r="BF1185" i="1"/>
  <c r="BG1185" i="1" s="1"/>
  <c r="BH1185" i="1"/>
  <c r="BK1185" i="1"/>
  <c r="BL1185" i="1" s="1"/>
  <c r="BK526" i="1"/>
  <c r="BL526" i="1" s="1"/>
  <c r="BH526" i="1"/>
  <c r="BF526" i="1"/>
  <c r="BG526" i="1" s="1"/>
  <c r="BH820" i="1"/>
  <c r="BF820" i="1"/>
  <c r="BG820" i="1" s="1"/>
  <c r="BK820" i="1"/>
  <c r="BL820" i="1" s="1"/>
  <c r="BF289" i="1"/>
  <c r="BG289" i="1" s="1"/>
  <c r="BH289" i="1"/>
  <c r="BK289" i="1"/>
  <c r="BL289" i="1" s="1"/>
  <c r="BF744" i="1"/>
  <c r="BG744" i="1" s="1"/>
  <c r="BH744" i="1"/>
  <c r="BK744" i="1"/>
  <c r="BL744" i="1" s="1"/>
  <c r="BK129" i="1"/>
  <c r="BL129" i="1" s="1"/>
  <c r="BF129" i="1"/>
  <c r="BG129" i="1" s="1"/>
  <c r="BH129" i="1"/>
  <c r="BK1413" i="1"/>
  <c r="BL1413" i="1" s="1"/>
  <c r="BF1413" i="1"/>
  <c r="BG1413" i="1" s="1"/>
  <c r="BH1413" i="1"/>
  <c r="BH245" i="1"/>
  <c r="BF245" i="1"/>
  <c r="BG245" i="1" s="1"/>
  <c r="BK245" i="1"/>
  <c r="BL245" i="1" s="1"/>
  <c r="BH807" i="1"/>
  <c r="BF807" i="1"/>
  <c r="BG807" i="1" s="1"/>
  <c r="BK807" i="1"/>
  <c r="BL807" i="1" s="1"/>
  <c r="BK1477" i="1"/>
  <c r="BL1477" i="1" s="1"/>
  <c r="BF1477" i="1"/>
  <c r="BG1477" i="1" s="1"/>
  <c r="BH1477" i="1"/>
  <c r="BF1215" i="1"/>
  <c r="BG1215" i="1" s="1"/>
  <c r="BH1215" i="1"/>
  <c r="BK1215" i="1"/>
  <c r="BL1215" i="1" s="1"/>
  <c r="BH1341" i="1"/>
  <c r="BF1341" i="1"/>
  <c r="BG1341" i="1" s="1"/>
  <c r="BK1341" i="1"/>
  <c r="BL1341" i="1" s="1"/>
  <c r="BH240" i="1"/>
  <c r="BF240" i="1"/>
  <c r="BG240" i="1" s="1"/>
  <c r="BK240" i="1"/>
  <c r="BL240" i="1" s="1"/>
  <c r="BF1083" i="1"/>
  <c r="BG1083" i="1" s="1"/>
  <c r="BH1083" i="1"/>
  <c r="BK1083" i="1"/>
  <c r="BL1083" i="1" s="1"/>
  <c r="BH1444" i="1"/>
  <c r="BF1444" i="1"/>
  <c r="BG1444" i="1" s="1"/>
  <c r="BK1444" i="1"/>
  <c r="BL1444" i="1" s="1"/>
  <c r="BF1646" i="1"/>
  <c r="BG1646" i="1" s="1"/>
  <c r="BH1646" i="1"/>
  <c r="BK1646" i="1"/>
  <c r="BL1646" i="1" s="1"/>
  <c r="BF1715" i="1"/>
  <c r="BG1715" i="1" s="1"/>
  <c r="BK1715" i="1"/>
  <c r="BL1715" i="1" s="1"/>
  <c r="BH1715" i="1"/>
  <c r="BH547" i="1"/>
  <c r="BK547" i="1"/>
  <c r="BL547" i="1" s="1"/>
  <c r="BF547" i="1"/>
  <c r="BG547" i="1" s="1"/>
  <c r="BK1026" i="1"/>
  <c r="BL1026" i="1" s="1"/>
  <c r="BH1026" i="1"/>
  <c r="BF1026" i="1"/>
  <c r="BG1026" i="1" s="1"/>
  <c r="BF263" i="1"/>
  <c r="BG263" i="1" s="1"/>
  <c r="BK263" i="1"/>
  <c r="BL263" i="1" s="1"/>
  <c r="BH263" i="1"/>
  <c r="BF956" i="1"/>
  <c r="BG956" i="1" s="1"/>
  <c r="BK956" i="1"/>
  <c r="BL956" i="1" s="1"/>
  <c r="BH956" i="1"/>
  <c r="BH629" i="1"/>
  <c r="BF629" i="1"/>
  <c r="BG629" i="1" s="1"/>
  <c r="BK629" i="1"/>
  <c r="BL629" i="1" s="1"/>
  <c r="BF838" i="1"/>
  <c r="BG838" i="1" s="1"/>
  <c r="BK838" i="1"/>
  <c r="BL838" i="1" s="1"/>
  <c r="BH838" i="1"/>
  <c r="BH1627" i="1"/>
  <c r="BF1627" i="1"/>
  <c r="BG1627" i="1" s="1"/>
  <c r="BK1627" i="1"/>
  <c r="BL1627" i="1" s="1"/>
  <c r="BF1010" i="1"/>
  <c r="BG1010" i="1" s="1"/>
  <c r="BH1010" i="1"/>
  <c r="BK1010" i="1"/>
  <c r="BL1010" i="1" s="1"/>
  <c r="BF1415" i="1"/>
  <c r="BG1415" i="1" s="1"/>
  <c r="BH1415" i="1"/>
  <c r="BK1415" i="1"/>
  <c r="BL1415" i="1" s="1"/>
  <c r="BH1248" i="1"/>
  <c r="BK1248" i="1"/>
  <c r="BL1248" i="1" s="1"/>
  <c r="BF1248" i="1"/>
  <c r="BG1248" i="1" s="1"/>
  <c r="BK1589" i="1"/>
  <c r="BL1589" i="1" s="1"/>
  <c r="BH1589" i="1"/>
  <c r="BF1589" i="1"/>
  <c r="BG1589" i="1" s="1"/>
  <c r="BF1492" i="1"/>
  <c r="BG1492" i="1" s="1"/>
  <c r="BH1492" i="1"/>
  <c r="BK1492" i="1"/>
  <c r="BL1492" i="1" s="1"/>
  <c r="BK135" i="1"/>
  <c r="BL135" i="1" s="1"/>
  <c r="BH135" i="1"/>
  <c r="BF135" i="1"/>
  <c r="BG135" i="1" s="1"/>
  <c r="BH663" i="1"/>
  <c r="BF663" i="1"/>
  <c r="BG663" i="1" s="1"/>
  <c r="BK663" i="1"/>
  <c r="BL663" i="1" s="1"/>
  <c r="BK412" i="1"/>
  <c r="BL412" i="1" s="1"/>
  <c r="BH412" i="1"/>
  <c r="BF412" i="1"/>
  <c r="BG412" i="1" s="1"/>
  <c r="BF1507" i="1"/>
  <c r="BG1507" i="1" s="1"/>
  <c r="BK1507" i="1"/>
  <c r="BL1507" i="1" s="1"/>
  <c r="BH1507" i="1"/>
  <c r="BF1552" i="1"/>
  <c r="BG1552" i="1" s="1"/>
  <c r="BK1552" i="1"/>
  <c r="BL1552" i="1" s="1"/>
  <c r="BH1552" i="1"/>
  <c r="BK779" i="1"/>
  <c r="BL779" i="1" s="1"/>
  <c r="BF779" i="1"/>
  <c r="BG779" i="1" s="1"/>
  <c r="BH779" i="1"/>
  <c r="BH889" i="1"/>
  <c r="BK889" i="1"/>
  <c r="BL889" i="1" s="1"/>
  <c r="BF889" i="1"/>
  <c r="BG889" i="1" s="1"/>
  <c r="BH1068" i="1"/>
  <c r="BF1068" i="1"/>
  <c r="BG1068" i="1" s="1"/>
  <c r="BK1068" i="1"/>
  <c r="BL1068" i="1" s="1"/>
  <c r="BF1001" i="1"/>
  <c r="BG1001" i="1" s="1"/>
  <c r="BH1001" i="1"/>
  <c r="BK1001" i="1"/>
  <c r="BL1001" i="1" s="1"/>
  <c r="BH407" i="1"/>
  <c r="BF407" i="1"/>
  <c r="BG407" i="1" s="1"/>
  <c r="BK407" i="1"/>
  <c r="BL407" i="1" s="1"/>
  <c r="BH1500" i="1"/>
  <c r="BF1500" i="1"/>
  <c r="BG1500" i="1" s="1"/>
  <c r="BK1500" i="1"/>
  <c r="BL1500" i="1" s="1"/>
  <c r="BF589" i="1"/>
  <c r="BG589" i="1" s="1"/>
  <c r="BK589" i="1"/>
  <c r="BL589" i="1" s="1"/>
  <c r="BH589" i="1"/>
  <c r="BH1470" i="1"/>
  <c r="BK1470" i="1"/>
  <c r="BL1470" i="1" s="1"/>
  <c r="BF1470" i="1"/>
  <c r="BG1470" i="1" s="1"/>
  <c r="BH637" i="1"/>
  <c r="BF637" i="1"/>
  <c r="BG637" i="1" s="1"/>
  <c r="BK637" i="1"/>
  <c r="BL637" i="1" s="1"/>
  <c r="BF951" i="1"/>
  <c r="BG951" i="1" s="1"/>
  <c r="BH951" i="1"/>
  <c r="BK951" i="1"/>
  <c r="BL951" i="1" s="1"/>
  <c r="BF45" i="1"/>
  <c r="BG45" i="1" s="1"/>
  <c r="BH45" i="1"/>
  <c r="BK45" i="1"/>
  <c r="BL45" i="1" s="1"/>
  <c r="BF159" i="1"/>
  <c r="BG159" i="1" s="1"/>
  <c r="BH159" i="1"/>
  <c r="BK159" i="1"/>
  <c r="BL159" i="1" s="1"/>
  <c r="BH872" i="1"/>
  <c r="BF872" i="1"/>
  <c r="BG872" i="1" s="1"/>
  <c r="BK872" i="1"/>
  <c r="BL872" i="1" s="1"/>
  <c r="BH619" i="1"/>
  <c r="BK619" i="1"/>
  <c r="BL619" i="1" s="1"/>
  <c r="BF619" i="1"/>
  <c r="BG619" i="1" s="1"/>
  <c r="BF1467" i="1"/>
  <c r="BG1467" i="1" s="1"/>
  <c r="BK1467" i="1"/>
  <c r="BL1467" i="1" s="1"/>
  <c r="BH1467" i="1"/>
  <c r="BF1180" i="1"/>
  <c r="BG1180" i="1" s="1"/>
  <c r="BK1180" i="1"/>
  <c r="BL1180" i="1" s="1"/>
  <c r="BH1180" i="1"/>
  <c r="BH371" i="1"/>
  <c r="BK371" i="1"/>
  <c r="BL371" i="1" s="1"/>
  <c r="BF371" i="1"/>
  <c r="BG371" i="1" s="1"/>
  <c r="BF1546" i="1"/>
  <c r="BG1546" i="1" s="1"/>
  <c r="BK1546" i="1"/>
  <c r="BL1546" i="1" s="1"/>
  <c r="BH1546" i="1"/>
  <c r="BH49" i="1"/>
  <c r="BF49" i="1"/>
  <c r="BG49" i="1" s="1"/>
  <c r="BK49" i="1"/>
  <c r="BL49" i="1" s="1"/>
  <c r="BH995" i="1"/>
  <c r="BF995" i="1"/>
  <c r="BG995" i="1" s="1"/>
  <c r="BK995" i="1"/>
  <c r="BL995" i="1" s="1"/>
  <c r="BF809" i="1"/>
  <c r="BG809" i="1" s="1"/>
  <c r="BK809" i="1"/>
  <c r="BL809" i="1" s="1"/>
  <c r="BH809" i="1"/>
  <c r="BF510" i="1"/>
  <c r="BG510" i="1" s="1"/>
  <c r="BH510" i="1"/>
  <c r="BK510" i="1"/>
  <c r="BL510" i="1" s="1"/>
  <c r="BH1212" i="1"/>
  <c r="BF1212" i="1"/>
  <c r="BG1212" i="1" s="1"/>
  <c r="BK1212" i="1"/>
  <c r="BL1212" i="1" s="1"/>
  <c r="BK1087" i="1"/>
  <c r="BL1087" i="1" s="1"/>
  <c r="BF1087" i="1"/>
  <c r="BG1087" i="1" s="1"/>
  <c r="BH1087" i="1"/>
  <c r="BH665" i="1"/>
  <c r="BF665" i="1"/>
  <c r="BG665" i="1" s="1"/>
  <c r="BK665" i="1"/>
  <c r="BL665" i="1" s="1"/>
  <c r="BH679" i="1"/>
  <c r="BF679" i="1"/>
  <c r="BG679" i="1" s="1"/>
  <c r="BK679" i="1"/>
  <c r="BL679" i="1" s="1"/>
  <c r="BF652" i="1"/>
  <c r="BG652" i="1" s="1"/>
  <c r="BK652" i="1"/>
  <c r="BL652" i="1" s="1"/>
  <c r="BH652" i="1"/>
  <c r="BK111" i="1"/>
  <c r="BL111" i="1" s="1"/>
  <c r="BF111" i="1"/>
  <c r="BG111" i="1" s="1"/>
  <c r="BH111" i="1"/>
  <c r="BH195" i="1"/>
  <c r="BK195" i="1"/>
  <c r="BL195" i="1" s="1"/>
  <c r="BF195" i="1"/>
  <c r="BG195" i="1" s="1"/>
  <c r="BK1660" i="1"/>
  <c r="BL1660" i="1" s="1"/>
  <c r="BH1660" i="1"/>
  <c r="BF1660" i="1"/>
  <c r="BG1660" i="1" s="1"/>
  <c r="BH605" i="1"/>
  <c r="BK605" i="1"/>
  <c r="BL605" i="1" s="1"/>
  <c r="BF605" i="1"/>
  <c r="BG605" i="1" s="1"/>
  <c r="BF683" i="1"/>
  <c r="BG683" i="1" s="1"/>
  <c r="BH683" i="1"/>
  <c r="BK683" i="1"/>
  <c r="BL683" i="1" s="1"/>
  <c r="BF17" i="1"/>
  <c r="BG17" i="1" s="1"/>
  <c r="BH17" i="1"/>
  <c r="BK17" i="1"/>
  <c r="BL17" i="1" s="1"/>
  <c r="BK287" i="1"/>
  <c r="BL287" i="1" s="1"/>
  <c r="BF287" i="1"/>
  <c r="BG287" i="1" s="1"/>
  <c r="BH287" i="1"/>
  <c r="BF922" i="1"/>
  <c r="BG922" i="1" s="1"/>
  <c r="BK922" i="1"/>
  <c r="BL922" i="1" s="1"/>
  <c r="BH922" i="1"/>
  <c r="BH987" i="1"/>
  <c r="BF987" i="1"/>
  <c r="BG987" i="1" s="1"/>
  <c r="BK987" i="1"/>
  <c r="BL987" i="1" s="1"/>
  <c r="BF578" i="1"/>
  <c r="BG578" i="1" s="1"/>
  <c r="BK578" i="1"/>
  <c r="BL578" i="1" s="1"/>
  <c r="BH578" i="1"/>
  <c r="BF603" i="1"/>
  <c r="BG603" i="1" s="1"/>
  <c r="BK603" i="1"/>
  <c r="BL603" i="1" s="1"/>
  <c r="BH603" i="1"/>
  <c r="BH356" i="1"/>
  <c r="BF356" i="1"/>
  <c r="BG356" i="1" s="1"/>
  <c r="BK356" i="1"/>
  <c r="BL356" i="1" s="1"/>
  <c r="BF641" i="1"/>
  <c r="BG641" i="1" s="1"/>
  <c r="BH641" i="1"/>
  <c r="BK641" i="1"/>
  <c r="BL641" i="1" s="1"/>
  <c r="BH126" i="1"/>
  <c r="BF126" i="1"/>
  <c r="BG126" i="1" s="1"/>
  <c r="BK126" i="1"/>
  <c r="BL126" i="1" s="1"/>
  <c r="BK116" i="1"/>
  <c r="BL116" i="1" s="1"/>
  <c r="BH116" i="1"/>
  <c r="BF116" i="1"/>
  <c r="BG116" i="1" s="1"/>
  <c r="BK121" i="1"/>
  <c r="BL121" i="1" s="1"/>
  <c r="BF121" i="1"/>
  <c r="BG121" i="1" s="1"/>
  <c r="BH121" i="1"/>
  <c r="BH1118" i="1"/>
  <c r="BF1118" i="1"/>
  <c r="BG1118" i="1" s="1"/>
  <c r="BK1118" i="1"/>
  <c r="BL1118" i="1" s="1"/>
  <c r="BK204" i="1"/>
  <c r="BL204" i="1" s="1"/>
  <c r="BH204" i="1"/>
  <c r="BF204" i="1"/>
  <c r="BG204" i="1" s="1"/>
  <c r="BH819" i="1"/>
  <c r="BF819" i="1"/>
  <c r="BG819" i="1" s="1"/>
  <c r="BK819" i="1"/>
  <c r="BL819" i="1" s="1"/>
  <c r="BK380" i="1"/>
  <c r="BL380" i="1" s="1"/>
  <c r="BH380" i="1"/>
  <c r="BF380" i="1"/>
  <c r="BG380" i="1" s="1"/>
  <c r="BF1146" i="1"/>
  <c r="BG1146" i="1" s="1"/>
  <c r="BK1146" i="1"/>
  <c r="BL1146" i="1" s="1"/>
  <c r="BH1146" i="1"/>
  <c r="BH424" i="1"/>
  <c r="BK424" i="1"/>
  <c r="BL424" i="1" s="1"/>
  <c r="BF424" i="1"/>
  <c r="BG424" i="1" s="1"/>
  <c r="BF803" i="1"/>
  <c r="BG803" i="1" s="1"/>
  <c r="BH803" i="1"/>
  <c r="BK803" i="1"/>
  <c r="BL803" i="1" s="1"/>
  <c r="BH682" i="1"/>
  <c r="BF682" i="1"/>
  <c r="BG682" i="1" s="1"/>
  <c r="BK682" i="1"/>
  <c r="BL682" i="1" s="1"/>
  <c r="BH1058" i="1"/>
  <c r="BK1058" i="1"/>
  <c r="BL1058" i="1" s="1"/>
  <c r="BF1058" i="1"/>
  <c r="BG1058" i="1" s="1"/>
  <c r="BF771" i="1"/>
  <c r="BG771" i="1" s="1"/>
  <c r="BK771" i="1"/>
  <c r="BL771" i="1" s="1"/>
  <c r="BH771" i="1"/>
  <c r="BK1031" i="1"/>
  <c r="BL1031" i="1" s="1"/>
  <c r="BF1031" i="1"/>
  <c r="BG1031" i="1" s="1"/>
  <c r="BH1031" i="1"/>
  <c r="BF274" i="1"/>
  <c r="BG274" i="1" s="1"/>
  <c r="BK274" i="1"/>
  <c r="BL274" i="1" s="1"/>
  <c r="BH274" i="1"/>
  <c r="BH1037" i="1"/>
  <c r="BF1037" i="1"/>
  <c r="BG1037" i="1" s="1"/>
  <c r="BK1037" i="1"/>
  <c r="BL1037" i="1" s="1"/>
  <c r="BF785" i="1"/>
  <c r="BG785" i="1" s="1"/>
  <c r="BH785" i="1"/>
  <c r="BK785" i="1"/>
  <c r="BL785" i="1" s="1"/>
  <c r="BK1501" i="1"/>
  <c r="BL1501" i="1" s="1"/>
  <c r="BF1501" i="1"/>
  <c r="BG1501" i="1" s="1"/>
  <c r="BH1501" i="1"/>
  <c r="BK91" i="1"/>
  <c r="BL91" i="1" s="1"/>
  <c r="BF91" i="1"/>
  <c r="BG91" i="1" s="1"/>
  <c r="BH91" i="1"/>
  <c r="BH897" i="1"/>
  <c r="BF897" i="1"/>
  <c r="BG897" i="1" s="1"/>
  <c r="BK897" i="1"/>
  <c r="BL897" i="1" s="1"/>
  <c r="BK349" i="1"/>
  <c r="BL349" i="1" s="1"/>
  <c r="BF349" i="1"/>
  <c r="BG349" i="1" s="1"/>
  <c r="BH349" i="1"/>
  <c r="BF1325" i="1"/>
  <c r="BG1325" i="1" s="1"/>
  <c r="BH1325" i="1"/>
  <c r="BK1325" i="1"/>
  <c r="BL1325" i="1" s="1"/>
  <c r="BK1491" i="1"/>
  <c r="BL1491" i="1" s="1"/>
  <c r="BH1491" i="1"/>
  <c r="BF1491" i="1"/>
  <c r="BG1491" i="1" s="1"/>
  <c r="BF1581" i="1"/>
  <c r="BG1581" i="1" s="1"/>
  <c r="BH1581" i="1"/>
  <c r="BK1581" i="1"/>
  <c r="BL1581" i="1" s="1"/>
  <c r="BH910" i="1"/>
  <c r="BF910" i="1"/>
  <c r="BG910" i="1" s="1"/>
  <c r="BK910" i="1"/>
  <c r="BL910" i="1" s="1"/>
  <c r="BH94" i="1"/>
  <c r="BF94" i="1"/>
  <c r="BG94" i="1" s="1"/>
  <c r="BK94" i="1"/>
  <c r="BL94" i="1" s="1"/>
  <c r="BH745" i="1"/>
  <c r="BF745" i="1"/>
  <c r="BG745" i="1" s="1"/>
  <c r="BK745" i="1"/>
  <c r="BL745" i="1" s="1"/>
  <c r="BH421" i="1"/>
  <c r="BF421" i="1"/>
  <c r="BG421" i="1" s="1"/>
  <c r="BK421" i="1"/>
  <c r="BL421" i="1" s="1"/>
  <c r="BF729" i="1"/>
  <c r="BG729" i="1" s="1"/>
  <c r="BH729" i="1"/>
  <c r="BK729" i="1"/>
  <c r="BL729" i="1" s="1"/>
  <c r="BH914" i="1"/>
  <c r="BF914" i="1"/>
  <c r="BG914" i="1" s="1"/>
  <c r="BK914" i="1"/>
  <c r="BL914" i="1" s="1"/>
  <c r="BH1359" i="1"/>
  <c r="BK1359" i="1"/>
  <c r="BL1359" i="1" s="1"/>
  <c r="BF1359" i="1"/>
  <c r="BG1359" i="1" s="1"/>
  <c r="BH1674" i="1"/>
  <c r="BF1674" i="1"/>
  <c r="BG1674" i="1" s="1"/>
  <c r="BK1674" i="1"/>
  <c r="BL1674" i="1" s="1"/>
  <c r="BH886" i="1"/>
  <c r="BK886" i="1"/>
  <c r="BL886" i="1" s="1"/>
  <c r="BF886" i="1"/>
  <c r="BG886" i="1" s="1"/>
  <c r="BK396" i="1"/>
  <c r="BL396" i="1" s="1"/>
  <c r="BH396" i="1"/>
  <c r="BF396" i="1"/>
  <c r="BG396" i="1" s="1"/>
  <c r="BF150" i="1"/>
  <c r="BG150" i="1" s="1"/>
  <c r="BK150" i="1"/>
  <c r="BL150" i="1" s="1"/>
  <c r="BH150" i="1"/>
  <c r="BH896" i="1"/>
  <c r="BF896" i="1"/>
  <c r="BG896" i="1" s="1"/>
  <c r="BK896" i="1"/>
  <c r="BL896" i="1" s="1"/>
  <c r="BF304" i="1"/>
  <c r="BG304" i="1" s="1"/>
  <c r="BK304" i="1"/>
  <c r="BL304" i="1" s="1"/>
  <c r="BH304" i="1"/>
  <c r="BH1132" i="1"/>
  <c r="BF1132" i="1"/>
  <c r="BG1132" i="1" s="1"/>
  <c r="BK1132" i="1"/>
  <c r="BL1132" i="1" s="1"/>
  <c r="BH69" i="1"/>
  <c r="BF69" i="1"/>
  <c r="BG69" i="1" s="1"/>
  <c r="BK69" i="1"/>
  <c r="BL69" i="1" s="1"/>
  <c r="BK1390" i="1"/>
  <c r="BL1390" i="1" s="1"/>
  <c r="BF1390" i="1"/>
  <c r="BG1390" i="1" s="1"/>
  <c r="BH1390" i="1"/>
  <c r="BK417" i="1"/>
  <c r="BL417" i="1" s="1"/>
  <c r="BF417" i="1"/>
  <c r="BG417" i="1" s="1"/>
  <c r="BH417" i="1"/>
  <c r="BK68" i="1"/>
  <c r="BL68" i="1" s="1"/>
  <c r="BH68" i="1"/>
  <c r="BF68" i="1"/>
  <c r="BG68" i="1" s="1"/>
  <c r="BH1391" i="1"/>
  <c r="BK1391" i="1"/>
  <c r="BL1391" i="1" s="1"/>
  <c r="BF1391" i="1"/>
  <c r="BG1391" i="1" s="1"/>
  <c r="BK1095" i="1"/>
  <c r="BL1095" i="1" s="1"/>
  <c r="BF1095" i="1"/>
  <c r="BG1095" i="1" s="1"/>
  <c r="BH1095" i="1"/>
  <c r="BH513" i="1"/>
  <c r="BK513" i="1"/>
  <c r="BL513" i="1" s="1"/>
  <c r="BF513" i="1"/>
  <c r="BG513" i="1" s="1"/>
  <c r="BF428" i="1"/>
  <c r="BG428" i="1" s="1"/>
  <c r="BK428" i="1"/>
  <c r="BL428" i="1" s="1"/>
  <c r="BH428" i="1"/>
  <c r="BF1670" i="1"/>
  <c r="BG1670" i="1" s="1"/>
  <c r="BH1670" i="1"/>
  <c r="BK1670" i="1"/>
  <c r="BL1670" i="1" s="1"/>
  <c r="BF911" i="1"/>
  <c r="BG911" i="1" s="1"/>
  <c r="BH911" i="1"/>
  <c r="BK911" i="1"/>
  <c r="BL911" i="1" s="1"/>
  <c r="BK1028" i="1"/>
  <c r="BL1028" i="1" s="1"/>
  <c r="BH1028" i="1"/>
  <c r="BF1028" i="1"/>
  <c r="BG1028" i="1" s="1"/>
  <c r="BK1259" i="1"/>
  <c r="BL1259" i="1" s="1"/>
  <c r="BF1259" i="1"/>
  <c r="BG1259" i="1" s="1"/>
  <c r="BH1259" i="1"/>
  <c r="BH643" i="1"/>
  <c r="BF643" i="1"/>
  <c r="BG643" i="1" s="1"/>
  <c r="BK643" i="1"/>
  <c r="BL643" i="1" s="1"/>
  <c r="BF447" i="1"/>
  <c r="BG447" i="1" s="1"/>
  <c r="BK447" i="1"/>
  <c r="BL447" i="1" s="1"/>
  <c r="BH447" i="1"/>
  <c r="BF1720" i="1"/>
  <c r="BG1720" i="1" s="1"/>
  <c r="BH1720" i="1"/>
  <c r="BK1720" i="1"/>
  <c r="BL1720" i="1" s="1"/>
  <c r="BK460" i="1"/>
  <c r="BL460" i="1" s="1"/>
  <c r="BH460" i="1"/>
  <c r="BF460" i="1"/>
  <c r="BG460" i="1" s="1"/>
  <c r="BH651" i="1"/>
  <c r="BF651" i="1"/>
  <c r="BG651" i="1" s="1"/>
  <c r="BK651" i="1"/>
  <c r="BL651" i="1" s="1"/>
  <c r="BK264" i="1"/>
  <c r="BL264" i="1" s="1"/>
  <c r="BH264" i="1"/>
  <c r="BF264" i="1"/>
  <c r="BG264" i="1" s="1"/>
  <c r="BH759" i="1"/>
  <c r="BF759" i="1"/>
  <c r="BG759" i="1" s="1"/>
  <c r="BK759" i="1"/>
  <c r="BL759" i="1" s="1"/>
  <c r="BF1701" i="1"/>
  <c r="BG1701" i="1" s="1"/>
  <c r="BH1701" i="1"/>
  <c r="BK1701" i="1"/>
  <c r="BL1701" i="1" s="1"/>
  <c r="BH26" i="1"/>
  <c r="BF26" i="1"/>
  <c r="BG26" i="1" s="1"/>
  <c r="BK26" i="1"/>
  <c r="BL26" i="1" s="1"/>
  <c r="BK1609" i="1"/>
  <c r="BL1609" i="1" s="1"/>
  <c r="BH1609" i="1"/>
  <c r="BF1609" i="1"/>
  <c r="BG1609" i="1" s="1"/>
  <c r="BF269" i="1"/>
  <c r="BG269" i="1" s="1"/>
  <c r="BK269" i="1"/>
  <c r="BL269" i="1" s="1"/>
  <c r="BH269" i="1"/>
  <c r="BF297" i="1"/>
  <c r="BG297" i="1" s="1"/>
  <c r="BH297" i="1"/>
  <c r="BK297" i="1"/>
  <c r="BL297" i="1" s="1"/>
  <c r="BK963" i="1"/>
  <c r="BL963" i="1" s="1"/>
  <c r="BF963" i="1"/>
  <c r="BG963" i="1" s="1"/>
  <c r="BH963" i="1"/>
  <c r="BF600" i="1"/>
  <c r="BG600" i="1" s="1"/>
  <c r="BH600" i="1"/>
  <c r="BK600" i="1"/>
  <c r="BL600" i="1" s="1"/>
  <c r="BF1151" i="1"/>
  <c r="BG1151" i="1" s="1"/>
  <c r="BH1151" i="1"/>
  <c r="BK1151" i="1"/>
  <c r="BL1151" i="1" s="1"/>
  <c r="BH746" i="1"/>
  <c r="BF746" i="1"/>
  <c r="BG746" i="1" s="1"/>
  <c r="BK746" i="1"/>
  <c r="BL746" i="1" s="1"/>
  <c r="BK318" i="1"/>
  <c r="BL318" i="1" s="1"/>
  <c r="BH318" i="1"/>
  <c r="BF318" i="1"/>
  <c r="BG318" i="1" s="1"/>
  <c r="BF775" i="1"/>
  <c r="BG775" i="1" s="1"/>
  <c r="BK775" i="1"/>
  <c r="BL775" i="1" s="1"/>
  <c r="BH775" i="1"/>
  <c r="BH239" i="1"/>
  <c r="BK239" i="1"/>
  <c r="BL239" i="1" s="1"/>
  <c r="BF239" i="1"/>
  <c r="BG239" i="1" s="1"/>
  <c r="BK307" i="1"/>
  <c r="BL307" i="1" s="1"/>
  <c r="BF307" i="1"/>
  <c r="BG307" i="1" s="1"/>
  <c r="BH307" i="1"/>
  <c r="BF688" i="1"/>
  <c r="BG688" i="1" s="1"/>
  <c r="BK688" i="1"/>
  <c r="BL688" i="1" s="1"/>
  <c r="BH688" i="1"/>
  <c r="BH271" i="1"/>
  <c r="BF271" i="1"/>
  <c r="BG271" i="1" s="1"/>
  <c r="BK271" i="1"/>
  <c r="BL271" i="1" s="1"/>
  <c r="BH1142" i="1"/>
  <c r="BF1142" i="1"/>
  <c r="BG1142" i="1" s="1"/>
  <c r="BK1142" i="1"/>
  <c r="BL1142" i="1" s="1"/>
  <c r="BF505" i="1"/>
  <c r="BG505" i="1" s="1"/>
  <c r="BK505" i="1"/>
  <c r="BL505" i="1" s="1"/>
  <c r="BH505" i="1"/>
  <c r="BK614" i="1"/>
  <c r="BL614" i="1" s="1"/>
  <c r="BH614" i="1"/>
  <c r="BF614" i="1"/>
  <c r="BG614" i="1" s="1"/>
  <c r="BF1337" i="1"/>
  <c r="BG1337" i="1" s="1"/>
  <c r="BK1337" i="1"/>
  <c r="BL1337" i="1" s="1"/>
  <c r="BH1337" i="1"/>
  <c r="BK1474" i="1"/>
  <c r="BL1474" i="1" s="1"/>
  <c r="BH1474" i="1"/>
  <c r="BF1474" i="1"/>
  <c r="BG1474" i="1" s="1"/>
  <c r="BK1721" i="1"/>
  <c r="BL1721" i="1" s="1"/>
  <c r="BH1721" i="1"/>
  <c r="BF1721" i="1"/>
  <c r="BG1721" i="1" s="1"/>
  <c r="BF1421" i="1"/>
  <c r="BG1421" i="1" s="1"/>
  <c r="BH1421" i="1"/>
  <c r="BK1421" i="1"/>
  <c r="BL1421" i="1" s="1"/>
  <c r="BF853" i="1"/>
  <c r="BG853" i="1" s="1"/>
  <c r="BK853" i="1"/>
  <c r="BL853" i="1" s="1"/>
  <c r="BH853" i="1"/>
  <c r="BF226" i="1"/>
  <c r="BG226" i="1" s="1"/>
  <c r="BH226" i="1"/>
  <c r="BK226" i="1"/>
  <c r="BL226" i="1" s="1"/>
  <c r="BH960" i="1"/>
  <c r="BK960" i="1"/>
  <c r="BL960" i="1" s="1"/>
  <c r="BF960" i="1"/>
  <c r="BG960" i="1" s="1"/>
  <c r="BK1187" i="1"/>
  <c r="BL1187" i="1" s="1"/>
  <c r="BH1187" i="1"/>
  <c r="BF1187" i="1"/>
  <c r="BG1187" i="1" s="1"/>
  <c r="BH23" i="1"/>
  <c r="BF23" i="1"/>
  <c r="BG23" i="1" s="1"/>
  <c r="BK23" i="1"/>
  <c r="BL23" i="1" s="1"/>
  <c r="BH486" i="1"/>
  <c r="BF486" i="1"/>
  <c r="BG486" i="1" s="1"/>
  <c r="BK486" i="1"/>
  <c r="BL486" i="1" s="1"/>
  <c r="BF880" i="1"/>
  <c r="BG880" i="1" s="1"/>
  <c r="BH880" i="1"/>
  <c r="BK880" i="1"/>
  <c r="BL880" i="1" s="1"/>
  <c r="BH1098" i="1"/>
  <c r="BF1098" i="1"/>
  <c r="BG1098" i="1" s="1"/>
  <c r="BK1098" i="1"/>
  <c r="BL1098" i="1" s="1"/>
  <c r="BH1700" i="1"/>
  <c r="BK1700" i="1"/>
  <c r="BL1700" i="1" s="1"/>
  <c r="BF1700" i="1"/>
  <c r="BG1700" i="1" s="1"/>
  <c r="BH1353" i="1"/>
  <c r="BF1353" i="1"/>
  <c r="BG1353" i="1" s="1"/>
  <c r="BK1353" i="1"/>
  <c r="BL1353" i="1" s="1"/>
  <c r="BF1393" i="1"/>
  <c r="BG1393" i="1" s="1"/>
  <c r="BH1393" i="1"/>
  <c r="BK1393" i="1"/>
  <c r="BL1393" i="1" s="1"/>
  <c r="BK1137" i="1"/>
  <c r="BL1137" i="1" s="1"/>
  <c r="BF1137" i="1"/>
  <c r="BG1137" i="1" s="1"/>
  <c r="BH1137" i="1"/>
  <c r="BH42" i="1"/>
  <c r="BF42" i="1"/>
  <c r="BG42" i="1" s="1"/>
  <c r="BK42" i="1"/>
  <c r="BL42" i="1" s="1"/>
  <c r="BK438" i="1"/>
  <c r="BL438" i="1" s="1"/>
  <c r="BF438" i="1"/>
  <c r="BG438" i="1" s="1"/>
  <c r="BH438" i="1"/>
  <c r="BH1036" i="1"/>
  <c r="BF1036" i="1"/>
  <c r="BG1036" i="1" s="1"/>
  <c r="BK1036" i="1"/>
  <c r="BL1036" i="1" s="1"/>
  <c r="BH1122" i="1"/>
  <c r="BK1122" i="1"/>
  <c r="BL1122" i="1" s="1"/>
  <c r="BF1122" i="1"/>
  <c r="BG1122" i="1" s="1"/>
  <c r="BK769" i="1"/>
  <c r="BL769" i="1" s="1"/>
  <c r="BF769" i="1"/>
  <c r="BG769" i="1" s="1"/>
  <c r="BH769" i="1"/>
  <c r="BF1202" i="1"/>
  <c r="BG1202" i="1" s="1"/>
  <c r="BH1202" i="1"/>
  <c r="BK1202" i="1"/>
  <c r="BL1202" i="1" s="1"/>
  <c r="BH270" i="1"/>
  <c r="BF270" i="1"/>
  <c r="BG270" i="1" s="1"/>
  <c r="BK270" i="1"/>
  <c r="BL270" i="1" s="1"/>
  <c r="BH1114" i="1"/>
  <c r="BF1114" i="1"/>
  <c r="BG1114" i="1" s="1"/>
  <c r="BK1114" i="1"/>
  <c r="BL1114" i="1" s="1"/>
  <c r="BH1564" i="1"/>
  <c r="BF1564" i="1"/>
  <c r="BG1564" i="1" s="1"/>
  <c r="BK1564" i="1"/>
  <c r="BL1564" i="1" s="1"/>
  <c r="BF130" i="1"/>
  <c r="BG130" i="1" s="1"/>
  <c r="BK130" i="1"/>
  <c r="BL130" i="1" s="1"/>
  <c r="BH130" i="1"/>
  <c r="BF919" i="1"/>
  <c r="BG919" i="1" s="1"/>
  <c r="BK919" i="1"/>
  <c r="BL919" i="1" s="1"/>
  <c r="BH919" i="1"/>
  <c r="BH828" i="1"/>
  <c r="BF828" i="1"/>
  <c r="BG828" i="1" s="1"/>
  <c r="BK828" i="1"/>
  <c r="BL828" i="1" s="1"/>
  <c r="BF1061" i="1"/>
  <c r="BG1061" i="1" s="1"/>
  <c r="BH1061" i="1"/>
  <c r="BK1061" i="1"/>
  <c r="BL1061" i="1" s="1"/>
  <c r="BH1472" i="1"/>
  <c r="BF1472" i="1"/>
  <c r="BG1472" i="1" s="1"/>
  <c r="BK1472" i="1"/>
  <c r="BL1472" i="1" s="1"/>
  <c r="BK449" i="1"/>
  <c r="BL449" i="1" s="1"/>
  <c r="BF449" i="1"/>
  <c r="BG449" i="1" s="1"/>
  <c r="BH449" i="1"/>
  <c r="BF849" i="1"/>
  <c r="BG849" i="1" s="1"/>
  <c r="BH849" i="1"/>
  <c r="BK849" i="1"/>
  <c r="BL849" i="1" s="1"/>
  <c r="BK732" i="1"/>
  <c r="BL732" i="1" s="1"/>
  <c r="BF732" i="1"/>
  <c r="BG732" i="1" s="1"/>
  <c r="BH732" i="1"/>
  <c r="BH365" i="1"/>
  <c r="BF365" i="1"/>
  <c r="BG365" i="1" s="1"/>
  <c r="BK365" i="1"/>
  <c r="BL365" i="1" s="1"/>
  <c r="BH720" i="1"/>
  <c r="BF720" i="1"/>
  <c r="BG720" i="1" s="1"/>
  <c r="BK720" i="1"/>
  <c r="BL720" i="1" s="1"/>
  <c r="BH133" i="1"/>
  <c r="BF133" i="1"/>
  <c r="BG133" i="1" s="1"/>
  <c r="BK133" i="1"/>
  <c r="BL133" i="1" s="1"/>
  <c r="BK991" i="1"/>
  <c r="BL991" i="1" s="1"/>
  <c r="BH991" i="1"/>
  <c r="BF991" i="1"/>
  <c r="BG991" i="1" s="1"/>
  <c r="BF291" i="1"/>
  <c r="BG291" i="1" s="1"/>
  <c r="BH291" i="1"/>
  <c r="BK291" i="1"/>
  <c r="BL291" i="1" s="1"/>
  <c r="BK527" i="1"/>
  <c r="BL527" i="1" s="1"/>
  <c r="BF527" i="1"/>
  <c r="BG527" i="1" s="1"/>
  <c r="BH527" i="1"/>
  <c r="BF162" i="1"/>
  <c r="BG162" i="1" s="1"/>
  <c r="BH162" i="1"/>
  <c r="BK162" i="1"/>
  <c r="BL162" i="1" s="1"/>
  <c r="BH1659" i="1"/>
  <c r="BF1659" i="1"/>
  <c r="BG1659" i="1" s="1"/>
  <c r="BK1659" i="1"/>
  <c r="BL1659" i="1" s="1"/>
  <c r="BF1312" i="1"/>
  <c r="BG1312" i="1" s="1"/>
  <c r="BH1312" i="1"/>
  <c r="BK1312" i="1"/>
  <c r="BL1312" i="1" s="1"/>
  <c r="BF303" i="1"/>
  <c r="BG303" i="1" s="1"/>
  <c r="BH303" i="1"/>
  <c r="BK303" i="1"/>
  <c r="BL303" i="1" s="1"/>
  <c r="BH1158" i="1"/>
  <c r="BF1158" i="1"/>
  <c r="BG1158" i="1" s="1"/>
  <c r="BK1158" i="1"/>
  <c r="BL1158" i="1" s="1"/>
  <c r="BH782" i="1"/>
  <c r="BF782" i="1"/>
  <c r="BG782" i="1" s="1"/>
  <c r="BK782" i="1"/>
  <c r="BL782" i="1" s="1"/>
  <c r="BH1258" i="1"/>
  <c r="BF1258" i="1"/>
  <c r="BG1258" i="1" s="1"/>
  <c r="BK1258" i="1"/>
  <c r="BL1258" i="1" s="1"/>
  <c r="BH1401" i="1"/>
  <c r="BF1401" i="1"/>
  <c r="BG1401" i="1" s="1"/>
  <c r="BK1401" i="1"/>
  <c r="BL1401" i="1" s="1"/>
  <c r="BF1637" i="1"/>
  <c r="BG1637" i="1" s="1"/>
  <c r="BH1637" i="1"/>
  <c r="BK1637" i="1"/>
  <c r="BL1637" i="1" s="1"/>
  <c r="BK89" i="1"/>
  <c r="BL89" i="1" s="1"/>
  <c r="BF89" i="1"/>
  <c r="BG89" i="1" s="1"/>
  <c r="BH89" i="1"/>
  <c r="BK409" i="1"/>
  <c r="BL409" i="1" s="1"/>
  <c r="BF409" i="1"/>
  <c r="BG409" i="1" s="1"/>
  <c r="BH409" i="1"/>
  <c r="BK146" i="1"/>
  <c r="BL146" i="1" s="1"/>
  <c r="BH146" i="1"/>
  <c r="BF146" i="1"/>
  <c r="BG146" i="1" s="1"/>
  <c r="BF1267" i="1"/>
  <c r="BG1267" i="1" s="1"/>
  <c r="BH1267" i="1"/>
  <c r="BK1267" i="1"/>
  <c r="BL1267" i="1" s="1"/>
  <c r="BH1380" i="1"/>
  <c r="BK1380" i="1"/>
  <c r="BL1380" i="1" s="1"/>
  <c r="BF1380" i="1"/>
  <c r="BG1380" i="1" s="1"/>
  <c r="BF1602" i="1"/>
  <c r="BG1602" i="1" s="1"/>
  <c r="BK1602" i="1"/>
  <c r="BL1602" i="1" s="1"/>
  <c r="BH1602" i="1"/>
  <c r="BH1376" i="1"/>
  <c r="BF1376" i="1"/>
  <c r="BG1376" i="1" s="1"/>
  <c r="BK1376" i="1"/>
  <c r="BL1376" i="1" s="1"/>
  <c r="BH546" i="1"/>
  <c r="BK546" i="1"/>
  <c r="BL546" i="1" s="1"/>
  <c r="BF546" i="1"/>
  <c r="BG546" i="1" s="1"/>
  <c r="BH599" i="1"/>
  <c r="BF599" i="1"/>
  <c r="BG599" i="1" s="1"/>
  <c r="BK599" i="1"/>
  <c r="BL599" i="1" s="1"/>
  <c r="BF1443" i="1"/>
  <c r="BG1443" i="1" s="1"/>
  <c r="BK1443" i="1"/>
  <c r="BL1443" i="1" s="1"/>
  <c r="BH1443" i="1"/>
  <c r="BF326" i="1"/>
  <c r="BG326" i="1" s="1"/>
  <c r="BK326" i="1"/>
  <c r="BL326" i="1" s="1"/>
  <c r="BH326" i="1"/>
  <c r="BH1152" i="1"/>
  <c r="BF1152" i="1"/>
  <c r="BG1152" i="1" s="1"/>
  <c r="BK1152" i="1"/>
  <c r="BL1152" i="1" s="1"/>
  <c r="BH265" i="1"/>
  <c r="BK265" i="1"/>
  <c r="BL265" i="1" s="1"/>
  <c r="BF265" i="1"/>
  <c r="BG265" i="1" s="1"/>
  <c r="BH1214" i="1"/>
  <c r="BF1214" i="1"/>
  <c r="BG1214" i="1" s="1"/>
  <c r="BK1214" i="1"/>
  <c r="BL1214" i="1" s="1"/>
  <c r="BH191" i="1"/>
  <c r="BF191" i="1"/>
  <c r="BG191" i="1" s="1"/>
  <c r="BK191" i="1"/>
  <c r="BL191" i="1" s="1"/>
  <c r="BF1727" i="1"/>
  <c r="BG1727" i="1" s="1"/>
  <c r="BH1727" i="1"/>
  <c r="BK1727" i="1"/>
  <c r="BL1727" i="1" s="1"/>
  <c r="BH131" i="1"/>
  <c r="BK131" i="1"/>
  <c r="BL131" i="1" s="1"/>
  <c r="BF131" i="1"/>
  <c r="BG131" i="1" s="1"/>
  <c r="BK1306" i="1"/>
  <c r="BL1306" i="1" s="1"/>
  <c r="BH1306" i="1"/>
  <c r="BF1306" i="1"/>
  <c r="BG1306" i="1" s="1"/>
  <c r="BK1199" i="1"/>
  <c r="BL1199" i="1" s="1"/>
  <c r="BF1199" i="1"/>
  <c r="BG1199" i="1" s="1"/>
  <c r="BH1199" i="1"/>
  <c r="BH917" i="1"/>
  <c r="BF917" i="1"/>
  <c r="BG917" i="1" s="1"/>
  <c r="BK917" i="1"/>
  <c r="BL917" i="1" s="1"/>
  <c r="BH317" i="1"/>
  <c r="BF317" i="1"/>
  <c r="BG317" i="1" s="1"/>
  <c r="BK317" i="1"/>
  <c r="BL317" i="1" s="1"/>
  <c r="BH507" i="1"/>
  <c r="BF507" i="1"/>
  <c r="BG507" i="1" s="1"/>
  <c r="BK507" i="1"/>
  <c r="BL507" i="1" s="1"/>
  <c r="BH314" i="1"/>
  <c r="BF314" i="1"/>
  <c r="BG314" i="1" s="1"/>
  <c r="BK314" i="1"/>
  <c r="BL314" i="1" s="1"/>
  <c r="BH1469" i="1"/>
  <c r="BK1469" i="1"/>
  <c r="BL1469" i="1" s="1"/>
  <c r="BF1469" i="1"/>
  <c r="BG1469" i="1" s="1"/>
  <c r="BH377" i="1"/>
  <c r="BF377" i="1"/>
  <c r="BG377" i="1" s="1"/>
  <c r="BK377" i="1"/>
  <c r="BL377" i="1" s="1"/>
  <c r="BK623" i="1"/>
  <c r="BL623" i="1" s="1"/>
  <c r="BH623" i="1"/>
  <c r="BF623" i="1"/>
  <c r="BG623" i="1" s="1"/>
  <c r="BF1328" i="1"/>
  <c r="BG1328" i="1" s="1"/>
  <c r="BH1328" i="1"/>
  <c r="BK1328" i="1"/>
  <c r="BL1328" i="1" s="1"/>
  <c r="BK681" i="1"/>
  <c r="BL681" i="1" s="1"/>
  <c r="BF681" i="1"/>
  <c r="BG681" i="1" s="1"/>
  <c r="BH681" i="1"/>
  <c r="BF722" i="1"/>
  <c r="BG722" i="1" s="1"/>
  <c r="BK722" i="1"/>
  <c r="BL722" i="1" s="1"/>
  <c r="BH722" i="1"/>
  <c r="BH1382" i="1"/>
  <c r="BF1382" i="1"/>
  <c r="BG1382" i="1" s="1"/>
  <c r="BK1382" i="1"/>
  <c r="BL1382" i="1" s="1"/>
  <c r="BK1633" i="1"/>
  <c r="BL1633" i="1" s="1"/>
  <c r="BF1633" i="1"/>
  <c r="BG1633" i="1" s="1"/>
  <c r="BH1633" i="1"/>
  <c r="BF1177" i="1"/>
  <c r="BG1177" i="1" s="1"/>
  <c r="BK1177" i="1"/>
  <c r="BL1177" i="1" s="1"/>
  <c r="BH1177" i="1"/>
  <c r="BF1119" i="1"/>
  <c r="BG1119" i="1" s="1"/>
  <c r="BH1119" i="1"/>
  <c r="BK1119" i="1"/>
  <c r="BL1119" i="1" s="1"/>
  <c r="BK1221" i="1"/>
  <c r="BL1221" i="1" s="1"/>
  <c r="BF1221" i="1"/>
  <c r="BG1221" i="1" s="1"/>
  <c r="BH1221" i="1"/>
  <c r="BK800" i="1"/>
  <c r="BL800" i="1" s="1"/>
  <c r="BH800" i="1"/>
  <c r="BF800" i="1"/>
  <c r="BG800" i="1" s="1"/>
  <c r="BK272" i="1"/>
  <c r="BL272" i="1" s="1"/>
  <c r="BF272" i="1"/>
  <c r="BG272" i="1" s="1"/>
  <c r="BH272" i="1"/>
  <c r="BK1003" i="1"/>
  <c r="BL1003" i="1" s="1"/>
  <c r="BH1003" i="1"/>
  <c r="BF1003" i="1"/>
  <c r="BG1003" i="1" s="1"/>
  <c r="BF1154" i="1"/>
  <c r="BG1154" i="1" s="1"/>
  <c r="BK1154" i="1"/>
  <c r="BL1154" i="1" s="1"/>
  <c r="BH1154" i="1"/>
  <c r="BF273" i="1"/>
  <c r="BG273" i="1" s="1"/>
  <c r="BH273" i="1"/>
  <c r="BK273" i="1"/>
  <c r="BL273" i="1" s="1"/>
  <c r="BF1673" i="1"/>
  <c r="BG1673" i="1" s="1"/>
  <c r="BK1673" i="1"/>
  <c r="BL1673" i="1" s="1"/>
  <c r="BH1673" i="1"/>
  <c r="BF540" i="1"/>
  <c r="BG540" i="1" s="1"/>
  <c r="BK540" i="1"/>
  <c r="BL540" i="1" s="1"/>
  <c r="BH540" i="1"/>
  <c r="BK160" i="1"/>
  <c r="BL160" i="1" s="1"/>
  <c r="BF160" i="1"/>
  <c r="BG160" i="1" s="1"/>
  <c r="BH160" i="1"/>
  <c r="BH1041" i="1"/>
  <c r="BF1041" i="1"/>
  <c r="BG1041" i="1" s="1"/>
  <c r="BK1041" i="1"/>
  <c r="BL1041" i="1" s="1"/>
  <c r="BF1625" i="1"/>
  <c r="BG1625" i="1" s="1"/>
  <c r="BK1625" i="1"/>
  <c r="BL1625" i="1" s="1"/>
  <c r="BH1625" i="1"/>
  <c r="BH1531" i="1"/>
  <c r="BF1531" i="1"/>
  <c r="BG1531" i="1" s="1"/>
  <c r="BK1531" i="1"/>
  <c r="BL1531" i="1" s="1"/>
  <c r="BF27" i="1"/>
  <c r="BG27" i="1" s="1"/>
  <c r="BK27" i="1"/>
  <c r="BL27" i="1" s="1"/>
  <c r="BH27" i="1"/>
  <c r="BF1279" i="1"/>
  <c r="BG1279" i="1" s="1"/>
  <c r="BH1279" i="1"/>
  <c r="BK1279" i="1"/>
  <c r="BL1279" i="1" s="1"/>
  <c r="BH576" i="1"/>
  <c r="BK576" i="1"/>
  <c r="BL576" i="1" s="1"/>
  <c r="BF576" i="1"/>
  <c r="BG576" i="1" s="1"/>
  <c r="BK709" i="1"/>
  <c r="BL709" i="1" s="1"/>
  <c r="BH709" i="1"/>
  <c r="BF709" i="1"/>
  <c r="BG709" i="1" s="1"/>
  <c r="BF551" i="1"/>
  <c r="BG551" i="1" s="1"/>
  <c r="BK551" i="1"/>
  <c r="BL551" i="1" s="1"/>
  <c r="BH551" i="1"/>
  <c r="BF211" i="1"/>
  <c r="BG211" i="1" s="1"/>
  <c r="BH211" i="1"/>
  <c r="BK211" i="1"/>
  <c r="BL211" i="1" s="1"/>
  <c r="BH607" i="1"/>
  <c r="BK607" i="1"/>
  <c r="BL607" i="1" s="1"/>
  <c r="BF607" i="1"/>
  <c r="BG607" i="1" s="1"/>
  <c r="BH918" i="1"/>
  <c r="BF918" i="1"/>
  <c r="BG918" i="1" s="1"/>
  <c r="BK918" i="1"/>
  <c r="BL918" i="1" s="1"/>
  <c r="BH1194" i="1"/>
  <c r="BF1194" i="1"/>
  <c r="BG1194" i="1" s="1"/>
  <c r="BK1194" i="1"/>
  <c r="BL1194" i="1" s="1"/>
  <c r="BH186" i="1"/>
  <c r="BF186" i="1"/>
  <c r="BG186" i="1" s="1"/>
  <c r="BK186" i="1"/>
  <c r="BL186" i="1" s="1"/>
  <c r="BH1207" i="1"/>
  <c r="BF1207" i="1"/>
  <c r="BG1207" i="1" s="1"/>
  <c r="BK1207" i="1"/>
  <c r="BL1207" i="1" s="1"/>
  <c r="BK1466" i="1"/>
  <c r="BL1466" i="1" s="1"/>
  <c r="BH1466" i="1"/>
  <c r="BF1466" i="1"/>
  <c r="BG1466" i="1" s="1"/>
  <c r="BH1449" i="1"/>
  <c r="BF1449" i="1"/>
  <c r="BG1449" i="1" s="1"/>
  <c r="BK1449" i="1"/>
  <c r="BL1449" i="1" s="1"/>
  <c r="BF1299" i="1"/>
  <c r="BG1299" i="1" s="1"/>
  <c r="BH1299" i="1"/>
  <c r="BK1299" i="1"/>
  <c r="BL1299" i="1" s="1"/>
  <c r="BF308" i="1"/>
  <c r="BG308" i="1" s="1"/>
  <c r="BK308" i="1"/>
  <c r="BL308" i="1" s="1"/>
  <c r="BH308" i="1"/>
  <c r="BH1060" i="1"/>
  <c r="BF1060" i="1"/>
  <c r="BG1060" i="1" s="1"/>
  <c r="BK1060" i="1"/>
  <c r="BL1060" i="1" s="1"/>
  <c r="BH691" i="1"/>
  <c r="BF691" i="1"/>
  <c r="BG691" i="1" s="1"/>
  <c r="BK691" i="1"/>
  <c r="BL691" i="1" s="1"/>
  <c r="BH1004" i="1"/>
  <c r="BF1004" i="1"/>
  <c r="BG1004" i="1" s="1"/>
  <c r="BK1004" i="1"/>
  <c r="BL1004" i="1" s="1"/>
  <c r="BF174" i="1"/>
  <c r="BG174" i="1" s="1"/>
  <c r="BH174" i="1"/>
  <c r="BK174" i="1"/>
  <c r="BL174" i="1" s="1"/>
  <c r="BH212" i="1"/>
  <c r="BF212" i="1"/>
  <c r="BG212" i="1" s="1"/>
  <c r="BK212" i="1"/>
  <c r="BL212" i="1" s="1"/>
  <c r="BF873" i="1"/>
  <c r="BG873" i="1" s="1"/>
  <c r="BK873" i="1"/>
  <c r="BL873" i="1" s="1"/>
  <c r="BH873" i="1"/>
  <c r="BK814" i="1"/>
  <c r="BL814" i="1" s="1"/>
  <c r="BF814" i="1"/>
  <c r="BG814" i="1" s="1"/>
  <c r="BH814" i="1"/>
  <c r="BH476" i="1"/>
  <c r="BF476" i="1"/>
  <c r="BG476" i="1" s="1"/>
  <c r="BK476" i="1"/>
  <c r="BL476" i="1" s="1"/>
  <c r="BH456" i="1"/>
  <c r="BF456" i="1"/>
  <c r="BG456" i="1" s="1"/>
  <c r="BK456" i="1"/>
  <c r="BL456" i="1" s="1"/>
  <c r="BK1504" i="1"/>
  <c r="BL1504" i="1" s="1"/>
  <c r="BF1504" i="1"/>
  <c r="BG1504" i="1" s="1"/>
  <c r="BH1504" i="1"/>
  <c r="BH702" i="1"/>
  <c r="BF702" i="1"/>
  <c r="BG702" i="1" s="1"/>
  <c r="BK702" i="1"/>
  <c r="BL702" i="1" s="1"/>
  <c r="BH881" i="1"/>
  <c r="BK881" i="1"/>
  <c r="BL881" i="1" s="1"/>
  <c r="BF881" i="1"/>
  <c r="BG881" i="1" s="1"/>
  <c r="BH1445" i="1"/>
  <c r="BK1445" i="1"/>
  <c r="BL1445" i="1" s="1"/>
  <c r="BF1445" i="1"/>
  <c r="BG1445" i="1" s="1"/>
  <c r="BH1149" i="1"/>
  <c r="BK1149" i="1"/>
  <c r="BL1149" i="1" s="1"/>
  <c r="BF1149" i="1"/>
  <c r="BG1149" i="1" s="1"/>
  <c r="BF445" i="1"/>
  <c r="BG445" i="1" s="1"/>
  <c r="BK445" i="1"/>
  <c r="BL445" i="1" s="1"/>
  <c r="BH445" i="1"/>
  <c r="BH610" i="1"/>
  <c r="BK610" i="1"/>
  <c r="BL610" i="1" s="1"/>
  <c r="BF610" i="1"/>
  <c r="BG610" i="1" s="1"/>
  <c r="BH762" i="1"/>
  <c r="BF762" i="1"/>
  <c r="BG762" i="1" s="1"/>
  <c r="BK762" i="1"/>
  <c r="BL762" i="1" s="1"/>
  <c r="BF489" i="1"/>
  <c r="BG489" i="1" s="1"/>
  <c r="BH489" i="1"/>
  <c r="BK489" i="1"/>
  <c r="BL489" i="1" s="1"/>
  <c r="BK1506" i="1"/>
  <c r="BL1506" i="1" s="1"/>
  <c r="BF1506" i="1"/>
  <c r="BG1506" i="1" s="1"/>
  <c r="BH1506" i="1"/>
  <c r="BK1611" i="1"/>
  <c r="BL1611" i="1" s="1"/>
  <c r="BH1611" i="1"/>
  <c r="BF1611" i="1"/>
  <c r="BG1611" i="1" s="1"/>
  <c r="BH398" i="1"/>
  <c r="BF398" i="1"/>
  <c r="BG398" i="1" s="1"/>
  <c r="BK398" i="1"/>
  <c r="BL398" i="1" s="1"/>
  <c r="BH698" i="1"/>
  <c r="BF698" i="1"/>
  <c r="BG698" i="1" s="1"/>
  <c r="BK698" i="1"/>
  <c r="BL698" i="1" s="1"/>
  <c r="BF431" i="1"/>
  <c r="BG431" i="1" s="1"/>
  <c r="BH431" i="1"/>
  <c r="BK431" i="1"/>
  <c r="BL431" i="1" s="1"/>
  <c r="BK151" i="1"/>
  <c r="BL151" i="1" s="1"/>
  <c r="BH151" i="1"/>
  <c r="BF151" i="1"/>
  <c r="BG151" i="1" s="1"/>
  <c r="BF859" i="1"/>
  <c r="BG859" i="1" s="1"/>
  <c r="BK859" i="1"/>
  <c r="BL859" i="1" s="1"/>
  <c r="BH859" i="1"/>
  <c r="BH1635" i="1"/>
  <c r="BF1635" i="1"/>
  <c r="BG1635" i="1" s="1"/>
  <c r="BK1635" i="1"/>
  <c r="BL1635" i="1" s="1"/>
  <c r="BF902" i="1"/>
  <c r="BG902" i="1" s="1"/>
  <c r="BK902" i="1"/>
  <c r="BL902" i="1" s="1"/>
  <c r="BH902" i="1"/>
  <c r="BF104" i="1"/>
  <c r="BG104" i="1" s="1"/>
  <c r="BH104" i="1"/>
  <c r="BK104" i="1"/>
  <c r="BL104" i="1" s="1"/>
  <c r="BK1547" i="1"/>
  <c r="BL1547" i="1" s="1"/>
  <c r="BH1547" i="1"/>
  <c r="BF1547" i="1"/>
  <c r="BG1547" i="1" s="1"/>
  <c r="BH627" i="1"/>
  <c r="BF627" i="1"/>
  <c r="BG627" i="1" s="1"/>
  <c r="BK627" i="1"/>
  <c r="BL627" i="1" s="1"/>
  <c r="BF1163" i="1"/>
  <c r="BG1163" i="1" s="1"/>
  <c r="BH1163" i="1"/>
  <c r="BK1163" i="1"/>
  <c r="BL1163" i="1" s="1"/>
  <c r="BH467" i="1"/>
  <c r="BK467" i="1"/>
  <c r="BL467" i="1" s="1"/>
  <c r="BF467" i="1"/>
  <c r="BG467" i="1" s="1"/>
  <c r="BF464" i="1"/>
  <c r="BG464" i="1" s="1"/>
  <c r="BH464" i="1"/>
  <c r="BK464" i="1"/>
  <c r="BL464" i="1" s="1"/>
  <c r="BK399" i="1"/>
  <c r="BL399" i="1" s="1"/>
  <c r="BH399" i="1"/>
  <c r="BF399" i="1"/>
  <c r="BG399" i="1" s="1"/>
  <c r="BH1628" i="1"/>
  <c r="BF1628" i="1"/>
  <c r="BG1628" i="1" s="1"/>
  <c r="BK1628" i="1"/>
  <c r="BL1628" i="1" s="1"/>
  <c r="BF1377" i="1"/>
  <c r="BG1377" i="1" s="1"/>
  <c r="BH1377" i="1"/>
  <c r="BK1377" i="1"/>
  <c r="BL1377" i="1" s="1"/>
  <c r="BK429" i="1"/>
  <c r="BL429" i="1" s="1"/>
  <c r="BH429" i="1"/>
  <c r="BF429" i="1"/>
  <c r="BG429" i="1" s="1"/>
  <c r="BH538" i="1"/>
  <c r="BF538" i="1"/>
  <c r="BG538" i="1" s="1"/>
  <c r="BK538" i="1"/>
  <c r="BL538" i="1" s="1"/>
  <c r="BF1171" i="1"/>
  <c r="BG1171" i="1" s="1"/>
  <c r="BH1171" i="1"/>
  <c r="BK1171" i="1"/>
  <c r="BL1171" i="1" s="1"/>
  <c r="BF740" i="1"/>
  <c r="BG740" i="1" s="1"/>
  <c r="BK740" i="1"/>
  <c r="BL740" i="1" s="1"/>
  <c r="BH740" i="1"/>
  <c r="BH1348" i="1"/>
  <c r="BK1348" i="1"/>
  <c r="BL1348" i="1" s="1"/>
  <c r="BF1348" i="1"/>
  <c r="BG1348" i="1" s="1"/>
  <c r="BF1493" i="1"/>
  <c r="BG1493" i="1" s="1"/>
  <c r="BH1493" i="1"/>
  <c r="BK1493" i="1"/>
  <c r="BL1493" i="1" s="1"/>
  <c r="BH1518" i="1"/>
  <c r="BK1518" i="1"/>
  <c r="BL1518" i="1" s="1"/>
  <c r="BF1518" i="1"/>
  <c r="BG1518" i="1" s="1"/>
  <c r="BF230" i="1"/>
  <c r="BG230" i="1" s="1"/>
  <c r="BK230" i="1"/>
  <c r="BL230" i="1" s="1"/>
  <c r="BH230" i="1"/>
  <c r="BF208" i="1"/>
  <c r="BG208" i="1" s="1"/>
  <c r="BH208" i="1"/>
  <c r="BK208" i="1"/>
  <c r="BL208" i="1" s="1"/>
  <c r="BF1088" i="1"/>
  <c r="BG1088" i="1" s="1"/>
  <c r="BK1088" i="1"/>
  <c r="BL1088" i="1" s="1"/>
  <c r="BH1088" i="1"/>
  <c r="BK292" i="1"/>
  <c r="BL292" i="1" s="1"/>
  <c r="BH292" i="1"/>
  <c r="BF292" i="1"/>
  <c r="BG292" i="1" s="1"/>
  <c r="BH834" i="1"/>
  <c r="BF834" i="1"/>
  <c r="BG834" i="1" s="1"/>
  <c r="BK834" i="1"/>
  <c r="BL834" i="1" s="1"/>
  <c r="BK400" i="1"/>
  <c r="BL400" i="1" s="1"/>
  <c r="BH400" i="1"/>
  <c r="BF400" i="1"/>
  <c r="BG400" i="1" s="1"/>
  <c r="BF426" i="1"/>
  <c r="BG426" i="1" s="1"/>
  <c r="BK426" i="1"/>
  <c r="BL426" i="1" s="1"/>
  <c r="BH426" i="1"/>
  <c r="BF58" i="1"/>
  <c r="BG58" i="1" s="1"/>
  <c r="BK58" i="1"/>
  <c r="BL58" i="1" s="1"/>
  <c r="BH58" i="1"/>
  <c r="BK664" i="1"/>
  <c r="BL664" i="1" s="1"/>
  <c r="BF664" i="1"/>
  <c r="BG664" i="1" s="1"/>
  <c r="BH664" i="1"/>
  <c r="BF29" i="1"/>
  <c r="BG29" i="1" s="1"/>
  <c r="BH29" i="1"/>
  <c r="BK29" i="1"/>
  <c r="BL29" i="1" s="1"/>
  <c r="BK795" i="1"/>
  <c r="BL795" i="1" s="1"/>
  <c r="BF795" i="1"/>
  <c r="BG795" i="1" s="1"/>
  <c r="BH795" i="1"/>
  <c r="BH1296" i="1"/>
  <c r="BF1296" i="1"/>
  <c r="BG1296" i="1" s="1"/>
  <c r="BK1296" i="1"/>
  <c r="BL1296" i="1" s="1"/>
  <c r="BF705" i="1"/>
  <c r="BG705" i="1" s="1"/>
  <c r="BK705" i="1"/>
  <c r="BL705" i="1" s="1"/>
  <c r="BH705" i="1"/>
  <c r="BK695" i="1"/>
  <c r="BL695" i="1" s="1"/>
  <c r="BH695" i="1"/>
  <c r="BF695" i="1"/>
  <c r="BG695" i="1" s="1"/>
  <c r="BK325" i="1"/>
  <c r="BL325" i="1" s="1"/>
  <c r="BH325" i="1"/>
  <c r="BF325" i="1"/>
  <c r="BG325" i="1" s="1"/>
  <c r="BH351" i="1"/>
  <c r="BK351" i="1"/>
  <c r="BL351" i="1" s="1"/>
  <c r="BF351" i="1"/>
  <c r="BG351" i="1" s="1"/>
  <c r="BH608" i="1"/>
  <c r="BF608" i="1"/>
  <c r="BG608" i="1" s="1"/>
  <c r="BK608" i="1"/>
  <c r="BL608" i="1" s="1"/>
  <c r="BK1097" i="1"/>
  <c r="BL1097" i="1" s="1"/>
  <c r="BH1097" i="1"/>
  <c r="BF1097" i="1"/>
  <c r="BG1097" i="1" s="1"/>
  <c r="BK103" i="1"/>
  <c r="BL103" i="1" s="1"/>
  <c r="BH103" i="1"/>
  <c r="BF103" i="1"/>
  <c r="BG103" i="1" s="1"/>
  <c r="BF925" i="1"/>
  <c r="BG925" i="1" s="1"/>
  <c r="BH925" i="1"/>
  <c r="BK925" i="1"/>
  <c r="BL925" i="1" s="1"/>
  <c r="BF568" i="1"/>
  <c r="BG568" i="1" s="1"/>
  <c r="BK568" i="1"/>
  <c r="BL568" i="1" s="1"/>
  <c r="BH568" i="1"/>
  <c r="BK107" i="1"/>
  <c r="BL107" i="1" s="1"/>
  <c r="BF107" i="1"/>
  <c r="BG107" i="1" s="1"/>
  <c r="BH107" i="1"/>
  <c r="BK793" i="1"/>
  <c r="BL793" i="1" s="1"/>
  <c r="BF793" i="1"/>
  <c r="BG793" i="1" s="1"/>
  <c r="BH793" i="1"/>
  <c r="BH1490" i="1"/>
  <c r="BF1490" i="1"/>
  <c r="BG1490" i="1" s="1"/>
  <c r="BK1490" i="1"/>
  <c r="BL1490" i="1" s="1"/>
  <c r="BH134" i="1"/>
  <c r="BF134" i="1"/>
  <c r="BG134" i="1" s="1"/>
  <c r="BK134" i="1"/>
  <c r="BL134" i="1" s="1"/>
  <c r="BF642" i="1"/>
  <c r="BG642" i="1" s="1"/>
  <c r="BK642" i="1"/>
  <c r="BL642" i="1" s="1"/>
  <c r="BH642" i="1"/>
  <c r="BH949" i="1"/>
  <c r="BF949" i="1"/>
  <c r="BG949" i="1" s="1"/>
  <c r="BK949" i="1"/>
  <c r="BL949" i="1" s="1"/>
  <c r="BK1607" i="1"/>
  <c r="BL1607" i="1" s="1"/>
  <c r="BF1607" i="1"/>
  <c r="BG1607" i="1" s="1"/>
  <c r="BH1607" i="1"/>
  <c r="BH119" i="1"/>
  <c r="BF119" i="1"/>
  <c r="BG119" i="1" s="1"/>
  <c r="BK119" i="1"/>
  <c r="BL119" i="1" s="1"/>
  <c r="BH972" i="1"/>
  <c r="BF972" i="1"/>
  <c r="BG972" i="1" s="1"/>
  <c r="BK972" i="1"/>
  <c r="BL972" i="1" s="1"/>
  <c r="BK1330" i="1"/>
  <c r="BL1330" i="1" s="1"/>
  <c r="BF1330" i="1"/>
  <c r="BG1330" i="1" s="1"/>
  <c r="BH1330" i="1"/>
  <c r="BH1583" i="1"/>
  <c r="BF1583" i="1"/>
  <c r="BG1583" i="1" s="1"/>
  <c r="BK1583" i="1"/>
  <c r="BL1583" i="1" s="1"/>
  <c r="BF839" i="1"/>
  <c r="BG839" i="1" s="1"/>
  <c r="BK839" i="1"/>
  <c r="BL839" i="1" s="1"/>
  <c r="BH839" i="1"/>
  <c r="BK1236" i="1"/>
  <c r="BL1236" i="1" s="1"/>
  <c r="BH1236" i="1"/>
  <c r="BF1236" i="1"/>
  <c r="BG1236" i="1" s="1"/>
  <c r="BK1278" i="1"/>
  <c r="BL1278" i="1" s="1"/>
  <c r="BH1278" i="1"/>
  <c r="BF1278" i="1"/>
  <c r="BG1278" i="1" s="1"/>
  <c r="BH1305" i="1"/>
  <c r="BF1305" i="1"/>
  <c r="BG1305" i="1" s="1"/>
  <c r="BK1305" i="1"/>
  <c r="BL1305" i="1" s="1"/>
  <c r="BH1725" i="1"/>
  <c r="BK1725" i="1"/>
  <c r="BL1725" i="1" s="1"/>
  <c r="BF1725" i="1"/>
  <c r="BG1725" i="1" s="1"/>
  <c r="BH368" i="1"/>
  <c r="BF368" i="1"/>
  <c r="BG368" i="1" s="1"/>
  <c r="BK368" i="1"/>
  <c r="BL368" i="1" s="1"/>
  <c r="BF1195" i="1"/>
  <c r="BG1195" i="1" s="1"/>
  <c r="BH1195" i="1"/>
  <c r="BK1195" i="1"/>
  <c r="BL1195" i="1" s="1"/>
  <c r="BF57" i="1"/>
  <c r="BG57" i="1" s="1"/>
  <c r="BH57" i="1"/>
  <c r="BK57" i="1"/>
  <c r="BL57" i="1" s="1"/>
  <c r="BF579" i="1"/>
  <c r="BG579" i="1" s="1"/>
  <c r="BK579" i="1"/>
  <c r="BL579" i="1" s="1"/>
  <c r="BH579" i="1"/>
  <c r="BH887" i="1"/>
  <c r="BF887" i="1"/>
  <c r="BG887" i="1" s="1"/>
  <c r="BK887" i="1"/>
  <c r="BL887" i="1" s="1"/>
  <c r="BH948" i="1"/>
  <c r="BF948" i="1"/>
  <c r="BG948" i="1" s="1"/>
  <c r="BK948" i="1"/>
  <c r="BL948" i="1" s="1"/>
  <c r="BK915" i="1"/>
  <c r="BL915" i="1" s="1"/>
  <c r="BF915" i="1"/>
  <c r="BG915" i="1" s="1"/>
  <c r="BH915" i="1"/>
  <c r="BH1707" i="1"/>
  <c r="BF1707" i="1"/>
  <c r="BG1707" i="1" s="1"/>
  <c r="BK1707" i="1"/>
  <c r="BL1707" i="1" s="1"/>
  <c r="BK1326" i="1"/>
  <c r="BL1326" i="1" s="1"/>
  <c r="BF1326" i="1"/>
  <c r="BG1326" i="1" s="1"/>
  <c r="BH1326" i="1"/>
  <c r="BH124" i="1"/>
  <c r="BF124" i="1"/>
  <c r="BG124" i="1" s="1"/>
  <c r="BK124" i="1"/>
  <c r="BL124" i="1" s="1"/>
  <c r="BF1186" i="1"/>
  <c r="BG1186" i="1" s="1"/>
  <c r="BH1186" i="1"/>
  <c r="BK1186" i="1"/>
  <c r="BL1186" i="1" s="1"/>
  <c r="BF885" i="1"/>
  <c r="BG885" i="1" s="1"/>
  <c r="BH885" i="1"/>
  <c r="BK885" i="1"/>
  <c r="BL885" i="1" s="1"/>
  <c r="BF1365" i="1"/>
  <c r="BG1365" i="1" s="1"/>
  <c r="BK1365" i="1"/>
  <c r="BL1365" i="1" s="1"/>
  <c r="BH1365" i="1"/>
  <c r="BF168" i="1"/>
  <c r="BG168" i="1" s="1"/>
  <c r="BK168" i="1"/>
  <c r="BL168" i="1" s="1"/>
  <c r="BH168" i="1"/>
  <c r="BF1434" i="1"/>
  <c r="BG1434" i="1" s="1"/>
  <c r="BK1434" i="1"/>
  <c r="BL1434" i="1" s="1"/>
  <c r="BH1434" i="1"/>
  <c r="BF817" i="1"/>
  <c r="BG817" i="1" s="1"/>
  <c r="BH817" i="1"/>
  <c r="BK817" i="1"/>
  <c r="BL817" i="1" s="1"/>
  <c r="BK693" i="1"/>
  <c r="BL693" i="1" s="1"/>
  <c r="BH693" i="1"/>
  <c r="BF693" i="1"/>
  <c r="BG693" i="1" s="1"/>
  <c r="BH1302" i="1"/>
  <c r="BF1302" i="1"/>
  <c r="BG1302" i="1" s="1"/>
  <c r="BK1302" i="1"/>
  <c r="BL1302" i="1" s="1"/>
  <c r="BK1303" i="1"/>
  <c r="BL1303" i="1" s="1"/>
  <c r="BF1303" i="1"/>
  <c r="BG1303" i="1" s="1"/>
  <c r="BH1303" i="1"/>
  <c r="BK678" i="1"/>
  <c r="BL678" i="1" s="1"/>
  <c r="BH678" i="1"/>
  <c r="BF678" i="1"/>
  <c r="BG678" i="1" s="1"/>
  <c r="BK536" i="1"/>
  <c r="BL536" i="1" s="1"/>
  <c r="BH536" i="1"/>
  <c r="BF536" i="1"/>
  <c r="BG536" i="1" s="1"/>
  <c r="BH561" i="1"/>
  <c r="BK561" i="1"/>
  <c r="BL561" i="1" s="1"/>
  <c r="BF561" i="1"/>
  <c r="BG561" i="1" s="1"/>
  <c r="BK22" i="1"/>
  <c r="BL22" i="1" s="1"/>
  <c r="BF22" i="1"/>
  <c r="BG22" i="1" s="1"/>
  <c r="BH22" i="1"/>
  <c r="BK1427" i="1"/>
  <c r="BL1427" i="1" s="1"/>
  <c r="BF1427" i="1"/>
  <c r="BG1427" i="1" s="1"/>
  <c r="BH1427" i="1"/>
  <c r="BF1726" i="1"/>
  <c r="BG1726" i="1" s="1"/>
  <c r="BH1726" i="1"/>
  <c r="BK1726" i="1"/>
  <c r="BL1726" i="1" s="1"/>
  <c r="BK286" i="1"/>
  <c r="BL286" i="1" s="1"/>
  <c r="BH286" i="1"/>
  <c r="BF286" i="1"/>
  <c r="BG286" i="1" s="1"/>
  <c r="BH913" i="1"/>
  <c r="BF913" i="1"/>
  <c r="BG913" i="1" s="1"/>
  <c r="BK913" i="1"/>
  <c r="BL913" i="1" s="1"/>
  <c r="BK152" i="1"/>
  <c r="BL152" i="1" s="1"/>
  <c r="BF152" i="1"/>
  <c r="BG152" i="1" s="1"/>
  <c r="BH152" i="1"/>
  <c r="BK1530" i="1"/>
  <c r="BL1530" i="1" s="1"/>
  <c r="BH1530" i="1"/>
  <c r="BF1530" i="1"/>
  <c r="BG1530" i="1" s="1"/>
  <c r="BH156" i="1"/>
  <c r="BF156" i="1"/>
  <c r="BG156" i="1" s="1"/>
  <c r="BK156" i="1"/>
  <c r="BL156" i="1" s="1"/>
  <c r="BF1314" i="1"/>
  <c r="BG1314" i="1" s="1"/>
  <c r="BH1314" i="1"/>
  <c r="BK1314" i="1"/>
  <c r="BL1314" i="1" s="1"/>
  <c r="BK1550" i="1"/>
  <c r="BL1550" i="1" s="1"/>
  <c r="BF1550" i="1"/>
  <c r="BG1550" i="1" s="1"/>
  <c r="BH1550" i="1"/>
  <c r="BH517" i="1"/>
  <c r="BF517" i="1"/>
  <c r="BG517" i="1" s="1"/>
  <c r="BK517" i="1"/>
  <c r="BL517" i="1" s="1"/>
  <c r="BK1065" i="1"/>
  <c r="BL1065" i="1" s="1"/>
  <c r="BH1065" i="1"/>
  <c r="BF1065" i="1"/>
  <c r="BG1065" i="1" s="1"/>
  <c r="BH1030" i="1"/>
  <c r="BF1030" i="1"/>
  <c r="BG1030" i="1" s="1"/>
  <c r="BK1030" i="1"/>
  <c r="BL1030" i="1" s="1"/>
  <c r="BH322" i="1"/>
  <c r="BF322" i="1"/>
  <c r="BG322" i="1" s="1"/>
  <c r="BK322" i="1"/>
  <c r="BL322" i="1" s="1"/>
  <c r="BH703" i="1"/>
  <c r="BF703" i="1"/>
  <c r="BG703" i="1" s="1"/>
  <c r="BK703" i="1"/>
  <c r="BL703" i="1" s="1"/>
  <c r="BH653" i="1"/>
  <c r="BF653" i="1"/>
  <c r="BG653" i="1" s="1"/>
  <c r="BK653" i="1"/>
  <c r="BL653" i="1" s="1"/>
  <c r="BK450" i="1"/>
  <c r="BL450" i="1" s="1"/>
  <c r="BH450" i="1"/>
  <c r="BF450" i="1"/>
  <c r="BG450" i="1" s="1"/>
  <c r="BF1540" i="1"/>
  <c r="BG1540" i="1" s="1"/>
  <c r="BH1540" i="1"/>
  <c r="BK1540" i="1"/>
  <c r="BL1540" i="1" s="1"/>
  <c r="BH158" i="1"/>
  <c r="BF158" i="1"/>
  <c r="BG158" i="1" s="1"/>
  <c r="BK158" i="1"/>
  <c r="BL158" i="1" s="1"/>
  <c r="BK77" i="1"/>
  <c r="BL77" i="1" s="1"/>
  <c r="BH77" i="1"/>
  <c r="BF77" i="1"/>
  <c r="BG77" i="1" s="1"/>
  <c r="BH1532" i="1"/>
  <c r="BF1532" i="1"/>
  <c r="BG1532" i="1" s="1"/>
  <c r="BK1532" i="1"/>
  <c r="BL1532" i="1" s="1"/>
  <c r="BF333" i="1"/>
  <c r="BG333" i="1" s="1"/>
  <c r="BK333" i="1"/>
  <c r="BL333" i="1" s="1"/>
  <c r="BH333" i="1"/>
  <c r="BF215" i="1"/>
  <c r="BG215" i="1" s="1"/>
  <c r="BK215" i="1"/>
  <c r="BL215" i="1" s="1"/>
  <c r="BH215" i="1"/>
  <c r="BF1435" i="1"/>
  <c r="BG1435" i="1" s="1"/>
  <c r="BK1435" i="1"/>
  <c r="BL1435" i="1" s="1"/>
  <c r="BH1435" i="1"/>
  <c r="BH604" i="1"/>
  <c r="BF604" i="1"/>
  <c r="BG604" i="1" s="1"/>
  <c r="BK604" i="1"/>
  <c r="BL604" i="1" s="1"/>
  <c r="BH1584" i="1"/>
  <c r="BF1584" i="1"/>
  <c r="BG1584" i="1" s="1"/>
  <c r="BK1584" i="1"/>
  <c r="BL1584" i="1" s="1"/>
  <c r="BF867" i="1"/>
  <c r="BG867" i="1" s="1"/>
  <c r="BH867" i="1"/>
  <c r="BK867" i="1"/>
  <c r="BL867" i="1" s="1"/>
  <c r="BF1572" i="1"/>
  <c r="BG1572" i="1" s="1"/>
  <c r="BH1572" i="1"/>
  <c r="BK1572" i="1"/>
  <c r="BL1572" i="1" s="1"/>
  <c r="BH444" i="1"/>
  <c r="BF444" i="1"/>
  <c r="BG444" i="1" s="1"/>
  <c r="BK444" i="1"/>
  <c r="BL444" i="1" s="1"/>
  <c r="BK1200" i="1"/>
  <c r="BL1200" i="1" s="1"/>
  <c r="BH1200" i="1"/>
  <c r="BF1200" i="1"/>
  <c r="BG1200" i="1" s="1"/>
  <c r="BF1102" i="1"/>
  <c r="BG1102" i="1" s="1"/>
  <c r="BK1102" i="1"/>
  <c r="BL1102" i="1" s="1"/>
  <c r="BH1102" i="1"/>
  <c r="BK930" i="1"/>
  <c r="BL930" i="1" s="1"/>
  <c r="BF930" i="1"/>
  <c r="BG930" i="1" s="1"/>
  <c r="BH930" i="1"/>
  <c r="BF310" i="1"/>
  <c r="BG310" i="1" s="1"/>
  <c r="BH310" i="1"/>
  <c r="BK310" i="1"/>
  <c r="BL310" i="1" s="1"/>
  <c r="BF1383" i="1"/>
  <c r="BG1383" i="1" s="1"/>
  <c r="BH1383" i="1"/>
  <c r="BK1383" i="1"/>
  <c r="BL1383" i="1" s="1"/>
  <c r="BF177" i="1"/>
  <c r="BG177" i="1" s="1"/>
  <c r="BK177" i="1"/>
  <c r="BL177" i="1" s="1"/>
  <c r="BH177" i="1"/>
  <c r="BK1368" i="1"/>
  <c r="BL1368" i="1" s="1"/>
  <c r="BF1368" i="1"/>
  <c r="BG1368" i="1" s="1"/>
  <c r="BH1368" i="1"/>
  <c r="BF1566" i="1"/>
  <c r="BG1566" i="1" s="1"/>
  <c r="BH1566" i="1"/>
  <c r="BK1566" i="1"/>
  <c r="BL1566" i="1" s="1"/>
  <c r="BF108" i="1"/>
  <c r="BG108" i="1" s="1"/>
  <c r="BK108" i="1"/>
  <c r="BL108" i="1" s="1"/>
  <c r="BH108" i="1"/>
  <c r="BH132" i="1"/>
  <c r="BF132" i="1"/>
  <c r="BG132" i="1" s="1"/>
  <c r="BK132" i="1"/>
  <c r="BL132" i="1" s="1"/>
  <c r="BH879" i="1"/>
  <c r="BF879" i="1"/>
  <c r="BG879" i="1" s="1"/>
  <c r="BK879" i="1"/>
  <c r="BL879" i="1" s="1"/>
  <c r="BH1672" i="1"/>
  <c r="BK1672" i="1"/>
  <c r="BL1672" i="1" s="1"/>
  <c r="BF1672" i="1"/>
  <c r="BG1672" i="1" s="1"/>
  <c r="BH685" i="1"/>
  <c r="BF685" i="1"/>
  <c r="BG685" i="1" s="1"/>
  <c r="BK685" i="1"/>
  <c r="BL685" i="1" s="1"/>
  <c r="BF410" i="1"/>
  <c r="BG410" i="1" s="1"/>
  <c r="BK410" i="1"/>
  <c r="BL410" i="1" s="1"/>
  <c r="BH410" i="1"/>
  <c r="BK255" i="1"/>
  <c r="BL255" i="1" s="1"/>
  <c r="BH255" i="1"/>
  <c r="BF255" i="1"/>
  <c r="BG255" i="1" s="1"/>
  <c r="BK1260" i="1"/>
  <c r="BL1260" i="1" s="1"/>
  <c r="BH1260" i="1"/>
  <c r="BF1260" i="1"/>
  <c r="BG1260" i="1" s="1"/>
  <c r="BK81" i="1"/>
  <c r="BL81" i="1" s="1"/>
  <c r="BF81" i="1"/>
  <c r="BG81" i="1" s="1"/>
  <c r="BH81" i="1"/>
  <c r="BF122" i="1"/>
  <c r="BG122" i="1" s="1"/>
  <c r="BK122" i="1"/>
  <c r="BL122" i="1" s="1"/>
  <c r="BH122" i="1"/>
  <c r="BF1698" i="1"/>
  <c r="BG1698" i="1" s="1"/>
  <c r="BH1698" i="1"/>
  <c r="BK1698" i="1"/>
  <c r="BL1698" i="1" s="1"/>
  <c r="BF1336" i="1"/>
  <c r="BG1336" i="1" s="1"/>
  <c r="BH1336" i="1"/>
  <c r="BK1336" i="1"/>
  <c r="BL1336" i="1" s="1"/>
  <c r="BF1582" i="1"/>
  <c r="BG1582" i="1" s="1"/>
  <c r="BH1582" i="1"/>
  <c r="BK1582" i="1"/>
  <c r="BL1582" i="1" s="1"/>
  <c r="BF1188" i="1"/>
  <c r="BG1188" i="1" s="1"/>
  <c r="BK1188" i="1"/>
  <c r="BL1188" i="1" s="1"/>
  <c r="BH1188" i="1"/>
  <c r="BH64" i="1"/>
  <c r="BF64" i="1"/>
  <c r="BG64" i="1" s="1"/>
  <c r="BK64" i="1"/>
  <c r="BL64" i="1" s="1"/>
  <c r="BH934" i="1"/>
  <c r="BF934" i="1"/>
  <c r="BG934" i="1" s="1"/>
  <c r="BK934" i="1"/>
  <c r="BL934" i="1" s="1"/>
  <c r="BF1225" i="1"/>
  <c r="BG1225" i="1" s="1"/>
  <c r="BK1225" i="1"/>
  <c r="BL1225" i="1" s="1"/>
  <c r="BH1225" i="1"/>
  <c r="BH1164" i="1"/>
  <c r="BF1164" i="1"/>
  <c r="BG1164" i="1" s="1"/>
  <c r="BK1164" i="1"/>
  <c r="BL1164" i="1" s="1"/>
  <c r="BF225" i="1"/>
  <c r="BG225" i="1" s="1"/>
  <c r="BH225" i="1"/>
  <c r="BK225" i="1"/>
  <c r="BL225" i="1" s="1"/>
  <c r="BH549" i="1"/>
  <c r="BF549" i="1"/>
  <c r="BG549" i="1" s="1"/>
  <c r="BK549" i="1"/>
  <c r="BL549" i="1" s="1"/>
  <c r="BH378" i="1"/>
  <c r="BF378" i="1"/>
  <c r="BG378" i="1" s="1"/>
  <c r="BK378" i="1"/>
  <c r="BL378" i="1" s="1"/>
  <c r="BF1524" i="1"/>
  <c r="BG1524" i="1" s="1"/>
  <c r="BH1524" i="1"/>
  <c r="BK1524" i="1"/>
  <c r="BL1524" i="1" s="1"/>
  <c r="BF1093" i="1"/>
  <c r="BG1093" i="1" s="1"/>
  <c r="BH1093" i="1"/>
  <c r="BK1093" i="1"/>
  <c r="BL1093" i="1" s="1"/>
  <c r="BF224" i="1"/>
  <c r="BG224" i="1" s="1"/>
  <c r="BK224" i="1"/>
  <c r="BL224" i="1" s="1"/>
  <c r="BH224" i="1"/>
  <c r="BF1298" i="1"/>
  <c r="BG1298" i="1" s="1"/>
  <c r="BK1298" i="1"/>
  <c r="BL1298" i="1" s="1"/>
  <c r="BH1298" i="1"/>
  <c r="BF290" i="1"/>
  <c r="BG290" i="1" s="1"/>
  <c r="BH290" i="1"/>
  <c r="BK290" i="1"/>
  <c r="BL290" i="1" s="1"/>
  <c r="BK242" i="1"/>
  <c r="BL242" i="1" s="1"/>
  <c r="BF242" i="1"/>
  <c r="BG242" i="1" s="1"/>
  <c r="BH242" i="1"/>
  <c r="BK1064" i="1"/>
  <c r="BL1064" i="1" s="1"/>
  <c r="BF1064" i="1"/>
  <c r="BG1064" i="1" s="1"/>
  <c r="BH1064" i="1"/>
  <c r="BF901" i="1"/>
  <c r="BG901" i="1" s="1"/>
  <c r="BH901" i="1"/>
  <c r="BK901" i="1"/>
  <c r="BL901" i="1" s="1"/>
  <c r="BK1399" i="1"/>
  <c r="BL1399" i="1" s="1"/>
  <c r="BF1399" i="1"/>
  <c r="BG1399" i="1" s="1"/>
  <c r="BH1399" i="1"/>
  <c r="BH425" i="1"/>
  <c r="BF425" i="1"/>
  <c r="BG425" i="1" s="1"/>
  <c r="BK425" i="1"/>
  <c r="BL425" i="1" s="1"/>
  <c r="BF95" i="1"/>
  <c r="BG95" i="1" s="1"/>
  <c r="BH95" i="1"/>
  <c r="BK95" i="1"/>
  <c r="BL95" i="1" s="1"/>
  <c r="BH1402" i="1"/>
  <c r="BF1402" i="1"/>
  <c r="BG1402" i="1" s="1"/>
  <c r="BK1402" i="1"/>
  <c r="BL1402" i="1" s="1"/>
  <c r="BF749" i="1"/>
  <c r="BG749" i="1" s="1"/>
  <c r="BK749" i="1"/>
  <c r="BL749" i="1" s="1"/>
  <c r="BH749" i="1"/>
  <c r="BH1238" i="1"/>
  <c r="BF1238" i="1"/>
  <c r="BG1238" i="1" s="1"/>
  <c r="BK1238" i="1"/>
  <c r="BL1238" i="1" s="1"/>
  <c r="BH813" i="1"/>
  <c r="BF813" i="1"/>
  <c r="BG813" i="1" s="1"/>
  <c r="BK813" i="1"/>
  <c r="BL813" i="1" s="1"/>
  <c r="BH1629" i="1"/>
  <c r="BK1629" i="1"/>
  <c r="BL1629" i="1" s="1"/>
  <c r="BF1629" i="1"/>
  <c r="BG1629" i="1" s="1"/>
  <c r="BH423" i="1"/>
  <c r="BF423" i="1"/>
  <c r="BG423" i="1" s="1"/>
  <c r="BK423" i="1"/>
  <c r="BL423" i="1" s="1"/>
  <c r="BH1338" i="1"/>
  <c r="BF1338" i="1"/>
  <c r="BG1338" i="1" s="1"/>
  <c r="BK1338" i="1"/>
  <c r="BL1338" i="1" s="1"/>
  <c r="BF537" i="1"/>
  <c r="BG537" i="1" s="1"/>
  <c r="BH537" i="1"/>
  <c r="BK537" i="1"/>
  <c r="BL537" i="1" s="1"/>
  <c r="BK97" i="1"/>
  <c r="BL97" i="1" s="1"/>
  <c r="BF97" i="1"/>
  <c r="BG97" i="1" s="1"/>
  <c r="BH97" i="1"/>
  <c r="BF1203" i="1"/>
  <c r="BG1203" i="1" s="1"/>
  <c r="BH1203" i="1"/>
  <c r="BK1203" i="1"/>
  <c r="BL1203" i="1" s="1"/>
  <c r="BF808" i="1"/>
  <c r="BG808" i="1" s="1"/>
  <c r="BK808" i="1"/>
  <c r="BL808" i="1" s="1"/>
  <c r="BH808" i="1"/>
  <c r="BF451" i="1"/>
  <c r="BG451" i="1" s="1"/>
  <c r="BH451" i="1"/>
  <c r="BK451" i="1"/>
  <c r="BL451" i="1" s="1"/>
  <c r="BF758" i="1"/>
  <c r="BG758" i="1" s="1"/>
  <c r="BK758" i="1"/>
  <c r="BL758" i="1" s="1"/>
  <c r="BH758" i="1"/>
  <c r="BH1484" i="1"/>
  <c r="BF1484" i="1"/>
  <c r="BG1484" i="1" s="1"/>
  <c r="BK1484" i="1"/>
  <c r="BL1484" i="1" s="1"/>
  <c r="BF276" i="1"/>
  <c r="BG276" i="1" s="1"/>
  <c r="BK276" i="1"/>
  <c r="BL276" i="1" s="1"/>
  <c r="BH276" i="1"/>
  <c r="BF115" i="1"/>
  <c r="BG115" i="1" s="1"/>
  <c r="BH115" i="1"/>
  <c r="BK115" i="1"/>
  <c r="BL115" i="1" s="1"/>
  <c r="BK1170" i="1"/>
  <c r="BL1170" i="1" s="1"/>
  <c r="BH1170" i="1"/>
  <c r="BF1170" i="1"/>
  <c r="BG1170" i="1" s="1"/>
  <c r="BH1523" i="1"/>
  <c r="BF1523" i="1"/>
  <c r="BG1523" i="1" s="1"/>
  <c r="BK1523" i="1"/>
  <c r="BL1523" i="1" s="1"/>
  <c r="BH1400" i="1"/>
  <c r="BK1400" i="1"/>
  <c r="BL1400" i="1" s="1"/>
  <c r="BF1400" i="1"/>
  <c r="BG1400" i="1" s="1"/>
  <c r="BH835" i="1"/>
  <c r="BF835" i="1"/>
  <c r="BG835" i="1" s="1"/>
  <c r="BK835" i="1"/>
  <c r="BL835" i="1" s="1"/>
  <c r="BF1320" i="1"/>
  <c r="BG1320" i="1" s="1"/>
  <c r="BH1320" i="1"/>
  <c r="BK1320" i="1"/>
  <c r="BL1320" i="1" s="1"/>
  <c r="BF626" i="1"/>
  <c r="BG626" i="1" s="1"/>
  <c r="BH626" i="1"/>
  <c r="BK626" i="1"/>
  <c r="BL626" i="1" s="1"/>
  <c r="BH1178" i="1"/>
  <c r="BF1178" i="1"/>
  <c r="BG1178" i="1" s="1"/>
  <c r="BK1178" i="1"/>
  <c r="BL1178" i="1" s="1"/>
  <c r="BF1206" i="1"/>
  <c r="BG1206" i="1" s="1"/>
  <c r="BH1206" i="1"/>
  <c r="BK1206" i="1"/>
  <c r="BL1206" i="1" s="1"/>
  <c r="BF1621" i="1"/>
  <c r="BG1621" i="1" s="1"/>
  <c r="BH1621" i="1"/>
  <c r="BK1621" i="1"/>
  <c r="BL1621" i="1" s="1"/>
  <c r="BF203" i="1"/>
  <c r="BG203" i="1" s="1"/>
  <c r="BH203" i="1"/>
  <c r="BK203" i="1"/>
  <c r="BL203" i="1" s="1"/>
  <c r="BH516" i="1"/>
  <c r="BF516" i="1"/>
  <c r="BG516" i="1" s="1"/>
  <c r="BK516" i="1"/>
  <c r="BL516" i="1" s="1"/>
  <c r="BF1696" i="1"/>
  <c r="BG1696" i="1" s="1"/>
  <c r="BH1696" i="1"/>
  <c r="BK1696" i="1"/>
  <c r="BL1696" i="1" s="1"/>
  <c r="BF1636" i="1"/>
  <c r="BG1636" i="1" s="1"/>
  <c r="BH1636" i="1"/>
  <c r="BK1636" i="1"/>
  <c r="BL1636" i="1" s="1"/>
  <c r="BK573" i="1"/>
  <c r="BL573" i="1" s="1"/>
  <c r="BH573" i="1"/>
  <c r="BF573" i="1"/>
  <c r="BG573" i="1" s="1"/>
  <c r="BH1340" i="1"/>
  <c r="BK1340" i="1"/>
  <c r="BL1340" i="1" s="1"/>
  <c r="BF1340" i="1"/>
  <c r="BG1340" i="1" s="1"/>
  <c r="BK1370" i="1"/>
  <c r="BL1370" i="1" s="1"/>
  <c r="BH1370" i="1"/>
  <c r="BF1370" i="1"/>
  <c r="BG1370" i="1" s="1"/>
  <c r="BH250" i="1"/>
  <c r="BF250" i="1"/>
  <c r="BG250" i="1" s="1"/>
  <c r="BK250" i="1"/>
  <c r="BL250" i="1" s="1"/>
  <c r="BF21" i="1"/>
  <c r="BG21" i="1" s="1"/>
  <c r="BH21" i="1"/>
  <c r="BK21" i="1"/>
  <c r="BL21" i="1" s="1"/>
  <c r="BF469" i="1"/>
  <c r="BG469" i="1" s="1"/>
  <c r="BK469" i="1"/>
  <c r="BL469" i="1" s="1"/>
  <c r="BH469" i="1"/>
  <c r="BK936" i="1"/>
  <c r="BL936" i="1" s="1"/>
  <c r="BF936" i="1"/>
  <c r="BG936" i="1" s="1"/>
  <c r="BH936" i="1"/>
  <c r="BK420" i="1"/>
  <c r="BL420" i="1" s="1"/>
  <c r="BH420" i="1"/>
  <c r="BF420" i="1"/>
  <c r="BG420" i="1" s="1"/>
  <c r="BH670" i="1"/>
  <c r="BF670" i="1"/>
  <c r="BG670" i="1" s="1"/>
  <c r="BK670" i="1"/>
  <c r="BL670" i="1" s="1"/>
  <c r="BF1478" i="1"/>
  <c r="BG1478" i="1" s="1"/>
  <c r="BH1478" i="1"/>
  <c r="BK1478" i="1"/>
  <c r="BL1478" i="1" s="1"/>
  <c r="BK1156" i="1"/>
  <c r="BL1156" i="1" s="1"/>
  <c r="BH1156" i="1"/>
  <c r="BF1156" i="1"/>
  <c r="BG1156" i="1" s="1"/>
  <c r="BH593" i="1"/>
  <c r="BF593" i="1"/>
  <c r="BG593" i="1" s="1"/>
  <c r="BK593" i="1"/>
  <c r="BL593" i="1" s="1"/>
  <c r="BF66" i="1"/>
  <c r="BG66" i="1" s="1"/>
  <c r="BK66" i="1"/>
  <c r="BL66" i="1" s="1"/>
  <c r="BH66" i="1"/>
  <c r="BH1664" i="1"/>
  <c r="BK1664" i="1"/>
  <c r="BL1664" i="1" s="1"/>
  <c r="BF1664" i="1"/>
  <c r="BG1664" i="1" s="1"/>
  <c r="BH583" i="1"/>
  <c r="BF583" i="1"/>
  <c r="BG583" i="1" s="1"/>
  <c r="BK583" i="1"/>
  <c r="BL583" i="1" s="1"/>
  <c r="BF1277" i="1"/>
  <c r="BG1277" i="1" s="1"/>
  <c r="BH1277" i="1"/>
  <c r="BK1277" i="1"/>
  <c r="BL1277" i="1" s="1"/>
  <c r="BK1702" i="1"/>
  <c r="BL1702" i="1" s="1"/>
  <c r="BF1702" i="1"/>
  <c r="BG1702" i="1" s="1"/>
  <c r="BH1702" i="1"/>
  <c r="BK247" i="1"/>
  <c r="BL247" i="1" s="1"/>
  <c r="BH247" i="1"/>
  <c r="BF247" i="1"/>
  <c r="BG247" i="1" s="1"/>
  <c r="BH1603" i="1"/>
  <c r="BF1603" i="1"/>
  <c r="BG1603" i="1" s="1"/>
  <c r="BK1603" i="1"/>
  <c r="BL1603" i="1" s="1"/>
  <c r="BF383" i="1"/>
  <c r="BG383" i="1" s="1"/>
  <c r="BK383" i="1"/>
  <c r="BL383" i="1" s="1"/>
  <c r="BH383" i="1"/>
  <c r="BF19" i="1"/>
  <c r="BG19" i="1" s="1"/>
  <c r="BH19" i="1"/>
  <c r="BK19" i="1"/>
  <c r="BL19" i="1" s="1"/>
  <c r="BF1134" i="1"/>
  <c r="BG1134" i="1" s="1"/>
  <c r="BH1134" i="1"/>
  <c r="BK1134" i="1"/>
  <c r="BL1134" i="1" s="1"/>
  <c r="BF590" i="1"/>
  <c r="BG590" i="1" s="1"/>
  <c r="BK590" i="1"/>
  <c r="BL590" i="1" s="1"/>
  <c r="BH590" i="1"/>
  <c r="BF891" i="1"/>
  <c r="BG891" i="1" s="1"/>
  <c r="BK891" i="1"/>
  <c r="BL891" i="1" s="1"/>
  <c r="BH891" i="1"/>
  <c r="BH1150" i="1"/>
  <c r="BF1150" i="1"/>
  <c r="BG1150" i="1" s="1"/>
  <c r="BK1150" i="1"/>
  <c r="BL1150" i="1" s="1"/>
  <c r="BK1048" i="1"/>
  <c r="BL1048" i="1" s="1"/>
  <c r="BF1048" i="1"/>
  <c r="BG1048" i="1" s="1"/>
  <c r="BH1048" i="1"/>
  <c r="BH251" i="1"/>
  <c r="BK251" i="1"/>
  <c r="BL251" i="1" s="1"/>
  <c r="BF251" i="1"/>
  <c r="BG251" i="1" s="1"/>
  <c r="BH193" i="1"/>
  <c r="BK193" i="1"/>
  <c r="BL193" i="1" s="1"/>
  <c r="BF193" i="1"/>
  <c r="BG193" i="1" s="1"/>
  <c r="BK567" i="1"/>
  <c r="BL567" i="1" s="1"/>
  <c r="BH567" i="1"/>
  <c r="BF567" i="1"/>
  <c r="BG567" i="1" s="1"/>
  <c r="BK1354" i="1"/>
  <c r="BL1354" i="1" s="1"/>
  <c r="BH1354" i="1"/>
  <c r="BF1354" i="1"/>
  <c r="BG1354" i="1" s="1"/>
  <c r="BH1680" i="1"/>
  <c r="BK1680" i="1"/>
  <c r="BL1680" i="1" s="1"/>
  <c r="BF1680" i="1"/>
  <c r="BG1680" i="1" s="1"/>
  <c r="BF625" i="1"/>
  <c r="BG625" i="1" s="1"/>
  <c r="BH625" i="1"/>
  <c r="BK625" i="1"/>
  <c r="BL625" i="1" s="1"/>
  <c r="BK1145" i="1"/>
  <c r="BL1145" i="1" s="1"/>
  <c r="BH1145" i="1"/>
  <c r="BF1145" i="1"/>
  <c r="BG1145" i="1" s="1"/>
  <c r="BF511" i="1"/>
  <c r="BG511" i="1" s="1"/>
  <c r="BK511" i="1"/>
  <c r="BL511" i="1" s="1"/>
  <c r="BH511" i="1"/>
  <c r="BH1084" i="1"/>
  <c r="BF1084" i="1"/>
  <c r="BG1084" i="1" s="1"/>
  <c r="BK1084" i="1"/>
  <c r="BL1084" i="1" s="1"/>
  <c r="BK974" i="1"/>
  <c r="BL974" i="1" s="1"/>
  <c r="BH974" i="1"/>
  <c r="BF974" i="1"/>
  <c r="BG974" i="1" s="1"/>
  <c r="BF1073" i="1"/>
  <c r="BG1073" i="1" s="1"/>
  <c r="BH1073" i="1"/>
  <c r="BK1073" i="1"/>
  <c r="BL1073" i="1" s="1"/>
  <c r="BH1539" i="1"/>
  <c r="BF1539" i="1"/>
  <c r="BG1539" i="1" s="1"/>
  <c r="BK1539" i="1"/>
  <c r="BL1539" i="1" s="1"/>
  <c r="BK701" i="1"/>
  <c r="BL701" i="1" s="1"/>
  <c r="BH701" i="1"/>
  <c r="BF701" i="1"/>
  <c r="BG701" i="1" s="1"/>
  <c r="BK1155" i="1"/>
  <c r="BL1155" i="1" s="1"/>
  <c r="BH1155" i="1"/>
  <c r="BF1155" i="1"/>
  <c r="BG1155" i="1" s="1"/>
  <c r="BF363" i="1"/>
  <c r="BG363" i="1" s="1"/>
  <c r="BH363" i="1"/>
  <c r="BK363" i="1"/>
  <c r="BL363" i="1" s="1"/>
  <c r="BF596" i="1"/>
  <c r="BG596" i="1" s="1"/>
  <c r="BK596" i="1"/>
  <c r="BL596" i="1" s="1"/>
  <c r="BH596" i="1"/>
  <c r="BH731" i="1"/>
  <c r="BF731" i="1"/>
  <c r="BG731" i="1" s="1"/>
  <c r="BK731" i="1"/>
  <c r="BL731" i="1" s="1"/>
  <c r="BH1681" i="1"/>
  <c r="BF1681" i="1"/>
  <c r="BG1681" i="1" s="1"/>
  <c r="BK1681" i="1"/>
  <c r="BL1681" i="1" s="1"/>
  <c r="BK1127" i="1"/>
  <c r="BL1127" i="1" s="1"/>
  <c r="BF1127" i="1"/>
  <c r="BG1127" i="1" s="1"/>
  <c r="BH1127" i="1"/>
  <c r="BF1669" i="1"/>
  <c r="BG1669" i="1" s="1"/>
  <c r="BH1669" i="1"/>
  <c r="BK1669" i="1"/>
  <c r="BL1669" i="1" s="1"/>
  <c r="BK594" i="1"/>
  <c r="BL594" i="1" s="1"/>
  <c r="BH594" i="1"/>
  <c r="BF594" i="1"/>
  <c r="BG594" i="1" s="1"/>
  <c r="BK520" i="1"/>
  <c r="BL520" i="1" s="1"/>
  <c r="BH520" i="1"/>
  <c r="BF520" i="1"/>
  <c r="BG520" i="1" s="1"/>
  <c r="BF1059" i="1"/>
  <c r="BG1059" i="1" s="1"/>
  <c r="BH1059" i="1"/>
  <c r="BK1059" i="1"/>
  <c r="BL1059" i="1" s="1"/>
  <c r="BK1548" i="1"/>
  <c r="BL1548" i="1" s="1"/>
  <c r="BH1548" i="1"/>
  <c r="BF1548" i="1"/>
  <c r="BG1548" i="1" s="1"/>
  <c r="BK827" i="1"/>
  <c r="BL827" i="1" s="1"/>
  <c r="BH827" i="1"/>
  <c r="BF827" i="1"/>
  <c r="BG827" i="1" s="1"/>
  <c r="BH1089" i="1"/>
  <c r="BF1089" i="1"/>
  <c r="BG1089" i="1" s="1"/>
  <c r="BK1089" i="1"/>
  <c r="BL1089" i="1" s="1"/>
  <c r="BH1078" i="1"/>
  <c r="BK1078" i="1"/>
  <c r="BL1078" i="1" s="1"/>
  <c r="BF1078" i="1"/>
  <c r="BG1078" i="1" s="1"/>
  <c r="BK416" i="1"/>
  <c r="BL416" i="1" s="1"/>
  <c r="BH416" i="1"/>
  <c r="BF416" i="1"/>
  <c r="BG416" i="1" s="1"/>
  <c r="BH1099" i="1"/>
  <c r="BF1099" i="1"/>
  <c r="BG1099" i="1" s="1"/>
  <c r="BK1099" i="1"/>
  <c r="BL1099" i="1" s="1"/>
  <c r="BH1585" i="1"/>
  <c r="BK1585" i="1"/>
  <c r="BL1585" i="1" s="1"/>
  <c r="BF1585" i="1"/>
  <c r="BG1585" i="1" s="1"/>
  <c r="BF436" i="1"/>
  <c r="BG436" i="1" s="1"/>
  <c r="BK436" i="1"/>
  <c r="BL436" i="1" s="1"/>
  <c r="BH436" i="1"/>
  <c r="BH560" i="1"/>
  <c r="BK560" i="1"/>
  <c r="BL560" i="1" s="1"/>
  <c r="BF560" i="1"/>
  <c r="BG560" i="1" s="1"/>
  <c r="BK1056" i="1"/>
  <c r="BL1056" i="1" s="1"/>
  <c r="BF1056" i="1"/>
  <c r="BG1056" i="1" s="1"/>
  <c r="BH1056" i="1"/>
  <c r="BH1349" i="1"/>
  <c r="BF1349" i="1"/>
  <c r="BG1349" i="1" s="1"/>
  <c r="BK1349" i="1"/>
  <c r="BL1349" i="1" s="1"/>
  <c r="BK1297" i="1"/>
  <c r="BL1297" i="1" s="1"/>
  <c r="BH1297" i="1"/>
  <c r="BF1297" i="1"/>
  <c r="BG1297" i="1" s="1"/>
  <c r="BK1538" i="1"/>
  <c r="BL1538" i="1" s="1"/>
  <c r="BH1538" i="1"/>
  <c r="BF1538" i="1"/>
  <c r="BG1538" i="1" s="1"/>
  <c r="BH118" i="1"/>
  <c r="BF118" i="1"/>
  <c r="BG118" i="1" s="1"/>
  <c r="BK118" i="1"/>
  <c r="BL118" i="1" s="1"/>
  <c r="BH1294" i="1"/>
  <c r="BF1294" i="1"/>
  <c r="BG1294" i="1" s="1"/>
  <c r="BK1294" i="1"/>
  <c r="BL1294" i="1" s="1"/>
  <c r="BF1592" i="1"/>
  <c r="BG1592" i="1" s="1"/>
  <c r="BH1592" i="1"/>
  <c r="BK1592" i="1"/>
  <c r="BL1592" i="1" s="1"/>
  <c r="BH892" i="1"/>
  <c r="BF892" i="1"/>
  <c r="BG892" i="1" s="1"/>
  <c r="BK892" i="1"/>
  <c r="BL892" i="1" s="1"/>
  <c r="BH1283" i="1"/>
  <c r="BF1283" i="1"/>
  <c r="BG1283" i="1" s="1"/>
  <c r="BK1283" i="1"/>
  <c r="BL1283" i="1" s="1"/>
  <c r="BH1009" i="1"/>
  <c r="BF1009" i="1"/>
  <c r="BG1009" i="1" s="1"/>
  <c r="BK1009" i="1"/>
  <c r="BL1009" i="1" s="1"/>
  <c r="BH266" i="1"/>
  <c r="BF266" i="1"/>
  <c r="BG266" i="1" s="1"/>
  <c r="BK266" i="1"/>
  <c r="BL266" i="1" s="1"/>
  <c r="BH857" i="1"/>
  <c r="BF857" i="1"/>
  <c r="BG857" i="1" s="1"/>
  <c r="BK857" i="1"/>
  <c r="BL857" i="1" s="1"/>
  <c r="BF1113" i="1"/>
  <c r="BG1113" i="1" s="1"/>
  <c r="BK1113" i="1"/>
  <c r="BL1113" i="1" s="1"/>
  <c r="BH1113" i="1"/>
  <c r="BF44" i="1"/>
  <c r="BG44" i="1" s="1"/>
  <c r="BH44" i="1"/>
  <c r="BK44" i="1"/>
  <c r="BL44" i="1" s="1"/>
  <c r="BH74" i="1"/>
  <c r="BF74" i="1"/>
  <c r="BG74" i="1" s="1"/>
  <c r="BK74" i="1"/>
  <c r="BL74" i="1" s="1"/>
  <c r="BH584" i="1"/>
  <c r="BF584" i="1"/>
  <c r="BG584" i="1" s="1"/>
  <c r="BK584" i="1"/>
  <c r="BL584" i="1" s="1"/>
  <c r="BH336" i="1"/>
  <c r="BF336" i="1"/>
  <c r="BG336" i="1" s="1"/>
  <c r="BK336" i="1"/>
  <c r="BL336" i="1" s="1"/>
  <c r="BK1315" i="1"/>
  <c r="BL1315" i="1" s="1"/>
  <c r="BH1315" i="1"/>
  <c r="BF1315" i="1"/>
  <c r="BG1315" i="1" s="1"/>
  <c r="BF78" i="1"/>
  <c r="BG78" i="1" s="1"/>
  <c r="BK78" i="1"/>
  <c r="BL78" i="1" s="1"/>
  <c r="BH78" i="1"/>
  <c r="BF504" i="1"/>
  <c r="BG504" i="1" s="1"/>
  <c r="BH504" i="1"/>
  <c r="BK504" i="1"/>
  <c r="BL504" i="1" s="1"/>
  <c r="BK1580" i="1"/>
  <c r="BL1580" i="1" s="1"/>
  <c r="BH1580" i="1"/>
  <c r="BF1580" i="1"/>
  <c r="BG1580" i="1" s="1"/>
  <c r="BH1143" i="1"/>
  <c r="BK1143" i="1"/>
  <c r="BL1143" i="1" s="1"/>
  <c r="BF1143" i="1"/>
  <c r="BG1143" i="1" s="1"/>
  <c r="BH1605" i="1"/>
  <c r="BK1605" i="1"/>
  <c r="BL1605" i="1" s="1"/>
  <c r="BF1605" i="1"/>
  <c r="BG1605" i="1" s="1"/>
  <c r="BF1174" i="1"/>
  <c r="BG1174" i="1" s="1"/>
  <c r="BK1174" i="1"/>
  <c r="BL1174" i="1" s="1"/>
  <c r="BH1174" i="1"/>
  <c r="BF1641" i="1"/>
  <c r="BG1641" i="1" s="1"/>
  <c r="BK1641" i="1"/>
  <c r="BL1641" i="1" s="1"/>
  <c r="BH1641" i="1"/>
  <c r="BH1092" i="1"/>
  <c r="BF1092" i="1"/>
  <c r="BG1092" i="1" s="1"/>
  <c r="BK1092" i="1"/>
  <c r="BL1092" i="1" s="1"/>
  <c r="BF797" i="1"/>
  <c r="BG797" i="1" s="1"/>
  <c r="BH797" i="1"/>
  <c r="BK797" i="1"/>
  <c r="BL797" i="1" s="1"/>
  <c r="BK123" i="1"/>
  <c r="BL123" i="1" s="1"/>
  <c r="BF123" i="1"/>
  <c r="BG123" i="1" s="1"/>
  <c r="BH123" i="1"/>
  <c r="BH180" i="1"/>
  <c r="BF180" i="1"/>
  <c r="BG180" i="1" s="1"/>
  <c r="BK180" i="1"/>
  <c r="BL180" i="1" s="1"/>
  <c r="BK1406" i="1"/>
  <c r="BL1406" i="1" s="1"/>
  <c r="BH1406" i="1"/>
  <c r="BF1406" i="1"/>
  <c r="BG1406" i="1" s="1"/>
  <c r="BF1280" i="1"/>
  <c r="BG1280" i="1" s="1"/>
  <c r="BH1280" i="1"/>
  <c r="BK1280" i="1"/>
  <c r="BL1280" i="1" s="1"/>
  <c r="BF248" i="1"/>
  <c r="BG248" i="1" s="1"/>
  <c r="BH248" i="1"/>
  <c r="BK248" i="1"/>
  <c r="BL248" i="1" s="1"/>
  <c r="BH752" i="1"/>
  <c r="BF752" i="1"/>
  <c r="BG752" i="1" s="1"/>
  <c r="BK752" i="1"/>
  <c r="BL752" i="1" s="1"/>
  <c r="BK199" i="1"/>
  <c r="BL199" i="1" s="1"/>
  <c r="BH199" i="1"/>
  <c r="BF199" i="1"/>
  <c r="BG199" i="1" s="1"/>
  <c r="BH143" i="1"/>
  <c r="BF143" i="1"/>
  <c r="BG143" i="1" s="1"/>
  <c r="BK143" i="1"/>
  <c r="BL143" i="1" s="1"/>
  <c r="BK136" i="1"/>
  <c r="BL136" i="1" s="1"/>
  <c r="BH136" i="1"/>
  <c r="BF136" i="1"/>
  <c r="BG136" i="1" s="1"/>
  <c r="BF232" i="1"/>
  <c r="BG232" i="1" s="1"/>
  <c r="BH232" i="1"/>
  <c r="BK232" i="1"/>
  <c r="BL232" i="1" s="1"/>
  <c r="BF1398" i="1"/>
  <c r="BG1398" i="1" s="1"/>
  <c r="BH1398" i="1"/>
  <c r="BK1398" i="1"/>
  <c r="BL1398" i="1" s="1"/>
  <c r="BK1591" i="1"/>
  <c r="BL1591" i="1" s="1"/>
  <c r="BF1591" i="1"/>
  <c r="BG1591" i="1" s="1"/>
  <c r="BH1591" i="1"/>
  <c r="BK1307" i="1"/>
  <c r="BL1307" i="1" s="1"/>
  <c r="BH1307" i="1"/>
  <c r="BF1307" i="1"/>
  <c r="BG1307" i="1" s="1"/>
  <c r="BK1597" i="1"/>
  <c r="BL1597" i="1" s="1"/>
  <c r="BF1597" i="1"/>
  <c r="BG1597" i="1" s="1"/>
  <c r="BH1597" i="1"/>
  <c r="BF1293" i="1"/>
  <c r="BG1293" i="1" s="1"/>
  <c r="BK1293" i="1"/>
  <c r="BL1293" i="1" s="1"/>
  <c r="BH1293" i="1"/>
  <c r="BF1090" i="1"/>
  <c r="BG1090" i="1" s="1"/>
  <c r="BK1090" i="1"/>
  <c r="BL1090" i="1" s="1"/>
  <c r="BH1090" i="1"/>
  <c r="BH801" i="1"/>
  <c r="BK801" i="1"/>
  <c r="BL801" i="1" s="1"/>
  <c r="BF801" i="1"/>
  <c r="BG801" i="1" s="1"/>
  <c r="BF739" i="1"/>
  <c r="BG739" i="1" s="1"/>
  <c r="BH739" i="1"/>
  <c r="BK739" i="1"/>
  <c r="BL739" i="1" s="1"/>
  <c r="BF1713" i="1"/>
  <c r="BG1713" i="1" s="1"/>
  <c r="BH1713" i="1"/>
  <c r="BK1713" i="1"/>
  <c r="BL1713" i="1" s="1"/>
  <c r="BF1112" i="1"/>
  <c r="BG1112" i="1" s="1"/>
  <c r="BK1112" i="1"/>
  <c r="BL1112" i="1" s="1"/>
  <c r="BH1112" i="1"/>
  <c r="BH933" i="1"/>
  <c r="BF933" i="1"/>
  <c r="BG933" i="1" s="1"/>
  <c r="BK933" i="1"/>
  <c r="BL933" i="1" s="1"/>
  <c r="BF427" i="1"/>
  <c r="BG427" i="1" s="1"/>
  <c r="BH427" i="1"/>
  <c r="BK427" i="1"/>
  <c r="BL427" i="1" s="1"/>
  <c r="BF1144" i="1"/>
  <c r="BG1144" i="1" s="1"/>
  <c r="BH1144" i="1"/>
  <c r="BK1144" i="1"/>
  <c r="BL1144" i="1" s="1"/>
  <c r="BF616" i="1"/>
  <c r="BG616" i="1" s="1"/>
  <c r="BH616" i="1"/>
  <c r="BK616" i="1"/>
  <c r="BL616" i="1" s="1"/>
  <c r="BF48" i="1"/>
  <c r="BG48" i="1" s="1"/>
  <c r="BK48" i="1"/>
  <c r="BL48" i="1" s="1"/>
  <c r="BH48" i="1"/>
  <c r="BF768" i="1"/>
  <c r="BG768" i="1" s="1"/>
  <c r="BH768" i="1"/>
  <c r="BK768" i="1"/>
  <c r="BL768" i="1" s="1"/>
  <c r="BF1630" i="1"/>
  <c r="BG1630" i="1" s="1"/>
  <c r="BH1630" i="1"/>
  <c r="BK1630" i="1"/>
  <c r="BL1630" i="1" s="1"/>
  <c r="BK1437" i="1"/>
  <c r="BL1437" i="1" s="1"/>
  <c r="BF1437" i="1"/>
  <c r="BG1437" i="1" s="1"/>
  <c r="BH1437" i="1"/>
  <c r="BK977" i="1"/>
  <c r="BL977" i="1" s="1"/>
  <c r="BH977" i="1"/>
  <c r="BF977" i="1"/>
  <c r="BG977" i="1" s="1"/>
  <c r="BH1169" i="1"/>
  <c r="BF1169" i="1"/>
  <c r="BG1169" i="1" s="1"/>
  <c r="BK1169" i="1"/>
  <c r="BL1169" i="1" s="1"/>
  <c r="BH128" i="1"/>
  <c r="BK128" i="1"/>
  <c r="BL128" i="1" s="1"/>
  <c r="BF128" i="1"/>
  <c r="BG128" i="1" s="1"/>
  <c r="BK1475" i="1"/>
  <c r="BL1475" i="1" s="1"/>
  <c r="BH1475" i="1"/>
  <c r="BF1475" i="1"/>
  <c r="BG1475" i="1" s="1"/>
  <c r="BH1094" i="1"/>
  <c r="BF1094" i="1"/>
  <c r="BG1094" i="1" s="1"/>
  <c r="BK1094" i="1"/>
  <c r="BL1094" i="1" s="1"/>
  <c r="BK1577" i="1"/>
  <c r="BL1577" i="1" s="1"/>
  <c r="BH1577" i="1"/>
  <c r="BF1577" i="1"/>
  <c r="BG1577" i="1" s="1"/>
  <c r="BK463" i="1"/>
  <c r="BL463" i="1" s="1"/>
  <c r="BH463" i="1"/>
  <c r="BF463" i="1"/>
  <c r="BG463" i="1" s="1"/>
  <c r="BH430" i="1"/>
  <c r="BK430" i="1"/>
  <c r="BL430" i="1" s="1"/>
  <c r="BF430" i="1"/>
  <c r="BG430" i="1" s="1"/>
  <c r="BH54" i="1"/>
  <c r="BK54" i="1"/>
  <c r="BL54" i="1" s="1"/>
  <c r="BF54" i="1"/>
  <c r="BG54" i="1" s="1"/>
  <c r="BH1085" i="1"/>
  <c r="BK1085" i="1"/>
  <c r="BL1085" i="1" s="1"/>
  <c r="BF1085" i="1"/>
  <c r="BG1085" i="1" s="1"/>
  <c r="BF432" i="1"/>
  <c r="BG432" i="1" s="1"/>
  <c r="BK432" i="1"/>
  <c r="BL432" i="1" s="1"/>
  <c r="BH432" i="1"/>
  <c r="BF715" i="1"/>
  <c r="BG715" i="1" s="1"/>
  <c r="BH715" i="1"/>
  <c r="BK715" i="1"/>
  <c r="BL715" i="1" s="1"/>
  <c r="BF871" i="1"/>
  <c r="BG871" i="1" s="1"/>
  <c r="BK871" i="1"/>
  <c r="BL871" i="1" s="1"/>
  <c r="BH871" i="1"/>
  <c r="BK811" i="1"/>
  <c r="BL811" i="1" s="1"/>
  <c r="BF811" i="1"/>
  <c r="BG811" i="1" s="1"/>
  <c r="BH811" i="1"/>
  <c r="BH1321" i="1"/>
  <c r="BF1321" i="1"/>
  <c r="BG1321" i="1" s="1"/>
  <c r="BK1321" i="1"/>
  <c r="BL1321" i="1" s="1"/>
  <c r="BK113" i="1"/>
  <c r="BL113" i="1" s="1"/>
  <c r="BF113" i="1"/>
  <c r="BG113" i="1" s="1"/>
  <c r="BH113" i="1"/>
  <c r="BF1606" i="1"/>
  <c r="BG1606" i="1" s="1"/>
  <c r="BH1606" i="1"/>
  <c r="BK1606" i="1"/>
  <c r="BL1606" i="1" s="1"/>
  <c r="BK648" i="1"/>
  <c r="BL648" i="1" s="1"/>
  <c r="BH648" i="1"/>
  <c r="BF648" i="1"/>
  <c r="BG648" i="1" s="1"/>
  <c r="BH1333" i="1"/>
  <c r="BF1333" i="1"/>
  <c r="BG1333" i="1" s="1"/>
  <c r="BK1333" i="1"/>
  <c r="BL1333" i="1" s="1"/>
  <c r="BF738" i="1"/>
  <c r="BG738" i="1" s="1"/>
  <c r="BH738" i="1"/>
  <c r="BK738" i="1"/>
  <c r="BL738" i="1" s="1"/>
  <c r="BF1128" i="1"/>
  <c r="BG1128" i="1" s="1"/>
  <c r="BH1128" i="1"/>
  <c r="BK1128" i="1"/>
  <c r="BL1128" i="1" s="1"/>
  <c r="BH1218" i="1"/>
  <c r="BF1218" i="1"/>
  <c r="BG1218" i="1" s="1"/>
  <c r="BK1218" i="1"/>
  <c r="BL1218" i="1" s="1"/>
  <c r="BH252" i="1"/>
  <c r="BF252" i="1"/>
  <c r="BG252" i="1" s="1"/>
  <c r="BK252" i="1"/>
  <c r="BL252" i="1" s="1"/>
  <c r="BH1528" i="1"/>
  <c r="BK1528" i="1"/>
  <c r="BL1528" i="1" s="1"/>
  <c r="BF1528" i="1"/>
  <c r="BG1528" i="1" s="1"/>
  <c r="BK1363" i="1"/>
  <c r="BL1363" i="1" s="1"/>
  <c r="BF1363" i="1"/>
  <c r="BG1363" i="1" s="1"/>
  <c r="BH1363" i="1"/>
  <c r="BH998" i="1"/>
  <c r="BF998" i="1"/>
  <c r="BG998" i="1" s="1"/>
  <c r="BK998" i="1"/>
  <c r="BL998" i="1" s="1"/>
  <c r="BK1418" i="1"/>
  <c r="BL1418" i="1" s="1"/>
  <c r="BH1418" i="1"/>
  <c r="BF1418" i="1"/>
  <c r="BG1418" i="1" s="1"/>
  <c r="BH900" i="1"/>
  <c r="BF900" i="1"/>
  <c r="BG900" i="1" s="1"/>
  <c r="BK900" i="1"/>
  <c r="BL900" i="1" s="1"/>
  <c r="BK1237" i="1"/>
  <c r="BL1237" i="1" s="1"/>
  <c r="BH1237" i="1"/>
  <c r="BF1237" i="1"/>
  <c r="BG1237" i="1" s="1"/>
  <c r="BF328" i="1"/>
  <c r="BG328" i="1" s="1"/>
  <c r="BH328" i="1"/>
  <c r="BK328" i="1"/>
  <c r="BL328" i="1" s="1"/>
  <c r="BF1161" i="1"/>
  <c r="BG1161" i="1" s="1"/>
  <c r="BK1161" i="1"/>
  <c r="BL1161" i="1" s="1"/>
  <c r="BH1161" i="1"/>
  <c r="BK1679" i="1"/>
  <c r="BL1679" i="1" s="1"/>
  <c r="BF1679" i="1"/>
  <c r="BG1679" i="1" s="1"/>
  <c r="BH1679" i="1"/>
  <c r="BH55" i="1"/>
  <c r="BF55" i="1"/>
  <c r="BG55" i="1" s="1"/>
  <c r="BK55" i="1"/>
  <c r="BL55" i="1" s="1"/>
  <c r="BH868" i="1"/>
  <c r="BF868" i="1"/>
  <c r="BG868" i="1" s="1"/>
  <c r="BK868" i="1"/>
  <c r="BL868" i="1" s="1"/>
  <c r="BK465" i="1"/>
  <c r="BL465" i="1" s="1"/>
  <c r="BH465" i="1"/>
  <c r="BF465" i="1"/>
  <c r="BG465" i="1" s="1"/>
  <c r="BF1689" i="1"/>
  <c r="BG1689" i="1" s="1"/>
  <c r="BK1689" i="1"/>
  <c r="BL1689" i="1" s="1"/>
  <c r="BH1689" i="1"/>
  <c r="BF1683" i="1"/>
  <c r="BG1683" i="1" s="1"/>
  <c r="BK1683" i="1"/>
  <c r="BL1683" i="1" s="1"/>
  <c r="BH1683" i="1"/>
  <c r="BF437" i="1"/>
  <c r="BG437" i="1" s="1"/>
  <c r="BK437" i="1"/>
  <c r="BL437" i="1" s="1"/>
  <c r="BH437" i="1"/>
  <c r="BF1138" i="1"/>
  <c r="BG1138" i="1" s="1"/>
  <c r="BH1138" i="1"/>
  <c r="BK1138" i="1"/>
  <c r="BL1138" i="1" s="1"/>
  <c r="BK167" i="1"/>
  <c r="BL167" i="1" s="1"/>
  <c r="BH167" i="1"/>
  <c r="BF167" i="1"/>
  <c r="BG167" i="1" s="1"/>
  <c r="BF1075" i="1"/>
  <c r="BG1075" i="1" s="1"/>
  <c r="BK1075" i="1"/>
  <c r="BL1075" i="1" s="1"/>
  <c r="BH1075" i="1"/>
  <c r="BF1378" i="1"/>
  <c r="BG1378" i="1" s="1"/>
  <c r="BH1378" i="1"/>
  <c r="BK1378" i="1"/>
  <c r="BL1378" i="1" s="1"/>
  <c r="BF905" i="1"/>
  <c r="BG905" i="1" s="1"/>
  <c r="BH905" i="1"/>
  <c r="BK905" i="1"/>
  <c r="BL905" i="1" s="1"/>
  <c r="BH628" i="1"/>
  <c r="BF628" i="1"/>
  <c r="BG628" i="1" s="1"/>
  <c r="BK628" i="1"/>
  <c r="BL628" i="1" s="1"/>
  <c r="BF397" i="1"/>
  <c r="BG397" i="1" s="1"/>
  <c r="BH397" i="1"/>
  <c r="BK397" i="1"/>
  <c r="BL397" i="1" s="1"/>
  <c r="BH1230" i="1"/>
  <c r="BF1230" i="1"/>
  <c r="BG1230" i="1" s="1"/>
  <c r="BK1230" i="1"/>
  <c r="BL1230" i="1" s="1"/>
  <c r="BH1502" i="1"/>
  <c r="BF1502" i="1"/>
  <c r="BG1502" i="1" s="1"/>
  <c r="BK1502" i="1"/>
  <c r="BL1502" i="1" s="1"/>
  <c r="BH1179" i="1"/>
  <c r="BF1179" i="1"/>
  <c r="BG1179" i="1" s="1"/>
  <c r="BK1179" i="1"/>
  <c r="BL1179" i="1" s="1"/>
  <c r="BH72" i="1"/>
  <c r="BF72" i="1"/>
  <c r="BG72" i="1" s="1"/>
  <c r="BK72" i="1"/>
  <c r="BL72" i="1" s="1"/>
  <c r="BF1594" i="1"/>
  <c r="BG1594" i="1" s="1"/>
  <c r="BK1594" i="1"/>
  <c r="BL1594" i="1" s="1"/>
  <c r="BH1594" i="1"/>
  <c r="BK67" i="1"/>
  <c r="BL67" i="1" s="1"/>
  <c r="BF67" i="1"/>
  <c r="BG67" i="1" s="1"/>
  <c r="BH67" i="1"/>
  <c r="BF1231" i="1"/>
  <c r="BG1231" i="1" s="1"/>
  <c r="BH1231" i="1"/>
  <c r="BK1231" i="1"/>
  <c r="BL1231" i="1" s="1"/>
  <c r="BK761" i="1"/>
  <c r="BL761" i="1" s="1"/>
  <c r="BH761" i="1"/>
  <c r="BF761" i="1"/>
  <c r="BG761" i="1" s="1"/>
  <c r="BK1516" i="1"/>
  <c r="BL1516" i="1" s="1"/>
  <c r="BH1516" i="1"/>
  <c r="BF1516" i="1"/>
  <c r="BG1516" i="1" s="1"/>
  <c r="BH434" i="1"/>
  <c r="BK434" i="1"/>
  <c r="BL434" i="1" s="1"/>
  <c r="BF434" i="1"/>
  <c r="BG434" i="1" s="1"/>
  <c r="BK1157" i="1"/>
  <c r="BL1157" i="1" s="1"/>
  <c r="BH1157" i="1"/>
  <c r="BF1157" i="1"/>
  <c r="BG1157" i="1" s="1"/>
  <c r="BH726" i="1"/>
  <c r="BF726" i="1"/>
  <c r="BG726" i="1" s="1"/>
  <c r="BK726" i="1"/>
  <c r="BL726" i="1" s="1"/>
  <c r="BH1241" i="1"/>
  <c r="BF1241" i="1"/>
  <c r="BG1241" i="1" s="1"/>
  <c r="BK1241" i="1"/>
  <c r="BL1241" i="1" s="1"/>
  <c r="BF904" i="1"/>
  <c r="BG904" i="1" s="1"/>
  <c r="BH904" i="1"/>
  <c r="BK904" i="1"/>
  <c r="BL904" i="1" s="1"/>
  <c r="BH718" i="1"/>
  <c r="BF718" i="1"/>
  <c r="BG718" i="1" s="1"/>
  <c r="BK718" i="1"/>
  <c r="BL718" i="1" s="1"/>
  <c r="BH767" i="1"/>
  <c r="BF767" i="1"/>
  <c r="BG767" i="1" s="1"/>
  <c r="BK767" i="1"/>
  <c r="BL767" i="1" s="1"/>
  <c r="BH1436" i="1"/>
  <c r="BF1436" i="1"/>
  <c r="BG1436" i="1" s="1"/>
  <c r="BK1436" i="1"/>
  <c r="BL1436" i="1" s="1"/>
  <c r="BK931" i="1"/>
  <c r="BL931" i="1" s="1"/>
  <c r="BF931" i="1"/>
  <c r="BG931" i="1" s="1"/>
  <c r="BH931" i="1"/>
  <c r="BF1196" i="1"/>
  <c r="BG1196" i="1" s="1"/>
  <c r="BK1196" i="1"/>
  <c r="BL1196" i="1" s="1"/>
  <c r="BH1196" i="1"/>
  <c r="BH602" i="1"/>
  <c r="BF602" i="1"/>
  <c r="BG602" i="1" s="1"/>
  <c r="BK602" i="1"/>
  <c r="BL602" i="1" s="1"/>
  <c r="BH1529" i="1"/>
  <c r="BF1529" i="1"/>
  <c r="BG1529" i="1" s="1"/>
  <c r="BK1529" i="1"/>
  <c r="BL1529" i="1" s="1"/>
  <c r="BK65" i="1"/>
  <c r="BL65" i="1" s="1"/>
  <c r="BF65" i="1"/>
  <c r="BG65" i="1" s="1"/>
  <c r="BH65" i="1"/>
  <c r="BH923" i="1"/>
  <c r="BF923" i="1"/>
  <c r="BG923" i="1" s="1"/>
  <c r="BK923" i="1"/>
  <c r="BL923" i="1" s="1"/>
  <c r="BH765" i="1"/>
  <c r="BF765" i="1"/>
  <c r="BG765" i="1" s="1"/>
  <c r="BK765" i="1"/>
  <c r="BL765" i="1" s="1"/>
  <c r="BK965" i="1"/>
  <c r="BL965" i="1" s="1"/>
  <c r="BH965" i="1"/>
  <c r="BF965" i="1"/>
  <c r="BG965" i="1" s="1"/>
  <c r="BH96" i="1"/>
  <c r="BK96" i="1"/>
  <c r="BL96" i="1" s="1"/>
  <c r="BF96" i="1"/>
  <c r="BG96" i="1" s="1"/>
  <c r="BF1270" i="1"/>
  <c r="BG1270" i="1" s="1"/>
  <c r="BH1270" i="1"/>
  <c r="BK1270" i="1"/>
  <c r="BL1270" i="1" s="1"/>
  <c r="BH1448" i="1"/>
  <c r="BF1448" i="1"/>
  <c r="BG1448" i="1" s="1"/>
  <c r="BK1448" i="1"/>
  <c r="BL1448" i="1" s="1"/>
  <c r="BK1111" i="1"/>
  <c r="BL1111" i="1" s="1"/>
  <c r="BF1111" i="1"/>
  <c r="BG1111" i="1" s="1"/>
  <c r="BH1111" i="1"/>
  <c r="BK372" i="1"/>
  <c r="BL372" i="1" s="1"/>
  <c r="BF372" i="1"/>
  <c r="BG372" i="1" s="1"/>
  <c r="BH372" i="1"/>
  <c r="BH173" i="1"/>
  <c r="BF173" i="1"/>
  <c r="BG173" i="1" s="1"/>
  <c r="BK173" i="1"/>
  <c r="BL173" i="1" s="1"/>
  <c r="BK794" i="1"/>
  <c r="BL794" i="1" s="1"/>
  <c r="BH794" i="1"/>
  <c r="BF794" i="1"/>
  <c r="BG794" i="1" s="1"/>
  <c r="BF1117" i="1"/>
  <c r="BG1117" i="1" s="1"/>
  <c r="BK1117" i="1"/>
  <c r="BL1117" i="1" s="1"/>
  <c r="BH1117" i="1"/>
  <c r="BK350" i="1"/>
  <c r="BL350" i="1" s="1"/>
  <c r="BF350" i="1"/>
  <c r="BG350" i="1" s="1"/>
  <c r="BH350" i="1"/>
  <c r="BH309" i="1"/>
  <c r="BF309" i="1"/>
  <c r="BG309" i="1" s="1"/>
  <c r="BK309" i="1"/>
  <c r="BL309" i="1" s="1"/>
  <c r="BF491" i="1"/>
  <c r="BG491" i="1" s="1"/>
  <c r="BH491" i="1"/>
  <c r="BK491" i="1"/>
  <c r="BL491" i="1" s="1"/>
  <c r="BH138" i="1"/>
  <c r="BF138" i="1"/>
  <c r="BG138" i="1" s="1"/>
  <c r="BK138" i="1"/>
  <c r="BL138" i="1" s="1"/>
  <c r="BH1686" i="1"/>
  <c r="BK1686" i="1"/>
  <c r="BL1686" i="1" s="1"/>
  <c r="BF1686" i="1"/>
  <c r="BG1686" i="1" s="1"/>
  <c r="BH1062" i="1"/>
  <c r="BF1062" i="1"/>
  <c r="BG1062" i="1" s="1"/>
  <c r="BK1062" i="1"/>
  <c r="BL1062" i="1" s="1"/>
  <c r="BK1379" i="1"/>
  <c r="BL1379" i="1" s="1"/>
  <c r="BH1379" i="1"/>
  <c r="BF1379" i="1"/>
  <c r="BG1379" i="1" s="1"/>
  <c r="BK878" i="1"/>
  <c r="BL878" i="1" s="1"/>
  <c r="BF878" i="1"/>
  <c r="BG878" i="1" s="1"/>
  <c r="BH878" i="1"/>
  <c r="BF176" i="1"/>
  <c r="BG176" i="1" s="1"/>
  <c r="BK176" i="1"/>
  <c r="BL176" i="1" s="1"/>
  <c r="BH176" i="1"/>
  <c r="BF1002" i="1"/>
  <c r="BG1002" i="1" s="1"/>
  <c r="BK1002" i="1"/>
  <c r="BL1002" i="1" s="1"/>
  <c r="BH1002" i="1"/>
  <c r="BH1369" i="1"/>
  <c r="BF1369" i="1"/>
  <c r="BG1369" i="1" s="1"/>
  <c r="BK1369" i="1"/>
  <c r="BL1369" i="1" s="1"/>
  <c r="BF296" i="1"/>
  <c r="BG296" i="1" s="1"/>
  <c r="BK296" i="1"/>
  <c r="BL296" i="1" s="1"/>
  <c r="BH296" i="1"/>
  <c r="BH1642" i="1"/>
  <c r="BF1642" i="1"/>
  <c r="BG1642" i="1" s="1"/>
  <c r="BK1642" i="1"/>
  <c r="BL1642" i="1" s="1"/>
  <c r="BF1703" i="1"/>
  <c r="BG1703" i="1" s="1"/>
  <c r="BH1703" i="1"/>
  <c r="BK1703" i="1"/>
  <c r="BL1703" i="1" s="1"/>
  <c r="BF916" i="1"/>
  <c r="BG916" i="1" s="1"/>
  <c r="BK916" i="1"/>
  <c r="BL916" i="1" s="1"/>
  <c r="BH916" i="1"/>
  <c r="BF1388" i="1"/>
  <c r="BG1388" i="1" s="1"/>
  <c r="BH1388" i="1"/>
  <c r="BK1388" i="1"/>
  <c r="BL1388" i="1" s="1"/>
  <c r="BF73" i="1"/>
  <c r="BG73" i="1" s="1"/>
  <c r="BK73" i="1"/>
  <c r="BL73" i="1" s="1"/>
  <c r="BH73" i="1"/>
  <c r="BH1596" i="1"/>
  <c r="BF1596" i="1"/>
  <c r="BG1596" i="1" s="1"/>
  <c r="BK1596" i="1"/>
  <c r="BL1596" i="1" s="1"/>
  <c r="BH1076" i="1"/>
  <c r="BF1076" i="1"/>
  <c r="BG1076" i="1" s="1"/>
  <c r="BK1076" i="1"/>
  <c r="BL1076" i="1" s="1"/>
  <c r="BH1271" i="1"/>
  <c r="BK1271" i="1"/>
  <c r="BL1271" i="1" s="1"/>
  <c r="BF1271" i="1"/>
  <c r="BG1271" i="1" s="1"/>
  <c r="BH1153" i="1"/>
  <c r="BF1153" i="1"/>
  <c r="BG1153" i="1" s="1"/>
  <c r="BK1153" i="1"/>
  <c r="BL1153" i="1" s="1"/>
  <c r="BF669" i="1"/>
  <c r="BG669" i="1" s="1"/>
  <c r="BH669" i="1"/>
  <c r="BK669" i="1"/>
  <c r="BL669" i="1" s="1"/>
  <c r="BK16" i="1"/>
  <c r="BL16" i="1" s="1"/>
  <c r="BH16" i="1"/>
  <c r="BF16" i="1"/>
  <c r="BG16" i="1" s="1"/>
  <c r="BK1632" i="1"/>
  <c r="BL1632" i="1" s="1"/>
  <c r="BF1632" i="1"/>
  <c r="BG1632" i="1" s="1"/>
  <c r="BH1632" i="1"/>
  <c r="BH1284" i="1"/>
  <c r="BF1284" i="1"/>
  <c r="BG1284" i="1" s="1"/>
  <c r="BK1284" i="1"/>
  <c r="BL1284" i="1" s="1"/>
  <c r="BH582" i="1"/>
  <c r="BF582" i="1"/>
  <c r="BG582" i="1" s="1"/>
  <c r="BK582" i="1"/>
  <c r="BL582" i="1" s="1"/>
  <c r="BH791" i="1"/>
  <c r="BF791" i="1"/>
  <c r="BG791" i="1" s="1"/>
  <c r="BK791" i="1"/>
  <c r="BL791" i="1" s="1"/>
  <c r="BF644" i="1"/>
  <c r="BG644" i="1" s="1"/>
  <c r="BK644" i="1"/>
  <c r="BL644" i="1" s="1"/>
  <c r="BH644" i="1"/>
  <c r="BF577" i="1"/>
  <c r="BG577" i="1" s="1"/>
  <c r="BH577" i="1"/>
  <c r="BK577" i="1"/>
  <c r="BL577" i="1" s="1"/>
  <c r="BH983" i="1"/>
  <c r="BK983" i="1"/>
  <c r="BL983" i="1" s="1"/>
  <c r="BF983" i="1"/>
  <c r="BG983" i="1" s="1"/>
  <c r="BH699" i="1"/>
  <c r="BF699" i="1"/>
  <c r="BG699" i="1" s="1"/>
  <c r="BK699" i="1"/>
  <c r="BL699" i="1" s="1"/>
  <c r="BF1569" i="1"/>
  <c r="BG1569" i="1" s="1"/>
  <c r="BH1569" i="1"/>
  <c r="BK1569" i="1"/>
  <c r="BL1569" i="1" s="1"/>
  <c r="BH854" i="1"/>
  <c r="BF854" i="1"/>
  <c r="BG854" i="1" s="1"/>
  <c r="BK854" i="1"/>
  <c r="BL854" i="1" s="1"/>
  <c r="BH727" i="1"/>
  <c r="BF727" i="1"/>
  <c r="BG727" i="1" s="1"/>
  <c r="BK727" i="1"/>
  <c r="BL727" i="1" s="1"/>
  <c r="BH955" i="1"/>
  <c r="BF955" i="1"/>
  <c r="BG955" i="1" s="1"/>
  <c r="BK955" i="1"/>
  <c r="BL955" i="1" s="1"/>
  <c r="BH234" i="1"/>
  <c r="BF234" i="1"/>
  <c r="BG234" i="1" s="1"/>
  <c r="BK234" i="1"/>
  <c r="BL234" i="1" s="1"/>
  <c r="BF1329" i="1"/>
  <c r="BG1329" i="1" s="1"/>
  <c r="BH1329" i="1"/>
  <c r="BK1329" i="1"/>
  <c r="BL1329" i="1" s="1"/>
  <c r="BH283" i="1"/>
  <c r="BK283" i="1"/>
  <c r="BL283" i="1" s="1"/>
  <c r="BF283" i="1"/>
  <c r="BG283" i="1" s="1"/>
  <c r="BF475" i="1"/>
  <c r="BG475" i="1" s="1"/>
  <c r="BH475" i="1"/>
  <c r="BK475" i="1"/>
  <c r="BL475" i="1" s="1"/>
  <c r="BH1253" i="1"/>
  <c r="BK1253" i="1"/>
  <c r="BL1253" i="1" s="1"/>
  <c r="BF1253" i="1"/>
  <c r="BG1253" i="1" s="1"/>
  <c r="BH402" i="1"/>
  <c r="BF402" i="1"/>
  <c r="BG402" i="1" s="1"/>
  <c r="BK402" i="1"/>
  <c r="BL402" i="1" s="1"/>
  <c r="BH976" i="1"/>
  <c r="BK976" i="1"/>
  <c r="BL976" i="1" s="1"/>
  <c r="BF976" i="1"/>
  <c r="BG976" i="1" s="1"/>
  <c r="BF295" i="1"/>
  <c r="BG295" i="1" s="1"/>
  <c r="BK295" i="1"/>
  <c r="BL295" i="1" s="1"/>
  <c r="BH295" i="1"/>
  <c r="BK381" i="1"/>
  <c r="BL381" i="1" s="1"/>
  <c r="BH381" i="1"/>
  <c r="BF381" i="1"/>
  <c r="BG381" i="1" s="1"/>
  <c r="BF1505" i="1"/>
  <c r="BG1505" i="1" s="1"/>
  <c r="BH1505" i="1"/>
  <c r="BK1505" i="1"/>
  <c r="BL1505" i="1" s="1"/>
  <c r="BK82" i="1"/>
  <c r="BL82" i="1" s="1"/>
  <c r="BH82" i="1"/>
  <c r="BF82" i="1"/>
  <c r="BG82" i="1" s="1"/>
  <c r="BF1447" i="1"/>
  <c r="BG1447" i="1" s="1"/>
  <c r="BH1447" i="1"/>
  <c r="BK1447" i="1"/>
  <c r="BL1447" i="1" s="1"/>
  <c r="BK1565" i="1"/>
  <c r="BL1565" i="1" s="1"/>
  <c r="BH1565" i="1"/>
  <c r="BF1565" i="1"/>
  <c r="BG1565" i="1" s="1"/>
  <c r="BF687" i="1"/>
  <c r="BG687" i="1" s="1"/>
  <c r="BK687" i="1"/>
  <c r="BL687" i="1" s="1"/>
  <c r="BH687" i="1"/>
  <c r="BH929" i="1"/>
  <c r="BF929" i="1"/>
  <c r="BG929" i="1" s="1"/>
  <c r="BK929" i="1"/>
  <c r="BL929" i="1" s="1"/>
  <c r="BF1273" i="1"/>
  <c r="BG1273" i="1" s="1"/>
  <c r="BK1273" i="1"/>
  <c r="BL1273" i="1" s="1"/>
  <c r="BH1273" i="1"/>
  <c r="BH1407" i="1"/>
  <c r="BK1407" i="1"/>
  <c r="BL1407" i="1" s="1"/>
  <c r="BF1407" i="1"/>
  <c r="BG1407" i="1" s="1"/>
  <c r="BK692" i="1"/>
  <c r="BL692" i="1" s="1"/>
  <c r="BH692" i="1"/>
  <c r="BF692" i="1"/>
  <c r="BG692" i="1" s="1"/>
  <c r="BK1520" i="1"/>
  <c r="BL1520" i="1" s="1"/>
  <c r="BH1520" i="1"/>
  <c r="BF1520" i="1"/>
  <c r="BG1520" i="1" s="1"/>
  <c r="BK348" i="1"/>
  <c r="BL348" i="1" s="1"/>
  <c r="BH348" i="1"/>
  <c r="BF348" i="1"/>
  <c r="BG348" i="1" s="1"/>
  <c r="BK1612" i="1"/>
  <c r="BL1612" i="1" s="1"/>
  <c r="BH1612" i="1"/>
  <c r="BF1612" i="1"/>
  <c r="BG1612" i="1" s="1"/>
  <c r="BF439" i="1"/>
  <c r="BG439" i="1" s="1"/>
  <c r="BK439" i="1"/>
  <c r="BL439" i="1" s="1"/>
  <c r="BH439" i="1"/>
  <c r="BK492" i="1"/>
  <c r="BL492" i="1" s="1"/>
  <c r="BH492" i="1"/>
  <c r="BF492" i="1"/>
  <c r="BG492" i="1" s="1"/>
  <c r="BH893" i="1"/>
  <c r="BF893" i="1"/>
  <c r="BG893" i="1" s="1"/>
  <c r="BK893" i="1"/>
  <c r="BL893" i="1" s="1"/>
  <c r="BK1331" i="1"/>
  <c r="BL1331" i="1" s="1"/>
  <c r="BF1331" i="1"/>
  <c r="BG1331" i="1" s="1"/>
  <c r="BH1331" i="1"/>
  <c r="BF938" i="1"/>
  <c r="BG938" i="1" s="1"/>
  <c r="BK938" i="1"/>
  <c r="BL938" i="1" s="1"/>
  <c r="BH938" i="1"/>
  <c r="BH1647" i="1"/>
  <c r="BK1647" i="1"/>
  <c r="BL1647" i="1" s="1"/>
  <c r="BF1647" i="1"/>
  <c r="BG1647" i="1" s="1"/>
  <c r="BK1342" i="1"/>
  <c r="BL1342" i="1" s="1"/>
  <c r="BH1342" i="1"/>
  <c r="BF1342" i="1"/>
  <c r="BG1342" i="1" s="1"/>
  <c r="BK534" i="1"/>
  <c r="BL534" i="1" s="1"/>
  <c r="BH534" i="1"/>
  <c r="BF534" i="1"/>
  <c r="BG534" i="1" s="1"/>
  <c r="BH184" i="1"/>
  <c r="BK184" i="1"/>
  <c r="BL184" i="1" s="1"/>
  <c r="BF184" i="1"/>
  <c r="BG184" i="1" s="1"/>
  <c r="BH612" i="1"/>
  <c r="BF612" i="1"/>
  <c r="BG612" i="1" s="1"/>
  <c r="BK612" i="1"/>
  <c r="BL612" i="1" s="1"/>
  <c r="BF725" i="1"/>
  <c r="BG725" i="1" s="1"/>
  <c r="BK725" i="1"/>
  <c r="BL725" i="1" s="1"/>
  <c r="BH725" i="1"/>
  <c r="BK717" i="1"/>
  <c r="BL717" i="1" s="1"/>
  <c r="BH717" i="1"/>
  <c r="BF717" i="1"/>
  <c r="BG717" i="1" s="1"/>
  <c r="BH359" i="1"/>
  <c r="BF359" i="1"/>
  <c r="BG359" i="1" s="1"/>
  <c r="BK359" i="1"/>
  <c r="BL359" i="1" s="1"/>
  <c r="BF1308" i="1"/>
  <c r="BG1308" i="1" s="1"/>
  <c r="BK1308" i="1"/>
  <c r="BL1308" i="1" s="1"/>
  <c r="BH1308" i="1"/>
  <c r="BH413" i="1"/>
  <c r="BK413" i="1"/>
  <c r="BL413" i="1" s="1"/>
  <c r="BF413" i="1"/>
  <c r="BG413" i="1" s="1"/>
  <c r="BH1690" i="1"/>
  <c r="BF1690" i="1"/>
  <c r="BG1690" i="1" s="1"/>
  <c r="BK1690" i="1"/>
  <c r="BL1690" i="1" s="1"/>
  <c r="BK382" i="1"/>
  <c r="BL382" i="1" s="1"/>
  <c r="BF382" i="1"/>
  <c r="BG382" i="1" s="1"/>
  <c r="BH382" i="1"/>
  <c r="BK394" i="1"/>
  <c r="BL394" i="1" s="1"/>
  <c r="BH394" i="1"/>
  <c r="BF394" i="1"/>
  <c r="BG394" i="1" s="1"/>
  <c r="BK981" i="1"/>
  <c r="BL981" i="1" s="1"/>
  <c r="BH981" i="1"/>
  <c r="BF981" i="1"/>
  <c r="BG981" i="1" s="1"/>
  <c r="BH127" i="1"/>
  <c r="BF127" i="1"/>
  <c r="BG127" i="1" s="1"/>
  <c r="BK127" i="1"/>
  <c r="BL127" i="1" s="1"/>
  <c r="BK261" i="1"/>
  <c r="BL261" i="1" s="1"/>
  <c r="BH261" i="1"/>
  <c r="BF261" i="1"/>
  <c r="BG261" i="1" s="1"/>
  <c r="BH1243" i="1"/>
  <c r="BF1243" i="1"/>
  <c r="BG1243" i="1" s="1"/>
  <c r="BK1243" i="1"/>
  <c r="BL1243" i="1" s="1"/>
  <c r="BF1662" i="1"/>
  <c r="BG1662" i="1" s="1"/>
  <c r="BH1662" i="1"/>
  <c r="BK1662" i="1"/>
  <c r="BL1662" i="1" s="1"/>
  <c r="BF1468" i="1"/>
  <c r="BG1468" i="1" s="1"/>
  <c r="BH1468" i="1"/>
  <c r="BK1468" i="1"/>
  <c r="BL1468" i="1" s="1"/>
  <c r="BF970" i="1"/>
  <c r="BG970" i="1" s="1"/>
  <c r="BK970" i="1"/>
  <c r="BL970" i="1" s="1"/>
  <c r="BH970" i="1"/>
  <c r="BH876" i="1"/>
  <c r="BF876" i="1"/>
  <c r="BG876" i="1" s="1"/>
  <c r="BK876" i="1"/>
  <c r="BL876" i="1" s="1"/>
  <c r="BH508" i="1"/>
  <c r="BF508" i="1"/>
  <c r="BG508" i="1" s="1"/>
  <c r="BK508" i="1"/>
  <c r="BL508" i="1" s="1"/>
  <c r="BH277" i="1"/>
  <c r="BF277" i="1"/>
  <c r="BG277" i="1" s="1"/>
  <c r="BK277" i="1"/>
  <c r="BL277" i="1" s="1"/>
  <c r="BH481" i="1"/>
  <c r="BK481" i="1"/>
  <c r="BL481" i="1" s="1"/>
  <c r="BF481" i="1"/>
  <c r="BG481" i="1" s="1"/>
  <c r="BF1205" i="1"/>
  <c r="BG1205" i="1" s="1"/>
  <c r="BH1205" i="1"/>
  <c r="BK1205" i="1"/>
  <c r="BL1205" i="1" s="1"/>
  <c r="BF1430" i="1"/>
  <c r="BG1430" i="1" s="1"/>
  <c r="BH1430" i="1"/>
  <c r="BK1430" i="1"/>
  <c r="BL1430" i="1" s="1"/>
  <c r="BH780" i="1"/>
  <c r="BF780" i="1"/>
  <c r="BG780" i="1" s="1"/>
  <c r="BK780" i="1"/>
  <c r="BL780" i="1" s="1"/>
  <c r="BH869" i="1"/>
  <c r="BK869" i="1"/>
  <c r="BL869" i="1" s="1"/>
  <c r="BF869" i="1"/>
  <c r="BG869" i="1" s="1"/>
  <c r="BH895" i="1"/>
  <c r="BF895" i="1"/>
  <c r="BG895" i="1" s="1"/>
  <c r="BK895" i="1"/>
  <c r="BL895" i="1" s="1"/>
  <c r="BH1615" i="1"/>
  <c r="BK1615" i="1"/>
  <c r="BL1615" i="1" s="1"/>
  <c r="BF1615" i="1"/>
  <c r="BG1615" i="1" s="1"/>
  <c r="BH501" i="1"/>
  <c r="BF501" i="1"/>
  <c r="BG501" i="1" s="1"/>
  <c r="BK501" i="1"/>
  <c r="BL501" i="1" s="1"/>
  <c r="BK125" i="1"/>
  <c r="BL125" i="1" s="1"/>
  <c r="BH125" i="1"/>
  <c r="BF125" i="1"/>
  <c r="BG125" i="1" s="1"/>
  <c r="BF458" i="1"/>
  <c r="BG458" i="1" s="1"/>
  <c r="BK458" i="1"/>
  <c r="BL458" i="1" s="1"/>
  <c r="BH458" i="1"/>
  <c r="BK405" i="1"/>
  <c r="BL405" i="1" s="1"/>
  <c r="BH405" i="1"/>
  <c r="BF405" i="1"/>
  <c r="BG405" i="1" s="1"/>
  <c r="BK837" i="1"/>
  <c r="BL837" i="1" s="1"/>
  <c r="BH837" i="1"/>
  <c r="BF837" i="1"/>
  <c r="BG837" i="1" s="1"/>
  <c r="BF329" i="1"/>
  <c r="BG329" i="1" s="1"/>
  <c r="BH329" i="1"/>
  <c r="BK329" i="1"/>
  <c r="BL329" i="1" s="1"/>
  <c r="BF1508" i="1"/>
  <c r="BG1508" i="1" s="1"/>
  <c r="BH1508" i="1"/>
  <c r="BK1508" i="1"/>
  <c r="BL1508" i="1" s="1"/>
  <c r="BF379" i="1"/>
  <c r="BG379" i="1" s="1"/>
  <c r="BH379" i="1"/>
  <c r="BK379" i="1"/>
  <c r="BL379" i="1" s="1"/>
  <c r="BH1272" i="1"/>
  <c r="BF1272" i="1"/>
  <c r="BG1272" i="1" s="1"/>
  <c r="BK1272" i="1"/>
  <c r="BL1272" i="1" s="1"/>
  <c r="BK1533" i="1"/>
  <c r="BL1533" i="1" s="1"/>
  <c r="BF1533" i="1"/>
  <c r="BG1533" i="1" s="1"/>
  <c r="BH1533" i="1"/>
  <c r="BK92" i="1"/>
  <c r="BL92" i="1" s="1"/>
  <c r="BH92" i="1"/>
  <c r="BF92" i="1"/>
  <c r="BG92" i="1" s="1"/>
  <c r="BH1643" i="1"/>
  <c r="BF1643" i="1"/>
  <c r="BG1643" i="1" s="1"/>
  <c r="BK1643" i="1"/>
  <c r="BL1643" i="1" s="1"/>
  <c r="BF912" i="1"/>
  <c r="BG912" i="1" s="1"/>
  <c r="BH912" i="1"/>
  <c r="BK912" i="1"/>
  <c r="BL912" i="1" s="1"/>
  <c r="BH1578" i="1"/>
  <c r="BF1578" i="1"/>
  <c r="BG1578" i="1" s="1"/>
  <c r="BK1578" i="1"/>
  <c r="BL1578" i="1" s="1"/>
  <c r="BK1201" i="1"/>
  <c r="BL1201" i="1" s="1"/>
  <c r="BF1201" i="1"/>
  <c r="BG1201" i="1" s="1"/>
  <c r="BH1201" i="1"/>
  <c r="BH552" i="1"/>
  <c r="BK552" i="1"/>
  <c r="BL552" i="1" s="1"/>
  <c r="BF552" i="1"/>
  <c r="BG552" i="1" s="1"/>
  <c r="BF1588" i="1"/>
  <c r="BG1588" i="1" s="1"/>
  <c r="BH1588" i="1"/>
  <c r="BK1588" i="1"/>
  <c r="BL1588" i="1" s="1"/>
  <c r="BH1483" i="1"/>
  <c r="BK1483" i="1"/>
  <c r="BL1483" i="1" s="1"/>
  <c r="BF1483" i="1"/>
  <c r="BG1483" i="1" s="1"/>
  <c r="BF114" i="1"/>
  <c r="BG114" i="1" s="1"/>
  <c r="BH114" i="1"/>
  <c r="BK114" i="1"/>
  <c r="BL114" i="1" s="1"/>
  <c r="BH1282" i="1"/>
  <c r="BF1282" i="1"/>
  <c r="BG1282" i="1" s="1"/>
  <c r="BK1282" i="1"/>
  <c r="BL1282" i="1" s="1"/>
  <c r="BF461" i="1"/>
  <c r="BG461" i="1" s="1"/>
  <c r="BK461" i="1"/>
  <c r="BL461" i="1" s="1"/>
  <c r="BH461" i="1"/>
  <c r="BF246" i="1"/>
  <c r="BG246" i="1" s="1"/>
  <c r="BK246" i="1"/>
  <c r="BL246" i="1" s="1"/>
  <c r="BH246" i="1"/>
  <c r="BH1576" i="1"/>
  <c r="BF1576" i="1"/>
  <c r="BG1576" i="1" s="1"/>
  <c r="BK1576" i="1"/>
  <c r="BL1576" i="1" s="1"/>
  <c r="BH202" i="1"/>
  <c r="BF202" i="1"/>
  <c r="BG202" i="1" s="1"/>
  <c r="BK202" i="1"/>
  <c r="BL202" i="1" s="1"/>
  <c r="BH924" i="1"/>
  <c r="BF924" i="1"/>
  <c r="BG924" i="1" s="1"/>
  <c r="BK924" i="1"/>
  <c r="BL924" i="1" s="1"/>
  <c r="BF498" i="1"/>
  <c r="BG498" i="1" s="1"/>
  <c r="BH498" i="1"/>
  <c r="BK498" i="1"/>
  <c r="BL498" i="1" s="1"/>
  <c r="BH1554" i="1"/>
  <c r="BF1554" i="1"/>
  <c r="BG1554" i="1" s="1"/>
  <c r="BK1554" i="1"/>
  <c r="BL1554" i="1" s="1"/>
  <c r="BK792" i="1"/>
  <c r="BL792" i="1" s="1"/>
  <c r="BF792" i="1"/>
  <c r="BG792" i="1" s="1"/>
  <c r="BH792" i="1"/>
  <c r="BH299" i="1"/>
  <c r="BK299" i="1"/>
  <c r="BL299" i="1" s="1"/>
  <c r="BF299" i="1"/>
  <c r="BG299" i="1" s="1"/>
  <c r="BH533" i="1"/>
  <c r="BF533" i="1"/>
  <c r="BG533" i="1" s="1"/>
  <c r="BK533" i="1"/>
  <c r="BL533" i="1" s="1"/>
  <c r="BK1339" i="1"/>
  <c r="BL1339" i="1" s="1"/>
  <c r="BH1339" i="1"/>
  <c r="BF1339" i="1"/>
  <c r="BG1339" i="1" s="1"/>
  <c r="BF1318" i="1"/>
  <c r="BG1318" i="1" s="1"/>
  <c r="BK1318" i="1"/>
  <c r="BL1318" i="1" s="1"/>
  <c r="BH1318" i="1"/>
  <c r="BF43" i="1"/>
  <c r="BG43" i="1" s="1"/>
  <c r="BH43" i="1"/>
  <c r="BK43" i="1"/>
  <c r="BL43" i="1" s="1"/>
  <c r="BH1077" i="1"/>
  <c r="BK1077" i="1"/>
  <c r="BL1077" i="1" s="1"/>
  <c r="BF1077" i="1"/>
  <c r="BG1077" i="1" s="1"/>
  <c r="BH1029" i="1"/>
  <c r="BF1029" i="1"/>
  <c r="BG1029" i="1" s="1"/>
  <c r="BK1029" i="1"/>
  <c r="BL1029" i="1" s="1"/>
  <c r="BH529" i="1"/>
  <c r="BK529" i="1"/>
  <c r="BL529" i="1" s="1"/>
  <c r="BF529" i="1"/>
  <c r="BG529" i="1" s="1"/>
  <c r="BK754" i="1"/>
  <c r="BL754" i="1" s="1"/>
  <c r="BF754" i="1"/>
  <c r="BG754" i="1" s="1"/>
  <c r="BH754" i="1"/>
  <c r="BH666" i="1"/>
  <c r="BF666" i="1"/>
  <c r="BG666" i="1" s="1"/>
  <c r="BK666" i="1"/>
  <c r="BL666" i="1" s="1"/>
  <c r="BK842" i="1"/>
  <c r="BL842" i="1" s="1"/>
  <c r="BH842" i="1"/>
  <c r="BF842" i="1"/>
  <c r="BG842" i="1" s="1"/>
  <c r="BF1103" i="1"/>
  <c r="BG1103" i="1" s="1"/>
  <c r="BH1103" i="1"/>
  <c r="BK1103" i="1"/>
  <c r="BL1103" i="1" s="1"/>
  <c r="BK441" i="1"/>
  <c r="BL441" i="1" s="1"/>
  <c r="BH441" i="1"/>
  <c r="BF441" i="1"/>
  <c r="BG441" i="1" s="1"/>
  <c r="BH992" i="1"/>
  <c r="BF992" i="1"/>
  <c r="BG992" i="1" s="1"/>
  <c r="BK992" i="1"/>
  <c r="BL992" i="1" s="1"/>
  <c r="BF233" i="1"/>
  <c r="BG233" i="1" s="1"/>
  <c r="BH233" i="1"/>
  <c r="BK233" i="1"/>
  <c r="BL233" i="1" s="1"/>
  <c r="BH650" i="1"/>
  <c r="BF650" i="1"/>
  <c r="BG650" i="1" s="1"/>
  <c r="BK650" i="1"/>
  <c r="BL650" i="1" s="1"/>
  <c r="BF1351" i="1"/>
  <c r="BG1351" i="1" s="1"/>
  <c r="BH1351" i="1"/>
  <c r="BK1351" i="1"/>
  <c r="BL1351" i="1" s="1"/>
  <c r="BK300" i="1"/>
  <c r="BL300" i="1" s="1"/>
  <c r="BH300" i="1"/>
  <c r="BF300" i="1"/>
  <c r="BG300" i="1" s="1"/>
  <c r="BH85" i="1"/>
  <c r="BF85" i="1"/>
  <c r="BG85" i="1" s="1"/>
  <c r="BK85" i="1"/>
  <c r="BL85" i="1" s="1"/>
  <c r="BH543" i="1"/>
  <c r="BK543" i="1"/>
  <c r="BL543" i="1" s="1"/>
  <c r="BF543" i="1"/>
  <c r="BG543" i="1" s="1"/>
  <c r="BF147" i="1"/>
  <c r="BG147" i="1" s="1"/>
  <c r="BH147" i="1"/>
  <c r="BK147" i="1"/>
  <c r="BL147" i="1" s="1"/>
  <c r="BF1487" i="1"/>
  <c r="BG1487" i="1" s="1"/>
  <c r="BH1487" i="1"/>
  <c r="BK1487" i="1"/>
  <c r="BL1487" i="1" s="1"/>
  <c r="BH1232" i="1"/>
  <c r="BK1232" i="1"/>
  <c r="BL1232" i="1" s="1"/>
  <c r="BF1232" i="1"/>
  <c r="BG1232" i="1" s="1"/>
  <c r="BH161" i="1"/>
  <c r="BK161" i="1"/>
  <c r="BL161" i="1" s="1"/>
  <c r="BF161" i="1"/>
  <c r="BG161" i="1" s="1"/>
  <c r="BF611" i="1"/>
  <c r="BG611" i="1" s="1"/>
  <c r="BH611" i="1"/>
  <c r="BK611" i="1"/>
  <c r="BL611" i="1" s="1"/>
  <c r="BH1091" i="1"/>
  <c r="BK1091" i="1"/>
  <c r="BL1091" i="1" s="1"/>
  <c r="BF1091" i="1"/>
  <c r="BG1091" i="1" s="1"/>
  <c r="BF747" i="1"/>
  <c r="BG747" i="1" s="1"/>
  <c r="BH747" i="1"/>
  <c r="BK747" i="1"/>
  <c r="BL747" i="1" s="1"/>
  <c r="BF1027" i="1"/>
  <c r="BG1027" i="1" s="1"/>
  <c r="BH1027" i="1"/>
  <c r="BK1027" i="1"/>
  <c r="BL1027" i="1" s="1"/>
  <c r="BH550" i="1"/>
  <c r="BF550" i="1"/>
  <c r="BG550" i="1" s="1"/>
  <c r="BK550" i="1"/>
  <c r="BL550" i="1" s="1"/>
  <c r="BF457" i="1"/>
  <c r="BG457" i="1" s="1"/>
  <c r="BH457" i="1"/>
  <c r="BK457" i="1"/>
  <c r="BL457" i="1" s="1"/>
  <c r="BH1634" i="1"/>
  <c r="BK1634" i="1"/>
  <c r="BL1634" i="1" s="1"/>
  <c r="BF1634" i="1"/>
  <c r="BG1634" i="1" s="1"/>
  <c r="BF548" i="1"/>
  <c r="BG548" i="1" s="1"/>
  <c r="BK548" i="1"/>
  <c r="BL548" i="1" s="1"/>
  <c r="BH548" i="1"/>
  <c r="BF323" i="1"/>
  <c r="BG323" i="1" s="1"/>
  <c r="BH323" i="1"/>
  <c r="BK323" i="1"/>
  <c r="BL323" i="1" s="1"/>
  <c r="BK267" i="1"/>
  <c r="BL267" i="1" s="1"/>
  <c r="BF267" i="1"/>
  <c r="BG267" i="1" s="1"/>
  <c r="BH267" i="1"/>
  <c r="BH1537" i="1"/>
  <c r="BF1537" i="1"/>
  <c r="BG1537" i="1" s="1"/>
  <c r="BK1537" i="1"/>
  <c r="BL1537" i="1" s="1"/>
  <c r="BF79" i="1"/>
  <c r="BG79" i="1" s="1"/>
  <c r="BK79" i="1"/>
  <c r="BL79" i="1" s="1"/>
  <c r="BH79" i="1"/>
  <c r="BH907" i="1"/>
  <c r="BF907" i="1"/>
  <c r="BG907" i="1" s="1"/>
  <c r="BK907" i="1"/>
  <c r="BL907" i="1" s="1"/>
  <c r="BH1610" i="1"/>
  <c r="BF1610" i="1"/>
  <c r="BG1610" i="1" s="1"/>
  <c r="BK1610" i="1"/>
  <c r="BL1610" i="1" s="1"/>
  <c r="BF1598" i="1"/>
  <c r="BG1598" i="1" s="1"/>
  <c r="BH1598" i="1"/>
  <c r="BK1598" i="1"/>
  <c r="BL1598" i="1" s="1"/>
  <c r="BK330" i="1"/>
  <c r="BL330" i="1" s="1"/>
  <c r="BH330" i="1"/>
  <c r="BF330" i="1"/>
  <c r="BG330" i="1" s="1"/>
  <c r="BF831" i="1"/>
  <c r="BG831" i="1" s="1"/>
  <c r="BK831" i="1"/>
  <c r="BL831" i="1" s="1"/>
  <c r="BH831" i="1"/>
  <c r="BK1216" i="1"/>
  <c r="BL1216" i="1" s="1"/>
  <c r="BF1216" i="1"/>
  <c r="BG1216" i="1" s="1"/>
  <c r="BH1216" i="1"/>
  <c r="BK332" i="1"/>
  <c r="BL332" i="1" s="1"/>
  <c r="BH332" i="1"/>
  <c r="BF332" i="1"/>
  <c r="BG332" i="1" s="1"/>
  <c r="BH566" i="1"/>
  <c r="BK566" i="1"/>
  <c r="BL566" i="1" s="1"/>
  <c r="BF566" i="1"/>
  <c r="BG566" i="1" s="1"/>
  <c r="BH175" i="1"/>
  <c r="BK175" i="1"/>
  <c r="BL175" i="1" s="1"/>
  <c r="BF175" i="1"/>
  <c r="BG175" i="1" s="1"/>
  <c r="BH90" i="1"/>
  <c r="BF90" i="1"/>
  <c r="BG90" i="1" s="1"/>
  <c r="BK90" i="1"/>
  <c r="BL90" i="1" s="1"/>
  <c r="BF1011" i="1"/>
  <c r="BG1011" i="1" s="1"/>
  <c r="BH1011" i="1"/>
  <c r="BK1011" i="1"/>
  <c r="BL1011" i="1" s="1"/>
  <c r="BH826" i="1"/>
  <c r="BF826" i="1"/>
  <c r="BG826" i="1" s="1"/>
  <c r="BK826" i="1"/>
  <c r="BL826" i="1" s="1"/>
  <c r="BH137" i="1"/>
  <c r="BK137" i="1"/>
  <c r="BL137" i="1" s="1"/>
  <c r="BF137" i="1"/>
  <c r="BG137" i="1" s="1"/>
  <c r="BK1300" i="1"/>
  <c r="BL1300" i="1" s="1"/>
  <c r="BH1300" i="1"/>
  <c r="BF1300" i="1"/>
  <c r="BG1300" i="1" s="1"/>
  <c r="BH647" i="1"/>
  <c r="BF647" i="1"/>
  <c r="BG647" i="1" s="1"/>
  <c r="BK647" i="1"/>
  <c r="BL647" i="1" s="1"/>
  <c r="BF414" i="1"/>
  <c r="BG414" i="1" s="1"/>
  <c r="BK414" i="1"/>
  <c r="BL414" i="1" s="1"/>
  <c r="BH414" i="1"/>
  <c r="BF971" i="1"/>
  <c r="BG971" i="1" s="1"/>
  <c r="BH971" i="1"/>
  <c r="BK971" i="1"/>
  <c r="BL971" i="1" s="1"/>
  <c r="BH1313" i="1"/>
  <c r="BK1313" i="1"/>
  <c r="BL1313" i="1" s="1"/>
  <c r="BF1313" i="1"/>
  <c r="BG1313" i="1" s="1"/>
  <c r="BK93" i="1"/>
  <c r="BL93" i="1" s="1"/>
  <c r="BF93" i="1"/>
  <c r="BG93" i="1" s="1"/>
  <c r="BH93" i="1"/>
  <c r="BH422" i="1"/>
  <c r="BF422" i="1"/>
  <c r="BG422" i="1" s="1"/>
  <c r="BK422" i="1"/>
  <c r="BL422" i="1" s="1"/>
  <c r="BH435" i="1"/>
  <c r="BK435" i="1"/>
  <c r="BL435" i="1" s="1"/>
  <c r="BF435" i="1"/>
  <c r="BG435" i="1" s="1"/>
  <c r="BF1522" i="1"/>
  <c r="BG1522" i="1" s="1"/>
  <c r="BH1522" i="1"/>
  <c r="BK1522" i="1"/>
  <c r="BL1522" i="1" s="1"/>
  <c r="BK571" i="1"/>
  <c r="BL571" i="1" s="1"/>
  <c r="BH571" i="1"/>
  <c r="BF571" i="1"/>
  <c r="BG571" i="1" s="1"/>
  <c r="BK506" i="1"/>
  <c r="BL506" i="1" s="1"/>
  <c r="BH506" i="1"/>
  <c r="BF506" i="1"/>
  <c r="BG506" i="1" s="1"/>
  <c r="BH157" i="1"/>
  <c r="BK157" i="1"/>
  <c r="BL157" i="1" s="1"/>
  <c r="BF157" i="1"/>
  <c r="BG157" i="1" s="1"/>
  <c r="BH41" i="1"/>
  <c r="BK41" i="1"/>
  <c r="BL41" i="1" s="1"/>
  <c r="BF41" i="1"/>
  <c r="BG41" i="1" s="1"/>
  <c r="BK920" i="1"/>
  <c r="BL920" i="1" s="1"/>
  <c r="BF920" i="1"/>
  <c r="BG920" i="1" s="1"/>
  <c r="BH920" i="1"/>
  <c r="BK47" i="1"/>
  <c r="BL47" i="1" s="1"/>
  <c r="BF47" i="1"/>
  <c r="BG47" i="1" s="1"/>
  <c r="BH47" i="1"/>
  <c r="BH1593" i="1"/>
  <c r="BF1593" i="1"/>
  <c r="BG1593" i="1" s="1"/>
  <c r="BK1593" i="1"/>
  <c r="BL1593" i="1" s="1"/>
  <c r="BK1657" i="1"/>
  <c r="BL1657" i="1" s="1"/>
  <c r="BH1657" i="1"/>
  <c r="BF1657" i="1"/>
  <c r="BG1657" i="1" s="1"/>
  <c r="BH964" i="1"/>
  <c r="BF964" i="1"/>
  <c r="BG964" i="1" s="1"/>
  <c r="BK964" i="1"/>
  <c r="BL964" i="1" s="1"/>
  <c r="BK275" i="1"/>
  <c r="BL275" i="1" s="1"/>
  <c r="BF275" i="1"/>
  <c r="BG275" i="1" s="1"/>
  <c r="BH275" i="1"/>
  <c r="BF327" i="1"/>
  <c r="BG327" i="1" s="1"/>
  <c r="BK327" i="1"/>
  <c r="BL327" i="1" s="1"/>
  <c r="BH327" i="1"/>
  <c r="BK1100" i="1"/>
  <c r="BL1100" i="1" s="1"/>
  <c r="BH1100" i="1"/>
  <c r="BF1100" i="1"/>
  <c r="BG1100" i="1" s="1"/>
  <c r="BK1527" i="1"/>
  <c r="BL1527" i="1" s="1"/>
  <c r="BF1527" i="1"/>
  <c r="BG1527" i="1" s="1"/>
  <c r="BH1527" i="1"/>
  <c r="BF1295" i="1"/>
  <c r="BG1295" i="1" s="1"/>
  <c r="BH1295" i="1"/>
  <c r="BK1295" i="1"/>
  <c r="BL1295" i="1" s="1"/>
  <c r="BH850" i="1"/>
  <c r="BF850" i="1"/>
  <c r="BG850" i="1" s="1"/>
  <c r="BK850" i="1"/>
  <c r="BL850" i="1" s="1"/>
  <c r="BH1563" i="1"/>
  <c r="BF1563" i="1"/>
  <c r="BG1563" i="1" s="1"/>
  <c r="BK1563" i="1"/>
  <c r="BL1563" i="1" s="1"/>
  <c r="BH716" i="1"/>
  <c r="BF716" i="1"/>
  <c r="BG716" i="1" s="1"/>
  <c r="BK716" i="1"/>
  <c r="BL716" i="1" s="1"/>
  <c r="BH185" i="1"/>
  <c r="BK185" i="1"/>
  <c r="BL185" i="1" s="1"/>
  <c r="BF185" i="1"/>
  <c r="BG185" i="1" s="1"/>
  <c r="BK453" i="1"/>
  <c r="BL453" i="1" s="1"/>
  <c r="BH453" i="1"/>
  <c r="BF453" i="1"/>
  <c r="BG453" i="1" s="1"/>
  <c r="BF1166" i="1"/>
  <c r="BG1166" i="1" s="1"/>
  <c r="BK1166" i="1"/>
  <c r="BL1166" i="1" s="1"/>
  <c r="BH1166" i="1"/>
  <c r="BF411" i="1"/>
  <c r="BG411" i="1" s="1"/>
  <c r="BH411" i="1"/>
  <c r="BK411" i="1"/>
  <c r="BL411" i="1" s="1"/>
  <c r="BF1704" i="1"/>
  <c r="BG1704" i="1" s="1"/>
  <c r="BH1704" i="1"/>
  <c r="BK1704" i="1"/>
  <c r="BL1704" i="1" s="1"/>
  <c r="BH1595" i="1"/>
  <c r="BF1595" i="1"/>
  <c r="BG1595" i="1" s="1"/>
  <c r="BK1595" i="1"/>
  <c r="BL1595" i="1" s="1"/>
  <c r="BF888" i="1"/>
  <c r="BG888" i="1" s="1"/>
  <c r="BH888" i="1"/>
  <c r="BK888" i="1"/>
  <c r="BL888" i="1" s="1"/>
  <c r="BK389" i="1"/>
  <c r="BL389" i="1" s="1"/>
  <c r="BH389" i="1"/>
  <c r="BF389" i="1"/>
  <c r="BG389" i="1" s="1"/>
  <c r="BH1086" i="1"/>
  <c r="BF1086" i="1"/>
  <c r="BG1086" i="1" s="1"/>
  <c r="BK1086" i="1"/>
  <c r="BL1086" i="1" s="1"/>
  <c r="BK1175" i="1"/>
  <c r="BL1175" i="1" s="1"/>
  <c r="BF1175" i="1"/>
  <c r="BG1175" i="1" s="1"/>
  <c r="BH1175" i="1"/>
  <c r="BH1570" i="1"/>
  <c r="BK1570" i="1"/>
  <c r="BL1570" i="1" s="1"/>
  <c r="BF1570" i="1"/>
  <c r="BG1570" i="1" s="1"/>
  <c r="BF1620" i="1"/>
  <c r="BG1620" i="1" s="1"/>
  <c r="BH1620" i="1"/>
  <c r="BK1620" i="1"/>
  <c r="BL1620" i="1" s="1"/>
  <c r="BF62" i="1"/>
  <c r="BG62" i="1" s="1"/>
  <c r="BH62" i="1"/>
  <c r="BK62" i="1"/>
  <c r="BL62" i="1" s="1"/>
  <c r="BF620" i="1"/>
  <c r="BG620" i="1" s="1"/>
  <c r="BK620" i="1"/>
  <c r="BL620" i="1" s="1"/>
  <c r="BH620" i="1"/>
  <c r="BK1108" i="1"/>
  <c r="BL1108" i="1" s="1"/>
  <c r="BH1108" i="1"/>
  <c r="BF1108" i="1"/>
  <c r="BG1108" i="1" s="1"/>
  <c r="BH636" i="1"/>
  <c r="BF636" i="1"/>
  <c r="BG636" i="1" s="1"/>
  <c r="BK636" i="1"/>
  <c r="BL636" i="1" s="1"/>
  <c r="BF799" i="1"/>
  <c r="BG799" i="1" s="1"/>
  <c r="BH799" i="1"/>
  <c r="BK799" i="1"/>
  <c r="BL799" i="1" s="1"/>
  <c r="BK1219" i="1"/>
  <c r="BL1219" i="1" s="1"/>
  <c r="BH1219" i="1"/>
  <c r="BF1219" i="1"/>
  <c r="BG1219" i="1" s="1"/>
  <c r="BH106" i="1"/>
  <c r="BF106" i="1"/>
  <c r="BG106" i="1" s="1"/>
  <c r="BK106" i="1"/>
  <c r="BL106" i="1" s="1"/>
  <c r="BH1473" i="1"/>
  <c r="BF1473" i="1"/>
  <c r="BG1473" i="1" s="1"/>
  <c r="BK1473" i="1"/>
  <c r="BL1473" i="1" s="1"/>
  <c r="BF446" i="1"/>
  <c r="BG446" i="1" s="1"/>
  <c r="BK446" i="1"/>
  <c r="BL446" i="1" s="1"/>
  <c r="BH446" i="1"/>
  <c r="BF773" i="1"/>
  <c r="BG773" i="1" s="1"/>
  <c r="BH773" i="1"/>
  <c r="BK773" i="1"/>
  <c r="BL773" i="1" s="1"/>
  <c r="BF231" i="1"/>
  <c r="BG231" i="1" s="1"/>
  <c r="BK231" i="1"/>
  <c r="BL231" i="1" s="1"/>
  <c r="BH231" i="1"/>
  <c r="BF1488" i="1"/>
  <c r="BG1488" i="1" s="1"/>
  <c r="BH1488" i="1"/>
  <c r="BK1488" i="1"/>
  <c r="BL1488" i="1" s="1"/>
  <c r="BH1275" i="1"/>
  <c r="BF1275" i="1"/>
  <c r="BG1275" i="1" s="1"/>
  <c r="BK1275" i="1"/>
  <c r="BL1275" i="1" s="1"/>
  <c r="BH71" i="1"/>
  <c r="BF71" i="1"/>
  <c r="BG71" i="1" s="1"/>
  <c r="BK71" i="1"/>
  <c r="BL71" i="1" s="1"/>
  <c r="BK1173" i="1"/>
  <c r="BL1173" i="1" s="1"/>
  <c r="BH1173" i="1"/>
  <c r="BF1173" i="1"/>
  <c r="BG1173" i="1" s="1"/>
  <c r="BK572" i="1"/>
  <c r="BL572" i="1" s="1"/>
  <c r="BH572" i="1"/>
  <c r="BF572" i="1"/>
  <c r="BG572" i="1" s="1"/>
  <c r="BH1649" i="1"/>
  <c r="BK1649" i="1"/>
  <c r="BL1649" i="1" s="1"/>
  <c r="BF1649" i="1"/>
  <c r="BG1649" i="1" s="1"/>
  <c r="BK812" i="1"/>
  <c r="BL812" i="1" s="1"/>
  <c r="BH812" i="1"/>
  <c r="BF812" i="1"/>
  <c r="BG812" i="1" s="1"/>
  <c r="BF1350" i="1"/>
  <c r="BG1350" i="1" s="1"/>
  <c r="BK1350" i="1"/>
  <c r="BL1350" i="1" s="1"/>
  <c r="BH1350" i="1"/>
  <c r="BH1352" i="1"/>
  <c r="BF1352" i="1"/>
  <c r="BG1352" i="1" s="1"/>
  <c r="BK1352" i="1"/>
  <c r="BL1352" i="1" s="1"/>
  <c r="BH1536" i="1"/>
  <c r="BK1536" i="1"/>
  <c r="BL1536" i="1" s="1"/>
  <c r="BF1536" i="1"/>
  <c r="BG1536" i="1" s="1"/>
  <c r="BF1613" i="1"/>
  <c r="BG1613" i="1" s="1"/>
  <c r="BH1613" i="1"/>
  <c r="BK1613" i="1"/>
  <c r="BL1613" i="1" s="1"/>
  <c r="BK1697" i="1"/>
  <c r="BL1697" i="1" s="1"/>
  <c r="BF1697" i="1"/>
  <c r="BG1697" i="1" s="1"/>
  <c r="BH1697" i="1"/>
  <c r="BK1381" i="1"/>
  <c r="BL1381" i="1" s="1"/>
  <c r="BH1381" i="1"/>
  <c r="BF1381" i="1"/>
  <c r="BG1381" i="1" s="1"/>
  <c r="BH357" i="1"/>
  <c r="BF357" i="1"/>
  <c r="BG357" i="1" s="1"/>
  <c r="BK357" i="1"/>
  <c r="BL357" i="1" s="1"/>
  <c r="BH1233" i="1"/>
  <c r="BF1233" i="1"/>
  <c r="BG1233" i="1" s="1"/>
  <c r="BK1233" i="1"/>
  <c r="BL1233" i="1" s="1"/>
  <c r="BK1403" i="1"/>
  <c r="BL1403" i="1" s="1"/>
  <c r="BH1403" i="1"/>
  <c r="BF1403" i="1"/>
  <c r="BG1403" i="1" s="1"/>
  <c r="BF181" i="1"/>
  <c r="BG181" i="1" s="1"/>
  <c r="BK181" i="1"/>
  <c r="BL181" i="1" s="1"/>
  <c r="BH181" i="1"/>
  <c r="BH1438" i="1"/>
  <c r="BK1438" i="1"/>
  <c r="BL1438" i="1" s="1"/>
  <c r="BF1438" i="1"/>
  <c r="BG1438" i="1" s="1"/>
  <c r="BF1204" i="1"/>
  <c r="BG1204" i="1" s="1"/>
  <c r="BK1204" i="1"/>
  <c r="BL1204" i="1" s="1"/>
  <c r="BH1204" i="1"/>
  <c r="BK1371" i="1"/>
  <c r="BL1371" i="1" s="1"/>
  <c r="BH1371" i="1"/>
  <c r="BF1371" i="1"/>
  <c r="BG1371" i="1" s="1"/>
  <c r="BK810" i="1"/>
  <c r="BL810" i="1" s="1"/>
  <c r="BH810" i="1"/>
  <c r="BF810" i="1"/>
  <c r="BG810" i="1" s="1"/>
  <c r="BK821" i="1"/>
  <c r="BL821" i="1" s="1"/>
  <c r="BH821" i="1"/>
  <c r="BF821" i="1"/>
  <c r="BG821" i="1" s="1"/>
  <c r="BF601" i="1"/>
  <c r="BG601" i="1" s="1"/>
  <c r="BH601" i="1"/>
  <c r="BK601" i="1"/>
  <c r="BL601" i="1" s="1"/>
  <c r="BK559" i="1"/>
  <c r="BL559" i="1" s="1"/>
  <c r="BH559" i="1"/>
  <c r="BF559" i="1"/>
  <c r="BG559" i="1" s="1"/>
  <c r="BK539" i="1"/>
  <c r="BL539" i="1" s="1"/>
  <c r="BH539" i="1"/>
  <c r="BF539" i="1"/>
  <c r="BG539" i="1" s="1"/>
  <c r="BF344" i="1"/>
  <c r="BG344" i="1" s="1"/>
  <c r="BH344" i="1"/>
  <c r="BK344" i="1"/>
  <c r="BL344" i="1" s="1"/>
  <c r="BK921" i="1"/>
  <c r="BL921" i="1" s="1"/>
  <c r="BF921" i="1"/>
  <c r="BG921" i="1" s="1"/>
  <c r="BH921" i="1"/>
  <c r="BK950" i="1"/>
  <c r="BL950" i="1" s="1"/>
  <c r="BF950" i="1"/>
  <c r="BG950" i="1" s="1"/>
  <c r="BH950" i="1"/>
  <c r="BH882" i="1"/>
  <c r="BK882" i="1"/>
  <c r="BL882" i="1" s="1"/>
  <c r="BF882" i="1"/>
  <c r="BG882" i="1" s="1"/>
  <c r="BH153" i="1"/>
  <c r="BK153" i="1"/>
  <c r="BL153" i="1" s="1"/>
  <c r="BF153" i="1"/>
  <c r="BG153" i="1" s="1"/>
  <c r="BF401" i="1"/>
  <c r="BG401" i="1" s="1"/>
  <c r="BH401" i="1"/>
  <c r="BK401" i="1"/>
  <c r="BL401" i="1" s="1"/>
  <c r="BF1714" i="1"/>
  <c r="BG1714" i="1" s="1"/>
  <c r="BH1714" i="1"/>
  <c r="BK1714" i="1"/>
  <c r="BL1714" i="1" s="1"/>
  <c r="BH1042" i="1"/>
  <c r="BF1042" i="1"/>
  <c r="BG1042" i="1" s="1"/>
  <c r="BK1042" i="1"/>
  <c r="BL1042" i="1" s="1"/>
  <c r="BF1735" i="1"/>
  <c r="BG1735" i="1" s="1"/>
  <c r="BK1735" i="1"/>
  <c r="BL1735" i="1" s="1"/>
  <c r="BH1735" i="1"/>
  <c r="BF1734" i="1"/>
  <c r="BG1734" i="1" s="1"/>
  <c r="BH1734" i="1"/>
  <c r="BF1746" i="1"/>
  <c r="BG1746" i="1" s="1"/>
  <c r="BH1746" i="1"/>
  <c r="BF1745" i="1"/>
  <c r="BG1745" i="1" s="1"/>
  <c r="BH1745" i="1"/>
  <c r="BF1731" i="1"/>
  <c r="BG1731" i="1" s="1"/>
  <c r="BH1731" i="1"/>
  <c r="BK1731" i="1"/>
  <c r="BL1731" i="1" s="1"/>
  <c r="BF1744" i="1"/>
  <c r="BG1744" i="1" s="1"/>
  <c r="BK1744" i="1"/>
  <c r="BL1744" i="1" s="1"/>
  <c r="BH1744" i="1"/>
  <c r="BF1736" i="1"/>
  <c r="BG1736" i="1" s="1"/>
  <c r="BH1736" i="1"/>
  <c r="BF1743" i="1"/>
  <c r="BG1743" i="1" s="1"/>
  <c r="BH1743" i="1"/>
  <c r="BF1739" i="1"/>
  <c r="BG1739" i="1" s="1"/>
  <c r="BH1739" i="1"/>
  <c r="BF1737" i="1"/>
  <c r="BG1737" i="1" s="1"/>
  <c r="BH1737" i="1"/>
  <c r="BF1733" i="1"/>
  <c r="BG1733" i="1" s="1"/>
  <c r="BH1733" i="1"/>
  <c r="BK1732" i="1"/>
  <c r="BL1732" i="1" s="1"/>
  <c r="BF1732" i="1"/>
  <c r="BG1732" i="1" s="1"/>
  <c r="BH1732" i="1"/>
  <c r="BK1736" i="1"/>
  <c r="BL1736" i="1" s="1"/>
  <c r="BK1737" i="1"/>
  <c r="BL1737" i="1" s="1"/>
  <c r="BK1740" i="1"/>
  <c r="BL1740" i="1" s="1"/>
  <c r="BH1740" i="1"/>
  <c r="BF1740" i="1"/>
  <c r="BG1740" i="1" s="1"/>
  <c r="BF1738" i="1"/>
  <c r="BG1738" i="1" s="1"/>
  <c r="BH1738" i="1"/>
  <c r="BK1733" i="1"/>
  <c r="BL1733" i="1" s="1"/>
  <c r="BF1741" i="1"/>
  <c r="BG1741" i="1" s="1"/>
  <c r="BH1741" i="1"/>
  <c r="BF1742" i="1"/>
  <c r="BG1742" i="1" s="1"/>
  <c r="BH1742" i="1"/>
  <c r="D12" i="189"/>
  <c r="D11" i="189"/>
  <c r="O22" i="189" l="1"/>
  <c r="O21" i="189"/>
  <c r="O20" i="189"/>
  <c r="O19" i="189"/>
  <c r="O18" i="189"/>
  <c r="O17" i="189"/>
  <c r="J22" i="189"/>
  <c r="J21" i="189"/>
  <c r="J20" i="189"/>
  <c r="J19" i="189"/>
  <c r="J18" i="189"/>
  <c r="J17" i="189"/>
  <c r="E22" i="189"/>
  <c r="E21" i="189"/>
  <c r="E20" i="189"/>
  <c r="O9" i="189"/>
  <c r="O7" i="189"/>
  <c r="G9" i="189"/>
  <c r="G4" i="189"/>
  <c r="B6" i="189"/>
  <c r="J9" i="189"/>
  <c r="E9" i="189"/>
  <c r="B9" i="189"/>
  <c r="G6" i="189"/>
  <c r="C8" i="189"/>
  <c r="N22" i="189"/>
  <c r="N21" i="189"/>
  <c r="N20" i="189"/>
  <c r="N19" i="189"/>
  <c r="N18" i="189"/>
  <c r="N17" i="189"/>
  <c r="I22" i="189"/>
  <c r="I21" i="189"/>
  <c r="I20" i="189"/>
  <c r="I19" i="189"/>
  <c r="I18" i="189"/>
  <c r="I17" i="189"/>
  <c r="D22" i="189"/>
  <c r="D21" i="189"/>
  <c r="D20" i="189"/>
  <c r="D19" i="189"/>
  <c r="N9" i="189"/>
  <c r="N8" i="189"/>
  <c r="N7" i="189"/>
  <c r="G7" i="189"/>
  <c r="C9" i="189"/>
  <c r="I8" i="189"/>
  <c r="B8" i="189"/>
  <c r="M22" i="189"/>
  <c r="M21" i="189"/>
  <c r="M20" i="189"/>
  <c r="M19" i="189"/>
  <c r="M18" i="189"/>
  <c r="M17" i="189"/>
  <c r="H22" i="189"/>
  <c r="H21" i="189"/>
  <c r="H20" i="189"/>
  <c r="H19" i="189"/>
  <c r="H18" i="189"/>
  <c r="H17" i="189"/>
  <c r="C22" i="189"/>
  <c r="C21" i="189"/>
  <c r="C20" i="189"/>
  <c r="C19" i="189"/>
  <c r="M9" i="189"/>
  <c r="M8" i="189"/>
  <c r="M7" i="189"/>
  <c r="M6" i="189"/>
  <c r="I9" i="189"/>
  <c r="D8" i="189"/>
  <c r="L22" i="189"/>
  <c r="L21" i="189"/>
  <c r="L20" i="189"/>
  <c r="L19" i="189"/>
  <c r="L18" i="189"/>
  <c r="L17" i="189"/>
  <c r="G22" i="189"/>
  <c r="G21" i="189"/>
  <c r="G20" i="189"/>
  <c r="G19" i="189"/>
  <c r="G18" i="189"/>
  <c r="G17" i="189"/>
  <c r="B22" i="189"/>
  <c r="B21" i="189"/>
  <c r="B20" i="189"/>
  <c r="B19" i="189"/>
  <c r="B18" i="189"/>
  <c r="B17" i="189"/>
  <c r="L9" i="189"/>
  <c r="L8" i="189"/>
  <c r="L7" i="189"/>
  <c r="L6" i="189"/>
  <c r="L5" i="189"/>
  <c r="H9" i="189"/>
  <c r="H8" i="189"/>
  <c r="G5" i="189"/>
  <c r="B7" i="189"/>
  <c r="E19" i="189"/>
  <c r="O8" i="189"/>
  <c r="O6" i="189"/>
  <c r="L4" i="189"/>
  <c r="G8" i="189"/>
  <c r="N6" i="189"/>
  <c r="J8" i="189"/>
  <c r="D9" i="189"/>
  <c r="B5" i="189"/>
  <c r="E8" i="189"/>
  <c r="B4" i="189"/>
  <c r="O23" i="189" l="1"/>
  <c r="J23" i="189"/>
  <c r="U29" i="20"/>
  <c r="V29" i="20"/>
  <c r="BL2000" i="1" l="1"/>
  <c r="A2000" i="1"/>
  <c r="BL1999" i="1"/>
  <c r="A1999" i="1"/>
  <c r="BL1998" i="1"/>
  <c r="A1998" i="1"/>
  <c r="BL1997" i="1"/>
  <c r="A1997" i="1"/>
  <c r="BL1996" i="1"/>
  <c r="A1996" i="1"/>
  <c r="BL1995" i="1"/>
  <c r="A1995" i="1"/>
  <c r="BL1994" i="1"/>
  <c r="A1994" i="1"/>
  <c r="BL1993" i="1"/>
  <c r="A1993" i="1"/>
  <c r="BL1992" i="1"/>
  <c r="A1992" i="1"/>
  <c r="BL1991" i="1"/>
  <c r="A1991" i="1"/>
  <c r="BL1990" i="1"/>
  <c r="A1990" i="1"/>
  <c r="BL1989" i="1"/>
  <c r="A1989" i="1"/>
  <c r="BL1988" i="1"/>
  <c r="A1988" i="1"/>
  <c r="BL1987" i="1"/>
  <c r="A1987" i="1"/>
  <c r="BL1986" i="1"/>
  <c r="A1986" i="1"/>
  <c r="BL1985" i="1"/>
  <c r="A1985" i="1"/>
  <c r="BL1984" i="1"/>
  <c r="A1984" i="1"/>
  <c r="BL1983" i="1"/>
  <c r="A1983" i="1"/>
  <c r="BL1982" i="1"/>
  <c r="A1982" i="1"/>
  <c r="BL1981" i="1"/>
  <c r="A1981" i="1"/>
  <c r="BL1980" i="1"/>
  <c r="A1980" i="1"/>
  <c r="BL1979" i="1"/>
  <c r="A1979" i="1"/>
  <c r="BL1978" i="1"/>
  <c r="A1978" i="1"/>
  <c r="BL1977" i="1"/>
  <c r="A1977" i="1"/>
  <c r="BL1976" i="1"/>
  <c r="A1976" i="1"/>
  <c r="BL1975" i="1"/>
  <c r="A1975" i="1"/>
  <c r="BL1974" i="1"/>
  <c r="A1974" i="1"/>
  <c r="BL1973" i="1"/>
  <c r="A1973" i="1"/>
  <c r="BL1972" i="1"/>
  <c r="A1972" i="1"/>
  <c r="BL1971" i="1"/>
  <c r="A1971" i="1"/>
  <c r="BL1970" i="1"/>
  <c r="A1970" i="1"/>
  <c r="BL1969" i="1"/>
  <c r="A1969" i="1"/>
  <c r="BL1968" i="1"/>
  <c r="A1968" i="1"/>
  <c r="BL1967" i="1"/>
  <c r="A1967" i="1"/>
  <c r="BL1966" i="1"/>
  <c r="A1966" i="1"/>
  <c r="BL1965" i="1"/>
  <c r="A1965" i="1"/>
  <c r="BL1964" i="1"/>
  <c r="A1964" i="1"/>
  <c r="BL1963" i="1"/>
  <c r="A1963" i="1"/>
  <c r="BL1962" i="1"/>
  <c r="A1962" i="1"/>
  <c r="BL1961" i="1"/>
  <c r="A1961" i="1"/>
  <c r="BL1960" i="1"/>
  <c r="A1960" i="1"/>
  <c r="BL1959" i="1"/>
  <c r="A1959" i="1"/>
  <c r="BL1958" i="1"/>
  <c r="A1958" i="1"/>
  <c r="BL1957" i="1"/>
  <c r="A1957" i="1"/>
  <c r="BL1956" i="1"/>
  <c r="A1956" i="1"/>
  <c r="BL1955" i="1"/>
  <c r="A1955" i="1"/>
  <c r="BL1954" i="1"/>
  <c r="A1954" i="1"/>
  <c r="BL1953" i="1"/>
  <c r="A1953" i="1"/>
  <c r="BL1952" i="1"/>
  <c r="A1952" i="1"/>
  <c r="BL1951" i="1"/>
  <c r="A1951" i="1"/>
  <c r="BL1950" i="1"/>
  <c r="A1950" i="1"/>
  <c r="BL1949" i="1"/>
  <c r="A1949" i="1"/>
  <c r="BL1948" i="1"/>
  <c r="A1948" i="1"/>
  <c r="BL1947" i="1"/>
  <c r="A1947" i="1"/>
  <c r="BL1946" i="1"/>
  <c r="A1946" i="1"/>
  <c r="BL1945" i="1"/>
  <c r="A1945" i="1"/>
  <c r="BL1944" i="1"/>
  <c r="A1944" i="1"/>
  <c r="BL1943" i="1"/>
  <c r="A1943" i="1"/>
  <c r="BL1942" i="1"/>
  <c r="A1942" i="1"/>
  <c r="BL1941" i="1"/>
  <c r="A1941" i="1"/>
  <c r="BL1940" i="1"/>
  <c r="A1940" i="1"/>
  <c r="BL1939" i="1"/>
  <c r="A1939" i="1"/>
  <c r="BL1938" i="1"/>
  <c r="A1938" i="1"/>
  <c r="BL1937" i="1"/>
  <c r="A1937" i="1"/>
  <c r="BL1936" i="1"/>
  <c r="A1936" i="1"/>
  <c r="BL1935" i="1"/>
  <c r="A1935" i="1"/>
  <c r="BL1934" i="1"/>
  <c r="A1934" i="1"/>
  <c r="BL1933" i="1"/>
  <c r="A1933" i="1"/>
  <c r="BL1932" i="1"/>
  <c r="A1932" i="1"/>
  <c r="BL1931" i="1"/>
  <c r="A1931" i="1"/>
  <c r="BL1930" i="1"/>
  <c r="A1930" i="1"/>
  <c r="BL1929" i="1"/>
  <c r="A1929" i="1"/>
  <c r="BL1928" i="1"/>
  <c r="A1928" i="1"/>
  <c r="BL1927" i="1"/>
  <c r="A1927" i="1"/>
  <c r="BL1926" i="1"/>
  <c r="A1926" i="1"/>
  <c r="BL1925" i="1"/>
  <c r="A1925" i="1"/>
  <c r="BL1924" i="1"/>
  <c r="A1924" i="1"/>
  <c r="BL1923" i="1"/>
  <c r="A1923" i="1"/>
  <c r="BL1922" i="1"/>
  <c r="A1922" i="1"/>
  <c r="BL1921" i="1"/>
  <c r="A1921" i="1"/>
  <c r="BL1920" i="1"/>
  <c r="A1920" i="1"/>
  <c r="BL1919" i="1"/>
  <c r="A1919" i="1"/>
  <c r="BL1918" i="1"/>
  <c r="A1918" i="1"/>
  <c r="BL1917" i="1"/>
  <c r="A1917" i="1"/>
  <c r="BL1916" i="1"/>
  <c r="A1916" i="1"/>
  <c r="BL1915" i="1"/>
  <c r="A1915" i="1"/>
  <c r="BL1914" i="1"/>
  <c r="A1914" i="1"/>
  <c r="BL1913" i="1"/>
  <c r="A1913" i="1"/>
  <c r="BL1912" i="1"/>
  <c r="A1912" i="1"/>
  <c r="BL1911" i="1"/>
  <c r="A1911" i="1"/>
  <c r="BL1910" i="1"/>
  <c r="A1910" i="1"/>
  <c r="BL1909" i="1"/>
  <c r="A1909" i="1"/>
  <c r="BL1908" i="1"/>
  <c r="A1908" i="1"/>
  <c r="BL1907" i="1"/>
  <c r="A1907" i="1"/>
  <c r="BL1906" i="1"/>
  <c r="A1906" i="1"/>
  <c r="BL1905" i="1"/>
  <c r="A1905" i="1"/>
  <c r="BL1904" i="1"/>
  <c r="A1904" i="1"/>
  <c r="BL1903" i="1"/>
  <c r="A1903" i="1"/>
  <c r="BL1902" i="1"/>
  <c r="A1902" i="1"/>
  <c r="BL1901" i="1"/>
  <c r="A1901" i="1"/>
  <c r="BL1900" i="1"/>
  <c r="A1900" i="1"/>
  <c r="BL1899" i="1"/>
  <c r="A1899" i="1"/>
  <c r="BL1898" i="1"/>
  <c r="A1898" i="1"/>
  <c r="BL1897" i="1"/>
  <c r="A1897" i="1"/>
  <c r="BL1896" i="1"/>
  <c r="A1896" i="1"/>
  <c r="BL1895" i="1"/>
  <c r="A1895" i="1"/>
  <c r="BL1894" i="1"/>
  <c r="A1894" i="1"/>
  <c r="BL1893" i="1"/>
  <c r="A1893" i="1"/>
  <c r="BL1892" i="1"/>
  <c r="A1892" i="1"/>
  <c r="BL1891" i="1"/>
  <c r="A1891" i="1"/>
  <c r="BL1890" i="1"/>
  <c r="A1890" i="1"/>
  <c r="BL1889" i="1"/>
  <c r="A1889" i="1"/>
  <c r="BL1888" i="1"/>
  <c r="A1888" i="1"/>
  <c r="BL1887" i="1"/>
  <c r="A1887" i="1"/>
  <c r="BL1886" i="1"/>
  <c r="A1886" i="1"/>
  <c r="BL1885" i="1"/>
  <c r="A1885" i="1"/>
  <c r="BL1884" i="1"/>
  <c r="A1884" i="1"/>
  <c r="AZ1786" i="1" l="1"/>
  <c r="AZ1801" i="1"/>
  <c r="AZ1800" i="1"/>
  <c r="AZ1832" i="1"/>
  <c r="AZ1856" i="1"/>
  <c r="AZ1822" i="1"/>
  <c r="AZ1824" i="1"/>
  <c r="AZ1831" i="1"/>
  <c r="AZ1830" i="1"/>
  <c r="AZ1787" i="1"/>
  <c r="AZ1854" i="1"/>
  <c r="AZ1833" i="1"/>
  <c r="AZ1855" i="1"/>
  <c r="AZ1823" i="1"/>
  <c r="AZ1853" i="1"/>
  <c r="AZ1835" i="1"/>
  <c r="AZ1788" i="1"/>
  <c r="AZ1834" i="1"/>
  <c r="AZ1775" i="1"/>
  <c r="AZ1883" i="1"/>
  <c r="AZ1877" i="1"/>
  <c r="AZ1869" i="1"/>
  <c r="AZ1865" i="1"/>
  <c r="AZ1863" i="1"/>
  <c r="AZ1857" i="1"/>
  <c r="AZ1846" i="1"/>
  <c r="AZ1837" i="1"/>
  <c r="AZ1825" i="1"/>
  <c r="AZ1819" i="1"/>
  <c r="AZ1813" i="1"/>
  <c r="AZ1811" i="1"/>
  <c r="AZ1806" i="1"/>
  <c r="AZ1802" i="1"/>
  <c r="AZ1842" i="1"/>
  <c r="AZ1829" i="1"/>
  <c r="AZ1875" i="1"/>
  <c r="AZ1867" i="1"/>
  <c r="AZ1817" i="1"/>
  <c r="AZ1807" i="1"/>
  <c r="AZ1798" i="1"/>
  <c r="AZ1767" i="1"/>
  <c r="AZ1761" i="1"/>
  <c r="AZ1781" i="1"/>
  <c r="AZ1771" i="1"/>
  <c r="AZ1793" i="1"/>
  <c r="AZ1763" i="1"/>
  <c r="AZ1882" i="1"/>
  <c r="AZ1836" i="1"/>
  <c r="AZ1780" i="1"/>
  <c r="AZ1812" i="1"/>
  <c r="AZ1864" i="1"/>
  <c r="AZ1792" i="1"/>
  <c r="AZ1805" i="1"/>
  <c r="AZ1766" i="1"/>
  <c r="AZ1845" i="1"/>
  <c r="AZ1778" i="1"/>
  <c r="AZ1879" i="1"/>
  <c r="AZ1871" i="1"/>
  <c r="AZ1852" i="1"/>
  <c r="AZ1848" i="1"/>
  <c r="AZ1827" i="1"/>
  <c r="AZ1815" i="1"/>
  <c r="AZ1795" i="1"/>
  <c r="AZ1783" i="1"/>
  <c r="AZ1769" i="1"/>
  <c r="AZ1873" i="1"/>
  <c r="AZ1839" i="1"/>
  <c r="AZ1784" i="1"/>
  <c r="AZ1773" i="1"/>
  <c r="AZ1765" i="1"/>
  <c r="AZ1840" i="1"/>
  <c r="AZ1789" i="1"/>
  <c r="AZ1861" i="1"/>
  <c r="AZ1844" i="1"/>
  <c r="AZ1809" i="1"/>
  <c r="AZ1777" i="1"/>
  <c r="AZ1862" i="1"/>
  <c r="AZ1810" i="1"/>
  <c r="AZ1881" i="1"/>
  <c r="AZ1859" i="1"/>
  <c r="AZ1849" i="1"/>
  <c r="AZ1821" i="1"/>
  <c r="AZ1804" i="1"/>
  <c r="AZ1797" i="1"/>
  <c r="AZ1791" i="1"/>
  <c r="AZ1779" i="1"/>
  <c r="AZ1760" i="1"/>
  <c r="AZ1774" i="1"/>
  <c r="AZ1878" i="1"/>
  <c r="AZ1868" i="1"/>
  <c r="AZ1838" i="1"/>
  <c r="AZ1759" i="1"/>
  <c r="AZ1874" i="1"/>
  <c r="AZ1841" i="1"/>
  <c r="AZ1876" i="1"/>
  <c r="AZ1850" i="1"/>
  <c r="AZ1826" i="1"/>
  <c r="AZ1814" i="1"/>
  <c r="AZ1808" i="1"/>
  <c r="AZ1803" i="1"/>
  <c r="AZ1794" i="1"/>
  <c r="AZ1782" i="1"/>
  <c r="AZ1772" i="1"/>
  <c r="AZ1870" i="1"/>
  <c r="AZ1851" i="1"/>
  <c r="AZ1818" i="1"/>
  <c r="AZ1768" i="1"/>
  <c r="AZ1764" i="1"/>
  <c r="AZ1757" i="1"/>
  <c r="AZ1843" i="1"/>
  <c r="AZ1799" i="1"/>
  <c r="AZ1790" i="1"/>
  <c r="AZ1758" i="1"/>
  <c r="AZ1866" i="1"/>
  <c r="AZ1820" i="1"/>
  <c r="AZ1776" i="1"/>
  <c r="AZ1785" i="1"/>
  <c r="AZ1860" i="1"/>
  <c r="AZ1847" i="1"/>
  <c r="AZ1880" i="1"/>
  <c r="AZ1770" i="1"/>
  <c r="AZ1828" i="1"/>
  <c r="AZ1858" i="1"/>
  <c r="AZ1872" i="1"/>
  <c r="AZ1796" i="1"/>
  <c r="AZ1762" i="1"/>
  <c r="AZ1816" i="1"/>
  <c r="BA1838" i="1" l="1"/>
  <c r="BJ1838" i="1" s="1"/>
  <c r="BA1857" i="1"/>
  <c r="BJ1857" i="1" s="1"/>
  <c r="BA1867" i="1"/>
  <c r="BJ1867" i="1" s="1"/>
  <c r="BA1831" i="1"/>
  <c r="BJ1831" i="1" s="1"/>
  <c r="BA1854" i="1"/>
  <c r="BJ1854" i="1" s="1"/>
  <c r="BA1792" i="1"/>
  <c r="BJ1792" i="1" s="1"/>
  <c r="BA1859" i="1"/>
  <c r="BJ1859" i="1" s="1"/>
  <c r="BA1861" i="1"/>
  <c r="BJ1861" i="1" s="1"/>
  <c r="BA1791" i="1"/>
  <c r="BJ1791" i="1" s="1"/>
  <c r="BA1862" i="1"/>
  <c r="BJ1862" i="1" s="1"/>
  <c r="BA1858" i="1"/>
  <c r="BJ1858" i="1" s="1"/>
  <c r="BA1843" i="1"/>
  <c r="BJ1843" i="1" s="1"/>
  <c r="BA1806" i="1"/>
  <c r="BJ1806" i="1" s="1"/>
  <c r="BA1842" i="1"/>
  <c r="BJ1842" i="1" s="1"/>
  <c r="BA1871" i="1"/>
  <c r="BJ1871" i="1" s="1"/>
  <c r="BA1833" i="1"/>
  <c r="BJ1833" i="1" s="1"/>
  <c r="BA1853" i="1"/>
  <c r="BJ1853" i="1" s="1"/>
  <c r="BA1852" i="1"/>
  <c r="BJ1852" i="1" s="1"/>
  <c r="BA1851" i="1"/>
  <c r="BJ1851" i="1" s="1"/>
  <c r="BA1872" i="1"/>
  <c r="BJ1872" i="1" s="1"/>
  <c r="BA1823" i="1"/>
  <c r="BJ1823" i="1" s="1"/>
  <c r="BA1830" i="1"/>
  <c r="BJ1830" i="1" s="1"/>
  <c r="BA1825" i="1"/>
  <c r="BJ1825" i="1" s="1"/>
  <c r="BA1805" i="1"/>
  <c r="BJ1805" i="1" s="1"/>
  <c r="BA1809" i="1"/>
  <c r="BJ1809" i="1" s="1"/>
  <c r="BA1876" i="1"/>
  <c r="BJ1876" i="1" s="1"/>
  <c r="BA1875" i="1"/>
  <c r="BJ1875" i="1" s="1"/>
  <c r="BA1863" i="1"/>
  <c r="BJ1863" i="1" s="1"/>
  <c r="BA1802" i="1"/>
  <c r="BJ1802" i="1" s="1"/>
  <c r="BA1785" i="1"/>
  <c r="BJ1785" i="1" s="1"/>
  <c r="BA1849" i="1"/>
  <c r="BJ1849" i="1" s="1"/>
  <c r="BA1804" i="1"/>
  <c r="BJ1804" i="1" s="1"/>
  <c r="BA1784" i="1"/>
  <c r="BJ1784" i="1" s="1"/>
  <c r="BA1835" i="1"/>
  <c r="BJ1835" i="1" s="1"/>
  <c r="BA1790" i="1"/>
  <c r="BJ1790" i="1" s="1"/>
  <c r="BA1826" i="1"/>
  <c r="BJ1826" i="1" s="1"/>
  <c r="BA1789" i="1"/>
  <c r="BJ1789" i="1" s="1"/>
  <c r="BA1832" i="1"/>
  <c r="BJ1832" i="1" s="1"/>
  <c r="BA1868" i="1"/>
  <c r="BJ1868" i="1" s="1"/>
  <c r="BA1834" i="1"/>
  <c r="BJ1834" i="1" s="1"/>
  <c r="BA1860" i="1"/>
  <c r="BJ1860" i="1" s="1"/>
  <c r="BA1822" i="1"/>
  <c r="BJ1822" i="1" s="1"/>
  <c r="BA1824" i="1"/>
  <c r="BJ1824" i="1" s="1"/>
  <c r="BA1803" i="1"/>
  <c r="BJ1803" i="1" s="1"/>
  <c r="BA1821" i="1"/>
  <c r="BJ1821" i="1" s="1"/>
  <c r="BA1808" i="1"/>
  <c r="BJ1808" i="1" s="1"/>
  <c r="BA1807" i="1"/>
  <c r="BJ1807" i="1" s="1"/>
  <c r="BA1776" i="1"/>
  <c r="BJ1776" i="1" s="1"/>
  <c r="BA1877" i="1"/>
  <c r="BJ1877" i="1" s="1"/>
  <c r="BA1837" i="1"/>
  <c r="BJ1837" i="1" s="1"/>
  <c r="BA1829" i="1"/>
  <c r="BJ1829" i="1" s="1"/>
  <c r="BA1781" i="1"/>
  <c r="BJ1781" i="1" s="1"/>
  <c r="BA1775" i="1"/>
  <c r="BJ1775" i="1" s="1"/>
  <c r="BA1762" i="1"/>
  <c r="BJ1762" i="1" s="1"/>
  <c r="BA1874" i="1"/>
  <c r="BJ1874" i="1" s="1"/>
  <c r="BA1864" i="1"/>
  <c r="BJ1864" i="1" s="1"/>
  <c r="BA1780" i="1"/>
  <c r="BJ1780" i="1" s="1"/>
  <c r="BA1839" i="1"/>
  <c r="BJ1839" i="1" s="1"/>
  <c r="BA1881" i="1"/>
  <c r="BJ1881" i="1" s="1"/>
  <c r="BA1797" i="1"/>
  <c r="BJ1797" i="1" s="1"/>
  <c r="BA1827" i="1"/>
  <c r="BJ1827" i="1" s="1"/>
  <c r="BA1758" i="1"/>
  <c r="BJ1758" i="1" s="1"/>
  <c r="BA1787" i="1"/>
  <c r="BJ1787" i="1" s="1"/>
  <c r="BA1782" i="1"/>
  <c r="BJ1782" i="1" s="1"/>
  <c r="BA1794" i="1"/>
  <c r="BJ1794" i="1" s="1"/>
  <c r="BA1810" i="1"/>
  <c r="BJ1810" i="1" s="1"/>
  <c r="BA1772" i="1"/>
  <c r="BJ1772" i="1" s="1"/>
  <c r="BA1798" i="1"/>
  <c r="BJ1798" i="1" s="1"/>
  <c r="BA1869" i="1"/>
  <c r="BJ1869" i="1" s="1"/>
  <c r="BA1813" i="1"/>
  <c r="BJ1813" i="1" s="1"/>
  <c r="BA1761" i="1"/>
  <c r="BA1771" i="1"/>
  <c r="BJ1771" i="1" s="1"/>
  <c r="BA1767" i="1"/>
  <c r="BJ1767" i="1" s="1"/>
  <c r="BA1828" i="1"/>
  <c r="BJ1828" i="1" s="1"/>
  <c r="BA1778" i="1"/>
  <c r="BJ1778" i="1" s="1"/>
  <c r="BA1812" i="1"/>
  <c r="BJ1812" i="1" s="1"/>
  <c r="BA1774" i="1"/>
  <c r="BJ1774" i="1" s="1"/>
  <c r="BA1844" i="1"/>
  <c r="BJ1844" i="1" s="1"/>
  <c r="BA1800" i="1"/>
  <c r="BJ1800" i="1" s="1"/>
  <c r="BA1845" i="1"/>
  <c r="BJ1845" i="1" s="1"/>
  <c r="BA1795" i="1"/>
  <c r="BJ1795" i="1" s="1"/>
  <c r="BA1878" i="1"/>
  <c r="BJ1878" i="1" s="1"/>
  <c r="BA1764" i="1"/>
  <c r="BJ1764" i="1" s="1"/>
  <c r="BA1814" i="1"/>
  <c r="BJ1814" i="1" s="1"/>
  <c r="BA1846" i="1"/>
  <c r="BJ1846" i="1" s="1"/>
  <c r="BA1817" i="1"/>
  <c r="BJ1817" i="1" s="1"/>
  <c r="BA1786" i="1"/>
  <c r="BJ1786" i="1" s="1"/>
  <c r="BA1768" i="1"/>
  <c r="BJ1768" i="1" s="1"/>
  <c r="BA1865" i="1"/>
  <c r="BJ1865" i="1" s="1"/>
  <c r="BA1855" i="1"/>
  <c r="BJ1855" i="1" s="1"/>
  <c r="BA1816" i="1"/>
  <c r="BJ1816" i="1" s="1"/>
  <c r="BA1770" i="1"/>
  <c r="BJ1770" i="1" s="1"/>
  <c r="BA1766" i="1"/>
  <c r="BJ1766" i="1" s="1"/>
  <c r="BA1773" i="1"/>
  <c r="BJ1773" i="1" s="1"/>
  <c r="BA1788" i="1"/>
  <c r="BJ1788" i="1" s="1"/>
  <c r="BA1779" i="1"/>
  <c r="BJ1779" i="1" s="1"/>
  <c r="BA1760" i="1"/>
  <c r="BJ1760" i="1" s="1"/>
  <c r="BA1815" i="1"/>
  <c r="BJ1815" i="1" s="1"/>
  <c r="BA1783" i="1"/>
  <c r="BJ1783" i="1" s="1"/>
  <c r="BA1759" i="1"/>
  <c r="BJ1759" i="1" s="1"/>
  <c r="BA1850" i="1"/>
  <c r="BJ1850" i="1" s="1"/>
  <c r="BA1866" i="1"/>
  <c r="BJ1866" i="1" s="1"/>
  <c r="BA1847" i="1"/>
  <c r="BJ1847" i="1" s="1"/>
  <c r="BA1870" i="1"/>
  <c r="BJ1870" i="1" s="1"/>
  <c r="BA1840" i="1"/>
  <c r="BJ1840" i="1" s="1"/>
  <c r="BA1883" i="1"/>
  <c r="BJ1883" i="1" s="1"/>
  <c r="BA1811" i="1"/>
  <c r="BJ1811" i="1" s="1"/>
  <c r="BA1856" i="1"/>
  <c r="BJ1856" i="1" s="1"/>
  <c r="BA1819" i="1"/>
  <c r="BJ1819" i="1" s="1"/>
  <c r="BA1793" i="1"/>
  <c r="BJ1793" i="1" s="1"/>
  <c r="BA1763" i="1"/>
  <c r="BJ1763" i="1" s="1"/>
  <c r="BA1882" i="1"/>
  <c r="BJ1882" i="1" s="1"/>
  <c r="BA1841" i="1"/>
  <c r="BJ1841" i="1" s="1"/>
  <c r="BA1880" i="1"/>
  <c r="BJ1880" i="1" s="1"/>
  <c r="BA1796" i="1"/>
  <c r="BJ1796" i="1" s="1"/>
  <c r="BA1836" i="1"/>
  <c r="BJ1836" i="1" s="1"/>
  <c r="BA1873" i="1"/>
  <c r="BJ1873" i="1" s="1"/>
  <c r="BA1765" i="1"/>
  <c r="BJ1765" i="1" s="1"/>
  <c r="BA1777" i="1"/>
  <c r="BJ1777" i="1" s="1"/>
  <c r="BA1801" i="1"/>
  <c r="BJ1801" i="1" s="1"/>
  <c r="BA1879" i="1"/>
  <c r="BJ1879" i="1" s="1"/>
  <c r="BA1848" i="1"/>
  <c r="BJ1848" i="1" s="1"/>
  <c r="BA1769" i="1"/>
  <c r="BJ1769" i="1" s="1"/>
  <c r="BA1799" i="1"/>
  <c r="BJ1799" i="1" s="1"/>
  <c r="BA1820" i="1"/>
  <c r="BJ1820" i="1" s="1"/>
  <c r="BA1818" i="1"/>
  <c r="BJ1818" i="1" s="1"/>
  <c r="BA1757" i="1"/>
  <c r="BJ1757" i="1" s="1"/>
  <c r="BE1825" i="1"/>
  <c r="BE1819" i="1"/>
  <c r="BE1806" i="1"/>
  <c r="BE1781" i="1"/>
  <c r="BE1829" i="1"/>
  <c r="BE1877" i="1"/>
  <c r="BE1823" i="1"/>
  <c r="BE1767" i="1"/>
  <c r="BE1842" i="1"/>
  <c r="BE1875" i="1"/>
  <c r="BE1817" i="1"/>
  <c r="BE1786" i="1"/>
  <c r="BE1869" i="1"/>
  <c r="BE1857" i="1"/>
  <c r="BE1793" i="1"/>
  <c r="BE1867" i="1"/>
  <c r="BE1831" i="1"/>
  <c r="BE1807" i="1"/>
  <c r="BE1865" i="1"/>
  <c r="BE1837" i="1"/>
  <c r="BE1813" i="1"/>
  <c r="BE1855" i="1"/>
  <c r="BE1798" i="1"/>
  <c r="BE1883" i="1"/>
  <c r="BE1863" i="1"/>
  <c r="BE1846" i="1"/>
  <c r="BE1862" i="1"/>
  <c r="BE1778" i="1"/>
  <c r="BE1796" i="1"/>
  <c r="BE1882" i="1"/>
  <c r="BE1780" i="1"/>
  <c r="BE1845" i="1"/>
  <c r="BE1801" i="1"/>
  <c r="BE1788" i="1"/>
  <c r="BE1804" i="1"/>
  <c r="BE1779" i="1"/>
  <c r="BE1852" i="1"/>
  <c r="BE1848" i="1"/>
  <c r="BE1827" i="1"/>
  <c r="BE1783" i="1"/>
  <c r="BE1773" i="1"/>
  <c r="BE1870" i="1"/>
  <c r="BE1851" i="1"/>
  <c r="BE1787" i="1"/>
  <c r="BE1826" i="1"/>
  <c r="BE1833" i="1"/>
  <c r="BE1811" i="1"/>
  <c r="BE1775" i="1"/>
  <c r="BE1864" i="1"/>
  <c r="BE1816" i="1"/>
  <c r="BE1770" i="1"/>
  <c r="BE1874" i="1"/>
  <c r="BE1840" i="1"/>
  <c r="BE1789" i="1"/>
  <c r="BE1785" i="1"/>
  <c r="BE1774" i="1"/>
  <c r="BE1841" i="1"/>
  <c r="BE1809" i="1"/>
  <c r="BE1881" i="1"/>
  <c r="BE1797" i="1"/>
  <c r="BE1879" i="1"/>
  <c r="BE1769" i="1"/>
  <c r="BE1873" i="1"/>
  <c r="BE1765" i="1"/>
  <c r="BE1876" i="1"/>
  <c r="BE1860" i="1"/>
  <c r="BE1822" i="1"/>
  <c r="BE1759" i="1"/>
  <c r="BE1799" i="1"/>
  <c r="BE1772" i="1"/>
  <c r="BE1757" i="1"/>
  <c r="BE1802" i="1"/>
  <c r="BE1880" i="1"/>
  <c r="BE1810" i="1"/>
  <c r="BE1830" i="1"/>
  <c r="BE1836" i="1"/>
  <c r="BE1812" i="1"/>
  <c r="BE1766" i="1"/>
  <c r="BE1792" i="1"/>
  <c r="BE1861" i="1"/>
  <c r="BE1800" i="1"/>
  <c r="BE1777" i="1"/>
  <c r="BE1859" i="1"/>
  <c r="BE1791" i="1"/>
  <c r="BE1871" i="1"/>
  <c r="BE1795" i="1"/>
  <c r="BE1839" i="1"/>
  <c r="BE1784" i="1"/>
  <c r="BE1776" i="1"/>
  <c r="BE1820" i="1"/>
  <c r="BE1771" i="1"/>
  <c r="BE1763" i="1"/>
  <c r="BE1761" i="1"/>
  <c r="BE1854" i="1"/>
  <c r="BE1762" i="1"/>
  <c r="BE1805" i="1"/>
  <c r="BE1872" i="1"/>
  <c r="BE1828" i="1"/>
  <c r="BE1844" i="1"/>
  <c r="BE1849" i="1"/>
  <c r="BE1835" i="1"/>
  <c r="BE1821" i="1"/>
  <c r="BE1760" i="1"/>
  <c r="BE1853" i="1"/>
  <c r="BE1815" i="1"/>
  <c r="BE1866" i="1"/>
  <c r="BE1794" i="1"/>
  <c r="BE1834" i="1"/>
  <c r="BE1878" i="1"/>
  <c r="BE1782" i="1"/>
  <c r="BE1832" i="1"/>
  <c r="BE1858" i="1"/>
  <c r="BE1838" i="1"/>
  <c r="BE1824" i="1"/>
  <c r="BE1803" i="1"/>
  <c r="BE1847" i="1"/>
  <c r="BE1856" i="1"/>
  <c r="BE1868" i="1"/>
  <c r="BE1818" i="1"/>
  <c r="BE1790" i="1"/>
  <c r="BE1768" i="1"/>
  <c r="BE1758" i="1"/>
  <c r="BE1843" i="1"/>
  <c r="BE1764" i="1"/>
  <c r="BE1814" i="1"/>
  <c r="BE1850" i="1"/>
  <c r="BE1808" i="1"/>
  <c r="BJ1761" i="1"/>
  <c r="BB1866" i="1"/>
  <c r="BB1767" i="1"/>
  <c r="BB1845" i="1"/>
  <c r="BB1832" i="1"/>
  <c r="BB1797" i="1"/>
  <c r="BB1863" i="1"/>
  <c r="BB1837" i="1"/>
  <c r="BB1877" i="1"/>
  <c r="BB1762" i="1"/>
  <c r="BB1768" i="1"/>
  <c r="BB1831" i="1"/>
  <c r="BB1810" i="1"/>
  <c r="BB1774" i="1"/>
  <c r="BB1828" i="1"/>
  <c r="BB1793" i="1"/>
  <c r="BB1871" i="1"/>
  <c r="BB1778" i="1"/>
  <c r="BB1836" i="1"/>
  <c r="BB1859" i="1"/>
  <c r="BB1839" i="1"/>
  <c r="BB1798" i="1"/>
  <c r="BB1799" i="1"/>
  <c r="BB1759" i="1"/>
  <c r="BB1776" i="1"/>
  <c r="BB1812" i="1"/>
  <c r="BB1865" i="1"/>
  <c r="BB1830" i="1"/>
  <c r="BB1808" i="1"/>
  <c r="BB1813" i="1"/>
  <c r="BB1783" i="1"/>
  <c r="BB1794" i="1"/>
  <c r="BB1870" i="1"/>
  <c r="BB1853" i="1"/>
  <c r="BB1771" i="1"/>
  <c r="BB1807" i="1"/>
  <c r="BB1777" i="1"/>
  <c r="BB1764" i="1"/>
  <c r="BB1800" i="1"/>
  <c r="BB1822" i="1"/>
  <c r="BB1869" i="1"/>
  <c r="BB1775" i="1"/>
  <c r="BB1846" i="1"/>
  <c r="BB1779" i="1"/>
  <c r="BB1882" i="1"/>
  <c r="BB1796" i="1"/>
  <c r="BB1867" i="1"/>
  <c r="BB1772" i="1"/>
  <c r="BB1874" i="1"/>
  <c r="BB1766" i="1"/>
  <c r="BB1809" i="1"/>
  <c r="BB1838" i="1"/>
  <c r="BB1880" i="1"/>
  <c r="BB1784" i="1"/>
  <c r="BB1817" i="1"/>
  <c r="BB1763" i="1"/>
  <c r="BB1803" i="1"/>
  <c r="BB1840" i="1"/>
  <c r="BB1827" i="1"/>
  <c r="BB1864" i="1"/>
  <c r="BB1820" i="1"/>
  <c r="BB1841" i="1"/>
  <c r="BB1823" i="1"/>
  <c r="BB1883" i="1"/>
  <c r="BB1792" i="1"/>
  <c r="BB1835" i="1"/>
  <c r="BB1875" i="1"/>
  <c r="BB1781" i="1"/>
  <c r="BB1829" i="1"/>
  <c r="BB1805" i="1"/>
  <c r="BB1765" i="1"/>
  <c r="BB1860" i="1"/>
  <c r="BB1802" i="1"/>
  <c r="BB1852" i="1"/>
  <c r="BB1819" i="1"/>
  <c r="BB1857" i="1"/>
  <c r="BB1760" i="1"/>
  <c r="BB1825" i="1"/>
  <c r="BB1851" i="1"/>
  <c r="BB1868" i="1"/>
  <c r="BB1847" i="1"/>
  <c r="BB1785" i="1"/>
  <c r="BB1842" i="1"/>
  <c r="BB1861" i="1"/>
  <c r="BB1814" i="1"/>
  <c r="BB1773" i="1"/>
  <c r="BB1872" i="1"/>
  <c r="BB1824" i="1"/>
  <c r="BB1878" i="1"/>
  <c r="BB1849" i="1"/>
  <c r="BB1848" i="1"/>
  <c r="BB1790" i="1"/>
  <c r="BB1769" i="1" l="1"/>
  <c r="BB1789" i="1"/>
  <c r="BB1758" i="1"/>
  <c r="BB1873" i="1"/>
  <c r="BB1770" i="1"/>
  <c r="BB1815" i="1"/>
  <c r="BB1862" i="1"/>
  <c r="BB1786" i="1"/>
  <c r="BB1780" i="1"/>
  <c r="BB1818" i="1"/>
  <c r="BB1757" i="1"/>
  <c r="BB1834" i="1"/>
  <c r="BB1854" i="1"/>
  <c r="BB1816" i="1"/>
  <c r="BB1806" i="1"/>
  <c r="BB1855" i="1"/>
  <c r="BB1844" i="1"/>
  <c r="BB1791" i="1"/>
  <c r="BB1881" i="1"/>
  <c r="BB1795" i="1"/>
  <c r="BB1821" i="1"/>
  <c r="BB1833" i="1"/>
  <c r="BB1804" i="1"/>
  <c r="BB1858" i="1"/>
  <c r="BB1879" i="1"/>
  <c r="BB1811" i="1"/>
  <c r="BB1782" i="1"/>
  <c r="BB1826" i="1"/>
  <c r="BB1843" i="1"/>
  <c r="BB1856" i="1"/>
  <c r="BB1876" i="1"/>
  <c r="BB1787" i="1"/>
  <c r="BB1801" i="1"/>
  <c r="BB1850" i="1"/>
  <c r="BB1788" i="1"/>
  <c r="BB1761" i="1"/>
  <c r="BC1770" i="1"/>
  <c r="BC1883" i="1"/>
  <c r="BC1833" i="1"/>
  <c r="BC1811" i="1"/>
  <c r="BC1829" i="1"/>
  <c r="BC1864" i="1"/>
  <c r="BC1810" i="1"/>
  <c r="BC1859" i="1"/>
  <c r="BC1825" i="1"/>
  <c r="BC1806" i="1"/>
  <c r="BC1798" i="1"/>
  <c r="BC1837" i="1"/>
  <c r="BC1813" i="1"/>
  <c r="BC1778" i="1"/>
  <c r="BC1812" i="1"/>
  <c r="BC1871" i="1"/>
  <c r="BC1765" i="1"/>
  <c r="BC1878" i="1"/>
  <c r="BC1824" i="1"/>
  <c r="BC1757" i="1"/>
  <c r="BC1779" i="1"/>
  <c r="BC1760" i="1"/>
  <c r="BC1862" i="1"/>
  <c r="BC1784" i="1"/>
  <c r="BC1879" i="1"/>
  <c r="BC1838" i="1"/>
  <c r="BC1800" i="1"/>
  <c r="BC1815" i="1"/>
  <c r="BC1846" i="1"/>
  <c r="BC1869" i="1"/>
  <c r="BC1793" i="1"/>
  <c r="BC1867" i="1"/>
  <c r="BC1786" i="1"/>
  <c r="BC1877" i="1"/>
  <c r="BC1823" i="1"/>
  <c r="BC1780" i="1"/>
  <c r="BC1866" i="1"/>
  <c r="BC1773" i="1"/>
  <c r="BC1835" i="1"/>
  <c r="BC1858" i="1"/>
  <c r="BC1788" i="1"/>
  <c r="BC1836" i="1"/>
  <c r="BC1868" i="1"/>
  <c r="BC1842" i="1"/>
  <c r="BC1771" i="1"/>
  <c r="BC1863" i="1"/>
  <c r="BC1840" i="1"/>
  <c r="BC1831" i="1"/>
  <c r="BC1807" i="1"/>
  <c r="BC1762" i="1"/>
  <c r="BC1819" i="1"/>
  <c r="BC1781" i="1"/>
  <c r="BC1761" i="1"/>
  <c r="BC1873" i="1"/>
  <c r="BC1775" i="1"/>
  <c r="BC1881" i="1"/>
  <c r="BC1865" i="1"/>
  <c r="BC1851" i="1"/>
  <c r="BC1853" i="1"/>
  <c r="BC1804" i="1"/>
  <c r="BC1766" i="1"/>
  <c r="BC1839" i="1"/>
  <c r="BC1797" i="1"/>
  <c r="BC1844" i="1"/>
  <c r="BC1777" i="1"/>
  <c r="BC1830" i="1"/>
  <c r="BC1792" i="1"/>
  <c r="BC1808" i="1"/>
  <c r="BC1816" i="1"/>
  <c r="BC1855" i="1"/>
  <c r="BC1774" i="1"/>
  <c r="BC1763" i="1"/>
  <c r="BC1802" i="1"/>
  <c r="BC1796" i="1"/>
  <c r="BC1875" i="1"/>
  <c r="BC1857" i="1"/>
  <c r="BC1817" i="1"/>
  <c r="BC1767" i="1"/>
  <c r="BC1872" i="1"/>
  <c r="BC1801" i="1"/>
  <c r="BC1843" i="1"/>
  <c r="BC1791" i="1"/>
  <c r="BC1794" i="1"/>
  <c r="BC1882" i="1"/>
  <c r="BC1852" i="1"/>
  <c r="BC1759" i="1"/>
  <c r="BC1818" i="1"/>
  <c r="BC1841" i="1"/>
  <c r="BC1849" i="1"/>
  <c r="BC1821" i="1"/>
  <c r="BC1768" i="1"/>
  <c r="BC1776" i="1"/>
  <c r="BC1861" i="1"/>
  <c r="BC1790" i="1"/>
  <c r="BC1769" i="1"/>
  <c r="BC1789" i="1"/>
  <c r="BC1850" i="1"/>
  <c r="BC1803" i="1"/>
  <c r="BC1880" i="1"/>
  <c r="BC1874" i="1"/>
  <c r="BC1848" i="1"/>
  <c r="BC1783" i="1"/>
  <c r="BC1826" i="1"/>
  <c r="BC1787" i="1"/>
  <c r="BC1845" i="1"/>
  <c r="BC1772" i="1"/>
  <c r="BC1814" i="1"/>
  <c r="BC1809" i="1"/>
  <c r="BC1832" i="1"/>
  <c r="BC1764" i="1"/>
  <c r="BC1834" i="1"/>
  <c r="BC1854" i="1"/>
  <c r="BC1822" i="1"/>
  <c r="BC1827" i="1"/>
  <c r="BC1799" i="1"/>
  <c r="BC1758" i="1"/>
  <c r="BC1860" i="1"/>
  <c r="BC1847" i="1"/>
  <c r="BC1782" i="1"/>
  <c r="BC1805" i="1"/>
  <c r="BC1820" i="1"/>
  <c r="BC1795" i="1"/>
  <c r="BC1785" i="1"/>
  <c r="BC1870" i="1"/>
  <c r="BC1856" i="1"/>
  <c r="BC1828" i="1"/>
  <c r="BC1876" i="1"/>
  <c r="BD1818" i="1"/>
  <c r="BI1818" i="1" s="1"/>
  <c r="BD1782" i="1"/>
  <c r="BI1782" i="1" s="1"/>
  <c r="BD1847" i="1"/>
  <c r="BI1847" i="1" s="1"/>
  <c r="BD1762" i="1"/>
  <c r="BI1762" i="1" s="1"/>
  <c r="BD1826" i="1"/>
  <c r="BI1826" i="1" s="1"/>
  <c r="BD1795" i="1"/>
  <c r="BI1795" i="1" s="1"/>
  <c r="BD1853" i="1"/>
  <c r="BI1853" i="1" s="1"/>
  <c r="BD1862" i="1"/>
  <c r="BI1862" i="1" s="1"/>
  <c r="BD1807" i="1"/>
  <c r="BI1807" i="1" s="1"/>
  <c r="BD1831" i="1"/>
  <c r="BI1831" i="1" s="1"/>
  <c r="BD1820" i="1"/>
  <c r="BI1820" i="1" s="1"/>
  <c r="BD1790" i="1"/>
  <c r="BI1790" i="1" s="1"/>
  <c r="BD1827" i="1"/>
  <c r="BI1827" i="1" s="1"/>
  <c r="BD1830" i="1"/>
  <c r="BI1830" i="1" s="1"/>
  <c r="BD1824" i="1"/>
  <c r="BI1824" i="1" s="1"/>
  <c r="BD1878" i="1"/>
  <c r="BI1878" i="1" s="1"/>
  <c r="BD1765" i="1"/>
  <c r="BI1765" i="1" s="1"/>
  <c r="BD1873" i="1"/>
  <c r="BI1873" i="1" s="1"/>
  <c r="BD1860" i="1"/>
  <c r="BI1860" i="1" s="1"/>
  <c r="BD1808" i="1"/>
  <c r="BI1808" i="1" s="1"/>
  <c r="BD1829" i="1"/>
  <c r="BI1829" i="1" s="1"/>
  <c r="BD1845" i="1"/>
  <c r="BI1845" i="1" s="1"/>
  <c r="BD1843" i="1"/>
  <c r="BI1843" i="1" s="1"/>
  <c r="BD1874" i="1"/>
  <c r="BI1874" i="1" s="1"/>
  <c r="BD1868" i="1"/>
  <c r="BI1868" i="1" s="1"/>
  <c r="BD1783" i="1"/>
  <c r="BI1783" i="1" s="1"/>
  <c r="BD1848" i="1"/>
  <c r="BI1848" i="1" s="1"/>
  <c r="BD1763" i="1"/>
  <c r="BI1763" i="1" s="1"/>
  <c r="BD1879" i="1"/>
  <c r="BI1879" i="1" s="1"/>
  <c r="BD1875" i="1"/>
  <c r="BI1875" i="1" s="1"/>
  <c r="BD1772" i="1"/>
  <c r="BI1772" i="1" s="1"/>
  <c r="BD1811" i="1"/>
  <c r="BI1811" i="1" s="1"/>
  <c r="BD1858" i="1"/>
  <c r="BI1858" i="1" s="1"/>
  <c r="BD1821" i="1"/>
  <c r="BI1821" i="1" s="1"/>
  <c r="BD1849" i="1"/>
  <c r="BI1849" i="1" s="1"/>
  <c r="BD1801" i="1"/>
  <c r="BI1801" i="1" s="1"/>
  <c r="BD1810" i="1"/>
  <c r="BI1810" i="1" s="1"/>
  <c r="BD1799" i="1"/>
  <c r="BI1799" i="1" s="1"/>
  <c r="BD1797" i="1"/>
  <c r="BI1797" i="1" s="1"/>
  <c r="BD1774" i="1"/>
  <c r="BI1774" i="1" s="1"/>
  <c r="BD1856" i="1"/>
  <c r="BI1856" i="1" s="1"/>
  <c r="BD1809" i="1"/>
  <c r="BI1809" i="1" s="1"/>
  <c r="BD1859" i="1"/>
  <c r="BI1859" i="1" s="1"/>
  <c r="BD1882" i="1"/>
  <c r="BI1882" i="1" s="1"/>
  <c r="BD1866" i="1"/>
  <c r="BI1866" i="1" s="1"/>
  <c r="BD1835" i="1"/>
  <c r="BI1835" i="1" s="1"/>
  <c r="BD1770" i="1"/>
  <c r="BI1770" i="1" s="1"/>
  <c r="BD1870" i="1"/>
  <c r="BI1870" i="1" s="1"/>
  <c r="BD1833" i="1"/>
  <c r="BI1833" i="1" s="1"/>
  <c r="BD1883" i="1"/>
  <c r="BI1883" i="1" s="1"/>
  <c r="BD1836" i="1"/>
  <c r="BI1836" i="1" s="1"/>
  <c r="BD1865" i="1"/>
  <c r="BI1865" i="1" s="1"/>
  <c r="BD1780" i="1"/>
  <c r="BI1780" i="1" s="1"/>
  <c r="BD1823" i="1"/>
  <c r="BI1823" i="1" s="1"/>
  <c r="BD1877" i="1"/>
  <c r="BI1877" i="1" s="1"/>
  <c r="BD1863" i="1"/>
  <c r="BI1863" i="1" s="1"/>
  <c r="BD1813" i="1"/>
  <c r="BI1813" i="1" s="1"/>
  <c r="BD1837" i="1"/>
  <c r="BI1837" i="1" s="1"/>
  <c r="BD1767" i="1"/>
  <c r="BI1767" i="1" s="1"/>
  <c r="BD1766" i="1"/>
  <c r="BI1766" i="1" s="1"/>
  <c r="BD1773" i="1"/>
  <c r="BI1773" i="1" s="1"/>
  <c r="BD1815" i="1"/>
  <c r="BI1815" i="1" s="1"/>
  <c r="BD1771" i="1"/>
  <c r="BI1771" i="1" s="1"/>
  <c r="BD1842" i="1"/>
  <c r="BI1842" i="1" s="1"/>
  <c r="BD1852" i="1"/>
  <c r="BI1852" i="1" s="1"/>
  <c r="BD1789" i="1"/>
  <c r="BI1789" i="1" s="1"/>
  <c r="BD1786" i="1"/>
  <c r="BI1786" i="1" s="1"/>
  <c r="BD1867" i="1"/>
  <c r="BI1867" i="1" s="1"/>
  <c r="BD1832" i="1"/>
  <c r="BI1832" i="1" s="1"/>
  <c r="BD1784" i="1"/>
  <c r="BI1784" i="1" s="1"/>
  <c r="BD1872" i="1"/>
  <c r="BI1872" i="1" s="1"/>
  <c r="BD1822" i="1"/>
  <c r="BI1822" i="1" s="1"/>
  <c r="BD1769" i="1"/>
  <c r="BI1769" i="1" s="1"/>
  <c r="BD1805" i="1"/>
  <c r="BI1805" i="1" s="1"/>
  <c r="BD1854" i="1"/>
  <c r="BI1854" i="1" s="1"/>
  <c r="BD1798" i="1"/>
  <c r="BI1798" i="1" s="1"/>
  <c r="BD1778" i="1"/>
  <c r="BI1778" i="1" s="1"/>
  <c r="BD1787" i="1"/>
  <c r="BI1787" i="1" s="1"/>
  <c r="BD1759" i="1"/>
  <c r="BI1759" i="1" s="1"/>
  <c r="BD1764" i="1"/>
  <c r="BI1764" i="1" s="1"/>
  <c r="BD1776" i="1"/>
  <c r="BI1776" i="1" s="1"/>
  <c r="BD1864" i="1"/>
  <c r="BI1864" i="1" s="1"/>
  <c r="BD1812" i="1"/>
  <c r="BI1812" i="1" s="1"/>
  <c r="BD1817" i="1"/>
  <c r="BI1817" i="1" s="1"/>
  <c r="BD1851" i="1"/>
  <c r="BI1851" i="1" s="1"/>
  <c r="BD1839" i="1"/>
  <c r="BI1839" i="1" s="1"/>
  <c r="BD1881" i="1"/>
  <c r="BI1881" i="1" s="1"/>
  <c r="BD1855" i="1"/>
  <c r="BI1855" i="1" s="1"/>
  <c r="BD1871" i="1"/>
  <c r="BI1871" i="1" s="1"/>
  <c r="BD1775" i="1"/>
  <c r="BI1775" i="1" s="1"/>
  <c r="BD1785" i="1"/>
  <c r="BI1785" i="1" s="1"/>
  <c r="BD1794" i="1"/>
  <c r="BI1794" i="1" s="1"/>
  <c r="BD1804" i="1"/>
  <c r="BI1804" i="1" s="1"/>
  <c r="BD1757" i="1"/>
  <c r="BI1757" i="1" s="1"/>
  <c r="BD1803" i="1"/>
  <c r="BI1803" i="1" s="1"/>
  <c r="BD1850" i="1"/>
  <c r="BI1850" i="1" s="1"/>
  <c r="BD1846" i="1"/>
  <c r="BI1846" i="1" s="1"/>
  <c r="BD1792" i="1"/>
  <c r="BI1792" i="1" s="1"/>
  <c r="BD1793" i="1"/>
  <c r="BI1793" i="1" s="1"/>
  <c r="BD1834" i="1"/>
  <c r="BI1834" i="1" s="1"/>
  <c r="BD1777" i="1"/>
  <c r="BI1777" i="1" s="1"/>
  <c r="BD1844" i="1"/>
  <c r="BI1844" i="1" s="1"/>
  <c r="BD1816" i="1"/>
  <c r="BI1816" i="1" s="1"/>
  <c r="BD1806" i="1"/>
  <c r="BI1806" i="1" s="1"/>
  <c r="BD1825" i="1"/>
  <c r="BI1825" i="1" s="1"/>
  <c r="BD1840" i="1"/>
  <c r="BI1840" i="1" s="1"/>
  <c r="BD1876" i="1"/>
  <c r="BI1876" i="1" s="1"/>
  <c r="BD1760" i="1"/>
  <c r="BI1760" i="1" s="1"/>
  <c r="BD1779" i="1"/>
  <c r="BI1779" i="1" s="1"/>
  <c r="BD1788" i="1"/>
  <c r="BI1788" i="1" s="1"/>
  <c r="BD1802" i="1"/>
  <c r="BI1802" i="1" s="1"/>
  <c r="BD1861" i="1"/>
  <c r="BI1861" i="1" s="1"/>
  <c r="BD1828" i="1"/>
  <c r="BI1828" i="1" s="1"/>
  <c r="BD1857" i="1"/>
  <c r="BI1857" i="1" s="1"/>
  <c r="BD1768" i="1"/>
  <c r="BI1768" i="1" s="1"/>
  <c r="BD1838" i="1"/>
  <c r="BI1838" i="1" s="1"/>
  <c r="BD1791" i="1"/>
  <c r="BI1791" i="1" s="1"/>
  <c r="BD1796" i="1"/>
  <c r="BI1796" i="1" s="1"/>
  <c r="BD1758" i="1"/>
  <c r="BI1758" i="1" s="1"/>
  <c r="BD1814" i="1"/>
  <c r="BI1814" i="1" s="1"/>
  <c r="BD1800" i="1"/>
  <c r="BI1800" i="1" s="1"/>
  <c r="BD1880" i="1"/>
  <c r="BI1880" i="1" s="1"/>
  <c r="BD1841" i="1"/>
  <c r="BI1841" i="1" s="1"/>
  <c r="BD1761" i="1"/>
  <c r="BI1761" i="1" s="1"/>
  <c r="BD1781" i="1"/>
  <c r="BI1781" i="1" s="1"/>
  <c r="BD1819" i="1"/>
  <c r="BI1819" i="1" s="1"/>
  <c r="BD1869" i="1"/>
  <c r="BI1869" i="1" s="1"/>
  <c r="V2" i="20"/>
  <c r="V3" i="20"/>
  <c r="V4" i="20"/>
  <c r="V6" i="20"/>
  <c r="V7" i="20"/>
  <c r="V8" i="20"/>
  <c r="V9" i="20"/>
  <c r="V10" i="20"/>
  <c r="V11" i="20"/>
  <c r="V12" i="20"/>
  <c r="V13" i="20"/>
  <c r="V14" i="20"/>
  <c r="V15" i="20"/>
  <c r="V16" i="20"/>
  <c r="V17" i="20"/>
  <c r="V18" i="20"/>
  <c r="V19" i="20"/>
  <c r="V20" i="20"/>
  <c r="V21" i="20"/>
  <c r="V22" i="20"/>
  <c r="V23" i="20"/>
  <c r="V24" i="20"/>
  <c r="V25" i="20"/>
  <c r="V26" i="20"/>
  <c r="V27" i="20"/>
  <c r="V28" i="20"/>
  <c r="U19" i="20"/>
  <c r="U18" i="20"/>
  <c r="B2" i="20"/>
  <c r="B3" i="20"/>
  <c r="B4" i="20"/>
  <c r="B5" i="20"/>
  <c r="B6" i="20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K1785" i="1" l="1"/>
  <c r="BL1785" i="1" s="1"/>
  <c r="BF1785" i="1"/>
  <c r="BG1785" i="1" s="1"/>
  <c r="BH1785" i="1"/>
  <c r="BK1795" i="1"/>
  <c r="BL1795" i="1" s="1"/>
  <c r="BH1795" i="1"/>
  <c r="BF1795" i="1"/>
  <c r="BG1795" i="1" s="1"/>
  <c r="BH1758" i="1"/>
  <c r="BK1758" i="1"/>
  <c r="BL1758" i="1" s="1"/>
  <c r="BF1758" i="1"/>
  <c r="BG1758" i="1" s="1"/>
  <c r="BH1845" i="1"/>
  <c r="BF1845" i="1"/>
  <c r="BG1845" i="1" s="1"/>
  <c r="BK1845" i="1"/>
  <c r="BL1845" i="1" s="1"/>
  <c r="BF1787" i="1"/>
  <c r="BG1787" i="1" s="1"/>
  <c r="BH1787" i="1"/>
  <c r="BK1787" i="1"/>
  <c r="BL1787" i="1" s="1"/>
  <c r="BK1783" i="1"/>
  <c r="BL1783" i="1" s="1"/>
  <c r="BH1783" i="1"/>
  <c r="BF1783" i="1"/>
  <c r="BG1783" i="1" s="1"/>
  <c r="BH1880" i="1"/>
  <c r="BF1880" i="1"/>
  <c r="BG1880" i="1" s="1"/>
  <c r="BK1880" i="1"/>
  <c r="BL1880" i="1" s="1"/>
  <c r="BH1803" i="1"/>
  <c r="BF1803" i="1"/>
  <c r="BG1803" i="1" s="1"/>
  <c r="BK1803" i="1"/>
  <c r="BL1803" i="1" s="1"/>
  <c r="BH1768" i="1"/>
  <c r="BK1768" i="1"/>
  <c r="BL1768" i="1" s="1"/>
  <c r="BF1768" i="1"/>
  <c r="BG1768" i="1" s="1"/>
  <c r="BH1849" i="1"/>
  <c r="BK1849" i="1"/>
  <c r="BL1849" i="1" s="1"/>
  <c r="BF1849" i="1"/>
  <c r="BG1849" i="1" s="1"/>
  <c r="BF1767" i="1"/>
  <c r="BG1767" i="1" s="1"/>
  <c r="BK1767" i="1"/>
  <c r="BL1767" i="1" s="1"/>
  <c r="BH1767" i="1"/>
  <c r="BF1802" i="1"/>
  <c r="BG1802" i="1" s="1"/>
  <c r="BH1802" i="1"/>
  <c r="BK1802" i="1"/>
  <c r="BL1802" i="1" s="1"/>
  <c r="BK1774" i="1"/>
  <c r="BL1774" i="1" s="1"/>
  <c r="BF1774" i="1"/>
  <c r="BG1774" i="1" s="1"/>
  <c r="BH1774" i="1"/>
  <c r="BF1844" i="1"/>
  <c r="BG1844" i="1" s="1"/>
  <c r="BH1844" i="1"/>
  <c r="BK1844" i="1"/>
  <c r="BL1844" i="1" s="1"/>
  <c r="BF1797" i="1"/>
  <c r="BG1797" i="1" s="1"/>
  <c r="BH1797" i="1"/>
  <c r="BK1797" i="1"/>
  <c r="BL1797" i="1" s="1"/>
  <c r="BH1873" i="1"/>
  <c r="BK1873" i="1"/>
  <c r="BL1873" i="1" s="1"/>
  <c r="BF1873" i="1"/>
  <c r="BG1873" i="1" s="1"/>
  <c r="BF1781" i="1"/>
  <c r="BG1781" i="1" s="1"/>
  <c r="BH1781" i="1"/>
  <c r="BK1781" i="1"/>
  <c r="BL1781" i="1" s="1"/>
  <c r="BF1863" i="1"/>
  <c r="BG1863" i="1" s="1"/>
  <c r="BH1863" i="1"/>
  <c r="BK1863" i="1"/>
  <c r="BL1863" i="1" s="1"/>
  <c r="BK1836" i="1"/>
  <c r="BL1836" i="1" s="1"/>
  <c r="BF1836" i="1"/>
  <c r="BG1836" i="1" s="1"/>
  <c r="BH1836" i="1"/>
  <c r="BK1788" i="1"/>
  <c r="BL1788" i="1" s="1"/>
  <c r="BH1788" i="1"/>
  <c r="BF1788" i="1"/>
  <c r="BG1788" i="1" s="1"/>
  <c r="BK1866" i="1"/>
  <c r="BL1866" i="1" s="1"/>
  <c r="BH1866" i="1"/>
  <c r="BF1866" i="1"/>
  <c r="BG1866" i="1" s="1"/>
  <c r="BH1867" i="1"/>
  <c r="BF1867" i="1"/>
  <c r="BG1867" i="1" s="1"/>
  <c r="BK1867" i="1"/>
  <c r="BL1867" i="1" s="1"/>
  <c r="BH1862" i="1"/>
  <c r="BF1862" i="1"/>
  <c r="BG1862" i="1" s="1"/>
  <c r="BK1862" i="1"/>
  <c r="BL1862" i="1" s="1"/>
  <c r="BK1878" i="1"/>
  <c r="BL1878" i="1" s="1"/>
  <c r="BF1878" i="1"/>
  <c r="BG1878" i="1" s="1"/>
  <c r="BH1878" i="1"/>
  <c r="BF1765" i="1"/>
  <c r="BG1765" i="1" s="1"/>
  <c r="BK1765" i="1"/>
  <c r="BL1765" i="1" s="1"/>
  <c r="BH1765" i="1"/>
  <c r="BH1837" i="1"/>
  <c r="BK1837" i="1"/>
  <c r="BL1837" i="1" s="1"/>
  <c r="BF1837" i="1"/>
  <c r="BG1837" i="1" s="1"/>
  <c r="BF1798" i="1"/>
  <c r="BG1798" i="1" s="1"/>
  <c r="BK1798" i="1"/>
  <c r="BL1798" i="1" s="1"/>
  <c r="BH1798" i="1"/>
  <c r="BK1864" i="1"/>
  <c r="BL1864" i="1" s="1"/>
  <c r="BF1864" i="1"/>
  <c r="BG1864" i="1" s="1"/>
  <c r="BH1864" i="1"/>
  <c r="BF1876" i="1"/>
  <c r="BG1876" i="1" s="1"/>
  <c r="BK1876" i="1"/>
  <c r="BL1876" i="1" s="1"/>
  <c r="BH1876" i="1"/>
  <c r="BH1870" i="1"/>
  <c r="BK1870" i="1"/>
  <c r="BL1870" i="1" s="1"/>
  <c r="BF1870" i="1"/>
  <c r="BG1870" i="1" s="1"/>
  <c r="BH1805" i="1"/>
  <c r="BK1805" i="1"/>
  <c r="BL1805" i="1" s="1"/>
  <c r="BF1805" i="1"/>
  <c r="BG1805" i="1" s="1"/>
  <c r="BK1799" i="1"/>
  <c r="BL1799" i="1" s="1"/>
  <c r="BF1799" i="1"/>
  <c r="BG1799" i="1" s="1"/>
  <c r="BH1799" i="1"/>
  <c r="BK1827" i="1"/>
  <c r="BL1827" i="1" s="1"/>
  <c r="BH1827" i="1"/>
  <c r="BF1827" i="1"/>
  <c r="BG1827" i="1" s="1"/>
  <c r="BF1809" i="1"/>
  <c r="BG1809" i="1" s="1"/>
  <c r="BK1809" i="1"/>
  <c r="BL1809" i="1" s="1"/>
  <c r="BH1809" i="1"/>
  <c r="BH1772" i="1"/>
  <c r="BK1772" i="1"/>
  <c r="BL1772" i="1" s="1"/>
  <c r="BF1772" i="1"/>
  <c r="BG1772" i="1" s="1"/>
  <c r="BK1850" i="1"/>
  <c r="BL1850" i="1" s="1"/>
  <c r="BH1850" i="1"/>
  <c r="BF1850" i="1"/>
  <c r="BG1850" i="1" s="1"/>
  <c r="BF1790" i="1"/>
  <c r="BG1790" i="1" s="1"/>
  <c r="BK1790" i="1"/>
  <c r="BL1790" i="1" s="1"/>
  <c r="BH1790" i="1"/>
  <c r="BF1841" i="1"/>
  <c r="BG1841" i="1" s="1"/>
  <c r="BK1841" i="1"/>
  <c r="BL1841" i="1" s="1"/>
  <c r="BH1841" i="1"/>
  <c r="BF1791" i="1"/>
  <c r="BG1791" i="1" s="1"/>
  <c r="BH1791" i="1"/>
  <c r="BK1791" i="1"/>
  <c r="BL1791" i="1" s="1"/>
  <c r="BK1843" i="1"/>
  <c r="BL1843" i="1" s="1"/>
  <c r="BF1843" i="1"/>
  <c r="BG1843" i="1" s="1"/>
  <c r="BH1843" i="1"/>
  <c r="BH1801" i="1"/>
  <c r="BK1801" i="1"/>
  <c r="BL1801" i="1" s="1"/>
  <c r="BF1801" i="1"/>
  <c r="BG1801" i="1" s="1"/>
  <c r="BH1857" i="1"/>
  <c r="BK1857" i="1"/>
  <c r="BL1857" i="1" s="1"/>
  <c r="BF1857" i="1"/>
  <c r="BG1857" i="1" s="1"/>
  <c r="BF1796" i="1"/>
  <c r="BG1796" i="1" s="1"/>
  <c r="BK1796" i="1"/>
  <c r="BL1796" i="1" s="1"/>
  <c r="BH1796" i="1"/>
  <c r="BF1816" i="1"/>
  <c r="BG1816" i="1" s="1"/>
  <c r="BK1816" i="1"/>
  <c r="BL1816" i="1" s="1"/>
  <c r="BH1816" i="1"/>
  <c r="BF1830" i="1"/>
  <c r="BG1830" i="1" s="1"/>
  <c r="BK1830" i="1"/>
  <c r="BL1830" i="1" s="1"/>
  <c r="BH1830" i="1"/>
  <c r="BF1853" i="1"/>
  <c r="BG1853" i="1" s="1"/>
  <c r="BK1853" i="1"/>
  <c r="BL1853" i="1" s="1"/>
  <c r="BH1853" i="1"/>
  <c r="BH1865" i="1"/>
  <c r="BK1865" i="1"/>
  <c r="BL1865" i="1" s="1"/>
  <c r="BF1865" i="1"/>
  <c r="BG1865" i="1" s="1"/>
  <c r="BF1819" i="1"/>
  <c r="BG1819" i="1" s="1"/>
  <c r="BK1819" i="1"/>
  <c r="BL1819" i="1" s="1"/>
  <c r="BH1819" i="1"/>
  <c r="BF1762" i="1"/>
  <c r="BG1762" i="1" s="1"/>
  <c r="BK1762" i="1"/>
  <c r="BL1762" i="1" s="1"/>
  <c r="BH1762" i="1"/>
  <c r="BK1807" i="1"/>
  <c r="BL1807" i="1" s="1"/>
  <c r="BH1807" i="1"/>
  <c r="BF1807" i="1"/>
  <c r="BG1807" i="1" s="1"/>
  <c r="BF1771" i="1"/>
  <c r="BG1771" i="1" s="1"/>
  <c r="BK1771" i="1"/>
  <c r="BL1771" i="1" s="1"/>
  <c r="BH1771" i="1"/>
  <c r="BF1823" i="1"/>
  <c r="BG1823" i="1" s="1"/>
  <c r="BH1823" i="1"/>
  <c r="BK1823" i="1"/>
  <c r="BL1823" i="1" s="1"/>
  <c r="BF1786" i="1"/>
  <c r="BG1786" i="1" s="1"/>
  <c r="BK1786" i="1"/>
  <c r="BL1786" i="1" s="1"/>
  <c r="BH1786" i="1"/>
  <c r="BF1869" i="1"/>
  <c r="BG1869" i="1" s="1"/>
  <c r="BH1869" i="1"/>
  <c r="BK1869" i="1"/>
  <c r="BL1869" i="1" s="1"/>
  <c r="BF1846" i="1"/>
  <c r="BG1846" i="1" s="1"/>
  <c r="BH1846" i="1"/>
  <c r="BK1846" i="1"/>
  <c r="BL1846" i="1" s="1"/>
  <c r="BK1757" i="1"/>
  <c r="BL1757" i="1" s="1"/>
  <c r="BF1757" i="1"/>
  <c r="BG1757" i="1" s="1"/>
  <c r="BH1757" i="1"/>
  <c r="BK1806" i="1"/>
  <c r="BL1806" i="1" s="1"/>
  <c r="BH1806" i="1"/>
  <c r="BF1806" i="1"/>
  <c r="BG1806" i="1" s="1"/>
  <c r="BK1859" i="1"/>
  <c r="BL1859" i="1" s="1"/>
  <c r="BF1859" i="1"/>
  <c r="BG1859" i="1" s="1"/>
  <c r="BH1859" i="1"/>
  <c r="BK1883" i="1"/>
  <c r="BL1883" i="1" s="1"/>
  <c r="BF1883" i="1"/>
  <c r="BG1883" i="1" s="1"/>
  <c r="BH1883" i="1"/>
  <c r="BF1828" i="1"/>
  <c r="BG1828" i="1" s="1"/>
  <c r="BK1828" i="1"/>
  <c r="BL1828" i="1" s="1"/>
  <c r="BH1828" i="1"/>
  <c r="BH1820" i="1"/>
  <c r="BK1820" i="1"/>
  <c r="BL1820" i="1" s="1"/>
  <c r="BF1820" i="1"/>
  <c r="BG1820" i="1" s="1"/>
  <c r="BF1782" i="1"/>
  <c r="BG1782" i="1" s="1"/>
  <c r="BH1782" i="1"/>
  <c r="BK1782" i="1"/>
  <c r="BL1782" i="1" s="1"/>
  <c r="BK1860" i="1"/>
  <c r="BL1860" i="1" s="1"/>
  <c r="BH1860" i="1"/>
  <c r="BF1860" i="1"/>
  <c r="BG1860" i="1" s="1"/>
  <c r="BK1822" i="1"/>
  <c r="BL1822" i="1" s="1"/>
  <c r="BH1822" i="1"/>
  <c r="BF1822" i="1"/>
  <c r="BG1822" i="1" s="1"/>
  <c r="BK1764" i="1"/>
  <c r="BL1764" i="1" s="1"/>
  <c r="BF1764" i="1"/>
  <c r="BG1764" i="1" s="1"/>
  <c r="BH1764" i="1"/>
  <c r="BF1814" i="1"/>
  <c r="BG1814" i="1" s="1"/>
  <c r="BH1814" i="1"/>
  <c r="BK1814" i="1"/>
  <c r="BL1814" i="1" s="1"/>
  <c r="BF1848" i="1"/>
  <c r="BG1848" i="1" s="1"/>
  <c r="BK1848" i="1"/>
  <c r="BL1848" i="1" s="1"/>
  <c r="BH1848" i="1"/>
  <c r="BK1776" i="1"/>
  <c r="BL1776" i="1" s="1"/>
  <c r="BH1776" i="1"/>
  <c r="BF1776" i="1"/>
  <c r="BG1776" i="1" s="1"/>
  <c r="BK1818" i="1"/>
  <c r="BL1818" i="1" s="1"/>
  <c r="BH1818" i="1"/>
  <c r="BF1818" i="1"/>
  <c r="BG1818" i="1" s="1"/>
  <c r="BK1759" i="1"/>
  <c r="BL1759" i="1" s="1"/>
  <c r="BF1759" i="1"/>
  <c r="BG1759" i="1" s="1"/>
  <c r="BH1759" i="1"/>
  <c r="BK1852" i="1"/>
  <c r="BL1852" i="1" s="1"/>
  <c r="BF1852" i="1"/>
  <c r="BG1852" i="1" s="1"/>
  <c r="BH1852" i="1"/>
  <c r="BK1882" i="1"/>
  <c r="BL1882" i="1" s="1"/>
  <c r="BF1882" i="1"/>
  <c r="BG1882" i="1" s="1"/>
  <c r="BH1882" i="1"/>
  <c r="BH1872" i="1"/>
  <c r="BF1872" i="1"/>
  <c r="BG1872" i="1" s="1"/>
  <c r="BK1872" i="1"/>
  <c r="BL1872" i="1" s="1"/>
  <c r="BH1817" i="1"/>
  <c r="BF1817" i="1"/>
  <c r="BG1817" i="1" s="1"/>
  <c r="BK1817" i="1"/>
  <c r="BL1817" i="1" s="1"/>
  <c r="BH1875" i="1"/>
  <c r="BF1875" i="1"/>
  <c r="BG1875" i="1" s="1"/>
  <c r="BK1875" i="1"/>
  <c r="BL1875" i="1" s="1"/>
  <c r="BK1855" i="1"/>
  <c r="BL1855" i="1" s="1"/>
  <c r="BF1855" i="1"/>
  <c r="BG1855" i="1" s="1"/>
  <c r="BH1855" i="1"/>
  <c r="BK1792" i="1"/>
  <c r="BL1792" i="1" s="1"/>
  <c r="BH1792" i="1"/>
  <c r="BF1792" i="1"/>
  <c r="BG1792" i="1" s="1"/>
  <c r="BK1777" i="1"/>
  <c r="BL1777" i="1" s="1"/>
  <c r="BF1777" i="1"/>
  <c r="BG1777" i="1" s="1"/>
  <c r="BH1777" i="1"/>
  <c r="BH1831" i="1"/>
  <c r="BF1831" i="1"/>
  <c r="BG1831" i="1" s="1"/>
  <c r="BK1831" i="1"/>
  <c r="BL1831" i="1" s="1"/>
  <c r="BF1868" i="1"/>
  <c r="BG1868" i="1" s="1"/>
  <c r="BK1868" i="1"/>
  <c r="BL1868" i="1" s="1"/>
  <c r="BH1868" i="1"/>
  <c r="BH1780" i="1"/>
  <c r="BK1780" i="1"/>
  <c r="BL1780" i="1" s="1"/>
  <c r="BF1780" i="1"/>
  <c r="BG1780" i="1" s="1"/>
  <c r="BH1793" i="1"/>
  <c r="BK1793" i="1"/>
  <c r="BL1793" i="1" s="1"/>
  <c r="BF1793" i="1"/>
  <c r="BG1793" i="1" s="1"/>
  <c r="BF1815" i="1"/>
  <c r="BG1815" i="1" s="1"/>
  <c r="BK1815" i="1"/>
  <c r="BL1815" i="1" s="1"/>
  <c r="BH1815" i="1"/>
  <c r="BF1784" i="1"/>
  <c r="BG1784" i="1" s="1"/>
  <c r="BK1784" i="1"/>
  <c r="BL1784" i="1" s="1"/>
  <c r="BH1784" i="1"/>
  <c r="BF1760" i="1"/>
  <c r="BG1760" i="1" s="1"/>
  <c r="BH1760" i="1"/>
  <c r="BK1760" i="1"/>
  <c r="BL1760" i="1" s="1"/>
  <c r="BF1812" i="1"/>
  <c r="BG1812" i="1" s="1"/>
  <c r="BH1812" i="1"/>
  <c r="BK1812" i="1"/>
  <c r="BL1812" i="1" s="1"/>
  <c r="BK1825" i="1"/>
  <c r="BL1825" i="1" s="1"/>
  <c r="BH1825" i="1"/>
  <c r="BF1825" i="1"/>
  <c r="BG1825" i="1" s="1"/>
  <c r="BF1811" i="1"/>
  <c r="BG1811" i="1" s="1"/>
  <c r="BH1811" i="1"/>
  <c r="BK1811" i="1"/>
  <c r="BL1811" i="1" s="1"/>
  <c r="BF1856" i="1"/>
  <c r="BG1856" i="1" s="1"/>
  <c r="BK1856" i="1"/>
  <c r="BL1856" i="1" s="1"/>
  <c r="BH1856" i="1"/>
  <c r="BH1847" i="1"/>
  <c r="BK1847" i="1"/>
  <c r="BL1847" i="1" s="1"/>
  <c r="BF1847" i="1"/>
  <c r="BG1847" i="1" s="1"/>
  <c r="BH1854" i="1"/>
  <c r="BK1854" i="1"/>
  <c r="BL1854" i="1" s="1"/>
  <c r="BF1854" i="1"/>
  <c r="BG1854" i="1" s="1"/>
  <c r="BF1834" i="1"/>
  <c r="BG1834" i="1" s="1"/>
  <c r="BK1834" i="1"/>
  <c r="BL1834" i="1" s="1"/>
  <c r="BH1834" i="1"/>
  <c r="BK1832" i="1"/>
  <c r="BL1832" i="1" s="1"/>
  <c r="BF1832" i="1"/>
  <c r="BG1832" i="1" s="1"/>
  <c r="BH1832" i="1"/>
  <c r="BK1826" i="1"/>
  <c r="BL1826" i="1" s="1"/>
  <c r="BF1826" i="1"/>
  <c r="BG1826" i="1" s="1"/>
  <c r="BH1826" i="1"/>
  <c r="BK1874" i="1"/>
  <c r="BL1874" i="1" s="1"/>
  <c r="BF1874" i="1"/>
  <c r="BG1874" i="1" s="1"/>
  <c r="BH1874" i="1"/>
  <c r="BK1789" i="1"/>
  <c r="BL1789" i="1" s="1"/>
  <c r="BF1789" i="1"/>
  <c r="BG1789" i="1" s="1"/>
  <c r="BH1789" i="1"/>
  <c r="BK1769" i="1"/>
  <c r="BL1769" i="1" s="1"/>
  <c r="BH1769" i="1"/>
  <c r="BF1769" i="1"/>
  <c r="BG1769" i="1" s="1"/>
  <c r="BF1861" i="1"/>
  <c r="BG1861" i="1" s="1"/>
  <c r="BK1861" i="1"/>
  <c r="BL1861" i="1" s="1"/>
  <c r="BH1861" i="1"/>
  <c r="BF1821" i="1"/>
  <c r="BG1821" i="1" s="1"/>
  <c r="BH1821" i="1"/>
  <c r="BK1821" i="1"/>
  <c r="BL1821" i="1" s="1"/>
  <c r="BK1794" i="1"/>
  <c r="BL1794" i="1" s="1"/>
  <c r="BH1794" i="1"/>
  <c r="BF1794" i="1"/>
  <c r="BG1794" i="1" s="1"/>
  <c r="BK1763" i="1"/>
  <c r="BL1763" i="1" s="1"/>
  <c r="BH1763" i="1"/>
  <c r="BF1763" i="1"/>
  <c r="BG1763" i="1" s="1"/>
  <c r="BK1808" i="1"/>
  <c r="BL1808" i="1" s="1"/>
  <c r="BH1808" i="1"/>
  <c r="BF1808" i="1"/>
  <c r="BG1808" i="1" s="1"/>
  <c r="BK1839" i="1"/>
  <c r="BL1839" i="1" s="1"/>
  <c r="BF1839" i="1"/>
  <c r="BG1839" i="1" s="1"/>
  <c r="BH1839" i="1"/>
  <c r="BK1766" i="1"/>
  <c r="BL1766" i="1" s="1"/>
  <c r="BH1766" i="1"/>
  <c r="BF1766" i="1"/>
  <c r="BG1766" i="1" s="1"/>
  <c r="BK1804" i="1"/>
  <c r="BL1804" i="1" s="1"/>
  <c r="BF1804" i="1"/>
  <c r="BG1804" i="1" s="1"/>
  <c r="BH1804" i="1"/>
  <c r="BK1851" i="1"/>
  <c r="BL1851" i="1" s="1"/>
  <c r="BH1851" i="1"/>
  <c r="BF1851" i="1"/>
  <c r="BG1851" i="1" s="1"/>
  <c r="BK1881" i="1"/>
  <c r="BL1881" i="1" s="1"/>
  <c r="BF1881" i="1"/>
  <c r="BG1881" i="1" s="1"/>
  <c r="BH1881" i="1"/>
  <c r="BF1775" i="1"/>
  <c r="BG1775" i="1" s="1"/>
  <c r="BH1775" i="1"/>
  <c r="BK1775" i="1"/>
  <c r="BL1775" i="1" s="1"/>
  <c r="BK1761" i="1"/>
  <c r="BL1761" i="1" s="1"/>
  <c r="BF1761" i="1"/>
  <c r="BG1761" i="1" s="1"/>
  <c r="BH1761" i="1"/>
  <c r="BH1840" i="1"/>
  <c r="BF1840" i="1"/>
  <c r="BG1840" i="1" s="1"/>
  <c r="BK1840" i="1"/>
  <c r="BL1840" i="1" s="1"/>
  <c r="BK1842" i="1"/>
  <c r="BL1842" i="1" s="1"/>
  <c r="BF1842" i="1"/>
  <c r="BG1842" i="1" s="1"/>
  <c r="BH1842" i="1"/>
  <c r="BH1858" i="1"/>
  <c r="BF1858" i="1"/>
  <c r="BG1858" i="1" s="1"/>
  <c r="BK1858" i="1"/>
  <c r="BL1858" i="1" s="1"/>
  <c r="BF1835" i="1"/>
  <c r="BG1835" i="1" s="1"/>
  <c r="BH1835" i="1"/>
  <c r="BK1835" i="1"/>
  <c r="BL1835" i="1" s="1"/>
  <c r="BK1773" i="1"/>
  <c r="BL1773" i="1" s="1"/>
  <c r="BH1773" i="1"/>
  <c r="BF1773" i="1"/>
  <c r="BG1773" i="1" s="1"/>
  <c r="BK1877" i="1"/>
  <c r="BL1877" i="1" s="1"/>
  <c r="BF1877" i="1"/>
  <c r="BG1877" i="1" s="1"/>
  <c r="BH1877" i="1"/>
  <c r="BH1800" i="1"/>
  <c r="BK1800" i="1"/>
  <c r="BL1800" i="1" s="1"/>
  <c r="BF1800" i="1"/>
  <c r="BG1800" i="1" s="1"/>
  <c r="BF1838" i="1"/>
  <c r="BG1838" i="1" s="1"/>
  <c r="BK1838" i="1"/>
  <c r="BL1838" i="1" s="1"/>
  <c r="BH1838" i="1"/>
  <c r="BH1879" i="1"/>
  <c r="BF1879" i="1"/>
  <c r="BG1879" i="1" s="1"/>
  <c r="BK1879" i="1"/>
  <c r="BL1879" i="1" s="1"/>
  <c r="BH1779" i="1"/>
  <c r="BK1779" i="1"/>
  <c r="BL1779" i="1" s="1"/>
  <c r="BF1779" i="1"/>
  <c r="BG1779" i="1" s="1"/>
  <c r="BF1824" i="1"/>
  <c r="BG1824" i="1" s="1"/>
  <c r="BK1824" i="1"/>
  <c r="BL1824" i="1" s="1"/>
  <c r="BH1824" i="1"/>
  <c r="BH1871" i="1"/>
  <c r="BF1871" i="1"/>
  <c r="BG1871" i="1" s="1"/>
  <c r="BK1871" i="1"/>
  <c r="BL1871" i="1" s="1"/>
  <c r="BF1778" i="1"/>
  <c r="BG1778" i="1" s="1"/>
  <c r="BK1778" i="1"/>
  <c r="BL1778" i="1" s="1"/>
  <c r="BH1778" i="1"/>
  <c r="BF1813" i="1"/>
  <c r="BG1813" i="1" s="1"/>
  <c r="BH1813" i="1"/>
  <c r="BK1813" i="1"/>
  <c r="BL1813" i="1" s="1"/>
  <c r="BF1810" i="1"/>
  <c r="BG1810" i="1" s="1"/>
  <c r="BH1810" i="1"/>
  <c r="BK1810" i="1"/>
  <c r="BL1810" i="1" s="1"/>
  <c r="BH1829" i="1"/>
  <c r="BK1829" i="1"/>
  <c r="BL1829" i="1" s="1"/>
  <c r="BF1829" i="1"/>
  <c r="BG1829" i="1" s="1"/>
  <c r="BF1833" i="1"/>
  <c r="BG1833" i="1" s="1"/>
  <c r="BH1833" i="1"/>
  <c r="BK1833" i="1"/>
  <c r="BL1833" i="1" s="1"/>
  <c r="BF1770" i="1"/>
  <c r="BG1770" i="1" s="1"/>
  <c r="BK1770" i="1"/>
  <c r="BL1770" i="1" s="1"/>
  <c r="BH1770" i="1"/>
  <c r="U4" i="20" l="1"/>
  <c r="U3" i="20"/>
  <c r="U24" i="20"/>
  <c r="U2" i="20" l="1"/>
  <c r="U6" i="20"/>
  <c r="U7" i="20"/>
  <c r="U8" i="20"/>
  <c r="U9" i="20"/>
  <c r="U10" i="20"/>
  <c r="U11" i="20"/>
  <c r="U12" i="20"/>
  <c r="U13" i="20"/>
  <c r="U14" i="20"/>
  <c r="U15" i="20"/>
  <c r="U16" i="20"/>
  <c r="U17" i="20"/>
  <c r="U20" i="20"/>
  <c r="U21" i="20"/>
  <c r="U22" i="20"/>
  <c r="U23" i="20"/>
  <c r="U25" i="20"/>
  <c r="U26" i="20"/>
  <c r="U27" i="20"/>
  <c r="U28" i="20"/>
  <c r="N5" i="189" l="1"/>
  <c r="D18" i="189"/>
  <c r="D7" i="189"/>
  <c r="I25" i="188"/>
  <c r="G25" i="188"/>
  <c r="E25" i="188"/>
  <c r="D17" i="189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18" i="189" l="1"/>
  <c r="E18" i="189"/>
  <c r="M5" i="189"/>
  <c r="O5" i="189"/>
  <c r="G13" i="188"/>
  <c r="G15" i="188"/>
  <c r="G18" i="188"/>
  <c r="G12" i="188"/>
  <c r="G17" i="188"/>
  <c r="G14" i="188"/>
  <c r="G22" i="188"/>
  <c r="G21" i="188"/>
  <c r="G16" i="188"/>
  <c r="G20" i="188"/>
  <c r="G19" i="188"/>
  <c r="I12" i="188"/>
  <c r="I21" i="188"/>
  <c r="I20" i="188"/>
  <c r="I13" i="188"/>
  <c r="I19" i="188"/>
  <c r="I17" i="188"/>
  <c r="I15" i="188"/>
  <c r="I14" i="188"/>
  <c r="I22" i="188"/>
  <c r="I16" i="188"/>
  <c r="I18" i="188"/>
  <c r="M4" i="189"/>
  <c r="E13" i="188"/>
  <c r="E20" i="188"/>
  <c r="E22" i="188"/>
  <c r="E24" i="188"/>
  <c r="E19" i="188"/>
  <c r="E15" i="188"/>
  <c r="E18" i="188"/>
  <c r="E17" i="188"/>
  <c r="E14" i="188"/>
  <c r="E12" i="188"/>
  <c r="E21" i="188"/>
  <c r="E16" i="188"/>
  <c r="I4" i="189"/>
  <c r="I24" i="188"/>
  <c r="G24" i="188"/>
  <c r="K24" i="188"/>
  <c r="M24" i="188"/>
  <c r="J5" i="189"/>
  <c r="C17" i="189"/>
  <c r="E17" i="189"/>
  <c r="D6" i="189"/>
  <c r="I6" i="189"/>
  <c r="H6" i="189"/>
  <c r="J6" i="189"/>
  <c r="I7" i="189"/>
  <c r="J7" i="189"/>
  <c r="H7" i="189"/>
  <c r="I5" i="189"/>
  <c r="H5" i="189"/>
  <c r="D5" i="189"/>
  <c r="C21" i="20"/>
  <c r="C22" i="20"/>
  <c r="C23" i="20"/>
  <c r="C24" i="20"/>
  <c r="C25" i="20"/>
  <c r="C26" i="20"/>
  <c r="C27" i="20"/>
  <c r="C28" i="20"/>
  <c r="C29" i="20"/>
  <c r="C30" i="20"/>
  <c r="C19" i="20"/>
  <c r="C20" i="20"/>
  <c r="C18" i="20"/>
  <c r="C10" i="20"/>
  <c r="C2" i="20"/>
  <c r="C3" i="20"/>
  <c r="C4" i="20"/>
  <c r="C5" i="20"/>
  <c r="C6" i="20"/>
  <c r="C7" i="20"/>
  <c r="C8" i="20"/>
  <c r="C9" i="20"/>
  <c r="C11" i="20"/>
  <c r="C12" i="20"/>
  <c r="C13" i="20"/>
  <c r="C14" i="20"/>
  <c r="C15" i="20"/>
  <c r="C16" i="20"/>
  <c r="C17" i="20"/>
  <c r="E23" i="189" l="1"/>
  <c r="C7" i="189"/>
  <c r="C6" i="189"/>
  <c r="C25" i="188"/>
  <c r="C24" i="188" s="1"/>
  <c r="E7" i="189"/>
  <c r="E6" i="189"/>
  <c r="E5" i="189"/>
  <c r="C5" i="189"/>
  <c r="D4" i="189"/>
  <c r="E4" i="189"/>
  <c r="J5" i="183"/>
  <c r="J15" i="183"/>
  <c r="O10" i="189"/>
  <c r="N4" i="189"/>
  <c r="E33" i="189"/>
  <c r="J13" i="183"/>
  <c r="J14" i="183"/>
  <c r="J10" i="183"/>
  <c r="J11" i="183"/>
  <c r="J12" i="183"/>
  <c r="J16" i="183"/>
  <c r="E31" i="189" l="1"/>
  <c r="J4" i="189"/>
  <c r="J10" i="189" s="1"/>
  <c r="C4" i="189"/>
  <c r="H4" i="189"/>
  <c r="J8" i="183"/>
  <c r="J9" i="183"/>
  <c r="J7" i="183"/>
  <c r="E10" i="189"/>
  <c r="E32" i="189"/>
  <c r="J6" i="183"/>
  <c r="J4" i="183"/>
  <c r="E30" i="189"/>
  <c r="M29" i="189" l="1"/>
  <c r="C15" i="188"/>
  <c r="C7" i="188"/>
  <c r="C13" i="188"/>
  <c r="C20" i="188"/>
  <c r="C23" i="188"/>
  <c r="C16" i="188"/>
  <c r="C17" i="188"/>
  <c r="C18" i="188"/>
  <c r="C22" i="188"/>
  <c r="C14" i="188"/>
  <c r="C21" i="188"/>
  <c r="C19" i="188"/>
  <c r="C12" i="188"/>
  <c r="E4" i="214" l="1"/>
  <c r="E6" i="214" s="1"/>
  <c r="E3" i="214"/>
  <c r="E5" i="21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<sst xmlns="http://schemas.openxmlformats.org/spreadsheetml/2006/main" count="42296" uniqueCount="7787">
  <si>
    <t>Supplier</t>
  </si>
  <si>
    <t>Product ID</t>
  </si>
  <si>
    <t>Gross
(lbs.)</t>
  </si>
  <si>
    <t>Net
(lbs.)</t>
  </si>
  <si>
    <t>Treating
(lbs.)</t>
  </si>
  <si>
    <t xml:space="preserve">  Curr</t>
  </si>
  <si>
    <t>Prior</t>
  </si>
  <si>
    <t>PO</t>
  </si>
  <si>
    <t>Last</t>
  </si>
  <si>
    <t>BW</t>
  </si>
  <si>
    <t>Wks</t>
  </si>
  <si>
    <t>Target</t>
  </si>
  <si>
    <t xml:space="preserve"> 3 mo</t>
  </si>
  <si>
    <t xml:space="preserve"> 6 mo</t>
  </si>
  <si>
    <t>12 mo</t>
  </si>
  <si>
    <t xml:space="preserve">  Inv</t>
  </si>
  <si>
    <t>Treat</t>
  </si>
  <si>
    <t>Booked</t>
  </si>
  <si>
    <t>Sales</t>
  </si>
  <si>
    <t xml:space="preserve"> TMP</t>
  </si>
  <si>
    <t xml:space="preserve"> Net</t>
  </si>
  <si>
    <t>Curr</t>
  </si>
  <si>
    <t>Aug</t>
  </si>
  <si>
    <t>Jul</t>
  </si>
  <si>
    <t>Jun</t>
  </si>
  <si>
    <t>May</t>
  </si>
  <si>
    <t>Apr</t>
  </si>
  <si>
    <t>Mar</t>
  </si>
  <si>
    <t>Feb</t>
  </si>
  <si>
    <t>Jan</t>
  </si>
  <si>
    <t>Dec</t>
  </si>
  <si>
    <t>Nov</t>
  </si>
  <si>
    <t>Oct</t>
  </si>
  <si>
    <t>Sep</t>
  </si>
  <si>
    <t>12 Mth</t>
  </si>
  <si>
    <t>Year</t>
  </si>
  <si>
    <t>Open</t>
  </si>
  <si>
    <t>Price</t>
  </si>
  <si>
    <t>Part #</t>
  </si>
  <si>
    <t>Description</t>
  </si>
  <si>
    <t>Supp.</t>
  </si>
  <si>
    <t>Notes</t>
  </si>
  <si>
    <t>LB</t>
  </si>
  <si>
    <t>Supp</t>
  </si>
  <si>
    <t xml:space="preserve"> Inv</t>
  </si>
  <si>
    <t>Usage</t>
  </si>
  <si>
    <t>On Hand</t>
  </si>
  <si>
    <t>On Hld</t>
  </si>
  <si>
    <t xml:space="preserve"> Orders</t>
  </si>
  <si>
    <t>Orders</t>
  </si>
  <si>
    <t xml:space="preserve"> Qty</t>
  </si>
  <si>
    <t>Avail</t>
  </si>
  <si>
    <t>Use</t>
  </si>
  <si>
    <t>PO ID</t>
  </si>
  <si>
    <t>Qty</t>
  </si>
  <si>
    <t>Paid</t>
  </si>
  <si>
    <t>10000002-3700</t>
  </si>
  <si>
    <t>WHITE OVERLAY HC</t>
  </si>
  <si>
    <t>GLATF</t>
  </si>
  <si>
    <t>(4-6% AL2O3) GENERAL PURPOSE</t>
  </si>
  <si>
    <t>10000002-4300</t>
  </si>
  <si>
    <t>10000002-4975</t>
  </si>
  <si>
    <t>WHITE OVERLAY HC (CP</t>
  </si>
  <si>
    <t>(4-6% AL2O3) GP</t>
  </si>
  <si>
    <t>10000002-5000</t>
  </si>
  <si>
    <t>10000002-6200</t>
  </si>
  <si>
    <t>10000007-3700</t>
  </si>
  <si>
    <t>POLY OVERLAY 17# (ME</t>
  </si>
  <si>
    <t>ONYX</t>
  </si>
  <si>
    <t>10000007-5000</t>
  </si>
  <si>
    <t>10000007-6200</t>
  </si>
  <si>
    <t>10000008-3700</t>
  </si>
  <si>
    <t>HIGH WEAR OVERLAY</t>
  </si>
  <si>
    <t>TVO nf 29 ht 29</t>
  </si>
  <si>
    <t>10000008-5000</t>
  </si>
  <si>
    <t>10000008-6200</t>
  </si>
  <si>
    <t>10000009-4300</t>
  </si>
  <si>
    <t>SUPER H/W OVERLAY</t>
  </si>
  <si>
    <t>25-30% AL2O3 (MOSTLY BOWLING)</t>
  </si>
  <si>
    <t>10000009-5000</t>
  </si>
  <si>
    <t>10000009-6200</t>
  </si>
  <si>
    <t>10000010-3700</t>
  </si>
  <si>
    <t>WHITE OVERLAY</t>
  </si>
  <si>
    <t>10000010-4300</t>
  </si>
  <si>
    <t>USE #2 (2-4% AL203)</t>
  </si>
  <si>
    <t>10000010-5000</t>
  </si>
  <si>
    <t>(2-4% AL203)</t>
  </si>
  <si>
    <t>10000010-6200</t>
  </si>
  <si>
    <t>10000012-5000</t>
  </si>
  <si>
    <t>CLEAR NO GRIT OVERLA</t>
  </si>
  <si>
    <t>HERMAN MILLER</t>
  </si>
  <si>
    <t>10000012-6200</t>
  </si>
  <si>
    <t>10000013-3700</t>
  </si>
  <si>
    <t>NON TINTED OVERLAY</t>
  </si>
  <si>
    <t>10000013-5000</t>
  </si>
  <si>
    <t>10000013-6200</t>
  </si>
  <si>
    <t>10000019-5000</t>
  </si>
  <si>
    <t>PRINTABLE 28# OVERLA</t>
  </si>
  <si>
    <t>10000019-6200</t>
  </si>
  <si>
    <t>10000020-5000</t>
  </si>
  <si>
    <t>Premium Inkjet MPK 9</t>
  </si>
  <si>
    <t>TECHN</t>
  </si>
  <si>
    <t>10000020-6200</t>
  </si>
  <si>
    <t>10000024-3700</t>
  </si>
  <si>
    <t>TAN OVERLAY</t>
  </si>
  <si>
    <t>VERY LITTLE AL203</t>
  </si>
  <si>
    <t>10000024-5000</t>
  </si>
  <si>
    <t>10000024-6200</t>
  </si>
  <si>
    <t>10000040-4300</t>
  </si>
  <si>
    <t>BOOMERANG UV OVERLAY</t>
  </si>
  <si>
    <t>INTER</t>
  </si>
  <si>
    <t>UV BOOMERANG</t>
  </si>
  <si>
    <t>10000040-6200</t>
  </si>
  <si>
    <t>10000098-3700</t>
  </si>
  <si>
    <t>BARRIER</t>
  </si>
  <si>
    <t>OLD RESO COMMODITY</t>
  </si>
  <si>
    <t>10000098-5000</t>
  </si>
  <si>
    <t>10000098-6200</t>
  </si>
  <si>
    <t>10000099-5000</t>
  </si>
  <si>
    <t>BALANCE SHEET</t>
  </si>
  <si>
    <t>10000099-6200</t>
  </si>
  <si>
    <t>100000C2-5000</t>
  </si>
  <si>
    <t>CARNATION-CORE</t>
  </si>
  <si>
    <t>100000C2-6200</t>
  </si>
  <si>
    <t>100000C4-5000</t>
  </si>
  <si>
    <t>ALMOND-CORE</t>
  </si>
  <si>
    <t>CAN SUBSTITUTE WITH ST655</t>
  </si>
  <si>
    <t>10000104-3700</t>
  </si>
  <si>
    <t>PARCHMENT</t>
  </si>
  <si>
    <t>GLASS</t>
  </si>
  <si>
    <t>10000104-5000</t>
  </si>
  <si>
    <t>CENTR</t>
  </si>
  <si>
    <t>[104080]</t>
  </si>
  <si>
    <t>[106351]</t>
  </si>
  <si>
    <t>[109014]</t>
  </si>
  <si>
    <t>10000104-6200</t>
  </si>
  <si>
    <t>[105784]</t>
  </si>
  <si>
    <t>NORDI</t>
  </si>
  <si>
    <t>10000104-6500</t>
  </si>
  <si>
    <t>10000115-5000</t>
  </si>
  <si>
    <t>LC-3S</t>
  </si>
  <si>
    <t>NOVAC</t>
  </si>
  <si>
    <t>[108901]</t>
  </si>
  <si>
    <t>10000115-6200</t>
  </si>
  <si>
    <t>10000117-3700</t>
  </si>
  <si>
    <t>GLOSS FILM 2 UNPRINT</t>
  </si>
  <si>
    <t>MAIN</t>
  </si>
  <si>
    <t>1401-009</t>
  </si>
  <si>
    <t>10000117-5000</t>
  </si>
  <si>
    <t>[109497]</t>
  </si>
  <si>
    <t>10000117-6200</t>
  </si>
  <si>
    <t>10000118-3700</t>
  </si>
  <si>
    <t>TEXTURED FILM 1</t>
  </si>
  <si>
    <t>1401-120</t>
  </si>
  <si>
    <t>10000118-5000</t>
  </si>
  <si>
    <t>10000118-6200</t>
  </si>
  <si>
    <t>10000119-5000</t>
  </si>
  <si>
    <t>TEXTURED FILM 1 (CRY</t>
  </si>
  <si>
    <t>2001-410</t>
  </si>
  <si>
    <t>10000119-6200</t>
  </si>
  <si>
    <t>10000301-4300</t>
  </si>
  <si>
    <t>TEXTURE LC-55 (cut d</t>
  </si>
  <si>
    <t>NO REBUY</t>
  </si>
  <si>
    <t>10000301-6200</t>
  </si>
  <si>
    <t>TEXTURE LC-55</t>
  </si>
  <si>
    <t>[109995]</t>
  </si>
  <si>
    <t>10000302-3700</t>
  </si>
  <si>
    <t>SUEDE LC-19</t>
  </si>
  <si>
    <t>10000302-5000</t>
  </si>
  <si>
    <t>[106674]</t>
  </si>
  <si>
    <t>[107029]</t>
  </si>
  <si>
    <t>10000302-5100</t>
  </si>
  <si>
    <t>LC-19/PARCHMENT</t>
  </si>
  <si>
    <t>10000302-6200</t>
  </si>
  <si>
    <t>[109506]</t>
  </si>
  <si>
    <t>10000302-6300</t>
  </si>
  <si>
    <t>10000305-3700</t>
  </si>
  <si>
    <t>HI BRITE LC-28</t>
  </si>
  <si>
    <t>10000305-5000</t>
  </si>
  <si>
    <t>[107618]</t>
  </si>
  <si>
    <t>10000305-6200</t>
  </si>
  <si>
    <t>10000306-5000</t>
  </si>
  <si>
    <t>CRYSTAL</t>
  </si>
  <si>
    <t>SAPPI</t>
  </si>
  <si>
    <t>[109680]</t>
  </si>
  <si>
    <t>10000306-6200</t>
  </si>
  <si>
    <t>10000311-5000</t>
  </si>
  <si>
    <t>ASHWOOD</t>
  </si>
  <si>
    <t>[110594]</t>
  </si>
  <si>
    <t>10000311-6200</t>
  </si>
  <si>
    <t>[109847]</t>
  </si>
  <si>
    <t>10000312-5000</t>
  </si>
  <si>
    <t>SOFT LEATHER</t>
  </si>
  <si>
    <t>10000312-6200</t>
  </si>
  <si>
    <t>10000317-3700</t>
  </si>
  <si>
    <t>NEWSPRINT</t>
  </si>
  <si>
    <t>MILL</t>
  </si>
  <si>
    <t>10000317-5000</t>
  </si>
  <si>
    <t>10000317-6400</t>
  </si>
  <si>
    <t>10000317-6500</t>
  </si>
  <si>
    <t>10000325-5000</t>
  </si>
  <si>
    <t>WOOD ESSENCE (QUERCI</t>
  </si>
  <si>
    <t>SAPPI (QUERCIA</t>
  </si>
  <si>
    <t>[109851]</t>
  </si>
  <si>
    <t>10000325-6200</t>
  </si>
  <si>
    <t>SAPPI (QUERCIA)</t>
  </si>
  <si>
    <t>[106659]</t>
  </si>
  <si>
    <t>10000326-5000</t>
  </si>
  <si>
    <t>SUPER MATTE</t>
  </si>
  <si>
    <t>[109064]</t>
  </si>
  <si>
    <t>10000326-6200</t>
  </si>
  <si>
    <t>10000327-5000</t>
  </si>
  <si>
    <t>BARNBOARD</t>
  </si>
  <si>
    <t>10000327-6200</t>
  </si>
  <si>
    <t>10000328-5000</t>
  </si>
  <si>
    <t>TIMBERLINE</t>
  </si>
  <si>
    <t>PRX 7665-212R</t>
  </si>
  <si>
    <t>10000328-6200</t>
  </si>
  <si>
    <t>[110449]</t>
  </si>
  <si>
    <t>10000329-5000</t>
  </si>
  <si>
    <t>GROOVY</t>
  </si>
  <si>
    <t>10000329-6200</t>
  </si>
  <si>
    <t>10000330-5000</t>
  </si>
  <si>
    <t>AGED BARK</t>
  </si>
  <si>
    <t>10000330-6200</t>
  </si>
  <si>
    <t>10000331-5000</t>
  </si>
  <si>
    <t>FINELINE</t>
  </si>
  <si>
    <t>10000331-6200</t>
  </si>
  <si>
    <t>10000332-5000</t>
  </si>
  <si>
    <t>NATURAL STONE</t>
  </si>
  <si>
    <t>10000332-6200</t>
  </si>
  <si>
    <t>10000333-5000</t>
  </si>
  <si>
    <t>EVOLUTION</t>
  </si>
  <si>
    <t>10000333-6200</t>
  </si>
  <si>
    <t>[106846]</t>
  </si>
  <si>
    <t>10000334-5000</t>
  </si>
  <si>
    <t>NATURAL WOOD 50"</t>
  </si>
  <si>
    <t>10000334-6200</t>
  </si>
  <si>
    <t>NATURAL WOOD 62"</t>
  </si>
  <si>
    <t>10000335-5000</t>
  </si>
  <si>
    <t>LINE Z</t>
  </si>
  <si>
    <t>10000335-6200</t>
  </si>
  <si>
    <t>10000336-5000</t>
  </si>
  <si>
    <t>METALZ</t>
  </si>
  <si>
    <t>10000336-6200</t>
  </si>
  <si>
    <t>10000337-5000</t>
  </si>
  <si>
    <t>TACTILE WEAVE</t>
  </si>
  <si>
    <t>ULTRA PRX TELA</t>
  </si>
  <si>
    <t>10000337-6200</t>
  </si>
  <si>
    <t>10000338-5000</t>
  </si>
  <si>
    <t>HEX</t>
  </si>
  <si>
    <t>10000338-6200</t>
  </si>
  <si>
    <t>10000339-5000</t>
  </si>
  <si>
    <t>IRONWOOD</t>
  </si>
  <si>
    <t>10000339-6200</t>
  </si>
  <si>
    <t>10000401-5000</t>
  </si>
  <si>
    <t>10000401-6200</t>
  </si>
  <si>
    <t>10000406-3125</t>
  </si>
  <si>
    <t>TROSIFOL THIN FILM L</t>
  </si>
  <si>
    <t>10000406-3714</t>
  </si>
  <si>
    <t>10000406-5014</t>
  </si>
  <si>
    <t>TROSIFOL THIN FILMLP</t>
  </si>
  <si>
    <t>10000SS1-4800</t>
  </si>
  <si>
    <t>24 GA  STEEL .023X48</t>
  </si>
  <si>
    <t>AMERI</t>
  </si>
  <si>
    <t>100AB051-5000</t>
  </si>
  <si>
    <t>INDIGO ORGANIX</t>
  </si>
  <si>
    <t>AHLST</t>
  </si>
  <si>
    <t>WALL BOARD ITEM NRB 2018</t>
  </si>
  <si>
    <t>100AB051-6200</t>
  </si>
  <si>
    <t>100AB085-5000</t>
  </si>
  <si>
    <t>ALTANTIC AZUR</t>
  </si>
  <si>
    <t>2012 NEW LINE NRB 2015 DROP</t>
  </si>
  <si>
    <t>100AB221-5000</t>
  </si>
  <si>
    <t>CRADLE OF LIBERTY</t>
  </si>
  <si>
    <t>SUDDE</t>
  </si>
  <si>
    <t>2004 CITY LIGHTS COL     (T56)</t>
  </si>
  <si>
    <t>100AB221-6200</t>
  </si>
  <si>
    <t>100AB281-5000</t>
  </si>
  <si>
    <t>HIDDEN JEWEL</t>
  </si>
  <si>
    <t>NRB 2015 DROP</t>
  </si>
  <si>
    <t>100AB281-6200</t>
  </si>
  <si>
    <t>100AB300-5000</t>
  </si>
  <si>
    <t>HEAD OVER HEELS</t>
  </si>
  <si>
    <t>2018 NLL</t>
  </si>
  <si>
    <t>100AB300-6200</t>
  </si>
  <si>
    <t>HEAD OVER HEALS</t>
  </si>
  <si>
    <t>100AB400-5000</t>
  </si>
  <si>
    <t>HAPPY HOUR</t>
  </si>
  <si>
    <t>100AB400-6200</t>
  </si>
  <si>
    <t>100AE011-5000</t>
  </si>
  <si>
    <t>CHARCOAL CHROMATIX</t>
  </si>
  <si>
    <t>WALL BOARD ITEM</t>
  </si>
  <si>
    <t>100AE011-6200</t>
  </si>
  <si>
    <t>WALL BOARD ITEM (Pioneer)</t>
  </si>
  <si>
    <t>100AE021-5000</t>
  </si>
  <si>
    <t>GRAPHITE SPEKTRUM</t>
  </si>
  <si>
    <t>100AE021-6200</t>
  </si>
  <si>
    <t>100AE060-5000</t>
  </si>
  <si>
    <t>STARGAZING</t>
  </si>
  <si>
    <t>100AE060-6200</t>
  </si>
  <si>
    <t>100AE100-5000</t>
  </si>
  <si>
    <t>LITTLE BLACK DRESS</t>
  </si>
  <si>
    <t>100AE100-6200</t>
  </si>
  <si>
    <t>100AG011-5000</t>
  </si>
  <si>
    <t>ESTELLA</t>
  </si>
  <si>
    <t>SOLO COLLECTION 2006</t>
  </si>
  <si>
    <t>100AG011-6200</t>
  </si>
  <si>
    <t>100AG021-5000</t>
  </si>
  <si>
    <t>SABLE</t>
  </si>
  <si>
    <t>100AG021-6200</t>
  </si>
  <si>
    <t>100AG031-5000</t>
  </si>
  <si>
    <t>FIRST N MAIN</t>
  </si>
  <si>
    <t>SCHAT</t>
  </si>
  <si>
    <t>2009 NEW LINE</t>
  </si>
  <si>
    <t>100AG031-6200</t>
  </si>
  <si>
    <t>100AG041-5000</t>
  </si>
  <si>
    <t>SHOOTING STAR</t>
  </si>
  <si>
    <t>DNP A</t>
  </si>
  <si>
    <t>100AG041-6200</t>
  </si>
  <si>
    <t>100AG071-5000</t>
  </si>
  <si>
    <t>MACADAMIA NUT</t>
  </si>
  <si>
    <t>100AG071-6200</t>
  </si>
  <si>
    <t>100AG081-5000</t>
  </si>
  <si>
    <t>SUGAR PIE</t>
  </si>
  <si>
    <t>NEODE</t>
  </si>
  <si>
    <t>100AG081-6200</t>
  </si>
  <si>
    <t>100AG105-6200</t>
  </si>
  <si>
    <t>IRON GRAY</t>
  </si>
  <si>
    <t>TOPPA</t>
  </si>
  <si>
    <t>MOULANGE FARNHAM</t>
  </si>
  <si>
    <t>OFS STEEL GRAY</t>
  </si>
  <si>
    <t>100AG115-6200</t>
  </si>
  <si>
    <t>100AG130-5000</t>
  </si>
  <si>
    <t>COOKIES &amp; CREAM</t>
  </si>
  <si>
    <t>100AG130-6200</t>
  </si>
  <si>
    <t>100AG160-5000</t>
  </si>
  <si>
    <t>CAPRISE</t>
  </si>
  <si>
    <t>IMPRE</t>
  </si>
  <si>
    <t>100AG160-6200</t>
  </si>
  <si>
    <t>100AG180-5000</t>
  </si>
  <si>
    <t>METEORIC METALLO</t>
  </si>
  <si>
    <t>2012 NEW LINE</t>
  </si>
  <si>
    <t>100AG180-6200</t>
  </si>
  <si>
    <t>100AG251-3700</t>
  </si>
  <si>
    <t>GRAY SPEKTRUM</t>
  </si>
  <si>
    <t>100AG251-5000</t>
  </si>
  <si>
    <t>100AG251-6200</t>
  </si>
  <si>
    <t>100AG281-5000</t>
  </si>
  <si>
    <t>STORM CIRRUS</t>
  </si>
  <si>
    <t>100AG361-5000</t>
  </si>
  <si>
    <t>GRAPHITE TALC</t>
  </si>
  <si>
    <t>100AG361-6200</t>
  </si>
  <si>
    <t>100AG371-5000</t>
  </si>
  <si>
    <t>CARDAMOM FIBER</t>
  </si>
  <si>
    <t>100AG371-6200</t>
  </si>
  <si>
    <t>100AG381-5000</t>
  </si>
  <si>
    <t>MINERAL TALC</t>
  </si>
  <si>
    <t>100AG381-6200</t>
  </si>
  <si>
    <t>100AG415-5000</t>
  </si>
  <si>
    <t>OLD FRIEND</t>
  </si>
  <si>
    <t>100AG415-6200</t>
  </si>
  <si>
    <t>100AG460-6200</t>
  </si>
  <si>
    <t>ANTIQUE SILVER</t>
  </si>
  <si>
    <t>100AG471-5000</t>
  </si>
  <si>
    <t>CINDER GRAY CONCRETE</t>
  </si>
  <si>
    <t>100AG471-6200</t>
  </si>
  <si>
    <t>100AG481-6200</t>
  </si>
  <si>
    <t>HIMALAYAN ALLURE</t>
  </si>
  <si>
    <t>FORMATOP</t>
  </si>
  <si>
    <t>100AG500-5000</t>
  </si>
  <si>
    <t>CAKE BATTER</t>
  </si>
  <si>
    <t>100AG500-6200</t>
  </si>
  <si>
    <t>100AG561-5000</t>
  </si>
  <si>
    <t>CUBICLE PAPEL</t>
  </si>
  <si>
    <t>2002 LINE '9 TO 5'  (T71)</t>
  </si>
  <si>
    <t>100AG561-6200</t>
  </si>
  <si>
    <t>2002 LINE '9 TO 5'     (T71)</t>
  </si>
  <si>
    <t>100AG601-5000</t>
  </si>
  <si>
    <t>PEARL OF THE ORIENT</t>
  </si>
  <si>
    <t>2004 CITY LIGHTS COLLECTION</t>
  </si>
  <si>
    <t>100AG601-6200</t>
  </si>
  <si>
    <t>100AG611-5000</t>
  </si>
  <si>
    <t>GRAVEYARD OF THE ATL</t>
  </si>
  <si>
    <t>100AG611-6200</t>
  </si>
  <si>
    <t>04 CITY LIGHTS  (Pioneer)</t>
  </si>
  <si>
    <t>100AG640-5000</t>
  </si>
  <si>
    <t>SOOTHING WHITE CAPS</t>
  </si>
  <si>
    <t>HEALTHCARE COLLECTION</t>
  </si>
  <si>
    <t>100AG640-6200</t>
  </si>
  <si>
    <t>100AG730-5000</t>
  </si>
  <si>
    <t>YORKSHIRE TWEED</t>
  </si>
  <si>
    <t>100AG730-6200</t>
  </si>
  <si>
    <t>100AG740-5000</t>
  </si>
  <si>
    <t>KNICKERBOCKER</t>
  </si>
  <si>
    <t>100AG740-6200</t>
  </si>
  <si>
    <t>100AG750-5000</t>
  </si>
  <si>
    <t>DAYDREAMING</t>
  </si>
  <si>
    <t>100AG750-6200</t>
  </si>
  <si>
    <t>100AG760-6200</t>
  </si>
  <si>
    <t>LIBERATA AGGREGATE</t>
  </si>
  <si>
    <t>LIFESTYLE 2.0</t>
  </si>
  <si>
    <t>100AG801-5000</t>
  </si>
  <si>
    <t>JUMPING IN PUDDLES</t>
  </si>
  <si>
    <t>100AG801-6200</t>
  </si>
  <si>
    <t>100AGEFL</t>
  </si>
  <si>
    <t>AGEFLEX MDMDAC</t>
  </si>
  <si>
    <t>SOLEN</t>
  </si>
  <si>
    <t>[108804]</t>
  </si>
  <si>
    <t>100AP280-5000</t>
  </si>
  <si>
    <t>BELLE'S BOW</t>
  </si>
  <si>
    <t>100AP280-6200</t>
  </si>
  <si>
    <t>100AP290-5000</t>
  </si>
  <si>
    <t>IT'S A WRAP</t>
  </si>
  <si>
    <t>100AP290-6200</t>
  </si>
  <si>
    <t>100AP365-5000</t>
  </si>
  <si>
    <t>SHETLAND TWEED</t>
  </si>
  <si>
    <t>100AP365-6200</t>
  </si>
  <si>
    <t>100AR250-5000</t>
  </si>
  <si>
    <t>GENTELMAN'S TWEED</t>
  </si>
  <si>
    <t>100AR250-6200</t>
  </si>
  <si>
    <t>100AR321-6200</t>
  </si>
  <si>
    <t>SANDSTONE</t>
  </si>
  <si>
    <t>VIRCO</t>
  </si>
  <si>
    <t>100AT106-5000</t>
  </si>
  <si>
    <t>GRANDIOSE GRID</t>
  </si>
  <si>
    <t>100AT106-6200</t>
  </si>
  <si>
    <t>100AT109-5000</t>
  </si>
  <si>
    <t>SOOTHING PEBBLE BEAC</t>
  </si>
  <si>
    <t>100AT109-6200</t>
  </si>
  <si>
    <t>100AT111-6200</t>
  </si>
  <si>
    <t>CARAMEL CREPE</t>
  </si>
  <si>
    <t>100AT121-6200</t>
  </si>
  <si>
    <t>MOROCCAN FRESCO</t>
  </si>
  <si>
    <t>100AT161-5000</t>
  </si>
  <si>
    <t>ROCKY MOUNTAIN HIGH</t>
  </si>
  <si>
    <t>2002 LINE "ROCKOLA"</t>
  </si>
  <si>
    <t>100AT161-6200</t>
  </si>
  <si>
    <t>100AT181-5000</t>
  </si>
  <si>
    <t>AGATHA</t>
  </si>
  <si>
    <t>100AT181-6200</t>
  </si>
  <si>
    <t>100AT191-5000</t>
  </si>
  <si>
    <t>VIOLA</t>
  </si>
  <si>
    <t>100AT191-6200</t>
  </si>
  <si>
    <t>100AT231-5000</t>
  </si>
  <si>
    <t>MANILA LINEN</t>
  </si>
  <si>
    <t>100AT231-6200</t>
  </si>
  <si>
    <t>WALL BOARD ITEM  (Pioneer)</t>
  </si>
  <si>
    <t>100AT291-5000</t>
  </si>
  <si>
    <t>CHAMOMILE FIBER</t>
  </si>
  <si>
    <t>100AT291-6200</t>
  </si>
  <si>
    <t>WALL BOARD ITEM  NRB 2018</t>
  </si>
  <si>
    <t>100AT301-3700</t>
  </si>
  <si>
    <t>BEIGE LINEN</t>
  </si>
  <si>
    <t>100AT301-5000</t>
  </si>
  <si>
    <t>100AT301-6200</t>
  </si>
  <si>
    <t>100AT351-5000</t>
  </si>
  <si>
    <t>OASIS IN THE DESERT</t>
  </si>
  <si>
    <t>2004 CITY LIGHTS NRB 2018</t>
  </si>
  <si>
    <t>100AT351-6200</t>
  </si>
  <si>
    <t>100AT371-5000</t>
  </si>
  <si>
    <t>CRESSIDA</t>
  </si>
  <si>
    <t>100AT371-6200</t>
  </si>
  <si>
    <t>100AT391-5000</t>
  </si>
  <si>
    <t>PHOENIX</t>
  </si>
  <si>
    <t>SOLO COLLECTION 2006 NRB 2018</t>
  </si>
  <si>
    <t>100AT391-6200</t>
  </si>
  <si>
    <t>100AT400-5000</t>
  </si>
  <si>
    <t>MATERIAL MESH</t>
  </si>
  <si>
    <t>100AT401-5000</t>
  </si>
  <si>
    <t>NATURAL ALLURE</t>
  </si>
  <si>
    <t>FORMATOP, CANADA</t>
  </si>
  <si>
    <t>100AT401-6200</t>
  </si>
  <si>
    <t>100AT435-5000</t>
  </si>
  <si>
    <t>TAILOR-MADE</t>
  </si>
  <si>
    <t>100AT435-6200</t>
  </si>
  <si>
    <t>100AT440-5000</t>
  </si>
  <si>
    <t>CONNECTED CUBES</t>
  </si>
  <si>
    <t>100AT440-6200</t>
  </si>
  <si>
    <t>100AT505-5000</t>
  </si>
  <si>
    <t>ARGYLE SWEATER</t>
  </si>
  <si>
    <t>100AT505-6200</t>
  </si>
  <si>
    <t>100AT610-5000</t>
  </si>
  <si>
    <t>WOVEN WEAVE</t>
  </si>
  <si>
    <t>2012 NEW LINE NRB 2018</t>
  </si>
  <si>
    <t>100AT650-5000</t>
  </si>
  <si>
    <t>CAVALCADE SOUTH</t>
  </si>
  <si>
    <t>100AT650-6200</t>
  </si>
  <si>
    <t>100AT660-5000</t>
  </si>
  <si>
    <t>CRISSCROSS</t>
  </si>
  <si>
    <t>100AT660-6200</t>
  </si>
  <si>
    <t>100AT670-6200</t>
  </si>
  <si>
    <t>GRAYSAND</t>
  </si>
  <si>
    <t>100AT680-5000</t>
  </si>
  <si>
    <t>TRAVELIN LIGHT</t>
  </si>
  <si>
    <t>100AT680-6200</t>
  </si>
  <si>
    <t>100AT710-5000</t>
  </si>
  <si>
    <t>GOLD PANNIN</t>
  </si>
  <si>
    <t>100AT710-6200</t>
  </si>
  <si>
    <t>100AT740-5000</t>
  </si>
  <si>
    <t>MOLTEN METAL</t>
  </si>
  <si>
    <t>100AT760-6200</t>
  </si>
  <si>
    <t>SPECKLE SANDSTONE</t>
  </si>
  <si>
    <t>MOULAGE FRANHAM</t>
  </si>
  <si>
    <t>100AT840-5000</t>
  </si>
  <si>
    <t>COMEBACK CAMEL</t>
  </si>
  <si>
    <t>100AT840-6200</t>
  </si>
  <si>
    <t>100AT861-5000</t>
  </si>
  <si>
    <t>ARGYLE SOCKS</t>
  </si>
  <si>
    <t>100AT861-6200</t>
  </si>
  <si>
    <t>100AT965-5000</t>
  </si>
  <si>
    <t>MELLOW MARRON</t>
  </si>
  <si>
    <t>100AT965-6200</t>
  </si>
  <si>
    <t>100AT970-5000</t>
  </si>
  <si>
    <t>MUD PIE</t>
  </si>
  <si>
    <t>100AT970-6200</t>
  </si>
  <si>
    <t>100AT981-5000</t>
  </si>
  <si>
    <t>CORIANDER FIBER</t>
  </si>
  <si>
    <t>100AT981-6200</t>
  </si>
  <si>
    <t>100AT988-5000</t>
  </si>
  <si>
    <t>BEACHCOMBER</t>
  </si>
  <si>
    <t>2018 NNL</t>
  </si>
  <si>
    <t>100AT988-6200</t>
  </si>
  <si>
    <t>100AT991-5000</t>
  </si>
  <si>
    <t>WHEAT FIBER</t>
  </si>
  <si>
    <t>100AT991-6200</t>
  </si>
  <si>
    <t>100AV100-5000</t>
  </si>
  <si>
    <t>GATEWAY TO THE FUTUR</t>
  </si>
  <si>
    <t>100AV100-6200</t>
  </si>
  <si>
    <t>100AV208-5000</t>
  </si>
  <si>
    <t>SOOTHING SEA MIST</t>
  </si>
  <si>
    <t>100AV208-6200</t>
  </si>
  <si>
    <t>100AV250-5000</t>
  </si>
  <si>
    <t>PASSIN THROUGH</t>
  </si>
  <si>
    <t>100AV250-6200</t>
  </si>
  <si>
    <t>100AV674-6200</t>
  </si>
  <si>
    <t>OLIVE ORGANIX</t>
  </si>
  <si>
    <t>100AV721-5000</t>
  </si>
  <si>
    <t>THYME FIBER</t>
  </si>
  <si>
    <t>CELERY FIBER</t>
  </si>
  <si>
    <t>100AV751-6200</t>
  </si>
  <si>
    <t>100AV771-5000</t>
  </si>
  <si>
    <t>AGEAN FRESCO</t>
  </si>
  <si>
    <t>100AV771-6200</t>
  </si>
  <si>
    <t>WAS WB ITEM RICHELIEU 2018</t>
  </si>
  <si>
    <t>100AV781-5000</t>
  </si>
  <si>
    <t>SAGE CORAL</t>
  </si>
  <si>
    <t>100AV781-6200</t>
  </si>
  <si>
    <t>100AV801-5000</t>
  </si>
  <si>
    <t>OLIVE SERENITY</t>
  </si>
  <si>
    <t>100AV830-5000</t>
  </si>
  <si>
    <t>VIRIDESCENT SILK</t>
  </si>
  <si>
    <t>100AV830-6200</t>
  </si>
  <si>
    <t>100AV861-5000</t>
  </si>
  <si>
    <t>KALE FIBER</t>
  </si>
  <si>
    <t>100AV971-5000</t>
  </si>
  <si>
    <t>MOONLIGHTING PAPEL</t>
  </si>
  <si>
    <t>2002 LINE '9 TO 5'</t>
  </si>
  <si>
    <t>100AV971-6200</t>
  </si>
  <si>
    <t>100AV981-5000</t>
  </si>
  <si>
    <t>IL PALIO PAPEL</t>
  </si>
  <si>
    <t>2003 LINE '9 TO 5'</t>
  </si>
  <si>
    <t>100AV981-6200</t>
  </si>
  <si>
    <t>100AV999-5000</t>
  </si>
  <si>
    <t>GAME KEEPERS TWEED</t>
  </si>
  <si>
    <t>100AV999-6200</t>
  </si>
  <si>
    <t>100AW141-5000</t>
  </si>
  <si>
    <t>ROCK OF AGES</t>
  </si>
  <si>
    <t>100AW141-6200</t>
  </si>
  <si>
    <t>100AW190-6200</t>
  </si>
  <si>
    <t>SPIRITO TERRAZZO</t>
  </si>
  <si>
    <t>100AW200-5000</t>
  </si>
  <si>
    <t>BRIDAL BLANCO</t>
  </si>
  <si>
    <t>100AW200-6200</t>
  </si>
  <si>
    <t>100AW300-5000</t>
  </si>
  <si>
    <t>LOVE LETTERS</t>
  </si>
  <si>
    <t>100AW300-6200</t>
  </si>
  <si>
    <t>100AW700-5000</t>
  </si>
  <si>
    <t>BEAU-TIE</t>
  </si>
  <si>
    <t>100AW700-6200</t>
  </si>
  <si>
    <t>100AW785-5000</t>
  </si>
  <si>
    <t>WHITE SPEKTRUM</t>
  </si>
  <si>
    <t>WALLBD ITM-P890 ALSO+Wd  10P</t>
  </si>
  <si>
    <t>100AW785-6200</t>
  </si>
  <si>
    <t>WALLBD ITM-P890 ALSO+Wd  10P )</t>
  </si>
  <si>
    <t>100AW871-5000</t>
  </si>
  <si>
    <t>VANILLA FIBER</t>
  </si>
  <si>
    <t>100AW871-6200</t>
  </si>
  <si>
    <t>100AY102-6200</t>
  </si>
  <si>
    <t>CURRY FIBER</t>
  </si>
  <si>
    <t>WALL BOARD ITEM NRB 2015 DROP</t>
  </si>
  <si>
    <t>100AY120-5000</t>
  </si>
  <si>
    <t>GINGER SNAP</t>
  </si>
  <si>
    <t>100AY120-6200</t>
  </si>
  <si>
    <t>100AY135-5000</t>
  </si>
  <si>
    <t>LUMINESCENT SILK</t>
  </si>
  <si>
    <t>100AY135-6200</t>
  </si>
  <si>
    <t>100AY160-5000</t>
  </si>
  <si>
    <t>IN THE TRENCHES</t>
  </si>
  <si>
    <t>100AY160-6200</t>
  </si>
  <si>
    <t>130# ESD CONDUCTIVE</t>
  </si>
  <si>
    <t>100CC130-5000</t>
  </si>
  <si>
    <t>100CC130-6200</t>
  </si>
  <si>
    <t>100CLEAN-3700</t>
  </si>
  <si>
    <t>OBSOLETE SOLIDS/PRIN</t>
  </si>
  <si>
    <t>100CLEAN-5000</t>
  </si>
  <si>
    <t>100CLEAN-6200</t>
  </si>
  <si>
    <t>100DB010-4300</t>
  </si>
  <si>
    <t>NUTMEG BACKER</t>
  </si>
  <si>
    <t>PANOLAM STANDARD LINE</t>
  </si>
  <si>
    <t>100DB010-5000</t>
  </si>
  <si>
    <t>100DB010-6200</t>
  </si>
  <si>
    <t>100DB010-6212</t>
  </si>
  <si>
    <t>NUTMEG BACKER (BOWLI</t>
  </si>
  <si>
    <t>BOWLING BACKER (OLD DB006)</t>
  </si>
  <si>
    <t>100DR037-5014</t>
  </si>
  <si>
    <t>NATURAL MF KRAFT (CP</t>
  </si>
  <si>
    <t>100DR037-6275</t>
  </si>
  <si>
    <t>100DR148-3714</t>
  </si>
  <si>
    <t>(154 HP02) 147# KRAF</t>
  </si>
  <si>
    <t>MEADW</t>
  </si>
  <si>
    <t>100DR148-4434</t>
  </si>
  <si>
    <t>WESTR</t>
  </si>
  <si>
    <t>100DR148-5014</t>
  </si>
  <si>
    <t>[110668]</t>
  </si>
  <si>
    <t>[110669]</t>
  </si>
  <si>
    <t>[110670]</t>
  </si>
  <si>
    <t>100DR148-5CPL</t>
  </si>
  <si>
    <t>(154 HP02) 147# CPL</t>
  </si>
  <si>
    <t>DIFFERENCIATE CPL KRAFT</t>
  </si>
  <si>
    <t>[109926]</t>
  </si>
  <si>
    <t>100DR148-6212</t>
  </si>
  <si>
    <t>[103380]</t>
  </si>
  <si>
    <t>[107655]</t>
  </si>
  <si>
    <t>100DR148-6234</t>
  </si>
  <si>
    <t>CPL</t>
  </si>
  <si>
    <t>100DR148-6500</t>
  </si>
  <si>
    <t>100DR148-6CPL</t>
  </si>
  <si>
    <t>100DS009-5000</t>
  </si>
  <si>
    <t>FROSTY WHITE</t>
  </si>
  <si>
    <t>MARKER BOARD LAMINATE PAPER</t>
  </si>
  <si>
    <t>100DS009-6200</t>
  </si>
  <si>
    <t>100DS014-5000</t>
  </si>
  <si>
    <t>SNO FLAKE WHITE</t>
  </si>
  <si>
    <t>OLD RESO COM (HPL=SW806)</t>
  </si>
  <si>
    <t>100DS014-6200</t>
  </si>
  <si>
    <t>100DS059-5000</t>
  </si>
  <si>
    <t>SLATE</t>
  </si>
  <si>
    <t>OLD RESO COM  (Pioneer)</t>
  </si>
  <si>
    <t>100DS059-6200</t>
  </si>
  <si>
    <t>OLD RESO COM;HPL=SG228+ 95S</t>
  </si>
  <si>
    <t>100DS064-3700</t>
  </si>
  <si>
    <t>BLACK</t>
  </si>
  <si>
    <t>LPL BLACK &amp; NON FORM HPL</t>
  </si>
  <si>
    <t>100DS064-4914</t>
  </si>
  <si>
    <t>BLACK (LPL USE)</t>
  </si>
  <si>
    <t>LPL BLACK &amp; NON FORM HPL 90S</t>
  </si>
  <si>
    <t>100DS064-5000</t>
  </si>
  <si>
    <t>LPL BLACK &amp; NON FORM HPL90S</t>
  </si>
  <si>
    <t>100DS064-6200</t>
  </si>
  <si>
    <t>100DS080-6200</t>
  </si>
  <si>
    <t>VERTICAL BEIGE</t>
  </si>
  <si>
    <t>MOVED TO TFM PN63</t>
  </si>
  <si>
    <t>100FB118-6200</t>
  </si>
  <si>
    <t>ASH PINSTRIPE</t>
  </si>
  <si>
    <t>ARAUC</t>
  </si>
  <si>
    <t>NRB</t>
  </si>
  <si>
    <t>100FB204-6200</t>
  </si>
  <si>
    <t>BAROQUE</t>
  </si>
  <si>
    <t>100FB209-6200</t>
  </si>
  <si>
    <t>SHADOW FROST</t>
  </si>
  <si>
    <t>100FB213-5000</t>
  </si>
  <si>
    <t>FOG GRAY</t>
  </si>
  <si>
    <t>100FB225-5000</t>
  </si>
  <si>
    <t>BLACK ICE</t>
  </si>
  <si>
    <t>100FB229-6200</t>
  </si>
  <si>
    <t>MERIT MAPLE</t>
  </si>
  <si>
    <t>100FB230-6200</t>
  </si>
  <si>
    <t>CHERRY HILL PLANK</t>
  </si>
  <si>
    <t>100FB233-5000</t>
  </si>
  <si>
    <t>FOSSIL</t>
  </si>
  <si>
    <t>100FB233-6200</t>
  </si>
  <si>
    <t>100FB234-6200</t>
  </si>
  <si>
    <t>LINEN</t>
  </si>
  <si>
    <t>100FB237-6200</t>
  </si>
  <si>
    <t>CHARCOAL</t>
  </si>
  <si>
    <t>100FB239-6200</t>
  </si>
  <si>
    <t>STORM</t>
  </si>
  <si>
    <t>100FB244-5000</t>
  </si>
  <si>
    <t>CHESTNUT CHERRY</t>
  </si>
  <si>
    <t>100FB247-5000</t>
  </si>
  <si>
    <t>MYSTERIOUS</t>
  </si>
  <si>
    <t>100FB248-5000</t>
  </si>
  <si>
    <t>WILLOW GREY</t>
  </si>
  <si>
    <t>100FB250-5000</t>
  </si>
  <si>
    <t>DUKE</t>
  </si>
  <si>
    <t>100FB250-6200</t>
  </si>
  <si>
    <t>100FB251-5000</t>
  </si>
  <si>
    <t>CELADON</t>
  </si>
  <si>
    <t>100FB252-5000</t>
  </si>
  <si>
    <t>QUARRY</t>
  </si>
  <si>
    <t>100FB252-6200</t>
  </si>
  <si>
    <t>100FB253-5000</t>
  </si>
  <si>
    <t>ADOBE</t>
  </si>
  <si>
    <t>100FB253-6200</t>
  </si>
  <si>
    <t>100FB255-5000</t>
  </si>
  <si>
    <t>WILLOW</t>
  </si>
  <si>
    <t>100FB255-6200</t>
  </si>
  <si>
    <t>100FB256-6200</t>
  </si>
  <si>
    <t>BARTLETT PEARWOOD</t>
  </si>
  <si>
    <t>100FB257-5000</t>
  </si>
  <si>
    <t>VERDE</t>
  </si>
  <si>
    <t>100FB257-6200</t>
  </si>
  <si>
    <t>100FB258-5000</t>
  </si>
  <si>
    <t>ROJA</t>
  </si>
  <si>
    <t>100FB258-6200</t>
  </si>
  <si>
    <t>100FB261-5000</t>
  </si>
  <si>
    <t>PORTLAND CHERRY</t>
  </si>
  <si>
    <t>100FB270-6200</t>
  </si>
  <si>
    <t>CABINET MAPLE</t>
  </si>
  <si>
    <t>100FB294-6200</t>
  </si>
  <si>
    <t>VANILLA STIX</t>
  </si>
  <si>
    <t>100FB345-6200</t>
  </si>
  <si>
    <t>MILLTOWN OAK</t>
  </si>
  <si>
    <t>100FB356-6200</t>
  </si>
  <si>
    <t>DRIFTWOOD</t>
  </si>
  <si>
    <t>100FB357-6200</t>
  </si>
  <si>
    <t>SANDALWOOD</t>
  </si>
  <si>
    <t>100FB398-6200</t>
  </si>
  <si>
    <t>PACAYA II</t>
  </si>
  <si>
    <t>100FB400-5000</t>
  </si>
  <si>
    <t>VICTORIAN WHITE</t>
  </si>
  <si>
    <t>100FB414-5000</t>
  </si>
  <si>
    <t>TRANQUIL CHERRY</t>
  </si>
  <si>
    <t>100FB415-5000</t>
  </si>
  <si>
    <t>SAND MAPLE</t>
  </si>
  <si>
    <t>100FB416-5000</t>
  </si>
  <si>
    <t>CENTURY WALNUT</t>
  </si>
  <si>
    <t>100FB421-6200</t>
  </si>
  <si>
    <t>LOFT RECLAMATION MAP</t>
  </si>
  <si>
    <t>100FB428-5000</t>
  </si>
  <si>
    <t>AUBURN CHERRY</t>
  </si>
  <si>
    <t>100FB430-5000</t>
  </si>
  <si>
    <t>SIENNA</t>
  </si>
  <si>
    <t>100FB430-6200</t>
  </si>
  <si>
    <t>100FB431-5000</t>
  </si>
  <si>
    <t>UMBRA</t>
  </si>
  <si>
    <t>100FB431-6200</t>
  </si>
  <si>
    <t>100FB432-6200</t>
  </si>
  <si>
    <t>ASHEN</t>
  </si>
  <si>
    <t>100FB434-6200</t>
  </si>
  <si>
    <t>GIBRALTER</t>
  </si>
  <si>
    <t>100FB436-6200</t>
  </si>
  <si>
    <t>KODIAK</t>
  </si>
  <si>
    <t>100FB437-5000</t>
  </si>
  <si>
    <t>PEWTER GRAY</t>
  </si>
  <si>
    <t>100FB439-5000</t>
  </si>
  <si>
    <t>OUTLANDIA</t>
  </si>
  <si>
    <t>100FB439-6200</t>
  </si>
  <si>
    <t>100FB442-5000</t>
  </si>
  <si>
    <t>CHIQUE</t>
  </si>
  <si>
    <t>100FB442-6200</t>
  </si>
  <si>
    <t>100FB443-5000</t>
  </si>
  <si>
    <t>LUXENT</t>
  </si>
  <si>
    <t>100FB443-6200</t>
  </si>
  <si>
    <t>100FB449-5000</t>
  </si>
  <si>
    <t>SAREK ASH</t>
  </si>
  <si>
    <t>100FB449-6200</t>
  </si>
  <si>
    <t>100FB450-5000</t>
  </si>
  <si>
    <t>BERGEN ASH</t>
  </si>
  <si>
    <t>100FB450-6200</t>
  </si>
  <si>
    <t>100FB451-5000</t>
  </si>
  <si>
    <t>NARVIK ASH</t>
  </si>
  <si>
    <t>100FB451-6200</t>
  </si>
  <si>
    <t>100FB452-5000</t>
  </si>
  <si>
    <t>KARUNA ASH</t>
  </si>
  <si>
    <t>100FB452-6200</t>
  </si>
  <si>
    <t>100FB456-5000</t>
  </si>
  <si>
    <t>MIST</t>
  </si>
  <si>
    <t>100FB458-5000</t>
  </si>
  <si>
    <t>PRESTEN ASH</t>
  </si>
  <si>
    <t>100FB458-6200</t>
  </si>
  <si>
    <t>100FB466-5000</t>
  </si>
  <si>
    <t>ROUGE VALLEY PEAR</t>
  </si>
  <si>
    <t>100FB466-6200</t>
  </si>
  <si>
    <t>ROGUE VALLEY PEAR</t>
  </si>
  <si>
    <t>100FB536-6200</t>
  </si>
  <si>
    <t>EVEREST LINEN</t>
  </si>
  <si>
    <t>100FB601-6200</t>
  </si>
  <si>
    <t>RASTER</t>
  </si>
  <si>
    <t>100FB900-6200</t>
  </si>
  <si>
    <t>ALABASTER</t>
  </si>
  <si>
    <t>100FR115-3714</t>
  </si>
  <si>
    <t>FIREPLI 125#</t>
  </si>
  <si>
    <t>FIRE RATED KRAFT</t>
  </si>
  <si>
    <t>100FR115-5014</t>
  </si>
  <si>
    <t>100FR115-6212</t>
  </si>
  <si>
    <t>100GC002-4800</t>
  </si>
  <si>
    <t>GLASS CLOTH #6781</t>
  </si>
  <si>
    <t>BGF I</t>
  </si>
  <si>
    <t>[105973]</t>
  </si>
  <si>
    <t>[106753]</t>
  </si>
  <si>
    <t>[107229]</t>
  </si>
  <si>
    <t>[109276]</t>
  </si>
  <si>
    <t>[110098]</t>
  </si>
  <si>
    <t>100GC002-6200</t>
  </si>
  <si>
    <t>[105844]</t>
  </si>
  <si>
    <t>[106993]</t>
  </si>
  <si>
    <t>100GC002-6500</t>
  </si>
  <si>
    <t>[110283]</t>
  </si>
  <si>
    <t>100GC004-4800</t>
  </si>
  <si>
    <t>GLASS CLOTH #6580</t>
  </si>
  <si>
    <t>MORRISTOWN</t>
  </si>
  <si>
    <t>100GC004-6200</t>
  </si>
  <si>
    <t>[109141]</t>
  </si>
  <si>
    <t>[109463]</t>
  </si>
  <si>
    <t>[109627]</t>
  </si>
  <si>
    <t>100GC004-6300</t>
  </si>
  <si>
    <t>100GC012-3800</t>
  </si>
  <si>
    <t>WOVEN GLASS # RAT 19</t>
  </si>
  <si>
    <t>100GC012-5000</t>
  </si>
  <si>
    <t>CURRE</t>
  </si>
  <si>
    <t>[104125]</t>
  </si>
  <si>
    <t>[105713]</t>
  </si>
  <si>
    <t>[110375]</t>
  </si>
  <si>
    <t>100GC012-6200</t>
  </si>
  <si>
    <t>[110460]</t>
  </si>
  <si>
    <t>100HP020-5000</t>
  </si>
  <si>
    <t>NAT ALMOND BACKER</t>
  </si>
  <si>
    <t>STND (S402)(1221) +Wd Std  60S</t>
  </si>
  <si>
    <t>100HP020-6200</t>
  </si>
  <si>
    <t>100HP119-5000</t>
  </si>
  <si>
    <t>HP ENGLISH OAK</t>
  </si>
  <si>
    <t>STND (W119)(3384)</t>
  </si>
  <si>
    <t>100HP119-6200</t>
  </si>
  <si>
    <t>100HP140-5000</t>
  </si>
  <si>
    <t>RIVIERA MAPLE</t>
  </si>
  <si>
    <t>100HP140-6200</t>
  </si>
  <si>
    <t>100HP144-5000</t>
  </si>
  <si>
    <t>WILD CHERRY</t>
  </si>
  <si>
    <t>100HP144-6200</t>
  </si>
  <si>
    <t>100HP156-5000</t>
  </si>
  <si>
    <t>GRAND CHERRY</t>
  </si>
  <si>
    <t>PANOLAM STANDARD LINE      156</t>
  </si>
  <si>
    <t>100HP156-6200</t>
  </si>
  <si>
    <t>100HP158-5000</t>
  </si>
  <si>
    <t>CAPTIVA MAPLE</t>
  </si>
  <si>
    <t>100HP168-5000</t>
  </si>
  <si>
    <t>LATTE MAPLE</t>
  </si>
  <si>
    <t>2006 STANDARD PANOLAM NRB 2-18</t>
  </si>
  <si>
    <t>100HP190-5000</t>
  </si>
  <si>
    <t>HP GUNSTOCK WALNUT</t>
  </si>
  <si>
    <t>100HP190-6200</t>
  </si>
  <si>
    <t>100HP194-5000</t>
  </si>
  <si>
    <t>SELECT WALNUT</t>
  </si>
  <si>
    <t>100HP194-6200</t>
  </si>
  <si>
    <t>100HP207-5000</t>
  </si>
  <si>
    <t>OFS MOCHA WALNUT</t>
  </si>
  <si>
    <t>100HP207-6200</t>
  </si>
  <si>
    <t>STYLINE/OFS/CUBICON 12/04</t>
  </si>
  <si>
    <t>100HP215-6200</t>
  </si>
  <si>
    <t>OFS LIGHT MAPLE</t>
  </si>
  <si>
    <t>100HP218-6200</t>
  </si>
  <si>
    <t>OFS VINTAGE MAHOGANY</t>
  </si>
  <si>
    <t>100HP223-5000</t>
  </si>
  <si>
    <t>OFS LIGHT CHERRY</t>
  </si>
  <si>
    <t>100HP223-6200</t>
  </si>
  <si>
    <t>100HP256-5000</t>
  </si>
  <si>
    <t>COUNTRY MAPLE</t>
  </si>
  <si>
    <t>STND (W256)(4308) +Wd Std  51W</t>
  </si>
  <si>
    <t>100HP256-6200</t>
  </si>
  <si>
    <t>100HP268-5000</t>
  </si>
  <si>
    <t>FUSION MAPLE</t>
  </si>
  <si>
    <t>PANOLAM STANDARD LINE     61W</t>
  </si>
  <si>
    <t>100HP268-6200</t>
  </si>
  <si>
    <t>100HP272-5000</t>
  </si>
  <si>
    <t>WANDERER</t>
  </si>
  <si>
    <t>STANDRD LINE-HARVEST</t>
  </si>
  <si>
    <t>100HP272-6200</t>
  </si>
  <si>
    <t>MAHOGANY CLOVE</t>
  </si>
  <si>
    <t>100HP273-6200</t>
  </si>
  <si>
    <t>100HP288-5000</t>
  </si>
  <si>
    <t>CORRETTO CHERRY</t>
  </si>
  <si>
    <t>2006 STANDARD</t>
  </si>
  <si>
    <t>100HP288-6200</t>
  </si>
  <si>
    <t>100HP289-6200</t>
  </si>
  <si>
    <t>VIENNA CHERRY</t>
  </si>
  <si>
    <t>100HP290-5000</t>
  </si>
  <si>
    <t>HP HARDROCK MAPLE</t>
  </si>
  <si>
    <t>PANOLAM STANDARD LINE      80G</t>
  </si>
  <si>
    <t>100HP290-6200</t>
  </si>
  <si>
    <t>100HP295-5000</t>
  </si>
  <si>
    <t>EVENING SHADE</t>
  </si>
  <si>
    <t>Interprint</t>
  </si>
  <si>
    <t>100HP295-6200</t>
  </si>
  <si>
    <t>2003 SUN DIAL COLLECTION</t>
  </si>
  <si>
    <t>100HP302-5000</t>
  </si>
  <si>
    <t>SECOND LIGHT</t>
  </si>
  <si>
    <t>100HP313-5000</t>
  </si>
  <si>
    <t>BRAZILIAN WALNUT</t>
  </si>
  <si>
    <t>GLOBAL</t>
  </si>
  <si>
    <t>100HP313-6200</t>
  </si>
  <si>
    <t>100HP336-5000</t>
  </si>
  <si>
    <t>SUNSET</t>
  </si>
  <si>
    <t>STND (W336)(4528) +Wd Std  53W</t>
  </si>
  <si>
    <t>100HP336-6200</t>
  </si>
  <si>
    <t>100HP338-5000</t>
  </si>
  <si>
    <t>SUNRISE</t>
  </si>
  <si>
    <t>2003 SUN DIAL    (Pioneer)</t>
  </si>
  <si>
    <t>100HP338-6200</t>
  </si>
  <si>
    <t>100HP340-5000</t>
  </si>
  <si>
    <t>BROWN PEARWOOD</t>
  </si>
  <si>
    <t>NEW 5/04, STND</t>
  </si>
  <si>
    <t>100HP340-6200</t>
  </si>
  <si>
    <t>100HP341-5000</t>
  </si>
  <si>
    <t>MOCHA CHERRY</t>
  </si>
  <si>
    <t>100HP341-6200</t>
  </si>
  <si>
    <t>100HP356-5000</t>
  </si>
  <si>
    <t>HONEY AVANTI WOOD</t>
  </si>
  <si>
    <t>100HP356-6200</t>
  </si>
  <si>
    <t>100HP357-5000</t>
  </si>
  <si>
    <t>CHERRY AVANTI WOOD</t>
  </si>
  <si>
    <t>100HP357-6200</t>
  </si>
  <si>
    <t>100HP358-5000</t>
  </si>
  <si>
    <t>MAPLE AVANTI WOOD</t>
  </si>
  <si>
    <t>GLOBAL NRB</t>
  </si>
  <si>
    <t>100HP359-5000</t>
  </si>
  <si>
    <t>THUNDERSTORM</t>
  </si>
  <si>
    <t>100HP359-6200</t>
  </si>
  <si>
    <t>100HP360-5000</t>
  </si>
  <si>
    <t>AFTERNOON SHOWERS</t>
  </si>
  <si>
    <t>100HP360-6200</t>
  </si>
  <si>
    <t>100HP365-5000</t>
  </si>
  <si>
    <t>MAHOGANY IMPRESSION</t>
  </si>
  <si>
    <t>100HP365-6200</t>
  </si>
  <si>
    <t>100HP370-5000</t>
  </si>
  <si>
    <t>NOBLE MAHOGANY</t>
  </si>
  <si>
    <t>100HP370-6200</t>
  </si>
  <si>
    <t>100HP372-5000</t>
  </si>
  <si>
    <t>HP MAHOGANY</t>
  </si>
  <si>
    <t>STND (W372)(4600/4599) +Wd 18G</t>
  </si>
  <si>
    <t>100HP372-6200</t>
  </si>
  <si>
    <t>100HP375-5000</t>
  </si>
  <si>
    <t>CASTLE OAK II</t>
  </si>
  <si>
    <t>100HP383-5000</t>
  </si>
  <si>
    <t>CABINET OAK</t>
  </si>
  <si>
    <t>NRB PANOLAM STANDARD LINE</t>
  </si>
  <si>
    <t>100HP391-5000</t>
  </si>
  <si>
    <t>HP NATURAL OAK</t>
  </si>
  <si>
    <t>PANOLM STD LINE (WO646) 10G</t>
  </si>
  <si>
    <t>100HP391-6200</t>
  </si>
  <si>
    <t>100HP393-5000</t>
  </si>
  <si>
    <t>CORPORATE WALNUT</t>
  </si>
  <si>
    <t>100HP393-6200</t>
  </si>
  <si>
    <t>100HP409-5000</t>
  </si>
  <si>
    <t>SMOKE GRAY (SOLID)</t>
  </si>
  <si>
    <t>PANOLAM STANDARD LINE      409</t>
  </si>
  <si>
    <t>100HP409-6200</t>
  </si>
  <si>
    <t>100HP417-5000</t>
  </si>
  <si>
    <t>SNOW WHITE</t>
  </si>
  <si>
    <t>100HP417-6200</t>
  </si>
  <si>
    <t>100HP427-6200</t>
  </si>
  <si>
    <t>HAYDEN GRAY (SOLID)</t>
  </si>
  <si>
    <t>100HP431-5000</t>
  </si>
  <si>
    <t>WILLOW GRAY</t>
  </si>
  <si>
    <t>STND (S431) (1156)+Wd Std  85S</t>
  </si>
  <si>
    <t>100HP431-6200</t>
  </si>
  <si>
    <t>STND (S431) (1156) +Wd Std 85S</t>
  </si>
  <si>
    <t>100HP445-5000</t>
  </si>
  <si>
    <t>HP ALMOND</t>
  </si>
  <si>
    <t>100HP445-6200</t>
  </si>
  <si>
    <t>100HP451-5000</t>
  </si>
  <si>
    <t>PEPPERDUST (SOLID)</t>
  </si>
  <si>
    <t>100HP451-6200</t>
  </si>
  <si>
    <t>100HP463-5000</t>
  </si>
  <si>
    <t>ANTIQUE WHITE (SOLID</t>
  </si>
  <si>
    <t>STND (S463) (1247)+Wd Std  45S</t>
  </si>
  <si>
    <t>100HP463-6200</t>
  </si>
  <si>
    <t>STND (S463)(1247) +Wd Std  45S</t>
  </si>
  <si>
    <t>100HP473-6200</t>
  </si>
  <si>
    <t>LPL NUBIAN BROWN</t>
  </si>
  <si>
    <t>HPL = ST604</t>
  </si>
  <si>
    <t>100HP491-5000</t>
  </si>
  <si>
    <t>HP PUMICE (SOLID)</t>
  </si>
  <si>
    <t>PANOLAM STANDARD LINE      491</t>
  </si>
  <si>
    <t>100HP495-5000</t>
  </si>
  <si>
    <t>HP OYSTER GRAY (SOLI</t>
  </si>
  <si>
    <t>STND (S495)(1737) +Wd Std  80S</t>
  </si>
  <si>
    <t>100HP495-6200</t>
  </si>
  <si>
    <t>100HP548-5000</t>
  </si>
  <si>
    <t>CUSTOM GRAY</t>
  </si>
  <si>
    <t>CARTI</t>
  </si>
  <si>
    <t>STND (S548) (927) +Wd Std  70S</t>
  </si>
  <si>
    <t>100HP548-6200</t>
  </si>
  <si>
    <t>100HP551-5000</t>
  </si>
  <si>
    <t>FOG GRAY (SOLID)</t>
  </si>
  <si>
    <t>STND (S551) (961)+Wd Std   75S</t>
  </si>
  <si>
    <t>100HP551-6200</t>
  </si>
  <si>
    <t>STND (S551) (961) +Wd Std  75S</t>
  </si>
  <si>
    <t>100HP557-5000</t>
  </si>
  <si>
    <t>INTERNATIONAL WHITE</t>
  </si>
  <si>
    <t>100HP557-6200</t>
  </si>
  <si>
    <t>100HP563-5000</t>
  </si>
  <si>
    <t>ANTHRACITE (SOLID)</t>
  </si>
  <si>
    <t>MCFADDENS MAIN USER</t>
  </si>
  <si>
    <t>100HP563-6200</t>
  </si>
  <si>
    <t>100HP565-5000</t>
  </si>
  <si>
    <t>STORM GRAY (SOLID)</t>
  </si>
  <si>
    <t>PANOLAM STANDARD LINE      11S</t>
  </si>
  <si>
    <t>100HP565-6200</t>
  </si>
  <si>
    <t>100HP568-6200</t>
  </si>
  <si>
    <t>SURF (SOLID)</t>
  </si>
  <si>
    <t>100HP569-5000</t>
  </si>
  <si>
    <t>BIRCH (SOLID)</t>
  </si>
  <si>
    <t>100HP596-5000</t>
  </si>
  <si>
    <t>PRISM YELLOW (SOLID)</t>
  </si>
  <si>
    <t>PANOLAM STANDARD LINE      47S</t>
  </si>
  <si>
    <t>100HP597-6200</t>
  </si>
  <si>
    <t>PRISM RED (SOLID)</t>
  </si>
  <si>
    <t>STND (S597)(1018) +Wd Std  22S</t>
  </si>
  <si>
    <t>100HP599-5000</t>
  </si>
  <si>
    <t>PRISM BLUE</t>
  </si>
  <si>
    <t>STND (S599)(853)+Wd Std    14S</t>
  </si>
  <si>
    <t>100HP599-6200</t>
  </si>
  <si>
    <t>STND (S599)(853) +Wd Std   14S</t>
  </si>
  <si>
    <t>100HP681-5000</t>
  </si>
  <si>
    <t>MOUNTAINSIDE MAPLE</t>
  </si>
  <si>
    <t>LAMIG</t>
  </si>
  <si>
    <t>PANOLAM STANDARD   (Pioneer)</t>
  </si>
  <si>
    <t>100HP681-6200</t>
  </si>
  <si>
    <t>100HP682-5000</t>
  </si>
  <si>
    <t>TOWNSHIP MAPLE</t>
  </si>
  <si>
    <t>PANOLAM STANDARD  NRB 2-18</t>
  </si>
  <si>
    <t>100HP682-6200</t>
  </si>
  <si>
    <t>PANOLAM STANDARD LINE NRB 2-18</t>
  </si>
  <si>
    <t>100HP683-5000</t>
  </si>
  <si>
    <t>GLEN CHERRY</t>
  </si>
  <si>
    <t>PANOLAM STANDARD  (Pioneer)</t>
  </si>
  <si>
    <t>100HP683-6200</t>
  </si>
  <si>
    <t>100HP684-5000</t>
  </si>
  <si>
    <t>FIELD CHERRY</t>
  </si>
  <si>
    <t>100HP684-6200</t>
  </si>
  <si>
    <t>100HP686-5000</t>
  </si>
  <si>
    <t>WOODLAND BIRCH</t>
  </si>
  <si>
    <t>100HP687-5000</t>
  </si>
  <si>
    <t>GROVE MYRTLE</t>
  </si>
  <si>
    <t>PANOLAM STANDARD LINE    687</t>
  </si>
  <si>
    <t>100HP687-6200</t>
  </si>
  <si>
    <t>PANOLAM STANDARD LINE      687</t>
  </si>
  <si>
    <t>100HP688-5000</t>
  </si>
  <si>
    <t>ARBOR MYRTLE</t>
  </si>
  <si>
    <t>PANOLAM STANDARD LINE      688</t>
  </si>
  <si>
    <t>100HP688-6200</t>
  </si>
  <si>
    <t>100HP689-5000</t>
  </si>
  <si>
    <t>BACKWOODS SYCAMORE</t>
  </si>
  <si>
    <t>100HP689-6200</t>
  </si>
  <si>
    <t>100HP690-5000</t>
  </si>
  <si>
    <t>EDGEWOOD SYCAMORE</t>
  </si>
  <si>
    <t>100HP707-5000</t>
  </si>
  <si>
    <t>CHAMPAGNE ASH</t>
  </si>
  <si>
    <t>NRB 7/18/22 DESIGN4' ONLY NRB</t>
  </si>
  <si>
    <t>100HP767-5000</t>
  </si>
  <si>
    <t>BRUSHED COBALT</t>
  </si>
  <si>
    <t>GLOBAL/EXPERT 12/2006</t>
  </si>
  <si>
    <t>100HP767-6200</t>
  </si>
  <si>
    <t>100HP819-5000</t>
  </si>
  <si>
    <t>TIGER WALNUT</t>
  </si>
  <si>
    <t>100HP819-6200</t>
  </si>
  <si>
    <t>GLOBAL (HUNTS)</t>
  </si>
  <si>
    <t>100HP821-6200</t>
  </si>
  <si>
    <t>TIGER FRUITWOOD</t>
  </si>
  <si>
    <t>NRB 6/23/22 GLOBAL (HUNTS)</t>
  </si>
  <si>
    <t>100HP898-5000</t>
  </si>
  <si>
    <t>BEIGE GRANITE</t>
  </si>
  <si>
    <t>100HP898-6200</t>
  </si>
  <si>
    <t>100K1470-4800</t>
  </si>
  <si>
    <t>PIONE</t>
  </si>
  <si>
    <t>100K2014-6000</t>
  </si>
  <si>
    <t>CO-FEDERAL OAK (PERD</t>
  </si>
  <si>
    <t>PERDUE INC.</t>
  </si>
  <si>
    <t>100K2019-6200</t>
  </si>
  <si>
    <t>CO-VENETIAN ALLURE</t>
  </si>
  <si>
    <t>100K2023-5000</t>
  </si>
  <si>
    <t>CO-VINTAGE MAHOGANY</t>
  </si>
  <si>
    <t>100K2025-5000</t>
  </si>
  <si>
    <t>100K2030-6200</t>
  </si>
  <si>
    <t>CO-SILEO CHERRY</t>
  </si>
  <si>
    <t>100K2037-5000</t>
  </si>
  <si>
    <t>WHITE BACKER (ONYX)</t>
  </si>
  <si>
    <t>100K2038-5000</t>
  </si>
  <si>
    <t>SAGE (OLD SV720 FOR</t>
  </si>
  <si>
    <t>100K8019-6200</t>
  </si>
  <si>
    <t>APPALACHIAN CHERRY</t>
  </si>
  <si>
    <t>100K8027-5000</t>
  </si>
  <si>
    <t>CO GOLD RUSH</t>
  </si>
  <si>
    <t>100KM009-6200</t>
  </si>
  <si>
    <t>MG BRUNS SILVER W/LI</t>
  </si>
  <si>
    <t>100KM010-5000</t>
  </si>
  <si>
    <t>MG BRUNS SILVER C/D</t>
  </si>
  <si>
    <t>100KM010-6200</t>
  </si>
  <si>
    <t>MG BRUNS SILVER</t>
  </si>
  <si>
    <t>100KM036-6200</t>
  </si>
  <si>
    <t>MG BUSH MODERN HICKO</t>
  </si>
  <si>
    <t>100KM038-5000</t>
  </si>
  <si>
    <t>MG URBAN MARBLE</t>
  </si>
  <si>
    <t>BELANGER</t>
  </si>
  <si>
    <t>100KM038-6200</t>
  </si>
  <si>
    <t>100KM041-5000</t>
  </si>
  <si>
    <t>MG GRAY LINEN</t>
  </si>
  <si>
    <t>ALLWOOD PRODUCTS</t>
  </si>
  <si>
    <t>100KM042-5000</t>
  </si>
  <si>
    <t>MG NOCE GRIGIO</t>
  </si>
  <si>
    <t>GLOBAL TFL</t>
  </si>
  <si>
    <t>100KM042-6200</t>
  </si>
  <si>
    <t>100KM043-5000</t>
  </si>
  <si>
    <t>MG NOCE MEDIO</t>
  </si>
  <si>
    <t>100KM043-6200</t>
  </si>
  <si>
    <t>100KM044-5000</t>
  </si>
  <si>
    <t>MG NOCE LEGGERO</t>
  </si>
  <si>
    <t>100KM044-6200</t>
  </si>
  <si>
    <t>100KM045-5000</t>
  </si>
  <si>
    <t>MG NOCE BIONDO</t>
  </si>
  <si>
    <t>Global TFL</t>
  </si>
  <si>
    <t>100KM045-6200</t>
  </si>
  <si>
    <t>100KM046-6200</t>
  </si>
  <si>
    <t>NAPLES</t>
  </si>
  <si>
    <t>FUNDE</t>
  </si>
  <si>
    <t>100KM047-6200</t>
  </si>
  <si>
    <t>PARADISO WALNUT</t>
  </si>
  <si>
    <t>100KM048-6200</t>
  </si>
  <si>
    <t>DUOMO WALNUT</t>
  </si>
  <si>
    <t>100KM049-6200</t>
  </si>
  <si>
    <t>MAXIMO WALNUT</t>
  </si>
  <si>
    <t>100KM059-5000</t>
  </si>
  <si>
    <t>MG MAPLE SUGAR</t>
  </si>
  <si>
    <t>100KM059-6200</t>
  </si>
  <si>
    <t>100KM060-5000</t>
  </si>
  <si>
    <t>MG STONEWOOD</t>
  </si>
  <si>
    <t>100KM060-6200</t>
  </si>
  <si>
    <t>100KM061-5000</t>
  </si>
  <si>
    <t>MG GALA</t>
  </si>
  <si>
    <t>100KM061-6200</t>
  </si>
  <si>
    <t>100KM062-5000</t>
  </si>
  <si>
    <t>MG URBAN GRANITE</t>
  </si>
  <si>
    <t>100KM062-6200</t>
  </si>
  <si>
    <t>100KM063-5000</t>
  </si>
  <si>
    <t>MG TERRAZZO</t>
  </si>
  <si>
    <t>SHATT</t>
  </si>
  <si>
    <t>100KM063-6200</t>
  </si>
  <si>
    <t>100KM064-5000</t>
  </si>
  <si>
    <t>MG HIMALAYA WHITE</t>
  </si>
  <si>
    <t>IND.</t>
  </si>
  <si>
    <t>100KM064-6200</t>
  </si>
  <si>
    <t>100KM068-5000</t>
  </si>
  <si>
    <t>MG ALMOND</t>
  </si>
  <si>
    <t>100KM068-6200</t>
  </si>
  <si>
    <t>100LG110-5000</t>
  </si>
  <si>
    <t>IVORY KID</t>
  </si>
  <si>
    <t>100LG110-6200</t>
  </si>
  <si>
    <t>100MC400-6200</t>
  </si>
  <si>
    <t>CLEANTEG MC 400 (CPL</t>
  </si>
  <si>
    <t>100ME011-5000</t>
  </si>
  <si>
    <t>PYRENEES MARBLE</t>
  </si>
  <si>
    <t>100ME011-6200</t>
  </si>
  <si>
    <t>100ME031-5000</t>
  </si>
  <si>
    <t>BLACK GRANITE</t>
  </si>
  <si>
    <t>100ME031-6200</t>
  </si>
  <si>
    <t>100ME051-5000</t>
  </si>
  <si>
    <t>ARCTIC FLASH</t>
  </si>
  <si>
    <t>100ME051-6200</t>
  </si>
  <si>
    <t>100ME100-5000</t>
  </si>
  <si>
    <t>FADED MEMORIES</t>
  </si>
  <si>
    <t>2018 NNL   ADDED 080619</t>
  </si>
  <si>
    <t>100ME100-6200</t>
  </si>
  <si>
    <t>100MG071-5000</t>
  </si>
  <si>
    <t>BERNARD</t>
  </si>
  <si>
    <t>100MG071-6200</t>
  </si>
  <si>
    <t>100MG081-5000</t>
  </si>
  <si>
    <t>GOLD FLAKE GRANITE</t>
  </si>
  <si>
    <t>CTI</t>
  </si>
  <si>
    <t>100MG081-6200</t>
  </si>
  <si>
    <t>100MG115-6200</t>
  </si>
  <si>
    <t>MOON DUST</t>
  </si>
  <si>
    <t>100MG120-5000</t>
  </si>
  <si>
    <t>HAROLD</t>
  </si>
  <si>
    <t>100MG120-6200</t>
  </si>
  <si>
    <t>100MG125-6200</t>
  </si>
  <si>
    <t>HUGO GRAY</t>
  </si>
  <si>
    <t>100MG130-5000</t>
  </si>
  <si>
    <t>ABRAHAM</t>
  </si>
  <si>
    <t>100MG130-6200</t>
  </si>
  <si>
    <t>100MG135-5000</t>
  </si>
  <si>
    <t>SEQUOIA MICA</t>
  </si>
  <si>
    <t>100MG135-6200</t>
  </si>
  <si>
    <t>100MG145-5000</t>
  </si>
  <si>
    <t>SLATE IMPERIALE MARB</t>
  </si>
  <si>
    <t>100MG145-6200</t>
  </si>
  <si>
    <t>100MG155-6200</t>
  </si>
  <si>
    <t>PEARL GRAY PETRA</t>
  </si>
  <si>
    <t>100MG160-5000</t>
  </si>
  <si>
    <t>UPLAND STONE</t>
  </si>
  <si>
    <t>100MG160-6200</t>
  </si>
  <si>
    <t>100MG170-5000</t>
  </si>
  <si>
    <t>HEDGEROW</t>
  </si>
  <si>
    <t>100MG170-6200</t>
  </si>
  <si>
    <t>100MG180-6200</t>
  </si>
  <si>
    <t>GALACTIC DUST</t>
  </si>
  <si>
    <t>100MG190-5000</t>
  </si>
  <si>
    <t>RICE LAKE</t>
  </si>
  <si>
    <t>100MG190-6200</t>
  </si>
  <si>
    <t>100MG200-6200</t>
  </si>
  <si>
    <t>CRESCENT PORTICO</t>
  </si>
  <si>
    <t>100MR120-5000</t>
  </si>
  <si>
    <t>LOUISE</t>
  </si>
  <si>
    <t>100MR120-6200</t>
  </si>
  <si>
    <t>100MR125-5000</t>
  </si>
  <si>
    <t>THEODORE</t>
  </si>
  <si>
    <t>100MR125-6200</t>
  </si>
  <si>
    <t>100MR130-5000</t>
  </si>
  <si>
    <t>ROSE GRANITE</t>
  </si>
  <si>
    <t>100MR130-6200</t>
  </si>
  <si>
    <t>100MT250-6200</t>
  </si>
  <si>
    <t>MAN ON THE MOON</t>
  </si>
  <si>
    <t>100MT260-6200</t>
  </si>
  <si>
    <t>SANTIAGO</t>
  </si>
  <si>
    <t>100MT290-6200</t>
  </si>
  <si>
    <t>WILHELMINA</t>
  </si>
  <si>
    <t>100MT300-5000</t>
  </si>
  <si>
    <t>NATURAL LIMESTONE</t>
  </si>
  <si>
    <t>100MT300-6200</t>
  </si>
  <si>
    <t>100MT310-5000</t>
  </si>
  <si>
    <t>FREDERICK</t>
  </si>
  <si>
    <t>100MT310-6200</t>
  </si>
  <si>
    <t>100MT330-5000</t>
  </si>
  <si>
    <t>CITY OF LIGHTS</t>
  </si>
  <si>
    <t>NEW LINE LAUNCH 2004 JAPAN</t>
  </si>
  <si>
    <t>100MT330-6200</t>
  </si>
  <si>
    <t>04 CITY LIGHTS COLLECTION JAPA</t>
  </si>
  <si>
    <t>100MT370-6200</t>
  </si>
  <si>
    <t>FUSION GRANITE</t>
  </si>
  <si>
    <t>100MT390-5000</t>
  </si>
  <si>
    <t>HAZEL</t>
  </si>
  <si>
    <t>100MT390-6200</t>
  </si>
  <si>
    <t>100MT430-5000</t>
  </si>
  <si>
    <t>RONALD</t>
  </si>
  <si>
    <t>100MT430-6200</t>
  </si>
  <si>
    <t>100MT440-5000</t>
  </si>
  <si>
    <t>CORNWALL</t>
  </si>
  <si>
    <t>100MT440-6200</t>
  </si>
  <si>
    <t>100MT500-6200</t>
  </si>
  <si>
    <t>ROCK AROUND THE CLOC</t>
  </si>
  <si>
    <t>100MW535-6200</t>
  </si>
  <si>
    <t>RINNOVATO MARBLE</t>
  </si>
  <si>
    <t>100MW545-6200</t>
  </si>
  <si>
    <t>SPERANZA</t>
  </si>
  <si>
    <t>100MW550-5000</t>
  </si>
  <si>
    <t>WHITE FIESTA</t>
  </si>
  <si>
    <t>100MW550-6200</t>
  </si>
  <si>
    <t>100MW570-5000</t>
  </si>
  <si>
    <t>POLAR CAP</t>
  </si>
  <si>
    <t>100MW570-6200</t>
  </si>
  <si>
    <t>100MW575-5000</t>
  </si>
  <si>
    <t>CHALK IMPERIALE MARB</t>
  </si>
  <si>
    <t>100MW575-6200</t>
  </si>
  <si>
    <t>100MW585-6200</t>
  </si>
  <si>
    <t>VOLARE CARRARA</t>
  </si>
  <si>
    <t>100PFA30-5000</t>
  </si>
  <si>
    <t>PRINTED IN TOKYO</t>
  </si>
  <si>
    <t>SHELTON COLLECTION -2000 NRB</t>
  </si>
  <si>
    <t>100PFA30-6200</t>
  </si>
  <si>
    <t>100PFA39-5000</t>
  </si>
  <si>
    <t>SINGING THE CHICAGO</t>
  </si>
  <si>
    <t>SHELTON COL. USED IN BOWLING</t>
  </si>
  <si>
    <t>100PFA39-6200</t>
  </si>
  <si>
    <t>SHELTON COLLECTION BOWLING</t>
  </si>
  <si>
    <t>100PFA42-5000</t>
  </si>
  <si>
    <t>TEA PARTY IN BOSTON</t>
  </si>
  <si>
    <t>SHELTON COLLECTION - Pioneer</t>
  </si>
  <si>
    <t>100PFA42-6200</t>
  </si>
  <si>
    <t>SHELTON COLLECTION -2000</t>
  </si>
  <si>
    <t>100PFA48-5000</t>
  </si>
  <si>
    <t>SIPPING SEATTLE JAVA</t>
  </si>
  <si>
    <t>100PFA48-6200</t>
  </si>
  <si>
    <t>100PFA51-5000</t>
  </si>
  <si>
    <t>GRIDLOCK IN L.A.</t>
  </si>
  <si>
    <t>100PFA51-6200</t>
  </si>
  <si>
    <t>100PFA54-5000</t>
  </si>
  <si>
    <t>STREETS OF SAN FRANC</t>
  </si>
  <si>
    <t>SHELTON COLLECTION -NRB 2018</t>
  </si>
  <si>
    <t>100PFA54-6200</t>
  </si>
  <si>
    <t>SHELTON  -2000 NRB 2018</t>
  </si>
  <si>
    <t>100PFA60-5000</t>
  </si>
  <si>
    <t>NEGOTIATING IN GENEV</t>
  </si>
  <si>
    <t>100PFA60-6200</t>
  </si>
  <si>
    <t>100PFA66-6200</t>
  </si>
  <si>
    <t>RUNNING IN PAMPLONA</t>
  </si>
  <si>
    <t>100QP111-6200</t>
  </si>
  <si>
    <t>DESERT RIO</t>
  </si>
  <si>
    <t>100QU663-3800</t>
  </si>
  <si>
    <t>WHITE GLASS (7628) C</t>
  </si>
  <si>
    <t>HEXCE</t>
  </si>
  <si>
    <t>100QU834-5000</t>
  </si>
  <si>
    <t>100QU906-6212</t>
  </si>
  <si>
    <t>147# KRAFT TRIAL (IP</t>
  </si>
  <si>
    <t>100QU910-6200</t>
  </si>
  <si>
    <t>DS19 RELEASE TRIAL</t>
  </si>
  <si>
    <t>100QU915-5014</t>
  </si>
  <si>
    <t>100QU915-6275</t>
  </si>
  <si>
    <t>100QU920-5000</t>
  </si>
  <si>
    <t>PARCHMENT DS</t>
  </si>
  <si>
    <t>100QU927-6300</t>
  </si>
  <si>
    <t>100QU929-6300</t>
  </si>
  <si>
    <t>100QU931-5000</t>
  </si>
  <si>
    <t>SILICONE COATED DOUB</t>
  </si>
  <si>
    <t>100QU932-5000</t>
  </si>
  <si>
    <t>COLORED-CORE TRIAL C</t>
  </si>
  <si>
    <t>COL17-12 MELCOR TRIAL</t>
  </si>
  <si>
    <t>100QU934-5014</t>
  </si>
  <si>
    <t>148# RECYCLED KRAFT</t>
  </si>
  <si>
    <t>KRUGER</t>
  </si>
  <si>
    <t>100QU934-6234</t>
  </si>
  <si>
    <t>148#  RECYCLED KRAFT</t>
  </si>
  <si>
    <t>100QU942-5000</t>
  </si>
  <si>
    <t>WHITE CHOCOLATE TRIA</t>
  </si>
  <si>
    <t>100QU943-5000</t>
  </si>
  <si>
    <t>ELESGO EXTERIOR GRAY</t>
  </si>
  <si>
    <t>ELESG</t>
  </si>
  <si>
    <t>100QU944-5000</t>
  </si>
  <si>
    <t>ELESGO LAB WHITE</t>
  </si>
  <si>
    <t>100QU945-5000</t>
  </si>
  <si>
    <t>100QU946-5000</t>
  </si>
  <si>
    <t>100QU952-5000</t>
  </si>
  <si>
    <t>25 NAT R1S WS PARCHM</t>
  </si>
  <si>
    <t>100QU957-5000</t>
  </si>
  <si>
    <t>100QU965-5000</t>
  </si>
  <si>
    <t>100QU967-6200</t>
  </si>
  <si>
    <t>50# NATURAL KRAFT 1S</t>
  </si>
  <si>
    <t>HOLLA</t>
  </si>
  <si>
    <t>100QU968-5000</t>
  </si>
  <si>
    <t>24 NAT OMS R1S PARCH</t>
  </si>
  <si>
    <t>100QW115-5000</t>
  </si>
  <si>
    <t>WYNNWOOD</t>
  </si>
  <si>
    <t>100QW116-5000</t>
  </si>
  <si>
    <t>L'AUBERGE BURL</t>
  </si>
  <si>
    <t>100QW118-5000</t>
  </si>
  <si>
    <t>ROCKWOOD</t>
  </si>
  <si>
    <t>100QW119-5000</t>
  </si>
  <si>
    <t>BEAU RIVAGE BURL</t>
  </si>
  <si>
    <t>100QW121-5000</t>
  </si>
  <si>
    <t>TAHOE ZEBRAWOOD</t>
  </si>
  <si>
    <t>100QW122-5000</t>
  </si>
  <si>
    <t>DETRIOT PLUM</t>
  </si>
  <si>
    <t>100QW124-5000</t>
  </si>
  <si>
    <t>SANTE FE OLIVE</t>
  </si>
  <si>
    <t>100QW128-5000</t>
  </si>
  <si>
    <t>INDIAN APPLE</t>
  </si>
  <si>
    <t>100QW133-5000</t>
  </si>
  <si>
    <t>BENGUI WENGE</t>
  </si>
  <si>
    <t>100QW135-5000</t>
  </si>
  <si>
    <t>OUTLINE</t>
  </si>
  <si>
    <t>100QW139-5000</t>
  </si>
  <si>
    <t>DARK ITALIAN WALNUT</t>
  </si>
  <si>
    <t>100QW139-6200</t>
  </si>
  <si>
    <t>100QW141-5000</t>
  </si>
  <si>
    <t>H DARK ITALIAN WALNU</t>
  </si>
  <si>
    <t>100QW143-5000</t>
  </si>
  <si>
    <t>ALIETE OAK</t>
  </si>
  <si>
    <t>100QW145-5000</t>
  </si>
  <si>
    <t>BURL CREEK</t>
  </si>
  <si>
    <t>FRENCH BLUE</t>
  </si>
  <si>
    <t>100SB005-5000</t>
  </si>
  <si>
    <t>100SB005-6200</t>
  </si>
  <si>
    <t>100SB006-5000</t>
  </si>
  <si>
    <t>INDIGO BLUE</t>
  </si>
  <si>
    <t>100SB006-6200</t>
  </si>
  <si>
    <t>100SB007-3700</t>
  </si>
  <si>
    <t>NAVY BLUE</t>
  </si>
  <si>
    <t>100SB007-5000</t>
  </si>
  <si>
    <t>100SB007-6200</t>
  </si>
  <si>
    <t>100SB009-5000</t>
  </si>
  <si>
    <t>ROYAL BLUE</t>
  </si>
  <si>
    <t>WALL BOARD IT (LPL=DS073)</t>
  </si>
  <si>
    <t>100SB009-6200</t>
  </si>
  <si>
    <t>100SB027-5000</t>
  </si>
  <si>
    <t>SUMMER VACATION</t>
  </si>
  <si>
    <t>100SB027-6200</t>
  </si>
  <si>
    <t>100SB035-5000</t>
  </si>
  <si>
    <t>SAPPHIRE BLUE (treat</t>
  </si>
  <si>
    <t>100SB040-5000</t>
  </si>
  <si>
    <t>BLUEBERRY HILL</t>
  </si>
  <si>
    <t>2002 LINE "SWEET 16"</t>
  </si>
  <si>
    <t>100SB040-6200</t>
  </si>
  <si>
    <t>100SE105-5000</t>
  </si>
  <si>
    <t>BLACK UMBER</t>
  </si>
  <si>
    <t>100SE105-6200</t>
  </si>
  <si>
    <t>100SE113-5000</t>
  </si>
  <si>
    <t>BLACKJACK</t>
  </si>
  <si>
    <t>COMMODITY PROGRAM</t>
  </si>
  <si>
    <t>100SE113-6200</t>
  </si>
  <si>
    <t>100SE115-5000</t>
  </si>
  <si>
    <t>BLACK DIAMOND (treat</t>
  </si>
  <si>
    <t>100SG203-3700</t>
  </si>
  <si>
    <t>PUMICE</t>
  </si>
  <si>
    <t>WALL BOARD IT (LPL=DS038)</t>
  </si>
  <si>
    <t>100SG203-5000</t>
  </si>
  <si>
    <t>100SG203-6200</t>
  </si>
  <si>
    <t>100SG204-5000</t>
  </si>
  <si>
    <t>MERCURY 50"</t>
  </si>
  <si>
    <t>WALL BOARD IT(LPL=DS011)</t>
  </si>
  <si>
    <t>100SG204-6200</t>
  </si>
  <si>
    <t>MERCURY</t>
  </si>
  <si>
    <t>100SG208-5000</t>
  </si>
  <si>
    <t>LIMESTONE</t>
  </si>
  <si>
    <t>WALL BOARD ITEM (LPL=DS086)</t>
  </si>
  <si>
    <t>100SG208-6200</t>
  </si>
  <si>
    <t>100SG210-5000</t>
  </si>
  <si>
    <t>GREIGE</t>
  </si>
  <si>
    <t>WALL BOARD IT (LPL=DS060)</t>
  </si>
  <si>
    <t>100SG210-6200</t>
  </si>
  <si>
    <t>100SG211-5000</t>
  </si>
  <si>
    <t>INGOT GRAY</t>
  </si>
  <si>
    <t>100SG211-6200</t>
  </si>
  <si>
    <t>WALL BOARD ITEM - Pioneer</t>
  </si>
  <si>
    <t>100SG213-3700</t>
  </si>
  <si>
    <t>OPTI GRAY</t>
  </si>
  <si>
    <t>WALL BOARD IT (LPL=DS026)</t>
  </si>
  <si>
    <t>100SG213-5000</t>
  </si>
  <si>
    <t>100SG213-6200</t>
  </si>
  <si>
    <t>100SG214-5000</t>
  </si>
  <si>
    <t>BANKERS GRAY</t>
  </si>
  <si>
    <t>WALL BOARD IT (LPL=DS063)</t>
  </si>
  <si>
    <t>100SG214-6200</t>
  </si>
  <si>
    <t>WALL BOARD IT - Pioneer</t>
  </si>
  <si>
    <t>100SG224-5000</t>
  </si>
  <si>
    <t>STONEDUST</t>
  </si>
  <si>
    <t>100SG224-6200</t>
  </si>
  <si>
    <t>100SG228-5000</t>
  </si>
  <si>
    <t>WALL BOARD IT (LPL=DS059)</t>
  </si>
  <si>
    <t>100SG228-6200</t>
  </si>
  <si>
    <t>100SG240-5000</t>
  </si>
  <si>
    <t>MOSS GRAY</t>
  </si>
  <si>
    <t>100SG240-6200</t>
  </si>
  <si>
    <t>100SG241-3700</t>
  </si>
  <si>
    <t>FOLKSTONE GRAY</t>
  </si>
  <si>
    <t>WALL BOARD IT (LPL=DS041)</t>
  </si>
  <si>
    <t>100SG241-5000</t>
  </si>
  <si>
    <t>100SG241-6200</t>
  </si>
  <si>
    <t>100SG243-5000</t>
  </si>
  <si>
    <t>HM GRAY</t>
  </si>
  <si>
    <t>H MILLR (WAS SG209, LPL=DS005)</t>
  </si>
  <si>
    <t>100SG243-6200</t>
  </si>
  <si>
    <t>100SG246-5000</t>
  </si>
  <si>
    <t>DOLPHIN GRAY</t>
  </si>
  <si>
    <t>100SG246-6200</t>
  </si>
  <si>
    <t>100SG254-5000</t>
  </si>
  <si>
    <t>ASH GRAY</t>
  </si>
  <si>
    <t>100SG254-6200</t>
  </si>
  <si>
    <t>100SG263-5000</t>
  </si>
  <si>
    <t>GRAY HEMATITE (treat</t>
  </si>
  <si>
    <t>100SG266-5000</t>
  </si>
  <si>
    <t>ANTIQUITY</t>
  </si>
  <si>
    <t>100SG266-6200</t>
  </si>
  <si>
    <t>CADET GREY</t>
  </si>
  <si>
    <t>100SG292-6200</t>
  </si>
  <si>
    <t>100SO312-5000</t>
  </si>
  <si>
    <t>BITTERSWEET</t>
  </si>
  <si>
    <t>100SO312-6200</t>
  </si>
  <si>
    <t>100SP401-5000</t>
  </si>
  <si>
    <t>ROYAL BURGUNDY</t>
  </si>
  <si>
    <t>100SP401-6200</t>
  </si>
  <si>
    <t>100SP414-5000</t>
  </si>
  <si>
    <t>TUTTI FRUTTI</t>
  </si>
  <si>
    <t>100SP414-6200</t>
  </si>
  <si>
    <t>100SR505-5000</t>
  </si>
  <si>
    <t>NAVAJO RED</t>
  </si>
  <si>
    <t>WALL BOARD ITEM (HP597 ALSO)</t>
  </si>
  <si>
    <t>100SR505-6200</t>
  </si>
  <si>
    <t>100SR520-5000</t>
  </si>
  <si>
    <t>PRIMARY RED</t>
  </si>
  <si>
    <t>100SR520-6200</t>
  </si>
  <si>
    <t>100SR521-3700</t>
  </si>
  <si>
    <t>BURGUNDY</t>
  </si>
  <si>
    <t>100SR521-5000</t>
  </si>
  <si>
    <t>100SR521-6200</t>
  </si>
  <si>
    <t>WALL BOARD ITEM  L25 NRB</t>
  </si>
  <si>
    <t>100SR525-5000</t>
  </si>
  <si>
    <t>SWEET 16</t>
  </si>
  <si>
    <t>100SR525-6200</t>
  </si>
  <si>
    <t>100SR537-5000</t>
  </si>
  <si>
    <t>FIRST KISS</t>
  </si>
  <si>
    <t>100SR537-6200</t>
  </si>
  <si>
    <t>100ST604-5000</t>
  </si>
  <si>
    <t>NUBIAN BROWN</t>
  </si>
  <si>
    <t>100ST604-6200</t>
  </si>
  <si>
    <t>100ST606-5000</t>
  </si>
  <si>
    <t>TAUPE</t>
  </si>
  <si>
    <t>100ST606-6200</t>
  </si>
  <si>
    <t>100ST610-5000</t>
  </si>
  <si>
    <t>SQUASH</t>
  </si>
  <si>
    <t>USED FOR THRUCOLOR (MELCOR)</t>
  </si>
  <si>
    <t>100ST610-6200</t>
  </si>
  <si>
    <t>100ST622-5000</t>
  </si>
  <si>
    <t>CARAMEL</t>
  </si>
  <si>
    <t>USED FOR BOWLING</t>
  </si>
  <si>
    <t>100ST622-6200</t>
  </si>
  <si>
    <t>100ST628-5000</t>
  </si>
  <si>
    <t>MEDIUM TONE</t>
  </si>
  <si>
    <t>100ST655-5000</t>
  </si>
  <si>
    <t>ALMOND</t>
  </si>
  <si>
    <t>100ST655-6200</t>
  </si>
  <si>
    <t>100ST658-5000</t>
  </si>
  <si>
    <t>MYSTIC MOONSTONE (tr</t>
  </si>
  <si>
    <t>100ST665-6200</t>
  </si>
  <si>
    <t>CASHMERE C55</t>
  </si>
  <si>
    <t>STEVE</t>
  </si>
  <si>
    <t>100ST678-5000</t>
  </si>
  <si>
    <t>CORNSILK</t>
  </si>
  <si>
    <t>100ST678-6200</t>
  </si>
  <si>
    <t>100SV709-5000</t>
  </si>
  <si>
    <t>SPRINGTIME</t>
  </si>
  <si>
    <t>WALL BOARD ITEM (HP598 ALSO)</t>
  </si>
  <si>
    <t>100SV709-6200</t>
  </si>
  <si>
    <t>100SV713-5000</t>
  </si>
  <si>
    <t>SURFIN' USA</t>
  </si>
  <si>
    <t>100SV713-6200</t>
  </si>
  <si>
    <t>100SV750-5000</t>
  </si>
  <si>
    <t>FRESH CUT GRASS</t>
  </si>
  <si>
    <t>100SV750-6200</t>
  </si>
  <si>
    <t>100SW350-5000</t>
  </si>
  <si>
    <t>OLYMPIC WHITE</t>
  </si>
  <si>
    <t>100SW350-6200</t>
  </si>
  <si>
    <t>100SW480-5000</t>
  </si>
  <si>
    <t>SNOWFALL</t>
  </si>
  <si>
    <t>100SW480-6200</t>
  </si>
  <si>
    <t>100SW803-3700</t>
  </si>
  <si>
    <t>EGGSHELL WHITE</t>
  </si>
  <si>
    <t>WALL BOARD IT (LPL=DS040)</t>
  </si>
  <si>
    <t>100SW803-5000</t>
  </si>
  <si>
    <t>100SW803-6200</t>
  </si>
  <si>
    <t>100SW806-5000</t>
  </si>
  <si>
    <t>CARNATION WHITE</t>
  </si>
  <si>
    <t>WALL BOARD IT(LPL=DS014)</t>
  </si>
  <si>
    <t>100SW806-6200</t>
  </si>
  <si>
    <t>100SW811-3700</t>
  </si>
  <si>
    <t>WHITE</t>
  </si>
  <si>
    <t>100SW811-5000</t>
  </si>
  <si>
    <t>WALL BOARD- QU670 - Pioneer</t>
  </si>
  <si>
    <t>100SW811-6200</t>
  </si>
  <si>
    <t>WALL BOARD ITEM see also QU670</t>
  </si>
  <si>
    <t>ICE WHITE</t>
  </si>
  <si>
    <t>100SW813-5000</t>
  </si>
  <si>
    <t>100SW813-6200</t>
  </si>
  <si>
    <t>100SW822-5000</t>
  </si>
  <si>
    <t>SUBURBIA WHITE II</t>
  </si>
  <si>
    <t>US REMODELERS</t>
  </si>
  <si>
    <t>100SW826-3700</t>
  </si>
  <si>
    <t>ANGEL WHITE</t>
  </si>
  <si>
    <t>100SW826-5000</t>
  </si>
  <si>
    <t>PANOL</t>
  </si>
  <si>
    <t>[109784]</t>
  </si>
  <si>
    <t>100SW826-6200</t>
  </si>
  <si>
    <t>100SW836-5000</t>
  </si>
  <si>
    <t>WINTER WHITE</t>
  </si>
  <si>
    <t>100SW836-6200</t>
  </si>
  <si>
    <t>100SW888-5000</t>
  </si>
  <si>
    <t>NIMBUS WHITE</t>
  </si>
  <si>
    <t>WAS GLOBAL/OPEN</t>
  </si>
  <si>
    <t>100SW888-6200</t>
  </si>
  <si>
    <t>[104991]</t>
  </si>
  <si>
    <t>100SW890-5000</t>
  </si>
  <si>
    <t>WHITE DIAMOND (treat</t>
  </si>
  <si>
    <t>100SY913-5000</t>
  </si>
  <si>
    <t>FORSYTHIA</t>
  </si>
  <si>
    <t>100SY913-6200</t>
  </si>
  <si>
    <t>100SY914-3700</t>
  </si>
  <si>
    <t>PRIMARY YELLOW</t>
  </si>
  <si>
    <t>100SY914-5000</t>
  </si>
  <si>
    <t>100SY914-6200</t>
  </si>
  <si>
    <t>100WA001-5000</t>
  </si>
  <si>
    <t>CLEAR ASH</t>
  </si>
  <si>
    <t>WALL BOARD ITEM  - Pioneer</t>
  </si>
  <si>
    <t>100WA001-6200</t>
  </si>
  <si>
    <t>WALL BOARD ITEM            P42</t>
  </si>
  <si>
    <t>100WA011-6200</t>
  </si>
  <si>
    <t>SUMMIT ASH</t>
  </si>
  <si>
    <t>WALL BOARD ITEM - NRB 2018</t>
  </si>
  <si>
    <t>100WA030-5000</t>
  </si>
  <si>
    <t>PICNIC IN THE PARK</t>
  </si>
  <si>
    <t>100WA030-6200</t>
  </si>
  <si>
    <t>100WA090-5000</t>
  </si>
  <si>
    <t>DINING BY CANDLELIGH</t>
  </si>
  <si>
    <t>100WA090-6200</t>
  </si>
  <si>
    <t>100WA110-450L</t>
  </si>
  <si>
    <t>CATCHING FIREFLIES (</t>
  </si>
  <si>
    <t>100WA110-5000</t>
  </si>
  <si>
    <t>CATCHING FIREFLIES</t>
  </si>
  <si>
    <t>100WA110-6200</t>
  </si>
  <si>
    <t>100WA120-5000</t>
  </si>
  <si>
    <t>AFTERNOON NAP</t>
  </si>
  <si>
    <t>100WA120-6200</t>
  </si>
  <si>
    <t>100WC090-5000</t>
  </si>
  <si>
    <t>WINTER CHERRY</t>
  </si>
  <si>
    <t>100WC090-6200</t>
  </si>
  <si>
    <t>100WC105-5000</t>
  </si>
  <si>
    <t>TRYTOO SAVATRE</t>
  </si>
  <si>
    <t>W155</t>
  </si>
  <si>
    <t>100WC105-6200</t>
  </si>
  <si>
    <t>100WC115-5000</t>
  </si>
  <si>
    <t>AIMTOO SAVATRE</t>
  </si>
  <si>
    <t>100WC115-6200</t>
  </si>
  <si>
    <t>100WC125-5000</t>
  </si>
  <si>
    <t>IWANTOO SAVATRE</t>
  </si>
  <si>
    <t>W234</t>
  </si>
  <si>
    <t>100WC125-6200</t>
  </si>
  <si>
    <t>100WC135-5000</t>
  </si>
  <si>
    <t>WB CHERRY</t>
  </si>
  <si>
    <t>WISCONSIN BENCH</t>
  </si>
  <si>
    <t>100WC135-6200</t>
  </si>
  <si>
    <t>100WC175-5000</t>
  </si>
  <si>
    <t>AMERICAN CHERRY</t>
  </si>
  <si>
    <t>100WC175-6200</t>
  </si>
  <si>
    <t>100WC210-5000</t>
  </si>
  <si>
    <t>CHOCOLATE MALT</t>
  </si>
  <si>
    <t>2015 LINE LAUNCH</t>
  </si>
  <si>
    <t>100WC210-6200</t>
  </si>
  <si>
    <t>100WC230-5000</t>
  </si>
  <si>
    <t>BUTTER TOFFEE</t>
  </si>
  <si>
    <t>100WC230-6200</t>
  </si>
  <si>
    <t>100WC331-5000</t>
  </si>
  <si>
    <t>VICTORIAN CHERRY</t>
  </si>
  <si>
    <t>WALLBD ITM (W275 ALSO)     59G</t>
  </si>
  <si>
    <t>100WC331-6200</t>
  </si>
  <si>
    <t>WALLBD (W275 also) 59G-Pioneer</t>
  </si>
  <si>
    <t>100WC411-3700</t>
  </si>
  <si>
    <t>YORKSHIRE CHERRY</t>
  </si>
  <si>
    <t>100WC411-5000</t>
  </si>
  <si>
    <t>WALL BOARD ITEM            P43</t>
  </si>
  <si>
    <t>100WC411-6200</t>
  </si>
  <si>
    <t>OILED CHERRY</t>
  </si>
  <si>
    <t>100WC421-43L0</t>
  </si>
  <si>
    <t>OILED CHERRY LEFT</t>
  </si>
  <si>
    <t>100WC421-43R0</t>
  </si>
  <si>
    <t>OILED CHERRY RIGHT</t>
  </si>
  <si>
    <t>100WC421-5000</t>
  </si>
  <si>
    <t>100WC421-6200</t>
  </si>
  <si>
    <t>WALL BOARD ITEM  +Wd Std   14G</t>
  </si>
  <si>
    <t>100WC431-3700</t>
  </si>
  <si>
    <t>MILLWORK CHERRY</t>
  </si>
  <si>
    <t>100WC431-5000</t>
  </si>
  <si>
    <t>100WC431-6200</t>
  </si>
  <si>
    <t>100WC471-5000</t>
  </si>
  <si>
    <t>AMANA CHERRY</t>
  </si>
  <si>
    <t>03 SUN DIAL COL aka HP265 NRB</t>
  </si>
  <si>
    <t>100WC521-5000</t>
  </si>
  <si>
    <t>SHAKER CHERRY</t>
  </si>
  <si>
    <t>100WC521-6200</t>
  </si>
  <si>
    <t>100WC652-5000</t>
  </si>
  <si>
    <t>COASTAL COTTAGE</t>
  </si>
  <si>
    <t>100WC652-6200</t>
  </si>
  <si>
    <t>100WE250-450L</t>
  </si>
  <si>
    <t>ASCOT ELM (LEFT C/D)</t>
  </si>
  <si>
    <t>100WE250-450R</t>
  </si>
  <si>
    <t>ASCOT ELM (RIGHT C/D</t>
  </si>
  <si>
    <t>100WE250-5000</t>
  </si>
  <si>
    <t>ASCOT ELM</t>
  </si>
  <si>
    <t>100WE250-6200</t>
  </si>
  <si>
    <t>100WE261-5000</t>
  </si>
  <si>
    <t>WHITE ELM</t>
  </si>
  <si>
    <t>100WE261-6200</t>
  </si>
  <si>
    <t>100WE280-5000</t>
  </si>
  <si>
    <t>WINDSOR ELM</t>
  </si>
  <si>
    <t>100WE280-6200</t>
  </si>
  <si>
    <t>100WE300-5000</t>
  </si>
  <si>
    <t>OPULENT OLMO</t>
  </si>
  <si>
    <t>2012 NEW LINE W116</t>
  </si>
  <si>
    <t>100WE300-6200</t>
  </si>
  <si>
    <t>100WE350-5000</t>
  </si>
  <si>
    <t>EXQUISITE ELM</t>
  </si>
  <si>
    <t>2012 NEW LINE W125</t>
  </si>
  <si>
    <t>100WE350-6200</t>
  </si>
  <si>
    <t>100WE360-5000</t>
  </si>
  <si>
    <t>AMERICA'S PASTIME</t>
  </si>
  <si>
    <t>100WE360-6200</t>
  </si>
  <si>
    <t>100WF131-5000</t>
  </si>
  <si>
    <t>VANA</t>
  </si>
  <si>
    <t>100WF131-6200</t>
  </si>
  <si>
    <t>100WF181-5000</t>
  </si>
  <si>
    <t>ICE FISHIN</t>
  </si>
  <si>
    <t>100WF181-6200</t>
  </si>
  <si>
    <t>100WG101-3700</t>
  </si>
  <si>
    <t>ACADIA BEECH</t>
  </si>
  <si>
    <t>100WG101-6200</t>
  </si>
  <si>
    <t>100WH110-5000</t>
  </si>
  <si>
    <t>HOUSE OF CHEVRON</t>
  </si>
  <si>
    <t>100WH110-6200</t>
  </si>
  <si>
    <t>100WM101-6200</t>
  </si>
  <si>
    <t>RIGHT BRUNSWICK MAPL</t>
  </si>
  <si>
    <t>BRUNSWICK, PROLANE</t>
  </si>
  <si>
    <t>100WM111-4300</t>
  </si>
  <si>
    <t>RETURN MAPLE PRINT</t>
  </si>
  <si>
    <t>100WM111-6200</t>
  </si>
  <si>
    <t>100WM115-5000</t>
  </si>
  <si>
    <t>SUGAR MAPLE II</t>
  </si>
  <si>
    <t>100WM115-6200</t>
  </si>
  <si>
    <t>100WM215-6200</t>
  </si>
  <si>
    <t>BUSH ACCORD MAPLE</t>
  </si>
  <si>
    <t>BUSH</t>
  </si>
  <si>
    <t>100WM221-5000</t>
  </si>
  <si>
    <t>AMBER CURLY MAPLE</t>
  </si>
  <si>
    <t>100WM221-6200</t>
  </si>
  <si>
    <t>100WM255-5000</t>
  </si>
  <si>
    <t>OFS BLOND MAPLE</t>
  </si>
  <si>
    <t>OFS</t>
  </si>
  <si>
    <t>100WM255-6200</t>
  </si>
  <si>
    <t>100WM301-6200</t>
  </si>
  <si>
    <t>IQ MAPLE LANE (CENTE</t>
  </si>
  <si>
    <t>REPLACED WM481 ON 3/01</t>
  </si>
  <si>
    <t>100WM311-4300</t>
  </si>
  <si>
    <t>IQ MAPLE LANE LH</t>
  </si>
  <si>
    <t>100WM321-4300</t>
  </si>
  <si>
    <t>IQ MAPLE LANE RH</t>
  </si>
  <si>
    <t>100WM331-3250</t>
  </si>
  <si>
    <t>MURREY LANE</t>
  </si>
  <si>
    <t>100WM331-4300</t>
  </si>
  <si>
    <t>MURREY LANE (CENTER)</t>
  </si>
  <si>
    <t>100WM332-6200</t>
  </si>
  <si>
    <t>MURREY LANE LH</t>
  </si>
  <si>
    <t>Murrey Bowling was KC341</t>
  </si>
  <si>
    <t>100WM333-6200</t>
  </si>
  <si>
    <t>MURREY LANE RH</t>
  </si>
  <si>
    <t>Murrey Bowling was KC351</t>
  </si>
  <si>
    <t>100WM345-5000</t>
  </si>
  <si>
    <t>MAPLE CREAM</t>
  </si>
  <si>
    <t>100WM345-6200</t>
  </si>
  <si>
    <t>100WM361-6200</t>
  </si>
  <si>
    <t>BRUNSWICK WANDERER W</t>
  </si>
  <si>
    <t>BRUNSWICK</t>
  </si>
  <si>
    <t>100WM511-4300</t>
  </si>
  <si>
    <t>OPEN MAPLE LANE (C)</t>
  </si>
  <si>
    <t>OPEN BOWLING (5/03)</t>
  </si>
  <si>
    <t>100WM521-6200</t>
  </si>
  <si>
    <t>OPEN MAPLE LANE (L)</t>
  </si>
  <si>
    <t>100WM531-6200</t>
  </si>
  <si>
    <t>OPEN MAPLE LANE (R)</t>
  </si>
  <si>
    <t>OPEN MAPLE LANE (5/03)</t>
  </si>
  <si>
    <t>100WM580-6200</t>
  </si>
  <si>
    <t>OFS HONEY MAPLE II</t>
  </si>
  <si>
    <t>100WM791-3700</t>
  </si>
  <si>
    <t>HARDROCK MAPLE</t>
  </si>
  <si>
    <t>100WM791-450L</t>
  </si>
  <si>
    <t>100WM791-450R</t>
  </si>
  <si>
    <t>100WM791-5000</t>
  </si>
  <si>
    <t>100WM791-6200</t>
  </si>
  <si>
    <t>WALL BOARD ITEM            P46</t>
  </si>
  <si>
    <t>100WM851-5000</t>
  </si>
  <si>
    <t>NATURAL MAPLE</t>
  </si>
  <si>
    <t>TOPPN STKNG (HP201+4396) 19G</t>
  </si>
  <si>
    <t>100WM851-6200</t>
  </si>
  <si>
    <t>HONEY MAPLE</t>
  </si>
  <si>
    <t>100WM951-5000</t>
  </si>
  <si>
    <t>WALL BOARD ITEM +Wd Std    33W</t>
  </si>
  <si>
    <t>100WM951-6200</t>
  </si>
  <si>
    <t>100WM981-6200</t>
  </si>
  <si>
    <t>LEFT BRUNSWICK MAPLE</t>
  </si>
  <si>
    <t>100WM991-4300</t>
  </si>
  <si>
    <t>MAPLE LANE PRINT (W)</t>
  </si>
  <si>
    <t>100WO095-5000</t>
  </si>
  <si>
    <t>ORNATE OAK</t>
  </si>
  <si>
    <t>100WO095-6200</t>
  </si>
  <si>
    <t>100WO145-6200</t>
  </si>
  <si>
    <t>OFS CLEAR OAK</t>
  </si>
  <si>
    <t>100WO241-6200</t>
  </si>
  <si>
    <t>VILLAGE OAK</t>
  </si>
  <si>
    <t>HERMAN MILLER - Pioneer</t>
  </si>
  <si>
    <t>100WO251-5000</t>
  </si>
  <si>
    <t>STATE OAK</t>
  </si>
  <si>
    <t>Virco</t>
  </si>
  <si>
    <t>WISCONSIN OAK</t>
  </si>
  <si>
    <t>100WO581-5000</t>
  </si>
  <si>
    <t>100WO581-6200</t>
  </si>
  <si>
    <t>100WO680-5000</t>
  </si>
  <si>
    <t>CRACKLE CRUNCH</t>
  </si>
  <si>
    <t>2015 NEW LINE LAUNCH</t>
  </si>
  <si>
    <t>100WO680-6200</t>
  </si>
  <si>
    <t>100WO700-5000</t>
  </si>
  <si>
    <t>GREAT WHITE OAK</t>
  </si>
  <si>
    <t>100WO740-5000</t>
  </si>
  <si>
    <t>MORCHELLA HUNT (BCO)</t>
  </si>
  <si>
    <t>WENDY'S</t>
  </si>
  <si>
    <t>100WO861-5000</t>
  </si>
  <si>
    <t>GRAND OAK</t>
  </si>
  <si>
    <t>100WO861-6200</t>
  </si>
  <si>
    <t>100WO891-5000</t>
  </si>
  <si>
    <t>SHERWOOD OAK</t>
  </si>
  <si>
    <t>WALL BOARD ITEM            72W</t>
  </si>
  <si>
    <t>100WO891-6200</t>
  </si>
  <si>
    <t>WALL BRD ITEM (72W) - Pioneer</t>
  </si>
  <si>
    <t>100WO951-3700</t>
  </si>
  <si>
    <t>FINE OAK</t>
  </si>
  <si>
    <t>100WO951-5000</t>
  </si>
  <si>
    <t>WALL BOARD ITEM            P17</t>
  </si>
  <si>
    <t>100WO951-6200</t>
  </si>
  <si>
    <t>100WP101-5000</t>
  </si>
  <si>
    <t>KNOTTY PINE</t>
  </si>
  <si>
    <t>100WP110-5000</t>
  </si>
  <si>
    <t>LOOKS LIKATRE</t>
  </si>
  <si>
    <t>PIONEER</t>
  </si>
  <si>
    <t>100WP110-6200</t>
  </si>
  <si>
    <t>100WP115-5000</t>
  </si>
  <si>
    <t>APPEARS LIKATRE</t>
  </si>
  <si>
    <t>100WP115-6200</t>
  </si>
  <si>
    <t>100WP120-5000</t>
  </si>
  <si>
    <t>LEAVE LIKATRE</t>
  </si>
  <si>
    <t>100WP120-6200</t>
  </si>
  <si>
    <t>100WP125-5000</t>
  </si>
  <si>
    <t>SEEMS LIKATRE</t>
  </si>
  <si>
    <t>100WP125-6200</t>
  </si>
  <si>
    <t>MOLTEN LAVA</t>
  </si>
  <si>
    <t>2015 NEW LINE LAUNCH NRB</t>
  </si>
  <si>
    <t>100WP130-6200</t>
  </si>
  <si>
    <t>100WP140-5000</t>
  </si>
  <si>
    <t>LICORICE STICK</t>
  </si>
  <si>
    <t>100WP140-6200</t>
  </si>
  <si>
    <t>100WP500-5000</t>
  </si>
  <si>
    <t>S'MORES</t>
  </si>
  <si>
    <t>100WP500-6200</t>
  </si>
  <si>
    <t>100WT741-3700</t>
  </si>
  <si>
    <t>TAJ TEAK</t>
  </si>
  <si>
    <t>100WT741-5000</t>
  </si>
  <si>
    <t>100WT741-6200</t>
  </si>
  <si>
    <t>100WT790-5000</t>
  </si>
  <si>
    <t>WEDDING CAKE</t>
  </si>
  <si>
    <t>100WT790-6200</t>
  </si>
  <si>
    <t>100WT840-6200</t>
  </si>
  <si>
    <t>AUBURN TEAK</t>
  </si>
  <si>
    <t>DUNHILL</t>
  </si>
  <si>
    <t>100WT850-5000</t>
  </si>
  <si>
    <t>PEACH COBBLER</t>
  </si>
  <si>
    <t>100WT850-6200</t>
  </si>
  <si>
    <t>100WT860-5000</t>
  </si>
  <si>
    <t>TAILGATING</t>
  </si>
  <si>
    <t>100WT860-6200</t>
  </si>
  <si>
    <t>100WT870-5000</t>
  </si>
  <si>
    <t>SLEEPING IN</t>
  </si>
  <si>
    <t>100WT870-6200</t>
  </si>
  <si>
    <t>100WT880-5000</t>
  </si>
  <si>
    <t>COOL AUTUMN NIGHT</t>
  </si>
  <si>
    <t>100WT880-6200</t>
  </si>
  <si>
    <t>100WT890-6200</t>
  </si>
  <si>
    <t>WEATHERED TEAK (3H)</t>
  </si>
  <si>
    <t>WAS 3H BUT IS NOW OPEN</t>
  </si>
  <si>
    <t>100WW011-5000</t>
  </si>
  <si>
    <t>KINGSLEY</t>
  </si>
  <si>
    <t>100WW011-6200</t>
  </si>
  <si>
    <t>100WW020-5000</t>
  </si>
  <si>
    <t>CHOCOLATE WALNUT</t>
  </si>
  <si>
    <t>100WW020-6200</t>
  </si>
  <si>
    <t>100WW050-5000</t>
  </si>
  <si>
    <t>WALNUT GROVE</t>
  </si>
  <si>
    <t>100WW050-6200</t>
  </si>
  <si>
    <t>100WW070-6200</t>
  </si>
  <si>
    <t>BRUNSWICK GUN SAV WA</t>
  </si>
  <si>
    <t>100WW075-5000</t>
  </si>
  <si>
    <t>ZEN</t>
  </si>
  <si>
    <t>100WW075-6200</t>
  </si>
  <si>
    <t>100WW120-5000</t>
  </si>
  <si>
    <t>A GOOD BOOK</t>
  </si>
  <si>
    <t>GLOBAL CONTRACT</t>
  </si>
  <si>
    <t>100WW120-6200</t>
  </si>
  <si>
    <t>100WW160-5000</t>
  </si>
  <si>
    <t>PRALINES &amp; CREAM</t>
  </si>
  <si>
    <t>100WW160-6200</t>
  </si>
  <si>
    <t>100WW185-5000</t>
  </si>
  <si>
    <t>OATMEAL COOKIE</t>
  </si>
  <si>
    <t>100WW185-6200</t>
  </si>
  <si>
    <t>100WW210-5000</t>
  </si>
  <si>
    <t>BAKLAVA</t>
  </si>
  <si>
    <t>MARIN GENERAL</t>
  </si>
  <si>
    <t>100WW210-6200</t>
  </si>
  <si>
    <t>100WW220-6200</t>
  </si>
  <si>
    <t>PARISIENNE L16 (ONLY</t>
  </si>
  <si>
    <t>100WW260-6200</t>
  </si>
  <si>
    <t>VINA L18 (ONLY 58" P</t>
  </si>
  <si>
    <t>100WW270-6200</t>
  </si>
  <si>
    <t>DARK WALNUT W66</t>
  </si>
  <si>
    <t>100WW290-6200</t>
  </si>
  <si>
    <t>BLEACHED WALNUT W42</t>
  </si>
  <si>
    <t>100WW410-6200</t>
  </si>
  <si>
    <t>LARA L14 (ONLY 58" P</t>
  </si>
  <si>
    <t>100WW470-6200</t>
  </si>
  <si>
    <t>ASHLEY L20 (ONLY 58"</t>
  </si>
  <si>
    <t>100WW561-5000</t>
  </si>
  <si>
    <t>SPICE WALNUT</t>
  </si>
  <si>
    <t>100WW561-6200</t>
  </si>
  <si>
    <t>100WW601-5000</t>
  </si>
  <si>
    <t>CINNAMON NOCE</t>
  </si>
  <si>
    <t>100WW601-6200</t>
  </si>
  <si>
    <t>100WW610-6200</t>
  </si>
  <si>
    <t>OFS ENGLISH WALNUT</t>
  </si>
  <si>
    <t>100WW620-5000</t>
  </si>
  <si>
    <t>OFS NATURAL WALNUT</t>
  </si>
  <si>
    <t>100WW620-6200</t>
  </si>
  <si>
    <t>100WW810-6200</t>
  </si>
  <si>
    <t>100WW971-3700</t>
  </si>
  <si>
    <t>GUN SAVOY WALNUT</t>
  </si>
  <si>
    <t>100WW971-5000</t>
  </si>
  <si>
    <t>WALL BOARD ITEM  +Wd Std   23G</t>
  </si>
  <si>
    <t>100WW971-6200</t>
  </si>
  <si>
    <t>WALL BOARD ITEM +Wd Std    23G</t>
  </si>
  <si>
    <t>100WX031-5000</t>
  </si>
  <si>
    <t>PEARWOOD</t>
  </si>
  <si>
    <t>WALL BOARD ITEM            34G</t>
  </si>
  <si>
    <t>100WX031-6200</t>
  </si>
  <si>
    <t>100WX041-5000</t>
  </si>
  <si>
    <t>ANIGRE</t>
  </si>
  <si>
    <t>100WX041-6200</t>
  </si>
  <si>
    <t>100WX081-5000</t>
  </si>
  <si>
    <t>DARK EXPRESSO</t>
  </si>
  <si>
    <t>GLOBEL</t>
  </si>
  <si>
    <t>100WX081-6200</t>
  </si>
  <si>
    <t>100WX110-5000</t>
  </si>
  <si>
    <t>SMOOTH PADDLIN</t>
  </si>
  <si>
    <t>100WX110-6200</t>
  </si>
  <si>
    <t>100WX125-6200</t>
  </si>
  <si>
    <t>BUSH CALVA APPLE</t>
  </si>
  <si>
    <t>100WX150-6200</t>
  </si>
  <si>
    <t>SABBIA L02 (ONLY 58"</t>
  </si>
  <si>
    <t>100WX160-6200</t>
  </si>
  <si>
    <t>ALISO L03 (ONLY 58"</t>
  </si>
  <si>
    <t>100WX170-5000</t>
  </si>
  <si>
    <t>TIRAMISU</t>
  </si>
  <si>
    <t>100WX170-6200</t>
  </si>
  <si>
    <t>100WX180-6200</t>
  </si>
  <si>
    <t>ONTANO L04 (ONLY 58"</t>
  </si>
  <si>
    <t>100WX190-6200</t>
  </si>
  <si>
    <t>ALNO L05 (ONLY 58" P</t>
  </si>
  <si>
    <t>100WX221-5000</t>
  </si>
  <si>
    <t>LA ASH B/C</t>
  </si>
  <si>
    <t>NOW H MILR, 45 CUT WY081</t>
  </si>
  <si>
    <t>100WX221-6200</t>
  </si>
  <si>
    <t>100WX230-5000</t>
  </si>
  <si>
    <t>OPTO PRINTATRE</t>
  </si>
  <si>
    <t>100WX230-6200</t>
  </si>
  <si>
    <t>100WX240-5000</t>
  </si>
  <si>
    <t>ELECTO PRINTATRE</t>
  </si>
  <si>
    <t>100WX240-6200</t>
  </si>
  <si>
    <t>100WX270-6200</t>
  </si>
  <si>
    <t>SIBERIAN L07 (ONLY 5</t>
  </si>
  <si>
    <t>100WX290-6200</t>
  </si>
  <si>
    <t>KYUSHU L09 (ONLY 58"</t>
  </si>
  <si>
    <t>100WX295-6200</t>
  </si>
  <si>
    <t>SHADOW ELM W92</t>
  </si>
  <si>
    <t>100WX305-6200</t>
  </si>
  <si>
    <t>CHARRED OAK WB1</t>
  </si>
  <si>
    <t>100WX310-5000</t>
  </si>
  <si>
    <t>RED EMBER</t>
  </si>
  <si>
    <t>AIS</t>
  </si>
  <si>
    <t>100WX320-6200</t>
  </si>
  <si>
    <t>AQUATINA WB2</t>
  </si>
  <si>
    <t>100WX330-6200</t>
  </si>
  <si>
    <t>FARMHOUSE WB3</t>
  </si>
  <si>
    <t>LM BROWN B/C</t>
  </si>
  <si>
    <t>100WX345-6200</t>
  </si>
  <si>
    <t>MOD ELM WB4</t>
  </si>
  <si>
    <t>100WX350-6200</t>
  </si>
  <si>
    <t>FORMOSA L10 (ONLY 58</t>
  </si>
  <si>
    <t>100WX360-6200</t>
  </si>
  <si>
    <t>STRAIGHT NOCE WC4</t>
  </si>
  <si>
    <t>100WX421-5000</t>
  </si>
  <si>
    <t>WITCHCRAFT</t>
  </si>
  <si>
    <t>2002 LINE "SWEET 16"  (W292)</t>
  </si>
  <si>
    <t>100WX421-6200</t>
  </si>
  <si>
    <t>100WX440-5000</t>
  </si>
  <si>
    <t>BLACK FOREST CAKE</t>
  </si>
  <si>
    <t>100WX440-6200</t>
  </si>
  <si>
    <t>100WX600-5000</t>
  </si>
  <si>
    <t>MOCHA ALMOND FUDGE</t>
  </si>
  <si>
    <t>2015 NEW LINE</t>
  </si>
  <si>
    <t>100WX600-6200</t>
  </si>
  <si>
    <t>100WX800-5000</t>
  </si>
  <si>
    <t>LUNAR LEGNO</t>
  </si>
  <si>
    <t>CHIYO</t>
  </si>
  <si>
    <t>2012 NEW LINE   (EUROPE)</t>
  </si>
  <si>
    <t>100WX800-6200</t>
  </si>
  <si>
    <t>100WY031-5000</t>
  </si>
  <si>
    <t>FORMAL MAHOGANY</t>
  </si>
  <si>
    <t>WALL BRD ITEM  (R06) - Pioneer</t>
  </si>
  <si>
    <t>100WY031-6200</t>
  </si>
  <si>
    <t>WALL BOARD ITEM            R06</t>
  </si>
  <si>
    <t>100WY071-5000</t>
  </si>
  <si>
    <t>RM BROWN</t>
  </si>
  <si>
    <t>NRB HERMAN MILLER</t>
  </si>
  <si>
    <t>100WY071-6200</t>
  </si>
  <si>
    <t>100WY081-5000</t>
  </si>
  <si>
    <t>RA ASH</t>
  </si>
  <si>
    <t>H MILLER (SAME PRINT AS WX221)</t>
  </si>
  <si>
    <t>100WY081-6200</t>
  </si>
  <si>
    <t>100WY131-5000</t>
  </si>
  <si>
    <t>SILVIO</t>
  </si>
  <si>
    <t>100WY131-6200</t>
  </si>
  <si>
    <t>100WY150-5000</t>
  </si>
  <si>
    <t>MAJESTIC MAGANO</t>
  </si>
  <si>
    <t>100WY150-6200</t>
  </si>
  <si>
    <t>100WY160-5000</t>
  </si>
  <si>
    <t>ABSOLUTE ACAJOU</t>
  </si>
  <si>
    <t>2011 NEW LINE</t>
  </si>
  <si>
    <t>100WY160-6200</t>
  </si>
  <si>
    <t>100WY351-3700</t>
  </si>
  <si>
    <t>JEWEL MAHOGANY</t>
  </si>
  <si>
    <t>100WY351-5000</t>
  </si>
  <si>
    <t>100WY351-6200</t>
  </si>
  <si>
    <t>100WZ150-5000</t>
  </si>
  <si>
    <t>PEANUT BRITTLE</t>
  </si>
  <si>
    <t>100WZ150-6200</t>
  </si>
  <si>
    <t>100WZ160-5000</t>
  </si>
  <si>
    <t>EARL GREY SORBET</t>
  </si>
  <si>
    <t>100WZ160-6200</t>
  </si>
  <si>
    <t>100WZ460-5000</t>
  </si>
  <si>
    <t>TOASTED COCONUT</t>
  </si>
  <si>
    <t>100WZ460-6200</t>
  </si>
  <si>
    <t>110AB240-5000</t>
  </si>
  <si>
    <t>AQUA MINI RAFFIA</t>
  </si>
  <si>
    <t>NEV NL</t>
  </si>
  <si>
    <t>110AB240-6200</t>
  </si>
  <si>
    <t>110AB444-5000</t>
  </si>
  <si>
    <t>TURQUOISE KINETIC</t>
  </si>
  <si>
    <t>110AB444-6200</t>
  </si>
  <si>
    <t>110AE050-5000</t>
  </si>
  <si>
    <t>STEPPING STONE</t>
  </si>
  <si>
    <t>110AE050-6200</t>
  </si>
  <si>
    <t>110AG100-5000</t>
  </si>
  <si>
    <t>GRAY KINETIC</t>
  </si>
  <si>
    <t>110AG100-6200</t>
  </si>
  <si>
    <t>110AG190-5000</t>
  </si>
  <si>
    <t>URBAN LIFE</t>
  </si>
  <si>
    <t>110AG190-6200</t>
  </si>
  <si>
    <t>110AG630-5000</t>
  </si>
  <si>
    <t>SILVER WINGS</t>
  </si>
  <si>
    <t>110AG630-6200</t>
  </si>
  <si>
    <t>110AG700-5000</t>
  </si>
  <si>
    <t>TRAILING STAR</t>
  </si>
  <si>
    <t>110AG790-5000</t>
  </si>
  <si>
    <t>SPANISH MARBLE LC</t>
  </si>
  <si>
    <t>LIFESTYLE COLLECTION</t>
  </si>
  <si>
    <t>110AG790-6200</t>
  </si>
  <si>
    <t>110AG800-5000</t>
  </si>
  <si>
    <t>SILVER DOLLAR</t>
  </si>
  <si>
    <t>110AG800-6200</t>
  </si>
  <si>
    <t>110AG810-5000</t>
  </si>
  <si>
    <t>AZUL ARAN GRANITE LC</t>
  </si>
  <si>
    <t>110AG810-6200</t>
  </si>
  <si>
    <t>110AG872-5000</t>
  </si>
  <si>
    <t>SMOKEY SKIES LC</t>
  </si>
  <si>
    <t>110AG872-6200</t>
  </si>
  <si>
    <t>110AL202-5000</t>
  </si>
  <si>
    <t>GOLDEN ALLUSION 48"</t>
  </si>
  <si>
    <t>30M7464 (LA22)</t>
  </si>
  <si>
    <t>110AL202-6200</t>
  </si>
  <si>
    <t>GOLDEN ALLUSION 62"</t>
  </si>
  <si>
    <t>110AL204-5000</t>
  </si>
  <si>
    <t>CAFE ALLUSION 48"</t>
  </si>
  <si>
    <t>110AL204-6200</t>
  </si>
  <si>
    <t>CAFE ALLUSION 60"</t>
  </si>
  <si>
    <t>110AL302-5000</t>
  </si>
  <si>
    <t>NRB 1-16</t>
  </si>
  <si>
    <t>110AL302-6200</t>
  </si>
  <si>
    <t>DREAMY ALLUSION 60"</t>
  </si>
  <si>
    <t>110AL501-5000</t>
  </si>
  <si>
    <t>110AL502-5000</t>
  </si>
  <si>
    <t>BOTANICAL ALLUSION 5</t>
  </si>
  <si>
    <t>110AL502-6200</t>
  </si>
  <si>
    <t>BOTANICAL ALLUSION 6</t>
  </si>
  <si>
    <t>110ALB01-5000</t>
  </si>
  <si>
    <t>TROPICAL ALLUSION 48</t>
  </si>
  <si>
    <t>110ALB01-6200</t>
  </si>
  <si>
    <t>TROPICAL ALLUSION 60</t>
  </si>
  <si>
    <t>110ALN02-5000</t>
  </si>
  <si>
    <t>DECADENT ALLUSION 48</t>
  </si>
  <si>
    <t>N12 - Pioneer</t>
  </si>
  <si>
    <t>110ALN02-6200</t>
  </si>
  <si>
    <t>DECADENT ALLUSION 62</t>
  </si>
  <si>
    <t>N12</t>
  </si>
  <si>
    <t>110ALT05-5000</t>
  </si>
  <si>
    <t>WALL STREET ALLUSION</t>
  </si>
  <si>
    <t>110ALT05-6200</t>
  </si>
  <si>
    <t>110AM601-6200</t>
  </si>
  <si>
    <t>ALUMINITE 60"</t>
  </si>
  <si>
    <t>30M7486 (LAM6)</t>
  </si>
  <si>
    <t>110AO320-5000</t>
  </si>
  <si>
    <t>TANGERINE MINI RAFFI</t>
  </si>
  <si>
    <t>110AO320-6200</t>
  </si>
  <si>
    <t>110AR283-5000</t>
  </si>
  <si>
    <t>PINK LEMONADE KINETI</t>
  </si>
  <si>
    <t>110AR283-6200</t>
  </si>
  <si>
    <t>110AT510-5000</t>
  </si>
  <si>
    <t>BLISSFUL PATH II</t>
  </si>
  <si>
    <t>110AT510-6200</t>
  </si>
  <si>
    <t>110AT750-5000</t>
  </si>
  <si>
    <t>PENNY LANE</t>
  </si>
  <si>
    <t>110AT750-6200</t>
  </si>
  <si>
    <t>110AT770-5000</t>
  </si>
  <si>
    <t>HARMONY GLOW</t>
  </si>
  <si>
    <t>HEALTHCARE LINE</t>
  </si>
  <si>
    <t>110AT770-6200</t>
  </si>
  <si>
    <t>110AT996-5000</t>
  </si>
  <si>
    <t>BROWN CORALINO MARBL</t>
  </si>
  <si>
    <t>110AT996-6200</t>
  </si>
  <si>
    <t>110AV210-5000</t>
  </si>
  <si>
    <t>URBAN GARDEN</t>
  </si>
  <si>
    <t>110AV210-6200</t>
  </si>
  <si>
    <t>110AV400-5000</t>
  </si>
  <si>
    <t>HARMONY MINT</t>
  </si>
  <si>
    <t>110AV400-6200</t>
  </si>
  <si>
    <t>110AW180-5000</t>
  </si>
  <si>
    <t>WHITE KINETIC</t>
  </si>
  <si>
    <t>110AW180-6200</t>
  </si>
  <si>
    <t>110AY130-5000</t>
  </si>
  <si>
    <t>GOLDEN YEARS</t>
  </si>
  <si>
    <t>110AY130-6200</t>
  </si>
  <si>
    <t>110AY140-5000</t>
  </si>
  <si>
    <t>SILVER METALICA</t>
  </si>
  <si>
    <t>WESTERN MILL FAB</t>
  </si>
  <si>
    <t>110AY150-5000</t>
  </si>
  <si>
    <t>GOLD MINI RAFFIA</t>
  </si>
  <si>
    <t>110AY150-6200</t>
  </si>
  <si>
    <t>110CK202-5000</t>
  </si>
  <si>
    <t>CASA PIEDRA 50"</t>
  </si>
  <si>
    <t>110CK202-6200</t>
  </si>
  <si>
    <t>CASA PIEDRA 62"</t>
  </si>
  <si>
    <t>110CK203-5000</t>
  </si>
  <si>
    <t>CASA ARENA 50"</t>
  </si>
  <si>
    <t>110EM601-5000</t>
  </si>
  <si>
    <t>AGED ELEMENTS 50"</t>
  </si>
  <si>
    <t>JAPAN</t>
  </si>
  <si>
    <t>110EM601-6200</t>
  </si>
  <si>
    <t>AGED ELEMENTS 62"</t>
  </si>
  <si>
    <t>110ES201-5000</t>
  </si>
  <si>
    <t>IVORY ESSENCE 48"</t>
  </si>
  <si>
    <t>110ES201-6200</t>
  </si>
  <si>
    <t>IVORY ESSENCE 60"</t>
  </si>
  <si>
    <t>110ES202-5000</t>
  </si>
  <si>
    <t>110ES203-5000</t>
  </si>
  <si>
    <t>SIENNA ESSENCE 50"</t>
  </si>
  <si>
    <t>30M7487 (LES5)</t>
  </si>
  <si>
    <t>110ES203-6200</t>
  </si>
  <si>
    <t>SIENNA ESSENCE 62"</t>
  </si>
  <si>
    <t>110ES501-5000</t>
  </si>
  <si>
    <t>110ES602-5000</t>
  </si>
  <si>
    <t>CHARCOAL ESSENCE 50"</t>
  </si>
  <si>
    <t>N38</t>
  </si>
  <si>
    <t>110ES602-6200</t>
  </si>
  <si>
    <t>CHARCOAL ESSENCE 60"</t>
  </si>
  <si>
    <t>110ES701-5000</t>
  </si>
  <si>
    <t>WHITE ESSENCE 48"</t>
  </si>
  <si>
    <t>110ES701-6200</t>
  </si>
  <si>
    <t>WHITE ESSENCE 60"</t>
  </si>
  <si>
    <t>110FN102-5000</t>
  </si>
  <si>
    <t>COPPER FUSION II</t>
  </si>
  <si>
    <t>30M7817 (FN102)            N42</t>
  </si>
  <si>
    <t>110FN102-6200</t>
  </si>
  <si>
    <t>110FN601-5000</t>
  </si>
  <si>
    <t>N43</t>
  </si>
  <si>
    <t>110FN601-6200</t>
  </si>
  <si>
    <t>CHARCOAL FUSION 60"</t>
  </si>
  <si>
    <t>110FS201-5000</t>
  </si>
  <si>
    <t>CANYON FISSURE 50"</t>
  </si>
  <si>
    <t>30M7469 (LFS1)</t>
  </si>
  <si>
    <t>110FS201-6200</t>
  </si>
  <si>
    <t>CANYON FISSURE 60"</t>
  </si>
  <si>
    <t>110FS501-6200</t>
  </si>
  <si>
    <t>ALPINE FISSURE 60"</t>
  </si>
  <si>
    <t>NRB 1/16</t>
  </si>
  <si>
    <t>110FS601-5000</t>
  </si>
  <si>
    <t>RUSH</t>
  </si>
  <si>
    <t>2014 NEW LINE</t>
  </si>
  <si>
    <t>110FS601-6200</t>
  </si>
  <si>
    <t>110GA201-5000</t>
  </si>
  <si>
    <t>BEIGE GRAPHITE</t>
  </si>
  <si>
    <t>30M3344</t>
  </si>
  <si>
    <t>110GA601-5000</t>
  </si>
  <si>
    <t>GRAY GRAPHITE</t>
  </si>
  <si>
    <t>30M3326</t>
  </si>
  <si>
    <t>110GC702-5000</t>
  </si>
  <si>
    <t>110GC702-6200</t>
  </si>
  <si>
    <t>GLACIER II 62"</t>
  </si>
  <si>
    <t>30M7992 (LGC1) T68 NRB 1-16</t>
  </si>
  <si>
    <t>110GR204-5000</t>
  </si>
  <si>
    <t>110GR204-6200</t>
  </si>
  <si>
    <t>WOODSTOCK GRANITE 62</t>
  </si>
  <si>
    <t>110GR401-5000</t>
  </si>
  <si>
    <t>MADURA GOLD GRANITE</t>
  </si>
  <si>
    <t>30M7947 (LGR1)</t>
  </si>
  <si>
    <t>110GR401-6200</t>
  </si>
  <si>
    <t>110H5102-5000</t>
  </si>
  <si>
    <t>W GRAY GRANITE</t>
  </si>
  <si>
    <t>30M2979 CORRELL</t>
  </si>
  <si>
    <t>110H5102-6200</t>
  </si>
  <si>
    <t>110H5189-5000</t>
  </si>
  <si>
    <t>WHITE GRANITE</t>
  </si>
  <si>
    <t>30M7530 KAWASOKI NRB 5-19</t>
  </si>
  <si>
    <t>110H5189-6200</t>
  </si>
  <si>
    <t>110HA009-4300</t>
  </si>
  <si>
    <t>AMF BUTCHER BLOCK</t>
  </si>
  <si>
    <t>30M7844</t>
  </si>
  <si>
    <t>110HA032-5000</t>
  </si>
  <si>
    <t>CLOUD SPECKTRUM</t>
  </si>
  <si>
    <t>30M7852</t>
  </si>
  <si>
    <t>110HLB01-5000</t>
  </si>
  <si>
    <t>BLUE SHIMMER HAUTELI</t>
  </si>
  <si>
    <t>110HLB01-6200</t>
  </si>
  <si>
    <t>110HLT01-5000</t>
  </si>
  <si>
    <t>BASIC BLACK HAUTELIN</t>
  </si>
  <si>
    <t>30M7576 (LHL1)</t>
  </si>
  <si>
    <t>110HLT01-6200</t>
  </si>
  <si>
    <t>110HLT04-5000</t>
  </si>
  <si>
    <t>SILVERLINE HAUTELINK</t>
  </si>
  <si>
    <t>30M7654</t>
  </si>
  <si>
    <t>110HLT04-6200</t>
  </si>
  <si>
    <t>110K3000-5000</t>
  </si>
  <si>
    <t>GOTHAM METRO</t>
  </si>
  <si>
    <t>METRO</t>
  </si>
  <si>
    <t>110K3000-6200</t>
  </si>
  <si>
    <t>110KH201-5000</t>
  </si>
  <si>
    <t>MARRAKESH EXPRESS 50</t>
  </si>
  <si>
    <t>110KH201-6200</t>
  </si>
  <si>
    <t>MARRAKESH EXPRESS 60</t>
  </si>
  <si>
    <t>110KM007-6200</t>
  </si>
  <si>
    <t>MG FIGURED KOA</t>
  </si>
  <si>
    <t>MARTIN</t>
  </si>
  <si>
    <t>110KM027-5000</t>
  </si>
  <si>
    <t>FIGURED MAHOGANY</t>
  </si>
  <si>
    <t>110KM027-6200</t>
  </si>
  <si>
    <t>110KM028-6200</t>
  </si>
  <si>
    <t>FIGURED ROSEWOOD</t>
  </si>
  <si>
    <t>110LD601-5000</t>
  </si>
  <si>
    <t>BLACK LODESTONE 48"</t>
  </si>
  <si>
    <t>30M7753 (LLD1)+Wd Std      N62</t>
  </si>
  <si>
    <t>110LD601-6200</t>
  </si>
  <si>
    <t>BLACK LODESTONE 60"</t>
  </si>
  <si>
    <t>110LN601-5000</t>
  </si>
  <si>
    <t>FRAPPE</t>
  </si>
  <si>
    <t>110LN601-6200</t>
  </si>
  <si>
    <t>110LN602-5000</t>
  </si>
  <si>
    <t>KOPI SUSU</t>
  </si>
  <si>
    <t>110LN602-6200</t>
  </si>
  <si>
    <t>110LU301-5000</t>
  </si>
  <si>
    <t>ONCE IN BLUE LUNARIA</t>
  </si>
  <si>
    <t>110LU301-6200</t>
  </si>
  <si>
    <t>110LU601-5000</t>
  </si>
  <si>
    <t>LUNARIA SHADOW 50"</t>
  </si>
  <si>
    <t>110LU601-6200</t>
  </si>
  <si>
    <t>LUNARIA SHADOW 62"</t>
  </si>
  <si>
    <t>110LU602-6200</t>
  </si>
  <si>
    <t>LUNARIA ECLIPSE 62"</t>
  </si>
  <si>
    <t>110M0701-6200</t>
  </si>
  <si>
    <t>110M0740-5000</t>
  </si>
  <si>
    <t>110M0740-6200</t>
  </si>
  <si>
    <t>110M0791-3700</t>
  </si>
  <si>
    <t>30M0791</t>
  </si>
  <si>
    <t>110M0791-5000</t>
  </si>
  <si>
    <t>110M0791-6200</t>
  </si>
  <si>
    <t>110M0812-5000</t>
  </si>
  <si>
    <t>LIGHT TAN OVERLAY</t>
  </si>
  <si>
    <t>30M0812</t>
  </si>
  <si>
    <t>110M0812-6200</t>
  </si>
  <si>
    <t>110M5088-3700</t>
  </si>
  <si>
    <t>130# BLACK CONDUCTIV</t>
  </si>
  <si>
    <t>30M5088</t>
  </si>
  <si>
    <t>110M5088-5000</t>
  </si>
  <si>
    <t>110M5108-5000</t>
  </si>
  <si>
    <t>Low Glare Finish SK</t>
  </si>
  <si>
    <t>30M5108</t>
  </si>
  <si>
    <t>110M5159-4800</t>
  </si>
  <si>
    <t>ALUMINUM 3003-H14 .0</t>
  </si>
  <si>
    <t>**.****</t>
  </si>
  <si>
    <t>110M5160-4200</t>
  </si>
  <si>
    <t>ALUMINUM A3003 .063</t>
  </si>
  <si>
    <t>110M5160-5000</t>
  </si>
  <si>
    <t>110M5191-3800</t>
  </si>
  <si>
    <t>ALUMINUM .100 38X98</t>
  </si>
  <si>
    <t>110M5191-4800</t>
  </si>
  <si>
    <t>ALUMINUM .100 50X98</t>
  </si>
  <si>
    <t>110M5192-3800</t>
  </si>
  <si>
    <t>ALUMINUM .025 X 38 X</t>
  </si>
  <si>
    <t>110M5192-4000</t>
  </si>
  <si>
    <t>ALUMINUM .025 X 50 X</t>
  </si>
  <si>
    <t>THYSS</t>
  </si>
  <si>
    <t>[105252]</t>
  </si>
  <si>
    <t>110M5192-4800</t>
  </si>
  <si>
    <t>110M5192-5000</t>
  </si>
  <si>
    <t>ALUMINUM .025 X 62 X</t>
  </si>
  <si>
    <t>110M5192-5200</t>
  </si>
  <si>
    <t>110M5192-5800</t>
  </si>
  <si>
    <t>110M5196-3000</t>
  </si>
  <si>
    <t>ALUMINUM .050 5052H3</t>
  </si>
  <si>
    <t>110M5196-3200</t>
  </si>
  <si>
    <t>110M5196-3800</t>
  </si>
  <si>
    <t>110M5196-4000</t>
  </si>
  <si>
    <t>110M5196-4800</t>
  </si>
  <si>
    <t>110M5196-5000</t>
  </si>
  <si>
    <t>110M5196-5800</t>
  </si>
  <si>
    <t>110M5208-3700</t>
  </si>
  <si>
    <t>Velvet Finish Releas</t>
  </si>
  <si>
    <t>30M5208</t>
  </si>
  <si>
    <t>110M5208-5000</t>
  </si>
  <si>
    <t>110M5208-6200</t>
  </si>
  <si>
    <t>110M5211-6200</t>
  </si>
  <si>
    <t>Patina Release Paper</t>
  </si>
  <si>
    <t>30M5211</t>
  </si>
  <si>
    <t>110M5218-4000</t>
  </si>
  <si>
    <t>ALUMINUM .090 50X123</t>
  </si>
  <si>
    <t>110M5218-4200</t>
  </si>
  <si>
    <t>ALUMINUM .090 50X146</t>
  </si>
  <si>
    <t>110M5218-4800</t>
  </si>
  <si>
    <t>ALUMINUM .090 50X98</t>
  </si>
  <si>
    <t>110M5218-5200</t>
  </si>
  <si>
    <t>ALUMINUM .090 62X146</t>
  </si>
  <si>
    <t>GRIGIO IMPERIALE MAR</t>
  </si>
  <si>
    <t>110MG093-6200</t>
  </si>
  <si>
    <t>110MH401-5000</t>
  </si>
  <si>
    <t>30M7860 (MH401)</t>
  </si>
  <si>
    <t>110MH401-6200</t>
  </si>
  <si>
    <t>MANHATTAN GLITZ 60"</t>
  </si>
  <si>
    <t>110MH601-5000</t>
  </si>
  <si>
    <t>MANHATTAN GLAMOUR</t>
  </si>
  <si>
    <t>30M7861 (LMH6)</t>
  </si>
  <si>
    <t>110MH601-6200</t>
  </si>
  <si>
    <t>MANHATTAN GLAMOUR 60</t>
  </si>
  <si>
    <t>110MH801-5000</t>
  </si>
  <si>
    <t>MANHATTAN GLEAM 48"</t>
  </si>
  <si>
    <t>110MH801-6200</t>
  </si>
  <si>
    <t>MANHATTAN GLEAM 60"</t>
  </si>
  <si>
    <t>110MR106-6200</t>
  </si>
  <si>
    <t>AUBERGINE MATRIX 60"</t>
  </si>
  <si>
    <t>110MR202-5000</t>
  </si>
  <si>
    <t>GREIGE MATRIX 50"</t>
  </si>
  <si>
    <t>30M7409 (LM22)</t>
  </si>
  <si>
    <t>110MR202-6200</t>
  </si>
  <si>
    <t>GREIGE MATRIX 62"</t>
  </si>
  <si>
    <t>110MR203-5000</t>
  </si>
  <si>
    <t>NEUTRA MATRIX 48"</t>
  </si>
  <si>
    <t>NRB per M.Conti 9/13/22</t>
  </si>
  <si>
    <t>[107560]</t>
  </si>
  <si>
    <t>110MR203-6200</t>
  </si>
  <si>
    <t>NEUTRA MATRIX 62"</t>
  </si>
  <si>
    <t>110MR206-5000</t>
  </si>
  <si>
    <t>STRAW MATRIX</t>
  </si>
  <si>
    <t>30M7386 (LM26)</t>
  </si>
  <si>
    <t>110MR206-6200</t>
  </si>
  <si>
    <t>STRAW MATRIX 62"</t>
  </si>
  <si>
    <t>110MR208-6200</t>
  </si>
  <si>
    <t>BRONZE MATRIX II</t>
  </si>
  <si>
    <t>110MR303-5000</t>
  </si>
  <si>
    <t>FRENCH BLUE MATRIX 5</t>
  </si>
  <si>
    <t>30M7390 (LM33)</t>
  </si>
  <si>
    <t>110MR303-6200</t>
  </si>
  <si>
    <t>FRENCH BLUE MATRIX 6</t>
  </si>
  <si>
    <t>110MR308-5000</t>
  </si>
  <si>
    <t>NAVY MATRIX II 50"</t>
  </si>
  <si>
    <t>110MR308-6200</t>
  </si>
  <si>
    <t>NAVY MATRIX II 62"</t>
  </si>
  <si>
    <t>110MR504-6200</t>
  </si>
  <si>
    <t>SHALE GREEN MATRIX 6</t>
  </si>
  <si>
    <t>N87 NRB 1-16</t>
  </si>
  <si>
    <t>110MR506-6200</t>
  </si>
  <si>
    <t>WINTERGREEN MATRIX 6</t>
  </si>
  <si>
    <t>NRB 2014 DROP</t>
  </si>
  <si>
    <t>110MR507-5000</t>
  </si>
  <si>
    <t>GREEN MATRIX II 48"</t>
  </si>
  <si>
    <t>110MR507-6200</t>
  </si>
  <si>
    <t>GREEN MATRIX II 60"</t>
  </si>
  <si>
    <t>110MR601-3700</t>
  </si>
  <si>
    <t>110MR601-5000</t>
  </si>
  <si>
    <t>GRAY MATRIX 48"</t>
  </si>
  <si>
    <t>30M7324 - Pioneer</t>
  </si>
  <si>
    <t>110MR601-6200</t>
  </si>
  <si>
    <t>GRAY MATRIX 60"</t>
  </si>
  <si>
    <t>30M7324(LM61)(6921)+wd Std N89</t>
  </si>
  <si>
    <t>110MR602-5000</t>
  </si>
  <si>
    <t>CHARCOAL MATRIX 48"</t>
  </si>
  <si>
    <t>30M7399 (LM62)+Wd Std      N90</t>
  </si>
  <si>
    <t>110MR602-6200</t>
  </si>
  <si>
    <t>CHARCOAL MATRIX 60"</t>
  </si>
  <si>
    <t>110MR604-5000</t>
  </si>
  <si>
    <t>STORM GRAY MATRIX 48</t>
  </si>
  <si>
    <t>30M7400 (LM64)</t>
  </si>
  <si>
    <t>110MR604-6200</t>
  </si>
  <si>
    <t>STORM GRAY MATRIX 62</t>
  </si>
  <si>
    <t>110MR605-5000</t>
  </si>
  <si>
    <t>WINTER GRAY MATRIX 4</t>
  </si>
  <si>
    <t>30M7325(LM65)              N92</t>
  </si>
  <si>
    <t>110MR605-6200</t>
  </si>
  <si>
    <t>WINTER GRAY MATRIX 6</t>
  </si>
  <si>
    <t>110MR607-5000</t>
  </si>
  <si>
    <t>PHANTOM GRAY MATRIX</t>
  </si>
  <si>
    <t>30M7402 (LM67)</t>
  </si>
  <si>
    <t>110MR607-6200</t>
  </si>
  <si>
    <t>110MR608-5000</t>
  </si>
  <si>
    <t>BIRCH MATRIX 48"</t>
  </si>
  <si>
    <t>30M7403 (LM68)</t>
  </si>
  <si>
    <t>110MR608-6200</t>
  </si>
  <si>
    <t>BIRCH MATRIX 60"</t>
  </si>
  <si>
    <t>110MR701-5000</t>
  </si>
  <si>
    <t>STUDIO WHITE MATRIX</t>
  </si>
  <si>
    <t>30M7343 (LM71)</t>
  </si>
  <si>
    <t>110MR701-6200</t>
  </si>
  <si>
    <t>110MR702-5000</t>
  </si>
  <si>
    <t>WILD OATS MATRIX</t>
  </si>
  <si>
    <t>30M7445 (LM72)             N97</t>
  </si>
  <si>
    <t>110MR702-6200</t>
  </si>
  <si>
    <t>110MT405-5000</t>
  </si>
  <si>
    <t>TAUPE IMPERIALE MARB</t>
  </si>
  <si>
    <t>110MT405-6200</t>
  </si>
  <si>
    <t>110MT702-5000</t>
  </si>
  <si>
    <t>WHITE MELLOW TONE II</t>
  </si>
  <si>
    <t>110MW580-5000</t>
  </si>
  <si>
    <t>CALCUTTA MARBLE</t>
  </si>
  <si>
    <t>110MW580-6200</t>
  </si>
  <si>
    <t>110MW590-5000</t>
  </si>
  <si>
    <t>WHITE PERITO MARBLE</t>
  </si>
  <si>
    <t>110MW590-6200</t>
  </si>
  <si>
    <t>110MW600-5000</t>
  </si>
  <si>
    <t>WHITE CORALINO MARBL</t>
  </si>
  <si>
    <t>110MW600-6200</t>
  </si>
  <si>
    <t>110MXT02-5000</t>
  </si>
  <si>
    <t>STAINLESS METAL X 48</t>
  </si>
  <si>
    <t>30M7670(LXT2)              N98</t>
  </si>
  <si>
    <t>110MXT02-6200</t>
  </si>
  <si>
    <t>STAINLESS METAL X 60</t>
  </si>
  <si>
    <t>110MXT03-5000</t>
  </si>
  <si>
    <t>SILVER ALU METALX 48</t>
  </si>
  <si>
    <t>30M7750 (6836)+Wd Std      N99</t>
  </si>
  <si>
    <t>110MXT03-6200</t>
  </si>
  <si>
    <t>SILVER ALU METALX 60</t>
  </si>
  <si>
    <t>110PDG02-5000</t>
  </si>
  <si>
    <t>PAINTED WOODLANDS 50</t>
  </si>
  <si>
    <t>110PDG02-6200</t>
  </si>
  <si>
    <t>PAINTED WOODLANDS 60</t>
  </si>
  <si>
    <t>110PH701-5000</t>
  </si>
  <si>
    <t>WHITE PHANTASY 50"</t>
  </si>
  <si>
    <t>30M7534 (LPH7) JAPAN</t>
  </si>
  <si>
    <t>110PH701-6200</t>
  </si>
  <si>
    <t>WHITE PHANTASY 62"</t>
  </si>
  <si>
    <t>110PO701-5000</t>
  </si>
  <si>
    <t>PARIS WHITE POTTERWA</t>
  </si>
  <si>
    <t>30M3474</t>
  </si>
  <si>
    <t>110PO701-6200</t>
  </si>
  <si>
    <t>110PR202-5000</t>
  </si>
  <si>
    <t>PAPIER AU LAIT 48"</t>
  </si>
  <si>
    <t>30M7864 (LPR2)</t>
  </si>
  <si>
    <t>110PR202-6200</t>
  </si>
  <si>
    <t>PAPIER AU LAIT 60"</t>
  </si>
  <si>
    <t>110PR401-5000</t>
  </si>
  <si>
    <t>PAPIER ST TROPEZ 50"</t>
  </si>
  <si>
    <t>110PR401-6200</t>
  </si>
  <si>
    <t>PAPIER ST TROPEZ 60"</t>
  </si>
  <si>
    <t>110PR501-5000</t>
  </si>
  <si>
    <t>110PR501-6200</t>
  </si>
  <si>
    <t>PAPIER LUNE 60"</t>
  </si>
  <si>
    <t>110PZ401-6200</t>
  </si>
  <si>
    <t>SOLARE PIAZZA 60"</t>
  </si>
  <si>
    <t>110RE401-5000</t>
  </si>
  <si>
    <t>URBAN RENEWAL</t>
  </si>
  <si>
    <t>30M7723 (LET4) NRB 1-16</t>
  </si>
  <si>
    <t>110RG601-5000</t>
  </si>
  <si>
    <t>RIO HAZE 50"</t>
  </si>
  <si>
    <t>110RK201-5000</t>
  </si>
  <si>
    <t>CLASSIC ROCK 48"</t>
  </si>
  <si>
    <t>110RK201-6200</t>
  </si>
  <si>
    <t>CLASSIC ROCK 60"</t>
  </si>
  <si>
    <t>110RK202-5000</t>
  </si>
  <si>
    <t>ROLLIN' ROCK 48"</t>
  </si>
  <si>
    <t>110RK202-6200</t>
  </si>
  <si>
    <t>ROLLIN' ROCK 60"</t>
  </si>
  <si>
    <t>110RK401-5000</t>
  </si>
  <si>
    <t>HOUSE ROCK 50"</t>
  </si>
  <si>
    <t>30M7858 (LRK4)             L22</t>
  </si>
  <si>
    <t>110RK401-6200</t>
  </si>
  <si>
    <t>HOUSE ROCK</t>
  </si>
  <si>
    <t>110RK601-5000</t>
  </si>
  <si>
    <t>110RK603-5000</t>
  </si>
  <si>
    <t>VERDICTS IN</t>
  </si>
  <si>
    <t>110RK603-6200</t>
  </si>
  <si>
    <t>110RK604-5000</t>
  </si>
  <si>
    <t>VIC'S VENUE</t>
  </si>
  <si>
    <t>110RK604-6200</t>
  </si>
  <si>
    <t>110RK702-5000</t>
  </si>
  <si>
    <t>VETO PROOF</t>
  </si>
  <si>
    <t>110RK702-6200</t>
  </si>
  <si>
    <t>110S1015-5000</t>
  </si>
  <si>
    <t>30M3458</t>
  </si>
  <si>
    <t>110S1015-6200</t>
  </si>
  <si>
    <t>110S2003-5000</t>
  </si>
  <si>
    <t>CHAMPAGNE</t>
  </si>
  <si>
    <t>30M3462 NRB 1-16</t>
  </si>
  <si>
    <t>110S2003-6200</t>
  </si>
  <si>
    <t>110S2037-5000</t>
  </si>
  <si>
    <t>30M3450</t>
  </si>
  <si>
    <t>110S2037-6200</t>
  </si>
  <si>
    <t>110S2063-5000</t>
  </si>
  <si>
    <t>NATURAL BEIGE</t>
  </si>
  <si>
    <t>30M3464</t>
  </si>
  <si>
    <t>110S2063-6200</t>
  </si>
  <si>
    <t>110S2085-5000</t>
  </si>
  <si>
    <t>ENGLISH LACE</t>
  </si>
  <si>
    <t>30M3395</t>
  </si>
  <si>
    <t>110S2085-6200</t>
  </si>
  <si>
    <t>110S2114-6200</t>
  </si>
  <si>
    <t>JUTE II</t>
  </si>
  <si>
    <t>110S2115-5000</t>
  </si>
  <si>
    <t>COCOA BEAN 48"</t>
  </si>
  <si>
    <t>110S2115-6200</t>
  </si>
  <si>
    <t>COCOA BEAN 60"</t>
  </si>
  <si>
    <t>110S3023-5000</t>
  </si>
  <si>
    <t>GRAPHITE BLUE</t>
  </si>
  <si>
    <t>30M3556</t>
  </si>
  <si>
    <t>110S3023-6200</t>
  </si>
  <si>
    <t>110S3068-5000</t>
  </si>
  <si>
    <t>SUNKEN TREASURE 48"</t>
  </si>
  <si>
    <t>110S3068-6200</t>
  </si>
  <si>
    <t>SUNKEN TREASURE 60"</t>
  </si>
  <si>
    <t>110S3069-5000</t>
  </si>
  <si>
    <t>SOFT ISLAND BREEZE 4</t>
  </si>
  <si>
    <t>Brought back 10-19</t>
  </si>
  <si>
    <t>110S3069-6200</t>
  </si>
  <si>
    <t>SOFT ISLAND BREEZE 6</t>
  </si>
  <si>
    <t>Brought back 2019</t>
  </si>
  <si>
    <t>110S3070-5000</t>
  </si>
  <si>
    <t>CARIBBEAN BLUE 48"</t>
  </si>
  <si>
    <t>110S3070-6200</t>
  </si>
  <si>
    <t>CARIBBEAN BLUE 60"</t>
  </si>
  <si>
    <t>110S4025-5000</t>
  </si>
  <si>
    <t>HONEY PLANTAIN 48"</t>
  </si>
  <si>
    <t>110S4025-6200</t>
  </si>
  <si>
    <t>HONEY PLANTAIN 60"</t>
  </si>
  <si>
    <t>110S5057-5000</t>
  </si>
  <si>
    <t>KOOL KIWI 48"</t>
  </si>
  <si>
    <t>110S5057-6200</t>
  </si>
  <si>
    <t>KOOL KIWI 60"</t>
  </si>
  <si>
    <t>110S5058-5000</t>
  </si>
  <si>
    <t>COCONUT BARK 48"</t>
  </si>
  <si>
    <t>110S5059-5000</t>
  </si>
  <si>
    <t>AQUA LAGOON 48"</t>
  </si>
  <si>
    <t>110S5059-6200</t>
  </si>
  <si>
    <t>AQUA LAGOON 60"</t>
  </si>
  <si>
    <t>110S6037-5000</t>
  </si>
  <si>
    <t>STUDIO GRAY</t>
  </si>
  <si>
    <t>30M3501</t>
  </si>
  <si>
    <t>110S6037-6200</t>
  </si>
  <si>
    <t>NRB 30M3501</t>
  </si>
  <si>
    <t>110S6053-5000</t>
  </si>
  <si>
    <t>JETT BLACK</t>
  </si>
  <si>
    <t>110S6053-6200</t>
  </si>
  <si>
    <t>30M3384</t>
  </si>
  <si>
    <t>110S6055-5000</t>
  </si>
  <si>
    <t>FOLKSTONE</t>
  </si>
  <si>
    <t>30M3410 USED FOR SDL GRAYSTONE</t>
  </si>
  <si>
    <t>110S6055-6200</t>
  </si>
  <si>
    <t>110S7024-3700</t>
  </si>
  <si>
    <t>CHALK WHITE</t>
  </si>
  <si>
    <t>30M3448</t>
  </si>
  <si>
    <t>110S7024-5000</t>
  </si>
  <si>
    <t>110S7024-6200</t>
  </si>
  <si>
    <t>110S8001-5000</t>
  </si>
  <si>
    <t>FRESH PAPAYA 48"</t>
  </si>
  <si>
    <t>110S8001-6200</t>
  </si>
  <si>
    <t>FRESH PAPAYA 60"</t>
  </si>
  <si>
    <t>110S8002-5000</t>
  </si>
  <si>
    <t>110S8002-6200</t>
  </si>
  <si>
    <t>SPICY FLAVORS 60"</t>
  </si>
  <si>
    <t>110S8003-5000</t>
  </si>
  <si>
    <t>SUMMER NIGHT GLOW 48</t>
  </si>
  <si>
    <t>110S8003-6200</t>
  </si>
  <si>
    <t>SUMMER NIGHT GLOW 60</t>
  </si>
  <si>
    <t>110S9001-5000</t>
  </si>
  <si>
    <t>ISLAND ORCHID 48"</t>
  </si>
  <si>
    <t>110SB030-5000</t>
  </si>
  <si>
    <t>FIJI</t>
  </si>
  <si>
    <t>110SB030-6200</t>
  </si>
  <si>
    <t>110SB316-5000</t>
  </si>
  <si>
    <t>REGIMENTAL BLUE 50"</t>
  </si>
  <si>
    <t>30M3469 (L316)</t>
  </si>
  <si>
    <t>110SB316-6200</t>
  </si>
  <si>
    <t>REGIMENTAL BLUE 62"</t>
  </si>
  <si>
    <t>110SB322-5000</t>
  </si>
  <si>
    <t>DEEP BLUE 50"</t>
  </si>
  <si>
    <t>30M3498 (L322)</t>
  </si>
  <si>
    <t>110SB322-6200</t>
  </si>
  <si>
    <t>DEEP BLUE 62"</t>
  </si>
  <si>
    <t>110SB348-5000</t>
  </si>
  <si>
    <t>PATRIOT BLUE 48"</t>
  </si>
  <si>
    <t>30M3516 (L348)</t>
  </si>
  <si>
    <t>110SB348-6200</t>
  </si>
  <si>
    <t>PATRIOT BLUE 62"</t>
  </si>
  <si>
    <t>110SE601-3700</t>
  </si>
  <si>
    <t>BLACK 36"</t>
  </si>
  <si>
    <t>110SE601-5000</t>
  </si>
  <si>
    <t>BLACK 50"</t>
  </si>
  <si>
    <t>30M3449 (909)</t>
  </si>
  <si>
    <t>110SE601-6200</t>
  </si>
  <si>
    <t>BLACK 62"</t>
  </si>
  <si>
    <t>110SG004-5000</t>
  </si>
  <si>
    <t>GARDEN MIST 48"</t>
  </si>
  <si>
    <t>30M3566 (LSG4)</t>
  </si>
  <si>
    <t>110SG004-6200</t>
  </si>
  <si>
    <t>GARDEN MIST 62"</t>
  </si>
  <si>
    <t>110SG552-5000</t>
  </si>
  <si>
    <t>WOODVINE</t>
  </si>
  <si>
    <t>30M3575 (L552)</t>
  </si>
  <si>
    <t>110SG552-6200</t>
  </si>
  <si>
    <t>110SH202-5000</t>
  </si>
  <si>
    <t>110SH202-6200</t>
  </si>
  <si>
    <t>MAIZE SHIBORI 62"</t>
  </si>
  <si>
    <t>110SL201-5000</t>
  </si>
  <si>
    <t>PUMICE PIETRA 50"</t>
  </si>
  <si>
    <t>110SL201-6200</t>
  </si>
  <si>
    <t>PUMICE PIETRA 60"</t>
  </si>
  <si>
    <t>110SL602-5000</t>
  </si>
  <si>
    <t>HYBRID SLATE 50"</t>
  </si>
  <si>
    <t>110SL602-6200</t>
  </si>
  <si>
    <t>HYBRID SLATE 60"</t>
  </si>
  <si>
    <t>110SL603-5000</t>
  </si>
  <si>
    <t>RARE EARTH SLATE 50"</t>
  </si>
  <si>
    <t>110SL603-6200</t>
  </si>
  <si>
    <t>RARE EARTH SLATE 60"</t>
  </si>
  <si>
    <t>110SL604-5000</t>
  </si>
  <si>
    <t>PEWTER PIETRA 50"</t>
  </si>
  <si>
    <t>2011 NEW LINE NRB 1-16</t>
  </si>
  <si>
    <t>110SL604-6200</t>
  </si>
  <si>
    <t>PEWTER PIETRA 60"</t>
  </si>
  <si>
    <t>110SL701-5000</t>
  </si>
  <si>
    <t>POLAR PIETRA 50"</t>
  </si>
  <si>
    <t>110SL701-6200</t>
  </si>
  <si>
    <t>POLAR PIETRA 60"</t>
  </si>
  <si>
    <t>110SN210-5000</t>
  </si>
  <si>
    <t>BASIC SOLID</t>
  </si>
  <si>
    <t>30M3598 (L211)</t>
  </si>
  <si>
    <t>110SN210-6200</t>
  </si>
  <si>
    <t>110SN219-3700</t>
  </si>
  <si>
    <t>BEIGE</t>
  </si>
  <si>
    <t>30M3496</t>
  </si>
  <si>
    <t>110SN219-5000</t>
  </si>
  <si>
    <t>BEIGE 50"</t>
  </si>
  <si>
    <t>30M3496 (L219)             L29</t>
  </si>
  <si>
    <t>110SN219-6200</t>
  </si>
  <si>
    <t>BEIGE 62"</t>
  </si>
  <si>
    <t>110SN250-5000</t>
  </si>
  <si>
    <t>110SN250-6200</t>
  </si>
  <si>
    <t>PORCELAIN 62"</t>
  </si>
  <si>
    <t>110SN269-5000</t>
  </si>
  <si>
    <t>BETHANY BEIGE 48"</t>
  </si>
  <si>
    <t>30M3465 (L269)</t>
  </si>
  <si>
    <t>110SN269-6200</t>
  </si>
  <si>
    <t>BETHANY BEIGE 60"</t>
  </si>
  <si>
    <t>110SN284-5000</t>
  </si>
  <si>
    <t>FOUNDRY 50"</t>
  </si>
  <si>
    <t>30M3468 (L284)</t>
  </si>
  <si>
    <t>110SN284-6200</t>
  </si>
  <si>
    <t>FOUNDRY 60"</t>
  </si>
  <si>
    <t>110SN286-5000</t>
  </si>
  <si>
    <t>JUTE 48"</t>
  </si>
  <si>
    <t>30M3217 (L286)</t>
  </si>
  <si>
    <t>110SN286-6200</t>
  </si>
  <si>
    <t>JUTE 60"</t>
  </si>
  <si>
    <t>110SN293-5000</t>
  </si>
  <si>
    <t>SANDCASTLE 48"</t>
  </si>
  <si>
    <t>30M3555 (L293)</t>
  </si>
  <si>
    <t>110SN293-6200</t>
  </si>
  <si>
    <t>SANDCASTLE 62"</t>
  </si>
  <si>
    <t>110SO330-5000</t>
  </si>
  <si>
    <t>CAFE SIENNA 50"</t>
  </si>
  <si>
    <t>110SO330-6200</t>
  </si>
  <si>
    <t>CAFE SIENNA 62"</t>
  </si>
  <si>
    <t>110SP417-5000</t>
  </si>
  <si>
    <t>TYRIAN PURPLE</t>
  </si>
  <si>
    <t>110SP417-6200</t>
  </si>
  <si>
    <t>110SR127-5000</t>
  </si>
  <si>
    <t>LIBERTY RED 48"</t>
  </si>
  <si>
    <t>30M3460 (L127)             L27</t>
  </si>
  <si>
    <t>110SR127-6200</t>
  </si>
  <si>
    <t>LIBERTY RED 62"</t>
  </si>
  <si>
    <t>110SR149-5000</t>
  </si>
  <si>
    <t>CARMEN RED 50"</t>
  </si>
  <si>
    <t>110SR149-6200</t>
  </si>
  <si>
    <t>CARMEN RED 62"</t>
  </si>
  <si>
    <t>110SR510-5000</t>
  </si>
  <si>
    <t>BLUSHING PINK</t>
  </si>
  <si>
    <t>110SR510-6200</t>
  </si>
  <si>
    <t>110SR524-5000</t>
  </si>
  <si>
    <t>PASSIONFRUIT</t>
  </si>
  <si>
    <t>2016 WALLBOARD</t>
  </si>
  <si>
    <t>110SR524-6200</t>
  </si>
  <si>
    <t>110ST003-5000</t>
  </si>
  <si>
    <t>DOVE GRAY</t>
  </si>
  <si>
    <t>30M3472 (L603)</t>
  </si>
  <si>
    <t>110ST003-6200</t>
  </si>
  <si>
    <t>110ST012-5000</t>
  </si>
  <si>
    <t>NEUTRAL GRAY 48"</t>
  </si>
  <si>
    <t>110ST012-6200</t>
  </si>
  <si>
    <t>NEUTRAL GRAY 60"</t>
  </si>
  <si>
    <t>110ST014-5000</t>
  </si>
  <si>
    <t>BLACK PEARL 48"</t>
  </si>
  <si>
    <t>110ST014-6200</t>
  </si>
  <si>
    <t>BLACK PEARL 60"</t>
  </si>
  <si>
    <t>110ST018-6200</t>
  </si>
  <si>
    <t>CHINCHILLA</t>
  </si>
  <si>
    <t>30M3475 (L618) L56 NRB 1-16</t>
  </si>
  <si>
    <t>110ST031-5000</t>
  </si>
  <si>
    <t>FOSSIL GRAY</t>
  </si>
  <si>
    <t>30M3507 (L631)</t>
  </si>
  <si>
    <t>110ST031-6200</t>
  </si>
  <si>
    <t>30M3507 (L631) - Pioneer</t>
  </si>
  <si>
    <t>110ST033-5000</t>
  </si>
  <si>
    <t>RAVEN 48"</t>
  </si>
  <si>
    <t>30M3476 (L633) - Pioneer</t>
  </si>
  <si>
    <t>110ST033-6200</t>
  </si>
  <si>
    <t>RAVEN 60"</t>
  </si>
  <si>
    <t>30M3476 (L633)</t>
  </si>
  <si>
    <t>110ST047-5000</t>
  </si>
  <si>
    <t>SANDPIPER 48"</t>
  </si>
  <si>
    <t>110ST047-6200</t>
  </si>
  <si>
    <t>SANDPIPER 60"</t>
  </si>
  <si>
    <t>110ST052-5000</t>
  </si>
  <si>
    <t>STRING 50"</t>
  </si>
  <si>
    <t>110ST052-6200</t>
  </si>
  <si>
    <t>STRING 62"</t>
  </si>
  <si>
    <t>110ST054-5000</t>
  </si>
  <si>
    <t>WROUGHT IRON 48"</t>
  </si>
  <si>
    <t>30M3525 (L654)             L67</t>
  </si>
  <si>
    <t>110ST054-6200</t>
  </si>
  <si>
    <t>WROUGHT IRON 62"</t>
  </si>
  <si>
    <t>110ST202-5000</t>
  </si>
  <si>
    <t>GOLDEN STARLIGHT</t>
  </si>
  <si>
    <t>30M7570</t>
  </si>
  <si>
    <t>110ST600-5000</t>
  </si>
  <si>
    <t>TAN BASEPAPER (PINDE</t>
  </si>
  <si>
    <t>110ST601-5000</t>
  </si>
  <si>
    <t>GRAY STARLITE</t>
  </si>
  <si>
    <t>30M7359</t>
  </si>
  <si>
    <t>110ST620-5000</t>
  </si>
  <si>
    <t>GUN METAL 50"</t>
  </si>
  <si>
    <t>30M3509 (L620)</t>
  </si>
  <si>
    <t>110ST620-6200</t>
  </si>
  <si>
    <t>GUN METAL 62"</t>
  </si>
  <si>
    <t>110ST623-5000</t>
  </si>
  <si>
    <t>PLATINUM GRAY 50"</t>
  </si>
  <si>
    <t>30M3527(L623)              L58</t>
  </si>
  <si>
    <t>110ST623-6200</t>
  </si>
  <si>
    <t>PLATINUM GRAY 62"</t>
  </si>
  <si>
    <t>30M3527(L623)  L58 - Pioneer</t>
  </si>
  <si>
    <t>110ST624-5000</t>
  </si>
  <si>
    <t>CORDIAL GRAY</t>
  </si>
  <si>
    <t>110ST624-6200</t>
  </si>
  <si>
    <t>110ST627-5000</t>
  </si>
  <si>
    <t>MARITIME GRAY 48"</t>
  </si>
  <si>
    <t>30M3506 (L627)</t>
  </si>
  <si>
    <t>110ST627-6200</t>
  </si>
  <si>
    <t>MARITIME GRAY 60"</t>
  </si>
  <si>
    <t>110SV355-5000</t>
  </si>
  <si>
    <t>VIOLINE 48"</t>
  </si>
  <si>
    <t>110SV355-6200</t>
  </si>
  <si>
    <t>VIOLINE 60"</t>
  </si>
  <si>
    <t>110SV730-5000</t>
  </si>
  <si>
    <t>PEAR GREEN</t>
  </si>
  <si>
    <t>110SV730-6200</t>
  </si>
  <si>
    <t>110SV741-5000</t>
  </si>
  <si>
    <t>LIMEADE</t>
  </si>
  <si>
    <t>110SV741-6200</t>
  </si>
  <si>
    <t>110SW704-5000</t>
  </si>
  <si>
    <t>SOLID WHITE 48"</t>
  </si>
  <si>
    <t>30M3477 (L704)             L68</t>
  </si>
  <si>
    <t>110SW704-6200</t>
  </si>
  <si>
    <t>SOLID WHITE 60"</t>
  </si>
  <si>
    <t>30M3477 (L704)   L68 - Pioneer</t>
  </si>
  <si>
    <t>110SW705-3700</t>
  </si>
  <si>
    <t>ANTIQUE WHITE</t>
  </si>
  <si>
    <t>30M3478</t>
  </si>
  <si>
    <t>110SW705-5000</t>
  </si>
  <si>
    <t>30M3478 (L705)</t>
  </si>
  <si>
    <t>110SW705-6200</t>
  </si>
  <si>
    <t>110SW725-5000</t>
  </si>
  <si>
    <t>NEUTRA 48"</t>
  </si>
  <si>
    <t>30M3479 (L725)             L71</t>
  </si>
  <si>
    <t>110SW725-6200</t>
  </si>
  <si>
    <t>NEUTRA 62"</t>
  </si>
  <si>
    <t>110SW727-5000</t>
  </si>
  <si>
    <t>SMOKY WHITE 48"</t>
  </si>
  <si>
    <t>30M3481 (L727)</t>
  </si>
  <si>
    <t>110SW727-6200</t>
  </si>
  <si>
    <t>SMOKY WHITE 62"</t>
  </si>
  <si>
    <t>30M3532 (L732)</t>
  </si>
  <si>
    <t>110SW732-5000</t>
  </si>
  <si>
    <t>BONE WHITE</t>
  </si>
  <si>
    <t>110SW732-6200</t>
  </si>
  <si>
    <t>BONE WHITE 60"</t>
  </si>
  <si>
    <t>30M3532 (L732) - Pioneer</t>
  </si>
  <si>
    <t>110SW736-5000</t>
  </si>
  <si>
    <t>PRECISION WHITE 48"</t>
  </si>
  <si>
    <t>30M3484 (L736)</t>
  </si>
  <si>
    <t>[108625]</t>
  </si>
  <si>
    <t>110SW736-6200</t>
  </si>
  <si>
    <t>PRECISION WHITE 62"</t>
  </si>
  <si>
    <t>110SW738-5000</t>
  </si>
  <si>
    <t>MALLOW WHITE 48"</t>
  </si>
  <si>
    <t>110SW738-6200</t>
  </si>
  <si>
    <t>MALLOW WHITE 60"</t>
  </si>
  <si>
    <t>110SW740-5000</t>
  </si>
  <si>
    <t>SPA WHITE 48"</t>
  </si>
  <si>
    <t>30M3508 (L740)</t>
  </si>
  <si>
    <t>110SW740-6200</t>
  </si>
  <si>
    <t>SPA WHITE 62"</t>
  </si>
  <si>
    <t>30M3508 (L740) - Pioneer</t>
  </si>
  <si>
    <t>110SW775-6200</t>
  </si>
  <si>
    <t>SOUTHERN CHIC WT TFL</t>
  </si>
  <si>
    <t>HM</t>
  </si>
  <si>
    <t>110SW832-5000</t>
  </si>
  <si>
    <t>CHALK WHITE LP</t>
  </si>
  <si>
    <t>110SW832-6200</t>
  </si>
  <si>
    <t>110SY422-5000</t>
  </si>
  <si>
    <t>SUNRAY</t>
  </si>
  <si>
    <t>30M3519 (L422)</t>
  </si>
  <si>
    <t>110SY422-6200</t>
  </si>
  <si>
    <t>SUNRAY 62"</t>
  </si>
  <si>
    <t>110SY925-5000</t>
  </si>
  <si>
    <t>MARIGOLD FIELDS</t>
  </si>
  <si>
    <t>110SY925-6200</t>
  </si>
  <si>
    <t>110TM201-5000</t>
  </si>
  <si>
    <t>OCHRE TEMPERA 50"</t>
  </si>
  <si>
    <t>30M7411 (LTM3)             L86</t>
  </si>
  <si>
    <t>110TM201-6200</t>
  </si>
  <si>
    <t>OCHRE TEMPERA 62"</t>
  </si>
  <si>
    <t>110TM202-6200</t>
  </si>
  <si>
    <t>UMBER TEMPERA 62"</t>
  </si>
  <si>
    <t>NRB 30M7642 (LTM4)</t>
  </si>
  <si>
    <t>110TQ201-6200</t>
  </si>
  <si>
    <t>CREME TRANQUILITY 60</t>
  </si>
  <si>
    <t>NRB 30M7471 (LTQ3)</t>
  </si>
  <si>
    <t>110TQ601-5000</t>
  </si>
  <si>
    <t>GRAY TRANQUILITY 48"</t>
  </si>
  <si>
    <t>110TQ601-6200</t>
  </si>
  <si>
    <t>GRAY TRANQUILITY 60"</t>
  </si>
  <si>
    <t>110VA201-5000</t>
  </si>
  <si>
    <t>VISABLE VAVA</t>
  </si>
  <si>
    <t>110VA201-6200</t>
  </si>
  <si>
    <t>110VA202-5000</t>
  </si>
  <si>
    <t>VISION VAVA</t>
  </si>
  <si>
    <t>110VA202-6200</t>
  </si>
  <si>
    <t>110VA501-5000</t>
  </si>
  <si>
    <t>Serene Stardom 20210</t>
  </si>
  <si>
    <t>110VA501-6200</t>
  </si>
  <si>
    <t>110VA502-5000</t>
  </si>
  <si>
    <t>Easy Elegance 202110</t>
  </si>
  <si>
    <t>110VA502-6200</t>
  </si>
  <si>
    <t>110VA601-5000</t>
  </si>
  <si>
    <t>Calm Distinction 202</t>
  </si>
  <si>
    <t>110VA601-6200</t>
  </si>
  <si>
    <t>110VA702-5000</t>
  </si>
  <si>
    <t>Cool Chic 2021076</t>
  </si>
  <si>
    <t>110VA702-6200</t>
  </si>
  <si>
    <t>110VE601-5000</t>
  </si>
  <si>
    <t>VETA SHADOWS</t>
  </si>
  <si>
    <t>110VE601-6200</t>
  </si>
  <si>
    <t>110VS201-5000</t>
  </si>
  <si>
    <t>VOUS FAWN</t>
  </si>
  <si>
    <t>110VS201-6200</t>
  </si>
  <si>
    <t>110VS202-5000</t>
  </si>
  <si>
    <t>VANILLA BEAN</t>
  </si>
  <si>
    <t>110VS202-6200</t>
  </si>
  <si>
    <t>110VS203-6200</t>
  </si>
  <si>
    <t>VARNISH</t>
  </si>
  <si>
    <t>110VS502-5000</t>
  </si>
  <si>
    <t>VOUS SERENE</t>
  </si>
  <si>
    <t>DMI 3/08</t>
  </si>
  <si>
    <t>110VS502-6200</t>
  </si>
  <si>
    <t>110VS601-5000</t>
  </si>
  <si>
    <t>VOUS METAL</t>
  </si>
  <si>
    <t>110VS601-6200</t>
  </si>
  <si>
    <t>110VS602-5000</t>
  </si>
  <si>
    <t>VOUS TEMPEST</t>
  </si>
  <si>
    <t>110VS602-6200</t>
  </si>
  <si>
    <t>110VU601-5000</t>
  </si>
  <si>
    <t>Adaptable Muse L1172</t>
  </si>
  <si>
    <t>110VU601-6200</t>
  </si>
  <si>
    <t>110W4511-6200</t>
  </si>
  <si>
    <t>W CAROLINA OAK</t>
  </si>
  <si>
    <t>30M2826 CAROLINA FURNITURE</t>
  </si>
  <si>
    <t>110W7270-5000</t>
  </si>
  <si>
    <t>LIGHT SAVANNAH OAK</t>
  </si>
  <si>
    <t>110W7270-6200</t>
  </si>
  <si>
    <t>110W8110-5000</t>
  </si>
  <si>
    <t>GOLDEN ASH</t>
  </si>
  <si>
    <t>30M7429</t>
  </si>
  <si>
    <t>110W8110-6200</t>
  </si>
  <si>
    <t>110WA300-5000</t>
  </si>
  <si>
    <t>TRANQUILITY</t>
  </si>
  <si>
    <t>110WA300-6200</t>
  </si>
  <si>
    <t>110WA301-5000</t>
  </si>
  <si>
    <t>GOLDEN ANIGRE</t>
  </si>
  <si>
    <t>30M7590 (LWA1)             19N</t>
  </si>
  <si>
    <t>110WA301-6200</t>
  </si>
  <si>
    <t>GOLDEN ANIGRE 60"</t>
  </si>
  <si>
    <t>30M7591 (20N)</t>
  </si>
  <si>
    <t>110WA302-5000</t>
  </si>
  <si>
    <t>TANGIER ANIGRE 50"</t>
  </si>
  <si>
    <t>110WA302-6200</t>
  </si>
  <si>
    <t>TANGIER ANIGRE 62"</t>
  </si>
  <si>
    <t>30M7591(20N)</t>
  </si>
  <si>
    <t>110WC013-5000</t>
  </si>
  <si>
    <t>BLOSSOM CHERRY</t>
  </si>
  <si>
    <t>30M7427 HPL ONLY</t>
  </si>
  <si>
    <t>110WC013-6200</t>
  </si>
  <si>
    <t>30M7427 HPL ONLY - Pioneer</t>
  </si>
  <si>
    <t>[108947]</t>
  </si>
  <si>
    <t>110WC022-5000</t>
  </si>
  <si>
    <t>SOVEREIGN CHERRY 50"</t>
  </si>
  <si>
    <t>HPL ONLY 30M7548</t>
  </si>
  <si>
    <t>110WC022-6200</t>
  </si>
  <si>
    <t>SOVEREIGN CHERRY 62"</t>
  </si>
  <si>
    <t>110WC038-5000</t>
  </si>
  <si>
    <t>CROWN CHERRY</t>
  </si>
  <si>
    <t>HPL ONLY 30M7476</t>
  </si>
  <si>
    <t>110WC038-6200</t>
  </si>
  <si>
    <t>110WC070-6200</t>
  </si>
  <si>
    <t>SHEFFIELD CHERRY</t>
  </si>
  <si>
    <t>30M7991</t>
  </si>
  <si>
    <t>110WC160-6200</t>
  </si>
  <si>
    <t>NORSE CHERRY</t>
  </si>
  <si>
    <t>VIKING</t>
  </si>
  <si>
    <t>110WC200-5000</t>
  </si>
  <si>
    <t>CALUNA CHERRY 50"</t>
  </si>
  <si>
    <t>110WC200-6200</t>
  </si>
  <si>
    <t>CALUNA CHERRY 62"</t>
  </si>
  <si>
    <t>110WC291-5000</t>
  </si>
  <si>
    <t>SOVEREIGN CHERRY</t>
  </si>
  <si>
    <t>LW25L (LPL ONLY) NRB</t>
  </si>
  <si>
    <t>110WC301-6200</t>
  </si>
  <si>
    <t>CAMBRIDGE CHERRY 62"</t>
  </si>
  <si>
    <t>30M7842 (3111)+Wd Std    71G</t>
  </si>
  <si>
    <t>110WC341-5000</t>
  </si>
  <si>
    <t>WILD CHERRY 50"</t>
  </si>
  <si>
    <t>3149 PLSWD STD             12G</t>
  </si>
  <si>
    <t>110WC341-6200</t>
  </si>
  <si>
    <t>WILD CHERRY 62"</t>
  </si>
  <si>
    <t>110WD001-5000</t>
  </si>
  <si>
    <t>KENTUCKY KRAFTWOOD 5</t>
  </si>
  <si>
    <t>Pioneer JAPAN NRB</t>
  </si>
  <si>
    <t>110WE270-5000</t>
  </si>
  <si>
    <t>MEDITATION ELM</t>
  </si>
  <si>
    <t>110WE270-6200</t>
  </si>
  <si>
    <t>110WF001-5000</t>
  </si>
  <si>
    <t>EDENWOOD 48"</t>
  </si>
  <si>
    <t>30M7558 (LWF1)             24N</t>
  </si>
  <si>
    <t>110WF001-6200</t>
  </si>
  <si>
    <t>EDENWOOD 60"</t>
  </si>
  <si>
    <t>30M7558(LWF1)              24N</t>
  </si>
  <si>
    <t>110WF002-5000</t>
  </si>
  <si>
    <t>WASHINGTON APPLE 50"</t>
  </si>
  <si>
    <t>30M7593 (LWF2)</t>
  </si>
  <si>
    <t>110WF002-6200</t>
  </si>
  <si>
    <t>WASHINGTON APPLE 62"</t>
  </si>
  <si>
    <t>30M7593 (LWF2) - Pioneer</t>
  </si>
  <si>
    <t>110WF011-5000</t>
  </si>
  <si>
    <t>MACCHIATO</t>
  </si>
  <si>
    <t>110WF011-6200</t>
  </si>
  <si>
    <t>110WH005-5000</t>
  </si>
  <si>
    <t>RUGGED TRAIL</t>
  </si>
  <si>
    <t>110WH005-6200</t>
  </si>
  <si>
    <t>110WH100-5000</t>
  </si>
  <si>
    <t>GLISTENING TRAIL</t>
  </si>
  <si>
    <t>110WH100-6200</t>
  </si>
  <si>
    <t>110WK017-5000</t>
  </si>
  <si>
    <t>VENERABLE OLD OAK</t>
  </si>
  <si>
    <t>110WK017-6200</t>
  </si>
  <si>
    <t>110WK022-5000</t>
  </si>
  <si>
    <t>ANTOCCINO</t>
  </si>
  <si>
    <t>PLSWD</t>
  </si>
  <si>
    <t>[110072]</t>
  </si>
  <si>
    <t>110WK022-6200</t>
  </si>
  <si>
    <t>110WK023-5000</t>
  </si>
  <si>
    <t>MAROCCHINO</t>
  </si>
  <si>
    <t>110WK023-6200</t>
  </si>
  <si>
    <t>110WK024-5000</t>
  </si>
  <si>
    <t>PALAZZO</t>
  </si>
  <si>
    <t>110WK024-6200</t>
  </si>
  <si>
    <t>110WK025-5000</t>
  </si>
  <si>
    <t>CHAI</t>
  </si>
  <si>
    <t>110WK025-6200</t>
  </si>
  <si>
    <t>110WK027-5000</t>
  </si>
  <si>
    <t>BAILEY</t>
  </si>
  <si>
    <t>110WK027-6200</t>
  </si>
  <si>
    <t>110WM005-5000</t>
  </si>
  <si>
    <t>SIREN MAPLE 50"</t>
  </si>
  <si>
    <t>30M7633 (LWM5)             26N</t>
  </si>
  <si>
    <t>110WM005-6200</t>
  </si>
  <si>
    <t>SIREN MAPLE 62"</t>
  </si>
  <si>
    <t>30M7633 (LWM5)            26N</t>
  </si>
  <si>
    <t>110WM046-450L</t>
  </si>
  <si>
    <t>ILLUSTRIOUS MAPLE (L</t>
  </si>
  <si>
    <t>110WM046-450R</t>
  </si>
  <si>
    <t>ILLUSTRIOUS MAPLE (R</t>
  </si>
  <si>
    <t>110WM046-5000</t>
  </si>
  <si>
    <t>ILLUSTRIOUS MAPLE 16</t>
  </si>
  <si>
    <t>110WM046-6200</t>
  </si>
  <si>
    <t>Illustrious Maple 16</t>
  </si>
  <si>
    <t>110WM047-5000</t>
  </si>
  <si>
    <t>Iconic Maple 16016-L</t>
  </si>
  <si>
    <t>110WM047-6200</t>
  </si>
  <si>
    <t>ICONIC MAPLE 16016-L</t>
  </si>
  <si>
    <t>110WM303-5000</t>
  </si>
  <si>
    <t>110WM303-6200</t>
  </si>
  <si>
    <t>HONEY MAPLE 62"</t>
  </si>
  <si>
    <t>110WM528-5000</t>
  </si>
  <si>
    <t>VERMONT MAPLE 50"</t>
  </si>
  <si>
    <t>30M7255 (LW28)             28N</t>
  </si>
  <si>
    <t>110WM528-6200</t>
  </si>
  <si>
    <t>VERMONT MAPLE 62"</t>
  </si>
  <si>
    <t>110WM577-5000</t>
  </si>
  <si>
    <t>SCANDIA MAPLE</t>
  </si>
  <si>
    <t>30M7418 (LW77)             29W</t>
  </si>
  <si>
    <t>[106480]</t>
  </si>
  <si>
    <t>110WM577-6200</t>
  </si>
  <si>
    <t>110WM717-5000</t>
  </si>
  <si>
    <t>FUSION MAPLE 50"</t>
  </si>
  <si>
    <t>4373  PLSWD STD            75G</t>
  </si>
  <si>
    <t>110WM717-6200</t>
  </si>
  <si>
    <t>FUSION MAPLE 62"</t>
  </si>
  <si>
    <t>4373 PLSWD STD             75G</t>
  </si>
  <si>
    <t>110WM741-6200</t>
  </si>
  <si>
    <t>AMF MAPLE R/E</t>
  </si>
  <si>
    <t>30M7741</t>
  </si>
  <si>
    <t>110WM742-5000</t>
  </si>
  <si>
    <t>110WM742-6200</t>
  </si>
  <si>
    <t>AMF MAPLE L/O</t>
  </si>
  <si>
    <t>30M7742</t>
  </si>
  <si>
    <t>110WM818-5000</t>
  </si>
  <si>
    <t>VESSEL OAK 48"</t>
  </si>
  <si>
    <t>30M7510 (LW84) 32N NRB</t>
  </si>
  <si>
    <t>110WM834-5000</t>
  </si>
  <si>
    <t>AMBER PEARWOOD 48"</t>
  </si>
  <si>
    <t>30M7485(LW42)              36N</t>
  </si>
  <si>
    <t>110WM834-6200</t>
  </si>
  <si>
    <t>AMBER PEARWOOD 62"</t>
  </si>
  <si>
    <t>30M7485(LW42)  36N - Pioneer</t>
  </si>
  <si>
    <t>110WM837-3700</t>
  </si>
  <si>
    <t>GRAND ISLE MAPLE 36"</t>
  </si>
  <si>
    <t>110WM837-5000</t>
  </si>
  <si>
    <t>GRAND ISLE MAPLE 50"</t>
  </si>
  <si>
    <t>30M7511 (LW71)             18N</t>
  </si>
  <si>
    <t>110WM837-6200</t>
  </si>
  <si>
    <t>GRAND ISLE MAPLE 62"</t>
  </si>
  <si>
    <t>110WM840-3700</t>
  </si>
  <si>
    <t>CLEAR MAPLE 36"</t>
  </si>
  <si>
    <t>110WM840-5000</t>
  </si>
  <si>
    <t>CLEAR MAPLE 50"</t>
  </si>
  <si>
    <t>30M7523 (LW40) +Wd Std     35N</t>
  </si>
  <si>
    <t>110WM840-6200</t>
  </si>
  <si>
    <t>CLEAR MAPLE 62"</t>
  </si>
  <si>
    <t>110WM849-5000</t>
  </si>
  <si>
    <t>CHAMPAGNE SAGAWOOD 5</t>
  </si>
  <si>
    <t>30M7569 (LW49)             37N</t>
  </si>
  <si>
    <t>110WM849-6200</t>
  </si>
  <si>
    <t>CHAMPAGNE SAGAWOOD 6</t>
  </si>
  <si>
    <t>110WM850-3700</t>
  </si>
  <si>
    <t>110WM850-5000</t>
  </si>
  <si>
    <t>CARMEL SAGAWOOD 50"</t>
  </si>
  <si>
    <t>30M7541 (LW350)            38N</t>
  </si>
  <si>
    <t>110WM850-6200</t>
  </si>
  <si>
    <t>CARMEL SAGAWOOD 62"</t>
  </si>
  <si>
    <t>110WM858-3700</t>
  </si>
  <si>
    <t>BEIGE RENAISSANCE 36</t>
  </si>
  <si>
    <t>110WM858-5000</t>
  </si>
  <si>
    <t>BEIGE RENAISSANCE 48</t>
  </si>
  <si>
    <t>30M7759 (LW58)             493</t>
  </si>
  <si>
    <t>110WM858-6200</t>
  </si>
  <si>
    <t>BEIGE RENAISSANCE 60</t>
  </si>
  <si>
    <t>110WM864-5000</t>
  </si>
  <si>
    <t>RUSTIC QUARTERED OAK</t>
  </si>
  <si>
    <t>30M7940 (LW64)</t>
  </si>
  <si>
    <t>110WM864-6200</t>
  </si>
  <si>
    <t>110WO040-3700</t>
  </si>
  <si>
    <t>STRAIGHTAWAY OAK 36"</t>
  </si>
  <si>
    <t>110WO040-5000</t>
  </si>
  <si>
    <t>STRAIGHTAWAY OAK 48"</t>
  </si>
  <si>
    <t>30M7867 (LW04) JAPAN</t>
  </si>
  <si>
    <t>110WO040-6200</t>
  </si>
  <si>
    <t>STRAIGHTAWAY OAK 60"</t>
  </si>
  <si>
    <t>30M7867 (LW04)</t>
  </si>
  <si>
    <t>110WO140-5000</t>
  </si>
  <si>
    <t>BOHEMIAN EDGE</t>
  </si>
  <si>
    <t>QDP</t>
  </si>
  <si>
    <t>110WO140-6200</t>
  </si>
  <si>
    <t>110WO710-5000</t>
  </si>
  <si>
    <t>SIMPLICITY</t>
  </si>
  <si>
    <t>110WO710-6200</t>
  </si>
  <si>
    <t>110WP300-5000</t>
  </si>
  <si>
    <t>WEATHERED STORM</t>
  </si>
  <si>
    <t>110WP300-6200</t>
  </si>
  <si>
    <t>110WS009-6200</t>
  </si>
  <si>
    <t>F. LAUREN MAHOGANY 6</t>
  </si>
  <si>
    <t>110WS016-3700</t>
  </si>
  <si>
    <t>110WS016-5000</t>
  </si>
  <si>
    <t>REGENCY MAHOGANY 50"</t>
  </si>
  <si>
    <t>30M7497 (LW52) 16N -JAPAN</t>
  </si>
  <si>
    <t>110WS016-6200</t>
  </si>
  <si>
    <t>REGENCY MAHOGANY 60"</t>
  </si>
  <si>
    <t>30M7497 (LW52)  16N JAPAN</t>
  </si>
  <si>
    <t>110WS843-5000</t>
  </si>
  <si>
    <t>CREST MAHOGANY 48"</t>
  </si>
  <si>
    <t>30M7435 - Pioneer</t>
  </si>
  <si>
    <t>110WS843-6200</t>
  </si>
  <si>
    <t>CREST MAHOGANY 60"</t>
  </si>
  <si>
    <t>30M7435</t>
  </si>
  <si>
    <t>110WS950-5000</t>
  </si>
  <si>
    <t>ROYAL MAHOGANY</t>
  </si>
  <si>
    <t>30M7348 (HPL ONLY) WALLBOARD</t>
  </si>
  <si>
    <t>110WS950-6200</t>
  </si>
  <si>
    <t>110WT003-3700</t>
  </si>
  <si>
    <t>VALENCIA TEAK</t>
  </si>
  <si>
    <t>110WT003-5000</t>
  </si>
  <si>
    <t>110WT003-6200</t>
  </si>
  <si>
    <t>110WT005-5000</t>
  </si>
  <si>
    <t>Luminary Teak A09/20</t>
  </si>
  <si>
    <t>110WT005-6200</t>
  </si>
  <si>
    <t>110WT770-6200</t>
  </si>
  <si>
    <t>CAFE AU LAIT</t>
  </si>
  <si>
    <t>MERCURY WOOD PRODUCTS</t>
  </si>
  <si>
    <t>110WU001-5000</t>
  </si>
  <si>
    <t>OUTER LIMITS</t>
  </si>
  <si>
    <t>110WU001-6200</t>
  </si>
  <si>
    <t>110WU003-5000</t>
  </si>
  <si>
    <t>KINDRED SPIRIT</t>
  </si>
  <si>
    <t>110WU003-6200</t>
  </si>
  <si>
    <t>110WU006-5000</t>
  </si>
  <si>
    <t>BRAVE SPIRIT</t>
  </si>
  <si>
    <t>110WU006-6200</t>
  </si>
  <si>
    <t>110WW013-5000</t>
  </si>
  <si>
    <t>VANTAGE POINT WALNUT</t>
  </si>
  <si>
    <t>110WW013-6200</t>
  </si>
  <si>
    <t>110WW090-5000</t>
  </si>
  <si>
    <t>ENDLESS JOURNEY</t>
  </si>
  <si>
    <t>110WW090-6200</t>
  </si>
  <si>
    <t>110WW310-5000</t>
  </si>
  <si>
    <t>STOUT WALNUT</t>
  </si>
  <si>
    <t>110WW310-6200</t>
  </si>
  <si>
    <t>110WW435-6200</t>
  </si>
  <si>
    <t>CASTLE WALNUT</t>
  </si>
  <si>
    <t>30M7426 FLEXCEL NRB 5-21</t>
  </si>
  <si>
    <t>110WW440-5000</t>
  </si>
  <si>
    <t>UNTOLD JOURNEY</t>
  </si>
  <si>
    <t>110WW440-6200</t>
  </si>
  <si>
    <t>110WW780-5000</t>
  </si>
  <si>
    <t>BABBLING BROOK</t>
  </si>
  <si>
    <t>110WW780-6200</t>
  </si>
  <si>
    <t>110WW900-5000</t>
  </si>
  <si>
    <t>SUNBEAM</t>
  </si>
  <si>
    <t>110WW900-6200</t>
  </si>
  <si>
    <t>110WW960-5000</t>
  </si>
  <si>
    <t>MID MOD WALNUT</t>
  </si>
  <si>
    <t>110WW960-6200</t>
  </si>
  <si>
    <t>110WX075-5000</t>
  </si>
  <si>
    <t>GALAO</t>
  </si>
  <si>
    <t>110WX075-6200</t>
  </si>
  <si>
    <t>110WX115-5000</t>
  </si>
  <si>
    <t>GIANT GRAY BAMBOO</t>
  </si>
  <si>
    <t>110WX115-6200</t>
  </si>
  <si>
    <t>110WX460-5000</t>
  </si>
  <si>
    <t>WHISPERING WIND</t>
  </si>
  <si>
    <t>110WX460-6200</t>
  </si>
  <si>
    <t>110WX850-5000</t>
  </si>
  <si>
    <t>ROARING WIND</t>
  </si>
  <si>
    <t>110WX850-6200</t>
  </si>
  <si>
    <t>110WY200-5000</t>
  </si>
  <si>
    <t>MIESIAN</t>
  </si>
  <si>
    <t>110WY200-6200</t>
  </si>
  <si>
    <t>110WZ001-5000</t>
  </si>
  <si>
    <t>SHIBUI WOODPRINT 50"</t>
  </si>
  <si>
    <t>30M7673</t>
  </si>
  <si>
    <t>110WZ001-6200</t>
  </si>
  <si>
    <t>SHIBUI WOODPRINT 62"</t>
  </si>
  <si>
    <t>110WZ002-5000</t>
  </si>
  <si>
    <t>MIKADO WOODPRINT 48"</t>
  </si>
  <si>
    <t>30M7674 (LWZ2)</t>
  </si>
  <si>
    <t>110WZ002-6200</t>
  </si>
  <si>
    <t>MIKADO WOODPRINT 62"</t>
  </si>
  <si>
    <t>110WZ003-5000</t>
  </si>
  <si>
    <t>TAWNY SATINWOOD 48"</t>
  </si>
  <si>
    <t>110WZ003-6200</t>
  </si>
  <si>
    <t>TAWNY SATINWOOD 60"</t>
  </si>
  <si>
    <t>110WZ005-5000</t>
  </si>
  <si>
    <t>RECON OAK</t>
  </si>
  <si>
    <t>30M7588                    44N</t>
  </si>
  <si>
    <t>110WZ005-6200</t>
  </si>
  <si>
    <t>30M7588 - Pioneer</t>
  </si>
  <si>
    <t>110WZ008-5000</t>
  </si>
  <si>
    <t>ZEBRANO WHITE</t>
  </si>
  <si>
    <t>110WZ008-6200</t>
  </si>
  <si>
    <t>110WZ017-5000</t>
  </si>
  <si>
    <t>GALLOWAY BURL 48"</t>
  </si>
  <si>
    <t>110WZ017-6200</t>
  </si>
  <si>
    <t>GALLOWAY BURL 60"</t>
  </si>
  <si>
    <t>110WZ018-5000</t>
  </si>
  <si>
    <t>NATURAL BAMBOO 48"</t>
  </si>
  <si>
    <t>30M7836 (LW18) +Wd Std     46N</t>
  </si>
  <si>
    <t>110WZ018-6200</t>
  </si>
  <si>
    <t>NATURAL BAMBOO</t>
  </si>
  <si>
    <t>110WZ028-5000</t>
  </si>
  <si>
    <t>KONA BLEND 50"</t>
  </si>
  <si>
    <t>110WZ028-6200</t>
  </si>
  <si>
    <t>KONA BLEND</t>
  </si>
  <si>
    <t>110WZ037-5000</t>
  </si>
  <si>
    <t>KONA BLEND LPL</t>
  </si>
  <si>
    <t>PLSWD STD 3465 (30M3902) 47N</t>
  </si>
  <si>
    <t>110WZ037-6200</t>
  </si>
  <si>
    <t>PLSWD STND 3465 (30M7902)</t>
  </si>
  <si>
    <t>110WZ045-5000</t>
  </si>
  <si>
    <t>VALIDATE WE DO</t>
  </si>
  <si>
    <t>NRB 7/27/22</t>
  </si>
  <si>
    <t>110WZ045-6200</t>
  </si>
  <si>
    <t>110WZ049-5000</t>
  </si>
  <si>
    <t>CREMA</t>
  </si>
  <si>
    <t>110WZ049-6200</t>
  </si>
  <si>
    <t>110WZ052-5000</t>
  </si>
  <si>
    <t>MAZAGRAN</t>
  </si>
  <si>
    <t>110WZ052-6200</t>
  </si>
  <si>
    <t>110WZ053-5000</t>
  </si>
  <si>
    <t>ZULU</t>
  </si>
  <si>
    <t>110WZ053-6200</t>
  </si>
  <si>
    <t>110WZ054-5000</t>
  </si>
  <si>
    <t>BREVE</t>
  </si>
  <si>
    <t>110WZ054-6200</t>
  </si>
  <si>
    <t>110WZ055-5000</t>
  </si>
  <si>
    <t>CARAJILLO</t>
  </si>
  <si>
    <t>110WZ055-6200</t>
  </si>
  <si>
    <t>110WZ056-5000</t>
  </si>
  <si>
    <t>EISKAFFE</t>
  </si>
  <si>
    <t>110WZ056-6200</t>
  </si>
  <si>
    <t>110WZ057-5000</t>
  </si>
  <si>
    <t>CALYPSO</t>
  </si>
  <si>
    <t>110WZ057-6200</t>
  </si>
  <si>
    <t>110WZ062-5000</t>
  </si>
  <si>
    <t>DRAGONFLY</t>
  </si>
  <si>
    <t>110WZ062-6200</t>
  </si>
  <si>
    <t>110WZ063-5000</t>
  </si>
  <si>
    <t>YUNNAN</t>
  </si>
  <si>
    <t>110WZ063-6200</t>
  </si>
  <si>
    <t>110WZ101-5000</t>
  </si>
  <si>
    <t>RED DRAGON BAMBOO 50</t>
  </si>
  <si>
    <t>30M7837 - Pioneer</t>
  </si>
  <si>
    <t>110WZ101-6200</t>
  </si>
  <si>
    <t>RED DRAGON BAMBOO 62</t>
  </si>
  <si>
    <t>30M7837 (LWBA)</t>
  </si>
  <si>
    <t>110WZ200-5000</t>
  </si>
  <si>
    <t>ECRU</t>
  </si>
  <si>
    <t>110WZ200-6200</t>
  </si>
  <si>
    <t>110WZ201-5000</t>
  </si>
  <si>
    <t>SANTA ROSA PLUM TREE</t>
  </si>
  <si>
    <t>30M7727 (LWSR)+Wd Std      50N</t>
  </si>
  <si>
    <t>110WZ201-6200</t>
  </si>
  <si>
    <t>30M7727 (LWSR) +Wd Std   50N</t>
  </si>
  <si>
    <t>[107449]</t>
  </si>
  <si>
    <t>110WZ204-5000</t>
  </si>
  <si>
    <t>KENDO</t>
  </si>
  <si>
    <t>30M7870 FRL NA184 - Pioneer</t>
  </si>
  <si>
    <t>110WZ204-6200</t>
  </si>
  <si>
    <t>30M7870 FRL NA184</t>
  </si>
  <si>
    <t>110WZ207-5000</t>
  </si>
  <si>
    <t>TENDU 50"</t>
  </si>
  <si>
    <t>110WZ207-6200</t>
  </si>
  <si>
    <t>TENDU 60"</t>
  </si>
  <si>
    <t>110WZ209-5000</t>
  </si>
  <si>
    <t>Cutting Edge L122116</t>
  </si>
  <si>
    <t>110WZ209-6200</t>
  </si>
  <si>
    <t>110WZ301-5000</t>
  </si>
  <si>
    <t>XANADU BLUE BAMBOO 4</t>
  </si>
  <si>
    <t>110WZ301-6200</t>
  </si>
  <si>
    <t>XANADU BLUE BAMBOO 6</t>
  </si>
  <si>
    <t>Pioneer</t>
  </si>
  <si>
    <t>110WZ484-6200</t>
  </si>
  <si>
    <t>PRIMA VERA 60"</t>
  </si>
  <si>
    <t>DMI/VOLUNTEER NRB</t>
  </si>
  <si>
    <t>110WZ501-5000</t>
  </si>
  <si>
    <t>EXTREME GREEN BAMBOO</t>
  </si>
  <si>
    <t>30M7840 (LWGB)             59N</t>
  </si>
  <si>
    <t>110WZ501-6200</t>
  </si>
  <si>
    <t>110WZ513-5000</t>
  </si>
  <si>
    <t>TOPAZ KHAYAWOOD 50"</t>
  </si>
  <si>
    <t>30M7512 (LW69)             17N</t>
  </si>
  <si>
    <t>110WZ513-6200</t>
  </si>
  <si>
    <t>TOPAZ KHAYAWOOD 60"</t>
  </si>
  <si>
    <t>110WZ588-5000</t>
  </si>
  <si>
    <t>FINE SYCAMORE 50"</t>
  </si>
  <si>
    <t>30M7451 (LW51)             15N</t>
  </si>
  <si>
    <t>110WZ588-6200</t>
  </si>
  <si>
    <t>FINE SYCAMORE 62"</t>
  </si>
  <si>
    <t>30M7451 (LW51)  15N - Pioneer</t>
  </si>
  <si>
    <t>110WZ601-5000</t>
  </si>
  <si>
    <t>DRY CREEK PLUM TREE</t>
  </si>
  <si>
    <t>30M7726 (LWDC)</t>
  </si>
  <si>
    <t>110WZ601-6200</t>
  </si>
  <si>
    <t>Modern Edge L73390B</t>
  </si>
  <si>
    <t>110WZ604-6200</t>
  </si>
  <si>
    <t>110WZ848-5000</t>
  </si>
  <si>
    <t>COGNAC BIRDSEYE 50"</t>
  </si>
  <si>
    <t>30M7521 (LW48)             14N</t>
  </si>
  <si>
    <t>110WZ848-6200</t>
  </si>
  <si>
    <t>COGNAC BIRDSEYE 62"</t>
  </si>
  <si>
    <t>30M7521 (LW48)  14N - Pioneer</t>
  </si>
  <si>
    <t>110YSN01-5000</t>
  </si>
  <si>
    <t>TEA STAIN SPUN YARN</t>
  </si>
  <si>
    <t>30M7712 (LYS1) FRL NA184</t>
  </si>
  <si>
    <t>110YSN01-6200</t>
  </si>
  <si>
    <t>110YSN02-5000</t>
  </si>
  <si>
    <t>PURE SPUN YARN</t>
  </si>
  <si>
    <t>30M7841 (LSYN) FRL NA184   64N</t>
  </si>
  <si>
    <t>110YSN02-6200</t>
  </si>
  <si>
    <t>PURE SPUN YARN 60"</t>
  </si>
  <si>
    <t>30M7841 (LSYN)             64N</t>
  </si>
  <si>
    <t>150AB201-6200</t>
  </si>
  <si>
    <t>OCEANIC ALLURE</t>
  </si>
  <si>
    <t>150AB291-5000</t>
  </si>
  <si>
    <t>BRIDE OF THE SEA</t>
  </si>
  <si>
    <t>150AG200-6200</t>
  </si>
  <si>
    <t>HAYDEN GRAY LINEN</t>
  </si>
  <si>
    <t>150AG345-6200</t>
  </si>
  <si>
    <t>STONEDUST LINEN</t>
  </si>
  <si>
    <t>150AT311-6200</t>
  </si>
  <si>
    <t>ALGONQUIN ALLURE</t>
  </si>
  <si>
    <t>150AT321-6200</t>
  </si>
  <si>
    <t>EGYPTIAN ALLURE</t>
  </si>
  <si>
    <t>150AT938-6200</t>
  </si>
  <si>
    <t>DARK SUEDE</t>
  </si>
  <si>
    <t>150AV941-6200</t>
  </si>
  <si>
    <t>AMAZON ALLURE</t>
  </si>
  <si>
    <t>150HP191-6200</t>
  </si>
  <si>
    <t>VICTORY WALNUT</t>
  </si>
  <si>
    <t>150HP355-5000</t>
  </si>
  <si>
    <t>NATURAL AVANTI WOOD</t>
  </si>
  <si>
    <t>150HP820-6200</t>
  </si>
  <si>
    <t>TIGER MAPLE</t>
  </si>
  <si>
    <t>150HP822-6200</t>
  </si>
  <si>
    <t>MG TIGER MAHOGANY</t>
  </si>
  <si>
    <t>150K2016-6200</t>
  </si>
  <si>
    <t>CO-BOREAL ALLURE</t>
  </si>
  <si>
    <t>150KM001-5000</t>
  </si>
  <si>
    <t>HUDSON</t>
  </si>
  <si>
    <t>150KM002-5000</t>
  </si>
  <si>
    <t>TENINO WENGE</t>
  </si>
  <si>
    <t>150KM003-5000</t>
  </si>
  <si>
    <t>TENINO OAK</t>
  </si>
  <si>
    <t>150KM004-5000</t>
  </si>
  <si>
    <t>TENINO GRAY</t>
  </si>
  <si>
    <t>150KM005-5000</t>
  </si>
  <si>
    <t>TENINO WALNUT</t>
  </si>
  <si>
    <t>150KM005-6200</t>
  </si>
  <si>
    <t>150KM006-5000</t>
  </si>
  <si>
    <t>EXPRESSO</t>
  </si>
  <si>
    <t>150KM018-5000</t>
  </si>
  <si>
    <t>STEEL BAY</t>
  </si>
  <si>
    <t>150KM019-5000</t>
  </si>
  <si>
    <t>UNION PEAK</t>
  </si>
  <si>
    <t>150KM020-5000</t>
  </si>
  <si>
    <t>LODGEPOLE</t>
  </si>
  <si>
    <t>150KM021-5000</t>
  </si>
  <si>
    <t>DUTTON CREEK</t>
  </si>
  <si>
    <t>150KM022-5000</t>
  </si>
  <si>
    <t>PPI DRIFTWOOD</t>
  </si>
  <si>
    <t>150KM023-5000</t>
  </si>
  <si>
    <t>OVERLOOK</t>
  </si>
  <si>
    <t>150KM024-5000</t>
  </si>
  <si>
    <t>PHANTOM SHIP</t>
  </si>
  <si>
    <t>150KM025-5000</t>
  </si>
  <si>
    <t>MERRIAM</t>
  </si>
  <si>
    <t>150KM026-5000</t>
  </si>
  <si>
    <t>CLOUDCAP</t>
  </si>
  <si>
    <t>150KM031-5000</t>
  </si>
  <si>
    <t>TEETER GREEN</t>
  </si>
  <si>
    <t>150KM039-6200</t>
  </si>
  <si>
    <t>STINSON GRAY</t>
  </si>
  <si>
    <t>SPECIAL FOR TOLL LAMINA</t>
  </si>
  <si>
    <t>150KM040-6200</t>
  </si>
  <si>
    <t>ALEXANDRIA WALNUT</t>
  </si>
  <si>
    <t>ARCLI</t>
  </si>
  <si>
    <t>150KM041-5000</t>
  </si>
  <si>
    <t>150KM070-5000</t>
  </si>
  <si>
    <t>MOSCATTO</t>
  </si>
  <si>
    <t>150PDN03-5000</t>
  </si>
  <si>
    <t>PAINTED DESERT</t>
  </si>
  <si>
    <t>Marlite</t>
  </si>
  <si>
    <t>150QW120-5000</t>
  </si>
  <si>
    <t>ENCORE SYCAMORE</t>
  </si>
  <si>
    <t>150QW120-6200</t>
  </si>
  <si>
    <t>150S9043-6200</t>
  </si>
  <si>
    <t>APOLLO BLUE</t>
  </si>
  <si>
    <t>PHILLIPS PLYWOOD</t>
  </si>
  <si>
    <t>150S9177-5000</t>
  </si>
  <si>
    <t>HEATHER ROSE</t>
  </si>
  <si>
    <t>30M3271 NRB</t>
  </si>
  <si>
    <t>150SB028-5000</t>
  </si>
  <si>
    <t>BAHAMA BREEZE (Retai</t>
  </si>
  <si>
    <t>150SG212-5000</t>
  </si>
  <si>
    <t>SP HEATHER</t>
  </si>
  <si>
    <t>WURTH BAER</t>
  </si>
  <si>
    <t>150SG212-6200</t>
  </si>
  <si>
    <t>150SG215-5000</t>
  </si>
  <si>
    <t>SP GRAY</t>
  </si>
  <si>
    <t>150SG215-6200</t>
  </si>
  <si>
    <t>150SG540-6200</t>
  </si>
  <si>
    <t>150SW780-5000</t>
  </si>
  <si>
    <t>SOFT CHAMOIS</t>
  </si>
  <si>
    <t>150SW780-6200</t>
  </si>
  <si>
    <t>150W5514-6200</t>
  </si>
  <si>
    <t>APPLACHIAN MAPLE</t>
  </si>
  <si>
    <t>Carolina Funiture Works</t>
  </si>
  <si>
    <t>150W7178-6200</t>
  </si>
  <si>
    <t>W CHERRY</t>
  </si>
  <si>
    <t>INDIANA FURNITURE</t>
  </si>
  <si>
    <t>150W8374-6200</t>
  </si>
  <si>
    <t>MARTIN SPRUCE</t>
  </si>
  <si>
    <t>CF Martin &amp; Co-Nazareth PA</t>
  </si>
  <si>
    <t>150W9464-5000</t>
  </si>
  <si>
    <t>150WC059-5000</t>
  </si>
  <si>
    <t>ALENDALE CHERRY</t>
  </si>
  <si>
    <t>150WC625-5000</t>
  </si>
  <si>
    <t>150WC625-6200</t>
  </si>
  <si>
    <t>150WF009-3700</t>
  </si>
  <si>
    <t>HILLSIDE PEAR</t>
  </si>
  <si>
    <t>DSI (INDIANAPOLIS)</t>
  </si>
  <si>
    <t>150WK006-5000</t>
  </si>
  <si>
    <t>150WM024-5000</t>
  </si>
  <si>
    <t>ROSE RENAISSANCE 50"</t>
  </si>
  <si>
    <t>150WM225-6200</t>
  </si>
  <si>
    <t>MAPLE SYRUP</t>
  </si>
  <si>
    <t>150WM228-5000</t>
  </si>
  <si>
    <t>MAPLEWOOD</t>
  </si>
  <si>
    <t>150WO140-5000</t>
  </si>
  <si>
    <t>150WP013-6200</t>
  </si>
  <si>
    <t>SOUTHERN PINE</t>
  </si>
  <si>
    <t>150WR002-5000</t>
  </si>
  <si>
    <t>INDIAN ROSEWOOD 50"</t>
  </si>
  <si>
    <t>150WS020-6200</t>
  </si>
  <si>
    <t>Carolina Mahogany L1</t>
  </si>
  <si>
    <t>Carolina Furniture Works</t>
  </si>
  <si>
    <t>150WW012-5000</t>
  </si>
  <si>
    <t>CO - MINNESOTA WALNU</t>
  </si>
  <si>
    <t>150WW060-5000</t>
  </si>
  <si>
    <t>COMBED WALNUT</t>
  </si>
  <si>
    <t>150WW080-5000</t>
  </si>
  <si>
    <t>WILLOW WALNUT</t>
  </si>
  <si>
    <t>500AB-6ANTIBLOCK</t>
  </si>
  <si>
    <t>AB-6 EMULSION ANTI-B</t>
  </si>
  <si>
    <t>AXEL</t>
  </si>
  <si>
    <t>500BYK348</t>
  </si>
  <si>
    <t>BYK-348 WETTING AGEN</t>
  </si>
  <si>
    <t>TERRA</t>
  </si>
  <si>
    <t>500DR148-4934</t>
  </si>
  <si>
    <t>154#  HP02 KRAFT</t>
  </si>
  <si>
    <t>GRECON FOR MANGTON, CC1, MISC</t>
  </si>
  <si>
    <t>500DR175-4912</t>
  </si>
  <si>
    <t>175# HPHD1 KRAFT</t>
  </si>
  <si>
    <t>500DR175-6234</t>
  </si>
  <si>
    <t>500FENT140</t>
  </si>
  <si>
    <t>FENTAK FC1403 BLACK</t>
  </si>
  <si>
    <t>MUNZI</t>
  </si>
  <si>
    <t>[109840]</t>
  </si>
  <si>
    <t>500FENT301</t>
  </si>
  <si>
    <t>FENTAK MR80301 RELEA</t>
  </si>
  <si>
    <t>HEXIO</t>
  </si>
  <si>
    <t>500FENT310</t>
  </si>
  <si>
    <t>FENTAK FW88926 WETTI</t>
  </si>
  <si>
    <t>500FENT6045</t>
  </si>
  <si>
    <t>FENTAK CT6045 CATALY</t>
  </si>
  <si>
    <t>[107507]</t>
  </si>
  <si>
    <t>500FENT777</t>
  </si>
  <si>
    <t>FENTAK UR0777 RELEAS</t>
  </si>
  <si>
    <t>500FENT81277</t>
  </si>
  <si>
    <t>FENTAK MR81277 RELEA</t>
  </si>
  <si>
    <t>500FMDFL</t>
  </si>
  <si>
    <t>FOAMASTER MO 2185  D</t>
  </si>
  <si>
    <t>AZELI</t>
  </si>
  <si>
    <t>[109728]</t>
  </si>
  <si>
    <t>500GP4169</t>
  </si>
  <si>
    <t>PHENOLIC GP RESIN</t>
  </si>
  <si>
    <t>500HARPF7</t>
  </si>
  <si>
    <t>HIPERADD RPF7 REL AG</t>
  </si>
  <si>
    <t>CHEMI</t>
  </si>
  <si>
    <t>500INT2E</t>
  </si>
  <si>
    <t>INT2E-ATS  SURFUCTAN</t>
  </si>
  <si>
    <t>500PAT658D</t>
  </si>
  <si>
    <t>PAT 658D TEX PLATE R</t>
  </si>
  <si>
    <t>RIVER</t>
  </si>
  <si>
    <t>500SURFY</t>
  </si>
  <si>
    <t>WETTING AGENT (SURFY</t>
  </si>
  <si>
    <t>Total for HP Group</t>
  </si>
  <si>
    <t>Total For LP Group</t>
  </si>
  <si>
    <t>Total For all the Q Papers</t>
  </si>
  <si>
    <t>Total For all the K Papers</t>
  </si>
  <si>
    <t>Total for all KC Papers</t>
  </si>
  <si>
    <t>Total for all Kraft Papers</t>
  </si>
  <si>
    <t>Grand Total for all</t>
  </si>
  <si>
    <t>Product Description</t>
  </si>
  <si>
    <t>Aub
MTD</t>
  </si>
  <si>
    <t>Aub
Apr</t>
  </si>
  <si>
    <t>Aub
May</t>
  </si>
  <si>
    <t>Aub
Jun</t>
  </si>
  <si>
    <t>Aub
Jul</t>
  </si>
  <si>
    <t>Aub
Aug</t>
  </si>
  <si>
    <t>Hun
Apr</t>
  </si>
  <si>
    <t>Hun
May</t>
  </si>
  <si>
    <t>Hun
Jun</t>
  </si>
  <si>
    <t>Hun
Jul</t>
  </si>
  <si>
    <t>Hun
Aug</t>
  </si>
  <si>
    <t>Hun
MTD</t>
  </si>
  <si>
    <t>At Supplier</t>
  </si>
  <si>
    <t>Panolam Product Code</t>
  </si>
  <si>
    <t>Panolam Purchase Order</t>
  </si>
  <si>
    <t>Paper Description</t>
  </si>
  <si>
    <t>Inventory</t>
  </si>
  <si>
    <t>Warehouse</t>
  </si>
  <si>
    <t>PO Quantity Requested</t>
  </si>
  <si>
    <t>Outturn Status</t>
  </si>
  <si>
    <t>Expiration Date</t>
  </si>
  <si>
    <t>Core Size</t>
  </si>
  <si>
    <t>Pricing</t>
  </si>
  <si>
    <t>Comments</t>
  </si>
  <si>
    <t>LMSTONE</t>
  </si>
  <si>
    <t>4400</t>
  </si>
  <si>
    <t>APPROVED</t>
  </si>
  <si>
    <t>0</t>
  </si>
  <si>
    <t>3</t>
  </si>
  <si>
    <t>6.93</t>
  </si>
  <si>
    <t>6905</t>
  </si>
  <si>
    <t>2200</t>
  </si>
  <si>
    <t>6</t>
  </si>
  <si>
    <t>7041</t>
  </si>
  <si>
    <t>100HP190 GUNSTOCK WALNUT</t>
  </si>
  <si>
    <t>3300</t>
  </si>
  <si>
    <t>5.33</t>
  </si>
  <si>
    <t>7025</t>
  </si>
  <si>
    <t>3999</t>
  </si>
  <si>
    <t>2599</t>
  </si>
  <si>
    <t>100HP451 Pepperdust</t>
  </si>
  <si>
    <t>07/04/2022</t>
  </si>
  <si>
    <t>5.99</t>
  </si>
  <si>
    <t>100HP551 Fog Gray</t>
  </si>
  <si>
    <t>3000</t>
  </si>
  <si>
    <t>6.09</t>
  </si>
  <si>
    <t>6977</t>
  </si>
  <si>
    <t>15000</t>
  </si>
  <si>
    <t>09/04/2022</t>
  </si>
  <si>
    <t>1224</t>
  </si>
  <si>
    <t>2.99</t>
  </si>
  <si>
    <t>6601</t>
  </si>
  <si>
    <t>20</t>
  </si>
  <si>
    <t>1400</t>
  </si>
  <si>
    <t>66</t>
  </si>
  <si>
    <t>100HP597-5000</t>
  </si>
  <si>
    <t>100HP597 PRISM RED</t>
  </si>
  <si>
    <t>5.31</t>
  </si>
  <si>
    <t>7028</t>
  </si>
  <si>
    <t>100MG160 UPLAND STONE</t>
  </si>
  <si>
    <t>100SB027 SUMMER VACATION</t>
  </si>
  <si>
    <t>1649</t>
  </si>
  <si>
    <t>7126-1</t>
  </si>
  <si>
    <t>100SG224 STONE DUST</t>
  </si>
  <si>
    <t>1199</t>
  </si>
  <si>
    <t>6.28</t>
  </si>
  <si>
    <t>1100</t>
  </si>
  <si>
    <t>33</t>
  </si>
  <si>
    <t>100ST606 TAUPE</t>
  </si>
  <si>
    <t>2000</t>
  </si>
  <si>
    <t>SW806 CARNATION WHITE</t>
  </si>
  <si>
    <t>1900</t>
  </si>
  <si>
    <t>08/24/2022</t>
  </si>
  <si>
    <t>4.22</t>
  </si>
  <si>
    <t>2500</t>
  </si>
  <si>
    <t>7044</t>
  </si>
  <si>
    <t>100WT790 WEDDING CAKE</t>
  </si>
  <si>
    <t>1700</t>
  </si>
  <si>
    <t>6897-1</t>
  </si>
  <si>
    <t>07/11/2022</t>
  </si>
  <si>
    <t>331</t>
  </si>
  <si>
    <t>5.38</t>
  </si>
  <si>
    <t>500</t>
  </si>
  <si>
    <t>6977-1</t>
  </si>
  <si>
    <t>08/23/2022</t>
  </si>
  <si>
    <t>370</t>
  </si>
  <si>
    <t>6.11</t>
  </si>
  <si>
    <t>7045</t>
  </si>
  <si>
    <t>100WT850 PEACH COBBLER</t>
  </si>
  <si>
    <t>6897</t>
  </si>
  <si>
    <t>7009</t>
  </si>
  <si>
    <t>100WX440 BLACK FOREST</t>
  </si>
  <si>
    <t>10/10/2022</t>
  </si>
  <si>
    <t>7029</t>
  </si>
  <si>
    <t>110AG872 SMOKEY SKIES</t>
  </si>
  <si>
    <t>10/24/2022</t>
  </si>
  <si>
    <t>7040</t>
  </si>
  <si>
    <t>110HLT01 BASIC BLACK</t>
  </si>
  <si>
    <t>2299</t>
  </si>
  <si>
    <t>110</t>
  </si>
  <si>
    <t>4.75</t>
  </si>
  <si>
    <t>1001</t>
  </si>
  <si>
    <t>73</t>
  </si>
  <si>
    <t>6977-2</t>
  </si>
  <si>
    <t>110HLT04 SILVERLINE</t>
  </si>
  <si>
    <t>7071</t>
  </si>
  <si>
    <t>5.52</t>
  </si>
  <si>
    <t>S3068 SUNKEN TREASURE</t>
  </si>
  <si>
    <t>110S3070 Caribbean Blue</t>
  </si>
  <si>
    <t>09/12/2022</t>
  </si>
  <si>
    <t>110S4025 Honey Plantain</t>
  </si>
  <si>
    <t>08/25/2022</t>
  </si>
  <si>
    <t>988</t>
  </si>
  <si>
    <t>6.58</t>
  </si>
  <si>
    <t>838</t>
  </si>
  <si>
    <t>7046</t>
  </si>
  <si>
    <t>110S5059 Aqua Lagoon</t>
  </si>
  <si>
    <t>11/21/2022</t>
  </si>
  <si>
    <t>1601</t>
  </si>
  <si>
    <t>9</t>
  </si>
  <si>
    <t>110S8003 SUMMER NIGHT GLOW</t>
  </si>
  <si>
    <t>5.64</t>
  </si>
  <si>
    <t>110SN284 FOUNDRY</t>
  </si>
  <si>
    <t>07/15/2022</t>
  </si>
  <si>
    <t>644</t>
  </si>
  <si>
    <t>143</t>
  </si>
  <si>
    <t>3.22</t>
  </si>
  <si>
    <t>3900</t>
  </si>
  <si>
    <t>3699</t>
  </si>
  <si>
    <t>800</t>
  </si>
  <si>
    <t>7126</t>
  </si>
  <si>
    <t>110SV741 LIMEADE</t>
  </si>
  <si>
    <t>5.48</t>
  </si>
  <si>
    <t>4.67</t>
  </si>
  <si>
    <t>6905-1</t>
  </si>
  <si>
    <t>110WF011 MACCHIATO</t>
  </si>
  <si>
    <t>5.9</t>
  </si>
  <si>
    <t>7048</t>
  </si>
  <si>
    <t>09/19/2022</t>
  </si>
  <si>
    <t>7.04</t>
  </si>
  <si>
    <t>5000</t>
  </si>
  <si>
    <t>635</t>
  </si>
  <si>
    <t>7008</t>
  </si>
  <si>
    <t>110WX460 WHISPERING WIND</t>
  </si>
  <si>
    <t>07/08/2022</t>
  </si>
  <si>
    <t>5.7</t>
  </si>
  <si>
    <t>7048-1</t>
  </si>
  <si>
    <t>7071-1</t>
  </si>
  <si>
    <t>110WZ055 CARAJILLO</t>
  </si>
  <si>
    <t>11/14/2022</t>
  </si>
  <si>
    <t>Run Date
(Expected)</t>
  </si>
  <si>
    <t>ETA to Port</t>
  </si>
  <si>
    <t>STORM GRAY</t>
  </si>
  <si>
    <t>Cartiere</t>
  </si>
  <si>
    <t>PRICE Q1 2023 TBC</t>
  </si>
  <si>
    <t>100BP007-5000</t>
  </si>
  <si>
    <t>BASE LINER</t>
  </si>
  <si>
    <t>Watervliet</t>
  </si>
  <si>
    <t>Approved</t>
  </si>
  <si>
    <t>100BP007-6200</t>
  </si>
  <si>
    <t>HP Mahogany</t>
  </si>
  <si>
    <t>New York</t>
  </si>
  <si>
    <t>DNP</t>
  </si>
  <si>
    <t>X</t>
  </si>
  <si>
    <t>Castle Oak II</t>
  </si>
  <si>
    <t>100HP375-6200</t>
  </si>
  <si>
    <t>Straw Matrix</t>
  </si>
  <si>
    <t>Rollin Rock</t>
  </si>
  <si>
    <t>Ochre Tempura</t>
  </si>
  <si>
    <t>110TQ201-5000</t>
  </si>
  <si>
    <t>Crème Tranquility</t>
  </si>
  <si>
    <t>Washington Apple</t>
  </si>
  <si>
    <t>Honey Maple</t>
  </si>
  <si>
    <t>Clear Maple</t>
  </si>
  <si>
    <t>Rustic Quartered Oak</t>
  </si>
  <si>
    <t>Crest Mahogany</t>
  </si>
  <si>
    <t>Pure Spun Yarn</t>
  </si>
  <si>
    <t>Shibui Woodprint</t>
  </si>
  <si>
    <t>Galloway Burl</t>
  </si>
  <si>
    <t>Kendo</t>
  </si>
  <si>
    <t>Tendu</t>
  </si>
  <si>
    <t>Fine Sycamore</t>
  </si>
  <si>
    <t>713LBS AIRED TO AUBURN ON 6/24/22</t>
  </si>
  <si>
    <t>Rose Granite</t>
  </si>
  <si>
    <t>Due to Base Paper defect, qty will be only 750LBS</t>
  </si>
  <si>
    <t>Finished Final Qty is 383LBS</t>
  </si>
  <si>
    <t>Singing The Chicago Blues</t>
  </si>
  <si>
    <t>Tea Party in Boston</t>
  </si>
  <si>
    <t>Gridlock In L.A.</t>
  </si>
  <si>
    <t>White Elm</t>
  </si>
  <si>
    <t>Taj Teak</t>
  </si>
  <si>
    <t>Overlay Paper TVO/NA 24/3,5 FSC,955mm</t>
  </si>
  <si>
    <t>approved</t>
  </si>
  <si>
    <t>Glatfelter</t>
  </si>
  <si>
    <t>Overlay TVO NF 24/SP-LK 3,5-FSC 1285mm</t>
  </si>
  <si>
    <t>TVO NF 24/SP-LK 3,5-FSC 1594mm</t>
  </si>
  <si>
    <t>Overlay Paper TVO/NA 40/HT  K30 FSC 1270mm</t>
  </si>
  <si>
    <t>Overlay TVO NF 32/HT K31, 1270mm</t>
  </si>
  <si>
    <t>Overlay TVO NF 32/HT K31, 1588mm</t>
  </si>
  <si>
    <t>TVO NF 24/SP-LK 3,5-FSC 1264mm</t>
  </si>
  <si>
    <t>TVO NF 24/SP-LK 3,5-FSC 1145mm</t>
  </si>
  <si>
    <t xml:space="preserve"> </t>
  </si>
  <si>
    <t>Impress</t>
  </si>
  <si>
    <t>GREIGE IMPERIAL MARBLE LC</t>
  </si>
  <si>
    <t>Overage
included in Inventory</t>
  </si>
  <si>
    <t>222101314-20</t>
  </si>
  <si>
    <t xml:space="preserve">217102253-25 </t>
  </si>
  <si>
    <t xml:space="preserve">222101065-20 </t>
  </si>
  <si>
    <t>222101065-10</t>
  </si>
  <si>
    <t>222101599-20</t>
  </si>
  <si>
    <t>222101599-10</t>
  </si>
  <si>
    <t>222100694-30</t>
  </si>
  <si>
    <t xml:space="preserve">222100694-20 </t>
  </si>
  <si>
    <t xml:space="preserve">222100694-10 </t>
  </si>
  <si>
    <t>222101596-30</t>
  </si>
  <si>
    <t>222101596-20</t>
  </si>
  <si>
    <t>222101596-10</t>
  </si>
  <si>
    <t>222101195-10</t>
  </si>
  <si>
    <t>MG NATURAL ALLURE</t>
  </si>
  <si>
    <t>222101069-10</t>
  </si>
  <si>
    <t>PALIO PAPEL</t>
  </si>
  <si>
    <t>222101205-10</t>
  </si>
  <si>
    <t>222101326-20</t>
  </si>
  <si>
    <t>222101326-10</t>
  </si>
  <si>
    <t>222101196-15</t>
  </si>
  <si>
    <t xml:space="preserve">222100695-20 </t>
  </si>
  <si>
    <t>222100695-10</t>
  </si>
  <si>
    <t>222101732-10</t>
  </si>
  <si>
    <t xml:space="preserve">222100698-20 </t>
  </si>
  <si>
    <t>222101315-20</t>
  </si>
  <si>
    <t>222101315-10</t>
  </si>
  <si>
    <t>HP HARD ROCK MAPLE</t>
  </si>
  <si>
    <t>100HP302-6200</t>
  </si>
  <si>
    <t>222101203-10</t>
  </si>
  <si>
    <t>222101198-20</t>
  </si>
  <si>
    <t>222101198-10</t>
  </si>
  <si>
    <t>222101207-20</t>
  </si>
  <si>
    <t>222100699-10</t>
  </si>
  <si>
    <t>222100700-10</t>
  </si>
  <si>
    <t>100ME060-6200</t>
  </si>
  <si>
    <t>PIETRA SPEZIA</t>
  </si>
  <si>
    <t xml:space="preserve">222100920-10 </t>
  </si>
  <si>
    <t>NEGOTIATING IN GENEVA</t>
  </si>
  <si>
    <t>222101316-10</t>
  </si>
  <si>
    <t>222101322-10</t>
  </si>
  <si>
    <t>MG WINTER CHERRY</t>
  </si>
  <si>
    <t>222101024-20</t>
  </si>
  <si>
    <t xml:space="preserve">222101024-10 </t>
  </si>
  <si>
    <t>MG WB CHERRY</t>
  </si>
  <si>
    <t>IQ MAPLE LANES (CENTER)</t>
  </si>
  <si>
    <t>221102438-20</t>
  </si>
  <si>
    <t>221102438-10</t>
  </si>
  <si>
    <t>222100701-10</t>
  </si>
  <si>
    <t>222101617-10</t>
  </si>
  <si>
    <t>WEATHERED TEAK</t>
  </si>
  <si>
    <t>221101673-05 OVERRUN ROLL</t>
  </si>
  <si>
    <t>PENDING</t>
  </si>
  <si>
    <t xml:space="preserve">222101319-20 </t>
  </si>
  <si>
    <t>222101319-15</t>
  </si>
  <si>
    <t>MG DARK EXPRESSO</t>
  </si>
  <si>
    <t>222101202-20</t>
  </si>
  <si>
    <t>222101202-10</t>
  </si>
  <si>
    <t>CHARCOAL ESSENCE</t>
  </si>
  <si>
    <t>220100566-10 - OVERRUN ROLLS</t>
  </si>
  <si>
    <t>WHITE ESSENCE</t>
  </si>
  <si>
    <t>222101600-20</t>
  </si>
  <si>
    <t>222101600-10</t>
  </si>
  <si>
    <t xml:space="preserve">222100616-10 </t>
  </si>
  <si>
    <t>FRENCH BLUE MATRIX</t>
  </si>
  <si>
    <t>222101618-10</t>
  </si>
  <si>
    <t>GRAY MATRIX</t>
  </si>
  <si>
    <t>222101197-10</t>
  </si>
  <si>
    <t>STORM GRAY MATRIX</t>
  </si>
  <si>
    <t>220101126 -10 OVERRUN ROLLS</t>
  </si>
  <si>
    <t>WINTER GRAY MATRIX</t>
  </si>
  <si>
    <t>222101733-10</t>
  </si>
  <si>
    <t>222101320-20</t>
  </si>
  <si>
    <t>222101320-10</t>
  </si>
  <si>
    <t>STAINLESS METAL X</t>
  </si>
  <si>
    <t>222101327-10</t>
  </si>
  <si>
    <t>SILVER ALU METALX</t>
  </si>
  <si>
    <t>COOL CHIC</t>
  </si>
  <si>
    <t>222101318-20</t>
  </si>
  <si>
    <t>222101324-10</t>
  </si>
  <si>
    <t>221102901-10</t>
  </si>
  <si>
    <t>MG CAFÉ AU LAIT</t>
  </si>
  <si>
    <t xml:space="preserve">222101227-10 </t>
  </si>
  <si>
    <t>lamigraf</t>
  </si>
  <si>
    <t>Neodecortech</t>
  </si>
  <si>
    <t>17# Poly Overlay</t>
  </si>
  <si>
    <t/>
  </si>
  <si>
    <t>700</t>
  </si>
  <si>
    <t>Onyx</t>
  </si>
  <si>
    <t>7113</t>
  </si>
  <si>
    <t>10/31/2022</t>
  </si>
  <si>
    <t>3/18/2023</t>
  </si>
  <si>
    <t>19000</t>
  </si>
  <si>
    <t>20000</t>
  </si>
  <si>
    <t>10500</t>
  </si>
  <si>
    <t>7114</t>
  </si>
  <si>
    <t>H/W OVERLAY</t>
  </si>
  <si>
    <t>4/1/2023</t>
  </si>
  <si>
    <t>1000</t>
  </si>
  <si>
    <t>1500</t>
  </si>
  <si>
    <t>5500</t>
  </si>
  <si>
    <t>12/13/2022</t>
  </si>
  <si>
    <t>7129</t>
  </si>
  <si>
    <t>3500</t>
  </si>
  <si>
    <t>3/14/2023</t>
  </si>
  <si>
    <t>4500</t>
  </si>
  <si>
    <t>7095</t>
  </si>
  <si>
    <t>ALMOND CORE</t>
  </si>
  <si>
    <t>10/3/2022</t>
  </si>
  <si>
    <t>2/13/2023</t>
  </si>
  <si>
    <t>130# ESD CONDUCTIVE CORE</t>
  </si>
  <si>
    <t>4000</t>
  </si>
  <si>
    <t>9/12/2022</t>
  </si>
  <si>
    <t>6000</t>
  </si>
  <si>
    <t>100DB030-5000</t>
  </si>
  <si>
    <t>MELBA BACKER</t>
  </si>
  <si>
    <t>10/17/2022</t>
  </si>
  <si>
    <t>3/1/2023</t>
  </si>
  <si>
    <t>100DB030-6200</t>
  </si>
  <si>
    <t>7000</t>
  </si>
  <si>
    <t>7097</t>
  </si>
  <si>
    <t>CHEMICAL BLACK</t>
  </si>
  <si>
    <t>8/22/2022</t>
  </si>
  <si>
    <t>7115</t>
  </si>
  <si>
    <t>11/7/2022</t>
  </si>
  <si>
    <t>3/22/2023</t>
  </si>
  <si>
    <t>12/19/2022</t>
  </si>
  <si>
    <t>100KM067-5000</t>
  </si>
  <si>
    <t>SOFT CHAMOIS III</t>
  </si>
  <si>
    <t>100KM067-6200</t>
  </si>
  <si>
    <t>7131</t>
  </si>
  <si>
    <t>1750</t>
  </si>
  <si>
    <t>3/29/2023</t>
  </si>
  <si>
    <t>8/1/2022</t>
  </si>
  <si>
    <t>7051</t>
  </si>
  <si>
    <t>1/20/2023</t>
  </si>
  <si>
    <t>-497</t>
  </si>
  <si>
    <t>7080</t>
  </si>
  <si>
    <t>2800</t>
  </si>
  <si>
    <t>1/15/2023</t>
  </si>
  <si>
    <t>7015</t>
  </si>
  <si>
    <t>7067</t>
  </si>
  <si>
    <t>12/30/2022</t>
  </si>
  <si>
    <t>9/19/2022</t>
  </si>
  <si>
    <t>6810</t>
  </si>
  <si>
    <t>1/22/2023</t>
  </si>
  <si>
    <t>12/12/2022</t>
  </si>
  <si>
    <t>12/2/2022</t>
  </si>
  <si>
    <t>578</t>
  </si>
  <si>
    <t>1/26/2023</t>
  </si>
  <si>
    <t>7124</t>
  </si>
  <si>
    <t>11500</t>
  </si>
  <si>
    <t>3/11/2023</t>
  </si>
  <si>
    <t>7068</t>
  </si>
  <si>
    <t>3/31/2023</t>
  </si>
  <si>
    <t>7132</t>
  </si>
  <si>
    <t>BLACK PEARL</t>
  </si>
  <si>
    <t>STRING</t>
  </si>
  <si>
    <t>WROUGHT IRON</t>
  </si>
  <si>
    <t>2/17/2023</t>
  </si>
  <si>
    <t>MARITIME GRAY</t>
  </si>
  <si>
    <t>1/6/2023</t>
  </si>
  <si>
    <t>37</t>
  </si>
  <si>
    <t>VIOLINE</t>
  </si>
  <si>
    <t>SOLID WHITE</t>
  </si>
  <si>
    <t>3/12/2023</t>
  </si>
  <si>
    <t>SMOKEY WHITE</t>
  </si>
  <si>
    <t>12/29/2022</t>
  </si>
  <si>
    <t>U/C PPR PATINA</t>
  </si>
  <si>
    <t>Sappi</t>
  </si>
  <si>
    <t>U/C PR ASHWOOD</t>
  </si>
  <si>
    <t>U/C PR CRYSTAL</t>
  </si>
  <si>
    <t>U/C PRX LINE Z</t>
  </si>
  <si>
    <t>U/C PRX QUERCIA</t>
  </si>
  <si>
    <t>U/C PRX SCULPTURED WOOD</t>
  </si>
  <si>
    <t>ULTRACAST PRX YOSEMITE</t>
  </si>
  <si>
    <t>UTL-CL COMODO R-375</t>
  </si>
  <si>
    <t>West Springfield</t>
  </si>
  <si>
    <t>Suddekor</t>
  </si>
  <si>
    <t>GRAVEYARD OF THE ATLANTIC</t>
  </si>
  <si>
    <t>SUMMER PASSION</t>
  </si>
  <si>
    <t>SUGAR MAPLE</t>
  </si>
  <si>
    <t>BRUNS. MAPLE LANE</t>
  </si>
  <si>
    <t>100WX125-5000</t>
  </si>
  <si>
    <t>WOODSTOCK GRANITE</t>
  </si>
  <si>
    <t>CALUNA CHERRY</t>
  </si>
  <si>
    <t xml:space="preserve">DRY CREEK PLUM TREE </t>
  </si>
  <si>
    <t>x</t>
  </si>
  <si>
    <t>GERMANY</t>
  </si>
  <si>
    <t>Schattdecor</t>
  </si>
  <si>
    <t>ST. LOUIS</t>
  </si>
  <si>
    <t>ST.LOUIS</t>
  </si>
  <si>
    <t>804052- 8/18 Pan rev + Prod moved to wk 34 til fill capacity</t>
  </si>
  <si>
    <t>798443 - 6/27 Pan rev qty&amp; pushed due date</t>
  </si>
  <si>
    <t>7053</t>
  </si>
  <si>
    <t>WM Standard</t>
  </si>
  <si>
    <t>Technocell</t>
  </si>
  <si>
    <t>100BP006-5000</t>
  </si>
  <si>
    <t>RESV</t>
  </si>
  <si>
    <t>100BP049-5000</t>
  </si>
  <si>
    <t>Suddekor Warehou</t>
  </si>
  <si>
    <t>7054</t>
  </si>
  <si>
    <t>Melle</t>
  </si>
  <si>
    <t>7055</t>
  </si>
  <si>
    <t>100HP568-5000</t>
  </si>
  <si>
    <t>6734</t>
  </si>
  <si>
    <t>Hardrock Maple 4ft</t>
  </si>
  <si>
    <t>Toppan</t>
  </si>
  <si>
    <t>Hardrock Maple 5ft</t>
  </si>
  <si>
    <t>6871</t>
  </si>
  <si>
    <t>McDonough</t>
  </si>
  <si>
    <t>100HP235-6200</t>
  </si>
  <si>
    <t>Pampered Mahogany 5ft</t>
  </si>
  <si>
    <t>Honey Maple 4ft</t>
  </si>
  <si>
    <t>Honey Maple 5ft</t>
  </si>
  <si>
    <t>6923</t>
  </si>
  <si>
    <t>Beige Linen 4ft</t>
  </si>
  <si>
    <t>Beige Linen 5ft</t>
  </si>
  <si>
    <t>Amana Cherry 4ft</t>
  </si>
  <si>
    <t>100WC471-6200</t>
  </si>
  <si>
    <t>Amana Cherry 5ft</t>
  </si>
  <si>
    <t>Mineral Talc 4ft</t>
  </si>
  <si>
    <t>Mineral Talc 5ft</t>
  </si>
  <si>
    <t>Blossom Cherry 5ft</t>
  </si>
  <si>
    <t>Crown Cherry 4ft</t>
  </si>
  <si>
    <t>Crown Cherry 5ft</t>
  </si>
  <si>
    <t>6925</t>
  </si>
  <si>
    <t>Pearwood 4ft</t>
  </si>
  <si>
    <t>Vous Serene 4ft</t>
  </si>
  <si>
    <t>Vous Serene 5ft</t>
  </si>
  <si>
    <t>Absolute Acajou 80g 4ft</t>
  </si>
  <si>
    <t>Absolute Acajou 80g 5ft</t>
  </si>
  <si>
    <t>6960</t>
  </si>
  <si>
    <t>Meteoric Metallo 5ft</t>
  </si>
  <si>
    <t>Rock of Ages 4ft</t>
  </si>
  <si>
    <t>Rock of Ages 5ft</t>
  </si>
  <si>
    <t>Straightaway Oak 4ft</t>
  </si>
  <si>
    <t>Morrow</t>
  </si>
  <si>
    <t>6964</t>
  </si>
  <si>
    <t>Abraham 5ft</t>
  </si>
  <si>
    <t>Spice Walnut 5ft</t>
  </si>
  <si>
    <t>Kona Blend LP 5ft</t>
  </si>
  <si>
    <t>Anigre 4ft</t>
  </si>
  <si>
    <t>Anigre 5ft</t>
  </si>
  <si>
    <t>Fusion Maple 4ft</t>
  </si>
  <si>
    <t>Fusion Maple 5ft</t>
  </si>
  <si>
    <t>7064</t>
  </si>
  <si>
    <t>Theodore 4ft</t>
  </si>
  <si>
    <t>Theodore 5ft</t>
  </si>
  <si>
    <t>7065</t>
  </si>
  <si>
    <t>Vision Vava 4ft</t>
  </si>
  <si>
    <t>Vision Vava 5ft</t>
  </si>
  <si>
    <t>7086</t>
  </si>
  <si>
    <t>Graphite Talc 5ft</t>
  </si>
  <si>
    <t>7087</t>
  </si>
  <si>
    <t>Rock Around the Clock II 5ft</t>
  </si>
  <si>
    <t>Jewel Mahogany 5ft</t>
  </si>
  <si>
    <t>Gotham Metro 5ft</t>
  </si>
  <si>
    <t>7088</t>
  </si>
  <si>
    <t>Blue Granite 4ft</t>
  </si>
  <si>
    <t>Blue Granite 5ft</t>
  </si>
  <si>
    <t>Vanilla Bean 5ft</t>
  </si>
  <si>
    <t>Blossom Cherry 4ft</t>
  </si>
  <si>
    <t>Sovereign Cherry 5ft</t>
  </si>
  <si>
    <t>7089</t>
  </si>
  <si>
    <t>Straightaway Oak 5ft</t>
  </si>
  <si>
    <t>Royal Mahogany 4ft</t>
  </si>
  <si>
    <t>Royal Mahogany 5ft</t>
  </si>
  <si>
    <t>Kona Blend 4ft</t>
  </si>
  <si>
    <t>7091</t>
  </si>
  <si>
    <t>Red Ember 4ft</t>
  </si>
  <si>
    <t>100WX310-6200</t>
  </si>
  <si>
    <t>Red Ember 5ft</t>
  </si>
  <si>
    <t>7105</t>
  </si>
  <si>
    <t>7116</t>
  </si>
  <si>
    <t>Grandiose Grid 80g 5ft</t>
  </si>
  <si>
    <t>Visable Vava 5ft</t>
  </si>
  <si>
    <t>Siren Maple 4ft</t>
  </si>
  <si>
    <t>Siren Maple 5ft</t>
  </si>
  <si>
    <t>Regency Mahogany 4ft</t>
  </si>
  <si>
    <t>Regency Mahogany 5ft</t>
  </si>
  <si>
    <t>Eiskaffe 5ft</t>
  </si>
  <si>
    <t>Calypso 5ft</t>
  </si>
  <si>
    <t>100KM034-6200</t>
  </si>
  <si>
    <t>7121</t>
  </si>
  <si>
    <t>Black Walnut 5ft</t>
  </si>
  <si>
    <t>LC-55</t>
  </si>
  <si>
    <t>Troy</t>
  </si>
  <si>
    <t>LC-59</t>
  </si>
  <si>
    <t>LC-3</t>
  </si>
  <si>
    <t>LC-19</t>
  </si>
  <si>
    <t>LC-28</t>
  </si>
  <si>
    <t>Wide Paper
62.75 width or greater</t>
  </si>
  <si>
    <t>In-Transit
not included in Inventory</t>
  </si>
  <si>
    <t>Adjusted
PO</t>
  </si>
  <si>
    <t>Adjusted Inventory Qty</t>
  </si>
  <si>
    <t>Adjusted Inventory sans Overage Qty</t>
  </si>
  <si>
    <t>Adjusted In-Transit Quantity</t>
  </si>
  <si>
    <t>Adjusted Run Date</t>
  </si>
  <si>
    <t>Adjusted ETA to Port Date</t>
  </si>
  <si>
    <t>Adjusted Expiration full Date</t>
  </si>
  <si>
    <t>Releasable Status</t>
  </si>
  <si>
    <t>Expiration Status
(if today past 15th)</t>
  </si>
  <si>
    <t>Expire Quantity</t>
  </si>
  <si>
    <t>Duplicate Check</t>
  </si>
  <si>
    <t>Product Appearance Count</t>
  </si>
  <si>
    <t>PO Placed</t>
  </si>
  <si>
    <t>Sort Key</t>
  </si>
  <si>
    <t>Expected Releasable</t>
  </si>
  <si>
    <t>Supplier Full Lead
(days)</t>
  </si>
  <si>
    <t>Supplier Run Lead
(days)</t>
  </si>
  <si>
    <t>Supplier Port Lead
(days)</t>
  </si>
  <si>
    <t>Adjusted Request Quantity</t>
  </si>
  <si>
    <t>Run Date Status</t>
  </si>
  <si>
    <t>Releasable</t>
  </si>
  <si>
    <t>6637</t>
  </si>
  <si>
    <t>10000002-37006637</t>
  </si>
  <si>
    <t>6962</t>
  </si>
  <si>
    <t>Not Releasable</t>
  </si>
  <si>
    <t>7096</t>
  </si>
  <si>
    <t>10000002-43007096</t>
  </si>
  <si>
    <t>10000002-49757096</t>
  </si>
  <si>
    <t>10000002-50006962</t>
  </si>
  <si>
    <t>10000002-62006962</t>
  </si>
  <si>
    <t>10000002-62007096</t>
  </si>
  <si>
    <t>10000007-37007113</t>
  </si>
  <si>
    <t>10000007-50007113</t>
  </si>
  <si>
    <t>10000007-62007113</t>
  </si>
  <si>
    <t>6980</t>
  </si>
  <si>
    <t>10000008-50006980</t>
  </si>
  <si>
    <t>10000008-50007096</t>
  </si>
  <si>
    <t>10000008-62006980</t>
  </si>
  <si>
    <t>10000008-62007096</t>
  </si>
  <si>
    <t>10000009-43007114</t>
  </si>
  <si>
    <t>10000009-62007114</t>
  </si>
  <si>
    <t>10000010-62007129</t>
  </si>
  <si>
    <t>100000C4-50007095</t>
  </si>
  <si>
    <t>108901</t>
  </si>
  <si>
    <t>10000115-5000108901</t>
  </si>
  <si>
    <t>10000115-6200108901</t>
  </si>
  <si>
    <t>109995</t>
  </si>
  <si>
    <t>10000301-6200109995</t>
  </si>
  <si>
    <t>109506</t>
  </si>
  <si>
    <t>10000302-6200109506</t>
  </si>
  <si>
    <t>107029</t>
  </si>
  <si>
    <t>10000305-3700107029</t>
  </si>
  <si>
    <t>109847</t>
  </si>
  <si>
    <t>109851</t>
  </si>
  <si>
    <t>10000325-5000109851</t>
  </si>
  <si>
    <t>10000325-6200109851</t>
  </si>
  <si>
    <t>10000326-5000109847</t>
  </si>
  <si>
    <t>10000326-6200109847</t>
  </si>
  <si>
    <t>10000328-5000109847</t>
  </si>
  <si>
    <t>110449</t>
  </si>
  <si>
    <t>10000328-6200110449</t>
  </si>
  <si>
    <t>10000333-6200110449</t>
  </si>
  <si>
    <t>10000335-5000109847</t>
  </si>
  <si>
    <t>10000335-6200110449</t>
  </si>
  <si>
    <t>6944</t>
  </si>
  <si>
    <t>7075</t>
  </si>
  <si>
    <t>100AE100-50007075</t>
  </si>
  <si>
    <t>100AE100-62007075</t>
  </si>
  <si>
    <t>5221</t>
  </si>
  <si>
    <t>100AG011-50005221</t>
  </si>
  <si>
    <t>Invalid PO</t>
  </si>
  <si>
    <t>7112</t>
  </si>
  <si>
    <t>100AG021-50007112</t>
  </si>
  <si>
    <t>7026</t>
  </si>
  <si>
    <t>100AG021-50007026</t>
  </si>
  <si>
    <t>100AG021-62007112</t>
  </si>
  <si>
    <t>100AG021-62007026</t>
  </si>
  <si>
    <t>100AG180-62006960</t>
  </si>
  <si>
    <t>7110</t>
  </si>
  <si>
    <t>100AG251-37007110</t>
  </si>
  <si>
    <t>6986</t>
  </si>
  <si>
    <t>100AG251-37006986</t>
  </si>
  <si>
    <t>100AG251-50007110</t>
  </si>
  <si>
    <t>100AG251-50006986</t>
  </si>
  <si>
    <t>100AG251-62007110</t>
  </si>
  <si>
    <t>100AG251-62006986</t>
  </si>
  <si>
    <t>100AG361-62007086</t>
  </si>
  <si>
    <t>100AG381-50007086</t>
  </si>
  <si>
    <t>100AG381-62007086</t>
  </si>
  <si>
    <t>7056</t>
  </si>
  <si>
    <t>100AG471-62007056</t>
  </si>
  <si>
    <t>7066</t>
  </si>
  <si>
    <t>100AG611-50007066</t>
  </si>
  <si>
    <t>7019</t>
  </si>
  <si>
    <t>100AG611-50007019</t>
  </si>
  <si>
    <t>100AG611-62007066</t>
  </si>
  <si>
    <t>100AG611-62007019</t>
  </si>
  <si>
    <t>7011</t>
  </si>
  <si>
    <t>100AT106-62007116</t>
  </si>
  <si>
    <t>100AT301-50006923</t>
  </si>
  <si>
    <t>100AT301-62006923</t>
  </si>
  <si>
    <t>7023</t>
  </si>
  <si>
    <t>100AT401-62007023</t>
  </si>
  <si>
    <t>100AT650-50007066</t>
  </si>
  <si>
    <t>6982</t>
  </si>
  <si>
    <t>100AT650-62007066</t>
  </si>
  <si>
    <t xml:space="preserve">220101120-10 - OVERRUN ROLLS </t>
  </si>
  <si>
    <t>6335</t>
  </si>
  <si>
    <t>100AV781-62006335</t>
  </si>
  <si>
    <t>7057</t>
  </si>
  <si>
    <t>100AV971-62007057</t>
  </si>
  <si>
    <t>7058</t>
  </si>
  <si>
    <t>100AV981-62007058</t>
  </si>
  <si>
    <t>100AW141-50007086</t>
  </si>
  <si>
    <t>100AW141-62007086</t>
  </si>
  <si>
    <t>7078</t>
  </si>
  <si>
    <t>100AW300-50007078</t>
  </si>
  <si>
    <t>100AW300-62007078</t>
  </si>
  <si>
    <t>100AW785-62007056</t>
  </si>
  <si>
    <t>6998</t>
  </si>
  <si>
    <t>100BP007-50006998</t>
  </si>
  <si>
    <t>7093</t>
  </si>
  <si>
    <t>100BP007-50007093</t>
  </si>
  <si>
    <t>7098</t>
  </si>
  <si>
    <t>100BP007-50007098</t>
  </si>
  <si>
    <t>6814</t>
  </si>
  <si>
    <t>100BP007-50006814</t>
  </si>
  <si>
    <t>100BP007-62006998</t>
  </si>
  <si>
    <t>100BP007-62007093</t>
  </si>
  <si>
    <t>100BP007-62007098</t>
  </si>
  <si>
    <t>100BP007-62006814</t>
  </si>
  <si>
    <t>100DB030-50007129</t>
  </si>
  <si>
    <t>100DB030-62007129</t>
  </si>
  <si>
    <t>100DS009-50007055</t>
  </si>
  <si>
    <t>100DS009-62007055</t>
  </si>
  <si>
    <t>100DS059-50007097</t>
  </si>
  <si>
    <t>100DS064-49147129</t>
  </si>
  <si>
    <t>100DS064-50007129</t>
  </si>
  <si>
    <t>100DS064-62007129</t>
  </si>
  <si>
    <t>100HP020-50007053</t>
  </si>
  <si>
    <t>100HP020-62007053</t>
  </si>
  <si>
    <t>100HP156-50006986</t>
  </si>
  <si>
    <t>7128</t>
  </si>
  <si>
    <t>100HP156-62007128</t>
  </si>
  <si>
    <t>100HP156-62006986</t>
  </si>
  <si>
    <t>100HP190-50007025</t>
  </si>
  <si>
    <t>100HP190-50007041</t>
  </si>
  <si>
    <t>100HP190-62007025</t>
  </si>
  <si>
    <t>100HP190-62007041</t>
  </si>
  <si>
    <t>100HP235-62006871</t>
  </si>
  <si>
    <t>100HP256-50007075</t>
  </si>
  <si>
    <t>6987</t>
  </si>
  <si>
    <t>100HP256-50006987</t>
  </si>
  <si>
    <t>100HP256-62007075</t>
  </si>
  <si>
    <t>100HP268-50007064</t>
  </si>
  <si>
    <t>100HP268-62007064</t>
  </si>
  <si>
    <t>7111</t>
  </si>
  <si>
    <t>100HP290-62007111</t>
  </si>
  <si>
    <t>100HP302-62007058</t>
  </si>
  <si>
    <t>100HP336-50006982</t>
  </si>
  <si>
    <t>100HP340-50007057</t>
  </si>
  <si>
    <t>100HP340-62007057</t>
  </si>
  <si>
    <t>7059</t>
  </si>
  <si>
    <t>100HP370-50007059</t>
  </si>
  <si>
    <t>100HP370-62007059</t>
  </si>
  <si>
    <t>6876</t>
  </si>
  <si>
    <t>100HP372-50006876</t>
  </si>
  <si>
    <t>7030</t>
  </si>
  <si>
    <t>100HP372-62007030</t>
  </si>
  <si>
    <t>6885</t>
  </si>
  <si>
    <t>100HP375-50006885</t>
  </si>
  <si>
    <t>6961</t>
  </si>
  <si>
    <t>100HP375-62006961</t>
  </si>
  <si>
    <t>221102900-20 (overrun roll 2157368-10 &amp; -12)</t>
  </si>
  <si>
    <t>6889</t>
  </si>
  <si>
    <t>100HP393-50006889</t>
  </si>
  <si>
    <t>100HP393-62006987</t>
  </si>
  <si>
    <t>100HP431-62007115</t>
  </si>
  <si>
    <t>7024</t>
  </si>
  <si>
    <t>100HP548-50007024</t>
  </si>
  <si>
    <t>7072</t>
  </si>
  <si>
    <t>100HP548-50007072</t>
  </si>
  <si>
    <t>100HP548-62007024</t>
  </si>
  <si>
    <t>100HP548-62007072</t>
  </si>
  <si>
    <t>100HP565-50007072</t>
  </si>
  <si>
    <t>100HP565-62007024</t>
  </si>
  <si>
    <t>100HP565-62007072</t>
  </si>
  <si>
    <t>7133</t>
  </si>
  <si>
    <t>100HP689-62007133</t>
  </si>
  <si>
    <t>100KM034-62007121</t>
  </si>
  <si>
    <t>100KM038-62006987</t>
  </si>
  <si>
    <t>100KM067-50007095</t>
  </si>
  <si>
    <t>100KM067-62007095</t>
  </si>
  <si>
    <t>7010</t>
  </si>
  <si>
    <t>100ME060-62007010</t>
  </si>
  <si>
    <t>100MG130-62006964</t>
  </si>
  <si>
    <t>7104</t>
  </si>
  <si>
    <t>100MG135-62007104</t>
  </si>
  <si>
    <t>7034</t>
  </si>
  <si>
    <t>100MG160-62007028</t>
  </si>
  <si>
    <t>100MG180-62007133</t>
  </si>
  <si>
    <t>100MR125-50007064</t>
  </si>
  <si>
    <t>100MR125-62007064</t>
  </si>
  <si>
    <t>100MR130-50006885</t>
  </si>
  <si>
    <t>100MR130-62006885</t>
  </si>
  <si>
    <t>100MT500-62007087</t>
  </si>
  <si>
    <t>100MW550-62006944</t>
  </si>
  <si>
    <t>7013</t>
  </si>
  <si>
    <t>100PFA39-50007013</t>
  </si>
  <si>
    <t>100PFA39-62007013</t>
  </si>
  <si>
    <t>100PFA39-62006876</t>
  </si>
  <si>
    <t>7031</t>
  </si>
  <si>
    <t>100PFA42-50007031</t>
  </si>
  <si>
    <t>100PFA42-62007031</t>
  </si>
  <si>
    <t>100PFA51-62007031</t>
  </si>
  <si>
    <t>100PFA60-50007075</t>
  </si>
  <si>
    <t>100PFA60-62007075</t>
  </si>
  <si>
    <t>100SB007-50007131</t>
  </si>
  <si>
    <t>100SB007-62007131</t>
  </si>
  <si>
    <t>100SE105-62007051</t>
  </si>
  <si>
    <t>100SG208-62007095</t>
  </si>
  <si>
    <t>100SG210-50007054</t>
  </si>
  <si>
    <t>100SG210-62007054</t>
  </si>
  <si>
    <t>100SG211-50007080</t>
  </si>
  <si>
    <t>100SG211-62007080</t>
  </si>
  <si>
    <t>100SG224-50007126</t>
  </si>
  <si>
    <t>100SG254-62007131</t>
  </si>
  <si>
    <t>100SR520-50007080</t>
  </si>
  <si>
    <t>100SR520-62007080</t>
  </si>
  <si>
    <t>100ST610-62006810</t>
  </si>
  <si>
    <t>100SW803-62007015</t>
  </si>
  <si>
    <t>100SW811-50007115</t>
  </si>
  <si>
    <t>100SW811-62007115</t>
  </si>
  <si>
    <t>100SW813-50007131</t>
  </si>
  <si>
    <t>100SW813-62007131</t>
  </si>
  <si>
    <t>100SW826-50007067</t>
  </si>
  <si>
    <t>7076</t>
  </si>
  <si>
    <t>100WA001-50007076</t>
  </si>
  <si>
    <t>7074</t>
  </si>
  <si>
    <t>100WA030-50007074</t>
  </si>
  <si>
    <t>100WA030-62007074</t>
  </si>
  <si>
    <t>7094</t>
  </si>
  <si>
    <t>100WA110-62007094</t>
  </si>
  <si>
    <t>7021</t>
  </si>
  <si>
    <t>100WC090-50007021</t>
  </si>
  <si>
    <t>100WC090-62007021</t>
  </si>
  <si>
    <t>7120</t>
  </si>
  <si>
    <t>100WC135-50007120</t>
  </si>
  <si>
    <t>100WC135-62007120</t>
  </si>
  <si>
    <t>100WC421-50007019</t>
  </si>
  <si>
    <t>100WC421-62007019</t>
  </si>
  <si>
    <t>100WC471-50006923</t>
  </si>
  <si>
    <t>100WC471-62006923</t>
  </si>
  <si>
    <t>100WE261-50007031</t>
  </si>
  <si>
    <t>100WE261-62007031</t>
  </si>
  <si>
    <t>7099</t>
  </si>
  <si>
    <t>100WM115-50007099</t>
  </si>
  <si>
    <t>7020</t>
  </si>
  <si>
    <t>100WM115-62007099</t>
  </si>
  <si>
    <t>7106</t>
  </si>
  <si>
    <t>100WM301-62007106</t>
  </si>
  <si>
    <t>7061</t>
  </si>
  <si>
    <t>100WM345-62007061</t>
  </si>
  <si>
    <t>100WM791-50006734</t>
  </si>
  <si>
    <t>100WM791-50007087</t>
  </si>
  <si>
    <t>100WM791-62007087</t>
  </si>
  <si>
    <t>100WM951-50007087</t>
  </si>
  <si>
    <t>100WM951-62007087</t>
  </si>
  <si>
    <t>6872</t>
  </si>
  <si>
    <t>100WO581-50006872</t>
  </si>
  <si>
    <t>100WO581-62006872</t>
  </si>
  <si>
    <t>7119</t>
  </si>
  <si>
    <t>100WO951-62007119</t>
  </si>
  <si>
    <t>100WO951-62006987</t>
  </si>
  <si>
    <t>7063</t>
  </si>
  <si>
    <t>100WP110-50007063</t>
  </si>
  <si>
    <t>7007</t>
  </si>
  <si>
    <t>100WP115-50007007</t>
  </si>
  <si>
    <t>100WP115-62007007</t>
  </si>
  <si>
    <t>7060</t>
  </si>
  <si>
    <t>100WP500-50007060</t>
  </si>
  <si>
    <t>100WP500-62007060</t>
  </si>
  <si>
    <t>6972</t>
  </si>
  <si>
    <t>100WT741-50006972</t>
  </si>
  <si>
    <t>100WT741-62006972</t>
  </si>
  <si>
    <t>100WT790-50007044</t>
  </si>
  <si>
    <t>100WT790-62006897</t>
  </si>
  <si>
    <t>100WT790-62006977</t>
  </si>
  <si>
    <t>100WT850-50007045</t>
  </si>
  <si>
    <t>100WT850-62007045</t>
  </si>
  <si>
    <t>100WT870-62007034</t>
  </si>
  <si>
    <t>100WT870-62007094</t>
  </si>
  <si>
    <t>6781</t>
  </si>
  <si>
    <t>100WW075-62006781</t>
  </si>
  <si>
    <t>100WW120-50007060</t>
  </si>
  <si>
    <t>100WW120-62007060</t>
  </si>
  <si>
    <t>6804</t>
  </si>
  <si>
    <t>100WW185-50006804</t>
  </si>
  <si>
    <t>100WW185-62007060</t>
  </si>
  <si>
    <t>100WW561-62006964</t>
  </si>
  <si>
    <t>100WW601-50007076</t>
  </si>
  <si>
    <t>100WW601-62007076</t>
  </si>
  <si>
    <t>7012</t>
  </si>
  <si>
    <t>100WX310-50007091</t>
  </si>
  <si>
    <t>100WX310-62007091</t>
  </si>
  <si>
    <t>6937</t>
  </si>
  <si>
    <t>100WX421-50006937</t>
  </si>
  <si>
    <t>100WX421-62006937</t>
  </si>
  <si>
    <t>100WX440-62007009</t>
  </si>
  <si>
    <t>6779</t>
  </si>
  <si>
    <t>100WY160-50007064</t>
  </si>
  <si>
    <t>100WY160-50007105</t>
  </si>
  <si>
    <t>100WY160-62007064</t>
  </si>
  <si>
    <t>100WY160-62007105</t>
  </si>
  <si>
    <t>100WY351-62007087</t>
  </si>
  <si>
    <t>100WZ160-62007034</t>
  </si>
  <si>
    <t>100WZ160-62007061</t>
  </si>
  <si>
    <t>110AG872-50007029</t>
  </si>
  <si>
    <t>110AG872-62007029</t>
  </si>
  <si>
    <t>110AT750-50007058</t>
  </si>
  <si>
    <t>110AT750-62007058</t>
  </si>
  <si>
    <t>6287</t>
  </si>
  <si>
    <t>110ES602-62006287</t>
  </si>
  <si>
    <t>110ES701-50007112</t>
  </si>
  <si>
    <t>110ES701-62007112</t>
  </si>
  <si>
    <t>110GR204-62007020</t>
  </si>
  <si>
    <t>7079</t>
  </si>
  <si>
    <t>110GR401-62007079</t>
  </si>
  <si>
    <t>110H5102-50007088</t>
  </si>
  <si>
    <t>110H5102-62007088</t>
  </si>
  <si>
    <t>6974</t>
  </si>
  <si>
    <t>110HA009-43006974</t>
  </si>
  <si>
    <t>110HLT01-50007040</t>
  </si>
  <si>
    <t>110HLT01-62007040</t>
  </si>
  <si>
    <t>110HLT04-50006977</t>
  </si>
  <si>
    <t>110HLT04-62006977</t>
  </si>
  <si>
    <t>110K3000-62007087</t>
  </si>
  <si>
    <t>7108</t>
  </si>
  <si>
    <t>110KM007-62007108</t>
  </si>
  <si>
    <t>7018</t>
  </si>
  <si>
    <t>110M0740-50007018</t>
  </si>
  <si>
    <t>110M5208-5000109995</t>
  </si>
  <si>
    <t>110MG093-62007034</t>
  </si>
  <si>
    <t>110MR206-62006972</t>
  </si>
  <si>
    <t>110MR303-62007119</t>
  </si>
  <si>
    <t>110MR601-62007056</t>
  </si>
  <si>
    <t>7077</t>
  </si>
  <si>
    <t>6336</t>
  </si>
  <si>
    <t>110MR604-62006336</t>
  </si>
  <si>
    <t>110MR605-62007075</t>
  </si>
  <si>
    <t>110MR701-62007128</t>
  </si>
  <si>
    <t>110MR702-50007076</t>
  </si>
  <si>
    <t>110MR702-62007076</t>
  </si>
  <si>
    <t>6865</t>
  </si>
  <si>
    <t>7038</t>
  </si>
  <si>
    <t>110MW580-50007038</t>
  </si>
  <si>
    <t>110MXT02-62007078</t>
  </si>
  <si>
    <t>110MXT03-50007058</t>
  </si>
  <si>
    <t>110MXT03-62007058</t>
  </si>
  <si>
    <t>110RK202-62007030</t>
  </si>
  <si>
    <t>110S2063-62007080</t>
  </si>
  <si>
    <t>110S5059-50007046</t>
  </si>
  <si>
    <t>110S5059-62007046</t>
  </si>
  <si>
    <t>110S6037-50007095</t>
  </si>
  <si>
    <t>110S6037-62007095</t>
  </si>
  <si>
    <t>110S6053-50007124</t>
  </si>
  <si>
    <t>110S6053-62007124</t>
  </si>
  <si>
    <t>110S6053-62007068</t>
  </si>
  <si>
    <t>110S7024-50007080</t>
  </si>
  <si>
    <t>110S7024-62007080</t>
  </si>
  <si>
    <t>110SN219-37007132</t>
  </si>
  <si>
    <t>110SN219-50007132</t>
  </si>
  <si>
    <t>110SN219-62007132</t>
  </si>
  <si>
    <t>110ST052-50007132</t>
  </si>
  <si>
    <t>110ST052-62007132</t>
  </si>
  <si>
    <t>110ST054-50007097</t>
  </si>
  <si>
    <t>110ST054-62007097</t>
  </si>
  <si>
    <t>110ST627-62007068</t>
  </si>
  <si>
    <t>110SV355-62007131</t>
  </si>
  <si>
    <t>110SW704-50007114</t>
  </si>
  <si>
    <t>110SW704-62007114</t>
  </si>
  <si>
    <t>110TM201-50006885</t>
  </si>
  <si>
    <t>110TM201-62006885</t>
  </si>
  <si>
    <t>7036</t>
  </si>
  <si>
    <t>110TQ201-50007036</t>
  </si>
  <si>
    <t>110TQ201-62007036</t>
  </si>
  <si>
    <t>110VA201-62007116</t>
  </si>
  <si>
    <t>110VA202-50007065</t>
  </si>
  <si>
    <t>110VA202-62007065</t>
  </si>
  <si>
    <t>110VA702-50007076</t>
  </si>
  <si>
    <t>110VA702-62007076</t>
  </si>
  <si>
    <t>110VS202-62007088</t>
  </si>
  <si>
    <t>110VS502-50006925</t>
  </si>
  <si>
    <t>110VS502-62006925</t>
  </si>
  <si>
    <t>6981</t>
  </si>
  <si>
    <t>110WA300-62006981</t>
  </si>
  <si>
    <t>110WC013-50007088</t>
  </si>
  <si>
    <t>110WC013-62007088</t>
  </si>
  <si>
    <t>110WC022-62007088</t>
  </si>
  <si>
    <t>110WC200-62007011</t>
  </si>
  <si>
    <t>7073</t>
  </si>
  <si>
    <t>110WF002-50007073</t>
  </si>
  <si>
    <t>110WF002-62007073</t>
  </si>
  <si>
    <t>110WF011-50006905</t>
  </si>
  <si>
    <t>110WF011-62006905</t>
  </si>
  <si>
    <t>110WF011-62007048</t>
  </si>
  <si>
    <t>110WK017-50006865</t>
  </si>
  <si>
    <t>110WK017-62006865</t>
  </si>
  <si>
    <t>7125</t>
  </si>
  <si>
    <t>110WK025-50007125</t>
  </si>
  <si>
    <t>110WK025-62007125</t>
  </si>
  <si>
    <t>110WK027-50007075</t>
  </si>
  <si>
    <t>110WK027-62007075</t>
  </si>
  <si>
    <t>110WM005-50007116</t>
  </si>
  <si>
    <t>110WM005-62007116</t>
  </si>
  <si>
    <t>7035</t>
  </si>
  <si>
    <t>110WM303-50007035</t>
  </si>
  <si>
    <t>110WM303-62007035</t>
  </si>
  <si>
    <t>110WM303-62006779</t>
  </si>
  <si>
    <t>110WM577-62007077</t>
  </si>
  <si>
    <t>110WM717-50007012</t>
  </si>
  <si>
    <t>110WM717-62007012</t>
  </si>
  <si>
    <t>6862</t>
  </si>
  <si>
    <t>110WM840-50006961</t>
  </si>
  <si>
    <t>110WM840-50007073</t>
  </si>
  <si>
    <t>110WM840-62006961</t>
  </si>
  <si>
    <t>110WM840-62007073</t>
  </si>
  <si>
    <t>110WM864-50006972</t>
  </si>
  <si>
    <t>110WM864-62006972</t>
  </si>
  <si>
    <t>110WO040-50007089</t>
  </si>
  <si>
    <t>110WO040-62007089</t>
  </si>
  <si>
    <t>110WS016-50007116</t>
  </si>
  <si>
    <t>110WS016-62007116</t>
  </si>
  <si>
    <t>110WS843-50006876</t>
  </si>
  <si>
    <t>110WS950-50007089</t>
  </si>
  <si>
    <t>110WS950-62007089</t>
  </si>
  <si>
    <t>110WT003-62006889</t>
  </si>
  <si>
    <t>7062</t>
  </si>
  <si>
    <t>110WT770-62007062</t>
  </si>
  <si>
    <t>7127</t>
  </si>
  <si>
    <t>110WW310-50007127</t>
  </si>
  <si>
    <t>110WW310-62007127</t>
  </si>
  <si>
    <t>110WW780-62007060</t>
  </si>
  <si>
    <t>110WW900-62007060</t>
  </si>
  <si>
    <t>110WX115-50007077</t>
  </si>
  <si>
    <t>110WX115-62007077</t>
  </si>
  <si>
    <t>110WX460-50007008</t>
  </si>
  <si>
    <t>110WX460-50007048</t>
  </si>
  <si>
    <t>110WX460-62007048</t>
  </si>
  <si>
    <t>110WZ001-62007036</t>
  </si>
  <si>
    <t>6979</t>
  </si>
  <si>
    <t>110WZ017-50006979</t>
  </si>
  <si>
    <t>110WZ017-62006979</t>
  </si>
  <si>
    <t>110WZ028-50007089</t>
  </si>
  <si>
    <t>110WZ037-62006964</t>
  </si>
  <si>
    <t>110WZ055-62007071</t>
  </si>
  <si>
    <t>110WZ056-62007116</t>
  </si>
  <si>
    <t>110WZ057-62007116</t>
  </si>
  <si>
    <t>110WZ204-50007036</t>
  </si>
  <si>
    <t>110WZ204-62007036</t>
  </si>
  <si>
    <t>110WZ207-62007073</t>
  </si>
  <si>
    <t>110WZ588-50006862</t>
  </si>
  <si>
    <t>7103</t>
  </si>
  <si>
    <t>110WZ588-62007103</t>
  </si>
  <si>
    <t>110YSN02-62007073</t>
  </si>
  <si>
    <t>OPAL IMPRESSION</t>
  </si>
  <si>
    <t>[43548]</t>
  </si>
  <si>
    <t>[49034]</t>
  </si>
  <si>
    <t>[47846]</t>
  </si>
  <si>
    <t>[53895]</t>
  </si>
  <si>
    <t>[54068]</t>
  </si>
  <si>
    <t>[54624]</t>
  </si>
  <si>
    <t>[43837]</t>
  </si>
  <si>
    <t>BASE</t>
  </si>
  <si>
    <t>MAKES SW664</t>
  </si>
  <si>
    <t>100BP006-6200</t>
  </si>
  <si>
    <t>MAKES SW411</t>
  </si>
  <si>
    <t>BASE-NEUTRAL WHITE</t>
  </si>
  <si>
    <t>100BP049-6200</t>
  </si>
  <si>
    <t>PGB MELBA BACKER</t>
  </si>
  <si>
    <t>PANOLAM B030</t>
  </si>
  <si>
    <t>RESO 5'</t>
  </si>
  <si>
    <t>[43319]</t>
  </si>
  <si>
    <t>[43966]</t>
  </si>
  <si>
    <t>MILLER MOVED TO TFM PN69 11/04</t>
  </si>
  <si>
    <t>HON MAHOGANY</t>
  </si>
  <si>
    <t>HON/UB KLEM &amp;OPEN +Wd    50W</t>
  </si>
  <si>
    <t>HON/UB Klem &amp; open +Wd     50W</t>
  </si>
  <si>
    <t>WALK ON THE BEECH</t>
  </si>
  <si>
    <t>2006 STANDARD-PAN</t>
  </si>
  <si>
    <t>2006 STANDARD-PANOLAM</t>
  </si>
  <si>
    <t>[52904]</t>
  </si>
  <si>
    <t>MORNING DEW</t>
  </si>
  <si>
    <t>2003 SUN DIAL NRB 2-18</t>
  </si>
  <si>
    <t>HP AMBERWOOD</t>
  </si>
  <si>
    <t>PAMPER MAHOGANY</t>
  </si>
  <si>
    <t>BUSH IND. 6/03 MOTOWN</t>
  </si>
  <si>
    <t>[51579]</t>
  </si>
  <si>
    <t>VANILLA MAPLE</t>
  </si>
  <si>
    <t>PANOLAM STANDARD NRB 2-18</t>
  </si>
  <si>
    <t>[51925]</t>
  </si>
  <si>
    <t>[54687]</t>
  </si>
  <si>
    <t>[52302]</t>
  </si>
  <si>
    <t>[51444]</t>
  </si>
  <si>
    <t>[54756]</t>
  </si>
  <si>
    <t>SILVER GRAY (SOLID)</t>
  </si>
  <si>
    <t>PANOLAM STANDARD LINE      406</t>
  </si>
  <si>
    <t>Kitchen Craft</t>
  </si>
  <si>
    <t>KITCHEN CRAFT</t>
  </si>
  <si>
    <t>HAYDEN GRAY</t>
  </si>
  <si>
    <t>[46095]</t>
  </si>
  <si>
    <t>100HP473-5000</t>
  </si>
  <si>
    <t>DOESKIN</t>
  </si>
  <si>
    <t>PANOLAM STANDARD LINE      477</t>
  </si>
  <si>
    <t>[51010]</t>
  </si>
  <si>
    <t>[54342]</t>
  </si>
  <si>
    <t>[54506]</t>
  </si>
  <si>
    <t>ALMONDINE (SOLID)</t>
  </si>
  <si>
    <t>STND (S556)(930 WAS 920)+W 50S</t>
  </si>
  <si>
    <t>ALMONDINE  (SOLID)</t>
  </si>
  <si>
    <t>ALCOVE WALNUT</t>
  </si>
  <si>
    <t>PANOLAM STANDARD LINE (NRB)</t>
  </si>
  <si>
    <t>100HP690-6200</t>
  </si>
  <si>
    <t>NRB 6/23/22 GLOBAL</t>
  </si>
  <si>
    <t>CO-AMATI WALNUT</t>
  </si>
  <si>
    <t>C0-KC HONEY</t>
  </si>
  <si>
    <t>CO - STEEL WHITE</t>
  </si>
  <si>
    <t>CO - GREAT LAKES MAP</t>
  </si>
  <si>
    <t>CO SEAGULL GRAY</t>
  </si>
  <si>
    <t>CO -SEAGULL GRAY</t>
  </si>
  <si>
    <t>CO FIELD MAPLE</t>
  </si>
  <si>
    <t>CO TECHNO CHERRY II</t>
  </si>
  <si>
    <t>CO APRIL WHITE</t>
  </si>
  <si>
    <t>CO LIGHT ZEBRANO</t>
  </si>
  <si>
    <t>CO-CHOCOLATE</t>
  </si>
  <si>
    <t>COGNAC MAPLE</t>
  </si>
  <si>
    <t>OFS HONEY MAPLE</t>
  </si>
  <si>
    <t>CO- SOFT GREY</t>
  </si>
  <si>
    <t>MG FALLING OAK</t>
  </si>
  <si>
    <t>MG BUSH PLATINUM GRA</t>
  </si>
  <si>
    <t>MG BUSH BLACK WALNUT</t>
  </si>
  <si>
    <t>MG ARCTIC WHITE</t>
  </si>
  <si>
    <t>[53757]</t>
  </si>
  <si>
    <t>BACKER TRIAL (DB030)</t>
  </si>
  <si>
    <t>BLACK TRIAL (DS064 t</t>
  </si>
  <si>
    <t>FROSTY WHITE (TRIAL)</t>
  </si>
  <si>
    <t>[42849]</t>
  </si>
  <si>
    <t>[52121]</t>
  </si>
  <si>
    <t>[51653]</t>
  </si>
  <si>
    <t>KIMBALL GRAPHITE</t>
  </si>
  <si>
    <t>***NRB***KIMBALL DROPPED</t>
  </si>
  <si>
    <t>SLATE GREY</t>
  </si>
  <si>
    <t>SAGE</t>
  </si>
  <si>
    <t>[45554]</t>
  </si>
  <si>
    <t>[43916]</t>
  </si>
  <si>
    <t>[54810]</t>
  </si>
  <si>
    <t>[47060]</t>
  </si>
  <si>
    <t>03 SUN DIAL COL  aka HP265 NRB</t>
  </si>
  <si>
    <t>BUSH MOCHA CLEAN CHE</t>
  </si>
  <si>
    <t>BUSHG</t>
  </si>
  <si>
    <t>BUSH CLASSIC CHERRY</t>
  </si>
  <si>
    <t>[45000]</t>
  </si>
  <si>
    <t>[45694]</t>
  </si>
  <si>
    <t>[49405]</t>
  </si>
  <si>
    <t>[45864]</t>
  </si>
  <si>
    <t>[49732]</t>
  </si>
  <si>
    <t>RUSTIC ROBLE</t>
  </si>
  <si>
    <t>2012 NEW LINE NRB</t>
  </si>
  <si>
    <t>[50834]</t>
  </si>
  <si>
    <t>[49256]</t>
  </si>
  <si>
    <t>[53685]</t>
  </si>
  <si>
    <t>[54123]</t>
  </si>
  <si>
    <t>[52837]</t>
  </si>
  <si>
    <t>BUSH WALNUT</t>
  </si>
  <si>
    <t>CHUSTO PRINTATRE</t>
  </si>
  <si>
    <t>NRB 2-18</t>
  </si>
  <si>
    <t>KC SPICE</t>
  </si>
  <si>
    <t>[49669]</t>
  </si>
  <si>
    <t>RED PEAR</t>
  </si>
  <si>
    <t>DSI</t>
  </si>
  <si>
    <t>MANNHEIM WOOD</t>
  </si>
  <si>
    <t>WAVE PEAR</t>
  </si>
  <si>
    <t>Ameriwood NRB Open</t>
  </si>
  <si>
    <t>EARTHEN ALLUSION II</t>
  </si>
  <si>
    <t>[44052]</t>
  </si>
  <si>
    <t>[47909]</t>
  </si>
  <si>
    <t>[47294]</t>
  </si>
  <si>
    <t>SMOKY WHITE TFL</t>
  </si>
  <si>
    <t>[42698]</t>
  </si>
  <si>
    <t>[43057]</t>
  </si>
  <si>
    <t>[48288]</t>
  </si>
  <si>
    <t>[43263]</t>
  </si>
  <si>
    <t>[48332]</t>
  </si>
  <si>
    <t>[47960]</t>
  </si>
  <si>
    <t>[48528]</t>
  </si>
  <si>
    <t>[54026]</t>
  </si>
  <si>
    <t>30M7677 - INDIANA FURN NRB</t>
  </si>
  <si>
    <t>[50323]</t>
  </si>
  <si>
    <t>[46620]</t>
  </si>
  <si>
    <t>CHOCOLATE FLAME 62"</t>
  </si>
  <si>
    <t>30M7973 (4527)+Wd Std      89W</t>
  </si>
  <si>
    <t>[49601]</t>
  </si>
  <si>
    <t>[53436]</t>
  </si>
  <si>
    <t>[46775]</t>
  </si>
  <si>
    <t>[45622]</t>
  </si>
  <si>
    <t>[49431]</t>
  </si>
  <si>
    <t>30M7518 (LW27) Midwest Woodwor</t>
  </si>
  <si>
    <t>[51399]</t>
  </si>
  <si>
    <t>[53962]</t>
  </si>
  <si>
    <t>[47130]</t>
  </si>
  <si>
    <t>PEARWOOD 62"</t>
  </si>
  <si>
    <t>PLUSW</t>
  </si>
  <si>
    <t>4500 PLUSWD STD 10W NRB 4-16</t>
  </si>
  <si>
    <t>CO - MEDIUM TONE</t>
  </si>
  <si>
    <t>MG TIGER MAHOGANY 4'</t>
  </si>
  <si>
    <t>BUSH CHARCOAL OAK</t>
  </si>
  <si>
    <t>BUSH RUSSET WALNUT</t>
  </si>
  <si>
    <t>CO KIMBALL SHADOW GR</t>
  </si>
  <si>
    <t>CO KIMBALL STORM</t>
  </si>
  <si>
    <t>CELESTIAL</t>
  </si>
  <si>
    <t>CO - WHITEOUT</t>
  </si>
  <si>
    <t>GRAND MAPLE</t>
  </si>
  <si>
    <t>CO - BELLA CHERRY (G</t>
  </si>
  <si>
    <t>CO - BUSH SAVANNAH B</t>
  </si>
  <si>
    <t>SUGARBUSH</t>
  </si>
  <si>
    <t>BUSH SOLID OAK</t>
  </si>
  <si>
    <t>At Hun
(net)</t>
  </si>
  <si>
    <t>Expires this Month</t>
  </si>
  <si>
    <t>Aub
Usage
Graph</t>
  </si>
  <si>
    <t>Hun
Usage
Graph</t>
  </si>
  <si>
    <t>Color</t>
  </si>
  <si>
    <t>Size</t>
  </si>
  <si>
    <t>Color Check Supp</t>
  </si>
  <si>
    <t>Color Check Hun</t>
  </si>
  <si>
    <t>Release
Quantity
(lbs.)</t>
  </si>
  <si>
    <t>Hun
3 m. Average
(lbs.)</t>
  </si>
  <si>
    <t>Available to Smaller
(sans 20%)</t>
  </si>
  <si>
    <t>Color Need Check (gross)</t>
  </si>
  <si>
    <t>Color Need Check (net)</t>
  </si>
  <si>
    <t>indicate a cutdown is in play</t>
  </si>
  <si>
    <t>Running User Notes</t>
  </si>
  <si>
    <t>Hun, Net</t>
  </si>
  <si>
    <t>Supp and Net or Exp</t>
  </si>
  <si>
    <t>Supp and Net</t>
  </si>
  <si>
    <t>Color Expire</t>
  </si>
  <si>
    <t>Filter Supp Inv Check</t>
  </si>
  <si>
    <t>Filter Hun Inv Check</t>
  </si>
  <si>
    <t>Filter Need (gross)</t>
  </si>
  <si>
    <t>Filter Need (net)</t>
  </si>
  <si>
    <t>Filter Color Expire</t>
  </si>
  <si>
    <t>Hun, Net(with NEED check)</t>
  </si>
  <si>
    <t>Filter
"Need" Removed from true Need (Net)
&lt;for Hun check&gt;</t>
  </si>
  <si>
    <t>Color
"Need" Removed from true Need (Net)
&lt;for Hun check&gt;</t>
  </si>
  <si>
    <t>CIM1C</t>
  </si>
  <si>
    <t>CMZE</t>
  </si>
  <si>
    <t>CIME</t>
  </si>
  <si>
    <t>CMZ1C</t>
  </si>
  <si>
    <t>CIM2C</t>
  </si>
  <si>
    <t>CIMLC</t>
  </si>
  <si>
    <t>CMZ2C</t>
  </si>
  <si>
    <t>CMZLC</t>
  </si>
  <si>
    <t>CIMMC</t>
  </si>
  <si>
    <t>CMZ3C</t>
  </si>
  <si>
    <t>CMZ2</t>
  </si>
  <si>
    <t>CIM2</t>
  </si>
  <si>
    <t>CIM3C</t>
  </si>
  <si>
    <t>CPL Size</t>
  </si>
  <si>
    <t>Equivalent</t>
  </si>
  <si>
    <t>Unit</t>
  </si>
  <si>
    <t>Item</t>
  </si>
  <si>
    <t>Descr</t>
  </si>
  <si>
    <t>Replen Cls</t>
  </si>
  <si>
    <t>Qty On Hand</t>
  </si>
  <si>
    <t>Qty Avail</t>
  </si>
  <si>
    <t>MIN</t>
  </si>
  <si>
    <t>MAX</t>
  </si>
  <si>
    <t>Mth 1 Past</t>
  </si>
  <si>
    <t>Mth 2 Past</t>
  </si>
  <si>
    <t>Mth 3 Past</t>
  </si>
  <si>
    <t>Mth 4 Past</t>
  </si>
  <si>
    <t>Mth 5 Past</t>
  </si>
  <si>
    <t>Mth 6 Past</t>
  </si>
  <si>
    <t>6 MONTH TOTAL</t>
  </si>
  <si>
    <t>6 MONTH AVG. NOT LESS QOH</t>
  </si>
  <si>
    <t>AUB01</t>
  </si>
  <si>
    <t>210WC200-CIM1C</t>
  </si>
  <si>
    <t>CALUNA CHERRY 50-DR</t>
  </si>
  <si>
    <t>210WT005-CIM1C</t>
  </si>
  <si>
    <t>LUMINERY TEAK 50-DR</t>
  </si>
  <si>
    <t>200SG213-CMZE</t>
  </si>
  <si>
    <t>OPTI GRAY 61 1/2</t>
  </si>
  <si>
    <t>210ST624-CIME</t>
  </si>
  <si>
    <t>CORDIAL GRAY 49 1/2</t>
  </si>
  <si>
    <t>210ES203-CIM1C</t>
  </si>
  <si>
    <t>SIENNA ESSENCE 50-DR</t>
  </si>
  <si>
    <t>200SG228-CMZE</t>
  </si>
  <si>
    <t>SLATE 61 1/2</t>
  </si>
  <si>
    <t>200SP401-CIME</t>
  </si>
  <si>
    <t>ROYAL BURGUNDY 49 1/2</t>
  </si>
  <si>
    <t>200WC090-CIM1C</t>
  </si>
  <si>
    <t>WINTER CHERRY 50-DR</t>
  </si>
  <si>
    <t>210MR702-CMZ1C</t>
  </si>
  <si>
    <t>WILD OATS MATRIX  62-DR</t>
  </si>
  <si>
    <t>200SG241-CIME</t>
  </si>
  <si>
    <t>FOLKSTONE GRAY 49 1/2</t>
  </si>
  <si>
    <t>210AT510-CIM1C</t>
  </si>
  <si>
    <t>BLISSFUL PATH II 50-DR</t>
  </si>
  <si>
    <t>210WX075-CIM1C</t>
  </si>
  <si>
    <t>GALAO 50-DR</t>
  </si>
  <si>
    <t>210AG100-CIM1C</t>
  </si>
  <si>
    <t>GRAY KINETIC 50-DR</t>
  </si>
  <si>
    <t>200SG254-CMZE</t>
  </si>
  <si>
    <t>ASH GRAY 61 1/2</t>
  </si>
  <si>
    <t>210PH701-CIM2C</t>
  </si>
  <si>
    <t>WHITE PHANTASY 50-R</t>
  </si>
  <si>
    <t>200ST606-CIMLC</t>
  </si>
  <si>
    <t>TAUPE 50-R</t>
  </si>
  <si>
    <t>210WM864-CIM1C</t>
  </si>
  <si>
    <t>RUSTIC QUARTERED OAK 50-DR</t>
  </si>
  <si>
    <t>200WX421-CIM2C</t>
  </si>
  <si>
    <t>WITCHCRAFT 50-R</t>
  </si>
  <si>
    <t>200MR130-CIM1C</t>
  </si>
  <si>
    <t>ROSE GRANITE 50-DR</t>
  </si>
  <si>
    <t>200WC115-CMZ2C</t>
  </si>
  <si>
    <t>AIMTOO SAVATRE 62-R</t>
  </si>
  <si>
    <t>200WC652-CIM1C</t>
  </si>
  <si>
    <t>COASTAL COTTAGE 50-DR</t>
  </si>
  <si>
    <t>210MR605-CIM2C</t>
  </si>
  <si>
    <t>WINTER GRAY MATRIX 50-R</t>
  </si>
  <si>
    <t>210WM850-CIM1C</t>
  </si>
  <si>
    <t>CARMEL SAGAWOOD 50-DR</t>
  </si>
  <si>
    <t>200AT680-CIM1C</t>
  </si>
  <si>
    <t>TRAVELIN LIGHT 50-DR</t>
  </si>
  <si>
    <t>200WT880-CIM1C</t>
  </si>
  <si>
    <t>COOL AUTUMN NIGHT 50-DR</t>
  </si>
  <si>
    <t>200AG031-CIM1C</t>
  </si>
  <si>
    <t>FIRST N MAIN 50-DR</t>
  </si>
  <si>
    <t>200WZ160-CIM1C</t>
  </si>
  <si>
    <t>EARL GREY SORBET 50-DR</t>
  </si>
  <si>
    <t>210VA702-CMZ1C</t>
  </si>
  <si>
    <t>COOL CHIC 62-DR</t>
  </si>
  <si>
    <t>210WH005-CIM1C</t>
  </si>
  <si>
    <t>RUGGED TRAIL 50-DR</t>
  </si>
  <si>
    <t>200WT860-CIM1C</t>
  </si>
  <si>
    <t>TAILGATING 50-DR</t>
  </si>
  <si>
    <t>210SN293-CMZE</t>
  </si>
  <si>
    <t>SANDCASTLE 61 1/2</t>
  </si>
  <si>
    <t>200WX800-CIM2C</t>
  </si>
  <si>
    <t>LUNAR LEGNO 50-R</t>
  </si>
  <si>
    <t>200WC411-CIM1C</t>
  </si>
  <si>
    <t>YORKSHIRE CHERRY 50-DR</t>
  </si>
  <si>
    <t>210WZ018-CIM1C</t>
  </si>
  <si>
    <t>NATURAL BAMBOO 50-DR</t>
  </si>
  <si>
    <t>200WW561-CIM1C</t>
  </si>
  <si>
    <t>SPICE WALNUT 50-DR</t>
  </si>
  <si>
    <t>210WF011-CMZ1C</t>
  </si>
  <si>
    <t>MACCHIATO 62-DR</t>
  </si>
  <si>
    <t>200WW120-CIM1C</t>
  </si>
  <si>
    <t>A GOOD BOOK 50-DR</t>
  </si>
  <si>
    <t>200SECND-CMZ2C</t>
  </si>
  <si>
    <t>OBSOLETE PRINT 62-R</t>
  </si>
  <si>
    <t>200AG081-CIM1C</t>
  </si>
  <si>
    <t>SUGAR PIE 50-DR</t>
  </si>
  <si>
    <t>200AW871-CIM1C</t>
  </si>
  <si>
    <t>VANILLA FIBER 50-DR</t>
  </si>
  <si>
    <t>210WZ054-CIM1C</t>
  </si>
  <si>
    <t>BREVE 50-DR</t>
  </si>
  <si>
    <t>210WY200-CIM1C</t>
  </si>
  <si>
    <t>MIESIAN 50-DR</t>
  </si>
  <si>
    <t>210VA601-CIM1C</t>
  </si>
  <si>
    <t>CALM DISTINCTION 50-DR</t>
  </si>
  <si>
    <t>200WP125-CIM1C</t>
  </si>
  <si>
    <t>SEEMS LIKATRE 50-DR</t>
  </si>
  <si>
    <t>200AT991-CIM1C</t>
  </si>
  <si>
    <t>WHEAT FIBER 50-DR</t>
  </si>
  <si>
    <t>210WW900-CIM1C</t>
  </si>
  <si>
    <t>SUNBEAM 50-DR</t>
  </si>
  <si>
    <t>200KM038-CIM1C</t>
  </si>
  <si>
    <t>URBAN MARBLE 50-DR</t>
  </si>
  <si>
    <t>200WO740-CIM1C</t>
  </si>
  <si>
    <t>MORCHELLA HUNT 50-DR</t>
  </si>
  <si>
    <t>210WM528-CIM1C</t>
  </si>
  <si>
    <t>VERMONT MAPLE 50-DR</t>
  </si>
  <si>
    <t>200AW200-CIM1C</t>
  </si>
  <si>
    <t>BRIDAL BLANCO   50-DR</t>
  </si>
  <si>
    <t>200SB027-CIMLC</t>
  </si>
  <si>
    <t>SUMMER VACATION 50-R</t>
  </si>
  <si>
    <t>200000C3-CIME</t>
  </si>
  <si>
    <t>CARNATION WHITE HRC 49 1/2</t>
  </si>
  <si>
    <t>200SB006-CIME</t>
  </si>
  <si>
    <t>INDIGO BLUE 49 1/2</t>
  </si>
  <si>
    <t>200ST610-CMZE</t>
  </si>
  <si>
    <t>SQUASH 61 1/2</t>
  </si>
  <si>
    <t>200SG210-CMZE</t>
  </si>
  <si>
    <t>GREIGE 61 1/2</t>
  </si>
  <si>
    <t>210S8003-CIME</t>
  </si>
  <si>
    <t>SUMMER NIGHT GLOW 49 1/2</t>
  </si>
  <si>
    <t>210WC022-CIM1C</t>
  </si>
  <si>
    <t>SOVEREIGN CHERRY 50-DR</t>
  </si>
  <si>
    <t>200SG211-CIME</t>
  </si>
  <si>
    <t>INGOT GRAY 49 1/2</t>
  </si>
  <si>
    <t>200SG224-CMZE</t>
  </si>
  <si>
    <t>STONEDUST 61 1/2</t>
  </si>
  <si>
    <t>200SB007-CMZE</t>
  </si>
  <si>
    <t>NAVY BLUE 61 1/2</t>
  </si>
  <si>
    <t>200SG246-CIME</t>
  </si>
  <si>
    <t>DOLPHIN GRAY 49 1/2</t>
  </si>
  <si>
    <t>200SR505-CIME</t>
  </si>
  <si>
    <t>NAVAJO RED 49 1/2</t>
  </si>
  <si>
    <t>200SE102-CMZE</t>
  </si>
  <si>
    <t>EBONY BLACK 61 1/2</t>
  </si>
  <si>
    <t>200SG228-CIME</t>
  </si>
  <si>
    <t>SLATE 49 1/2</t>
  </si>
  <si>
    <t>200ST604-CIME</t>
  </si>
  <si>
    <t>NUBIAN BROWN 49 1/2</t>
  </si>
  <si>
    <t>200SY913-CIME</t>
  </si>
  <si>
    <t>FORSYTHIA 49 1/2</t>
  </si>
  <si>
    <t>200SG240-CIME</t>
  </si>
  <si>
    <t>MOSS GRAY 49 1/2</t>
  </si>
  <si>
    <t>210WO710-CIM1C</t>
  </si>
  <si>
    <t>SIMPLICITY 50-DR</t>
  </si>
  <si>
    <t>210YSN01-CIM1C</t>
  </si>
  <si>
    <t>TEA STAIN SPUN YARN 50-DR</t>
  </si>
  <si>
    <t>210FS201-CIM2C</t>
  </si>
  <si>
    <t>CANYON FISSURE 50-R</t>
  </si>
  <si>
    <t>200SE102-CIME</t>
  </si>
  <si>
    <t>EBONY BLACK 49 1/2</t>
  </si>
  <si>
    <t>210WZ057-CIM2C</t>
  </si>
  <si>
    <t>CALYPSO 50-R</t>
  </si>
  <si>
    <t>200SG240-CMZE</t>
  </si>
  <si>
    <t>MOSS GRAY 61 1/2</t>
  </si>
  <si>
    <t>210WZ017-CIM2C</t>
  </si>
  <si>
    <t>GALLOWAY BURL 50-R</t>
  </si>
  <si>
    <t>200SB007-CIME</t>
  </si>
  <si>
    <t>NAVY BLUE 49 1/2</t>
  </si>
  <si>
    <t>210WU006-CIM1C</t>
  </si>
  <si>
    <t>BRAVE SPIRIT 50-DR</t>
  </si>
  <si>
    <t>210SB322-CMZE</t>
  </si>
  <si>
    <t>DEEP BLUE 61 1/2</t>
  </si>
  <si>
    <t>200SG203-CMZE</t>
  </si>
  <si>
    <t>PUMICE 61 1/2</t>
  </si>
  <si>
    <t>20000335-CIM1C</t>
  </si>
  <si>
    <t>LINE Z 50-DR</t>
  </si>
  <si>
    <t>200SG208-CIME</t>
  </si>
  <si>
    <t>LIMESTONE 49 1/2</t>
  </si>
  <si>
    <t>200WO680-CIM1C</t>
  </si>
  <si>
    <t>CRACKLE CRUNCH 50-DR</t>
  </si>
  <si>
    <t>200SG240-CIMLC</t>
  </si>
  <si>
    <t>MOSS GRAY 50-R</t>
  </si>
  <si>
    <t>200MW550-CIM2C</t>
  </si>
  <si>
    <t>WHITE FIESTA 50-R</t>
  </si>
  <si>
    <t>200AT301-CIM1C</t>
  </si>
  <si>
    <t>BRIGE LINEN 50-DR</t>
  </si>
  <si>
    <t>200HP144-CIM2C</t>
  </si>
  <si>
    <t>WILD CHERRY 50-R</t>
  </si>
  <si>
    <t>200SG204-CIMLC</t>
  </si>
  <si>
    <t>MERCURY 50-R</t>
  </si>
  <si>
    <t>200AG801-CIM1C</t>
  </si>
  <si>
    <t>JUMPING IN PUDDLES 50-DR</t>
  </si>
  <si>
    <t>200HP273-CIM2C</t>
  </si>
  <si>
    <t>MAHOGANY CLOVE 50-R</t>
  </si>
  <si>
    <t>200WT790-CIM1C</t>
  </si>
  <si>
    <t>WEDDING CAKE 50-DR</t>
  </si>
  <si>
    <t>210LN601-CIM1C</t>
  </si>
  <si>
    <t>FRAPPE 50-DR</t>
  </si>
  <si>
    <t>210AT750-CIM1C</t>
  </si>
  <si>
    <t>PENNY LANE 50-DR</t>
  </si>
  <si>
    <t>200WY131-CIM1C</t>
  </si>
  <si>
    <t>SILVIO 50-DR</t>
  </si>
  <si>
    <t>200WM255-CMZ1C</t>
  </si>
  <si>
    <t>OFS BLOND MAPLE 62-DR</t>
  </si>
  <si>
    <t>200WA120-CMZ1C</t>
  </si>
  <si>
    <t>AFTERNOON NAP 62-DR</t>
  </si>
  <si>
    <t>200SG254-CIME</t>
  </si>
  <si>
    <t>ASH GRAY 49 1/2</t>
  </si>
  <si>
    <t>200SG214-CMZE</t>
  </si>
  <si>
    <t>BANKERS GRAY 61 1/2</t>
  </si>
  <si>
    <t>200WA090-CIM1C</t>
  </si>
  <si>
    <t>DINING BY CANDLELIGH 50-DR</t>
  </si>
  <si>
    <t>210WM577-CIM1C</t>
  </si>
  <si>
    <t>SCANDIA MAPLE 50-DR</t>
  </si>
  <si>
    <t>210WZ049-CIM2C</t>
  </si>
  <si>
    <t>CREMA 50-R</t>
  </si>
  <si>
    <t>210AG800-CIM1C</t>
  </si>
  <si>
    <t>SILVER DOLLAR 50-DR</t>
  </si>
  <si>
    <t>200WP500-CIM1C</t>
  </si>
  <si>
    <t>S'MORES 50-DR</t>
  </si>
  <si>
    <t>200WC125-CIM1C</t>
  </si>
  <si>
    <t>IWANTOO SAVATRE 50-DR</t>
  </si>
  <si>
    <t>200AG251-CMZ2C</t>
  </si>
  <si>
    <t>GRAY SPEKTRUM 62-R</t>
  </si>
  <si>
    <t>200AE021-CIM2C</t>
  </si>
  <si>
    <t>GRAPHITE SPEKTRUM 50-R</t>
  </si>
  <si>
    <t>200WC431-CMZ1C</t>
  </si>
  <si>
    <t>MILLWORK CHERRY 62-DR</t>
  </si>
  <si>
    <t>200AG130-CIM1C</t>
  </si>
  <si>
    <t>COOKIES &amp; CREAM 50-DR</t>
  </si>
  <si>
    <t>210ST031-CIME</t>
  </si>
  <si>
    <t>FOSSIL GRAY 49 1/2</t>
  </si>
  <si>
    <t>200WC090-CMZ1C</t>
  </si>
  <si>
    <t>WINTER CHERRY 62-DR</t>
  </si>
  <si>
    <t>200AG750-CIM1C</t>
  </si>
  <si>
    <t>DAYDREAMING 50-DR</t>
  </si>
  <si>
    <t>210WZ052-CIM1C</t>
  </si>
  <si>
    <t>MAZAGRAN 50-DR</t>
  </si>
  <si>
    <t>210HLB01-CIM2C</t>
  </si>
  <si>
    <t>BLUE SHIMMER HAUTELINK 50-R</t>
  </si>
  <si>
    <t>200AE100-CMZ1C</t>
  </si>
  <si>
    <t>LITTLE BLACK DRESS 62-DR</t>
  </si>
  <si>
    <t>200SG204-CIME</t>
  </si>
  <si>
    <t>MERCURY 49 1/2</t>
  </si>
  <si>
    <t>200WA030-CMZ1C</t>
  </si>
  <si>
    <t>PICNIC IN THE PARK 62-DR</t>
  </si>
  <si>
    <t>200AT106-CIM1C</t>
  </si>
  <si>
    <t>GRANDIOSE GRID 50-DR</t>
  </si>
  <si>
    <t>200AG251-CIM2C</t>
  </si>
  <si>
    <t>GRAY SPECTRUM 50-R</t>
  </si>
  <si>
    <t>210WZ200-CIM1C</t>
  </si>
  <si>
    <t>ECRU 50-DR</t>
  </si>
  <si>
    <t>210WU003-CIM1C</t>
  </si>
  <si>
    <t>KINDRED SPIRIT 50-DR</t>
  </si>
  <si>
    <t>200SV750-CIMLC</t>
  </si>
  <si>
    <t>FRESH CUT GRASS 50-R</t>
  </si>
  <si>
    <t>200WW601-CIM1C</t>
  </si>
  <si>
    <t>CINNAMON NOCE 50-DR</t>
  </si>
  <si>
    <t>200WF131-CIM2C</t>
  </si>
  <si>
    <t>VANA 50-R</t>
  </si>
  <si>
    <t>200SG210-CIME</t>
  </si>
  <si>
    <t>GREIGE 49 1/2</t>
  </si>
  <si>
    <t>210AG190-CIM1C</t>
  </si>
  <si>
    <t>URBAN LIFE 50-DR</t>
  </si>
  <si>
    <t>200HP360-CIM2C</t>
  </si>
  <si>
    <t>AFTERNOON SHOWERS 50-R</t>
  </si>
  <si>
    <t>200ST606-CMZE</t>
  </si>
  <si>
    <t>TAUPE 61 1/2</t>
  </si>
  <si>
    <t>210WM840-CMZ1C</t>
  </si>
  <si>
    <t>CLEAR MAPLE 62-DR</t>
  </si>
  <si>
    <t>200AW141-CIM1C</t>
  </si>
  <si>
    <t>ROCK OF AGES 50-DR</t>
  </si>
  <si>
    <t>210WZ005-CIM1C</t>
  </si>
  <si>
    <t>RECON OAK 50-DR</t>
  </si>
  <si>
    <t>200AG460-CMZ1C</t>
  </si>
  <si>
    <t>ANTIQUE SILVER 62-DR</t>
  </si>
  <si>
    <t>210MR308-CIM1C</t>
  </si>
  <si>
    <t>NAVY MATRIX II 50-DR</t>
  </si>
  <si>
    <t>200HP565-CMZLC</t>
  </si>
  <si>
    <t>STORM GRAY 62-R</t>
  </si>
  <si>
    <t>200SG224-CIME</t>
  </si>
  <si>
    <t>STONEDUST 49 1/2</t>
  </si>
  <si>
    <t>210WZ062-CIM1C</t>
  </si>
  <si>
    <t>DRAGONFLY 50-DR</t>
  </si>
  <si>
    <t>200SW803-CIME</t>
  </si>
  <si>
    <t>EGGSHELL WHITE 49 1/2</t>
  </si>
  <si>
    <t>200SB009-CIME</t>
  </si>
  <si>
    <t>ROYAL BLUE 49 1/2</t>
  </si>
  <si>
    <t>210SN293-CIME</t>
  </si>
  <si>
    <t>SANDCASTLE 49 1/2</t>
  </si>
  <si>
    <t>200WM345-CIM1C</t>
  </si>
  <si>
    <t>MAPLE CREAM 50-DR</t>
  </si>
  <si>
    <t>200WP120-CIM1C</t>
  </si>
  <si>
    <t>LEAVE LIKEATRE 50-DR</t>
  </si>
  <si>
    <t>210WO040-CIM1C</t>
  </si>
  <si>
    <t>STRAIGHTAWAY OAK 50-DR</t>
  </si>
  <si>
    <t>200AE100-CIM1C</t>
  </si>
  <si>
    <t>LITTLE BLACK DRESS 50-DR</t>
  </si>
  <si>
    <t>200WW050-CIM1C</t>
  </si>
  <si>
    <t>WALNUT GROVE 50-DR</t>
  </si>
  <si>
    <t>200SP401-CMZE</t>
  </si>
  <si>
    <t>ROYAL BURGUNDY 61 1/2</t>
  </si>
  <si>
    <t>210SN219-CMZE</t>
  </si>
  <si>
    <t>BEIGE 61 1/2</t>
  </si>
  <si>
    <t>200SG241-CMZLC</t>
  </si>
  <si>
    <t>FOLKSTONE GRAY 62-R</t>
  </si>
  <si>
    <t>200000C4-CIME</t>
  </si>
  <si>
    <t>ALMOND 49 1/2</t>
  </si>
  <si>
    <t>200SR520-CIME</t>
  </si>
  <si>
    <t>PRIMARY RED 49 1/2</t>
  </si>
  <si>
    <t>210MR601-CIM2C</t>
  </si>
  <si>
    <t>GRAY MATRIX 50-R</t>
  </si>
  <si>
    <t>210YSN02-CIM1C</t>
  </si>
  <si>
    <t>PURE SPUN YARN 50-DR</t>
  </si>
  <si>
    <t>200WX031-CMZ1C</t>
  </si>
  <si>
    <t>PEARWOOD 62-DR</t>
  </si>
  <si>
    <t>200HP336-CIM2C</t>
  </si>
  <si>
    <t>SUNSET 50-R</t>
  </si>
  <si>
    <t>200WX110-CIM1C</t>
  </si>
  <si>
    <t>SMOOTH PADDLIN 50-DR</t>
  </si>
  <si>
    <t>210MR507-CIM1C</t>
  </si>
  <si>
    <t>GREEN MATRIX II 50-DR</t>
  </si>
  <si>
    <t>200WP110-CMZ1C</t>
  </si>
  <si>
    <t>LOOKS LIKATRE 62-DR</t>
  </si>
  <si>
    <t>210RK603-CIM1C</t>
  </si>
  <si>
    <t>VERDICTS IN 50-DR</t>
  </si>
  <si>
    <t>200SG213-CMZLC</t>
  </si>
  <si>
    <t>OPTI GRAY 62-R</t>
  </si>
  <si>
    <t>200WX440-CIM1C</t>
  </si>
  <si>
    <t>BLACK FOREST CAKE 50-DR</t>
  </si>
  <si>
    <t>210AW180-CIM1C</t>
  </si>
  <si>
    <t>WHITE KINETIC 50-DR</t>
  </si>
  <si>
    <t>200AG601-CIM1C</t>
  </si>
  <si>
    <t>PEARL OF THE ORIENT 50-DR</t>
  </si>
  <si>
    <t>200WC210-CIM1C</t>
  </si>
  <si>
    <t>CHOCOLATE MALT 50-DR</t>
  </si>
  <si>
    <t>200SG213-CIME</t>
  </si>
  <si>
    <t>OPTI GRAY 49 1/2</t>
  </si>
  <si>
    <t>200SG214-CIME</t>
  </si>
  <si>
    <t>BANKERS GRAY 49 1/2</t>
  </si>
  <si>
    <t>210S8001-CIME</t>
  </si>
  <si>
    <t>FRESH PAPAYA 49 1/2</t>
  </si>
  <si>
    <t>210PDN03-CIM1C</t>
  </si>
  <si>
    <t>PAINTED DESERT 50-DR</t>
  </si>
  <si>
    <t>200WW075-CIM1C</t>
  </si>
  <si>
    <t>ZEN 50-DR</t>
  </si>
  <si>
    <t>200SR505-CIMLC</t>
  </si>
  <si>
    <t>NAVAJO RED 50-R</t>
  </si>
  <si>
    <t>200WW011-CIM1C</t>
  </si>
  <si>
    <t>KINGSLEY 50-DR</t>
  </si>
  <si>
    <t>200AT650-CIM1C</t>
  </si>
  <si>
    <t>CAVALCADE SOUTH 50-DR</t>
  </si>
  <si>
    <t>200SB009-CIMLC</t>
  </si>
  <si>
    <t>ROYAL BLUE 50-R</t>
  </si>
  <si>
    <t>200WX031-CIM1C</t>
  </si>
  <si>
    <t>PEARWOOD 50-DR</t>
  </si>
  <si>
    <t>200SG210-CIMLC</t>
  </si>
  <si>
    <t>GREIGE 50-R</t>
  </si>
  <si>
    <t>200WC135-CIM1C</t>
  </si>
  <si>
    <t>WB CHERRY 50-DR</t>
  </si>
  <si>
    <t>210S3023-CIME</t>
  </si>
  <si>
    <t>GRAPHITE BLUE 49 1/2</t>
  </si>
  <si>
    <t>210WK025-CIM1C</t>
  </si>
  <si>
    <t>CHAI 50-DR</t>
  </si>
  <si>
    <t>200SG241-CMZE</t>
  </si>
  <si>
    <t>FOLKSTONE GRAY 61 1/2</t>
  </si>
  <si>
    <t>200PFA42-CIM1C</t>
  </si>
  <si>
    <t>TEA PARTY IN BOSTON 50-DR</t>
  </si>
  <si>
    <t>200SG203-CIME</t>
  </si>
  <si>
    <t>PUMICE 49 1/2</t>
  </si>
  <si>
    <t>210WZ063-CIM1C</t>
  </si>
  <si>
    <t>YUNNAN 50-DR</t>
  </si>
  <si>
    <t>200WC431-CIM1C</t>
  </si>
  <si>
    <t>MILLWORK CHERRY 50-DR</t>
  </si>
  <si>
    <t>210MW580-CMZ1C</t>
  </si>
  <si>
    <t>CALCUTTA MARBLE  62-DR</t>
  </si>
  <si>
    <t>210WK024-CIM1C</t>
  </si>
  <si>
    <t>PALAZZO 50-DR</t>
  </si>
  <si>
    <t>210WK017-CIM1C</t>
  </si>
  <si>
    <t>VENERABLE OLD OAK 50-DR</t>
  </si>
  <si>
    <t>200WY160-CIM1C</t>
  </si>
  <si>
    <t>ABSOLUTE ACAJOU 50-DR</t>
  </si>
  <si>
    <t>200AG750-CMZ1C</t>
  </si>
  <si>
    <t>DAYDREAMING 62-DR</t>
  </si>
  <si>
    <t>210WA302-CMZ1C</t>
  </si>
  <si>
    <t>TANGIER ANIGRE 62-DR</t>
  </si>
  <si>
    <t>200ST610-CIME</t>
  </si>
  <si>
    <t>SQUASH 49 1/2</t>
  </si>
  <si>
    <t>210WX115-CIM1C</t>
  </si>
  <si>
    <t>GIANT GRAY BAMBOO 50-DR</t>
  </si>
  <si>
    <t>210WZ201-CMZ1C</t>
  </si>
  <si>
    <t>SANTA ROSA PLUM TREE 62-DR</t>
  </si>
  <si>
    <t>200DR148-CIMMC</t>
  </si>
  <si>
    <t>147# CPL PHEN/MEL KRAFT 50-R</t>
  </si>
  <si>
    <t>210VA502-CIM1C</t>
  </si>
  <si>
    <t>EASY ELEGANCE 50-DR</t>
  </si>
  <si>
    <t>200SB006-CIMLC</t>
  </si>
  <si>
    <t>INDIGO BLUE 50-R</t>
  </si>
  <si>
    <t>210HLT04-CIM2C</t>
  </si>
  <si>
    <t>SILVERLINE HAUTELINK 50-DR</t>
  </si>
  <si>
    <t>210VA202-CIM1C</t>
  </si>
  <si>
    <t>VISION VAVA 50-DR</t>
  </si>
  <si>
    <t>210WM837-CIM1C</t>
  </si>
  <si>
    <t>GRAND ISLE MAPLE 50-DR</t>
  </si>
  <si>
    <t>200ST606-CIME</t>
  </si>
  <si>
    <t>TAUPE 49 1/2</t>
  </si>
  <si>
    <t>200AT660-CIM1C</t>
  </si>
  <si>
    <t>CRISSCROSS 50-DR</t>
  </si>
  <si>
    <t>200AG611-CIM1C</t>
  </si>
  <si>
    <t>GRAVE OF THE ATLANTIC 50-DR</t>
  </si>
  <si>
    <t>200HP256-CIM2C</t>
  </si>
  <si>
    <t>COUNTRY MAPLE 50-R</t>
  </si>
  <si>
    <t>210WW310-CIM1C</t>
  </si>
  <si>
    <t>STOUT WALNUT 50-DR</t>
  </si>
  <si>
    <t>200WA110-CIM1C</t>
  </si>
  <si>
    <t>CATCHING FIREFLIES 50-DR</t>
  </si>
  <si>
    <t>20000325-CIM1C</t>
  </si>
  <si>
    <t>WOOD ESSENCE 50-DR</t>
  </si>
  <si>
    <t>210VA702-CIM1C</t>
  </si>
  <si>
    <t>COOL CHIC 50-DR</t>
  </si>
  <si>
    <t>200HP565-CIMLC</t>
  </si>
  <si>
    <t>STORM GRAY 50-R</t>
  </si>
  <si>
    <t>210WA302-CIM1C</t>
  </si>
  <si>
    <t>TANGIER ANIGRE 50-DR</t>
  </si>
  <si>
    <t>200SB009-CMZLC</t>
  </si>
  <si>
    <t>ROYAL BLUE 62-R</t>
  </si>
  <si>
    <t>200SG208-CIMLC</t>
  </si>
  <si>
    <t>LIMESTONE 50-R</t>
  </si>
  <si>
    <t>210LN602-CIM1C</t>
  </si>
  <si>
    <t>KOPI SUSU 50-DR</t>
  </si>
  <si>
    <t>200WO951-CIM1C</t>
  </si>
  <si>
    <t>FINE OAK 50-DR</t>
  </si>
  <si>
    <t>210WK027-CIM1C</t>
  </si>
  <si>
    <t>BAILEY 50-DR</t>
  </si>
  <si>
    <t>200WY160-CMZ1C</t>
  </si>
  <si>
    <t>ABSOLUTE ACAJOU 62-DR</t>
  </si>
  <si>
    <t>200WM951-CIM1C</t>
  </si>
  <si>
    <t>HONEY MAPLE 50-DR</t>
  </si>
  <si>
    <t>210MR303-CIM1C</t>
  </si>
  <si>
    <t>FRENCH BLUE MATRIX 50-DR</t>
  </si>
  <si>
    <t>210WZ588-CIM2C</t>
  </si>
  <si>
    <t>FINE SYCAMORE 50-R</t>
  </si>
  <si>
    <t>210WW780-CIM1C</t>
  </si>
  <si>
    <t>BABBLING BROOK 50-DR</t>
  </si>
  <si>
    <t>200WT850-CIM1C</t>
  </si>
  <si>
    <t>PEACH COBBLER 50-DR</t>
  </si>
  <si>
    <t>200WC115-CIM2C</t>
  </si>
  <si>
    <t>AIMTOO SAVATRE 50-R</t>
  </si>
  <si>
    <t>200HP268-CIM2C</t>
  </si>
  <si>
    <t>FUSION MAPLE 50-R</t>
  </si>
  <si>
    <t>200WA030-CIM1C</t>
  </si>
  <si>
    <t>PICNIC IN THE PARK 50-DR</t>
  </si>
  <si>
    <t>200WC105-CIM2C</t>
  </si>
  <si>
    <t>TRYTOO SAVATRE 50-R</t>
  </si>
  <si>
    <t>200WW160-CIM1C</t>
  </si>
  <si>
    <t>PRALINES &amp; CREAM 50-DR</t>
  </si>
  <si>
    <t>210HLT01-CIM2C</t>
  </si>
  <si>
    <t>BASIC BLACK HAUTELINK 50-R</t>
  </si>
  <si>
    <t>200SG224-CIMLC</t>
  </si>
  <si>
    <t>STONEDUST 50-R</t>
  </si>
  <si>
    <t>210WZ055-CIM1C</t>
  </si>
  <si>
    <t>CARAJILLO 50-DR</t>
  </si>
  <si>
    <t>200WA120-CIM1C</t>
  </si>
  <si>
    <t>AFTERNOON NAP 50-DR</t>
  </si>
  <si>
    <t>200SG228-CIMLC</t>
  </si>
  <si>
    <t>SLATE 50-R</t>
  </si>
  <si>
    <t>200SG246-CMZLC</t>
  </si>
  <si>
    <t>DOLPHIN GRAY 62-R</t>
  </si>
  <si>
    <t>210WH100-CIM1C</t>
  </si>
  <si>
    <t>GLISTENING TRAILS 50-DR</t>
  </si>
  <si>
    <t>200WT870-CIM1C</t>
  </si>
  <si>
    <t>SLEEPING IN 50-DR</t>
  </si>
  <si>
    <t>210WE270-CIM1C</t>
  </si>
  <si>
    <t>MEDITATION ELM 50-DR</t>
  </si>
  <si>
    <t>200AY120-CIM1C</t>
  </si>
  <si>
    <t>GINGER SNAP 50-DR</t>
  </si>
  <si>
    <t>200WA001-CIM1C</t>
  </si>
  <si>
    <t>CLEAR ASH 50-DR</t>
  </si>
  <si>
    <t>210WM005-CIM1C</t>
  </si>
  <si>
    <t>SIREN MAPLE 50-DR</t>
  </si>
  <si>
    <t>200SG241-CIMLC</t>
  </si>
  <si>
    <t>FOLKSTONE GRAY 50-R</t>
  </si>
  <si>
    <t>200WM115-CIM1C</t>
  </si>
  <si>
    <t>SUGAR MAPLE II 50-DR</t>
  </si>
  <si>
    <t>200WY031-CIM1C</t>
  </si>
  <si>
    <t>FORMAL MAHOGANY 50-DR</t>
  </si>
  <si>
    <t>200WC421-CIM1C</t>
  </si>
  <si>
    <t>OILED CHERRY 50-DR</t>
  </si>
  <si>
    <t>200WM791-CMZ1C</t>
  </si>
  <si>
    <t>HARDROCK MAPLE 62-DR</t>
  </si>
  <si>
    <t>200AW141-CMZ1C</t>
  </si>
  <si>
    <t>ROCK OF AGES 62-DR</t>
  </si>
  <si>
    <t>210WK022-CIM1C</t>
  </si>
  <si>
    <t>ANTOCCINO 50-DR</t>
  </si>
  <si>
    <t>200WE261-CIM1C</t>
  </si>
  <si>
    <t>WHITE ELM 50-DR</t>
  </si>
  <si>
    <t>200HP268-CMZ2C</t>
  </si>
  <si>
    <t>FUSION MAPLE 62-R</t>
  </si>
  <si>
    <t>210MXT03-CIM2C</t>
  </si>
  <si>
    <t>SILVER ALU METALX 50-R</t>
  </si>
  <si>
    <t>200AG611-CMZ1C</t>
  </si>
  <si>
    <t>GRAVE OF THE ATLANTIC 62-DR</t>
  </si>
  <si>
    <t>200WX041-CIM1C</t>
  </si>
  <si>
    <t>ANIGRE 50-DR</t>
  </si>
  <si>
    <t>200AG415-CIM1C</t>
  </si>
  <si>
    <t>OLD FRIEND 50-DR</t>
  </si>
  <si>
    <t>200SP414-CIMLC</t>
  </si>
  <si>
    <t>TUTTI FRUITTI 50-R</t>
  </si>
  <si>
    <t>200WM221-CIM2C</t>
  </si>
  <si>
    <t>AMBER CURLY MAPLE 50-R</t>
  </si>
  <si>
    <t>200SG214-CIMLC</t>
  </si>
  <si>
    <t>BANKERS GRAY 50-R</t>
  </si>
  <si>
    <t>200SG292-CIME</t>
  </si>
  <si>
    <t>CADET GREY 49 1/2</t>
  </si>
  <si>
    <t>210WM047-CIM1C</t>
  </si>
  <si>
    <t>ICONIC MAPLE 50-DR</t>
  </si>
  <si>
    <t>210WF011-CIM1C</t>
  </si>
  <si>
    <t>MACCHIATO 50-DR</t>
  </si>
  <si>
    <t>20000007-CMZ3C</t>
  </si>
  <si>
    <t>POLY OVERLAY M/W 62-R</t>
  </si>
  <si>
    <t>200PFA60-CIM1C</t>
  </si>
  <si>
    <t>NEGOTIATE IN GENEVA 50-DR</t>
  </si>
  <si>
    <t>200WP115-CIM1C</t>
  </si>
  <si>
    <t>APPEARS LIKEATRE 50-DR</t>
  </si>
  <si>
    <t>210WZ201-CIM1C</t>
  </si>
  <si>
    <t>SANTA ROSA PLUM TREE 50-DR</t>
  </si>
  <si>
    <t>200GC012-CMZ2</t>
  </si>
  <si>
    <t>WOVEN GLASS # RAT 190 61 1/2</t>
  </si>
  <si>
    <t>200WP110-CIM1C</t>
  </si>
  <si>
    <t>LOOKS LIKATRE 50-DR</t>
  </si>
  <si>
    <t>210WZ601-CIM2C</t>
  </si>
  <si>
    <t>DRY CREEK PLUM TREE 50-R</t>
  </si>
  <si>
    <t>200CC130-CMZ2</t>
  </si>
  <si>
    <t>130# ESD CONDUCTIVE CORE 61 1/</t>
  </si>
  <si>
    <t>210WM840-CIM1C</t>
  </si>
  <si>
    <t>CLEAR MAPLE 50-DR</t>
  </si>
  <si>
    <t>210WM046-CIM1C</t>
  </si>
  <si>
    <t>ILLUSTRIOUS MAPLE 50-DR</t>
  </si>
  <si>
    <t>200000C2-CMZE</t>
  </si>
  <si>
    <t>CARNATION WHITE 61 1/2</t>
  </si>
  <si>
    <t>200CC130-CIM2</t>
  </si>
  <si>
    <t>130# ESD CONDUCTIVE CORE 49 1/</t>
  </si>
  <si>
    <t>200SG246-CIMLC</t>
  </si>
  <si>
    <t>DOLPHIN GRAY 50-R</t>
  </si>
  <si>
    <t>200WM791-CIM1C</t>
  </si>
  <si>
    <t>HARDROCK MAPLE 50-DR</t>
  </si>
  <si>
    <t>200AG021-CIM1C</t>
  </si>
  <si>
    <t>SABLE 50-DR</t>
  </si>
  <si>
    <t>200AW300-CIM1C</t>
  </si>
  <si>
    <t>LOVE LETTERS 50-DR</t>
  </si>
  <si>
    <t>200GC012-CIM2</t>
  </si>
  <si>
    <t>WOVEN GLASS # RAT 190 49 1/2</t>
  </si>
  <si>
    <t>200000C2-CIME</t>
  </si>
  <si>
    <t>CARNATION WHITE 49 1/2</t>
  </si>
  <si>
    <t>20000002-CMZ3C</t>
  </si>
  <si>
    <t>WHITE OVERLAY HC 62-R</t>
  </si>
  <si>
    <t>20000007-CIM3C</t>
  </si>
  <si>
    <t>POLY OVERLAY M/W 50-R</t>
  </si>
  <si>
    <t>200DR148-CMZ2C</t>
  </si>
  <si>
    <t>147# CPL KRAFT 62-R</t>
  </si>
  <si>
    <t>20000002-CIM3C</t>
  </si>
  <si>
    <t>WHITE OVERLAY HC 50-R</t>
  </si>
  <si>
    <t>200DR148-CIM2C</t>
  </si>
  <si>
    <t>147# CPL KRAFT 50-R</t>
  </si>
  <si>
    <t>Size Code</t>
  </si>
  <si>
    <t>Size Adj</t>
  </si>
  <si>
    <t>CPL 200 parts ending in 1C are the only ones that can be used elsewhere</t>
  </si>
  <si>
    <t>Remove
Part Only</t>
  </si>
  <si>
    <r>
      <t xml:space="preserve">Release Type
</t>
    </r>
    <r>
      <rPr>
        <sz val="8"/>
        <color theme="1"/>
        <rFont val="Calibri"/>
        <family val="2"/>
        <scheme val="minor"/>
      </rPr>
      <t>(S or H)</t>
    </r>
  </si>
  <si>
    <t>5.49</t>
  </si>
  <si>
    <t>4068</t>
  </si>
  <si>
    <t>01/12/2023</t>
  </si>
  <si>
    <t>5.37</t>
  </si>
  <si>
    <t>4.38</t>
  </si>
  <si>
    <t>09/22/2022</t>
  </si>
  <si>
    <t>355</t>
  </si>
  <si>
    <t>1356</t>
  </si>
  <si>
    <t>4.29</t>
  </si>
  <si>
    <t>6.2</t>
  </si>
  <si>
    <t>01/17/2023</t>
  </si>
  <si>
    <t>2577</t>
  </si>
  <si>
    <t>1175</t>
  </si>
  <si>
    <t>7.41</t>
  </si>
  <si>
    <t>1614</t>
  </si>
  <si>
    <t>2538</t>
  </si>
  <si>
    <t>6.18</t>
  </si>
  <si>
    <t>01/14/2023</t>
  </si>
  <si>
    <t>1642</t>
  </si>
  <si>
    <t>212</t>
  </si>
  <si>
    <t>5.79</t>
  </si>
  <si>
    <t>11/15/2022</t>
  </si>
  <si>
    <t>7137</t>
  </si>
  <si>
    <t>222101783-20</t>
  </si>
  <si>
    <t>7130</t>
  </si>
  <si>
    <t>222101783-10</t>
  </si>
  <si>
    <t>222101784-20</t>
  </si>
  <si>
    <t>222101784-10</t>
  </si>
  <si>
    <t>222101207-10</t>
  </si>
  <si>
    <t>222101785-20</t>
  </si>
  <si>
    <t>222101785-10</t>
  </si>
  <si>
    <t>222101787-10</t>
  </si>
  <si>
    <t>222101840-20</t>
  </si>
  <si>
    <t>7139</t>
  </si>
  <si>
    <t>222101840-10</t>
  </si>
  <si>
    <t xml:space="preserve">221102421-20 </t>
  </si>
  <si>
    <t>221102421-10</t>
  </si>
  <si>
    <t>7090</t>
  </si>
  <si>
    <t>7142</t>
  </si>
  <si>
    <t>2/28/2023</t>
  </si>
  <si>
    <t>7140</t>
  </si>
  <si>
    <t>-66</t>
  </si>
  <si>
    <t>788</t>
  </si>
  <si>
    <t>91</t>
  </si>
  <si>
    <t>542</t>
  </si>
  <si>
    <t>113</t>
  </si>
  <si>
    <t>124</t>
  </si>
  <si>
    <t>3660</t>
  </si>
  <si>
    <t>189</t>
  </si>
  <si>
    <t>24</t>
  </si>
  <si>
    <t>7138</t>
  </si>
  <si>
    <t>3/7/2023</t>
  </si>
  <si>
    <t>REGIMENTAL BLUE</t>
  </si>
  <si>
    <t>2988</t>
  </si>
  <si>
    <t>110594</t>
  </si>
  <si>
    <t>7141</t>
  </si>
  <si>
    <t>7117</t>
  </si>
  <si>
    <t>7135</t>
  </si>
  <si>
    <t>Tiramisu 4ft</t>
  </si>
  <si>
    <t>[110455]</t>
  </si>
  <si>
    <t>100FB432-5000</t>
  </si>
  <si>
    <t>100MG200-5000</t>
  </si>
  <si>
    <t>100WA110-450R</t>
  </si>
  <si>
    <t>100WO861-3700</t>
  </si>
  <si>
    <t>NRB 9/27/22  30M7806(LSL6)</t>
  </si>
  <si>
    <t>NRB 9/27/22 30M7806(LSL6)</t>
  </si>
  <si>
    <t>NRB 09/27/22 30M7429</t>
  </si>
  <si>
    <t>110WC022-3700</t>
  </si>
  <si>
    <t>SOVEREIGN CHERRY 36"</t>
  </si>
  <si>
    <t>110WC301-5000</t>
  </si>
  <si>
    <t>CAMBRIDGE CHERRY 50"</t>
  </si>
  <si>
    <t>30M7842 3111 PLSWD STD     71G</t>
  </si>
  <si>
    <t>NRB 9/27/22 30M7613 (LW22)</t>
  </si>
  <si>
    <t>150ST628-5000</t>
  </si>
  <si>
    <t>150WX341-6200</t>
  </si>
  <si>
    <t>AIR P</t>
  </si>
  <si>
    <t>[46854]</t>
  </si>
  <si>
    <t>10000013-50007142</t>
  </si>
  <si>
    <t>10000013-62007142</t>
  </si>
  <si>
    <t>10000098-50007117</t>
  </si>
  <si>
    <t>10000098-62007117</t>
  </si>
  <si>
    <t>10000311-5000110594</t>
  </si>
  <si>
    <t>10000311-6200110594</t>
  </si>
  <si>
    <t>100AW785-50007130</t>
  </si>
  <si>
    <t>100AW785-62007130</t>
  </si>
  <si>
    <t>100BP006-50007117</t>
  </si>
  <si>
    <t>100BP006-62007117</t>
  </si>
  <si>
    <t>100FR115-50147117</t>
  </si>
  <si>
    <t>100FR115-62127117</t>
  </si>
  <si>
    <t>100HP290-50007130</t>
  </si>
  <si>
    <t>100HP290-62007130</t>
  </si>
  <si>
    <t>100HP473-50007140</t>
  </si>
  <si>
    <t>100HP473-62007140</t>
  </si>
  <si>
    <t>100HP687-62007141</t>
  </si>
  <si>
    <t>100HP690-62007141</t>
  </si>
  <si>
    <t>100ST604-62007140</t>
  </si>
  <si>
    <t>100WC090-50007130</t>
  </si>
  <si>
    <t>100WC090-62007130</t>
  </si>
  <si>
    <t>100WM345-50007137</t>
  </si>
  <si>
    <t>100WT890-62007130</t>
  </si>
  <si>
    <t>100WW160-50007090</t>
  </si>
  <si>
    <t>100WW160-62007090</t>
  </si>
  <si>
    <t>100WX081-62007130</t>
  </si>
  <si>
    <t>100WX170-50007135</t>
  </si>
  <si>
    <t>100WX230-50007139</t>
  </si>
  <si>
    <t>100WX230-62007139</t>
  </si>
  <si>
    <t>110M0791-50007138</t>
  </si>
  <si>
    <t>110M0791-62007138</t>
  </si>
  <si>
    <t>110SB316-50007140</t>
  </si>
  <si>
    <t>110SB316-62007140</t>
  </si>
  <si>
    <t>Net with Releasing and Released (if marked)
(lbs.)</t>
  </si>
  <si>
    <t>Note</t>
  </si>
  <si>
    <t>Always</t>
  </si>
  <si>
    <t>Net
Need (lbs.)</t>
  </si>
  <si>
    <t>Part</t>
  </si>
  <si>
    <t>Special Note</t>
  </si>
  <si>
    <t>[110773]</t>
  </si>
  <si>
    <t>[110772]</t>
  </si>
  <si>
    <t>100HP218-5000</t>
  </si>
  <si>
    <t>100SAPPI-5000</t>
  </si>
  <si>
    <t>100SECND-5000</t>
  </si>
  <si>
    <t>OBSOLETE PAPER</t>
  </si>
  <si>
    <t>100SECND-6200</t>
  </si>
  <si>
    <t>100WM580-5000</t>
  </si>
  <si>
    <t>110M0812-3700</t>
  </si>
  <si>
    <t>110WS843-3700</t>
  </si>
  <si>
    <t>CREST MAHOGANY 36"</t>
  </si>
  <si>
    <t>16224</t>
  </si>
  <si>
    <t>11/22/2022</t>
  </si>
  <si>
    <t>1554</t>
  </si>
  <si>
    <t>2114</t>
  </si>
  <si>
    <t>1709</t>
  </si>
  <si>
    <t>2412</t>
  </si>
  <si>
    <t>222101598-10</t>
  </si>
  <si>
    <t>222101588-10</t>
  </si>
  <si>
    <t>U/C PR ALLEGRO</t>
  </si>
  <si>
    <t>110772</t>
  </si>
  <si>
    <t>ULTRACAST PRC NATURAL WOOD</t>
  </si>
  <si>
    <t>7147</t>
  </si>
  <si>
    <t>7146</t>
  </si>
  <si>
    <t>BARRIER WHITE PANOLAM</t>
  </si>
  <si>
    <t>10/25/2022</t>
  </si>
  <si>
    <t>01/26/2023</t>
  </si>
  <si>
    <t>BASE WHITE PANOLAM</t>
  </si>
  <si>
    <t>FROSTY WHITE PANOLAM</t>
  </si>
  <si>
    <t>FIRE RETARDANT (DARK) PANOLAM</t>
  </si>
  <si>
    <t>CABINET ALMOND PANOLAM</t>
  </si>
  <si>
    <t>01/11/2023</t>
  </si>
  <si>
    <t>7148</t>
  </si>
  <si>
    <t>Morgantown</t>
  </si>
  <si>
    <t>7145</t>
  </si>
  <si>
    <t>7134</t>
  </si>
  <si>
    <t>Cambridge Cherry 5ft</t>
  </si>
  <si>
    <t>Lt Recon Oak 4ft</t>
  </si>
  <si>
    <t>Lt Recon Oak 5ft</t>
  </si>
  <si>
    <t>10000306-5000110772</t>
  </si>
  <si>
    <t>10000306-6200110772</t>
  </si>
  <si>
    <t>10000312-5000110772</t>
  </si>
  <si>
    <t>10000326-5000110772</t>
  </si>
  <si>
    <t>10000328-5000110772</t>
  </si>
  <si>
    <t>10000328-6200110772</t>
  </si>
  <si>
    <t>10000334-5000110772</t>
  </si>
  <si>
    <t>100WM331-32507147</t>
  </si>
  <si>
    <t>100WM981-62007147</t>
  </si>
  <si>
    <t>100WX041-50007148</t>
  </si>
  <si>
    <t>100WX041-62007148</t>
  </si>
  <si>
    <t>110M5211-6200110772</t>
  </si>
  <si>
    <t>110WC038-50007145</t>
  </si>
  <si>
    <t>110WC038-62007145</t>
  </si>
  <si>
    <t>110WC301-62007134</t>
  </si>
  <si>
    <t>110WZ005-50007134</t>
  </si>
  <si>
    <t>110WZ005-62007134</t>
  </si>
  <si>
    <t>110WZ201-50007146</t>
  </si>
  <si>
    <t>110WZ201-62007146</t>
  </si>
  <si>
    <r>
      <t xml:space="preserve">Aub </t>
    </r>
    <r>
      <rPr>
        <u/>
        <sz val="11"/>
        <color theme="1"/>
        <rFont val="Calibri"/>
        <family val="2"/>
        <scheme val="minor"/>
      </rPr>
      <t>Adj</t>
    </r>
    <r>
      <rPr>
        <sz val="11"/>
        <color theme="1"/>
        <rFont val="Calibri"/>
        <family val="2"/>
        <scheme val="minor"/>
      </rPr>
      <t xml:space="preserve">
Average
(lbs./ m.)</t>
    </r>
  </si>
  <si>
    <r>
      <t xml:space="preserve">Aub </t>
    </r>
    <r>
      <rPr>
        <u/>
        <sz val="11"/>
        <color theme="1"/>
        <rFont val="Calibri"/>
        <family val="2"/>
        <scheme val="minor"/>
      </rPr>
      <t>3 m.</t>
    </r>
    <r>
      <rPr>
        <sz val="11"/>
        <color theme="1"/>
        <rFont val="Calibri"/>
        <family val="2"/>
        <scheme val="minor"/>
      </rPr>
      <t xml:space="preserve">
Average
(lbs./ m.)</t>
    </r>
  </si>
  <si>
    <r>
      <rPr>
        <b/>
        <u/>
        <sz val="11"/>
        <color theme="7" tint="0.79998168889431442"/>
        <rFont val="Calibri"/>
        <family val="2"/>
        <scheme val="minor"/>
      </rPr>
      <t>GOAL</t>
    </r>
    <r>
      <rPr>
        <sz val="11"/>
        <color theme="1"/>
        <rFont val="Calibri"/>
        <family val="2"/>
        <scheme val="minor"/>
      </rPr>
      <t xml:space="preserve">
Net with Release
</t>
    </r>
    <r>
      <rPr>
        <b/>
        <u/>
        <sz val="11"/>
        <color theme="1"/>
        <rFont val="Calibri"/>
        <family val="2"/>
        <scheme val="minor"/>
      </rPr>
      <t>(weeks)</t>
    </r>
  </si>
  <si>
    <t>Pending
(lbs.)</t>
  </si>
  <si>
    <t>Aub
Release
Prev
(lbs.)</t>
  </si>
  <si>
    <t>Hun
Release
Current
(lbs.)</t>
  </si>
  <si>
    <t>Expire
Old
(lbs.)</t>
  </si>
  <si>
    <t>Give
to Cut
(lbs.)</t>
  </si>
  <si>
    <r>
      <t xml:space="preserve">Gross
</t>
    </r>
    <r>
      <rPr>
        <b/>
        <u/>
        <sz val="11"/>
        <rFont val="Calibri"/>
        <family val="2"/>
        <scheme val="minor"/>
      </rPr>
      <t>(weeks)</t>
    </r>
  </si>
  <si>
    <r>
      <t xml:space="preserve">Net
</t>
    </r>
    <r>
      <rPr>
        <b/>
        <u/>
        <sz val="11"/>
        <rFont val="Calibri"/>
        <family val="2"/>
        <scheme val="minor"/>
      </rPr>
      <t>(weeks)</t>
    </r>
  </si>
  <si>
    <t>Supp OR Hun</t>
  </si>
  <si>
    <t>Supp OR Hun and Need</t>
  </si>
  <si>
    <t>Add
Release
(X)</t>
  </si>
  <si>
    <t>10000099-3700</t>
  </si>
  <si>
    <t>[110740]</t>
  </si>
  <si>
    <t>100AV751-5000</t>
  </si>
  <si>
    <t>ESTASI</t>
  </si>
  <si>
    <t>100WC421-3700</t>
  </si>
  <si>
    <t>110WA302-3700</t>
  </si>
  <si>
    <t>TANGIER ANIGRE</t>
  </si>
  <si>
    <t>Ahlstrom Paper Inc.</t>
  </si>
  <si>
    <t>Munksjo USA Inc.</t>
  </si>
  <si>
    <t>[110825]</t>
  </si>
  <si>
    <t>filters</t>
  </si>
  <si>
    <t>with or without expire</t>
  </si>
  <si>
    <t>hun</t>
  </si>
  <si>
    <t>supp</t>
  </si>
  <si>
    <t>need</t>
  </si>
  <si>
    <t>hun need</t>
  </si>
  <si>
    <t>supp need</t>
  </si>
  <si>
    <t>hun or supp need</t>
  </si>
  <si>
    <t>hun or supp</t>
  </si>
  <si>
    <t>special options</t>
  </si>
  <si>
    <t>Warehouse Tranlation</t>
  </si>
  <si>
    <t>Warehouse Provided</t>
  </si>
  <si>
    <t>Drummondville</t>
  </si>
  <si>
    <t>EDS</t>
  </si>
  <si>
    <t>Stone</t>
  </si>
  <si>
    <t>City</t>
  </si>
  <si>
    <t>State</t>
  </si>
  <si>
    <t>OH</t>
  </si>
  <si>
    <t>Quebec</t>
  </si>
  <si>
    <t>Lancaster</t>
  </si>
  <si>
    <t>PA</t>
  </si>
  <si>
    <t>Winston-Salem</t>
  </si>
  <si>
    <t>NC</t>
  </si>
  <si>
    <t>Pittsfield</t>
  </si>
  <si>
    <t>MA</t>
  </si>
  <si>
    <t>GA</t>
  </si>
  <si>
    <t>South Lee</t>
  </si>
  <si>
    <t>ME</t>
  </si>
  <si>
    <t>NY</t>
  </si>
  <si>
    <t>Supplier ID</t>
  </si>
  <si>
    <t>0000001481</t>
  </si>
  <si>
    <t>0000012311</t>
  </si>
  <si>
    <t>0000000417</t>
  </si>
  <si>
    <t>0000001528</t>
  </si>
  <si>
    <t>0000009992</t>
  </si>
  <si>
    <t>0000000844</t>
  </si>
  <si>
    <t>0000005638</t>
  </si>
  <si>
    <t>0000014331</t>
  </si>
  <si>
    <t>0000012879</t>
  </si>
  <si>
    <t>0000003481</t>
  </si>
  <si>
    <t>0000001515</t>
  </si>
  <si>
    <t>0000002834</t>
  </si>
  <si>
    <t>0000001663</t>
  </si>
  <si>
    <t>0000001697</t>
  </si>
  <si>
    <t>0000000968</t>
  </si>
  <si>
    <t>Keep
All</t>
  </si>
  <si>
    <t>Keep
&lt;100</t>
  </si>
  <si>
    <t>Keep
Only
Delay</t>
  </si>
  <si>
    <t>Keep
None</t>
  </si>
  <si>
    <t>Don't
Reset
Cuts</t>
  </si>
  <si>
    <t>Don't
Reset
Cut</t>
  </si>
  <si>
    <t>Keep
&lt;100 and
Marked</t>
  </si>
  <si>
    <t>Keep cut notes less than 100 and/or marked as "keep"</t>
  </si>
  <si>
    <t>Keep no cut notes</t>
  </si>
  <si>
    <t>Keep only cut notes marked as "keep"</t>
  </si>
  <si>
    <t>Keep all cut notes</t>
  </si>
  <si>
    <t>Create Part List - Optional Cut Settings</t>
  </si>
  <si>
    <t>0000015938</t>
  </si>
  <si>
    <t>step 1 - setup</t>
  </si>
  <si>
    <t>step 2 - setup list and notes</t>
  </si>
  <si>
    <t>Release Type
(S or H)</t>
  </si>
  <si>
    <t>In data pull, break up the copying into chunck and clear the clipboard  (MODULE 3)</t>
  </si>
  <si>
    <t>[110832]</t>
  </si>
  <si>
    <t>100ST610-3700</t>
  </si>
  <si>
    <t>[55155]</t>
  </si>
  <si>
    <t>CO - BUSH CYBER MAPL</t>
  </si>
  <si>
    <t>10000009-50007114</t>
  </si>
  <si>
    <t>09/26/2022</t>
  </si>
  <si>
    <t>12/28/2022</t>
  </si>
  <si>
    <t xml:space="preserve">222101314-10 </t>
  </si>
  <si>
    <t>10/15/2022</t>
  </si>
  <si>
    <t>DUSTONE</t>
  </si>
  <si>
    <t>552</t>
  </si>
  <si>
    <t>2882</t>
  </si>
  <si>
    <t>-582</t>
  </si>
  <si>
    <t>7179</t>
  </si>
  <si>
    <t>100SG203-50007179</t>
  </si>
  <si>
    <t>100SG203-62007179</t>
  </si>
  <si>
    <t>270</t>
  </si>
  <si>
    <t>7152</t>
  </si>
  <si>
    <t>100SG213-50007152</t>
  </si>
  <si>
    <t>100SG213-62007152</t>
  </si>
  <si>
    <t>7151</t>
  </si>
  <si>
    <t>OLYMPIC WHITE PANOLAM</t>
  </si>
  <si>
    <t>100SW350-50007151</t>
  </si>
  <si>
    <t>100SW350-62007151</t>
  </si>
  <si>
    <t>7154</t>
  </si>
  <si>
    <t>100WW011-62007154</t>
  </si>
  <si>
    <t>222101892-10</t>
  </si>
  <si>
    <t>7155</t>
  </si>
  <si>
    <t>100WW601-62007155</t>
  </si>
  <si>
    <t>10/13/2022</t>
  </si>
  <si>
    <t>New Holland</t>
  </si>
  <si>
    <t>222101891-10</t>
  </si>
  <si>
    <t>110AW180-62007155</t>
  </si>
  <si>
    <t>222101618-20</t>
  </si>
  <si>
    <t>110MR303-50007119</t>
  </si>
  <si>
    <t>Classic Rock</t>
  </si>
  <si>
    <t>7150</t>
  </si>
  <si>
    <t>110RK201-62007150</t>
  </si>
  <si>
    <t>19</t>
  </si>
  <si>
    <t>-345</t>
  </si>
  <si>
    <t>1/30/2023</t>
  </si>
  <si>
    <t>110SE601-62007015</t>
  </si>
  <si>
    <t>5032</t>
  </si>
  <si>
    <t>72</t>
  </si>
  <si>
    <t>5280</t>
  </si>
  <si>
    <t>317</t>
  </si>
  <si>
    <t>7153</t>
  </si>
  <si>
    <t>110WH005-50007153</t>
  </si>
  <si>
    <t>110WH005-62007153</t>
  </si>
  <si>
    <t>Inventory Qty</t>
  </si>
  <si>
    <t>Run Date</t>
  </si>
  <si>
    <t>In-Transit Quantity</t>
  </si>
  <si>
    <t>ETA to Port Date</t>
  </si>
  <si>
    <t>Request Quantity</t>
  </si>
  <si>
    <t>Supplier Comments</t>
  </si>
  <si>
    <t>run complete</t>
  </si>
  <si>
    <t>within range</t>
  </si>
  <si>
    <t>Past Due</t>
  </si>
  <si>
    <t>Gross
Need
(lbs.)</t>
  </si>
  <si>
    <t>CPL
Stock</t>
  </si>
  <si>
    <t>Expires this month</t>
  </si>
  <si>
    <t>Expired Previous Months</t>
  </si>
  <si>
    <t>100CC130-3800</t>
  </si>
  <si>
    <t>[110902]</t>
  </si>
  <si>
    <t>100WM951-3700</t>
  </si>
  <si>
    <t>150AB201-5000</t>
  </si>
  <si>
    <t>10000305-5000109506</t>
  </si>
  <si>
    <t>222101200-10 Overun rolls 2162160-10/-11</t>
  </si>
  <si>
    <t>MG BRUNS SILVER W/LINES</t>
  </si>
  <si>
    <t>7180</t>
  </si>
  <si>
    <t>11/10/2022</t>
  </si>
  <si>
    <t>436</t>
  </si>
  <si>
    <t>2187</t>
  </si>
  <si>
    <t>1083</t>
  </si>
  <si>
    <t>11/07/2022</t>
  </si>
  <si>
    <t>5.11</t>
  </si>
  <si>
    <t xml:space="preserve">  (short run - ok to close the PO as it is; email S.E. 09/07)</t>
  </si>
  <si>
    <t>1441</t>
  </si>
  <si>
    <t>-1395</t>
  </si>
  <si>
    <t>7181</t>
  </si>
  <si>
    <t>12/5/2022</t>
  </si>
  <si>
    <t>4/22/2023</t>
  </si>
  <si>
    <t>110SW775-62007181</t>
  </si>
  <si>
    <t>222101704-20</t>
  </si>
  <si>
    <t xml:space="preserve">222101704-10 </t>
  </si>
  <si>
    <t xml:space="preserve">222101325-20 </t>
  </si>
  <si>
    <t>222101325-10</t>
  </si>
  <si>
    <t>Supp OR Hun and Need AND Expires</t>
  </si>
  <si>
    <t>HPL</t>
  </si>
  <si>
    <t>TFL</t>
  </si>
  <si>
    <t>s</t>
  </si>
  <si>
    <t>HPL; Multi-Supplier (Onyx and Technocell)</t>
  </si>
  <si>
    <t>Number of Releasable POs</t>
  </si>
  <si>
    <t>PO 1
ID</t>
  </si>
  <si>
    <t>PO 1
Qty</t>
  </si>
  <si>
    <t>PO 2
ID</t>
  </si>
  <si>
    <t>PO 2
Qty</t>
  </si>
  <si>
    <t>PO 1
Adjusted Location</t>
  </si>
  <si>
    <t>Supplier Code</t>
  </si>
  <si>
    <t>PO 1
Expire Date</t>
  </si>
  <si>
    <t>PO 2
Expire Date</t>
  </si>
  <si>
    <t>Release Type</t>
  </si>
  <si>
    <t>Release
Quantity</t>
  </si>
  <si>
    <t>Release PO</t>
  </si>
  <si>
    <t>Pickup
Location</t>
  </si>
  <si>
    <t>User Entry
PO Entry</t>
  </si>
  <si>
    <t>PO 1
Listed Location</t>
  </si>
  <si>
    <t>PO 2
Listed Location</t>
  </si>
  <si>
    <t>Lorin</t>
  </si>
  <si>
    <t>BGF</t>
  </si>
  <si>
    <t>completes the review so it can be verified</t>
  </si>
  <si>
    <t>Pickup Quantity
(lbs.)</t>
  </si>
  <si>
    <t>Additional Pickup Request (Purchasing)</t>
  </si>
  <si>
    <t>Location Name</t>
  </si>
  <si>
    <t>Zip Code</t>
  </si>
  <si>
    <t>Contact Phone 01</t>
  </si>
  <si>
    <t>Contact 02</t>
  </si>
  <si>
    <t>Contact Email</t>
  </si>
  <si>
    <t>Shipping Hours From</t>
  </si>
  <si>
    <t>Shipping Hours To</t>
  </si>
  <si>
    <t>Appointment Detail</t>
  </si>
  <si>
    <t>Pickup Material Type</t>
  </si>
  <si>
    <t>Chapman Transfer</t>
  </si>
  <si>
    <t>925 Washington Street N.</t>
  </si>
  <si>
    <t>Auburn</t>
  </si>
  <si>
    <t>04210</t>
  </si>
  <si>
    <t>Gary Brown</t>
  </si>
  <si>
    <t>(207) 782-2990</t>
  </si>
  <si>
    <t>(207) 212-7785</t>
  </si>
  <si>
    <t>unknown</t>
  </si>
  <si>
    <t>Decorative Paper</t>
  </si>
  <si>
    <t>Carolina Public Warehouse</t>
  </si>
  <si>
    <t>3609 N. Glenn Ave.</t>
  </si>
  <si>
    <t>Winston Salem</t>
  </si>
  <si>
    <t>Dawn Everhart</t>
  </si>
  <si>
    <t>(336) 767-2891</t>
  </si>
  <si>
    <t>8:00am</t>
  </si>
  <si>
    <t>3:30pm</t>
  </si>
  <si>
    <t>Loaded in order of arrival</t>
  </si>
  <si>
    <t>101 Central Berkshire Blvd.</t>
  </si>
  <si>
    <t>01201</t>
  </si>
  <si>
    <t>not listed</t>
  </si>
  <si>
    <t>(413) 443-4733 ext. 247</t>
  </si>
  <si>
    <t>(413) 443-4733 ext. 203</t>
  </si>
  <si>
    <t>7:00am</t>
  </si>
  <si>
    <t>Mon - Thur 4:00pm
Friday 3:00pm</t>
  </si>
  <si>
    <t>Loaded in order of arrival; Appointments available</t>
  </si>
  <si>
    <t>Onyx Specialty Papers</t>
  </si>
  <si>
    <t>1075 Pleasant St.</t>
  </si>
  <si>
    <t>01260</t>
  </si>
  <si>
    <t>Tracy Malumphy</t>
  </si>
  <si>
    <t>(413) 243-5993</t>
  </si>
  <si>
    <t>(413) 243-5889</t>
  </si>
  <si>
    <t>tmalumphy@onyxpapers.com
cbegrowicz@onyxpapers.com</t>
  </si>
  <si>
    <t>2:00pm</t>
  </si>
  <si>
    <t>Stone Management Inc.</t>
  </si>
  <si>
    <t>2622 9th Ave.</t>
  </si>
  <si>
    <t>Brian Dumesnil</t>
  </si>
  <si>
    <t>(518) 272-2136</t>
  </si>
  <si>
    <t>briand@stone-mgt.com</t>
  </si>
  <si>
    <t>cs@stone-mgt.com</t>
  </si>
  <si>
    <t>4:00pm</t>
  </si>
  <si>
    <t>appointment required: contact by email cs@stone-mgt.com</t>
  </si>
  <si>
    <t>Suddekor Warehouse</t>
  </si>
  <si>
    <t>26 Sears Way</t>
  </si>
  <si>
    <t>01089</t>
  </si>
  <si>
    <t>Amy Munger</t>
  </si>
  <si>
    <t>(413) 821-9000
(413) 821-9006</t>
  </si>
  <si>
    <t>Eric Moquin
(413) 821-9106</t>
  </si>
  <si>
    <t>Amy.Munger@us.surteco.com</t>
  </si>
  <si>
    <t>appointment required: contact by phone</t>
  </si>
  <si>
    <t>3075 rue Bernier</t>
  </si>
  <si>
    <t>J2C 6Y4</t>
  </si>
  <si>
    <t>Jacques</t>
  </si>
  <si>
    <t>(819) 745-0066 Ext. 6548</t>
  </si>
  <si>
    <t>appointment details not specified</t>
  </si>
  <si>
    <t>Toppan McDonough</t>
  </si>
  <si>
    <t>1131 Hwy. 155 South</t>
  </si>
  <si>
    <t>Tracey Moore</t>
  </si>
  <si>
    <t>(770) 914-3717</t>
  </si>
  <si>
    <t>(404) 295-4454</t>
  </si>
  <si>
    <t>tmoore@tia.toppan.com</t>
  </si>
  <si>
    <t>Mon - Thur 4:30pm
Friday 2:00pm</t>
  </si>
  <si>
    <t>Goggin Warehousing</t>
  </si>
  <si>
    <t>1140 Commerce Road</t>
  </si>
  <si>
    <t>Berthea Davis</t>
  </si>
  <si>
    <t>(470) 344-0366 ext. 2203</t>
  </si>
  <si>
    <t>bdavis@gogginwarehousing.com</t>
  </si>
  <si>
    <t>3:00pm</t>
  </si>
  <si>
    <t>Loaded in order of arrival
(no loading between 11:30 and 12:00)</t>
  </si>
  <si>
    <t>Novacel Performance Coatings</t>
  </si>
  <si>
    <t>421 South Union St.</t>
  </si>
  <si>
    <t>Todd Shiverdecker</t>
  </si>
  <si>
    <t>(937) 552-4931</t>
  </si>
  <si>
    <t>(937) 405-6603</t>
  </si>
  <si>
    <t>2:30pm</t>
  </si>
  <si>
    <t>Huntsville</t>
  </si>
  <si>
    <t>Arauco</t>
  </si>
  <si>
    <t>Arauco North America</t>
  </si>
  <si>
    <t>157 ATC Drive</t>
  </si>
  <si>
    <t>Biscoe</t>
  </si>
  <si>
    <t>Marili Hernandez</t>
  </si>
  <si>
    <t>(910) 569-7019</t>
  </si>
  <si>
    <t>days not specified</t>
  </si>
  <si>
    <t>times not specified</t>
  </si>
  <si>
    <t>Arclin</t>
  </si>
  <si>
    <t>82 Deer Park Drive</t>
  </si>
  <si>
    <t>East Longmeadow</t>
  </si>
  <si>
    <t>01028</t>
  </si>
  <si>
    <t>Jeff Chmiel</t>
  </si>
  <si>
    <t>(413) 318-7036</t>
  </si>
  <si>
    <t>10:00pm</t>
  </si>
  <si>
    <t>BFG</t>
  </si>
  <si>
    <t>English Warehouse
1523 Main Street</t>
  </si>
  <si>
    <t>Altavista</t>
  </si>
  <si>
    <t>VA</t>
  </si>
  <si>
    <t>24517</t>
  </si>
  <si>
    <t>John Shields and Rita Mullins</t>
  </si>
  <si>
    <t>(434) 369-2128 Ext. 3900</t>
  </si>
  <si>
    <t>8:00pm</t>
  </si>
  <si>
    <t>Fiberglass</t>
  </si>
  <si>
    <t>Dai Nippon</t>
  </si>
  <si>
    <t>Sulco Warehouse/DNP</t>
  </si>
  <si>
    <t>11 Berkshire Ave.</t>
  </si>
  <si>
    <t>Holyoke</t>
  </si>
  <si>
    <t>01040</t>
  </si>
  <si>
    <t>Marianne Holden</t>
  </si>
  <si>
    <t>(413) 739-4880 Ext. 019</t>
  </si>
  <si>
    <t>Star Extruded Shapes</t>
  </si>
  <si>
    <t>2045 Broehm</t>
  </si>
  <si>
    <t>Columbus</t>
  </si>
  <si>
    <t>Al or Howie</t>
  </si>
  <si>
    <t>(614) 307-6312</t>
  </si>
  <si>
    <t>not specified</t>
  </si>
  <si>
    <t>FRL Moldings</t>
  </si>
  <si>
    <t>Toppan Morgantown</t>
  </si>
  <si>
    <t>Toppan Internet Inc</t>
  </si>
  <si>
    <t>378 Thousand Oaks Blvd.</t>
  </si>
  <si>
    <t>Paul Friday</t>
  </si>
  <si>
    <t>(610) 286-3143</t>
  </si>
  <si>
    <t>pfriday@tia.toppan.com</t>
  </si>
  <si>
    <t>Conyers</t>
  </si>
  <si>
    <t>Panolam Conyers</t>
  </si>
  <si>
    <t>2107 Eastview Parkway
Suite 100</t>
  </si>
  <si>
    <t>Allison Presley</t>
  </si>
  <si>
    <t>(770) 761-8260</t>
  </si>
  <si>
    <t>Various</t>
  </si>
  <si>
    <t>Elkhart</t>
  </si>
  <si>
    <t>Elkhart Warehouse</t>
  </si>
  <si>
    <t>25603 Borg Rd.</t>
  </si>
  <si>
    <t>IN</t>
  </si>
  <si>
    <t>KenMac</t>
  </si>
  <si>
    <t>17901 Englewood Dr.</t>
  </si>
  <si>
    <t>Middleburg Heights</t>
  </si>
  <si>
    <t>Shipping Department</t>
  </si>
  <si>
    <t>(440) 234-7500</t>
  </si>
  <si>
    <t>9:00pm</t>
  </si>
  <si>
    <t>Kings Mountain</t>
  </si>
  <si>
    <t>Kings Mountain Inter. Inc</t>
  </si>
  <si>
    <t>1755 S. Battleground Ave.</t>
  </si>
  <si>
    <t>Donna G. and Stacy B.</t>
  </si>
  <si>
    <t>(704) 739-4227</t>
  </si>
  <si>
    <t>mirror/plates</t>
  </si>
  <si>
    <t>Lorin Ind.</t>
  </si>
  <si>
    <t>1960 S. Roberts</t>
  </si>
  <si>
    <t>Muskegon</t>
  </si>
  <si>
    <t>MI</t>
  </si>
  <si>
    <t>Shipping Clerk</t>
  </si>
  <si>
    <t>(231) 215-5315</t>
  </si>
  <si>
    <t>(231) 727-6600
(231) 670-0958</t>
  </si>
  <si>
    <t>9:00am</t>
  </si>
  <si>
    <t>4:30pm</t>
  </si>
  <si>
    <t>Aluminum</t>
  </si>
  <si>
    <t>Munzing</t>
  </si>
  <si>
    <t>114 Industrial Blvd.</t>
  </si>
  <si>
    <t>Morganton</t>
  </si>
  <si>
    <t>Diane Czifra</t>
  </si>
  <si>
    <t>(973) 233-6792</t>
  </si>
  <si>
    <t>NEPW</t>
  </si>
  <si>
    <t>309 Lewiston Rd</t>
  </si>
  <si>
    <t>Mechanic Falls</t>
  </si>
  <si>
    <t>04256</t>
  </si>
  <si>
    <t>Liz Chamberlain</t>
  </si>
  <si>
    <t>(207) 333-3345 ext.131</t>
  </si>
  <si>
    <t>MF@nepw.com</t>
  </si>
  <si>
    <t>lizc@nepw.com</t>
  </si>
  <si>
    <t>email if expected delivery required
addressed in order of arrival</t>
  </si>
  <si>
    <t>Shelton</t>
  </si>
  <si>
    <t>Shelton Warehouse</t>
  </si>
  <si>
    <t>710 Bridgeport Ave.</t>
  </si>
  <si>
    <t>CT</t>
  </si>
  <si>
    <t>06484</t>
  </si>
  <si>
    <t>Linda Fray</t>
  </si>
  <si>
    <t>(203) 225-6323</t>
  </si>
  <si>
    <t>680 W Phillips St.</t>
  </si>
  <si>
    <t>Rhinelander</t>
  </si>
  <si>
    <t>WI</t>
  </si>
  <si>
    <t>54501</t>
  </si>
  <si>
    <t>Sabrina Johnston</t>
  </si>
  <si>
    <t>(920) 766-8784</t>
  </si>
  <si>
    <t>Sabrina.Johnston@ahlstrom-munksjo.com</t>
  </si>
  <si>
    <t>State or
Providence</t>
  </si>
  <si>
    <t>Street Address</t>
  </si>
  <si>
    <t>Location Name
Short</t>
  </si>
  <si>
    <t>- -</t>
  </si>
  <si>
    <t>Assocaited Suppliers</t>
  </si>
  <si>
    <t>Star Extruded</t>
  </si>
  <si>
    <t>Ahls; Lam; Cart; Neo; DNP</t>
  </si>
  <si>
    <t>Suddekor; Technocell</t>
  </si>
  <si>
    <t>Contact</t>
  </si>
  <si>
    <t>Ahlstrom Rhinelander</t>
  </si>
  <si>
    <t>Rhinelander Plant</t>
  </si>
  <si>
    <t>Pickup Location</t>
  </si>
  <si>
    <t>Weight Match Check</t>
  </si>
  <si>
    <t>Quantity</t>
  </si>
  <si>
    <t xml:space="preserve"> : Review Total </t>
  </si>
  <si>
    <t xml:space="preserve"> : Result Total </t>
  </si>
  <si>
    <t xml:space="preserve"> : "Extra" Pickup </t>
  </si>
  <si>
    <t xml:space="preserve"> : Weight Total with "Extra" Pickup </t>
  </si>
  <si>
    <t xml:space="preserve"> : Weight Total standard pickups</t>
  </si>
  <si>
    <t>Self Deliver</t>
  </si>
  <si>
    <t>HUN</t>
  </si>
  <si>
    <t>Incoming Paper Release Weights</t>
  </si>
  <si>
    <t>Collect Inbound Shipment Authorization</t>
  </si>
  <si>
    <t>--Panolam Industries--</t>
  </si>
  <si>
    <t>Pionite - Pioneer</t>
  </si>
  <si>
    <t xml:space="preserve">Deliver to: </t>
  </si>
  <si>
    <t>Auburn, Maine</t>
  </si>
  <si>
    <t xml:space="preserve">Authorized By: </t>
  </si>
  <si>
    <t>Greg Hoyle</t>
  </si>
  <si>
    <t xml:space="preserve">Carrier: </t>
  </si>
  <si>
    <t>Haibado Daher</t>
  </si>
  <si>
    <t>Delivery Appointment:</t>
  </si>
  <si>
    <t>207-330-2044</t>
  </si>
  <si>
    <t xml:space="preserve">Delivery To Consignee Must be Completed By: </t>
  </si>
  <si>
    <t xml:space="preserve">Pickup Order: </t>
  </si>
  <si>
    <t xml:space="preserve">Pickup Date </t>
  </si>
  <si>
    <t xml:space="preserve">Dock hours </t>
  </si>
  <si>
    <t xml:space="preserve">Street Address </t>
  </si>
  <si>
    <t xml:space="preserve">Zip Code </t>
  </si>
  <si>
    <t xml:space="preserve">Contact Person </t>
  </si>
  <si>
    <t xml:space="preserve">Contact 02 </t>
  </si>
  <si>
    <t>Weight (lbs.)</t>
  </si>
  <si>
    <t>This form must be attached to the carrier invoice for payment to be rendered</t>
  </si>
  <si>
    <t>Weight</t>
  </si>
  <si>
    <t xml:space="preserve">Total Weight: </t>
  </si>
  <si>
    <t>Pickup</t>
  </si>
  <si>
    <t>Truck 01</t>
  </si>
  <si>
    <t xml:space="preserve">Delivery to Auburn: </t>
  </si>
  <si>
    <t>Supplier Deliver</t>
  </si>
  <si>
    <t>Truck 02</t>
  </si>
  <si>
    <t>Truck 03</t>
  </si>
  <si>
    <t>Truck 04</t>
  </si>
  <si>
    <t>Truck 05</t>
  </si>
  <si>
    <t>Truck 06</t>
  </si>
  <si>
    <t>Total Incoming:</t>
  </si>
  <si>
    <t>Carrier</t>
  </si>
  <si>
    <t>Pickup Date</t>
  </si>
  <si>
    <t>Delivery Date</t>
  </si>
  <si>
    <t>Count_Key</t>
  </si>
  <si>
    <t>following Monday</t>
  </si>
  <si>
    <t>following Thursday</t>
  </si>
  <si>
    <t>Delivery to Auburn
- Standards -</t>
  </si>
  <si>
    <t>[110962]</t>
  </si>
  <si>
    <t>100SG254-3700</t>
  </si>
  <si>
    <t>10000002-50007096</t>
  </si>
  <si>
    <t>10000098-5000RESV</t>
  </si>
  <si>
    <t>10000333-6200110594</t>
  </si>
  <si>
    <t>222102048-20</t>
  </si>
  <si>
    <t>7184</t>
  </si>
  <si>
    <t>100AE100-50007184</t>
  </si>
  <si>
    <t>222102048-10</t>
  </si>
  <si>
    <t>100AE100-62007184</t>
  </si>
  <si>
    <t>10/23/2022</t>
  </si>
  <si>
    <t>01/25/2023</t>
  </si>
  <si>
    <t>NEUTRAL WHITE PANOLAM</t>
  </si>
  <si>
    <t>7182</t>
  </si>
  <si>
    <t>100BP049-50007182</t>
  </si>
  <si>
    <t>100BP049-62007182</t>
  </si>
  <si>
    <t>-3</t>
  </si>
  <si>
    <t>-483</t>
  </si>
  <si>
    <t>62</t>
  </si>
  <si>
    <t>04/13/2023</t>
  </si>
  <si>
    <t>100FR115-5014RESV</t>
  </si>
  <si>
    <t>222102049-20</t>
  </si>
  <si>
    <t>100HP140-50007184</t>
  </si>
  <si>
    <t>222102049-10</t>
  </si>
  <si>
    <t>100HP140-62007184</t>
  </si>
  <si>
    <t>222102009-20</t>
  </si>
  <si>
    <t>7144</t>
  </si>
  <si>
    <t>100HP295-50007144</t>
  </si>
  <si>
    <t>222102009-10</t>
  </si>
  <si>
    <t>100HP295-62007144</t>
  </si>
  <si>
    <t>7189</t>
  </si>
  <si>
    <t>100HP375-50007189</t>
  </si>
  <si>
    <t>SMOKE GREY PANOLAM</t>
  </si>
  <si>
    <t>7149</t>
  </si>
  <si>
    <t>100HP409-50007149</t>
  </si>
  <si>
    <t>4/29/2023</t>
  </si>
  <si>
    <t>GREIGE PANOLAM</t>
  </si>
  <si>
    <t>BANKERS GREY PANOLAM</t>
  </si>
  <si>
    <t>100SG214-50007151</t>
  </si>
  <si>
    <t>100SG214-62007151</t>
  </si>
  <si>
    <t>7191</t>
  </si>
  <si>
    <t>100SW826-50007191</t>
  </si>
  <si>
    <t>100SW826-62007191</t>
  </si>
  <si>
    <t>7186</t>
  </si>
  <si>
    <t>100WX031-50007186</t>
  </si>
  <si>
    <t>Pearwood 5ft</t>
  </si>
  <si>
    <t>100WX031-62007186</t>
  </si>
  <si>
    <t>222102046-10</t>
  </si>
  <si>
    <t>110HA009-43007184</t>
  </si>
  <si>
    <t>7192</t>
  </si>
  <si>
    <t>110LN602-62007192</t>
  </si>
  <si>
    <t>222101204-20</t>
  </si>
  <si>
    <t>222101204-10</t>
  </si>
  <si>
    <t>1930</t>
  </si>
  <si>
    <t>378</t>
  </si>
  <si>
    <t>49</t>
  </si>
  <si>
    <t>7185</t>
  </si>
  <si>
    <t>110WK022-50007185</t>
  </si>
  <si>
    <t>110WK022-62007185</t>
  </si>
  <si>
    <t>110WK024-50007185</t>
  </si>
  <si>
    <t>222102010-10</t>
  </si>
  <si>
    <t>110WM741-62007144</t>
  </si>
  <si>
    <t>Push out to 1/15/23</t>
  </si>
  <si>
    <t>222102045-10</t>
  </si>
  <si>
    <t>110WT770-62007184</t>
  </si>
  <si>
    <t>222102051-20</t>
  </si>
  <si>
    <t>110WX115-50007184</t>
  </si>
  <si>
    <t>222102051-10</t>
  </si>
  <si>
    <t>110WX115-62007184</t>
  </si>
  <si>
    <t>18</t>
  </si>
  <si>
    <t>110WZ055-50007071</t>
  </si>
  <si>
    <t>7190</t>
  </si>
  <si>
    <t>110WZ062-50007190</t>
  </si>
  <si>
    <t>100AG760-5000</t>
  </si>
  <si>
    <t>100AV674-5000</t>
  </si>
  <si>
    <t>100AW190-5000</t>
  </si>
  <si>
    <t>100FB247-6200</t>
  </si>
  <si>
    <t>100FB251-6200</t>
  </si>
  <si>
    <t>[111097]</t>
  </si>
  <si>
    <t>[111077]</t>
  </si>
  <si>
    <t>100ME060-5000</t>
  </si>
  <si>
    <t>100MW535-5000</t>
  </si>
  <si>
    <t>100MW545-5000</t>
  </si>
  <si>
    <t>100MW585-5000</t>
  </si>
  <si>
    <t>100SG224-3700</t>
  </si>
  <si>
    <t>100WP130-5000</t>
  </si>
  <si>
    <t>[111103]</t>
  </si>
  <si>
    <t>110SW727-3700</t>
  </si>
  <si>
    <t>SMOKY WHITE</t>
  </si>
  <si>
    <t>30M3481</t>
  </si>
  <si>
    <t>110TM202-5000</t>
  </si>
  <si>
    <t>UMBER TEMPERA 48"</t>
  </si>
  <si>
    <t>NRB 30M7672(LTM4)</t>
  </si>
  <si>
    <t>***.*</t>
  </si>
  <si>
    <t>150AG345-5000</t>
  </si>
  <si>
    <t>150K2016-5000</t>
  </si>
  <si>
    <t>GEORG</t>
  </si>
  <si>
    <t>512</t>
  </si>
  <si>
    <t>14</t>
  </si>
  <si>
    <t>1432</t>
  </si>
  <si>
    <t>10757</t>
  </si>
  <si>
    <t>329</t>
  </si>
  <si>
    <t>207</t>
  </si>
  <si>
    <t>1640</t>
  </si>
  <si>
    <t>81</t>
  </si>
  <si>
    <t>1339</t>
  </si>
  <si>
    <t>-130</t>
  </si>
  <si>
    <t>5/23/2023</t>
  </si>
  <si>
    <t>110773</t>
  </si>
  <si>
    <t>110962</t>
  </si>
  <si>
    <t>10000335-6200110962</t>
  </si>
  <si>
    <t>222102130-10</t>
  </si>
  <si>
    <t>7196</t>
  </si>
  <si>
    <t>100AG115-62007196</t>
  </si>
  <si>
    <t>1523</t>
  </si>
  <si>
    <t>6433</t>
  </si>
  <si>
    <t>3521</t>
  </si>
  <si>
    <t>2359</t>
  </si>
  <si>
    <t>Pending</t>
  </si>
  <si>
    <t>7177</t>
  </si>
  <si>
    <t>100HP451-50007177</t>
  </si>
  <si>
    <t>7159</t>
  </si>
  <si>
    <t>100HP551-50007159</t>
  </si>
  <si>
    <t>7158</t>
  </si>
  <si>
    <t>100HP551-50007158</t>
  </si>
  <si>
    <t>100HP551-62007159</t>
  </si>
  <si>
    <t>100HP551-62007158</t>
  </si>
  <si>
    <t>PRICE Q2 2023 TBC</t>
  </si>
  <si>
    <t>7178</t>
  </si>
  <si>
    <t>100HP597-50007178</t>
  </si>
  <si>
    <t>100KM009-62007180</t>
  </si>
  <si>
    <t>7161</t>
  </si>
  <si>
    <t>100SB027-50007161</t>
  </si>
  <si>
    <t>100SB027-62007161</t>
  </si>
  <si>
    <t>965</t>
  </si>
  <si>
    <t>7199</t>
  </si>
  <si>
    <t>100SG208-50007199</t>
  </si>
  <si>
    <t>100SG208-62007199</t>
  </si>
  <si>
    <t>7164</t>
  </si>
  <si>
    <t>100ST606-50007164</t>
  </si>
  <si>
    <t>100ST606-62007164</t>
  </si>
  <si>
    <t>05/06/2023</t>
  </si>
  <si>
    <t>7166</t>
  </si>
  <si>
    <t>100SW806-50007166</t>
  </si>
  <si>
    <t>11/11/2022</t>
  </si>
  <si>
    <t>7165</t>
  </si>
  <si>
    <t>100SW806-50007165</t>
  </si>
  <si>
    <t>100SW806-62007165</t>
  </si>
  <si>
    <t>2300</t>
  </si>
  <si>
    <t>1/23/2023</t>
  </si>
  <si>
    <t>6/6/2023</t>
  </si>
  <si>
    <t>100SY914-50007199</t>
  </si>
  <si>
    <t>1200</t>
  </si>
  <si>
    <t>100SY914-62007199</t>
  </si>
  <si>
    <t>222101678-10</t>
  </si>
  <si>
    <t>222101586-10 TO BE REWOUND</t>
  </si>
  <si>
    <t>222102127-20</t>
  </si>
  <si>
    <t>7197</t>
  </si>
  <si>
    <t>100WW075-50007197</t>
  </si>
  <si>
    <t>222102127-10</t>
  </si>
  <si>
    <t>100WW075-62007197</t>
  </si>
  <si>
    <t>2511</t>
  </si>
  <si>
    <t>306</t>
  </si>
  <si>
    <t>1856</t>
  </si>
  <si>
    <t>157</t>
  </si>
  <si>
    <t>538</t>
  </si>
  <si>
    <t>MG FIGURED ROSEWOOD</t>
  </si>
  <si>
    <t>222102076-10</t>
  </si>
  <si>
    <t>7193</t>
  </si>
  <si>
    <t>110KM028-62007193</t>
  </si>
  <si>
    <t>4545</t>
  </si>
  <si>
    <t>70</t>
  </si>
  <si>
    <t>1298</t>
  </si>
  <si>
    <t>-196</t>
  </si>
  <si>
    <t>110M5208-6200110773</t>
  </si>
  <si>
    <t>7168</t>
  </si>
  <si>
    <t>110S3068-50007168</t>
  </si>
  <si>
    <t>110S3068-62007168</t>
  </si>
  <si>
    <t>7169</t>
  </si>
  <si>
    <t>110S3070-50007169</t>
  </si>
  <si>
    <t>110S3070-62007169</t>
  </si>
  <si>
    <t>7170</t>
  </si>
  <si>
    <t>110S4025-50007170</t>
  </si>
  <si>
    <t>110S4025-62007170</t>
  </si>
  <si>
    <t>-423</t>
  </si>
  <si>
    <t>7173</t>
  </si>
  <si>
    <t>110S8003-62007173</t>
  </si>
  <si>
    <t>7174</t>
  </si>
  <si>
    <t>110SN284-50007174</t>
  </si>
  <si>
    <t>110SN284-62007174</t>
  </si>
  <si>
    <t>7195</t>
  </si>
  <si>
    <t>FOSSIL GREY PANOLAM</t>
  </si>
  <si>
    <t>110ST031-50007195</t>
  </si>
  <si>
    <t>110ST031-62007195</t>
  </si>
  <si>
    <t>7162</t>
  </si>
  <si>
    <t>110SV741-50007162</t>
  </si>
  <si>
    <t>110SV741-62007162</t>
  </si>
  <si>
    <t>2836</t>
  </si>
  <si>
    <t>543</t>
  </si>
  <si>
    <t>Gray Tranquility</t>
  </si>
  <si>
    <t>7194</t>
  </si>
  <si>
    <t>110TQ601-50007194</t>
  </si>
  <si>
    <t>110TQ601-62007194</t>
  </si>
  <si>
    <t>7188</t>
  </si>
  <si>
    <t>15400</t>
  </si>
  <si>
    <t>5.72</t>
  </si>
  <si>
    <t>110WF011-50007188</t>
  </si>
  <si>
    <t>7198</t>
  </si>
  <si>
    <t>110WU001-50007198</t>
  </si>
  <si>
    <t>110WU001-62007198</t>
  </si>
  <si>
    <t>Production date delayed by S.E on 10/21</t>
  </si>
  <si>
    <t>1737</t>
  </si>
  <si>
    <t>448</t>
  </si>
  <si>
    <t>02/16/2023</t>
  </si>
  <si>
    <t>11/05/2022</t>
  </si>
  <si>
    <t>05/11/2023</t>
  </si>
  <si>
    <t>User Input</t>
  </si>
  <si>
    <r>
      <t xml:space="preserve">Pickup
Quantity
</t>
    </r>
    <r>
      <rPr>
        <sz val="10"/>
        <color theme="0"/>
        <rFont val="Calibri"/>
        <family val="2"/>
        <scheme val="minor"/>
      </rPr>
      <t>(lbs.)</t>
    </r>
  </si>
  <si>
    <t>Truck ID</t>
  </si>
  <si>
    <t>6 send reports to suppliers</t>
  </si>
  <si>
    <t>send carrier pickup documents</t>
  </si>
  <si>
    <t xml:space="preserve">Enter Truck Number: </t>
  </si>
  <si>
    <t xml:space="preserve">    if no truck number, leave blank</t>
  </si>
  <si>
    <t>Seperator</t>
  </si>
  <si>
    <t>to</t>
  </si>
  <si>
    <t>7:00am start time</t>
  </si>
  <si>
    <t>8:00am start time</t>
  </si>
  <si>
    <t>Contact Phone</t>
  </si>
  <si>
    <t xml:space="preserve">Appointment
Requirements </t>
  </si>
  <si>
    <t xml:space="preserve">Document Generated: </t>
  </si>
  <si>
    <t>03/04/2023</t>
  </si>
  <si>
    <t>09/15/2022</t>
  </si>
  <si>
    <t>2535</t>
  </si>
  <si>
    <t>335</t>
  </si>
  <si>
    <t>Base paper ordered, Requested to Push out to 3/30/23</t>
  </si>
  <si>
    <t>7200</t>
  </si>
  <si>
    <t>Beige Renaissance 4ft</t>
  </si>
  <si>
    <t>110WM858-50007200</t>
  </si>
  <si>
    <t>Beige Renaissance 5ft</t>
  </si>
  <si>
    <t>110WM858-62007200</t>
  </si>
  <si>
    <t>True Input</t>
  </si>
  <si>
    <t>Glat</t>
  </si>
  <si>
    <t>Hun</t>
  </si>
  <si>
    <t>Schat</t>
  </si>
  <si>
    <t>Quick Notes:</t>
  </si>
  <si>
    <t>Do not remove this tab</t>
  </si>
  <si>
    <t>Color Description</t>
  </si>
  <si>
    <t>Color
Code</t>
  </si>
  <si>
    <t>Release
Weight of -6200
(lbs.)</t>
  </si>
  <si>
    <t>Release
Weight of -5000
(lbs.)</t>
  </si>
  <si>
    <t>ETA to
Huntsville</t>
  </si>
  <si>
    <t>System
Product ID -5000</t>
  </si>
  <si>
    <t>System
Product ID -6200</t>
  </si>
  <si>
    <t>Code</t>
  </si>
  <si>
    <t>ETA to Hun</t>
  </si>
  <si>
    <t>Pickup ID Check</t>
  </si>
  <si>
    <t>Need</t>
  </si>
  <si>
    <t>not needed</t>
  </si>
  <si>
    <t>Pickup ID</t>
  </si>
  <si>
    <t>Supplier Name</t>
  </si>
  <si>
    <t xml:space="preserve">Auburn Paper Material Release Request   </t>
  </si>
  <si>
    <t xml:space="preserve">Pickup Location: </t>
  </si>
  <si>
    <t xml:space="preserve">Pickup Date: </t>
  </si>
  <si>
    <t>Date of Request:</t>
  </si>
  <si>
    <t>Comment</t>
  </si>
  <si>
    <t xml:space="preserve">   1 Pionite Rd</t>
  </si>
  <si>
    <t xml:space="preserve">   Auburn, ME 04210</t>
  </si>
  <si>
    <t xml:space="preserve">Supplier: </t>
  </si>
  <si>
    <t xml:space="preserve">Total Requested Weight: </t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</si>
  <si>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
for Supp Consol</t>
    </r>
  </si>
  <si>
    <r>
      <t>Supp File Creation</t>
    </r>
    <r>
      <rPr>
        <sz val="11"/>
        <color rgb="FF420000"/>
        <rFont val="Calibri"/>
        <family val="2"/>
        <scheme val="minor"/>
      </rPr>
      <t xml:space="preserve"> Key</t>
    </r>
  </si>
  <si>
    <r>
      <rPr>
        <sz val="11"/>
        <color rgb="FF420000"/>
        <rFont val="Calibri"/>
        <family val="2"/>
        <scheme val="minor"/>
      </rPr>
      <t>Key</t>
    </r>
    <r>
      <rPr>
        <sz val="11"/>
        <color theme="1"/>
        <rFont val="Calibri"/>
        <family val="2"/>
        <scheme val="minor"/>
      </rPr>
      <t xml:space="preserve"> for Result Tab</t>
    </r>
  </si>
  <si>
    <t>Supplier-Location Key</t>
  </si>
  <si>
    <t>[111122]</t>
  </si>
  <si>
    <t>JPS C</t>
  </si>
  <si>
    <t>[111156]</t>
  </si>
  <si>
    <t>114</t>
  </si>
  <si>
    <t>218</t>
  </si>
  <si>
    <t>272</t>
  </si>
  <si>
    <t>1105</t>
  </si>
  <si>
    <t>1311</t>
  </si>
  <si>
    <t>Req. Delivery 12/29/2022</t>
  </si>
  <si>
    <t>Req. Delivery 12/15/2022</t>
  </si>
  <si>
    <t>Req. Delivery 10/07/2022</t>
  </si>
  <si>
    <t>Req. Delivery 10/06/2022</t>
  </si>
  <si>
    <t>Req. Delivery 10/15/2022</t>
  </si>
  <si>
    <t>Req. Delivery 01/30/2023</t>
  </si>
  <si>
    <t>21000</t>
  </si>
  <si>
    <t>17000</t>
  </si>
  <si>
    <t>100HP375-62006885</t>
  </si>
  <si>
    <t>3/6/2023</t>
  </si>
  <si>
    <t>7/22/2023</t>
  </si>
  <si>
    <t>7204</t>
  </si>
  <si>
    <t>5/22/2023</t>
  </si>
  <si>
    <t>100KM067-50007204</t>
  </si>
  <si>
    <t>100KM067-62007204</t>
  </si>
  <si>
    <t>7205</t>
  </si>
  <si>
    <t>100MR130-62007205</t>
  </si>
  <si>
    <t>-60</t>
  </si>
  <si>
    <t>11/12/2022</t>
  </si>
  <si>
    <t>455</t>
  </si>
  <si>
    <t>100WM115-62007020</t>
  </si>
  <si>
    <t>MG OFS BLONDE MAPLE</t>
  </si>
  <si>
    <t>222102137-10</t>
  </si>
  <si>
    <t>7201</t>
  </si>
  <si>
    <t>100WM255-62007201</t>
  </si>
  <si>
    <t>MG OFS ENGLISH WALNUT</t>
  </si>
  <si>
    <t>222102136-10</t>
  </si>
  <si>
    <t>100WW610-62007201</t>
  </si>
  <si>
    <t>222100323-20</t>
  </si>
  <si>
    <t xml:space="preserve">222100323-10 </t>
  </si>
  <si>
    <t>11/28/2022</t>
  </si>
  <si>
    <t>Req. Delivery 10/20/2022</t>
  </si>
  <si>
    <t>6/29/2023</t>
  </si>
  <si>
    <t>110S2063-50007080</t>
  </si>
  <si>
    <t>7203</t>
  </si>
  <si>
    <t>110VA202-50007203</t>
  </si>
  <si>
    <t>110VA202-62007203</t>
  </si>
  <si>
    <t>7202</t>
  </si>
  <si>
    <t>Crema 4ft</t>
  </si>
  <si>
    <t>110WZ049-50007202</t>
  </si>
  <si>
    <t>Crema 5ft</t>
  </si>
  <si>
    <t>110WZ049-62007202</t>
  </si>
  <si>
    <t>100HP273-5000</t>
  </si>
  <si>
    <t>100K2019-5000</t>
  </si>
  <si>
    <t>100SO312-3700</t>
  </si>
  <si>
    <t>100WX041-3700</t>
  </si>
  <si>
    <t>100AB121-5000</t>
  </si>
  <si>
    <t>100AV801-6200</t>
  </si>
  <si>
    <t>100DS060-5000</t>
  </si>
  <si>
    <t>100DS060-6200</t>
  </si>
  <si>
    <t>100DS079-6200</t>
  </si>
  <si>
    <t>100DW257-5000</t>
  </si>
  <si>
    <t>100DW257-6200</t>
  </si>
  <si>
    <t>100HP113-5000</t>
  </si>
  <si>
    <t>100HP113-6200</t>
  </si>
  <si>
    <t>100HP166-5000</t>
  </si>
  <si>
    <t>100HP181-5000</t>
  </si>
  <si>
    <t>100HP181-6200</t>
  </si>
  <si>
    <t>100HP235-5000</t>
  </si>
  <si>
    <t>100HP270-6200</t>
  </si>
  <si>
    <t>100HP406-5000</t>
  </si>
  <si>
    <t>100HP406-6200</t>
  </si>
  <si>
    <t>100HP407-5000</t>
  </si>
  <si>
    <t>100HP407-6200</t>
  </si>
  <si>
    <t>100HP427-5000</t>
  </si>
  <si>
    <t>100HP477-5000</t>
  </si>
  <si>
    <t>100HP477-6200</t>
  </si>
  <si>
    <t>100HP491-6200</t>
  </si>
  <si>
    <t>100HP556-5000</t>
  </si>
  <si>
    <t>100HP556-6200</t>
  </si>
  <si>
    <t>100HP569-6200</t>
  </si>
  <si>
    <t>100HP596-6200</t>
  </si>
  <si>
    <t>100HP685-6200</t>
  </si>
  <si>
    <t>100HP686-6200</t>
  </si>
  <si>
    <t>100HP821-5000</t>
  </si>
  <si>
    <t>100K2033-6200</t>
  </si>
  <si>
    <t>100K8019-5000</t>
  </si>
  <si>
    <t>100K8021-6200</t>
  </si>
  <si>
    <t>100K8022-5000</t>
  </si>
  <si>
    <t>100K8022-6200</t>
  </si>
  <si>
    <t>100K8030-6200</t>
  </si>
  <si>
    <t>100K8032-5000</t>
  </si>
  <si>
    <t>100K8033-5000</t>
  </si>
  <si>
    <t>100K8033-6200</t>
  </si>
  <si>
    <t>100K8034-6200</t>
  </si>
  <si>
    <t>100K8035-5000</t>
  </si>
  <si>
    <t>100K8036-6200</t>
  </si>
  <si>
    <t>100K8037-6200</t>
  </si>
  <si>
    <t>100K8042-5000</t>
  </si>
  <si>
    <t>100K8042-6200</t>
  </si>
  <si>
    <t>100K9034-5000</t>
  </si>
  <si>
    <t>100K9040-5000</t>
  </si>
  <si>
    <t>100K9040-6200</t>
  </si>
  <si>
    <t>100K9045-6200</t>
  </si>
  <si>
    <t>100K9052-5000</t>
  </si>
  <si>
    <t>100K9052-6200</t>
  </si>
  <si>
    <t>100KM008-5000</t>
  </si>
  <si>
    <t>100KM008-6200</t>
  </si>
  <si>
    <t>100KM033-5000</t>
  </si>
  <si>
    <t>100KM033-6200</t>
  </si>
  <si>
    <t>100KM035-6200</t>
  </si>
  <si>
    <t>100QU837-6200</t>
  </si>
  <si>
    <t>100QU862-5000</t>
  </si>
  <si>
    <t>100QU893-5000</t>
  </si>
  <si>
    <t>100QU893-6200</t>
  </si>
  <si>
    <t>100SG268-6200</t>
  </si>
  <si>
    <t>100SG275-5000</t>
  </si>
  <si>
    <t>100SV720-6200</t>
  </si>
  <si>
    <t>100WC530-5000</t>
  </si>
  <si>
    <t>100WC530-6200</t>
  </si>
  <si>
    <t>100WC642-6200</t>
  </si>
  <si>
    <t>100WO450-5000</t>
  </si>
  <si>
    <t>100WO450-6200</t>
  </si>
  <si>
    <t>100WP101-6200</t>
  </si>
  <si>
    <t>100WT840-5000</t>
  </si>
  <si>
    <t>100WW800-6200</t>
  </si>
  <si>
    <t>100WX250-6200</t>
  </si>
  <si>
    <t>100WX412-5000</t>
  </si>
  <si>
    <t>100WX412-6200</t>
  </si>
  <si>
    <t>100WX765-5000</t>
  </si>
  <si>
    <t>100WX970-5000</t>
  </si>
  <si>
    <t>100WX970-6200</t>
  </si>
  <si>
    <t>100WX975-6200</t>
  </si>
  <si>
    <t>110AL205-6200</t>
  </si>
  <si>
    <t>110S7049-5000</t>
  </si>
  <si>
    <t>110S7049-6200</t>
  </si>
  <si>
    <t>110WC059-6200</t>
  </si>
  <si>
    <t>110WF203-6200</t>
  </si>
  <si>
    <t>110WM127-5000</t>
  </si>
  <si>
    <t>110WZ604-5000</t>
  </si>
  <si>
    <t>110WZ701-6200</t>
  </si>
  <si>
    <t>150DS078-6200</t>
  </si>
  <si>
    <t>150HP820-5000</t>
  </si>
  <si>
    <t>150HP822-5000</t>
  </si>
  <si>
    <t>150KM015-6200</t>
  </si>
  <si>
    <t>150KM016-6200</t>
  </si>
  <si>
    <t>150KM029-6200</t>
  </si>
  <si>
    <t>150SG220-6200</t>
  </si>
  <si>
    <t>150SG285-6200</t>
  </si>
  <si>
    <t>150SV001-5000</t>
  </si>
  <si>
    <t>150SW852-6200</t>
  </si>
  <si>
    <t>150WA009-6200</t>
  </si>
  <si>
    <t>150WC122-5000</t>
  </si>
  <si>
    <t>150WC122-6200</t>
  </si>
  <si>
    <t>150WG110-5000</t>
  </si>
  <si>
    <t>150WG110-6200</t>
  </si>
  <si>
    <t>150WM200-6200</t>
  </si>
  <si>
    <t>150WM228-6200</t>
  </si>
  <si>
    <t>150WM944-5000</t>
  </si>
  <si>
    <t>150WO030-5000</t>
  </si>
  <si>
    <t>150WO030-6200</t>
  </si>
  <si>
    <t>Huntsville
Price
(USD)</t>
  </si>
  <si>
    <t>Huntsville Price Request</t>
  </si>
  <si>
    <t>Huntsville
To Supply
(lbs.)</t>
  </si>
  <si>
    <t>Request
Weight
(lbs.)</t>
  </si>
  <si>
    <t>PIONP</t>
  </si>
  <si>
    <t>Enter Release Location
(S or H)</t>
  </si>
  <si>
    <t>Oper
Unit</t>
  </si>
  <si>
    <t>GL
Unit</t>
  </si>
  <si>
    <t>IN
Unit</t>
  </si>
  <si>
    <t>Ship To
Location</t>
  </si>
  <si>
    <t>Actual
Complete</t>
  </si>
  <si>
    <t>Cancel</t>
  </si>
  <si>
    <t>Remaining
PO Quantity
(lbs.)</t>
  </si>
  <si>
    <t>Huntsville
Release
(lbs.)</t>
  </si>
  <si>
    <t>Auburn
Delivery
Date</t>
  </si>
  <si>
    <t>Supplier-Pickup Key</t>
  </si>
  <si>
    <t>Loop Check</t>
  </si>
  <si>
    <t>Delivery
Date</t>
  </si>
  <si>
    <t>100AG115-5000</t>
  </si>
  <si>
    <t>[111240]</t>
  </si>
  <si>
    <t>100SW813-3700</t>
  </si>
  <si>
    <t>100WX031-3700</t>
  </si>
  <si>
    <t>110AM601-5000</t>
  </si>
  <si>
    <t>ALUMINITE</t>
  </si>
  <si>
    <t>NRB 7/27/22 30M7486 (LAM6)</t>
  </si>
  <si>
    <t>[111199]</t>
  </si>
  <si>
    <t>110MR208-5000</t>
  </si>
  <si>
    <t>110S2037-3700</t>
  </si>
  <si>
    <t>AMF MAPLE L/O (CUT D</t>
  </si>
  <si>
    <t>110WM864-3700</t>
  </si>
  <si>
    <t>23</t>
  </si>
  <si>
    <t>44</t>
  </si>
  <si>
    <t>46</t>
  </si>
  <si>
    <t>146</t>
  </si>
  <si>
    <t>14180</t>
  </si>
  <si>
    <t>14194</t>
  </si>
  <si>
    <t>7207</t>
  </si>
  <si>
    <t>6/8/2023</t>
  </si>
  <si>
    <t>10000010-43007207</t>
  </si>
  <si>
    <t>10000010-62007207</t>
  </si>
  <si>
    <t>1300</t>
  </si>
  <si>
    <t>10000013-37007207</t>
  </si>
  <si>
    <t>10000013-50007207</t>
  </si>
  <si>
    <t>10000013-62007207</t>
  </si>
  <si>
    <t>2/20/2023</t>
  </si>
  <si>
    <t>7/5/2023</t>
  </si>
  <si>
    <t>this is the old formuation of LC-28 w/ backside coating</t>
  </si>
  <si>
    <t>Req. Delivery 02/15/2023</t>
  </si>
  <si>
    <t>111122</t>
  </si>
  <si>
    <t>10000326-6200111122</t>
  </si>
  <si>
    <t>03/15/2023</t>
  </si>
  <si>
    <t>7208</t>
  </si>
  <si>
    <t>100CC130-50007208</t>
  </si>
  <si>
    <t>100CC130-62007208</t>
  </si>
  <si>
    <t>05/20/2023</t>
  </si>
  <si>
    <t>2418</t>
  </si>
  <si>
    <t>11/17/2022</t>
  </si>
  <si>
    <t>1501</t>
  </si>
  <si>
    <t>1695</t>
  </si>
  <si>
    <t>6.52</t>
  </si>
  <si>
    <t>1955</t>
  </si>
  <si>
    <t>2141</t>
  </si>
  <si>
    <t>4015</t>
  </si>
  <si>
    <t>6323</t>
  </si>
  <si>
    <t>-222</t>
  </si>
  <si>
    <t>1981</t>
  </si>
  <si>
    <t>11/24/2022</t>
  </si>
  <si>
    <t>525</t>
  </si>
  <si>
    <t>2346</t>
  </si>
  <si>
    <t>1186</t>
  </si>
  <si>
    <t>955</t>
  </si>
  <si>
    <t>this is the old formuation of LC-59 w/ backside coating</t>
  </si>
  <si>
    <t xml:space="preserve">50.25" sample roll shipped 11/14 for testing.  Waiting on results of testing/evaluatin of this trial roll   </t>
  </si>
  <si>
    <t>222101604-20 TO BE REWOUND</t>
  </si>
  <si>
    <t>994</t>
  </si>
  <si>
    <t>1325</t>
  </si>
  <si>
    <t>1144</t>
  </si>
  <si>
    <t>1603</t>
  </si>
  <si>
    <t>4778</t>
  </si>
  <si>
    <t>-140</t>
  </si>
  <si>
    <t>4111</t>
  </si>
  <si>
    <t>-816</t>
  </si>
  <si>
    <t>5/4/2023</t>
  </si>
  <si>
    <t>110SE601-50007208</t>
  </si>
  <si>
    <t>110SE601-62007208</t>
  </si>
  <si>
    <t>698</t>
  </si>
  <si>
    <t>-104</t>
  </si>
  <si>
    <t>-8</t>
  </si>
  <si>
    <t>860</t>
  </si>
  <si>
    <t>-883</t>
  </si>
  <si>
    <t>02/25/2023</t>
  </si>
  <si>
    <t>-10</t>
  </si>
  <si>
    <t>HOLDING 505LBS ROLL</t>
  </si>
  <si>
    <t>TRIAL SOFT ISLAND BREEZE</t>
  </si>
  <si>
    <t>SPRAY BUFFER TRIAL</t>
  </si>
  <si>
    <t>TRIAL SOFT ISLAND BREEZESPRAY BUFFER TRIAL</t>
  </si>
  <si>
    <t>12/11/2022</t>
  </si>
  <si>
    <t>-512</t>
  </si>
  <si>
    <t>567</t>
  </si>
  <si>
    <t>2133</t>
  </si>
  <si>
    <t>7209</t>
  </si>
  <si>
    <t>100FR115-50147209</t>
  </si>
  <si>
    <t>100FR115-62127209</t>
  </si>
  <si>
    <t>04/10/2023</t>
  </si>
  <si>
    <t>100HP687-50007141</t>
  </si>
  <si>
    <t xml:space="preserve">222101986-10 </t>
  </si>
  <si>
    <t>131</t>
  </si>
  <si>
    <t>265</t>
  </si>
  <si>
    <t>222101678-20</t>
  </si>
  <si>
    <t>12/26/2022</t>
  </si>
  <si>
    <t>7210</t>
  </si>
  <si>
    <t>100WX125-50007210</t>
  </si>
  <si>
    <t>100WX125-62007210</t>
  </si>
  <si>
    <t>2001</t>
  </si>
  <si>
    <t>357</t>
  </si>
  <si>
    <t>1484</t>
  </si>
  <si>
    <t>182</t>
  </si>
  <si>
    <t>897</t>
  </si>
  <si>
    <t>01/02/2023</t>
  </si>
  <si>
    <t>=IF(F3="","",F3&amp;COUNTIF($F$3:F3,F3))</t>
  </si>
  <si>
    <t>truck count</t>
  </si>
  <si>
    <t>ST014</t>
  </si>
  <si>
    <t>AW300</t>
  </si>
  <si>
    <t>WX421</t>
  </si>
  <si>
    <t>MW580</t>
  </si>
  <si>
    <t>WK017</t>
  </si>
  <si>
    <t>WT770</t>
  </si>
  <si>
    <t>WX115</t>
  </si>
  <si>
    <t>AW785</t>
  </si>
  <si>
    <t>7037/7078</t>
  </si>
  <si>
    <t>SG224</t>
  </si>
  <si>
    <t>WT790</t>
  </si>
  <si>
    <t>6977/6897</t>
  </si>
  <si>
    <t>HLT01</t>
  </si>
  <si>
    <t>BASIC BLACK HAUTELINK</t>
  </si>
  <si>
    <t>HP687</t>
  </si>
  <si>
    <t>HP690</t>
  </si>
  <si>
    <t>100FB456-6200</t>
  </si>
  <si>
    <t>100SG246-3700</t>
  </si>
  <si>
    <t>NRB 30M1912 CORRELL</t>
  </si>
  <si>
    <t>[48481]</t>
  </si>
  <si>
    <t xml:space="preserve">trial roll shipped 12/5 - waiting for approval                              </t>
  </si>
  <si>
    <t>Shipped  3900# on 12/5 - waiting on raw to produce balance of the order</t>
  </si>
  <si>
    <t>7213</t>
  </si>
  <si>
    <t>20222</t>
  </si>
  <si>
    <t>18857</t>
  </si>
  <si>
    <t>1870</t>
  </si>
  <si>
    <t>1996</t>
  </si>
  <si>
    <t>Tiramisu 5ft</t>
  </si>
  <si>
    <t>449</t>
  </si>
  <si>
    <t>1010</t>
  </si>
  <si>
    <t>=IF(D2="","",IFERROR(IFERROR(INDEX('Hun Demand'!A:A,MATCH(CONCAT(A2,"-5000"),'Hun Demand'!AK:AK,0)),INDEX('Aub Demand'!A:A,MATCH(CONCAT(A2,"-5000"),'Aub Demand'!AK:AK,0))),"missing"))</t>
  </si>
  <si>
    <t>=IF(E2="","",IFERROR(IFERROR(INDEX('Hun Demand'!A:A,MATCH(CONCAT(A2,"-6200"),'Hun Demand'!AK:AK,0)),INDEX('Aub Demand'!A:A,MATCH(CONCAT(A2,"-6200"),'Aub Demand'!AK:AK,0))),"missing"))</t>
  </si>
  <si>
    <t>Key</t>
  </si>
  <si>
    <t>Dispatched</t>
  </si>
  <si>
    <t>Actual</t>
  </si>
  <si>
    <t>New PO Total</t>
  </si>
  <si>
    <t>Prep Entry Done</t>
  </si>
  <si>
    <t>Final Entry Done</t>
  </si>
  <si>
    <t>PIO_USAGE_BY_ITEM</t>
  </si>
  <si>
    <t xml:space="preserve"> 792</t>
  </si>
  <si>
    <t>210ST054-CIME</t>
  </si>
  <si>
    <t>WROUGHT IRON 49 1/2</t>
  </si>
  <si>
    <t>200SV710-CMZE</t>
  </si>
  <si>
    <t>ANTHRA GREEN 61 1/2</t>
  </si>
  <si>
    <t>210SV001-CMZE</t>
  </si>
  <si>
    <t>CELESTIAL 61 1/2</t>
  </si>
  <si>
    <t>200SR516-CIME</t>
  </si>
  <si>
    <t>CERISE 49 1/2</t>
  </si>
  <si>
    <t>200SR516-CMZE</t>
  </si>
  <si>
    <t>CERISE 61 1/2</t>
  </si>
  <si>
    <t>200SR520-CMZE</t>
  </si>
  <si>
    <t>PRIMARY RED 61 1/2</t>
  </si>
  <si>
    <t>200SR521-CIME</t>
  </si>
  <si>
    <t>BURGUNDY 49 1/2</t>
  </si>
  <si>
    <t>200SR521-CMZE</t>
  </si>
  <si>
    <t>BURGUNDY 61 1/2</t>
  </si>
  <si>
    <t>200SR522-CIME</t>
  </si>
  <si>
    <t>RASPBERRY 49 1/2</t>
  </si>
  <si>
    <t>200SR522-CMZE</t>
  </si>
  <si>
    <t>RASPBERRY 61 1/2</t>
  </si>
  <si>
    <t>200SR533-CIME</t>
  </si>
  <si>
    <t>ROSE 49 1/2</t>
  </si>
  <si>
    <t>200SR534-CIME</t>
  </si>
  <si>
    <t>SALSA RED 49 1/2</t>
  </si>
  <si>
    <t>200ST604-CMZE</t>
  </si>
  <si>
    <t>NUBIAN BROWN 61 1/2</t>
  </si>
  <si>
    <t>200SG211-CMZE</t>
  </si>
  <si>
    <t>INGOT GRAY 61 1/2</t>
  </si>
  <si>
    <t>200SG246-CMZE</t>
  </si>
  <si>
    <t>DOLPHIN GRAY 61 1/2</t>
  </si>
  <si>
    <t>200SG250-CIME</t>
  </si>
  <si>
    <t>INNER TONE LT 49 1/2</t>
  </si>
  <si>
    <t>200SG251-CIME</t>
  </si>
  <si>
    <t>FEATHER GRAY 49 1/2</t>
  </si>
  <si>
    <t>200SG251-CMZE</t>
  </si>
  <si>
    <t>FEATHER GRAY 61 1/2</t>
  </si>
  <si>
    <t>200SO307-CIME</t>
  </si>
  <si>
    <t>CREME PEACH 49 1/2</t>
  </si>
  <si>
    <t>200SO308-CIME</t>
  </si>
  <si>
    <t>CANYON 49 1/2</t>
  </si>
  <si>
    <t>200SO320-CIME</t>
  </si>
  <si>
    <t>COPPER 49 1/2</t>
  </si>
  <si>
    <t>200SO320-CMZE</t>
  </si>
  <si>
    <t>COPPER 61 1/2</t>
  </si>
  <si>
    <t>200SO400-CIME</t>
  </si>
  <si>
    <t>HD ORANGE 49 1/2</t>
  </si>
  <si>
    <t>200SP402-CIME</t>
  </si>
  <si>
    <t>PLUM 49 1/2</t>
  </si>
  <si>
    <t>200SP402-CMZE</t>
  </si>
  <si>
    <t>PLUM 61 1/2</t>
  </si>
  <si>
    <t>200SP409-CIME</t>
  </si>
  <si>
    <t>IRIS 49 1/2</t>
  </si>
  <si>
    <t>200SP409-CMZE</t>
  </si>
  <si>
    <t>IRIS 61 1/2</t>
  </si>
  <si>
    <t>200SP412-CMZE</t>
  </si>
  <si>
    <t>PURPLE 61 1/2</t>
  </si>
  <si>
    <t>200SP414-CIME</t>
  </si>
  <si>
    <t>TUTTI FRUTTI  49 1/2</t>
  </si>
  <si>
    <t>200SR505-CMZE</t>
  </si>
  <si>
    <t>NAVAJO RED 61 1/2</t>
  </si>
  <si>
    <t>200SR509-CIME</t>
  </si>
  <si>
    <t>ROSE ASH 49 1/2</t>
  </si>
  <si>
    <t>200000C4-CMZE</t>
  </si>
  <si>
    <t>ALMOND 61 1/2</t>
  </si>
  <si>
    <t>200000E1-CIME</t>
  </si>
  <si>
    <t>200000E1-CMZE</t>
  </si>
  <si>
    <t>EGGSHELL WHITE 61 1/2</t>
  </si>
  <si>
    <t>200DS072-CIME</t>
  </si>
  <si>
    <t>LITE WHITE 49 1/2</t>
  </si>
  <si>
    <t>200DS072-CMZE</t>
  </si>
  <si>
    <t>LITE WHITE 61 1/2</t>
  </si>
  <si>
    <t>200ES140-CIME</t>
  </si>
  <si>
    <t>POLYESTER BLACK 49 1/2</t>
  </si>
  <si>
    <t>200ES140-CMZE</t>
  </si>
  <si>
    <t>POLYESTER BLACK 61 1/2</t>
  </si>
  <si>
    <t>200HP495-CIME</t>
  </si>
  <si>
    <t>HP OYSTER GRAY 49 1/2</t>
  </si>
  <si>
    <t>200HP634-CIME</t>
  </si>
  <si>
    <t>CITRUS ORANGE 49 1/2</t>
  </si>
  <si>
    <t>200SB005-CIME</t>
  </si>
  <si>
    <t>FRENCH BLUE 49 1/2</t>
  </si>
  <si>
    <t>200SB005-CMZE</t>
  </si>
  <si>
    <t>FRENCH BLUE 61 1/2</t>
  </si>
  <si>
    <t>200SB008-CIME</t>
  </si>
  <si>
    <t>AZTEC BLUE 49 1/2</t>
  </si>
  <si>
    <t>200SB009-CMZE</t>
  </si>
  <si>
    <t>ROYAL BLUE 61 1/2</t>
  </si>
  <si>
    <t>200SB010-CIME</t>
  </si>
  <si>
    <t>TEAL 49 1/2</t>
  </si>
  <si>
    <t>200SB010-CMZE</t>
  </si>
  <si>
    <t>TEAL 61 1/2</t>
  </si>
  <si>
    <t>200SB012-CMZE</t>
  </si>
  <si>
    <t>ASTRAL BLUE 61 1/2</t>
  </si>
  <si>
    <t>200SB040-CIME</t>
  </si>
  <si>
    <t>BLUEBERRY HILL 49 1/2</t>
  </si>
  <si>
    <t>200SE103-CIME</t>
  </si>
  <si>
    <t>JET BLACK 49 1/2</t>
  </si>
  <si>
    <t>200SE103-CMZE</t>
  </si>
  <si>
    <t>JET BLACK 61 1/2</t>
  </si>
  <si>
    <t>200SG204-CMZE</t>
  </si>
  <si>
    <t>MERCURY 61 1/2</t>
  </si>
  <si>
    <t>200SG208-CMZE</t>
  </si>
  <si>
    <t>LIMESTONE 61 1/2</t>
  </si>
  <si>
    <t>200SG209-CIME</t>
  </si>
  <si>
    <t>PUTTY GRAY 49 1/2</t>
  </si>
  <si>
    <t>200SG209-CMZE</t>
  </si>
  <si>
    <t>PUTTY GRAY 61 1/2</t>
  </si>
  <si>
    <t>200T5080-CUZ1</t>
  </si>
  <si>
    <t>US MAP 19 X 30</t>
  </si>
  <si>
    <t>210ST014-CMZE</t>
  </si>
  <si>
    <t>BLACK PEARL 61 1/2</t>
  </si>
  <si>
    <t>200ST613-CIME</t>
  </si>
  <si>
    <t>TAPIOCA 49 1/2</t>
  </si>
  <si>
    <t>200ST615-CIME</t>
  </si>
  <si>
    <t>HORIZONTAL BE 49 1/2</t>
  </si>
  <si>
    <t>200ST617-CIME</t>
  </si>
  <si>
    <t>BEIGE 49 1/2</t>
  </si>
  <si>
    <t>200ST617-CMZE</t>
  </si>
  <si>
    <t>200ST622-CIME</t>
  </si>
  <si>
    <t>CARAMEL 49 1/2</t>
  </si>
  <si>
    <t>200ST622-CMZE</t>
  </si>
  <si>
    <t>CARAMEL 61 1/2</t>
  </si>
  <si>
    <t>200ST633-CIME</t>
  </si>
  <si>
    <t>ROSE BROWN 49 1/2</t>
  </si>
  <si>
    <t>200ST637-CIME</t>
  </si>
  <si>
    <t>CHOCOLATE 49 1/2</t>
  </si>
  <si>
    <t>200ST637-CMZE</t>
  </si>
  <si>
    <t>CHOCOLATE 61 1/2</t>
  </si>
  <si>
    <t>200ST643-CIME</t>
  </si>
  <si>
    <t>CAMEO 49 1/2</t>
  </si>
  <si>
    <t>MOR01</t>
  </si>
  <si>
    <t>20000317-CIM1</t>
  </si>
  <si>
    <t>INACTIVE</t>
  </si>
  <si>
    <t>200ST643-CMZE</t>
  </si>
  <si>
    <t>CAMEO 61 1/2</t>
  </si>
  <si>
    <t>200ST648-CIME</t>
  </si>
  <si>
    <t>MAYAN BEIGE 49 1/2</t>
  </si>
  <si>
    <t>200ST650-CIME</t>
  </si>
  <si>
    <t>PALOMINO 49 1/2</t>
  </si>
  <si>
    <t>200ST650-CMZE</t>
  </si>
  <si>
    <t>PALOMINO 61 1/2</t>
  </si>
  <si>
    <t>200ST653-CIME</t>
  </si>
  <si>
    <t>BISQUE 49 1/2</t>
  </si>
  <si>
    <t>200ST653-CMZE</t>
  </si>
  <si>
    <t>BISQUE 61 1/2</t>
  </si>
  <si>
    <t>200ST655-CIME</t>
  </si>
  <si>
    <t>200ST683-CIME</t>
  </si>
  <si>
    <t>PEBBLE 49 1/2</t>
  </si>
  <si>
    <t>200ST683-CMZE</t>
  </si>
  <si>
    <t>PEBBLE 61 1/2</t>
  </si>
  <si>
    <t>200ST685-CIME</t>
  </si>
  <si>
    <t>ANTIQUE LACE 49 1/2</t>
  </si>
  <si>
    <t>200SV704-CIME</t>
  </si>
  <si>
    <t>BOXWOOD 49 1/2</t>
  </si>
  <si>
    <t>200SV704-CMZE</t>
  </si>
  <si>
    <t>BOXWOOD 61 1/2</t>
  </si>
  <si>
    <t>200SV709-CIME</t>
  </si>
  <si>
    <t>SPRINGTIME 49 1/2</t>
  </si>
  <si>
    <t>200SV709-CMZE</t>
  </si>
  <si>
    <t>SPRINGTIME 61 1/2</t>
  </si>
  <si>
    <t>200SV710-CIME</t>
  </si>
  <si>
    <t>ANTHRA GREEN 49 1/2</t>
  </si>
  <si>
    <t>200SV711-CIME</t>
  </si>
  <si>
    <t>NEPTUNE 49 1/2</t>
  </si>
  <si>
    <t>200SV711-CMZE</t>
  </si>
  <si>
    <t>NEPTUNE 61 1/2</t>
  </si>
  <si>
    <t>200SV712-CIME</t>
  </si>
  <si>
    <t>BLUE SPRUCE 49 1/2</t>
  </si>
  <si>
    <t>200SV712-CMZE</t>
  </si>
  <si>
    <t>BLUE SPRUCE 61 1/2</t>
  </si>
  <si>
    <t>200SV713-CIME</t>
  </si>
  <si>
    <t>SURFIN' USA 49 1/2</t>
  </si>
  <si>
    <t>200SV716-CIME</t>
  </si>
  <si>
    <t>ICE GREEN 49 1/2</t>
  </si>
  <si>
    <t>200SV717-CIME</t>
  </si>
  <si>
    <t>PALE SPRUCE 49 1/2</t>
  </si>
  <si>
    <t>200SV718-CIME</t>
  </si>
  <si>
    <t>PISTACHIO 49 1/2</t>
  </si>
  <si>
    <t>200SV718-CMZE</t>
  </si>
  <si>
    <t>PISTACHIO 61 1/2</t>
  </si>
  <si>
    <t>200SV720-CIME</t>
  </si>
  <si>
    <t>SAGE 49 1/2</t>
  </si>
  <si>
    <t>200SV720-CMZE</t>
  </si>
  <si>
    <t>SAGE 61 1/2</t>
  </si>
  <si>
    <t>200SV740-CIME</t>
  </si>
  <si>
    <t>MARGARITAVILLE 49 1/2</t>
  </si>
  <si>
    <t>200SW803-CMZE</t>
  </si>
  <si>
    <t>200SW836-CIME</t>
  </si>
  <si>
    <t>WINTER WHITE 49 1/2</t>
  </si>
  <si>
    <t>200SW841-CIME</t>
  </si>
  <si>
    <t>WARM WHITE 49 1/2</t>
  </si>
  <si>
    <t>200SW842-CIME</t>
  </si>
  <si>
    <t>COOL WHITE 49 1/2</t>
  </si>
  <si>
    <t>200SY909-CMZE</t>
  </si>
  <si>
    <t>BANANA 61 1/2</t>
  </si>
  <si>
    <t>200SY913-CMZE</t>
  </si>
  <si>
    <t>FORSYTHIA 61 1/2</t>
  </si>
  <si>
    <t>200SY914-CIME</t>
  </si>
  <si>
    <t>PRIMARY YELLOW 49 1/2</t>
  </si>
  <si>
    <t>200SY914-CMZE</t>
  </si>
  <si>
    <t>PRIMARY YELLOW 61 1/2</t>
  </si>
  <si>
    <t>200SY919-CMZE</t>
  </si>
  <si>
    <t>MUSTARD 61 1/2</t>
  </si>
  <si>
    <t>200SY930-CIME</t>
  </si>
  <si>
    <t>COPACABANNA 49 1/2</t>
  </si>
  <si>
    <t>210ST054-CMZE</t>
  </si>
  <si>
    <t>WROUGHT IRON 61 1/2</t>
  </si>
  <si>
    <t>200AE021-CWB2</t>
  </si>
  <si>
    <t>GRAPHITE SPEKTRUM 37 1/2 X 42</t>
  </si>
  <si>
    <t>200WB071-CWB2</t>
  </si>
  <si>
    <t>SEL BUTCHER BLOCK 37 1/2 X 42</t>
  </si>
  <si>
    <t>200SV740-CMZE</t>
  </si>
  <si>
    <t>MARGARITAVILLE 61 1/2</t>
  </si>
  <si>
    <t>200CKYEL-CIMZ</t>
  </si>
  <si>
    <t>MED YELLOW C/KRAFT 49 1/2</t>
  </si>
  <si>
    <t>200CKLRD-CIMZ</t>
  </si>
  <si>
    <t>LIPSTICK RED C/KRAFT 49 1/2</t>
  </si>
  <si>
    <t>200CKBRN-CIMZ</t>
  </si>
  <si>
    <t>BROWN C/KRAFT 49 1/2</t>
  </si>
  <si>
    <t>200CKGRN-CIMZ</t>
  </si>
  <si>
    <t>GREEN C/KRAFT 49 1/2</t>
  </si>
  <si>
    <t>200CKBLU-CIMZ</t>
  </si>
  <si>
    <t>BLUE C/KRAFT 49 1/2</t>
  </si>
  <si>
    <t>200CKLBL-CIMZ</t>
  </si>
  <si>
    <t>LIGHT BLUE C/KRAFT 49 1/2</t>
  </si>
  <si>
    <t>200CKLGR-CIMZ</t>
  </si>
  <si>
    <t>LIGHT GREEN C/KRAFT 49 1/2</t>
  </si>
  <si>
    <t>200CKMGR-CIMZ</t>
  </si>
  <si>
    <t>MUSTARD GREEN C/KRAFT 49 1/2</t>
  </si>
  <si>
    <t>200CKORG-CIMZ</t>
  </si>
  <si>
    <t>ORANGE C/KRAFT 49 1/2</t>
  </si>
  <si>
    <t>200CKRED-CMZZ</t>
  </si>
  <si>
    <t>RED C/KRAFT 61 1/2</t>
  </si>
  <si>
    <t>200CKRED-CIMZ</t>
  </si>
  <si>
    <t>RED C/KRAFT 49 1/2</t>
  </si>
  <si>
    <t>200CKBLK-CIMZ</t>
  </si>
  <si>
    <t>BLACK C/KRAFT 49 1/2</t>
  </si>
  <si>
    <t>200CKPUR-CIMZ</t>
  </si>
  <si>
    <t>TUTTI FRUTTI C/KRAFT 49 1/2</t>
  </si>
  <si>
    <t>200QU670-CIME</t>
  </si>
  <si>
    <t>WHITE 49 1/2</t>
  </si>
  <si>
    <t>210ST031-CMZE</t>
  </si>
  <si>
    <t>FOSSIL GRAY 61 1/2</t>
  </si>
  <si>
    <t>200SB006-CMZE</t>
  </si>
  <si>
    <t>INDIGO BLUE 61 1/2</t>
  </si>
  <si>
    <t>210ST014-CIME</t>
  </si>
  <si>
    <t>BLACK PEARL 49 1/2</t>
  </si>
  <si>
    <t>210SG003-CIME</t>
  </si>
  <si>
    <t>HONEY DO 49 1/2</t>
  </si>
  <si>
    <t>210S6037-CIME</t>
  </si>
  <si>
    <t>STUDIO GRAY 49 1/2</t>
  </si>
  <si>
    <t>210SY422-CIME</t>
  </si>
  <si>
    <t>SUNRAY 49 1/2</t>
  </si>
  <si>
    <t>200WM115-CPR6</t>
  </si>
  <si>
    <t>SUGAR MAPLE II 15 X 48 1/4</t>
  </si>
  <si>
    <t>200CFRED-CMZZ</t>
  </si>
  <si>
    <t>RED C/FR KRAFT  61 1/2</t>
  </si>
  <si>
    <t>210SY423-CIME</t>
  </si>
  <si>
    <t>CALIFORNIA 49 1/2</t>
  </si>
  <si>
    <t>200CFMGR-CMZZ</t>
  </si>
  <si>
    <t>MUST GREEN C/FR KRAFT 61 1/2</t>
  </si>
  <si>
    <t>200CFMGR-CIMZ</t>
  </si>
  <si>
    <t>MUST GREEN C/FR KRAFT 49 1/2</t>
  </si>
  <si>
    <t>200CFRED-CIMZ</t>
  </si>
  <si>
    <t>RED C/FR KRAFT 49 1/2</t>
  </si>
  <si>
    <t>200CKMGR-CMZZ</t>
  </si>
  <si>
    <t>MUSTARD GREEN C/KRAFT 61 1/2</t>
  </si>
  <si>
    <t>210S8002-CIME</t>
  </si>
  <si>
    <t>SPICY FLAVORS 49 1/2</t>
  </si>
  <si>
    <t>210S5059-CIME</t>
  </si>
  <si>
    <t>AQUA LAGOON 49 1/2</t>
  </si>
  <si>
    <t>210S3068-CIME</t>
  </si>
  <si>
    <t>SUNKEN TREASURE 49 1/2</t>
  </si>
  <si>
    <t>210S4025-CIME</t>
  </si>
  <si>
    <t>HONEY PLANTAIN 49 1/2</t>
  </si>
  <si>
    <t>210S3070-CIME</t>
  </si>
  <si>
    <t>CARIBBEAN BLUE 49 1/2</t>
  </si>
  <si>
    <t>210S2115-CIME</t>
  </si>
  <si>
    <t>COCOA BEAN 49 1/2</t>
  </si>
  <si>
    <t>210S5058-CIME</t>
  </si>
  <si>
    <t>COCONUT BARK 49 1/2</t>
  </si>
  <si>
    <t>210S3069-CIME</t>
  </si>
  <si>
    <t>SOFT ISLAND BREEZE 49 1/2</t>
  </si>
  <si>
    <t>210S9001-CIME</t>
  </si>
  <si>
    <t>ISLAND ORCHID 49 1/2</t>
  </si>
  <si>
    <t>210SN210-CIME</t>
  </si>
  <si>
    <t>BASIC 49 1/2</t>
  </si>
  <si>
    <t>210S8001-CMZE</t>
  </si>
  <si>
    <t>FRESH PAPAYA 61 1/2</t>
  </si>
  <si>
    <t>210S5057-CIME</t>
  </si>
  <si>
    <t>KOOL KIWI 49 1/2</t>
  </si>
  <si>
    <t>210SV001-CIME</t>
  </si>
  <si>
    <t>CELESTIAL 49 1/2</t>
  </si>
  <si>
    <t>NF</t>
  </si>
  <si>
    <t>200SO312-CIME</t>
  </si>
  <si>
    <t>BITTERSWEET 49 1/2</t>
  </si>
  <si>
    <t>200QU437-CIME</t>
  </si>
  <si>
    <t>210S5054-CIME</t>
  </si>
  <si>
    <t>SEA MOSS 49 1/2</t>
  </si>
  <si>
    <t>210S3060-CIME</t>
  </si>
  <si>
    <t>INDIGO 49 1/2</t>
  </si>
  <si>
    <t>200ST628-CIME</t>
  </si>
  <si>
    <t>MEDIUM TONE 49 1/2</t>
  </si>
  <si>
    <t>210SB336-CIME</t>
  </si>
  <si>
    <t>IMPRESSIONIST BLUE 49 1/2</t>
  </si>
  <si>
    <t>210S8003-CMZE</t>
  </si>
  <si>
    <t>SUMMER NIGHT GLOW 61 1/2</t>
  </si>
  <si>
    <t>210S2063-CIME</t>
  </si>
  <si>
    <t>NATURAL BEIGE 49 1/2</t>
  </si>
  <si>
    <t>210SN284-CIME</t>
  </si>
  <si>
    <t>FOUNDRY 49 1/2</t>
  </si>
  <si>
    <t>210S2085-CIME</t>
  </si>
  <si>
    <t>ENGLISH LACE 49 1/2</t>
  </si>
  <si>
    <t>210SN286-CIME</t>
  </si>
  <si>
    <t>JUTE 49 1/2</t>
  </si>
  <si>
    <t>2101H687-CIM2</t>
  </si>
  <si>
    <t>BINDER KRAFT W/COATING 49 1/2</t>
  </si>
  <si>
    <t>2101H687-CMZ2</t>
  </si>
  <si>
    <t>BINDER KRAFT W/COATING 61 1/2</t>
  </si>
  <si>
    <t>210SP417-CIME</t>
  </si>
  <si>
    <t>TYRIAN PURPLE 49 1/2</t>
  </si>
  <si>
    <t>210SO330-CIME</t>
  </si>
  <si>
    <t>CAFE SIENNA 49 1/2</t>
  </si>
  <si>
    <t>210ST047-CMZE</t>
  </si>
  <si>
    <t>SANDPIPER 61 1/2</t>
  </si>
  <si>
    <t>210M3183-CIM2</t>
  </si>
  <si>
    <t>BINDER KRAFT 49 1/2</t>
  </si>
  <si>
    <t>210ST047-CIME</t>
  </si>
  <si>
    <t>SANDPIPER 49 1/2</t>
  </si>
  <si>
    <t>210SB030-CIME</t>
  </si>
  <si>
    <t>FIJI 49 1/2</t>
  </si>
  <si>
    <t>210SV741-CIME</t>
  </si>
  <si>
    <t>LIMEADE 49 1/2</t>
  </si>
  <si>
    <t>210SR524-CIME</t>
  </si>
  <si>
    <t>PASSIONFRUIT 49 1/2</t>
  </si>
  <si>
    <t>210M3183-CMZ2</t>
  </si>
  <si>
    <t>BINDER KRAFT 61 1/2</t>
  </si>
  <si>
    <t>200SW350-CIMLC</t>
  </si>
  <si>
    <t>OLYMPIC WHITE 50-R</t>
  </si>
  <si>
    <t>200FB225-CIM1C</t>
  </si>
  <si>
    <t>BLACK ICE 50-DR</t>
  </si>
  <si>
    <t>210S4025-CMZE</t>
  </si>
  <si>
    <t>HONEY PLANTAIN 61 1/2</t>
  </si>
  <si>
    <t>200AG561-CIM1C</t>
  </si>
  <si>
    <t>CUBICAL PAPEL 50-DR</t>
  </si>
  <si>
    <t>200AV751-CIM1C</t>
  </si>
  <si>
    <t>CELERY FIBER 50-DR</t>
  </si>
  <si>
    <t>200WO891-CIM1C</t>
  </si>
  <si>
    <t>SHERWOOD OAK 50-DR</t>
  </si>
  <si>
    <t>200WW185-CIM1C</t>
  </si>
  <si>
    <t>OATMEAL COOKIE 50-DR</t>
  </si>
  <si>
    <t>210M5088-CIM2</t>
  </si>
  <si>
    <t>130# BLK CON LR KRAFT 49 1/2</t>
  </si>
  <si>
    <t>200WP115-CMZ1C</t>
  </si>
  <si>
    <t>APPEARS LIKATRE 62-DR</t>
  </si>
  <si>
    <t>200WM951-CMZ1C</t>
  </si>
  <si>
    <t>HONEY MAPLE 62-DR</t>
  </si>
  <si>
    <t>200SE113-CIMLC</t>
  </si>
  <si>
    <t>BLACKJACK 50-R</t>
  </si>
  <si>
    <t>200SW350-CMZLC</t>
  </si>
  <si>
    <t>OLYMPIC WHITE 62-R</t>
  </si>
  <si>
    <t>210S3068-CMZE</t>
  </si>
  <si>
    <t>SUNKEN TREASURE 61 1/2</t>
  </si>
  <si>
    <t>200SE113-CMZLC</t>
  </si>
  <si>
    <t>BLACKJACK 62-R</t>
  </si>
  <si>
    <t>200ST604-CIMLC</t>
  </si>
  <si>
    <t>NUBIAN BROWN 50-R</t>
  </si>
  <si>
    <t>200SW826-CIMLC</t>
  </si>
  <si>
    <t>ANGEL WHITE 50-R</t>
  </si>
  <si>
    <t>210VA501-CIM1C</t>
  </si>
  <si>
    <t>SERENE STARDOM 50-DR</t>
  </si>
  <si>
    <t>210WM849-CIM1C</t>
  </si>
  <si>
    <t>CHAMPAGNE SAGAWOOD 50-DR</t>
  </si>
  <si>
    <t>210ES701-CIM1C</t>
  </si>
  <si>
    <t>WHITE ESSENCE 50-DR</t>
  </si>
  <si>
    <t>200WA011-CIM1C</t>
  </si>
  <si>
    <t>SUMMIT ASH 50-DR</t>
  </si>
  <si>
    <t>200AV250-CIM1C</t>
  </si>
  <si>
    <t>PASSIN THROUGH 50-DR</t>
  </si>
  <si>
    <t>210MR601-CMZ1C</t>
  </si>
  <si>
    <t>GRAY MATRIX 62-DR</t>
  </si>
  <si>
    <t>200KM011-CIM1C</t>
  </si>
  <si>
    <t>GREAT WHITE OAK 50-DR</t>
  </si>
  <si>
    <t>200SB005-CIMLC</t>
  </si>
  <si>
    <t>FRENCH BLUE 50-R</t>
  </si>
  <si>
    <t>BAD PART  USE TREATED PRINT CI</t>
  </si>
  <si>
    <t>20000081-CMZ1C</t>
  </si>
  <si>
    <t>BARRIER 62-DR</t>
  </si>
  <si>
    <t>210SB322-CIME</t>
  </si>
  <si>
    <t>DEEP BLUE 49 1/2</t>
  </si>
  <si>
    <t>210WF002-CIM1C</t>
  </si>
  <si>
    <t>WASHINGTON APPLE 50-DR</t>
  </si>
  <si>
    <t>200AT981-CIM1C</t>
  </si>
  <si>
    <t>CORRIANDER FIBER 50-DR</t>
  </si>
  <si>
    <t>200WT741-CIM1C</t>
  </si>
  <si>
    <t>TAJ TEAK 50-DR</t>
  </si>
  <si>
    <t>210MR701-CIM1C</t>
  </si>
  <si>
    <t>STUDIO WHITE MATRIX 50-DR</t>
  </si>
  <si>
    <t>210SN286-CMZE</t>
  </si>
  <si>
    <t>JUTE 61 1/2</t>
  </si>
  <si>
    <t>210M5088-CMZ2</t>
  </si>
  <si>
    <t>130# BLK CON LR KRAFT  61 1/2</t>
  </si>
  <si>
    <t>20000081-CIM2C</t>
  </si>
  <si>
    <t>BARRIER 50-R</t>
  </si>
  <si>
    <t>20000333-CIM1C</t>
  </si>
  <si>
    <t>EVOLUTION 50-DR</t>
  </si>
  <si>
    <t>210SL602-CMZ2C</t>
  </si>
  <si>
    <t>HYBRID SLATE 62-R</t>
  </si>
  <si>
    <t>210MG093-CMZ1C</t>
  </si>
  <si>
    <t>GRIGO IMPERIALE MARBLE 62-DR</t>
  </si>
  <si>
    <t>210MT405-CMZ1C</t>
  </si>
  <si>
    <t>TAUPE IMPERIALE MARBLE 62-DR</t>
  </si>
  <si>
    <t>210MW600-CMZ1C</t>
  </si>
  <si>
    <t>WHITE CORALINO MARBLE 62-DR</t>
  </si>
  <si>
    <t>200MG115-CMZ1C</t>
  </si>
  <si>
    <t>MOON DUST 62-DR</t>
  </si>
  <si>
    <t>200AG011-CMZ1C</t>
  </si>
  <si>
    <t>ESTELLA 62-DR</t>
  </si>
  <si>
    <t>200AG041-CMZ1C</t>
  </si>
  <si>
    <t>SHOOTING STAR 62-DR</t>
  </si>
  <si>
    <t>200AG081-CMZ1C</t>
  </si>
  <si>
    <t>SUGAR PIE 62-DR</t>
  </si>
  <si>
    <t>200AG130-CMZ1C</t>
  </si>
  <si>
    <t>COOKIES &amp; CREAM 62-DR</t>
  </si>
  <si>
    <t>200MG120-CMZ1C</t>
  </si>
  <si>
    <t>HAROLD 62-DR</t>
  </si>
  <si>
    <t>200MG125-CMZ1C</t>
  </si>
  <si>
    <t>HUGO GRAY 62-DR</t>
  </si>
  <si>
    <t>200MR130-CMZ1C</t>
  </si>
  <si>
    <t>ROSE GRANITE 62-DR</t>
  </si>
  <si>
    <t>200MW550-CMZ1C</t>
  </si>
  <si>
    <t>WHITE FIESTA 62-DR</t>
  </si>
  <si>
    <t>20000326-CMZ1C</t>
  </si>
  <si>
    <t>SUPER MATTE 62-DR</t>
  </si>
  <si>
    <t>210MR608-CIM1C</t>
  </si>
  <si>
    <t>BIRCH MATRIX 50-DR</t>
  </si>
  <si>
    <t>210SR510-CIME</t>
  </si>
  <si>
    <t>BLUSHING PINK 49 1/2</t>
  </si>
  <si>
    <t>210SY925-CIME</t>
  </si>
  <si>
    <t>MARIGOLD FIELDS 49 1/2</t>
  </si>
  <si>
    <t>200DR132-CIM2C</t>
  </si>
  <si>
    <t>126# CPL KRAFT 50-R</t>
  </si>
  <si>
    <t>200DR132-CMZ2C</t>
  </si>
  <si>
    <t>126# CPL KRAFT 62-R</t>
  </si>
  <si>
    <t>200SY914-CIMLC</t>
  </si>
  <si>
    <t>PRIMARY YELLOW 50-R</t>
  </si>
  <si>
    <t>210WW960-CIM1C</t>
  </si>
  <si>
    <t>MID MOD WALNUT 50-DR</t>
  </si>
  <si>
    <t>210AY150-CIM1C</t>
  </si>
  <si>
    <t>GOLD MINI RAFFIA 50-DR</t>
  </si>
  <si>
    <t>210AB240-CIM1C</t>
  </si>
  <si>
    <t>AQUA MINI RAFFIA 50-DR</t>
  </si>
  <si>
    <t>200SG263-CIM1C</t>
  </si>
  <si>
    <t>GRAY HEMATITE 50-DR</t>
  </si>
  <si>
    <t>200ST658-CIM1C</t>
  </si>
  <si>
    <t>MYSTIC MOONSTONE 50-DR</t>
  </si>
  <si>
    <t>200SB035-CIM1C</t>
  </si>
  <si>
    <t>SAPPHIRE BLUE 50-DR</t>
  </si>
  <si>
    <t>200SW890-CIM1C</t>
  </si>
  <si>
    <t>WHITE DIAMOND 50-DR</t>
  </si>
  <si>
    <t>210S2115-CMZE</t>
  </si>
  <si>
    <t>COCOA BEAN 61 1/2</t>
  </si>
  <si>
    <t>200WA110-CMZ1C</t>
  </si>
  <si>
    <t>CATCHING FIREFLIES 62-DR</t>
  </si>
  <si>
    <t>210AG810-CMZ1C</t>
  </si>
  <si>
    <t>AZUL ARAN GRANITE 62-DR</t>
  </si>
  <si>
    <t>20000333-CMZ1C</t>
  </si>
  <si>
    <t>EVOLUTION 62-DR</t>
  </si>
  <si>
    <t>200MW550-CMZ2C</t>
  </si>
  <si>
    <t>WHITE FIESTA 62-R</t>
  </si>
  <si>
    <t>210AG872-CMZ1C</t>
  </si>
  <si>
    <t>SMOKY SKIES 62-DR</t>
  </si>
  <si>
    <t>210AT996-CMZ1C</t>
  </si>
  <si>
    <t>BROWN CORALINO MARBLE 62-DR</t>
  </si>
  <si>
    <t>210MW590-CMZ1C</t>
  </si>
  <si>
    <t>WHITE PERITO MARBLE 62-DR</t>
  </si>
  <si>
    <t>200WW011-CMZ1C</t>
  </si>
  <si>
    <t>KINGSLEY 62-DR</t>
  </si>
  <si>
    <t>200MG130-CMZ1C</t>
  </si>
  <si>
    <t>ABRAHAM 62-DR</t>
  </si>
  <si>
    <t>200MG180-CMZ1C</t>
  </si>
  <si>
    <t>GALATIC DUST 62-DR</t>
  </si>
  <si>
    <t>200MR125-CMZ1C</t>
  </si>
  <si>
    <t>THEODORE 62-DR</t>
  </si>
  <si>
    <t>200MT250-CMZ1C</t>
  </si>
  <si>
    <t>MAN ON THE MOON 62-DR</t>
  </si>
  <si>
    <t>210WF001-CIM2C</t>
  </si>
  <si>
    <t>EDENWOOD 50-R</t>
  </si>
  <si>
    <t>200SW480-CIMLC</t>
  </si>
  <si>
    <t>SNOWFALL 50-R</t>
  </si>
  <si>
    <t>210AG790-CIM1C</t>
  </si>
  <si>
    <t>SPANISH MARBLE 50-DR</t>
  </si>
  <si>
    <t>210MW600-CIM1C</t>
  </si>
  <si>
    <t>WHITE CORALINO MARBLE 50-DR</t>
  </si>
  <si>
    <t>200SW480-CMZLC</t>
  </si>
  <si>
    <t>SNOWFALL 62-R</t>
  </si>
  <si>
    <t>200SB027-CMZE</t>
  </si>
  <si>
    <t>SUMMER VACATION  61 1/2</t>
  </si>
  <si>
    <t>200SR537-CIME</t>
  </si>
  <si>
    <t>FIRST KISS 49 1/2</t>
  </si>
  <si>
    <t>200SR525-CIME</t>
  </si>
  <si>
    <t>SWEET 16 49 1/2</t>
  </si>
  <si>
    <t>200SB027-CIME</t>
  </si>
  <si>
    <t>SUMMER VACATION 49 1/2</t>
  </si>
  <si>
    <t>200MG145-CMZ1C</t>
  </si>
  <si>
    <t>SLATE IMPERIALE MARBLE 62-DR</t>
  </si>
  <si>
    <t>200MG190-CMZ1C</t>
  </si>
  <si>
    <t>RICE LAKE 62-DR</t>
  </si>
  <si>
    <t>200SV750-CIME</t>
  </si>
  <si>
    <t>FRESH CUT GRASS 49 1/2</t>
  </si>
  <si>
    <t>200MW575-CMZ1C</t>
  </si>
  <si>
    <t>CHALK IMPERIALE MARBLE 62-DR</t>
  </si>
  <si>
    <t>200MG135-CMZ1C</t>
  </si>
  <si>
    <t>SEQUOIA MICA 62-DR</t>
  </si>
  <si>
    <t>200MG155-CMZ1C</t>
  </si>
  <si>
    <t>PERL GRAY PETRA 62-DR</t>
  </si>
  <si>
    <t>200WE360-CMZ1C</t>
  </si>
  <si>
    <t>AMERICA'S PASTIME 62-DR</t>
  </si>
  <si>
    <t>200MG160-CMZ1C</t>
  </si>
  <si>
    <t>UPLAND STONE 62-DR</t>
  </si>
  <si>
    <t>200SG292-CMZLC</t>
  </si>
  <si>
    <t>CADET GREY 62-R</t>
  </si>
  <si>
    <t>200SECND-CIM2C</t>
  </si>
  <si>
    <t>OBSOLETE PRINT 50-R</t>
  </si>
  <si>
    <t>210SG004-CMZE</t>
  </si>
  <si>
    <t>GARDEN MIST 61 1/2</t>
  </si>
  <si>
    <t>210WZ601-CMZ2C</t>
  </si>
  <si>
    <t>DRY CREEK PLUM TREE 62-R</t>
  </si>
  <si>
    <t>210S8002-CMZE</t>
  </si>
  <si>
    <t>SPICY FLAVORS 61 1/2</t>
  </si>
  <si>
    <t>210WT004-CIM1C</t>
  </si>
  <si>
    <t>LEGENDARY TEAK 50-DR</t>
  </si>
  <si>
    <t>210AG100-CMZ1C</t>
  </si>
  <si>
    <t>GRAY KINETIC 62-DR</t>
  </si>
  <si>
    <t>200HP431-CIMLC</t>
  </si>
  <si>
    <t>WILLOW GRAY 50-R</t>
  </si>
  <si>
    <t>200SG292-CIMLC</t>
  </si>
  <si>
    <t>CADET GREY 50-R</t>
  </si>
  <si>
    <t>20000081-CMZ2C</t>
  </si>
  <si>
    <t>BARRIER 62-R</t>
  </si>
  <si>
    <t>200WX421-CMZ2C</t>
  </si>
  <si>
    <t>WITCHCRAFT 62-R</t>
  </si>
  <si>
    <t>200SW811-CIMLC</t>
  </si>
  <si>
    <t>WHITE 50-R</t>
  </si>
  <si>
    <t>210WZ049-CMZ2C</t>
  </si>
  <si>
    <t>CREMA 62-R</t>
  </si>
  <si>
    <t>200WY081-CIM1C</t>
  </si>
  <si>
    <t>RA ASH 50-DR</t>
  </si>
  <si>
    <t>200AE060-CIM1C</t>
  </si>
  <si>
    <t>STARGAZING  50-DR</t>
  </si>
  <si>
    <t>210MR202-CIM2C</t>
  </si>
  <si>
    <t>GREIGE MATRIX 50-R</t>
  </si>
  <si>
    <t>200WC521-CIM1C</t>
  </si>
  <si>
    <t>SHAKER CHERRY 50-DR</t>
  </si>
  <si>
    <t>200SO312-CIMLC</t>
  </si>
  <si>
    <t>BITTERSWEET 50-R</t>
  </si>
  <si>
    <t>200SB040-CMZE</t>
  </si>
  <si>
    <t>BLUEBERRY HILL 61 1/2</t>
  </si>
  <si>
    <t>200AV110-CIM1C</t>
  </si>
  <si>
    <t>TROPICAL GETAWAY 50-DR</t>
  </si>
  <si>
    <t>210AR283-CIM1C</t>
  </si>
  <si>
    <t>PINK LEMONADE KINETIC 50-DR</t>
  </si>
  <si>
    <t>200WM345-CMZ1C</t>
  </si>
  <si>
    <t>MAPLE CREAM 62-DR</t>
  </si>
  <si>
    <t>210AW180-CMZ1C</t>
  </si>
  <si>
    <t>WHITE KINETIC 62-DR</t>
  </si>
  <si>
    <t>210AO320-CIM1C</t>
  </si>
  <si>
    <t>TANGERINE MINI RAFFIA 50-DR</t>
  </si>
  <si>
    <t>210AO320-CMZ1C</t>
  </si>
  <si>
    <t>TANGERINE MINI RAFFIA 62-DR</t>
  </si>
  <si>
    <t>210AB444-CMZ1C</t>
  </si>
  <si>
    <t>TURQUOISE KINETIC 62-DR</t>
  </si>
  <si>
    <t>200SE115-CIM1C</t>
  </si>
  <si>
    <t>BLACK DIAMOND 50-DR</t>
  </si>
  <si>
    <t>200KM038-CMZ1C</t>
  </si>
  <si>
    <t>URBAN MARBLE 62-DR</t>
  </si>
  <si>
    <t>200AT161-CIM1C</t>
  </si>
  <si>
    <t>ROCKY MOUNTAIN HIGH 62-DR</t>
  </si>
  <si>
    <t>200AT191-CIM1C</t>
  </si>
  <si>
    <t>VIOLA 62-DR</t>
  </si>
  <si>
    <t>200HP375-CIM2C</t>
  </si>
  <si>
    <t>CASTLE OAK II 50-R</t>
  </si>
  <si>
    <t>210MW580-CIM1C</t>
  </si>
  <si>
    <t>CALCUTTA MARBLE 50-DR</t>
  </si>
  <si>
    <t>200QU956-CIM1</t>
  </si>
  <si>
    <t>HIGH GLOSS CPL TRIAL 50-DR</t>
  </si>
  <si>
    <t>210SN210-CMZE</t>
  </si>
  <si>
    <t>BASIC 61 1/2</t>
  </si>
  <si>
    <t>200SG213-CIMLC</t>
  </si>
  <si>
    <t>OPTI GRAY 50-R</t>
  </si>
  <si>
    <t>210SG004-CIME</t>
  </si>
  <si>
    <t>GARDEN MIST 49 1/2</t>
  </si>
  <si>
    <t>200AT161-CMZ1C</t>
  </si>
  <si>
    <t>200AT191-CMZ1C</t>
  </si>
  <si>
    <t>200SG211-CIMLC</t>
  </si>
  <si>
    <t>INGOT GRAY 50-R</t>
  </si>
  <si>
    <t>200SG254-CIMLC</t>
  </si>
  <si>
    <t>ASH GRAY 50-R</t>
  </si>
  <si>
    <t>210AY130-CIM1C</t>
  </si>
  <si>
    <t>GOLDEN YEARS 50-DR</t>
  </si>
  <si>
    <t>200ME100-CIM1C</t>
  </si>
  <si>
    <t>FADED MEMORIES 50-DR</t>
  </si>
  <si>
    <t>200MT250-CIM1C</t>
  </si>
  <si>
    <t>MAN ON THE MOON 50-DR</t>
  </si>
  <si>
    <t>200MW570-CIM1C</t>
  </si>
  <si>
    <t>POLAR CAP 50-DR</t>
  </si>
  <si>
    <t>200MG160-CIM1C</t>
  </si>
  <si>
    <t>UPLAND STONE 50-DR</t>
  </si>
  <si>
    <t>210ST054-CIMLC</t>
  </si>
  <si>
    <t>WROUGHT IRON 50-R</t>
  </si>
  <si>
    <t>200SB040-CIMLC</t>
  </si>
  <si>
    <t>BLUEBERRY HILL 50-R</t>
  </si>
  <si>
    <t>210AB444-CIM1C</t>
  </si>
  <si>
    <t>TURQUOISE KINETIC 50-DR</t>
  </si>
  <si>
    <t>210AY150-CMZ1C</t>
  </si>
  <si>
    <t>GOLD MINI RAFFIA 62-DR</t>
  </si>
  <si>
    <t>210AB240-CMZ1C</t>
  </si>
  <si>
    <t>AQUA MINI RAFFIA 62-DR</t>
  </si>
  <si>
    <t>210WY200-CMZ1C</t>
  </si>
  <si>
    <t>MIESIAN 62-DR</t>
  </si>
  <si>
    <t>210WW960-CMZ1C</t>
  </si>
  <si>
    <t>MID MOD WALNUT 62-DR</t>
  </si>
  <si>
    <t>210AR283-CMZ1C</t>
  </si>
  <si>
    <t>PINK LEMONADE KINETIC 62-DR</t>
  </si>
  <si>
    <t>20000336-CIM1C</t>
  </si>
  <si>
    <t>METALZ 50-DR</t>
  </si>
  <si>
    <t>20000331-CIM1C</t>
  </si>
  <si>
    <t>FINELINE 50-DR</t>
  </si>
  <si>
    <t>20000329-CIM1C</t>
  </si>
  <si>
    <t>GROOVY 50-DR</t>
  </si>
  <si>
    <t>20000312-CIM1C</t>
  </si>
  <si>
    <t>SOFT LEATHER 50-DR</t>
  </si>
  <si>
    <t>20000327-CIM1C</t>
  </si>
  <si>
    <t>BARNBOARD 50-DR</t>
  </si>
  <si>
    <t>20000339-CIM1C</t>
  </si>
  <si>
    <t>IRONWOOD 50-DR</t>
  </si>
  <si>
    <t>20000334-CIM1C</t>
  </si>
  <si>
    <t>NATURAL WOOD 50-DR</t>
  </si>
  <si>
    <t>20000337-CIM1C</t>
  </si>
  <si>
    <t>TACTILE WEAVE 50-DR</t>
  </si>
  <si>
    <t>20000338-CIM1C</t>
  </si>
  <si>
    <t>HEX 50-DR</t>
  </si>
  <si>
    <t>20000332-CIM1C</t>
  </si>
  <si>
    <t>NATURAL STONE 50-DR</t>
  </si>
  <si>
    <t>20000306-CIM1C</t>
  </si>
  <si>
    <t>CRYSTAL 50-DR</t>
  </si>
  <si>
    <t>20000311-CIM1C</t>
  </si>
  <si>
    <t>ASHWOOD 50-DR</t>
  </si>
  <si>
    <t>20000326-CIM1C</t>
  </si>
  <si>
    <t>SUPER MATTE 50-DR</t>
  </si>
  <si>
    <t>210SL603-CMZ1C</t>
  </si>
  <si>
    <t>RARE EARTH SLATE 62-DR</t>
  </si>
  <si>
    <t>210KH201-CIM1C</t>
  </si>
  <si>
    <t>MARRAKESH EXPRESS 50-DR</t>
  </si>
  <si>
    <t>200MT310-CIM1C</t>
  </si>
  <si>
    <t>FREDERICK 50-DR</t>
  </si>
  <si>
    <t>210SG552-CMZE</t>
  </si>
  <si>
    <t>WOODVINE 61 1/2</t>
  </si>
  <si>
    <t>210AG872-CIM1C</t>
  </si>
  <si>
    <t>SMOKY SKIES 50-DR</t>
  </si>
  <si>
    <t>200AG471-CIM1C</t>
  </si>
  <si>
    <t>CINDER GRAY CONCRETE 50-DR</t>
  </si>
  <si>
    <t>210SN250-CIME</t>
  </si>
  <si>
    <t>PORCELAIN 49 1/2</t>
  </si>
  <si>
    <t>210AV400-CIM1C</t>
  </si>
  <si>
    <t>HARMONY MINT 50-DR</t>
  </si>
  <si>
    <t>210AT770-CIM1C</t>
  </si>
  <si>
    <t>HARMONY GLOW 50-DR</t>
  </si>
  <si>
    <t>210AG190-CMZ1C</t>
  </si>
  <si>
    <t>URBAN LIFE 62-DR</t>
  </si>
  <si>
    <t>200ME100-CMZ1C</t>
  </si>
  <si>
    <t>FADED MEMORIES 62-DR</t>
  </si>
  <si>
    <t>200KM059-CMZ1C</t>
  </si>
  <si>
    <t>MAPLE SUGAR 50-DR</t>
  </si>
  <si>
    <t>200KM061-CMZ1C</t>
  </si>
  <si>
    <t>GALA 50-DR</t>
  </si>
  <si>
    <t>200WT850-CMZ1C</t>
  </si>
  <si>
    <t>PEACH COBBLER 62-DR</t>
  </si>
  <si>
    <t>210WE270-CMZ1C</t>
  </si>
  <si>
    <t>MEDITATION ELM 62-DR</t>
  </si>
  <si>
    <t>200PFA42-CMZ1C</t>
  </si>
  <si>
    <t>TEA PARTY IN BOSTON 62-DR</t>
  </si>
  <si>
    <t>200WA001-CMZ1C</t>
  </si>
  <si>
    <t>CLEAR ASH 62-DR</t>
  </si>
  <si>
    <t>200WT790-CMZ1C</t>
  </si>
  <si>
    <t>WEDDING CAKE 62-DR</t>
  </si>
  <si>
    <t>210AT750-CMZ1C</t>
  </si>
  <si>
    <t>PENNY LANE 62-DR</t>
  </si>
  <si>
    <t>20000330-CIM1C</t>
  </si>
  <si>
    <t>AGED BARK 50-DR</t>
  </si>
  <si>
    <t>20000328-CIM1C</t>
  </si>
  <si>
    <t>TIMBERLINE 50-DR</t>
  </si>
  <si>
    <t>20000328-CMZ1C</t>
  </si>
  <si>
    <t>TIMBERLINE 62-DR</t>
  </si>
  <si>
    <t>20000330-CMZ1C</t>
  </si>
  <si>
    <t>AGED BARK 62-DR</t>
  </si>
  <si>
    <t>210MR604-CIM1C</t>
  </si>
  <si>
    <t>STORM GRAY MATRIX 50-DR</t>
  </si>
  <si>
    <t>200CLEAN-CIMCC</t>
  </si>
  <si>
    <t>P/C V-PATTERNS CPL 50-R</t>
  </si>
  <si>
    <t>210WC022-CMZ1C</t>
  </si>
  <si>
    <t>SOVEREIGN CHERRY 62-DR</t>
  </si>
  <si>
    <t>200QU920-CIM1C</t>
  </si>
  <si>
    <t>PARCHMENT DS 50-DR</t>
  </si>
  <si>
    <t>200KM064-CMZ1C</t>
  </si>
  <si>
    <t>HIMALAYA WHITE 50-DR</t>
  </si>
  <si>
    <t>20000081-CIM1C</t>
  </si>
  <si>
    <t>BARRIER 50-DR</t>
  </si>
  <si>
    <t>200QU915-CMZ1C</t>
  </si>
  <si>
    <t>NATURAL MF KRAFT 62-DR</t>
  </si>
  <si>
    <t>200SW806-CIMLC</t>
  </si>
  <si>
    <t>CARNATION WHITE 50-R</t>
  </si>
  <si>
    <t>210LU301-CMZ1C</t>
  </si>
  <si>
    <t>ONCE IN A BLUE LUNARIA  62-DR</t>
  </si>
  <si>
    <t>21000323-CMZ1C</t>
  </si>
  <si>
    <t>VELVET LC-59 62-DR</t>
  </si>
  <si>
    <t>210WS016-CMZ1C</t>
  </si>
  <si>
    <t>REGENCY MAHOGANY 62-DR</t>
  </si>
  <si>
    <t>210WA300-CIM1C</t>
  </si>
  <si>
    <t>TRANQUILITY 50-DR</t>
  </si>
  <si>
    <t>200AT710-CIM1C</t>
  </si>
  <si>
    <t>GOLD PANNIN 50-DR</t>
  </si>
  <si>
    <t>210ST054-CIMAC</t>
  </si>
  <si>
    <t>200AT106-CMZ1C</t>
  </si>
  <si>
    <t>GRANDIOSE GRID 62-DR</t>
  </si>
  <si>
    <t>200WA090-CMZ1C</t>
  </si>
  <si>
    <t>DINING BY CANDLELIGHT 62-DR</t>
  </si>
  <si>
    <t>210WZ062-CMZ1C</t>
  </si>
  <si>
    <t>DRAGONFLY 62-DR</t>
  </si>
  <si>
    <t>200WO951-CMZ1C</t>
  </si>
  <si>
    <t>FINE OAK 62-DR</t>
  </si>
  <si>
    <t>200WC421-CMZ1C</t>
  </si>
  <si>
    <t>OILED CHERRY 62-DR</t>
  </si>
  <si>
    <t>200WW601-CMZ1C</t>
  </si>
  <si>
    <t>CINNAMON NOCE 62-DR</t>
  </si>
  <si>
    <t>200WX041-CMZ1C</t>
  </si>
  <si>
    <t>ANIGRE 62-DR</t>
  </si>
  <si>
    <t>200WY031-CMZ1C</t>
  </si>
  <si>
    <t>FORMAL MAHOGANY 62-DR</t>
  </si>
  <si>
    <t>210WZ005-CMZ1C</t>
  </si>
  <si>
    <t>RECON OAK 62-DR</t>
  </si>
  <si>
    <t>20000104-CIM1C</t>
  </si>
  <si>
    <t>PARCHMENT 50-DR</t>
  </si>
  <si>
    <t>20000104-CMZ1C</t>
  </si>
  <si>
    <t>PARCHMENT 62-DR</t>
  </si>
  <si>
    <t>20000305-CIM1C</t>
  </si>
  <si>
    <t>HI BRITE LC-28 50-DR</t>
  </si>
  <si>
    <t>210FN601-CIM1C</t>
  </si>
  <si>
    <t>CHARCOAL FUSION 50-DR</t>
  </si>
  <si>
    <t>210RK201-CIM1C</t>
  </si>
  <si>
    <t>CLASSIC ROCK 50-DR</t>
  </si>
  <si>
    <t>210WS016-CIM1C</t>
  </si>
  <si>
    <t>REGENCY MAHOGANY 50-DR</t>
  </si>
  <si>
    <t>200SW806-CMZLC</t>
  </si>
  <si>
    <t>CARNATION WHITE 62-R</t>
  </si>
  <si>
    <t>200SW811-CMZLC</t>
  </si>
  <si>
    <t>WHITE 62-R</t>
  </si>
  <si>
    <t>210LN602-CMZ1C</t>
  </si>
  <si>
    <t>KOPI SUSU  62-DR</t>
  </si>
  <si>
    <t>210TM201-CMZ1C</t>
  </si>
  <si>
    <t>OCHRE TEMPERA 62-DR</t>
  </si>
  <si>
    <t>210VA502-CMZ1C</t>
  </si>
  <si>
    <t>EASY ELEGANCE 62-DR</t>
  </si>
  <si>
    <t>210WM837-CMZ1C</t>
  </si>
  <si>
    <t>GRAND ISLE MAPLE 62-DR</t>
  </si>
  <si>
    <t>210RK603-CMZ1C</t>
  </si>
  <si>
    <t>VERDICTS IN 62-DR</t>
  </si>
  <si>
    <t>210VS602-CIM2C</t>
  </si>
  <si>
    <t>VOUSE TEMPEST 50-R</t>
  </si>
  <si>
    <t>200KM062-CMZ1C</t>
  </si>
  <si>
    <t>URBAN GRANITE 50-DR</t>
  </si>
  <si>
    <t>200KM063-CMZ1C</t>
  </si>
  <si>
    <t>TERRAZZO 50-DR</t>
  </si>
  <si>
    <t>200DR148-CMZMC</t>
  </si>
  <si>
    <t>147# CPL PHEN/MEL KRAFT 62-R</t>
  </si>
  <si>
    <t>21000014-CM1AC</t>
  </si>
  <si>
    <t>ARP TAN OVERLAY 62-R</t>
  </si>
  <si>
    <t>210WZ028-CIM2C</t>
  </si>
  <si>
    <t>KONA BLEND 50-R</t>
  </si>
  <si>
    <t>210MR602-CMZ2C</t>
  </si>
  <si>
    <t>CHARCOAL MATRIX 62-R</t>
  </si>
  <si>
    <t>210WZ028-CMZ2C</t>
  </si>
  <si>
    <t>KONA BLEND 62-R</t>
  </si>
  <si>
    <t>200HP596-CIMLC</t>
  </si>
  <si>
    <t>PRISM YELLOW 50-R</t>
  </si>
  <si>
    <t>200WP140-CIM1C</t>
  </si>
  <si>
    <t>LICORICE STICK 50-DR</t>
  </si>
  <si>
    <t>210WW900-CMZ1C</t>
  </si>
  <si>
    <t>SUNBEAM 62-DR</t>
  </si>
  <si>
    <t>200WC105-CMZ2C</t>
  </si>
  <si>
    <t>TRYTOO SAVATRE 62-R</t>
  </si>
  <si>
    <t>200WM255-CIM1C</t>
  </si>
  <si>
    <t>OFS BLOND MAPLE 50-DR</t>
  </si>
  <si>
    <t>210WZ056-CMZ2C</t>
  </si>
  <si>
    <t>EISKAFFE 62-R</t>
  </si>
  <si>
    <t>210SW098-CIMLC</t>
  </si>
  <si>
    <t>SOUTH CHIC WHITE II 50-R</t>
  </si>
  <si>
    <t>210SW098-CMZLC</t>
  </si>
  <si>
    <t>SOUTH CHIC WHITE II 62-R</t>
  </si>
  <si>
    <t>210S3023-CMZE</t>
  </si>
  <si>
    <t>GRAPHITE BLUE 61 1/2</t>
  </si>
  <si>
    <t>210AM601-CMZ2C</t>
  </si>
  <si>
    <t>ALUMINITE 62-R</t>
  </si>
  <si>
    <t>210MXT03-CMZ2C</t>
  </si>
  <si>
    <t>SILVER ALU METALX 62-R</t>
  </si>
  <si>
    <t>210VS202-CMZ2C</t>
  </si>
  <si>
    <t>VANILLA BEAN 62-R</t>
  </si>
  <si>
    <t>21000015-CIM3C</t>
  </si>
  <si>
    <t>LT TAN OVERLAY 50-R</t>
  </si>
  <si>
    <t>21000014-CIM3C</t>
  </si>
  <si>
    <t>TAN OVERLAY 50-R</t>
  </si>
  <si>
    <t>210WZ056-CIM2C</t>
  </si>
  <si>
    <t>EISKAFFE 50-R</t>
  </si>
  <si>
    <t>21000014-CI1AC</t>
  </si>
  <si>
    <t>ARP TAN OVERLAY  50-R</t>
  </si>
  <si>
    <t>210FN601-CIM2C</t>
  </si>
  <si>
    <t>CHARCOAL FUSION 50-R</t>
  </si>
  <si>
    <t>210WT003-CIM2C</t>
  </si>
  <si>
    <t>VALENCIA TEAK 50-R</t>
  </si>
  <si>
    <t>200SR537-CIMLC</t>
  </si>
  <si>
    <t>FIRST KISS 50-R</t>
  </si>
  <si>
    <t>20000306-CMZ1C</t>
  </si>
  <si>
    <t>CRYSTAL 62-DR</t>
  </si>
  <si>
    <t>200ME011-CMZ1C</t>
  </si>
  <si>
    <t>PYRENEES MARBLE 62-DR</t>
  </si>
  <si>
    <t>210WM858-CIM1C</t>
  </si>
  <si>
    <t>BEIGE RENAISSANCE 50-DR</t>
  </si>
  <si>
    <t>210ST605-CIME</t>
  </si>
  <si>
    <t>PUTTY 49 1/2</t>
  </si>
  <si>
    <t>210ST605-CMZE</t>
  </si>
  <si>
    <t>PUTTY 61 1/2</t>
  </si>
  <si>
    <t>210WT003-CMZ2C</t>
  </si>
  <si>
    <t>VALENCIA TEAK 62-R</t>
  </si>
  <si>
    <t>20000331-CMZ1C</t>
  </si>
  <si>
    <t>FINE LINE 62-DR</t>
  </si>
  <si>
    <t>210S3069-CMZE</t>
  </si>
  <si>
    <t>SOFT ISLAND BREEZE 61 1/2</t>
  </si>
  <si>
    <t>200HP156-CIM2C</t>
  </si>
  <si>
    <t>GRAND CHERRY 50-R</t>
  </si>
  <si>
    <t>210WS843-CIM2C</t>
  </si>
  <si>
    <t>CREST MAHOGANY 50-R</t>
  </si>
  <si>
    <t>200SW813-CIMLC</t>
  </si>
  <si>
    <t>ICE WHITE 50-R</t>
  </si>
  <si>
    <t>200SW836-CIMLC</t>
  </si>
  <si>
    <t>WINTER WHITE 50-R</t>
  </si>
  <si>
    <t>200SV713-CIMLC</t>
  </si>
  <si>
    <t>SURFIN' USA 50-R</t>
  </si>
  <si>
    <t>200SE102-CIMLC</t>
  </si>
  <si>
    <t>EBONY BLACK 50-R</t>
  </si>
  <si>
    <t>20000024-CIM3C</t>
  </si>
  <si>
    <t>200SG266-CIMLC</t>
  </si>
  <si>
    <t>ANTIQUITY 50-R</t>
  </si>
  <si>
    <t>200ST678-CIMLC</t>
  </si>
  <si>
    <t>CORKSILK 50-R</t>
  </si>
  <si>
    <t>200WF181-CIM2C</t>
  </si>
  <si>
    <t>ICE FISHIN 50-R</t>
  </si>
  <si>
    <t>200WX230-CIM1C</t>
  </si>
  <si>
    <t>OPTO PRINTATRE 50-DR</t>
  </si>
  <si>
    <t>20000311-CMZ1C</t>
  </si>
  <si>
    <t>ASHWOOD 62-DR</t>
  </si>
  <si>
    <t>20000312-CMZ1C</t>
  </si>
  <si>
    <t>SOFT LEATHER 62-DR</t>
  </si>
  <si>
    <t>20000325-CMZ1C</t>
  </si>
  <si>
    <t>WOOD ESSENCE 62-DR</t>
  </si>
  <si>
    <t>20000327-CMZ1C</t>
  </si>
  <si>
    <t>BARNBOARD 62-DR</t>
  </si>
  <si>
    <t>20000329-CMZ1C</t>
  </si>
  <si>
    <t>GROOVY 62-DR</t>
  </si>
  <si>
    <t>20000332-CMZ1C</t>
  </si>
  <si>
    <t>NATURAL STONE 62-DR</t>
  </si>
  <si>
    <t>20000334-CMZ1C</t>
  </si>
  <si>
    <t>NATURAL WOOD 62-DR</t>
  </si>
  <si>
    <t>20000335-CMZ1C</t>
  </si>
  <si>
    <t>LINE Z 62-DR</t>
  </si>
  <si>
    <t>20000336-CMZ1C</t>
  </si>
  <si>
    <t>METALZ 62-DR</t>
  </si>
  <si>
    <t>20000337-CMZ1C</t>
  </si>
  <si>
    <t>TACTILE WEAVE 62-DR</t>
  </si>
  <si>
    <t>20000338-CMZ1C</t>
  </si>
  <si>
    <t>HEX 62-DR</t>
  </si>
  <si>
    <t>20000339-CMZ1C</t>
  </si>
  <si>
    <t>IRONWOOD 62-DR</t>
  </si>
  <si>
    <t>200HP119-CIM2C</t>
  </si>
  <si>
    <t>HP ENGLISH OAK 50-R</t>
  </si>
  <si>
    <t>200HP767-CIM2C</t>
  </si>
  <si>
    <t>BRUSHED COBALT 50-R</t>
  </si>
  <si>
    <t>20000305-CMZ1C</t>
  </si>
  <si>
    <t>HI BRITE LC-28 62-DR</t>
  </si>
  <si>
    <t>200WW971-CIM1C</t>
  </si>
  <si>
    <t>GUN SAVOY WALNUT 50-DR</t>
  </si>
  <si>
    <t>200CLEAN-CMZCC</t>
  </si>
  <si>
    <t>P/C V-PATTERNS CPL  62-R</t>
  </si>
  <si>
    <t>210SG552-CIME</t>
  </si>
  <si>
    <t>WOODVINE 49 1/2</t>
  </si>
  <si>
    <t>210ST003-CMZLC</t>
  </si>
  <si>
    <t>DOVE GRAY 62-R</t>
  </si>
  <si>
    <t>210S6053-CMZLC</t>
  </si>
  <si>
    <t>JETT BLACK 62-R</t>
  </si>
  <si>
    <t>210ST054-CMZLC</t>
  </si>
  <si>
    <t>WROUGHT IRON 62-R</t>
  </si>
  <si>
    <t>200MG071-CMZ1C</t>
  </si>
  <si>
    <t>BERNARD 62-DR</t>
  </si>
  <si>
    <t>200MW570-CMZ1C</t>
  </si>
  <si>
    <t>PLOAR CAP 62-DR</t>
  </si>
  <si>
    <t>210ES602-CMZ1C</t>
  </si>
  <si>
    <t>CHARCOAL ESSENCE 62-DR</t>
  </si>
  <si>
    <t>210FS601-CMZ1C</t>
  </si>
  <si>
    <t>RUSH 62-DR</t>
  </si>
  <si>
    <t>210GR204-CMZ1C</t>
  </si>
  <si>
    <t>WOODSTOCK GRANITE 62-DR</t>
  </si>
  <si>
    <t>210LN601-CMZ1C</t>
  </si>
  <si>
    <t>FRAPPE 62-DR</t>
  </si>
  <si>
    <t>210SN219-CIME</t>
  </si>
  <si>
    <t>200AT988-CIM1C</t>
  </si>
  <si>
    <t>BEACHCOMBER 50-DR</t>
  </si>
  <si>
    <t>200KM060-CMZ1C</t>
  </si>
  <si>
    <t>STONEWOOD 50-DR</t>
  </si>
  <si>
    <t>200AG021-CMZ1C</t>
  </si>
  <si>
    <t>SABLE 62-DR</t>
  </si>
  <si>
    <t>200WP140-CMZ1C</t>
  </si>
  <si>
    <t>LICORICE STICK 62-DR</t>
  </si>
  <si>
    <t>200WT870-CMZ1C</t>
  </si>
  <si>
    <t>SLEEPING IN 62-DR</t>
  </si>
  <si>
    <t>210WK022-CMZ1C</t>
  </si>
  <si>
    <t>ANTOCCINO 62-DR</t>
  </si>
  <si>
    <t>210WM046-CMZ1C</t>
  </si>
  <si>
    <t>ILLUSTRIOUS MAPLE 62-DR</t>
  </si>
  <si>
    <t>21000323-CIM1C</t>
  </si>
  <si>
    <t>VELVET LC-59 50-DR</t>
  </si>
  <si>
    <t>200QU920-CMZ1C</t>
  </si>
  <si>
    <t>PARCHMENT DS 62-DR</t>
  </si>
  <si>
    <t>200QU915-CIM1C</t>
  </si>
  <si>
    <t>NATURAL MF KRAFT 50-DR</t>
  </si>
  <si>
    <t>210PDG02-CMZ1C</t>
  </si>
  <si>
    <t>PAINTED WOODLANDS 62-DR</t>
  </si>
  <si>
    <t>210RK201-CMZ1C</t>
  </si>
  <si>
    <t>CLASSIC ROCK 62-DR</t>
  </si>
  <si>
    <t>210VA202-CMZ1C</t>
  </si>
  <si>
    <t>VISION VAVA 62-DR</t>
  </si>
  <si>
    <t>210WK017-CMZ1C</t>
  </si>
  <si>
    <t>VENERABLE OLD OAK 62-DR</t>
  </si>
  <si>
    <t>210WM047-CMZ1C</t>
  </si>
  <si>
    <t>ICONIC MAPLE 62-DR</t>
  </si>
  <si>
    <t>210WM528-CMZ1C</t>
  </si>
  <si>
    <t>VERMONT MAPLE 62-DR</t>
  </si>
  <si>
    <t>210WZ063-CMZ1C</t>
  </si>
  <si>
    <t>YUNNAN 62-DR</t>
  </si>
  <si>
    <t>210YSN02-CMZ1C</t>
  </si>
  <si>
    <t>PURE SPUN YARN 62-DR</t>
  </si>
  <si>
    <t>210RK702-CMZ1C</t>
  </si>
  <si>
    <t>VETO PROOF 62-DR</t>
  </si>
  <si>
    <t>210GR401-CMZ1C</t>
  </si>
  <si>
    <t>MADURA GOLD GRANITE 62-DR</t>
  </si>
  <si>
    <t>200WE360-CIM1C</t>
  </si>
  <si>
    <t>AMERICA'S PASTIME 50-DR</t>
  </si>
  <si>
    <t>210S5057-CMZE</t>
  </si>
  <si>
    <t>KOOL KIWI 61 1/2</t>
  </si>
  <si>
    <t>210WZ204-CIM1C</t>
  </si>
  <si>
    <t>KENDO 50-DR</t>
  </si>
  <si>
    <t>200WX170-CIM1C</t>
  </si>
  <si>
    <t>TIRAMISU 50-DR</t>
  </si>
  <si>
    <t>210WZ209-CMZ1C</t>
  </si>
  <si>
    <t>CUTTING EDGE 62-DR</t>
  </si>
  <si>
    <t>200SY913-CIMLC</t>
  </si>
  <si>
    <t>FORSYTHIA 50-R</t>
  </si>
  <si>
    <t>200WP500-CMZ1C</t>
  </si>
  <si>
    <t>S'MORES 62-DR</t>
  </si>
  <si>
    <t>210AE050-CMZ1C</t>
  </si>
  <si>
    <t>STEPPING STONE 62-DR</t>
  </si>
  <si>
    <t>200AV971-CMZ1C</t>
  </si>
  <si>
    <t>MOOMLIGHTING PAPEL 62-DR</t>
  </si>
  <si>
    <t>200PFA60-CMZ1C</t>
  </si>
  <si>
    <t>NEGOTIATE IN GENEVA 62-DR</t>
  </si>
  <si>
    <t>210VS202-CIM2C</t>
  </si>
  <si>
    <t>VANILLA BEAN 50-R</t>
  </si>
  <si>
    <t>200HP356-CIM2C</t>
  </si>
  <si>
    <t>HONEY AVANTI WOOD 50-R</t>
  </si>
  <si>
    <t>200AG381-CIM1C</t>
  </si>
  <si>
    <t>MINERAL TALC 50-DR</t>
  </si>
  <si>
    <t>200AB221-CIM1C</t>
  </si>
  <si>
    <t>CRADDLE OF LIBERTY 50-DR</t>
  </si>
  <si>
    <t>210MR607-CIM1C</t>
  </si>
  <si>
    <t>PHANTOM GRAY MATRIX 50-DR</t>
  </si>
  <si>
    <t>200SG203-CIMLC</t>
  </si>
  <si>
    <t>PUMICE 50-R</t>
  </si>
  <si>
    <t>200HP688-CIM2C</t>
  </si>
  <si>
    <t>ARBOR MYRTLE 50-R</t>
  </si>
  <si>
    <t>210W8110-CIM2C</t>
  </si>
  <si>
    <t>GOLDN ASH 50-R</t>
  </si>
  <si>
    <t>210MR702-CIM1C</t>
  </si>
  <si>
    <t>WILD OATS MATRIX 50-DR</t>
  </si>
  <si>
    <t>210WM303-CIM2C</t>
  </si>
  <si>
    <t>HONEY MAPLE 50-R</t>
  </si>
  <si>
    <t>200SR521-CIMLC</t>
  </si>
  <si>
    <t>BURGUNDY 50-R</t>
  </si>
  <si>
    <t>200HP272-CIM2C</t>
  </si>
  <si>
    <t>WANDERER 50-R</t>
  </si>
  <si>
    <t>200AW300-CMZ1C</t>
  </si>
  <si>
    <t>LOVE LETTERS 62-DR</t>
  </si>
  <si>
    <t>200WW160-CMZ1C</t>
  </si>
  <si>
    <t>PRLINES &amp; CREAM 62-DR</t>
  </si>
  <si>
    <t>200AT650-CMZ1C</t>
  </si>
  <si>
    <t>CAVALCADE SOUTH 62-DR</t>
  </si>
  <si>
    <t>200WO680-CMZ1C</t>
  </si>
  <si>
    <t>CRACKLE CRUNCH 62-DR</t>
  </si>
  <si>
    <t>200HP551-CIME</t>
  </si>
  <si>
    <t>HP FOG GRAY 49 1/2</t>
  </si>
  <si>
    <t>210SY925-CI1AC</t>
  </si>
  <si>
    <t>MERRIGOLD FIELDS 50-R</t>
  </si>
  <si>
    <t>210ALT05-CIM2C</t>
  </si>
  <si>
    <t>WALL STREET ALLUSION 50-DR</t>
  </si>
  <si>
    <t>200WC125-CIM2C</t>
  </si>
  <si>
    <t>210RK702-CIM1C</t>
  </si>
  <si>
    <t>VETO PROOF 50-DR</t>
  </si>
  <si>
    <t>200AT965-CIM1C</t>
  </si>
  <si>
    <t>MELLOW MARRON 50-DR</t>
  </si>
  <si>
    <t>210ES201-CIM1C</t>
  </si>
  <si>
    <t>IVORY ESSENCE 50-DR</t>
  </si>
  <si>
    <t>200WO700-CIM1C</t>
  </si>
  <si>
    <t>200SV709-CIMLC</t>
  </si>
  <si>
    <t>SPRINGTIME 50-R</t>
  </si>
  <si>
    <t>210VS502-CIM1C</t>
  </si>
  <si>
    <t>VOUSE SERENE 50-DR</t>
  </si>
  <si>
    <t>210MH401-CIM2C</t>
  </si>
  <si>
    <t>MANHATTAN GLITZ 50-R</t>
  </si>
  <si>
    <t>210AG630-CIM1C</t>
  </si>
  <si>
    <t>SILVER WINGS 50-DR</t>
  </si>
  <si>
    <t>PIO_USAGE_BY_ITEM 2%-c%</t>
  </si>
  <si>
    <t>[111332]</t>
  </si>
  <si>
    <t>[111373]</t>
  </si>
  <si>
    <t>[111315]</t>
  </si>
  <si>
    <t>NRB 12-2022</t>
  </si>
  <si>
    <t>NRB 1HUNTS/OFS/CUBICON 12/04</t>
  </si>
  <si>
    <t>[111340]</t>
  </si>
  <si>
    <t>SPICY FLAVORS 48"</t>
  </si>
  <si>
    <t>CARMEL SAGAWOOD 36"</t>
  </si>
  <si>
    <t>[110509]</t>
  </si>
  <si>
    <t>[111368]</t>
  </si>
  <si>
    <t>[53176]</t>
  </si>
  <si>
    <t>100HP230-5000</t>
  </si>
  <si>
    <t>SLICED RED OAK</t>
  </si>
  <si>
    <t>11992</t>
  </si>
  <si>
    <t>10000302-5000110773</t>
  </si>
  <si>
    <t>111332</t>
  </si>
  <si>
    <t>10000306-5000111332</t>
  </si>
  <si>
    <t>10000325-5000111332</t>
  </si>
  <si>
    <t>Req. Delivery 11/30/2022</t>
  </si>
  <si>
    <t>10000335-5000110962</t>
  </si>
  <si>
    <t>100DB010-43007213</t>
  </si>
  <si>
    <t>100DB010-50007213</t>
  </si>
  <si>
    <t>100DB010-62007213</t>
  </si>
  <si>
    <t>100DB010-62127213</t>
  </si>
  <si>
    <t>7218</t>
  </si>
  <si>
    <t>2/6/2023</t>
  </si>
  <si>
    <t>6/22/2023</t>
  </si>
  <si>
    <t>100DS059-50007218</t>
  </si>
  <si>
    <t>100DS059-62007218</t>
  </si>
  <si>
    <t>03/07/2023</t>
  </si>
  <si>
    <t>06/08/2023</t>
  </si>
  <si>
    <t>04/05/2023</t>
  </si>
  <si>
    <t>04/14/2023</t>
  </si>
  <si>
    <t>100HP599-50007218</t>
  </si>
  <si>
    <t>100HP599-62007218</t>
  </si>
  <si>
    <t>Push out to 5/15/23</t>
  </si>
  <si>
    <t>Push out to 6/15/23</t>
  </si>
  <si>
    <t>Push out to 4/15/23</t>
  </si>
  <si>
    <t>09/01/2022</t>
  </si>
  <si>
    <t>2071</t>
  </si>
  <si>
    <t>505</t>
  </si>
  <si>
    <t>1626</t>
  </si>
  <si>
    <t>3441</t>
  </si>
  <si>
    <t>7223</t>
  </si>
  <si>
    <t>100WA030-50007223</t>
  </si>
  <si>
    <t>100WA030-62007223</t>
  </si>
  <si>
    <t>100WX170-62007135</t>
  </si>
  <si>
    <t>7217</t>
  </si>
  <si>
    <t>6/28/2023</t>
  </si>
  <si>
    <t>110S1015-50007217</t>
  </si>
  <si>
    <t>110S1015-62007217</t>
  </si>
  <si>
    <t>110S6053-50007218</t>
  </si>
  <si>
    <t>7668</t>
  </si>
  <si>
    <t>110S6053-62007218</t>
  </si>
  <si>
    <t>475</t>
  </si>
  <si>
    <t>2/14/2023</t>
  </si>
  <si>
    <t>110SV355-50007218</t>
  </si>
  <si>
    <t>110SV355-62007218</t>
  </si>
  <si>
    <t>7224</t>
  </si>
  <si>
    <t>7/6/2023</t>
  </si>
  <si>
    <t>110SW727-50007224</t>
  </si>
  <si>
    <t>110SW727-62007224</t>
  </si>
  <si>
    <t>18198</t>
  </si>
  <si>
    <t>Wash Coat is being rescheduled</t>
  </si>
  <si>
    <t>16281</t>
  </si>
  <si>
    <t>4273</t>
  </si>
  <si>
    <t>7222</t>
  </si>
  <si>
    <t>110WZ601-50007222</t>
  </si>
  <si>
    <t>110WZ601-62007222</t>
  </si>
  <si>
    <t>03/10/2023</t>
  </si>
  <si>
    <t>511</t>
  </si>
  <si>
    <t>71</t>
  </si>
  <si>
    <t>2381</t>
  </si>
  <si>
    <t>02/22/2023</t>
  </si>
  <si>
    <t>`</t>
  </si>
  <si>
    <t>110VS203-5000</t>
  </si>
  <si>
    <t>100HP158-6200</t>
  </si>
  <si>
    <t>[55676]</t>
  </si>
  <si>
    <t>7,000 pending container booking</t>
  </si>
  <si>
    <t>7219</t>
  </si>
  <si>
    <t>WHITE PANOLAM</t>
  </si>
  <si>
    <t>10000020-62007219</t>
  </si>
  <si>
    <t>ULTRACAST PRX BRUSHED WOOD</t>
  </si>
  <si>
    <t>Req. Delivery 02/28/2023</t>
  </si>
  <si>
    <t>111373</t>
  </si>
  <si>
    <t>10000330-6200111373</t>
  </si>
  <si>
    <t>151</t>
  </si>
  <si>
    <t>NUTMEG BACKER PANOLAM</t>
  </si>
  <si>
    <t>01/10/2023</t>
  </si>
  <si>
    <t>05/10/2023</t>
  </si>
  <si>
    <t>7225</t>
  </si>
  <si>
    <t>Captiva Maple 4ft</t>
  </si>
  <si>
    <t>100HP158-50007225</t>
  </si>
  <si>
    <t>Captiva Maple 5ft</t>
  </si>
  <si>
    <t>100HP158-62007225</t>
  </si>
  <si>
    <t>12/02/2022</t>
  </si>
  <si>
    <t>03/05/2023</t>
  </si>
  <si>
    <t>-59</t>
  </si>
  <si>
    <t>191</t>
  </si>
  <si>
    <t>2654</t>
  </si>
  <si>
    <t>7220</t>
  </si>
  <si>
    <t>ANTHRACITE PANOLAM</t>
  </si>
  <si>
    <t>100HP563-62007220</t>
  </si>
  <si>
    <t>1/16/2023</t>
  </si>
  <si>
    <t>6/1/2023</t>
  </si>
  <si>
    <t>7/4/2023</t>
  </si>
  <si>
    <t>7211</t>
  </si>
  <si>
    <t>WINTER WHITE PANOLAM</t>
  </si>
  <si>
    <t>03/28/2023</t>
  </si>
  <si>
    <t>100SW836-50007211</t>
  </si>
  <si>
    <t>100SW836-62007211</t>
  </si>
  <si>
    <t>in transit</t>
  </si>
  <si>
    <t>2452</t>
  </si>
  <si>
    <t>BRUNSWICK GUN SAV WAL W/LINES</t>
  </si>
  <si>
    <t>7206</t>
  </si>
  <si>
    <t>100WW070-62007206</t>
  </si>
  <si>
    <t>1490</t>
  </si>
  <si>
    <t>25</t>
  </si>
  <si>
    <t>275</t>
  </si>
  <si>
    <t>1692</t>
  </si>
  <si>
    <t>7229</t>
  </si>
  <si>
    <t>4/24/2023</t>
  </si>
  <si>
    <t>9/7/2023</t>
  </si>
  <si>
    <t>110SW775-62007229</t>
  </si>
  <si>
    <t>7226</t>
  </si>
  <si>
    <t>110WW310-50007226</t>
  </si>
  <si>
    <t>110WW310-62007226</t>
  </si>
  <si>
    <t>3296</t>
  </si>
  <si>
    <t>6.35</t>
  </si>
  <si>
    <t>Calypso 4ft</t>
  </si>
  <si>
    <t>110WZ057-50007225</t>
  </si>
  <si>
    <t>110WZ057-62007225</t>
  </si>
  <si>
    <t>Panolam Product CodePanolam Purchase Order</t>
  </si>
  <si>
    <t>missing supplier data</t>
  </si>
  <si>
    <t>Count</t>
  </si>
  <si>
    <t>Lamigraf</t>
  </si>
  <si>
    <t>Morrow (Goggin)</t>
  </si>
  <si>
    <t>Ahlstrom Paper Inc.Stone</t>
  </si>
  <si>
    <t>CartiereStone</t>
  </si>
  <si>
    <t>DNPStone</t>
  </si>
  <si>
    <t>InterprintInterprint</t>
  </si>
  <si>
    <t>LamigrafStone</t>
  </si>
  <si>
    <t>OnyxOnyx</t>
  </si>
  <si>
    <t>ToppanEDS</t>
  </si>
  <si>
    <t>ToppanMcDonough</t>
  </si>
  <si>
    <t>ToppanMorrow</t>
  </si>
  <si>
    <t>Munksjo USA Inc.Stone</t>
  </si>
  <si>
    <t>NeodecortechStone</t>
  </si>
  <si>
    <t>TechnocellSuddekor</t>
  </si>
  <si>
    <t>Pickup Need Check</t>
  </si>
  <si>
    <t>WW780</t>
  </si>
  <si>
    <t>WT890</t>
  </si>
  <si>
    <t>DS064</t>
  </si>
  <si>
    <t>ST054</t>
  </si>
  <si>
    <t>HP336</t>
  </si>
  <si>
    <t>[111412]</t>
  </si>
  <si>
    <t>missing</t>
  </si>
  <si>
    <t>Old Dominion</t>
  </si>
  <si>
    <t>Heniff</t>
  </si>
  <si>
    <t>Shipping</t>
  </si>
  <si>
    <t>Internal List</t>
  </si>
  <si>
    <t>Jennifer_Lepkowski@panolam.com</t>
  </si>
  <si>
    <t>Tonya_Kirkland@panolam.com</t>
  </si>
  <si>
    <t>Jackie_Wickline@panolam.com</t>
  </si>
  <si>
    <t>John_Suominen@panolam.com</t>
  </si>
  <si>
    <t>Haibado_Daher@panolam.com</t>
  </si>
  <si>
    <t>Greg_Hoyle@panolam.com</t>
  </si>
  <si>
    <t>Larisa_Adams@panolam.com</t>
  </si>
  <si>
    <t>Charles_Banks@panolam.com</t>
  </si>
  <si>
    <t>Renee_Becker@panolam.com</t>
  </si>
  <si>
    <t>Benjamin_BeDen@panolam.com</t>
  </si>
  <si>
    <t>Beth_Cocca@panolam.com</t>
  </si>
  <si>
    <t>Dianne_Coy@panolam.com</t>
  </si>
  <si>
    <t>Mitch_Dulac@panolam.com</t>
  </si>
  <si>
    <t>Stefania_Eaton@panolam.com</t>
  </si>
  <si>
    <t>Joann_Hanning@panolam.com</t>
  </si>
  <si>
    <t>John_Hickey@panolam.com</t>
  </si>
  <si>
    <t>Scott_Huss@panolam.com</t>
  </si>
  <si>
    <t>Teri_Latham@panolam.com</t>
  </si>
  <si>
    <t>Stephanie_Lavoie@panolam.com</t>
  </si>
  <si>
    <t>Sherry_May@panolam.com</t>
  </si>
  <si>
    <t>Amie_Morris@panolam.com</t>
  </si>
  <si>
    <t>Jeff_Nadeau@panolam.com</t>
  </si>
  <si>
    <t>Tracy_Paradis@panolam.com</t>
  </si>
  <si>
    <t>Jim_Pare@panolam.com</t>
  </si>
  <si>
    <t>Sam_Quan@panolam.com</t>
  </si>
  <si>
    <t>Diane_Roberts@panolam.com</t>
  </si>
  <si>
    <t>Randall_Sappington@panolam.com</t>
  </si>
  <si>
    <t>Brad_Tripp@panolam.com</t>
  </si>
  <si>
    <t>Bob_Willey@panolam.com</t>
  </si>
  <si>
    <t>Lisa_Paddle@panolam.com</t>
  </si>
  <si>
    <t>in the setup, move last week's data?</t>
  </si>
  <si>
    <t>7 move over the data to po adj</t>
  </si>
  <si>
    <t>MANHATTAN GLITZ</t>
  </si>
  <si>
    <t>2194</t>
  </si>
  <si>
    <t>02/14/2023</t>
  </si>
  <si>
    <t>05/18/2023</t>
  </si>
  <si>
    <t>have 1800 lbs completed need to check with production regarding balance of material</t>
  </si>
  <si>
    <t>6"</t>
  </si>
  <si>
    <t>222102354-20</t>
  </si>
  <si>
    <t>7221</t>
  </si>
  <si>
    <t>100AG415-50007221</t>
  </si>
  <si>
    <t>222102354-10</t>
  </si>
  <si>
    <t>100AG415-62007221</t>
  </si>
  <si>
    <t>MG SANDSTONE</t>
  </si>
  <si>
    <t>222102323-10</t>
  </si>
  <si>
    <t>7212</t>
  </si>
  <si>
    <t>100AR321-62007212</t>
  </si>
  <si>
    <t>01/15/2023</t>
  </si>
  <si>
    <t>05/15/2023</t>
  </si>
  <si>
    <t>01/09/2023</t>
  </si>
  <si>
    <t>05/09/2023</t>
  </si>
  <si>
    <t>7234</t>
  </si>
  <si>
    <t>100HP336-62007234</t>
  </si>
  <si>
    <t>01/20/2023</t>
  </si>
  <si>
    <t>17</t>
  </si>
  <si>
    <t>-139</t>
  </si>
  <si>
    <t>222102405-20</t>
  </si>
  <si>
    <t>7230</t>
  </si>
  <si>
    <t>100PFA60-50007230</t>
  </si>
  <si>
    <t>222101316-30 TO BE REWOUND</t>
  </si>
  <si>
    <t>222102405-10</t>
  </si>
  <si>
    <t>100PFA60-62007230</t>
  </si>
  <si>
    <t>7233</t>
  </si>
  <si>
    <t>3/13/2023</t>
  </si>
  <si>
    <t>7/15/2023</t>
  </si>
  <si>
    <t>100SB040-50007233</t>
  </si>
  <si>
    <t>100SB040-62007233</t>
  </si>
  <si>
    <t>-34</t>
  </si>
  <si>
    <t>5/30/2023</t>
  </si>
  <si>
    <t>100SG254-50007233</t>
  </si>
  <si>
    <t>100SG254-62007233</t>
  </si>
  <si>
    <t>2571</t>
  </si>
  <si>
    <t>79</t>
  </si>
  <si>
    <t>1/9/2023</t>
  </si>
  <si>
    <t>03/27/2023</t>
  </si>
  <si>
    <t>7228</t>
  </si>
  <si>
    <t>100WM331-43007228</t>
  </si>
  <si>
    <t>100WM332-62007228</t>
  </si>
  <si>
    <t>100WM333-62007228</t>
  </si>
  <si>
    <t>MG MORCHELLA HUNT</t>
  </si>
  <si>
    <t>TBA</t>
  </si>
  <si>
    <t>223100000-10</t>
  </si>
  <si>
    <t>7215</t>
  </si>
  <si>
    <t>100WO740-50007215</t>
  </si>
  <si>
    <t>222102210-10 TO BE REWOUND</t>
  </si>
  <si>
    <t>Shipped: 12/30</t>
  </si>
  <si>
    <t>Shipped:12/30</t>
  </si>
  <si>
    <t>7232</t>
  </si>
  <si>
    <t>100WW160-50007232</t>
  </si>
  <si>
    <t>100WW160-62007232</t>
  </si>
  <si>
    <t>100WW185-62007232</t>
  </si>
  <si>
    <t>Release Auburn</t>
  </si>
  <si>
    <t>222101786-10 to be rewound</t>
  </si>
  <si>
    <t>222102404-20</t>
  </si>
  <si>
    <t>100WX421-50007230</t>
  </si>
  <si>
    <t>222102404-10</t>
  </si>
  <si>
    <t>100WX421-62007230</t>
  </si>
  <si>
    <t>MG FOREVER KOA</t>
  </si>
  <si>
    <t>110M5208-5000110773</t>
  </si>
  <si>
    <t>111412</t>
  </si>
  <si>
    <t>110M5211-6200111412</t>
  </si>
  <si>
    <t>222101317-10</t>
  </si>
  <si>
    <t>222102437-20</t>
  </si>
  <si>
    <t>7216</t>
  </si>
  <si>
    <t>110MW580-50007216</t>
  </si>
  <si>
    <t>222102437-10</t>
  </si>
  <si>
    <t>110MW580-62007216</t>
  </si>
  <si>
    <t>110S3023-50007233</t>
  </si>
  <si>
    <t>110S3023-62007233</t>
  </si>
  <si>
    <t>110S7024-50007233</t>
  </si>
  <si>
    <t>110S7024-62007233</t>
  </si>
  <si>
    <t>522</t>
  </si>
  <si>
    <t>2999</t>
  </si>
  <si>
    <t>96</t>
  </si>
  <si>
    <t>EASY ELEGANCE</t>
  </si>
  <si>
    <t>222102435-10</t>
  </si>
  <si>
    <t>7231</t>
  </si>
  <si>
    <t>110VA502-50007231</t>
  </si>
  <si>
    <t>222102438-20</t>
  </si>
  <si>
    <t>110VA702-50007216</t>
  </si>
  <si>
    <t>222101321-30</t>
  </si>
  <si>
    <t>222102438-10</t>
  </si>
  <si>
    <t>110VA702-62007216</t>
  </si>
  <si>
    <t>222101321-10</t>
  </si>
  <si>
    <t xml:space="preserve">222101318-10 </t>
  </si>
  <si>
    <t>110WW780-62007232</t>
  </si>
  <si>
    <t>Release Huntsville</t>
  </si>
  <si>
    <t>110WW971-6200</t>
  </si>
  <si>
    <t>223100001-10</t>
  </si>
  <si>
    <t>110WW971-62007215</t>
  </si>
  <si>
    <t>110WX075-450L</t>
  </si>
  <si>
    <t>GALAO (LEFT C/D)</t>
  </si>
  <si>
    <t>110WX075-450R</t>
  </si>
  <si>
    <t>GALAO (RIGHT C/D)</t>
  </si>
  <si>
    <t>[55710]</t>
  </si>
  <si>
    <t>A. Duie Pyle</t>
  </si>
  <si>
    <t>ONE</t>
  </si>
  <si>
    <t>DNP-011023-A</t>
  </si>
  <si>
    <t>EDS (ADP)</t>
  </si>
  <si>
    <t>New Holland (ADP)</t>
  </si>
  <si>
    <t>ADP</t>
  </si>
  <si>
    <t>2 Tabas Lane</t>
  </si>
  <si>
    <t>Exton</t>
  </si>
  <si>
    <t>19341</t>
  </si>
  <si>
    <t xml:space="preserve">Jeremy Walker </t>
  </si>
  <si>
    <t>(484) 741-1008</t>
  </si>
  <si>
    <t>PANOLAM 2023/03</t>
  </si>
  <si>
    <t>appointment not required</t>
  </si>
  <si>
    <t>will not be ready in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</si>
</sst>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mm/dd/yy;@"/>
    <numFmt numFmtId="165" formatCode="#,##0.0_);[Red]\(#,##0.0\)"/>
    <numFmt numFmtId="166" formatCode="0.0000"/>
    <numFmt numFmtId="167" formatCode="[$-409]h:mm\ AM/PM;@"/>
    <numFmt numFmtId="168" formatCode="mm/dd/yyyy"/>
    <numFmt numFmtId="169" formatCode="[$-F800]dddd\,\ mmmm\ dd\,\ yyyy"/>
    <numFmt numFmtId="170" formatCode="ddd\,\ mm/dd/yy"/>
    <numFmt numFmtId="171" formatCode="ddd\ mm/dd/yy"/>
    <numFmt numFmtId="172" formatCode="mm/dd/yyyy;@"/>
  </numFmts>
  <fonts count="64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58000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b/>
      <sz val="10"/>
      <name val="Arial Unicode MS"/>
    </font>
    <font>
      <sz val="8"/>
      <color theme="1"/>
      <name val="Calibri"/>
      <family val="2"/>
      <scheme val="minor"/>
    </font>
    <font>
      <sz val="11"/>
      <color theme="1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b/>
      <u/>
      <sz val="11"/>
      <color theme="7" tint="0.79998168889431442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42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8"/>
      <color theme="1"/>
      <name val="Calibri Light"/>
      <family val="2"/>
      <scheme val="major"/>
    </font>
    <font>
      <sz val="9"/>
      <name val="Franklin Gothic Book"/>
      <family val="2"/>
    </font>
    <font>
      <sz val="20"/>
      <name val="Franklin Gothic Book"/>
      <family val="2"/>
    </font>
    <font>
      <sz val="18"/>
      <name val="Franklin Gothic Book"/>
      <family val="2"/>
    </font>
    <font>
      <i/>
      <sz val="10"/>
      <name val="Franklin Gothic Book"/>
      <family val="2"/>
    </font>
    <font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9"/>
      <name val="Calibri"/>
      <family val="2"/>
      <scheme val="minor"/>
    </font>
    <font>
      <sz val="9"/>
      <name val="Tahoma"/>
      <family val="2"/>
    </font>
    <font>
      <sz val="8"/>
      <name val="Tahoma"/>
      <family val="2"/>
    </font>
    <font>
      <i/>
      <sz val="11"/>
      <name val="Franklin Gothic Book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sz val="16"/>
      <color theme="1"/>
      <name val="Franklin Gothic Book"/>
      <family val="2"/>
    </font>
    <font>
      <b/>
      <sz val="16"/>
      <color theme="1"/>
      <name val="Calibri Light"/>
      <family val="2"/>
      <scheme val="major"/>
    </font>
    <font>
      <i/>
      <sz val="11"/>
      <color rgb="FFC00000"/>
      <name val="Calibri"/>
      <family val="2"/>
      <scheme val="minor"/>
    </font>
    <font>
      <u/>
      <sz val="14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Franklin Gothic Book"/>
      <family val="2"/>
    </font>
    <font>
      <sz val="12"/>
      <name val="Franklin Gothic Book"/>
      <family val="2"/>
    </font>
    <font>
      <sz val="36"/>
      <name val="Calibri"/>
      <family val="2"/>
      <scheme val="minor"/>
    </font>
    <font>
      <sz val="10"/>
      <color rgb="FF000000"/>
      <name val="Calibri"/>
      <family val="2"/>
    </font>
    <font>
      <sz val="36"/>
      <color rgb="FFC00000"/>
      <name val="Calibri"/>
      <family val="2"/>
      <scheme val="minor"/>
    </font>
    <font>
      <sz val="22"/>
      <color theme="1"/>
      <name val="Calibri Light"/>
      <family val="2"/>
      <scheme val="major"/>
    </font>
    <font>
      <sz val="11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6"/>
      <color theme="1" tint="0.499984740745262"/>
      <name val="Calibri Light"/>
      <family val="2"/>
      <scheme val="major"/>
    </font>
    <font>
      <sz val="11"/>
      <color theme="1" tint="0.499984740745262"/>
      <name val="Calibri"/>
      <family val="2"/>
      <scheme val="minor"/>
    </font>
    <font>
      <sz val="8"/>
      <color theme="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580000"/>
        <bgColor indexed="64"/>
      </patternFill>
    </fill>
    <fill>
      <patternFill patternType="solid">
        <fgColor rgb="FF42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</fills>
  <borders count="6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3" fillId="0" borderId="0"/>
    <xf numFmtId="0" fontId="1" fillId="0" borderId="0"/>
    <xf numFmtId="0" fontId="21" fillId="0" borderId="0"/>
    <xf numFmtId="0" fontId="20" fillId="0" borderId="0"/>
  </cellStyleXfs>
  <cellXfs count="306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3" fontId="3" fillId="0" borderId="0" xfId="0" applyNumberFormat="1" applyFont="1" applyAlignment="1">
      <alignment horizontal="center" vertical="center" wrapText="1"/>
    </xf>
    <xf numFmtId="164" fontId="3" fillId="0" borderId="0" xfId="0" applyNumberFormat="1" applyFont="1" applyAlignment="1">
      <alignment horizontal="center" vertical="center" wrapText="1"/>
    </xf>
    <xf numFmtId="0" fontId="3" fillId="0" borderId="0" xfId="0" applyFont="1"/>
    <xf numFmtId="3" fontId="3" fillId="0" borderId="0" xfId="0" applyNumberFormat="1" applyFont="1"/>
    <xf numFmtId="164" fontId="3" fillId="0" borderId="0" xfId="0" applyNumberFormat="1" applyFont="1"/>
    <xf numFmtId="38" fontId="6" fillId="4" borderId="7" xfId="0" applyNumberFormat="1" applyFont="1" applyFill="1" applyBorder="1" applyAlignment="1">
      <alignment horizontal="center" vertical="center" wrapText="1" shrinkToFit="1"/>
    </xf>
    <xf numFmtId="38" fontId="7" fillId="4" borderId="7" xfId="0" applyNumberFormat="1" applyFont="1" applyFill="1" applyBorder="1" applyAlignment="1">
      <alignment horizontal="center" vertical="center" wrapText="1" shrinkToFit="1"/>
    </xf>
    <xf numFmtId="0" fontId="0" fillId="5" borderId="7" xfId="0" applyFill="1" applyBorder="1" applyAlignment="1">
      <alignment horizontal="center" vertical="center" wrapText="1" shrinkToFit="1"/>
    </xf>
    <xf numFmtId="49" fontId="11" fillId="2" borderId="8" xfId="0" applyNumberFormat="1" applyFont="1" applyFill="1" applyBorder="1"/>
    <xf numFmtId="49" fontId="0" fillId="0" borderId="0" xfId="0" applyNumberFormat="1"/>
    <xf numFmtId="166" fontId="0" fillId="0" borderId="0" xfId="0" applyNumberFormat="1"/>
    <xf numFmtId="49" fontId="11" fillId="2" borderId="0" xfId="0" applyNumberFormat="1" applyFont="1" applyFill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9" borderId="1" xfId="0" applyFill="1" applyBorder="1" applyAlignment="1">
      <alignment horizontal="center" vertical="center" wrapText="1"/>
    </xf>
    <xf numFmtId="3" fontId="0" fillId="9" borderId="1" xfId="0" applyNumberFormat="1" applyFill="1" applyBorder="1" applyAlignment="1">
      <alignment horizontal="center" vertical="center" wrapText="1"/>
    </xf>
    <xf numFmtId="3" fontId="0" fillId="0" borderId="0" xfId="0" applyNumberFormat="1"/>
    <xf numFmtId="0" fontId="0" fillId="0" borderId="0" xfId="0" applyAlignment="1">
      <alignment horizontal="left" vertical="top" wrapText="1" shrinkToFit="1"/>
    </xf>
    <xf numFmtId="0" fontId="0" fillId="0" borderId="0" xfId="0" quotePrefix="1"/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38" fontId="0" fillId="0" borderId="0" xfId="0" applyNumberFormat="1" applyAlignment="1">
      <alignment vertical="center" shrinkToFit="1"/>
    </xf>
    <xf numFmtId="0" fontId="0" fillId="0" borderId="0" xfId="0" applyAlignment="1">
      <alignment vertical="center"/>
    </xf>
    <xf numFmtId="0" fontId="0" fillId="0" borderId="0" xfId="0" applyAlignment="1">
      <alignment vertical="center" shrinkToFit="1"/>
    </xf>
    <xf numFmtId="38" fontId="0" fillId="0" borderId="0" xfId="0" applyNumberFormat="1" applyAlignment="1">
      <alignment horizontal="center" vertical="center"/>
    </xf>
    <xf numFmtId="0" fontId="18" fillId="0" borderId="0" xfId="0" applyFont="1"/>
    <xf numFmtId="0" fontId="0" fillId="0" borderId="5" xfId="0" applyBorder="1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/>
    <xf numFmtId="38" fontId="3" fillId="0" borderId="0" xfId="0" applyNumberFormat="1" applyFont="1" applyAlignment="1">
      <alignment horizontal="center" vertical="center" wrapText="1"/>
    </xf>
    <xf numFmtId="38" fontId="3" fillId="0" borderId="0" xfId="0" applyNumberFormat="1" applyFont="1"/>
    <xf numFmtId="40" fontId="3" fillId="0" borderId="0" xfId="0" applyNumberFormat="1" applyFont="1" applyAlignment="1">
      <alignment horizontal="center" vertical="center" wrapText="1"/>
    </xf>
    <xf numFmtId="40" fontId="3" fillId="0" borderId="0" xfId="0" applyNumberFormat="1" applyFont="1"/>
    <xf numFmtId="0" fontId="0" fillId="0" borderId="0" xfId="0" applyAlignment="1">
      <alignment horizontal="center" vertical="center" shrinkToFit="1"/>
    </xf>
    <xf numFmtId="0" fontId="0" fillId="0" borderId="0" xfId="0" applyAlignment="1">
      <alignment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0" fillId="0" borderId="4" xfId="0" applyBorder="1"/>
    <xf numFmtId="0" fontId="0" fillId="0" borderId="17" xfId="0" applyBorder="1"/>
    <xf numFmtId="0" fontId="0" fillId="0" borderId="3" xfId="0" applyBorder="1"/>
    <xf numFmtId="0" fontId="0" fillId="0" borderId="6" xfId="0" applyBorder="1"/>
    <xf numFmtId="0" fontId="0" fillId="0" borderId="2" xfId="0" applyBorder="1"/>
    <xf numFmtId="38" fontId="3" fillId="0" borderId="0" xfId="0" applyNumberFormat="1" applyFont="1" applyAlignment="1">
      <alignment horizontal="center"/>
    </xf>
    <xf numFmtId="38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38" fontId="0" fillId="0" borderId="0" xfId="0" applyNumberFormat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38" fontId="8" fillId="0" borderId="0" xfId="0" applyNumberFormat="1" applyFont="1" applyAlignment="1">
      <alignment horizontal="center" vertical="center" shrinkToFit="1"/>
    </xf>
    <xf numFmtId="0" fontId="0" fillId="4" borderId="7" xfId="0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wrapText="1" shrinkToFit="1"/>
    </xf>
    <xf numFmtId="0" fontId="2" fillId="4" borderId="7" xfId="0" applyFont="1" applyFill="1" applyBorder="1" applyAlignment="1">
      <alignment horizontal="center" vertical="center" textRotation="90" wrapText="1" shrinkToFit="1"/>
    </xf>
    <xf numFmtId="38" fontId="2" fillId="4" borderId="7" xfId="0" applyNumberFormat="1" applyFont="1" applyFill="1" applyBorder="1" applyAlignment="1">
      <alignment horizontal="center" vertical="center" wrapText="1" shrinkToFit="1"/>
    </xf>
    <xf numFmtId="165" fontId="2" fillId="4" borderId="7" xfId="0" applyNumberFormat="1" applyFont="1" applyFill="1" applyBorder="1" applyAlignment="1">
      <alignment horizontal="center" vertical="center" wrapText="1" shrinkToFit="1"/>
    </xf>
    <xf numFmtId="38" fontId="0" fillId="4" borderId="7" xfId="0" applyNumberFormat="1" applyFill="1" applyBorder="1" applyAlignment="1">
      <alignment horizontal="center" vertical="center" wrapText="1" shrinkToFit="1"/>
    </xf>
    <xf numFmtId="38" fontId="4" fillId="8" borderId="7" xfId="0" applyNumberFormat="1" applyFont="1" applyFill="1" applyBorder="1" applyAlignment="1">
      <alignment horizontal="center" vertical="center" wrapText="1" shrinkToFit="1"/>
    </xf>
    <xf numFmtId="165" fontId="0" fillId="4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wrapText="1" shrinkToFit="1"/>
    </xf>
    <xf numFmtId="38" fontId="0" fillId="5" borderId="7" xfId="0" applyNumberFormat="1" applyFill="1" applyBorder="1" applyAlignment="1">
      <alignment horizontal="center" vertical="center" textRotation="90" wrapText="1" shrinkToFit="1"/>
    </xf>
    <xf numFmtId="38" fontId="4" fillId="6" borderId="7" xfId="0" applyNumberFormat="1" applyFont="1" applyFill="1" applyBorder="1" applyAlignment="1">
      <alignment horizontal="center" vertical="center" wrapText="1" shrinkToFit="1"/>
    </xf>
    <xf numFmtId="38" fontId="0" fillId="5" borderId="0" xfId="0" applyNumberFormat="1" applyFill="1" applyAlignment="1">
      <alignment horizontal="center" vertical="center" wrapText="1" shrinkToFit="1"/>
    </xf>
    <xf numFmtId="38" fontId="4" fillId="7" borderId="0" xfId="0" applyNumberFormat="1" applyFont="1" applyFill="1" applyAlignment="1">
      <alignment horizontal="center" vertical="center" wrapText="1" shrinkToFit="1"/>
    </xf>
    <xf numFmtId="0" fontId="5" fillId="3" borderId="7" xfId="0" applyFont="1" applyFill="1" applyBorder="1" applyAlignment="1">
      <alignment horizontal="center" vertical="center" wrapText="1" shrinkToFit="1"/>
    </xf>
    <xf numFmtId="0" fontId="19" fillId="3" borderId="7" xfId="0" applyFont="1" applyFill="1" applyBorder="1" applyAlignment="1">
      <alignment horizontal="center" vertical="center" wrapText="1" shrinkToFit="1"/>
    </xf>
    <xf numFmtId="0" fontId="19" fillId="10" borderId="0" xfId="0" applyFont="1" applyFill="1" applyAlignment="1">
      <alignment horizontal="center" vertical="center" wrapText="1" shrinkToFit="1"/>
    </xf>
    <xf numFmtId="0" fontId="5" fillId="3" borderId="0" xfId="0" applyFont="1" applyFill="1" applyAlignment="1">
      <alignment horizontal="center" vertical="center" wrapText="1" shrinkToFit="1"/>
    </xf>
    <xf numFmtId="0" fontId="17" fillId="10" borderId="0" xfId="0" applyFont="1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3" fontId="4" fillId="12" borderId="0" xfId="0" applyNumberFormat="1" applyFont="1" applyFill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3" fontId="0" fillId="11" borderId="1" xfId="0" applyNumberFormat="1" applyFill="1" applyBorder="1" applyAlignment="1">
      <alignment horizontal="center" vertical="center" wrapText="1"/>
    </xf>
    <xf numFmtId="164" fontId="0" fillId="11" borderId="1" xfId="0" applyNumberForma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 vertical="center" wrapText="1"/>
    </xf>
    <xf numFmtId="3" fontId="0" fillId="14" borderId="1" xfId="0" applyNumberFormat="1" applyFill="1" applyBorder="1" applyAlignment="1">
      <alignment horizontal="center" vertical="center" wrapText="1"/>
    </xf>
    <xf numFmtId="164" fontId="0" fillId="14" borderId="1" xfId="0" applyNumberFormat="1" applyFill="1" applyBorder="1" applyAlignment="1">
      <alignment horizontal="center" vertical="center" wrapText="1"/>
    </xf>
    <xf numFmtId="38" fontId="0" fillId="0" borderId="0" xfId="0" applyNumberFormat="1" applyAlignment="1">
      <alignment horizontal="center" vertical="center" wrapText="1"/>
    </xf>
    <xf numFmtId="0" fontId="22" fillId="0" borderId="0" xfId="4" applyFont="1" applyAlignment="1">
      <alignment horizontal="left" vertical="center" wrapText="1"/>
    </xf>
    <xf numFmtId="0" fontId="22" fillId="0" borderId="0" xfId="4" applyFont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49" fontId="22" fillId="0" borderId="0" xfId="3" applyNumberFormat="1" applyFont="1" applyAlignment="1">
      <alignment horizontal="center" vertical="center" wrapText="1"/>
    </xf>
    <xf numFmtId="0" fontId="22" fillId="0" borderId="0" xfId="3" applyFont="1" applyAlignment="1">
      <alignment horizontal="left" vertical="center" wrapText="1"/>
    </xf>
    <xf numFmtId="167" fontId="22" fillId="0" borderId="0" xfId="3" quotePrefix="1" applyNumberFormat="1" applyFont="1" applyAlignment="1">
      <alignment horizontal="left" vertical="center" wrapText="1"/>
    </xf>
    <xf numFmtId="167" fontId="22" fillId="0" borderId="0" xfId="3" applyNumberFormat="1" applyFont="1" applyAlignment="1">
      <alignment horizontal="left" vertical="center" wrapText="1"/>
    </xf>
    <xf numFmtId="49" fontId="22" fillId="0" borderId="0" xfId="3" quotePrefix="1" applyNumberFormat="1" applyFont="1" applyAlignment="1">
      <alignment horizontal="center" vertical="center" wrapText="1"/>
    </xf>
    <xf numFmtId="0" fontId="0" fillId="0" borderId="0" xfId="0" applyAlignment="1">
      <alignment horizontal="left" wrapText="1"/>
    </xf>
    <xf numFmtId="49" fontId="22" fillId="0" borderId="0" xfId="3" applyNumberFormat="1" applyFont="1" applyAlignment="1">
      <alignment horizontal="left" vertical="center" wrapText="1"/>
    </xf>
    <xf numFmtId="0" fontId="22" fillId="0" borderId="0" xfId="4" quotePrefix="1" applyFont="1" applyAlignment="1">
      <alignment horizontal="center" vertical="center" wrapText="1"/>
    </xf>
    <xf numFmtId="49" fontId="22" fillId="0" borderId="0" xfId="4" quotePrefix="1" applyNumberFormat="1" applyFont="1" applyAlignment="1">
      <alignment horizontal="center" vertical="center" wrapText="1"/>
    </xf>
    <xf numFmtId="0" fontId="23" fillId="15" borderId="1" xfId="0" applyFont="1" applyFill="1" applyBorder="1" applyAlignment="1">
      <alignment horizontal="center" vertical="center" wrapText="1"/>
    </xf>
    <xf numFmtId="38" fontId="23" fillId="15" borderId="1" xfId="0" applyNumberFormat="1" applyFont="1" applyFill="1" applyBorder="1" applyAlignment="1">
      <alignment horizontal="center" vertical="center" wrapText="1"/>
    </xf>
    <xf numFmtId="0" fontId="23" fillId="16" borderId="1" xfId="0" applyFont="1" applyFill="1" applyBorder="1" applyAlignment="1">
      <alignment horizontal="center" vertical="center"/>
    </xf>
    <xf numFmtId="38" fontId="23" fillId="16" borderId="1" xfId="0" applyNumberFormat="1" applyFont="1" applyFill="1" applyBorder="1" applyAlignment="1">
      <alignment horizontal="center" vertical="center" wrapText="1"/>
    </xf>
    <xf numFmtId="0" fontId="25" fillId="10" borderId="1" xfId="0" applyFont="1" applyFill="1" applyBorder="1" applyAlignment="1">
      <alignment horizontal="center" vertical="center"/>
    </xf>
    <xf numFmtId="3" fontId="25" fillId="10" borderId="1" xfId="0" applyNumberFormat="1" applyFont="1" applyFill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2" fillId="0" borderId="0" xfId="3" applyFont="1" applyAlignment="1">
      <alignment horizontal="right" vertical="center"/>
    </xf>
    <xf numFmtId="0" fontId="2" fillId="0" borderId="0" xfId="3" applyFont="1" applyAlignment="1">
      <alignment horizontal="left" vertical="center"/>
    </xf>
    <xf numFmtId="14" fontId="32" fillId="0" borderId="0" xfId="3" applyNumberFormat="1" applyFont="1" applyAlignment="1">
      <alignment horizontal="right" vertical="center"/>
    </xf>
    <xf numFmtId="168" fontId="2" fillId="0" borderId="0" xfId="3" applyNumberFormat="1" applyFont="1" applyAlignment="1">
      <alignment horizontal="left" vertical="center"/>
    </xf>
    <xf numFmtId="0" fontId="2" fillId="0" borderId="0" xfId="3" applyFont="1" applyAlignment="1">
      <alignment horizontal="center" vertical="center"/>
    </xf>
    <xf numFmtId="0" fontId="2" fillId="0" borderId="0" xfId="3" applyFont="1" applyAlignment="1">
      <alignment horizontal="right" vertical="center"/>
    </xf>
    <xf numFmtId="0" fontId="2" fillId="0" borderId="20" xfId="3" applyFont="1" applyBorder="1" applyAlignment="1">
      <alignment horizontal="center" vertical="center"/>
    </xf>
    <xf numFmtId="0" fontId="34" fillId="0" borderId="0" xfId="3" applyFont="1" applyAlignment="1">
      <alignment horizontal="right" vertical="center"/>
    </xf>
    <xf numFmtId="0" fontId="36" fillId="0" borderId="22" xfId="3" applyFont="1" applyBorder="1" applyAlignment="1">
      <alignment horizontal="center" vertical="center" wrapText="1"/>
    </xf>
    <xf numFmtId="0" fontId="34" fillId="0" borderId="0" xfId="3" applyFont="1" applyAlignment="1">
      <alignment horizontal="right" vertical="center" wrapText="1"/>
    </xf>
    <xf numFmtId="0" fontId="35" fillId="0" borderId="23" xfId="3" applyFont="1" applyBorder="1" applyAlignment="1">
      <alignment horizontal="center" vertical="center" wrapText="1"/>
    </xf>
    <xf numFmtId="0" fontId="35" fillId="0" borderId="21" xfId="3" applyFont="1" applyBorder="1" applyAlignment="1">
      <alignment horizontal="left" vertical="center" wrapText="1"/>
    </xf>
    <xf numFmtId="0" fontId="35" fillId="0" borderId="22" xfId="3" applyFont="1" applyBorder="1" applyAlignment="1">
      <alignment horizontal="center" vertical="center" wrapText="1"/>
    </xf>
    <xf numFmtId="0" fontId="37" fillId="0" borderId="0" xfId="3" applyFont="1" applyAlignment="1">
      <alignment horizontal="right" vertical="center"/>
    </xf>
    <xf numFmtId="0" fontId="0" fillId="0" borderId="1" xfId="0" applyBorder="1" applyAlignment="1">
      <alignment vertical="center"/>
    </xf>
    <xf numFmtId="0" fontId="0" fillId="17" borderId="27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0" borderId="26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38" fontId="42" fillId="0" borderId="35" xfId="0" applyNumberFormat="1" applyFont="1" applyBorder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39" fillId="0" borderId="0" xfId="0" applyFont="1" applyAlignment="1">
      <alignment horizontal="right" vertical="center"/>
    </xf>
    <xf numFmtId="38" fontId="0" fillId="0" borderId="6" xfId="0" applyNumberFormat="1" applyBorder="1"/>
    <xf numFmtId="0" fontId="0" fillId="17" borderId="43" xfId="0" applyFill="1" applyBorder="1" applyAlignment="1">
      <alignment horizontal="center" vertical="center"/>
    </xf>
    <xf numFmtId="0" fontId="0" fillId="17" borderId="44" xfId="0" applyFill="1" applyBorder="1" applyAlignment="1">
      <alignment horizontal="center" vertical="center"/>
    </xf>
    <xf numFmtId="0" fontId="0" fillId="17" borderId="45" xfId="0" applyFill="1" applyBorder="1" applyAlignment="1">
      <alignment horizontal="center" vertical="center"/>
    </xf>
    <xf numFmtId="38" fontId="23" fillId="19" borderId="1" xfId="0" applyNumberFormat="1" applyFont="1" applyFill="1" applyBorder="1" applyAlignment="1">
      <alignment horizontal="center" vertical="center" wrapText="1"/>
    </xf>
    <xf numFmtId="171" fontId="23" fillId="19" borderId="1" xfId="0" applyNumberFormat="1" applyFont="1" applyFill="1" applyBorder="1" applyAlignment="1">
      <alignment horizontal="center" vertical="center" wrapText="1"/>
    </xf>
    <xf numFmtId="38" fontId="0" fillId="0" borderId="0" xfId="0" applyNumberFormat="1" applyAlignment="1">
      <alignment vertical="center"/>
    </xf>
    <xf numFmtId="171" fontId="0" fillId="0" borderId="0" xfId="0" applyNumberFormat="1" applyAlignment="1">
      <alignment vertical="center"/>
    </xf>
    <xf numFmtId="171" fontId="0" fillId="0" borderId="0" xfId="0" applyNumberFormat="1" applyAlignment="1">
      <alignment horizontal="left" vertical="center"/>
    </xf>
    <xf numFmtId="0" fontId="0" fillId="0" borderId="49" xfId="0" applyBorder="1" applyAlignment="1">
      <alignment horizontal="center" vertical="center" shrinkToFit="1"/>
    </xf>
    <xf numFmtId="38" fontId="42" fillId="0" borderId="32" xfId="0" applyNumberFormat="1" applyFont="1" applyBorder="1" applyAlignment="1">
      <alignment vertical="center"/>
    </xf>
    <xf numFmtId="0" fontId="0" fillId="0" borderId="51" xfId="0" applyBorder="1" applyAlignment="1">
      <alignment horizontal="center" vertical="center" shrinkToFit="1"/>
    </xf>
    <xf numFmtId="171" fontId="0" fillId="0" borderId="34" xfId="0" applyNumberFormat="1" applyBorder="1" applyAlignment="1">
      <alignment horizontal="center" vertical="center" shrinkToFit="1"/>
    </xf>
    <xf numFmtId="38" fontId="0" fillId="0" borderId="35" xfId="0" applyNumberFormat="1" applyBorder="1" applyAlignment="1">
      <alignment horizontal="center" vertical="center" shrinkToFit="1"/>
    </xf>
    <xf numFmtId="171" fontId="0" fillId="0" borderId="52" xfId="0" applyNumberFormat="1" applyBorder="1" applyAlignment="1">
      <alignment horizontal="center" vertical="center" shrinkToFit="1"/>
    </xf>
    <xf numFmtId="38" fontId="0" fillId="0" borderId="53" xfId="0" applyNumberFormat="1" applyBorder="1" applyAlignment="1">
      <alignment horizontal="center" vertical="center" shrinkToFit="1"/>
    </xf>
    <xf numFmtId="171" fontId="0" fillId="0" borderId="38" xfId="0" applyNumberFormat="1" applyBorder="1" applyAlignment="1">
      <alignment horizontal="center" vertical="center" shrinkToFit="1"/>
    </xf>
    <xf numFmtId="38" fontId="0" fillId="0" borderId="39" xfId="0" applyNumberFormat="1" applyBorder="1" applyAlignment="1">
      <alignment horizontal="center" vertical="center" shrinkToFit="1"/>
    </xf>
    <xf numFmtId="38" fontId="0" fillId="0" borderId="54" xfId="0" applyNumberFormat="1" applyBorder="1" applyAlignment="1">
      <alignment horizontal="center" vertical="center" shrinkToFit="1"/>
    </xf>
    <xf numFmtId="171" fontId="0" fillId="0" borderId="55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38" fontId="0" fillId="0" borderId="0" xfId="0" applyNumberFormat="1" applyAlignment="1">
      <alignment horizontal="left" vertical="center" shrinkToFit="1"/>
    </xf>
    <xf numFmtId="38" fontId="46" fillId="0" borderId="0" xfId="0" applyNumberFormat="1" applyFont="1"/>
    <xf numFmtId="38" fontId="45" fillId="0" borderId="0" xfId="0" applyNumberFormat="1" applyFont="1"/>
    <xf numFmtId="164" fontId="25" fillId="0" borderId="0" xfId="0" applyNumberFormat="1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171" fontId="0" fillId="0" borderId="1" xfId="0" applyNumberFormat="1" applyBorder="1" applyAlignment="1">
      <alignment horizontal="left" vertical="center"/>
    </xf>
    <xf numFmtId="38" fontId="14" fillId="0" borderId="0" xfId="0" applyNumberFormat="1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0" fontId="49" fillId="0" borderId="0" xfId="3" applyFont="1" applyAlignment="1">
      <alignment horizontal="left" vertical="center"/>
    </xf>
    <xf numFmtId="0" fontId="48" fillId="0" borderId="0" xfId="3" applyFont="1" applyAlignment="1">
      <alignment horizontal="left" vertical="center"/>
    </xf>
    <xf numFmtId="0" fontId="2" fillId="0" borderId="0" xfId="3" applyFont="1" applyAlignment="1">
      <alignment horizontal="right"/>
    </xf>
    <xf numFmtId="0" fontId="2" fillId="0" borderId="0" xfId="3" applyFont="1" applyAlignment="1">
      <alignment horizontal="center"/>
    </xf>
    <xf numFmtId="0" fontId="2" fillId="0" borderId="0" xfId="3" applyFont="1" applyAlignment="1">
      <alignment horizontal="left"/>
    </xf>
    <xf numFmtId="168" fontId="2" fillId="0" borderId="0" xfId="3" applyNumberFormat="1" applyFont="1" applyAlignment="1">
      <alignment horizontal="center" vertical="center"/>
    </xf>
    <xf numFmtId="0" fontId="35" fillId="0" borderId="0" xfId="3" applyFont="1" applyAlignment="1">
      <alignment horizontal="center" vertical="center" wrapText="1"/>
    </xf>
    <xf numFmtId="0" fontId="36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 wrapText="1"/>
    </xf>
    <xf numFmtId="3" fontId="35" fillId="0" borderId="0" xfId="3" applyNumberFormat="1" applyFont="1" applyAlignment="1">
      <alignment horizontal="center" vertical="center"/>
    </xf>
    <xf numFmtId="0" fontId="35" fillId="0" borderId="59" xfId="3" applyFont="1" applyBorder="1" applyAlignment="1">
      <alignment horizontal="center" vertical="center" wrapText="1"/>
    </xf>
    <xf numFmtId="0" fontId="35" fillId="0" borderId="22" xfId="3" applyFont="1" applyBorder="1" applyAlignment="1">
      <alignment horizontal="left" vertical="center" wrapText="1"/>
    </xf>
    <xf numFmtId="3" fontId="35" fillId="0" borderId="58" xfId="3" applyNumberFormat="1" applyFont="1" applyBorder="1" applyAlignment="1">
      <alignment horizontal="center" vertical="center"/>
    </xf>
    <xf numFmtId="0" fontId="28" fillId="0" borderId="24" xfId="3" applyFont="1" applyBorder="1" applyAlignment="1">
      <alignment horizontal="center" vertical="center"/>
    </xf>
    <xf numFmtId="0" fontId="50" fillId="0" borderId="0" xfId="3" applyFont="1" applyAlignment="1">
      <alignment horizontal="center" vertical="center"/>
    </xf>
    <xf numFmtId="0" fontId="32" fillId="0" borderId="22" xfId="3" applyFont="1" applyBorder="1" applyAlignment="1">
      <alignment horizontal="right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 wrapText="1"/>
    </xf>
    <xf numFmtId="0" fontId="51" fillId="0" borderId="24" xfId="3" applyFont="1" applyBorder="1" applyAlignment="1">
      <alignment horizontal="center" vertical="center"/>
    </xf>
    <xf numFmtId="168" fontId="2" fillId="0" borderId="22" xfId="3" applyNumberFormat="1" applyFont="1" applyBorder="1" applyAlignment="1">
      <alignment horizontal="center" vertical="center"/>
    </xf>
    <xf numFmtId="0" fontId="50" fillId="20" borderId="60" xfId="3" applyFont="1" applyFill="1" applyBorder="1" applyAlignment="1">
      <alignment horizontal="center" vertical="center"/>
    </xf>
    <xf numFmtId="0" fontId="51" fillId="0" borderId="60" xfId="3" applyFont="1" applyBorder="1" applyAlignment="1">
      <alignment horizontal="right" vertical="center"/>
    </xf>
    <xf numFmtId="0" fontId="32" fillId="0" borderId="20" xfId="3" applyFont="1" applyBorder="1" applyAlignment="1">
      <alignment horizontal="right"/>
    </xf>
    <xf numFmtId="3" fontId="32" fillId="0" borderId="0" xfId="3" applyNumberFormat="1" applyFont="1" applyAlignment="1">
      <alignment horizontal="left" vertical="center"/>
    </xf>
    <xf numFmtId="0" fontId="32" fillId="0" borderId="0" xfId="3" applyFont="1" applyAlignment="1">
      <alignment horizontal="center"/>
    </xf>
    <xf numFmtId="14" fontId="28" fillId="0" borderId="0" xfId="3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54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38" fontId="0" fillId="17" borderId="1" xfId="0" applyNumberFormat="1" applyFill="1" applyBorder="1" applyAlignment="1">
      <alignment horizontal="center" vertical="center" wrapText="1"/>
    </xf>
    <xf numFmtId="164" fontId="0" fillId="17" borderId="1" xfId="0" applyNumberForma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 wrapText="1"/>
    </xf>
    <xf numFmtId="164" fontId="39" fillId="17" borderId="1" xfId="0" applyNumberFormat="1" applyFont="1" applyFill="1" applyBorder="1" applyAlignment="1">
      <alignment horizontal="center" vertical="center" wrapText="1"/>
    </xf>
    <xf numFmtId="0" fontId="38" fillId="20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wrapText="1"/>
    </xf>
    <xf numFmtId="0" fontId="3" fillId="0" borderId="0" xfId="0" applyFont="1" applyAlignment="1">
      <alignment horizontal="left" vertical="top" wrapText="1"/>
    </xf>
    <xf numFmtId="0" fontId="56" fillId="0" borderId="0" xfId="0" applyFont="1" applyAlignment="1">
      <alignment horizontal="left" vertical="center" wrapText="1"/>
    </xf>
    <xf numFmtId="171" fontId="56" fillId="0" borderId="0" xfId="0" applyNumberFormat="1" applyFont="1" applyAlignment="1">
      <alignment horizontal="left" vertical="top" wrapText="1"/>
    </xf>
    <xf numFmtId="38" fontId="56" fillId="0" borderId="0" xfId="0" applyNumberFormat="1" applyFont="1" applyAlignment="1">
      <alignment horizontal="left" vertical="center" wrapText="1"/>
    </xf>
    <xf numFmtId="164" fontId="56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57" fillId="0" borderId="1" xfId="0" applyFont="1" applyBorder="1" applyAlignment="1">
      <alignment horizontal="center" vertical="center"/>
    </xf>
    <xf numFmtId="0" fontId="38" fillId="20" borderId="1" xfId="0" applyFon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38" fontId="0" fillId="13" borderId="1" xfId="0" applyNumberFormat="1" applyFill="1" applyBorder="1" applyAlignment="1">
      <alignment horizontal="center"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17" borderId="1" xfId="0" applyFill="1" applyBorder="1" applyAlignment="1">
      <alignment horizontal="center" vertical="center" shrinkToFit="1"/>
    </xf>
    <xf numFmtId="164" fontId="0" fillId="17" borderId="1" xfId="0" applyNumberFormat="1" applyFill="1" applyBorder="1" applyAlignment="1">
      <alignment horizontal="center" vertical="center" wrapText="1"/>
    </xf>
    <xf numFmtId="40" fontId="0" fillId="13" borderId="1" xfId="0" applyNumberFormat="1" applyFill="1" applyBorder="1" applyAlignment="1">
      <alignment horizontal="center" vertical="center" wrapText="1"/>
    </xf>
    <xf numFmtId="40" fontId="0" fillId="0" borderId="0" xfId="0" applyNumberFormat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172" fontId="0" fillId="17" borderId="1" xfId="0" applyNumberFormat="1" applyFill="1" applyBorder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 wrapText="1"/>
    </xf>
    <xf numFmtId="38" fontId="0" fillId="0" borderId="0" xfId="0" applyNumberFormat="1" applyAlignment="1">
      <alignment horizontal="right" vertical="center" wrapText="1"/>
    </xf>
    <xf numFmtId="38" fontId="0" fillId="0" borderId="0" xfId="0" applyNumberFormat="1" applyAlignment="1">
      <alignment horizontal="right" vertical="top" wrapText="1"/>
    </xf>
    <xf numFmtId="38" fontId="0" fillId="0" borderId="0" xfId="0" applyNumberFormat="1" applyAlignment="1">
      <alignment horizontal="right" vertical="center"/>
    </xf>
    <xf numFmtId="38" fontId="38" fillId="20" borderId="1" xfId="0" applyNumberFormat="1" applyFont="1" applyFill="1" applyBorder="1" applyAlignment="1">
      <alignment horizontal="center" vertical="center" wrapText="1"/>
    </xf>
    <xf numFmtId="43" fontId="0" fillId="0" borderId="0" xfId="0" applyNumberFormat="1"/>
    <xf numFmtId="0" fontId="60" fillId="0" borderId="0" xfId="0" applyFont="1"/>
    <xf numFmtId="0" fontId="61" fillId="20" borderId="1" xfId="0" applyFont="1" applyFill="1" applyBorder="1" applyAlignment="1">
      <alignment horizontal="center" vertical="center"/>
    </xf>
    <xf numFmtId="171" fontId="62" fillId="20" borderId="1" xfId="0" applyNumberFormat="1" applyFont="1" applyFill="1" applyBorder="1" applyAlignment="1">
      <alignment horizontal="left" vertical="center"/>
    </xf>
    <xf numFmtId="0" fontId="62" fillId="20" borderId="1" xfId="0" applyFont="1" applyFill="1" applyBorder="1" applyAlignment="1">
      <alignment horizontal="right" vertical="center"/>
    </xf>
    <xf numFmtId="0" fontId="62" fillId="20" borderId="1" xfId="0" quotePrefix="1" applyFont="1" applyFill="1" applyBorder="1" applyAlignment="1">
      <alignment horizontal="right" vertical="center"/>
    </xf>
    <xf numFmtId="3" fontId="0" fillId="17" borderId="1" xfId="0" applyNumberFormat="1" applyFill="1" applyBorder="1" applyAlignment="1">
      <alignment horizontal="center" vertical="center" wrapText="1"/>
    </xf>
    <xf numFmtId="0" fontId="59" fillId="17" borderId="1" xfId="0" applyFont="1" applyFill="1" applyBorder="1" applyAlignment="1">
      <alignment horizontal="center" vertical="center" shrinkToFit="1"/>
    </xf>
    <xf numFmtId="0" fontId="24" fillId="0" borderId="1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shrinkToFit="1"/>
    </xf>
    <xf numFmtId="0" fontId="63" fillId="0" borderId="0" xfId="0" applyFont="1" applyAlignment="1">
      <alignment horizontal="center" vertical="center" shrinkToFit="1"/>
    </xf>
    <xf numFmtId="3" fontId="0" fillId="0" borderId="0" xfId="0" applyNumberFormat="1" applyAlignment="1">
      <alignment horizontal="center" vertical="center" wrapText="1"/>
    </xf>
    <xf numFmtId="0" fontId="4" fillId="12" borderId="0" xfId="0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 shrinkToFit="1"/>
    </xf>
    <xf numFmtId="0" fontId="0" fillId="21" borderId="0" xfId="0" applyFill="1" applyAlignment="1">
      <alignment shrinkToFit="1"/>
    </xf>
    <xf numFmtId="0" fontId="0" fillId="3" borderId="1" xfId="0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0" fontId="0" fillId="22" borderId="0" xfId="0" applyFill="1" applyAlignment="1">
      <alignment vertical="center"/>
    </xf>
    <xf numFmtId="0" fontId="58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38" fontId="27" fillId="18" borderId="6" xfId="0" applyNumberFormat="1" applyFont="1" applyFill="1" applyBorder="1" applyAlignment="1">
      <alignment horizontal="center"/>
    </xf>
    <xf numFmtId="38" fontId="18" fillId="0" borderId="0" xfId="0" applyNumberFormat="1" applyFont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164" fontId="39" fillId="0" borderId="0" xfId="0" applyNumberFormat="1" applyFont="1" applyAlignment="1">
      <alignment horizontal="center" vertical="center" wrapText="1"/>
    </xf>
    <xf numFmtId="164" fontId="39" fillId="0" borderId="19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top"/>
    </xf>
    <xf numFmtId="0" fontId="0" fillId="17" borderId="41" xfId="0" applyFill="1" applyBorder="1" applyAlignment="1">
      <alignment horizontal="center" vertical="center" wrapText="1"/>
    </xf>
    <xf numFmtId="0" fontId="0" fillId="17" borderId="42" xfId="0" applyFill="1" applyBorder="1" applyAlignment="1">
      <alignment horizontal="center" vertical="center"/>
    </xf>
    <xf numFmtId="0" fontId="39" fillId="18" borderId="30" xfId="0" applyFont="1" applyFill="1" applyBorder="1" applyAlignment="1">
      <alignment horizontal="center" vertical="center"/>
    </xf>
    <xf numFmtId="0" fontId="39" fillId="18" borderId="31" xfId="0" applyFont="1" applyFill="1" applyBorder="1" applyAlignment="1">
      <alignment horizontal="center" vertical="center"/>
    </xf>
    <xf numFmtId="0" fontId="39" fillId="18" borderId="32" xfId="0" applyFont="1" applyFill="1" applyBorder="1" applyAlignment="1">
      <alignment horizontal="center" vertical="center"/>
    </xf>
    <xf numFmtId="170" fontId="0" fillId="0" borderId="56" xfId="0" applyNumberFormat="1" applyBorder="1" applyAlignment="1">
      <alignment vertical="center"/>
    </xf>
    <xf numFmtId="170" fontId="0" fillId="0" borderId="57" xfId="0" applyNumberFormat="1" applyBorder="1" applyAlignment="1">
      <alignment vertical="center"/>
    </xf>
    <xf numFmtId="0" fontId="41" fillId="0" borderId="3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38" fontId="39" fillId="0" borderId="3" xfId="0" applyNumberFormat="1" applyFont="1" applyBorder="1" applyAlignment="1">
      <alignment horizontal="center" vertical="center"/>
    </xf>
    <xf numFmtId="38" fontId="39" fillId="0" borderId="2" xfId="0" applyNumberFormat="1" applyFont="1" applyBorder="1" applyAlignment="1">
      <alignment horizontal="center" vertical="center"/>
    </xf>
    <xf numFmtId="170" fontId="0" fillId="0" borderId="1" xfId="0" applyNumberFormat="1" applyBorder="1" applyAlignment="1">
      <alignment vertical="center"/>
    </xf>
    <xf numFmtId="170" fontId="0" fillId="0" borderId="3" xfId="0" applyNumberFormat="1" applyBorder="1" applyAlignment="1">
      <alignment vertical="center"/>
    </xf>
    <xf numFmtId="170" fontId="0" fillId="0" borderId="2" xfId="0" applyNumberFormat="1" applyBorder="1" applyAlignment="1">
      <alignment vertical="center"/>
    </xf>
    <xf numFmtId="0" fontId="43" fillId="18" borderId="46" xfId="0" applyFont="1" applyFill="1" applyBorder="1" applyAlignment="1">
      <alignment horizontal="center" vertical="center"/>
    </xf>
    <xf numFmtId="0" fontId="43" fillId="18" borderId="47" xfId="0" applyFont="1" applyFill="1" applyBorder="1" applyAlignment="1">
      <alignment horizontal="center" vertical="center"/>
    </xf>
    <xf numFmtId="0" fontId="43" fillId="18" borderId="48" xfId="0" applyFont="1" applyFill="1" applyBorder="1" applyAlignment="1">
      <alignment horizontal="center" vertical="center"/>
    </xf>
    <xf numFmtId="0" fontId="38" fillId="0" borderId="50" xfId="0" applyFont="1" applyBorder="1" applyAlignment="1">
      <alignment horizontal="right" vertical="center"/>
    </xf>
    <xf numFmtId="0" fontId="38" fillId="0" borderId="5" xfId="0" applyFont="1" applyBorder="1" applyAlignment="1">
      <alignment horizontal="right" vertical="center"/>
    </xf>
    <xf numFmtId="0" fontId="38" fillId="0" borderId="17" xfId="0" applyFont="1" applyBorder="1" applyAlignment="1">
      <alignment horizontal="right" vertical="center"/>
    </xf>
    <xf numFmtId="0" fontId="0" fillId="0" borderId="36" xfId="0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0" borderId="38" xfId="0" applyBorder="1" applyAlignment="1">
      <alignment horizontal="right" vertical="center"/>
    </xf>
    <xf numFmtId="0" fontId="0" fillId="0" borderId="25" xfId="0" applyBorder="1" applyAlignment="1">
      <alignment horizontal="right" vertical="center"/>
    </xf>
    <xf numFmtId="170" fontId="0" fillId="0" borderId="25" xfId="0" applyNumberFormat="1" applyBorder="1" applyAlignment="1">
      <alignment horizontal="left" vertical="center"/>
    </xf>
    <xf numFmtId="170" fontId="0" fillId="0" borderId="39" xfId="0" applyNumberFormat="1" applyBorder="1" applyAlignment="1">
      <alignment horizontal="left" vertical="center"/>
    </xf>
    <xf numFmtId="0" fontId="38" fillId="0" borderId="40" xfId="0" applyFont="1" applyBorder="1" applyAlignment="1">
      <alignment horizontal="right" vertical="center"/>
    </xf>
    <xf numFmtId="0" fontId="38" fillId="0" borderId="28" xfId="0" applyFont="1" applyBorder="1" applyAlignment="1">
      <alignment horizontal="right" vertical="center"/>
    </xf>
    <xf numFmtId="0" fontId="38" fillId="0" borderId="29" xfId="0" applyFont="1" applyBorder="1" applyAlignment="1">
      <alignment horizontal="right" vertical="center"/>
    </xf>
    <xf numFmtId="0" fontId="52" fillId="0" borderId="9" xfId="3" applyFont="1" applyBorder="1" applyAlignment="1">
      <alignment horizontal="center" vertical="center"/>
    </xf>
    <xf numFmtId="0" fontId="52" fillId="0" borderId="10" xfId="3" applyFont="1" applyBorder="1" applyAlignment="1">
      <alignment horizontal="center" vertical="center"/>
    </xf>
    <xf numFmtId="0" fontId="52" fillId="0" borderId="11" xfId="3" applyFont="1" applyBorder="1" applyAlignment="1">
      <alignment horizontal="center" vertical="center"/>
    </xf>
    <xf numFmtId="0" fontId="52" fillId="0" borderId="14" xfId="3" applyFont="1" applyBorder="1" applyAlignment="1">
      <alignment horizontal="center" vertical="center"/>
    </xf>
    <xf numFmtId="0" fontId="52" fillId="0" borderId="15" xfId="3" applyFont="1" applyBorder="1" applyAlignment="1">
      <alignment horizontal="center" vertical="center"/>
    </xf>
    <xf numFmtId="0" fontId="52" fillId="0" borderId="16" xfId="3" applyFont="1" applyBorder="1" applyAlignment="1">
      <alignment horizontal="center" vertical="center"/>
    </xf>
    <xf numFmtId="0" fontId="32" fillId="0" borderId="21" xfId="3" applyFont="1" applyBorder="1" applyAlignment="1">
      <alignment horizontal="right" vertical="center"/>
    </xf>
    <xf numFmtId="0" fontId="32" fillId="0" borderId="22" xfId="3" applyFont="1" applyBorder="1" applyAlignment="1">
      <alignment horizontal="right" vertical="center"/>
    </xf>
    <xf numFmtId="0" fontId="29" fillId="0" borderId="0" xfId="3" applyFont="1" applyAlignment="1">
      <alignment horizontal="center" vertical="center"/>
    </xf>
    <xf numFmtId="0" fontId="30" fillId="0" borderId="5" xfId="3" quotePrefix="1" applyFont="1" applyBorder="1" applyAlignment="1">
      <alignment horizontal="center" vertical="center"/>
    </xf>
    <xf numFmtId="0" fontId="30" fillId="0" borderId="5" xfId="3" applyFont="1" applyBorder="1" applyAlignment="1">
      <alignment horizontal="center" vertical="center"/>
    </xf>
    <xf numFmtId="0" fontId="32" fillId="0" borderId="0" xfId="3" applyFont="1" applyAlignment="1">
      <alignment horizontal="left" vertical="center"/>
    </xf>
    <xf numFmtId="169" fontId="33" fillId="0" borderId="20" xfId="3" applyNumberFormat="1" applyFont="1" applyBorder="1" applyAlignment="1">
      <alignment horizontal="left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55" fillId="0" borderId="5" xfId="0" applyFont="1" applyBorder="1" applyAlignment="1">
      <alignment horizontal="center" vertical="center"/>
    </xf>
    <xf numFmtId="0" fontId="0" fillId="17" borderId="1" xfId="0" applyNumberFormat="1" applyFill="1" applyBorder="1" applyAlignment="1">
      <alignment horizontal="center" vertical="center" wrapText="1"/>
    </xf>
    <xf numFmtId="0" fontId="0" fillId="0" borderId="0" xfId="0" applyNumberFormat="1" applyAlignment="1">
      <alignment vertical="center"/>
    </xf>
    <xf numFmtId="0" fontId="0" fillId="0" borderId="61" xfId="0" applyNumberFormat="1" applyFill="1" applyBorder="1"/>
    <xf numFmtId="172" fontId="0" fillId="0" borderId="0" xfId="0" applyNumberFormat="1"/>
    <xf numFmtId="0" fontId="0" fillId="0" borderId="0" xfId="0" applyFill="1" applyAlignment="1">
      <alignment vertical="center" shrinkToFit="1"/>
    </xf>
    <xf numFmtId="0" fontId="0" fillId="0" borderId="1" xfId="0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</cellXfs>
  <cellStyles count="5">
    <cellStyle name="Normal" xfId="0" builtinId="0"/>
    <cellStyle name="Normal 2" xfId="4" xr:uid="{80E46CB3-8EEC-4942-ACCF-49F855FF831B}"/>
    <cellStyle name="Normal 2 2" xfId="3" xr:uid="{FA57F92C-0FA2-4CDC-AD76-2EB7ED4E1481}"/>
    <cellStyle name="Normal 3" xfId="1" xr:uid="{972F80EF-001E-484C-819B-221A645D2A8F}"/>
    <cellStyle name="Normal 7" xfId="2" xr:uid="{8FE9EC1C-815B-403D-B962-83B97FBE67EB}"/>
  </cellStyles>
  <dxfs count="1094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bottom style="dashDotDot">
          <color auto="1"/>
        </bottom>
        <vertical/>
        <horizontal/>
      </border>
    </dxf>
    <dxf>
      <font>
        <color theme="8" tint="-0.499984740745262"/>
      </font>
      <fill>
        <patternFill>
          <bgColor theme="6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bottom style="thin">
          <color auto="1"/>
        </bottom>
        <vertical/>
        <horizontal/>
      </border>
    </dxf>
    <dxf>
      <font>
        <color theme="8" tint="-0.499984740745262"/>
      </font>
      <fill>
        <patternFill>
          <bgColor theme="6" tint="0.39994506668294322"/>
        </patternFill>
      </fill>
    </dxf>
    <dxf>
      <font>
        <b val="0"/>
        <i/>
        <color theme="0" tint="-0.24994659260841701"/>
      </font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bottom style="dotted">
          <color auto="1"/>
        </bottom>
      </border>
    </dxf>
    <dxf>
      <border>
        <bottom style="thin">
          <color auto="1"/>
        </bottom>
      </border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rgb="FFC00000"/>
      </font>
      <fill>
        <patternFill>
          <fgColor indexed="64"/>
          <bgColor theme="5" tint="0.79995117038483843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fill>
        <patternFill>
          <bgColor theme="8" tint="0.3999450666829432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font>
        <color theme="8" tint="-0.499984740745262"/>
      </font>
      <fill>
        <patternFill>
          <bgColor theme="6" tint="0.39994506668294322"/>
        </patternFill>
      </fill>
    </dxf>
    <dxf>
      <border>
        <bottom style="thin">
          <color auto="1"/>
        </bottom>
        <vertical/>
        <horizontal/>
      </border>
    </dxf>
    <dxf>
      <font>
        <b val="0"/>
        <i/>
        <color theme="0" tint="-0.24994659260841701"/>
      </font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font>
        <color theme="6" tint="-0.499984740745262"/>
      </font>
      <fill>
        <patternFill>
          <fgColor indexed="64"/>
          <bgColor theme="6" tint="0.79995117038483843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border>
        <bottom style="hair">
          <color auto="1"/>
        </bottom>
      </border>
    </dxf>
    <dxf>
      <border>
        <bottom style="thin">
          <color auto="1"/>
        </bottom>
      </border>
    </dxf>
    <dxf>
      <font>
        <color theme="7" tint="-0.499984740745262"/>
      </font>
      <fill>
        <patternFill>
          <fgColor indexed="64"/>
          <bgColor theme="7" tint="0.59996337778862885"/>
        </patternFill>
      </fill>
    </dxf>
    <dxf>
      <border>
        <bottom style="hair">
          <color auto="1"/>
        </bottom>
      </border>
    </dxf>
    <dxf>
      <font>
        <strike/>
      </font>
    </dxf>
    <dxf>
      <font>
        <color theme="0" tint="-0.499984740745262"/>
      </font>
      <fill>
        <patternFill>
          <fgColor indexed="64"/>
          <bgColor theme="0" tint="-0.149937437055574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7" formatCode="[$-409]h:mm\ AM/PM;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alignment horizontal="center" vertical="center" textRotation="0" wrapText="1" indent="0" justifyLastLine="0" shrinkToFit="0" readingOrder="0"/>
    </dxf>
    <dxf>
      <alignment textRotation="0" wrapText="0" justifyLastLine="0" shrinkToFit="1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/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color rgb="FFC00000"/>
      </font>
      <fill>
        <patternFill>
          <bgColor theme="5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34998626667073579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dotted">
          <color theme="0" tint="-0.34998626667073579"/>
        </left>
        <right style="dotted">
          <color theme="0" tint="-0.34998626667073579"/>
        </right>
        <top style="dotted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/>
        <color theme="0" tint="-0.24994659260841701"/>
      </font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border>
        <bottom style="thin">
          <color auto="1"/>
        </bottom>
        <vertical/>
        <horizontal/>
      </border>
    </dxf>
    <dxf>
      <fill>
        <patternFill>
          <bgColor theme="0" tint="-0.14996795556505021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C00000"/>
        </patternFill>
      </fill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AA8F"/>
        </patternFill>
      </fill>
    </dxf>
    <dxf>
      <fill>
        <patternFill>
          <bgColor rgb="FFFF8F8F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FF8181"/>
        </patternFill>
      </fill>
    </dxf>
    <dxf>
      <font>
        <color rgb="FFC00000"/>
      </font>
      <fill>
        <patternFill>
          <bgColor theme="6" tint="0.39994506668294322"/>
        </patternFill>
      </fill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rgb="FF9A0000"/>
      </font>
      <fill>
        <patternFill>
          <bgColor theme="9" tint="0.39994506668294322"/>
        </patternFill>
      </fill>
    </dxf>
    <dxf>
      <font>
        <color theme="5" tint="-0.499984740745262"/>
      </font>
    </dxf>
    <dxf>
      <font>
        <b/>
        <i val="0"/>
        <color rgb="FF420000"/>
      </font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49ACC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C00000"/>
      </font>
      <fill>
        <patternFill>
          <bgColor rgb="FF3DBEC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hair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b/>
        <i val="0"/>
        <color rgb="FF420000"/>
      </font>
      <fill>
        <patternFill>
          <bgColor theme="8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theme="1" tint="0.499984740745262"/>
        </patternFill>
      </fill>
    </dxf>
    <dxf>
      <font>
        <b/>
        <i val="0"/>
        <color rgb="FFC00000"/>
      </font>
      <fill>
        <patternFill>
          <bgColor rgb="FF3FA8C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right style="thin">
          <color auto="1"/>
        </right>
        <vertical/>
        <horizontal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font>
        <color auto="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6" tint="-0.499984740745262"/>
      </font>
      <fill>
        <patternFill>
          <bgColor theme="6" tint="0.59996337778862885"/>
        </patternFill>
      </fill>
    </dxf>
    <dxf>
      <border>
        <left style="dotted">
          <color auto="1"/>
        </left>
        <vertical/>
        <horizontal/>
      </border>
    </dxf>
    <dxf>
      <fill>
        <patternFill>
          <bgColor theme="5" tint="0.59996337778862885"/>
        </patternFill>
      </fill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rgb="FFC00000"/>
      </font>
      <fill>
        <patternFill>
          <bgColor rgb="FFFFB3B3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b val="0"/>
        <i/>
        <color theme="9" tint="-0.499984740745262"/>
      </font>
      <fill>
        <patternFill>
          <bgColor theme="9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7" tint="-0.499984740745262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580000"/>
      </font>
      <fill>
        <patternFill>
          <bgColor rgb="FFFFE7E7"/>
        </patternFill>
      </fill>
    </dxf>
    <dxf>
      <font>
        <color auto="1"/>
      </font>
      <fill>
        <patternFill patternType="solid">
          <bgColor theme="8" tint="-0.24994659260841701"/>
        </patternFill>
      </fill>
    </dxf>
    <dxf>
      <fill>
        <patternFill patternType="none">
          <bgColor auto="1"/>
        </patternFill>
      </fill>
    </dxf>
    <dxf>
      <border>
        <left style="thin">
          <color auto="1"/>
        </left>
        <vertical/>
        <horizontal/>
      </border>
    </dxf>
    <dxf>
      <font>
        <b val="0"/>
        <i/>
        <color theme="0" tint="-0.24994659260841701"/>
      </font>
    </dxf>
    <dxf>
      <font>
        <b val="0"/>
        <i/>
        <color theme="0" tint="-0.34998626667073579"/>
      </font>
    </dxf>
    <dxf>
      <font>
        <b val="0"/>
        <i/>
        <color theme="0" tint="-0.499984740745262"/>
      </font>
    </dxf>
    <dxf>
      <font>
        <color rgb="FFC00000"/>
      </font>
      <fill>
        <patternFill>
          <bgColor rgb="FFFFDDDD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D9D9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420000"/>
      <color rgb="FFF5F5F5"/>
      <color rgb="FFFFAA8F"/>
      <color rgb="FFFF8F8F"/>
      <color rgb="FFFF8181"/>
      <color rgb="FF9A0000"/>
      <color rgb="FF3FA8CD"/>
      <color rgb="FFFFFF99"/>
      <color rgb="FF3B9FD1"/>
      <color rgb="FF49ACC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11</xdr:row>
          <xdr:rowOff>161925</xdr:rowOff>
        </xdr:from>
        <xdr:to>
          <xdr:col>4</xdr:col>
          <xdr:colOff>2114550</xdr:colOff>
          <xdr:row>15</xdr:row>
          <xdr:rowOff>57150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 and/or &lt;100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</xdr:row>
          <xdr:rowOff>47625</xdr:rowOff>
        </xdr:from>
        <xdr:to>
          <xdr:col>3</xdr:col>
          <xdr:colOff>209550</xdr:colOff>
          <xdr:row>4</xdr:row>
          <xdr:rowOff>133350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0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Data Auto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2228850</xdr:colOff>
          <xdr:row>11</xdr:row>
          <xdr:rowOff>171450</xdr:rowOff>
        </xdr:from>
        <xdr:to>
          <xdr:col>7</xdr:col>
          <xdr:colOff>561975</xdr:colOff>
          <xdr:row>15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"keep"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11</xdr:row>
          <xdr:rowOff>114300</xdr:rowOff>
        </xdr:from>
        <xdr:to>
          <xdr:col>3</xdr:col>
          <xdr:colOff>57150</xdr:colOff>
          <xdr:row>15</xdr:row>
          <xdr:rowOff>9525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Cut Notes -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11</xdr:row>
          <xdr:rowOff>180975</xdr:rowOff>
        </xdr:from>
        <xdr:to>
          <xdr:col>10</xdr:col>
          <xdr:colOff>523875</xdr:colOff>
          <xdr:row>15</xdr:row>
          <xdr:rowOff>76200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0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Parts List: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 NO Cut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19</xdr:row>
          <xdr:rowOff>114300</xdr:rowOff>
        </xdr:from>
        <xdr:to>
          <xdr:col>4</xdr:col>
          <xdr:colOff>2162175</xdr:colOff>
          <xdr:row>23</xdr:row>
          <xdr:rowOff>9525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0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85725</xdr:rowOff>
        </xdr:from>
        <xdr:to>
          <xdr:col>4</xdr:col>
          <xdr:colOff>2047875</xdr:colOff>
          <xdr:row>27</xdr:row>
          <xdr:rowOff>171450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0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Huntsville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29</xdr:row>
          <xdr:rowOff>38100</xdr:rowOff>
        </xdr:from>
        <xdr:to>
          <xdr:col>4</xdr:col>
          <xdr:colOff>2162175</xdr:colOff>
          <xdr:row>32</xdr:row>
          <xdr:rowOff>123825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00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Expired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29</xdr:row>
          <xdr:rowOff>28575</xdr:rowOff>
        </xdr:from>
        <xdr:to>
          <xdr:col>7</xdr:col>
          <xdr:colOff>371475</xdr:colOff>
          <xdr:row>32</xdr:row>
          <xdr:rowOff>114300</xdr:rowOff>
        </xdr:to>
        <xdr:sp macro="" textlink="">
          <xdr:nvSpPr>
            <xdr:cNvPr id="23563" name="Button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24</xdr:row>
          <xdr:rowOff>76200</xdr:rowOff>
        </xdr:from>
        <xdr:to>
          <xdr:col>7</xdr:col>
          <xdr:colOff>323850</xdr:colOff>
          <xdr:row>27</xdr:row>
          <xdr:rowOff>161925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19</xdr:row>
          <xdr:rowOff>85725</xdr:rowOff>
        </xdr:from>
        <xdr:to>
          <xdr:col>7</xdr:col>
          <xdr:colOff>314325</xdr:colOff>
          <xdr:row>22</xdr:row>
          <xdr:rowOff>171450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has Inventory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33</xdr:row>
          <xdr:rowOff>123825</xdr:rowOff>
        </xdr:from>
        <xdr:to>
          <xdr:col>7</xdr:col>
          <xdr:colOff>257175</xdr:colOff>
          <xdr:row>37</xdr:row>
          <xdr:rowOff>19050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or Huntsville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has Inventory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Need at Auburn or Expired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33</xdr:row>
          <xdr:rowOff>95250</xdr:rowOff>
        </xdr:from>
        <xdr:to>
          <xdr:col>10</xdr:col>
          <xdr:colOff>209550</xdr:colOff>
          <xdr:row>36</xdr:row>
          <xdr:rowOff>180975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19</xdr:row>
          <xdr:rowOff>133350</xdr:rowOff>
        </xdr:from>
        <xdr:to>
          <xdr:col>17</xdr:col>
          <xdr:colOff>238125</xdr:colOff>
          <xdr:row>23</xdr:row>
          <xdr:rowOff>28575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Consolidate Release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30</xdr:row>
          <xdr:rowOff>38100</xdr:rowOff>
        </xdr:from>
        <xdr:to>
          <xdr:col>15</xdr:col>
          <xdr:colOff>457200</xdr:colOff>
          <xdr:row>33</xdr:row>
          <xdr:rowOff>123825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Supplier File Creation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228600</xdr:colOff>
      <xdr:row>0</xdr:row>
      <xdr:rowOff>76200</xdr:rowOff>
    </xdr:from>
    <xdr:to>
      <xdr:col>11</xdr:col>
      <xdr:colOff>219075</xdr:colOff>
      <xdr:row>0</xdr:row>
      <xdr:rowOff>1028700</xdr:rowOff>
    </xdr:to>
    <xdr:sp macro="[0]!HuntsvilleUploa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715375" y="76200"/>
          <a:ext cx="1819275" cy="952500"/>
        </a:xfrm>
        <a:prstGeom prst="roundRect">
          <a:avLst/>
        </a:prstGeom>
        <a:gradFill flip="none" rotWithShape="1"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Convert Huntsville Release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202533</xdr:colOff>
      <xdr:row>1</xdr:row>
      <xdr:rowOff>96753</xdr:rowOff>
    </xdr:from>
    <xdr:to>
      <xdr:col>21</xdr:col>
      <xdr:colOff>459707</xdr:colOff>
      <xdr:row>3</xdr:row>
      <xdr:rowOff>134854</xdr:rowOff>
    </xdr:to>
    <xdr:sp macro="[0]!POreviewComple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825665" y="26720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Review Weights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0</xdr:row>
      <xdr:rowOff>57150</xdr:rowOff>
    </xdr:from>
    <xdr:to>
      <xdr:col>9</xdr:col>
      <xdr:colOff>232610</xdr:colOff>
      <xdr:row>0</xdr:row>
      <xdr:rowOff>762000</xdr:rowOff>
    </xdr:to>
    <xdr:sp macro="[0]!HuntsvilleSendPriceRequ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934575" y="5715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Huntsville Request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161924</xdr:colOff>
      <xdr:row>7</xdr:row>
      <xdr:rowOff>66676</xdr:rowOff>
    </xdr:from>
    <xdr:to>
      <xdr:col>7</xdr:col>
      <xdr:colOff>380999</xdr:colOff>
      <xdr:row>10</xdr:row>
      <xdr:rowOff>28576</xdr:rowOff>
    </xdr:to>
    <xdr:sp macro="[0]!SendWeigh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190999" y="20859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Weight List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  <xdr:twoCellAnchor editAs="oneCell">
    <xdr:from>
      <xdr:col>4</xdr:col>
      <xdr:colOff>171449</xdr:colOff>
      <xdr:row>3</xdr:row>
      <xdr:rowOff>123826</xdr:rowOff>
    </xdr:from>
    <xdr:to>
      <xdr:col>7</xdr:col>
      <xdr:colOff>390524</xdr:colOff>
      <xdr:row>6</xdr:row>
      <xdr:rowOff>85726</xdr:rowOff>
    </xdr:to>
    <xdr:sp macro="[0]!ExtrasToWeigh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200524" y="600076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Bring in "Extra" Pickups</a:t>
          </a:r>
        </a:p>
      </xdr:txBody>
    </xdr:sp>
    <xdr:clientData/>
  </xdr:twoCellAnchor>
  <xdr:twoCellAnchor editAs="oneCell">
    <xdr:from>
      <xdr:col>10</xdr:col>
      <xdr:colOff>400050</xdr:colOff>
      <xdr:row>0</xdr:row>
      <xdr:rowOff>171450</xdr:rowOff>
    </xdr:from>
    <xdr:to>
      <xdr:col>13</xdr:col>
      <xdr:colOff>51635</xdr:colOff>
      <xdr:row>1</xdr:row>
      <xdr:rowOff>1</xdr:rowOff>
    </xdr:to>
    <xdr:sp macro="[0]!POreviewComple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934450" y="171450"/>
          <a:ext cx="1480385" cy="41910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Update Weights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85725</xdr:colOff>
      <xdr:row>1</xdr:row>
      <xdr:rowOff>47625</xdr:rowOff>
    </xdr:from>
    <xdr:to>
      <xdr:col>19</xdr:col>
      <xdr:colOff>76200</xdr:colOff>
      <xdr:row>3</xdr:row>
      <xdr:rowOff>104775</xdr:rowOff>
    </xdr:to>
    <xdr:sp macro="[0]!SendTruckLine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115425" y="152400"/>
          <a:ext cx="1819275" cy="5334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</a:t>
          </a:r>
          <a:r>
            <a:rPr lang="en-US" sz="1200" baseline="0"/>
            <a:t> Truck Lineup</a:t>
          </a:r>
          <a:br>
            <a:rPr lang="en-US" sz="1200" baseline="0"/>
          </a:br>
          <a:r>
            <a:rPr lang="en-US" sz="1200" baseline="0"/>
            <a:t>to Shipping</a:t>
          </a:r>
          <a:endParaRPr lang="en-US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9</xdr:row>
      <xdr:rowOff>257174</xdr:rowOff>
    </xdr:from>
    <xdr:to>
      <xdr:col>16</xdr:col>
      <xdr:colOff>600076</xdr:colOff>
      <xdr:row>13</xdr:row>
      <xdr:rowOff>295275</xdr:rowOff>
    </xdr:to>
    <xdr:sp macro="[0]!CarrierFormStandar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0801351" y="232409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Standard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  <xdr:twoCellAnchor editAs="oneCell">
    <xdr:from>
      <xdr:col>14</xdr:col>
      <xdr:colOff>1</xdr:colOff>
      <xdr:row>14</xdr:row>
      <xdr:rowOff>142874</xdr:rowOff>
    </xdr:from>
    <xdr:to>
      <xdr:col>16</xdr:col>
      <xdr:colOff>600076</xdr:colOff>
      <xdr:row>19</xdr:row>
      <xdr:rowOff>47625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1944351" y="3562349"/>
          <a:ext cx="1819275" cy="1085851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Stand Alone</a:t>
          </a:r>
          <a:br>
            <a:rPr lang="en-US" sz="1600"/>
          </a:br>
          <a:r>
            <a:rPr lang="en-US" sz="1600"/>
            <a:t>Generate Carrier</a:t>
          </a:r>
          <a:br>
            <a:rPr lang="en-US" sz="1600"/>
          </a:br>
          <a:r>
            <a:rPr lang="en-US" sz="1600"/>
            <a:t>Document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1</xdr:row>
      <xdr:rowOff>76200</xdr:rowOff>
    </xdr:from>
    <xdr:to>
      <xdr:col>8</xdr:col>
      <xdr:colOff>842210</xdr:colOff>
      <xdr:row>3</xdr:row>
      <xdr:rowOff>38100</xdr:rowOff>
    </xdr:to>
    <xdr:sp macro="[0]!SendPickupID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39075" y="571500"/>
          <a:ext cx="1480385" cy="70485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Send Pickup IDs to Shipping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95250</xdr:rowOff>
    </xdr:from>
    <xdr:to>
      <xdr:col>1</xdr:col>
      <xdr:colOff>381000</xdr:colOff>
      <xdr:row>3</xdr:row>
      <xdr:rowOff>137355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457200"/>
          <a:ext cx="1457325" cy="4231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b-filesrv-01\sharevol\workgroup\Inventory_Control\Out%20of%20Stock%20Files%20-%20All\Out%20of%20Stock%20Paper%20Tracking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OS Input Raw"/>
      <sheetName val="Doc Info"/>
      <sheetName val="OOS Input"/>
      <sheetName val="Worksheet02"/>
      <sheetName val="Items Since Last Update"/>
      <sheetName val="YTD Full List"/>
      <sheetName val="Papers Since Last Meet"/>
      <sheetName val="Quick Track"/>
      <sheetName val="HUN &amp; AUB"/>
      <sheetName val="Monthly Data"/>
      <sheetName val="Notes"/>
      <sheetName val="Paper Count"/>
      <sheetName val="Paper Count 2017-2019"/>
      <sheetName val="Paper Reason 2017-2019"/>
      <sheetName val="YTD by Customer"/>
      <sheetName val="YTD Reasons"/>
      <sheetName val="YTD Vendors"/>
      <sheetName val="YTD Vendor by Reason"/>
      <sheetName val="YTD Materials"/>
      <sheetName val="YTD Material by Reason"/>
      <sheetName val="YTD Vendor by Reason and Materi"/>
      <sheetName val="YTD Charts"/>
      <sheetName val="Jan"/>
      <sheetName val="Feb"/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MonthEndWorkbook"/>
      <sheetName val="SparkData"/>
      <sheetName val="SparkDataHun"/>
      <sheetName val="Vendor List"/>
      <sheetName val="Dropped Colors"/>
      <sheetName val="Approval Dates"/>
      <sheetName val="TextCopy"/>
      <sheetName val="K Papers"/>
      <sheetName val="RawPaperData"/>
      <sheetName val="RawPaperDataHun"/>
      <sheetName val="Out of Stock Paper Tracking 2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2FF8A4-093E-41EE-B4BB-653E5897E1FF}" name="Table1" displayName="Table1" ref="G1:H14" totalsRowShown="0" headerRowDxfId="1023">
  <autoFilter ref="G1:H14" xr:uid="{BF2FF8A4-093E-41EE-B4BB-653E5897E1FF}"/>
  <tableColumns count="2">
    <tableColumn id="1" xr3:uid="{AED92683-D153-4C90-8212-A190251D35D9}" name="CPL Size"/>
    <tableColumn id="2" xr3:uid="{8F668D51-3C73-428B-9852-714ECE8B3429}" name="Equival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FB82EE-D24A-4759-B910-153650E20B54}" name="Table2" displayName="Table2" ref="A1:D48" totalsRowShown="0" headerRowDxfId="1022">
  <autoFilter ref="A1:D48" xr:uid="{48FB82EE-D24A-4759-B910-153650E20B54}"/>
  <sortState xmlns:xlrd2="http://schemas.microsoft.com/office/spreadsheetml/2017/richdata2" ref="A2:D17">
    <sortCondition ref="A1:A17"/>
  </sortState>
  <tableColumns count="4">
    <tableColumn id="1" xr3:uid="{E6DDC458-1150-47CB-AF1B-51A128190F42}" name="Remove_x000a_Part Only"/>
    <tableColumn id="4" xr3:uid="{60259AE6-D7F5-4C7D-B043-3811E9FE9C56}" name="Description" dataDxfId="1021">
      <calculatedColumnFormula>INDEX(#REF!,MATCH(A2,#REF!,0))</calculatedColumnFormula>
    </tableColumn>
    <tableColumn id="3" xr3:uid="{838E0BE6-AFAE-4E6F-820B-BC41E073E9D1}" name="Duplicate Check" dataDxfId="1020">
      <calculatedColumnFormula>IF(COUNTIF(A:A,A2)&gt;1,"Duplicate","good")</calculatedColumnFormula>
    </tableColumn>
    <tableColumn id="2" xr3:uid="{A0BEBEBA-ECB3-4B60-80B3-FC988D6A0BEF}" name="Note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542025-84A3-43CE-A40F-E97DA260D717}" name="Table3" displayName="Table3" ref="M1:N3" totalsRowShown="0" headerRowDxfId="1019">
  <autoFilter ref="M1:N3" xr:uid="{35542025-84A3-43CE-A40F-E97DA260D717}"/>
  <tableColumns count="2">
    <tableColumn id="1" xr3:uid="{A1D59D34-9493-4663-BD35-DF4EC7913F1D}" name="Part"/>
    <tableColumn id="2" xr3:uid="{AD7CA3E2-2C21-4132-9682-C1F3D9D490C9}" name="Special Note" dataDxfId="1018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657645-3C27-4900-830E-344CB6A930E8}" name="SuppDetails" displayName="SuppDetails" ref="Q1:AA29" totalsRowShown="0" headerRowDxfId="1017">
  <autoFilter ref="Q1:AA29" xr:uid="{20657645-3C27-4900-830E-344CB6A930E8}"/>
  <sortState xmlns:xlrd2="http://schemas.microsoft.com/office/spreadsheetml/2017/richdata2" ref="R2:Y28">
    <sortCondition ref="R1:R28"/>
  </sortState>
  <tableColumns count="11">
    <tableColumn id="8" xr3:uid="{D19F2C33-6306-47ED-92A7-2E891B081B02}" name="Supplier Code"/>
    <tableColumn id="1" xr3:uid="{3342611A-4CB2-4AFF-8CBB-17A4F3856935}" name="Supplier"/>
    <tableColumn id="6" xr3:uid="{EA723AE6-7F9F-4C39-9236-21A990CC6348}" name="Supplier ID" dataDxfId="1016"/>
    <tableColumn id="2" xr3:uid="{143E28E0-7524-47AD-BD1C-0F55329B5E8D}" name="Warehouse Provided"/>
    <tableColumn id="7" xr3:uid="{1E7C909A-EC59-48AA-8A58-AB4CC81D8AF8}" name="Key_x000a_for Supp Consol" dataDxfId="1015">
      <calculatedColumnFormula>CONCATENATE(SuppDetails[[#This Row],[Supplier]],SuppDetails[[#This Row],[Warehouse Provided]])</calculatedColumnFormula>
    </tableColumn>
    <tableColumn id="9" xr3:uid="{9B37AD4C-B4A2-4F70-96CA-FF0ACF17BB09}" name="Key for Result Tab" dataDxfId="1014">
      <calculatedColumnFormula>_xlfn.CONCAT(SuppDetails[[#This Row],[Supplier Code]],SuppDetails[[#This Row],[Warehouse Provided]])</calculatedColumnFormula>
    </tableColumn>
    <tableColumn id="3" xr3:uid="{D26CDC91-910B-4235-9AA4-ACD79FB8B8B3}" name="Warehouse Tranlation"/>
    <tableColumn id="4" xr3:uid="{3FAE995F-ACED-4CDC-8CE3-90CDA4D5C568}" name="City"/>
    <tableColumn id="5" xr3:uid="{C73A5037-6E7E-47F3-BEAB-DDEDABD36A83}" name="State"/>
    <tableColumn id="10" xr3:uid="{E78971E1-8387-4E2D-B34D-424336CF0249}" name="Pickup ID Check"/>
    <tableColumn id="11" xr3:uid="{70FED75B-5E2D-48A6-A4F9-CD827F1F3881}" name="Supp File Creation Key" dataDxfId="1013">
      <calculatedColumnFormula>_xlfn.CONCAT(SuppDetails[[#This Row],[Supplier]],SuppDetails[[#This Row],[Warehouse Tranlation]])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8BC2CD-3538-45C6-A8B0-D2F990E097B3}" name="PickupLocations" displayName="PickupLocations" ref="A1:P30" totalsRowShown="0" headerRowDxfId="1012" dataDxfId="1011" headerRowCellStyle="Normal 2" dataCellStyle="Normal 2">
  <tableColumns count="16">
    <tableColumn id="14" xr3:uid="{2597E24D-9D99-4E91-83E1-5A63B8452E2F}" name="Location Name" dataDxfId="1010" dataCellStyle="Normal 2"/>
    <tableColumn id="16" xr3:uid="{0FEED7EB-AFEA-4242-AF61-FD97F4A92A0A}" name="Location Name_x000a_Short" dataDxfId="1009" dataCellStyle="Normal 2 2"/>
    <tableColumn id="18" xr3:uid="{37BA73D0-1102-4059-B0FB-DEB64A474698}" name="Assocaited Suppliers" dataDxfId="1008" dataCellStyle="Normal 2 2"/>
    <tableColumn id="3" xr3:uid="{FFA6D01E-01D8-4137-BA28-4A8E1131E26C}" name="Street Address" dataDxfId="1007" dataCellStyle="Normal 2"/>
    <tableColumn id="4" xr3:uid="{7E7FF253-E785-47EA-BCA1-4B3CD5E9BF6A}" name="City" dataDxfId="1006" dataCellStyle="Normal 2"/>
    <tableColumn id="5" xr3:uid="{9A639C07-DC42-47FF-8BB7-808054C8A2FD}" name="State or_x000a_Providence" dataDxfId="1005" dataCellStyle="Normal 2"/>
    <tableColumn id="6" xr3:uid="{190FB50A-3EF1-4C7D-BB4F-E753A74975A3}" name="Zip Code" dataDxfId="1004" dataCellStyle="Normal 2"/>
    <tableColumn id="7" xr3:uid="{9FE479E5-2C19-48F8-864E-50F38361400B}" name="Contact" dataDxfId="1003" dataCellStyle="Normal 2"/>
    <tableColumn id="8" xr3:uid="{0562F410-A587-4C80-9AEA-C14EF0B4E0A5}" name="Contact Phone 01" dataDxfId="1002" dataCellStyle="Normal 2"/>
    <tableColumn id="9" xr3:uid="{3AFD9C8C-7AFC-4874-B6B7-F604CA1AE001}" name="Contact 02" dataDxfId="1001" dataCellStyle="Normal 2"/>
    <tableColumn id="15" xr3:uid="{042DFE1D-EAF1-4D08-A302-0F54CF5DA8A7}" name="Contact Email" dataDxfId="1000" dataCellStyle="Normal 2"/>
    <tableColumn id="10" xr3:uid="{99DC6A0C-C9B5-4F20-9633-161710737D96}" name="Shipping Hours From" dataDxfId="999" dataCellStyle="Normal 2"/>
    <tableColumn id="1" xr3:uid="{DC9FF4A8-0569-4983-A38B-DF5B5648B9A1}" name="Seperator" dataDxfId="998" dataCellStyle="Normal 2 2"/>
    <tableColumn id="13" xr3:uid="{DF762A27-5FB1-4633-B4F8-B27DD477CEC8}" name="Shipping Hours To" dataDxfId="997" dataCellStyle="Normal 2"/>
    <tableColumn id="11" xr3:uid="{B6BB550B-D18D-4D9C-958E-49D8B713A6DB}" name="Appointment Detail" dataDxfId="996" dataCellStyle="Normal 2"/>
    <tableColumn id="22" xr3:uid="{E46D99AD-5DF0-4967-8C58-492280B3614A}" name="Pickup Material Type" dataDxfId="995" dataCellStyle="Normal 2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51668-C4D9-47DA-9E76-8C15F30A8B9D}">
  <sheetPr codeName="Sheet1">
    <tabColor theme="2" tint="-0.249977111117893"/>
  </sheetPr>
  <dimension ref="B2:Q37"/>
  <sheetViews>
    <sheetView workbookViewId="0">
      <selection activeCell="I19" sqref="I19"/>
    </sheetView>
  </sheetViews>
  <sheetFormatPr defaultRowHeight="15"/>
  <cols>
    <col min="2" max="2" width="25.85546875" customWidth="1"/>
    <col min="3" max="3" width="5.7109375" customWidth="1"/>
    <col min="4" max="4" width="5.42578125" customWidth="1"/>
    <col min="5" max="5" width="35.28515625" bestFit="1" customWidth="1"/>
    <col min="6" max="6" width="7.5703125" bestFit="1" customWidth="1"/>
    <col min="7" max="7" width="16.85546875" bestFit="1" customWidth="1"/>
    <col min="9" max="9" width="17" bestFit="1" customWidth="1"/>
  </cols>
  <sheetData>
    <row r="2" spans="2:17">
      <c r="E2" t="s">
        <v>7668</v>
      </c>
      <c r="F2" s="22" t="s">
        <v>635</v>
      </c>
      <c r="I2" s="242" t="s">
        <v>6289</v>
      </c>
      <c r="J2" s="242"/>
      <c r="Q2" t="s">
        <v>6408</v>
      </c>
    </row>
    <row r="3" spans="2:17">
      <c r="E3" t="s">
        <v>5489</v>
      </c>
      <c r="F3" s="22" t="s">
        <v>7476</v>
      </c>
      <c r="I3" s="242"/>
      <c r="J3" s="242"/>
      <c r="N3" s="30" t="s">
        <v>5440</v>
      </c>
      <c r="Q3" s="22" t="s">
        <v>6407</v>
      </c>
    </row>
    <row r="4" spans="2:17">
      <c r="N4" t="s">
        <v>4637</v>
      </c>
    </row>
    <row r="6" spans="2:17">
      <c r="E6" s="29" t="s">
        <v>5492</v>
      </c>
    </row>
    <row r="7" spans="2:17">
      <c r="N7" s="30" t="s">
        <v>5431</v>
      </c>
    </row>
    <row r="8" spans="2:17">
      <c r="N8" t="s">
        <v>5433</v>
      </c>
    </row>
    <row r="9" spans="2:17">
      <c r="C9" t="s">
        <v>5490</v>
      </c>
      <c r="N9" t="s">
        <v>5434</v>
      </c>
      <c r="O9" t="s">
        <v>5432</v>
      </c>
    </row>
    <row r="10" spans="2:17">
      <c r="N10" t="s">
        <v>5435</v>
      </c>
    </row>
    <row r="11" spans="2:17">
      <c r="B11" s="45"/>
      <c r="C11" s="46"/>
      <c r="D11" s="46" t="s">
        <v>5487</v>
      </c>
      <c r="E11" s="46"/>
      <c r="F11" s="46"/>
      <c r="G11" s="46"/>
      <c r="H11" s="46"/>
      <c r="I11" s="46"/>
      <c r="J11" s="46"/>
      <c r="K11" s="47"/>
      <c r="N11" t="s">
        <v>5436</v>
      </c>
    </row>
    <row r="12" spans="2:17">
      <c r="B12" s="41"/>
      <c r="K12" s="42"/>
      <c r="N12" t="s">
        <v>5437</v>
      </c>
    </row>
    <row r="13" spans="2:17">
      <c r="B13" s="41"/>
      <c r="K13" s="42"/>
      <c r="N13" t="s">
        <v>5438</v>
      </c>
      <c r="O13" t="s">
        <v>5432</v>
      </c>
    </row>
    <row r="14" spans="2:17">
      <c r="B14" s="41"/>
      <c r="K14" s="42"/>
      <c r="N14" t="s">
        <v>5439</v>
      </c>
      <c r="O14" t="s">
        <v>5432</v>
      </c>
    </row>
    <row r="15" spans="2:17">
      <c r="B15" s="41"/>
      <c r="K15" s="42"/>
    </row>
    <row r="16" spans="2:17">
      <c r="B16" s="43"/>
      <c r="C16" s="30"/>
      <c r="D16" s="30"/>
      <c r="E16" s="30"/>
      <c r="F16" s="30"/>
      <c r="G16" s="30"/>
      <c r="H16" s="30"/>
      <c r="I16" s="30"/>
      <c r="J16" s="30"/>
      <c r="K16" s="44"/>
    </row>
    <row r="17" spans="2:17">
      <c r="B17" s="40"/>
      <c r="E17" s="40"/>
      <c r="G17" s="40"/>
      <c r="I17" s="40"/>
      <c r="O17" s="22"/>
    </row>
    <row r="19" spans="2:17">
      <c r="D19" s="40"/>
      <c r="O19">
        <v>4</v>
      </c>
      <c r="P19" t="s">
        <v>5603</v>
      </c>
    </row>
    <row r="20" spans="2:17">
      <c r="D20" s="40"/>
    </row>
    <row r="21" spans="2:17">
      <c r="D21" s="40"/>
    </row>
    <row r="22" spans="2:17">
      <c r="C22">
        <v>3</v>
      </c>
      <c r="D22" s="40"/>
    </row>
    <row r="23" spans="2:17">
      <c r="C23" t="s">
        <v>5431</v>
      </c>
    </row>
    <row r="26" spans="2:17">
      <c r="L26" s="39"/>
      <c r="O26">
        <v>5</v>
      </c>
      <c r="P26" t="s">
        <v>6076</v>
      </c>
    </row>
    <row r="32" spans="2:17">
      <c r="Q32" t="s">
        <v>6075</v>
      </c>
    </row>
    <row r="37" spans="15:15">
      <c r="O37" t="s">
        <v>7669</v>
      </c>
    </row>
  </sheetData>
  <mergeCells count="1">
    <mergeCell ref="I2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CutKeepLess100AndOrMarkedKeeps">
                <anchor moveWithCells="1">
                  <from>
                    <xdr:col>3</xdr:col>
                    <xdr:colOff>161925</xdr:colOff>
                    <xdr:row>11</xdr:row>
                    <xdr:rowOff>161925</xdr:rowOff>
                  </from>
                  <to>
                    <xdr:col>4</xdr:col>
                    <xdr:colOff>2114550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DataPullAutoFromPRP">
                <anchor moveWithCells="1">
                  <from>
                    <xdr:col>1</xdr:col>
                    <xdr:colOff>323850</xdr:colOff>
                    <xdr:row>1</xdr:row>
                    <xdr:rowOff>47625</xdr:rowOff>
                  </from>
                  <to>
                    <xdr:col>3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ButtonCutKeepAllKeeps">
                <anchor moveWithCells="1">
                  <from>
                    <xdr:col>4</xdr:col>
                    <xdr:colOff>2228850</xdr:colOff>
                    <xdr:row>11</xdr:row>
                    <xdr:rowOff>171450</xdr:rowOff>
                  </from>
                  <to>
                    <xdr:col>7</xdr:col>
                    <xdr:colOff>561975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ButtonCutKeepAll">
                <anchor moveWithCells="1">
                  <from>
                    <xdr:col>0</xdr:col>
                    <xdr:colOff>476250</xdr:colOff>
                    <xdr:row>11</xdr:row>
                    <xdr:rowOff>114300</xdr:rowOff>
                  </from>
                  <to>
                    <xdr:col>3</xdr:col>
                    <xdr:colOff>57150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Button 5">
              <controlPr defaultSize="0" print="0" autoFill="0" autoPict="0" macro="[0]!ButtonCutKeepNone">
                <anchor moveWithCells="1">
                  <from>
                    <xdr:col>7</xdr:col>
                    <xdr:colOff>571500</xdr:colOff>
                    <xdr:row>11</xdr:row>
                    <xdr:rowOff>180975</xdr:rowOff>
                  </from>
                  <to>
                    <xdr:col>10</xdr:col>
                    <xdr:colOff>523875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9" name="Button 8">
              <controlPr defaultSize="0" print="0" autoFill="0" autoPict="0" macro="[0]!FilterSuppAndNeed">
                <anchor moveWithCells="1">
                  <from>
                    <xdr:col>4</xdr:col>
                    <xdr:colOff>400050</xdr:colOff>
                    <xdr:row>19</xdr:row>
                    <xdr:rowOff>114300</xdr:rowOff>
                  </from>
                  <to>
                    <xdr:col>4</xdr:col>
                    <xdr:colOff>2162175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0" name="Button 9">
              <controlPr defaultSize="0" print="0" autoFill="0" autoPict="0" macro="[0]!FilterHunAndNeed">
                <anchor moveWithCells="1">
                  <from>
                    <xdr:col>4</xdr:col>
                    <xdr:colOff>285750</xdr:colOff>
                    <xdr:row>24</xdr:row>
                    <xdr:rowOff>85725</xdr:rowOff>
                  </from>
                  <to>
                    <xdr:col>4</xdr:col>
                    <xdr:colOff>2047875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1" name="Button 10">
              <controlPr defaultSize="0" print="0" autoFill="0" autoPict="0" macro="[0]!FilterExpOnly">
                <anchor moveWithCells="1">
                  <from>
                    <xdr:col>4</xdr:col>
                    <xdr:colOff>400050</xdr:colOff>
                    <xdr:row>29</xdr:row>
                    <xdr:rowOff>38100</xdr:rowOff>
                  </from>
                  <to>
                    <xdr:col>4</xdr:col>
                    <xdr:colOff>2162175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2" name="Button 11">
              <controlPr defaultSize="0" print="0" autoFill="0" autoPict="0" macro="[0]!FilterSuppAndHunAndNeed">
                <anchor moveWithCells="1">
                  <from>
                    <xdr:col>5</xdr:col>
                    <xdr:colOff>238125</xdr:colOff>
                    <xdr:row>29</xdr:row>
                    <xdr:rowOff>28575</xdr:rowOff>
                  </from>
                  <to>
                    <xdr:col>7</xdr:col>
                    <xdr:colOff>371475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3" name="Button 12">
              <controlPr defaultSize="0" print="0" autoFill="0" autoPict="0" macro="[0]!FilterSuppAll">
                <anchor moveWithCells="1">
                  <from>
                    <xdr:col>5</xdr:col>
                    <xdr:colOff>190500</xdr:colOff>
                    <xdr:row>24</xdr:row>
                    <xdr:rowOff>76200</xdr:rowOff>
                  </from>
                  <to>
                    <xdr:col>7</xdr:col>
                    <xdr:colOff>323850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4" name="Button 13">
              <controlPr defaultSize="0" print="0" autoFill="0" autoPict="0" macro="[0]!FilterSuppAndNeedorExp">
                <anchor moveWithCells="1">
                  <from>
                    <xdr:col>5</xdr:col>
                    <xdr:colOff>180975</xdr:colOff>
                    <xdr:row>19</xdr:row>
                    <xdr:rowOff>85725</xdr:rowOff>
                  </from>
                  <to>
                    <xdr:col>7</xdr:col>
                    <xdr:colOff>314325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5" name="Button 14">
              <controlPr defaultSize="0" print="0" autoFill="0" autoPict="0" macro="[0]!FilterSuppAndHunAndNeedorExp">
                <anchor moveWithCells="1">
                  <from>
                    <xdr:col>5</xdr:col>
                    <xdr:colOff>123825</xdr:colOff>
                    <xdr:row>33</xdr:row>
                    <xdr:rowOff>123825</xdr:rowOff>
                  </from>
                  <to>
                    <xdr:col>7</xdr:col>
                    <xdr:colOff>257175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6" name="Button 15">
              <controlPr defaultSize="0" print="0" autoFill="0" autoPict="0" macro="[0]!FilterClearAll">
                <anchor moveWithCells="1">
                  <from>
                    <xdr:col>8</xdr:col>
                    <xdr:colOff>190500</xdr:colOff>
                    <xdr:row>33</xdr:row>
                    <xdr:rowOff>95250</xdr:rowOff>
                  </from>
                  <to>
                    <xdr:col>10</xdr:col>
                    <xdr:colOff>209550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7" name="Button 16">
              <controlPr defaultSize="0" print="0" autoFill="0" autoPict="0" macro="[0]!CompleteTheReview">
                <anchor moveWithCells="1">
                  <from>
                    <xdr:col>14</xdr:col>
                    <xdr:colOff>304800</xdr:colOff>
                    <xdr:row>19</xdr:row>
                    <xdr:rowOff>133350</xdr:rowOff>
                  </from>
                  <to>
                    <xdr:col>17</xdr:col>
                    <xdr:colOff>238125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8" name="Button 17">
              <controlPr defaultSize="0" print="0" autoFill="0" autoPict="0" macro="[0]!SuppCreation">
                <anchor moveWithCells="1">
                  <from>
                    <xdr:col>12</xdr:col>
                    <xdr:colOff>523875</xdr:colOff>
                    <xdr:row>30</xdr:row>
                    <xdr:rowOff>38100</xdr:rowOff>
                  </from>
                  <to>
                    <xdr:col>15</xdr:col>
                    <xdr:colOff>457200</xdr:colOff>
                    <xdr:row>33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0C7D-19E5-455F-9A65-DBDAFEE7C184}">
  <sheetPr codeName="Sheet18">
    <tabColor theme="4" tint="-0.249977111117893"/>
  </sheetPr>
  <dimension ref="A1:D4"/>
  <sheetViews>
    <sheetView workbookViewId="0">
      <selection activeCell="A3" sqref="A3:D4"/>
    </sheetView>
  </sheetViews>
  <sheetFormatPr defaultRowHeight="15"/>
  <cols>
    <col min="1" max="1" width="26.28515625" bestFit="1" customWidth="1"/>
    <col min="2" max="2" width="10.140625" bestFit="1" customWidth="1"/>
    <col min="3" max="3" width="9.5703125" bestFit="1" customWidth="1"/>
    <col min="4" max="4" width="15.28515625" style="20" bestFit="1" customWidth="1"/>
  </cols>
  <sheetData>
    <row r="1" spans="1:4" ht="21">
      <c r="A1" s="243" t="s">
        <v>5605</v>
      </c>
      <c r="B1" s="243"/>
      <c r="C1" s="243"/>
      <c r="D1" s="243"/>
    </row>
    <row r="2" spans="1:4" s="39" customFormat="1" ht="26.25">
      <c r="A2" s="101" t="s">
        <v>5805</v>
      </c>
      <c r="B2" s="101" t="s">
        <v>5446</v>
      </c>
      <c r="C2" s="101" t="s">
        <v>5447</v>
      </c>
      <c r="D2" s="102" t="s">
        <v>5807</v>
      </c>
    </row>
    <row r="3" spans="1:4">
      <c r="A3" t="s">
        <v>5601</v>
      </c>
      <c r="B3" t="str">
        <f>INDEX(PickupLocations[City],MATCH(A3,PickupLocations[Location Name
Short],0))</f>
        <v>Muskegon</v>
      </c>
      <c r="C3" t="str">
        <f>INDEX(PickupLocations[State or
Providence],MATCH(A3,PickupLocations[Location Name
Short],0))</f>
        <v>MI</v>
      </c>
      <c r="D3" s="20">
        <v>7000</v>
      </c>
    </row>
    <row r="4" spans="1:4">
      <c r="A4" t="s">
        <v>5602</v>
      </c>
      <c r="B4" t="str">
        <f>INDEX(PickupLocations[City],MATCH(A4,PickupLocations[Location Name
Short],0))</f>
        <v>Altavista</v>
      </c>
      <c r="C4" t="str">
        <f>INDEX(PickupLocations[State or
Providence],MATCH(A4,PickupLocations[Location Name
Short],0))</f>
        <v>VA</v>
      </c>
      <c r="D4" s="20">
        <v>2000</v>
      </c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58384-0BD9-4F5C-A63F-6468555EA3CB}">
  <sheetPr codeName="Sheet4">
    <tabColor theme="4" tint="-0.249977111117893"/>
  </sheetPr>
  <dimension ref="A1:N14"/>
  <sheetViews>
    <sheetView workbookViewId="0">
      <pane ySplit="1" topLeftCell="A2" activePane="bottomLeft" state="frozen"/>
      <selection activeCell="A3" sqref="A3"/>
      <selection pane="bottomLeft" activeCell="E2" sqref="E2:E7"/>
    </sheetView>
  </sheetViews>
  <sheetFormatPr defaultRowHeight="15"/>
  <cols>
    <col min="1" max="1" width="9.140625" style="1"/>
    <col min="2" max="2" width="27" style="1" customWidth="1"/>
    <col min="3" max="3" width="14.5703125" style="1" customWidth="1"/>
    <col min="4" max="5" width="22.28515625" style="1" customWidth="1"/>
    <col min="6" max="6" width="13.42578125" style="187" customWidth="1"/>
    <col min="7" max="8" width="20.42578125" style="1" customWidth="1"/>
    <col min="9" max="16384" width="9.140625" style="1"/>
  </cols>
  <sheetData>
    <row r="1" spans="1:14" ht="88.5" customHeight="1">
      <c r="A1" s="191" t="s">
        <v>6103</v>
      </c>
      <c r="B1" s="191" t="s">
        <v>6102</v>
      </c>
      <c r="C1" s="191" t="s">
        <v>53</v>
      </c>
      <c r="D1" s="191" t="s">
        <v>6105</v>
      </c>
      <c r="E1" s="191" t="s">
        <v>6104</v>
      </c>
      <c r="F1" s="192" t="s">
        <v>6106</v>
      </c>
      <c r="G1" s="191" t="s">
        <v>6107</v>
      </c>
      <c r="H1" s="191" t="s">
        <v>6108</v>
      </c>
      <c r="M1" s="219" t="s">
        <v>6439</v>
      </c>
      <c r="N1" s="219" t="s">
        <v>6440</v>
      </c>
    </row>
    <row r="2" spans="1:14">
      <c r="A2" s="1" t="s">
        <v>7627</v>
      </c>
      <c r="C2" s="1">
        <v>7060</v>
      </c>
      <c r="E2" s="1">
        <v>500</v>
      </c>
      <c r="G2" s="1" t="str">
        <f>IF(D2="","",IFERROR(IFERROR(INDEX('Hun Demand'!A:A,MATCH(_xlfn.CONCAT(A2,"-5000"),'Hun Demand'!AK:AK,0)),INDEX('Aub Demand'!A:A,MATCH(_xlfn.CONCAT(A2,"-5000"),'Aub Demand'!AK:AK,0))),"missing"))</f>
        <v/>
      </c>
      <c r="H2" s="1" t="str">
        <f>IF(E2="","",IFERROR(IFERROR(INDEX('Hun Demand'!A:A,MATCH(_xlfn.CONCAT(A2,"-6200"),'Hun Demand'!AK:AK,0)),INDEX('Aub Demand'!A:A,MATCH(_xlfn.CONCAT(A2,"-6200"),'Aub Demand'!AK:AK,0))),"missing"))</f>
        <v>110WW780-6200</v>
      </c>
    </row>
    <row r="3" spans="1:14">
      <c r="A3" s="1" t="s">
        <v>6410</v>
      </c>
      <c r="B3" s="1" t="s">
        <v>575</v>
      </c>
      <c r="C3" s="1">
        <v>7078</v>
      </c>
      <c r="D3" s="1">
        <v>500</v>
      </c>
      <c r="G3" s="1" t="str">
        <f>IF(D3="","",IFERROR(IFERROR(INDEX('Hun Demand'!A:A,MATCH(_xlfn.CONCAT(A3,"-5000"),'Hun Demand'!AK:AK,0)),INDEX('Aub Demand'!A:A,MATCH(_xlfn.CONCAT(A3,"-5000"),'Aub Demand'!AK:AK,0))),"missing"))</f>
        <v>100AW300-5000</v>
      </c>
      <c r="H3" s="1" t="str">
        <f>IF(E3="","",IFERROR(IFERROR(INDEX('Hun Demand'!A:A,MATCH(_xlfn.CONCAT(A3,"-6200"),'Hun Demand'!AK:AK,0)),INDEX('Aub Demand'!A:A,MATCH(_xlfn.CONCAT(A3,"-6200"),'Aub Demand'!AK:AK,0))),"missing"))</f>
        <v/>
      </c>
    </row>
    <row r="4" spans="1:14">
      <c r="A4" s="1" t="s">
        <v>7628</v>
      </c>
      <c r="B4" s="1" t="s">
        <v>1849</v>
      </c>
      <c r="C4" s="1">
        <v>7130</v>
      </c>
      <c r="E4" s="1">
        <v>1000</v>
      </c>
      <c r="G4" s="1" t="str">
        <f>IF(D4="","",IFERROR(IFERROR(INDEX('Hun Demand'!A:A,MATCH(_xlfn.CONCAT(A4,"-5000"),'Hun Demand'!AK:AK,0)),INDEX('Aub Demand'!A:A,MATCH(_xlfn.CONCAT(A4,"-5000"),'Aub Demand'!AK:AK,0))),"missing"))</f>
        <v/>
      </c>
      <c r="H4" s="1" t="str">
        <f>IF(E4="","",IFERROR(IFERROR(INDEX('Hun Demand'!A:A,MATCH(_xlfn.CONCAT(A4,"-6200"),'Hun Demand'!AK:AK,0)),INDEX('Aub Demand'!A:A,MATCH(_xlfn.CONCAT(A4,"-6200"),'Aub Demand'!AK:AK,0))),"missing"))</f>
        <v>100WT890-6200</v>
      </c>
    </row>
    <row r="5" spans="1:14">
      <c r="A5" s="1" t="s">
        <v>7629</v>
      </c>
      <c r="B5" s="1" t="s">
        <v>652</v>
      </c>
      <c r="C5" s="1">
        <v>7129</v>
      </c>
      <c r="E5" s="235">
        <v>6000</v>
      </c>
      <c r="G5" s="1" t="str">
        <f>IF(D5="","",IFERROR(IFERROR(INDEX('Hun Demand'!A:A,MATCH(_xlfn.CONCAT(A5,"-5000"),'Hun Demand'!AK:AK,0)),INDEX('Aub Demand'!A:A,MATCH(_xlfn.CONCAT(A5,"-5000"),'Aub Demand'!AK:AK,0))),"missing"))</f>
        <v/>
      </c>
      <c r="H5" s="1" t="str">
        <f>IF(E5="","",IFERROR(IFERROR(INDEX('Hun Demand'!A:A,MATCH(_xlfn.CONCAT(A5,"-6200"),'Hun Demand'!AK:AK,0)),INDEX('Aub Demand'!A:A,MATCH(_xlfn.CONCAT(A5,"-6200"),'Aub Demand'!AK:AK,0))),"missing"))</f>
        <v>100DS064-6200</v>
      </c>
    </row>
    <row r="6" spans="1:14">
      <c r="A6" s="1" t="s">
        <v>7630</v>
      </c>
      <c r="B6" s="1" t="s">
        <v>3862</v>
      </c>
      <c r="C6" s="1">
        <v>7097</v>
      </c>
      <c r="E6" s="235">
        <v>1000</v>
      </c>
      <c r="G6" s="1" t="str">
        <f>IF(D6="","",IFERROR(IFERROR(INDEX('Hun Demand'!A:A,MATCH(_xlfn.CONCAT(A6,"-5000"),'Hun Demand'!AK:AK,0)),INDEX('Aub Demand'!A:A,MATCH(_xlfn.CONCAT(A6,"-5000"),'Aub Demand'!AK:AK,0))),"missing"))</f>
        <v/>
      </c>
      <c r="H6" s="1" t="str">
        <f>IF(E6="","",IFERROR(IFERROR(INDEX('Hun Demand'!A:A,MATCH(_xlfn.CONCAT(A6,"-6200"),'Hun Demand'!AK:AK,0)),INDEX('Aub Demand'!A:A,MATCH(_xlfn.CONCAT(A6,"-6200"),'Aub Demand'!AK:AK,0))),"missing"))</f>
        <v>110ST054-6200</v>
      </c>
    </row>
    <row r="7" spans="1:14">
      <c r="A7" s="1" t="s">
        <v>7631</v>
      </c>
      <c r="B7" s="1" t="s">
        <v>903</v>
      </c>
      <c r="C7" s="1">
        <v>6982</v>
      </c>
      <c r="E7" s="1">
        <v>1757</v>
      </c>
      <c r="G7" s="1" t="str">
        <f>IF(D7="","",IFERROR(IFERROR(INDEX('Hun Demand'!A:A,MATCH(_xlfn.CONCAT(A7,"-5000"),'Hun Demand'!AK:AK,0)),INDEX('Aub Demand'!A:A,MATCH(_xlfn.CONCAT(A7,"-5000"),'Aub Demand'!AK:AK,0))),"missing"))</f>
        <v/>
      </c>
      <c r="H7" s="1" t="str">
        <f>IF(E7="","",IFERROR(IFERROR(INDEX('Hun Demand'!A:A,MATCH(_xlfn.CONCAT(A7,"-6200"),'Hun Demand'!AK:AK,0)),INDEX('Aub Demand'!A:A,MATCH(_xlfn.CONCAT(A7,"-6200"),'Aub Demand'!AK:AK,0))),"missing"))</f>
        <v>100HP336-6200</v>
      </c>
    </row>
    <row r="8" spans="1:14">
      <c r="G8" s="1" t="str">
        <f>IF(D8="","",IFERROR(IFERROR(INDEX(#REF!,MATCH(_xlfn.CONCAT(A8,"-5000"),#REF!,0)),INDEX(#REF!,MATCH(_xlfn.CONCAT(A8,"-5000"),#REF!,0))),"missing"))</f>
        <v/>
      </c>
      <c r="H8" s="1" t="str">
        <f>IF(E8="","",IFERROR(IFERROR(INDEX(#REF!,MATCH(_xlfn.CONCAT(A8,"-6200"),#REF!,0)),INDEX(#REF!,MATCH(_xlfn.CONCAT(A8,"-6200"),#REF!,0))),"missing"))</f>
        <v/>
      </c>
    </row>
    <row r="9" spans="1:14">
      <c r="G9" s="1" t="str">
        <f>IF(D9="","",IFERROR(IFERROR(INDEX(#REF!,MATCH(_xlfn.CONCAT(A9,"-5000"),#REF!,0)),INDEX(#REF!,MATCH(_xlfn.CONCAT(A9,"-5000"),#REF!,0))),"missing"))</f>
        <v/>
      </c>
      <c r="H9" s="1" t="str">
        <f>IF(E9="","",IFERROR(IFERROR(INDEX(#REF!,MATCH(_xlfn.CONCAT(A9,"-6200"),#REF!,0)),INDEX(#REF!,MATCH(_xlfn.CONCAT(A9,"-6200"),#REF!,0))),"missing"))</f>
        <v/>
      </c>
    </row>
    <row r="10" spans="1:14">
      <c r="G10" s="1" t="str">
        <f>IF(D10="","",IFERROR(IFERROR(INDEX(#REF!,MATCH(_xlfn.CONCAT(A10,"-5000"),#REF!,0)),INDEX(#REF!,MATCH(_xlfn.CONCAT(A10,"-5000"),#REF!,0))),"missing"))</f>
        <v/>
      </c>
      <c r="H10" s="1" t="str">
        <f>IF(E10="","",IFERROR(IFERROR(INDEX(#REF!,MATCH(_xlfn.CONCAT(A10,"-6200"),#REF!,0)),INDEX(#REF!,MATCH(_xlfn.CONCAT(A10,"-6200"),#REF!,0))),"missing"))</f>
        <v/>
      </c>
    </row>
    <row r="11" spans="1:14">
      <c r="G11" s="1" t="str">
        <f>IF(D11="","",IFERROR(IFERROR(INDEX(#REF!,MATCH(_xlfn.CONCAT(A11,"-5000"),#REF!,0)),INDEX(#REF!,MATCH(_xlfn.CONCAT(A11,"-5000"),#REF!,0))),"missing"))</f>
        <v/>
      </c>
      <c r="H11" s="1" t="str">
        <f>IF(E11="","",IFERROR(IFERROR(INDEX(#REF!,MATCH(_xlfn.CONCAT(A11,"-6200"),#REF!,0)),INDEX(#REF!,MATCH(_xlfn.CONCAT(A11,"-6200"),#REF!,0))),"missing"))</f>
        <v/>
      </c>
    </row>
    <row r="12" spans="1:14">
      <c r="G12" s="1" t="str">
        <f>IF(D12="","",IFERROR(IFERROR(INDEX(#REF!,MATCH(_xlfn.CONCAT(A12,"-5000"),#REF!,0)),INDEX(#REF!,MATCH(_xlfn.CONCAT(A12,"-5000"),#REF!,0))),"missing"))</f>
        <v/>
      </c>
      <c r="H12" s="1" t="str">
        <f>IF(E12="","",IFERROR(IFERROR(INDEX(#REF!,MATCH(_xlfn.CONCAT(A12,"-6200"),#REF!,0)),INDEX(#REF!,MATCH(_xlfn.CONCAT(A12,"-6200"),#REF!,0))),"missing"))</f>
        <v/>
      </c>
    </row>
    <row r="13" spans="1:14">
      <c r="G13" s="1" t="str">
        <f>IF(D13="","",IFERROR(IFERROR(INDEX(#REF!,MATCH(_xlfn.CONCAT(A13,"-5000"),#REF!,0)),INDEX(#REF!,MATCH(_xlfn.CONCAT(A13,"-5000"),#REF!,0))),"missing"))</f>
        <v/>
      </c>
      <c r="H13" s="1" t="str">
        <f>IF(E13="","",IFERROR(IFERROR(INDEX(#REF!,MATCH(_xlfn.CONCAT(A13,"-6200"),#REF!,0)),INDEX(#REF!,MATCH(_xlfn.CONCAT(A13,"-6200"),#REF!,0))),"missing"))</f>
        <v/>
      </c>
    </row>
    <row r="14" spans="1:14">
      <c r="G14" s="1" t="str">
        <f>IF(D14="","",IFERROR(IFERROR(INDEX(#REF!,MATCH(_xlfn.CONCAT(A14,"-5000"),#REF!,0)),INDEX(#REF!,MATCH(_xlfn.CONCAT(A14,"-5000"),#REF!,0))),"missing"))</f>
        <v/>
      </c>
      <c r="H14" s="1" t="str">
        <f>IF(E14="","",IFERROR(IFERROR(INDEX(#REF!,MATCH(_xlfn.CONCAT(A14,"-6200"),#REF!,0)),INDEX(#REF!,MATCH(_xlfn.CONCAT(A14,"-6200"),#REF!,0))),"missing"))</f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BE14E-589A-4E9C-A47E-3A54B6BA65CB}">
  <sheetPr codeName="Sheet7">
    <tabColor theme="4" tint="-0.249977111117893"/>
  </sheetPr>
  <dimension ref="A1:S794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20.85546875" bestFit="1" customWidth="1"/>
    <col min="2" max="2" width="17.7109375" bestFit="1" customWidth="1"/>
    <col min="3" max="3" width="33.140625" bestFit="1" customWidth="1"/>
    <col min="4" max="4" width="10.7109375" bestFit="1" customWidth="1"/>
    <col min="5" max="5" width="12.42578125" bestFit="1" customWidth="1"/>
    <col min="6" max="6" width="11.5703125" bestFit="1" customWidth="1"/>
    <col min="7" max="8" width="6.5703125" bestFit="1" customWidth="1"/>
    <col min="9" max="14" width="11.5703125" bestFit="1" customWidth="1"/>
    <col min="15" max="15" width="16.140625" bestFit="1" customWidth="1"/>
    <col min="16" max="16" width="29.7109375" bestFit="1" customWidth="1"/>
    <col min="17" max="17" width="7.7109375" bestFit="1" customWidth="1"/>
    <col min="18" max="18" width="10.28515625" bestFit="1" customWidth="1"/>
    <col min="19" max="19" width="8.5703125" bestFit="1" customWidth="1"/>
  </cols>
  <sheetData>
    <row r="1" spans="1:19" ht="16.5" thickTop="1" thickBot="1">
      <c r="A1" s="11" t="s">
        <v>6447</v>
      </c>
      <c r="B1" s="224" t="s">
        <v>6448</v>
      </c>
    </row>
    <row r="2" spans="1:19" ht="16.5" thickTop="1" thickBot="1">
      <c r="A2" s="11" t="s">
        <v>4666</v>
      </c>
      <c r="B2" s="11" t="s">
        <v>4667</v>
      </c>
      <c r="C2" s="11" t="s">
        <v>4668</v>
      </c>
      <c r="D2" s="11" t="s">
        <v>4669</v>
      </c>
      <c r="E2" s="11" t="s">
        <v>4670</v>
      </c>
      <c r="F2" s="11" t="s">
        <v>4671</v>
      </c>
      <c r="G2" s="11" t="s">
        <v>4672</v>
      </c>
      <c r="H2" s="11" t="s">
        <v>4673</v>
      </c>
      <c r="I2" s="11" t="s">
        <v>4674</v>
      </c>
      <c r="J2" s="11" t="s">
        <v>4675</v>
      </c>
      <c r="K2" s="11" t="s">
        <v>4676</v>
      </c>
      <c r="L2" s="11" t="s">
        <v>4677</v>
      </c>
      <c r="M2" s="11" t="s">
        <v>4678</v>
      </c>
      <c r="N2" s="11" t="s">
        <v>4679</v>
      </c>
      <c r="O2" s="11" t="s">
        <v>4680</v>
      </c>
      <c r="P2" s="11" t="s">
        <v>4681</v>
      </c>
      <c r="Q2" s="14" t="s">
        <v>4628</v>
      </c>
      <c r="R2" s="14" t="s">
        <v>5229</v>
      </c>
      <c r="S2" s="14" t="s">
        <v>5230</v>
      </c>
    </row>
    <row r="3" spans="1:19" ht="15.75" thickTop="1">
      <c r="A3" s="12" t="s">
        <v>4682</v>
      </c>
      <c r="B3" s="12" t="s">
        <v>5225</v>
      </c>
      <c r="C3" s="12" t="s">
        <v>5226</v>
      </c>
      <c r="D3" s="12" t="s">
        <v>3790</v>
      </c>
      <c r="E3" s="13">
        <v>614395.56999999995</v>
      </c>
      <c r="F3" s="13">
        <v>614395.56999999995</v>
      </c>
      <c r="G3" s="13">
        <v>0</v>
      </c>
      <c r="H3" s="13">
        <v>0</v>
      </c>
      <c r="I3" s="13">
        <v>89516.61</v>
      </c>
      <c r="J3" s="13">
        <v>414585</v>
      </c>
      <c r="K3" s="13">
        <v>495811</v>
      </c>
      <c r="L3" s="13">
        <v>571864</v>
      </c>
      <c r="M3" s="13">
        <v>272327</v>
      </c>
      <c r="N3" s="13">
        <v>115259</v>
      </c>
      <c r="O3">
        <v>1959362</v>
      </c>
      <c r="P3">
        <v>326560</v>
      </c>
      <c r="Q3" t="str">
        <f>IF(RIGHT(B3,2)="1C",MID(B3,4,5),"")</f>
        <v/>
      </c>
      <c r="R3" t="str">
        <f>IF(RIGHT(B3,2)="1C",MID(B3,SEARCH("-",B3,1)+1,6),"")</f>
        <v/>
      </c>
      <c r="S3" t="str">
        <f>IF(RIGHT(R3,2)="1C",(INDEX(Tables!H:H,MATCH(R3,Tables!G:G,0))),"")</f>
        <v/>
      </c>
    </row>
    <row r="4" spans="1:19">
      <c r="A4" s="12" t="s">
        <v>4682</v>
      </c>
      <c r="B4" s="12" t="s">
        <v>5219</v>
      </c>
      <c r="C4" s="12" t="s">
        <v>5220</v>
      </c>
      <c r="D4" s="12" t="s">
        <v>3790</v>
      </c>
      <c r="E4" s="13">
        <v>108448.2</v>
      </c>
      <c r="F4" s="13">
        <v>108448.2</v>
      </c>
      <c r="G4" s="13">
        <v>0</v>
      </c>
      <c r="H4" s="13">
        <v>0</v>
      </c>
      <c r="I4" s="13">
        <v>0</v>
      </c>
      <c r="J4" s="13">
        <v>0</v>
      </c>
      <c r="K4" s="13">
        <v>9004</v>
      </c>
      <c r="L4" s="13">
        <v>81206</v>
      </c>
      <c r="M4" s="13">
        <v>57959</v>
      </c>
      <c r="N4" s="13">
        <v>17675</v>
      </c>
      <c r="O4">
        <v>165844</v>
      </c>
      <c r="P4">
        <v>27640.6</v>
      </c>
      <c r="Q4" t="str">
        <f t="shared" ref="Q4:Q67" si="0">IF(RIGHT(B4,2)="1C",MID(B4,4,5),"")</f>
        <v/>
      </c>
      <c r="R4" t="str">
        <f t="shared" ref="R4:R67" si="1">IF(RIGHT(B4,2)="1C",MID(B4,SEARCH("-",B4,1)+1,6),"")</f>
        <v/>
      </c>
      <c r="S4" t="str">
        <f>IF(RIGHT(R4,2)="1C",(INDEX(Tables!H:H,MATCH(R4,Tables!G:G,0))),"")</f>
        <v/>
      </c>
    </row>
    <row r="5" spans="1:19">
      <c r="A5" s="12" t="s">
        <v>4682</v>
      </c>
      <c r="B5" s="12" t="s">
        <v>5221</v>
      </c>
      <c r="C5" s="12" t="s">
        <v>5222</v>
      </c>
      <c r="D5" s="12" t="s">
        <v>3790</v>
      </c>
      <c r="E5" s="13">
        <v>197904.71</v>
      </c>
      <c r="F5" s="13">
        <v>197904.71</v>
      </c>
      <c r="G5" s="13">
        <v>0</v>
      </c>
      <c r="H5" s="13">
        <v>0</v>
      </c>
      <c r="I5" s="13">
        <v>7780.5</v>
      </c>
      <c r="J5" s="13">
        <v>116093</v>
      </c>
      <c r="K5" s="13">
        <v>117772</v>
      </c>
      <c r="L5" s="13">
        <v>145555</v>
      </c>
      <c r="M5" s="13">
        <v>37675</v>
      </c>
      <c r="N5" s="13">
        <v>22326</v>
      </c>
      <c r="O5">
        <v>447201</v>
      </c>
      <c r="P5">
        <v>74533.5</v>
      </c>
      <c r="Q5" t="str">
        <f t="shared" si="0"/>
        <v/>
      </c>
      <c r="R5" t="str">
        <f t="shared" si="1"/>
        <v/>
      </c>
      <c r="S5" t="str">
        <f>IF(RIGHT(R5,2)="1C",(INDEX(Tables!H:H,MATCH(R5,Tables!G:G,0))),"")</f>
        <v/>
      </c>
    </row>
    <row r="6" spans="1:19">
      <c r="A6" s="12" t="s">
        <v>4682</v>
      </c>
      <c r="B6" s="12" t="s">
        <v>5183</v>
      </c>
      <c r="C6" s="12" t="s">
        <v>5184</v>
      </c>
      <c r="D6" s="12" t="s">
        <v>3790</v>
      </c>
      <c r="E6" s="13">
        <v>49779.13</v>
      </c>
      <c r="F6" s="13">
        <v>49779.13</v>
      </c>
      <c r="G6" s="13">
        <v>0</v>
      </c>
      <c r="H6" s="13">
        <v>0</v>
      </c>
      <c r="I6" s="13">
        <v>0</v>
      </c>
      <c r="J6" s="13">
        <v>0</v>
      </c>
      <c r="K6" s="13">
        <v>3694</v>
      </c>
      <c r="L6" s="13">
        <v>5141</v>
      </c>
      <c r="M6" s="13">
        <v>3634</v>
      </c>
      <c r="N6" s="13">
        <v>5818</v>
      </c>
      <c r="O6">
        <v>18287</v>
      </c>
      <c r="P6">
        <v>3047.83</v>
      </c>
      <c r="Q6" t="str">
        <f t="shared" si="0"/>
        <v/>
      </c>
      <c r="R6" t="str">
        <f t="shared" si="1"/>
        <v/>
      </c>
      <c r="S6" t="str">
        <f>IF(RIGHT(R6,2)="1C",(INDEX(Tables!H:H,MATCH(R6,Tables!G:G,0))),"")</f>
        <v/>
      </c>
    </row>
    <row r="7" spans="1:19">
      <c r="A7" s="12" t="s">
        <v>4682</v>
      </c>
      <c r="B7" s="12" t="s">
        <v>7298</v>
      </c>
      <c r="C7" s="12" t="s">
        <v>7259</v>
      </c>
      <c r="D7" s="12" t="s">
        <v>3790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>
        <v>0</v>
      </c>
      <c r="P7">
        <v>0</v>
      </c>
      <c r="Q7" t="str">
        <f t="shared" si="0"/>
        <v/>
      </c>
      <c r="R7" t="str">
        <f t="shared" si="1"/>
        <v/>
      </c>
      <c r="S7" t="str">
        <f>IF(RIGHT(R7,2)="1C",(INDEX(Tables!H:H,MATCH(R7,Tables!G:G,0))),"")</f>
        <v/>
      </c>
    </row>
    <row r="8" spans="1:19">
      <c r="A8" s="12" t="s">
        <v>4682</v>
      </c>
      <c r="B8" s="12" t="s">
        <v>7155</v>
      </c>
      <c r="C8" s="12" t="s">
        <v>7156</v>
      </c>
      <c r="D8" s="12" t="s">
        <v>3790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>
        <v>0</v>
      </c>
      <c r="P8">
        <v>0</v>
      </c>
      <c r="Q8" t="str">
        <f t="shared" si="0"/>
        <v>00081</v>
      </c>
      <c r="R8" t="str">
        <f t="shared" si="1"/>
        <v>CIM1C</v>
      </c>
      <c r="S8">
        <f>IF(RIGHT(R8,2)="1C",(INDEX(Tables!H:H,MATCH(R8,Tables!G:G,0))),"")</f>
        <v>50</v>
      </c>
    </row>
    <row r="9" spans="1:19">
      <c r="A9" s="12" t="s">
        <v>4682</v>
      </c>
      <c r="B9" s="12" t="s">
        <v>6851</v>
      </c>
      <c r="C9" s="12" t="s">
        <v>6852</v>
      </c>
      <c r="D9" s="12" t="s">
        <v>3790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>
        <v>0</v>
      </c>
      <c r="P9">
        <v>0</v>
      </c>
      <c r="Q9" t="str">
        <f t="shared" si="0"/>
        <v/>
      </c>
      <c r="R9" t="str">
        <f t="shared" si="1"/>
        <v/>
      </c>
      <c r="S9" t="str">
        <f>IF(RIGHT(R9,2)="1C",(INDEX(Tables!H:H,MATCH(R9,Tables!G:G,0))),"")</f>
        <v/>
      </c>
    </row>
    <row r="10" spans="1:19">
      <c r="A10" s="12" t="s">
        <v>4682</v>
      </c>
      <c r="B10" s="12" t="s">
        <v>6835</v>
      </c>
      <c r="C10" s="12" t="s">
        <v>6836</v>
      </c>
      <c r="D10" s="12" t="s">
        <v>3790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>
        <v>0</v>
      </c>
      <c r="P10">
        <v>0</v>
      </c>
      <c r="Q10" t="str">
        <f t="shared" si="0"/>
        <v>00081</v>
      </c>
      <c r="R10" t="str">
        <f t="shared" si="1"/>
        <v>CMZ1C</v>
      </c>
      <c r="S10">
        <f>IF(RIGHT(R10,2)="1C",(INDEX(Tables!H:H,MATCH(R10,Tables!G:G,0))),"")</f>
        <v>62</v>
      </c>
    </row>
    <row r="11" spans="1:19">
      <c r="A11" s="12" t="s">
        <v>4682</v>
      </c>
      <c r="B11" s="12" t="s">
        <v>6987</v>
      </c>
      <c r="C11" s="12" t="s">
        <v>6988</v>
      </c>
      <c r="D11" s="12" t="s">
        <v>3790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>
        <v>0</v>
      </c>
      <c r="P11">
        <v>0</v>
      </c>
      <c r="Q11" t="str">
        <f t="shared" si="0"/>
        <v/>
      </c>
      <c r="R11" t="str">
        <f t="shared" si="1"/>
        <v/>
      </c>
      <c r="S11" t="str">
        <f>IF(RIGHT(R11,2)="1C",(INDEX(Tables!H:H,MATCH(R11,Tables!G:G,0))),"")</f>
        <v/>
      </c>
    </row>
    <row r="12" spans="1:19">
      <c r="A12" s="12" t="s">
        <v>4682</v>
      </c>
      <c r="B12" s="12" t="s">
        <v>5217</v>
      </c>
      <c r="C12" s="12" t="s">
        <v>5218</v>
      </c>
      <c r="D12" s="12" t="s">
        <v>3790</v>
      </c>
      <c r="E12" s="13">
        <v>14431</v>
      </c>
      <c r="F12" s="13">
        <v>14431</v>
      </c>
      <c r="G12" s="13">
        <v>0</v>
      </c>
      <c r="H12" s="13">
        <v>0</v>
      </c>
      <c r="I12" s="13">
        <v>14774</v>
      </c>
      <c r="J12" s="13">
        <v>25699</v>
      </c>
      <c r="K12" s="13">
        <v>7326</v>
      </c>
      <c r="L12" s="13">
        <v>13325</v>
      </c>
      <c r="M12" s="13">
        <v>4344</v>
      </c>
      <c r="N12" s="13">
        <v>12885</v>
      </c>
      <c r="O12">
        <v>78353</v>
      </c>
      <c r="P12">
        <v>13058.8</v>
      </c>
      <c r="Q12" t="str">
        <f t="shared" si="0"/>
        <v/>
      </c>
      <c r="R12" t="str">
        <f t="shared" si="1"/>
        <v/>
      </c>
      <c r="S12" t="str">
        <f>IF(RIGHT(R12,2)="1C",(INDEX(Tables!H:H,MATCH(R12,Tables!G:G,0))),"")</f>
        <v/>
      </c>
    </row>
    <row r="13" spans="1:19">
      <c r="A13" s="12" t="s">
        <v>4682</v>
      </c>
      <c r="B13" s="12" t="s">
        <v>5203</v>
      </c>
      <c r="C13" s="12" t="s">
        <v>5204</v>
      </c>
      <c r="D13" s="12" t="s">
        <v>3790</v>
      </c>
      <c r="E13" s="13">
        <v>7710</v>
      </c>
      <c r="F13" s="13">
        <v>7710</v>
      </c>
      <c r="G13" s="13">
        <v>0</v>
      </c>
      <c r="H13" s="13">
        <v>0</v>
      </c>
      <c r="I13" s="13">
        <v>615</v>
      </c>
      <c r="J13" s="13">
        <v>9200</v>
      </c>
      <c r="K13" s="13">
        <v>8265</v>
      </c>
      <c r="L13" s="13">
        <v>9030</v>
      </c>
      <c r="M13" s="13">
        <v>0</v>
      </c>
      <c r="N13" s="13">
        <v>5300</v>
      </c>
      <c r="O13">
        <v>32410</v>
      </c>
      <c r="P13">
        <v>5401.66</v>
      </c>
      <c r="Q13" t="str">
        <f t="shared" si="0"/>
        <v/>
      </c>
      <c r="R13" t="str">
        <f t="shared" si="1"/>
        <v/>
      </c>
      <c r="S13" t="str">
        <f>IF(RIGHT(R13,2)="1C",(INDEX(Tables!H:H,MATCH(R13,Tables!G:G,0))),"")</f>
        <v/>
      </c>
    </row>
    <row r="14" spans="1:19">
      <c r="A14" s="12" t="s">
        <v>4682</v>
      </c>
      <c r="B14" s="12" t="s">
        <v>4785</v>
      </c>
      <c r="C14" s="12" t="s">
        <v>4786</v>
      </c>
      <c r="D14" s="12" t="s">
        <v>3790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295</v>
      </c>
      <c r="M14" s="13">
        <v>0</v>
      </c>
      <c r="N14" s="13">
        <v>0</v>
      </c>
      <c r="O14">
        <v>295</v>
      </c>
      <c r="P14">
        <v>49.166600000000003</v>
      </c>
      <c r="Q14" t="str">
        <f t="shared" si="0"/>
        <v/>
      </c>
      <c r="R14" t="str">
        <f t="shared" si="1"/>
        <v/>
      </c>
      <c r="S14" t="str">
        <f>IF(RIGHT(R14,2)="1C",(INDEX(Tables!H:H,MATCH(R14,Tables!G:G,0))),"")</f>
        <v/>
      </c>
    </row>
    <row r="15" spans="1:19">
      <c r="A15" s="12" t="s">
        <v>4682</v>
      </c>
      <c r="B15" s="12" t="s">
        <v>4971</v>
      </c>
      <c r="C15" s="12" t="s">
        <v>4972</v>
      </c>
      <c r="D15" s="12" t="s">
        <v>3790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1281</v>
      </c>
      <c r="N15" s="13">
        <v>755</v>
      </c>
      <c r="O15">
        <v>2036</v>
      </c>
      <c r="P15">
        <v>339.33300000000003</v>
      </c>
      <c r="Q15" t="str">
        <f t="shared" si="0"/>
        <v/>
      </c>
      <c r="R15" t="str">
        <f t="shared" si="1"/>
        <v/>
      </c>
      <c r="S15" t="str">
        <f>IF(RIGHT(R15,2)="1C",(INDEX(Tables!H:H,MATCH(R15,Tables!G:G,0))),"")</f>
        <v/>
      </c>
    </row>
    <row r="16" spans="1:19">
      <c r="A16" s="12" t="s">
        <v>4682</v>
      </c>
      <c r="B16" s="12" t="s">
        <v>6511</v>
      </c>
      <c r="C16" s="12" t="s">
        <v>6512</v>
      </c>
      <c r="D16" s="12" t="s">
        <v>3790</v>
      </c>
      <c r="E16" s="13">
        <v>0</v>
      </c>
      <c r="F16" s="13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>
        <v>0</v>
      </c>
      <c r="P16">
        <v>0</v>
      </c>
      <c r="Q16" t="str">
        <f t="shared" si="0"/>
        <v/>
      </c>
      <c r="R16" t="str">
        <f t="shared" si="1"/>
        <v/>
      </c>
      <c r="S16" t="str">
        <f>IF(RIGHT(R16,2)="1C",(INDEX(Tables!H:H,MATCH(R16,Tables!G:G,0))),"")</f>
        <v/>
      </c>
    </row>
    <row r="17" spans="1:19">
      <c r="A17" s="12" t="s">
        <v>4682</v>
      </c>
      <c r="B17" s="12" t="s">
        <v>6513</v>
      </c>
      <c r="C17" s="12" t="s">
        <v>4950</v>
      </c>
      <c r="D17" s="12" t="s">
        <v>3790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>
        <v>0</v>
      </c>
      <c r="P17">
        <v>0</v>
      </c>
      <c r="Q17" t="str">
        <f t="shared" si="0"/>
        <v/>
      </c>
      <c r="R17" t="str">
        <f t="shared" si="1"/>
        <v/>
      </c>
      <c r="S17" t="str">
        <f>IF(RIGHT(R17,2)="1C",(INDEX(Tables!H:H,MATCH(R17,Tables!G:G,0))),"")</f>
        <v/>
      </c>
    </row>
    <row r="18" spans="1:19">
      <c r="A18" s="12" t="s">
        <v>4682</v>
      </c>
      <c r="B18" s="12" t="s">
        <v>6514</v>
      </c>
      <c r="C18" s="12" t="s">
        <v>6515</v>
      </c>
      <c r="D18" s="12" t="s">
        <v>3790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>
        <v>0</v>
      </c>
      <c r="P18">
        <v>0</v>
      </c>
      <c r="Q18" t="str">
        <f t="shared" si="0"/>
        <v/>
      </c>
      <c r="R18" t="str">
        <f t="shared" si="1"/>
        <v/>
      </c>
      <c r="S18" t="str">
        <f>IF(RIGHT(R18,2)="1C",(INDEX(Tables!H:H,MATCH(R18,Tables!G:G,0))),"")</f>
        <v/>
      </c>
    </row>
    <row r="19" spans="1:19">
      <c r="A19" s="12" t="s">
        <v>4682</v>
      </c>
      <c r="B19" s="12" t="s">
        <v>7190</v>
      </c>
      <c r="C19" s="12" t="s">
        <v>7191</v>
      </c>
      <c r="D19" s="12" t="s">
        <v>3790</v>
      </c>
      <c r="E19" s="13">
        <v>0</v>
      </c>
      <c r="F19" s="13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>
        <v>0</v>
      </c>
      <c r="P19">
        <v>0</v>
      </c>
      <c r="Q19" t="str">
        <f t="shared" si="0"/>
        <v>00104</v>
      </c>
      <c r="R19" t="str">
        <f t="shared" si="1"/>
        <v>CIM1C</v>
      </c>
      <c r="S19">
        <f>IF(RIGHT(R19,2)="1C",(INDEX(Tables!H:H,MATCH(R19,Tables!G:G,0))),"")</f>
        <v>50</v>
      </c>
    </row>
    <row r="20" spans="1:19">
      <c r="A20" s="12" t="s">
        <v>4682</v>
      </c>
      <c r="B20" s="12" t="s">
        <v>7192</v>
      </c>
      <c r="C20" s="12" t="s">
        <v>7193</v>
      </c>
      <c r="D20" s="12" t="s">
        <v>3790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>
        <v>0</v>
      </c>
      <c r="P20">
        <v>0</v>
      </c>
      <c r="Q20" t="str">
        <f t="shared" si="0"/>
        <v>00104</v>
      </c>
      <c r="R20" t="str">
        <f t="shared" si="1"/>
        <v>CMZ1C</v>
      </c>
      <c r="S20">
        <f>IF(RIGHT(R20,2)="1C",(INDEX(Tables!H:H,MATCH(R20,Tables!G:G,0))),"")</f>
        <v>62</v>
      </c>
    </row>
    <row r="21" spans="1:19">
      <c r="A21" s="12" t="s">
        <v>4682</v>
      </c>
      <c r="B21" s="12" t="s">
        <v>7194</v>
      </c>
      <c r="C21" s="12" t="s">
        <v>7195</v>
      </c>
      <c r="D21" s="12" t="s">
        <v>3790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>
        <v>0</v>
      </c>
      <c r="P21">
        <v>0</v>
      </c>
      <c r="Q21" t="str">
        <f t="shared" si="0"/>
        <v>00305</v>
      </c>
      <c r="R21" t="str">
        <f t="shared" si="1"/>
        <v>CIM1C</v>
      </c>
      <c r="S21">
        <f>IF(RIGHT(R21,2)="1C",(INDEX(Tables!H:H,MATCH(R21,Tables!G:G,0))),"")</f>
        <v>50</v>
      </c>
    </row>
    <row r="22" spans="1:19">
      <c r="A22" s="12" t="s">
        <v>4682</v>
      </c>
      <c r="B22" s="12" t="s">
        <v>7335</v>
      </c>
      <c r="C22" s="12" t="s">
        <v>7336</v>
      </c>
      <c r="D22" s="12" t="s">
        <v>3790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>
        <v>0</v>
      </c>
      <c r="P22">
        <v>0</v>
      </c>
      <c r="Q22" t="str">
        <f t="shared" si="0"/>
        <v>00305</v>
      </c>
      <c r="R22" t="str">
        <f t="shared" si="1"/>
        <v>CMZ1C</v>
      </c>
      <c r="S22">
        <f>IF(RIGHT(R22,2)="1C",(INDEX(Tables!H:H,MATCH(R22,Tables!G:G,0))),"")</f>
        <v>62</v>
      </c>
    </row>
    <row r="23" spans="1:19">
      <c r="A23" s="12" t="s">
        <v>4682</v>
      </c>
      <c r="B23" s="12" t="s">
        <v>7093</v>
      </c>
      <c r="C23" s="12" t="s">
        <v>7094</v>
      </c>
      <c r="D23" s="12" t="s">
        <v>3790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>
        <v>0</v>
      </c>
      <c r="P23">
        <v>0</v>
      </c>
      <c r="Q23" t="str">
        <f t="shared" si="0"/>
        <v>00306</v>
      </c>
      <c r="R23" t="str">
        <f t="shared" si="1"/>
        <v>CIM1C</v>
      </c>
      <c r="S23">
        <f>IF(RIGHT(R23,2)="1C",(INDEX(Tables!H:H,MATCH(R23,Tables!G:G,0))),"")</f>
        <v>50</v>
      </c>
    </row>
    <row r="24" spans="1:19">
      <c r="A24" s="12" t="s">
        <v>4682</v>
      </c>
      <c r="B24" s="12" t="s">
        <v>7270</v>
      </c>
      <c r="C24" s="12" t="s">
        <v>7271</v>
      </c>
      <c r="D24" s="12" t="s">
        <v>3790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>
        <v>0</v>
      </c>
      <c r="P24">
        <v>0</v>
      </c>
      <c r="Q24" t="str">
        <f t="shared" si="0"/>
        <v>00306</v>
      </c>
      <c r="R24" t="str">
        <f t="shared" si="1"/>
        <v>CMZ1C</v>
      </c>
      <c r="S24">
        <f>IF(RIGHT(R24,2)="1C",(INDEX(Tables!H:H,MATCH(R24,Tables!G:G,0))),"")</f>
        <v>62</v>
      </c>
    </row>
    <row r="25" spans="1:19">
      <c r="A25" s="12" t="s">
        <v>4682</v>
      </c>
      <c r="B25" s="12" t="s">
        <v>7095</v>
      </c>
      <c r="C25" s="12" t="s">
        <v>7096</v>
      </c>
      <c r="D25" s="12" t="s">
        <v>3790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>
        <v>0</v>
      </c>
      <c r="P25">
        <v>0</v>
      </c>
      <c r="Q25" t="str">
        <f t="shared" si="0"/>
        <v>00311</v>
      </c>
      <c r="R25" t="str">
        <f t="shared" si="1"/>
        <v>CIM1C</v>
      </c>
      <c r="S25">
        <f>IF(RIGHT(R25,2)="1C",(INDEX(Tables!H:H,MATCH(R25,Tables!G:G,0))),"")</f>
        <v>50</v>
      </c>
    </row>
    <row r="26" spans="1:19">
      <c r="A26" s="12" t="s">
        <v>4682</v>
      </c>
      <c r="B26" s="12" t="s">
        <v>7307</v>
      </c>
      <c r="C26" s="12" t="s">
        <v>7308</v>
      </c>
      <c r="D26" s="12" t="s">
        <v>3790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>
        <v>0</v>
      </c>
      <c r="P26">
        <v>0</v>
      </c>
      <c r="Q26" t="str">
        <f t="shared" si="0"/>
        <v>00311</v>
      </c>
      <c r="R26" t="str">
        <f t="shared" si="1"/>
        <v>CMZ1C</v>
      </c>
      <c r="S26">
        <f>IF(RIGHT(R26,2)="1C",(INDEX(Tables!H:H,MATCH(R26,Tables!G:G,0))),"")</f>
        <v>62</v>
      </c>
    </row>
    <row r="27" spans="1:19">
      <c r="A27" s="12" t="s">
        <v>4682</v>
      </c>
      <c r="B27" s="12" t="s">
        <v>7079</v>
      </c>
      <c r="C27" s="12" t="s">
        <v>7080</v>
      </c>
      <c r="D27" s="12" t="s">
        <v>3790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>
        <v>0</v>
      </c>
      <c r="P27">
        <v>0</v>
      </c>
      <c r="Q27" t="str">
        <f t="shared" si="0"/>
        <v>00312</v>
      </c>
      <c r="R27" t="str">
        <f t="shared" si="1"/>
        <v>CIM1C</v>
      </c>
      <c r="S27">
        <f>IF(RIGHT(R27,2)="1C",(INDEX(Tables!H:H,MATCH(R27,Tables!G:G,0))),"")</f>
        <v>50</v>
      </c>
    </row>
    <row r="28" spans="1:19">
      <c r="A28" s="12" t="s">
        <v>4682</v>
      </c>
      <c r="B28" s="12" t="s">
        <v>7309</v>
      </c>
      <c r="C28" s="12" t="s">
        <v>7310</v>
      </c>
      <c r="D28" s="12" t="s">
        <v>3790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>
        <v>0</v>
      </c>
      <c r="P28">
        <v>0</v>
      </c>
      <c r="Q28" t="str">
        <f t="shared" si="0"/>
        <v>00312</v>
      </c>
      <c r="R28" t="str">
        <f t="shared" si="1"/>
        <v>CMZ1C</v>
      </c>
      <c r="S28">
        <f>IF(RIGHT(R28,2)="1C",(INDEX(Tables!H:H,MATCH(R28,Tables!G:G,0))),"")</f>
        <v>62</v>
      </c>
    </row>
    <row r="29" spans="1:19">
      <c r="A29" s="12" t="s">
        <v>4682</v>
      </c>
      <c r="B29" s="12" t="s">
        <v>6580</v>
      </c>
      <c r="C29" s="12" t="s">
        <v>6581</v>
      </c>
      <c r="D29" s="12" t="s">
        <v>3790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>
        <v>0</v>
      </c>
      <c r="P29">
        <v>0</v>
      </c>
      <c r="Q29" t="str">
        <f t="shared" si="0"/>
        <v/>
      </c>
      <c r="R29" t="str">
        <f t="shared" si="1"/>
        <v/>
      </c>
      <c r="S29" t="str">
        <f>IF(RIGHT(R29,2)="1C",(INDEX(Tables!H:H,MATCH(R29,Tables!G:G,0))),"")</f>
        <v/>
      </c>
    </row>
    <row r="30" spans="1:19">
      <c r="A30" s="12" t="s">
        <v>6579</v>
      </c>
      <c r="B30" s="12" t="s">
        <v>6580</v>
      </c>
      <c r="C30" s="12" t="s">
        <v>6581</v>
      </c>
      <c r="D30" s="12" t="s">
        <v>3790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>
        <v>0</v>
      </c>
      <c r="P30">
        <v>0</v>
      </c>
      <c r="Q30" t="str">
        <f t="shared" si="0"/>
        <v/>
      </c>
      <c r="R30" t="str">
        <f t="shared" si="1"/>
        <v/>
      </c>
      <c r="S30" t="str">
        <f>IF(RIGHT(R30,2)="1C",(INDEX(Tables!H:H,MATCH(R30,Tables!G:G,0))),"")</f>
        <v/>
      </c>
    </row>
    <row r="31" spans="1:19">
      <c r="A31" s="12" t="s">
        <v>4682</v>
      </c>
      <c r="B31" s="12" t="s">
        <v>5081</v>
      </c>
      <c r="C31" s="12" t="s">
        <v>5082</v>
      </c>
      <c r="D31" s="12" t="s">
        <v>3790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>
        <v>0</v>
      </c>
      <c r="P31">
        <v>0</v>
      </c>
      <c r="Q31" t="str">
        <f t="shared" si="0"/>
        <v>00325</v>
      </c>
      <c r="R31" t="str">
        <f t="shared" si="1"/>
        <v>CIM1C</v>
      </c>
      <c r="S31">
        <f>IF(RIGHT(R31,2)="1C",(INDEX(Tables!H:H,MATCH(R31,Tables!G:G,0))),"")</f>
        <v>50</v>
      </c>
    </row>
    <row r="32" spans="1:19">
      <c r="A32" s="12" t="s">
        <v>4682</v>
      </c>
      <c r="B32" s="12" t="s">
        <v>7311</v>
      </c>
      <c r="C32" s="12" t="s">
        <v>7312</v>
      </c>
      <c r="D32" s="12" t="s">
        <v>3790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>
        <v>0</v>
      </c>
      <c r="P32">
        <v>0</v>
      </c>
      <c r="Q32" t="str">
        <f t="shared" si="0"/>
        <v>00325</v>
      </c>
      <c r="R32" t="str">
        <f t="shared" si="1"/>
        <v>CMZ1C</v>
      </c>
      <c r="S32">
        <f>IF(RIGHT(R32,2)="1C",(INDEX(Tables!H:H,MATCH(R32,Tables!G:G,0))),"")</f>
        <v>62</v>
      </c>
    </row>
    <row r="33" spans="1:19">
      <c r="A33" s="12" t="s">
        <v>4682</v>
      </c>
      <c r="B33" s="12" t="s">
        <v>7097</v>
      </c>
      <c r="C33" s="12" t="s">
        <v>7098</v>
      </c>
      <c r="D33" s="12" t="s">
        <v>3790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>
        <v>0</v>
      </c>
      <c r="P33">
        <v>0</v>
      </c>
      <c r="Q33" t="str">
        <f t="shared" si="0"/>
        <v>00326</v>
      </c>
      <c r="R33" t="str">
        <f t="shared" si="1"/>
        <v>CIM1C</v>
      </c>
      <c r="S33">
        <f>IF(RIGHT(R33,2)="1C",(INDEX(Tables!H:H,MATCH(R33,Tables!G:G,0))),"")</f>
        <v>50</v>
      </c>
    </row>
    <row r="34" spans="1:19">
      <c r="A34" s="12" t="s">
        <v>4682</v>
      </c>
      <c r="B34" s="12" t="s">
        <v>6881</v>
      </c>
      <c r="C34" s="12" t="s">
        <v>6882</v>
      </c>
      <c r="D34" s="12" t="s">
        <v>3790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>
        <v>0</v>
      </c>
      <c r="P34">
        <v>0</v>
      </c>
      <c r="Q34" t="str">
        <f t="shared" si="0"/>
        <v>00326</v>
      </c>
      <c r="R34" t="str">
        <f t="shared" si="1"/>
        <v>CMZ1C</v>
      </c>
      <c r="S34">
        <f>IF(RIGHT(R34,2)="1C",(INDEX(Tables!H:H,MATCH(R34,Tables!G:G,0))),"")</f>
        <v>62</v>
      </c>
    </row>
    <row r="35" spans="1:19">
      <c r="A35" s="12" t="s">
        <v>4682</v>
      </c>
      <c r="B35" s="12" t="s">
        <v>7081</v>
      </c>
      <c r="C35" s="12" t="s">
        <v>7082</v>
      </c>
      <c r="D35" s="12" t="s">
        <v>3790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>
        <v>0</v>
      </c>
      <c r="P35">
        <v>0</v>
      </c>
      <c r="Q35" t="str">
        <f t="shared" si="0"/>
        <v>00327</v>
      </c>
      <c r="R35" t="str">
        <f t="shared" si="1"/>
        <v>CIM1C</v>
      </c>
      <c r="S35">
        <f>IF(RIGHT(R35,2)="1C",(INDEX(Tables!H:H,MATCH(R35,Tables!G:G,0))),"")</f>
        <v>50</v>
      </c>
    </row>
    <row r="36" spans="1:19">
      <c r="A36" s="12" t="s">
        <v>4682</v>
      </c>
      <c r="B36" s="12" t="s">
        <v>7313</v>
      </c>
      <c r="C36" s="12" t="s">
        <v>7314</v>
      </c>
      <c r="D36" s="12" t="s">
        <v>3790</v>
      </c>
      <c r="E36" s="13">
        <v>0</v>
      </c>
      <c r="F36" s="13">
        <v>0</v>
      </c>
      <c r="G36" s="13">
        <v>0</v>
      </c>
      <c r="H36" s="13">
        <v>0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>
        <v>0</v>
      </c>
      <c r="P36">
        <v>0</v>
      </c>
      <c r="Q36" t="str">
        <f t="shared" si="0"/>
        <v>00327</v>
      </c>
      <c r="R36" t="str">
        <f t="shared" si="1"/>
        <v>CMZ1C</v>
      </c>
      <c r="S36">
        <f>IF(RIGHT(R36,2)="1C",(INDEX(Tables!H:H,MATCH(R36,Tables!G:G,0))),"")</f>
        <v>62</v>
      </c>
    </row>
    <row r="37" spans="1:19">
      <c r="A37" s="12" t="s">
        <v>4682</v>
      </c>
      <c r="B37" s="12" t="s">
        <v>7139</v>
      </c>
      <c r="C37" s="12" t="s">
        <v>7140</v>
      </c>
      <c r="D37" s="12" t="s">
        <v>3790</v>
      </c>
      <c r="E37" s="13">
        <v>0</v>
      </c>
      <c r="F37" s="13">
        <v>0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>
        <v>0</v>
      </c>
      <c r="P37">
        <v>0</v>
      </c>
      <c r="Q37" t="str">
        <f t="shared" si="0"/>
        <v>00328</v>
      </c>
      <c r="R37" t="str">
        <f t="shared" si="1"/>
        <v>CIM1C</v>
      </c>
      <c r="S37">
        <f>IF(RIGHT(R37,2)="1C",(INDEX(Tables!H:H,MATCH(R37,Tables!G:G,0))),"")</f>
        <v>50</v>
      </c>
    </row>
    <row r="38" spans="1:19">
      <c r="A38" s="12" t="s">
        <v>4682</v>
      </c>
      <c r="B38" s="12" t="s">
        <v>7141</v>
      </c>
      <c r="C38" s="12" t="s">
        <v>7142</v>
      </c>
      <c r="D38" s="12" t="s">
        <v>3790</v>
      </c>
      <c r="E38" s="13">
        <v>0</v>
      </c>
      <c r="F38" s="13">
        <v>0</v>
      </c>
      <c r="G38" s="13">
        <v>0</v>
      </c>
      <c r="H38" s="13">
        <v>0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>
        <v>0</v>
      </c>
      <c r="P38">
        <v>0</v>
      </c>
      <c r="Q38" t="str">
        <f t="shared" si="0"/>
        <v>00328</v>
      </c>
      <c r="R38" t="str">
        <f t="shared" si="1"/>
        <v>CMZ1C</v>
      </c>
      <c r="S38">
        <f>IF(RIGHT(R38,2)="1C",(INDEX(Tables!H:H,MATCH(R38,Tables!G:G,0))),"")</f>
        <v>62</v>
      </c>
    </row>
    <row r="39" spans="1:19">
      <c r="A39" s="12" t="s">
        <v>4682</v>
      </c>
      <c r="B39" s="12" t="s">
        <v>7077</v>
      </c>
      <c r="C39" s="12" t="s">
        <v>7078</v>
      </c>
      <c r="D39" s="12" t="s">
        <v>3790</v>
      </c>
      <c r="E39" s="13">
        <v>0</v>
      </c>
      <c r="F39" s="13">
        <v>0</v>
      </c>
      <c r="G39" s="13">
        <v>0</v>
      </c>
      <c r="H39" s="13">
        <v>0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>
        <v>0</v>
      </c>
      <c r="P39">
        <v>0</v>
      </c>
      <c r="Q39" t="str">
        <f t="shared" si="0"/>
        <v>00329</v>
      </c>
      <c r="R39" t="str">
        <f t="shared" si="1"/>
        <v>CIM1C</v>
      </c>
      <c r="S39">
        <f>IF(RIGHT(R39,2)="1C",(INDEX(Tables!H:H,MATCH(R39,Tables!G:G,0))),"")</f>
        <v>50</v>
      </c>
    </row>
    <row r="40" spans="1:19">
      <c r="A40" s="12" t="s">
        <v>4682</v>
      </c>
      <c r="B40" s="12" t="s">
        <v>7315</v>
      </c>
      <c r="C40" s="12" t="s">
        <v>7316</v>
      </c>
      <c r="D40" s="12" t="s">
        <v>3790</v>
      </c>
      <c r="E40" s="13">
        <v>0</v>
      </c>
      <c r="F40" s="13">
        <v>0</v>
      </c>
      <c r="G40" s="13">
        <v>0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>
        <v>0</v>
      </c>
      <c r="P40">
        <v>0</v>
      </c>
      <c r="Q40" t="str">
        <f t="shared" si="0"/>
        <v>00329</v>
      </c>
      <c r="R40" t="str">
        <f t="shared" si="1"/>
        <v>CMZ1C</v>
      </c>
      <c r="S40">
        <f>IF(RIGHT(R40,2)="1C",(INDEX(Tables!H:H,MATCH(R40,Tables!G:G,0))),"")</f>
        <v>62</v>
      </c>
    </row>
    <row r="41" spans="1:19">
      <c r="A41" s="12" t="s">
        <v>4682</v>
      </c>
      <c r="B41" s="12" t="s">
        <v>7137</v>
      </c>
      <c r="C41" s="12" t="s">
        <v>7138</v>
      </c>
      <c r="D41" s="12" t="s">
        <v>3790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>
        <v>0</v>
      </c>
      <c r="P41">
        <v>0</v>
      </c>
      <c r="Q41" t="str">
        <f t="shared" si="0"/>
        <v>00330</v>
      </c>
      <c r="R41" t="str">
        <f t="shared" si="1"/>
        <v>CIM1C</v>
      </c>
      <c r="S41">
        <f>IF(RIGHT(R41,2)="1C",(INDEX(Tables!H:H,MATCH(R41,Tables!G:G,0))),"")</f>
        <v>50</v>
      </c>
    </row>
    <row r="42" spans="1:19">
      <c r="A42" s="12" t="s">
        <v>4682</v>
      </c>
      <c r="B42" s="12" t="s">
        <v>7143</v>
      </c>
      <c r="C42" s="12" t="s">
        <v>7144</v>
      </c>
      <c r="D42" s="12" t="s">
        <v>3790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>
        <v>0</v>
      </c>
      <c r="P42">
        <v>0</v>
      </c>
      <c r="Q42" t="str">
        <f t="shared" si="0"/>
        <v>00330</v>
      </c>
      <c r="R42" t="str">
        <f t="shared" si="1"/>
        <v>CMZ1C</v>
      </c>
      <c r="S42">
        <f>IF(RIGHT(R42,2)="1C",(INDEX(Tables!H:H,MATCH(R42,Tables!G:G,0))),"")</f>
        <v>62</v>
      </c>
    </row>
    <row r="43" spans="1:19">
      <c r="A43" s="12" t="s">
        <v>4682</v>
      </c>
      <c r="B43" s="12" t="s">
        <v>7075</v>
      </c>
      <c r="C43" s="12" t="s">
        <v>7076</v>
      </c>
      <c r="D43" s="12" t="s">
        <v>3790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>
        <v>0</v>
      </c>
      <c r="P43">
        <v>0</v>
      </c>
      <c r="Q43" t="str">
        <f t="shared" si="0"/>
        <v>00331</v>
      </c>
      <c r="R43" t="str">
        <f t="shared" si="1"/>
        <v>CIM1C</v>
      </c>
      <c r="S43">
        <f>IF(RIGHT(R43,2)="1C",(INDEX(Tables!H:H,MATCH(R43,Tables!G:G,0))),"")</f>
        <v>50</v>
      </c>
    </row>
    <row r="44" spans="1:19">
      <c r="A44" s="12" t="s">
        <v>4682</v>
      </c>
      <c r="B44" s="12" t="s">
        <v>7282</v>
      </c>
      <c r="C44" s="12" t="s">
        <v>7283</v>
      </c>
      <c r="D44" s="12" t="s">
        <v>3790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>
        <v>0</v>
      </c>
      <c r="P44">
        <v>0</v>
      </c>
      <c r="Q44" t="str">
        <f t="shared" si="0"/>
        <v>00331</v>
      </c>
      <c r="R44" t="str">
        <f t="shared" si="1"/>
        <v>CMZ1C</v>
      </c>
      <c r="S44">
        <f>IF(RIGHT(R44,2)="1C",(INDEX(Tables!H:H,MATCH(R44,Tables!G:G,0))),"")</f>
        <v>62</v>
      </c>
    </row>
    <row r="45" spans="1:19">
      <c r="A45" s="12" t="s">
        <v>4682</v>
      </c>
      <c r="B45" s="12" t="s">
        <v>7091</v>
      </c>
      <c r="C45" s="12" t="s">
        <v>7092</v>
      </c>
      <c r="D45" s="12" t="s">
        <v>3790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>
        <v>0</v>
      </c>
      <c r="P45">
        <v>0</v>
      </c>
      <c r="Q45" t="str">
        <f t="shared" si="0"/>
        <v>00332</v>
      </c>
      <c r="R45" t="str">
        <f t="shared" si="1"/>
        <v>CIM1C</v>
      </c>
      <c r="S45">
        <f>IF(RIGHT(R45,2)="1C",(INDEX(Tables!H:H,MATCH(R45,Tables!G:G,0))),"")</f>
        <v>50</v>
      </c>
    </row>
    <row r="46" spans="1:19">
      <c r="A46" s="12" t="s">
        <v>4682</v>
      </c>
      <c r="B46" s="12" t="s">
        <v>7317</v>
      </c>
      <c r="C46" s="12" t="s">
        <v>7318</v>
      </c>
      <c r="D46" s="12" t="s">
        <v>3790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>
        <v>0</v>
      </c>
      <c r="P46">
        <v>0</v>
      </c>
      <c r="Q46" t="str">
        <f t="shared" si="0"/>
        <v>00332</v>
      </c>
      <c r="R46" t="str">
        <f t="shared" si="1"/>
        <v>CMZ1C</v>
      </c>
      <c r="S46">
        <f>IF(RIGHT(R46,2)="1C",(INDEX(Tables!H:H,MATCH(R46,Tables!G:G,0))),"")</f>
        <v>62</v>
      </c>
    </row>
    <row r="47" spans="1:19">
      <c r="A47" s="12" t="s">
        <v>4682</v>
      </c>
      <c r="B47" s="12" t="s">
        <v>6853</v>
      </c>
      <c r="C47" s="12" t="s">
        <v>6854</v>
      </c>
      <c r="D47" s="12" t="s">
        <v>3790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>
        <v>0</v>
      </c>
      <c r="P47">
        <v>0</v>
      </c>
      <c r="Q47" t="str">
        <f t="shared" si="0"/>
        <v>00333</v>
      </c>
      <c r="R47" t="str">
        <f t="shared" si="1"/>
        <v>CIM1C</v>
      </c>
      <c r="S47">
        <f>IF(RIGHT(R47,2)="1C",(INDEX(Tables!H:H,MATCH(R47,Tables!G:G,0))),"")</f>
        <v>50</v>
      </c>
    </row>
    <row r="48" spans="1:19">
      <c r="A48" s="12" t="s">
        <v>4682</v>
      </c>
      <c r="B48" s="12" t="s">
        <v>6915</v>
      </c>
      <c r="C48" s="12" t="s">
        <v>6916</v>
      </c>
      <c r="D48" s="12" t="s">
        <v>3790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>
        <v>0</v>
      </c>
      <c r="P48">
        <v>0</v>
      </c>
      <c r="Q48" t="str">
        <f t="shared" si="0"/>
        <v>00333</v>
      </c>
      <c r="R48" t="str">
        <f t="shared" si="1"/>
        <v>CMZ1C</v>
      </c>
      <c r="S48">
        <f>IF(RIGHT(R48,2)="1C",(INDEX(Tables!H:H,MATCH(R48,Tables!G:G,0))),"")</f>
        <v>62</v>
      </c>
    </row>
    <row r="49" spans="1:19">
      <c r="A49" s="12" t="s">
        <v>4682</v>
      </c>
      <c r="B49" s="12" t="s">
        <v>7085</v>
      </c>
      <c r="C49" s="12" t="s">
        <v>7086</v>
      </c>
      <c r="D49" s="12" t="s">
        <v>3790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>
        <v>0</v>
      </c>
      <c r="P49">
        <v>0</v>
      </c>
      <c r="Q49" t="str">
        <f t="shared" si="0"/>
        <v>00334</v>
      </c>
      <c r="R49" t="str">
        <f t="shared" si="1"/>
        <v>CIM1C</v>
      </c>
      <c r="S49">
        <f>IF(RIGHT(R49,2)="1C",(INDEX(Tables!H:H,MATCH(R49,Tables!G:G,0))),"")</f>
        <v>50</v>
      </c>
    </row>
    <row r="50" spans="1:19">
      <c r="A50" s="12" t="s">
        <v>4682</v>
      </c>
      <c r="B50" s="12" t="s">
        <v>7319</v>
      </c>
      <c r="C50" s="12" t="s">
        <v>7320</v>
      </c>
      <c r="D50" s="12" t="s">
        <v>3790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>
        <v>0</v>
      </c>
      <c r="P50">
        <v>0</v>
      </c>
      <c r="Q50" t="str">
        <f t="shared" si="0"/>
        <v>00334</v>
      </c>
      <c r="R50" t="str">
        <f t="shared" si="1"/>
        <v>CMZ1C</v>
      </c>
      <c r="S50">
        <f>IF(RIGHT(R50,2)="1C",(INDEX(Tables!H:H,MATCH(R50,Tables!G:G,0))),"")</f>
        <v>62</v>
      </c>
    </row>
    <row r="51" spans="1:19">
      <c r="A51" s="12" t="s">
        <v>4682</v>
      </c>
      <c r="B51" s="12" t="s">
        <v>4839</v>
      </c>
      <c r="C51" s="12" t="s">
        <v>4840</v>
      </c>
      <c r="D51" s="12" t="s">
        <v>3790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>
        <v>0</v>
      </c>
      <c r="P51">
        <v>0</v>
      </c>
      <c r="Q51" t="str">
        <f t="shared" si="0"/>
        <v>00335</v>
      </c>
      <c r="R51" t="str">
        <f t="shared" si="1"/>
        <v>CIM1C</v>
      </c>
      <c r="S51">
        <f>IF(RIGHT(R51,2)="1C",(INDEX(Tables!H:H,MATCH(R51,Tables!G:G,0))),"")</f>
        <v>50</v>
      </c>
    </row>
    <row r="52" spans="1:19">
      <c r="A52" s="12" t="s">
        <v>4682</v>
      </c>
      <c r="B52" s="12" t="s">
        <v>7321</v>
      </c>
      <c r="C52" s="12" t="s">
        <v>7322</v>
      </c>
      <c r="D52" s="12" t="s">
        <v>3790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>
        <v>0</v>
      </c>
      <c r="P52">
        <v>0</v>
      </c>
      <c r="Q52" t="str">
        <f t="shared" si="0"/>
        <v>00335</v>
      </c>
      <c r="R52" t="str">
        <f t="shared" si="1"/>
        <v>CMZ1C</v>
      </c>
      <c r="S52">
        <f>IF(RIGHT(R52,2)="1C",(INDEX(Tables!H:H,MATCH(R52,Tables!G:G,0))),"")</f>
        <v>62</v>
      </c>
    </row>
    <row r="53" spans="1:19">
      <c r="A53" s="12" t="s">
        <v>4682</v>
      </c>
      <c r="B53" s="12" t="s">
        <v>7073</v>
      </c>
      <c r="C53" s="12" t="s">
        <v>7074</v>
      </c>
      <c r="D53" s="12" t="s">
        <v>3790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>
        <v>0</v>
      </c>
      <c r="P53">
        <v>0</v>
      </c>
      <c r="Q53" t="str">
        <f t="shared" si="0"/>
        <v>00336</v>
      </c>
      <c r="R53" t="str">
        <f t="shared" si="1"/>
        <v>CIM1C</v>
      </c>
      <c r="S53">
        <f>IF(RIGHT(R53,2)="1C",(INDEX(Tables!H:H,MATCH(R53,Tables!G:G,0))),"")</f>
        <v>50</v>
      </c>
    </row>
    <row r="54" spans="1:19">
      <c r="A54" s="12" t="s">
        <v>4682</v>
      </c>
      <c r="B54" s="12" t="s">
        <v>7323</v>
      </c>
      <c r="C54" s="12" t="s">
        <v>7324</v>
      </c>
      <c r="D54" s="12" t="s">
        <v>3790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>
        <v>0</v>
      </c>
      <c r="P54">
        <v>0</v>
      </c>
      <c r="Q54" t="str">
        <f t="shared" si="0"/>
        <v>00336</v>
      </c>
      <c r="R54" t="str">
        <f t="shared" si="1"/>
        <v>CMZ1C</v>
      </c>
      <c r="S54">
        <f>IF(RIGHT(R54,2)="1C",(INDEX(Tables!H:H,MATCH(R54,Tables!G:G,0))),"")</f>
        <v>62</v>
      </c>
    </row>
    <row r="55" spans="1:19">
      <c r="A55" s="12" t="s">
        <v>4682</v>
      </c>
      <c r="B55" s="12" t="s">
        <v>7087</v>
      </c>
      <c r="C55" s="12" t="s">
        <v>7088</v>
      </c>
      <c r="D55" s="12" t="s">
        <v>3790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>
        <v>0</v>
      </c>
      <c r="P55">
        <v>0</v>
      </c>
      <c r="Q55" t="str">
        <f t="shared" si="0"/>
        <v>00337</v>
      </c>
      <c r="R55" t="str">
        <f t="shared" si="1"/>
        <v>CIM1C</v>
      </c>
      <c r="S55">
        <f>IF(RIGHT(R55,2)="1C",(INDEX(Tables!H:H,MATCH(R55,Tables!G:G,0))),"")</f>
        <v>50</v>
      </c>
    </row>
    <row r="56" spans="1:19">
      <c r="A56" s="12" t="s">
        <v>4682</v>
      </c>
      <c r="B56" s="12" t="s">
        <v>7325</v>
      </c>
      <c r="C56" s="12" t="s">
        <v>7326</v>
      </c>
      <c r="D56" s="12" t="s">
        <v>3790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>
        <v>0</v>
      </c>
      <c r="P56">
        <v>0</v>
      </c>
      <c r="Q56" t="str">
        <f t="shared" si="0"/>
        <v>00337</v>
      </c>
      <c r="R56" t="str">
        <f t="shared" si="1"/>
        <v>CMZ1C</v>
      </c>
      <c r="S56">
        <f>IF(RIGHT(R56,2)="1C",(INDEX(Tables!H:H,MATCH(R56,Tables!G:G,0))),"")</f>
        <v>62</v>
      </c>
    </row>
    <row r="57" spans="1:19">
      <c r="A57" s="12" t="s">
        <v>4682</v>
      </c>
      <c r="B57" s="12" t="s">
        <v>7089</v>
      </c>
      <c r="C57" s="12" t="s">
        <v>7090</v>
      </c>
      <c r="D57" s="12" t="s">
        <v>3790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>
        <v>0</v>
      </c>
      <c r="P57">
        <v>0</v>
      </c>
      <c r="Q57" t="str">
        <f t="shared" si="0"/>
        <v>00338</v>
      </c>
      <c r="R57" t="str">
        <f t="shared" si="1"/>
        <v>CIM1C</v>
      </c>
      <c r="S57">
        <f>IF(RIGHT(R57,2)="1C",(INDEX(Tables!H:H,MATCH(R57,Tables!G:G,0))),"")</f>
        <v>50</v>
      </c>
    </row>
    <row r="58" spans="1:19">
      <c r="A58" s="12" t="s">
        <v>4682</v>
      </c>
      <c r="B58" s="12" t="s">
        <v>7327</v>
      </c>
      <c r="C58" s="12" t="s">
        <v>7328</v>
      </c>
      <c r="D58" s="12" t="s">
        <v>3790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>
        <v>0</v>
      </c>
      <c r="P58">
        <v>0</v>
      </c>
      <c r="Q58" t="str">
        <f t="shared" si="0"/>
        <v>00338</v>
      </c>
      <c r="R58" t="str">
        <f t="shared" si="1"/>
        <v>CMZ1C</v>
      </c>
      <c r="S58">
        <f>IF(RIGHT(R58,2)="1C",(INDEX(Tables!H:H,MATCH(R58,Tables!G:G,0))),"")</f>
        <v>62</v>
      </c>
    </row>
    <row r="59" spans="1:19">
      <c r="A59" s="12" t="s">
        <v>4682</v>
      </c>
      <c r="B59" s="12" t="s">
        <v>7083</v>
      </c>
      <c r="C59" s="12" t="s">
        <v>7084</v>
      </c>
      <c r="D59" s="12" t="s">
        <v>3790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>
        <v>0</v>
      </c>
      <c r="P59">
        <v>0</v>
      </c>
      <c r="Q59" t="str">
        <f t="shared" si="0"/>
        <v>00339</v>
      </c>
      <c r="R59" t="str">
        <f t="shared" si="1"/>
        <v>CIM1C</v>
      </c>
      <c r="S59">
        <f>IF(RIGHT(R59,2)="1C",(INDEX(Tables!H:H,MATCH(R59,Tables!G:G,0))),"")</f>
        <v>50</v>
      </c>
    </row>
    <row r="60" spans="1:19">
      <c r="A60" s="12" t="s">
        <v>4682</v>
      </c>
      <c r="B60" s="12" t="s">
        <v>7329</v>
      </c>
      <c r="C60" s="12" t="s">
        <v>7330</v>
      </c>
      <c r="D60" s="12" t="s">
        <v>3790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>
        <v>0</v>
      </c>
      <c r="P60">
        <v>0</v>
      </c>
      <c r="Q60" t="str">
        <f t="shared" si="0"/>
        <v>00339</v>
      </c>
      <c r="R60" t="str">
        <f t="shared" si="1"/>
        <v>CMZ1C</v>
      </c>
      <c r="S60">
        <f>IF(RIGHT(R60,2)="1C",(INDEX(Tables!H:H,MATCH(R60,Tables!G:G,0))),"")</f>
        <v>62</v>
      </c>
    </row>
    <row r="61" spans="1:19">
      <c r="A61" s="12" t="s">
        <v>4682</v>
      </c>
      <c r="B61" s="12" t="s">
        <v>7428</v>
      </c>
      <c r="C61" s="12" t="s">
        <v>7429</v>
      </c>
      <c r="D61" s="12" t="s">
        <v>3790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>
        <v>0</v>
      </c>
      <c r="P61">
        <v>0</v>
      </c>
      <c r="Q61" t="str">
        <f t="shared" si="0"/>
        <v>AB221</v>
      </c>
      <c r="R61" t="str">
        <f t="shared" si="1"/>
        <v>CIM1C</v>
      </c>
      <c r="S61">
        <f>IF(RIGHT(R61,2)="1C",(INDEX(Tables!H:H,MATCH(R61,Tables!G:G,0))),"")</f>
        <v>50</v>
      </c>
    </row>
    <row r="62" spans="1:19">
      <c r="A62" s="12" t="s">
        <v>4682</v>
      </c>
      <c r="B62" s="12" t="s">
        <v>4889</v>
      </c>
      <c r="C62" s="12" t="s">
        <v>4890</v>
      </c>
      <c r="D62" s="12" t="s">
        <v>3790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344</v>
      </c>
      <c r="K62" s="13">
        <v>0</v>
      </c>
      <c r="L62" s="13">
        <v>1417</v>
      </c>
      <c r="M62" s="13">
        <v>0</v>
      </c>
      <c r="N62" s="13">
        <v>0</v>
      </c>
      <c r="O62">
        <v>1761</v>
      </c>
      <c r="P62">
        <v>293.5</v>
      </c>
      <c r="Q62" t="str">
        <f t="shared" si="0"/>
        <v/>
      </c>
      <c r="R62" t="str">
        <f t="shared" si="1"/>
        <v/>
      </c>
      <c r="S62" t="str">
        <f>IF(RIGHT(R62,2)="1C",(INDEX(Tables!H:H,MATCH(R62,Tables!G:G,0))),"")</f>
        <v/>
      </c>
    </row>
    <row r="63" spans="1:19">
      <c r="A63" s="12" t="s">
        <v>4682</v>
      </c>
      <c r="B63" s="12" t="s">
        <v>6656</v>
      </c>
      <c r="C63" s="12" t="s">
        <v>6657</v>
      </c>
      <c r="D63" s="12" t="s">
        <v>3790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>
        <v>0</v>
      </c>
      <c r="P63">
        <v>0</v>
      </c>
      <c r="Q63" t="str">
        <f t="shared" si="0"/>
        <v/>
      </c>
      <c r="R63" t="str">
        <f t="shared" si="1"/>
        <v/>
      </c>
      <c r="S63" t="str">
        <f>IF(RIGHT(R63,2)="1C",(INDEX(Tables!H:H,MATCH(R63,Tables!G:G,0))),"")</f>
        <v/>
      </c>
    </row>
    <row r="64" spans="1:19">
      <c r="A64" s="12" t="s">
        <v>4682</v>
      </c>
      <c r="B64" s="12" t="s">
        <v>6997</v>
      </c>
      <c r="C64" s="12" t="s">
        <v>6998</v>
      </c>
      <c r="D64" s="12" t="s">
        <v>3790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>
        <v>0</v>
      </c>
      <c r="P64">
        <v>0</v>
      </c>
      <c r="Q64" t="str">
        <f t="shared" si="0"/>
        <v>AE060</v>
      </c>
      <c r="R64" t="str">
        <f t="shared" si="1"/>
        <v>CIM1C</v>
      </c>
      <c r="S64">
        <f>IF(RIGHT(R64,2)="1C",(INDEX(Tables!H:H,MATCH(R64,Tables!G:G,0))),"")</f>
        <v>50</v>
      </c>
    </row>
    <row r="65" spans="1:19">
      <c r="A65" s="12" t="s">
        <v>4682</v>
      </c>
      <c r="B65" s="12" t="s">
        <v>4961</v>
      </c>
      <c r="C65" s="12" t="s">
        <v>4962</v>
      </c>
      <c r="D65" s="12" t="s">
        <v>3790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  <c r="L65" s="13">
        <v>1885</v>
      </c>
      <c r="M65" s="13">
        <v>442</v>
      </c>
      <c r="N65" s="13">
        <v>0</v>
      </c>
      <c r="O65">
        <v>2327</v>
      </c>
      <c r="P65">
        <v>387.83300000000003</v>
      </c>
      <c r="Q65" t="str">
        <f t="shared" si="0"/>
        <v>AE100</v>
      </c>
      <c r="R65" t="str">
        <f t="shared" si="1"/>
        <v>CIM1C</v>
      </c>
      <c r="S65">
        <f>IF(RIGHT(R65,2)="1C",(INDEX(Tables!H:H,MATCH(R65,Tables!G:G,0))),"")</f>
        <v>50</v>
      </c>
    </row>
    <row r="66" spans="1:19">
      <c r="A66" s="12" t="s">
        <v>4682</v>
      </c>
      <c r="B66" s="12" t="s">
        <v>4905</v>
      </c>
      <c r="C66" s="12" t="s">
        <v>4906</v>
      </c>
      <c r="D66" s="12" t="s">
        <v>3790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  <c r="L66" s="13">
        <v>1597</v>
      </c>
      <c r="M66" s="13">
        <v>0</v>
      </c>
      <c r="N66" s="13">
        <v>0</v>
      </c>
      <c r="O66">
        <v>1597</v>
      </c>
      <c r="P66">
        <v>266.166</v>
      </c>
      <c r="Q66" t="str">
        <f t="shared" si="0"/>
        <v>AE100</v>
      </c>
      <c r="R66" t="str">
        <f t="shared" si="1"/>
        <v>CMZ1C</v>
      </c>
      <c r="S66">
        <f>IF(RIGHT(R66,2)="1C",(INDEX(Tables!H:H,MATCH(R66,Tables!G:G,0))),"")</f>
        <v>62</v>
      </c>
    </row>
    <row r="67" spans="1:19">
      <c r="A67" s="12" t="s">
        <v>4682</v>
      </c>
      <c r="B67" s="12" t="s">
        <v>6865</v>
      </c>
      <c r="C67" s="12" t="s">
        <v>6866</v>
      </c>
      <c r="D67" s="12" t="s">
        <v>3790</v>
      </c>
      <c r="E67" s="13">
        <v>0</v>
      </c>
      <c r="F67" s="13">
        <v>0</v>
      </c>
      <c r="G67" s="13">
        <v>0</v>
      </c>
      <c r="H67" s="13">
        <v>0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>
        <v>0</v>
      </c>
      <c r="P67">
        <v>0</v>
      </c>
      <c r="Q67" t="str">
        <f t="shared" si="0"/>
        <v>AG011</v>
      </c>
      <c r="R67" t="str">
        <f t="shared" si="1"/>
        <v>CMZ1C</v>
      </c>
      <c r="S67">
        <f>IF(RIGHT(R67,2)="1C",(INDEX(Tables!H:H,MATCH(R67,Tables!G:G,0))),"")</f>
        <v>62</v>
      </c>
    </row>
    <row r="68" spans="1:19">
      <c r="A68" s="12" t="s">
        <v>4682</v>
      </c>
      <c r="B68" s="12" t="s">
        <v>5211</v>
      </c>
      <c r="C68" s="12" t="s">
        <v>5212</v>
      </c>
      <c r="D68" s="12" t="s">
        <v>3790</v>
      </c>
      <c r="E68" s="13">
        <v>11562.56</v>
      </c>
      <c r="F68" s="13">
        <v>11562.56</v>
      </c>
      <c r="G68" s="13">
        <v>0</v>
      </c>
      <c r="H68" s="13">
        <v>0</v>
      </c>
      <c r="I68" s="13">
        <v>0</v>
      </c>
      <c r="J68" s="13">
        <v>10966</v>
      </c>
      <c r="K68" s="13">
        <v>12178</v>
      </c>
      <c r="L68" s="13">
        <v>22492</v>
      </c>
      <c r="M68" s="13">
        <v>21442</v>
      </c>
      <c r="N68" s="13">
        <v>0</v>
      </c>
      <c r="O68">
        <v>67078</v>
      </c>
      <c r="P68">
        <v>11179.6</v>
      </c>
      <c r="Q68" t="str">
        <f t="shared" ref="Q68:Q131" si="2">IF(RIGHT(B68,2)="1C",MID(B68,4,5),"")</f>
        <v>AG021</v>
      </c>
      <c r="R68" t="str">
        <f t="shared" ref="R68:R131" si="3">IF(RIGHT(B68,2)="1C",MID(B68,SEARCH("-",B68,1)+1,6),"")</f>
        <v>CIM1C</v>
      </c>
      <c r="S68">
        <f>IF(RIGHT(R68,2)="1C",(INDEX(Tables!H:H,MATCH(R68,Tables!G:G,0))),"")</f>
        <v>50</v>
      </c>
    </row>
    <row r="69" spans="1:19">
      <c r="A69" s="12" t="s">
        <v>4682</v>
      </c>
      <c r="B69" s="12" t="s">
        <v>7366</v>
      </c>
      <c r="C69" s="12" t="s">
        <v>7367</v>
      </c>
      <c r="D69" s="12" t="s">
        <v>3790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>
        <v>0</v>
      </c>
      <c r="P69">
        <v>0</v>
      </c>
      <c r="Q69" t="str">
        <f t="shared" si="2"/>
        <v>AG021</v>
      </c>
      <c r="R69" t="str">
        <f t="shared" si="3"/>
        <v>CMZ1C</v>
      </c>
      <c r="S69">
        <f>IF(RIGHT(R69,2)="1C",(INDEX(Tables!H:H,MATCH(R69,Tables!G:G,0))),"")</f>
        <v>62</v>
      </c>
    </row>
    <row r="70" spans="1:19">
      <c r="A70" s="12" t="s">
        <v>4682</v>
      </c>
      <c r="B70" s="12" t="s">
        <v>4733</v>
      </c>
      <c r="C70" s="12" t="s">
        <v>4734</v>
      </c>
      <c r="D70" s="12" t="s">
        <v>3790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1671</v>
      </c>
      <c r="K70" s="13">
        <v>0</v>
      </c>
      <c r="L70" s="13">
        <v>0</v>
      </c>
      <c r="M70" s="13">
        <v>0</v>
      </c>
      <c r="N70" s="13">
        <v>0</v>
      </c>
      <c r="O70">
        <v>1671</v>
      </c>
      <c r="P70">
        <v>278.5</v>
      </c>
      <c r="Q70" t="str">
        <f t="shared" si="2"/>
        <v>AG031</v>
      </c>
      <c r="R70" t="str">
        <f t="shared" si="3"/>
        <v>CIM1C</v>
      </c>
      <c r="S70">
        <f>IF(RIGHT(R70,2)="1C",(INDEX(Tables!H:H,MATCH(R70,Tables!G:G,0))),"")</f>
        <v>50</v>
      </c>
    </row>
    <row r="71" spans="1:19">
      <c r="A71" s="12" t="s">
        <v>4682</v>
      </c>
      <c r="B71" s="12" t="s">
        <v>6867</v>
      </c>
      <c r="C71" s="12" t="s">
        <v>6868</v>
      </c>
      <c r="D71" s="12" t="s">
        <v>3790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>
        <v>0</v>
      </c>
      <c r="P71">
        <v>0</v>
      </c>
      <c r="Q71" t="str">
        <f t="shared" si="2"/>
        <v>AG041</v>
      </c>
      <c r="R71" t="str">
        <f t="shared" si="3"/>
        <v>CMZ1C</v>
      </c>
      <c r="S71">
        <f>IF(RIGHT(R71,2)="1C",(INDEX(Tables!H:H,MATCH(R71,Tables!G:G,0))),"")</f>
        <v>62</v>
      </c>
    </row>
    <row r="72" spans="1:19">
      <c r="A72" s="12" t="s">
        <v>4682</v>
      </c>
      <c r="B72" s="12" t="s">
        <v>4759</v>
      </c>
      <c r="C72" s="12" t="s">
        <v>4760</v>
      </c>
      <c r="D72" s="12" t="s">
        <v>3790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>
        <v>0</v>
      </c>
      <c r="P72">
        <v>0</v>
      </c>
      <c r="Q72" t="str">
        <f t="shared" si="2"/>
        <v>AG081</v>
      </c>
      <c r="R72" t="str">
        <f t="shared" si="3"/>
        <v>CIM1C</v>
      </c>
      <c r="S72">
        <f>IF(RIGHT(R72,2)="1C",(INDEX(Tables!H:H,MATCH(R72,Tables!G:G,0))),"")</f>
        <v>50</v>
      </c>
    </row>
    <row r="73" spans="1:19">
      <c r="A73" s="12" t="s">
        <v>4682</v>
      </c>
      <c r="B73" s="12" t="s">
        <v>6869</v>
      </c>
      <c r="C73" s="12" t="s">
        <v>6870</v>
      </c>
      <c r="D73" s="12" t="s">
        <v>3790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>
        <v>0</v>
      </c>
      <c r="P73">
        <v>0</v>
      </c>
      <c r="Q73" t="str">
        <f t="shared" si="2"/>
        <v>AG081</v>
      </c>
      <c r="R73" t="str">
        <f t="shared" si="3"/>
        <v>CMZ1C</v>
      </c>
      <c r="S73">
        <f>IF(RIGHT(R73,2)="1C",(INDEX(Tables!H:H,MATCH(R73,Tables!G:G,0))),"")</f>
        <v>62</v>
      </c>
    </row>
    <row r="74" spans="1:19">
      <c r="A74" s="12" t="s">
        <v>4682</v>
      </c>
      <c r="B74" s="12" t="s">
        <v>4893</v>
      </c>
      <c r="C74" s="12" t="s">
        <v>4894</v>
      </c>
      <c r="D74" s="12" t="s">
        <v>3790</v>
      </c>
      <c r="E74" s="13">
        <v>2900</v>
      </c>
      <c r="F74" s="13">
        <v>2900</v>
      </c>
      <c r="G74" s="13">
        <v>0</v>
      </c>
      <c r="H74" s="13">
        <v>0</v>
      </c>
      <c r="I74" s="13">
        <v>0</v>
      </c>
      <c r="J74" s="13">
        <v>311</v>
      </c>
      <c r="K74" s="13">
        <v>0</v>
      </c>
      <c r="L74" s="13">
        <v>1484</v>
      </c>
      <c r="M74" s="13">
        <v>0</v>
      </c>
      <c r="N74" s="13">
        <v>0</v>
      </c>
      <c r="O74">
        <v>1795</v>
      </c>
      <c r="P74">
        <v>299.166</v>
      </c>
      <c r="Q74" t="str">
        <f t="shared" si="2"/>
        <v>AG130</v>
      </c>
      <c r="R74" t="str">
        <f t="shared" si="3"/>
        <v>CIM1C</v>
      </c>
      <c r="S74">
        <f>IF(RIGHT(R74,2)="1C",(INDEX(Tables!H:H,MATCH(R74,Tables!G:G,0))),"")</f>
        <v>50</v>
      </c>
    </row>
    <row r="75" spans="1:19">
      <c r="A75" s="12" t="s">
        <v>4682</v>
      </c>
      <c r="B75" s="12" t="s">
        <v>6871</v>
      </c>
      <c r="C75" s="12" t="s">
        <v>6872</v>
      </c>
      <c r="D75" s="12" t="s">
        <v>3790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>
        <v>0</v>
      </c>
      <c r="P75">
        <v>0</v>
      </c>
      <c r="Q75" t="str">
        <f t="shared" si="2"/>
        <v>AG130</v>
      </c>
      <c r="R75" t="str">
        <f t="shared" si="3"/>
        <v>CMZ1C</v>
      </c>
      <c r="S75">
        <f>IF(RIGHT(R75,2)="1C",(INDEX(Tables!H:H,MATCH(R75,Tables!G:G,0))),"")</f>
        <v>62</v>
      </c>
    </row>
    <row r="76" spans="1:19">
      <c r="A76" s="12" t="s">
        <v>4682</v>
      </c>
      <c r="B76" s="12" t="s">
        <v>4913</v>
      </c>
      <c r="C76" s="12" t="s">
        <v>4914</v>
      </c>
      <c r="D76" s="12" t="s">
        <v>3790</v>
      </c>
      <c r="E76" s="13">
        <v>1365</v>
      </c>
      <c r="F76" s="13">
        <v>1365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1630</v>
      </c>
      <c r="O76">
        <v>1630</v>
      </c>
      <c r="P76">
        <v>271.666</v>
      </c>
      <c r="Q76" t="str">
        <f t="shared" si="2"/>
        <v/>
      </c>
      <c r="R76" t="str">
        <f t="shared" si="3"/>
        <v/>
      </c>
      <c r="S76" t="str">
        <f>IF(RIGHT(R76,2)="1C",(INDEX(Tables!H:H,MATCH(R76,Tables!G:G,0))),"")</f>
        <v/>
      </c>
    </row>
    <row r="77" spans="1:19">
      <c r="A77" s="12" t="s">
        <v>4682</v>
      </c>
      <c r="B77" s="12" t="s">
        <v>4887</v>
      </c>
      <c r="C77" s="12" t="s">
        <v>4888</v>
      </c>
      <c r="D77" s="12" t="s">
        <v>3790</v>
      </c>
      <c r="E77" s="13">
        <v>2550</v>
      </c>
      <c r="F77" s="13">
        <v>2550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  <c r="L77" s="13">
        <v>1407</v>
      </c>
      <c r="M77" s="13">
        <v>0</v>
      </c>
      <c r="N77" s="13">
        <v>0</v>
      </c>
      <c r="O77">
        <v>1407</v>
      </c>
      <c r="P77">
        <v>234.5</v>
      </c>
      <c r="Q77" t="str">
        <f t="shared" si="2"/>
        <v/>
      </c>
      <c r="R77" t="str">
        <f t="shared" si="3"/>
        <v/>
      </c>
      <c r="S77" t="str">
        <f>IF(RIGHT(R77,2)="1C",(INDEX(Tables!H:H,MATCH(R77,Tables!G:G,0))),"")</f>
        <v/>
      </c>
    </row>
    <row r="78" spans="1:19">
      <c r="A78" s="12" t="s">
        <v>4682</v>
      </c>
      <c r="B78" s="12" t="s">
        <v>7426</v>
      </c>
      <c r="C78" s="12" t="s">
        <v>7427</v>
      </c>
      <c r="D78" s="12" t="s">
        <v>3790</v>
      </c>
      <c r="E78" s="13">
        <v>0</v>
      </c>
      <c r="F78" s="13">
        <v>0</v>
      </c>
      <c r="G78" s="13">
        <v>0</v>
      </c>
      <c r="H78" s="13">
        <v>0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>
        <v>0</v>
      </c>
      <c r="P78">
        <v>0</v>
      </c>
      <c r="Q78" t="str">
        <f t="shared" si="2"/>
        <v>AG381</v>
      </c>
      <c r="R78" t="str">
        <f t="shared" si="3"/>
        <v>CIM1C</v>
      </c>
      <c r="S78">
        <f>IF(RIGHT(R78,2)="1C",(INDEX(Tables!H:H,MATCH(R78,Tables!G:G,0))),"")</f>
        <v>50</v>
      </c>
    </row>
    <row r="79" spans="1:19">
      <c r="A79" s="12" t="s">
        <v>4682</v>
      </c>
      <c r="B79" s="12" t="s">
        <v>5169</v>
      </c>
      <c r="C79" s="12" t="s">
        <v>5170</v>
      </c>
      <c r="D79" s="12" t="s">
        <v>3790</v>
      </c>
      <c r="E79" s="13">
        <v>8430.74</v>
      </c>
      <c r="F79" s="13">
        <v>8430.74</v>
      </c>
      <c r="G79" s="13">
        <v>0</v>
      </c>
      <c r="H79" s="13">
        <v>0</v>
      </c>
      <c r="I79" s="13">
        <v>4537.26</v>
      </c>
      <c r="J79" s="13">
        <v>2744</v>
      </c>
      <c r="K79" s="13">
        <v>7225</v>
      </c>
      <c r="L79" s="13">
        <v>10305</v>
      </c>
      <c r="M79" s="13">
        <v>590</v>
      </c>
      <c r="N79" s="13">
        <v>0</v>
      </c>
      <c r="O79">
        <v>25401.200000000001</v>
      </c>
      <c r="P79">
        <v>4233.54</v>
      </c>
      <c r="Q79" t="str">
        <f t="shared" si="2"/>
        <v>AG415</v>
      </c>
      <c r="R79" t="str">
        <f t="shared" si="3"/>
        <v>CIM1C</v>
      </c>
      <c r="S79">
        <f>IF(RIGHT(R79,2)="1C",(INDEX(Tables!H:H,MATCH(R79,Tables!G:G,0))),"")</f>
        <v>50</v>
      </c>
    </row>
    <row r="80" spans="1:19">
      <c r="A80" s="12" t="s">
        <v>4682</v>
      </c>
      <c r="B80" s="12" t="s">
        <v>4939</v>
      </c>
      <c r="C80" s="12" t="s">
        <v>4940</v>
      </c>
      <c r="D80" s="12" t="s">
        <v>3790</v>
      </c>
      <c r="E80" s="13">
        <v>0</v>
      </c>
      <c r="F80" s="13">
        <v>0</v>
      </c>
      <c r="G80" s="13">
        <v>0</v>
      </c>
      <c r="H80" s="13">
        <v>0</v>
      </c>
      <c r="I80" s="13">
        <v>0</v>
      </c>
      <c r="J80" s="13">
        <v>0</v>
      </c>
      <c r="K80" s="13">
        <v>0</v>
      </c>
      <c r="L80" s="13">
        <v>0</v>
      </c>
      <c r="M80" s="13">
        <v>1963</v>
      </c>
      <c r="N80" s="13">
        <v>0</v>
      </c>
      <c r="O80">
        <v>1963</v>
      </c>
      <c r="P80">
        <v>327.166</v>
      </c>
      <c r="Q80" t="str">
        <f t="shared" si="2"/>
        <v>AG460</v>
      </c>
      <c r="R80" t="str">
        <f t="shared" si="3"/>
        <v>CMZ1C</v>
      </c>
      <c r="S80">
        <f>IF(RIGHT(R80,2)="1C",(INDEX(Tables!H:H,MATCH(R80,Tables!G:G,0))),"")</f>
        <v>62</v>
      </c>
    </row>
    <row r="81" spans="1:19">
      <c r="A81" s="12" t="s">
        <v>4682</v>
      </c>
      <c r="B81" s="12" t="s">
        <v>7109</v>
      </c>
      <c r="C81" s="12" t="s">
        <v>7110</v>
      </c>
      <c r="D81" s="12" t="s">
        <v>3790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>
        <v>0</v>
      </c>
      <c r="P81">
        <v>0</v>
      </c>
      <c r="Q81" t="str">
        <f t="shared" si="2"/>
        <v>AG471</v>
      </c>
      <c r="R81" t="str">
        <f t="shared" si="3"/>
        <v>CIM1C</v>
      </c>
      <c r="S81">
        <f>IF(RIGHT(R81,2)="1C",(INDEX(Tables!H:H,MATCH(R81,Tables!G:G,0))),"")</f>
        <v>50</v>
      </c>
    </row>
    <row r="82" spans="1:19">
      <c r="A82" s="12" t="s">
        <v>4682</v>
      </c>
      <c r="B82" s="12" t="s">
        <v>6792</v>
      </c>
      <c r="C82" s="12" t="s">
        <v>6793</v>
      </c>
      <c r="D82" s="12" t="s">
        <v>3790</v>
      </c>
      <c r="E82" s="13">
        <v>0</v>
      </c>
      <c r="F82" s="13">
        <v>0</v>
      </c>
      <c r="G82" s="13">
        <v>0</v>
      </c>
      <c r="H82" s="13">
        <v>0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>
        <v>0</v>
      </c>
      <c r="P82">
        <v>0</v>
      </c>
      <c r="Q82" t="str">
        <f t="shared" si="2"/>
        <v>AG561</v>
      </c>
      <c r="R82" t="str">
        <f t="shared" si="3"/>
        <v>CIM1C</v>
      </c>
      <c r="S82">
        <f>IF(RIGHT(R82,2)="1C",(INDEX(Tables!H:H,MATCH(R82,Tables!G:G,0))),"")</f>
        <v>50</v>
      </c>
    </row>
    <row r="83" spans="1:19">
      <c r="A83" s="12" t="s">
        <v>4682</v>
      </c>
      <c r="B83" s="12" t="s">
        <v>4997</v>
      </c>
      <c r="C83" s="12" t="s">
        <v>4998</v>
      </c>
      <c r="D83" s="12" t="s">
        <v>3790</v>
      </c>
      <c r="E83" s="13">
        <v>1400</v>
      </c>
      <c r="F83" s="13">
        <v>1400</v>
      </c>
      <c r="G83" s="13">
        <v>0</v>
      </c>
      <c r="H83" s="13">
        <v>0</v>
      </c>
      <c r="I83" s="13">
        <v>0</v>
      </c>
      <c r="J83" s="13">
        <v>606</v>
      </c>
      <c r="K83" s="13">
        <v>2654</v>
      </c>
      <c r="L83" s="13">
        <v>2933</v>
      </c>
      <c r="M83" s="13">
        <v>0</v>
      </c>
      <c r="N83" s="13">
        <v>0</v>
      </c>
      <c r="O83">
        <v>6193</v>
      </c>
      <c r="P83">
        <v>1032.1600000000001</v>
      </c>
      <c r="Q83" t="str">
        <f t="shared" si="2"/>
        <v>AG601</v>
      </c>
      <c r="R83" t="str">
        <f t="shared" si="3"/>
        <v>CIM1C</v>
      </c>
      <c r="S83">
        <f>IF(RIGHT(R83,2)="1C",(INDEX(Tables!H:H,MATCH(R83,Tables!G:G,0))),"")</f>
        <v>50</v>
      </c>
    </row>
    <row r="84" spans="1:19">
      <c r="A84" s="12" t="s">
        <v>4682</v>
      </c>
      <c r="B84" s="12" t="s">
        <v>5073</v>
      </c>
      <c r="C84" s="12" t="s">
        <v>5074</v>
      </c>
      <c r="D84" s="12" t="s">
        <v>3790</v>
      </c>
      <c r="E84" s="13">
        <v>4526.84</v>
      </c>
      <c r="F84" s="13">
        <v>4526.84</v>
      </c>
      <c r="G84" s="13">
        <v>0</v>
      </c>
      <c r="H84" s="13">
        <v>0</v>
      </c>
      <c r="I84" s="13">
        <v>1343.16</v>
      </c>
      <c r="J84" s="13">
        <v>1622</v>
      </c>
      <c r="K84" s="13">
        <v>5447</v>
      </c>
      <c r="L84" s="13">
        <v>2123</v>
      </c>
      <c r="M84" s="13">
        <v>0</v>
      </c>
      <c r="N84" s="13">
        <v>0</v>
      </c>
      <c r="O84">
        <v>10535.1</v>
      </c>
      <c r="P84">
        <v>1755.86</v>
      </c>
      <c r="Q84" t="str">
        <f t="shared" si="2"/>
        <v>AG611</v>
      </c>
      <c r="R84" t="str">
        <f t="shared" si="3"/>
        <v>CIM1C</v>
      </c>
      <c r="S84">
        <f>IF(RIGHT(R84,2)="1C",(INDEX(Tables!H:H,MATCH(R84,Tables!G:G,0))),"")</f>
        <v>50</v>
      </c>
    </row>
    <row r="85" spans="1:19">
      <c r="A85" s="12" t="s">
        <v>4682</v>
      </c>
      <c r="B85" s="12" t="s">
        <v>5165</v>
      </c>
      <c r="C85" s="12" t="s">
        <v>5166</v>
      </c>
      <c r="D85" s="12" t="s">
        <v>3790</v>
      </c>
      <c r="E85" s="13">
        <v>2059</v>
      </c>
      <c r="F85" s="13">
        <v>2059</v>
      </c>
      <c r="G85" s="13">
        <v>0</v>
      </c>
      <c r="H85" s="13">
        <v>0</v>
      </c>
      <c r="I85" s="13">
        <v>0</v>
      </c>
      <c r="J85" s="13">
        <v>0</v>
      </c>
      <c r="K85" s="13">
        <v>902</v>
      </c>
      <c r="L85" s="13">
        <v>4349</v>
      </c>
      <c r="M85" s="13">
        <v>1732</v>
      </c>
      <c r="N85" s="13">
        <v>5818</v>
      </c>
      <c r="O85">
        <v>12801</v>
      </c>
      <c r="P85">
        <v>2133.5</v>
      </c>
      <c r="Q85" t="str">
        <f t="shared" si="2"/>
        <v>AG611</v>
      </c>
      <c r="R85" t="str">
        <f t="shared" si="3"/>
        <v>CMZ1C</v>
      </c>
      <c r="S85">
        <f>IF(RIGHT(R85,2)="1C",(INDEX(Tables!H:H,MATCH(R85,Tables!G:G,0))),"")</f>
        <v>62</v>
      </c>
    </row>
    <row r="86" spans="1:19">
      <c r="A86" s="12" t="s">
        <v>4682</v>
      </c>
      <c r="B86" s="12" t="s">
        <v>4899</v>
      </c>
      <c r="C86" s="12" t="s">
        <v>4900</v>
      </c>
      <c r="D86" s="12" t="s">
        <v>3790</v>
      </c>
      <c r="E86" s="13">
        <v>1728</v>
      </c>
      <c r="F86" s="13">
        <v>1728</v>
      </c>
      <c r="G86" s="13">
        <v>0</v>
      </c>
      <c r="H86" s="13">
        <v>0</v>
      </c>
      <c r="I86" s="13">
        <v>0</v>
      </c>
      <c r="J86" s="13">
        <v>0</v>
      </c>
      <c r="K86" s="13">
        <v>3735</v>
      </c>
      <c r="L86" s="13">
        <v>0</v>
      </c>
      <c r="M86" s="13">
        <v>0</v>
      </c>
      <c r="N86" s="13">
        <v>0</v>
      </c>
      <c r="O86">
        <v>3735</v>
      </c>
      <c r="P86">
        <v>622.5</v>
      </c>
      <c r="Q86" t="str">
        <f t="shared" si="2"/>
        <v>AG750</v>
      </c>
      <c r="R86" t="str">
        <f t="shared" si="3"/>
        <v>CIM1C</v>
      </c>
      <c r="S86">
        <f>IF(RIGHT(R86,2)="1C",(INDEX(Tables!H:H,MATCH(R86,Tables!G:G,0))),"")</f>
        <v>50</v>
      </c>
    </row>
    <row r="87" spans="1:19">
      <c r="A87" s="12" t="s">
        <v>4682</v>
      </c>
      <c r="B87" s="12" t="s">
        <v>5047</v>
      </c>
      <c r="C87" s="12" t="s">
        <v>5048</v>
      </c>
      <c r="D87" s="12" t="s">
        <v>3790</v>
      </c>
      <c r="E87" s="13">
        <v>1395.17</v>
      </c>
      <c r="F87" s="13">
        <v>1395.17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  <c r="L87" s="13">
        <v>1305</v>
      </c>
      <c r="M87" s="13">
        <v>0</v>
      </c>
      <c r="N87" s="13">
        <v>2496</v>
      </c>
      <c r="O87">
        <v>3801</v>
      </c>
      <c r="P87">
        <v>633.5</v>
      </c>
      <c r="Q87" t="str">
        <f t="shared" si="2"/>
        <v>AG750</v>
      </c>
      <c r="R87" t="str">
        <f t="shared" si="3"/>
        <v>CMZ1C</v>
      </c>
      <c r="S87">
        <f>IF(RIGHT(R87,2)="1C",(INDEX(Tables!H:H,MATCH(R87,Tables!G:G,0))),"")</f>
        <v>62</v>
      </c>
    </row>
    <row r="88" spans="1:19">
      <c r="A88" s="12" t="s">
        <v>4682</v>
      </c>
      <c r="B88" s="12" t="s">
        <v>4855</v>
      </c>
      <c r="C88" s="12" t="s">
        <v>4856</v>
      </c>
      <c r="D88" s="12" t="s">
        <v>3790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2777</v>
      </c>
      <c r="K88" s="13">
        <v>0</v>
      </c>
      <c r="L88" s="13">
        <v>0</v>
      </c>
      <c r="M88" s="13">
        <v>0</v>
      </c>
      <c r="N88" s="13">
        <v>0</v>
      </c>
      <c r="O88">
        <v>2777</v>
      </c>
      <c r="P88">
        <v>462.83300000000003</v>
      </c>
      <c r="Q88" t="str">
        <f t="shared" si="2"/>
        <v>AG801</v>
      </c>
      <c r="R88" t="str">
        <f t="shared" si="3"/>
        <v>CIM1C</v>
      </c>
      <c r="S88">
        <f>IF(RIGHT(R88,2)="1C",(INDEX(Tables!H:H,MATCH(R88,Tables!G:G,0))),"")</f>
        <v>50</v>
      </c>
    </row>
    <row r="89" spans="1:19">
      <c r="A89" s="12" t="s">
        <v>4682</v>
      </c>
      <c r="B89" s="12" t="s">
        <v>4911</v>
      </c>
      <c r="C89" s="12" t="s">
        <v>4912</v>
      </c>
      <c r="D89" s="12" t="s">
        <v>3790</v>
      </c>
      <c r="E89" s="13">
        <v>2250</v>
      </c>
      <c r="F89" s="13">
        <v>2250</v>
      </c>
      <c r="G89" s="13">
        <v>0</v>
      </c>
      <c r="H89" s="13">
        <v>0</v>
      </c>
      <c r="I89" s="13">
        <v>0</v>
      </c>
      <c r="J89" s="13">
        <v>0</v>
      </c>
      <c r="K89" s="13">
        <v>1180</v>
      </c>
      <c r="L89" s="13">
        <v>1622</v>
      </c>
      <c r="M89" s="13">
        <v>0</v>
      </c>
      <c r="N89" s="13">
        <v>0</v>
      </c>
      <c r="O89">
        <v>2802</v>
      </c>
      <c r="P89">
        <v>467</v>
      </c>
      <c r="Q89" t="str">
        <f t="shared" si="2"/>
        <v>AT106</v>
      </c>
      <c r="R89" t="str">
        <f t="shared" si="3"/>
        <v>CIM1C</v>
      </c>
      <c r="S89">
        <f>IF(RIGHT(R89,2)="1C",(INDEX(Tables!H:H,MATCH(R89,Tables!G:G,0))),"")</f>
        <v>50</v>
      </c>
    </row>
    <row r="90" spans="1:19">
      <c r="A90" s="12" t="s">
        <v>4682</v>
      </c>
      <c r="B90" s="12" t="s">
        <v>7172</v>
      </c>
      <c r="C90" s="12" t="s">
        <v>7173</v>
      </c>
      <c r="D90" s="12" t="s">
        <v>3790</v>
      </c>
      <c r="E90" s="13">
        <v>0</v>
      </c>
      <c r="F90" s="13">
        <v>0</v>
      </c>
      <c r="G90" s="13">
        <v>0</v>
      </c>
      <c r="H90" s="13">
        <v>0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>
        <v>0</v>
      </c>
      <c r="P90">
        <v>0</v>
      </c>
      <c r="Q90" t="str">
        <f t="shared" si="2"/>
        <v>AT106</v>
      </c>
      <c r="R90" t="str">
        <f t="shared" si="3"/>
        <v>CMZ1C</v>
      </c>
      <c r="S90">
        <f>IF(RIGHT(R90,2)="1C",(INDEX(Tables!H:H,MATCH(R90,Tables!G:G,0))),"")</f>
        <v>62</v>
      </c>
    </row>
    <row r="91" spans="1:19">
      <c r="A91" s="12" t="s">
        <v>4682</v>
      </c>
      <c r="B91" s="12" t="s">
        <v>7025</v>
      </c>
      <c r="C91" s="12" t="s">
        <v>7026</v>
      </c>
      <c r="D91" s="12" t="s">
        <v>3790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>
        <v>0</v>
      </c>
      <c r="P91">
        <v>0</v>
      </c>
      <c r="Q91" t="str">
        <f t="shared" si="2"/>
        <v>AT161</v>
      </c>
      <c r="R91" t="str">
        <f t="shared" si="3"/>
        <v>CIM1C</v>
      </c>
      <c r="S91">
        <f>IF(RIGHT(R91,2)="1C",(INDEX(Tables!H:H,MATCH(R91,Tables!G:G,0))),"")</f>
        <v>50</v>
      </c>
    </row>
    <row r="92" spans="1:19">
      <c r="A92" s="12" t="s">
        <v>4682</v>
      </c>
      <c r="B92" s="12" t="s">
        <v>7041</v>
      </c>
      <c r="C92" s="12" t="s">
        <v>7026</v>
      </c>
      <c r="D92" s="12" t="s">
        <v>3790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>
        <v>0</v>
      </c>
      <c r="P92">
        <v>0</v>
      </c>
      <c r="Q92" t="str">
        <f t="shared" si="2"/>
        <v>AT161</v>
      </c>
      <c r="R92" t="str">
        <f t="shared" si="3"/>
        <v>CMZ1C</v>
      </c>
      <c r="S92">
        <f>IF(RIGHT(R92,2)="1C",(INDEX(Tables!H:H,MATCH(R92,Tables!G:G,0))),"")</f>
        <v>62</v>
      </c>
    </row>
    <row r="93" spans="1:19">
      <c r="A93" s="12" t="s">
        <v>4682</v>
      </c>
      <c r="B93" s="12" t="s">
        <v>7027</v>
      </c>
      <c r="C93" s="12" t="s">
        <v>7028</v>
      </c>
      <c r="D93" s="12" t="s">
        <v>3790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>
        <v>0</v>
      </c>
      <c r="P93">
        <v>0</v>
      </c>
      <c r="Q93" t="str">
        <f t="shared" si="2"/>
        <v>AT191</v>
      </c>
      <c r="R93" t="str">
        <f t="shared" si="3"/>
        <v>CIM1C</v>
      </c>
      <c r="S93">
        <f>IF(RIGHT(R93,2)="1C",(INDEX(Tables!H:H,MATCH(R93,Tables!G:G,0))),"")</f>
        <v>50</v>
      </c>
    </row>
    <row r="94" spans="1:19">
      <c r="A94" s="12" t="s">
        <v>4682</v>
      </c>
      <c r="B94" s="12" t="s">
        <v>7042</v>
      </c>
      <c r="C94" s="12" t="s">
        <v>7028</v>
      </c>
      <c r="D94" s="12" t="s">
        <v>3790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>
        <v>0</v>
      </c>
      <c r="P94">
        <v>0</v>
      </c>
      <c r="Q94" t="str">
        <f t="shared" si="2"/>
        <v>AT191</v>
      </c>
      <c r="R94" t="str">
        <f t="shared" si="3"/>
        <v>CMZ1C</v>
      </c>
      <c r="S94">
        <f>IF(RIGHT(R94,2)="1C",(INDEX(Tables!H:H,MATCH(R94,Tables!G:G,0))),"")</f>
        <v>62</v>
      </c>
    </row>
    <row r="95" spans="1:19">
      <c r="A95" s="12" t="s">
        <v>4682</v>
      </c>
      <c r="B95" s="12" t="s">
        <v>4849</v>
      </c>
      <c r="C95" s="12" t="s">
        <v>4850</v>
      </c>
      <c r="D95" s="12" t="s">
        <v>3790</v>
      </c>
      <c r="E95" s="13">
        <v>0</v>
      </c>
      <c r="F95" s="13">
        <v>0</v>
      </c>
      <c r="G95" s="13">
        <v>0</v>
      </c>
      <c r="H95" s="13">
        <v>0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  <c r="O95">
        <v>0</v>
      </c>
      <c r="P95">
        <v>0</v>
      </c>
      <c r="Q95" t="str">
        <f t="shared" si="2"/>
        <v>AT301</v>
      </c>
      <c r="R95" t="str">
        <f t="shared" si="3"/>
        <v>CIM1C</v>
      </c>
      <c r="S95">
        <f>IF(RIGHT(R95,2)="1C",(INDEX(Tables!H:H,MATCH(R95,Tables!G:G,0))),"")</f>
        <v>50</v>
      </c>
    </row>
    <row r="96" spans="1:19">
      <c r="A96" s="12" t="s">
        <v>4682</v>
      </c>
      <c r="B96" s="12" t="s">
        <v>5015</v>
      </c>
      <c r="C96" s="12" t="s">
        <v>5016</v>
      </c>
      <c r="D96" s="12" t="s">
        <v>3790</v>
      </c>
      <c r="E96" s="13">
        <v>2350</v>
      </c>
      <c r="F96" s="13">
        <v>2350</v>
      </c>
      <c r="G96" s="13">
        <v>0</v>
      </c>
      <c r="H96" s="13">
        <v>0</v>
      </c>
      <c r="I96" s="13">
        <v>0</v>
      </c>
      <c r="J96" s="13">
        <v>794</v>
      </c>
      <c r="K96" s="13">
        <v>1556</v>
      </c>
      <c r="L96" s="13">
        <v>0</v>
      </c>
      <c r="M96" s="13">
        <v>1941</v>
      </c>
      <c r="N96" s="13">
        <v>0</v>
      </c>
      <c r="O96">
        <v>4291</v>
      </c>
      <c r="P96">
        <v>715.16600000000005</v>
      </c>
      <c r="Q96" t="str">
        <f t="shared" si="2"/>
        <v>AT650</v>
      </c>
      <c r="R96" t="str">
        <f t="shared" si="3"/>
        <v>CIM1C</v>
      </c>
      <c r="S96">
        <f>IF(RIGHT(R96,2)="1C",(INDEX(Tables!H:H,MATCH(R96,Tables!G:G,0))),"")</f>
        <v>50</v>
      </c>
    </row>
    <row r="97" spans="1:19">
      <c r="A97" s="12" t="s">
        <v>4682</v>
      </c>
      <c r="B97" s="12" t="s">
        <v>7450</v>
      </c>
      <c r="C97" s="12" t="s">
        <v>7451</v>
      </c>
      <c r="D97" s="12" t="s">
        <v>3790</v>
      </c>
      <c r="E97" s="13">
        <v>67.2</v>
      </c>
      <c r="F97" s="13">
        <v>67.2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>
        <v>0</v>
      </c>
      <c r="P97">
        <v>0</v>
      </c>
      <c r="Q97" t="str">
        <f t="shared" si="2"/>
        <v>AT650</v>
      </c>
      <c r="R97" t="str">
        <f t="shared" si="3"/>
        <v>CMZ1C</v>
      </c>
      <c r="S97">
        <f>IF(RIGHT(R97,2)="1C",(INDEX(Tables!H:H,MATCH(R97,Tables!G:G,0))),"")</f>
        <v>62</v>
      </c>
    </row>
    <row r="98" spans="1:19">
      <c r="A98" s="12" t="s">
        <v>4682</v>
      </c>
      <c r="B98" s="12" t="s">
        <v>5071</v>
      </c>
      <c r="C98" s="12" t="s">
        <v>5072</v>
      </c>
      <c r="D98" s="12" t="s">
        <v>3790</v>
      </c>
      <c r="E98" s="13">
        <v>3850</v>
      </c>
      <c r="F98" s="13">
        <v>3850</v>
      </c>
      <c r="G98" s="13">
        <v>0</v>
      </c>
      <c r="H98" s="13">
        <v>0</v>
      </c>
      <c r="I98" s="13">
        <v>0</v>
      </c>
      <c r="J98" s="13">
        <v>0</v>
      </c>
      <c r="K98" s="13">
        <v>2932</v>
      </c>
      <c r="L98" s="13">
        <v>2999</v>
      </c>
      <c r="M98" s="13">
        <v>0</v>
      </c>
      <c r="N98" s="13">
        <v>0</v>
      </c>
      <c r="O98">
        <v>5931</v>
      </c>
      <c r="P98">
        <v>988.5</v>
      </c>
      <c r="Q98" t="str">
        <f t="shared" si="2"/>
        <v>AT660</v>
      </c>
      <c r="R98" t="str">
        <f t="shared" si="3"/>
        <v>CIM1C</v>
      </c>
      <c r="S98">
        <f>IF(RIGHT(R98,2)="1C",(INDEX(Tables!H:H,MATCH(R98,Tables!G:G,0))),"")</f>
        <v>50</v>
      </c>
    </row>
    <row r="99" spans="1:19">
      <c r="A99" s="12" t="s">
        <v>4682</v>
      </c>
      <c r="B99" s="12" t="s">
        <v>4729</v>
      </c>
      <c r="C99" s="12" t="s">
        <v>4730</v>
      </c>
      <c r="D99" s="12" t="s">
        <v>3790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1270</v>
      </c>
      <c r="K99" s="13">
        <v>0</v>
      </c>
      <c r="L99" s="13">
        <v>0</v>
      </c>
      <c r="M99" s="13">
        <v>0</v>
      </c>
      <c r="N99" s="13">
        <v>0</v>
      </c>
      <c r="O99">
        <v>1270</v>
      </c>
      <c r="P99">
        <v>211.666</v>
      </c>
      <c r="Q99" t="str">
        <f t="shared" si="2"/>
        <v>AT680</v>
      </c>
      <c r="R99" t="str">
        <f t="shared" si="3"/>
        <v>CIM1C</v>
      </c>
      <c r="S99">
        <f>IF(RIGHT(R99,2)="1C",(INDEX(Tables!H:H,MATCH(R99,Tables!G:G,0))),"")</f>
        <v>50</v>
      </c>
    </row>
    <row r="100" spans="1:19">
      <c r="A100" s="12" t="s">
        <v>4682</v>
      </c>
      <c r="B100" s="12" t="s">
        <v>7169</v>
      </c>
      <c r="C100" s="12" t="s">
        <v>7170</v>
      </c>
      <c r="D100" s="12" t="s">
        <v>3790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>
        <v>0</v>
      </c>
      <c r="P100">
        <v>0</v>
      </c>
      <c r="Q100" t="str">
        <f t="shared" si="2"/>
        <v>AT710</v>
      </c>
      <c r="R100" t="str">
        <f t="shared" si="3"/>
        <v>CIM1C</v>
      </c>
      <c r="S100">
        <f>IF(RIGHT(R100,2)="1C",(INDEX(Tables!H:H,MATCH(R100,Tables!G:G,0))),"")</f>
        <v>50</v>
      </c>
    </row>
    <row r="101" spans="1:19">
      <c r="A101" s="12" t="s">
        <v>4682</v>
      </c>
      <c r="B101" s="12" t="s">
        <v>7463</v>
      </c>
      <c r="C101" s="12" t="s">
        <v>7464</v>
      </c>
      <c r="D101" s="12" t="s">
        <v>3790</v>
      </c>
      <c r="E101" s="13">
        <v>2100</v>
      </c>
      <c r="F101" s="13">
        <v>2100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>
        <v>0</v>
      </c>
      <c r="P101">
        <v>0</v>
      </c>
      <c r="Q101" t="str">
        <f t="shared" si="2"/>
        <v>AT965</v>
      </c>
      <c r="R101" t="str">
        <f t="shared" si="3"/>
        <v>CIM1C</v>
      </c>
      <c r="S101">
        <f>IF(RIGHT(R101,2)="1C",(INDEX(Tables!H:H,MATCH(R101,Tables!G:G,0))),"")</f>
        <v>50</v>
      </c>
    </row>
    <row r="102" spans="1:19">
      <c r="A102" s="12" t="s">
        <v>4682</v>
      </c>
      <c r="B102" s="12" t="s">
        <v>6841</v>
      </c>
      <c r="C102" s="12" t="s">
        <v>6842</v>
      </c>
      <c r="D102" s="12" t="s">
        <v>3790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>
        <v>0</v>
      </c>
      <c r="P102">
        <v>0</v>
      </c>
      <c r="Q102" t="str">
        <f t="shared" si="2"/>
        <v>AT981</v>
      </c>
      <c r="R102" t="str">
        <f t="shared" si="3"/>
        <v>CIM1C</v>
      </c>
      <c r="S102">
        <f>IF(RIGHT(R102,2)="1C",(INDEX(Tables!H:H,MATCH(R102,Tables!G:G,0))),"")</f>
        <v>50</v>
      </c>
    </row>
    <row r="103" spans="1:19">
      <c r="A103" s="12" t="s">
        <v>4682</v>
      </c>
      <c r="B103" s="12" t="s">
        <v>7362</v>
      </c>
      <c r="C103" s="12" t="s">
        <v>7363</v>
      </c>
      <c r="D103" s="12" t="s">
        <v>3790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>
        <v>0</v>
      </c>
      <c r="P103">
        <v>0</v>
      </c>
      <c r="Q103" t="str">
        <f t="shared" si="2"/>
        <v>AT988</v>
      </c>
      <c r="R103" t="str">
        <f t="shared" si="3"/>
        <v>CIM1C</v>
      </c>
      <c r="S103">
        <f>IF(RIGHT(R103,2)="1C",(INDEX(Tables!H:H,MATCH(R103,Tables!G:G,0))),"")</f>
        <v>50</v>
      </c>
    </row>
    <row r="104" spans="1:19">
      <c r="A104" s="12" t="s">
        <v>4682</v>
      </c>
      <c r="B104" s="12" t="s">
        <v>4771</v>
      </c>
      <c r="C104" s="12" t="s">
        <v>4772</v>
      </c>
      <c r="D104" s="12" t="s">
        <v>3790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>
        <v>0</v>
      </c>
      <c r="P104">
        <v>0</v>
      </c>
      <c r="Q104" t="str">
        <f t="shared" si="2"/>
        <v>AT991</v>
      </c>
      <c r="R104" t="str">
        <f t="shared" si="3"/>
        <v>CIM1C</v>
      </c>
      <c r="S104">
        <f>IF(RIGHT(R104,2)="1C",(INDEX(Tables!H:H,MATCH(R104,Tables!G:G,0))),"")</f>
        <v>50</v>
      </c>
    </row>
    <row r="105" spans="1:19">
      <c r="A105" s="12" t="s">
        <v>4682</v>
      </c>
      <c r="B105" s="12" t="s">
        <v>7007</v>
      </c>
      <c r="C105" s="12" t="s">
        <v>7008</v>
      </c>
      <c r="D105" s="12" t="s">
        <v>3790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>
        <v>0</v>
      </c>
      <c r="P105">
        <v>0</v>
      </c>
      <c r="Q105" t="str">
        <f t="shared" si="2"/>
        <v>AV110</v>
      </c>
      <c r="R105" t="str">
        <f t="shared" si="3"/>
        <v>CIM1C</v>
      </c>
      <c r="S105">
        <f>IF(RIGHT(R105,2)="1C",(INDEX(Tables!H:H,MATCH(R105,Tables!G:G,0))),"")</f>
        <v>50</v>
      </c>
    </row>
    <row r="106" spans="1:19">
      <c r="A106" s="12" t="s">
        <v>4682</v>
      </c>
      <c r="B106" s="12" t="s">
        <v>6826</v>
      </c>
      <c r="C106" s="12" t="s">
        <v>6827</v>
      </c>
      <c r="D106" s="12" t="s">
        <v>3790</v>
      </c>
      <c r="E106" s="13">
        <v>0</v>
      </c>
      <c r="F106" s="13">
        <v>0</v>
      </c>
      <c r="G106" s="13">
        <v>0</v>
      </c>
      <c r="H106" s="13">
        <v>0</v>
      </c>
      <c r="I106" s="13">
        <v>0</v>
      </c>
      <c r="J106" s="13">
        <v>800</v>
      </c>
      <c r="K106" s="13">
        <v>0</v>
      </c>
      <c r="L106" s="13">
        <v>0</v>
      </c>
      <c r="M106" s="13">
        <v>0</v>
      </c>
      <c r="N106" s="13">
        <v>0</v>
      </c>
      <c r="O106">
        <v>800</v>
      </c>
      <c r="P106">
        <v>133.333</v>
      </c>
      <c r="Q106" t="str">
        <f t="shared" si="2"/>
        <v>AV250</v>
      </c>
      <c r="R106" t="str">
        <f t="shared" si="3"/>
        <v>CIM1C</v>
      </c>
      <c r="S106">
        <f>IF(RIGHT(R106,2)="1C",(INDEX(Tables!H:H,MATCH(R106,Tables!G:G,0))),"")</f>
        <v>50</v>
      </c>
    </row>
    <row r="107" spans="1:19">
      <c r="A107" s="12" t="s">
        <v>4682</v>
      </c>
      <c r="B107" s="12" t="s">
        <v>6794</v>
      </c>
      <c r="C107" s="12" t="s">
        <v>6795</v>
      </c>
      <c r="D107" s="12" t="s">
        <v>3790</v>
      </c>
      <c r="E107" s="13">
        <v>0</v>
      </c>
      <c r="F107" s="13">
        <v>0</v>
      </c>
      <c r="G107" s="13">
        <v>0</v>
      </c>
      <c r="H107" s="13">
        <v>0</v>
      </c>
      <c r="I107" s="13">
        <v>819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>
        <v>819</v>
      </c>
      <c r="P107">
        <v>136.5</v>
      </c>
      <c r="Q107" t="str">
        <f t="shared" si="2"/>
        <v>AV751</v>
      </c>
      <c r="R107" t="str">
        <f t="shared" si="3"/>
        <v>CIM1C</v>
      </c>
      <c r="S107">
        <f>IF(RIGHT(R107,2)="1C",(INDEX(Tables!H:H,MATCH(R107,Tables!G:G,0))),"")</f>
        <v>50</v>
      </c>
    </row>
    <row r="108" spans="1:19">
      <c r="A108" s="12" t="s">
        <v>4682</v>
      </c>
      <c r="B108" s="12" t="s">
        <v>7418</v>
      </c>
      <c r="C108" s="12" t="s">
        <v>7419</v>
      </c>
      <c r="D108" s="12" t="s">
        <v>3790</v>
      </c>
      <c r="E108" s="13">
        <v>1590.71</v>
      </c>
      <c r="F108" s="13">
        <v>1590.71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>
        <v>0</v>
      </c>
      <c r="P108">
        <v>0</v>
      </c>
      <c r="Q108" t="str">
        <f t="shared" si="2"/>
        <v>AV971</v>
      </c>
      <c r="R108" t="str">
        <f t="shared" si="3"/>
        <v>CMZ1C</v>
      </c>
      <c r="S108">
        <f>IF(RIGHT(R108,2)="1C",(INDEX(Tables!H:H,MATCH(R108,Tables!G:G,0))),"")</f>
        <v>62</v>
      </c>
    </row>
    <row r="109" spans="1:19">
      <c r="A109" s="12" t="s">
        <v>4682</v>
      </c>
      <c r="B109" s="12" t="s">
        <v>4935</v>
      </c>
      <c r="C109" s="12" t="s">
        <v>4936</v>
      </c>
      <c r="D109" s="12" t="s">
        <v>3790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573</v>
      </c>
      <c r="K109" s="13">
        <v>0</v>
      </c>
      <c r="L109" s="13">
        <v>1918</v>
      </c>
      <c r="M109" s="13">
        <v>0</v>
      </c>
      <c r="N109" s="13">
        <v>0</v>
      </c>
      <c r="O109">
        <v>2491</v>
      </c>
      <c r="P109">
        <v>415.166</v>
      </c>
      <c r="Q109" t="str">
        <f t="shared" si="2"/>
        <v>AW141</v>
      </c>
      <c r="R109" t="str">
        <f t="shared" si="3"/>
        <v>CIM1C</v>
      </c>
      <c r="S109">
        <f>IF(RIGHT(R109,2)="1C",(INDEX(Tables!H:H,MATCH(R109,Tables!G:G,0))),"")</f>
        <v>50</v>
      </c>
    </row>
    <row r="110" spans="1:19">
      <c r="A110" s="12" t="s">
        <v>4682</v>
      </c>
      <c r="B110" s="12" t="s">
        <v>5155</v>
      </c>
      <c r="C110" s="12" t="s">
        <v>5156</v>
      </c>
      <c r="D110" s="12" t="s">
        <v>3790</v>
      </c>
      <c r="E110" s="13">
        <v>0</v>
      </c>
      <c r="F110" s="13">
        <v>0</v>
      </c>
      <c r="G110" s="13">
        <v>0</v>
      </c>
      <c r="H110" s="13">
        <v>0</v>
      </c>
      <c r="I110" s="13">
        <v>0</v>
      </c>
      <c r="J110" s="13">
        <v>0</v>
      </c>
      <c r="K110" s="13">
        <v>0</v>
      </c>
      <c r="L110" s="13">
        <v>7813</v>
      </c>
      <c r="M110" s="13">
        <v>3445</v>
      </c>
      <c r="N110" s="13">
        <v>0</v>
      </c>
      <c r="O110">
        <v>11258</v>
      </c>
      <c r="P110">
        <v>1876.33</v>
      </c>
      <c r="Q110" t="str">
        <f t="shared" si="2"/>
        <v>AW141</v>
      </c>
      <c r="R110" t="str">
        <f t="shared" si="3"/>
        <v>CMZ1C</v>
      </c>
      <c r="S110">
        <f>IF(RIGHT(R110,2)="1C",(INDEX(Tables!H:H,MATCH(R110,Tables!G:G,0))),"")</f>
        <v>62</v>
      </c>
    </row>
    <row r="111" spans="1:19">
      <c r="A111" s="12" t="s">
        <v>4682</v>
      </c>
      <c r="B111" s="12" t="s">
        <v>4781</v>
      </c>
      <c r="C111" s="12" t="s">
        <v>4782</v>
      </c>
      <c r="D111" s="12" t="s">
        <v>3790</v>
      </c>
      <c r="E111" s="13">
        <v>0</v>
      </c>
      <c r="F111" s="13">
        <v>0</v>
      </c>
      <c r="G111" s="13">
        <v>0</v>
      </c>
      <c r="H111" s="13">
        <v>0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>
        <v>0</v>
      </c>
      <c r="P111">
        <v>0</v>
      </c>
      <c r="Q111" t="str">
        <f t="shared" si="2"/>
        <v>AW200</v>
      </c>
      <c r="R111" t="str">
        <f t="shared" si="3"/>
        <v>CIM1C</v>
      </c>
      <c r="S111">
        <f>IF(RIGHT(R111,2)="1C",(INDEX(Tables!H:H,MATCH(R111,Tables!G:G,0))),"")</f>
        <v>50</v>
      </c>
    </row>
    <row r="112" spans="1:19">
      <c r="A112" s="12" t="s">
        <v>4682</v>
      </c>
      <c r="B112" s="12" t="s">
        <v>5213</v>
      </c>
      <c r="C112" s="12" t="s">
        <v>5214</v>
      </c>
      <c r="D112" s="12" t="s">
        <v>3790</v>
      </c>
      <c r="E112" s="13">
        <v>9520.2099999999991</v>
      </c>
      <c r="F112" s="13">
        <v>9520.2099999999991</v>
      </c>
      <c r="G112" s="13">
        <v>0</v>
      </c>
      <c r="H112" s="13">
        <v>0</v>
      </c>
      <c r="I112" s="13">
        <v>1285.83</v>
      </c>
      <c r="J112" s="13">
        <v>9998</v>
      </c>
      <c r="K112" s="13">
        <v>12211</v>
      </c>
      <c r="L112" s="13">
        <v>36197</v>
      </c>
      <c r="M112" s="13">
        <v>2727</v>
      </c>
      <c r="N112" s="13">
        <v>0</v>
      </c>
      <c r="O112">
        <v>62418.8</v>
      </c>
      <c r="P112">
        <v>10403.1</v>
      </c>
      <c r="Q112" t="str">
        <f t="shared" si="2"/>
        <v>AW300</v>
      </c>
      <c r="R112" t="str">
        <f t="shared" si="3"/>
        <v>CIM1C</v>
      </c>
      <c r="S112">
        <f>IF(RIGHT(R112,2)="1C",(INDEX(Tables!H:H,MATCH(R112,Tables!G:G,0))),"")</f>
        <v>50</v>
      </c>
    </row>
    <row r="113" spans="1:19">
      <c r="A113" s="12" t="s">
        <v>4682</v>
      </c>
      <c r="B113" s="12" t="s">
        <v>7446</v>
      </c>
      <c r="C113" s="12" t="s">
        <v>7447</v>
      </c>
      <c r="D113" s="12" t="s">
        <v>3790</v>
      </c>
      <c r="E113" s="13">
        <v>519.96</v>
      </c>
      <c r="F113" s="13">
        <v>519.96</v>
      </c>
      <c r="G113" s="13">
        <v>0</v>
      </c>
      <c r="H113" s="13">
        <v>0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>
        <v>0</v>
      </c>
      <c r="P113">
        <v>0</v>
      </c>
      <c r="Q113" t="str">
        <f t="shared" si="2"/>
        <v>AW300</v>
      </c>
      <c r="R113" t="str">
        <f t="shared" si="3"/>
        <v>CMZ1C</v>
      </c>
      <c r="S113">
        <f>IF(RIGHT(R113,2)="1C",(INDEX(Tables!H:H,MATCH(R113,Tables!G:G,0))),"")</f>
        <v>62</v>
      </c>
    </row>
    <row r="114" spans="1:19">
      <c r="A114" s="12" t="s">
        <v>4682</v>
      </c>
      <c r="B114" s="12" t="s">
        <v>4761</v>
      </c>
      <c r="C114" s="12" t="s">
        <v>4762</v>
      </c>
      <c r="D114" s="12" t="s">
        <v>3790</v>
      </c>
      <c r="E114" s="13">
        <v>0</v>
      </c>
      <c r="F114" s="13">
        <v>0</v>
      </c>
      <c r="G114" s="13">
        <v>0</v>
      </c>
      <c r="H114" s="13">
        <v>0</v>
      </c>
      <c r="I114" s="13">
        <v>0</v>
      </c>
      <c r="J114" s="13">
        <v>2637</v>
      </c>
      <c r="K114" s="13">
        <v>0</v>
      </c>
      <c r="L114" s="13">
        <v>0</v>
      </c>
      <c r="M114" s="13">
        <v>0</v>
      </c>
      <c r="N114" s="13">
        <v>0</v>
      </c>
      <c r="O114">
        <v>2637</v>
      </c>
      <c r="P114">
        <v>439.5</v>
      </c>
      <c r="Q114" t="str">
        <f t="shared" si="2"/>
        <v>AW871</v>
      </c>
      <c r="R114" t="str">
        <f t="shared" si="3"/>
        <v>CIM1C</v>
      </c>
      <c r="S114">
        <f>IF(RIGHT(R114,2)="1C",(INDEX(Tables!H:H,MATCH(R114,Tables!G:G,0))),"")</f>
        <v>50</v>
      </c>
    </row>
    <row r="115" spans="1:19">
      <c r="A115" s="12" t="s">
        <v>4682</v>
      </c>
      <c r="B115" s="12" t="s">
        <v>5139</v>
      </c>
      <c r="C115" s="12" t="s">
        <v>5140</v>
      </c>
      <c r="D115" s="12" t="s">
        <v>3790</v>
      </c>
      <c r="E115" s="13">
        <v>900</v>
      </c>
      <c r="F115" s="13">
        <v>900</v>
      </c>
      <c r="G115" s="13">
        <v>0</v>
      </c>
      <c r="H115" s="13">
        <v>0</v>
      </c>
      <c r="I115" s="13">
        <v>0</v>
      </c>
      <c r="J115" s="13">
        <v>1311</v>
      </c>
      <c r="K115" s="13">
        <v>0</v>
      </c>
      <c r="L115" s="13">
        <v>3746</v>
      </c>
      <c r="M115" s="13">
        <v>0</v>
      </c>
      <c r="N115" s="13">
        <v>0</v>
      </c>
      <c r="O115">
        <v>5057</v>
      </c>
      <c r="P115">
        <v>842.83299999999997</v>
      </c>
      <c r="Q115" t="str">
        <f t="shared" si="2"/>
        <v>AY120</v>
      </c>
      <c r="R115" t="str">
        <f t="shared" si="3"/>
        <v>CIM1C</v>
      </c>
      <c r="S115">
        <f>IF(RIGHT(R115,2)="1C",(INDEX(Tables!H:H,MATCH(R115,Tables!G:G,0))),"")</f>
        <v>50</v>
      </c>
    </row>
    <row r="116" spans="1:19">
      <c r="A116" s="12" t="s">
        <v>4682</v>
      </c>
      <c r="B116" s="12" t="s">
        <v>5205</v>
      </c>
      <c r="C116" s="12" t="s">
        <v>5206</v>
      </c>
      <c r="D116" s="12" t="s">
        <v>3790</v>
      </c>
      <c r="E116" s="13">
        <v>4582</v>
      </c>
      <c r="F116" s="13">
        <v>4582</v>
      </c>
      <c r="G116" s="13">
        <v>0</v>
      </c>
      <c r="H116" s="13">
        <v>0</v>
      </c>
      <c r="I116" s="13">
        <v>3547</v>
      </c>
      <c r="J116" s="13">
        <v>10409</v>
      </c>
      <c r="K116" s="13">
        <v>11316</v>
      </c>
      <c r="L116" s="13">
        <v>4775</v>
      </c>
      <c r="M116" s="13">
        <v>5740</v>
      </c>
      <c r="N116" s="13">
        <v>9190</v>
      </c>
      <c r="O116">
        <v>44977</v>
      </c>
      <c r="P116">
        <v>7496.16</v>
      </c>
      <c r="Q116" t="str">
        <f t="shared" si="2"/>
        <v/>
      </c>
      <c r="R116" t="str">
        <f t="shared" si="3"/>
        <v/>
      </c>
      <c r="S116" t="str">
        <f>IF(RIGHT(R116,2)="1C",(INDEX(Tables!H:H,MATCH(R116,Tables!G:G,0))),"")</f>
        <v/>
      </c>
    </row>
    <row r="117" spans="1:19">
      <c r="A117" s="12" t="s">
        <v>4682</v>
      </c>
      <c r="B117" s="12" t="s">
        <v>5197</v>
      </c>
      <c r="C117" s="12" t="s">
        <v>5198</v>
      </c>
      <c r="D117" s="12" t="s">
        <v>3790</v>
      </c>
      <c r="E117" s="13">
        <v>9694</v>
      </c>
      <c r="F117" s="13">
        <v>9694</v>
      </c>
      <c r="G117" s="13">
        <v>0</v>
      </c>
      <c r="H117" s="13">
        <v>0</v>
      </c>
      <c r="I117" s="13">
        <v>1151</v>
      </c>
      <c r="J117" s="13">
        <v>3336</v>
      </c>
      <c r="K117" s="13">
        <v>3783</v>
      </c>
      <c r="L117" s="13">
        <v>4970</v>
      </c>
      <c r="M117" s="13">
        <v>4446</v>
      </c>
      <c r="N117" s="13">
        <v>4540</v>
      </c>
      <c r="O117">
        <v>22226</v>
      </c>
      <c r="P117">
        <v>3704.33</v>
      </c>
      <c r="Q117" t="str">
        <f t="shared" si="2"/>
        <v/>
      </c>
      <c r="R117" t="str">
        <f t="shared" si="3"/>
        <v/>
      </c>
      <c r="S117" t="str">
        <f>IF(RIGHT(R117,2)="1C",(INDEX(Tables!H:H,MATCH(R117,Tables!G:G,0))),"")</f>
        <v/>
      </c>
    </row>
    <row r="118" spans="1:19">
      <c r="A118" s="12" t="s">
        <v>4682</v>
      </c>
      <c r="B118" s="12" t="s">
        <v>6710</v>
      </c>
      <c r="C118" s="12" t="s">
        <v>6711</v>
      </c>
      <c r="D118" s="12" t="s">
        <v>3790</v>
      </c>
      <c r="E118" s="13">
        <v>0</v>
      </c>
      <c r="F118" s="13">
        <v>0</v>
      </c>
      <c r="G118" s="13">
        <v>0</v>
      </c>
      <c r="H118" s="13">
        <v>0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>
        <v>0</v>
      </c>
      <c r="P118">
        <v>0</v>
      </c>
      <c r="Q118" t="str">
        <f t="shared" si="2"/>
        <v/>
      </c>
      <c r="R118" t="str">
        <f t="shared" si="3"/>
        <v/>
      </c>
      <c r="S118" t="str">
        <f>IF(RIGHT(R118,2)="1C",(INDEX(Tables!H:H,MATCH(R118,Tables!G:G,0))),"")</f>
        <v/>
      </c>
    </row>
    <row r="119" spans="1:19">
      <c r="A119" s="12" t="s">
        <v>4682</v>
      </c>
      <c r="B119" s="12" t="s">
        <v>6708</v>
      </c>
      <c r="C119" s="12" t="s">
        <v>6709</v>
      </c>
      <c r="D119" s="12" t="s">
        <v>3790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>
        <v>0</v>
      </c>
      <c r="P119">
        <v>0</v>
      </c>
      <c r="Q119" t="str">
        <f t="shared" si="2"/>
        <v/>
      </c>
      <c r="R119" t="str">
        <f t="shared" si="3"/>
        <v/>
      </c>
      <c r="S119" t="str">
        <f>IF(RIGHT(R119,2)="1C",(INDEX(Tables!H:H,MATCH(R119,Tables!G:G,0))),"")</f>
        <v/>
      </c>
    </row>
    <row r="120" spans="1:19">
      <c r="A120" s="12" t="s">
        <v>4682</v>
      </c>
      <c r="B120" s="12" t="s">
        <v>6712</v>
      </c>
      <c r="C120" s="12" t="s">
        <v>6713</v>
      </c>
      <c r="D120" s="12" t="s">
        <v>3790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>
        <v>0</v>
      </c>
      <c r="P120">
        <v>0</v>
      </c>
      <c r="Q120" t="str">
        <f t="shared" si="2"/>
        <v/>
      </c>
      <c r="R120" t="str">
        <f t="shared" si="3"/>
        <v/>
      </c>
      <c r="S120" t="str">
        <f>IF(RIGHT(R120,2)="1C",(INDEX(Tables!H:H,MATCH(R120,Tables!G:G,0))),"")</f>
        <v/>
      </c>
    </row>
    <row r="121" spans="1:19">
      <c r="A121" s="12" t="s">
        <v>4682</v>
      </c>
      <c r="B121" s="12" t="s">
        <v>6704</v>
      </c>
      <c r="C121" s="12" t="s">
        <v>6705</v>
      </c>
      <c r="D121" s="12" t="s">
        <v>3790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>
        <v>0</v>
      </c>
      <c r="P121">
        <v>0</v>
      </c>
      <c r="Q121" t="str">
        <f t="shared" si="2"/>
        <v/>
      </c>
      <c r="R121" t="str">
        <f t="shared" si="3"/>
        <v/>
      </c>
      <c r="S121" t="str">
        <f>IF(RIGHT(R121,2)="1C",(INDEX(Tables!H:H,MATCH(R121,Tables!G:G,0))),"")</f>
        <v/>
      </c>
    </row>
    <row r="122" spans="1:19">
      <c r="A122" s="12" t="s">
        <v>4682</v>
      </c>
      <c r="B122" s="12" t="s">
        <v>6684</v>
      </c>
      <c r="C122" s="12" t="s">
        <v>6685</v>
      </c>
      <c r="D122" s="12" t="s">
        <v>3790</v>
      </c>
      <c r="E122" s="13">
        <v>0</v>
      </c>
      <c r="F122" s="13">
        <v>0</v>
      </c>
      <c r="G122" s="13">
        <v>0</v>
      </c>
      <c r="H122" s="13">
        <v>0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>
        <v>0</v>
      </c>
      <c r="P122">
        <v>0</v>
      </c>
      <c r="Q122" t="str">
        <f t="shared" si="2"/>
        <v/>
      </c>
      <c r="R122" t="str">
        <f t="shared" si="3"/>
        <v/>
      </c>
      <c r="S122" t="str">
        <f>IF(RIGHT(R122,2)="1C",(INDEX(Tables!H:H,MATCH(R122,Tables!G:G,0))),"")</f>
        <v/>
      </c>
    </row>
    <row r="123" spans="1:19">
      <c r="A123" s="12" t="s">
        <v>4682</v>
      </c>
      <c r="B123" s="12" t="s">
        <v>6670</v>
      </c>
      <c r="C123" s="12" t="s">
        <v>6671</v>
      </c>
      <c r="D123" s="12" t="s">
        <v>3790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>
        <v>0</v>
      </c>
      <c r="P123">
        <v>0</v>
      </c>
      <c r="Q123" t="str">
        <f t="shared" si="2"/>
        <v/>
      </c>
      <c r="R123" t="str">
        <f t="shared" si="3"/>
        <v/>
      </c>
      <c r="S123" t="str">
        <f>IF(RIGHT(R123,2)="1C",(INDEX(Tables!H:H,MATCH(R123,Tables!G:G,0))),"")</f>
        <v/>
      </c>
    </row>
    <row r="124" spans="1:19">
      <c r="A124" s="12" t="s">
        <v>4682</v>
      </c>
      <c r="B124" s="12" t="s">
        <v>6666</v>
      </c>
      <c r="C124" s="12" t="s">
        <v>6667</v>
      </c>
      <c r="D124" s="12" t="s">
        <v>3790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>
        <v>0</v>
      </c>
      <c r="P124">
        <v>0</v>
      </c>
      <c r="Q124" t="str">
        <f t="shared" si="2"/>
        <v/>
      </c>
      <c r="R124" t="str">
        <f t="shared" si="3"/>
        <v/>
      </c>
      <c r="S124" t="str">
        <f>IF(RIGHT(R124,2)="1C",(INDEX(Tables!H:H,MATCH(R124,Tables!G:G,0))),"")</f>
        <v/>
      </c>
    </row>
    <row r="125" spans="1:19">
      <c r="A125" s="12" t="s">
        <v>4682</v>
      </c>
      <c r="B125" s="12" t="s">
        <v>6668</v>
      </c>
      <c r="C125" s="12" t="s">
        <v>6669</v>
      </c>
      <c r="D125" s="12" t="s">
        <v>3790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>
        <v>0</v>
      </c>
      <c r="P125">
        <v>0</v>
      </c>
      <c r="Q125" t="str">
        <f t="shared" si="2"/>
        <v/>
      </c>
      <c r="R125" t="str">
        <f t="shared" si="3"/>
        <v/>
      </c>
      <c r="S125" t="str">
        <f>IF(RIGHT(R125,2)="1C",(INDEX(Tables!H:H,MATCH(R125,Tables!G:G,0))),"")</f>
        <v/>
      </c>
    </row>
    <row r="126" spans="1:19">
      <c r="A126" s="12" t="s">
        <v>4682</v>
      </c>
      <c r="B126" s="12" t="s">
        <v>6672</v>
      </c>
      <c r="C126" s="12" t="s">
        <v>6673</v>
      </c>
      <c r="D126" s="12" t="s">
        <v>3790</v>
      </c>
      <c r="E126" s="13">
        <v>0</v>
      </c>
      <c r="F126" s="13">
        <v>0</v>
      </c>
      <c r="G126" s="13">
        <v>0</v>
      </c>
      <c r="H126" s="13">
        <v>0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>
        <v>0</v>
      </c>
      <c r="P126">
        <v>0</v>
      </c>
      <c r="Q126" t="str">
        <f t="shared" si="2"/>
        <v/>
      </c>
      <c r="R126" t="str">
        <f t="shared" si="3"/>
        <v/>
      </c>
      <c r="S126" t="str">
        <f>IF(RIGHT(R126,2)="1C",(INDEX(Tables!H:H,MATCH(R126,Tables!G:G,0))),"")</f>
        <v/>
      </c>
    </row>
    <row r="127" spans="1:19">
      <c r="A127" s="12" t="s">
        <v>4682</v>
      </c>
      <c r="B127" s="12" t="s">
        <v>6674</v>
      </c>
      <c r="C127" s="12" t="s">
        <v>6675</v>
      </c>
      <c r="D127" s="12" t="s">
        <v>3790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>
        <v>0</v>
      </c>
      <c r="P127">
        <v>0</v>
      </c>
      <c r="Q127" t="str">
        <f t="shared" si="2"/>
        <v/>
      </c>
      <c r="R127" t="str">
        <f t="shared" si="3"/>
        <v/>
      </c>
      <c r="S127" t="str">
        <f>IF(RIGHT(R127,2)="1C",(INDEX(Tables!H:H,MATCH(R127,Tables!G:G,0))),"")</f>
        <v/>
      </c>
    </row>
    <row r="128" spans="1:19">
      <c r="A128" s="12" t="s">
        <v>4682</v>
      </c>
      <c r="B128" s="12" t="s">
        <v>6664</v>
      </c>
      <c r="C128" s="12" t="s">
        <v>6665</v>
      </c>
      <c r="D128" s="12" t="s">
        <v>3790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>
        <v>0</v>
      </c>
      <c r="P128">
        <v>0</v>
      </c>
      <c r="Q128" t="str">
        <f t="shared" si="2"/>
        <v/>
      </c>
      <c r="R128" t="str">
        <f t="shared" si="3"/>
        <v/>
      </c>
      <c r="S128" t="str">
        <f>IF(RIGHT(R128,2)="1C",(INDEX(Tables!H:H,MATCH(R128,Tables!G:G,0))),"")</f>
        <v/>
      </c>
    </row>
    <row r="129" spans="1:19">
      <c r="A129" s="12" t="s">
        <v>4682</v>
      </c>
      <c r="B129" s="12" t="s">
        <v>6676</v>
      </c>
      <c r="C129" s="12" t="s">
        <v>6677</v>
      </c>
      <c r="D129" s="12" t="s">
        <v>3790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>
        <v>0</v>
      </c>
      <c r="P129">
        <v>0</v>
      </c>
      <c r="Q129" t="str">
        <f t="shared" si="2"/>
        <v/>
      </c>
      <c r="R129" t="str">
        <f t="shared" si="3"/>
        <v/>
      </c>
      <c r="S129" t="str">
        <f>IF(RIGHT(R129,2)="1C",(INDEX(Tables!H:H,MATCH(R129,Tables!G:G,0))),"")</f>
        <v/>
      </c>
    </row>
    <row r="130" spans="1:19">
      <c r="A130" s="12" t="s">
        <v>4682</v>
      </c>
      <c r="B130" s="12" t="s">
        <v>6714</v>
      </c>
      <c r="C130" s="12" t="s">
        <v>6715</v>
      </c>
      <c r="D130" s="12" t="s">
        <v>3790</v>
      </c>
      <c r="E130" s="13">
        <v>0</v>
      </c>
      <c r="F130" s="13">
        <v>0</v>
      </c>
      <c r="G130" s="13">
        <v>0</v>
      </c>
      <c r="H130" s="13">
        <v>0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>
        <v>0</v>
      </c>
      <c r="P130">
        <v>0</v>
      </c>
      <c r="Q130" t="str">
        <f t="shared" si="2"/>
        <v/>
      </c>
      <c r="R130" t="str">
        <f t="shared" si="3"/>
        <v/>
      </c>
      <c r="S130" t="str">
        <f>IF(RIGHT(R130,2)="1C",(INDEX(Tables!H:H,MATCH(R130,Tables!G:G,0))),"")</f>
        <v/>
      </c>
    </row>
    <row r="131" spans="1:19">
      <c r="A131" s="12" t="s">
        <v>4682</v>
      </c>
      <c r="B131" s="12" t="s">
        <v>6678</v>
      </c>
      <c r="C131" s="12" t="s">
        <v>6679</v>
      </c>
      <c r="D131" s="12" t="s">
        <v>3790</v>
      </c>
      <c r="E131" s="13">
        <v>0</v>
      </c>
      <c r="F131" s="13">
        <v>0</v>
      </c>
      <c r="G131" s="13">
        <v>0</v>
      </c>
      <c r="H131" s="13">
        <v>0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>
        <v>0</v>
      </c>
      <c r="P131">
        <v>0</v>
      </c>
      <c r="Q131" t="str">
        <f t="shared" si="2"/>
        <v/>
      </c>
      <c r="R131" t="str">
        <f t="shared" si="3"/>
        <v/>
      </c>
      <c r="S131" t="str">
        <f>IF(RIGHT(R131,2)="1C",(INDEX(Tables!H:H,MATCH(R131,Tables!G:G,0))),"")</f>
        <v/>
      </c>
    </row>
    <row r="132" spans="1:19">
      <c r="A132" s="12" t="s">
        <v>4682</v>
      </c>
      <c r="B132" s="12" t="s">
        <v>6686</v>
      </c>
      <c r="C132" s="12" t="s">
        <v>6687</v>
      </c>
      <c r="D132" s="12" t="s">
        <v>3790</v>
      </c>
      <c r="E132" s="13">
        <v>0</v>
      </c>
      <c r="F132" s="13">
        <v>0</v>
      </c>
      <c r="G132" s="13">
        <v>0</v>
      </c>
      <c r="H132" s="13">
        <v>0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>
        <v>0</v>
      </c>
      <c r="P132">
        <v>0</v>
      </c>
      <c r="Q132" t="str">
        <f t="shared" ref="Q132:Q195" si="4">IF(RIGHT(B132,2)="1C",MID(B132,4,5),"")</f>
        <v/>
      </c>
      <c r="R132" t="str">
        <f t="shared" ref="R132:R195" si="5">IF(RIGHT(B132,2)="1C",MID(B132,SEARCH("-",B132,1)+1,6),"")</f>
        <v/>
      </c>
      <c r="S132" t="str">
        <f>IF(RIGHT(R132,2)="1C",(INDEX(Tables!H:H,MATCH(R132,Tables!G:G,0))),"")</f>
        <v/>
      </c>
    </row>
    <row r="133" spans="1:19">
      <c r="A133" s="12" t="s">
        <v>4682</v>
      </c>
      <c r="B133" s="12" t="s">
        <v>6682</v>
      </c>
      <c r="C133" s="12" t="s">
        <v>6683</v>
      </c>
      <c r="D133" s="12" t="s">
        <v>3790</v>
      </c>
      <c r="E133" s="13">
        <v>0</v>
      </c>
      <c r="F133" s="13">
        <v>0</v>
      </c>
      <c r="G133" s="13">
        <v>0</v>
      </c>
      <c r="H133" s="13">
        <v>0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>
        <v>0</v>
      </c>
      <c r="P133">
        <v>0</v>
      </c>
      <c r="Q133" t="str">
        <f t="shared" si="4"/>
        <v/>
      </c>
      <c r="R133" t="str">
        <f t="shared" si="5"/>
        <v/>
      </c>
      <c r="S133" t="str">
        <f>IF(RIGHT(R133,2)="1C",(INDEX(Tables!H:H,MATCH(R133,Tables!G:G,0))),"")</f>
        <v/>
      </c>
    </row>
    <row r="134" spans="1:19">
      <c r="A134" s="12" t="s">
        <v>4682</v>
      </c>
      <c r="B134" s="12" t="s">
        <v>6680</v>
      </c>
      <c r="C134" s="12" t="s">
        <v>6681</v>
      </c>
      <c r="D134" s="12" t="s">
        <v>3790</v>
      </c>
      <c r="E134" s="13">
        <v>0</v>
      </c>
      <c r="F134" s="13">
        <v>0</v>
      </c>
      <c r="G134" s="13">
        <v>0</v>
      </c>
      <c r="H134" s="13">
        <v>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>
        <v>0</v>
      </c>
      <c r="P134">
        <v>0</v>
      </c>
      <c r="Q134" t="str">
        <f t="shared" si="4"/>
        <v/>
      </c>
      <c r="R134" t="str">
        <f t="shared" si="5"/>
        <v/>
      </c>
      <c r="S134" t="str">
        <f>IF(RIGHT(R134,2)="1C",(INDEX(Tables!H:H,MATCH(R134,Tables!G:G,0))),"")</f>
        <v/>
      </c>
    </row>
    <row r="135" spans="1:19">
      <c r="A135" s="12" t="s">
        <v>4682</v>
      </c>
      <c r="B135" s="12" t="s">
        <v>6662</v>
      </c>
      <c r="C135" s="12" t="s">
        <v>6663</v>
      </c>
      <c r="D135" s="12" t="s">
        <v>3790</v>
      </c>
      <c r="E135" s="13">
        <v>0</v>
      </c>
      <c r="F135" s="13">
        <v>0</v>
      </c>
      <c r="G135" s="13">
        <v>0</v>
      </c>
      <c r="H135" s="13">
        <v>0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>
        <v>0</v>
      </c>
      <c r="P135">
        <v>0</v>
      </c>
      <c r="Q135" t="str">
        <f t="shared" si="4"/>
        <v/>
      </c>
      <c r="R135" t="str">
        <f t="shared" si="5"/>
        <v/>
      </c>
      <c r="S135" t="str">
        <f>IF(RIGHT(R135,2)="1C",(INDEX(Tables!H:H,MATCH(R135,Tables!G:G,0))),"")</f>
        <v/>
      </c>
    </row>
    <row r="136" spans="1:19">
      <c r="A136" s="12" t="s">
        <v>4682</v>
      </c>
      <c r="B136" s="12" t="s">
        <v>7147</v>
      </c>
      <c r="C136" s="12" t="s">
        <v>7148</v>
      </c>
      <c r="D136" s="12" t="s">
        <v>3790</v>
      </c>
      <c r="E136" s="13">
        <v>0</v>
      </c>
      <c r="F136" s="13">
        <v>0</v>
      </c>
      <c r="G136" s="13">
        <v>0</v>
      </c>
      <c r="H136" s="13">
        <v>0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>
        <v>0</v>
      </c>
      <c r="P136">
        <v>0</v>
      </c>
      <c r="Q136" t="str">
        <f t="shared" si="4"/>
        <v/>
      </c>
      <c r="R136" t="str">
        <f t="shared" si="5"/>
        <v/>
      </c>
      <c r="S136" t="str">
        <f>IF(RIGHT(R136,2)="1C",(INDEX(Tables!H:H,MATCH(R136,Tables!G:G,0))),"")</f>
        <v/>
      </c>
    </row>
    <row r="137" spans="1:19">
      <c r="A137" s="12" t="s">
        <v>4682</v>
      </c>
      <c r="B137" s="12" t="s">
        <v>7339</v>
      </c>
      <c r="C137" s="12" t="s">
        <v>7340</v>
      </c>
      <c r="D137" s="12" t="s">
        <v>3790</v>
      </c>
      <c r="E137" s="13">
        <v>0</v>
      </c>
      <c r="F137" s="13">
        <v>0</v>
      </c>
      <c r="G137" s="13">
        <v>0</v>
      </c>
      <c r="H137" s="13">
        <v>0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  <c r="O137">
        <v>0</v>
      </c>
      <c r="P137">
        <v>0</v>
      </c>
      <c r="Q137" t="str">
        <f t="shared" si="4"/>
        <v/>
      </c>
      <c r="R137" t="str">
        <f t="shared" si="5"/>
        <v/>
      </c>
      <c r="S137" t="str">
        <f>IF(RIGHT(R137,2)="1C",(INDEX(Tables!H:H,MATCH(R137,Tables!G:G,0))),"")</f>
        <v/>
      </c>
    </row>
    <row r="138" spans="1:19">
      <c r="A138" s="12" t="s">
        <v>4682</v>
      </c>
      <c r="B138" s="12" t="s">
        <v>6889</v>
      </c>
      <c r="C138" s="12" t="s">
        <v>6890</v>
      </c>
      <c r="D138" s="12" t="s">
        <v>3790</v>
      </c>
      <c r="E138" s="13">
        <v>0</v>
      </c>
      <c r="F138" s="13">
        <v>0</v>
      </c>
      <c r="G138" s="13">
        <v>0</v>
      </c>
      <c r="H138" s="13">
        <v>0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>
        <v>0</v>
      </c>
      <c r="P138">
        <v>0</v>
      </c>
      <c r="Q138" t="str">
        <f t="shared" si="4"/>
        <v/>
      </c>
      <c r="R138" t="str">
        <f t="shared" si="5"/>
        <v/>
      </c>
      <c r="S138" t="str">
        <f>IF(RIGHT(R138,2)="1C",(INDEX(Tables!H:H,MATCH(R138,Tables!G:G,0))),"")</f>
        <v/>
      </c>
    </row>
    <row r="139" spans="1:19">
      <c r="A139" s="12" t="s">
        <v>4682</v>
      </c>
      <c r="B139" s="12" t="s">
        <v>6891</v>
      </c>
      <c r="C139" s="12" t="s">
        <v>6892</v>
      </c>
      <c r="D139" s="12" t="s">
        <v>3790</v>
      </c>
      <c r="E139" s="13">
        <v>0</v>
      </c>
      <c r="F139" s="13">
        <v>0</v>
      </c>
      <c r="G139" s="13">
        <v>0</v>
      </c>
      <c r="H139" s="13">
        <v>0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>
        <v>0</v>
      </c>
      <c r="P139">
        <v>0</v>
      </c>
      <c r="Q139" t="str">
        <f t="shared" si="4"/>
        <v/>
      </c>
      <c r="R139" t="str">
        <f t="shared" si="5"/>
        <v/>
      </c>
      <c r="S139" t="str">
        <f>IF(RIGHT(R139,2)="1C",(INDEX(Tables!H:H,MATCH(R139,Tables!G:G,0))),"")</f>
        <v/>
      </c>
    </row>
    <row r="140" spans="1:19">
      <c r="A140" s="12" t="s">
        <v>4682</v>
      </c>
      <c r="B140" s="12" t="s">
        <v>5227</v>
      </c>
      <c r="C140" s="12" t="s">
        <v>5228</v>
      </c>
      <c r="D140" s="12" t="s">
        <v>3790</v>
      </c>
      <c r="E140" s="13">
        <v>437061.35</v>
      </c>
      <c r="F140" s="13">
        <v>0</v>
      </c>
      <c r="G140" s="13">
        <v>0</v>
      </c>
      <c r="H140" s="13">
        <v>0</v>
      </c>
      <c r="I140" s="13">
        <v>267695.46999999997</v>
      </c>
      <c r="J140" s="13">
        <v>217808.245</v>
      </c>
      <c r="K140" s="13">
        <v>767307.04</v>
      </c>
      <c r="L140" s="13">
        <v>748727.6</v>
      </c>
      <c r="M140" s="13">
        <v>549287.9</v>
      </c>
      <c r="N140" s="13">
        <v>448938.73</v>
      </c>
      <c r="O140">
        <v>2999764</v>
      </c>
      <c r="P140">
        <v>499960</v>
      </c>
      <c r="Q140" t="str">
        <f t="shared" si="4"/>
        <v/>
      </c>
      <c r="R140" t="str">
        <f t="shared" si="5"/>
        <v/>
      </c>
      <c r="S140" t="str">
        <f>IF(RIGHT(R140,2)="1C",(INDEX(Tables!H:H,MATCH(R140,Tables!G:G,0))),"")</f>
        <v/>
      </c>
    </row>
    <row r="141" spans="1:19">
      <c r="A141" s="12" t="s">
        <v>4682</v>
      </c>
      <c r="B141" s="12" t="s">
        <v>5057</v>
      </c>
      <c r="C141" s="12" t="s">
        <v>5058</v>
      </c>
      <c r="D141" s="12" t="s">
        <v>3790</v>
      </c>
      <c r="E141" s="13">
        <v>18520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3980.34</v>
      </c>
      <c r="M141" s="13">
        <v>0</v>
      </c>
      <c r="N141" s="13">
        <v>0</v>
      </c>
      <c r="O141">
        <v>3980.34</v>
      </c>
      <c r="P141">
        <v>663.39</v>
      </c>
      <c r="Q141" t="str">
        <f t="shared" si="4"/>
        <v/>
      </c>
      <c r="R141" t="str">
        <f t="shared" si="5"/>
        <v/>
      </c>
      <c r="S141" t="str">
        <f>IF(RIGHT(R141,2)="1C",(INDEX(Tables!H:H,MATCH(R141,Tables!G:G,0))),"")</f>
        <v/>
      </c>
    </row>
    <row r="142" spans="1:19">
      <c r="A142" s="12" t="s">
        <v>4682</v>
      </c>
      <c r="B142" s="12" t="s">
        <v>5223</v>
      </c>
      <c r="C142" s="12" t="s">
        <v>5224</v>
      </c>
      <c r="D142" s="12" t="s">
        <v>3790</v>
      </c>
      <c r="E142" s="13">
        <v>60589.55</v>
      </c>
      <c r="F142" s="13">
        <v>0</v>
      </c>
      <c r="G142" s="13">
        <v>0</v>
      </c>
      <c r="H142" s="13">
        <v>0</v>
      </c>
      <c r="I142" s="13">
        <v>114907.6</v>
      </c>
      <c r="J142" s="13">
        <v>0</v>
      </c>
      <c r="K142" s="13">
        <v>107035.8</v>
      </c>
      <c r="L142" s="13">
        <v>116733.425</v>
      </c>
      <c r="M142" s="13">
        <v>162498.57500000001</v>
      </c>
      <c r="N142" s="13">
        <v>128330.34</v>
      </c>
      <c r="O142">
        <v>629505</v>
      </c>
      <c r="P142">
        <v>104917</v>
      </c>
      <c r="Q142" t="str">
        <f t="shared" si="4"/>
        <v/>
      </c>
      <c r="R142" t="str">
        <f t="shared" si="5"/>
        <v/>
      </c>
      <c r="S142" t="str">
        <f>IF(RIGHT(R142,2)="1C",(INDEX(Tables!H:H,MATCH(R142,Tables!G:G,0))),"")</f>
        <v/>
      </c>
    </row>
    <row r="143" spans="1:19">
      <c r="A143" s="12" t="s">
        <v>4682</v>
      </c>
      <c r="B143" s="12" t="s">
        <v>7222</v>
      </c>
      <c r="C143" s="12" t="s">
        <v>7223</v>
      </c>
      <c r="D143" s="12" t="s">
        <v>3790</v>
      </c>
      <c r="E143" s="13">
        <v>0</v>
      </c>
      <c r="F143" s="13">
        <v>0</v>
      </c>
      <c r="G143" s="13">
        <v>0</v>
      </c>
      <c r="H143" s="13">
        <v>0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>
        <v>0</v>
      </c>
      <c r="P143">
        <v>0</v>
      </c>
      <c r="Q143" t="str">
        <f t="shared" si="4"/>
        <v/>
      </c>
      <c r="R143" t="str">
        <f t="shared" si="5"/>
        <v/>
      </c>
      <c r="S143" t="str">
        <f>IF(RIGHT(R143,2)="1C",(INDEX(Tables!H:H,MATCH(R143,Tables!G:G,0))),"")</f>
        <v/>
      </c>
    </row>
    <row r="144" spans="1:19">
      <c r="A144" s="12" t="s">
        <v>4682</v>
      </c>
      <c r="B144" s="12" t="s">
        <v>6516</v>
      </c>
      <c r="C144" s="12" t="s">
        <v>6517</v>
      </c>
      <c r="D144" s="12" t="s">
        <v>3790</v>
      </c>
      <c r="E144" s="13">
        <v>0</v>
      </c>
      <c r="F144" s="13">
        <v>0</v>
      </c>
      <c r="G144" s="13">
        <v>0</v>
      </c>
      <c r="H144" s="13">
        <v>0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>
        <v>0</v>
      </c>
      <c r="P144">
        <v>0</v>
      </c>
      <c r="Q144" t="str">
        <f t="shared" si="4"/>
        <v/>
      </c>
      <c r="R144" t="str">
        <f t="shared" si="5"/>
        <v/>
      </c>
      <c r="S144" t="str">
        <f>IF(RIGHT(R144,2)="1C",(INDEX(Tables!H:H,MATCH(R144,Tables!G:G,0))),"")</f>
        <v/>
      </c>
    </row>
    <row r="145" spans="1:19">
      <c r="A145" s="12" t="s">
        <v>4682</v>
      </c>
      <c r="B145" s="12" t="s">
        <v>6518</v>
      </c>
      <c r="C145" s="12" t="s">
        <v>6519</v>
      </c>
      <c r="D145" s="12" t="s">
        <v>3790</v>
      </c>
      <c r="E145" s="13">
        <v>0</v>
      </c>
      <c r="F145" s="13">
        <v>0</v>
      </c>
      <c r="G145" s="13">
        <v>0</v>
      </c>
      <c r="H145" s="13">
        <v>0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>
        <v>0</v>
      </c>
      <c r="P145">
        <v>0</v>
      </c>
      <c r="Q145" t="str">
        <f t="shared" si="4"/>
        <v/>
      </c>
      <c r="R145" t="str">
        <f t="shared" si="5"/>
        <v/>
      </c>
      <c r="S145" t="str">
        <f>IF(RIGHT(R145,2)="1C",(INDEX(Tables!H:H,MATCH(R145,Tables!G:G,0))),"")</f>
        <v/>
      </c>
    </row>
    <row r="146" spans="1:19">
      <c r="A146" s="12" t="s">
        <v>4682</v>
      </c>
      <c r="B146" s="12" t="s">
        <v>6520</v>
      </c>
      <c r="C146" s="12" t="s">
        <v>6521</v>
      </c>
      <c r="D146" s="12" t="s">
        <v>3790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>
        <v>0</v>
      </c>
      <c r="P146">
        <v>0</v>
      </c>
      <c r="Q146" t="str">
        <f t="shared" si="4"/>
        <v/>
      </c>
      <c r="R146" t="str">
        <f t="shared" si="5"/>
        <v/>
      </c>
      <c r="S146" t="str">
        <f>IF(RIGHT(R146,2)="1C",(INDEX(Tables!H:H,MATCH(R146,Tables!G:G,0))),"")</f>
        <v/>
      </c>
    </row>
    <row r="147" spans="1:19">
      <c r="A147" s="12" t="s">
        <v>4682</v>
      </c>
      <c r="B147" s="12" t="s">
        <v>6522</v>
      </c>
      <c r="C147" s="12" t="s">
        <v>6523</v>
      </c>
      <c r="D147" s="12" t="s">
        <v>3790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>
        <v>0</v>
      </c>
      <c r="P147">
        <v>0</v>
      </c>
      <c r="Q147" t="str">
        <f t="shared" si="4"/>
        <v/>
      </c>
      <c r="R147" t="str">
        <f t="shared" si="5"/>
        <v/>
      </c>
      <c r="S147" t="str">
        <f>IF(RIGHT(R147,2)="1C",(INDEX(Tables!H:H,MATCH(R147,Tables!G:G,0))),"")</f>
        <v/>
      </c>
    </row>
    <row r="148" spans="1:19">
      <c r="A148" s="12" t="s">
        <v>4682</v>
      </c>
      <c r="B148" s="12" t="s">
        <v>6788</v>
      </c>
      <c r="C148" s="12" t="s">
        <v>6789</v>
      </c>
      <c r="D148" s="12" t="s">
        <v>3790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>
        <v>0</v>
      </c>
      <c r="P148">
        <v>0</v>
      </c>
      <c r="Q148" t="str">
        <f t="shared" si="4"/>
        <v>FB225</v>
      </c>
      <c r="R148" t="str">
        <f t="shared" si="5"/>
        <v>CIM1C</v>
      </c>
      <c r="S148">
        <f>IF(RIGHT(R148,2)="1C",(INDEX(Tables!H:H,MATCH(R148,Tables!G:G,0))),"")</f>
        <v>50</v>
      </c>
    </row>
    <row r="149" spans="1:19">
      <c r="A149" s="12" t="s">
        <v>4682</v>
      </c>
      <c r="B149" s="12" t="s">
        <v>5215</v>
      </c>
      <c r="C149" s="12" t="s">
        <v>5216</v>
      </c>
      <c r="D149" s="12" t="s">
        <v>3790</v>
      </c>
      <c r="E149" s="13">
        <v>9985</v>
      </c>
      <c r="F149" s="13">
        <v>9985</v>
      </c>
      <c r="G149" s="13">
        <v>0</v>
      </c>
      <c r="H149" s="13">
        <v>0</v>
      </c>
      <c r="I149" s="13">
        <v>19190</v>
      </c>
      <c r="J149" s="13">
        <v>36193</v>
      </c>
      <c r="K149" s="13">
        <v>22830</v>
      </c>
      <c r="L149" s="13">
        <v>5781</v>
      </c>
      <c r="M149" s="13">
        <v>12631</v>
      </c>
      <c r="N149" s="13">
        <v>23754</v>
      </c>
      <c r="O149">
        <v>120379</v>
      </c>
      <c r="P149">
        <v>20063.099999999999</v>
      </c>
      <c r="Q149" t="str">
        <f t="shared" si="4"/>
        <v/>
      </c>
      <c r="R149" t="str">
        <f t="shared" si="5"/>
        <v/>
      </c>
      <c r="S149" t="str">
        <f>IF(RIGHT(R149,2)="1C",(INDEX(Tables!H:H,MATCH(R149,Tables!G:G,0))),"")</f>
        <v/>
      </c>
    </row>
    <row r="150" spans="1:19">
      <c r="A150" s="12" t="s">
        <v>4682</v>
      </c>
      <c r="B150" s="12" t="s">
        <v>5191</v>
      </c>
      <c r="C150" s="12" t="s">
        <v>5192</v>
      </c>
      <c r="D150" s="12" t="s">
        <v>3790</v>
      </c>
      <c r="E150" s="13">
        <v>15160</v>
      </c>
      <c r="F150" s="13">
        <v>15160</v>
      </c>
      <c r="G150" s="13">
        <v>0</v>
      </c>
      <c r="H150" s="13">
        <v>0</v>
      </c>
      <c r="I150" s="13">
        <v>5174</v>
      </c>
      <c r="J150" s="13">
        <v>300</v>
      </c>
      <c r="K150" s="13">
        <v>0</v>
      </c>
      <c r="L150" s="13">
        <v>4608</v>
      </c>
      <c r="M150" s="13">
        <v>4096</v>
      </c>
      <c r="N150" s="13">
        <v>5272</v>
      </c>
      <c r="O150">
        <v>19450</v>
      </c>
      <c r="P150">
        <v>3241.66</v>
      </c>
      <c r="Q150" t="str">
        <f t="shared" si="4"/>
        <v/>
      </c>
      <c r="R150" t="str">
        <f t="shared" si="5"/>
        <v/>
      </c>
      <c r="S150" t="str">
        <f>IF(RIGHT(R150,2)="1C",(INDEX(Tables!H:H,MATCH(R150,Tables!G:G,0))),"")</f>
        <v/>
      </c>
    </row>
    <row r="151" spans="1:19">
      <c r="A151" s="12" t="s">
        <v>4682</v>
      </c>
      <c r="B151" s="12" t="s">
        <v>7331</v>
      </c>
      <c r="C151" s="12" t="s">
        <v>7332</v>
      </c>
      <c r="D151" s="12" t="s">
        <v>3790</v>
      </c>
      <c r="E151" s="13">
        <v>0</v>
      </c>
      <c r="F151" s="13">
        <v>0</v>
      </c>
      <c r="G151" s="13">
        <v>0</v>
      </c>
      <c r="H151" s="13">
        <v>0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>
        <v>0</v>
      </c>
      <c r="P151">
        <v>0</v>
      </c>
      <c r="Q151" t="str">
        <f t="shared" si="4"/>
        <v/>
      </c>
      <c r="R151" t="str">
        <f t="shared" si="5"/>
        <v/>
      </c>
      <c r="S151" t="str">
        <f>IF(RIGHT(R151,2)="1C",(INDEX(Tables!H:H,MATCH(R151,Tables!G:G,0))),"")</f>
        <v/>
      </c>
    </row>
    <row r="152" spans="1:19">
      <c r="A152" s="12" t="s">
        <v>4682</v>
      </c>
      <c r="B152" s="12" t="s">
        <v>4851</v>
      </c>
      <c r="C152" s="12" t="s">
        <v>4852</v>
      </c>
      <c r="D152" s="12" t="s">
        <v>3790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>
        <v>0</v>
      </c>
      <c r="P152">
        <v>0</v>
      </c>
      <c r="Q152" t="str">
        <f t="shared" si="4"/>
        <v/>
      </c>
      <c r="R152" t="str">
        <f t="shared" si="5"/>
        <v/>
      </c>
      <c r="S152" t="str">
        <f>IF(RIGHT(R152,2)="1C",(INDEX(Tables!H:H,MATCH(R152,Tables!G:G,0))),"")</f>
        <v/>
      </c>
    </row>
    <row r="153" spans="1:19">
      <c r="A153" s="12" t="s">
        <v>4682</v>
      </c>
      <c r="B153" s="12" t="s">
        <v>7286</v>
      </c>
      <c r="C153" s="12" t="s">
        <v>7287</v>
      </c>
      <c r="D153" s="12" t="s">
        <v>3790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>
        <v>0</v>
      </c>
      <c r="P153">
        <v>0</v>
      </c>
      <c r="Q153" t="str">
        <f t="shared" si="4"/>
        <v/>
      </c>
      <c r="R153" t="str">
        <f t="shared" si="5"/>
        <v/>
      </c>
      <c r="S153" t="str">
        <f>IF(RIGHT(R153,2)="1C",(INDEX(Tables!H:H,MATCH(R153,Tables!G:G,0))),"")</f>
        <v/>
      </c>
    </row>
    <row r="154" spans="1:19">
      <c r="A154" s="12" t="s">
        <v>4682</v>
      </c>
      <c r="B154" s="12" t="s">
        <v>5075</v>
      </c>
      <c r="C154" s="12" t="s">
        <v>5076</v>
      </c>
      <c r="D154" s="12" t="s">
        <v>3790</v>
      </c>
      <c r="E154" s="13">
        <v>2073.46</v>
      </c>
      <c r="F154" s="13">
        <v>2073.46</v>
      </c>
      <c r="G154" s="13">
        <v>0</v>
      </c>
      <c r="H154" s="13">
        <v>0</v>
      </c>
      <c r="I154" s="13">
        <v>1359.54</v>
      </c>
      <c r="J154" s="13">
        <v>950</v>
      </c>
      <c r="K154" s="13">
        <v>0</v>
      </c>
      <c r="L154" s="13">
        <v>3786</v>
      </c>
      <c r="M154" s="13">
        <v>1139</v>
      </c>
      <c r="N154" s="13">
        <v>0</v>
      </c>
      <c r="O154">
        <v>7234.54</v>
      </c>
      <c r="P154">
        <v>1205.75</v>
      </c>
      <c r="Q154" t="str">
        <f t="shared" si="4"/>
        <v/>
      </c>
      <c r="R154" t="str">
        <f t="shared" si="5"/>
        <v/>
      </c>
      <c r="S154" t="str">
        <f>IF(RIGHT(R154,2)="1C",(INDEX(Tables!H:H,MATCH(R154,Tables!G:G,0))),"")</f>
        <v/>
      </c>
    </row>
    <row r="155" spans="1:19">
      <c r="A155" s="12" t="s">
        <v>4682</v>
      </c>
      <c r="B155" s="12" t="s">
        <v>5113</v>
      </c>
      <c r="C155" s="12" t="s">
        <v>5114</v>
      </c>
      <c r="D155" s="12" t="s">
        <v>3790</v>
      </c>
      <c r="E155" s="13">
        <v>2030</v>
      </c>
      <c r="F155" s="13">
        <v>2030</v>
      </c>
      <c r="G155" s="13">
        <v>0</v>
      </c>
      <c r="H155" s="13">
        <v>0</v>
      </c>
      <c r="I155" s="13">
        <v>0</v>
      </c>
      <c r="J155" s="13">
        <v>3372</v>
      </c>
      <c r="K155" s="13">
        <v>5575</v>
      </c>
      <c r="L155" s="13">
        <v>1229</v>
      </c>
      <c r="M155" s="13">
        <v>2160</v>
      </c>
      <c r="N155" s="13">
        <v>0</v>
      </c>
      <c r="O155">
        <v>12336</v>
      </c>
      <c r="P155">
        <v>2056</v>
      </c>
      <c r="Q155" t="str">
        <f t="shared" si="4"/>
        <v/>
      </c>
      <c r="R155" t="str">
        <f t="shared" si="5"/>
        <v/>
      </c>
      <c r="S155" t="str">
        <f>IF(RIGHT(R155,2)="1C",(INDEX(Tables!H:H,MATCH(R155,Tables!G:G,0))),"")</f>
        <v/>
      </c>
    </row>
    <row r="156" spans="1:19">
      <c r="A156" s="12" t="s">
        <v>4682</v>
      </c>
      <c r="B156" s="12" t="s">
        <v>5161</v>
      </c>
      <c r="C156" s="12" t="s">
        <v>5162</v>
      </c>
      <c r="D156" s="12" t="s">
        <v>3790</v>
      </c>
      <c r="E156" s="13">
        <v>5569.5</v>
      </c>
      <c r="F156" s="13">
        <v>5569.5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2283</v>
      </c>
      <c r="M156" s="13">
        <v>9567</v>
      </c>
      <c r="N156" s="13">
        <v>0</v>
      </c>
      <c r="O156">
        <v>11850</v>
      </c>
      <c r="P156">
        <v>1975</v>
      </c>
      <c r="Q156" t="str">
        <f t="shared" si="4"/>
        <v/>
      </c>
      <c r="R156" t="str">
        <f t="shared" si="5"/>
        <v/>
      </c>
      <c r="S156" t="str">
        <f>IF(RIGHT(R156,2)="1C",(INDEX(Tables!H:H,MATCH(R156,Tables!G:G,0))),"")</f>
        <v/>
      </c>
    </row>
    <row r="157" spans="1:19">
      <c r="A157" s="12" t="s">
        <v>4682</v>
      </c>
      <c r="B157" s="12" t="s">
        <v>7444</v>
      </c>
      <c r="C157" s="12" t="s">
        <v>7445</v>
      </c>
      <c r="D157" s="12" t="s">
        <v>3790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>
        <v>0</v>
      </c>
      <c r="P157">
        <v>0</v>
      </c>
      <c r="Q157" t="str">
        <f t="shared" si="4"/>
        <v/>
      </c>
      <c r="R157" t="str">
        <f t="shared" si="5"/>
        <v/>
      </c>
      <c r="S157" t="str">
        <f>IF(RIGHT(R157,2)="1C",(INDEX(Tables!H:H,MATCH(R157,Tables!G:G,0))),"")</f>
        <v/>
      </c>
    </row>
    <row r="158" spans="1:19">
      <c r="A158" s="12" t="s">
        <v>4682</v>
      </c>
      <c r="B158" s="12" t="s">
        <v>4857</v>
      </c>
      <c r="C158" s="12" t="s">
        <v>4858</v>
      </c>
      <c r="D158" s="12" t="s">
        <v>3790</v>
      </c>
      <c r="E158" s="13">
        <v>0</v>
      </c>
      <c r="F158" s="13">
        <v>0</v>
      </c>
      <c r="G158" s="13">
        <v>0</v>
      </c>
      <c r="H158" s="13">
        <v>0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>
        <v>0</v>
      </c>
      <c r="P158">
        <v>0</v>
      </c>
      <c r="Q158" t="str">
        <f t="shared" si="4"/>
        <v/>
      </c>
      <c r="R158" t="str">
        <f t="shared" si="5"/>
        <v/>
      </c>
      <c r="S158" t="str">
        <f>IF(RIGHT(R158,2)="1C",(INDEX(Tables!H:H,MATCH(R158,Tables!G:G,0))),"")</f>
        <v/>
      </c>
    </row>
    <row r="159" spans="1:19">
      <c r="A159" s="12" t="s">
        <v>4682</v>
      </c>
      <c r="B159" s="12" t="s">
        <v>4981</v>
      </c>
      <c r="C159" s="12" t="s">
        <v>4982</v>
      </c>
      <c r="D159" s="12" t="s">
        <v>3790</v>
      </c>
      <c r="E159" s="13">
        <v>0</v>
      </c>
      <c r="F159" s="13">
        <v>0</v>
      </c>
      <c r="G159" s="13">
        <v>0</v>
      </c>
      <c r="H159" s="13">
        <v>0</v>
      </c>
      <c r="I159" s="13">
        <v>0</v>
      </c>
      <c r="J159" s="13">
        <v>0</v>
      </c>
      <c r="K159" s="13">
        <v>2174</v>
      </c>
      <c r="L159" s="13">
        <v>2589</v>
      </c>
      <c r="M159" s="13">
        <v>0</v>
      </c>
      <c r="N159" s="13">
        <v>0</v>
      </c>
      <c r="O159">
        <v>4763</v>
      </c>
      <c r="P159">
        <v>793.83299999999997</v>
      </c>
      <c r="Q159" t="str">
        <f t="shared" si="4"/>
        <v/>
      </c>
      <c r="R159" t="str">
        <f t="shared" si="5"/>
        <v/>
      </c>
      <c r="S159" t="str">
        <f>IF(RIGHT(R159,2)="1C",(INDEX(Tables!H:H,MATCH(R159,Tables!G:G,0))),"")</f>
        <v/>
      </c>
    </row>
    <row r="160" spans="1:19">
      <c r="A160" s="12" t="s">
        <v>4682</v>
      </c>
      <c r="B160" s="12" t="s">
        <v>7424</v>
      </c>
      <c r="C160" s="12" t="s">
        <v>7425</v>
      </c>
      <c r="D160" s="12" t="s">
        <v>3790</v>
      </c>
      <c r="E160" s="13">
        <v>0</v>
      </c>
      <c r="F160" s="13">
        <v>0</v>
      </c>
      <c r="G160" s="13">
        <v>0</v>
      </c>
      <c r="H160" s="13">
        <v>0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>
        <v>0</v>
      </c>
      <c r="P160">
        <v>0</v>
      </c>
      <c r="Q160" t="str">
        <f t="shared" si="4"/>
        <v/>
      </c>
      <c r="R160" t="str">
        <f t="shared" si="5"/>
        <v/>
      </c>
      <c r="S160" t="str">
        <f>IF(RIGHT(R160,2)="1C",(INDEX(Tables!H:H,MATCH(R160,Tables!G:G,0))),"")</f>
        <v/>
      </c>
    </row>
    <row r="161" spans="1:19">
      <c r="A161" s="12" t="s">
        <v>4682</v>
      </c>
      <c r="B161" s="12" t="s">
        <v>4929</v>
      </c>
      <c r="C161" s="12" t="s">
        <v>4930</v>
      </c>
      <c r="D161" s="12" t="s">
        <v>3790</v>
      </c>
      <c r="E161" s="13">
        <v>0</v>
      </c>
      <c r="F161" s="13">
        <v>0</v>
      </c>
      <c r="G161" s="13">
        <v>0</v>
      </c>
      <c r="H161" s="13">
        <v>0</v>
      </c>
      <c r="I161" s="13">
        <v>0</v>
      </c>
      <c r="J161" s="13">
        <v>1189</v>
      </c>
      <c r="K161" s="13">
        <v>0</v>
      </c>
      <c r="L161" s="13">
        <v>786</v>
      </c>
      <c r="M161" s="13">
        <v>0</v>
      </c>
      <c r="N161" s="13">
        <v>0</v>
      </c>
      <c r="O161">
        <v>1975</v>
      </c>
      <c r="P161">
        <v>329.166</v>
      </c>
      <c r="Q161" t="str">
        <f t="shared" si="4"/>
        <v/>
      </c>
      <c r="R161" t="str">
        <f t="shared" si="5"/>
        <v/>
      </c>
      <c r="S161" t="str">
        <f>IF(RIGHT(R161,2)="1C",(INDEX(Tables!H:H,MATCH(R161,Tables!G:G,0))),"")</f>
        <v/>
      </c>
    </row>
    <row r="162" spans="1:19">
      <c r="A162" s="12" t="s">
        <v>4682</v>
      </c>
      <c r="B162" s="12" t="s">
        <v>7029</v>
      </c>
      <c r="C162" s="12" t="s">
        <v>7030</v>
      </c>
      <c r="D162" s="12" t="s">
        <v>3790</v>
      </c>
      <c r="E162" s="13">
        <v>1100</v>
      </c>
      <c r="F162" s="13">
        <v>1100</v>
      </c>
      <c r="G162" s="13">
        <v>0</v>
      </c>
      <c r="H162" s="13">
        <v>0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>
        <v>0</v>
      </c>
      <c r="P162">
        <v>0</v>
      </c>
      <c r="Q162" t="str">
        <f t="shared" si="4"/>
        <v/>
      </c>
      <c r="R162" t="str">
        <f t="shared" si="5"/>
        <v/>
      </c>
      <c r="S162" t="str">
        <f>IF(RIGHT(R162,2)="1C",(INDEX(Tables!H:H,MATCH(R162,Tables!G:G,0))),"")</f>
        <v/>
      </c>
    </row>
    <row r="163" spans="1:19">
      <c r="A163" s="12" t="s">
        <v>4682</v>
      </c>
      <c r="B163" s="12" t="s">
        <v>6983</v>
      </c>
      <c r="C163" s="12" t="s">
        <v>6984</v>
      </c>
      <c r="D163" s="12" t="s">
        <v>3790</v>
      </c>
      <c r="E163" s="13">
        <v>0</v>
      </c>
      <c r="F163" s="13">
        <v>0</v>
      </c>
      <c r="G163" s="13">
        <v>0</v>
      </c>
      <c r="H163" s="13">
        <v>0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>
        <v>0</v>
      </c>
      <c r="P163">
        <v>0</v>
      </c>
      <c r="Q163" t="str">
        <f t="shared" si="4"/>
        <v/>
      </c>
      <c r="R163" t="str">
        <f t="shared" si="5"/>
        <v/>
      </c>
      <c r="S163" t="str">
        <f>IF(RIGHT(R163,2)="1C",(INDEX(Tables!H:H,MATCH(R163,Tables!G:G,0))),"")</f>
        <v/>
      </c>
    </row>
    <row r="164" spans="1:19">
      <c r="A164" s="12" t="s">
        <v>4682</v>
      </c>
      <c r="B164" s="12" t="s">
        <v>6524</v>
      </c>
      <c r="C164" s="12" t="s">
        <v>6525</v>
      </c>
      <c r="D164" s="12" t="s">
        <v>3790</v>
      </c>
      <c r="E164" s="13">
        <v>0</v>
      </c>
      <c r="F164" s="13">
        <v>0</v>
      </c>
      <c r="G164" s="13">
        <v>0</v>
      </c>
      <c r="H164" s="13">
        <v>0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>
        <v>0</v>
      </c>
      <c r="P164">
        <v>0</v>
      </c>
      <c r="Q164" t="str">
        <f t="shared" si="4"/>
        <v/>
      </c>
      <c r="R164" t="str">
        <f t="shared" si="5"/>
        <v/>
      </c>
      <c r="S164" t="str">
        <f>IF(RIGHT(R164,2)="1C",(INDEX(Tables!H:H,MATCH(R164,Tables!G:G,0))),"")</f>
        <v/>
      </c>
    </row>
    <row r="165" spans="1:19">
      <c r="A165" s="12" t="s">
        <v>4682</v>
      </c>
      <c r="B165" s="12" t="s">
        <v>7454</v>
      </c>
      <c r="C165" s="12" t="s">
        <v>7455</v>
      </c>
      <c r="D165" s="12" t="s">
        <v>3790</v>
      </c>
      <c r="E165" s="13">
        <v>0</v>
      </c>
      <c r="F165" s="13">
        <v>0</v>
      </c>
      <c r="G165" s="13">
        <v>0</v>
      </c>
      <c r="H165" s="13">
        <v>0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>
        <v>0</v>
      </c>
      <c r="P165">
        <v>0</v>
      </c>
      <c r="Q165" t="str">
        <f t="shared" si="4"/>
        <v/>
      </c>
      <c r="R165" t="str">
        <f t="shared" si="5"/>
        <v/>
      </c>
      <c r="S165" t="str">
        <f>IF(RIGHT(R165,2)="1C",(INDEX(Tables!H:H,MATCH(R165,Tables!G:G,0))),"")</f>
        <v/>
      </c>
    </row>
    <row r="166" spans="1:19">
      <c r="A166" s="12" t="s">
        <v>4682</v>
      </c>
      <c r="B166" s="12" t="s">
        <v>5085</v>
      </c>
      <c r="C166" s="12" t="s">
        <v>5086</v>
      </c>
      <c r="D166" s="12" t="s">
        <v>3790</v>
      </c>
      <c r="E166" s="13">
        <v>2971.23</v>
      </c>
      <c r="F166" s="13">
        <v>2971.23</v>
      </c>
      <c r="G166" s="13">
        <v>0</v>
      </c>
      <c r="H166" s="13">
        <v>0</v>
      </c>
      <c r="I166" s="13">
        <v>0</v>
      </c>
      <c r="J166" s="13">
        <v>0</v>
      </c>
      <c r="K166" s="13">
        <v>2252</v>
      </c>
      <c r="L166" s="13">
        <v>1917</v>
      </c>
      <c r="M166" s="13">
        <v>2056</v>
      </c>
      <c r="N166" s="13">
        <v>0</v>
      </c>
      <c r="O166">
        <v>6225</v>
      </c>
      <c r="P166">
        <v>1037.5</v>
      </c>
      <c r="Q166" t="str">
        <f t="shared" si="4"/>
        <v/>
      </c>
      <c r="R166" t="str">
        <f t="shared" si="5"/>
        <v/>
      </c>
      <c r="S166" t="str">
        <f>IF(RIGHT(R166,2)="1C",(INDEX(Tables!H:H,MATCH(R166,Tables!G:G,0))),"")</f>
        <v/>
      </c>
    </row>
    <row r="167" spans="1:19">
      <c r="A167" s="12" t="s">
        <v>4682</v>
      </c>
      <c r="B167" s="12" t="s">
        <v>4943</v>
      </c>
      <c r="C167" s="12" t="s">
        <v>4944</v>
      </c>
      <c r="D167" s="12" t="s">
        <v>3790</v>
      </c>
      <c r="E167" s="13">
        <v>0</v>
      </c>
      <c r="F167" s="13">
        <v>0</v>
      </c>
      <c r="G167" s="13">
        <v>0</v>
      </c>
      <c r="H167" s="13">
        <v>0</v>
      </c>
      <c r="I167" s="13">
        <v>0</v>
      </c>
      <c r="J167" s="13">
        <v>0</v>
      </c>
      <c r="K167" s="13">
        <v>0</v>
      </c>
      <c r="L167" s="13">
        <v>0</v>
      </c>
      <c r="M167" s="13">
        <v>2084</v>
      </c>
      <c r="N167" s="13">
        <v>0</v>
      </c>
      <c r="O167">
        <v>2084</v>
      </c>
      <c r="P167">
        <v>347.33300000000003</v>
      </c>
      <c r="Q167" t="str">
        <f t="shared" si="4"/>
        <v/>
      </c>
      <c r="R167" t="str">
        <f t="shared" si="5"/>
        <v/>
      </c>
      <c r="S167" t="str">
        <f>IF(RIGHT(R167,2)="1C",(INDEX(Tables!H:H,MATCH(R167,Tables!G:G,0))),"")</f>
        <v/>
      </c>
    </row>
    <row r="168" spans="1:19">
      <c r="A168" s="12" t="s">
        <v>4682</v>
      </c>
      <c r="B168" s="12" t="s">
        <v>7232</v>
      </c>
      <c r="C168" s="12" t="s">
        <v>7233</v>
      </c>
      <c r="D168" s="12" t="s">
        <v>3790</v>
      </c>
      <c r="E168" s="13">
        <v>0</v>
      </c>
      <c r="F168" s="13">
        <v>0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>
        <v>0</v>
      </c>
      <c r="P168">
        <v>0</v>
      </c>
      <c r="Q168" t="str">
        <f t="shared" si="4"/>
        <v/>
      </c>
      <c r="R168" t="str">
        <f t="shared" si="5"/>
        <v/>
      </c>
      <c r="S168" t="str">
        <f>IF(RIGHT(R168,2)="1C",(INDEX(Tables!H:H,MATCH(R168,Tables!G:G,0))),"")</f>
        <v/>
      </c>
    </row>
    <row r="169" spans="1:19">
      <c r="A169" s="12" t="s">
        <v>4682</v>
      </c>
      <c r="B169" s="12" t="s">
        <v>6526</v>
      </c>
      <c r="C169" s="12" t="s">
        <v>6527</v>
      </c>
      <c r="D169" s="12" t="s">
        <v>3790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>
        <v>0</v>
      </c>
      <c r="P169">
        <v>0</v>
      </c>
      <c r="Q169" t="str">
        <f t="shared" si="4"/>
        <v/>
      </c>
      <c r="R169" t="str">
        <f t="shared" si="5"/>
        <v/>
      </c>
      <c r="S169" t="str">
        <f>IF(RIGHT(R169,2)="1C",(INDEX(Tables!H:H,MATCH(R169,Tables!G:G,0))),"")</f>
        <v/>
      </c>
    </row>
    <row r="170" spans="1:19">
      <c r="A170" s="12" t="s">
        <v>4682</v>
      </c>
      <c r="B170" s="12" t="s">
        <v>7434</v>
      </c>
      <c r="C170" s="12" t="s">
        <v>7435</v>
      </c>
      <c r="D170" s="12" t="s">
        <v>3790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>
        <v>0</v>
      </c>
      <c r="P170">
        <v>0</v>
      </c>
      <c r="Q170" t="str">
        <f t="shared" si="4"/>
        <v/>
      </c>
      <c r="R170" t="str">
        <f t="shared" si="5"/>
        <v/>
      </c>
      <c r="S170" t="str">
        <f>IF(RIGHT(R170,2)="1C",(INDEX(Tables!H:H,MATCH(R170,Tables!G:G,0))),"")</f>
        <v/>
      </c>
    </row>
    <row r="171" spans="1:19">
      <c r="A171" s="12" t="s">
        <v>4682</v>
      </c>
      <c r="B171" s="12" t="s">
        <v>7333</v>
      </c>
      <c r="C171" s="12" t="s">
        <v>7334</v>
      </c>
      <c r="D171" s="12" t="s">
        <v>3790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>
        <v>0</v>
      </c>
      <c r="P171">
        <v>0</v>
      </c>
      <c r="Q171" t="str">
        <f t="shared" si="4"/>
        <v/>
      </c>
      <c r="R171" t="str">
        <f t="shared" si="5"/>
        <v/>
      </c>
      <c r="S171" t="str">
        <f>IF(RIGHT(R171,2)="1C",(INDEX(Tables!H:H,MATCH(R171,Tables!G:G,0))),"")</f>
        <v/>
      </c>
    </row>
    <row r="172" spans="1:19">
      <c r="A172" s="12" t="s">
        <v>4682</v>
      </c>
      <c r="B172" s="12" t="s">
        <v>6830</v>
      </c>
      <c r="C172" s="12" t="s">
        <v>6831</v>
      </c>
      <c r="D172" s="12" t="s">
        <v>3790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>
        <v>0</v>
      </c>
      <c r="P172">
        <v>0</v>
      </c>
      <c r="Q172" t="str">
        <f t="shared" si="4"/>
        <v>KM011</v>
      </c>
      <c r="R172" t="str">
        <f t="shared" si="5"/>
        <v>CIM1C</v>
      </c>
      <c r="S172">
        <f>IF(RIGHT(R172,2)="1C",(INDEX(Tables!H:H,MATCH(R172,Tables!G:G,0))),"")</f>
        <v>50</v>
      </c>
    </row>
    <row r="173" spans="1:19">
      <c r="A173" s="12" t="s">
        <v>4682</v>
      </c>
      <c r="B173" s="12" t="s">
        <v>4775</v>
      </c>
      <c r="C173" s="12" t="s">
        <v>4776</v>
      </c>
      <c r="D173" s="12" t="s">
        <v>3790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>
        <v>0</v>
      </c>
      <c r="P173">
        <v>0</v>
      </c>
      <c r="Q173" t="str">
        <f t="shared" si="4"/>
        <v>KM038</v>
      </c>
      <c r="R173" t="str">
        <f t="shared" si="5"/>
        <v>CIM1C</v>
      </c>
      <c r="S173">
        <f>IF(RIGHT(R173,2)="1C",(INDEX(Tables!H:H,MATCH(R173,Tables!G:G,0))),"")</f>
        <v>50</v>
      </c>
    </row>
    <row r="174" spans="1:19">
      <c r="A174" s="12" t="s">
        <v>4682</v>
      </c>
      <c r="B174" s="12" t="s">
        <v>7023</v>
      </c>
      <c r="C174" s="12" t="s">
        <v>7024</v>
      </c>
      <c r="D174" s="12" t="s">
        <v>3790</v>
      </c>
      <c r="E174" s="13">
        <v>0</v>
      </c>
      <c r="F174" s="13">
        <v>0</v>
      </c>
      <c r="G174" s="13">
        <v>0</v>
      </c>
      <c r="H174" s="13">
        <v>0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>
        <v>0</v>
      </c>
      <c r="P174">
        <v>0</v>
      </c>
      <c r="Q174" t="str">
        <f t="shared" si="4"/>
        <v>KM038</v>
      </c>
      <c r="R174" t="str">
        <f t="shared" si="5"/>
        <v>CMZ1C</v>
      </c>
      <c r="S174">
        <f>IF(RIGHT(R174,2)="1C",(INDEX(Tables!H:H,MATCH(R174,Tables!G:G,0))),"")</f>
        <v>62</v>
      </c>
    </row>
    <row r="175" spans="1:19">
      <c r="A175" s="12" t="s">
        <v>4682</v>
      </c>
      <c r="B175" s="12" t="s">
        <v>7121</v>
      </c>
      <c r="C175" s="12" t="s">
        <v>7122</v>
      </c>
      <c r="D175" s="12" t="s">
        <v>3790</v>
      </c>
      <c r="E175" s="13">
        <v>0</v>
      </c>
      <c r="F175" s="13">
        <v>0</v>
      </c>
      <c r="G175" s="13">
        <v>0</v>
      </c>
      <c r="H175" s="13">
        <v>0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  <c r="O175">
        <v>0</v>
      </c>
      <c r="P175">
        <v>0</v>
      </c>
      <c r="Q175" t="str">
        <f t="shared" si="4"/>
        <v>KM059</v>
      </c>
      <c r="R175" t="str">
        <f t="shared" si="5"/>
        <v>CMZ1C</v>
      </c>
      <c r="S175">
        <f>IF(RIGHT(R175,2)="1C",(INDEX(Tables!H:H,MATCH(R175,Tables!G:G,0))),"")</f>
        <v>62</v>
      </c>
    </row>
    <row r="176" spans="1:19">
      <c r="A176" s="12" t="s">
        <v>4682</v>
      </c>
      <c r="B176" s="12" t="s">
        <v>7364</v>
      </c>
      <c r="C176" s="12" t="s">
        <v>7365</v>
      </c>
      <c r="D176" s="12" t="s">
        <v>3790</v>
      </c>
      <c r="E176" s="13">
        <v>0</v>
      </c>
      <c r="F176" s="13">
        <v>0</v>
      </c>
      <c r="G176" s="13">
        <v>0</v>
      </c>
      <c r="H176" s="13">
        <v>0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>
        <v>0</v>
      </c>
      <c r="P176">
        <v>0</v>
      </c>
      <c r="Q176" t="str">
        <f t="shared" si="4"/>
        <v>KM060</v>
      </c>
      <c r="R176" t="str">
        <f t="shared" si="5"/>
        <v>CMZ1C</v>
      </c>
      <c r="S176">
        <f>IF(RIGHT(R176,2)="1C",(INDEX(Tables!H:H,MATCH(R176,Tables!G:G,0))),"")</f>
        <v>62</v>
      </c>
    </row>
    <row r="177" spans="1:19">
      <c r="A177" s="12" t="s">
        <v>4682</v>
      </c>
      <c r="B177" s="12" t="s">
        <v>7123</v>
      </c>
      <c r="C177" s="12" t="s">
        <v>7124</v>
      </c>
      <c r="D177" s="12" t="s">
        <v>3790</v>
      </c>
      <c r="E177" s="13">
        <v>0</v>
      </c>
      <c r="F177" s="13">
        <v>0</v>
      </c>
      <c r="G177" s="13">
        <v>0</v>
      </c>
      <c r="H177" s="13">
        <v>0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>
        <v>0</v>
      </c>
      <c r="P177">
        <v>0</v>
      </c>
      <c r="Q177" t="str">
        <f t="shared" si="4"/>
        <v>KM061</v>
      </c>
      <c r="R177" t="str">
        <f t="shared" si="5"/>
        <v>CMZ1C</v>
      </c>
      <c r="S177">
        <f>IF(RIGHT(R177,2)="1C",(INDEX(Tables!H:H,MATCH(R177,Tables!G:G,0))),"")</f>
        <v>62</v>
      </c>
    </row>
    <row r="178" spans="1:19">
      <c r="A178" s="12" t="s">
        <v>4682</v>
      </c>
      <c r="B178" s="12" t="s">
        <v>7218</v>
      </c>
      <c r="C178" s="12" t="s">
        <v>7219</v>
      </c>
      <c r="D178" s="12" t="s">
        <v>3790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>
        <v>0</v>
      </c>
      <c r="P178">
        <v>0</v>
      </c>
      <c r="Q178" t="str">
        <f t="shared" si="4"/>
        <v>KM062</v>
      </c>
      <c r="R178" t="str">
        <f t="shared" si="5"/>
        <v>CMZ1C</v>
      </c>
      <c r="S178">
        <f>IF(RIGHT(R178,2)="1C",(INDEX(Tables!H:H,MATCH(R178,Tables!G:G,0))),"")</f>
        <v>62</v>
      </c>
    </row>
    <row r="179" spans="1:19">
      <c r="A179" s="12" t="s">
        <v>4682</v>
      </c>
      <c r="B179" s="12" t="s">
        <v>7220</v>
      </c>
      <c r="C179" s="12" t="s">
        <v>7221</v>
      </c>
      <c r="D179" s="12" t="s">
        <v>3790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>
        <v>0</v>
      </c>
      <c r="P179">
        <v>0</v>
      </c>
      <c r="Q179" t="str">
        <f t="shared" si="4"/>
        <v>KM063</v>
      </c>
      <c r="R179" t="str">
        <f t="shared" si="5"/>
        <v>CMZ1C</v>
      </c>
      <c r="S179">
        <f>IF(RIGHT(R179,2)="1C",(INDEX(Tables!H:H,MATCH(R179,Tables!G:G,0))),"")</f>
        <v>62</v>
      </c>
    </row>
    <row r="180" spans="1:19">
      <c r="A180" s="12" t="s">
        <v>4682</v>
      </c>
      <c r="B180" s="12" t="s">
        <v>7153</v>
      </c>
      <c r="C180" s="12" t="s">
        <v>7154</v>
      </c>
      <c r="D180" s="12" t="s">
        <v>3790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>
        <v>0</v>
      </c>
      <c r="P180">
        <v>0</v>
      </c>
      <c r="Q180" t="str">
        <f t="shared" si="4"/>
        <v>KM064</v>
      </c>
      <c r="R180" t="str">
        <f t="shared" si="5"/>
        <v>CMZ1C</v>
      </c>
      <c r="S180">
        <f>IF(RIGHT(R180,2)="1C",(INDEX(Tables!H:H,MATCH(R180,Tables!G:G,0))),"")</f>
        <v>62</v>
      </c>
    </row>
    <row r="181" spans="1:19">
      <c r="A181" s="12" t="s">
        <v>4682</v>
      </c>
      <c r="B181" s="12" t="s">
        <v>7272</v>
      </c>
      <c r="C181" s="12" t="s">
        <v>7273</v>
      </c>
      <c r="D181" s="12" t="s">
        <v>3790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>
        <v>0</v>
      </c>
      <c r="P181">
        <v>0</v>
      </c>
      <c r="Q181" t="str">
        <f t="shared" si="4"/>
        <v>ME011</v>
      </c>
      <c r="R181" t="str">
        <f t="shared" si="5"/>
        <v>CMZ1C</v>
      </c>
      <c r="S181">
        <f>IF(RIGHT(R181,2)="1C",(INDEX(Tables!H:H,MATCH(R181,Tables!G:G,0))),"")</f>
        <v>62</v>
      </c>
    </row>
    <row r="182" spans="1:19">
      <c r="A182" s="12" t="s">
        <v>4682</v>
      </c>
      <c r="B182" s="12" t="s">
        <v>7049</v>
      </c>
      <c r="C182" s="12" t="s">
        <v>7050</v>
      </c>
      <c r="D182" s="12" t="s">
        <v>3790</v>
      </c>
      <c r="E182" s="13">
        <v>0</v>
      </c>
      <c r="F182" s="13">
        <v>0</v>
      </c>
      <c r="G182" s="13">
        <v>0</v>
      </c>
      <c r="H182" s="13">
        <v>0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>
        <v>0</v>
      </c>
      <c r="P182">
        <v>0</v>
      </c>
      <c r="Q182" t="str">
        <f t="shared" si="4"/>
        <v>ME100</v>
      </c>
      <c r="R182" t="str">
        <f t="shared" si="5"/>
        <v>CIM1C</v>
      </c>
      <c r="S182">
        <f>IF(RIGHT(R182,2)="1C",(INDEX(Tables!H:H,MATCH(R182,Tables!G:G,0))),"")</f>
        <v>50</v>
      </c>
    </row>
    <row r="183" spans="1:19">
      <c r="A183" s="12" t="s">
        <v>4682</v>
      </c>
      <c r="B183" s="12" t="s">
        <v>7119</v>
      </c>
      <c r="C183" s="12" t="s">
        <v>7120</v>
      </c>
      <c r="D183" s="12" t="s">
        <v>3790</v>
      </c>
      <c r="E183" s="13">
        <v>0</v>
      </c>
      <c r="F183" s="13">
        <v>0</v>
      </c>
      <c r="G183" s="13">
        <v>0</v>
      </c>
      <c r="H183" s="13">
        <v>0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>
        <v>0</v>
      </c>
      <c r="P183">
        <v>0</v>
      </c>
      <c r="Q183" t="str">
        <f t="shared" si="4"/>
        <v>ME100</v>
      </c>
      <c r="R183" t="str">
        <f t="shared" si="5"/>
        <v>CMZ1C</v>
      </c>
      <c r="S183">
        <f>IF(RIGHT(R183,2)="1C",(INDEX(Tables!H:H,MATCH(R183,Tables!G:G,0))),"")</f>
        <v>62</v>
      </c>
    </row>
    <row r="184" spans="1:19">
      <c r="A184" s="12" t="s">
        <v>4682</v>
      </c>
      <c r="B184" s="12" t="s">
        <v>7349</v>
      </c>
      <c r="C184" s="12" t="s">
        <v>7350</v>
      </c>
      <c r="D184" s="12" t="s">
        <v>3790</v>
      </c>
      <c r="E184" s="13">
        <v>0</v>
      </c>
      <c r="F184" s="13">
        <v>0</v>
      </c>
      <c r="G184" s="13">
        <v>0</v>
      </c>
      <c r="H184" s="13">
        <v>0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>
        <v>0</v>
      </c>
      <c r="P184">
        <v>0</v>
      </c>
      <c r="Q184" t="str">
        <f t="shared" si="4"/>
        <v>MG071</v>
      </c>
      <c r="R184" t="str">
        <f t="shared" si="5"/>
        <v>CMZ1C</v>
      </c>
      <c r="S184">
        <f>IF(RIGHT(R184,2)="1C",(INDEX(Tables!H:H,MATCH(R184,Tables!G:G,0))),"")</f>
        <v>62</v>
      </c>
    </row>
    <row r="185" spans="1:19">
      <c r="A185" s="12" t="s">
        <v>4682</v>
      </c>
      <c r="B185" s="12" t="s">
        <v>6863</v>
      </c>
      <c r="C185" s="12" t="s">
        <v>6864</v>
      </c>
      <c r="D185" s="12" t="s">
        <v>3790</v>
      </c>
      <c r="E185" s="13">
        <v>0</v>
      </c>
      <c r="F185" s="13">
        <v>0</v>
      </c>
      <c r="G185" s="13">
        <v>0</v>
      </c>
      <c r="H185" s="13">
        <v>0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>
        <v>0</v>
      </c>
      <c r="P185">
        <v>0</v>
      </c>
      <c r="Q185" t="str">
        <f t="shared" si="4"/>
        <v>MG115</v>
      </c>
      <c r="R185" t="str">
        <f t="shared" si="5"/>
        <v>CMZ1C</v>
      </c>
      <c r="S185">
        <f>IF(RIGHT(R185,2)="1C",(INDEX(Tables!H:H,MATCH(R185,Tables!G:G,0))),"")</f>
        <v>62</v>
      </c>
    </row>
    <row r="186" spans="1:19">
      <c r="A186" s="12" t="s">
        <v>4682</v>
      </c>
      <c r="B186" s="12" t="s">
        <v>6873</v>
      </c>
      <c r="C186" s="12" t="s">
        <v>6874</v>
      </c>
      <c r="D186" s="12" t="s">
        <v>3790</v>
      </c>
      <c r="E186" s="13">
        <v>0</v>
      </c>
      <c r="F186" s="13">
        <v>0</v>
      </c>
      <c r="G186" s="13">
        <v>0</v>
      </c>
      <c r="H186" s="13">
        <v>0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>
        <v>0</v>
      </c>
      <c r="P186">
        <v>0</v>
      </c>
      <c r="Q186" t="str">
        <f t="shared" si="4"/>
        <v>MG120</v>
      </c>
      <c r="R186" t="str">
        <f t="shared" si="5"/>
        <v>CMZ1C</v>
      </c>
      <c r="S186">
        <f>IF(RIGHT(R186,2)="1C",(INDEX(Tables!H:H,MATCH(R186,Tables!G:G,0))),"")</f>
        <v>62</v>
      </c>
    </row>
    <row r="187" spans="1:19">
      <c r="A187" s="12" t="s">
        <v>4682</v>
      </c>
      <c r="B187" s="12" t="s">
        <v>6875</v>
      </c>
      <c r="C187" s="12" t="s">
        <v>6876</v>
      </c>
      <c r="D187" s="12" t="s">
        <v>3790</v>
      </c>
      <c r="E187" s="13">
        <v>0</v>
      </c>
      <c r="F187" s="13">
        <v>0</v>
      </c>
      <c r="G187" s="13">
        <v>0</v>
      </c>
      <c r="H187" s="13">
        <v>0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>
        <v>0</v>
      </c>
      <c r="P187">
        <v>0</v>
      </c>
      <c r="Q187" t="str">
        <f t="shared" si="4"/>
        <v>MG125</v>
      </c>
      <c r="R187" t="str">
        <f t="shared" si="5"/>
        <v>CMZ1C</v>
      </c>
      <c r="S187">
        <f>IF(RIGHT(R187,2)="1C",(INDEX(Tables!H:H,MATCH(R187,Tables!G:G,0))),"")</f>
        <v>62</v>
      </c>
    </row>
    <row r="188" spans="1:19">
      <c r="A188" s="12" t="s">
        <v>4682</v>
      </c>
      <c r="B188" s="12" t="s">
        <v>6927</v>
      </c>
      <c r="C188" s="12" t="s">
        <v>6928</v>
      </c>
      <c r="D188" s="12" t="s">
        <v>3790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>
        <v>0</v>
      </c>
      <c r="P188">
        <v>0</v>
      </c>
      <c r="Q188" t="str">
        <f t="shared" si="4"/>
        <v>MG130</v>
      </c>
      <c r="R188" t="str">
        <f t="shared" si="5"/>
        <v>CMZ1C</v>
      </c>
      <c r="S188">
        <f>IF(RIGHT(R188,2)="1C",(INDEX(Tables!H:H,MATCH(R188,Tables!G:G,0))),"")</f>
        <v>62</v>
      </c>
    </row>
    <row r="189" spans="1:19">
      <c r="A189" s="12" t="s">
        <v>4682</v>
      </c>
      <c r="B189" s="12" t="s">
        <v>6961</v>
      </c>
      <c r="C189" s="12" t="s">
        <v>6962</v>
      </c>
      <c r="D189" s="12" t="s">
        <v>3790</v>
      </c>
      <c r="E189" s="13">
        <v>0</v>
      </c>
      <c r="F189" s="13">
        <v>0</v>
      </c>
      <c r="G189" s="13">
        <v>0</v>
      </c>
      <c r="H189" s="13">
        <v>0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>
        <v>0</v>
      </c>
      <c r="P189">
        <v>0</v>
      </c>
      <c r="Q189" t="str">
        <f t="shared" si="4"/>
        <v>MG135</v>
      </c>
      <c r="R189" t="str">
        <f t="shared" si="5"/>
        <v>CMZ1C</v>
      </c>
      <c r="S189">
        <f>IF(RIGHT(R189,2)="1C",(INDEX(Tables!H:H,MATCH(R189,Tables!G:G,0))),"")</f>
        <v>62</v>
      </c>
    </row>
    <row r="190" spans="1:19">
      <c r="A190" s="12" t="s">
        <v>4682</v>
      </c>
      <c r="B190" s="12" t="s">
        <v>6953</v>
      </c>
      <c r="C190" s="12" t="s">
        <v>6954</v>
      </c>
      <c r="D190" s="12" t="s">
        <v>3790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>
        <v>0</v>
      </c>
      <c r="P190">
        <v>0</v>
      </c>
      <c r="Q190" t="str">
        <f t="shared" si="4"/>
        <v>MG145</v>
      </c>
      <c r="R190" t="str">
        <f t="shared" si="5"/>
        <v>CMZ1C</v>
      </c>
      <c r="S190">
        <f>IF(RIGHT(R190,2)="1C",(INDEX(Tables!H:H,MATCH(R190,Tables!G:G,0))),"")</f>
        <v>62</v>
      </c>
    </row>
    <row r="191" spans="1:19">
      <c r="A191" s="12" t="s">
        <v>4682</v>
      </c>
      <c r="B191" s="12" t="s">
        <v>6963</v>
      </c>
      <c r="C191" s="12" t="s">
        <v>6964</v>
      </c>
      <c r="D191" s="12" t="s">
        <v>3790</v>
      </c>
      <c r="E191" s="13">
        <v>0</v>
      </c>
      <c r="F191" s="13">
        <v>0</v>
      </c>
      <c r="G191" s="13">
        <v>0</v>
      </c>
      <c r="H191" s="13">
        <v>0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>
        <v>0</v>
      </c>
      <c r="P191">
        <v>0</v>
      </c>
      <c r="Q191" t="str">
        <f t="shared" si="4"/>
        <v>MG155</v>
      </c>
      <c r="R191" t="str">
        <f t="shared" si="5"/>
        <v>CMZ1C</v>
      </c>
      <c r="S191">
        <f>IF(RIGHT(R191,2)="1C",(INDEX(Tables!H:H,MATCH(R191,Tables!G:G,0))),"")</f>
        <v>62</v>
      </c>
    </row>
    <row r="192" spans="1:19">
      <c r="A192" s="12" t="s">
        <v>4682</v>
      </c>
      <c r="B192" s="12" t="s">
        <v>7055</v>
      </c>
      <c r="C192" s="12" t="s">
        <v>7056</v>
      </c>
      <c r="D192" s="12" t="s">
        <v>3790</v>
      </c>
      <c r="E192" s="13">
        <v>0</v>
      </c>
      <c r="F192" s="13">
        <v>0</v>
      </c>
      <c r="G192" s="13">
        <v>0</v>
      </c>
      <c r="H192" s="13">
        <v>0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>
        <v>0</v>
      </c>
      <c r="P192">
        <v>0</v>
      </c>
      <c r="Q192" t="str">
        <f t="shared" si="4"/>
        <v>MG160</v>
      </c>
      <c r="R192" t="str">
        <f t="shared" si="5"/>
        <v>CIM1C</v>
      </c>
      <c r="S192">
        <f>IF(RIGHT(R192,2)="1C",(INDEX(Tables!H:H,MATCH(R192,Tables!G:G,0))),"")</f>
        <v>50</v>
      </c>
    </row>
    <row r="193" spans="1:19">
      <c r="A193" s="12" t="s">
        <v>4682</v>
      </c>
      <c r="B193" s="12" t="s">
        <v>6967</v>
      </c>
      <c r="C193" s="12" t="s">
        <v>6968</v>
      </c>
      <c r="D193" s="12" t="s">
        <v>3790</v>
      </c>
      <c r="E193" s="13">
        <v>0</v>
      </c>
      <c r="F193" s="13">
        <v>0</v>
      </c>
      <c r="G193" s="13">
        <v>0</v>
      </c>
      <c r="H193" s="13">
        <v>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  <c r="O193">
        <v>0</v>
      </c>
      <c r="P193">
        <v>0</v>
      </c>
      <c r="Q193" t="str">
        <f t="shared" si="4"/>
        <v>MG160</v>
      </c>
      <c r="R193" t="str">
        <f t="shared" si="5"/>
        <v>CMZ1C</v>
      </c>
      <c r="S193">
        <f>IF(RIGHT(R193,2)="1C",(INDEX(Tables!H:H,MATCH(R193,Tables!G:G,0))),"")</f>
        <v>62</v>
      </c>
    </row>
    <row r="194" spans="1:19">
      <c r="A194" s="12" t="s">
        <v>4682</v>
      </c>
      <c r="B194" s="12" t="s">
        <v>6929</v>
      </c>
      <c r="C194" s="12" t="s">
        <v>6930</v>
      </c>
      <c r="D194" s="12" t="s">
        <v>3790</v>
      </c>
      <c r="E194" s="13">
        <v>0</v>
      </c>
      <c r="F194" s="13">
        <v>0</v>
      </c>
      <c r="G194" s="13">
        <v>0</v>
      </c>
      <c r="H194" s="13">
        <v>0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>
        <v>0</v>
      </c>
      <c r="P194">
        <v>0</v>
      </c>
      <c r="Q194" t="str">
        <f t="shared" si="4"/>
        <v>MG180</v>
      </c>
      <c r="R194" t="str">
        <f t="shared" si="5"/>
        <v>CMZ1C</v>
      </c>
      <c r="S194">
        <f>IF(RIGHT(R194,2)="1C",(INDEX(Tables!H:H,MATCH(R194,Tables!G:G,0))),"")</f>
        <v>62</v>
      </c>
    </row>
    <row r="195" spans="1:19">
      <c r="A195" s="12" t="s">
        <v>4682</v>
      </c>
      <c r="B195" s="12" t="s">
        <v>6955</v>
      </c>
      <c r="C195" s="12" t="s">
        <v>6956</v>
      </c>
      <c r="D195" s="12" t="s">
        <v>3790</v>
      </c>
      <c r="E195" s="13">
        <v>0</v>
      </c>
      <c r="F195" s="13">
        <v>0</v>
      </c>
      <c r="G195" s="13">
        <v>0</v>
      </c>
      <c r="H195" s="13">
        <v>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>
        <v>0</v>
      </c>
      <c r="P195">
        <v>0</v>
      </c>
      <c r="Q195" t="str">
        <f t="shared" si="4"/>
        <v>MG190</v>
      </c>
      <c r="R195" t="str">
        <f t="shared" si="5"/>
        <v>CMZ1C</v>
      </c>
      <c r="S195">
        <f>IF(RIGHT(R195,2)="1C",(INDEX(Tables!H:H,MATCH(R195,Tables!G:G,0))),"")</f>
        <v>62</v>
      </c>
    </row>
    <row r="196" spans="1:19">
      <c r="A196" s="12" t="s">
        <v>4682</v>
      </c>
      <c r="B196" s="12" t="s">
        <v>6931</v>
      </c>
      <c r="C196" s="12" t="s">
        <v>6932</v>
      </c>
      <c r="D196" s="12" t="s">
        <v>3790</v>
      </c>
      <c r="E196" s="13">
        <v>0</v>
      </c>
      <c r="F196" s="13">
        <v>0</v>
      </c>
      <c r="G196" s="13">
        <v>0</v>
      </c>
      <c r="H196" s="13">
        <v>0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>
        <v>0</v>
      </c>
      <c r="P196">
        <v>0</v>
      </c>
      <c r="Q196" t="str">
        <f t="shared" ref="Q196:Q259" si="6">IF(RIGHT(B196,2)="1C",MID(B196,4,5),"")</f>
        <v>MR125</v>
      </c>
      <c r="R196" t="str">
        <f t="shared" ref="R196:R259" si="7">IF(RIGHT(B196,2)="1C",MID(B196,SEARCH("-",B196,1)+1,6),"")</f>
        <v>CMZ1C</v>
      </c>
      <c r="S196">
        <f>IF(RIGHT(R196,2)="1C",(INDEX(Tables!H:H,MATCH(R196,Tables!G:G,0))),"")</f>
        <v>62</v>
      </c>
    </row>
    <row r="197" spans="1:19">
      <c r="A197" s="12" t="s">
        <v>4682</v>
      </c>
      <c r="B197" s="12" t="s">
        <v>4719</v>
      </c>
      <c r="C197" s="12" t="s">
        <v>4720</v>
      </c>
      <c r="D197" s="12" t="s">
        <v>3790</v>
      </c>
      <c r="E197" s="13">
        <v>0</v>
      </c>
      <c r="F197" s="13">
        <v>0</v>
      </c>
      <c r="G197" s="13">
        <v>0</v>
      </c>
      <c r="H197" s="13">
        <v>0</v>
      </c>
      <c r="I197" s="13">
        <v>0</v>
      </c>
      <c r="J197" s="13">
        <v>819</v>
      </c>
      <c r="K197" s="13">
        <v>0</v>
      </c>
      <c r="L197" s="13">
        <v>0</v>
      </c>
      <c r="M197" s="13">
        <v>0</v>
      </c>
      <c r="N197" s="13">
        <v>0</v>
      </c>
      <c r="O197">
        <v>819</v>
      </c>
      <c r="P197">
        <v>136.5</v>
      </c>
      <c r="Q197" t="str">
        <f t="shared" si="6"/>
        <v>MR130</v>
      </c>
      <c r="R197" t="str">
        <f t="shared" si="7"/>
        <v>CIM1C</v>
      </c>
      <c r="S197">
        <f>IF(RIGHT(R197,2)="1C",(INDEX(Tables!H:H,MATCH(R197,Tables!G:G,0))),"")</f>
        <v>50</v>
      </c>
    </row>
    <row r="198" spans="1:19">
      <c r="A198" s="12" t="s">
        <v>4682</v>
      </c>
      <c r="B198" s="12" t="s">
        <v>6877</v>
      </c>
      <c r="C198" s="12" t="s">
        <v>6878</v>
      </c>
      <c r="D198" s="12" t="s">
        <v>3790</v>
      </c>
      <c r="E198" s="13">
        <v>0</v>
      </c>
      <c r="F198" s="13">
        <v>0</v>
      </c>
      <c r="G198" s="13">
        <v>0</v>
      </c>
      <c r="H198" s="13">
        <v>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>
        <v>0</v>
      </c>
      <c r="P198">
        <v>0</v>
      </c>
      <c r="Q198" t="str">
        <f t="shared" si="6"/>
        <v>MR130</v>
      </c>
      <c r="R198" t="str">
        <f t="shared" si="7"/>
        <v>CMZ1C</v>
      </c>
      <c r="S198">
        <f>IF(RIGHT(R198,2)="1C",(INDEX(Tables!H:H,MATCH(R198,Tables!G:G,0))),"")</f>
        <v>62</v>
      </c>
    </row>
    <row r="199" spans="1:19">
      <c r="A199" s="12" t="s">
        <v>4682</v>
      </c>
      <c r="B199" s="12" t="s">
        <v>7051</v>
      </c>
      <c r="C199" s="12" t="s">
        <v>7052</v>
      </c>
      <c r="D199" s="12" t="s">
        <v>3790</v>
      </c>
      <c r="E199" s="13">
        <v>0</v>
      </c>
      <c r="F199" s="13">
        <v>0</v>
      </c>
      <c r="G199" s="13">
        <v>0</v>
      </c>
      <c r="H199" s="13">
        <v>0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>
        <v>0</v>
      </c>
      <c r="P199">
        <v>0</v>
      </c>
      <c r="Q199" t="str">
        <f t="shared" si="6"/>
        <v>MT250</v>
      </c>
      <c r="R199" t="str">
        <f t="shared" si="7"/>
        <v>CIM1C</v>
      </c>
      <c r="S199">
        <f>IF(RIGHT(R199,2)="1C",(INDEX(Tables!H:H,MATCH(R199,Tables!G:G,0))),"")</f>
        <v>50</v>
      </c>
    </row>
    <row r="200" spans="1:19">
      <c r="A200" s="12" t="s">
        <v>4682</v>
      </c>
      <c r="B200" s="12" t="s">
        <v>6933</v>
      </c>
      <c r="C200" s="12" t="s">
        <v>6934</v>
      </c>
      <c r="D200" s="12" t="s">
        <v>3790</v>
      </c>
      <c r="E200" s="13">
        <v>0</v>
      </c>
      <c r="F200" s="13">
        <v>0</v>
      </c>
      <c r="G200" s="13">
        <v>0</v>
      </c>
      <c r="H200" s="13">
        <v>0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>
        <v>0</v>
      </c>
      <c r="P200">
        <v>0</v>
      </c>
      <c r="Q200" t="str">
        <f t="shared" si="6"/>
        <v>MT250</v>
      </c>
      <c r="R200" t="str">
        <f t="shared" si="7"/>
        <v>CMZ1C</v>
      </c>
      <c r="S200">
        <f>IF(RIGHT(R200,2)="1C",(INDEX(Tables!H:H,MATCH(R200,Tables!G:G,0))),"")</f>
        <v>62</v>
      </c>
    </row>
    <row r="201" spans="1:19">
      <c r="A201" s="12" t="s">
        <v>4682</v>
      </c>
      <c r="B201" s="12" t="s">
        <v>7103</v>
      </c>
      <c r="C201" s="12" t="s">
        <v>7104</v>
      </c>
      <c r="D201" s="12" t="s">
        <v>3790</v>
      </c>
      <c r="E201" s="13">
        <v>0</v>
      </c>
      <c r="F201" s="13">
        <v>0</v>
      </c>
      <c r="G201" s="13">
        <v>0</v>
      </c>
      <c r="H201" s="13">
        <v>0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>
        <v>0</v>
      </c>
      <c r="P201">
        <v>0</v>
      </c>
      <c r="Q201" t="str">
        <f t="shared" si="6"/>
        <v>MT310</v>
      </c>
      <c r="R201" t="str">
        <f t="shared" si="7"/>
        <v>CIM1C</v>
      </c>
      <c r="S201">
        <f>IF(RIGHT(R201,2)="1C",(INDEX(Tables!H:H,MATCH(R201,Tables!G:G,0))),"")</f>
        <v>50</v>
      </c>
    </row>
    <row r="202" spans="1:19">
      <c r="A202" s="12" t="s">
        <v>4682</v>
      </c>
      <c r="B202" s="12" t="s">
        <v>4847</v>
      </c>
      <c r="C202" s="12" t="s">
        <v>4848</v>
      </c>
      <c r="D202" s="12" t="s">
        <v>3790</v>
      </c>
      <c r="E202" s="13">
        <v>0</v>
      </c>
      <c r="F202" s="13">
        <v>0</v>
      </c>
      <c r="G202" s="13">
        <v>0</v>
      </c>
      <c r="H202" s="13">
        <v>0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>
        <v>0</v>
      </c>
      <c r="P202">
        <v>0</v>
      </c>
      <c r="Q202" t="str">
        <f t="shared" si="6"/>
        <v/>
      </c>
      <c r="R202" t="str">
        <f t="shared" si="7"/>
        <v/>
      </c>
      <c r="S202" t="str">
        <f>IF(RIGHT(R202,2)="1C",(INDEX(Tables!H:H,MATCH(R202,Tables!G:G,0))),"")</f>
        <v/>
      </c>
    </row>
    <row r="203" spans="1:19">
      <c r="A203" s="12" t="s">
        <v>4682</v>
      </c>
      <c r="B203" s="12" t="s">
        <v>6879</v>
      </c>
      <c r="C203" s="12" t="s">
        <v>6880</v>
      </c>
      <c r="D203" s="12" t="s">
        <v>3790</v>
      </c>
      <c r="E203" s="13">
        <v>56.62</v>
      </c>
      <c r="F203" s="13">
        <v>56.62</v>
      </c>
      <c r="G203" s="13">
        <v>0</v>
      </c>
      <c r="H203" s="13">
        <v>0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>
        <v>0</v>
      </c>
      <c r="P203">
        <v>0</v>
      </c>
      <c r="Q203" t="str">
        <f t="shared" si="6"/>
        <v>MW550</v>
      </c>
      <c r="R203" t="str">
        <f t="shared" si="7"/>
        <v>CMZ1C</v>
      </c>
      <c r="S203">
        <f>IF(RIGHT(R203,2)="1C",(INDEX(Tables!H:H,MATCH(R203,Tables!G:G,0))),"")</f>
        <v>62</v>
      </c>
    </row>
    <row r="204" spans="1:19">
      <c r="A204" s="12" t="s">
        <v>4682</v>
      </c>
      <c r="B204" s="12" t="s">
        <v>6917</v>
      </c>
      <c r="C204" s="12" t="s">
        <v>6918</v>
      </c>
      <c r="D204" s="12" t="s">
        <v>3790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>
        <v>0</v>
      </c>
      <c r="P204">
        <v>0</v>
      </c>
      <c r="Q204" t="str">
        <f t="shared" si="6"/>
        <v/>
      </c>
      <c r="R204" t="str">
        <f t="shared" si="7"/>
        <v/>
      </c>
      <c r="S204" t="str">
        <f>IF(RIGHT(R204,2)="1C",(INDEX(Tables!H:H,MATCH(R204,Tables!G:G,0))),"")</f>
        <v/>
      </c>
    </row>
    <row r="205" spans="1:19">
      <c r="A205" s="12" t="s">
        <v>4682</v>
      </c>
      <c r="B205" s="12" t="s">
        <v>7053</v>
      </c>
      <c r="C205" s="12" t="s">
        <v>7054</v>
      </c>
      <c r="D205" s="12" t="s">
        <v>3790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>
        <v>0</v>
      </c>
      <c r="P205">
        <v>0</v>
      </c>
      <c r="Q205" t="str">
        <f t="shared" si="6"/>
        <v>MW570</v>
      </c>
      <c r="R205" t="str">
        <f t="shared" si="7"/>
        <v>CIM1C</v>
      </c>
      <c r="S205">
        <f>IF(RIGHT(R205,2)="1C",(INDEX(Tables!H:H,MATCH(R205,Tables!G:G,0))),"")</f>
        <v>50</v>
      </c>
    </row>
    <row r="206" spans="1:19">
      <c r="A206" s="12" t="s">
        <v>4682</v>
      </c>
      <c r="B206" s="12" t="s">
        <v>7351</v>
      </c>
      <c r="C206" s="12" t="s">
        <v>7352</v>
      </c>
      <c r="D206" s="12" t="s">
        <v>3790</v>
      </c>
      <c r="E206" s="13">
        <v>0</v>
      </c>
      <c r="F206" s="13">
        <v>0</v>
      </c>
      <c r="G206" s="13">
        <v>0</v>
      </c>
      <c r="H206" s="13">
        <v>0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  <c r="O206">
        <v>0</v>
      </c>
      <c r="P206">
        <v>0</v>
      </c>
      <c r="Q206" t="str">
        <f t="shared" si="6"/>
        <v>MW570</v>
      </c>
      <c r="R206" t="str">
        <f t="shared" si="7"/>
        <v>CMZ1C</v>
      </c>
      <c r="S206">
        <f>IF(RIGHT(R206,2)="1C",(INDEX(Tables!H:H,MATCH(R206,Tables!G:G,0))),"")</f>
        <v>62</v>
      </c>
    </row>
    <row r="207" spans="1:19">
      <c r="A207" s="12" t="s">
        <v>4682</v>
      </c>
      <c r="B207" s="12" t="s">
        <v>6959</v>
      </c>
      <c r="C207" s="12" t="s">
        <v>6960</v>
      </c>
      <c r="D207" s="12" t="s">
        <v>3790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>
        <v>0</v>
      </c>
      <c r="P207">
        <v>0</v>
      </c>
      <c r="Q207" t="str">
        <f t="shared" si="6"/>
        <v>MW575</v>
      </c>
      <c r="R207" t="str">
        <f t="shared" si="7"/>
        <v>CMZ1C</v>
      </c>
      <c r="S207">
        <f>IF(RIGHT(R207,2)="1C",(INDEX(Tables!H:H,MATCH(R207,Tables!G:G,0))),"")</f>
        <v>62</v>
      </c>
    </row>
    <row r="208" spans="1:19">
      <c r="A208" s="12" t="s">
        <v>4682</v>
      </c>
      <c r="B208" s="12" t="s">
        <v>5031</v>
      </c>
      <c r="C208" s="12" t="s">
        <v>5032</v>
      </c>
      <c r="D208" s="12" t="s">
        <v>3790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1138</v>
      </c>
      <c r="K208" s="13">
        <v>0</v>
      </c>
      <c r="L208" s="13">
        <v>0</v>
      </c>
      <c r="M208" s="13">
        <v>0</v>
      </c>
      <c r="N208" s="13">
        <v>0</v>
      </c>
      <c r="O208">
        <v>1138</v>
      </c>
      <c r="P208">
        <v>189.666</v>
      </c>
      <c r="Q208" t="str">
        <f t="shared" si="6"/>
        <v>PFA42</v>
      </c>
      <c r="R208" t="str">
        <f t="shared" si="7"/>
        <v>CIM1C</v>
      </c>
      <c r="S208">
        <f>IF(RIGHT(R208,2)="1C",(INDEX(Tables!H:H,MATCH(R208,Tables!G:G,0))),"")</f>
        <v>50</v>
      </c>
    </row>
    <row r="209" spans="1:19">
      <c r="A209" s="12" t="s">
        <v>4682</v>
      </c>
      <c r="B209" s="12" t="s">
        <v>7129</v>
      </c>
      <c r="C209" s="12" t="s">
        <v>7130</v>
      </c>
      <c r="D209" s="12" t="s">
        <v>3790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>
        <v>0</v>
      </c>
      <c r="P209">
        <v>0</v>
      </c>
      <c r="Q209" t="str">
        <f t="shared" si="6"/>
        <v>PFA42</v>
      </c>
      <c r="R209" t="str">
        <f t="shared" si="7"/>
        <v>CMZ1C</v>
      </c>
      <c r="S209">
        <f>IF(RIGHT(R209,2)="1C",(INDEX(Tables!H:H,MATCH(R209,Tables!G:G,0))),"")</f>
        <v>62</v>
      </c>
    </row>
    <row r="210" spans="1:19">
      <c r="A210" s="12" t="s">
        <v>4682</v>
      </c>
      <c r="B210" s="12" t="s">
        <v>5185</v>
      </c>
      <c r="C210" s="12" t="s">
        <v>5186</v>
      </c>
      <c r="D210" s="12" t="s">
        <v>3790</v>
      </c>
      <c r="E210" s="13">
        <v>11735.9</v>
      </c>
      <c r="F210" s="13">
        <v>11735.9</v>
      </c>
      <c r="G210" s="13">
        <v>0</v>
      </c>
      <c r="H210" s="13">
        <v>0</v>
      </c>
      <c r="I210" s="13">
        <v>0</v>
      </c>
      <c r="J210" s="13">
        <v>6684</v>
      </c>
      <c r="K210" s="13">
        <v>1365</v>
      </c>
      <c r="L210" s="13">
        <v>12306</v>
      </c>
      <c r="M210" s="13">
        <v>393</v>
      </c>
      <c r="N210" s="13">
        <v>2080</v>
      </c>
      <c r="O210">
        <v>22828</v>
      </c>
      <c r="P210">
        <v>3804.66</v>
      </c>
      <c r="Q210" t="str">
        <f t="shared" si="6"/>
        <v>PFA60</v>
      </c>
      <c r="R210" t="str">
        <f t="shared" si="7"/>
        <v>CIM1C</v>
      </c>
      <c r="S210">
        <f>IF(RIGHT(R210,2)="1C",(INDEX(Tables!H:H,MATCH(R210,Tables!G:G,0))),"")</f>
        <v>50</v>
      </c>
    </row>
    <row r="211" spans="1:19">
      <c r="A211" s="12" t="s">
        <v>4682</v>
      </c>
      <c r="B211" s="12" t="s">
        <v>7420</v>
      </c>
      <c r="C211" s="12" t="s">
        <v>7421</v>
      </c>
      <c r="D211" s="12" t="s">
        <v>3790</v>
      </c>
      <c r="E211" s="13">
        <v>1300</v>
      </c>
      <c r="F211" s="13">
        <v>1300</v>
      </c>
      <c r="G211" s="13">
        <v>0</v>
      </c>
      <c r="H211" s="13">
        <v>0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>
        <v>0</v>
      </c>
      <c r="P211">
        <v>0</v>
      </c>
      <c r="Q211" t="str">
        <f t="shared" si="6"/>
        <v>PFA60</v>
      </c>
      <c r="R211" t="str">
        <f t="shared" si="7"/>
        <v>CMZ1C</v>
      </c>
      <c r="S211">
        <f>IF(RIGHT(R211,2)="1C",(INDEX(Tables!H:H,MATCH(R211,Tables!G:G,0))),"")</f>
        <v>62</v>
      </c>
    </row>
    <row r="212" spans="1:19">
      <c r="A212" s="12" t="s">
        <v>4682</v>
      </c>
      <c r="B212" s="12" t="s">
        <v>6745</v>
      </c>
      <c r="C212" s="12" t="s">
        <v>4812</v>
      </c>
      <c r="D212" s="12" t="s">
        <v>3790</v>
      </c>
      <c r="E212" s="13">
        <v>0</v>
      </c>
      <c r="F212" s="13">
        <v>0</v>
      </c>
      <c r="G212" s="13">
        <v>0</v>
      </c>
      <c r="H212" s="13">
        <v>0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>
        <v>0</v>
      </c>
      <c r="P212">
        <v>0</v>
      </c>
      <c r="Q212" t="str">
        <f t="shared" si="6"/>
        <v/>
      </c>
      <c r="R212" t="str">
        <f t="shared" si="7"/>
        <v/>
      </c>
      <c r="S212" t="str">
        <f>IF(RIGHT(R212,2)="1C",(INDEX(Tables!H:H,MATCH(R212,Tables!G:G,0))),"")</f>
        <v/>
      </c>
    </row>
    <row r="213" spans="1:19">
      <c r="A213" s="12" t="s">
        <v>4682</v>
      </c>
      <c r="B213" s="12" t="s">
        <v>6688</v>
      </c>
      <c r="C213" s="12" t="s">
        <v>6689</v>
      </c>
      <c r="D213" s="12" t="s">
        <v>3790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>
        <v>0</v>
      </c>
      <c r="P213">
        <v>0</v>
      </c>
      <c r="Q213" t="str">
        <f t="shared" si="6"/>
        <v/>
      </c>
      <c r="R213" t="str">
        <f t="shared" si="7"/>
        <v/>
      </c>
      <c r="S213" t="str">
        <f>IF(RIGHT(R213,2)="1C",(INDEX(Tables!H:H,MATCH(R213,Tables!G:G,0))),"")</f>
        <v/>
      </c>
    </row>
    <row r="214" spans="1:19">
      <c r="A214" s="12" t="s">
        <v>4682</v>
      </c>
      <c r="B214" s="12" t="s">
        <v>7380</v>
      </c>
      <c r="C214" s="12" t="s">
        <v>7381</v>
      </c>
      <c r="D214" s="12" t="s">
        <v>3790</v>
      </c>
      <c r="E214" s="13">
        <v>0</v>
      </c>
      <c r="F214" s="13">
        <v>0</v>
      </c>
      <c r="G214" s="13">
        <v>0</v>
      </c>
      <c r="H214" s="13">
        <v>0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>
        <v>0</v>
      </c>
      <c r="P214">
        <v>0</v>
      </c>
      <c r="Q214" t="str">
        <f t="shared" si="6"/>
        <v>QU915</v>
      </c>
      <c r="R214" t="str">
        <f t="shared" si="7"/>
        <v>CIM1C</v>
      </c>
      <c r="S214">
        <f>IF(RIGHT(R214,2)="1C",(INDEX(Tables!H:H,MATCH(R214,Tables!G:G,0))),"")</f>
        <v>50</v>
      </c>
    </row>
    <row r="215" spans="1:19">
      <c r="A215" s="12" t="s">
        <v>4682</v>
      </c>
      <c r="B215" s="12" t="s">
        <v>7157</v>
      </c>
      <c r="C215" s="12" t="s">
        <v>7158</v>
      </c>
      <c r="D215" s="12" t="s">
        <v>3790</v>
      </c>
      <c r="E215" s="13">
        <v>0</v>
      </c>
      <c r="F215" s="13">
        <v>0</v>
      </c>
      <c r="G215" s="13">
        <v>0</v>
      </c>
      <c r="H215" s="13">
        <v>0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>
        <v>0</v>
      </c>
      <c r="P215">
        <v>0</v>
      </c>
      <c r="Q215" t="str">
        <f t="shared" si="6"/>
        <v>QU915</v>
      </c>
      <c r="R215" t="str">
        <f t="shared" si="7"/>
        <v>CMZ1C</v>
      </c>
      <c r="S215">
        <f>IF(RIGHT(R215,2)="1C",(INDEX(Tables!H:H,MATCH(R215,Tables!G:G,0))),"")</f>
        <v>62</v>
      </c>
    </row>
    <row r="216" spans="1:19">
      <c r="A216" s="12" t="s">
        <v>4682</v>
      </c>
      <c r="B216" s="12" t="s">
        <v>7151</v>
      </c>
      <c r="C216" s="12" t="s">
        <v>7152</v>
      </c>
      <c r="D216" s="12" t="s">
        <v>3790</v>
      </c>
      <c r="E216" s="13">
        <v>0</v>
      </c>
      <c r="F216" s="13">
        <v>0</v>
      </c>
      <c r="G216" s="13">
        <v>0</v>
      </c>
      <c r="H216" s="13">
        <v>0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  <c r="O216">
        <v>0</v>
      </c>
      <c r="P216">
        <v>0</v>
      </c>
      <c r="Q216" t="str">
        <f t="shared" si="6"/>
        <v>QU920</v>
      </c>
      <c r="R216" t="str">
        <f t="shared" si="7"/>
        <v>CIM1C</v>
      </c>
      <c r="S216">
        <f>IF(RIGHT(R216,2)="1C",(INDEX(Tables!H:H,MATCH(R216,Tables!G:G,0))),"")</f>
        <v>50</v>
      </c>
    </row>
    <row r="217" spans="1:19">
      <c r="A217" s="12" t="s">
        <v>4682</v>
      </c>
      <c r="B217" s="12" t="s">
        <v>7378</v>
      </c>
      <c r="C217" s="12" t="s">
        <v>7379</v>
      </c>
      <c r="D217" s="12" t="s">
        <v>3790</v>
      </c>
      <c r="E217" s="13">
        <v>0</v>
      </c>
      <c r="F217" s="13">
        <v>0</v>
      </c>
      <c r="G217" s="13">
        <v>0</v>
      </c>
      <c r="H217" s="13">
        <v>0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>
        <v>0</v>
      </c>
      <c r="P217">
        <v>0</v>
      </c>
      <c r="Q217" t="str">
        <f t="shared" si="6"/>
        <v>QU920</v>
      </c>
      <c r="R217" t="str">
        <f t="shared" si="7"/>
        <v>CMZ1C</v>
      </c>
      <c r="S217">
        <f>IF(RIGHT(R217,2)="1C",(INDEX(Tables!H:H,MATCH(R217,Tables!G:G,0))),"")</f>
        <v>62</v>
      </c>
    </row>
    <row r="218" spans="1:19">
      <c r="A218" s="12" t="s">
        <v>4682</v>
      </c>
      <c r="B218" s="12" t="s">
        <v>7033</v>
      </c>
      <c r="C218" s="12" t="s">
        <v>7034</v>
      </c>
      <c r="D218" s="12" t="s">
        <v>3790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>
        <v>0</v>
      </c>
      <c r="P218">
        <v>0</v>
      </c>
      <c r="Q218" t="str">
        <f t="shared" si="6"/>
        <v/>
      </c>
      <c r="R218" t="str">
        <f t="shared" si="7"/>
        <v/>
      </c>
      <c r="S218" t="str">
        <f>IF(RIGHT(R218,2)="1C",(INDEX(Tables!H:H,MATCH(R218,Tables!G:G,0))),"")</f>
        <v/>
      </c>
    </row>
    <row r="219" spans="1:19">
      <c r="A219" s="12" t="s">
        <v>4682</v>
      </c>
      <c r="B219" s="12" t="s">
        <v>6528</v>
      </c>
      <c r="C219" s="12" t="s">
        <v>6529</v>
      </c>
      <c r="D219" s="12" t="s">
        <v>3790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>
        <v>0</v>
      </c>
      <c r="P219">
        <v>0</v>
      </c>
      <c r="Q219" t="str">
        <f t="shared" si="6"/>
        <v/>
      </c>
      <c r="R219" t="str">
        <f t="shared" si="7"/>
        <v/>
      </c>
      <c r="S219" t="str">
        <f>IF(RIGHT(R219,2)="1C",(INDEX(Tables!H:H,MATCH(R219,Tables!G:G,0))),"")</f>
        <v/>
      </c>
    </row>
    <row r="220" spans="1:19">
      <c r="A220" s="12" t="s">
        <v>4682</v>
      </c>
      <c r="B220" s="12" t="s">
        <v>6832</v>
      </c>
      <c r="C220" s="12" t="s">
        <v>6833</v>
      </c>
      <c r="D220" s="12" t="s">
        <v>3790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>
        <v>0</v>
      </c>
      <c r="P220">
        <v>0</v>
      </c>
      <c r="Q220" t="str">
        <f t="shared" si="6"/>
        <v/>
      </c>
      <c r="R220" t="str">
        <f t="shared" si="7"/>
        <v/>
      </c>
      <c r="S220" t="str">
        <f>IF(RIGHT(R220,2)="1C",(INDEX(Tables!H:H,MATCH(R220,Tables!G:G,0))),"")</f>
        <v/>
      </c>
    </row>
    <row r="221" spans="1:19">
      <c r="A221" s="12" t="s">
        <v>4682</v>
      </c>
      <c r="B221" s="12" t="s">
        <v>6530</v>
      </c>
      <c r="C221" s="12" t="s">
        <v>6531</v>
      </c>
      <c r="D221" s="12" t="s">
        <v>3790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>
        <v>0</v>
      </c>
      <c r="P221">
        <v>0</v>
      </c>
      <c r="Q221" t="str">
        <f t="shared" si="6"/>
        <v/>
      </c>
      <c r="R221" t="str">
        <f t="shared" si="7"/>
        <v/>
      </c>
      <c r="S221" t="str">
        <f>IF(RIGHT(R221,2)="1C",(INDEX(Tables!H:H,MATCH(R221,Tables!G:G,0))),"")</f>
        <v/>
      </c>
    </row>
    <row r="222" spans="1:19">
      <c r="A222" s="12" t="s">
        <v>4682</v>
      </c>
      <c r="B222" s="12" t="s">
        <v>4787</v>
      </c>
      <c r="C222" s="12" t="s">
        <v>4788</v>
      </c>
      <c r="D222" s="12" t="s">
        <v>3790</v>
      </c>
      <c r="E222" s="13">
        <v>167</v>
      </c>
      <c r="F222" s="13">
        <v>167</v>
      </c>
      <c r="G222" s="13">
        <v>0</v>
      </c>
      <c r="H222" s="13">
        <v>0</v>
      </c>
      <c r="I222" s="13">
        <v>0</v>
      </c>
      <c r="J222" s="13">
        <v>0</v>
      </c>
      <c r="K222" s="13">
        <v>0</v>
      </c>
      <c r="L222" s="13">
        <v>365</v>
      </c>
      <c r="M222" s="13">
        <v>0</v>
      </c>
      <c r="N222" s="13">
        <v>0</v>
      </c>
      <c r="O222">
        <v>365</v>
      </c>
      <c r="P222">
        <v>60.833300000000001</v>
      </c>
      <c r="Q222" t="str">
        <f t="shared" si="6"/>
        <v/>
      </c>
      <c r="R222" t="str">
        <f t="shared" si="7"/>
        <v/>
      </c>
      <c r="S222" t="str">
        <f>IF(RIGHT(R222,2)="1C",(INDEX(Tables!H:H,MATCH(R222,Tables!G:G,0))),"")</f>
        <v/>
      </c>
    </row>
    <row r="223" spans="1:19">
      <c r="A223" s="12" t="s">
        <v>4682</v>
      </c>
      <c r="B223" s="12" t="s">
        <v>5061</v>
      </c>
      <c r="C223" s="12" t="s">
        <v>5062</v>
      </c>
      <c r="D223" s="12" t="s">
        <v>3790</v>
      </c>
      <c r="E223" s="13">
        <v>2280</v>
      </c>
      <c r="F223" s="13">
        <v>2280</v>
      </c>
      <c r="G223" s="13">
        <v>0</v>
      </c>
      <c r="H223" s="13">
        <v>0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>
        <v>0</v>
      </c>
      <c r="P223">
        <v>0</v>
      </c>
      <c r="Q223" t="str">
        <f t="shared" si="6"/>
        <v/>
      </c>
      <c r="R223" t="str">
        <f t="shared" si="7"/>
        <v/>
      </c>
      <c r="S223" t="str">
        <f>IF(RIGHT(R223,2)="1C",(INDEX(Tables!H:H,MATCH(R223,Tables!G:G,0))),"")</f>
        <v/>
      </c>
    </row>
    <row r="224" spans="1:19">
      <c r="A224" s="12" t="s">
        <v>4682</v>
      </c>
      <c r="B224" s="12" t="s">
        <v>6692</v>
      </c>
      <c r="C224" s="12" t="s">
        <v>6693</v>
      </c>
      <c r="D224" s="12" t="s">
        <v>3790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>
        <v>0</v>
      </c>
      <c r="P224">
        <v>0</v>
      </c>
      <c r="Q224" t="str">
        <f t="shared" si="6"/>
        <v/>
      </c>
      <c r="R224" t="str">
        <f t="shared" si="7"/>
        <v/>
      </c>
      <c r="S224" t="str">
        <f>IF(RIGHT(R224,2)="1C",(INDEX(Tables!H:H,MATCH(R224,Tables!G:G,0))),"")</f>
        <v/>
      </c>
    </row>
    <row r="225" spans="1:19">
      <c r="A225" s="12" t="s">
        <v>4682</v>
      </c>
      <c r="B225" s="12" t="s">
        <v>4831</v>
      </c>
      <c r="C225" s="12" t="s">
        <v>4832</v>
      </c>
      <c r="D225" s="12" t="s">
        <v>3790</v>
      </c>
      <c r="E225" s="13">
        <v>0</v>
      </c>
      <c r="F225" s="13">
        <v>0</v>
      </c>
      <c r="G225" s="13">
        <v>0</v>
      </c>
      <c r="H225" s="13">
        <v>0</v>
      </c>
      <c r="I225" s="13">
        <v>0</v>
      </c>
      <c r="J225" s="13">
        <v>0</v>
      </c>
      <c r="K225" s="13">
        <v>0</v>
      </c>
      <c r="L225" s="13">
        <v>0</v>
      </c>
      <c r="M225" s="13">
        <v>350</v>
      </c>
      <c r="N225" s="13">
        <v>0</v>
      </c>
      <c r="O225">
        <v>350</v>
      </c>
      <c r="P225">
        <v>58.333300000000001</v>
      </c>
      <c r="Q225" t="str">
        <f t="shared" si="6"/>
        <v/>
      </c>
      <c r="R225" t="str">
        <f t="shared" si="7"/>
        <v/>
      </c>
      <c r="S225" t="str">
        <f>IF(RIGHT(R225,2)="1C",(INDEX(Tables!H:H,MATCH(R225,Tables!G:G,0))),"")</f>
        <v/>
      </c>
    </row>
    <row r="226" spans="1:19">
      <c r="A226" s="12" t="s">
        <v>4682</v>
      </c>
      <c r="B226" s="12" t="s">
        <v>4801</v>
      </c>
      <c r="C226" s="12" t="s">
        <v>4802</v>
      </c>
      <c r="D226" s="12" t="s">
        <v>3790</v>
      </c>
      <c r="E226" s="13">
        <v>0</v>
      </c>
      <c r="F226" s="13">
        <v>0</v>
      </c>
      <c r="G226" s="13">
        <v>0</v>
      </c>
      <c r="H226" s="13">
        <v>0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640</v>
      </c>
      <c r="O226">
        <v>640</v>
      </c>
      <c r="P226">
        <v>106.666</v>
      </c>
      <c r="Q226" t="str">
        <f t="shared" si="6"/>
        <v/>
      </c>
      <c r="R226" t="str">
        <f t="shared" si="7"/>
        <v/>
      </c>
      <c r="S226" t="str">
        <f>IF(RIGHT(R226,2)="1C",(INDEX(Tables!H:H,MATCH(R226,Tables!G:G,0))),"")</f>
        <v/>
      </c>
    </row>
    <row r="227" spans="1:19">
      <c r="A227" s="12" t="s">
        <v>4682</v>
      </c>
      <c r="B227" s="12" t="s">
        <v>6532</v>
      </c>
      <c r="C227" s="12" t="s">
        <v>6533</v>
      </c>
      <c r="D227" s="12" t="s">
        <v>3790</v>
      </c>
      <c r="E227" s="13">
        <v>0</v>
      </c>
      <c r="F227" s="13">
        <v>0</v>
      </c>
      <c r="G227" s="13">
        <v>0</v>
      </c>
      <c r="H227" s="13">
        <v>0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  <c r="O227">
        <v>0</v>
      </c>
      <c r="P227">
        <v>0</v>
      </c>
      <c r="Q227" t="str">
        <f t="shared" si="6"/>
        <v/>
      </c>
      <c r="R227" t="str">
        <f t="shared" si="7"/>
        <v/>
      </c>
      <c r="S227" t="str">
        <f>IF(RIGHT(R227,2)="1C",(INDEX(Tables!H:H,MATCH(R227,Tables!G:G,0))),"")</f>
        <v/>
      </c>
    </row>
    <row r="228" spans="1:19">
      <c r="A228" s="12" t="s">
        <v>4682</v>
      </c>
      <c r="B228" s="12" t="s">
        <v>4951</v>
      </c>
      <c r="C228" s="12" t="s">
        <v>4952</v>
      </c>
      <c r="D228" s="12" t="s">
        <v>3790</v>
      </c>
      <c r="E228" s="13">
        <v>0</v>
      </c>
      <c r="F228" s="13">
        <v>0</v>
      </c>
      <c r="G228" s="13">
        <v>0</v>
      </c>
      <c r="H228" s="13">
        <v>0</v>
      </c>
      <c r="I228" s="13">
        <v>0</v>
      </c>
      <c r="J228" s="13">
        <v>1135</v>
      </c>
      <c r="K228" s="13">
        <v>0</v>
      </c>
      <c r="L228" s="13">
        <v>0</v>
      </c>
      <c r="M228" s="13">
        <v>0</v>
      </c>
      <c r="N228" s="13">
        <v>0</v>
      </c>
      <c r="O228">
        <v>1135</v>
      </c>
      <c r="P228">
        <v>189.166</v>
      </c>
      <c r="Q228" t="str">
        <f t="shared" si="6"/>
        <v/>
      </c>
      <c r="R228" t="str">
        <f t="shared" si="7"/>
        <v/>
      </c>
      <c r="S228" t="str">
        <f>IF(RIGHT(R228,2)="1C",(INDEX(Tables!H:H,MATCH(R228,Tables!G:G,0))),"")</f>
        <v/>
      </c>
    </row>
    <row r="229" spans="1:19">
      <c r="A229" s="12" t="s">
        <v>4682</v>
      </c>
      <c r="B229" s="12" t="s">
        <v>5017</v>
      </c>
      <c r="C229" s="12" t="s">
        <v>5018</v>
      </c>
      <c r="D229" s="12" t="s">
        <v>3790</v>
      </c>
      <c r="E229" s="13">
        <v>28.24</v>
      </c>
      <c r="F229" s="13">
        <v>28.24</v>
      </c>
      <c r="G229" s="13">
        <v>0</v>
      </c>
      <c r="H229" s="13">
        <v>0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  <c r="O229">
        <v>0</v>
      </c>
      <c r="P229">
        <v>0</v>
      </c>
      <c r="Q229" t="str">
        <f t="shared" si="6"/>
        <v/>
      </c>
      <c r="R229" t="str">
        <f t="shared" si="7"/>
        <v/>
      </c>
      <c r="S229" t="str">
        <f>IF(RIGHT(R229,2)="1C",(INDEX(Tables!H:H,MATCH(R229,Tables!G:G,0))),"")</f>
        <v/>
      </c>
    </row>
    <row r="230" spans="1:19">
      <c r="A230" s="12" t="s">
        <v>4682</v>
      </c>
      <c r="B230" s="12" t="s">
        <v>6534</v>
      </c>
      <c r="C230" s="12" t="s">
        <v>6535</v>
      </c>
      <c r="D230" s="12" t="s">
        <v>3790</v>
      </c>
      <c r="E230" s="13">
        <v>0</v>
      </c>
      <c r="F230" s="13">
        <v>0</v>
      </c>
      <c r="G230" s="13">
        <v>0</v>
      </c>
      <c r="H230" s="13">
        <v>0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>
        <v>0</v>
      </c>
      <c r="P230">
        <v>0</v>
      </c>
      <c r="Q230" t="str">
        <f t="shared" si="6"/>
        <v/>
      </c>
      <c r="R230" t="str">
        <f t="shared" si="7"/>
        <v/>
      </c>
      <c r="S230" t="str">
        <f>IF(RIGHT(R230,2)="1C",(INDEX(Tables!H:H,MATCH(R230,Tables!G:G,0))),"")</f>
        <v/>
      </c>
    </row>
    <row r="231" spans="1:19">
      <c r="A231" s="12" t="s">
        <v>4682</v>
      </c>
      <c r="B231" s="12" t="s">
        <v>5089</v>
      </c>
      <c r="C231" s="12" t="s">
        <v>5090</v>
      </c>
      <c r="D231" s="12" t="s">
        <v>3790</v>
      </c>
      <c r="E231" s="13">
        <v>0</v>
      </c>
      <c r="F231" s="13">
        <v>0</v>
      </c>
      <c r="G231" s="13">
        <v>0</v>
      </c>
      <c r="H231" s="13">
        <v>0</v>
      </c>
      <c r="I231" s="13">
        <v>0</v>
      </c>
      <c r="J231" s="13">
        <v>0</v>
      </c>
      <c r="K231" s="13">
        <v>0</v>
      </c>
      <c r="L231" s="13">
        <v>0</v>
      </c>
      <c r="M231" s="13">
        <v>1569</v>
      </c>
      <c r="N231" s="13">
        <v>4357</v>
      </c>
      <c r="O231">
        <v>5926</v>
      </c>
      <c r="P231">
        <v>987.66600000000005</v>
      </c>
      <c r="Q231" t="str">
        <f t="shared" si="6"/>
        <v/>
      </c>
      <c r="R231" t="str">
        <f t="shared" si="7"/>
        <v/>
      </c>
      <c r="S231" t="str">
        <f>IF(RIGHT(R231,2)="1C",(INDEX(Tables!H:H,MATCH(R231,Tables!G:G,0))),"")</f>
        <v/>
      </c>
    </row>
    <row r="232" spans="1:19">
      <c r="A232" s="12" t="s">
        <v>4682</v>
      </c>
      <c r="B232" s="12" t="s">
        <v>6536</v>
      </c>
      <c r="C232" s="12" t="s">
        <v>6537</v>
      </c>
      <c r="D232" s="12" t="s">
        <v>3790</v>
      </c>
      <c r="E232" s="13">
        <v>0</v>
      </c>
      <c r="F232" s="13">
        <v>0</v>
      </c>
      <c r="G232" s="13">
        <v>0</v>
      </c>
      <c r="H232" s="13">
        <v>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>
        <v>0</v>
      </c>
      <c r="P232">
        <v>0</v>
      </c>
      <c r="Q232" t="str">
        <f t="shared" si="6"/>
        <v/>
      </c>
      <c r="R232" t="str">
        <f t="shared" si="7"/>
        <v/>
      </c>
      <c r="S232" t="str">
        <f>IF(RIGHT(R232,2)="1C",(INDEX(Tables!H:H,MATCH(R232,Tables!G:G,0))),"")</f>
        <v/>
      </c>
    </row>
    <row r="233" spans="1:19">
      <c r="A233" s="12" t="s">
        <v>4682</v>
      </c>
      <c r="B233" s="12" t="s">
        <v>6538</v>
      </c>
      <c r="C233" s="12" t="s">
        <v>6539</v>
      </c>
      <c r="D233" s="12" t="s">
        <v>3790</v>
      </c>
      <c r="E233" s="13">
        <v>0</v>
      </c>
      <c r="F233" s="13">
        <v>0</v>
      </c>
      <c r="G233" s="13">
        <v>0</v>
      </c>
      <c r="H233" s="13">
        <v>0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>
        <v>0</v>
      </c>
      <c r="P233">
        <v>0</v>
      </c>
      <c r="Q233" t="str">
        <f t="shared" si="6"/>
        <v/>
      </c>
      <c r="R233" t="str">
        <f t="shared" si="7"/>
        <v/>
      </c>
      <c r="S233" t="str">
        <f>IF(RIGHT(R233,2)="1C",(INDEX(Tables!H:H,MATCH(R233,Tables!G:G,0))),"")</f>
        <v/>
      </c>
    </row>
    <row r="234" spans="1:19">
      <c r="A234" s="12" t="s">
        <v>4682</v>
      </c>
      <c r="B234" s="12" t="s">
        <v>6540</v>
      </c>
      <c r="C234" s="12" t="s">
        <v>6541</v>
      </c>
      <c r="D234" s="12" t="s">
        <v>3790</v>
      </c>
      <c r="E234" s="13">
        <v>0</v>
      </c>
      <c r="F234" s="13">
        <v>0</v>
      </c>
      <c r="G234" s="13">
        <v>0</v>
      </c>
      <c r="H234" s="13">
        <v>0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  <c r="O234">
        <v>0</v>
      </c>
      <c r="P234">
        <v>0</v>
      </c>
      <c r="Q234" t="str">
        <f t="shared" si="6"/>
        <v/>
      </c>
      <c r="R234" t="str">
        <f t="shared" si="7"/>
        <v/>
      </c>
      <c r="S234" t="str">
        <f>IF(RIGHT(R234,2)="1C",(INDEX(Tables!H:H,MATCH(R234,Tables!G:G,0))),"")</f>
        <v/>
      </c>
    </row>
    <row r="235" spans="1:19">
      <c r="A235" s="12" t="s">
        <v>4682</v>
      </c>
      <c r="B235" s="12" t="s">
        <v>6951</v>
      </c>
      <c r="C235" s="12" t="s">
        <v>6952</v>
      </c>
      <c r="D235" s="12" t="s">
        <v>3790</v>
      </c>
      <c r="E235" s="13">
        <v>0</v>
      </c>
      <c r="F235" s="13">
        <v>0</v>
      </c>
      <c r="G235" s="13">
        <v>0</v>
      </c>
      <c r="H235" s="13">
        <v>0</v>
      </c>
      <c r="I235" s="13">
        <v>1452</v>
      </c>
      <c r="J235" s="13">
        <v>5725</v>
      </c>
      <c r="K235" s="13">
        <v>0</v>
      </c>
      <c r="L235" s="13">
        <v>0</v>
      </c>
      <c r="M235" s="13">
        <v>0</v>
      </c>
      <c r="N235" s="13">
        <v>0</v>
      </c>
      <c r="O235">
        <v>7177</v>
      </c>
      <c r="P235">
        <v>1196.1600000000001</v>
      </c>
      <c r="Q235" t="str">
        <f t="shared" si="6"/>
        <v/>
      </c>
      <c r="R235" t="str">
        <f t="shared" si="7"/>
        <v/>
      </c>
      <c r="S235" t="str">
        <f>IF(RIGHT(R235,2)="1C",(INDEX(Tables!H:H,MATCH(R235,Tables!G:G,0))),"")</f>
        <v/>
      </c>
    </row>
    <row r="236" spans="1:19">
      <c r="A236" s="12" t="s">
        <v>4682</v>
      </c>
      <c r="B236" s="12" t="s">
        <v>4783</v>
      </c>
      <c r="C236" s="12" t="s">
        <v>4784</v>
      </c>
      <c r="D236" s="12" t="s">
        <v>3790</v>
      </c>
      <c r="E236" s="13">
        <v>403.76</v>
      </c>
      <c r="F236" s="13">
        <v>403.76</v>
      </c>
      <c r="G236" s="13">
        <v>0</v>
      </c>
      <c r="H236" s="13">
        <v>0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>
        <v>0</v>
      </c>
      <c r="P236">
        <v>0</v>
      </c>
      <c r="Q236" t="str">
        <f t="shared" si="6"/>
        <v/>
      </c>
      <c r="R236" t="str">
        <f t="shared" si="7"/>
        <v/>
      </c>
      <c r="S236" t="str">
        <f>IF(RIGHT(R236,2)="1C",(INDEX(Tables!H:H,MATCH(R236,Tables!G:G,0))),"")</f>
        <v/>
      </c>
    </row>
    <row r="237" spans="1:19">
      <c r="A237" s="12" t="s">
        <v>4682</v>
      </c>
      <c r="B237" s="12" t="s">
        <v>6945</v>
      </c>
      <c r="C237" s="12" t="s">
        <v>6946</v>
      </c>
      <c r="D237" s="12" t="s">
        <v>3790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>
        <v>0</v>
      </c>
      <c r="P237">
        <v>0</v>
      </c>
      <c r="Q237" t="str">
        <f t="shared" si="6"/>
        <v/>
      </c>
      <c r="R237" t="str">
        <f t="shared" si="7"/>
        <v/>
      </c>
      <c r="S237" t="str">
        <f>IF(RIGHT(R237,2)="1C",(INDEX(Tables!H:H,MATCH(R237,Tables!G:G,0))),"")</f>
        <v/>
      </c>
    </row>
    <row r="238" spans="1:19">
      <c r="A238" s="12" t="s">
        <v>4682</v>
      </c>
      <c r="B238" s="12" t="s">
        <v>6905</v>
      </c>
      <c r="C238" s="12" t="s">
        <v>6906</v>
      </c>
      <c r="D238" s="12" t="s">
        <v>3790</v>
      </c>
      <c r="E238" s="13">
        <v>0</v>
      </c>
      <c r="F238" s="13">
        <v>0</v>
      </c>
      <c r="G238" s="13">
        <v>0</v>
      </c>
      <c r="H238" s="13">
        <v>0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>
        <v>0</v>
      </c>
      <c r="P238">
        <v>0</v>
      </c>
      <c r="Q238" t="str">
        <f t="shared" si="6"/>
        <v>SB035</v>
      </c>
      <c r="R238" t="str">
        <f t="shared" si="7"/>
        <v>CIM1C</v>
      </c>
      <c r="S238">
        <f>IF(RIGHT(R238,2)="1C",(INDEX(Tables!H:H,MATCH(R238,Tables!G:G,0))),"")</f>
        <v>50</v>
      </c>
    </row>
    <row r="239" spans="1:19">
      <c r="A239" s="12" t="s">
        <v>4682</v>
      </c>
      <c r="B239" s="12" t="s">
        <v>6542</v>
      </c>
      <c r="C239" s="12" t="s">
        <v>6543</v>
      </c>
      <c r="D239" s="12" t="s">
        <v>3790</v>
      </c>
      <c r="E239" s="13">
        <v>0</v>
      </c>
      <c r="F239" s="13">
        <v>0</v>
      </c>
      <c r="G239" s="13">
        <v>0</v>
      </c>
      <c r="H239" s="13">
        <v>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>
        <v>0</v>
      </c>
      <c r="P239">
        <v>0</v>
      </c>
      <c r="Q239" t="str">
        <f t="shared" si="6"/>
        <v/>
      </c>
      <c r="R239" t="str">
        <f t="shared" si="7"/>
        <v/>
      </c>
      <c r="S239" t="str">
        <f>IF(RIGHT(R239,2)="1C",(INDEX(Tables!H:H,MATCH(R239,Tables!G:G,0))),"")</f>
        <v/>
      </c>
    </row>
    <row r="240" spans="1:19">
      <c r="A240" s="12" t="s">
        <v>4682</v>
      </c>
      <c r="B240" s="12" t="s">
        <v>7059</v>
      </c>
      <c r="C240" s="12" t="s">
        <v>7060</v>
      </c>
      <c r="D240" s="12" t="s">
        <v>3790</v>
      </c>
      <c r="E240" s="13">
        <v>0</v>
      </c>
      <c r="F240" s="13">
        <v>0</v>
      </c>
      <c r="G240" s="13">
        <v>0</v>
      </c>
      <c r="H240" s="13">
        <v>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  <c r="O240">
        <v>0</v>
      </c>
      <c r="P240">
        <v>0</v>
      </c>
      <c r="Q240" t="str">
        <f t="shared" si="6"/>
        <v/>
      </c>
      <c r="R240" t="str">
        <f t="shared" si="7"/>
        <v/>
      </c>
      <c r="S240" t="str">
        <f>IF(RIGHT(R240,2)="1C",(INDEX(Tables!H:H,MATCH(R240,Tables!G:G,0))),"")</f>
        <v/>
      </c>
    </row>
    <row r="241" spans="1:19">
      <c r="A241" s="12" t="s">
        <v>4682</v>
      </c>
      <c r="B241" s="12" t="s">
        <v>7005</v>
      </c>
      <c r="C241" s="12" t="s">
        <v>7006</v>
      </c>
      <c r="D241" s="12" t="s">
        <v>3790</v>
      </c>
      <c r="E241" s="13">
        <v>0</v>
      </c>
      <c r="F241" s="13">
        <v>0</v>
      </c>
      <c r="G241" s="13">
        <v>0</v>
      </c>
      <c r="H241" s="13">
        <v>0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  <c r="O241">
        <v>0</v>
      </c>
      <c r="P241">
        <v>0</v>
      </c>
      <c r="Q241" t="str">
        <f t="shared" si="6"/>
        <v/>
      </c>
      <c r="R241" t="str">
        <f t="shared" si="7"/>
        <v/>
      </c>
      <c r="S241" t="str">
        <f>IF(RIGHT(R241,2)="1C",(INDEX(Tables!H:H,MATCH(R241,Tables!G:G,0))),"")</f>
        <v/>
      </c>
    </row>
    <row r="242" spans="1:19">
      <c r="A242" s="12" t="s">
        <v>4682</v>
      </c>
      <c r="B242" s="12" t="s">
        <v>4823</v>
      </c>
      <c r="C242" s="12" t="s">
        <v>4824</v>
      </c>
      <c r="D242" s="12" t="s">
        <v>3790</v>
      </c>
      <c r="E242" s="13">
        <v>0</v>
      </c>
      <c r="F242" s="13">
        <v>0</v>
      </c>
      <c r="G242" s="13">
        <v>0</v>
      </c>
      <c r="H242" s="13">
        <v>0</v>
      </c>
      <c r="I242" s="13">
        <v>0</v>
      </c>
      <c r="J242" s="13">
        <v>1325</v>
      </c>
      <c r="K242" s="13">
        <v>0</v>
      </c>
      <c r="L242" s="13">
        <v>0</v>
      </c>
      <c r="M242" s="13">
        <v>0</v>
      </c>
      <c r="N242" s="13">
        <v>0</v>
      </c>
      <c r="O242">
        <v>1325</v>
      </c>
      <c r="P242">
        <v>220.833</v>
      </c>
      <c r="Q242" t="str">
        <f t="shared" si="6"/>
        <v/>
      </c>
      <c r="R242" t="str">
        <f t="shared" si="7"/>
        <v/>
      </c>
      <c r="S242" t="str">
        <f>IF(RIGHT(R242,2)="1C",(INDEX(Tables!H:H,MATCH(R242,Tables!G:G,0))),"")</f>
        <v/>
      </c>
    </row>
    <row r="243" spans="1:19">
      <c r="A243" s="12" t="s">
        <v>4682</v>
      </c>
      <c r="B243" s="12" t="s">
        <v>7296</v>
      </c>
      <c r="C243" s="12" t="s">
        <v>7297</v>
      </c>
      <c r="D243" s="12" t="s">
        <v>3790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>
        <v>0</v>
      </c>
      <c r="P243">
        <v>0</v>
      </c>
      <c r="Q243" t="str">
        <f t="shared" si="6"/>
        <v/>
      </c>
      <c r="R243" t="str">
        <f t="shared" si="7"/>
        <v/>
      </c>
      <c r="S243" t="str">
        <f>IF(RIGHT(R243,2)="1C",(INDEX(Tables!H:H,MATCH(R243,Tables!G:G,0))),"")</f>
        <v/>
      </c>
    </row>
    <row r="244" spans="1:19">
      <c r="A244" s="12" t="s">
        <v>4682</v>
      </c>
      <c r="B244" s="12" t="s">
        <v>4807</v>
      </c>
      <c r="C244" s="12" t="s">
        <v>4808</v>
      </c>
      <c r="D244" s="12" t="s">
        <v>3790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525</v>
      </c>
      <c r="K244" s="13">
        <v>430</v>
      </c>
      <c r="L244" s="13">
        <v>0</v>
      </c>
      <c r="M244" s="13">
        <v>0</v>
      </c>
      <c r="N244" s="13">
        <v>0</v>
      </c>
      <c r="O244">
        <v>955</v>
      </c>
      <c r="P244">
        <v>159.166</v>
      </c>
      <c r="Q244" t="str">
        <f t="shared" si="6"/>
        <v/>
      </c>
      <c r="R244" t="str">
        <f t="shared" si="7"/>
        <v/>
      </c>
      <c r="S244" t="str">
        <f>IF(RIGHT(R244,2)="1C",(INDEX(Tables!H:H,MATCH(R244,Tables!G:G,0))),"")</f>
        <v/>
      </c>
    </row>
    <row r="245" spans="1:19">
      <c r="A245" s="12" t="s">
        <v>4682</v>
      </c>
      <c r="B245" s="12" t="s">
        <v>6544</v>
      </c>
      <c r="C245" s="12" t="s">
        <v>6545</v>
      </c>
      <c r="D245" s="12" t="s">
        <v>3790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>
        <v>0</v>
      </c>
      <c r="P245">
        <v>0</v>
      </c>
      <c r="Q245" t="str">
        <f t="shared" si="6"/>
        <v/>
      </c>
      <c r="R245" t="str">
        <f t="shared" si="7"/>
        <v/>
      </c>
      <c r="S245" t="str">
        <f>IF(RIGHT(R245,2)="1C",(INDEX(Tables!H:H,MATCH(R245,Tables!G:G,0))),"")</f>
        <v/>
      </c>
    </row>
    <row r="246" spans="1:19">
      <c r="A246" s="12" t="s">
        <v>4682</v>
      </c>
      <c r="B246" s="12" t="s">
        <v>6546</v>
      </c>
      <c r="C246" s="12" t="s">
        <v>6547</v>
      </c>
      <c r="D246" s="12" t="s">
        <v>3790</v>
      </c>
      <c r="E246" s="13">
        <v>0</v>
      </c>
      <c r="F246" s="13">
        <v>0</v>
      </c>
      <c r="G246" s="13">
        <v>0</v>
      </c>
      <c r="H246" s="13">
        <v>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>
        <v>0</v>
      </c>
      <c r="P246">
        <v>0</v>
      </c>
      <c r="Q246" t="str">
        <f t="shared" si="6"/>
        <v/>
      </c>
      <c r="R246" t="str">
        <f t="shared" si="7"/>
        <v/>
      </c>
      <c r="S246" t="str">
        <f>IF(RIGHT(R246,2)="1C",(INDEX(Tables!H:H,MATCH(R246,Tables!G:G,0))),"")</f>
        <v/>
      </c>
    </row>
    <row r="247" spans="1:19">
      <c r="A247" s="12" t="s">
        <v>4682</v>
      </c>
      <c r="B247" s="12" t="s">
        <v>6806</v>
      </c>
      <c r="C247" s="12" t="s">
        <v>6807</v>
      </c>
      <c r="D247" s="12" t="s">
        <v>3790</v>
      </c>
      <c r="E247" s="13">
        <v>0</v>
      </c>
      <c r="F247" s="13">
        <v>0</v>
      </c>
      <c r="G247" s="13">
        <v>0</v>
      </c>
      <c r="H247" s="13">
        <v>0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  <c r="O247">
        <v>0</v>
      </c>
      <c r="P247">
        <v>0</v>
      </c>
      <c r="Q247" t="str">
        <f t="shared" si="6"/>
        <v/>
      </c>
      <c r="R247" t="str">
        <f t="shared" si="7"/>
        <v/>
      </c>
      <c r="S247" t="str">
        <f>IF(RIGHT(R247,2)="1C",(INDEX(Tables!H:H,MATCH(R247,Tables!G:G,0))),"")</f>
        <v/>
      </c>
    </row>
    <row r="248" spans="1:19">
      <c r="A248" s="12" t="s">
        <v>4682</v>
      </c>
      <c r="B248" s="12" t="s">
        <v>6812</v>
      </c>
      <c r="C248" s="12" t="s">
        <v>6813</v>
      </c>
      <c r="D248" s="12" t="s">
        <v>3790</v>
      </c>
      <c r="E248" s="13">
        <v>0</v>
      </c>
      <c r="F248" s="13">
        <v>0</v>
      </c>
      <c r="G248" s="13">
        <v>0</v>
      </c>
      <c r="H248" s="13">
        <v>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  <c r="O248">
        <v>0</v>
      </c>
      <c r="P248">
        <v>0</v>
      </c>
      <c r="Q248" t="str">
        <f t="shared" si="6"/>
        <v/>
      </c>
      <c r="R248" t="str">
        <f t="shared" si="7"/>
        <v/>
      </c>
      <c r="S248" t="str">
        <f>IF(RIGHT(R248,2)="1C",(INDEX(Tables!H:H,MATCH(R248,Tables!G:G,0))),"")</f>
        <v/>
      </c>
    </row>
    <row r="249" spans="1:19">
      <c r="A249" s="12" t="s">
        <v>4682</v>
      </c>
      <c r="B249" s="12" t="s">
        <v>7021</v>
      </c>
      <c r="C249" s="12" t="s">
        <v>7022</v>
      </c>
      <c r="D249" s="12" t="s">
        <v>3790</v>
      </c>
      <c r="E249" s="13">
        <v>0</v>
      </c>
      <c r="F249" s="13">
        <v>0</v>
      </c>
      <c r="G249" s="13">
        <v>0</v>
      </c>
      <c r="H249" s="13">
        <v>0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  <c r="O249">
        <v>0</v>
      </c>
      <c r="P249">
        <v>0</v>
      </c>
      <c r="Q249" t="str">
        <f t="shared" si="6"/>
        <v>SE115</v>
      </c>
      <c r="R249" t="str">
        <f t="shared" si="7"/>
        <v>CIM1C</v>
      </c>
      <c r="S249">
        <f>IF(RIGHT(R249,2)="1C",(INDEX(Tables!H:H,MATCH(R249,Tables!G:G,0))),"")</f>
        <v>50</v>
      </c>
    </row>
    <row r="250" spans="1:19">
      <c r="A250" s="12" t="s">
        <v>4682</v>
      </c>
      <c r="B250" s="12" t="s">
        <v>6971</v>
      </c>
      <c r="C250" s="12" t="s">
        <v>6972</v>
      </c>
      <c r="D250" s="12" t="s">
        <v>3790</v>
      </c>
      <c r="E250" s="13">
        <v>0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>
        <v>0</v>
      </c>
      <c r="P250">
        <v>0</v>
      </c>
      <c r="Q250" t="str">
        <f t="shared" si="6"/>
        <v/>
      </c>
      <c r="R250" t="str">
        <f t="shared" si="7"/>
        <v/>
      </c>
      <c r="S250" t="str">
        <f>IF(RIGHT(R250,2)="1C",(INDEX(Tables!H:H,MATCH(R250,Tables!G:G,0))),"")</f>
        <v/>
      </c>
    </row>
    <row r="251" spans="1:19">
      <c r="A251" s="12" t="s">
        <v>4682</v>
      </c>
      <c r="B251" s="12" t="s">
        <v>4757</v>
      </c>
      <c r="C251" s="12" t="s">
        <v>4758</v>
      </c>
      <c r="D251" s="12" t="s">
        <v>3790</v>
      </c>
      <c r="E251" s="13">
        <v>3363</v>
      </c>
      <c r="F251" s="13">
        <v>3363</v>
      </c>
      <c r="G251" s="13">
        <v>0</v>
      </c>
      <c r="H251" s="13">
        <v>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  <c r="O251">
        <v>0</v>
      </c>
      <c r="P251">
        <v>0</v>
      </c>
      <c r="Q251" t="str">
        <f t="shared" si="6"/>
        <v/>
      </c>
      <c r="R251" t="str">
        <f t="shared" si="7"/>
        <v/>
      </c>
      <c r="S251" t="str">
        <f>IF(RIGHT(R251,2)="1C",(INDEX(Tables!H:H,MATCH(R251,Tables!G:G,0))),"")</f>
        <v/>
      </c>
    </row>
    <row r="252" spans="1:19">
      <c r="A252" s="12" t="s">
        <v>4682</v>
      </c>
      <c r="B252" s="12" t="s">
        <v>5033</v>
      </c>
      <c r="C252" s="12" t="s">
        <v>5034</v>
      </c>
      <c r="D252" s="12" t="s">
        <v>3790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1500</v>
      </c>
      <c r="M252" s="13">
        <v>0</v>
      </c>
      <c r="N252" s="13">
        <v>0</v>
      </c>
      <c r="O252">
        <v>1500</v>
      </c>
      <c r="P252">
        <v>250</v>
      </c>
      <c r="Q252" t="str">
        <f t="shared" si="6"/>
        <v/>
      </c>
      <c r="R252" t="str">
        <f t="shared" si="7"/>
        <v/>
      </c>
      <c r="S252" t="str">
        <f>IF(RIGHT(R252,2)="1C",(INDEX(Tables!H:H,MATCH(R252,Tables!G:G,0))),"")</f>
        <v/>
      </c>
    </row>
    <row r="253" spans="1:19">
      <c r="A253" s="12" t="s">
        <v>4682</v>
      </c>
      <c r="B253" s="12" t="s">
        <v>7432</v>
      </c>
      <c r="C253" s="12" t="s">
        <v>7433</v>
      </c>
      <c r="D253" s="12" t="s">
        <v>3790</v>
      </c>
      <c r="E253" s="13">
        <v>33.17</v>
      </c>
      <c r="F253" s="13">
        <v>33.17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>
        <v>0</v>
      </c>
      <c r="P253">
        <v>0</v>
      </c>
      <c r="Q253" t="str">
        <f t="shared" si="6"/>
        <v/>
      </c>
      <c r="R253" t="str">
        <f t="shared" si="7"/>
        <v/>
      </c>
      <c r="S253" t="str">
        <f>IF(RIGHT(R253,2)="1C",(INDEX(Tables!H:H,MATCH(R253,Tables!G:G,0))),"")</f>
        <v/>
      </c>
    </row>
    <row r="254" spans="1:19">
      <c r="A254" s="12" t="s">
        <v>4682</v>
      </c>
      <c r="B254" s="12" t="s">
        <v>4837</v>
      </c>
      <c r="C254" s="12" t="s">
        <v>4838</v>
      </c>
      <c r="D254" s="12" t="s">
        <v>3790</v>
      </c>
      <c r="E254" s="13">
        <v>0</v>
      </c>
      <c r="F254" s="13">
        <v>0</v>
      </c>
      <c r="G254" s="13">
        <v>0</v>
      </c>
      <c r="H254" s="13">
        <v>0</v>
      </c>
      <c r="I254" s="13">
        <v>0</v>
      </c>
      <c r="J254" s="13">
        <v>0</v>
      </c>
      <c r="K254" s="13">
        <v>415</v>
      </c>
      <c r="L254" s="13">
        <v>401</v>
      </c>
      <c r="M254" s="13">
        <v>0</v>
      </c>
      <c r="N254" s="13">
        <v>0</v>
      </c>
      <c r="O254">
        <v>816</v>
      </c>
      <c r="P254">
        <v>136</v>
      </c>
      <c r="Q254" t="str">
        <f t="shared" si="6"/>
        <v/>
      </c>
      <c r="R254" t="str">
        <f t="shared" si="7"/>
        <v/>
      </c>
      <c r="S254" t="str">
        <f>IF(RIGHT(R254,2)="1C",(INDEX(Tables!H:H,MATCH(R254,Tables!G:G,0))),"")</f>
        <v/>
      </c>
    </row>
    <row r="255" spans="1:19">
      <c r="A255" s="12" t="s">
        <v>4682</v>
      </c>
      <c r="B255" s="12" t="s">
        <v>4907</v>
      </c>
      <c r="C255" s="12" t="s">
        <v>4908</v>
      </c>
      <c r="D255" s="12" t="s">
        <v>3790</v>
      </c>
      <c r="E255" s="13">
        <v>0</v>
      </c>
      <c r="F255" s="13">
        <v>0</v>
      </c>
      <c r="G255" s="13">
        <v>0</v>
      </c>
      <c r="H255" s="13">
        <v>0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1600</v>
      </c>
      <c r="O255">
        <v>1600</v>
      </c>
      <c r="P255">
        <v>266.666</v>
      </c>
      <c r="Q255" t="str">
        <f t="shared" si="6"/>
        <v/>
      </c>
      <c r="R255" t="str">
        <f t="shared" si="7"/>
        <v/>
      </c>
      <c r="S255" t="str">
        <f>IF(RIGHT(R255,2)="1C",(INDEX(Tables!H:H,MATCH(R255,Tables!G:G,0))),"")</f>
        <v/>
      </c>
    </row>
    <row r="256" spans="1:19">
      <c r="A256" s="12" t="s">
        <v>4682</v>
      </c>
      <c r="B256" s="12" t="s">
        <v>4853</v>
      </c>
      <c r="C256" s="12" t="s">
        <v>4854</v>
      </c>
      <c r="D256" s="12" t="s">
        <v>3790</v>
      </c>
      <c r="E256" s="13">
        <v>0</v>
      </c>
      <c r="F256" s="13">
        <v>0</v>
      </c>
      <c r="G256" s="13">
        <v>0</v>
      </c>
      <c r="H256" s="13">
        <v>0</v>
      </c>
      <c r="I256" s="13">
        <v>0</v>
      </c>
      <c r="J256" s="13">
        <v>0</v>
      </c>
      <c r="K256" s="13">
        <v>0</v>
      </c>
      <c r="L256" s="13">
        <v>0</v>
      </c>
      <c r="M256" s="13">
        <v>1106</v>
      </c>
      <c r="N256" s="13">
        <v>0</v>
      </c>
      <c r="O256">
        <v>1106</v>
      </c>
      <c r="P256">
        <v>184.333</v>
      </c>
      <c r="Q256" t="str">
        <f t="shared" si="6"/>
        <v/>
      </c>
      <c r="R256" t="str">
        <f t="shared" si="7"/>
        <v/>
      </c>
      <c r="S256" t="str">
        <f>IF(RIGHT(R256,2)="1C",(INDEX(Tables!H:H,MATCH(R256,Tables!G:G,0))),"")</f>
        <v/>
      </c>
    </row>
    <row r="257" spans="1:19">
      <c r="A257" s="12" t="s">
        <v>4682</v>
      </c>
      <c r="B257" s="12" t="s">
        <v>6548</v>
      </c>
      <c r="C257" s="12" t="s">
        <v>6549</v>
      </c>
      <c r="D257" s="12" t="s">
        <v>3790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>
        <v>0</v>
      </c>
      <c r="P257">
        <v>0</v>
      </c>
      <c r="Q257" t="str">
        <f t="shared" si="6"/>
        <v/>
      </c>
      <c r="R257" t="str">
        <f t="shared" si="7"/>
        <v/>
      </c>
      <c r="S257" t="str">
        <f>IF(RIGHT(R257,2)="1C",(INDEX(Tables!H:H,MATCH(R257,Tables!G:G,0))),"")</f>
        <v/>
      </c>
    </row>
    <row r="258" spans="1:19">
      <c r="A258" s="12" t="s">
        <v>4682</v>
      </c>
      <c r="B258" s="12" t="s">
        <v>4841</v>
      </c>
      <c r="C258" s="12" t="s">
        <v>4842</v>
      </c>
      <c r="D258" s="12" t="s">
        <v>3790</v>
      </c>
      <c r="E258" s="13">
        <v>0</v>
      </c>
      <c r="F258" s="13">
        <v>0</v>
      </c>
      <c r="G258" s="13">
        <v>0</v>
      </c>
      <c r="H258" s="13">
        <v>0</v>
      </c>
      <c r="I258" s="13">
        <v>0</v>
      </c>
      <c r="J258" s="13">
        <v>0</v>
      </c>
      <c r="K258" s="13">
        <v>0</v>
      </c>
      <c r="L258" s="13">
        <v>0</v>
      </c>
      <c r="M258" s="13">
        <v>500</v>
      </c>
      <c r="N258" s="13">
        <v>0</v>
      </c>
      <c r="O258">
        <v>500</v>
      </c>
      <c r="P258">
        <v>83.333299999999994</v>
      </c>
      <c r="Q258" t="str">
        <f t="shared" si="6"/>
        <v/>
      </c>
      <c r="R258" t="str">
        <f t="shared" si="7"/>
        <v/>
      </c>
      <c r="S258" t="str">
        <f>IF(RIGHT(R258,2)="1C",(INDEX(Tables!H:H,MATCH(R258,Tables!G:G,0))),"")</f>
        <v/>
      </c>
    </row>
    <row r="259" spans="1:19">
      <c r="A259" s="12" t="s">
        <v>4682</v>
      </c>
      <c r="B259" s="12" t="s">
        <v>5091</v>
      </c>
      <c r="C259" s="12" t="s">
        <v>5092</v>
      </c>
      <c r="D259" s="12" t="s">
        <v>3790</v>
      </c>
      <c r="E259" s="13">
        <v>1801.88</v>
      </c>
      <c r="F259" s="13">
        <v>1801.88</v>
      </c>
      <c r="G259" s="13">
        <v>0</v>
      </c>
      <c r="H259" s="13">
        <v>0</v>
      </c>
      <c r="I259" s="13">
        <v>0</v>
      </c>
      <c r="J259" s="13">
        <v>0</v>
      </c>
      <c r="K259" s="13">
        <v>3800</v>
      </c>
      <c r="L259" s="13">
        <v>0</v>
      </c>
      <c r="M259" s="13">
        <v>0</v>
      </c>
      <c r="N259" s="13">
        <v>0</v>
      </c>
      <c r="O259">
        <v>3800</v>
      </c>
      <c r="P259">
        <v>633.33299999999997</v>
      </c>
      <c r="Q259" t="str">
        <f t="shared" si="6"/>
        <v/>
      </c>
      <c r="R259" t="str">
        <f t="shared" si="7"/>
        <v/>
      </c>
      <c r="S259" t="str">
        <f>IF(RIGHT(R259,2)="1C",(INDEX(Tables!H:H,MATCH(R259,Tables!G:G,0))),"")</f>
        <v/>
      </c>
    </row>
    <row r="260" spans="1:19">
      <c r="A260" s="12" t="s">
        <v>4682</v>
      </c>
      <c r="B260" s="12" t="s">
        <v>6550</v>
      </c>
      <c r="C260" s="12" t="s">
        <v>6551</v>
      </c>
      <c r="D260" s="12" t="s">
        <v>3790</v>
      </c>
      <c r="E260" s="13">
        <v>0</v>
      </c>
      <c r="F260" s="13">
        <v>0</v>
      </c>
      <c r="G260" s="13">
        <v>0</v>
      </c>
      <c r="H260" s="13">
        <v>0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  <c r="O260">
        <v>0</v>
      </c>
      <c r="P260">
        <v>0</v>
      </c>
      <c r="Q260" t="str">
        <f t="shared" ref="Q260:Q323" si="8">IF(RIGHT(B260,2)="1C",MID(B260,4,5),"")</f>
        <v/>
      </c>
      <c r="R260" t="str">
        <f t="shared" ref="R260:R323" si="9">IF(RIGHT(B260,2)="1C",MID(B260,SEARCH("-",B260,1)+1,6),"")</f>
        <v/>
      </c>
      <c r="S260" t="str">
        <f>IF(RIGHT(R260,2)="1C",(INDEX(Tables!H:H,MATCH(R260,Tables!G:G,0))),"")</f>
        <v/>
      </c>
    </row>
    <row r="261" spans="1:19">
      <c r="A261" s="12" t="s">
        <v>4682</v>
      </c>
      <c r="B261" s="12" t="s">
        <v>6552</v>
      </c>
      <c r="C261" s="12" t="s">
        <v>6553</v>
      </c>
      <c r="D261" s="12" t="s">
        <v>3790</v>
      </c>
      <c r="E261" s="13">
        <v>0</v>
      </c>
      <c r="F261" s="13">
        <v>0</v>
      </c>
      <c r="G261" s="13">
        <v>0</v>
      </c>
      <c r="H261" s="13">
        <v>0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  <c r="O261">
        <v>0</v>
      </c>
      <c r="P261">
        <v>0</v>
      </c>
      <c r="Q261" t="str">
        <f t="shared" si="8"/>
        <v/>
      </c>
      <c r="R261" t="str">
        <f t="shared" si="9"/>
        <v/>
      </c>
      <c r="S261" t="str">
        <f>IF(RIGHT(R261,2)="1C",(INDEX(Tables!H:H,MATCH(R261,Tables!G:G,0))),"")</f>
        <v/>
      </c>
    </row>
    <row r="262" spans="1:19">
      <c r="A262" s="12" t="s">
        <v>4682</v>
      </c>
      <c r="B262" s="12" t="s">
        <v>6554</v>
      </c>
      <c r="C262" s="12" t="s">
        <v>6555</v>
      </c>
      <c r="D262" s="12" t="s">
        <v>3790</v>
      </c>
      <c r="E262" s="13">
        <v>0</v>
      </c>
      <c r="F262" s="13">
        <v>0</v>
      </c>
      <c r="G262" s="13">
        <v>0</v>
      </c>
      <c r="H262" s="13">
        <v>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>
        <v>0</v>
      </c>
      <c r="P262">
        <v>0</v>
      </c>
      <c r="Q262" t="str">
        <f t="shared" si="8"/>
        <v/>
      </c>
      <c r="R262" t="str">
        <f t="shared" si="9"/>
        <v/>
      </c>
      <c r="S262" t="str">
        <f>IF(RIGHT(R262,2)="1C",(INDEX(Tables!H:H,MATCH(R262,Tables!G:G,0))),"")</f>
        <v/>
      </c>
    </row>
    <row r="263" spans="1:19">
      <c r="A263" s="12" t="s">
        <v>4682</v>
      </c>
      <c r="B263" s="12" t="s">
        <v>4925</v>
      </c>
      <c r="C263" s="12" t="s">
        <v>4926</v>
      </c>
      <c r="D263" s="12" t="s">
        <v>3790</v>
      </c>
      <c r="E263" s="13">
        <v>446</v>
      </c>
      <c r="F263" s="13">
        <v>446</v>
      </c>
      <c r="G263" s="13">
        <v>0</v>
      </c>
      <c r="H263" s="13">
        <v>0</v>
      </c>
      <c r="I263" s="13">
        <v>0</v>
      </c>
      <c r="J263" s="13">
        <v>525</v>
      </c>
      <c r="K263" s="13">
        <v>0</v>
      </c>
      <c r="L263" s="13">
        <v>1730</v>
      </c>
      <c r="M263" s="13">
        <v>0</v>
      </c>
      <c r="N263" s="13">
        <v>0</v>
      </c>
      <c r="O263">
        <v>2255</v>
      </c>
      <c r="P263">
        <v>375.83300000000003</v>
      </c>
      <c r="Q263" t="str">
        <f t="shared" si="8"/>
        <v/>
      </c>
      <c r="R263" t="str">
        <f t="shared" si="9"/>
        <v/>
      </c>
      <c r="S263" t="str">
        <f>IF(RIGHT(R263,2)="1C",(INDEX(Tables!H:H,MATCH(R263,Tables!G:G,0))),"")</f>
        <v/>
      </c>
    </row>
    <row r="264" spans="1:19">
      <c r="A264" s="12" t="s">
        <v>4682</v>
      </c>
      <c r="B264" s="12" t="s">
        <v>5021</v>
      </c>
      <c r="C264" s="12" t="s">
        <v>5022</v>
      </c>
      <c r="D264" s="12" t="s">
        <v>3790</v>
      </c>
      <c r="E264" s="13">
        <v>1936.68</v>
      </c>
      <c r="F264" s="13">
        <v>1936.68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1950</v>
      </c>
      <c r="M264" s="13">
        <v>1277</v>
      </c>
      <c r="N264" s="13">
        <v>0</v>
      </c>
      <c r="O264">
        <v>3227</v>
      </c>
      <c r="P264">
        <v>537.83299999999997</v>
      </c>
      <c r="Q264" t="str">
        <f t="shared" si="8"/>
        <v/>
      </c>
      <c r="R264" t="str">
        <f t="shared" si="9"/>
        <v/>
      </c>
      <c r="S264" t="str">
        <f>IF(RIGHT(R264,2)="1C",(INDEX(Tables!H:H,MATCH(R264,Tables!G:G,0))),"")</f>
        <v/>
      </c>
    </row>
    <row r="265" spans="1:19">
      <c r="A265" s="12" t="s">
        <v>4682</v>
      </c>
      <c r="B265" s="12" t="s">
        <v>4791</v>
      </c>
      <c r="C265" s="12" t="s">
        <v>4792</v>
      </c>
      <c r="D265" s="12" t="s">
        <v>3790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400</v>
      </c>
      <c r="N265" s="13">
        <v>0</v>
      </c>
      <c r="O265">
        <v>400</v>
      </c>
      <c r="P265">
        <v>66.666600000000003</v>
      </c>
      <c r="Q265" t="str">
        <f t="shared" si="8"/>
        <v/>
      </c>
      <c r="R265" t="str">
        <f t="shared" si="9"/>
        <v/>
      </c>
      <c r="S265" t="str">
        <f>IF(RIGHT(R265,2)="1C",(INDEX(Tables!H:H,MATCH(R265,Tables!G:G,0))),"")</f>
        <v/>
      </c>
    </row>
    <row r="266" spans="1:19">
      <c r="A266" s="12" t="s">
        <v>4682</v>
      </c>
      <c r="B266" s="12" t="s">
        <v>4797</v>
      </c>
      <c r="C266" s="12" t="s">
        <v>4798</v>
      </c>
      <c r="D266" s="12" t="s">
        <v>3790</v>
      </c>
      <c r="E266" s="13">
        <v>339</v>
      </c>
      <c r="F266" s="13">
        <v>339</v>
      </c>
      <c r="G266" s="13">
        <v>0</v>
      </c>
      <c r="H266" s="13">
        <v>0</v>
      </c>
      <c r="I266" s="13">
        <v>520</v>
      </c>
      <c r="J266" s="13">
        <v>235</v>
      </c>
      <c r="K266" s="13">
        <v>0</v>
      </c>
      <c r="L266" s="13">
        <v>0</v>
      </c>
      <c r="M266" s="13">
        <v>0</v>
      </c>
      <c r="N266" s="13">
        <v>250</v>
      </c>
      <c r="O266">
        <v>1005</v>
      </c>
      <c r="P266">
        <v>167.5</v>
      </c>
      <c r="Q266" t="str">
        <f t="shared" si="8"/>
        <v/>
      </c>
      <c r="R266" t="str">
        <f t="shared" si="9"/>
        <v/>
      </c>
      <c r="S266" t="str">
        <f>IF(RIGHT(R266,2)="1C",(INDEX(Tables!H:H,MATCH(R266,Tables!G:G,0))),"")</f>
        <v/>
      </c>
    </row>
    <row r="267" spans="1:19">
      <c r="A267" s="12" t="s">
        <v>4682</v>
      </c>
      <c r="B267" s="12" t="s">
        <v>7043</v>
      </c>
      <c r="C267" s="12" t="s">
        <v>7044</v>
      </c>
      <c r="D267" s="12" t="s">
        <v>3790</v>
      </c>
      <c r="E267" s="13">
        <v>1075</v>
      </c>
      <c r="F267" s="13">
        <v>1075</v>
      </c>
      <c r="G267" s="13">
        <v>0</v>
      </c>
      <c r="H267" s="13">
        <v>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  <c r="O267">
        <v>0</v>
      </c>
      <c r="P267">
        <v>0</v>
      </c>
      <c r="Q267" t="str">
        <f t="shared" si="8"/>
        <v/>
      </c>
      <c r="R267" t="str">
        <f t="shared" si="9"/>
        <v/>
      </c>
      <c r="S267" t="str">
        <f>IF(RIGHT(R267,2)="1C",(INDEX(Tables!H:H,MATCH(R267,Tables!G:G,0))),"")</f>
        <v/>
      </c>
    </row>
    <row r="268" spans="1:19">
      <c r="A268" s="12" t="s">
        <v>4682</v>
      </c>
      <c r="B268" s="12" t="s">
        <v>6475</v>
      </c>
      <c r="C268" s="12" t="s">
        <v>6476</v>
      </c>
      <c r="D268" s="12" t="s">
        <v>3790</v>
      </c>
      <c r="E268" s="13">
        <v>0</v>
      </c>
      <c r="F268" s="13">
        <v>0</v>
      </c>
      <c r="G268" s="13">
        <v>0</v>
      </c>
      <c r="H268" s="13">
        <v>0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>
        <v>0</v>
      </c>
      <c r="P268">
        <v>0</v>
      </c>
      <c r="Q268" t="str">
        <f t="shared" si="8"/>
        <v/>
      </c>
      <c r="R268" t="str">
        <f t="shared" si="9"/>
        <v/>
      </c>
      <c r="S268" t="str">
        <f>IF(RIGHT(R268,2)="1C",(INDEX(Tables!H:H,MATCH(R268,Tables!G:G,0))),"")</f>
        <v/>
      </c>
    </row>
    <row r="269" spans="1:19">
      <c r="A269" s="12" t="s">
        <v>4682</v>
      </c>
      <c r="B269" s="12" t="s">
        <v>5001</v>
      </c>
      <c r="C269" s="12" t="s">
        <v>5002</v>
      </c>
      <c r="D269" s="12" t="s">
        <v>3790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770</v>
      </c>
      <c r="K269" s="13">
        <v>0</v>
      </c>
      <c r="L269" s="13">
        <v>0</v>
      </c>
      <c r="M269" s="13">
        <v>0</v>
      </c>
      <c r="N269" s="13">
        <v>0</v>
      </c>
      <c r="O269">
        <v>770</v>
      </c>
      <c r="P269">
        <v>128.333</v>
      </c>
      <c r="Q269" t="str">
        <f t="shared" si="8"/>
        <v/>
      </c>
      <c r="R269" t="str">
        <f t="shared" si="9"/>
        <v/>
      </c>
      <c r="S269" t="str">
        <f>IF(RIGHT(R269,2)="1C",(INDEX(Tables!H:H,MATCH(R269,Tables!G:G,0))),"")</f>
        <v/>
      </c>
    </row>
    <row r="270" spans="1:19">
      <c r="A270" s="12" t="s">
        <v>4682</v>
      </c>
      <c r="B270" s="12" t="s">
        <v>7037</v>
      </c>
      <c r="C270" s="12" t="s">
        <v>7038</v>
      </c>
      <c r="D270" s="12" t="s">
        <v>3790</v>
      </c>
      <c r="E270" s="13">
        <v>0</v>
      </c>
      <c r="F270" s="13">
        <v>0</v>
      </c>
      <c r="G270" s="13">
        <v>0</v>
      </c>
      <c r="H270" s="13">
        <v>0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  <c r="O270">
        <v>0</v>
      </c>
      <c r="P270">
        <v>0</v>
      </c>
      <c r="Q270" t="str">
        <f t="shared" si="8"/>
        <v/>
      </c>
      <c r="R270" t="str">
        <f t="shared" si="9"/>
        <v/>
      </c>
      <c r="S270" t="str">
        <f>IF(RIGHT(R270,2)="1C",(INDEX(Tables!H:H,MATCH(R270,Tables!G:G,0))),"")</f>
        <v/>
      </c>
    </row>
    <row r="271" spans="1:19">
      <c r="A271" s="12" t="s">
        <v>4682</v>
      </c>
      <c r="B271" s="12" t="s">
        <v>4687</v>
      </c>
      <c r="C271" s="12" t="s">
        <v>4688</v>
      </c>
      <c r="D271" s="12" t="s">
        <v>3790</v>
      </c>
      <c r="E271" s="13">
        <v>237</v>
      </c>
      <c r="F271" s="13">
        <v>237</v>
      </c>
      <c r="G271" s="13">
        <v>0</v>
      </c>
      <c r="H271" s="13">
        <v>0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  <c r="O271">
        <v>0</v>
      </c>
      <c r="P271">
        <v>0</v>
      </c>
      <c r="Q271" t="str">
        <f t="shared" si="8"/>
        <v/>
      </c>
      <c r="R271" t="str">
        <f t="shared" si="9"/>
        <v/>
      </c>
      <c r="S271" t="str">
        <f>IF(RIGHT(R271,2)="1C",(INDEX(Tables!H:H,MATCH(R271,Tables!G:G,0))),"")</f>
        <v/>
      </c>
    </row>
    <row r="272" spans="1:19">
      <c r="A272" s="12" t="s">
        <v>4682</v>
      </c>
      <c r="B272" s="12" t="s">
        <v>4991</v>
      </c>
      <c r="C272" s="12" t="s">
        <v>4992</v>
      </c>
      <c r="D272" s="12" t="s">
        <v>3790</v>
      </c>
      <c r="E272" s="13">
        <v>0</v>
      </c>
      <c r="F272" s="13">
        <v>0</v>
      </c>
      <c r="G272" s="13">
        <v>0</v>
      </c>
      <c r="H272" s="13">
        <v>0</v>
      </c>
      <c r="I272" s="13">
        <v>0</v>
      </c>
      <c r="J272" s="13">
        <v>0</v>
      </c>
      <c r="K272" s="13">
        <v>0</v>
      </c>
      <c r="L272" s="13">
        <v>2793</v>
      </c>
      <c r="M272" s="13">
        <v>0</v>
      </c>
      <c r="N272" s="13">
        <v>0</v>
      </c>
      <c r="O272">
        <v>2793</v>
      </c>
      <c r="P272">
        <v>465.5</v>
      </c>
      <c r="Q272" t="str">
        <f t="shared" si="8"/>
        <v/>
      </c>
      <c r="R272" t="str">
        <f t="shared" si="9"/>
        <v/>
      </c>
      <c r="S272" t="str">
        <f>IF(RIGHT(R272,2)="1C",(INDEX(Tables!H:H,MATCH(R272,Tables!G:G,0))),"")</f>
        <v/>
      </c>
    </row>
    <row r="273" spans="1:19">
      <c r="A273" s="12" t="s">
        <v>4682</v>
      </c>
      <c r="B273" s="12" t="s">
        <v>5003</v>
      </c>
      <c r="C273" s="12" t="s">
        <v>5004</v>
      </c>
      <c r="D273" s="12" t="s">
        <v>3790</v>
      </c>
      <c r="E273" s="13">
        <v>0</v>
      </c>
      <c r="F273" s="13">
        <v>0</v>
      </c>
      <c r="G273" s="13">
        <v>0</v>
      </c>
      <c r="H273" s="13">
        <v>0</v>
      </c>
      <c r="I273" s="13">
        <v>0</v>
      </c>
      <c r="J273" s="13">
        <v>0</v>
      </c>
      <c r="K273" s="13">
        <v>0</v>
      </c>
      <c r="L273" s="13">
        <v>775</v>
      </c>
      <c r="M273" s="13">
        <v>0</v>
      </c>
      <c r="N273" s="13">
        <v>1295</v>
      </c>
      <c r="O273">
        <v>2070</v>
      </c>
      <c r="P273">
        <v>345</v>
      </c>
      <c r="Q273" t="str">
        <f t="shared" si="8"/>
        <v/>
      </c>
      <c r="R273" t="str">
        <f t="shared" si="9"/>
        <v/>
      </c>
      <c r="S273" t="str">
        <f>IF(RIGHT(R273,2)="1C",(INDEX(Tables!H:H,MATCH(R273,Tables!G:G,0))),"")</f>
        <v/>
      </c>
    </row>
    <row r="274" spans="1:19">
      <c r="A274" s="12" t="s">
        <v>4682</v>
      </c>
      <c r="B274" s="12" t="s">
        <v>5175</v>
      </c>
      <c r="C274" s="12" t="s">
        <v>5176</v>
      </c>
      <c r="D274" s="12" t="s">
        <v>3790</v>
      </c>
      <c r="E274" s="13">
        <v>1999.1</v>
      </c>
      <c r="F274" s="13">
        <v>1999.1</v>
      </c>
      <c r="G274" s="13">
        <v>0</v>
      </c>
      <c r="H274" s="13">
        <v>0</v>
      </c>
      <c r="I274" s="13">
        <v>0</v>
      </c>
      <c r="J274" s="13">
        <v>557</v>
      </c>
      <c r="K274" s="13">
        <v>1810</v>
      </c>
      <c r="L274" s="13">
        <v>3605</v>
      </c>
      <c r="M274" s="13">
        <v>0</v>
      </c>
      <c r="N274" s="13">
        <v>0</v>
      </c>
      <c r="O274">
        <v>5972</v>
      </c>
      <c r="P274">
        <v>995.33299999999997</v>
      </c>
      <c r="Q274" t="str">
        <f t="shared" si="8"/>
        <v/>
      </c>
      <c r="R274" t="str">
        <f t="shared" si="9"/>
        <v/>
      </c>
      <c r="S274" t="str">
        <f>IF(RIGHT(R274,2)="1C",(INDEX(Tables!H:H,MATCH(R274,Tables!G:G,0))),"")</f>
        <v/>
      </c>
    </row>
    <row r="275" spans="1:19">
      <c r="A275" s="12" t="s">
        <v>4682</v>
      </c>
      <c r="B275" s="12" t="s">
        <v>4873</v>
      </c>
      <c r="C275" s="12" t="s">
        <v>4874</v>
      </c>
      <c r="D275" s="12" t="s">
        <v>3790</v>
      </c>
      <c r="E275" s="13">
        <v>0</v>
      </c>
      <c r="F275" s="13">
        <v>0</v>
      </c>
      <c r="G275" s="13">
        <v>0</v>
      </c>
      <c r="H275" s="13">
        <v>0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1280</v>
      </c>
      <c r="O275">
        <v>1280</v>
      </c>
      <c r="P275">
        <v>213.333</v>
      </c>
      <c r="Q275" t="str">
        <f t="shared" si="8"/>
        <v/>
      </c>
      <c r="R275" t="str">
        <f t="shared" si="9"/>
        <v/>
      </c>
      <c r="S275" t="str">
        <f>IF(RIGHT(R275,2)="1C",(INDEX(Tables!H:H,MATCH(R275,Tables!G:G,0))),"")</f>
        <v/>
      </c>
    </row>
    <row r="276" spans="1:19">
      <c r="A276" s="12" t="s">
        <v>4682</v>
      </c>
      <c r="B276" s="12" t="s">
        <v>4945</v>
      </c>
      <c r="C276" s="12" t="s">
        <v>4946</v>
      </c>
      <c r="D276" s="12" t="s">
        <v>3790</v>
      </c>
      <c r="E276" s="13">
        <v>0</v>
      </c>
      <c r="F276" s="13">
        <v>0</v>
      </c>
      <c r="G276" s="13">
        <v>0</v>
      </c>
      <c r="H276" s="13">
        <v>0</v>
      </c>
      <c r="I276" s="13">
        <v>0</v>
      </c>
      <c r="J276" s="13">
        <v>0</v>
      </c>
      <c r="K276" s="13">
        <v>765</v>
      </c>
      <c r="L276" s="13">
        <v>2100</v>
      </c>
      <c r="M276" s="13">
        <v>0</v>
      </c>
      <c r="N276" s="13">
        <v>0</v>
      </c>
      <c r="O276">
        <v>2865</v>
      </c>
      <c r="P276">
        <v>477.5</v>
      </c>
      <c r="Q276" t="str">
        <f t="shared" si="8"/>
        <v/>
      </c>
      <c r="R276" t="str">
        <f t="shared" si="9"/>
        <v/>
      </c>
      <c r="S276" t="str">
        <f>IF(RIGHT(R276,2)="1C",(INDEX(Tables!H:H,MATCH(R276,Tables!G:G,0))),"")</f>
        <v/>
      </c>
    </row>
    <row r="277" spans="1:19">
      <c r="A277" s="12" t="s">
        <v>4682</v>
      </c>
      <c r="B277" s="12" t="s">
        <v>5123</v>
      </c>
      <c r="C277" s="12" t="s">
        <v>5124</v>
      </c>
      <c r="D277" s="12" t="s">
        <v>3790</v>
      </c>
      <c r="E277" s="13">
        <v>1941.1</v>
      </c>
      <c r="F277" s="13">
        <v>1941.1</v>
      </c>
      <c r="G277" s="13">
        <v>0</v>
      </c>
      <c r="H277" s="13">
        <v>0</v>
      </c>
      <c r="I277" s="13">
        <v>0</v>
      </c>
      <c r="J277" s="13">
        <v>0</v>
      </c>
      <c r="K277" s="13">
        <v>1229</v>
      </c>
      <c r="L277" s="13">
        <v>1982</v>
      </c>
      <c r="M277" s="13">
        <v>3005</v>
      </c>
      <c r="N277" s="13">
        <v>0</v>
      </c>
      <c r="O277">
        <v>6216</v>
      </c>
      <c r="P277">
        <v>1036</v>
      </c>
      <c r="Q277" t="str">
        <f t="shared" si="8"/>
        <v/>
      </c>
      <c r="R277" t="str">
        <f t="shared" si="9"/>
        <v/>
      </c>
      <c r="S277" t="str">
        <f>IF(RIGHT(R277,2)="1C",(INDEX(Tables!H:H,MATCH(R277,Tables!G:G,0))),"")</f>
        <v/>
      </c>
    </row>
    <row r="278" spans="1:19">
      <c r="A278" s="12" t="s">
        <v>4682</v>
      </c>
      <c r="B278" s="12" t="s">
        <v>4799</v>
      </c>
      <c r="C278" s="12" t="s">
        <v>4800</v>
      </c>
      <c r="D278" s="12" t="s">
        <v>3790</v>
      </c>
      <c r="E278" s="13">
        <v>2493</v>
      </c>
      <c r="F278" s="13">
        <v>2493</v>
      </c>
      <c r="G278" s="13">
        <v>0</v>
      </c>
      <c r="H278" s="13">
        <v>0</v>
      </c>
      <c r="I278" s="13">
        <v>0</v>
      </c>
      <c r="J278" s="13">
        <v>0</v>
      </c>
      <c r="K278" s="13">
        <v>2550</v>
      </c>
      <c r="L278" s="13">
        <v>0</v>
      </c>
      <c r="M278" s="13">
        <v>-1180</v>
      </c>
      <c r="N278" s="13">
        <v>1790</v>
      </c>
      <c r="O278">
        <v>3160</v>
      </c>
      <c r="P278">
        <v>526.66600000000005</v>
      </c>
      <c r="Q278" t="str">
        <f t="shared" si="8"/>
        <v/>
      </c>
      <c r="R278" t="str">
        <f t="shared" si="9"/>
        <v/>
      </c>
      <c r="S278" t="str">
        <f>IF(RIGHT(R278,2)="1C",(INDEX(Tables!H:H,MATCH(R278,Tables!G:G,0))),"")</f>
        <v/>
      </c>
    </row>
    <row r="279" spans="1:19">
      <c r="A279" s="12" t="s">
        <v>4682</v>
      </c>
      <c r="B279" s="12" t="s">
        <v>4809</v>
      </c>
      <c r="C279" s="12" t="s">
        <v>4810</v>
      </c>
      <c r="D279" s="12" t="s">
        <v>3790</v>
      </c>
      <c r="E279" s="13">
        <v>0</v>
      </c>
      <c r="F279" s="13">
        <v>0</v>
      </c>
      <c r="G279" s="13">
        <v>0</v>
      </c>
      <c r="H279" s="13">
        <v>0</v>
      </c>
      <c r="I279" s="13">
        <v>274</v>
      </c>
      <c r="J279" s="13">
        <v>0</v>
      </c>
      <c r="K279" s="13">
        <v>0</v>
      </c>
      <c r="L279" s="13">
        <v>0</v>
      </c>
      <c r="M279" s="13">
        <v>0</v>
      </c>
      <c r="N279" s="13">
        <v>740</v>
      </c>
      <c r="O279">
        <v>1014</v>
      </c>
      <c r="P279">
        <v>169</v>
      </c>
      <c r="Q279" t="str">
        <f t="shared" si="8"/>
        <v/>
      </c>
      <c r="R279" t="str">
        <f t="shared" si="9"/>
        <v/>
      </c>
      <c r="S279" t="str">
        <f>IF(RIGHT(R279,2)="1C",(INDEX(Tables!H:H,MATCH(R279,Tables!G:G,0))),"")</f>
        <v/>
      </c>
    </row>
    <row r="280" spans="1:19">
      <c r="A280" s="12" t="s">
        <v>4682</v>
      </c>
      <c r="B280" s="12" t="s">
        <v>5129</v>
      </c>
      <c r="C280" s="12" t="s">
        <v>5130</v>
      </c>
      <c r="D280" s="12" t="s">
        <v>3790</v>
      </c>
      <c r="E280" s="13">
        <v>2686.86</v>
      </c>
      <c r="F280" s="13">
        <v>2686.86</v>
      </c>
      <c r="G280" s="13">
        <v>0</v>
      </c>
      <c r="H280" s="13">
        <v>0</v>
      </c>
      <c r="I280" s="13">
        <v>0</v>
      </c>
      <c r="J280" s="13">
        <v>0</v>
      </c>
      <c r="K280" s="13">
        <v>0</v>
      </c>
      <c r="L280" s="13">
        <v>2925</v>
      </c>
      <c r="M280" s="13">
        <v>0</v>
      </c>
      <c r="N280" s="13">
        <v>197</v>
      </c>
      <c r="O280">
        <v>3122</v>
      </c>
      <c r="P280">
        <v>520.33299999999997</v>
      </c>
      <c r="Q280" t="str">
        <f t="shared" si="8"/>
        <v/>
      </c>
      <c r="R280" t="str">
        <f t="shared" si="9"/>
        <v/>
      </c>
      <c r="S280" t="str">
        <f>IF(RIGHT(R280,2)="1C",(INDEX(Tables!H:H,MATCH(R280,Tables!G:G,0))),"")</f>
        <v/>
      </c>
    </row>
    <row r="281" spans="1:19">
      <c r="A281" s="12" t="s">
        <v>4682</v>
      </c>
      <c r="B281" s="12" t="s">
        <v>4693</v>
      </c>
      <c r="C281" s="12" t="s">
        <v>4694</v>
      </c>
      <c r="D281" s="12" t="s">
        <v>3790</v>
      </c>
      <c r="E281" s="13">
        <v>0</v>
      </c>
      <c r="F281" s="13">
        <v>0</v>
      </c>
      <c r="G281" s="13">
        <v>0</v>
      </c>
      <c r="H281" s="13">
        <v>0</v>
      </c>
      <c r="I281" s="13">
        <v>426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>
        <v>426</v>
      </c>
      <c r="P281">
        <v>71</v>
      </c>
      <c r="Q281" t="str">
        <f t="shared" si="8"/>
        <v/>
      </c>
      <c r="R281" t="str">
        <f t="shared" si="9"/>
        <v/>
      </c>
      <c r="S281" t="str">
        <f>IF(RIGHT(R281,2)="1C",(INDEX(Tables!H:H,MATCH(R281,Tables!G:G,0))),"")</f>
        <v/>
      </c>
    </row>
    <row r="282" spans="1:19">
      <c r="A282" s="12" t="s">
        <v>4682</v>
      </c>
      <c r="B282" s="12" t="s">
        <v>4815</v>
      </c>
      <c r="C282" s="12" t="s">
        <v>4816</v>
      </c>
      <c r="D282" s="12" t="s">
        <v>3790</v>
      </c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3">
        <v>0</v>
      </c>
      <c r="K282" s="13">
        <v>0</v>
      </c>
      <c r="L282" s="13">
        <v>800</v>
      </c>
      <c r="M282" s="13">
        <v>0</v>
      </c>
      <c r="N282" s="13">
        <v>0</v>
      </c>
      <c r="O282">
        <v>800</v>
      </c>
      <c r="P282">
        <v>133.333</v>
      </c>
      <c r="Q282" t="str">
        <f t="shared" si="8"/>
        <v/>
      </c>
      <c r="R282" t="str">
        <f t="shared" si="9"/>
        <v/>
      </c>
      <c r="S282" t="str">
        <f>IF(RIGHT(R282,2)="1C",(INDEX(Tables!H:H,MATCH(R282,Tables!G:G,0))),"")</f>
        <v/>
      </c>
    </row>
    <row r="283" spans="1:19">
      <c r="A283" s="12" t="s">
        <v>4682</v>
      </c>
      <c r="B283" s="12" t="s">
        <v>4845</v>
      </c>
      <c r="C283" s="12" t="s">
        <v>4846</v>
      </c>
      <c r="D283" s="12" t="s">
        <v>3790</v>
      </c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3">
        <v>2195</v>
      </c>
      <c r="K283" s="13">
        <v>0</v>
      </c>
      <c r="L283" s="13">
        <v>0</v>
      </c>
      <c r="M283" s="13">
        <v>0</v>
      </c>
      <c r="N283" s="13">
        <v>0</v>
      </c>
      <c r="O283">
        <v>2195</v>
      </c>
      <c r="P283">
        <v>365.83300000000003</v>
      </c>
      <c r="Q283" t="str">
        <f t="shared" si="8"/>
        <v/>
      </c>
      <c r="R283" t="str">
        <f t="shared" si="9"/>
        <v/>
      </c>
      <c r="S283" t="str">
        <f>IF(RIGHT(R283,2)="1C",(INDEX(Tables!H:H,MATCH(R283,Tables!G:G,0))),"")</f>
        <v/>
      </c>
    </row>
    <row r="284" spans="1:19">
      <c r="A284" s="12" t="s">
        <v>4682</v>
      </c>
      <c r="B284" s="12" t="s">
        <v>4827</v>
      </c>
      <c r="C284" s="12" t="s">
        <v>4828</v>
      </c>
      <c r="D284" s="12" t="s">
        <v>3790</v>
      </c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3">
        <v>0</v>
      </c>
      <c r="K284" s="13">
        <v>0</v>
      </c>
      <c r="L284" s="13">
        <v>955</v>
      </c>
      <c r="M284" s="13">
        <v>0</v>
      </c>
      <c r="N284" s="13">
        <v>0</v>
      </c>
      <c r="O284">
        <v>955</v>
      </c>
      <c r="P284">
        <v>159.166</v>
      </c>
      <c r="Q284" t="str">
        <f t="shared" si="8"/>
        <v/>
      </c>
      <c r="R284" t="str">
        <f t="shared" si="9"/>
        <v/>
      </c>
      <c r="S284" t="str">
        <f>IF(RIGHT(R284,2)="1C",(INDEX(Tables!H:H,MATCH(R284,Tables!G:G,0))),"")</f>
        <v/>
      </c>
    </row>
    <row r="285" spans="1:19">
      <c r="A285" s="12" t="s">
        <v>4682</v>
      </c>
      <c r="B285" s="12" t="s">
        <v>4701</v>
      </c>
      <c r="C285" s="12" t="s">
        <v>4702</v>
      </c>
      <c r="D285" s="12" t="s">
        <v>3790</v>
      </c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3">
        <v>810</v>
      </c>
      <c r="K285" s="13">
        <v>0</v>
      </c>
      <c r="L285" s="13">
        <v>0</v>
      </c>
      <c r="M285" s="13">
        <v>0</v>
      </c>
      <c r="N285" s="13">
        <v>0</v>
      </c>
      <c r="O285">
        <v>810</v>
      </c>
      <c r="P285">
        <v>135</v>
      </c>
      <c r="Q285" t="str">
        <f t="shared" si="8"/>
        <v/>
      </c>
      <c r="R285" t="str">
        <f t="shared" si="9"/>
        <v/>
      </c>
      <c r="S285" t="str">
        <f>IF(RIGHT(R285,2)="1C",(INDEX(Tables!H:H,MATCH(R285,Tables!G:G,0))),"")</f>
        <v/>
      </c>
    </row>
    <row r="286" spans="1:19">
      <c r="A286" s="12" t="s">
        <v>4682</v>
      </c>
      <c r="B286" s="12" t="s">
        <v>5145</v>
      </c>
      <c r="C286" s="12" t="s">
        <v>5146</v>
      </c>
      <c r="D286" s="12" t="s">
        <v>3790</v>
      </c>
      <c r="E286" s="13">
        <v>5760</v>
      </c>
      <c r="F286" s="13">
        <v>5760</v>
      </c>
      <c r="G286" s="13">
        <v>0</v>
      </c>
      <c r="H286" s="13">
        <v>0</v>
      </c>
      <c r="I286" s="13">
        <v>0</v>
      </c>
      <c r="J286" s="13">
        <v>0</v>
      </c>
      <c r="K286" s="13">
        <v>3800</v>
      </c>
      <c r="L286" s="13">
        <v>5637</v>
      </c>
      <c r="M286" s="13">
        <v>0</v>
      </c>
      <c r="N286" s="13">
        <v>0</v>
      </c>
      <c r="O286">
        <v>9437</v>
      </c>
      <c r="P286">
        <v>1572.83</v>
      </c>
      <c r="Q286" t="str">
        <f t="shared" si="8"/>
        <v/>
      </c>
      <c r="R286" t="str">
        <f t="shared" si="9"/>
        <v/>
      </c>
      <c r="S286" t="str">
        <f>IF(RIGHT(R286,2)="1C",(INDEX(Tables!H:H,MATCH(R286,Tables!G:G,0))),"")</f>
        <v/>
      </c>
    </row>
    <row r="287" spans="1:19">
      <c r="A287" s="12" t="s">
        <v>4682</v>
      </c>
      <c r="B287" s="12" t="s">
        <v>5029</v>
      </c>
      <c r="C287" s="12" t="s">
        <v>5030</v>
      </c>
      <c r="D287" s="12" t="s">
        <v>3790</v>
      </c>
      <c r="E287" s="13">
        <v>3124</v>
      </c>
      <c r="F287" s="13">
        <v>3124</v>
      </c>
      <c r="G287" s="13">
        <v>0</v>
      </c>
      <c r="H287" s="13">
        <v>0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>
        <v>0</v>
      </c>
      <c r="P287">
        <v>0</v>
      </c>
      <c r="Q287" t="str">
        <f t="shared" si="8"/>
        <v/>
      </c>
      <c r="R287" t="str">
        <f t="shared" si="9"/>
        <v/>
      </c>
      <c r="S287" t="str">
        <f>IF(RIGHT(R287,2)="1C",(INDEX(Tables!H:H,MATCH(R287,Tables!G:G,0))),"")</f>
        <v/>
      </c>
    </row>
    <row r="288" spans="1:19">
      <c r="A288" s="12" t="s">
        <v>4682</v>
      </c>
      <c r="B288" s="12" t="s">
        <v>4969</v>
      </c>
      <c r="C288" s="12" t="s">
        <v>4970</v>
      </c>
      <c r="D288" s="12" t="s">
        <v>3790</v>
      </c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3">
        <v>0</v>
      </c>
      <c r="K288" s="13">
        <v>0</v>
      </c>
      <c r="L288" s="13">
        <v>2438</v>
      </c>
      <c r="M288" s="13">
        <v>0</v>
      </c>
      <c r="N288" s="13">
        <v>0</v>
      </c>
      <c r="O288">
        <v>2438</v>
      </c>
      <c r="P288">
        <v>406.33300000000003</v>
      </c>
      <c r="Q288" t="str">
        <f t="shared" si="8"/>
        <v/>
      </c>
      <c r="R288" t="str">
        <f t="shared" si="9"/>
        <v/>
      </c>
      <c r="S288" t="str">
        <f>IF(RIGHT(R288,2)="1C",(INDEX(Tables!H:H,MATCH(R288,Tables!G:G,0))),"")</f>
        <v/>
      </c>
    </row>
    <row r="289" spans="1:19">
      <c r="A289" s="12" t="s">
        <v>4682</v>
      </c>
      <c r="B289" s="12" t="s">
        <v>4803</v>
      </c>
      <c r="C289" s="12" t="s">
        <v>4804</v>
      </c>
      <c r="D289" s="12" t="s">
        <v>3790</v>
      </c>
      <c r="E289" s="13">
        <v>1269</v>
      </c>
      <c r="F289" s="13">
        <v>1269</v>
      </c>
      <c r="G289" s="13">
        <v>0</v>
      </c>
      <c r="H289" s="13">
        <v>0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  <c r="O289">
        <v>0</v>
      </c>
      <c r="P289">
        <v>0</v>
      </c>
      <c r="Q289" t="str">
        <f t="shared" si="8"/>
        <v/>
      </c>
      <c r="R289" t="str">
        <f t="shared" si="9"/>
        <v/>
      </c>
      <c r="S289" t="str">
        <f>IF(RIGHT(R289,2)="1C",(INDEX(Tables!H:H,MATCH(R289,Tables!G:G,0))),"")</f>
        <v/>
      </c>
    </row>
    <row r="290" spans="1:19">
      <c r="A290" s="12" t="s">
        <v>4682</v>
      </c>
      <c r="B290" s="12" t="s">
        <v>5207</v>
      </c>
      <c r="C290" s="12" t="s">
        <v>5208</v>
      </c>
      <c r="D290" s="12" t="s">
        <v>3790</v>
      </c>
      <c r="E290" s="13">
        <v>20181</v>
      </c>
      <c r="F290" s="13">
        <v>20181</v>
      </c>
      <c r="G290" s="13">
        <v>0</v>
      </c>
      <c r="H290" s="13">
        <v>0</v>
      </c>
      <c r="I290" s="13">
        <v>0</v>
      </c>
      <c r="J290" s="13">
        <v>0</v>
      </c>
      <c r="K290" s="13">
        <v>0</v>
      </c>
      <c r="L290" s="13">
        <v>0</v>
      </c>
      <c r="M290" s="13">
        <v>39106</v>
      </c>
      <c r="N290" s="13">
        <v>0</v>
      </c>
      <c r="O290">
        <v>39106</v>
      </c>
      <c r="P290">
        <v>6517.66</v>
      </c>
      <c r="Q290" t="str">
        <f t="shared" si="8"/>
        <v/>
      </c>
      <c r="R290" t="str">
        <f t="shared" si="9"/>
        <v/>
      </c>
      <c r="S290" t="str">
        <f>IF(RIGHT(R290,2)="1C",(INDEX(Tables!H:H,MATCH(R290,Tables!G:G,0))),"")</f>
        <v/>
      </c>
    </row>
    <row r="291" spans="1:19">
      <c r="A291" s="12" t="s">
        <v>4682</v>
      </c>
      <c r="B291" s="12" t="s">
        <v>6477</v>
      </c>
      <c r="C291" s="12" t="s">
        <v>6478</v>
      </c>
      <c r="D291" s="12" t="s">
        <v>3790</v>
      </c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3">
        <v>670</v>
      </c>
      <c r="K291" s="13">
        <v>0</v>
      </c>
      <c r="L291" s="13">
        <v>0</v>
      </c>
      <c r="M291" s="13">
        <v>0</v>
      </c>
      <c r="N291" s="13">
        <v>0</v>
      </c>
      <c r="O291">
        <v>670</v>
      </c>
      <c r="P291">
        <v>111.666</v>
      </c>
      <c r="Q291" t="str">
        <f t="shared" si="8"/>
        <v/>
      </c>
      <c r="R291" t="str">
        <f t="shared" si="9"/>
        <v/>
      </c>
      <c r="S291" t="str">
        <f>IF(RIGHT(R291,2)="1C",(INDEX(Tables!H:H,MATCH(R291,Tables!G:G,0))),"")</f>
        <v/>
      </c>
    </row>
    <row r="292" spans="1:19">
      <c r="A292" s="12" t="s">
        <v>4682</v>
      </c>
      <c r="B292" s="12" t="s">
        <v>5131</v>
      </c>
      <c r="C292" s="12" t="s">
        <v>5132</v>
      </c>
      <c r="D292" s="12" t="s">
        <v>3790</v>
      </c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3">
        <v>0</v>
      </c>
      <c r="K292" s="13">
        <v>0</v>
      </c>
      <c r="L292" s="13">
        <v>0</v>
      </c>
      <c r="M292" s="13">
        <v>8215</v>
      </c>
      <c r="N292" s="13">
        <v>0</v>
      </c>
      <c r="O292">
        <v>8215</v>
      </c>
      <c r="P292">
        <v>1369.16</v>
      </c>
      <c r="Q292" t="str">
        <f t="shared" si="8"/>
        <v/>
      </c>
      <c r="R292" t="str">
        <f t="shared" si="9"/>
        <v/>
      </c>
      <c r="S292" t="str">
        <f>IF(RIGHT(R292,2)="1C",(INDEX(Tables!H:H,MATCH(R292,Tables!G:G,0))),"")</f>
        <v/>
      </c>
    </row>
    <row r="293" spans="1:19">
      <c r="A293" s="12" t="s">
        <v>4682</v>
      </c>
      <c r="B293" s="12" t="s">
        <v>6479</v>
      </c>
      <c r="C293" s="12" t="s">
        <v>6480</v>
      </c>
      <c r="D293" s="12" t="s">
        <v>3790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  <c r="O293">
        <v>0</v>
      </c>
      <c r="P293">
        <v>0</v>
      </c>
      <c r="Q293" t="str">
        <f t="shared" si="8"/>
        <v/>
      </c>
      <c r="R293" t="str">
        <f t="shared" si="9"/>
        <v/>
      </c>
      <c r="S293" t="str">
        <f>IF(RIGHT(R293,2)="1C",(INDEX(Tables!H:H,MATCH(R293,Tables!G:G,0))),"")</f>
        <v/>
      </c>
    </row>
    <row r="294" spans="1:19">
      <c r="A294" s="12" t="s">
        <v>4682</v>
      </c>
      <c r="B294" s="12" t="s">
        <v>6481</v>
      </c>
      <c r="C294" s="12" t="s">
        <v>6482</v>
      </c>
      <c r="D294" s="12" t="s">
        <v>3790</v>
      </c>
      <c r="E294" s="13">
        <v>0</v>
      </c>
      <c r="F294" s="13">
        <v>0</v>
      </c>
      <c r="G294" s="13">
        <v>0</v>
      </c>
      <c r="H294" s="13">
        <v>0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>
        <v>0</v>
      </c>
      <c r="P294">
        <v>0</v>
      </c>
      <c r="Q294" t="str">
        <f t="shared" si="8"/>
        <v/>
      </c>
      <c r="R294" t="str">
        <f t="shared" si="9"/>
        <v/>
      </c>
      <c r="S294" t="str">
        <f>IF(RIGHT(R294,2)="1C",(INDEX(Tables!H:H,MATCH(R294,Tables!G:G,0))),"")</f>
        <v/>
      </c>
    </row>
    <row r="295" spans="1:19">
      <c r="A295" s="12" t="s">
        <v>4682</v>
      </c>
      <c r="B295" s="12" t="s">
        <v>6483</v>
      </c>
      <c r="C295" s="12" t="s">
        <v>6484</v>
      </c>
      <c r="D295" s="12" t="s">
        <v>3790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>
        <v>0</v>
      </c>
      <c r="P295">
        <v>0</v>
      </c>
      <c r="Q295" t="str">
        <f t="shared" si="8"/>
        <v/>
      </c>
      <c r="R295" t="str">
        <f t="shared" si="9"/>
        <v/>
      </c>
      <c r="S295" t="str">
        <f>IF(RIGHT(R295,2)="1C",(INDEX(Tables!H:H,MATCH(R295,Tables!G:G,0))),"")</f>
        <v/>
      </c>
    </row>
    <row r="296" spans="1:19">
      <c r="A296" s="12" t="s">
        <v>4682</v>
      </c>
      <c r="B296" s="12" t="s">
        <v>4871</v>
      </c>
      <c r="C296" s="12" t="s">
        <v>4872</v>
      </c>
      <c r="D296" s="12" t="s">
        <v>3790</v>
      </c>
      <c r="E296" s="13">
        <v>100</v>
      </c>
      <c r="F296" s="13">
        <v>100</v>
      </c>
      <c r="G296" s="13">
        <v>0</v>
      </c>
      <c r="H296" s="13">
        <v>0</v>
      </c>
      <c r="I296" s="13">
        <v>0</v>
      </c>
      <c r="J296" s="13">
        <v>1020</v>
      </c>
      <c r="K296" s="13">
        <v>1148</v>
      </c>
      <c r="L296" s="13">
        <v>1100</v>
      </c>
      <c r="M296" s="13">
        <v>0</v>
      </c>
      <c r="N296" s="13">
        <v>170</v>
      </c>
      <c r="O296">
        <v>3438</v>
      </c>
      <c r="P296">
        <v>573</v>
      </c>
      <c r="Q296" t="str">
        <f t="shared" si="8"/>
        <v/>
      </c>
      <c r="R296" t="str">
        <f t="shared" si="9"/>
        <v/>
      </c>
      <c r="S296" t="str">
        <f>IF(RIGHT(R296,2)="1C",(INDEX(Tables!H:H,MATCH(R296,Tables!G:G,0))),"")</f>
        <v/>
      </c>
    </row>
    <row r="297" spans="1:19">
      <c r="A297" s="12" t="s">
        <v>4682</v>
      </c>
      <c r="B297" s="12" t="s">
        <v>7045</v>
      </c>
      <c r="C297" s="12" t="s">
        <v>7046</v>
      </c>
      <c r="D297" s="12" t="s">
        <v>3790</v>
      </c>
      <c r="E297" s="13">
        <v>93.67</v>
      </c>
      <c r="F297" s="13">
        <v>93.67</v>
      </c>
      <c r="G297" s="13">
        <v>0</v>
      </c>
      <c r="H297" s="13">
        <v>0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>
        <v>0</v>
      </c>
      <c r="P297">
        <v>0</v>
      </c>
      <c r="Q297" t="str">
        <f t="shared" si="8"/>
        <v/>
      </c>
      <c r="R297" t="str">
        <f t="shared" si="9"/>
        <v/>
      </c>
      <c r="S297" t="str">
        <f>IF(RIGHT(R297,2)="1C",(INDEX(Tables!H:H,MATCH(R297,Tables!G:G,0))),"")</f>
        <v/>
      </c>
    </row>
    <row r="298" spans="1:19">
      <c r="A298" s="12" t="s">
        <v>4682</v>
      </c>
      <c r="B298" s="12" t="s">
        <v>4709</v>
      </c>
      <c r="C298" s="12" t="s">
        <v>4710</v>
      </c>
      <c r="D298" s="12" t="s">
        <v>3790</v>
      </c>
      <c r="E298" s="13">
        <v>0</v>
      </c>
      <c r="F298" s="13">
        <v>0</v>
      </c>
      <c r="G298" s="13">
        <v>0</v>
      </c>
      <c r="H298" s="13">
        <v>0</v>
      </c>
      <c r="I298" s="13">
        <v>0</v>
      </c>
      <c r="J298" s="13">
        <v>0</v>
      </c>
      <c r="K298" s="13">
        <v>925</v>
      </c>
      <c r="L298" s="13">
        <v>0</v>
      </c>
      <c r="M298" s="13">
        <v>0</v>
      </c>
      <c r="N298" s="13">
        <v>0</v>
      </c>
      <c r="O298">
        <v>925</v>
      </c>
      <c r="P298">
        <v>154.166</v>
      </c>
      <c r="Q298" t="str">
        <f t="shared" si="8"/>
        <v/>
      </c>
      <c r="R298" t="str">
        <f t="shared" si="9"/>
        <v/>
      </c>
      <c r="S298" t="str">
        <f>IF(RIGHT(R298,2)="1C",(INDEX(Tables!H:H,MATCH(R298,Tables!G:G,0))),"")</f>
        <v/>
      </c>
    </row>
    <row r="299" spans="1:19">
      <c r="A299" s="12" t="s">
        <v>4682</v>
      </c>
      <c r="B299" s="12" t="s">
        <v>6901</v>
      </c>
      <c r="C299" s="12" t="s">
        <v>6902</v>
      </c>
      <c r="D299" s="12" t="s">
        <v>3790</v>
      </c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>
        <v>0</v>
      </c>
      <c r="P299">
        <v>0</v>
      </c>
      <c r="Q299" t="str">
        <f t="shared" si="8"/>
        <v>SG263</v>
      </c>
      <c r="R299" t="str">
        <f t="shared" si="9"/>
        <v>CIM1C</v>
      </c>
      <c r="S299">
        <f>IF(RIGHT(R299,2)="1C",(INDEX(Tables!H:H,MATCH(R299,Tables!G:G,0))),"")</f>
        <v>50</v>
      </c>
    </row>
    <row r="300" spans="1:19">
      <c r="A300" s="12" t="s">
        <v>4682</v>
      </c>
      <c r="B300" s="12" t="s">
        <v>7299</v>
      </c>
      <c r="C300" s="12" t="s">
        <v>7300</v>
      </c>
      <c r="D300" s="12" t="s">
        <v>3790</v>
      </c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>
        <v>0</v>
      </c>
      <c r="P300">
        <v>0</v>
      </c>
      <c r="Q300" t="str">
        <f t="shared" si="8"/>
        <v/>
      </c>
      <c r="R300" t="str">
        <f t="shared" si="9"/>
        <v/>
      </c>
      <c r="S300" t="str">
        <f>IF(RIGHT(R300,2)="1C",(INDEX(Tables!H:H,MATCH(R300,Tables!G:G,0))),"")</f>
        <v/>
      </c>
    </row>
    <row r="301" spans="1:19">
      <c r="A301" s="12" t="s">
        <v>4682</v>
      </c>
      <c r="B301" s="12" t="s">
        <v>5177</v>
      </c>
      <c r="C301" s="12" t="s">
        <v>5178</v>
      </c>
      <c r="D301" s="12" t="s">
        <v>3790</v>
      </c>
      <c r="E301" s="13">
        <v>32</v>
      </c>
      <c r="F301" s="13">
        <v>32</v>
      </c>
      <c r="G301" s="13">
        <v>0</v>
      </c>
      <c r="H301" s="13">
        <v>0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4270</v>
      </c>
      <c r="O301">
        <v>4270</v>
      </c>
      <c r="P301">
        <v>711.66600000000005</v>
      </c>
      <c r="Q301" t="str">
        <f t="shared" si="8"/>
        <v/>
      </c>
      <c r="R301" t="str">
        <f t="shared" si="9"/>
        <v/>
      </c>
      <c r="S301" t="str">
        <f>IF(RIGHT(R301,2)="1C",(INDEX(Tables!H:H,MATCH(R301,Tables!G:G,0))),"")</f>
        <v/>
      </c>
    </row>
    <row r="302" spans="1:19">
      <c r="A302" s="12" t="s">
        <v>4682</v>
      </c>
      <c r="B302" s="12" t="s">
        <v>6985</v>
      </c>
      <c r="C302" s="12" t="s">
        <v>6986</v>
      </c>
      <c r="D302" s="12" t="s">
        <v>3790</v>
      </c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3">
        <v>0</v>
      </c>
      <c r="K302" s="13">
        <v>0</v>
      </c>
      <c r="L302" s="13">
        <v>0</v>
      </c>
      <c r="M302" s="13">
        <v>0</v>
      </c>
      <c r="N302" s="13">
        <v>0</v>
      </c>
      <c r="O302">
        <v>0</v>
      </c>
      <c r="P302">
        <v>0</v>
      </c>
      <c r="Q302" t="str">
        <f t="shared" si="8"/>
        <v/>
      </c>
      <c r="R302" t="str">
        <f t="shared" si="9"/>
        <v/>
      </c>
      <c r="S302" t="str">
        <f>IF(RIGHT(R302,2)="1C",(INDEX(Tables!H:H,MATCH(R302,Tables!G:G,0))),"")</f>
        <v/>
      </c>
    </row>
    <row r="303" spans="1:19">
      <c r="A303" s="12" t="s">
        <v>4682</v>
      </c>
      <c r="B303" s="12" t="s">
        <v>6969</v>
      </c>
      <c r="C303" s="12" t="s">
        <v>6970</v>
      </c>
      <c r="D303" s="12" t="s">
        <v>3790</v>
      </c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3">
        <v>0</v>
      </c>
      <c r="K303" s="13">
        <v>0</v>
      </c>
      <c r="L303" s="13">
        <v>0</v>
      </c>
      <c r="M303" s="13">
        <v>0</v>
      </c>
      <c r="N303" s="13">
        <v>0</v>
      </c>
      <c r="O303">
        <v>0</v>
      </c>
      <c r="P303">
        <v>0</v>
      </c>
      <c r="Q303" t="str">
        <f t="shared" si="8"/>
        <v/>
      </c>
      <c r="R303" t="str">
        <f t="shared" si="9"/>
        <v/>
      </c>
      <c r="S303" t="str">
        <f>IF(RIGHT(R303,2)="1C",(INDEX(Tables!H:H,MATCH(R303,Tables!G:G,0))),"")</f>
        <v/>
      </c>
    </row>
    <row r="304" spans="1:19">
      <c r="A304" s="12" t="s">
        <v>4682</v>
      </c>
      <c r="B304" s="12" t="s">
        <v>6485</v>
      </c>
      <c r="C304" s="12" t="s">
        <v>6486</v>
      </c>
      <c r="D304" s="12" t="s">
        <v>3790</v>
      </c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3">
        <v>0</v>
      </c>
      <c r="K304" s="13">
        <v>0</v>
      </c>
      <c r="L304" s="13">
        <v>0</v>
      </c>
      <c r="M304" s="13">
        <v>0</v>
      </c>
      <c r="N304" s="13">
        <v>0</v>
      </c>
      <c r="O304">
        <v>0</v>
      </c>
      <c r="P304">
        <v>0</v>
      </c>
      <c r="Q304" t="str">
        <f t="shared" si="8"/>
        <v/>
      </c>
      <c r="R304" t="str">
        <f t="shared" si="9"/>
        <v/>
      </c>
      <c r="S304" t="str">
        <f>IF(RIGHT(R304,2)="1C",(INDEX(Tables!H:H,MATCH(R304,Tables!G:G,0))),"")</f>
        <v/>
      </c>
    </row>
    <row r="305" spans="1:19">
      <c r="A305" s="12" t="s">
        <v>4682</v>
      </c>
      <c r="B305" s="12" t="s">
        <v>6487</v>
      </c>
      <c r="C305" s="12" t="s">
        <v>6488</v>
      </c>
      <c r="D305" s="12" t="s">
        <v>3790</v>
      </c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3">
        <v>0</v>
      </c>
      <c r="K305" s="13">
        <v>0</v>
      </c>
      <c r="L305" s="13">
        <v>0</v>
      </c>
      <c r="M305" s="13">
        <v>0</v>
      </c>
      <c r="N305" s="13">
        <v>0</v>
      </c>
      <c r="O305">
        <v>0</v>
      </c>
      <c r="P305">
        <v>0</v>
      </c>
      <c r="Q305" t="str">
        <f t="shared" si="8"/>
        <v/>
      </c>
      <c r="R305" t="str">
        <f t="shared" si="9"/>
        <v/>
      </c>
      <c r="S305" t="str">
        <f>IF(RIGHT(R305,2)="1C",(INDEX(Tables!H:H,MATCH(R305,Tables!G:G,0))),"")</f>
        <v/>
      </c>
    </row>
    <row r="306" spans="1:19">
      <c r="A306" s="12" t="s">
        <v>4682</v>
      </c>
      <c r="B306" s="12" t="s">
        <v>6743</v>
      </c>
      <c r="C306" s="12" t="s">
        <v>6744</v>
      </c>
      <c r="D306" s="12" t="s">
        <v>3790</v>
      </c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3">
        <v>0</v>
      </c>
      <c r="K306" s="13">
        <v>0</v>
      </c>
      <c r="L306" s="13">
        <v>0</v>
      </c>
      <c r="M306" s="13">
        <v>0</v>
      </c>
      <c r="N306" s="13">
        <v>0</v>
      </c>
      <c r="O306">
        <v>0</v>
      </c>
      <c r="P306">
        <v>0</v>
      </c>
      <c r="Q306" t="str">
        <f t="shared" si="8"/>
        <v/>
      </c>
      <c r="R306" t="str">
        <f t="shared" si="9"/>
        <v/>
      </c>
      <c r="S306" t="str">
        <f>IF(RIGHT(R306,2)="1C",(INDEX(Tables!H:H,MATCH(R306,Tables!G:G,0))),"")</f>
        <v/>
      </c>
    </row>
    <row r="307" spans="1:19">
      <c r="A307" s="12" t="s">
        <v>4682</v>
      </c>
      <c r="B307" s="12" t="s">
        <v>7003</v>
      </c>
      <c r="C307" s="12" t="s">
        <v>7004</v>
      </c>
      <c r="D307" s="12" t="s">
        <v>3790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>
        <v>0</v>
      </c>
      <c r="P307">
        <v>0</v>
      </c>
      <c r="Q307" t="str">
        <f t="shared" si="8"/>
        <v/>
      </c>
      <c r="R307" t="str">
        <f t="shared" si="9"/>
        <v/>
      </c>
      <c r="S307" t="str">
        <f>IF(RIGHT(R307,2)="1C",(INDEX(Tables!H:H,MATCH(R307,Tables!G:G,0))),"")</f>
        <v/>
      </c>
    </row>
    <row r="308" spans="1:19">
      <c r="A308" s="12" t="s">
        <v>4682</v>
      </c>
      <c r="B308" s="12" t="s">
        <v>6489</v>
      </c>
      <c r="C308" s="12" t="s">
        <v>6490</v>
      </c>
      <c r="D308" s="12" t="s">
        <v>3790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>
        <v>0</v>
      </c>
      <c r="P308">
        <v>0</v>
      </c>
      <c r="Q308" t="str">
        <f t="shared" si="8"/>
        <v/>
      </c>
      <c r="R308" t="str">
        <f t="shared" si="9"/>
        <v/>
      </c>
      <c r="S308" t="str">
        <f>IF(RIGHT(R308,2)="1C",(INDEX(Tables!H:H,MATCH(R308,Tables!G:G,0))),"")</f>
        <v/>
      </c>
    </row>
    <row r="309" spans="1:19">
      <c r="A309" s="12" t="s">
        <v>4682</v>
      </c>
      <c r="B309" s="12" t="s">
        <v>6491</v>
      </c>
      <c r="C309" s="12" t="s">
        <v>6492</v>
      </c>
      <c r="D309" s="12" t="s">
        <v>3790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>
        <v>0</v>
      </c>
      <c r="P309">
        <v>0</v>
      </c>
      <c r="Q309" t="str">
        <f t="shared" si="8"/>
        <v/>
      </c>
      <c r="R309" t="str">
        <f t="shared" si="9"/>
        <v/>
      </c>
      <c r="S309" t="str">
        <f>IF(RIGHT(R309,2)="1C",(INDEX(Tables!H:H,MATCH(R309,Tables!G:G,0))),"")</f>
        <v/>
      </c>
    </row>
    <row r="310" spans="1:19">
      <c r="A310" s="12" t="s">
        <v>4682</v>
      </c>
      <c r="B310" s="12" t="s">
        <v>6493</v>
      </c>
      <c r="C310" s="12" t="s">
        <v>6494</v>
      </c>
      <c r="D310" s="12" t="s">
        <v>3790</v>
      </c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3">
        <v>0</v>
      </c>
      <c r="K310" s="13">
        <v>0</v>
      </c>
      <c r="L310" s="13">
        <v>0</v>
      </c>
      <c r="M310" s="13">
        <v>0</v>
      </c>
      <c r="N310" s="13">
        <v>0</v>
      </c>
      <c r="O310">
        <v>0</v>
      </c>
      <c r="P310">
        <v>0</v>
      </c>
      <c r="Q310" t="str">
        <f t="shared" si="8"/>
        <v/>
      </c>
      <c r="R310" t="str">
        <f t="shared" si="9"/>
        <v/>
      </c>
      <c r="S310" t="str">
        <f>IF(RIGHT(R310,2)="1C",(INDEX(Tables!H:H,MATCH(R310,Tables!G:G,0))),"")</f>
        <v/>
      </c>
    </row>
    <row r="311" spans="1:19">
      <c r="A311" s="12" t="s">
        <v>4682</v>
      </c>
      <c r="B311" s="12" t="s">
        <v>4695</v>
      </c>
      <c r="C311" s="12" t="s">
        <v>4696</v>
      </c>
      <c r="D311" s="12" t="s">
        <v>3790</v>
      </c>
      <c r="E311" s="13">
        <v>750</v>
      </c>
      <c r="F311" s="13">
        <v>750</v>
      </c>
      <c r="G311" s="13">
        <v>0</v>
      </c>
      <c r="H311" s="13">
        <v>0</v>
      </c>
      <c r="I311" s="13">
        <v>0</v>
      </c>
      <c r="J311" s="13">
        <v>0</v>
      </c>
      <c r="K311" s="13">
        <v>0</v>
      </c>
      <c r="L311" s="13">
        <v>0</v>
      </c>
      <c r="M311" s="13">
        <v>0</v>
      </c>
      <c r="N311" s="13">
        <v>0</v>
      </c>
      <c r="O311">
        <v>0</v>
      </c>
      <c r="P311">
        <v>0</v>
      </c>
      <c r="Q311" t="str">
        <f t="shared" si="8"/>
        <v/>
      </c>
      <c r="R311" t="str">
        <f t="shared" si="9"/>
        <v/>
      </c>
      <c r="S311" t="str">
        <f>IF(RIGHT(R311,2)="1C",(INDEX(Tables!H:H,MATCH(R311,Tables!G:G,0))),"")</f>
        <v/>
      </c>
    </row>
    <row r="312" spans="1:19">
      <c r="A312" s="12" t="s">
        <v>4682</v>
      </c>
      <c r="B312" s="12" t="s">
        <v>4965</v>
      </c>
      <c r="C312" s="12" t="s">
        <v>4966</v>
      </c>
      <c r="D312" s="12" t="s">
        <v>3790</v>
      </c>
      <c r="E312" s="13">
        <v>0</v>
      </c>
      <c r="F312" s="13">
        <v>0</v>
      </c>
      <c r="G312" s="13">
        <v>0</v>
      </c>
      <c r="H312" s="13">
        <v>0</v>
      </c>
      <c r="I312" s="13">
        <v>0</v>
      </c>
      <c r="J312" s="13">
        <v>0</v>
      </c>
      <c r="K312" s="13">
        <v>0</v>
      </c>
      <c r="L312" s="13">
        <v>640</v>
      </c>
      <c r="M312" s="13">
        <v>0</v>
      </c>
      <c r="N312" s="13">
        <v>0</v>
      </c>
      <c r="O312">
        <v>640</v>
      </c>
      <c r="P312">
        <v>106.666</v>
      </c>
      <c r="Q312" t="str">
        <f t="shared" si="8"/>
        <v/>
      </c>
      <c r="R312" t="str">
        <f t="shared" si="9"/>
        <v/>
      </c>
      <c r="S312" t="str">
        <f>IF(RIGHT(R312,2)="1C",(INDEX(Tables!H:H,MATCH(R312,Tables!G:G,0))),"")</f>
        <v/>
      </c>
    </row>
    <row r="313" spans="1:19">
      <c r="A313" s="12" t="s">
        <v>4682</v>
      </c>
      <c r="B313" s="12" t="s">
        <v>6495</v>
      </c>
      <c r="C313" s="12" t="s">
        <v>6496</v>
      </c>
      <c r="D313" s="12" t="s">
        <v>3790</v>
      </c>
      <c r="E313" s="13">
        <v>0</v>
      </c>
      <c r="F313" s="13">
        <v>0</v>
      </c>
      <c r="G313" s="13">
        <v>0</v>
      </c>
      <c r="H313" s="13">
        <v>0</v>
      </c>
      <c r="I313" s="13">
        <v>0</v>
      </c>
      <c r="J313" s="13">
        <v>0</v>
      </c>
      <c r="K313" s="13">
        <v>0</v>
      </c>
      <c r="L313" s="13">
        <v>0</v>
      </c>
      <c r="M313" s="13">
        <v>0</v>
      </c>
      <c r="N313" s="13">
        <v>0</v>
      </c>
      <c r="O313">
        <v>0</v>
      </c>
      <c r="P313">
        <v>0</v>
      </c>
      <c r="Q313" t="str">
        <f t="shared" si="8"/>
        <v/>
      </c>
      <c r="R313" t="str">
        <f t="shared" si="9"/>
        <v/>
      </c>
      <c r="S313" t="str">
        <f>IF(RIGHT(R313,2)="1C",(INDEX(Tables!H:H,MATCH(R313,Tables!G:G,0))),"")</f>
        <v/>
      </c>
    </row>
    <row r="314" spans="1:19">
      <c r="A314" s="12" t="s">
        <v>4682</v>
      </c>
      <c r="B314" s="12" t="s">
        <v>6497</v>
      </c>
      <c r="C314" s="12" t="s">
        <v>6498</v>
      </c>
      <c r="D314" s="12" t="s">
        <v>3790</v>
      </c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3">
        <v>0</v>
      </c>
      <c r="K314" s="13">
        <v>0</v>
      </c>
      <c r="L314" s="13">
        <v>0</v>
      </c>
      <c r="M314" s="13">
        <v>0</v>
      </c>
      <c r="N314" s="13">
        <v>0</v>
      </c>
      <c r="O314">
        <v>0</v>
      </c>
      <c r="P314">
        <v>0</v>
      </c>
      <c r="Q314" t="str">
        <f t="shared" si="8"/>
        <v/>
      </c>
      <c r="R314" t="str">
        <f t="shared" si="9"/>
        <v/>
      </c>
      <c r="S314" t="str">
        <f>IF(RIGHT(R314,2)="1C",(INDEX(Tables!H:H,MATCH(R314,Tables!G:G,0))),"")</f>
        <v/>
      </c>
    </row>
    <row r="315" spans="1:19">
      <c r="A315" s="12" t="s">
        <v>4682</v>
      </c>
      <c r="B315" s="12" t="s">
        <v>6499</v>
      </c>
      <c r="C315" s="12" t="s">
        <v>6500</v>
      </c>
      <c r="D315" s="12" t="s">
        <v>3790</v>
      </c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3">
        <v>0</v>
      </c>
      <c r="K315" s="13">
        <v>0</v>
      </c>
      <c r="L315" s="13">
        <v>0</v>
      </c>
      <c r="M315" s="13">
        <v>0</v>
      </c>
      <c r="N315" s="13">
        <v>0</v>
      </c>
      <c r="O315">
        <v>0</v>
      </c>
      <c r="P315">
        <v>0</v>
      </c>
      <c r="Q315" t="str">
        <f t="shared" si="8"/>
        <v/>
      </c>
      <c r="R315" t="str">
        <f t="shared" si="9"/>
        <v/>
      </c>
      <c r="S315" t="str">
        <f>IF(RIGHT(R315,2)="1C",(INDEX(Tables!H:H,MATCH(R315,Tables!G:G,0))),"")</f>
        <v/>
      </c>
    </row>
    <row r="316" spans="1:19">
      <c r="A316" s="12" t="s">
        <v>4682</v>
      </c>
      <c r="B316" s="12" t="s">
        <v>6501</v>
      </c>
      <c r="C316" s="12" t="s">
        <v>6502</v>
      </c>
      <c r="D316" s="12" t="s">
        <v>3790</v>
      </c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3">
        <v>0</v>
      </c>
      <c r="K316" s="13">
        <v>0</v>
      </c>
      <c r="L316" s="13">
        <v>0</v>
      </c>
      <c r="M316" s="13">
        <v>0</v>
      </c>
      <c r="N316" s="13">
        <v>0</v>
      </c>
      <c r="O316">
        <v>0</v>
      </c>
      <c r="P316">
        <v>0</v>
      </c>
      <c r="Q316" t="str">
        <f t="shared" si="8"/>
        <v/>
      </c>
      <c r="R316" t="str">
        <f t="shared" si="9"/>
        <v/>
      </c>
      <c r="S316" t="str">
        <f>IF(RIGHT(R316,2)="1C",(INDEX(Tables!H:H,MATCH(R316,Tables!G:G,0))),"")</f>
        <v/>
      </c>
    </row>
    <row r="317" spans="1:19">
      <c r="A317" s="12" t="s">
        <v>4682</v>
      </c>
      <c r="B317" s="12" t="s">
        <v>6503</v>
      </c>
      <c r="C317" s="12" t="s">
        <v>6504</v>
      </c>
      <c r="D317" s="12" t="s">
        <v>3790</v>
      </c>
      <c r="E317" s="13">
        <v>0</v>
      </c>
      <c r="F317" s="13">
        <v>0</v>
      </c>
      <c r="G317" s="13">
        <v>0</v>
      </c>
      <c r="H317" s="13">
        <v>0</v>
      </c>
      <c r="I317" s="13">
        <v>0</v>
      </c>
      <c r="J317" s="13">
        <v>0</v>
      </c>
      <c r="K317" s="13">
        <v>0</v>
      </c>
      <c r="L317" s="13">
        <v>0</v>
      </c>
      <c r="M317" s="13">
        <v>0</v>
      </c>
      <c r="N317" s="13">
        <v>0</v>
      </c>
      <c r="O317">
        <v>0</v>
      </c>
      <c r="P317">
        <v>0</v>
      </c>
      <c r="Q317" t="str">
        <f t="shared" si="8"/>
        <v/>
      </c>
      <c r="R317" t="str">
        <f t="shared" si="9"/>
        <v/>
      </c>
      <c r="S317" t="str">
        <f>IF(RIGHT(R317,2)="1C",(INDEX(Tables!H:H,MATCH(R317,Tables!G:G,0))),"")</f>
        <v/>
      </c>
    </row>
    <row r="318" spans="1:19">
      <c r="A318" s="12" t="s">
        <v>4682</v>
      </c>
      <c r="B318" s="12" t="s">
        <v>6505</v>
      </c>
      <c r="C318" s="12" t="s">
        <v>6506</v>
      </c>
      <c r="D318" s="12" t="s">
        <v>3790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>
        <v>0</v>
      </c>
      <c r="P318">
        <v>0</v>
      </c>
      <c r="Q318" t="str">
        <f t="shared" si="8"/>
        <v/>
      </c>
      <c r="R318" t="str">
        <f t="shared" si="9"/>
        <v/>
      </c>
      <c r="S318" t="str">
        <f>IF(RIGHT(R318,2)="1C",(INDEX(Tables!H:H,MATCH(R318,Tables!G:G,0))),"")</f>
        <v/>
      </c>
    </row>
    <row r="319" spans="1:19">
      <c r="A319" s="12" t="s">
        <v>4682</v>
      </c>
      <c r="B319" s="12" t="s">
        <v>5171</v>
      </c>
      <c r="C319" s="12" t="s">
        <v>5172</v>
      </c>
      <c r="D319" s="12" t="s">
        <v>3790</v>
      </c>
      <c r="E319" s="13">
        <v>96.52</v>
      </c>
      <c r="F319" s="13">
        <v>96.52</v>
      </c>
      <c r="G319" s="13">
        <v>0</v>
      </c>
      <c r="H319" s="13">
        <v>0</v>
      </c>
      <c r="I319" s="13">
        <v>0</v>
      </c>
      <c r="J319" s="13">
        <v>410</v>
      </c>
      <c r="K319" s="13">
        <v>0</v>
      </c>
      <c r="L319" s="13">
        <v>1369</v>
      </c>
      <c r="M319" s="13">
        <v>0</v>
      </c>
      <c r="N319" s="13">
        <v>0</v>
      </c>
      <c r="O319">
        <v>1779</v>
      </c>
      <c r="P319">
        <v>296.5</v>
      </c>
      <c r="Q319" t="str">
        <f t="shared" si="8"/>
        <v/>
      </c>
      <c r="R319" t="str">
        <f t="shared" si="9"/>
        <v/>
      </c>
      <c r="S319" t="str">
        <f>IF(RIGHT(R319,2)="1C",(INDEX(Tables!H:H,MATCH(R319,Tables!G:G,0))),"")</f>
        <v/>
      </c>
    </row>
    <row r="320" spans="1:19">
      <c r="A320" s="12" t="s">
        <v>4682</v>
      </c>
      <c r="B320" s="12" t="s">
        <v>4805</v>
      </c>
      <c r="C320" s="12" t="s">
        <v>4806</v>
      </c>
      <c r="D320" s="12" t="s">
        <v>3790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315</v>
      </c>
      <c r="O320">
        <v>315</v>
      </c>
      <c r="P320">
        <v>52.5</v>
      </c>
      <c r="Q320" t="str">
        <f t="shared" si="8"/>
        <v/>
      </c>
      <c r="R320" t="str">
        <f t="shared" si="9"/>
        <v/>
      </c>
      <c r="S320" t="str">
        <f>IF(RIGHT(R320,2)="1C",(INDEX(Tables!H:H,MATCH(R320,Tables!G:G,0))),"")</f>
        <v/>
      </c>
    </row>
    <row r="321" spans="1:19">
      <c r="A321" s="12" t="s">
        <v>4682</v>
      </c>
      <c r="B321" s="12" t="s">
        <v>5011</v>
      </c>
      <c r="C321" s="12" t="s">
        <v>5012</v>
      </c>
      <c r="D321" s="12" t="s">
        <v>3790</v>
      </c>
      <c r="E321" s="13">
        <v>650</v>
      </c>
      <c r="F321" s="13">
        <v>650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1656</v>
      </c>
      <c r="N321" s="13">
        <v>1406</v>
      </c>
      <c r="O321">
        <v>3062</v>
      </c>
      <c r="P321">
        <v>510.33300000000003</v>
      </c>
      <c r="Q321" t="str">
        <f t="shared" si="8"/>
        <v/>
      </c>
      <c r="R321" t="str">
        <f t="shared" si="9"/>
        <v/>
      </c>
      <c r="S321" t="str">
        <f>IF(RIGHT(R321,2)="1C",(INDEX(Tables!H:H,MATCH(R321,Tables!G:G,0))),"")</f>
        <v/>
      </c>
    </row>
    <row r="322" spans="1:19">
      <c r="A322" s="12" t="s">
        <v>4682</v>
      </c>
      <c r="B322" s="12" t="s">
        <v>6507</v>
      </c>
      <c r="C322" s="12" t="s">
        <v>6508</v>
      </c>
      <c r="D322" s="12" t="s">
        <v>3790</v>
      </c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3">
        <v>0</v>
      </c>
      <c r="K322" s="13">
        <v>0</v>
      </c>
      <c r="L322" s="13">
        <v>0</v>
      </c>
      <c r="M322" s="13">
        <v>0</v>
      </c>
      <c r="N322" s="13">
        <v>0</v>
      </c>
      <c r="O322">
        <v>0</v>
      </c>
      <c r="P322">
        <v>0</v>
      </c>
      <c r="Q322" t="str">
        <f t="shared" si="8"/>
        <v/>
      </c>
      <c r="R322" t="str">
        <f t="shared" si="9"/>
        <v/>
      </c>
      <c r="S322" t="str">
        <f>IF(RIGHT(R322,2)="1C",(INDEX(Tables!H:H,MATCH(R322,Tables!G:G,0))),"")</f>
        <v/>
      </c>
    </row>
    <row r="323" spans="1:19">
      <c r="A323" s="12" t="s">
        <v>4682</v>
      </c>
      <c r="B323" s="12" t="s">
        <v>6509</v>
      </c>
      <c r="C323" s="12" t="s">
        <v>6510</v>
      </c>
      <c r="D323" s="12" t="s">
        <v>3790</v>
      </c>
      <c r="E323" s="13">
        <v>0</v>
      </c>
      <c r="F323" s="13">
        <v>0</v>
      </c>
      <c r="G323" s="13">
        <v>0</v>
      </c>
      <c r="H323" s="13">
        <v>0</v>
      </c>
      <c r="I323" s="13">
        <v>0</v>
      </c>
      <c r="J323" s="13">
        <v>0</v>
      </c>
      <c r="K323" s="13">
        <v>0</v>
      </c>
      <c r="L323" s="13">
        <v>0</v>
      </c>
      <c r="M323" s="13">
        <v>0</v>
      </c>
      <c r="N323" s="13">
        <v>0</v>
      </c>
      <c r="O323">
        <v>0</v>
      </c>
      <c r="P323">
        <v>0</v>
      </c>
      <c r="Q323" t="str">
        <f t="shared" si="8"/>
        <v/>
      </c>
      <c r="R323" t="str">
        <f t="shared" si="9"/>
        <v/>
      </c>
      <c r="S323" t="str">
        <f>IF(RIGHT(R323,2)="1C",(INDEX(Tables!H:H,MATCH(R323,Tables!G:G,0))),"")</f>
        <v/>
      </c>
    </row>
    <row r="324" spans="1:19">
      <c r="A324" s="12" t="s">
        <v>4682</v>
      </c>
      <c r="B324" s="12" t="s">
        <v>6455</v>
      </c>
      <c r="C324" s="12" t="s">
        <v>6456</v>
      </c>
      <c r="D324" s="12" t="s">
        <v>3790</v>
      </c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3">
        <v>0</v>
      </c>
      <c r="K324" s="13">
        <v>0</v>
      </c>
      <c r="L324" s="13">
        <v>0</v>
      </c>
      <c r="M324" s="13">
        <v>0</v>
      </c>
      <c r="N324" s="13">
        <v>0</v>
      </c>
      <c r="O324">
        <v>0</v>
      </c>
      <c r="P324">
        <v>0</v>
      </c>
      <c r="Q324" t="str">
        <f t="shared" ref="Q324:Q387" si="10">IF(RIGHT(B324,2)="1C",MID(B324,4,5),"")</f>
        <v/>
      </c>
      <c r="R324" t="str">
        <f t="shared" ref="R324:R387" si="11">IF(RIGHT(B324,2)="1C",MID(B324,SEARCH("-",B324,1)+1,6),"")</f>
        <v/>
      </c>
      <c r="S324" t="str">
        <f>IF(RIGHT(R324,2)="1C",(INDEX(Tables!H:H,MATCH(R324,Tables!G:G,0))),"")</f>
        <v/>
      </c>
    </row>
    <row r="325" spans="1:19">
      <c r="A325" s="12" t="s">
        <v>4682</v>
      </c>
      <c r="B325" s="12" t="s">
        <v>6457</v>
      </c>
      <c r="C325" s="12" t="s">
        <v>6458</v>
      </c>
      <c r="D325" s="12" t="s">
        <v>3790</v>
      </c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3">
        <v>0</v>
      </c>
      <c r="K325" s="13">
        <v>0</v>
      </c>
      <c r="L325" s="13">
        <v>0</v>
      </c>
      <c r="M325" s="13">
        <v>0</v>
      </c>
      <c r="N325" s="13">
        <v>0</v>
      </c>
      <c r="O325">
        <v>0</v>
      </c>
      <c r="P325">
        <v>0</v>
      </c>
      <c r="Q325" t="str">
        <f t="shared" si="10"/>
        <v/>
      </c>
      <c r="R325" t="str">
        <f t="shared" si="11"/>
        <v/>
      </c>
      <c r="S325" t="str">
        <f>IF(RIGHT(R325,2)="1C",(INDEX(Tables!H:H,MATCH(R325,Tables!G:G,0))),"")</f>
        <v/>
      </c>
    </row>
    <row r="326" spans="1:19">
      <c r="A326" s="12" t="s">
        <v>4682</v>
      </c>
      <c r="B326" s="12" t="s">
        <v>4973</v>
      </c>
      <c r="C326" s="12" t="s">
        <v>4974</v>
      </c>
      <c r="D326" s="12" t="s">
        <v>3790</v>
      </c>
      <c r="E326" s="13">
        <v>0</v>
      </c>
      <c r="F326" s="13">
        <v>0</v>
      </c>
      <c r="G326" s="13">
        <v>0</v>
      </c>
      <c r="H326" s="13">
        <v>0</v>
      </c>
      <c r="I326" s="13">
        <v>900</v>
      </c>
      <c r="J326" s="13">
        <v>0</v>
      </c>
      <c r="K326" s="13">
        <v>1210</v>
      </c>
      <c r="L326" s="13">
        <v>1000</v>
      </c>
      <c r="M326" s="13">
        <v>0</v>
      </c>
      <c r="N326" s="13">
        <v>235</v>
      </c>
      <c r="O326">
        <v>3345</v>
      </c>
      <c r="P326">
        <v>557.5</v>
      </c>
      <c r="Q326" t="str">
        <f t="shared" si="10"/>
        <v/>
      </c>
      <c r="R326" t="str">
        <f t="shared" si="11"/>
        <v/>
      </c>
      <c r="S326" t="str">
        <f>IF(RIGHT(R326,2)="1C",(INDEX(Tables!H:H,MATCH(R326,Tables!G:G,0))),"")</f>
        <v/>
      </c>
    </row>
    <row r="327" spans="1:19">
      <c r="A327" s="12" t="s">
        <v>4682</v>
      </c>
      <c r="B327" s="12" t="s">
        <v>6459</v>
      </c>
      <c r="C327" s="12" t="s">
        <v>6460</v>
      </c>
      <c r="D327" s="12" t="s">
        <v>3790</v>
      </c>
      <c r="E327" s="13">
        <v>0</v>
      </c>
      <c r="F327" s="13">
        <v>0</v>
      </c>
      <c r="G327" s="13">
        <v>0</v>
      </c>
      <c r="H327" s="13">
        <v>0</v>
      </c>
      <c r="I327" s="13">
        <v>545</v>
      </c>
      <c r="J327" s="13">
        <v>3590</v>
      </c>
      <c r="K327" s="13">
        <v>0</v>
      </c>
      <c r="L327" s="13">
        <v>0</v>
      </c>
      <c r="M327" s="13">
        <v>0</v>
      </c>
      <c r="N327" s="13">
        <v>0</v>
      </c>
      <c r="O327">
        <v>4135</v>
      </c>
      <c r="P327">
        <v>689.16600000000005</v>
      </c>
      <c r="Q327" t="str">
        <f t="shared" si="10"/>
        <v/>
      </c>
      <c r="R327" t="str">
        <f t="shared" si="11"/>
        <v/>
      </c>
      <c r="S327" t="str">
        <f>IF(RIGHT(R327,2)="1C",(INDEX(Tables!H:H,MATCH(R327,Tables!G:G,0))),"")</f>
        <v/>
      </c>
    </row>
    <row r="328" spans="1:19">
      <c r="A328" s="12" t="s">
        <v>4682</v>
      </c>
      <c r="B328" s="12" t="s">
        <v>6461</v>
      </c>
      <c r="C328" s="12" t="s">
        <v>6462</v>
      </c>
      <c r="D328" s="12" t="s">
        <v>3790</v>
      </c>
      <c r="E328" s="13">
        <v>0</v>
      </c>
      <c r="F328" s="13">
        <v>0</v>
      </c>
      <c r="G328" s="13">
        <v>0</v>
      </c>
      <c r="H328" s="13">
        <v>0</v>
      </c>
      <c r="I328" s="13">
        <v>0</v>
      </c>
      <c r="J328" s="13">
        <v>0</v>
      </c>
      <c r="K328" s="13">
        <v>0</v>
      </c>
      <c r="L328" s="13">
        <v>0</v>
      </c>
      <c r="M328" s="13">
        <v>0</v>
      </c>
      <c r="N328" s="13">
        <v>0</v>
      </c>
      <c r="O328">
        <v>0</v>
      </c>
      <c r="P328">
        <v>0</v>
      </c>
      <c r="Q328" t="str">
        <f t="shared" si="10"/>
        <v/>
      </c>
      <c r="R328" t="str">
        <f t="shared" si="11"/>
        <v/>
      </c>
      <c r="S328" t="str">
        <f>IF(RIGHT(R328,2)="1C",(INDEX(Tables!H:H,MATCH(R328,Tables!G:G,0))),"")</f>
        <v/>
      </c>
    </row>
    <row r="329" spans="1:19">
      <c r="A329" s="12" t="s">
        <v>4682</v>
      </c>
      <c r="B329" s="12" t="s">
        <v>7442</v>
      </c>
      <c r="C329" s="12" t="s">
        <v>7443</v>
      </c>
      <c r="D329" s="12" t="s">
        <v>3790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>
        <v>0</v>
      </c>
      <c r="P329">
        <v>0</v>
      </c>
      <c r="Q329" t="str">
        <f t="shared" si="10"/>
        <v/>
      </c>
      <c r="R329" t="str">
        <f t="shared" si="11"/>
        <v/>
      </c>
      <c r="S329" t="str">
        <f>IF(RIGHT(R329,2)="1C",(INDEX(Tables!H:H,MATCH(R329,Tables!G:G,0))),"")</f>
        <v/>
      </c>
    </row>
    <row r="330" spans="1:19">
      <c r="A330" s="12" t="s">
        <v>4682</v>
      </c>
      <c r="B330" s="12" t="s">
        <v>6463</v>
      </c>
      <c r="C330" s="12" t="s">
        <v>6464</v>
      </c>
      <c r="D330" s="12" t="s">
        <v>3790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3">
        <v>0</v>
      </c>
      <c r="K330" s="13">
        <v>0</v>
      </c>
      <c r="L330" s="13">
        <v>0</v>
      </c>
      <c r="M330" s="13">
        <v>0</v>
      </c>
      <c r="N330" s="13">
        <v>0</v>
      </c>
      <c r="O330">
        <v>0</v>
      </c>
      <c r="P330">
        <v>0</v>
      </c>
      <c r="Q330" t="str">
        <f t="shared" si="10"/>
        <v/>
      </c>
      <c r="R330" t="str">
        <f t="shared" si="11"/>
        <v/>
      </c>
      <c r="S330" t="str">
        <f>IF(RIGHT(R330,2)="1C",(INDEX(Tables!H:H,MATCH(R330,Tables!G:G,0))),"")</f>
        <v/>
      </c>
    </row>
    <row r="331" spans="1:19">
      <c r="A331" s="12" t="s">
        <v>4682</v>
      </c>
      <c r="B331" s="12" t="s">
        <v>6465</v>
      </c>
      <c r="C331" s="12" t="s">
        <v>6466</v>
      </c>
      <c r="D331" s="12" t="s">
        <v>3790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3">
        <v>0</v>
      </c>
      <c r="K331" s="13">
        <v>0</v>
      </c>
      <c r="L331" s="13">
        <v>0</v>
      </c>
      <c r="M331" s="13">
        <v>0</v>
      </c>
      <c r="N331" s="13">
        <v>0</v>
      </c>
      <c r="O331">
        <v>0</v>
      </c>
      <c r="P331">
        <v>0</v>
      </c>
      <c r="Q331" t="str">
        <f t="shared" si="10"/>
        <v/>
      </c>
      <c r="R331" t="str">
        <f t="shared" si="11"/>
        <v/>
      </c>
      <c r="S331" t="str">
        <f>IF(RIGHT(R331,2)="1C",(INDEX(Tables!H:H,MATCH(R331,Tables!G:G,0))),"")</f>
        <v/>
      </c>
    </row>
    <row r="332" spans="1:19">
      <c r="A332" s="12" t="s">
        <v>4682</v>
      </c>
      <c r="B332" s="12" t="s">
        <v>6467</v>
      </c>
      <c r="C332" s="12" t="s">
        <v>6468</v>
      </c>
      <c r="D332" s="12" t="s">
        <v>3790</v>
      </c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3">
        <v>0</v>
      </c>
      <c r="K332" s="13">
        <v>0</v>
      </c>
      <c r="L332" s="13">
        <v>0</v>
      </c>
      <c r="M332" s="13">
        <v>0</v>
      </c>
      <c r="N332" s="13">
        <v>0</v>
      </c>
      <c r="O332">
        <v>0</v>
      </c>
      <c r="P332">
        <v>0</v>
      </c>
      <c r="Q332" t="str">
        <f t="shared" si="10"/>
        <v/>
      </c>
      <c r="R332" t="str">
        <f t="shared" si="11"/>
        <v/>
      </c>
      <c r="S332" t="str">
        <f>IF(RIGHT(R332,2)="1C",(INDEX(Tables!H:H,MATCH(R332,Tables!G:G,0))),"")</f>
        <v/>
      </c>
    </row>
    <row r="333" spans="1:19">
      <c r="A333" s="12" t="s">
        <v>4682</v>
      </c>
      <c r="B333" s="12" t="s">
        <v>6949</v>
      </c>
      <c r="C333" s="12" t="s">
        <v>6950</v>
      </c>
      <c r="D333" s="12" t="s">
        <v>3790</v>
      </c>
      <c r="E333" s="13">
        <v>0</v>
      </c>
      <c r="F333" s="13">
        <v>0</v>
      </c>
      <c r="G333" s="13">
        <v>0</v>
      </c>
      <c r="H333" s="13">
        <v>0</v>
      </c>
      <c r="I333" s="13">
        <v>0</v>
      </c>
      <c r="J333" s="13">
        <v>0</v>
      </c>
      <c r="K333" s="13">
        <v>0</v>
      </c>
      <c r="L333" s="13">
        <v>0</v>
      </c>
      <c r="M333" s="13">
        <v>0</v>
      </c>
      <c r="N333" s="13">
        <v>0</v>
      </c>
      <c r="O333">
        <v>0</v>
      </c>
      <c r="P333">
        <v>0</v>
      </c>
      <c r="Q333" t="str">
        <f t="shared" si="10"/>
        <v/>
      </c>
      <c r="R333" t="str">
        <f t="shared" si="11"/>
        <v/>
      </c>
      <c r="S333" t="str">
        <f>IF(RIGHT(R333,2)="1C",(INDEX(Tables!H:H,MATCH(R333,Tables!G:G,0))),"")</f>
        <v/>
      </c>
    </row>
    <row r="334" spans="1:19">
      <c r="A334" s="12" t="s">
        <v>4682</v>
      </c>
      <c r="B334" s="12" t="s">
        <v>6469</v>
      </c>
      <c r="C334" s="12" t="s">
        <v>6470</v>
      </c>
      <c r="D334" s="12" t="s">
        <v>3790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>
        <v>0</v>
      </c>
      <c r="P334">
        <v>0</v>
      </c>
      <c r="Q334" t="str">
        <f t="shared" si="10"/>
        <v/>
      </c>
      <c r="R334" t="str">
        <f t="shared" si="11"/>
        <v/>
      </c>
      <c r="S334" t="str">
        <f>IF(RIGHT(R334,2)="1C",(INDEX(Tables!H:H,MATCH(R334,Tables!G:G,0))),"")</f>
        <v/>
      </c>
    </row>
    <row r="335" spans="1:19">
      <c r="A335" s="12" t="s">
        <v>4682</v>
      </c>
      <c r="B335" s="12" t="s">
        <v>6471</v>
      </c>
      <c r="C335" s="12" t="s">
        <v>6472</v>
      </c>
      <c r="D335" s="12" t="s">
        <v>3790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>
        <v>0</v>
      </c>
      <c r="P335">
        <v>0</v>
      </c>
      <c r="Q335" t="str">
        <f t="shared" si="10"/>
        <v/>
      </c>
      <c r="R335" t="str">
        <f t="shared" si="11"/>
        <v/>
      </c>
      <c r="S335" t="str">
        <f>IF(RIGHT(R335,2)="1C",(INDEX(Tables!H:H,MATCH(R335,Tables!G:G,0))),"")</f>
        <v/>
      </c>
    </row>
    <row r="336" spans="1:19">
      <c r="A336" s="12" t="s">
        <v>4682</v>
      </c>
      <c r="B336" s="12" t="s">
        <v>6947</v>
      </c>
      <c r="C336" s="12" t="s">
        <v>6948</v>
      </c>
      <c r="D336" s="12" t="s">
        <v>3790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>
        <v>0</v>
      </c>
      <c r="P336">
        <v>0</v>
      </c>
      <c r="Q336" t="str">
        <f t="shared" si="10"/>
        <v/>
      </c>
      <c r="R336" t="str">
        <f t="shared" si="11"/>
        <v/>
      </c>
      <c r="S336" t="str">
        <f>IF(RIGHT(R336,2)="1C",(INDEX(Tables!H:H,MATCH(R336,Tables!G:G,0))),"")</f>
        <v/>
      </c>
    </row>
    <row r="337" spans="1:19">
      <c r="A337" s="12" t="s">
        <v>4682</v>
      </c>
      <c r="B337" s="12" t="s">
        <v>7268</v>
      </c>
      <c r="C337" s="12" t="s">
        <v>7269</v>
      </c>
      <c r="D337" s="12" t="s">
        <v>3790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>
        <v>0</v>
      </c>
      <c r="P337">
        <v>0</v>
      </c>
      <c r="Q337" t="str">
        <f t="shared" si="10"/>
        <v/>
      </c>
      <c r="R337" t="str">
        <f t="shared" si="11"/>
        <v/>
      </c>
      <c r="S337" t="str">
        <f>IF(RIGHT(R337,2)="1C",(INDEX(Tables!H:H,MATCH(R337,Tables!G:G,0))),"")</f>
        <v/>
      </c>
    </row>
    <row r="338" spans="1:19">
      <c r="A338" s="12" t="s">
        <v>4682</v>
      </c>
      <c r="B338" s="12" t="s">
        <v>4811</v>
      </c>
      <c r="C338" s="12" t="s">
        <v>4812</v>
      </c>
      <c r="D338" s="12" t="s">
        <v>3790</v>
      </c>
      <c r="E338" s="13">
        <v>0</v>
      </c>
      <c r="F338" s="13">
        <v>0</v>
      </c>
      <c r="G338" s="13">
        <v>0</v>
      </c>
      <c r="H338" s="13">
        <v>0</v>
      </c>
      <c r="I338" s="13">
        <v>330</v>
      </c>
      <c r="J338" s="13">
        <v>520</v>
      </c>
      <c r="K338" s="13">
        <v>400</v>
      </c>
      <c r="L338" s="13">
        <v>510</v>
      </c>
      <c r="M338" s="13">
        <v>0</v>
      </c>
      <c r="N338" s="13">
        <v>250</v>
      </c>
      <c r="O338">
        <v>2010</v>
      </c>
      <c r="P338">
        <v>335</v>
      </c>
      <c r="Q338" t="str">
        <f t="shared" si="10"/>
        <v/>
      </c>
      <c r="R338" t="str">
        <f t="shared" si="11"/>
        <v/>
      </c>
      <c r="S338" t="str">
        <f>IF(RIGHT(R338,2)="1C",(INDEX(Tables!H:H,MATCH(R338,Tables!G:G,0))),"")</f>
        <v/>
      </c>
    </row>
    <row r="339" spans="1:19">
      <c r="A339" s="12" t="s">
        <v>4682</v>
      </c>
      <c r="B339" s="12" t="s">
        <v>6814</v>
      </c>
      <c r="C339" s="12" t="s">
        <v>6815</v>
      </c>
      <c r="D339" s="12" t="s">
        <v>3790</v>
      </c>
      <c r="E339" s="13">
        <v>181.59</v>
      </c>
      <c r="F339" s="13">
        <v>181.59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>
        <v>0</v>
      </c>
      <c r="P339">
        <v>0</v>
      </c>
      <c r="Q339" t="str">
        <f t="shared" si="10"/>
        <v/>
      </c>
      <c r="R339" t="str">
        <f t="shared" si="11"/>
        <v/>
      </c>
      <c r="S339" t="str">
        <f>IF(RIGHT(R339,2)="1C",(INDEX(Tables!H:H,MATCH(R339,Tables!G:G,0))),"")</f>
        <v/>
      </c>
    </row>
    <row r="340" spans="1:19">
      <c r="A340" s="12" t="s">
        <v>4682</v>
      </c>
      <c r="B340" s="12" t="s">
        <v>6473</v>
      </c>
      <c r="C340" s="12" t="s">
        <v>6474</v>
      </c>
      <c r="D340" s="12" t="s">
        <v>3790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1035</v>
      </c>
      <c r="L340" s="13">
        <v>0</v>
      </c>
      <c r="M340" s="13">
        <v>0</v>
      </c>
      <c r="N340" s="13">
        <v>0</v>
      </c>
      <c r="O340">
        <v>1035</v>
      </c>
      <c r="P340">
        <v>172.5</v>
      </c>
      <c r="Q340" t="str">
        <f t="shared" si="10"/>
        <v/>
      </c>
      <c r="R340" t="str">
        <f t="shared" si="11"/>
        <v/>
      </c>
      <c r="S340" t="str">
        <f>IF(RIGHT(R340,2)="1C",(INDEX(Tables!H:H,MATCH(R340,Tables!G:G,0))),"")</f>
        <v/>
      </c>
    </row>
    <row r="341" spans="1:19">
      <c r="A341" s="12" t="s">
        <v>4682</v>
      </c>
      <c r="B341" s="12" t="s">
        <v>5069</v>
      </c>
      <c r="C341" s="12" t="s">
        <v>5070</v>
      </c>
      <c r="D341" s="12" t="s">
        <v>3790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365</v>
      </c>
      <c r="L341" s="13">
        <v>3670</v>
      </c>
      <c r="M341" s="13">
        <v>0</v>
      </c>
      <c r="N341" s="13">
        <v>1030</v>
      </c>
      <c r="O341">
        <v>5065</v>
      </c>
      <c r="P341">
        <v>844.16600000000005</v>
      </c>
      <c r="Q341" t="str">
        <f t="shared" si="10"/>
        <v/>
      </c>
      <c r="R341" t="str">
        <f t="shared" si="11"/>
        <v/>
      </c>
      <c r="S341" t="str">
        <f>IF(RIGHT(R341,2)="1C",(INDEX(Tables!H:H,MATCH(R341,Tables!G:G,0))),"")</f>
        <v/>
      </c>
    </row>
    <row r="342" spans="1:19">
      <c r="A342" s="12" t="s">
        <v>4682</v>
      </c>
      <c r="B342" s="12" t="s">
        <v>4713</v>
      </c>
      <c r="C342" s="12" t="s">
        <v>4714</v>
      </c>
      <c r="D342" s="12" t="s">
        <v>3790</v>
      </c>
      <c r="E342" s="13">
        <v>0</v>
      </c>
      <c r="F342" s="13">
        <v>0</v>
      </c>
      <c r="G342" s="13">
        <v>0</v>
      </c>
      <c r="H342" s="13">
        <v>0</v>
      </c>
      <c r="I342" s="13">
        <v>0</v>
      </c>
      <c r="J342" s="13">
        <v>827</v>
      </c>
      <c r="K342" s="13">
        <v>0</v>
      </c>
      <c r="L342" s="13">
        <v>0</v>
      </c>
      <c r="M342" s="13">
        <v>0</v>
      </c>
      <c r="N342" s="13">
        <v>0</v>
      </c>
      <c r="O342">
        <v>827</v>
      </c>
      <c r="P342">
        <v>137.833</v>
      </c>
      <c r="Q342" t="str">
        <f t="shared" si="10"/>
        <v/>
      </c>
      <c r="R342" t="str">
        <f t="shared" si="11"/>
        <v/>
      </c>
      <c r="S342" t="str">
        <f>IF(RIGHT(R342,2)="1C",(INDEX(Tables!H:H,MATCH(R342,Tables!G:G,0))),"")</f>
        <v/>
      </c>
    </row>
    <row r="343" spans="1:19">
      <c r="A343" s="12" t="s">
        <v>4682</v>
      </c>
      <c r="B343" s="12" t="s">
        <v>4931</v>
      </c>
      <c r="C343" s="12" t="s">
        <v>4932</v>
      </c>
      <c r="D343" s="12" t="s">
        <v>3790</v>
      </c>
      <c r="E343" s="13">
        <v>0</v>
      </c>
      <c r="F343" s="13">
        <v>0</v>
      </c>
      <c r="G343" s="13">
        <v>0</v>
      </c>
      <c r="H343" s="13">
        <v>0</v>
      </c>
      <c r="I343" s="13">
        <v>0</v>
      </c>
      <c r="J343" s="13">
        <v>0</v>
      </c>
      <c r="K343" s="13">
        <v>0</v>
      </c>
      <c r="L343" s="13">
        <v>0</v>
      </c>
      <c r="M343" s="13">
        <v>0</v>
      </c>
      <c r="N343" s="13">
        <v>0</v>
      </c>
      <c r="O343">
        <v>0</v>
      </c>
      <c r="P343">
        <v>0</v>
      </c>
      <c r="Q343" t="str">
        <f t="shared" si="10"/>
        <v/>
      </c>
      <c r="R343" t="str">
        <f t="shared" si="11"/>
        <v/>
      </c>
      <c r="S343" t="str">
        <f>IF(RIGHT(R343,2)="1C",(INDEX(Tables!H:H,MATCH(R343,Tables!G:G,0))),"")</f>
        <v/>
      </c>
    </row>
    <row r="344" spans="1:19">
      <c r="A344" s="12" t="s">
        <v>4682</v>
      </c>
      <c r="B344" s="12" t="s">
        <v>5051</v>
      </c>
      <c r="C344" s="12" t="s">
        <v>5052</v>
      </c>
      <c r="D344" s="12" t="s">
        <v>3790</v>
      </c>
      <c r="E344" s="13">
        <v>0</v>
      </c>
      <c r="F344" s="13">
        <v>0</v>
      </c>
      <c r="G344" s="13">
        <v>0</v>
      </c>
      <c r="H344" s="13">
        <v>0</v>
      </c>
      <c r="I344" s="13">
        <v>0</v>
      </c>
      <c r="J344" s="13">
        <v>1160</v>
      </c>
      <c r="K344" s="13">
        <v>1100</v>
      </c>
      <c r="L344" s="13">
        <v>2672</v>
      </c>
      <c r="M344" s="13">
        <v>165</v>
      </c>
      <c r="N344" s="13">
        <v>700</v>
      </c>
      <c r="O344">
        <v>5797</v>
      </c>
      <c r="P344">
        <v>966.16600000000005</v>
      </c>
      <c r="Q344" t="str">
        <f t="shared" si="10"/>
        <v/>
      </c>
      <c r="R344" t="str">
        <f t="shared" si="11"/>
        <v/>
      </c>
      <c r="S344" t="str">
        <f>IF(RIGHT(R344,2)="1C",(INDEX(Tables!H:H,MATCH(R344,Tables!G:G,0))),"")</f>
        <v/>
      </c>
    </row>
    <row r="345" spans="1:19">
      <c r="A345" s="12" t="s">
        <v>4682</v>
      </c>
      <c r="B345" s="12" t="s">
        <v>4789</v>
      </c>
      <c r="C345" s="12" t="s">
        <v>4790</v>
      </c>
      <c r="D345" s="12" t="s">
        <v>3790</v>
      </c>
      <c r="E345" s="13">
        <v>44</v>
      </c>
      <c r="F345" s="13">
        <v>44</v>
      </c>
      <c r="G345" s="13">
        <v>0</v>
      </c>
      <c r="H345" s="13">
        <v>0</v>
      </c>
      <c r="I345" s="13">
        <v>0</v>
      </c>
      <c r="J345" s="13">
        <v>0</v>
      </c>
      <c r="K345" s="13">
        <v>0</v>
      </c>
      <c r="L345" s="13">
        <v>375</v>
      </c>
      <c r="M345" s="13">
        <v>0</v>
      </c>
      <c r="N345" s="13">
        <v>0</v>
      </c>
      <c r="O345">
        <v>375</v>
      </c>
      <c r="P345">
        <v>62.5</v>
      </c>
      <c r="Q345" t="str">
        <f t="shared" si="10"/>
        <v/>
      </c>
      <c r="R345" t="str">
        <f t="shared" si="11"/>
        <v/>
      </c>
      <c r="S345" t="str">
        <f>IF(RIGHT(R345,2)="1C",(INDEX(Tables!H:H,MATCH(R345,Tables!G:G,0))),"")</f>
        <v/>
      </c>
    </row>
    <row r="346" spans="1:19">
      <c r="A346" s="12" t="s">
        <v>4682</v>
      </c>
      <c r="B346" s="12" t="s">
        <v>6560</v>
      </c>
      <c r="C346" s="12" t="s">
        <v>6561</v>
      </c>
      <c r="D346" s="12" t="s">
        <v>3790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>
        <v>0</v>
      </c>
      <c r="P346">
        <v>0</v>
      </c>
      <c r="Q346" t="str">
        <f t="shared" si="10"/>
        <v/>
      </c>
      <c r="R346" t="str">
        <f t="shared" si="11"/>
        <v/>
      </c>
      <c r="S346" t="str">
        <f>IF(RIGHT(R346,2)="1C",(INDEX(Tables!H:H,MATCH(R346,Tables!G:G,0))),"")</f>
        <v/>
      </c>
    </row>
    <row r="347" spans="1:19">
      <c r="A347" s="12" t="s">
        <v>4682</v>
      </c>
      <c r="B347" s="12" t="s">
        <v>6562</v>
      </c>
      <c r="C347" s="12" t="s">
        <v>6563</v>
      </c>
      <c r="D347" s="12" t="s">
        <v>3790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>
        <v>0</v>
      </c>
      <c r="P347">
        <v>0</v>
      </c>
      <c r="Q347" t="str">
        <f t="shared" si="10"/>
        <v/>
      </c>
      <c r="R347" t="str">
        <f t="shared" si="11"/>
        <v/>
      </c>
      <c r="S347" t="str">
        <f>IF(RIGHT(R347,2)="1C",(INDEX(Tables!H:H,MATCH(R347,Tables!G:G,0))),"")</f>
        <v/>
      </c>
    </row>
    <row r="348" spans="1:19">
      <c r="A348" s="12" t="s">
        <v>4682</v>
      </c>
      <c r="B348" s="12" t="s">
        <v>6564</v>
      </c>
      <c r="C348" s="12" t="s">
        <v>6565</v>
      </c>
      <c r="D348" s="12" t="s">
        <v>3790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>
        <v>0</v>
      </c>
      <c r="P348">
        <v>0</v>
      </c>
      <c r="Q348" t="str">
        <f t="shared" si="10"/>
        <v/>
      </c>
      <c r="R348" t="str">
        <f t="shared" si="11"/>
        <v/>
      </c>
      <c r="S348" t="str">
        <f>IF(RIGHT(R348,2)="1C",(INDEX(Tables!H:H,MATCH(R348,Tables!G:G,0))),"")</f>
        <v/>
      </c>
    </row>
    <row r="349" spans="1:19">
      <c r="A349" s="12" t="s">
        <v>4682</v>
      </c>
      <c r="B349" s="12" t="s">
        <v>6566</v>
      </c>
      <c r="C349" s="12" t="s">
        <v>4968</v>
      </c>
      <c r="D349" s="12" t="s">
        <v>3790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>
        <v>0</v>
      </c>
      <c r="P349">
        <v>0</v>
      </c>
      <c r="Q349" t="str">
        <f t="shared" si="10"/>
        <v/>
      </c>
      <c r="R349" t="str">
        <f t="shared" si="11"/>
        <v/>
      </c>
      <c r="S349" t="str">
        <f>IF(RIGHT(R349,2)="1C",(INDEX(Tables!H:H,MATCH(R349,Tables!G:G,0))),"")</f>
        <v/>
      </c>
    </row>
    <row r="350" spans="1:19">
      <c r="A350" s="12" t="s">
        <v>4682</v>
      </c>
      <c r="B350" s="12" t="s">
        <v>6567</v>
      </c>
      <c r="C350" s="12" t="s">
        <v>6568</v>
      </c>
      <c r="D350" s="12" t="s">
        <v>3790</v>
      </c>
      <c r="E350" s="13">
        <v>0</v>
      </c>
      <c r="F350" s="13">
        <v>0</v>
      </c>
      <c r="G350" s="13">
        <v>0</v>
      </c>
      <c r="H350" s="13">
        <v>0</v>
      </c>
      <c r="I350" s="13">
        <v>0</v>
      </c>
      <c r="J350" s="13">
        <v>0</v>
      </c>
      <c r="K350" s="13">
        <v>0</v>
      </c>
      <c r="L350" s="13">
        <v>0</v>
      </c>
      <c r="M350" s="13">
        <v>0</v>
      </c>
      <c r="N350" s="13">
        <v>0</v>
      </c>
      <c r="O350">
        <v>0</v>
      </c>
      <c r="P350">
        <v>0</v>
      </c>
      <c r="Q350" t="str">
        <f t="shared" si="10"/>
        <v/>
      </c>
      <c r="R350" t="str">
        <f t="shared" si="11"/>
        <v/>
      </c>
      <c r="S350" t="str">
        <f>IF(RIGHT(R350,2)="1C",(INDEX(Tables!H:H,MATCH(R350,Tables!G:G,0))),"")</f>
        <v/>
      </c>
    </row>
    <row r="351" spans="1:19">
      <c r="A351" s="12" t="s">
        <v>4682</v>
      </c>
      <c r="B351" s="12" t="s">
        <v>6569</v>
      </c>
      <c r="C351" s="12" t="s">
        <v>6570</v>
      </c>
      <c r="D351" s="12" t="s">
        <v>3790</v>
      </c>
      <c r="E351" s="13">
        <v>0</v>
      </c>
      <c r="F351" s="13">
        <v>0</v>
      </c>
      <c r="G351" s="13">
        <v>0</v>
      </c>
      <c r="H351" s="13">
        <v>0</v>
      </c>
      <c r="I351" s="13">
        <v>0</v>
      </c>
      <c r="J351" s="13">
        <v>0</v>
      </c>
      <c r="K351" s="13">
        <v>0</v>
      </c>
      <c r="L351" s="13">
        <v>0</v>
      </c>
      <c r="M351" s="13">
        <v>0</v>
      </c>
      <c r="N351" s="13">
        <v>0</v>
      </c>
      <c r="O351">
        <v>0</v>
      </c>
      <c r="P351">
        <v>0</v>
      </c>
      <c r="Q351" t="str">
        <f t="shared" si="10"/>
        <v/>
      </c>
      <c r="R351" t="str">
        <f t="shared" si="11"/>
        <v/>
      </c>
      <c r="S351" t="str">
        <f>IF(RIGHT(R351,2)="1C",(INDEX(Tables!H:H,MATCH(R351,Tables!G:G,0))),"")</f>
        <v/>
      </c>
    </row>
    <row r="352" spans="1:19">
      <c r="A352" s="12" t="s">
        <v>4682</v>
      </c>
      <c r="B352" s="12" t="s">
        <v>6750</v>
      </c>
      <c r="C352" s="12" t="s">
        <v>6751</v>
      </c>
      <c r="D352" s="12" t="s">
        <v>3790</v>
      </c>
      <c r="E352" s="13">
        <v>0</v>
      </c>
      <c r="F352" s="13">
        <v>0</v>
      </c>
      <c r="G352" s="13">
        <v>0</v>
      </c>
      <c r="H352" s="13">
        <v>0</v>
      </c>
      <c r="I352" s="13">
        <v>0</v>
      </c>
      <c r="J352" s="13">
        <v>0</v>
      </c>
      <c r="K352" s="13">
        <v>0</v>
      </c>
      <c r="L352" s="13">
        <v>0</v>
      </c>
      <c r="M352" s="13">
        <v>0</v>
      </c>
      <c r="N352" s="13">
        <v>0</v>
      </c>
      <c r="O352">
        <v>0</v>
      </c>
      <c r="P352">
        <v>0</v>
      </c>
      <c r="Q352" t="str">
        <f t="shared" si="10"/>
        <v/>
      </c>
      <c r="R352" t="str">
        <f t="shared" si="11"/>
        <v/>
      </c>
      <c r="S352" t="str">
        <f>IF(RIGHT(R352,2)="1C",(INDEX(Tables!H:H,MATCH(R352,Tables!G:G,0))),"")</f>
        <v/>
      </c>
    </row>
    <row r="353" spans="1:19">
      <c r="A353" s="12" t="s">
        <v>4682</v>
      </c>
      <c r="B353" s="12" t="s">
        <v>6571</v>
      </c>
      <c r="C353" s="12" t="s">
        <v>6572</v>
      </c>
      <c r="D353" s="12" t="s">
        <v>3790</v>
      </c>
      <c r="E353" s="13">
        <v>0</v>
      </c>
      <c r="F353" s="13">
        <v>0</v>
      </c>
      <c r="G353" s="13">
        <v>0</v>
      </c>
      <c r="H353" s="13">
        <v>0</v>
      </c>
      <c r="I353" s="13">
        <v>0</v>
      </c>
      <c r="J353" s="13">
        <v>0</v>
      </c>
      <c r="K353" s="13">
        <v>0</v>
      </c>
      <c r="L353" s="13">
        <v>0</v>
      </c>
      <c r="M353" s="13">
        <v>0</v>
      </c>
      <c r="N353" s="13">
        <v>0</v>
      </c>
      <c r="O353">
        <v>0</v>
      </c>
      <c r="P353">
        <v>0</v>
      </c>
      <c r="Q353" t="str">
        <f t="shared" si="10"/>
        <v/>
      </c>
      <c r="R353" t="str">
        <f t="shared" si="11"/>
        <v/>
      </c>
      <c r="S353" t="str">
        <f>IF(RIGHT(R353,2)="1C",(INDEX(Tables!H:H,MATCH(R353,Tables!G:G,0))),"")</f>
        <v/>
      </c>
    </row>
    <row r="354" spans="1:19">
      <c r="A354" s="12" t="s">
        <v>4682</v>
      </c>
      <c r="B354" s="12" t="s">
        <v>6573</v>
      </c>
      <c r="C354" s="12" t="s">
        <v>6574</v>
      </c>
      <c r="D354" s="12" t="s">
        <v>3790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>
        <v>0</v>
      </c>
      <c r="P354">
        <v>0</v>
      </c>
      <c r="Q354" t="str">
        <f t="shared" si="10"/>
        <v/>
      </c>
      <c r="R354" t="str">
        <f t="shared" si="11"/>
        <v/>
      </c>
      <c r="S354" t="str">
        <f>IF(RIGHT(R354,2)="1C",(INDEX(Tables!H:H,MATCH(R354,Tables!G:G,0))),"")</f>
        <v/>
      </c>
    </row>
    <row r="355" spans="1:19">
      <c r="A355" s="12" t="s">
        <v>4682</v>
      </c>
      <c r="B355" s="12" t="s">
        <v>6575</v>
      </c>
      <c r="C355" s="12" t="s">
        <v>6576</v>
      </c>
      <c r="D355" s="12" t="s">
        <v>3790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>
        <v>0</v>
      </c>
      <c r="P355">
        <v>0</v>
      </c>
      <c r="Q355" t="str">
        <f t="shared" si="10"/>
        <v/>
      </c>
      <c r="R355" t="str">
        <f t="shared" si="11"/>
        <v/>
      </c>
      <c r="S355" t="str">
        <f>IF(RIGHT(R355,2)="1C",(INDEX(Tables!H:H,MATCH(R355,Tables!G:G,0))),"")</f>
        <v/>
      </c>
    </row>
    <row r="356" spans="1:19">
      <c r="A356" s="12" t="s">
        <v>4682</v>
      </c>
      <c r="B356" s="12" t="s">
        <v>6577</v>
      </c>
      <c r="C356" s="12" t="s">
        <v>6578</v>
      </c>
      <c r="D356" s="12" t="s">
        <v>3790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  <c r="O356">
        <v>0</v>
      </c>
      <c r="P356">
        <v>0</v>
      </c>
      <c r="Q356" t="str">
        <f t="shared" si="10"/>
        <v/>
      </c>
      <c r="R356" t="str">
        <f t="shared" si="11"/>
        <v/>
      </c>
      <c r="S356" t="str">
        <f>IF(RIGHT(R356,2)="1C",(INDEX(Tables!H:H,MATCH(R356,Tables!G:G,0))),"")</f>
        <v/>
      </c>
    </row>
    <row r="357" spans="1:19">
      <c r="A357" s="12" t="s">
        <v>4682</v>
      </c>
      <c r="B357" s="12" t="s">
        <v>6582</v>
      </c>
      <c r="C357" s="12" t="s">
        <v>6583</v>
      </c>
      <c r="D357" s="12" t="s">
        <v>3790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>
        <v>0</v>
      </c>
      <c r="P357">
        <v>0</v>
      </c>
      <c r="Q357" t="str">
        <f t="shared" si="10"/>
        <v/>
      </c>
      <c r="R357" t="str">
        <f t="shared" si="11"/>
        <v/>
      </c>
      <c r="S357" t="str">
        <f>IF(RIGHT(R357,2)="1C",(INDEX(Tables!H:H,MATCH(R357,Tables!G:G,0))),"")</f>
        <v/>
      </c>
    </row>
    <row r="358" spans="1:19">
      <c r="A358" s="12" t="s">
        <v>4682</v>
      </c>
      <c r="B358" s="12" t="s">
        <v>6584</v>
      </c>
      <c r="C358" s="12" t="s">
        <v>6585</v>
      </c>
      <c r="D358" s="12" t="s">
        <v>3790</v>
      </c>
      <c r="E358" s="13">
        <v>0</v>
      </c>
      <c r="F358" s="13">
        <v>0</v>
      </c>
      <c r="G358" s="13">
        <v>0</v>
      </c>
      <c r="H358" s="13">
        <v>0</v>
      </c>
      <c r="I358" s="13">
        <v>0</v>
      </c>
      <c r="J358" s="13">
        <v>0</v>
      </c>
      <c r="K358" s="13">
        <v>0</v>
      </c>
      <c r="L358" s="13">
        <v>0</v>
      </c>
      <c r="M358" s="13">
        <v>0</v>
      </c>
      <c r="N358" s="13">
        <v>0</v>
      </c>
      <c r="O358">
        <v>0</v>
      </c>
      <c r="P358">
        <v>0</v>
      </c>
      <c r="Q358" t="str">
        <f t="shared" si="10"/>
        <v/>
      </c>
      <c r="R358" t="str">
        <f t="shared" si="11"/>
        <v/>
      </c>
      <c r="S358" t="str">
        <f>IF(RIGHT(R358,2)="1C",(INDEX(Tables!H:H,MATCH(R358,Tables!G:G,0))),"")</f>
        <v/>
      </c>
    </row>
    <row r="359" spans="1:19">
      <c r="A359" s="12" t="s">
        <v>4682</v>
      </c>
      <c r="B359" s="12" t="s">
        <v>6586</v>
      </c>
      <c r="C359" s="12" t="s">
        <v>6587</v>
      </c>
      <c r="D359" s="12" t="s">
        <v>3790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>
        <v>0</v>
      </c>
      <c r="P359">
        <v>0</v>
      </c>
      <c r="Q359" t="str">
        <f t="shared" si="10"/>
        <v/>
      </c>
      <c r="R359" t="str">
        <f t="shared" si="11"/>
        <v/>
      </c>
      <c r="S359" t="str">
        <f>IF(RIGHT(R359,2)="1C",(INDEX(Tables!H:H,MATCH(R359,Tables!G:G,0))),"")</f>
        <v/>
      </c>
    </row>
    <row r="360" spans="1:19">
      <c r="A360" s="12" t="s">
        <v>4682</v>
      </c>
      <c r="B360" s="12" t="s">
        <v>6588</v>
      </c>
      <c r="C360" s="12" t="s">
        <v>6589</v>
      </c>
      <c r="D360" s="12" t="s">
        <v>3790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>
        <v>0</v>
      </c>
      <c r="P360">
        <v>0</v>
      </c>
      <c r="Q360" t="str">
        <f t="shared" si="10"/>
        <v/>
      </c>
      <c r="R360" t="str">
        <f t="shared" si="11"/>
        <v/>
      </c>
      <c r="S360" t="str">
        <f>IF(RIGHT(R360,2)="1C",(INDEX(Tables!H:H,MATCH(R360,Tables!G:G,0))),"")</f>
        <v/>
      </c>
    </row>
    <row r="361" spans="1:19">
      <c r="A361" s="12" t="s">
        <v>4682</v>
      </c>
      <c r="B361" s="12" t="s">
        <v>6590</v>
      </c>
      <c r="C361" s="12" t="s">
        <v>6591</v>
      </c>
      <c r="D361" s="12" t="s">
        <v>3790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>
        <v>0</v>
      </c>
      <c r="P361">
        <v>0</v>
      </c>
      <c r="Q361" t="str">
        <f t="shared" si="10"/>
        <v/>
      </c>
      <c r="R361" t="str">
        <f t="shared" si="11"/>
        <v/>
      </c>
      <c r="S361" t="str">
        <f>IF(RIGHT(R361,2)="1C",(INDEX(Tables!H:H,MATCH(R361,Tables!G:G,0))),"")</f>
        <v/>
      </c>
    </row>
    <row r="362" spans="1:19">
      <c r="A362" s="12" t="s">
        <v>4682</v>
      </c>
      <c r="B362" s="12" t="s">
        <v>6592</v>
      </c>
      <c r="C362" s="12" t="s">
        <v>6593</v>
      </c>
      <c r="D362" s="12" t="s">
        <v>3790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>
        <v>0</v>
      </c>
      <c r="P362">
        <v>0</v>
      </c>
      <c r="Q362" t="str">
        <f t="shared" si="10"/>
        <v/>
      </c>
      <c r="R362" t="str">
        <f t="shared" si="11"/>
        <v/>
      </c>
      <c r="S362" t="str">
        <f>IF(RIGHT(R362,2)="1C",(INDEX(Tables!H:H,MATCH(R362,Tables!G:G,0))),"")</f>
        <v/>
      </c>
    </row>
    <row r="363" spans="1:19">
      <c r="A363" s="12" t="s">
        <v>4682</v>
      </c>
      <c r="B363" s="12" t="s">
        <v>6594</v>
      </c>
      <c r="C363" s="12" t="s">
        <v>4972</v>
      </c>
      <c r="D363" s="12" t="s">
        <v>3790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>
        <v>0</v>
      </c>
      <c r="P363">
        <v>0</v>
      </c>
      <c r="Q363" t="str">
        <f t="shared" si="10"/>
        <v/>
      </c>
      <c r="R363" t="str">
        <f t="shared" si="11"/>
        <v/>
      </c>
      <c r="S363" t="str">
        <f>IF(RIGHT(R363,2)="1C",(INDEX(Tables!H:H,MATCH(R363,Tables!G:G,0))),"")</f>
        <v/>
      </c>
    </row>
    <row r="364" spans="1:19">
      <c r="A364" s="12" t="s">
        <v>4682</v>
      </c>
      <c r="B364" s="12" t="s">
        <v>6903</v>
      </c>
      <c r="C364" s="12" t="s">
        <v>6904</v>
      </c>
      <c r="D364" s="12" t="s">
        <v>3790</v>
      </c>
      <c r="E364" s="13">
        <v>0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  <c r="O364">
        <v>0</v>
      </c>
      <c r="P364">
        <v>0</v>
      </c>
      <c r="Q364" t="str">
        <f t="shared" si="10"/>
        <v>ST658</v>
      </c>
      <c r="R364" t="str">
        <f t="shared" si="11"/>
        <v>CIM1C</v>
      </c>
      <c r="S364">
        <f>IF(RIGHT(R364,2)="1C",(INDEX(Tables!H:H,MATCH(R364,Tables!G:G,0))),"")</f>
        <v>50</v>
      </c>
    </row>
    <row r="365" spans="1:19">
      <c r="A365" s="12" t="s">
        <v>4682</v>
      </c>
      <c r="B365" s="12" t="s">
        <v>7301</v>
      </c>
      <c r="C365" s="12" t="s">
        <v>7302</v>
      </c>
      <c r="D365" s="12" t="s">
        <v>3790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>
        <v>0</v>
      </c>
      <c r="P365">
        <v>0</v>
      </c>
      <c r="Q365" t="str">
        <f t="shared" si="10"/>
        <v/>
      </c>
      <c r="R365" t="str">
        <f t="shared" si="11"/>
        <v/>
      </c>
      <c r="S365" t="str">
        <f>IF(RIGHT(R365,2)="1C",(INDEX(Tables!H:H,MATCH(R365,Tables!G:G,0))),"")</f>
        <v/>
      </c>
    </row>
    <row r="366" spans="1:19">
      <c r="A366" s="12" t="s">
        <v>4682</v>
      </c>
      <c r="B366" s="12" t="s">
        <v>6595</v>
      </c>
      <c r="C366" s="12" t="s">
        <v>6596</v>
      </c>
      <c r="D366" s="12" t="s">
        <v>3790</v>
      </c>
      <c r="E366" s="13">
        <v>0</v>
      </c>
      <c r="F366" s="13">
        <v>0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>
        <v>0</v>
      </c>
      <c r="P366">
        <v>0</v>
      </c>
      <c r="Q366" t="str">
        <f t="shared" si="10"/>
        <v/>
      </c>
      <c r="R366" t="str">
        <f t="shared" si="11"/>
        <v/>
      </c>
      <c r="S366" t="str">
        <f>IF(RIGHT(R366,2)="1C",(INDEX(Tables!H:H,MATCH(R366,Tables!G:G,0))),"")</f>
        <v/>
      </c>
    </row>
    <row r="367" spans="1:19">
      <c r="A367" s="12" t="s">
        <v>4682</v>
      </c>
      <c r="B367" s="12" t="s">
        <v>6597</v>
      </c>
      <c r="C367" s="12" t="s">
        <v>6598</v>
      </c>
      <c r="D367" s="12" t="s">
        <v>3790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>
        <v>0</v>
      </c>
      <c r="P367">
        <v>0</v>
      </c>
      <c r="Q367" t="str">
        <f t="shared" si="10"/>
        <v/>
      </c>
      <c r="R367" t="str">
        <f t="shared" si="11"/>
        <v/>
      </c>
      <c r="S367" t="str">
        <f>IF(RIGHT(R367,2)="1C",(INDEX(Tables!H:H,MATCH(R367,Tables!G:G,0))),"")</f>
        <v/>
      </c>
    </row>
    <row r="368" spans="1:19">
      <c r="A368" s="12" t="s">
        <v>4682</v>
      </c>
      <c r="B368" s="12" t="s">
        <v>6599</v>
      </c>
      <c r="C368" s="12" t="s">
        <v>6600</v>
      </c>
      <c r="D368" s="12" t="s">
        <v>3790</v>
      </c>
      <c r="E368" s="13">
        <v>0</v>
      </c>
      <c r="F368" s="13">
        <v>0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  <c r="O368">
        <v>0</v>
      </c>
      <c r="P368">
        <v>0</v>
      </c>
      <c r="Q368" t="str">
        <f t="shared" si="10"/>
        <v/>
      </c>
      <c r="R368" t="str">
        <f t="shared" si="11"/>
        <v/>
      </c>
      <c r="S368" t="str">
        <f>IF(RIGHT(R368,2)="1C",(INDEX(Tables!H:H,MATCH(R368,Tables!G:G,0))),"")</f>
        <v/>
      </c>
    </row>
    <row r="369" spans="1:19">
      <c r="A369" s="12" t="s">
        <v>4682</v>
      </c>
      <c r="B369" s="12" t="s">
        <v>6601</v>
      </c>
      <c r="C369" s="12" t="s">
        <v>6602</v>
      </c>
      <c r="D369" s="12" t="s">
        <v>3790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>
        <v>0</v>
      </c>
      <c r="P369">
        <v>0</v>
      </c>
      <c r="Q369" t="str">
        <f t="shared" si="10"/>
        <v/>
      </c>
      <c r="R369" t="str">
        <f t="shared" si="11"/>
        <v/>
      </c>
      <c r="S369" t="str">
        <f>IF(RIGHT(R369,2)="1C",(INDEX(Tables!H:H,MATCH(R369,Tables!G:G,0))),"")</f>
        <v/>
      </c>
    </row>
    <row r="370" spans="1:19">
      <c r="A370" s="12" t="s">
        <v>4682</v>
      </c>
      <c r="B370" s="12" t="s">
        <v>6603</v>
      </c>
      <c r="C370" s="12" t="s">
        <v>6604</v>
      </c>
      <c r="D370" s="12" t="s">
        <v>3790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0</v>
      </c>
      <c r="N370" s="13">
        <v>0</v>
      </c>
      <c r="O370">
        <v>0</v>
      </c>
      <c r="P370">
        <v>0</v>
      </c>
      <c r="Q370" t="str">
        <f t="shared" si="10"/>
        <v/>
      </c>
      <c r="R370" t="str">
        <f t="shared" si="11"/>
        <v/>
      </c>
      <c r="S370" t="str">
        <f>IF(RIGHT(R370,2)="1C",(INDEX(Tables!H:H,MATCH(R370,Tables!G:G,0))),"")</f>
        <v/>
      </c>
    </row>
    <row r="371" spans="1:19">
      <c r="A371" s="12" t="s">
        <v>4682</v>
      </c>
      <c r="B371" s="12" t="s">
        <v>6605</v>
      </c>
      <c r="C371" s="12" t="s">
        <v>6606</v>
      </c>
      <c r="D371" s="12" t="s">
        <v>3790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>
        <v>0</v>
      </c>
      <c r="P371">
        <v>0</v>
      </c>
      <c r="Q371" t="str">
        <f t="shared" si="10"/>
        <v/>
      </c>
      <c r="R371" t="str">
        <f t="shared" si="11"/>
        <v/>
      </c>
      <c r="S371" t="str">
        <f>IF(RIGHT(R371,2)="1C",(INDEX(Tables!H:H,MATCH(R371,Tables!G:G,0))),"")</f>
        <v/>
      </c>
    </row>
    <row r="372" spans="1:19">
      <c r="A372" s="12" t="s">
        <v>4682</v>
      </c>
      <c r="B372" s="12" t="s">
        <v>7468</v>
      </c>
      <c r="C372" s="12" t="s">
        <v>7469</v>
      </c>
      <c r="D372" s="12" t="s">
        <v>3790</v>
      </c>
      <c r="E372" s="13">
        <v>1380</v>
      </c>
      <c r="F372" s="13">
        <v>1380</v>
      </c>
      <c r="G372" s="13">
        <v>0</v>
      </c>
      <c r="H372" s="13">
        <v>0</v>
      </c>
      <c r="I372" s="13">
        <v>0</v>
      </c>
      <c r="J372" s="13">
        <v>0</v>
      </c>
      <c r="K372" s="13">
        <v>0</v>
      </c>
      <c r="L372" s="13">
        <v>0</v>
      </c>
      <c r="M372" s="13">
        <v>0</v>
      </c>
      <c r="N372" s="13">
        <v>0</v>
      </c>
      <c r="O372">
        <v>0</v>
      </c>
      <c r="P372">
        <v>0</v>
      </c>
      <c r="Q372" t="str">
        <f t="shared" si="10"/>
        <v/>
      </c>
      <c r="R372" t="str">
        <f t="shared" si="11"/>
        <v/>
      </c>
      <c r="S372" t="str">
        <f>IF(RIGHT(R372,2)="1C",(INDEX(Tables!H:H,MATCH(R372,Tables!G:G,0))),"")</f>
        <v/>
      </c>
    </row>
    <row r="373" spans="1:19">
      <c r="A373" s="12" t="s">
        <v>4682</v>
      </c>
      <c r="B373" s="12" t="s">
        <v>6607</v>
      </c>
      <c r="C373" s="12" t="s">
        <v>6608</v>
      </c>
      <c r="D373" s="12" t="s">
        <v>3790</v>
      </c>
      <c r="E373" s="13">
        <v>0</v>
      </c>
      <c r="F373" s="13">
        <v>0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0</v>
      </c>
      <c r="M373" s="13">
        <v>0</v>
      </c>
      <c r="N373" s="13">
        <v>0</v>
      </c>
      <c r="O373">
        <v>0</v>
      </c>
      <c r="P373">
        <v>0</v>
      </c>
      <c r="Q373" t="str">
        <f t="shared" si="10"/>
        <v/>
      </c>
      <c r="R373" t="str">
        <f t="shared" si="11"/>
        <v/>
      </c>
      <c r="S373" t="str">
        <f>IF(RIGHT(R373,2)="1C",(INDEX(Tables!H:H,MATCH(R373,Tables!G:G,0))),"")</f>
        <v/>
      </c>
    </row>
    <row r="374" spans="1:19">
      <c r="A374" s="12" t="s">
        <v>4682</v>
      </c>
      <c r="B374" s="12" t="s">
        <v>6609</v>
      </c>
      <c r="C374" s="12" t="s">
        <v>6610</v>
      </c>
      <c r="D374" s="12" t="s">
        <v>3790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>
        <v>0</v>
      </c>
      <c r="P374">
        <v>0</v>
      </c>
      <c r="Q374" t="str">
        <f t="shared" si="10"/>
        <v/>
      </c>
      <c r="R374" t="str">
        <f t="shared" si="11"/>
        <v/>
      </c>
      <c r="S374" t="str">
        <f>IF(RIGHT(R374,2)="1C",(INDEX(Tables!H:H,MATCH(R374,Tables!G:G,0))),"")</f>
        <v/>
      </c>
    </row>
    <row r="375" spans="1:19">
      <c r="A375" s="12" t="s">
        <v>4682</v>
      </c>
      <c r="B375" s="12" t="s">
        <v>6451</v>
      </c>
      <c r="C375" s="12" t="s">
        <v>6452</v>
      </c>
      <c r="D375" s="12" t="s">
        <v>3790</v>
      </c>
      <c r="E375" s="13">
        <v>0</v>
      </c>
      <c r="F375" s="13">
        <v>0</v>
      </c>
      <c r="G375" s="13">
        <v>0</v>
      </c>
      <c r="H375" s="13">
        <v>0</v>
      </c>
      <c r="I375" s="13">
        <v>0</v>
      </c>
      <c r="J375" s="13">
        <v>0</v>
      </c>
      <c r="K375" s="13">
        <v>0</v>
      </c>
      <c r="L375" s="13">
        <v>0</v>
      </c>
      <c r="M375" s="13">
        <v>0</v>
      </c>
      <c r="N375" s="13">
        <v>0</v>
      </c>
      <c r="O375">
        <v>0</v>
      </c>
      <c r="P375">
        <v>0</v>
      </c>
      <c r="Q375" t="str">
        <f t="shared" si="10"/>
        <v/>
      </c>
      <c r="R375" t="str">
        <f t="shared" si="11"/>
        <v/>
      </c>
      <c r="S375" t="str">
        <f>IF(RIGHT(R375,2)="1C",(INDEX(Tables!H:H,MATCH(R375,Tables!G:G,0))),"")</f>
        <v/>
      </c>
    </row>
    <row r="376" spans="1:19">
      <c r="A376" s="12" t="s">
        <v>4682</v>
      </c>
      <c r="B376" s="12" t="s">
        <v>6611</v>
      </c>
      <c r="C376" s="12" t="s">
        <v>6612</v>
      </c>
      <c r="D376" s="12" t="s">
        <v>3790</v>
      </c>
      <c r="E376" s="13">
        <v>0</v>
      </c>
      <c r="F376" s="13">
        <v>0</v>
      </c>
      <c r="G376" s="13">
        <v>0</v>
      </c>
      <c r="H376" s="13">
        <v>0</v>
      </c>
      <c r="I376" s="13">
        <v>0</v>
      </c>
      <c r="J376" s="13">
        <v>0</v>
      </c>
      <c r="K376" s="13">
        <v>0</v>
      </c>
      <c r="L376" s="13">
        <v>0</v>
      </c>
      <c r="M376" s="13">
        <v>0</v>
      </c>
      <c r="N376" s="13">
        <v>0</v>
      </c>
      <c r="O376">
        <v>0</v>
      </c>
      <c r="P376">
        <v>0</v>
      </c>
      <c r="Q376" t="str">
        <f t="shared" si="10"/>
        <v/>
      </c>
      <c r="R376" t="str">
        <f t="shared" si="11"/>
        <v/>
      </c>
      <c r="S376" t="str">
        <f>IF(RIGHT(R376,2)="1C",(INDEX(Tables!H:H,MATCH(R376,Tables!G:G,0))),"")</f>
        <v/>
      </c>
    </row>
    <row r="377" spans="1:19">
      <c r="A377" s="12" t="s">
        <v>4682</v>
      </c>
      <c r="B377" s="12" t="s">
        <v>6613</v>
      </c>
      <c r="C377" s="12" t="s">
        <v>6614</v>
      </c>
      <c r="D377" s="12" t="s">
        <v>3790</v>
      </c>
      <c r="E377" s="13">
        <v>0</v>
      </c>
      <c r="F377" s="13">
        <v>0</v>
      </c>
      <c r="G377" s="13">
        <v>0</v>
      </c>
      <c r="H377" s="13">
        <v>0</v>
      </c>
      <c r="I377" s="13">
        <v>0</v>
      </c>
      <c r="J377" s="13">
        <v>0</v>
      </c>
      <c r="K377" s="13">
        <v>0</v>
      </c>
      <c r="L377" s="13">
        <v>0</v>
      </c>
      <c r="M377" s="13">
        <v>0</v>
      </c>
      <c r="N377" s="13">
        <v>0</v>
      </c>
      <c r="O377">
        <v>0</v>
      </c>
      <c r="P377">
        <v>0</v>
      </c>
      <c r="Q377" t="str">
        <f t="shared" si="10"/>
        <v/>
      </c>
      <c r="R377" t="str">
        <f t="shared" si="11"/>
        <v/>
      </c>
      <c r="S377" t="str">
        <f>IF(RIGHT(R377,2)="1C",(INDEX(Tables!H:H,MATCH(R377,Tables!G:G,0))),"")</f>
        <v/>
      </c>
    </row>
    <row r="378" spans="1:19">
      <c r="A378" s="12" t="s">
        <v>4682</v>
      </c>
      <c r="B378" s="12" t="s">
        <v>6615</v>
      </c>
      <c r="C378" s="12" t="s">
        <v>6616</v>
      </c>
      <c r="D378" s="12" t="s">
        <v>3790</v>
      </c>
      <c r="E378" s="13">
        <v>0</v>
      </c>
      <c r="F378" s="13">
        <v>0</v>
      </c>
      <c r="G378" s="13">
        <v>0</v>
      </c>
      <c r="H378" s="13">
        <v>0</v>
      </c>
      <c r="I378" s="13">
        <v>0</v>
      </c>
      <c r="J378" s="13">
        <v>0</v>
      </c>
      <c r="K378" s="13">
        <v>0</v>
      </c>
      <c r="L378" s="13">
        <v>0</v>
      </c>
      <c r="M378" s="13">
        <v>0</v>
      </c>
      <c r="N378" s="13">
        <v>0</v>
      </c>
      <c r="O378">
        <v>0</v>
      </c>
      <c r="P378">
        <v>0</v>
      </c>
      <c r="Q378" t="str">
        <f t="shared" si="10"/>
        <v/>
      </c>
      <c r="R378" t="str">
        <f t="shared" si="11"/>
        <v/>
      </c>
      <c r="S378" t="str">
        <f>IF(RIGHT(R378,2)="1C",(INDEX(Tables!H:H,MATCH(R378,Tables!G:G,0))),"")</f>
        <v/>
      </c>
    </row>
    <row r="379" spans="1:19">
      <c r="A379" s="12" t="s">
        <v>4682</v>
      </c>
      <c r="B379" s="12" t="s">
        <v>6617</v>
      </c>
      <c r="C379" s="12" t="s">
        <v>6618</v>
      </c>
      <c r="D379" s="12" t="s">
        <v>3790</v>
      </c>
      <c r="E379" s="13">
        <v>0</v>
      </c>
      <c r="F379" s="13">
        <v>0</v>
      </c>
      <c r="G379" s="13">
        <v>0</v>
      </c>
      <c r="H379" s="13">
        <v>0</v>
      </c>
      <c r="I379" s="13">
        <v>0</v>
      </c>
      <c r="J379" s="13">
        <v>0</v>
      </c>
      <c r="K379" s="13">
        <v>0</v>
      </c>
      <c r="L379" s="13">
        <v>0</v>
      </c>
      <c r="M379" s="13">
        <v>0</v>
      </c>
      <c r="N379" s="13">
        <v>0</v>
      </c>
      <c r="O379">
        <v>0</v>
      </c>
      <c r="P379">
        <v>0</v>
      </c>
      <c r="Q379" t="str">
        <f t="shared" si="10"/>
        <v/>
      </c>
      <c r="R379" t="str">
        <f t="shared" si="11"/>
        <v/>
      </c>
      <c r="S379" t="str">
        <f>IF(RIGHT(R379,2)="1C",(INDEX(Tables!H:H,MATCH(R379,Tables!G:G,0))),"")</f>
        <v/>
      </c>
    </row>
    <row r="380" spans="1:19">
      <c r="A380" s="12" t="s">
        <v>4682</v>
      </c>
      <c r="B380" s="12" t="s">
        <v>6619</v>
      </c>
      <c r="C380" s="12" t="s">
        <v>6620</v>
      </c>
      <c r="D380" s="12" t="s">
        <v>3790</v>
      </c>
      <c r="E380" s="13">
        <v>0</v>
      </c>
      <c r="F380" s="13">
        <v>0</v>
      </c>
      <c r="G380" s="13">
        <v>0</v>
      </c>
      <c r="H380" s="13">
        <v>0</v>
      </c>
      <c r="I380" s="13">
        <v>0</v>
      </c>
      <c r="J380" s="13">
        <v>0</v>
      </c>
      <c r="K380" s="13">
        <v>0</v>
      </c>
      <c r="L380" s="13">
        <v>0</v>
      </c>
      <c r="M380" s="13">
        <v>0</v>
      </c>
      <c r="N380" s="13">
        <v>0</v>
      </c>
      <c r="O380">
        <v>0</v>
      </c>
      <c r="P380">
        <v>0</v>
      </c>
      <c r="Q380" t="str">
        <f t="shared" si="10"/>
        <v/>
      </c>
      <c r="R380" t="str">
        <f t="shared" si="11"/>
        <v/>
      </c>
      <c r="S380" t="str">
        <f>IF(RIGHT(R380,2)="1C",(INDEX(Tables!H:H,MATCH(R380,Tables!G:G,0))),"")</f>
        <v/>
      </c>
    </row>
    <row r="381" spans="1:19">
      <c r="A381" s="12" t="s">
        <v>4682</v>
      </c>
      <c r="B381" s="12" t="s">
        <v>7294</v>
      </c>
      <c r="C381" s="12" t="s">
        <v>7295</v>
      </c>
      <c r="D381" s="12" t="s">
        <v>3790</v>
      </c>
      <c r="E381" s="13">
        <v>3800</v>
      </c>
      <c r="F381" s="13">
        <v>3800</v>
      </c>
      <c r="G381" s="13">
        <v>0</v>
      </c>
      <c r="H381" s="13">
        <v>0</v>
      </c>
      <c r="I381" s="13">
        <v>0</v>
      </c>
      <c r="J381" s="13">
        <v>0</v>
      </c>
      <c r="K381" s="13">
        <v>0</v>
      </c>
      <c r="L381" s="13">
        <v>0</v>
      </c>
      <c r="M381" s="13">
        <v>0</v>
      </c>
      <c r="N381" s="13">
        <v>0</v>
      </c>
      <c r="O381">
        <v>0</v>
      </c>
      <c r="P381">
        <v>0</v>
      </c>
      <c r="Q381" t="str">
        <f t="shared" si="10"/>
        <v/>
      </c>
      <c r="R381" t="str">
        <f t="shared" si="11"/>
        <v/>
      </c>
      <c r="S381" t="str">
        <f>IF(RIGHT(R381,2)="1C",(INDEX(Tables!H:H,MATCH(R381,Tables!G:G,0))),"")</f>
        <v/>
      </c>
    </row>
    <row r="382" spans="1:19">
      <c r="A382" s="12" t="s">
        <v>4682</v>
      </c>
      <c r="B382" s="12" t="s">
        <v>6621</v>
      </c>
      <c r="C382" s="12" t="s">
        <v>6622</v>
      </c>
      <c r="D382" s="12" t="s">
        <v>3790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>
        <v>0</v>
      </c>
      <c r="P382">
        <v>0</v>
      </c>
      <c r="Q382" t="str">
        <f t="shared" si="10"/>
        <v/>
      </c>
      <c r="R382" t="str">
        <f t="shared" si="11"/>
        <v/>
      </c>
      <c r="S382" t="str">
        <f>IF(RIGHT(R382,2)="1C",(INDEX(Tables!H:H,MATCH(R382,Tables!G:G,0))),"")</f>
        <v/>
      </c>
    </row>
    <row r="383" spans="1:19">
      <c r="A383" s="12" t="s">
        <v>4682</v>
      </c>
      <c r="B383" s="12" t="s">
        <v>6623</v>
      </c>
      <c r="C383" s="12" t="s">
        <v>6624</v>
      </c>
      <c r="D383" s="12" t="s">
        <v>3790</v>
      </c>
      <c r="E383" s="13">
        <v>0</v>
      </c>
      <c r="F383" s="13">
        <v>0</v>
      </c>
      <c r="G383" s="13">
        <v>0</v>
      </c>
      <c r="H383" s="13">
        <v>0</v>
      </c>
      <c r="I383" s="13">
        <v>0</v>
      </c>
      <c r="J383" s="13">
        <v>0</v>
      </c>
      <c r="K383" s="13">
        <v>0</v>
      </c>
      <c r="L383" s="13">
        <v>0</v>
      </c>
      <c r="M383" s="13">
        <v>0</v>
      </c>
      <c r="N383" s="13">
        <v>0</v>
      </c>
      <c r="O383">
        <v>0</v>
      </c>
      <c r="P383">
        <v>0</v>
      </c>
      <c r="Q383" t="str">
        <f t="shared" si="10"/>
        <v/>
      </c>
      <c r="R383" t="str">
        <f t="shared" si="11"/>
        <v/>
      </c>
      <c r="S383" t="str">
        <f>IF(RIGHT(R383,2)="1C",(INDEX(Tables!H:H,MATCH(R383,Tables!G:G,0))),"")</f>
        <v/>
      </c>
    </row>
    <row r="384" spans="1:19">
      <c r="A384" s="12" t="s">
        <v>4682</v>
      </c>
      <c r="B384" s="12" t="s">
        <v>6625</v>
      </c>
      <c r="C384" s="12" t="s">
        <v>6626</v>
      </c>
      <c r="D384" s="12" t="s">
        <v>3790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>
        <v>0</v>
      </c>
      <c r="P384">
        <v>0</v>
      </c>
      <c r="Q384" t="str">
        <f t="shared" si="10"/>
        <v/>
      </c>
      <c r="R384" t="str">
        <f t="shared" si="11"/>
        <v/>
      </c>
      <c r="S384" t="str">
        <f>IF(RIGHT(R384,2)="1C",(INDEX(Tables!H:H,MATCH(R384,Tables!G:G,0))),"")</f>
        <v/>
      </c>
    </row>
    <row r="385" spans="1:19">
      <c r="A385" s="12" t="s">
        <v>4682</v>
      </c>
      <c r="B385" s="12" t="s">
        <v>6627</v>
      </c>
      <c r="C385" s="12" t="s">
        <v>6628</v>
      </c>
      <c r="D385" s="12" t="s">
        <v>3790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>
        <v>0</v>
      </c>
      <c r="P385">
        <v>0</v>
      </c>
      <c r="Q385" t="str">
        <f t="shared" si="10"/>
        <v/>
      </c>
      <c r="R385" t="str">
        <f t="shared" si="11"/>
        <v/>
      </c>
      <c r="S385" t="str">
        <f>IF(RIGHT(R385,2)="1C",(INDEX(Tables!H:H,MATCH(R385,Tables!G:G,0))),"")</f>
        <v/>
      </c>
    </row>
    <row r="386" spans="1:19">
      <c r="A386" s="12" t="s">
        <v>4682</v>
      </c>
      <c r="B386" s="12" t="s">
        <v>6629</v>
      </c>
      <c r="C386" s="12" t="s">
        <v>6630</v>
      </c>
      <c r="D386" s="12" t="s">
        <v>3790</v>
      </c>
      <c r="E386" s="13">
        <v>0</v>
      </c>
      <c r="F386" s="13">
        <v>0</v>
      </c>
      <c r="G386" s="13">
        <v>0</v>
      </c>
      <c r="H386" s="13">
        <v>0</v>
      </c>
      <c r="I386" s="13">
        <v>0</v>
      </c>
      <c r="J386" s="13">
        <v>0</v>
      </c>
      <c r="K386" s="13">
        <v>0</v>
      </c>
      <c r="L386" s="13">
        <v>0</v>
      </c>
      <c r="M386" s="13">
        <v>0</v>
      </c>
      <c r="N386" s="13">
        <v>0</v>
      </c>
      <c r="O386">
        <v>0</v>
      </c>
      <c r="P386">
        <v>0</v>
      </c>
      <c r="Q386" t="str">
        <f t="shared" si="10"/>
        <v/>
      </c>
      <c r="R386" t="str">
        <f t="shared" si="11"/>
        <v/>
      </c>
      <c r="S386" t="str">
        <f>IF(RIGHT(R386,2)="1C",(INDEX(Tables!H:H,MATCH(R386,Tables!G:G,0))),"")</f>
        <v/>
      </c>
    </row>
    <row r="387" spans="1:19">
      <c r="A387" s="12" t="s">
        <v>4682</v>
      </c>
      <c r="B387" s="12" t="s">
        <v>6631</v>
      </c>
      <c r="C387" s="12" t="s">
        <v>6632</v>
      </c>
      <c r="D387" s="12" t="s">
        <v>3790</v>
      </c>
      <c r="E387" s="13">
        <v>0</v>
      </c>
      <c r="F387" s="13">
        <v>0</v>
      </c>
      <c r="G387" s="13">
        <v>0</v>
      </c>
      <c r="H387" s="13">
        <v>0</v>
      </c>
      <c r="I387" s="13">
        <v>0</v>
      </c>
      <c r="J387" s="13">
        <v>0</v>
      </c>
      <c r="K387" s="13">
        <v>0</v>
      </c>
      <c r="L387" s="13">
        <v>0</v>
      </c>
      <c r="M387" s="13">
        <v>0</v>
      </c>
      <c r="N387" s="13">
        <v>0</v>
      </c>
      <c r="O387">
        <v>0</v>
      </c>
      <c r="P387">
        <v>0</v>
      </c>
      <c r="Q387" t="str">
        <f t="shared" si="10"/>
        <v/>
      </c>
      <c r="R387" t="str">
        <f t="shared" si="11"/>
        <v/>
      </c>
      <c r="S387" t="str">
        <f>IF(RIGHT(R387,2)="1C",(INDEX(Tables!H:H,MATCH(R387,Tables!G:G,0))),"")</f>
        <v/>
      </c>
    </row>
    <row r="388" spans="1:19">
      <c r="A388" s="12" t="s">
        <v>4682</v>
      </c>
      <c r="B388" s="12" t="s">
        <v>6633</v>
      </c>
      <c r="C388" s="12" t="s">
        <v>6634</v>
      </c>
      <c r="D388" s="12" t="s">
        <v>3790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3">
        <v>0</v>
      </c>
      <c r="K388" s="13">
        <v>0</v>
      </c>
      <c r="L388" s="13">
        <v>0</v>
      </c>
      <c r="M388" s="13">
        <v>0</v>
      </c>
      <c r="N388" s="13">
        <v>0</v>
      </c>
      <c r="O388">
        <v>0</v>
      </c>
      <c r="P388">
        <v>0</v>
      </c>
      <c r="Q388" t="str">
        <f t="shared" ref="Q388:Q451" si="12">IF(RIGHT(B388,2)="1C",MID(B388,4,5),"")</f>
        <v/>
      </c>
      <c r="R388" t="str">
        <f t="shared" ref="R388:R451" si="13">IF(RIGHT(B388,2)="1C",MID(B388,SEARCH("-",B388,1)+1,6),"")</f>
        <v/>
      </c>
      <c r="S388" t="str">
        <f>IF(RIGHT(R388,2)="1C",(INDEX(Tables!H:H,MATCH(R388,Tables!G:G,0))),"")</f>
        <v/>
      </c>
    </row>
    <row r="389" spans="1:19">
      <c r="A389" s="12" t="s">
        <v>4682</v>
      </c>
      <c r="B389" s="12" t="s">
        <v>6660</v>
      </c>
      <c r="C389" s="12" t="s">
        <v>6661</v>
      </c>
      <c r="D389" s="12" t="s">
        <v>3790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3">
        <v>0</v>
      </c>
      <c r="K389" s="13">
        <v>0</v>
      </c>
      <c r="L389" s="13">
        <v>0</v>
      </c>
      <c r="M389" s="13">
        <v>0</v>
      </c>
      <c r="N389" s="13">
        <v>0</v>
      </c>
      <c r="O389">
        <v>0</v>
      </c>
      <c r="P389">
        <v>0</v>
      </c>
      <c r="Q389" t="str">
        <f t="shared" si="12"/>
        <v/>
      </c>
      <c r="R389" t="str">
        <f t="shared" si="13"/>
        <v/>
      </c>
      <c r="S389" t="str">
        <f>IF(RIGHT(R389,2)="1C",(INDEX(Tables!H:H,MATCH(R389,Tables!G:G,0))),"")</f>
        <v/>
      </c>
    </row>
    <row r="390" spans="1:19">
      <c r="A390" s="12" t="s">
        <v>4682</v>
      </c>
      <c r="B390" s="12" t="s">
        <v>6957</v>
      </c>
      <c r="C390" s="12" t="s">
        <v>6958</v>
      </c>
      <c r="D390" s="12" t="s">
        <v>3790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3">
        <v>0</v>
      </c>
      <c r="K390" s="13">
        <v>0</v>
      </c>
      <c r="L390" s="13">
        <v>0</v>
      </c>
      <c r="M390" s="13">
        <v>0</v>
      </c>
      <c r="N390" s="13">
        <v>0</v>
      </c>
      <c r="O390">
        <v>0</v>
      </c>
      <c r="P390">
        <v>0</v>
      </c>
      <c r="Q390" t="str">
        <f t="shared" si="12"/>
        <v/>
      </c>
      <c r="R390" t="str">
        <f t="shared" si="13"/>
        <v/>
      </c>
      <c r="S390" t="str">
        <f>IF(RIGHT(R390,2)="1C",(INDEX(Tables!H:H,MATCH(R390,Tables!G:G,0))),"")</f>
        <v/>
      </c>
    </row>
    <row r="391" spans="1:19">
      <c r="A391" s="12" t="s">
        <v>4682</v>
      </c>
      <c r="B391" s="12" t="s">
        <v>4919</v>
      </c>
      <c r="C391" s="12" t="s">
        <v>4920</v>
      </c>
      <c r="D391" s="12" t="s">
        <v>3790</v>
      </c>
      <c r="E391" s="13">
        <v>510.1</v>
      </c>
      <c r="F391" s="13">
        <v>510.1</v>
      </c>
      <c r="G391" s="13">
        <v>0</v>
      </c>
      <c r="H391" s="13">
        <v>0</v>
      </c>
      <c r="I391" s="13">
        <v>0</v>
      </c>
      <c r="J391" s="13">
        <v>0</v>
      </c>
      <c r="K391" s="13">
        <v>0</v>
      </c>
      <c r="L391" s="13">
        <v>1695</v>
      </c>
      <c r="M391" s="13">
        <v>0</v>
      </c>
      <c r="N391" s="13">
        <v>0</v>
      </c>
      <c r="O391">
        <v>1695</v>
      </c>
      <c r="P391">
        <v>282.5</v>
      </c>
      <c r="Q391" t="str">
        <f t="shared" si="12"/>
        <v/>
      </c>
      <c r="R391" t="str">
        <f t="shared" si="13"/>
        <v/>
      </c>
      <c r="S391" t="str">
        <f>IF(RIGHT(R391,2)="1C",(INDEX(Tables!H:H,MATCH(R391,Tables!G:G,0))),"")</f>
        <v/>
      </c>
    </row>
    <row r="392" spans="1:19">
      <c r="A392" s="12" t="s">
        <v>4682</v>
      </c>
      <c r="B392" s="12" t="s">
        <v>6786</v>
      </c>
      <c r="C392" s="12" t="s">
        <v>6787</v>
      </c>
      <c r="D392" s="12" t="s">
        <v>3790</v>
      </c>
      <c r="E392" s="13">
        <v>0</v>
      </c>
      <c r="F392" s="13">
        <v>0</v>
      </c>
      <c r="G392" s="13">
        <v>0</v>
      </c>
      <c r="H392" s="13">
        <v>0</v>
      </c>
      <c r="I392" s="13">
        <v>0</v>
      </c>
      <c r="J392" s="13">
        <v>0</v>
      </c>
      <c r="K392" s="13">
        <v>0</v>
      </c>
      <c r="L392" s="13">
        <v>0</v>
      </c>
      <c r="M392" s="13">
        <v>0</v>
      </c>
      <c r="N392" s="13">
        <v>0</v>
      </c>
      <c r="O392">
        <v>0</v>
      </c>
      <c r="P392">
        <v>0</v>
      </c>
      <c r="Q392" t="str">
        <f t="shared" si="12"/>
        <v/>
      </c>
      <c r="R392" t="str">
        <f t="shared" si="13"/>
        <v/>
      </c>
      <c r="S392" t="str">
        <f>IF(RIGHT(R392,2)="1C",(INDEX(Tables!H:H,MATCH(R392,Tables!G:G,0))),"")</f>
        <v/>
      </c>
    </row>
    <row r="393" spans="1:19">
      <c r="A393" s="12" t="s">
        <v>4682</v>
      </c>
      <c r="B393" s="12" t="s">
        <v>6808</v>
      </c>
      <c r="C393" s="12" t="s">
        <v>6809</v>
      </c>
      <c r="D393" s="12" t="s">
        <v>3790</v>
      </c>
      <c r="E393" s="13">
        <v>0</v>
      </c>
      <c r="F393" s="13">
        <v>0</v>
      </c>
      <c r="G393" s="13">
        <v>0</v>
      </c>
      <c r="H393" s="13">
        <v>0</v>
      </c>
      <c r="I393" s="13">
        <v>0</v>
      </c>
      <c r="J393" s="13">
        <v>0</v>
      </c>
      <c r="K393" s="13">
        <v>0</v>
      </c>
      <c r="L393" s="13">
        <v>0</v>
      </c>
      <c r="M393" s="13">
        <v>0</v>
      </c>
      <c r="N393" s="13">
        <v>0</v>
      </c>
      <c r="O393">
        <v>0</v>
      </c>
      <c r="P393">
        <v>0</v>
      </c>
      <c r="Q393" t="str">
        <f t="shared" si="12"/>
        <v/>
      </c>
      <c r="R393" t="str">
        <f t="shared" si="13"/>
        <v/>
      </c>
      <c r="S393" t="str">
        <f>IF(RIGHT(R393,2)="1C",(INDEX(Tables!H:H,MATCH(R393,Tables!G:G,0))),"")</f>
        <v/>
      </c>
    </row>
    <row r="394" spans="1:19">
      <c r="A394" s="12" t="s">
        <v>4682</v>
      </c>
      <c r="B394" s="12" t="s">
        <v>6937</v>
      </c>
      <c r="C394" s="12" t="s">
        <v>6938</v>
      </c>
      <c r="D394" s="12" t="s">
        <v>3790</v>
      </c>
      <c r="E394" s="13">
        <v>0</v>
      </c>
      <c r="F394" s="13">
        <v>0</v>
      </c>
      <c r="G394" s="13">
        <v>0</v>
      </c>
      <c r="H394" s="13">
        <v>0</v>
      </c>
      <c r="I394" s="13"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0</v>
      </c>
      <c r="O394">
        <v>0</v>
      </c>
      <c r="P394">
        <v>0</v>
      </c>
      <c r="Q394" t="str">
        <f t="shared" si="12"/>
        <v/>
      </c>
      <c r="R394" t="str">
        <f t="shared" si="13"/>
        <v/>
      </c>
      <c r="S394" t="str">
        <f>IF(RIGHT(R394,2)="1C",(INDEX(Tables!H:H,MATCH(R394,Tables!G:G,0))),"")</f>
        <v/>
      </c>
    </row>
    <row r="395" spans="1:19">
      <c r="A395" s="12" t="s">
        <v>4682</v>
      </c>
      <c r="B395" s="12" t="s">
        <v>6943</v>
      </c>
      <c r="C395" s="12" t="s">
        <v>6944</v>
      </c>
      <c r="D395" s="12" t="s">
        <v>3790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>
        <v>0</v>
      </c>
      <c r="P395">
        <v>0</v>
      </c>
      <c r="Q395" t="str">
        <f t="shared" si="12"/>
        <v/>
      </c>
      <c r="R395" t="str">
        <f t="shared" si="13"/>
        <v/>
      </c>
      <c r="S395" t="str">
        <f>IF(RIGHT(R395,2)="1C",(INDEX(Tables!H:H,MATCH(R395,Tables!G:G,0))),"")</f>
        <v/>
      </c>
    </row>
    <row r="396" spans="1:19">
      <c r="A396" s="12" t="s">
        <v>4682</v>
      </c>
      <c r="B396" s="12" t="s">
        <v>4949</v>
      </c>
      <c r="C396" s="12" t="s">
        <v>4950</v>
      </c>
      <c r="D396" s="12" t="s">
        <v>3790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460</v>
      </c>
      <c r="K396" s="13">
        <v>0</v>
      </c>
      <c r="L396" s="13">
        <v>1495</v>
      </c>
      <c r="M396" s="13">
        <v>0</v>
      </c>
      <c r="N396" s="13">
        <v>0</v>
      </c>
      <c r="O396">
        <v>1955</v>
      </c>
      <c r="P396">
        <v>325.83300000000003</v>
      </c>
      <c r="Q396" t="str">
        <f t="shared" si="12"/>
        <v/>
      </c>
      <c r="R396" t="str">
        <f t="shared" si="13"/>
        <v/>
      </c>
      <c r="S396" t="str">
        <f>IF(RIGHT(R396,2)="1C",(INDEX(Tables!H:H,MATCH(R396,Tables!G:G,0))),"")</f>
        <v/>
      </c>
    </row>
    <row r="397" spans="1:19">
      <c r="A397" s="12" t="s">
        <v>4682</v>
      </c>
      <c r="B397" s="12" t="s">
        <v>6635</v>
      </c>
      <c r="C397" s="12" t="s">
        <v>6515</v>
      </c>
      <c r="D397" s="12" t="s">
        <v>3790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>
        <v>0</v>
      </c>
      <c r="P397">
        <v>0</v>
      </c>
      <c r="Q397" t="str">
        <f t="shared" si="12"/>
        <v/>
      </c>
      <c r="R397" t="str">
        <f t="shared" si="13"/>
        <v/>
      </c>
      <c r="S397" t="str">
        <f>IF(RIGHT(R397,2)="1C",(INDEX(Tables!H:H,MATCH(R397,Tables!G:G,0))),"")</f>
        <v/>
      </c>
    </row>
    <row r="398" spans="1:19">
      <c r="A398" s="12" t="s">
        <v>4682</v>
      </c>
      <c r="B398" s="12" t="s">
        <v>7159</v>
      </c>
      <c r="C398" s="12" t="s">
        <v>7160</v>
      </c>
      <c r="D398" s="12" t="s">
        <v>3790</v>
      </c>
      <c r="E398" s="13">
        <v>0</v>
      </c>
      <c r="F398" s="13">
        <v>0</v>
      </c>
      <c r="G398" s="13">
        <v>0</v>
      </c>
      <c r="H398" s="13">
        <v>0</v>
      </c>
      <c r="I398" s="13">
        <v>0</v>
      </c>
      <c r="J398" s="13">
        <v>0</v>
      </c>
      <c r="K398" s="13">
        <v>0</v>
      </c>
      <c r="L398" s="13">
        <v>0</v>
      </c>
      <c r="M398" s="13">
        <v>0</v>
      </c>
      <c r="N398" s="13">
        <v>0</v>
      </c>
      <c r="O398">
        <v>0</v>
      </c>
      <c r="P398">
        <v>0</v>
      </c>
      <c r="Q398" t="str">
        <f t="shared" si="12"/>
        <v/>
      </c>
      <c r="R398" t="str">
        <f t="shared" si="13"/>
        <v/>
      </c>
      <c r="S398" t="str">
        <f>IF(RIGHT(R398,2)="1C",(INDEX(Tables!H:H,MATCH(R398,Tables!G:G,0))),"")</f>
        <v/>
      </c>
    </row>
    <row r="399" spans="1:19">
      <c r="A399" s="12" t="s">
        <v>4682</v>
      </c>
      <c r="B399" s="12" t="s">
        <v>7202</v>
      </c>
      <c r="C399" s="12" t="s">
        <v>7203</v>
      </c>
      <c r="D399" s="12" t="s">
        <v>3790</v>
      </c>
      <c r="E399" s="13">
        <v>0</v>
      </c>
      <c r="F399" s="13">
        <v>0</v>
      </c>
      <c r="G399" s="13">
        <v>0</v>
      </c>
      <c r="H399" s="13">
        <v>0</v>
      </c>
      <c r="I399" s="13">
        <v>0</v>
      </c>
      <c r="J399" s="13">
        <v>0</v>
      </c>
      <c r="K399" s="13">
        <v>0</v>
      </c>
      <c r="L399" s="13">
        <v>0</v>
      </c>
      <c r="M399" s="13">
        <v>0</v>
      </c>
      <c r="N399" s="13">
        <v>0</v>
      </c>
      <c r="O399">
        <v>0</v>
      </c>
      <c r="P399">
        <v>0</v>
      </c>
      <c r="Q399" t="str">
        <f t="shared" si="12"/>
        <v/>
      </c>
      <c r="R399" t="str">
        <f t="shared" si="13"/>
        <v/>
      </c>
      <c r="S399" t="str">
        <f>IF(RIGHT(R399,2)="1C",(INDEX(Tables!H:H,MATCH(R399,Tables!G:G,0))),"")</f>
        <v/>
      </c>
    </row>
    <row r="400" spans="1:19">
      <c r="A400" s="12" t="s">
        <v>4682</v>
      </c>
      <c r="B400" s="12" t="s">
        <v>6991</v>
      </c>
      <c r="C400" s="12" t="s">
        <v>6992</v>
      </c>
      <c r="D400" s="12" t="s">
        <v>3790</v>
      </c>
      <c r="E400" s="13">
        <v>0</v>
      </c>
      <c r="F400" s="13">
        <v>0</v>
      </c>
      <c r="G400" s="13">
        <v>0</v>
      </c>
      <c r="H400" s="13">
        <v>0</v>
      </c>
      <c r="I400" s="13">
        <v>0</v>
      </c>
      <c r="J400" s="13">
        <v>0</v>
      </c>
      <c r="K400" s="13">
        <v>0</v>
      </c>
      <c r="L400" s="13">
        <v>0</v>
      </c>
      <c r="M400" s="13">
        <v>0</v>
      </c>
      <c r="N400" s="13">
        <v>0</v>
      </c>
      <c r="O400">
        <v>0</v>
      </c>
      <c r="P400">
        <v>0</v>
      </c>
      <c r="Q400" t="str">
        <f t="shared" si="12"/>
        <v/>
      </c>
      <c r="R400" t="str">
        <f t="shared" si="13"/>
        <v/>
      </c>
      <c r="S400" t="str">
        <f>IF(RIGHT(R400,2)="1C",(INDEX(Tables!H:H,MATCH(R400,Tables!G:G,0))),"")</f>
        <v/>
      </c>
    </row>
    <row r="401" spans="1:19">
      <c r="A401" s="12" t="s">
        <v>4682</v>
      </c>
      <c r="B401" s="12" t="s">
        <v>7204</v>
      </c>
      <c r="C401" s="12" t="s">
        <v>7205</v>
      </c>
      <c r="D401" s="12" t="s">
        <v>3790</v>
      </c>
      <c r="E401" s="13">
        <v>0</v>
      </c>
      <c r="F401" s="13">
        <v>0</v>
      </c>
      <c r="G401" s="13">
        <v>0</v>
      </c>
      <c r="H401" s="13">
        <v>0</v>
      </c>
      <c r="I401" s="13">
        <v>0</v>
      </c>
      <c r="J401" s="13">
        <v>0</v>
      </c>
      <c r="K401" s="13">
        <v>0</v>
      </c>
      <c r="L401" s="13">
        <v>0</v>
      </c>
      <c r="M401" s="13">
        <v>0</v>
      </c>
      <c r="N401" s="13">
        <v>0</v>
      </c>
      <c r="O401">
        <v>0</v>
      </c>
      <c r="P401">
        <v>0</v>
      </c>
      <c r="Q401" t="str">
        <f t="shared" si="12"/>
        <v/>
      </c>
      <c r="R401" t="str">
        <f t="shared" si="13"/>
        <v/>
      </c>
      <c r="S401" t="str">
        <f>IF(RIGHT(R401,2)="1C",(INDEX(Tables!H:H,MATCH(R401,Tables!G:G,0))),"")</f>
        <v/>
      </c>
    </row>
    <row r="402" spans="1:19">
      <c r="A402" s="12" t="s">
        <v>4682</v>
      </c>
      <c r="B402" s="12" t="s">
        <v>7290</v>
      </c>
      <c r="C402" s="12" t="s">
        <v>7291</v>
      </c>
      <c r="D402" s="12" t="s">
        <v>3790</v>
      </c>
      <c r="E402" s="13">
        <v>0</v>
      </c>
      <c r="F402" s="13">
        <v>0</v>
      </c>
      <c r="G402" s="13">
        <v>0</v>
      </c>
      <c r="H402" s="13">
        <v>0</v>
      </c>
      <c r="I402" s="13">
        <v>0</v>
      </c>
      <c r="J402" s="13">
        <v>0</v>
      </c>
      <c r="K402" s="13">
        <v>0</v>
      </c>
      <c r="L402" s="13">
        <v>0</v>
      </c>
      <c r="M402" s="13">
        <v>0</v>
      </c>
      <c r="N402" s="13">
        <v>0</v>
      </c>
      <c r="O402">
        <v>0</v>
      </c>
      <c r="P402">
        <v>0</v>
      </c>
      <c r="Q402" t="str">
        <f t="shared" si="12"/>
        <v/>
      </c>
      <c r="R402" t="str">
        <f t="shared" si="13"/>
        <v/>
      </c>
      <c r="S402" t="str">
        <f>IF(RIGHT(R402,2)="1C",(INDEX(Tables!H:H,MATCH(R402,Tables!G:G,0))),"")</f>
        <v/>
      </c>
    </row>
    <row r="403" spans="1:19">
      <c r="A403" s="12" t="s">
        <v>4682</v>
      </c>
      <c r="B403" s="12" t="s">
        <v>6816</v>
      </c>
      <c r="C403" s="12" t="s">
        <v>6817</v>
      </c>
      <c r="D403" s="12" t="s">
        <v>3790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>
        <v>0</v>
      </c>
      <c r="P403">
        <v>0</v>
      </c>
      <c r="Q403" t="str">
        <f t="shared" si="12"/>
        <v/>
      </c>
      <c r="R403" t="str">
        <f t="shared" si="13"/>
        <v/>
      </c>
      <c r="S403" t="str">
        <f>IF(RIGHT(R403,2)="1C",(INDEX(Tables!H:H,MATCH(R403,Tables!G:G,0))),"")</f>
        <v/>
      </c>
    </row>
    <row r="404" spans="1:19">
      <c r="A404" s="12" t="s">
        <v>4682</v>
      </c>
      <c r="B404" s="12" t="s">
        <v>6636</v>
      </c>
      <c r="C404" s="12" t="s">
        <v>6637</v>
      </c>
      <c r="D404" s="12" t="s">
        <v>3790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>
        <v>0</v>
      </c>
      <c r="P404">
        <v>0</v>
      </c>
      <c r="Q404" t="str">
        <f t="shared" si="12"/>
        <v/>
      </c>
      <c r="R404" t="str">
        <f t="shared" si="13"/>
        <v/>
      </c>
      <c r="S404" t="str">
        <f>IF(RIGHT(R404,2)="1C",(INDEX(Tables!H:H,MATCH(R404,Tables!G:G,0))),"")</f>
        <v/>
      </c>
    </row>
    <row r="405" spans="1:19">
      <c r="A405" s="12" t="s">
        <v>4682</v>
      </c>
      <c r="B405" s="12" t="s">
        <v>7292</v>
      </c>
      <c r="C405" s="12" t="s">
        <v>7293</v>
      </c>
      <c r="D405" s="12" t="s">
        <v>3790</v>
      </c>
      <c r="E405" s="13">
        <v>0</v>
      </c>
      <c r="F405" s="13">
        <v>0</v>
      </c>
      <c r="G405" s="13">
        <v>0</v>
      </c>
      <c r="H405" s="13">
        <v>0</v>
      </c>
      <c r="I405" s="13">
        <v>0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>
        <v>0</v>
      </c>
      <c r="P405">
        <v>0</v>
      </c>
      <c r="Q405" t="str">
        <f t="shared" si="12"/>
        <v/>
      </c>
      <c r="R405" t="str">
        <f t="shared" si="13"/>
        <v/>
      </c>
      <c r="S405" t="str">
        <f>IF(RIGHT(R405,2)="1C",(INDEX(Tables!H:H,MATCH(R405,Tables!G:G,0))),"")</f>
        <v/>
      </c>
    </row>
    <row r="406" spans="1:19">
      <c r="A406" s="12" t="s">
        <v>4682</v>
      </c>
      <c r="B406" s="12" t="s">
        <v>6638</v>
      </c>
      <c r="C406" s="12" t="s">
        <v>6639</v>
      </c>
      <c r="D406" s="12" t="s">
        <v>3790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>
        <v>0</v>
      </c>
      <c r="P406">
        <v>0</v>
      </c>
      <c r="Q406" t="str">
        <f t="shared" si="12"/>
        <v/>
      </c>
      <c r="R406" t="str">
        <f t="shared" si="13"/>
        <v/>
      </c>
      <c r="S406" t="str">
        <f>IF(RIGHT(R406,2)="1C",(INDEX(Tables!H:H,MATCH(R406,Tables!G:G,0))),"")</f>
        <v/>
      </c>
    </row>
    <row r="407" spans="1:19">
      <c r="A407" s="12" t="s">
        <v>4682</v>
      </c>
      <c r="B407" s="12" t="s">
        <v>6640</v>
      </c>
      <c r="C407" s="12" t="s">
        <v>6641</v>
      </c>
      <c r="D407" s="12" t="s">
        <v>3790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>
        <v>0</v>
      </c>
      <c r="P407">
        <v>0</v>
      </c>
      <c r="Q407" t="str">
        <f t="shared" si="12"/>
        <v/>
      </c>
      <c r="R407" t="str">
        <f t="shared" si="13"/>
        <v/>
      </c>
      <c r="S407" t="str">
        <f>IF(RIGHT(R407,2)="1C",(INDEX(Tables!H:H,MATCH(R407,Tables!G:G,0))),"")</f>
        <v/>
      </c>
    </row>
    <row r="408" spans="1:19">
      <c r="A408" s="12" t="s">
        <v>4682</v>
      </c>
      <c r="B408" s="12" t="s">
        <v>6907</v>
      </c>
      <c r="C408" s="12" t="s">
        <v>6908</v>
      </c>
      <c r="D408" s="12" t="s">
        <v>3790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>
        <v>0</v>
      </c>
      <c r="P408">
        <v>0</v>
      </c>
      <c r="Q408" t="str">
        <f t="shared" si="12"/>
        <v>SW890</v>
      </c>
      <c r="R408" t="str">
        <f t="shared" si="13"/>
        <v>CIM1C</v>
      </c>
      <c r="S408">
        <f>IF(RIGHT(R408,2)="1C",(INDEX(Tables!H:H,MATCH(R408,Tables!G:G,0))),"")</f>
        <v>50</v>
      </c>
    </row>
    <row r="409" spans="1:19">
      <c r="A409" s="12" t="s">
        <v>4682</v>
      </c>
      <c r="B409" s="12" t="s">
        <v>6642</v>
      </c>
      <c r="C409" s="12" t="s">
        <v>6643</v>
      </c>
      <c r="D409" s="12" t="s">
        <v>3790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>
        <v>0</v>
      </c>
      <c r="P409">
        <v>0</v>
      </c>
      <c r="Q409" t="str">
        <f t="shared" si="12"/>
        <v/>
      </c>
      <c r="R409" t="str">
        <f t="shared" si="13"/>
        <v/>
      </c>
      <c r="S409" t="str">
        <f>IF(RIGHT(R409,2)="1C",(INDEX(Tables!H:H,MATCH(R409,Tables!G:G,0))),"")</f>
        <v/>
      </c>
    </row>
    <row r="410" spans="1:19">
      <c r="A410" s="12" t="s">
        <v>4682</v>
      </c>
      <c r="B410" s="12" t="s">
        <v>4813</v>
      </c>
      <c r="C410" s="12" t="s">
        <v>4814</v>
      </c>
      <c r="D410" s="12" t="s">
        <v>3790</v>
      </c>
      <c r="E410" s="13">
        <v>0</v>
      </c>
      <c r="F410" s="13">
        <v>0</v>
      </c>
      <c r="G410" s="13">
        <v>0</v>
      </c>
      <c r="H410" s="13">
        <v>0</v>
      </c>
      <c r="I410" s="13">
        <v>0</v>
      </c>
      <c r="J410" s="13">
        <v>0</v>
      </c>
      <c r="K410" s="13">
        <v>0</v>
      </c>
      <c r="L410" s="13">
        <v>0</v>
      </c>
      <c r="M410" s="13">
        <v>0</v>
      </c>
      <c r="N410" s="13">
        <v>0</v>
      </c>
      <c r="O410">
        <v>0</v>
      </c>
      <c r="P410">
        <v>0</v>
      </c>
      <c r="Q410" t="str">
        <f t="shared" si="12"/>
        <v/>
      </c>
      <c r="R410" t="str">
        <f t="shared" si="13"/>
        <v/>
      </c>
      <c r="S410" t="str">
        <f>IF(RIGHT(R410,2)="1C",(INDEX(Tables!H:H,MATCH(R410,Tables!G:G,0))),"")</f>
        <v/>
      </c>
    </row>
    <row r="411" spans="1:19">
      <c r="A411" s="12" t="s">
        <v>4682</v>
      </c>
      <c r="B411" s="12" t="s">
        <v>7412</v>
      </c>
      <c r="C411" s="12" t="s">
        <v>7413</v>
      </c>
      <c r="D411" s="12" t="s">
        <v>3790</v>
      </c>
      <c r="E411" s="13">
        <v>0</v>
      </c>
      <c r="F411" s="13">
        <v>0</v>
      </c>
      <c r="G411" s="13">
        <v>0</v>
      </c>
      <c r="H411" s="13">
        <v>0</v>
      </c>
      <c r="I411" s="13">
        <v>0</v>
      </c>
      <c r="J411" s="13">
        <v>0</v>
      </c>
      <c r="K411" s="13">
        <v>1325</v>
      </c>
      <c r="L411" s="13">
        <v>0</v>
      </c>
      <c r="M411" s="13">
        <v>0</v>
      </c>
      <c r="N411" s="13">
        <v>0</v>
      </c>
      <c r="O411">
        <v>1325</v>
      </c>
      <c r="P411">
        <v>220.833</v>
      </c>
      <c r="Q411" t="str">
        <f t="shared" si="12"/>
        <v/>
      </c>
      <c r="R411" t="str">
        <f t="shared" si="13"/>
        <v/>
      </c>
      <c r="S411" t="str">
        <f>IF(RIGHT(R411,2)="1C",(INDEX(Tables!H:H,MATCH(R411,Tables!G:G,0))),"")</f>
        <v/>
      </c>
    </row>
    <row r="412" spans="1:19">
      <c r="A412" s="12" t="s">
        <v>4682</v>
      </c>
      <c r="B412" s="12" t="s">
        <v>6644</v>
      </c>
      <c r="C412" s="12" t="s">
        <v>6645</v>
      </c>
      <c r="D412" s="12" t="s">
        <v>3790</v>
      </c>
      <c r="E412" s="13">
        <v>0</v>
      </c>
      <c r="F412" s="13">
        <v>0</v>
      </c>
      <c r="G412" s="13">
        <v>0</v>
      </c>
      <c r="H412" s="13">
        <v>0</v>
      </c>
      <c r="I412" s="13">
        <v>0</v>
      </c>
      <c r="J412" s="13">
        <v>0</v>
      </c>
      <c r="K412" s="13">
        <v>0</v>
      </c>
      <c r="L412" s="13">
        <v>0</v>
      </c>
      <c r="M412" s="13">
        <v>0</v>
      </c>
      <c r="N412" s="13">
        <v>0</v>
      </c>
      <c r="O412">
        <v>0</v>
      </c>
      <c r="P412">
        <v>0</v>
      </c>
      <c r="Q412" t="str">
        <f t="shared" si="12"/>
        <v/>
      </c>
      <c r="R412" t="str">
        <f t="shared" si="13"/>
        <v/>
      </c>
      <c r="S412" t="str">
        <f>IF(RIGHT(R412,2)="1C",(INDEX(Tables!H:H,MATCH(R412,Tables!G:G,0))),"")</f>
        <v/>
      </c>
    </row>
    <row r="413" spans="1:19">
      <c r="A413" s="12" t="s">
        <v>4682</v>
      </c>
      <c r="B413" s="12" t="s">
        <v>6646</v>
      </c>
      <c r="C413" s="12" t="s">
        <v>6647</v>
      </c>
      <c r="D413" s="12" t="s">
        <v>3790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>
        <v>0</v>
      </c>
      <c r="P413">
        <v>0</v>
      </c>
      <c r="Q413" t="str">
        <f t="shared" si="12"/>
        <v/>
      </c>
      <c r="R413" t="str">
        <f t="shared" si="13"/>
        <v/>
      </c>
      <c r="S413" t="str">
        <f>IF(RIGHT(R413,2)="1C",(INDEX(Tables!H:H,MATCH(R413,Tables!G:G,0))),"")</f>
        <v/>
      </c>
    </row>
    <row r="414" spans="1:19">
      <c r="A414" s="12" t="s">
        <v>4682</v>
      </c>
      <c r="B414" s="12" t="s">
        <v>6893</v>
      </c>
      <c r="C414" s="12" t="s">
        <v>6894</v>
      </c>
      <c r="D414" s="12" t="s">
        <v>3790</v>
      </c>
      <c r="E414" s="13">
        <v>0</v>
      </c>
      <c r="F414" s="13">
        <v>0</v>
      </c>
      <c r="G414" s="13">
        <v>0</v>
      </c>
      <c r="H414" s="13">
        <v>0</v>
      </c>
      <c r="I414" s="13">
        <v>0</v>
      </c>
      <c r="J414" s="13">
        <v>0</v>
      </c>
      <c r="K414" s="13">
        <v>0</v>
      </c>
      <c r="L414" s="13">
        <v>0</v>
      </c>
      <c r="M414" s="13">
        <v>0</v>
      </c>
      <c r="N414" s="13">
        <v>0</v>
      </c>
      <c r="O414">
        <v>0</v>
      </c>
      <c r="P414">
        <v>0</v>
      </c>
      <c r="Q414" t="str">
        <f t="shared" si="12"/>
        <v/>
      </c>
      <c r="R414" t="str">
        <f t="shared" si="13"/>
        <v/>
      </c>
      <c r="S414" t="str">
        <f>IF(RIGHT(R414,2)="1C",(INDEX(Tables!H:H,MATCH(R414,Tables!G:G,0))),"")</f>
        <v/>
      </c>
    </row>
    <row r="415" spans="1:19">
      <c r="A415" s="12" t="s">
        <v>4682</v>
      </c>
      <c r="B415" s="12" t="s">
        <v>6648</v>
      </c>
      <c r="C415" s="12" t="s">
        <v>6649</v>
      </c>
      <c r="D415" s="12" t="s">
        <v>3790</v>
      </c>
      <c r="E415" s="13">
        <v>0</v>
      </c>
      <c r="F415" s="13">
        <v>0</v>
      </c>
      <c r="G415" s="13">
        <v>0</v>
      </c>
      <c r="H415" s="13">
        <v>0</v>
      </c>
      <c r="I415" s="13">
        <v>0</v>
      </c>
      <c r="J415" s="13">
        <v>0</v>
      </c>
      <c r="K415" s="13">
        <v>0</v>
      </c>
      <c r="L415" s="13">
        <v>0</v>
      </c>
      <c r="M415" s="13">
        <v>0</v>
      </c>
      <c r="N415" s="13">
        <v>0</v>
      </c>
      <c r="O415">
        <v>0</v>
      </c>
      <c r="P415">
        <v>0</v>
      </c>
      <c r="Q415" t="str">
        <f t="shared" si="12"/>
        <v/>
      </c>
      <c r="R415" t="str">
        <f t="shared" si="13"/>
        <v/>
      </c>
      <c r="S415" t="str">
        <f>IF(RIGHT(R415,2)="1C",(INDEX(Tables!H:H,MATCH(R415,Tables!G:G,0))),"")</f>
        <v/>
      </c>
    </row>
    <row r="416" spans="1:19">
      <c r="A416" s="12" t="s">
        <v>4682</v>
      </c>
      <c r="B416" s="12" t="s">
        <v>6650</v>
      </c>
      <c r="C416" s="12" t="s">
        <v>6651</v>
      </c>
      <c r="D416" s="12" t="s">
        <v>3790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3">
        <v>0</v>
      </c>
      <c r="K416" s="13">
        <v>0</v>
      </c>
      <c r="L416" s="13">
        <v>0</v>
      </c>
      <c r="M416" s="13">
        <v>0</v>
      </c>
      <c r="N416" s="13">
        <v>0</v>
      </c>
      <c r="O416">
        <v>0</v>
      </c>
      <c r="P416">
        <v>0</v>
      </c>
      <c r="Q416" t="str">
        <f t="shared" si="12"/>
        <v/>
      </c>
      <c r="R416" t="str">
        <f t="shared" si="13"/>
        <v/>
      </c>
      <c r="S416" t="str">
        <f>IF(RIGHT(R416,2)="1C",(INDEX(Tables!H:H,MATCH(R416,Tables!G:G,0))),"")</f>
        <v/>
      </c>
    </row>
    <row r="417" spans="1:19">
      <c r="A417" s="12" t="s">
        <v>4682</v>
      </c>
      <c r="B417" s="12" t="s">
        <v>6652</v>
      </c>
      <c r="C417" s="12" t="s">
        <v>6653</v>
      </c>
      <c r="D417" s="12" t="s">
        <v>3790</v>
      </c>
      <c r="E417" s="13">
        <v>0</v>
      </c>
      <c r="F417" s="13">
        <v>0</v>
      </c>
      <c r="G417" s="13">
        <v>0</v>
      </c>
      <c r="H417" s="13">
        <v>0</v>
      </c>
      <c r="I417" s="13">
        <v>0</v>
      </c>
      <c r="J417" s="13">
        <v>0</v>
      </c>
      <c r="K417" s="13">
        <v>0</v>
      </c>
      <c r="L417" s="13">
        <v>0</v>
      </c>
      <c r="M417" s="13">
        <v>0</v>
      </c>
      <c r="N417" s="13">
        <v>0</v>
      </c>
      <c r="O417">
        <v>0</v>
      </c>
      <c r="P417">
        <v>0</v>
      </c>
      <c r="Q417" t="str">
        <f t="shared" si="12"/>
        <v/>
      </c>
      <c r="R417" t="str">
        <f t="shared" si="13"/>
        <v/>
      </c>
      <c r="S417" t="str">
        <f>IF(RIGHT(R417,2)="1C",(INDEX(Tables!H:H,MATCH(R417,Tables!G:G,0))),"")</f>
        <v/>
      </c>
    </row>
    <row r="418" spans="1:19">
      <c r="A418" s="12" t="s">
        <v>4682</v>
      </c>
      <c r="B418" s="12" t="s">
        <v>6556</v>
      </c>
      <c r="C418" s="12" t="s">
        <v>6557</v>
      </c>
      <c r="D418" s="12" t="s">
        <v>3790</v>
      </c>
      <c r="E418" s="13">
        <v>0</v>
      </c>
      <c r="F418" s="13">
        <v>0</v>
      </c>
      <c r="G418" s="13">
        <v>0</v>
      </c>
      <c r="H418" s="13">
        <v>0</v>
      </c>
      <c r="I418" s="13">
        <v>0</v>
      </c>
      <c r="J418" s="13">
        <v>0</v>
      </c>
      <c r="K418" s="13">
        <v>0</v>
      </c>
      <c r="L418" s="13">
        <v>0</v>
      </c>
      <c r="M418" s="13">
        <v>0</v>
      </c>
      <c r="N418" s="13">
        <v>0</v>
      </c>
      <c r="O418">
        <v>0</v>
      </c>
      <c r="P418">
        <v>0</v>
      </c>
      <c r="Q418" t="str">
        <f t="shared" si="12"/>
        <v/>
      </c>
      <c r="R418" t="str">
        <f t="shared" si="13"/>
        <v/>
      </c>
      <c r="S418" t="str">
        <f>IF(RIGHT(R418,2)="1C",(INDEX(Tables!H:H,MATCH(R418,Tables!G:G,0))),"")</f>
        <v/>
      </c>
    </row>
    <row r="419" spans="1:19">
      <c r="A419" s="12" t="s">
        <v>4682</v>
      </c>
      <c r="B419" s="12" t="s">
        <v>5141</v>
      </c>
      <c r="C419" s="12" t="s">
        <v>5142</v>
      </c>
      <c r="D419" s="12" t="s">
        <v>3790</v>
      </c>
      <c r="E419" s="13">
        <v>2499</v>
      </c>
      <c r="F419" s="13">
        <v>2499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4751</v>
      </c>
      <c r="M419" s="13">
        <v>4578</v>
      </c>
      <c r="N419" s="13">
        <v>0</v>
      </c>
      <c r="O419">
        <v>9329</v>
      </c>
      <c r="P419">
        <v>1554.83</v>
      </c>
      <c r="Q419" t="str">
        <f t="shared" si="12"/>
        <v>WA001</v>
      </c>
      <c r="R419" t="str">
        <f t="shared" si="13"/>
        <v>CIM1C</v>
      </c>
      <c r="S419">
        <f>IF(RIGHT(R419,2)="1C",(INDEX(Tables!H:H,MATCH(R419,Tables!G:G,0))),"")</f>
        <v>50</v>
      </c>
    </row>
    <row r="420" spans="1:19">
      <c r="A420" s="12" t="s">
        <v>4682</v>
      </c>
      <c r="B420" s="12" t="s">
        <v>7131</v>
      </c>
      <c r="C420" s="12" t="s">
        <v>7132</v>
      </c>
      <c r="D420" s="12" t="s">
        <v>3790</v>
      </c>
      <c r="E420" s="13">
        <v>0</v>
      </c>
      <c r="F420" s="13">
        <v>0</v>
      </c>
      <c r="G420" s="13">
        <v>0</v>
      </c>
      <c r="H420" s="13">
        <v>0</v>
      </c>
      <c r="I420" s="13">
        <v>0</v>
      </c>
      <c r="J420" s="13">
        <v>0</v>
      </c>
      <c r="K420" s="13">
        <v>0</v>
      </c>
      <c r="L420" s="13">
        <v>0</v>
      </c>
      <c r="M420" s="13">
        <v>0</v>
      </c>
      <c r="N420" s="13">
        <v>0</v>
      </c>
      <c r="O420">
        <v>0</v>
      </c>
      <c r="P420">
        <v>0</v>
      </c>
      <c r="Q420" t="str">
        <f t="shared" si="12"/>
        <v>WA001</v>
      </c>
      <c r="R420" t="str">
        <f t="shared" si="13"/>
        <v>CMZ1C</v>
      </c>
      <c r="S420">
        <f>IF(RIGHT(R420,2)="1C",(INDEX(Tables!H:H,MATCH(R420,Tables!G:G,0))),"")</f>
        <v>62</v>
      </c>
    </row>
    <row r="421" spans="1:19">
      <c r="A421" s="12" t="s">
        <v>4682</v>
      </c>
      <c r="B421" s="12" t="s">
        <v>6824</v>
      </c>
      <c r="C421" s="12" t="s">
        <v>6825</v>
      </c>
      <c r="D421" s="12" t="s">
        <v>3790</v>
      </c>
      <c r="E421" s="13">
        <v>0</v>
      </c>
      <c r="F421" s="13">
        <v>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>
        <v>0</v>
      </c>
      <c r="P421">
        <v>0</v>
      </c>
      <c r="Q421" t="str">
        <f t="shared" si="12"/>
        <v>WA011</v>
      </c>
      <c r="R421" t="str">
        <f t="shared" si="13"/>
        <v>CIM1C</v>
      </c>
      <c r="S421">
        <f>IF(RIGHT(R421,2)="1C",(INDEX(Tables!H:H,MATCH(R421,Tables!G:G,0))),"")</f>
        <v>50</v>
      </c>
    </row>
    <row r="422" spans="1:19">
      <c r="A422" s="12" t="s">
        <v>4682</v>
      </c>
      <c r="B422" s="12" t="s">
        <v>5115</v>
      </c>
      <c r="C422" s="12" t="s">
        <v>5116</v>
      </c>
      <c r="D422" s="12" t="s">
        <v>3790</v>
      </c>
      <c r="E422" s="13">
        <v>1094.8</v>
      </c>
      <c r="F422" s="13">
        <v>1094.8</v>
      </c>
      <c r="G422" s="13">
        <v>0</v>
      </c>
      <c r="H422" s="13">
        <v>0</v>
      </c>
      <c r="I422" s="13">
        <v>0</v>
      </c>
      <c r="J422" s="13">
        <v>0</v>
      </c>
      <c r="K422" s="13">
        <v>1114</v>
      </c>
      <c r="L422" s="13">
        <v>1679</v>
      </c>
      <c r="M422" s="13">
        <v>3426</v>
      </c>
      <c r="N422" s="13">
        <v>0</v>
      </c>
      <c r="O422">
        <v>6219</v>
      </c>
      <c r="P422">
        <v>1036.5</v>
      </c>
      <c r="Q422" t="str">
        <f t="shared" si="12"/>
        <v>WA030</v>
      </c>
      <c r="R422" t="str">
        <f t="shared" si="13"/>
        <v>CIM1C</v>
      </c>
      <c r="S422">
        <f>IF(RIGHT(R422,2)="1C",(INDEX(Tables!H:H,MATCH(R422,Tables!G:G,0))),"")</f>
        <v>50</v>
      </c>
    </row>
    <row r="423" spans="1:19">
      <c r="A423" s="12" t="s">
        <v>4682</v>
      </c>
      <c r="B423" s="12" t="s">
        <v>4909</v>
      </c>
      <c r="C423" s="12" t="s">
        <v>4910</v>
      </c>
      <c r="D423" s="12" t="s">
        <v>3790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0</v>
      </c>
      <c r="K423" s="13">
        <v>0</v>
      </c>
      <c r="L423" s="13">
        <v>0</v>
      </c>
      <c r="M423" s="13">
        <v>1609</v>
      </c>
      <c r="N423" s="13">
        <v>0</v>
      </c>
      <c r="O423">
        <v>1609</v>
      </c>
      <c r="P423">
        <v>268.166</v>
      </c>
      <c r="Q423" t="str">
        <f t="shared" si="12"/>
        <v>WA030</v>
      </c>
      <c r="R423" t="str">
        <f t="shared" si="13"/>
        <v>CMZ1C</v>
      </c>
      <c r="S423">
        <f>IF(RIGHT(R423,2)="1C",(INDEX(Tables!H:H,MATCH(R423,Tables!G:G,0))),"")</f>
        <v>62</v>
      </c>
    </row>
    <row r="424" spans="1:19">
      <c r="A424" s="12" t="s">
        <v>4682</v>
      </c>
      <c r="B424" s="12" t="s">
        <v>4875</v>
      </c>
      <c r="C424" s="12" t="s">
        <v>4876</v>
      </c>
      <c r="D424" s="12" t="s">
        <v>3790</v>
      </c>
      <c r="E424" s="13">
        <v>0</v>
      </c>
      <c r="F424" s="13">
        <v>0</v>
      </c>
      <c r="G424" s="13">
        <v>0</v>
      </c>
      <c r="H424" s="13">
        <v>0</v>
      </c>
      <c r="I424" s="13">
        <v>1638</v>
      </c>
      <c r="J424" s="13">
        <v>2926</v>
      </c>
      <c r="K424" s="13">
        <v>1163</v>
      </c>
      <c r="L424" s="13">
        <v>0</v>
      </c>
      <c r="M424" s="13">
        <v>0</v>
      </c>
      <c r="N424" s="13">
        <v>0</v>
      </c>
      <c r="O424">
        <v>5727</v>
      </c>
      <c r="P424">
        <v>954.5</v>
      </c>
      <c r="Q424" t="str">
        <f t="shared" si="12"/>
        <v>WA090</v>
      </c>
      <c r="R424" t="str">
        <f t="shared" si="13"/>
        <v>CIM1C</v>
      </c>
      <c r="S424">
        <f>IF(RIGHT(R424,2)="1C",(INDEX(Tables!H:H,MATCH(R424,Tables!G:G,0))),"")</f>
        <v>50</v>
      </c>
    </row>
    <row r="425" spans="1:19">
      <c r="A425" s="12" t="s">
        <v>4682</v>
      </c>
      <c r="B425" s="12" t="s">
        <v>7174</v>
      </c>
      <c r="C425" s="12" t="s">
        <v>7175</v>
      </c>
      <c r="D425" s="12" t="s">
        <v>3790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>
        <v>0</v>
      </c>
      <c r="P425">
        <v>0</v>
      </c>
      <c r="Q425" t="str">
        <f t="shared" si="12"/>
        <v>WA090</v>
      </c>
      <c r="R425" t="str">
        <f t="shared" si="13"/>
        <v>CMZ1C</v>
      </c>
      <c r="S425">
        <f>IF(RIGHT(R425,2)="1C",(INDEX(Tables!H:H,MATCH(R425,Tables!G:G,0))),"")</f>
        <v>62</v>
      </c>
    </row>
    <row r="426" spans="1:19">
      <c r="A426" s="12" t="s">
        <v>4682</v>
      </c>
      <c r="B426" s="12" t="s">
        <v>5079</v>
      </c>
      <c r="C426" s="12" t="s">
        <v>5080</v>
      </c>
      <c r="D426" s="12" t="s">
        <v>3790</v>
      </c>
      <c r="E426" s="13">
        <v>4202.92</v>
      </c>
      <c r="F426" s="13">
        <v>4202.92</v>
      </c>
      <c r="G426" s="13">
        <v>0</v>
      </c>
      <c r="H426" s="13">
        <v>0</v>
      </c>
      <c r="I426" s="13">
        <v>2620.8000000000002</v>
      </c>
      <c r="J426" s="13">
        <v>2989</v>
      </c>
      <c r="K426" s="13">
        <v>6126</v>
      </c>
      <c r="L426" s="13">
        <v>1778</v>
      </c>
      <c r="M426" s="13">
        <v>0</v>
      </c>
      <c r="N426" s="13">
        <v>1352</v>
      </c>
      <c r="O426">
        <v>14865.8</v>
      </c>
      <c r="P426">
        <v>2477.63</v>
      </c>
      <c r="Q426" t="str">
        <f t="shared" si="12"/>
        <v>WA110</v>
      </c>
      <c r="R426" t="str">
        <f t="shared" si="13"/>
        <v>CIM1C</v>
      </c>
      <c r="S426">
        <f>IF(RIGHT(R426,2)="1C",(INDEX(Tables!H:H,MATCH(R426,Tables!G:G,0))),"")</f>
        <v>50</v>
      </c>
    </row>
    <row r="427" spans="1:19">
      <c r="A427" s="12" t="s">
        <v>4682</v>
      </c>
      <c r="B427" s="12" t="s">
        <v>6911</v>
      </c>
      <c r="C427" s="12" t="s">
        <v>6912</v>
      </c>
      <c r="D427" s="12" t="s">
        <v>3790</v>
      </c>
      <c r="E427" s="13">
        <v>0</v>
      </c>
      <c r="F427" s="13">
        <v>0</v>
      </c>
      <c r="G427" s="13">
        <v>0</v>
      </c>
      <c r="H427" s="13">
        <v>0</v>
      </c>
      <c r="I427" s="13">
        <v>0</v>
      </c>
      <c r="J427" s="13">
        <v>0</v>
      </c>
      <c r="K427" s="13">
        <v>0</v>
      </c>
      <c r="L427" s="13">
        <v>0</v>
      </c>
      <c r="M427" s="13">
        <v>0</v>
      </c>
      <c r="N427" s="13">
        <v>0</v>
      </c>
      <c r="O427">
        <v>0</v>
      </c>
      <c r="P427">
        <v>0</v>
      </c>
      <c r="Q427" t="str">
        <f t="shared" si="12"/>
        <v>WA110</v>
      </c>
      <c r="R427" t="str">
        <f t="shared" si="13"/>
        <v>CMZ1C</v>
      </c>
      <c r="S427">
        <f>IF(RIGHT(R427,2)="1C",(INDEX(Tables!H:H,MATCH(R427,Tables!G:G,0))),"")</f>
        <v>62</v>
      </c>
    </row>
    <row r="428" spans="1:19">
      <c r="A428" s="12" t="s">
        <v>4682</v>
      </c>
      <c r="B428" s="12" t="s">
        <v>5127</v>
      </c>
      <c r="C428" s="12" t="s">
        <v>5128</v>
      </c>
      <c r="D428" s="12" t="s">
        <v>3790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8002</v>
      </c>
      <c r="N428" s="13">
        <v>0</v>
      </c>
      <c r="O428">
        <v>8002</v>
      </c>
      <c r="P428">
        <v>1333.66</v>
      </c>
      <c r="Q428" t="str">
        <f t="shared" si="12"/>
        <v>WA120</v>
      </c>
      <c r="R428" t="str">
        <f t="shared" si="13"/>
        <v>CIM1C</v>
      </c>
      <c r="S428">
        <f>IF(RIGHT(R428,2)="1C",(INDEX(Tables!H:H,MATCH(R428,Tables!G:G,0))),"")</f>
        <v>50</v>
      </c>
    </row>
    <row r="429" spans="1:19">
      <c r="A429" s="12" t="s">
        <v>4682</v>
      </c>
      <c r="B429" s="12" t="s">
        <v>4869</v>
      </c>
      <c r="C429" s="12" t="s">
        <v>4870</v>
      </c>
      <c r="D429" s="12" t="s">
        <v>3790</v>
      </c>
      <c r="E429" s="13">
        <v>5200</v>
      </c>
      <c r="F429" s="13">
        <v>5200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1253</v>
      </c>
      <c r="O429">
        <v>1253</v>
      </c>
      <c r="P429">
        <v>208.833</v>
      </c>
      <c r="Q429" t="str">
        <f t="shared" si="12"/>
        <v>WA120</v>
      </c>
      <c r="R429" t="str">
        <f t="shared" si="13"/>
        <v>CMZ1C</v>
      </c>
      <c r="S429">
        <f>IF(RIGHT(R429,2)="1C",(INDEX(Tables!H:H,MATCH(R429,Tables!G:G,0))),"")</f>
        <v>62</v>
      </c>
    </row>
    <row r="430" spans="1:19">
      <c r="A430" s="12" t="s">
        <v>4682</v>
      </c>
      <c r="B430" s="12" t="s">
        <v>6658</v>
      </c>
      <c r="C430" s="12" t="s">
        <v>6659</v>
      </c>
      <c r="D430" s="12" t="s">
        <v>3790</v>
      </c>
      <c r="E430" s="13">
        <v>0</v>
      </c>
      <c r="F430" s="13">
        <v>0</v>
      </c>
      <c r="G430" s="13">
        <v>0</v>
      </c>
      <c r="H430" s="13">
        <v>0</v>
      </c>
      <c r="I430" s="13">
        <v>0</v>
      </c>
      <c r="J430" s="13">
        <v>0</v>
      </c>
      <c r="K430" s="13">
        <v>0</v>
      </c>
      <c r="L430" s="13">
        <v>0</v>
      </c>
      <c r="M430" s="13">
        <v>0</v>
      </c>
      <c r="N430" s="13">
        <v>0</v>
      </c>
      <c r="O430">
        <v>0</v>
      </c>
      <c r="P430">
        <v>0</v>
      </c>
      <c r="Q430" t="str">
        <f t="shared" si="12"/>
        <v/>
      </c>
      <c r="R430" t="str">
        <f t="shared" si="13"/>
        <v/>
      </c>
      <c r="S430" t="str">
        <f>IF(RIGHT(R430,2)="1C",(INDEX(Tables!H:H,MATCH(R430,Tables!G:G,0))),"")</f>
        <v/>
      </c>
    </row>
    <row r="431" spans="1:19">
      <c r="A431" s="12" t="s">
        <v>4682</v>
      </c>
      <c r="B431" s="12" t="s">
        <v>4697</v>
      </c>
      <c r="C431" s="12" t="s">
        <v>4698</v>
      </c>
      <c r="D431" s="12" t="s">
        <v>3790</v>
      </c>
      <c r="E431" s="13">
        <v>0</v>
      </c>
      <c r="F431" s="13">
        <v>0</v>
      </c>
      <c r="G431" s="13">
        <v>0</v>
      </c>
      <c r="H431" s="13">
        <v>0</v>
      </c>
      <c r="I431" s="13">
        <v>0</v>
      </c>
      <c r="J431" s="13">
        <v>565</v>
      </c>
      <c r="K431" s="13">
        <v>0</v>
      </c>
      <c r="L431" s="13">
        <v>0</v>
      </c>
      <c r="M431" s="13">
        <v>0</v>
      </c>
      <c r="N431" s="13">
        <v>0</v>
      </c>
      <c r="O431">
        <v>565</v>
      </c>
      <c r="P431">
        <v>94.166600000000003</v>
      </c>
      <c r="Q431" t="str">
        <f t="shared" si="12"/>
        <v>WC090</v>
      </c>
      <c r="R431" t="str">
        <f t="shared" si="13"/>
        <v>CIM1C</v>
      </c>
      <c r="S431">
        <f>IF(RIGHT(R431,2)="1C",(INDEX(Tables!H:H,MATCH(R431,Tables!G:G,0))),"")</f>
        <v>50</v>
      </c>
    </row>
    <row r="432" spans="1:19">
      <c r="A432" s="12" t="s">
        <v>4682</v>
      </c>
      <c r="B432" s="12" t="s">
        <v>4897</v>
      </c>
      <c r="C432" s="12" t="s">
        <v>4898</v>
      </c>
      <c r="D432" s="12" t="s">
        <v>3790</v>
      </c>
      <c r="E432" s="13">
        <v>1152.9000000000001</v>
      </c>
      <c r="F432" s="13">
        <v>1152.9000000000001</v>
      </c>
      <c r="G432" s="13">
        <v>0</v>
      </c>
      <c r="H432" s="13">
        <v>0</v>
      </c>
      <c r="I432" s="13">
        <v>0</v>
      </c>
      <c r="J432" s="13">
        <v>0</v>
      </c>
      <c r="K432" s="13">
        <v>0</v>
      </c>
      <c r="L432" s="13">
        <v>817</v>
      </c>
      <c r="M432" s="13">
        <v>731</v>
      </c>
      <c r="N432" s="13">
        <v>0</v>
      </c>
      <c r="O432">
        <v>1548</v>
      </c>
      <c r="P432">
        <v>258</v>
      </c>
      <c r="Q432" t="str">
        <f t="shared" si="12"/>
        <v>WC090</v>
      </c>
      <c r="R432" t="str">
        <f t="shared" si="13"/>
        <v>CMZ1C</v>
      </c>
      <c r="S432">
        <f>IF(RIGHT(R432,2)="1C",(INDEX(Tables!H:H,MATCH(R432,Tables!G:G,0))),"")</f>
        <v>62</v>
      </c>
    </row>
    <row r="433" spans="1:19">
      <c r="A433" s="12" t="s">
        <v>4682</v>
      </c>
      <c r="B433" s="12" t="s">
        <v>5117</v>
      </c>
      <c r="C433" s="12" t="s">
        <v>5118</v>
      </c>
      <c r="D433" s="12" t="s">
        <v>3790</v>
      </c>
      <c r="E433" s="13">
        <v>6250</v>
      </c>
      <c r="F433" s="13">
        <v>6250</v>
      </c>
      <c r="G433" s="13">
        <v>0</v>
      </c>
      <c r="H433" s="13">
        <v>0</v>
      </c>
      <c r="I433" s="13">
        <v>0</v>
      </c>
      <c r="J433" s="13">
        <v>0</v>
      </c>
      <c r="K433" s="13">
        <v>6310</v>
      </c>
      <c r="L433" s="13">
        <v>0</v>
      </c>
      <c r="M433" s="13">
        <v>2212</v>
      </c>
      <c r="N433" s="13">
        <v>4848</v>
      </c>
      <c r="O433">
        <v>13370</v>
      </c>
      <c r="P433">
        <v>2228.33</v>
      </c>
      <c r="Q433" t="str">
        <f t="shared" si="12"/>
        <v/>
      </c>
      <c r="R433" t="str">
        <f t="shared" si="13"/>
        <v/>
      </c>
      <c r="S433" t="str">
        <f>IF(RIGHT(R433,2)="1C",(INDEX(Tables!H:H,MATCH(R433,Tables!G:G,0))),"")</f>
        <v/>
      </c>
    </row>
    <row r="434" spans="1:19">
      <c r="A434" s="12" t="s">
        <v>4682</v>
      </c>
      <c r="B434" s="12" t="s">
        <v>7238</v>
      </c>
      <c r="C434" s="12" t="s">
        <v>7239</v>
      </c>
      <c r="D434" s="12" t="s">
        <v>3790</v>
      </c>
      <c r="E434" s="13">
        <v>0</v>
      </c>
      <c r="F434" s="13">
        <v>0</v>
      </c>
      <c r="G434" s="13">
        <v>0</v>
      </c>
      <c r="H434" s="13">
        <v>0</v>
      </c>
      <c r="I434" s="13">
        <v>0</v>
      </c>
      <c r="J434" s="13">
        <v>0</v>
      </c>
      <c r="K434" s="13">
        <v>0</v>
      </c>
      <c r="L434" s="13">
        <v>0</v>
      </c>
      <c r="M434" s="13">
        <v>0</v>
      </c>
      <c r="N434" s="13">
        <v>0</v>
      </c>
      <c r="O434">
        <v>0</v>
      </c>
      <c r="P434">
        <v>0</v>
      </c>
      <c r="Q434" t="str">
        <f t="shared" si="12"/>
        <v/>
      </c>
      <c r="R434" t="str">
        <f t="shared" si="13"/>
        <v/>
      </c>
      <c r="S434" t="str">
        <f>IF(RIGHT(R434,2)="1C",(INDEX(Tables!H:H,MATCH(R434,Tables!G:G,0))),"")</f>
        <v/>
      </c>
    </row>
    <row r="435" spans="1:19">
      <c r="A435" s="12" t="s">
        <v>4682</v>
      </c>
      <c r="B435" s="12" t="s">
        <v>5111</v>
      </c>
      <c r="C435" s="12" t="s">
        <v>5112</v>
      </c>
      <c r="D435" s="12" t="s">
        <v>3790</v>
      </c>
      <c r="E435" s="13">
        <v>3670</v>
      </c>
      <c r="F435" s="13">
        <v>3670</v>
      </c>
      <c r="G435" s="13">
        <v>0</v>
      </c>
      <c r="H435" s="13">
        <v>0</v>
      </c>
      <c r="I435" s="13">
        <v>0</v>
      </c>
      <c r="J435" s="13">
        <v>4128</v>
      </c>
      <c r="K435" s="13">
        <v>4161</v>
      </c>
      <c r="L435" s="13">
        <v>2528</v>
      </c>
      <c r="M435" s="13">
        <v>1132</v>
      </c>
      <c r="N435" s="13">
        <v>1278</v>
      </c>
      <c r="O435">
        <v>13227</v>
      </c>
      <c r="P435">
        <v>2204.5</v>
      </c>
      <c r="Q435" t="str">
        <f t="shared" si="12"/>
        <v/>
      </c>
      <c r="R435" t="str">
        <f t="shared" si="13"/>
        <v/>
      </c>
      <c r="S435" t="str">
        <f>IF(RIGHT(R435,2)="1C",(INDEX(Tables!H:H,MATCH(R435,Tables!G:G,0))),"")</f>
        <v/>
      </c>
    </row>
    <row r="436" spans="1:19">
      <c r="A436" s="12" t="s">
        <v>4682</v>
      </c>
      <c r="B436" s="12" t="s">
        <v>4721</v>
      </c>
      <c r="C436" s="12" t="s">
        <v>4722</v>
      </c>
      <c r="D436" s="12" t="s">
        <v>3790</v>
      </c>
      <c r="E436" s="13">
        <v>0</v>
      </c>
      <c r="F436" s="13">
        <v>0</v>
      </c>
      <c r="G436" s="13">
        <v>0</v>
      </c>
      <c r="H436" s="13">
        <v>0</v>
      </c>
      <c r="I436" s="13">
        <v>0</v>
      </c>
      <c r="J436" s="13">
        <v>0</v>
      </c>
      <c r="K436" s="13">
        <v>1223</v>
      </c>
      <c r="L436" s="13">
        <v>0</v>
      </c>
      <c r="M436" s="13">
        <v>0</v>
      </c>
      <c r="N436" s="13">
        <v>0</v>
      </c>
      <c r="O436">
        <v>1223</v>
      </c>
      <c r="P436">
        <v>203.833</v>
      </c>
      <c r="Q436" t="str">
        <f t="shared" si="12"/>
        <v/>
      </c>
      <c r="R436" t="str">
        <f t="shared" si="13"/>
        <v/>
      </c>
      <c r="S436" t="str">
        <f>IF(RIGHT(R436,2)="1C",(INDEX(Tables!H:H,MATCH(R436,Tables!G:G,0))),"")</f>
        <v/>
      </c>
    </row>
    <row r="437" spans="1:19">
      <c r="A437" s="12" t="s">
        <v>4682</v>
      </c>
      <c r="B437" s="12" t="s">
        <v>4885</v>
      </c>
      <c r="C437" s="12" t="s">
        <v>6834</v>
      </c>
      <c r="D437" s="12" t="s">
        <v>3790</v>
      </c>
      <c r="E437" s="13">
        <v>0</v>
      </c>
      <c r="F437" s="13">
        <v>0</v>
      </c>
      <c r="G437" s="13">
        <v>0</v>
      </c>
      <c r="H437" s="13">
        <v>0</v>
      </c>
      <c r="I437" s="13">
        <v>0</v>
      </c>
      <c r="J437" s="13">
        <v>0</v>
      </c>
      <c r="K437" s="13">
        <v>0</v>
      </c>
      <c r="L437" s="13">
        <v>0</v>
      </c>
      <c r="M437" s="13">
        <v>1406</v>
      </c>
      <c r="N437" s="13">
        <v>0</v>
      </c>
      <c r="O437">
        <v>1406</v>
      </c>
      <c r="P437">
        <v>234.333</v>
      </c>
      <c r="Q437" t="str">
        <f t="shared" si="12"/>
        <v>WC125</v>
      </c>
      <c r="R437" t="str">
        <f t="shared" si="13"/>
        <v>CIM1C</v>
      </c>
      <c r="S437">
        <f>IF(RIGHT(R437,2)="1C",(INDEX(Tables!H:H,MATCH(R437,Tables!G:G,0))),"")</f>
        <v>50</v>
      </c>
    </row>
    <row r="438" spans="1:19">
      <c r="A438" s="12" t="s">
        <v>4682</v>
      </c>
      <c r="B438" s="12" t="s">
        <v>7460</v>
      </c>
      <c r="C438" s="12" t="s">
        <v>4886</v>
      </c>
      <c r="D438" s="12" t="s">
        <v>3790</v>
      </c>
      <c r="E438" s="13">
        <v>439.99</v>
      </c>
      <c r="F438" s="13">
        <v>439.99</v>
      </c>
      <c r="G438" s="13">
        <v>0</v>
      </c>
      <c r="H438" s="13">
        <v>0</v>
      </c>
      <c r="I438" s="13">
        <v>0</v>
      </c>
      <c r="J438" s="13">
        <v>0</v>
      </c>
      <c r="K438" s="13">
        <v>0</v>
      </c>
      <c r="L438" s="13">
        <v>0</v>
      </c>
      <c r="M438" s="13">
        <v>0</v>
      </c>
      <c r="N438" s="13">
        <v>0</v>
      </c>
      <c r="O438">
        <v>0</v>
      </c>
      <c r="P438">
        <v>0</v>
      </c>
      <c r="Q438" t="str">
        <f t="shared" si="12"/>
        <v/>
      </c>
      <c r="R438" t="str">
        <f t="shared" si="13"/>
        <v/>
      </c>
      <c r="S438" t="str">
        <f>IF(RIGHT(R438,2)="1C",(INDEX(Tables!H:H,MATCH(R438,Tables!G:G,0))),"")</f>
        <v/>
      </c>
    </row>
    <row r="439" spans="1:19">
      <c r="A439" s="12" t="s">
        <v>4682</v>
      </c>
      <c r="B439" s="12" t="s">
        <v>5023</v>
      </c>
      <c r="C439" s="12" t="s">
        <v>5024</v>
      </c>
      <c r="D439" s="12" t="s">
        <v>3790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0</v>
      </c>
      <c r="K439" s="13">
        <v>3284</v>
      </c>
      <c r="L439" s="13">
        <v>2088</v>
      </c>
      <c r="M439" s="13">
        <v>0</v>
      </c>
      <c r="N439" s="13">
        <v>0</v>
      </c>
      <c r="O439">
        <v>5372</v>
      </c>
      <c r="P439">
        <v>895.33299999999997</v>
      </c>
      <c r="Q439" t="str">
        <f t="shared" si="12"/>
        <v>WC135</v>
      </c>
      <c r="R439" t="str">
        <f t="shared" si="13"/>
        <v>CIM1C</v>
      </c>
      <c r="S439">
        <f>IF(RIGHT(R439,2)="1C",(INDEX(Tables!H:H,MATCH(R439,Tables!G:G,0))),"")</f>
        <v>50</v>
      </c>
    </row>
    <row r="440" spans="1:19">
      <c r="A440" s="12" t="s">
        <v>4682</v>
      </c>
      <c r="B440" s="12" t="s">
        <v>4999</v>
      </c>
      <c r="C440" s="12" t="s">
        <v>5000</v>
      </c>
      <c r="D440" s="12" t="s">
        <v>3790</v>
      </c>
      <c r="E440" s="13">
        <v>1377</v>
      </c>
      <c r="F440" s="13">
        <v>1377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1483</v>
      </c>
      <c r="M440" s="13">
        <v>0</v>
      </c>
      <c r="N440" s="13">
        <v>0</v>
      </c>
      <c r="O440">
        <v>1483</v>
      </c>
      <c r="P440">
        <v>247.166</v>
      </c>
      <c r="Q440" t="str">
        <f t="shared" si="12"/>
        <v>WC210</v>
      </c>
      <c r="R440" t="str">
        <f t="shared" si="13"/>
        <v>CIM1C</v>
      </c>
      <c r="S440">
        <f>IF(RIGHT(R440,2)="1C",(INDEX(Tables!H:H,MATCH(R440,Tables!G:G,0))),"")</f>
        <v>50</v>
      </c>
    </row>
    <row r="441" spans="1:19">
      <c r="A441" s="12" t="s">
        <v>4682</v>
      </c>
      <c r="B441" s="12" t="s">
        <v>4747</v>
      </c>
      <c r="C441" s="12" t="s">
        <v>4748</v>
      </c>
      <c r="D441" s="12" t="s">
        <v>3790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164</v>
      </c>
      <c r="K441" s="13">
        <v>0</v>
      </c>
      <c r="L441" s="13">
        <v>0</v>
      </c>
      <c r="M441" s="13">
        <v>0</v>
      </c>
      <c r="N441" s="13">
        <v>0</v>
      </c>
      <c r="O441">
        <v>164</v>
      </c>
      <c r="P441">
        <v>27.333300000000001</v>
      </c>
      <c r="Q441" t="str">
        <f t="shared" si="12"/>
        <v>WC411</v>
      </c>
      <c r="R441" t="str">
        <f t="shared" si="13"/>
        <v>CIM1C</v>
      </c>
      <c r="S441">
        <f>IF(RIGHT(R441,2)="1C",(INDEX(Tables!H:H,MATCH(R441,Tables!G:G,0))),"")</f>
        <v>50</v>
      </c>
    </row>
    <row r="442" spans="1:19">
      <c r="A442" s="12" t="s">
        <v>4682</v>
      </c>
      <c r="B442" s="12" t="s">
        <v>5151</v>
      </c>
      <c r="C442" s="12" t="s">
        <v>5152</v>
      </c>
      <c r="D442" s="12" t="s">
        <v>3790</v>
      </c>
      <c r="E442" s="13">
        <v>2200</v>
      </c>
      <c r="F442" s="13">
        <v>2200</v>
      </c>
      <c r="G442" s="13">
        <v>0</v>
      </c>
      <c r="H442" s="13">
        <v>0</v>
      </c>
      <c r="I442" s="13">
        <v>0</v>
      </c>
      <c r="J442" s="13">
        <v>0</v>
      </c>
      <c r="K442" s="13">
        <v>4390</v>
      </c>
      <c r="L442" s="13">
        <v>5963</v>
      </c>
      <c r="M442" s="13">
        <v>2596</v>
      </c>
      <c r="N442" s="13">
        <v>0</v>
      </c>
      <c r="O442">
        <v>12949</v>
      </c>
      <c r="P442">
        <v>2158.16</v>
      </c>
      <c r="Q442" t="str">
        <f t="shared" si="12"/>
        <v>WC421</v>
      </c>
      <c r="R442" t="str">
        <f t="shared" si="13"/>
        <v>CIM1C</v>
      </c>
      <c r="S442">
        <f>IF(RIGHT(R442,2)="1C",(INDEX(Tables!H:H,MATCH(R442,Tables!G:G,0))),"")</f>
        <v>50</v>
      </c>
    </row>
    <row r="443" spans="1:19">
      <c r="A443" s="12" t="s">
        <v>4682</v>
      </c>
      <c r="B443" s="12" t="s">
        <v>7180</v>
      </c>
      <c r="C443" s="12" t="s">
        <v>7181</v>
      </c>
      <c r="D443" s="12" t="s">
        <v>3790</v>
      </c>
      <c r="E443" s="13">
        <v>0</v>
      </c>
      <c r="F443" s="13">
        <v>0</v>
      </c>
      <c r="G443" s="13">
        <v>0</v>
      </c>
      <c r="H443" s="13">
        <v>0</v>
      </c>
      <c r="I443" s="13">
        <v>0</v>
      </c>
      <c r="J443" s="13">
        <v>0</v>
      </c>
      <c r="K443" s="13">
        <v>0</v>
      </c>
      <c r="L443" s="13">
        <v>0</v>
      </c>
      <c r="M443" s="13">
        <v>0</v>
      </c>
      <c r="N443" s="13">
        <v>0</v>
      </c>
      <c r="O443">
        <v>0</v>
      </c>
      <c r="P443">
        <v>0</v>
      </c>
      <c r="Q443" t="str">
        <f t="shared" si="12"/>
        <v>WC421</v>
      </c>
      <c r="R443" t="str">
        <f t="shared" si="13"/>
        <v>CMZ1C</v>
      </c>
      <c r="S443">
        <f>IF(RIGHT(R443,2)="1C",(INDEX(Tables!H:H,MATCH(R443,Tables!G:G,0))),"")</f>
        <v>62</v>
      </c>
    </row>
    <row r="444" spans="1:19">
      <c r="A444" s="12" t="s">
        <v>4682</v>
      </c>
      <c r="B444" s="12" t="s">
        <v>5037</v>
      </c>
      <c r="C444" s="12" t="s">
        <v>5038</v>
      </c>
      <c r="D444" s="12" t="s">
        <v>3790</v>
      </c>
      <c r="E444" s="13">
        <v>1200</v>
      </c>
      <c r="F444" s="13">
        <v>1200</v>
      </c>
      <c r="G444" s="13">
        <v>0</v>
      </c>
      <c r="H444" s="13">
        <v>0</v>
      </c>
      <c r="I444" s="13">
        <v>0</v>
      </c>
      <c r="J444" s="13">
        <v>172</v>
      </c>
      <c r="K444" s="13">
        <v>835</v>
      </c>
      <c r="L444" s="13">
        <v>3506</v>
      </c>
      <c r="M444" s="13">
        <v>0</v>
      </c>
      <c r="N444" s="13">
        <v>0</v>
      </c>
      <c r="O444">
        <v>4513</v>
      </c>
      <c r="P444">
        <v>752.16600000000005</v>
      </c>
      <c r="Q444" t="str">
        <f t="shared" si="12"/>
        <v>WC431</v>
      </c>
      <c r="R444" t="str">
        <f t="shared" si="13"/>
        <v>CIM1C</v>
      </c>
      <c r="S444">
        <f>IF(RIGHT(R444,2)="1C",(INDEX(Tables!H:H,MATCH(R444,Tables!G:G,0))),"")</f>
        <v>50</v>
      </c>
    </row>
    <row r="445" spans="1:19">
      <c r="A445" s="12" t="s">
        <v>4682</v>
      </c>
      <c r="B445" s="12" t="s">
        <v>4891</v>
      </c>
      <c r="C445" s="12" t="s">
        <v>4892</v>
      </c>
      <c r="D445" s="12" t="s">
        <v>3790</v>
      </c>
      <c r="E445" s="13">
        <v>0</v>
      </c>
      <c r="F445" s="13">
        <v>0</v>
      </c>
      <c r="G445" s="13">
        <v>0</v>
      </c>
      <c r="H445" s="13">
        <v>0</v>
      </c>
      <c r="I445" s="13">
        <v>0</v>
      </c>
      <c r="J445" s="13">
        <v>0</v>
      </c>
      <c r="K445" s="13">
        <v>0</v>
      </c>
      <c r="L445" s="13">
        <v>1466</v>
      </c>
      <c r="M445" s="13">
        <v>0</v>
      </c>
      <c r="N445" s="13">
        <v>0</v>
      </c>
      <c r="O445">
        <v>1466</v>
      </c>
      <c r="P445">
        <v>244.333</v>
      </c>
      <c r="Q445" t="str">
        <f t="shared" si="12"/>
        <v>WC431</v>
      </c>
      <c r="R445" t="str">
        <f t="shared" si="13"/>
        <v>CMZ1C</v>
      </c>
      <c r="S445">
        <f>IF(RIGHT(R445,2)="1C",(INDEX(Tables!H:H,MATCH(R445,Tables!G:G,0))),"")</f>
        <v>62</v>
      </c>
    </row>
    <row r="446" spans="1:19">
      <c r="A446" s="12" t="s">
        <v>4682</v>
      </c>
      <c r="B446" s="12" t="s">
        <v>7001</v>
      </c>
      <c r="C446" s="12" t="s">
        <v>7002</v>
      </c>
      <c r="D446" s="12" t="s">
        <v>3790</v>
      </c>
      <c r="E446" s="13">
        <v>0</v>
      </c>
      <c r="F446" s="13">
        <v>0</v>
      </c>
      <c r="G446" s="13">
        <v>0</v>
      </c>
      <c r="H446" s="13">
        <v>0</v>
      </c>
      <c r="I446" s="13">
        <v>0</v>
      </c>
      <c r="J446" s="13">
        <v>0</v>
      </c>
      <c r="K446" s="13">
        <v>0</v>
      </c>
      <c r="L446" s="13">
        <v>0</v>
      </c>
      <c r="M446" s="13">
        <v>0</v>
      </c>
      <c r="N446" s="13">
        <v>0</v>
      </c>
      <c r="O446">
        <v>0</v>
      </c>
      <c r="P446">
        <v>0</v>
      </c>
      <c r="Q446" t="str">
        <f t="shared" si="12"/>
        <v>WC521</v>
      </c>
      <c r="R446" t="str">
        <f t="shared" si="13"/>
        <v>CIM1C</v>
      </c>
      <c r="S446">
        <f>IF(RIGHT(R446,2)="1C",(INDEX(Tables!H:H,MATCH(R446,Tables!G:G,0))),"")</f>
        <v>50</v>
      </c>
    </row>
    <row r="447" spans="1:19">
      <c r="A447" s="12" t="s">
        <v>4682</v>
      </c>
      <c r="B447" s="12" t="s">
        <v>4723</v>
      </c>
      <c r="C447" s="12" t="s">
        <v>4724</v>
      </c>
      <c r="D447" s="12" t="s">
        <v>3790</v>
      </c>
      <c r="E447" s="13">
        <v>0</v>
      </c>
      <c r="F447" s="13">
        <v>0</v>
      </c>
      <c r="G447" s="13">
        <v>0</v>
      </c>
      <c r="H447" s="13">
        <v>0</v>
      </c>
      <c r="I447" s="13">
        <v>0</v>
      </c>
      <c r="J447" s="13">
        <v>0</v>
      </c>
      <c r="K447" s="13">
        <v>0</v>
      </c>
      <c r="L447" s="13">
        <v>0</v>
      </c>
      <c r="M447" s="13">
        <v>0</v>
      </c>
      <c r="N447" s="13">
        <v>0</v>
      </c>
      <c r="O447">
        <v>0</v>
      </c>
      <c r="P447">
        <v>0</v>
      </c>
      <c r="Q447" t="str">
        <f t="shared" si="12"/>
        <v>WC652</v>
      </c>
      <c r="R447" t="str">
        <f t="shared" si="13"/>
        <v>CIM1C</v>
      </c>
      <c r="S447">
        <f>IF(RIGHT(R447,2)="1C",(INDEX(Tables!H:H,MATCH(R447,Tables!G:G,0))),"")</f>
        <v>50</v>
      </c>
    </row>
    <row r="448" spans="1:19">
      <c r="A448" s="12" t="s">
        <v>4682</v>
      </c>
      <c r="B448" s="12" t="s">
        <v>5159</v>
      </c>
      <c r="C448" s="12" t="s">
        <v>5160</v>
      </c>
      <c r="D448" s="12" t="s">
        <v>3790</v>
      </c>
      <c r="E448" s="13">
        <v>2800</v>
      </c>
      <c r="F448" s="13">
        <v>2800</v>
      </c>
      <c r="G448" s="13">
        <v>0</v>
      </c>
      <c r="H448" s="13">
        <v>0</v>
      </c>
      <c r="I448" s="13">
        <v>4856.67</v>
      </c>
      <c r="J448" s="13">
        <v>2506</v>
      </c>
      <c r="K448" s="13">
        <v>8100</v>
      </c>
      <c r="L448" s="13">
        <v>0</v>
      </c>
      <c r="M448" s="13">
        <v>1936</v>
      </c>
      <c r="N448" s="13">
        <v>6495</v>
      </c>
      <c r="O448">
        <v>23893.599999999999</v>
      </c>
      <c r="P448">
        <v>3982.27</v>
      </c>
      <c r="Q448" t="str">
        <f t="shared" si="12"/>
        <v>WE261</v>
      </c>
      <c r="R448" t="str">
        <f t="shared" si="13"/>
        <v>CIM1C</v>
      </c>
      <c r="S448">
        <f>IF(RIGHT(R448,2)="1C",(INDEX(Tables!H:H,MATCH(R448,Tables!G:G,0))),"")</f>
        <v>50</v>
      </c>
    </row>
    <row r="449" spans="1:19">
      <c r="A449" s="12" t="s">
        <v>4682</v>
      </c>
      <c r="B449" s="12" t="s">
        <v>7402</v>
      </c>
      <c r="C449" s="12" t="s">
        <v>7403</v>
      </c>
      <c r="D449" s="12" t="s">
        <v>3790</v>
      </c>
      <c r="E449" s="13">
        <v>7847</v>
      </c>
      <c r="F449" s="13">
        <v>7847</v>
      </c>
      <c r="G449" s="13">
        <v>0</v>
      </c>
      <c r="H449" s="13">
        <v>0</v>
      </c>
      <c r="I449" s="13">
        <v>0</v>
      </c>
      <c r="J449" s="13">
        <v>0</v>
      </c>
      <c r="K449" s="13">
        <v>0</v>
      </c>
      <c r="L449" s="13">
        <v>0</v>
      </c>
      <c r="M449" s="13">
        <v>0</v>
      </c>
      <c r="N449" s="13">
        <v>0</v>
      </c>
      <c r="O449">
        <v>0</v>
      </c>
      <c r="P449">
        <v>0</v>
      </c>
      <c r="Q449" t="str">
        <f t="shared" si="12"/>
        <v>WE360</v>
      </c>
      <c r="R449" t="str">
        <f t="shared" si="13"/>
        <v>CIM1C</v>
      </c>
      <c r="S449">
        <f>IF(RIGHT(R449,2)="1C",(INDEX(Tables!H:H,MATCH(R449,Tables!G:G,0))),"")</f>
        <v>50</v>
      </c>
    </row>
    <row r="450" spans="1:19">
      <c r="A450" s="12" t="s">
        <v>4682</v>
      </c>
      <c r="B450" s="12" t="s">
        <v>6965</v>
      </c>
      <c r="C450" s="12" t="s">
        <v>6966</v>
      </c>
      <c r="D450" s="12" t="s">
        <v>3790</v>
      </c>
      <c r="E450" s="13">
        <v>0</v>
      </c>
      <c r="F450" s="13">
        <v>0</v>
      </c>
      <c r="G450" s="13">
        <v>0</v>
      </c>
      <c r="H450" s="13">
        <v>0</v>
      </c>
      <c r="I450" s="13">
        <v>0</v>
      </c>
      <c r="J450" s="13">
        <v>0</v>
      </c>
      <c r="K450" s="13">
        <v>0</v>
      </c>
      <c r="L450" s="13">
        <v>0</v>
      </c>
      <c r="M450" s="13">
        <v>0</v>
      </c>
      <c r="N450" s="13">
        <v>0</v>
      </c>
      <c r="O450">
        <v>0</v>
      </c>
      <c r="P450">
        <v>0</v>
      </c>
      <c r="Q450" t="str">
        <f t="shared" si="12"/>
        <v>WE360</v>
      </c>
      <c r="R450" t="str">
        <f t="shared" si="13"/>
        <v>CMZ1C</v>
      </c>
      <c r="S450">
        <f>IF(RIGHT(R450,2)="1C",(INDEX(Tables!H:H,MATCH(R450,Tables!G:G,0))),"")</f>
        <v>62</v>
      </c>
    </row>
    <row r="451" spans="1:19">
      <c r="A451" s="12" t="s">
        <v>4682</v>
      </c>
      <c r="B451" s="12" t="s">
        <v>4923</v>
      </c>
      <c r="C451" s="12" t="s">
        <v>4924</v>
      </c>
      <c r="D451" s="12" t="s">
        <v>3790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573</v>
      </c>
      <c r="K451" s="13">
        <v>0</v>
      </c>
      <c r="L451" s="13">
        <v>0</v>
      </c>
      <c r="M451" s="13">
        <v>1712</v>
      </c>
      <c r="N451" s="13">
        <v>0</v>
      </c>
      <c r="O451">
        <v>2285</v>
      </c>
      <c r="P451">
        <v>380.83300000000003</v>
      </c>
      <c r="Q451" t="str">
        <f t="shared" si="12"/>
        <v/>
      </c>
      <c r="R451" t="str">
        <f t="shared" si="13"/>
        <v/>
      </c>
      <c r="S451" t="str">
        <f>IF(RIGHT(R451,2)="1C",(INDEX(Tables!H:H,MATCH(R451,Tables!G:G,0))),"")</f>
        <v/>
      </c>
    </row>
    <row r="452" spans="1:19">
      <c r="A452" s="12" t="s">
        <v>4682</v>
      </c>
      <c r="B452" s="12" t="s">
        <v>7303</v>
      </c>
      <c r="C452" s="12" t="s">
        <v>7304</v>
      </c>
      <c r="D452" s="12" t="s">
        <v>3790</v>
      </c>
      <c r="E452" s="13">
        <v>157.43</v>
      </c>
      <c r="F452" s="13">
        <v>157.43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>
        <v>0</v>
      </c>
      <c r="P452">
        <v>0</v>
      </c>
      <c r="Q452" t="str">
        <f t="shared" ref="Q452:Q515" si="14">IF(RIGHT(B452,2)="1C",MID(B452,4,5),"")</f>
        <v/>
      </c>
      <c r="R452" t="str">
        <f t="shared" ref="R452:R515" si="15">IF(RIGHT(B452,2)="1C",MID(B452,SEARCH("-",B452,1)+1,6),"")</f>
        <v/>
      </c>
      <c r="S452" t="str">
        <f>IF(RIGHT(R452,2)="1C",(INDEX(Tables!H:H,MATCH(R452,Tables!G:G,0))),"")</f>
        <v/>
      </c>
    </row>
    <row r="453" spans="1:19">
      <c r="A453" s="12" t="s">
        <v>4682</v>
      </c>
      <c r="B453" s="12" t="s">
        <v>5147</v>
      </c>
      <c r="C453" s="12" t="s">
        <v>5148</v>
      </c>
      <c r="D453" s="12" t="s">
        <v>3790</v>
      </c>
      <c r="E453" s="13">
        <v>3650</v>
      </c>
      <c r="F453" s="13">
        <v>3650</v>
      </c>
      <c r="G453" s="13">
        <v>0</v>
      </c>
      <c r="H453" s="13">
        <v>0</v>
      </c>
      <c r="I453" s="13">
        <v>0</v>
      </c>
      <c r="J453" s="13">
        <v>0</v>
      </c>
      <c r="K453" s="13">
        <v>8181</v>
      </c>
      <c r="L453" s="13">
        <v>5326</v>
      </c>
      <c r="M453" s="13">
        <v>0</v>
      </c>
      <c r="N453" s="13">
        <v>1474</v>
      </c>
      <c r="O453">
        <v>14981</v>
      </c>
      <c r="P453">
        <v>2496.83</v>
      </c>
      <c r="Q453" t="str">
        <f t="shared" si="14"/>
        <v>WM115</v>
      </c>
      <c r="R453" t="str">
        <f t="shared" si="15"/>
        <v>CIM1C</v>
      </c>
      <c r="S453">
        <f>IF(RIGHT(R453,2)="1C",(INDEX(Tables!H:H,MATCH(R453,Tables!G:G,0))),"")</f>
        <v>50</v>
      </c>
    </row>
    <row r="454" spans="1:19">
      <c r="A454" s="12" t="s">
        <v>4682</v>
      </c>
      <c r="B454" s="12" t="s">
        <v>6702</v>
      </c>
      <c r="C454" s="12" t="s">
        <v>6703</v>
      </c>
      <c r="D454" s="12" t="s">
        <v>3790</v>
      </c>
      <c r="E454" s="13">
        <v>0</v>
      </c>
      <c r="F454" s="13">
        <v>0</v>
      </c>
      <c r="G454" s="13">
        <v>0</v>
      </c>
      <c r="H454" s="13">
        <v>0</v>
      </c>
      <c r="I454" s="13">
        <v>0</v>
      </c>
      <c r="J454" s="13">
        <v>0</v>
      </c>
      <c r="K454" s="13">
        <v>0</v>
      </c>
      <c r="L454" s="13">
        <v>0</v>
      </c>
      <c r="M454" s="13">
        <v>0</v>
      </c>
      <c r="N454" s="13">
        <v>0</v>
      </c>
      <c r="O454">
        <v>0</v>
      </c>
      <c r="P454">
        <v>0</v>
      </c>
      <c r="Q454" t="str">
        <f t="shared" si="14"/>
        <v/>
      </c>
      <c r="R454" t="str">
        <f t="shared" si="15"/>
        <v/>
      </c>
      <c r="S454" t="str">
        <f>IF(RIGHT(R454,2)="1C",(INDEX(Tables!H:H,MATCH(R454,Tables!G:G,0))),"")</f>
        <v/>
      </c>
    </row>
    <row r="455" spans="1:19">
      <c r="A455" s="12" t="s">
        <v>4682</v>
      </c>
      <c r="B455" s="12" t="s">
        <v>5173</v>
      </c>
      <c r="C455" s="12" t="s">
        <v>5174</v>
      </c>
      <c r="D455" s="12" t="s">
        <v>3790</v>
      </c>
      <c r="E455" s="13">
        <v>0</v>
      </c>
      <c r="F455" s="13">
        <v>0</v>
      </c>
      <c r="G455" s="13">
        <v>0</v>
      </c>
      <c r="H455" s="13">
        <v>0</v>
      </c>
      <c r="I455" s="13">
        <v>0</v>
      </c>
      <c r="J455" s="13">
        <v>0</v>
      </c>
      <c r="K455" s="13">
        <v>2957</v>
      </c>
      <c r="L455" s="13">
        <v>0</v>
      </c>
      <c r="M455" s="13">
        <v>4358</v>
      </c>
      <c r="N455" s="13">
        <v>1106</v>
      </c>
      <c r="O455">
        <v>8421</v>
      </c>
      <c r="P455">
        <v>1403.5</v>
      </c>
      <c r="Q455" t="str">
        <f t="shared" si="14"/>
        <v/>
      </c>
      <c r="R455" t="str">
        <f t="shared" si="15"/>
        <v/>
      </c>
      <c r="S455" t="str">
        <f>IF(RIGHT(R455,2)="1C",(INDEX(Tables!H:H,MATCH(R455,Tables!G:G,0))),"")</f>
        <v/>
      </c>
    </row>
    <row r="456" spans="1:19">
      <c r="A456" s="12" t="s">
        <v>4682</v>
      </c>
      <c r="B456" s="12" t="s">
        <v>7240</v>
      </c>
      <c r="C456" s="12" t="s">
        <v>7241</v>
      </c>
      <c r="D456" s="12" t="s">
        <v>3790</v>
      </c>
      <c r="E456" s="13">
        <v>0</v>
      </c>
      <c r="F456" s="13">
        <v>0</v>
      </c>
      <c r="G456" s="13">
        <v>0</v>
      </c>
      <c r="H456" s="13">
        <v>0</v>
      </c>
      <c r="I456" s="13">
        <v>0</v>
      </c>
      <c r="J456" s="13">
        <v>0</v>
      </c>
      <c r="K456" s="13">
        <v>0</v>
      </c>
      <c r="L456" s="13">
        <v>0</v>
      </c>
      <c r="M456" s="13">
        <v>0</v>
      </c>
      <c r="N456" s="13">
        <v>0</v>
      </c>
      <c r="O456">
        <v>0</v>
      </c>
      <c r="P456">
        <v>0</v>
      </c>
      <c r="Q456" t="str">
        <f t="shared" si="14"/>
        <v>WM255</v>
      </c>
      <c r="R456" t="str">
        <f t="shared" si="15"/>
        <v>CIM1C</v>
      </c>
      <c r="S456">
        <f>IF(RIGHT(R456,2)="1C",(INDEX(Tables!H:H,MATCH(R456,Tables!G:G,0))),"")</f>
        <v>50</v>
      </c>
    </row>
    <row r="457" spans="1:19">
      <c r="A457" s="12" t="s">
        <v>4682</v>
      </c>
      <c r="B457" s="12" t="s">
        <v>4867</v>
      </c>
      <c r="C457" s="12" t="s">
        <v>4868</v>
      </c>
      <c r="D457" s="12" t="s">
        <v>3790</v>
      </c>
      <c r="E457" s="13">
        <v>305.12</v>
      </c>
      <c r="F457" s="13">
        <v>305.12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1229</v>
      </c>
      <c r="N457" s="13">
        <v>0</v>
      </c>
      <c r="O457">
        <v>1229</v>
      </c>
      <c r="P457">
        <v>204.833</v>
      </c>
      <c r="Q457" t="str">
        <f t="shared" si="14"/>
        <v>WM255</v>
      </c>
      <c r="R457" t="str">
        <f t="shared" si="15"/>
        <v>CMZ1C</v>
      </c>
      <c r="S457">
        <f>IF(RIGHT(R457,2)="1C",(INDEX(Tables!H:H,MATCH(R457,Tables!G:G,0))),"")</f>
        <v>62</v>
      </c>
    </row>
    <row r="458" spans="1:19">
      <c r="A458" s="12" t="s">
        <v>4682</v>
      </c>
      <c r="B458" s="12" t="s">
        <v>4955</v>
      </c>
      <c r="C458" s="12" t="s">
        <v>4956</v>
      </c>
      <c r="D458" s="12" t="s">
        <v>3790</v>
      </c>
      <c r="E458" s="13">
        <v>1005.57</v>
      </c>
      <c r="F458" s="13">
        <v>1005.57</v>
      </c>
      <c r="G458" s="13">
        <v>0</v>
      </c>
      <c r="H458" s="13">
        <v>0</v>
      </c>
      <c r="I458" s="13">
        <v>0</v>
      </c>
      <c r="J458" s="13">
        <v>0</v>
      </c>
      <c r="K458" s="13">
        <v>2203</v>
      </c>
      <c r="L458" s="13">
        <v>0</v>
      </c>
      <c r="M458" s="13">
        <v>0</v>
      </c>
      <c r="N458" s="13">
        <v>0</v>
      </c>
      <c r="O458">
        <v>2203</v>
      </c>
      <c r="P458">
        <v>367.166</v>
      </c>
      <c r="Q458" t="str">
        <f t="shared" si="14"/>
        <v>WM345</v>
      </c>
      <c r="R458" t="str">
        <f t="shared" si="15"/>
        <v>CIM1C</v>
      </c>
      <c r="S458">
        <f>IF(RIGHT(R458,2)="1C",(INDEX(Tables!H:H,MATCH(R458,Tables!G:G,0))),"")</f>
        <v>50</v>
      </c>
    </row>
    <row r="459" spans="1:19">
      <c r="A459" s="12" t="s">
        <v>4682</v>
      </c>
      <c r="B459" s="12" t="s">
        <v>7011</v>
      </c>
      <c r="C459" s="12" t="s">
        <v>7012</v>
      </c>
      <c r="D459" s="12" t="s">
        <v>3790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>
        <v>0</v>
      </c>
      <c r="P459">
        <v>0</v>
      </c>
      <c r="Q459" t="str">
        <f t="shared" si="14"/>
        <v>WM345</v>
      </c>
      <c r="R459" t="str">
        <f t="shared" si="15"/>
        <v>CMZ1C</v>
      </c>
      <c r="S459">
        <f>IF(RIGHT(R459,2)="1C",(INDEX(Tables!H:H,MATCH(R459,Tables!G:G,0))),"")</f>
        <v>62</v>
      </c>
    </row>
    <row r="460" spans="1:19">
      <c r="A460" s="12" t="s">
        <v>4682</v>
      </c>
      <c r="B460" s="12" t="s">
        <v>5209</v>
      </c>
      <c r="C460" s="12" t="s">
        <v>5210</v>
      </c>
      <c r="D460" s="12" t="s">
        <v>3790</v>
      </c>
      <c r="E460" s="13">
        <v>852</v>
      </c>
      <c r="F460" s="13">
        <v>852</v>
      </c>
      <c r="G460" s="13">
        <v>0</v>
      </c>
      <c r="H460" s="13">
        <v>0</v>
      </c>
      <c r="I460" s="13">
        <v>0</v>
      </c>
      <c r="J460" s="13">
        <v>5259</v>
      </c>
      <c r="K460" s="13">
        <v>9517</v>
      </c>
      <c r="L460" s="13">
        <v>16206</v>
      </c>
      <c r="M460" s="13">
        <v>17409</v>
      </c>
      <c r="N460" s="13">
        <v>5044</v>
      </c>
      <c r="O460">
        <v>53435</v>
      </c>
      <c r="P460">
        <v>8905.83</v>
      </c>
      <c r="Q460" t="str">
        <f t="shared" si="14"/>
        <v>WM791</v>
      </c>
      <c r="R460" t="str">
        <f t="shared" si="15"/>
        <v>CIM1C</v>
      </c>
      <c r="S460">
        <f>IF(RIGHT(R460,2)="1C",(INDEX(Tables!H:H,MATCH(R460,Tables!G:G,0))),"")</f>
        <v>50</v>
      </c>
    </row>
    <row r="461" spans="1:19">
      <c r="A461" s="12" t="s">
        <v>4682</v>
      </c>
      <c r="B461" s="12" t="s">
        <v>5153</v>
      </c>
      <c r="C461" s="12" t="s">
        <v>5154</v>
      </c>
      <c r="D461" s="12" t="s">
        <v>3790</v>
      </c>
      <c r="E461" s="13">
        <v>5341.36</v>
      </c>
      <c r="F461" s="13">
        <v>5341.36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8193</v>
      </c>
      <c r="M461" s="13">
        <v>2686</v>
      </c>
      <c r="N461" s="13">
        <v>0</v>
      </c>
      <c r="O461">
        <v>10879</v>
      </c>
      <c r="P461">
        <v>1813.16</v>
      </c>
      <c r="Q461" t="str">
        <f t="shared" si="14"/>
        <v>WM791</v>
      </c>
      <c r="R461" t="str">
        <f t="shared" si="15"/>
        <v>CMZ1C</v>
      </c>
      <c r="S461">
        <f>IF(RIGHT(R461,2)="1C",(INDEX(Tables!H:H,MATCH(R461,Tables!G:G,0))),"")</f>
        <v>62</v>
      </c>
    </row>
    <row r="462" spans="1:19">
      <c r="A462" s="12" t="s">
        <v>4682</v>
      </c>
      <c r="B462" s="12" t="s">
        <v>5101</v>
      </c>
      <c r="C462" s="12" t="s">
        <v>5102</v>
      </c>
      <c r="D462" s="12" t="s">
        <v>3790</v>
      </c>
      <c r="E462" s="13">
        <v>0</v>
      </c>
      <c r="F462" s="13">
        <v>0</v>
      </c>
      <c r="G462" s="13">
        <v>0</v>
      </c>
      <c r="H462" s="13">
        <v>0</v>
      </c>
      <c r="I462" s="13">
        <v>4160.5200000000004</v>
      </c>
      <c r="J462" s="13">
        <v>14736</v>
      </c>
      <c r="K462" s="13">
        <v>0</v>
      </c>
      <c r="L462" s="13">
        <v>1590</v>
      </c>
      <c r="M462" s="13">
        <v>393</v>
      </c>
      <c r="N462" s="13">
        <v>0</v>
      </c>
      <c r="O462">
        <v>20879.5</v>
      </c>
      <c r="P462">
        <v>3479.92</v>
      </c>
      <c r="Q462" t="str">
        <f t="shared" si="14"/>
        <v>WM951</v>
      </c>
      <c r="R462" t="str">
        <f t="shared" si="15"/>
        <v>CIM1C</v>
      </c>
      <c r="S462">
        <f>IF(RIGHT(R462,2)="1C",(INDEX(Tables!H:H,MATCH(R462,Tables!G:G,0))),"")</f>
        <v>50</v>
      </c>
    </row>
    <row r="463" spans="1:19">
      <c r="A463" s="12" t="s">
        <v>4682</v>
      </c>
      <c r="B463" s="12" t="s">
        <v>6804</v>
      </c>
      <c r="C463" s="12" t="s">
        <v>6805</v>
      </c>
      <c r="D463" s="12" t="s">
        <v>3790</v>
      </c>
      <c r="E463" s="13">
        <v>571.09</v>
      </c>
      <c r="F463" s="13">
        <v>571.09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>
        <v>0</v>
      </c>
      <c r="P463">
        <v>0</v>
      </c>
      <c r="Q463" t="str">
        <f t="shared" si="14"/>
        <v>WM951</v>
      </c>
      <c r="R463" t="str">
        <f t="shared" si="15"/>
        <v>CMZ1C</v>
      </c>
      <c r="S463">
        <f>IF(RIGHT(R463,2)="1C",(INDEX(Tables!H:H,MATCH(R463,Tables!G:G,0))),"")</f>
        <v>62</v>
      </c>
    </row>
    <row r="464" spans="1:19">
      <c r="A464" s="12" t="s">
        <v>4682</v>
      </c>
      <c r="B464" s="12" t="s">
        <v>4843</v>
      </c>
      <c r="C464" s="12" t="s">
        <v>4844</v>
      </c>
      <c r="D464" s="12" t="s">
        <v>3790</v>
      </c>
      <c r="E464" s="13">
        <v>11305.86</v>
      </c>
      <c r="F464" s="13">
        <v>11305.86</v>
      </c>
      <c r="G464" s="13">
        <v>0</v>
      </c>
      <c r="H464" s="13">
        <v>0</v>
      </c>
      <c r="I464" s="13">
        <v>4144.1400000000003</v>
      </c>
      <c r="J464" s="13">
        <v>0</v>
      </c>
      <c r="K464" s="13">
        <v>1392</v>
      </c>
      <c r="L464" s="13">
        <v>1065</v>
      </c>
      <c r="M464" s="13">
        <v>0</v>
      </c>
      <c r="N464" s="13">
        <v>0</v>
      </c>
      <c r="O464">
        <v>6601.14</v>
      </c>
      <c r="P464">
        <v>1100.19</v>
      </c>
      <c r="Q464" t="str">
        <f t="shared" si="14"/>
        <v>WO680</v>
      </c>
      <c r="R464" t="str">
        <f t="shared" si="15"/>
        <v>CIM1C</v>
      </c>
      <c r="S464">
        <f>IF(RIGHT(R464,2)="1C",(INDEX(Tables!H:H,MATCH(R464,Tables!G:G,0))),"")</f>
        <v>50</v>
      </c>
    </row>
    <row r="465" spans="1:19">
      <c r="A465" s="12" t="s">
        <v>4682</v>
      </c>
      <c r="B465" s="12" t="s">
        <v>7452</v>
      </c>
      <c r="C465" s="12" t="s">
        <v>7453</v>
      </c>
      <c r="D465" s="12" t="s">
        <v>3790</v>
      </c>
      <c r="E465" s="13">
        <v>2850</v>
      </c>
      <c r="F465" s="13">
        <v>2850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>
        <v>0</v>
      </c>
      <c r="P465">
        <v>0</v>
      </c>
      <c r="Q465" t="str">
        <f t="shared" si="14"/>
        <v>WO680</v>
      </c>
      <c r="R465" t="str">
        <f t="shared" si="15"/>
        <v>CMZ1C</v>
      </c>
      <c r="S465">
        <f>IF(RIGHT(R465,2)="1C",(INDEX(Tables!H:H,MATCH(R465,Tables!G:G,0))),"")</f>
        <v>62</v>
      </c>
    </row>
    <row r="466" spans="1:19">
      <c r="A466" s="12" t="s">
        <v>4682</v>
      </c>
      <c r="B466" s="12" t="s">
        <v>7467</v>
      </c>
      <c r="C466" s="12" t="s">
        <v>6831</v>
      </c>
      <c r="D466" s="12" t="s">
        <v>3790</v>
      </c>
      <c r="E466" s="13">
        <v>0</v>
      </c>
      <c r="F466" s="13">
        <v>0</v>
      </c>
      <c r="G466" s="13">
        <v>0</v>
      </c>
      <c r="H466" s="13">
        <v>0</v>
      </c>
      <c r="I466" s="13">
        <v>0</v>
      </c>
      <c r="J466" s="13">
        <v>0</v>
      </c>
      <c r="K466" s="13">
        <v>0</v>
      </c>
      <c r="L466" s="13">
        <v>0</v>
      </c>
      <c r="M466" s="13">
        <v>0</v>
      </c>
      <c r="N466" s="13">
        <v>0</v>
      </c>
      <c r="O466">
        <v>0</v>
      </c>
      <c r="P466">
        <v>0</v>
      </c>
      <c r="Q466" t="str">
        <f t="shared" si="14"/>
        <v>WO700</v>
      </c>
      <c r="R466" t="str">
        <f t="shared" si="15"/>
        <v>CIM1C</v>
      </c>
      <c r="S466">
        <f>IF(RIGHT(R466,2)="1C",(INDEX(Tables!H:H,MATCH(R466,Tables!G:G,0))),"")</f>
        <v>50</v>
      </c>
    </row>
    <row r="467" spans="1:19">
      <c r="A467" s="12" t="s">
        <v>4682</v>
      </c>
      <c r="B467" s="12" t="s">
        <v>4777</v>
      </c>
      <c r="C467" s="12" t="s">
        <v>4778</v>
      </c>
      <c r="D467" s="12" t="s">
        <v>3790</v>
      </c>
      <c r="E467" s="13">
        <v>0</v>
      </c>
      <c r="F467" s="13">
        <v>0</v>
      </c>
      <c r="G467" s="13">
        <v>0</v>
      </c>
      <c r="H467" s="13">
        <v>0</v>
      </c>
      <c r="I467" s="13">
        <v>0</v>
      </c>
      <c r="J467" s="13">
        <v>0</v>
      </c>
      <c r="K467" s="13">
        <v>0</v>
      </c>
      <c r="L467" s="13">
        <v>0</v>
      </c>
      <c r="M467" s="13">
        <v>0</v>
      </c>
      <c r="N467" s="13">
        <v>0</v>
      </c>
      <c r="O467">
        <v>0</v>
      </c>
      <c r="P467">
        <v>0</v>
      </c>
      <c r="Q467" t="str">
        <f t="shared" si="14"/>
        <v>WO740</v>
      </c>
      <c r="R467" t="str">
        <f t="shared" si="15"/>
        <v>CIM1C</v>
      </c>
      <c r="S467">
        <f>IF(RIGHT(R467,2)="1C",(INDEX(Tables!H:H,MATCH(R467,Tables!G:G,0))),"")</f>
        <v>50</v>
      </c>
    </row>
    <row r="468" spans="1:19">
      <c r="A468" s="12" t="s">
        <v>4682</v>
      </c>
      <c r="B468" s="12" t="s">
        <v>6796</v>
      </c>
      <c r="C468" s="12" t="s">
        <v>6797</v>
      </c>
      <c r="D468" s="12" t="s">
        <v>3790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>
        <v>0</v>
      </c>
      <c r="P468">
        <v>0</v>
      </c>
      <c r="Q468" t="str">
        <f t="shared" si="14"/>
        <v>WO891</v>
      </c>
      <c r="R468" t="str">
        <f t="shared" si="15"/>
        <v>CIM1C</v>
      </c>
      <c r="S468">
        <f>IF(RIGHT(R468,2)="1C",(INDEX(Tables!H:H,MATCH(R468,Tables!G:G,0))),"")</f>
        <v>50</v>
      </c>
    </row>
    <row r="469" spans="1:19">
      <c r="A469" s="12" t="s">
        <v>4682</v>
      </c>
      <c r="B469" s="12" t="s">
        <v>5095</v>
      </c>
      <c r="C469" s="12" t="s">
        <v>5096</v>
      </c>
      <c r="D469" s="12" t="s">
        <v>3790</v>
      </c>
      <c r="E469" s="13">
        <v>5400</v>
      </c>
      <c r="F469" s="13">
        <v>5400</v>
      </c>
      <c r="G469" s="13">
        <v>0</v>
      </c>
      <c r="H469" s="13">
        <v>0</v>
      </c>
      <c r="I469" s="13">
        <v>769.86</v>
      </c>
      <c r="J469" s="13">
        <v>3030</v>
      </c>
      <c r="K469" s="13">
        <v>0</v>
      </c>
      <c r="L469" s="13">
        <v>0</v>
      </c>
      <c r="M469" s="13">
        <v>0</v>
      </c>
      <c r="N469" s="13">
        <v>0</v>
      </c>
      <c r="O469">
        <v>3799.86</v>
      </c>
      <c r="P469">
        <v>633.30999999999995</v>
      </c>
      <c r="Q469" t="str">
        <f t="shared" si="14"/>
        <v>WO951</v>
      </c>
      <c r="R469" t="str">
        <f t="shared" si="15"/>
        <v>CIM1C</v>
      </c>
      <c r="S469">
        <f>IF(RIGHT(R469,2)="1C",(INDEX(Tables!H:H,MATCH(R469,Tables!G:G,0))),"")</f>
        <v>50</v>
      </c>
    </row>
    <row r="470" spans="1:19">
      <c r="A470" s="12" t="s">
        <v>4682</v>
      </c>
      <c r="B470" s="12" t="s">
        <v>7178</v>
      </c>
      <c r="C470" s="12" t="s">
        <v>7179</v>
      </c>
      <c r="D470" s="12" t="s">
        <v>3790</v>
      </c>
      <c r="E470" s="13">
        <v>0</v>
      </c>
      <c r="F470" s="13">
        <v>0</v>
      </c>
      <c r="G470" s="13">
        <v>0</v>
      </c>
      <c r="H470" s="13">
        <v>0</v>
      </c>
      <c r="I470" s="13">
        <v>0</v>
      </c>
      <c r="J470" s="13">
        <v>0</v>
      </c>
      <c r="K470" s="13">
        <v>0</v>
      </c>
      <c r="L470" s="13">
        <v>0</v>
      </c>
      <c r="M470" s="13">
        <v>0</v>
      </c>
      <c r="N470" s="13">
        <v>0</v>
      </c>
      <c r="O470">
        <v>0</v>
      </c>
      <c r="P470">
        <v>0</v>
      </c>
      <c r="Q470" t="str">
        <f t="shared" si="14"/>
        <v>WO951</v>
      </c>
      <c r="R470" t="str">
        <f t="shared" si="15"/>
        <v>CMZ1C</v>
      </c>
      <c r="S470">
        <f>IF(RIGHT(R470,2)="1C",(INDEX(Tables!H:H,MATCH(R470,Tables!G:G,0))),"")</f>
        <v>62</v>
      </c>
    </row>
    <row r="471" spans="1:19">
      <c r="A471" s="12" t="s">
        <v>4682</v>
      </c>
      <c r="B471" s="12" t="s">
        <v>5193</v>
      </c>
      <c r="C471" s="12" t="s">
        <v>5194</v>
      </c>
      <c r="D471" s="12" t="s">
        <v>3790</v>
      </c>
      <c r="E471" s="13">
        <v>1531.86</v>
      </c>
      <c r="F471" s="13">
        <v>1531.86</v>
      </c>
      <c r="G471" s="13">
        <v>0</v>
      </c>
      <c r="H471" s="13">
        <v>0</v>
      </c>
      <c r="I471" s="13">
        <v>868.14</v>
      </c>
      <c r="J471" s="13">
        <v>1786</v>
      </c>
      <c r="K471" s="13">
        <v>4497</v>
      </c>
      <c r="L471" s="13">
        <v>15187</v>
      </c>
      <c r="M471" s="13">
        <v>0</v>
      </c>
      <c r="N471" s="13">
        <v>4349</v>
      </c>
      <c r="O471">
        <v>26687.1</v>
      </c>
      <c r="P471">
        <v>4447.8500000000004</v>
      </c>
      <c r="Q471" t="str">
        <f t="shared" si="14"/>
        <v>WP110</v>
      </c>
      <c r="R471" t="str">
        <f t="shared" si="15"/>
        <v>CIM1C</v>
      </c>
      <c r="S471">
        <f>IF(RIGHT(R471,2)="1C",(INDEX(Tables!H:H,MATCH(R471,Tables!G:G,0))),"")</f>
        <v>50</v>
      </c>
    </row>
    <row r="472" spans="1:19">
      <c r="A472" s="12" t="s">
        <v>4682</v>
      </c>
      <c r="B472" s="12" t="s">
        <v>4987</v>
      </c>
      <c r="C472" s="12" t="s">
        <v>4988</v>
      </c>
      <c r="D472" s="12" t="s">
        <v>3790</v>
      </c>
      <c r="E472" s="13">
        <v>1560.03</v>
      </c>
      <c r="F472" s="13">
        <v>1560.03</v>
      </c>
      <c r="G472" s="13">
        <v>0</v>
      </c>
      <c r="H472" s="13">
        <v>0</v>
      </c>
      <c r="I472" s="13">
        <v>0</v>
      </c>
      <c r="J472" s="13">
        <v>0</v>
      </c>
      <c r="K472" s="13">
        <v>902</v>
      </c>
      <c r="L472" s="13">
        <v>0</v>
      </c>
      <c r="M472" s="13">
        <v>0</v>
      </c>
      <c r="N472" s="13">
        <v>0</v>
      </c>
      <c r="O472">
        <v>902</v>
      </c>
      <c r="P472">
        <v>150.333</v>
      </c>
      <c r="Q472" t="str">
        <f t="shared" si="14"/>
        <v>WP110</v>
      </c>
      <c r="R472" t="str">
        <f t="shared" si="15"/>
        <v>CMZ1C</v>
      </c>
      <c r="S472">
        <f>IF(RIGHT(R472,2)="1C",(INDEX(Tables!H:H,MATCH(R472,Tables!G:G,0))),"")</f>
        <v>62</v>
      </c>
    </row>
    <row r="473" spans="1:19">
      <c r="A473" s="12" t="s">
        <v>4682</v>
      </c>
      <c r="B473" s="12" t="s">
        <v>5187</v>
      </c>
      <c r="C473" s="12" t="s">
        <v>5188</v>
      </c>
      <c r="D473" s="12" t="s">
        <v>3790</v>
      </c>
      <c r="E473" s="13">
        <v>1400</v>
      </c>
      <c r="F473" s="13">
        <v>1400</v>
      </c>
      <c r="G473" s="13">
        <v>0</v>
      </c>
      <c r="H473" s="13">
        <v>0</v>
      </c>
      <c r="I473" s="13">
        <v>1228.5</v>
      </c>
      <c r="J473" s="13">
        <v>0</v>
      </c>
      <c r="K473" s="13">
        <v>10867</v>
      </c>
      <c r="L473" s="13">
        <v>2900</v>
      </c>
      <c r="M473" s="13">
        <v>0</v>
      </c>
      <c r="N473" s="13">
        <v>1163</v>
      </c>
      <c r="O473">
        <v>16158.5</v>
      </c>
      <c r="P473">
        <v>2693.08</v>
      </c>
      <c r="Q473" t="str">
        <f t="shared" si="14"/>
        <v>WP115</v>
      </c>
      <c r="R473" t="str">
        <f t="shared" si="15"/>
        <v>CIM1C</v>
      </c>
      <c r="S473">
        <f>IF(RIGHT(R473,2)="1C",(INDEX(Tables!H:H,MATCH(R473,Tables!G:G,0))),"")</f>
        <v>50</v>
      </c>
    </row>
    <row r="474" spans="1:19">
      <c r="A474" s="12" t="s">
        <v>4682</v>
      </c>
      <c r="B474" s="12" t="s">
        <v>6802</v>
      </c>
      <c r="C474" s="12" t="s">
        <v>6803</v>
      </c>
      <c r="D474" s="12" t="s">
        <v>3790</v>
      </c>
      <c r="E474" s="13">
        <v>0</v>
      </c>
      <c r="F474" s="13">
        <v>0</v>
      </c>
      <c r="G474" s="13">
        <v>0</v>
      </c>
      <c r="H474" s="13">
        <v>0</v>
      </c>
      <c r="I474" s="13">
        <v>0</v>
      </c>
      <c r="J474" s="13">
        <v>0</v>
      </c>
      <c r="K474" s="13">
        <v>0</v>
      </c>
      <c r="L474" s="13">
        <v>0</v>
      </c>
      <c r="M474" s="13">
        <v>0</v>
      </c>
      <c r="N474" s="13">
        <v>0</v>
      </c>
      <c r="O474">
        <v>0</v>
      </c>
      <c r="P474">
        <v>0</v>
      </c>
      <c r="Q474" t="str">
        <f t="shared" si="14"/>
        <v>WP115</v>
      </c>
      <c r="R474" t="str">
        <f t="shared" si="15"/>
        <v>CMZ1C</v>
      </c>
      <c r="S474">
        <f>IF(RIGHT(R474,2)="1C",(INDEX(Tables!H:H,MATCH(R474,Tables!G:G,0))),"")</f>
        <v>62</v>
      </c>
    </row>
    <row r="475" spans="1:19">
      <c r="A475" s="12" t="s">
        <v>4682</v>
      </c>
      <c r="B475" s="12" t="s">
        <v>4957</v>
      </c>
      <c r="C475" s="12" t="s">
        <v>4958</v>
      </c>
      <c r="D475" s="12" t="s">
        <v>3790</v>
      </c>
      <c r="E475" s="13">
        <v>0</v>
      </c>
      <c r="F475" s="13">
        <v>0</v>
      </c>
      <c r="G475" s="13">
        <v>0</v>
      </c>
      <c r="H475" s="13">
        <v>0</v>
      </c>
      <c r="I475" s="13">
        <v>0</v>
      </c>
      <c r="J475" s="13">
        <v>0</v>
      </c>
      <c r="K475" s="13">
        <v>6847</v>
      </c>
      <c r="L475" s="13">
        <v>0</v>
      </c>
      <c r="M475" s="13">
        <v>1311</v>
      </c>
      <c r="N475" s="13">
        <v>0</v>
      </c>
      <c r="O475">
        <v>8158</v>
      </c>
      <c r="P475">
        <v>1359.66</v>
      </c>
      <c r="Q475" t="str">
        <f t="shared" si="14"/>
        <v>WP120</v>
      </c>
      <c r="R475" t="str">
        <f t="shared" si="15"/>
        <v>CIM1C</v>
      </c>
      <c r="S475">
        <f>IF(RIGHT(R475,2)="1C",(INDEX(Tables!H:H,MATCH(R475,Tables!G:G,0))),"")</f>
        <v>50</v>
      </c>
    </row>
    <row r="476" spans="1:19">
      <c r="A476" s="12" t="s">
        <v>4682</v>
      </c>
      <c r="B476" s="12" t="s">
        <v>4769</v>
      </c>
      <c r="C476" s="12" t="s">
        <v>4770</v>
      </c>
      <c r="D476" s="12" t="s">
        <v>3790</v>
      </c>
      <c r="E476" s="13">
        <v>2205.5700000000002</v>
      </c>
      <c r="F476" s="13">
        <v>2205.5700000000002</v>
      </c>
      <c r="G476" s="13">
        <v>0</v>
      </c>
      <c r="H476" s="13">
        <v>0</v>
      </c>
      <c r="I476" s="13">
        <v>794.43</v>
      </c>
      <c r="J476" s="13">
        <v>3464</v>
      </c>
      <c r="K476" s="13">
        <v>0</v>
      </c>
      <c r="L476" s="13">
        <v>0</v>
      </c>
      <c r="M476" s="13">
        <v>0</v>
      </c>
      <c r="N476" s="13">
        <v>0</v>
      </c>
      <c r="O476">
        <v>4258.43</v>
      </c>
      <c r="P476">
        <v>709.73800000000006</v>
      </c>
      <c r="Q476" t="str">
        <f t="shared" si="14"/>
        <v>WP125</v>
      </c>
      <c r="R476" t="str">
        <f t="shared" si="15"/>
        <v>CIM1C</v>
      </c>
      <c r="S476">
        <f>IF(RIGHT(R476,2)="1C",(INDEX(Tables!H:H,MATCH(R476,Tables!G:G,0))),"")</f>
        <v>50</v>
      </c>
    </row>
    <row r="477" spans="1:19">
      <c r="A477" s="12" t="s">
        <v>4682</v>
      </c>
      <c r="B477" s="12" t="s">
        <v>7234</v>
      </c>
      <c r="C477" s="12" t="s">
        <v>7235</v>
      </c>
      <c r="D477" s="12" t="s">
        <v>3790</v>
      </c>
      <c r="E477" s="13">
        <v>0</v>
      </c>
      <c r="F477" s="13">
        <v>0</v>
      </c>
      <c r="G477" s="13">
        <v>0</v>
      </c>
      <c r="H477" s="13">
        <v>0</v>
      </c>
      <c r="I477" s="13">
        <v>0</v>
      </c>
      <c r="J477" s="13">
        <v>0</v>
      </c>
      <c r="K477" s="13">
        <v>1400</v>
      </c>
      <c r="L477" s="13">
        <v>0</v>
      </c>
      <c r="M477" s="13">
        <v>0</v>
      </c>
      <c r="N477" s="13">
        <v>0</v>
      </c>
      <c r="O477">
        <v>1400</v>
      </c>
      <c r="P477">
        <v>233.333</v>
      </c>
      <c r="Q477" t="str">
        <f t="shared" si="14"/>
        <v>WP140</v>
      </c>
      <c r="R477" t="str">
        <f t="shared" si="15"/>
        <v>CIM1C</v>
      </c>
      <c r="S477">
        <f>IF(RIGHT(R477,2)="1C",(INDEX(Tables!H:H,MATCH(R477,Tables!G:G,0))),"")</f>
        <v>50</v>
      </c>
    </row>
    <row r="478" spans="1:19">
      <c r="A478" s="12" t="s">
        <v>4682</v>
      </c>
      <c r="B478" s="12" t="s">
        <v>7368</v>
      </c>
      <c r="C478" s="12" t="s">
        <v>7369</v>
      </c>
      <c r="D478" s="12" t="s">
        <v>3790</v>
      </c>
      <c r="E478" s="13">
        <v>0</v>
      </c>
      <c r="F478" s="13">
        <v>0</v>
      </c>
      <c r="G478" s="13">
        <v>0</v>
      </c>
      <c r="H478" s="13">
        <v>0</v>
      </c>
      <c r="I478" s="13">
        <v>0</v>
      </c>
      <c r="J478" s="13">
        <v>0</v>
      </c>
      <c r="K478" s="13">
        <v>0</v>
      </c>
      <c r="L478" s="13">
        <v>0</v>
      </c>
      <c r="M478" s="13">
        <v>0</v>
      </c>
      <c r="N478" s="13">
        <v>0</v>
      </c>
      <c r="O478">
        <v>0</v>
      </c>
      <c r="P478">
        <v>0</v>
      </c>
      <c r="Q478" t="str">
        <f t="shared" si="14"/>
        <v>WP140</v>
      </c>
      <c r="R478" t="str">
        <f t="shared" si="15"/>
        <v>CMZ1C</v>
      </c>
      <c r="S478">
        <f>IF(RIGHT(R478,2)="1C",(INDEX(Tables!H:H,MATCH(R478,Tables!G:G,0))),"")</f>
        <v>62</v>
      </c>
    </row>
    <row r="479" spans="1:19">
      <c r="A479" s="12" t="s">
        <v>4682</v>
      </c>
      <c r="B479" s="12" t="s">
        <v>4883</v>
      </c>
      <c r="C479" s="12" t="s">
        <v>4884</v>
      </c>
      <c r="D479" s="12" t="s">
        <v>3790</v>
      </c>
      <c r="E479" s="13">
        <v>0</v>
      </c>
      <c r="F479" s="13">
        <v>0</v>
      </c>
      <c r="G479" s="13">
        <v>0</v>
      </c>
      <c r="H479" s="13">
        <v>0</v>
      </c>
      <c r="I479" s="13">
        <v>1474.2</v>
      </c>
      <c r="J479" s="13">
        <v>1229</v>
      </c>
      <c r="K479" s="13">
        <v>0</v>
      </c>
      <c r="L479" s="13">
        <v>1401</v>
      </c>
      <c r="M479" s="13">
        <v>0</v>
      </c>
      <c r="N479" s="13">
        <v>0</v>
      </c>
      <c r="O479">
        <v>4104.2</v>
      </c>
      <c r="P479">
        <v>684.03300000000002</v>
      </c>
      <c r="Q479" t="str">
        <f t="shared" si="14"/>
        <v>WP500</v>
      </c>
      <c r="R479" t="str">
        <f t="shared" si="15"/>
        <v>CIM1C</v>
      </c>
      <c r="S479">
        <f>IF(RIGHT(R479,2)="1C",(INDEX(Tables!H:H,MATCH(R479,Tables!G:G,0))),"")</f>
        <v>50</v>
      </c>
    </row>
    <row r="480" spans="1:19">
      <c r="A480" s="12" t="s">
        <v>4682</v>
      </c>
      <c r="B480" s="12" t="s">
        <v>7414</v>
      </c>
      <c r="C480" s="12" t="s">
        <v>7415</v>
      </c>
      <c r="D480" s="12" t="s">
        <v>3790</v>
      </c>
      <c r="E480" s="13">
        <v>31.99</v>
      </c>
      <c r="F480" s="13">
        <v>31.99</v>
      </c>
      <c r="G480" s="13">
        <v>0</v>
      </c>
      <c r="H480" s="13">
        <v>0</v>
      </c>
      <c r="I480" s="13">
        <v>0</v>
      </c>
      <c r="J480" s="13">
        <v>0</v>
      </c>
      <c r="K480" s="13">
        <v>0</v>
      </c>
      <c r="L480" s="13">
        <v>0</v>
      </c>
      <c r="M480" s="13">
        <v>0</v>
      </c>
      <c r="N480" s="13">
        <v>0</v>
      </c>
      <c r="O480">
        <v>0</v>
      </c>
      <c r="P480">
        <v>0</v>
      </c>
      <c r="Q480" t="str">
        <f t="shared" si="14"/>
        <v>WP500</v>
      </c>
      <c r="R480" t="str">
        <f t="shared" si="15"/>
        <v>CMZ1C</v>
      </c>
      <c r="S480">
        <f>IF(RIGHT(R480,2)="1C",(INDEX(Tables!H:H,MATCH(R480,Tables!G:G,0))),"")</f>
        <v>62</v>
      </c>
    </row>
    <row r="481" spans="1:19">
      <c r="A481" s="12" t="s">
        <v>4682</v>
      </c>
      <c r="B481" s="12" t="s">
        <v>6843</v>
      </c>
      <c r="C481" s="12" t="s">
        <v>6844</v>
      </c>
      <c r="D481" s="12" t="s">
        <v>3790</v>
      </c>
      <c r="E481" s="13">
        <v>0</v>
      </c>
      <c r="F481" s="13">
        <v>0</v>
      </c>
      <c r="G481" s="13">
        <v>0</v>
      </c>
      <c r="H481" s="13">
        <v>0</v>
      </c>
      <c r="I481" s="13">
        <v>0</v>
      </c>
      <c r="J481" s="13">
        <v>0</v>
      </c>
      <c r="K481" s="13">
        <v>0</v>
      </c>
      <c r="L481" s="13">
        <v>0</v>
      </c>
      <c r="M481" s="13">
        <v>0</v>
      </c>
      <c r="N481" s="13">
        <v>0</v>
      </c>
      <c r="O481">
        <v>0</v>
      </c>
      <c r="P481">
        <v>0</v>
      </c>
      <c r="Q481" t="str">
        <f t="shared" si="14"/>
        <v>WT741</v>
      </c>
      <c r="R481" t="str">
        <f t="shared" si="15"/>
        <v>CIM1C</v>
      </c>
      <c r="S481">
        <f>IF(RIGHT(R481,2)="1C",(INDEX(Tables!H:H,MATCH(R481,Tables!G:G,0))),"")</f>
        <v>50</v>
      </c>
    </row>
    <row r="482" spans="1:19">
      <c r="A482" s="12" t="s">
        <v>4682</v>
      </c>
      <c r="B482" s="12" t="s">
        <v>4859</v>
      </c>
      <c r="C482" s="12" t="s">
        <v>4860</v>
      </c>
      <c r="D482" s="12" t="s">
        <v>3790</v>
      </c>
      <c r="E482" s="13">
        <v>0</v>
      </c>
      <c r="F482" s="13">
        <v>0</v>
      </c>
      <c r="G482" s="13">
        <v>0</v>
      </c>
      <c r="H482" s="13">
        <v>0</v>
      </c>
      <c r="I482" s="13">
        <v>0</v>
      </c>
      <c r="J482" s="13">
        <v>1786</v>
      </c>
      <c r="K482" s="13">
        <v>0</v>
      </c>
      <c r="L482" s="13">
        <v>0</v>
      </c>
      <c r="M482" s="13">
        <v>1148</v>
      </c>
      <c r="N482" s="13">
        <v>0</v>
      </c>
      <c r="O482">
        <v>2934</v>
      </c>
      <c r="P482">
        <v>489</v>
      </c>
      <c r="Q482" t="str">
        <f t="shared" si="14"/>
        <v>WT790</v>
      </c>
      <c r="R482" t="str">
        <f t="shared" si="15"/>
        <v>CIM1C</v>
      </c>
      <c r="S482">
        <f>IF(RIGHT(R482,2)="1C",(INDEX(Tables!H:H,MATCH(R482,Tables!G:G,0))),"")</f>
        <v>50</v>
      </c>
    </row>
    <row r="483" spans="1:19">
      <c r="A483" s="12" t="s">
        <v>4682</v>
      </c>
      <c r="B483" s="12" t="s">
        <v>7133</v>
      </c>
      <c r="C483" s="12" t="s">
        <v>7134</v>
      </c>
      <c r="D483" s="12" t="s">
        <v>3790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>
        <v>0</v>
      </c>
      <c r="P483">
        <v>0</v>
      </c>
      <c r="Q483" t="str">
        <f t="shared" si="14"/>
        <v>WT790</v>
      </c>
      <c r="R483" t="str">
        <f t="shared" si="15"/>
        <v>CMZ1C</v>
      </c>
      <c r="S483">
        <f>IF(RIGHT(R483,2)="1C",(INDEX(Tables!H:H,MATCH(R483,Tables!G:G,0))),"")</f>
        <v>62</v>
      </c>
    </row>
    <row r="484" spans="1:19">
      <c r="A484" s="12" t="s">
        <v>4682</v>
      </c>
      <c r="B484" s="12" t="s">
        <v>5109</v>
      </c>
      <c r="C484" s="12" t="s">
        <v>5110</v>
      </c>
      <c r="D484" s="12" t="s">
        <v>3790</v>
      </c>
      <c r="E484" s="13">
        <v>6024.99</v>
      </c>
      <c r="F484" s="13">
        <v>6024.99</v>
      </c>
      <c r="G484" s="13">
        <v>0</v>
      </c>
      <c r="H484" s="13">
        <v>0</v>
      </c>
      <c r="I484" s="13">
        <v>2285.0100000000002</v>
      </c>
      <c r="J484" s="13">
        <v>0</v>
      </c>
      <c r="K484" s="13">
        <v>4021</v>
      </c>
      <c r="L484" s="13">
        <v>2237</v>
      </c>
      <c r="M484" s="13">
        <v>0</v>
      </c>
      <c r="N484" s="13">
        <v>0</v>
      </c>
      <c r="O484">
        <v>8543.01</v>
      </c>
      <c r="P484">
        <v>1423.83</v>
      </c>
      <c r="Q484" t="str">
        <f t="shared" si="14"/>
        <v>WT850</v>
      </c>
      <c r="R484" t="str">
        <f t="shared" si="15"/>
        <v>CIM1C</v>
      </c>
      <c r="S484">
        <f>IF(RIGHT(R484,2)="1C",(INDEX(Tables!H:H,MATCH(R484,Tables!G:G,0))),"")</f>
        <v>50</v>
      </c>
    </row>
    <row r="485" spans="1:19">
      <c r="A485" s="12" t="s">
        <v>4682</v>
      </c>
      <c r="B485" s="12" t="s">
        <v>7125</v>
      </c>
      <c r="C485" s="12" t="s">
        <v>7126</v>
      </c>
      <c r="D485" s="12" t="s">
        <v>3790</v>
      </c>
      <c r="E485" s="13">
        <v>0</v>
      </c>
      <c r="F485" s="13">
        <v>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>
        <v>0</v>
      </c>
      <c r="P485">
        <v>0</v>
      </c>
      <c r="Q485" t="str">
        <f t="shared" si="14"/>
        <v>WT850</v>
      </c>
      <c r="R485" t="str">
        <f t="shared" si="15"/>
        <v>CMZ1C</v>
      </c>
      <c r="S485">
        <f>IF(RIGHT(R485,2)="1C",(INDEX(Tables!H:H,MATCH(R485,Tables!G:G,0))),"")</f>
        <v>62</v>
      </c>
    </row>
    <row r="486" spans="1:19">
      <c r="A486" s="12" t="s">
        <v>4682</v>
      </c>
      <c r="B486" s="12" t="s">
        <v>4741</v>
      </c>
      <c r="C486" s="12" t="s">
        <v>4742</v>
      </c>
      <c r="D486" s="12" t="s">
        <v>3790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1245</v>
      </c>
      <c r="K486" s="13">
        <v>0</v>
      </c>
      <c r="L486" s="13">
        <v>0</v>
      </c>
      <c r="M486" s="13">
        <v>0</v>
      </c>
      <c r="N486" s="13">
        <v>0</v>
      </c>
      <c r="O486">
        <v>1245</v>
      </c>
      <c r="P486">
        <v>207.5</v>
      </c>
      <c r="Q486" t="str">
        <f t="shared" si="14"/>
        <v>WT860</v>
      </c>
      <c r="R486" t="str">
        <f t="shared" si="15"/>
        <v>CIM1C</v>
      </c>
      <c r="S486">
        <f>IF(RIGHT(R486,2)="1C",(INDEX(Tables!H:H,MATCH(R486,Tables!G:G,0))),"")</f>
        <v>50</v>
      </c>
    </row>
    <row r="487" spans="1:19">
      <c r="A487" s="12" t="s">
        <v>4682</v>
      </c>
      <c r="B487" s="12" t="s">
        <v>5135</v>
      </c>
      <c r="C487" s="12" t="s">
        <v>5136</v>
      </c>
      <c r="D487" s="12" t="s">
        <v>3790</v>
      </c>
      <c r="E487" s="13">
        <v>8354</v>
      </c>
      <c r="F487" s="13">
        <v>8354</v>
      </c>
      <c r="G487" s="13">
        <v>0</v>
      </c>
      <c r="H487" s="13">
        <v>0</v>
      </c>
      <c r="I487" s="13">
        <v>0</v>
      </c>
      <c r="J487" s="13">
        <v>2343</v>
      </c>
      <c r="K487" s="13">
        <v>1965</v>
      </c>
      <c r="L487" s="13">
        <v>4229</v>
      </c>
      <c r="M487" s="13">
        <v>4399</v>
      </c>
      <c r="N487" s="13">
        <v>0</v>
      </c>
      <c r="O487">
        <v>12936</v>
      </c>
      <c r="P487">
        <v>2156</v>
      </c>
      <c r="Q487" t="str">
        <f t="shared" si="14"/>
        <v>WT870</v>
      </c>
      <c r="R487" t="str">
        <f t="shared" si="15"/>
        <v>CIM1C</v>
      </c>
      <c r="S487">
        <f>IF(RIGHT(R487,2)="1C",(INDEX(Tables!H:H,MATCH(R487,Tables!G:G,0))),"")</f>
        <v>50</v>
      </c>
    </row>
    <row r="488" spans="1:19">
      <c r="A488" s="12" t="s">
        <v>4682</v>
      </c>
      <c r="B488" s="12" t="s">
        <v>7370</v>
      </c>
      <c r="C488" s="12" t="s">
        <v>7371</v>
      </c>
      <c r="D488" s="12" t="s">
        <v>3790</v>
      </c>
      <c r="E488" s="13">
        <v>99.86</v>
      </c>
      <c r="F488" s="13">
        <v>99.86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>
        <v>0</v>
      </c>
      <c r="P488">
        <v>0</v>
      </c>
      <c r="Q488" t="str">
        <f t="shared" si="14"/>
        <v>WT870</v>
      </c>
      <c r="R488" t="str">
        <f t="shared" si="15"/>
        <v>CMZ1C</v>
      </c>
      <c r="S488">
        <f>IF(RIGHT(R488,2)="1C",(INDEX(Tables!H:H,MATCH(R488,Tables!G:G,0))),"")</f>
        <v>62</v>
      </c>
    </row>
    <row r="489" spans="1:19">
      <c r="A489" s="12" t="s">
        <v>4682</v>
      </c>
      <c r="B489" s="12" t="s">
        <v>4731</v>
      </c>
      <c r="C489" s="12" t="s">
        <v>4732</v>
      </c>
      <c r="D489" s="12" t="s">
        <v>3790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1048</v>
      </c>
      <c r="K489" s="13">
        <v>0</v>
      </c>
      <c r="L489" s="13">
        <v>0</v>
      </c>
      <c r="M489" s="13">
        <v>0</v>
      </c>
      <c r="N489" s="13">
        <v>0</v>
      </c>
      <c r="O489">
        <v>1048</v>
      </c>
      <c r="P489">
        <v>174.666</v>
      </c>
      <c r="Q489" t="str">
        <f t="shared" si="14"/>
        <v>WT880</v>
      </c>
      <c r="R489" t="str">
        <f t="shared" si="15"/>
        <v>CIM1C</v>
      </c>
      <c r="S489">
        <f>IF(RIGHT(R489,2)="1C",(INDEX(Tables!H:H,MATCH(R489,Tables!G:G,0))),"")</f>
        <v>50</v>
      </c>
    </row>
    <row r="490" spans="1:19">
      <c r="A490" s="12" t="s">
        <v>4682</v>
      </c>
      <c r="B490" s="12" t="s">
        <v>5013</v>
      </c>
      <c r="C490" s="12" t="s">
        <v>5014</v>
      </c>
      <c r="D490" s="12" t="s">
        <v>3790</v>
      </c>
      <c r="E490" s="13">
        <v>4888.29</v>
      </c>
      <c r="F490" s="13">
        <v>4888.29</v>
      </c>
      <c r="G490" s="13">
        <v>0</v>
      </c>
      <c r="H490" s="13">
        <v>0</v>
      </c>
      <c r="I490" s="13">
        <v>1711.71</v>
      </c>
      <c r="J490" s="13">
        <v>8026</v>
      </c>
      <c r="K490" s="13">
        <v>4317</v>
      </c>
      <c r="L490" s="13">
        <v>1819</v>
      </c>
      <c r="M490" s="13">
        <v>0</v>
      </c>
      <c r="N490" s="13">
        <v>0</v>
      </c>
      <c r="O490">
        <v>15873.7</v>
      </c>
      <c r="P490">
        <v>2645.61</v>
      </c>
      <c r="Q490" t="str">
        <f t="shared" si="14"/>
        <v>WW011</v>
      </c>
      <c r="R490" t="str">
        <f t="shared" si="15"/>
        <v>CIM1C</v>
      </c>
      <c r="S490">
        <f>IF(RIGHT(R490,2)="1C",(INDEX(Tables!H:H,MATCH(R490,Tables!G:G,0))),"")</f>
        <v>50</v>
      </c>
    </row>
    <row r="491" spans="1:19">
      <c r="A491" s="12" t="s">
        <v>4682</v>
      </c>
      <c r="B491" s="12" t="s">
        <v>6925</v>
      </c>
      <c r="C491" s="12" t="s">
        <v>6926</v>
      </c>
      <c r="D491" s="12" t="s">
        <v>3790</v>
      </c>
      <c r="E491" s="13">
        <v>0</v>
      </c>
      <c r="F491" s="13">
        <v>0</v>
      </c>
      <c r="G491" s="13">
        <v>0</v>
      </c>
      <c r="H491" s="13">
        <v>0</v>
      </c>
      <c r="I491" s="13">
        <v>0</v>
      </c>
      <c r="J491" s="13">
        <v>0</v>
      </c>
      <c r="K491" s="13">
        <v>0</v>
      </c>
      <c r="L491" s="13">
        <v>0</v>
      </c>
      <c r="M491" s="13">
        <v>0</v>
      </c>
      <c r="N491" s="13">
        <v>0</v>
      </c>
      <c r="O491">
        <v>0</v>
      </c>
      <c r="P491">
        <v>0</v>
      </c>
      <c r="Q491" t="str">
        <f t="shared" si="14"/>
        <v>WW011</v>
      </c>
      <c r="R491" t="str">
        <f t="shared" si="15"/>
        <v>CMZ1C</v>
      </c>
      <c r="S491">
        <f>IF(RIGHT(R491,2)="1C",(INDEX(Tables!H:H,MATCH(R491,Tables!G:G,0))),"")</f>
        <v>62</v>
      </c>
    </row>
    <row r="492" spans="1:19">
      <c r="A492" s="12" t="s">
        <v>4682</v>
      </c>
      <c r="B492" s="12" t="s">
        <v>4963</v>
      </c>
      <c r="C492" s="12" t="s">
        <v>4964</v>
      </c>
      <c r="D492" s="12" t="s">
        <v>3790</v>
      </c>
      <c r="E492" s="13">
        <v>1400</v>
      </c>
      <c r="F492" s="13">
        <v>1400</v>
      </c>
      <c r="G492" s="13">
        <v>0</v>
      </c>
      <c r="H492" s="13">
        <v>0</v>
      </c>
      <c r="I492" s="13">
        <v>810.81</v>
      </c>
      <c r="J492" s="13">
        <v>0</v>
      </c>
      <c r="K492" s="13">
        <v>0</v>
      </c>
      <c r="L492" s="13">
        <v>0</v>
      </c>
      <c r="M492" s="13">
        <v>0</v>
      </c>
      <c r="N492" s="13">
        <v>0</v>
      </c>
      <c r="O492">
        <v>810.81</v>
      </c>
      <c r="P492">
        <v>135.13499999999999</v>
      </c>
      <c r="Q492" t="str">
        <f t="shared" si="14"/>
        <v>WW050</v>
      </c>
      <c r="R492" t="str">
        <f t="shared" si="15"/>
        <v>CIM1C</v>
      </c>
      <c r="S492">
        <f>IF(RIGHT(R492,2)="1C",(INDEX(Tables!H:H,MATCH(R492,Tables!G:G,0))),"")</f>
        <v>50</v>
      </c>
    </row>
    <row r="493" spans="1:19">
      <c r="A493" s="12" t="s">
        <v>4682</v>
      </c>
      <c r="B493" s="12" t="s">
        <v>5009</v>
      </c>
      <c r="C493" s="12" t="s">
        <v>5010</v>
      </c>
      <c r="D493" s="12" t="s">
        <v>3790</v>
      </c>
      <c r="E493" s="13">
        <v>1946.57</v>
      </c>
      <c r="F493" s="13">
        <v>1946.57</v>
      </c>
      <c r="G493" s="13">
        <v>0</v>
      </c>
      <c r="H493" s="13">
        <v>0</v>
      </c>
      <c r="I493" s="13">
        <v>1613.43</v>
      </c>
      <c r="J493" s="13">
        <v>1008</v>
      </c>
      <c r="K493" s="13">
        <v>1990</v>
      </c>
      <c r="L493" s="13">
        <v>1204</v>
      </c>
      <c r="M493" s="13">
        <v>0</v>
      </c>
      <c r="N493" s="13">
        <v>0</v>
      </c>
      <c r="O493">
        <v>5815.43</v>
      </c>
      <c r="P493">
        <v>969.23800000000006</v>
      </c>
      <c r="Q493" t="str">
        <f t="shared" si="14"/>
        <v>WW075</v>
      </c>
      <c r="R493" t="str">
        <f t="shared" si="15"/>
        <v>CIM1C</v>
      </c>
      <c r="S493">
        <f>IF(RIGHT(R493,2)="1C",(INDEX(Tables!H:H,MATCH(R493,Tables!G:G,0))),"")</f>
        <v>50</v>
      </c>
    </row>
    <row r="494" spans="1:19">
      <c r="A494" s="12" t="s">
        <v>4682</v>
      </c>
      <c r="B494" s="12" t="s">
        <v>4755</v>
      </c>
      <c r="C494" s="12" t="s">
        <v>4756</v>
      </c>
      <c r="D494" s="12" t="s">
        <v>3790</v>
      </c>
      <c r="E494" s="13">
        <v>0</v>
      </c>
      <c r="F494" s="13">
        <v>0</v>
      </c>
      <c r="G494" s="13">
        <v>0</v>
      </c>
      <c r="H494" s="13">
        <v>0</v>
      </c>
      <c r="I494" s="13">
        <v>0</v>
      </c>
      <c r="J494" s="13">
        <v>0</v>
      </c>
      <c r="K494" s="13">
        <v>0</v>
      </c>
      <c r="L494" s="13">
        <v>0</v>
      </c>
      <c r="M494" s="13">
        <v>0</v>
      </c>
      <c r="N494" s="13">
        <v>0</v>
      </c>
      <c r="O494">
        <v>0</v>
      </c>
      <c r="P494">
        <v>0</v>
      </c>
      <c r="Q494" t="str">
        <f t="shared" si="14"/>
        <v>WW120</v>
      </c>
      <c r="R494" t="str">
        <f t="shared" si="15"/>
        <v>CIM1C</v>
      </c>
      <c r="S494">
        <f>IF(RIGHT(R494,2)="1C",(INDEX(Tables!H:H,MATCH(R494,Tables!G:G,0))),"")</f>
        <v>50</v>
      </c>
    </row>
    <row r="495" spans="1:19">
      <c r="A495" s="12" t="s">
        <v>4682</v>
      </c>
      <c r="B495" s="12" t="s">
        <v>5119</v>
      </c>
      <c r="C495" s="12" t="s">
        <v>5120</v>
      </c>
      <c r="D495" s="12" t="s">
        <v>3790</v>
      </c>
      <c r="E495" s="13">
        <v>2226.25</v>
      </c>
      <c r="F495" s="13">
        <v>2226.25</v>
      </c>
      <c r="G495" s="13">
        <v>0</v>
      </c>
      <c r="H495" s="13">
        <v>0</v>
      </c>
      <c r="I495" s="13">
        <v>1023.75</v>
      </c>
      <c r="J495" s="13">
        <v>1728</v>
      </c>
      <c r="K495" s="13">
        <v>12113</v>
      </c>
      <c r="L495" s="13">
        <v>2990</v>
      </c>
      <c r="M495" s="13">
        <v>1179</v>
      </c>
      <c r="N495" s="13">
        <v>1720</v>
      </c>
      <c r="O495">
        <v>20753.7</v>
      </c>
      <c r="P495">
        <v>3458.95</v>
      </c>
      <c r="Q495" t="str">
        <f t="shared" si="14"/>
        <v>WW160</v>
      </c>
      <c r="R495" t="str">
        <f t="shared" si="15"/>
        <v>CIM1C</v>
      </c>
      <c r="S495">
        <f>IF(RIGHT(R495,2)="1C",(INDEX(Tables!H:H,MATCH(R495,Tables!G:G,0))),"")</f>
        <v>50</v>
      </c>
    </row>
    <row r="496" spans="1:19">
      <c r="A496" s="12" t="s">
        <v>4682</v>
      </c>
      <c r="B496" s="12" t="s">
        <v>7448</v>
      </c>
      <c r="C496" s="12" t="s">
        <v>7449</v>
      </c>
      <c r="D496" s="12" t="s">
        <v>3790</v>
      </c>
      <c r="E496" s="13">
        <v>13.19</v>
      </c>
      <c r="F496" s="13">
        <v>13.19</v>
      </c>
      <c r="G496" s="13">
        <v>0</v>
      </c>
      <c r="H496" s="13">
        <v>0</v>
      </c>
      <c r="I496" s="13">
        <v>0</v>
      </c>
      <c r="J496" s="13">
        <v>0</v>
      </c>
      <c r="K496" s="13">
        <v>0</v>
      </c>
      <c r="L496" s="13">
        <v>0</v>
      </c>
      <c r="M496" s="13">
        <v>0</v>
      </c>
      <c r="N496" s="13">
        <v>0</v>
      </c>
      <c r="O496">
        <v>0</v>
      </c>
      <c r="P496">
        <v>0</v>
      </c>
      <c r="Q496" t="str">
        <f t="shared" si="14"/>
        <v>WW160</v>
      </c>
      <c r="R496" t="str">
        <f t="shared" si="15"/>
        <v>CMZ1C</v>
      </c>
      <c r="S496">
        <f>IF(RIGHT(R496,2)="1C",(INDEX(Tables!H:H,MATCH(R496,Tables!G:G,0))),"")</f>
        <v>62</v>
      </c>
    </row>
    <row r="497" spans="1:19">
      <c r="A497" s="12" t="s">
        <v>4682</v>
      </c>
      <c r="B497" s="12" t="s">
        <v>6798</v>
      </c>
      <c r="C497" s="12" t="s">
        <v>6799</v>
      </c>
      <c r="D497" s="12" t="s">
        <v>3790</v>
      </c>
      <c r="E497" s="13">
        <v>0</v>
      </c>
      <c r="F497" s="13">
        <v>0</v>
      </c>
      <c r="G497" s="13">
        <v>0</v>
      </c>
      <c r="H497" s="13">
        <v>0</v>
      </c>
      <c r="I497" s="13">
        <v>0</v>
      </c>
      <c r="J497" s="13">
        <v>0</v>
      </c>
      <c r="K497" s="13">
        <v>0</v>
      </c>
      <c r="L497" s="13">
        <v>0</v>
      </c>
      <c r="M497" s="13">
        <v>0</v>
      </c>
      <c r="N497" s="13">
        <v>0</v>
      </c>
      <c r="O497">
        <v>0</v>
      </c>
      <c r="P497">
        <v>0</v>
      </c>
      <c r="Q497" t="str">
        <f t="shared" si="14"/>
        <v>WW185</v>
      </c>
      <c r="R497" t="str">
        <f t="shared" si="15"/>
        <v>CIM1C</v>
      </c>
      <c r="S497">
        <f>IF(RIGHT(R497,2)="1C",(INDEX(Tables!H:H,MATCH(R497,Tables!G:G,0))),"")</f>
        <v>50</v>
      </c>
    </row>
    <row r="498" spans="1:19">
      <c r="A498" s="12" t="s">
        <v>4682</v>
      </c>
      <c r="B498" s="12" t="s">
        <v>4751</v>
      </c>
      <c r="C498" s="12" t="s">
        <v>4752</v>
      </c>
      <c r="D498" s="12" t="s">
        <v>3790</v>
      </c>
      <c r="E498" s="13">
        <v>0</v>
      </c>
      <c r="F498" s="13">
        <v>0</v>
      </c>
      <c r="G498" s="13">
        <v>0</v>
      </c>
      <c r="H498" s="13">
        <v>0</v>
      </c>
      <c r="I498" s="13">
        <v>0</v>
      </c>
      <c r="J498" s="13">
        <v>2482</v>
      </c>
      <c r="K498" s="13">
        <v>0</v>
      </c>
      <c r="L498" s="13">
        <v>0</v>
      </c>
      <c r="M498" s="13">
        <v>0</v>
      </c>
      <c r="N498" s="13">
        <v>0</v>
      </c>
      <c r="O498">
        <v>2482</v>
      </c>
      <c r="P498">
        <v>413.666</v>
      </c>
      <c r="Q498" t="str">
        <f t="shared" si="14"/>
        <v>WW561</v>
      </c>
      <c r="R498" t="str">
        <f t="shared" si="15"/>
        <v>CIM1C</v>
      </c>
      <c r="S498">
        <f>IF(RIGHT(R498,2)="1C",(INDEX(Tables!H:H,MATCH(R498,Tables!G:G,0))),"")</f>
        <v>50</v>
      </c>
    </row>
    <row r="499" spans="1:19">
      <c r="A499" s="12" t="s">
        <v>4682</v>
      </c>
      <c r="B499" s="12" t="s">
        <v>4921</v>
      </c>
      <c r="C499" s="12" t="s">
        <v>4922</v>
      </c>
      <c r="D499" s="12" t="s">
        <v>3790</v>
      </c>
      <c r="E499" s="13">
        <v>0</v>
      </c>
      <c r="F499" s="13">
        <v>0</v>
      </c>
      <c r="G499" s="13">
        <v>0</v>
      </c>
      <c r="H499" s="13">
        <v>0</v>
      </c>
      <c r="I499" s="13">
        <v>0</v>
      </c>
      <c r="J499" s="13">
        <v>786</v>
      </c>
      <c r="K499" s="13">
        <v>0</v>
      </c>
      <c r="L499" s="13">
        <v>0</v>
      </c>
      <c r="M499" s="13">
        <v>778</v>
      </c>
      <c r="N499" s="13">
        <v>0</v>
      </c>
      <c r="O499">
        <v>1564</v>
      </c>
      <c r="P499">
        <v>260.666</v>
      </c>
      <c r="Q499" t="str">
        <f t="shared" si="14"/>
        <v>WW601</v>
      </c>
      <c r="R499" t="str">
        <f t="shared" si="15"/>
        <v>CIM1C</v>
      </c>
      <c r="S499">
        <f>IF(RIGHT(R499,2)="1C",(INDEX(Tables!H:H,MATCH(R499,Tables!G:G,0))),"")</f>
        <v>50</v>
      </c>
    </row>
    <row r="500" spans="1:19">
      <c r="A500" s="12" t="s">
        <v>4682</v>
      </c>
      <c r="B500" s="12" t="s">
        <v>7182</v>
      </c>
      <c r="C500" s="12" t="s">
        <v>7183</v>
      </c>
      <c r="D500" s="12" t="s">
        <v>3790</v>
      </c>
      <c r="E500" s="13">
        <v>0</v>
      </c>
      <c r="F500" s="13">
        <v>0</v>
      </c>
      <c r="G500" s="13">
        <v>0</v>
      </c>
      <c r="H500" s="13">
        <v>0</v>
      </c>
      <c r="I500" s="13">
        <v>0</v>
      </c>
      <c r="J500" s="13">
        <v>0</v>
      </c>
      <c r="K500" s="13">
        <v>0</v>
      </c>
      <c r="L500" s="13">
        <v>0</v>
      </c>
      <c r="M500" s="13">
        <v>0</v>
      </c>
      <c r="N500" s="13">
        <v>0</v>
      </c>
      <c r="O500">
        <v>0</v>
      </c>
      <c r="P500">
        <v>0</v>
      </c>
      <c r="Q500" t="str">
        <f t="shared" si="14"/>
        <v>WW601</v>
      </c>
      <c r="R500" t="str">
        <f t="shared" si="15"/>
        <v>CMZ1C</v>
      </c>
      <c r="S500">
        <f>IF(RIGHT(R500,2)="1C",(INDEX(Tables!H:H,MATCH(R500,Tables!G:G,0))),"")</f>
        <v>62</v>
      </c>
    </row>
    <row r="501" spans="1:19">
      <c r="A501" s="12" t="s">
        <v>4682</v>
      </c>
      <c r="B501" s="12" t="s">
        <v>7337</v>
      </c>
      <c r="C501" s="12" t="s">
        <v>7338</v>
      </c>
      <c r="D501" s="12" t="s">
        <v>3790</v>
      </c>
      <c r="E501" s="13">
        <v>0</v>
      </c>
      <c r="F501" s="13">
        <v>0</v>
      </c>
      <c r="G501" s="13">
        <v>0</v>
      </c>
      <c r="H501" s="13">
        <v>0</v>
      </c>
      <c r="I501" s="13">
        <v>0</v>
      </c>
      <c r="J501" s="13">
        <v>0</v>
      </c>
      <c r="K501" s="13">
        <v>0</v>
      </c>
      <c r="L501" s="13">
        <v>0</v>
      </c>
      <c r="M501" s="13">
        <v>0</v>
      </c>
      <c r="N501" s="13">
        <v>0</v>
      </c>
      <c r="O501">
        <v>0</v>
      </c>
      <c r="P501">
        <v>0</v>
      </c>
      <c r="Q501" t="str">
        <f t="shared" si="14"/>
        <v>WW971</v>
      </c>
      <c r="R501" t="str">
        <f t="shared" si="15"/>
        <v>CIM1C</v>
      </c>
      <c r="S501">
        <f>IF(RIGHT(R501,2)="1C",(INDEX(Tables!H:H,MATCH(R501,Tables!G:G,0))),"")</f>
        <v>50</v>
      </c>
    </row>
    <row r="502" spans="1:19">
      <c r="A502" s="12" t="s">
        <v>4682</v>
      </c>
      <c r="B502" s="12" t="s">
        <v>5019</v>
      </c>
      <c r="C502" s="12" t="s">
        <v>5020</v>
      </c>
      <c r="D502" s="12" t="s">
        <v>3790</v>
      </c>
      <c r="E502" s="13">
        <v>2300.91</v>
      </c>
      <c r="F502" s="13">
        <v>2300.91</v>
      </c>
      <c r="G502" s="13">
        <v>0</v>
      </c>
      <c r="H502" s="13">
        <v>0</v>
      </c>
      <c r="I502" s="13">
        <v>0</v>
      </c>
      <c r="J502" s="13">
        <v>1097</v>
      </c>
      <c r="K502" s="13">
        <v>0</v>
      </c>
      <c r="L502" s="13">
        <v>2421</v>
      </c>
      <c r="M502" s="13">
        <v>0</v>
      </c>
      <c r="N502" s="13">
        <v>0</v>
      </c>
      <c r="O502">
        <v>3518</v>
      </c>
      <c r="P502">
        <v>586.33299999999997</v>
      </c>
      <c r="Q502" t="str">
        <f t="shared" si="14"/>
        <v>WX031</v>
      </c>
      <c r="R502" t="str">
        <f t="shared" si="15"/>
        <v>CIM1C</v>
      </c>
      <c r="S502">
        <f>IF(RIGHT(R502,2)="1C",(INDEX(Tables!H:H,MATCH(R502,Tables!G:G,0))),"")</f>
        <v>50</v>
      </c>
    </row>
    <row r="503" spans="1:19">
      <c r="A503" s="12" t="s">
        <v>4682</v>
      </c>
      <c r="B503" s="12" t="s">
        <v>4979</v>
      </c>
      <c r="C503" s="12" t="s">
        <v>4980</v>
      </c>
      <c r="D503" s="12" t="s">
        <v>3790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2578</v>
      </c>
      <c r="M503" s="13">
        <v>0</v>
      </c>
      <c r="N503" s="13">
        <v>0</v>
      </c>
      <c r="O503">
        <v>2578</v>
      </c>
      <c r="P503">
        <v>429.666</v>
      </c>
      <c r="Q503" t="str">
        <f t="shared" si="14"/>
        <v>WX031</v>
      </c>
      <c r="R503" t="str">
        <f t="shared" si="15"/>
        <v>CMZ1C</v>
      </c>
      <c r="S503">
        <f>IF(RIGHT(R503,2)="1C",(INDEX(Tables!H:H,MATCH(R503,Tables!G:G,0))),"")</f>
        <v>62</v>
      </c>
    </row>
    <row r="504" spans="1:19">
      <c r="A504" s="12" t="s">
        <v>4682</v>
      </c>
      <c r="B504" s="12" t="s">
        <v>5167</v>
      </c>
      <c r="C504" s="12" t="s">
        <v>5168</v>
      </c>
      <c r="D504" s="12" t="s">
        <v>3790</v>
      </c>
      <c r="E504" s="13">
        <v>1422.28</v>
      </c>
      <c r="F504" s="13">
        <v>1422.28</v>
      </c>
      <c r="G504" s="13">
        <v>0</v>
      </c>
      <c r="H504" s="13">
        <v>0</v>
      </c>
      <c r="I504" s="13">
        <v>1523.34</v>
      </c>
      <c r="J504" s="13">
        <v>737</v>
      </c>
      <c r="K504" s="13">
        <v>0</v>
      </c>
      <c r="L504" s="13">
        <v>3784</v>
      </c>
      <c r="M504" s="13">
        <v>0</v>
      </c>
      <c r="N504" s="13">
        <v>8867</v>
      </c>
      <c r="O504">
        <v>14911.3</v>
      </c>
      <c r="P504">
        <v>2485.2199999999998</v>
      </c>
      <c r="Q504" t="str">
        <f t="shared" si="14"/>
        <v>WX041</v>
      </c>
      <c r="R504" t="str">
        <f t="shared" si="15"/>
        <v>CIM1C</v>
      </c>
      <c r="S504">
        <f>IF(RIGHT(R504,2)="1C",(INDEX(Tables!H:H,MATCH(R504,Tables!G:G,0))),"")</f>
        <v>50</v>
      </c>
    </row>
    <row r="505" spans="1:19">
      <c r="A505" s="12" t="s">
        <v>4682</v>
      </c>
      <c r="B505" s="12" t="s">
        <v>7184</v>
      </c>
      <c r="C505" s="12" t="s">
        <v>7185</v>
      </c>
      <c r="D505" s="12" t="s">
        <v>3790</v>
      </c>
      <c r="E505" s="13">
        <v>2300</v>
      </c>
      <c r="F505" s="13">
        <v>2300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>
        <v>0</v>
      </c>
      <c r="P505">
        <v>0</v>
      </c>
      <c r="Q505" t="str">
        <f t="shared" si="14"/>
        <v>WX041</v>
      </c>
      <c r="R505" t="str">
        <f t="shared" si="15"/>
        <v>CMZ1C</v>
      </c>
      <c r="S505">
        <f>IF(RIGHT(R505,2)="1C",(INDEX(Tables!H:H,MATCH(R505,Tables!G:G,0))),"")</f>
        <v>62</v>
      </c>
    </row>
    <row r="506" spans="1:19">
      <c r="A506" s="12" t="s">
        <v>4682</v>
      </c>
      <c r="B506" s="12" t="s">
        <v>4983</v>
      </c>
      <c r="C506" s="12" t="s">
        <v>4984</v>
      </c>
      <c r="D506" s="12" t="s">
        <v>3790</v>
      </c>
      <c r="E506" s="13">
        <v>1200</v>
      </c>
      <c r="F506" s="13">
        <v>1200</v>
      </c>
      <c r="G506" s="13">
        <v>0</v>
      </c>
      <c r="H506" s="13">
        <v>0</v>
      </c>
      <c r="I506" s="13">
        <v>0</v>
      </c>
      <c r="J506" s="13">
        <v>982</v>
      </c>
      <c r="K506" s="13">
        <v>0</v>
      </c>
      <c r="L506" s="13">
        <v>0</v>
      </c>
      <c r="M506" s="13">
        <v>1400</v>
      </c>
      <c r="N506" s="13">
        <v>0</v>
      </c>
      <c r="O506">
        <v>2382</v>
      </c>
      <c r="P506">
        <v>397</v>
      </c>
      <c r="Q506" t="str">
        <f t="shared" si="14"/>
        <v>WX110</v>
      </c>
      <c r="R506" t="str">
        <f t="shared" si="15"/>
        <v>CIM1C</v>
      </c>
      <c r="S506">
        <f>IF(RIGHT(R506,2)="1C",(INDEX(Tables!H:H,MATCH(R506,Tables!G:G,0))),"")</f>
        <v>50</v>
      </c>
    </row>
    <row r="507" spans="1:19">
      <c r="A507" s="12" t="s">
        <v>4682</v>
      </c>
      <c r="B507" s="12" t="s">
        <v>7408</v>
      </c>
      <c r="C507" s="12" t="s">
        <v>7409</v>
      </c>
      <c r="D507" s="12" t="s">
        <v>3790</v>
      </c>
      <c r="E507" s="13">
        <v>0</v>
      </c>
      <c r="F507" s="13">
        <v>0</v>
      </c>
      <c r="G507" s="13">
        <v>0</v>
      </c>
      <c r="H507" s="13">
        <v>0</v>
      </c>
      <c r="I507" s="13">
        <v>0</v>
      </c>
      <c r="J507" s="13">
        <v>8829</v>
      </c>
      <c r="K507" s="13">
        <v>0</v>
      </c>
      <c r="L507" s="13">
        <v>0</v>
      </c>
      <c r="M507" s="13">
        <v>0</v>
      </c>
      <c r="N507" s="13">
        <v>0</v>
      </c>
      <c r="O507">
        <v>8829</v>
      </c>
      <c r="P507">
        <v>1471.5</v>
      </c>
      <c r="Q507" t="str">
        <f t="shared" si="14"/>
        <v>WX170</v>
      </c>
      <c r="R507" t="str">
        <f t="shared" si="15"/>
        <v>CIM1C</v>
      </c>
      <c r="S507">
        <f>IF(RIGHT(R507,2)="1C",(INDEX(Tables!H:H,MATCH(R507,Tables!G:G,0))),"")</f>
        <v>50</v>
      </c>
    </row>
    <row r="508" spans="1:19">
      <c r="A508" s="12" t="s">
        <v>4682</v>
      </c>
      <c r="B508" s="12" t="s">
        <v>7305</v>
      </c>
      <c r="C508" s="12" t="s">
        <v>7306</v>
      </c>
      <c r="D508" s="12" t="s">
        <v>3790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>
        <v>0</v>
      </c>
      <c r="P508">
        <v>0</v>
      </c>
      <c r="Q508" t="str">
        <f t="shared" si="14"/>
        <v>WX230</v>
      </c>
      <c r="R508" t="str">
        <f t="shared" si="15"/>
        <v>CIM1C</v>
      </c>
      <c r="S508">
        <f>IF(RIGHT(R508,2)="1C",(INDEX(Tables!H:H,MATCH(R508,Tables!G:G,0))),"")</f>
        <v>50</v>
      </c>
    </row>
    <row r="509" spans="1:19">
      <c r="A509" s="12" t="s">
        <v>4682</v>
      </c>
      <c r="B509" s="12" t="s">
        <v>4717</v>
      </c>
      <c r="C509" s="12" t="s">
        <v>4718</v>
      </c>
      <c r="D509" s="12" t="s">
        <v>3790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860</v>
      </c>
      <c r="K509" s="13">
        <v>0</v>
      </c>
      <c r="L509" s="13">
        <v>0</v>
      </c>
      <c r="M509" s="13">
        <v>0</v>
      </c>
      <c r="N509" s="13">
        <v>0</v>
      </c>
      <c r="O509">
        <v>860</v>
      </c>
      <c r="P509">
        <v>143.333</v>
      </c>
      <c r="Q509" t="str">
        <f t="shared" si="14"/>
        <v/>
      </c>
      <c r="R509" t="str">
        <f t="shared" si="15"/>
        <v/>
      </c>
      <c r="S509" t="str">
        <f>IF(RIGHT(R509,2)="1C",(INDEX(Tables!H:H,MATCH(R509,Tables!G:G,0))),"")</f>
        <v/>
      </c>
    </row>
    <row r="510" spans="1:19">
      <c r="A510" s="12" t="s">
        <v>4682</v>
      </c>
      <c r="B510" s="12" t="s">
        <v>6989</v>
      </c>
      <c r="C510" s="12" t="s">
        <v>6990</v>
      </c>
      <c r="D510" s="12" t="s">
        <v>3790</v>
      </c>
      <c r="E510" s="13">
        <v>0</v>
      </c>
      <c r="F510" s="13">
        <v>0</v>
      </c>
      <c r="G510" s="13">
        <v>0</v>
      </c>
      <c r="H510" s="13">
        <v>0</v>
      </c>
      <c r="I510" s="13">
        <v>0</v>
      </c>
      <c r="J510" s="13">
        <v>0</v>
      </c>
      <c r="K510" s="13">
        <v>0</v>
      </c>
      <c r="L510" s="13">
        <v>0</v>
      </c>
      <c r="M510" s="13">
        <v>0</v>
      </c>
      <c r="N510" s="13">
        <v>0</v>
      </c>
      <c r="O510">
        <v>0</v>
      </c>
      <c r="P510">
        <v>0</v>
      </c>
      <c r="Q510" t="str">
        <f t="shared" si="14"/>
        <v/>
      </c>
      <c r="R510" t="str">
        <f t="shared" si="15"/>
        <v/>
      </c>
      <c r="S510" t="str">
        <f>IF(RIGHT(R510,2)="1C",(INDEX(Tables!H:H,MATCH(R510,Tables!G:G,0))),"")</f>
        <v/>
      </c>
    </row>
    <row r="511" spans="1:19">
      <c r="A511" s="12" t="s">
        <v>4682</v>
      </c>
      <c r="B511" s="12" t="s">
        <v>4993</v>
      </c>
      <c r="C511" s="12" t="s">
        <v>4994</v>
      </c>
      <c r="D511" s="12" t="s">
        <v>3790</v>
      </c>
      <c r="E511" s="13">
        <v>762</v>
      </c>
      <c r="F511" s="13">
        <v>762</v>
      </c>
      <c r="G511" s="13">
        <v>0</v>
      </c>
      <c r="H511" s="13">
        <v>0</v>
      </c>
      <c r="I511" s="13">
        <v>0</v>
      </c>
      <c r="J511" s="13">
        <v>1900</v>
      </c>
      <c r="K511" s="13">
        <v>1254</v>
      </c>
      <c r="L511" s="13">
        <v>0</v>
      </c>
      <c r="M511" s="13">
        <v>0</v>
      </c>
      <c r="N511" s="13">
        <v>1794</v>
      </c>
      <c r="O511">
        <v>4948</v>
      </c>
      <c r="P511">
        <v>824.66600000000005</v>
      </c>
      <c r="Q511" t="str">
        <f t="shared" si="14"/>
        <v>WX440</v>
      </c>
      <c r="R511" t="str">
        <f t="shared" si="15"/>
        <v>CIM1C</v>
      </c>
      <c r="S511">
        <f>IF(RIGHT(R511,2)="1C",(INDEX(Tables!H:H,MATCH(R511,Tables!G:G,0))),"")</f>
        <v>50</v>
      </c>
    </row>
    <row r="512" spans="1:19">
      <c r="A512" s="12" t="s">
        <v>4682</v>
      </c>
      <c r="B512" s="12" t="s">
        <v>4745</v>
      </c>
      <c r="C512" s="12" t="s">
        <v>4746</v>
      </c>
      <c r="D512" s="12" t="s">
        <v>3790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786</v>
      </c>
      <c r="K512" s="13">
        <v>1843</v>
      </c>
      <c r="L512" s="13">
        <v>0</v>
      </c>
      <c r="M512" s="13">
        <v>0</v>
      </c>
      <c r="N512" s="13">
        <v>0</v>
      </c>
      <c r="O512">
        <v>2629</v>
      </c>
      <c r="P512">
        <v>438.166</v>
      </c>
      <c r="Q512" t="str">
        <f t="shared" si="14"/>
        <v/>
      </c>
      <c r="R512" t="str">
        <f t="shared" si="15"/>
        <v/>
      </c>
      <c r="S512" t="str">
        <f>IF(RIGHT(R512,2)="1C",(INDEX(Tables!H:H,MATCH(R512,Tables!G:G,0))),"")</f>
        <v/>
      </c>
    </row>
    <row r="513" spans="1:19">
      <c r="A513" s="12" t="s">
        <v>4682</v>
      </c>
      <c r="B513" s="12" t="s">
        <v>5149</v>
      </c>
      <c r="C513" s="12" t="s">
        <v>5150</v>
      </c>
      <c r="D513" s="12" t="s">
        <v>3790</v>
      </c>
      <c r="E513" s="13">
        <v>3825.16</v>
      </c>
      <c r="F513" s="13">
        <v>3825.16</v>
      </c>
      <c r="G513" s="13">
        <v>0</v>
      </c>
      <c r="H513" s="13">
        <v>0</v>
      </c>
      <c r="I513" s="13">
        <v>0</v>
      </c>
      <c r="J513" s="13">
        <v>0</v>
      </c>
      <c r="K513" s="13">
        <v>3457</v>
      </c>
      <c r="L513" s="13">
        <v>3358</v>
      </c>
      <c r="M513" s="13">
        <v>0</v>
      </c>
      <c r="N513" s="13">
        <v>2425</v>
      </c>
      <c r="O513">
        <v>9240</v>
      </c>
      <c r="P513">
        <v>1540</v>
      </c>
      <c r="Q513" t="str">
        <f t="shared" si="14"/>
        <v>WY031</v>
      </c>
      <c r="R513" t="str">
        <f t="shared" si="15"/>
        <v>CIM1C</v>
      </c>
      <c r="S513">
        <f>IF(RIGHT(R513,2)="1C",(INDEX(Tables!H:H,MATCH(R513,Tables!G:G,0))),"")</f>
        <v>50</v>
      </c>
    </row>
    <row r="514" spans="1:19">
      <c r="A514" s="12" t="s">
        <v>4682</v>
      </c>
      <c r="B514" s="12" t="s">
        <v>7186</v>
      </c>
      <c r="C514" s="12" t="s">
        <v>7187</v>
      </c>
      <c r="D514" s="12" t="s">
        <v>3790</v>
      </c>
      <c r="E514" s="13">
        <v>0</v>
      </c>
      <c r="F514" s="13">
        <v>0</v>
      </c>
      <c r="G514" s="13">
        <v>0</v>
      </c>
      <c r="H514" s="13">
        <v>0</v>
      </c>
      <c r="I514" s="13">
        <v>0</v>
      </c>
      <c r="J514" s="13">
        <v>0</v>
      </c>
      <c r="K514" s="13">
        <v>0</v>
      </c>
      <c r="L514" s="13">
        <v>0</v>
      </c>
      <c r="M514" s="13">
        <v>0</v>
      </c>
      <c r="N514" s="13">
        <v>0</v>
      </c>
      <c r="O514">
        <v>0</v>
      </c>
      <c r="P514">
        <v>0</v>
      </c>
      <c r="Q514" t="str">
        <f t="shared" si="14"/>
        <v>WY031</v>
      </c>
      <c r="R514" t="str">
        <f t="shared" si="15"/>
        <v>CMZ1C</v>
      </c>
      <c r="S514">
        <f>IF(RIGHT(R514,2)="1C",(INDEX(Tables!H:H,MATCH(R514,Tables!G:G,0))),"")</f>
        <v>62</v>
      </c>
    </row>
    <row r="515" spans="1:19">
      <c r="A515" s="12" t="s">
        <v>4682</v>
      </c>
      <c r="B515" s="12" t="s">
        <v>6995</v>
      </c>
      <c r="C515" s="12" t="s">
        <v>6996</v>
      </c>
      <c r="D515" s="12" t="s">
        <v>3790</v>
      </c>
      <c r="E515" s="13">
        <v>0</v>
      </c>
      <c r="F515" s="13">
        <v>0</v>
      </c>
      <c r="G515" s="13">
        <v>0</v>
      </c>
      <c r="H515" s="13">
        <v>0</v>
      </c>
      <c r="I515" s="13">
        <v>0</v>
      </c>
      <c r="J515" s="13">
        <v>0</v>
      </c>
      <c r="K515" s="13">
        <v>0</v>
      </c>
      <c r="L515" s="13">
        <v>0</v>
      </c>
      <c r="M515" s="13">
        <v>0</v>
      </c>
      <c r="N515" s="13">
        <v>0</v>
      </c>
      <c r="O515">
        <v>0</v>
      </c>
      <c r="P515">
        <v>0</v>
      </c>
      <c r="Q515" t="str">
        <f t="shared" si="14"/>
        <v>WY081</v>
      </c>
      <c r="R515" t="str">
        <f t="shared" si="15"/>
        <v>CIM1C</v>
      </c>
      <c r="S515">
        <f>IF(RIGHT(R515,2)="1C",(INDEX(Tables!H:H,MATCH(R515,Tables!G:G,0))),"")</f>
        <v>50</v>
      </c>
    </row>
    <row r="516" spans="1:19">
      <c r="A516" s="12" t="s">
        <v>4682</v>
      </c>
      <c r="B516" s="12" t="s">
        <v>4865</v>
      </c>
      <c r="C516" s="12" t="s">
        <v>4866</v>
      </c>
      <c r="D516" s="12" t="s">
        <v>3790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1032</v>
      </c>
      <c r="M516" s="13">
        <v>172</v>
      </c>
      <c r="N516" s="13">
        <v>0</v>
      </c>
      <c r="O516">
        <v>1204</v>
      </c>
      <c r="P516">
        <v>200.666</v>
      </c>
      <c r="Q516" t="str">
        <f t="shared" ref="Q516:Q579" si="16">IF(RIGHT(B516,2)="1C",MID(B516,4,5),"")</f>
        <v>WY131</v>
      </c>
      <c r="R516" t="str">
        <f t="shared" ref="R516:R579" si="17">IF(RIGHT(B516,2)="1C",MID(B516,SEARCH("-",B516,1)+1,6),"")</f>
        <v>CIM1C</v>
      </c>
      <c r="S516">
        <f>IF(RIGHT(R516,2)="1C",(INDEX(Tables!H:H,MATCH(R516,Tables!G:G,0))),"")</f>
        <v>50</v>
      </c>
    </row>
    <row r="517" spans="1:19">
      <c r="A517" s="12" t="s">
        <v>4682</v>
      </c>
      <c r="B517" s="12" t="s">
        <v>5045</v>
      </c>
      <c r="C517" s="12" t="s">
        <v>5046</v>
      </c>
      <c r="D517" s="12" t="s">
        <v>3790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8264</v>
      </c>
      <c r="K517" s="13">
        <v>4798</v>
      </c>
      <c r="L517" s="13">
        <v>2818</v>
      </c>
      <c r="M517" s="13">
        <v>0</v>
      </c>
      <c r="N517" s="13">
        <v>0</v>
      </c>
      <c r="O517">
        <v>15880</v>
      </c>
      <c r="P517">
        <v>2646.66</v>
      </c>
      <c r="Q517" t="str">
        <f t="shared" si="16"/>
        <v>WY160</v>
      </c>
      <c r="R517" t="str">
        <f t="shared" si="17"/>
        <v>CIM1C</v>
      </c>
      <c r="S517">
        <f>IF(RIGHT(R517,2)="1C",(INDEX(Tables!H:H,MATCH(R517,Tables!G:G,0))),"")</f>
        <v>50</v>
      </c>
    </row>
    <row r="518" spans="1:19">
      <c r="A518" s="12" t="s">
        <v>4682</v>
      </c>
      <c r="B518" s="12" t="s">
        <v>5099</v>
      </c>
      <c r="C518" s="12" t="s">
        <v>5100</v>
      </c>
      <c r="D518" s="12" t="s">
        <v>3790</v>
      </c>
      <c r="E518" s="13">
        <v>32.450000000000003</v>
      </c>
      <c r="F518" s="13">
        <v>32.450000000000003</v>
      </c>
      <c r="G518" s="13">
        <v>0</v>
      </c>
      <c r="H518" s="13">
        <v>0</v>
      </c>
      <c r="I518" s="13">
        <v>0</v>
      </c>
      <c r="J518" s="13">
        <v>0</v>
      </c>
      <c r="K518" s="13">
        <v>0</v>
      </c>
      <c r="L518" s="13">
        <v>6700</v>
      </c>
      <c r="M518" s="13">
        <v>0</v>
      </c>
      <c r="N518" s="13">
        <v>0</v>
      </c>
      <c r="O518">
        <v>6700</v>
      </c>
      <c r="P518">
        <v>1116.6600000000001</v>
      </c>
      <c r="Q518" t="str">
        <f t="shared" si="16"/>
        <v>WY160</v>
      </c>
      <c r="R518" t="str">
        <f t="shared" si="17"/>
        <v>CMZ1C</v>
      </c>
      <c r="S518">
        <f>IF(RIGHT(R518,2)="1C",(INDEX(Tables!H:H,MATCH(R518,Tables!G:G,0))),"")</f>
        <v>62</v>
      </c>
    </row>
    <row r="519" spans="1:19">
      <c r="A519" s="12" t="s">
        <v>4682</v>
      </c>
      <c r="B519" s="12" t="s">
        <v>4735</v>
      </c>
      <c r="C519" s="12" t="s">
        <v>4736</v>
      </c>
      <c r="D519" s="12" t="s">
        <v>3790</v>
      </c>
      <c r="E519" s="13">
        <v>0</v>
      </c>
      <c r="F519" s="13">
        <v>0</v>
      </c>
      <c r="G519" s="13">
        <v>0</v>
      </c>
      <c r="H519" s="13">
        <v>0</v>
      </c>
      <c r="I519" s="13">
        <v>0</v>
      </c>
      <c r="J519" s="13">
        <v>0</v>
      </c>
      <c r="K519" s="13">
        <v>0</v>
      </c>
      <c r="L519" s="13">
        <v>0</v>
      </c>
      <c r="M519" s="13">
        <v>0</v>
      </c>
      <c r="N519" s="13">
        <v>0</v>
      </c>
      <c r="O519">
        <v>0</v>
      </c>
      <c r="P519">
        <v>0</v>
      </c>
      <c r="Q519" t="str">
        <f t="shared" si="16"/>
        <v>WZ160</v>
      </c>
      <c r="R519" t="str">
        <f t="shared" si="17"/>
        <v>CIM1C</v>
      </c>
      <c r="S519">
        <f>IF(RIGHT(R519,2)="1C",(INDEX(Tables!H:H,MATCH(R519,Tables!G:G,0))),"")</f>
        <v>50</v>
      </c>
    </row>
    <row r="520" spans="1:19">
      <c r="A520" s="12" t="s">
        <v>4682</v>
      </c>
      <c r="B520" s="12" t="s">
        <v>7262</v>
      </c>
      <c r="C520" s="12" t="s">
        <v>7263</v>
      </c>
      <c r="D520" s="12" t="s">
        <v>3790</v>
      </c>
      <c r="E520" s="13">
        <v>0</v>
      </c>
      <c r="F520" s="13">
        <v>0</v>
      </c>
      <c r="G520" s="13">
        <v>0</v>
      </c>
      <c r="H520" s="13">
        <v>0</v>
      </c>
      <c r="I520" s="13">
        <v>0</v>
      </c>
      <c r="J520" s="13">
        <v>0</v>
      </c>
      <c r="K520" s="13">
        <v>0</v>
      </c>
      <c r="L520" s="13">
        <v>0</v>
      </c>
      <c r="M520" s="13">
        <v>0</v>
      </c>
      <c r="N520" s="13">
        <v>0</v>
      </c>
      <c r="O520">
        <v>0</v>
      </c>
      <c r="P520">
        <v>0</v>
      </c>
      <c r="Q520" t="str">
        <f t="shared" si="16"/>
        <v/>
      </c>
      <c r="R520" t="str">
        <f t="shared" si="17"/>
        <v/>
      </c>
      <c r="S520" t="str">
        <f>IF(RIGHT(R520,2)="1C",(INDEX(Tables!H:H,MATCH(R520,Tables!G:G,0))),"")</f>
        <v/>
      </c>
    </row>
    <row r="521" spans="1:19">
      <c r="A521" s="12" t="s">
        <v>4682</v>
      </c>
      <c r="B521" s="12" t="s">
        <v>7258</v>
      </c>
      <c r="C521" s="12" t="s">
        <v>7259</v>
      </c>
      <c r="D521" s="12" t="s">
        <v>3790</v>
      </c>
      <c r="E521" s="13">
        <v>0</v>
      </c>
      <c r="F521" s="13">
        <v>0</v>
      </c>
      <c r="G521" s="13">
        <v>0</v>
      </c>
      <c r="H521" s="13">
        <v>0</v>
      </c>
      <c r="I521" s="13">
        <v>0</v>
      </c>
      <c r="J521" s="13">
        <v>0</v>
      </c>
      <c r="K521" s="13">
        <v>0</v>
      </c>
      <c r="L521" s="13">
        <v>0</v>
      </c>
      <c r="M521" s="13">
        <v>0</v>
      </c>
      <c r="N521" s="13">
        <v>0</v>
      </c>
      <c r="O521">
        <v>0</v>
      </c>
      <c r="P521">
        <v>0</v>
      </c>
      <c r="Q521" t="str">
        <f t="shared" si="16"/>
        <v/>
      </c>
      <c r="R521" t="str">
        <f t="shared" si="17"/>
        <v/>
      </c>
      <c r="S521" t="str">
        <f>IF(RIGHT(R521,2)="1C",(INDEX(Tables!H:H,MATCH(R521,Tables!G:G,0))),"")</f>
        <v/>
      </c>
    </row>
    <row r="522" spans="1:19">
      <c r="A522" s="12" t="s">
        <v>4682</v>
      </c>
      <c r="B522" s="12" t="s">
        <v>7224</v>
      </c>
      <c r="C522" s="12" t="s">
        <v>7225</v>
      </c>
      <c r="D522" s="12" t="s">
        <v>3790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>
        <v>0</v>
      </c>
      <c r="P522">
        <v>0</v>
      </c>
      <c r="Q522" t="str">
        <f t="shared" si="16"/>
        <v/>
      </c>
      <c r="R522" t="str">
        <f t="shared" si="17"/>
        <v/>
      </c>
      <c r="S522" t="str">
        <f>IF(RIGHT(R522,2)="1C",(INDEX(Tables!H:H,MATCH(R522,Tables!G:G,0))),"")</f>
        <v/>
      </c>
    </row>
    <row r="523" spans="1:19">
      <c r="A523" s="12" t="s">
        <v>4682</v>
      </c>
      <c r="B523" s="12" t="s">
        <v>7256</v>
      </c>
      <c r="C523" s="12" t="s">
        <v>7257</v>
      </c>
      <c r="D523" s="12" t="s">
        <v>3790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>
        <v>0</v>
      </c>
      <c r="P523">
        <v>0</v>
      </c>
      <c r="Q523" t="str">
        <f t="shared" si="16"/>
        <v/>
      </c>
      <c r="R523" t="str">
        <f t="shared" si="17"/>
        <v/>
      </c>
      <c r="S523" t="str">
        <f>IF(RIGHT(R523,2)="1C",(INDEX(Tables!H:H,MATCH(R523,Tables!G:G,0))),"")</f>
        <v/>
      </c>
    </row>
    <row r="524" spans="1:19">
      <c r="A524" s="12" t="s">
        <v>4682</v>
      </c>
      <c r="B524" s="12" t="s">
        <v>7376</v>
      </c>
      <c r="C524" s="12" t="s">
        <v>7377</v>
      </c>
      <c r="D524" s="12" t="s">
        <v>3790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>
        <v>0</v>
      </c>
      <c r="P524">
        <v>0</v>
      </c>
      <c r="Q524" t="str">
        <f t="shared" si="16"/>
        <v>00323</v>
      </c>
      <c r="R524" t="str">
        <f t="shared" si="17"/>
        <v>CIM1C</v>
      </c>
      <c r="S524">
        <f>IF(RIGHT(R524,2)="1C",(INDEX(Tables!H:H,MATCH(R524,Tables!G:G,0))),"")</f>
        <v>50</v>
      </c>
    </row>
    <row r="525" spans="1:19">
      <c r="A525" s="12" t="s">
        <v>4682</v>
      </c>
      <c r="B525" s="12" t="s">
        <v>7163</v>
      </c>
      <c r="C525" s="12" t="s">
        <v>7164</v>
      </c>
      <c r="D525" s="12" t="s">
        <v>3790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>
        <v>0</v>
      </c>
      <c r="P525">
        <v>0</v>
      </c>
      <c r="Q525" t="str">
        <f t="shared" si="16"/>
        <v>00323</v>
      </c>
      <c r="R525" t="str">
        <f t="shared" si="17"/>
        <v>CMZ1C</v>
      </c>
      <c r="S525">
        <f>IF(RIGHT(R525,2)="1C",(INDEX(Tables!H:H,MATCH(R525,Tables!G:G,0))),"")</f>
        <v>62</v>
      </c>
    </row>
    <row r="526" spans="1:19">
      <c r="A526" s="12" t="s">
        <v>4682</v>
      </c>
      <c r="B526" s="12" t="s">
        <v>6764</v>
      </c>
      <c r="C526" s="12" t="s">
        <v>6765</v>
      </c>
      <c r="D526" s="12" t="s">
        <v>3790</v>
      </c>
      <c r="E526" s="13">
        <v>0</v>
      </c>
      <c r="F526" s="13">
        <v>0</v>
      </c>
      <c r="G526" s="13">
        <v>0</v>
      </c>
      <c r="H526" s="13">
        <v>0</v>
      </c>
      <c r="I526" s="13">
        <v>0</v>
      </c>
      <c r="J526" s="13">
        <v>0</v>
      </c>
      <c r="K526" s="13">
        <v>0</v>
      </c>
      <c r="L526" s="13">
        <v>0</v>
      </c>
      <c r="M526" s="13">
        <v>0</v>
      </c>
      <c r="N526" s="13">
        <v>0</v>
      </c>
      <c r="O526">
        <v>0</v>
      </c>
      <c r="P526">
        <v>0</v>
      </c>
      <c r="Q526" t="str">
        <f t="shared" si="16"/>
        <v/>
      </c>
      <c r="R526" t="str">
        <f t="shared" si="17"/>
        <v/>
      </c>
      <c r="S526" t="str">
        <f>IF(RIGHT(R526,2)="1C",(INDEX(Tables!H:H,MATCH(R526,Tables!G:G,0))),"")</f>
        <v/>
      </c>
    </row>
    <row r="527" spans="1:19">
      <c r="A527" s="12" t="s">
        <v>4682</v>
      </c>
      <c r="B527" s="12" t="s">
        <v>6766</v>
      </c>
      <c r="C527" s="12" t="s">
        <v>6767</v>
      </c>
      <c r="D527" s="12" t="s">
        <v>3790</v>
      </c>
      <c r="E527" s="13">
        <v>0</v>
      </c>
      <c r="F527" s="13">
        <v>0</v>
      </c>
      <c r="G527" s="13">
        <v>0</v>
      </c>
      <c r="H527" s="13">
        <v>0</v>
      </c>
      <c r="I527" s="13">
        <v>0</v>
      </c>
      <c r="J527" s="13">
        <v>0</v>
      </c>
      <c r="K527" s="13">
        <v>0</v>
      </c>
      <c r="L527" s="13">
        <v>0</v>
      </c>
      <c r="M527" s="13">
        <v>0</v>
      </c>
      <c r="N527" s="13">
        <v>0</v>
      </c>
      <c r="O527">
        <v>0</v>
      </c>
      <c r="P527">
        <v>0</v>
      </c>
      <c r="Q527" t="str">
        <f t="shared" si="16"/>
        <v/>
      </c>
      <c r="R527" t="str">
        <f t="shared" si="17"/>
        <v/>
      </c>
      <c r="S527" t="str">
        <f>IF(RIGHT(R527,2)="1C",(INDEX(Tables!H:H,MATCH(R527,Tables!G:G,0))),"")</f>
        <v/>
      </c>
    </row>
    <row r="528" spans="1:19">
      <c r="A528" s="12" t="s">
        <v>4682</v>
      </c>
      <c r="B528" s="12" t="s">
        <v>6899</v>
      </c>
      <c r="C528" s="12" t="s">
        <v>6900</v>
      </c>
      <c r="D528" s="12" t="s">
        <v>3790</v>
      </c>
      <c r="E528" s="13">
        <v>0</v>
      </c>
      <c r="F528" s="13">
        <v>0</v>
      </c>
      <c r="G528" s="13">
        <v>0</v>
      </c>
      <c r="H528" s="13">
        <v>0</v>
      </c>
      <c r="I528" s="13">
        <v>0</v>
      </c>
      <c r="J528" s="13">
        <v>0</v>
      </c>
      <c r="K528" s="13">
        <v>0</v>
      </c>
      <c r="L528" s="13">
        <v>0</v>
      </c>
      <c r="M528" s="13">
        <v>0</v>
      </c>
      <c r="N528" s="13">
        <v>0</v>
      </c>
      <c r="O528">
        <v>0</v>
      </c>
      <c r="P528">
        <v>0</v>
      </c>
      <c r="Q528" t="str">
        <f t="shared" si="16"/>
        <v>AB240</v>
      </c>
      <c r="R528" t="str">
        <f t="shared" si="17"/>
        <v>CIM1C</v>
      </c>
      <c r="S528">
        <f>IF(RIGHT(R528,2)="1C",(INDEX(Tables!H:H,MATCH(R528,Tables!G:G,0))),"")</f>
        <v>50</v>
      </c>
    </row>
    <row r="529" spans="1:19">
      <c r="A529" s="12" t="s">
        <v>4682</v>
      </c>
      <c r="B529" s="12" t="s">
        <v>7065</v>
      </c>
      <c r="C529" s="12" t="s">
        <v>7066</v>
      </c>
      <c r="D529" s="12" t="s">
        <v>3790</v>
      </c>
      <c r="E529" s="13">
        <v>0</v>
      </c>
      <c r="F529" s="13">
        <v>0</v>
      </c>
      <c r="G529" s="13">
        <v>0</v>
      </c>
      <c r="H529" s="13">
        <v>0</v>
      </c>
      <c r="I529" s="13">
        <v>0</v>
      </c>
      <c r="J529" s="13">
        <v>0</v>
      </c>
      <c r="K529" s="13">
        <v>0</v>
      </c>
      <c r="L529" s="13">
        <v>0</v>
      </c>
      <c r="M529" s="13">
        <v>0</v>
      </c>
      <c r="N529" s="13">
        <v>0</v>
      </c>
      <c r="O529">
        <v>0</v>
      </c>
      <c r="P529">
        <v>0</v>
      </c>
      <c r="Q529" t="str">
        <f t="shared" si="16"/>
        <v>AB240</v>
      </c>
      <c r="R529" t="str">
        <f t="shared" si="17"/>
        <v>CMZ1C</v>
      </c>
      <c r="S529">
        <f>IF(RIGHT(R529,2)="1C",(INDEX(Tables!H:H,MATCH(R529,Tables!G:G,0))),"")</f>
        <v>62</v>
      </c>
    </row>
    <row r="530" spans="1:19">
      <c r="A530" s="12" t="s">
        <v>4682</v>
      </c>
      <c r="B530" s="12" t="s">
        <v>7061</v>
      </c>
      <c r="C530" s="12" t="s">
        <v>7062</v>
      </c>
      <c r="D530" s="12" t="s">
        <v>3790</v>
      </c>
      <c r="E530" s="13">
        <v>0</v>
      </c>
      <c r="F530" s="13">
        <v>0</v>
      </c>
      <c r="G530" s="13">
        <v>0</v>
      </c>
      <c r="H530" s="13">
        <v>0</v>
      </c>
      <c r="I530" s="13">
        <v>0</v>
      </c>
      <c r="J530" s="13">
        <v>0</v>
      </c>
      <c r="K530" s="13">
        <v>0</v>
      </c>
      <c r="L530" s="13">
        <v>0</v>
      </c>
      <c r="M530" s="13">
        <v>0</v>
      </c>
      <c r="N530" s="13">
        <v>0</v>
      </c>
      <c r="O530">
        <v>0</v>
      </c>
      <c r="P530">
        <v>0</v>
      </c>
      <c r="Q530" t="str">
        <f t="shared" si="16"/>
        <v>AB444</v>
      </c>
      <c r="R530" t="str">
        <f t="shared" si="17"/>
        <v>CIM1C</v>
      </c>
      <c r="S530">
        <f>IF(RIGHT(R530,2)="1C",(INDEX(Tables!H:H,MATCH(R530,Tables!G:G,0))),"")</f>
        <v>50</v>
      </c>
    </row>
    <row r="531" spans="1:19">
      <c r="A531" s="12" t="s">
        <v>4682</v>
      </c>
      <c r="B531" s="12" t="s">
        <v>7019</v>
      </c>
      <c r="C531" s="12" t="s">
        <v>7020</v>
      </c>
      <c r="D531" s="12" t="s">
        <v>3790</v>
      </c>
      <c r="E531" s="13">
        <v>0</v>
      </c>
      <c r="F531" s="13">
        <v>0</v>
      </c>
      <c r="G531" s="13">
        <v>0</v>
      </c>
      <c r="H531" s="13">
        <v>0</v>
      </c>
      <c r="I531" s="13">
        <v>0</v>
      </c>
      <c r="J531" s="13">
        <v>0</v>
      </c>
      <c r="K531" s="13">
        <v>0</v>
      </c>
      <c r="L531" s="13">
        <v>0</v>
      </c>
      <c r="M531" s="13">
        <v>0</v>
      </c>
      <c r="N531" s="13">
        <v>0</v>
      </c>
      <c r="O531">
        <v>0</v>
      </c>
      <c r="P531">
        <v>0</v>
      </c>
      <c r="Q531" t="str">
        <f t="shared" si="16"/>
        <v>AB444</v>
      </c>
      <c r="R531" t="str">
        <f t="shared" si="17"/>
        <v>CMZ1C</v>
      </c>
      <c r="S531">
        <f>IF(RIGHT(R531,2)="1C",(INDEX(Tables!H:H,MATCH(R531,Tables!G:G,0))),"")</f>
        <v>62</v>
      </c>
    </row>
    <row r="532" spans="1:19">
      <c r="A532" s="12" t="s">
        <v>4682</v>
      </c>
      <c r="B532" s="12" t="s">
        <v>7416</v>
      </c>
      <c r="C532" s="12" t="s">
        <v>7417</v>
      </c>
      <c r="D532" s="12" t="s">
        <v>3790</v>
      </c>
      <c r="E532" s="13">
        <v>22.71</v>
      </c>
      <c r="F532" s="13">
        <v>22.71</v>
      </c>
      <c r="G532" s="13">
        <v>0</v>
      </c>
      <c r="H532" s="13">
        <v>0</v>
      </c>
      <c r="I532" s="13">
        <v>0</v>
      </c>
      <c r="J532" s="13">
        <v>0</v>
      </c>
      <c r="K532" s="13">
        <v>0</v>
      </c>
      <c r="L532" s="13">
        <v>0</v>
      </c>
      <c r="M532" s="13">
        <v>0</v>
      </c>
      <c r="N532" s="13">
        <v>0</v>
      </c>
      <c r="O532">
        <v>0</v>
      </c>
      <c r="P532">
        <v>0</v>
      </c>
      <c r="Q532" t="str">
        <f t="shared" si="16"/>
        <v>AE050</v>
      </c>
      <c r="R532" t="str">
        <f t="shared" si="17"/>
        <v>CMZ1C</v>
      </c>
      <c r="S532">
        <f>IF(RIGHT(R532,2)="1C",(INDEX(Tables!H:H,MATCH(R532,Tables!G:G,0))),"")</f>
        <v>62</v>
      </c>
    </row>
    <row r="533" spans="1:19">
      <c r="A533" s="12" t="s">
        <v>4682</v>
      </c>
      <c r="B533" s="12" t="s">
        <v>4707</v>
      </c>
      <c r="C533" s="12" t="s">
        <v>4708</v>
      </c>
      <c r="D533" s="12" t="s">
        <v>3790</v>
      </c>
      <c r="E533" s="13">
        <v>0</v>
      </c>
      <c r="F533" s="13">
        <v>0</v>
      </c>
      <c r="G533" s="13">
        <v>0</v>
      </c>
      <c r="H533" s="13">
        <v>0</v>
      </c>
      <c r="I533" s="13">
        <v>0</v>
      </c>
      <c r="J533" s="13">
        <v>835</v>
      </c>
      <c r="K533" s="13">
        <v>0</v>
      </c>
      <c r="L533" s="13">
        <v>0</v>
      </c>
      <c r="M533" s="13">
        <v>0</v>
      </c>
      <c r="N533" s="13">
        <v>0</v>
      </c>
      <c r="O533">
        <v>835</v>
      </c>
      <c r="P533">
        <v>139.166</v>
      </c>
      <c r="Q533" t="str">
        <f t="shared" si="16"/>
        <v>AG100</v>
      </c>
      <c r="R533" t="str">
        <f t="shared" si="17"/>
        <v>CIM1C</v>
      </c>
      <c r="S533">
        <f>IF(RIGHT(R533,2)="1C",(INDEX(Tables!H:H,MATCH(R533,Tables!G:G,0))),"")</f>
        <v>50</v>
      </c>
    </row>
    <row r="534" spans="1:19">
      <c r="A534" s="12" t="s">
        <v>4682</v>
      </c>
      <c r="B534" s="12" t="s">
        <v>6981</v>
      </c>
      <c r="C534" s="12" t="s">
        <v>6982</v>
      </c>
      <c r="D534" s="12" t="s">
        <v>3790</v>
      </c>
      <c r="E534" s="13">
        <v>0</v>
      </c>
      <c r="F534" s="13">
        <v>0</v>
      </c>
      <c r="G534" s="13">
        <v>0</v>
      </c>
      <c r="H534" s="13">
        <v>0</v>
      </c>
      <c r="I534" s="13">
        <v>0</v>
      </c>
      <c r="J534" s="13">
        <v>0</v>
      </c>
      <c r="K534" s="13">
        <v>0</v>
      </c>
      <c r="L534" s="13">
        <v>0</v>
      </c>
      <c r="M534" s="13">
        <v>0</v>
      </c>
      <c r="N534" s="13">
        <v>0</v>
      </c>
      <c r="O534">
        <v>0</v>
      </c>
      <c r="P534">
        <v>0</v>
      </c>
      <c r="Q534" t="str">
        <f t="shared" si="16"/>
        <v>AG100</v>
      </c>
      <c r="R534" t="str">
        <f t="shared" si="17"/>
        <v>CMZ1C</v>
      </c>
      <c r="S534">
        <f>IF(RIGHT(R534,2)="1C",(INDEX(Tables!H:H,MATCH(R534,Tables!G:G,0))),"")</f>
        <v>62</v>
      </c>
    </row>
    <row r="535" spans="1:19">
      <c r="A535" s="12" t="s">
        <v>4682</v>
      </c>
      <c r="B535" s="12" t="s">
        <v>4927</v>
      </c>
      <c r="C535" s="12" t="s">
        <v>4928</v>
      </c>
      <c r="D535" s="12" t="s">
        <v>3790</v>
      </c>
      <c r="E535" s="13">
        <v>0</v>
      </c>
      <c r="F535" s="13">
        <v>0</v>
      </c>
      <c r="G535" s="13">
        <v>0</v>
      </c>
      <c r="H535" s="13">
        <v>0</v>
      </c>
      <c r="I535" s="13">
        <v>0</v>
      </c>
      <c r="J535" s="13">
        <v>960</v>
      </c>
      <c r="K535" s="13">
        <v>2293</v>
      </c>
      <c r="L535" s="13">
        <v>1745</v>
      </c>
      <c r="M535" s="13">
        <v>0</v>
      </c>
      <c r="N535" s="13">
        <v>0</v>
      </c>
      <c r="O535">
        <v>4998</v>
      </c>
      <c r="P535">
        <v>833</v>
      </c>
      <c r="Q535" t="str">
        <f t="shared" si="16"/>
        <v>AG190</v>
      </c>
      <c r="R535" t="str">
        <f t="shared" si="17"/>
        <v>CIM1C</v>
      </c>
      <c r="S535">
        <f>IF(RIGHT(R535,2)="1C",(INDEX(Tables!H:H,MATCH(R535,Tables!G:G,0))),"")</f>
        <v>50</v>
      </c>
    </row>
    <row r="536" spans="1:19">
      <c r="A536" s="12" t="s">
        <v>4682</v>
      </c>
      <c r="B536" s="12" t="s">
        <v>7117</v>
      </c>
      <c r="C536" s="12" t="s">
        <v>7118</v>
      </c>
      <c r="D536" s="12" t="s">
        <v>3790</v>
      </c>
      <c r="E536" s="13">
        <v>950</v>
      </c>
      <c r="F536" s="13">
        <v>950</v>
      </c>
      <c r="G536" s="13">
        <v>0</v>
      </c>
      <c r="H536" s="13">
        <v>0</v>
      </c>
      <c r="I536" s="13">
        <v>0</v>
      </c>
      <c r="J536" s="13">
        <v>0</v>
      </c>
      <c r="K536" s="13">
        <v>0</v>
      </c>
      <c r="L536" s="13">
        <v>0</v>
      </c>
      <c r="M536" s="13">
        <v>0</v>
      </c>
      <c r="N536" s="13">
        <v>0</v>
      </c>
      <c r="O536">
        <v>0</v>
      </c>
      <c r="P536">
        <v>0</v>
      </c>
      <c r="Q536" t="str">
        <f t="shared" si="16"/>
        <v>AG190</v>
      </c>
      <c r="R536" t="str">
        <f t="shared" si="17"/>
        <v>CMZ1C</v>
      </c>
      <c r="S536">
        <f>IF(RIGHT(R536,2)="1C",(INDEX(Tables!H:H,MATCH(R536,Tables!G:G,0))),"")</f>
        <v>62</v>
      </c>
    </row>
    <row r="537" spans="1:19">
      <c r="A537" s="12" t="s">
        <v>4682</v>
      </c>
      <c r="B537" s="12" t="s">
        <v>7474</v>
      </c>
      <c r="C537" s="12" t="s">
        <v>7475</v>
      </c>
      <c r="D537" s="12" t="s">
        <v>3790</v>
      </c>
      <c r="E537" s="13">
        <v>0</v>
      </c>
      <c r="F537" s="13">
        <v>0</v>
      </c>
      <c r="G537" s="13">
        <v>0</v>
      </c>
      <c r="H537" s="13">
        <v>0</v>
      </c>
      <c r="I537" s="13">
        <v>0</v>
      </c>
      <c r="J537" s="13">
        <v>0</v>
      </c>
      <c r="K537" s="13">
        <v>650</v>
      </c>
      <c r="L537" s="13">
        <v>0</v>
      </c>
      <c r="M537" s="13">
        <v>0</v>
      </c>
      <c r="N537" s="13">
        <v>0</v>
      </c>
      <c r="O537">
        <v>650</v>
      </c>
      <c r="P537">
        <v>108.333</v>
      </c>
      <c r="Q537" t="str">
        <f t="shared" si="16"/>
        <v>AG630</v>
      </c>
      <c r="R537" t="str">
        <f t="shared" si="17"/>
        <v>CIM1C</v>
      </c>
      <c r="S537">
        <f>IF(RIGHT(R537,2)="1C",(INDEX(Tables!H:H,MATCH(R537,Tables!G:G,0))),"")</f>
        <v>50</v>
      </c>
    </row>
    <row r="538" spans="1:19">
      <c r="A538" s="12" t="s">
        <v>4682</v>
      </c>
      <c r="B538" s="12" t="s">
        <v>6939</v>
      </c>
      <c r="C538" s="12" t="s">
        <v>6940</v>
      </c>
      <c r="D538" s="12" t="s">
        <v>3790</v>
      </c>
      <c r="E538" s="13">
        <v>0</v>
      </c>
      <c r="F538" s="13">
        <v>0</v>
      </c>
      <c r="G538" s="13">
        <v>0</v>
      </c>
      <c r="H538" s="13">
        <v>0</v>
      </c>
      <c r="I538" s="13">
        <v>0</v>
      </c>
      <c r="J538" s="13">
        <v>0</v>
      </c>
      <c r="K538" s="13">
        <v>0</v>
      </c>
      <c r="L538" s="13">
        <v>0</v>
      </c>
      <c r="M538" s="13">
        <v>0</v>
      </c>
      <c r="N538" s="13">
        <v>0</v>
      </c>
      <c r="O538">
        <v>0</v>
      </c>
      <c r="P538">
        <v>0</v>
      </c>
      <c r="Q538" t="str">
        <f t="shared" si="16"/>
        <v>AG790</v>
      </c>
      <c r="R538" t="str">
        <f t="shared" si="17"/>
        <v>CIM1C</v>
      </c>
      <c r="S538">
        <f>IF(RIGHT(R538,2)="1C",(INDEX(Tables!H:H,MATCH(R538,Tables!G:G,0))),"")</f>
        <v>50</v>
      </c>
    </row>
    <row r="539" spans="1:19">
      <c r="A539" s="12" t="s">
        <v>4682</v>
      </c>
      <c r="B539" s="12" t="s">
        <v>4881</v>
      </c>
      <c r="C539" s="12" t="s">
        <v>4882</v>
      </c>
      <c r="D539" s="12" t="s">
        <v>3790</v>
      </c>
      <c r="E539" s="13">
        <v>0</v>
      </c>
      <c r="F539" s="13">
        <v>0</v>
      </c>
      <c r="G539" s="13">
        <v>0</v>
      </c>
      <c r="H539" s="13">
        <v>0</v>
      </c>
      <c r="I539" s="13">
        <v>0</v>
      </c>
      <c r="J539" s="13">
        <v>1695</v>
      </c>
      <c r="K539" s="13">
        <v>0</v>
      </c>
      <c r="L539" s="13">
        <v>0</v>
      </c>
      <c r="M539" s="13">
        <v>0</v>
      </c>
      <c r="N539" s="13">
        <v>0</v>
      </c>
      <c r="O539">
        <v>1695</v>
      </c>
      <c r="P539">
        <v>282.5</v>
      </c>
      <c r="Q539" t="str">
        <f t="shared" si="16"/>
        <v>AG800</v>
      </c>
      <c r="R539" t="str">
        <f t="shared" si="17"/>
        <v>CIM1C</v>
      </c>
      <c r="S539">
        <f>IF(RIGHT(R539,2)="1C",(INDEX(Tables!H:H,MATCH(R539,Tables!G:G,0))),"")</f>
        <v>50</v>
      </c>
    </row>
    <row r="540" spans="1:19">
      <c r="A540" s="12" t="s">
        <v>4682</v>
      </c>
      <c r="B540" s="12" t="s">
        <v>6913</v>
      </c>
      <c r="C540" s="12" t="s">
        <v>6914</v>
      </c>
      <c r="D540" s="12" t="s">
        <v>3790</v>
      </c>
      <c r="E540" s="13">
        <v>0</v>
      </c>
      <c r="F540" s="13">
        <v>0</v>
      </c>
      <c r="G540" s="13">
        <v>0</v>
      </c>
      <c r="H540" s="13">
        <v>0</v>
      </c>
      <c r="I540" s="13">
        <v>0</v>
      </c>
      <c r="J540" s="13">
        <v>0</v>
      </c>
      <c r="K540" s="13">
        <v>0</v>
      </c>
      <c r="L540" s="13">
        <v>0</v>
      </c>
      <c r="M540" s="13">
        <v>0</v>
      </c>
      <c r="N540" s="13">
        <v>0</v>
      </c>
      <c r="O540">
        <v>0</v>
      </c>
      <c r="P540">
        <v>0</v>
      </c>
      <c r="Q540" t="str">
        <f t="shared" si="16"/>
        <v>AG810</v>
      </c>
      <c r="R540" t="str">
        <f t="shared" si="17"/>
        <v>CMZ1C</v>
      </c>
      <c r="S540">
        <f>IF(RIGHT(R540,2)="1C",(INDEX(Tables!H:H,MATCH(R540,Tables!G:G,0))),"")</f>
        <v>62</v>
      </c>
    </row>
    <row r="541" spans="1:19">
      <c r="A541" s="12" t="s">
        <v>4682</v>
      </c>
      <c r="B541" s="12" t="s">
        <v>7107</v>
      </c>
      <c r="C541" s="12" t="s">
        <v>7108</v>
      </c>
      <c r="D541" s="12" t="s">
        <v>3790</v>
      </c>
      <c r="E541" s="13">
        <v>0</v>
      </c>
      <c r="F541" s="13">
        <v>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0</v>
      </c>
      <c r="M541" s="13">
        <v>0</v>
      </c>
      <c r="N541" s="13">
        <v>0</v>
      </c>
      <c r="O541">
        <v>0</v>
      </c>
      <c r="P541">
        <v>0</v>
      </c>
      <c r="Q541" t="str">
        <f t="shared" si="16"/>
        <v>AG872</v>
      </c>
      <c r="R541" t="str">
        <f t="shared" si="17"/>
        <v>CIM1C</v>
      </c>
      <c r="S541">
        <f>IF(RIGHT(R541,2)="1C",(INDEX(Tables!H:H,MATCH(R541,Tables!G:G,0))),"")</f>
        <v>50</v>
      </c>
    </row>
    <row r="542" spans="1:19">
      <c r="A542" s="12" t="s">
        <v>4682</v>
      </c>
      <c r="B542" s="12" t="s">
        <v>6919</v>
      </c>
      <c r="C542" s="12" t="s">
        <v>6920</v>
      </c>
      <c r="D542" s="12" t="s">
        <v>3790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0</v>
      </c>
      <c r="N542" s="13">
        <v>0</v>
      </c>
      <c r="O542">
        <v>0</v>
      </c>
      <c r="P542">
        <v>0</v>
      </c>
      <c r="Q542" t="str">
        <f t="shared" si="16"/>
        <v>AG872</v>
      </c>
      <c r="R542" t="str">
        <f t="shared" si="17"/>
        <v>CMZ1C</v>
      </c>
      <c r="S542">
        <f>IF(RIGHT(R542,2)="1C",(INDEX(Tables!H:H,MATCH(R542,Tables!G:G,0))),"")</f>
        <v>62</v>
      </c>
    </row>
    <row r="543" spans="1:19">
      <c r="A543" s="12" t="s">
        <v>4682</v>
      </c>
      <c r="B543" s="12" t="s">
        <v>7458</v>
      </c>
      <c r="C543" s="12" t="s">
        <v>7459</v>
      </c>
      <c r="D543" s="12" t="s">
        <v>3790</v>
      </c>
      <c r="E543" s="13">
        <v>237.04</v>
      </c>
      <c r="F543" s="13">
        <v>237.04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0</v>
      </c>
      <c r="N543" s="13">
        <v>0</v>
      </c>
      <c r="O543">
        <v>0</v>
      </c>
      <c r="P543">
        <v>0</v>
      </c>
      <c r="Q543" t="str">
        <f t="shared" si="16"/>
        <v/>
      </c>
      <c r="R543" t="str">
        <f t="shared" si="17"/>
        <v/>
      </c>
      <c r="S543" t="str">
        <f>IF(RIGHT(R543,2)="1C",(INDEX(Tables!H:H,MATCH(R543,Tables!G:G,0))),"")</f>
        <v/>
      </c>
    </row>
    <row r="544" spans="1:19">
      <c r="A544" s="12" t="s">
        <v>4682</v>
      </c>
      <c r="B544" s="12" t="s">
        <v>7250</v>
      </c>
      <c r="C544" s="12" t="s">
        <v>7251</v>
      </c>
      <c r="D544" s="12" t="s">
        <v>3790</v>
      </c>
      <c r="E544" s="13">
        <v>0</v>
      </c>
      <c r="F544" s="13">
        <v>0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0</v>
      </c>
      <c r="M544" s="13">
        <v>0</v>
      </c>
      <c r="N544" s="13">
        <v>0</v>
      </c>
      <c r="O544">
        <v>0</v>
      </c>
      <c r="P544">
        <v>0</v>
      </c>
      <c r="Q544" t="str">
        <f t="shared" si="16"/>
        <v/>
      </c>
      <c r="R544" t="str">
        <f t="shared" si="17"/>
        <v/>
      </c>
      <c r="S544" t="str">
        <f>IF(RIGHT(R544,2)="1C",(INDEX(Tables!H:H,MATCH(R544,Tables!G:G,0))),"")</f>
        <v/>
      </c>
    </row>
    <row r="545" spans="1:19">
      <c r="A545" s="12" t="s">
        <v>4682</v>
      </c>
      <c r="B545" s="12" t="s">
        <v>7015</v>
      </c>
      <c r="C545" s="12" t="s">
        <v>7016</v>
      </c>
      <c r="D545" s="12" t="s">
        <v>3790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>
        <v>0</v>
      </c>
      <c r="P545">
        <v>0</v>
      </c>
      <c r="Q545" t="str">
        <f t="shared" si="16"/>
        <v>AO320</v>
      </c>
      <c r="R545" t="str">
        <f t="shared" si="17"/>
        <v>CIM1C</v>
      </c>
      <c r="S545">
        <f>IF(RIGHT(R545,2)="1C",(INDEX(Tables!H:H,MATCH(R545,Tables!G:G,0))),"")</f>
        <v>50</v>
      </c>
    </row>
    <row r="546" spans="1:19">
      <c r="A546" s="12" t="s">
        <v>4682</v>
      </c>
      <c r="B546" s="12" t="s">
        <v>7017</v>
      </c>
      <c r="C546" s="12" t="s">
        <v>7018</v>
      </c>
      <c r="D546" s="12" t="s">
        <v>3790</v>
      </c>
      <c r="E546" s="13">
        <v>0</v>
      </c>
      <c r="F546" s="13">
        <v>0</v>
      </c>
      <c r="G546" s="13">
        <v>0</v>
      </c>
      <c r="H546" s="13">
        <v>0</v>
      </c>
      <c r="I546" s="13">
        <v>0</v>
      </c>
      <c r="J546" s="13">
        <v>0</v>
      </c>
      <c r="K546" s="13">
        <v>0</v>
      </c>
      <c r="L546" s="13">
        <v>0</v>
      </c>
      <c r="M546" s="13">
        <v>0</v>
      </c>
      <c r="N546" s="13">
        <v>0</v>
      </c>
      <c r="O546">
        <v>0</v>
      </c>
      <c r="P546">
        <v>0</v>
      </c>
      <c r="Q546" t="str">
        <f t="shared" si="16"/>
        <v>AO320</v>
      </c>
      <c r="R546" t="str">
        <f t="shared" si="17"/>
        <v>CMZ1C</v>
      </c>
      <c r="S546">
        <f>IF(RIGHT(R546,2)="1C",(INDEX(Tables!H:H,MATCH(R546,Tables!G:G,0))),"")</f>
        <v>62</v>
      </c>
    </row>
    <row r="547" spans="1:19">
      <c r="A547" s="12" t="s">
        <v>4682</v>
      </c>
      <c r="B547" s="12" t="s">
        <v>7009</v>
      </c>
      <c r="C547" s="12" t="s">
        <v>7010</v>
      </c>
      <c r="D547" s="12" t="s">
        <v>3790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>
        <v>0</v>
      </c>
      <c r="P547">
        <v>0</v>
      </c>
      <c r="Q547" t="str">
        <f t="shared" si="16"/>
        <v>AR283</v>
      </c>
      <c r="R547" t="str">
        <f t="shared" si="17"/>
        <v>CIM1C</v>
      </c>
      <c r="S547">
        <f>IF(RIGHT(R547,2)="1C",(INDEX(Tables!H:H,MATCH(R547,Tables!G:G,0))),"")</f>
        <v>50</v>
      </c>
    </row>
    <row r="548" spans="1:19">
      <c r="A548" s="12" t="s">
        <v>4682</v>
      </c>
      <c r="B548" s="12" t="s">
        <v>7071</v>
      </c>
      <c r="C548" s="12" t="s">
        <v>7072</v>
      </c>
      <c r="D548" s="12" t="s">
        <v>3790</v>
      </c>
      <c r="E548" s="13">
        <v>0</v>
      </c>
      <c r="F548" s="13">
        <v>0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0</v>
      </c>
      <c r="M548" s="13">
        <v>0</v>
      </c>
      <c r="N548" s="13">
        <v>0</v>
      </c>
      <c r="O548">
        <v>0</v>
      </c>
      <c r="P548">
        <v>0</v>
      </c>
      <c r="Q548" t="str">
        <f t="shared" si="16"/>
        <v>AR283</v>
      </c>
      <c r="R548" t="str">
        <f t="shared" si="17"/>
        <v>CMZ1C</v>
      </c>
      <c r="S548">
        <f>IF(RIGHT(R548,2)="1C",(INDEX(Tables!H:H,MATCH(R548,Tables!G:G,0))),"")</f>
        <v>62</v>
      </c>
    </row>
    <row r="549" spans="1:19">
      <c r="A549" s="12" t="s">
        <v>4682</v>
      </c>
      <c r="B549" s="12" t="s">
        <v>4703</v>
      </c>
      <c r="C549" s="12" t="s">
        <v>4704</v>
      </c>
      <c r="D549" s="12" t="s">
        <v>3790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1057</v>
      </c>
      <c r="K549" s="13">
        <v>0</v>
      </c>
      <c r="L549" s="13">
        <v>0</v>
      </c>
      <c r="M549" s="13">
        <v>0</v>
      </c>
      <c r="N549" s="13">
        <v>0</v>
      </c>
      <c r="O549">
        <v>1057</v>
      </c>
      <c r="P549">
        <v>176.166</v>
      </c>
      <c r="Q549" t="str">
        <f t="shared" si="16"/>
        <v>AT510</v>
      </c>
      <c r="R549" t="str">
        <f t="shared" si="17"/>
        <v>CIM1C</v>
      </c>
      <c r="S549">
        <f>IF(RIGHT(R549,2)="1C",(INDEX(Tables!H:H,MATCH(R549,Tables!G:G,0))),"")</f>
        <v>50</v>
      </c>
    </row>
    <row r="550" spans="1:19">
      <c r="A550" s="12" t="s">
        <v>4682</v>
      </c>
      <c r="B550" s="12" t="s">
        <v>4863</v>
      </c>
      <c r="C550" s="12" t="s">
        <v>4864</v>
      </c>
      <c r="D550" s="12" t="s">
        <v>3790</v>
      </c>
      <c r="E550" s="13">
        <v>0</v>
      </c>
      <c r="F550" s="13">
        <v>0</v>
      </c>
      <c r="G550" s="13">
        <v>0</v>
      </c>
      <c r="H550" s="13">
        <v>0</v>
      </c>
      <c r="I550" s="13">
        <v>0</v>
      </c>
      <c r="J550" s="13">
        <v>0</v>
      </c>
      <c r="K550" s="13">
        <v>0</v>
      </c>
      <c r="L550" s="13">
        <v>0</v>
      </c>
      <c r="M550" s="13">
        <v>0</v>
      </c>
      <c r="N550" s="13">
        <v>0</v>
      </c>
      <c r="O550">
        <v>0</v>
      </c>
      <c r="P550">
        <v>0</v>
      </c>
      <c r="Q550" t="str">
        <f t="shared" si="16"/>
        <v>AT750</v>
      </c>
      <c r="R550" t="str">
        <f t="shared" si="17"/>
        <v>CIM1C</v>
      </c>
      <c r="S550">
        <f>IF(RIGHT(R550,2)="1C",(INDEX(Tables!H:H,MATCH(R550,Tables!G:G,0))),"")</f>
        <v>50</v>
      </c>
    </row>
    <row r="551" spans="1:19">
      <c r="A551" s="12" t="s">
        <v>4682</v>
      </c>
      <c r="B551" s="12" t="s">
        <v>7135</v>
      </c>
      <c r="C551" s="12" t="s">
        <v>7136</v>
      </c>
      <c r="D551" s="12" t="s">
        <v>3790</v>
      </c>
      <c r="E551" s="13">
        <v>0</v>
      </c>
      <c r="F551" s="13">
        <v>0</v>
      </c>
      <c r="G551" s="13">
        <v>0</v>
      </c>
      <c r="H551" s="13">
        <v>0</v>
      </c>
      <c r="I551" s="13">
        <v>0</v>
      </c>
      <c r="J551" s="13">
        <v>0</v>
      </c>
      <c r="K551" s="13">
        <v>0</v>
      </c>
      <c r="L551" s="13">
        <v>0</v>
      </c>
      <c r="M551" s="13">
        <v>0</v>
      </c>
      <c r="N551" s="13">
        <v>0</v>
      </c>
      <c r="O551">
        <v>0</v>
      </c>
      <c r="P551">
        <v>0</v>
      </c>
      <c r="Q551" t="str">
        <f t="shared" si="16"/>
        <v>AT750</v>
      </c>
      <c r="R551" t="str">
        <f t="shared" si="17"/>
        <v>CMZ1C</v>
      </c>
      <c r="S551">
        <f>IF(RIGHT(R551,2)="1C",(INDEX(Tables!H:H,MATCH(R551,Tables!G:G,0))),"")</f>
        <v>62</v>
      </c>
    </row>
    <row r="552" spans="1:19">
      <c r="A552" s="12" t="s">
        <v>4682</v>
      </c>
      <c r="B552" s="12" t="s">
        <v>7115</v>
      </c>
      <c r="C552" s="12" t="s">
        <v>7116</v>
      </c>
      <c r="D552" s="12" t="s">
        <v>3790</v>
      </c>
      <c r="E552" s="13">
        <v>0</v>
      </c>
      <c r="F552" s="13">
        <v>0</v>
      </c>
      <c r="G552" s="13">
        <v>0</v>
      </c>
      <c r="H552" s="13">
        <v>0</v>
      </c>
      <c r="I552" s="13">
        <v>0</v>
      </c>
      <c r="J552" s="13">
        <v>0</v>
      </c>
      <c r="K552" s="13">
        <v>0</v>
      </c>
      <c r="L552" s="13">
        <v>0</v>
      </c>
      <c r="M552" s="13">
        <v>0</v>
      </c>
      <c r="N552" s="13">
        <v>0</v>
      </c>
      <c r="O552">
        <v>0</v>
      </c>
      <c r="P552">
        <v>0</v>
      </c>
      <c r="Q552" t="str">
        <f t="shared" si="16"/>
        <v>AT770</v>
      </c>
      <c r="R552" t="str">
        <f t="shared" si="17"/>
        <v>CIM1C</v>
      </c>
      <c r="S552">
        <f>IF(RIGHT(R552,2)="1C",(INDEX(Tables!H:H,MATCH(R552,Tables!G:G,0))),"")</f>
        <v>50</v>
      </c>
    </row>
    <row r="553" spans="1:19">
      <c r="A553" s="12" t="s">
        <v>4682</v>
      </c>
      <c r="B553" s="12" t="s">
        <v>6921</v>
      </c>
      <c r="C553" s="12" t="s">
        <v>6922</v>
      </c>
      <c r="D553" s="12" t="s">
        <v>3790</v>
      </c>
      <c r="E553" s="13">
        <v>0</v>
      </c>
      <c r="F553" s="13">
        <v>0</v>
      </c>
      <c r="G553" s="13">
        <v>0</v>
      </c>
      <c r="H553" s="13">
        <v>0</v>
      </c>
      <c r="I553" s="13">
        <v>0</v>
      </c>
      <c r="J553" s="13">
        <v>0</v>
      </c>
      <c r="K553" s="13">
        <v>0</v>
      </c>
      <c r="L553" s="13">
        <v>0</v>
      </c>
      <c r="M553" s="13">
        <v>0</v>
      </c>
      <c r="N553" s="13">
        <v>0</v>
      </c>
      <c r="O553">
        <v>0</v>
      </c>
      <c r="P553">
        <v>0</v>
      </c>
      <c r="Q553" t="str">
        <f t="shared" si="16"/>
        <v>AT996</v>
      </c>
      <c r="R553" t="str">
        <f t="shared" si="17"/>
        <v>CMZ1C</v>
      </c>
      <c r="S553">
        <f>IF(RIGHT(R553,2)="1C",(INDEX(Tables!H:H,MATCH(R553,Tables!G:G,0))),"")</f>
        <v>62</v>
      </c>
    </row>
    <row r="554" spans="1:19">
      <c r="A554" s="12" t="s">
        <v>4682</v>
      </c>
      <c r="B554" s="12" t="s">
        <v>7113</v>
      </c>
      <c r="C554" s="12" t="s">
        <v>7114</v>
      </c>
      <c r="D554" s="12" t="s">
        <v>3790</v>
      </c>
      <c r="E554" s="13">
        <v>0</v>
      </c>
      <c r="F554" s="13">
        <v>0</v>
      </c>
      <c r="G554" s="13">
        <v>0</v>
      </c>
      <c r="H554" s="13">
        <v>0</v>
      </c>
      <c r="I554" s="13">
        <v>0</v>
      </c>
      <c r="J554" s="13">
        <v>0</v>
      </c>
      <c r="K554" s="13">
        <v>0</v>
      </c>
      <c r="L554" s="13">
        <v>0</v>
      </c>
      <c r="M554" s="13">
        <v>0</v>
      </c>
      <c r="N554" s="13">
        <v>0</v>
      </c>
      <c r="O554">
        <v>0</v>
      </c>
      <c r="P554">
        <v>0</v>
      </c>
      <c r="Q554" t="str">
        <f t="shared" si="16"/>
        <v>AV400</v>
      </c>
      <c r="R554" t="str">
        <f t="shared" si="17"/>
        <v>CIM1C</v>
      </c>
      <c r="S554">
        <f>IF(RIGHT(R554,2)="1C",(INDEX(Tables!H:H,MATCH(R554,Tables!G:G,0))),"")</f>
        <v>50</v>
      </c>
    </row>
    <row r="555" spans="1:19">
      <c r="A555" s="12" t="s">
        <v>4682</v>
      </c>
      <c r="B555" s="12" t="s">
        <v>4995</v>
      </c>
      <c r="C555" s="12" t="s">
        <v>4996</v>
      </c>
      <c r="D555" s="12" t="s">
        <v>3790</v>
      </c>
      <c r="E555" s="13">
        <v>1851</v>
      </c>
      <c r="F555" s="13">
        <v>1851</v>
      </c>
      <c r="G555" s="13">
        <v>0</v>
      </c>
      <c r="H555" s="13">
        <v>0</v>
      </c>
      <c r="I555" s="13">
        <v>0</v>
      </c>
      <c r="J555" s="13">
        <v>0</v>
      </c>
      <c r="K555" s="13">
        <v>0</v>
      </c>
      <c r="L555" s="13">
        <v>615</v>
      </c>
      <c r="M555" s="13">
        <v>401</v>
      </c>
      <c r="N555" s="13">
        <v>0</v>
      </c>
      <c r="O555">
        <v>1016</v>
      </c>
      <c r="P555">
        <v>169.333</v>
      </c>
      <c r="Q555" t="str">
        <f t="shared" si="16"/>
        <v>AW180</v>
      </c>
      <c r="R555" t="str">
        <f t="shared" si="17"/>
        <v>CIM1C</v>
      </c>
      <c r="S555">
        <f>IF(RIGHT(R555,2)="1C",(INDEX(Tables!H:H,MATCH(R555,Tables!G:G,0))),"")</f>
        <v>50</v>
      </c>
    </row>
    <row r="556" spans="1:19">
      <c r="A556" s="12" t="s">
        <v>4682</v>
      </c>
      <c r="B556" s="12" t="s">
        <v>7013</v>
      </c>
      <c r="C556" s="12" t="s">
        <v>7014</v>
      </c>
      <c r="D556" s="12" t="s">
        <v>3790</v>
      </c>
      <c r="E556" s="13">
        <v>0</v>
      </c>
      <c r="F556" s="13">
        <v>0</v>
      </c>
      <c r="G556" s="13">
        <v>0</v>
      </c>
      <c r="H556" s="13">
        <v>0</v>
      </c>
      <c r="I556" s="13">
        <v>0</v>
      </c>
      <c r="J556" s="13">
        <v>0</v>
      </c>
      <c r="K556" s="13">
        <v>0</v>
      </c>
      <c r="L556" s="13">
        <v>0</v>
      </c>
      <c r="M556" s="13">
        <v>0</v>
      </c>
      <c r="N556" s="13">
        <v>0</v>
      </c>
      <c r="O556">
        <v>0</v>
      </c>
      <c r="P556">
        <v>0</v>
      </c>
      <c r="Q556" t="str">
        <f t="shared" si="16"/>
        <v>AW180</v>
      </c>
      <c r="R556" t="str">
        <f t="shared" si="17"/>
        <v>CMZ1C</v>
      </c>
      <c r="S556">
        <f>IF(RIGHT(R556,2)="1C",(INDEX(Tables!H:H,MATCH(R556,Tables!G:G,0))),"")</f>
        <v>62</v>
      </c>
    </row>
    <row r="557" spans="1:19">
      <c r="A557" s="12" t="s">
        <v>4682</v>
      </c>
      <c r="B557" s="12" t="s">
        <v>7047</v>
      </c>
      <c r="C557" s="12" t="s">
        <v>7048</v>
      </c>
      <c r="D557" s="12" t="s">
        <v>3790</v>
      </c>
      <c r="E557" s="13">
        <v>0</v>
      </c>
      <c r="F557" s="13">
        <v>0</v>
      </c>
      <c r="G557" s="13">
        <v>0</v>
      </c>
      <c r="H557" s="13">
        <v>0</v>
      </c>
      <c r="I557" s="13">
        <v>0</v>
      </c>
      <c r="J557" s="13">
        <v>0</v>
      </c>
      <c r="K557" s="13">
        <v>0</v>
      </c>
      <c r="L557" s="13">
        <v>0</v>
      </c>
      <c r="M557" s="13">
        <v>0</v>
      </c>
      <c r="N557" s="13">
        <v>0</v>
      </c>
      <c r="O557">
        <v>0</v>
      </c>
      <c r="P557">
        <v>0</v>
      </c>
      <c r="Q557" t="str">
        <f t="shared" si="16"/>
        <v>AY130</v>
      </c>
      <c r="R557" t="str">
        <f t="shared" si="17"/>
        <v>CIM1C</v>
      </c>
      <c r="S557">
        <f>IF(RIGHT(R557,2)="1C",(INDEX(Tables!H:H,MATCH(R557,Tables!G:G,0))),"")</f>
        <v>50</v>
      </c>
    </row>
    <row r="558" spans="1:19">
      <c r="A558" s="12" t="s">
        <v>4682</v>
      </c>
      <c r="B558" s="12" t="s">
        <v>6897</v>
      </c>
      <c r="C558" s="12" t="s">
        <v>6898</v>
      </c>
      <c r="D558" s="12" t="s">
        <v>3790</v>
      </c>
      <c r="E558" s="13">
        <v>0</v>
      </c>
      <c r="F558" s="13">
        <v>0</v>
      </c>
      <c r="G558" s="13">
        <v>0</v>
      </c>
      <c r="H558" s="13">
        <v>0</v>
      </c>
      <c r="I558" s="13">
        <v>0</v>
      </c>
      <c r="J558" s="13">
        <v>0</v>
      </c>
      <c r="K558" s="13">
        <v>0</v>
      </c>
      <c r="L558" s="13">
        <v>0</v>
      </c>
      <c r="M558" s="13">
        <v>0</v>
      </c>
      <c r="N558" s="13">
        <v>0</v>
      </c>
      <c r="O558">
        <v>0</v>
      </c>
      <c r="P558">
        <v>0</v>
      </c>
      <c r="Q558" t="str">
        <f t="shared" si="16"/>
        <v>AY150</v>
      </c>
      <c r="R558" t="str">
        <f t="shared" si="17"/>
        <v>CIM1C</v>
      </c>
      <c r="S558">
        <f>IF(RIGHT(R558,2)="1C",(INDEX(Tables!H:H,MATCH(R558,Tables!G:G,0))),"")</f>
        <v>50</v>
      </c>
    </row>
    <row r="559" spans="1:19">
      <c r="A559" s="12" t="s">
        <v>4682</v>
      </c>
      <c r="B559" s="12" t="s">
        <v>7063</v>
      </c>
      <c r="C559" s="12" t="s">
        <v>7064</v>
      </c>
      <c r="D559" s="12" t="s">
        <v>3790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>
        <v>0</v>
      </c>
      <c r="P559">
        <v>0</v>
      </c>
      <c r="Q559" t="str">
        <f t="shared" si="16"/>
        <v>AY150</v>
      </c>
      <c r="R559" t="str">
        <f t="shared" si="17"/>
        <v>CMZ1C</v>
      </c>
      <c r="S559">
        <f>IF(RIGHT(R559,2)="1C",(INDEX(Tables!H:H,MATCH(R559,Tables!G:G,0))),"")</f>
        <v>62</v>
      </c>
    </row>
    <row r="560" spans="1:19">
      <c r="A560" s="12" t="s">
        <v>4682</v>
      </c>
      <c r="B560" s="12" t="s">
        <v>7465</v>
      </c>
      <c r="C560" s="12" t="s">
        <v>7466</v>
      </c>
      <c r="D560" s="12" t="s">
        <v>3790</v>
      </c>
      <c r="E560" s="13">
        <v>0</v>
      </c>
      <c r="F560" s="13">
        <v>0</v>
      </c>
      <c r="G560" s="13">
        <v>0</v>
      </c>
      <c r="H560" s="13">
        <v>0</v>
      </c>
      <c r="I560" s="13">
        <v>0</v>
      </c>
      <c r="J560" s="13">
        <v>0</v>
      </c>
      <c r="K560" s="13">
        <v>0</v>
      </c>
      <c r="L560" s="13">
        <v>0</v>
      </c>
      <c r="M560" s="13">
        <v>0</v>
      </c>
      <c r="N560" s="13">
        <v>0</v>
      </c>
      <c r="O560">
        <v>0</v>
      </c>
      <c r="P560">
        <v>0</v>
      </c>
      <c r="Q560" t="str">
        <f t="shared" si="16"/>
        <v>ES201</v>
      </c>
      <c r="R560" t="str">
        <f t="shared" si="17"/>
        <v>CIM1C</v>
      </c>
      <c r="S560">
        <f>IF(RIGHT(R560,2)="1C",(INDEX(Tables!H:H,MATCH(R560,Tables!G:G,0))),"")</f>
        <v>50</v>
      </c>
    </row>
    <row r="561" spans="1:19">
      <c r="A561" s="12" t="s">
        <v>4682</v>
      </c>
      <c r="B561" s="12" t="s">
        <v>4691</v>
      </c>
      <c r="C561" s="12" t="s">
        <v>4692</v>
      </c>
      <c r="D561" s="12" t="s">
        <v>3790</v>
      </c>
      <c r="E561" s="13">
        <v>1500</v>
      </c>
      <c r="F561" s="13">
        <v>1500</v>
      </c>
      <c r="G561" s="13">
        <v>0</v>
      </c>
      <c r="H561" s="13">
        <v>0</v>
      </c>
      <c r="I561" s="13">
        <v>0</v>
      </c>
      <c r="J561" s="13">
        <v>590</v>
      </c>
      <c r="K561" s="13">
        <v>0</v>
      </c>
      <c r="L561" s="13">
        <v>0</v>
      </c>
      <c r="M561" s="13">
        <v>0</v>
      </c>
      <c r="N561" s="13">
        <v>0</v>
      </c>
      <c r="O561">
        <v>590</v>
      </c>
      <c r="P561">
        <v>98.333299999999994</v>
      </c>
      <c r="Q561" t="str">
        <f t="shared" si="16"/>
        <v>ES203</v>
      </c>
      <c r="R561" t="str">
        <f t="shared" si="17"/>
        <v>CIM1C</v>
      </c>
      <c r="S561">
        <f>IF(RIGHT(R561,2)="1C",(INDEX(Tables!H:H,MATCH(R561,Tables!G:G,0))),"")</f>
        <v>50</v>
      </c>
    </row>
    <row r="562" spans="1:19">
      <c r="A562" s="12" t="s">
        <v>4682</v>
      </c>
      <c r="B562" s="12" t="s">
        <v>7353</v>
      </c>
      <c r="C562" s="12" t="s">
        <v>7354</v>
      </c>
      <c r="D562" s="12" t="s">
        <v>3790</v>
      </c>
      <c r="E562" s="13">
        <v>0</v>
      </c>
      <c r="F562" s="13">
        <v>0</v>
      </c>
      <c r="G562" s="13">
        <v>0</v>
      </c>
      <c r="H562" s="13">
        <v>0</v>
      </c>
      <c r="I562" s="13">
        <v>0</v>
      </c>
      <c r="J562" s="13">
        <v>0</v>
      </c>
      <c r="K562" s="13">
        <v>0</v>
      </c>
      <c r="L562" s="13">
        <v>0</v>
      </c>
      <c r="M562" s="13">
        <v>0</v>
      </c>
      <c r="N562" s="13">
        <v>0</v>
      </c>
      <c r="O562">
        <v>0</v>
      </c>
      <c r="P562">
        <v>0</v>
      </c>
      <c r="Q562" t="str">
        <f t="shared" si="16"/>
        <v>ES602</v>
      </c>
      <c r="R562" t="str">
        <f t="shared" si="17"/>
        <v>CMZ1C</v>
      </c>
      <c r="S562">
        <f>IF(RIGHT(R562,2)="1C",(INDEX(Tables!H:H,MATCH(R562,Tables!G:G,0))),"")</f>
        <v>62</v>
      </c>
    </row>
    <row r="563" spans="1:19">
      <c r="A563" s="12" t="s">
        <v>4682</v>
      </c>
      <c r="B563" s="12" t="s">
        <v>6822</v>
      </c>
      <c r="C563" s="12" t="s">
        <v>6823</v>
      </c>
      <c r="D563" s="12" t="s">
        <v>3790</v>
      </c>
      <c r="E563" s="13">
        <v>0</v>
      </c>
      <c r="F563" s="13">
        <v>0</v>
      </c>
      <c r="G563" s="13">
        <v>0</v>
      </c>
      <c r="H563" s="13">
        <v>0</v>
      </c>
      <c r="I563" s="13">
        <v>2407.86</v>
      </c>
      <c r="J563" s="13">
        <v>1048</v>
      </c>
      <c r="K563" s="13">
        <v>0</v>
      </c>
      <c r="L563" s="13">
        <v>0</v>
      </c>
      <c r="M563" s="13">
        <v>0</v>
      </c>
      <c r="N563" s="13">
        <v>0</v>
      </c>
      <c r="O563">
        <v>3455.86</v>
      </c>
      <c r="P563">
        <v>575.976</v>
      </c>
      <c r="Q563" t="str">
        <f t="shared" si="16"/>
        <v>ES701</v>
      </c>
      <c r="R563" t="str">
        <f t="shared" si="17"/>
        <v>CIM1C</v>
      </c>
      <c r="S563">
        <f>IF(RIGHT(R563,2)="1C",(INDEX(Tables!H:H,MATCH(R563,Tables!G:G,0))),"")</f>
        <v>50</v>
      </c>
    </row>
    <row r="564" spans="1:19">
      <c r="A564" s="12" t="s">
        <v>4682</v>
      </c>
      <c r="B564" s="12" t="s">
        <v>7196</v>
      </c>
      <c r="C564" s="12" t="s">
        <v>7197</v>
      </c>
      <c r="D564" s="12" t="s">
        <v>3790</v>
      </c>
      <c r="E564" s="13">
        <v>0</v>
      </c>
      <c r="F564" s="13">
        <v>0</v>
      </c>
      <c r="G564" s="13">
        <v>0</v>
      </c>
      <c r="H564" s="13">
        <v>0</v>
      </c>
      <c r="I564" s="13">
        <v>0</v>
      </c>
      <c r="J564" s="13">
        <v>0</v>
      </c>
      <c r="K564" s="13">
        <v>0</v>
      </c>
      <c r="L564" s="13">
        <v>0</v>
      </c>
      <c r="M564" s="13">
        <v>0</v>
      </c>
      <c r="N564" s="13">
        <v>0</v>
      </c>
      <c r="O564">
        <v>0</v>
      </c>
      <c r="P564">
        <v>0</v>
      </c>
      <c r="Q564" t="str">
        <f t="shared" si="16"/>
        <v>FN601</v>
      </c>
      <c r="R564" t="str">
        <f t="shared" si="17"/>
        <v>CIM1C</v>
      </c>
      <c r="S564">
        <f>IF(RIGHT(R564,2)="1C",(INDEX(Tables!H:H,MATCH(R564,Tables!G:G,0))),"")</f>
        <v>50</v>
      </c>
    </row>
    <row r="565" spans="1:19">
      <c r="A565" s="12" t="s">
        <v>4682</v>
      </c>
      <c r="B565" s="12" t="s">
        <v>7264</v>
      </c>
      <c r="C565" s="12" t="s">
        <v>7265</v>
      </c>
      <c r="D565" s="12" t="s">
        <v>3790</v>
      </c>
      <c r="E565" s="13">
        <v>0</v>
      </c>
      <c r="F565" s="13">
        <v>0</v>
      </c>
      <c r="G565" s="13">
        <v>0</v>
      </c>
      <c r="H565" s="13">
        <v>0</v>
      </c>
      <c r="I565" s="13">
        <v>0</v>
      </c>
      <c r="J565" s="13">
        <v>0</v>
      </c>
      <c r="K565" s="13">
        <v>0</v>
      </c>
      <c r="L565" s="13">
        <v>0</v>
      </c>
      <c r="M565" s="13">
        <v>0</v>
      </c>
      <c r="N565" s="13">
        <v>0</v>
      </c>
      <c r="O565">
        <v>0</v>
      </c>
      <c r="P565">
        <v>0</v>
      </c>
      <c r="Q565" t="str">
        <f t="shared" si="16"/>
        <v/>
      </c>
      <c r="R565" t="str">
        <f t="shared" si="17"/>
        <v/>
      </c>
      <c r="S565" t="str">
        <f>IF(RIGHT(R565,2)="1C",(INDEX(Tables!H:H,MATCH(R565,Tables!G:G,0))),"")</f>
        <v/>
      </c>
    </row>
    <row r="566" spans="1:19">
      <c r="A566" s="12" t="s">
        <v>4682</v>
      </c>
      <c r="B566" s="12" t="s">
        <v>4821</v>
      </c>
      <c r="C566" s="12" t="s">
        <v>4822</v>
      </c>
      <c r="D566" s="12" t="s">
        <v>3790</v>
      </c>
      <c r="E566" s="13">
        <v>0</v>
      </c>
      <c r="F566" s="13">
        <v>0</v>
      </c>
      <c r="G566" s="13">
        <v>0</v>
      </c>
      <c r="H566" s="13">
        <v>0</v>
      </c>
      <c r="I566" s="13">
        <v>0</v>
      </c>
      <c r="J566" s="13">
        <v>0</v>
      </c>
      <c r="K566" s="13">
        <v>0</v>
      </c>
      <c r="L566" s="13">
        <v>0</v>
      </c>
      <c r="M566" s="13">
        <v>0</v>
      </c>
      <c r="N566" s="13">
        <v>0</v>
      </c>
      <c r="O566">
        <v>0</v>
      </c>
      <c r="P566">
        <v>0</v>
      </c>
      <c r="Q566" t="str">
        <f t="shared" si="16"/>
        <v/>
      </c>
      <c r="R566" t="str">
        <f t="shared" si="17"/>
        <v/>
      </c>
      <c r="S566" t="str">
        <f>IF(RIGHT(R566,2)="1C",(INDEX(Tables!H:H,MATCH(R566,Tables!G:G,0))),"")</f>
        <v/>
      </c>
    </row>
    <row r="567" spans="1:19">
      <c r="A567" s="12" t="s">
        <v>4682</v>
      </c>
      <c r="B567" s="12" t="s">
        <v>7355</v>
      </c>
      <c r="C567" s="12" t="s">
        <v>7356</v>
      </c>
      <c r="D567" s="12" t="s">
        <v>3790</v>
      </c>
      <c r="E567" s="13">
        <v>0</v>
      </c>
      <c r="F567" s="13">
        <v>0</v>
      </c>
      <c r="G567" s="13">
        <v>0</v>
      </c>
      <c r="H567" s="13">
        <v>0</v>
      </c>
      <c r="I567" s="13">
        <v>0</v>
      </c>
      <c r="J567" s="13">
        <v>0</v>
      </c>
      <c r="K567" s="13">
        <v>0</v>
      </c>
      <c r="L567" s="13">
        <v>0</v>
      </c>
      <c r="M567" s="13">
        <v>0</v>
      </c>
      <c r="N567" s="13">
        <v>0</v>
      </c>
      <c r="O567">
        <v>0</v>
      </c>
      <c r="P567">
        <v>0</v>
      </c>
      <c r="Q567" t="str">
        <f t="shared" si="16"/>
        <v>FS601</v>
      </c>
      <c r="R567" t="str">
        <f t="shared" si="17"/>
        <v>CMZ1C</v>
      </c>
      <c r="S567">
        <f>IF(RIGHT(R567,2)="1C",(INDEX(Tables!H:H,MATCH(R567,Tables!G:G,0))),"")</f>
        <v>62</v>
      </c>
    </row>
    <row r="568" spans="1:19">
      <c r="A568" s="12" t="s">
        <v>4682</v>
      </c>
      <c r="B568" s="12" t="s">
        <v>7357</v>
      </c>
      <c r="C568" s="12" t="s">
        <v>7358</v>
      </c>
      <c r="D568" s="12" t="s">
        <v>3790</v>
      </c>
      <c r="E568" s="13">
        <v>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0</v>
      </c>
      <c r="M568" s="13">
        <v>0</v>
      </c>
      <c r="N568" s="13">
        <v>0</v>
      </c>
      <c r="O568">
        <v>0</v>
      </c>
      <c r="P568">
        <v>0</v>
      </c>
      <c r="Q568" t="str">
        <f t="shared" si="16"/>
        <v>GR204</v>
      </c>
      <c r="R568" t="str">
        <f t="shared" si="17"/>
        <v>CMZ1C</v>
      </c>
      <c r="S568">
        <f>IF(RIGHT(R568,2)="1C",(INDEX(Tables!H:H,MATCH(R568,Tables!G:G,0))),"")</f>
        <v>62</v>
      </c>
    </row>
    <row r="569" spans="1:19">
      <c r="A569" s="12" t="s">
        <v>4682</v>
      </c>
      <c r="B569" s="12" t="s">
        <v>7400</v>
      </c>
      <c r="C569" s="12" t="s">
        <v>7401</v>
      </c>
      <c r="D569" s="12" t="s">
        <v>3790</v>
      </c>
      <c r="E569" s="13">
        <v>0</v>
      </c>
      <c r="F569" s="13">
        <v>0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0</v>
      </c>
      <c r="M569" s="13">
        <v>0</v>
      </c>
      <c r="N569" s="13">
        <v>0</v>
      </c>
      <c r="O569">
        <v>0</v>
      </c>
      <c r="P569">
        <v>0</v>
      </c>
      <c r="Q569" t="str">
        <f t="shared" si="16"/>
        <v>GR401</v>
      </c>
      <c r="R569" t="str">
        <f t="shared" si="17"/>
        <v>CMZ1C</v>
      </c>
      <c r="S569">
        <f>IF(RIGHT(R569,2)="1C",(INDEX(Tables!H:H,MATCH(R569,Tables!G:G,0))),"")</f>
        <v>62</v>
      </c>
    </row>
    <row r="570" spans="1:19">
      <c r="A570" s="12" t="s">
        <v>4682</v>
      </c>
      <c r="B570" s="12" t="s">
        <v>4903</v>
      </c>
      <c r="C570" s="12" t="s">
        <v>4904</v>
      </c>
      <c r="D570" s="12" t="s">
        <v>3790</v>
      </c>
      <c r="E570" s="13">
        <v>0</v>
      </c>
      <c r="F570" s="13">
        <v>0</v>
      </c>
      <c r="G570" s="13">
        <v>0</v>
      </c>
      <c r="H570" s="13">
        <v>0</v>
      </c>
      <c r="I570" s="13">
        <v>0</v>
      </c>
      <c r="J570" s="13">
        <v>0</v>
      </c>
      <c r="K570" s="13">
        <v>0</v>
      </c>
      <c r="L570" s="13">
        <v>1573</v>
      </c>
      <c r="M570" s="13">
        <v>0</v>
      </c>
      <c r="N570" s="13">
        <v>0</v>
      </c>
      <c r="O570">
        <v>1573</v>
      </c>
      <c r="P570">
        <v>262.166</v>
      </c>
      <c r="Q570" t="str">
        <f t="shared" si="16"/>
        <v/>
      </c>
      <c r="R570" t="str">
        <f t="shared" si="17"/>
        <v/>
      </c>
      <c r="S570" t="str">
        <f>IF(RIGHT(R570,2)="1C",(INDEX(Tables!H:H,MATCH(R570,Tables!G:G,0))),"")</f>
        <v/>
      </c>
    </row>
    <row r="571" spans="1:19">
      <c r="A571" s="12" t="s">
        <v>4682</v>
      </c>
      <c r="B571" s="12" t="s">
        <v>5121</v>
      </c>
      <c r="C571" s="12" t="s">
        <v>5122</v>
      </c>
      <c r="D571" s="12" t="s">
        <v>3790</v>
      </c>
      <c r="E571" s="13">
        <v>501.55</v>
      </c>
      <c r="F571" s="13">
        <v>501.55</v>
      </c>
      <c r="G571" s="13">
        <v>0</v>
      </c>
      <c r="H571" s="13">
        <v>0</v>
      </c>
      <c r="I571" s="13">
        <v>0</v>
      </c>
      <c r="J571" s="13">
        <v>3333</v>
      </c>
      <c r="K571" s="13">
        <v>3161</v>
      </c>
      <c r="L571" s="13">
        <v>0</v>
      </c>
      <c r="M571" s="13">
        <v>2285</v>
      </c>
      <c r="N571" s="13">
        <v>0</v>
      </c>
      <c r="O571">
        <v>8779</v>
      </c>
      <c r="P571">
        <v>1463.16</v>
      </c>
      <c r="Q571" t="str">
        <f t="shared" si="16"/>
        <v/>
      </c>
      <c r="R571" t="str">
        <f t="shared" si="17"/>
        <v/>
      </c>
      <c r="S571" t="str">
        <f>IF(RIGHT(R571,2)="1C",(INDEX(Tables!H:H,MATCH(R571,Tables!G:G,0))),"")</f>
        <v/>
      </c>
    </row>
    <row r="572" spans="1:19">
      <c r="A572" s="12" t="s">
        <v>4682</v>
      </c>
      <c r="B572" s="12" t="s">
        <v>5063</v>
      </c>
      <c r="C572" s="12" t="s">
        <v>5064</v>
      </c>
      <c r="D572" s="12" t="s">
        <v>3790</v>
      </c>
      <c r="E572" s="13">
        <v>0</v>
      </c>
      <c r="F572" s="13">
        <v>0</v>
      </c>
      <c r="G572" s="13">
        <v>0</v>
      </c>
      <c r="H572" s="13">
        <v>0</v>
      </c>
      <c r="I572" s="13">
        <v>0</v>
      </c>
      <c r="J572" s="13">
        <v>1818</v>
      </c>
      <c r="K572" s="13">
        <v>0</v>
      </c>
      <c r="L572" s="13">
        <v>1320</v>
      </c>
      <c r="M572" s="13">
        <v>1065</v>
      </c>
      <c r="N572" s="13">
        <v>344</v>
      </c>
      <c r="O572">
        <v>4547</v>
      </c>
      <c r="P572">
        <v>757.83299999999997</v>
      </c>
      <c r="Q572" t="str">
        <f t="shared" si="16"/>
        <v/>
      </c>
      <c r="R572" t="str">
        <f t="shared" si="17"/>
        <v/>
      </c>
      <c r="S572" t="str">
        <f>IF(RIGHT(R572,2)="1C",(INDEX(Tables!H:H,MATCH(R572,Tables!G:G,0))),"")</f>
        <v/>
      </c>
    </row>
    <row r="573" spans="1:19">
      <c r="A573" s="12" t="s">
        <v>4682</v>
      </c>
      <c r="B573" s="12" t="s">
        <v>7101</v>
      </c>
      <c r="C573" s="12" t="s">
        <v>7102</v>
      </c>
      <c r="D573" s="12" t="s">
        <v>3790</v>
      </c>
      <c r="E573" s="13">
        <v>0</v>
      </c>
      <c r="F573" s="13">
        <v>0</v>
      </c>
      <c r="G573" s="13">
        <v>0</v>
      </c>
      <c r="H573" s="13">
        <v>0</v>
      </c>
      <c r="I573" s="13">
        <v>0</v>
      </c>
      <c r="J573" s="13">
        <v>0</v>
      </c>
      <c r="K573" s="13">
        <v>0</v>
      </c>
      <c r="L573" s="13">
        <v>0</v>
      </c>
      <c r="M573" s="13">
        <v>0</v>
      </c>
      <c r="N573" s="13">
        <v>0</v>
      </c>
      <c r="O573">
        <v>0</v>
      </c>
      <c r="P573">
        <v>0</v>
      </c>
      <c r="Q573" t="str">
        <f t="shared" si="16"/>
        <v>KH201</v>
      </c>
      <c r="R573" t="str">
        <f t="shared" si="17"/>
        <v>CIM1C</v>
      </c>
      <c r="S573">
        <f>IF(RIGHT(R573,2)="1C",(INDEX(Tables!H:H,MATCH(R573,Tables!G:G,0))),"")</f>
        <v>50</v>
      </c>
    </row>
    <row r="574" spans="1:19">
      <c r="A574" s="12" t="s">
        <v>4682</v>
      </c>
      <c r="B574" s="12" t="s">
        <v>4861</v>
      </c>
      <c r="C574" s="12" t="s">
        <v>4862</v>
      </c>
      <c r="D574" s="12" t="s">
        <v>3790</v>
      </c>
      <c r="E574" s="13">
        <v>255.49</v>
      </c>
      <c r="F574" s="13">
        <v>255.49</v>
      </c>
      <c r="G574" s="13">
        <v>0</v>
      </c>
      <c r="H574" s="13">
        <v>0</v>
      </c>
      <c r="I574" s="13">
        <v>2694.51</v>
      </c>
      <c r="J574" s="13">
        <v>0</v>
      </c>
      <c r="K574" s="13">
        <v>0</v>
      </c>
      <c r="L574" s="13">
        <v>0</v>
      </c>
      <c r="M574" s="13">
        <v>1155</v>
      </c>
      <c r="N574" s="13">
        <v>0</v>
      </c>
      <c r="O574">
        <v>3849.51</v>
      </c>
      <c r="P574">
        <v>641.58500000000004</v>
      </c>
      <c r="Q574" t="str">
        <f t="shared" si="16"/>
        <v>LN601</v>
      </c>
      <c r="R574" t="str">
        <f t="shared" si="17"/>
        <v>CIM1C</v>
      </c>
      <c r="S574">
        <f>IF(RIGHT(R574,2)="1C",(INDEX(Tables!H:H,MATCH(R574,Tables!G:G,0))),"")</f>
        <v>50</v>
      </c>
    </row>
    <row r="575" spans="1:19">
      <c r="A575" s="12" t="s">
        <v>4682</v>
      </c>
      <c r="B575" s="12" t="s">
        <v>7359</v>
      </c>
      <c r="C575" s="12" t="s">
        <v>7360</v>
      </c>
      <c r="D575" s="12" t="s">
        <v>3790</v>
      </c>
      <c r="E575" s="13">
        <v>0</v>
      </c>
      <c r="F575" s="13">
        <v>0</v>
      </c>
      <c r="G575" s="13">
        <v>0</v>
      </c>
      <c r="H575" s="13">
        <v>0</v>
      </c>
      <c r="I575" s="13">
        <v>0</v>
      </c>
      <c r="J575" s="13">
        <v>0</v>
      </c>
      <c r="K575" s="13">
        <v>0</v>
      </c>
      <c r="L575" s="13">
        <v>0</v>
      </c>
      <c r="M575" s="13">
        <v>0</v>
      </c>
      <c r="N575" s="13">
        <v>0</v>
      </c>
      <c r="O575">
        <v>0</v>
      </c>
      <c r="P575">
        <v>0</v>
      </c>
      <c r="Q575" t="str">
        <f t="shared" si="16"/>
        <v>LN601</v>
      </c>
      <c r="R575" t="str">
        <f t="shared" si="17"/>
        <v>CMZ1C</v>
      </c>
      <c r="S575">
        <f>IF(RIGHT(R575,2)="1C",(INDEX(Tables!H:H,MATCH(R575,Tables!G:G,0))),"")</f>
        <v>62</v>
      </c>
    </row>
    <row r="576" spans="1:19">
      <c r="A576" s="12" t="s">
        <v>4682</v>
      </c>
      <c r="B576" s="12" t="s">
        <v>5093</v>
      </c>
      <c r="C576" s="12" t="s">
        <v>5094</v>
      </c>
      <c r="D576" s="12" t="s">
        <v>3790</v>
      </c>
      <c r="E576" s="13">
        <v>122.36</v>
      </c>
      <c r="F576" s="13">
        <v>122.36</v>
      </c>
      <c r="G576" s="13">
        <v>0</v>
      </c>
      <c r="H576" s="13">
        <v>0</v>
      </c>
      <c r="I576" s="13">
        <v>0</v>
      </c>
      <c r="J576" s="13">
        <v>0</v>
      </c>
      <c r="K576" s="13">
        <v>2760</v>
      </c>
      <c r="L576" s="13">
        <v>3302</v>
      </c>
      <c r="M576" s="13">
        <v>0</v>
      </c>
      <c r="N576" s="13">
        <v>0</v>
      </c>
      <c r="O576">
        <v>6062</v>
      </c>
      <c r="P576">
        <v>1010.33</v>
      </c>
      <c r="Q576" t="str">
        <f t="shared" si="16"/>
        <v>LN602</v>
      </c>
      <c r="R576" t="str">
        <f t="shared" si="17"/>
        <v>CIM1C</v>
      </c>
      <c r="S576">
        <f>IF(RIGHT(R576,2)="1C",(INDEX(Tables!H:H,MATCH(R576,Tables!G:G,0))),"")</f>
        <v>50</v>
      </c>
    </row>
    <row r="577" spans="1:19">
      <c r="A577" s="12" t="s">
        <v>4682</v>
      </c>
      <c r="B577" s="12" t="s">
        <v>7206</v>
      </c>
      <c r="C577" s="12" t="s">
        <v>7207</v>
      </c>
      <c r="D577" s="12" t="s">
        <v>3790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13">
        <v>0</v>
      </c>
      <c r="M577" s="13">
        <v>0</v>
      </c>
      <c r="N577" s="13">
        <v>0</v>
      </c>
      <c r="O577">
        <v>0</v>
      </c>
      <c r="P577">
        <v>0</v>
      </c>
      <c r="Q577" t="str">
        <f t="shared" si="16"/>
        <v>LN602</v>
      </c>
      <c r="R577" t="str">
        <f t="shared" si="17"/>
        <v>CMZ1C</v>
      </c>
      <c r="S577">
        <f>IF(RIGHT(R577,2)="1C",(INDEX(Tables!H:H,MATCH(R577,Tables!G:G,0))),"")</f>
        <v>62</v>
      </c>
    </row>
    <row r="578" spans="1:19">
      <c r="A578" s="12" t="s">
        <v>4682</v>
      </c>
      <c r="B578" s="12" t="s">
        <v>7161</v>
      </c>
      <c r="C578" s="12" t="s">
        <v>7162</v>
      </c>
      <c r="D578" s="12" t="s">
        <v>3790</v>
      </c>
      <c r="E578" s="13">
        <v>0</v>
      </c>
      <c r="F578" s="13">
        <v>0</v>
      </c>
      <c r="G578" s="13">
        <v>0</v>
      </c>
      <c r="H578" s="13">
        <v>0</v>
      </c>
      <c r="I578" s="13">
        <v>0</v>
      </c>
      <c r="J578" s="13">
        <v>0</v>
      </c>
      <c r="K578" s="13">
        <v>0</v>
      </c>
      <c r="L578" s="13">
        <v>0</v>
      </c>
      <c r="M578" s="13">
        <v>0</v>
      </c>
      <c r="N578" s="13">
        <v>0</v>
      </c>
      <c r="O578">
        <v>0</v>
      </c>
      <c r="P578">
        <v>0</v>
      </c>
      <c r="Q578" t="str">
        <f t="shared" si="16"/>
        <v>LU301</v>
      </c>
      <c r="R578" t="str">
        <f t="shared" si="17"/>
        <v>CMZ1C</v>
      </c>
      <c r="S578">
        <f>IF(RIGHT(R578,2)="1C",(INDEX(Tables!H:H,MATCH(R578,Tables!G:G,0))),"")</f>
        <v>62</v>
      </c>
    </row>
    <row r="579" spans="1:19">
      <c r="A579" s="12" t="s">
        <v>4682</v>
      </c>
      <c r="B579" s="12" t="s">
        <v>6774</v>
      </c>
      <c r="C579" s="12" t="s">
        <v>6775</v>
      </c>
      <c r="D579" s="12" t="s">
        <v>3790</v>
      </c>
      <c r="E579" s="13">
        <v>0</v>
      </c>
      <c r="F579" s="13">
        <v>0</v>
      </c>
      <c r="G579" s="13">
        <v>0</v>
      </c>
      <c r="H579" s="13">
        <v>0</v>
      </c>
      <c r="I579" s="13">
        <v>0</v>
      </c>
      <c r="J579" s="13">
        <v>0</v>
      </c>
      <c r="K579" s="13">
        <v>0</v>
      </c>
      <c r="L579" s="13">
        <v>0</v>
      </c>
      <c r="M579" s="13">
        <v>0</v>
      </c>
      <c r="N579" s="13">
        <v>0</v>
      </c>
      <c r="O579">
        <v>0</v>
      </c>
      <c r="P579">
        <v>0</v>
      </c>
      <c r="Q579" t="str">
        <f t="shared" si="16"/>
        <v/>
      </c>
      <c r="R579" t="str">
        <f t="shared" si="17"/>
        <v/>
      </c>
      <c r="S579" t="str">
        <f>IF(RIGHT(R579,2)="1C",(INDEX(Tables!H:H,MATCH(R579,Tables!G:G,0))),"")</f>
        <v/>
      </c>
    </row>
    <row r="580" spans="1:19">
      <c r="A580" s="12" t="s">
        <v>4682</v>
      </c>
      <c r="B580" s="12" t="s">
        <v>6784</v>
      </c>
      <c r="C580" s="12" t="s">
        <v>6785</v>
      </c>
      <c r="D580" s="12" t="s">
        <v>3790</v>
      </c>
      <c r="E580" s="13">
        <v>0</v>
      </c>
      <c r="F580" s="13">
        <v>0</v>
      </c>
      <c r="G580" s="13">
        <v>0</v>
      </c>
      <c r="H580" s="13">
        <v>0</v>
      </c>
      <c r="I580" s="13">
        <v>0</v>
      </c>
      <c r="J580" s="13">
        <v>0</v>
      </c>
      <c r="K580" s="13">
        <v>0</v>
      </c>
      <c r="L580" s="13">
        <v>0</v>
      </c>
      <c r="M580" s="13">
        <v>0</v>
      </c>
      <c r="N580" s="13">
        <v>0</v>
      </c>
      <c r="O580">
        <v>0</v>
      </c>
      <c r="P580">
        <v>0</v>
      </c>
      <c r="Q580" t="str">
        <f t="shared" ref="Q580:Q643" si="18">IF(RIGHT(B580,2)="1C",MID(B580,4,5),"")</f>
        <v/>
      </c>
      <c r="R580" t="str">
        <f t="shared" ref="R580:R643" si="19">IF(RIGHT(B580,2)="1C",MID(B580,SEARCH("-",B580,1)+1,6),"")</f>
        <v/>
      </c>
      <c r="S580" t="str">
        <f>IF(RIGHT(R580,2)="1C",(INDEX(Tables!H:H,MATCH(R580,Tables!G:G,0))),"")</f>
        <v/>
      </c>
    </row>
    <row r="581" spans="1:19">
      <c r="A581" s="12" t="s">
        <v>4682</v>
      </c>
      <c r="B581" s="12" t="s">
        <v>6800</v>
      </c>
      <c r="C581" s="12" t="s">
        <v>6801</v>
      </c>
      <c r="D581" s="12" t="s">
        <v>3790</v>
      </c>
      <c r="E581" s="13">
        <v>0</v>
      </c>
      <c r="F581" s="13">
        <v>0</v>
      </c>
      <c r="G581" s="13">
        <v>0</v>
      </c>
      <c r="H581" s="13">
        <v>0</v>
      </c>
      <c r="I581" s="13">
        <v>0</v>
      </c>
      <c r="J581" s="13">
        <v>0</v>
      </c>
      <c r="K581" s="13">
        <v>0</v>
      </c>
      <c r="L581" s="13">
        <v>0</v>
      </c>
      <c r="M581" s="13">
        <v>0</v>
      </c>
      <c r="N581" s="13">
        <v>0</v>
      </c>
      <c r="O581">
        <v>0</v>
      </c>
      <c r="P581">
        <v>0</v>
      </c>
      <c r="Q581" t="str">
        <f t="shared" si="18"/>
        <v/>
      </c>
      <c r="R581" t="str">
        <f t="shared" si="19"/>
        <v/>
      </c>
      <c r="S581" t="str">
        <f>IF(RIGHT(R581,2)="1C",(INDEX(Tables!H:H,MATCH(R581,Tables!G:G,0))),"")</f>
        <v/>
      </c>
    </row>
    <row r="582" spans="1:19">
      <c r="A582" s="12" t="s">
        <v>4682</v>
      </c>
      <c r="B582" s="12" t="s">
        <v>6849</v>
      </c>
      <c r="C582" s="12" t="s">
        <v>6850</v>
      </c>
      <c r="D582" s="12" t="s">
        <v>3790</v>
      </c>
      <c r="E582" s="13">
        <v>0</v>
      </c>
      <c r="F582" s="13">
        <v>0</v>
      </c>
      <c r="G582" s="13">
        <v>0</v>
      </c>
      <c r="H582" s="13">
        <v>0</v>
      </c>
      <c r="I582" s="13">
        <v>0</v>
      </c>
      <c r="J582" s="13">
        <v>0</v>
      </c>
      <c r="K582" s="13">
        <v>0</v>
      </c>
      <c r="L582" s="13">
        <v>0</v>
      </c>
      <c r="M582" s="13">
        <v>0</v>
      </c>
      <c r="N582" s="13">
        <v>0</v>
      </c>
      <c r="O582">
        <v>0</v>
      </c>
      <c r="P582">
        <v>0</v>
      </c>
      <c r="Q582" t="str">
        <f t="shared" si="18"/>
        <v/>
      </c>
      <c r="R582" t="str">
        <f t="shared" si="19"/>
        <v/>
      </c>
      <c r="S582" t="str">
        <f>IF(RIGHT(R582,2)="1C",(INDEX(Tables!H:H,MATCH(R582,Tables!G:G,0))),"")</f>
        <v/>
      </c>
    </row>
    <row r="583" spans="1:19">
      <c r="A583" s="12" t="s">
        <v>4682</v>
      </c>
      <c r="B583" s="12" t="s">
        <v>6857</v>
      </c>
      <c r="C583" s="12" t="s">
        <v>6858</v>
      </c>
      <c r="D583" s="12" t="s">
        <v>3790</v>
      </c>
      <c r="E583" s="13">
        <v>0</v>
      </c>
      <c r="F583" s="13">
        <v>0</v>
      </c>
      <c r="G583" s="13">
        <v>0</v>
      </c>
      <c r="H583" s="13">
        <v>0</v>
      </c>
      <c r="I583" s="13">
        <v>0</v>
      </c>
      <c r="J583" s="13">
        <v>0</v>
      </c>
      <c r="K583" s="13">
        <v>0</v>
      </c>
      <c r="L583" s="13">
        <v>0</v>
      </c>
      <c r="M583" s="13">
        <v>0</v>
      </c>
      <c r="N583" s="13">
        <v>0</v>
      </c>
      <c r="O583">
        <v>0</v>
      </c>
      <c r="P583">
        <v>0</v>
      </c>
      <c r="Q583" t="str">
        <f t="shared" si="18"/>
        <v>MG093</v>
      </c>
      <c r="R583" t="str">
        <f t="shared" si="19"/>
        <v>CMZ1C</v>
      </c>
      <c r="S583">
        <f>IF(RIGHT(R583,2)="1C",(INDEX(Tables!H:H,MATCH(R583,Tables!G:G,0))),"")</f>
        <v>62</v>
      </c>
    </row>
    <row r="584" spans="1:19">
      <c r="A584" s="12" t="s">
        <v>4682</v>
      </c>
      <c r="B584" s="12" t="s">
        <v>7472</v>
      </c>
      <c r="C584" s="12" t="s">
        <v>7473</v>
      </c>
      <c r="D584" s="12" t="s">
        <v>3790</v>
      </c>
      <c r="E584" s="13">
        <v>0</v>
      </c>
      <c r="F584" s="13">
        <v>0</v>
      </c>
      <c r="G584" s="13">
        <v>0</v>
      </c>
      <c r="H584" s="13">
        <v>0</v>
      </c>
      <c r="I584" s="13">
        <v>0</v>
      </c>
      <c r="J584" s="13">
        <v>0</v>
      </c>
      <c r="K584" s="13">
        <v>0</v>
      </c>
      <c r="L584" s="13">
        <v>0</v>
      </c>
      <c r="M584" s="13">
        <v>0</v>
      </c>
      <c r="N584" s="13">
        <v>0</v>
      </c>
      <c r="O584">
        <v>0</v>
      </c>
      <c r="P584">
        <v>0</v>
      </c>
      <c r="Q584" t="str">
        <f t="shared" si="18"/>
        <v/>
      </c>
      <c r="R584" t="str">
        <f t="shared" si="19"/>
        <v/>
      </c>
      <c r="S584" t="str">
        <f>IF(RIGHT(R584,2)="1C",(INDEX(Tables!H:H,MATCH(R584,Tables!G:G,0))),"")</f>
        <v/>
      </c>
    </row>
    <row r="585" spans="1:19">
      <c r="A585" s="12" t="s">
        <v>4682</v>
      </c>
      <c r="B585" s="12" t="s">
        <v>6999</v>
      </c>
      <c r="C585" s="12" t="s">
        <v>7000</v>
      </c>
      <c r="D585" s="12" t="s">
        <v>3790</v>
      </c>
      <c r="E585" s="13">
        <v>0</v>
      </c>
      <c r="F585" s="13">
        <v>0</v>
      </c>
      <c r="G585" s="13">
        <v>0</v>
      </c>
      <c r="H585" s="13">
        <v>0</v>
      </c>
      <c r="I585" s="13">
        <v>0</v>
      </c>
      <c r="J585" s="13">
        <v>0</v>
      </c>
      <c r="K585" s="13">
        <v>0</v>
      </c>
      <c r="L585" s="13">
        <v>0</v>
      </c>
      <c r="M585" s="13">
        <v>0</v>
      </c>
      <c r="N585" s="13">
        <v>0</v>
      </c>
      <c r="O585">
        <v>0</v>
      </c>
      <c r="P585">
        <v>0</v>
      </c>
      <c r="Q585" t="str">
        <f t="shared" si="18"/>
        <v/>
      </c>
      <c r="R585" t="str">
        <f t="shared" si="19"/>
        <v/>
      </c>
      <c r="S585" t="str">
        <f>IF(RIGHT(R585,2)="1C",(INDEX(Tables!H:H,MATCH(R585,Tables!G:G,0))),"")</f>
        <v/>
      </c>
    </row>
    <row r="586" spans="1:19">
      <c r="A586" s="12" t="s">
        <v>4682</v>
      </c>
      <c r="B586" s="12" t="s">
        <v>5103</v>
      </c>
      <c r="C586" s="12" t="s">
        <v>5104</v>
      </c>
      <c r="D586" s="12" t="s">
        <v>3790</v>
      </c>
      <c r="E586" s="13">
        <v>0</v>
      </c>
      <c r="F586" s="13">
        <v>0</v>
      </c>
      <c r="G586" s="13">
        <v>0</v>
      </c>
      <c r="H586" s="13">
        <v>0</v>
      </c>
      <c r="I586" s="13">
        <v>0</v>
      </c>
      <c r="J586" s="13">
        <v>205</v>
      </c>
      <c r="K586" s="13">
        <v>0</v>
      </c>
      <c r="L586" s="13">
        <v>7060</v>
      </c>
      <c r="M586" s="13">
        <v>0</v>
      </c>
      <c r="N586" s="13">
        <v>0</v>
      </c>
      <c r="O586">
        <v>7265</v>
      </c>
      <c r="P586">
        <v>1210.83</v>
      </c>
      <c r="Q586" t="str">
        <f t="shared" si="18"/>
        <v>MR303</v>
      </c>
      <c r="R586" t="str">
        <f t="shared" si="19"/>
        <v>CIM1C</v>
      </c>
      <c r="S586">
        <f>IF(RIGHT(R586,2)="1C",(INDEX(Tables!H:H,MATCH(R586,Tables!G:G,0))),"")</f>
        <v>50</v>
      </c>
    </row>
    <row r="587" spans="1:19">
      <c r="A587" s="12" t="s">
        <v>4682</v>
      </c>
      <c r="B587" s="12" t="s">
        <v>4941</v>
      </c>
      <c r="C587" s="12" t="s">
        <v>4942</v>
      </c>
      <c r="D587" s="12" t="s">
        <v>3790</v>
      </c>
      <c r="E587" s="13">
        <v>3102</v>
      </c>
      <c r="F587" s="13">
        <v>3102</v>
      </c>
      <c r="G587" s="13">
        <v>0</v>
      </c>
      <c r="H587" s="13">
        <v>0</v>
      </c>
      <c r="I587" s="13">
        <v>0</v>
      </c>
      <c r="J587" s="13">
        <v>0</v>
      </c>
      <c r="K587" s="13">
        <v>0</v>
      </c>
      <c r="L587" s="13">
        <v>1065</v>
      </c>
      <c r="M587" s="13">
        <v>958</v>
      </c>
      <c r="N587" s="13">
        <v>0</v>
      </c>
      <c r="O587">
        <v>2023</v>
      </c>
      <c r="P587">
        <v>337.166</v>
      </c>
      <c r="Q587" t="str">
        <f t="shared" si="18"/>
        <v>MR308</v>
      </c>
      <c r="R587" t="str">
        <f t="shared" si="19"/>
        <v>CIM1C</v>
      </c>
      <c r="S587">
        <f>IF(RIGHT(R587,2)="1C",(INDEX(Tables!H:H,MATCH(R587,Tables!G:G,0))),"")</f>
        <v>50</v>
      </c>
    </row>
    <row r="588" spans="1:19">
      <c r="A588" s="12" t="s">
        <v>4682</v>
      </c>
      <c r="B588" s="12" t="s">
        <v>4985</v>
      </c>
      <c r="C588" s="12" t="s">
        <v>4986</v>
      </c>
      <c r="D588" s="12" t="s">
        <v>3790</v>
      </c>
      <c r="E588" s="13">
        <v>1050</v>
      </c>
      <c r="F588" s="13">
        <v>1050</v>
      </c>
      <c r="G588" s="13">
        <v>0</v>
      </c>
      <c r="H588" s="13">
        <v>0</v>
      </c>
      <c r="I588" s="13">
        <v>0</v>
      </c>
      <c r="J588" s="13">
        <v>2703</v>
      </c>
      <c r="K588" s="13">
        <v>0</v>
      </c>
      <c r="L588" s="13">
        <v>0</v>
      </c>
      <c r="M588" s="13">
        <v>0</v>
      </c>
      <c r="N588" s="13">
        <v>2678</v>
      </c>
      <c r="O588">
        <v>5381</v>
      </c>
      <c r="P588">
        <v>896.83299999999997</v>
      </c>
      <c r="Q588" t="str">
        <f t="shared" si="18"/>
        <v>MR507</v>
      </c>
      <c r="R588" t="str">
        <f t="shared" si="19"/>
        <v>CIM1C</v>
      </c>
      <c r="S588">
        <f>IF(RIGHT(R588,2)="1C",(INDEX(Tables!H:H,MATCH(R588,Tables!G:G,0))),"")</f>
        <v>50</v>
      </c>
    </row>
    <row r="589" spans="1:19">
      <c r="A589" s="12" t="s">
        <v>4682</v>
      </c>
      <c r="B589" s="12" t="s">
        <v>4975</v>
      </c>
      <c r="C589" s="12" t="s">
        <v>4976</v>
      </c>
      <c r="D589" s="12" t="s">
        <v>3790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1121</v>
      </c>
      <c r="N589" s="13">
        <v>0</v>
      </c>
      <c r="O589">
        <v>1121</v>
      </c>
      <c r="P589">
        <v>186.833</v>
      </c>
      <c r="Q589" t="str">
        <f t="shared" si="18"/>
        <v/>
      </c>
      <c r="R589" t="str">
        <f t="shared" si="19"/>
        <v/>
      </c>
      <c r="S589" t="str">
        <f>IF(RIGHT(R589,2)="1C",(INDEX(Tables!H:H,MATCH(R589,Tables!G:G,0))),"")</f>
        <v/>
      </c>
    </row>
    <row r="590" spans="1:19">
      <c r="A590" s="12" t="s">
        <v>4682</v>
      </c>
      <c r="B590" s="12" t="s">
        <v>6828</v>
      </c>
      <c r="C590" s="12" t="s">
        <v>6829</v>
      </c>
      <c r="D590" s="12" t="s">
        <v>3790</v>
      </c>
      <c r="E590" s="13">
        <v>0</v>
      </c>
      <c r="F590" s="13">
        <v>0</v>
      </c>
      <c r="G590" s="13">
        <v>0</v>
      </c>
      <c r="H590" s="13">
        <v>0</v>
      </c>
      <c r="I590" s="13">
        <v>0</v>
      </c>
      <c r="J590" s="13">
        <v>0</v>
      </c>
      <c r="K590" s="13">
        <v>0</v>
      </c>
      <c r="L590" s="13">
        <v>0</v>
      </c>
      <c r="M590" s="13">
        <v>0</v>
      </c>
      <c r="N590" s="13">
        <v>0</v>
      </c>
      <c r="O590">
        <v>0</v>
      </c>
      <c r="P590">
        <v>0</v>
      </c>
      <c r="Q590" t="str">
        <f t="shared" si="18"/>
        <v>MR601</v>
      </c>
      <c r="R590" t="str">
        <f t="shared" si="19"/>
        <v>CMZ1C</v>
      </c>
      <c r="S590">
        <f>IF(RIGHT(R590,2)="1C",(INDEX(Tables!H:H,MATCH(R590,Tables!G:G,0))),"")</f>
        <v>62</v>
      </c>
    </row>
    <row r="591" spans="1:19">
      <c r="A591" s="12" t="s">
        <v>4682</v>
      </c>
      <c r="B591" s="12" t="s">
        <v>7228</v>
      </c>
      <c r="C591" s="12" t="s">
        <v>7229</v>
      </c>
      <c r="D591" s="12" t="s">
        <v>3790</v>
      </c>
      <c r="E591" s="13">
        <v>0</v>
      </c>
      <c r="F591" s="13">
        <v>0</v>
      </c>
      <c r="G591" s="13">
        <v>0</v>
      </c>
      <c r="H591" s="13">
        <v>0</v>
      </c>
      <c r="I591" s="13">
        <v>0</v>
      </c>
      <c r="J591" s="13">
        <v>0</v>
      </c>
      <c r="K591" s="13">
        <v>0</v>
      </c>
      <c r="L591" s="13">
        <v>0</v>
      </c>
      <c r="M591" s="13">
        <v>0</v>
      </c>
      <c r="N591" s="13">
        <v>0</v>
      </c>
      <c r="O591">
        <v>0</v>
      </c>
      <c r="P591">
        <v>0</v>
      </c>
      <c r="Q591" t="str">
        <f t="shared" si="18"/>
        <v/>
      </c>
      <c r="R591" t="str">
        <f t="shared" si="19"/>
        <v/>
      </c>
      <c r="S591" t="str">
        <f>IF(RIGHT(R591,2)="1C",(INDEX(Tables!H:H,MATCH(R591,Tables!G:G,0))),"")</f>
        <v/>
      </c>
    </row>
    <row r="592" spans="1:19">
      <c r="A592" s="12" t="s">
        <v>4682</v>
      </c>
      <c r="B592" s="12" t="s">
        <v>7145</v>
      </c>
      <c r="C592" s="12" t="s">
        <v>7146</v>
      </c>
      <c r="D592" s="12" t="s">
        <v>3790</v>
      </c>
      <c r="E592" s="13">
        <v>0</v>
      </c>
      <c r="F592" s="13">
        <v>0</v>
      </c>
      <c r="G592" s="13">
        <v>0</v>
      </c>
      <c r="H592" s="13">
        <v>0</v>
      </c>
      <c r="I592" s="13">
        <v>0</v>
      </c>
      <c r="J592" s="13">
        <v>0</v>
      </c>
      <c r="K592" s="13">
        <v>0</v>
      </c>
      <c r="L592" s="13">
        <v>0</v>
      </c>
      <c r="M592" s="13">
        <v>0</v>
      </c>
      <c r="N592" s="13">
        <v>0</v>
      </c>
      <c r="O592">
        <v>0</v>
      </c>
      <c r="P592">
        <v>0</v>
      </c>
      <c r="Q592" t="str">
        <f t="shared" si="18"/>
        <v>MR604</v>
      </c>
      <c r="R592" t="str">
        <f t="shared" si="19"/>
        <v>CIM1C</v>
      </c>
      <c r="S592">
        <f>IF(RIGHT(R592,2)="1C",(INDEX(Tables!H:H,MATCH(R592,Tables!G:G,0))),"")</f>
        <v>50</v>
      </c>
    </row>
    <row r="593" spans="1:19">
      <c r="A593" s="12" t="s">
        <v>4682</v>
      </c>
      <c r="B593" s="12" t="s">
        <v>4725</v>
      </c>
      <c r="C593" s="12" t="s">
        <v>4726</v>
      </c>
      <c r="D593" s="12" t="s">
        <v>3790</v>
      </c>
      <c r="E593" s="13">
        <v>1900</v>
      </c>
      <c r="F593" s="13">
        <v>1900</v>
      </c>
      <c r="G593" s="13">
        <v>0</v>
      </c>
      <c r="H593" s="13">
        <v>0</v>
      </c>
      <c r="I593" s="13">
        <v>0</v>
      </c>
      <c r="J593" s="13">
        <v>1057</v>
      </c>
      <c r="K593" s="13">
        <v>4693</v>
      </c>
      <c r="L593" s="13">
        <v>0</v>
      </c>
      <c r="M593" s="13">
        <v>0</v>
      </c>
      <c r="N593" s="13">
        <v>0</v>
      </c>
      <c r="O593">
        <v>5750</v>
      </c>
      <c r="P593">
        <v>958.33299999999997</v>
      </c>
      <c r="Q593" t="str">
        <f t="shared" si="18"/>
        <v/>
      </c>
      <c r="R593" t="str">
        <f t="shared" si="19"/>
        <v/>
      </c>
      <c r="S593" t="str">
        <f>IF(RIGHT(R593,2)="1C",(INDEX(Tables!H:H,MATCH(R593,Tables!G:G,0))),"")</f>
        <v/>
      </c>
    </row>
    <row r="594" spans="1:19">
      <c r="A594" s="12" t="s">
        <v>4682</v>
      </c>
      <c r="B594" s="12" t="s">
        <v>7430</v>
      </c>
      <c r="C594" s="12" t="s">
        <v>7431</v>
      </c>
      <c r="D594" s="12" t="s">
        <v>3790</v>
      </c>
      <c r="E594" s="13">
        <v>0</v>
      </c>
      <c r="F594" s="13">
        <v>0</v>
      </c>
      <c r="G594" s="13">
        <v>0</v>
      </c>
      <c r="H594" s="13">
        <v>0</v>
      </c>
      <c r="I594" s="13">
        <v>0</v>
      </c>
      <c r="J594" s="13">
        <v>0</v>
      </c>
      <c r="K594" s="13">
        <v>0</v>
      </c>
      <c r="L594" s="13">
        <v>0</v>
      </c>
      <c r="M594" s="13">
        <v>0</v>
      </c>
      <c r="N594" s="13">
        <v>0</v>
      </c>
      <c r="O594">
        <v>0</v>
      </c>
      <c r="P594">
        <v>0</v>
      </c>
      <c r="Q594" t="str">
        <f t="shared" si="18"/>
        <v>MR607</v>
      </c>
      <c r="R594" t="str">
        <f t="shared" si="19"/>
        <v>CIM1C</v>
      </c>
      <c r="S594">
        <f>IF(RIGHT(R594,2)="1C",(INDEX(Tables!H:H,MATCH(R594,Tables!G:G,0))),"")</f>
        <v>50</v>
      </c>
    </row>
    <row r="595" spans="1:19">
      <c r="A595" s="12" t="s">
        <v>4682</v>
      </c>
      <c r="B595" s="12" t="s">
        <v>6883</v>
      </c>
      <c r="C595" s="12" t="s">
        <v>6884</v>
      </c>
      <c r="D595" s="12" t="s">
        <v>3790</v>
      </c>
      <c r="E595" s="13">
        <v>0</v>
      </c>
      <c r="F595" s="13">
        <v>0</v>
      </c>
      <c r="G595" s="13">
        <v>0</v>
      </c>
      <c r="H595" s="13">
        <v>0</v>
      </c>
      <c r="I595" s="13">
        <v>0</v>
      </c>
      <c r="J595" s="13">
        <v>0</v>
      </c>
      <c r="K595" s="13">
        <v>0</v>
      </c>
      <c r="L595" s="13">
        <v>0</v>
      </c>
      <c r="M595" s="13">
        <v>0</v>
      </c>
      <c r="N595" s="13">
        <v>0</v>
      </c>
      <c r="O595">
        <v>0</v>
      </c>
      <c r="P595">
        <v>0</v>
      </c>
      <c r="Q595" t="str">
        <f t="shared" si="18"/>
        <v>MR608</v>
      </c>
      <c r="R595" t="str">
        <f t="shared" si="19"/>
        <v>CIM1C</v>
      </c>
      <c r="S595">
        <f>IF(RIGHT(R595,2)="1C",(INDEX(Tables!H:H,MATCH(R595,Tables!G:G,0))),"")</f>
        <v>50</v>
      </c>
    </row>
    <row r="596" spans="1:19">
      <c r="A596" s="12" t="s">
        <v>4682</v>
      </c>
      <c r="B596" s="12" t="s">
        <v>6845</v>
      </c>
      <c r="C596" s="12" t="s">
        <v>6846</v>
      </c>
      <c r="D596" s="12" t="s">
        <v>3790</v>
      </c>
      <c r="E596" s="13">
        <v>0</v>
      </c>
      <c r="F596" s="13">
        <v>0</v>
      </c>
      <c r="G596" s="13">
        <v>0</v>
      </c>
      <c r="H596" s="13">
        <v>0</v>
      </c>
      <c r="I596" s="13">
        <v>0</v>
      </c>
      <c r="J596" s="13">
        <v>0</v>
      </c>
      <c r="K596" s="13">
        <v>0</v>
      </c>
      <c r="L596" s="13">
        <v>0</v>
      </c>
      <c r="M596" s="13">
        <v>0</v>
      </c>
      <c r="N596" s="13">
        <v>0</v>
      </c>
      <c r="O596">
        <v>0</v>
      </c>
      <c r="P596">
        <v>0</v>
      </c>
      <c r="Q596" t="str">
        <f t="shared" si="18"/>
        <v>MR701</v>
      </c>
      <c r="R596" t="str">
        <f t="shared" si="19"/>
        <v>CIM1C</v>
      </c>
      <c r="S596">
        <f>IF(RIGHT(R596,2)="1C",(INDEX(Tables!H:H,MATCH(R596,Tables!G:G,0))),"")</f>
        <v>50</v>
      </c>
    </row>
    <row r="597" spans="1:19">
      <c r="A597" s="12" t="s">
        <v>4682</v>
      </c>
      <c r="B597" s="12" t="s">
        <v>7438</v>
      </c>
      <c r="C597" s="12" t="s">
        <v>7439</v>
      </c>
      <c r="D597" s="12" t="s">
        <v>3790</v>
      </c>
      <c r="E597" s="13">
        <v>1000</v>
      </c>
      <c r="F597" s="13">
        <v>1000</v>
      </c>
      <c r="G597" s="13">
        <v>0</v>
      </c>
      <c r="H597" s="13">
        <v>0</v>
      </c>
      <c r="I597" s="13">
        <v>0</v>
      </c>
      <c r="J597" s="13">
        <v>1212</v>
      </c>
      <c r="K597" s="13">
        <v>0</v>
      </c>
      <c r="L597" s="13">
        <v>0</v>
      </c>
      <c r="M597" s="13">
        <v>0</v>
      </c>
      <c r="N597" s="13">
        <v>0</v>
      </c>
      <c r="O597">
        <v>1212</v>
      </c>
      <c r="P597">
        <v>202</v>
      </c>
      <c r="Q597" t="str">
        <f t="shared" si="18"/>
        <v>MR702</v>
      </c>
      <c r="R597" t="str">
        <f t="shared" si="19"/>
        <v>CIM1C</v>
      </c>
      <c r="S597">
        <f>IF(RIGHT(R597,2)="1C",(INDEX(Tables!H:H,MATCH(R597,Tables!G:G,0))),"")</f>
        <v>50</v>
      </c>
    </row>
    <row r="598" spans="1:19">
      <c r="A598" s="12" t="s">
        <v>4682</v>
      </c>
      <c r="B598" s="12" t="s">
        <v>4699</v>
      </c>
      <c r="C598" s="12" t="s">
        <v>4700</v>
      </c>
      <c r="D598" s="12" t="s">
        <v>3790</v>
      </c>
      <c r="E598" s="13">
        <v>1300</v>
      </c>
      <c r="F598" s="13">
        <v>1300</v>
      </c>
      <c r="G598" s="13">
        <v>0</v>
      </c>
      <c r="H598" s="13">
        <v>0</v>
      </c>
      <c r="I598" s="13">
        <v>0</v>
      </c>
      <c r="J598" s="13">
        <v>0</v>
      </c>
      <c r="K598" s="13">
        <v>744</v>
      </c>
      <c r="L598" s="13">
        <v>0</v>
      </c>
      <c r="M598" s="13">
        <v>0</v>
      </c>
      <c r="N598" s="13">
        <v>0</v>
      </c>
      <c r="O598">
        <v>744</v>
      </c>
      <c r="P598">
        <v>124</v>
      </c>
      <c r="Q598" t="str">
        <f t="shared" si="18"/>
        <v>MR702</v>
      </c>
      <c r="R598" t="str">
        <f t="shared" si="19"/>
        <v>CMZ1C</v>
      </c>
      <c r="S598">
        <f>IF(RIGHT(R598,2)="1C",(INDEX(Tables!H:H,MATCH(R598,Tables!G:G,0))),"")</f>
        <v>62</v>
      </c>
    </row>
    <row r="599" spans="1:19">
      <c r="A599" s="12" t="s">
        <v>4682</v>
      </c>
      <c r="B599" s="12" t="s">
        <v>6859</v>
      </c>
      <c r="C599" s="12" t="s">
        <v>6860</v>
      </c>
      <c r="D599" s="12" t="s">
        <v>3790</v>
      </c>
      <c r="E599" s="13">
        <v>0</v>
      </c>
      <c r="F599" s="13">
        <v>0</v>
      </c>
      <c r="G599" s="13">
        <v>0</v>
      </c>
      <c r="H599" s="13">
        <v>0</v>
      </c>
      <c r="I599" s="13">
        <v>0</v>
      </c>
      <c r="J599" s="13">
        <v>0</v>
      </c>
      <c r="K599" s="13">
        <v>0</v>
      </c>
      <c r="L599" s="13">
        <v>0</v>
      </c>
      <c r="M599" s="13">
        <v>0</v>
      </c>
      <c r="N599" s="13">
        <v>0</v>
      </c>
      <c r="O599">
        <v>0</v>
      </c>
      <c r="P599">
        <v>0</v>
      </c>
      <c r="Q599" t="str">
        <f t="shared" si="18"/>
        <v>MT405</v>
      </c>
      <c r="R599" t="str">
        <f t="shared" si="19"/>
        <v>CMZ1C</v>
      </c>
      <c r="S599">
        <f>IF(RIGHT(R599,2)="1C",(INDEX(Tables!H:H,MATCH(R599,Tables!G:G,0))),"")</f>
        <v>62</v>
      </c>
    </row>
    <row r="600" spans="1:19">
      <c r="A600" s="12" t="s">
        <v>4682</v>
      </c>
      <c r="B600" s="12" t="s">
        <v>7031</v>
      </c>
      <c r="C600" s="12" t="s">
        <v>7032</v>
      </c>
      <c r="D600" s="12" t="s">
        <v>3790</v>
      </c>
      <c r="E600" s="13">
        <v>0</v>
      </c>
      <c r="F600" s="13">
        <v>0</v>
      </c>
      <c r="G600" s="13">
        <v>0</v>
      </c>
      <c r="H600" s="13">
        <v>0</v>
      </c>
      <c r="I600" s="13">
        <v>0</v>
      </c>
      <c r="J600" s="13">
        <v>0</v>
      </c>
      <c r="K600" s="13">
        <v>0</v>
      </c>
      <c r="L600" s="13">
        <v>0</v>
      </c>
      <c r="M600" s="13">
        <v>0</v>
      </c>
      <c r="N600" s="13">
        <v>0</v>
      </c>
      <c r="O600">
        <v>0</v>
      </c>
      <c r="P600">
        <v>0</v>
      </c>
      <c r="Q600" t="str">
        <f t="shared" si="18"/>
        <v>MW580</v>
      </c>
      <c r="R600" t="str">
        <f t="shared" si="19"/>
        <v>CIM1C</v>
      </c>
      <c r="S600">
        <f>IF(RIGHT(R600,2)="1C",(INDEX(Tables!H:H,MATCH(R600,Tables!G:G,0))),"")</f>
        <v>50</v>
      </c>
    </row>
    <row r="601" spans="1:19">
      <c r="A601" s="12" t="s">
        <v>4682</v>
      </c>
      <c r="B601" s="12" t="s">
        <v>5039</v>
      </c>
      <c r="C601" s="12" t="s">
        <v>5040</v>
      </c>
      <c r="D601" s="12" t="s">
        <v>3790</v>
      </c>
      <c r="E601" s="13">
        <v>0</v>
      </c>
      <c r="F601" s="13">
        <v>0</v>
      </c>
      <c r="G601" s="13">
        <v>0</v>
      </c>
      <c r="H601" s="13">
        <v>0</v>
      </c>
      <c r="I601" s="13">
        <v>0</v>
      </c>
      <c r="J601" s="13">
        <v>0</v>
      </c>
      <c r="K601" s="13">
        <v>0</v>
      </c>
      <c r="L601" s="13">
        <v>0</v>
      </c>
      <c r="M601" s="13">
        <v>0</v>
      </c>
      <c r="N601" s="13">
        <v>0</v>
      </c>
      <c r="O601">
        <v>0</v>
      </c>
      <c r="P601">
        <v>0</v>
      </c>
      <c r="Q601" t="str">
        <f t="shared" si="18"/>
        <v>MW580</v>
      </c>
      <c r="R601" t="str">
        <f t="shared" si="19"/>
        <v>CMZ1C</v>
      </c>
      <c r="S601">
        <f>IF(RIGHT(R601,2)="1C",(INDEX(Tables!H:H,MATCH(R601,Tables!G:G,0))),"")</f>
        <v>62</v>
      </c>
    </row>
    <row r="602" spans="1:19">
      <c r="A602" s="12" t="s">
        <v>4682</v>
      </c>
      <c r="B602" s="12" t="s">
        <v>6923</v>
      </c>
      <c r="C602" s="12" t="s">
        <v>6924</v>
      </c>
      <c r="D602" s="12" t="s">
        <v>3790</v>
      </c>
      <c r="E602" s="13">
        <v>0</v>
      </c>
      <c r="F602" s="13">
        <v>0</v>
      </c>
      <c r="G602" s="13">
        <v>0</v>
      </c>
      <c r="H602" s="13">
        <v>0</v>
      </c>
      <c r="I602" s="13">
        <v>0</v>
      </c>
      <c r="J602" s="13">
        <v>0</v>
      </c>
      <c r="K602" s="13">
        <v>0</v>
      </c>
      <c r="L602" s="13">
        <v>0</v>
      </c>
      <c r="M602" s="13">
        <v>0</v>
      </c>
      <c r="N602" s="13">
        <v>0</v>
      </c>
      <c r="O602">
        <v>0</v>
      </c>
      <c r="P602">
        <v>0</v>
      </c>
      <c r="Q602" t="str">
        <f t="shared" si="18"/>
        <v>MW590</v>
      </c>
      <c r="R602" t="str">
        <f t="shared" si="19"/>
        <v>CMZ1C</v>
      </c>
      <c r="S602">
        <f>IF(RIGHT(R602,2)="1C",(INDEX(Tables!H:H,MATCH(R602,Tables!G:G,0))),"")</f>
        <v>62</v>
      </c>
    </row>
    <row r="603" spans="1:19">
      <c r="A603" s="12" t="s">
        <v>4682</v>
      </c>
      <c r="B603" s="12" t="s">
        <v>6941</v>
      </c>
      <c r="C603" s="12" t="s">
        <v>6942</v>
      </c>
      <c r="D603" s="12" t="s">
        <v>3790</v>
      </c>
      <c r="E603" s="13">
        <v>0</v>
      </c>
      <c r="F603" s="13">
        <v>0</v>
      </c>
      <c r="G603" s="13">
        <v>0</v>
      </c>
      <c r="H603" s="13">
        <v>0</v>
      </c>
      <c r="I603" s="13">
        <v>0</v>
      </c>
      <c r="J603" s="13">
        <v>0</v>
      </c>
      <c r="K603" s="13">
        <v>0</v>
      </c>
      <c r="L603" s="13">
        <v>0</v>
      </c>
      <c r="M603" s="13">
        <v>0</v>
      </c>
      <c r="N603" s="13">
        <v>0</v>
      </c>
      <c r="O603">
        <v>0</v>
      </c>
      <c r="P603">
        <v>0</v>
      </c>
      <c r="Q603" t="str">
        <f t="shared" si="18"/>
        <v>MW600</v>
      </c>
      <c r="R603" t="str">
        <f t="shared" si="19"/>
        <v>CIM1C</v>
      </c>
      <c r="S603">
        <f>IF(RIGHT(R603,2)="1C",(INDEX(Tables!H:H,MATCH(R603,Tables!G:G,0))),"")</f>
        <v>50</v>
      </c>
    </row>
    <row r="604" spans="1:19">
      <c r="A604" s="12" t="s">
        <v>4682</v>
      </c>
      <c r="B604" s="12" t="s">
        <v>6861</v>
      </c>
      <c r="C604" s="12" t="s">
        <v>6862</v>
      </c>
      <c r="D604" s="12" t="s">
        <v>3790</v>
      </c>
      <c r="E604" s="13">
        <v>0</v>
      </c>
      <c r="F604" s="13">
        <v>0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13">
        <v>0</v>
      </c>
      <c r="M604" s="13">
        <v>0</v>
      </c>
      <c r="N604" s="13">
        <v>0</v>
      </c>
      <c r="O604">
        <v>0</v>
      </c>
      <c r="P604">
        <v>0</v>
      </c>
      <c r="Q604" t="str">
        <f t="shared" si="18"/>
        <v>MW600</v>
      </c>
      <c r="R604" t="str">
        <f t="shared" si="19"/>
        <v>CMZ1C</v>
      </c>
      <c r="S604">
        <f>IF(RIGHT(R604,2)="1C",(INDEX(Tables!H:H,MATCH(R604,Tables!G:G,0))),"")</f>
        <v>62</v>
      </c>
    </row>
    <row r="605" spans="1:19">
      <c r="A605" s="12" t="s">
        <v>4682</v>
      </c>
      <c r="B605" s="12" t="s">
        <v>5163</v>
      </c>
      <c r="C605" s="12" t="s">
        <v>5164</v>
      </c>
      <c r="D605" s="12" t="s">
        <v>3790</v>
      </c>
      <c r="E605" s="13">
        <v>3876.66</v>
      </c>
      <c r="F605" s="13">
        <v>3876.66</v>
      </c>
      <c r="G605" s="13">
        <v>0</v>
      </c>
      <c r="H605" s="13">
        <v>0</v>
      </c>
      <c r="I605" s="13">
        <v>0</v>
      </c>
      <c r="J605" s="13">
        <v>3064</v>
      </c>
      <c r="K605" s="13">
        <v>5618</v>
      </c>
      <c r="L605" s="13">
        <v>2654</v>
      </c>
      <c r="M605" s="13">
        <v>1065</v>
      </c>
      <c r="N605" s="13">
        <v>2277</v>
      </c>
      <c r="O605">
        <v>14678</v>
      </c>
      <c r="P605">
        <v>2446.33</v>
      </c>
      <c r="Q605" t="str">
        <f t="shared" si="18"/>
        <v/>
      </c>
      <c r="R605" t="str">
        <f t="shared" si="19"/>
        <v/>
      </c>
      <c r="S605" t="str">
        <f>IF(RIGHT(R605,2)="1C",(INDEX(Tables!H:H,MATCH(R605,Tables!G:G,0))),"")</f>
        <v/>
      </c>
    </row>
    <row r="606" spans="1:19">
      <c r="A606" s="12" t="s">
        <v>4682</v>
      </c>
      <c r="B606" s="12" t="s">
        <v>7252</v>
      </c>
      <c r="C606" s="12" t="s">
        <v>7253</v>
      </c>
      <c r="D606" s="12" t="s">
        <v>3790</v>
      </c>
      <c r="E606" s="13">
        <v>3360</v>
      </c>
      <c r="F606" s="13">
        <v>3360</v>
      </c>
      <c r="G606" s="13">
        <v>0</v>
      </c>
      <c r="H606" s="13">
        <v>0</v>
      </c>
      <c r="I606" s="13">
        <v>0</v>
      </c>
      <c r="J606" s="13">
        <v>0</v>
      </c>
      <c r="K606" s="13">
        <v>0</v>
      </c>
      <c r="L606" s="13">
        <v>0</v>
      </c>
      <c r="M606" s="13">
        <v>0</v>
      </c>
      <c r="N606" s="13">
        <v>0</v>
      </c>
      <c r="O606">
        <v>0</v>
      </c>
      <c r="P606">
        <v>0</v>
      </c>
      <c r="Q606" t="str">
        <f t="shared" si="18"/>
        <v/>
      </c>
      <c r="R606" t="str">
        <f t="shared" si="19"/>
        <v/>
      </c>
      <c r="S606" t="str">
        <f>IF(RIGHT(R606,2)="1C",(INDEX(Tables!H:H,MATCH(R606,Tables!G:G,0))),"")</f>
        <v/>
      </c>
    </row>
    <row r="607" spans="1:19">
      <c r="A607" s="12" t="s">
        <v>4682</v>
      </c>
      <c r="B607" s="12" t="s">
        <v>7382</v>
      </c>
      <c r="C607" s="12" t="s">
        <v>7383</v>
      </c>
      <c r="D607" s="12" t="s">
        <v>3790</v>
      </c>
      <c r="E607" s="13">
        <v>0</v>
      </c>
      <c r="F607" s="13">
        <v>0</v>
      </c>
      <c r="G607" s="13">
        <v>0</v>
      </c>
      <c r="H607" s="13">
        <v>0</v>
      </c>
      <c r="I607" s="13">
        <v>0</v>
      </c>
      <c r="J607" s="13">
        <v>0</v>
      </c>
      <c r="K607" s="13">
        <v>0</v>
      </c>
      <c r="L607" s="13">
        <v>0</v>
      </c>
      <c r="M607" s="13">
        <v>0</v>
      </c>
      <c r="N607" s="13">
        <v>0</v>
      </c>
      <c r="O607">
        <v>0</v>
      </c>
      <c r="P607">
        <v>0</v>
      </c>
      <c r="Q607" t="str">
        <f t="shared" si="18"/>
        <v>PDG02</v>
      </c>
      <c r="R607" t="str">
        <f t="shared" si="19"/>
        <v>CMZ1C</v>
      </c>
      <c r="S607">
        <f>IF(RIGHT(R607,2)="1C",(INDEX(Tables!H:H,MATCH(R607,Tables!G:G,0))),"")</f>
        <v>62</v>
      </c>
    </row>
    <row r="608" spans="1:19">
      <c r="A608" s="12" t="s">
        <v>4682</v>
      </c>
      <c r="B608" s="12" t="s">
        <v>5007</v>
      </c>
      <c r="C608" s="12" t="s">
        <v>5008</v>
      </c>
      <c r="D608" s="12" t="s">
        <v>3790</v>
      </c>
      <c r="E608" s="13">
        <v>476</v>
      </c>
      <c r="F608" s="13">
        <v>476</v>
      </c>
      <c r="G608" s="13">
        <v>0</v>
      </c>
      <c r="H608" s="13">
        <v>0</v>
      </c>
      <c r="I608" s="13">
        <v>0</v>
      </c>
      <c r="J608" s="13">
        <v>0</v>
      </c>
      <c r="K608" s="13">
        <v>4161</v>
      </c>
      <c r="L608" s="13">
        <v>3006</v>
      </c>
      <c r="M608" s="13">
        <v>0</v>
      </c>
      <c r="N608" s="13">
        <v>0</v>
      </c>
      <c r="O608">
        <v>7167</v>
      </c>
      <c r="P608">
        <v>1194.5</v>
      </c>
      <c r="Q608" t="str">
        <f t="shared" si="18"/>
        <v>PDN03</v>
      </c>
      <c r="R608" t="str">
        <f t="shared" si="19"/>
        <v>CIM1C</v>
      </c>
      <c r="S608">
        <f>IF(RIGHT(R608,2)="1C",(INDEX(Tables!H:H,MATCH(R608,Tables!G:G,0))),"")</f>
        <v>50</v>
      </c>
    </row>
    <row r="609" spans="1:19">
      <c r="A609" s="12" t="s">
        <v>4682</v>
      </c>
      <c r="B609" s="12" t="s">
        <v>4711</v>
      </c>
      <c r="C609" s="12" t="s">
        <v>4712</v>
      </c>
      <c r="D609" s="12" t="s">
        <v>3790</v>
      </c>
      <c r="E609" s="13">
        <v>85.48</v>
      </c>
      <c r="F609" s="13">
        <v>85.48</v>
      </c>
      <c r="G609" s="13">
        <v>0</v>
      </c>
      <c r="H609" s="13">
        <v>0</v>
      </c>
      <c r="I609" s="13">
        <v>0</v>
      </c>
      <c r="J609" s="13">
        <v>0</v>
      </c>
      <c r="K609" s="13">
        <v>876</v>
      </c>
      <c r="L609" s="13">
        <v>0</v>
      </c>
      <c r="M609" s="13">
        <v>0</v>
      </c>
      <c r="N609" s="13">
        <v>0</v>
      </c>
      <c r="O609">
        <v>876</v>
      </c>
      <c r="P609">
        <v>146</v>
      </c>
      <c r="Q609" t="str">
        <f t="shared" si="18"/>
        <v/>
      </c>
      <c r="R609" t="str">
        <f t="shared" si="19"/>
        <v/>
      </c>
      <c r="S609" t="str">
        <f>IF(RIGHT(R609,2)="1C",(INDEX(Tables!H:H,MATCH(R609,Tables!G:G,0))),"")</f>
        <v/>
      </c>
    </row>
    <row r="610" spans="1:19">
      <c r="A610" s="12" t="s">
        <v>4682</v>
      </c>
      <c r="B610" s="12" t="s">
        <v>7198</v>
      </c>
      <c r="C610" s="12" t="s">
        <v>7199</v>
      </c>
      <c r="D610" s="12" t="s">
        <v>3790</v>
      </c>
      <c r="E610" s="13">
        <v>0</v>
      </c>
      <c r="F610" s="13">
        <v>0</v>
      </c>
      <c r="G610" s="13">
        <v>0</v>
      </c>
      <c r="H610" s="13">
        <v>0</v>
      </c>
      <c r="I610" s="13">
        <v>0</v>
      </c>
      <c r="J610" s="13">
        <v>0</v>
      </c>
      <c r="K610" s="13">
        <v>0</v>
      </c>
      <c r="L610" s="13">
        <v>0</v>
      </c>
      <c r="M610" s="13">
        <v>0</v>
      </c>
      <c r="N610" s="13">
        <v>0</v>
      </c>
      <c r="O610">
        <v>0</v>
      </c>
      <c r="P610">
        <v>0</v>
      </c>
      <c r="Q610" t="str">
        <f t="shared" si="18"/>
        <v>RK201</v>
      </c>
      <c r="R610" t="str">
        <f t="shared" si="19"/>
        <v>CIM1C</v>
      </c>
      <c r="S610">
        <f>IF(RIGHT(R610,2)="1C",(INDEX(Tables!H:H,MATCH(R610,Tables!G:G,0))),"")</f>
        <v>50</v>
      </c>
    </row>
    <row r="611" spans="1:19">
      <c r="A611" s="12" t="s">
        <v>4682</v>
      </c>
      <c r="B611" s="12" t="s">
        <v>7384</v>
      </c>
      <c r="C611" s="12" t="s">
        <v>7385</v>
      </c>
      <c r="D611" s="12" t="s">
        <v>3790</v>
      </c>
      <c r="E611" s="13">
        <v>0</v>
      </c>
      <c r="F611" s="13">
        <v>0</v>
      </c>
      <c r="G611" s="13">
        <v>0</v>
      </c>
      <c r="H611" s="13">
        <v>0</v>
      </c>
      <c r="I611" s="13">
        <v>0</v>
      </c>
      <c r="J611" s="13">
        <v>0</v>
      </c>
      <c r="K611" s="13">
        <v>0</v>
      </c>
      <c r="L611" s="13">
        <v>0</v>
      </c>
      <c r="M611" s="13">
        <v>0</v>
      </c>
      <c r="N611" s="13">
        <v>0</v>
      </c>
      <c r="O611">
        <v>0</v>
      </c>
      <c r="P611">
        <v>0</v>
      </c>
      <c r="Q611" t="str">
        <f t="shared" si="18"/>
        <v>RK201</v>
      </c>
      <c r="R611" t="str">
        <f t="shared" si="19"/>
        <v>CMZ1C</v>
      </c>
      <c r="S611">
        <f>IF(RIGHT(R611,2)="1C",(INDEX(Tables!H:H,MATCH(R611,Tables!G:G,0))),"")</f>
        <v>62</v>
      </c>
    </row>
    <row r="612" spans="1:19">
      <c r="A612" s="12" t="s">
        <v>4682</v>
      </c>
      <c r="B612" s="12" t="s">
        <v>4989</v>
      </c>
      <c r="C612" s="12" t="s">
        <v>4990</v>
      </c>
      <c r="D612" s="12" t="s">
        <v>3790</v>
      </c>
      <c r="E612" s="13">
        <v>0</v>
      </c>
      <c r="F612" s="13">
        <v>0</v>
      </c>
      <c r="G612" s="13">
        <v>0</v>
      </c>
      <c r="H612" s="13">
        <v>0</v>
      </c>
      <c r="I612" s="13">
        <v>0</v>
      </c>
      <c r="J612" s="13">
        <v>2285</v>
      </c>
      <c r="K612" s="13">
        <v>0</v>
      </c>
      <c r="L612" s="13">
        <v>0</v>
      </c>
      <c r="M612" s="13">
        <v>0</v>
      </c>
      <c r="N612" s="13">
        <v>2768</v>
      </c>
      <c r="O612">
        <v>5053</v>
      </c>
      <c r="P612">
        <v>842.16600000000005</v>
      </c>
      <c r="Q612" t="str">
        <f t="shared" si="18"/>
        <v>RK603</v>
      </c>
      <c r="R612" t="str">
        <f t="shared" si="19"/>
        <v>CIM1C</v>
      </c>
      <c r="S612">
        <f>IF(RIGHT(R612,2)="1C",(INDEX(Tables!H:H,MATCH(R612,Tables!G:G,0))),"")</f>
        <v>50</v>
      </c>
    </row>
    <row r="613" spans="1:19">
      <c r="A613" s="12" t="s">
        <v>4682</v>
      </c>
      <c r="B613" s="12" t="s">
        <v>7214</v>
      </c>
      <c r="C613" s="12" t="s">
        <v>7215</v>
      </c>
      <c r="D613" s="12" t="s">
        <v>3790</v>
      </c>
      <c r="E613" s="13">
        <v>0</v>
      </c>
      <c r="F613" s="13">
        <v>0</v>
      </c>
      <c r="G613" s="13">
        <v>0</v>
      </c>
      <c r="H613" s="13">
        <v>0</v>
      </c>
      <c r="I613" s="13">
        <v>0</v>
      </c>
      <c r="J613" s="13">
        <v>0</v>
      </c>
      <c r="K613" s="13">
        <v>0</v>
      </c>
      <c r="L613" s="13">
        <v>0</v>
      </c>
      <c r="M613" s="13">
        <v>0</v>
      </c>
      <c r="N613" s="13">
        <v>0</v>
      </c>
      <c r="O613">
        <v>0</v>
      </c>
      <c r="P613">
        <v>0</v>
      </c>
      <c r="Q613" t="str">
        <f t="shared" si="18"/>
        <v>RK603</v>
      </c>
      <c r="R613" t="str">
        <f t="shared" si="19"/>
        <v>CMZ1C</v>
      </c>
      <c r="S613">
        <f>IF(RIGHT(R613,2)="1C",(INDEX(Tables!H:H,MATCH(R613,Tables!G:G,0))),"")</f>
        <v>62</v>
      </c>
    </row>
    <row r="614" spans="1:19">
      <c r="A614" s="12" t="s">
        <v>4682</v>
      </c>
      <c r="B614" s="12" t="s">
        <v>7461</v>
      </c>
      <c r="C614" s="12" t="s">
        <v>7462</v>
      </c>
      <c r="D614" s="12" t="s">
        <v>3790</v>
      </c>
      <c r="E614" s="13">
        <v>0</v>
      </c>
      <c r="F614" s="13">
        <v>0</v>
      </c>
      <c r="G614" s="13">
        <v>0</v>
      </c>
      <c r="H614" s="13">
        <v>0</v>
      </c>
      <c r="I614" s="13">
        <v>0</v>
      </c>
      <c r="J614" s="13">
        <v>0</v>
      </c>
      <c r="K614" s="13">
        <v>0</v>
      </c>
      <c r="L614" s="13">
        <v>0</v>
      </c>
      <c r="M614" s="13">
        <v>0</v>
      </c>
      <c r="N614" s="13">
        <v>0</v>
      </c>
      <c r="O614">
        <v>0</v>
      </c>
      <c r="P614">
        <v>0</v>
      </c>
      <c r="Q614" t="str">
        <f t="shared" si="18"/>
        <v>RK702</v>
      </c>
      <c r="R614" t="str">
        <f t="shared" si="19"/>
        <v>CIM1C</v>
      </c>
      <c r="S614">
        <f>IF(RIGHT(R614,2)="1C",(INDEX(Tables!H:H,MATCH(R614,Tables!G:G,0))),"")</f>
        <v>50</v>
      </c>
    </row>
    <row r="615" spans="1:19">
      <c r="A615" s="12" t="s">
        <v>4682</v>
      </c>
      <c r="B615" s="12" t="s">
        <v>7398</v>
      </c>
      <c r="C615" s="12" t="s">
        <v>7399</v>
      </c>
      <c r="D615" s="12" t="s">
        <v>3790</v>
      </c>
      <c r="E615" s="13">
        <v>0</v>
      </c>
      <c r="F615" s="13">
        <v>0</v>
      </c>
      <c r="G615" s="13">
        <v>0</v>
      </c>
      <c r="H615" s="13">
        <v>0</v>
      </c>
      <c r="I615" s="13">
        <v>0</v>
      </c>
      <c r="J615" s="13">
        <v>0</v>
      </c>
      <c r="K615" s="13">
        <v>0</v>
      </c>
      <c r="L615" s="13">
        <v>0</v>
      </c>
      <c r="M615" s="13">
        <v>0</v>
      </c>
      <c r="N615" s="13">
        <v>0</v>
      </c>
      <c r="O615">
        <v>0</v>
      </c>
      <c r="P615">
        <v>0</v>
      </c>
      <c r="Q615" t="str">
        <f t="shared" si="18"/>
        <v>RK702</v>
      </c>
      <c r="R615" t="str">
        <f t="shared" si="19"/>
        <v>CMZ1C</v>
      </c>
      <c r="S615">
        <f>IF(RIGHT(R615,2)="1C",(INDEX(Tables!H:H,MATCH(R615,Tables!G:G,0))),"")</f>
        <v>62</v>
      </c>
    </row>
    <row r="616" spans="1:19">
      <c r="A616" s="12" t="s">
        <v>4682</v>
      </c>
      <c r="B616" s="12" t="s">
        <v>6756</v>
      </c>
      <c r="C616" s="12" t="s">
        <v>6757</v>
      </c>
      <c r="D616" s="12" t="s">
        <v>3790</v>
      </c>
      <c r="E616" s="13">
        <v>0</v>
      </c>
      <c r="F616" s="13">
        <v>0</v>
      </c>
      <c r="G616" s="13">
        <v>0</v>
      </c>
      <c r="H616" s="13">
        <v>0</v>
      </c>
      <c r="I616" s="13">
        <v>0</v>
      </c>
      <c r="J616" s="13">
        <v>0</v>
      </c>
      <c r="K616" s="13">
        <v>0</v>
      </c>
      <c r="L616" s="13">
        <v>0</v>
      </c>
      <c r="M616" s="13">
        <v>0</v>
      </c>
      <c r="N616" s="13">
        <v>0</v>
      </c>
      <c r="O616">
        <v>0</v>
      </c>
      <c r="P616">
        <v>0</v>
      </c>
      <c r="Q616" t="str">
        <f t="shared" si="18"/>
        <v/>
      </c>
      <c r="R616" t="str">
        <f t="shared" si="19"/>
        <v/>
      </c>
      <c r="S616" t="str">
        <f>IF(RIGHT(R616,2)="1C",(INDEX(Tables!H:H,MATCH(R616,Tables!G:G,0))),"")</f>
        <v/>
      </c>
    </row>
    <row r="617" spans="1:19">
      <c r="A617" s="12" t="s">
        <v>4682</v>
      </c>
      <c r="B617" s="12" t="s">
        <v>6760</v>
      </c>
      <c r="C617" s="12" t="s">
        <v>6761</v>
      </c>
      <c r="D617" s="12" t="s">
        <v>3790</v>
      </c>
      <c r="E617" s="13">
        <v>0</v>
      </c>
      <c r="F617" s="13">
        <v>0</v>
      </c>
      <c r="G617" s="13">
        <v>0</v>
      </c>
      <c r="H617" s="13">
        <v>0</v>
      </c>
      <c r="I617" s="13">
        <v>0</v>
      </c>
      <c r="J617" s="13">
        <v>0</v>
      </c>
      <c r="K617" s="13">
        <v>0</v>
      </c>
      <c r="L617" s="13">
        <v>0</v>
      </c>
      <c r="M617" s="13">
        <v>0</v>
      </c>
      <c r="N617" s="13">
        <v>0</v>
      </c>
      <c r="O617">
        <v>0</v>
      </c>
      <c r="P617">
        <v>0</v>
      </c>
      <c r="Q617" t="str">
        <f t="shared" si="18"/>
        <v/>
      </c>
      <c r="R617" t="str">
        <f t="shared" si="19"/>
        <v/>
      </c>
      <c r="S617" t="str">
        <f>IF(RIGHT(R617,2)="1C",(INDEX(Tables!H:H,MATCH(R617,Tables!G:G,0))),"")</f>
        <v/>
      </c>
    </row>
    <row r="618" spans="1:19">
      <c r="A618" s="12" t="s">
        <v>4682</v>
      </c>
      <c r="B618" s="12" t="s">
        <v>6726</v>
      </c>
      <c r="C618" s="12" t="s">
        <v>6727</v>
      </c>
      <c r="D618" s="12" t="s">
        <v>3790</v>
      </c>
      <c r="E618" s="13">
        <v>0</v>
      </c>
      <c r="F618" s="13">
        <v>0</v>
      </c>
      <c r="G618" s="13">
        <v>0</v>
      </c>
      <c r="H618" s="13">
        <v>0</v>
      </c>
      <c r="I618" s="13">
        <v>0</v>
      </c>
      <c r="J618" s="13">
        <v>0</v>
      </c>
      <c r="K618" s="13">
        <v>0</v>
      </c>
      <c r="L618" s="13">
        <v>0</v>
      </c>
      <c r="M618" s="13">
        <v>0</v>
      </c>
      <c r="N618" s="13">
        <v>0</v>
      </c>
      <c r="O618">
        <v>0</v>
      </c>
      <c r="P618">
        <v>0</v>
      </c>
      <c r="Q618" t="str">
        <f t="shared" si="18"/>
        <v/>
      </c>
      <c r="R618" t="str">
        <f t="shared" si="19"/>
        <v/>
      </c>
      <c r="S618" t="str">
        <f>IF(RIGHT(R618,2)="1C",(INDEX(Tables!H:H,MATCH(R618,Tables!G:G,0))),"")</f>
        <v/>
      </c>
    </row>
    <row r="619" spans="1:19">
      <c r="A619" s="12" t="s">
        <v>4682</v>
      </c>
      <c r="B619" s="12" t="s">
        <v>6909</v>
      </c>
      <c r="C619" s="12" t="s">
        <v>6910</v>
      </c>
      <c r="D619" s="12" t="s">
        <v>3790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0</v>
      </c>
      <c r="M619" s="13">
        <v>0</v>
      </c>
      <c r="N619" s="13">
        <v>0</v>
      </c>
      <c r="O619">
        <v>0</v>
      </c>
      <c r="P619">
        <v>0</v>
      </c>
      <c r="Q619" t="str">
        <f t="shared" si="18"/>
        <v/>
      </c>
      <c r="R619" t="str">
        <f t="shared" si="19"/>
        <v/>
      </c>
      <c r="S619" t="str">
        <f>IF(RIGHT(R619,2)="1C",(INDEX(Tables!H:H,MATCH(R619,Tables!G:G,0))),"")</f>
        <v/>
      </c>
    </row>
    <row r="620" spans="1:19">
      <c r="A620" s="12" t="s">
        <v>4682</v>
      </c>
      <c r="B620" s="12" t="s">
        <v>5025</v>
      </c>
      <c r="C620" s="12" t="s">
        <v>5026</v>
      </c>
      <c r="D620" s="12" t="s">
        <v>3790</v>
      </c>
      <c r="E620" s="13">
        <v>0</v>
      </c>
      <c r="F620" s="13">
        <v>0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1130</v>
      </c>
      <c r="M620" s="13">
        <v>0</v>
      </c>
      <c r="N620" s="13">
        <v>0</v>
      </c>
      <c r="O620">
        <v>1130</v>
      </c>
      <c r="P620">
        <v>188.333</v>
      </c>
      <c r="Q620" t="str">
        <f t="shared" si="18"/>
        <v/>
      </c>
      <c r="R620" t="str">
        <f t="shared" si="19"/>
        <v/>
      </c>
      <c r="S620" t="str">
        <f>IF(RIGHT(R620,2)="1C",(INDEX(Tables!H:H,MATCH(R620,Tables!G:G,0))),"")</f>
        <v/>
      </c>
    </row>
    <row r="621" spans="1:19">
      <c r="A621" s="12" t="s">
        <v>4682</v>
      </c>
      <c r="B621" s="12" t="s">
        <v>7248</v>
      </c>
      <c r="C621" s="12" t="s">
        <v>7249</v>
      </c>
      <c r="D621" s="12" t="s">
        <v>3790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0</v>
      </c>
      <c r="N621" s="13">
        <v>0</v>
      </c>
      <c r="O621">
        <v>0</v>
      </c>
      <c r="P621">
        <v>0</v>
      </c>
      <c r="Q621" t="str">
        <f t="shared" si="18"/>
        <v/>
      </c>
      <c r="R621" t="str">
        <f t="shared" si="19"/>
        <v/>
      </c>
      <c r="S621" t="str">
        <f>IF(RIGHT(R621,2)="1C",(INDEX(Tables!H:H,MATCH(R621,Tables!G:G,0))),"")</f>
        <v/>
      </c>
    </row>
    <row r="622" spans="1:19">
      <c r="A622" s="12" t="s">
        <v>4682</v>
      </c>
      <c r="B622" s="12" t="s">
        <v>6748</v>
      </c>
      <c r="C622" s="12" t="s">
        <v>6749</v>
      </c>
      <c r="D622" s="12" t="s">
        <v>3790</v>
      </c>
      <c r="E622" s="13">
        <v>0</v>
      </c>
      <c r="F622" s="13">
        <v>0</v>
      </c>
      <c r="G622" s="13">
        <v>0</v>
      </c>
      <c r="H622" s="13">
        <v>0</v>
      </c>
      <c r="I622" s="13">
        <v>0</v>
      </c>
      <c r="J622" s="13">
        <v>0</v>
      </c>
      <c r="K622" s="13">
        <v>0</v>
      </c>
      <c r="L622" s="13">
        <v>0</v>
      </c>
      <c r="M622" s="13">
        <v>0</v>
      </c>
      <c r="N622" s="13">
        <v>0</v>
      </c>
      <c r="O622">
        <v>0</v>
      </c>
      <c r="P622">
        <v>0</v>
      </c>
      <c r="Q622" t="str">
        <f t="shared" si="18"/>
        <v/>
      </c>
      <c r="R622" t="str">
        <f t="shared" si="19"/>
        <v/>
      </c>
      <c r="S622" t="str">
        <f>IF(RIGHT(R622,2)="1C",(INDEX(Tables!H:H,MATCH(R622,Tables!G:G,0))),"")</f>
        <v/>
      </c>
    </row>
    <row r="623" spans="1:19">
      <c r="A623" s="12" t="s">
        <v>4682</v>
      </c>
      <c r="B623" s="12" t="s">
        <v>6720</v>
      </c>
      <c r="C623" s="12" t="s">
        <v>6721</v>
      </c>
      <c r="D623" s="12" t="s">
        <v>3790</v>
      </c>
      <c r="E623" s="13">
        <v>0</v>
      </c>
      <c r="F623" s="13">
        <v>0</v>
      </c>
      <c r="G623" s="13">
        <v>0</v>
      </c>
      <c r="H623" s="13">
        <v>0</v>
      </c>
      <c r="I623" s="13">
        <v>0</v>
      </c>
      <c r="J623" s="13">
        <v>0</v>
      </c>
      <c r="K623" s="13">
        <v>0</v>
      </c>
      <c r="L623" s="13">
        <v>0</v>
      </c>
      <c r="M623" s="13">
        <v>0</v>
      </c>
      <c r="N623" s="13">
        <v>0</v>
      </c>
      <c r="O623">
        <v>0</v>
      </c>
      <c r="P623">
        <v>0</v>
      </c>
      <c r="Q623" t="str">
        <f t="shared" si="18"/>
        <v/>
      </c>
      <c r="R623" t="str">
        <f t="shared" si="19"/>
        <v/>
      </c>
      <c r="S623" t="str">
        <f>IF(RIGHT(R623,2)="1C",(INDEX(Tables!H:H,MATCH(R623,Tables!G:G,0))),"")</f>
        <v/>
      </c>
    </row>
    <row r="624" spans="1:19">
      <c r="A624" s="12" t="s">
        <v>4682</v>
      </c>
      <c r="B624" s="12" t="s">
        <v>6810</v>
      </c>
      <c r="C624" s="12" t="s">
        <v>6811</v>
      </c>
      <c r="D624" s="12" t="s">
        <v>3790</v>
      </c>
      <c r="E624" s="13">
        <v>0</v>
      </c>
      <c r="F624" s="13">
        <v>0</v>
      </c>
      <c r="G624" s="13">
        <v>0</v>
      </c>
      <c r="H624" s="13">
        <v>0</v>
      </c>
      <c r="I624" s="13">
        <v>0</v>
      </c>
      <c r="J624" s="13">
        <v>0</v>
      </c>
      <c r="K624" s="13">
        <v>0</v>
      </c>
      <c r="L624" s="13">
        <v>0</v>
      </c>
      <c r="M624" s="13">
        <v>0</v>
      </c>
      <c r="N624" s="13">
        <v>0</v>
      </c>
      <c r="O624">
        <v>0</v>
      </c>
      <c r="P624">
        <v>0</v>
      </c>
      <c r="Q624" t="str">
        <f t="shared" si="18"/>
        <v/>
      </c>
      <c r="R624" t="str">
        <f t="shared" si="19"/>
        <v/>
      </c>
      <c r="S624" t="str">
        <f>IF(RIGHT(R624,2)="1C",(INDEX(Tables!H:H,MATCH(R624,Tables!G:G,0))),"")</f>
        <v/>
      </c>
    </row>
    <row r="625" spans="1:19">
      <c r="A625" s="12" t="s">
        <v>4682</v>
      </c>
      <c r="B625" s="12" t="s">
        <v>6730</v>
      </c>
      <c r="C625" s="12" t="s">
        <v>6731</v>
      </c>
      <c r="D625" s="12" t="s">
        <v>3790</v>
      </c>
      <c r="E625" s="13">
        <v>0</v>
      </c>
      <c r="F625" s="13">
        <v>0</v>
      </c>
      <c r="G625" s="13">
        <v>0</v>
      </c>
      <c r="H625" s="13">
        <v>0</v>
      </c>
      <c r="I625" s="13">
        <v>0</v>
      </c>
      <c r="J625" s="13">
        <v>0</v>
      </c>
      <c r="K625" s="13">
        <v>0</v>
      </c>
      <c r="L625" s="13">
        <v>0</v>
      </c>
      <c r="M625" s="13">
        <v>0</v>
      </c>
      <c r="N625" s="13">
        <v>0</v>
      </c>
      <c r="O625">
        <v>0</v>
      </c>
      <c r="P625">
        <v>0</v>
      </c>
      <c r="Q625" t="str">
        <f t="shared" si="18"/>
        <v/>
      </c>
      <c r="R625" t="str">
        <f t="shared" si="19"/>
        <v/>
      </c>
      <c r="S625" t="str">
        <f>IF(RIGHT(R625,2)="1C",(INDEX(Tables!H:H,MATCH(R625,Tables!G:G,0))),"")</f>
        <v/>
      </c>
    </row>
    <row r="626" spans="1:19">
      <c r="A626" s="12" t="s">
        <v>4682</v>
      </c>
      <c r="B626" s="12" t="s">
        <v>7284</v>
      </c>
      <c r="C626" s="12" t="s">
        <v>7285</v>
      </c>
      <c r="D626" s="12" t="s">
        <v>3790</v>
      </c>
      <c r="E626" s="13">
        <v>0</v>
      </c>
      <c r="F626" s="13">
        <v>0</v>
      </c>
      <c r="G626" s="13">
        <v>0</v>
      </c>
      <c r="H626" s="13">
        <v>0</v>
      </c>
      <c r="I626" s="13">
        <v>0</v>
      </c>
      <c r="J626" s="13">
        <v>0</v>
      </c>
      <c r="K626" s="13">
        <v>0</v>
      </c>
      <c r="L626" s="13">
        <v>0</v>
      </c>
      <c r="M626" s="13">
        <v>0</v>
      </c>
      <c r="N626" s="13">
        <v>0</v>
      </c>
      <c r="O626">
        <v>0</v>
      </c>
      <c r="P626">
        <v>0</v>
      </c>
      <c r="Q626" t="str">
        <f t="shared" si="18"/>
        <v/>
      </c>
      <c r="R626" t="str">
        <f t="shared" si="19"/>
        <v/>
      </c>
      <c r="S626" t="str">
        <f>IF(RIGHT(R626,2)="1C",(INDEX(Tables!H:H,MATCH(R626,Tables!G:G,0))),"")</f>
        <v/>
      </c>
    </row>
    <row r="627" spans="1:19">
      <c r="A627" s="12" t="s">
        <v>4682</v>
      </c>
      <c r="B627" s="12" t="s">
        <v>6724</v>
      </c>
      <c r="C627" s="12" t="s">
        <v>6725</v>
      </c>
      <c r="D627" s="12" t="s">
        <v>3790</v>
      </c>
      <c r="E627" s="13">
        <v>0</v>
      </c>
      <c r="F627" s="13">
        <v>0</v>
      </c>
      <c r="G627" s="13">
        <v>0</v>
      </c>
      <c r="H627" s="13">
        <v>0</v>
      </c>
      <c r="I627" s="13">
        <v>0</v>
      </c>
      <c r="J627" s="13">
        <v>0</v>
      </c>
      <c r="K627" s="13">
        <v>0</v>
      </c>
      <c r="L627" s="13">
        <v>0</v>
      </c>
      <c r="M627" s="13">
        <v>0</v>
      </c>
      <c r="N627" s="13">
        <v>0</v>
      </c>
      <c r="O627">
        <v>0</v>
      </c>
      <c r="P627">
        <v>0</v>
      </c>
      <c r="Q627" t="str">
        <f t="shared" si="18"/>
        <v/>
      </c>
      <c r="R627" t="str">
        <f t="shared" si="19"/>
        <v/>
      </c>
      <c r="S627" t="str">
        <f>IF(RIGHT(R627,2)="1C",(INDEX(Tables!H:H,MATCH(R627,Tables!G:G,0))),"")</f>
        <v/>
      </c>
    </row>
    <row r="628" spans="1:19">
      <c r="A628" s="12" t="s">
        <v>4682</v>
      </c>
      <c r="B628" s="12" t="s">
        <v>6722</v>
      </c>
      <c r="C628" s="12" t="s">
        <v>6723</v>
      </c>
      <c r="D628" s="12" t="s">
        <v>3790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0</v>
      </c>
      <c r="K628" s="13">
        <v>0</v>
      </c>
      <c r="L628" s="13">
        <v>0</v>
      </c>
      <c r="M628" s="13">
        <v>0</v>
      </c>
      <c r="N628" s="13">
        <v>0</v>
      </c>
      <c r="O628">
        <v>0</v>
      </c>
      <c r="P628">
        <v>0</v>
      </c>
      <c r="Q628" t="str">
        <f t="shared" si="18"/>
        <v/>
      </c>
      <c r="R628" t="str">
        <f t="shared" si="19"/>
        <v/>
      </c>
      <c r="S628" t="str">
        <f>IF(RIGHT(R628,2)="1C",(INDEX(Tables!H:H,MATCH(R628,Tables!G:G,0))),"")</f>
        <v/>
      </c>
    </row>
    <row r="629" spans="1:19">
      <c r="A629" s="12" t="s">
        <v>4682</v>
      </c>
      <c r="B629" s="12" t="s">
        <v>6790</v>
      </c>
      <c r="C629" s="12" t="s">
        <v>6791</v>
      </c>
      <c r="D629" s="12" t="s">
        <v>3790</v>
      </c>
      <c r="E629" s="13">
        <v>0</v>
      </c>
      <c r="F629" s="13">
        <v>0</v>
      </c>
      <c r="G629" s="13">
        <v>0</v>
      </c>
      <c r="H629" s="13">
        <v>0</v>
      </c>
      <c r="I629" s="13">
        <v>0</v>
      </c>
      <c r="J629" s="13">
        <v>0</v>
      </c>
      <c r="K629" s="13">
        <v>0</v>
      </c>
      <c r="L629" s="13">
        <v>0</v>
      </c>
      <c r="M629" s="13">
        <v>0</v>
      </c>
      <c r="N629" s="13">
        <v>0</v>
      </c>
      <c r="O629">
        <v>0</v>
      </c>
      <c r="P629">
        <v>0</v>
      </c>
      <c r="Q629" t="str">
        <f t="shared" si="18"/>
        <v/>
      </c>
      <c r="R629" t="str">
        <f t="shared" si="19"/>
        <v/>
      </c>
      <c r="S629" t="str">
        <f>IF(RIGHT(R629,2)="1C",(INDEX(Tables!H:H,MATCH(R629,Tables!G:G,0))),"")</f>
        <v/>
      </c>
    </row>
    <row r="630" spans="1:19">
      <c r="A630" s="12" t="s">
        <v>4682</v>
      </c>
      <c r="B630" s="12" t="s">
        <v>6746</v>
      </c>
      <c r="C630" s="12" t="s">
        <v>6747</v>
      </c>
      <c r="D630" s="12" t="s">
        <v>3790</v>
      </c>
      <c r="E630" s="13">
        <v>0</v>
      </c>
      <c r="F630" s="13">
        <v>0</v>
      </c>
      <c r="G630" s="13">
        <v>0</v>
      </c>
      <c r="H630" s="13">
        <v>0</v>
      </c>
      <c r="I630" s="13">
        <v>0</v>
      </c>
      <c r="J630" s="13">
        <v>0</v>
      </c>
      <c r="K630" s="13">
        <v>0</v>
      </c>
      <c r="L630" s="13">
        <v>0</v>
      </c>
      <c r="M630" s="13">
        <v>0</v>
      </c>
      <c r="N630" s="13">
        <v>0</v>
      </c>
      <c r="O630">
        <v>0</v>
      </c>
      <c r="P630">
        <v>0</v>
      </c>
      <c r="Q630" t="str">
        <f t="shared" si="18"/>
        <v/>
      </c>
      <c r="R630" t="str">
        <f t="shared" si="19"/>
        <v/>
      </c>
      <c r="S630" t="str">
        <f>IF(RIGHT(R630,2)="1C",(INDEX(Tables!H:H,MATCH(R630,Tables!G:G,0))),"")</f>
        <v/>
      </c>
    </row>
    <row r="631" spans="1:19">
      <c r="A631" s="12" t="s">
        <v>4682</v>
      </c>
      <c r="B631" s="12" t="s">
        <v>6738</v>
      </c>
      <c r="C631" s="12" t="s">
        <v>6739</v>
      </c>
      <c r="D631" s="12" t="s">
        <v>3790</v>
      </c>
      <c r="E631" s="13">
        <v>0</v>
      </c>
      <c r="F631" s="13">
        <v>0</v>
      </c>
      <c r="G631" s="13">
        <v>0</v>
      </c>
      <c r="H631" s="13">
        <v>0</v>
      </c>
      <c r="I631" s="13">
        <v>0</v>
      </c>
      <c r="J631" s="13">
        <v>0</v>
      </c>
      <c r="K631" s="13">
        <v>0</v>
      </c>
      <c r="L631" s="13">
        <v>0</v>
      </c>
      <c r="M631" s="13">
        <v>0</v>
      </c>
      <c r="N631" s="13">
        <v>0</v>
      </c>
      <c r="O631">
        <v>0</v>
      </c>
      <c r="P631">
        <v>0</v>
      </c>
      <c r="Q631" t="str">
        <f t="shared" si="18"/>
        <v/>
      </c>
      <c r="R631" t="str">
        <f t="shared" si="19"/>
        <v/>
      </c>
      <c r="S631" t="str">
        <f>IF(RIGHT(R631,2)="1C",(INDEX(Tables!H:H,MATCH(R631,Tables!G:G,0))),"")</f>
        <v/>
      </c>
    </row>
    <row r="632" spans="1:19">
      <c r="A632" s="12" t="s">
        <v>4682</v>
      </c>
      <c r="B632" s="12" t="s">
        <v>7404</v>
      </c>
      <c r="C632" s="12" t="s">
        <v>7405</v>
      </c>
      <c r="D632" s="12" t="s">
        <v>3790</v>
      </c>
      <c r="E632" s="13">
        <v>0</v>
      </c>
      <c r="F632" s="13">
        <v>0</v>
      </c>
      <c r="G632" s="13">
        <v>0</v>
      </c>
      <c r="H632" s="13">
        <v>0</v>
      </c>
      <c r="I632" s="13">
        <v>0</v>
      </c>
      <c r="J632" s="13">
        <v>0</v>
      </c>
      <c r="K632" s="13">
        <v>0</v>
      </c>
      <c r="L632" s="13">
        <v>0</v>
      </c>
      <c r="M632" s="13">
        <v>0</v>
      </c>
      <c r="N632" s="13">
        <v>0</v>
      </c>
      <c r="O632">
        <v>0</v>
      </c>
      <c r="P632">
        <v>0</v>
      </c>
      <c r="Q632" t="str">
        <f t="shared" si="18"/>
        <v/>
      </c>
      <c r="R632" t="str">
        <f t="shared" si="19"/>
        <v/>
      </c>
      <c r="S632" t="str">
        <f>IF(RIGHT(R632,2)="1C",(INDEX(Tables!H:H,MATCH(R632,Tables!G:G,0))),"")</f>
        <v/>
      </c>
    </row>
    <row r="633" spans="1:19">
      <c r="A633" s="12" t="s">
        <v>4682</v>
      </c>
      <c r="B633" s="12" t="s">
        <v>6728</v>
      </c>
      <c r="C633" s="12" t="s">
        <v>6729</v>
      </c>
      <c r="D633" s="12" t="s">
        <v>3790</v>
      </c>
      <c r="E633" s="13">
        <v>0</v>
      </c>
      <c r="F633" s="13">
        <v>0</v>
      </c>
      <c r="G633" s="13">
        <v>0</v>
      </c>
      <c r="H633" s="13">
        <v>0</v>
      </c>
      <c r="I633" s="13">
        <v>0</v>
      </c>
      <c r="J633" s="13">
        <v>0</v>
      </c>
      <c r="K633" s="13">
        <v>0</v>
      </c>
      <c r="L633" s="13">
        <v>0</v>
      </c>
      <c r="M633" s="13">
        <v>0</v>
      </c>
      <c r="N633" s="13">
        <v>0</v>
      </c>
      <c r="O633">
        <v>0</v>
      </c>
      <c r="P633">
        <v>0</v>
      </c>
      <c r="Q633" t="str">
        <f t="shared" si="18"/>
        <v/>
      </c>
      <c r="R633" t="str">
        <f t="shared" si="19"/>
        <v/>
      </c>
      <c r="S633" t="str">
        <f>IF(RIGHT(R633,2)="1C",(INDEX(Tables!H:H,MATCH(R633,Tables!G:G,0))),"")</f>
        <v/>
      </c>
    </row>
    <row r="634" spans="1:19">
      <c r="A634" s="12" t="s">
        <v>4682</v>
      </c>
      <c r="B634" s="12" t="s">
        <v>6718</v>
      </c>
      <c r="C634" s="12" t="s">
        <v>6719</v>
      </c>
      <c r="D634" s="12" t="s">
        <v>3790</v>
      </c>
      <c r="E634" s="13">
        <v>0</v>
      </c>
      <c r="F634" s="13">
        <v>0</v>
      </c>
      <c r="G634" s="13">
        <v>0</v>
      </c>
      <c r="H634" s="13">
        <v>0</v>
      </c>
      <c r="I634" s="13">
        <v>0</v>
      </c>
      <c r="J634" s="13">
        <v>0</v>
      </c>
      <c r="K634" s="13">
        <v>0</v>
      </c>
      <c r="L634" s="13">
        <v>0</v>
      </c>
      <c r="M634" s="13">
        <v>0</v>
      </c>
      <c r="N634" s="13">
        <v>0</v>
      </c>
      <c r="O634">
        <v>0</v>
      </c>
      <c r="P634">
        <v>0</v>
      </c>
      <c r="Q634" t="str">
        <f t="shared" si="18"/>
        <v/>
      </c>
      <c r="R634" t="str">
        <f t="shared" si="19"/>
        <v/>
      </c>
      <c r="S634" t="str">
        <f>IF(RIGHT(R634,2)="1C",(INDEX(Tables!H:H,MATCH(R634,Tables!G:G,0))),"")</f>
        <v/>
      </c>
    </row>
    <row r="635" spans="1:19">
      <c r="A635" s="12" t="s">
        <v>4682</v>
      </c>
      <c r="B635" s="12" t="s">
        <v>6698</v>
      </c>
      <c r="C635" s="12" t="s">
        <v>6699</v>
      </c>
      <c r="D635" s="12" t="s">
        <v>3790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>
        <v>0</v>
      </c>
      <c r="P635">
        <v>0</v>
      </c>
      <c r="Q635" t="str">
        <f t="shared" si="18"/>
        <v/>
      </c>
      <c r="R635" t="str">
        <f t="shared" si="19"/>
        <v/>
      </c>
      <c r="S635" t="str">
        <f>IF(RIGHT(R635,2)="1C",(INDEX(Tables!H:H,MATCH(R635,Tables!G:G,0))),"")</f>
        <v/>
      </c>
    </row>
    <row r="636" spans="1:19">
      <c r="A636" s="12" t="s">
        <v>4682</v>
      </c>
      <c r="B636" s="12" t="s">
        <v>7345</v>
      </c>
      <c r="C636" s="12" t="s">
        <v>7346</v>
      </c>
      <c r="D636" s="12" t="s">
        <v>3790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>
        <v>0</v>
      </c>
      <c r="P636">
        <v>0</v>
      </c>
      <c r="Q636" t="str">
        <f t="shared" si="18"/>
        <v/>
      </c>
      <c r="R636" t="str">
        <f t="shared" si="19"/>
        <v/>
      </c>
      <c r="S636" t="str">
        <f>IF(RIGHT(R636,2)="1C",(INDEX(Tables!H:H,MATCH(R636,Tables!G:G,0))),"")</f>
        <v/>
      </c>
    </row>
    <row r="637" spans="1:19">
      <c r="A637" s="12" t="s">
        <v>4682</v>
      </c>
      <c r="B637" s="12" t="s">
        <v>5005</v>
      </c>
      <c r="C637" s="12" t="s">
        <v>5006</v>
      </c>
      <c r="D637" s="12" t="s">
        <v>3790</v>
      </c>
      <c r="E637" s="13">
        <v>125</v>
      </c>
      <c r="F637" s="13">
        <v>125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700</v>
      </c>
      <c r="M637" s="13">
        <v>0</v>
      </c>
      <c r="N637" s="13">
        <v>2300</v>
      </c>
      <c r="O637">
        <v>3000</v>
      </c>
      <c r="P637">
        <v>500</v>
      </c>
      <c r="Q637" t="str">
        <f t="shared" si="18"/>
        <v/>
      </c>
      <c r="R637" t="str">
        <f t="shared" si="19"/>
        <v/>
      </c>
      <c r="S637" t="str">
        <f>IF(RIGHT(R637,2)="1C",(INDEX(Tables!H:H,MATCH(R637,Tables!G:G,0))),"")</f>
        <v/>
      </c>
    </row>
    <row r="638" spans="1:19">
      <c r="A638" s="12" t="s">
        <v>4682</v>
      </c>
      <c r="B638" s="12" t="s">
        <v>6736</v>
      </c>
      <c r="C638" s="12" t="s">
        <v>6737</v>
      </c>
      <c r="D638" s="12" t="s">
        <v>3790</v>
      </c>
      <c r="E638" s="13">
        <v>0</v>
      </c>
      <c r="F638" s="13">
        <v>0</v>
      </c>
      <c r="G638" s="13">
        <v>0</v>
      </c>
      <c r="H638" s="13">
        <v>0</v>
      </c>
      <c r="I638" s="13">
        <v>0</v>
      </c>
      <c r="J638" s="13">
        <v>0</v>
      </c>
      <c r="K638" s="13">
        <v>0</v>
      </c>
      <c r="L638" s="13">
        <v>0</v>
      </c>
      <c r="M638" s="13">
        <v>0</v>
      </c>
      <c r="N638" s="13">
        <v>0</v>
      </c>
      <c r="O638">
        <v>0</v>
      </c>
      <c r="P638">
        <v>0</v>
      </c>
      <c r="Q638" t="str">
        <f t="shared" si="18"/>
        <v/>
      </c>
      <c r="R638" t="str">
        <f t="shared" si="19"/>
        <v/>
      </c>
      <c r="S638" t="str">
        <f>IF(RIGHT(R638,2)="1C",(INDEX(Tables!H:H,MATCH(R638,Tables!G:G,0))),"")</f>
        <v/>
      </c>
    </row>
    <row r="639" spans="1:19">
      <c r="A639" s="12" t="s">
        <v>4682</v>
      </c>
      <c r="B639" s="12" t="s">
        <v>6716</v>
      </c>
      <c r="C639" s="12" t="s">
        <v>6717</v>
      </c>
      <c r="D639" s="12" t="s">
        <v>3790</v>
      </c>
      <c r="E639" s="13">
        <v>0</v>
      </c>
      <c r="F639" s="13">
        <v>0</v>
      </c>
      <c r="G639" s="13">
        <v>0</v>
      </c>
      <c r="H639" s="13">
        <v>0</v>
      </c>
      <c r="I639" s="13">
        <v>0</v>
      </c>
      <c r="J639" s="13">
        <v>0</v>
      </c>
      <c r="K639" s="13">
        <v>0</v>
      </c>
      <c r="L639" s="13">
        <v>0</v>
      </c>
      <c r="M639" s="13">
        <v>0</v>
      </c>
      <c r="N639" s="13">
        <v>0</v>
      </c>
      <c r="O639">
        <v>0</v>
      </c>
      <c r="P639">
        <v>0</v>
      </c>
      <c r="Q639" t="str">
        <f t="shared" si="18"/>
        <v/>
      </c>
      <c r="R639" t="str">
        <f t="shared" si="19"/>
        <v/>
      </c>
      <c r="S639" t="str">
        <f>IF(RIGHT(R639,2)="1C",(INDEX(Tables!H:H,MATCH(R639,Tables!G:G,0))),"")</f>
        <v/>
      </c>
    </row>
    <row r="640" spans="1:19">
      <c r="A640" s="12" t="s">
        <v>4682</v>
      </c>
      <c r="B640" s="12" t="s">
        <v>6977</v>
      </c>
      <c r="C640" s="12" t="s">
        <v>6978</v>
      </c>
      <c r="D640" s="12" t="s">
        <v>3790</v>
      </c>
      <c r="E640" s="13">
        <v>0</v>
      </c>
      <c r="F640" s="13">
        <v>0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>
        <v>0</v>
      </c>
      <c r="P640">
        <v>0</v>
      </c>
      <c r="Q640" t="str">
        <f t="shared" si="18"/>
        <v/>
      </c>
      <c r="R640" t="str">
        <f t="shared" si="19"/>
        <v/>
      </c>
      <c r="S640" t="str">
        <f>IF(RIGHT(R640,2)="1C",(INDEX(Tables!H:H,MATCH(R640,Tables!G:G,0))),"")</f>
        <v/>
      </c>
    </row>
    <row r="641" spans="1:19">
      <c r="A641" s="12" t="s">
        <v>4682</v>
      </c>
      <c r="B641" s="12" t="s">
        <v>4793</v>
      </c>
      <c r="C641" s="12" t="s">
        <v>4794</v>
      </c>
      <c r="D641" s="12" t="s">
        <v>3790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565</v>
      </c>
      <c r="M641" s="13">
        <v>0</v>
      </c>
      <c r="N641" s="13">
        <v>0</v>
      </c>
      <c r="O641">
        <v>565</v>
      </c>
      <c r="P641">
        <v>94.166600000000003</v>
      </c>
      <c r="Q641" t="str">
        <f t="shared" si="18"/>
        <v/>
      </c>
      <c r="R641" t="str">
        <f t="shared" si="19"/>
        <v/>
      </c>
      <c r="S641" t="str">
        <f>IF(RIGHT(R641,2)="1C",(INDEX(Tables!H:H,MATCH(R641,Tables!G:G,0))),"")</f>
        <v/>
      </c>
    </row>
    <row r="642" spans="1:19">
      <c r="A642" s="12" t="s">
        <v>4682</v>
      </c>
      <c r="B642" s="12" t="s">
        <v>6754</v>
      </c>
      <c r="C642" s="12" t="s">
        <v>6755</v>
      </c>
      <c r="D642" s="12" t="s">
        <v>3790</v>
      </c>
      <c r="E642" s="13">
        <v>0</v>
      </c>
      <c r="F642" s="13">
        <v>0</v>
      </c>
      <c r="G642" s="13">
        <v>0</v>
      </c>
      <c r="H642" s="13">
        <v>0</v>
      </c>
      <c r="I642" s="13">
        <v>0</v>
      </c>
      <c r="J642" s="13">
        <v>0</v>
      </c>
      <c r="K642" s="13">
        <v>0</v>
      </c>
      <c r="L642" s="13">
        <v>0</v>
      </c>
      <c r="M642" s="13">
        <v>0</v>
      </c>
      <c r="N642" s="13">
        <v>0</v>
      </c>
      <c r="O642">
        <v>0</v>
      </c>
      <c r="P642">
        <v>0</v>
      </c>
      <c r="Q642" t="str">
        <f t="shared" si="18"/>
        <v/>
      </c>
      <c r="R642" t="str">
        <f t="shared" si="19"/>
        <v/>
      </c>
      <c r="S642" t="str">
        <f>IF(RIGHT(R642,2)="1C",(INDEX(Tables!H:H,MATCH(R642,Tables!G:G,0))),"")</f>
        <v/>
      </c>
    </row>
    <row r="643" spans="1:19">
      <c r="A643" s="12" t="s">
        <v>4682</v>
      </c>
      <c r="B643" s="12" t="s">
        <v>6732</v>
      </c>
      <c r="C643" s="12" t="s">
        <v>6733</v>
      </c>
      <c r="D643" s="12" t="s">
        <v>3790</v>
      </c>
      <c r="E643" s="13">
        <v>0</v>
      </c>
      <c r="F643" s="13">
        <v>0</v>
      </c>
      <c r="G643" s="13">
        <v>0</v>
      </c>
      <c r="H643" s="13">
        <v>0</v>
      </c>
      <c r="I643" s="13">
        <v>0</v>
      </c>
      <c r="J643" s="13">
        <v>0</v>
      </c>
      <c r="K643" s="13">
        <v>0</v>
      </c>
      <c r="L643" s="13">
        <v>0</v>
      </c>
      <c r="M643" s="13">
        <v>0</v>
      </c>
      <c r="N643" s="13">
        <v>0</v>
      </c>
      <c r="O643">
        <v>0</v>
      </c>
      <c r="P643">
        <v>0</v>
      </c>
      <c r="Q643" t="str">
        <f t="shared" si="18"/>
        <v/>
      </c>
      <c r="R643" t="str">
        <f t="shared" si="19"/>
        <v/>
      </c>
      <c r="S643" t="str">
        <f>IF(RIGHT(R643,2)="1C",(INDEX(Tables!H:H,MATCH(R643,Tables!G:G,0))),"")</f>
        <v/>
      </c>
    </row>
    <row r="644" spans="1:19">
      <c r="A644" s="12" t="s">
        <v>4682</v>
      </c>
      <c r="B644" s="12" t="s">
        <v>6778</v>
      </c>
      <c r="C644" s="12" t="s">
        <v>6779</v>
      </c>
      <c r="D644" s="12" t="s">
        <v>3790</v>
      </c>
      <c r="E644" s="13">
        <v>0</v>
      </c>
      <c r="F644" s="13">
        <v>0</v>
      </c>
      <c r="G644" s="13">
        <v>0</v>
      </c>
      <c r="H644" s="13">
        <v>0</v>
      </c>
      <c r="I644" s="13">
        <v>0</v>
      </c>
      <c r="J644" s="13">
        <v>0</v>
      </c>
      <c r="K644" s="13">
        <v>0</v>
      </c>
      <c r="L644" s="13">
        <v>0</v>
      </c>
      <c r="M644" s="13">
        <v>0</v>
      </c>
      <c r="N644" s="13">
        <v>0</v>
      </c>
      <c r="O644">
        <v>0</v>
      </c>
      <c r="P644">
        <v>0</v>
      </c>
      <c r="Q644" t="str">
        <f t="shared" ref="Q644:Q707" si="20">IF(RIGHT(B644,2)="1C",MID(B644,4,5),"")</f>
        <v/>
      </c>
      <c r="R644" t="str">
        <f t="shared" ref="R644:R707" si="21">IF(RIGHT(B644,2)="1C",MID(B644,SEARCH("-",B644,1)+1,6),"")</f>
        <v/>
      </c>
      <c r="S644" t="str">
        <f>IF(RIGHT(R644,2)="1C",(INDEX(Tables!H:H,MATCH(R644,Tables!G:G,0))),"")</f>
        <v/>
      </c>
    </row>
    <row r="645" spans="1:19">
      <c r="A645" s="12" t="s">
        <v>4682</v>
      </c>
      <c r="B645" s="12" t="s">
        <v>6837</v>
      </c>
      <c r="C645" s="12" t="s">
        <v>6838</v>
      </c>
      <c r="D645" s="12" t="s">
        <v>3790</v>
      </c>
      <c r="E645" s="13">
        <v>0</v>
      </c>
      <c r="F645" s="13">
        <v>0</v>
      </c>
      <c r="G645" s="13">
        <v>0</v>
      </c>
      <c r="H645" s="13">
        <v>0</v>
      </c>
      <c r="I645" s="13">
        <v>0</v>
      </c>
      <c r="J645" s="13">
        <v>0</v>
      </c>
      <c r="K645" s="13">
        <v>0</v>
      </c>
      <c r="L645" s="13">
        <v>0</v>
      </c>
      <c r="M645" s="13">
        <v>0</v>
      </c>
      <c r="N645" s="13">
        <v>0</v>
      </c>
      <c r="O645">
        <v>0</v>
      </c>
      <c r="P645">
        <v>0</v>
      </c>
      <c r="Q645" t="str">
        <f t="shared" si="20"/>
        <v/>
      </c>
      <c r="R645" t="str">
        <f t="shared" si="21"/>
        <v/>
      </c>
      <c r="S645" t="str">
        <f>IF(RIGHT(R645,2)="1C",(INDEX(Tables!H:H,MATCH(R645,Tables!G:G,0))),"")</f>
        <v/>
      </c>
    </row>
    <row r="646" spans="1:19">
      <c r="A646" s="12" t="s">
        <v>4682</v>
      </c>
      <c r="B646" s="12" t="s">
        <v>4835</v>
      </c>
      <c r="C646" s="12" t="s">
        <v>4836</v>
      </c>
      <c r="D646" s="12" t="s">
        <v>3790</v>
      </c>
      <c r="E646" s="13">
        <v>0</v>
      </c>
      <c r="F646" s="13">
        <v>0</v>
      </c>
      <c r="G646" s="13">
        <v>0</v>
      </c>
      <c r="H646" s="13">
        <v>0</v>
      </c>
      <c r="I646" s="13">
        <v>0</v>
      </c>
      <c r="J646" s="13">
        <v>0</v>
      </c>
      <c r="K646" s="13">
        <v>0</v>
      </c>
      <c r="L646" s="13">
        <v>0</v>
      </c>
      <c r="M646" s="13">
        <v>0</v>
      </c>
      <c r="N646" s="13">
        <v>0</v>
      </c>
      <c r="O646">
        <v>0</v>
      </c>
      <c r="P646">
        <v>0</v>
      </c>
      <c r="Q646" t="str">
        <f t="shared" si="20"/>
        <v/>
      </c>
      <c r="R646" t="str">
        <f t="shared" si="21"/>
        <v/>
      </c>
      <c r="S646" t="str">
        <f>IF(RIGHT(R646,2)="1C",(INDEX(Tables!H:H,MATCH(R646,Tables!G:G,0))),"")</f>
        <v/>
      </c>
    </row>
    <row r="647" spans="1:19">
      <c r="A647" s="12" t="s">
        <v>4682</v>
      </c>
      <c r="B647" s="12" t="s">
        <v>6752</v>
      </c>
      <c r="C647" s="12" t="s">
        <v>6753</v>
      </c>
      <c r="D647" s="12" t="s">
        <v>3790</v>
      </c>
      <c r="E647" s="13">
        <v>0</v>
      </c>
      <c r="F647" s="13">
        <v>0</v>
      </c>
      <c r="G647" s="13">
        <v>0</v>
      </c>
      <c r="H647" s="13">
        <v>0</v>
      </c>
      <c r="I647" s="13">
        <v>0</v>
      </c>
      <c r="J647" s="13">
        <v>0</v>
      </c>
      <c r="K647" s="13">
        <v>0</v>
      </c>
      <c r="L647" s="13">
        <v>0</v>
      </c>
      <c r="M647" s="13">
        <v>0</v>
      </c>
      <c r="N647" s="13">
        <v>0</v>
      </c>
      <c r="O647">
        <v>0</v>
      </c>
      <c r="P647">
        <v>0</v>
      </c>
      <c r="Q647" t="str">
        <f t="shared" si="20"/>
        <v/>
      </c>
      <c r="R647" t="str">
        <f t="shared" si="21"/>
        <v/>
      </c>
      <c r="S647" t="str">
        <f>IF(RIGHT(R647,2)="1C",(INDEX(Tables!H:H,MATCH(R647,Tables!G:G,0))),"")</f>
        <v/>
      </c>
    </row>
    <row r="648" spans="1:19">
      <c r="A648" s="12" t="s">
        <v>4682</v>
      </c>
      <c r="B648" s="12" t="s">
        <v>6696</v>
      </c>
      <c r="C648" s="12" t="s">
        <v>6697</v>
      </c>
      <c r="D648" s="12" t="s">
        <v>3790</v>
      </c>
      <c r="E648" s="13">
        <v>0</v>
      </c>
      <c r="F648" s="13">
        <v>0</v>
      </c>
      <c r="G648" s="13">
        <v>0</v>
      </c>
      <c r="H648" s="13">
        <v>0</v>
      </c>
      <c r="I648" s="13">
        <v>0</v>
      </c>
      <c r="J648" s="13">
        <v>0</v>
      </c>
      <c r="K648" s="13">
        <v>0</v>
      </c>
      <c r="L648" s="13">
        <v>0</v>
      </c>
      <c r="M648" s="13">
        <v>0</v>
      </c>
      <c r="N648" s="13">
        <v>0</v>
      </c>
      <c r="O648">
        <v>0</v>
      </c>
      <c r="P648">
        <v>0</v>
      </c>
      <c r="Q648" t="str">
        <f t="shared" si="20"/>
        <v/>
      </c>
      <c r="R648" t="str">
        <f t="shared" si="21"/>
        <v/>
      </c>
      <c r="S648" t="str">
        <f>IF(RIGHT(R648,2)="1C",(INDEX(Tables!H:H,MATCH(R648,Tables!G:G,0))),"")</f>
        <v/>
      </c>
    </row>
    <row r="649" spans="1:19">
      <c r="A649" s="12" t="s">
        <v>4682</v>
      </c>
      <c r="B649" s="12" t="s">
        <v>7039</v>
      </c>
      <c r="C649" s="12" t="s">
        <v>7040</v>
      </c>
      <c r="D649" s="12" t="s">
        <v>3790</v>
      </c>
      <c r="E649" s="13">
        <v>57</v>
      </c>
      <c r="F649" s="13">
        <v>57</v>
      </c>
      <c r="G649" s="13">
        <v>0</v>
      </c>
      <c r="H649" s="13">
        <v>0</v>
      </c>
      <c r="I649" s="13">
        <v>0</v>
      </c>
      <c r="J649" s="13">
        <v>0</v>
      </c>
      <c r="K649" s="13">
        <v>0</v>
      </c>
      <c r="L649" s="13">
        <v>0</v>
      </c>
      <c r="M649" s="13">
        <v>0</v>
      </c>
      <c r="N649" s="13">
        <v>0</v>
      </c>
      <c r="O649">
        <v>0</v>
      </c>
      <c r="P649">
        <v>0</v>
      </c>
      <c r="Q649" t="str">
        <f t="shared" si="20"/>
        <v/>
      </c>
      <c r="R649" t="str">
        <f t="shared" si="21"/>
        <v/>
      </c>
      <c r="S649" t="str">
        <f>IF(RIGHT(R649,2)="1C",(INDEX(Tables!H:H,MATCH(R649,Tables!G:G,0))),"")</f>
        <v/>
      </c>
    </row>
    <row r="650" spans="1:19">
      <c r="A650" s="12" t="s">
        <v>4682</v>
      </c>
      <c r="B650" s="12" t="s">
        <v>6973</v>
      </c>
      <c r="C650" s="12" t="s">
        <v>6974</v>
      </c>
      <c r="D650" s="12" t="s">
        <v>3790</v>
      </c>
      <c r="E650" s="13">
        <v>47</v>
      </c>
      <c r="F650" s="13">
        <v>47</v>
      </c>
      <c r="G650" s="13">
        <v>0</v>
      </c>
      <c r="H650" s="13">
        <v>0</v>
      </c>
      <c r="I650" s="13">
        <v>0</v>
      </c>
      <c r="J650" s="13">
        <v>0</v>
      </c>
      <c r="K650" s="13">
        <v>0</v>
      </c>
      <c r="L650" s="13">
        <v>0</v>
      </c>
      <c r="M650" s="13">
        <v>0</v>
      </c>
      <c r="N650" s="13">
        <v>0</v>
      </c>
      <c r="O650">
        <v>0</v>
      </c>
      <c r="P650">
        <v>0</v>
      </c>
      <c r="Q650" t="str">
        <f t="shared" si="20"/>
        <v/>
      </c>
      <c r="R650" t="str">
        <f t="shared" si="21"/>
        <v/>
      </c>
      <c r="S650" t="str">
        <f>IF(RIGHT(R650,2)="1C",(INDEX(Tables!H:H,MATCH(R650,Tables!G:G,0))),"")</f>
        <v/>
      </c>
    </row>
    <row r="651" spans="1:19">
      <c r="A651" s="12" t="s">
        <v>4682</v>
      </c>
      <c r="B651" s="12" t="s">
        <v>7341</v>
      </c>
      <c r="C651" s="12" t="s">
        <v>7342</v>
      </c>
      <c r="D651" s="12" t="s">
        <v>3790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>
        <v>0</v>
      </c>
      <c r="P651">
        <v>0</v>
      </c>
      <c r="Q651" t="str">
        <f t="shared" si="20"/>
        <v/>
      </c>
      <c r="R651" t="str">
        <f t="shared" si="21"/>
        <v/>
      </c>
      <c r="S651" t="str">
        <f>IF(RIGHT(R651,2)="1C",(INDEX(Tables!H:H,MATCH(R651,Tables!G:G,0))),"")</f>
        <v/>
      </c>
    </row>
    <row r="652" spans="1:19">
      <c r="A652" s="12" t="s">
        <v>4682</v>
      </c>
      <c r="B652" s="12" t="s">
        <v>7105</v>
      </c>
      <c r="C652" s="12" t="s">
        <v>7106</v>
      </c>
      <c r="D652" s="12" t="s">
        <v>3790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>
        <v>0</v>
      </c>
      <c r="P652">
        <v>0</v>
      </c>
      <c r="Q652" t="str">
        <f t="shared" si="20"/>
        <v/>
      </c>
      <c r="R652" t="str">
        <f t="shared" si="21"/>
        <v/>
      </c>
      <c r="S652" t="str">
        <f>IF(RIGHT(R652,2)="1C",(INDEX(Tables!H:H,MATCH(R652,Tables!G:G,0))),"")</f>
        <v/>
      </c>
    </row>
    <row r="653" spans="1:19">
      <c r="A653" s="12" t="s">
        <v>4682</v>
      </c>
      <c r="B653" s="12" t="s">
        <v>6855</v>
      </c>
      <c r="C653" s="12" t="s">
        <v>6856</v>
      </c>
      <c r="D653" s="12" t="s">
        <v>3790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>
        <v>0</v>
      </c>
      <c r="P653">
        <v>0</v>
      </c>
      <c r="Q653" t="str">
        <f t="shared" si="20"/>
        <v/>
      </c>
      <c r="R653" t="str">
        <f t="shared" si="21"/>
        <v/>
      </c>
      <c r="S653" t="str">
        <f>IF(RIGHT(R653,2)="1C",(INDEX(Tables!H:H,MATCH(R653,Tables!G:G,0))),"")</f>
        <v/>
      </c>
    </row>
    <row r="654" spans="1:19">
      <c r="A654" s="12" t="s">
        <v>4682</v>
      </c>
      <c r="B654" s="12" t="s">
        <v>7099</v>
      </c>
      <c r="C654" s="12" t="s">
        <v>7100</v>
      </c>
      <c r="D654" s="12" t="s">
        <v>3790</v>
      </c>
      <c r="E654" s="13">
        <v>0</v>
      </c>
      <c r="F654" s="13">
        <v>0</v>
      </c>
      <c r="G654" s="13">
        <v>0</v>
      </c>
      <c r="H654" s="13">
        <v>0</v>
      </c>
      <c r="I654" s="13">
        <v>0</v>
      </c>
      <c r="J654" s="13">
        <v>0</v>
      </c>
      <c r="K654" s="13">
        <v>0</v>
      </c>
      <c r="L654" s="13">
        <v>0</v>
      </c>
      <c r="M654" s="13">
        <v>0</v>
      </c>
      <c r="N654" s="13">
        <v>0</v>
      </c>
      <c r="O654">
        <v>0</v>
      </c>
      <c r="P654">
        <v>0</v>
      </c>
      <c r="Q654" t="str">
        <f t="shared" si="20"/>
        <v>SL603</v>
      </c>
      <c r="R654" t="str">
        <f t="shared" si="21"/>
        <v>CMZ1C</v>
      </c>
      <c r="S654">
        <f>IF(RIGHT(R654,2)="1C",(INDEX(Tables!H:H,MATCH(R654,Tables!G:G,0))),"")</f>
        <v>62</v>
      </c>
    </row>
    <row r="655" spans="1:19">
      <c r="A655" s="12" t="s">
        <v>4682</v>
      </c>
      <c r="B655" s="12" t="s">
        <v>6734</v>
      </c>
      <c r="C655" s="12" t="s">
        <v>6735</v>
      </c>
      <c r="D655" s="12" t="s">
        <v>3790</v>
      </c>
      <c r="E655" s="13">
        <v>0</v>
      </c>
      <c r="F655" s="13">
        <v>0</v>
      </c>
      <c r="G655" s="13">
        <v>0</v>
      </c>
      <c r="H655" s="13">
        <v>0</v>
      </c>
      <c r="I655" s="13">
        <v>0</v>
      </c>
      <c r="J655" s="13">
        <v>0</v>
      </c>
      <c r="K655" s="13">
        <v>0</v>
      </c>
      <c r="L655" s="13">
        <v>0</v>
      </c>
      <c r="M655" s="13">
        <v>0</v>
      </c>
      <c r="N655" s="13">
        <v>0</v>
      </c>
      <c r="O655">
        <v>0</v>
      </c>
      <c r="P655">
        <v>0</v>
      </c>
      <c r="Q655" t="str">
        <f t="shared" si="20"/>
        <v/>
      </c>
      <c r="R655" t="str">
        <f t="shared" si="21"/>
        <v/>
      </c>
      <c r="S655" t="str">
        <f>IF(RIGHT(R655,2)="1C",(INDEX(Tables!H:H,MATCH(R655,Tables!G:G,0))),"")</f>
        <v/>
      </c>
    </row>
    <row r="656" spans="1:19">
      <c r="A656" s="12" t="s">
        <v>4682</v>
      </c>
      <c r="B656" s="12" t="s">
        <v>7035</v>
      </c>
      <c r="C656" s="12" t="s">
        <v>7036</v>
      </c>
      <c r="D656" s="12" t="s">
        <v>3790</v>
      </c>
      <c r="E656" s="13">
        <v>0</v>
      </c>
      <c r="F656" s="13">
        <v>0</v>
      </c>
      <c r="G656" s="13">
        <v>0</v>
      </c>
      <c r="H656" s="13">
        <v>0</v>
      </c>
      <c r="I656" s="13">
        <v>0</v>
      </c>
      <c r="J656" s="13">
        <v>0</v>
      </c>
      <c r="K656" s="13">
        <v>0</v>
      </c>
      <c r="L656" s="13">
        <v>0</v>
      </c>
      <c r="M656" s="13">
        <v>0</v>
      </c>
      <c r="N656" s="13">
        <v>0</v>
      </c>
      <c r="O656">
        <v>0</v>
      </c>
      <c r="P656">
        <v>0</v>
      </c>
      <c r="Q656" t="str">
        <f t="shared" si="20"/>
        <v/>
      </c>
      <c r="R656" t="str">
        <f t="shared" si="21"/>
        <v/>
      </c>
      <c r="S656" t="str">
        <f>IF(RIGHT(R656,2)="1C",(INDEX(Tables!H:H,MATCH(R656,Tables!G:G,0))),"")</f>
        <v/>
      </c>
    </row>
    <row r="657" spans="1:19">
      <c r="A657" s="12" t="s">
        <v>4682</v>
      </c>
      <c r="B657" s="12" t="s">
        <v>7361</v>
      </c>
      <c r="C657" s="12" t="s">
        <v>6565</v>
      </c>
      <c r="D657" s="12" t="s">
        <v>3790</v>
      </c>
      <c r="E657" s="13">
        <v>63</v>
      </c>
      <c r="F657" s="13">
        <v>63</v>
      </c>
      <c r="G657" s="13">
        <v>0</v>
      </c>
      <c r="H657" s="13">
        <v>0</v>
      </c>
      <c r="I657" s="13">
        <v>345</v>
      </c>
      <c r="J657" s="13">
        <v>0</v>
      </c>
      <c r="K657" s="13">
        <v>0</v>
      </c>
      <c r="L657" s="13">
        <v>0</v>
      </c>
      <c r="M657" s="13">
        <v>0</v>
      </c>
      <c r="N657" s="13">
        <v>0</v>
      </c>
      <c r="O657">
        <v>345</v>
      </c>
      <c r="P657">
        <v>57.5</v>
      </c>
      <c r="Q657" t="str">
        <f t="shared" si="20"/>
        <v/>
      </c>
      <c r="R657" t="str">
        <f t="shared" si="21"/>
        <v/>
      </c>
      <c r="S657" t="str">
        <f>IF(RIGHT(R657,2)="1C",(INDEX(Tables!H:H,MATCH(R657,Tables!G:G,0))),"")</f>
        <v/>
      </c>
    </row>
    <row r="658" spans="1:19">
      <c r="A658" s="12" t="s">
        <v>4682</v>
      </c>
      <c r="B658" s="12" t="s">
        <v>4967</v>
      </c>
      <c r="C658" s="12" t="s">
        <v>4968</v>
      </c>
      <c r="D658" s="12" t="s">
        <v>3790</v>
      </c>
      <c r="E658" s="13">
        <v>185</v>
      </c>
      <c r="F658" s="13">
        <v>185</v>
      </c>
      <c r="G658" s="13">
        <v>0</v>
      </c>
      <c r="H658" s="13">
        <v>0</v>
      </c>
      <c r="I658" s="13">
        <v>0</v>
      </c>
      <c r="J658" s="13">
        <v>0</v>
      </c>
      <c r="K658" s="13">
        <v>0</v>
      </c>
      <c r="L658" s="13">
        <v>0</v>
      </c>
      <c r="M658" s="13">
        <v>2400</v>
      </c>
      <c r="N658" s="13">
        <v>0</v>
      </c>
      <c r="O658">
        <v>2400</v>
      </c>
      <c r="P658">
        <v>400</v>
      </c>
      <c r="Q658" t="str">
        <f t="shared" si="20"/>
        <v/>
      </c>
      <c r="R658" t="str">
        <f t="shared" si="21"/>
        <v/>
      </c>
      <c r="S658" t="str">
        <f>IF(RIGHT(R658,2)="1C",(INDEX(Tables!H:H,MATCH(R658,Tables!G:G,0))),"")</f>
        <v/>
      </c>
    </row>
    <row r="659" spans="1:19">
      <c r="A659" s="12" t="s">
        <v>4682</v>
      </c>
      <c r="B659" s="12" t="s">
        <v>7111</v>
      </c>
      <c r="C659" s="12" t="s">
        <v>7112</v>
      </c>
      <c r="D659" s="12" t="s">
        <v>3790</v>
      </c>
      <c r="E659" s="13">
        <v>0</v>
      </c>
      <c r="F659" s="13">
        <v>0</v>
      </c>
      <c r="G659" s="13">
        <v>0</v>
      </c>
      <c r="H659" s="13">
        <v>0</v>
      </c>
      <c r="I659" s="13">
        <v>0</v>
      </c>
      <c r="J659" s="13">
        <v>0</v>
      </c>
      <c r="K659" s="13">
        <v>0</v>
      </c>
      <c r="L659" s="13">
        <v>0</v>
      </c>
      <c r="M659" s="13">
        <v>0</v>
      </c>
      <c r="N659" s="13">
        <v>0</v>
      </c>
      <c r="O659">
        <v>0</v>
      </c>
      <c r="P659">
        <v>0</v>
      </c>
      <c r="Q659" t="str">
        <f t="shared" si="20"/>
        <v/>
      </c>
      <c r="R659" t="str">
        <f t="shared" si="21"/>
        <v/>
      </c>
      <c r="S659" t="str">
        <f>IF(RIGHT(R659,2)="1C",(INDEX(Tables!H:H,MATCH(R659,Tables!G:G,0))),"")</f>
        <v/>
      </c>
    </row>
    <row r="660" spans="1:19">
      <c r="A660" s="12" t="s">
        <v>4682</v>
      </c>
      <c r="B660" s="12" t="s">
        <v>6758</v>
      </c>
      <c r="C660" s="12" t="s">
        <v>6759</v>
      </c>
      <c r="D660" s="12" t="s">
        <v>3790</v>
      </c>
      <c r="E660" s="13">
        <v>0</v>
      </c>
      <c r="F660" s="13">
        <v>0</v>
      </c>
      <c r="G660" s="13">
        <v>0</v>
      </c>
      <c r="H660" s="13">
        <v>0</v>
      </c>
      <c r="I660" s="13">
        <v>0</v>
      </c>
      <c r="J660" s="13">
        <v>0</v>
      </c>
      <c r="K660" s="13">
        <v>0</v>
      </c>
      <c r="L660" s="13">
        <v>0</v>
      </c>
      <c r="M660" s="13">
        <v>0</v>
      </c>
      <c r="N660" s="13">
        <v>0</v>
      </c>
      <c r="O660">
        <v>0</v>
      </c>
      <c r="P660">
        <v>0</v>
      </c>
      <c r="Q660" t="str">
        <f t="shared" si="20"/>
        <v/>
      </c>
      <c r="R660" t="str">
        <f t="shared" si="21"/>
        <v/>
      </c>
      <c r="S660" t="str">
        <f>IF(RIGHT(R660,2)="1C",(INDEX(Tables!H:H,MATCH(R660,Tables!G:G,0))),"")</f>
        <v/>
      </c>
    </row>
    <row r="661" spans="1:19">
      <c r="A661" s="12" t="s">
        <v>4682</v>
      </c>
      <c r="B661" s="12" t="s">
        <v>6762</v>
      </c>
      <c r="C661" s="12" t="s">
        <v>6763</v>
      </c>
      <c r="D661" s="12" t="s">
        <v>3790</v>
      </c>
      <c r="E661" s="13">
        <v>0</v>
      </c>
      <c r="F661" s="13">
        <v>0</v>
      </c>
      <c r="G661" s="13">
        <v>0</v>
      </c>
      <c r="H661" s="13">
        <v>0</v>
      </c>
      <c r="I661" s="13">
        <v>0</v>
      </c>
      <c r="J661" s="13">
        <v>0</v>
      </c>
      <c r="K661" s="13">
        <v>0</v>
      </c>
      <c r="L661" s="13">
        <v>0</v>
      </c>
      <c r="M661" s="13">
        <v>0</v>
      </c>
      <c r="N661" s="13">
        <v>0</v>
      </c>
      <c r="O661">
        <v>0</v>
      </c>
      <c r="P661">
        <v>0</v>
      </c>
      <c r="Q661" t="str">
        <f t="shared" si="20"/>
        <v/>
      </c>
      <c r="R661" t="str">
        <f t="shared" si="21"/>
        <v/>
      </c>
      <c r="S661" t="str">
        <f>IF(RIGHT(R661,2)="1C",(INDEX(Tables!H:H,MATCH(R661,Tables!G:G,0))),"")</f>
        <v/>
      </c>
    </row>
    <row r="662" spans="1:19">
      <c r="A662" s="12" t="s">
        <v>4682</v>
      </c>
      <c r="B662" s="12" t="s">
        <v>6847</v>
      </c>
      <c r="C662" s="12" t="s">
        <v>6848</v>
      </c>
      <c r="D662" s="12" t="s">
        <v>3790</v>
      </c>
      <c r="E662" s="13">
        <v>0</v>
      </c>
      <c r="F662" s="13">
        <v>0</v>
      </c>
      <c r="G662" s="13">
        <v>0</v>
      </c>
      <c r="H662" s="13">
        <v>0</v>
      </c>
      <c r="I662" s="13">
        <v>0</v>
      </c>
      <c r="J662" s="13">
        <v>0</v>
      </c>
      <c r="K662" s="13">
        <v>0</v>
      </c>
      <c r="L662" s="13">
        <v>0</v>
      </c>
      <c r="M662" s="13">
        <v>0</v>
      </c>
      <c r="N662" s="13">
        <v>0</v>
      </c>
      <c r="O662">
        <v>0</v>
      </c>
      <c r="P662">
        <v>0</v>
      </c>
      <c r="Q662" t="str">
        <f t="shared" si="20"/>
        <v/>
      </c>
      <c r="R662" t="str">
        <f t="shared" si="21"/>
        <v/>
      </c>
      <c r="S662" t="str">
        <f>IF(RIGHT(R662,2)="1C",(INDEX(Tables!H:H,MATCH(R662,Tables!G:G,0))),"")</f>
        <v/>
      </c>
    </row>
    <row r="663" spans="1:19">
      <c r="A663" s="12" t="s">
        <v>4682</v>
      </c>
      <c r="B663" s="12" t="s">
        <v>4953</v>
      </c>
      <c r="C663" s="12" t="s">
        <v>4954</v>
      </c>
      <c r="D663" s="12" t="s">
        <v>3790</v>
      </c>
      <c r="E663" s="13">
        <v>0</v>
      </c>
      <c r="F663" s="13">
        <v>0</v>
      </c>
      <c r="G663" s="13">
        <v>0</v>
      </c>
      <c r="H663" s="13">
        <v>0</v>
      </c>
      <c r="I663" s="13">
        <v>0</v>
      </c>
      <c r="J663" s="13">
        <v>470</v>
      </c>
      <c r="K663" s="13">
        <v>335</v>
      </c>
      <c r="L663" s="13">
        <v>685</v>
      </c>
      <c r="M663" s="13">
        <v>0</v>
      </c>
      <c r="N663" s="13">
        <v>575</v>
      </c>
      <c r="O663">
        <v>2065</v>
      </c>
      <c r="P663">
        <v>344.166</v>
      </c>
      <c r="Q663" t="str">
        <f t="shared" si="20"/>
        <v/>
      </c>
      <c r="R663" t="str">
        <f t="shared" si="21"/>
        <v/>
      </c>
      <c r="S663" t="str">
        <f>IF(RIGHT(R663,2)="1C",(INDEX(Tables!H:H,MATCH(R663,Tables!G:G,0))),"")</f>
        <v/>
      </c>
    </row>
    <row r="664" spans="1:19">
      <c r="A664" s="12" t="s">
        <v>4682</v>
      </c>
      <c r="B664" s="12" t="s">
        <v>4743</v>
      </c>
      <c r="C664" s="12" t="s">
        <v>4744</v>
      </c>
      <c r="D664" s="12" t="s">
        <v>3790</v>
      </c>
      <c r="E664" s="13">
        <v>993</v>
      </c>
      <c r="F664" s="13">
        <v>993</v>
      </c>
      <c r="G664" s="13">
        <v>0</v>
      </c>
      <c r="H664" s="13">
        <v>0</v>
      </c>
      <c r="I664" s="13">
        <v>609</v>
      </c>
      <c r="J664" s="13">
        <v>0</v>
      </c>
      <c r="K664" s="13">
        <v>0</v>
      </c>
      <c r="L664" s="13">
        <v>0</v>
      </c>
      <c r="M664" s="13">
        <v>0</v>
      </c>
      <c r="N664" s="13">
        <v>0</v>
      </c>
      <c r="O664">
        <v>609</v>
      </c>
      <c r="P664">
        <v>101.5</v>
      </c>
      <c r="Q664" t="str">
        <f t="shared" si="20"/>
        <v/>
      </c>
      <c r="R664" t="str">
        <f t="shared" si="21"/>
        <v/>
      </c>
      <c r="S664" t="str">
        <f>IF(RIGHT(R664,2)="1C",(INDEX(Tables!H:H,MATCH(R664,Tables!G:G,0))),"")</f>
        <v/>
      </c>
    </row>
    <row r="665" spans="1:19">
      <c r="A665" s="12" t="s">
        <v>4682</v>
      </c>
      <c r="B665" s="12" t="s">
        <v>6770</v>
      </c>
      <c r="C665" s="12" t="s">
        <v>6771</v>
      </c>
      <c r="D665" s="12" t="s">
        <v>3790</v>
      </c>
      <c r="E665" s="13">
        <v>0</v>
      </c>
      <c r="F665" s="13">
        <v>0</v>
      </c>
      <c r="G665" s="13">
        <v>0</v>
      </c>
      <c r="H665" s="13">
        <v>0</v>
      </c>
      <c r="I665" s="13">
        <v>0</v>
      </c>
      <c r="J665" s="13">
        <v>0</v>
      </c>
      <c r="K665" s="13">
        <v>0</v>
      </c>
      <c r="L665" s="13">
        <v>0</v>
      </c>
      <c r="M665" s="13">
        <v>0</v>
      </c>
      <c r="N665" s="13">
        <v>0</v>
      </c>
      <c r="O665">
        <v>0</v>
      </c>
      <c r="P665">
        <v>0</v>
      </c>
      <c r="Q665" t="str">
        <f t="shared" si="20"/>
        <v/>
      </c>
      <c r="R665" t="str">
        <f t="shared" si="21"/>
        <v/>
      </c>
      <c r="S665" t="str">
        <f>IF(RIGHT(R665,2)="1C",(INDEX(Tables!H:H,MATCH(R665,Tables!G:G,0))),"")</f>
        <v/>
      </c>
    </row>
    <row r="666" spans="1:19">
      <c r="A666" s="12" t="s">
        <v>4682</v>
      </c>
      <c r="B666" s="12" t="s">
        <v>6768</v>
      </c>
      <c r="C666" s="12" t="s">
        <v>6769</v>
      </c>
      <c r="D666" s="12" t="s">
        <v>3790</v>
      </c>
      <c r="E666" s="13">
        <v>0</v>
      </c>
      <c r="F666" s="13">
        <v>0</v>
      </c>
      <c r="G666" s="13">
        <v>0</v>
      </c>
      <c r="H666" s="13">
        <v>0</v>
      </c>
      <c r="I666" s="13">
        <v>0</v>
      </c>
      <c r="J666" s="13">
        <v>0</v>
      </c>
      <c r="K666" s="13">
        <v>0</v>
      </c>
      <c r="L666" s="13">
        <v>0</v>
      </c>
      <c r="M666" s="13">
        <v>0</v>
      </c>
      <c r="N666" s="13">
        <v>0</v>
      </c>
      <c r="O666">
        <v>0</v>
      </c>
      <c r="P666">
        <v>0</v>
      </c>
      <c r="Q666" t="str">
        <f t="shared" si="20"/>
        <v/>
      </c>
      <c r="R666" t="str">
        <f t="shared" si="21"/>
        <v/>
      </c>
      <c r="S666" t="str">
        <f>IF(RIGHT(R666,2)="1C",(INDEX(Tables!H:H,MATCH(R666,Tables!G:G,0))),"")</f>
        <v/>
      </c>
    </row>
    <row r="667" spans="1:19">
      <c r="A667" s="12" t="s">
        <v>4682</v>
      </c>
      <c r="B667" s="12" t="s">
        <v>6885</v>
      </c>
      <c r="C667" s="12" t="s">
        <v>6886</v>
      </c>
      <c r="D667" s="12" t="s">
        <v>3790</v>
      </c>
      <c r="E667" s="13">
        <v>0</v>
      </c>
      <c r="F667" s="13">
        <v>0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0</v>
      </c>
      <c r="N667" s="13">
        <v>0</v>
      </c>
      <c r="O667">
        <v>0</v>
      </c>
      <c r="P667">
        <v>0</v>
      </c>
      <c r="Q667" t="str">
        <f t="shared" si="20"/>
        <v/>
      </c>
      <c r="R667" t="str">
        <f t="shared" si="21"/>
        <v/>
      </c>
      <c r="S667" t="str">
        <f>IF(RIGHT(R667,2)="1C",(INDEX(Tables!H:H,MATCH(R667,Tables!G:G,0))),"")</f>
        <v/>
      </c>
    </row>
    <row r="668" spans="1:19">
      <c r="A668" s="12" t="s">
        <v>4682</v>
      </c>
      <c r="B668" s="12" t="s">
        <v>6782</v>
      </c>
      <c r="C668" s="12" t="s">
        <v>6783</v>
      </c>
      <c r="D668" s="12" t="s">
        <v>3790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>
        <v>0</v>
      </c>
      <c r="P668">
        <v>0</v>
      </c>
      <c r="Q668" t="str">
        <f t="shared" si="20"/>
        <v/>
      </c>
      <c r="R668" t="str">
        <f t="shared" si="21"/>
        <v/>
      </c>
      <c r="S668" t="str">
        <f>IF(RIGHT(R668,2)="1C",(INDEX(Tables!H:H,MATCH(R668,Tables!G:G,0))),"")</f>
        <v/>
      </c>
    </row>
    <row r="669" spans="1:19">
      <c r="A669" s="12" t="s">
        <v>4682</v>
      </c>
      <c r="B669" s="12" t="s">
        <v>7343</v>
      </c>
      <c r="C669" s="12" t="s">
        <v>7344</v>
      </c>
      <c r="D669" s="12" t="s">
        <v>3790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>
        <v>0</v>
      </c>
      <c r="P669">
        <v>0</v>
      </c>
      <c r="Q669" t="str">
        <f t="shared" si="20"/>
        <v/>
      </c>
      <c r="R669" t="str">
        <f t="shared" si="21"/>
        <v/>
      </c>
      <c r="S669" t="str">
        <f>IF(RIGHT(R669,2)="1C",(INDEX(Tables!H:H,MATCH(R669,Tables!G:G,0))),"")</f>
        <v/>
      </c>
    </row>
    <row r="670" spans="1:19">
      <c r="A670" s="12" t="s">
        <v>4682</v>
      </c>
      <c r="B670" s="12" t="s">
        <v>6694</v>
      </c>
      <c r="C670" s="12" t="s">
        <v>6695</v>
      </c>
      <c r="D670" s="12" t="s">
        <v>3790</v>
      </c>
      <c r="E670" s="13">
        <v>0</v>
      </c>
      <c r="F670" s="13">
        <v>0</v>
      </c>
      <c r="G670" s="13">
        <v>0</v>
      </c>
      <c r="H670" s="13">
        <v>0</v>
      </c>
      <c r="I670" s="13">
        <v>0</v>
      </c>
      <c r="J670" s="13">
        <v>0</v>
      </c>
      <c r="K670" s="13">
        <v>0</v>
      </c>
      <c r="L670" s="13">
        <v>0</v>
      </c>
      <c r="M670" s="13">
        <v>0</v>
      </c>
      <c r="N670" s="13">
        <v>0</v>
      </c>
      <c r="O670">
        <v>0</v>
      </c>
      <c r="P670">
        <v>0</v>
      </c>
      <c r="Q670" t="str">
        <f t="shared" si="20"/>
        <v/>
      </c>
      <c r="R670" t="str">
        <f t="shared" si="21"/>
        <v/>
      </c>
      <c r="S670" t="str">
        <f>IF(RIGHT(R670,2)="1C",(INDEX(Tables!H:H,MATCH(R670,Tables!G:G,0))),"")</f>
        <v/>
      </c>
    </row>
    <row r="671" spans="1:19">
      <c r="A671" s="12" t="s">
        <v>4682</v>
      </c>
      <c r="B671" s="12" t="s">
        <v>6558</v>
      </c>
      <c r="C671" s="12" t="s">
        <v>6559</v>
      </c>
      <c r="D671" s="12" t="s">
        <v>3790</v>
      </c>
      <c r="E671" s="13">
        <v>0</v>
      </c>
      <c r="F671" s="13">
        <v>0</v>
      </c>
      <c r="G671" s="13">
        <v>0</v>
      </c>
      <c r="H671" s="13">
        <v>0</v>
      </c>
      <c r="I671" s="13">
        <v>0</v>
      </c>
      <c r="J671" s="13">
        <v>0</v>
      </c>
      <c r="K671" s="13">
        <v>0</v>
      </c>
      <c r="L671" s="13">
        <v>0</v>
      </c>
      <c r="M671" s="13">
        <v>0</v>
      </c>
      <c r="N671" s="13">
        <v>0</v>
      </c>
      <c r="O671">
        <v>0</v>
      </c>
      <c r="P671">
        <v>0</v>
      </c>
      <c r="Q671" t="str">
        <f t="shared" si="20"/>
        <v/>
      </c>
      <c r="R671" t="str">
        <f t="shared" si="21"/>
        <v/>
      </c>
      <c r="S671" t="str">
        <f>IF(RIGHT(R671,2)="1C",(INDEX(Tables!H:H,MATCH(R671,Tables!G:G,0))),"")</f>
        <v/>
      </c>
    </row>
    <row r="672" spans="1:19">
      <c r="A672" s="12" t="s">
        <v>4682</v>
      </c>
      <c r="B672" s="12" t="s">
        <v>4895</v>
      </c>
      <c r="C672" s="12" t="s">
        <v>4896</v>
      </c>
      <c r="D672" s="12" t="s">
        <v>3790</v>
      </c>
      <c r="E672" s="13">
        <v>79</v>
      </c>
      <c r="F672" s="13">
        <v>79</v>
      </c>
      <c r="G672" s="13">
        <v>0</v>
      </c>
      <c r="H672" s="13">
        <v>0</v>
      </c>
      <c r="I672" s="13">
        <v>2588</v>
      </c>
      <c r="J672" s="13">
        <v>0</v>
      </c>
      <c r="K672" s="13">
        <v>0</v>
      </c>
      <c r="L672" s="13">
        <v>0</v>
      </c>
      <c r="M672" s="13">
        <v>0</v>
      </c>
      <c r="N672" s="13">
        <v>0</v>
      </c>
      <c r="O672">
        <v>2588</v>
      </c>
      <c r="P672">
        <v>431.33300000000003</v>
      </c>
      <c r="Q672" t="str">
        <f t="shared" si="20"/>
        <v/>
      </c>
      <c r="R672" t="str">
        <f t="shared" si="21"/>
        <v/>
      </c>
      <c r="S672" t="str">
        <f>IF(RIGHT(R672,2)="1C",(INDEX(Tables!H:H,MATCH(R672,Tables!G:G,0))),"")</f>
        <v/>
      </c>
    </row>
    <row r="673" spans="1:19">
      <c r="A673" s="12" t="s">
        <v>4682</v>
      </c>
      <c r="B673" s="12" t="s">
        <v>6690</v>
      </c>
      <c r="C673" s="12" t="s">
        <v>6691</v>
      </c>
      <c r="D673" s="12" t="s">
        <v>3790</v>
      </c>
      <c r="E673" s="13">
        <v>0</v>
      </c>
      <c r="F673" s="13">
        <v>0</v>
      </c>
      <c r="G673" s="13">
        <v>0</v>
      </c>
      <c r="H673" s="13">
        <v>0</v>
      </c>
      <c r="I673" s="13">
        <v>0</v>
      </c>
      <c r="J673" s="13">
        <v>0</v>
      </c>
      <c r="K673" s="13">
        <v>0</v>
      </c>
      <c r="L673" s="13">
        <v>0</v>
      </c>
      <c r="M673" s="13">
        <v>0</v>
      </c>
      <c r="N673" s="13">
        <v>0</v>
      </c>
      <c r="O673">
        <v>0</v>
      </c>
      <c r="P673">
        <v>0</v>
      </c>
      <c r="Q673" t="str">
        <f t="shared" si="20"/>
        <v/>
      </c>
      <c r="R673" t="str">
        <f t="shared" si="21"/>
        <v/>
      </c>
      <c r="S673" t="str">
        <f>IF(RIGHT(R673,2)="1C",(INDEX(Tables!H:H,MATCH(R673,Tables!G:G,0))),"")</f>
        <v/>
      </c>
    </row>
    <row r="674" spans="1:19">
      <c r="A674" s="12" t="s">
        <v>4682</v>
      </c>
      <c r="B674" s="12" t="s">
        <v>6776</v>
      </c>
      <c r="C674" s="12" t="s">
        <v>6777</v>
      </c>
      <c r="D674" s="12" t="s">
        <v>3790</v>
      </c>
      <c r="E674" s="13">
        <v>0</v>
      </c>
      <c r="F674" s="13">
        <v>0</v>
      </c>
      <c r="G674" s="13">
        <v>0</v>
      </c>
      <c r="H674" s="13">
        <v>0</v>
      </c>
      <c r="I674" s="13">
        <v>0</v>
      </c>
      <c r="J674" s="13">
        <v>0</v>
      </c>
      <c r="K674" s="13">
        <v>0</v>
      </c>
      <c r="L674" s="13">
        <v>0</v>
      </c>
      <c r="M674" s="13">
        <v>0</v>
      </c>
      <c r="N674" s="13">
        <v>0</v>
      </c>
      <c r="O674">
        <v>0</v>
      </c>
      <c r="P674">
        <v>0</v>
      </c>
      <c r="Q674" t="str">
        <f t="shared" si="20"/>
        <v/>
      </c>
      <c r="R674" t="str">
        <f t="shared" si="21"/>
        <v/>
      </c>
      <c r="S674" t="str">
        <f>IF(RIGHT(R674,2)="1C",(INDEX(Tables!H:H,MATCH(R674,Tables!G:G,0))),"")</f>
        <v/>
      </c>
    </row>
    <row r="675" spans="1:19">
      <c r="A675" s="12" t="s">
        <v>4682</v>
      </c>
      <c r="B675" s="12" t="s">
        <v>6772</v>
      </c>
      <c r="C675" s="12" t="s">
        <v>6773</v>
      </c>
      <c r="D675" s="12" t="s">
        <v>3790</v>
      </c>
      <c r="E675" s="13">
        <v>0</v>
      </c>
      <c r="F675" s="13">
        <v>0</v>
      </c>
      <c r="G675" s="13">
        <v>0</v>
      </c>
      <c r="H675" s="13">
        <v>0</v>
      </c>
      <c r="I675" s="13">
        <v>0</v>
      </c>
      <c r="J675" s="13">
        <v>0</v>
      </c>
      <c r="K675" s="13">
        <v>0</v>
      </c>
      <c r="L675" s="13">
        <v>0</v>
      </c>
      <c r="M675" s="13">
        <v>0</v>
      </c>
      <c r="N675" s="13">
        <v>0</v>
      </c>
      <c r="O675">
        <v>0</v>
      </c>
      <c r="P675">
        <v>0</v>
      </c>
      <c r="Q675" t="str">
        <f t="shared" si="20"/>
        <v/>
      </c>
      <c r="R675" t="str">
        <f t="shared" si="21"/>
        <v/>
      </c>
      <c r="S675" t="str">
        <f>IF(RIGHT(R675,2)="1C",(INDEX(Tables!H:H,MATCH(R675,Tables!G:G,0))),"")</f>
        <v/>
      </c>
    </row>
    <row r="676" spans="1:19">
      <c r="A676" s="12" t="s">
        <v>4682</v>
      </c>
      <c r="B676" s="12" t="s">
        <v>7171</v>
      </c>
      <c r="C676" s="12" t="s">
        <v>7058</v>
      </c>
      <c r="D676" s="12" t="s">
        <v>3790</v>
      </c>
      <c r="E676" s="13">
        <v>0</v>
      </c>
      <c r="F676" s="13">
        <v>0</v>
      </c>
      <c r="G676" s="13">
        <v>0</v>
      </c>
      <c r="H676" s="13">
        <v>0</v>
      </c>
      <c r="I676" s="13">
        <v>0</v>
      </c>
      <c r="J676" s="13">
        <v>0</v>
      </c>
      <c r="K676" s="13">
        <v>0</v>
      </c>
      <c r="L676" s="13">
        <v>0</v>
      </c>
      <c r="M676" s="13">
        <v>0</v>
      </c>
      <c r="N676" s="13">
        <v>0</v>
      </c>
      <c r="O676">
        <v>0</v>
      </c>
      <c r="P676">
        <v>0</v>
      </c>
      <c r="Q676" t="str">
        <f t="shared" si="20"/>
        <v/>
      </c>
      <c r="R676" t="str">
        <f t="shared" si="21"/>
        <v/>
      </c>
      <c r="S676" t="str">
        <f>IF(RIGHT(R676,2)="1C",(INDEX(Tables!H:H,MATCH(R676,Tables!G:G,0))),"")</f>
        <v/>
      </c>
    </row>
    <row r="677" spans="1:19">
      <c r="A677" s="12" t="s">
        <v>4682</v>
      </c>
      <c r="B677" s="12" t="s">
        <v>6449</v>
      </c>
      <c r="C677" s="12" t="s">
        <v>6450</v>
      </c>
      <c r="D677" s="12" t="s">
        <v>3790</v>
      </c>
      <c r="E677" s="13">
        <v>0</v>
      </c>
      <c r="F677" s="13">
        <v>0</v>
      </c>
      <c r="G677" s="13">
        <v>0</v>
      </c>
      <c r="H677" s="13">
        <v>0</v>
      </c>
      <c r="I677" s="13">
        <v>0</v>
      </c>
      <c r="J677" s="13">
        <v>0</v>
      </c>
      <c r="K677" s="13">
        <v>0</v>
      </c>
      <c r="L677" s="13">
        <v>0</v>
      </c>
      <c r="M677" s="13">
        <v>0</v>
      </c>
      <c r="N677" s="13">
        <v>0</v>
      </c>
      <c r="O677">
        <v>0</v>
      </c>
      <c r="P677">
        <v>0</v>
      </c>
      <c r="Q677" t="str">
        <f t="shared" si="20"/>
        <v/>
      </c>
      <c r="R677" t="str">
        <f t="shared" si="21"/>
        <v/>
      </c>
      <c r="S677" t="str">
        <f>IF(RIGHT(R677,2)="1C",(INDEX(Tables!H:H,MATCH(R677,Tables!G:G,0))),"")</f>
        <v/>
      </c>
    </row>
    <row r="678" spans="1:19">
      <c r="A678" s="12" t="s">
        <v>4682</v>
      </c>
      <c r="B678" s="12" t="s">
        <v>7057</v>
      </c>
      <c r="C678" s="12" t="s">
        <v>7058</v>
      </c>
      <c r="D678" s="12" t="s">
        <v>3790</v>
      </c>
      <c r="E678" s="13">
        <v>0</v>
      </c>
      <c r="F678" s="13">
        <v>0</v>
      </c>
      <c r="G678" s="13">
        <v>0</v>
      </c>
      <c r="H678" s="13">
        <v>0</v>
      </c>
      <c r="I678" s="13">
        <v>0</v>
      </c>
      <c r="J678" s="13">
        <v>0</v>
      </c>
      <c r="K678" s="13">
        <v>0</v>
      </c>
      <c r="L678" s="13">
        <v>0</v>
      </c>
      <c r="M678" s="13">
        <v>0</v>
      </c>
      <c r="N678" s="13">
        <v>0</v>
      </c>
      <c r="O678">
        <v>0</v>
      </c>
      <c r="P678">
        <v>0</v>
      </c>
      <c r="Q678" t="str">
        <f t="shared" si="20"/>
        <v/>
      </c>
      <c r="R678" t="str">
        <f t="shared" si="21"/>
        <v/>
      </c>
      <c r="S678" t="str">
        <f>IF(RIGHT(R678,2)="1C",(INDEX(Tables!H:H,MATCH(R678,Tables!G:G,0))),"")</f>
        <v/>
      </c>
    </row>
    <row r="679" spans="1:19">
      <c r="A679" s="12" t="s">
        <v>4682</v>
      </c>
      <c r="B679" s="12" t="s">
        <v>6654</v>
      </c>
      <c r="C679" s="12" t="s">
        <v>6655</v>
      </c>
      <c r="D679" s="12" t="s">
        <v>3790</v>
      </c>
      <c r="E679" s="13">
        <v>0</v>
      </c>
      <c r="F679" s="13">
        <v>0</v>
      </c>
      <c r="G679" s="13">
        <v>0</v>
      </c>
      <c r="H679" s="13">
        <v>0</v>
      </c>
      <c r="I679" s="13">
        <v>0</v>
      </c>
      <c r="J679" s="13">
        <v>0</v>
      </c>
      <c r="K679" s="13">
        <v>0</v>
      </c>
      <c r="L679" s="13">
        <v>0</v>
      </c>
      <c r="M679" s="13">
        <v>0</v>
      </c>
      <c r="N679" s="13">
        <v>0</v>
      </c>
      <c r="O679">
        <v>0</v>
      </c>
      <c r="P679">
        <v>0</v>
      </c>
      <c r="Q679" t="str">
        <f t="shared" si="20"/>
        <v/>
      </c>
      <c r="R679" t="str">
        <f t="shared" si="21"/>
        <v/>
      </c>
      <c r="S679" t="str">
        <f>IF(RIGHT(R679,2)="1C",(INDEX(Tables!H:H,MATCH(R679,Tables!G:G,0))),"")</f>
        <v/>
      </c>
    </row>
    <row r="680" spans="1:19">
      <c r="A680" s="12" t="s">
        <v>4682</v>
      </c>
      <c r="B680" s="12" t="s">
        <v>7347</v>
      </c>
      <c r="C680" s="12" t="s">
        <v>7348</v>
      </c>
      <c r="D680" s="12" t="s">
        <v>3790</v>
      </c>
      <c r="E680" s="13">
        <v>0</v>
      </c>
      <c r="F680" s="13">
        <v>0</v>
      </c>
      <c r="G680" s="13">
        <v>0</v>
      </c>
      <c r="H680" s="13">
        <v>0</v>
      </c>
      <c r="I680" s="13">
        <v>0</v>
      </c>
      <c r="J680" s="13">
        <v>0</v>
      </c>
      <c r="K680" s="13">
        <v>0</v>
      </c>
      <c r="L680" s="13">
        <v>0</v>
      </c>
      <c r="M680" s="13">
        <v>0</v>
      </c>
      <c r="N680" s="13">
        <v>0</v>
      </c>
      <c r="O680">
        <v>0</v>
      </c>
      <c r="P680">
        <v>0</v>
      </c>
      <c r="Q680" t="str">
        <f t="shared" si="20"/>
        <v/>
      </c>
      <c r="R680" t="str">
        <f t="shared" si="21"/>
        <v/>
      </c>
      <c r="S680" t="str">
        <f>IF(RIGHT(R680,2)="1C",(INDEX(Tables!H:H,MATCH(R680,Tables!G:G,0))),"")</f>
        <v/>
      </c>
    </row>
    <row r="681" spans="1:19">
      <c r="A681" s="12" t="s">
        <v>4682</v>
      </c>
      <c r="B681" s="12" t="s">
        <v>7276</v>
      </c>
      <c r="C681" s="12" t="s">
        <v>7277</v>
      </c>
      <c r="D681" s="12" t="s">
        <v>3790</v>
      </c>
      <c r="E681" s="13">
        <v>0</v>
      </c>
      <c r="F681" s="13">
        <v>0</v>
      </c>
      <c r="G681" s="13">
        <v>0</v>
      </c>
      <c r="H681" s="13">
        <v>0</v>
      </c>
      <c r="I681" s="13">
        <v>0</v>
      </c>
      <c r="J681" s="13">
        <v>0</v>
      </c>
      <c r="K681" s="13">
        <v>0</v>
      </c>
      <c r="L681" s="13">
        <v>0</v>
      </c>
      <c r="M681" s="13">
        <v>0</v>
      </c>
      <c r="N681" s="13">
        <v>0</v>
      </c>
      <c r="O681">
        <v>0</v>
      </c>
      <c r="P681">
        <v>0</v>
      </c>
      <c r="Q681" t="str">
        <f t="shared" si="20"/>
        <v/>
      </c>
      <c r="R681" t="str">
        <f t="shared" si="21"/>
        <v/>
      </c>
      <c r="S681" t="str">
        <f>IF(RIGHT(R681,2)="1C",(INDEX(Tables!H:H,MATCH(R681,Tables!G:G,0))),"")</f>
        <v/>
      </c>
    </row>
    <row r="682" spans="1:19">
      <c r="A682" s="12" t="s">
        <v>4682</v>
      </c>
      <c r="B682" s="12" t="s">
        <v>7278</v>
      </c>
      <c r="C682" s="12" t="s">
        <v>7279</v>
      </c>
      <c r="D682" s="12" t="s">
        <v>3790</v>
      </c>
      <c r="E682" s="13">
        <v>0</v>
      </c>
      <c r="F682" s="13">
        <v>0</v>
      </c>
      <c r="G682" s="13">
        <v>0</v>
      </c>
      <c r="H682" s="13">
        <v>0</v>
      </c>
      <c r="I682" s="13">
        <v>0</v>
      </c>
      <c r="J682" s="13">
        <v>0</v>
      </c>
      <c r="K682" s="13">
        <v>0</v>
      </c>
      <c r="L682" s="13">
        <v>0</v>
      </c>
      <c r="M682" s="13">
        <v>0</v>
      </c>
      <c r="N682" s="13">
        <v>0</v>
      </c>
      <c r="O682">
        <v>0</v>
      </c>
      <c r="P682">
        <v>0</v>
      </c>
      <c r="Q682" t="str">
        <f t="shared" si="20"/>
        <v/>
      </c>
      <c r="R682" t="str">
        <f t="shared" si="21"/>
        <v/>
      </c>
      <c r="S682" t="str">
        <f>IF(RIGHT(R682,2)="1C",(INDEX(Tables!H:H,MATCH(R682,Tables!G:G,0))),"")</f>
        <v/>
      </c>
    </row>
    <row r="683" spans="1:19">
      <c r="A683" s="12" t="s">
        <v>4682</v>
      </c>
      <c r="B683" s="12" t="s">
        <v>4689</v>
      </c>
      <c r="C683" s="12" t="s">
        <v>4690</v>
      </c>
      <c r="D683" s="12" t="s">
        <v>3790</v>
      </c>
      <c r="E683" s="13">
        <v>560</v>
      </c>
      <c r="F683" s="13">
        <v>560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>
        <v>0</v>
      </c>
      <c r="P683">
        <v>0</v>
      </c>
      <c r="Q683" t="str">
        <f t="shared" si="20"/>
        <v/>
      </c>
      <c r="R683" t="str">
        <f t="shared" si="21"/>
        <v/>
      </c>
      <c r="S683" t="str">
        <f>IF(RIGHT(R683,2)="1C",(INDEX(Tables!H:H,MATCH(R683,Tables!G:G,0))),"")</f>
        <v/>
      </c>
    </row>
    <row r="684" spans="1:19">
      <c r="A684" s="12" t="s">
        <v>4682</v>
      </c>
      <c r="B684" s="12" t="s">
        <v>6740</v>
      </c>
      <c r="C684" s="12" t="s">
        <v>6741</v>
      </c>
      <c r="D684" s="12" t="s">
        <v>6742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>
        <v>0</v>
      </c>
      <c r="P684">
        <v>0</v>
      </c>
      <c r="Q684" t="str">
        <f t="shared" si="20"/>
        <v/>
      </c>
      <c r="R684" t="str">
        <f t="shared" si="21"/>
        <v/>
      </c>
      <c r="S684" t="str">
        <f>IF(RIGHT(R684,2)="1C",(INDEX(Tables!H:H,MATCH(R684,Tables!G:G,0))),"")</f>
        <v/>
      </c>
    </row>
    <row r="685" spans="1:19">
      <c r="A685" s="12" t="s">
        <v>4682</v>
      </c>
      <c r="B685" s="12" t="s">
        <v>6453</v>
      </c>
      <c r="C685" s="12" t="s">
        <v>6454</v>
      </c>
      <c r="D685" s="12" t="s">
        <v>3790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>
        <v>0</v>
      </c>
      <c r="P685">
        <v>0</v>
      </c>
      <c r="Q685" t="str">
        <f t="shared" si="20"/>
        <v/>
      </c>
      <c r="R685" t="str">
        <f t="shared" si="21"/>
        <v/>
      </c>
      <c r="S685" t="str">
        <f>IF(RIGHT(R685,2)="1C",(INDEX(Tables!H:H,MATCH(R685,Tables!G:G,0))),"")</f>
        <v/>
      </c>
    </row>
    <row r="686" spans="1:19">
      <c r="A686" s="12" t="s">
        <v>4682</v>
      </c>
      <c r="B686" s="12" t="s">
        <v>6780</v>
      </c>
      <c r="C686" s="12" t="s">
        <v>6781</v>
      </c>
      <c r="D686" s="12" t="s">
        <v>3790</v>
      </c>
      <c r="E686" s="13">
        <v>0</v>
      </c>
      <c r="F686" s="13">
        <v>0</v>
      </c>
      <c r="G686" s="13">
        <v>0</v>
      </c>
      <c r="H686" s="13">
        <v>0</v>
      </c>
      <c r="I686" s="13">
        <v>0</v>
      </c>
      <c r="J686" s="13">
        <v>0</v>
      </c>
      <c r="K686" s="13">
        <v>0</v>
      </c>
      <c r="L686" s="13">
        <v>0</v>
      </c>
      <c r="M686" s="13">
        <v>0</v>
      </c>
      <c r="N686" s="13">
        <v>0</v>
      </c>
      <c r="O686">
        <v>0</v>
      </c>
      <c r="P686">
        <v>0</v>
      </c>
      <c r="Q686" t="str">
        <f t="shared" si="20"/>
        <v/>
      </c>
      <c r="R686" t="str">
        <f t="shared" si="21"/>
        <v/>
      </c>
      <c r="S686" t="str">
        <f>IF(RIGHT(R686,2)="1C",(INDEX(Tables!H:H,MATCH(R686,Tables!G:G,0))),"")</f>
        <v/>
      </c>
    </row>
    <row r="687" spans="1:19">
      <c r="A687" s="12" t="s">
        <v>4682</v>
      </c>
      <c r="B687" s="12" t="s">
        <v>7244</v>
      </c>
      <c r="C687" s="12" t="s">
        <v>7245</v>
      </c>
      <c r="D687" s="12" t="s">
        <v>3790</v>
      </c>
      <c r="E687" s="13">
        <v>0</v>
      </c>
      <c r="F687" s="13">
        <v>0</v>
      </c>
      <c r="G687" s="13">
        <v>0</v>
      </c>
      <c r="H687" s="13">
        <v>0</v>
      </c>
      <c r="I687" s="13">
        <v>0</v>
      </c>
      <c r="J687" s="13">
        <v>0</v>
      </c>
      <c r="K687" s="13">
        <v>0</v>
      </c>
      <c r="L687" s="13">
        <v>0</v>
      </c>
      <c r="M687" s="13">
        <v>0</v>
      </c>
      <c r="N687" s="13">
        <v>0</v>
      </c>
      <c r="O687">
        <v>0</v>
      </c>
      <c r="P687">
        <v>0</v>
      </c>
      <c r="Q687" t="str">
        <f t="shared" si="20"/>
        <v/>
      </c>
      <c r="R687" t="str">
        <f t="shared" si="21"/>
        <v/>
      </c>
      <c r="S687" t="str">
        <f>IF(RIGHT(R687,2)="1C",(INDEX(Tables!H:H,MATCH(R687,Tables!G:G,0))),"")</f>
        <v/>
      </c>
    </row>
    <row r="688" spans="1:19">
      <c r="A688" s="12" t="s">
        <v>4682</v>
      </c>
      <c r="B688" s="12" t="s">
        <v>7246</v>
      </c>
      <c r="C688" s="12" t="s">
        <v>7247</v>
      </c>
      <c r="D688" s="12" t="s">
        <v>3790</v>
      </c>
      <c r="E688" s="13">
        <v>0</v>
      </c>
      <c r="F688" s="13">
        <v>0</v>
      </c>
      <c r="G688" s="13">
        <v>0</v>
      </c>
      <c r="H688" s="13">
        <v>0</v>
      </c>
      <c r="I688" s="13">
        <v>0</v>
      </c>
      <c r="J688" s="13">
        <v>0</v>
      </c>
      <c r="K688" s="13">
        <v>0</v>
      </c>
      <c r="L688" s="13">
        <v>0</v>
      </c>
      <c r="M688" s="13">
        <v>0</v>
      </c>
      <c r="N688" s="13">
        <v>0</v>
      </c>
      <c r="O688">
        <v>0</v>
      </c>
      <c r="P688">
        <v>0</v>
      </c>
      <c r="Q688" t="str">
        <f t="shared" si="20"/>
        <v/>
      </c>
      <c r="R688" t="str">
        <f t="shared" si="21"/>
        <v/>
      </c>
      <c r="S688" t="str">
        <f>IF(RIGHT(R688,2)="1C",(INDEX(Tables!H:H,MATCH(R688,Tables!G:G,0))),"")</f>
        <v/>
      </c>
    </row>
    <row r="689" spans="1:19">
      <c r="A689" s="12" t="s">
        <v>4682</v>
      </c>
      <c r="B689" s="12" t="s">
        <v>6700</v>
      </c>
      <c r="C689" s="12" t="s">
        <v>6701</v>
      </c>
      <c r="D689" s="12" t="s">
        <v>3790</v>
      </c>
      <c r="E689" s="13">
        <v>0</v>
      </c>
      <c r="F689" s="13">
        <v>0</v>
      </c>
      <c r="G689" s="13">
        <v>0</v>
      </c>
      <c r="H689" s="13">
        <v>0</v>
      </c>
      <c r="I689" s="13">
        <v>0</v>
      </c>
      <c r="J689" s="13">
        <v>0</v>
      </c>
      <c r="K689" s="13">
        <v>0</v>
      </c>
      <c r="L689" s="13">
        <v>0</v>
      </c>
      <c r="M689" s="13">
        <v>0</v>
      </c>
      <c r="N689" s="13">
        <v>0</v>
      </c>
      <c r="O689">
        <v>0</v>
      </c>
      <c r="P689">
        <v>0</v>
      </c>
      <c r="Q689" t="str">
        <f t="shared" si="20"/>
        <v/>
      </c>
      <c r="R689" t="str">
        <f t="shared" si="21"/>
        <v/>
      </c>
      <c r="S689" t="str">
        <f>IF(RIGHT(R689,2)="1C",(INDEX(Tables!H:H,MATCH(R689,Tables!G:G,0))),"")</f>
        <v/>
      </c>
    </row>
    <row r="690" spans="1:19">
      <c r="A690" s="12" t="s">
        <v>4682</v>
      </c>
      <c r="B690" s="12" t="s">
        <v>6706</v>
      </c>
      <c r="C690" s="12" t="s">
        <v>6707</v>
      </c>
      <c r="D690" s="12" t="s">
        <v>3790</v>
      </c>
      <c r="E690" s="13">
        <v>0</v>
      </c>
      <c r="F690" s="13">
        <v>0</v>
      </c>
      <c r="G690" s="13">
        <v>0</v>
      </c>
      <c r="H690" s="13">
        <v>0</v>
      </c>
      <c r="I690" s="13">
        <v>0</v>
      </c>
      <c r="J690" s="13">
        <v>0</v>
      </c>
      <c r="K690" s="13">
        <v>0</v>
      </c>
      <c r="L690" s="13">
        <v>0</v>
      </c>
      <c r="M690" s="13">
        <v>0</v>
      </c>
      <c r="N690" s="13">
        <v>0</v>
      </c>
      <c r="O690">
        <v>0</v>
      </c>
      <c r="P690">
        <v>0</v>
      </c>
      <c r="Q690" t="str">
        <f t="shared" si="20"/>
        <v/>
      </c>
      <c r="R690" t="str">
        <f t="shared" si="21"/>
        <v/>
      </c>
      <c r="S690" t="str">
        <f>IF(RIGHT(R690,2)="1C",(INDEX(Tables!H:H,MATCH(R690,Tables!G:G,0))),"")</f>
        <v/>
      </c>
    </row>
    <row r="691" spans="1:19">
      <c r="A691" s="12" t="s">
        <v>4682</v>
      </c>
      <c r="B691" s="12" t="s">
        <v>7456</v>
      </c>
      <c r="C691" s="12" t="s">
        <v>7457</v>
      </c>
      <c r="D691" s="12" t="s">
        <v>3790</v>
      </c>
      <c r="E691" s="13">
        <v>0</v>
      </c>
      <c r="F691" s="13">
        <v>0</v>
      </c>
      <c r="G691" s="13">
        <v>0</v>
      </c>
      <c r="H691" s="13">
        <v>0</v>
      </c>
      <c r="I691" s="13">
        <v>0</v>
      </c>
      <c r="J691" s="13">
        <v>0</v>
      </c>
      <c r="K691" s="13">
        <v>0</v>
      </c>
      <c r="L691" s="13">
        <v>0</v>
      </c>
      <c r="M691" s="13">
        <v>0</v>
      </c>
      <c r="N691" s="13">
        <v>0</v>
      </c>
      <c r="O691">
        <v>0</v>
      </c>
      <c r="P691">
        <v>0</v>
      </c>
      <c r="Q691" t="str">
        <f t="shared" si="20"/>
        <v/>
      </c>
      <c r="R691" t="str">
        <f t="shared" si="21"/>
        <v/>
      </c>
      <c r="S691" t="str">
        <f>IF(RIGHT(R691,2)="1C",(INDEX(Tables!H:H,MATCH(R691,Tables!G:G,0))),"")</f>
        <v/>
      </c>
    </row>
    <row r="692" spans="1:19">
      <c r="A692" s="12" t="s">
        <v>4682</v>
      </c>
      <c r="B692" s="12" t="s">
        <v>6887</v>
      </c>
      <c r="C692" s="12" t="s">
        <v>6888</v>
      </c>
      <c r="D692" s="12" t="s">
        <v>3790</v>
      </c>
      <c r="E692" s="13">
        <v>0</v>
      </c>
      <c r="F692" s="13">
        <v>0</v>
      </c>
      <c r="G692" s="13">
        <v>0</v>
      </c>
      <c r="H692" s="13">
        <v>0</v>
      </c>
      <c r="I692" s="13">
        <v>0</v>
      </c>
      <c r="J692" s="13">
        <v>0</v>
      </c>
      <c r="K692" s="13">
        <v>0</v>
      </c>
      <c r="L692" s="13">
        <v>0</v>
      </c>
      <c r="M692" s="13">
        <v>0</v>
      </c>
      <c r="N692" s="13">
        <v>0</v>
      </c>
      <c r="O692">
        <v>0</v>
      </c>
      <c r="P692">
        <v>0</v>
      </c>
      <c r="Q692" t="str">
        <f t="shared" si="20"/>
        <v/>
      </c>
      <c r="R692" t="str">
        <f t="shared" si="21"/>
        <v/>
      </c>
      <c r="S692" t="str">
        <f>IF(RIGHT(R692,2)="1C",(INDEX(Tables!H:H,MATCH(R692,Tables!G:G,0))),"")</f>
        <v/>
      </c>
    </row>
    <row r="693" spans="1:19">
      <c r="A693" s="12" t="s">
        <v>4682</v>
      </c>
      <c r="B693" s="12" t="s">
        <v>7208</v>
      </c>
      <c r="C693" s="12" t="s">
        <v>7209</v>
      </c>
      <c r="D693" s="12" t="s">
        <v>3790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>
        <v>0</v>
      </c>
      <c r="P693">
        <v>0</v>
      </c>
      <c r="Q693" t="str">
        <f t="shared" si="20"/>
        <v>TM201</v>
      </c>
      <c r="R693" t="str">
        <f t="shared" si="21"/>
        <v>CMZ1C</v>
      </c>
      <c r="S693">
        <f>IF(RIGHT(R693,2)="1C",(INDEX(Tables!H:H,MATCH(R693,Tables!G:G,0))),"")</f>
        <v>62</v>
      </c>
    </row>
    <row r="694" spans="1:19">
      <c r="A694" s="12" t="s">
        <v>4682</v>
      </c>
      <c r="B694" s="12" t="s">
        <v>5065</v>
      </c>
      <c r="C694" s="12" t="s">
        <v>5066</v>
      </c>
      <c r="D694" s="12" t="s">
        <v>3790</v>
      </c>
      <c r="E694" s="13">
        <v>1952</v>
      </c>
      <c r="F694" s="13">
        <v>1952</v>
      </c>
      <c r="G694" s="13">
        <v>0</v>
      </c>
      <c r="H694" s="13">
        <v>0</v>
      </c>
      <c r="I694" s="13">
        <v>0</v>
      </c>
      <c r="J694" s="13">
        <v>0</v>
      </c>
      <c r="K694" s="13">
        <v>3030</v>
      </c>
      <c r="L694" s="13">
        <v>885</v>
      </c>
      <c r="M694" s="13">
        <v>2850</v>
      </c>
      <c r="N694" s="13">
        <v>0</v>
      </c>
      <c r="O694">
        <v>6765</v>
      </c>
      <c r="P694">
        <v>1127.5</v>
      </c>
      <c r="Q694" t="str">
        <f t="shared" si="20"/>
        <v>VA202</v>
      </c>
      <c r="R694" t="str">
        <f t="shared" si="21"/>
        <v>CIM1C</v>
      </c>
      <c r="S694">
        <f>IF(RIGHT(R694,2)="1C",(INDEX(Tables!H:H,MATCH(R694,Tables!G:G,0))),"")</f>
        <v>50</v>
      </c>
    </row>
    <row r="695" spans="1:19">
      <c r="A695" s="12" t="s">
        <v>4682</v>
      </c>
      <c r="B695" s="12" t="s">
        <v>7386</v>
      </c>
      <c r="C695" s="12" t="s">
        <v>7387</v>
      </c>
      <c r="D695" s="12" t="s">
        <v>3790</v>
      </c>
      <c r="E695" s="13">
        <v>0</v>
      </c>
      <c r="F695" s="13">
        <v>0</v>
      </c>
      <c r="G695" s="13">
        <v>0</v>
      </c>
      <c r="H695" s="13">
        <v>0</v>
      </c>
      <c r="I695" s="13">
        <v>0</v>
      </c>
      <c r="J695" s="13">
        <v>0</v>
      </c>
      <c r="K695" s="13">
        <v>0</v>
      </c>
      <c r="L695" s="13">
        <v>0</v>
      </c>
      <c r="M695" s="13">
        <v>0</v>
      </c>
      <c r="N695" s="13">
        <v>0</v>
      </c>
      <c r="O695">
        <v>0</v>
      </c>
      <c r="P695">
        <v>0</v>
      </c>
      <c r="Q695" t="str">
        <f t="shared" si="20"/>
        <v>VA202</v>
      </c>
      <c r="R695" t="str">
        <f t="shared" si="21"/>
        <v>CMZ1C</v>
      </c>
      <c r="S695">
        <f>IF(RIGHT(R695,2)="1C",(INDEX(Tables!H:H,MATCH(R695,Tables!G:G,0))),"")</f>
        <v>62</v>
      </c>
    </row>
    <row r="696" spans="1:19">
      <c r="A696" s="12" t="s">
        <v>4682</v>
      </c>
      <c r="B696" s="12" t="s">
        <v>6818</v>
      </c>
      <c r="C696" s="12" t="s">
        <v>6819</v>
      </c>
      <c r="D696" s="12" t="s">
        <v>3790</v>
      </c>
      <c r="E696" s="13">
        <v>1400</v>
      </c>
      <c r="F696" s="13">
        <v>1400</v>
      </c>
      <c r="G696" s="13">
        <v>0</v>
      </c>
      <c r="H696" s="13">
        <v>0</v>
      </c>
      <c r="I696" s="13">
        <v>0</v>
      </c>
      <c r="J696" s="13">
        <v>0</v>
      </c>
      <c r="K696" s="13">
        <v>0</v>
      </c>
      <c r="L696" s="13">
        <v>0</v>
      </c>
      <c r="M696" s="13">
        <v>0</v>
      </c>
      <c r="N696" s="13">
        <v>0</v>
      </c>
      <c r="O696">
        <v>0</v>
      </c>
      <c r="P696">
        <v>0</v>
      </c>
      <c r="Q696" t="str">
        <f t="shared" si="20"/>
        <v>VA501</v>
      </c>
      <c r="R696" t="str">
        <f t="shared" si="21"/>
        <v>CIM1C</v>
      </c>
      <c r="S696">
        <f>IF(RIGHT(R696,2)="1C",(INDEX(Tables!H:H,MATCH(R696,Tables!G:G,0))),"")</f>
        <v>50</v>
      </c>
    </row>
    <row r="697" spans="1:19">
      <c r="A697" s="12" t="s">
        <v>4682</v>
      </c>
      <c r="B697" s="12" t="s">
        <v>5059</v>
      </c>
      <c r="C697" s="12" t="s">
        <v>5060</v>
      </c>
      <c r="D697" s="12" t="s">
        <v>3790</v>
      </c>
      <c r="E697" s="13">
        <v>3119</v>
      </c>
      <c r="F697" s="13">
        <v>3119</v>
      </c>
      <c r="G697" s="13">
        <v>0</v>
      </c>
      <c r="H697" s="13">
        <v>0</v>
      </c>
      <c r="I697" s="13">
        <v>0</v>
      </c>
      <c r="J697" s="13">
        <v>4800</v>
      </c>
      <c r="K697" s="13">
        <v>786</v>
      </c>
      <c r="L697" s="13">
        <v>0</v>
      </c>
      <c r="M697" s="13">
        <v>295</v>
      </c>
      <c r="N697" s="13">
        <v>2974</v>
      </c>
      <c r="O697">
        <v>8855</v>
      </c>
      <c r="P697">
        <v>1475.83</v>
      </c>
      <c r="Q697" t="str">
        <f t="shared" si="20"/>
        <v>VA502</v>
      </c>
      <c r="R697" t="str">
        <f t="shared" si="21"/>
        <v>CIM1C</v>
      </c>
      <c r="S697">
        <f>IF(RIGHT(R697,2)="1C",(INDEX(Tables!H:H,MATCH(R697,Tables!G:G,0))),"")</f>
        <v>50</v>
      </c>
    </row>
    <row r="698" spans="1:19">
      <c r="A698" s="12" t="s">
        <v>4682</v>
      </c>
      <c r="B698" s="12" t="s">
        <v>7210</v>
      </c>
      <c r="C698" s="12" t="s">
        <v>7211</v>
      </c>
      <c r="D698" s="12" t="s">
        <v>3790</v>
      </c>
      <c r="E698" s="13">
        <v>0</v>
      </c>
      <c r="F698" s="13">
        <v>0</v>
      </c>
      <c r="G698" s="13">
        <v>0</v>
      </c>
      <c r="H698" s="13">
        <v>0</v>
      </c>
      <c r="I698" s="13">
        <v>0</v>
      </c>
      <c r="J698" s="13">
        <v>0</v>
      </c>
      <c r="K698" s="13">
        <v>0</v>
      </c>
      <c r="L698" s="13">
        <v>0</v>
      </c>
      <c r="M698" s="13">
        <v>0</v>
      </c>
      <c r="N698" s="13">
        <v>0</v>
      </c>
      <c r="O698">
        <v>0</v>
      </c>
      <c r="P698">
        <v>0</v>
      </c>
      <c r="Q698" t="str">
        <f t="shared" si="20"/>
        <v>VA502</v>
      </c>
      <c r="R698" t="str">
        <f t="shared" si="21"/>
        <v>CMZ1C</v>
      </c>
      <c r="S698">
        <f>IF(RIGHT(R698,2)="1C",(INDEX(Tables!H:H,MATCH(R698,Tables!G:G,0))),"")</f>
        <v>62</v>
      </c>
    </row>
    <row r="699" spans="1:19">
      <c r="A699" s="12" t="s">
        <v>4682</v>
      </c>
      <c r="B699" s="12" t="s">
        <v>4767</v>
      </c>
      <c r="C699" s="12" t="s">
        <v>4768</v>
      </c>
      <c r="D699" s="12" t="s">
        <v>3790</v>
      </c>
      <c r="E699" s="13">
        <v>1000</v>
      </c>
      <c r="F699" s="13">
        <v>1000</v>
      </c>
      <c r="G699" s="13">
        <v>0</v>
      </c>
      <c r="H699" s="13">
        <v>0</v>
      </c>
      <c r="I699" s="13">
        <v>0</v>
      </c>
      <c r="J699" s="13">
        <v>2555</v>
      </c>
      <c r="K699" s="13">
        <v>2367</v>
      </c>
      <c r="L699" s="13">
        <v>0</v>
      </c>
      <c r="M699" s="13">
        <v>0</v>
      </c>
      <c r="N699" s="13">
        <v>0</v>
      </c>
      <c r="O699">
        <v>4922</v>
      </c>
      <c r="P699">
        <v>820.33299999999997</v>
      </c>
      <c r="Q699" t="str">
        <f t="shared" si="20"/>
        <v>VA601</v>
      </c>
      <c r="R699" t="str">
        <f t="shared" si="21"/>
        <v>CIM1C</v>
      </c>
      <c r="S699">
        <f>IF(RIGHT(R699,2)="1C",(INDEX(Tables!H:H,MATCH(R699,Tables!G:G,0))),"")</f>
        <v>50</v>
      </c>
    </row>
    <row r="700" spans="1:19">
      <c r="A700" s="12" t="s">
        <v>4682</v>
      </c>
      <c r="B700" s="12" t="s">
        <v>5083</v>
      </c>
      <c r="C700" s="12" t="s">
        <v>5084</v>
      </c>
      <c r="D700" s="12" t="s">
        <v>3790</v>
      </c>
      <c r="E700" s="13">
        <v>1802.54</v>
      </c>
      <c r="F700" s="13">
        <v>1802.54</v>
      </c>
      <c r="G700" s="13">
        <v>0</v>
      </c>
      <c r="H700" s="13">
        <v>0</v>
      </c>
      <c r="I700" s="13">
        <v>0</v>
      </c>
      <c r="J700" s="13">
        <v>4668</v>
      </c>
      <c r="K700" s="13">
        <v>2768</v>
      </c>
      <c r="L700" s="13">
        <v>5662</v>
      </c>
      <c r="M700" s="13">
        <v>0</v>
      </c>
      <c r="N700" s="13">
        <v>0</v>
      </c>
      <c r="O700">
        <v>13098</v>
      </c>
      <c r="P700">
        <v>2183</v>
      </c>
      <c r="Q700" t="str">
        <f t="shared" si="20"/>
        <v>VA702</v>
      </c>
      <c r="R700" t="str">
        <f t="shared" si="21"/>
        <v>CIM1C</v>
      </c>
      <c r="S700">
        <f>IF(RIGHT(R700,2)="1C",(INDEX(Tables!H:H,MATCH(R700,Tables!G:G,0))),"")</f>
        <v>50</v>
      </c>
    </row>
    <row r="701" spans="1:19">
      <c r="A701" s="12" t="s">
        <v>4682</v>
      </c>
      <c r="B701" s="12" t="s">
        <v>4737</v>
      </c>
      <c r="C701" s="12" t="s">
        <v>4738</v>
      </c>
      <c r="D701" s="12" t="s">
        <v>3790</v>
      </c>
      <c r="E701" s="13">
        <v>5012.6099999999997</v>
      </c>
      <c r="F701" s="13">
        <v>5012.6099999999997</v>
      </c>
      <c r="G701" s="13">
        <v>0</v>
      </c>
      <c r="H701" s="13">
        <v>0</v>
      </c>
      <c r="I701" s="13">
        <v>0</v>
      </c>
      <c r="J701" s="13">
        <v>0</v>
      </c>
      <c r="K701" s="13">
        <v>1219</v>
      </c>
      <c r="L701" s="13">
        <v>0</v>
      </c>
      <c r="M701" s="13">
        <v>0</v>
      </c>
      <c r="N701" s="13">
        <v>0</v>
      </c>
      <c r="O701">
        <v>1219</v>
      </c>
      <c r="P701">
        <v>203.166</v>
      </c>
      <c r="Q701" t="str">
        <f t="shared" si="20"/>
        <v>VA702</v>
      </c>
      <c r="R701" t="str">
        <f t="shared" si="21"/>
        <v>CMZ1C</v>
      </c>
      <c r="S701">
        <f>IF(RIGHT(R701,2)="1C",(INDEX(Tables!H:H,MATCH(R701,Tables!G:G,0))),"")</f>
        <v>62</v>
      </c>
    </row>
    <row r="702" spans="1:19">
      <c r="A702" s="12" t="s">
        <v>4682</v>
      </c>
      <c r="B702" s="12" t="s">
        <v>7422</v>
      </c>
      <c r="C702" s="12" t="s">
        <v>7423</v>
      </c>
      <c r="D702" s="12" t="s">
        <v>3790</v>
      </c>
      <c r="E702" s="13">
        <v>0</v>
      </c>
      <c r="F702" s="13">
        <v>0</v>
      </c>
      <c r="G702" s="13">
        <v>0</v>
      </c>
      <c r="H702" s="13">
        <v>0</v>
      </c>
      <c r="I702" s="13">
        <v>0</v>
      </c>
      <c r="J702" s="13">
        <v>1458</v>
      </c>
      <c r="K702" s="13">
        <v>0</v>
      </c>
      <c r="L702" s="13">
        <v>0</v>
      </c>
      <c r="M702" s="13">
        <v>0</v>
      </c>
      <c r="N702" s="13">
        <v>0</v>
      </c>
      <c r="O702">
        <v>1458</v>
      </c>
      <c r="P702">
        <v>243</v>
      </c>
      <c r="Q702" t="str">
        <f t="shared" si="20"/>
        <v/>
      </c>
      <c r="R702" t="str">
        <f t="shared" si="21"/>
        <v/>
      </c>
      <c r="S702" t="str">
        <f>IF(RIGHT(R702,2)="1C",(INDEX(Tables!H:H,MATCH(R702,Tables!G:G,0))),"")</f>
        <v/>
      </c>
    </row>
    <row r="703" spans="1:19">
      <c r="A703" s="12" t="s">
        <v>4682</v>
      </c>
      <c r="B703" s="12" t="s">
        <v>7254</v>
      </c>
      <c r="C703" s="12" t="s">
        <v>7255</v>
      </c>
      <c r="D703" s="12" t="s">
        <v>3790</v>
      </c>
      <c r="E703" s="13">
        <v>0</v>
      </c>
      <c r="F703" s="13">
        <v>0</v>
      </c>
      <c r="G703" s="13">
        <v>0</v>
      </c>
      <c r="H703" s="13">
        <v>0</v>
      </c>
      <c r="I703" s="13">
        <v>0</v>
      </c>
      <c r="J703" s="13">
        <v>0</v>
      </c>
      <c r="K703" s="13">
        <v>0</v>
      </c>
      <c r="L703" s="13">
        <v>0</v>
      </c>
      <c r="M703" s="13">
        <v>0</v>
      </c>
      <c r="N703" s="13">
        <v>0</v>
      </c>
      <c r="O703">
        <v>0</v>
      </c>
      <c r="P703">
        <v>0</v>
      </c>
      <c r="Q703" t="str">
        <f t="shared" si="20"/>
        <v/>
      </c>
      <c r="R703" t="str">
        <f t="shared" si="21"/>
        <v/>
      </c>
      <c r="S703" t="str">
        <f>IF(RIGHT(R703,2)="1C",(INDEX(Tables!H:H,MATCH(R703,Tables!G:G,0))),"")</f>
        <v/>
      </c>
    </row>
    <row r="704" spans="1:19">
      <c r="A704" s="12" t="s">
        <v>4682</v>
      </c>
      <c r="B704" s="12" t="s">
        <v>7470</v>
      </c>
      <c r="C704" s="12" t="s">
        <v>7471</v>
      </c>
      <c r="D704" s="12" t="s">
        <v>3790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>
        <v>0</v>
      </c>
      <c r="P704">
        <v>0</v>
      </c>
      <c r="Q704" t="str">
        <f t="shared" si="20"/>
        <v>VS502</v>
      </c>
      <c r="R704" t="str">
        <f t="shared" si="21"/>
        <v>CIM1C</v>
      </c>
      <c r="S704">
        <f>IF(RIGHT(R704,2)="1C",(INDEX(Tables!H:H,MATCH(R704,Tables!G:G,0))),"")</f>
        <v>50</v>
      </c>
    </row>
    <row r="705" spans="1:19">
      <c r="A705" s="12" t="s">
        <v>4682</v>
      </c>
      <c r="B705" s="12" t="s">
        <v>7216</v>
      </c>
      <c r="C705" s="12" t="s">
        <v>7217</v>
      </c>
      <c r="D705" s="12" t="s">
        <v>3790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>
        <v>0</v>
      </c>
      <c r="P705">
        <v>0</v>
      </c>
      <c r="Q705" t="str">
        <f t="shared" si="20"/>
        <v/>
      </c>
      <c r="R705" t="str">
        <f t="shared" si="21"/>
        <v/>
      </c>
      <c r="S705" t="str">
        <f>IF(RIGHT(R705,2)="1C",(INDEX(Tables!H:H,MATCH(R705,Tables!G:G,0))),"")</f>
        <v/>
      </c>
    </row>
    <row r="706" spans="1:19">
      <c r="A706" s="12" t="s">
        <v>4682</v>
      </c>
      <c r="B706" s="12" t="s">
        <v>7436</v>
      </c>
      <c r="C706" s="12" t="s">
        <v>7437</v>
      </c>
      <c r="D706" s="12" t="s">
        <v>3790</v>
      </c>
      <c r="E706" s="13">
        <v>0</v>
      </c>
      <c r="F706" s="13">
        <v>0</v>
      </c>
      <c r="G706" s="13">
        <v>0</v>
      </c>
      <c r="H706" s="13">
        <v>0</v>
      </c>
      <c r="I706" s="13">
        <v>0</v>
      </c>
      <c r="J706" s="13">
        <v>0</v>
      </c>
      <c r="K706" s="13">
        <v>0</v>
      </c>
      <c r="L706" s="13">
        <v>0</v>
      </c>
      <c r="M706" s="13">
        <v>0</v>
      </c>
      <c r="N706" s="13">
        <v>0</v>
      </c>
      <c r="O706">
        <v>0</v>
      </c>
      <c r="P706">
        <v>0</v>
      </c>
      <c r="Q706" t="str">
        <f t="shared" si="20"/>
        <v/>
      </c>
      <c r="R706" t="str">
        <f t="shared" si="21"/>
        <v/>
      </c>
      <c r="S706" t="str">
        <f>IF(RIGHT(R706,2)="1C",(INDEX(Tables!H:H,MATCH(R706,Tables!G:G,0))),"")</f>
        <v/>
      </c>
    </row>
    <row r="707" spans="1:19">
      <c r="A707" s="12" t="s">
        <v>4682</v>
      </c>
      <c r="B707" s="12" t="s">
        <v>7167</v>
      </c>
      <c r="C707" s="12" t="s">
        <v>7168</v>
      </c>
      <c r="D707" s="12" t="s">
        <v>3790</v>
      </c>
      <c r="E707" s="13">
        <v>0</v>
      </c>
      <c r="F707" s="13">
        <v>0</v>
      </c>
      <c r="G707" s="13">
        <v>0</v>
      </c>
      <c r="H707" s="13">
        <v>0</v>
      </c>
      <c r="I707" s="13">
        <v>0</v>
      </c>
      <c r="J707" s="13">
        <v>0</v>
      </c>
      <c r="K707" s="13">
        <v>0</v>
      </c>
      <c r="L707" s="13">
        <v>0</v>
      </c>
      <c r="M707" s="13">
        <v>0</v>
      </c>
      <c r="N707" s="13">
        <v>0</v>
      </c>
      <c r="O707">
        <v>0</v>
      </c>
      <c r="P707">
        <v>0</v>
      </c>
      <c r="Q707" t="str">
        <f t="shared" si="20"/>
        <v>WA300</v>
      </c>
      <c r="R707" t="str">
        <f t="shared" si="21"/>
        <v>CIM1C</v>
      </c>
      <c r="S707">
        <f>IF(RIGHT(R707,2)="1C",(INDEX(Tables!H:H,MATCH(R707,Tables!G:G,0))),"")</f>
        <v>50</v>
      </c>
    </row>
    <row r="708" spans="1:19">
      <c r="A708" s="12" t="s">
        <v>4682</v>
      </c>
      <c r="B708" s="12" t="s">
        <v>5087</v>
      </c>
      <c r="C708" s="12" t="s">
        <v>5088</v>
      </c>
      <c r="D708" s="12" t="s">
        <v>3790</v>
      </c>
      <c r="E708" s="13">
        <v>1400</v>
      </c>
      <c r="F708" s="13">
        <v>1400</v>
      </c>
      <c r="G708" s="13">
        <v>0</v>
      </c>
      <c r="H708" s="13">
        <v>0</v>
      </c>
      <c r="I708" s="13">
        <v>0</v>
      </c>
      <c r="J708" s="13">
        <v>2343</v>
      </c>
      <c r="K708" s="13">
        <v>492</v>
      </c>
      <c r="L708" s="13">
        <v>0</v>
      </c>
      <c r="M708" s="13">
        <v>0</v>
      </c>
      <c r="N708" s="13">
        <v>0</v>
      </c>
      <c r="O708">
        <v>2835</v>
      </c>
      <c r="P708">
        <v>472.5</v>
      </c>
      <c r="Q708" t="str">
        <f t="shared" ref="Q708:Q771" si="22">IF(RIGHT(B708,2)="1C",MID(B708,4,5),"")</f>
        <v>WA302</v>
      </c>
      <c r="R708" t="str">
        <f t="shared" ref="R708:R771" si="23">IF(RIGHT(B708,2)="1C",MID(B708,SEARCH("-",B708,1)+1,6),"")</f>
        <v>CIM1C</v>
      </c>
      <c r="S708">
        <f>IF(RIGHT(R708,2)="1C",(INDEX(Tables!H:H,MATCH(R708,Tables!G:G,0))),"")</f>
        <v>50</v>
      </c>
    </row>
    <row r="709" spans="1:19">
      <c r="A709" s="12" t="s">
        <v>4682</v>
      </c>
      <c r="B709" s="12" t="s">
        <v>5049</v>
      </c>
      <c r="C709" s="12" t="s">
        <v>5050</v>
      </c>
      <c r="D709" s="12" t="s">
        <v>3790</v>
      </c>
      <c r="E709" s="13">
        <v>0</v>
      </c>
      <c r="F709" s="13">
        <v>0</v>
      </c>
      <c r="G709" s="13">
        <v>0</v>
      </c>
      <c r="H709" s="13">
        <v>0</v>
      </c>
      <c r="I709" s="13">
        <v>0</v>
      </c>
      <c r="J709" s="13">
        <v>0</v>
      </c>
      <c r="K709" s="13">
        <v>0</v>
      </c>
      <c r="L709" s="13">
        <v>0</v>
      </c>
      <c r="M709" s="13">
        <v>0</v>
      </c>
      <c r="N709" s="13">
        <v>0</v>
      </c>
      <c r="O709">
        <v>0</v>
      </c>
      <c r="P709">
        <v>0</v>
      </c>
      <c r="Q709" t="str">
        <f t="shared" si="22"/>
        <v>WA302</v>
      </c>
      <c r="R709" t="str">
        <f t="shared" si="23"/>
        <v>CMZ1C</v>
      </c>
      <c r="S709">
        <f>IF(RIGHT(R709,2)="1C",(INDEX(Tables!H:H,MATCH(R709,Tables!G:G,0))),"")</f>
        <v>62</v>
      </c>
    </row>
    <row r="710" spans="1:19">
      <c r="A710" s="12" t="s">
        <v>4682</v>
      </c>
      <c r="B710" s="12" t="s">
        <v>4795</v>
      </c>
      <c r="C710" s="12" t="s">
        <v>4796</v>
      </c>
      <c r="D710" s="12" t="s">
        <v>3790</v>
      </c>
      <c r="E710" s="13">
        <v>2286.1999999999998</v>
      </c>
      <c r="F710" s="13">
        <v>2286.1999999999998</v>
      </c>
      <c r="G710" s="13">
        <v>0</v>
      </c>
      <c r="H710" s="13">
        <v>0</v>
      </c>
      <c r="I710" s="13">
        <v>0</v>
      </c>
      <c r="J710" s="13">
        <v>1376</v>
      </c>
      <c r="K710" s="13">
        <v>1901</v>
      </c>
      <c r="L710" s="13">
        <v>590</v>
      </c>
      <c r="M710" s="13">
        <v>0</v>
      </c>
      <c r="N710" s="13">
        <v>0</v>
      </c>
      <c r="O710">
        <v>3867</v>
      </c>
      <c r="P710">
        <v>644.5</v>
      </c>
      <c r="Q710" t="str">
        <f t="shared" si="22"/>
        <v>WC022</v>
      </c>
      <c r="R710" t="str">
        <f t="shared" si="23"/>
        <v>CIM1C</v>
      </c>
      <c r="S710">
        <f>IF(RIGHT(R710,2)="1C",(INDEX(Tables!H:H,MATCH(R710,Tables!G:G,0))),"")</f>
        <v>50</v>
      </c>
    </row>
    <row r="711" spans="1:19">
      <c r="A711" s="12" t="s">
        <v>4682</v>
      </c>
      <c r="B711" s="12" t="s">
        <v>7149</v>
      </c>
      <c r="C711" s="12" t="s">
        <v>7150</v>
      </c>
      <c r="D711" s="12" t="s">
        <v>3790</v>
      </c>
      <c r="E711" s="13">
        <v>0</v>
      </c>
      <c r="F711" s="13">
        <v>0</v>
      </c>
      <c r="G711" s="13">
        <v>0</v>
      </c>
      <c r="H711" s="13">
        <v>0</v>
      </c>
      <c r="I711" s="13">
        <v>0</v>
      </c>
      <c r="J711" s="13">
        <v>0</v>
      </c>
      <c r="K711" s="13">
        <v>0</v>
      </c>
      <c r="L711" s="13">
        <v>0</v>
      </c>
      <c r="M711" s="13">
        <v>0</v>
      </c>
      <c r="N711" s="13">
        <v>0</v>
      </c>
      <c r="O711">
        <v>0</v>
      </c>
      <c r="P711">
        <v>0</v>
      </c>
      <c r="Q711" t="str">
        <f t="shared" si="22"/>
        <v>WC022</v>
      </c>
      <c r="R711" t="str">
        <f t="shared" si="23"/>
        <v>CMZ1C</v>
      </c>
      <c r="S711">
        <f>IF(RIGHT(R711,2)="1C",(INDEX(Tables!H:H,MATCH(R711,Tables!G:G,0))),"")</f>
        <v>62</v>
      </c>
    </row>
    <row r="712" spans="1:19">
      <c r="A712" s="12" t="s">
        <v>4682</v>
      </c>
      <c r="B712" s="12" t="s">
        <v>4683</v>
      </c>
      <c r="C712" s="12" t="s">
        <v>4684</v>
      </c>
      <c r="D712" s="12" t="s">
        <v>3790</v>
      </c>
      <c r="E712" s="13">
        <v>1700</v>
      </c>
      <c r="F712" s="13">
        <v>1700</v>
      </c>
      <c r="G712" s="13">
        <v>0</v>
      </c>
      <c r="H712" s="13">
        <v>0</v>
      </c>
      <c r="I712" s="13">
        <v>0</v>
      </c>
      <c r="J712" s="13">
        <v>0</v>
      </c>
      <c r="K712" s="13">
        <v>3268</v>
      </c>
      <c r="L712" s="13">
        <v>0</v>
      </c>
      <c r="M712" s="13">
        <v>0</v>
      </c>
      <c r="N712" s="13">
        <v>0</v>
      </c>
      <c r="O712">
        <v>3268</v>
      </c>
      <c r="P712">
        <v>544.66600000000005</v>
      </c>
      <c r="Q712" t="str">
        <f t="shared" si="22"/>
        <v>WC200</v>
      </c>
      <c r="R712" t="str">
        <f t="shared" si="23"/>
        <v>CIM1C</v>
      </c>
      <c r="S712">
        <f>IF(RIGHT(R712,2)="1C",(INDEX(Tables!H:H,MATCH(R712,Tables!G:G,0))),"")</f>
        <v>50</v>
      </c>
    </row>
    <row r="713" spans="1:19">
      <c r="A713" s="12" t="s">
        <v>4682</v>
      </c>
      <c r="B713" s="12" t="s">
        <v>5137</v>
      </c>
      <c r="C713" s="12" t="s">
        <v>5138</v>
      </c>
      <c r="D713" s="12" t="s">
        <v>3790</v>
      </c>
      <c r="E713" s="13">
        <v>3458.47</v>
      </c>
      <c r="F713" s="13">
        <v>3458.47</v>
      </c>
      <c r="G713" s="13">
        <v>0</v>
      </c>
      <c r="H713" s="13">
        <v>0</v>
      </c>
      <c r="I713" s="13">
        <v>0</v>
      </c>
      <c r="J713" s="13">
        <v>2506</v>
      </c>
      <c r="K713" s="13">
        <v>1515</v>
      </c>
      <c r="L713" s="13">
        <v>3064</v>
      </c>
      <c r="M713" s="13">
        <v>442</v>
      </c>
      <c r="N713" s="13">
        <v>0</v>
      </c>
      <c r="O713">
        <v>7527</v>
      </c>
      <c r="P713">
        <v>1254.5</v>
      </c>
      <c r="Q713" t="str">
        <f t="shared" si="22"/>
        <v>WE270</v>
      </c>
      <c r="R713" t="str">
        <f t="shared" si="23"/>
        <v>CIM1C</v>
      </c>
      <c r="S713">
        <f>IF(RIGHT(R713,2)="1C",(INDEX(Tables!H:H,MATCH(R713,Tables!G:G,0))),"")</f>
        <v>50</v>
      </c>
    </row>
    <row r="714" spans="1:19">
      <c r="A714" s="12" t="s">
        <v>4682</v>
      </c>
      <c r="B714" s="12" t="s">
        <v>7127</v>
      </c>
      <c r="C714" s="12" t="s">
        <v>7128</v>
      </c>
      <c r="D714" s="12" t="s">
        <v>3790</v>
      </c>
      <c r="E714" s="13">
        <v>0</v>
      </c>
      <c r="F714" s="13">
        <v>0</v>
      </c>
      <c r="G714" s="13">
        <v>0</v>
      </c>
      <c r="H714" s="13">
        <v>0</v>
      </c>
      <c r="I714" s="13">
        <v>0</v>
      </c>
      <c r="J714" s="13">
        <v>0</v>
      </c>
      <c r="K714" s="13">
        <v>0</v>
      </c>
      <c r="L714" s="13">
        <v>0</v>
      </c>
      <c r="M714" s="13">
        <v>0</v>
      </c>
      <c r="N714" s="13">
        <v>0</v>
      </c>
      <c r="O714">
        <v>0</v>
      </c>
      <c r="P714">
        <v>0</v>
      </c>
      <c r="Q714" t="str">
        <f t="shared" si="22"/>
        <v>WE270</v>
      </c>
      <c r="R714" t="str">
        <f t="shared" si="23"/>
        <v>CMZ1C</v>
      </c>
      <c r="S714">
        <f>IF(RIGHT(R714,2)="1C",(INDEX(Tables!H:H,MATCH(R714,Tables!G:G,0))),"")</f>
        <v>62</v>
      </c>
    </row>
    <row r="715" spans="1:19">
      <c r="A715" s="12" t="s">
        <v>4682</v>
      </c>
      <c r="B715" s="12" t="s">
        <v>6935</v>
      </c>
      <c r="C715" s="12" t="s">
        <v>6936</v>
      </c>
      <c r="D715" s="12" t="s">
        <v>3790</v>
      </c>
      <c r="E715" s="13">
        <v>0</v>
      </c>
      <c r="F715" s="13">
        <v>0</v>
      </c>
      <c r="G715" s="13">
        <v>0</v>
      </c>
      <c r="H715" s="13">
        <v>0</v>
      </c>
      <c r="I715" s="13">
        <v>0</v>
      </c>
      <c r="J715" s="13">
        <v>0</v>
      </c>
      <c r="K715" s="13">
        <v>0</v>
      </c>
      <c r="L715" s="13">
        <v>0</v>
      </c>
      <c r="M715" s="13">
        <v>0</v>
      </c>
      <c r="N715" s="13">
        <v>0</v>
      </c>
      <c r="O715">
        <v>0</v>
      </c>
      <c r="P715">
        <v>0</v>
      </c>
      <c r="Q715" t="str">
        <f t="shared" si="22"/>
        <v/>
      </c>
      <c r="R715" t="str">
        <f t="shared" si="23"/>
        <v/>
      </c>
      <c r="S715" t="str">
        <f>IF(RIGHT(R715,2)="1C",(INDEX(Tables!H:H,MATCH(R715,Tables!G:G,0))),"")</f>
        <v/>
      </c>
    </row>
    <row r="716" spans="1:19">
      <c r="A716" s="12" t="s">
        <v>4682</v>
      </c>
      <c r="B716" s="12" t="s">
        <v>6839</v>
      </c>
      <c r="C716" s="12" t="s">
        <v>6840</v>
      </c>
      <c r="D716" s="12" t="s">
        <v>3790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3030</v>
      </c>
      <c r="K716" s="13">
        <v>0</v>
      </c>
      <c r="L716" s="13">
        <v>0</v>
      </c>
      <c r="M716" s="13">
        <v>0</v>
      </c>
      <c r="N716" s="13">
        <v>0</v>
      </c>
      <c r="O716">
        <v>3030</v>
      </c>
      <c r="P716">
        <v>505</v>
      </c>
      <c r="Q716" t="str">
        <f t="shared" si="22"/>
        <v>WF002</v>
      </c>
      <c r="R716" t="str">
        <f t="shared" si="23"/>
        <v>CIM1C</v>
      </c>
      <c r="S716">
        <f>IF(RIGHT(R716,2)="1C",(INDEX(Tables!H:H,MATCH(R716,Tables!G:G,0))),"")</f>
        <v>50</v>
      </c>
    </row>
    <row r="717" spans="1:19">
      <c r="A717" s="12" t="s">
        <v>4682</v>
      </c>
      <c r="B717" s="12" t="s">
        <v>5181</v>
      </c>
      <c r="C717" s="12" t="s">
        <v>5182</v>
      </c>
      <c r="D717" s="12" t="s">
        <v>3790</v>
      </c>
      <c r="E717" s="13">
        <v>10171</v>
      </c>
      <c r="F717" s="13">
        <v>10171</v>
      </c>
      <c r="G717" s="13">
        <v>0</v>
      </c>
      <c r="H717" s="13">
        <v>0</v>
      </c>
      <c r="I717" s="13">
        <v>0</v>
      </c>
      <c r="J717" s="13">
        <v>15520</v>
      </c>
      <c r="K717" s="13">
        <v>3022</v>
      </c>
      <c r="L717" s="13">
        <v>13827</v>
      </c>
      <c r="M717" s="13">
        <v>410</v>
      </c>
      <c r="N717" s="13">
        <v>0</v>
      </c>
      <c r="O717">
        <v>32779</v>
      </c>
      <c r="P717">
        <v>5463.16</v>
      </c>
      <c r="Q717" t="str">
        <f t="shared" si="22"/>
        <v>WF011</v>
      </c>
      <c r="R717" t="str">
        <f t="shared" si="23"/>
        <v>CIM1C</v>
      </c>
      <c r="S717">
        <f>IF(RIGHT(R717,2)="1C",(INDEX(Tables!H:H,MATCH(R717,Tables!G:G,0))),"")</f>
        <v>50</v>
      </c>
    </row>
    <row r="718" spans="1:19">
      <c r="A718" s="12" t="s">
        <v>4682</v>
      </c>
      <c r="B718" s="12" t="s">
        <v>4753</v>
      </c>
      <c r="C718" s="12" t="s">
        <v>4754</v>
      </c>
      <c r="D718" s="12" t="s">
        <v>3790</v>
      </c>
      <c r="E718" s="13">
        <v>1800</v>
      </c>
      <c r="F718" s="13">
        <v>1800</v>
      </c>
      <c r="G718" s="13">
        <v>0</v>
      </c>
      <c r="H718" s="13">
        <v>0</v>
      </c>
      <c r="I718" s="13">
        <v>0</v>
      </c>
      <c r="J718" s="13">
        <v>0</v>
      </c>
      <c r="K718" s="13">
        <v>1731</v>
      </c>
      <c r="L718" s="13">
        <v>0</v>
      </c>
      <c r="M718" s="13">
        <v>0</v>
      </c>
      <c r="N718" s="13">
        <v>0</v>
      </c>
      <c r="O718">
        <v>1731</v>
      </c>
      <c r="P718">
        <v>288.5</v>
      </c>
      <c r="Q718" t="str">
        <f t="shared" si="22"/>
        <v>WF011</v>
      </c>
      <c r="R718" t="str">
        <f t="shared" si="23"/>
        <v>CMZ1C</v>
      </c>
      <c r="S718">
        <f>IF(RIGHT(R718,2)="1C",(INDEX(Tables!H:H,MATCH(R718,Tables!G:G,0))),"")</f>
        <v>62</v>
      </c>
    </row>
    <row r="719" spans="1:19">
      <c r="A719" s="12" t="s">
        <v>4682</v>
      </c>
      <c r="B719" s="12" t="s">
        <v>4739</v>
      </c>
      <c r="C719" s="12" t="s">
        <v>4740</v>
      </c>
      <c r="D719" s="12" t="s">
        <v>3790</v>
      </c>
      <c r="E719" s="13">
        <v>0</v>
      </c>
      <c r="F719" s="13">
        <v>0</v>
      </c>
      <c r="G719" s="13">
        <v>0</v>
      </c>
      <c r="H719" s="13">
        <v>0</v>
      </c>
      <c r="I719" s="13">
        <v>0</v>
      </c>
      <c r="J719" s="13">
        <v>0</v>
      </c>
      <c r="K719" s="13">
        <v>0</v>
      </c>
      <c r="L719" s="13">
        <v>0</v>
      </c>
      <c r="M719" s="13">
        <v>0</v>
      </c>
      <c r="N719" s="13">
        <v>0</v>
      </c>
      <c r="O719">
        <v>0</v>
      </c>
      <c r="P719">
        <v>0</v>
      </c>
      <c r="Q719" t="str">
        <f t="shared" si="22"/>
        <v>WH005</v>
      </c>
      <c r="R719" t="str">
        <f t="shared" si="23"/>
        <v>CIM1C</v>
      </c>
      <c r="S719">
        <f>IF(RIGHT(R719,2)="1C",(INDEX(Tables!H:H,MATCH(R719,Tables!G:G,0))),"")</f>
        <v>50</v>
      </c>
    </row>
    <row r="720" spans="1:19">
      <c r="A720" s="12" t="s">
        <v>4682</v>
      </c>
      <c r="B720" s="12" t="s">
        <v>5133</v>
      </c>
      <c r="C720" s="12" t="s">
        <v>5134</v>
      </c>
      <c r="D720" s="12" t="s">
        <v>3790</v>
      </c>
      <c r="E720" s="13">
        <v>3793</v>
      </c>
      <c r="F720" s="13">
        <v>3793</v>
      </c>
      <c r="G720" s="13">
        <v>0</v>
      </c>
      <c r="H720" s="13">
        <v>0</v>
      </c>
      <c r="I720" s="13">
        <v>0</v>
      </c>
      <c r="J720" s="13">
        <v>3669</v>
      </c>
      <c r="K720" s="13">
        <v>0</v>
      </c>
      <c r="L720" s="13">
        <v>0</v>
      </c>
      <c r="M720" s="13">
        <v>0</v>
      </c>
      <c r="N720" s="13">
        <v>0</v>
      </c>
      <c r="O720">
        <v>3669</v>
      </c>
      <c r="P720">
        <v>611.5</v>
      </c>
      <c r="Q720" t="str">
        <f t="shared" si="22"/>
        <v>WH100</v>
      </c>
      <c r="R720" t="str">
        <f t="shared" si="23"/>
        <v>CIM1C</v>
      </c>
      <c r="S720">
        <f>IF(RIGHT(R720,2)="1C",(INDEX(Tables!H:H,MATCH(R720,Tables!G:G,0))),"")</f>
        <v>50</v>
      </c>
    </row>
    <row r="721" spans="1:19">
      <c r="A721" s="12" t="s">
        <v>4682</v>
      </c>
      <c r="B721" s="12" t="s">
        <v>5043</v>
      </c>
      <c r="C721" s="12" t="s">
        <v>5044</v>
      </c>
      <c r="D721" s="12" t="s">
        <v>3790</v>
      </c>
      <c r="E721" s="13">
        <v>1841.36</v>
      </c>
      <c r="F721" s="13">
        <v>1841.36</v>
      </c>
      <c r="G721" s="13">
        <v>0</v>
      </c>
      <c r="H721" s="13">
        <v>0</v>
      </c>
      <c r="I721" s="13">
        <v>0</v>
      </c>
      <c r="J721" s="13">
        <v>1662</v>
      </c>
      <c r="K721" s="13">
        <v>909</v>
      </c>
      <c r="L721" s="13">
        <v>1746</v>
      </c>
      <c r="M721" s="13">
        <v>1941</v>
      </c>
      <c r="N721" s="13">
        <v>0</v>
      </c>
      <c r="O721">
        <v>6258</v>
      </c>
      <c r="P721">
        <v>1043</v>
      </c>
      <c r="Q721" t="str">
        <f t="shared" si="22"/>
        <v>WK017</v>
      </c>
      <c r="R721" t="str">
        <f t="shared" si="23"/>
        <v>CIM1C</v>
      </c>
      <c r="S721">
        <f>IF(RIGHT(R721,2)="1C",(INDEX(Tables!H:H,MATCH(R721,Tables!G:G,0))),"")</f>
        <v>50</v>
      </c>
    </row>
    <row r="722" spans="1:19">
      <c r="A722" s="12" t="s">
        <v>4682</v>
      </c>
      <c r="B722" s="12" t="s">
        <v>7388</v>
      </c>
      <c r="C722" s="12" t="s">
        <v>7389</v>
      </c>
      <c r="D722" s="12" t="s">
        <v>3790</v>
      </c>
      <c r="E722" s="13">
        <v>0</v>
      </c>
      <c r="F722" s="13">
        <v>0</v>
      </c>
      <c r="G722" s="13">
        <v>0</v>
      </c>
      <c r="H722" s="13">
        <v>0</v>
      </c>
      <c r="I722" s="13">
        <v>0</v>
      </c>
      <c r="J722" s="13">
        <v>0</v>
      </c>
      <c r="K722" s="13">
        <v>0</v>
      </c>
      <c r="L722" s="13">
        <v>0</v>
      </c>
      <c r="M722" s="13">
        <v>0</v>
      </c>
      <c r="N722" s="13">
        <v>0</v>
      </c>
      <c r="O722">
        <v>0</v>
      </c>
      <c r="P722">
        <v>0</v>
      </c>
      <c r="Q722" t="str">
        <f t="shared" si="22"/>
        <v>WK017</v>
      </c>
      <c r="R722" t="str">
        <f t="shared" si="23"/>
        <v>CMZ1C</v>
      </c>
      <c r="S722">
        <f>IF(RIGHT(R722,2)="1C",(INDEX(Tables!H:H,MATCH(R722,Tables!G:G,0))),"")</f>
        <v>62</v>
      </c>
    </row>
    <row r="723" spans="1:19">
      <c r="A723" s="12" t="s">
        <v>4682</v>
      </c>
      <c r="B723" s="12" t="s">
        <v>5157</v>
      </c>
      <c r="C723" s="12" t="s">
        <v>5158</v>
      </c>
      <c r="D723" s="12" t="s">
        <v>3790</v>
      </c>
      <c r="E723" s="13">
        <v>900</v>
      </c>
      <c r="F723" s="13">
        <v>900</v>
      </c>
      <c r="G723" s="13">
        <v>0</v>
      </c>
      <c r="H723" s="13">
        <v>0</v>
      </c>
      <c r="I723" s="13">
        <v>0</v>
      </c>
      <c r="J723" s="13">
        <v>0</v>
      </c>
      <c r="K723" s="13">
        <v>0</v>
      </c>
      <c r="L723" s="13">
        <v>3981</v>
      </c>
      <c r="M723" s="13">
        <v>0</v>
      </c>
      <c r="N723" s="13">
        <v>0</v>
      </c>
      <c r="O723">
        <v>3981</v>
      </c>
      <c r="P723">
        <v>663.5</v>
      </c>
      <c r="Q723" t="str">
        <f t="shared" si="22"/>
        <v>WK022</v>
      </c>
      <c r="R723" t="str">
        <f t="shared" si="23"/>
        <v>CIM1C</v>
      </c>
      <c r="S723">
        <f>IF(RIGHT(R723,2)="1C",(INDEX(Tables!H:H,MATCH(R723,Tables!G:G,0))),"")</f>
        <v>50</v>
      </c>
    </row>
    <row r="724" spans="1:19">
      <c r="A724" s="12" t="s">
        <v>4682</v>
      </c>
      <c r="B724" s="12" t="s">
        <v>7372</v>
      </c>
      <c r="C724" s="12" t="s">
        <v>7373</v>
      </c>
      <c r="D724" s="12" t="s">
        <v>3790</v>
      </c>
      <c r="E724" s="13">
        <v>0</v>
      </c>
      <c r="F724" s="13">
        <v>0</v>
      </c>
      <c r="G724" s="13">
        <v>0</v>
      </c>
      <c r="H724" s="13">
        <v>0</v>
      </c>
      <c r="I724" s="13">
        <v>0</v>
      </c>
      <c r="J724" s="13">
        <v>0</v>
      </c>
      <c r="K724" s="13">
        <v>0</v>
      </c>
      <c r="L724" s="13">
        <v>0</v>
      </c>
      <c r="M724" s="13">
        <v>0</v>
      </c>
      <c r="N724" s="13">
        <v>0</v>
      </c>
      <c r="O724">
        <v>0</v>
      </c>
      <c r="P724">
        <v>0</v>
      </c>
      <c r="Q724" t="str">
        <f t="shared" si="22"/>
        <v>WK022</v>
      </c>
      <c r="R724" t="str">
        <f t="shared" si="23"/>
        <v>CMZ1C</v>
      </c>
      <c r="S724">
        <f>IF(RIGHT(R724,2)="1C",(INDEX(Tables!H:H,MATCH(R724,Tables!G:G,0))),"")</f>
        <v>62</v>
      </c>
    </row>
    <row r="725" spans="1:19">
      <c r="A725" s="12" t="s">
        <v>4682</v>
      </c>
      <c r="B725" s="12" t="s">
        <v>5041</v>
      </c>
      <c r="C725" s="12" t="s">
        <v>5042</v>
      </c>
      <c r="D725" s="12" t="s">
        <v>3790</v>
      </c>
      <c r="E725" s="13">
        <v>2200</v>
      </c>
      <c r="F725" s="13">
        <v>2200</v>
      </c>
      <c r="G725" s="13">
        <v>0</v>
      </c>
      <c r="H725" s="13">
        <v>0</v>
      </c>
      <c r="I725" s="13">
        <v>0</v>
      </c>
      <c r="J725" s="13">
        <v>2605</v>
      </c>
      <c r="K725" s="13">
        <v>0</v>
      </c>
      <c r="L725" s="13">
        <v>3679</v>
      </c>
      <c r="M725" s="13">
        <v>0</v>
      </c>
      <c r="N725" s="13">
        <v>0</v>
      </c>
      <c r="O725">
        <v>6284</v>
      </c>
      <c r="P725">
        <v>1047.33</v>
      </c>
      <c r="Q725" t="str">
        <f t="shared" si="22"/>
        <v>WK024</v>
      </c>
      <c r="R725" t="str">
        <f t="shared" si="23"/>
        <v>CIM1C</v>
      </c>
      <c r="S725">
        <f>IF(RIGHT(R725,2)="1C",(INDEX(Tables!H:H,MATCH(R725,Tables!G:G,0))),"")</f>
        <v>50</v>
      </c>
    </row>
    <row r="726" spans="1:19">
      <c r="A726" s="12" t="s">
        <v>4682</v>
      </c>
      <c r="B726" s="12" t="s">
        <v>5027</v>
      </c>
      <c r="C726" s="12" t="s">
        <v>5028</v>
      </c>
      <c r="D726" s="12" t="s">
        <v>3790</v>
      </c>
      <c r="E726" s="13">
        <v>0</v>
      </c>
      <c r="F726" s="13">
        <v>0</v>
      </c>
      <c r="G726" s="13">
        <v>0</v>
      </c>
      <c r="H726" s="13">
        <v>0</v>
      </c>
      <c r="I726" s="13">
        <v>0</v>
      </c>
      <c r="J726" s="13">
        <v>12119</v>
      </c>
      <c r="K726" s="13">
        <v>11171</v>
      </c>
      <c r="L726" s="13">
        <v>2622</v>
      </c>
      <c r="M726" s="13">
        <v>688</v>
      </c>
      <c r="N726" s="13">
        <v>0</v>
      </c>
      <c r="O726">
        <v>26600</v>
      </c>
      <c r="P726">
        <v>4433.33</v>
      </c>
      <c r="Q726" t="str">
        <f t="shared" si="22"/>
        <v>WK025</v>
      </c>
      <c r="R726" t="str">
        <f t="shared" si="23"/>
        <v>CIM1C</v>
      </c>
      <c r="S726">
        <f>IF(RIGHT(R726,2)="1C",(INDEX(Tables!H:H,MATCH(R726,Tables!G:G,0))),"")</f>
        <v>50</v>
      </c>
    </row>
    <row r="727" spans="1:19">
      <c r="A727" s="12" t="s">
        <v>4682</v>
      </c>
      <c r="B727" s="12" t="s">
        <v>5097</v>
      </c>
      <c r="C727" s="12" t="s">
        <v>5098</v>
      </c>
      <c r="D727" s="12" t="s">
        <v>3790</v>
      </c>
      <c r="E727" s="13">
        <v>4109</v>
      </c>
      <c r="F727" s="13">
        <v>4109</v>
      </c>
      <c r="G727" s="13">
        <v>0</v>
      </c>
      <c r="H727" s="13">
        <v>0</v>
      </c>
      <c r="I727" s="13">
        <v>0</v>
      </c>
      <c r="J727" s="13">
        <v>6484</v>
      </c>
      <c r="K727" s="13">
        <v>4177</v>
      </c>
      <c r="L727" s="13">
        <v>2342</v>
      </c>
      <c r="M727" s="13">
        <v>0</v>
      </c>
      <c r="N727" s="13">
        <v>0</v>
      </c>
      <c r="O727">
        <v>13003</v>
      </c>
      <c r="P727">
        <v>2167.16</v>
      </c>
      <c r="Q727" t="str">
        <f t="shared" si="22"/>
        <v>WK027</v>
      </c>
      <c r="R727" t="str">
        <f t="shared" si="23"/>
        <v>CIM1C</v>
      </c>
      <c r="S727">
        <f>IF(RIGHT(R727,2)="1C",(INDEX(Tables!H:H,MATCH(R727,Tables!G:G,0))),"")</f>
        <v>50</v>
      </c>
    </row>
    <row r="728" spans="1:19">
      <c r="A728" s="12" t="s">
        <v>4682</v>
      </c>
      <c r="B728" s="12" t="s">
        <v>5143</v>
      </c>
      <c r="C728" s="12" t="s">
        <v>5144</v>
      </c>
      <c r="D728" s="12" t="s">
        <v>3790</v>
      </c>
      <c r="E728" s="13">
        <v>2150</v>
      </c>
      <c r="F728" s="13">
        <v>2150</v>
      </c>
      <c r="G728" s="13">
        <v>0</v>
      </c>
      <c r="H728" s="13">
        <v>0</v>
      </c>
      <c r="I728" s="13">
        <v>0</v>
      </c>
      <c r="J728" s="13">
        <v>0</v>
      </c>
      <c r="K728" s="13">
        <v>1065</v>
      </c>
      <c r="L728" s="13">
        <v>8305</v>
      </c>
      <c r="M728" s="13">
        <v>0</v>
      </c>
      <c r="N728" s="13">
        <v>1146</v>
      </c>
      <c r="O728">
        <v>10516</v>
      </c>
      <c r="P728">
        <v>1752.66</v>
      </c>
      <c r="Q728" t="str">
        <f t="shared" si="22"/>
        <v>WM005</v>
      </c>
      <c r="R728" t="str">
        <f t="shared" si="23"/>
        <v>CIM1C</v>
      </c>
      <c r="S728">
        <f>IF(RIGHT(R728,2)="1C",(INDEX(Tables!H:H,MATCH(R728,Tables!G:G,0))),"")</f>
        <v>50</v>
      </c>
    </row>
    <row r="729" spans="1:19">
      <c r="A729" s="12" t="s">
        <v>4682</v>
      </c>
      <c r="B729" s="12" t="s">
        <v>5201</v>
      </c>
      <c r="C729" s="12" t="s">
        <v>5202</v>
      </c>
      <c r="D729" s="12" t="s">
        <v>3790</v>
      </c>
      <c r="E729" s="13">
        <v>2521.87</v>
      </c>
      <c r="F729" s="13">
        <v>2521.87</v>
      </c>
      <c r="G729" s="13">
        <v>0</v>
      </c>
      <c r="H729" s="13">
        <v>0</v>
      </c>
      <c r="I729" s="13">
        <v>2678.13</v>
      </c>
      <c r="J729" s="13">
        <v>0</v>
      </c>
      <c r="K729" s="13">
        <v>3112</v>
      </c>
      <c r="L729" s="13">
        <v>8666</v>
      </c>
      <c r="M729" s="13">
        <v>4365</v>
      </c>
      <c r="N729" s="13">
        <v>4357</v>
      </c>
      <c r="O729">
        <v>23178.1</v>
      </c>
      <c r="P729">
        <v>3863.02</v>
      </c>
      <c r="Q729" t="str">
        <f t="shared" si="22"/>
        <v>WM046</v>
      </c>
      <c r="R729" t="str">
        <f t="shared" si="23"/>
        <v>CIM1C</v>
      </c>
      <c r="S729">
        <f>IF(RIGHT(R729,2)="1C",(INDEX(Tables!H:H,MATCH(R729,Tables!G:G,0))),"")</f>
        <v>50</v>
      </c>
    </row>
    <row r="730" spans="1:19">
      <c r="A730" s="12" t="s">
        <v>4682</v>
      </c>
      <c r="B730" s="12" t="s">
        <v>7374</v>
      </c>
      <c r="C730" s="12" t="s">
        <v>7375</v>
      </c>
      <c r="D730" s="12" t="s">
        <v>3790</v>
      </c>
      <c r="E730" s="13">
        <v>0</v>
      </c>
      <c r="F730" s="13">
        <v>0</v>
      </c>
      <c r="G730" s="13">
        <v>0</v>
      </c>
      <c r="H730" s="13">
        <v>0</v>
      </c>
      <c r="I730" s="13">
        <v>0</v>
      </c>
      <c r="J730" s="13">
        <v>0</v>
      </c>
      <c r="K730" s="13">
        <v>0</v>
      </c>
      <c r="L730" s="13">
        <v>0</v>
      </c>
      <c r="M730" s="13">
        <v>0</v>
      </c>
      <c r="N730" s="13">
        <v>0</v>
      </c>
      <c r="O730">
        <v>0</v>
      </c>
      <c r="P730">
        <v>0</v>
      </c>
      <c r="Q730" t="str">
        <f t="shared" si="22"/>
        <v>WM046</v>
      </c>
      <c r="R730" t="str">
        <f t="shared" si="23"/>
        <v>CMZ1C</v>
      </c>
      <c r="S730">
        <f>IF(RIGHT(R730,2)="1C",(INDEX(Tables!H:H,MATCH(R730,Tables!G:G,0))),"")</f>
        <v>62</v>
      </c>
    </row>
    <row r="731" spans="1:19">
      <c r="A731" s="12" t="s">
        <v>4682</v>
      </c>
      <c r="B731" s="12" t="s">
        <v>5179</v>
      </c>
      <c r="C731" s="12" t="s">
        <v>5180</v>
      </c>
      <c r="D731" s="12" t="s">
        <v>3790</v>
      </c>
      <c r="E731" s="13">
        <v>3900</v>
      </c>
      <c r="F731" s="13">
        <v>3900</v>
      </c>
      <c r="G731" s="13">
        <v>0</v>
      </c>
      <c r="H731" s="13">
        <v>0</v>
      </c>
      <c r="I731" s="13">
        <v>0</v>
      </c>
      <c r="J731" s="13">
        <v>1278</v>
      </c>
      <c r="K731" s="13">
        <v>262</v>
      </c>
      <c r="L731" s="13">
        <v>9461</v>
      </c>
      <c r="M731" s="13">
        <v>541</v>
      </c>
      <c r="N731" s="13">
        <v>1368</v>
      </c>
      <c r="O731">
        <v>12910</v>
      </c>
      <c r="P731">
        <v>2151.66</v>
      </c>
      <c r="Q731" t="str">
        <f t="shared" si="22"/>
        <v>WM047</v>
      </c>
      <c r="R731" t="str">
        <f t="shared" si="23"/>
        <v>CIM1C</v>
      </c>
      <c r="S731">
        <f>IF(RIGHT(R731,2)="1C",(INDEX(Tables!H:H,MATCH(R731,Tables!G:G,0))),"")</f>
        <v>50</v>
      </c>
    </row>
    <row r="732" spans="1:19">
      <c r="A732" s="12" t="s">
        <v>4682</v>
      </c>
      <c r="B732" s="12" t="s">
        <v>7390</v>
      </c>
      <c r="C732" s="12" t="s">
        <v>7391</v>
      </c>
      <c r="D732" s="12" t="s">
        <v>3790</v>
      </c>
      <c r="E732" s="13">
        <v>0</v>
      </c>
      <c r="F732" s="13">
        <v>0</v>
      </c>
      <c r="G732" s="13">
        <v>0</v>
      </c>
      <c r="H732" s="13">
        <v>0</v>
      </c>
      <c r="I732" s="13">
        <v>0</v>
      </c>
      <c r="J732" s="13">
        <v>0</v>
      </c>
      <c r="K732" s="13">
        <v>0</v>
      </c>
      <c r="L732" s="13">
        <v>0</v>
      </c>
      <c r="M732" s="13">
        <v>0</v>
      </c>
      <c r="N732" s="13">
        <v>0</v>
      </c>
      <c r="O732">
        <v>0</v>
      </c>
      <c r="P732">
        <v>0</v>
      </c>
      <c r="Q732" t="str">
        <f t="shared" si="22"/>
        <v>WM047</v>
      </c>
      <c r="R732" t="str">
        <f t="shared" si="23"/>
        <v>CMZ1C</v>
      </c>
      <c r="S732">
        <f>IF(RIGHT(R732,2)="1C",(INDEX(Tables!H:H,MATCH(R732,Tables!G:G,0))),"")</f>
        <v>62</v>
      </c>
    </row>
    <row r="733" spans="1:19">
      <c r="A733" s="12" t="s">
        <v>4682</v>
      </c>
      <c r="B733" s="12" t="s">
        <v>7440</v>
      </c>
      <c r="C733" s="12" t="s">
        <v>7441</v>
      </c>
      <c r="D733" s="12" t="s">
        <v>3790</v>
      </c>
      <c r="E733" s="13">
        <v>0</v>
      </c>
      <c r="F733" s="13">
        <v>0</v>
      </c>
      <c r="G733" s="13">
        <v>0</v>
      </c>
      <c r="H733" s="13">
        <v>0</v>
      </c>
      <c r="I733" s="13">
        <v>0</v>
      </c>
      <c r="J733" s="13">
        <v>1150</v>
      </c>
      <c r="K733" s="13">
        <v>0</v>
      </c>
      <c r="L733" s="13">
        <v>0</v>
      </c>
      <c r="M733" s="13">
        <v>0</v>
      </c>
      <c r="N733" s="13">
        <v>0</v>
      </c>
      <c r="O733">
        <v>1150</v>
      </c>
      <c r="P733">
        <v>191.666</v>
      </c>
      <c r="Q733" t="str">
        <f t="shared" si="22"/>
        <v/>
      </c>
      <c r="R733" t="str">
        <f t="shared" si="23"/>
        <v/>
      </c>
      <c r="S733" t="str">
        <f>IF(RIGHT(R733,2)="1C",(INDEX(Tables!H:H,MATCH(R733,Tables!G:G,0))),"")</f>
        <v/>
      </c>
    </row>
    <row r="734" spans="1:19">
      <c r="A734" s="12" t="s">
        <v>4682</v>
      </c>
      <c r="B734" s="12" t="s">
        <v>4779</v>
      </c>
      <c r="C734" s="12" t="s">
        <v>4780</v>
      </c>
      <c r="D734" s="12" t="s">
        <v>3790</v>
      </c>
      <c r="E734" s="13">
        <v>387.74</v>
      </c>
      <c r="F734" s="13">
        <v>387.74</v>
      </c>
      <c r="G734" s="13">
        <v>0</v>
      </c>
      <c r="H734" s="13">
        <v>0</v>
      </c>
      <c r="I734" s="13">
        <v>0</v>
      </c>
      <c r="J734" s="13">
        <v>6306</v>
      </c>
      <c r="K734" s="13">
        <v>2703</v>
      </c>
      <c r="L734" s="13">
        <v>0</v>
      </c>
      <c r="M734" s="13">
        <v>0</v>
      </c>
      <c r="N734" s="13">
        <v>0</v>
      </c>
      <c r="O734">
        <v>9009</v>
      </c>
      <c r="P734">
        <v>1501.5</v>
      </c>
      <c r="Q734" t="str">
        <f t="shared" si="22"/>
        <v>WM528</v>
      </c>
      <c r="R734" t="str">
        <f t="shared" si="23"/>
        <v>CIM1C</v>
      </c>
      <c r="S734">
        <f>IF(RIGHT(R734,2)="1C",(INDEX(Tables!H:H,MATCH(R734,Tables!G:G,0))),"")</f>
        <v>50</v>
      </c>
    </row>
    <row r="735" spans="1:19">
      <c r="A735" s="12" t="s">
        <v>4682</v>
      </c>
      <c r="B735" s="12" t="s">
        <v>7392</v>
      </c>
      <c r="C735" s="12" t="s">
        <v>7393</v>
      </c>
      <c r="D735" s="12" t="s">
        <v>3790</v>
      </c>
      <c r="E735" s="13">
        <v>0</v>
      </c>
      <c r="F735" s="13">
        <v>0</v>
      </c>
      <c r="G735" s="13">
        <v>0</v>
      </c>
      <c r="H735" s="13">
        <v>0</v>
      </c>
      <c r="I735" s="13">
        <v>0</v>
      </c>
      <c r="J735" s="13">
        <v>0</v>
      </c>
      <c r="K735" s="13">
        <v>0</v>
      </c>
      <c r="L735" s="13">
        <v>0</v>
      </c>
      <c r="M735" s="13">
        <v>0</v>
      </c>
      <c r="N735" s="13">
        <v>0</v>
      </c>
      <c r="O735">
        <v>0</v>
      </c>
      <c r="P735">
        <v>0</v>
      </c>
      <c r="Q735" t="str">
        <f t="shared" si="22"/>
        <v>WM528</v>
      </c>
      <c r="R735" t="str">
        <f t="shared" si="23"/>
        <v>CMZ1C</v>
      </c>
      <c r="S735">
        <f>IF(RIGHT(R735,2)="1C",(INDEX(Tables!H:H,MATCH(R735,Tables!G:G,0))),"")</f>
        <v>62</v>
      </c>
    </row>
    <row r="736" spans="1:19">
      <c r="A736" s="12" t="s">
        <v>4682</v>
      </c>
      <c r="B736" s="12" t="s">
        <v>4877</v>
      </c>
      <c r="C736" s="12" t="s">
        <v>4878</v>
      </c>
      <c r="D736" s="12" t="s">
        <v>3790</v>
      </c>
      <c r="E736" s="13">
        <v>0</v>
      </c>
      <c r="F736" s="13">
        <v>0</v>
      </c>
      <c r="G736" s="13">
        <v>0</v>
      </c>
      <c r="H736" s="13">
        <v>0</v>
      </c>
      <c r="I736" s="13">
        <v>0</v>
      </c>
      <c r="J736" s="13">
        <v>860</v>
      </c>
      <c r="K736" s="13">
        <v>2735</v>
      </c>
      <c r="L736" s="13">
        <v>1107</v>
      </c>
      <c r="M736" s="13">
        <v>246</v>
      </c>
      <c r="N736" s="13">
        <v>0</v>
      </c>
      <c r="O736">
        <v>4948</v>
      </c>
      <c r="P736">
        <v>824.66600000000005</v>
      </c>
      <c r="Q736" t="str">
        <f t="shared" si="22"/>
        <v>WM577</v>
      </c>
      <c r="R736" t="str">
        <f t="shared" si="23"/>
        <v>CIM1C</v>
      </c>
      <c r="S736">
        <f>IF(RIGHT(R736,2)="1C",(INDEX(Tables!H:H,MATCH(R736,Tables!G:G,0))),"")</f>
        <v>50</v>
      </c>
    </row>
    <row r="737" spans="1:19">
      <c r="A737" s="12" t="s">
        <v>4682</v>
      </c>
      <c r="B737" s="12" t="s">
        <v>5067</v>
      </c>
      <c r="C737" s="12" t="s">
        <v>5068</v>
      </c>
      <c r="D737" s="12" t="s">
        <v>3790</v>
      </c>
      <c r="E737" s="13">
        <v>0</v>
      </c>
      <c r="F737" s="13">
        <v>0</v>
      </c>
      <c r="G737" s="13">
        <v>0</v>
      </c>
      <c r="H737" s="13">
        <v>0</v>
      </c>
      <c r="I737" s="13">
        <v>0</v>
      </c>
      <c r="J737" s="13">
        <v>0</v>
      </c>
      <c r="K737" s="13">
        <v>3071</v>
      </c>
      <c r="L737" s="13">
        <v>2769</v>
      </c>
      <c r="M737" s="13">
        <v>1908</v>
      </c>
      <c r="N737" s="13">
        <v>0</v>
      </c>
      <c r="O737">
        <v>7748</v>
      </c>
      <c r="P737">
        <v>1291.33</v>
      </c>
      <c r="Q737" t="str">
        <f t="shared" si="22"/>
        <v>WM837</v>
      </c>
      <c r="R737" t="str">
        <f t="shared" si="23"/>
        <v>CIM1C</v>
      </c>
      <c r="S737">
        <f>IF(RIGHT(R737,2)="1C",(INDEX(Tables!H:H,MATCH(R737,Tables!G:G,0))),"")</f>
        <v>50</v>
      </c>
    </row>
    <row r="738" spans="1:19">
      <c r="A738" s="12" t="s">
        <v>4682</v>
      </c>
      <c r="B738" s="12" t="s">
        <v>7212</v>
      </c>
      <c r="C738" s="12" t="s">
        <v>7213</v>
      </c>
      <c r="D738" s="12" t="s">
        <v>3790</v>
      </c>
      <c r="E738" s="13">
        <v>0</v>
      </c>
      <c r="F738" s="13">
        <v>0</v>
      </c>
      <c r="G738" s="13">
        <v>0</v>
      </c>
      <c r="H738" s="13">
        <v>0</v>
      </c>
      <c r="I738" s="13">
        <v>0</v>
      </c>
      <c r="J738" s="13">
        <v>0</v>
      </c>
      <c r="K738" s="13">
        <v>0</v>
      </c>
      <c r="L738" s="13">
        <v>0</v>
      </c>
      <c r="M738" s="13">
        <v>0</v>
      </c>
      <c r="N738" s="13">
        <v>0</v>
      </c>
      <c r="O738">
        <v>0</v>
      </c>
      <c r="P738">
        <v>0</v>
      </c>
      <c r="Q738" t="str">
        <f t="shared" si="22"/>
        <v>WM837</v>
      </c>
      <c r="R738" t="str">
        <f t="shared" si="23"/>
        <v>CMZ1C</v>
      </c>
      <c r="S738">
        <f>IF(RIGHT(R738,2)="1C",(INDEX(Tables!H:H,MATCH(R738,Tables!G:G,0))),"")</f>
        <v>62</v>
      </c>
    </row>
    <row r="739" spans="1:19">
      <c r="A739" s="12" t="s">
        <v>4682</v>
      </c>
      <c r="B739" s="12" t="s">
        <v>5199</v>
      </c>
      <c r="C739" s="12" t="s">
        <v>5200</v>
      </c>
      <c r="D739" s="12" t="s">
        <v>3790</v>
      </c>
      <c r="E739" s="13">
        <v>6345.13</v>
      </c>
      <c r="F739" s="13">
        <v>6345.13</v>
      </c>
      <c r="G739" s="13">
        <v>0</v>
      </c>
      <c r="H739" s="13">
        <v>0</v>
      </c>
      <c r="I739" s="13">
        <v>0</v>
      </c>
      <c r="J739" s="13">
        <v>2703</v>
      </c>
      <c r="K739" s="13">
        <v>10492</v>
      </c>
      <c r="L739" s="13">
        <v>9396</v>
      </c>
      <c r="M739" s="13">
        <v>606</v>
      </c>
      <c r="N739" s="13">
        <v>3669</v>
      </c>
      <c r="O739">
        <v>26866</v>
      </c>
      <c r="P739">
        <v>4477.66</v>
      </c>
      <c r="Q739" t="str">
        <f t="shared" si="22"/>
        <v>WM840</v>
      </c>
      <c r="R739" t="str">
        <f t="shared" si="23"/>
        <v>CIM1C</v>
      </c>
      <c r="S739">
        <f>IF(RIGHT(R739,2)="1C",(INDEX(Tables!H:H,MATCH(R739,Tables!G:G,0))),"")</f>
        <v>50</v>
      </c>
    </row>
    <row r="740" spans="1:19">
      <c r="A740" s="12" t="s">
        <v>4682</v>
      </c>
      <c r="B740" s="12" t="s">
        <v>4933</v>
      </c>
      <c r="C740" s="12" t="s">
        <v>4934</v>
      </c>
      <c r="D740" s="12" t="s">
        <v>3790</v>
      </c>
      <c r="E740" s="13">
        <v>3355.22</v>
      </c>
      <c r="F740" s="13">
        <v>3355.22</v>
      </c>
      <c r="G740" s="13">
        <v>0</v>
      </c>
      <c r="H740" s="13">
        <v>0</v>
      </c>
      <c r="I740" s="13">
        <v>0</v>
      </c>
      <c r="J740" s="13">
        <v>0</v>
      </c>
      <c r="K740" s="13">
        <v>0</v>
      </c>
      <c r="L740" s="13">
        <v>0</v>
      </c>
      <c r="M740" s="13">
        <v>1902</v>
      </c>
      <c r="N740" s="13">
        <v>0</v>
      </c>
      <c r="O740">
        <v>1902</v>
      </c>
      <c r="P740">
        <v>317</v>
      </c>
      <c r="Q740" t="str">
        <f t="shared" si="22"/>
        <v>WM840</v>
      </c>
      <c r="R740" t="str">
        <f t="shared" si="23"/>
        <v>CMZ1C</v>
      </c>
      <c r="S740">
        <f>IF(RIGHT(R740,2)="1C",(INDEX(Tables!H:H,MATCH(R740,Tables!G:G,0))),"")</f>
        <v>62</v>
      </c>
    </row>
    <row r="741" spans="1:19">
      <c r="A741" s="12" t="s">
        <v>4682</v>
      </c>
      <c r="B741" s="12" t="s">
        <v>6820</v>
      </c>
      <c r="C741" s="12" t="s">
        <v>6821</v>
      </c>
      <c r="D741" s="12" t="s">
        <v>3790</v>
      </c>
      <c r="E741" s="13">
        <v>0</v>
      </c>
      <c r="F741" s="13">
        <v>0</v>
      </c>
      <c r="G741" s="13">
        <v>0</v>
      </c>
      <c r="H741" s="13">
        <v>0</v>
      </c>
      <c r="I741" s="13">
        <v>0</v>
      </c>
      <c r="J741" s="13">
        <v>0</v>
      </c>
      <c r="K741" s="13">
        <v>0</v>
      </c>
      <c r="L741" s="13">
        <v>0</v>
      </c>
      <c r="M741" s="13">
        <v>0</v>
      </c>
      <c r="N741" s="13">
        <v>0</v>
      </c>
      <c r="O741">
        <v>0</v>
      </c>
      <c r="P741">
        <v>0</v>
      </c>
      <c r="Q741" t="str">
        <f t="shared" si="22"/>
        <v>WM849</v>
      </c>
      <c r="R741" t="str">
        <f t="shared" si="23"/>
        <v>CIM1C</v>
      </c>
      <c r="S741">
        <f>IF(RIGHT(R741,2)="1C",(INDEX(Tables!H:H,MATCH(R741,Tables!G:G,0))),"")</f>
        <v>50</v>
      </c>
    </row>
    <row r="742" spans="1:19">
      <c r="A742" s="12" t="s">
        <v>4682</v>
      </c>
      <c r="B742" s="12" t="s">
        <v>4727</v>
      </c>
      <c r="C742" s="12" t="s">
        <v>4728</v>
      </c>
      <c r="D742" s="12" t="s">
        <v>3790</v>
      </c>
      <c r="E742" s="13">
        <v>2340</v>
      </c>
      <c r="F742" s="13">
        <v>2340</v>
      </c>
      <c r="G742" s="13">
        <v>0</v>
      </c>
      <c r="H742" s="13">
        <v>0</v>
      </c>
      <c r="I742" s="13">
        <v>0</v>
      </c>
      <c r="J742" s="13">
        <v>1213</v>
      </c>
      <c r="K742" s="13">
        <v>0</v>
      </c>
      <c r="L742" s="13">
        <v>0</v>
      </c>
      <c r="M742" s="13">
        <v>0</v>
      </c>
      <c r="N742" s="13">
        <v>0</v>
      </c>
      <c r="O742">
        <v>1213</v>
      </c>
      <c r="P742">
        <v>202.166</v>
      </c>
      <c r="Q742" t="str">
        <f t="shared" si="22"/>
        <v>WM850</v>
      </c>
      <c r="R742" t="str">
        <f t="shared" si="23"/>
        <v>CIM1C</v>
      </c>
      <c r="S742">
        <f>IF(RIGHT(R742,2)="1C",(INDEX(Tables!H:H,MATCH(R742,Tables!G:G,0))),"")</f>
        <v>50</v>
      </c>
    </row>
    <row r="743" spans="1:19">
      <c r="A743" s="12" t="s">
        <v>4682</v>
      </c>
      <c r="B743" s="12" t="s">
        <v>7274</v>
      </c>
      <c r="C743" s="12" t="s">
        <v>7275</v>
      </c>
      <c r="D743" s="12" t="s">
        <v>3790</v>
      </c>
      <c r="E743" s="13">
        <v>900</v>
      </c>
      <c r="F743" s="13">
        <v>900</v>
      </c>
      <c r="G743" s="13">
        <v>0</v>
      </c>
      <c r="H743" s="13">
        <v>0</v>
      </c>
      <c r="I743" s="13">
        <v>0</v>
      </c>
      <c r="J743" s="13">
        <v>0</v>
      </c>
      <c r="K743" s="13">
        <v>0</v>
      </c>
      <c r="L743" s="13">
        <v>0</v>
      </c>
      <c r="M743" s="13">
        <v>0</v>
      </c>
      <c r="N743" s="13">
        <v>0</v>
      </c>
      <c r="O743">
        <v>0</v>
      </c>
      <c r="P743">
        <v>0</v>
      </c>
      <c r="Q743" t="str">
        <f t="shared" si="22"/>
        <v>WM858</v>
      </c>
      <c r="R743" t="str">
        <f t="shared" si="23"/>
        <v>CIM1C</v>
      </c>
      <c r="S743">
        <f>IF(RIGHT(R743,2)="1C",(INDEX(Tables!H:H,MATCH(R743,Tables!G:G,0))),"")</f>
        <v>50</v>
      </c>
    </row>
    <row r="744" spans="1:19">
      <c r="A744" s="12" t="s">
        <v>4682</v>
      </c>
      <c r="B744" s="12" t="s">
        <v>4715</v>
      </c>
      <c r="C744" s="12" t="s">
        <v>4716</v>
      </c>
      <c r="D744" s="12" t="s">
        <v>3790</v>
      </c>
      <c r="E744" s="13">
        <v>0</v>
      </c>
      <c r="F744" s="13">
        <v>0</v>
      </c>
      <c r="G744" s="13">
        <v>0</v>
      </c>
      <c r="H744" s="13">
        <v>0</v>
      </c>
      <c r="I744" s="13">
        <v>0</v>
      </c>
      <c r="J744" s="13">
        <v>934</v>
      </c>
      <c r="K744" s="13">
        <v>0</v>
      </c>
      <c r="L744" s="13">
        <v>0</v>
      </c>
      <c r="M744" s="13">
        <v>0</v>
      </c>
      <c r="N744" s="13">
        <v>0</v>
      </c>
      <c r="O744">
        <v>934</v>
      </c>
      <c r="P744">
        <v>155.666</v>
      </c>
      <c r="Q744" t="str">
        <f t="shared" si="22"/>
        <v>WM864</v>
      </c>
      <c r="R744" t="str">
        <f t="shared" si="23"/>
        <v>CIM1C</v>
      </c>
      <c r="S744">
        <f>IF(RIGHT(R744,2)="1C",(INDEX(Tables!H:H,MATCH(R744,Tables!G:G,0))),"")</f>
        <v>50</v>
      </c>
    </row>
    <row r="745" spans="1:19">
      <c r="A745" s="12" t="s">
        <v>4682</v>
      </c>
      <c r="B745" s="12" t="s">
        <v>4959</v>
      </c>
      <c r="C745" s="12" t="s">
        <v>4960</v>
      </c>
      <c r="D745" s="12" t="s">
        <v>3790</v>
      </c>
      <c r="E745" s="13">
        <v>2956.88</v>
      </c>
      <c r="F745" s="13">
        <v>2956.88</v>
      </c>
      <c r="G745" s="13">
        <v>0</v>
      </c>
      <c r="H745" s="13">
        <v>0</v>
      </c>
      <c r="I745" s="13">
        <v>0</v>
      </c>
      <c r="J745" s="13">
        <v>0</v>
      </c>
      <c r="K745" s="13">
        <v>1384</v>
      </c>
      <c r="L745" s="13">
        <v>2319</v>
      </c>
      <c r="M745" s="13">
        <v>0</v>
      </c>
      <c r="N745" s="13">
        <v>0</v>
      </c>
      <c r="O745">
        <v>3703</v>
      </c>
      <c r="P745">
        <v>617.16600000000005</v>
      </c>
      <c r="Q745" t="str">
        <f t="shared" si="22"/>
        <v>WO040</v>
      </c>
      <c r="R745" t="str">
        <f t="shared" si="23"/>
        <v>CIM1C</v>
      </c>
      <c r="S745">
        <f>IF(RIGHT(R745,2)="1C",(INDEX(Tables!H:H,MATCH(R745,Tables!G:G,0))),"")</f>
        <v>50</v>
      </c>
    </row>
    <row r="746" spans="1:19">
      <c r="A746" s="12" t="s">
        <v>4682</v>
      </c>
      <c r="B746" s="12" t="s">
        <v>4817</v>
      </c>
      <c r="C746" s="12" t="s">
        <v>4818</v>
      </c>
      <c r="D746" s="12" t="s">
        <v>3790</v>
      </c>
      <c r="E746" s="13">
        <v>0</v>
      </c>
      <c r="F746" s="13">
        <v>0</v>
      </c>
      <c r="G746" s="13">
        <v>0</v>
      </c>
      <c r="H746" s="13">
        <v>0</v>
      </c>
      <c r="I746" s="13">
        <v>0</v>
      </c>
      <c r="J746" s="13">
        <v>0</v>
      </c>
      <c r="K746" s="13">
        <v>0</v>
      </c>
      <c r="L746" s="13">
        <v>0</v>
      </c>
      <c r="M746" s="13">
        <v>0</v>
      </c>
      <c r="N746" s="13">
        <v>0</v>
      </c>
      <c r="O746">
        <v>0</v>
      </c>
      <c r="P746">
        <v>0</v>
      </c>
      <c r="Q746" t="str">
        <f t="shared" si="22"/>
        <v>WO710</v>
      </c>
      <c r="R746" t="str">
        <f t="shared" si="23"/>
        <v>CIM1C</v>
      </c>
      <c r="S746">
        <f>IF(RIGHT(R746,2)="1C",(INDEX(Tables!H:H,MATCH(R746,Tables!G:G,0))),"")</f>
        <v>50</v>
      </c>
    </row>
    <row r="747" spans="1:19">
      <c r="A747" s="12" t="s">
        <v>4682</v>
      </c>
      <c r="B747" s="12" t="s">
        <v>7200</v>
      </c>
      <c r="C747" s="12" t="s">
        <v>7201</v>
      </c>
      <c r="D747" s="12" t="s">
        <v>3790</v>
      </c>
      <c r="E747" s="13">
        <v>0</v>
      </c>
      <c r="F747" s="13">
        <v>0</v>
      </c>
      <c r="G747" s="13">
        <v>0</v>
      </c>
      <c r="H747" s="13">
        <v>0</v>
      </c>
      <c r="I747" s="13">
        <v>0</v>
      </c>
      <c r="J747" s="13">
        <v>0</v>
      </c>
      <c r="K747" s="13">
        <v>0</v>
      </c>
      <c r="L747" s="13">
        <v>0</v>
      </c>
      <c r="M747" s="13">
        <v>0</v>
      </c>
      <c r="N747" s="13">
        <v>0</v>
      </c>
      <c r="O747">
        <v>0</v>
      </c>
      <c r="P747">
        <v>0</v>
      </c>
      <c r="Q747" t="str">
        <f t="shared" si="22"/>
        <v>WS016</v>
      </c>
      <c r="R747" t="str">
        <f t="shared" si="23"/>
        <v>CIM1C</v>
      </c>
      <c r="S747">
        <f>IF(RIGHT(R747,2)="1C",(INDEX(Tables!H:H,MATCH(R747,Tables!G:G,0))),"")</f>
        <v>50</v>
      </c>
    </row>
    <row r="748" spans="1:19">
      <c r="A748" s="12" t="s">
        <v>4682</v>
      </c>
      <c r="B748" s="12" t="s">
        <v>7165</v>
      </c>
      <c r="C748" s="12" t="s">
        <v>7166</v>
      </c>
      <c r="D748" s="12" t="s">
        <v>3790</v>
      </c>
      <c r="E748" s="13">
        <v>0</v>
      </c>
      <c r="F748" s="13">
        <v>0</v>
      </c>
      <c r="G748" s="13">
        <v>0</v>
      </c>
      <c r="H748" s="13">
        <v>0</v>
      </c>
      <c r="I748" s="13">
        <v>0</v>
      </c>
      <c r="J748" s="13">
        <v>0</v>
      </c>
      <c r="K748" s="13">
        <v>0</v>
      </c>
      <c r="L748" s="13">
        <v>0</v>
      </c>
      <c r="M748" s="13">
        <v>0</v>
      </c>
      <c r="N748" s="13">
        <v>0</v>
      </c>
      <c r="O748">
        <v>0</v>
      </c>
      <c r="P748">
        <v>0</v>
      </c>
      <c r="Q748" t="str">
        <f t="shared" si="22"/>
        <v>WS016</v>
      </c>
      <c r="R748" t="str">
        <f t="shared" si="23"/>
        <v>CMZ1C</v>
      </c>
      <c r="S748">
        <f>IF(RIGHT(R748,2)="1C",(INDEX(Tables!H:H,MATCH(R748,Tables!G:G,0))),"")</f>
        <v>62</v>
      </c>
    </row>
    <row r="749" spans="1:19">
      <c r="A749" s="12" t="s">
        <v>4682</v>
      </c>
      <c r="B749" s="12" t="s">
        <v>7288</v>
      </c>
      <c r="C749" s="12" t="s">
        <v>7289</v>
      </c>
      <c r="D749" s="12" t="s">
        <v>3790</v>
      </c>
      <c r="E749" s="13">
        <v>0</v>
      </c>
      <c r="F749" s="13">
        <v>0</v>
      </c>
      <c r="G749" s="13">
        <v>0</v>
      </c>
      <c r="H749" s="13">
        <v>0</v>
      </c>
      <c r="I749" s="13">
        <v>0</v>
      </c>
      <c r="J749" s="13">
        <v>0</v>
      </c>
      <c r="K749" s="13">
        <v>0</v>
      </c>
      <c r="L749" s="13">
        <v>0</v>
      </c>
      <c r="M749" s="13">
        <v>0</v>
      </c>
      <c r="N749" s="13">
        <v>0</v>
      </c>
      <c r="O749">
        <v>0</v>
      </c>
      <c r="P749">
        <v>0</v>
      </c>
      <c r="Q749" t="str">
        <f t="shared" si="22"/>
        <v/>
      </c>
      <c r="R749" t="str">
        <f t="shared" si="23"/>
        <v/>
      </c>
      <c r="S749" t="str">
        <f>IF(RIGHT(R749,2)="1C",(INDEX(Tables!H:H,MATCH(R749,Tables!G:G,0))),"")</f>
        <v/>
      </c>
    </row>
    <row r="750" spans="1:19">
      <c r="A750" s="12" t="s">
        <v>4682</v>
      </c>
      <c r="B750" s="12" t="s">
        <v>7266</v>
      </c>
      <c r="C750" s="12" t="s">
        <v>7267</v>
      </c>
      <c r="D750" s="12" t="s">
        <v>3790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0</v>
      </c>
      <c r="N750" s="13">
        <v>0</v>
      </c>
      <c r="O750">
        <v>0</v>
      </c>
      <c r="P750">
        <v>0</v>
      </c>
      <c r="Q750" t="str">
        <f t="shared" si="22"/>
        <v/>
      </c>
      <c r="R750" t="str">
        <f t="shared" si="23"/>
        <v/>
      </c>
      <c r="S750" t="str">
        <f>IF(RIGHT(R750,2)="1C",(INDEX(Tables!H:H,MATCH(R750,Tables!G:G,0))),"")</f>
        <v/>
      </c>
    </row>
    <row r="751" spans="1:19">
      <c r="A751" s="12" t="s">
        <v>4682</v>
      </c>
      <c r="B751" s="12" t="s">
        <v>7280</v>
      </c>
      <c r="C751" s="12" t="s">
        <v>7281</v>
      </c>
      <c r="D751" s="12" t="s">
        <v>3790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0</v>
      </c>
      <c r="N751" s="13">
        <v>0</v>
      </c>
      <c r="O751">
        <v>0</v>
      </c>
      <c r="P751">
        <v>0</v>
      </c>
      <c r="Q751" t="str">
        <f t="shared" si="22"/>
        <v/>
      </c>
      <c r="R751" t="str">
        <f t="shared" si="23"/>
        <v/>
      </c>
      <c r="S751" t="str">
        <f>IF(RIGHT(R751,2)="1C",(INDEX(Tables!H:H,MATCH(R751,Tables!G:G,0))),"")</f>
        <v/>
      </c>
    </row>
    <row r="752" spans="1:19">
      <c r="A752" s="12" t="s">
        <v>4682</v>
      </c>
      <c r="B752" s="12" t="s">
        <v>6979</v>
      </c>
      <c r="C752" s="12" t="s">
        <v>6980</v>
      </c>
      <c r="D752" s="12" t="s">
        <v>3790</v>
      </c>
      <c r="E752" s="13">
        <v>0</v>
      </c>
      <c r="F752" s="13">
        <v>0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0</v>
      </c>
      <c r="M752" s="13">
        <v>0</v>
      </c>
      <c r="N752" s="13">
        <v>0</v>
      </c>
      <c r="O752">
        <v>0</v>
      </c>
      <c r="P752">
        <v>0</v>
      </c>
      <c r="Q752" t="str">
        <f t="shared" si="22"/>
        <v>WT004</v>
      </c>
      <c r="R752" t="str">
        <f t="shared" si="23"/>
        <v>CIM1C</v>
      </c>
      <c r="S752">
        <f>IF(RIGHT(R752,2)="1C",(INDEX(Tables!H:H,MATCH(R752,Tables!G:G,0))),"")</f>
        <v>50</v>
      </c>
    </row>
    <row r="753" spans="1:19">
      <c r="A753" s="12" t="s">
        <v>4682</v>
      </c>
      <c r="B753" s="12" t="s">
        <v>4685</v>
      </c>
      <c r="C753" s="12" t="s">
        <v>4686</v>
      </c>
      <c r="D753" s="12" t="s">
        <v>3790</v>
      </c>
      <c r="E753" s="13">
        <v>0</v>
      </c>
      <c r="F753" s="13">
        <v>0</v>
      </c>
      <c r="G753" s="13">
        <v>0</v>
      </c>
      <c r="H753" s="13">
        <v>0</v>
      </c>
      <c r="I753" s="13">
        <v>0</v>
      </c>
      <c r="J753" s="13">
        <v>0</v>
      </c>
      <c r="K753" s="13">
        <v>2211</v>
      </c>
      <c r="L753" s="13">
        <v>0</v>
      </c>
      <c r="M753" s="13">
        <v>0</v>
      </c>
      <c r="N753" s="13">
        <v>0</v>
      </c>
      <c r="O753">
        <v>2211</v>
      </c>
      <c r="P753">
        <v>368.5</v>
      </c>
      <c r="Q753" t="str">
        <f t="shared" si="22"/>
        <v>WT005</v>
      </c>
      <c r="R753" t="str">
        <f t="shared" si="23"/>
        <v>CIM1C</v>
      </c>
      <c r="S753">
        <f>IF(RIGHT(R753,2)="1C",(INDEX(Tables!H:H,MATCH(R753,Tables!G:G,0))),"")</f>
        <v>50</v>
      </c>
    </row>
    <row r="754" spans="1:19">
      <c r="A754" s="12" t="s">
        <v>4682</v>
      </c>
      <c r="B754" s="12" t="s">
        <v>4917</v>
      </c>
      <c r="C754" s="12" t="s">
        <v>4918</v>
      </c>
      <c r="D754" s="12" t="s">
        <v>3790</v>
      </c>
      <c r="E754" s="13">
        <v>0</v>
      </c>
      <c r="F754" s="13">
        <v>0</v>
      </c>
      <c r="G754" s="13">
        <v>0</v>
      </c>
      <c r="H754" s="13">
        <v>0</v>
      </c>
      <c r="I754" s="13">
        <v>0</v>
      </c>
      <c r="J754" s="13">
        <v>0</v>
      </c>
      <c r="K754" s="13">
        <v>0</v>
      </c>
      <c r="L754" s="13">
        <v>0</v>
      </c>
      <c r="M754" s="13">
        <v>0</v>
      </c>
      <c r="N754" s="13">
        <v>0</v>
      </c>
      <c r="O754">
        <v>0</v>
      </c>
      <c r="P754">
        <v>0</v>
      </c>
      <c r="Q754" t="str">
        <f t="shared" si="22"/>
        <v>WU003</v>
      </c>
      <c r="R754" t="str">
        <f t="shared" si="23"/>
        <v>CIM1C</v>
      </c>
      <c r="S754">
        <f>IF(RIGHT(R754,2)="1C",(INDEX(Tables!H:H,MATCH(R754,Tables!G:G,0))),"")</f>
        <v>50</v>
      </c>
    </row>
    <row r="755" spans="1:19">
      <c r="A755" s="12" t="s">
        <v>4682</v>
      </c>
      <c r="B755" s="12" t="s">
        <v>4833</v>
      </c>
      <c r="C755" s="12" t="s">
        <v>4834</v>
      </c>
      <c r="D755" s="12" t="s">
        <v>3790</v>
      </c>
      <c r="E755" s="13">
        <v>0</v>
      </c>
      <c r="F755" s="13">
        <v>0</v>
      </c>
      <c r="G755" s="13">
        <v>0</v>
      </c>
      <c r="H755" s="13">
        <v>0</v>
      </c>
      <c r="I755" s="13">
        <v>0</v>
      </c>
      <c r="J755" s="13">
        <v>2434</v>
      </c>
      <c r="K755" s="13">
        <v>0</v>
      </c>
      <c r="L755" s="13">
        <v>0</v>
      </c>
      <c r="M755" s="13">
        <v>0</v>
      </c>
      <c r="N755" s="13">
        <v>0</v>
      </c>
      <c r="O755">
        <v>2434</v>
      </c>
      <c r="P755">
        <v>405.666</v>
      </c>
      <c r="Q755" t="str">
        <f t="shared" si="22"/>
        <v>WU006</v>
      </c>
      <c r="R755" t="str">
        <f t="shared" si="23"/>
        <v>CIM1C</v>
      </c>
      <c r="S755">
        <f>IF(RIGHT(R755,2)="1C",(INDEX(Tables!H:H,MATCH(R755,Tables!G:G,0))),"")</f>
        <v>50</v>
      </c>
    </row>
    <row r="756" spans="1:19">
      <c r="A756" s="12" t="s">
        <v>4682</v>
      </c>
      <c r="B756" s="12" t="s">
        <v>5077</v>
      </c>
      <c r="C756" s="12" t="s">
        <v>5078</v>
      </c>
      <c r="D756" s="12" t="s">
        <v>3790</v>
      </c>
      <c r="E756" s="13">
        <v>312.89999999999998</v>
      </c>
      <c r="F756" s="13">
        <v>312.89999999999998</v>
      </c>
      <c r="G756" s="13">
        <v>0</v>
      </c>
      <c r="H756" s="13">
        <v>0</v>
      </c>
      <c r="I756" s="13">
        <v>0</v>
      </c>
      <c r="J756" s="13">
        <v>0</v>
      </c>
      <c r="K756" s="13">
        <v>0</v>
      </c>
      <c r="L756" s="13">
        <v>3178</v>
      </c>
      <c r="M756" s="13">
        <v>0</v>
      </c>
      <c r="N756" s="13">
        <v>0</v>
      </c>
      <c r="O756">
        <v>3178</v>
      </c>
      <c r="P756">
        <v>529.66600000000005</v>
      </c>
      <c r="Q756" t="str">
        <f t="shared" si="22"/>
        <v>WW310</v>
      </c>
      <c r="R756" t="str">
        <f t="shared" si="23"/>
        <v>CIM1C</v>
      </c>
      <c r="S756">
        <f>IF(RIGHT(R756,2)="1C",(INDEX(Tables!H:H,MATCH(R756,Tables!G:G,0))),"")</f>
        <v>50</v>
      </c>
    </row>
    <row r="757" spans="1:19">
      <c r="A757" s="12" t="s">
        <v>4682</v>
      </c>
      <c r="B757" s="12" t="s">
        <v>5107</v>
      </c>
      <c r="C757" s="12" t="s">
        <v>5108</v>
      </c>
      <c r="D757" s="12" t="s">
        <v>3790</v>
      </c>
      <c r="E757" s="13">
        <v>2218.06</v>
      </c>
      <c r="F757" s="13">
        <v>2218.06</v>
      </c>
      <c r="G757" s="13">
        <v>0</v>
      </c>
      <c r="H757" s="13">
        <v>0</v>
      </c>
      <c r="I757" s="13">
        <v>0</v>
      </c>
      <c r="J757" s="13">
        <v>4161</v>
      </c>
      <c r="K757" s="13">
        <v>3980</v>
      </c>
      <c r="L757" s="13">
        <v>0</v>
      </c>
      <c r="M757" s="13">
        <v>5799</v>
      </c>
      <c r="N757" s="13">
        <v>0</v>
      </c>
      <c r="O757">
        <v>13940</v>
      </c>
      <c r="P757">
        <v>2323.33</v>
      </c>
      <c r="Q757" t="str">
        <f t="shared" si="22"/>
        <v>WW780</v>
      </c>
      <c r="R757" t="str">
        <f t="shared" si="23"/>
        <v>CIM1C</v>
      </c>
      <c r="S757">
        <f>IF(RIGHT(R757,2)="1C",(INDEX(Tables!H:H,MATCH(R757,Tables!G:G,0))),"")</f>
        <v>50</v>
      </c>
    </row>
    <row r="758" spans="1:19">
      <c r="A758" s="12" t="s">
        <v>4682</v>
      </c>
      <c r="B758" s="12" t="s">
        <v>4773</v>
      </c>
      <c r="C758" s="12" t="s">
        <v>4774</v>
      </c>
      <c r="D758" s="12" t="s">
        <v>3790</v>
      </c>
      <c r="E758" s="13">
        <v>0</v>
      </c>
      <c r="F758" s="13">
        <v>0</v>
      </c>
      <c r="G758" s="13">
        <v>0</v>
      </c>
      <c r="H758" s="13">
        <v>0</v>
      </c>
      <c r="I758" s="13">
        <v>0</v>
      </c>
      <c r="J758" s="13">
        <v>0</v>
      </c>
      <c r="K758" s="13">
        <v>0</v>
      </c>
      <c r="L758" s="13">
        <v>0</v>
      </c>
      <c r="M758" s="13">
        <v>0</v>
      </c>
      <c r="N758" s="13">
        <v>0</v>
      </c>
      <c r="O758">
        <v>0</v>
      </c>
      <c r="P758">
        <v>0</v>
      </c>
      <c r="Q758" t="str">
        <f t="shared" si="22"/>
        <v>WW900</v>
      </c>
      <c r="R758" t="str">
        <f t="shared" si="23"/>
        <v>CIM1C</v>
      </c>
      <c r="S758">
        <f>IF(RIGHT(R758,2)="1C",(INDEX(Tables!H:H,MATCH(R758,Tables!G:G,0))),"")</f>
        <v>50</v>
      </c>
    </row>
    <row r="759" spans="1:19">
      <c r="A759" s="12" t="s">
        <v>4682</v>
      </c>
      <c r="B759" s="12" t="s">
        <v>7236</v>
      </c>
      <c r="C759" s="12" t="s">
        <v>7237</v>
      </c>
      <c r="D759" s="12" t="s">
        <v>3790</v>
      </c>
      <c r="E759" s="13">
        <v>0</v>
      </c>
      <c r="F759" s="13">
        <v>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>
        <v>0</v>
      </c>
      <c r="P759">
        <v>0</v>
      </c>
      <c r="Q759" t="str">
        <f t="shared" si="22"/>
        <v>WW900</v>
      </c>
      <c r="R759" t="str">
        <f t="shared" si="23"/>
        <v>CMZ1C</v>
      </c>
      <c r="S759">
        <f>IF(RIGHT(R759,2)="1C",(INDEX(Tables!H:H,MATCH(R759,Tables!G:G,0))),"")</f>
        <v>62</v>
      </c>
    </row>
    <row r="760" spans="1:19">
      <c r="A760" s="12" t="s">
        <v>4682</v>
      </c>
      <c r="B760" s="12" t="s">
        <v>6895</v>
      </c>
      <c r="C760" s="12" t="s">
        <v>6896</v>
      </c>
      <c r="D760" s="12" t="s">
        <v>3790</v>
      </c>
      <c r="E760" s="13">
        <v>0</v>
      </c>
      <c r="F760" s="13">
        <v>0</v>
      </c>
      <c r="G760" s="13">
        <v>0</v>
      </c>
      <c r="H760" s="13">
        <v>0</v>
      </c>
      <c r="I760" s="13">
        <v>0</v>
      </c>
      <c r="J760" s="13">
        <v>0</v>
      </c>
      <c r="K760" s="13">
        <v>5000</v>
      </c>
      <c r="L760" s="13">
        <v>0</v>
      </c>
      <c r="M760" s="13">
        <v>0</v>
      </c>
      <c r="N760" s="13">
        <v>0</v>
      </c>
      <c r="O760">
        <v>5000</v>
      </c>
      <c r="P760">
        <v>833.33299999999997</v>
      </c>
      <c r="Q760" t="str">
        <f t="shared" si="22"/>
        <v>WW960</v>
      </c>
      <c r="R760" t="str">
        <f t="shared" si="23"/>
        <v>CIM1C</v>
      </c>
      <c r="S760">
        <f>IF(RIGHT(R760,2)="1C",(INDEX(Tables!H:H,MATCH(R760,Tables!G:G,0))),"")</f>
        <v>50</v>
      </c>
    </row>
    <row r="761" spans="1:19">
      <c r="A761" s="12" t="s">
        <v>4682</v>
      </c>
      <c r="B761" s="12" t="s">
        <v>7069</v>
      </c>
      <c r="C761" s="12" t="s">
        <v>7070</v>
      </c>
      <c r="D761" s="12" t="s">
        <v>3790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>
        <v>0</v>
      </c>
      <c r="P761">
        <v>0</v>
      </c>
      <c r="Q761" t="str">
        <f t="shared" si="22"/>
        <v>WW960</v>
      </c>
      <c r="R761" t="str">
        <f t="shared" si="23"/>
        <v>CMZ1C</v>
      </c>
      <c r="S761">
        <f>IF(RIGHT(R761,2)="1C",(INDEX(Tables!H:H,MATCH(R761,Tables!G:G,0))),"")</f>
        <v>62</v>
      </c>
    </row>
    <row r="762" spans="1:19">
      <c r="A762" s="12" t="s">
        <v>4682</v>
      </c>
      <c r="B762" s="12" t="s">
        <v>4705</v>
      </c>
      <c r="C762" s="12" t="s">
        <v>4706</v>
      </c>
      <c r="D762" s="12" t="s">
        <v>3790</v>
      </c>
      <c r="E762" s="13">
        <v>0</v>
      </c>
      <c r="F762" s="13">
        <v>0</v>
      </c>
      <c r="G762" s="13">
        <v>0</v>
      </c>
      <c r="H762" s="13">
        <v>0</v>
      </c>
      <c r="I762" s="13">
        <v>0</v>
      </c>
      <c r="J762" s="13">
        <v>0</v>
      </c>
      <c r="K762" s="13">
        <v>0</v>
      </c>
      <c r="L762" s="13">
        <v>0</v>
      </c>
      <c r="M762" s="13">
        <v>0</v>
      </c>
      <c r="N762" s="13">
        <v>0</v>
      </c>
      <c r="O762">
        <v>0</v>
      </c>
      <c r="P762">
        <v>0</v>
      </c>
      <c r="Q762" t="str">
        <f t="shared" si="22"/>
        <v>WX075</v>
      </c>
      <c r="R762" t="str">
        <f t="shared" si="23"/>
        <v>CIM1C</v>
      </c>
      <c r="S762">
        <f>IF(RIGHT(R762,2)="1C",(INDEX(Tables!H:H,MATCH(R762,Tables!G:G,0))),"")</f>
        <v>50</v>
      </c>
    </row>
    <row r="763" spans="1:19">
      <c r="A763" s="12" t="s">
        <v>4682</v>
      </c>
      <c r="B763" s="12" t="s">
        <v>5053</v>
      </c>
      <c r="C763" s="12" t="s">
        <v>5054</v>
      </c>
      <c r="D763" s="12" t="s">
        <v>3790</v>
      </c>
      <c r="E763" s="13">
        <v>7347</v>
      </c>
      <c r="F763" s="13">
        <v>7347</v>
      </c>
      <c r="G763" s="13">
        <v>0</v>
      </c>
      <c r="H763" s="13">
        <v>0</v>
      </c>
      <c r="I763" s="13">
        <v>0</v>
      </c>
      <c r="J763" s="13">
        <v>1778</v>
      </c>
      <c r="K763" s="13">
        <v>1007</v>
      </c>
      <c r="L763" s="13">
        <v>3007</v>
      </c>
      <c r="M763" s="13">
        <v>0</v>
      </c>
      <c r="N763" s="13">
        <v>0</v>
      </c>
      <c r="O763">
        <v>5792</v>
      </c>
      <c r="P763">
        <v>965.33299999999997</v>
      </c>
      <c r="Q763" t="str">
        <f t="shared" si="22"/>
        <v>WX115</v>
      </c>
      <c r="R763" t="str">
        <f t="shared" si="23"/>
        <v>CIM1C</v>
      </c>
      <c r="S763">
        <f>IF(RIGHT(R763,2)="1C",(INDEX(Tables!H:H,MATCH(R763,Tables!G:G,0))),"")</f>
        <v>50</v>
      </c>
    </row>
    <row r="764" spans="1:19">
      <c r="A764" s="12" t="s">
        <v>4682</v>
      </c>
      <c r="B764" s="12" t="s">
        <v>4765</v>
      </c>
      <c r="C764" s="12" t="s">
        <v>4766</v>
      </c>
      <c r="D764" s="12" t="s">
        <v>3790</v>
      </c>
      <c r="E764" s="13">
        <v>2199</v>
      </c>
      <c r="F764" s="13">
        <v>2199</v>
      </c>
      <c r="G764" s="13">
        <v>0</v>
      </c>
      <c r="H764" s="13">
        <v>0</v>
      </c>
      <c r="I764" s="13">
        <v>0</v>
      </c>
      <c r="J764" s="13">
        <v>0</v>
      </c>
      <c r="K764" s="13">
        <v>1032</v>
      </c>
      <c r="L764" s="13">
        <v>0</v>
      </c>
      <c r="M764" s="13">
        <v>0</v>
      </c>
      <c r="N764" s="13">
        <v>0</v>
      </c>
      <c r="O764">
        <v>1032</v>
      </c>
      <c r="P764">
        <v>172</v>
      </c>
      <c r="Q764" t="str">
        <f t="shared" si="22"/>
        <v>WY200</v>
      </c>
      <c r="R764" t="str">
        <f t="shared" si="23"/>
        <v>CIM1C</v>
      </c>
      <c r="S764">
        <f>IF(RIGHT(R764,2)="1C",(INDEX(Tables!H:H,MATCH(R764,Tables!G:G,0))),"")</f>
        <v>50</v>
      </c>
    </row>
    <row r="765" spans="1:19">
      <c r="A765" s="12" t="s">
        <v>4682</v>
      </c>
      <c r="B765" s="12" t="s">
        <v>7067</v>
      </c>
      <c r="C765" s="12" t="s">
        <v>7068</v>
      </c>
      <c r="D765" s="12" t="s">
        <v>3790</v>
      </c>
      <c r="E765" s="13">
        <v>0</v>
      </c>
      <c r="F765" s="13">
        <v>0</v>
      </c>
      <c r="G765" s="13">
        <v>0</v>
      </c>
      <c r="H765" s="13">
        <v>0</v>
      </c>
      <c r="I765" s="13">
        <v>0</v>
      </c>
      <c r="J765" s="13">
        <v>0</v>
      </c>
      <c r="K765" s="13">
        <v>0</v>
      </c>
      <c r="L765" s="13">
        <v>0</v>
      </c>
      <c r="M765" s="13">
        <v>0</v>
      </c>
      <c r="N765" s="13">
        <v>0</v>
      </c>
      <c r="O765">
        <v>0</v>
      </c>
      <c r="P765">
        <v>0</v>
      </c>
      <c r="Q765" t="str">
        <f t="shared" si="22"/>
        <v>WY200</v>
      </c>
      <c r="R765" t="str">
        <f t="shared" si="23"/>
        <v>CMZ1C</v>
      </c>
      <c r="S765">
        <f>IF(RIGHT(R765,2)="1C",(INDEX(Tables!H:H,MATCH(R765,Tables!G:G,0))),"")</f>
        <v>62</v>
      </c>
    </row>
    <row r="766" spans="1:19">
      <c r="A766" s="12" t="s">
        <v>4682</v>
      </c>
      <c r="B766" s="12" t="s">
        <v>4937</v>
      </c>
      <c r="C766" s="12" t="s">
        <v>4938</v>
      </c>
      <c r="D766" s="12" t="s">
        <v>3790</v>
      </c>
      <c r="E766" s="13">
        <v>0</v>
      </c>
      <c r="F766" s="13">
        <v>0</v>
      </c>
      <c r="G766" s="13">
        <v>0</v>
      </c>
      <c r="H766" s="13">
        <v>0</v>
      </c>
      <c r="I766" s="13">
        <v>0</v>
      </c>
      <c r="J766" s="13">
        <v>0</v>
      </c>
      <c r="K766" s="13">
        <v>0</v>
      </c>
      <c r="L766" s="13">
        <v>0</v>
      </c>
      <c r="M766" s="13">
        <v>0</v>
      </c>
      <c r="N766" s="13">
        <v>0</v>
      </c>
      <c r="O766">
        <v>0</v>
      </c>
      <c r="P766">
        <v>0</v>
      </c>
      <c r="Q766" t="str">
        <f t="shared" si="22"/>
        <v>WZ005</v>
      </c>
      <c r="R766" t="str">
        <f t="shared" si="23"/>
        <v>CIM1C</v>
      </c>
      <c r="S766">
        <f>IF(RIGHT(R766,2)="1C",(INDEX(Tables!H:H,MATCH(R766,Tables!G:G,0))),"")</f>
        <v>50</v>
      </c>
    </row>
    <row r="767" spans="1:19">
      <c r="A767" s="12" t="s">
        <v>4682</v>
      </c>
      <c r="B767" s="12" t="s">
        <v>7188</v>
      </c>
      <c r="C767" s="12" t="s">
        <v>7189</v>
      </c>
      <c r="D767" s="12" t="s">
        <v>3790</v>
      </c>
      <c r="E767" s="13">
        <v>0</v>
      </c>
      <c r="F767" s="13">
        <v>0</v>
      </c>
      <c r="G767" s="13">
        <v>0</v>
      </c>
      <c r="H767" s="13">
        <v>0</v>
      </c>
      <c r="I767" s="13">
        <v>0</v>
      </c>
      <c r="J767" s="13">
        <v>0</v>
      </c>
      <c r="K767" s="13">
        <v>0</v>
      </c>
      <c r="L767" s="13">
        <v>0</v>
      </c>
      <c r="M767" s="13">
        <v>0</v>
      </c>
      <c r="N767" s="13">
        <v>0</v>
      </c>
      <c r="O767">
        <v>0</v>
      </c>
      <c r="P767">
        <v>0</v>
      </c>
      <c r="Q767" t="str">
        <f t="shared" si="22"/>
        <v>WZ005</v>
      </c>
      <c r="R767" t="str">
        <f t="shared" si="23"/>
        <v>CMZ1C</v>
      </c>
      <c r="S767">
        <f>IF(RIGHT(R767,2)="1C",(INDEX(Tables!H:H,MATCH(R767,Tables!G:G,0))),"")</f>
        <v>62</v>
      </c>
    </row>
    <row r="768" spans="1:19">
      <c r="A768" s="12" t="s">
        <v>4682</v>
      </c>
      <c r="B768" s="12" t="s">
        <v>4829</v>
      </c>
      <c r="C768" s="12" t="s">
        <v>4830</v>
      </c>
      <c r="D768" s="12" t="s">
        <v>3790</v>
      </c>
      <c r="E768" s="13">
        <v>0</v>
      </c>
      <c r="F768" s="13">
        <v>0</v>
      </c>
      <c r="G768" s="13">
        <v>0</v>
      </c>
      <c r="H768" s="13">
        <v>0</v>
      </c>
      <c r="I768" s="13">
        <v>0</v>
      </c>
      <c r="J768" s="13">
        <v>0</v>
      </c>
      <c r="K768" s="13">
        <v>0</v>
      </c>
      <c r="L768" s="13">
        <v>975</v>
      </c>
      <c r="M768" s="13">
        <v>0</v>
      </c>
      <c r="N768" s="13">
        <v>0</v>
      </c>
      <c r="O768">
        <v>975</v>
      </c>
      <c r="P768">
        <v>162.5</v>
      </c>
      <c r="Q768" t="str">
        <f t="shared" si="22"/>
        <v/>
      </c>
      <c r="R768" t="str">
        <f t="shared" si="23"/>
        <v/>
      </c>
      <c r="S768" t="str">
        <f>IF(RIGHT(R768,2)="1C",(INDEX(Tables!H:H,MATCH(R768,Tables!G:G,0))),"")</f>
        <v/>
      </c>
    </row>
    <row r="769" spans="1:19">
      <c r="A769" s="12" t="s">
        <v>4682</v>
      </c>
      <c r="B769" s="12" t="s">
        <v>4749</v>
      </c>
      <c r="C769" s="12" t="s">
        <v>4750</v>
      </c>
      <c r="D769" s="12" t="s">
        <v>3790</v>
      </c>
      <c r="E769" s="13">
        <v>0</v>
      </c>
      <c r="F769" s="13">
        <v>0</v>
      </c>
      <c r="G769" s="13">
        <v>0</v>
      </c>
      <c r="H769" s="13">
        <v>0</v>
      </c>
      <c r="I769" s="13">
        <v>0</v>
      </c>
      <c r="J769" s="13">
        <v>1654</v>
      </c>
      <c r="K769" s="13">
        <v>0</v>
      </c>
      <c r="L769" s="13">
        <v>0</v>
      </c>
      <c r="M769" s="13">
        <v>0</v>
      </c>
      <c r="N769" s="13">
        <v>0</v>
      </c>
      <c r="O769">
        <v>1654</v>
      </c>
      <c r="P769">
        <v>275.666</v>
      </c>
      <c r="Q769" t="str">
        <f t="shared" si="22"/>
        <v>WZ018</v>
      </c>
      <c r="R769" t="str">
        <f t="shared" si="23"/>
        <v>CIM1C</v>
      </c>
      <c r="S769">
        <f>IF(RIGHT(R769,2)="1C",(INDEX(Tables!H:H,MATCH(R769,Tables!G:G,0))),"")</f>
        <v>50</v>
      </c>
    </row>
    <row r="770" spans="1:19">
      <c r="A770" s="12" t="s">
        <v>4682</v>
      </c>
      <c r="B770" s="12" t="s">
        <v>7226</v>
      </c>
      <c r="C770" s="12" t="s">
        <v>7227</v>
      </c>
      <c r="D770" s="12" t="s">
        <v>3790</v>
      </c>
      <c r="E770" s="13">
        <v>0</v>
      </c>
      <c r="F770" s="13">
        <v>0</v>
      </c>
      <c r="G770" s="13">
        <v>0</v>
      </c>
      <c r="H770" s="13">
        <v>0</v>
      </c>
      <c r="I770" s="13">
        <v>0</v>
      </c>
      <c r="J770" s="13">
        <v>0</v>
      </c>
      <c r="K770" s="13">
        <v>0</v>
      </c>
      <c r="L770" s="13">
        <v>0</v>
      </c>
      <c r="M770" s="13">
        <v>0</v>
      </c>
      <c r="N770" s="13">
        <v>0</v>
      </c>
      <c r="O770">
        <v>0</v>
      </c>
      <c r="P770">
        <v>0</v>
      </c>
      <c r="Q770" t="str">
        <f t="shared" si="22"/>
        <v/>
      </c>
      <c r="R770" t="str">
        <f t="shared" si="23"/>
        <v/>
      </c>
      <c r="S770" t="str">
        <f>IF(RIGHT(R770,2)="1C",(INDEX(Tables!H:H,MATCH(R770,Tables!G:G,0))),"")</f>
        <v/>
      </c>
    </row>
    <row r="771" spans="1:19">
      <c r="A771" s="12" t="s">
        <v>4682</v>
      </c>
      <c r="B771" s="12" t="s">
        <v>7230</v>
      </c>
      <c r="C771" s="12" t="s">
        <v>7231</v>
      </c>
      <c r="D771" s="12" t="s">
        <v>3790</v>
      </c>
      <c r="E771" s="13">
        <v>0</v>
      </c>
      <c r="F771" s="13">
        <v>0</v>
      </c>
      <c r="G771" s="13">
        <v>0</v>
      </c>
      <c r="H771" s="13">
        <v>0</v>
      </c>
      <c r="I771" s="13">
        <v>0</v>
      </c>
      <c r="J771" s="13">
        <v>0</v>
      </c>
      <c r="K771" s="13">
        <v>0</v>
      </c>
      <c r="L771" s="13">
        <v>0</v>
      </c>
      <c r="M771" s="13">
        <v>0</v>
      </c>
      <c r="N771" s="13">
        <v>0</v>
      </c>
      <c r="O771">
        <v>0</v>
      </c>
      <c r="P771">
        <v>0</v>
      </c>
      <c r="Q771" t="str">
        <f t="shared" si="22"/>
        <v/>
      </c>
      <c r="R771" t="str">
        <f t="shared" si="23"/>
        <v/>
      </c>
      <c r="S771" t="str">
        <f>IF(RIGHT(R771,2)="1C",(INDEX(Tables!H:H,MATCH(R771,Tables!G:G,0))),"")</f>
        <v/>
      </c>
    </row>
    <row r="772" spans="1:19">
      <c r="A772" s="12" t="s">
        <v>4682</v>
      </c>
      <c r="B772" s="12" t="s">
        <v>4879</v>
      </c>
      <c r="C772" s="12" t="s">
        <v>4880</v>
      </c>
      <c r="D772" s="12" t="s">
        <v>3790</v>
      </c>
      <c r="E772" s="13">
        <v>0</v>
      </c>
      <c r="F772" s="13">
        <v>0</v>
      </c>
      <c r="G772" s="13">
        <v>0</v>
      </c>
      <c r="H772" s="13">
        <v>0</v>
      </c>
      <c r="I772" s="13">
        <v>0</v>
      </c>
      <c r="J772" s="13">
        <v>598</v>
      </c>
      <c r="K772" s="13">
        <v>3850</v>
      </c>
      <c r="L772" s="13">
        <v>614</v>
      </c>
      <c r="M772" s="13">
        <v>0</v>
      </c>
      <c r="N772" s="13">
        <v>0</v>
      </c>
      <c r="O772">
        <v>5062</v>
      </c>
      <c r="P772">
        <v>843.66600000000005</v>
      </c>
      <c r="Q772" t="str">
        <f t="shared" ref="Q772:Q794" si="24">IF(RIGHT(B772,2)="1C",MID(B772,4,5),"")</f>
        <v/>
      </c>
      <c r="R772" t="str">
        <f t="shared" ref="R772:R794" si="25">IF(RIGHT(B772,2)="1C",MID(B772,SEARCH("-",B772,1)+1,6),"")</f>
        <v/>
      </c>
      <c r="S772" t="str">
        <f>IF(RIGHT(R772,2)="1C",(INDEX(Tables!H:H,MATCH(R772,Tables!G:G,0))),"")</f>
        <v/>
      </c>
    </row>
    <row r="773" spans="1:19">
      <c r="A773" s="12" t="s">
        <v>4682</v>
      </c>
      <c r="B773" s="12" t="s">
        <v>6993</v>
      </c>
      <c r="C773" s="12" t="s">
        <v>6994</v>
      </c>
      <c r="D773" s="12" t="s">
        <v>3790</v>
      </c>
      <c r="E773" s="13">
        <v>0</v>
      </c>
      <c r="F773" s="13">
        <v>0</v>
      </c>
      <c r="G773" s="13">
        <v>0</v>
      </c>
      <c r="H773" s="13">
        <v>0</v>
      </c>
      <c r="I773" s="13">
        <v>0</v>
      </c>
      <c r="J773" s="13">
        <v>0</v>
      </c>
      <c r="K773" s="13">
        <v>0</v>
      </c>
      <c r="L773" s="13">
        <v>0</v>
      </c>
      <c r="M773" s="13">
        <v>0</v>
      </c>
      <c r="N773" s="13">
        <v>0</v>
      </c>
      <c r="O773">
        <v>0</v>
      </c>
      <c r="P773">
        <v>0</v>
      </c>
      <c r="Q773" t="str">
        <f t="shared" si="24"/>
        <v/>
      </c>
      <c r="R773" t="str">
        <f t="shared" si="25"/>
        <v/>
      </c>
      <c r="S773" t="str">
        <f>IF(RIGHT(R773,2)="1C",(INDEX(Tables!H:H,MATCH(R773,Tables!G:G,0))),"")</f>
        <v/>
      </c>
    </row>
    <row r="774" spans="1:19">
      <c r="A774" s="12" t="s">
        <v>4682</v>
      </c>
      <c r="B774" s="12" t="s">
        <v>4901</v>
      </c>
      <c r="C774" s="12" t="s">
        <v>4902</v>
      </c>
      <c r="D774" s="12" t="s">
        <v>3790</v>
      </c>
      <c r="E774" s="13">
        <v>1000</v>
      </c>
      <c r="F774" s="13">
        <v>1000</v>
      </c>
      <c r="G774" s="13">
        <v>0</v>
      </c>
      <c r="H774" s="13">
        <v>0</v>
      </c>
      <c r="I774" s="13">
        <v>0</v>
      </c>
      <c r="J774" s="13">
        <v>590</v>
      </c>
      <c r="K774" s="13">
        <v>1736</v>
      </c>
      <c r="L774" s="13">
        <v>0</v>
      </c>
      <c r="M774" s="13">
        <v>0</v>
      </c>
      <c r="N774" s="13">
        <v>0</v>
      </c>
      <c r="O774">
        <v>2326</v>
      </c>
      <c r="P774">
        <v>387.666</v>
      </c>
      <c r="Q774" t="str">
        <f t="shared" si="24"/>
        <v>WZ052</v>
      </c>
      <c r="R774" t="str">
        <f t="shared" si="25"/>
        <v>CIM1C</v>
      </c>
      <c r="S774">
        <f>IF(RIGHT(R774,2)="1C",(INDEX(Tables!H:H,MATCH(R774,Tables!G:G,0))),"")</f>
        <v>50</v>
      </c>
    </row>
    <row r="775" spans="1:19">
      <c r="A775" s="12" t="s">
        <v>4682</v>
      </c>
      <c r="B775" s="12" t="s">
        <v>4763</v>
      </c>
      <c r="C775" s="12" t="s">
        <v>4764</v>
      </c>
      <c r="D775" s="12" t="s">
        <v>3790</v>
      </c>
      <c r="E775" s="13">
        <v>0</v>
      </c>
      <c r="F775" s="13">
        <v>0</v>
      </c>
      <c r="G775" s="13">
        <v>0</v>
      </c>
      <c r="H775" s="13">
        <v>0</v>
      </c>
      <c r="I775" s="13">
        <v>0</v>
      </c>
      <c r="J775" s="13">
        <v>0</v>
      </c>
      <c r="K775" s="13">
        <v>0</v>
      </c>
      <c r="L775" s="13">
        <v>0</v>
      </c>
      <c r="M775" s="13">
        <v>0</v>
      </c>
      <c r="N775" s="13">
        <v>0</v>
      </c>
      <c r="O775">
        <v>0</v>
      </c>
      <c r="P775">
        <v>0</v>
      </c>
      <c r="Q775" t="str">
        <f t="shared" si="24"/>
        <v>WZ054</v>
      </c>
      <c r="R775" t="str">
        <f t="shared" si="25"/>
        <v>CIM1C</v>
      </c>
      <c r="S775">
        <f>IF(RIGHT(R775,2)="1C",(INDEX(Tables!H:H,MATCH(R775,Tables!G:G,0))),"")</f>
        <v>50</v>
      </c>
    </row>
    <row r="776" spans="1:19">
      <c r="A776" s="12" t="s">
        <v>4682</v>
      </c>
      <c r="B776" s="12" t="s">
        <v>5125</v>
      </c>
      <c r="C776" s="12" t="s">
        <v>5126</v>
      </c>
      <c r="D776" s="12" t="s">
        <v>3790</v>
      </c>
      <c r="E776" s="13">
        <v>6108</v>
      </c>
      <c r="F776" s="13">
        <v>6108</v>
      </c>
      <c r="G776" s="13">
        <v>0</v>
      </c>
      <c r="H776" s="13">
        <v>0</v>
      </c>
      <c r="I776" s="13">
        <v>0</v>
      </c>
      <c r="J776" s="13">
        <v>4799</v>
      </c>
      <c r="K776" s="13">
        <v>1523</v>
      </c>
      <c r="L776" s="13">
        <v>7970</v>
      </c>
      <c r="M776" s="13">
        <v>0</v>
      </c>
      <c r="N776" s="13">
        <v>0</v>
      </c>
      <c r="O776">
        <v>14292</v>
      </c>
      <c r="P776">
        <v>2382</v>
      </c>
      <c r="Q776" t="str">
        <f t="shared" si="24"/>
        <v>WZ055</v>
      </c>
      <c r="R776" t="str">
        <f t="shared" si="25"/>
        <v>CIM1C</v>
      </c>
      <c r="S776">
        <f>IF(RIGHT(R776,2)="1C",(INDEX(Tables!H:H,MATCH(R776,Tables!G:G,0))),"")</f>
        <v>50</v>
      </c>
    </row>
    <row r="777" spans="1:19">
      <c r="A777" s="12" t="s">
        <v>4682</v>
      </c>
      <c r="B777" s="12" t="s">
        <v>7260</v>
      </c>
      <c r="C777" s="12" t="s">
        <v>7261</v>
      </c>
      <c r="D777" s="12" t="s">
        <v>3790</v>
      </c>
      <c r="E777" s="13">
        <v>0</v>
      </c>
      <c r="F777" s="13">
        <v>0</v>
      </c>
      <c r="G777" s="13">
        <v>0</v>
      </c>
      <c r="H777" s="13">
        <v>0</v>
      </c>
      <c r="I777" s="13">
        <v>0</v>
      </c>
      <c r="J777" s="13">
        <v>0</v>
      </c>
      <c r="K777" s="13">
        <v>0</v>
      </c>
      <c r="L777" s="13">
        <v>0</v>
      </c>
      <c r="M777" s="13">
        <v>0</v>
      </c>
      <c r="N777" s="13">
        <v>0</v>
      </c>
      <c r="O777">
        <v>0</v>
      </c>
      <c r="P777">
        <v>0</v>
      </c>
      <c r="Q777" t="str">
        <f t="shared" si="24"/>
        <v/>
      </c>
      <c r="R777" t="str">
        <f t="shared" si="25"/>
        <v/>
      </c>
      <c r="S777" t="str">
        <f>IF(RIGHT(R777,2)="1C",(INDEX(Tables!H:H,MATCH(R777,Tables!G:G,0))),"")</f>
        <v/>
      </c>
    </row>
    <row r="778" spans="1:19">
      <c r="A778" s="12" t="s">
        <v>4682</v>
      </c>
      <c r="B778" s="12" t="s">
        <v>7242</v>
      </c>
      <c r="C778" s="12" t="s">
        <v>7243</v>
      </c>
      <c r="D778" s="12" t="s">
        <v>3790</v>
      </c>
      <c r="E778" s="13">
        <v>1100</v>
      </c>
      <c r="F778" s="13">
        <v>1100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>
        <v>0</v>
      </c>
      <c r="P778">
        <v>0</v>
      </c>
      <c r="Q778" t="str">
        <f t="shared" si="24"/>
        <v/>
      </c>
      <c r="R778" t="str">
        <f t="shared" si="25"/>
        <v/>
      </c>
      <c r="S778" t="str">
        <f>IF(RIGHT(R778,2)="1C",(INDEX(Tables!H:H,MATCH(R778,Tables!G:G,0))),"")</f>
        <v/>
      </c>
    </row>
    <row r="779" spans="1:19">
      <c r="A779" s="12" t="s">
        <v>4682</v>
      </c>
      <c r="B779" s="12" t="s">
        <v>4825</v>
      </c>
      <c r="C779" s="12" t="s">
        <v>4826</v>
      </c>
      <c r="D779" s="12" t="s">
        <v>3790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770</v>
      </c>
      <c r="K779" s="13">
        <v>1393</v>
      </c>
      <c r="L779" s="13">
        <v>910</v>
      </c>
      <c r="M779" s="13">
        <v>0</v>
      </c>
      <c r="N779" s="13">
        <v>0</v>
      </c>
      <c r="O779">
        <v>3073</v>
      </c>
      <c r="P779">
        <v>512.16600000000005</v>
      </c>
      <c r="Q779" t="str">
        <f t="shared" si="24"/>
        <v/>
      </c>
      <c r="R779" t="str">
        <f t="shared" si="25"/>
        <v/>
      </c>
      <c r="S779" t="str">
        <f>IF(RIGHT(R779,2)="1C",(INDEX(Tables!H:H,MATCH(R779,Tables!G:G,0))),"")</f>
        <v/>
      </c>
    </row>
    <row r="780" spans="1:19">
      <c r="A780" s="12" t="s">
        <v>4682</v>
      </c>
      <c r="B780" s="12" t="s">
        <v>4947</v>
      </c>
      <c r="C780" s="12" t="s">
        <v>4948</v>
      </c>
      <c r="D780" s="12" t="s">
        <v>3790</v>
      </c>
      <c r="E780" s="13">
        <v>0</v>
      </c>
      <c r="F780" s="13">
        <v>0</v>
      </c>
      <c r="G780" s="13">
        <v>0</v>
      </c>
      <c r="H780" s="13">
        <v>0</v>
      </c>
      <c r="I780" s="13">
        <v>0</v>
      </c>
      <c r="J780" s="13">
        <v>0</v>
      </c>
      <c r="K780" s="13">
        <v>4005</v>
      </c>
      <c r="L780" s="13">
        <v>2113</v>
      </c>
      <c r="M780" s="13">
        <v>0</v>
      </c>
      <c r="N780" s="13">
        <v>0</v>
      </c>
      <c r="O780">
        <v>6118</v>
      </c>
      <c r="P780">
        <v>1019.66</v>
      </c>
      <c r="Q780" t="str">
        <f t="shared" si="24"/>
        <v>WZ062</v>
      </c>
      <c r="R780" t="str">
        <f t="shared" si="25"/>
        <v>CIM1C</v>
      </c>
      <c r="S780">
        <f>IF(RIGHT(R780,2)="1C",(INDEX(Tables!H:H,MATCH(R780,Tables!G:G,0))),"")</f>
        <v>50</v>
      </c>
    </row>
    <row r="781" spans="1:19">
      <c r="A781" s="12" t="s">
        <v>4682</v>
      </c>
      <c r="B781" s="12" t="s">
        <v>7176</v>
      </c>
      <c r="C781" s="12" t="s">
        <v>7177</v>
      </c>
      <c r="D781" s="12" t="s">
        <v>3790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>
        <v>0</v>
      </c>
      <c r="P781">
        <v>0</v>
      </c>
      <c r="Q781" t="str">
        <f t="shared" si="24"/>
        <v>WZ062</v>
      </c>
      <c r="R781" t="str">
        <f t="shared" si="25"/>
        <v>CMZ1C</v>
      </c>
      <c r="S781">
        <f>IF(RIGHT(R781,2)="1C",(INDEX(Tables!H:H,MATCH(R781,Tables!G:G,0))),"")</f>
        <v>62</v>
      </c>
    </row>
    <row r="782" spans="1:19">
      <c r="A782" s="12" t="s">
        <v>4682</v>
      </c>
      <c r="B782" s="12" t="s">
        <v>5035</v>
      </c>
      <c r="C782" s="12" t="s">
        <v>5036</v>
      </c>
      <c r="D782" s="12" t="s">
        <v>3790</v>
      </c>
      <c r="E782" s="13">
        <v>0</v>
      </c>
      <c r="F782" s="13">
        <v>0</v>
      </c>
      <c r="G782" s="13">
        <v>0</v>
      </c>
      <c r="H782" s="13">
        <v>0</v>
      </c>
      <c r="I782" s="13">
        <v>0</v>
      </c>
      <c r="J782" s="13">
        <v>1925</v>
      </c>
      <c r="K782" s="13">
        <v>0</v>
      </c>
      <c r="L782" s="13">
        <v>934</v>
      </c>
      <c r="M782" s="13">
        <v>0</v>
      </c>
      <c r="N782" s="13">
        <v>0</v>
      </c>
      <c r="O782">
        <v>2859</v>
      </c>
      <c r="P782">
        <v>476.5</v>
      </c>
      <c r="Q782" t="str">
        <f t="shared" si="24"/>
        <v>WZ063</v>
      </c>
      <c r="R782" t="str">
        <f t="shared" si="25"/>
        <v>CIM1C</v>
      </c>
      <c r="S782">
        <f>IF(RIGHT(R782,2)="1C",(INDEX(Tables!H:H,MATCH(R782,Tables!G:G,0))),"")</f>
        <v>50</v>
      </c>
    </row>
    <row r="783" spans="1:19">
      <c r="A783" s="12" t="s">
        <v>4682</v>
      </c>
      <c r="B783" s="12" t="s">
        <v>7394</v>
      </c>
      <c r="C783" s="12" t="s">
        <v>7395</v>
      </c>
      <c r="D783" s="12" t="s">
        <v>3790</v>
      </c>
      <c r="E783" s="13">
        <v>0</v>
      </c>
      <c r="F783" s="13">
        <v>0</v>
      </c>
      <c r="G783" s="13">
        <v>0</v>
      </c>
      <c r="H783" s="13">
        <v>0</v>
      </c>
      <c r="I783" s="13">
        <v>0</v>
      </c>
      <c r="J783" s="13">
        <v>0</v>
      </c>
      <c r="K783" s="13">
        <v>0</v>
      </c>
      <c r="L783" s="13">
        <v>0</v>
      </c>
      <c r="M783" s="13">
        <v>0</v>
      </c>
      <c r="N783" s="13">
        <v>0</v>
      </c>
      <c r="O783">
        <v>0</v>
      </c>
      <c r="P783">
        <v>0</v>
      </c>
      <c r="Q783" t="str">
        <f t="shared" si="24"/>
        <v>WZ063</v>
      </c>
      <c r="R783" t="str">
        <f t="shared" si="25"/>
        <v>CMZ1C</v>
      </c>
      <c r="S783">
        <f>IF(RIGHT(R783,2)="1C",(INDEX(Tables!H:H,MATCH(R783,Tables!G:G,0))),"")</f>
        <v>62</v>
      </c>
    </row>
    <row r="784" spans="1:19">
      <c r="A784" s="12" t="s">
        <v>4682</v>
      </c>
      <c r="B784" s="12" t="s">
        <v>4915</v>
      </c>
      <c r="C784" s="12" t="s">
        <v>4916</v>
      </c>
      <c r="D784" s="12" t="s">
        <v>3790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>
        <v>0</v>
      </c>
      <c r="P784">
        <v>0</v>
      </c>
      <c r="Q784" t="str">
        <f t="shared" si="24"/>
        <v>WZ200</v>
      </c>
      <c r="R784" t="str">
        <f t="shared" si="25"/>
        <v>CIM1C</v>
      </c>
      <c r="S784">
        <f>IF(RIGHT(R784,2)="1C",(INDEX(Tables!H:H,MATCH(R784,Tables!G:G,0))),"")</f>
        <v>50</v>
      </c>
    </row>
    <row r="785" spans="1:19">
      <c r="A785" s="12" t="s">
        <v>4682</v>
      </c>
      <c r="B785" s="12" t="s">
        <v>5189</v>
      </c>
      <c r="C785" s="12" t="s">
        <v>5190</v>
      </c>
      <c r="D785" s="12" t="s">
        <v>3790</v>
      </c>
      <c r="E785" s="13">
        <v>5367.36</v>
      </c>
      <c r="F785" s="13">
        <v>5367.36</v>
      </c>
      <c r="G785" s="13">
        <v>0</v>
      </c>
      <c r="H785" s="13">
        <v>0</v>
      </c>
      <c r="I785" s="13">
        <v>0</v>
      </c>
      <c r="J785" s="13">
        <v>3579</v>
      </c>
      <c r="K785" s="13">
        <v>737</v>
      </c>
      <c r="L785" s="13">
        <v>9603</v>
      </c>
      <c r="M785" s="13">
        <v>2589</v>
      </c>
      <c r="N785" s="13">
        <v>0</v>
      </c>
      <c r="O785">
        <v>16508</v>
      </c>
      <c r="P785">
        <v>2751.33</v>
      </c>
      <c r="Q785" t="str">
        <f t="shared" si="24"/>
        <v>WZ201</v>
      </c>
      <c r="R785" t="str">
        <f t="shared" si="25"/>
        <v>CIM1C</v>
      </c>
      <c r="S785">
        <f>IF(RIGHT(R785,2)="1C",(INDEX(Tables!H:H,MATCH(R785,Tables!G:G,0))),"")</f>
        <v>50</v>
      </c>
    </row>
    <row r="786" spans="1:19">
      <c r="A786" s="12" t="s">
        <v>4682</v>
      </c>
      <c r="B786" s="12" t="s">
        <v>5055</v>
      </c>
      <c r="C786" s="12" t="s">
        <v>5056</v>
      </c>
      <c r="D786" s="12" t="s">
        <v>3790</v>
      </c>
      <c r="E786" s="13">
        <v>6250</v>
      </c>
      <c r="F786" s="13">
        <v>6250</v>
      </c>
      <c r="G786" s="13">
        <v>0</v>
      </c>
      <c r="H786" s="13">
        <v>0</v>
      </c>
      <c r="I786" s="13">
        <v>0</v>
      </c>
      <c r="J786" s="13">
        <v>0</v>
      </c>
      <c r="K786" s="13">
        <v>0</v>
      </c>
      <c r="L786" s="13">
        <v>1719</v>
      </c>
      <c r="M786" s="13">
        <v>0</v>
      </c>
      <c r="N786" s="13">
        <v>0</v>
      </c>
      <c r="O786">
        <v>1719</v>
      </c>
      <c r="P786">
        <v>286.5</v>
      </c>
      <c r="Q786" t="str">
        <f t="shared" si="24"/>
        <v>WZ201</v>
      </c>
      <c r="R786" t="str">
        <f t="shared" si="25"/>
        <v>CMZ1C</v>
      </c>
      <c r="S786">
        <f>IF(RIGHT(R786,2)="1C",(INDEX(Tables!H:H,MATCH(R786,Tables!G:G,0))),"")</f>
        <v>62</v>
      </c>
    </row>
    <row r="787" spans="1:19">
      <c r="A787" s="12" t="s">
        <v>4682</v>
      </c>
      <c r="B787" s="12" t="s">
        <v>7406</v>
      </c>
      <c r="C787" s="12" t="s">
        <v>7407</v>
      </c>
      <c r="D787" s="12" t="s">
        <v>3790</v>
      </c>
      <c r="E787" s="13">
        <v>0</v>
      </c>
      <c r="F787" s="13">
        <v>0</v>
      </c>
      <c r="G787" s="13">
        <v>0</v>
      </c>
      <c r="H787" s="13">
        <v>0</v>
      </c>
      <c r="I787" s="13">
        <v>0</v>
      </c>
      <c r="J787" s="13">
        <v>0</v>
      </c>
      <c r="K787" s="13">
        <v>0</v>
      </c>
      <c r="L787" s="13">
        <v>0</v>
      </c>
      <c r="M787" s="13">
        <v>0</v>
      </c>
      <c r="N787" s="13">
        <v>0</v>
      </c>
      <c r="O787">
        <v>0</v>
      </c>
      <c r="P787">
        <v>0</v>
      </c>
      <c r="Q787" t="str">
        <f t="shared" si="24"/>
        <v>WZ204</v>
      </c>
      <c r="R787" t="str">
        <f t="shared" si="25"/>
        <v>CIM1C</v>
      </c>
      <c r="S787">
        <f>IF(RIGHT(R787,2)="1C",(INDEX(Tables!H:H,MATCH(R787,Tables!G:G,0))),"")</f>
        <v>50</v>
      </c>
    </row>
    <row r="788" spans="1:19">
      <c r="A788" s="12" t="s">
        <v>4682</v>
      </c>
      <c r="B788" s="12" t="s">
        <v>7410</v>
      </c>
      <c r="C788" s="12" t="s">
        <v>7411</v>
      </c>
      <c r="D788" s="12" t="s">
        <v>3790</v>
      </c>
      <c r="E788" s="13">
        <v>0</v>
      </c>
      <c r="F788" s="13">
        <v>0</v>
      </c>
      <c r="G788" s="13">
        <v>0</v>
      </c>
      <c r="H788" s="13">
        <v>0</v>
      </c>
      <c r="I788" s="13">
        <v>0</v>
      </c>
      <c r="J788" s="13">
        <v>0</v>
      </c>
      <c r="K788" s="13">
        <v>0</v>
      </c>
      <c r="L788" s="13">
        <v>0</v>
      </c>
      <c r="M788" s="13">
        <v>0</v>
      </c>
      <c r="N788" s="13">
        <v>0</v>
      </c>
      <c r="O788">
        <v>0</v>
      </c>
      <c r="P788">
        <v>0</v>
      </c>
      <c r="Q788" t="str">
        <f t="shared" si="24"/>
        <v>WZ209</v>
      </c>
      <c r="R788" t="str">
        <f t="shared" si="25"/>
        <v>CMZ1C</v>
      </c>
      <c r="S788">
        <f>IF(RIGHT(R788,2)="1C",(INDEX(Tables!H:H,MATCH(R788,Tables!G:G,0))),"")</f>
        <v>62</v>
      </c>
    </row>
    <row r="789" spans="1:19">
      <c r="A789" s="12" t="s">
        <v>4682</v>
      </c>
      <c r="B789" s="12" t="s">
        <v>5105</v>
      </c>
      <c r="C789" s="12" t="s">
        <v>5106</v>
      </c>
      <c r="D789" s="12" t="s">
        <v>3790</v>
      </c>
      <c r="E789" s="13">
        <v>1570</v>
      </c>
      <c r="F789" s="13">
        <v>1570</v>
      </c>
      <c r="G789" s="13">
        <v>0</v>
      </c>
      <c r="H789" s="13">
        <v>0</v>
      </c>
      <c r="I789" s="13">
        <v>0</v>
      </c>
      <c r="J789" s="13">
        <v>0</v>
      </c>
      <c r="K789" s="13">
        <v>5168</v>
      </c>
      <c r="L789" s="13">
        <v>3850</v>
      </c>
      <c r="M789" s="13">
        <v>869</v>
      </c>
      <c r="N789" s="13">
        <v>0</v>
      </c>
      <c r="O789">
        <v>9887</v>
      </c>
      <c r="P789">
        <v>1647.83</v>
      </c>
      <c r="Q789" t="str">
        <f t="shared" si="24"/>
        <v/>
      </c>
      <c r="R789" t="str">
        <f t="shared" si="25"/>
        <v/>
      </c>
      <c r="S789" t="str">
        <f>IF(RIGHT(R789,2)="1C",(INDEX(Tables!H:H,MATCH(R789,Tables!G:G,0))),"")</f>
        <v/>
      </c>
    </row>
    <row r="790" spans="1:19">
      <c r="A790" s="12" t="s">
        <v>4682</v>
      </c>
      <c r="B790" s="12" t="s">
        <v>5195</v>
      </c>
      <c r="C790" s="12" t="s">
        <v>5196</v>
      </c>
      <c r="D790" s="12" t="s">
        <v>3790</v>
      </c>
      <c r="E790" s="13">
        <v>10995.49</v>
      </c>
      <c r="F790" s="13">
        <v>10995.49</v>
      </c>
      <c r="G790" s="13">
        <v>0</v>
      </c>
      <c r="H790" s="13">
        <v>0</v>
      </c>
      <c r="I790" s="13">
        <v>0</v>
      </c>
      <c r="J790" s="13">
        <v>0</v>
      </c>
      <c r="K790" s="13">
        <v>3801</v>
      </c>
      <c r="L790" s="13">
        <v>7741</v>
      </c>
      <c r="M790" s="13">
        <v>6322</v>
      </c>
      <c r="N790" s="13">
        <v>745</v>
      </c>
      <c r="O790">
        <v>18609</v>
      </c>
      <c r="P790">
        <v>3101.5</v>
      </c>
      <c r="Q790" t="str">
        <f t="shared" si="24"/>
        <v/>
      </c>
      <c r="R790" t="str">
        <f t="shared" si="25"/>
        <v/>
      </c>
      <c r="S790" t="str">
        <f>IF(RIGHT(R790,2)="1C",(INDEX(Tables!H:H,MATCH(R790,Tables!G:G,0))),"")</f>
        <v/>
      </c>
    </row>
    <row r="791" spans="1:19">
      <c r="A791" s="12" t="s">
        <v>4682</v>
      </c>
      <c r="B791" s="12" t="s">
        <v>6975</v>
      </c>
      <c r="C791" s="12" t="s">
        <v>6976</v>
      </c>
      <c r="D791" s="12" t="s">
        <v>3790</v>
      </c>
      <c r="E791" s="13">
        <v>0</v>
      </c>
      <c r="F791" s="13">
        <v>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>
        <v>0</v>
      </c>
      <c r="P791">
        <v>0</v>
      </c>
      <c r="Q791" t="str">
        <f t="shared" si="24"/>
        <v/>
      </c>
      <c r="R791" t="str">
        <f t="shared" si="25"/>
        <v/>
      </c>
      <c r="S791" t="str">
        <f>IF(RIGHT(R791,2)="1C",(INDEX(Tables!H:H,MATCH(R791,Tables!G:G,0))),"")</f>
        <v/>
      </c>
    </row>
    <row r="792" spans="1:19">
      <c r="A792" s="12" t="s">
        <v>4682</v>
      </c>
      <c r="B792" s="12" t="s">
        <v>4819</v>
      </c>
      <c r="C792" s="12" t="s">
        <v>4820</v>
      </c>
      <c r="D792" s="12" t="s">
        <v>3790</v>
      </c>
      <c r="E792" s="13">
        <v>1300</v>
      </c>
      <c r="F792" s="13">
        <v>1300</v>
      </c>
      <c r="G792" s="13">
        <v>0</v>
      </c>
      <c r="H792" s="13">
        <v>0</v>
      </c>
      <c r="I792" s="13">
        <v>0</v>
      </c>
      <c r="J792" s="13">
        <v>1016</v>
      </c>
      <c r="K792" s="13">
        <v>0</v>
      </c>
      <c r="L792" s="13">
        <v>0</v>
      </c>
      <c r="M792" s="13">
        <v>0</v>
      </c>
      <c r="N792" s="13">
        <v>0</v>
      </c>
      <c r="O792">
        <v>1016</v>
      </c>
      <c r="P792">
        <v>169.333</v>
      </c>
      <c r="Q792" t="str">
        <f t="shared" si="24"/>
        <v>YSN01</v>
      </c>
      <c r="R792" t="str">
        <f t="shared" si="25"/>
        <v>CIM1C</v>
      </c>
      <c r="S792">
        <f>IF(RIGHT(R792,2)="1C",(INDEX(Tables!H:H,MATCH(R792,Tables!G:G,0))),"")</f>
        <v>50</v>
      </c>
    </row>
    <row r="793" spans="1:19">
      <c r="A793" s="12" t="s">
        <v>4682</v>
      </c>
      <c r="B793" s="12" t="s">
        <v>4977</v>
      </c>
      <c r="C793" s="12" t="s">
        <v>4978</v>
      </c>
      <c r="D793" s="12" t="s">
        <v>3790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2383</v>
      </c>
      <c r="L793" s="13">
        <v>2555</v>
      </c>
      <c r="M793" s="13">
        <v>0</v>
      </c>
      <c r="N793" s="13">
        <v>0</v>
      </c>
      <c r="O793">
        <v>4938</v>
      </c>
      <c r="P793">
        <v>823</v>
      </c>
      <c r="Q793" t="str">
        <f t="shared" si="24"/>
        <v>YSN02</v>
      </c>
      <c r="R793" t="str">
        <f t="shared" si="25"/>
        <v>CIM1C</v>
      </c>
      <c r="S793">
        <f>IF(RIGHT(R793,2)="1C",(INDEX(Tables!H:H,MATCH(R793,Tables!G:G,0))),"")</f>
        <v>50</v>
      </c>
    </row>
    <row r="794" spans="1:19">
      <c r="A794" s="12" t="s">
        <v>4682</v>
      </c>
      <c r="B794" s="12" t="s">
        <v>7396</v>
      </c>
      <c r="C794" s="12" t="s">
        <v>7397</v>
      </c>
      <c r="D794" s="12" t="s">
        <v>3790</v>
      </c>
      <c r="E794" s="13">
        <v>0</v>
      </c>
      <c r="F794" s="13">
        <v>0</v>
      </c>
      <c r="G794" s="13">
        <v>0</v>
      </c>
      <c r="H794" s="13">
        <v>0</v>
      </c>
      <c r="I794" s="13">
        <v>0</v>
      </c>
      <c r="J794" s="13">
        <v>0</v>
      </c>
      <c r="K794" s="13">
        <v>0</v>
      </c>
      <c r="L794" s="13">
        <v>0</v>
      </c>
      <c r="M794" s="13">
        <v>0</v>
      </c>
      <c r="N794" s="13">
        <v>0</v>
      </c>
      <c r="O794">
        <v>0</v>
      </c>
      <c r="P794">
        <v>0</v>
      </c>
      <c r="Q794" t="str">
        <f t="shared" si="24"/>
        <v>YSN02</v>
      </c>
      <c r="R794" t="str">
        <f t="shared" si="25"/>
        <v>CMZ1C</v>
      </c>
      <c r="S794">
        <f>IF(RIGHT(R794,2)="1C",(INDEX(Tables!H:H,MATCH(R794,Tables!G:G,0))),"")</f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2B218-4F98-4031-9F31-240426BBFFAD}">
  <sheetPr codeName="Sheet2">
    <tabColor theme="6" tint="-0.249977111117893"/>
    <pageSetUpPr fitToPage="1"/>
  </sheetPr>
  <dimension ref="A1:BN2000"/>
  <sheetViews>
    <sheetView zoomScale="90" zoomScaleNormal="90" workbookViewId="0">
      <pane ySplit="1" topLeftCell="A1418" activePane="bottomLeft" state="frozen"/>
      <selection pane="bottomLeft" activeCell="P1432" sqref="P1432"/>
    </sheetView>
  </sheetViews>
  <sheetFormatPr defaultRowHeight="15.75"/>
  <cols>
    <col min="1" max="1" width="6.28515625" style="25" bestFit="1" customWidth="1"/>
    <col min="2" max="5" width="7.28515625" style="25" bestFit="1" customWidth="1"/>
    <col min="6" max="6" width="6.28515625" style="25" bestFit="1" customWidth="1"/>
    <col min="7" max="10" width="8.28515625" style="25" bestFit="1" customWidth="1"/>
    <col min="11" max="11" width="6.7109375" style="25" customWidth="1"/>
    <col min="12" max="12" width="6.5703125" style="25" customWidth="1"/>
    <col min="13" max="14" width="7" style="25" customWidth="1"/>
    <col min="15" max="15" width="14.28515625" style="27" customWidth="1"/>
    <col min="16" max="16" width="14.7109375" style="27" customWidth="1"/>
    <col min="17" max="17" width="4.85546875" style="27" customWidth="1"/>
    <col min="18" max="18" width="9.85546875" style="52" bestFit="1" customWidth="1"/>
    <col min="19" max="19" width="8.140625" style="53" bestFit="1" customWidth="1"/>
    <col min="20" max="20" width="8.7109375" style="52" customWidth="1"/>
    <col min="21" max="21" width="9.85546875" style="52" bestFit="1" customWidth="1"/>
    <col min="22" max="22" width="8.140625" style="53" bestFit="1" customWidth="1"/>
    <col min="23" max="23" width="10.5703125" style="52" bestFit="1" customWidth="1"/>
    <col min="24" max="24" width="26.28515625" style="52" hidden="1" customWidth="1"/>
    <col min="25" max="25" width="13.28515625" style="53" bestFit="1" customWidth="1"/>
    <col min="26" max="27" width="9.140625" style="54" bestFit="1" customWidth="1"/>
    <col min="28" max="28" width="8.28515625" style="52" bestFit="1" customWidth="1"/>
    <col min="29" max="29" width="8" style="52" customWidth="1"/>
    <col min="30" max="30" width="8.7109375" style="25" bestFit="1" customWidth="1"/>
    <col min="31" max="31" width="5.85546875" style="52" bestFit="1" customWidth="1"/>
    <col min="32" max="32" width="8.42578125" style="25" customWidth="1"/>
    <col min="33" max="33" width="7.28515625" style="25" bestFit="1" customWidth="1"/>
    <col min="34" max="34" width="8.28515625" style="25" bestFit="1" customWidth="1"/>
    <col min="35" max="35" width="7.42578125" style="25" bestFit="1" customWidth="1"/>
    <col min="36" max="36" width="8.5703125" style="25" customWidth="1"/>
    <col min="37" max="38" width="9" style="25" customWidth="1"/>
    <col min="39" max="39" width="7.7109375" style="52" customWidth="1"/>
    <col min="40" max="40" width="7.7109375" style="25" customWidth="1"/>
    <col min="41" max="41" width="7.7109375" style="52" customWidth="1"/>
    <col min="42" max="42" width="16.7109375" style="25" hidden="1" customWidth="1"/>
    <col min="43" max="43" width="10.42578125" style="151" customWidth="1"/>
    <col min="44" max="44" width="11" style="27" hidden="1" customWidth="1"/>
    <col min="45" max="45" width="9.5703125" style="27" hidden="1" customWidth="1"/>
    <col min="46" max="46" width="21.42578125" style="27" hidden="1" customWidth="1"/>
    <col min="47" max="47" width="15.7109375" style="27" hidden="1" customWidth="1"/>
    <col min="48" max="48" width="39" style="27" hidden="1" customWidth="1"/>
    <col min="49" max="49" width="11.5703125" style="27" hidden="1" customWidth="1"/>
    <col min="50" max="50" width="21.42578125" style="27" hidden="1" customWidth="1"/>
    <col min="51" max="51" width="20.5703125" style="27" hidden="1" customWidth="1"/>
    <col min="52" max="52" width="18.7109375" style="27" hidden="1" customWidth="1"/>
    <col min="53" max="53" width="17.85546875" style="27" hidden="1" customWidth="1"/>
    <col min="54" max="54" width="15.5703125" style="27" hidden="1" customWidth="1"/>
    <col min="55" max="55" width="20.5703125" style="27" hidden="1" customWidth="1"/>
    <col min="56" max="56" width="39" style="27" hidden="1" customWidth="1"/>
    <col min="57" max="57" width="16" style="27" hidden="1" customWidth="1"/>
    <col min="58" max="58" width="17.5703125" style="27" hidden="1" customWidth="1"/>
    <col min="59" max="59" width="23.5703125" style="27" hidden="1" customWidth="1"/>
    <col min="60" max="60" width="13.42578125" style="27" hidden="1" customWidth="1"/>
    <col min="61" max="61" width="23.5703125" style="27" hidden="1" customWidth="1"/>
    <col min="62" max="62" width="17.42578125" style="27" hidden="1" customWidth="1"/>
    <col min="63" max="64" width="26.42578125" style="27" hidden="1" customWidth="1"/>
    <col min="65" max="65" width="12" style="21" customWidth="1"/>
    <col min="66" max="66" width="9.140625" style="27"/>
    <col min="67" max="16384" width="9.140625" style="26"/>
  </cols>
  <sheetData>
    <row r="1" spans="1:65" s="73" customFormat="1" ht="65.25">
      <c r="A1" s="8" t="s">
        <v>3506</v>
      </c>
      <c r="B1" s="8" t="s">
        <v>3507</v>
      </c>
      <c r="C1" s="8" t="s">
        <v>3508</v>
      </c>
      <c r="D1" s="8" t="s">
        <v>3509</v>
      </c>
      <c r="E1" s="8" t="s">
        <v>3510</v>
      </c>
      <c r="F1" s="8" t="s">
        <v>3511</v>
      </c>
      <c r="G1" s="9" t="s">
        <v>3501</v>
      </c>
      <c r="H1" s="9" t="s">
        <v>3502</v>
      </c>
      <c r="I1" s="9" t="s">
        <v>3503</v>
      </c>
      <c r="J1" s="9" t="s">
        <v>3504</v>
      </c>
      <c r="K1" s="9" t="s">
        <v>3505</v>
      </c>
      <c r="L1" s="9" t="s">
        <v>3500</v>
      </c>
      <c r="M1" s="8" t="s">
        <v>4627</v>
      </c>
      <c r="N1" s="9" t="s">
        <v>4626</v>
      </c>
      <c r="O1" s="55" t="s">
        <v>1</v>
      </c>
      <c r="P1" s="56" t="s">
        <v>3499</v>
      </c>
      <c r="Q1" s="57" t="s">
        <v>0</v>
      </c>
      <c r="R1" s="58" t="s">
        <v>2</v>
      </c>
      <c r="S1" s="59" t="s">
        <v>5416</v>
      </c>
      <c r="T1" s="60" t="s">
        <v>5551</v>
      </c>
      <c r="U1" s="58" t="s">
        <v>3</v>
      </c>
      <c r="V1" s="59" t="s">
        <v>5417</v>
      </c>
      <c r="W1" s="60" t="s">
        <v>5347</v>
      </c>
      <c r="X1" s="61" t="s">
        <v>5344</v>
      </c>
      <c r="Y1" s="62" t="s">
        <v>5410</v>
      </c>
      <c r="Z1" s="60" t="s">
        <v>5409</v>
      </c>
      <c r="AA1" s="60" t="s">
        <v>5408</v>
      </c>
      <c r="AB1" s="60" t="s">
        <v>4</v>
      </c>
      <c r="AC1" s="60" t="s">
        <v>5552</v>
      </c>
      <c r="AD1" s="63" t="s">
        <v>4632</v>
      </c>
      <c r="AE1" s="64" t="s">
        <v>5233</v>
      </c>
      <c r="AF1" s="65" t="s">
        <v>3512</v>
      </c>
      <c r="AG1" s="65" t="s">
        <v>4624</v>
      </c>
      <c r="AH1" s="65" t="s">
        <v>4633</v>
      </c>
      <c r="AI1" s="65" t="s">
        <v>4625</v>
      </c>
      <c r="AJ1" s="65" t="s">
        <v>5414</v>
      </c>
      <c r="AK1" s="65" t="s">
        <v>5413</v>
      </c>
      <c r="AL1" s="65" t="s">
        <v>5412</v>
      </c>
      <c r="AM1" s="66" t="s">
        <v>5420</v>
      </c>
      <c r="AN1" s="66" t="s">
        <v>5415</v>
      </c>
      <c r="AO1" s="66" t="s">
        <v>5480</v>
      </c>
      <c r="AP1" s="67" t="s">
        <v>4634</v>
      </c>
      <c r="AQ1" s="65" t="s">
        <v>5411</v>
      </c>
      <c r="AR1" s="68" t="s">
        <v>4628</v>
      </c>
      <c r="AS1" s="68" t="s">
        <v>4629</v>
      </c>
      <c r="AT1" s="68" t="s">
        <v>4635</v>
      </c>
      <c r="AU1" s="68" t="s">
        <v>4636</v>
      </c>
      <c r="AV1" s="68" t="s">
        <v>4650</v>
      </c>
      <c r="AW1" s="68" t="s">
        <v>4642</v>
      </c>
      <c r="AX1" s="68" t="s">
        <v>4630</v>
      </c>
      <c r="AY1" s="68" t="s">
        <v>4631</v>
      </c>
      <c r="AZ1" s="69" t="s">
        <v>4643</v>
      </c>
      <c r="BA1" s="68" t="s">
        <v>4644</v>
      </c>
      <c r="BB1" s="68" t="s">
        <v>4645</v>
      </c>
      <c r="BC1" s="68" t="s">
        <v>4646</v>
      </c>
      <c r="BD1" s="68" t="s">
        <v>4649</v>
      </c>
      <c r="BE1" s="69" t="s">
        <v>4647</v>
      </c>
      <c r="BF1" s="70" t="s">
        <v>4641</v>
      </c>
      <c r="BG1" s="70" t="s">
        <v>4640</v>
      </c>
      <c r="BH1" s="71" t="s">
        <v>4639</v>
      </c>
      <c r="BI1" s="70" t="s">
        <v>4648</v>
      </c>
      <c r="BJ1" s="72" t="s">
        <v>5418</v>
      </c>
      <c r="BK1" s="70" t="s">
        <v>5419</v>
      </c>
      <c r="BL1" s="70" t="s">
        <v>5580</v>
      </c>
      <c r="BM1" s="10" t="s">
        <v>4638</v>
      </c>
    </row>
    <row r="2" spans="1:65" ht="15">
      <c r="A2" s="25" t="str">
        <f>IFERROR(INDEX('Hun Demand'!W:W,MATCH(O2,'Hun Demand'!A:A,0)),"")</f>
        <v/>
      </c>
      <c r="B2" s="25" t="str">
        <f>IFERROR(INDEX('Hun Demand'!V:V,MATCH(O2,'Hun Demand'!A:A,0)),"")</f>
        <v/>
      </c>
      <c r="C2" s="25" t="str">
        <f>IFERROR(INDEX('Hun Demand'!U:U,MATCH(O2,'Hun Demand'!A:A,0)),"")</f>
        <v/>
      </c>
      <c r="D2" s="25" t="str">
        <f>IFERROR(INDEX('Hun Demand'!T:T,MATCH(O2,'Hun Demand'!A:A,0)),"")</f>
        <v/>
      </c>
      <c r="E2" s="25" t="str">
        <f>IFERROR(INDEX('Hun Demand'!S:S,MATCH(O2,'Hun Demand'!A:A,0)),"")</f>
        <v/>
      </c>
      <c r="F2" s="25" t="str">
        <f>IFERROR(INDEX('Hun Demand'!R:R,MATCH(O2,'Hun Demand'!A:A,0)),"")</f>
        <v/>
      </c>
      <c r="G2" s="25">
        <f>IFERROR(INDEX('Aub Demand'!W:W,MATCH(O2,'Aub Demand'!A:A,0)),"")</f>
        <v>0</v>
      </c>
      <c r="H2" s="25">
        <f>IFERROR(INDEX('Aub Demand'!V:V,MATCH(O2,'Aub Demand'!A:A,0)),"")</f>
        <v>203</v>
      </c>
      <c r="I2" s="25">
        <f>IFERROR(INDEX('Aub Demand'!U:U,MATCH(O2,'Aub Demand'!A:A,0)),"")</f>
        <v>184</v>
      </c>
      <c r="J2" s="25">
        <f>IFERROR(INDEX('Aub Demand'!T:T,MATCH(O2,'Aub Demand'!A:A,0)),"")</f>
        <v>0</v>
      </c>
      <c r="K2" s="25">
        <f>IFERROR(INDEX('Aub Demand'!S:S,MATCH(O2,'Aub Demand'!A:A,0)),"")</f>
        <v>304</v>
      </c>
      <c r="L2" s="25">
        <f>IFERROR(INDEX('Aub Demand'!R:R,MATCH(O2,'Aub Demand'!A:A,0)),"")</f>
        <v>0</v>
      </c>
      <c r="O2" s="27" t="s">
        <v>56</v>
      </c>
      <c r="P2" s="27" t="str">
        <f>IFERROR(INDEX('Aub Demand'!B:B,MATCH($O2,'Aub Demand'!$A:$A,0)),"")</f>
        <v>WHITE OVERLAY HC</v>
      </c>
      <c r="Q2" s="27" t="str">
        <f>IFERROR(INDEX('Aub Demand'!C:C,MATCH($O2,'Aub Demand'!$A:$A,0)),"")</f>
        <v>GLATF</v>
      </c>
      <c r="R2" s="52">
        <f>IFERROR(IF(AR3=AR2,INDEX('Aub Demand'!K:K,MATCH($O2,'Aub Demand'!$A:$A,0))-IF(AN2="",0,AN2)+AP3,INDEX('Aub Demand'!K:K,MATCH($O2,'Aub Demand'!$A:$A,0))-IF(AN2="",0,AN2)),"")</f>
        <v>559</v>
      </c>
      <c r="S2" s="53">
        <f>IFERROR(IF(O2="","",ROUND(R2/((Z2/30)*7),1)),"n/a")</f>
        <v>14.7</v>
      </c>
      <c r="T2" s="52" t="str">
        <f>IFERROR(IF(S2&lt;3.1,IF(AA2="spike",(3-S2)*(Z2/4),(3-S2)*(AA2/4)),""),"")</f>
        <v/>
      </c>
      <c r="U2" s="52">
        <f>IFERROR(IF(AR3=AR2,INDEX('Aub Demand'!Q:Q,MATCH($O2,'Aub Demand'!$A:$A,0))-IF(AN2="",0,AN2)+AP3,INDEX('Aub Demand'!Q:Q,MATCH($O2,'Aub Demand'!$A:$A,0))-IF(AN2="",0,AN2)),"")</f>
        <v>434</v>
      </c>
      <c r="V2" s="53">
        <f>IFERROR(IF(O2="","",ROUND(U2/((Z2/30)*7),1)),"n/a")</f>
        <v>11.4</v>
      </c>
      <c r="W2" s="52" t="str">
        <f>IF(IFERROR(IF(V2&lt;3.1,IF(AA2="spike",(3-V2)*(Z2/4),(3-V2)*(AA2/4)),""),"")&lt;0,0,IFERROR(IF(V2&lt;3.1,IF(AA2="spike",(3-V2)*(Z2/4),(3-V2)*(AA2/4)),""),""))</f>
        <v/>
      </c>
      <c r="X2" s="52">
        <f>IFERROR(IF(AND(AR3=AR2,AM2&lt;&gt;""),INDEX('Aub Demand'!Q:Q,MATCH($O2,'Aub Demand'!$A:$A,0))-IF(AN2="",0,AN2)+AP3+AD2+AL2,IF(AR3=AR2,INDEX('Aub Demand'!Q:Q,MATCH($O2,'Aub Demand'!$A:$A,0))-IF(AN2="",0,AN2)+AP3+AD2,IF(AM2&lt;&gt;"",INDEX('Aub Demand'!Q:Q,MATCH($O2,'Aub Demand'!$A:$A,0))-IF(AN2="",0,AN2)+AD2+AL2,INDEX('Aub Demand'!Q:Q,MATCH($O2,'Aub Demand'!$A:$A,0))-IF(AN2="",0,AN2)+AD2))),"")</f>
        <v>434</v>
      </c>
      <c r="Y2" s="53">
        <f>IFERROR(IF(O2="","",ROUND(X2/((Z2/30)*7),1)),"n/a")</f>
        <v>11.4</v>
      </c>
      <c r="Z2" s="52">
        <f>IF(L2="","",INDEX('Aub Demand'!H:H,MATCH($O2,'Aub Demand'!$A:$A,0)))</f>
        <v>163</v>
      </c>
      <c r="AA2" s="52">
        <f>IF(L2="","",IF(LARGE(I2:L2,2)=0,"-spike-",AVERAGE(LARGE(I2:L2,1),LARGE(I2:L2,2))))</f>
        <v>244</v>
      </c>
      <c r="AB2" s="52">
        <f>IFERROR(INDEX('Aub Demand'!L:L,MATCH($O2,'Aub Demand'!$A:$A,0)),"")</f>
        <v>265</v>
      </c>
      <c r="AC2" s="52">
        <f>IFERROR(IF(O2="","",SUMIFS('CPL Mats'!F:F,'CPL Mats'!Q:Q,AR2,'CPL Mats'!S:S,AS2)),"")</f>
        <v>0</v>
      </c>
      <c r="AF2" s="25">
        <f>IF(SUMIFS('Supp Consol'!S:S,'Supp Consol'!Y:Y,"Releasable",'Supp Consol'!A:A,O2)=0,"",SUMIFS('Supp Consol'!S:S,'Supp Consol'!Y:Y,"Releasable",'Supp Consol'!A:A,O2))</f>
        <v>9338</v>
      </c>
      <c r="AG2" s="25" t="str">
        <f>IFERROR(INDEX('Hun Demand'!Q:Q,MATCH(O2,'Hun Demand'!A:A,0)),"")</f>
        <v/>
      </c>
      <c r="AH2" s="25" t="str">
        <f>IFERROR(INDEX('Hun Demand'!H:H,MATCH($O2,'Hun Demand'!$A:$A,0)),"")</f>
        <v/>
      </c>
      <c r="AI2" s="25" t="str">
        <f>IF(SUMIFS('Supp Consol'!AA:AA,'Supp Consol'!Z:Z,"Expires this month",'Supp Consol'!A:A,O2)=0,"",SUMIFS('Supp Consol'!AA:AA,'Supp Consol'!Z:Z,"Expires this month",'Supp Consol'!A:A,O2))</f>
        <v/>
      </c>
      <c r="AJ2" s="25" t="str">
        <f>IF(SUMIFS('Supp Consol'!AA:AA,'Supp Consol'!Z:Z,"Expired Previous Months",'Supp Consol'!A:A,O2)=0,"",SUMIFS('Supp Consol'!AA:AA,'Supp Consol'!Z:Z,"Expired Previous Months",'Supp Consol'!A:A,O2))</f>
        <v/>
      </c>
      <c r="AK2" s="25" t="str">
        <f>IFERROR(INDEX('Hun Release Current'!B:B,MATCH(O2,'Hun Release Current'!A:A,0)),"")</f>
        <v/>
      </c>
      <c r="AL2" s="25" t="str">
        <f>IF(SUMIF('Prev Aub'!A:A,O2,'Prev Aub'!B:B)=0,"",SUMIF('Prev Aub'!A:A,O2,'Prev Aub'!B:B))</f>
        <v/>
      </c>
      <c r="AN2" s="25" t="s">
        <v>3790</v>
      </c>
      <c r="AO2" s="25" t="s">
        <v>3790</v>
      </c>
      <c r="AP2" s="25">
        <f>IFERROR(IF(O2="","",IF(AN2="",0,VALUE(AN2)-(VALUE(AN2)*0.2))),"")</f>
        <v>0</v>
      </c>
      <c r="AQ2" s="151" t="str">
        <f>IF(SUMIFS('Supp Consol'!S:S,'Supp Consol'!A:A,O2,'Supp Consol'!I:I,"PENDING")=0,"",SUMIFS('Supp Consol'!S:S,'Supp Consol'!A:A,O2,'Supp Consol'!I:I,"PENDING"))</f>
        <v/>
      </c>
      <c r="AR2" s="27" t="str">
        <f>MID(O2,4,5)</f>
        <v>00002</v>
      </c>
      <c r="AS2" s="27" t="str">
        <f>MID(O2,10,2)</f>
        <v>37</v>
      </c>
      <c r="AT2" s="27" t="str">
        <f>IF(S2&lt;3.1,AR2,"")</f>
        <v/>
      </c>
      <c r="AU2" s="27" t="str">
        <f>IF(Y2&lt;3.1,AR2,"")</f>
        <v/>
      </c>
      <c r="AV2" s="27" t="str">
        <f>IF(AND(AA2="Spike",L2=0,K2=0,X2&gt;=0),"",IF(Y2&lt;3.1,AR2,""))</f>
        <v/>
      </c>
      <c r="AW2" s="27" t="str">
        <f>IF(AI2=AL2,"",IF(OR(AI2&lt;&gt;"",AJ2&lt;&gt;""),AR2,""))</f>
        <v/>
      </c>
      <c r="AX2" s="27" t="str">
        <f>IF(AF2&lt;&gt;"",AR2,"")</f>
        <v>00002</v>
      </c>
      <c r="AY2" s="27" t="str">
        <f>IF(AND(AG2&lt;&gt;"",AG2&gt;AH2),AR2,"")</f>
        <v/>
      </c>
      <c r="AZ2" s="27" t="str">
        <f>IFERROR(IF(O2="","",IF(ISERROR(MATCH(AR2,AX:AX,0)),"","Supp")),"")</f>
        <v>Supp</v>
      </c>
      <c r="BA2" s="27" t="str">
        <f>IFERROR(IF(O2="","",IF(ISERROR(MATCH(AR2,AY:AY,0)),"","Hun")),"")</f>
        <v/>
      </c>
      <c r="BB2" s="27" t="str">
        <f>IFERROR(IF(O2="","",IF(ISERROR(MATCH(AR2,AT:AT,0)),"","Gross")),"")</f>
        <v/>
      </c>
      <c r="BC2" s="27" t="str">
        <f>IFERROR(IF(O2="","",IF(ISERROR(MATCH(AR2,AU:AU,0)),"","Net")),"")</f>
        <v/>
      </c>
      <c r="BD2" s="27" t="str">
        <f>IFERROR(IF(O2="","",IF(ISERROR(MATCH(AR2,AV:AV,0)),"","Net")),"")</f>
        <v/>
      </c>
      <c r="BE2" s="27" t="str">
        <f>IFERROR(IF(O2="","",IF(ISERROR(MATCH(AR2,AW:AW,0)),"","Exp")),"")</f>
        <v/>
      </c>
      <c r="BF2" s="27" t="str">
        <f>IFERROR(IF(O2="","",IF(AND(AZ2="Supp",BC2="Net"),"S+N","")),"")</f>
        <v/>
      </c>
      <c r="BG2" s="27" t="str">
        <f>IFERROR(IF(O2="","",IF(OR(BE2&lt;&gt;"",BF2&lt;&gt;""),"S+NorE","")),"")</f>
        <v/>
      </c>
      <c r="BH2" s="27" t="str">
        <f>IFERROR(IF(O2="","",IF(AND(BA2&lt;&gt;"",BC2&lt;&gt;""),"H+N","")),"")</f>
        <v/>
      </c>
      <c r="BI2" s="27" t="str">
        <f>IFERROR(IF(O2="","",IF(AND(BA2&lt;&gt;"",BD2&lt;&gt;""),"H+Nex","")),"")</f>
        <v/>
      </c>
      <c r="BJ2" s="27" t="str">
        <f>IF(OR(AZ2&lt;&gt;"",BA2&lt;&gt;""),"Supp or Hun","")</f>
        <v>Supp or Hun</v>
      </c>
      <c r="BK2" s="27" t="str">
        <f>IF(AND(BJ2&lt;&gt;"",BC2&lt;&gt;""),"Supp or Hun Need","")</f>
        <v/>
      </c>
      <c r="BL2" s="27" t="str">
        <f>IF(OR(BK2&lt;&gt;"",BE2&lt;&gt;""),"SorHandNandE","")</f>
        <v/>
      </c>
      <c r="BM2" s="21" t="s">
        <v>5581</v>
      </c>
    </row>
    <row r="3" spans="1:65" ht="15">
      <c r="A3" s="25" t="str">
        <f>IFERROR(INDEX('Hun Demand'!W:W,MATCH(O3,'Hun Demand'!A:A,0)),"")</f>
        <v/>
      </c>
      <c r="B3" s="25" t="str">
        <f>IFERROR(INDEX('Hun Demand'!V:V,MATCH(O3,'Hun Demand'!A:A,0)),"")</f>
        <v/>
      </c>
      <c r="C3" s="25" t="str">
        <f>IFERROR(INDEX('Hun Demand'!U:U,MATCH(O3,'Hun Demand'!A:A,0)),"")</f>
        <v/>
      </c>
      <c r="D3" s="25" t="str">
        <f>IFERROR(INDEX('Hun Demand'!T:T,MATCH(O3,'Hun Demand'!A:A,0)),"")</f>
        <v/>
      </c>
      <c r="E3" s="25" t="str">
        <f>IFERROR(INDEX('Hun Demand'!S:S,MATCH(O3,'Hun Demand'!A:A,0)),"")</f>
        <v/>
      </c>
      <c r="F3" s="25" t="str">
        <f>IFERROR(INDEX('Hun Demand'!R:R,MATCH(O3,'Hun Demand'!A:A,0)),"")</f>
        <v/>
      </c>
      <c r="G3" s="25">
        <f>IFERROR(INDEX('Aub Demand'!W:W,MATCH(O3,'Aub Demand'!A:A,0)),"")</f>
        <v>698</v>
      </c>
      <c r="H3" s="25">
        <f>IFERROR(INDEX('Aub Demand'!V:V,MATCH(O3,'Aub Demand'!A:A,0)),"")</f>
        <v>1008</v>
      </c>
      <c r="I3" s="25">
        <f>IFERROR(INDEX('Aub Demand'!U:U,MATCH(O3,'Aub Demand'!A:A,0)),"")</f>
        <v>882</v>
      </c>
      <c r="J3" s="25">
        <f>IFERROR(INDEX('Aub Demand'!T:T,MATCH(O3,'Aub Demand'!A:A,0)),"")</f>
        <v>618</v>
      </c>
      <c r="K3" s="25">
        <f>IFERROR(INDEX('Aub Demand'!S:S,MATCH(O3,'Aub Demand'!A:A,0)),"")</f>
        <v>477</v>
      </c>
      <c r="L3" s="25">
        <f>IFERROR(INDEX('Aub Demand'!R:R,MATCH(O3,'Aub Demand'!A:A,0)),"")</f>
        <v>0</v>
      </c>
      <c r="O3" s="27" t="s">
        <v>60</v>
      </c>
      <c r="P3" s="27" t="str">
        <f>IFERROR(INDEX('Aub Demand'!B:B,MATCH($O3,'Aub Demand'!$A:$A,0)),"")</f>
        <v>WHITE OVERLAY HC</v>
      </c>
      <c r="Q3" s="27" t="str">
        <f>IFERROR(INDEX('Aub Demand'!C:C,MATCH($O3,'Aub Demand'!$A:$A,0)),"")</f>
        <v>GLATF</v>
      </c>
      <c r="R3" s="52">
        <f>IFERROR(IF(AR4=AR3,INDEX('Aub Demand'!K:K,MATCH($O3,'Aub Demand'!$A:$A,0))-IF(AN3="",0,AN3)+AP4,INDEX('Aub Demand'!K:K,MATCH($O3,'Aub Demand'!$A:$A,0))-IF(AN3="",0,AN3)),"")</f>
        <v>1668</v>
      </c>
      <c r="S3" s="53">
        <f t="shared" ref="S3:S66" si="0">IFERROR(IF(O3="","",ROUND(R3/((Z3/30)*7),1)),"n/a")</f>
        <v>10.8</v>
      </c>
      <c r="T3" s="52" t="str">
        <f t="shared" ref="T3:T66" si="1">IFERROR(IF(S3&lt;3.1,IF(AA3="spike",(3-S3)*(Z3/4),(3-S3)*(AA3/4)),""),"")</f>
        <v/>
      </c>
      <c r="U3" s="52">
        <f>IFERROR(IF(AR4=AR3,INDEX('Aub Demand'!Q:Q,MATCH($O3,'Aub Demand'!$A:$A,0))-IF(AN3="",0,AN3)+AP4,INDEX('Aub Demand'!Q:Q,MATCH($O3,'Aub Demand'!$A:$A,0))-IF(AN3="",0,AN3)),"")</f>
        <v>888</v>
      </c>
      <c r="V3" s="53">
        <f t="shared" ref="V3:V66" si="2">IFERROR(IF(O3="","",ROUND(U3/((Z3/30)*7),1)),"n/a")</f>
        <v>5.8</v>
      </c>
      <c r="W3" s="52" t="str">
        <f t="shared" ref="W3:W66" si="3">IF(IFERROR(IF(V3&lt;3.1,IF(AA3="spike",(3-V3)*(Z3/4),(3-V3)*(AA3/4)),""),"")&lt;0,0,IFERROR(IF(V3&lt;3.1,IF(AA3="spike",(3-V3)*(Z3/4),(3-V3)*(AA3/4)),""),""))</f>
        <v/>
      </c>
      <c r="X3" s="52">
        <f>IFERROR(IF(AND(AR4=AR3,AM3&lt;&gt;""),INDEX('Aub Demand'!Q:Q,MATCH($O3,'Aub Demand'!$A:$A,0))-IF(AN3="",0,AN3)+AP4+AD3+AL3,IF(AR4=AR3,INDEX('Aub Demand'!Q:Q,MATCH($O3,'Aub Demand'!$A:$A,0))-IF(AN3="",0,AN3)+AP4+AD3,IF(AM3&lt;&gt;"",INDEX('Aub Demand'!Q:Q,MATCH($O3,'Aub Demand'!$A:$A,0))-IF(AN3="",0,AN3)+AD3+AL3,INDEX('Aub Demand'!Q:Q,MATCH($O3,'Aub Demand'!$A:$A,0))-IF(AN3="",0,AN3)+AD3))),"")</f>
        <v>888</v>
      </c>
      <c r="Y3" s="53">
        <f t="shared" ref="Y3:Y66" si="4">IFERROR(IF(O3="","",ROUND(X3/((Z3/30)*7),1)),"n/a")</f>
        <v>5.8</v>
      </c>
      <c r="Z3" s="52">
        <f>IF(L3="","",INDEX('Aub Demand'!H:H,MATCH($O3,'Aub Demand'!$A:$A,0)))</f>
        <v>659</v>
      </c>
      <c r="AA3" s="52">
        <f t="shared" ref="AA3:AA66" si="5">IF(L3="","",IF(LARGE(I3:L3,2)=0,"-spike-",AVERAGE(LARGE(I3:L3,1),LARGE(I3:L3,2))))</f>
        <v>750</v>
      </c>
      <c r="AB3" s="52">
        <f>IFERROR(INDEX('Aub Demand'!L:L,MATCH($O3,'Aub Demand'!$A:$A,0)),"")</f>
        <v>467</v>
      </c>
      <c r="AC3" s="52">
        <f>IFERROR(IF(O3="","",SUMIFS('CPL Mats'!F:F,'CPL Mats'!Q:Q,AR3,'CPL Mats'!S:S,AS3)),"")</f>
        <v>0</v>
      </c>
      <c r="AF3" s="25" t="str">
        <f>IF(SUMIFS('Supp Consol'!S:S,'Supp Consol'!Y:Y,"Releasable",'Supp Consol'!A:A,O3)=0,"",SUMIFS('Supp Consol'!S:S,'Supp Consol'!Y:Y,"Releasable",'Supp Consol'!A:A,O3))</f>
        <v/>
      </c>
      <c r="AG3" s="25" t="str">
        <f>IFERROR(INDEX('Hun Demand'!Q:Q,MATCH(O3,'Hun Demand'!A:A,0)),"")</f>
        <v/>
      </c>
      <c r="AH3" s="25" t="str">
        <f>IFERROR(INDEX('Hun Demand'!H:H,MATCH($O3,'Hun Demand'!$A:$A,0)),"")</f>
        <v/>
      </c>
      <c r="AI3" s="25" t="str">
        <f>IF(SUMIFS('Supp Consol'!AA:AA,'Supp Consol'!Z:Z,"Expires this month",'Supp Consol'!A:A,O3)=0,"",SUMIFS('Supp Consol'!AA:AA,'Supp Consol'!Z:Z,"Expires this month",'Supp Consol'!A:A,O3))</f>
        <v/>
      </c>
      <c r="AJ3" s="25" t="str">
        <f>IF(SUMIFS('Supp Consol'!AA:AA,'Supp Consol'!Z:Z,"Expired Previous Months",'Supp Consol'!A:A,O3)=0,"",SUMIFS('Supp Consol'!AA:AA,'Supp Consol'!Z:Z,"Expired Previous Months",'Supp Consol'!A:A,O3))</f>
        <v/>
      </c>
      <c r="AK3" s="25" t="str">
        <f>IFERROR(INDEX('Hun Release Current'!B:B,MATCH(O3,'Hun Release Current'!A:A,0)),"")</f>
        <v/>
      </c>
      <c r="AL3" s="25" t="str">
        <f>IF(SUMIF('Prev Aub'!A:A,O3,'Prev Aub'!B:B)=0,"",SUMIF('Prev Aub'!A:A,O3,'Prev Aub'!B:B))</f>
        <v/>
      </c>
      <c r="AN3" s="25" t="s">
        <v>3790</v>
      </c>
      <c r="AO3" s="25" t="s">
        <v>3790</v>
      </c>
      <c r="AP3" s="25">
        <f t="shared" ref="AP3:AP66" si="6">IFERROR(IF(O3="","",IF(AN3="",0,VALUE(AN3)-(VALUE(AN3)*0.2))),"")</f>
        <v>0</v>
      </c>
      <c r="AQ3" s="151" t="str">
        <f>IF(SUMIFS('Supp Consol'!S:S,'Supp Consol'!A:A,O3,'Supp Consol'!I:I,"PENDING")=0,"",SUMIFS('Supp Consol'!S:S,'Supp Consol'!A:A,O3,'Supp Consol'!I:I,"PENDING"))</f>
        <v/>
      </c>
      <c r="AR3" s="27" t="str">
        <f t="shared" ref="AR3:AR66" si="7">MID(O3,4,5)</f>
        <v>00002</v>
      </c>
      <c r="AS3" s="27" t="str">
        <f t="shared" ref="AS3:AS66" si="8">MID(O3,10,2)</f>
        <v>43</v>
      </c>
      <c r="AT3" s="27" t="str">
        <f t="shared" ref="AT3:AT66" si="9">IF(S3&lt;3.1,AR3,"")</f>
        <v/>
      </c>
      <c r="AU3" s="27" t="str">
        <f t="shared" ref="AU3:AU66" si="10">IF(Y3&lt;3.1,AR3,"")</f>
        <v/>
      </c>
      <c r="AV3" s="27" t="str">
        <f t="shared" ref="AV3:AV66" si="11">IF(AND(AA3="Spike",L3=0,K3=0,X3&gt;=0),"",IF(Y3&lt;3.1,AR3,""))</f>
        <v/>
      </c>
      <c r="AW3" s="27" t="str">
        <f t="shared" ref="AW3:AW66" si="12">IF(AI3=AL3,"",IF(OR(AI3&lt;&gt;"",AJ3&lt;&gt;""),AR3,""))</f>
        <v/>
      </c>
      <c r="AX3" s="27" t="str">
        <f t="shared" ref="AX3:AX66" si="13">IF(AF3&lt;&gt;"",AR3,"")</f>
        <v/>
      </c>
      <c r="AY3" s="27" t="str">
        <f t="shared" ref="AY3:AY66" si="14">IF(AND(AG3&lt;&gt;"",AG3&gt;AH3),AR3,"")</f>
        <v/>
      </c>
      <c r="AZ3" s="27" t="str">
        <f t="shared" ref="AZ3:AZ66" si="15">IFERROR(IF(O3="","",IF(ISERROR(MATCH(AR3,AX:AX,0)),"","Supp")),"")</f>
        <v>Supp</v>
      </c>
      <c r="BA3" s="27" t="str">
        <f t="shared" ref="BA3:BA66" si="16">IFERROR(IF(O3="","",IF(ISERROR(MATCH(AR3,AY:AY,0)),"","Hun")),"")</f>
        <v/>
      </c>
      <c r="BB3" s="27" t="str">
        <f t="shared" ref="BB3:BB66" si="17">IFERROR(IF(O3="","",IF(ISERROR(MATCH(AR3,AT:AT,0)),"","Gross")),"")</f>
        <v/>
      </c>
      <c r="BC3" s="27" t="str">
        <f t="shared" ref="BC3:BC66" si="18">IFERROR(IF(O3="","",IF(ISERROR(MATCH(AR3,AU:AU,0)),"","Net")),"")</f>
        <v/>
      </c>
      <c r="BD3" s="27" t="str">
        <f t="shared" ref="BD3:BD66" si="19">IFERROR(IF(O3="","",IF(ISERROR(MATCH(AR3,AV:AV,0)),"","Net")),"")</f>
        <v/>
      </c>
      <c r="BE3" s="27" t="str">
        <f t="shared" ref="BE3:BE66" si="20">IFERROR(IF(O3="","",IF(ISERROR(MATCH(AR3,AW:AW,0)),"","Exp")),"")</f>
        <v/>
      </c>
      <c r="BF3" s="27" t="str">
        <f t="shared" ref="BF3:BF66" si="21">IFERROR(IF(O3="","",IF(AND(AZ3="Supp",BC3="Net"),"S+N","")),"")</f>
        <v/>
      </c>
      <c r="BG3" s="27" t="str">
        <f t="shared" ref="BG3:BG66" si="22">IFERROR(IF(O3="","",IF(OR(BE3&lt;&gt;"",BF3&lt;&gt;""),"S+NorE","")),"")</f>
        <v/>
      </c>
      <c r="BH3" s="27" t="str">
        <f t="shared" ref="BH3:BH66" si="23">IFERROR(IF(O3="","",IF(AND(BA3&lt;&gt;"",BC3&lt;&gt;""),"H+N","")),"")</f>
        <v/>
      </c>
      <c r="BI3" s="27" t="str">
        <f t="shared" ref="BI3:BI66" si="24">IFERROR(IF(O3="","",IF(AND(BA3&lt;&gt;"",BD3&lt;&gt;""),"H+Nex","")),"")</f>
        <v/>
      </c>
      <c r="BJ3" s="27" t="str">
        <f t="shared" ref="BJ3:BJ66" si="25">IF(OR(AZ3&lt;&gt;"",BA3&lt;&gt;""),"Supp or Hun","")</f>
        <v>Supp or Hun</v>
      </c>
      <c r="BK3" s="27" t="str">
        <f t="shared" ref="BK3:BK66" si="26">IF(AND(BJ3&lt;&gt;"",BC3&lt;&gt;""),"Supp or Hun Need","")</f>
        <v/>
      </c>
      <c r="BL3" s="27" t="str">
        <f t="shared" ref="BL3:BL66" si="27">IF(OR(BK3&lt;&gt;"",BE3&lt;&gt;""),"SorHandNandE","")</f>
        <v/>
      </c>
      <c r="BM3" s="21" t="s">
        <v>5581</v>
      </c>
    </row>
    <row r="4" spans="1:65" ht="15">
      <c r="A4" s="25" t="str">
        <f>IFERROR(INDEX('Hun Demand'!W:W,MATCH(O4,'Hun Demand'!A:A,0)),"")</f>
        <v/>
      </c>
      <c r="B4" s="25" t="str">
        <f>IFERROR(INDEX('Hun Demand'!V:V,MATCH(O4,'Hun Demand'!A:A,0)),"")</f>
        <v/>
      </c>
      <c r="C4" s="25" t="str">
        <f>IFERROR(INDEX('Hun Demand'!U:U,MATCH(O4,'Hun Demand'!A:A,0)),"")</f>
        <v/>
      </c>
      <c r="D4" s="25" t="str">
        <f>IFERROR(INDEX('Hun Demand'!T:T,MATCH(O4,'Hun Demand'!A:A,0)),"")</f>
        <v/>
      </c>
      <c r="E4" s="25" t="str">
        <f>IFERROR(INDEX('Hun Demand'!S:S,MATCH(O4,'Hun Demand'!A:A,0)),"")</f>
        <v/>
      </c>
      <c r="F4" s="25" t="str">
        <f>IFERROR(INDEX('Hun Demand'!R:R,MATCH(O4,'Hun Demand'!A:A,0)),"")</f>
        <v/>
      </c>
      <c r="G4" s="25">
        <f>IFERROR(INDEX('Aub Demand'!W:W,MATCH(O4,'Aub Demand'!A:A,0)),"")</f>
        <v>10994</v>
      </c>
      <c r="H4" s="25">
        <f>IFERROR(INDEX('Aub Demand'!V:V,MATCH(O4,'Aub Demand'!A:A,0)),"")</f>
        <v>10872</v>
      </c>
      <c r="I4" s="25">
        <f>IFERROR(INDEX('Aub Demand'!U:U,MATCH(O4,'Aub Demand'!A:A,0)),"")</f>
        <v>9340</v>
      </c>
      <c r="J4" s="25">
        <f>IFERROR(INDEX('Aub Demand'!T:T,MATCH(O4,'Aub Demand'!A:A,0)),"")</f>
        <v>0</v>
      </c>
      <c r="K4" s="25">
        <f>IFERROR(INDEX('Aub Demand'!S:S,MATCH(O4,'Aub Demand'!A:A,0)),"")</f>
        <v>2559</v>
      </c>
      <c r="L4" s="25">
        <f>IFERROR(INDEX('Aub Demand'!R:R,MATCH(O4,'Aub Demand'!A:A,0)),"")</f>
        <v>0</v>
      </c>
      <c r="O4" s="27" t="s">
        <v>61</v>
      </c>
      <c r="P4" s="27" t="str">
        <f>IFERROR(INDEX('Aub Demand'!B:B,MATCH($O4,'Aub Demand'!$A:$A,0)),"")</f>
        <v>WHITE OVERLAY HC (CP</v>
      </c>
      <c r="Q4" s="27" t="str">
        <f>IFERROR(INDEX('Aub Demand'!C:C,MATCH($O4,'Aub Demand'!$A:$A,0)),"")</f>
        <v>GLATF</v>
      </c>
      <c r="R4" s="52">
        <f>IFERROR(IF(AR5=AR4,INDEX('Aub Demand'!K:K,MATCH($O4,'Aub Demand'!$A:$A,0))-IF(AN4="",0,AN4)+AP5,INDEX('Aub Demand'!K:K,MATCH($O4,'Aub Demand'!$A:$A,0))-IF(AN4="",0,AN4)),"")</f>
        <v>4800</v>
      </c>
      <c r="S4" s="53">
        <f t="shared" si="0"/>
        <v>5.2</v>
      </c>
      <c r="T4" s="52" t="str">
        <f t="shared" si="1"/>
        <v/>
      </c>
      <c r="U4" s="52">
        <f>IFERROR(IF(AR5=AR4,INDEX('Aub Demand'!Q:Q,MATCH($O4,'Aub Demand'!$A:$A,0))-IF(AN4="",0,AN4)+AP5,INDEX('Aub Demand'!Q:Q,MATCH($O4,'Aub Demand'!$A:$A,0))-IF(AN4="",0,AN4)),"")</f>
        <v>4800</v>
      </c>
      <c r="V4" s="53">
        <f t="shared" si="2"/>
        <v>5.2</v>
      </c>
      <c r="W4" s="52" t="str">
        <f t="shared" si="3"/>
        <v/>
      </c>
      <c r="X4" s="52">
        <f>IFERROR(IF(AND(AR5=AR4,AM4&lt;&gt;""),INDEX('Aub Demand'!Q:Q,MATCH($O4,'Aub Demand'!$A:$A,0))-IF(AN4="",0,AN4)+AP5+AD4+AL4,IF(AR5=AR4,INDEX('Aub Demand'!Q:Q,MATCH($O4,'Aub Demand'!$A:$A,0))-IF(AN4="",0,AN4)+AP5+AD4,IF(AM4&lt;&gt;"",INDEX('Aub Demand'!Q:Q,MATCH($O4,'Aub Demand'!$A:$A,0))-IF(AN4="",0,AN4)+AD4+AL4,INDEX('Aub Demand'!Q:Q,MATCH($O4,'Aub Demand'!$A:$A,0))-IF(AN4="",0,AN4)+AD4))),"")</f>
        <v>4800</v>
      </c>
      <c r="Y4" s="53">
        <f t="shared" si="4"/>
        <v>5.2</v>
      </c>
      <c r="Z4" s="52">
        <f>IF(L4="","",INDEX('Aub Demand'!H:H,MATCH($O4,'Aub Demand'!$A:$A,0)))</f>
        <v>3966</v>
      </c>
      <c r="AA4" s="52">
        <f t="shared" si="5"/>
        <v>5949.5</v>
      </c>
      <c r="AB4" s="52">
        <f>IFERROR(INDEX('Aub Demand'!L:L,MATCH($O4,'Aub Demand'!$A:$A,0)),"")</f>
        <v>12553</v>
      </c>
      <c r="AC4" s="52">
        <f>IFERROR(IF(O4="","",SUMIFS('CPL Mats'!F:F,'CPL Mats'!Q:Q,AR4,'CPL Mats'!S:S,AS4)),"")</f>
        <v>0</v>
      </c>
      <c r="AF4" s="25" t="str">
        <f>IF(SUMIFS('Supp Consol'!S:S,'Supp Consol'!Y:Y,"Releasable",'Supp Consol'!A:A,O4)=0,"",SUMIFS('Supp Consol'!S:S,'Supp Consol'!Y:Y,"Releasable",'Supp Consol'!A:A,O4))</f>
        <v/>
      </c>
      <c r="AG4" s="25" t="str">
        <f>IFERROR(INDEX('Hun Demand'!Q:Q,MATCH(O4,'Hun Demand'!A:A,0)),"")</f>
        <v/>
      </c>
      <c r="AH4" s="25" t="str">
        <f>IFERROR(INDEX('Hun Demand'!H:H,MATCH($O4,'Hun Demand'!$A:$A,0)),"")</f>
        <v/>
      </c>
      <c r="AI4" s="25" t="str">
        <f>IF(SUMIFS('Supp Consol'!AA:AA,'Supp Consol'!Z:Z,"Expires this month",'Supp Consol'!A:A,O4)=0,"",SUMIFS('Supp Consol'!AA:AA,'Supp Consol'!Z:Z,"Expires this month",'Supp Consol'!A:A,O4))</f>
        <v/>
      </c>
      <c r="AJ4" s="25" t="str">
        <f>IF(SUMIFS('Supp Consol'!AA:AA,'Supp Consol'!Z:Z,"Expired Previous Months",'Supp Consol'!A:A,O4)=0,"",SUMIFS('Supp Consol'!AA:AA,'Supp Consol'!Z:Z,"Expired Previous Months",'Supp Consol'!A:A,O4))</f>
        <v/>
      </c>
      <c r="AK4" s="25" t="str">
        <f>IFERROR(INDEX('Hun Release Current'!B:B,MATCH(O4,'Hun Release Current'!A:A,0)),"")</f>
        <v/>
      </c>
      <c r="AL4" s="25" t="str">
        <f>IF(SUMIF('Prev Aub'!A:A,O4,'Prev Aub'!B:B)=0,"",SUMIF('Prev Aub'!A:A,O4,'Prev Aub'!B:B))</f>
        <v/>
      </c>
      <c r="AN4" s="25" t="s">
        <v>3790</v>
      </c>
      <c r="AO4" s="25" t="s">
        <v>3790</v>
      </c>
      <c r="AP4" s="25">
        <f t="shared" si="6"/>
        <v>0</v>
      </c>
      <c r="AQ4" s="151" t="str">
        <f>IF(SUMIFS('Supp Consol'!S:S,'Supp Consol'!A:A,O4,'Supp Consol'!I:I,"PENDING")=0,"",SUMIFS('Supp Consol'!S:S,'Supp Consol'!A:A,O4,'Supp Consol'!I:I,"PENDING"))</f>
        <v/>
      </c>
      <c r="AR4" s="27" t="str">
        <f t="shared" si="7"/>
        <v>00002</v>
      </c>
      <c r="AS4" s="27" t="str">
        <f t="shared" si="8"/>
        <v>49</v>
      </c>
      <c r="AT4" s="27" t="str">
        <f t="shared" si="9"/>
        <v/>
      </c>
      <c r="AU4" s="27" t="str">
        <f t="shared" si="10"/>
        <v/>
      </c>
      <c r="AV4" s="27" t="str">
        <f t="shared" si="11"/>
        <v/>
      </c>
      <c r="AW4" s="27" t="str">
        <f t="shared" si="12"/>
        <v/>
      </c>
      <c r="AX4" s="27" t="str">
        <f t="shared" si="13"/>
        <v/>
      </c>
      <c r="AY4" s="27" t="str">
        <f t="shared" si="14"/>
        <v/>
      </c>
      <c r="AZ4" s="27" t="str">
        <f t="shared" si="15"/>
        <v>Supp</v>
      </c>
      <c r="BA4" s="27" t="str">
        <f t="shared" si="16"/>
        <v/>
      </c>
      <c r="BB4" s="27" t="str">
        <f t="shared" si="17"/>
        <v/>
      </c>
      <c r="BC4" s="27" t="str">
        <f t="shared" si="18"/>
        <v/>
      </c>
      <c r="BD4" s="27" t="str">
        <f t="shared" si="19"/>
        <v/>
      </c>
      <c r="BE4" s="27" t="str">
        <f t="shared" si="20"/>
        <v/>
      </c>
      <c r="BF4" s="27" t="str">
        <f t="shared" si="21"/>
        <v/>
      </c>
      <c r="BG4" s="27" t="str">
        <f t="shared" si="22"/>
        <v/>
      </c>
      <c r="BH4" s="27" t="str">
        <f t="shared" si="23"/>
        <v/>
      </c>
      <c r="BI4" s="27" t="str">
        <f t="shared" si="24"/>
        <v/>
      </c>
      <c r="BJ4" s="27" t="str">
        <f t="shared" si="25"/>
        <v>Supp or Hun</v>
      </c>
      <c r="BK4" s="27" t="str">
        <f t="shared" si="26"/>
        <v/>
      </c>
      <c r="BL4" s="27" t="str">
        <f t="shared" si="27"/>
        <v/>
      </c>
      <c r="BM4" s="21" t="s">
        <v>5581</v>
      </c>
    </row>
    <row r="5" spans="1:65" ht="15">
      <c r="A5" s="25" t="str">
        <f>IFERROR(INDEX('Hun Demand'!W:W,MATCH(O5,'Hun Demand'!A:A,0)),"")</f>
        <v/>
      </c>
      <c r="B5" s="25" t="str">
        <f>IFERROR(INDEX('Hun Demand'!V:V,MATCH(O5,'Hun Demand'!A:A,0)),"")</f>
        <v/>
      </c>
      <c r="C5" s="25" t="str">
        <f>IFERROR(INDEX('Hun Demand'!U:U,MATCH(O5,'Hun Demand'!A:A,0)),"")</f>
        <v/>
      </c>
      <c r="D5" s="25" t="str">
        <f>IFERROR(INDEX('Hun Demand'!T:T,MATCH(O5,'Hun Demand'!A:A,0)),"")</f>
        <v/>
      </c>
      <c r="E5" s="25" t="str">
        <f>IFERROR(INDEX('Hun Demand'!S:S,MATCH(O5,'Hun Demand'!A:A,0)),"")</f>
        <v/>
      </c>
      <c r="F5" s="25" t="str">
        <f>IFERROR(INDEX('Hun Demand'!R:R,MATCH(O5,'Hun Demand'!A:A,0)),"")</f>
        <v/>
      </c>
      <c r="G5" s="25">
        <f>IFERROR(INDEX('Aub Demand'!W:W,MATCH(O5,'Aub Demand'!A:A,0)),"")</f>
        <v>5544</v>
      </c>
      <c r="H5" s="25">
        <f>IFERROR(INDEX('Aub Demand'!V:V,MATCH(O5,'Aub Demand'!A:A,0)),"")</f>
        <v>6282</v>
      </c>
      <c r="I5" s="25">
        <f>IFERROR(INDEX('Aub Demand'!U:U,MATCH(O5,'Aub Demand'!A:A,0)),"")</f>
        <v>4466</v>
      </c>
      <c r="J5" s="25">
        <f>IFERROR(INDEX('Aub Demand'!T:T,MATCH(O5,'Aub Demand'!A:A,0)),"")</f>
        <v>5559</v>
      </c>
      <c r="K5" s="25">
        <f>IFERROR(INDEX('Aub Demand'!S:S,MATCH(O5,'Aub Demand'!A:A,0)),"")</f>
        <v>6717</v>
      </c>
      <c r="L5" s="25">
        <f>IFERROR(INDEX('Aub Demand'!R:R,MATCH(O5,'Aub Demand'!A:A,0)),"")</f>
        <v>65</v>
      </c>
      <c r="O5" s="27" t="s">
        <v>64</v>
      </c>
      <c r="P5" s="27" t="str">
        <f>IFERROR(INDEX('Aub Demand'!B:B,MATCH($O5,'Aub Demand'!$A:$A,0)),"")</f>
        <v>WHITE OVERLAY HC</v>
      </c>
      <c r="Q5" s="27" t="str">
        <f>IFERROR(INDEX('Aub Demand'!C:C,MATCH($O5,'Aub Demand'!$A:$A,0)),"")</f>
        <v>GLATF</v>
      </c>
      <c r="R5" s="52">
        <f>IFERROR(IF(AR6=AR5,INDEX('Aub Demand'!K:K,MATCH($O5,'Aub Demand'!$A:$A,0))-IF(AN5="",0,AN5)+AP6,INDEX('Aub Demand'!K:K,MATCH($O5,'Aub Demand'!$A:$A,0))-IF(AN5="",0,AN5)),"")</f>
        <v>8431</v>
      </c>
      <c r="S5" s="53">
        <f t="shared" si="0"/>
        <v>6.5</v>
      </c>
      <c r="T5" s="52" t="str">
        <f t="shared" si="1"/>
        <v/>
      </c>
      <c r="U5" s="52">
        <f>IFERROR(IF(AR6=AR5,INDEX('Aub Demand'!Q:Q,MATCH($O5,'Aub Demand'!$A:$A,0))-IF(AN5="",0,AN5)+AP6,INDEX('Aub Demand'!Q:Q,MATCH($O5,'Aub Demand'!$A:$A,0))-IF(AN5="",0,AN5)),"")</f>
        <v>3772</v>
      </c>
      <c r="V5" s="53">
        <f t="shared" si="2"/>
        <v>2.9</v>
      </c>
      <c r="W5" s="52">
        <f t="shared" si="3"/>
        <v>153.45000000000013</v>
      </c>
      <c r="X5" s="52">
        <f>IFERROR(IF(AND(AR6=AR5,AM5&lt;&gt;""),INDEX('Aub Demand'!Q:Q,MATCH($O5,'Aub Demand'!$A:$A,0))-IF(AN5="",0,AN5)+AP6+AD5+AL5,IF(AR6=AR5,INDEX('Aub Demand'!Q:Q,MATCH($O5,'Aub Demand'!$A:$A,0))-IF(AN5="",0,AN5)+AP6+AD5,IF(AM5&lt;&gt;"",INDEX('Aub Demand'!Q:Q,MATCH($O5,'Aub Demand'!$A:$A,0))-IF(AN5="",0,AN5)+AD5+AL5,INDEX('Aub Demand'!Q:Q,MATCH($O5,'Aub Demand'!$A:$A,0))-IF(AN5="",0,AN5)+AD5))),"")</f>
        <v>4772</v>
      </c>
      <c r="Y5" s="53">
        <f t="shared" si="4"/>
        <v>3.7</v>
      </c>
      <c r="Z5" s="52">
        <f>IF(L5="","",INDEX('Aub Demand'!H:H,MATCH($O5,'Aub Demand'!$A:$A,0)))</f>
        <v>5581</v>
      </c>
      <c r="AA5" s="52">
        <f t="shared" si="5"/>
        <v>6138</v>
      </c>
      <c r="AB5" s="52">
        <f>IFERROR(INDEX('Aub Demand'!L:L,MATCH($O5,'Aub Demand'!$A:$A,0)),"")</f>
        <v>2570</v>
      </c>
      <c r="AC5" s="52">
        <f>IFERROR(IF(O5="","",SUMIFS('CPL Mats'!F:F,'CPL Mats'!Q:Q,AR5,'CPL Mats'!S:S,AS5)),"")</f>
        <v>0</v>
      </c>
      <c r="AD5" s="25">
        <v>1000</v>
      </c>
      <c r="AE5" s="52" t="s">
        <v>5583</v>
      </c>
      <c r="AF5" s="25">
        <f>IF(SUMIFS('Supp Consol'!S:S,'Supp Consol'!Y:Y,"Releasable",'Supp Consol'!A:A,O5)=0,"",SUMIFS('Supp Consol'!S:S,'Supp Consol'!Y:Y,"Releasable",'Supp Consol'!A:A,O5))</f>
        <v>5734</v>
      </c>
      <c r="AG5" s="25" t="str">
        <f>IFERROR(INDEX('Hun Demand'!Q:Q,MATCH(O5,'Hun Demand'!A:A,0)),"")</f>
        <v/>
      </c>
      <c r="AH5" s="25" t="str">
        <f>IFERROR(INDEX('Hun Demand'!H:H,MATCH($O5,'Hun Demand'!$A:$A,0)),"")</f>
        <v/>
      </c>
      <c r="AI5" s="25" t="str">
        <f>IF(SUMIFS('Supp Consol'!AA:AA,'Supp Consol'!Z:Z,"Expires this month",'Supp Consol'!A:A,O5)=0,"",SUMIFS('Supp Consol'!AA:AA,'Supp Consol'!Z:Z,"Expires this month",'Supp Consol'!A:A,O5))</f>
        <v/>
      </c>
      <c r="AJ5" s="25" t="str">
        <f>IF(SUMIFS('Supp Consol'!AA:AA,'Supp Consol'!Z:Z,"Expired Previous Months",'Supp Consol'!A:A,O5)=0,"",SUMIFS('Supp Consol'!AA:AA,'Supp Consol'!Z:Z,"Expired Previous Months",'Supp Consol'!A:A,O5))</f>
        <v/>
      </c>
      <c r="AK5" s="25" t="str">
        <f>IFERROR(INDEX('Hun Release Current'!B:B,MATCH(O5,'Hun Release Current'!A:A,0)),"")</f>
        <v/>
      </c>
      <c r="AL5" s="25" t="str">
        <f>IF(SUMIF('Prev Aub'!A:A,O5,'Prev Aub'!B:B)=0,"",SUMIF('Prev Aub'!A:A,O5,'Prev Aub'!B:B))</f>
        <v/>
      </c>
      <c r="AN5" s="25">
        <v>6000</v>
      </c>
      <c r="AO5" s="25" t="s">
        <v>3891</v>
      </c>
      <c r="AP5" s="25">
        <f t="shared" si="6"/>
        <v>4800</v>
      </c>
      <c r="AQ5" s="151" t="str">
        <f>IF(SUMIFS('Supp Consol'!S:S,'Supp Consol'!A:A,O5,'Supp Consol'!I:I,"PENDING")=0,"",SUMIFS('Supp Consol'!S:S,'Supp Consol'!A:A,O5,'Supp Consol'!I:I,"PENDING"))</f>
        <v/>
      </c>
      <c r="AR5" s="27" t="str">
        <f t="shared" si="7"/>
        <v>00002</v>
      </c>
      <c r="AS5" s="27" t="str">
        <f t="shared" si="8"/>
        <v>50</v>
      </c>
      <c r="AT5" s="27" t="str">
        <f t="shared" si="9"/>
        <v/>
      </c>
      <c r="AU5" s="27" t="str">
        <f t="shared" si="10"/>
        <v/>
      </c>
      <c r="AV5" s="27" t="str">
        <f t="shared" si="11"/>
        <v/>
      </c>
      <c r="AW5" s="27" t="str">
        <f t="shared" si="12"/>
        <v/>
      </c>
      <c r="AX5" s="27" t="str">
        <f t="shared" si="13"/>
        <v>00002</v>
      </c>
      <c r="AY5" s="27" t="str">
        <f t="shared" si="14"/>
        <v/>
      </c>
      <c r="AZ5" s="27" t="str">
        <f t="shared" si="15"/>
        <v>Supp</v>
      </c>
      <c r="BA5" s="27" t="str">
        <f t="shared" si="16"/>
        <v/>
      </c>
      <c r="BB5" s="27" t="str">
        <f t="shared" si="17"/>
        <v/>
      </c>
      <c r="BC5" s="27" t="str">
        <f t="shared" si="18"/>
        <v/>
      </c>
      <c r="BD5" s="27" t="str">
        <f t="shared" si="19"/>
        <v/>
      </c>
      <c r="BE5" s="27" t="str">
        <f t="shared" si="20"/>
        <v/>
      </c>
      <c r="BF5" s="27" t="str">
        <f t="shared" si="21"/>
        <v/>
      </c>
      <c r="BG5" s="27" t="str">
        <f t="shared" si="22"/>
        <v/>
      </c>
      <c r="BH5" s="27" t="str">
        <f t="shared" si="23"/>
        <v/>
      </c>
      <c r="BI5" s="27" t="str">
        <f t="shared" si="24"/>
        <v/>
      </c>
      <c r="BJ5" s="27" t="str">
        <f t="shared" si="25"/>
        <v>Supp or Hun</v>
      </c>
      <c r="BK5" s="27" t="str">
        <f t="shared" si="26"/>
        <v/>
      </c>
      <c r="BL5" s="27" t="str">
        <f t="shared" si="27"/>
        <v/>
      </c>
      <c r="BM5" s="21" t="s">
        <v>5581</v>
      </c>
    </row>
    <row r="6" spans="1:65" ht="15">
      <c r="A6" s="25" t="str">
        <f>IFERROR(INDEX('Hun Demand'!W:W,MATCH(O6,'Hun Demand'!A:A,0)),"")</f>
        <v/>
      </c>
      <c r="B6" s="25" t="str">
        <f>IFERROR(INDEX('Hun Demand'!V:V,MATCH(O6,'Hun Demand'!A:A,0)),"")</f>
        <v/>
      </c>
      <c r="C6" s="25" t="str">
        <f>IFERROR(INDEX('Hun Demand'!U:U,MATCH(O6,'Hun Demand'!A:A,0)),"")</f>
        <v/>
      </c>
      <c r="D6" s="25" t="str">
        <f>IFERROR(INDEX('Hun Demand'!T:T,MATCH(O6,'Hun Demand'!A:A,0)),"")</f>
        <v/>
      </c>
      <c r="E6" s="25" t="str">
        <f>IFERROR(INDEX('Hun Demand'!S:S,MATCH(O6,'Hun Demand'!A:A,0)),"")</f>
        <v/>
      </c>
      <c r="F6" s="25" t="str">
        <f>IFERROR(INDEX('Hun Demand'!R:R,MATCH(O6,'Hun Demand'!A:A,0)),"")</f>
        <v/>
      </c>
      <c r="G6" s="25">
        <f>IFERROR(INDEX('Aub Demand'!W:W,MATCH(O6,'Aub Demand'!A:A,0)),"")</f>
        <v>5654</v>
      </c>
      <c r="H6" s="25">
        <f>IFERROR(INDEX('Aub Demand'!V:V,MATCH(O6,'Aub Demand'!A:A,0)),"")</f>
        <v>6789</v>
      </c>
      <c r="I6" s="25">
        <f>IFERROR(INDEX('Aub Demand'!U:U,MATCH(O6,'Aub Demand'!A:A,0)),"")</f>
        <v>5830</v>
      </c>
      <c r="J6" s="25">
        <f>IFERROR(INDEX('Aub Demand'!T:T,MATCH(O6,'Aub Demand'!A:A,0)),"")</f>
        <v>4240</v>
      </c>
      <c r="K6" s="25">
        <f>IFERROR(INDEX('Aub Demand'!S:S,MATCH(O6,'Aub Demand'!A:A,0)),"")</f>
        <v>10368</v>
      </c>
      <c r="L6" s="25">
        <f>IFERROR(INDEX('Aub Demand'!R:R,MATCH(O6,'Aub Demand'!A:A,0)),"")</f>
        <v>1034</v>
      </c>
      <c r="O6" s="27" t="s">
        <v>65</v>
      </c>
      <c r="P6" s="27" t="str">
        <f>IFERROR(INDEX('Aub Demand'!B:B,MATCH($O6,'Aub Demand'!$A:$A,0)),"")</f>
        <v>WHITE OVERLAY HC</v>
      </c>
      <c r="Q6" s="27" t="str">
        <f>IFERROR(INDEX('Aub Demand'!C:C,MATCH($O6,'Aub Demand'!$A:$A,0)),"")</f>
        <v>GLATF</v>
      </c>
      <c r="R6" s="52">
        <f>IFERROR(IF(AR7=AR6,INDEX('Aub Demand'!K:K,MATCH($O6,'Aub Demand'!$A:$A,0))-IF(AN6="",0,AN6)+AP7,INDEX('Aub Demand'!K:K,MATCH($O6,'Aub Demand'!$A:$A,0))-IF(AN6="",0,AN6)),"")</f>
        <v>12662</v>
      </c>
      <c r="S6" s="53">
        <f t="shared" si="0"/>
        <v>8</v>
      </c>
      <c r="T6" s="52" t="str">
        <f t="shared" si="1"/>
        <v/>
      </c>
      <c r="U6" s="52">
        <f>IFERROR(IF(AR7=AR6,INDEX('Aub Demand'!Q:Q,MATCH($O6,'Aub Demand'!$A:$A,0))-IF(AN6="",0,AN6)+AP7,INDEX('Aub Demand'!Q:Q,MATCH($O6,'Aub Demand'!$A:$A,0))-IF(AN6="",0,AN6)),"")</f>
        <v>8875</v>
      </c>
      <c r="V6" s="53">
        <f t="shared" si="2"/>
        <v>5.6</v>
      </c>
      <c r="W6" s="52" t="str">
        <f t="shared" si="3"/>
        <v/>
      </c>
      <c r="X6" s="52">
        <f>IFERROR(IF(AND(AR7=AR6,AM6&lt;&gt;""),INDEX('Aub Demand'!Q:Q,MATCH($O6,'Aub Demand'!$A:$A,0))-IF(AN6="",0,AN6)+AP7+AD6+AL6,IF(AR7=AR6,INDEX('Aub Demand'!Q:Q,MATCH($O6,'Aub Demand'!$A:$A,0))-IF(AN6="",0,AN6)+AP7+AD6,IF(AM6&lt;&gt;"",INDEX('Aub Demand'!Q:Q,MATCH($O6,'Aub Demand'!$A:$A,0))-IF(AN6="",0,AN6)+AD6+AL6,INDEX('Aub Demand'!Q:Q,MATCH($O6,'Aub Demand'!$A:$A,0))-IF(AN6="",0,AN6)+AD6))),"")</f>
        <v>8875</v>
      </c>
      <c r="Y6" s="53">
        <f t="shared" si="4"/>
        <v>5.6</v>
      </c>
      <c r="Z6" s="52">
        <f>IF(L6="","",INDEX('Aub Demand'!H:H,MATCH($O6,'Aub Demand'!$A:$A,0)))</f>
        <v>6813</v>
      </c>
      <c r="AA6" s="52">
        <f t="shared" si="5"/>
        <v>8099</v>
      </c>
      <c r="AB6" s="52">
        <f>IFERROR(INDEX('Aub Demand'!L:L,MATCH($O6,'Aub Demand'!$A:$A,0)),"")</f>
        <v>5918</v>
      </c>
      <c r="AC6" s="52">
        <f>IFERROR(IF(O6="","",SUMIFS('CPL Mats'!F:F,'CPL Mats'!Q:Q,AR6,'CPL Mats'!S:S,AS6)),"")</f>
        <v>0</v>
      </c>
      <c r="AF6" s="25">
        <f>IF(SUMIFS('Supp Consol'!S:S,'Supp Consol'!Y:Y,"Releasable",'Supp Consol'!A:A,O6)=0,"",SUMIFS('Supp Consol'!S:S,'Supp Consol'!Y:Y,"Releasable",'Supp Consol'!A:A,O6))</f>
        <v>27641</v>
      </c>
      <c r="AG6" s="25" t="str">
        <f>IFERROR(INDEX('Hun Demand'!Q:Q,MATCH(O6,'Hun Demand'!A:A,0)),"")</f>
        <v/>
      </c>
      <c r="AH6" s="25" t="str">
        <f>IFERROR(INDEX('Hun Demand'!H:H,MATCH($O6,'Hun Demand'!$A:$A,0)),"")</f>
        <v/>
      </c>
      <c r="AI6" s="25" t="str">
        <f>IF(SUMIFS('Supp Consol'!AA:AA,'Supp Consol'!Z:Z,"Expires this month",'Supp Consol'!A:A,O6)=0,"",SUMIFS('Supp Consol'!AA:AA,'Supp Consol'!Z:Z,"Expires this month",'Supp Consol'!A:A,O6))</f>
        <v/>
      </c>
      <c r="AJ6" s="25" t="str">
        <f>IF(SUMIFS('Supp Consol'!AA:AA,'Supp Consol'!Z:Z,"Expired Previous Months",'Supp Consol'!A:A,O6)=0,"",SUMIFS('Supp Consol'!AA:AA,'Supp Consol'!Z:Z,"Expired Previous Months",'Supp Consol'!A:A,O6))</f>
        <v/>
      </c>
      <c r="AK6" s="25" t="str">
        <f>IFERROR(INDEX('Hun Release Current'!B:B,MATCH(O6,'Hun Release Current'!A:A,0)),"")</f>
        <v/>
      </c>
      <c r="AL6" s="25" t="str">
        <f>IF(SUMIF('Prev Aub'!A:A,O6,'Prev Aub'!B:B)=0,"",SUMIF('Prev Aub'!A:A,O6,'Prev Aub'!B:B))</f>
        <v/>
      </c>
      <c r="AN6" s="25" t="s">
        <v>3790</v>
      </c>
      <c r="AO6" s="25" t="s">
        <v>3790</v>
      </c>
      <c r="AP6" s="25">
        <f t="shared" si="6"/>
        <v>0</v>
      </c>
      <c r="AQ6" s="151" t="str">
        <f>IF(SUMIFS('Supp Consol'!S:S,'Supp Consol'!A:A,O6,'Supp Consol'!I:I,"PENDING")=0,"",SUMIFS('Supp Consol'!S:S,'Supp Consol'!A:A,O6,'Supp Consol'!I:I,"PENDING"))</f>
        <v/>
      </c>
      <c r="AR6" s="27" t="str">
        <f t="shared" si="7"/>
        <v>00002</v>
      </c>
      <c r="AS6" s="27" t="str">
        <f t="shared" si="8"/>
        <v>62</v>
      </c>
      <c r="AT6" s="27" t="str">
        <f t="shared" si="9"/>
        <v/>
      </c>
      <c r="AU6" s="27" t="str">
        <f t="shared" si="10"/>
        <v/>
      </c>
      <c r="AV6" s="27" t="str">
        <f t="shared" si="11"/>
        <v/>
      </c>
      <c r="AW6" s="27" t="str">
        <f t="shared" si="12"/>
        <v/>
      </c>
      <c r="AX6" s="27" t="str">
        <f t="shared" si="13"/>
        <v>00002</v>
      </c>
      <c r="AY6" s="27" t="str">
        <f t="shared" si="14"/>
        <v/>
      </c>
      <c r="AZ6" s="27" t="str">
        <f t="shared" si="15"/>
        <v>Supp</v>
      </c>
      <c r="BA6" s="27" t="str">
        <f t="shared" si="16"/>
        <v/>
      </c>
      <c r="BB6" s="27" t="str">
        <f t="shared" si="17"/>
        <v/>
      </c>
      <c r="BC6" s="27" t="str">
        <f t="shared" si="18"/>
        <v/>
      </c>
      <c r="BD6" s="27" t="str">
        <f t="shared" si="19"/>
        <v/>
      </c>
      <c r="BE6" s="27" t="str">
        <f t="shared" si="20"/>
        <v/>
      </c>
      <c r="BF6" s="27" t="str">
        <f t="shared" si="21"/>
        <v/>
      </c>
      <c r="BG6" s="27" t="str">
        <f t="shared" si="22"/>
        <v/>
      </c>
      <c r="BH6" s="27" t="str">
        <f t="shared" si="23"/>
        <v/>
      </c>
      <c r="BI6" s="27" t="str">
        <f t="shared" si="24"/>
        <v/>
      </c>
      <c r="BJ6" s="27" t="str">
        <f t="shared" si="25"/>
        <v>Supp or Hun</v>
      </c>
      <c r="BK6" s="27" t="str">
        <f t="shared" si="26"/>
        <v/>
      </c>
      <c r="BL6" s="27" t="str">
        <f t="shared" si="27"/>
        <v/>
      </c>
      <c r="BM6" s="21" t="s">
        <v>5581</v>
      </c>
    </row>
    <row r="7" spans="1:65" ht="15">
      <c r="A7" s="25" t="str">
        <f>IFERROR(INDEX('Hun Demand'!W:W,MATCH(O7,'Hun Demand'!A:A,0)),"")</f>
        <v/>
      </c>
      <c r="B7" s="25" t="str">
        <f>IFERROR(INDEX('Hun Demand'!V:V,MATCH(O7,'Hun Demand'!A:A,0)),"")</f>
        <v/>
      </c>
      <c r="C7" s="25" t="str">
        <f>IFERROR(INDEX('Hun Demand'!U:U,MATCH(O7,'Hun Demand'!A:A,0)),"")</f>
        <v/>
      </c>
      <c r="D7" s="25" t="str">
        <f>IFERROR(INDEX('Hun Demand'!T:T,MATCH(O7,'Hun Demand'!A:A,0)),"")</f>
        <v/>
      </c>
      <c r="E7" s="25" t="str">
        <f>IFERROR(INDEX('Hun Demand'!S:S,MATCH(O7,'Hun Demand'!A:A,0)),"")</f>
        <v/>
      </c>
      <c r="F7" s="25" t="str">
        <f>IFERROR(INDEX('Hun Demand'!R:R,MATCH(O7,'Hun Demand'!A:A,0)),"")</f>
        <v/>
      </c>
      <c r="G7" s="25">
        <f>IFERROR(INDEX('Aub Demand'!W:W,MATCH(O7,'Aub Demand'!A:A,0)),"")</f>
        <v>0</v>
      </c>
      <c r="H7" s="25">
        <f>IFERROR(INDEX('Aub Demand'!V:V,MATCH(O7,'Aub Demand'!A:A,0)),"")</f>
        <v>0</v>
      </c>
      <c r="I7" s="25">
        <f>IFERROR(INDEX('Aub Demand'!U:U,MATCH(O7,'Aub Demand'!A:A,0)),"")</f>
        <v>0</v>
      </c>
      <c r="J7" s="25">
        <f>IFERROR(INDEX('Aub Demand'!T:T,MATCH(O7,'Aub Demand'!A:A,0)),"")</f>
        <v>0</v>
      </c>
      <c r="K7" s="25">
        <f>IFERROR(INDEX('Aub Demand'!S:S,MATCH(O7,'Aub Demand'!A:A,0)),"")</f>
        <v>246</v>
      </c>
      <c r="L7" s="25">
        <f>IFERROR(INDEX('Aub Demand'!R:R,MATCH(O7,'Aub Demand'!A:A,0)),"")</f>
        <v>0</v>
      </c>
      <c r="O7" s="27" t="s">
        <v>66</v>
      </c>
      <c r="P7" s="27" t="str">
        <f>IFERROR(INDEX('Aub Demand'!B:B,MATCH($O7,'Aub Demand'!$A:$A,0)),"")</f>
        <v>POLY OVERLAY 17# (ME</v>
      </c>
      <c r="Q7" s="27" t="str">
        <f>IFERROR(INDEX('Aub Demand'!C:C,MATCH($O7,'Aub Demand'!$A:$A,0)),"")</f>
        <v>ONYX</v>
      </c>
      <c r="R7" s="52">
        <f>IFERROR(IF(AR8=AR7,INDEX('Aub Demand'!K:K,MATCH($O7,'Aub Demand'!$A:$A,0))-IF(AN7="",0,AN7)+AP8,INDEX('Aub Demand'!K:K,MATCH($O7,'Aub Demand'!$A:$A,0))-IF(AN7="",0,AN7)),"")</f>
        <v>799</v>
      </c>
      <c r="S7" s="53">
        <f t="shared" si="0"/>
        <v>41.8</v>
      </c>
      <c r="T7" s="52" t="str">
        <f t="shared" si="1"/>
        <v/>
      </c>
      <c r="U7" s="52">
        <f>IFERROR(IF(AR8=AR7,INDEX('Aub Demand'!Q:Q,MATCH($O7,'Aub Demand'!$A:$A,0))-IF(AN7="",0,AN7)+AP8,INDEX('Aub Demand'!Q:Q,MATCH($O7,'Aub Demand'!$A:$A,0))-IF(AN7="",0,AN7)),"")</f>
        <v>718</v>
      </c>
      <c r="V7" s="53">
        <f t="shared" si="2"/>
        <v>37.5</v>
      </c>
      <c r="W7" s="52" t="str">
        <f t="shared" si="3"/>
        <v/>
      </c>
      <c r="X7" s="52">
        <f>IFERROR(IF(AND(AR8=AR7,AM7&lt;&gt;""),INDEX('Aub Demand'!Q:Q,MATCH($O7,'Aub Demand'!$A:$A,0))-IF(AN7="",0,AN7)+AP8+AD7+AL7,IF(AR8=AR7,INDEX('Aub Demand'!Q:Q,MATCH($O7,'Aub Demand'!$A:$A,0))-IF(AN7="",0,AN7)+AP8+AD7,IF(AM7&lt;&gt;"",INDEX('Aub Demand'!Q:Q,MATCH($O7,'Aub Demand'!$A:$A,0))-IF(AN7="",0,AN7)+AD7+AL7,INDEX('Aub Demand'!Q:Q,MATCH($O7,'Aub Demand'!$A:$A,0))-IF(AN7="",0,AN7)+AD7))),"")</f>
        <v>718</v>
      </c>
      <c r="Y7" s="53">
        <f t="shared" si="4"/>
        <v>37.5</v>
      </c>
      <c r="Z7" s="52">
        <f>IF(L7="","",INDEX('Aub Demand'!H:H,MATCH($O7,'Aub Demand'!$A:$A,0)))</f>
        <v>82</v>
      </c>
      <c r="AA7" s="52" t="str">
        <f t="shared" si="5"/>
        <v>-spike-</v>
      </c>
      <c r="AB7" s="52">
        <f>IFERROR(INDEX('Aub Demand'!L:L,MATCH($O7,'Aub Demand'!$A:$A,0)),"")</f>
        <v>227</v>
      </c>
      <c r="AC7" s="52">
        <f>IFERROR(IF(O7="","",SUMIFS('CPL Mats'!F:F,'CPL Mats'!Q:Q,AR7,'CPL Mats'!S:S,AS7)),"")</f>
        <v>0</v>
      </c>
      <c r="AF7" s="25">
        <f>IF(SUMIFS('Supp Consol'!S:S,'Supp Consol'!Y:Y,"Releasable",'Supp Consol'!A:A,O7)=0,"",SUMIFS('Supp Consol'!S:S,'Supp Consol'!Y:Y,"Releasable",'Supp Consol'!A:A,O7))</f>
        <v>512</v>
      </c>
      <c r="AG7" s="25" t="str">
        <f>IFERROR(INDEX('Hun Demand'!Q:Q,MATCH(O7,'Hun Demand'!A:A,0)),"")</f>
        <v/>
      </c>
      <c r="AH7" s="25" t="str">
        <f>IFERROR(INDEX('Hun Demand'!H:H,MATCH($O7,'Hun Demand'!$A:$A,0)),"")</f>
        <v/>
      </c>
      <c r="AI7" s="25" t="str">
        <f>IF(SUMIFS('Supp Consol'!AA:AA,'Supp Consol'!Z:Z,"Expires this month",'Supp Consol'!A:A,O7)=0,"",SUMIFS('Supp Consol'!AA:AA,'Supp Consol'!Z:Z,"Expires this month",'Supp Consol'!A:A,O7))</f>
        <v/>
      </c>
      <c r="AJ7" s="25" t="str">
        <f>IF(SUMIFS('Supp Consol'!AA:AA,'Supp Consol'!Z:Z,"Expired Previous Months",'Supp Consol'!A:A,O7)=0,"",SUMIFS('Supp Consol'!AA:AA,'Supp Consol'!Z:Z,"Expired Previous Months",'Supp Consol'!A:A,O7))</f>
        <v/>
      </c>
      <c r="AK7" s="25" t="str">
        <f>IFERROR(INDEX('Hun Release Current'!B:B,MATCH(O7,'Hun Release Current'!A:A,0)),"")</f>
        <v/>
      </c>
      <c r="AL7" s="25" t="str">
        <f>IF(SUMIF('Prev Aub'!A:A,O7,'Prev Aub'!B:B)=0,"",SUMIF('Prev Aub'!A:A,O7,'Prev Aub'!B:B))</f>
        <v/>
      </c>
      <c r="AN7" s="25" t="s">
        <v>3790</v>
      </c>
      <c r="AO7" s="25" t="s">
        <v>3790</v>
      </c>
      <c r="AP7" s="25">
        <f t="shared" si="6"/>
        <v>0</v>
      </c>
      <c r="AQ7" s="151" t="str">
        <f>IF(SUMIFS('Supp Consol'!S:S,'Supp Consol'!A:A,O7,'Supp Consol'!I:I,"PENDING")=0,"",SUMIFS('Supp Consol'!S:S,'Supp Consol'!A:A,O7,'Supp Consol'!I:I,"PENDING"))</f>
        <v/>
      </c>
      <c r="AR7" s="27" t="str">
        <f t="shared" si="7"/>
        <v>00007</v>
      </c>
      <c r="AS7" s="27" t="str">
        <f t="shared" si="8"/>
        <v>37</v>
      </c>
      <c r="AT7" s="27" t="str">
        <f t="shared" si="9"/>
        <v/>
      </c>
      <c r="AU7" s="27" t="str">
        <f t="shared" si="10"/>
        <v/>
      </c>
      <c r="AV7" s="27" t="str">
        <f t="shared" si="11"/>
        <v/>
      </c>
      <c r="AW7" s="27" t="str">
        <f t="shared" si="12"/>
        <v/>
      </c>
      <c r="AX7" s="27" t="str">
        <f t="shared" si="13"/>
        <v>00007</v>
      </c>
      <c r="AY7" s="27" t="str">
        <f t="shared" si="14"/>
        <v/>
      </c>
      <c r="AZ7" s="27" t="str">
        <f t="shared" si="15"/>
        <v>Supp</v>
      </c>
      <c r="BA7" s="27" t="str">
        <f t="shared" si="16"/>
        <v/>
      </c>
      <c r="BB7" s="27" t="str">
        <f t="shared" si="17"/>
        <v/>
      </c>
      <c r="BC7" s="27" t="str">
        <f t="shared" si="18"/>
        <v/>
      </c>
      <c r="BD7" s="27" t="str">
        <f t="shared" si="19"/>
        <v/>
      </c>
      <c r="BE7" s="27" t="str">
        <f t="shared" si="20"/>
        <v/>
      </c>
      <c r="BF7" s="27" t="str">
        <f t="shared" si="21"/>
        <v/>
      </c>
      <c r="BG7" s="27" t="str">
        <f t="shared" si="22"/>
        <v/>
      </c>
      <c r="BH7" s="27" t="str">
        <f t="shared" si="23"/>
        <v/>
      </c>
      <c r="BI7" s="27" t="str">
        <f t="shared" si="24"/>
        <v/>
      </c>
      <c r="BJ7" s="27" t="str">
        <f t="shared" si="25"/>
        <v>Supp or Hun</v>
      </c>
      <c r="BK7" s="27" t="str">
        <f t="shared" si="26"/>
        <v/>
      </c>
      <c r="BL7" s="27" t="str">
        <f t="shared" si="27"/>
        <v/>
      </c>
      <c r="BM7" s="21" t="s">
        <v>5581</v>
      </c>
    </row>
    <row r="8" spans="1:65" ht="15">
      <c r="A8" s="25" t="str">
        <f>IFERROR(INDEX('Hun Demand'!W:W,MATCH(O8,'Hun Demand'!A:A,0)),"")</f>
        <v/>
      </c>
      <c r="B8" s="25" t="str">
        <f>IFERROR(INDEX('Hun Demand'!V:V,MATCH(O8,'Hun Demand'!A:A,0)),"")</f>
        <v/>
      </c>
      <c r="C8" s="25" t="str">
        <f>IFERROR(INDEX('Hun Demand'!U:U,MATCH(O8,'Hun Demand'!A:A,0)),"")</f>
        <v/>
      </c>
      <c r="D8" s="25" t="str">
        <f>IFERROR(INDEX('Hun Demand'!T:T,MATCH(O8,'Hun Demand'!A:A,0)),"")</f>
        <v/>
      </c>
      <c r="E8" s="25" t="str">
        <f>IFERROR(INDEX('Hun Demand'!S:S,MATCH(O8,'Hun Demand'!A:A,0)),"")</f>
        <v/>
      </c>
      <c r="F8" s="25" t="str">
        <f>IFERROR(INDEX('Hun Demand'!R:R,MATCH(O8,'Hun Demand'!A:A,0)),"")</f>
        <v/>
      </c>
      <c r="G8" s="25">
        <f>IFERROR(INDEX('Aub Demand'!W:W,MATCH(O8,'Aub Demand'!A:A,0)),"")</f>
        <v>3510</v>
      </c>
      <c r="H8" s="25">
        <f>IFERROR(INDEX('Aub Demand'!V:V,MATCH(O8,'Aub Demand'!A:A,0)),"")</f>
        <v>5730</v>
      </c>
      <c r="I8" s="25">
        <f>IFERROR(INDEX('Aub Demand'!U:U,MATCH(O8,'Aub Demand'!A:A,0)),"")</f>
        <v>2126</v>
      </c>
      <c r="J8" s="25">
        <f>IFERROR(INDEX('Aub Demand'!T:T,MATCH(O8,'Aub Demand'!A:A,0)),"")</f>
        <v>2620</v>
      </c>
      <c r="K8" s="25">
        <f>IFERROR(INDEX('Aub Demand'!S:S,MATCH(O8,'Aub Demand'!A:A,0)),"")</f>
        <v>5581</v>
      </c>
      <c r="L8" s="25">
        <f>IFERROR(INDEX('Aub Demand'!R:R,MATCH(O8,'Aub Demand'!A:A,0)),"")</f>
        <v>0</v>
      </c>
      <c r="O8" s="27" t="s">
        <v>69</v>
      </c>
      <c r="P8" s="27" t="str">
        <f>IFERROR(INDEX('Aub Demand'!B:B,MATCH($O8,'Aub Demand'!$A:$A,0)),"")</f>
        <v>POLY OVERLAY 17# (ME</v>
      </c>
      <c r="Q8" s="27" t="str">
        <f>IFERROR(INDEX('Aub Demand'!C:C,MATCH($O8,'Aub Demand'!$A:$A,0)),"")</f>
        <v>ONYX</v>
      </c>
      <c r="R8" s="52">
        <f>IFERROR(IF(AR9=AR8,INDEX('Aub Demand'!K:K,MATCH($O8,'Aub Demand'!$A:$A,0))-IF(AN8="",0,AN8)+AP9,INDEX('Aub Demand'!K:K,MATCH($O8,'Aub Demand'!$A:$A,0))-IF(AN8="",0,AN8)),"")</f>
        <v>2676</v>
      </c>
      <c r="S8" s="53">
        <f t="shared" si="0"/>
        <v>3.3</v>
      </c>
      <c r="T8" s="52" t="str">
        <f t="shared" si="1"/>
        <v/>
      </c>
      <c r="U8" s="52">
        <f>IFERROR(IF(AR9=AR8,INDEX('Aub Demand'!Q:Q,MATCH($O8,'Aub Demand'!$A:$A,0))-IF(AN8="",0,AN8)+AP9,INDEX('Aub Demand'!Q:Q,MATCH($O8,'Aub Demand'!$A:$A,0))-IF(AN8="",0,AN8)),"")</f>
        <v>1062</v>
      </c>
      <c r="V8" s="53">
        <f t="shared" si="2"/>
        <v>1.3</v>
      </c>
      <c r="W8" s="52">
        <f t="shared" si="3"/>
        <v>1742.7124999999999</v>
      </c>
      <c r="X8" s="52">
        <f>IFERROR(IF(AND(AR9=AR8,AM8&lt;&gt;""),INDEX('Aub Demand'!Q:Q,MATCH($O8,'Aub Demand'!$A:$A,0))-IF(AN8="",0,AN8)+AP9+AD8+AL8,IF(AR9=AR8,INDEX('Aub Demand'!Q:Q,MATCH($O8,'Aub Demand'!$A:$A,0))-IF(AN8="",0,AN8)+AP9+AD8,IF(AM8&lt;&gt;"",INDEX('Aub Demand'!Q:Q,MATCH($O8,'Aub Demand'!$A:$A,0))-IF(AN8="",0,AN8)+AD8+AL8,INDEX('Aub Demand'!Q:Q,MATCH($O8,'Aub Demand'!$A:$A,0))-IF(AN8="",0,AN8)+AD8))),"")</f>
        <v>3062</v>
      </c>
      <c r="Y8" s="53">
        <f t="shared" si="4"/>
        <v>3.8</v>
      </c>
      <c r="Z8" s="52">
        <f>IF(L8="","",INDEX('Aub Demand'!H:H,MATCH($O8,'Aub Demand'!$A:$A,0)))</f>
        <v>3442</v>
      </c>
      <c r="AA8" s="52">
        <f t="shared" si="5"/>
        <v>4100.5</v>
      </c>
      <c r="AB8" s="52">
        <f>IFERROR(INDEX('Aub Demand'!L:L,MATCH($O8,'Aub Demand'!$A:$A,0)),"")</f>
        <v>6775</v>
      </c>
      <c r="AC8" s="52">
        <f>IFERROR(IF(O8="","",SUMIFS('CPL Mats'!F:F,'CPL Mats'!Q:Q,AR8,'CPL Mats'!S:S,AS8)),"")</f>
        <v>0</v>
      </c>
      <c r="AD8" s="25">
        <v>2000</v>
      </c>
      <c r="AE8" s="52" t="s">
        <v>5583</v>
      </c>
      <c r="AF8" s="25">
        <f>IF(SUMIFS('Supp Consol'!S:S,'Supp Consol'!Y:Y,"Releasable",'Supp Consol'!A:A,O8)=0,"",SUMIFS('Supp Consol'!S:S,'Supp Consol'!Y:Y,"Releasable",'Supp Consol'!A:A,O8))</f>
        <v>11992</v>
      </c>
      <c r="AG8" s="25" t="str">
        <f>IFERROR(INDEX('Hun Demand'!Q:Q,MATCH(O8,'Hun Demand'!A:A,0)),"")</f>
        <v/>
      </c>
      <c r="AH8" s="25" t="str">
        <f>IFERROR(INDEX('Hun Demand'!H:H,MATCH($O8,'Hun Demand'!$A:$A,0)),"")</f>
        <v/>
      </c>
      <c r="AI8" s="25" t="str">
        <f>IF(SUMIFS('Supp Consol'!AA:AA,'Supp Consol'!Z:Z,"Expires this month",'Supp Consol'!A:A,O8)=0,"",SUMIFS('Supp Consol'!AA:AA,'Supp Consol'!Z:Z,"Expires this month",'Supp Consol'!A:A,O8))</f>
        <v/>
      </c>
      <c r="AJ8" s="25" t="str">
        <f>IF(SUMIFS('Supp Consol'!AA:AA,'Supp Consol'!Z:Z,"Expired Previous Months",'Supp Consol'!A:A,O8)=0,"",SUMIFS('Supp Consol'!AA:AA,'Supp Consol'!Z:Z,"Expired Previous Months",'Supp Consol'!A:A,O8))</f>
        <v/>
      </c>
      <c r="AK8" s="25" t="str">
        <f>IFERROR(INDEX('Hun Release Current'!B:B,MATCH(O8,'Hun Release Current'!A:A,0)),"")</f>
        <v/>
      </c>
      <c r="AL8" s="25">
        <f>IF(SUMIF('Prev Aub'!A:A,O8,'Prev Aub'!B:B)=0,"",SUMIF('Prev Aub'!A:A,O8,'Prev Aub'!B:B))</f>
        <v>1000</v>
      </c>
      <c r="AN8" s="25" t="s">
        <v>3790</v>
      </c>
      <c r="AO8" s="25" t="s">
        <v>3790</v>
      </c>
      <c r="AP8" s="25">
        <f t="shared" si="6"/>
        <v>0</v>
      </c>
      <c r="AQ8" s="151" t="str">
        <f>IF(SUMIFS('Supp Consol'!S:S,'Supp Consol'!A:A,O8,'Supp Consol'!I:I,"PENDING")=0,"",SUMIFS('Supp Consol'!S:S,'Supp Consol'!A:A,O8,'Supp Consol'!I:I,"PENDING"))</f>
        <v/>
      </c>
      <c r="AR8" s="27" t="str">
        <f t="shared" si="7"/>
        <v>00007</v>
      </c>
      <c r="AS8" s="27" t="str">
        <f t="shared" si="8"/>
        <v>50</v>
      </c>
      <c r="AT8" s="27" t="str">
        <f t="shared" si="9"/>
        <v/>
      </c>
      <c r="AU8" s="27" t="str">
        <f t="shared" si="10"/>
        <v/>
      </c>
      <c r="AV8" s="27" t="str">
        <f t="shared" si="11"/>
        <v/>
      </c>
      <c r="AW8" s="27" t="str">
        <f t="shared" si="12"/>
        <v/>
      </c>
      <c r="AX8" s="27" t="str">
        <f t="shared" si="13"/>
        <v>00007</v>
      </c>
      <c r="AY8" s="27" t="str">
        <f t="shared" si="14"/>
        <v/>
      </c>
      <c r="AZ8" s="27" t="str">
        <f t="shared" si="15"/>
        <v>Supp</v>
      </c>
      <c r="BA8" s="27" t="str">
        <f t="shared" si="16"/>
        <v/>
      </c>
      <c r="BB8" s="27" t="str">
        <f t="shared" si="17"/>
        <v/>
      </c>
      <c r="BC8" s="27" t="str">
        <f t="shared" si="18"/>
        <v/>
      </c>
      <c r="BD8" s="27" t="str">
        <f t="shared" si="19"/>
        <v/>
      </c>
      <c r="BE8" s="27" t="str">
        <f t="shared" si="20"/>
        <v/>
      </c>
      <c r="BF8" s="27" t="str">
        <f t="shared" si="21"/>
        <v/>
      </c>
      <c r="BG8" s="27" t="str">
        <f t="shared" si="22"/>
        <v/>
      </c>
      <c r="BH8" s="27" t="str">
        <f t="shared" si="23"/>
        <v/>
      </c>
      <c r="BI8" s="27" t="str">
        <f t="shared" si="24"/>
        <v/>
      </c>
      <c r="BJ8" s="27" t="str">
        <f t="shared" si="25"/>
        <v>Supp or Hun</v>
      </c>
      <c r="BK8" s="27" t="str">
        <f t="shared" si="26"/>
        <v/>
      </c>
      <c r="BL8" s="27" t="str">
        <f t="shared" si="27"/>
        <v/>
      </c>
      <c r="BM8" s="21" t="s">
        <v>5581</v>
      </c>
    </row>
    <row r="9" spans="1:65" ht="15">
      <c r="A9" s="25" t="str">
        <f>IFERROR(INDEX('Hun Demand'!W:W,MATCH(O9,'Hun Demand'!A:A,0)),"")</f>
        <v/>
      </c>
      <c r="B9" s="25" t="str">
        <f>IFERROR(INDEX('Hun Demand'!V:V,MATCH(O9,'Hun Demand'!A:A,0)),"")</f>
        <v/>
      </c>
      <c r="C9" s="25" t="str">
        <f>IFERROR(INDEX('Hun Demand'!U:U,MATCH(O9,'Hun Demand'!A:A,0)),"")</f>
        <v/>
      </c>
      <c r="D9" s="25" t="str">
        <f>IFERROR(INDEX('Hun Demand'!T:T,MATCH(O9,'Hun Demand'!A:A,0)),"")</f>
        <v/>
      </c>
      <c r="E9" s="25" t="str">
        <f>IFERROR(INDEX('Hun Demand'!S:S,MATCH(O9,'Hun Demand'!A:A,0)),"")</f>
        <v/>
      </c>
      <c r="F9" s="25" t="str">
        <f>IFERROR(INDEX('Hun Demand'!R:R,MATCH(O9,'Hun Demand'!A:A,0)),"")</f>
        <v/>
      </c>
      <c r="G9" s="25">
        <f>IFERROR(INDEX('Aub Demand'!W:W,MATCH(O9,'Aub Demand'!A:A,0)),"")</f>
        <v>2807</v>
      </c>
      <c r="H9" s="25">
        <f>IFERROR(INDEX('Aub Demand'!V:V,MATCH(O9,'Aub Demand'!A:A,0)),"")</f>
        <v>2846</v>
      </c>
      <c r="I9" s="25">
        <f>IFERROR(INDEX('Aub Demand'!U:U,MATCH(O9,'Aub Demand'!A:A,0)),"")</f>
        <v>2121</v>
      </c>
      <c r="J9" s="25">
        <f>IFERROR(INDEX('Aub Demand'!T:T,MATCH(O9,'Aub Demand'!A:A,0)),"")</f>
        <v>1129</v>
      </c>
      <c r="K9" s="25">
        <f>IFERROR(INDEX('Aub Demand'!S:S,MATCH(O9,'Aub Demand'!A:A,0)),"")</f>
        <v>3077</v>
      </c>
      <c r="L9" s="25">
        <f>IFERROR(INDEX('Aub Demand'!R:R,MATCH(O9,'Aub Demand'!A:A,0)),"")</f>
        <v>0</v>
      </c>
      <c r="O9" s="27" t="s">
        <v>70</v>
      </c>
      <c r="P9" s="27" t="str">
        <f>IFERROR(INDEX('Aub Demand'!B:B,MATCH($O9,'Aub Demand'!$A:$A,0)),"")</f>
        <v>POLY OVERLAY 17# (ME</v>
      </c>
      <c r="Q9" s="27" t="str">
        <f>IFERROR(INDEX('Aub Demand'!C:C,MATCH($O9,'Aub Demand'!$A:$A,0)),"")</f>
        <v>ONYX</v>
      </c>
      <c r="R9" s="52">
        <f>IFERROR(IF(AR10=AR9,INDEX('Aub Demand'!K:K,MATCH($O9,'Aub Demand'!$A:$A,0))-IF(AN9="",0,AN9)+AP10,INDEX('Aub Demand'!K:K,MATCH($O9,'Aub Demand'!$A:$A,0))-IF(AN9="",0,AN9)),"")</f>
        <v>4425</v>
      </c>
      <c r="S9" s="53">
        <f t="shared" si="0"/>
        <v>9</v>
      </c>
      <c r="T9" s="52" t="str">
        <f t="shared" si="1"/>
        <v/>
      </c>
      <c r="U9" s="52">
        <f>IFERROR(IF(AR10=AR9,INDEX('Aub Demand'!Q:Q,MATCH($O9,'Aub Demand'!$A:$A,0))-IF(AN9="",0,AN9)+AP10,INDEX('Aub Demand'!Q:Q,MATCH($O9,'Aub Demand'!$A:$A,0))-IF(AN9="",0,AN9)),"")</f>
        <v>3475</v>
      </c>
      <c r="V9" s="53">
        <f t="shared" si="2"/>
        <v>7.1</v>
      </c>
      <c r="W9" s="52" t="str">
        <f t="shared" si="3"/>
        <v/>
      </c>
      <c r="X9" s="52">
        <f>IFERROR(IF(AND(AR10=AR9,AM9&lt;&gt;""),INDEX('Aub Demand'!Q:Q,MATCH($O9,'Aub Demand'!$A:$A,0))-IF(AN9="",0,AN9)+AP10+AD9+AL9,IF(AR10=AR9,INDEX('Aub Demand'!Q:Q,MATCH($O9,'Aub Demand'!$A:$A,0))-IF(AN9="",0,AN9)+AP10+AD9,IF(AM9&lt;&gt;"",INDEX('Aub Demand'!Q:Q,MATCH($O9,'Aub Demand'!$A:$A,0))-IF(AN9="",0,AN9)+AD9+AL9,INDEX('Aub Demand'!Q:Q,MATCH($O9,'Aub Demand'!$A:$A,0))-IF(AN9="",0,AN9)+AD9))),"")</f>
        <v>3475</v>
      </c>
      <c r="Y9" s="53">
        <f t="shared" si="4"/>
        <v>7.1</v>
      </c>
      <c r="Z9" s="52">
        <f>IF(L9="","",INDEX('Aub Demand'!H:H,MATCH($O9,'Aub Demand'!$A:$A,0)))</f>
        <v>2109</v>
      </c>
      <c r="AA9" s="52">
        <f t="shared" si="5"/>
        <v>2599</v>
      </c>
      <c r="AB9" s="52">
        <f>IFERROR(INDEX('Aub Demand'!L:L,MATCH($O9,'Aub Demand'!$A:$A,0)),"")</f>
        <v>2405</v>
      </c>
      <c r="AC9" s="52">
        <f>IFERROR(IF(O9="","",SUMIFS('CPL Mats'!F:F,'CPL Mats'!Q:Q,AR9,'CPL Mats'!S:S,AS9)),"")</f>
        <v>0</v>
      </c>
      <c r="AF9" s="25">
        <f>IF(SUMIFS('Supp Consol'!S:S,'Supp Consol'!Y:Y,"Releasable",'Supp Consol'!A:A,O9)=0,"",SUMIFS('Supp Consol'!S:S,'Supp Consol'!Y:Y,"Releasable",'Supp Consol'!A:A,O9))</f>
        <v>10757</v>
      </c>
      <c r="AG9" s="25" t="str">
        <f>IFERROR(INDEX('Hun Demand'!Q:Q,MATCH(O9,'Hun Demand'!A:A,0)),"")</f>
        <v/>
      </c>
      <c r="AH9" s="25" t="str">
        <f>IFERROR(INDEX('Hun Demand'!H:H,MATCH($O9,'Hun Demand'!$A:$A,0)),"")</f>
        <v/>
      </c>
      <c r="AI9" s="25" t="str">
        <f>IF(SUMIFS('Supp Consol'!AA:AA,'Supp Consol'!Z:Z,"Expires this month",'Supp Consol'!A:A,O9)=0,"",SUMIFS('Supp Consol'!AA:AA,'Supp Consol'!Z:Z,"Expires this month",'Supp Consol'!A:A,O9))</f>
        <v/>
      </c>
      <c r="AJ9" s="25" t="str">
        <f>IF(SUMIFS('Supp Consol'!AA:AA,'Supp Consol'!Z:Z,"Expired Previous Months",'Supp Consol'!A:A,O9)=0,"",SUMIFS('Supp Consol'!AA:AA,'Supp Consol'!Z:Z,"Expired Previous Months",'Supp Consol'!A:A,O9))</f>
        <v/>
      </c>
      <c r="AK9" s="25" t="str">
        <f>IFERROR(INDEX('Hun Release Current'!B:B,MATCH(O9,'Hun Release Current'!A:A,0)),"")</f>
        <v/>
      </c>
      <c r="AL9" s="25" t="str">
        <f>IF(SUMIF('Prev Aub'!A:A,O9,'Prev Aub'!B:B)=0,"",SUMIF('Prev Aub'!A:A,O9,'Prev Aub'!B:B))</f>
        <v/>
      </c>
      <c r="AN9" s="25" t="s">
        <v>3790</v>
      </c>
      <c r="AO9" s="25" t="s">
        <v>3790</v>
      </c>
      <c r="AP9" s="25">
        <f t="shared" si="6"/>
        <v>0</v>
      </c>
      <c r="AQ9" s="151" t="str">
        <f>IF(SUMIFS('Supp Consol'!S:S,'Supp Consol'!A:A,O9,'Supp Consol'!I:I,"PENDING")=0,"",SUMIFS('Supp Consol'!S:S,'Supp Consol'!A:A,O9,'Supp Consol'!I:I,"PENDING"))</f>
        <v/>
      </c>
      <c r="AR9" s="27" t="str">
        <f t="shared" si="7"/>
        <v>00007</v>
      </c>
      <c r="AS9" s="27" t="str">
        <f t="shared" si="8"/>
        <v>62</v>
      </c>
      <c r="AT9" s="27" t="str">
        <f t="shared" si="9"/>
        <v/>
      </c>
      <c r="AU9" s="27" t="str">
        <f t="shared" si="10"/>
        <v/>
      </c>
      <c r="AV9" s="27" t="str">
        <f t="shared" si="11"/>
        <v/>
      </c>
      <c r="AW9" s="27" t="str">
        <f t="shared" si="12"/>
        <v/>
      </c>
      <c r="AX9" s="27" t="str">
        <f t="shared" si="13"/>
        <v>00007</v>
      </c>
      <c r="AY9" s="27" t="str">
        <f t="shared" si="14"/>
        <v/>
      </c>
      <c r="AZ9" s="27" t="str">
        <f t="shared" si="15"/>
        <v>Supp</v>
      </c>
      <c r="BA9" s="27" t="str">
        <f t="shared" si="16"/>
        <v/>
      </c>
      <c r="BB9" s="27" t="str">
        <f t="shared" si="17"/>
        <v/>
      </c>
      <c r="BC9" s="27" t="str">
        <f t="shared" si="18"/>
        <v/>
      </c>
      <c r="BD9" s="27" t="str">
        <f t="shared" si="19"/>
        <v/>
      </c>
      <c r="BE9" s="27" t="str">
        <f t="shared" si="20"/>
        <v/>
      </c>
      <c r="BF9" s="27" t="str">
        <f t="shared" si="21"/>
        <v/>
      </c>
      <c r="BG9" s="27" t="str">
        <f t="shared" si="22"/>
        <v/>
      </c>
      <c r="BH9" s="27" t="str">
        <f t="shared" si="23"/>
        <v/>
      </c>
      <c r="BI9" s="27" t="str">
        <f t="shared" si="24"/>
        <v/>
      </c>
      <c r="BJ9" s="27" t="str">
        <f t="shared" si="25"/>
        <v>Supp or Hun</v>
      </c>
      <c r="BK9" s="27" t="str">
        <f t="shared" si="26"/>
        <v/>
      </c>
      <c r="BL9" s="27" t="str">
        <f t="shared" si="27"/>
        <v/>
      </c>
      <c r="BM9" s="21" t="s">
        <v>5581</v>
      </c>
    </row>
    <row r="10" spans="1:65" ht="15">
      <c r="A10" s="25" t="str">
        <f>IFERROR(INDEX('Hun Demand'!W:W,MATCH(O10,'Hun Demand'!A:A,0)),"")</f>
        <v/>
      </c>
      <c r="B10" s="25" t="str">
        <f>IFERROR(INDEX('Hun Demand'!V:V,MATCH(O10,'Hun Demand'!A:A,0)),"")</f>
        <v/>
      </c>
      <c r="C10" s="25" t="str">
        <f>IFERROR(INDEX('Hun Demand'!U:U,MATCH(O10,'Hun Demand'!A:A,0)),"")</f>
        <v/>
      </c>
      <c r="D10" s="25" t="str">
        <f>IFERROR(INDEX('Hun Demand'!T:T,MATCH(O10,'Hun Demand'!A:A,0)),"")</f>
        <v/>
      </c>
      <c r="E10" s="25" t="str">
        <f>IFERROR(INDEX('Hun Demand'!S:S,MATCH(O10,'Hun Demand'!A:A,0)),"")</f>
        <v/>
      </c>
      <c r="F10" s="25" t="str">
        <f>IFERROR(INDEX('Hun Demand'!R:R,MATCH(O10,'Hun Demand'!A:A,0)),"")</f>
        <v/>
      </c>
      <c r="G10" s="25">
        <f>IFERROR(INDEX('Aub Demand'!W:W,MATCH(O10,'Aub Demand'!A:A,0)),"")</f>
        <v>0</v>
      </c>
      <c r="H10" s="25">
        <f>IFERROR(INDEX('Aub Demand'!V:V,MATCH(O10,'Aub Demand'!A:A,0)),"")</f>
        <v>64</v>
      </c>
      <c r="I10" s="25">
        <f>IFERROR(INDEX('Aub Demand'!U:U,MATCH(O10,'Aub Demand'!A:A,0)),"")</f>
        <v>26</v>
      </c>
      <c r="J10" s="25">
        <f>IFERROR(INDEX('Aub Demand'!T:T,MATCH(O10,'Aub Demand'!A:A,0)),"")</f>
        <v>39</v>
      </c>
      <c r="K10" s="25">
        <f>IFERROR(INDEX('Aub Demand'!S:S,MATCH(O10,'Aub Demand'!A:A,0)),"")</f>
        <v>0</v>
      </c>
      <c r="L10" s="25">
        <f>IFERROR(INDEX('Aub Demand'!R:R,MATCH(O10,'Aub Demand'!A:A,0)),"")</f>
        <v>0</v>
      </c>
      <c r="O10" s="27" t="s">
        <v>71</v>
      </c>
      <c r="P10" s="27" t="str">
        <f>IFERROR(INDEX('Aub Demand'!B:B,MATCH($O10,'Aub Demand'!$A:$A,0)),"")</f>
        <v>HIGH WEAR OVERLAY</v>
      </c>
      <c r="Q10" s="27" t="str">
        <f>IFERROR(INDEX('Aub Demand'!C:C,MATCH($O10,'Aub Demand'!$A:$A,0)),"")</f>
        <v>GLATF</v>
      </c>
      <c r="R10" s="52">
        <f>IFERROR(IF(AR11=AR10,INDEX('Aub Demand'!K:K,MATCH($O10,'Aub Demand'!$A:$A,0))-IF(AN10="",0,AN10)+AP11,INDEX('Aub Demand'!K:K,MATCH($O10,'Aub Demand'!$A:$A,0))-IF(AN10="",0,AN10)),"")</f>
        <v>1431</v>
      </c>
      <c r="S10" s="53">
        <f t="shared" si="0"/>
        <v>278.8</v>
      </c>
      <c r="T10" s="52" t="str">
        <f t="shared" si="1"/>
        <v/>
      </c>
      <c r="U10" s="52">
        <f>IFERROR(IF(AR11=AR10,INDEX('Aub Demand'!Q:Q,MATCH($O10,'Aub Demand'!$A:$A,0))-IF(AN10="",0,AN10)+AP11,INDEX('Aub Demand'!Q:Q,MATCH($O10,'Aub Demand'!$A:$A,0))-IF(AN10="",0,AN10)),"")</f>
        <v>1275</v>
      </c>
      <c r="V10" s="53">
        <f t="shared" si="2"/>
        <v>248.4</v>
      </c>
      <c r="W10" s="52" t="str">
        <f t="shared" si="3"/>
        <v/>
      </c>
      <c r="X10" s="52">
        <f>IFERROR(IF(AND(AR11=AR10,AM10&lt;&gt;""),INDEX('Aub Demand'!Q:Q,MATCH($O10,'Aub Demand'!$A:$A,0))-IF(AN10="",0,AN10)+AP11+AD10+AL10,IF(AR11=AR10,INDEX('Aub Demand'!Q:Q,MATCH($O10,'Aub Demand'!$A:$A,0))-IF(AN10="",0,AN10)+AP11+AD10,IF(AM10&lt;&gt;"",INDEX('Aub Demand'!Q:Q,MATCH($O10,'Aub Demand'!$A:$A,0))-IF(AN10="",0,AN10)+AD10+AL10,INDEX('Aub Demand'!Q:Q,MATCH($O10,'Aub Demand'!$A:$A,0))-IF(AN10="",0,AN10)+AD10))),"")</f>
        <v>1275</v>
      </c>
      <c r="Y10" s="53">
        <f t="shared" si="4"/>
        <v>248.4</v>
      </c>
      <c r="Z10" s="52">
        <f>IF(L10="","",INDEX('Aub Demand'!H:H,MATCH($O10,'Aub Demand'!$A:$A,0)))</f>
        <v>22</v>
      </c>
      <c r="AA10" s="52">
        <f t="shared" si="5"/>
        <v>32.5</v>
      </c>
      <c r="AB10" s="52">
        <f>IFERROR(INDEX('Aub Demand'!L:L,MATCH($O10,'Aub Demand'!$A:$A,0)),"")</f>
        <v>58</v>
      </c>
      <c r="AC10" s="52">
        <f>IFERROR(IF(O10="","",SUMIFS('CPL Mats'!F:F,'CPL Mats'!Q:Q,AR10,'CPL Mats'!S:S,AS10)),"")</f>
        <v>0</v>
      </c>
      <c r="AF10" s="25" t="str">
        <f>IF(SUMIFS('Supp Consol'!S:S,'Supp Consol'!Y:Y,"Releasable",'Supp Consol'!A:A,O10)=0,"",SUMIFS('Supp Consol'!S:S,'Supp Consol'!Y:Y,"Releasable",'Supp Consol'!A:A,O10))</f>
        <v/>
      </c>
      <c r="AG10" s="25" t="str">
        <f>IFERROR(INDEX('Hun Demand'!Q:Q,MATCH(O10,'Hun Demand'!A:A,0)),"")</f>
        <v/>
      </c>
      <c r="AH10" s="25" t="str">
        <f>IFERROR(INDEX('Hun Demand'!H:H,MATCH($O10,'Hun Demand'!$A:$A,0)),"")</f>
        <v/>
      </c>
      <c r="AI10" s="25" t="str">
        <f>IF(SUMIFS('Supp Consol'!AA:AA,'Supp Consol'!Z:Z,"Expires this month",'Supp Consol'!A:A,O10)=0,"",SUMIFS('Supp Consol'!AA:AA,'Supp Consol'!Z:Z,"Expires this month",'Supp Consol'!A:A,O10))</f>
        <v/>
      </c>
      <c r="AJ10" s="25" t="str">
        <f>IF(SUMIFS('Supp Consol'!AA:AA,'Supp Consol'!Z:Z,"Expired Previous Months",'Supp Consol'!A:A,O10)=0,"",SUMIFS('Supp Consol'!AA:AA,'Supp Consol'!Z:Z,"Expired Previous Months",'Supp Consol'!A:A,O10))</f>
        <v/>
      </c>
      <c r="AK10" s="25" t="str">
        <f>IFERROR(INDEX('Hun Release Current'!B:B,MATCH(O10,'Hun Release Current'!A:A,0)),"")</f>
        <v/>
      </c>
      <c r="AL10" s="25" t="str">
        <f>IF(SUMIF('Prev Aub'!A:A,O10,'Prev Aub'!B:B)=0,"",SUMIF('Prev Aub'!A:A,O10,'Prev Aub'!B:B))</f>
        <v/>
      </c>
      <c r="AN10" s="25" t="s">
        <v>3790</v>
      </c>
      <c r="AO10" s="25" t="s">
        <v>3790</v>
      </c>
      <c r="AP10" s="25">
        <f t="shared" si="6"/>
        <v>0</v>
      </c>
      <c r="AQ10" s="151" t="str">
        <f>IF(SUMIFS('Supp Consol'!S:S,'Supp Consol'!A:A,O10,'Supp Consol'!I:I,"PENDING")=0,"",SUMIFS('Supp Consol'!S:S,'Supp Consol'!A:A,O10,'Supp Consol'!I:I,"PENDING"))</f>
        <v/>
      </c>
      <c r="AR10" s="27" t="str">
        <f t="shared" si="7"/>
        <v>00008</v>
      </c>
      <c r="AS10" s="27" t="str">
        <f t="shared" si="8"/>
        <v>37</v>
      </c>
      <c r="AT10" s="27" t="str">
        <f t="shared" si="9"/>
        <v/>
      </c>
      <c r="AU10" s="27" t="str">
        <f t="shared" si="10"/>
        <v/>
      </c>
      <c r="AV10" s="27" t="str">
        <f t="shared" si="11"/>
        <v/>
      </c>
      <c r="AW10" s="27" t="str">
        <f t="shared" si="12"/>
        <v/>
      </c>
      <c r="AX10" s="27" t="str">
        <f t="shared" si="13"/>
        <v/>
      </c>
      <c r="AY10" s="27" t="str">
        <f t="shared" si="14"/>
        <v/>
      </c>
      <c r="AZ10" s="27" t="str">
        <f t="shared" si="15"/>
        <v>Supp</v>
      </c>
      <c r="BA10" s="27" t="str">
        <f t="shared" si="16"/>
        <v/>
      </c>
      <c r="BB10" s="27" t="str">
        <f t="shared" si="17"/>
        <v/>
      </c>
      <c r="BC10" s="27" t="str">
        <f t="shared" si="18"/>
        <v/>
      </c>
      <c r="BD10" s="27" t="str">
        <f t="shared" si="19"/>
        <v/>
      </c>
      <c r="BE10" s="27" t="str">
        <f t="shared" si="20"/>
        <v/>
      </c>
      <c r="BF10" s="27" t="str">
        <f t="shared" si="21"/>
        <v/>
      </c>
      <c r="BG10" s="27" t="str">
        <f t="shared" si="22"/>
        <v/>
      </c>
      <c r="BH10" s="27" t="str">
        <f t="shared" si="23"/>
        <v/>
      </c>
      <c r="BI10" s="27" t="str">
        <f t="shared" si="24"/>
        <v/>
      </c>
      <c r="BJ10" s="27" t="str">
        <f t="shared" si="25"/>
        <v>Supp or Hun</v>
      </c>
      <c r="BK10" s="27" t="str">
        <f t="shared" si="26"/>
        <v/>
      </c>
      <c r="BL10" s="27" t="str">
        <f t="shared" si="27"/>
        <v/>
      </c>
      <c r="BM10" s="21" t="s">
        <v>5581</v>
      </c>
    </row>
    <row r="11" spans="1:65" ht="15">
      <c r="A11" s="25" t="str">
        <f>IFERROR(INDEX('Hun Demand'!W:W,MATCH(O11,'Hun Demand'!A:A,0)),"")</f>
        <v/>
      </c>
      <c r="B11" s="25" t="str">
        <f>IFERROR(INDEX('Hun Demand'!V:V,MATCH(O11,'Hun Demand'!A:A,0)),"")</f>
        <v/>
      </c>
      <c r="C11" s="25" t="str">
        <f>IFERROR(INDEX('Hun Demand'!U:U,MATCH(O11,'Hun Demand'!A:A,0)),"")</f>
        <v/>
      </c>
      <c r="D11" s="25" t="str">
        <f>IFERROR(INDEX('Hun Demand'!T:T,MATCH(O11,'Hun Demand'!A:A,0)),"")</f>
        <v/>
      </c>
      <c r="E11" s="25" t="str">
        <f>IFERROR(INDEX('Hun Demand'!S:S,MATCH(O11,'Hun Demand'!A:A,0)),"")</f>
        <v/>
      </c>
      <c r="F11" s="25" t="str">
        <f>IFERROR(INDEX('Hun Demand'!R:R,MATCH(O11,'Hun Demand'!A:A,0)),"")</f>
        <v/>
      </c>
      <c r="G11" s="25">
        <f>IFERROR(INDEX('Aub Demand'!W:W,MATCH(O11,'Aub Demand'!A:A,0)),"")</f>
        <v>1276</v>
      </c>
      <c r="H11" s="25">
        <f>IFERROR(INDEX('Aub Demand'!V:V,MATCH(O11,'Aub Demand'!A:A,0)),"")</f>
        <v>1784</v>
      </c>
      <c r="I11" s="25">
        <f>IFERROR(INDEX('Aub Demand'!U:U,MATCH(O11,'Aub Demand'!A:A,0)),"")</f>
        <v>1647</v>
      </c>
      <c r="J11" s="25">
        <f>IFERROR(INDEX('Aub Demand'!T:T,MATCH(O11,'Aub Demand'!A:A,0)),"")</f>
        <v>662</v>
      </c>
      <c r="K11" s="25">
        <f>IFERROR(INDEX('Aub Demand'!S:S,MATCH(O11,'Aub Demand'!A:A,0)),"")</f>
        <v>1601</v>
      </c>
      <c r="L11" s="25">
        <f>IFERROR(INDEX('Aub Demand'!R:R,MATCH(O11,'Aub Demand'!A:A,0)),"")</f>
        <v>0</v>
      </c>
      <c r="O11" s="27" t="s">
        <v>74</v>
      </c>
      <c r="P11" s="27" t="str">
        <f>IFERROR(INDEX('Aub Demand'!B:B,MATCH($O11,'Aub Demand'!$A:$A,0)),"")</f>
        <v>HIGH WEAR OVERLAY</v>
      </c>
      <c r="Q11" s="27" t="str">
        <f>IFERROR(INDEX('Aub Demand'!C:C,MATCH($O11,'Aub Demand'!$A:$A,0)),"")</f>
        <v>GLATF</v>
      </c>
      <c r="R11" s="52">
        <f>IFERROR(IF(AR12=AR11,INDEX('Aub Demand'!K:K,MATCH($O11,'Aub Demand'!$A:$A,0))-IF(AN11="",0,AN11)+AP12,INDEX('Aub Demand'!K:K,MATCH($O11,'Aub Demand'!$A:$A,0))-IF(AN11="",0,AN11)),"")</f>
        <v>2565</v>
      </c>
      <c r="S11" s="53">
        <f t="shared" si="0"/>
        <v>8.4</v>
      </c>
      <c r="T11" s="52" t="str">
        <f t="shared" si="1"/>
        <v/>
      </c>
      <c r="U11" s="52">
        <f>IFERROR(IF(AR12=AR11,INDEX('Aub Demand'!Q:Q,MATCH($O11,'Aub Demand'!$A:$A,0))-IF(AN11="",0,AN11)+AP12,INDEX('Aub Demand'!Q:Q,MATCH($O11,'Aub Demand'!$A:$A,0))-IF(AN11="",0,AN11)),"")</f>
        <v>610</v>
      </c>
      <c r="V11" s="53">
        <f t="shared" si="2"/>
        <v>2</v>
      </c>
      <c r="W11" s="52">
        <f t="shared" si="3"/>
        <v>406</v>
      </c>
      <c r="X11" s="52">
        <f>IFERROR(IF(AND(AR12=AR11,AM11&lt;&gt;""),INDEX('Aub Demand'!Q:Q,MATCH($O11,'Aub Demand'!$A:$A,0))-IF(AN11="",0,AN11)+AP12+AD11+AL11,IF(AR12=AR11,INDEX('Aub Demand'!Q:Q,MATCH($O11,'Aub Demand'!$A:$A,0))-IF(AN11="",0,AN11)+AP12+AD11,IF(AM11&lt;&gt;"",INDEX('Aub Demand'!Q:Q,MATCH($O11,'Aub Demand'!$A:$A,0))-IF(AN11="",0,AN11)+AD11+AL11,INDEX('Aub Demand'!Q:Q,MATCH($O11,'Aub Demand'!$A:$A,0))-IF(AN11="",0,AN11)+AD11))),"")</f>
        <v>1610</v>
      </c>
      <c r="Y11" s="53">
        <f t="shared" si="4"/>
        <v>5.3</v>
      </c>
      <c r="Z11" s="52">
        <f>IF(L11="","",INDEX('Aub Demand'!H:H,MATCH($O11,'Aub Demand'!$A:$A,0)))</f>
        <v>1303</v>
      </c>
      <c r="AA11" s="52">
        <f t="shared" si="5"/>
        <v>1624</v>
      </c>
      <c r="AB11" s="52">
        <f>IFERROR(INDEX('Aub Demand'!L:L,MATCH($O11,'Aub Demand'!$A:$A,0)),"")</f>
        <v>1050</v>
      </c>
      <c r="AC11" s="52">
        <f>IFERROR(IF(O11="","",SUMIFS('CPL Mats'!F:F,'CPL Mats'!Q:Q,AR11,'CPL Mats'!S:S,AS11)),"")</f>
        <v>0</v>
      </c>
      <c r="AD11" s="25">
        <v>1000</v>
      </c>
      <c r="AE11" s="52" t="s">
        <v>5583</v>
      </c>
      <c r="AF11" s="25">
        <f>IF(SUMIFS('Supp Consol'!S:S,'Supp Consol'!Y:Y,"Releasable",'Supp Consol'!A:A,O11)=0,"",SUMIFS('Supp Consol'!S:S,'Supp Consol'!Y:Y,"Releasable",'Supp Consol'!A:A,O11))</f>
        <v>33456</v>
      </c>
      <c r="AG11" s="25" t="str">
        <f>IFERROR(INDEX('Hun Demand'!Q:Q,MATCH(O11,'Hun Demand'!A:A,0)),"")</f>
        <v/>
      </c>
      <c r="AH11" s="25" t="str">
        <f>IFERROR(INDEX('Hun Demand'!H:H,MATCH($O11,'Hun Demand'!$A:$A,0)),"")</f>
        <v/>
      </c>
      <c r="AI11" s="25" t="str">
        <f>IF(SUMIFS('Supp Consol'!AA:AA,'Supp Consol'!Z:Z,"Expires this month",'Supp Consol'!A:A,O11)=0,"",SUMIFS('Supp Consol'!AA:AA,'Supp Consol'!Z:Z,"Expires this month",'Supp Consol'!A:A,O11))</f>
        <v/>
      </c>
      <c r="AJ11" s="25" t="str">
        <f>IF(SUMIFS('Supp Consol'!AA:AA,'Supp Consol'!Z:Z,"Expired Previous Months",'Supp Consol'!A:A,O11)=0,"",SUMIFS('Supp Consol'!AA:AA,'Supp Consol'!Z:Z,"Expired Previous Months",'Supp Consol'!A:A,O11))</f>
        <v/>
      </c>
      <c r="AK11" s="25" t="str">
        <f>IFERROR(INDEX('Hun Release Current'!B:B,MATCH(O11,'Hun Release Current'!A:A,0)),"")</f>
        <v/>
      </c>
      <c r="AL11" s="25" t="str">
        <f>IF(SUMIF('Prev Aub'!A:A,O11,'Prev Aub'!B:B)=0,"",SUMIF('Prev Aub'!A:A,O11,'Prev Aub'!B:B))</f>
        <v/>
      </c>
      <c r="AN11" s="25" t="s">
        <v>3790</v>
      </c>
      <c r="AO11" s="25" t="s">
        <v>3790</v>
      </c>
      <c r="AP11" s="25">
        <f t="shared" si="6"/>
        <v>0</v>
      </c>
      <c r="AQ11" s="151" t="str">
        <f>IF(SUMIFS('Supp Consol'!S:S,'Supp Consol'!A:A,O11,'Supp Consol'!I:I,"PENDING")=0,"",SUMIFS('Supp Consol'!S:S,'Supp Consol'!A:A,O11,'Supp Consol'!I:I,"PENDING"))</f>
        <v/>
      </c>
      <c r="AR11" s="27" t="str">
        <f t="shared" si="7"/>
        <v>00008</v>
      </c>
      <c r="AS11" s="27" t="str">
        <f t="shared" si="8"/>
        <v>50</v>
      </c>
      <c r="AT11" s="27" t="str">
        <f t="shared" si="9"/>
        <v/>
      </c>
      <c r="AU11" s="27" t="str">
        <f t="shared" si="10"/>
        <v/>
      </c>
      <c r="AV11" s="27" t="str">
        <f t="shared" si="11"/>
        <v/>
      </c>
      <c r="AW11" s="27" t="str">
        <f t="shared" si="12"/>
        <v/>
      </c>
      <c r="AX11" s="27" t="str">
        <f t="shared" si="13"/>
        <v>00008</v>
      </c>
      <c r="AY11" s="27" t="str">
        <f t="shared" si="14"/>
        <v/>
      </c>
      <c r="AZ11" s="27" t="str">
        <f t="shared" si="15"/>
        <v>Supp</v>
      </c>
      <c r="BA11" s="27" t="str">
        <f t="shared" si="16"/>
        <v/>
      </c>
      <c r="BB11" s="27" t="str">
        <f t="shared" si="17"/>
        <v/>
      </c>
      <c r="BC11" s="27" t="str">
        <f t="shared" si="18"/>
        <v/>
      </c>
      <c r="BD11" s="27" t="str">
        <f t="shared" si="19"/>
        <v/>
      </c>
      <c r="BE11" s="27" t="str">
        <f t="shared" si="20"/>
        <v/>
      </c>
      <c r="BF11" s="27" t="str">
        <f t="shared" si="21"/>
        <v/>
      </c>
      <c r="BG11" s="27" t="str">
        <f t="shared" si="22"/>
        <v/>
      </c>
      <c r="BH11" s="27" t="str">
        <f t="shared" si="23"/>
        <v/>
      </c>
      <c r="BI11" s="27" t="str">
        <f t="shared" si="24"/>
        <v/>
      </c>
      <c r="BJ11" s="27" t="str">
        <f t="shared" si="25"/>
        <v>Supp or Hun</v>
      </c>
      <c r="BK11" s="27" t="str">
        <f t="shared" si="26"/>
        <v/>
      </c>
      <c r="BL11" s="27" t="str">
        <f t="shared" si="27"/>
        <v/>
      </c>
      <c r="BM11" s="21" t="s">
        <v>5581</v>
      </c>
    </row>
    <row r="12" spans="1:65" ht="15">
      <c r="A12" s="25" t="str">
        <f>IFERROR(INDEX('Hun Demand'!W:W,MATCH(O12,'Hun Demand'!A:A,0)),"")</f>
        <v/>
      </c>
      <c r="B12" s="25" t="str">
        <f>IFERROR(INDEX('Hun Demand'!V:V,MATCH(O12,'Hun Demand'!A:A,0)),"")</f>
        <v/>
      </c>
      <c r="C12" s="25" t="str">
        <f>IFERROR(INDEX('Hun Demand'!U:U,MATCH(O12,'Hun Demand'!A:A,0)),"")</f>
        <v/>
      </c>
      <c r="D12" s="25" t="str">
        <f>IFERROR(INDEX('Hun Demand'!T:T,MATCH(O12,'Hun Demand'!A:A,0)),"")</f>
        <v/>
      </c>
      <c r="E12" s="25" t="str">
        <f>IFERROR(INDEX('Hun Demand'!S:S,MATCH(O12,'Hun Demand'!A:A,0)),"")</f>
        <v/>
      </c>
      <c r="F12" s="25" t="str">
        <f>IFERROR(INDEX('Hun Demand'!R:R,MATCH(O12,'Hun Demand'!A:A,0)),"")</f>
        <v/>
      </c>
      <c r="G12" s="25">
        <f>IFERROR(INDEX('Aub Demand'!W:W,MATCH(O12,'Aub Demand'!A:A,0)),"")</f>
        <v>159</v>
      </c>
      <c r="H12" s="25">
        <f>IFERROR(INDEX('Aub Demand'!V:V,MATCH(O12,'Aub Demand'!A:A,0)),"")</f>
        <v>355</v>
      </c>
      <c r="I12" s="25">
        <f>IFERROR(INDEX('Aub Demand'!U:U,MATCH(O12,'Aub Demand'!A:A,0)),"")</f>
        <v>124</v>
      </c>
      <c r="J12" s="25">
        <f>IFERROR(INDEX('Aub Demand'!T:T,MATCH(O12,'Aub Demand'!A:A,0)),"")</f>
        <v>439</v>
      </c>
      <c r="K12" s="25">
        <f>IFERROR(INDEX('Aub Demand'!S:S,MATCH(O12,'Aub Demand'!A:A,0)),"")</f>
        <v>312</v>
      </c>
      <c r="L12" s="25">
        <f>IFERROR(INDEX('Aub Demand'!R:R,MATCH(O12,'Aub Demand'!A:A,0)),"")</f>
        <v>0</v>
      </c>
      <c r="O12" s="27" t="s">
        <v>75</v>
      </c>
      <c r="P12" s="27" t="str">
        <f>IFERROR(INDEX('Aub Demand'!B:B,MATCH($O12,'Aub Demand'!$A:$A,0)),"")</f>
        <v>HIGH WEAR OVERLAY</v>
      </c>
      <c r="Q12" s="27" t="str">
        <f>IFERROR(INDEX('Aub Demand'!C:C,MATCH($O12,'Aub Demand'!$A:$A,0)),"")</f>
        <v>GLATF</v>
      </c>
      <c r="R12" s="52">
        <f>IFERROR(IF(AR13=AR12,INDEX('Aub Demand'!K:K,MATCH($O12,'Aub Demand'!$A:$A,0))-IF(AN12="",0,AN12)+AP13,INDEX('Aub Demand'!K:K,MATCH($O12,'Aub Demand'!$A:$A,0))-IF(AN12="",0,AN12)),"")</f>
        <v>1035</v>
      </c>
      <c r="S12" s="53">
        <f t="shared" si="0"/>
        <v>15.2</v>
      </c>
      <c r="T12" s="52" t="str">
        <f t="shared" si="1"/>
        <v/>
      </c>
      <c r="U12" s="52">
        <f>IFERROR(IF(AR13=AR12,INDEX('Aub Demand'!Q:Q,MATCH($O12,'Aub Demand'!$A:$A,0))-IF(AN12="",0,AN12)+AP13,INDEX('Aub Demand'!Q:Q,MATCH($O12,'Aub Demand'!$A:$A,0))-IF(AN12="",0,AN12)),"")</f>
        <v>602</v>
      </c>
      <c r="V12" s="53">
        <f t="shared" si="2"/>
        <v>8.8000000000000007</v>
      </c>
      <c r="W12" s="52" t="str">
        <f t="shared" si="3"/>
        <v/>
      </c>
      <c r="X12" s="52">
        <f>IFERROR(IF(AND(AR13=AR12,AM12&lt;&gt;""),INDEX('Aub Demand'!Q:Q,MATCH($O12,'Aub Demand'!$A:$A,0))-IF(AN12="",0,AN12)+AP13+AD12+AL12,IF(AR13=AR12,INDEX('Aub Demand'!Q:Q,MATCH($O12,'Aub Demand'!$A:$A,0))-IF(AN12="",0,AN12)+AP13+AD12,IF(AM12&lt;&gt;"",INDEX('Aub Demand'!Q:Q,MATCH($O12,'Aub Demand'!$A:$A,0))-IF(AN12="",0,AN12)+AD12+AL12,INDEX('Aub Demand'!Q:Q,MATCH($O12,'Aub Demand'!$A:$A,0))-IF(AN12="",0,AN12)+AD12))),"")</f>
        <v>602</v>
      </c>
      <c r="Y12" s="53">
        <f t="shared" si="4"/>
        <v>8.8000000000000007</v>
      </c>
      <c r="Z12" s="52">
        <f>IF(L12="","",INDEX('Aub Demand'!H:H,MATCH($O12,'Aub Demand'!$A:$A,0)))</f>
        <v>292</v>
      </c>
      <c r="AA12" s="52">
        <f t="shared" si="5"/>
        <v>375.5</v>
      </c>
      <c r="AB12" s="52">
        <f>IFERROR(INDEX('Aub Demand'!L:L,MATCH($O12,'Aub Demand'!$A:$A,0)),"")</f>
        <v>326</v>
      </c>
      <c r="AC12" s="52">
        <f>IFERROR(IF(O12="","",SUMIFS('CPL Mats'!F:F,'CPL Mats'!Q:Q,AR12,'CPL Mats'!S:S,AS12)),"")</f>
        <v>0</v>
      </c>
      <c r="AF12" s="25">
        <f>IF(SUMIFS('Supp Consol'!S:S,'Supp Consol'!Y:Y,"Releasable",'Supp Consol'!A:A,O12)=0,"",SUMIFS('Supp Consol'!S:S,'Supp Consol'!Y:Y,"Releasable",'Supp Consol'!A:A,O12))</f>
        <v>9319</v>
      </c>
      <c r="AG12" s="25" t="str">
        <f>IFERROR(INDEX('Hun Demand'!Q:Q,MATCH(O12,'Hun Demand'!A:A,0)),"")</f>
        <v/>
      </c>
      <c r="AH12" s="25" t="str">
        <f>IFERROR(INDEX('Hun Demand'!H:H,MATCH($O12,'Hun Demand'!$A:$A,0)),"")</f>
        <v/>
      </c>
      <c r="AI12" s="25" t="str">
        <f>IF(SUMIFS('Supp Consol'!AA:AA,'Supp Consol'!Z:Z,"Expires this month",'Supp Consol'!A:A,O12)=0,"",SUMIFS('Supp Consol'!AA:AA,'Supp Consol'!Z:Z,"Expires this month",'Supp Consol'!A:A,O12))</f>
        <v/>
      </c>
      <c r="AJ12" s="25" t="str">
        <f>IF(SUMIFS('Supp Consol'!AA:AA,'Supp Consol'!Z:Z,"Expired Previous Months",'Supp Consol'!A:A,O12)=0,"",SUMIFS('Supp Consol'!AA:AA,'Supp Consol'!Z:Z,"Expired Previous Months",'Supp Consol'!A:A,O12))</f>
        <v/>
      </c>
      <c r="AK12" s="25" t="str">
        <f>IFERROR(INDEX('Hun Release Current'!B:B,MATCH(O12,'Hun Release Current'!A:A,0)),"")</f>
        <v/>
      </c>
      <c r="AL12" s="25" t="str">
        <f>IF(SUMIF('Prev Aub'!A:A,O12,'Prev Aub'!B:B)=0,"",SUMIF('Prev Aub'!A:A,O12,'Prev Aub'!B:B))</f>
        <v/>
      </c>
      <c r="AN12" s="25" t="s">
        <v>3790</v>
      </c>
      <c r="AO12" s="25" t="s">
        <v>3790</v>
      </c>
      <c r="AP12" s="25">
        <f t="shared" si="6"/>
        <v>0</v>
      </c>
      <c r="AQ12" s="151" t="str">
        <f>IF(SUMIFS('Supp Consol'!S:S,'Supp Consol'!A:A,O12,'Supp Consol'!I:I,"PENDING")=0,"",SUMIFS('Supp Consol'!S:S,'Supp Consol'!A:A,O12,'Supp Consol'!I:I,"PENDING"))</f>
        <v/>
      </c>
      <c r="AR12" s="27" t="str">
        <f t="shared" si="7"/>
        <v>00008</v>
      </c>
      <c r="AS12" s="27" t="str">
        <f t="shared" si="8"/>
        <v>62</v>
      </c>
      <c r="AT12" s="27" t="str">
        <f t="shared" si="9"/>
        <v/>
      </c>
      <c r="AU12" s="27" t="str">
        <f t="shared" si="10"/>
        <v/>
      </c>
      <c r="AV12" s="27" t="str">
        <f t="shared" si="11"/>
        <v/>
      </c>
      <c r="AW12" s="27" t="str">
        <f t="shared" si="12"/>
        <v/>
      </c>
      <c r="AX12" s="27" t="str">
        <f t="shared" si="13"/>
        <v>00008</v>
      </c>
      <c r="AY12" s="27" t="str">
        <f t="shared" si="14"/>
        <v/>
      </c>
      <c r="AZ12" s="27" t="str">
        <f t="shared" si="15"/>
        <v>Supp</v>
      </c>
      <c r="BA12" s="27" t="str">
        <f t="shared" si="16"/>
        <v/>
      </c>
      <c r="BB12" s="27" t="str">
        <f t="shared" si="17"/>
        <v/>
      </c>
      <c r="BC12" s="27" t="str">
        <f t="shared" si="18"/>
        <v/>
      </c>
      <c r="BD12" s="27" t="str">
        <f t="shared" si="19"/>
        <v/>
      </c>
      <c r="BE12" s="27" t="str">
        <f t="shared" si="20"/>
        <v/>
      </c>
      <c r="BF12" s="27" t="str">
        <f t="shared" si="21"/>
        <v/>
      </c>
      <c r="BG12" s="27" t="str">
        <f t="shared" si="22"/>
        <v/>
      </c>
      <c r="BH12" s="27" t="str">
        <f t="shared" si="23"/>
        <v/>
      </c>
      <c r="BI12" s="27" t="str">
        <f t="shared" si="24"/>
        <v/>
      </c>
      <c r="BJ12" s="27" t="str">
        <f t="shared" si="25"/>
        <v>Supp or Hun</v>
      </c>
      <c r="BK12" s="27" t="str">
        <f t="shared" si="26"/>
        <v/>
      </c>
      <c r="BL12" s="27" t="str">
        <f t="shared" si="27"/>
        <v/>
      </c>
      <c r="BM12" s="21" t="s">
        <v>5581</v>
      </c>
    </row>
    <row r="13" spans="1:65" ht="15">
      <c r="A13" s="25" t="str">
        <f>IFERROR(INDEX('Hun Demand'!W:W,MATCH(O13,'Hun Demand'!A:A,0)),"")</f>
        <v/>
      </c>
      <c r="B13" s="25" t="str">
        <f>IFERROR(INDEX('Hun Demand'!V:V,MATCH(O13,'Hun Demand'!A:A,0)),"")</f>
        <v/>
      </c>
      <c r="C13" s="25" t="str">
        <f>IFERROR(INDEX('Hun Demand'!U:U,MATCH(O13,'Hun Demand'!A:A,0)),"")</f>
        <v/>
      </c>
      <c r="D13" s="25" t="str">
        <f>IFERROR(INDEX('Hun Demand'!T:T,MATCH(O13,'Hun Demand'!A:A,0)),"")</f>
        <v/>
      </c>
      <c r="E13" s="25" t="str">
        <f>IFERROR(INDEX('Hun Demand'!S:S,MATCH(O13,'Hun Demand'!A:A,0)),"")</f>
        <v/>
      </c>
      <c r="F13" s="25" t="str">
        <f>IFERROR(INDEX('Hun Demand'!R:R,MATCH(O13,'Hun Demand'!A:A,0)),"")</f>
        <v/>
      </c>
      <c r="G13" s="25">
        <f>IFERROR(INDEX('Aub Demand'!W:W,MATCH(O13,'Aub Demand'!A:A,0)),"")</f>
        <v>3585</v>
      </c>
      <c r="H13" s="25">
        <f>IFERROR(INDEX('Aub Demand'!V:V,MATCH(O13,'Aub Demand'!A:A,0)),"")</f>
        <v>5023</v>
      </c>
      <c r="I13" s="25">
        <f>IFERROR(INDEX('Aub Demand'!U:U,MATCH(O13,'Aub Demand'!A:A,0)),"")</f>
        <v>1409</v>
      </c>
      <c r="J13" s="25">
        <f>IFERROR(INDEX('Aub Demand'!T:T,MATCH(O13,'Aub Demand'!A:A,0)),"")</f>
        <v>1895</v>
      </c>
      <c r="K13" s="25">
        <f>IFERROR(INDEX('Aub Demand'!S:S,MATCH(O13,'Aub Demand'!A:A,0)),"")</f>
        <v>1959</v>
      </c>
      <c r="L13" s="25">
        <f>IFERROR(INDEX('Aub Demand'!R:R,MATCH(O13,'Aub Demand'!A:A,0)),"")</f>
        <v>0</v>
      </c>
      <c r="O13" s="27" t="s">
        <v>76</v>
      </c>
      <c r="P13" s="27" t="str">
        <f>IFERROR(INDEX('Aub Demand'!B:B,MATCH($O13,'Aub Demand'!$A:$A,0)),"")</f>
        <v>SUPER H/W OVERLAY</v>
      </c>
      <c r="Q13" s="27" t="str">
        <f>IFERROR(INDEX('Aub Demand'!C:C,MATCH($O13,'Aub Demand'!$A:$A,0)),"")</f>
        <v>ONYX</v>
      </c>
      <c r="R13" s="52">
        <f>IFERROR(IF(AR14=AR13,INDEX('Aub Demand'!K:K,MATCH($O13,'Aub Demand'!$A:$A,0))-IF(AN13="",0,AN13)+AP14,INDEX('Aub Demand'!K:K,MATCH($O13,'Aub Demand'!$A:$A,0))-IF(AN13="",0,AN13)),"")</f>
        <v>2590</v>
      </c>
      <c r="S13" s="53">
        <f t="shared" si="0"/>
        <v>6.3</v>
      </c>
      <c r="T13" s="52" t="str">
        <f t="shared" si="1"/>
        <v/>
      </c>
      <c r="U13" s="52">
        <f>IFERROR(IF(AR14=AR13,INDEX('Aub Demand'!Q:Q,MATCH($O13,'Aub Demand'!$A:$A,0))-IF(AN13="",0,AN13)+AP14,INDEX('Aub Demand'!Q:Q,MATCH($O13,'Aub Demand'!$A:$A,0))-IF(AN13="",0,AN13)),"")</f>
        <v>99</v>
      </c>
      <c r="V13" s="53">
        <f t="shared" si="2"/>
        <v>0.2</v>
      </c>
      <c r="W13" s="52">
        <f t="shared" si="3"/>
        <v>1348.8999999999999</v>
      </c>
      <c r="X13" s="52">
        <f>IFERROR(IF(AND(AR14=AR13,AM13&lt;&gt;""),INDEX('Aub Demand'!Q:Q,MATCH($O13,'Aub Demand'!$A:$A,0))-IF(AN13="",0,AN13)+AP14+AD13+AL13,IF(AR14=AR13,INDEX('Aub Demand'!Q:Q,MATCH($O13,'Aub Demand'!$A:$A,0))-IF(AN13="",0,AN13)+AP14+AD13,IF(AM13&lt;&gt;"",INDEX('Aub Demand'!Q:Q,MATCH($O13,'Aub Demand'!$A:$A,0))-IF(AN13="",0,AN13)+AD13+AL13,INDEX('Aub Demand'!Q:Q,MATCH($O13,'Aub Demand'!$A:$A,0))-IF(AN13="",0,AN13)+AD13))),"")</f>
        <v>2099</v>
      </c>
      <c r="Y13" s="53">
        <f t="shared" si="4"/>
        <v>5.0999999999999996</v>
      </c>
      <c r="Z13" s="52">
        <f>IF(L13="","",INDEX('Aub Demand'!H:H,MATCH($O13,'Aub Demand'!$A:$A,0)))</f>
        <v>1754</v>
      </c>
      <c r="AA13" s="52">
        <f t="shared" si="5"/>
        <v>1927</v>
      </c>
      <c r="AB13" s="52">
        <f>IFERROR(INDEX('Aub Demand'!L:L,MATCH($O13,'Aub Demand'!$A:$A,0)),"")</f>
        <v>1953</v>
      </c>
      <c r="AC13" s="52">
        <f>IFERROR(IF(O13="","",SUMIFS('CPL Mats'!F:F,'CPL Mats'!Q:Q,AR13,'CPL Mats'!S:S,AS13)),"")</f>
        <v>0</v>
      </c>
      <c r="AD13" s="25">
        <v>2000</v>
      </c>
      <c r="AE13" s="52" t="s">
        <v>5583</v>
      </c>
      <c r="AF13" s="25">
        <f>IF(SUMIFS('Supp Consol'!S:S,'Supp Consol'!Y:Y,"Releasable",'Supp Consol'!A:A,O13)=0,"",SUMIFS('Supp Consol'!S:S,'Supp Consol'!Y:Y,"Releasable",'Supp Consol'!A:A,O13))</f>
        <v>14180</v>
      </c>
      <c r="AG13" s="25" t="str">
        <f>IFERROR(INDEX('Hun Demand'!Q:Q,MATCH(O13,'Hun Demand'!A:A,0)),"")</f>
        <v/>
      </c>
      <c r="AH13" s="25" t="str">
        <f>IFERROR(INDEX('Hun Demand'!H:H,MATCH($O13,'Hun Demand'!$A:$A,0)),"")</f>
        <v/>
      </c>
      <c r="AI13" s="25" t="str">
        <f>IF(SUMIFS('Supp Consol'!AA:AA,'Supp Consol'!Z:Z,"Expires this month",'Supp Consol'!A:A,O13)=0,"",SUMIFS('Supp Consol'!AA:AA,'Supp Consol'!Z:Z,"Expires this month",'Supp Consol'!A:A,O13))</f>
        <v/>
      </c>
      <c r="AJ13" s="25" t="str">
        <f>IF(SUMIFS('Supp Consol'!AA:AA,'Supp Consol'!Z:Z,"Expired Previous Months",'Supp Consol'!A:A,O13)=0,"",SUMIFS('Supp Consol'!AA:AA,'Supp Consol'!Z:Z,"Expired Previous Months",'Supp Consol'!A:A,O13))</f>
        <v/>
      </c>
      <c r="AK13" s="25" t="str">
        <f>IFERROR(INDEX('Hun Release Current'!B:B,MATCH(O13,'Hun Release Current'!A:A,0)),"")</f>
        <v/>
      </c>
      <c r="AL13" s="25">
        <f>IF(SUMIF('Prev Aub'!A:A,O13,'Prev Aub'!B:B)=0,"",SUMIF('Prev Aub'!A:A,O13,'Prev Aub'!B:B))</f>
        <v>2000</v>
      </c>
      <c r="AN13" s="25" t="s">
        <v>3790</v>
      </c>
      <c r="AO13" s="25" t="s">
        <v>3790</v>
      </c>
      <c r="AP13" s="25">
        <f t="shared" si="6"/>
        <v>0</v>
      </c>
      <c r="AQ13" s="151" t="str">
        <f>IF(SUMIFS('Supp Consol'!S:S,'Supp Consol'!A:A,O13,'Supp Consol'!I:I,"PENDING")=0,"",SUMIFS('Supp Consol'!S:S,'Supp Consol'!A:A,O13,'Supp Consol'!I:I,"PENDING"))</f>
        <v/>
      </c>
      <c r="AR13" s="27" t="str">
        <f t="shared" si="7"/>
        <v>00009</v>
      </c>
      <c r="AS13" s="27" t="str">
        <f t="shared" si="8"/>
        <v>43</v>
      </c>
      <c r="AT13" s="27" t="str">
        <f t="shared" si="9"/>
        <v/>
      </c>
      <c r="AU13" s="27" t="str">
        <f t="shared" si="10"/>
        <v/>
      </c>
      <c r="AV13" s="27" t="str">
        <f t="shared" si="11"/>
        <v/>
      </c>
      <c r="AW13" s="27" t="str">
        <f t="shared" si="12"/>
        <v/>
      </c>
      <c r="AX13" s="27" t="str">
        <f t="shared" si="13"/>
        <v>00009</v>
      </c>
      <c r="AY13" s="27" t="str">
        <f t="shared" si="14"/>
        <v/>
      </c>
      <c r="AZ13" s="27" t="str">
        <f t="shared" si="15"/>
        <v>Supp</v>
      </c>
      <c r="BA13" s="27" t="str">
        <f t="shared" si="16"/>
        <v/>
      </c>
      <c r="BB13" s="27" t="str">
        <f t="shared" si="17"/>
        <v/>
      </c>
      <c r="BC13" s="27" t="str">
        <f t="shared" si="18"/>
        <v/>
      </c>
      <c r="BD13" s="27" t="str">
        <f t="shared" si="19"/>
        <v/>
      </c>
      <c r="BE13" s="27" t="str">
        <f t="shared" si="20"/>
        <v/>
      </c>
      <c r="BF13" s="27" t="str">
        <f t="shared" si="21"/>
        <v/>
      </c>
      <c r="BG13" s="27" t="str">
        <f t="shared" si="22"/>
        <v/>
      </c>
      <c r="BH13" s="27" t="str">
        <f t="shared" si="23"/>
        <v/>
      </c>
      <c r="BI13" s="27" t="str">
        <f t="shared" si="24"/>
        <v/>
      </c>
      <c r="BJ13" s="27" t="str">
        <f t="shared" si="25"/>
        <v>Supp or Hun</v>
      </c>
      <c r="BK13" s="27" t="str">
        <f t="shared" si="26"/>
        <v/>
      </c>
      <c r="BL13" s="27" t="str">
        <f t="shared" si="27"/>
        <v/>
      </c>
      <c r="BM13" s="21" t="s">
        <v>5581</v>
      </c>
    </row>
    <row r="14" spans="1:65" ht="15">
      <c r="A14" s="25" t="str">
        <f>IFERROR(INDEX('Hun Demand'!W:W,MATCH(O14,'Hun Demand'!A:A,0)),"")</f>
        <v/>
      </c>
      <c r="B14" s="25" t="str">
        <f>IFERROR(INDEX('Hun Demand'!V:V,MATCH(O14,'Hun Demand'!A:A,0)),"")</f>
        <v/>
      </c>
      <c r="C14" s="25" t="str">
        <f>IFERROR(INDEX('Hun Demand'!U:U,MATCH(O14,'Hun Demand'!A:A,0)),"")</f>
        <v/>
      </c>
      <c r="D14" s="25" t="str">
        <f>IFERROR(INDEX('Hun Demand'!T:T,MATCH(O14,'Hun Demand'!A:A,0)),"")</f>
        <v/>
      </c>
      <c r="E14" s="25" t="str">
        <f>IFERROR(INDEX('Hun Demand'!S:S,MATCH(O14,'Hun Demand'!A:A,0)),"")</f>
        <v/>
      </c>
      <c r="F14" s="25" t="str">
        <f>IFERROR(INDEX('Hun Demand'!R:R,MATCH(O14,'Hun Demand'!A:A,0)),"")</f>
        <v/>
      </c>
      <c r="G14" s="25">
        <f>IFERROR(INDEX('Aub Demand'!W:W,MATCH(O14,'Aub Demand'!A:A,0)),"")</f>
        <v>172</v>
      </c>
      <c r="H14" s="25">
        <f>IFERROR(INDEX('Aub Demand'!V:V,MATCH(O14,'Aub Demand'!A:A,0)),"")</f>
        <v>286</v>
      </c>
      <c r="I14" s="25">
        <f>IFERROR(INDEX('Aub Demand'!U:U,MATCH(O14,'Aub Demand'!A:A,0)),"")</f>
        <v>168</v>
      </c>
      <c r="J14" s="25">
        <f>IFERROR(INDEX('Aub Demand'!T:T,MATCH(O14,'Aub Demand'!A:A,0)),"")</f>
        <v>0</v>
      </c>
      <c r="K14" s="25">
        <f>IFERROR(INDEX('Aub Demand'!S:S,MATCH(O14,'Aub Demand'!A:A,0)),"")</f>
        <v>389</v>
      </c>
      <c r="L14" s="25">
        <f>IFERROR(INDEX('Aub Demand'!R:R,MATCH(O14,'Aub Demand'!A:A,0)),"")</f>
        <v>0</v>
      </c>
      <c r="O14" s="27" t="s">
        <v>79</v>
      </c>
      <c r="P14" s="27" t="str">
        <f>IFERROR(INDEX('Aub Demand'!B:B,MATCH($O14,'Aub Demand'!$A:$A,0)),"")</f>
        <v>SUPER H/W OVERLAY</v>
      </c>
      <c r="Q14" s="27" t="str">
        <f>IFERROR(INDEX('Aub Demand'!C:C,MATCH($O14,'Aub Demand'!$A:$A,0)),"")</f>
        <v>ONYX</v>
      </c>
      <c r="R14" s="52">
        <f>IFERROR(IF(AR15=AR14,INDEX('Aub Demand'!K:K,MATCH($O14,'Aub Demand'!$A:$A,0))-IF(AN14="",0,AN14)+AP15,INDEX('Aub Demand'!K:K,MATCH($O14,'Aub Demand'!$A:$A,0))-IF(AN14="",0,AN14)),"")</f>
        <v>624</v>
      </c>
      <c r="S14" s="53">
        <f t="shared" si="0"/>
        <v>14.4</v>
      </c>
      <c r="T14" s="52" t="str">
        <f t="shared" si="1"/>
        <v/>
      </c>
      <c r="U14" s="52">
        <f>IFERROR(IF(AR15=AR14,INDEX('Aub Demand'!Q:Q,MATCH($O14,'Aub Demand'!$A:$A,0))-IF(AN14="",0,AN14)+AP15,INDEX('Aub Demand'!Q:Q,MATCH($O14,'Aub Demand'!$A:$A,0))-IF(AN14="",0,AN14)),"")</f>
        <v>442</v>
      </c>
      <c r="V14" s="53">
        <f t="shared" si="2"/>
        <v>10.199999999999999</v>
      </c>
      <c r="W14" s="52" t="str">
        <f t="shared" si="3"/>
        <v/>
      </c>
      <c r="X14" s="52">
        <f>IFERROR(IF(AND(AR15=AR14,AM14&lt;&gt;""),INDEX('Aub Demand'!Q:Q,MATCH($O14,'Aub Demand'!$A:$A,0))-IF(AN14="",0,AN14)+AP15+AD14+AL14,IF(AR15=AR14,INDEX('Aub Demand'!Q:Q,MATCH($O14,'Aub Demand'!$A:$A,0))-IF(AN14="",0,AN14)+AP15+AD14,IF(AM14&lt;&gt;"",INDEX('Aub Demand'!Q:Q,MATCH($O14,'Aub Demand'!$A:$A,0))-IF(AN14="",0,AN14)+AD14+AL14,INDEX('Aub Demand'!Q:Q,MATCH($O14,'Aub Demand'!$A:$A,0))-IF(AN14="",0,AN14)+AD14))),"")</f>
        <v>442</v>
      </c>
      <c r="Y14" s="53">
        <f t="shared" si="4"/>
        <v>10.199999999999999</v>
      </c>
      <c r="Z14" s="52">
        <f>IF(L14="","",INDEX('Aub Demand'!H:H,MATCH($O14,'Aub Demand'!$A:$A,0)))</f>
        <v>186</v>
      </c>
      <c r="AA14" s="52">
        <f t="shared" si="5"/>
        <v>278.5</v>
      </c>
      <c r="AB14" s="52">
        <f>IFERROR(INDEX('Aub Demand'!L:L,MATCH($O14,'Aub Demand'!$A:$A,0)),"")</f>
        <v>104</v>
      </c>
      <c r="AC14" s="52">
        <f>IFERROR(IF(O14="","",SUMIFS('CPL Mats'!F:F,'CPL Mats'!Q:Q,AR14,'CPL Mats'!S:S,AS14)),"")</f>
        <v>0</v>
      </c>
      <c r="AF14" s="25">
        <f>IF(SUMIFS('Supp Consol'!S:S,'Supp Consol'!Y:Y,"Releasable",'Supp Consol'!A:A,O14)=0,"",SUMIFS('Supp Consol'!S:S,'Supp Consol'!Y:Y,"Releasable",'Supp Consol'!A:A,O14))</f>
        <v>1105</v>
      </c>
      <c r="AG14" s="25" t="str">
        <f>IFERROR(INDEX('Hun Demand'!Q:Q,MATCH(O14,'Hun Demand'!A:A,0)),"")</f>
        <v/>
      </c>
      <c r="AH14" s="25" t="str">
        <f>IFERROR(INDEX('Hun Demand'!H:H,MATCH($O14,'Hun Demand'!$A:$A,0)),"")</f>
        <v/>
      </c>
      <c r="AI14" s="25" t="str">
        <f>IF(SUMIFS('Supp Consol'!AA:AA,'Supp Consol'!Z:Z,"Expires this month",'Supp Consol'!A:A,O14)=0,"",SUMIFS('Supp Consol'!AA:AA,'Supp Consol'!Z:Z,"Expires this month",'Supp Consol'!A:A,O14))</f>
        <v/>
      </c>
      <c r="AJ14" s="25" t="str">
        <f>IF(SUMIFS('Supp Consol'!AA:AA,'Supp Consol'!Z:Z,"Expired Previous Months",'Supp Consol'!A:A,O14)=0,"",SUMIFS('Supp Consol'!AA:AA,'Supp Consol'!Z:Z,"Expired Previous Months",'Supp Consol'!A:A,O14))</f>
        <v/>
      </c>
      <c r="AK14" s="25" t="str">
        <f>IFERROR(INDEX('Hun Release Current'!B:B,MATCH(O14,'Hun Release Current'!A:A,0)),"")</f>
        <v/>
      </c>
      <c r="AL14" s="25" t="str">
        <f>IF(SUMIF('Prev Aub'!A:A,O14,'Prev Aub'!B:B)=0,"",SUMIF('Prev Aub'!A:A,O14,'Prev Aub'!B:B))</f>
        <v/>
      </c>
      <c r="AN14" s="25" t="s">
        <v>3790</v>
      </c>
      <c r="AO14" s="25" t="s">
        <v>3790</v>
      </c>
      <c r="AP14" s="25">
        <f t="shared" si="6"/>
        <v>0</v>
      </c>
      <c r="AQ14" s="151" t="str">
        <f>IF(SUMIFS('Supp Consol'!S:S,'Supp Consol'!A:A,O14,'Supp Consol'!I:I,"PENDING")=0,"",SUMIFS('Supp Consol'!S:S,'Supp Consol'!A:A,O14,'Supp Consol'!I:I,"PENDING"))</f>
        <v/>
      </c>
      <c r="AR14" s="27" t="str">
        <f t="shared" si="7"/>
        <v>00009</v>
      </c>
      <c r="AS14" s="27" t="str">
        <f t="shared" si="8"/>
        <v>50</v>
      </c>
      <c r="AT14" s="27" t="str">
        <f t="shared" si="9"/>
        <v/>
      </c>
      <c r="AU14" s="27" t="str">
        <f t="shared" si="10"/>
        <v/>
      </c>
      <c r="AV14" s="27" t="str">
        <f t="shared" si="11"/>
        <v/>
      </c>
      <c r="AW14" s="27" t="str">
        <f t="shared" si="12"/>
        <v/>
      </c>
      <c r="AX14" s="27" t="str">
        <f t="shared" si="13"/>
        <v>00009</v>
      </c>
      <c r="AY14" s="27" t="str">
        <f t="shared" si="14"/>
        <v/>
      </c>
      <c r="AZ14" s="27" t="str">
        <f t="shared" si="15"/>
        <v>Supp</v>
      </c>
      <c r="BA14" s="27" t="str">
        <f t="shared" si="16"/>
        <v/>
      </c>
      <c r="BB14" s="27" t="str">
        <f t="shared" si="17"/>
        <v/>
      </c>
      <c r="BC14" s="27" t="str">
        <f t="shared" si="18"/>
        <v/>
      </c>
      <c r="BD14" s="27" t="str">
        <f t="shared" si="19"/>
        <v/>
      </c>
      <c r="BE14" s="27" t="str">
        <f t="shared" si="20"/>
        <v/>
      </c>
      <c r="BF14" s="27" t="str">
        <f t="shared" si="21"/>
        <v/>
      </c>
      <c r="BG14" s="27" t="str">
        <f t="shared" si="22"/>
        <v/>
      </c>
      <c r="BH14" s="27" t="str">
        <f t="shared" si="23"/>
        <v/>
      </c>
      <c r="BI14" s="27" t="str">
        <f t="shared" si="24"/>
        <v/>
      </c>
      <c r="BJ14" s="27" t="str">
        <f t="shared" si="25"/>
        <v>Supp or Hun</v>
      </c>
      <c r="BK14" s="27" t="str">
        <f t="shared" si="26"/>
        <v/>
      </c>
      <c r="BL14" s="27" t="str">
        <f t="shared" si="27"/>
        <v/>
      </c>
      <c r="BM14" s="21" t="s">
        <v>5581</v>
      </c>
    </row>
    <row r="15" spans="1:65" ht="15">
      <c r="A15" s="25" t="str">
        <f>IFERROR(INDEX('Hun Demand'!W:W,MATCH(O15,'Hun Demand'!A:A,0)),"")</f>
        <v/>
      </c>
      <c r="B15" s="25" t="str">
        <f>IFERROR(INDEX('Hun Demand'!V:V,MATCH(O15,'Hun Demand'!A:A,0)),"")</f>
        <v/>
      </c>
      <c r="C15" s="25" t="str">
        <f>IFERROR(INDEX('Hun Demand'!U:U,MATCH(O15,'Hun Demand'!A:A,0)),"")</f>
        <v/>
      </c>
      <c r="D15" s="25" t="str">
        <f>IFERROR(INDEX('Hun Demand'!T:T,MATCH(O15,'Hun Demand'!A:A,0)),"")</f>
        <v/>
      </c>
      <c r="E15" s="25" t="str">
        <f>IFERROR(INDEX('Hun Demand'!S:S,MATCH(O15,'Hun Demand'!A:A,0)),"")</f>
        <v/>
      </c>
      <c r="F15" s="25" t="str">
        <f>IFERROR(INDEX('Hun Demand'!R:R,MATCH(O15,'Hun Demand'!A:A,0)),"")</f>
        <v/>
      </c>
      <c r="G15" s="25">
        <f>IFERROR(INDEX('Aub Demand'!W:W,MATCH(O15,'Aub Demand'!A:A,0)),"")</f>
        <v>4927</v>
      </c>
      <c r="H15" s="25">
        <f>IFERROR(INDEX('Aub Demand'!V:V,MATCH(O15,'Aub Demand'!A:A,0)),"")</f>
        <v>2956</v>
      </c>
      <c r="I15" s="25">
        <f>IFERROR(INDEX('Aub Demand'!U:U,MATCH(O15,'Aub Demand'!A:A,0)),"")</f>
        <v>2268</v>
      </c>
      <c r="J15" s="25">
        <f>IFERROR(INDEX('Aub Demand'!T:T,MATCH(O15,'Aub Demand'!A:A,0)),"")</f>
        <v>0</v>
      </c>
      <c r="K15" s="25">
        <f>IFERROR(INDEX('Aub Demand'!S:S,MATCH(O15,'Aub Demand'!A:A,0)),"")</f>
        <v>2617</v>
      </c>
      <c r="L15" s="25">
        <f>IFERROR(INDEX('Aub Demand'!R:R,MATCH(O15,'Aub Demand'!A:A,0)),"")</f>
        <v>0</v>
      </c>
      <c r="O15" s="27" t="s">
        <v>80</v>
      </c>
      <c r="P15" s="27" t="str">
        <f>IFERROR(INDEX('Aub Demand'!B:B,MATCH($O15,'Aub Demand'!$A:$A,0)),"")</f>
        <v>SUPER H/W OVERLAY</v>
      </c>
      <c r="Q15" s="27" t="str">
        <f>IFERROR(INDEX('Aub Demand'!C:C,MATCH($O15,'Aub Demand'!$A:$A,0)),"")</f>
        <v>ONYX</v>
      </c>
      <c r="R15" s="52">
        <f>IFERROR(IF(AR16=AR15,INDEX('Aub Demand'!K:K,MATCH($O15,'Aub Demand'!$A:$A,0))-IF(AN15="",0,AN15)+AP16,INDEX('Aub Demand'!K:K,MATCH($O15,'Aub Demand'!$A:$A,0))-IF(AN15="",0,AN15)),"")</f>
        <v>3354</v>
      </c>
      <c r="S15" s="53">
        <f t="shared" si="0"/>
        <v>8.8000000000000007</v>
      </c>
      <c r="T15" s="52" t="str">
        <f t="shared" si="1"/>
        <v/>
      </c>
      <c r="U15" s="52">
        <f>IFERROR(IF(AR16=AR15,INDEX('Aub Demand'!Q:Q,MATCH($O15,'Aub Demand'!$A:$A,0))-IF(AN15="",0,AN15)+AP16,INDEX('Aub Demand'!Q:Q,MATCH($O15,'Aub Demand'!$A:$A,0))-IF(AN15="",0,AN15)),"")</f>
        <v>599</v>
      </c>
      <c r="V15" s="53">
        <f t="shared" si="2"/>
        <v>1.6</v>
      </c>
      <c r="W15" s="52">
        <f t="shared" si="3"/>
        <v>854.875</v>
      </c>
      <c r="X15" s="52">
        <f>IFERROR(IF(AND(AR16=AR15,AM15&lt;&gt;""),INDEX('Aub Demand'!Q:Q,MATCH($O15,'Aub Demand'!$A:$A,0))-IF(AN15="",0,AN15)+AP16+AD15+AL15,IF(AR16=AR15,INDEX('Aub Demand'!Q:Q,MATCH($O15,'Aub Demand'!$A:$A,0))-IF(AN15="",0,AN15)+AP16+AD15,IF(AM15&lt;&gt;"",INDEX('Aub Demand'!Q:Q,MATCH($O15,'Aub Demand'!$A:$A,0))-IF(AN15="",0,AN15)+AD15+AL15,INDEX('Aub Demand'!Q:Q,MATCH($O15,'Aub Demand'!$A:$A,0))-IF(AN15="",0,AN15)+AD15))),"")</f>
        <v>1599</v>
      </c>
      <c r="Y15" s="53">
        <f t="shared" si="4"/>
        <v>4.2</v>
      </c>
      <c r="Z15" s="52">
        <f>IF(L15="","",INDEX('Aub Demand'!H:H,MATCH($O15,'Aub Demand'!$A:$A,0)))</f>
        <v>1628</v>
      </c>
      <c r="AA15" s="52">
        <f t="shared" si="5"/>
        <v>2442.5</v>
      </c>
      <c r="AB15" s="52">
        <f>IFERROR(INDEX('Aub Demand'!L:L,MATCH($O15,'Aub Demand'!$A:$A,0)),"")</f>
        <v>3384</v>
      </c>
      <c r="AC15" s="52">
        <f>IFERROR(IF(O15="","",SUMIFS('CPL Mats'!F:F,'CPL Mats'!Q:Q,AR15,'CPL Mats'!S:S,AS15)),"")</f>
        <v>0</v>
      </c>
      <c r="AD15" s="25">
        <v>1000</v>
      </c>
      <c r="AE15" s="52" t="s">
        <v>5583</v>
      </c>
      <c r="AF15" s="25">
        <f>IF(SUMIFS('Supp Consol'!S:S,'Supp Consol'!Y:Y,"Releasable",'Supp Consol'!A:A,O15)=0,"",SUMIFS('Supp Consol'!S:S,'Supp Consol'!Y:Y,"Releasable",'Supp Consol'!A:A,O15))</f>
        <v>14194</v>
      </c>
      <c r="AG15" s="25" t="str">
        <f>IFERROR(INDEX('Hun Demand'!Q:Q,MATCH(O15,'Hun Demand'!A:A,0)),"")</f>
        <v/>
      </c>
      <c r="AH15" s="25" t="str">
        <f>IFERROR(INDEX('Hun Demand'!H:H,MATCH($O15,'Hun Demand'!$A:$A,0)),"")</f>
        <v/>
      </c>
      <c r="AI15" s="25" t="str">
        <f>IF(SUMIFS('Supp Consol'!AA:AA,'Supp Consol'!Z:Z,"Expires this month",'Supp Consol'!A:A,O15)=0,"",SUMIFS('Supp Consol'!AA:AA,'Supp Consol'!Z:Z,"Expires this month",'Supp Consol'!A:A,O15))</f>
        <v/>
      </c>
      <c r="AJ15" s="25" t="str">
        <f>IF(SUMIFS('Supp Consol'!AA:AA,'Supp Consol'!Z:Z,"Expired Previous Months",'Supp Consol'!A:A,O15)=0,"",SUMIFS('Supp Consol'!AA:AA,'Supp Consol'!Z:Z,"Expired Previous Months",'Supp Consol'!A:A,O15))</f>
        <v/>
      </c>
      <c r="AK15" s="25" t="str">
        <f>IFERROR(INDEX('Hun Release Current'!B:B,MATCH(O15,'Hun Release Current'!A:A,0)),"")</f>
        <v/>
      </c>
      <c r="AL15" s="25">
        <f>IF(SUMIF('Prev Aub'!A:A,O15,'Prev Aub'!B:B)=0,"",SUMIF('Prev Aub'!A:A,O15,'Prev Aub'!B:B))</f>
        <v>1000</v>
      </c>
      <c r="AN15" s="25" t="s">
        <v>3790</v>
      </c>
      <c r="AO15" s="25" t="s">
        <v>3790</v>
      </c>
      <c r="AP15" s="25">
        <f t="shared" si="6"/>
        <v>0</v>
      </c>
      <c r="AQ15" s="151" t="str">
        <f>IF(SUMIFS('Supp Consol'!S:S,'Supp Consol'!A:A,O15,'Supp Consol'!I:I,"PENDING")=0,"",SUMIFS('Supp Consol'!S:S,'Supp Consol'!A:A,O15,'Supp Consol'!I:I,"PENDING"))</f>
        <v/>
      </c>
      <c r="AR15" s="27" t="str">
        <f t="shared" si="7"/>
        <v>00009</v>
      </c>
      <c r="AS15" s="27" t="str">
        <f t="shared" si="8"/>
        <v>62</v>
      </c>
      <c r="AT15" s="27" t="str">
        <f t="shared" si="9"/>
        <v/>
      </c>
      <c r="AU15" s="27" t="str">
        <f t="shared" si="10"/>
        <v/>
      </c>
      <c r="AV15" s="27" t="str">
        <f t="shared" si="11"/>
        <v/>
      </c>
      <c r="AW15" s="27" t="str">
        <f t="shared" si="12"/>
        <v/>
      </c>
      <c r="AX15" s="27" t="str">
        <f t="shared" si="13"/>
        <v>00009</v>
      </c>
      <c r="AY15" s="27" t="str">
        <f t="shared" si="14"/>
        <v/>
      </c>
      <c r="AZ15" s="27" t="str">
        <f t="shared" si="15"/>
        <v>Supp</v>
      </c>
      <c r="BA15" s="27" t="str">
        <f t="shared" si="16"/>
        <v/>
      </c>
      <c r="BB15" s="27" t="str">
        <f t="shared" si="17"/>
        <v/>
      </c>
      <c r="BC15" s="27" t="str">
        <f t="shared" si="18"/>
        <v/>
      </c>
      <c r="BD15" s="27" t="str">
        <f t="shared" si="19"/>
        <v/>
      </c>
      <c r="BE15" s="27" t="str">
        <f t="shared" si="20"/>
        <v/>
      </c>
      <c r="BF15" s="27" t="str">
        <f t="shared" si="21"/>
        <v/>
      </c>
      <c r="BG15" s="27" t="str">
        <f t="shared" si="22"/>
        <v/>
      </c>
      <c r="BH15" s="27" t="str">
        <f t="shared" si="23"/>
        <v/>
      </c>
      <c r="BI15" s="27" t="str">
        <f t="shared" si="24"/>
        <v/>
      </c>
      <c r="BJ15" s="27" t="str">
        <f t="shared" si="25"/>
        <v>Supp or Hun</v>
      </c>
      <c r="BK15" s="27" t="str">
        <f t="shared" si="26"/>
        <v/>
      </c>
      <c r="BL15" s="27" t="str">
        <f t="shared" si="27"/>
        <v/>
      </c>
      <c r="BM15" s="21" t="s">
        <v>5581</v>
      </c>
    </row>
    <row r="16" spans="1:65" ht="15">
      <c r="A16" s="25" t="str">
        <f>IFERROR(INDEX('Hun Demand'!W:W,MATCH(O16,'Hun Demand'!A:A,0)),"")</f>
        <v/>
      </c>
      <c r="B16" s="25" t="str">
        <f>IFERROR(INDEX('Hun Demand'!V:V,MATCH(O16,'Hun Demand'!A:A,0)),"")</f>
        <v/>
      </c>
      <c r="C16" s="25" t="str">
        <f>IFERROR(INDEX('Hun Demand'!U:U,MATCH(O16,'Hun Demand'!A:A,0)),"")</f>
        <v/>
      </c>
      <c r="D16" s="25" t="str">
        <f>IFERROR(INDEX('Hun Demand'!T:T,MATCH(O16,'Hun Demand'!A:A,0)),"")</f>
        <v/>
      </c>
      <c r="E16" s="25" t="str">
        <f>IFERROR(INDEX('Hun Demand'!S:S,MATCH(O16,'Hun Demand'!A:A,0)),"")</f>
        <v/>
      </c>
      <c r="F16" s="25" t="str">
        <f>IFERROR(INDEX('Hun Demand'!R:R,MATCH(O16,'Hun Demand'!A:A,0)),"")</f>
        <v/>
      </c>
      <c r="G16" s="25">
        <f>IFERROR(INDEX('Aub Demand'!W:W,MATCH(O16,'Aub Demand'!A:A,0)),"")</f>
        <v>797</v>
      </c>
      <c r="H16" s="25">
        <f>IFERROR(INDEX('Aub Demand'!V:V,MATCH(O16,'Aub Demand'!A:A,0)),"")</f>
        <v>1069</v>
      </c>
      <c r="I16" s="25">
        <f>IFERROR(INDEX('Aub Demand'!U:U,MATCH(O16,'Aub Demand'!A:A,0)),"")</f>
        <v>720</v>
      </c>
      <c r="J16" s="25">
        <f>IFERROR(INDEX('Aub Demand'!T:T,MATCH(O16,'Aub Demand'!A:A,0)),"")</f>
        <v>744</v>
      </c>
      <c r="K16" s="25">
        <f>IFERROR(INDEX('Aub Demand'!S:S,MATCH(O16,'Aub Demand'!A:A,0)),"")</f>
        <v>684</v>
      </c>
      <c r="L16" s="25">
        <f>IFERROR(INDEX('Aub Demand'!R:R,MATCH(O16,'Aub Demand'!A:A,0)),"")</f>
        <v>9</v>
      </c>
      <c r="O16" s="27" t="s">
        <v>83</v>
      </c>
      <c r="P16" s="27" t="str">
        <f>IFERROR(INDEX('Aub Demand'!B:B,MATCH($O16,'Aub Demand'!$A:$A,0)),"")</f>
        <v>WHITE OVERLAY</v>
      </c>
      <c r="Q16" s="27" t="str">
        <f>IFERROR(INDEX('Aub Demand'!C:C,MATCH($O16,'Aub Demand'!$A:$A,0)),"")</f>
        <v>ONYX</v>
      </c>
      <c r="R16" s="52">
        <f>IFERROR(IF(AR17=AR16,INDEX('Aub Demand'!K:K,MATCH($O16,'Aub Demand'!$A:$A,0))-IF(AN16="",0,AN16)+AP17,INDEX('Aub Demand'!K:K,MATCH($O16,'Aub Demand'!$A:$A,0))-IF(AN16="",0,AN16)),"")</f>
        <v>3404</v>
      </c>
      <c r="S16" s="53">
        <f t="shared" si="0"/>
        <v>20.399999999999999</v>
      </c>
      <c r="T16" s="52" t="str">
        <f t="shared" si="1"/>
        <v/>
      </c>
      <c r="U16" s="52">
        <f>IFERROR(IF(AR17=AR16,INDEX('Aub Demand'!Q:Q,MATCH($O16,'Aub Demand'!$A:$A,0))-IF(AN16="",0,AN16)+AP17,INDEX('Aub Demand'!Q:Q,MATCH($O16,'Aub Demand'!$A:$A,0))-IF(AN16="",0,AN16)),"")</f>
        <v>2629</v>
      </c>
      <c r="V16" s="53">
        <f t="shared" si="2"/>
        <v>15.7</v>
      </c>
      <c r="W16" s="52" t="str">
        <f t="shared" si="3"/>
        <v/>
      </c>
      <c r="X16" s="52">
        <f>IFERROR(IF(AND(AR17=AR16,AM16&lt;&gt;""),INDEX('Aub Demand'!Q:Q,MATCH($O16,'Aub Demand'!$A:$A,0))-IF(AN16="",0,AN16)+AP17+AD16+AL16,IF(AR17=AR16,INDEX('Aub Demand'!Q:Q,MATCH($O16,'Aub Demand'!$A:$A,0))-IF(AN16="",0,AN16)+AP17+AD16,IF(AM16&lt;&gt;"",INDEX('Aub Demand'!Q:Q,MATCH($O16,'Aub Demand'!$A:$A,0))-IF(AN16="",0,AN16)+AD16+AL16,INDEX('Aub Demand'!Q:Q,MATCH($O16,'Aub Demand'!$A:$A,0))-IF(AN16="",0,AN16)+AD16))),"")</f>
        <v>2629</v>
      </c>
      <c r="Y16" s="53">
        <f t="shared" si="4"/>
        <v>15.7</v>
      </c>
      <c r="Z16" s="52">
        <f>IF(L16="","",INDEX('Aub Demand'!H:H,MATCH($O16,'Aub Demand'!$A:$A,0)))</f>
        <v>716</v>
      </c>
      <c r="AA16" s="52">
        <f t="shared" si="5"/>
        <v>732</v>
      </c>
      <c r="AB16" s="52">
        <f>IFERROR(INDEX('Aub Demand'!L:L,MATCH($O16,'Aub Demand'!$A:$A,0)),"")</f>
        <v>606</v>
      </c>
      <c r="AC16" s="52">
        <f>IFERROR(IF(O16="","",SUMIFS('CPL Mats'!F:F,'CPL Mats'!Q:Q,AR16,'CPL Mats'!S:S,AS16)),"")</f>
        <v>0</v>
      </c>
      <c r="AF16" s="25" t="str">
        <f>IF(SUMIFS('Supp Consol'!S:S,'Supp Consol'!Y:Y,"Releasable",'Supp Consol'!A:A,O16)=0,"",SUMIFS('Supp Consol'!S:S,'Supp Consol'!Y:Y,"Releasable",'Supp Consol'!A:A,O16))</f>
        <v/>
      </c>
      <c r="AG16" s="25" t="str">
        <f>IFERROR(INDEX('Hun Demand'!Q:Q,MATCH(O16,'Hun Demand'!A:A,0)),"")</f>
        <v/>
      </c>
      <c r="AH16" s="25" t="str">
        <f>IFERROR(INDEX('Hun Demand'!H:H,MATCH($O16,'Hun Demand'!$A:$A,0)),"")</f>
        <v/>
      </c>
      <c r="AI16" s="25" t="str">
        <f>IF(SUMIFS('Supp Consol'!AA:AA,'Supp Consol'!Z:Z,"Expires this month",'Supp Consol'!A:A,O16)=0,"",SUMIFS('Supp Consol'!AA:AA,'Supp Consol'!Z:Z,"Expires this month",'Supp Consol'!A:A,O16))</f>
        <v/>
      </c>
      <c r="AJ16" s="25" t="str">
        <f>IF(SUMIFS('Supp Consol'!AA:AA,'Supp Consol'!Z:Z,"Expired Previous Months",'Supp Consol'!A:A,O16)=0,"",SUMIFS('Supp Consol'!AA:AA,'Supp Consol'!Z:Z,"Expired Previous Months",'Supp Consol'!A:A,O16))</f>
        <v/>
      </c>
      <c r="AK16" s="25" t="str">
        <f>IFERROR(INDEX('Hun Release Current'!B:B,MATCH(O16,'Hun Release Current'!A:A,0)),"")</f>
        <v/>
      </c>
      <c r="AL16" s="25" t="str">
        <f>IF(SUMIF('Prev Aub'!A:A,O16,'Prev Aub'!B:B)=0,"",SUMIF('Prev Aub'!A:A,O16,'Prev Aub'!B:B))</f>
        <v/>
      </c>
      <c r="AN16" s="25" t="s">
        <v>3790</v>
      </c>
      <c r="AO16" s="25" t="s">
        <v>3790</v>
      </c>
      <c r="AP16" s="25">
        <f t="shared" si="6"/>
        <v>0</v>
      </c>
      <c r="AQ16" s="151" t="str">
        <f>IF(SUMIFS('Supp Consol'!S:S,'Supp Consol'!A:A,O16,'Supp Consol'!I:I,"PENDING")=0,"",SUMIFS('Supp Consol'!S:S,'Supp Consol'!A:A,O16,'Supp Consol'!I:I,"PENDING"))</f>
        <v/>
      </c>
      <c r="AR16" s="27" t="str">
        <f t="shared" si="7"/>
        <v>00010</v>
      </c>
      <c r="AS16" s="27" t="str">
        <f t="shared" si="8"/>
        <v>43</v>
      </c>
      <c r="AT16" s="27" t="str">
        <f t="shared" si="9"/>
        <v/>
      </c>
      <c r="AU16" s="27" t="str">
        <f t="shared" si="10"/>
        <v/>
      </c>
      <c r="AV16" s="27" t="str">
        <f t="shared" si="11"/>
        <v/>
      </c>
      <c r="AW16" s="27" t="str">
        <f t="shared" si="12"/>
        <v/>
      </c>
      <c r="AX16" s="27" t="str">
        <f t="shared" si="13"/>
        <v/>
      </c>
      <c r="AY16" s="27" t="str">
        <f t="shared" si="14"/>
        <v/>
      </c>
      <c r="AZ16" s="27" t="str">
        <f t="shared" si="15"/>
        <v>Supp</v>
      </c>
      <c r="BA16" s="27" t="str">
        <f t="shared" si="16"/>
        <v>Hun</v>
      </c>
      <c r="BB16" s="27" t="str">
        <f t="shared" si="17"/>
        <v/>
      </c>
      <c r="BC16" s="27" t="str">
        <f t="shared" si="18"/>
        <v/>
      </c>
      <c r="BD16" s="27" t="str">
        <f t="shared" si="19"/>
        <v/>
      </c>
      <c r="BE16" s="27" t="str">
        <f t="shared" si="20"/>
        <v/>
      </c>
      <c r="BF16" s="27" t="str">
        <f t="shared" si="21"/>
        <v/>
      </c>
      <c r="BG16" s="27" t="str">
        <f t="shared" si="22"/>
        <v/>
      </c>
      <c r="BH16" s="27" t="str">
        <f t="shared" si="23"/>
        <v/>
      </c>
      <c r="BI16" s="27" t="str">
        <f t="shared" si="24"/>
        <v/>
      </c>
      <c r="BJ16" s="27" t="str">
        <f t="shared" si="25"/>
        <v>Supp or Hun</v>
      </c>
      <c r="BK16" s="27" t="str">
        <f t="shared" si="26"/>
        <v/>
      </c>
      <c r="BL16" s="27" t="str">
        <f t="shared" si="27"/>
        <v/>
      </c>
      <c r="BM16" s="21" t="s">
        <v>5581</v>
      </c>
    </row>
    <row r="17" spans="1:65" ht="15">
      <c r="A17" s="25">
        <f>IFERROR(INDEX('Hun Demand'!W:W,MATCH(O17,'Hun Demand'!A:A,0)),"")</f>
        <v>0</v>
      </c>
      <c r="B17" s="25">
        <f>IFERROR(INDEX('Hun Demand'!V:V,MATCH(O17,'Hun Demand'!A:A,0)),"")</f>
        <v>76</v>
      </c>
      <c r="C17" s="25">
        <f>IFERROR(INDEX('Hun Demand'!U:U,MATCH(O17,'Hun Demand'!A:A,0)),"")</f>
        <v>182</v>
      </c>
      <c r="D17" s="25">
        <f>IFERROR(INDEX('Hun Demand'!T:T,MATCH(O17,'Hun Demand'!A:A,0)),"")</f>
        <v>0</v>
      </c>
      <c r="E17" s="25">
        <f>IFERROR(INDEX('Hun Demand'!S:S,MATCH(O17,'Hun Demand'!A:A,0)),"")</f>
        <v>0</v>
      </c>
      <c r="F17" s="25">
        <f>IFERROR(INDEX('Hun Demand'!R:R,MATCH(O17,'Hun Demand'!A:A,0)),"")</f>
        <v>105</v>
      </c>
      <c r="G17" s="25">
        <f>IFERROR(INDEX('Aub Demand'!W:W,MATCH(O17,'Aub Demand'!A:A,0)),"")</f>
        <v>73</v>
      </c>
      <c r="H17" s="25">
        <f>IFERROR(INDEX('Aub Demand'!V:V,MATCH(O17,'Aub Demand'!A:A,0)),"")</f>
        <v>52</v>
      </c>
      <c r="I17" s="25">
        <f>IFERROR(INDEX('Aub Demand'!U:U,MATCH(O17,'Aub Demand'!A:A,0)),"")</f>
        <v>537</v>
      </c>
      <c r="J17" s="25">
        <f>IFERROR(INDEX('Aub Demand'!T:T,MATCH(O17,'Aub Demand'!A:A,0)),"")</f>
        <v>9</v>
      </c>
      <c r="K17" s="25">
        <f>IFERROR(INDEX('Aub Demand'!S:S,MATCH(O17,'Aub Demand'!A:A,0)),"")</f>
        <v>33</v>
      </c>
      <c r="L17" s="25">
        <f>IFERROR(INDEX('Aub Demand'!R:R,MATCH(O17,'Aub Demand'!A:A,0)),"")</f>
        <v>0</v>
      </c>
      <c r="O17" s="27" t="s">
        <v>85</v>
      </c>
      <c r="P17" s="27" t="str">
        <f>IFERROR(INDEX('Aub Demand'!B:B,MATCH($O17,'Aub Demand'!$A:$A,0)),"")</f>
        <v>WHITE OVERLAY</v>
      </c>
      <c r="Q17" s="27" t="str">
        <f>IFERROR(INDEX('Aub Demand'!C:C,MATCH($O17,'Aub Demand'!$A:$A,0)),"")</f>
        <v>ONYX</v>
      </c>
      <c r="R17" s="52">
        <f>IFERROR(IF(AR18=AR17,INDEX('Aub Demand'!K:K,MATCH($O17,'Aub Demand'!$A:$A,0))-IF(AN17="",0,AN17)+AP18,INDEX('Aub Demand'!K:K,MATCH($O17,'Aub Demand'!$A:$A,0))-IF(AN17="",0,AN17)),"")</f>
        <v>1072</v>
      </c>
      <c r="S17" s="53">
        <f t="shared" si="0"/>
        <v>23.8</v>
      </c>
      <c r="T17" s="52" t="str">
        <f t="shared" si="1"/>
        <v/>
      </c>
      <c r="U17" s="52">
        <f>IFERROR(IF(AR18=AR17,INDEX('Aub Demand'!Q:Q,MATCH($O17,'Aub Demand'!$A:$A,0))-IF(AN17="",0,AN17)+AP18,INDEX('Aub Demand'!Q:Q,MATCH($O17,'Aub Demand'!$A:$A,0))-IF(AN17="",0,AN17)),"")</f>
        <v>1036</v>
      </c>
      <c r="V17" s="53">
        <f t="shared" si="2"/>
        <v>23</v>
      </c>
      <c r="W17" s="52" t="str">
        <f t="shared" si="3"/>
        <v/>
      </c>
      <c r="X17" s="52">
        <f>IFERROR(IF(AND(AR18=AR17,AM17&lt;&gt;""),INDEX('Aub Demand'!Q:Q,MATCH($O17,'Aub Demand'!$A:$A,0))-IF(AN17="",0,AN17)+AP18+AD17+AL17,IF(AR18=AR17,INDEX('Aub Demand'!Q:Q,MATCH($O17,'Aub Demand'!$A:$A,0))-IF(AN17="",0,AN17)+AP18+AD17,IF(AM17&lt;&gt;"",INDEX('Aub Demand'!Q:Q,MATCH($O17,'Aub Demand'!$A:$A,0))-IF(AN17="",0,AN17)+AD17+AL17,INDEX('Aub Demand'!Q:Q,MATCH($O17,'Aub Demand'!$A:$A,0))-IF(AN17="",0,AN17)+AD17))),"")</f>
        <v>1036</v>
      </c>
      <c r="Y17" s="53">
        <f t="shared" si="4"/>
        <v>23</v>
      </c>
      <c r="Z17" s="52">
        <f>IF(L17="","",INDEX('Aub Demand'!H:H,MATCH($O17,'Aub Demand'!$A:$A,0)))</f>
        <v>193</v>
      </c>
      <c r="AA17" s="52">
        <f t="shared" si="5"/>
        <v>285</v>
      </c>
      <c r="AB17" s="52">
        <f>IFERROR(INDEX('Aub Demand'!L:L,MATCH($O17,'Aub Demand'!$A:$A,0)),"")</f>
        <v>25</v>
      </c>
      <c r="AC17" s="52">
        <f>IFERROR(IF(O17="","",SUMIFS('CPL Mats'!F:F,'CPL Mats'!Q:Q,AR17,'CPL Mats'!S:S,AS17)),"")</f>
        <v>0</v>
      </c>
      <c r="AF17" s="25" t="str">
        <f>IF(SUMIFS('Supp Consol'!S:S,'Supp Consol'!Y:Y,"Releasable",'Supp Consol'!A:A,O17)=0,"",SUMIFS('Supp Consol'!S:S,'Supp Consol'!Y:Y,"Releasable",'Supp Consol'!A:A,O17))</f>
        <v/>
      </c>
      <c r="AG17" s="25">
        <f>IFERROR(INDEX('Hun Demand'!Q:Q,MATCH(O17,'Hun Demand'!A:A,0)),"")</f>
        <v>375</v>
      </c>
      <c r="AH17" s="25">
        <f>IFERROR(INDEX('Hun Demand'!H:H,MATCH($O17,'Hun Demand'!$A:$A,0)),"")</f>
        <v>61</v>
      </c>
      <c r="AI17" s="25" t="str">
        <f>IF(SUMIFS('Supp Consol'!AA:AA,'Supp Consol'!Z:Z,"Expires this month",'Supp Consol'!A:A,O17)=0,"",SUMIFS('Supp Consol'!AA:AA,'Supp Consol'!Z:Z,"Expires this month",'Supp Consol'!A:A,O17))</f>
        <v/>
      </c>
      <c r="AJ17" s="25" t="str">
        <f>IF(SUMIFS('Supp Consol'!AA:AA,'Supp Consol'!Z:Z,"Expired Previous Months",'Supp Consol'!A:A,O17)=0,"",SUMIFS('Supp Consol'!AA:AA,'Supp Consol'!Z:Z,"Expired Previous Months",'Supp Consol'!A:A,O17))</f>
        <v/>
      </c>
      <c r="AK17" s="25" t="str">
        <f>IFERROR(INDEX('Hun Release Current'!B:B,MATCH(O17,'Hun Release Current'!A:A,0)),"")</f>
        <v/>
      </c>
      <c r="AL17" s="25" t="str">
        <f>IF(SUMIF('Prev Aub'!A:A,O17,'Prev Aub'!B:B)=0,"",SUMIF('Prev Aub'!A:A,O17,'Prev Aub'!B:B))</f>
        <v/>
      </c>
      <c r="AN17" s="25" t="s">
        <v>3790</v>
      </c>
      <c r="AO17" s="25" t="s">
        <v>3790</v>
      </c>
      <c r="AP17" s="25">
        <f t="shared" si="6"/>
        <v>0</v>
      </c>
      <c r="AQ17" s="151" t="str">
        <f>IF(SUMIFS('Supp Consol'!S:S,'Supp Consol'!A:A,O17,'Supp Consol'!I:I,"PENDING")=0,"",SUMIFS('Supp Consol'!S:S,'Supp Consol'!A:A,O17,'Supp Consol'!I:I,"PENDING"))</f>
        <v/>
      </c>
      <c r="AR17" s="27" t="str">
        <f t="shared" si="7"/>
        <v>00010</v>
      </c>
      <c r="AS17" s="27" t="str">
        <f t="shared" si="8"/>
        <v>50</v>
      </c>
      <c r="AT17" s="27" t="str">
        <f t="shared" si="9"/>
        <v/>
      </c>
      <c r="AU17" s="27" t="str">
        <f t="shared" si="10"/>
        <v/>
      </c>
      <c r="AV17" s="27" t="str">
        <f t="shared" si="11"/>
        <v/>
      </c>
      <c r="AW17" s="27" t="str">
        <f t="shared" si="12"/>
        <v/>
      </c>
      <c r="AX17" s="27" t="str">
        <f t="shared" si="13"/>
        <v/>
      </c>
      <c r="AY17" s="27" t="str">
        <f t="shared" si="14"/>
        <v>00010</v>
      </c>
      <c r="AZ17" s="27" t="str">
        <f t="shared" si="15"/>
        <v>Supp</v>
      </c>
      <c r="BA17" s="27" t="str">
        <f t="shared" si="16"/>
        <v>Hun</v>
      </c>
      <c r="BB17" s="27" t="str">
        <f t="shared" si="17"/>
        <v/>
      </c>
      <c r="BC17" s="27" t="str">
        <f t="shared" si="18"/>
        <v/>
      </c>
      <c r="BD17" s="27" t="str">
        <f t="shared" si="19"/>
        <v/>
      </c>
      <c r="BE17" s="27" t="str">
        <f t="shared" si="20"/>
        <v/>
      </c>
      <c r="BF17" s="27" t="str">
        <f t="shared" si="21"/>
        <v/>
      </c>
      <c r="BG17" s="27" t="str">
        <f t="shared" si="22"/>
        <v/>
      </c>
      <c r="BH17" s="27" t="str">
        <f t="shared" si="23"/>
        <v/>
      </c>
      <c r="BI17" s="27" t="str">
        <f t="shared" si="24"/>
        <v/>
      </c>
      <c r="BJ17" s="27" t="str">
        <f t="shared" si="25"/>
        <v>Supp or Hun</v>
      </c>
      <c r="BK17" s="27" t="str">
        <f t="shared" si="26"/>
        <v/>
      </c>
      <c r="BL17" s="27" t="str">
        <f t="shared" si="27"/>
        <v/>
      </c>
      <c r="BM17" s="21" t="s">
        <v>5581</v>
      </c>
    </row>
    <row r="18" spans="1:65" ht="15">
      <c r="A18" s="25">
        <f>IFERROR(INDEX('Hun Demand'!W:W,MATCH(O18,'Hun Demand'!A:A,0)),"")</f>
        <v>248</v>
      </c>
      <c r="B18" s="25">
        <f>IFERROR(INDEX('Hun Demand'!V:V,MATCH(O18,'Hun Demand'!A:A,0)),"")</f>
        <v>194</v>
      </c>
      <c r="C18" s="25">
        <f>IFERROR(INDEX('Hun Demand'!U:U,MATCH(O18,'Hun Demand'!A:A,0)),"")</f>
        <v>352</v>
      </c>
      <c r="D18" s="25">
        <f>IFERROR(INDEX('Hun Demand'!T:T,MATCH(O18,'Hun Demand'!A:A,0)),"")</f>
        <v>194</v>
      </c>
      <c r="E18" s="25">
        <f>IFERROR(INDEX('Hun Demand'!S:S,MATCH(O18,'Hun Demand'!A:A,0)),"")</f>
        <v>304</v>
      </c>
      <c r="F18" s="25">
        <f>IFERROR(INDEX('Hun Demand'!R:R,MATCH(O18,'Hun Demand'!A:A,0)),"")</f>
        <v>0</v>
      </c>
      <c r="G18" s="25">
        <f>IFERROR(INDEX('Aub Demand'!W:W,MATCH(O18,'Aub Demand'!A:A,0)),"")</f>
        <v>729</v>
      </c>
      <c r="H18" s="25">
        <f>IFERROR(INDEX('Aub Demand'!V:V,MATCH(O18,'Aub Demand'!A:A,0)),"")</f>
        <v>750</v>
      </c>
      <c r="I18" s="25">
        <f>IFERROR(INDEX('Aub Demand'!U:U,MATCH(O18,'Aub Demand'!A:A,0)),"")</f>
        <v>693</v>
      </c>
      <c r="J18" s="25">
        <f>IFERROR(INDEX('Aub Demand'!T:T,MATCH(O18,'Aub Demand'!A:A,0)),"")</f>
        <v>1051</v>
      </c>
      <c r="K18" s="25">
        <f>IFERROR(INDEX('Aub Demand'!S:S,MATCH(O18,'Aub Demand'!A:A,0)),"")</f>
        <v>536</v>
      </c>
      <c r="L18" s="25">
        <f>IFERROR(INDEX('Aub Demand'!R:R,MATCH(O18,'Aub Demand'!A:A,0)),"")</f>
        <v>7</v>
      </c>
      <c r="O18" s="27" t="s">
        <v>87</v>
      </c>
      <c r="P18" s="27" t="str">
        <f>IFERROR(INDEX('Aub Demand'!B:B,MATCH($O18,'Aub Demand'!$A:$A,0)),"")</f>
        <v>WHITE OVERLAY</v>
      </c>
      <c r="Q18" s="27" t="str">
        <f>IFERROR(INDEX('Aub Demand'!C:C,MATCH($O18,'Aub Demand'!$A:$A,0)),"")</f>
        <v>ONYX</v>
      </c>
      <c r="R18" s="52">
        <f>IFERROR(IF(AR19=AR18,INDEX('Aub Demand'!K:K,MATCH($O18,'Aub Demand'!$A:$A,0))-IF(AN18="",0,AN18)+AP19,INDEX('Aub Demand'!K:K,MATCH($O18,'Aub Demand'!$A:$A,0))-IF(AN18="",0,AN18)),"")</f>
        <v>1473</v>
      </c>
      <c r="S18" s="53">
        <f t="shared" si="0"/>
        <v>8.3000000000000007</v>
      </c>
      <c r="T18" s="52" t="str">
        <f t="shared" si="1"/>
        <v/>
      </c>
      <c r="U18" s="52">
        <f>IFERROR(IF(AR19=AR18,INDEX('Aub Demand'!Q:Q,MATCH($O18,'Aub Demand'!$A:$A,0))-IF(AN18="",0,AN18)+AP19,INDEX('Aub Demand'!Q:Q,MATCH($O18,'Aub Demand'!$A:$A,0))-IF(AN18="",0,AN18)),"")</f>
        <v>922</v>
      </c>
      <c r="V18" s="53">
        <f t="shared" si="2"/>
        <v>5.2</v>
      </c>
      <c r="W18" s="52" t="str">
        <f t="shared" si="3"/>
        <v/>
      </c>
      <c r="X18" s="52">
        <f>IFERROR(IF(AND(AR19=AR18,AM18&lt;&gt;""),INDEX('Aub Demand'!Q:Q,MATCH($O18,'Aub Demand'!$A:$A,0))-IF(AN18="",0,AN18)+AP19+AD18+AL18,IF(AR19=AR18,INDEX('Aub Demand'!Q:Q,MATCH($O18,'Aub Demand'!$A:$A,0))-IF(AN18="",0,AN18)+AP19+AD18,IF(AM18&lt;&gt;"",INDEX('Aub Demand'!Q:Q,MATCH($O18,'Aub Demand'!$A:$A,0))-IF(AN18="",0,AN18)+AD18+AL18,INDEX('Aub Demand'!Q:Q,MATCH($O18,'Aub Demand'!$A:$A,0))-IF(AN18="",0,AN18)+AD18))),"")</f>
        <v>922</v>
      </c>
      <c r="Y18" s="53">
        <f t="shared" si="4"/>
        <v>5.2</v>
      </c>
      <c r="Z18" s="52">
        <f>IF(L18="","",INDEX('Aub Demand'!H:H,MATCH($O18,'Aub Demand'!$A:$A,0)))</f>
        <v>760</v>
      </c>
      <c r="AA18" s="52">
        <f t="shared" si="5"/>
        <v>872</v>
      </c>
      <c r="AB18" s="52">
        <f>IFERROR(INDEX('Aub Demand'!L:L,MATCH($O18,'Aub Demand'!$A:$A,0)),"")</f>
        <v>728</v>
      </c>
      <c r="AC18" s="52">
        <f>IFERROR(IF(O18="","",SUMIFS('CPL Mats'!F:F,'CPL Mats'!Q:Q,AR18,'CPL Mats'!S:S,AS18)),"")</f>
        <v>0</v>
      </c>
      <c r="AF18" s="25">
        <f>IF(SUMIFS('Supp Consol'!S:S,'Supp Consol'!Y:Y,"Releasable",'Supp Consol'!A:A,O18)=0,"",SUMIFS('Supp Consol'!S:S,'Supp Consol'!Y:Y,"Releasable",'Supp Consol'!A:A,O18))</f>
        <v>2194</v>
      </c>
      <c r="AG18" s="25">
        <f>IFERROR(INDEX('Hun Demand'!Q:Q,MATCH(O18,'Hun Demand'!A:A,0)),"")</f>
        <v>471</v>
      </c>
      <c r="AH18" s="25">
        <f>IFERROR(INDEX('Hun Demand'!H:H,MATCH($O18,'Hun Demand'!$A:$A,0)),"")</f>
        <v>283</v>
      </c>
      <c r="AI18" s="25" t="str">
        <f>IF(SUMIFS('Supp Consol'!AA:AA,'Supp Consol'!Z:Z,"Expires this month",'Supp Consol'!A:A,O18)=0,"",SUMIFS('Supp Consol'!AA:AA,'Supp Consol'!Z:Z,"Expires this month",'Supp Consol'!A:A,O18))</f>
        <v/>
      </c>
      <c r="AJ18" s="25" t="str">
        <f>IF(SUMIFS('Supp Consol'!AA:AA,'Supp Consol'!Z:Z,"Expired Previous Months",'Supp Consol'!A:A,O18)=0,"",SUMIFS('Supp Consol'!AA:AA,'Supp Consol'!Z:Z,"Expired Previous Months",'Supp Consol'!A:A,O18))</f>
        <v/>
      </c>
      <c r="AK18" s="25" t="str">
        <f>IFERROR(INDEX('Hun Release Current'!B:B,MATCH(O18,'Hun Release Current'!A:A,0)),"")</f>
        <v/>
      </c>
      <c r="AL18" s="25" t="str">
        <f>IF(SUMIF('Prev Aub'!A:A,O18,'Prev Aub'!B:B)=0,"",SUMIF('Prev Aub'!A:A,O18,'Prev Aub'!B:B))</f>
        <v/>
      </c>
      <c r="AN18" s="25" t="s">
        <v>3790</v>
      </c>
      <c r="AO18" s="25" t="s">
        <v>3790</v>
      </c>
      <c r="AP18" s="25">
        <f t="shared" si="6"/>
        <v>0</v>
      </c>
      <c r="AQ18" s="151" t="str">
        <f>IF(SUMIFS('Supp Consol'!S:S,'Supp Consol'!A:A,O18,'Supp Consol'!I:I,"PENDING")=0,"",SUMIFS('Supp Consol'!S:S,'Supp Consol'!A:A,O18,'Supp Consol'!I:I,"PENDING"))</f>
        <v/>
      </c>
      <c r="AR18" s="27" t="str">
        <f t="shared" si="7"/>
        <v>00010</v>
      </c>
      <c r="AS18" s="27" t="str">
        <f t="shared" si="8"/>
        <v>62</v>
      </c>
      <c r="AT18" s="27" t="str">
        <f t="shared" si="9"/>
        <v/>
      </c>
      <c r="AU18" s="27" t="str">
        <f t="shared" si="10"/>
        <v/>
      </c>
      <c r="AV18" s="27" t="str">
        <f t="shared" si="11"/>
        <v/>
      </c>
      <c r="AW18" s="27" t="str">
        <f t="shared" si="12"/>
        <v/>
      </c>
      <c r="AX18" s="27" t="str">
        <f t="shared" si="13"/>
        <v>00010</v>
      </c>
      <c r="AY18" s="27" t="str">
        <f t="shared" si="14"/>
        <v>00010</v>
      </c>
      <c r="AZ18" s="27" t="str">
        <f t="shared" si="15"/>
        <v>Supp</v>
      </c>
      <c r="BA18" s="27" t="str">
        <f t="shared" si="16"/>
        <v>Hun</v>
      </c>
      <c r="BB18" s="27" t="str">
        <f t="shared" si="17"/>
        <v/>
      </c>
      <c r="BC18" s="27" t="str">
        <f t="shared" si="18"/>
        <v/>
      </c>
      <c r="BD18" s="27" t="str">
        <f t="shared" si="19"/>
        <v/>
      </c>
      <c r="BE18" s="27" t="str">
        <f t="shared" si="20"/>
        <v/>
      </c>
      <c r="BF18" s="27" t="str">
        <f t="shared" si="21"/>
        <v/>
      </c>
      <c r="BG18" s="27" t="str">
        <f t="shared" si="22"/>
        <v/>
      </c>
      <c r="BH18" s="27" t="str">
        <f t="shared" si="23"/>
        <v/>
      </c>
      <c r="BI18" s="27" t="str">
        <f t="shared" si="24"/>
        <v/>
      </c>
      <c r="BJ18" s="27" t="str">
        <f t="shared" si="25"/>
        <v>Supp or Hun</v>
      </c>
      <c r="BK18" s="27" t="str">
        <f t="shared" si="26"/>
        <v/>
      </c>
      <c r="BL18" s="27" t="str">
        <f t="shared" si="27"/>
        <v/>
      </c>
      <c r="BM18" s="21" t="s">
        <v>5581</v>
      </c>
    </row>
    <row r="19" spans="1:65" ht="15">
      <c r="A19" s="25" t="str">
        <f>IFERROR(INDEX('Hun Demand'!W:W,MATCH(O19,'Hun Demand'!A:A,0)),"")</f>
        <v/>
      </c>
      <c r="B19" s="25" t="str">
        <f>IFERROR(INDEX('Hun Demand'!V:V,MATCH(O19,'Hun Demand'!A:A,0)),"")</f>
        <v/>
      </c>
      <c r="C19" s="25" t="str">
        <f>IFERROR(INDEX('Hun Demand'!U:U,MATCH(O19,'Hun Demand'!A:A,0)),"")</f>
        <v/>
      </c>
      <c r="D19" s="25" t="str">
        <f>IFERROR(INDEX('Hun Demand'!T:T,MATCH(O19,'Hun Demand'!A:A,0)),"")</f>
        <v/>
      </c>
      <c r="E19" s="25" t="str">
        <f>IFERROR(INDEX('Hun Demand'!S:S,MATCH(O19,'Hun Demand'!A:A,0)),"")</f>
        <v/>
      </c>
      <c r="F19" s="25" t="str">
        <f>IFERROR(INDEX('Hun Demand'!R:R,MATCH(O19,'Hun Demand'!A:A,0)),"")</f>
        <v/>
      </c>
      <c r="G19" s="25">
        <f>IFERROR(INDEX('Aub Demand'!W:W,MATCH(O19,'Aub Demand'!A:A,0)),"")</f>
        <v>0</v>
      </c>
      <c r="H19" s="25">
        <f>IFERROR(INDEX('Aub Demand'!V:V,MATCH(O19,'Aub Demand'!A:A,0)),"")</f>
        <v>0</v>
      </c>
      <c r="I19" s="25">
        <f>IFERROR(INDEX('Aub Demand'!U:U,MATCH(O19,'Aub Demand'!A:A,0)),"")</f>
        <v>0</v>
      </c>
      <c r="J19" s="25">
        <f>IFERROR(INDEX('Aub Demand'!T:T,MATCH(O19,'Aub Demand'!A:A,0)),"")</f>
        <v>0</v>
      </c>
      <c r="K19" s="25">
        <f>IFERROR(INDEX('Aub Demand'!S:S,MATCH(O19,'Aub Demand'!A:A,0)),"")</f>
        <v>0</v>
      </c>
      <c r="L19" s="25">
        <f>IFERROR(INDEX('Aub Demand'!R:R,MATCH(O19,'Aub Demand'!A:A,0)),"")</f>
        <v>0</v>
      </c>
      <c r="O19" s="27" t="s">
        <v>88</v>
      </c>
      <c r="P19" s="27" t="str">
        <f>IFERROR(INDEX('Aub Demand'!B:B,MATCH($O19,'Aub Demand'!$A:$A,0)),"")</f>
        <v>CLEAR NO GRIT OVERLA</v>
      </c>
      <c r="Q19" s="27" t="str">
        <f>IFERROR(INDEX('Aub Demand'!C:C,MATCH($O19,'Aub Demand'!$A:$A,0)),"")</f>
        <v>GLATF</v>
      </c>
      <c r="R19" s="52">
        <f>IFERROR(IF(AR20=AR19,INDEX('Aub Demand'!K:K,MATCH($O19,'Aub Demand'!$A:$A,0))-IF(AN19="",0,AN19)+AP20,INDEX('Aub Demand'!K:K,MATCH($O19,'Aub Demand'!$A:$A,0))-IF(AN19="",0,AN19)),"")</f>
        <v>2052</v>
      </c>
      <c r="S19" s="53" t="str">
        <f t="shared" si="0"/>
        <v>n/a</v>
      </c>
      <c r="T19" s="52" t="str">
        <f t="shared" si="1"/>
        <v/>
      </c>
      <c r="U19" s="52">
        <f>IFERROR(IF(AR20=AR19,INDEX('Aub Demand'!Q:Q,MATCH($O19,'Aub Demand'!$A:$A,0))-IF(AN19="",0,AN19)+AP20,INDEX('Aub Demand'!Q:Q,MATCH($O19,'Aub Demand'!$A:$A,0))-IF(AN19="",0,AN19)),"")</f>
        <v>2052</v>
      </c>
      <c r="V19" s="53" t="str">
        <f t="shared" si="2"/>
        <v>n/a</v>
      </c>
      <c r="W19" s="52" t="str">
        <f t="shared" si="3"/>
        <v/>
      </c>
      <c r="X19" s="52">
        <f>IFERROR(IF(AND(AR20=AR19,AM19&lt;&gt;""),INDEX('Aub Demand'!Q:Q,MATCH($O19,'Aub Demand'!$A:$A,0))-IF(AN19="",0,AN19)+AP20+AD19+AL19,IF(AR20=AR19,INDEX('Aub Demand'!Q:Q,MATCH($O19,'Aub Demand'!$A:$A,0))-IF(AN19="",0,AN19)+AP20+AD19,IF(AM19&lt;&gt;"",INDEX('Aub Demand'!Q:Q,MATCH($O19,'Aub Demand'!$A:$A,0))-IF(AN19="",0,AN19)+AD19+AL19,INDEX('Aub Demand'!Q:Q,MATCH($O19,'Aub Demand'!$A:$A,0))-IF(AN19="",0,AN19)+AD19))),"")</f>
        <v>2052</v>
      </c>
      <c r="Y19" s="53" t="str">
        <f t="shared" si="4"/>
        <v>n/a</v>
      </c>
      <c r="Z19" s="52">
        <f>IF(L19="","",INDEX('Aub Demand'!H:H,MATCH($O19,'Aub Demand'!$A:$A,0)))</f>
        <v>0</v>
      </c>
      <c r="AA19" s="52" t="str">
        <f t="shared" si="5"/>
        <v>-spike-</v>
      </c>
      <c r="AB19" s="52">
        <f>IFERROR(INDEX('Aub Demand'!L:L,MATCH($O19,'Aub Demand'!$A:$A,0)),"")</f>
        <v>0</v>
      </c>
      <c r="AC19" s="52">
        <f>IFERROR(IF(O19="","",SUMIFS('CPL Mats'!F:F,'CPL Mats'!Q:Q,AR19,'CPL Mats'!S:S,AS19)),"")</f>
        <v>0</v>
      </c>
      <c r="AF19" s="25" t="str">
        <f>IF(SUMIFS('Supp Consol'!S:S,'Supp Consol'!Y:Y,"Releasable",'Supp Consol'!A:A,O19)=0,"",SUMIFS('Supp Consol'!S:S,'Supp Consol'!Y:Y,"Releasable",'Supp Consol'!A:A,O19))</f>
        <v/>
      </c>
      <c r="AG19" s="25" t="str">
        <f>IFERROR(INDEX('Hun Demand'!Q:Q,MATCH(O19,'Hun Demand'!A:A,0)),"")</f>
        <v/>
      </c>
      <c r="AH19" s="25" t="str">
        <f>IFERROR(INDEX('Hun Demand'!H:H,MATCH($O19,'Hun Demand'!$A:$A,0)),"")</f>
        <v/>
      </c>
      <c r="AI19" s="25" t="str">
        <f>IF(SUMIFS('Supp Consol'!AA:AA,'Supp Consol'!Z:Z,"Expires this month",'Supp Consol'!A:A,O19)=0,"",SUMIFS('Supp Consol'!AA:AA,'Supp Consol'!Z:Z,"Expires this month",'Supp Consol'!A:A,O19))</f>
        <v/>
      </c>
      <c r="AJ19" s="25" t="str">
        <f>IF(SUMIFS('Supp Consol'!AA:AA,'Supp Consol'!Z:Z,"Expired Previous Months",'Supp Consol'!A:A,O19)=0,"",SUMIFS('Supp Consol'!AA:AA,'Supp Consol'!Z:Z,"Expired Previous Months",'Supp Consol'!A:A,O19))</f>
        <v/>
      </c>
      <c r="AK19" s="25" t="str">
        <f>IFERROR(INDEX('Hun Release Current'!B:B,MATCH(O19,'Hun Release Current'!A:A,0)),"")</f>
        <v/>
      </c>
      <c r="AL19" s="25" t="str">
        <f>IF(SUMIF('Prev Aub'!A:A,O19,'Prev Aub'!B:B)=0,"",SUMIF('Prev Aub'!A:A,O19,'Prev Aub'!B:B))</f>
        <v/>
      </c>
      <c r="AN19" s="25" t="s">
        <v>3790</v>
      </c>
      <c r="AO19" s="25" t="s">
        <v>3790</v>
      </c>
      <c r="AP19" s="25">
        <f t="shared" si="6"/>
        <v>0</v>
      </c>
      <c r="AQ19" s="151" t="str">
        <f>IF(SUMIFS('Supp Consol'!S:S,'Supp Consol'!A:A,O19,'Supp Consol'!I:I,"PENDING")=0,"",SUMIFS('Supp Consol'!S:S,'Supp Consol'!A:A,O19,'Supp Consol'!I:I,"PENDING"))</f>
        <v/>
      </c>
      <c r="AR19" s="27" t="str">
        <f t="shared" si="7"/>
        <v>00012</v>
      </c>
      <c r="AS19" s="27" t="str">
        <f t="shared" si="8"/>
        <v>50</v>
      </c>
      <c r="AT19" s="27" t="str">
        <f t="shared" si="9"/>
        <v/>
      </c>
      <c r="AU19" s="27" t="str">
        <f t="shared" si="10"/>
        <v/>
      </c>
      <c r="AV19" s="27" t="str">
        <f t="shared" si="11"/>
        <v/>
      </c>
      <c r="AW19" s="27" t="str">
        <f t="shared" si="12"/>
        <v/>
      </c>
      <c r="AX19" s="27" t="str">
        <f t="shared" si="13"/>
        <v/>
      </c>
      <c r="AY19" s="27" t="str">
        <f t="shared" si="14"/>
        <v/>
      </c>
      <c r="AZ19" s="27" t="str">
        <f t="shared" si="15"/>
        <v/>
      </c>
      <c r="BA19" s="27" t="str">
        <f t="shared" si="16"/>
        <v/>
      </c>
      <c r="BB19" s="27" t="str">
        <f t="shared" si="17"/>
        <v/>
      </c>
      <c r="BC19" s="27" t="str">
        <f t="shared" si="18"/>
        <v/>
      </c>
      <c r="BD19" s="27" t="str">
        <f t="shared" si="19"/>
        <v/>
      </c>
      <c r="BE19" s="27" t="str">
        <f t="shared" si="20"/>
        <v/>
      </c>
      <c r="BF19" s="27" t="str">
        <f t="shared" si="21"/>
        <v/>
      </c>
      <c r="BG19" s="27" t="str">
        <f t="shared" si="22"/>
        <v/>
      </c>
      <c r="BH19" s="27" t="str">
        <f t="shared" si="23"/>
        <v/>
      </c>
      <c r="BI19" s="27" t="str">
        <f t="shared" si="24"/>
        <v/>
      </c>
      <c r="BJ19" s="27" t="str">
        <f t="shared" si="25"/>
        <v/>
      </c>
      <c r="BK19" s="27" t="str">
        <f t="shared" si="26"/>
        <v/>
      </c>
      <c r="BL19" s="27" t="str">
        <f t="shared" si="27"/>
        <v/>
      </c>
      <c r="BM19" s="21" t="s">
        <v>5581</v>
      </c>
    </row>
    <row r="20" spans="1:65" ht="15">
      <c r="A20" s="25" t="str">
        <f>IFERROR(INDEX('Hun Demand'!W:W,MATCH(O20,'Hun Demand'!A:A,0)),"")</f>
        <v/>
      </c>
      <c r="B20" s="25" t="str">
        <f>IFERROR(INDEX('Hun Demand'!V:V,MATCH(O20,'Hun Demand'!A:A,0)),"")</f>
        <v/>
      </c>
      <c r="C20" s="25" t="str">
        <f>IFERROR(INDEX('Hun Demand'!U:U,MATCH(O20,'Hun Demand'!A:A,0)),"")</f>
        <v/>
      </c>
      <c r="D20" s="25" t="str">
        <f>IFERROR(INDEX('Hun Demand'!T:T,MATCH(O20,'Hun Demand'!A:A,0)),"")</f>
        <v/>
      </c>
      <c r="E20" s="25" t="str">
        <f>IFERROR(INDEX('Hun Demand'!S:S,MATCH(O20,'Hun Demand'!A:A,0)),"")</f>
        <v/>
      </c>
      <c r="F20" s="25" t="str">
        <f>IFERROR(INDEX('Hun Demand'!R:R,MATCH(O20,'Hun Demand'!A:A,0)),"")</f>
        <v/>
      </c>
      <c r="G20" s="25">
        <f>IFERROR(INDEX('Aub Demand'!W:W,MATCH(O20,'Aub Demand'!A:A,0)),"")</f>
        <v>0</v>
      </c>
      <c r="H20" s="25">
        <f>IFERROR(INDEX('Aub Demand'!V:V,MATCH(O20,'Aub Demand'!A:A,0)),"")</f>
        <v>0</v>
      </c>
      <c r="I20" s="25">
        <f>IFERROR(INDEX('Aub Demand'!U:U,MATCH(O20,'Aub Demand'!A:A,0)),"")</f>
        <v>0</v>
      </c>
      <c r="J20" s="25">
        <f>IFERROR(INDEX('Aub Demand'!T:T,MATCH(O20,'Aub Demand'!A:A,0)),"")</f>
        <v>0</v>
      </c>
      <c r="K20" s="25">
        <f>IFERROR(INDEX('Aub Demand'!S:S,MATCH(O20,'Aub Demand'!A:A,0)),"")</f>
        <v>0</v>
      </c>
      <c r="L20" s="25">
        <f>IFERROR(INDEX('Aub Demand'!R:R,MATCH(O20,'Aub Demand'!A:A,0)),"")</f>
        <v>0</v>
      </c>
      <c r="O20" s="27" t="s">
        <v>91</v>
      </c>
      <c r="P20" s="27" t="str">
        <f>IFERROR(INDEX('Aub Demand'!B:B,MATCH($O20,'Aub Demand'!$A:$A,0)),"")</f>
        <v>CLEAR NO GRIT OVERLA</v>
      </c>
      <c r="Q20" s="27" t="str">
        <f>IFERROR(INDEX('Aub Demand'!C:C,MATCH($O20,'Aub Demand'!$A:$A,0)),"")</f>
        <v>GLATF</v>
      </c>
      <c r="R20" s="52">
        <f>IFERROR(IF(AR21=AR20,INDEX('Aub Demand'!K:K,MATCH($O20,'Aub Demand'!$A:$A,0))-IF(AN20="",0,AN20)+AP21,INDEX('Aub Demand'!K:K,MATCH($O20,'Aub Demand'!$A:$A,0))-IF(AN20="",0,AN20)),"")</f>
        <v>2648</v>
      </c>
      <c r="S20" s="53" t="str">
        <f t="shared" si="0"/>
        <v>n/a</v>
      </c>
      <c r="T20" s="52" t="str">
        <f t="shared" si="1"/>
        <v/>
      </c>
      <c r="U20" s="52">
        <f>IFERROR(IF(AR21=AR20,INDEX('Aub Demand'!Q:Q,MATCH($O20,'Aub Demand'!$A:$A,0))-IF(AN20="",0,AN20)+AP21,INDEX('Aub Demand'!Q:Q,MATCH($O20,'Aub Demand'!$A:$A,0))-IF(AN20="",0,AN20)),"")</f>
        <v>2648</v>
      </c>
      <c r="V20" s="53" t="str">
        <f t="shared" si="2"/>
        <v>n/a</v>
      </c>
      <c r="W20" s="52" t="str">
        <f t="shared" si="3"/>
        <v/>
      </c>
      <c r="X20" s="52">
        <f>IFERROR(IF(AND(AR21=AR20,AM20&lt;&gt;""),INDEX('Aub Demand'!Q:Q,MATCH($O20,'Aub Demand'!$A:$A,0))-IF(AN20="",0,AN20)+AP21+AD20+AL20,IF(AR21=AR20,INDEX('Aub Demand'!Q:Q,MATCH($O20,'Aub Demand'!$A:$A,0))-IF(AN20="",0,AN20)+AP21+AD20,IF(AM20&lt;&gt;"",INDEX('Aub Demand'!Q:Q,MATCH($O20,'Aub Demand'!$A:$A,0))-IF(AN20="",0,AN20)+AD20+AL20,INDEX('Aub Demand'!Q:Q,MATCH($O20,'Aub Demand'!$A:$A,0))-IF(AN20="",0,AN20)+AD20))),"")</f>
        <v>2648</v>
      </c>
      <c r="Y20" s="53" t="str">
        <f t="shared" si="4"/>
        <v>n/a</v>
      </c>
      <c r="Z20" s="52">
        <f>IF(L20="","",INDEX('Aub Demand'!H:H,MATCH($O20,'Aub Demand'!$A:$A,0)))</f>
        <v>0</v>
      </c>
      <c r="AA20" s="52" t="str">
        <f t="shared" si="5"/>
        <v>-spike-</v>
      </c>
      <c r="AB20" s="52">
        <f>IFERROR(INDEX('Aub Demand'!L:L,MATCH($O20,'Aub Demand'!$A:$A,0)),"")</f>
        <v>0</v>
      </c>
      <c r="AC20" s="52">
        <f>IFERROR(IF(O20="","",SUMIFS('CPL Mats'!F:F,'CPL Mats'!Q:Q,AR20,'CPL Mats'!S:S,AS20)),"")</f>
        <v>0</v>
      </c>
      <c r="AF20" s="25" t="str">
        <f>IF(SUMIFS('Supp Consol'!S:S,'Supp Consol'!Y:Y,"Releasable",'Supp Consol'!A:A,O20)=0,"",SUMIFS('Supp Consol'!S:S,'Supp Consol'!Y:Y,"Releasable",'Supp Consol'!A:A,O20))</f>
        <v/>
      </c>
      <c r="AG20" s="25" t="str">
        <f>IFERROR(INDEX('Hun Demand'!Q:Q,MATCH(O20,'Hun Demand'!A:A,0)),"")</f>
        <v/>
      </c>
      <c r="AH20" s="25" t="str">
        <f>IFERROR(INDEX('Hun Demand'!H:H,MATCH($O20,'Hun Demand'!$A:$A,0)),"")</f>
        <v/>
      </c>
      <c r="AI20" s="25" t="str">
        <f>IF(SUMIFS('Supp Consol'!AA:AA,'Supp Consol'!Z:Z,"Expires this month",'Supp Consol'!A:A,O20)=0,"",SUMIFS('Supp Consol'!AA:AA,'Supp Consol'!Z:Z,"Expires this month",'Supp Consol'!A:A,O20))</f>
        <v/>
      </c>
      <c r="AJ20" s="25" t="str">
        <f>IF(SUMIFS('Supp Consol'!AA:AA,'Supp Consol'!Z:Z,"Expired Previous Months",'Supp Consol'!A:A,O20)=0,"",SUMIFS('Supp Consol'!AA:AA,'Supp Consol'!Z:Z,"Expired Previous Months",'Supp Consol'!A:A,O20))</f>
        <v/>
      </c>
      <c r="AK20" s="25" t="str">
        <f>IFERROR(INDEX('Hun Release Current'!B:B,MATCH(O20,'Hun Release Current'!A:A,0)),"")</f>
        <v/>
      </c>
      <c r="AL20" s="25" t="str">
        <f>IF(SUMIF('Prev Aub'!A:A,O20,'Prev Aub'!B:B)=0,"",SUMIF('Prev Aub'!A:A,O20,'Prev Aub'!B:B))</f>
        <v/>
      </c>
      <c r="AN20" s="25" t="s">
        <v>3790</v>
      </c>
      <c r="AO20" s="25" t="s">
        <v>3790</v>
      </c>
      <c r="AP20" s="25">
        <f t="shared" si="6"/>
        <v>0</v>
      </c>
      <c r="AQ20" s="151" t="str">
        <f>IF(SUMIFS('Supp Consol'!S:S,'Supp Consol'!A:A,O20,'Supp Consol'!I:I,"PENDING")=0,"",SUMIFS('Supp Consol'!S:S,'Supp Consol'!A:A,O20,'Supp Consol'!I:I,"PENDING"))</f>
        <v/>
      </c>
      <c r="AR20" s="27" t="str">
        <f t="shared" si="7"/>
        <v>00012</v>
      </c>
      <c r="AS20" s="27" t="str">
        <f t="shared" si="8"/>
        <v>62</v>
      </c>
      <c r="AT20" s="27" t="str">
        <f t="shared" si="9"/>
        <v/>
      </c>
      <c r="AU20" s="27" t="str">
        <f t="shared" si="10"/>
        <v/>
      </c>
      <c r="AV20" s="27" t="str">
        <f t="shared" si="11"/>
        <v/>
      </c>
      <c r="AW20" s="27" t="str">
        <f t="shared" si="12"/>
        <v/>
      </c>
      <c r="AX20" s="27" t="str">
        <f t="shared" si="13"/>
        <v/>
      </c>
      <c r="AY20" s="27" t="str">
        <f t="shared" si="14"/>
        <v/>
      </c>
      <c r="AZ20" s="27" t="str">
        <f t="shared" si="15"/>
        <v/>
      </c>
      <c r="BA20" s="27" t="str">
        <f t="shared" si="16"/>
        <v/>
      </c>
      <c r="BB20" s="27" t="str">
        <f t="shared" si="17"/>
        <v/>
      </c>
      <c r="BC20" s="27" t="str">
        <f t="shared" si="18"/>
        <v/>
      </c>
      <c r="BD20" s="27" t="str">
        <f t="shared" si="19"/>
        <v/>
      </c>
      <c r="BE20" s="27" t="str">
        <f t="shared" si="20"/>
        <v/>
      </c>
      <c r="BF20" s="27" t="str">
        <f t="shared" si="21"/>
        <v/>
      </c>
      <c r="BG20" s="27" t="str">
        <f t="shared" si="22"/>
        <v/>
      </c>
      <c r="BH20" s="27" t="str">
        <f t="shared" si="23"/>
        <v/>
      </c>
      <c r="BI20" s="27" t="str">
        <f t="shared" si="24"/>
        <v/>
      </c>
      <c r="BJ20" s="27" t="str">
        <f t="shared" si="25"/>
        <v/>
      </c>
      <c r="BK20" s="27" t="str">
        <f t="shared" si="26"/>
        <v/>
      </c>
      <c r="BL20" s="27" t="str">
        <f t="shared" si="27"/>
        <v/>
      </c>
      <c r="BM20" s="21" t="s">
        <v>5581</v>
      </c>
    </row>
    <row r="21" spans="1:65" ht="15">
      <c r="A21" s="25" t="str">
        <f>IFERROR(INDEX('Hun Demand'!W:W,MATCH(O21,'Hun Demand'!A:A,0)),"")</f>
        <v/>
      </c>
      <c r="B21" s="25" t="str">
        <f>IFERROR(INDEX('Hun Demand'!V:V,MATCH(O21,'Hun Demand'!A:A,0)),"")</f>
        <v/>
      </c>
      <c r="C21" s="25" t="str">
        <f>IFERROR(INDEX('Hun Demand'!U:U,MATCH(O21,'Hun Demand'!A:A,0)),"")</f>
        <v/>
      </c>
      <c r="D21" s="25" t="str">
        <f>IFERROR(INDEX('Hun Demand'!T:T,MATCH(O21,'Hun Demand'!A:A,0)),"")</f>
        <v/>
      </c>
      <c r="E21" s="25" t="str">
        <f>IFERROR(INDEX('Hun Demand'!S:S,MATCH(O21,'Hun Demand'!A:A,0)),"")</f>
        <v/>
      </c>
      <c r="F21" s="25" t="str">
        <f>IFERROR(INDEX('Hun Demand'!R:R,MATCH(O21,'Hun Demand'!A:A,0)),"")</f>
        <v/>
      </c>
      <c r="G21" s="25">
        <f>IFERROR(INDEX('Aub Demand'!W:W,MATCH(O21,'Aub Demand'!A:A,0)),"")</f>
        <v>0</v>
      </c>
      <c r="H21" s="25">
        <f>IFERROR(INDEX('Aub Demand'!V:V,MATCH(O21,'Aub Demand'!A:A,0)),"")</f>
        <v>0</v>
      </c>
      <c r="I21" s="25">
        <f>IFERROR(INDEX('Aub Demand'!U:U,MATCH(O21,'Aub Demand'!A:A,0)),"")</f>
        <v>1710</v>
      </c>
      <c r="J21" s="25">
        <f>IFERROR(INDEX('Aub Demand'!T:T,MATCH(O21,'Aub Demand'!A:A,0)),"")</f>
        <v>1206</v>
      </c>
      <c r="K21" s="25">
        <f>IFERROR(INDEX('Aub Demand'!S:S,MATCH(O21,'Aub Demand'!A:A,0)),"")</f>
        <v>0</v>
      </c>
      <c r="L21" s="25">
        <f>IFERROR(INDEX('Aub Demand'!R:R,MATCH(O21,'Aub Demand'!A:A,0)),"")</f>
        <v>0</v>
      </c>
      <c r="O21" s="27" t="s">
        <v>92</v>
      </c>
      <c r="P21" s="27" t="str">
        <f>IFERROR(INDEX('Aub Demand'!B:B,MATCH($O21,'Aub Demand'!$A:$A,0)),"")</f>
        <v>NON TINTED OVERLAY</v>
      </c>
      <c r="Q21" s="27" t="str">
        <f>IFERROR(INDEX('Aub Demand'!C:C,MATCH($O21,'Aub Demand'!$A:$A,0)),"")</f>
        <v>ONYX</v>
      </c>
      <c r="R21" s="52">
        <f>IFERROR(IF(AR22=AR21,INDEX('Aub Demand'!K:K,MATCH($O21,'Aub Demand'!$A:$A,0))-IF(AN21="",0,AN21)+AP22,INDEX('Aub Demand'!K:K,MATCH($O21,'Aub Demand'!$A:$A,0))-IF(AN21="",0,AN21)),"")</f>
        <v>1244</v>
      </c>
      <c r="S21" s="53">
        <f t="shared" si="0"/>
        <v>5.5</v>
      </c>
      <c r="T21" s="52" t="str">
        <f t="shared" si="1"/>
        <v/>
      </c>
      <c r="U21" s="52">
        <f>IFERROR(IF(AR22=AR21,INDEX('Aub Demand'!Q:Q,MATCH($O21,'Aub Demand'!$A:$A,0))-IF(AN21="",0,AN21)+AP22,INDEX('Aub Demand'!Q:Q,MATCH($O21,'Aub Demand'!$A:$A,0))-IF(AN21="",0,AN21)),"")</f>
        <v>1244</v>
      </c>
      <c r="V21" s="53">
        <f t="shared" si="2"/>
        <v>5.5</v>
      </c>
      <c r="W21" s="52" t="str">
        <f t="shared" si="3"/>
        <v/>
      </c>
      <c r="X21" s="52">
        <f>IFERROR(IF(AND(AR22=AR21,AM21&lt;&gt;""),INDEX('Aub Demand'!Q:Q,MATCH($O21,'Aub Demand'!$A:$A,0))-IF(AN21="",0,AN21)+AP22+AD21+AL21,IF(AR22=AR21,INDEX('Aub Demand'!Q:Q,MATCH($O21,'Aub Demand'!$A:$A,0))-IF(AN21="",0,AN21)+AP22+AD21,IF(AM21&lt;&gt;"",INDEX('Aub Demand'!Q:Q,MATCH($O21,'Aub Demand'!$A:$A,0))-IF(AN21="",0,AN21)+AD21+AL21,INDEX('Aub Demand'!Q:Q,MATCH($O21,'Aub Demand'!$A:$A,0))-IF(AN21="",0,AN21)+AD21))),"")</f>
        <v>1244</v>
      </c>
      <c r="Y21" s="53">
        <f t="shared" si="4"/>
        <v>5.5</v>
      </c>
      <c r="Z21" s="52">
        <f>IF(L21="","",INDEX('Aub Demand'!H:H,MATCH($O21,'Aub Demand'!$A:$A,0)))</f>
        <v>972</v>
      </c>
      <c r="AA21" s="52">
        <f t="shared" si="5"/>
        <v>1458</v>
      </c>
      <c r="AB21" s="52">
        <f>IFERROR(INDEX('Aub Demand'!L:L,MATCH($O21,'Aub Demand'!$A:$A,0)),"")</f>
        <v>0</v>
      </c>
      <c r="AC21" s="52">
        <f>IFERROR(IF(O21="","",SUMIFS('CPL Mats'!F:F,'CPL Mats'!Q:Q,AR21,'CPL Mats'!S:S,AS21)),"")</f>
        <v>0</v>
      </c>
      <c r="AF21" s="25" t="str">
        <f>IF(SUMIFS('Supp Consol'!S:S,'Supp Consol'!Y:Y,"Releasable",'Supp Consol'!A:A,O21)=0,"",SUMIFS('Supp Consol'!S:S,'Supp Consol'!Y:Y,"Releasable",'Supp Consol'!A:A,O21))</f>
        <v/>
      </c>
      <c r="AG21" s="25" t="str">
        <f>IFERROR(INDEX('Hun Demand'!Q:Q,MATCH(O21,'Hun Demand'!A:A,0)),"")</f>
        <v/>
      </c>
      <c r="AH21" s="25" t="str">
        <f>IFERROR(INDEX('Hun Demand'!H:H,MATCH($O21,'Hun Demand'!$A:$A,0)),"")</f>
        <v/>
      </c>
      <c r="AI21" s="25" t="str">
        <f>IF(SUMIFS('Supp Consol'!AA:AA,'Supp Consol'!Z:Z,"Expires this month",'Supp Consol'!A:A,O21)=0,"",SUMIFS('Supp Consol'!AA:AA,'Supp Consol'!Z:Z,"Expires this month",'Supp Consol'!A:A,O21))</f>
        <v/>
      </c>
      <c r="AJ21" s="25" t="str">
        <f>IF(SUMIFS('Supp Consol'!AA:AA,'Supp Consol'!Z:Z,"Expired Previous Months",'Supp Consol'!A:A,O21)=0,"",SUMIFS('Supp Consol'!AA:AA,'Supp Consol'!Z:Z,"Expired Previous Months",'Supp Consol'!A:A,O21))</f>
        <v/>
      </c>
      <c r="AK21" s="25" t="str">
        <f>IFERROR(INDEX('Hun Release Current'!B:B,MATCH(O21,'Hun Release Current'!A:A,0)),"")</f>
        <v/>
      </c>
      <c r="AL21" s="25" t="str">
        <f>IF(SUMIF('Prev Aub'!A:A,O21,'Prev Aub'!B:B)=0,"",SUMIF('Prev Aub'!A:A,O21,'Prev Aub'!B:B))</f>
        <v/>
      </c>
      <c r="AN21" s="25" t="s">
        <v>3790</v>
      </c>
      <c r="AO21" s="25" t="s">
        <v>3790</v>
      </c>
      <c r="AP21" s="25">
        <f t="shared" si="6"/>
        <v>0</v>
      </c>
      <c r="AQ21" s="151" t="str">
        <f>IF(SUMIFS('Supp Consol'!S:S,'Supp Consol'!A:A,O21,'Supp Consol'!I:I,"PENDING")=0,"",SUMIFS('Supp Consol'!S:S,'Supp Consol'!A:A,O21,'Supp Consol'!I:I,"PENDING"))</f>
        <v/>
      </c>
      <c r="AR21" s="27" t="str">
        <f t="shared" si="7"/>
        <v>00013</v>
      </c>
      <c r="AS21" s="27" t="str">
        <f t="shared" si="8"/>
        <v>37</v>
      </c>
      <c r="AT21" s="27" t="str">
        <f t="shared" si="9"/>
        <v/>
      </c>
      <c r="AU21" s="27" t="str">
        <f t="shared" si="10"/>
        <v/>
      </c>
      <c r="AV21" s="27" t="str">
        <f t="shared" si="11"/>
        <v/>
      </c>
      <c r="AW21" s="27" t="str">
        <f t="shared" si="12"/>
        <v/>
      </c>
      <c r="AX21" s="27" t="str">
        <f t="shared" si="13"/>
        <v/>
      </c>
      <c r="AY21" s="27" t="str">
        <f t="shared" si="14"/>
        <v/>
      </c>
      <c r="AZ21" s="27" t="str">
        <f t="shared" si="15"/>
        <v>Supp</v>
      </c>
      <c r="BA21" s="27" t="str">
        <f t="shared" si="16"/>
        <v/>
      </c>
      <c r="BB21" s="27" t="str">
        <f t="shared" si="17"/>
        <v/>
      </c>
      <c r="BC21" s="27" t="str">
        <f t="shared" si="18"/>
        <v/>
      </c>
      <c r="BD21" s="27" t="str">
        <f t="shared" si="19"/>
        <v/>
      </c>
      <c r="BE21" s="27" t="str">
        <f t="shared" si="20"/>
        <v/>
      </c>
      <c r="BF21" s="27" t="str">
        <f t="shared" si="21"/>
        <v/>
      </c>
      <c r="BG21" s="27" t="str">
        <f t="shared" si="22"/>
        <v/>
      </c>
      <c r="BH21" s="27" t="str">
        <f t="shared" si="23"/>
        <v/>
      </c>
      <c r="BI21" s="27" t="str">
        <f t="shared" si="24"/>
        <v/>
      </c>
      <c r="BJ21" s="27" t="str">
        <f t="shared" si="25"/>
        <v>Supp or Hun</v>
      </c>
      <c r="BK21" s="27" t="str">
        <f t="shared" si="26"/>
        <v/>
      </c>
      <c r="BL21" s="27" t="str">
        <f t="shared" si="27"/>
        <v/>
      </c>
      <c r="BM21" s="21" t="s">
        <v>5581</v>
      </c>
    </row>
    <row r="22" spans="1:65" ht="15">
      <c r="A22" s="25" t="str">
        <f>IFERROR(INDEX('Hun Demand'!W:W,MATCH(O22,'Hun Demand'!A:A,0)),"")</f>
        <v/>
      </c>
      <c r="B22" s="25" t="str">
        <f>IFERROR(INDEX('Hun Demand'!V:V,MATCH(O22,'Hun Demand'!A:A,0)),"")</f>
        <v/>
      </c>
      <c r="C22" s="25" t="str">
        <f>IFERROR(INDEX('Hun Demand'!U:U,MATCH(O22,'Hun Demand'!A:A,0)),"")</f>
        <v/>
      </c>
      <c r="D22" s="25" t="str">
        <f>IFERROR(INDEX('Hun Demand'!T:T,MATCH(O22,'Hun Demand'!A:A,0)),"")</f>
        <v/>
      </c>
      <c r="E22" s="25" t="str">
        <f>IFERROR(INDEX('Hun Demand'!S:S,MATCH(O22,'Hun Demand'!A:A,0)),"")</f>
        <v/>
      </c>
      <c r="F22" s="25" t="str">
        <f>IFERROR(INDEX('Hun Demand'!R:R,MATCH(O22,'Hun Demand'!A:A,0)),"")</f>
        <v/>
      </c>
      <c r="G22" s="25">
        <f>IFERROR(INDEX('Aub Demand'!W:W,MATCH(O22,'Aub Demand'!A:A,0)),"")</f>
        <v>358</v>
      </c>
      <c r="H22" s="25">
        <f>IFERROR(INDEX('Aub Demand'!V:V,MATCH(O22,'Aub Demand'!A:A,0)),"")</f>
        <v>0</v>
      </c>
      <c r="I22" s="25">
        <f>IFERROR(INDEX('Aub Demand'!U:U,MATCH(O22,'Aub Demand'!A:A,0)),"")</f>
        <v>0</v>
      </c>
      <c r="J22" s="25">
        <f>IFERROR(INDEX('Aub Demand'!T:T,MATCH(O22,'Aub Demand'!A:A,0)),"")</f>
        <v>1012</v>
      </c>
      <c r="K22" s="25">
        <f>IFERROR(INDEX('Aub Demand'!S:S,MATCH(O22,'Aub Demand'!A:A,0)),"")</f>
        <v>0</v>
      </c>
      <c r="L22" s="25">
        <f>IFERROR(INDEX('Aub Demand'!R:R,MATCH(O22,'Aub Demand'!A:A,0)),"")</f>
        <v>0</v>
      </c>
      <c r="O22" s="27" t="s">
        <v>94</v>
      </c>
      <c r="P22" s="27" t="str">
        <f>IFERROR(INDEX('Aub Demand'!B:B,MATCH($O22,'Aub Demand'!$A:$A,0)),"")</f>
        <v>NON TINTED OVERLAY</v>
      </c>
      <c r="Q22" s="27" t="str">
        <f>IFERROR(INDEX('Aub Demand'!C:C,MATCH($O22,'Aub Demand'!$A:$A,0)),"")</f>
        <v>ONYX</v>
      </c>
      <c r="R22" s="52">
        <f>IFERROR(IF(AR23=AR22,INDEX('Aub Demand'!K:K,MATCH($O22,'Aub Demand'!$A:$A,0))-IF(AN22="",0,AN22)+AP23,INDEX('Aub Demand'!K:K,MATCH($O22,'Aub Demand'!$A:$A,0))-IF(AN22="",0,AN22)),"")</f>
        <v>927</v>
      </c>
      <c r="S22" s="53">
        <f t="shared" si="0"/>
        <v>11.8</v>
      </c>
      <c r="T22" s="52" t="str">
        <f t="shared" si="1"/>
        <v/>
      </c>
      <c r="U22" s="52">
        <f>IFERROR(IF(AR23=AR22,INDEX('Aub Demand'!Q:Q,MATCH($O22,'Aub Demand'!$A:$A,0))-IF(AN22="",0,AN22)+AP23,INDEX('Aub Demand'!Q:Q,MATCH($O22,'Aub Demand'!$A:$A,0))-IF(AN22="",0,AN22)),"")</f>
        <v>927</v>
      </c>
      <c r="V22" s="53">
        <f t="shared" si="2"/>
        <v>11.8</v>
      </c>
      <c r="W22" s="52" t="str">
        <f t="shared" si="3"/>
        <v/>
      </c>
      <c r="X22" s="52">
        <f>IFERROR(IF(AND(AR23=AR22,AM22&lt;&gt;""),INDEX('Aub Demand'!Q:Q,MATCH($O22,'Aub Demand'!$A:$A,0))-IF(AN22="",0,AN22)+AP23+AD22+AL22,IF(AR23=AR22,INDEX('Aub Demand'!Q:Q,MATCH($O22,'Aub Demand'!$A:$A,0))-IF(AN22="",0,AN22)+AP23+AD22,IF(AM22&lt;&gt;"",INDEX('Aub Demand'!Q:Q,MATCH($O22,'Aub Demand'!$A:$A,0))-IF(AN22="",0,AN22)+AD22+AL22,INDEX('Aub Demand'!Q:Q,MATCH($O22,'Aub Demand'!$A:$A,0))-IF(AN22="",0,AN22)+AD22))),"")</f>
        <v>927</v>
      </c>
      <c r="Y22" s="53">
        <f t="shared" si="4"/>
        <v>11.8</v>
      </c>
      <c r="Z22" s="52">
        <f>IF(L22="","",INDEX('Aub Demand'!H:H,MATCH($O22,'Aub Demand'!$A:$A,0)))</f>
        <v>337</v>
      </c>
      <c r="AA22" s="52" t="str">
        <f t="shared" si="5"/>
        <v>-spike-</v>
      </c>
      <c r="AB22" s="52">
        <f>IFERROR(INDEX('Aub Demand'!L:L,MATCH($O22,'Aub Demand'!$A:$A,0)),"")</f>
        <v>0</v>
      </c>
      <c r="AC22" s="52">
        <f>IFERROR(IF(O22="","",SUMIFS('CPL Mats'!F:F,'CPL Mats'!Q:Q,AR22,'CPL Mats'!S:S,AS22)),"")</f>
        <v>0</v>
      </c>
      <c r="AF22" s="25">
        <f>IF(SUMIFS('Supp Consol'!S:S,'Supp Consol'!Y:Y,"Releasable",'Supp Consol'!A:A,O22)=0,"",SUMIFS('Supp Consol'!S:S,'Supp Consol'!Y:Y,"Releasable",'Supp Consol'!A:A,O22))</f>
        <v>1640</v>
      </c>
      <c r="AG22" s="25" t="str">
        <f>IFERROR(INDEX('Hun Demand'!Q:Q,MATCH(O22,'Hun Demand'!A:A,0)),"")</f>
        <v/>
      </c>
      <c r="AH22" s="25" t="str">
        <f>IFERROR(INDEX('Hun Demand'!H:H,MATCH($O22,'Hun Demand'!$A:$A,0)),"")</f>
        <v/>
      </c>
      <c r="AI22" s="25" t="str">
        <f>IF(SUMIFS('Supp Consol'!AA:AA,'Supp Consol'!Z:Z,"Expires this month",'Supp Consol'!A:A,O22)=0,"",SUMIFS('Supp Consol'!AA:AA,'Supp Consol'!Z:Z,"Expires this month",'Supp Consol'!A:A,O22))</f>
        <v/>
      </c>
      <c r="AJ22" s="25" t="str">
        <f>IF(SUMIFS('Supp Consol'!AA:AA,'Supp Consol'!Z:Z,"Expired Previous Months",'Supp Consol'!A:A,O22)=0,"",SUMIFS('Supp Consol'!AA:AA,'Supp Consol'!Z:Z,"Expired Previous Months",'Supp Consol'!A:A,O22))</f>
        <v/>
      </c>
      <c r="AK22" s="25" t="str">
        <f>IFERROR(INDEX('Hun Release Current'!B:B,MATCH(O22,'Hun Release Current'!A:A,0)),"")</f>
        <v/>
      </c>
      <c r="AL22" s="25" t="str">
        <f>IF(SUMIF('Prev Aub'!A:A,O22,'Prev Aub'!B:B)=0,"",SUMIF('Prev Aub'!A:A,O22,'Prev Aub'!B:B))</f>
        <v/>
      </c>
      <c r="AN22" s="25" t="s">
        <v>3790</v>
      </c>
      <c r="AO22" s="25" t="s">
        <v>3790</v>
      </c>
      <c r="AP22" s="25">
        <f t="shared" si="6"/>
        <v>0</v>
      </c>
      <c r="AQ22" s="151" t="str">
        <f>IF(SUMIFS('Supp Consol'!S:S,'Supp Consol'!A:A,O22,'Supp Consol'!I:I,"PENDING")=0,"",SUMIFS('Supp Consol'!S:S,'Supp Consol'!A:A,O22,'Supp Consol'!I:I,"PENDING"))</f>
        <v/>
      </c>
      <c r="AR22" s="27" t="str">
        <f t="shared" si="7"/>
        <v>00013</v>
      </c>
      <c r="AS22" s="27" t="str">
        <f t="shared" si="8"/>
        <v>50</v>
      </c>
      <c r="AT22" s="27" t="str">
        <f t="shared" si="9"/>
        <v/>
      </c>
      <c r="AU22" s="27" t="str">
        <f t="shared" si="10"/>
        <v/>
      </c>
      <c r="AV22" s="27" t="str">
        <f t="shared" si="11"/>
        <v/>
      </c>
      <c r="AW22" s="27" t="str">
        <f t="shared" si="12"/>
        <v/>
      </c>
      <c r="AX22" s="27" t="str">
        <f t="shared" si="13"/>
        <v>00013</v>
      </c>
      <c r="AY22" s="27" t="str">
        <f t="shared" si="14"/>
        <v/>
      </c>
      <c r="AZ22" s="27" t="str">
        <f t="shared" si="15"/>
        <v>Supp</v>
      </c>
      <c r="BA22" s="27" t="str">
        <f t="shared" si="16"/>
        <v/>
      </c>
      <c r="BB22" s="27" t="str">
        <f t="shared" si="17"/>
        <v/>
      </c>
      <c r="BC22" s="27" t="str">
        <f t="shared" si="18"/>
        <v/>
      </c>
      <c r="BD22" s="27" t="str">
        <f t="shared" si="19"/>
        <v/>
      </c>
      <c r="BE22" s="27" t="str">
        <f t="shared" si="20"/>
        <v/>
      </c>
      <c r="BF22" s="27" t="str">
        <f t="shared" si="21"/>
        <v/>
      </c>
      <c r="BG22" s="27" t="str">
        <f t="shared" si="22"/>
        <v/>
      </c>
      <c r="BH22" s="27" t="str">
        <f t="shared" si="23"/>
        <v/>
      </c>
      <c r="BI22" s="27" t="str">
        <f t="shared" si="24"/>
        <v/>
      </c>
      <c r="BJ22" s="27" t="str">
        <f t="shared" si="25"/>
        <v>Supp or Hun</v>
      </c>
      <c r="BK22" s="27" t="str">
        <f t="shared" si="26"/>
        <v/>
      </c>
      <c r="BL22" s="27" t="str">
        <f t="shared" si="27"/>
        <v/>
      </c>
      <c r="BM22" s="21" t="s">
        <v>5581</v>
      </c>
    </row>
    <row r="23" spans="1:65" ht="15">
      <c r="A23" s="25" t="str">
        <f>IFERROR(INDEX('Hun Demand'!W:W,MATCH(O23,'Hun Demand'!A:A,0)),"")</f>
        <v/>
      </c>
      <c r="B23" s="25" t="str">
        <f>IFERROR(INDEX('Hun Demand'!V:V,MATCH(O23,'Hun Demand'!A:A,0)),"")</f>
        <v/>
      </c>
      <c r="C23" s="25" t="str">
        <f>IFERROR(INDEX('Hun Demand'!U:U,MATCH(O23,'Hun Demand'!A:A,0)),"")</f>
        <v/>
      </c>
      <c r="D23" s="25" t="str">
        <f>IFERROR(INDEX('Hun Demand'!T:T,MATCH(O23,'Hun Demand'!A:A,0)),"")</f>
        <v/>
      </c>
      <c r="E23" s="25" t="str">
        <f>IFERROR(INDEX('Hun Demand'!S:S,MATCH(O23,'Hun Demand'!A:A,0)),"")</f>
        <v/>
      </c>
      <c r="F23" s="25" t="str">
        <f>IFERROR(INDEX('Hun Demand'!R:R,MATCH(O23,'Hun Demand'!A:A,0)),"")</f>
        <v/>
      </c>
      <c r="G23" s="25">
        <f>IFERROR(INDEX('Aub Demand'!W:W,MATCH(O23,'Aub Demand'!A:A,0)),"")</f>
        <v>0</v>
      </c>
      <c r="H23" s="25">
        <f>IFERROR(INDEX('Aub Demand'!V:V,MATCH(O23,'Aub Demand'!A:A,0)),"")</f>
        <v>0</v>
      </c>
      <c r="I23" s="25">
        <f>IFERROR(INDEX('Aub Demand'!U:U,MATCH(O23,'Aub Demand'!A:A,0)),"")</f>
        <v>2046</v>
      </c>
      <c r="J23" s="25">
        <f>IFERROR(INDEX('Aub Demand'!T:T,MATCH(O23,'Aub Demand'!A:A,0)),"")</f>
        <v>1425</v>
      </c>
      <c r="K23" s="25">
        <f>IFERROR(INDEX('Aub Demand'!S:S,MATCH(O23,'Aub Demand'!A:A,0)),"")</f>
        <v>0</v>
      </c>
      <c r="L23" s="25">
        <f>IFERROR(INDEX('Aub Demand'!R:R,MATCH(O23,'Aub Demand'!A:A,0)),"")</f>
        <v>0</v>
      </c>
      <c r="O23" s="27" t="s">
        <v>95</v>
      </c>
      <c r="P23" s="27" t="str">
        <f>IFERROR(INDEX('Aub Demand'!B:B,MATCH($O23,'Aub Demand'!$A:$A,0)),"")</f>
        <v>NON TINTED OVERLAY</v>
      </c>
      <c r="Q23" s="27" t="str">
        <f>IFERROR(INDEX('Aub Demand'!C:C,MATCH($O23,'Aub Demand'!$A:$A,0)),"")</f>
        <v>ONYX</v>
      </c>
      <c r="R23" s="52">
        <f>IFERROR(IF(AR24=AR23,INDEX('Aub Demand'!K:K,MATCH($O23,'Aub Demand'!$A:$A,0))-IF(AN23="",0,AN23)+AP24,INDEX('Aub Demand'!K:K,MATCH($O23,'Aub Demand'!$A:$A,0))-IF(AN23="",0,AN23)),"")</f>
        <v>2905</v>
      </c>
      <c r="S23" s="53">
        <f t="shared" si="0"/>
        <v>10.8</v>
      </c>
      <c r="T23" s="52" t="str">
        <f t="shared" si="1"/>
        <v/>
      </c>
      <c r="U23" s="52">
        <f>IFERROR(IF(AR24=AR23,INDEX('Aub Demand'!Q:Q,MATCH($O23,'Aub Demand'!$A:$A,0))-IF(AN23="",0,AN23)+AP24,INDEX('Aub Demand'!Q:Q,MATCH($O23,'Aub Demand'!$A:$A,0))-IF(AN23="",0,AN23)),"")</f>
        <v>2905</v>
      </c>
      <c r="V23" s="53">
        <f t="shared" si="2"/>
        <v>10.8</v>
      </c>
      <c r="W23" s="52" t="str">
        <f t="shared" si="3"/>
        <v/>
      </c>
      <c r="X23" s="52">
        <f>IFERROR(IF(AND(AR24=AR23,AM23&lt;&gt;""),INDEX('Aub Demand'!Q:Q,MATCH($O23,'Aub Demand'!$A:$A,0))-IF(AN23="",0,AN23)+AP24+AD23+AL23,IF(AR24=AR23,INDEX('Aub Demand'!Q:Q,MATCH($O23,'Aub Demand'!$A:$A,0))-IF(AN23="",0,AN23)+AP24+AD23,IF(AM23&lt;&gt;"",INDEX('Aub Demand'!Q:Q,MATCH($O23,'Aub Demand'!$A:$A,0))-IF(AN23="",0,AN23)+AD23+AL23,INDEX('Aub Demand'!Q:Q,MATCH($O23,'Aub Demand'!$A:$A,0))-IF(AN23="",0,AN23)+AD23))),"")</f>
        <v>2905</v>
      </c>
      <c r="Y23" s="53">
        <f t="shared" si="4"/>
        <v>10.8</v>
      </c>
      <c r="Z23" s="52">
        <f>IF(L23="","",INDEX('Aub Demand'!H:H,MATCH($O23,'Aub Demand'!$A:$A,0)))</f>
        <v>1157</v>
      </c>
      <c r="AA23" s="52">
        <f t="shared" si="5"/>
        <v>1735.5</v>
      </c>
      <c r="AB23" s="52">
        <f>IFERROR(INDEX('Aub Demand'!L:L,MATCH($O23,'Aub Demand'!$A:$A,0)),"")</f>
        <v>0</v>
      </c>
      <c r="AC23" s="52">
        <f>IFERROR(IF(O23="","",SUMIFS('CPL Mats'!F:F,'CPL Mats'!Q:Q,AR23,'CPL Mats'!S:S,AS23)),"")</f>
        <v>0</v>
      </c>
      <c r="AF23" s="25">
        <f>IF(SUMIFS('Supp Consol'!S:S,'Supp Consol'!Y:Y,"Releasable",'Supp Consol'!A:A,O23)=0,"",SUMIFS('Supp Consol'!S:S,'Supp Consol'!Y:Y,"Releasable",'Supp Consol'!A:A,O23))</f>
        <v>1339</v>
      </c>
      <c r="AG23" s="25" t="str">
        <f>IFERROR(INDEX('Hun Demand'!Q:Q,MATCH(O23,'Hun Demand'!A:A,0)),"")</f>
        <v/>
      </c>
      <c r="AH23" s="25" t="str">
        <f>IFERROR(INDEX('Hun Demand'!H:H,MATCH($O23,'Hun Demand'!$A:$A,0)),"")</f>
        <v/>
      </c>
      <c r="AI23" s="25" t="str">
        <f>IF(SUMIFS('Supp Consol'!AA:AA,'Supp Consol'!Z:Z,"Expires this month",'Supp Consol'!A:A,O23)=0,"",SUMIFS('Supp Consol'!AA:AA,'Supp Consol'!Z:Z,"Expires this month",'Supp Consol'!A:A,O23))</f>
        <v/>
      </c>
      <c r="AJ23" s="25" t="str">
        <f>IF(SUMIFS('Supp Consol'!AA:AA,'Supp Consol'!Z:Z,"Expired Previous Months",'Supp Consol'!A:A,O23)=0,"",SUMIFS('Supp Consol'!AA:AA,'Supp Consol'!Z:Z,"Expired Previous Months",'Supp Consol'!A:A,O23))</f>
        <v/>
      </c>
      <c r="AK23" s="25" t="str">
        <f>IFERROR(INDEX('Hun Release Current'!B:B,MATCH(O23,'Hun Release Current'!A:A,0)),"")</f>
        <v/>
      </c>
      <c r="AL23" s="25" t="str">
        <f>IF(SUMIF('Prev Aub'!A:A,O23,'Prev Aub'!B:B)=0,"",SUMIF('Prev Aub'!A:A,O23,'Prev Aub'!B:B))</f>
        <v/>
      </c>
      <c r="AN23" s="25" t="s">
        <v>3790</v>
      </c>
      <c r="AO23" s="25" t="s">
        <v>3790</v>
      </c>
      <c r="AP23" s="25">
        <f t="shared" si="6"/>
        <v>0</v>
      </c>
      <c r="AQ23" s="151" t="str">
        <f>IF(SUMIFS('Supp Consol'!S:S,'Supp Consol'!A:A,O23,'Supp Consol'!I:I,"PENDING")=0,"",SUMIFS('Supp Consol'!S:S,'Supp Consol'!A:A,O23,'Supp Consol'!I:I,"PENDING"))</f>
        <v/>
      </c>
      <c r="AR23" s="27" t="str">
        <f t="shared" si="7"/>
        <v>00013</v>
      </c>
      <c r="AS23" s="27" t="str">
        <f t="shared" si="8"/>
        <v>62</v>
      </c>
      <c r="AT23" s="27" t="str">
        <f t="shared" si="9"/>
        <v/>
      </c>
      <c r="AU23" s="27" t="str">
        <f t="shared" si="10"/>
        <v/>
      </c>
      <c r="AV23" s="27" t="str">
        <f t="shared" si="11"/>
        <v/>
      </c>
      <c r="AW23" s="27" t="str">
        <f t="shared" si="12"/>
        <v/>
      </c>
      <c r="AX23" s="27" t="str">
        <f t="shared" si="13"/>
        <v>00013</v>
      </c>
      <c r="AY23" s="27" t="str">
        <f t="shared" si="14"/>
        <v/>
      </c>
      <c r="AZ23" s="27" t="str">
        <f t="shared" si="15"/>
        <v>Supp</v>
      </c>
      <c r="BA23" s="27" t="str">
        <f t="shared" si="16"/>
        <v/>
      </c>
      <c r="BB23" s="27" t="str">
        <f t="shared" si="17"/>
        <v/>
      </c>
      <c r="BC23" s="27" t="str">
        <f t="shared" si="18"/>
        <v/>
      </c>
      <c r="BD23" s="27" t="str">
        <f t="shared" si="19"/>
        <v/>
      </c>
      <c r="BE23" s="27" t="str">
        <f t="shared" si="20"/>
        <v/>
      </c>
      <c r="BF23" s="27" t="str">
        <f t="shared" si="21"/>
        <v/>
      </c>
      <c r="BG23" s="27" t="str">
        <f t="shared" si="22"/>
        <v/>
      </c>
      <c r="BH23" s="27" t="str">
        <f t="shared" si="23"/>
        <v/>
      </c>
      <c r="BI23" s="27" t="str">
        <f t="shared" si="24"/>
        <v/>
      </c>
      <c r="BJ23" s="27" t="str">
        <f t="shared" si="25"/>
        <v>Supp or Hun</v>
      </c>
      <c r="BK23" s="27" t="str">
        <f t="shared" si="26"/>
        <v/>
      </c>
      <c r="BL23" s="27" t="str">
        <f t="shared" si="27"/>
        <v/>
      </c>
      <c r="BM23" s="21" t="s">
        <v>5581</v>
      </c>
    </row>
    <row r="24" spans="1:65" ht="15">
      <c r="A24" s="25" t="str">
        <f>IFERROR(INDEX('Hun Demand'!W:W,MATCH(O24,'Hun Demand'!A:A,0)),"")</f>
        <v/>
      </c>
      <c r="B24" s="25" t="str">
        <f>IFERROR(INDEX('Hun Demand'!V:V,MATCH(O24,'Hun Demand'!A:A,0)),"")</f>
        <v/>
      </c>
      <c r="C24" s="25" t="str">
        <f>IFERROR(INDEX('Hun Demand'!U:U,MATCH(O24,'Hun Demand'!A:A,0)),"")</f>
        <v/>
      </c>
      <c r="D24" s="25" t="str">
        <f>IFERROR(INDEX('Hun Demand'!T:T,MATCH(O24,'Hun Demand'!A:A,0)),"")</f>
        <v/>
      </c>
      <c r="E24" s="25" t="str">
        <f>IFERROR(INDEX('Hun Demand'!S:S,MATCH(O24,'Hun Demand'!A:A,0)),"")</f>
        <v/>
      </c>
      <c r="F24" s="25" t="str">
        <f>IFERROR(INDEX('Hun Demand'!R:R,MATCH(O24,'Hun Demand'!A:A,0)),"")</f>
        <v/>
      </c>
      <c r="G24" s="25">
        <f>IFERROR(INDEX('Aub Demand'!W:W,MATCH(O24,'Aub Demand'!A:A,0)),"")</f>
        <v>0</v>
      </c>
      <c r="H24" s="25">
        <f>IFERROR(INDEX('Aub Demand'!V:V,MATCH(O24,'Aub Demand'!A:A,0)),"")</f>
        <v>0</v>
      </c>
      <c r="I24" s="25">
        <f>IFERROR(INDEX('Aub Demand'!U:U,MATCH(O24,'Aub Demand'!A:A,0)),"")</f>
        <v>0</v>
      </c>
      <c r="J24" s="25">
        <f>IFERROR(INDEX('Aub Demand'!T:T,MATCH(O24,'Aub Demand'!A:A,0)),"")</f>
        <v>0</v>
      </c>
      <c r="K24" s="25">
        <f>IFERROR(INDEX('Aub Demand'!S:S,MATCH(O24,'Aub Demand'!A:A,0)),"")</f>
        <v>0</v>
      </c>
      <c r="L24" s="25">
        <f>IFERROR(INDEX('Aub Demand'!R:R,MATCH(O24,'Aub Demand'!A:A,0)),"")</f>
        <v>0</v>
      </c>
      <c r="O24" s="27" t="s">
        <v>96</v>
      </c>
      <c r="P24" s="27" t="str">
        <f>IFERROR(INDEX('Aub Demand'!B:B,MATCH($O24,'Aub Demand'!$A:$A,0)),"")</f>
        <v>PRINTABLE 28# OVERLA</v>
      </c>
      <c r="Q24" s="27" t="str">
        <f>IFERROR(INDEX('Aub Demand'!C:C,MATCH($O24,'Aub Demand'!$A:$A,0)),"")</f>
        <v>ONYX</v>
      </c>
      <c r="R24" s="52">
        <f>IFERROR(IF(AR25=AR24,INDEX('Aub Demand'!K:K,MATCH($O24,'Aub Demand'!$A:$A,0))-IF(AN24="",0,AN24)+AP25,INDEX('Aub Demand'!K:K,MATCH($O24,'Aub Demand'!$A:$A,0))-IF(AN24="",0,AN24)),"")</f>
        <v>488</v>
      </c>
      <c r="S24" s="53" t="str">
        <f t="shared" si="0"/>
        <v>n/a</v>
      </c>
      <c r="T24" s="52" t="str">
        <f t="shared" si="1"/>
        <v/>
      </c>
      <c r="U24" s="52">
        <f>IFERROR(IF(AR25=AR24,INDEX('Aub Demand'!Q:Q,MATCH($O24,'Aub Demand'!$A:$A,0))-IF(AN24="",0,AN24)+AP25,INDEX('Aub Demand'!Q:Q,MATCH($O24,'Aub Demand'!$A:$A,0))-IF(AN24="",0,AN24)),"")</f>
        <v>488</v>
      </c>
      <c r="V24" s="53" t="str">
        <f t="shared" si="2"/>
        <v>n/a</v>
      </c>
      <c r="W24" s="52" t="str">
        <f t="shared" si="3"/>
        <v/>
      </c>
      <c r="X24" s="52">
        <f>IFERROR(IF(AND(AR25=AR24,AM24&lt;&gt;""),INDEX('Aub Demand'!Q:Q,MATCH($O24,'Aub Demand'!$A:$A,0))-IF(AN24="",0,AN24)+AP25+AD24+AL24,IF(AR25=AR24,INDEX('Aub Demand'!Q:Q,MATCH($O24,'Aub Demand'!$A:$A,0))-IF(AN24="",0,AN24)+AP25+AD24,IF(AM24&lt;&gt;"",INDEX('Aub Demand'!Q:Q,MATCH($O24,'Aub Demand'!$A:$A,0))-IF(AN24="",0,AN24)+AD24+AL24,INDEX('Aub Demand'!Q:Q,MATCH($O24,'Aub Demand'!$A:$A,0))-IF(AN24="",0,AN24)+AD24))),"")</f>
        <v>488</v>
      </c>
      <c r="Y24" s="53" t="str">
        <f t="shared" si="4"/>
        <v>n/a</v>
      </c>
      <c r="Z24" s="52">
        <f>IF(L24="","",INDEX('Aub Demand'!H:H,MATCH($O24,'Aub Demand'!$A:$A,0)))</f>
        <v>0</v>
      </c>
      <c r="AA24" s="52" t="str">
        <f t="shared" si="5"/>
        <v>-spike-</v>
      </c>
      <c r="AB24" s="52">
        <f>IFERROR(INDEX('Aub Demand'!L:L,MATCH($O24,'Aub Demand'!$A:$A,0)),"")</f>
        <v>0</v>
      </c>
      <c r="AC24" s="52">
        <f>IFERROR(IF(O24="","",SUMIFS('CPL Mats'!F:F,'CPL Mats'!Q:Q,AR24,'CPL Mats'!S:S,AS24)),"")</f>
        <v>0</v>
      </c>
      <c r="AF24" s="25" t="str">
        <f>IF(SUMIFS('Supp Consol'!S:S,'Supp Consol'!Y:Y,"Releasable",'Supp Consol'!A:A,O24)=0,"",SUMIFS('Supp Consol'!S:S,'Supp Consol'!Y:Y,"Releasable",'Supp Consol'!A:A,O24))</f>
        <v/>
      </c>
      <c r="AG24" s="25" t="str">
        <f>IFERROR(INDEX('Hun Demand'!Q:Q,MATCH(O24,'Hun Demand'!A:A,0)),"")</f>
        <v/>
      </c>
      <c r="AH24" s="25" t="str">
        <f>IFERROR(INDEX('Hun Demand'!H:H,MATCH($O24,'Hun Demand'!$A:$A,0)),"")</f>
        <v/>
      </c>
      <c r="AI24" s="25" t="str">
        <f>IF(SUMIFS('Supp Consol'!AA:AA,'Supp Consol'!Z:Z,"Expires this month",'Supp Consol'!A:A,O24)=0,"",SUMIFS('Supp Consol'!AA:AA,'Supp Consol'!Z:Z,"Expires this month",'Supp Consol'!A:A,O24))</f>
        <v/>
      </c>
      <c r="AJ24" s="25" t="str">
        <f>IF(SUMIFS('Supp Consol'!AA:AA,'Supp Consol'!Z:Z,"Expired Previous Months",'Supp Consol'!A:A,O24)=0,"",SUMIFS('Supp Consol'!AA:AA,'Supp Consol'!Z:Z,"Expired Previous Months",'Supp Consol'!A:A,O24))</f>
        <v/>
      </c>
      <c r="AK24" s="25" t="str">
        <f>IFERROR(INDEX('Hun Release Current'!B:B,MATCH(O24,'Hun Release Current'!A:A,0)),"")</f>
        <v/>
      </c>
      <c r="AL24" s="25" t="str">
        <f>IF(SUMIF('Prev Aub'!A:A,O24,'Prev Aub'!B:B)=0,"",SUMIF('Prev Aub'!A:A,O24,'Prev Aub'!B:B))</f>
        <v/>
      </c>
      <c r="AN24" s="25" t="s">
        <v>3790</v>
      </c>
      <c r="AO24" s="25" t="s">
        <v>3790</v>
      </c>
      <c r="AP24" s="25">
        <f t="shared" si="6"/>
        <v>0</v>
      </c>
      <c r="AQ24" s="151" t="str">
        <f>IF(SUMIFS('Supp Consol'!S:S,'Supp Consol'!A:A,O24,'Supp Consol'!I:I,"PENDING")=0,"",SUMIFS('Supp Consol'!S:S,'Supp Consol'!A:A,O24,'Supp Consol'!I:I,"PENDING"))</f>
        <v/>
      </c>
      <c r="AR24" s="27" t="str">
        <f t="shared" si="7"/>
        <v>00019</v>
      </c>
      <c r="AS24" s="27" t="str">
        <f t="shared" si="8"/>
        <v>50</v>
      </c>
      <c r="AT24" s="27" t="str">
        <f t="shared" si="9"/>
        <v/>
      </c>
      <c r="AU24" s="27" t="str">
        <f t="shared" si="10"/>
        <v/>
      </c>
      <c r="AV24" s="27" t="str">
        <f t="shared" si="11"/>
        <v/>
      </c>
      <c r="AW24" s="27" t="str">
        <f t="shared" si="12"/>
        <v/>
      </c>
      <c r="AX24" s="27" t="str">
        <f t="shared" si="13"/>
        <v/>
      </c>
      <c r="AY24" s="27" t="str">
        <f t="shared" si="14"/>
        <v/>
      </c>
      <c r="AZ24" s="27" t="str">
        <f t="shared" si="15"/>
        <v/>
      </c>
      <c r="BA24" s="27" t="str">
        <f t="shared" si="16"/>
        <v/>
      </c>
      <c r="BB24" s="27" t="str">
        <f t="shared" si="17"/>
        <v/>
      </c>
      <c r="BC24" s="27" t="str">
        <f t="shared" si="18"/>
        <v/>
      </c>
      <c r="BD24" s="27" t="str">
        <f t="shared" si="19"/>
        <v/>
      </c>
      <c r="BE24" s="27" t="str">
        <f t="shared" si="20"/>
        <v/>
      </c>
      <c r="BF24" s="27" t="str">
        <f t="shared" si="21"/>
        <v/>
      </c>
      <c r="BG24" s="27" t="str">
        <f t="shared" si="22"/>
        <v/>
      </c>
      <c r="BH24" s="27" t="str">
        <f t="shared" si="23"/>
        <v/>
      </c>
      <c r="BI24" s="27" t="str">
        <f t="shared" si="24"/>
        <v/>
      </c>
      <c r="BJ24" s="27" t="str">
        <f t="shared" si="25"/>
        <v/>
      </c>
      <c r="BK24" s="27" t="str">
        <f t="shared" si="26"/>
        <v/>
      </c>
      <c r="BL24" s="27" t="str">
        <f t="shared" si="27"/>
        <v/>
      </c>
      <c r="BM24" s="21" t="s">
        <v>5581</v>
      </c>
    </row>
    <row r="25" spans="1:65" ht="15">
      <c r="A25" s="25" t="str">
        <f>IFERROR(INDEX('Hun Demand'!W:W,MATCH(O25,'Hun Demand'!A:A,0)),"")</f>
        <v/>
      </c>
      <c r="B25" s="25" t="str">
        <f>IFERROR(INDEX('Hun Demand'!V:V,MATCH(O25,'Hun Demand'!A:A,0)),"")</f>
        <v/>
      </c>
      <c r="C25" s="25" t="str">
        <f>IFERROR(INDEX('Hun Demand'!U:U,MATCH(O25,'Hun Demand'!A:A,0)),"")</f>
        <v/>
      </c>
      <c r="D25" s="25" t="str">
        <f>IFERROR(INDEX('Hun Demand'!T:T,MATCH(O25,'Hun Demand'!A:A,0)),"")</f>
        <v/>
      </c>
      <c r="E25" s="25" t="str">
        <f>IFERROR(INDEX('Hun Demand'!S:S,MATCH(O25,'Hun Demand'!A:A,0)),"")</f>
        <v/>
      </c>
      <c r="F25" s="25" t="str">
        <f>IFERROR(INDEX('Hun Demand'!R:R,MATCH(O25,'Hun Demand'!A:A,0)),"")</f>
        <v/>
      </c>
      <c r="G25" s="25">
        <f>IFERROR(INDEX('Aub Demand'!W:W,MATCH(O25,'Aub Demand'!A:A,0)),"")</f>
        <v>0</v>
      </c>
      <c r="H25" s="25">
        <f>IFERROR(INDEX('Aub Demand'!V:V,MATCH(O25,'Aub Demand'!A:A,0)),"")</f>
        <v>0</v>
      </c>
      <c r="I25" s="25">
        <f>IFERROR(INDEX('Aub Demand'!U:U,MATCH(O25,'Aub Demand'!A:A,0)),"")</f>
        <v>0</v>
      </c>
      <c r="J25" s="25">
        <f>IFERROR(INDEX('Aub Demand'!T:T,MATCH(O25,'Aub Demand'!A:A,0)),"")</f>
        <v>0</v>
      </c>
      <c r="K25" s="25">
        <f>IFERROR(INDEX('Aub Demand'!S:S,MATCH(O25,'Aub Demand'!A:A,0)),"")</f>
        <v>0</v>
      </c>
      <c r="L25" s="25">
        <f>IFERROR(INDEX('Aub Demand'!R:R,MATCH(O25,'Aub Demand'!A:A,0)),"")</f>
        <v>0</v>
      </c>
      <c r="O25" s="27" t="s">
        <v>98</v>
      </c>
      <c r="P25" s="27" t="str">
        <f>IFERROR(INDEX('Aub Demand'!B:B,MATCH($O25,'Aub Demand'!$A:$A,0)),"")</f>
        <v>PRINTABLE 28# OVERLA</v>
      </c>
      <c r="Q25" s="27" t="str">
        <f>IFERROR(INDEX('Aub Demand'!C:C,MATCH($O25,'Aub Demand'!$A:$A,0)),"")</f>
        <v>ONYX</v>
      </c>
      <c r="R25" s="52">
        <f>IFERROR(IF(AR26=AR25,INDEX('Aub Demand'!K:K,MATCH($O25,'Aub Demand'!$A:$A,0))-IF(AN25="",0,AN25)+AP26,INDEX('Aub Demand'!K:K,MATCH($O25,'Aub Demand'!$A:$A,0))-IF(AN25="",0,AN25)),"")</f>
        <v>1041</v>
      </c>
      <c r="S25" s="53" t="str">
        <f t="shared" si="0"/>
        <v>n/a</v>
      </c>
      <c r="T25" s="52" t="str">
        <f t="shared" si="1"/>
        <v/>
      </c>
      <c r="U25" s="52">
        <f>IFERROR(IF(AR26=AR25,INDEX('Aub Demand'!Q:Q,MATCH($O25,'Aub Demand'!$A:$A,0))-IF(AN25="",0,AN25)+AP26,INDEX('Aub Demand'!Q:Q,MATCH($O25,'Aub Demand'!$A:$A,0))-IF(AN25="",0,AN25)),"")</f>
        <v>1041</v>
      </c>
      <c r="V25" s="53" t="str">
        <f t="shared" si="2"/>
        <v>n/a</v>
      </c>
      <c r="W25" s="52" t="str">
        <f t="shared" si="3"/>
        <v/>
      </c>
      <c r="X25" s="52">
        <f>IFERROR(IF(AND(AR26=AR25,AM25&lt;&gt;""),INDEX('Aub Demand'!Q:Q,MATCH($O25,'Aub Demand'!$A:$A,0))-IF(AN25="",0,AN25)+AP26+AD25+AL25,IF(AR26=AR25,INDEX('Aub Demand'!Q:Q,MATCH($O25,'Aub Demand'!$A:$A,0))-IF(AN25="",0,AN25)+AP26+AD25,IF(AM25&lt;&gt;"",INDEX('Aub Demand'!Q:Q,MATCH($O25,'Aub Demand'!$A:$A,0))-IF(AN25="",0,AN25)+AD25+AL25,INDEX('Aub Demand'!Q:Q,MATCH($O25,'Aub Demand'!$A:$A,0))-IF(AN25="",0,AN25)+AD25))),"")</f>
        <v>1041</v>
      </c>
      <c r="Y25" s="53" t="str">
        <f t="shared" si="4"/>
        <v>n/a</v>
      </c>
      <c r="Z25" s="52">
        <f>IF(L25="","",INDEX('Aub Demand'!H:H,MATCH($O25,'Aub Demand'!$A:$A,0)))</f>
        <v>0</v>
      </c>
      <c r="AA25" s="52" t="str">
        <f t="shared" si="5"/>
        <v>-spike-</v>
      </c>
      <c r="AB25" s="52">
        <f>IFERROR(INDEX('Aub Demand'!L:L,MATCH($O25,'Aub Demand'!$A:$A,0)),"")</f>
        <v>0</v>
      </c>
      <c r="AC25" s="52">
        <f>IFERROR(IF(O25="","",SUMIFS('CPL Mats'!F:F,'CPL Mats'!Q:Q,AR25,'CPL Mats'!S:S,AS25)),"")</f>
        <v>0</v>
      </c>
      <c r="AF25" s="25" t="str">
        <f>IF(SUMIFS('Supp Consol'!S:S,'Supp Consol'!Y:Y,"Releasable",'Supp Consol'!A:A,O25)=0,"",SUMIFS('Supp Consol'!S:S,'Supp Consol'!Y:Y,"Releasable",'Supp Consol'!A:A,O25))</f>
        <v/>
      </c>
      <c r="AG25" s="25" t="str">
        <f>IFERROR(INDEX('Hun Demand'!Q:Q,MATCH(O25,'Hun Demand'!A:A,0)),"")</f>
        <v/>
      </c>
      <c r="AH25" s="25" t="str">
        <f>IFERROR(INDEX('Hun Demand'!H:H,MATCH($O25,'Hun Demand'!$A:$A,0)),"")</f>
        <v/>
      </c>
      <c r="AI25" s="25" t="str">
        <f>IF(SUMIFS('Supp Consol'!AA:AA,'Supp Consol'!Z:Z,"Expires this month",'Supp Consol'!A:A,O25)=0,"",SUMIFS('Supp Consol'!AA:AA,'Supp Consol'!Z:Z,"Expires this month",'Supp Consol'!A:A,O25))</f>
        <v/>
      </c>
      <c r="AJ25" s="25" t="str">
        <f>IF(SUMIFS('Supp Consol'!AA:AA,'Supp Consol'!Z:Z,"Expired Previous Months",'Supp Consol'!A:A,O25)=0,"",SUMIFS('Supp Consol'!AA:AA,'Supp Consol'!Z:Z,"Expired Previous Months",'Supp Consol'!A:A,O25))</f>
        <v/>
      </c>
      <c r="AK25" s="25" t="str">
        <f>IFERROR(INDEX('Hun Release Current'!B:B,MATCH(O25,'Hun Release Current'!A:A,0)),"")</f>
        <v/>
      </c>
      <c r="AL25" s="25" t="str">
        <f>IF(SUMIF('Prev Aub'!A:A,O25,'Prev Aub'!B:B)=0,"",SUMIF('Prev Aub'!A:A,O25,'Prev Aub'!B:B))</f>
        <v/>
      </c>
      <c r="AN25" s="25" t="s">
        <v>3790</v>
      </c>
      <c r="AO25" s="25" t="s">
        <v>3790</v>
      </c>
      <c r="AP25" s="25">
        <f t="shared" si="6"/>
        <v>0</v>
      </c>
      <c r="AQ25" s="151" t="str">
        <f>IF(SUMIFS('Supp Consol'!S:S,'Supp Consol'!A:A,O25,'Supp Consol'!I:I,"PENDING")=0,"",SUMIFS('Supp Consol'!S:S,'Supp Consol'!A:A,O25,'Supp Consol'!I:I,"PENDING"))</f>
        <v/>
      </c>
      <c r="AR25" s="27" t="str">
        <f t="shared" si="7"/>
        <v>00019</v>
      </c>
      <c r="AS25" s="27" t="str">
        <f t="shared" si="8"/>
        <v>62</v>
      </c>
      <c r="AT25" s="27" t="str">
        <f t="shared" si="9"/>
        <v/>
      </c>
      <c r="AU25" s="27" t="str">
        <f t="shared" si="10"/>
        <v/>
      </c>
      <c r="AV25" s="27" t="str">
        <f t="shared" si="11"/>
        <v/>
      </c>
      <c r="AW25" s="27" t="str">
        <f t="shared" si="12"/>
        <v/>
      </c>
      <c r="AX25" s="27" t="str">
        <f t="shared" si="13"/>
        <v/>
      </c>
      <c r="AY25" s="27" t="str">
        <f t="shared" si="14"/>
        <v/>
      </c>
      <c r="AZ25" s="27" t="str">
        <f t="shared" si="15"/>
        <v/>
      </c>
      <c r="BA25" s="27" t="str">
        <f t="shared" si="16"/>
        <v/>
      </c>
      <c r="BB25" s="27" t="str">
        <f t="shared" si="17"/>
        <v/>
      </c>
      <c r="BC25" s="27" t="str">
        <f t="shared" si="18"/>
        <v/>
      </c>
      <c r="BD25" s="27" t="str">
        <f t="shared" si="19"/>
        <v/>
      </c>
      <c r="BE25" s="27" t="str">
        <f t="shared" si="20"/>
        <v/>
      </c>
      <c r="BF25" s="27" t="str">
        <f t="shared" si="21"/>
        <v/>
      </c>
      <c r="BG25" s="27" t="str">
        <f t="shared" si="22"/>
        <v/>
      </c>
      <c r="BH25" s="27" t="str">
        <f t="shared" si="23"/>
        <v/>
      </c>
      <c r="BI25" s="27" t="str">
        <f t="shared" si="24"/>
        <v/>
      </c>
      <c r="BJ25" s="27" t="str">
        <f t="shared" si="25"/>
        <v/>
      </c>
      <c r="BK25" s="27" t="str">
        <f t="shared" si="26"/>
        <v/>
      </c>
      <c r="BL25" s="27" t="str">
        <f t="shared" si="27"/>
        <v/>
      </c>
      <c r="BM25" s="21" t="s">
        <v>5581</v>
      </c>
    </row>
    <row r="26" spans="1:65" ht="15">
      <c r="A26" s="25" t="str">
        <f>IFERROR(INDEX('Hun Demand'!W:W,MATCH(O26,'Hun Demand'!A:A,0)),"")</f>
        <v/>
      </c>
      <c r="B26" s="25" t="str">
        <f>IFERROR(INDEX('Hun Demand'!V:V,MATCH(O26,'Hun Demand'!A:A,0)),"")</f>
        <v/>
      </c>
      <c r="C26" s="25" t="str">
        <f>IFERROR(INDEX('Hun Demand'!U:U,MATCH(O26,'Hun Demand'!A:A,0)),"")</f>
        <v/>
      </c>
      <c r="D26" s="25" t="str">
        <f>IFERROR(INDEX('Hun Demand'!T:T,MATCH(O26,'Hun Demand'!A:A,0)),"")</f>
        <v/>
      </c>
      <c r="E26" s="25" t="str">
        <f>IFERROR(INDEX('Hun Demand'!S:S,MATCH(O26,'Hun Demand'!A:A,0)),"")</f>
        <v/>
      </c>
      <c r="F26" s="25" t="str">
        <f>IFERROR(INDEX('Hun Demand'!R:R,MATCH(O26,'Hun Demand'!A:A,0)),"")</f>
        <v/>
      </c>
      <c r="G26" s="25">
        <f>IFERROR(INDEX('Aub Demand'!W:W,MATCH(O26,'Aub Demand'!A:A,0)),"")</f>
        <v>346</v>
      </c>
      <c r="H26" s="25">
        <f>IFERROR(INDEX('Aub Demand'!V:V,MATCH(O26,'Aub Demand'!A:A,0)),"")</f>
        <v>752</v>
      </c>
      <c r="I26" s="25">
        <f>IFERROR(INDEX('Aub Demand'!U:U,MATCH(O26,'Aub Demand'!A:A,0)),"")</f>
        <v>211</v>
      </c>
      <c r="J26" s="25">
        <f>IFERROR(INDEX('Aub Demand'!T:T,MATCH(O26,'Aub Demand'!A:A,0)),"")</f>
        <v>432</v>
      </c>
      <c r="K26" s="25">
        <f>IFERROR(INDEX('Aub Demand'!S:S,MATCH(O26,'Aub Demand'!A:A,0)),"")</f>
        <v>564</v>
      </c>
      <c r="L26" s="25">
        <f>IFERROR(INDEX('Aub Demand'!R:R,MATCH(O26,'Aub Demand'!A:A,0)),"")</f>
        <v>6</v>
      </c>
      <c r="O26" s="27" t="s">
        <v>99</v>
      </c>
      <c r="P26" s="27" t="str">
        <f>IFERROR(INDEX('Aub Demand'!B:B,MATCH($O26,'Aub Demand'!$A:$A,0)),"")</f>
        <v>Premium Inkjet MPK 9</v>
      </c>
      <c r="Q26" s="27" t="str">
        <f>IFERROR(INDEX('Aub Demand'!C:C,MATCH($O26,'Aub Demand'!$A:$A,0)),"")</f>
        <v>TECHN</v>
      </c>
      <c r="R26" s="52">
        <f>IFERROR(IF(AR27=AR26,INDEX('Aub Demand'!K:K,MATCH($O26,'Aub Demand'!$A:$A,0))-IF(AN26="",0,AN26)+AP27,INDEX('Aub Demand'!K:K,MATCH($O26,'Aub Demand'!$A:$A,0))-IF(AN26="",0,AN26)),"")</f>
        <v>4228</v>
      </c>
      <c r="S26" s="53">
        <f t="shared" si="0"/>
        <v>45.1</v>
      </c>
      <c r="T26" s="52" t="str">
        <f t="shared" si="1"/>
        <v/>
      </c>
      <c r="U26" s="52">
        <f>IFERROR(IF(AR27=AR26,INDEX('Aub Demand'!Q:Q,MATCH($O26,'Aub Demand'!$A:$A,0))-IF(AN26="",0,AN26)+AP27,INDEX('Aub Demand'!Q:Q,MATCH($O26,'Aub Demand'!$A:$A,0))-IF(AN26="",0,AN26)),"")</f>
        <v>3790</v>
      </c>
      <c r="V26" s="53">
        <f t="shared" si="2"/>
        <v>40.4</v>
      </c>
      <c r="W26" s="52" t="str">
        <f t="shared" si="3"/>
        <v/>
      </c>
      <c r="X26" s="52">
        <f>IFERROR(IF(AND(AR27=AR26,AM26&lt;&gt;""),INDEX('Aub Demand'!Q:Q,MATCH($O26,'Aub Demand'!$A:$A,0))-IF(AN26="",0,AN26)+AP27+AD26+AL26,IF(AR27=AR26,INDEX('Aub Demand'!Q:Q,MATCH($O26,'Aub Demand'!$A:$A,0))-IF(AN26="",0,AN26)+AP27+AD26,IF(AM26&lt;&gt;"",INDEX('Aub Demand'!Q:Q,MATCH($O26,'Aub Demand'!$A:$A,0))-IF(AN26="",0,AN26)+AD26+AL26,INDEX('Aub Demand'!Q:Q,MATCH($O26,'Aub Demand'!$A:$A,0))-IF(AN26="",0,AN26)+AD26))),"")</f>
        <v>3790</v>
      </c>
      <c r="Y26" s="53">
        <f t="shared" si="4"/>
        <v>40.4</v>
      </c>
      <c r="Z26" s="52">
        <f>IF(L26="","",INDEX('Aub Demand'!H:H,MATCH($O26,'Aub Demand'!$A:$A,0)))</f>
        <v>402</v>
      </c>
      <c r="AA26" s="52">
        <f t="shared" si="5"/>
        <v>498</v>
      </c>
      <c r="AB26" s="52">
        <f>IFERROR(INDEX('Aub Demand'!L:L,MATCH($O26,'Aub Demand'!$A:$A,0)),"")</f>
        <v>350</v>
      </c>
      <c r="AC26" s="52">
        <f>IFERROR(IF(O26="","",SUMIFS('CPL Mats'!F:F,'CPL Mats'!Q:Q,AR26,'CPL Mats'!S:S,AS26)),"")</f>
        <v>0</v>
      </c>
      <c r="AF26" s="25" t="str">
        <f>IF(SUMIFS('Supp Consol'!S:S,'Supp Consol'!Y:Y,"Releasable",'Supp Consol'!A:A,O26)=0,"",SUMIFS('Supp Consol'!S:S,'Supp Consol'!Y:Y,"Releasable",'Supp Consol'!A:A,O26))</f>
        <v/>
      </c>
      <c r="AG26" s="25" t="str">
        <f>IFERROR(INDEX('Hun Demand'!Q:Q,MATCH(O26,'Hun Demand'!A:A,0)),"")</f>
        <v/>
      </c>
      <c r="AH26" s="25" t="str">
        <f>IFERROR(INDEX('Hun Demand'!H:H,MATCH($O26,'Hun Demand'!$A:$A,0)),"")</f>
        <v/>
      </c>
      <c r="AI26" s="25" t="str">
        <f>IF(SUMIFS('Supp Consol'!AA:AA,'Supp Consol'!Z:Z,"Expires this month",'Supp Consol'!A:A,O26)=0,"",SUMIFS('Supp Consol'!AA:AA,'Supp Consol'!Z:Z,"Expires this month",'Supp Consol'!A:A,O26))</f>
        <v/>
      </c>
      <c r="AJ26" s="25" t="str">
        <f>IF(SUMIFS('Supp Consol'!AA:AA,'Supp Consol'!Z:Z,"Expired Previous Months",'Supp Consol'!A:A,O26)=0,"",SUMIFS('Supp Consol'!AA:AA,'Supp Consol'!Z:Z,"Expired Previous Months",'Supp Consol'!A:A,O26))</f>
        <v/>
      </c>
      <c r="AK26" s="25" t="str">
        <f>IFERROR(INDEX('Hun Release Current'!B:B,MATCH(O26,'Hun Release Current'!A:A,0)),"")</f>
        <v/>
      </c>
      <c r="AL26" s="25" t="str">
        <f>IF(SUMIF('Prev Aub'!A:A,O26,'Prev Aub'!B:B)=0,"",SUMIF('Prev Aub'!A:A,O26,'Prev Aub'!B:B))</f>
        <v/>
      </c>
      <c r="AN26" s="25" t="s">
        <v>3790</v>
      </c>
      <c r="AO26" s="25" t="s">
        <v>3790</v>
      </c>
      <c r="AP26" s="25">
        <f t="shared" si="6"/>
        <v>0</v>
      </c>
      <c r="AQ26" s="151" t="str">
        <f>IF(SUMIFS('Supp Consol'!S:S,'Supp Consol'!A:A,O26,'Supp Consol'!I:I,"PENDING")=0,"",SUMIFS('Supp Consol'!S:S,'Supp Consol'!A:A,O26,'Supp Consol'!I:I,"PENDING"))</f>
        <v/>
      </c>
      <c r="AR26" s="27" t="str">
        <f t="shared" si="7"/>
        <v>00020</v>
      </c>
      <c r="AS26" s="27" t="str">
        <f t="shared" si="8"/>
        <v>50</v>
      </c>
      <c r="AT26" s="27" t="str">
        <f t="shared" si="9"/>
        <v/>
      </c>
      <c r="AU26" s="27" t="str">
        <f t="shared" si="10"/>
        <v/>
      </c>
      <c r="AV26" s="27" t="str">
        <f t="shared" si="11"/>
        <v/>
      </c>
      <c r="AW26" s="27" t="str">
        <f t="shared" si="12"/>
        <v/>
      </c>
      <c r="AX26" s="27" t="str">
        <f t="shared" si="13"/>
        <v/>
      </c>
      <c r="AY26" s="27" t="str">
        <f t="shared" si="14"/>
        <v/>
      </c>
      <c r="AZ26" s="27" t="str">
        <f t="shared" si="15"/>
        <v/>
      </c>
      <c r="BA26" s="27" t="str">
        <f t="shared" si="16"/>
        <v/>
      </c>
      <c r="BB26" s="27" t="str">
        <f t="shared" si="17"/>
        <v/>
      </c>
      <c r="BC26" s="27" t="str">
        <f t="shared" si="18"/>
        <v/>
      </c>
      <c r="BD26" s="27" t="str">
        <f t="shared" si="19"/>
        <v/>
      </c>
      <c r="BE26" s="27" t="str">
        <f t="shared" si="20"/>
        <v/>
      </c>
      <c r="BF26" s="27" t="str">
        <f t="shared" si="21"/>
        <v/>
      </c>
      <c r="BG26" s="27" t="str">
        <f t="shared" si="22"/>
        <v/>
      </c>
      <c r="BH26" s="27" t="str">
        <f t="shared" si="23"/>
        <v/>
      </c>
      <c r="BI26" s="27" t="str">
        <f t="shared" si="24"/>
        <v/>
      </c>
      <c r="BJ26" s="27" t="str">
        <f t="shared" si="25"/>
        <v/>
      </c>
      <c r="BK26" s="27" t="str">
        <f t="shared" si="26"/>
        <v/>
      </c>
      <c r="BL26" s="27" t="str">
        <f t="shared" si="27"/>
        <v/>
      </c>
      <c r="BM26" s="21" t="s">
        <v>5581</v>
      </c>
    </row>
    <row r="27" spans="1:65" ht="15">
      <c r="A27" s="25" t="str">
        <f>IFERROR(INDEX('Hun Demand'!W:W,MATCH(O27,'Hun Demand'!A:A,0)),"")</f>
        <v/>
      </c>
      <c r="B27" s="25" t="str">
        <f>IFERROR(INDEX('Hun Demand'!V:V,MATCH(O27,'Hun Demand'!A:A,0)),"")</f>
        <v/>
      </c>
      <c r="C27" s="25" t="str">
        <f>IFERROR(INDEX('Hun Demand'!U:U,MATCH(O27,'Hun Demand'!A:A,0)),"")</f>
        <v/>
      </c>
      <c r="D27" s="25" t="str">
        <f>IFERROR(INDEX('Hun Demand'!T:T,MATCH(O27,'Hun Demand'!A:A,0)),"")</f>
        <v/>
      </c>
      <c r="E27" s="25" t="str">
        <f>IFERROR(INDEX('Hun Demand'!S:S,MATCH(O27,'Hun Demand'!A:A,0)),"")</f>
        <v/>
      </c>
      <c r="F27" s="25" t="str">
        <f>IFERROR(INDEX('Hun Demand'!R:R,MATCH(O27,'Hun Demand'!A:A,0)),"")</f>
        <v/>
      </c>
      <c r="G27" s="25">
        <f>IFERROR(INDEX('Aub Demand'!W:W,MATCH(O27,'Aub Demand'!A:A,0)),"")</f>
        <v>177</v>
      </c>
      <c r="H27" s="25">
        <f>IFERROR(INDEX('Aub Demand'!V:V,MATCH(O27,'Aub Demand'!A:A,0)),"")</f>
        <v>150</v>
      </c>
      <c r="I27" s="25">
        <f>IFERROR(INDEX('Aub Demand'!U:U,MATCH(O27,'Aub Demand'!A:A,0)),"")</f>
        <v>59</v>
      </c>
      <c r="J27" s="25">
        <f>IFERROR(INDEX('Aub Demand'!T:T,MATCH(O27,'Aub Demand'!A:A,0)),"")</f>
        <v>243</v>
      </c>
      <c r="K27" s="25">
        <f>IFERROR(INDEX('Aub Demand'!S:S,MATCH(O27,'Aub Demand'!A:A,0)),"")</f>
        <v>304</v>
      </c>
      <c r="L27" s="25">
        <f>IFERROR(INDEX('Aub Demand'!R:R,MATCH(O27,'Aub Demand'!A:A,0)),"")</f>
        <v>9</v>
      </c>
      <c r="O27" s="27" t="s">
        <v>102</v>
      </c>
      <c r="P27" s="27" t="str">
        <f>IFERROR(INDEX('Aub Demand'!B:B,MATCH($O27,'Aub Demand'!$A:$A,0)),"")</f>
        <v>Premium Inkjet MPK 9</v>
      </c>
      <c r="Q27" s="27" t="str">
        <f>IFERROR(INDEX('Aub Demand'!C:C,MATCH($O27,'Aub Demand'!$A:$A,0)),"")</f>
        <v>TECHN</v>
      </c>
      <c r="R27" s="52">
        <f>IFERROR(IF(AR28=AR27,INDEX('Aub Demand'!K:K,MATCH($O27,'Aub Demand'!$A:$A,0))-IF(AN27="",0,AN27)+AP28,INDEX('Aub Demand'!K:K,MATCH($O27,'Aub Demand'!$A:$A,0))-IF(AN27="",0,AN27)),"")</f>
        <v>583</v>
      </c>
      <c r="S27" s="53">
        <f t="shared" si="0"/>
        <v>12.4</v>
      </c>
      <c r="T27" s="52" t="str">
        <f t="shared" si="1"/>
        <v/>
      </c>
      <c r="U27" s="52">
        <f>IFERROR(IF(AR28=AR27,INDEX('Aub Demand'!Q:Q,MATCH($O27,'Aub Demand'!$A:$A,0))-IF(AN27="",0,AN27)+AP28,INDEX('Aub Demand'!Q:Q,MATCH($O27,'Aub Demand'!$A:$A,0))-IF(AN27="",0,AN27)),"")</f>
        <v>379</v>
      </c>
      <c r="V27" s="53">
        <f t="shared" si="2"/>
        <v>8</v>
      </c>
      <c r="W27" s="52" t="str">
        <f t="shared" si="3"/>
        <v/>
      </c>
      <c r="X27" s="52">
        <f>IFERROR(IF(AND(AR28=AR27,AM27&lt;&gt;""),INDEX('Aub Demand'!Q:Q,MATCH($O27,'Aub Demand'!$A:$A,0))-IF(AN27="",0,AN27)+AP28+AD27+AL27,IF(AR28=AR27,INDEX('Aub Demand'!Q:Q,MATCH($O27,'Aub Demand'!$A:$A,0))-IF(AN27="",0,AN27)+AP28+AD27,IF(AM27&lt;&gt;"",INDEX('Aub Demand'!Q:Q,MATCH($O27,'Aub Demand'!$A:$A,0))-IF(AN27="",0,AN27)+AD27+AL27,INDEX('Aub Demand'!Q:Q,MATCH($O27,'Aub Demand'!$A:$A,0))-IF(AN27="",0,AN27)+AD27))),"")</f>
        <v>379</v>
      </c>
      <c r="Y27" s="53">
        <f t="shared" si="4"/>
        <v>8</v>
      </c>
      <c r="Z27" s="52">
        <f>IF(L27="","",INDEX('Aub Demand'!H:H,MATCH($O27,'Aub Demand'!$A:$A,0)))</f>
        <v>202</v>
      </c>
      <c r="AA27" s="52">
        <f t="shared" si="5"/>
        <v>273.5</v>
      </c>
      <c r="AB27" s="52">
        <f>IFERROR(INDEX('Aub Demand'!L:L,MATCH($O27,'Aub Demand'!$A:$A,0)),"")</f>
        <v>510</v>
      </c>
      <c r="AC27" s="52">
        <f>IFERROR(IF(O27="","",SUMIFS('CPL Mats'!F:F,'CPL Mats'!Q:Q,AR27,'CPL Mats'!S:S,AS27)),"")</f>
        <v>0</v>
      </c>
      <c r="AF27" s="25" t="str">
        <f>IF(SUMIFS('Supp Consol'!S:S,'Supp Consol'!Y:Y,"Releasable",'Supp Consol'!A:A,O27)=0,"",SUMIFS('Supp Consol'!S:S,'Supp Consol'!Y:Y,"Releasable",'Supp Consol'!A:A,O27))</f>
        <v/>
      </c>
      <c r="AG27" s="25" t="str">
        <f>IFERROR(INDEX('Hun Demand'!Q:Q,MATCH(O27,'Hun Demand'!A:A,0)),"")</f>
        <v/>
      </c>
      <c r="AH27" s="25" t="str">
        <f>IFERROR(INDEX('Hun Demand'!H:H,MATCH($O27,'Hun Demand'!$A:$A,0)),"")</f>
        <v/>
      </c>
      <c r="AI27" s="25" t="str">
        <f>IF(SUMIFS('Supp Consol'!AA:AA,'Supp Consol'!Z:Z,"Expires this month",'Supp Consol'!A:A,O27)=0,"",SUMIFS('Supp Consol'!AA:AA,'Supp Consol'!Z:Z,"Expires this month",'Supp Consol'!A:A,O27))</f>
        <v/>
      </c>
      <c r="AJ27" s="25" t="str">
        <f>IF(SUMIFS('Supp Consol'!AA:AA,'Supp Consol'!Z:Z,"Expired Previous Months",'Supp Consol'!A:A,O27)=0,"",SUMIFS('Supp Consol'!AA:AA,'Supp Consol'!Z:Z,"Expired Previous Months",'Supp Consol'!A:A,O27))</f>
        <v/>
      </c>
      <c r="AK27" s="25" t="str">
        <f>IFERROR(INDEX('Hun Release Current'!B:B,MATCH(O27,'Hun Release Current'!A:A,0)),"")</f>
        <v/>
      </c>
      <c r="AL27" s="25" t="str">
        <f>IF(SUMIF('Prev Aub'!A:A,O27,'Prev Aub'!B:B)=0,"",SUMIF('Prev Aub'!A:A,O27,'Prev Aub'!B:B))</f>
        <v/>
      </c>
      <c r="AN27" s="25" t="s">
        <v>3790</v>
      </c>
      <c r="AO27" s="25" t="s">
        <v>3790</v>
      </c>
      <c r="AP27" s="25">
        <f t="shared" si="6"/>
        <v>0</v>
      </c>
      <c r="AQ27" s="151" t="str">
        <f>IF(SUMIFS('Supp Consol'!S:S,'Supp Consol'!A:A,O27,'Supp Consol'!I:I,"PENDING")=0,"",SUMIFS('Supp Consol'!S:S,'Supp Consol'!A:A,O27,'Supp Consol'!I:I,"PENDING"))</f>
        <v/>
      </c>
      <c r="AR27" s="27" t="str">
        <f t="shared" si="7"/>
        <v>00020</v>
      </c>
      <c r="AS27" s="27" t="str">
        <f t="shared" si="8"/>
        <v>62</v>
      </c>
      <c r="AT27" s="27" t="str">
        <f t="shared" si="9"/>
        <v/>
      </c>
      <c r="AU27" s="27" t="str">
        <f t="shared" si="10"/>
        <v/>
      </c>
      <c r="AV27" s="27" t="str">
        <f t="shared" si="11"/>
        <v/>
      </c>
      <c r="AW27" s="27" t="str">
        <f t="shared" si="12"/>
        <v/>
      </c>
      <c r="AX27" s="27" t="str">
        <f t="shared" si="13"/>
        <v/>
      </c>
      <c r="AY27" s="27" t="str">
        <f t="shared" si="14"/>
        <v/>
      </c>
      <c r="AZ27" s="27" t="str">
        <f t="shared" si="15"/>
        <v/>
      </c>
      <c r="BA27" s="27" t="str">
        <f t="shared" si="16"/>
        <v/>
      </c>
      <c r="BB27" s="27" t="str">
        <f t="shared" si="17"/>
        <v/>
      </c>
      <c r="BC27" s="27" t="str">
        <f t="shared" si="18"/>
        <v/>
      </c>
      <c r="BD27" s="27" t="str">
        <f t="shared" si="19"/>
        <v/>
      </c>
      <c r="BE27" s="27" t="str">
        <f t="shared" si="20"/>
        <v/>
      </c>
      <c r="BF27" s="27" t="str">
        <f t="shared" si="21"/>
        <v/>
      </c>
      <c r="BG27" s="27" t="str">
        <f t="shared" si="22"/>
        <v/>
      </c>
      <c r="BH27" s="27" t="str">
        <f t="shared" si="23"/>
        <v/>
      </c>
      <c r="BI27" s="27" t="str">
        <f t="shared" si="24"/>
        <v/>
      </c>
      <c r="BJ27" s="27" t="str">
        <f t="shared" si="25"/>
        <v/>
      </c>
      <c r="BK27" s="27" t="str">
        <f t="shared" si="26"/>
        <v/>
      </c>
      <c r="BL27" s="27" t="str">
        <f t="shared" si="27"/>
        <v/>
      </c>
      <c r="BM27" s="21" t="s">
        <v>5581</v>
      </c>
    </row>
    <row r="28" spans="1:65" ht="15">
      <c r="A28" s="25" t="str">
        <f>IFERROR(INDEX('Hun Demand'!W:W,MATCH(O28,'Hun Demand'!A:A,0)),"")</f>
        <v/>
      </c>
      <c r="B28" s="25" t="str">
        <f>IFERROR(INDEX('Hun Demand'!V:V,MATCH(O28,'Hun Demand'!A:A,0)),"")</f>
        <v/>
      </c>
      <c r="C28" s="25" t="str">
        <f>IFERROR(INDEX('Hun Demand'!U:U,MATCH(O28,'Hun Demand'!A:A,0)),"")</f>
        <v/>
      </c>
      <c r="D28" s="25" t="str">
        <f>IFERROR(INDEX('Hun Demand'!T:T,MATCH(O28,'Hun Demand'!A:A,0)),"")</f>
        <v/>
      </c>
      <c r="E28" s="25" t="str">
        <f>IFERROR(INDEX('Hun Demand'!S:S,MATCH(O28,'Hun Demand'!A:A,0)),"")</f>
        <v/>
      </c>
      <c r="F28" s="25" t="str">
        <f>IFERROR(INDEX('Hun Demand'!R:R,MATCH(O28,'Hun Demand'!A:A,0)),"")</f>
        <v/>
      </c>
      <c r="G28" s="25">
        <f>IFERROR(INDEX('Aub Demand'!W:W,MATCH(O28,'Aub Demand'!A:A,0)),"")</f>
        <v>53</v>
      </c>
      <c r="H28" s="25">
        <f>IFERROR(INDEX('Aub Demand'!V:V,MATCH(O28,'Aub Demand'!A:A,0)),"")</f>
        <v>0</v>
      </c>
      <c r="I28" s="25">
        <f>IFERROR(INDEX('Aub Demand'!U:U,MATCH(O28,'Aub Demand'!A:A,0)),"")</f>
        <v>0</v>
      </c>
      <c r="J28" s="25">
        <f>IFERROR(INDEX('Aub Demand'!T:T,MATCH(O28,'Aub Demand'!A:A,0)),"")</f>
        <v>0</v>
      </c>
      <c r="K28" s="25">
        <f>IFERROR(INDEX('Aub Demand'!S:S,MATCH(O28,'Aub Demand'!A:A,0)),"")</f>
        <v>0</v>
      </c>
      <c r="L28" s="25">
        <f>IFERROR(INDEX('Aub Demand'!R:R,MATCH(O28,'Aub Demand'!A:A,0)),"")</f>
        <v>0</v>
      </c>
      <c r="O28" s="27" t="s">
        <v>103</v>
      </c>
      <c r="P28" s="27" t="str">
        <f>IFERROR(INDEX('Aub Demand'!B:B,MATCH($O28,'Aub Demand'!$A:$A,0)),"")</f>
        <v>TAN OVERLAY</v>
      </c>
      <c r="Q28" s="27" t="str">
        <f>IFERROR(INDEX('Aub Demand'!C:C,MATCH($O28,'Aub Demand'!$A:$A,0)),"")</f>
        <v>ONYX</v>
      </c>
      <c r="R28" s="52">
        <f>IFERROR(IF(AR29=AR28,INDEX('Aub Demand'!K:K,MATCH($O28,'Aub Demand'!$A:$A,0))-IF(AN28="",0,AN28)+AP29,INDEX('Aub Demand'!K:K,MATCH($O28,'Aub Demand'!$A:$A,0))-IF(AN28="",0,AN28)),"")</f>
        <v>0</v>
      </c>
      <c r="S28" s="53" t="str">
        <f t="shared" si="0"/>
        <v>n/a</v>
      </c>
      <c r="T28" s="52" t="str">
        <f t="shared" si="1"/>
        <v/>
      </c>
      <c r="U28" s="52">
        <f>IFERROR(IF(AR29=AR28,INDEX('Aub Demand'!Q:Q,MATCH($O28,'Aub Demand'!$A:$A,0))-IF(AN28="",0,AN28)+AP29,INDEX('Aub Demand'!Q:Q,MATCH($O28,'Aub Demand'!$A:$A,0))-IF(AN28="",0,AN28)),"")</f>
        <v>-3</v>
      </c>
      <c r="V28" s="53" t="str">
        <f t="shared" si="2"/>
        <v>n/a</v>
      </c>
      <c r="W28" s="52" t="str">
        <f t="shared" si="3"/>
        <v/>
      </c>
      <c r="X28" s="52">
        <f>IFERROR(IF(AND(AR29=AR28,AM28&lt;&gt;""),INDEX('Aub Demand'!Q:Q,MATCH($O28,'Aub Demand'!$A:$A,0))-IF(AN28="",0,AN28)+AP29+AD28+AL28,IF(AR29=AR28,INDEX('Aub Demand'!Q:Q,MATCH($O28,'Aub Demand'!$A:$A,0))-IF(AN28="",0,AN28)+AP29+AD28,IF(AM28&lt;&gt;"",INDEX('Aub Demand'!Q:Q,MATCH($O28,'Aub Demand'!$A:$A,0))-IF(AN28="",0,AN28)+AD28+AL28,INDEX('Aub Demand'!Q:Q,MATCH($O28,'Aub Demand'!$A:$A,0))-IF(AN28="",0,AN28)+AD28))),"")</f>
        <v>-3</v>
      </c>
      <c r="Y28" s="53" t="str">
        <f t="shared" si="4"/>
        <v>n/a</v>
      </c>
      <c r="Z28" s="52">
        <f>IF(L28="","",INDEX('Aub Demand'!H:H,MATCH($O28,'Aub Demand'!$A:$A,0)))</f>
        <v>0</v>
      </c>
      <c r="AA28" s="52" t="str">
        <f t="shared" si="5"/>
        <v>-spike-</v>
      </c>
      <c r="AB28" s="52">
        <f>IFERROR(INDEX('Aub Demand'!L:L,MATCH($O28,'Aub Demand'!$A:$A,0)),"")</f>
        <v>13</v>
      </c>
      <c r="AC28" s="52">
        <f>IFERROR(IF(O28="","",SUMIFS('CPL Mats'!F:F,'CPL Mats'!Q:Q,AR28,'CPL Mats'!S:S,AS28)),"")</f>
        <v>0</v>
      </c>
      <c r="AF28" s="25" t="str">
        <f>IF(SUMIFS('Supp Consol'!S:S,'Supp Consol'!Y:Y,"Releasable",'Supp Consol'!A:A,O28)=0,"",SUMIFS('Supp Consol'!S:S,'Supp Consol'!Y:Y,"Releasable",'Supp Consol'!A:A,O28))</f>
        <v/>
      </c>
      <c r="AG28" s="25" t="str">
        <f>IFERROR(INDEX('Hun Demand'!Q:Q,MATCH(O28,'Hun Demand'!A:A,0)),"")</f>
        <v/>
      </c>
      <c r="AH28" s="25" t="str">
        <f>IFERROR(INDEX('Hun Demand'!H:H,MATCH($O28,'Hun Demand'!$A:$A,0)),"")</f>
        <v/>
      </c>
      <c r="AI28" s="25" t="str">
        <f>IF(SUMIFS('Supp Consol'!AA:AA,'Supp Consol'!Z:Z,"Expires this month",'Supp Consol'!A:A,O28)=0,"",SUMIFS('Supp Consol'!AA:AA,'Supp Consol'!Z:Z,"Expires this month",'Supp Consol'!A:A,O28))</f>
        <v/>
      </c>
      <c r="AJ28" s="25" t="str">
        <f>IF(SUMIFS('Supp Consol'!AA:AA,'Supp Consol'!Z:Z,"Expired Previous Months",'Supp Consol'!A:A,O28)=0,"",SUMIFS('Supp Consol'!AA:AA,'Supp Consol'!Z:Z,"Expired Previous Months",'Supp Consol'!A:A,O28))</f>
        <v/>
      </c>
      <c r="AK28" s="25" t="str">
        <f>IFERROR(INDEX('Hun Release Current'!B:B,MATCH(O28,'Hun Release Current'!A:A,0)),"")</f>
        <v/>
      </c>
      <c r="AL28" s="25" t="str">
        <f>IF(SUMIF('Prev Aub'!A:A,O28,'Prev Aub'!B:B)=0,"",SUMIF('Prev Aub'!A:A,O28,'Prev Aub'!B:B))</f>
        <v/>
      </c>
      <c r="AN28" s="25" t="s">
        <v>3790</v>
      </c>
      <c r="AO28" s="25" t="s">
        <v>3790</v>
      </c>
      <c r="AP28" s="25">
        <f t="shared" si="6"/>
        <v>0</v>
      </c>
      <c r="AQ28" s="151" t="str">
        <f>IF(SUMIFS('Supp Consol'!S:S,'Supp Consol'!A:A,O28,'Supp Consol'!I:I,"PENDING")=0,"",SUMIFS('Supp Consol'!S:S,'Supp Consol'!A:A,O28,'Supp Consol'!I:I,"PENDING"))</f>
        <v/>
      </c>
      <c r="AR28" s="27" t="str">
        <f t="shared" si="7"/>
        <v>00024</v>
      </c>
      <c r="AS28" s="27" t="str">
        <f t="shared" si="8"/>
        <v>37</v>
      </c>
      <c r="AT28" s="27" t="str">
        <f t="shared" si="9"/>
        <v/>
      </c>
      <c r="AU28" s="27" t="str">
        <f t="shared" si="10"/>
        <v/>
      </c>
      <c r="AV28" s="27" t="str">
        <f t="shared" si="11"/>
        <v/>
      </c>
      <c r="AW28" s="27" t="str">
        <f t="shared" si="12"/>
        <v/>
      </c>
      <c r="AX28" s="27" t="str">
        <f t="shared" si="13"/>
        <v/>
      </c>
      <c r="AY28" s="27" t="str">
        <f t="shared" si="14"/>
        <v/>
      </c>
      <c r="AZ28" s="27" t="str">
        <f t="shared" si="15"/>
        <v/>
      </c>
      <c r="BA28" s="27" t="str">
        <f t="shared" si="16"/>
        <v/>
      </c>
      <c r="BB28" s="27" t="str">
        <f t="shared" si="17"/>
        <v/>
      </c>
      <c r="BC28" s="27" t="str">
        <f t="shared" si="18"/>
        <v/>
      </c>
      <c r="BD28" s="27" t="str">
        <f t="shared" si="19"/>
        <v/>
      </c>
      <c r="BE28" s="27" t="str">
        <f t="shared" si="20"/>
        <v/>
      </c>
      <c r="BF28" s="27" t="str">
        <f t="shared" si="21"/>
        <v/>
      </c>
      <c r="BG28" s="27" t="str">
        <f t="shared" si="22"/>
        <v/>
      </c>
      <c r="BH28" s="27" t="str">
        <f t="shared" si="23"/>
        <v/>
      </c>
      <c r="BI28" s="27" t="str">
        <f t="shared" si="24"/>
        <v/>
      </c>
      <c r="BJ28" s="27" t="str">
        <f t="shared" si="25"/>
        <v/>
      </c>
      <c r="BK28" s="27" t="str">
        <f t="shared" si="26"/>
        <v/>
      </c>
      <c r="BL28" s="27" t="str">
        <f t="shared" si="27"/>
        <v/>
      </c>
      <c r="BM28" s="21" t="s">
        <v>5581</v>
      </c>
    </row>
    <row r="29" spans="1:65" ht="15">
      <c r="A29" s="25" t="str">
        <f>IFERROR(INDEX('Hun Demand'!W:W,MATCH(O29,'Hun Demand'!A:A,0)),"")</f>
        <v/>
      </c>
      <c r="B29" s="25" t="str">
        <f>IFERROR(INDEX('Hun Demand'!V:V,MATCH(O29,'Hun Demand'!A:A,0)),"")</f>
        <v/>
      </c>
      <c r="C29" s="25" t="str">
        <f>IFERROR(INDEX('Hun Demand'!U:U,MATCH(O29,'Hun Demand'!A:A,0)),"")</f>
        <v/>
      </c>
      <c r="D29" s="25" t="str">
        <f>IFERROR(INDEX('Hun Demand'!T:T,MATCH(O29,'Hun Demand'!A:A,0)),"")</f>
        <v/>
      </c>
      <c r="E29" s="25" t="str">
        <f>IFERROR(INDEX('Hun Demand'!S:S,MATCH(O29,'Hun Demand'!A:A,0)),"")</f>
        <v/>
      </c>
      <c r="F29" s="25" t="str">
        <f>IFERROR(INDEX('Hun Demand'!R:R,MATCH(O29,'Hun Demand'!A:A,0)),"")</f>
        <v/>
      </c>
      <c r="G29" s="25">
        <f>IFERROR(INDEX('Aub Demand'!W:W,MATCH(O29,'Aub Demand'!A:A,0)),"")</f>
        <v>138</v>
      </c>
      <c r="H29" s="25">
        <f>IFERROR(INDEX('Aub Demand'!V:V,MATCH(O29,'Aub Demand'!A:A,0)),"")</f>
        <v>130</v>
      </c>
      <c r="I29" s="25">
        <f>IFERROR(INDEX('Aub Demand'!U:U,MATCH(O29,'Aub Demand'!A:A,0)),"")</f>
        <v>90</v>
      </c>
      <c r="J29" s="25">
        <f>IFERROR(INDEX('Aub Demand'!T:T,MATCH(O29,'Aub Demand'!A:A,0)),"")</f>
        <v>123</v>
      </c>
      <c r="K29" s="25">
        <f>IFERROR(INDEX('Aub Demand'!S:S,MATCH(O29,'Aub Demand'!A:A,0)),"")</f>
        <v>0</v>
      </c>
      <c r="L29" s="25">
        <f>IFERROR(INDEX('Aub Demand'!R:R,MATCH(O29,'Aub Demand'!A:A,0)),"")</f>
        <v>0</v>
      </c>
      <c r="O29" s="27" t="s">
        <v>106</v>
      </c>
      <c r="P29" s="27" t="str">
        <f>IFERROR(INDEX('Aub Demand'!B:B,MATCH($O29,'Aub Demand'!$A:$A,0)),"")</f>
        <v>TAN OVERLAY</v>
      </c>
      <c r="Q29" s="27" t="str">
        <f>IFERROR(INDEX('Aub Demand'!C:C,MATCH($O29,'Aub Demand'!$A:$A,0)),"")</f>
        <v>ONYX</v>
      </c>
      <c r="R29" s="52">
        <f>IFERROR(IF(AR30=AR29,INDEX('Aub Demand'!K:K,MATCH($O29,'Aub Demand'!$A:$A,0))-IF(AN29="",0,AN29)+AP30,INDEX('Aub Demand'!K:K,MATCH($O29,'Aub Demand'!$A:$A,0))-IF(AN29="",0,AN29)),"")</f>
        <v>1509</v>
      </c>
      <c r="S29" s="53">
        <f t="shared" si="0"/>
        <v>91.1</v>
      </c>
      <c r="T29" s="52" t="str">
        <f t="shared" si="1"/>
        <v/>
      </c>
      <c r="U29" s="52">
        <f>IFERROR(IF(AR30=AR29,INDEX('Aub Demand'!Q:Q,MATCH($O29,'Aub Demand'!$A:$A,0))-IF(AN29="",0,AN29)+AP30,INDEX('Aub Demand'!Q:Q,MATCH($O29,'Aub Demand'!$A:$A,0))-IF(AN29="",0,AN29)),"")</f>
        <v>1442</v>
      </c>
      <c r="V29" s="53">
        <f t="shared" si="2"/>
        <v>87</v>
      </c>
      <c r="W29" s="52" t="str">
        <f t="shared" si="3"/>
        <v/>
      </c>
      <c r="X29" s="52">
        <f>IFERROR(IF(AND(AR30=AR29,AM29&lt;&gt;""),INDEX('Aub Demand'!Q:Q,MATCH($O29,'Aub Demand'!$A:$A,0))-IF(AN29="",0,AN29)+AP30+AD29+AL29,IF(AR30=AR29,INDEX('Aub Demand'!Q:Q,MATCH($O29,'Aub Demand'!$A:$A,0))-IF(AN29="",0,AN29)+AP30+AD29,IF(AM29&lt;&gt;"",INDEX('Aub Demand'!Q:Q,MATCH($O29,'Aub Demand'!$A:$A,0))-IF(AN29="",0,AN29)+AD29+AL29,INDEX('Aub Demand'!Q:Q,MATCH($O29,'Aub Demand'!$A:$A,0))-IF(AN29="",0,AN29)+AD29))),"")</f>
        <v>1442</v>
      </c>
      <c r="Y29" s="53">
        <f t="shared" si="4"/>
        <v>87</v>
      </c>
      <c r="Z29" s="52">
        <f>IF(L29="","",INDEX('Aub Demand'!H:H,MATCH($O29,'Aub Demand'!$A:$A,0)))</f>
        <v>71</v>
      </c>
      <c r="AA29" s="52">
        <f t="shared" si="5"/>
        <v>106.5</v>
      </c>
      <c r="AB29" s="52">
        <f>IFERROR(INDEX('Aub Demand'!L:L,MATCH($O29,'Aub Demand'!$A:$A,0)),"")</f>
        <v>80</v>
      </c>
      <c r="AC29" s="52">
        <f>IFERROR(IF(O29="","",SUMIFS('CPL Mats'!F:F,'CPL Mats'!Q:Q,AR29,'CPL Mats'!S:S,AS29)),"")</f>
        <v>0</v>
      </c>
      <c r="AF29" s="25" t="str">
        <f>IF(SUMIFS('Supp Consol'!S:S,'Supp Consol'!Y:Y,"Releasable",'Supp Consol'!A:A,O29)=0,"",SUMIFS('Supp Consol'!S:S,'Supp Consol'!Y:Y,"Releasable",'Supp Consol'!A:A,O29))</f>
        <v/>
      </c>
      <c r="AG29" s="25" t="str">
        <f>IFERROR(INDEX('Hun Demand'!Q:Q,MATCH(O29,'Hun Demand'!A:A,0)),"")</f>
        <v/>
      </c>
      <c r="AH29" s="25" t="str">
        <f>IFERROR(INDEX('Hun Demand'!H:H,MATCH($O29,'Hun Demand'!$A:$A,0)),"")</f>
        <v/>
      </c>
      <c r="AI29" s="25" t="str">
        <f>IF(SUMIFS('Supp Consol'!AA:AA,'Supp Consol'!Z:Z,"Expires this month",'Supp Consol'!A:A,O29)=0,"",SUMIFS('Supp Consol'!AA:AA,'Supp Consol'!Z:Z,"Expires this month",'Supp Consol'!A:A,O29))</f>
        <v/>
      </c>
      <c r="AJ29" s="25" t="str">
        <f>IF(SUMIFS('Supp Consol'!AA:AA,'Supp Consol'!Z:Z,"Expired Previous Months",'Supp Consol'!A:A,O29)=0,"",SUMIFS('Supp Consol'!AA:AA,'Supp Consol'!Z:Z,"Expired Previous Months",'Supp Consol'!A:A,O29))</f>
        <v/>
      </c>
      <c r="AK29" s="25" t="str">
        <f>IFERROR(INDEX('Hun Release Current'!B:B,MATCH(O29,'Hun Release Current'!A:A,0)),"")</f>
        <v/>
      </c>
      <c r="AL29" s="25" t="str">
        <f>IF(SUMIF('Prev Aub'!A:A,O29,'Prev Aub'!B:B)=0,"",SUMIF('Prev Aub'!A:A,O29,'Prev Aub'!B:B))</f>
        <v/>
      </c>
      <c r="AN29" s="25" t="s">
        <v>3790</v>
      </c>
      <c r="AO29" s="25" t="s">
        <v>3790</v>
      </c>
      <c r="AP29" s="25">
        <f t="shared" si="6"/>
        <v>0</v>
      </c>
      <c r="AQ29" s="151" t="str">
        <f>IF(SUMIFS('Supp Consol'!S:S,'Supp Consol'!A:A,O29,'Supp Consol'!I:I,"PENDING")=0,"",SUMIFS('Supp Consol'!S:S,'Supp Consol'!A:A,O29,'Supp Consol'!I:I,"PENDING"))</f>
        <v/>
      </c>
      <c r="AR29" s="27" t="str">
        <f t="shared" si="7"/>
        <v>00024</v>
      </c>
      <c r="AS29" s="27" t="str">
        <f t="shared" si="8"/>
        <v>50</v>
      </c>
      <c r="AT29" s="27" t="str">
        <f t="shared" si="9"/>
        <v/>
      </c>
      <c r="AU29" s="27" t="str">
        <f t="shared" si="10"/>
        <v/>
      </c>
      <c r="AV29" s="27" t="str">
        <f t="shared" si="11"/>
        <v/>
      </c>
      <c r="AW29" s="27" t="str">
        <f t="shared" si="12"/>
        <v/>
      </c>
      <c r="AX29" s="27" t="str">
        <f t="shared" si="13"/>
        <v/>
      </c>
      <c r="AY29" s="27" t="str">
        <f t="shared" si="14"/>
        <v/>
      </c>
      <c r="AZ29" s="27" t="str">
        <f t="shared" si="15"/>
        <v/>
      </c>
      <c r="BA29" s="27" t="str">
        <f t="shared" si="16"/>
        <v/>
      </c>
      <c r="BB29" s="27" t="str">
        <f t="shared" si="17"/>
        <v/>
      </c>
      <c r="BC29" s="27" t="str">
        <f t="shared" si="18"/>
        <v/>
      </c>
      <c r="BD29" s="27" t="str">
        <f t="shared" si="19"/>
        <v/>
      </c>
      <c r="BE29" s="27" t="str">
        <f t="shared" si="20"/>
        <v/>
      </c>
      <c r="BF29" s="27" t="str">
        <f t="shared" si="21"/>
        <v/>
      </c>
      <c r="BG29" s="27" t="str">
        <f t="shared" si="22"/>
        <v/>
      </c>
      <c r="BH29" s="27" t="str">
        <f t="shared" si="23"/>
        <v/>
      </c>
      <c r="BI29" s="27" t="str">
        <f t="shared" si="24"/>
        <v/>
      </c>
      <c r="BJ29" s="27" t="str">
        <f t="shared" si="25"/>
        <v/>
      </c>
      <c r="BK29" s="27" t="str">
        <f t="shared" si="26"/>
        <v/>
      </c>
      <c r="BL29" s="27" t="str">
        <f t="shared" si="27"/>
        <v/>
      </c>
      <c r="BM29" s="21" t="s">
        <v>5581</v>
      </c>
    </row>
    <row r="30" spans="1:65" ht="15">
      <c r="A30" s="25" t="str">
        <f>IFERROR(INDEX('Hun Demand'!W:W,MATCH(O30,'Hun Demand'!A:A,0)),"")</f>
        <v/>
      </c>
      <c r="B30" s="25" t="str">
        <f>IFERROR(INDEX('Hun Demand'!V:V,MATCH(O30,'Hun Demand'!A:A,0)),"")</f>
        <v/>
      </c>
      <c r="C30" s="25" t="str">
        <f>IFERROR(INDEX('Hun Demand'!U:U,MATCH(O30,'Hun Demand'!A:A,0)),"")</f>
        <v/>
      </c>
      <c r="D30" s="25" t="str">
        <f>IFERROR(INDEX('Hun Demand'!T:T,MATCH(O30,'Hun Demand'!A:A,0)),"")</f>
        <v/>
      </c>
      <c r="E30" s="25" t="str">
        <f>IFERROR(INDEX('Hun Demand'!S:S,MATCH(O30,'Hun Demand'!A:A,0)),"")</f>
        <v/>
      </c>
      <c r="F30" s="25" t="str">
        <f>IFERROR(INDEX('Hun Demand'!R:R,MATCH(O30,'Hun Demand'!A:A,0)),"")</f>
        <v/>
      </c>
      <c r="G30" s="25">
        <f>IFERROR(INDEX('Aub Demand'!W:W,MATCH(O30,'Aub Demand'!A:A,0)),"")</f>
        <v>0</v>
      </c>
      <c r="H30" s="25">
        <f>IFERROR(INDEX('Aub Demand'!V:V,MATCH(O30,'Aub Demand'!A:A,0)),"")</f>
        <v>86</v>
      </c>
      <c r="I30" s="25">
        <f>IFERROR(INDEX('Aub Demand'!U:U,MATCH(O30,'Aub Demand'!A:A,0)),"")</f>
        <v>0</v>
      </c>
      <c r="J30" s="25">
        <f>IFERROR(INDEX('Aub Demand'!T:T,MATCH(O30,'Aub Demand'!A:A,0)),"")</f>
        <v>0</v>
      </c>
      <c r="K30" s="25">
        <f>IFERROR(INDEX('Aub Demand'!S:S,MATCH(O30,'Aub Demand'!A:A,0)),"")</f>
        <v>186</v>
      </c>
      <c r="L30" s="25">
        <f>IFERROR(INDEX('Aub Demand'!R:R,MATCH(O30,'Aub Demand'!A:A,0)),"")</f>
        <v>0</v>
      </c>
      <c r="O30" s="27" t="s">
        <v>107</v>
      </c>
      <c r="P30" s="27" t="str">
        <f>IFERROR(INDEX('Aub Demand'!B:B,MATCH($O30,'Aub Demand'!$A:$A,0)),"")</f>
        <v>TAN OVERLAY</v>
      </c>
      <c r="Q30" s="27" t="str">
        <f>IFERROR(INDEX('Aub Demand'!C:C,MATCH($O30,'Aub Demand'!$A:$A,0)),"")</f>
        <v>ONYX</v>
      </c>
      <c r="R30" s="52">
        <f>IFERROR(IF(AR31=AR30,INDEX('Aub Demand'!K:K,MATCH($O30,'Aub Demand'!$A:$A,0))-IF(AN30="",0,AN30)+AP31,INDEX('Aub Demand'!K:K,MATCH($O30,'Aub Demand'!$A:$A,0))-IF(AN30="",0,AN30)),"")</f>
        <v>2947</v>
      </c>
      <c r="S30" s="53">
        <f t="shared" si="0"/>
        <v>203.7</v>
      </c>
      <c r="T30" s="52" t="str">
        <f t="shared" si="1"/>
        <v/>
      </c>
      <c r="U30" s="52">
        <f>IFERROR(IF(AR31=AR30,INDEX('Aub Demand'!Q:Q,MATCH($O30,'Aub Demand'!$A:$A,0))-IF(AN30="",0,AN30)+AP31,INDEX('Aub Demand'!Q:Q,MATCH($O30,'Aub Demand'!$A:$A,0))-IF(AN30="",0,AN30)),"")</f>
        <v>2862</v>
      </c>
      <c r="V30" s="53">
        <f t="shared" si="2"/>
        <v>197.8</v>
      </c>
      <c r="W30" s="52" t="str">
        <f t="shared" si="3"/>
        <v/>
      </c>
      <c r="X30" s="52">
        <f>IFERROR(IF(AND(AR31=AR30,AM30&lt;&gt;""),INDEX('Aub Demand'!Q:Q,MATCH($O30,'Aub Demand'!$A:$A,0))-IF(AN30="",0,AN30)+AP31+AD30+AL30,IF(AR31=AR30,INDEX('Aub Demand'!Q:Q,MATCH($O30,'Aub Demand'!$A:$A,0))-IF(AN30="",0,AN30)+AP31+AD30,IF(AM30&lt;&gt;"",INDEX('Aub Demand'!Q:Q,MATCH($O30,'Aub Demand'!$A:$A,0))-IF(AN30="",0,AN30)+AD30+AL30,INDEX('Aub Demand'!Q:Q,MATCH($O30,'Aub Demand'!$A:$A,0))-IF(AN30="",0,AN30)+AD30))),"")</f>
        <v>2862</v>
      </c>
      <c r="Y30" s="53">
        <f t="shared" si="4"/>
        <v>197.8</v>
      </c>
      <c r="Z30" s="52">
        <f>IF(L30="","",INDEX('Aub Demand'!H:H,MATCH($O30,'Aub Demand'!$A:$A,0)))</f>
        <v>62</v>
      </c>
      <c r="AA30" s="52" t="str">
        <f t="shared" si="5"/>
        <v>-spike-</v>
      </c>
      <c r="AB30" s="52">
        <f>IFERROR(INDEX('Aub Demand'!L:L,MATCH($O30,'Aub Demand'!$A:$A,0)),"")</f>
        <v>95</v>
      </c>
      <c r="AC30" s="52">
        <f>IFERROR(IF(O30="","",SUMIFS('CPL Mats'!F:F,'CPL Mats'!Q:Q,AR30,'CPL Mats'!S:S,AS30)),"")</f>
        <v>0</v>
      </c>
      <c r="AF30" s="25" t="str">
        <f>IF(SUMIFS('Supp Consol'!S:S,'Supp Consol'!Y:Y,"Releasable",'Supp Consol'!A:A,O30)=0,"",SUMIFS('Supp Consol'!S:S,'Supp Consol'!Y:Y,"Releasable",'Supp Consol'!A:A,O30))</f>
        <v/>
      </c>
      <c r="AG30" s="25" t="str">
        <f>IFERROR(INDEX('Hun Demand'!Q:Q,MATCH(O30,'Hun Demand'!A:A,0)),"")</f>
        <v/>
      </c>
      <c r="AH30" s="25" t="str">
        <f>IFERROR(INDEX('Hun Demand'!H:H,MATCH($O30,'Hun Demand'!$A:$A,0)),"")</f>
        <v/>
      </c>
      <c r="AI30" s="25" t="str">
        <f>IF(SUMIFS('Supp Consol'!AA:AA,'Supp Consol'!Z:Z,"Expires this month",'Supp Consol'!A:A,O30)=0,"",SUMIFS('Supp Consol'!AA:AA,'Supp Consol'!Z:Z,"Expires this month",'Supp Consol'!A:A,O30))</f>
        <v/>
      </c>
      <c r="AJ30" s="25" t="str">
        <f>IF(SUMIFS('Supp Consol'!AA:AA,'Supp Consol'!Z:Z,"Expired Previous Months",'Supp Consol'!A:A,O30)=0,"",SUMIFS('Supp Consol'!AA:AA,'Supp Consol'!Z:Z,"Expired Previous Months",'Supp Consol'!A:A,O30))</f>
        <v/>
      </c>
      <c r="AK30" s="25" t="str">
        <f>IFERROR(INDEX('Hun Release Current'!B:B,MATCH(O30,'Hun Release Current'!A:A,0)),"")</f>
        <v/>
      </c>
      <c r="AL30" s="25" t="str">
        <f>IF(SUMIF('Prev Aub'!A:A,O30,'Prev Aub'!B:B)=0,"",SUMIF('Prev Aub'!A:A,O30,'Prev Aub'!B:B))</f>
        <v/>
      </c>
      <c r="AN30" s="25" t="s">
        <v>3790</v>
      </c>
      <c r="AO30" s="25" t="s">
        <v>3790</v>
      </c>
      <c r="AP30" s="25">
        <f t="shared" si="6"/>
        <v>0</v>
      </c>
      <c r="AQ30" s="151" t="str">
        <f>IF(SUMIFS('Supp Consol'!S:S,'Supp Consol'!A:A,O30,'Supp Consol'!I:I,"PENDING")=0,"",SUMIFS('Supp Consol'!S:S,'Supp Consol'!A:A,O30,'Supp Consol'!I:I,"PENDING"))</f>
        <v/>
      </c>
      <c r="AR30" s="27" t="str">
        <f t="shared" si="7"/>
        <v>00024</v>
      </c>
      <c r="AS30" s="27" t="str">
        <f t="shared" si="8"/>
        <v>62</v>
      </c>
      <c r="AT30" s="27" t="str">
        <f t="shared" si="9"/>
        <v/>
      </c>
      <c r="AU30" s="27" t="str">
        <f t="shared" si="10"/>
        <v/>
      </c>
      <c r="AV30" s="27" t="str">
        <f t="shared" si="11"/>
        <v/>
      </c>
      <c r="AW30" s="27" t="str">
        <f t="shared" si="12"/>
        <v/>
      </c>
      <c r="AX30" s="27" t="str">
        <f t="shared" si="13"/>
        <v/>
      </c>
      <c r="AY30" s="27" t="str">
        <f t="shared" si="14"/>
        <v/>
      </c>
      <c r="AZ30" s="27" t="str">
        <f t="shared" si="15"/>
        <v/>
      </c>
      <c r="BA30" s="27" t="str">
        <f t="shared" si="16"/>
        <v/>
      </c>
      <c r="BB30" s="27" t="str">
        <f t="shared" si="17"/>
        <v/>
      </c>
      <c r="BC30" s="27" t="str">
        <f t="shared" si="18"/>
        <v/>
      </c>
      <c r="BD30" s="27" t="str">
        <f t="shared" si="19"/>
        <v/>
      </c>
      <c r="BE30" s="27" t="str">
        <f t="shared" si="20"/>
        <v/>
      </c>
      <c r="BF30" s="27" t="str">
        <f t="shared" si="21"/>
        <v/>
      </c>
      <c r="BG30" s="27" t="str">
        <f t="shared" si="22"/>
        <v/>
      </c>
      <c r="BH30" s="27" t="str">
        <f t="shared" si="23"/>
        <v/>
      </c>
      <c r="BI30" s="27" t="str">
        <f t="shared" si="24"/>
        <v/>
      </c>
      <c r="BJ30" s="27" t="str">
        <f t="shared" si="25"/>
        <v/>
      </c>
      <c r="BK30" s="27" t="str">
        <f t="shared" si="26"/>
        <v/>
      </c>
      <c r="BL30" s="27" t="str">
        <f t="shared" si="27"/>
        <v/>
      </c>
      <c r="BM30" s="21" t="s">
        <v>5581</v>
      </c>
    </row>
    <row r="31" spans="1:65" ht="15">
      <c r="A31" s="25" t="str">
        <f>IFERROR(INDEX('Hun Demand'!W:W,MATCH(O31,'Hun Demand'!A:A,0)),"")</f>
        <v/>
      </c>
      <c r="B31" s="25" t="str">
        <f>IFERROR(INDEX('Hun Demand'!V:V,MATCH(O31,'Hun Demand'!A:A,0)),"")</f>
        <v/>
      </c>
      <c r="C31" s="25" t="str">
        <f>IFERROR(INDEX('Hun Demand'!U:U,MATCH(O31,'Hun Demand'!A:A,0)),"")</f>
        <v/>
      </c>
      <c r="D31" s="25" t="str">
        <f>IFERROR(INDEX('Hun Demand'!T:T,MATCH(O31,'Hun Demand'!A:A,0)),"")</f>
        <v/>
      </c>
      <c r="E31" s="25" t="str">
        <f>IFERROR(INDEX('Hun Demand'!S:S,MATCH(O31,'Hun Demand'!A:A,0)),"")</f>
        <v/>
      </c>
      <c r="F31" s="25" t="str">
        <f>IFERROR(INDEX('Hun Demand'!R:R,MATCH(O31,'Hun Demand'!A:A,0)),"")</f>
        <v/>
      </c>
      <c r="G31" s="25">
        <f>IFERROR(INDEX('Aub Demand'!W:W,MATCH(O31,'Aub Demand'!A:A,0)),"")</f>
        <v>0</v>
      </c>
      <c r="H31" s="25">
        <f>IFERROR(INDEX('Aub Demand'!V:V,MATCH(O31,'Aub Demand'!A:A,0)),"")</f>
        <v>44</v>
      </c>
      <c r="I31" s="25">
        <f>IFERROR(INDEX('Aub Demand'!U:U,MATCH(O31,'Aub Demand'!A:A,0)),"")</f>
        <v>100</v>
      </c>
      <c r="J31" s="25">
        <f>IFERROR(INDEX('Aub Demand'!T:T,MATCH(O31,'Aub Demand'!A:A,0)),"")</f>
        <v>0</v>
      </c>
      <c r="K31" s="25">
        <f>IFERROR(INDEX('Aub Demand'!S:S,MATCH(O31,'Aub Demand'!A:A,0)),"")</f>
        <v>106</v>
      </c>
      <c r="L31" s="25">
        <f>IFERROR(INDEX('Aub Demand'!R:R,MATCH(O31,'Aub Demand'!A:A,0)),"")</f>
        <v>0</v>
      </c>
      <c r="O31" s="27" t="s">
        <v>108</v>
      </c>
      <c r="P31" s="27" t="str">
        <f>IFERROR(INDEX('Aub Demand'!B:B,MATCH($O31,'Aub Demand'!$A:$A,0)),"")</f>
        <v>BOOMERANG UV OVERLAY</v>
      </c>
      <c r="Q31" s="27" t="str">
        <f>IFERROR(INDEX('Aub Demand'!C:C,MATCH($O31,'Aub Demand'!$A:$A,0)),"")</f>
        <v>INTER</v>
      </c>
      <c r="R31" s="52">
        <f>IFERROR(IF(AR32=AR31,INDEX('Aub Demand'!K:K,MATCH($O31,'Aub Demand'!$A:$A,0))-IF(AN31="",0,AN31)+AP32,INDEX('Aub Demand'!K:K,MATCH($O31,'Aub Demand'!$A:$A,0))-IF(AN31="",0,AN31)),"")</f>
        <v>43</v>
      </c>
      <c r="S31" s="53">
        <f t="shared" si="0"/>
        <v>2.7</v>
      </c>
      <c r="T31" s="52">
        <f t="shared" si="1"/>
        <v>7.7249999999999952</v>
      </c>
      <c r="U31" s="52">
        <f>IFERROR(IF(AR32=AR31,INDEX('Aub Demand'!Q:Q,MATCH($O31,'Aub Demand'!$A:$A,0))-IF(AN31="",0,AN31)+AP32,INDEX('Aub Demand'!Q:Q,MATCH($O31,'Aub Demand'!$A:$A,0))-IF(AN31="",0,AN31)),"")</f>
        <v>-45</v>
      </c>
      <c r="V31" s="53">
        <f t="shared" si="2"/>
        <v>-2.8</v>
      </c>
      <c r="W31" s="52">
        <f t="shared" si="3"/>
        <v>149.35</v>
      </c>
      <c r="X31" s="52">
        <f>IFERROR(IF(AND(AR32=AR31,AM31&lt;&gt;""),INDEX('Aub Demand'!Q:Q,MATCH($O31,'Aub Demand'!$A:$A,0))-IF(AN31="",0,AN31)+AP32+AD31+AL31,IF(AR32=AR31,INDEX('Aub Demand'!Q:Q,MATCH($O31,'Aub Demand'!$A:$A,0))-IF(AN31="",0,AN31)+AP32+AD31,IF(AM31&lt;&gt;"",INDEX('Aub Demand'!Q:Q,MATCH($O31,'Aub Demand'!$A:$A,0))-IF(AN31="",0,AN31)+AD31+AL31,INDEX('Aub Demand'!Q:Q,MATCH($O31,'Aub Demand'!$A:$A,0))-IF(AN31="",0,AN31)+AD31))),"")</f>
        <v>-45</v>
      </c>
      <c r="Y31" s="53">
        <f t="shared" si="4"/>
        <v>-2.8</v>
      </c>
      <c r="Z31" s="52">
        <f>IF(L31="","",INDEX('Aub Demand'!H:H,MATCH($O31,'Aub Demand'!$A:$A,0)))</f>
        <v>69</v>
      </c>
      <c r="AA31" s="52">
        <f t="shared" si="5"/>
        <v>103</v>
      </c>
      <c r="AB31" s="52">
        <f>IFERROR(INDEX('Aub Demand'!L:L,MATCH($O31,'Aub Demand'!$A:$A,0)),"")</f>
        <v>10</v>
      </c>
      <c r="AC31" s="52">
        <f>IFERROR(IF(O31="","",SUMIFS('CPL Mats'!F:F,'CPL Mats'!Q:Q,AR31,'CPL Mats'!S:S,AS31)),"")</f>
        <v>0</v>
      </c>
      <c r="AF31" s="25" t="str">
        <f>IF(SUMIFS('Supp Consol'!S:S,'Supp Consol'!Y:Y,"Releasable",'Supp Consol'!A:A,O31)=0,"",SUMIFS('Supp Consol'!S:S,'Supp Consol'!Y:Y,"Releasable",'Supp Consol'!A:A,O31))</f>
        <v/>
      </c>
      <c r="AG31" s="25" t="str">
        <f>IFERROR(INDEX('Hun Demand'!Q:Q,MATCH(O31,'Hun Demand'!A:A,0)),"")</f>
        <v/>
      </c>
      <c r="AH31" s="25" t="str">
        <f>IFERROR(INDEX('Hun Demand'!H:H,MATCH($O31,'Hun Demand'!$A:$A,0)),"")</f>
        <v/>
      </c>
      <c r="AI31" s="25" t="str">
        <f>IF(SUMIFS('Supp Consol'!AA:AA,'Supp Consol'!Z:Z,"Expires this month",'Supp Consol'!A:A,O31)=0,"",SUMIFS('Supp Consol'!AA:AA,'Supp Consol'!Z:Z,"Expires this month",'Supp Consol'!A:A,O31))</f>
        <v/>
      </c>
      <c r="AJ31" s="25" t="str">
        <f>IF(SUMIFS('Supp Consol'!AA:AA,'Supp Consol'!Z:Z,"Expired Previous Months",'Supp Consol'!A:A,O31)=0,"",SUMIFS('Supp Consol'!AA:AA,'Supp Consol'!Z:Z,"Expired Previous Months",'Supp Consol'!A:A,O31))</f>
        <v/>
      </c>
      <c r="AK31" s="25" t="str">
        <f>IFERROR(INDEX('Hun Release Current'!B:B,MATCH(O31,'Hun Release Current'!A:A,0)),"")</f>
        <v/>
      </c>
      <c r="AL31" s="25" t="str">
        <f>IF(SUMIF('Prev Aub'!A:A,O31,'Prev Aub'!B:B)=0,"",SUMIF('Prev Aub'!A:A,O31,'Prev Aub'!B:B))</f>
        <v/>
      </c>
      <c r="AN31" s="25" t="s">
        <v>3790</v>
      </c>
      <c r="AO31" s="25" t="s">
        <v>3790</v>
      </c>
      <c r="AP31" s="25">
        <f t="shared" si="6"/>
        <v>0</v>
      </c>
      <c r="AQ31" s="151" t="str">
        <f>IF(SUMIFS('Supp Consol'!S:S,'Supp Consol'!A:A,O31,'Supp Consol'!I:I,"PENDING")=0,"",SUMIFS('Supp Consol'!S:S,'Supp Consol'!A:A,O31,'Supp Consol'!I:I,"PENDING"))</f>
        <v/>
      </c>
      <c r="AR31" s="27" t="str">
        <f t="shared" si="7"/>
        <v>00040</v>
      </c>
      <c r="AS31" s="27" t="str">
        <f t="shared" si="8"/>
        <v>43</v>
      </c>
      <c r="AT31" s="27" t="str">
        <f t="shared" si="9"/>
        <v>00040</v>
      </c>
      <c r="AU31" s="27" t="str">
        <f t="shared" si="10"/>
        <v>00040</v>
      </c>
      <c r="AV31" s="27" t="str">
        <f t="shared" si="11"/>
        <v>00040</v>
      </c>
      <c r="AW31" s="27" t="str">
        <f t="shared" si="12"/>
        <v/>
      </c>
      <c r="AX31" s="27" t="str">
        <f t="shared" si="13"/>
        <v/>
      </c>
      <c r="AY31" s="27" t="str">
        <f t="shared" si="14"/>
        <v/>
      </c>
      <c r="AZ31" s="27" t="str">
        <f t="shared" si="15"/>
        <v/>
      </c>
      <c r="BA31" s="27" t="str">
        <f t="shared" si="16"/>
        <v/>
      </c>
      <c r="BB31" s="27" t="str">
        <f t="shared" si="17"/>
        <v>Gross</v>
      </c>
      <c r="BC31" s="27" t="str">
        <f t="shared" si="18"/>
        <v>Net</v>
      </c>
      <c r="BD31" s="27" t="str">
        <f t="shared" si="19"/>
        <v>Net</v>
      </c>
      <c r="BE31" s="27" t="str">
        <f t="shared" si="20"/>
        <v/>
      </c>
      <c r="BF31" s="27" t="str">
        <f t="shared" si="21"/>
        <v/>
      </c>
      <c r="BG31" s="27" t="str">
        <f t="shared" si="22"/>
        <v/>
      </c>
      <c r="BH31" s="27" t="str">
        <f t="shared" si="23"/>
        <v/>
      </c>
      <c r="BI31" s="27" t="str">
        <f t="shared" si="24"/>
        <v/>
      </c>
      <c r="BJ31" s="27" t="str">
        <f t="shared" si="25"/>
        <v/>
      </c>
      <c r="BK31" s="27" t="str">
        <f t="shared" si="26"/>
        <v/>
      </c>
      <c r="BL31" s="27" t="str">
        <f t="shared" si="27"/>
        <v/>
      </c>
      <c r="BM31" s="21" t="s">
        <v>5581</v>
      </c>
    </row>
    <row r="32" spans="1:65" ht="15">
      <c r="A32" s="25" t="str">
        <f>IFERROR(INDEX('Hun Demand'!W:W,MATCH(O32,'Hun Demand'!A:A,0)),"")</f>
        <v/>
      </c>
      <c r="B32" s="25" t="str">
        <f>IFERROR(INDEX('Hun Demand'!V:V,MATCH(O32,'Hun Demand'!A:A,0)),"")</f>
        <v/>
      </c>
      <c r="C32" s="25" t="str">
        <f>IFERROR(INDEX('Hun Demand'!U:U,MATCH(O32,'Hun Demand'!A:A,0)),"")</f>
        <v/>
      </c>
      <c r="D32" s="25" t="str">
        <f>IFERROR(INDEX('Hun Demand'!T:T,MATCH(O32,'Hun Demand'!A:A,0)),"")</f>
        <v/>
      </c>
      <c r="E32" s="25" t="str">
        <f>IFERROR(INDEX('Hun Demand'!S:S,MATCH(O32,'Hun Demand'!A:A,0)),"")</f>
        <v/>
      </c>
      <c r="F32" s="25" t="str">
        <f>IFERROR(INDEX('Hun Demand'!R:R,MATCH(O32,'Hun Demand'!A:A,0)),"")</f>
        <v/>
      </c>
      <c r="G32" s="25">
        <f>IFERROR(INDEX('Aub Demand'!W:W,MATCH(O32,'Aub Demand'!A:A,0)),"")</f>
        <v>0</v>
      </c>
      <c r="H32" s="25">
        <f>IFERROR(INDEX('Aub Demand'!V:V,MATCH(O32,'Aub Demand'!A:A,0)),"")</f>
        <v>0</v>
      </c>
      <c r="I32" s="25">
        <f>IFERROR(INDEX('Aub Demand'!U:U,MATCH(O32,'Aub Demand'!A:A,0)),"")</f>
        <v>80</v>
      </c>
      <c r="J32" s="25">
        <f>IFERROR(INDEX('Aub Demand'!T:T,MATCH(O32,'Aub Demand'!A:A,0)),"")</f>
        <v>0</v>
      </c>
      <c r="K32" s="25">
        <f>IFERROR(INDEX('Aub Demand'!S:S,MATCH(O32,'Aub Demand'!A:A,0)),"")</f>
        <v>74</v>
      </c>
      <c r="L32" s="25">
        <f>IFERROR(INDEX('Aub Demand'!R:R,MATCH(O32,'Aub Demand'!A:A,0)),"")</f>
        <v>0</v>
      </c>
      <c r="O32" s="27" t="s">
        <v>112</v>
      </c>
      <c r="P32" s="27" t="str">
        <f>IFERROR(INDEX('Aub Demand'!B:B,MATCH($O32,'Aub Demand'!$A:$A,0)),"")</f>
        <v>BOOMERANG UV OVERLAY</v>
      </c>
      <c r="Q32" s="27" t="str">
        <f>IFERROR(INDEX('Aub Demand'!C:C,MATCH($O32,'Aub Demand'!$A:$A,0)),"")</f>
        <v>INTER</v>
      </c>
      <c r="R32" s="52">
        <f>IFERROR(IF(AR33=AR32,INDEX('Aub Demand'!K:K,MATCH($O32,'Aub Demand'!$A:$A,0))-IF(AN32="",0,AN32)+AP33,INDEX('Aub Demand'!K:K,MATCH($O32,'Aub Demand'!$A:$A,0))-IF(AN32="",0,AN32)),"")</f>
        <v>990</v>
      </c>
      <c r="S32" s="53">
        <f t="shared" si="0"/>
        <v>83.2</v>
      </c>
      <c r="T32" s="52" t="str">
        <f t="shared" si="1"/>
        <v/>
      </c>
      <c r="U32" s="52">
        <f>IFERROR(IF(AR33=AR32,INDEX('Aub Demand'!Q:Q,MATCH($O32,'Aub Demand'!$A:$A,0))-IF(AN32="",0,AN32)+AP33,INDEX('Aub Demand'!Q:Q,MATCH($O32,'Aub Demand'!$A:$A,0))-IF(AN32="",0,AN32)),"")</f>
        <v>922</v>
      </c>
      <c r="V32" s="53">
        <f t="shared" si="2"/>
        <v>77.5</v>
      </c>
      <c r="W32" s="52" t="str">
        <f t="shared" si="3"/>
        <v/>
      </c>
      <c r="X32" s="52">
        <f>IFERROR(IF(AND(AR33=AR32,AM32&lt;&gt;""),INDEX('Aub Demand'!Q:Q,MATCH($O32,'Aub Demand'!$A:$A,0))-IF(AN32="",0,AN32)+AP33+AD32+AL32,IF(AR33=AR32,INDEX('Aub Demand'!Q:Q,MATCH($O32,'Aub Demand'!$A:$A,0))-IF(AN32="",0,AN32)+AP33+AD32,IF(AM32&lt;&gt;"",INDEX('Aub Demand'!Q:Q,MATCH($O32,'Aub Demand'!$A:$A,0))-IF(AN32="",0,AN32)+AD32+AL32,INDEX('Aub Demand'!Q:Q,MATCH($O32,'Aub Demand'!$A:$A,0))-IF(AN32="",0,AN32)+AD32))),"")</f>
        <v>922</v>
      </c>
      <c r="Y32" s="53">
        <f t="shared" si="4"/>
        <v>77.5</v>
      </c>
      <c r="Z32" s="52">
        <f>IF(L32="","",INDEX('Aub Demand'!H:H,MATCH($O32,'Aub Demand'!$A:$A,0)))</f>
        <v>51</v>
      </c>
      <c r="AA32" s="52">
        <f t="shared" si="5"/>
        <v>77</v>
      </c>
      <c r="AB32" s="52">
        <f>IFERROR(INDEX('Aub Demand'!L:L,MATCH($O32,'Aub Demand'!$A:$A,0)),"")</f>
        <v>55</v>
      </c>
      <c r="AC32" s="52">
        <f>IFERROR(IF(O32="","",SUMIFS('CPL Mats'!F:F,'CPL Mats'!Q:Q,AR32,'CPL Mats'!S:S,AS32)),"")</f>
        <v>0</v>
      </c>
      <c r="AF32" s="25" t="str">
        <f>IF(SUMIFS('Supp Consol'!S:S,'Supp Consol'!Y:Y,"Releasable",'Supp Consol'!A:A,O32)=0,"",SUMIFS('Supp Consol'!S:S,'Supp Consol'!Y:Y,"Releasable",'Supp Consol'!A:A,O32))</f>
        <v/>
      </c>
      <c r="AG32" s="25" t="str">
        <f>IFERROR(INDEX('Hun Demand'!Q:Q,MATCH(O32,'Hun Demand'!A:A,0)),"")</f>
        <v/>
      </c>
      <c r="AH32" s="25" t="str">
        <f>IFERROR(INDEX('Hun Demand'!H:H,MATCH($O32,'Hun Demand'!$A:$A,0)),"")</f>
        <v/>
      </c>
      <c r="AI32" s="25" t="str">
        <f>IF(SUMIFS('Supp Consol'!AA:AA,'Supp Consol'!Z:Z,"Expires this month",'Supp Consol'!A:A,O32)=0,"",SUMIFS('Supp Consol'!AA:AA,'Supp Consol'!Z:Z,"Expires this month",'Supp Consol'!A:A,O32))</f>
        <v/>
      </c>
      <c r="AJ32" s="25" t="str">
        <f>IF(SUMIFS('Supp Consol'!AA:AA,'Supp Consol'!Z:Z,"Expired Previous Months",'Supp Consol'!A:A,O32)=0,"",SUMIFS('Supp Consol'!AA:AA,'Supp Consol'!Z:Z,"Expired Previous Months",'Supp Consol'!A:A,O32))</f>
        <v/>
      </c>
      <c r="AK32" s="25" t="str">
        <f>IFERROR(INDEX('Hun Release Current'!B:B,MATCH(O32,'Hun Release Current'!A:A,0)),"")</f>
        <v/>
      </c>
      <c r="AL32" s="25" t="str">
        <f>IF(SUMIF('Prev Aub'!A:A,O32,'Prev Aub'!B:B)=0,"",SUMIF('Prev Aub'!A:A,O32,'Prev Aub'!B:B))</f>
        <v/>
      </c>
      <c r="AN32" s="25" t="s">
        <v>3790</v>
      </c>
      <c r="AO32" s="25" t="s">
        <v>3790</v>
      </c>
      <c r="AP32" s="25">
        <f t="shared" si="6"/>
        <v>0</v>
      </c>
      <c r="AQ32" s="151" t="str">
        <f>IF(SUMIFS('Supp Consol'!S:S,'Supp Consol'!A:A,O32,'Supp Consol'!I:I,"PENDING")=0,"",SUMIFS('Supp Consol'!S:S,'Supp Consol'!A:A,O32,'Supp Consol'!I:I,"PENDING"))</f>
        <v/>
      </c>
      <c r="AR32" s="27" t="str">
        <f t="shared" si="7"/>
        <v>00040</v>
      </c>
      <c r="AS32" s="27" t="str">
        <f t="shared" si="8"/>
        <v>62</v>
      </c>
      <c r="AT32" s="27" t="str">
        <f t="shared" si="9"/>
        <v/>
      </c>
      <c r="AU32" s="27" t="str">
        <f t="shared" si="10"/>
        <v/>
      </c>
      <c r="AV32" s="27" t="str">
        <f t="shared" si="11"/>
        <v/>
      </c>
      <c r="AW32" s="27" t="str">
        <f t="shared" si="12"/>
        <v/>
      </c>
      <c r="AX32" s="27" t="str">
        <f t="shared" si="13"/>
        <v/>
      </c>
      <c r="AY32" s="27" t="str">
        <f t="shared" si="14"/>
        <v/>
      </c>
      <c r="AZ32" s="27" t="str">
        <f t="shared" si="15"/>
        <v/>
      </c>
      <c r="BA32" s="27" t="str">
        <f t="shared" si="16"/>
        <v/>
      </c>
      <c r="BB32" s="27" t="str">
        <f t="shared" si="17"/>
        <v>Gross</v>
      </c>
      <c r="BC32" s="27" t="str">
        <f t="shared" si="18"/>
        <v>Net</v>
      </c>
      <c r="BD32" s="27" t="str">
        <f t="shared" si="19"/>
        <v>Net</v>
      </c>
      <c r="BE32" s="27" t="str">
        <f t="shared" si="20"/>
        <v/>
      </c>
      <c r="BF32" s="27" t="str">
        <f t="shared" si="21"/>
        <v/>
      </c>
      <c r="BG32" s="27" t="str">
        <f t="shared" si="22"/>
        <v/>
      </c>
      <c r="BH32" s="27" t="str">
        <f t="shared" si="23"/>
        <v/>
      </c>
      <c r="BI32" s="27" t="str">
        <f t="shared" si="24"/>
        <v/>
      </c>
      <c r="BJ32" s="27" t="str">
        <f t="shared" si="25"/>
        <v/>
      </c>
      <c r="BK32" s="27" t="str">
        <f t="shared" si="26"/>
        <v/>
      </c>
      <c r="BL32" s="27" t="str">
        <f t="shared" si="27"/>
        <v/>
      </c>
      <c r="BM32" s="21" t="s">
        <v>5581</v>
      </c>
    </row>
    <row r="33" spans="1:65" ht="15">
      <c r="A33" s="25" t="str">
        <f>IFERROR(INDEX('Hun Demand'!W:W,MATCH(O33,'Hun Demand'!A:A,0)),"")</f>
        <v/>
      </c>
      <c r="B33" s="25" t="str">
        <f>IFERROR(INDEX('Hun Demand'!V:V,MATCH(O33,'Hun Demand'!A:A,0)),"")</f>
        <v/>
      </c>
      <c r="C33" s="25" t="str">
        <f>IFERROR(INDEX('Hun Demand'!U:U,MATCH(O33,'Hun Demand'!A:A,0)),"")</f>
        <v/>
      </c>
      <c r="D33" s="25" t="str">
        <f>IFERROR(INDEX('Hun Demand'!T:T,MATCH(O33,'Hun Demand'!A:A,0)),"")</f>
        <v/>
      </c>
      <c r="E33" s="25" t="str">
        <f>IFERROR(INDEX('Hun Demand'!S:S,MATCH(O33,'Hun Demand'!A:A,0)),"")</f>
        <v/>
      </c>
      <c r="F33" s="25" t="str">
        <f>IFERROR(INDEX('Hun Demand'!R:R,MATCH(O33,'Hun Demand'!A:A,0)),"")</f>
        <v/>
      </c>
      <c r="G33" s="25">
        <f>IFERROR(INDEX('Aub Demand'!W:W,MATCH(O33,'Aub Demand'!A:A,0)),"")</f>
        <v>0</v>
      </c>
      <c r="H33" s="25">
        <f>IFERROR(INDEX('Aub Demand'!V:V,MATCH(O33,'Aub Demand'!A:A,0)),"")</f>
        <v>42</v>
      </c>
      <c r="I33" s="25">
        <f>IFERROR(INDEX('Aub Demand'!U:U,MATCH(O33,'Aub Demand'!A:A,0)),"")</f>
        <v>188</v>
      </c>
      <c r="J33" s="25">
        <f>IFERROR(INDEX('Aub Demand'!T:T,MATCH(O33,'Aub Demand'!A:A,0)),"")</f>
        <v>115</v>
      </c>
      <c r="K33" s="25">
        <f>IFERROR(INDEX('Aub Demand'!S:S,MATCH(O33,'Aub Demand'!A:A,0)),"")</f>
        <v>0</v>
      </c>
      <c r="L33" s="25">
        <f>IFERROR(INDEX('Aub Demand'!R:R,MATCH(O33,'Aub Demand'!A:A,0)),"")</f>
        <v>16</v>
      </c>
      <c r="O33" s="27" t="s">
        <v>113</v>
      </c>
      <c r="P33" s="27" t="str">
        <f>IFERROR(INDEX('Aub Demand'!B:B,MATCH($O33,'Aub Demand'!$A:$A,0)),"")</f>
        <v>BARRIER</v>
      </c>
      <c r="Q33" s="27" t="str">
        <f>IFERROR(INDEX('Aub Demand'!C:C,MATCH($O33,'Aub Demand'!$A:$A,0)),"")</f>
        <v>TECHN</v>
      </c>
      <c r="R33" s="52">
        <f>IFERROR(IF(AR34=AR33,INDEX('Aub Demand'!K:K,MATCH($O33,'Aub Demand'!$A:$A,0))-IF(AN33="",0,AN33)+AP34,INDEX('Aub Demand'!K:K,MATCH($O33,'Aub Demand'!$A:$A,0))-IF(AN33="",0,AN33)),"")</f>
        <v>112</v>
      </c>
      <c r="S33" s="53">
        <f t="shared" si="0"/>
        <v>4.8</v>
      </c>
      <c r="T33" s="52" t="str">
        <f t="shared" si="1"/>
        <v/>
      </c>
      <c r="U33" s="52">
        <f>IFERROR(IF(AR34=AR33,INDEX('Aub Demand'!Q:Q,MATCH($O33,'Aub Demand'!$A:$A,0))-IF(AN33="",0,AN33)+AP34,INDEX('Aub Demand'!Q:Q,MATCH($O33,'Aub Demand'!$A:$A,0))-IF(AN33="",0,AN33)),"")</f>
        <v>-184</v>
      </c>
      <c r="V33" s="53">
        <f t="shared" si="2"/>
        <v>-7.8</v>
      </c>
      <c r="W33" s="52">
        <f t="shared" si="3"/>
        <v>409.05</v>
      </c>
      <c r="X33" s="52">
        <f>IFERROR(IF(AND(AR34=AR33,AM33&lt;&gt;""),INDEX('Aub Demand'!Q:Q,MATCH($O33,'Aub Demand'!$A:$A,0))-IF(AN33="",0,AN33)+AP34+AD33+AL33,IF(AR34=AR33,INDEX('Aub Demand'!Q:Q,MATCH($O33,'Aub Demand'!$A:$A,0))-IF(AN33="",0,AN33)+AP34+AD33,IF(AM33&lt;&gt;"",INDEX('Aub Demand'!Q:Q,MATCH($O33,'Aub Demand'!$A:$A,0))-IF(AN33="",0,AN33)+AD33+AL33,INDEX('Aub Demand'!Q:Q,MATCH($O33,'Aub Demand'!$A:$A,0))-IF(AN33="",0,AN33)+AD33))),"")</f>
        <v>-184</v>
      </c>
      <c r="Y33" s="53">
        <f t="shared" si="4"/>
        <v>-7.8</v>
      </c>
      <c r="Z33" s="52">
        <f>IF(L33="","",INDEX('Aub Demand'!H:H,MATCH($O33,'Aub Demand'!$A:$A,0)))</f>
        <v>101</v>
      </c>
      <c r="AA33" s="52">
        <f t="shared" si="5"/>
        <v>151.5</v>
      </c>
      <c r="AB33" s="52">
        <f>IFERROR(INDEX('Aub Demand'!L:L,MATCH($O33,'Aub Demand'!$A:$A,0)),"")</f>
        <v>82</v>
      </c>
      <c r="AC33" s="52">
        <f>IFERROR(IF(O33="","",SUMIFS('CPL Mats'!F:F,'CPL Mats'!Q:Q,AR33,'CPL Mats'!S:S,AS33)),"")</f>
        <v>0</v>
      </c>
      <c r="AF33" s="25" t="str">
        <f>IF(SUMIFS('Supp Consol'!S:S,'Supp Consol'!Y:Y,"Releasable",'Supp Consol'!A:A,O33)=0,"",SUMIFS('Supp Consol'!S:S,'Supp Consol'!Y:Y,"Releasable",'Supp Consol'!A:A,O33))</f>
        <v/>
      </c>
      <c r="AG33" s="25" t="str">
        <f>IFERROR(INDEX('Hun Demand'!Q:Q,MATCH(O33,'Hun Demand'!A:A,0)),"")</f>
        <v/>
      </c>
      <c r="AH33" s="25" t="str">
        <f>IFERROR(INDEX('Hun Demand'!H:H,MATCH($O33,'Hun Demand'!$A:$A,0)),"")</f>
        <v/>
      </c>
      <c r="AI33" s="25" t="str">
        <f>IF(SUMIFS('Supp Consol'!AA:AA,'Supp Consol'!Z:Z,"Expires this month",'Supp Consol'!A:A,O33)=0,"",SUMIFS('Supp Consol'!AA:AA,'Supp Consol'!Z:Z,"Expires this month",'Supp Consol'!A:A,O33))</f>
        <v/>
      </c>
      <c r="AJ33" s="25" t="str">
        <f>IF(SUMIFS('Supp Consol'!AA:AA,'Supp Consol'!Z:Z,"Expired Previous Months",'Supp Consol'!A:A,O33)=0,"",SUMIFS('Supp Consol'!AA:AA,'Supp Consol'!Z:Z,"Expired Previous Months",'Supp Consol'!A:A,O33))</f>
        <v/>
      </c>
      <c r="AK33" s="25" t="str">
        <f>IFERROR(INDEX('Hun Release Current'!B:B,MATCH(O33,'Hun Release Current'!A:A,0)),"")</f>
        <v/>
      </c>
      <c r="AL33" s="25" t="str">
        <f>IF(SUMIF('Prev Aub'!A:A,O33,'Prev Aub'!B:B)=0,"",SUMIF('Prev Aub'!A:A,O33,'Prev Aub'!B:B))</f>
        <v/>
      </c>
      <c r="AN33" s="25" t="s">
        <v>3790</v>
      </c>
      <c r="AO33" s="25" t="s">
        <v>3790</v>
      </c>
      <c r="AP33" s="25">
        <f t="shared" si="6"/>
        <v>0</v>
      </c>
      <c r="AQ33" s="151" t="str">
        <f>IF(SUMIFS('Supp Consol'!S:S,'Supp Consol'!A:A,O33,'Supp Consol'!I:I,"PENDING")=0,"",SUMIFS('Supp Consol'!S:S,'Supp Consol'!A:A,O33,'Supp Consol'!I:I,"PENDING"))</f>
        <v/>
      </c>
      <c r="AR33" s="27" t="str">
        <f t="shared" si="7"/>
        <v>00098</v>
      </c>
      <c r="AS33" s="27" t="str">
        <f t="shared" si="8"/>
        <v>37</v>
      </c>
      <c r="AT33" s="27" t="str">
        <f t="shared" si="9"/>
        <v/>
      </c>
      <c r="AU33" s="27" t="str">
        <f t="shared" si="10"/>
        <v>00098</v>
      </c>
      <c r="AV33" s="27" t="str">
        <f t="shared" si="11"/>
        <v>00098</v>
      </c>
      <c r="AW33" s="27" t="str">
        <f t="shared" si="12"/>
        <v/>
      </c>
      <c r="AX33" s="27" t="str">
        <f t="shared" si="13"/>
        <v/>
      </c>
      <c r="AY33" s="27" t="str">
        <f t="shared" si="14"/>
        <v/>
      </c>
      <c r="AZ33" s="27" t="str">
        <f t="shared" si="15"/>
        <v/>
      </c>
      <c r="BA33" s="27" t="str">
        <f t="shared" si="16"/>
        <v/>
      </c>
      <c r="BB33" s="27" t="str">
        <f t="shared" si="17"/>
        <v/>
      </c>
      <c r="BC33" s="27" t="str">
        <f t="shared" si="18"/>
        <v>Net</v>
      </c>
      <c r="BD33" s="27" t="str">
        <f t="shared" si="19"/>
        <v>Net</v>
      </c>
      <c r="BE33" s="27" t="str">
        <f t="shared" si="20"/>
        <v/>
      </c>
      <c r="BF33" s="27" t="str">
        <f t="shared" si="21"/>
        <v/>
      </c>
      <c r="BG33" s="27" t="str">
        <f t="shared" si="22"/>
        <v/>
      </c>
      <c r="BH33" s="27" t="str">
        <f t="shared" si="23"/>
        <v/>
      </c>
      <c r="BI33" s="27" t="str">
        <f t="shared" si="24"/>
        <v/>
      </c>
      <c r="BJ33" s="27" t="str">
        <f t="shared" si="25"/>
        <v/>
      </c>
      <c r="BK33" s="27" t="str">
        <f t="shared" si="26"/>
        <v/>
      </c>
      <c r="BL33" s="27" t="str">
        <f t="shared" si="27"/>
        <v/>
      </c>
      <c r="BM33" s="21" t="s">
        <v>5581</v>
      </c>
    </row>
    <row r="34" spans="1:65" ht="15">
      <c r="A34" s="25" t="str">
        <f>IFERROR(INDEX('Hun Demand'!W:W,MATCH(O34,'Hun Demand'!A:A,0)),"")</f>
        <v/>
      </c>
      <c r="B34" s="25" t="str">
        <f>IFERROR(INDEX('Hun Demand'!V:V,MATCH(O34,'Hun Demand'!A:A,0)),"")</f>
        <v/>
      </c>
      <c r="C34" s="25" t="str">
        <f>IFERROR(INDEX('Hun Demand'!U:U,MATCH(O34,'Hun Demand'!A:A,0)),"")</f>
        <v/>
      </c>
      <c r="D34" s="25" t="str">
        <f>IFERROR(INDEX('Hun Demand'!T:T,MATCH(O34,'Hun Demand'!A:A,0)),"")</f>
        <v/>
      </c>
      <c r="E34" s="25" t="str">
        <f>IFERROR(INDEX('Hun Demand'!S:S,MATCH(O34,'Hun Demand'!A:A,0)),"")</f>
        <v/>
      </c>
      <c r="F34" s="25" t="str">
        <f>IFERROR(INDEX('Hun Demand'!R:R,MATCH(O34,'Hun Demand'!A:A,0)),"")</f>
        <v/>
      </c>
      <c r="G34" s="25">
        <f>IFERROR(INDEX('Aub Demand'!W:W,MATCH(O34,'Aub Demand'!A:A,0)),"")</f>
        <v>5214</v>
      </c>
      <c r="H34" s="25">
        <f>IFERROR(INDEX('Aub Demand'!V:V,MATCH(O34,'Aub Demand'!A:A,0)),"")</f>
        <v>5354</v>
      </c>
      <c r="I34" s="25">
        <f>IFERROR(INDEX('Aub Demand'!U:U,MATCH(O34,'Aub Demand'!A:A,0)),"")</f>
        <v>3595</v>
      </c>
      <c r="J34" s="25">
        <f>IFERROR(INDEX('Aub Demand'!T:T,MATCH(O34,'Aub Demand'!A:A,0)),"")</f>
        <v>4037</v>
      </c>
      <c r="K34" s="25">
        <f>IFERROR(INDEX('Aub Demand'!S:S,MATCH(O34,'Aub Demand'!A:A,0)),"")</f>
        <v>4879</v>
      </c>
      <c r="L34" s="25">
        <f>IFERROR(INDEX('Aub Demand'!R:R,MATCH(O34,'Aub Demand'!A:A,0)),"")</f>
        <v>0</v>
      </c>
      <c r="O34" s="27" t="s">
        <v>116</v>
      </c>
      <c r="P34" s="27" t="str">
        <f>IFERROR(INDEX('Aub Demand'!B:B,MATCH($O34,'Aub Demand'!$A:$A,0)),"")</f>
        <v>BARRIER</v>
      </c>
      <c r="Q34" s="27" t="str">
        <f>IFERROR(INDEX('Aub Demand'!C:C,MATCH($O34,'Aub Demand'!$A:$A,0)),"")</f>
        <v>TECHN</v>
      </c>
      <c r="R34" s="52">
        <f>IFERROR(IF(AR35=AR34,INDEX('Aub Demand'!K:K,MATCH($O34,'Aub Demand'!$A:$A,0))-IF(AN34="",0,AN34)+AP35,INDEX('Aub Demand'!K:K,MATCH($O34,'Aub Demand'!$A:$A,0))-IF(AN34="",0,AN34)),"")</f>
        <v>14572</v>
      </c>
      <c r="S34" s="53">
        <f t="shared" si="0"/>
        <v>15</v>
      </c>
      <c r="T34" s="52" t="str">
        <f t="shared" si="1"/>
        <v/>
      </c>
      <c r="U34" s="52">
        <f>IFERROR(IF(AR35=AR34,INDEX('Aub Demand'!Q:Q,MATCH($O34,'Aub Demand'!$A:$A,0))-IF(AN34="",0,AN34)+AP35,INDEX('Aub Demand'!Q:Q,MATCH($O34,'Aub Demand'!$A:$A,0))-IF(AN34="",0,AN34)),"")</f>
        <v>8011</v>
      </c>
      <c r="V34" s="53">
        <f t="shared" si="2"/>
        <v>8.1999999999999993</v>
      </c>
      <c r="W34" s="52" t="str">
        <f t="shared" si="3"/>
        <v/>
      </c>
      <c r="X34" s="52">
        <f>IFERROR(IF(AND(AR35=AR34,AM34&lt;&gt;""),INDEX('Aub Demand'!Q:Q,MATCH($O34,'Aub Demand'!$A:$A,0))-IF(AN34="",0,AN34)+AP35+AD34+AL34,IF(AR35=AR34,INDEX('Aub Demand'!Q:Q,MATCH($O34,'Aub Demand'!$A:$A,0))-IF(AN34="",0,AN34)+AP35+AD34,IF(AM34&lt;&gt;"",INDEX('Aub Demand'!Q:Q,MATCH($O34,'Aub Demand'!$A:$A,0))-IF(AN34="",0,AN34)+AD34+AL34,INDEX('Aub Demand'!Q:Q,MATCH($O34,'Aub Demand'!$A:$A,0))-IF(AN34="",0,AN34)+AD34))),"")</f>
        <v>8011</v>
      </c>
      <c r="Y34" s="53">
        <f t="shared" si="4"/>
        <v>8.1999999999999993</v>
      </c>
      <c r="Z34" s="52">
        <f>IF(L34="","",INDEX('Aub Demand'!H:H,MATCH($O34,'Aub Demand'!$A:$A,0)))</f>
        <v>4170</v>
      </c>
      <c r="AA34" s="52">
        <f t="shared" si="5"/>
        <v>4458</v>
      </c>
      <c r="AB34" s="52">
        <f>IFERROR(INDEX('Aub Demand'!L:L,MATCH($O34,'Aub Demand'!$A:$A,0)),"")</f>
        <v>1869</v>
      </c>
      <c r="AC34" s="52">
        <f>IFERROR(IF(O34="","",SUMIFS('CPL Mats'!F:F,'CPL Mats'!Q:Q,AR34,'CPL Mats'!S:S,AS34)),"")</f>
        <v>0</v>
      </c>
      <c r="AF34" s="25" t="str">
        <f>IF(SUMIFS('Supp Consol'!S:S,'Supp Consol'!Y:Y,"Releasable",'Supp Consol'!A:A,O34)=0,"",SUMIFS('Supp Consol'!S:S,'Supp Consol'!Y:Y,"Releasable",'Supp Consol'!A:A,O34))</f>
        <v/>
      </c>
      <c r="AG34" s="25" t="str">
        <f>IFERROR(INDEX('Hun Demand'!Q:Q,MATCH(O34,'Hun Demand'!A:A,0)),"")</f>
        <v/>
      </c>
      <c r="AH34" s="25" t="str">
        <f>IFERROR(INDEX('Hun Demand'!H:H,MATCH($O34,'Hun Demand'!$A:$A,0)),"")</f>
        <v/>
      </c>
      <c r="AI34" s="25" t="str">
        <f>IF(SUMIFS('Supp Consol'!AA:AA,'Supp Consol'!Z:Z,"Expires this month",'Supp Consol'!A:A,O34)=0,"",SUMIFS('Supp Consol'!AA:AA,'Supp Consol'!Z:Z,"Expires this month",'Supp Consol'!A:A,O34))</f>
        <v/>
      </c>
      <c r="AJ34" s="25" t="str">
        <f>IF(SUMIFS('Supp Consol'!AA:AA,'Supp Consol'!Z:Z,"Expired Previous Months",'Supp Consol'!A:A,O34)=0,"",SUMIFS('Supp Consol'!AA:AA,'Supp Consol'!Z:Z,"Expired Previous Months",'Supp Consol'!A:A,O34))</f>
        <v/>
      </c>
      <c r="AK34" s="25" t="str">
        <f>IFERROR(INDEX('Hun Release Current'!B:B,MATCH(O34,'Hun Release Current'!A:A,0)),"")</f>
        <v/>
      </c>
      <c r="AL34" s="25" t="str">
        <f>IF(SUMIF('Prev Aub'!A:A,O34,'Prev Aub'!B:B)=0,"",SUMIF('Prev Aub'!A:A,O34,'Prev Aub'!B:B))</f>
        <v/>
      </c>
      <c r="AN34" s="25" t="s">
        <v>3790</v>
      </c>
      <c r="AO34" s="25" t="s">
        <v>3790</v>
      </c>
      <c r="AP34" s="25">
        <f t="shared" si="6"/>
        <v>0</v>
      </c>
      <c r="AQ34" s="151" t="str">
        <f>IF(SUMIFS('Supp Consol'!S:S,'Supp Consol'!A:A,O34,'Supp Consol'!I:I,"PENDING")=0,"",SUMIFS('Supp Consol'!S:S,'Supp Consol'!A:A,O34,'Supp Consol'!I:I,"PENDING"))</f>
        <v/>
      </c>
      <c r="AR34" s="27" t="str">
        <f t="shared" si="7"/>
        <v>00098</v>
      </c>
      <c r="AS34" s="27" t="str">
        <f t="shared" si="8"/>
        <v>50</v>
      </c>
      <c r="AT34" s="27" t="str">
        <f t="shared" si="9"/>
        <v/>
      </c>
      <c r="AU34" s="27" t="str">
        <f t="shared" si="10"/>
        <v/>
      </c>
      <c r="AV34" s="27" t="str">
        <f t="shared" si="11"/>
        <v/>
      </c>
      <c r="AW34" s="27" t="str">
        <f t="shared" si="12"/>
        <v/>
      </c>
      <c r="AX34" s="27" t="str">
        <f t="shared" si="13"/>
        <v/>
      </c>
      <c r="AY34" s="27" t="str">
        <f t="shared" si="14"/>
        <v/>
      </c>
      <c r="AZ34" s="27" t="str">
        <f t="shared" si="15"/>
        <v/>
      </c>
      <c r="BA34" s="27" t="str">
        <f t="shared" si="16"/>
        <v/>
      </c>
      <c r="BB34" s="27" t="str">
        <f t="shared" si="17"/>
        <v/>
      </c>
      <c r="BC34" s="27" t="str">
        <f t="shared" si="18"/>
        <v>Net</v>
      </c>
      <c r="BD34" s="27" t="str">
        <f t="shared" si="19"/>
        <v>Net</v>
      </c>
      <c r="BE34" s="27" t="str">
        <f t="shared" si="20"/>
        <v/>
      </c>
      <c r="BF34" s="27" t="str">
        <f t="shared" si="21"/>
        <v/>
      </c>
      <c r="BG34" s="27" t="str">
        <f t="shared" si="22"/>
        <v/>
      </c>
      <c r="BH34" s="27" t="str">
        <f t="shared" si="23"/>
        <v/>
      </c>
      <c r="BI34" s="27" t="str">
        <f t="shared" si="24"/>
        <v/>
      </c>
      <c r="BJ34" s="27" t="str">
        <f t="shared" si="25"/>
        <v/>
      </c>
      <c r="BK34" s="27" t="str">
        <f t="shared" si="26"/>
        <v/>
      </c>
      <c r="BL34" s="27" t="str">
        <f t="shared" si="27"/>
        <v/>
      </c>
      <c r="BM34" s="21" t="s">
        <v>5581</v>
      </c>
    </row>
    <row r="35" spans="1:65" ht="15">
      <c r="A35" s="25" t="str">
        <f>IFERROR(INDEX('Hun Demand'!W:W,MATCH(O35,'Hun Demand'!A:A,0)),"")</f>
        <v/>
      </c>
      <c r="B35" s="25" t="str">
        <f>IFERROR(INDEX('Hun Demand'!V:V,MATCH(O35,'Hun Demand'!A:A,0)),"")</f>
        <v/>
      </c>
      <c r="C35" s="25" t="str">
        <f>IFERROR(INDEX('Hun Demand'!U:U,MATCH(O35,'Hun Demand'!A:A,0)),"")</f>
        <v/>
      </c>
      <c r="D35" s="25" t="str">
        <f>IFERROR(INDEX('Hun Demand'!T:T,MATCH(O35,'Hun Demand'!A:A,0)),"")</f>
        <v/>
      </c>
      <c r="E35" s="25" t="str">
        <f>IFERROR(INDEX('Hun Demand'!S:S,MATCH(O35,'Hun Demand'!A:A,0)),"")</f>
        <v/>
      </c>
      <c r="F35" s="25" t="str">
        <f>IFERROR(INDEX('Hun Demand'!R:R,MATCH(O35,'Hun Demand'!A:A,0)),"")</f>
        <v/>
      </c>
      <c r="G35" s="25">
        <f>IFERROR(INDEX('Aub Demand'!W:W,MATCH(O35,'Aub Demand'!A:A,0)),"")</f>
        <v>2399</v>
      </c>
      <c r="H35" s="25">
        <f>IFERROR(INDEX('Aub Demand'!V:V,MATCH(O35,'Aub Demand'!A:A,0)),"")</f>
        <v>2041</v>
      </c>
      <c r="I35" s="25">
        <f>IFERROR(INDEX('Aub Demand'!U:U,MATCH(O35,'Aub Demand'!A:A,0)),"")</f>
        <v>3340</v>
      </c>
      <c r="J35" s="25">
        <f>IFERROR(INDEX('Aub Demand'!T:T,MATCH(O35,'Aub Demand'!A:A,0)),"")</f>
        <v>1778</v>
      </c>
      <c r="K35" s="25">
        <f>IFERROR(INDEX('Aub Demand'!S:S,MATCH(O35,'Aub Demand'!A:A,0)),"")</f>
        <v>2516</v>
      </c>
      <c r="L35" s="25">
        <f>IFERROR(INDEX('Aub Demand'!R:R,MATCH(O35,'Aub Demand'!A:A,0)),"")</f>
        <v>0</v>
      </c>
      <c r="O35" s="27" t="s">
        <v>117</v>
      </c>
      <c r="P35" s="27" t="str">
        <f>IFERROR(INDEX('Aub Demand'!B:B,MATCH($O35,'Aub Demand'!$A:$A,0)),"")</f>
        <v>BARRIER</v>
      </c>
      <c r="Q35" s="27" t="str">
        <f>IFERROR(INDEX('Aub Demand'!C:C,MATCH($O35,'Aub Demand'!$A:$A,0)),"")</f>
        <v>TECHN</v>
      </c>
      <c r="R35" s="52">
        <f>IFERROR(IF(AR36=AR35,INDEX('Aub Demand'!K:K,MATCH($O35,'Aub Demand'!$A:$A,0))-IF(AN35="",0,AN35)+AP36,INDEX('Aub Demand'!K:K,MATCH($O35,'Aub Demand'!$A:$A,0))-IF(AN35="",0,AN35)),"")</f>
        <v>12307</v>
      </c>
      <c r="S35" s="53">
        <f t="shared" si="0"/>
        <v>20.7</v>
      </c>
      <c r="T35" s="52" t="str">
        <f t="shared" si="1"/>
        <v/>
      </c>
      <c r="U35" s="52">
        <f>IFERROR(IF(AR36=AR35,INDEX('Aub Demand'!Q:Q,MATCH($O35,'Aub Demand'!$A:$A,0))-IF(AN35="",0,AN35)+AP36,INDEX('Aub Demand'!Q:Q,MATCH($O35,'Aub Demand'!$A:$A,0))-IF(AN35="",0,AN35)),"")</f>
        <v>10165</v>
      </c>
      <c r="V35" s="53">
        <f t="shared" si="2"/>
        <v>17.100000000000001</v>
      </c>
      <c r="W35" s="52" t="str">
        <f t="shared" si="3"/>
        <v/>
      </c>
      <c r="X35" s="52">
        <f>IFERROR(IF(AND(AR36=AR35,AM35&lt;&gt;""),INDEX('Aub Demand'!Q:Q,MATCH($O35,'Aub Demand'!$A:$A,0))-IF(AN35="",0,AN35)+AP36+AD35+AL35,IF(AR36=AR35,INDEX('Aub Demand'!Q:Q,MATCH($O35,'Aub Demand'!$A:$A,0))-IF(AN35="",0,AN35)+AP36+AD35,IF(AM35&lt;&gt;"",INDEX('Aub Demand'!Q:Q,MATCH($O35,'Aub Demand'!$A:$A,0))-IF(AN35="",0,AN35)+AD35+AL35,INDEX('Aub Demand'!Q:Q,MATCH($O35,'Aub Demand'!$A:$A,0))-IF(AN35="",0,AN35)+AD35))),"")</f>
        <v>10165</v>
      </c>
      <c r="Y35" s="53">
        <f t="shared" si="4"/>
        <v>17.100000000000001</v>
      </c>
      <c r="Z35" s="52">
        <f>IF(L35="","",INDEX('Aub Demand'!H:H,MATCH($O35,'Aub Demand'!$A:$A,0)))</f>
        <v>2545</v>
      </c>
      <c r="AA35" s="52">
        <f t="shared" si="5"/>
        <v>2928</v>
      </c>
      <c r="AB35" s="52">
        <f>IFERROR(INDEX('Aub Demand'!L:L,MATCH($O35,'Aub Demand'!$A:$A,0)),"")</f>
        <v>711</v>
      </c>
      <c r="AC35" s="52">
        <f>IFERROR(IF(O35="","",SUMIFS('CPL Mats'!F:F,'CPL Mats'!Q:Q,AR35,'CPL Mats'!S:S,AS35)),"")</f>
        <v>0</v>
      </c>
      <c r="AF35" s="25" t="str">
        <f>IF(SUMIFS('Supp Consol'!S:S,'Supp Consol'!Y:Y,"Releasable",'Supp Consol'!A:A,O35)=0,"",SUMIFS('Supp Consol'!S:S,'Supp Consol'!Y:Y,"Releasable",'Supp Consol'!A:A,O35))</f>
        <v/>
      </c>
      <c r="AG35" s="25" t="str">
        <f>IFERROR(INDEX('Hun Demand'!Q:Q,MATCH(O35,'Hun Demand'!A:A,0)),"")</f>
        <v/>
      </c>
      <c r="AH35" s="25" t="str">
        <f>IFERROR(INDEX('Hun Demand'!H:H,MATCH($O35,'Hun Demand'!$A:$A,0)),"")</f>
        <v/>
      </c>
      <c r="AI35" s="25" t="str">
        <f>IF(SUMIFS('Supp Consol'!AA:AA,'Supp Consol'!Z:Z,"Expires this month",'Supp Consol'!A:A,O35)=0,"",SUMIFS('Supp Consol'!AA:AA,'Supp Consol'!Z:Z,"Expires this month",'Supp Consol'!A:A,O35))</f>
        <v/>
      </c>
      <c r="AJ35" s="25" t="str">
        <f>IF(SUMIFS('Supp Consol'!AA:AA,'Supp Consol'!Z:Z,"Expired Previous Months",'Supp Consol'!A:A,O35)=0,"",SUMIFS('Supp Consol'!AA:AA,'Supp Consol'!Z:Z,"Expired Previous Months",'Supp Consol'!A:A,O35))</f>
        <v/>
      </c>
      <c r="AK35" s="25" t="str">
        <f>IFERROR(INDEX('Hun Release Current'!B:B,MATCH(O35,'Hun Release Current'!A:A,0)),"")</f>
        <v/>
      </c>
      <c r="AL35" s="25" t="str">
        <f>IF(SUMIF('Prev Aub'!A:A,O35,'Prev Aub'!B:B)=0,"",SUMIF('Prev Aub'!A:A,O35,'Prev Aub'!B:B))</f>
        <v/>
      </c>
      <c r="AN35" s="25" t="s">
        <v>3790</v>
      </c>
      <c r="AO35" s="25" t="s">
        <v>3790</v>
      </c>
      <c r="AP35" s="25">
        <f t="shared" si="6"/>
        <v>0</v>
      </c>
      <c r="AQ35" s="151" t="str">
        <f>IF(SUMIFS('Supp Consol'!S:S,'Supp Consol'!A:A,O35,'Supp Consol'!I:I,"PENDING")=0,"",SUMIFS('Supp Consol'!S:S,'Supp Consol'!A:A,O35,'Supp Consol'!I:I,"PENDING"))</f>
        <v/>
      </c>
      <c r="AR35" s="27" t="str">
        <f t="shared" si="7"/>
        <v>00098</v>
      </c>
      <c r="AS35" s="27" t="str">
        <f t="shared" si="8"/>
        <v>62</v>
      </c>
      <c r="AT35" s="27" t="str">
        <f t="shared" si="9"/>
        <v/>
      </c>
      <c r="AU35" s="27" t="str">
        <f t="shared" si="10"/>
        <v/>
      </c>
      <c r="AV35" s="27" t="str">
        <f t="shared" si="11"/>
        <v/>
      </c>
      <c r="AW35" s="27" t="str">
        <f t="shared" si="12"/>
        <v/>
      </c>
      <c r="AX35" s="27" t="str">
        <f t="shared" si="13"/>
        <v/>
      </c>
      <c r="AY35" s="27" t="str">
        <f t="shared" si="14"/>
        <v/>
      </c>
      <c r="AZ35" s="27" t="str">
        <f t="shared" si="15"/>
        <v/>
      </c>
      <c r="BA35" s="27" t="str">
        <f t="shared" si="16"/>
        <v/>
      </c>
      <c r="BB35" s="27" t="str">
        <f t="shared" si="17"/>
        <v/>
      </c>
      <c r="BC35" s="27" t="str">
        <f t="shared" si="18"/>
        <v>Net</v>
      </c>
      <c r="BD35" s="27" t="str">
        <f t="shared" si="19"/>
        <v>Net</v>
      </c>
      <c r="BE35" s="27" t="str">
        <f t="shared" si="20"/>
        <v/>
      </c>
      <c r="BF35" s="27" t="str">
        <f t="shared" si="21"/>
        <v/>
      </c>
      <c r="BG35" s="27" t="str">
        <f t="shared" si="22"/>
        <v/>
      </c>
      <c r="BH35" s="27" t="str">
        <f t="shared" si="23"/>
        <v/>
      </c>
      <c r="BI35" s="27" t="str">
        <f t="shared" si="24"/>
        <v/>
      </c>
      <c r="BJ35" s="27" t="str">
        <f t="shared" si="25"/>
        <v/>
      </c>
      <c r="BK35" s="27" t="str">
        <f t="shared" si="26"/>
        <v/>
      </c>
      <c r="BL35" s="27" t="str">
        <f t="shared" si="27"/>
        <v/>
      </c>
      <c r="BM35" s="21" t="s">
        <v>5581</v>
      </c>
    </row>
    <row r="36" spans="1:65" ht="15">
      <c r="A36" s="25" t="str">
        <f>IFERROR(INDEX('Hun Demand'!W:W,MATCH(O36,'Hun Demand'!A:A,0)),"")</f>
        <v/>
      </c>
      <c r="B36" s="25" t="str">
        <f>IFERROR(INDEX('Hun Demand'!V:V,MATCH(O36,'Hun Demand'!A:A,0)),"")</f>
        <v/>
      </c>
      <c r="C36" s="25" t="str">
        <f>IFERROR(INDEX('Hun Demand'!U:U,MATCH(O36,'Hun Demand'!A:A,0)),"")</f>
        <v/>
      </c>
      <c r="D36" s="25" t="str">
        <f>IFERROR(INDEX('Hun Demand'!T:T,MATCH(O36,'Hun Demand'!A:A,0)),"")</f>
        <v/>
      </c>
      <c r="E36" s="25" t="str">
        <f>IFERROR(INDEX('Hun Demand'!S:S,MATCH(O36,'Hun Demand'!A:A,0)),"")</f>
        <v/>
      </c>
      <c r="F36" s="25" t="str">
        <f>IFERROR(INDEX('Hun Demand'!R:R,MATCH(O36,'Hun Demand'!A:A,0)),"")</f>
        <v/>
      </c>
      <c r="G36" s="25">
        <f>IFERROR(INDEX('Aub Demand'!W:W,MATCH(O36,'Aub Demand'!A:A,0)),"")</f>
        <v>1004</v>
      </c>
      <c r="H36" s="25">
        <f>IFERROR(INDEX('Aub Demand'!V:V,MATCH(O36,'Aub Demand'!A:A,0)),"")</f>
        <v>319</v>
      </c>
      <c r="I36" s="25">
        <f>IFERROR(INDEX('Aub Demand'!U:U,MATCH(O36,'Aub Demand'!A:A,0)),"")</f>
        <v>640</v>
      </c>
      <c r="J36" s="25">
        <f>IFERROR(INDEX('Aub Demand'!T:T,MATCH(O36,'Aub Demand'!A:A,0)),"")</f>
        <v>0</v>
      </c>
      <c r="K36" s="25">
        <f>IFERROR(INDEX('Aub Demand'!S:S,MATCH(O36,'Aub Demand'!A:A,0)),"")</f>
        <v>0</v>
      </c>
      <c r="L36" s="25">
        <f>IFERROR(INDEX('Aub Demand'!R:R,MATCH(O36,'Aub Demand'!A:A,0)),"")</f>
        <v>0</v>
      </c>
      <c r="O36" s="27" t="s">
        <v>118</v>
      </c>
      <c r="P36" s="27" t="str">
        <f>IFERROR(INDEX('Aub Demand'!B:B,MATCH($O36,'Aub Demand'!$A:$A,0)),"")</f>
        <v>BALANCE SHEET</v>
      </c>
      <c r="Q36" s="27">
        <f>IFERROR(INDEX('Aub Demand'!C:C,MATCH($O36,'Aub Demand'!$A:$A,0)),"")</f>
        <v>0</v>
      </c>
      <c r="R36" s="52">
        <f>IFERROR(IF(AR37=AR36,INDEX('Aub Demand'!K:K,MATCH($O36,'Aub Demand'!$A:$A,0))-IF(AN36="",0,AN36)+AP37,INDEX('Aub Demand'!K:K,MATCH($O36,'Aub Demand'!$A:$A,0))-IF(AN36="",0,AN36)),"")</f>
        <v>0</v>
      </c>
      <c r="S36" s="53">
        <f t="shared" si="0"/>
        <v>0</v>
      </c>
      <c r="T36" s="52" t="str">
        <f t="shared" si="1"/>
        <v/>
      </c>
      <c r="U36" s="52">
        <f>IFERROR(IF(AR37=AR36,INDEX('Aub Demand'!Q:Q,MATCH($O36,'Aub Demand'!$A:$A,0))-IF(AN36="",0,AN36)+AP37,INDEX('Aub Demand'!Q:Q,MATCH($O36,'Aub Demand'!$A:$A,0))-IF(AN36="",0,AN36)),"")</f>
        <v>-30</v>
      </c>
      <c r="V36" s="53">
        <f t="shared" si="2"/>
        <v>-0.6</v>
      </c>
      <c r="W36" s="52" t="str">
        <f t="shared" si="3"/>
        <v/>
      </c>
      <c r="X36" s="52">
        <f>IFERROR(IF(AND(AR37=AR36,AM36&lt;&gt;""),INDEX('Aub Demand'!Q:Q,MATCH($O36,'Aub Demand'!$A:$A,0))-IF(AN36="",0,AN36)+AP37+AD36+AL36,IF(AR37=AR36,INDEX('Aub Demand'!Q:Q,MATCH($O36,'Aub Demand'!$A:$A,0))-IF(AN36="",0,AN36)+AP37+AD36,IF(AM36&lt;&gt;"",INDEX('Aub Demand'!Q:Q,MATCH($O36,'Aub Demand'!$A:$A,0))-IF(AN36="",0,AN36)+AD36+AL36,INDEX('Aub Demand'!Q:Q,MATCH($O36,'Aub Demand'!$A:$A,0))-IF(AN36="",0,AN36)+AD36))),"")</f>
        <v>-30</v>
      </c>
      <c r="Y36" s="53">
        <f t="shared" si="4"/>
        <v>-0.6</v>
      </c>
      <c r="Z36" s="52">
        <f>IF(L36="","",INDEX('Aub Demand'!H:H,MATCH($O36,'Aub Demand'!$A:$A,0)))</f>
        <v>213</v>
      </c>
      <c r="AA36" s="52" t="str">
        <f t="shared" si="5"/>
        <v>-spike-</v>
      </c>
      <c r="AB36" s="52">
        <f>IFERROR(INDEX('Aub Demand'!L:L,MATCH($O36,'Aub Demand'!$A:$A,0)),"")</f>
        <v>396</v>
      </c>
      <c r="AC36" s="52">
        <f>IFERROR(IF(O36="","",SUMIFS('CPL Mats'!F:F,'CPL Mats'!Q:Q,AR36,'CPL Mats'!S:S,AS36)),"")</f>
        <v>0</v>
      </c>
      <c r="AF36" s="25" t="str">
        <f>IF(SUMIFS('Supp Consol'!S:S,'Supp Consol'!Y:Y,"Releasable",'Supp Consol'!A:A,O36)=0,"",SUMIFS('Supp Consol'!S:S,'Supp Consol'!Y:Y,"Releasable",'Supp Consol'!A:A,O36))</f>
        <v/>
      </c>
      <c r="AG36" s="25" t="str">
        <f>IFERROR(INDEX('Hun Demand'!Q:Q,MATCH(O36,'Hun Demand'!A:A,0)),"")</f>
        <v/>
      </c>
      <c r="AH36" s="25" t="str">
        <f>IFERROR(INDEX('Hun Demand'!H:H,MATCH($O36,'Hun Demand'!$A:$A,0)),"")</f>
        <v/>
      </c>
      <c r="AI36" s="25" t="str">
        <f>IF(SUMIFS('Supp Consol'!AA:AA,'Supp Consol'!Z:Z,"Expires this month",'Supp Consol'!A:A,O36)=0,"",SUMIFS('Supp Consol'!AA:AA,'Supp Consol'!Z:Z,"Expires this month",'Supp Consol'!A:A,O36))</f>
        <v/>
      </c>
      <c r="AJ36" s="25" t="str">
        <f>IF(SUMIFS('Supp Consol'!AA:AA,'Supp Consol'!Z:Z,"Expired Previous Months",'Supp Consol'!A:A,O36)=0,"",SUMIFS('Supp Consol'!AA:AA,'Supp Consol'!Z:Z,"Expired Previous Months",'Supp Consol'!A:A,O36))</f>
        <v/>
      </c>
      <c r="AK36" s="25" t="str">
        <f>IFERROR(INDEX('Hun Release Current'!B:B,MATCH(O36,'Hun Release Current'!A:A,0)),"")</f>
        <v/>
      </c>
      <c r="AL36" s="25" t="str">
        <f>IF(SUMIF('Prev Aub'!A:A,O36,'Prev Aub'!B:B)=0,"",SUMIF('Prev Aub'!A:A,O36,'Prev Aub'!B:B))</f>
        <v/>
      </c>
      <c r="AN36" s="25" t="s">
        <v>3790</v>
      </c>
      <c r="AO36" s="25" t="s">
        <v>3790</v>
      </c>
      <c r="AP36" s="25">
        <f t="shared" si="6"/>
        <v>0</v>
      </c>
      <c r="AQ36" s="151" t="str">
        <f>IF(SUMIFS('Supp Consol'!S:S,'Supp Consol'!A:A,O36,'Supp Consol'!I:I,"PENDING")=0,"",SUMIFS('Supp Consol'!S:S,'Supp Consol'!A:A,O36,'Supp Consol'!I:I,"PENDING"))</f>
        <v/>
      </c>
      <c r="AR36" s="27" t="str">
        <f t="shared" si="7"/>
        <v>00099</v>
      </c>
      <c r="AS36" s="27" t="str">
        <f t="shared" si="8"/>
        <v>50</v>
      </c>
      <c r="AT36" s="27" t="str">
        <f t="shared" si="9"/>
        <v>00099</v>
      </c>
      <c r="AU36" s="27" t="str">
        <f t="shared" si="10"/>
        <v>00099</v>
      </c>
      <c r="AV36" s="27" t="str">
        <f t="shared" si="11"/>
        <v>00099</v>
      </c>
      <c r="AW36" s="27" t="str">
        <f t="shared" si="12"/>
        <v/>
      </c>
      <c r="AX36" s="27" t="str">
        <f t="shared" si="13"/>
        <v/>
      </c>
      <c r="AY36" s="27" t="str">
        <f t="shared" si="14"/>
        <v/>
      </c>
      <c r="AZ36" s="27" t="str">
        <f t="shared" si="15"/>
        <v/>
      </c>
      <c r="BA36" s="27" t="str">
        <f t="shared" si="16"/>
        <v/>
      </c>
      <c r="BB36" s="27" t="str">
        <f t="shared" si="17"/>
        <v>Gross</v>
      </c>
      <c r="BC36" s="27" t="str">
        <f t="shared" si="18"/>
        <v>Net</v>
      </c>
      <c r="BD36" s="27" t="str">
        <f t="shared" si="19"/>
        <v>Net</v>
      </c>
      <c r="BE36" s="27" t="str">
        <f t="shared" si="20"/>
        <v/>
      </c>
      <c r="BF36" s="27" t="str">
        <f t="shared" si="21"/>
        <v/>
      </c>
      <c r="BG36" s="27" t="str">
        <f t="shared" si="22"/>
        <v/>
      </c>
      <c r="BH36" s="27" t="str">
        <f t="shared" si="23"/>
        <v/>
      </c>
      <c r="BI36" s="27" t="str">
        <f t="shared" si="24"/>
        <v/>
      </c>
      <c r="BJ36" s="27" t="str">
        <f t="shared" si="25"/>
        <v/>
      </c>
      <c r="BK36" s="27" t="str">
        <f t="shared" si="26"/>
        <v/>
      </c>
      <c r="BL36" s="27" t="str">
        <f t="shared" si="27"/>
        <v/>
      </c>
      <c r="BM36" s="21" t="s">
        <v>3790</v>
      </c>
    </row>
    <row r="37" spans="1:65" ht="15">
      <c r="A37" s="25" t="str">
        <f>IFERROR(INDEX('Hun Demand'!W:W,MATCH(O37,'Hun Demand'!A:A,0)),"")</f>
        <v/>
      </c>
      <c r="B37" s="25" t="str">
        <f>IFERROR(INDEX('Hun Demand'!V:V,MATCH(O37,'Hun Demand'!A:A,0)),"")</f>
        <v/>
      </c>
      <c r="C37" s="25" t="str">
        <f>IFERROR(INDEX('Hun Demand'!U:U,MATCH(O37,'Hun Demand'!A:A,0)),"")</f>
        <v/>
      </c>
      <c r="D37" s="25" t="str">
        <f>IFERROR(INDEX('Hun Demand'!T:T,MATCH(O37,'Hun Demand'!A:A,0)),"")</f>
        <v/>
      </c>
      <c r="E37" s="25" t="str">
        <f>IFERROR(INDEX('Hun Demand'!S:S,MATCH(O37,'Hun Demand'!A:A,0)),"")</f>
        <v/>
      </c>
      <c r="F37" s="25" t="str">
        <f>IFERROR(INDEX('Hun Demand'!R:R,MATCH(O37,'Hun Demand'!A:A,0)),"")</f>
        <v/>
      </c>
      <c r="G37" s="25">
        <f>IFERROR(INDEX('Aub Demand'!W:W,MATCH(O37,'Aub Demand'!A:A,0)),"")</f>
        <v>1495</v>
      </c>
      <c r="H37" s="25">
        <f>IFERROR(INDEX('Aub Demand'!V:V,MATCH(O37,'Aub Demand'!A:A,0)),"")</f>
        <v>0</v>
      </c>
      <c r="I37" s="25">
        <f>IFERROR(INDEX('Aub Demand'!U:U,MATCH(O37,'Aub Demand'!A:A,0)),"")</f>
        <v>0</v>
      </c>
      <c r="J37" s="25">
        <f>IFERROR(INDEX('Aub Demand'!T:T,MATCH(O37,'Aub Demand'!A:A,0)),"")</f>
        <v>0</v>
      </c>
      <c r="K37" s="25">
        <f>IFERROR(INDEX('Aub Demand'!S:S,MATCH(O37,'Aub Demand'!A:A,0)),"")</f>
        <v>0</v>
      </c>
      <c r="L37" s="25">
        <f>IFERROR(INDEX('Aub Demand'!R:R,MATCH(O37,'Aub Demand'!A:A,0)),"")</f>
        <v>0</v>
      </c>
      <c r="O37" s="27" t="s">
        <v>120</v>
      </c>
      <c r="P37" s="27" t="str">
        <f>IFERROR(INDEX('Aub Demand'!B:B,MATCH($O37,'Aub Demand'!$A:$A,0)),"")</f>
        <v>BALANCE SHEET</v>
      </c>
      <c r="Q37" s="27">
        <f>IFERROR(INDEX('Aub Demand'!C:C,MATCH($O37,'Aub Demand'!$A:$A,0)),"")</f>
        <v>0</v>
      </c>
      <c r="R37" s="52">
        <f>IFERROR(IF(AR38=AR37,INDEX('Aub Demand'!K:K,MATCH($O37,'Aub Demand'!$A:$A,0))-IF(AN37="",0,AN37)+AP38,INDEX('Aub Demand'!K:K,MATCH($O37,'Aub Demand'!$A:$A,0))-IF(AN37="",0,AN37)),"")</f>
        <v>0</v>
      </c>
      <c r="S37" s="53" t="str">
        <f t="shared" si="0"/>
        <v>n/a</v>
      </c>
      <c r="T37" s="52" t="str">
        <f t="shared" si="1"/>
        <v/>
      </c>
      <c r="U37" s="52">
        <f>IFERROR(IF(AR38=AR37,INDEX('Aub Demand'!Q:Q,MATCH($O37,'Aub Demand'!$A:$A,0))-IF(AN37="",0,AN37)+AP38,INDEX('Aub Demand'!Q:Q,MATCH($O37,'Aub Demand'!$A:$A,0))-IF(AN37="",0,AN37)),"")</f>
        <v>-601</v>
      </c>
      <c r="V37" s="53" t="str">
        <f t="shared" si="2"/>
        <v>n/a</v>
      </c>
      <c r="W37" s="52" t="str">
        <f t="shared" si="3"/>
        <v/>
      </c>
      <c r="X37" s="52">
        <f>IFERROR(IF(AND(AR38=AR37,AM37&lt;&gt;""),INDEX('Aub Demand'!Q:Q,MATCH($O37,'Aub Demand'!$A:$A,0))-IF(AN37="",0,AN37)+AP38+AD37+AL37,IF(AR38=AR37,INDEX('Aub Demand'!Q:Q,MATCH($O37,'Aub Demand'!$A:$A,0))-IF(AN37="",0,AN37)+AP38+AD37,IF(AM37&lt;&gt;"",INDEX('Aub Demand'!Q:Q,MATCH($O37,'Aub Demand'!$A:$A,0))-IF(AN37="",0,AN37)+AD37+AL37,INDEX('Aub Demand'!Q:Q,MATCH($O37,'Aub Demand'!$A:$A,0))-IF(AN37="",0,AN37)+AD37))),"")</f>
        <v>-601</v>
      </c>
      <c r="Y37" s="53" t="str">
        <f t="shared" si="4"/>
        <v>n/a</v>
      </c>
      <c r="Z37" s="52">
        <f>IF(L37="","",INDEX('Aub Demand'!H:H,MATCH($O37,'Aub Demand'!$A:$A,0)))</f>
        <v>0</v>
      </c>
      <c r="AA37" s="52" t="str">
        <f t="shared" si="5"/>
        <v>-spike-</v>
      </c>
      <c r="AB37" s="52">
        <f>IFERROR(INDEX('Aub Demand'!L:L,MATCH($O37,'Aub Demand'!$A:$A,0)),"")</f>
        <v>22</v>
      </c>
      <c r="AC37" s="52">
        <f>IFERROR(IF(O37="","",SUMIFS('CPL Mats'!F:F,'CPL Mats'!Q:Q,AR37,'CPL Mats'!S:S,AS37)),"")</f>
        <v>0</v>
      </c>
      <c r="AF37" s="25" t="str">
        <f>IF(SUMIFS('Supp Consol'!S:S,'Supp Consol'!Y:Y,"Releasable",'Supp Consol'!A:A,O37)=0,"",SUMIFS('Supp Consol'!S:S,'Supp Consol'!Y:Y,"Releasable",'Supp Consol'!A:A,O37))</f>
        <v/>
      </c>
      <c r="AG37" s="25" t="str">
        <f>IFERROR(INDEX('Hun Demand'!Q:Q,MATCH(O37,'Hun Demand'!A:A,0)),"")</f>
        <v/>
      </c>
      <c r="AH37" s="25" t="str">
        <f>IFERROR(INDEX('Hun Demand'!H:H,MATCH($O37,'Hun Demand'!$A:$A,0)),"")</f>
        <v/>
      </c>
      <c r="AI37" s="25" t="str">
        <f>IF(SUMIFS('Supp Consol'!AA:AA,'Supp Consol'!Z:Z,"Expires this month",'Supp Consol'!A:A,O37)=0,"",SUMIFS('Supp Consol'!AA:AA,'Supp Consol'!Z:Z,"Expires this month",'Supp Consol'!A:A,O37))</f>
        <v/>
      </c>
      <c r="AJ37" s="25" t="str">
        <f>IF(SUMIFS('Supp Consol'!AA:AA,'Supp Consol'!Z:Z,"Expired Previous Months",'Supp Consol'!A:A,O37)=0,"",SUMIFS('Supp Consol'!AA:AA,'Supp Consol'!Z:Z,"Expired Previous Months",'Supp Consol'!A:A,O37))</f>
        <v/>
      </c>
      <c r="AK37" s="25" t="str">
        <f>IFERROR(INDEX('Hun Release Current'!B:B,MATCH(O37,'Hun Release Current'!A:A,0)),"")</f>
        <v/>
      </c>
      <c r="AL37" s="25" t="str">
        <f>IF(SUMIF('Prev Aub'!A:A,O37,'Prev Aub'!B:B)=0,"",SUMIF('Prev Aub'!A:A,O37,'Prev Aub'!B:B))</f>
        <v/>
      </c>
      <c r="AN37" s="25" t="s">
        <v>3790</v>
      </c>
      <c r="AO37" s="25" t="s">
        <v>3790</v>
      </c>
      <c r="AP37" s="25">
        <f t="shared" si="6"/>
        <v>0</v>
      </c>
      <c r="AQ37" s="151" t="str">
        <f>IF(SUMIFS('Supp Consol'!S:S,'Supp Consol'!A:A,O37,'Supp Consol'!I:I,"PENDING")=0,"",SUMIFS('Supp Consol'!S:S,'Supp Consol'!A:A,O37,'Supp Consol'!I:I,"PENDING"))</f>
        <v/>
      </c>
      <c r="AR37" s="27" t="str">
        <f t="shared" si="7"/>
        <v>00099</v>
      </c>
      <c r="AS37" s="27" t="str">
        <f t="shared" si="8"/>
        <v>62</v>
      </c>
      <c r="AT37" s="27" t="str">
        <f t="shared" si="9"/>
        <v/>
      </c>
      <c r="AU37" s="27" t="str">
        <f t="shared" si="10"/>
        <v/>
      </c>
      <c r="AV37" s="27" t="str">
        <f t="shared" si="11"/>
        <v/>
      </c>
      <c r="AW37" s="27" t="str">
        <f t="shared" si="12"/>
        <v/>
      </c>
      <c r="AX37" s="27" t="str">
        <f t="shared" si="13"/>
        <v/>
      </c>
      <c r="AY37" s="27" t="str">
        <f t="shared" si="14"/>
        <v/>
      </c>
      <c r="AZ37" s="27" t="str">
        <f t="shared" si="15"/>
        <v/>
      </c>
      <c r="BA37" s="27" t="str">
        <f t="shared" si="16"/>
        <v/>
      </c>
      <c r="BB37" s="27" t="str">
        <f t="shared" si="17"/>
        <v>Gross</v>
      </c>
      <c r="BC37" s="27" t="str">
        <f t="shared" si="18"/>
        <v>Net</v>
      </c>
      <c r="BD37" s="27" t="str">
        <f t="shared" si="19"/>
        <v>Net</v>
      </c>
      <c r="BE37" s="27" t="str">
        <f t="shared" si="20"/>
        <v/>
      </c>
      <c r="BF37" s="27" t="str">
        <f t="shared" si="21"/>
        <v/>
      </c>
      <c r="BG37" s="27" t="str">
        <f t="shared" si="22"/>
        <v/>
      </c>
      <c r="BH37" s="27" t="str">
        <f t="shared" si="23"/>
        <v/>
      </c>
      <c r="BI37" s="27" t="str">
        <f t="shared" si="24"/>
        <v/>
      </c>
      <c r="BJ37" s="27" t="str">
        <f t="shared" si="25"/>
        <v/>
      </c>
      <c r="BK37" s="27" t="str">
        <f t="shared" si="26"/>
        <v/>
      </c>
      <c r="BL37" s="27" t="str">
        <f t="shared" si="27"/>
        <v/>
      </c>
      <c r="BM37" s="21" t="s">
        <v>3790</v>
      </c>
    </row>
    <row r="38" spans="1:65" ht="60">
      <c r="A38" s="25" t="str">
        <f>IFERROR(INDEX('Hun Demand'!W:W,MATCH(O38,'Hun Demand'!A:A,0)),"")</f>
        <v/>
      </c>
      <c r="B38" s="25" t="str">
        <f>IFERROR(INDEX('Hun Demand'!V:V,MATCH(O38,'Hun Demand'!A:A,0)),"")</f>
        <v/>
      </c>
      <c r="C38" s="25" t="str">
        <f>IFERROR(INDEX('Hun Demand'!U:U,MATCH(O38,'Hun Demand'!A:A,0)),"")</f>
        <v/>
      </c>
      <c r="D38" s="25" t="str">
        <f>IFERROR(INDEX('Hun Demand'!T:T,MATCH(O38,'Hun Demand'!A:A,0)),"")</f>
        <v/>
      </c>
      <c r="E38" s="25" t="str">
        <f>IFERROR(INDEX('Hun Demand'!S:S,MATCH(O38,'Hun Demand'!A:A,0)),"")</f>
        <v/>
      </c>
      <c r="F38" s="25" t="str">
        <f>IFERROR(INDEX('Hun Demand'!R:R,MATCH(O38,'Hun Demand'!A:A,0)),"")</f>
        <v/>
      </c>
      <c r="G38" s="25">
        <f>IFERROR(INDEX('Aub Demand'!W:W,MATCH(O38,'Aub Demand'!A:A,0)),"")</f>
        <v>163</v>
      </c>
      <c r="H38" s="25">
        <f>IFERROR(INDEX('Aub Demand'!V:V,MATCH(O38,'Aub Demand'!A:A,0)),"")</f>
        <v>1278</v>
      </c>
      <c r="I38" s="25">
        <f>IFERROR(INDEX('Aub Demand'!U:U,MATCH(O38,'Aub Demand'!A:A,0)),"")</f>
        <v>1414</v>
      </c>
      <c r="J38" s="25">
        <f>IFERROR(INDEX('Aub Demand'!T:T,MATCH(O38,'Aub Demand'!A:A,0)),"")</f>
        <v>2035</v>
      </c>
      <c r="K38" s="25">
        <f>IFERROR(INDEX('Aub Demand'!S:S,MATCH(O38,'Aub Demand'!A:A,0)),"")</f>
        <v>2558</v>
      </c>
      <c r="L38" s="25">
        <f>IFERROR(INDEX('Aub Demand'!R:R,MATCH(O38,'Aub Demand'!A:A,0)),"")</f>
        <v>0</v>
      </c>
      <c r="O38" s="27" t="s">
        <v>121</v>
      </c>
      <c r="P38" s="27" t="str">
        <f>IFERROR(INDEX('Aub Demand'!B:B,MATCH($O38,'Aub Demand'!$A:$A,0)),"")</f>
        <v>CARNATION-CORE</v>
      </c>
      <c r="Q38" s="27" t="str">
        <f>IFERROR(INDEX('Aub Demand'!C:C,MATCH($O38,'Aub Demand'!$A:$A,0)),"")</f>
        <v>TECHN</v>
      </c>
      <c r="R38" s="52">
        <f>IFERROR(IF(AR39=AR38,INDEX('Aub Demand'!K:K,MATCH($O38,'Aub Demand'!$A:$A,0))-IF(AN38="",0,AN38)+AP39,INDEX('Aub Demand'!K:K,MATCH($O38,'Aub Demand'!$A:$A,0))-IF(AN38="",0,AN38)),"")</f>
        <v>15663</v>
      </c>
      <c r="S38" s="53">
        <f t="shared" si="0"/>
        <v>33.5</v>
      </c>
      <c r="T38" s="52" t="str">
        <f t="shared" si="1"/>
        <v/>
      </c>
      <c r="U38" s="52">
        <f>IFERROR(IF(AR39=AR38,INDEX('Aub Demand'!Q:Q,MATCH($O38,'Aub Demand'!$A:$A,0))-IF(AN38="",0,AN38)+AP39,INDEX('Aub Demand'!Q:Q,MATCH($O38,'Aub Demand'!$A:$A,0))-IF(AN38="",0,AN38)),"")</f>
        <v>14652</v>
      </c>
      <c r="V38" s="53">
        <f t="shared" si="2"/>
        <v>31.4</v>
      </c>
      <c r="W38" s="52" t="str">
        <f t="shared" si="3"/>
        <v/>
      </c>
      <c r="X38" s="52">
        <f>IFERROR(IF(AND(AR39=AR38,AM38&lt;&gt;""),INDEX('Aub Demand'!Q:Q,MATCH($O38,'Aub Demand'!$A:$A,0))-IF(AN38="",0,AN38)+AP39+AD38+AL38,IF(AR39=AR38,INDEX('Aub Demand'!Q:Q,MATCH($O38,'Aub Demand'!$A:$A,0))-IF(AN38="",0,AN38)+AP39+AD38,IF(AM38&lt;&gt;"",INDEX('Aub Demand'!Q:Q,MATCH($O38,'Aub Demand'!$A:$A,0))-IF(AN38="",0,AN38)+AD38+AL38,INDEX('Aub Demand'!Q:Q,MATCH($O38,'Aub Demand'!$A:$A,0))-IF(AN38="",0,AN38)+AD38))),"")</f>
        <v>14652</v>
      </c>
      <c r="Y38" s="53">
        <f t="shared" si="4"/>
        <v>31.4</v>
      </c>
      <c r="Z38" s="52">
        <f>IF(L38="","",INDEX('Aub Demand'!H:H,MATCH($O38,'Aub Demand'!$A:$A,0)))</f>
        <v>2002</v>
      </c>
      <c r="AA38" s="52">
        <f t="shared" si="5"/>
        <v>2296.5</v>
      </c>
      <c r="AB38" s="52">
        <f>IFERROR(INDEX('Aub Demand'!L:L,MATCH($O38,'Aub Demand'!$A:$A,0)),"")</f>
        <v>1951</v>
      </c>
      <c r="AC38" s="52">
        <f>IFERROR(IF(O38="","",SUMIFS('CPL Mats'!F:F,'CPL Mats'!Q:Q,AR38,'CPL Mats'!S:S,AS38)),"")</f>
        <v>0</v>
      </c>
      <c r="AF38" s="25" t="str">
        <f>IF(SUMIFS('Supp Consol'!S:S,'Supp Consol'!Y:Y,"Releasable",'Supp Consol'!A:A,O38)=0,"",SUMIFS('Supp Consol'!S:S,'Supp Consol'!Y:Y,"Releasable",'Supp Consol'!A:A,O38))</f>
        <v/>
      </c>
      <c r="AG38" s="25" t="str">
        <f>IFERROR(INDEX('Hun Demand'!Q:Q,MATCH(O38,'Hun Demand'!A:A,0)),"")</f>
        <v/>
      </c>
      <c r="AH38" s="25" t="str">
        <f>IFERROR(INDEX('Hun Demand'!H:H,MATCH($O38,'Hun Demand'!$A:$A,0)),"")</f>
        <v/>
      </c>
      <c r="AI38" s="25" t="str">
        <f>IF(SUMIFS('Supp Consol'!AA:AA,'Supp Consol'!Z:Z,"Expires this month",'Supp Consol'!A:A,O38)=0,"",SUMIFS('Supp Consol'!AA:AA,'Supp Consol'!Z:Z,"Expires this month",'Supp Consol'!A:A,O38))</f>
        <v/>
      </c>
      <c r="AJ38" s="25" t="str">
        <f>IF(SUMIFS('Supp Consol'!AA:AA,'Supp Consol'!Z:Z,"Expired Previous Months",'Supp Consol'!A:A,O38)=0,"",SUMIFS('Supp Consol'!AA:AA,'Supp Consol'!Z:Z,"Expired Previous Months",'Supp Consol'!A:A,O38))</f>
        <v/>
      </c>
      <c r="AK38" s="25" t="str">
        <f>IFERROR(INDEX('Hun Release Current'!B:B,MATCH(O38,'Hun Release Current'!A:A,0)),"")</f>
        <v/>
      </c>
      <c r="AL38" s="25" t="str">
        <f>IF(SUMIF('Prev Aub'!A:A,O38,'Prev Aub'!B:B)=0,"",SUMIF('Prev Aub'!A:A,O38,'Prev Aub'!B:B))</f>
        <v/>
      </c>
      <c r="AN38" s="25" t="s">
        <v>3790</v>
      </c>
      <c r="AO38" s="25" t="s">
        <v>3790</v>
      </c>
      <c r="AP38" s="25">
        <f t="shared" si="6"/>
        <v>0</v>
      </c>
      <c r="AQ38" s="151" t="str">
        <f>IF(SUMIFS('Supp Consol'!S:S,'Supp Consol'!A:A,O38,'Supp Consol'!I:I,"PENDING")=0,"",SUMIFS('Supp Consol'!S:S,'Supp Consol'!A:A,O38,'Supp Consol'!I:I,"PENDING"))</f>
        <v/>
      </c>
      <c r="AR38" s="27" t="str">
        <f t="shared" si="7"/>
        <v>000C2</v>
      </c>
      <c r="AS38" s="27" t="str">
        <f t="shared" si="8"/>
        <v>50</v>
      </c>
      <c r="AT38" s="27" t="str">
        <f t="shared" si="9"/>
        <v/>
      </c>
      <c r="AU38" s="27" t="str">
        <f t="shared" si="10"/>
        <v/>
      </c>
      <c r="AV38" s="27" t="str">
        <f t="shared" si="11"/>
        <v/>
      </c>
      <c r="AW38" s="27" t="str">
        <f t="shared" si="12"/>
        <v/>
      </c>
      <c r="AX38" s="27" t="str">
        <f t="shared" si="13"/>
        <v/>
      </c>
      <c r="AY38" s="27" t="str">
        <f t="shared" si="14"/>
        <v/>
      </c>
      <c r="AZ38" s="27" t="str">
        <f t="shared" si="15"/>
        <v/>
      </c>
      <c r="BA38" s="27" t="str">
        <f t="shared" si="16"/>
        <v/>
      </c>
      <c r="BB38" s="27" t="str">
        <f t="shared" si="17"/>
        <v/>
      </c>
      <c r="BC38" s="27" t="str">
        <f t="shared" si="18"/>
        <v/>
      </c>
      <c r="BD38" s="27" t="str">
        <f t="shared" si="19"/>
        <v/>
      </c>
      <c r="BE38" s="27" t="str">
        <f t="shared" si="20"/>
        <v/>
      </c>
      <c r="BF38" s="27" t="str">
        <f t="shared" si="21"/>
        <v/>
      </c>
      <c r="BG38" s="27" t="str">
        <f t="shared" si="22"/>
        <v/>
      </c>
      <c r="BH38" s="27" t="str">
        <f t="shared" si="23"/>
        <v/>
      </c>
      <c r="BI38" s="27" t="str">
        <f t="shared" si="24"/>
        <v/>
      </c>
      <c r="BJ38" s="27" t="str">
        <f t="shared" si="25"/>
        <v/>
      </c>
      <c r="BK38" s="27" t="str">
        <f t="shared" si="26"/>
        <v/>
      </c>
      <c r="BL38" s="27" t="str">
        <f t="shared" si="27"/>
        <v/>
      </c>
      <c r="BM38" s="21" t="s">
        <v>5584</v>
      </c>
    </row>
    <row r="39" spans="1:65" ht="60">
      <c r="A39" s="25" t="str">
        <f>IFERROR(INDEX('Hun Demand'!W:W,MATCH(O39,'Hun Demand'!A:A,0)),"")</f>
        <v/>
      </c>
      <c r="B39" s="25" t="str">
        <f>IFERROR(INDEX('Hun Demand'!V:V,MATCH(O39,'Hun Demand'!A:A,0)),"")</f>
        <v/>
      </c>
      <c r="C39" s="25" t="str">
        <f>IFERROR(INDEX('Hun Demand'!U:U,MATCH(O39,'Hun Demand'!A:A,0)),"")</f>
        <v/>
      </c>
      <c r="D39" s="25" t="str">
        <f>IFERROR(INDEX('Hun Demand'!T:T,MATCH(O39,'Hun Demand'!A:A,0)),"")</f>
        <v/>
      </c>
      <c r="E39" s="25" t="str">
        <f>IFERROR(INDEX('Hun Demand'!S:S,MATCH(O39,'Hun Demand'!A:A,0)),"")</f>
        <v/>
      </c>
      <c r="F39" s="25" t="str">
        <f>IFERROR(INDEX('Hun Demand'!R:R,MATCH(O39,'Hun Demand'!A:A,0)),"")</f>
        <v/>
      </c>
      <c r="G39" s="25">
        <f>IFERROR(INDEX('Aub Demand'!W:W,MATCH(O39,'Aub Demand'!A:A,0)),"")</f>
        <v>2046</v>
      </c>
      <c r="H39" s="25">
        <f>IFERROR(INDEX('Aub Demand'!V:V,MATCH(O39,'Aub Demand'!A:A,0)),"")</f>
        <v>845</v>
      </c>
      <c r="I39" s="25">
        <f>IFERROR(INDEX('Aub Demand'!U:U,MATCH(O39,'Aub Demand'!A:A,0)),"")</f>
        <v>1677</v>
      </c>
      <c r="J39" s="25">
        <f>IFERROR(INDEX('Aub Demand'!T:T,MATCH(O39,'Aub Demand'!A:A,0)),"")</f>
        <v>0</v>
      </c>
      <c r="K39" s="25">
        <f>IFERROR(INDEX('Aub Demand'!S:S,MATCH(O39,'Aub Demand'!A:A,0)),"")</f>
        <v>0</v>
      </c>
      <c r="L39" s="25">
        <f>IFERROR(INDEX('Aub Demand'!R:R,MATCH(O39,'Aub Demand'!A:A,0)),"")</f>
        <v>0</v>
      </c>
      <c r="O39" s="27" t="s">
        <v>123</v>
      </c>
      <c r="P39" s="27" t="str">
        <f>IFERROR(INDEX('Aub Demand'!B:B,MATCH($O39,'Aub Demand'!$A:$A,0)),"")</f>
        <v>CARNATION-CORE</v>
      </c>
      <c r="Q39" s="27" t="str">
        <f>IFERROR(INDEX('Aub Demand'!C:C,MATCH($O39,'Aub Demand'!$A:$A,0)),"")</f>
        <v>TECHN</v>
      </c>
      <c r="R39" s="52">
        <f>IFERROR(IF(AR40=AR39,INDEX('Aub Demand'!K:K,MATCH($O39,'Aub Demand'!$A:$A,0))-IF(AN39="",0,AN39)+AP40,INDEX('Aub Demand'!K:K,MATCH($O39,'Aub Demand'!$A:$A,0))-IF(AN39="",0,AN39)),"")</f>
        <v>12686</v>
      </c>
      <c r="S39" s="53">
        <f t="shared" si="0"/>
        <v>97.3</v>
      </c>
      <c r="T39" s="52" t="str">
        <f t="shared" si="1"/>
        <v/>
      </c>
      <c r="U39" s="52">
        <f>IFERROR(IF(AR40=AR39,INDEX('Aub Demand'!Q:Q,MATCH($O39,'Aub Demand'!$A:$A,0))-IF(AN39="",0,AN39)+AP40,INDEX('Aub Demand'!Q:Q,MATCH($O39,'Aub Demand'!$A:$A,0))-IF(AN39="",0,AN39)),"")</f>
        <v>11767</v>
      </c>
      <c r="V39" s="53">
        <f t="shared" si="2"/>
        <v>90.2</v>
      </c>
      <c r="W39" s="52" t="str">
        <f t="shared" si="3"/>
        <v/>
      </c>
      <c r="X39" s="52">
        <f>IFERROR(IF(AND(AR40=AR39,AM39&lt;&gt;""),INDEX('Aub Demand'!Q:Q,MATCH($O39,'Aub Demand'!$A:$A,0))-IF(AN39="",0,AN39)+AP40+AD39+AL39,IF(AR40=AR39,INDEX('Aub Demand'!Q:Q,MATCH($O39,'Aub Demand'!$A:$A,0))-IF(AN39="",0,AN39)+AP40+AD39,IF(AM39&lt;&gt;"",INDEX('Aub Demand'!Q:Q,MATCH($O39,'Aub Demand'!$A:$A,0))-IF(AN39="",0,AN39)+AD39+AL39,INDEX('Aub Demand'!Q:Q,MATCH($O39,'Aub Demand'!$A:$A,0))-IF(AN39="",0,AN39)+AD39))),"")</f>
        <v>11767</v>
      </c>
      <c r="Y39" s="53">
        <f t="shared" si="4"/>
        <v>90.2</v>
      </c>
      <c r="Z39" s="52">
        <f>IF(L39="","",INDEX('Aub Demand'!H:H,MATCH($O39,'Aub Demand'!$A:$A,0)))</f>
        <v>559</v>
      </c>
      <c r="AA39" s="52" t="str">
        <f t="shared" si="5"/>
        <v>-spike-</v>
      </c>
      <c r="AB39" s="52">
        <f>IFERROR(INDEX('Aub Demand'!L:L,MATCH($O39,'Aub Demand'!$A:$A,0)),"")</f>
        <v>1291</v>
      </c>
      <c r="AC39" s="52">
        <f>IFERROR(IF(O39="","",SUMIFS('CPL Mats'!F:F,'CPL Mats'!Q:Q,AR39,'CPL Mats'!S:S,AS39)),"")</f>
        <v>0</v>
      </c>
      <c r="AF39" s="25" t="str">
        <f>IF(SUMIFS('Supp Consol'!S:S,'Supp Consol'!Y:Y,"Releasable",'Supp Consol'!A:A,O39)=0,"",SUMIFS('Supp Consol'!S:S,'Supp Consol'!Y:Y,"Releasable",'Supp Consol'!A:A,O39))</f>
        <v/>
      </c>
      <c r="AG39" s="25" t="str">
        <f>IFERROR(INDEX('Hun Demand'!Q:Q,MATCH(O39,'Hun Demand'!A:A,0)),"")</f>
        <v/>
      </c>
      <c r="AH39" s="25" t="str">
        <f>IFERROR(INDEX('Hun Demand'!H:H,MATCH($O39,'Hun Demand'!$A:$A,0)),"")</f>
        <v/>
      </c>
      <c r="AI39" s="25" t="str">
        <f>IF(SUMIFS('Supp Consol'!AA:AA,'Supp Consol'!Z:Z,"Expires this month",'Supp Consol'!A:A,O39)=0,"",SUMIFS('Supp Consol'!AA:AA,'Supp Consol'!Z:Z,"Expires this month",'Supp Consol'!A:A,O39))</f>
        <v/>
      </c>
      <c r="AJ39" s="25" t="str">
        <f>IF(SUMIFS('Supp Consol'!AA:AA,'Supp Consol'!Z:Z,"Expired Previous Months",'Supp Consol'!A:A,O39)=0,"",SUMIFS('Supp Consol'!AA:AA,'Supp Consol'!Z:Z,"Expired Previous Months",'Supp Consol'!A:A,O39))</f>
        <v/>
      </c>
      <c r="AK39" s="25" t="str">
        <f>IFERROR(INDEX('Hun Release Current'!B:B,MATCH(O39,'Hun Release Current'!A:A,0)),"")</f>
        <v/>
      </c>
      <c r="AL39" s="25" t="str">
        <f>IF(SUMIF('Prev Aub'!A:A,O39,'Prev Aub'!B:B)=0,"",SUMIF('Prev Aub'!A:A,O39,'Prev Aub'!B:B))</f>
        <v/>
      </c>
      <c r="AN39" s="25" t="s">
        <v>3790</v>
      </c>
      <c r="AO39" s="25" t="s">
        <v>3790</v>
      </c>
      <c r="AP39" s="25">
        <f t="shared" si="6"/>
        <v>0</v>
      </c>
      <c r="AQ39" s="151" t="str">
        <f>IF(SUMIFS('Supp Consol'!S:S,'Supp Consol'!A:A,O39,'Supp Consol'!I:I,"PENDING")=0,"",SUMIFS('Supp Consol'!S:S,'Supp Consol'!A:A,O39,'Supp Consol'!I:I,"PENDING"))</f>
        <v/>
      </c>
      <c r="AR39" s="27" t="str">
        <f t="shared" si="7"/>
        <v>000C2</v>
      </c>
      <c r="AS39" s="27" t="str">
        <f t="shared" si="8"/>
        <v>62</v>
      </c>
      <c r="AT39" s="27" t="str">
        <f t="shared" si="9"/>
        <v/>
      </c>
      <c r="AU39" s="27" t="str">
        <f t="shared" si="10"/>
        <v/>
      </c>
      <c r="AV39" s="27" t="str">
        <f t="shared" si="11"/>
        <v/>
      </c>
      <c r="AW39" s="27" t="str">
        <f t="shared" si="12"/>
        <v/>
      </c>
      <c r="AX39" s="27" t="str">
        <f t="shared" si="13"/>
        <v/>
      </c>
      <c r="AY39" s="27" t="str">
        <f t="shared" si="14"/>
        <v/>
      </c>
      <c r="AZ39" s="27" t="str">
        <f t="shared" si="15"/>
        <v/>
      </c>
      <c r="BA39" s="27" t="str">
        <f t="shared" si="16"/>
        <v/>
      </c>
      <c r="BB39" s="27" t="str">
        <f t="shared" si="17"/>
        <v/>
      </c>
      <c r="BC39" s="27" t="str">
        <f t="shared" si="18"/>
        <v/>
      </c>
      <c r="BD39" s="27" t="str">
        <f t="shared" si="19"/>
        <v/>
      </c>
      <c r="BE39" s="27" t="str">
        <f t="shared" si="20"/>
        <v/>
      </c>
      <c r="BF39" s="27" t="str">
        <f t="shared" si="21"/>
        <v/>
      </c>
      <c r="BG39" s="27" t="str">
        <f t="shared" si="22"/>
        <v/>
      </c>
      <c r="BH39" s="27" t="str">
        <f t="shared" si="23"/>
        <v/>
      </c>
      <c r="BI39" s="27" t="str">
        <f t="shared" si="24"/>
        <v/>
      </c>
      <c r="BJ39" s="27" t="str">
        <f t="shared" si="25"/>
        <v/>
      </c>
      <c r="BK39" s="27" t="str">
        <f t="shared" si="26"/>
        <v/>
      </c>
      <c r="BL39" s="27" t="str">
        <f t="shared" si="27"/>
        <v/>
      </c>
      <c r="BM39" s="21" t="s">
        <v>5584</v>
      </c>
    </row>
    <row r="40" spans="1:65" ht="15">
      <c r="A40" s="25" t="str">
        <f>IFERROR(INDEX('Hun Demand'!W:W,MATCH(O40,'Hun Demand'!A:A,0)),"")</f>
        <v/>
      </c>
      <c r="B40" s="25" t="str">
        <f>IFERROR(INDEX('Hun Demand'!V:V,MATCH(O40,'Hun Demand'!A:A,0)),"")</f>
        <v/>
      </c>
      <c r="C40" s="25" t="str">
        <f>IFERROR(INDEX('Hun Demand'!U:U,MATCH(O40,'Hun Demand'!A:A,0)),"")</f>
        <v/>
      </c>
      <c r="D40" s="25" t="str">
        <f>IFERROR(INDEX('Hun Demand'!T:T,MATCH(O40,'Hun Demand'!A:A,0)),"")</f>
        <v/>
      </c>
      <c r="E40" s="25" t="str">
        <f>IFERROR(INDEX('Hun Demand'!S:S,MATCH(O40,'Hun Demand'!A:A,0)),"")</f>
        <v/>
      </c>
      <c r="F40" s="25" t="str">
        <f>IFERROR(INDEX('Hun Demand'!R:R,MATCH(O40,'Hun Demand'!A:A,0)),"")</f>
        <v/>
      </c>
      <c r="G40" s="25">
        <f>IFERROR(INDEX('Aub Demand'!W:W,MATCH(O40,'Aub Demand'!A:A,0)),"")</f>
        <v>0</v>
      </c>
      <c r="H40" s="25">
        <f>IFERROR(INDEX('Aub Demand'!V:V,MATCH(O40,'Aub Demand'!A:A,0)),"")</f>
        <v>0</v>
      </c>
      <c r="I40" s="25">
        <f>IFERROR(INDEX('Aub Demand'!U:U,MATCH(O40,'Aub Demand'!A:A,0)),"")</f>
        <v>0</v>
      </c>
      <c r="J40" s="25">
        <f>IFERROR(INDEX('Aub Demand'!T:T,MATCH(O40,'Aub Demand'!A:A,0)),"")</f>
        <v>0</v>
      </c>
      <c r="K40" s="25">
        <f>IFERROR(INDEX('Aub Demand'!S:S,MATCH(O40,'Aub Demand'!A:A,0)),"")</f>
        <v>0</v>
      </c>
      <c r="L40" s="25">
        <f>IFERROR(INDEX('Aub Demand'!R:R,MATCH(O40,'Aub Demand'!A:A,0)),"")</f>
        <v>0</v>
      </c>
      <c r="O40" s="27" t="s">
        <v>124</v>
      </c>
      <c r="P40" s="27" t="str">
        <f>IFERROR(INDEX('Aub Demand'!B:B,MATCH($O40,'Aub Demand'!$A:$A,0)),"")</f>
        <v>ALMOND-CORE</v>
      </c>
      <c r="Q40" s="27" t="str">
        <f>IFERROR(INDEX('Aub Demand'!C:C,MATCH($O40,'Aub Demand'!$A:$A,0)),"")</f>
        <v>ONYX</v>
      </c>
      <c r="R40" s="52">
        <f>IFERROR(IF(AR41=AR40,INDEX('Aub Demand'!K:K,MATCH($O40,'Aub Demand'!$A:$A,0))-IF(AN40="",0,AN40)+AP41,INDEX('Aub Demand'!K:K,MATCH($O40,'Aub Demand'!$A:$A,0))-IF(AN40="",0,AN40)),"")</f>
        <v>250</v>
      </c>
      <c r="S40" s="53" t="str">
        <f t="shared" si="0"/>
        <v>n/a</v>
      </c>
      <c r="T40" s="52" t="str">
        <f t="shared" si="1"/>
        <v/>
      </c>
      <c r="U40" s="52">
        <f>IFERROR(IF(AR41=AR40,INDEX('Aub Demand'!Q:Q,MATCH($O40,'Aub Demand'!$A:$A,0))-IF(AN40="",0,AN40)+AP41,INDEX('Aub Demand'!Q:Q,MATCH($O40,'Aub Demand'!$A:$A,0))-IF(AN40="",0,AN40)),"")</f>
        <v>250</v>
      </c>
      <c r="V40" s="53" t="str">
        <f t="shared" si="2"/>
        <v>n/a</v>
      </c>
      <c r="W40" s="52" t="str">
        <f t="shared" si="3"/>
        <v/>
      </c>
      <c r="X40" s="52">
        <f>IFERROR(IF(AND(AR41=AR40,AM40&lt;&gt;""),INDEX('Aub Demand'!Q:Q,MATCH($O40,'Aub Demand'!$A:$A,0))-IF(AN40="",0,AN40)+AP41+AD40+AL40,IF(AR41=AR40,INDEX('Aub Demand'!Q:Q,MATCH($O40,'Aub Demand'!$A:$A,0))-IF(AN40="",0,AN40)+AP41+AD40,IF(AM40&lt;&gt;"",INDEX('Aub Demand'!Q:Q,MATCH($O40,'Aub Demand'!$A:$A,0))-IF(AN40="",0,AN40)+AD40+AL40,INDEX('Aub Demand'!Q:Q,MATCH($O40,'Aub Demand'!$A:$A,0))-IF(AN40="",0,AN40)+AD40))),"")</f>
        <v>250</v>
      </c>
      <c r="Y40" s="53" t="str">
        <f t="shared" si="4"/>
        <v>n/a</v>
      </c>
      <c r="Z40" s="52">
        <f>IF(L40="","",INDEX('Aub Demand'!H:H,MATCH($O40,'Aub Demand'!$A:$A,0)))</f>
        <v>0</v>
      </c>
      <c r="AA40" s="52" t="str">
        <f t="shared" si="5"/>
        <v>-spike-</v>
      </c>
      <c r="AB40" s="52">
        <f>IFERROR(INDEX('Aub Demand'!L:L,MATCH($O40,'Aub Demand'!$A:$A,0)),"")</f>
        <v>0</v>
      </c>
      <c r="AC40" s="52">
        <f>IFERROR(IF(O40="","",SUMIFS('CPL Mats'!F:F,'CPL Mats'!Q:Q,AR40,'CPL Mats'!S:S,AS40)),"")</f>
        <v>0</v>
      </c>
      <c r="AF40" s="25" t="str">
        <f>IF(SUMIFS('Supp Consol'!S:S,'Supp Consol'!Y:Y,"Releasable",'Supp Consol'!A:A,O40)=0,"",SUMIFS('Supp Consol'!S:S,'Supp Consol'!Y:Y,"Releasable",'Supp Consol'!A:A,O40))</f>
        <v/>
      </c>
      <c r="AG40" s="25" t="str">
        <f>IFERROR(INDEX('Hun Demand'!Q:Q,MATCH(O40,'Hun Demand'!A:A,0)),"")</f>
        <v/>
      </c>
      <c r="AH40" s="25" t="str">
        <f>IFERROR(INDEX('Hun Demand'!H:H,MATCH($O40,'Hun Demand'!$A:$A,0)),"")</f>
        <v/>
      </c>
      <c r="AI40" s="25" t="str">
        <f>IF(SUMIFS('Supp Consol'!AA:AA,'Supp Consol'!Z:Z,"Expires this month",'Supp Consol'!A:A,O40)=0,"",SUMIFS('Supp Consol'!AA:AA,'Supp Consol'!Z:Z,"Expires this month",'Supp Consol'!A:A,O40))</f>
        <v/>
      </c>
      <c r="AJ40" s="25" t="str">
        <f>IF(SUMIFS('Supp Consol'!AA:AA,'Supp Consol'!Z:Z,"Expired Previous Months",'Supp Consol'!A:A,O40)=0,"",SUMIFS('Supp Consol'!AA:AA,'Supp Consol'!Z:Z,"Expired Previous Months",'Supp Consol'!A:A,O40))</f>
        <v/>
      </c>
      <c r="AK40" s="25" t="str">
        <f>IFERROR(INDEX('Hun Release Current'!B:B,MATCH(O40,'Hun Release Current'!A:A,0)),"")</f>
        <v/>
      </c>
      <c r="AL40" s="25" t="str">
        <f>IF(SUMIF('Prev Aub'!A:A,O40,'Prev Aub'!B:B)=0,"",SUMIF('Prev Aub'!A:A,O40,'Prev Aub'!B:B))</f>
        <v/>
      </c>
      <c r="AN40" s="25" t="s">
        <v>3790</v>
      </c>
      <c r="AO40" s="25" t="s">
        <v>3790</v>
      </c>
      <c r="AP40" s="25">
        <f t="shared" si="6"/>
        <v>0</v>
      </c>
      <c r="AQ40" s="151" t="str">
        <f>IF(SUMIFS('Supp Consol'!S:S,'Supp Consol'!A:A,O40,'Supp Consol'!I:I,"PENDING")=0,"",SUMIFS('Supp Consol'!S:S,'Supp Consol'!A:A,O40,'Supp Consol'!I:I,"PENDING"))</f>
        <v/>
      </c>
      <c r="AR40" s="27" t="str">
        <f t="shared" si="7"/>
        <v>000C4</v>
      </c>
      <c r="AS40" s="27" t="str">
        <f t="shared" si="8"/>
        <v>50</v>
      </c>
      <c r="AT40" s="27" t="str">
        <f t="shared" si="9"/>
        <v/>
      </c>
      <c r="AU40" s="27" t="str">
        <f t="shared" si="10"/>
        <v/>
      </c>
      <c r="AV40" s="27" t="str">
        <f t="shared" si="11"/>
        <v/>
      </c>
      <c r="AW40" s="27" t="str">
        <f t="shared" si="12"/>
        <v/>
      </c>
      <c r="AX40" s="27" t="str">
        <f t="shared" si="13"/>
        <v/>
      </c>
      <c r="AY40" s="27" t="str">
        <f t="shared" si="14"/>
        <v/>
      </c>
      <c r="AZ40" s="27" t="str">
        <f t="shared" si="15"/>
        <v/>
      </c>
      <c r="BA40" s="27" t="str">
        <f t="shared" si="16"/>
        <v/>
      </c>
      <c r="BB40" s="27" t="str">
        <f t="shared" si="17"/>
        <v/>
      </c>
      <c r="BC40" s="27" t="str">
        <f t="shared" si="18"/>
        <v/>
      </c>
      <c r="BD40" s="27" t="str">
        <f t="shared" si="19"/>
        <v/>
      </c>
      <c r="BE40" s="27" t="str">
        <f t="shared" si="20"/>
        <v/>
      </c>
      <c r="BF40" s="27" t="str">
        <f t="shared" si="21"/>
        <v/>
      </c>
      <c r="BG40" s="27" t="str">
        <f t="shared" si="22"/>
        <v/>
      </c>
      <c r="BH40" s="27" t="str">
        <f t="shared" si="23"/>
        <v/>
      </c>
      <c r="BI40" s="27" t="str">
        <f t="shared" si="24"/>
        <v/>
      </c>
      <c r="BJ40" s="27" t="str">
        <f t="shared" si="25"/>
        <v/>
      </c>
      <c r="BK40" s="27" t="str">
        <f t="shared" si="26"/>
        <v/>
      </c>
      <c r="BL40" s="27" t="str">
        <f t="shared" si="27"/>
        <v/>
      </c>
      <c r="BM40" s="21" t="s">
        <v>5581</v>
      </c>
    </row>
    <row r="41" spans="1:65" ht="15">
      <c r="A41" s="25" t="str">
        <f>IFERROR(INDEX('Hun Demand'!W:W,MATCH(O41,'Hun Demand'!A:A,0)),"")</f>
        <v/>
      </c>
      <c r="B41" s="25" t="str">
        <f>IFERROR(INDEX('Hun Demand'!V:V,MATCH(O41,'Hun Demand'!A:A,0)),"")</f>
        <v/>
      </c>
      <c r="C41" s="25" t="str">
        <f>IFERROR(INDEX('Hun Demand'!U:U,MATCH(O41,'Hun Demand'!A:A,0)),"")</f>
        <v/>
      </c>
      <c r="D41" s="25" t="str">
        <f>IFERROR(INDEX('Hun Demand'!T:T,MATCH(O41,'Hun Demand'!A:A,0)),"")</f>
        <v/>
      </c>
      <c r="E41" s="25" t="str">
        <f>IFERROR(INDEX('Hun Demand'!S:S,MATCH(O41,'Hun Demand'!A:A,0)),"")</f>
        <v/>
      </c>
      <c r="F41" s="25" t="str">
        <f>IFERROR(INDEX('Hun Demand'!R:R,MATCH(O41,'Hun Demand'!A:A,0)),"")</f>
        <v/>
      </c>
      <c r="G41" s="25">
        <f>IFERROR(INDEX('Aub Demand'!W:W,MATCH(O41,'Aub Demand'!A:A,0)),"")</f>
        <v>0</v>
      </c>
      <c r="H41" s="25">
        <f>IFERROR(INDEX('Aub Demand'!V:V,MATCH(O41,'Aub Demand'!A:A,0)),"")</f>
        <v>0</v>
      </c>
      <c r="I41" s="25">
        <f>IFERROR(INDEX('Aub Demand'!U:U,MATCH(O41,'Aub Demand'!A:A,0)),"")</f>
        <v>0</v>
      </c>
      <c r="J41" s="25">
        <f>IFERROR(INDEX('Aub Demand'!T:T,MATCH(O41,'Aub Demand'!A:A,0)),"")</f>
        <v>695</v>
      </c>
      <c r="K41" s="25">
        <f>IFERROR(INDEX('Aub Demand'!S:S,MATCH(O41,'Aub Demand'!A:A,0)),"")</f>
        <v>422</v>
      </c>
      <c r="L41" s="25">
        <f>IFERROR(INDEX('Aub Demand'!R:R,MATCH(O41,'Aub Demand'!A:A,0)),"")</f>
        <v>0</v>
      </c>
      <c r="O41" s="27" t="s">
        <v>127</v>
      </c>
      <c r="P41" s="27" t="str">
        <f>IFERROR(INDEX('Aub Demand'!B:B,MATCH($O41,'Aub Demand'!$A:$A,0)),"")</f>
        <v>PARCHMENT</v>
      </c>
      <c r="Q41" s="27" t="str">
        <f>IFERROR(INDEX('Aub Demand'!C:C,MATCH($O41,'Aub Demand'!$A:$A,0)),"")</f>
        <v>GLASS</v>
      </c>
      <c r="R41" s="52">
        <f>IFERROR(IF(AR42=AR41,INDEX('Aub Demand'!K:K,MATCH($O41,'Aub Demand'!$A:$A,0))-IF(AN41="",0,AN41)+AP42,INDEX('Aub Demand'!K:K,MATCH($O41,'Aub Demand'!$A:$A,0))-IF(AN41="",0,AN41)),"")</f>
        <v>3629</v>
      </c>
      <c r="S41" s="53">
        <f t="shared" si="0"/>
        <v>41.8</v>
      </c>
      <c r="T41" s="52" t="str">
        <f t="shared" si="1"/>
        <v/>
      </c>
      <c r="U41" s="52">
        <f>IFERROR(IF(AR42=AR41,INDEX('Aub Demand'!Q:Q,MATCH($O41,'Aub Demand'!$A:$A,0))-IF(AN41="",0,AN41)+AP42,INDEX('Aub Demand'!Q:Q,MATCH($O41,'Aub Demand'!$A:$A,0))-IF(AN41="",0,AN41)),"")</f>
        <v>3279</v>
      </c>
      <c r="V41" s="53">
        <f t="shared" si="2"/>
        <v>37.799999999999997</v>
      </c>
      <c r="W41" s="52" t="str">
        <f t="shared" si="3"/>
        <v/>
      </c>
      <c r="X41" s="52">
        <f>IFERROR(IF(AND(AR42=AR41,AM41&lt;&gt;""),INDEX('Aub Demand'!Q:Q,MATCH($O41,'Aub Demand'!$A:$A,0))-IF(AN41="",0,AN41)+AP42+AD41+AL41,IF(AR42=AR41,INDEX('Aub Demand'!Q:Q,MATCH($O41,'Aub Demand'!$A:$A,0))-IF(AN41="",0,AN41)+AP42+AD41,IF(AM41&lt;&gt;"",INDEX('Aub Demand'!Q:Q,MATCH($O41,'Aub Demand'!$A:$A,0))-IF(AN41="",0,AN41)+AD41+AL41,INDEX('Aub Demand'!Q:Q,MATCH($O41,'Aub Demand'!$A:$A,0))-IF(AN41="",0,AN41)+AD41))),"")</f>
        <v>3279</v>
      </c>
      <c r="Y41" s="53">
        <f t="shared" si="4"/>
        <v>37.799999999999997</v>
      </c>
      <c r="Z41" s="52">
        <f>IF(L41="","",INDEX('Aub Demand'!H:H,MATCH($O41,'Aub Demand'!$A:$A,0)))</f>
        <v>372</v>
      </c>
      <c r="AA41" s="52">
        <f t="shared" si="5"/>
        <v>558.5</v>
      </c>
      <c r="AB41" s="52">
        <f>IFERROR(INDEX('Aub Demand'!L:L,MATCH($O41,'Aub Demand'!$A:$A,0)),"")</f>
        <v>696</v>
      </c>
      <c r="AC41" s="52">
        <f>IFERROR(IF(O41="","",SUMIFS('CPL Mats'!F:F,'CPL Mats'!Q:Q,AR41,'CPL Mats'!S:S,AS41)),"")</f>
        <v>0</v>
      </c>
      <c r="AF41" s="25" t="str">
        <f>IF(SUMIFS('Supp Consol'!S:S,'Supp Consol'!Y:Y,"Releasable",'Supp Consol'!A:A,O41)=0,"",SUMIFS('Supp Consol'!S:S,'Supp Consol'!Y:Y,"Releasable",'Supp Consol'!A:A,O41))</f>
        <v/>
      </c>
      <c r="AG41" s="25" t="str">
        <f>IFERROR(INDEX('Hun Demand'!Q:Q,MATCH(O41,'Hun Demand'!A:A,0)),"")</f>
        <v/>
      </c>
      <c r="AH41" s="25" t="str">
        <f>IFERROR(INDEX('Hun Demand'!H:H,MATCH($O41,'Hun Demand'!$A:$A,0)),"")</f>
        <v/>
      </c>
      <c r="AI41" s="25" t="str">
        <f>IF(SUMIFS('Supp Consol'!AA:AA,'Supp Consol'!Z:Z,"Expires this month",'Supp Consol'!A:A,O41)=0,"",SUMIFS('Supp Consol'!AA:AA,'Supp Consol'!Z:Z,"Expires this month",'Supp Consol'!A:A,O41))</f>
        <v/>
      </c>
      <c r="AJ41" s="25" t="str">
        <f>IF(SUMIFS('Supp Consol'!AA:AA,'Supp Consol'!Z:Z,"Expired Previous Months",'Supp Consol'!A:A,O41)=0,"",SUMIFS('Supp Consol'!AA:AA,'Supp Consol'!Z:Z,"Expired Previous Months",'Supp Consol'!A:A,O41))</f>
        <v/>
      </c>
      <c r="AK41" s="25" t="str">
        <f>IFERROR(INDEX('Hun Release Current'!B:B,MATCH(O41,'Hun Release Current'!A:A,0)),"")</f>
        <v/>
      </c>
      <c r="AL41" s="25" t="str">
        <f>IF(SUMIF('Prev Aub'!A:A,O41,'Prev Aub'!B:B)=0,"",SUMIF('Prev Aub'!A:A,O41,'Prev Aub'!B:B))</f>
        <v/>
      </c>
      <c r="AN41" s="25" t="s">
        <v>3790</v>
      </c>
      <c r="AO41" s="25" t="s">
        <v>3790</v>
      </c>
      <c r="AP41" s="25">
        <f t="shared" si="6"/>
        <v>0</v>
      </c>
      <c r="AQ41" s="151" t="str">
        <f>IF(SUMIFS('Supp Consol'!S:S,'Supp Consol'!A:A,O41,'Supp Consol'!I:I,"PENDING")=0,"",SUMIFS('Supp Consol'!S:S,'Supp Consol'!A:A,O41,'Supp Consol'!I:I,"PENDING"))</f>
        <v/>
      </c>
      <c r="AR41" s="27" t="str">
        <f t="shared" si="7"/>
        <v>00104</v>
      </c>
      <c r="AS41" s="27" t="str">
        <f t="shared" si="8"/>
        <v>37</v>
      </c>
      <c r="AT41" s="27" t="str">
        <f t="shared" si="9"/>
        <v/>
      </c>
      <c r="AU41" s="27" t="str">
        <f t="shared" si="10"/>
        <v/>
      </c>
      <c r="AV41" s="27" t="str">
        <f t="shared" si="11"/>
        <v/>
      </c>
      <c r="AW41" s="27" t="str">
        <f t="shared" si="12"/>
        <v/>
      </c>
      <c r="AX41" s="27" t="str">
        <f t="shared" si="13"/>
        <v/>
      </c>
      <c r="AY41" s="27" t="str">
        <f t="shared" si="14"/>
        <v/>
      </c>
      <c r="AZ41" s="27" t="str">
        <f t="shared" si="15"/>
        <v/>
      </c>
      <c r="BA41" s="27" t="str">
        <f t="shared" si="16"/>
        <v/>
      </c>
      <c r="BB41" s="27" t="str">
        <f t="shared" si="17"/>
        <v/>
      </c>
      <c r="BC41" s="27" t="str">
        <f t="shared" si="18"/>
        <v/>
      </c>
      <c r="BD41" s="27" t="str">
        <f t="shared" si="19"/>
        <v/>
      </c>
      <c r="BE41" s="27" t="str">
        <f t="shared" si="20"/>
        <v/>
      </c>
      <c r="BF41" s="27" t="str">
        <f t="shared" si="21"/>
        <v/>
      </c>
      <c r="BG41" s="27" t="str">
        <f t="shared" si="22"/>
        <v/>
      </c>
      <c r="BH41" s="27" t="str">
        <f t="shared" si="23"/>
        <v/>
      </c>
      <c r="BI41" s="27" t="str">
        <f t="shared" si="24"/>
        <v/>
      </c>
      <c r="BJ41" s="27" t="str">
        <f t="shared" si="25"/>
        <v/>
      </c>
      <c r="BK41" s="27" t="str">
        <f t="shared" si="26"/>
        <v/>
      </c>
      <c r="BL41" s="27" t="str">
        <f t="shared" si="27"/>
        <v/>
      </c>
      <c r="BM41" s="21" t="s">
        <v>5581</v>
      </c>
    </row>
    <row r="42" spans="1:65" ht="15">
      <c r="A42" s="25" t="str">
        <f>IFERROR(INDEX('Hun Demand'!W:W,MATCH(O42,'Hun Demand'!A:A,0)),"")</f>
        <v/>
      </c>
      <c r="B42" s="25" t="str">
        <f>IFERROR(INDEX('Hun Demand'!V:V,MATCH(O42,'Hun Demand'!A:A,0)),"")</f>
        <v/>
      </c>
      <c r="C42" s="25" t="str">
        <f>IFERROR(INDEX('Hun Demand'!U:U,MATCH(O42,'Hun Demand'!A:A,0)),"")</f>
        <v/>
      </c>
      <c r="D42" s="25" t="str">
        <f>IFERROR(INDEX('Hun Demand'!T:T,MATCH(O42,'Hun Demand'!A:A,0)),"")</f>
        <v/>
      </c>
      <c r="E42" s="25" t="str">
        <f>IFERROR(INDEX('Hun Demand'!S:S,MATCH(O42,'Hun Demand'!A:A,0)),"")</f>
        <v/>
      </c>
      <c r="F42" s="25" t="str">
        <f>IFERROR(INDEX('Hun Demand'!R:R,MATCH(O42,'Hun Demand'!A:A,0)),"")</f>
        <v/>
      </c>
      <c r="G42" s="25">
        <f>IFERROR(INDEX('Aub Demand'!W:W,MATCH(O42,'Aub Demand'!A:A,0)),"")</f>
        <v>14393</v>
      </c>
      <c r="H42" s="25">
        <f>IFERROR(INDEX('Aub Demand'!V:V,MATCH(O42,'Aub Demand'!A:A,0)),"")</f>
        <v>11974</v>
      </c>
      <c r="I42" s="25">
        <f>IFERROR(INDEX('Aub Demand'!U:U,MATCH(O42,'Aub Demand'!A:A,0)),"")</f>
        <v>16660</v>
      </c>
      <c r="J42" s="25">
        <f>IFERROR(INDEX('Aub Demand'!T:T,MATCH(O42,'Aub Demand'!A:A,0)),"")</f>
        <v>21094</v>
      </c>
      <c r="K42" s="25">
        <f>IFERROR(INDEX('Aub Demand'!S:S,MATCH(O42,'Aub Demand'!A:A,0)),"")</f>
        <v>15942</v>
      </c>
      <c r="L42" s="25">
        <f>IFERROR(INDEX('Aub Demand'!R:R,MATCH(O42,'Aub Demand'!A:A,0)),"")</f>
        <v>0</v>
      </c>
      <c r="O42" s="27" t="s">
        <v>130</v>
      </c>
      <c r="P42" s="27" t="str">
        <f>IFERROR(INDEX('Aub Demand'!B:B,MATCH($O42,'Aub Demand'!$A:$A,0)),"")</f>
        <v>PARCHMENT</v>
      </c>
      <c r="Q42" s="27" t="str">
        <f>IFERROR(INDEX('Aub Demand'!C:C,MATCH($O42,'Aub Demand'!$A:$A,0)),"")</f>
        <v>CENTR</v>
      </c>
      <c r="R42" s="52">
        <f>IFERROR(IF(AR43=AR42,INDEX('Aub Demand'!K:K,MATCH($O42,'Aub Demand'!$A:$A,0))-IF(AN42="",0,AN42)+AP43,INDEX('Aub Demand'!K:K,MATCH($O42,'Aub Demand'!$A:$A,0))-IF(AN42="",0,AN42)),"")</f>
        <v>103401</v>
      </c>
      <c r="S42" s="53">
        <f t="shared" si="0"/>
        <v>24.8</v>
      </c>
      <c r="T42" s="52" t="str">
        <f t="shared" si="1"/>
        <v/>
      </c>
      <c r="U42" s="52">
        <f>IFERROR(IF(AR43=AR42,INDEX('Aub Demand'!Q:Q,MATCH($O42,'Aub Demand'!$A:$A,0))-IF(AN42="",0,AN42)+AP43,INDEX('Aub Demand'!Q:Q,MATCH($O42,'Aub Demand'!$A:$A,0))-IF(AN42="",0,AN42)),"")</f>
        <v>77892</v>
      </c>
      <c r="V42" s="53">
        <f t="shared" si="2"/>
        <v>18.7</v>
      </c>
      <c r="W42" s="52" t="str">
        <f t="shared" si="3"/>
        <v/>
      </c>
      <c r="X42" s="52">
        <f>IFERROR(IF(AND(AR43=AR42,AM42&lt;&gt;""),INDEX('Aub Demand'!Q:Q,MATCH($O42,'Aub Demand'!$A:$A,0))-IF(AN42="",0,AN42)+AP43+AD42+AL42,IF(AR43=AR42,INDEX('Aub Demand'!Q:Q,MATCH($O42,'Aub Demand'!$A:$A,0))-IF(AN42="",0,AN42)+AP43+AD42,IF(AM42&lt;&gt;"",INDEX('Aub Demand'!Q:Q,MATCH($O42,'Aub Demand'!$A:$A,0))-IF(AN42="",0,AN42)+AD42+AL42,INDEX('Aub Demand'!Q:Q,MATCH($O42,'Aub Demand'!$A:$A,0))-IF(AN42="",0,AN42)+AD42))),"")</f>
        <v>77892</v>
      </c>
      <c r="Y42" s="53">
        <f t="shared" si="4"/>
        <v>18.7</v>
      </c>
      <c r="Z42" s="52">
        <f>IF(L42="","",INDEX('Aub Demand'!H:H,MATCH($O42,'Aub Demand'!$A:$A,0)))</f>
        <v>17899</v>
      </c>
      <c r="AA42" s="52">
        <f t="shared" si="5"/>
        <v>18877</v>
      </c>
      <c r="AB42" s="52">
        <f>IFERROR(INDEX('Aub Demand'!L:L,MATCH($O42,'Aub Demand'!$A:$A,0)),"")</f>
        <v>10803</v>
      </c>
      <c r="AC42" s="52">
        <f>IFERROR(IF(O42="","",SUMIFS('CPL Mats'!F:F,'CPL Mats'!Q:Q,AR42,'CPL Mats'!S:S,AS42)),"")</f>
        <v>0</v>
      </c>
      <c r="AF42" s="25" t="str">
        <f>IF(SUMIFS('Supp Consol'!S:S,'Supp Consol'!Y:Y,"Releasable",'Supp Consol'!A:A,O42)=0,"",SUMIFS('Supp Consol'!S:S,'Supp Consol'!Y:Y,"Releasable",'Supp Consol'!A:A,O42))</f>
        <v/>
      </c>
      <c r="AG42" s="25" t="str">
        <f>IFERROR(INDEX('Hun Demand'!Q:Q,MATCH(O42,'Hun Demand'!A:A,0)),"")</f>
        <v/>
      </c>
      <c r="AH42" s="25" t="str">
        <f>IFERROR(INDEX('Hun Demand'!H:H,MATCH($O42,'Hun Demand'!$A:$A,0)),"")</f>
        <v/>
      </c>
      <c r="AI42" s="25" t="str">
        <f>IF(SUMIFS('Supp Consol'!AA:AA,'Supp Consol'!Z:Z,"Expires this month",'Supp Consol'!A:A,O42)=0,"",SUMIFS('Supp Consol'!AA:AA,'Supp Consol'!Z:Z,"Expires this month",'Supp Consol'!A:A,O42))</f>
        <v/>
      </c>
      <c r="AJ42" s="25" t="str">
        <f>IF(SUMIFS('Supp Consol'!AA:AA,'Supp Consol'!Z:Z,"Expired Previous Months",'Supp Consol'!A:A,O42)=0,"",SUMIFS('Supp Consol'!AA:AA,'Supp Consol'!Z:Z,"Expired Previous Months",'Supp Consol'!A:A,O42))</f>
        <v/>
      </c>
      <c r="AK42" s="25" t="str">
        <f>IFERROR(INDEX('Hun Release Current'!B:B,MATCH(O42,'Hun Release Current'!A:A,0)),"")</f>
        <v/>
      </c>
      <c r="AL42" s="25" t="str">
        <f>IF(SUMIF('Prev Aub'!A:A,O42,'Prev Aub'!B:B)=0,"",SUMIF('Prev Aub'!A:A,O42,'Prev Aub'!B:B))</f>
        <v/>
      </c>
      <c r="AN42" s="25" t="s">
        <v>3790</v>
      </c>
      <c r="AO42" s="25" t="s">
        <v>3790</v>
      </c>
      <c r="AP42" s="25">
        <f t="shared" si="6"/>
        <v>0</v>
      </c>
      <c r="AQ42" s="151" t="str">
        <f>IF(SUMIFS('Supp Consol'!S:S,'Supp Consol'!A:A,O42,'Supp Consol'!I:I,"PENDING")=0,"",SUMIFS('Supp Consol'!S:S,'Supp Consol'!A:A,O42,'Supp Consol'!I:I,"PENDING"))</f>
        <v/>
      </c>
      <c r="AR42" s="27" t="str">
        <f t="shared" si="7"/>
        <v>00104</v>
      </c>
      <c r="AS42" s="27" t="str">
        <f t="shared" si="8"/>
        <v>50</v>
      </c>
      <c r="AT42" s="27" t="str">
        <f t="shared" si="9"/>
        <v/>
      </c>
      <c r="AU42" s="27" t="str">
        <f t="shared" si="10"/>
        <v/>
      </c>
      <c r="AV42" s="27" t="str">
        <f t="shared" si="11"/>
        <v/>
      </c>
      <c r="AW42" s="27" t="str">
        <f t="shared" si="12"/>
        <v/>
      </c>
      <c r="AX42" s="27" t="str">
        <f t="shared" si="13"/>
        <v/>
      </c>
      <c r="AY42" s="27" t="str">
        <f t="shared" si="14"/>
        <v/>
      </c>
      <c r="AZ42" s="27" t="str">
        <f t="shared" si="15"/>
        <v/>
      </c>
      <c r="BA42" s="27" t="str">
        <f t="shared" si="16"/>
        <v/>
      </c>
      <c r="BB42" s="27" t="str">
        <f t="shared" si="17"/>
        <v/>
      </c>
      <c r="BC42" s="27" t="str">
        <f t="shared" si="18"/>
        <v/>
      </c>
      <c r="BD42" s="27" t="str">
        <f t="shared" si="19"/>
        <v/>
      </c>
      <c r="BE42" s="27" t="str">
        <f t="shared" si="20"/>
        <v/>
      </c>
      <c r="BF42" s="27" t="str">
        <f t="shared" si="21"/>
        <v/>
      </c>
      <c r="BG42" s="27" t="str">
        <f t="shared" si="22"/>
        <v/>
      </c>
      <c r="BH42" s="27" t="str">
        <f t="shared" si="23"/>
        <v/>
      </c>
      <c r="BI42" s="27" t="str">
        <f t="shared" si="24"/>
        <v/>
      </c>
      <c r="BJ42" s="27" t="str">
        <f t="shared" si="25"/>
        <v/>
      </c>
      <c r="BK42" s="27" t="str">
        <f t="shared" si="26"/>
        <v/>
      </c>
      <c r="BL42" s="27" t="str">
        <f t="shared" si="27"/>
        <v/>
      </c>
      <c r="BM42" s="21" t="s">
        <v>5581</v>
      </c>
    </row>
    <row r="43" spans="1:65" ht="15">
      <c r="A43" s="25" t="str">
        <f>IFERROR(INDEX('Hun Demand'!W:W,MATCH(O43,'Hun Demand'!A:A,0)),"")</f>
        <v/>
      </c>
      <c r="B43" s="25" t="str">
        <f>IFERROR(INDEX('Hun Demand'!V:V,MATCH(O43,'Hun Demand'!A:A,0)),"")</f>
        <v/>
      </c>
      <c r="C43" s="25" t="str">
        <f>IFERROR(INDEX('Hun Demand'!U:U,MATCH(O43,'Hun Demand'!A:A,0)),"")</f>
        <v/>
      </c>
      <c r="D43" s="25" t="str">
        <f>IFERROR(INDEX('Hun Demand'!T:T,MATCH(O43,'Hun Demand'!A:A,0)),"")</f>
        <v/>
      </c>
      <c r="E43" s="25" t="str">
        <f>IFERROR(INDEX('Hun Demand'!S:S,MATCH(O43,'Hun Demand'!A:A,0)),"")</f>
        <v/>
      </c>
      <c r="F43" s="25" t="str">
        <f>IFERROR(INDEX('Hun Demand'!R:R,MATCH(O43,'Hun Demand'!A:A,0)),"")</f>
        <v/>
      </c>
      <c r="G43" s="25">
        <f>IFERROR(INDEX('Aub Demand'!W:W,MATCH(O43,'Aub Demand'!A:A,0)),"")</f>
        <v>16050</v>
      </c>
      <c r="H43" s="25">
        <f>IFERROR(INDEX('Aub Demand'!V:V,MATCH(O43,'Aub Demand'!A:A,0)),"")</f>
        <v>9488</v>
      </c>
      <c r="I43" s="25">
        <f>IFERROR(INDEX('Aub Demand'!U:U,MATCH(O43,'Aub Demand'!A:A,0)),"")</f>
        <v>13608</v>
      </c>
      <c r="J43" s="25">
        <f>IFERROR(INDEX('Aub Demand'!T:T,MATCH(O43,'Aub Demand'!A:A,0)),"")</f>
        <v>15596</v>
      </c>
      <c r="K43" s="25">
        <f>IFERROR(INDEX('Aub Demand'!S:S,MATCH(O43,'Aub Demand'!A:A,0)),"")</f>
        <v>10754</v>
      </c>
      <c r="L43" s="25">
        <f>IFERROR(INDEX('Aub Demand'!R:R,MATCH(O43,'Aub Demand'!A:A,0)),"")</f>
        <v>-14</v>
      </c>
      <c r="O43" s="27" t="s">
        <v>135</v>
      </c>
      <c r="P43" s="27" t="str">
        <f>IFERROR(INDEX('Aub Demand'!B:B,MATCH($O43,'Aub Demand'!$A:$A,0)),"")</f>
        <v>PARCHMENT</v>
      </c>
      <c r="Q43" s="27" t="str">
        <f>IFERROR(INDEX('Aub Demand'!C:C,MATCH($O43,'Aub Demand'!$A:$A,0)),"")</f>
        <v>GLASS</v>
      </c>
      <c r="R43" s="52">
        <f>IFERROR(IF(AR44=AR43,INDEX('Aub Demand'!K:K,MATCH($O43,'Aub Demand'!$A:$A,0))-IF(AN43="",0,AN43)+AP44,INDEX('Aub Demand'!K:K,MATCH($O43,'Aub Demand'!$A:$A,0))-IF(AN43="",0,AN43)),"")</f>
        <v>176315</v>
      </c>
      <c r="S43" s="53">
        <f t="shared" si="0"/>
        <v>56.7</v>
      </c>
      <c r="T43" s="52" t="str">
        <f t="shared" si="1"/>
        <v/>
      </c>
      <c r="U43" s="52">
        <f>IFERROR(IF(AR44=AR43,INDEX('Aub Demand'!Q:Q,MATCH($O43,'Aub Demand'!$A:$A,0))-IF(AN43="",0,AN43)+AP44,INDEX('Aub Demand'!Q:Q,MATCH($O43,'Aub Demand'!$A:$A,0))-IF(AN43="",0,AN43)),"")</f>
        <v>158161</v>
      </c>
      <c r="V43" s="53">
        <f t="shared" si="2"/>
        <v>50.9</v>
      </c>
      <c r="W43" s="52" t="str">
        <f t="shared" si="3"/>
        <v/>
      </c>
      <c r="X43" s="52">
        <f>IFERROR(IF(AND(AR44=AR43,AM43&lt;&gt;""),INDEX('Aub Demand'!Q:Q,MATCH($O43,'Aub Demand'!$A:$A,0))-IF(AN43="",0,AN43)+AP44+AD43+AL43,IF(AR44=AR43,INDEX('Aub Demand'!Q:Q,MATCH($O43,'Aub Demand'!$A:$A,0))-IF(AN43="",0,AN43)+AP44+AD43,IF(AM43&lt;&gt;"",INDEX('Aub Demand'!Q:Q,MATCH($O43,'Aub Demand'!$A:$A,0))-IF(AN43="",0,AN43)+AD43+AL43,INDEX('Aub Demand'!Q:Q,MATCH($O43,'Aub Demand'!$A:$A,0))-IF(AN43="",0,AN43)+AD43))),"")</f>
        <v>158161</v>
      </c>
      <c r="Y43" s="53">
        <f t="shared" si="4"/>
        <v>50.9</v>
      </c>
      <c r="Z43" s="52">
        <f>IF(L43="","",INDEX('Aub Demand'!H:H,MATCH($O43,'Aub Demand'!$A:$A,0)))</f>
        <v>13319</v>
      </c>
      <c r="AA43" s="52">
        <f t="shared" si="5"/>
        <v>14602</v>
      </c>
      <c r="AB43" s="52">
        <f>IFERROR(INDEX('Aub Demand'!L:L,MATCH($O43,'Aub Demand'!$A:$A,0)),"")</f>
        <v>10239</v>
      </c>
      <c r="AC43" s="52">
        <f>IFERROR(IF(O43="","",SUMIFS('CPL Mats'!F:F,'CPL Mats'!Q:Q,AR43,'CPL Mats'!S:S,AS43)),"")</f>
        <v>0</v>
      </c>
      <c r="AF43" s="25" t="str">
        <f>IF(SUMIFS('Supp Consol'!S:S,'Supp Consol'!Y:Y,"Releasable",'Supp Consol'!A:A,O43)=0,"",SUMIFS('Supp Consol'!S:S,'Supp Consol'!Y:Y,"Releasable",'Supp Consol'!A:A,O43))</f>
        <v/>
      </c>
      <c r="AG43" s="25" t="str">
        <f>IFERROR(INDEX('Hun Demand'!Q:Q,MATCH(O43,'Hun Demand'!A:A,0)),"")</f>
        <v/>
      </c>
      <c r="AH43" s="25" t="str">
        <f>IFERROR(INDEX('Hun Demand'!H:H,MATCH($O43,'Hun Demand'!$A:$A,0)),"")</f>
        <v/>
      </c>
      <c r="AI43" s="25" t="str">
        <f>IF(SUMIFS('Supp Consol'!AA:AA,'Supp Consol'!Z:Z,"Expires this month",'Supp Consol'!A:A,O43)=0,"",SUMIFS('Supp Consol'!AA:AA,'Supp Consol'!Z:Z,"Expires this month",'Supp Consol'!A:A,O43))</f>
        <v/>
      </c>
      <c r="AJ43" s="25" t="str">
        <f>IF(SUMIFS('Supp Consol'!AA:AA,'Supp Consol'!Z:Z,"Expired Previous Months",'Supp Consol'!A:A,O43)=0,"",SUMIFS('Supp Consol'!AA:AA,'Supp Consol'!Z:Z,"Expired Previous Months",'Supp Consol'!A:A,O43))</f>
        <v/>
      </c>
      <c r="AK43" s="25" t="str">
        <f>IFERROR(INDEX('Hun Release Current'!B:B,MATCH(O43,'Hun Release Current'!A:A,0)),"")</f>
        <v/>
      </c>
      <c r="AL43" s="25" t="str">
        <f>IF(SUMIF('Prev Aub'!A:A,O43,'Prev Aub'!B:B)=0,"",SUMIF('Prev Aub'!A:A,O43,'Prev Aub'!B:B))</f>
        <v/>
      </c>
      <c r="AN43" s="25" t="s">
        <v>3790</v>
      </c>
      <c r="AO43" s="25" t="s">
        <v>3790</v>
      </c>
      <c r="AP43" s="25">
        <f t="shared" si="6"/>
        <v>0</v>
      </c>
      <c r="AQ43" s="151" t="str">
        <f>IF(SUMIFS('Supp Consol'!S:S,'Supp Consol'!A:A,O43,'Supp Consol'!I:I,"PENDING")=0,"",SUMIFS('Supp Consol'!S:S,'Supp Consol'!A:A,O43,'Supp Consol'!I:I,"PENDING"))</f>
        <v/>
      </c>
      <c r="AR43" s="27" t="str">
        <f t="shared" si="7"/>
        <v>00104</v>
      </c>
      <c r="AS43" s="27" t="str">
        <f t="shared" si="8"/>
        <v>62</v>
      </c>
      <c r="AT43" s="27" t="str">
        <f t="shared" si="9"/>
        <v/>
      </c>
      <c r="AU43" s="27" t="str">
        <f t="shared" si="10"/>
        <v/>
      </c>
      <c r="AV43" s="27" t="str">
        <f t="shared" si="11"/>
        <v/>
      </c>
      <c r="AW43" s="27" t="str">
        <f t="shared" si="12"/>
        <v/>
      </c>
      <c r="AX43" s="27" t="str">
        <f t="shared" si="13"/>
        <v/>
      </c>
      <c r="AY43" s="27" t="str">
        <f t="shared" si="14"/>
        <v/>
      </c>
      <c r="AZ43" s="27" t="str">
        <f t="shared" si="15"/>
        <v/>
      </c>
      <c r="BA43" s="27" t="str">
        <f t="shared" si="16"/>
        <v/>
      </c>
      <c r="BB43" s="27" t="str">
        <f t="shared" si="17"/>
        <v/>
      </c>
      <c r="BC43" s="27" t="str">
        <f t="shared" si="18"/>
        <v/>
      </c>
      <c r="BD43" s="27" t="str">
        <f t="shared" si="19"/>
        <v/>
      </c>
      <c r="BE43" s="27" t="str">
        <f t="shared" si="20"/>
        <v/>
      </c>
      <c r="BF43" s="27" t="str">
        <f t="shared" si="21"/>
        <v/>
      </c>
      <c r="BG43" s="27" t="str">
        <f t="shared" si="22"/>
        <v/>
      </c>
      <c r="BH43" s="27" t="str">
        <f t="shared" si="23"/>
        <v/>
      </c>
      <c r="BI43" s="27" t="str">
        <f t="shared" si="24"/>
        <v/>
      </c>
      <c r="BJ43" s="27" t="str">
        <f t="shared" si="25"/>
        <v/>
      </c>
      <c r="BK43" s="27" t="str">
        <f t="shared" si="26"/>
        <v/>
      </c>
      <c r="BL43" s="27" t="str">
        <f t="shared" si="27"/>
        <v/>
      </c>
      <c r="BM43" s="21" t="s">
        <v>5581</v>
      </c>
    </row>
    <row r="44" spans="1:65" ht="15">
      <c r="A44" s="25" t="str">
        <f>IFERROR(INDEX('Hun Demand'!W:W,MATCH(O44,'Hun Demand'!A:A,0)),"")</f>
        <v/>
      </c>
      <c r="B44" s="25" t="str">
        <f>IFERROR(INDEX('Hun Demand'!V:V,MATCH(O44,'Hun Demand'!A:A,0)),"")</f>
        <v/>
      </c>
      <c r="C44" s="25" t="str">
        <f>IFERROR(INDEX('Hun Demand'!U:U,MATCH(O44,'Hun Demand'!A:A,0)),"")</f>
        <v/>
      </c>
      <c r="D44" s="25" t="str">
        <f>IFERROR(INDEX('Hun Demand'!T:T,MATCH(O44,'Hun Demand'!A:A,0)),"")</f>
        <v/>
      </c>
      <c r="E44" s="25" t="str">
        <f>IFERROR(INDEX('Hun Demand'!S:S,MATCH(O44,'Hun Demand'!A:A,0)),"")</f>
        <v/>
      </c>
      <c r="F44" s="25" t="str">
        <f>IFERROR(INDEX('Hun Demand'!R:R,MATCH(O44,'Hun Demand'!A:A,0)),"")</f>
        <v/>
      </c>
      <c r="G44" s="25">
        <f>IFERROR(INDEX('Aub Demand'!W:W,MATCH(O44,'Aub Demand'!A:A,0)),"")</f>
        <v>0</v>
      </c>
      <c r="H44" s="25">
        <f>IFERROR(INDEX('Aub Demand'!V:V,MATCH(O44,'Aub Demand'!A:A,0)),"")</f>
        <v>0</v>
      </c>
      <c r="I44" s="25">
        <f>IFERROR(INDEX('Aub Demand'!U:U,MATCH(O44,'Aub Demand'!A:A,0)),"")</f>
        <v>0</v>
      </c>
      <c r="J44" s="25">
        <f>IFERROR(INDEX('Aub Demand'!T:T,MATCH(O44,'Aub Demand'!A:A,0)),"")</f>
        <v>0</v>
      </c>
      <c r="K44" s="25">
        <f>IFERROR(INDEX('Aub Demand'!S:S,MATCH(O44,'Aub Demand'!A:A,0)),"")</f>
        <v>0</v>
      </c>
      <c r="L44" s="25">
        <f>IFERROR(INDEX('Aub Demand'!R:R,MATCH(O44,'Aub Demand'!A:A,0)),"")</f>
        <v>0</v>
      </c>
      <c r="O44" s="27" t="s">
        <v>138</v>
      </c>
      <c r="P44" s="27" t="str">
        <f>IFERROR(INDEX('Aub Demand'!B:B,MATCH($O44,'Aub Demand'!$A:$A,0)),"")</f>
        <v>PARCHMENT</v>
      </c>
      <c r="Q44" s="27" t="str">
        <f>IFERROR(INDEX('Aub Demand'!C:C,MATCH($O44,'Aub Demand'!$A:$A,0)),"")</f>
        <v>GLASS</v>
      </c>
      <c r="R44" s="52">
        <f>IFERROR(IF(AR45=AR44,INDEX('Aub Demand'!K:K,MATCH($O44,'Aub Demand'!$A:$A,0))-IF(AN44="",0,AN44)+AP45,INDEX('Aub Demand'!K:K,MATCH($O44,'Aub Demand'!$A:$A,0))-IF(AN44="",0,AN44)),"")</f>
        <v>645</v>
      </c>
      <c r="S44" s="53" t="str">
        <f t="shared" si="0"/>
        <v>n/a</v>
      </c>
      <c r="T44" s="52" t="str">
        <f t="shared" si="1"/>
        <v/>
      </c>
      <c r="U44" s="52">
        <f>IFERROR(IF(AR45=AR44,INDEX('Aub Demand'!Q:Q,MATCH($O44,'Aub Demand'!$A:$A,0))-IF(AN44="",0,AN44)+AP45,INDEX('Aub Demand'!Q:Q,MATCH($O44,'Aub Demand'!$A:$A,0))-IF(AN44="",0,AN44)),"")</f>
        <v>645</v>
      </c>
      <c r="V44" s="53" t="str">
        <f t="shared" si="2"/>
        <v>n/a</v>
      </c>
      <c r="W44" s="52" t="str">
        <f t="shared" si="3"/>
        <v/>
      </c>
      <c r="X44" s="52">
        <f>IFERROR(IF(AND(AR45=AR44,AM44&lt;&gt;""),INDEX('Aub Demand'!Q:Q,MATCH($O44,'Aub Demand'!$A:$A,0))-IF(AN44="",0,AN44)+AP45+AD44+AL44,IF(AR45=AR44,INDEX('Aub Demand'!Q:Q,MATCH($O44,'Aub Demand'!$A:$A,0))-IF(AN44="",0,AN44)+AP45+AD44,IF(AM44&lt;&gt;"",INDEX('Aub Demand'!Q:Q,MATCH($O44,'Aub Demand'!$A:$A,0))-IF(AN44="",0,AN44)+AD44+AL44,INDEX('Aub Demand'!Q:Q,MATCH($O44,'Aub Demand'!$A:$A,0))-IF(AN44="",0,AN44)+AD44))),"")</f>
        <v>645</v>
      </c>
      <c r="Y44" s="53" t="str">
        <f t="shared" si="4"/>
        <v>n/a</v>
      </c>
      <c r="Z44" s="52">
        <f>IF(L44="","",INDEX('Aub Demand'!H:H,MATCH($O44,'Aub Demand'!$A:$A,0)))</f>
        <v>0</v>
      </c>
      <c r="AA44" s="52" t="str">
        <f t="shared" si="5"/>
        <v>-spike-</v>
      </c>
      <c r="AB44" s="52">
        <f>IFERROR(INDEX('Aub Demand'!L:L,MATCH($O44,'Aub Demand'!$A:$A,0)),"")</f>
        <v>0</v>
      </c>
      <c r="AC44" s="52">
        <f>IFERROR(IF(O44="","",SUMIFS('CPL Mats'!F:F,'CPL Mats'!Q:Q,AR44,'CPL Mats'!S:S,AS44)),"")</f>
        <v>0</v>
      </c>
      <c r="AF44" s="25" t="str">
        <f>IF(SUMIFS('Supp Consol'!S:S,'Supp Consol'!Y:Y,"Releasable",'Supp Consol'!A:A,O44)=0,"",SUMIFS('Supp Consol'!S:S,'Supp Consol'!Y:Y,"Releasable",'Supp Consol'!A:A,O44))</f>
        <v/>
      </c>
      <c r="AG44" s="25" t="str">
        <f>IFERROR(INDEX('Hun Demand'!Q:Q,MATCH(O44,'Hun Demand'!A:A,0)),"")</f>
        <v/>
      </c>
      <c r="AH44" s="25" t="str">
        <f>IFERROR(INDEX('Hun Demand'!H:H,MATCH($O44,'Hun Demand'!$A:$A,0)),"")</f>
        <v/>
      </c>
      <c r="AI44" s="25" t="str">
        <f>IF(SUMIFS('Supp Consol'!AA:AA,'Supp Consol'!Z:Z,"Expires this month",'Supp Consol'!A:A,O44)=0,"",SUMIFS('Supp Consol'!AA:AA,'Supp Consol'!Z:Z,"Expires this month",'Supp Consol'!A:A,O44))</f>
        <v/>
      </c>
      <c r="AJ44" s="25" t="str">
        <f>IF(SUMIFS('Supp Consol'!AA:AA,'Supp Consol'!Z:Z,"Expired Previous Months",'Supp Consol'!A:A,O44)=0,"",SUMIFS('Supp Consol'!AA:AA,'Supp Consol'!Z:Z,"Expired Previous Months",'Supp Consol'!A:A,O44))</f>
        <v/>
      </c>
      <c r="AK44" s="25" t="str">
        <f>IFERROR(INDEX('Hun Release Current'!B:B,MATCH(O44,'Hun Release Current'!A:A,0)),"")</f>
        <v/>
      </c>
      <c r="AL44" s="25" t="str">
        <f>IF(SUMIF('Prev Aub'!A:A,O44,'Prev Aub'!B:B)=0,"",SUMIF('Prev Aub'!A:A,O44,'Prev Aub'!B:B))</f>
        <v/>
      </c>
      <c r="AN44" s="25" t="s">
        <v>3790</v>
      </c>
      <c r="AO44" s="25" t="s">
        <v>3790</v>
      </c>
      <c r="AP44" s="25">
        <f t="shared" si="6"/>
        <v>0</v>
      </c>
      <c r="AQ44" s="151" t="str">
        <f>IF(SUMIFS('Supp Consol'!S:S,'Supp Consol'!A:A,O44,'Supp Consol'!I:I,"PENDING")=0,"",SUMIFS('Supp Consol'!S:S,'Supp Consol'!A:A,O44,'Supp Consol'!I:I,"PENDING"))</f>
        <v/>
      </c>
      <c r="AR44" s="27" t="str">
        <f t="shared" si="7"/>
        <v>00104</v>
      </c>
      <c r="AS44" s="27" t="str">
        <f t="shared" si="8"/>
        <v>65</v>
      </c>
      <c r="AT44" s="27" t="str">
        <f t="shared" si="9"/>
        <v/>
      </c>
      <c r="AU44" s="27" t="str">
        <f t="shared" si="10"/>
        <v/>
      </c>
      <c r="AV44" s="27" t="str">
        <f t="shared" si="11"/>
        <v/>
      </c>
      <c r="AW44" s="27" t="str">
        <f t="shared" si="12"/>
        <v/>
      </c>
      <c r="AX44" s="27" t="str">
        <f t="shared" si="13"/>
        <v/>
      </c>
      <c r="AY44" s="27" t="str">
        <f t="shared" si="14"/>
        <v/>
      </c>
      <c r="AZ44" s="27" t="str">
        <f t="shared" si="15"/>
        <v/>
      </c>
      <c r="BA44" s="27" t="str">
        <f t="shared" si="16"/>
        <v/>
      </c>
      <c r="BB44" s="27" t="str">
        <f t="shared" si="17"/>
        <v/>
      </c>
      <c r="BC44" s="27" t="str">
        <f t="shared" si="18"/>
        <v/>
      </c>
      <c r="BD44" s="27" t="str">
        <f t="shared" si="19"/>
        <v/>
      </c>
      <c r="BE44" s="27" t="str">
        <f t="shared" si="20"/>
        <v/>
      </c>
      <c r="BF44" s="27" t="str">
        <f t="shared" si="21"/>
        <v/>
      </c>
      <c r="BG44" s="27" t="str">
        <f t="shared" si="22"/>
        <v/>
      </c>
      <c r="BH44" s="27" t="str">
        <f t="shared" si="23"/>
        <v/>
      </c>
      <c r="BI44" s="27" t="str">
        <f t="shared" si="24"/>
        <v/>
      </c>
      <c r="BJ44" s="27" t="str">
        <f t="shared" si="25"/>
        <v/>
      </c>
      <c r="BK44" s="27" t="str">
        <f t="shared" si="26"/>
        <v/>
      </c>
      <c r="BL44" s="27" t="str">
        <f t="shared" si="27"/>
        <v/>
      </c>
      <c r="BM44" s="21" t="s">
        <v>5581</v>
      </c>
    </row>
    <row r="45" spans="1:65" ht="15">
      <c r="A45" s="25" t="str">
        <f>IFERROR(INDEX('Hun Demand'!W:W,MATCH(O45,'Hun Demand'!A:A,0)),"")</f>
        <v/>
      </c>
      <c r="B45" s="25" t="str">
        <f>IFERROR(INDEX('Hun Demand'!V:V,MATCH(O45,'Hun Demand'!A:A,0)),"")</f>
        <v/>
      </c>
      <c r="C45" s="25" t="str">
        <f>IFERROR(INDEX('Hun Demand'!U:U,MATCH(O45,'Hun Demand'!A:A,0)),"")</f>
        <v/>
      </c>
      <c r="D45" s="25" t="str">
        <f>IFERROR(INDEX('Hun Demand'!T:T,MATCH(O45,'Hun Demand'!A:A,0)),"")</f>
        <v/>
      </c>
      <c r="E45" s="25" t="str">
        <f>IFERROR(INDEX('Hun Demand'!S:S,MATCH(O45,'Hun Demand'!A:A,0)),"")</f>
        <v/>
      </c>
      <c r="F45" s="25" t="str">
        <f>IFERROR(INDEX('Hun Demand'!R:R,MATCH(O45,'Hun Demand'!A:A,0)),"")</f>
        <v/>
      </c>
      <c r="G45" s="25">
        <f>IFERROR(INDEX('Aub Demand'!W:W,MATCH(O45,'Aub Demand'!A:A,0)),"")</f>
        <v>178</v>
      </c>
      <c r="H45" s="25">
        <f>IFERROR(INDEX('Aub Demand'!V:V,MATCH(O45,'Aub Demand'!A:A,0)),"")</f>
        <v>0</v>
      </c>
      <c r="I45" s="25">
        <f>IFERROR(INDEX('Aub Demand'!U:U,MATCH(O45,'Aub Demand'!A:A,0)),"")</f>
        <v>0</v>
      </c>
      <c r="J45" s="25">
        <f>IFERROR(INDEX('Aub Demand'!T:T,MATCH(O45,'Aub Demand'!A:A,0)),"")</f>
        <v>0</v>
      </c>
      <c r="K45" s="25">
        <f>IFERROR(INDEX('Aub Demand'!S:S,MATCH(O45,'Aub Demand'!A:A,0)),"")</f>
        <v>0</v>
      </c>
      <c r="L45" s="25">
        <f>IFERROR(INDEX('Aub Demand'!R:R,MATCH(O45,'Aub Demand'!A:A,0)),"")</f>
        <v>0</v>
      </c>
      <c r="O45" s="27" t="s">
        <v>139</v>
      </c>
      <c r="P45" s="27" t="str">
        <f>IFERROR(INDEX('Aub Demand'!B:B,MATCH($O45,'Aub Demand'!$A:$A,0)),"")</f>
        <v>LC-3S</v>
      </c>
      <c r="Q45" s="27" t="str">
        <f>IFERROR(INDEX('Aub Demand'!C:C,MATCH($O45,'Aub Demand'!$A:$A,0)),"")</f>
        <v>NOVAC</v>
      </c>
      <c r="R45" s="52">
        <f>IFERROR(IF(AR46=AR45,INDEX('Aub Demand'!K:K,MATCH($O45,'Aub Demand'!$A:$A,0))-IF(AN45="",0,AN45)+AP46,INDEX('Aub Demand'!K:K,MATCH($O45,'Aub Demand'!$A:$A,0))-IF(AN45="",0,AN45)),"")</f>
        <v>606</v>
      </c>
      <c r="S45" s="53" t="str">
        <f t="shared" si="0"/>
        <v>n/a</v>
      </c>
      <c r="T45" s="52" t="str">
        <f t="shared" si="1"/>
        <v/>
      </c>
      <c r="U45" s="52">
        <f>IFERROR(IF(AR46=AR45,INDEX('Aub Demand'!Q:Q,MATCH($O45,'Aub Demand'!$A:$A,0))-IF(AN45="",0,AN45)+AP46,INDEX('Aub Demand'!Q:Q,MATCH($O45,'Aub Demand'!$A:$A,0))-IF(AN45="",0,AN45)),"")</f>
        <v>606</v>
      </c>
      <c r="V45" s="53" t="str">
        <f t="shared" si="2"/>
        <v>n/a</v>
      </c>
      <c r="W45" s="52" t="str">
        <f t="shared" si="3"/>
        <v/>
      </c>
      <c r="X45" s="52">
        <f>IFERROR(IF(AND(AR46=AR45,AM45&lt;&gt;""),INDEX('Aub Demand'!Q:Q,MATCH($O45,'Aub Demand'!$A:$A,0))-IF(AN45="",0,AN45)+AP46+AD45+AL45,IF(AR46=AR45,INDEX('Aub Demand'!Q:Q,MATCH($O45,'Aub Demand'!$A:$A,0))-IF(AN45="",0,AN45)+AP46+AD45,IF(AM45&lt;&gt;"",INDEX('Aub Demand'!Q:Q,MATCH($O45,'Aub Demand'!$A:$A,0))-IF(AN45="",0,AN45)+AD45+AL45,INDEX('Aub Demand'!Q:Q,MATCH($O45,'Aub Demand'!$A:$A,0))-IF(AN45="",0,AN45)+AD45))),"")</f>
        <v>606</v>
      </c>
      <c r="Y45" s="53" t="str">
        <f t="shared" si="4"/>
        <v>n/a</v>
      </c>
      <c r="Z45" s="52">
        <f>IF(L45="","",INDEX('Aub Demand'!H:H,MATCH($O45,'Aub Demand'!$A:$A,0)))</f>
        <v>0</v>
      </c>
      <c r="AA45" s="52" t="str">
        <f t="shared" si="5"/>
        <v>-spike-</v>
      </c>
      <c r="AB45" s="52">
        <f>IFERROR(INDEX('Aub Demand'!L:L,MATCH($O45,'Aub Demand'!$A:$A,0)),"")</f>
        <v>215</v>
      </c>
      <c r="AC45" s="52">
        <f>IFERROR(IF(O45="","",SUMIFS('CPL Mats'!F:F,'CPL Mats'!Q:Q,AR45,'CPL Mats'!S:S,AS45)),"")</f>
        <v>0</v>
      </c>
      <c r="AF45" s="25">
        <f>IF(SUMIFS('Supp Consol'!S:S,'Supp Consol'!Y:Y,"Releasable",'Supp Consol'!A:A,O45)=0,"",SUMIFS('Supp Consol'!S:S,'Supp Consol'!Y:Y,"Releasable",'Supp Consol'!A:A,O45))</f>
        <v>2400</v>
      </c>
      <c r="AG45" s="25" t="str">
        <f>IFERROR(INDEX('Hun Demand'!Q:Q,MATCH(O45,'Hun Demand'!A:A,0)),"")</f>
        <v/>
      </c>
      <c r="AH45" s="25" t="str">
        <f>IFERROR(INDEX('Hun Demand'!H:H,MATCH($O45,'Hun Demand'!$A:$A,0)),"")</f>
        <v/>
      </c>
      <c r="AI45" s="25" t="str">
        <f>IF(SUMIFS('Supp Consol'!AA:AA,'Supp Consol'!Z:Z,"Expires this month",'Supp Consol'!A:A,O45)=0,"",SUMIFS('Supp Consol'!AA:AA,'Supp Consol'!Z:Z,"Expires this month",'Supp Consol'!A:A,O45))</f>
        <v/>
      </c>
      <c r="AJ45" s="25" t="str">
        <f>IF(SUMIFS('Supp Consol'!AA:AA,'Supp Consol'!Z:Z,"Expired Previous Months",'Supp Consol'!A:A,O45)=0,"",SUMIFS('Supp Consol'!AA:AA,'Supp Consol'!Z:Z,"Expired Previous Months",'Supp Consol'!A:A,O45))</f>
        <v/>
      </c>
      <c r="AK45" s="25" t="str">
        <f>IFERROR(INDEX('Hun Release Current'!B:B,MATCH(O45,'Hun Release Current'!A:A,0)),"")</f>
        <v/>
      </c>
      <c r="AL45" s="25" t="str">
        <f>IF(SUMIF('Prev Aub'!A:A,O45,'Prev Aub'!B:B)=0,"",SUMIF('Prev Aub'!A:A,O45,'Prev Aub'!B:B))</f>
        <v/>
      </c>
      <c r="AN45" s="25" t="s">
        <v>3790</v>
      </c>
      <c r="AO45" s="25" t="s">
        <v>3790</v>
      </c>
      <c r="AP45" s="25">
        <f t="shared" si="6"/>
        <v>0</v>
      </c>
      <c r="AQ45" s="151" t="str">
        <f>IF(SUMIFS('Supp Consol'!S:S,'Supp Consol'!A:A,O45,'Supp Consol'!I:I,"PENDING")=0,"",SUMIFS('Supp Consol'!S:S,'Supp Consol'!A:A,O45,'Supp Consol'!I:I,"PENDING"))</f>
        <v/>
      </c>
      <c r="AR45" s="27" t="str">
        <f t="shared" si="7"/>
        <v>00115</v>
      </c>
      <c r="AS45" s="27" t="str">
        <f t="shared" si="8"/>
        <v>50</v>
      </c>
      <c r="AT45" s="27" t="str">
        <f t="shared" si="9"/>
        <v/>
      </c>
      <c r="AU45" s="27" t="str">
        <f t="shared" si="10"/>
        <v/>
      </c>
      <c r="AV45" s="27" t="str">
        <f t="shared" si="11"/>
        <v/>
      </c>
      <c r="AW45" s="27" t="str">
        <f t="shared" si="12"/>
        <v/>
      </c>
      <c r="AX45" s="27" t="str">
        <f t="shared" si="13"/>
        <v>00115</v>
      </c>
      <c r="AY45" s="27" t="str">
        <f t="shared" si="14"/>
        <v/>
      </c>
      <c r="AZ45" s="27" t="str">
        <f t="shared" si="15"/>
        <v>Supp</v>
      </c>
      <c r="BA45" s="27" t="str">
        <f t="shared" si="16"/>
        <v/>
      </c>
      <c r="BB45" s="27" t="str">
        <f t="shared" si="17"/>
        <v/>
      </c>
      <c r="BC45" s="27" t="str">
        <f t="shared" si="18"/>
        <v/>
      </c>
      <c r="BD45" s="27" t="str">
        <f t="shared" si="19"/>
        <v/>
      </c>
      <c r="BE45" s="27" t="str">
        <f t="shared" si="20"/>
        <v/>
      </c>
      <c r="BF45" s="27" t="str">
        <f t="shared" si="21"/>
        <v/>
      </c>
      <c r="BG45" s="27" t="str">
        <f t="shared" si="22"/>
        <v/>
      </c>
      <c r="BH45" s="27" t="str">
        <f t="shared" si="23"/>
        <v/>
      </c>
      <c r="BI45" s="27" t="str">
        <f t="shared" si="24"/>
        <v/>
      </c>
      <c r="BJ45" s="27" t="str">
        <f t="shared" si="25"/>
        <v>Supp or Hun</v>
      </c>
      <c r="BK45" s="27" t="str">
        <f t="shared" si="26"/>
        <v/>
      </c>
      <c r="BL45" s="27" t="str">
        <f t="shared" si="27"/>
        <v/>
      </c>
      <c r="BM45" s="21" t="s">
        <v>5581</v>
      </c>
    </row>
    <row r="46" spans="1:65" ht="15">
      <c r="A46" s="25" t="str">
        <f>IFERROR(INDEX('Hun Demand'!W:W,MATCH(O46,'Hun Demand'!A:A,0)),"")</f>
        <v/>
      </c>
      <c r="B46" s="25" t="str">
        <f>IFERROR(INDEX('Hun Demand'!V:V,MATCH(O46,'Hun Demand'!A:A,0)),"")</f>
        <v/>
      </c>
      <c r="C46" s="25" t="str">
        <f>IFERROR(INDEX('Hun Demand'!U:U,MATCH(O46,'Hun Demand'!A:A,0)),"")</f>
        <v/>
      </c>
      <c r="D46" s="25" t="str">
        <f>IFERROR(INDEX('Hun Demand'!T:T,MATCH(O46,'Hun Demand'!A:A,0)),"")</f>
        <v/>
      </c>
      <c r="E46" s="25" t="str">
        <f>IFERROR(INDEX('Hun Demand'!S:S,MATCH(O46,'Hun Demand'!A:A,0)),"")</f>
        <v/>
      </c>
      <c r="F46" s="25" t="str">
        <f>IFERROR(INDEX('Hun Demand'!R:R,MATCH(O46,'Hun Demand'!A:A,0)),"")</f>
        <v/>
      </c>
      <c r="G46" s="25">
        <f>IFERROR(INDEX('Aub Demand'!W:W,MATCH(O46,'Aub Demand'!A:A,0)),"")</f>
        <v>0</v>
      </c>
      <c r="H46" s="25">
        <f>IFERROR(INDEX('Aub Demand'!V:V,MATCH(O46,'Aub Demand'!A:A,0)),"")</f>
        <v>0</v>
      </c>
      <c r="I46" s="25">
        <f>IFERROR(INDEX('Aub Demand'!U:U,MATCH(O46,'Aub Demand'!A:A,0)),"")</f>
        <v>161</v>
      </c>
      <c r="J46" s="25">
        <f>IFERROR(INDEX('Aub Demand'!T:T,MATCH(O46,'Aub Demand'!A:A,0)),"")</f>
        <v>0</v>
      </c>
      <c r="K46" s="25">
        <f>IFERROR(INDEX('Aub Demand'!S:S,MATCH(O46,'Aub Demand'!A:A,0)),"")</f>
        <v>0</v>
      </c>
      <c r="L46" s="25">
        <f>IFERROR(INDEX('Aub Demand'!R:R,MATCH(O46,'Aub Demand'!A:A,0)),"")</f>
        <v>0</v>
      </c>
      <c r="O46" s="27" t="s">
        <v>143</v>
      </c>
      <c r="P46" s="27" t="str">
        <f>IFERROR(INDEX('Aub Demand'!B:B,MATCH($O46,'Aub Demand'!$A:$A,0)),"")</f>
        <v>LC-3S</v>
      </c>
      <c r="Q46" s="27" t="str">
        <f>IFERROR(INDEX('Aub Demand'!C:C,MATCH($O46,'Aub Demand'!$A:$A,0)),"")</f>
        <v>NOVAC</v>
      </c>
      <c r="R46" s="52">
        <f>IFERROR(IF(AR47=AR46,INDEX('Aub Demand'!K:K,MATCH($O46,'Aub Demand'!$A:$A,0))-IF(AN46="",0,AN46)+AP47,INDEX('Aub Demand'!K:K,MATCH($O46,'Aub Demand'!$A:$A,0))-IF(AN46="",0,AN46)),"")</f>
        <v>624</v>
      </c>
      <c r="S46" s="53">
        <f t="shared" si="0"/>
        <v>49.5</v>
      </c>
      <c r="T46" s="52" t="str">
        <f t="shared" si="1"/>
        <v/>
      </c>
      <c r="U46" s="52">
        <f>IFERROR(IF(AR47=AR46,INDEX('Aub Demand'!Q:Q,MATCH($O46,'Aub Demand'!$A:$A,0))-IF(AN46="",0,AN46)+AP47,INDEX('Aub Demand'!Q:Q,MATCH($O46,'Aub Demand'!$A:$A,0))-IF(AN46="",0,AN46)),"")</f>
        <v>624</v>
      </c>
      <c r="V46" s="53">
        <f t="shared" si="2"/>
        <v>49.5</v>
      </c>
      <c r="W46" s="52" t="str">
        <f t="shared" si="3"/>
        <v/>
      </c>
      <c r="X46" s="52">
        <f>IFERROR(IF(AND(AR47=AR46,AM46&lt;&gt;""),INDEX('Aub Demand'!Q:Q,MATCH($O46,'Aub Demand'!$A:$A,0))-IF(AN46="",0,AN46)+AP47+AD46+AL46,IF(AR47=AR46,INDEX('Aub Demand'!Q:Q,MATCH($O46,'Aub Demand'!$A:$A,0))-IF(AN46="",0,AN46)+AP47+AD46,IF(AM46&lt;&gt;"",INDEX('Aub Demand'!Q:Q,MATCH($O46,'Aub Demand'!$A:$A,0))-IF(AN46="",0,AN46)+AD46+AL46,INDEX('Aub Demand'!Q:Q,MATCH($O46,'Aub Demand'!$A:$A,0))-IF(AN46="",0,AN46)+AD46))),"")</f>
        <v>624</v>
      </c>
      <c r="Y46" s="53">
        <f t="shared" si="4"/>
        <v>49.5</v>
      </c>
      <c r="Z46" s="52">
        <f>IF(L46="","",INDEX('Aub Demand'!H:H,MATCH($O46,'Aub Demand'!$A:$A,0)))</f>
        <v>54</v>
      </c>
      <c r="AA46" s="52" t="str">
        <f t="shared" si="5"/>
        <v>-spike-</v>
      </c>
      <c r="AB46" s="52">
        <f>IFERROR(INDEX('Aub Demand'!L:L,MATCH($O46,'Aub Demand'!$A:$A,0)),"")</f>
        <v>33</v>
      </c>
      <c r="AC46" s="52">
        <f>IFERROR(IF(O46="","",SUMIFS('CPL Mats'!F:F,'CPL Mats'!Q:Q,AR46,'CPL Mats'!S:S,AS46)),"")</f>
        <v>0</v>
      </c>
      <c r="AF46" s="25">
        <f>IF(SUMIFS('Supp Consol'!S:S,'Supp Consol'!Y:Y,"Releasable",'Supp Consol'!A:A,O46)=0,"",SUMIFS('Supp Consol'!S:S,'Supp Consol'!Y:Y,"Releasable",'Supp Consol'!A:A,O46))</f>
        <v>2000</v>
      </c>
      <c r="AG46" s="25" t="str">
        <f>IFERROR(INDEX('Hun Demand'!Q:Q,MATCH(O46,'Hun Demand'!A:A,0)),"")</f>
        <v/>
      </c>
      <c r="AH46" s="25" t="str">
        <f>IFERROR(INDEX('Hun Demand'!H:H,MATCH($O46,'Hun Demand'!$A:$A,0)),"")</f>
        <v/>
      </c>
      <c r="AI46" s="25" t="str">
        <f>IF(SUMIFS('Supp Consol'!AA:AA,'Supp Consol'!Z:Z,"Expires this month",'Supp Consol'!A:A,O46)=0,"",SUMIFS('Supp Consol'!AA:AA,'Supp Consol'!Z:Z,"Expires this month",'Supp Consol'!A:A,O46))</f>
        <v/>
      </c>
      <c r="AJ46" s="25" t="str">
        <f>IF(SUMIFS('Supp Consol'!AA:AA,'Supp Consol'!Z:Z,"Expired Previous Months",'Supp Consol'!A:A,O46)=0,"",SUMIFS('Supp Consol'!AA:AA,'Supp Consol'!Z:Z,"Expired Previous Months",'Supp Consol'!A:A,O46))</f>
        <v/>
      </c>
      <c r="AK46" s="25" t="str">
        <f>IFERROR(INDEX('Hun Release Current'!B:B,MATCH(O46,'Hun Release Current'!A:A,0)),"")</f>
        <v/>
      </c>
      <c r="AL46" s="25" t="str">
        <f>IF(SUMIF('Prev Aub'!A:A,O46,'Prev Aub'!B:B)=0,"",SUMIF('Prev Aub'!A:A,O46,'Prev Aub'!B:B))</f>
        <v/>
      </c>
      <c r="AN46" s="25" t="s">
        <v>3790</v>
      </c>
      <c r="AO46" s="25" t="s">
        <v>3790</v>
      </c>
      <c r="AP46" s="25">
        <f t="shared" si="6"/>
        <v>0</v>
      </c>
      <c r="AQ46" s="151" t="str">
        <f>IF(SUMIFS('Supp Consol'!S:S,'Supp Consol'!A:A,O46,'Supp Consol'!I:I,"PENDING")=0,"",SUMIFS('Supp Consol'!S:S,'Supp Consol'!A:A,O46,'Supp Consol'!I:I,"PENDING"))</f>
        <v/>
      </c>
      <c r="AR46" s="27" t="str">
        <f t="shared" si="7"/>
        <v>00115</v>
      </c>
      <c r="AS46" s="27" t="str">
        <f t="shared" si="8"/>
        <v>62</v>
      </c>
      <c r="AT46" s="27" t="str">
        <f t="shared" si="9"/>
        <v/>
      </c>
      <c r="AU46" s="27" t="str">
        <f t="shared" si="10"/>
        <v/>
      </c>
      <c r="AV46" s="27" t="str">
        <f t="shared" si="11"/>
        <v/>
      </c>
      <c r="AW46" s="27" t="str">
        <f t="shared" si="12"/>
        <v/>
      </c>
      <c r="AX46" s="27" t="str">
        <f t="shared" si="13"/>
        <v>00115</v>
      </c>
      <c r="AY46" s="27" t="str">
        <f t="shared" si="14"/>
        <v/>
      </c>
      <c r="AZ46" s="27" t="str">
        <f t="shared" si="15"/>
        <v>Supp</v>
      </c>
      <c r="BA46" s="27" t="str">
        <f t="shared" si="16"/>
        <v/>
      </c>
      <c r="BB46" s="27" t="str">
        <f t="shared" si="17"/>
        <v/>
      </c>
      <c r="BC46" s="27" t="str">
        <f t="shared" si="18"/>
        <v/>
      </c>
      <c r="BD46" s="27" t="str">
        <f t="shared" si="19"/>
        <v/>
      </c>
      <c r="BE46" s="27" t="str">
        <f t="shared" si="20"/>
        <v/>
      </c>
      <c r="BF46" s="27" t="str">
        <f t="shared" si="21"/>
        <v/>
      </c>
      <c r="BG46" s="27" t="str">
        <f t="shared" si="22"/>
        <v/>
      </c>
      <c r="BH46" s="27" t="str">
        <f t="shared" si="23"/>
        <v/>
      </c>
      <c r="BI46" s="27" t="str">
        <f t="shared" si="24"/>
        <v/>
      </c>
      <c r="BJ46" s="27" t="str">
        <f t="shared" si="25"/>
        <v>Supp or Hun</v>
      </c>
      <c r="BK46" s="27" t="str">
        <f t="shared" si="26"/>
        <v/>
      </c>
      <c r="BL46" s="27" t="str">
        <f t="shared" si="27"/>
        <v/>
      </c>
      <c r="BM46" s="21" t="s">
        <v>5581</v>
      </c>
    </row>
    <row r="47" spans="1:65" ht="15">
      <c r="A47" s="25" t="str">
        <f>IFERROR(INDEX('Hun Demand'!W:W,MATCH(O47,'Hun Demand'!A:A,0)),"")</f>
        <v/>
      </c>
      <c r="B47" s="25" t="str">
        <f>IFERROR(INDEX('Hun Demand'!V:V,MATCH(O47,'Hun Demand'!A:A,0)),"")</f>
        <v/>
      </c>
      <c r="C47" s="25" t="str">
        <f>IFERROR(INDEX('Hun Demand'!U:U,MATCH(O47,'Hun Demand'!A:A,0)),"")</f>
        <v/>
      </c>
      <c r="D47" s="25" t="str">
        <f>IFERROR(INDEX('Hun Demand'!T:T,MATCH(O47,'Hun Demand'!A:A,0)),"")</f>
        <v/>
      </c>
      <c r="E47" s="25" t="str">
        <f>IFERROR(INDEX('Hun Demand'!S:S,MATCH(O47,'Hun Demand'!A:A,0)),"")</f>
        <v/>
      </c>
      <c r="F47" s="25" t="str">
        <f>IFERROR(INDEX('Hun Demand'!R:R,MATCH(O47,'Hun Demand'!A:A,0)),"")</f>
        <v/>
      </c>
      <c r="G47" s="25">
        <f>IFERROR(INDEX('Aub Demand'!W:W,MATCH(O47,'Aub Demand'!A:A,0)),"")</f>
        <v>0</v>
      </c>
      <c r="H47" s="25">
        <f>IFERROR(INDEX('Aub Demand'!V:V,MATCH(O47,'Aub Demand'!A:A,0)),"")</f>
        <v>0</v>
      </c>
      <c r="I47" s="25">
        <f>IFERROR(INDEX('Aub Demand'!U:U,MATCH(O47,'Aub Demand'!A:A,0)),"")</f>
        <v>0</v>
      </c>
      <c r="J47" s="25">
        <f>IFERROR(INDEX('Aub Demand'!T:T,MATCH(O47,'Aub Demand'!A:A,0)),"")</f>
        <v>0</v>
      </c>
      <c r="K47" s="25">
        <f>IFERROR(INDEX('Aub Demand'!S:S,MATCH(O47,'Aub Demand'!A:A,0)),"")</f>
        <v>0</v>
      </c>
      <c r="L47" s="25">
        <f>IFERROR(INDEX('Aub Demand'!R:R,MATCH(O47,'Aub Demand'!A:A,0)),"")</f>
        <v>0</v>
      </c>
      <c r="O47" s="27" t="s">
        <v>144</v>
      </c>
      <c r="P47" s="27" t="str">
        <f>IFERROR(INDEX('Aub Demand'!B:B,MATCH($O47,'Aub Demand'!$A:$A,0)),"")</f>
        <v>GLOSS FILM 2 UNPRINT</v>
      </c>
      <c r="Q47" s="27" t="str">
        <f>IFERROR(INDEX('Aub Demand'!C:C,MATCH($O47,'Aub Demand'!$A:$A,0)),"")</f>
        <v>MAIN</v>
      </c>
      <c r="R47" s="52">
        <f>IFERROR(IF(AR48=AR47,INDEX('Aub Demand'!K:K,MATCH($O47,'Aub Demand'!$A:$A,0))-IF(AN47="",0,AN47)+AP48,INDEX('Aub Demand'!K:K,MATCH($O47,'Aub Demand'!$A:$A,0))-IF(AN47="",0,AN47)),"")</f>
        <v>325</v>
      </c>
      <c r="S47" s="53" t="str">
        <f t="shared" si="0"/>
        <v>n/a</v>
      </c>
      <c r="T47" s="52" t="str">
        <f t="shared" si="1"/>
        <v/>
      </c>
      <c r="U47" s="52">
        <f>IFERROR(IF(AR48=AR47,INDEX('Aub Demand'!Q:Q,MATCH($O47,'Aub Demand'!$A:$A,0))-IF(AN47="",0,AN47)+AP48,INDEX('Aub Demand'!Q:Q,MATCH($O47,'Aub Demand'!$A:$A,0))-IF(AN47="",0,AN47)),"")</f>
        <v>325</v>
      </c>
      <c r="V47" s="53" t="str">
        <f t="shared" si="2"/>
        <v>n/a</v>
      </c>
      <c r="W47" s="52" t="str">
        <f t="shared" si="3"/>
        <v/>
      </c>
      <c r="X47" s="52">
        <f>IFERROR(IF(AND(AR48=AR47,AM47&lt;&gt;""),INDEX('Aub Demand'!Q:Q,MATCH($O47,'Aub Demand'!$A:$A,0))-IF(AN47="",0,AN47)+AP48+AD47+AL47,IF(AR48=AR47,INDEX('Aub Demand'!Q:Q,MATCH($O47,'Aub Demand'!$A:$A,0))-IF(AN47="",0,AN47)+AP48+AD47,IF(AM47&lt;&gt;"",INDEX('Aub Demand'!Q:Q,MATCH($O47,'Aub Demand'!$A:$A,0))-IF(AN47="",0,AN47)+AD47+AL47,INDEX('Aub Demand'!Q:Q,MATCH($O47,'Aub Demand'!$A:$A,0))-IF(AN47="",0,AN47)+AD47))),"")</f>
        <v>325</v>
      </c>
      <c r="Y47" s="53" t="str">
        <f t="shared" si="4"/>
        <v>n/a</v>
      </c>
      <c r="Z47" s="52">
        <f>IF(L47="","",INDEX('Aub Demand'!H:H,MATCH($O47,'Aub Demand'!$A:$A,0)))</f>
        <v>0</v>
      </c>
      <c r="AA47" s="52" t="str">
        <f t="shared" si="5"/>
        <v>-spike-</v>
      </c>
      <c r="AB47" s="52">
        <f>IFERROR(INDEX('Aub Demand'!L:L,MATCH($O47,'Aub Demand'!$A:$A,0)),"")</f>
        <v>0</v>
      </c>
      <c r="AC47" s="52">
        <f>IFERROR(IF(O47="","",SUMIFS('CPL Mats'!F:F,'CPL Mats'!Q:Q,AR47,'CPL Mats'!S:S,AS47)),"")</f>
        <v>0</v>
      </c>
      <c r="AF47" s="25" t="str">
        <f>IF(SUMIFS('Supp Consol'!S:S,'Supp Consol'!Y:Y,"Releasable",'Supp Consol'!A:A,O47)=0,"",SUMIFS('Supp Consol'!S:S,'Supp Consol'!Y:Y,"Releasable",'Supp Consol'!A:A,O47))</f>
        <v/>
      </c>
      <c r="AG47" s="25" t="str">
        <f>IFERROR(INDEX('Hun Demand'!Q:Q,MATCH(O47,'Hun Demand'!A:A,0)),"")</f>
        <v/>
      </c>
      <c r="AH47" s="25" t="str">
        <f>IFERROR(INDEX('Hun Demand'!H:H,MATCH($O47,'Hun Demand'!$A:$A,0)),"")</f>
        <v/>
      </c>
      <c r="AI47" s="25" t="str">
        <f>IF(SUMIFS('Supp Consol'!AA:AA,'Supp Consol'!Z:Z,"Expires this month",'Supp Consol'!A:A,O47)=0,"",SUMIFS('Supp Consol'!AA:AA,'Supp Consol'!Z:Z,"Expires this month",'Supp Consol'!A:A,O47))</f>
        <v/>
      </c>
      <c r="AJ47" s="25" t="str">
        <f>IF(SUMIFS('Supp Consol'!AA:AA,'Supp Consol'!Z:Z,"Expired Previous Months",'Supp Consol'!A:A,O47)=0,"",SUMIFS('Supp Consol'!AA:AA,'Supp Consol'!Z:Z,"Expired Previous Months",'Supp Consol'!A:A,O47))</f>
        <v/>
      </c>
      <c r="AK47" s="25" t="str">
        <f>IFERROR(INDEX('Hun Release Current'!B:B,MATCH(O47,'Hun Release Current'!A:A,0)),"")</f>
        <v/>
      </c>
      <c r="AL47" s="25" t="str">
        <f>IF(SUMIF('Prev Aub'!A:A,O47,'Prev Aub'!B:B)=0,"",SUMIF('Prev Aub'!A:A,O47,'Prev Aub'!B:B))</f>
        <v/>
      </c>
      <c r="AN47" s="25" t="s">
        <v>3790</v>
      </c>
      <c r="AO47" s="25" t="s">
        <v>3790</v>
      </c>
      <c r="AP47" s="25">
        <f t="shared" si="6"/>
        <v>0</v>
      </c>
      <c r="AQ47" s="151" t="str">
        <f>IF(SUMIFS('Supp Consol'!S:S,'Supp Consol'!A:A,O47,'Supp Consol'!I:I,"PENDING")=0,"",SUMIFS('Supp Consol'!S:S,'Supp Consol'!A:A,O47,'Supp Consol'!I:I,"PENDING"))</f>
        <v/>
      </c>
      <c r="AR47" s="27" t="str">
        <f t="shared" si="7"/>
        <v>00117</v>
      </c>
      <c r="AS47" s="27" t="str">
        <f t="shared" si="8"/>
        <v>37</v>
      </c>
      <c r="AT47" s="27" t="str">
        <f t="shared" si="9"/>
        <v/>
      </c>
      <c r="AU47" s="27" t="str">
        <f t="shared" si="10"/>
        <v/>
      </c>
      <c r="AV47" s="27" t="str">
        <f t="shared" si="11"/>
        <v/>
      </c>
      <c r="AW47" s="27" t="str">
        <f t="shared" si="12"/>
        <v/>
      </c>
      <c r="AX47" s="27" t="str">
        <f t="shared" si="13"/>
        <v/>
      </c>
      <c r="AY47" s="27" t="str">
        <f t="shared" si="14"/>
        <v/>
      </c>
      <c r="AZ47" s="27" t="str">
        <f t="shared" si="15"/>
        <v/>
      </c>
      <c r="BA47" s="27" t="str">
        <f t="shared" si="16"/>
        <v/>
      </c>
      <c r="BB47" s="27" t="str">
        <f t="shared" si="17"/>
        <v/>
      </c>
      <c r="BC47" s="27" t="str">
        <f t="shared" si="18"/>
        <v/>
      </c>
      <c r="BD47" s="27" t="str">
        <f t="shared" si="19"/>
        <v/>
      </c>
      <c r="BE47" s="27" t="str">
        <f t="shared" si="20"/>
        <v/>
      </c>
      <c r="BF47" s="27" t="str">
        <f t="shared" si="21"/>
        <v/>
      </c>
      <c r="BG47" s="27" t="str">
        <f t="shared" si="22"/>
        <v/>
      </c>
      <c r="BH47" s="27" t="str">
        <f t="shared" si="23"/>
        <v/>
      </c>
      <c r="BI47" s="27" t="str">
        <f t="shared" si="24"/>
        <v/>
      </c>
      <c r="BJ47" s="27" t="str">
        <f t="shared" si="25"/>
        <v/>
      </c>
      <c r="BK47" s="27" t="str">
        <f t="shared" si="26"/>
        <v/>
      </c>
      <c r="BL47" s="27" t="str">
        <f t="shared" si="27"/>
        <v/>
      </c>
      <c r="BM47" s="21" t="s">
        <v>5581</v>
      </c>
    </row>
    <row r="48" spans="1:65" ht="15">
      <c r="A48" s="25" t="str">
        <f>IFERROR(INDEX('Hun Demand'!W:W,MATCH(O48,'Hun Demand'!A:A,0)),"")</f>
        <v/>
      </c>
      <c r="B48" s="25" t="str">
        <f>IFERROR(INDEX('Hun Demand'!V:V,MATCH(O48,'Hun Demand'!A:A,0)),"")</f>
        <v/>
      </c>
      <c r="C48" s="25" t="str">
        <f>IFERROR(INDEX('Hun Demand'!U:U,MATCH(O48,'Hun Demand'!A:A,0)),"")</f>
        <v/>
      </c>
      <c r="D48" s="25" t="str">
        <f>IFERROR(INDEX('Hun Demand'!T:T,MATCH(O48,'Hun Demand'!A:A,0)),"")</f>
        <v/>
      </c>
      <c r="E48" s="25" t="str">
        <f>IFERROR(INDEX('Hun Demand'!S:S,MATCH(O48,'Hun Demand'!A:A,0)),"")</f>
        <v/>
      </c>
      <c r="F48" s="25" t="str">
        <f>IFERROR(INDEX('Hun Demand'!R:R,MATCH(O48,'Hun Demand'!A:A,0)),"")</f>
        <v/>
      </c>
      <c r="G48" s="25">
        <f>IFERROR(INDEX('Aub Demand'!W:W,MATCH(O48,'Aub Demand'!A:A,0)),"")</f>
        <v>463</v>
      </c>
      <c r="H48" s="25">
        <f>IFERROR(INDEX('Aub Demand'!V:V,MATCH(O48,'Aub Demand'!A:A,0)),"")</f>
        <v>425</v>
      </c>
      <c r="I48" s="25">
        <f>IFERROR(INDEX('Aub Demand'!U:U,MATCH(O48,'Aub Demand'!A:A,0)),"")</f>
        <v>392</v>
      </c>
      <c r="J48" s="25">
        <f>IFERROR(INDEX('Aub Demand'!T:T,MATCH(O48,'Aub Demand'!A:A,0)),"")</f>
        <v>172</v>
      </c>
      <c r="K48" s="25">
        <f>IFERROR(INDEX('Aub Demand'!S:S,MATCH(O48,'Aub Demand'!A:A,0)),"")</f>
        <v>191</v>
      </c>
      <c r="L48" s="25">
        <f>IFERROR(INDEX('Aub Demand'!R:R,MATCH(O48,'Aub Demand'!A:A,0)),"")</f>
        <v>0</v>
      </c>
      <c r="O48" s="27" t="s">
        <v>148</v>
      </c>
      <c r="P48" s="27" t="str">
        <f>IFERROR(INDEX('Aub Demand'!B:B,MATCH($O48,'Aub Demand'!$A:$A,0)),"")</f>
        <v>GLOSS FILM 2 UNPRINT</v>
      </c>
      <c r="Q48" s="27" t="str">
        <f>IFERROR(INDEX('Aub Demand'!C:C,MATCH($O48,'Aub Demand'!$A:$A,0)),"")</f>
        <v>MAIN</v>
      </c>
      <c r="R48" s="52">
        <f>IFERROR(IF(AR49=AR48,INDEX('Aub Demand'!K:K,MATCH($O48,'Aub Demand'!$A:$A,0))-IF(AN48="",0,AN48)+AP49,INDEX('Aub Demand'!K:K,MATCH($O48,'Aub Demand'!$A:$A,0))-IF(AN48="",0,AN48)),"")</f>
        <v>614</v>
      </c>
      <c r="S48" s="53">
        <f t="shared" si="0"/>
        <v>10.5</v>
      </c>
      <c r="T48" s="52" t="str">
        <f t="shared" si="1"/>
        <v/>
      </c>
      <c r="U48" s="52">
        <f>IFERROR(IF(AR49=AR48,INDEX('Aub Demand'!Q:Q,MATCH($O48,'Aub Demand'!$A:$A,0))-IF(AN48="",0,AN48)+AP49,INDEX('Aub Demand'!Q:Q,MATCH($O48,'Aub Demand'!$A:$A,0))-IF(AN48="",0,AN48)),"")</f>
        <v>242</v>
      </c>
      <c r="V48" s="53">
        <f t="shared" si="2"/>
        <v>4.0999999999999996</v>
      </c>
      <c r="W48" s="52" t="str">
        <f t="shared" si="3"/>
        <v/>
      </c>
      <c r="X48" s="52">
        <f>IFERROR(IF(AND(AR49=AR48,AM48&lt;&gt;""),INDEX('Aub Demand'!Q:Q,MATCH($O48,'Aub Demand'!$A:$A,0))-IF(AN48="",0,AN48)+AP49+AD48+AL48,IF(AR49=AR48,INDEX('Aub Demand'!Q:Q,MATCH($O48,'Aub Demand'!$A:$A,0))-IF(AN48="",0,AN48)+AP49+AD48,IF(AM48&lt;&gt;"",INDEX('Aub Demand'!Q:Q,MATCH($O48,'Aub Demand'!$A:$A,0))-IF(AN48="",0,AN48)+AD48+AL48,INDEX('Aub Demand'!Q:Q,MATCH($O48,'Aub Demand'!$A:$A,0))-IF(AN48="",0,AN48)+AD48))),"")</f>
        <v>242</v>
      </c>
      <c r="Y48" s="53">
        <f t="shared" si="4"/>
        <v>4.0999999999999996</v>
      </c>
      <c r="Z48" s="52">
        <f>IF(L48="","",INDEX('Aub Demand'!H:H,MATCH($O48,'Aub Demand'!$A:$A,0)))</f>
        <v>251</v>
      </c>
      <c r="AA48" s="52">
        <f t="shared" si="5"/>
        <v>291.5</v>
      </c>
      <c r="AB48" s="52">
        <f>IFERROR(INDEX('Aub Demand'!L:L,MATCH($O48,'Aub Demand'!$A:$A,0)),"")</f>
        <v>45</v>
      </c>
      <c r="AC48" s="52">
        <f>IFERROR(IF(O48="","",SUMIFS('CPL Mats'!F:F,'CPL Mats'!Q:Q,AR48,'CPL Mats'!S:S,AS48)),"")</f>
        <v>0</v>
      </c>
      <c r="AF48" s="25" t="str">
        <f>IF(SUMIFS('Supp Consol'!S:S,'Supp Consol'!Y:Y,"Releasable",'Supp Consol'!A:A,O48)=0,"",SUMIFS('Supp Consol'!S:S,'Supp Consol'!Y:Y,"Releasable",'Supp Consol'!A:A,O48))</f>
        <v/>
      </c>
      <c r="AG48" s="25" t="str">
        <f>IFERROR(INDEX('Hun Demand'!Q:Q,MATCH(O48,'Hun Demand'!A:A,0)),"")</f>
        <v/>
      </c>
      <c r="AH48" s="25" t="str">
        <f>IFERROR(INDEX('Hun Demand'!H:H,MATCH($O48,'Hun Demand'!$A:$A,0)),"")</f>
        <v/>
      </c>
      <c r="AI48" s="25" t="str">
        <f>IF(SUMIFS('Supp Consol'!AA:AA,'Supp Consol'!Z:Z,"Expires this month",'Supp Consol'!A:A,O48)=0,"",SUMIFS('Supp Consol'!AA:AA,'Supp Consol'!Z:Z,"Expires this month",'Supp Consol'!A:A,O48))</f>
        <v/>
      </c>
      <c r="AJ48" s="25" t="str">
        <f>IF(SUMIFS('Supp Consol'!AA:AA,'Supp Consol'!Z:Z,"Expired Previous Months",'Supp Consol'!A:A,O48)=0,"",SUMIFS('Supp Consol'!AA:AA,'Supp Consol'!Z:Z,"Expired Previous Months",'Supp Consol'!A:A,O48))</f>
        <v/>
      </c>
      <c r="AK48" s="25" t="str">
        <f>IFERROR(INDEX('Hun Release Current'!B:B,MATCH(O48,'Hun Release Current'!A:A,0)),"")</f>
        <v/>
      </c>
      <c r="AL48" s="25" t="str">
        <f>IF(SUMIF('Prev Aub'!A:A,O48,'Prev Aub'!B:B)=0,"",SUMIF('Prev Aub'!A:A,O48,'Prev Aub'!B:B))</f>
        <v/>
      </c>
      <c r="AN48" s="25" t="s">
        <v>3790</v>
      </c>
      <c r="AO48" s="25" t="s">
        <v>3790</v>
      </c>
      <c r="AP48" s="25">
        <f t="shared" si="6"/>
        <v>0</v>
      </c>
      <c r="AQ48" s="151" t="str">
        <f>IF(SUMIFS('Supp Consol'!S:S,'Supp Consol'!A:A,O48,'Supp Consol'!I:I,"PENDING")=0,"",SUMIFS('Supp Consol'!S:S,'Supp Consol'!A:A,O48,'Supp Consol'!I:I,"PENDING"))</f>
        <v/>
      </c>
      <c r="AR48" s="27" t="str">
        <f t="shared" si="7"/>
        <v>00117</v>
      </c>
      <c r="AS48" s="27" t="str">
        <f t="shared" si="8"/>
        <v>50</v>
      </c>
      <c r="AT48" s="27" t="str">
        <f t="shared" si="9"/>
        <v/>
      </c>
      <c r="AU48" s="27" t="str">
        <f t="shared" si="10"/>
        <v/>
      </c>
      <c r="AV48" s="27" t="str">
        <f t="shared" si="11"/>
        <v/>
      </c>
      <c r="AW48" s="27" t="str">
        <f t="shared" si="12"/>
        <v/>
      </c>
      <c r="AX48" s="27" t="str">
        <f t="shared" si="13"/>
        <v/>
      </c>
      <c r="AY48" s="27" t="str">
        <f t="shared" si="14"/>
        <v/>
      </c>
      <c r="AZ48" s="27" t="str">
        <f t="shared" si="15"/>
        <v/>
      </c>
      <c r="BA48" s="27" t="str">
        <f t="shared" si="16"/>
        <v/>
      </c>
      <c r="BB48" s="27" t="str">
        <f t="shared" si="17"/>
        <v/>
      </c>
      <c r="BC48" s="27" t="str">
        <f t="shared" si="18"/>
        <v/>
      </c>
      <c r="BD48" s="27" t="str">
        <f t="shared" si="19"/>
        <v/>
      </c>
      <c r="BE48" s="27" t="str">
        <f t="shared" si="20"/>
        <v/>
      </c>
      <c r="BF48" s="27" t="str">
        <f t="shared" si="21"/>
        <v/>
      </c>
      <c r="BG48" s="27" t="str">
        <f t="shared" si="22"/>
        <v/>
      </c>
      <c r="BH48" s="27" t="str">
        <f t="shared" si="23"/>
        <v/>
      </c>
      <c r="BI48" s="27" t="str">
        <f t="shared" si="24"/>
        <v/>
      </c>
      <c r="BJ48" s="27" t="str">
        <f t="shared" si="25"/>
        <v/>
      </c>
      <c r="BK48" s="27" t="str">
        <f t="shared" si="26"/>
        <v/>
      </c>
      <c r="BL48" s="27" t="str">
        <f t="shared" si="27"/>
        <v/>
      </c>
      <c r="BM48" s="21" t="s">
        <v>5581</v>
      </c>
    </row>
    <row r="49" spans="1:65" ht="15">
      <c r="A49" s="25" t="str">
        <f>IFERROR(INDEX('Hun Demand'!W:W,MATCH(O49,'Hun Demand'!A:A,0)),"")</f>
        <v/>
      </c>
      <c r="B49" s="25" t="str">
        <f>IFERROR(INDEX('Hun Demand'!V:V,MATCH(O49,'Hun Demand'!A:A,0)),"")</f>
        <v/>
      </c>
      <c r="C49" s="25" t="str">
        <f>IFERROR(INDEX('Hun Demand'!U:U,MATCH(O49,'Hun Demand'!A:A,0)),"")</f>
        <v/>
      </c>
      <c r="D49" s="25" t="str">
        <f>IFERROR(INDEX('Hun Demand'!T:T,MATCH(O49,'Hun Demand'!A:A,0)),"")</f>
        <v/>
      </c>
      <c r="E49" s="25" t="str">
        <f>IFERROR(INDEX('Hun Demand'!S:S,MATCH(O49,'Hun Demand'!A:A,0)),"")</f>
        <v/>
      </c>
      <c r="F49" s="25" t="str">
        <f>IFERROR(INDEX('Hun Demand'!R:R,MATCH(O49,'Hun Demand'!A:A,0)),"")</f>
        <v/>
      </c>
      <c r="G49" s="25">
        <f>IFERROR(INDEX('Aub Demand'!W:W,MATCH(O49,'Aub Demand'!A:A,0)),"")</f>
        <v>118</v>
      </c>
      <c r="H49" s="25">
        <f>IFERROR(INDEX('Aub Demand'!V:V,MATCH(O49,'Aub Demand'!A:A,0)),"")</f>
        <v>156</v>
      </c>
      <c r="I49" s="25">
        <f>IFERROR(INDEX('Aub Demand'!U:U,MATCH(O49,'Aub Demand'!A:A,0)),"")</f>
        <v>272</v>
      </c>
      <c r="J49" s="25">
        <f>IFERROR(INDEX('Aub Demand'!T:T,MATCH(O49,'Aub Demand'!A:A,0)),"")</f>
        <v>77</v>
      </c>
      <c r="K49" s="25">
        <f>IFERROR(INDEX('Aub Demand'!S:S,MATCH(O49,'Aub Demand'!A:A,0)),"")</f>
        <v>99</v>
      </c>
      <c r="L49" s="25">
        <f>IFERROR(INDEX('Aub Demand'!R:R,MATCH(O49,'Aub Demand'!A:A,0)),"")</f>
        <v>0</v>
      </c>
      <c r="O49" s="27" t="s">
        <v>150</v>
      </c>
      <c r="P49" s="27" t="str">
        <f>IFERROR(INDEX('Aub Demand'!B:B,MATCH($O49,'Aub Demand'!$A:$A,0)),"")</f>
        <v>GLOSS FILM 2 UNPRINT</v>
      </c>
      <c r="Q49" s="27" t="str">
        <f>IFERROR(INDEX('Aub Demand'!C:C,MATCH($O49,'Aub Demand'!$A:$A,0)),"")</f>
        <v>MAIN</v>
      </c>
      <c r="R49" s="52">
        <f>IFERROR(IF(AR50=AR49,INDEX('Aub Demand'!K:K,MATCH($O49,'Aub Demand'!$A:$A,0))-IF(AN49="",0,AN49)+AP50,INDEX('Aub Demand'!K:K,MATCH($O49,'Aub Demand'!$A:$A,0))-IF(AN49="",0,AN49)),"")</f>
        <v>1652</v>
      </c>
      <c r="S49" s="53">
        <f t="shared" si="0"/>
        <v>47.5</v>
      </c>
      <c r="T49" s="52" t="str">
        <f t="shared" si="1"/>
        <v/>
      </c>
      <c r="U49" s="52">
        <f>IFERROR(IF(AR50=AR49,INDEX('Aub Demand'!Q:Q,MATCH($O49,'Aub Demand'!$A:$A,0))-IF(AN49="",0,AN49)+AP50,INDEX('Aub Demand'!Q:Q,MATCH($O49,'Aub Demand'!$A:$A,0))-IF(AN49="",0,AN49)),"")</f>
        <v>1132</v>
      </c>
      <c r="V49" s="53">
        <f t="shared" si="2"/>
        <v>32.6</v>
      </c>
      <c r="W49" s="52" t="str">
        <f t="shared" si="3"/>
        <v/>
      </c>
      <c r="X49" s="52">
        <f>IFERROR(IF(AND(AR50=AR49,AM49&lt;&gt;""),INDEX('Aub Demand'!Q:Q,MATCH($O49,'Aub Demand'!$A:$A,0))-IF(AN49="",0,AN49)+AP50+AD49+AL49,IF(AR50=AR49,INDEX('Aub Demand'!Q:Q,MATCH($O49,'Aub Demand'!$A:$A,0))-IF(AN49="",0,AN49)+AP50+AD49,IF(AM49&lt;&gt;"",INDEX('Aub Demand'!Q:Q,MATCH($O49,'Aub Demand'!$A:$A,0))-IF(AN49="",0,AN49)+AD49+AL49,INDEX('Aub Demand'!Q:Q,MATCH($O49,'Aub Demand'!$A:$A,0))-IF(AN49="",0,AN49)+AD49))),"")</f>
        <v>1132</v>
      </c>
      <c r="Y49" s="53">
        <f t="shared" si="4"/>
        <v>32.6</v>
      </c>
      <c r="Z49" s="52">
        <f>IF(L49="","",INDEX('Aub Demand'!H:H,MATCH($O49,'Aub Demand'!$A:$A,0)))</f>
        <v>149</v>
      </c>
      <c r="AA49" s="52">
        <f t="shared" si="5"/>
        <v>185.5</v>
      </c>
      <c r="AB49" s="52">
        <f>IFERROR(INDEX('Aub Demand'!L:L,MATCH($O49,'Aub Demand'!$A:$A,0)),"")</f>
        <v>35</v>
      </c>
      <c r="AC49" s="52">
        <f>IFERROR(IF(O49="","",SUMIFS('CPL Mats'!F:F,'CPL Mats'!Q:Q,AR49,'CPL Mats'!S:S,AS49)),"")</f>
        <v>0</v>
      </c>
      <c r="AF49" s="25" t="str">
        <f>IF(SUMIFS('Supp Consol'!S:S,'Supp Consol'!Y:Y,"Releasable",'Supp Consol'!A:A,O49)=0,"",SUMIFS('Supp Consol'!S:S,'Supp Consol'!Y:Y,"Releasable",'Supp Consol'!A:A,O49))</f>
        <v/>
      </c>
      <c r="AG49" s="25" t="str">
        <f>IFERROR(INDEX('Hun Demand'!Q:Q,MATCH(O49,'Hun Demand'!A:A,0)),"")</f>
        <v/>
      </c>
      <c r="AH49" s="25" t="str">
        <f>IFERROR(INDEX('Hun Demand'!H:H,MATCH($O49,'Hun Demand'!$A:$A,0)),"")</f>
        <v/>
      </c>
      <c r="AI49" s="25" t="str">
        <f>IF(SUMIFS('Supp Consol'!AA:AA,'Supp Consol'!Z:Z,"Expires this month",'Supp Consol'!A:A,O49)=0,"",SUMIFS('Supp Consol'!AA:AA,'Supp Consol'!Z:Z,"Expires this month",'Supp Consol'!A:A,O49))</f>
        <v/>
      </c>
      <c r="AJ49" s="25" t="str">
        <f>IF(SUMIFS('Supp Consol'!AA:AA,'Supp Consol'!Z:Z,"Expired Previous Months",'Supp Consol'!A:A,O49)=0,"",SUMIFS('Supp Consol'!AA:AA,'Supp Consol'!Z:Z,"Expired Previous Months",'Supp Consol'!A:A,O49))</f>
        <v/>
      </c>
      <c r="AK49" s="25" t="str">
        <f>IFERROR(INDEX('Hun Release Current'!B:B,MATCH(O49,'Hun Release Current'!A:A,0)),"")</f>
        <v/>
      </c>
      <c r="AL49" s="25" t="str">
        <f>IF(SUMIF('Prev Aub'!A:A,O49,'Prev Aub'!B:B)=0,"",SUMIF('Prev Aub'!A:A,O49,'Prev Aub'!B:B))</f>
        <v/>
      </c>
      <c r="AN49" s="25" t="s">
        <v>3790</v>
      </c>
      <c r="AO49" s="25" t="s">
        <v>3790</v>
      </c>
      <c r="AP49" s="25">
        <f t="shared" si="6"/>
        <v>0</v>
      </c>
      <c r="AQ49" s="151" t="str">
        <f>IF(SUMIFS('Supp Consol'!S:S,'Supp Consol'!A:A,O49,'Supp Consol'!I:I,"PENDING")=0,"",SUMIFS('Supp Consol'!S:S,'Supp Consol'!A:A,O49,'Supp Consol'!I:I,"PENDING"))</f>
        <v/>
      </c>
      <c r="AR49" s="27" t="str">
        <f t="shared" si="7"/>
        <v>00117</v>
      </c>
      <c r="AS49" s="27" t="str">
        <f t="shared" si="8"/>
        <v>62</v>
      </c>
      <c r="AT49" s="27" t="str">
        <f t="shared" si="9"/>
        <v/>
      </c>
      <c r="AU49" s="27" t="str">
        <f t="shared" si="10"/>
        <v/>
      </c>
      <c r="AV49" s="27" t="str">
        <f t="shared" si="11"/>
        <v/>
      </c>
      <c r="AW49" s="27" t="str">
        <f t="shared" si="12"/>
        <v/>
      </c>
      <c r="AX49" s="27" t="str">
        <f t="shared" si="13"/>
        <v/>
      </c>
      <c r="AY49" s="27" t="str">
        <f t="shared" si="14"/>
        <v/>
      </c>
      <c r="AZ49" s="27" t="str">
        <f t="shared" si="15"/>
        <v/>
      </c>
      <c r="BA49" s="27" t="str">
        <f t="shared" si="16"/>
        <v/>
      </c>
      <c r="BB49" s="27" t="str">
        <f t="shared" si="17"/>
        <v/>
      </c>
      <c r="BC49" s="27" t="str">
        <f t="shared" si="18"/>
        <v/>
      </c>
      <c r="BD49" s="27" t="str">
        <f t="shared" si="19"/>
        <v/>
      </c>
      <c r="BE49" s="27" t="str">
        <f t="shared" si="20"/>
        <v/>
      </c>
      <c r="BF49" s="27" t="str">
        <f t="shared" si="21"/>
        <v/>
      </c>
      <c r="BG49" s="27" t="str">
        <f t="shared" si="22"/>
        <v/>
      </c>
      <c r="BH49" s="27" t="str">
        <f t="shared" si="23"/>
        <v/>
      </c>
      <c r="BI49" s="27" t="str">
        <f t="shared" si="24"/>
        <v/>
      </c>
      <c r="BJ49" s="27" t="str">
        <f t="shared" si="25"/>
        <v/>
      </c>
      <c r="BK49" s="27" t="str">
        <f t="shared" si="26"/>
        <v/>
      </c>
      <c r="BL49" s="27" t="str">
        <f t="shared" si="27"/>
        <v/>
      </c>
      <c r="BM49" s="21" t="s">
        <v>3790</v>
      </c>
    </row>
    <row r="50" spans="1:65" ht="15">
      <c r="A50" s="25" t="str">
        <f>IFERROR(INDEX('Hun Demand'!W:W,MATCH(O50,'Hun Demand'!A:A,0)),"")</f>
        <v/>
      </c>
      <c r="B50" s="25" t="str">
        <f>IFERROR(INDEX('Hun Demand'!V:V,MATCH(O50,'Hun Demand'!A:A,0)),"")</f>
        <v/>
      </c>
      <c r="C50" s="25" t="str">
        <f>IFERROR(INDEX('Hun Demand'!U:U,MATCH(O50,'Hun Demand'!A:A,0)),"")</f>
        <v/>
      </c>
      <c r="D50" s="25" t="str">
        <f>IFERROR(INDEX('Hun Demand'!T:T,MATCH(O50,'Hun Demand'!A:A,0)),"")</f>
        <v/>
      </c>
      <c r="E50" s="25" t="str">
        <f>IFERROR(INDEX('Hun Demand'!S:S,MATCH(O50,'Hun Demand'!A:A,0)),"")</f>
        <v/>
      </c>
      <c r="F50" s="25" t="str">
        <f>IFERROR(INDEX('Hun Demand'!R:R,MATCH(O50,'Hun Demand'!A:A,0)),"")</f>
        <v/>
      </c>
      <c r="G50" s="25">
        <f>IFERROR(INDEX('Aub Demand'!W:W,MATCH(O50,'Aub Demand'!A:A,0)),"")</f>
        <v>21</v>
      </c>
      <c r="H50" s="25">
        <f>IFERROR(INDEX('Aub Demand'!V:V,MATCH(O50,'Aub Demand'!A:A,0)),"")</f>
        <v>33</v>
      </c>
      <c r="I50" s="25">
        <f>IFERROR(INDEX('Aub Demand'!U:U,MATCH(O50,'Aub Demand'!A:A,0)),"")</f>
        <v>34</v>
      </c>
      <c r="J50" s="25">
        <f>IFERROR(INDEX('Aub Demand'!T:T,MATCH(O50,'Aub Demand'!A:A,0)),"")</f>
        <v>19</v>
      </c>
      <c r="K50" s="25">
        <f>IFERROR(INDEX('Aub Demand'!S:S,MATCH(O50,'Aub Demand'!A:A,0)),"")</f>
        <v>37</v>
      </c>
      <c r="L50" s="25">
        <f>IFERROR(INDEX('Aub Demand'!R:R,MATCH(O50,'Aub Demand'!A:A,0)),"")</f>
        <v>0</v>
      </c>
      <c r="O50" s="27" t="s">
        <v>156</v>
      </c>
      <c r="P50" s="27" t="str">
        <f>IFERROR(INDEX('Aub Demand'!B:B,MATCH($O50,'Aub Demand'!$A:$A,0)),"")</f>
        <v>TEXTURED FILM 1 (CRY</v>
      </c>
      <c r="Q50" s="27" t="str">
        <f>IFERROR(INDEX('Aub Demand'!C:C,MATCH($O50,'Aub Demand'!$A:$A,0)),"")</f>
        <v>MAIN</v>
      </c>
      <c r="R50" s="52">
        <f>IFERROR(IF(AR51=AR50,INDEX('Aub Demand'!K:K,MATCH($O50,'Aub Demand'!$A:$A,0))-IF(AN50="",0,AN50)+AP51,INDEX('Aub Demand'!K:K,MATCH($O50,'Aub Demand'!$A:$A,0))-IF(AN50="",0,AN50)),"")</f>
        <v>1824</v>
      </c>
      <c r="S50" s="53">
        <f t="shared" si="0"/>
        <v>260.60000000000002</v>
      </c>
      <c r="T50" s="52" t="str">
        <f t="shared" si="1"/>
        <v/>
      </c>
      <c r="U50" s="52">
        <f>IFERROR(IF(AR51=AR50,INDEX('Aub Demand'!Q:Q,MATCH($O50,'Aub Demand'!$A:$A,0))-IF(AN50="",0,AN50)+AP51,INDEX('Aub Demand'!Q:Q,MATCH($O50,'Aub Demand'!$A:$A,0))-IF(AN50="",0,AN50)),"")</f>
        <v>1824</v>
      </c>
      <c r="V50" s="53">
        <f t="shared" si="2"/>
        <v>260.60000000000002</v>
      </c>
      <c r="W50" s="52" t="str">
        <f t="shared" si="3"/>
        <v/>
      </c>
      <c r="X50" s="52">
        <f>IFERROR(IF(AND(AR51=AR50,AM50&lt;&gt;""),INDEX('Aub Demand'!Q:Q,MATCH($O50,'Aub Demand'!$A:$A,0))-IF(AN50="",0,AN50)+AP51+AD50+AL50,IF(AR51=AR50,INDEX('Aub Demand'!Q:Q,MATCH($O50,'Aub Demand'!$A:$A,0))-IF(AN50="",0,AN50)+AP51+AD50,IF(AM50&lt;&gt;"",INDEX('Aub Demand'!Q:Q,MATCH($O50,'Aub Demand'!$A:$A,0))-IF(AN50="",0,AN50)+AD50+AL50,INDEX('Aub Demand'!Q:Q,MATCH($O50,'Aub Demand'!$A:$A,0))-IF(AN50="",0,AN50)+AD50))),"")</f>
        <v>1824</v>
      </c>
      <c r="Y50" s="53">
        <f t="shared" si="4"/>
        <v>260.60000000000002</v>
      </c>
      <c r="Z50" s="52">
        <f>IF(L50="","",INDEX('Aub Demand'!H:H,MATCH($O50,'Aub Demand'!$A:$A,0)))</f>
        <v>30</v>
      </c>
      <c r="AA50" s="52">
        <f t="shared" si="5"/>
        <v>35.5</v>
      </c>
      <c r="AB50" s="52">
        <f>IFERROR(INDEX('Aub Demand'!L:L,MATCH($O50,'Aub Demand'!$A:$A,0)),"")</f>
        <v>0</v>
      </c>
      <c r="AC50" s="52">
        <f>IFERROR(IF(O50="","",SUMIFS('CPL Mats'!F:F,'CPL Mats'!Q:Q,AR50,'CPL Mats'!S:S,AS50)),"")</f>
        <v>0</v>
      </c>
      <c r="AF50" s="25" t="str">
        <f>IF(SUMIFS('Supp Consol'!S:S,'Supp Consol'!Y:Y,"Releasable",'Supp Consol'!A:A,O50)=0,"",SUMIFS('Supp Consol'!S:S,'Supp Consol'!Y:Y,"Releasable",'Supp Consol'!A:A,O50))</f>
        <v/>
      </c>
      <c r="AG50" s="25" t="str">
        <f>IFERROR(INDEX('Hun Demand'!Q:Q,MATCH(O50,'Hun Demand'!A:A,0)),"")</f>
        <v/>
      </c>
      <c r="AH50" s="25" t="str">
        <f>IFERROR(INDEX('Hun Demand'!H:H,MATCH($O50,'Hun Demand'!$A:$A,0)),"")</f>
        <v/>
      </c>
      <c r="AI50" s="25" t="str">
        <f>IF(SUMIFS('Supp Consol'!AA:AA,'Supp Consol'!Z:Z,"Expires this month",'Supp Consol'!A:A,O50)=0,"",SUMIFS('Supp Consol'!AA:AA,'Supp Consol'!Z:Z,"Expires this month",'Supp Consol'!A:A,O50))</f>
        <v/>
      </c>
      <c r="AJ50" s="25" t="str">
        <f>IF(SUMIFS('Supp Consol'!AA:AA,'Supp Consol'!Z:Z,"Expired Previous Months",'Supp Consol'!A:A,O50)=0,"",SUMIFS('Supp Consol'!AA:AA,'Supp Consol'!Z:Z,"Expired Previous Months",'Supp Consol'!A:A,O50))</f>
        <v/>
      </c>
      <c r="AK50" s="25" t="str">
        <f>IFERROR(INDEX('Hun Release Current'!B:B,MATCH(O50,'Hun Release Current'!A:A,0)),"")</f>
        <v/>
      </c>
      <c r="AL50" s="25" t="str">
        <f>IF(SUMIF('Prev Aub'!A:A,O50,'Prev Aub'!B:B)=0,"",SUMIF('Prev Aub'!A:A,O50,'Prev Aub'!B:B))</f>
        <v/>
      </c>
      <c r="AN50" s="25" t="s">
        <v>3790</v>
      </c>
      <c r="AO50" s="25" t="s">
        <v>3790</v>
      </c>
      <c r="AP50" s="25">
        <f t="shared" si="6"/>
        <v>0</v>
      </c>
      <c r="AQ50" s="151" t="str">
        <f>IF(SUMIFS('Supp Consol'!S:S,'Supp Consol'!A:A,O50,'Supp Consol'!I:I,"PENDING")=0,"",SUMIFS('Supp Consol'!S:S,'Supp Consol'!A:A,O50,'Supp Consol'!I:I,"PENDING"))</f>
        <v/>
      </c>
      <c r="AR50" s="27" t="str">
        <f t="shared" si="7"/>
        <v>00119</v>
      </c>
      <c r="AS50" s="27" t="str">
        <f t="shared" si="8"/>
        <v>50</v>
      </c>
      <c r="AT50" s="27" t="str">
        <f t="shared" si="9"/>
        <v/>
      </c>
      <c r="AU50" s="27" t="str">
        <f t="shared" si="10"/>
        <v/>
      </c>
      <c r="AV50" s="27" t="str">
        <f t="shared" si="11"/>
        <v/>
      </c>
      <c r="AW50" s="27" t="str">
        <f t="shared" si="12"/>
        <v/>
      </c>
      <c r="AX50" s="27" t="str">
        <f t="shared" si="13"/>
        <v/>
      </c>
      <c r="AY50" s="27" t="str">
        <f t="shared" si="14"/>
        <v/>
      </c>
      <c r="AZ50" s="27" t="str">
        <f t="shared" si="15"/>
        <v/>
      </c>
      <c r="BA50" s="27" t="str">
        <f t="shared" si="16"/>
        <v/>
      </c>
      <c r="BB50" s="27" t="str">
        <f t="shared" si="17"/>
        <v/>
      </c>
      <c r="BC50" s="27" t="str">
        <f t="shared" si="18"/>
        <v/>
      </c>
      <c r="BD50" s="27" t="str">
        <f t="shared" si="19"/>
        <v/>
      </c>
      <c r="BE50" s="27" t="str">
        <f t="shared" si="20"/>
        <v/>
      </c>
      <c r="BF50" s="27" t="str">
        <f t="shared" si="21"/>
        <v/>
      </c>
      <c r="BG50" s="27" t="str">
        <f t="shared" si="22"/>
        <v/>
      </c>
      <c r="BH50" s="27" t="str">
        <f t="shared" si="23"/>
        <v/>
      </c>
      <c r="BI50" s="27" t="str">
        <f t="shared" si="24"/>
        <v/>
      </c>
      <c r="BJ50" s="27" t="str">
        <f t="shared" si="25"/>
        <v/>
      </c>
      <c r="BK50" s="27" t="str">
        <f t="shared" si="26"/>
        <v/>
      </c>
      <c r="BL50" s="27" t="str">
        <f t="shared" si="27"/>
        <v/>
      </c>
      <c r="BM50" s="21" t="s">
        <v>5581</v>
      </c>
    </row>
    <row r="51" spans="1:65" ht="15">
      <c r="A51" s="25" t="str">
        <f>IFERROR(INDEX('Hun Demand'!W:W,MATCH(O51,'Hun Demand'!A:A,0)),"")</f>
        <v/>
      </c>
      <c r="B51" s="25" t="str">
        <f>IFERROR(INDEX('Hun Demand'!V:V,MATCH(O51,'Hun Demand'!A:A,0)),"")</f>
        <v/>
      </c>
      <c r="C51" s="25" t="str">
        <f>IFERROR(INDEX('Hun Demand'!U:U,MATCH(O51,'Hun Demand'!A:A,0)),"")</f>
        <v/>
      </c>
      <c r="D51" s="25" t="str">
        <f>IFERROR(INDEX('Hun Demand'!T:T,MATCH(O51,'Hun Demand'!A:A,0)),"")</f>
        <v/>
      </c>
      <c r="E51" s="25" t="str">
        <f>IFERROR(INDEX('Hun Demand'!S:S,MATCH(O51,'Hun Demand'!A:A,0)),"")</f>
        <v/>
      </c>
      <c r="F51" s="25" t="str">
        <f>IFERROR(INDEX('Hun Demand'!R:R,MATCH(O51,'Hun Demand'!A:A,0)),"")</f>
        <v/>
      </c>
      <c r="G51" s="25">
        <f>IFERROR(INDEX('Aub Demand'!W:W,MATCH(O51,'Aub Demand'!A:A,0)),"")</f>
        <v>48</v>
      </c>
      <c r="H51" s="25">
        <f>IFERROR(INDEX('Aub Demand'!V:V,MATCH(O51,'Aub Demand'!A:A,0)),"")</f>
        <v>82</v>
      </c>
      <c r="I51" s="25">
        <f>IFERROR(INDEX('Aub Demand'!U:U,MATCH(O51,'Aub Demand'!A:A,0)),"")</f>
        <v>79</v>
      </c>
      <c r="J51" s="25">
        <f>IFERROR(INDEX('Aub Demand'!T:T,MATCH(O51,'Aub Demand'!A:A,0)),"")</f>
        <v>23</v>
      </c>
      <c r="K51" s="25">
        <f>IFERROR(INDEX('Aub Demand'!S:S,MATCH(O51,'Aub Demand'!A:A,0)),"")</f>
        <v>4</v>
      </c>
      <c r="L51" s="25">
        <f>IFERROR(INDEX('Aub Demand'!R:R,MATCH(O51,'Aub Demand'!A:A,0)),"")</f>
        <v>0</v>
      </c>
      <c r="O51" s="27" t="s">
        <v>159</v>
      </c>
      <c r="P51" s="27" t="str">
        <f>IFERROR(INDEX('Aub Demand'!B:B,MATCH($O51,'Aub Demand'!$A:$A,0)),"")</f>
        <v>TEXTURED FILM 1 (CRY</v>
      </c>
      <c r="Q51" s="27" t="str">
        <f>IFERROR(INDEX('Aub Demand'!C:C,MATCH($O51,'Aub Demand'!$A:$A,0)),"")</f>
        <v>MAIN</v>
      </c>
      <c r="R51" s="52">
        <f>IFERROR(IF(AR52=AR51,INDEX('Aub Demand'!K:K,MATCH($O51,'Aub Demand'!$A:$A,0))-IF(AN51="",0,AN51)+AP52,INDEX('Aub Demand'!K:K,MATCH($O51,'Aub Demand'!$A:$A,0))-IF(AN51="",0,AN51)),"")</f>
        <v>2023</v>
      </c>
      <c r="S51" s="53">
        <f t="shared" si="0"/>
        <v>247.7</v>
      </c>
      <c r="T51" s="52" t="str">
        <f t="shared" si="1"/>
        <v/>
      </c>
      <c r="U51" s="52">
        <f>IFERROR(IF(AR52=AR51,INDEX('Aub Demand'!Q:Q,MATCH($O51,'Aub Demand'!$A:$A,0))-IF(AN51="",0,AN51)+AP52,INDEX('Aub Demand'!Q:Q,MATCH($O51,'Aub Demand'!$A:$A,0))-IF(AN51="",0,AN51)),"")</f>
        <v>1977</v>
      </c>
      <c r="V51" s="53">
        <f t="shared" si="2"/>
        <v>242.1</v>
      </c>
      <c r="W51" s="52" t="str">
        <f t="shared" si="3"/>
        <v/>
      </c>
      <c r="X51" s="52">
        <f>IFERROR(IF(AND(AR52=AR51,AM51&lt;&gt;""),INDEX('Aub Demand'!Q:Q,MATCH($O51,'Aub Demand'!$A:$A,0))-IF(AN51="",0,AN51)+AP52+AD51+AL51,IF(AR52=AR51,INDEX('Aub Demand'!Q:Q,MATCH($O51,'Aub Demand'!$A:$A,0))-IF(AN51="",0,AN51)+AP52+AD51,IF(AM51&lt;&gt;"",INDEX('Aub Demand'!Q:Q,MATCH($O51,'Aub Demand'!$A:$A,0))-IF(AN51="",0,AN51)+AD51+AL51,INDEX('Aub Demand'!Q:Q,MATCH($O51,'Aub Demand'!$A:$A,0))-IF(AN51="",0,AN51)+AD51))),"")</f>
        <v>1977</v>
      </c>
      <c r="Y51" s="53">
        <f t="shared" si="4"/>
        <v>242.1</v>
      </c>
      <c r="Z51" s="52">
        <f>IF(L51="","",INDEX('Aub Demand'!H:H,MATCH($O51,'Aub Demand'!$A:$A,0)))</f>
        <v>35</v>
      </c>
      <c r="AA51" s="52">
        <f t="shared" si="5"/>
        <v>51</v>
      </c>
      <c r="AB51" s="52">
        <f>IFERROR(INDEX('Aub Demand'!L:L,MATCH($O51,'Aub Demand'!$A:$A,0)),"")</f>
        <v>11</v>
      </c>
      <c r="AC51" s="52">
        <f>IFERROR(IF(O51="","",SUMIFS('CPL Mats'!F:F,'CPL Mats'!Q:Q,AR51,'CPL Mats'!S:S,AS51)),"")</f>
        <v>0</v>
      </c>
      <c r="AF51" s="25" t="str">
        <f>IF(SUMIFS('Supp Consol'!S:S,'Supp Consol'!Y:Y,"Releasable",'Supp Consol'!A:A,O51)=0,"",SUMIFS('Supp Consol'!S:S,'Supp Consol'!Y:Y,"Releasable",'Supp Consol'!A:A,O51))</f>
        <v/>
      </c>
      <c r="AG51" s="25" t="str">
        <f>IFERROR(INDEX('Hun Demand'!Q:Q,MATCH(O51,'Hun Demand'!A:A,0)),"")</f>
        <v/>
      </c>
      <c r="AH51" s="25" t="str">
        <f>IFERROR(INDEX('Hun Demand'!H:H,MATCH($O51,'Hun Demand'!$A:$A,0)),"")</f>
        <v/>
      </c>
      <c r="AI51" s="25" t="str">
        <f>IF(SUMIFS('Supp Consol'!AA:AA,'Supp Consol'!Z:Z,"Expires this month",'Supp Consol'!A:A,O51)=0,"",SUMIFS('Supp Consol'!AA:AA,'Supp Consol'!Z:Z,"Expires this month",'Supp Consol'!A:A,O51))</f>
        <v/>
      </c>
      <c r="AJ51" s="25" t="str">
        <f>IF(SUMIFS('Supp Consol'!AA:AA,'Supp Consol'!Z:Z,"Expired Previous Months",'Supp Consol'!A:A,O51)=0,"",SUMIFS('Supp Consol'!AA:AA,'Supp Consol'!Z:Z,"Expired Previous Months",'Supp Consol'!A:A,O51))</f>
        <v/>
      </c>
      <c r="AK51" s="25" t="str">
        <f>IFERROR(INDEX('Hun Release Current'!B:B,MATCH(O51,'Hun Release Current'!A:A,0)),"")</f>
        <v/>
      </c>
      <c r="AL51" s="25" t="str">
        <f>IF(SUMIF('Prev Aub'!A:A,O51,'Prev Aub'!B:B)=0,"",SUMIF('Prev Aub'!A:A,O51,'Prev Aub'!B:B))</f>
        <v/>
      </c>
      <c r="AN51" s="25" t="s">
        <v>3790</v>
      </c>
      <c r="AO51" s="25" t="s">
        <v>3790</v>
      </c>
      <c r="AP51" s="25">
        <f t="shared" si="6"/>
        <v>0</v>
      </c>
      <c r="AQ51" s="151" t="str">
        <f>IF(SUMIFS('Supp Consol'!S:S,'Supp Consol'!A:A,O51,'Supp Consol'!I:I,"PENDING")=0,"",SUMIFS('Supp Consol'!S:S,'Supp Consol'!A:A,O51,'Supp Consol'!I:I,"PENDING"))</f>
        <v/>
      </c>
      <c r="AR51" s="27" t="str">
        <f t="shared" si="7"/>
        <v>00119</v>
      </c>
      <c r="AS51" s="27" t="str">
        <f t="shared" si="8"/>
        <v>62</v>
      </c>
      <c r="AT51" s="27" t="str">
        <f t="shared" si="9"/>
        <v/>
      </c>
      <c r="AU51" s="27" t="str">
        <f t="shared" si="10"/>
        <v/>
      </c>
      <c r="AV51" s="27" t="str">
        <f t="shared" si="11"/>
        <v/>
      </c>
      <c r="AW51" s="27" t="str">
        <f t="shared" si="12"/>
        <v/>
      </c>
      <c r="AX51" s="27" t="str">
        <f t="shared" si="13"/>
        <v/>
      </c>
      <c r="AY51" s="27" t="str">
        <f t="shared" si="14"/>
        <v/>
      </c>
      <c r="AZ51" s="27" t="str">
        <f t="shared" si="15"/>
        <v/>
      </c>
      <c r="BA51" s="27" t="str">
        <f t="shared" si="16"/>
        <v/>
      </c>
      <c r="BB51" s="27" t="str">
        <f t="shared" si="17"/>
        <v/>
      </c>
      <c r="BC51" s="27" t="str">
        <f t="shared" si="18"/>
        <v/>
      </c>
      <c r="BD51" s="27" t="str">
        <f t="shared" si="19"/>
        <v/>
      </c>
      <c r="BE51" s="27" t="str">
        <f t="shared" si="20"/>
        <v/>
      </c>
      <c r="BF51" s="27" t="str">
        <f t="shared" si="21"/>
        <v/>
      </c>
      <c r="BG51" s="27" t="str">
        <f t="shared" si="22"/>
        <v/>
      </c>
      <c r="BH51" s="27" t="str">
        <f t="shared" si="23"/>
        <v/>
      </c>
      <c r="BI51" s="27" t="str">
        <f t="shared" si="24"/>
        <v/>
      </c>
      <c r="BJ51" s="27" t="str">
        <f t="shared" si="25"/>
        <v/>
      </c>
      <c r="BK51" s="27" t="str">
        <f t="shared" si="26"/>
        <v/>
      </c>
      <c r="BL51" s="27" t="str">
        <f t="shared" si="27"/>
        <v/>
      </c>
      <c r="BM51" s="21" t="s">
        <v>5581</v>
      </c>
    </row>
    <row r="52" spans="1:65" ht="15">
      <c r="A52" s="25" t="str">
        <f>IFERROR(INDEX('Hun Demand'!W:W,MATCH(O52,'Hun Demand'!A:A,0)),"")</f>
        <v/>
      </c>
      <c r="B52" s="25" t="str">
        <f>IFERROR(INDEX('Hun Demand'!V:V,MATCH(O52,'Hun Demand'!A:A,0)),"")</f>
        <v/>
      </c>
      <c r="C52" s="25" t="str">
        <f>IFERROR(INDEX('Hun Demand'!U:U,MATCH(O52,'Hun Demand'!A:A,0)),"")</f>
        <v/>
      </c>
      <c r="D52" s="25" t="str">
        <f>IFERROR(INDEX('Hun Demand'!T:T,MATCH(O52,'Hun Demand'!A:A,0)),"")</f>
        <v/>
      </c>
      <c r="E52" s="25" t="str">
        <f>IFERROR(INDEX('Hun Demand'!S:S,MATCH(O52,'Hun Demand'!A:A,0)),"")</f>
        <v/>
      </c>
      <c r="F52" s="25" t="str">
        <f>IFERROR(INDEX('Hun Demand'!R:R,MATCH(O52,'Hun Demand'!A:A,0)),"")</f>
        <v/>
      </c>
      <c r="G52" s="25">
        <f>IFERROR(INDEX('Aub Demand'!W:W,MATCH(O52,'Aub Demand'!A:A,0)),"")</f>
        <v>221</v>
      </c>
      <c r="H52" s="25">
        <f>IFERROR(INDEX('Aub Demand'!V:V,MATCH(O52,'Aub Demand'!A:A,0)),"")</f>
        <v>0</v>
      </c>
      <c r="I52" s="25">
        <f>IFERROR(INDEX('Aub Demand'!U:U,MATCH(O52,'Aub Demand'!A:A,0)),"")</f>
        <v>107</v>
      </c>
      <c r="J52" s="25">
        <f>IFERROR(INDEX('Aub Demand'!T:T,MATCH(O52,'Aub Demand'!A:A,0)),"")</f>
        <v>0</v>
      </c>
      <c r="K52" s="25">
        <f>IFERROR(INDEX('Aub Demand'!S:S,MATCH(O52,'Aub Demand'!A:A,0)),"")</f>
        <v>80</v>
      </c>
      <c r="L52" s="25">
        <f>IFERROR(INDEX('Aub Demand'!R:R,MATCH(O52,'Aub Demand'!A:A,0)),"")</f>
        <v>0</v>
      </c>
      <c r="O52" s="27" t="s">
        <v>160</v>
      </c>
      <c r="P52" s="27" t="str">
        <f>IFERROR(INDEX('Aub Demand'!B:B,MATCH($O52,'Aub Demand'!$A:$A,0)),"")</f>
        <v>TEXTURE LC-55 (cut d</v>
      </c>
      <c r="Q52" s="27" t="str">
        <f>IFERROR(INDEX('Aub Demand'!C:C,MATCH($O52,'Aub Demand'!$A:$A,0)),"")</f>
        <v>NOVAC</v>
      </c>
      <c r="R52" s="52">
        <f>IFERROR(IF(AR53=AR52,INDEX('Aub Demand'!K:K,MATCH($O52,'Aub Demand'!$A:$A,0))-IF(AN52="",0,AN52)+AP53,INDEX('Aub Demand'!K:K,MATCH($O52,'Aub Demand'!$A:$A,0))-IF(AN52="",0,AN52)),"")</f>
        <v>0</v>
      </c>
      <c r="S52" s="53">
        <f t="shared" si="0"/>
        <v>0</v>
      </c>
      <c r="T52" s="52">
        <f t="shared" si="1"/>
        <v>70.125</v>
      </c>
      <c r="U52" s="52">
        <f>IFERROR(IF(AR53=AR52,INDEX('Aub Demand'!Q:Q,MATCH($O52,'Aub Demand'!$A:$A,0))-IF(AN52="",0,AN52)+AP53,INDEX('Aub Demand'!Q:Q,MATCH($O52,'Aub Demand'!$A:$A,0))-IF(AN52="",0,AN52)),"")</f>
        <v>-31</v>
      </c>
      <c r="V52" s="53">
        <f t="shared" si="2"/>
        <v>-2.1</v>
      </c>
      <c r="W52" s="52">
        <f t="shared" si="3"/>
        <v>119.21249999999999</v>
      </c>
      <c r="X52" s="52">
        <f>IFERROR(IF(AND(AR53=AR52,AM52&lt;&gt;""),INDEX('Aub Demand'!Q:Q,MATCH($O52,'Aub Demand'!$A:$A,0))-IF(AN52="",0,AN52)+AP53+AD52+AL52,IF(AR53=AR52,INDEX('Aub Demand'!Q:Q,MATCH($O52,'Aub Demand'!$A:$A,0))-IF(AN52="",0,AN52)+AP53+AD52,IF(AM52&lt;&gt;"",INDEX('Aub Demand'!Q:Q,MATCH($O52,'Aub Demand'!$A:$A,0))-IF(AN52="",0,AN52)+AD52+AL52,INDEX('Aub Demand'!Q:Q,MATCH($O52,'Aub Demand'!$A:$A,0))-IF(AN52="",0,AN52)+AD52))),"")</f>
        <v>-31</v>
      </c>
      <c r="Y52" s="53">
        <f t="shared" si="4"/>
        <v>-2.1</v>
      </c>
      <c r="Z52" s="52">
        <f>IF(L52="","",INDEX('Aub Demand'!H:H,MATCH($O52,'Aub Demand'!$A:$A,0)))</f>
        <v>62</v>
      </c>
      <c r="AA52" s="52">
        <f t="shared" si="5"/>
        <v>93.5</v>
      </c>
      <c r="AB52" s="52">
        <f>IFERROR(INDEX('Aub Demand'!L:L,MATCH($O52,'Aub Demand'!$A:$A,0)),"")</f>
        <v>67</v>
      </c>
      <c r="AC52" s="52">
        <f>IFERROR(IF(O52="","",SUMIFS('CPL Mats'!F:F,'CPL Mats'!Q:Q,AR52,'CPL Mats'!S:S,AS52)),"")</f>
        <v>0</v>
      </c>
      <c r="AF52" s="25" t="str">
        <f>IF(SUMIFS('Supp Consol'!S:S,'Supp Consol'!Y:Y,"Releasable",'Supp Consol'!A:A,O52)=0,"",SUMIFS('Supp Consol'!S:S,'Supp Consol'!Y:Y,"Releasable",'Supp Consol'!A:A,O52))</f>
        <v/>
      </c>
      <c r="AG52" s="25" t="str">
        <f>IFERROR(INDEX('Hun Demand'!Q:Q,MATCH(O52,'Hun Demand'!A:A,0)),"")</f>
        <v/>
      </c>
      <c r="AH52" s="25" t="str">
        <f>IFERROR(INDEX('Hun Demand'!H:H,MATCH($O52,'Hun Demand'!$A:$A,0)),"")</f>
        <v/>
      </c>
      <c r="AI52" s="25" t="str">
        <f>IF(SUMIFS('Supp Consol'!AA:AA,'Supp Consol'!Z:Z,"Expires this month",'Supp Consol'!A:A,O52)=0,"",SUMIFS('Supp Consol'!AA:AA,'Supp Consol'!Z:Z,"Expires this month",'Supp Consol'!A:A,O52))</f>
        <v/>
      </c>
      <c r="AJ52" s="25" t="str">
        <f>IF(SUMIFS('Supp Consol'!AA:AA,'Supp Consol'!Z:Z,"Expired Previous Months",'Supp Consol'!A:A,O52)=0,"",SUMIFS('Supp Consol'!AA:AA,'Supp Consol'!Z:Z,"Expired Previous Months",'Supp Consol'!A:A,O52))</f>
        <v/>
      </c>
      <c r="AK52" s="25" t="str">
        <f>IFERROR(INDEX('Hun Release Current'!B:B,MATCH(O52,'Hun Release Current'!A:A,0)),"")</f>
        <v/>
      </c>
      <c r="AL52" s="25" t="str">
        <f>IF(SUMIF('Prev Aub'!A:A,O52,'Prev Aub'!B:B)=0,"",SUMIF('Prev Aub'!A:A,O52,'Prev Aub'!B:B))</f>
        <v/>
      </c>
      <c r="AN52" s="25" t="s">
        <v>3790</v>
      </c>
      <c r="AO52" s="25" t="s">
        <v>3790</v>
      </c>
      <c r="AP52" s="25">
        <f t="shared" si="6"/>
        <v>0</v>
      </c>
      <c r="AQ52" s="151" t="str">
        <f>IF(SUMIFS('Supp Consol'!S:S,'Supp Consol'!A:A,O52,'Supp Consol'!I:I,"PENDING")=0,"",SUMIFS('Supp Consol'!S:S,'Supp Consol'!A:A,O52,'Supp Consol'!I:I,"PENDING"))</f>
        <v/>
      </c>
      <c r="AR52" s="27" t="str">
        <f t="shared" si="7"/>
        <v>00301</v>
      </c>
      <c r="AS52" s="27" t="str">
        <f t="shared" si="8"/>
        <v>43</v>
      </c>
      <c r="AT52" s="27" t="str">
        <f t="shared" si="9"/>
        <v>00301</v>
      </c>
      <c r="AU52" s="27" t="str">
        <f t="shared" si="10"/>
        <v>00301</v>
      </c>
      <c r="AV52" s="27" t="str">
        <f t="shared" si="11"/>
        <v>00301</v>
      </c>
      <c r="AW52" s="27" t="str">
        <f t="shared" si="12"/>
        <v/>
      </c>
      <c r="AX52" s="27" t="str">
        <f t="shared" si="13"/>
        <v/>
      </c>
      <c r="AY52" s="27" t="str">
        <f t="shared" si="14"/>
        <v/>
      </c>
      <c r="AZ52" s="27" t="str">
        <f t="shared" si="15"/>
        <v/>
      </c>
      <c r="BA52" s="27" t="str">
        <f t="shared" si="16"/>
        <v/>
      </c>
      <c r="BB52" s="27" t="str">
        <f t="shared" si="17"/>
        <v>Gross</v>
      </c>
      <c r="BC52" s="27" t="str">
        <f t="shared" si="18"/>
        <v>Net</v>
      </c>
      <c r="BD52" s="27" t="str">
        <f t="shared" si="19"/>
        <v>Net</v>
      </c>
      <c r="BE52" s="27" t="str">
        <f t="shared" si="20"/>
        <v/>
      </c>
      <c r="BF52" s="27" t="str">
        <f t="shared" si="21"/>
        <v/>
      </c>
      <c r="BG52" s="27" t="str">
        <f t="shared" si="22"/>
        <v/>
      </c>
      <c r="BH52" s="27" t="str">
        <f t="shared" si="23"/>
        <v/>
      </c>
      <c r="BI52" s="27" t="str">
        <f t="shared" si="24"/>
        <v/>
      </c>
      <c r="BJ52" s="27" t="str">
        <f t="shared" si="25"/>
        <v/>
      </c>
      <c r="BK52" s="27" t="str">
        <f t="shared" si="26"/>
        <v/>
      </c>
      <c r="BL52" s="27" t="str">
        <f t="shared" si="27"/>
        <v/>
      </c>
      <c r="BM52" s="21" t="s">
        <v>3790</v>
      </c>
    </row>
    <row r="53" spans="1:65" ht="15">
      <c r="A53" s="25" t="str">
        <f>IFERROR(INDEX('Hun Demand'!W:W,MATCH(O53,'Hun Demand'!A:A,0)),"")</f>
        <v/>
      </c>
      <c r="B53" s="25" t="str">
        <f>IFERROR(INDEX('Hun Demand'!V:V,MATCH(O53,'Hun Demand'!A:A,0)),"")</f>
        <v/>
      </c>
      <c r="C53" s="25" t="str">
        <f>IFERROR(INDEX('Hun Demand'!U:U,MATCH(O53,'Hun Demand'!A:A,0)),"")</f>
        <v/>
      </c>
      <c r="D53" s="25" t="str">
        <f>IFERROR(INDEX('Hun Demand'!T:T,MATCH(O53,'Hun Demand'!A:A,0)),"")</f>
        <v/>
      </c>
      <c r="E53" s="25" t="str">
        <f>IFERROR(INDEX('Hun Demand'!S:S,MATCH(O53,'Hun Demand'!A:A,0)),"")</f>
        <v/>
      </c>
      <c r="F53" s="25" t="str">
        <f>IFERROR(INDEX('Hun Demand'!R:R,MATCH(O53,'Hun Demand'!A:A,0)),"")</f>
        <v/>
      </c>
      <c r="G53" s="25">
        <f>IFERROR(INDEX('Aub Demand'!W:W,MATCH(O53,'Aub Demand'!A:A,0)),"")</f>
        <v>1060</v>
      </c>
      <c r="H53" s="25">
        <f>IFERROR(INDEX('Aub Demand'!V:V,MATCH(O53,'Aub Demand'!A:A,0)),"")</f>
        <v>278</v>
      </c>
      <c r="I53" s="25">
        <f>IFERROR(INDEX('Aub Demand'!U:U,MATCH(O53,'Aub Demand'!A:A,0)),"")</f>
        <v>430</v>
      </c>
      <c r="J53" s="25">
        <f>IFERROR(INDEX('Aub Demand'!T:T,MATCH(O53,'Aub Demand'!A:A,0)),"")</f>
        <v>753</v>
      </c>
      <c r="K53" s="25">
        <f>IFERROR(INDEX('Aub Demand'!S:S,MATCH(O53,'Aub Demand'!A:A,0)),"")</f>
        <v>574</v>
      </c>
      <c r="L53" s="25">
        <f>IFERROR(INDEX('Aub Demand'!R:R,MATCH(O53,'Aub Demand'!A:A,0)),"")</f>
        <v>0</v>
      </c>
      <c r="O53" s="27" t="s">
        <v>163</v>
      </c>
      <c r="P53" s="27" t="str">
        <f>IFERROR(INDEX('Aub Demand'!B:B,MATCH($O53,'Aub Demand'!$A:$A,0)),"")</f>
        <v>TEXTURE LC-55</v>
      </c>
      <c r="Q53" s="27" t="str">
        <f>IFERROR(INDEX('Aub Demand'!C:C,MATCH($O53,'Aub Demand'!$A:$A,0)),"")</f>
        <v>NOVAC</v>
      </c>
      <c r="R53" s="52">
        <f>IFERROR(IF(AR54=AR53,INDEX('Aub Demand'!K:K,MATCH($O53,'Aub Demand'!$A:$A,0))-IF(AN53="",0,AN53)+AP54,INDEX('Aub Demand'!K:K,MATCH($O53,'Aub Demand'!$A:$A,0))-IF(AN53="",0,AN53)),"")</f>
        <v>271</v>
      </c>
      <c r="S53" s="53">
        <f t="shared" si="0"/>
        <v>2</v>
      </c>
      <c r="T53" s="52">
        <f t="shared" si="1"/>
        <v>165.875</v>
      </c>
      <c r="U53" s="52">
        <f>IFERROR(IF(AR54=AR53,INDEX('Aub Demand'!Q:Q,MATCH($O53,'Aub Demand'!$A:$A,0))-IF(AN53="",0,AN53)+AP54,INDEX('Aub Demand'!Q:Q,MATCH($O53,'Aub Demand'!$A:$A,0))-IF(AN53="",0,AN53)),"")</f>
        <v>-304</v>
      </c>
      <c r="V53" s="53">
        <f t="shared" si="2"/>
        <v>-2.2000000000000002</v>
      </c>
      <c r="W53" s="52">
        <f t="shared" si="3"/>
        <v>862.55000000000007</v>
      </c>
      <c r="X53" s="52">
        <f>IFERROR(IF(AND(AR54=AR53,AM53&lt;&gt;""),INDEX('Aub Demand'!Q:Q,MATCH($O53,'Aub Demand'!$A:$A,0))-IF(AN53="",0,AN53)+AP54+AD53+AL53,IF(AR54=AR53,INDEX('Aub Demand'!Q:Q,MATCH($O53,'Aub Demand'!$A:$A,0))-IF(AN53="",0,AN53)+AP54+AD53,IF(AM53&lt;&gt;"",INDEX('Aub Demand'!Q:Q,MATCH($O53,'Aub Demand'!$A:$A,0))-IF(AN53="",0,AN53)+AD53+AL53,INDEX('Aub Demand'!Q:Q,MATCH($O53,'Aub Demand'!$A:$A,0))-IF(AN53="",0,AN53)+AD53))),"")</f>
        <v>-304</v>
      </c>
      <c r="Y53" s="53">
        <f t="shared" si="4"/>
        <v>-2.2000000000000002</v>
      </c>
      <c r="Z53" s="52">
        <f>IF(L53="","",INDEX('Aub Demand'!H:H,MATCH($O53,'Aub Demand'!$A:$A,0)))</f>
        <v>586</v>
      </c>
      <c r="AA53" s="52">
        <f t="shared" si="5"/>
        <v>663.5</v>
      </c>
      <c r="AB53" s="52">
        <f>IFERROR(INDEX('Aub Demand'!L:L,MATCH($O53,'Aub Demand'!$A:$A,0)),"")</f>
        <v>715</v>
      </c>
      <c r="AC53" s="52">
        <f>IFERROR(IF(O53="","",SUMIFS('CPL Mats'!F:F,'CPL Mats'!Q:Q,AR53,'CPL Mats'!S:S,AS53)),"")</f>
        <v>0</v>
      </c>
      <c r="AF53" s="25" t="str">
        <f>IF(SUMIFS('Supp Consol'!S:S,'Supp Consol'!Y:Y,"Releasable",'Supp Consol'!A:A,O53)=0,"",SUMIFS('Supp Consol'!S:S,'Supp Consol'!Y:Y,"Releasable",'Supp Consol'!A:A,O53))</f>
        <v/>
      </c>
      <c r="AG53" s="25" t="str">
        <f>IFERROR(INDEX('Hun Demand'!Q:Q,MATCH(O53,'Hun Demand'!A:A,0)),"")</f>
        <v/>
      </c>
      <c r="AH53" s="25" t="str">
        <f>IFERROR(INDEX('Hun Demand'!H:H,MATCH($O53,'Hun Demand'!$A:$A,0)),"")</f>
        <v/>
      </c>
      <c r="AI53" s="25" t="str">
        <f>IF(SUMIFS('Supp Consol'!AA:AA,'Supp Consol'!Z:Z,"Expires this month",'Supp Consol'!A:A,O53)=0,"",SUMIFS('Supp Consol'!AA:AA,'Supp Consol'!Z:Z,"Expires this month",'Supp Consol'!A:A,O53))</f>
        <v/>
      </c>
      <c r="AJ53" s="25" t="str">
        <f>IF(SUMIFS('Supp Consol'!AA:AA,'Supp Consol'!Z:Z,"Expired Previous Months",'Supp Consol'!A:A,O53)=0,"",SUMIFS('Supp Consol'!AA:AA,'Supp Consol'!Z:Z,"Expired Previous Months",'Supp Consol'!A:A,O53))</f>
        <v/>
      </c>
      <c r="AK53" s="25" t="str">
        <f>IFERROR(INDEX('Hun Release Current'!B:B,MATCH(O53,'Hun Release Current'!A:A,0)),"")</f>
        <v/>
      </c>
      <c r="AL53" s="25" t="str">
        <f>IF(SUMIF('Prev Aub'!A:A,O53,'Prev Aub'!B:B)=0,"",SUMIF('Prev Aub'!A:A,O53,'Prev Aub'!B:B))</f>
        <v/>
      </c>
      <c r="AN53" s="25" t="s">
        <v>3790</v>
      </c>
      <c r="AO53" s="25" t="s">
        <v>3790</v>
      </c>
      <c r="AP53" s="25">
        <f t="shared" si="6"/>
        <v>0</v>
      </c>
      <c r="AQ53" s="151" t="str">
        <f>IF(SUMIFS('Supp Consol'!S:S,'Supp Consol'!A:A,O53,'Supp Consol'!I:I,"PENDING")=0,"",SUMIFS('Supp Consol'!S:S,'Supp Consol'!A:A,O53,'Supp Consol'!I:I,"PENDING"))</f>
        <v/>
      </c>
      <c r="AR53" s="27" t="str">
        <f t="shared" si="7"/>
        <v>00301</v>
      </c>
      <c r="AS53" s="27" t="str">
        <f t="shared" si="8"/>
        <v>62</v>
      </c>
      <c r="AT53" s="27" t="str">
        <f t="shared" si="9"/>
        <v>00301</v>
      </c>
      <c r="AU53" s="27" t="str">
        <f t="shared" si="10"/>
        <v>00301</v>
      </c>
      <c r="AV53" s="27" t="str">
        <f t="shared" si="11"/>
        <v>00301</v>
      </c>
      <c r="AW53" s="27" t="str">
        <f t="shared" si="12"/>
        <v/>
      </c>
      <c r="AX53" s="27" t="str">
        <f t="shared" si="13"/>
        <v/>
      </c>
      <c r="AY53" s="27" t="str">
        <f t="shared" si="14"/>
        <v/>
      </c>
      <c r="AZ53" s="27" t="str">
        <f t="shared" si="15"/>
        <v/>
      </c>
      <c r="BA53" s="27" t="str">
        <f t="shared" si="16"/>
        <v/>
      </c>
      <c r="BB53" s="27" t="str">
        <f t="shared" si="17"/>
        <v>Gross</v>
      </c>
      <c r="BC53" s="27" t="str">
        <f t="shared" si="18"/>
        <v>Net</v>
      </c>
      <c r="BD53" s="27" t="str">
        <f t="shared" si="19"/>
        <v>Net</v>
      </c>
      <c r="BE53" s="27" t="str">
        <f t="shared" si="20"/>
        <v/>
      </c>
      <c r="BF53" s="27" t="str">
        <f t="shared" si="21"/>
        <v/>
      </c>
      <c r="BG53" s="27" t="str">
        <f t="shared" si="22"/>
        <v/>
      </c>
      <c r="BH53" s="27" t="str">
        <f t="shared" si="23"/>
        <v/>
      </c>
      <c r="BI53" s="27" t="str">
        <f t="shared" si="24"/>
        <v/>
      </c>
      <c r="BJ53" s="27" t="str">
        <f t="shared" si="25"/>
        <v/>
      </c>
      <c r="BK53" s="27" t="str">
        <f t="shared" si="26"/>
        <v/>
      </c>
      <c r="BL53" s="27" t="str">
        <f t="shared" si="27"/>
        <v/>
      </c>
      <c r="BM53" s="21" t="s">
        <v>5581</v>
      </c>
    </row>
    <row r="54" spans="1:65" ht="15">
      <c r="A54" s="25" t="str">
        <f>IFERROR(INDEX('Hun Demand'!W:W,MATCH(O54,'Hun Demand'!A:A,0)),"")</f>
        <v/>
      </c>
      <c r="B54" s="25" t="str">
        <f>IFERROR(INDEX('Hun Demand'!V:V,MATCH(O54,'Hun Demand'!A:A,0)),"")</f>
        <v/>
      </c>
      <c r="C54" s="25" t="str">
        <f>IFERROR(INDEX('Hun Demand'!U:U,MATCH(O54,'Hun Demand'!A:A,0)),"")</f>
        <v/>
      </c>
      <c r="D54" s="25" t="str">
        <f>IFERROR(INDEX('Hun Demand'!T:T,MATCH(O54,'Hun Demand'!A:A,0)),"")</f>
        <v/>
      </c>
      <c r="E54" s="25" t="str">
        <f>IFERROR(INDEX('Hun Demand'!S:S,MATCH(O54,'Hun Demand'!A:A,0)),"")</f>
        <v/>
      </c>
      <c r="F54" s="25" t="str">
        <f>IFERROR(INDEX('Hun Demand'!R:R,MATCH(O54,'Hun Demand'!A:A,0)),"")</f>
        <v/>
      </c>
      <c r="G54" s="25">
        <f>IFERROR(INDEX('Aub Demand'!W:W,MATCH(O54,'Aub Demand'!A:A,0)),"")</f>
        <v>0</v>
      </c>
      <c r="H54" s="25">
        <f>IFERROR(INDEX('Aub Demand'!V:V,MATCH(O54,'Aub Demand'!A:A,0)),"")</f>
        <v>0</v>
      </c>
      <c r="I54" s="25">
        <f>IFERROR(INDEX('Aub Demand'!U:U,MATCH(O54,'Aub Demand'!A:A,0)),"")</f>
        <v>0</v>
      </c>
      <c r="J54" s="25">
        <f>IFERROR(INDEX('Aub Demand'!T:T,MATCH(O54,'Aub Demand'!A:A,0)),"")</f>
        <v>0</v>
      </c>
      <c r="K54" s="25">
        <f>IFERROR(INDEX('Aub Demand'!S:S,MATCH(O54,'Aub Demand'!A:A,0)),"")</f>
        <v>0</v>
      </c>
      <c r="L54" s="25">
        <f>IFERROR(INDEX('Aub Demand'!R:R,MATCH(O54,'Aub Demand'!A:A,0)),"")</f>
        <v>0</v>
      </c>
      <c r="O54" s="27" t="s">
        <v>166</v>
      </c>
      <c r="P54" s="27" t="str">
        <f>IFERROR(INDEX('Aub Demand'!B:B,MATCH($O54,'Aub Demand'!$A:$A,0)),"")</f>
        <v>SUEDE LC-19</v>
      </c>
      <c r="Q54" s="27" t="str">
        <f>IFERROR(INDEX('Aub Demand'!C:C,MATCH($O54,'Aub Demand'!$A:$A,0)),"")</f>
        <v>NOVAC</v>
      </c>
      <c r="R54" s="52">
        <f>IFERROR(IF(AR55=AR54,INDEX('Aub Demand'!K:K,MATCH($O54,'Aub Demand'!$A:$A,0))-IF(AN54="",0,AN54)+AP55,INDEX('Aub Demand'!K:K,MATCH($O54,'Aub Demand'!$A:$A,0))-IF(AN54="",0,AN54)),"")</f>
        <v>759</v>
      </c>
      <c r="S54" s="53" t="str">
        <f t="shared" si="0"/>
        <v>n/a</v>
      </c>
      <c r="T54" s="52" t="str">
        <f t="shared" si="1"/>
        <v/>
      </c>
      <c r="U54" s="52">
        <f>IFERROR(IF(AR55=AR54,INDEX('Aub Demand'!Q:Q,MATCH($O54,'Aub Demand'!$A:$A,0))-IF(AN54="",0,AN54)+AP55,INDEX('Aub Demand'!Q:Q,MATCH($O54,'Aub Demand'!$A:$A,0))-IF(AN54="",0,AN54)),"")</f>
        <v>757</v>
      </c>
      <c r="V54" s="53" t="str">
        <f t="shared" si="2"/>
        <v>n/a</v>
      </c>
      <c r="W54" s="52" t="str">
        <f t="shared" si="3"/>
        <v/>
      </c>
      <c r="X54" s="52">
        <f>IFERROR(IF(AND(AR55=AR54,AM54&lt;&gt;""),INDEX('Aub Demand'!Q:Q,MATCH($O54,'Aub Demand'!$A:$A,0))-IF(AN54="",0,AN54)+AP55+AD54+AL54,IF(AR55=AR54,INDEX('Aub Demand'!Q:Q,MATCH($O54,'Aub Demand'!$A:$A,0))-IF(AN54="",0,AN54)+AP55+AD54,IF(AM54&lt;&gt;"",INDEX('Aub Demand'!Q:Q,MATCH($O54,'Aub Demand'!$A:$A,0))-IF(AN54="",0,AN54)+AD54+AL54,INDEX('Aub Demand'!Q:Q,MATCH($O54,'Aub Demand'!$A:$A,0))-IF(AN54="",0,AN54)+AD54))),"")</f>
        <v>757</v>
      </c>
      <c r="Y54" s="53" t="str">
        <f t="shared" si="4"/>
        <v>n/a</v>
      </c>
      <c r="Z54" s="52">
        <f>IF(L54="","",INDEX('Aub Demand'!H:H,MATCH($O54,'Aub Demand'!$A:$A,0)))</f>
        <v>0</v>
      </c>
      <c r="AA54" s="52" t="str">
        <f t="shared" si="5"/>
        <v>-spike-</v>
      </c>
      <c r="AB54" s="52">
        <f>IFERROR(INDEX('Aub Demand'!L:L,MATCH($O54,'Aub Demand'!$A:$A,0)),"")</f>
        <v>41</v>
      </c>
      <c r="AC54" s="52">
        <f>IFERROR(IF(O54="","",SUMIFS('CPL Mats'!F:F,'CPL Mats'!Q:Q,AR54,'CPL Mats'!S:S,AS54)),"")</f>
        <v>0</v>
      </c>
      <c r="AF54" s="25" t="str">
        <f>IF(SUMIFS('Supp Consol'!S:S,'Supp Consol'!Y:Y,"Releasable",'Supp Consol'!A:A,O54)=0,"",SUMIFS('Supp Consol'!S:S,'Supp Consol'!Y:Y,"Releasable",'Supp Consol'!A:A,O54))</f>
        <v/>
      </c>
      <c r="AG54" s="25" t="str">
        <f>IFERROR(INDEX('Hun Demand'!Q:Q,MATCH(O54,'Hun Demand'!A:A,0)),"")</f>
        <v/>
      </c>
      <c r="AH54" s="25" t="str">
        <f>IFERROR(INDEX('Hun Demand'!H:H,MATCH($O54,'Hun Demand'!$A:$A,0)),"")</f>
        <v/>
      </c>
      <c r="AI54" s="25" t="str">
        <f>IF(SUMIFS('Supp Consol'!AA:AA,'Supp Consol'!Z:Z,"Expires this month",'Supp Consol'!A:A,O54)=0,"",SUMIFS('Supp Consol'!AA:AA,'Supp Consol'!Z:Z,"Expires this month",'Supp Consol'!A:A,O54))</f>
        <v/>
      </c>
      <c r="AJ54" s="25" t="str">
        <f>IF(SUMIFS('Supp Consol'!AA:AA,'Supp Consol'!Z:Z,"Expired Previous Months",'Supp Consol'!A:A,O54)=0,"",SUMIFS('Supp Consol'!AA:AA,'Supp Consol'!Z:Z,"Expired Previous Months",'Supp Consol'!A:A,O54))</f>
        <v/>
      </c>
      <c r="AK54" s="25" t="str">
        <f>IFERROR(INDEX('Hun Release Current'!B:B,MATCH(O54,'Hun Release Current'!A:A,0)),"")</f>
        <v/>
      </c>
      <c r="AL54" s="25" t="str">
        <f>IF(SUMIF('Prev Aub'!A:A,O54,'Prev Aub'!B:B)=0,"",SUMIF('Prev Aub'!A:A,O54,'Prev Aub'!B:B))</f>
        <v/>
      </c>
      <c r="AN54" s="25" t="s">
        <v>3790</v>
      </c>
      <c r="AO54" s="25" t="s">
        <v>3790</v>
      </c>
      <c r="AP54" s="25">
        <f t="shared" si="6"/>
        <v>0</v>
      </c>
      <c r="AQ54" s="151" t="str">
        <f>IF(SUMIFS('Supp Consol'!S:S,'Supp Consol'!A:A,O54,'Supp Consol'!I:I,"PENDING")=0,"",SUMIFS('Supp Consol'!S:S,'Supp Consol'!A:A,O54,'Supp Consol'!I:I,"PENDING"))</f>
        <v/>
      </c>
      <c r="AR54" s="27" t="str">
        <f t="shared" si="7"/>
        <v>00302</v>
      </c>
      <c r="AS54" s="27" t="str">
        <f t="shared" si="8"/>
        <v>37</v>
      </c>
      <c r="AT54" s="27" t="str">
        <f t="shared" si="9"/>
        <v/>
      </c>
      <c r="AU54" s="27" t="str">
        <f t="shared" si="10"/>
        <v/>
      </c>
      <c r="AV54" s="27" t="str">
        <f t="shared" si="11"/>
        <v/>
      </c>
      <c r="AW54" s="27" t="str">
        <f t="shared" si="12"/>
        <v/>
      </c>
      <c r="AX54" s="27" t="str">
        <f t="shared" si="13"/>
        <v/>
      </c>
      <c r="AY54" s="27" t="str">
        <f t="shared" si="14"/>
        <v/>
      </c>
      <c r="AZ54" s="27" t="str">
        <f t="shared" si="15"/>
        <v>Supp</v>
      </c>
      <c r="BA54" s="27" t="str">
        <f t="shared" si="16"/>
        <v/>
      </c>
      <c r="BB54" s="27" t="str">
        <f t="shared" si="17"/>
        <v/>
      </c>
      <c r="BC54" s="27" t="str">
        <f t="shared" si="18"/>
        <v/>
      </c>
      <c r="BD54" s="27" t="str">
        <f t="shared" si="19"/>
        <v/>
      </c>
      <c r="BE54" s="27" t="str">
        <f t="shared" si="20"/>
        <v/>
      </c>
      <c r="BF54" s="27" t="str">
        <f t="shared" si="21"/>
        <v/>
      </c>
      <c r="BG54" s="27" t="str">
        <f t="shared" si="22"/>
        <v/>
      </c>
      <c r="BH54" s="27" t="str">
        <f t="shared" si="23"/>
        <v/>
      </c>
      <c r="BI54" s="27" t="str">
        <f t="shared" si="24"/>
        <v/>
      </c>
      <c r="BJ54" s="27" t="str">
        <f t="shared" si="25"/>
        <v>Supp or Hun</v>
      </c>
      <c r="BK54" s="27" t="str">
        <f t="shared" si="26"/>
        <v/>
      </c>
      <c r="BL54" s="27" t="str">
        <f t="shared" si="27"/>
        <v/>
      </c>
      <c r="BM54" s="21" t="s">
        <v>5581</v>
      </c>
    </row>
    <row r="55" spans="1:65" ht="15">
      <c r="A55" s="25" t="str">
        <f>IFERROR(INDEX('Hun Demand'!W:W,MATCH(O55,'Hun Demand'!A:A,0)),"")</f>
        <v/>
      </c>
      <c r="B55" s="25" t="str">
        <f>IFERROR(INDEX('Hun Demand'!V:V,MATCH(O55,'Hun Demand'!A:A,0)),"")</f>
        <v/>
      </c>
      <c r="C55" s="25" t="str">
        <f>IFERROR(INDEX('Hun Demand'!U:U,MATCH(O55,'Hun Demand'!A:A,0)),"")</f>
        <v/>
      </c>
      <c r="D55" s="25" t="str">
        <f>IFERROR(INDEX('Hun Demand'!T:T,MATCH(O55,'Hun Demand'!A:A,0)),"")</f>
        <v/>
      </c>
      <c r="E55" s="25" t="str">
        <f>IFERROR(INDEX('Hun Demand'!S:S,MATCH(O55,'Hun Demand'!A:A,0)),"")</f>
        <v/>
      </c>
      <c r="F55" s="25" t="str">
        <f>IFERROR(INDEX('Hun Demand'!R:R,MATCH(O55,'Hun Demand'!A:A,0)),"")</f>
        <v/>
      </c>
      <c r="G55" s="25">
        <f>IFERROR(INDEX('Aub Demand'!W:W,MATCH(O55,'Aub Demand'!A:A,0)),"")</f>
        <v>481</v>
      </c>
      <c r="H55" s="25">
        <f>IFERROR(INDEX('Aub Demand'!V:V,MATCH(O55,'Aub Demand'!A:A,0)),"")</f>
        <v>1161</v>
      </c>
      <c r="I55" s="25">
        <f>IFERROR(INDEX('Aub Demand'!U:U,MATCH(O55,'Aub Demand'!A:A,0)),"")</f>
        <v>362</v>
      </c>
      <c r="J55" s="25">
        <f>IFERROR(INDEX('Aub Demand'!T:T,MATCH(O55,'Aub Demand'!A:A,0)),"")</f>
        <v>1409</v>
      </c>
      <c r="K55" s="25">
        <f>IFERROR(INDEX('Aub Demand'!S:S,MATCH(O55,'Aub Demand'!A:A,0)),"")</f>
        <v>1253</v>
      </c>
      <c r="L55" s="25">
        <f>IFERROR(INDEX('Aub Demand'!R:R,MATCH(O55,'Aub Demand'!A:A,0)),"")</f>
        <v>0</v>
      </c>
      <c r="O55" s="27" t="s">
        <v>168</v>
      </c>
      <c r="P55" s="27" t="str">
        <f>IFERROR(INDEX('Aub Demand'!B:B,MATCH($O55,'Aub Demand'!$A:$A,0)),"")</f>
        <v>SUEDE LC-19</v>
      </c>
      <c r="Q55" s="27" t="str">
        <f>IFERROR(INDEX('Aub Demand'!C:C,MATCH($O55,'Aub Demand'!$A:$A,0)),"")</f>
        <v>NOVAC</v>
      </c>
      <c r="R55" s="52">
        <f>IFERROR(IF(AR56=AR55,INDEX('Aub Demand'!K:K,MATCH($O55,'Aub Demand'!$A:$A,0))-IF(AN55="",0,AN55)+AP56,INDEX('Aub Demand'!K:K,MATCH($O55,'Aub Demand'!$A:$A,0))-IF(AN55="",0,AN55)),"")</f>
        <v>1811</v>
      </c>
      <c r="S55" s="53">
        <f t="shared" si="0"/>
        <v>7.7</v>
      </c>
      <c r="T55" s="52" t="str">
        <f t="shared" si="1"/>
        <v/>
      </c>
      <c r="U55" s="52">
        <f>IFERROR(IF(AR56=AR55,INDEX('Aub Demand'!Q:Q,MATCH($O55,'Aub Demand'!$A:$A,0))-IF(AN55="",0,AN55)+AP56,INDEX('Aub Demand'!Q:Q,MATCH($O55,'Aub Demand'!$A:$A,0))-IF(AN55="",0,AN55)),"")</f>
        <v>1431</v>
      </c>
      <c r="V55" s="53">
        <f t="shared" si="2"/>
        <v>6.1</v>
      </c>
      <c r="W55" s="52" t="str">
        <f t="shared" si="3"/>
        <v/>
      </c>
      <c r="X55" s="52">
        <f>IFERROR(IF(AND(AR56=AR55,AM55&lt;&gt;""),INDEX('Aub Demand'!Q:Q,MATCH($O55,'Aub Demand'!$A:$A,0))-IF(AN55="",0,AN55)+AP56+AD55+AL55,IF(AR56=AR55,INDEX('Aub Demand'!Q:Q,MATCH($O55,'Aub Demand'!$A:$A,0))-IF(AN55="",0,AN55)+AP56+AD55,IF(AM55&lt;&gt;"",INDEX('Aub Demand'!Q:Q,MATCH($O55,'Aub Demand'!$A:$A,0))-IF(AN55="",0,AN55)+AD55+AL55,INDEX('Aub Demand'!Q:Q,MATCH($O55,'Aub Demand'!$A:$A,0))-IF(AN55="",0,AN55)+AD55))),"")</f>
        <v>1431</v>
      </c>
      <c r="Y55" s="53">
        <f t="shared" si="4"/>
        <v>6.1</v>
      </c>
      <c r="Z55" s="52">
        <f>IF(L55="","",INDEX('Aub Demand'!H:H,MATCH($O55,'Aub Demand'!$A:$A,0)))</f>
        <v>1008</v>
      </c>
      <c r="AA55" s="52">
        <f t="shared" si="5"/>
        <v>1331</v>
      </c>
      <c r="AB55" s="52">
        <f>IFERROR(INDEX('Aub Demand'!L:L,MATCH($O55,'Aub Demand'!$A:$A,0)),"")</f>
        <v>1100</v>
      </c>
      <c r="AC55" s="52">
        <f>IFERROR(IF(O55="","",SUMIFS('CPL Mats'!F:F,'CPL Mats'!Q:Q,AR55,'CPL Mats'!S:S,AS55)),"")</f>
        <v>0</v>
      </c>
      <c r="AF55" s="25">
        <f>IF(SUMIFS('Supp Consol'!S:S,'Supp Consol'!Y:Y,"Releasable",'Supp Consol'!A:A,O55)=0,"",SUMIFS('Supp Consol'!S:S,'Supp Consol'!Y:Y,"Releasable",'Supp Consol'!A:A,O55))</f>
        <v>1800</v>
      </c>
      <c r="AG55" s="25" t="str">
        <f>IFERROR(INDEX('Hun Demand'!Q:Q,MATCH(O55,'Hun Demand'!A:A,0)),"")</f>
        <v/>
      </c>
      <c r="AH55" s="25" t="str">
        <f>IFERROR(INDEX('Hun Demand'!H:H,MATCH($O55,'Hun Demand'!$A:$A,0)),"")</f>
        <v/>
      </c>
      <c r="AI55" s="25" t="str">
        <f>IF(SUMIFS('Supp Consol'!AA:AA,'Supp Consol'!Z:Z,"Expires this month",'Supp Consol'!A:A,O55)=0,"",SUMIFS('Supp Consol'!AA:AA,'Supp Consol'!Z:Z,"Expires this month",'Supp Consol'!A:A,O55))</f>
        <v/>
      </c>
      <c r="AJ55" s="25" t="str">
        <f>IF(SUMIFS('Supp Consol'!AA:AA,'Supp Consol'!Z:Z,"Expired Previous Months",'Supp Consol'!A:A,O55)=0,"",SUMIFS('Supp Consol'!AA:AA,'Supp Consol'!Z:Z,"Expired Previous Months",'Supp Consol'!A:A,O55))</f>
        <v/>
      </c>
      <c r="AK55" s="25" t="str">
        <f>IFERROR(INDEX('Hun Release Current'!B:B,MATCH(O55,'Hun Release Current'!A:A,0)),"")</f>
        <v/>
      </c>
      <c r="AL55" s="25" t="str">
        <f>IF(SUMIF('Prev Aub'!A:A,O55,'Prev Aub'!B:B)=0,"",SUMIF('Prev Aub'!A:A,O55,'Prev Aub'!B:B))</f>
        <v/>
      </c>
      <c r="AN55" s="25" t="s">
        <v>3790</v>
      </c>
      <c r="AO55" s="25" t="s">
        <v>3790</v>
      </c>
      <c r="AP55" s="25">
        <f t="shared" si="6"/>
        <v>0</v>
      </c>
      <c r="AQ55" s="151" t="str">
        <f>IF(SUMIFS('Supp Consol'!S:S,'Supp Consol'!A:A,O55,'Supp Consol'!I:I,"PENDING")=0,"",SUMIFS('Supp Consol'!S:S,'Supp Consol'!A:A,O55,'Supp Consol'!I:I,"PENDING"))</f>
        <v/>
      </c>
      <c r="AR55" s="27" t="str">
        <f t="shared" si="7"/>
        <v>00302</v>
      </c>
      <c r="AS55" s="27" t="str">
        <f t="shared" si="8"/>
        <v>50</v>
      </c>
      <c r="AT55" s="27" t="str">
        <f t="shared" si="9"/>
        <v/>
      </c>
      <c r="AU55" s="27" t="str">
        <f t="shared" si="10"/>
        <v/>
      </c>
      <c r="AV55" s="27" t="str">
        <f t="shared" si="11"/>
        <v/>
      </c>
      <c r="AW55" s="27" t="str">
        <f t="shared" si="12"/>
        <v/>
      </c>
      <c r="AX55" s="27" t="str">
        <f t="shared" si="13"/>
        <v>00302</v>
      </c>
      <c r="AY55" s="27" t="str">
        <f t="shared" si="14"/>
        <v/>
      </c>
      <c r="AZ55" s="27" t="str">
        <f t="shared" si="15"/>
        <v>Supp</v>
      </c>
      <c r="BA55" s="27" t="str">
        <f t="shared" si="16"/>
        <v/>
      </c>
      <c r="BB55" s="27" t="str">
        <f t="shared" si="17"/>
        <v/>
      </c>
      <c r="BC55" s="27" t="str">
        <f t="shared" si="18"/>
        <v/>
      </c>
      <c r="BD55" s="27" t="str">
        <f t="shared" si="19"/>
        <v/>
      </c>
      <c r="BE55" s="27" t="str">
        <f t="shared" si="20"/>
        <v/>
      </c>
      <c r="BF55" s="27" t="str">
        <f t="shared" si="21"/>
        <v/>
      </c>
      <c r="BG55" s="27" t="str">
        <f t="shared" si="22"/>
        <v/>
      </c>
      <c r="BH55" s="27" t="str">
        <f t="shared" si="23"/>
        <v/>
      </c>
      <c r="BI55" s="27" t="str">
        <f t="shared" si="24"/>
        <v/>
      </c>
      <c r="BJ55" s="27" t="str">
        <f t="shared" si="25"/>
        <v>Supp or Hun</v>
      </c>
      <c r="BK55" s="27" t="str">
        <f t="shared" si="26"/>
        <v/>
      </c>
      <c r="BL55" s="27" t="str">
        <f t="shared" si="27"/>
        <v/>
      </c>
      <c r="BM55" s="21" t="s">
        <v>5581</v>
      </c>
    </row>
    <row r="56" spans="1:65" ht="15">
      <c r="A56" s="25" t="str">
        <f>IFERROR(INDEX('Hun Demand'!W:W,MATCH(O56,'Hun Demand'!A:A,0)),"")</f>
        <v/>
      </c>
      <c r="B56" s="25" t="str">
        <f>IFERROR(INDEX('Hun Demand'!V:V,MATCH(O56,'Hun Demand'!A:A,0)),"")</f>
        <v/>
      </c>
      <c r="C56" s="25" t="str">
        <f>IFERROR(INDEX('Hun Demand'!U:U,MATCH(O56,'Hun Demand'!A:A,0)),"")</f>
        <v/>
      </c>
      <c r="D56" s="25" t="str">
        <f>IFERROR(INDEX('Hun Demand'!T:T,MATCH(O56,'Hun Demand'!A:A,0)),"")</f>
        <v/>
      </c>
      <c r="E56" s="25" t="str">
        <f>IFERROR(INDEX('Hun Demand'!S:S,MATCH(O56,'Hun Demand'!A:A,0)),"")</f>
        <v/>
      </c>
      <c r="F56" s="25" t="str">
        <f>IFERROR(INDEX('Hun Demand'!R:R,MATCH(O56,'Hun Demand'!A:A,0)),"")</f>
        <v/>
      </c>
      <c r="G56" s="25">
        <f>IFERROR(INDEX('Aub Demand'!W:W,MATCH(O56,'Aub Demand'!A:A,0)),"")</f>
        <v>0</v>
      </c>
      <c r="H56" s="25">
        <f>IFERROR(INDEX('Aub Demand'!V:V,MATCH(O56,'Aub Demand'!A:A,0)),"")</f>
        <v>0</v>
      </c>
      <c r="I56" s="25">
        <f>IFERROR(INDEX('Aub Demand'!U:U,MATCH(O56,'Aub Demand'!A:A,0)),"")</f>
        <v>0</v>
      </c>
      <c r="J56" s="25">
        <f>IFERROR(INDEX('Aub Demand'!T:T,MATCH(O56,'Aub Demand'!A:A,0)),"")</f>
        <v>0</v>
      </c>
      <c r="K56" s="25">
        <f>IFERROR(INDEX('Aub Demand'!S:S,MATCH(O56,'Aub Demand'!A:A,0)),"")</f>
        <v>0</v>
      </c>
      <c r="L56" s="25">
        <f>IFERROR(INDEX('Aub Demand'!R:R,MATCH(O56,'Aub Demand'!A:A,0)),"")</f>
        <v>0</v>
      </c>
      <c r="O56" s="27" t="s">
        <v>171</v>
      </c>
      <c r="P56" s="27" t="str">
        <f>IFERROR(INDEX('Aub Demand'!B:B,MATCH($O56,'Aub Demand'!$A:$A,0)),"")</f>
        <v>LC-19/PARCHMENT</v>
      </c>
      <c r="Q56" s="27" t="str">
        <f>IFERROR(INDEX('Aub Demand'!C:C,MATCH($O56,'Aub Demand'!$A:$A,0)),"")</f>
        <v>NOVAC</v>
      </c>
      <c r="R56" s="52">
        <f>IFERROR(IF(AR57=AR56,INDEX('Aub Demand'!K:K,MATCH($O56,'Aub Demand'!$A:$A,0))-IF(AN56="",0,AN56)+AP57,INDEX('Aub Demand'!K:K,MATCH($O56,'Aub Demand'!$A:$A,0))-IF(AN56="",0,AN56)),"")</f>
        <v>58890</v>
      </c>
      <c r="S56" s="53" t="str">
        <f t="shared" si="0"/>
        <v>n/a</v>
      </c>
      <c r="T56" s="52" t="str">
        <f t="shared" si="1"/>
        <v/>
      </c>
      <c r="U56" s="52">
        <f>IFERROR(IF(AR57=AR56,INDEX('Aub Demand'!Q:Q,MATCH($O56,'Aub Demand'!$A:$A,0))-IF(AN56="",0,AN56)+AP57,INDEX('Aub Demand'!Q:Q,MATCH($O56,'Aub Demand'!$A:$A,0))-IF(AN56="",0,AN56)),"")</f>
        <v>58890</v>
      </c>
      <c r="V56" s="53" t="str">
        <f t="shared" si="2"/>
        <v>n/a</v>
      </c>
      <c r="W56" s="52" t="str">
        <f t="shared" si="3"/>
        <v/>
      </c>
      <c r="X56" s="52">
        <f>IFERROR(IF(AND(AR57=AR56,AM56&lt;&gt;""),INDEX('Aub Demand'!Q:Q,MATCH($O56,'Aub Demand'!$A:$A,0))-IF(AN56="",0,AN56)+AP57+AD56+AL56,IF(AR57=AR56,INDEX('Aub Demand'!Q:Q,MATCH($O56,'Aub Demand'!$A:$A,0))-IF(AN56="",0,AN56)+AP57+AD56,IF(AM56&lt;&gt;"",INDEX('Aub Demand'!Q:Q,MATCH($O56,'Aub Demand'!$A:$A,0))-IF(AN56="",0,AN56)+AD56+AL56,INDEX('Aub Demand'!Q:Q,MATCH($O56,'Aub Demand'!$A:$A,0))-IF(AN56="",0,AN56)+AD56))),"")</f>
        <v>58890</v>
      </c>
      <c r="Y56" s="53" t="str">
        <f t="shared" si="4"/>
        <v>n/a</v>
      </c>
      <c r="Z56" s="52">
        <f>IF(L56="","",INDEX('Aub Demand'!H:H,MATCH($O56,'Aub Demand'!$A:$A,0)))</f>
        <v>0</v>
      </c>
      <c r="AA56" s="52" t="str">
        <f t="shared" si="5"/>
        <v>-spike-</v>
      </c>
      <c r="AB56" s="52">
        <f>IFERROR(INDEX('Aub Demand'!L:L,MATCH($O56,'Aub Demand'!$A:$A,0)),"")</f>
        <v>0</v>
      </c>
      <c r="AC56" s="52">
        <f>IFERROR(IF(O56="","",SUMIFS('CPL Mats'!F:F,'CPL Mats'!Q:Q,AR56,'CPL Mats'!S:S,AS56)),"")</f>
        <v>0</v>
      </c>
      <c r="AF56" s="25" t="str">
        <f>IF(SUMIFS('Supp Consol'!S:S,'Supp Consol'!Y:Y,"Releasable",'Supp Consol'!A:A,O56)=0,"",SUMIFS('Supp Consol'!S:S,'Supp Consol'!Y:Y,"Releasable",'Supp Consol'!A:A,O56))</f>
        <v/>
      </c>
      <c r="AG56" s="25" t="str">
        <f>IFERROR(INDEX('Hun Demand'!Q:Q,MATCH(O56,'Hun Demand'!A:A,0)),"")</f>
        <v/>
      </c>
      <c r="AH56" s="25" t="str">
        <f>IFERROR(INDEX('Hun Demand'!H:H,MATCH($O56,'Hun Demand'!$A:$A,0)),"")</f>
        <v/>
      </c>
      <c r="AI56" s="25" t="str">
        <f>IF(SUMIFS('Supp Consol'!AA:AA,'Supp Consol'!Z:Z,"Expires this month",'Supp Consol'!A:A,O56)=0,"",SUMIFS('Supp Consol'!AA:AA,'Supp Consol'!Z:Z,"Expires this month",'Supp Consol'!A:A,O56))</f>
        <v/>
      </c>
      <c r="AJ56" s="25" t="str">
        <f>IF(SUMIFS('Supp Consol'!AA:AA,'Supp Consol'!Z:Z,"Expired Previous Months",'Supp Consol'!A:A,O56)=0,"",SUMIFS('Supp Consol'!AA:AA,'Supp Consol'!Z:Z,"Expired Previous Months",'Supp Consol'!A:A,O56))</f>
        <v/>
      </c>
      <c r="AK56" s="25" t="str">
        <f>IFERROR(INDEX('Hun Release Current'!B:B,MATCH(O56,'Hun Release Current'!A:A,0)),"")</f>
        <v/>
      </c>
      <c r="AL56" s="25" t="str">
        <f>IF(SUMIF('Prev Aub'!A:A,O56,'Prev Aub'!B:B)=0,"",SUMIF('Prev Aub'!A:A,O56,'Prev Aub'!B:B))</f>
        <v/>
      </c>
      <c r="AN56" s="25" t="s">
        <v>3790</v>
      </c>
      <c r="AO56" s="25" t="s">
        <v>3790</v>
      </c>
      <c r="AP56" s="25">
        <f t="shared" si="6"/>
        <v>0</v>
      </c>
      <c r="AQ56" s="151" t="str">
        <f>IF(SUMIFS('Supp Consol'!S:S,'Supp Consol'!A:A,O56,'Supp Consol'!I:I,"PENDING")=0,"",SUMIFS('Supp Consol'!S:S,'Supp Consol'!A:A,O56,'Supp Consol'!I:I,"PENDING"))</f>
        <v/>
      </c>
      <c r="AR56" s="27" t="str">
        <f t="shared" si="7"/>
        <v>00302</v>
      </c>
      <c r="AS56" s="27" t="str">
        <f t="shared" si="8"/>
        <v>51</v>
      </c>
      <c r="AT56" s="27" t="str">
        <f t="shared" si="9"/>
        <v/>
      </c>
      <c r="AU56" s="27" t="str">
        <f t="shared" si="10"/>
        <v/>
      </c>
      <c r="AV56" s="27" t="str">
        <f t="shared" si="11"/>
        <v/>
      </c>
      <c r="AW56" s="27" t="str">
        <f t="shared" si="12"/>
        <v/>
      </c>
      <c r="AX56" s="27" t="str">
        <f t="shared" si="13"/>
        <v/>
      </c>
      <c r="AY56" s="27" t="str">
        <f t="shared" si="14"/>
        <v/>
      </c>
      <c r="AZ56" s="27" t="str">
        <f t="shared" si="15"/>
        <v>Supp</v>
      </c>
      <c r="BA56" s="27" t="str">
        <f t="shared" si="16"/>
        <v/>
      </c>
      <c r="BB56" s="27" t="str">
        <f t="shared" si="17"/>
        <v/>
      </c>
      <c r="BC56" s="27" t="str">
        <f t="shared" si="18"/>
        <v/>
      </c>
      <c r="BD56" s="27" t="str">
        <f t="shared" si="19"/>
        <v/>
      </c>
      <c r="BE56" s="27" t="str">
        <f t="shared" si="20"/>
        <v/>
      </c>
      <c r="BF56" s="27" t="str">
        <f t="shared" si="21"/>
        <v/>
      </c>
      <c r="BG56" s="27" t="str">
        <f t="shared" si="22"/>
        <v/>
      </c>
      <c r="BH56" s="27" t="str">
        <f t="shared" si="23"/>
        <v/>
      </c>
      <c r="BI56" s="27" t="str">
        <f t="shared" si="24"/>
        <v/>
      </c>
      <c r="BJ56" s="27" t="str">
        <f t="shared" si="25"/>
        <v>Supp or Hun</v>
      </c>
      <c r="BK56" s="27" t="str">
        <f t="shared" si="26"/>
        <v/>
      </c>
      <c r="BL56" s="27" t="str">
        <f t="shared" si="27"/>
        <v/>
      </c>
      <c r="BM56" s="21" t="s">
        <v>5581</v>
      </c>
    </row>
    <row r="57" spans="1:65" ht="15">
      <c r="A57" s="25" t="str">
        <f>IFERROR(INDEX('Hun Demand'!W:W,MATCH(O57,'Hun Demand'!A:A,0)),"")</f>
        <v/>
      </c>
      <c r="B57" s="25" t="str">
        <f>IFERROR(INDEX('Hun Demand'!V:V,MATCH(O57,'Hun Demand'!A:A,0)),"")</f>
        <v/>
      </c>
      <c r="C57" s="25" t="str">
        <f>IFERROR(INDEX('Hun Demand'!U:U,MATCH(O57,'Hun Demand'!A:A,0)),"")</f>
        <v/>
      </c>
      <c r="D57" s="25" t="str">
        <f>IFERROR(INDEX('Hun Demand'!T:T,MATCH(O57,'Hun Demand'!A:A,0)),"")</f>
        <v/>
      </c>
      <c r="E57" s="25" t="str">
        <f>IFERROR(INDEX('Hun Demand'!S:S,MATCH(O57,'Hun Demand'!A:A,0)),"")</f>
        <v/>
      </c>
      <c r="F57" s="25" t="str">
        <f>IFERROR(INDEX('Hun Demand'!R:R,MATCH(O57,'Hun Demand'!A:A,0)),"")</f>
        <v/>
      </c>
      <c r="G57" s="25">
        <f>IFERROR(INDEX('Aub Demand'!W:W,MATCH(O57,'Aub Demand'!A:A,0)),"")</f>
        <v>154</v>
      </c>
      <c r="H57" s="25">
        <f>IFERROR(INDEX('Aub Demand'!V:V,MATCH(O57,'Aub Demand'!A:A,0)),"")</f>
        <v>532</v>
      </c>
      <c r="I57" s="25">
        <f>IFERROR(INDEX('Aub Demand'!U:U,MATCH(O57,'Aub Demand'!A:A,0)),"")</f>
        <v>601</v>
      </c>
      <c r="J57" s="25">
        <f>IFERROR(INDEX('Aub Demand'!T:T,MATCH(O57,'Aub Demand'!A:A,0)),"")</f>
        <v>678</v>
      </c>
      <c r="K57" s="25">
        <f>IFERROR(INDEX('Aub Demand'!S:S,MATCH(O57,'Aub Demand'!A:A,0)),"")</f>
        <v>884</v>
      </c>
      <c r="L57" s="25">
        <f>IFERROR(INDEX('Aub Demand'!R:R,MATCH(O57,'Aub Demand'!A:A,0)),"")</f>
        <v>0</v>
      </c>
      <c r="O57" s="27" t="s">
        <v>173</v>
      </c>
      <c r="P57" s="27" t="str">
        <f>IFERROR(INDEX('Aub Demand'!B:B,MATCH($O57,'Aub Demand'!$A:$A,0)),"")</f>
        <v>SUEDE LC-19</v>
      </c>
      <c r="Q57" s="27" t="str">
        <f>IFERROR(INDEX('Aub Demand'!C:C,MATCH($O57,'Aub Demand'!$A:$A,0)),"")</f>
        <v>NOVAC</v>
      </c>
      <c r="R57" s="52">
        <f>IFERROR(IF(AR58=AR57,INDEX('Aub Demand'!K:K,MATCH($O57,'Aub Demand'!$A:$A,0))-IF(AN57="",0,AN57)+AP58,INDEX('Aub Demand'!K:K,MATCH($O57,'Aub Demand'!$A:$A,0))-IF(AN57="",0,AN57)),"")</f>
        <v>990</v>
      </c>
      <c r="S57" s="53">
        <f t="shared" si="0"/>
        <v>5.9</v>
      </c>
      <c r="T57" s="52" t="str">
        <f t="shared" si="1"/>
        <v/>
      </c>
      <c r="U57" s="52">
        <f>IFERROR(IF(AR58=AR57,INDEX('Aub Demand'!Q:Q,MATCH($O57,'Aub Demand'!$A:$A,0))-IF(AN57="",0,AN57)+AP58,INDEX('Aub Demand'!Q:Q,MATCH($O57,'Aub Demand'!$A:$A,0))-IF(AN57="",0,AN57)),"")</f>
        <v>791</v>
      </c>
      <c r="V57" s="53">
        <f t="shared" si="2"/>
        <v>4.7</v>
      </c>
      <c r="W57" s="52" t="str">
        <f t="shared" si="3"/>
        <v/>
      </c>
      <c r="X57" s="52">
        <f>IFERROR(IF(AND(AR58=AR57,AM57&lt;&gt;""),INDEX('Aub Demand'!Q:Q,MATCH($O57,'Aub Demand'!$A:$A,0))-IF(AN57="",0,AN57)+AP58+AD57+AL57,IF(AR58=AR57,INDEX('Aub Demand'!Q:Q,MATCH($O57,'Aub Demand'!$A:$A,0))-IF(AN57="",0,AN57)+AP58+AD57,IF(AM57&lt;&gt;"",INDEX('Aub Demand'!Q:Q,MATCH($O57,'Aub Demand'!$A:$A,0))-IF(AN57="",0,AN57)+AD57+AL57,INDEX('Aub Demand'!Q:Q,MATCH($O57,'Aub Demand'!$A:$A,0))-IF(AN57="",0,AN57)+AD57))),"")</f>
        <v>791</v>
      </c>
      <c r="Y57" s="53">
        <f t="shared" si="4"/>
        <v>4.7</v>
      </c>
      <c r="Z57" s="52">
        <f>IF(L57="","",INDEX('Aub Demand'!H:H,MATCH($O57,'Aub Demand'!$A:$A,0)))</f>
        <v>721</v>
      </c>
      <c r="AA57" s="52">
        <f t="shared" si="5"/>
        <v>781</v>
      </c>
      <c r="AB57" s="52">
        <f>IFERROR(INDEX('Aub Demand'!L:L,MATCH($O57,'Aub Demand'!$A:$A,0)),"")</f>
        <v>672</v>
      </c>
      <c r="AC57" s="52">
        <f>IFERROR(IF(O57="","",SUMIFS('CPL Mats'!F:F,'CPL Mats'!Q:Q,AR57,'CPL Mats'!S:S,AS57)),"")</f>
        <v>0</v>
      </c>
      <c r="AF57" s="25">
        <f>IF(SUMIFS('Supp Consol'!S:S,'Supp Consol'!Y:Y,"Releasable",'Supp Consol'!A:A,O57)=0,"",SUMIFS('Supp Consol'!S:S,'Supp Consol'!Y:Y,"Releasable",'Supp Consol'!A:A,O57))</f>
        <v>2000</v>
      </c>
      <c r="AG57" s="25" t="str">
        <f>IFERROR(INDEX('Hun Demand'!Q:Q,MATCH(O57,'Hun Demand'!A:A,0)),"")</f>
        <v/>
      </c>
      <c r="AH57" s="25" t="str">
        <f>IFERROR(INDEX('Hun Demand'!H:H,MATCH($O57,'Hun Demand'!$A:$A,0)),"")</f>
        <v/>
      </c>
      <c r="AI57" s="25" t="str">
        <f>IF(SUMIFS('Supp Consol'!AA:AA,'Supp Consol'!Z:Z,"Expires this month",'Supp Consol'!A:A,O57)=0,"",SUMIFS('Supp Consol'!AA:AA,'Supp Consol'!Z:Z,"Expires this month",'Supp Consol'!A:A,O57))</f>
        <v/>
      </c>
      <c r="AJ57" s="25" t="str">
        <f>IF(SUMIFS('Supp Consol'!AA:AA,'Supp Consol'!Z:Z,"Expired Previous Months",'Supp Consol'!A:A,O57)=0,"",SUMIFS('Supp Consol'!AA:AA,'Supp Consol'!Z:Z,"Expired Previous Months",'Supp Consol'!A:A,O57))</f>
        <v/>
      </c>
      <c r="AK57" s="25" t="str">
        <f>IFERROR(INDEX('Hun Release Current'!B:B,MATCH(O57,'Hun Release Current'!A:A,0)),"")</f>
        <v/>
      </c>
      <c r="AL57" s="25" t="str">
        <f>IF(SUMIF('Prev Aub'!A:A,O57,'Prev Aub'!B:B)=0,"",SUMIF('Prev Aub'!A:A,O57,'Prev Aub'!B:B))</f>
        <v/>
      </c>
      <c r="AN57" s="25" t="s">
        <v>3790</v>
      </c>
      <c r="AO57" s="25" t="s">
        <v>3790</v>
      </c>
      <c r="AP57" s="25">
        <f t="shared" si="6"/>
        <v>0</v>
      </c>
      <c r="AQ57" s="151" t="str">
        <f>IF(SUMIFS('Supp Consol'!S:S,'Supp Consol'!A:A,O57,'Supp Consol'!I:I,"PENDING")=0,"",SUMIFS('Supp Consol'!S:S,'Supp Consol'!A:A,O57,'Supp Consol'!I:I,"PENDING"))</f>
        <v/>
      </c>
      <c r="AR57" s="27" t="str">
        <f t="shared" si="7"/>
        <v>00302</v>
      </c>
      <c r="AS57" s="27" t="str">
        <f t="shared" si="8"/>
        <v>62</v>
      </c>
      <c r="AT57" s="27" t="str">
        <f t="shared" si="9"/>
        <v/>
      </c>
      <c r="AU57" s="27" t="str">
        <f t="shared" si="10"/>
        <v/>
      </c>
      <c r="AV57" s="27" t="str">
        <f t="shared" si="11"/>
        <v/>
      </c>
      <c r="AW57" s="27" t="str">
        <f t="shared" si="12"/>
        <v/>
      </c>
      <c r="AX57" s="27" t="str">
        <f t="shared" si="13"/>
        <v>00302</v>
      </c>
      <c r="AY57" s="27" t="str">
        <f t="shared" si="14"/>
        <v/>
      </c>
      <c r="AZ57" s="27" t="str">
        <f t="shared" si="15"/>
        <v>Supp</v>
      </c>
      <c r="BA57" s="27" t="str">
        <f t="shared" si="16"/>
        <v/>
      </c>
      <c r="BB57" s="27" t="str">
        <f t="shared" si="17"/>
        <v/>
      </c>
      <c r="BC57" s="27" t="str">
        <f t="shared" si="18"/>
        <v/>
      </c>
      <c r="BD57" s="27" t="str">
        <f t="shared" si="19"/>
        <v/>
      </c>
      <c r="BE57" s="27" t="str">
        <f t="shared" si="20"/>
        <v/>
      </c>
      <c r="BF57" s="27" t="str">
        <f t="shared" si="21"/>
        <v/>
      </c>
      <c r="BG57" s="27" t="str">
        <f t="shared" si="22"/>
        <v/>
      </c>
      <c r="BH57" s="27" t="str">
        <f t="shared" si="23"/>
        <v/>
      </c>
      <c r="BI57" s="27" t="str">
        <f t="shared" si="24"/>
        <v/>
      </c>
      <c r="BJ57" s="27" t="str">
        <f t="shared" si="25"/>
        <v>Supp or Hun</v>
      </c>
      <c r="BK57" s="27" t="str">
        <f t="shared" si="26"/>
        <v/>
      </c>
      <c r="BL57" s="27" t="str">
        <f t="shared" si="27"/>
        <v/>
      </c>
      <c r="BM57" s="21" t="s">
        <v>5581</v>
      </c>
    </row>
    <row r="58" spans="1:65" ht="15">
      <c r="A58" s="25" t="str">
        <f>IFERROR(INDEX('Hun Demand'!W:W,MATCH(O58,'Hun Demand'!A:A,0)),"")</f>
        <v/>
      </c>
      <c r="B58" s="25" t="str">
        <f>IFERROR(INDEX('Hun Demand'!V:V,MATCH(O58,'Hun Demand'!A:A,0)),"")</f>
        <v/>
      </c>
      <c r="C58" s="25" t="str">
        <f>IFERROR(INDEX('Hun Demand'!U:U,MATCH(O58,'Hun Demand'!A:A,0)),"")</f>
        <v/>
      </c>
      <c r="D58" s="25" t="str">
        <f>IFERROR(INDEX('Hun Demand'!T:T,MATCH(O58,'Hun Demand'!A:A,0)),"")</f>
        <v/>
      </c>
      <c r="E58" s="25" t="str">
        <f>IFERROR(INDEX('Hun Demand'!S:S,MATCH(O58,'Hun Demand'!A:A,0)),"")</f>
        <v/>
      </c>
      <c r="F58" s="25" t="str">
        <f>IFERROR(INDEX('Hun Demand'!R:R,MATCH(O58,'Hun Demand'!A:A,0)),"")</f>
        <v/>
      </c>
      <c r="G58" s="25">
        <f>IFERROR(INDEX('Aub Demand'!W:W,MATCH(O58,'Aub Demand'!A:A,0)),"")</f>
        <v>0</v>
      </c>
      <c r="H58" s="25">
        <f>IFERROR(INDEX('Aub Demand'!V:V,MATCH(O58,'Aub Demand'!A:A,0)),"")</f>
        <v>0</v>
      </c>
      <c r="I58" s="25">
        <f>IFERROR(INDEX('Aub Demand'!U:U,MATCH(O58,'Aub Demand'!A:A,0)),"")</f>
        <v>0</v>
      </c>
      <c r="J58" s="25">
        <f>IFERROR(INDEX('Aub Demand'!T:T,MATCH(O58,'Aub Demand'!A:A,0)),"")</f>
        <v>0</v>
      </c>
      <c r="K58" s="25">
        <f>IFERROR(INDEX('Aub Demand'!S:S,MATCH(O58,'Aub Demand'!A:A,0)),"")</f>
        <v>0</v>
      </c>
      <c r="L58" s="25">
        <f>IFERROR(INDEX('Aub Demand'!R:R,MATCH(O58,'Aub Demand'!A:A,0)),"")</f>
        <v>0</v>
      </c>
      <c r="O58" s="27" t="s">
        <v>175</v>
      </c>
      <c r="P58" s="27" t="str">
        <f>IFERROR(INDEX('Aub Demand'!B:B,MATCH($O58,'Aub Demand'!$A:$A,0)),"")</f>
        <v>LC-19/PARCHMENT</v>
      </c>
      <c r="Q58" s="27" t="str">
        <f>IFERROR(INDEX('Aub Demand'!C:C,MATCH($O58,'Aub Demand'!$A:$A,0)),"")</f>
        <v>NOVAC</v>
      </c>
      <c r="R58" s="52">
        <f>IFERROR(IF(AR59=AR58,INDEX('Aub Demand'!K:K,MATCH($O58,'Aub Demand'!$A:$A,0))-IF(AN58="",0,AN58)+AP59,INDEX('Aub Demand'!K:K,MATCH($O58,'Aub Demand'!$A:$A,0))-IF(AN58="",0,AN58)),"")</f>
        <v>34615</v>
      </c>
      <c r="S58" s="53" t="str">
        <f t="shared" si="0"/>
        <v>n/a</v>
      </c>
      <c r="T58" s="52" t="str">
        <f t="shared" si="1"/>
        <v/>
      </c>
      <c r="U58" s="52">
        <f>IFERROR(IF(AR59=AR58,INDEX('Aub Demand'!Q:Q,MATCH($O58,'Aub Demand'!$A:$A,0))-IF(AN58="",0,AN58)+AP59,INDEX('Aub Demand'!Q:Q,MATCH($O58,'Aub Demand'!$A:$A,0))-IF(AN58="",0,AN58)),"")</f>
        <v>34615</v>
      </c>
      <c r="V58" s="53" t="str">
        <f t="shared" si="2"/>
        <v>n/a</v>
      </c>
      <c r="W58" s="52" t="str">
        <f t="shared" si="3"/>
        <v/>
      </c>
      <c r="X58" s="52">
        <f>IFERROR(IF(AND(AR59=AR58,AM58&lt;&gt;""),INDEX('Aub Demand'!Q:Q,MATCH($O58,'Aub Demand'!$A:$A,0))-IF(AN58="",0,AN58)+AP59+AD58+AL58,IF(AR59=AR58,INDEX('Aub Demand'!Q:Q,MATCH($O58,'Aub Demand'!$A:$A,0))-IF(AN58="",0,AN58)+AP59+AD58,IF(AM58&lt;&gt;"",INDEX('Aub Demand'!Q:Q,MATCH($O58,'Aub Demand'!$A:$A,0))-IF(AN58="",0,AN58)+AD58+AL58,INDEX('Aub Demand'!Q:Q,MATCH($O58,'Aub Demand'!$A:$A,0))-IF(AN58="",0,AN58)+AD58))),"")</f>
        <v>34615</v>
      </c>
      <c r="Y58" s="53" t="str">
        <f t="shared" si="4"/>
        <v>n/a</v>
      </c>
      <c r="Z58" s="52">
        <f>IF(L58="","",INDEX('Aub Demand'!H:H,MATCH($O58,'Aub Demand'!$A:$A,0)))</f>
        <v>0</v>
      </c>
      <c r="AA58" s="52" t="str">
        <f t="shared" si="5"/>
        <v>-spike-</v>
      </c>
      <c r="AB58" s="52">
        <f>IFERROR(INDEX('Aub Demand'!L:L,MATCH($O58,'Aub Demand'!$A:$A,0)),"")</f>
        <v>0</v>
      </c>
      <c r="AC58" s="52">
        <f>IFERROR(IF(O58="","",SUMIFS('CPL Mats'!F:F,'CPL Mats'!Q:Q,AR58,'CPL Mats'!S:S,AS58)),"")</f>
        <v>0</v>
      </c>
      <c r="AF58" s="25" t="str">
        <f>IF(SUMIFS('Supp Consol'!S:S,'Supp Consol'!Y:Y,"Releasable",'Supp Consol'!A:A,O58)=0,"",SUMIFS('Supp Consol'!S:S,'Supp Consol'!Y:Y,"Releasable",'Supp Consol'!A:A,O58))</f>
        <v/>
      </c>
      <c r="AG58" s="25" t="str">
        <f>IFERROR(INDEX('Hun Demand'!Q:Q,MATCH(O58,'Hun Demand'!A:A,0)),"")</f>
        <v/>
      </c>
      <c r="AH58" s="25" t="str">
        <f>IFERROR(INDEX('Hun Demand'!H:H,MATCH($O58,'Hun Demand'!$A:$A,0)),"")</f>
        <v/>
      </c>
      <c r="AI58" s="25" t="str">
        <f>IF(SUMIFS('Supp Consol'!AA:AA,'Supp Consol'!Z:Z,"Expires this month",'Supp Consol'!A:A,O58)=0,"",SUMIFS('Supp Consol'!AA:AA,'Supp Consol'!Z:Z,"Expires this month",'Supp Consol'!A:A,O58))</f>
        <v/>
      </c>
      <c r="AJ58" s="25" t="str">
        <f>IF(SUMIFS('Supp Consol'!AA:AA,'Supp Consol'!Z:Z,"Expired Previous Months",'Supp Consol'!A:A,O58)=0,"",SUMIFS('Supp Consol'!AA:AA,'Supp Consol'!Z:Z,"Expired Previous Months",'Supp Consol'!A:A,O58))</f>
        <v/>
      </c>
      <c r="AK58" s="25" t="str">
        <f>IFERROR(INDEX('Hun Release Current'!B:B,MATCH(O58,'Hun Release Current'!A:A,0)),"")</f>
        <v/>
      </c>
      <c r="AL58" s="25" t="str">
        <f>IF(SUMIF('Prev Aub'!A:A,O58,'Prev Aub'!B:B)=0,"",SUMIF('Prev Aub'!A:A,O58,'Prev Aub'!B:B))</f>
        <v/>
      </c>
      <c r="AN58" s="25" t="s">
        <v>3790</v>
      </c>
      <c r="AO58" s="25" t="s">
        <v>3790</v>
      </c>
      <c r="AP58" s="25">
        <f t="shared" si="6"/>
        <v>0</v>
      </c>
      <c r="AQ58" s="151" t="str">
        <f>IF(SUMIFS('Supp Consol'!S:S,'Supp Consol'!A:A,O58,'Supp Consol'!I:I,"PENDING")=0,"",SUMIFS('Supp Consol'!S:S,'Supp Consol'!A:A,O58,'Supp Consol'!I:I,"PENDING"))</f>
        <v/>
      </c>
      <c r="AR58" s="27" t="str">
        <f t="shared" si="7"/>
        <v>00302</v>
      </c>
      <c r="AS58" s="27" t="str">
        <f t="shared" si="8"/>
        <v>63</v>
      </c>
      <c r="AT58" s="27" t="str">
        <f t="shared" si="9"/>
        <v/>
      </c>
      <c r="AU58" s="27" t="str">
        <f t="shared" si="10"/>
        <v/>
      </c>
      <c r="AV58" s="27" t="str">
        <f t="shared" si="11"/>
        <v/>
      </c>
      <c r="AW58" s="27" t="str">
        <f t="shared" si="12"/>
        <v/>
      </c>
      <c r="AX58" s="27" t="str">
        <f t="shared" si="13"/>
        <v/>
      </c>
      <c r="AY58" s="27" t="str">
        <f t="shared" si="14"/>
        <v/>
      </c>
      <c r="AZ58" s="27" t="str">
        <f t="shared" si="15"/>
        <v>Supp</v>
      </c>
      <c r="BA58" s="27" t="str">
        <f t="shared" si="16"/>
        <v/>
      </c>
      <c r="BB58" s="27" t="str">
        <f t="shared" si="17"/>
        <v/>
      </c>
      <c r="BC58" s="27" t="str">
        <f t="shared" si="18"/>
        <v/>
      </c>
      <c r="BD58" s="27" t="str">
        <f t="shared" si="19"/>
        <v/>
      </c>
      <c r="BE58" s="27" t="str">
        <f t="shared" si="20"/>
        <v/>
      </c>
      <c r="BF58" s="27" t="str">
        <f t="shared" si="21"/>
        <v/>
      </c>
      <c r="BG58" s="27" t="str">
        <f t="shared" si="22"/>
        <v/>
      </c>
      <c r="BH58" s="27" t="str">
        <f t="shared" si="23"/>
        <v/>
      </c>
      <c r="BI58" s="27" t="str">
        <f t="shared" si="24"/>
        <v/>
      </c>
      <c r="BJ58" s="27" t="str">
        <f t="shared" si="25"/>
        <v>Supp or Hun</v>
      </c>
      <c r="BK58" s="27" t="str">
        <f t="shared" si="26"/>
        <v/>
      </c>
      <c r="BL58" s="27" t="str">
        <f t="shared" si="27"/>
        <v/>
      </c>
      <c r="BM58" s="21" t="s">
        <v>5581</v>
      </c>
    </row>
    <row r="59" spans="1:65" ht="15">
      <c r="A59" s="25" t="str">
        <f>IFERROR(INDEX('Hun Demand'!W:W,MATCH(O59,'Hun Demand'!A:A,0)),"")</f>
        <v/>
      </c>
      <c r="B59" s="25" t="str">
        <f>IFERROR(INDEX('Hun Demand'!V:V,MATCH(O59,'Hun Demand'!A:A,0)),"")</f>
        <v/>
      </c>
      <c r="C59" s="25" t="str">
        <f>IFERROR(INDEX('Hun Demand'!U:U,MATCH(O59,'Hun Demand'!A:A,0)),"")</f>
        <v/>
      </c>
      <c r="D59" s="25" t="str">
        <f>IFERROR(INDEX('Hun Demand'!T:T,MATCH(O59,'Hun Demand'!A:A,0)),"")</f>
        <v/>
      </c>
      <c r="E59" s="25" t="str">
        <f>IFERROR(INDEX('Hun Demand'!S:S,MATCH(O59,'Hun Demand'!A:A,0)),"")</f>
        <v/>
      </c>
      <c r="F59" s="25" t="str">
        <f>IFERROR(INDEX('Hun Demand'!R:R,MATCH(O59,'Hun Demand'!A:A,0)),"")</f>
        <v/>
      </c>
      <c r="G59" s="25">
        <f>IFERROR(INDEX('Aub Demand'!W:W,MATCH(O59,'Aub Demand'!A:A,0)),"")</f>
        <v>0</v>
      </c>
      <c r="H59" s="25">
        <f>IFERROR(INDEX('Aub Demand'!V:V,MATCH(O59,'Aub Demand'!A:A,0)),"")</f>
        <v>0</v>
      </c>
      <c r="I59" s="25">
        <f>IFERROR(INDEX('Aub Demand'!U:U,MATCH(O59,'Aub Demand'!A:A,0)),"")</f>
        <v>62</v>
      </c>
      <c r="J59" s="25">
        <f>IFERROR(INDEX('Aub Demand'!T:T,MATCH(O59,'Aub Demand'!A:A,0)),"")</f>
        <v>0</v>
      </c>
      <c r="K59" s="25">
        <f>IFERROR(INDEX('Aub Demand'!S:S,MATCH(O59,'Aub Demand'!A:A,0)),"")</f>
        <v>0</v>
      </c>
      <c r="L59" s="25">
        <f>IFERROR(INDEX('Aub Demand'!R:R,MATCH(O59,'Aub Demand'!A:A,0)),"")</f>
        <v>0</v>
      </c>
      <c r="O59" s="27" t="s">
        <v>176</v>
      </c>
      <c r="P59" s="27" t="str">
        <f>IFERROR(INDEX('Aub Demand'!B:B,MATCH($O59,'Aub Demand'!$A:$A,0)),"")</f>
        <v>HI BRITE LC-28</v>
      </c>
      <c r="Q59" s="27" t="str">
        <f>IFERROR(INDEX('Aub Demand'!C:C,MATCH($O59,'Aub Demand'!$A:$A,0)),"")</f>
        <v>NOVAC</v>
      </c>
      <c r="R59" s="52">
        <f>IFERROR(IF(AR60=AR59,INDEX('Aub Demand'!K:K,MATCH($O59,'Aub Demand'!$A:$A,0))-IF(AN59="",0,AN59)+AP60,INDEX('Aub Demand'!K:K,MATCH($O59,'Aub Demand'!$A:$A,0))-IF(AN59="",0,AN59)),"")</f>
        <v>2032</v>
      </c>
      <c r="S59" s="53">
        <f t="shared" si="0"/>
        <v>414.7</v>
      </c>
      <c r="T59" s="52" t="str">
        <f t="shared" si="1"/>
        <v/>
      </c>
      <c r="U59" s="52">
        <f>IFERROR(IF(AR60=AR59,INDEX('Aub Demand'!Q:Q,MATCH($O59,'Aub Demand'!$A:$A,0))-IF(AN59="",0,AN59)+AP60,INDEX('Aub Demand'!Q:Q,MATCH($O59,'Aub Demand'!$A:$A,0))-IF(AN59="",0,AN59)),"")</f>
        <v>2013</v>
      </c>
      <c r="V59" s="53">
        <f t="shared" si="2"/>
        <v>410.8</v>
      </c>
      <c r="W59" s="52" t="str">
        <f t="shared" si="3"/>
        <v/>
      </c>
      <c r="X59" s="52">
        <f>IFERROR(IF(AND(AR60=AR59,AM59&lt;&gt;""),INDEX('Aub Demand'!Q:Q,MATCH($O59,'Aub Demand'!$A:$A,0))-IF(AN59="",0,AN59)+AP60+AD59+AL59,IF(AR60=AR59,INDEX('Aub Demand'!Q:Q,MATCH($O59,'Aub Demand'!$A:$A,0))-IF(AN59="",0,AN59)+AP60+AD59,IF(AM59&lt;&gt;"",INDEX('Aub Demand'!Q:Q,MATCH($O59,'Aub Demand'!$A:$A,0))-IF(AN59="",0,AN59)+AD59+AL59,INDEX('Aub Demand'!Q:Q,MATCH($O59,'Aub Demand'!$A:$A,0))-IF(AN59="",0,AN59)+AD59))),"")</f>
        <v>2013</v>
      </c>
      <c r="Y59" s="53">
        <f t="shared" si="4"/>
        <v>410.8</v>
      </c>
      <c r="Z59" s="52">
        <f>IF(L59="","",INDEX('Aub Demand'!H:H,MATCH($O59,'Aub Demand'!$A:$A,0)))</f>
        <v>21</v>
      </c>
      <c r="AA59" s="52" t="str">
        <f t="shared" si="5"/>
        <v>-spike-</v>
      </c>
      <c r="AB59" s="52">
        <f>IFERROR(INDEX('Aub Demand'!L:L,MATCH($O59,'Aub Demand'!$A:$A,0)),"")</f>
        <v>20</v>
      </c>
      <c r="AC59" s="52">
        <f>IFERROR(IF(O59="","",SUMIFS('CPL Mats'!F:F,'CPL Mats'!Q:Q,AR59,'CPL Mats'!S:S,AS59)),"")</f>
        <v>0</v>
      </c>
      <c r="AF59" s="25">
        <f>IF(SUMIFS('Supp Consol'!S:S,'Supp Consol'!Y:Y,"Releasable",'Supp Consol'!A:A,O59)=0,"",SUMIFS('Supp Consol'!S:S,'Supp Consol'!Y:Y,"Releasable",'Supp Consol'!A:A,O59))</f>
        <v>4500</v>
      </c>
      <c r="AG59" s="25" t="str">
        <f>IFERROR(INDEX('Hun Demand'!Q:Q,MATCH(O59,'Hun Demand'!A:A,0)),"")</f>
        <v/>
      </c>
      <c r="AH59" s="25" t="str">
        <f>IFERROR(INDEX('Hun Demand'!H:H,MATCH($O59,'Hun Demand'!$A:$A,0)),"")</f>
        <v/>
      </c>
      <c r="AI59" s="25" t="str">
        <f>IF(SUMIFS('Supp Consol'!AA:AA,'Supp Consol'!Z:Z,"Expires this month",'Supp Consol'!A:A,O59)=0,"",SUMIFS('Supp Consol'!AA:AA,'Supp Consol'!Z:Z,"Expires this month",'Supp Consol'!A:A,O59))</f>
        <v/>
      </c>
      <c r="AJ59" s="25">
        <f>IF(SUMIFS('Supp Consol'!AA:AA,'Supp Consol'!Z:Z,"Expired Previous Months",'Supp Consol'!A:A,O59)=0,"",SUMIFS('Supp Consol'!AA:AA,'Supp Consol'!Z:Z,"Expired Previous Months",'Supp Consol'!A:A,O59))</f>
        <v>4500</v>
      </c>
      <c r="AK59" s="25" t="str">
        <f>IFERROR(INDEX('Hun Release Current'!B:B,MATCH(O59,'Hun Release Current'!A:A,0)),"")</f>
        <v/>
      </c>
      <c r="AL59" s="25" t="str">
        <f>IF(SUMIF('Prev Aub'!A:A,O59,'Prev Aub'!B:B)=0,"",SUMIF('Prev Aub'!A:A,O59,'Prev Aub'!B:B))</f>
        <v/>
      </c>
      <c r="AN59" s="25" t="s">
        <v>3790</v>
      </c>
      <c r="AO59" s="25" t="s">
        <v>3790</v>
      </c>
      <c r="AP59" s="25">
        <f t="shared" si="6"/>
        <v>0</v>
      </c>
      <c r="AQ59" s="151" t="str">
        <f>IF(SUMIFS('Supp Consol'!S:S,'Supp Consol'!A:A,O59,'Supp Consol'!I:I,"PENDING")=0,"",SUMIFS('Supp Consol'!S:S,'Supp Consol'!A:A,O59,'Supp Consol'!I:I,"PENDING"))</f>
        <v/>
      </c>
      <c r="AR59" s="27" t="str">
        <f t="shared" si="7"/>
        <v>00305</v>
      </c>
      <c r="AS59" s="27" t="str">
        <f t="shared" si="8"/>
        <v>37</v>
      </c>
      <c r="AT59" s="27" t="str">
        <f t="shared" si="9"/>
        <v/>
      </c>
      <c r="AU59" s="27" t="str">
        <f t="shared" si="10"/>
        <v/>
      </c>
      <c r="AV59" s="27" t="str">
        <f t="shared" si="11"/>
        <v/>
      </c>
      <c r="AW59" s="27" t="str">
        <f t="shared" si="12"/>
        <v/>
      </c>
      <c r="AX59" s="27" t="str">
        <f t="shared" si="13"/>
        <v>00305</v>
      </c>
      <c r="AY59" s="27" t="str">
        <f t="shared" si="14"/>
        <v/>
      </c>
      <c r="AZ59" s="27" t="str">
        <f t="shared" si="15"/>
        <v>Supp</v>
      </c>
      <c r="BA59" s="27" t="str">
        <f t="shared" si="16"/>
        <v/>
      </c>
      <c r="BB59" s="27" t="str">
        <f t="shared" si="17"/>
        <v/>
      </c>
      <c r="BC59" s="27" t="str">
        <f t="shared" si="18"/>
        <v>Net</v>
      </c>
      <c r="BD59" s="27" t="str">
        <f t="shared" si="19"/>
        <v>Net</v>
      </c>
      <c r="BE59" s="27" t="str">
        <f t="shared" si="20"/>
        <v/>
      </c>
      <c r="BF59" s="27" t="str">
        <f t="shared" si="21"/>
        <v>S+N</v>
      </c>
      <c r="BG59" s="27" t="str">
        <f t="shared" si="22"/>
        <v>S+NorE</v>
      </c>
      <c r="BH59" s="27" t="str">
        <f t="shared" si="23"/>
        <v/>
      </c>
      <c r="BI59" s="27" t="str">
        <f t="shared" si="24"/>
        <v/>
      </c>
      <c r="BJ59" s="27" t="str">
        <f t="shared" si="25"/>
        <v>Supp or Hun</v>
      </c>
      <c r="BK59" s="27" t="str">
        <f t="shared" si="26"/>
        <v>Supp or Hun Need</v>
      </c>
      <c r="BL59" s="27" t="str">
        <f t="shared" si="27"/>
        <v>SorHandNandE</v>
      </c>
      <c r="BM59" s="21" t="s">
        <v>5581</v>
      </c>
    </row>
    <row r="60" spans="1:65" ht="15">
      <c r="A60" s="25" t="str">
        <f>IFERROR(INDEX('Hun Demand'!W:W,MATCH(O60,'Hun Demand'!A:A,0)),"")</f>
        <v/>
      </c>
      <c r="B60" s="25" t="str">
        <f>IFERROR(INDEX('Hun Demand'!V:V,MATCH(O60,'Hun Demand'!A:A,0)),"")</f>
        <v/>
      </c>
      <c r="C60" s="25" t="str">
        <f>IFERROR(INDEX('Hun Demand'!U:U,MATCH(O60,'Hun Demand'!A:A,0)),"")</f>
        <v/>
      </c>
      <c r="D60" s="25" t="str">
        <f>IFERROR(INDEX('Hun Demand'!T:T,MATCH(O60,'Hun Demand'!A:A,0)),"")</f>
        <v/>
      </c>
      <c r="E60" s="25" t="str">
        <f>IFERROR(INDEX('Hun Demand'!S:S,MATCH(O60,'Hun Demand'!A:A,0)),"")</f>
        <v/>
      </c>
      <c r="F60" s="25" t="str">
        <f>IFERROR(INDEX('Hun Demand'!R:R,MATCH(O60,'Hun Demand'!A:A,0)),"")</f>
        <v/>
      </c>
      <c r="G60" s="25">
        <f>IFERROR(INDEX('Aub Demand'!W:W,MATCH(O60,'Aub Demand'!A:A,0)),"")</f>
        <v>1357</v>
      </c>
      <c r="H60" s="25">
        <f>IFERROR(INDEX('Aub Demand'!V:V,MATCH(O60,'Aub Demand'!A:A,0)),"")</f>
        <v>2089</v>
      </c>
      <c r="I60" s="25">
        <f>IFERROR(INDEX('Aub Demand'!U:U,MATCH(O60,'Aub Demand'!A:A,0)),"")</f>
        <v>3076</v>
      </c>
      <c r="J60" s="25">
        <f>IFERROR(INDEX('Aub Demand'!T:T,MATCH(O60,'Aub Demand'!A:A,0)),"")</f>
        <v>1615</v>
      </c>
      <c r="K60" s="25">
        <f>IFERROR(INDEX('Aub Demand'!S:S,MATCH(O60,'Aub Demand'!A:A,0)),"")</f>
        <v>2024</v>
      </c>
      <c r="L60" s="25">
        <f>IFERROR(INDEX('Aub Demand'!R:R,MATCH(O60,'Aub Demand'!A:A,0)),"")</f>
        <v>0</v>
      </c>
      <c r="O60" s="27" t="s">
        <v>178</v>
      </c>
      <c r="P60" s="27" t="str">
        <f>IFERROR(INDEX('Aub Demand'!B:B,MATCH($O60,'Aub Demand'!$A:$A,0)),"")</f>
        <v>HI BRITE LC-28</v>
      </c>
      <c r="Q60" s="27" t="str">
        <f>IFERROR(INDEX('Aub Demand'!C:C,MATCH($O60,'Aub Demand'!$A:$A,0)),"")</f>
        <v>NOVAC</v>
      </c>
      <c r="R60" s="52">
        <f>IFERROR(IF(AR61=AR60,INDEX('Aub Demand'!K:K,MATCH($O60,'Aub Demand'!$A:$A,0))-IF(AN60="",0,AN60)+AP61,INDEX('Aub Demand'!K:K,MATCH($O60,'Aub Demand'!$A:$A,0))-IF(AN60="",0,AN60)),"")</f>
        <v>4074</v>
      </c>
      <c r="S60" s="53">
        <f t="shared" si="0"/>
        <v>7.8</v>
      </c>
      <c r="T60" s="52" t="str">
        <f t="shared" si="1"/>
        <v/>
      </c>
      <c r="U60" s="52">
        <f>IFERROR(IF(AR61=AR60,INDEX('Aub Demand'!Q:Q,MATCH($O60,'Aub Demand'!$A:$A,0))-IF(AN60="",0,AN60)+AP61,INDEX('Aub Demand'!Q:Q,MATCH($O60,'Aub Demand'!$A:$A,0))-IF(AN60="",0,AN60)),"")</f>
        <v>2525</v>
      </c>
      <c r="V60" s="53">
        <f t="shared" si="2"/>
        <v>4.8</v>
      </c>
      <c r="W60" s="52" t="str">
        <f t="shared" si="3"/>
        <v/>
      </c>
      <c r="X60" s="52">
        <f>IFERROR(IF(AND(AR61=AR60,AM60&lt;&gt;""),INDEX('Aub Demand'!Q:Q,MATCH($O60,'Aub Demand'!$A:$A,0))-IF(AN60="",0,AN60)+AP61+AD60+AL60,IF(AR61=AR60,INDEX('Aub Demand'!Q:Q,MATCH($O60,'Aub Demand'!$A:$A,0))-IF(AN60="",0,AN60)+AP61+AD60,IF(AM60&lt;&gt;"",INDEX('Aub Demand'!Q:Q,MATCH($O60,'Aub Demand'!$A:$A,0))-IF(AN60="",0,AN60)+AD60+AL60,INDEX('Aub Demand'!Q:Q,MATCH($O60,'Aub Demand'!$A:$A,0))-IF(AN60="",0,AN60)+AD60))),"")</f>
        <v>2525</v>
      </c>
      <c r="Y60" s="53">
        <f t="shared" si="4"/>
        <v>4.8</v>
      </c>
      <c r="Z60" s="52">
        <f>IF(L60="","",INDEX('Aub Demand'!H:H,MATCH($O60,'Aub Demand'!$A:$A,0)))</f>
        <v>2238</v>
      </c>
      <c r="AA60" s="52">
        <f t="shared" si="5"/>
        <v>2550</v>
      </c>
      <c r="AB60" s="52">
        <f>IFERROR(INDEX('Aub Demand'!L:L,MATCH($O60,'Aub Demand'!$A:$A,0)),"")</f>
        <v>1313</v>
      </c>
      <c r="AC60" s="52">
        <f>IFERROR(IF(O60="","",SUMIFS('CPL Mats'!F:F,'CPL Mats'!Q:Q,AR60,'CPL Mats'!S:S,AS60)),"")</f>
        <v>0</v>
      </c>
      <c r="AF60" s="25" t="str">
        <f>IF(SUMIFS('Supp Consol'!S:S,'Supp Consol'!Y:Y,"Releasable",'Supp Consol'!A:A,O60)=0,"",SUMIFS('Supp Consol'!S:S,'Supp Consol'!Y:Y,"Releasable",'Supp Consol'!A:A,O60))</f>
        <v/>
      </c>
      <c r="AG60" s="25" t="str">
        <f>IFERROR(INDEX('Hun Demand'!Q:Q,MATCH(O60,'Hun Demand'!A:A,0)),"")</f>
        <v/>
      </c>
      <c r="AH60" s="25" t="str">
        <f>IFERROR(INDEX('Hun Demand'!H:H,MATCH($O60,'Hun Demand'!$A:$A,0)),"")</f>
        <v/>
      </c>
      <c r="AI60" s="25" t="str">
        <f>IF(SUMIFS('Supp Consol'!AA:AA,'Supp Consol'!Z:Z,"Expires this month",'Supp Consol'!A:A,O60)=0,"",SUMIFS('Supp Consol'!AA:AA,'Supp Consol'!Z:Z,"Expires this month",'Supp Consol'!A:A,O60))</f>
        <v/>
      </c>
      <c r="AJ60" s="25" t="str">
        <f>IF(SUMIFS('Supp Consol'!AA:AA,'Supp Consol'!Z:Z,"Expired Previous Months",'Supp Consol'!A:A,O60)=0,"",SUMIFS('Supp Consol'!AA:AA,'Supp Consol'!Z:Z,"Expired Previous Months",'Supp Consol'!A:A,O60))</f>
        <v/>
      </c>
      <c r="AK60" s="25" t="str">
        <f>IFERROR(INDEX('Hun Release Current'!B:B,MATCH(O60,'Hun Release Current'!A:A,0)),"")</f>
        <v/>
      </c>
      <c r="AL60" s="25" t="str">
        <f>IF(SUMIF('Prev Aub'!A:A,O60,'Prev Aub'!B:B)=0,"",SUMIF('Prev Aub'!A:A,O60,'Prev Aub'!B:B))</f>
        <v/>
      </c>
      <c r="AN60" s="25" t="s">
        <v>3790</v>
      </c>
      <c r="AO60" s="25" t="s">
        <v>3790</v>
      </c>
      <c r="AP60" s="25">
        <f t="shared" si="6"/>
        <v>0</v>
      </c>
      <c r="AQ60" s="151" t="str">
        <f>IF(SUMIFS('Supp Consol'!S:S,'Supp Consol'!A:A,O60,'Supp Consol'!I:I,"PENDING")=0,"",SUMIFS('Supp Consol'!S:S,'Supp Consol'!A:A,O60,'Supp Consol'!I:I,"PENDING"))</f>
        <v/>
      </c>
      <c r="AR60" s="27" t="str">
        <f t="shared" si="7"/>
        <v>00305</v>
      </c>
      <c r="AS60" s="27" t="str">
        <f t="shared" si="8"/>
        <v>50</v>
      </c>
      <c r="AT60" s="27" t="str">
        <f t="shared" si="9"/>
        <v/>
      </c>
      <c r="AU60" s="27" t="str">
        <f t="shared" si="10"/>
        <v/>
      </c>
      <c r="AV60" s="27" t="str">
        <f t="shared" si="11"/>
        <v/>
      </c>
      <c r="AW60" s="27" t="str">
        <f t="shared" si="12"/>
        <v/>
      </c>
      <c r="AX60" s="27" t="str">
        <f t="shared" si="13"/>
        <v/>
      </c>
      <c r="AY60" s="27" t="str">
        <f t="shared" si="14"/>
        <v/>
      </c>
      <c r="AZ60" s="27" t="str">
        <f t="shared" si="15"/>
        <v>Supp</v>
      </c>
      <c r="BA60" s="27" t="str">
        <f t="shared" si="16"/>
        <v/>
      </c>
      <c r="BB60" s="27" t="str">
        <f t="shared" si="17"/>
        <v/>
      </c>
      <c r="BC60" s="27" t="str">
        <f t="shared" si="18"/>
        <v>Net</v>
      </c>
      <c r="BD60" s="27" t="str">
        <f t="shared" si="19"/>
        <v>Net</v>
      </c>
      <c r="BE60" s="27" t="str">
        <f t="shared" si="20"/>
        <v/>
      </c>
      <c r="BF60" s="27" t="str">
        <f t="shared" si="21"/>
        <v>S+N</v>
      </c>
      <c r="BG60" s="27" t="str">
        <f t="shared" si="22"/>
        <v>S+NorE</v>
      </c>
      <c r="BH60" s="27" t="str">
        <f t="shared" si="23"/>
        <v/>
      </c>
      <c r="BI60" s="27" t="str">
        <f t="shared" si="24"/>
        <v/>
      </c>
      <c r="BJ60" s="27" t="str">
        <f t="shared" si="25"/>
        <v>Supp or Hun</v>
      </c>
      <c r="BK60" s="27" t="str">
        <f t="shared" si="26"/>
        <v>Supp or Hun Need</v>
      </c>
      <c r="BL60" s="27" t="str">
        <f t="shared" si="27"/>
        <v>SorHandNandE</v>
      </c>
      <c r="BM60" s="21" t="s">
        <v>5581</v>
      </c>
    </row>
    <row r="61" spans="1:65" ht="15">
      <c r="A61" s="25" t="str">
        <f>IFERROR(INDEX('Hun Demand'!W:W,MATCH(O61,'Hun Demand'!A:A,0)),"")</f>
        <v/>
      </c>
      <c r="B61" s="25" t="str">
        <f>IFERROR(INDEX('Hun Demand'!V:V,MATCH(O61,'Hun Demand'!A:A,0)),"")</f>
        <v/>
      </c>
      <c r="C61" s="25" t="str">
        <f>IFERROR(INDEX('Hun Demand'!U:U,MATCH(O61,'Hun Demand'!A:A,0)),"")</f>
        <v/>
      </c>
      <c r="D61" s="25" t="str">
        <f>IFERROR(INDEX('Hun Demand'!T:T,MATCH(O61,'Hun Demand'!A:A,0)),"")</f>
        <v/>
      </c>
      <c r="E61" s="25" t="str">
        <f>IFERROR(INDEX('Hun Demand'!S:S,MATCH(O61,'Hun Demand'!A:A,0)),"")</f>
        <v/>
      </c>
      <c r="F61" s="25" t="str">
        <f>IFERROR(INDEX('Hun Demand'!R:R,MATCH(O61,'Hun Demand'!A:A,0)),"")</f>
        <v/>
      </c>
      <c r="G61" s="25">
        <f>IFERROR(INDEX('Aub Demand'!W:W,MATCH(O61,'Aub Demand'!A:A,0)),"")</f>
        <v>0</v>
      </c>
      <c r="H61" s="25">
        <f>IFERROR(INDEX('Aub Demand'!V:V,MATCH(O61,'Aub Demand'!A:A,0)),"")</f>
        <v>0</v>
      </c>
      <c r="I61" s="25">
        <f>IFERROR(INDEX('Aub Demand'!U:U,MATCH(O61,'Aub Demand'!A:A,0)),"")</f>
        <v>0</v>
      </c>
      <c r="J61" s="25">
        <f>IFERROR(INDEX('Aub Demand'!T:T,MATCH(O61,'Aub Demand'!A:A,0)),"")</f>
        <v>0</v>
      </c>
      <c r="K61" s="25">
        <f>IFERROR(INDEX('Aub Demand'!S:S,MATCH(O61,'Aub Demand'!A:A,0)),"")</f>
        <v>2920</v>
      </c>
      <c r="L61" s="25">
        <f>IFERROR(INDEX('Aub Demand'!R:R,MATCH(O61,'Aub Demand'!A:A,0)),"")</f>
        <v>0</v>
      </c>
      <c r="O61" s="27" t="s">
        <v>180</v>
      </c>
      <c r="P61" s="27" t="str">
        <f>IFERROR(INDEX('Aub Demand'!B:B,MATCH($O61,'Aub Demand'!$A:$A,0)),"")</f>
        <v>HI BRITE LC-28</v>
      </c>
      <c r="Q61" s="27" t="str">
        <f>IFERROR(INDEX('Aub Demand'!C:C,MATCH($O61,'Aub Demand'!$A:$A,0)),"")</f>
        <v>NOVAC</v>
      </c>
      <c r="R61" s="52">
        <f>IFERROR(IF(AR62=AR61,INDEX('Aub Demand'!K:K,MATCH($O61,'Aub Demand'!$A:$A,0))-IF(AN61="",0,AN61)+AP62,INDEX('Aub Demand'!K:K,MATCH($O61,'Aub Demand'!$A:$A,0))-IF(AN61="",0,AN61)),"")</f>
        <v>1076</v>
      </c>
      <c r="S61" s="53">
        <f t="shared" si="0"/>
        <v>4.7</v>
      </c>
      <c r="T61" s="52" t="str">
        <f t="shared" si="1"/>
        <v/>
      </c>
      <c r="U61" s="52">
        <f>IFERROR(IF(AR62=AR61,INDEX('Aub Demand'!Q:Q,MATCH($O61,'Aub Demand'!$A:$A,0))-IF(AN61="",0,AN61)+AP62,INDEX('Aub Demand'!Q:Q,MATCH($O61,'Aub Demand'!$A:$A,0))-IF(AN61="",0,AN61)),"")</f>
        <v>633</v>
      </c>
      <c r="V61" s="53">
        <f t="shared" si="2"/>
        <v>2.8</v>
      </c>
      <c r="W61" s="52" t="str">
        <f t="shared" si="3"/>
        <v/>
      </c>
      <c r="X61" s="52">
        <f>IFERROR(IF(AND(AR62=AR61,AM61&lt;&gt;""),INDEX('Aub Demand'!Q:Q,MATCH($O61,'Aub Demand'!$A:$A,0))-IF(AN61="",0,AN61)+AP62+AD61+AL61,IF(AR62=AR61,INDEX('Aub Demand'!Q:Q,MATCH($O61,'Aub Demand'!$A:$A,0))-IF(AN61="",0,AN61)+AP62+AD61,IF(AM61&lt;&gt;"",INDEX('Aub Demand'!Q:Q,MATCH($O61,'Aub Demand'!$A:$A,0))-IF(AN61="",0,AN61)+AD61+AL61,INDEX('Aub Demand'!Q:Q,MATCH($O61,'Aub Demand'!$A:$A,0))-IF(AN61="",0,AN61)+AD61))),"")</f>
        <v>633</v>
      </c>
      <c r="Y61" s="53">
        <f t="shared" si="4"/>
        <v>2.8</v>
      </c>
      <c r="Z61" s="52">
        <f>IF(L61="","",INDEX('Aub Demand'!H:H,MATCH($O61,'Aub Demand'!$A:$A,0)))</f>
        <v>973</v>
      </c>
      <c r="AA61" s="52" t="str">
        <f t="shared" si="5"/>
        <v>-spike-</v>
      </c>
      <c r="AB61" s="52">
        <f>IFERROR(INDEX('Aub Demand'!L:L,MATCH($O61,'Aub Demand'!$A:$A,0)),"")</f>
        <v>591</v>
      </c>
      <c r="AC61" s="52">
        <f>IFERROR(IF(O61="","",SUMIFS('CPL Mats'!F:F,'CPL Mats'!Q:Q,AR61,'CPL Mats'!S:S,AS61)),"")</f>
        <v>0</v>
      </c>
      <c r="AF61" s="25" t="str">
        <f>IF(SUMIFS('Supp Consol'!S:S,'Supp Consol'!Y:Y,"Releasable",'Supp Consol'!A:A,O61)=0,"",SUMIFS('Supp Consol'!S:S,'Supp Consol'!Y:Y,"Releasable",'Supp Consol'!A:A,O61))</f>
        <v/>
      </c>
      <c r="AG61" s="25" t="str">
        <f>IFERROR(INDEX('Hun Demand'!Q:Q,MATCH(O61,'Hun Demand'!A:A,0)),"")</f>
        <v/>
      </c>
      <c r="AH61" s="25" t="str">
        <f>IFERROR(INDEX('Hun Demand'!H:H,MATCH($O61,'Hun Demand'!$A:$A,0)),"")</f>
        <v/>
      </c>
      <c r="AI61" s="25" t="str">
        <f>IF(SUMIFS('Supp Consol'!AA:AA,'Supp Consol'!Z:Z,"Expires this month",'Supp Consol'!A:A,O61)=0,"",SUMIFS('Supp Consol'!AA:AA,'Supp Consol'!Z:Z,"Expires this month",'Supp Consol'!A:A,O61))</f>
        <v/>
      </c>
      <c r="AJ61" s="25" t="str">
        <f>IF(SUMIFS('Supp Consol'!AA:AA,'Supp Consol'!Z:Z,"Expired Previous Months",'Supp Consol'!A:A,O61)=0,"",SUMIFS('Supp Consol'!AA:AA,'Supp Consol'!Z:Z,"Expired Previous Months",'Supp Consol'!A:A,O61))</f>
        <v/>
      </c>
      <c r="AK61" s="25" t="str">
        <f>IFERROR(INDEX('Hun Release Current'!B:B,MATCH(O61,'Hun Release Current'!A:A,0)),"")</f>
        <v/>
      </c>
      <c r="AL61" s="25" t="str">
        <f>IF(SUMIF('Prev Aub'!A:A,O61,'Prev Aub'!B:B)=0,"",SUMIF('Prev Aub'!A:A,O61,'Prev Aub'!B:B))</f>
        <v/>
      </c>
      <c r="AN61" s="25" t="s">
        <v>3790</v>
      </c>
      <c r="AO61" s="25" t="s">
        <v>3790</v>
      </c>
      <c r="AP61" s="25">
        <f t="shared" si="6"/>
        <v>0</v>
      </c>
      <c r="AQ61" s="151" t="str">
        <f>IF(SUMIFS('Supp Consol'!S:S,'Supp Consol'!A:A,O61,'Supp Consol'!I:I,"PENDING")=0,"",SUMIFS('Supp Consol'!S:S,'Supp Consol'!A:A,O61,'Supp Consol'!I:I,"PENDING"))</f>
        <v/>
      </c>
      <c r="AR61" s="27" t="str">
        <f t="shared" si="7"/>
        <v>00305</v>
      </c>
      <c r="AS61" s="27" t="str">
        <f t="shared" si="8"/>
        <v>62</v>
      </c>
      <c r="AT61" s="27" t="str">
        <f t="shared" si="9"/>
        <v/>
      </c>
      <c r="AU61" s="27" t="str">
        <f t="shared" si="10"/>
        <v>00305</v>
      </c>
      <c r="AV61" s="27" t="str">
        <f t="shared" si="11"/>
        <v>00305</v>
      </c>
      <c r="AW61" s="27" t="str">
        <f t="shared" si="12"/>
        <v/>
      </c>
      <c r="AX61" s="27" t="str">
        <f t="shared" si="13"/>
        <v/>
      </c>
      <c r="AY61" s="27" t="str">
        <f t="shared" si="14"/>
        <v/>
      </c>
      <c r="AZ61" s="27" t="str">
        <f t="shared" si="15"/>
        <v>Supp</v>
      </c>
      <c r="BA61" s="27" t="str">
        <f t="shared" si="16"/>
        <v/>
      </c>
      <c r="BB61" s="27" t="str">
        <f t="shared" si="17"/>
        <v/>
      </c>
      <c r="BC61" s="27" t="str">
        <f t="shared" si="18"/>
        <v>Net</v>
      </c>
      <c r="BD61" s="27" t="str">
        <f t="shared" si="19"/>
        <v>Net</v>
      </c>
      <c r="BE61" s="27" t="str">
        <f t="shared" si="20"/>
        <v/>
      </c>
      <c r="BF61" s="27" t="str">
        <f t="shared" si="21"/>
        <v>S+N</v>
      </c>
      <c r="BG61" s="27" t="str">
        <f t="shared" si="22"/>
        <v>S+NorE</v>
      </c>
      <c r="BH61" s="27" t="str">
        <f t="shared" si="23"/>
        <v/>
      </c>
      <c r="BI61" s="27" t="str">
        <f t="shared" si="24"/>
        <v/>
      </c>
      <c r="BJ61" s="27" t="str">
        <f t="shared" si="25"/>
        <v>Supp or Hun</v>
      </c>
      <c r="BK61" s="27" t="str">
        <f t="shared" si="26"/>
        <v>Supp or Hun Need</v>
      </c>
      <c r="BL61" s="27" t="str">
        <f t="shared" si="27"/>
        <v>SorHandNandE</v>
      </c>
      <c r="BM61" s="21" t="s">
        <v>5581</v>
      </c>
    </row>
    <row r="62" spans="1:65" ht="15">
      <c r="A62" s="25" t="str">
        <f>IFERROR(INDEX('Hun Demand'!W:W,MATCH(O62,'Hun Demand'!A:A,0)),"")</f>
        <v/>
      </c>
      <c r="B62" s="25" t="str">
        <f>IFERROR(INDEX('Hun Demand'!V:V,MATCH(O62,'Hun Demand'!A:A,0)),"")</f>
        <v/>
      </c>
      <c r="C62" s="25" t="str">
        <f>IFERROR(INDEX('Hun Demand'!U:U,MATCH(O62,'Hun Demand'!A:A,0)),"")</f>
        <v/>
      </c>
      <c r="D62" s="25" t="str">
        <f>IFERROR(INDEX('Hun Demand'!T:T,MATCH(O62,'Hun Demand'!A:A,0)),"")</f>
        <v/>
      </c>
      <c r="E62" s="25" t="str">
        <f>IFERROR(INDEX('Hun Demand'!S:S,MATCH(O62,'Hun Demand'!A:A,0)),"")</f>
        <v/>
      </c>
      <c r="F62" s="25" t="str">
        <f>IFERROR(INDEX('Hun Demand'!R:R,MATCH(O62,'Hun Demand'!A:A,0)),"")</f>
        <v/>
      </c>
      <c r="G62" s="25">
        <f>IFERROR(INDEX('Aub Demand'!W:W,MATCH(O62,'Aub Demand'!A:A,0)),"")</f>
        <v>330</v>
      </c>
      <c r="H62" s="25">
        <f>IFERROR(INDEX('Aub Demand'!V:V,MATCH(O62,'Aub Demand'!A:A,0)),"")</f>
        <v>430</v>
      </c>
      <c r="I62" s="25">
        <f>IFERROR(INDEX('Aub Demand'!U:U,MATCH(O62,'Aub Demand'!A:A,0)),"")</f>
        <v>346</v>
      </c>
      <c r="J62" s="25">
        <f>IFERROR(INDEX('Aub Demand'!T:T,MATCH(O62,'Aub Demand'!A:A,0)),"")</f>
        <v>1007</v>
      </c>
      <c r="K62" s="25">
        <f>IFERROR(INDEX('Aub Demand'!S:S,MATCH(O62,'Aub Demand'!A:A,0)),"")</f>
        <v>845</v>
      </c>
      <c r="L62" s="25">
        <f>IFERROR(INDEX('Aub Demand'!R:R,MATCH(O62,'Aub Demand'!A:A,0)),"")</f>
        <v>0</v>
      </c>
      <c r="O62" s="27" t="s">
        <v>181</v>
      </c>
      <c r="P62" s="27" t="str">
        <f>IFERROR(INDEX('Aub Demand'!B:B,MATCH($O62,'Aub Demand'!$A:$A,0)),"")</f>
        <v>CRYSTAL</v>
      </c>
      <c r="Q62" s="27" t="str">
        <f>IFERROR(INDEX('Aub Demand'!C:C,MATCH($O62,'Aub Demand'!$A:$A,0)),"")</f>
        <v>SAPPI</v>
      </c>
      <c r="R62" s="52">
        <f>IFERROR(IF(AR63=AR62,INDEX('Aub Demand'!K:K,MATCH($O62,'Aub Demand'!$A:$A,0))-IF(AN62="",0,AN62)+AP63,INDEX('Aub Demand'!K:K,MATCH($O62,'Aub Demand'!$A:$A,0))-IF(AN62="",0,AN62)),"")</f>
        <v>2757</v>
      </c>
      <c r="S62" s="53">
        <f t="shared" si="0"/>
        <v>16.100000000000001</v>
      </c>
      <c r="T62" s="52" t="str">
        <f t="shared" si="1"/>
        <v/>
      </c>
      <c r="U62" s="52">
        <f>IFERROR(IF(AR63=AR62,INDEX('Aub Demand'!Q:Q,MATCH($O62,'Aub Demand'!$A:$A,0))-IF(AN62="",0,AN62)+AP63,INDEX('Aub Demand'!Q:Q,MATCH($O62,'Aub Demand'!$A:$A,0))-IF(AN62="",0,AN62)),"")</f>
        <v>2050</v>
      </c>
      <c r="V62" s="53">
        <f t="shared" si="2"/>
        <v>12</v>
      </c>
      <c r="W62" s="52" t="str">
        <f t="shared" si="3"/>
        <v/>
      </c>
      <c r="X62" s="52">
        <f>IFERROR(IF(AND(AR63=AR62,AM62&lt;&gt;""),INDEX('Aub Demand'!Q:Q,MATCH($O62,'Aub Demand'!$A:$A,0))-IF(AN62="",0,AN62)+AP63+AD62+AL62,IF(AR63=AR62,INDEX('Aub Demand'!Q:Q,MATCH($O62,'Aub Demand'!$A:$A,0))-IF(AN62="",0,AN62)+AP63+AD62,IF(AM62&lt;&gt;"",INDEX('Aub Demand'!Q:Q,MATCH($O62,'Aub Demand'!$A:$A,0))-IF(AN62="",0,AN62)+AD62+AL62,INDEX('Aub Demand'!Q:Q,MATCH($O62,'Aub Demand'!$A:$A,0))-IF(AN62="",0,AN62)+AD62))),"")</f>
        <v>2050</v>
      </c>
      <c r="Y62" s="53">
        <f t="shared" si="4"/>
        <v>12</v>
      </c>
      <c r="Z62" s="52">
        <f>IF(L62="","",INDEX('Aub Demand'!H:H,MATCH($O62,'Aub Demand'!$A:$A,0)))</f>
        <v>733</v>
      </c>
      <c r="AA62" s="52">
        <f t="shared" si="5"/>
        <v>926</v>
      </c>
      <c r="AB62" s="52">
        <f>IFERROR(INDEX('Aub Demand'!L:L,MATCH($O62,'Aub Demand'!$A:$A,0)),"")</f>
        <v>409</v>
      </c>
      <c r="AC62" s="52">
        <f>IFERROR(IF(O62="","",SUMIFS('CPL Mats'!F:F,'CPL Mats'!Q:Q,AR62,'CPL Mats'!S:S,AS62)),"")</f>
        <v>0</v>
      </c>
      <c r="AF62" s="25">
        <f>IF(SUMIFS('Supp Consol'!S:S,'Supp Consol'!Y:Y,"Releasable",'Supp Consol'!A:A,O62)=0,"",SUMIFS('Supp Consol'!S:S,'Supp Consol'!Y:Y,"Releasable",'Supp Consol'!A:A,O62))</f>
        <v>1017</v>
      </c>
      <c r="AG62" s="25" t="str">
        <f>IFERROR(INDEX('Hun Demand'!Q:Q,MATCH(O62,'Hun Demand'!A:A,0)),"")</f>
        <v/>
      </c>
      <c r="AH62" s="25" t="str">
        <f>IFERROR(INDEX('Hun Demand'!H:H,MATCH($O62,'Hun Demand'!$A:$A,0)),"")</f>
        <v/>
      </c>
      <c r="AI62" s="25" t="str">
        <f>IF(SUMIFS('Supp Consol'!AA:AA,'Supp Consol'!Z:Z,"Expires this month",'Supp Consol'!A:A,O62)=0,"",SUMIFS('Supp Consol'!AA:AA,'Supp Consol'!Z:Z,"Expires this month",'Supp Consol'!A:A,O62))</f>
        <v/>
      </c>
      <c r="AJ62" s="25" t="str">
        <f>IF(SUMIFS('Supp Consol'!AA:AA,'Supp Consol'!Z:Z,"Expired Previous Months",'Supp Consol'!A:A,O62)=0,"",SUMIFS('Supp Consol'!AA:AA,'Supp Consol'!Z:Z,"Expired Previous Months",'Supp Consol'!A:A,O62))</f>
        <v/>
      </c>
      <c r="AK62" s="25" t="str">
        <f>IFERROR(INDEX('Hun Release Current'!B:B,MATCH(O62,'Hun Release Current'!A:A,0)),"")</f>
        <v/>
      </c>
      <c r="AL62" s="25" t="str">
        <f>IF(SUMIF('Prev Aub'!A:A,O62,'Prev Aub'!B:B)=0,"",SUMIF('Prev Aub'!A:A,O62,'Prev Aub'!B:B))</f>
        <v/>
      </c>
      <c r="AN62" s="25" t="s">
        <v>3790</v>
      </c>
      <c r="AO62" s="25" t="s">
        <v>3790</v>
      </c>
      <c r="AP62" s="25">
        <f t="shared" si="6"/>
        <v>0</v>
      </c>
      <c r="AQ62" s="151" t="str">
        <f>IF(SUMIFS('Supp Consol'!S:S,'Supp Consol'!A:A,O62,'Supp Consol'!I:I,"PENDING")=0,"",SUMIFS('Supp Consol'!S:S,'Supp Consol'!A:A,O62,'Supp Consol'!I:I,"PENDING"))</f>
        <v/>
      </c>
      <c r="AR62" s="27" t="str">
        <f t="shared" si="7"/>
        <v>00306</v>
      </c>
      <c r="AS62" s="27" t="str">
        <f t="shared" si="8"/>
        <v>50</v>
      </c>
      <c r="AT62" s="27" t="str">
        <f t="shared" si="9"/>
        <v/>
      </c>
      <c r="AU62" s="27" t="str">
        <f t="shared" si="10"/>
        <v/>
      </c>
      <c r="AV62" s="27" t="str">
        <f t="shared" si="11"/>
        <v/>
      </c>
      <c r="AW62" s="27" t="str">
        <f t="shared" si="12"/>
        <v/>
      </c>
      <c r="AX62" s="27" t="str">
        <f t="shared" si="13"/>
        <v>00306</v>
      </c>
      <c r="AY62" s="27" t="str">
        <f t="shared" si="14"/>
        <v/>
      </c>
      <c r="AZ62" s="27" t="str">
        <f t="shared" si="15"/>
        <v>Supp</v>
      </c>
      <c r="BA62" s="27" t="str">
        <f t="shared" si="16"/>
        <v/>
      </c>
      <c r="BB62" s="27" t="str">
        <f t="shared" si="17"/>
        <v/>
      </c>
      <c r="BC62" s="27" t="str">
        <f t="shared" si="18"/>
        <v/>
      </c>
      <c r="BD62" s="27" t="str">
        <f t="shared" si="19"/>
        <v/>
      </c>
      <c r="BE62" s="27" t="str">
        <f t="shared" si="20"/>
        <v/>
      </c>
      <c r="BF62" s="27" t="str">
        <f t="shared" si="21"/>
        <v/>
      </c>
      <c r="BG62" s="27" t="str">
        <f t="shared" si="22"/>
        <v/>
      </c>
      <c r="BH62" s="27" t="str">
        <f t="shared" si="23"/>
        <v/>
      </c>
      <c r="BI62" s="27" t="str">
        <f t="shared" si="24"/>
        <v/>
      </c>
      <c r="BJ62" s="27" t="str">
        <f t="shared" si="25"/>
        <v>Supp or Hun</v>
      </c>
      <c r="BK62" s="27" t="str">
        <f t="shared" si="26"/>
        <v/>
      </c>
      <c r="BL62" s="27" t="str">
        <f t="shared" si="27"/>
        <v/>
      </c>
      <c r="BM62" s="21" t="s">
        <v>5581</v>
      </c>
    </row>
    <row r="63" spans="1:65" ht="15">
      <c r="A63" s="25" t="str">
        <f>IFERROR(INDEX('Hun Demand'!W:W,MATCH(O63,'Hun Demand'!A:A,0)),"")</f>
        <v/>
      </c>
      <c r="B63" s="25" t="str">
        <f>IFERROR(INDEX('Hun Demand'!V:V,MATCH(O63,'Hun Demand'!A:A,0)),"")</f>
        <v/>
      </c>
      <c r="C63" s="25" t="str">
        <f>IFERROR(INDEX('Hun Demand'!U:U,MATCH(O63,'Hun Demand'!A:A,0)),"")</f>
        <v/>
      </c>
      <c r="D63" s="25" t="str">
        <f>IFERROR(INDEX('Hun Demand'!T:T,MATCH(O63,'Hun Demand'!A:A,0)),"")</f>
        <v/>
      </c>
      <c r="E63" s="25" t="str">
        <f>IFERROR(INDEX('Hun Demand'!S:S,MATCH(O63,'Hun Demand'!A:A,0)),"")</f>
        <v/>
      </c>
      <c r="F63" s="25" t="str">
        <f>IFERROR(INDEX('Hun Demand'!R:R,MATCH(O63,'Hun Demand'!A:A,0)),"")</f>
        <v/>
      </c>
      <c r="G63" s="25">
        <f>IFERROR(INDEX('Aub Demand'!W:W,MATCH(O63,'Aub Demand'!A:A,0)),"")</f>
        <v>727</v>
      </c>
      <c r="H63" s="25">
        <f>IFERROR(INDEX('Aub Demand'!V:V,MATCH(O63,'Aub Demand'!A:A,0)),"")</f>
        <v>530</v>
      </c>
      <c r="I63" s="25">
        <f>IFERROR(INDEX('Aub Demand'!U:U,MATCH(O63,'Aub Demand'!A:A,0)),"")</f>
        <v>0</v>
      </c>
      <c r="J63" s="25">
        <f>IFERROR(INDEX('Aub Demand'!T:T,MATCH(O63,'Aub Demand'!A:A,0)),"")</f>
        <v>0</v>
      </c>
      <c r="K63" s="25">
        <f>IFERROR(INDEX('Aub Demand'!S:S,MATCH(O63,'Aub Demand'!A:A,0)),"")</f>
        <v>146</v>
      </c>
      <c r="L63" s="25">
        <f>IFERROR(INDEX('Aub Demand'!R:R,MATCH(O63,'Aub Demand'!A:A,0)),"")</f>
        <v>0</v>
      </c>
      <c r="O63" s="27" t="s">
        <v>185</v>
      </c>
      <c r="P63" s="27" t="str">
        <f>IFERROR(INDEX('Aub Demand'!B:B,MATCH($O63,'Aub Demand'!$A:$A,0)),"")</f>
        <v>CRYSTAL</v>
      </c>
      <c r="Q63" s="27" t="str">
        <f>IFERROR(INDEX('Aub Demand'!C:C,MATCH($O63,'Aub Demand'!$A:$A,0)),"")</f>
        <v>SAPPI</v>
      </c>
      <c r="R63" s="52">
        <f>IFERROR(IF(AR64=AR63,INDEX('Aub Demand'!K:K,MATCH($O63,'Aub Demand'!$A:$A,0))-IF(AN63="",0,AN63)+AP64,INDEX('Aub Demand'!K:K,MATCH($O63,'Aub Demand'!$A:$A,0))-IF(AN63="",0,AN63)),"")</f>
        <v>4804</v>
      </c>
      <c r="S63" s="53">
        <f t="shared" si="0"/>
        <v>420.2</v>
      </c>
      <c r="T63" s="52" t="str">
        <f t="shared" si="1"/>
        <v/>
      </c>
      <c r="U63" s="52">
        <f>IFERROR(IF(AR64=AR63,INDEX('Aub Demand'!Q:Q,MATCH($O63,'Aub Demand'!$A:$A,0))-IF(AN63="",0,AN63)+AP64,INDEX('Aub Demand'!Q:Q,MATCH($O63,'Aub Demand'!$A:$A,0))-IF(AN63="",0,AN63)),"")</f>
        <v>4681</v>
      </c>
      <c r="V63" s="53">
        <f t="shared" si="2"/>
        <v>409.4</v>
      </c>
      <c r="W63" s="52" t="str">
        <f t="shared" si="3"/>
        <v/>
      </c>
      <c r="X63" s="52">
        <f>IFERROR(IF(AND(AR64=AR63,AM63&lt;&gt;""),INDEX('Aub Demand'!Q:Q,MATCH($O63,'Aub Demand'!$A:$A,0))-IF(AN63="",0,AN63)+AP64+AD63+AL63,IF(AR64=AR63,INDEX('Aub Demand'!Q:Q,MATCH($O63,'Aub Demand'!$A:$A,0))-IF(AN63="",0,AN63)+AP64+AD63,IF(AM63&lt;&gt;"",INDEX('Aub Demand'!Q:Q,MATCH($O63,'Aub Demand'!$A:$A,0))-IF(AN63="",0,AN63)+AD63+AL63,INDEX('Aub Demand'!Q:Q,MATCH($O63,'Aub Demand'!$A:$A,0))-IF(AN63="",0,AN63)+AD63))),"")</f>
        <v>4681</v>
      </c>
      <c r="Y63" s="53">
        <f t="shared" si="4"/>
        <v>409.4</v>
      </c>
      <c r="Z63" s="52">
        <f>IF(L63="","",INDEX('Aub Demand'!H:H,MATCH($O63,'Aub Demand'!$A:$A,0)))</f>
        <v>49</v>
      </c>
      <c r="AA63" s="52" t="str">
        <f t="shared" si="5"/>
        <v>-spike-</v>
      </c>
      <c r="AB63" s="52">
        <f>IFERROR(INDEX('Aub Demand'!L:L,MATCH($O63,'Aub Demand'!$A:$A,0)),"")</f>
        <v>854</v>
      </c>
      <c r="AC63" s="52">
        <f>IFERROR(IF(O63="","",SUMIFS('CPL Mats'!F:F,'CPL Mats'!Q:Q,AR63,'CPL Mats'!S:S,AS63)),"")</f>
        <v>0</v>
      </c>
      <c r="AF63" s="25">
        <f>IF(SUMIFS('Supp Consol'!S:S,'Supp Consol'!Y:Y,"Releasable",'Supp Consol'!A:A,O63)=0,"",SUMIFS('Supp Consol'!S:S,'Supp Consol'!Y:Y,"Releasable",'Supp Consol'!A:A,O63))</f>
        <v>1248</v>
      </c>
      <c r="AG63" s="25" t="str">
        <f>IFERROR(INDEX('Hun Demand'!Q:Q,MATCH(O63,'Hun Demand'!A:A,0)),"")</f>
        <v/>
      </c>
      <c r="AH63" s="25" t="str">
        <f>IFERROR(INDEX('Hun Demand'!H:H,MATCH($O63,'Hun Demand'!$A:$A,0)),"")</f>
        <v/>
      </c>
      <c r="AI63" s="25" t="str">
        <f>IF(SUMIFS('Supp Consol'!AA:AA,'Supp Consol'!Z:Z,"Expires this month",'Supp Consol'!A:A,O63)=0,"",SUMIFS('Supp Consol'!AA:AA,'Supp Consol'!Z:Z,"Expires this month",'Supp Consol'!A:A,O63))</f>
        <v/>
      </c>
      <c r="AJ63" s="25" t="str">
        <f>IF(SUMIFS('Supp Consol'!AA:AA,'Supp Consol'!Z:Z,"Expired Previous Months",'Supp Consol'!A:A,O63)=0,"",SUMIFS('Supp Consol'!AA:AA,'Supp Consol'!Z:Z,"Expired Previous Months",'Supp Consol'!A:A,O63))</f>
        <v/>
      </c>
      <c r="AK63" s="25" t="str">
        <f>IFERROR(INDEX('Hun Release Current'!B:B,MATCH(O63,'Hun Release Current'!A:A,0)),"")</f>
        <v/>
      </c>
      <c r="AL63" s="25" t="str">
        <f>IF(SUMIF('Prev Aub'!A:A,O63,'Prev Aub'!B:B)=0,"",SUMIF('Prev Aub'!A:A,O63,'Prev Aub'!B:B))</f>
        <v/>
      </c>
      <c r="AN63" s="25" t="s">
        <v>3790</v>
      </c>
      <c r="AO63" s="25" t="s">
        <v>3790</v>
      </c>
      <c r="AP63" s="25">
        <f t="shared" si="6"/>
        <v>0</v>
      </c>
      <c r="AQ63" s="151" t="str">
        <f>IF(SUMIFS('Supp Consol'!S:S,'Supp Consol'!A:A,O63,'Supp Consol'!I:I,"PENDING")=0,"",SUMIFS('Supp Consol'!S:S,'Supp Consol'!A:A,O63,'Supp Consol'!I:I,"PENDING"))</f>
        <v/>
      </c>
      <c r="AR63" s="27" t="str">
        <f t="shared" si="7"/>
        <v>00306</v>
      </c>
      <c r="AS63" s="27" t="str">
        <f t="shared" si="8"/>
        <v>62</v>
      </c>
      <c r="AT63" s="27" t="str">
        <f t="shared" si="9"/>
        <v/>
      </c>
      <c r="AU63" s="27" t="str">
        <f t="shared" si="10"/>
        <v/>
      </c>
      <c r="AV63" s="27" t="str">
        <f t="shared" si="11"/>
        <v/>
      </c>
      <c r="AW63" s="27" t="str">
        <f t="shared" si="12"/>
        <v/>
      </c>
      <c r="AX63" s="27" t="str">
        <f t="shared" si="13"/>
        <v>00306</v>
      </c>
      <c r="AY63" s="27" t="str">
        <f t="shared" si="14"/>
        <v/>
      </c>
      <c r="AZ63" s="27" t="str">
        <f t="shared" si="15"/>
        <v>Supp</v>
      </c>
      <c r="BA63" s="27" t="str">
        <f t="shared" si="16"/>
        <v/>
      </c>
      <c r="BB63" s="27" t="str">
        <f t="shared" si="17"/>
        <v/>
      </c>
      <c r="BC63" s="27" t="str">
        <f t="shared" si="18"/>
        <v/>
      </c>
      <c r="BD63" s="27" t="str">
        <f t="shared" si="19"/>
        <v/>
      </c>
      <c r="BE63" s="27" t="str">
        <f t="shared" si="20"/>
        <v/>
      </c>
      <c r="BF63" s="27" t="str">
        <f t="shared" si="21"/>
        <v/>
      </c>
      <c r="BG63" s="27" t="str">
        <f t="shared" si="22"/>
        <v/>
      </c>
      <c r="BH63" s="27" t="str">
        <f t="shared" si="23"/>
        <v/>
      </c>
      <c r="BI63" s="27" t="str">
        <f t="shared" si="24"/>
        <v/>
      </c>
      <c r="BJ63" s="27" t="str">
        <f t="shared" si="25"/>
        <v>Supp or Hun</v>
      </c>
      <c r="BK63" s="27" t="str">
        <f t="shared" si="26"/>
        <v/>
      </c>
      <c r="BL63" s="27" t="str">
        <f t="shared" si="27"/>
        <v/>
      </c>
      <c r="BM63" s="21" t="s">
        <v>5581</v>
      </c>
    </row>
    <row r="64" spans="1:65" ht="15">
      <c r="A64" s="25" t="str">
        <f>IFERROR(INDEX('Hun Demand'!W:W,MATCH(O64,'Hun Demand'!A:A,0)),"")</f>
        <v/>
      </c>
      <c r="B64" s="25" t="str">
        <f>IFERROR(INDEX('Hun Demand'!V:V,MATCH(O64,'Hun Demand'!A:A,0)),"")</f>
        <v/>
      </c>
      <c r="C64" s="25" t="str">
        <f>IFERROR(INDEX('Hun Demand'!U:U,MATCH(O64,'Hun Demand'!A:A,0)),"")</f>
        <v/>
      </c>
      <c r="D64" s="25" t="str">
        <f>IFERROR(INDEX('Hun Demand'!T:T,MATCH(O64,'Hun Demand'!A:A,0)),"")</f>
        <v/>
      </c>
      <c r="E64" s="25" t="str">
        <f>IFERROR(INDEX('Hun Demand'!S:S,MATCH(O64,'Hun Demand'!A:A,0)),"")</f>
        <v/>
      </c>
      <c r="F64" s="25" t="str">
        <f>IFERROR(INDEX('Hun Demand'!R:R,MATCH(O64,'Hun Demand'!A:A,0)),"")</f>
        <v/>
      </c>
      <c r="G64" s="25">
        <f>IFERROR(INDEX('Aub Demand'!W:W,MATCH(O64,'Aub Demand'!A:A,0)),"")</f>
        <v>0</v>
      </c>
      <c r="H64" s="25">
        <f>IFERROR(INDEX('Aub Demand'!V:V,MATCH(O64,'Aub Demand'!A:A,0)),"")</f>
        <v>303</v>
      </c>
      <c r="I64" s="25">
        <f>IFERROR(INDEX('Aub Demand'!U:U,MATCH(O64,'Aub Demand'!A:A,0)),"")</f>
        <v>300</v>
      </c>
      <c r="J64" s="25">
        <f>IFERROR(INDEX('Aub Demand'!T:T,MATCH(O64,'Aub Demand'!A:A,0)),"")</f>
        <v>344</v>
      </c>
      <c r="K64" s="25">
        <f>IFERROR(INDEX('Aub Demand'!S:S,MATCH(O64,'Aub Demand'!A:A,0)),"")</f>
        <v>0</v>
      </c>
      <c r="L64" s="25">
        <f>IFERROR(INDEX('Aub Demand'!R:R,MATCH(O64,'Aub Demand'!A:A,0)),"")</f>
        <v>0</v>
      </c>
      <c r="O64" s="27" t="s">
        <v>186</v>
      </c>
      <c r="P64" s="27" t="str">
        <f>IFERROR(INDEX('Aub Demand'!B:B,MATCH($O64,'Aub Demand'!$A:$A,0)),"")</f>
        <v>ASHWOOD</v>
      </c>
      <c r="Q64" s="27" t="str">
        <f>IFERROR(INDEX('Aub Demand'!C:C,MATCH($O64,'Aub Demand'!$A:$A,0)),"")</f>
        <v>SAPPI</v>
      </c>
      <c r="R64" s="52">
        <f>IFERROR(IF(AR65=AR64,INDEX('Aub Demand'!K:K,MATCH($O64,'Aub Demand'!$A:$A,0))-IF(AN64="",0,AN64)+AP65,INDEX('Aub Demand'!K:K,MATCH($O64,'Aub Demand'!$A:$A,0))-IF(AN64="",0,AN64)),"")</f>
        <v>862</v>
      </c>
      <c r="S64" s="53">
        <f t="shared" si="0"/>
        <v>17.2</v>
      </c>
      <c r="T64" s="52" t="str">
        <f t="shared" si="1"/>
        <v/>
      </c>
      <c r="U64" s="52">
        <f>IFERROR(IF(AR65=AR64,INDEX('Aub Demand'!Q:Q,MATCH($O64,'Aub Demand'!$A:$A,0))-IF(AN64="",0,AN64)+AP65,INDEX('Aub Demand'!Q:Q,MATCH($O64,'Aub Demand'!$A:$A,0))-IF(AN64="",0,AN64)),"")</f>
        <v>659</v>
      </c>
      <c r="V64" s="53">
        <f t="shared" si="2"/>
        <v>13.1</v>
      </c>
      <c r="W64" s="52" t="str">
        <f t="shared" si="3"/>
        <v/>
      </c>
      <c r="X64" s="52">
        <f>IFERROR(IF(AND(AR65=AR64,AM64&lt;&gt;""),INDEX('Aub Demand'!Q:Q,MATCH($O64,'Aub Demand'!$A:$A,0))-IF(AN64="",0,AN64)+AP65+AD64+AL64,IF(AR65=AR64,INDEX('Aub Demand'!Q:Q,MATCH($O64,'Aub Demand'!$A:$A,0))-IF(AN64="",0,AN64)+AP65+AD64,IF(AM64&lt;&gt;"",INDEX('Aub Demand'!Q:Q,MATCH($O64,'Aub Demand'!$A:$A,0))-IF(AN64="",0,AN64)+AD64+AL64,INDEX('Aub Demand'!Q:Q,MATCH($O64,'Aub Demand'!$A:$A,0))-IF(AN64="",0,AN64)+AD64))),"")</f>
        <v>659</v>
      </c>
      <c r="Y64" s="53">
        <f t="shared" si="4"/>
        <v>13.1</v>
      </c>
      <c r="Z64" s="52">
        <f>IF(L64="","",INDEX('Aub Demand'!H:H,MATCH($O64,'Aub Demand'!$A:$A,0)))</f>
        <v>215</v>
      </c>
      <c r="AA64" s="52">
        <f t="shared" si="5"/>
        <v>322</v>
      </c>
      <c r="AB64" s="52">
        <f>IFERROR(INDEX('Aub Demand'!L:L,MATCH($O64,'Aub Demand'!$A:$A,0)),"")</f>
        <v>219</v>
      </c>
      <c r="AC64" s="52">
        <f>IFERROR(IF(O64="","",SUMIFS('CPL Mats'!F:F,'CPL Mats'!Q:Q,AR64,'CPL Mats'!S:S,AS64)),"")</f>
        <v>0</v>
      </c>
      <c r="AF64" s="25">
        <f>IF(SUMIFS('Supp Consol'!S:S,'Supp Consol'!Y:Y,"Releasable",'Supp Consol'!A:A,O64)=0,"",SUMIFS('Supp Consol'!S:S,'Supp Consol'!Y:Y,"Releasable",'Supp Consol'!A:A,O64))</f>
        <v>994</v>
      </c>
      <c r="AG64" s="25" t="str">
        <f>IFERROR(INDEX('Hun Demand'!Q:Q,MATCH(O64,'Hun Demand'!A:A,0)),"")</f>
        <v/>
      </c>
      <c r="AH64" s="25" t="str">
        <f>IFERROR(INDEX('Hun Demand'!H:H,MATCH($O64,'Hun Demand'!$A:$A,0)),"")</f>
        <v/>
      </c>
      <c r="AI64" s="25" t="str">
        <f>IF(SUMIFS('Supp Consol'!AA:AA,'Supp Consol'!Z:Z,"Expires this month",'Supp Consol'!A:A,O64)=0,"",SUMIFS('Supp Consol'!AA:AA,'Supp Consol'!Z:Z,"Expires this month",'Supp Consol'!A:A,O64))</f>
        <v/>
      </c>
      <c r="AJ64" s="25" t="str">
        <f>IF(SUMIFS('Supp Consol'!AA:AA,'Supp Consol'!Z:Z,"Expired Previous Months",'Supp Consol'!A:A,O64)=0,"",SUMIFS('Supp Consol'!AA:AA,'Supp Consol'!Z:Z,"Expired Previous Months",'Supp Consol'!A:A,O64))</f>
        <v/>
      </c>
      <c r="AK64" s="25" t="str">
        <f>IFERROR(INDEX('Hun Release Current'!B:B,MATCH(O64,'Hun Release Current'!A:A,0)),"")</f>
        <v/>
      </c>
      <c r="AL64" s="25" t="str">
        <f>IF(SUMIF('Prev Aub'!A:A,O64,'Prev Aub'!B:B)=0,"",SUMIF('Prev Aub'!A:A,O64,'Prev Aub'!B:B))</f>
        <v/>
      </c>
      <c r="AN64" s="25" t="s">
        <v>3790</v>
      </c>
      <c r="AO64" s="25" t="s">
        <v>3790</v>
      </c>
      <c r="AP64" s="25">
        <f t="shared" si="6"/>
        <v>0</v>
      </c>
      <c r="AQ64" s="151" t="str">
        <f>IF(SUMIFS('Supp Consol'!S:S,'Supp Consol'!A:A,O64,'Supp Consol'!I:I,"PENDING")=0,"",SUMIFS('Supp Consol'!S:S,'Supp Consol'!A:A,O64,'Supp Consol'!I:I,"PENDING"))</f>
        <v/>
      </c>
      <c r="AR64" s="27" t="str">
        <f t="shared" si="7"/>
        <v>00311</v>
      </c>
      <c r="AS64" s="27" t="str">
        <f t="shared" si="8"/>
        <v>50</v>
      </c>
      <c r="AT64" s="27" t="str">
        <f t="shared" si="9"/>
        <v/>
      </c>
      <c r="AU64" s="27" t="str">
        <f t="shared" si="10"/>
        <v/>
      </c>
      <c r="AV64" s="27" t="str">
        <f t="shared" si="11"/>
        <v/>
      </c>
      <c r="AW64" s="27" t="str">
        <f t="shared" si="12"/>
        <v/>
      </c>
      <c r="AX64" s="27" t="str">
        <f t="shared" si="13"/>
        <v>00311</v>
      </c>
      <c r="AY64" s="27" t="str">
        <f t="shared" si="14"/>
        <v/>
      </c>
      <c r="AZ64" s="27" t="str">
        <f t="shared" si="15"/>
        <v>Supp</v>
      </c>
      <c r="BA64" s="27" t="str">
        <f t="shared" si="16"/>
        <v/>
      </c>
      <c r="BB64" s="27" t="str">
        <f t="shared" si="17"/>
        <v/>
      </c>
      <c r="BC64" s="27" t="str">
        <f t="shared" si="18"/>
        <v/>
      </c>
      <c r="BD64" s="27" t="str">
        <f t="shared" si="19"/>
        <v/>
      </c>
      <c r="BE64" s="27" t="str">
        <f t="shared" si="20"/>
        <v/>
      </c>
      <c r="BF64" s="27" t="str">
        <f t="shared" si="21"/>
        <v/>
      </c>
      <c r="BG64" s="27" t="str">
        <f t="shared" si="22"/>
        <v/>
      </c>
      <c r="BH64" s="27" t="str">
        <f t="shared" si="23"/>
        <v/>
      </c>
      <c r="BI64" s="27" t="str">
        <f t="shared" si="24"/>
        <v/>
      </c>
      <c r="BJ64" s="27" t="str">
        <f t="shared" si="25"/>
        <v>Supp or Hun</v>
      </c>
      <c r="BK64" s="27" t="str">
        <f t="shared" si="26"/>
        <v/>
      </c>
      <c r="BL64" s="27" t="str">
        <f t="shared" si="27"/>
        <v/>
      </c>
      <c r="BM64" s="21" t="s">
        <v>5581</v>
      </c>
    </row>
    <row r="65" spans="1:65" ht="15">
      <c r="A65" s="25" t="str">
        <f>IFERROR(INDEX('Hun Demand'!W:W,MATCH(O65,'Hun Demand'!A:A,0)),"")</f>
        <v/>
      </c>
      <c r="B65" s="25" t="str">
        <f>IFERROR(INDEX('Hun Demand'!V:V,MATCH(O65,'Hun Demand'!A:A,0)),"")</f>
        <v/>
      </c>
      <c r="C65" s="25" t="str">
        <f>IFERROR(INDEX('Hun Demand'!U:U,MATCH(O65,'Hun Demand'!A:A,0)),"")</f>
        <v/>
      </c>
      <c r="D65" s="25" t="str">
        <f>IFERROR(INDEX('Hun Demand'!T:T,MATCH(O65,'Hun Demand'!A:A,0)),"")</f>
        <v/>
      </c>
      <c r="E65" s="25" t="str">
        <f>IFERROR(INDEX('Hun Demand'!S:S,MATCH(O65,'Hun Demand'!A:A,0)),"")</f>
        <v/>
      </c>
      <c r="F65" s="25" t="str">
        <f>IFERROR(INDEX('Hun Demand'!R:R,MATCH(O65,'Hun Demand'!A:A,0)),"")</f>
        <v/>
      </c>
      <c r="G65" s="25">
        <f>IFERROR(INDEX('Aub Demand'!W:W,MATCH(O65,'Aub Demand'!A:A,0)),"")</f>
        <v>0</v>
      </c>
      <c r="H65" s="25">
        <f>IFERROR(INDEX('Aub Demand'!V:V,MATCH(O65,'Aub Demand'!A:A,0)),"")</f>
        <v>0</v>
      </c>
      <c r="I65" s="25">
        <f>IFERROR(INDEX('Aub Demand'!U:U,MATCH(O65,'Aub Demand'!A:A,0)),"")</f>
        <v>0</v>
      </c>
      <c r="J65" s="25">
        <f>IFERROR(INDEX('Aub Demand'!T:T,MATCH(O65,'Aub Demand'!A:A,0)),"")</f>
        <v>169</v>
      </c>
      <c r="K65" s="25">
        <f>IFERROR(INDEX('Aub Demand'!S:S,MATCH(O65,'Aub Demand'!A:A,0)),"")</f>
        <v>0</v>
      </c>
      <c r="L65" s="25">
        <f>IFERROR(INDEX('Aub Demand'!R:R,MATCH(O65,'Aub Demand'!A:A,0)),"")</f>
        <v>0</v>
      </c>
      <c r="O65" s="27" t="s">
        <v>189</v>
      </c>
      <c r="P65" s="27" t="str">
        <f>IFERROR(INDEX('Aub Demand'!B:B,MATCH($O65,'Aub Demand'!$A:$A,0)),"")</f>
        <v>ASHWOOD</v>
      </c>
      <c r="Q65" s="27" t="str">
        <f>IFERROR(INDEX('Aub Demand'!C:C,MATCH($O65,'Aub Demand'!$A:$A,0)),"")</f>
        <v>SAPPI</v>
      </c>
      <c r="R65" s="52">
        <f>IFERROR(IF(AR66=AR65,INDEX('Aub Demand'!K:K,MATCH($O65,'Aub Demand'!$A:$A,0))-IF(AN65="",0,AN65)+AP66,INDEX('Aub Demand'!K:K,MATCH($O65,'Aub Demand'!$A:$A,0))-IF(AN65="",0,AN65)),"")</f>
        <v>1464</v>
      </c>
      <c r="S65" s="53">
        <f t="shared" si="0"/>
        <v>112</v>
      </c>
      <c r="T65" s="52" t="str">
        <f t="shared" si="1"/>
        <v/>
      </c>
      <c r="U65" s="52">
        <f>IFERROR(IF(AR66=AR65,INDEX('Aub Demand'!Q:Q,MATCH($O65,'Aub Demand'!$A:$A,0))-IF(AN65="",0,AN65)+AP66,INDEX('Aub Demand'!Q:Q,MATCH($O65,'Aub Demand'!$A:$A,0))-IF(AN65="",0,AN65)),"")</f>
        <v>1338</v>
      </c>
      <c r="V65" s="53">
        <f t="shared" si="2"/>
        <v>102.4</v>
      </c>
      <c r="W65" s="52" t="str">
        <f t="shared" si="3"/>
        <v/>
      </c>
      <c r="X65" s="52">
        <f>IFERROR(IF(AND(AR66=AR65,AM65&lt;&gt;""),INDEX('Aub Demand'!Q:Q,MATCH($O65,'Aub Demand'!$A:$A,0))-IF(AN65="",0,AN65)+AP66+AD65+AL65,IF(AR66=AR65,INDEX('Aub Demand'!Q:Q,MATCH($O65,'Aub Demand'!$A:$A,0))-IF(AN65="",0,AN65)+AP66+AD65,IF(AM65&lt;&gt;"",INDEX('Aub Demand'!Q:Q,MATCH($O65,'Aub Demand'!$A:$A,0))-IF(AN65="",0,AN65)+AD65+AL65,INDEX('Aub Demand'!Q:Q,MATCH($O65,'Aub Demand'!$A:$A,0))-IF(AN65="",0,AN65)+AD65))),"")</f>
        <v>1338</v>
      </c>
      <c r="Y65" s="53">
        <f t="shared" si="4"/>
        <v>102.4</v>
      </c>
      <c r="Z65" s="52">
        <f>IF(L65="","",INDEX('Aub Demand'!H:H,MATCH($O65,'Aub Demand'!$A:$A,0)))</f>
        <v>56</v>
      </c>
      <c r="AA65" s="52" t="str">
        <f t="shared" si="5"/>
        <v>-spike-</v>
      </c>
      <c r="AB65" s="52">
        <f>IFERROR(INDEX('Aub Demand'!L:L,MATCH($O65,'Aub Demand'!$A:$A,0)),"")</f>
        <v>193</v>
      </c>
      <c r="AC65" s="52">
        <f>IFERROR(IF(O65="","",SUMIFS('CPL Mats'!F:F,'CPL Mats'!Q:Q,AR65,'CPL Mats'!S:S,AS65)),"")</f>
        <v>0</v>
      </c>
      <c r="AF65" s="25">
        <f>IF(SUMIFS('Supp Consol'!S:S,'Supp Consol'!Y:Y,"Releasable",'Supp Consol'!A:A,O65)=0,"",SUMIFS('Supp Consol'!S:S,'Supp Consol'!Y:Y,"Releasable",'Supp Consol'!A:A,O65))</f>
        <v>1227</v>
      </c>
      <c r="AG65" s="25" t="str">
        <f>IFERROR(INDEX('Hun Demand'!Q:Q,MATCH(O65,'Hun Demand'!A:A,0)),"")</f>
        <v/>
      </c>
      <c r="AH65" s="25" t="str">
        <f>IFERROR(INDEX('Hun Demand'!H:H,MATCH($O65,'Hun Demand'!$A:$A,0)),"")</f>
        <v/>
      </c>
      <c r="AI65" s="25" t="str">
        <f>IF(SUMIFS('Supp Consol'!AA:AA,'Supp Consol'!Z:Z,"Expires this month",'Supp Consol'!A:A,O65)=0,"",SUMIFS('Supp Consol'!AA:AA,'Supp Consol'!Z:Z,"Expires this month",'Supp Consol'!A:A,O65))</f>
        <v/>
      </c>
      <c r="AJ65" s="25" t="str">
        <f>IF(SUMIFS('Supp Consol'!AA:AA,'Supp Consol'!Z:Z,"Expired Previous Months",'Supp Consol'!A:A,O65)=0,"",SUMIFS('Supp Consol'!AA:AA,'Supp Consol'!Z:Z,"Expired Previous Months",'Supp Consol'!A:A,O65))</f>
        <v/>
      </c>
      <c r="AK65" s="25" t="str">
        <f>IFERROR(INDEX('Hun Release Current'!B:B,MATCH(O65,'Hun Release Current'!A:A,0)),"")</f>
        <v/>
      </c>
      <c r="AL65" s="25" t="str">
        <f>IF(SUMIF('Prev Aub'!A:A,O65,'Prev Aub'!B:B)=0,"",SUMIF('Prev Aub'!A:A,O65,'Prev Aub'!B:B))</f>
        <v/>
      </c>
      <c r="AN65" s="25" t="s">
        <v>3790</v>
      </c>
      <c r="AO65" s="25" t="s">
        <v>3790</v>
      </c>
      <c r="AP65" s="25">
        <f t="shared" si="6"/>
        <v>0</v>
      </c>
      <c r="AQ65" s="151" t="str">
        <f>IF(SUMIFS('Supp Consol'!S:S,'Supp Consol'!A:A,O65,'Supp Consol'!I:I,"PENDING")=0,"",SUMIFS('Supp Consol'!S:S,'Supp Consol'!A:A,O65,'Supp Consol'!I:I,"PENDING"))</f>
        <v/>
      </c>
      <c r="AR65" s="27" t="str">
        <f t="shared" si="7"/>
        <v>00311</v>
      </c>
      <c r="AS65" s="27" t="str">
        <f t="shared" si="8"/>
        <v>62</v>
      </c>
      <c r="AT65" s="27" t="str">
        <f t="shared" si="9"/>
        <v/>
      </c>
      <c r="AU65" s="27" t="str">
        <f t="shared" si="10"/>
        <v/>
      </c>
      <c r="AV65" s="27" t="str">
        <f t="shared" si="11"/>
        <v/>
      </c>
      <c r="AW65" s="27" t="str">
        <f t="shared" si="12"/>
        <v/>
      </c>
      <c r="AX65" s="27" t="str">
        <f t="shared" si="13"/>
        <v>00311</v>
      </c>
      <c r="AY65" s="27" t="str">
        <f t="shared" si="14"/>
        <v/>
      </c>
      <c r="AZ65" s="27" t="str">
        <f t="shared" si="15"/>
        <v>Supp</v>
      </c>
      <c r="BA65" s="27" t="str">
        <f t="shared" si="16"/>
        <v/>
      </c>
      <c r="BB65" s="27" t="str">
        <f t="shared" si="17"/>
        <v/>
      </c>
      <c r="BC65" s="27" t="str">
        <f t="shared" si="18"/>
        <v/>
      </c>
      <c r="BD65" s="27" t="str">
        <f t="shared" si="19"/>
        <v/>
      </c>
      <c r="BE65" s="27" t="str">
        <f t="shared" si="20"/>
        <v/>
      </c>
      <c r="BF65" s="27" t="str">
        <f t="shared" si="21"/>
        <v/>
      </c>
      <c r="BG65" s="27" t="str">
        <f t="shared" si="22"/>
        <v/>
      </c>
      <c r="BH65" s="27" t="str">
        <f t="shared" si="23"/>
        <v/>
      </c>
      <c r="BI65" s="27" t="str">
        <f t="shared" si="24"/>
        <v/>
      </c>
      <c r="BJ65" s="27" t="str">
        <f t="shared" si="25"/>
        <v>Supp or Hun</v>
      </c>
      <c r="BK65" s="27" t="str">
        <f t="shared" si="26"/>
        <v/>
      </c>
      <c r="BL65" s="27" t="str">
        <f t="shared" si="27"/>
        <v/>
      </c>
      <c r="BM65" s="21" t="s">
        <v>5581</v>
      </c>
    </row>
    <row r="66" spans="1:65" ht="15">
      <c r="A66" s="25" t="str">
        <f>IFERROR(INDEX('Hun Demand'!W:W,MATCH(O66,'Hun Demand'!A:A,0)),"")</f>
        <v/>
      </c>
      <c r="B66" s="25" t="str">
        <f>IFERROR(INDEX('Hun Demand'!V:V,MATCH(O66,'Hun Demand'!A:A,0)),"")</f>
        <v/>
      </c>
      <c r="C66" s="25" t="str">
        <f>IFERROR(INDEX('Hun Demand'!U:U,MATCH(O66,'Hun Demand'!A:A,0)),"")</f>
        <v/>
      </c>
      <c r="D66" s="25" t="str">
        <f>IFERROR(INDEX('Hun Demand'!T:T,MATCH(O66,'Hun Demand'!A:A,0)),"")</f>
        <v/>
      </c>
      <c r="E66" s="25" t="str">
        <f>IFERROR(INDEX('Hun Demand'!S:S,MATCH(O66,'Hun Demand'!A:A,0)),"")</f>
        <v/>
      </c>
      <c r="F66" s="25" t="str">
        <f>IFERROR(INDEX('Hun Demand'!R:R,MATCH(O66,'Hun Demand'!A:A,0)),"")</f>
        <v/>
      </c>
      <c r="G66" s="25">
        <f>IFERROR(INDEX('Aub Demand'!W:W,MATCH(O66,'Aub Demand'!A:A,0)),"")</f>
        <v>71</v>
      </c>
      <c r="H66" s="25">
        <f>IFERROR(INDEX('Aub Demand'!V:V,MATCH(O66,'Aub Demand'!A:A,0)),"")</f>
        <v>754</v>
      </c>
      <c r="I66" s="25">
        <f>IFERROR(INDEX('Aub Demand'!U:U,MATCH(O66,'Aub Demand'!A:A,0)),"")</f>
        <v>0</v>
      </c>
      <c r="J66" s="25">
        <f>IFERROR(INDEX('Aub Demand'!T:T,MATCH(O66,'Aub Demand'!A:A,0)),"")</f>
        <v>391</v>
      </c>
      <c r="K66" s="25">
        <f>IFERROR(INDEX('Aub Demand'!S:S,MATCH(O66,'Aub Demand'!A:A,0)),"")</f>
        <v>0</v>
      </c>
      <c r="L66" s="25">
        <f>IFERROR(INDEX('Aub Demand'!R:R,MATCH(O66,'Aub Demand'!A:A,0)),"")</f>
        <v>0</v>
      </c>
      <c r="O66" s="27" t="s">
        <v>191</v>
      </c>
      <c r="P66" s="27" t="str">
        <f>IFERROR(INDEX('Aub Demand'!B:B,MATCH($O66,'Aub Demand'!$A:$A,0)),"")</f>
        <v>SOFT LEATHER</v>
      </c>
      <c r="Q66" s="27" t="str">
        <f>IFERROR(INDEX('Aub Demand'!C:C,MATCH($O66,'Aub Demand'!$A:$A,0)),"")</f>
        <v>SAPPI</v>
      </c>
      <c r="R66" s="52">
        <f>IFERROR(IF(AR67=AR66,INDEX('Aub Demand'!K:K,MATCH($O66,'Aub Demand'!$A:$A,0))-IF(AN66="",0,AN66)+AP67,INDEX('Aub Demand'!K:K,MATCH($O66,'Aub Demand'!$A:$A,0))-IF(AN66="",0,AN66)),"")</f>
        <v>1374</v>
      </c>
      <c r="S66" s="53">
        <f t="shared" si="0"/>
        <v>45.3</v>
      </c>
      <c r="T66" s="52" t="str">
        <f t="shared" si="1"/>
        <v/>
      </c>
      <c r="U66" s="52">
        <f>IFERROR(IF(AR67=AR66,INDEX('Aub Demand'!Q:Q,MATCH($O66,'Aub Demand'!$A:$A,0))-IF(AN66="",0,AN66)+AP67,INDEX('Aub Demand'!Q:Q,MATCH($O66,'Aub Demand'!$A:$A,0))-IF(AN66="",0,AN66)),"")</f>
        <v>1363</v>
      </c>
      <c r="V66" s="53">
        <f t="shared" si="2"/>
        <v>44.9</v>
      </c>
      <c r="W66" s="52" t="str">
        <f t="shared" si="3"/>
        <v/>
      </c>
      <c r="X66" s="52">
        <f>IFERROR(IF(AND(AR67=AR66,AM66&lt;&gt;""),INDEX('Aub Demand'!Q:Q,MATCH($O66,'Aub Demand'!$A:$A,0))-IF(AN66="",0,AN66)+AP67+AD66+AL66,IF(AR67=AR66,INDEX('Aub Demand'!Q:Q,MATCH($O66,'Aub Demand'!$A:$A,0))-IF(AN66="",0,AN66)+AP67+AD66,IF(AM66&lt;&gt;"",INDEX('Aub Demand'!Q:Q,MATCH($O66,'Aub Demand'!$A:$A,0))-IF(AN66="",0,AN66)+AD66+AL66,INDEX('Aub Demand'!Q:Q,MATCH($O66,'Aub Demand'!$A:$A,0))-IF(AN66="",0,AN66)+AD66))),"")</f>
        <v>1363</v>
      </c>
      <c r="Y66" s="53">
        <f t="shared" si="4"/>
        <v>44.9</v>
      </c>
      <c r="Z66" s="52">
        <f>IF(L66="","",INDEX('Aub Demand'!H:H,MATCH($O66,'Aub Demand'!$A:$A,0)))</f>
        <v>130</v>
      </c>
      <c r="AA66" s="52" t="str">
        <f t="shared" si="5"/>
        <v>-spike-</v>
      </c>
      <c r="AB66" s="52">
        <f>IFERROR(INDEX('Aub Demand'!L:L,MATCH($O66,'Aub Demand'!$A:$A,0)),"")</f>
        <v>713</v>
      </c>
      <c r="AC66" s="52">
        <f>IFERROR(IF(O66="","",SUMIFS('CPL Mats'!F:F,'CPL Mats'!Q:Q,AR66,'CPL Mats'!S:S,AS66)),"")</f>
        <v>0</v>
      </c>
      <c r="AF66" s="25">
        <f>IF(SUMIFS('Supp Consol'!S:S,'Supp Consol'!Y:Y,"Releasable",'Supp Consol'!A:A,O66)=0,"",SUMIFS('Supp Consol'!S:S,'Supp Consol'!Y:Y,"Releasable",'Supp Consol'!A:A,O66))</f>
        <v>1939</v>
      </c>
      <c r="AG66" s="25" t="str">
        <f>IFERROR(INDEX('Hun Demand'!Q:Q,MATCH(O66,'Hun Demand'!A:A,0)),"")</f>
        <v/>
      </c>
      <c r="AH66" s="25" t="str">
        <f>IFERROR(INDEX('Hun Demand'!H:H,MATCH($O66,'Hun Demand'!$A:$A,0)),"")</f>
        <v/>
      </c>
      <c r="AI66" s="25" t="str">
        <f>IF(SUMIFS('Supp Consol'!AA:AA,'Supp Consol'!Z:Z,"Expires this month",'Supp Consol'!A:A,O66)=0,"",SUMIFS('Supp Consol'!AA:AA,'Supp Consol'!Z:Z,"Expires this month",'Supp Consol'!A:A,O66))</f>
        <v/>
      </c>
      <c r="AJ66" s="25" t="str">
        <f>IF(SUMIFS('Supp Consol'!AA:AA,'Supp Consol'!Z:Z,"Expired Previous Months",'Supp Consol'!A:A,O66)=0,"",SUMIFS('Supp Consol'!AA:AA,'Supp Consol'!Z:Z,"Expired Previous Months",'Supp Consol'!A:A,O66))</f>
        <v/>
      </c>
      <c r="AK66" s="25" t="str">
        <f>IFERROR(INDEX('Hun Release Current'!B:B,MATCH(O66,'Hun Release Current'!A:A,0)),"")</f>
        <v/>
      </c>
      <c r="AL66" s="25" t="str">
        <f>IF(SUMIF('Prev Aub'!A:A,O66,'Prev Aub'!B:B)=0,"",SUMIF('Prev Aub'!A:A,O66,'Prev Aub'!B:B))</f>
        <v/>
      </c>
      <c r="AN66" s="25" t="s">
        <v>3790</v>
      </c>
      <c r="AO66" s="25" t="s">
        <v>3790</v>
      </c>
      <c r="AP66" s="25">
        <f t="shared" si="6"/>
        <v>0</v>
      </c>
      <c r="AQ66" s="151" t="str">
        <f>IF(SUMIFS('Supp Consol'!S:S,'Supp Consol'!A:A,O66,'Supp Consol'!I:I,"PENDING")=0,"",SUMIFS('Supp Consol'!S:S,'Supp Consol'!A:A,O66,'Supp Consol'!I:I,"PENDING"))</f>
        <v/>
      </c>
      <c r="AR66" s="27" t="str">
        <f t="shared" si="7"/>
        <v>00312</v>
      </c>
      <c r="AS66" s="27" t="str">
        <f t="shared" si="8"/>
        <v>50</v>
      </c>
      <c r="AT66" s="27" t="str">
        <f t="shared" si="9"/>
        <v/>
      </c>
      <c r="AU66" s="27" t="str">
        <f t="shared" si="10"/>
        <v/>
      </c>
      <c r="AV66" s="27" t="str">
        <f t="shared" si="11"/>
        <v/>
      </c>
      <c r="AW66" s="27" t="str">
        <f t="shared" si="12"/>
        <v/>
      </c>
      <c r="AX66" s="27" t="str">
        <f t="shared" si="13"/>
        <v>00312</v>
      </c>
      <c r="AY66" s="27" t="str">
        <f t="shared" si="14"/>
        <v/>
      </c>
      <c r="AZ66" s="27" t="str">
        <f t="shared" si="15"/>
        <v>Supp</v>
      </c>
      <c r="BA66" s="27" t="str">
        <f t="shared" si="16"/>
        <v/>
      </c>
      <c r="BB66" s="27" t="str">
        <f t="shared" si="17"/>
        <v/>
      </c>
      <c r="BC66" s="27" t="str">
        <f t="shared" si="18"/>
        <v/>
      </c>
      <c r="BD66" s="27" t="str">
        <f t="shared" si="19"/>
        <v/>
      </c>
      <c r="BE66" s="27" t="str">
        <f t="shared" si="20"/>
        <v/>
      </c>
      <c r="BF66" s="27" t="str">
        <f t="shared" si="21"/>
        <v/>
      </c>
      <c r="BG66" s="27" t="str">
        <f t="shared" si="22"/>
        <v/>
      </c>
      <c r="BH66" s="27" t="str">
        <f t="shared" si="23"/>
        <v/>
      </c>
      <c r="BI66" s="27" t="str">
        <f t="shared" si="24"/>
        <v/>
      </c>
      <c r="BJ66" s="27" t="str">
        <f t="shared" si="25"/>
        <v>Supp or Hun</v>
      </c>
      <c r="BK66" s="27" t="str">
        <f t="shared" si="26"/>
        <v/>
      </c>
      <c r="BL66" s="27" t="str">
        <f t="shared" si="27"/>
        <v/>
      </c>
      <c r="BM66" s="21" t="s">
        <v>5581</v>
      </c>
    </row>
    <row r="67" spans="1:65" ht="15">
      <c r="A67" s="25" t="str">
        <f>IFERROR(INDEX('Hun Demand'!W:W,MATCH(O67,'Hun Demand'!A:A,0)),"")</f>
        <v/>
      </c>
      <c r="B67" s="25" t="str">
        <f>IFERROR(INDEX('Hun Demand'!V:V,MATCH(O67,'Hun Demand'!A:A,0)),"")</f>
        <v/>
      </c>
      <c r="C67" s="25" t="str">
        <f>IFERROR(INDEX('Hun Demand'!U:U,MATCH(O67,'Hun Demand'!A:A,0)),"")</f>
        <v/>
      </c>
      <c r="D67" s="25" t="str">
        <f>IFERROR(INDEX('Hun Demand'!T:T,MATCH(O67,'Hun Demand'!A:A,0)),"")</f>
        <v/>
      </c>
      <c r="E67" s="25" t="str">
        <f>IFERROR(INDEX('Hun Demand'!S:S,MATCH(O67,'Hun Demand'!A:A,0)),"")</f>
        <v/>
      </c>
      <c r="F67" s="25" t="str">
        <f>IFERROR(INDEX('Hun Demand'!R:R,MATCH(O67,'Hun Demand'!A:A,0)),"")</f>
        <v/>
      </c>
      <c r="G67" s="25">
        <f>IFERROR(INDEX('Aub Demand'!W:W,MATCH(O67,'Aub Demand'!A:A,0)),"")</f>
        <v>73</v>
      </c>
      <c r="H67" s="25">
        <f>IFERROR(INDEX('Aub Demand'!V:V,MATCH(O67,'Aub Demand'!A:A,0)),"")</f>
        <v>267</v>
      </c>
      <c r="I67" s="25">
        <f>IFERROR(INDEX('Aub Demand'!U:U,MATCH(O67,'Aub Demand'!A:A,0)),"")</f>
        <v>473</v>
      </c>
      <c r="J67" s="25">
        <f>IFERROR(INDEX('Aub Demand'!T:T,MATCH(O67,'Aub Demand'!A:A,0)),"")</f>
        <v>383</v>
      </c>
      <c r="K67" s="25">
        <f>IFERROR(INDEX('Aub Demand'!S:S,MATCH(O67,'Aub Demand'!A:A,0)),"")</f>
        <v>0</v>
      </c>
      <c r="L67" s="25">
        <f>IFERROR(INDEX('Aub Demand'!R:R,MATCH(O67,'Aub Demand'!A:A,0)),"")</f>
        <v>0</v>
      </c>
      <c r="O67" s="27" t="s">
        <v>193</v>
      </c>
      <c r="P67" s="27" t="str">
        <f>IFERROR(INDEX('Aub Demand'!B:B,MATCH($O67,'Aub Demand'!$A:$A,0)),"")</f>
        <v>SOFT LEATHER</v>
      </c>
      <c r="Q67" s="27" t="str">
        <f>IFERROR(INDEX('Aub Demand'!C:C,MATCH($O67,'Aub Demand'!$A:$A,0)),"")</f>
        <v>SAPPI</v>
      </c>
      <c r="R67" s="52">
        <f>IFERROR(IF(AR68=AR67,INDEX('Aub Demand'!K:K,MATCH($O67,'Aub Demand'!$A:$A,0))-IF(AN67="",0,AN67)+AP68,INDEX('Aub Demand'!K:K,MATCH($O67,'Aub Demand'!$A:$A,0))-IF(AN67="",0,AN67)),"")</f>
        <v>1389</v>
      </c>
      <c r="S67" s="53">
        <f t="shared" ref="S67:S130" si="28">IFERROR(IF(O67="","",ROUND(R67/((Z67/30)*7),1)),"n/a")</f>
        <v>20.9</v>
      </c>
      <c r="T67" s="52" t="str">
        <f t="shared" ref="T67:T130" si="29">IFERROR(IF(S67&lt;3.1,IF(AA67="spike",(3-S67)*(Z67/4),(3-S67)*(AA67/4)),""),"")</f>
        <v/>
      </c>
      <c r="U67" s="52">
        <f>IFERROR(IF(AR68=AR67,INDEX('Aub Demand'!Q:Q,MATCH($O67,'Aub Demand'!$A:$A,0))-IF(AN67="",0,AN67)+AP68,INDEX('Aub Demand'!Q:Q,MATCH($O67,'Aub Demand'!$A:$A,0))-IF(AN67="",0,AN67)),"")</f>
        <v>1389</v>
      </c>
      <c r="V67" s="53">
        <f t="shared" ref="V67:V130" si="30">IFERROR(IF(O67="","",ROUND(U67/((Z67/30)*7),1)),"n/a")</f>
        <v>20.9</v>
      </c>
      <c r="W67" s="52" t="str">
        <f t="shared" ref="W67:W130" si="31">IF(IFERROR(IF(V67&lt;3.1,IF(AA67="spike",(3-V67)*(Z67/4),(3-V67)*(AA67/4)),""),"")&lt;0,0,IFERROR(IF(V67&lt;3.1,IF(AA67="spike",(3-V67)*(Z67/4),(3-V67)*(AA67/4)),""),""))</f>
        <v/>
      </c>
      <c r="X67" s="52">
        <f>IFERROR(IF(AND(AR68=AR67,AM67&lt;&gt;""),INDEX('Aub Demand'!Q:Q,MATCH($O67,'Aub Demand'!$A:$A,0))-IF(AN67="",0,AN67)+AP68+AD67+AL67,IF(AR68=AR67,INDEX('Aub Demand'!Q:Q,MATCH($O67,'Aub Demand'!$A:$A,0))-IF(AN67="",0,AN67)+AP68+AD67,IF(AM67&lt;&gt;"",INDEX('Aub Demand'!Q:Q,MATCH($O67,'Aub Demand'!$A:$A,0))-IF(AN67="",0,AN67)+AD67+AL67,INDEX('Aub Demand'!Q:Q,MATCH($O67,'Aub Demand'!$A:$A,0))-IF(AN67="",0,AN67)+AD67))),"")</f>
        <v>1389</v>
      </c>
      <c r="Y67" s="53">
        <f t="shared" ref="Y67:Y130" si="32">IFERROR(IF(O67="","",ROUND(X67/((Z67/30)*7),1)),"n/a")</f>
        <v>20.9</v>
      </c>
      <c r="Z67" s="52">
        <f>IF(L67="","",INDEX('Aub Demand'!H:H,MATCH($O67,'Aub Demand'!$A:$A,0)))</f>
        <v>285</v>
      </c>
      <c r="AA67" s="52">
        <f t="shared" ref="AA67:AA130" si="33">IF(L67="","",IF(LARGE(I67:L67,2)=0,"-spike-",AVERAGE(LARGE(I67:L67,1),LARGE(I67:L67,2))))</f>
        <v>428</v>
      </c>
      <c r="AB67" s="52">
        <f>IFERROR(INDEX('Aub Demand'!L:L,MATCH($O67,'Aub Demand'!$A:$A,0)),"")</f>
        <v>299</v>
      </c>
      <c r="AC67" s="52">
        <f>IFERROR(IF(O67="","",SUMIFS('CPL Mats'!F:F,'CPL Mats'!Q:Q,AR67,'CPL Mats'!S:S,AS67)),"")</f>
        <v>0</v>
      </c>
      <c r="AF67" s="25" t="str">
        <f>IF(SUMIFS('Supp Consol'!S:S,'Supp Consol'!Y:Y,"Releasable",'Supp Consol'!A:A,O67)=0,"",SUMIFS('Supp Consol'!S:S,'Supp Consol'!Y:Y,"Releasable",'Supp Consol'!A:A,O67))</f>
        <v/>
      </c>
      <c r="AG67" s="25" t="str">
        <f>IFERROR(INDEX('Hun Demand'!Q:Q,MATCH(O67,'Hun Demand'!A:A,0)),"")</f>
        <v/>
      </c>
      <c r="AH67" s="25" t="str">
        <f>IFERROR(INDEX('Hun Demand'!H:H,MATCH($O67,'Hun Demand'!$A:$A,0)),"")</f>
        <v/>
      </c>
      <c r="AI67" s="25" t="str">
        <f>IF(SUMIFS('Supp Consol'!AA:AA,'Supp Consol'!Z:Z,"Expires this month",'Supp Consol'!A:A,O67)=0,"",SUMIFS('Supp Consol'!AA:AA,'Supp Consol'!Z:Z,"Expires this month",'Supp Consol'!A:A,O67))</f>
        <v/>
      </c>
      <c r="AJ67" s="25" t="str">
        <f>IF(SUMIFS('Supp Consol'!AA:AA,'Supp Consol'!Z:Z,"Expired Previous Months",'Supp Consol'!A:A,O67)=0,"",SUMIFS('Supp Consol'!AA:AA,'Supp Consol'!Z:Z,"Expired Previous Months",'Supp Consol'!A:A,O67))</f>
        <v/>
      </c>
      <c r="AK67" s="25" t="str">
        <f>IFERROR(INDEX('Hun Release Current'!B:B,MATCH(O67,'Hun Release Current'!A:A,0)),"")</f>
        <v/>
      </c>
      <c r="AL67" s="25" t="str">
        <f>IF(SUMIF('Prev Aub'!A:A,O67,'Prev Aub'!B:B)=0,"",SUMIF('Prev Aub'!A:A,O67,'Prev Aub'!B:B))</f>
        <v/>
      </c>
      <c r="AN67" s="25" t="s">
        <v>3790</v>
      </c>
      <c r="AO67" s="25" t="s">
        <v>3790</v>
      </c>
      <c r="AP67" s="25">
        <f t="shared" ref="AP67:AP130" si="34">IFERROR(IF(O67="","",IF(AN67="",0,VALUE(AN67)-(VALUE(AN67)*0.2))),"")</f>
        <v>0</v>
      </c>
      <c r="AQ67" s="151" t="str">
        <f>IF(SUMIFS('Supp Consol'!S:S,'Supp Consol'!A:A,O67,'Supp Consol'!I:I,"PENDING")=0,"",SUMIFS('Supp Consol'!S:S,'Supp Consol'!A:A,O67,'Supp Consol'!I:I,"PENDING"))</f>
        <v/>
      </c>
      <c r="AR67" s="27" t="str">
        <f t="shared" ref="AR67:AR130" si="35">MID(O67,4,5)</f>
        <v>00312</v>
      </c>
      <c r="AS67" s="27" t="str">
        <f t="shared" ref="AS67:AS130" si="36">MID(O67,10,2)</f>
        <v>62</v>
      </c>
      <c r="AT67" s="27" t="str">
        <f t="shared" ref="AT67:AT130" si="37">IF(S67&lt;3.1,AR67,"")</f>
        <v/>
      </c>
      <c r="AU67" s="27" t="str">
        <f t="shared" ref="AU67:AU130" si="38">IF(Y67&lt;3.1,AR67,"")</f>
        <v/>
      </c>
      <c r="AV67" s="27" t="str">
        <f t="shared" ref="AV67:AV130" si="39">IF(AND(AA67="Spike",L67=0,K67=0,X67&gt;=0),"",IF(Y67&lt;3.1,AR67,""))</f>
        <v/>
      </c>
      <c r="AW67" s="27" t="str">
        <f t="shared" ref="AW67:AW130" si="40">IF(AI67=AL67,"",IF(OR(AI67&lt;&gt;"",AJ67&lt;&gt;""),AR67,""))</f>
        <v/>
      </c>
      <c r="AX67" s="27" t="str">
        <f t="shared" ref="AX67:AX130" si="41">IF(AF67&lt;&gt;"",AR67,"")</f>
        <v/>
      </c>
      <c r="AY67" s="27" t="str">
        <f t="shared" ref="AY67:AY130" si="42">IF(AND(AG67&lt;&gt;"",AG67&gt;AH67),AR67,"")</f>
        <v/>
      </c>
      <c r="AZ67" s="27" t="str">
        <f t="shared" ref="AZ67:AZ130" si="43">IFERROR(IF(O67="","",IF(ISERROR(MATCH(AR67,AX:AX,0)),"","Supp")),"")</f>
        <v>Supp</v>
      </c>
      <c r="BA67" s="27" t="str">
        <f t="shared" ref="BA67:BA130" si="44">IFERROR(IF(O67="","",IF(ISERROR(MATCH(AR67,AY:AY,0)),"","Hun")),"")</f>
        <v/>
      </c>
      <c r="BB67" s="27" t="str">
        <f t="shared" ref="BB67:BB130" si="45">IFERROR(IF(O67="","",IF(ISERROR(MATCH(AR67,AT:AT,0)),"","Gross")),"")</f>
        <v/>
      </c>
      <c r="BC67" s="27" t="str">
        <f t="shared" ref="BC67:BC130" si="46">IFERROR(IF(O67="","",IF(ISERROR(MATCH(AR67,AU:AU,0)),"","Net")),"")</f>
        <v/>
      </c>
      <c r="BD67" s="27" t="str">
        <f t="shared" ref="BD67:BD130" si="47">IFERROR(IF(O67="","",IF(ISERROR(MATCH(AR67,AV:AV,0)),"","Net")),"")</f>
        <v/>
      </c>
      <c r="BE67" s="27" t="str">
        <f t="shared" ref="BE67:BE130" si="48">IFERROR(IF(O67="","",IF(ISERROR(MATCH(AR67,AW:AW,0)),"","Exp")),"")</f>
        <v/>
      </c>
      <c r="BF67" s="27" t="str">
        <f t="shared" ref="BF67:BF130" si="49">IFERROR(IF(O67="","",IF(AND(AZ67="Supp",BC67="Net"),"S+N","")),"")</f>
        <v/>
      </c>
      <c r="BG67" s="27" t="str">
        <f t="shared" ref="BG67:BG130" si="50">IFERROR(IF(O67="","",IF(OR(BE67&lt;&gt;"",BF67&lt;&gt;""),"S+NorE","")),"")</f>
        <v/>
      </c>
      <c r="BH67" s="27" t="str">
        <f t="shared" ref="BH67:BH130" si="51">IFERROR(IF(O67="","",IF(AND(BA67&lt;&gt;"",BC67&lt;&gt;""),"H+N","")),"")</f>
        <v/>
      </c>
      <c r="BI67" s="27" t="str">
        <f t="shared" ref="BI67:BI130" si="52">IFERROR(IF(O67="","",IF(AND(BA67&lt;&gt;"",BD67&lt;&gt;""),"H+Nex","")),"")</f>
        <v/>
      </c>
      <c r="BJ67" s="27" t="str">
        <f t="shared" ref="BJ67:BJ130" si="53">IF(OR(AZ67&lt;&gt;"",BA67&lt;&gt;""),"Supp or Hun","")</f>
        <v>Supp or Hun</v>
      </c>
      <c r="BK67" s="27" t="str">
        <f t="shared" ref="BK67:BK130" si="54">IF(AND(BJ67&lt;&gt;"",BC67&lt;&gt;""),"Supp or Hun Need","")</f>
        <v/>
      </c>
      <c r="BL67" s="27" t="str">
        <f t="shared" ref="BL67:BL130" si="55">IF(OR(BK67&lt;&gt;"",BE67&lt;&gt;""),"SorHandNandE","")</f>
        <v/>
      </c>
      <c r="BM67" s="21" t="s">
        <v>5581</v>
      </c>
    </row>
    <row r="68" spans="1:65" ht="15">
      <c r="A68" s="25" t="str">
        <f>IFERROR(INDEX('Hun Demand'!W:W,MATCH(O68,'Hun Demand'!A:A,0)),"")</f>
        <v/>
      </c>
      <c r="B68" s="25" t="str">
        <f>IFERROR(INDEX('Hun Demand'!V:V,MATCH(O68,'Hun Demand'!A:A,0)),"")</f>
        <v/>
      </c>
      <c r="C68" s="25" t="str">
        <f>IFERROR(INDEX('Hun Demand'!U:U,MATCH(O68,'Hun Demand'!A:A,0)),"")</f>
        <v/>
      </c>
      <c r="D68" s="25" t="str">
        <f>IFERROR(INDEX('Hun Demand'!T:T,MATCH(O68,'Hun Demand'!A:A,0)),"")</f>
        <v/>
      </c>
      <c r="E68" s="25" t="str">
        <f>IFERROR(INDEX('Hun Demand'!S:S,MATCH(O68,'Hun Demand'!A:A,0)),"")</f>
        <v/>
      </c>
      <c r="F68" s="25" t="str">
        <f>IFERROR(INDEX('Hun Demand'!R:R,MATCH(O68,'Hun Demand'!A:A,0)),"")</f>
        <v/>
      </c>
      <c r="G68" s="25">
        <f>IFERROR(INDEX('Aub Demand'!W:W,MATCH(O68,'Aub Demand'!A:A,0)),"")</f>
        <v>0</v>
      </c>
      <c r="H68" s="25">
        <f>IFERROR(INDEX('Aub Demand'!V:V,MATCH(O68,'Aub Demand'!A:A,0)),"")</f>
        <v>0</v>
      </c>
      <c r="I68" s="25">
        <f>IFERROR(INDEX('Aub Demand'!U:U,MATCH(O68,'Aub Demand'!A:A,0)),"")</f>
        <v>0</v>
      </c>
      <c r="J68" s="25">
        <f>IFERROR(INDEX('Aub Demand'!T:T,MATCH(O68,'Aub Demand'!A:A,0)),"")</f>
        <v>479</v>
      </c>
      <c r="K68" s="25">
        <f>IFERROR(INDEX('Aub Demand'!S:S,MATCH(O68,'Aub Demand'!A:A,0)),"")</f>
        <v>504</v>
      </c>
      <c r="L68" s="25">
        <f>IFERROR(INDEX('Aub Demand'!R:R,MATCH(O68,'Aub Demand'!A:A,0)),"")</f>
        <v>0</v>
      </c>
      <c r="O68" s="27" t="s">
        <v>194</v>
      </c>
      <c r="P68" s="27" t="str">
        <f>IFERROR(INDEX('Aub Demand'!B:B,MATCH($O68,'Aub Demand'!$A:$A,0)),"")</f>
        <v>NEWSPRINT</v>
      </c>
      <c r="Q68" s="27" t="str">
        <f>IFERROR(INDEX('Aub Demand'!C:C,MATCH($O68,'Aub Demand'!$A:$A,0)),"")</f>
        <v>MILL</v>
      </c>
      <c r="R68" s="52">
        <f>IFERROR(IF(AR69=AR68,INDEX('Aub Demand'!K:K,MATCH($O68,'Aub Demand'!$A:$A,0))-IF(AN68="",0,AN68)+AP69,INDEX('Aub Demand'!K:K,MATCH($O68,'Aub Demand'!$A:$A,0))-IF(AN68="",0,AN68)),"")</f>
        <v>379</v>
      </c>
      <c r="S68" s="53">
        <f t="shared" si="28"/>
        <v>5</v>
      </c>
      <c r="T68" s="52" t="str">
        <f t="shared" si="29"/>
        <v/>
      </c>
      <c r="U68" s="52">
        <f>IFERROR(IF(AR69=AR68,INDEX('Aub Demand'!Q:Q,MATCH($O68,'Aub Demand'!$A:$A,0))-IF(AN68="",0,AN68)+AP69,INDEX('Aub Demand'!Q:Q,MATCH($O68,'Aub Demand'!$A:$A,0))-IF(AN68="",0,AN68)),"")</f>
        <v>379</v>
      </c>
      <c r="V68" s="53">
        <f t="shared" si="30"/>
        <v>5</v>
      </c>
      <c r="W68" s="52" t="str">
        <f t="shared" si="31"/>
        <v/>
      </c>
      <c r="X68" s="52">
        <f>IFERROR(IF(AND(AR69=AR68,AM68&lt;&gt;""),INDEX('Aub Demand'!Q:Q,MATCH($O68,'Aub Demand'!$A:$A,0))-IF(AN68="",0,AN68)+AP69+AD68+AL68,IF(AR69=AR68,INDEX('Aub Demand'!Q:Q,MATCH($O68,'Aub Demand'!$A:$A,0))-IF(AN68="",0,AN68)+AP69+AD68,IF(AM68&lt;&gt;"",INDEX('Aub Demand'!Q:Q,MATCH($O68,'Aub Demand'!$A:$A,0))-IF(AN68="",0,AN68)+AD68+AL68,INDEX('Aub Demand'!Q:Q,MATCH($O68,'Aub Demand'!$A:$A,0))-IF(AN68="",0,AN68)+AD68))),"")</f>
        <v>379</v>
      </c>
      <c r="Y68" s="53">
        <f t="shared" si="32"/>
        <v>5</v>
      </c>
      <c r="Z68" s="52">
        <f>IF(L68="","",INDEX('Aub Demand'!H:H,MATCH($O68,'Aub Demand'!$A:$A,0)))</f>
        <v>328</v>
      </c>
      <c r="AA68" s="52">
        <f t="shared" si="33"/>
        <v>491.5</v>
      </c>
      <c r="AB68" s="52">
        <f>IFERROR(INDEX('Aub Demand'!L:L,MATCH($O68,'Aub Demand'!$A:$A,0)),"")</f>
        <v>0</v>
      </c>
      <c r="AC68" s="52">
        <f>IFERROR(IF(O68="","",SUMIFS('CPL Mats'!F:F,'CPL Mats'!Q:Q,AR68,'CPL Mats'!S:S,AS68)),"")</f>
        <v>0</v>
      </c>
      <c r="AF68" s="25" t="str">
        <f>IF(SUMIFS('Supp Consol'!S:S,'Supp Consol'!Y:Y,"Releasable",'Supp Consol'!A:A,O68)=0,"",SUMIFS('Supp Consol'!S:S,'Supp Consol'!Y:Y,"Releasable",'Supp Consol'!A:A,O68))</f>
        <v/>
      </c>
      <c r="AG68" s="25" t="str">
        <f>IFERROR(INDEX('Hun Demand'!Q:Q,MATCH(O68,'Hun Demand'!A:A,0)),"")</f>
        <v/>
      </c>
      <c r="AH68" s="25" t="str">
        <f>IFERROR(INDEX('Hun Demand'!H:H,MATCH($O68,'Hun Demand'!$A:$A,0)),"")</f>
        <v/>
      </c>
      <c r="AI68" s="25" t="str">
        <f>IF(SUMIFS('Supp Consol'!AA:AA,'Supp Consol'!Z:Z,"Expires this month",'Supp Consol'!A:A,O68)=0,"",SUMIFS('Supp Consol'!AA:AA,'Supp Consol'!Z:Z,"Expires this month",'Supp Consol'!A:A,O68))</f>
        <v/>
      </c>
      <c r="AJ68" s="25" t="str">
        <f>IF(SUMIFS('Supp Consol'!AA:AA,'Supp Consol'!Z:Z,"Expired Previous Months",'Supp Consol'!A:A,O68)=0,"",SUMIFS('Supp Consol'!AA:AA,'Supp Consol'!Z:Z,"Expired Previous Months",'Supp Consol'!A:A,O68))</f>
        <v/>
      </c>
      <c r="AK68" s="25" t="str">
        <f>IFERROR(INDEX('Hun Release Current'!B:B,MATCH(O68,'Hun Release Current'!A:A,0)),"")</f>
        <v/>
      </c>
      <c r="AL68" s="25" t="str">
        <f>IF(SUMIF('Prev Aub'!A:A,O68,'Prev Aub'!B:B)=0,"",SUMIF('Prev Aub'!A:A,O68,'Prev Aub'!B:B))</f>
        <v/>
      </c>
      <c r="AN68" s="25" t="s">
        <v>3790</v>
      </c>
      <c r="AO68" s="25" t="s">
        <v>3790</v>
      </c>
      <c r="AP68" s="25">
        <f t="shared" si="34"/>
        <v>0</v>
      </c>
      <c r="AQ68" s="151" t="str">
        <f>IF(SUMIFS('Supp Consol'!S:S,'Supp Consol'!A:A,O68,'Supp Consol'!I:I,"PENDING")=0,"",SUMIFS('Supp Consol'!S:S,'Supp Consol'!A:A,O68,'Supp Consol'!I:I,"PENDING"))</f>
        <v/>
      </c>
      <c r="AR68" s="27" t="str">
        <f t="shared" si="35"/>
        <v>00317</v>
      </c>
      <c r="AS68" s="27" t="str">
        <f t="shared" si="36"/>
        <v>37</v>
      </c>
      <c r="AT68" s="27" t="str">
        <f t="shared" si="37"/>
        <v/>
      </c>
      <c r="AU68" s="27" t="str">
        <f t="shared" si="38"/>
        <v/>
      </c>
      <c r="AV68" s="27" t="str">
        <f t="shared" si="39"/>
        <v/>
      </c>
      <c r="AW68" s="27" t="str">
        <f t="shared" si="40"/>
        <v/>
      </c>
      <c r="AX68" s="27" t="str">
        <f t="shared" si="41"/>
        <v/>
      </c>
      <c r="AY68" s="27" t="str">
        <f t="shared" si="42"/>
        <v/>
      </c>
      <c r="AZ68" s="27" t="str">
        <f t="shared" si="43"/>
        <v/>
      </c>
      <c r="BA68" s="27" t="str">
        <f t="shared" si="44"/>
        <v/>
      </c>
      <c r="BB68" s="27" t="str">
        <f t="shared" si="45"/>
        <v/>
      </c>
      <c r="BC68" s="27" t="str">
        <f t="shared" si="46"/>
        <v/>
      </c>
      <c r="BD68" s="27" t="str">
        <f t="shared" si="47"/>
        <v/>
      </c>
      <c r="BE68" s="27" t="str">
        <f t="shared" si="48"/>
        <v/>
      </c>
      <c r="BF68" s="27" t="str">
        <f t="shared" si="49"/>
        <v/>
      </c>
      <c r="BG68" s="27" t="str">
        <f t="shared" si="50"/>
        <v/>
      </c>
      <c r="BH68" s="27" t="str">
        <f t="shared" si="51"/>
        <v/>
      </c>
      <c r="BI68" s="27" t="str">
        <f t="shared" si="52"/>
        <v/>
      </c>
      <c r="BJ68" s="27" t="str">
        <f t="shared" si="53"/>
        <v/>
      </c>
      <c r="BK68" s="27" t="str">
        <f t="shared" si="54"/>
        <v/>
      </c>
      <c r="BL68" s="27" t="str">
        <f t="shared" si="55"/>
        <v/>
      </c>
      <c r="BM68" s="21" t="s">
        <v>5581</v>
      </c>
    </row>
    <row r="69" spans="1:65" ht="15">
      <c r="A69" s="25" t="str">
        <f>IFERROR(INDEX('Hun Demand'!W:W,MATCH(O69,'Hun Demand'!A:A,0)),"")</f>
        <v/>
      </c>
      <c r="B69" s="25" t="str">
        <f>IFERROR(INDEX('Hun Demand'!V:V,MATCH(O69,'Hun Demand'!A:A,0)),"")</f>
        <v/>
      </c>
      <c r="C69" s="25" t="str">
        <f>IFERROR(INDEX('Hun Demand'!U:U,MATCH(O69,'Hun Demand'!A:A,0)),"")</f>
        <v/>
      </c>
      <c r="D69" s="25" t="str">
        <f>IFERROR(INDEX('Hun Demand'!T:T,MATCH(O69,'Hun Demand'!A:A,0)),"")</f>
        <v/>
      </c>
      <c r="E69" s="25" t="str">
        <f>IFERROR(INDEX('Hun Demand'!S:S,MATCH(O69,'Hun Demand'!A:A,0)),"")</f>
        <v/>
      </c>
      <c r="F69" s="25" t="str">
        <f>IFERROR(INDEX('Hun Demand'!R:R,MATCH(O69,'Hun Demand'!A:A,0)),"")</f>
        <v/>
      </c>
      <c r="G69" s="25">
        <f>IFERROR(INDEX('Aub Demand'!W:W,MATCH(O69,'Aub Demand'!A:A,0)),"")</f>
        <v>10299</v>
      </c>
      <c r="H69" s="25">
        <f>IFERROR(INDEX('Aub Demand'!V:V,MATCH(O69,'Aub Demand'!A:A,0)),"")</f>
        <v>10134</v>
      </c>
      <c r="I69" s="25">
        <f>IFERROR(INDEX('Aub Demand'!U:U,MATCH(O69,'Aub Demand'!A:A,0)),"")</f>
        <v>9940</v>
      </c>
      <c r="J69" s="25">
        <f>IFERROR(INDEX('Aub Demand'!T:T,MATCH(O69,'Aub Demand'!A:A,0)),"")</f>
        <v>8488</v>
      </c>
      <c r="K69" s="25">
        <f>IFERROR(INDEX('Aub Demand'!S:S,MATCH(O69,'Aub Demand'!A:A,0)),"")</f>
        <v>11085</v>
      </c>
      <c r="L69" s="25">
        <f>IFERROR(INDEX('Aub Demand'!R:R,MATCH(O69,'Aub Demand'!A:A,0)),"")</f>
        <v>0</v>
      </c>
      <c r="O69" s="27" t="s">
        <v>197</v>
      </c>
      <c r="P69" s="27" t="str">
        <f>IFERROR(INDEX('Aub Demand'!B:B,MATCH($O69,'Aub Demand'!$A:$A,0)),"")</f>
        <v>NEWSPRINT</v>
      </c>
      <c r="Q69" s="27" t="str">
        <f>IFERROR(INDEX('Aub Demand'!C:C,MATCH($O69,'Aub Demand'!$A:$A,0)),"")</f>
        <v>MILL</v>
      </c>
      <c r="R69" s="52">
        <f>IFERROR(IF(AR70=AR69,INDEX('Aub Demand'!K:K,MATCH($O69,'Aub Demand'!$A:$A,0))-IF(AN69="",0,AN69)+AP70,INDEX('Aub Demand'!K:K,MATCH($O69,'Aub Demand'!$A:$A,0))-IF(AN69="",0,AN69)),"")</f>
        <v>42027</v>
      </c>
      <c r="S69" s="53">
        <f t="shared" si="28"/>
        <v>18.3</v>
      </c>
      <c r="T69" s="52" t="str">
        <f t="shared" si="29"/>
        <v/>
      </c>
      <c r="U69" s="52">
        <f>IFERROR(IF(AR70=AR69,INDEX('Aub Demand'!Q:Q,MATCH($O69,'Aub Demand'!$A:$A,0))-IF(AN69="",0,AN69)+AP70,INDEX('Aub Demand'!Q:Q,MATCH($O69,'Aub Demand'!$A:$A,0))-IF(AN69="",0,AN69)),"")</f>
        <v>42017</v>
      </c>
      <c r="V69" s="53">
        <f t="shared" si="30"/>
        <v>18.3</v>
      </c>
      <c r="W69" s="52" t="str">
        <f t="shared" si="31"/>
        <v/>
      </c>
      <c r="X69" s="52">
        <f>IFERROR(IF(AND(AR70=AR69,AM69&lt;&gt;""),INDEX('Aub Demand'!Q:Q,MATCH($O69,'Aub Demand'!$A:$A,0))-IF(AN69="",0,AN69)+AP70+AD69+AL69,IF(AR70=AR69,INDEX('Aub Demand'!Q:Q,MATCH($O69,'Aub Demand'!$A:$A,0))-IF(AN69="",0,AN69)+AP70+AD69,IF(AM69&lt;&gt;"",INDEX('Aub Demand'!Q:Q,MATCH($O69,'Aub Demand'!$A:$A,0))-IF(AN69="",0,AN69)+AD69+AL69,INDEX('Aub Demand'!Q:Q,MATCH($O69,'Aub Demand'!$A:$A,0))-IF(AN69="",0,AN69)+AD69))),"")</f>
        <v>42017</v>
      </c>
      <c r="Y69" s="53">
        <f t="shared" si="32"/>
        <v>18.3</v>
      </c>
      <c r="Z69" s="52">
        <f>IF(L69="","",INDEX('Aub Demand'!H:H,MATCH($O69,'Aub Demand'!$A:$A,0)))</f>
        <v>9838</v>
      </c>
      <c r="AA69" s="52">
        <f t="shared" si="33"/>
        <v>10512.5</v>
      </c>
      <c r="AB69" s="52">
        <f>IFERROR(INDEX('Aub Demand'!L:L,MATCH($O69,'Aub Demand'!$A:$A,0)),"")</f>
        <v>2232</v>
      </c>
      <c r="AC69" s="52">
        <f>IFERROR(IF(O69="","",SUMIFS('CPL Mats'!F:F,'CPL Mats'!Q:Q,AR69,'CPL Mats'!S:S,AS69)),"")</f>
        <v>0</v>
      </c>
      <c r="AF69" s="25" t="str">
        <f>IF(SUMIFS('Supp Consol'!S:S,'Supp Consol'!Y:Y,"Releasable",'Supp Consol'!A:A,O69)=0,"",SUMIFS('Supp Consol'!S:S,'Supp Consol'!Y:Y,"Releasable",'Supp Consol'!A:A,O69))</f>
        <v/>
      </c>
      <c r="AG69" s="25" t="str">
        <f>IFERROR(INDEX('Hun Demand'!Q:Q,MATCH(O69,'Hun Demand'!A:A,0)),"")</f>
        <v/>
      </c>
      <c r="AH69" s="25" t="str">
        <f>IFERROR(INDEX('Hun Demand'!H:H,MATCH($O69,'Hun Demand'!$A:$A,0)),"")</f>
        <v/>
      </c>
      <c r="AI69" s="25" t="str">
        <f>IF(SUMIFS('Supp Consol'!AA:AA,'Supp Consol'!Z:Z,"Expires this month",'Supp Consol'!A:A,O69)=0,"",SUMIFS('Supp Consol'!AA:AA,'Supp Consol'!Z:Z,"Expires this month",'Supp Consol'!A:A,O69))</f>
        <v/>
      </c>
      <c r="AJ69" s="25" t="str">
        <f>IF(SUMIFS('Supp Consol'!AA:AA,'Supp Consol'!Z:Z,"Expired Previous Months",'Supp Consol'!A:A,O69)=0,"",SUMIFS('Supp Consol'!AA:AA,'Supp Consol'!Z:Z,"Expired Previous Months",'Supp Consol'!A:A,O69))</f>
        <v/>
      </c>
      <c r="AK69" s="25" t="str">
        <f>IFERROR(INDEX('Hun Release Current'!B:B,MATCH(O69,'Hun Release Current'!A:A,0)),"")</f>
        <v/>
      </c>
      <c r="AL69" s="25" t="str">
        <f>IF(SUMIF('Prev Aub'!A:A,O69,'Prev Aub'!B:B)=0,"",SUMIF('Prev Aub'!A:A,O69,'Prev Aub'!B:B))</f>
        <v/>
      </c>
      <c r="AN69" s="25" t="s">
        <v>3790</v>
      </c>
      <c r="AO69" s="25" t="s">
        <v>3790</v>
      </c>
      <c r="AP69" s="25">
        <f t="shared" si="34"/>
        <v>0</v>
      </c>
      <c r="AQ69" s="151" t="str">
        <f>IF(SUMIFS('Supp Consol'!S:S,'Supp Consol'!A:A,O69,'Supp Consol'!I:I,"PENDING")=0,"",SUMIFS('Supp Consol'!S:S,'Supp Consol'!A:A,O69,'Supp Consol'!I:I,"PENDING"))</f>
        <v/>
      </c>
      <c r="AR69" s="27" t="str">
        <f t="shared" si="35"/>
        <v>00317</v>
      </c>
      <c r="AS69" s="27" t="str">
        <f t="shared" si="36"/>
        <v>50</v>
      </c>
      <c r="AT69" s="27" t="str">
        <f t="shared" si="37"/>
        <v/>
      </c>
      <c r="AU69" s="27" t="str">
        <f t="shared" si="38"/>
        <v/>
      </c>
      <c r="AV69" s="27" t="str">
        <f t="shared" si="39"/>
        <v/>
      </c>
      <c r="AW69" s="27" t="str">
        <f t="shared" si="40"/>
        <v/>
      </c>
      <c r="AX69" s="27" t="str">
        <f t="shared" si="41"/>
        <v/>
      </c>
      <c r="AY69" s="27" t="str">
        <f t="shared" si="42"/>
        <v/>
      </c>
      <c r="AZ69" s="27" t="str">
        <f t="shared" si="43"/>
        <v/>
      </c>
      <c r="BA69" s="27" t="str">
        <f t="shared" si="44"/>
        <v/>
      </c>
      <c r="BB69" s="27" t="str">
        <f t="shared" si="45"/>
        <v/>
      </c>
      <c r="BC69" s="27" t="str">
        <f t="shared" si="46"/>
        <v/>
      </c>
      <c r="BD69" s="27" t="str">
        <f t="shared" si="47"/>
        <v/>
      </c>
      <c r="BE69" s="27" t="str">
        <f t="shared" si="48"/>
        <v/>
      </c>
      <c r="BF69" s="27" t="str">
        <f t="shared" si="49"/>
        <v/>
      </c>
      <c r="BG69" s="27" t="str">
        <f t="shared" si="50"/>
        <v/>
      </c>
      <c r="BH69" s="27" t="str">
        <f t="shared" si="51"/>
        <v/>
      </c>
      <c r="BI69" s="27" t="str">
        <f t="shared" si="52"/>
        <v/>
      </c>
      <c r="BJ69" s="27" t="str">
        <f t="shared" si="53"/>
        <v/>
      </c>
      <c r="BK69" s="27" t="str">
        <f t="shared" si="54"/>
        <v/>
      </c>
      <c r="BL69" s="27" t="str">
        <f t="shared" si="55"/>
        <v/>
      </c>
      <c r="BM69" s="21" t="s">
        <v>5581</v>
      </c>
    </row>
    <row r="70" spans="1:65" ht="15">
      <c r="A70" s="25" t="str">
        <f>IFERROR(INDEX('Hun Demand'!W:W,MATCH(O70,'Hun Demand'!A:A,0)),"")</f>
        <v/>
      </c>
      <c r="B70" s="25" t="str">
        <f>IFERROR(INDEX('Hun Demand'!V:V,MATCH(O70,'Hun Demand'!A:A,0)),"")</f>
        <v/>
      </c>
      <c r="C70" s="25" t="str">
        <f>IFERROR(INDEX('Hun Demand'!U:U,MATCH(O70,'Hun Demand'!A:A,0)),"")</f>
        <v/>
      </c>
      <c r="D70" s="25" t="str">
        <f>IFERROR(INDEX('Hun Demand'!T:T,MATCH(O70,'Hun Demand'!A:A,0)),"")</f>
        <v/>
      </c>
      <c r="E70" s="25" t="str">
        <f>IFERROR(INDEX('Hun Demand'!S:S,MATCH(O70,'Hun Demand'!A:A,0)),"")</f>
        <v/>
      </c>
      <c r="F70" s="25" t="str">
        <f>IFERROR(INDEX('Hun Demand'!R:R,MATCH(O70,'Hun Demand'!A:A,0)),"")</f>
        <v/>
      </c>
      <c r="G70" s="25">
        <f>IFERROR(INDEX('Aub Demand'!W:W,MATCH(O70,'Aub Demand'!A:A,0)),"")</f>
        <v>6862</v>
      </c>
      <c r="H70" s="25">
        <f>IFERROR(INDEX('Aub Demand'!V:V,MATCH(O70,'Aub Demand'!A:A,0)),"")</f>
        <v>3571</v>
      </c>
      <c r="I70" s="25">
        <f>IFERROR(INDEX('Aub Demand'!U:U,MATCH(O70,'Aub Demand'!A:A,0)),"")</f>
        <v>11774</v>
      </c>
      <c r="J70" s="25">
        <f>IFERROR(INDEX('Aub Demand'!T:T,MATCH(O70,'Aub Demand'!A:A,0)),"")</f>
        <v>5967</v>
      </c>
      <c r="K70" s="25">
        <f>IFERROR(INDEX('Aub Demand'!S:S,MATCH(O70,'Aub Demand'!A:A,0)),"")</f>
        <v>7405</v>
      </c>
      <c r="L70" s="25">
        <f>IFERROR(INDEX('Aub Demand'!R:R,MATCH(O70,'Aub Demand'!A:A,0)),"")</f>
        <v>-40</v>
      </c>
      <c r="O70" s="27" t="s">
        <v>198</v>
      </c>
      <c r="P70" s="27" t="str">
        <f>IFERROR(INDEX('Aub Demand'!B:B,MATCH($O70,'Aub Demand'!$A:$A,0)),"")</f>
        <v>NEWSPRINT</v>
      </c>
      <c r="Q70" s="27" t="str">
        <f>IFERROR(INDEX('Aub Demand'!C:C,MATCH($O70,'Aub Demand'!$A:$A,0)),"")</f>
        <v>MILL</v>
      </c>
      <c r="R70" s="52">
        <f>IFERROR(IF(AR71=AR70,INDEX('Aub Demand'!K:K,MATCH($O70,'Aub Demand'!$A:$A,0))-IF(AN70="",0,AN70)+AP71,INDEX('Aub Demand'!K:K,MATCH($O70,'Aub Demand'!$A:$A,0))-IF(AN70="",0,AN70)),"")</f>
        <v>33816</v>
      </c>
      <c r="S70" s="53">
        <f t="shared" si="28"/>
        <v>17.3</v>
      </c>
      <c r="T70" s="52" t="str">
        <f t="shared" si="29"/>
        <v/>
      </c>
      <c r="U70" s="52">
        <f>IFERROR(IF(AR71=AR70,INDEX('Aub Demand'!Q:Q,MATCH($O70,'Aub Demand'!$A:$A,0))-IF(AN70="",0,AN70)+AP71,INDEX('Aub Demand'!Q:Q,MATCH($O70,'Aub Demand'!$A:$A,0))-IF(AN70="",0,AN70)),"")</f>
        <v>33816</v>
      </c>
      <c r="V70" s="53">
        <f t="shared" si="30"/>
        <v>17.3</v>
      </c>
      <c r="W70" s="52" t="str">
        <f t="shared" si="31"/>
        <v/>
      </c>
      <c r="X70" s="52">
        <f>IFERROR(IF(AND(AR71=AR70,AM70&lt;&gt;""),INDEX('Aub Demand'!Q:Q,MATCH($O70,'Aub Demand'!$A:$A,0))-IF(AN70="",0,AN70)+AP71+AD70+AL70,IF(AR71=AR70,INDEX('Aub Demand'!Q:Q,MATCH($O70,'Aub Demand'!$A:$A,0))-IF(AN70="",0,AN70)+AP71+AD70,IF(AM70&lt;&gt;"",INDEX('Aub Demand'!Q:Q,MATCH($O70,'Aub Demand'!$A:$A,0))-IF(AN70="",0,AN70)+AD70+AL70,INDEX('Aub Demand'!Q:Q,MATCH($O70,'Aub Demand'!$A:$A,0))-IF(AN70="",0,AN70)+AD70))),"")</f>
        <v>33816</v>
      </c>
      <c r="Y70" s="53">
        <f t="shared" si="32"/>
        <v>17.3</v>
      </c>
      <c r="Z70" s="52">
        <f>IF(L70="","",INDEX('Aub Demand'!H:H,MATCH($O70,'Aub Demand'!$A:$A,0)))</f>
        <v>8382</v>
      </c>
      <c r="AA70" s="52">
        <f t="shared" si="33"/>
        <v>9589.5</v>
      </c>
      <c r="AB70" s="52">
        <f>IFERROR(INDEX('Aub Demand'!L:L,MATCH($O70,'Aub Demand'!$A:$A,0)),"")</f>
        <v>3130</v>
      </c>
      <c r="AC70" s="52">
        <f>IFERROR(IF(O70="","",SUMIFS('CPL Mats'!F:F,'CPL Mats'!Q:Q,AR70,'CPL Mats'!S:S,AS70)),"")</f>
        <v>0</v>
      </c>
      <c r="AF70" s="25" t="str">
        <f>IF(SUMIFS('Supp Consol'!S:S,'Supp Consol'!Y:Y,"Releasable",'Supp Consol'!A:A,O70)=0,"",SUMIFS('Supp Consol'!S:S,'Supp Consol'!Y:Y,"Releasable",'Supp Consol'!A:A,O70))</f>
        <v/>
      </c>
      <c r="AG70" s="25" t="str">
        <f>IFERROR(INDEX('Hun Demand'!Q:Q,MATCH(O70,'Hun Demand'!A:A,0)),"")</f>
        <v/>
      </c>
      <c r="AH70" s="25" t="str">
        <f>IFERROR(INDEX('Hun Demand'!H:H,MATCH($O70,'Hun Demand'!$A:$A,0)),"")</f>
        <v/>
      </c>
      <c r="AI70" s="25" t="str">
        <f>IF(SUMIFS('Supp Consol'!AA:AA,'Supp Consol'!Z:Z,"Expires this month",'Supp Consol'!A:A,O70)=0,"",SUMIFS('Supp Consol'!AA:AA,'Supp Consol'!Z:Z,"Expires this month",'Supp Consol'!A:A,O70))</f>
        <v/>
      </c>
      <c r="AJ70" s="25" t="str">
        <f>IF(SUMIFS('Supp Consol'!AA:AA,'Supp Consol'!Z:Z,"Expired Previous Months",'Supp Consol'!A:A,O70)=0,"",SUMIFS('Supp Consol'!AA:AA,'Supp Consol'!Z:Z,"Expired Previous Months",'Supp Consol'!A:A,O70))</f>
        <v/>
      </c>
      <c r="AK70" s="25" t="str">
        <f>IFERROR(INDEX('Hun Release Current'!B:B,MATCH(O70,'Hun Release Current'!A:A,0)),"")</f>
        <v/>
      </c>
      <c r="AL70" s="25" t="str">
        <f>IF(SUMIF('Prev Aub'!A:A,O70,'Prev Aub'!B:B)=0,"",SUMIF('Prev Aub'!A:A,O70,'Prev Aub'!B:B))</f>
        <v/>
      </c>
      <c r="AN70" s="25" t="s">
        <v>3790</v>
      </c>
      <c r="AO70" s="25" t="s">
        <v>3790</v>
      </c>
      <c r="AP70" s="25">
        <f t="shared" si="34"/>
        <v>0</v>
      </c>
      <c r="AQ70" s="151" t="str">
        <f>IF(SUMIFS('Supp Consol'!S:S,'Supp Consol'!A:A,O70,'Supp Consol'!I:I,"PENDING")=0,"",SUMIFS('Supp Consol'!S:S,'Supp Consol'!A:A,O70,'Supp Consol'!I:I,"PENDING"))</f>
        <v/>
      </c>
      <c r="AR70" s="27" t="str">
        <f t="shared" si="35"/>
        <v>00317</v>
      </c>
      <c r="AS70" s="27" t="str">
        <f t="shared" si="36"/>
        <v>64</v>
      </c>
      <c r="AT70" s="27" t="str">
        <f t="shared" si="37"/>
        <v/>
      </c>
      <c r="AU70" s="27" t="str">
        <f t="shared" si="38"/>
        <v/>
      </c>
      <c r="AV70" s="27" t="str">
        <f t="shared" si="39"/>
        <v/>
      </c>
      <c r="AW70" s="27" t="str">
        <f t="shared" si="40"/>
        <v/>
      </c>
      <c r="AX70" s="27" t="str">
        <f t="shared" si="41"/>
        <v/>
      </c>
      <c r="AY70" s="27" t="str">
        <f t="shared" si="42"/>
        <v/>
      </c>
      <c r="AZ70" s="27" t="str">
        <f t="shared" si="43"/>
        <v/>
      </c>
      <c r="BA70" s="27" t="str">
        <f t="shared" si="44"/>
        <v/>
      </c>
      <c r="BB70" s="27" t="str">
        <f t="shared" si="45"/>
        <v/>
      </c>
      <c r="BC70" s="27" t="str">
        <f t="shared" si="46"/>
        <v/>
      </c>
      <c r="BD70" s="27" t="str">
        <f t="shared" si="47"/>
        <v/>
      </c>
      <c r="BE70" s="27" t="str">
        <f t="shared" si="48"/>
        <v/>
      </c>
      <c r="BF70" s="27" t="str">
        <f t="shared" si="49"/>
        <v/>
      </c>
      <c r="BG70" s="27" t="str">
        <f t="shared" si="50"/>
        <v/>
      </c>
      <c r="BH70" s="27" t="str">
        <f t="shared" si="51"/>
        <v/>
      </c>
      <c r="BI70" s="27" t="str">
        <f t="shared" si="52"/>
        <v/>
      </c>
      <c r="BJ70" s="27" t="str">
        <f t="shared" si="53"/>
        <v/>
      </c>
      <c r="BK70" s="27" t="str">
        <f t="shared" si="54"/>
        <v/>
      </c>
      <c r="BL70" s="27" t="str">
        <f t="shared" si="55"/>
        <v/>
      </c>
      <c r="BM70" s="21" t="s">
        <v>5581</v>
      </c>
    </row>
    <row r="71" spans="1:65" ht="15">
      <c r="A71" s="25" t="str">
        <f>IFERROR(INDEX('Hun Demand'!W:W,MATCH(O71,'Hun Demand'!A:A,0)),"")</f>
        <v/>
      </c>
      <c r="B71" s="25" t="str">
        <f>IFERROR(INDEX('Hun Demand'!V:V,MATCH(O71,'Hun Demand'!A:A,0)),"")</f>
        <v/>
      </c>
      <c r="C71" s="25" t="str">
        <f>IFERROR(INDEX('Hun Demand'!U:U,MATCH(O71,'Hun Demand'!A:A,0)),"")</f>
        <v/>
      </c>
      <c r="D71" s="25" t="str">
        <f>IFERROR(INDEX('Hun Demand'!T:T,MATCH(O71,'Hun Demand'!A:A,0)),"")</f>
        <v/>
      </c>
      <c r="E71" s="25" t="str">
        <f>IFERROR(INDEX('Hun Demand'!S:S,MATCH(O71,'Hun Demand'!A:A,0)),"")</f>
        <v/>
      </c>
      <c r="F71" s="25" t="str">
        <f>IFERROR(INDEX('Hun Demand'!R:R,MATCH(O71,'Hun Demand'!A:A,0)),"")</f>
        <v/>
      </c>
      <c r="G71" s="25">
        <f>IFERROR(INDEX('Aub Demand'!W:W,MATCH(O71,'Aub Demand'!A:A,0)),"")</f>
        <v>0</v>
      </c>
      <c r="H71" s="25">
        <f>IFERROR(INDEX('Aub Demand'!V:V,MATCH(O71,'Aub Demand'!A:A,0)),"")</f>
        <v>0</v>
      </c>
      <c r="I71" s="25">
        <f>IFERROR(INDEX('Aub Demand'!U:U,MATCH(O71,'Aub Demand'!A:A,0)),"")</f>
        <v>0</v>
      </c>
      <c r="J71" s="25">
        <f>IFERROR(INDEX('Aub Demand'!T:T,MATCH(O71,'Aub Demand'!A:A,0)),"")</f>
        <v>0</v>
      </c>
      <c r="K71" s="25">
        <f>IFERROR(INDEX('Aub Demand'!S:S,MATCH(O71,'Aub Demand'!A:A,0)),"")</f>
        <v>1849</v>
      </c>
      <c r="L71" s="25">
        <f>IFERROR(INDEX('Aub Demand'!R:R,MATCH(O71,'Aub Demand'!A:A,0)),"")</f>
        <v>0</v>
      </c>
      <c r="O71" s="27" t="s">
        <v>199</v>
      </c>
      <c r="P71" s="27" t="str">
        <f>IFERROR(INDEX('Aub Demand'!B:B,MATCH($O71,'Aub Demand'!$A:$A,0)),"")</f>
        <v>NEWSPRINT</v>
      </c>
      <c r="Q71" s="27" t="str">
        <f>IFERROR(INDEX('Aub Demand'!C:C,MATCH($O71,'Aub Demand'!$A:$A,0)),"")</f>
        <v>MILL</v>
      </c>
      <c r="R71" s="52">
        <f>IFERROR(IF(AR72=AR71,INDEX('Aub Demand'!K:K,MATCH($O71,'Aub Demand'!$A:$A,0))-IF(AN71="",0,AN71)+AP72,INDEX('Aub Demand'!K:K,MATCH($O71,'Aub Demand'!$A:$A,0))-IF(AN71="",0,AN71)),"")</f>
        <v>3719</v>
      </c>
      <c r="S71" s="53">
        <f t="shared" si="28"/>
        <v>25.9</v>
      </c>
      <c r="T71" s="52" t="str">
        <f t="shared" si="29"/>
        <v/>
      </c>
      <c r="U71" s="52">
        <f>IFERROR(IF(AR72=AR71,INDEX('Aub Demand'!Q:Q,MATCH($O71,'Aub Demand'!$A:$A,0))-IF(AN71="",0,AN71)+AP72,INDEX('Aub Demand'!Q:Q,MATCH($O71,'Aub Demand'!$A:$A,0))-IF(AN71="",0,AN71)),"")</f>
        <v>3719</v>
      </c>
      <c r="V71" s="53">
        <f t="shared" si="30"/>
        <v>25.9</v>
      </c>
      <c r="W71" s="52" t="str">
        <f t="shared" si="31"/>
        <v/>
      </c>
      <c r="X71" s="52">
        <f>IFERROR(IF(AND(AR72=AR71,AM71&lt;&gt;""),INDEX('Aub Demand'!Q:Q,MATCH($O71,'Aub Demand'!$A:$A,0))-IF(AN71="",0,AN71)+AP72+AD71+AL71,IF(AR72=AR71,INDEX('Aub Demand'!Q:Q,MATCH($O71,'Aub Demand'!$A:$A,0))-IF(AN71="",0,AN71)+AP72+AD71,IF(AM71&lt;&gt;"",INDEX('Aub Demand'!Q:Q,MATCH($O71,'Aub Demand'!$A:$A,0))-IF(AN71="",0,AN71)+AD71+AL71,INDEX('Aub Demand'!Q:Q,MATCH($O71,'Aub Demand'!$A:$A,0))-IF(AN71="",0,AN71)+AD71))),"")</f>
        <v>3719</v>
      </c>
      <c r="Y71" s="53">
        <f t="shared" si="32"/>
        <v>25.9</v>
      </c>
      <c r="Z71" s="52">
        <f>IF(L71="","",INDEX('Aub Demand'!H:H,MATCH($O71,'Aub Demand'!$A:$A,0)))</f>
        <v>616</v>
      </c>
      <c r="AA71" s="52" t="str">
        <f t="shared" si="33"/>
        <v>-spike-</v>
      </c>
      <c r="AB71" s="52">
        <f>IFERROR(INDEX('Aub Demand'!L:L,MATCH($O71,'Aub Demand'!$A:$A,0)),"")</f>
        <v>0</v>
      </c>
      <c r="AC71" s="52">
        <f>IFERROR(IF(O71="","",SUMIFS('CPL Mats'!F:F,'CPL Mats'!Q:Q,AR71,'CPL Mats'!S:S,AS71)),"")</f>
        <v>0</v>
      </c>
      <c r="AF71" s="25" t="str">
        <f>IF(SUMIFS('Supp Consol'!S:S,'Supp Consol'!Y:Y,"Releasable",'Supp Consol'!A:A,O71)=0,"",SUMIFS('Supp Consol'!S:S,'Supp Consol'!Y:Y,"Releasable",'Supp Consol'!A:A,O71))</f>
        <v/>
      </c>
      <c r="AG71" s="25" t="str">
        <f>IFERROR(INDEX('Hun Demand'!Q:Q,MATCH(O71,'Hun Demand'!A:A,0)),"")</f>
        <v/>
      </c>
      <c r="AH71" s="25" t="str">
        <f>IFERROR(INDEX('Hun Demand'!H:H,MATCH($O71,'Hun Demand'!$A:$A,0)),"")</f>
        <v/>
      </c>
      <c r="AI71" s="25" t="str">
        <f>IF(SUMIFS('Supp Consol'!AA:AA,'Supp Consol'!Z:Z,"Expires this month",'Supp Consol'!A:A,O71)=0,"",SUMIFS('Supp Consol'!AA:AA,'Supp Consol'!Z:Z,"Expires this month",'Supp Consol'!A:A,O71))</f>
        <v/>
      </c>
      <c r="AJ71" s="25" t="str">
        <f>IF(SUMIFS('Supp Consol'!AA:AA,'Supp Consol'!Z:Z,"Expired Previous Months",'Supp Consol'!A:A,O71)=0,"",SUMIFS('Supp Consol'!AA:AA,'Supp Consol'!Z:Z,"Expired Previous Months",'Supp Consol'!A:A,O71))</f>
        <v/>
      </c>
      <c r="AK71" s="25" t="str">
        <f>IFERROR(INDEX('Hun Release Current'!B:B,MATCH(O71,'Hun Release Current'!A:A,0)),"")</f>
        <v/>
      </c>
      <c r="AL71" s="25" t="str">
        <f>IF(SUMIF('Prev Aub'!A:A,O71,'Prev Aub'!B:B)=0,"",SUMIF('Prev Aub'!A:A,O71,'Prev Aub'!B:B))</f>
        <v/>
      </c>
      <c r="AN71" s="25" t="s">
        <v>3790</v>
      </c>
      <c r="AO71" s="25" t="s">
        <v>3790</v>
      </c>
      <c r="AP71" s="25">
        <f t="shared" si="34"/>
        <v>0</v>
      </c>
      <c r="AQ71" s="151" t="str">
        <f>IF(SUMIFS('Supp Consol'!S:S,'Supp Consol'!A:A,O71,'Supp Consol'!I:I,"PENDING")=0,"",SUMIFS('Supp Consol'!S:S,'Supp Consol'!A:A,O71,'Supp Consol'!I:I,"PENDING"))</f>
        <v/>
      </c>
      <c r="AR71" s="27" t="str">
        <f t="shared" si="35"/>
        <v>00317</v>
      </c>
      <c r="AS71" s="27" t="str">
        <f t="shared" si="36"/>
        <v>65</v>
      </c>
      <c r="AT71" s="27" t="str">
        <f t="shared" si="37"/>
        <v/>
      </c>
      <c r="AU71" s="27" t="str">
        <f t="shared" si="38"/>
        <v/>
      </c>
      <c r="AV71" s="27" t="str">
        <f t="shared" si="39"/>
        <v/>
      </c>
      <c r="AW71" s="27" t="str">
        <f t="shared" si="40"/>
        <v/>
      </c>
      <c r="AX71" s="27" t="str">
        <f t="shared" si="41"/>
        <v/>
      </c>
      <c r="AY71" s="27" t="str">
        <f t="shared" si="42"/>
        <v/>
      </c>
      <c r="AZ71" s="27" t="str">
        <f t="shared" si="43"/>
        <v/>
      </c>
      <c r="BA71" s="27" t="str">
        <f t="shared" si="44"/>
        <v/>
      </c>
      <c r="BB71" s="27" t="str">
        <f t="shared" si="45"/>
        <v/>
      </c>
      <c r="BC71" s="27" t="str">
        <f t="shared" si="46"/>
        <v/>
      </c>
      <c r="BD71" s="27" t="str">
        <f t="shared" si="47"/>
        <v/>
      </c>
      <c r="BE71" s="27" t="str">
        <f t="shared" si="48"/>
        <v/>
      </c>
      <c r="BF71" s="27" t="str">
        <f t="shared" si="49"/>
        <v/>
      </c>
      <c r="BG71" s="27" t="str">
        <f t="shared" si="50"/>
        <v/>
      </c>
      <c r="BH71" s="27" t="str">
        <f t="shared" si="51"/>
        <v/>
      </c>
      <c r="BI71" s="27" t="str">
        <f t="shared" si="52"/>
        <v/>
      </c>
      <c r="BJ71" s="27" t="str">
        <f t="shared" si="53"/>
        <v/>
      </c>
      <c r="BK71" s="27" t="str">
        <f t="shared" si="54"/>
        <v/>
      </c>
      <c r="BL71" s="27" t="str">
        <f t="shared" si="55"/>
        <v/>
      </c>
      <c r="BM71" s="21" t="s">
        <v>3790</v>
      </c>
    </row>
    <row r="72" spans="1:65" ht="15">
      <c r="A72" s="25" t="str">
        <f>IFERROR(INDEX('Hun Demand'!W:W,MATCH(O72,'Hun Demand'!A:A,0)),"")</f>
        <v/>
      </c>
      <c r="B72" s="25" t="str">
        <f>IFERROR(INDEX('Hun Demand'!V:V,MATCH(O72,'Hun Demand'!A:A,0)),"")</f>
        <v/>
      </c>
      <c r="C72" s="25" t="str">
        <f>IFERROR(INDEX('Hun Demand'!U:U,MATCH(O72,'Hun Demand'!A:A,0)),"")</f>
        <v/>
      </c>
      <c r="D72" s="25" t="str">
        <f>IFERROR(INDEX('Hun Demand'!T:T,MATCH(O72,'Hun Demand'!A:A,0)),"")</f>
        <v/>
      </c>
      <c r="E72" s="25" t="str">
        <f>IFERROR(INDEX('Hun Demand'!S:S,MATCH(O72,'Hun Demand'!A:A,0)),"")</f>
        <v/>
      </c>
      <c r="F72" s="25" t="str">
        <f>IFERROR(INDEX('Hun Demand'!R:R,MATCH(O72,'Hun Demand'!A:A,0)),"")</f>
        <v/>
      </c>
      <c r="G72" s="25">
        <f>IFERROR(INDEX('Aub Demand'!W:W,MATCH(O72,'Aub Demand'!A:A,0)),"")</f>
        <v>2183</v>
      </c>
      <c r="H72" s="25">
        <f>IFERROR(INDEX('Aub Demand'!V:V,MATCH(O72,'Aub Demand'!A:A,0)),"")</f>
        <v>2730</v>
      </c>
      <c r="I72" s="25">
        <f>IFERROR(INDEX('Aub Demand'!U:U,MATCH(O72,'Aub Demand'!A:A,0)),"")</f>
        <v>5185</v>
      </c>
      <c r="J72" s="25">
        <f>IFERROR(INDEX('Aub Demand'!T:T,MATCH(O72,'Aub Demand'!A:A,0)),"")</f>
        <v>5796</v>
      </c>
      <c r="K72" s="25">
        <f>IFERROR(INDEX('Aub Demand'!S:S,MATCH(O72,'Aub Demand'!A:A,0)),"")</f>
        <v>4473</v>
      </c>
      <c r="L72" s="25">
        <f>IFERROR(INDEX('Aub Demand'!R:R,MATCH(O72,'Aub Demand'!A:A,0)),"")</f>
        <v>0</v>
      </c>
      <c r="O72" s="27" t="s">
        <v>200</v>
      </c>
      <c r="P72" s="27" t="str">
        <f>IFERROR(INDEX('Aub Demand'!B:B,MATCH($O72,'Aub Demand'!$A:$A,0)),"")</f>
        <v>WOOD ESSENCE (QUERCI</v>
      </c>
      <c r="Q72" s="27" t="str">
        <f>IFERROR(INDEX('Aub Demand'!C:C,MATCH($O72,'Aub Demand'!$A:$A,0)),"")</f>
        <v>SAPPI</v>
      </c>
      <c r="R72" s="52">
        <f>IFERROR(IF(AR73=AR72,INDEX('Aub Demand'!K:K,MATCH($O72,'Aub Demand'!$A:$A,0))-IF(AN72="",0,AN72)+AP73,INDEX('Aub Demand'!K:K,MATCH($O72,'Aub Demand'!$A:$A,0))-IF(AN72="",0,AN72)),"")</f>
        <v>6840</v>
      </c>
      <c r="S72" s="53">
        <f t="shared" si="28"/>
        <v>5.7</v>
      </c>
      <c r="T72" s="52" t="str">
        <f t="shared" si="29"/>
        <v/>
      </c>
      <c r="U72" s="52">
        <f>IFERROR(IF(AR73=AR72,INDEX('Aub Demand'!Q:Q,MATCH($O72,'Aub Demand'!$A:$A,0))-IF(AN72="",0,AN72)+AP73,INDEX('Aub Demand'!Q:Q,MATCH($O72,'Aub Demand'!$A:$A,0))-IF(AN72="",0,AN72)),"")</f>
        <v>4356</v>
      </c>
      <c r="V72" s="53">
        <f t="shared" si="30"/>
        <v>3.6</v>
      </c>
      <c r="W72" s="52" t="str">
        <f t="shared" si="31"/>
        <v/>
      </c>
      <c r="X72" s="52">
        <f>IFERROR(IF(AND(AR73=AR72,AM72&lt;&gt;""),INDEX('Aub Demand'!Q:Q,MATCH($O72,'Aub Demand'!$A:$A,0))-IF(AN72="",0,AN72)+AP73+AD72+AL72,IF(AR73=AR72,INDEX('Aub Demand'!Q:Q,MATCH($O72,'Aub Demand'!$A:$A,0))-IF(AN72="",0,AN72)+AP73+AD72,IF(AM72&lt;&gt;"",INDEX('Aub Demand'!Q:Q,MATCH($O72,'Aub Demand'!$A:$A,0))-IF(AN72="",0,AN72)+AD72+AL72,INDEX('Aub Demand'!Q:Q,MATCH($O72,'Aub Demand'!$A:$A,0))-IF(AN72="",0,AN72)+AD72))),"")</f>
        <v>4356</v>
      </c>
      <c r="Y72" s="53">
        <f t="shared" si="32"/>
        <v>3.6</v>
      </c>
      <c r="Z72" s="52">
        <f>IF(L72="","",INDEX('Aub Demand'!H:H,MATCH($O72,'Aub Demand'!$A:$A,0)))</f>
        <v>5151</v>
      </c>
      <c r="AA72" s="52">
        <f t="shared" si="33"/>
        <v>5490.5</v>
      </c>
      <c r="AB72" s="52">
        <f>IFERROR(INDEX('Aub Demand'!L:L,MATCH($O72,'Aub Demand'!$A:$A,0)),"")</f>
        <v>1076</v>
      </c>
      <c r="AC72" s="52">
        <f>IFERROR(IF(O72="","",SUMIFS('CPL Mats'!F:F,'CPL Mats'!Q:Q,AR72,'CPL Mats'!S:S,AS72)),"")</f>
        <v>0</v>
      </c>
      <c r="AF72" s="25">
        <f>IF(SUMIFS('Supp Consol'!S:S,'Supp Consol'!Y:Y,"Releasable",'Supp Consol'!A:A,O72)=0,"",SUMIFS('Supp Consol'!S:S,'Supp Consol'!Y:Y,"Releasable",'Supp Consol'!A:A,O72))</f>
        <v>7492</v>
      </c>
      <c r="AG72" s="25" t="str">
        <f>IFERROR(INDEX('Hun Demand'!Q:Q,MATCH(O72,'Hun Demand'!A:A,0)),"")</f>
        <v/>
      </c>
      <c r="AH72" s="25" t="str">
        <f>IFERROR(INDEX('Hun Demand'!H:H,MATCH($O72,'Hun Demand'!$A:$A,0)),"")</f>
        <v/>
      </c>
      <c r="AI72" s="25">
        <f>IF(SUMIFS('Supp Consol'!AA:AA,'Supp Consol'!Z:Z,"Expires this month",'Supp Consol'!A:A,O72)=0,"",SUMIFS('Supp Consol'!AA:AA,'Supp Consol'!Z:Z,"Expires this month",'Supp Consol'!A:A,O72))</f>
        <v>6551</v>
      </c>
      <c r="AJ72" s="25" t="str">
        <f>IF(SUMIFS('Supp Consol'!AA:AA,'Supp Consol'!Z:Z,"Expired Previous Months",'Supp Consol'!A:A,O72)=0,"",SUMIFS('Supp Consol'!AA:AA,'Supp Consol'!Z:Z,"Expired Previous Months",'Supp Consol'!A:A,O72))</f>
        <v/>
      </c>
      <c r="AK72" s="25" t="str">
        <f>IFERROR(INDEX('Hun Release Current'!B:B,MATCH(O72,'Hun Release Current'!A:A,0)),"")</f>
        <v/>
      </c>
      <c r="AL72" s="25" t="str">
        <f>IF(SUMIF('Prev Aub'!A:A,O72,'Prev Aub'!B:B)=0,"",SUMIF('Prev Aub'!A:A,O72,'Prev Aub'!B:B))</f>
        <v/>
      </c>
      <c r="AN72" s="25" t="s">
        <v>3790</v>
      </c>
      <c r="AO72" s="25" t="s">
        <v>3790</v>
      </c>
      <c r="AP72" s="25">
        <f t="shared" si="34"/>
        <v>0</v>
      </c>
      <c r="AQ72" s="151" t="str">
        <f>IF(SUMIFS('Supp Consol'!S:S,'Supp Consol'!A:A,O72,'Supp Consol'!I:I,"PENDING")=0,"",SUMIFS('Supp Consol'!S:S,'Supp Consol'!A:A,O72,'Supp Consol'!I:I,"PENDING"))</f>
        <v/>
      </c>
      <c r="AR72" s="27" t="str">
        <f t="shared" si="35"/>
        <v>00325</v>
      </c>
      <c r="AS72" s="27" t="str">
        <f t="shared" si="36"/>
        <v>50</v>
      </c>
      <c r="AT72" s="27" t="str">
        <f t="shared" si="37"/>
        <v/>
      </c>
      <c r="AU72" s="27" t="str">
        <f t="shared" si="38"/>
        <v/>
      </c>
      <c r="AV72" s="27" t="str">
        <f t="shared" si="39"/>
        <v/>
      </c>
      <c r="AW72" s="27" t="str">
        <f t="shared" si="40"/>
        <v>00325</v>
      </c>
      <c r="AX72" s="27" t="str">
        <f t="shared" si="41"/>
        <v>00325</v>
      </c>
      <c r="AY72" s="27" t="str">
        <f t="shared" si="42"/>
        <v/>
      </c>
      <c r="AZ72" s="27" t="str">
        <f t="shared" si="43"/>
        <v>Supp</v>
      </c>
      <c r="BA72" s="27" t="str">
        <f t="shared" si="44"/>
        <v/>
      </c>
      <c r="BB72" s="27" t="str">
        <f t="shared" si="45"/>
        <v/>
      </c>
      <c r="BC72" s="27" t="str">
        <f t="shared" si="46"/>
        <v/>
      </c>
      <c r="BD72" s="27" t="str">
        <f t="shared" si="47"/>
        <v/>
      </c>
      <c r="BE72" s="27" t="str">
        <f t="shared" si="48"/>
        <v>Exp</v>
      </c>
      <c r="BF72" s="27" t="str">
        <f t="shared" si="49"/>
        <v/>
      </c>
      <c r="BG72" s="27" t="str">
        <f t="shared" si="50"/>
        <v>S+NorE</v>
      </c>
      <c r="BH72" s="27" t="str">
        <f t="shared" si="51"/>
        <v/>
      </c>
      <c r="BI72" s="27" t="str">
        <f t="shared" si="52"/>
        <v/>
      </c>
      <c r="BJ72" s="27" t="str">
        <f t="shared" si="53"/>
        <v>Supp or Hun</v>
      </c>
      <c r="BK72" s="27" t="str">
        <f t="shared" si="54"/>
        <v/>
      </c>
      <c r="BL72" s="27" t="str">
        <f t="shared" si="55"/>
        <v>SorHandNandE</v>
      </c>
      <c r="BM72" s="21" t="s">
        <v>5581</v>
      </c>
    </row>
    <row r="73" spans="1:65" ht="15">
      <c r="A73" s="25" t="str">
        <f>IFERROR(INDEX('Hun Demand'!W:W,MATCH(O73,'Hun Demand'!A:A,0)),"")</f>
        <v/>
      </c>
      <c r="B73" s="25" t="str">
        <f>IFERROR(INDEX('Hun Demand'!V:V,MATCH(O73,'Hun Demand'!A:A,0)),"")</f>
        <v/>
      </c>
      <c r="C73" s="25" t="str">
        <f>IFERROR(INDEX('Hun Demand'!U:U,MATCH(O73,'Hun Demand'!A:A,0)),"")</f>
        <v/>
      </c>
      <c r="D73" s="25" t="str">
        <f>IFERROR(INDEX('Hun Demand'!T:T,MATCH(O73,'Hun Demand'!A:A,0)),"")</f>
        <v/>
      </c>
      <c r="E73" s="25" t="str">
        <f>IFERROR(INDEX('Hun Demand'!S:S,MATCH(O73,'Hun Demand'!A:A,0)),"")</f>
        <v/>
      </c>
      <c r="F73" s="25" t="str">
        <f>IFERROR(INDEX('Hun Demand'!R:R,MATCH(O73,'Hun Demand'!A:A,0)),"")</f>
        <v/>
      </c>
      <c r="G73" s="25">
        <f>IFERROR(INDEX('Aub Demand'!W:W,MATCH(O73,'Aub Demand'!A:A,0)),"")</f>
        <v>738</v>
      </c>
      <c r="H73" s="25">
        <f>IFERROR(INDEX('Aub Demand'!V:V,MATCH(O73,'Aub Demand'!A:A,0)),"")</f>
        <v>1230</v>
      </c>
      <c r="I73" s="25">
        <f>IFERROR(INDEX('Aub Demand'!U:U,MATCH(O73,'Aub Demand'!A:A,0)),"")</f>
        <v>1125</v>
      </c>
      <c r="J73" s="25">
        <f>IFERROR(INDEX('Aub Demand'!T:T,MATCH(O73,'Aub Demand'!A:A,0)),"")</f>
        <v>2689</v>
      </c>
      <c r="K73" s="25">
        <f>IFERROR(INDEX('Aub Demand'!S:S,MATCH(O73,'Aub Demand'!A:A,0)),"")</f>
        <v>1359</v>
      </c>
      <c r="L73" s="25">
        <f>IFERROR(INDEX('Aub Demand'!R:R,MATCH(O73,'Aub Demand'!A:A,0)),"")</f>
        <v>0</v>
      </c>
      <c r="O73" s="27" t="s">
        <v>204</v>
      </c>
      <c r="P73" s="27" t="str">
        <f>IFERROR(INDEX('Aub Demand'!B:B,MATCH($O73,'Aub Demand'!$A:$A,0)),"")</f>
        <v>WOOD ESSENCE (QUERCI</v>
      </c>
      <c r="Q73" s="27" t="str">
        <f>IFERROR(INDEX('Aub Demand'!C:C,MATCH($O73,'Aub Demand'!$A:$A,0)),"")</f>
        <v>SAPPI</v>
      </c>
      <c r="R73" s="52">
        <f>IFERROR(IF(AR74=AR73,INDEX('Aub Demand'!K:K,MATCH($O73,'Aub Demand'!$A:$A,0))-IF(AN73="",0,AN73)+AP74,INDEX('Aub Demand'!K:K,MATCH($O73,'Aub Demand'!$A:$A,0))-IF(AN73="",0,AN73)),"")</f>
        <v>3687</v>
      </c>
      <c r="S73" s="53">
        <f t="shared" si="28"/>
        <v>9.1999999999999993</v>
      </c>
      <c r="T73" s="52" t="str">
        <f t="shared" si="29"/>
        <v/>
      </c>
      <c r="U73" s="52">
        <f>IFERROR(IF(AR74=AR73,INDEX('Aub Demand'!Q:Q,MATCH($O73,'Aub Demand'!$A:$A,0))-IF(AN73="",0,AN73)+AP74,INDEX('Aub Demand'!Q:Q,MATCH($O73,'Aub Demand'!$A:$A,0))-IF(AN73="",0,AN73)),"")</f>
        <v>2508</v>
      </c>
      <c r="V73" s="53">
        <f t="shared" si="30"/>
        <v>6.2</v>
      </c>
      <c r="W73" s="52" t="str">
        <f t="shared" si="31"/>
        <v/>
      </c>
      <c r="X73" s="52">
        <f>IFERROR(IF(AND(AR74=AR73,AM73&lt;&gt;""),INDEX('Aub Demand'!Q:Q,MATCH($O73,'Aub Demand'!$A:$A,0))-IF(AN73="",0,AN73)+AP74+AD73+AL73,IF(AR74=AR73,INDEX('Aub Demand'!Q:Q,MATCH($O73,'Aub Demand'!$A:$A,0))-IF(AN73="",0,AN73)+AP74+AD73,IF(AM73&lt;&gt;"",INDEX('Aub Demand'!Q:Q,MATCH($O73,'Aub Demand'!$A:$A,0))-IF(AN73="",0,AN73)+AD73+AL73,INDEX('Aub Demand'!Q:Q,MATCH($O73,'Aub Demand'!$A:$A,0))-IF(AN73="",0,AN73)+AD73))),"")</f>
        <v>2508</v>
      </c>
      <c r="Y73" s="53">
        <f t="shared" si="32"/>
        <v>6.2</v>
      </c>
      <c r="Z73" s="52">
        <f>IF(L73="","",INDEX('Aub Demand'!H:H,MATCH($O73,'Aub Demand'!$A:$A,0)))</f>
        <v>1724</v>
      </c>
      <c r="AA73" s="52">
        <f t="shared" si="33"/>
        <v>2024</v>
      </c>
      <c r="AB73" s="52">
        <f>IFERROR(INDEX('Aub Demand'!L:L,MATCH($O73,'Aub Demand'!$A:$A,0)),"")</f>
        <v>1688</v>
      </c>
      <c r="AC73" s="52">
        <f>IFERROR(IF(O73="","",SUMIFS('CPL Mats'!F:F,'CPL Mats'!Q:Q,AR73,'CPL Mats'!S:S,AS73)),"")</f>
        <v>0</v>
      </c>
      <c r="AF73" s="25">
        <f>IF(SUMIFS('Supp Consol'!S:S,'Supp Consol'!Y:Y,"Releasable",'Supp Consol'!A:A,O73)=0,"",SUMIFS('Supp Consol'!S:S,'Supp Consol'!Y:Y,"Releasable",'Supp Consol'!A:A,O73))</f>
        <v>3550</v>
      </c>
      <c r="AG73" s="25" t="str">
        <f>IFERROR(INDEX('Hun Demand'!Q:Q,MATCH(O73,'Hun Demand'!A:A,0)),"")</f>
        <v/>
      </c>
      <c r="AH73" s="25" t="str">
        <f>IFERROR(INDEX('Hun Demand'!H:H,MATCH($O73,'Hun Demand'!$A:$A,0)),"")</f>
        <v/>
      </c>
      <c r="AI73" s="25">
        <f>IF(SUMIFS('Supp Consol'!AA:AA,'Supp Consol'!Z:Z,"Expires this month",'Supp Consol'!A:A,O73)=0,"",SUMIFS('Supp Consol'!AA:AA,'Supp Consol'!Z:Z,"Expires this month",'Supp Consol'!A:A,O73))</f>
        <v>3550</v>
      </c>
      <c r="AJ73" s="25" t="str">
        <f>IF(SUMIFS('Supp Consol'!AA:AA,'Supp Consol'!Z:Z,"Expired Previous Months",'Supp Consol'!A:A,O73)=0,"",SUMIFS('Supp Consol'!AA:AA,'Supp Consol'!Z:Z,"Expired Previous Months",'Supp Consol'!A:A,O73))</f>
        <v/>
      </c>
      <c r="AK73" s="25" t="str">
        <f>IFERROR(INDEX('Hun Release Current'!B:B,MATCH(O73,'Hun Release Current'!A:A,0)),"")</f>
        <v/>
      </c>
      <c r="AL73" s="25" t="str">
        <f>IF(SUMIF('Prev Aub'!A:A,O73,'Prev Aub'!B:B)=0,"",SUMIF('Prev Aub'!A:A,O73,'Prev Aub'!B:B))</f>
        <v/>
      </c>
      <c r="AN73" s="25" t="s">
        <v>3790</v>
      </c>
      <c r="AO73" s="25" t="s">
        <v>3790</v>
      </c>
      <c r="AP73" s="25">
        <f t="shared" si="34"/>
        <v>0</v>
      </c>
      <c r="AQ73" s="151" t="str">
        <f>IF(SUMIFS('Supp Consol'!S:S,'Supp Consol'!A:A,O73,'Supp Consol'!I:I,"PENDING")=0,"",SUMIFS('Supp Consol'!S:S,'Supp Consol'!A:A,O73,'Supp Consol'!I:I,"PENDING"))</f>
        <v/>
      </c>
      <c r="AR73" s="27" t="str">
        <f t="shared" si="35"/>
        <v>00325</v>
      </c>
      <c r="AS73" s="27" t="str">
        <f t="shared" si="36"/>
        <v>62</v>
      </c>
      <c r="AT73" s="27" t="str">
        <f t="shared" si="37"/>
        <v/>
      </c>
      <c r="AU73" s="27" t="str">
        <f t="shared" si="38"/>
        <v/>
      </c>
      <c r="AV73" s="27" t="str">
        <f t="shared" si="39"/>
        <v/>
      </c>
      <c r="AW73" s="27" t="str">
        <f t="shared" si="40"/>
        <v>00325</v>
      </c>
      <c r="AX73" s="27" t="str">
        <f t="shared" si="41"/>
        <v>00325</v>
      </c>
      <c r="AY73" s="27" t="str">
        <f t="shared" si="42"/>
        <v/>
      </c>
      <c r="AZ73" s="27" t="str">
        <f t="shared" si="43"/>
        <v>Supp</v>
      </c>
      <c r="BA73" s="27" t="str">
        <f t="shared" si="44"/>
        <v/>
      </c>
      <c r="BB73" s="27" t="str">
        <f t="shared" si="45"/>
        <v/>
      </c>
      <c r="BC73" s="27" t="str">
        <f t="shared" si="46"/>
        <v/>
      </c>
      <c r="BD73" s="27" t="str">
        <f t="shared" si="47"/>
        <v/>
      </c>
      <c r="BE73" s="27" t="str">
        <f t="shared" si="48"/>
        <v>Exp</v>
      </c>
      <c r="BF73" s="27" t="str">
        <f t="shared" si="49"/>
        <v/>
      </c>
      <c r="BG73" s="27" t="str">
        <f t="shared" si="50"/>
        <v>S+NorE</v>
      </c>
      <c r="BH73" s="27" t="str">
        <f t="shared" si="51"/>
        <v/>
      </c>
      <c r="BI73" s="27" t="str">
        <f t="shared" si="52"/>
        <v/>
      </c>
      <c r="BJ73" s="27" t="str">
        <f t="shared" si="53"/>
        <v>Supp or Hun</v>
      </c>
      <c r="BK73" s="27" t="str">
        <f t="shared" si="54"/>
        <v/>
      </c>
      <c r="BL73" s="27" t="str">
        <f t="shared" si="55"/>
        <v>SorHandNandE</v>
      </c>
      <c r="BM73" s="21" t="s">
        <v>5581</v>
      </c>
    </row>
    <row r="74" spans="1:65" ht="15">
      <c r="A74" s="25" t="str">
        <f>IFERROR(INDEX('Hun Demand'!W:W,MATCH(O74,'Hun Demand'!A:A,0)),"")</f>
        <v/>
      </c>
      <c r="B74" s="25" t="str">
        <f>IFERROR(INDEX('Hun Demand'!V:V,MATCH(O74,'Hun Demand'!A:A,0)),"")</f>
        <v/>
      </c>
      <c r="C74" s="25" t="str">
        <f>IFERROR(INDEX('Hun Demand'!U:U,MATCH(O74,'Hun Demand'!A:A,0)),"")</f>
        <v/>
      </c>
      <c r="D74" s="25" t="str">
        <f>IFERROR(INDEX('Hun Demand'!T:T,MATCH(O74,'Hun Demand'!A:A,0)),"")</f>
        <v/>
      </c>
      <c r="E74" s="25" t="str">
        <f>IFERROR(INDEX('Hun Demand'!S:S,MATCH(O74,'Hun Demand'!A:A,0)),"")</f>
        <v/>
      </c>
      <c r="F74" s="25" t="str">
        <f>IFERROR(INDEX('Hun Demand'!R:R,MATCH(O74,'Hun Demand'!A:A,0)),"")</f>
        <v/>
      </c>
      <c r="G74" s="25">
        <f>IFERROR(INDEX('Aub Demand'!W:W,MATCH(O74,'Aub Demand'!A:A,0)),"")</f>
        <v>3366</v>
      </c>
      <c r="H74" s="25">
        <f>IFERROR(INDEX('Aub Demand'!V:V,MATCH(O74,'Aub Demand'!A:A,0)),"")</f>
        <v>3173</v>
      </c>
      <c r="I74" s="25">
        <f>IFERROR(INDEX('Aub Demand'!U:U,MATCH(O74,'Aub Demand'!A:A,0)),"")</f>
        <v>1617</v>
      </c>
      <c r="J74" s="25">
        <f>IFERROR(INDEX('Aub Demand'!T:T,MATCH(O74,'Aub Demand'!A:A,0)),"")</f>
        <v>2121</v>
      </c>
      <c r="K74" s="25">
        <f>IFERROR(INDEX('Aub Demand'!S:S,MATCH(O74,'Aub Demand'!A:A,0)),"")</f>
        <v>1059</v>
      </c>
      <c r="L74" s="25">
        <f>IFERROR(INDEX('Aub Demand'!R:R,MATCH(O74,'Aub Demand'!A:A,0)),"")</f>
        <v>0</v>
      </c>
      <c r="O74" s="27" t="s">
        <v>207</v>
      </c>
      <c r="P74" s="27" t="str">
        <f>IFERROR(INDEX('Aub Demand'!B:B,MATCH($O74,'Aub Demand'!$A:$A,0)),"")</f>
        <v>SUPER MATTE</v>
      </c>
      <c r="Q74" s="27" t="str">
        <f>IFERROR(INDEX('Aub Demand'!C:C,MATCH($O74,'Aub Demand'!$A:$A,0)),"")</f>
        <v>SAPPI</v>
      </c>
      <c r="R74" s="52">
        <f>IFERROR(IF(AR75=AR74,INDEX('Aub Demand'!K:K,MATCH($O74,'Aub Demand'!$A:$A,0))-IF(AN74="",0,AN74)+AP75,INDEX('Aub Demand'!K:K,MATCH($O74,'Aub Demand'!$A:$A,0))-IF(AN74="",0,AN74)),"")</f>
        <v>8685</v>
      </c>
      <c r="S74" s="53">
        <f t="shared" si="28"/>
        <v>23.3</v>
      </c>
      <c r="T74" s="52" t="str">
        <f t="shared" si="29"/>
        <v/>
      </c>
      <c r="U74" s="52">
        <f>IFERROR(IF(AR75=AR74,INDEX('Aub Demand'!Q:Q,MATCH($O74,'Aub Demand'!$A:$A,0))-IF(AN74="",0,AN74)+AP75,INDEX('Aub Demand'!Q:Q,MATCH($O74,'Aub Demand'!$A:$A,0))-IF(AN74="",0,AN74)),"")</f>
        <v>7386</v>
      </c>
      <c r="V74" s="53">
        <f t="shared" si="30"/>
        <v>19.8</v>
      </c>
      <c r="W74" s="52" t="str">
        <f t="shared" si="31"/>
        <v/>
      </c>
      <c r="X74" s="52">
        <f>IFERROR(IF(AND(AR75=AR74,AM74&lt;&gt;""),INDEX('Aub Demand'!Q:Q,MATCH($O74,'Aub Demand'!$A:$A,0))-IF(AN74="",0,AN74)+AP75+AD74+AL74,IF(AR75=AR74,INDEX('Aub Demand'!Q:Q,MATCH($O74,'Aub Demand'!$A:$A,0))-IF(AN74="",0,AN74)+AP75+AD74,IF(AM74&lt;&gt;"",INDEX('Aub Demand'!Q:Q,MATCH($O74,'Aub Demand'!$A:$A,0))-IF(AN74="",0,AN74)+AD74+AL74,INDEX('Aub Demand'!Q:Q,MATCH($O74,'Aub Demand'!$A:$A,0))-IF(AN74="",0,AN74)+AD74))),"")</f>
        <v>7386</v>
      </c>
      <c r="Y74" s="53">
        <f t="shared" si="32"/>
        <v>19.8</v>
      </c>
      <c r="Z74" s="52">
        <f>IF(L74="","",INDEX('Aub Demand'!H:H,MATCH($O74,'Aub Demand'!$A:$A,0)))</f>
        <v>1599</v>
      </c>
      <c r="AA74" s="52">
        <f t="shared" si="33"/>
        <v>1869</v>
      </c>
      <c r="AB74" s="52">
        <f>IFERROR(INDEX('Aub Demand'!L:L,MATCH($O74,'Aub Demand'!$A:$A,0)),"")</f>
        <v>673</v>
      </c>
      <c r="AC74" s="52">
        <f>IFERROR(IF(O74="","",SUMIFS('CPL Mats'!F:F,'CPL Mats'!Q:Q,AR74,'CPL Mats'!S:S,AS74)),"")</f>
        <v>0</v>
      </c>
      <c r="AF74" s="25">
        <f>IF(SUMIFS('Supp Consol'!S:S,'Supp Consol'!Y:Y,"Releasable",'Supp Consol'!A:A,O74)=0,"",SUMIFS('Supp Consol'!S:S,'Supp Consol'!Y:Y,"Releasable",'Supp Consol'!A:A,O74))</f>
        <v>16197</v>
      </c>
      <c r="AG74" s="25" t="str">
        <f>IFERROR(INDEX('Hun Demand'!Q:Q,MATCH(O74,'Hun Demand'!A:A,0)),"")</f>
        <v/>
      </c>
      <c r="AH74" s="25" t="str">
        <f>IFERROR(INDEX('Hun Demand'!H:H,MATCH($O74,'Hun Demand'!$A:$A,0)),"")</f>
        <v/>
      </c>
      <c r="AI74" s="25">
        <f>IF(SUMIFS('Supp Consol'!AA:AA,'Supp Consol'!Z:Z,"Expires this month",'Supp Consol'!A:A,O74)=0,"",SUMIFS('Supp Consol'!AA:AA,'Supp Consol'!Z:Z,"Expires this month",'Supp Consol'!A:A,O74))</f>
        <v>16197</v>
      </c>
      <c r="AJ74" s="25" t="str">
        <f>IF(SUMIFS('Supp Consol'!AA:AA,'Supp Consol'!Z:Z,"Expired Previous Months",'Supp Consol'!A:A,O74)=0,"",SUMIFS('Supp Consol'!AA:AA,'Supp Consol'!Z:Z,"Expired Previous Months",'Supp Consol'!A:A,O74))</f>
        <v/>
      </c>
      <c r="AK74" s="25" t="str">
        <f>IFERROR(INDEX('Hun Release Current'!B:B,MATCH(O74,'Hun Release Current'!A:A,0)),"")</f>
        <v/>
      </c>
      <c r="AL74" s="25" t="str">
        <f>IF(SUMIF('Prev Aub'!A:A,O74,'Prev Aub'!B:B)=0,"",SUMIF('Prev Aub'!A:A,O74,'Prev Aub'!B:B))</f>
        <v/>
      </c>
      <c r="AN74" s="25" t="s">
        <v>3790</v>
      </c>
      <c r="AO74" s="25" t="s">
        <v>3790</v>
      </c>
      <c r="AP74" s="25">
        <f t="shared" si="34"/>
        <v>0</v>
      </c>
      <c r="AQ74" s="151" t="str">
        <f>IF(SUMIFS('Supp Consol'!S:S,'Supp Consol'!A:A,O74,'Supp Consol'!I:I,"PENDING")=0,"",SUMIFS('Supp Consol'!S:S,'Supp Consol'!A:A,O74,'Supp Consol'!I:I,"PENDING"))</f>
        <v/>
      </c>
      <c r="AR74" s="27" t="str">
        <f t="shared" si="35"/>
        <v>00326</v>
      </c>
      <c r="AS74" s="27" t="str">
        <f t="shared" si="36"/>
        <v>50</v>
      </c>
      <c r="AT74" s="27" t="str">
        <f t="shared" si="37"/>
        <v/>
      </c>
      <c r="AU74" s="27" t="str">
        <f t="shared" si="38"/>
        <v/>
      </c>
      <c r="AV74" s="27" t="str">
        <f t="shared" si="39"/>
        <v/>
      </c>
      <c r="AW74" s="27" t="str">
        <f t="shared" si="40"/>
        <v>00326</v>
      </c>
      <c r="AX74" s="27" t="str">
        <f t="shared" si="41"/>
        <v>00326</v>
      </c>
      <c r="AY74" s="27" t="str">
        <f t="shared" si="42"/>
        <v/>
      </c>
      <c r="AZ74" s="27" t="str">
        <f t="shared" si="43"/>
        <v>Supp</v>
      </c>
      <c r="BA74" s="27" t="str">
        <f t="shared" si="44"/>
        <v/>
      </c>
      <c r="BB74" s="27" t="str">
        <f t="shared" si="45"/>
        <v/>
      </c>
      <c r="BC74" s="27" t="str">
        <f t="shared" si="46"/>
        <v/>
      </c>
      <c r="BD74" s="27" t="str">
        <f t="shared" si="47"/>
        <v/>
      </c>
      <c r="BE74" s="27" t="str">
        <f t="shared" si="48"/>
        <v>Exp</v>
      </c>
      <c r="BF74" s="27" t="str">
        <f t="shared" si="49"/>
        <v/>
      </c>
      <c r="BG74" s="27" t="str">
        <f t="shared" si="50"/>
        <v>S+NorE</v>
      </c>
      <c r="BH74" s="27" t="str">
        <f t="shared" si="51"/>
        <v/>
      </c>
      <c r="BI74" s="27" t="str">
        <f t="shared" si="52"/>
        <v/>
      </c>
      <c r="BJ74" s="27" t="str">
        <f t="shared" si="53"/>
        <v>Supp or Hun</v>
      </c>
      <c r="BK74" s="27" t="str">
        <f t="shared" si="54"/>
        <v/>
      </c>
      <c r="BL74" s="27" t="str">
        <f t="shared" si="55"/>
        <v>SorHandNandE</v>
      </c>
      <c r="BM74" s="21" t="s">
        <v>5581</v>
      </c>
    </row>
    <row r="75" spans="1:65" ht="15">
      <c r="A75" s="25" t="str">
        <f>IFERROR(INDEX('Hun Demand'!W:W,MATCH(O75,'Hun Demand'!A:A,0)),"")</f>
        <v/>
      </c>
      <c r="B75" s="25" t="str">
        <f>IFERROR(INDEX('Hun Demand'!V:V,MATCH(O75,'Hun Demand'!A:A,0)),"")</f>
        <v/>
      </c>
      <c r="C75" s="25" t="str">
        <f>IFERROR(INDEX('Hun Demand'!U:U,MATCH(O75,'Hun Demand'!A:A,0)),"")</f>
        <v/>
      </c>
      <c r="D75" s="25" t="str">
        <f>IFERROR(INDEX('Hun Demand'!T:T,MATCH(O75,'Hun Demand'!A:A,0)),"")</f>
        <v/>
      </c>
      <c r="E75" s="25" t="str">
        <f>IFERROR(INDEX('Hun Demand'!S:S,MATCH(O75,'Hun Demand'!A:A,0)),"")</f>
        <v/>
      </c>
      <c r="F75" s="25" t="str">
        <f>IFERROR(INDEX('Hun Demand'!R:R,MATCH(O75,'Hun Demand'!A:A,0)),"")</f>
        <v/>
      </c>
      <c r="G75" s="25">
        <f>IFERROR(INDEX('Aub Demand'!W:W,MATCH(O75,'Aub Demand'!A:A,0)),"")</f>
        <v>2360</v>
      </c>
      <c r="H75" s="25">
        <f>IFERROR(INDEX('Aub Demand'!V:V,MATCH(O75,'Aub Demand'!A:A,0)),"")</f>
        <v>0</v>
      </c>
      <c r="I75" s="25">
        <f>IFERROR(INDEX('Aub Demand'!U:U,MATCH(O75,'Aub Demand'!A:A,0)),"")</f>
        <v>1317</v>
      </c>
      <c r="J75" s="25">
        <f>IFERROR(INDEX('Aub Demand'!T:T,MATCH(O75,'Aub Demand'!A:A,0)),"")</f>
        <v>566</v>
      </c>
      <c r="K75" s="25">
        <f>IFERROR(INDEX('Aub Demand'!S:S,MATCH(O75,'Aub Demand'!A:A,0)),"")</f>
        <v>459</v>
      </c>
      <c r="L75" s="25">
        <f>IFERROR(INDEX('Aub Demand'!R:R,MATCH(O75,'Aub Demand'!A:A,0)),"")</f>
        <v>0</v>
      </c>
      <c r="O75" s="27" t="s">
        <v>210</v>
      </c>
      <c r="P75" s="27" t="str">
        <f>IFERROR(INDEX('Aub Demand'!B:B,MATCH($O75,'Aub Demand'!$A:$A,0)),"")</f>
        <v>SUPER MATTE</v>
      </c>
      <c r="Q75" s="27" t="str">
        <f>IFERROR(INDEX('Aub Demand'!C:C,MATCH($O75,'Aub Demand'!$A:$A,0)),"")</f>
        <v>SAPPI</v>
      </c>
      <c r="R75" s="52">
        <f>IFERROR(IF(AR76=AR75,INDEX('Aub Demand'!K:K,MATCH($O75,'Aub Demand'!$A:$A,0))-IF(AN75="",0,AN75)+AP76,INDEX('Aub Demand'!K:K,MATCH($O75,'Aub Demand'!$A:$A,0))-IF(AN75="",0,AN75)),"")</f>
        <v>3449</v>
      </c>
      <c r="S75" s="53">
        <f t="shared" si="28"/>
        <v>18.899999999999999</v>
      </c>
      <c r="T75" s="52" t="str">
        <f t="shared" si="29"/>
        <v/>
      </c>
      <c r="U75" s="52">
        <f>IFERROR(IF(AR76=AR75,INDEX('Aub Demand'!Q:Q,MATCH($O75,'Aub Demand'!$A:$A,0))-IF(AN75="",0,AN75)+AP76,INDEX('Aub Demand'!Q:Q,MATCH($O75,'Aub Demand'!$A:$A,0))-IF(AN75="",0,AN75)),"")</f>
        <v>3219</v>
      </c>
      <c r="V75" s="53">
        <f t="shared" si="30"/>
        <v>17.7</v>
      </c>
      <c r="W75" s="52" t="str">
        <f t="shared" si="31"/>
        <v/>
      </c>
      <c r="X75" s="52">
        <f>IFERROR(IF(AND(AR76=AR75,AM75&lt;&gt;""),INDEX('Aub Demand'!Q:Q,MATCH($O75,'Aub Demand'!$A:$A,0))-IF(AN75="",0,AN75)+AP76+AD75+AL75,IF(AR76=AR75,INDEX('Aub Demand'!Q:Q,MATCH($O75,'Aub Demand'!$A:$A,0))-IF(AN75="",0,AN75)+AP76+AD75,IF(AM75&lt;&gt;"",INDEX('Aub Demand'!Q:Q,MATCH($O75,'Aub Demand'!$A:$A,0))-IF(AN75="",0,AN75)+AD75+AL75,INDEX('Aub Demand'!Q:Q,MATCH($O75,'Aub Demand'!$A:$A,0))-IF(AN75="",0,AN75)+AD75))),"")</f>
        <v>3219</v>
      </c>
      <c r="Y75" s="53">
        <f t="shared" si="32"/>
        <v>17.7</v>
      </c>
      <c r="Z75" s="52">
        <f>IF(L75="","",INDEX('Aub Demand'!H:H,MATCH($O75,'Aub Demand'!$A:$A,0)))</f>
        <v>781</v>
      </c>
      <c r="AA75" s="52">
        <f t="shared" si="33"/>
        <v>941.5</v>
      </c>
      <c r="AB75" s="52">
        <f>IFERROR(INDEX('Aub Demand'!L:L,MATCH($O75,'Aub Demand'!$A:$A,0)),"")</f>
        <v>397</v>
      </c>
      <c r="AC75" s="52">
        <f>IFERROR(IF(O75="","",SUMIFS('CPL Mats'!F:F,'CPL Mats'!Q:Q,AR75,'CPL Mats'!S:S,AS75)),"")</f>
        <v>0</v>
      </c>
      <c r="AF75" s="25">
        <f>IF(SUMIFS('Supp Consol'!S:S,'Supp Consol'!Y:Y,"Releasable",'Supp Consol'!A:A,O75)=0,"",SUMIFS('Supp Consol'!S:S,'Supp Consol'!Y:Y,"Releasable",'Supp Consol'!A:A,O75))</f>
        <v>7707</v>
      </c>
      <c r="AG75" s="25" t="str">
        <f>IFERROR(INDEX('Hun Demand'!Q:Q,MATCH(O75,'Hun Demand'!A:A,0)),"")</f>
        <v/>
      </c>
      <c r="AH75" s="25" t="str">
        <f>IFERROR(INDEX('Hun Demand'!H:H,MATCH($O75,'Hun Demand'!$A:$A,0)),"")</f>
        <v/>
      </c>
      <c r="AI75" s="25">
        <f>IF(SUMIFS('Supp Consol'!AA:AA,'Supp Consol'!Z:Z,"Expires this month",'Supp Consol'!A:A,O75)=0,"",SUMIFS('Supp Consol'!AA:AA,'Supp Consol'!Z:Z,"Expires this month",'Supp Consol'!A:A,O75))</f>
        <v>7707</v>
      </c>
      <c r="AJ75" s="25" t="str">
        <f>IF(SUMIFS('Supp Consol'!AA:AA,'Supp Consol'!Z:Z,"Expired Previous Months",'Supp Consol'!A:A,O75)=0,"",SUMIFS('Supp Consol'!AA:AA,'Supp Consol'!Z:Z,"Expired Previous Months",'Supp Consol'!A:A,O75))</f>
        <v/>
      </c>
      <c r="AK75" s="25" t="str">
        <f>IFERROR(INDEX('Hun Release Current'!B:B,MATCH(O75,'Hun Release Current'!A:A,0)),"")</f>
        <v/>
      </c>
      <c r="AL75" s="25" t="str">
        <f>IF(SUMIF('Prev Aub'!A:A,O75,'Prev Aub'!B:B)=0,"",SUMIF('Prev Aub'!A:A,O75,'Prev Aub'!B:B))</f>
        <v/>
      </c>
      <c r="AN75" s="25" t="s">
        <v>3790</v>
      </c>
      <c r="AO75" s="25" t="s">
        <v>3790</v>
      </c>
      <c r="AP75" s="25">
        <f t="shared" si="34"/>
        <v>0</v>
      </c>
      <c r="AQ75" s="151" t="str">
        <f>IF(SUMIFS('Supp Consol'!S:S,'Supp Consol'!A:A,O75,'Supp Consol'!I:I,"PENDING")=0,"",SUMIFS('Supp Consol'!S:S,'Supp Consol'!A:A,O75,'Supp Consol'!I:I,"PENDING"))</f>
        <v/>
      </c>
      <c r="AR75" s="27" t="str">
        <f t="shared" si="35"/>
        <v>00326</v>
      </c>
      <c r="AS75" s="27" t="str">
        <f t="shared" si="36"/>
        <v>62</v>
      </c>
      <c r="AT75" s="27" t="str">
        <f t="shared" si="37"/>
        <v/>
      </c>
      <c r="AU75" s="27" t="str">
        <f t="shared" si="38"/>
        <v/>
      </c>
      <c r="AV75" s="27" t="str">
        <f t="shared" si="39"/>
        <v/>
      </c>
      <c r="AW75" s="27" t="str">
        <f t="shared" si="40"/>
        <v>00326</v>
      </c>
      <c r="AX75" s="27" t="str">
        <f t="shared" si="41"/>
        <v>00326</v>
      </c>
      <c r="AY75" s="27" t="str">
        <f t="shared" si="42"/>
        <v/>
      </c>
      <c r="AZ75" s="27" t="str">
        <f t="shared" si="43"/>
        <v>Supp</v>
      </c>
      <c r="BA75" s="27" t="str">
        <f t="shared" si="44"/>
        <v/>
      </c>
      <c r="BB75" s="27" t="str">
        <f t="shared" si="45"/>
        <v/>
      </c>
      <c r="BC75" s="27" t="str">
        <f t="shared" si="46"/>
        <v/>
      </c>
      <c r="BD75" s="27" t="str">
        <f t="shared" si="47"/>
        <v/>
      </c>
      <c r="BE75" s="27" t="str">
        <f t="shared" si="48"/>
        <v>Exp</v>
      </c>
      <c r="BF75" s="27" t="str">
        <f t="shared" si="49"/>
        <v/>
      </c>
      <c r="BG75" s="27" t="str">
        <f t="shared" si="50"/>
        <v>S+NorE</v>
      </c>
      <c r="BH75" s="27" t="str">
        <f t="shared" si="51"/>
        <v/>
      </c>
      <c r="BI75" s="27" t="str">
        <f t="shared" si="52"/>
        <v/>
      </c>
      <c r="BJ75" s="27" t="str">
        <f t="shared" si="53"/>
        <v>Supp or Hun</v>
      </c>
      <c r="BK75" s="27" t="str">
        <f t="shared" si="54"/>
        <v/>
      </c>
      <c r="BL75" s="27" t="str">
        <f t="shared" si="55"/>
        <v>SorHandNandE</v>
      </c>
      <c r="BM75" s="21" t="s">
        <v>5581</v>
      </c>
    </row>
    <row r="76" spans="1:65" ht="15">
      <c r="A76" s="25" t="str">
        <f>IFERROR(INDEX('Hun Demand'!W:W,MATCH(O76,'Hun Demand'!A:A,0)),"")</f>
        <v/>
      </c>
      <c r="B76" s="25" t="str">
        <f>IFERROR(INDEX('Hun Demand'!V:V,MATCH(O76,'Hun Demand'!A:A,0)),"")</f>
        <v/>
      </c>
      <c r="C76" s="25" t="str">
        <f>IFERROR(INDEX('Hun Demand'!U:U,MATCH(O76,'Hun Demand'!A:A,0)),"")</f>
        <v/>
      </c>
      <c r="D76" s="25" t="str">
        <f>IFERROR(INDEX('Hun Demand'!T:T,MATCH(O76,'Hun Demand'!A:A,0)),"")</f>
        <v/>
      </c>
      <c r="E76" s="25" t="str">
        <f>IFERROR(INDEX('Hun Demand'!S:S,MATCH(O76,'Hun Demand'!A:A,0)),"")</f>
        <v/>
      </c>
      <c r="F76" s="25" t="str">
        <f>IFERROR(INDEX('Hun Demand'!R:R,MATCH(O76,'Hun Demand'!A:A,0)),"")</f>
        <v/>
      </c>
      <c r="G76" s="25">
        <f>IFERROR(INDEX('Aub Demand'!W:W,MATCH(O76,'Aub Demand'!A:A,0)),"")</f>
        <v>564</v>
      </c>
      <c r="H76" s="25">
        <f>IFERROR(INDEX('Aub Demand'!V:V,MATCH(O76,'Aub Demand'!A:A,0)),"")</f>
        <v>237</v>
      </c>
      <c r="I76" s="25">
        <f>IFERROR(INDEX('Aub Demand'!U:U,MATCH(O76,'Aub Demand'!A:A,0)),"")</f>
        <v>324</v>
      </c>
      <c r="J76" s="25">
        <f>IFERROR(INDEX('Aub Demand'!T:T,MATCH(O76,'Aub Demand'!A:A,0)),"")</f>
        <v>0</v>
      </c>
      <c r="K76" s="25">
        <f>IFERROR(INDEX('Aub Demand'!S:S,MATCH(O76,'Aub Demand'!A:A,0)),"")</f>
        <v>0</v>
      </c>
      <c r="L76" s="25">
        <f>IFERROR(INDEX('Aub Demand'!R:R,MATCH(O76,'Aub Demand'!A:A,0)),"")</f>
        <v>120</v>
      </c>
      <c r="O76" s="27" t="s">
        <v>211</v>
      </c>
      <c r="P76" s="27" t="str">
        <f>IFERROR(INDEX('Aub Demand'!B:B,MATCH($O76,'Aub Demand'!$A:$A,0)),"")</f>
        <v>BARNBOARD</v>
      </c>
      <c r="Q76" s="27" t="str">
        <f>IFERROR(INDEX('Aub Demand'!C:C,MATCH($O76,'Aub Demand'!$A:$A,0)),"")</f>
        <v>SAPPI</v>
      </c>
      <c r="R76" s="52">
        <f>IFERROR(IF(AR77=AR76,INDEX('Aub Demand'!K:K,MATCH($O76,'Aub Demand'!$A:$A,0))-IF(AN76="",0,AN76)+AP77,INDEX('Aub Demand'!K:K,MATCH($O76,'Aub Demand'!$A:$A,0))-IF(AN76="",0,AN76)),"")</f>
        <v>1665</v>
      </c>
      <c r="S76" s="53">
        <f t="shared" si="28"/>
        <v>66.099999999999994</v>
      </c>
      <c r="T76" s="52" t="str">
        <f t="shared" si="29"/>
        <v/>
      </c>
      <c r="U76" s="52">
        <f>IFERROR(IF(AR77=AR76,INDEX('Aub Demand'!Q:Q,MATCH($O76,'Aub Demand'!$A:$A,0))-IF(AN76="",0,AN76)+AP77,INDEX('Aub Demand'!Q:Q,MATCH($O76,'Aub Demand'!$A:$A,0))-IF(AN76="",0,AN76)),"")</f>
        <v>1385</v>
      </c>
      <c r="V76" s="53">
        <f t="shared" si="30"/>
        <v>55</v>
      </c>
      <c r="W76" s="52" t="str">
        <f t="shared" si="31"/>
        <v/>
      </c>
      <c r="X76" s="52">
        <f>IFERROR(IF(AND(AR77=AR76,AM76&lt;&gt;""),INDEX('Aub Demand'!Q:Q,MATCH($O76,'Aub Demand'!$A:$A,0))-IF(AN76="",0,AN76)+AP77+AD76+AL76,IF(AR77=AR76,INDEX('Aub Demand'!Q:Q,MATCH($O76,'Aub Demand'!$A:$A,0))-IF(AN76="",0,AN76)+AP77+AD76,IF(AM76&lt;&gt;"",INDEX('Aub Demand'!Q:Q,MATCH($O76,'Aub Demand'!$A:$A,0))-IF(AN76="",0,AN76)+AD76+AL76,INDEX('Aub Demand'!Q:Q,MATCH($O76,'Aub Demand'!$A:$A,0))-IF(AN76="",0,AN76)+AD76))),"")</f>
        <v>1385</v>
      </c>
      <c r="Y76" s="53">
        <f t="shared" si="32"/>
        <v>55</v>
      </c>
      <c r="Z76" s="52">
        <f>IF(L76="","",INDEX('Aub Demand'!H:H,MATCH($O76,'Aub Demand'!$A:$A,0)))</f>
        <v>108</v>
      </c>
      <c r="AA76" s="52">
        <f t="shared" si="33"/>
        <v>222</v>
      </c>
      <c r="AB76" s="52">
        <f>IFERROR(INDEX('Aub Demand'!L:L,MATCH($O76,'Aub Demand'!$A:$A,0)),"")</f>
        <v>232</v>
      </c>
      <c r="AC76" s="52">
        <f>IFERROR(IF(O76="","",SUMIFS('CPL Mats'!F:F,'CPL Mats'!Q:Q,AR76,'CPL Mats'!S:S,AS76)),"")</f>
        <v>0</v>
      </c>
      <c r="AF76" s="25" t="str">
        <f>IF(SUMIFS('Supp Consol'!S:S,'Supp Consol'!Y:Y,"Releasable",'Supp Consol'!A:A,O76)=0,"",SUMIFS('Supp Consol'!S:S,'Supp Consol'!Y:Y,"Releasable",'Supp Consol'!A:A,O76))</f>
        <v/>
      </c>
      <c r="AG76" s="25" t="str">
        <f>IFERROR(INDEX('Hun Demand'!Q:Q,MATCH(O76,'Hun Demand'!A:A,0)),"")</f>
        <v/>
      </c>
      <c r="AH76" s="25" t="str">
        <f>IFERROR(INDEX('Hun Demand'!H:H,MATCH($O76,'Hun Demand'!$A:$A,0)),"")</f>
        <v/>
      </c>
      <c r="AI76" s="25" t="str">
        <f>IF(SUMIFS('Supp Consol'!AA:AA,'Supp Consol'!Z:Z,"Expires this month",'Supp Consol'!A:A,O76)=0,"",SUMIFS('Supp Consol'!AA:AA,'Supp Consol'!Z:Z,"Expires this month",'Supp Consol'!A:A,O76))</f>
        <v/>
      </c>
      <c r="AJ76" s="25" t="str">
        <f>IF(SUMIFS('Supp Consol'!AA:AA,'Supp Consol'!Z:Z,"Expired Previous Months",'Supp Consol'!A:A,O76)=0,"",SUMIFS('Supp Consol'!AA:AA,'Supp Consol'!Z:Z,"Expired Previous Months",'Supp Consol'!A:A,O76))</f>
        <v/>
      </c>
      <c r="AK76" s="25" t="str">
        <f>IFERROR(INDEX('Hun Release Current'!B:B,MATCH(O76,'Hun Release Current'!A:A,0)),"")</f>
        <v/>
      </c>
      <c r="AL76" s="25" t="str">
        <f>IF(SUMIF('Prev Aub'!A:A,O76,'Prev Aub'!B:B)=0,"",SUMIF('Prev Aub'!A:A,O76,'Prev Aub'!B:B))</f>
        <v/>
      </c>
      <c r="AN76" s="25" t="s">
        <v>3790</v>
      </c>
      <c r="AO76" s="25" t="s">
        <v>3790</v>
      </c>
      <c r="AP76" s="25">
        <f t="shared" si="34"/>
        <v>0</v>
      </c>
      <c r="AQ76" s="151" t="str">
        <f>IF(SUMIFS('Supp Consol'!S:S,'Supp Consol'!A:A,O76,'Supp Consol'!I:I,"PENDING")=0,"",SUMIFS('Supp Consol'!S:S,'Supp Consol'!A:A,O76,'Supp Consol'!I:I,"PENDING"))</f>
        <v/>
      </c>
      <c r="AR76" s="27" t="str">
        <f t="shared" si="35"/>
        <v>00327</v>
      </c>
      <c r="AS76" s="27" t="str">
        <f t="shared" si="36"/>
        <v>50</v>
      </c>
      <c r="AT76" s="27" t="str">
        <f t="shared" si="37"/>
        <v/>
      </c>
      <c r="AU76" s="27" t="str">
        <f t="shared" si="38"/>
        <v/>
      </c>
      <c r="AV76" s="27" t="str">
        <f t="shared" si="39"/>
        <v/>
      </c>
      <c r="AW76" s="27" t="str">
        <f t="shared" si="40"/>
        <v/>
      </c>
      <c r="AX76" s="27" t="str">
        <f t="shared" si="41"/>
        <v/>
      </c>
      <c r="AY76" s="27" t="str">
        <f t="shared" si="42"/>
        <v/>
      </c>
      <c r="AZ76" s="27" t="str">
        <f t="shared" si="43"/>
        <v/>
      </c>
      <c r="BA76" s="27" t="str">
        <f t="shared" si="44"/>
        <v/>
      </c>
      <c r="BB76" s="27" t="str">
        <f t="shared" si="45"/>
        <v/>
      </c>
      <c r="BC76" s="27" t="str">
        <f t="shared" si="46"/>
        <v/>
      </c>
      <c r="BD76" s="27" t="str">
        <f t="shared" si="47"/>
        <v/>
      </c>
      <c r="BE76" s="27" t="str">
        <f t="shared" si="48"/>
        <v/>
      </c>
      <c r="BF76" s="27" t="str">
        <f t="shared" si="49"/>
        <v/>
      </c>
      <c r="BG76" s="27" t="str">
        <f t="shared" si="50"/>
        <v/>
      </c>
      <c r="BH76" s="27" t="str">
        <f t="shared" si="51"/>
        <v/>
      </c>
      <c r="BI76" s="27" t="str">
        <f t="shared" si="52"/>
        <v/>
      </c>
      <c r="BJ76" s="27" t="str">
        <f t="shared" si="53"/>
        <v/>
      </c>
      <c r="BK76" s="27" t="str">
        <f t="shared" si="54"/>
        <v/>
      </c>
      <c r="BL76" s="27" t="str">
        <f t="shared" si="55"/>
        <v/>
      </c>
      <c r="BM76" s="21" t="s">
        <v>5581</v>
      </c>
    </row>
    <row r="77" spans="1:65" ht="15">
      <c r="A77" s="25" t="str">
        <f>IFERROR(INDEX('Hun Demand'!W:W,MATCH(O77,'Hun Demand'!A:A,0)),"")</f>
        <v/>
      </c>
      <c r="B77" s="25" t="str">
        <f>IFERROR(INDEX('Hun Demand'!V:V,MATCH(O77,'Hun Demand'!A:A,0)),"")</f>
        <v/>
      </c>
      <c r="C77" s="25" t="str">
        <f>IFERROR(INDEX('Hun Demand'!U:U,MATCH(O77,'Hun Demand'!A:A,0)),"")</f>
        <v/>
      </c>
      <c r="D77" s="25" t="str">
        <f>IFERROR(INDEX('Hun Demand'!T:T,MATCH(O77,'Hun Demand'!A:A,0)),"")</f>
        <v/>
      </c>
      <c r="E77" s="25" t="str">
        <f>IFERROR(INDEX('Hun Demand'!S:S,MATCH(O77,'Hun Demand'!A:A,0)),"")</f>
        <v/>
      </c>
      <c r="F77" s="25" t="str">
        <f>IFERROR(INDEX('Hun Demand'!R:R,MATCH(O77,'Hun Demand'!A:A,0)),"")</f>
        <v/>
      </c>
      <c r="G77" s="25">
        <f>IFERROR(INDEX('Aub Demand'!W:W,MATCH(O77,'Aub Demand'!A:A,0)),"")</f>
        <v>0</v>
      </c>
      <c r="H77" s="25">
        <f>IFERROR(INDEX('Aub Demand'!V:V,MATCH(O77,'Aub Demand'!A:A,0)),"")</f>
        <v>0</v>
      </c>
      <c r="I77" s="25">
        <f>IFERROR(INDEX('Aub Demand'!U:U,MATCH(O77,'Aub Demand'!A:A,0)),"")</f>
        <v>0</v>
      </c>
      <c r="J77" s="25">
        <f>IFERROR(INDEX('Aub Demand'!T:T,MATCH(O77,'Aub Demand'!A:A,0)),"")</f>
        <v>0</v>
      </c>
      <c r="K77" s="25">
        <f>IFERROR(INDEX('Aub Demand'!S:S,MATCH(O77,'Aub Demand'!A:A,0)),"")</f>
        <v>0</v>
      </c>
      <c r="L77" s="25">
        <f>IFERROR(INDEX('Aub Demand'!R:R,MATCH(O77,'Aub Demand'!A:A,0)),"")</f>
        <v>0</v>
      </c>
      <c r="O77" s="27" t="s">
        <v>213</v>
      </c>
      <c r="P77" s="27" t="str">
        <f>IFERROR(INDEX('Aub Demand'!B:B,MATCH($O77,'Aub Demand'!$A:$A,0)),"")</f>
        <v>BARNBOARD</v>
      </c>
      <c r="Q77" s="27" t="str">
        <f>IFERROR(INDEX('Aub Demand'!C:C,MATCH($O77,'Aub Demand'!$A:$A,0)),"")</f>
        <v>SAPPI</v>
      </c>
      <c r="R77" s="52">
        <f>IFERROR(IF(AR78=AR77,INDEX('Aub Demand'!K:K,MATCH($O77,'Aub Demand'!$A:$A,0))-IF(AN77="",0,AN77)+AP78,INDEX('Aub Demand'!K:K,MATCH($O77,'Aub Demand'!$A:$A,0))-IF(AN77="",0,AN77)),"")</f>
        <v>1925</v>
      </c>
      <c r="S77" s="53" t="str">
        <f t="shared" si="28"/>
        <v>n/a</v>
      </c>
      <c r="T77" s="52" t="str">
        <f t="shared" si="29"/>
        <v/>
      </c>
      <c r="U77" s="52">
        <f>IFERROR(IF(AR78=AR77,INDEX('Aub Demand'!Q:Q,MATCH($O77,'Aub Demand'!$A:$A,0))-IF(AN77="",0,AN77)+AP78,INDEX('Aub Demand'!Q:Q,MATCH($O77,'Aub Demand'!$A:$A,0))-IF(AN77="",0,AN77)),"")</f>
        <v>1925</v>
      </c>
      <c r="V77" s="53" t="str">
        <f t="shared" si="30"/>
        <v>n/a</v>
      </c>
      <c r="W77" s="52" t="str">
        <f t="shared" si="31"/>
        <v/>
      </c>
      <c r="X77" s="52">
        <f>IFERROR(IF(AND(AR78=AR77,AM77&lt;&gt;""),INDEX('Aub Demand'!Q:Q,MATCH($O77,'Aub Demand'!$A:$A,0))-IF(AN77="",0,AN77)+AP78+AD77+AL77,IF(AR78=AR77,INDEX('Aub Demand'!Q:Q,MATCH($O77,'Aub Demand'!$A:$A,0))-IF(AN77="",0,AN77)+AP78+AD77,IF(AM77&lt;&gt;"",INDEX('Aub Demand'!Q:Q,MATCH($O77,'Aub Demand'!$A:$A,0))-IF(AN77="",0,AN77)+AD77+AL77,INDEX('Aub Demand'!Q:Q,MATCH($O77,'Aub Demand'!$A:$A,0))-IF(AN77="",0,AN77)+AD77))),"")</f>
        <v>1925</v>
      </c>
      <c r="Y77" s="53" t="str">
        <f t="shared" si="32"/>
        <v>n/a</v>
      </c>
      <c r="Z77" s="52">
        <f>IF(L77="","",INDEX('Aub Demand'!H:H,MATCH($O77,'Aub Demand'!$A:$A,0)))</f>
        <v>0</v>
      </c>
      <c r="AA77" s="52" t="str">
        <f t="shared" si="33"/>
        <v>-spike-</v>
      </c>
      <c r="AB77" s="52">
        <f>IFERROR(INDEX('Aub Demand'!L:L,MATCH($O77,'Aub Demand'!$A:$A,0)),"")</f>
        <v>232</v>
      </c>
      <c r="AC77" s="52">
        <f>IFERROR(IF(O77="","",SUMIFS('CPL Mats'!F:F,'CPL Mats'!Q:Q,AR77,'CPL Mats'!S:S,AS77)),"")</f>
        <v>0</v>
      </c>
      <c r="AF77" s="25" t="str">
        <f>IF(SUMIFS('Supp Consol'!S:S,'Supp Consol'!Y:Y,"Releasable",'Supp Consol'!A:A,O77)=0,"",SUMIFS('Supp Consol'!S:S,'Supp Consol'!Y:Y,"Releasable",'Supp Consol'!A:A,O77))</f>
        <v/>
      </c>
      <c r="AG77" s="25" t="str">
        <f>IFERROR(INDEX('Hun Demand'!Q:Q,MATCH(O77,'Hun Demand'!A:A,0)),"")</f>
        <v/>
      </c>
      <c r="AH77" s="25" t="str">
        <f>IFERROR(INDEX('Hun Demand'!H:H,MATCH($O77,'Hun Demand'!$A:$A,0)),"")</f>
        <v/>
      </c>
      <c r="AI77" s="25" t="str">
        <f>IF(SUMIFS('Supp Consol'!AA:AA,'Supp Consol'!Z:Z,"Expires this month",'Supp Consol'!A:A,O77)=0,"",SUMIFS('Supp Consol'!AA:AA,'Supp Consol'!Z:Z,"Expires this month",'Supp Consol'!A:A,O77))</f>
        <v/>
      </c>
      <c r="AJ77" s="25" t="str">
        <f>IF(SUMIFS('Supp Consol'!AA:AA,'Supp Consol'!Z:Z,"Expired Previous Months",'Supp Consol'!A:A,O77)=0,"",SUMIFS('Supp Consol'!AA:AA,'Supp Consol'!Z:Z,"Expired Previous Months",'Supp Consol'!A:A,O77))</f>
        <v/>
      </c>
      <c r="AK77" s="25" t="str">
        <f>IFERROR(INDEX('Hun Release Current'!B:B,MATCH(O77,'Hun Release Current'!A:A,0)),"")</f>
        <v/>
      </c>
      <c r="AL77" s="25" t="str">
        <f>IF(SUMIF('Prev Aub'!A:A,O77,'Prev Aub'!B:B)=0,"",SUMIF('Prev Aub'!A:A,O77,'Prev Aub'!B:B))</f>
        <v/>
      </c>
      <c r="AN77" s="25" t="s">
        <v>3790</v>
      </c>
      <c r="AO77" s="25" t="s">
        <v>3790</v>
      </c>
      <c r="AP77" s="25">
        <f t="shared" si="34"/>
        <v>0</v>
      </c>
      <c r="AQ77" s="151" t="str">
        <f>IF(SUMIFS('Supp Consol'!S:S,'Supp Consol'!A:A,O77,'Supp Consol'!I:I,"PENDING")=0,"",SUMIFS('Supp Consol'!S:S,'Supp Consol'!A:A,O77,'Supp Consol'!I:I,"PENDING"))</f>
        <v/>
      </c>
      <c r="AR77" s="27" t="str">
        <f t="shared" si="35"/>
        <v>00327</v>
      </c>
      <c r="AS77" s="27" t="str">
        <f t="shared" si="36"/>
        <v>62</v>
      </c>
      <c r="AT77" s="27" t="str">
        <f t="shared" si="37"/>
        <v/>
      </c>
      <c r="AU77" s="27" t="str">
        <f t="shared" si="38"/>
        <v/>
      </c>
      <c r="AV77" s="27" t="str">
        <f t="shared" si="39"/>
        <v/>
      </c>
      <c r="AW77" s="27" t="str">
        <f t="shared" si="40"/>
        <v/>
      </c>
      <c r="AX77" s="27" t="str">
        <f t="shared" si="41"/>
        <v/>
      </c>
      <c r="AY77" s="27" t="str">
        <f t="shared" si="42"/>
        <v/>
      </c>
      <c r="AZ77" s="27" t="str">
        <f t="shared" si="43"/>
        <v/>
      </c>
      <c r="BA77" s="27" t="str">
        <f t="shared" si="44"/>
        <v/>
      </c>
      <c r="BB77" s="27" t="str">
        <f t="shared" si="45"/>
        <v/>
      </c>
      <c r="BC77" s="27" t="str">
        <f t="shared" si="46"/>
        <v/>
      </c>
      <c r="BD77" s="27" t="str">
        <f t="shared" si="47"/>
        <v/>
      </c>
      <c r="BE77" s="27" t="str">
        <f t="shared" si="48"/>
        <v/>
      </c>
      <c r="BF77" s="27" t="str">
        <f t="shared" si="49"/>
        <v/>
      </c>
      <c r="BG77" s="27" t="str">
        <f t="shared" si="50"/>
        <v/>
      </c>
      <c r="BH77" s="27" t="str">
        <f t="shared" si="51"/>
        <v/>
      </c>
      <c r="BI77" s="27" t="str">
        <f t="shared" si="52"/>
        <v/>
      </c>
      <c r="BJ77" s="27" t="str">
        <f t="shared" si="53"/>
        <v/>
      </c>
      <c r="BK77" s="27" t="str">
        <f t="shared" si="54"/>
        <v/>
      </c>
      <c r="BL77" s="27" t="str">
        <f t="shared" si="55"/>
        <v/>
      </c>
      <c r="BM77" s="21" t="s">
        <v>5581</v>
      </c>
    </row>
    <row r="78" spans="1:65" ht="15">
      <c r="A78" s="25" t="str">
        <f>IFERROR(INDEX('Hun Demand'!W:W,MATCH(O78,'Hun Demand'!A:A,0)),"")</f>
        <v/>
      </c>
      <c r="B78" s="25" t="str">
        <f>IFERROR(INDEX('Hun Demand'!V:V,MATCH(O78,'Hun Demand'!A:A,0)),"")</f>
        <v/>
      </c>
      <c r="C78" s="25" t="str">
        <f>IFERROR(INDEX('Hun Demand'!U:U,MATCH(O78,'Hun Demand'!A:A,0)),"")</f>
        <v/>
      </c>
      <c r="D78" s="25" t="str">
        <f>IFERROR(INDEX('Hun Demand'!T:T,MATCH(O78,'Hun Demand'!A:A,0)),"")</f>
        <v/>
      </c>
      <c r="E78" s="25" t="str">
        <f>IFERROR(INDEX('Hun Demand'!S:S,MATCH(O78,'Hun Demand'!A:A,0)),"")</f>
        <v/>
      </c>
      <c r="F78" s="25" t="str">
        <f>IFERROR(INDEX('Hun Demand'!R:R,MATCH(O78,'Hun Demand'!A:A,0)),"")</f>
        <v/>
      </c>
      <c r="G78" s="25">
        <f>IFERROR(INDEX('Aub Demand'!W:W,MATCH(O78,'Aub Demand'!A:A,0)),"")</f>
        <v>868</v>
      </c>
      <c r="H78" s="25">
        <f>IFERROR(INDEX('Aub Demand'!V:V,MATCH(O78,'Aub Demand'!A:A,0)),"")</f>
        <v>1369</v>
      </c>
      <c r="I78" s="25">
        <f>IFERROR(INDEX('Aub Demand'!U:U,MATCH(O78,'Aub Demand'!A:A,0)),"")</f>
        <v>505</v>
      </c>
      <c r="J78" s="25">
        <f>IFERROR(INDEX('Aub Demand'!T:T,MATCH(O78,'Aub Demand'!A:A,0)),"")</f>
        <v>947</v>
      </c>
      <c r="K78" s="25">
        <f>IFERROR(INDEX('Aub Demand'!S:S,MATCH(O78,'Aub Demand'!A:A,0)),"")</f>
        <v>476</v>
      </c>
      <c r="L78" s="25">
        <f>IFERROR(INDEX('Aub Demand'!R:R,MATCH(O78,'Aub Demand'!A:A,0)),"")</f>
        <v>0</v>
      </c>
      <c r="O78" s="27" t="s">
        <v>214</v>
      </c>
      <c r="P78" s="27" t="str">
        <f>IFERROR(INDEX('Aub Demand'!B:B,MATCH($O78,'Aub Demand'!$A:$A,0)),"")</f>
        <v>TIMBERLINE</v>
      </c>
      <c r="Q78" s="27" t="str">
        <f>IFERROR(INDEX('Aub Demand'!C:C,MATCH($O78,'Aub Demand'!$A:$A,0)),"")</f>
        <v>SAPPI</v>
      </c>
      <c r="R78" s="52">
        <f>IFERROR(IF(AR79=AR78,INDEX('Aub Demand'!K:K,MATCH($O78,'Aub Demand'!$A:$A,0))-IF(AN78="",0,AN78)+AP79,INDEX('Aub Demand'!K:K,MATCH($O78,'Aub Demand'!$A:$A,0))-IF(AN78="",0,AN78)),"")</f>
        <v>2349</v>
      </c>
      <c r="S78" s="53">
        <f t="shared" si="28"/>
        <v>15.7</v>
      </c>
      <c r="T78" s="52" t="str">
        <f t="shared" si="29"/>
        <v/>
      </c>
      <c r="U78" s="52">
        <f>IFERROR(IF(AR79=AR78,INDEX('Aub Demand'!Q:Q,MATCH($O78,'Aub Demand'!$A:$A,0))-IF(AN78="",0,AN78)+AP79,INDEX('Aub Demand'!Q:Q,MATCH($O78,'Aub Demand'!$A:$A,0))-IF(AN78="",0,AN78)),"")</f>
        <v>1672</v>
      </c>
      <c r="V78" s="53">
        <f t="shared" si="30"/>
        <v>11.1</v>
      </c>
      <c r="W78" s="52" t="str">
        <f t="shared" si="31"/>
        <v/>
      </c>
      <c r="X78" s="52">
        <f>IFERROR(IF(AND(AR79=AR78,AM78&lt;&gt;""),INDEX('Aub Demand'!Q:Q,MATCH($O78,'Aub Demand'!$A:$A,0))-IF(AN78="",0,AN78)+AP79+AD78+AL78,IF(AR79=AR78,INDEX('Aub Demand'!Q:Q,MATCH($O78,'Aub Demand'!$A:$A,0))-IF(AN78="",0,AN78)+AP79+AD78,IF(AM78&lt;&gt;"",INDEX('Aub Demand'!Q:Q,MATCH($O78,'Aub Demand'!$A:$A,0))-IF(AN78="",0,AN78)+AD78+AL78,INDEX('Aub Demand'!Q:Q,MATCH($O78,'Aub Demand'!$A:$A,0))-IF(AN78="",0,AN78)+AD78))),"")</f>
        <v>1672</v>
      </c>
      <c r="Y78" s="53">
        <f t="shared" si="32"/>
        <v>11.1</v>
      </c>
      <c r="Z78" s="52">
        <f>IF(L78="","",INDEX('Aub Demand'!H:H,MATCH($O78,'Aub Demand'!$A:$A,0)))</f>
        <v>643</v>
      </c>
      <c r="AA78" s="52">
        <f t="shared" si="33"/>
        <v>726</v>
      </c>
      <c r="AB78" s="52">
        <f>IFERROR(INDEX('Aub Demand'!L:L,MATCH($O78,'Aub Demand'!$A:$A,0)),"")</f>
        <v>470</v>
      </c>
      <c r="AC78" s="52">
        <f>IFERROR(IF(O78="","",SUMIFS('CPL Mats'!F:F,'CPL Mats'!Q:Q,AR78,'CPL Mats'!S:S,AS78)),"")</f>
        <v>0</v>
      </c>
      <c r="AF78" s="25">
        <f>IF(SUMIFS('Supp Consol'!S:S,'Supp Consol'!Y:Y,"Releasable",'Supp Consol'!A:A,O78)=0,"",SUMIFS('Supp Consol'!S:S,'Supp Consol'!Y:Y,"Releasable",'Supp Consol'!A:A,O78))</f>
        <v>6798</v>
      </c>
      <c r="AG78" s="25" t="str">
        <f>IFERROR(INDEX('Hun Demand'!Q:Q,MATCH(O78,'Hun Demand'!A:A,0)),"")</f>
        <v/>
      </c>
      <c r="AH78" s="25" t="str">
        <f>IFERROR(INDEX('Hun Demand'!H:H,MATCH($O78,'Hun Demand'!$A:$A,0)),"")</f>
        <v/>
      </c>
      <c r="AI78" s="25">
        <f>IF(SUMIFS('Supp Consol'!AA:AA,'Supp Consol'!Z:Z,"Expires this month",'Supp Consol'!A:A,O78)=0,"",SUMIFS('Supp Consol'!AA:AA,'Supp Consol'!Z:Z,"Expires this month",'Supp Consol'!A:A,O78))</f>
        <v>3849</v>
      </c>
      <c r="AJ78" s="25" t="str">
        <f>IF(SUMIFS('Supp Consol'!AA:AA,'Supp Consol'!Z:Z,"Expired Previous Months",'Supp Consol'!A:A,O78)=0,"",SUMIFS('Supp Consol'!AA:AA,'Supp Consol'!Z:Z,"Expired Previous Months",'Supp Consol'!A:A,O78))</f>
        <v/>
      </c>
      <c r="AK78" s="25" t="str">
        <f>IFERROR(INDEX('Hun Release Current'!B:B,MATCH(O78,'Hun Release Current'!A:A,0)),"")</f>
        <v/>
      </c>
      <c r="AL78" s="25" t="str">
        <f>IF(SUMIF('Prev Aub'!A:A,O78,'Prev Aub'!B:B)=0,"",SUMIF('Prev Aub'!A:A,O78,'Prev Aub'!B:B))</f>
        <v/>
      </c>
      <c r="AN78" s="25" t="s">
        <v>3790</v>
      </c>
      <c r="AO78" s="25" t="s">
        <v>3790</v>
      </c>
      <c r="AP78" s="25">
        <f t="shared" si="34"/>
        <v>0</v>
      </c>
      <c r="AQ78" s="151" t="str">
        <f>IF(SUMIFS('Supp Consol'!S:S,'Supp Consol'!A:A,O78,'Supp Consol'!I:I,"PENDING")=0,"",SUMIFS('Supp Consol'!S:S,'Supp Consol'!A:A,O78,'Supp Consol'!I:I,"PENDING"))</f>
        <v/>
      </c>
      <c r="AR78" s="27" t="str">
        <f t="shared" si="35"/>
        <v>00328</v>
      </c>
      <c r="AS78" s="27" t="str">
        <f t="shared" si="36"/>
        <v>50</v>
      </c>
      <c r="AT78" s="27" t="str">
        <f t="shared" si="37"/>
        <v/>
      </c>
      <c r="AU78" s="27" t="str">
        <f t="shared" si="38"/>
        <v/>
      </c>
      <c r="AV78" s="27" t="str">
        <f t="shared" si="39"/>
        <v/>
      </c>
      <c r="AW78" s="27" t="str">
        <f t="shared" si="40"/>
        <v>00328</v>
      </c>
      <c r="AX78" s="27" t="str">
        <f t="shared" si="41"/>
        <v>00328</v>
      </c>
      <c r="AY78" s="27" t="str">
        <f t="shared" si="42"/>
        <v/>
      </c>
      <c r="AZ78" s="27" t="str">
        <f t="shared" si="43"/>
        <v>Supp</v>
      </c>
      <c r="BA78" s="27" t="str">
        <f t="shared" si="44"/>
        <v/>
      </c>
      <c r="BB78" s="27" t="str">
        <f t="shared" si="45"/>
        <v/>
      </c>
      <c r="BC78" s="27" t="str">
        <f t="shared" si="46"/>
        <v/>
      </c>
      <c r="BD78" s="27" t="str">
        <f t="shared" si="47"/>
        <v/>
      </c>
      <c r="BE78" s="27" t="str">
        <f t="shared" si="48"/>
        <v>Exp</v>
      </c>
      <c r="BF78" s="27" t="str">
        <f t="shared" si="49"/>
        <v/>
      </c>
      <c r="BG78" s="27" t="str">
        <f t="shared" si="50"/>
        <v>S+NorE</v>
      </c>
      <c r="BH78" s="27" t="str">
        <f t="shared" si="51"/>
        <v/>
      </c>
      <c r="BI78" s="27" t="str">
        <f t="shared" si="52"/>
        <v/>
      </c>
      <c r="BJ78" s="27" t="str">
        <f t="shared" si="53"/>
        <v>Supp or Hun</v>
      </c>
      <c r="BK78" s="27" t="str">
        <f t="shared" si="54"/>
        <v/>
      </c>
      <c r="BL78" s="27" t="str">
        <f t="shared" si="55"/>
        <v>SorHandNandE</v>
      </c>
      <c r="BM78" s="21" t="s">
        <v>5581</v>
      </c>
    </row>
    <row r="79" spans="1:65" ht="15">
      <c r="A79" s="25" t="str">
        <f>IFERROR(INDEX('Hun Demand'!W:W,MATCH(O79,'Hun Demand'!A:A,0)),"")</f>
        <v/>
      </c>
      <c r="B79" s="25" t="str">
        <f>IFERROR(INDEX('Hun Demand'!V:V,MATCH(O79,'Hun Demand'!A:A,0)),"")</f>
        <v/>
      </c>
      <c r="C79" s="25" t="str">
        <f>IFERROR(INDEX('Hun Demand'!U:U,MATCH(O79,'Hun Demand'!A:A,0)),"")</f>
        <v/>
      </c>
      <c r="D79" s="25" t="str">
        <f>IFERROR(INDEX('Hun Demand'!T:T,MATCH(O79,'Hun Demand'!A:A,0)),"")</f>
        <v/>
      </c>
      <c r="E79" s="25" t="str">
        <f>IFERROR(INDEX('Hun Demand'!S:S,MATCH(O79,'Hun Demand'!A:A,0)),"")</f>
        <v/>
      </c>
      <c r="F79" s="25" t="str">
        <f>IFERROR(INDEX('Hun Demand'!R:R,MATCH(O79,'Hun Demand'!A:A,0)),"")</f>
        <v/>
      </c>
      <c r="G79" s="25">
        <f>IFERROR(INDEX('Aub Demand'!W:W,MATCH(O79,'Aub Demand'!A:A,0)),"")</f>
        <v>0</v>
      </c>
      <c r="H79" s="25">
        <f>IFERROR(INDEX('Aub Demand'!V:V,MATCH(O79,'Aub Demand'!A:A,0)),"")</f>
        <v>289</v>
      </c>
      <c r="I79" s="25">
        <f>IFERROR(INDEX('Aub Demand'!U:U,MATCH(O79,'Aub Demand'!A:A,0)),"")</f>
        <v>0</v>
      </c>
      <c r="J79" s="25">
        <f>IFERROR(INDEX('Aub Demand'!T:T,MATCH(O79,'Aub Demand'!A:A,0)),"")</f>
        <v>0</v>
      </c>
      <c r="K79" s="25">
        <f>IFERROR(INDEX('Aub Demand'!S:S,MATCH(O79,'Aub Demand'!A:A,0)),"")</f>
        <v>614</v>
      </c>
      <c r="L79" s="25">
        <f>IFERROR(INDEX('Aub Demand'!R:R,MATCH(O79,'Aub Demand'!A:A,0)),"")</f>
        <v>0</v>
      </c>
      <c r="O79" s="27" t="s">
        <v>217</v>
      </c>
      <c r="P79" s="27" t="str">
        <f>IFERROR(INDEX('Aub Demand'!B:B,MATCH($O79,'Aub Demand'!$A:$A,0)),"")</f>
        <v>TIMBERLINE</v>
      </c>
      <c r="Q79" s="27" t="str">
        <f>IFERROR(INDEX('Aub Demand'!C:C,MATCH($O79,'Aub Demand'!$A:$A,0)),"")</f>
        <v>SAPPI</v>
      </c>
      <c r="R79" s="52">
        <f>IFERROR(IF(AR80=AR79,INDEX('Aub Demand'!K:K,MATCH($O79,'Aub Demand'!$A:$A,0))-IF(AN79="",0,AN79)+AP80,INDEX('Aub Demand'!K:K,MATCH($O79,'Aub Demand'!$A:$A,0))-IF(AN79="",0,AN79)),"")</f>
        <v>839</v>
      </c>
      <c r="S79" s="53">
        <f t="shared" si="28"/>
        <v>17.5</v>
      </c>
      <c r="T79" s="52" t="str">
        <f t="shared" si="29"/>
        <v/>
      </c>
      <c r="U79" s="52">
        <f>IFERROR(IF(AR80=AR79,INDEX('Aub Demand'!Q:Q,MATCH($O79,'Aub Demand'!$A:$A,0))-IF(AN79="",0,AN79)+AP80,INDEX('Aub Demand'!Q:Q,MATCH($O79,'Aub Demand'!$A:$A,0))-IF(AN79="",0,AN79)),"")</f>
        <v>811</v>
      </c>
      <c r="V79" s="53">
        <f t="shared" si="30"/>
        <v>17</v>
      </c>
      <c r="W79" s="52" t="str">
        <f t="shared" si="31"/>
        <v/>
      </c>
      <c r="X79" s="52">
        <f>IFERROR(IF(AND(AR80=AR79,AM79&lt;&gt;""),INDEX('Aub Demand'!Q:Q,MATCH($O79,'Aub Demand'!$A:$A,0))-IF(AN79="",0,AN79)+AP80+AD79+AL79,IF(AR80=AR79,INDEX('Aub Demand'!Q:Q,MATCH($O79,'Aub Demand'!$A:$A,0))-IF(AN79="",0,AN79)+AP80+AD79,IF(AM79&lt;&gt;"",INDEX('Aub Demand'!Q:Q,MATCH($O79,'Aub Demand'!$A:$A,0))-IF(AN79="",0,AN79)+AD79+AL79,INDEX('Aub Demand'!Q:Q,MATCH($O79,'Aub Demand'!$A:$A,0))-IF(AN79="",0,AN79)+AD79))),"")</f>
        <v>811</v>
      </c>
      <c r="Y79" s="53">
        <f t="shared" si="32"/>
        <v>17</v>
      </c>
      <c r="Z79" s="52">
        <f>IF(L79="","",INDEX('Aub Demand'!H:H,MATCH($O79,'Aub Demand'!$A:$A,0)))</f>
        <v>205</v>
      </c>
      <c r="AA79" s="52" t="str">
        <f t="shared" si="33"/>
        <v>-spike-</v>
      </c>
      <c r="AB79" s="52">
        <f>IFERROR(INDEX('Aub Demand'!L:L,MATCH($O79,'Aub Demand'!$A:$A,0)),"")</f>
        <v>353</v>
      </c>
      <c r="AC79" s="52">
        <f>IFERROR(IF(O79="","",SUMIFS('CPL Mats'!F:F,'CPL Mats'!Q:Q,AR79,'CPL Mats'!S:S,AS79)),"")</f>
        <v>0</v>
      </c>
      <c r="AF79" s="25">
        <f>IF(SUMIFS('Supp Consol'!S:S,'Supp Consol'!Y:Y,"Releasable",'Supp Consol'!A:A,O79)=0,"",SUMIFS('Supp Consol'!S:S,'Supp Consol'!Y:Y,"Releasable",'Supp Consol'!A:A,O79))</f>
        <v>3620</v>
      </c>
      <c r="AG79" s="25" t="str">
        <f>IFERROR(INDEX('Hun Demand'!Q:Q,MATCH(O79,'Hun Demand'!A:A,0)),"")</f>
        <v/>
      </c>
      <c r="AH79" s="25" t="str">
        <f>IFERROR(INDEX('Hun Demand'!H:H,MATCH($O79,'Hun Demand'!$A:$A,0)),"")</f>
        <v/>
      </c>
      <c r="AI79" s="25">
        <f>IF(SUMIFS('Supp Consol'!AA:AA,'Supp Consol'!Z:Z,"Expires this month",'Supp Consol'!A:A,O79)=0,"",SUMIFS('Supp Consol'!AA:AA,'Supp Consol'!Z:Z,"Expires this month",'Supp Consol'!A:A,O79))</f>
        <v>1173</v>
      </c>
      <c r="AJ79" s="25" t="str">
        <f>IF(SUMIFS('Supp Consol'!AA:AA,'Supp Consol'!Z:Z,"Expired Previous Months",'Supp Consol'!A:A,O79)=0,"",SUMIFS('Supp Consol'!AA:AA,'Supp Consol'!Z:Z,"Expired Previous Months",'Supp Consol'!A:A,O79))</f>
        <v/>
      </c>
      <c r="AK79" s="25" t="str">
        <f>IFERROR(INDEX('Hun Release Current'!B:B,MATCH(O79,'Hun Release Current'!A:A,0)),"")</f>
        <v/>
      </c>
      <c r="AL79" s="25" t="str">
        <f>IF(SUMIF('Prev Aub'!A:A,O79,'Prev Aub'!B:B)=0,"",SUMIF('Prev Aub'!A:A,O79,'Prev Aub'!B:B))</f>
        <v/>
      </c>
      <c r="AN79" s="25" t="s">
        <v>3790</v>
      </c>
      <c r="AO79" s="25" t="s">
        <v>3790</v>
      </c>
      <c r="AP79" s="25">
        <f t="shared" si="34"/>
        <v>0</v>
      </c>
      <c r="AQ79" s="151" t="str">
        <f>IF(SUMIFS('Supp Consol'!S:S,'Supp Consol'!A:A,O79,'Supp Consol'!I:I,"PENDING")=0,"",SUMIFS('Supp Consol'!S:S,'Supp Consol'!A:A,O79,'Supp Consol'!I:I,"PENDING"))</f>
        <v/>
      </c>
      <c r="AR79" s="27" t="str">
        <f t="shared" si="35"/>
        <v>00328</v>
      </c>
      <c r="AS79" s="27" t="str">
        <f t="shared" si="36"/>
        <v>62</v>
      </c>
      <c r="AT79" s="27" t="str">
        <f t="shared" si="37"/>
        <v/>
      </c>
      <c r="AU79" s="27" t="str">
        <f t="shared" si="38"/>
        <v/>
      </c>
      <c r="AV79" s="27" t="str">
        <f t="shared" si="39"/>
        <v/>
      </c>
      <c r="AW79" s="27" t="str">
        <f t="shared" si="40"/>
        <v>00328</v>
      </c>
      <c r="AX79" s="27" t="str">
        <f t="shared" si="41"/>
        <v>00328</v>
      </c>
      <c r="AY79" s="27" t="str">
        <f t="shared" si="42"/>
        <v/>
      </c>
      <c r="AZ79" s="27" t="str">
        <f t="shared" si="43"/>
        <v>Supp</v>
      </c>
      <c r="BA79" s="27" t="str">
        <f t="shared" si="44"/>
        <v/>
      </c>
      <c r="BB79" s="27" t="str">
        <f t="shared" si="45"/>
        <v/>
      </c>
      <c r="BC79" s="27" t="str">
        <f t="shared" si="46"/>
        <v/>
      </c>
      <c r="BD79" s="27" t="str">
        <f t="shared" si="47"/>
        <v/>
      </c>
      <c r="BE79" s="27" t="str">
        <f t="shared" si="48"/>
        <v>Exp</v>
      </c>
      <c r="BF79" s="27" t="str">
        <f t="shared" si="49"/>
        <v/>
      </c>
      <c r="BG79" s="27" t="str">
        <f t="shared" si="50"/>
        <v>S+NorE</v>
      </c>
      <c r="BH79" s="27" t="str">
        <f t="shared" si="51"/>
        <v/>
      </c>
      <c r="BI79" s="27" t="str">
        <f t="shared" si="52"/>
        <v/>
      </c>
      <c r="BJ79" s="27" t="str">
        <f t="shared" si="53"/>
        <v>Supp or Hun</v>
      </c>
      <c r="BK79" s="27" t="str">
        <f t="shared" si="54"/>
        <v/>
      </c>
      <c r="BL79" s="27" t="str">
        <f t="shared" si="55"/>
        <v>SorHandNandE</v>
      </c>
      <c r="BM79" s="21" t="s">
        <v>5581</v>
      </c>
    </row>
    <row r="80" spans="1:65" ht="15">
      <c r="A80" s="25" t="str">
        <f>IFERROR(INDEX('Hun Demand'!W:W,MATCH(O80,'Hun Demand'!A:A,0)),"")</f>
        <v/>
      </c>
      <c r="B80" s="25" t="str">
        <f>IFERROR(INDEX('Hun Demand'!V:V,MATCH(O80,'Hun Demand'!A:A,0)),"")</f>
        <v/>
      </c>
      <c r="C80" s="25" t="str">
        <f>IFERROR(INDEX('Hun Demand'!U:U,MATCH(O80,'Hun Demand'!A:A,0)),"")</f>
        <v/>
      </c>
      <c r="D80" s="25" t="str">
        <f>IFERROR(INDEX('Hun Demand'!T:T,MATCH(O80,'Hun Demand'!A:A,0)),"")</f>
        <v/>
      </c>
      <c r="E80" s="25" t="str">
        <f>IFERROR(INDEX('Hun Demand'!S:S,MATCH(O80,'Hun Demand'!A:A,0)),"")</f>
        <v/>
      </c>
      <c r="F80" s="25" t="str">
        <f>IFERROR(INDEX('Hun Demand'!R:R,MATCH(O80,'Hun Demand'!A:A,0)),"")</f>
        <v/>
      </c>
      <c r="G80" s="25">
        <f>IFERROR(INDEX('Aub Demand'!W:W,MATCH(O80,'Aub Demand'!A:A,0)),"")</f>
        <v>0</v>
      </c>
      <c r="H80" s="25">
        <f>IFERROR(INDEX('Aub Demand'!V:V,MATCH(O80,'Aub Demand'!A:A,0)),"")</f>
        <v>99</v>
      </c>
      <c r="I80" s="25">
        <f>IFERROR(INDEX('Aub Demand'!U:U,MATCH(O80,'Aub Demand'!A:A,0)),"")</f>
        <v>0</v>
      </c>
      <c r="J80" s="25">
        <f>IFERROR(INDEX('Aub Demand'!T:T,MATCH(O80,'Aub Demand'!A:A,0)),"")</f>
        <v>0</v>
      </c>
      <c r="K80" s="25">
        <f>IFERROR(INDEX('Aub Demand'!S:S,MATCH(O80,'Aub Demand'!A:A,0)),"")</f>
        <v>0</v>
      </c>
      <c r="L80" s="25">
        <f>IFERROR(INDEX('Aub Demand'!R:R,MATCH(O80,'Aub Demand'!A:A,0)),"")</f>
        <v>0</v>
      </c>
      <c r="O80" s="27" t="s">
        <v>219</v>
      </c>
      <c r="P80" s="27" t="str">
        <f>IFERROR(INDEX('Aub Demand'!B:B,MATCH($O80,'Aub Demand'!$A:$A,0)),"")</f>
        <v>GROOVY</v>
      </c>
      <c r="Q80" s="27" t="str">
        <f>IFERROR(INDEX('Aub Demand'!C:C,MATCH($O80,'Aub Demand'!$A:$A,0)),"")</f>
        <v>SAPPI</v>
      </c>
      <c r="R80" s="52">
        <f>IFERROR(IF(AR81=AR80,INDEX('Aub Demand'!K:K,MATCH($O80,'Aub Demand'!$A:$A,0))-IF(AN80="",0,AN80)+AP81,INDEX('Aub Demand'!K:K,MATCH($O80,'Aub Demand'!$A:$A,0))-IF(AN80="",0,AN80)),"")</f>
        <v>1426</v>
      </c>
      <c r="S80" s="53" t="str">
        <f t="shared" si="28"/>
        <v>n/a</v>
      </c>
      <c r="T80" s="52" t="str">
        <f t="shared" si="29"/>
        <v/>
      </c>
      <c r="U80" s="52">
        <f>IFERROR(IF(AR81=AR80,INDEX('Aub Demand'!Q:Q,MATCH($O80,'Aub Demand'!$A:$A,0))-IF(AN80="",0,AN80)+AP81,INDEX('Aub Demand'!Q:Q,MATCH($O80,'Aub Demand'!$A:$A,0))-IF(AN80="",0,AN80)),"")</f>
        <v>1424</v>
      </c>
      <c r="V80" s="53" t="str">
        <f t="shared" si="30"/>
        <v>n/a</v>
      </c>
      <c r="W80" s="52" t="str">
        <f t="shared" si="31"/>
        <v/>
      </c>
      <c r="X80" s="52">
        <f>IFERROR(IF(AND(AR81=AR80,AM80&lt;&gt;""),INDEX('Aub Demand'!Q:Q,MATCH($O80,'Aub Demand'!$A:$A,0))-IF(AN80="",0,AN80)+AP81+AD80+AL80,IF(AR81=AR80,INDEX('Aub Demand'!Q:Q,MATCH($O80,'Aub Demand'!$A:$A,0))-IF(AN80="",0,AN80)+AP81+AD80,IF(AM80&lt;&gt;"",INDEX('Aub Demand'!Q:Q,MATCH($O80,'Aub Demand'!$A:$A,0))-IF(AN80="",0,AN80)+AD80+AL80,INDEX('Aub Demand'!Q:Q,MATCH($O80,'Aub Demand'!$A:$A,0))-IF(AN80="",0,AN80)+AD80))),"")</f>
        <v>1424</v>
      </c>
      <c r="Y80" s="53" t="str">
        <f t="shared" si="32"/>
        <v>n/a</v>
      </c>
      <c r="Z80" s="52">
        <f>IF(L80="","",INDEX('Aub Demand'!H:H,MATCH($O80,'Aub Demand'!$A:$A,0)))</f>
        <v>0</v>
      </c>
      <c r="AA80" s="52" t="str">
        <f t="shared" si="33"/>
        <v>-spike-</v>
      </c>
      <c r="AB80" s="52">
        <f>IFERROR(INDEX('Aub Demand'!L:L,MATCH($O80,'Aub Demand'!$A:$A,0)),"")</f>
        <v>23</v>
      </c>
      <c r="AC80" s="52">
        <f>IFERROR(IF(O80="","",SUMIFS('CPL Mats'!F:F,'CPL Mats'!Q:Q,AR80,'CPL Mats'!S:S,AS80)),"")</f>
        <v>0</v>
      </c>
      <c r="AF80" s="25" t="str">
        <f>IF(SUMIFS('Supp Consol'!S:S,'Supp Consol'!Y:Y,"Releasable",'Supp Consol'!A:A,O80)=0,"",SUMIFS('Supp Consol'!S:S,'Supp Consol'!Y:Y,"Releasable",'Supp Consol'!A:A,O80))</f>
        <v/>
      </c>
      <c r="AG80" s="25" t="str">
        <f>IFERROR(INDEX('Hun Demand'!Q:Q,MATCH(O80,'Hun Demand'!A:A,0)),"")</f>
        <v/>
      </c>
      <c r="AH80" s="25" t="str">
        <f>IFERROR(INDEX('Hun Demand'!H:H,MATCH($O80,'Hun Demand'!$A:$A,0)),"")</f>
        <v/>
      </c>
      <c r="AI80" s="25" t="str">
        <f>IF(SUMIFS('Supp Consol'!AA:AA,'Supp Consol'!Z:Z,"Expires this month",'Supp Consol'!A:A,O80)=0,"",SUMIFS('Supp Consol'!AA:AA,'Supp Consol'!Z:Z,"Expires this month",'Supp Consol'!A:A,O80))</f>
        <v/>
      </c>
      <c r="AJ80" s="25" t="str">
        <f>IF(SUMIFS('Supp Consol'!AA:AA,'Supp Consol'!Z:Z,"Expired Previous Months",'Supp Consol'!A:A,O80)=0,"",SUMIFS('Supp Consol'!AA:AA,'Supp Consol'!Z:Z,"Expired Previous Months",'Supp Consol'!A:A,O80))</f>
        <v/>
      </c>
      <c r="AK80" s="25" t="str">
        <f>IFERROR(INDEX('Hun Release Current'!B:B,MATCH(O80,'Hun Release Current'!A:A,0)),"")</f>
        <v/>
      </c>
      <c r="AL80" s="25" t="str">
        <f>IF(SUMIF('Prev Aub'!A:A,O80,'Prev Aub'!B:B)=0,"",SUMIF('Prev Aub'!A:A,O80,'Prev Aub'!B:B))</f>
        <v/>
      </c>
      <c r="AN80" s="25" t="s">
        <v>3790</v>
      </c>
      <c r="AO80" s="25" t="s">
        <v>3790</v>
      </c>
      <c r="AP80" s="25">
        <f t="shared" si="34"/>
        <v>0</v>
      </c>
      <c r="AQ80" s="151" t="str">
        <f>IF(SUMIFS('Supp Consol'!S:S,'Supp Consol'!A:A,O80,'Supp Consol'!I:I,"PENDING")=0,"",SUMIFS('Supp Consol'!S:S,'Supp Consol'!A:A,O80,'Supp Consol'!I:I,"PENDING"))</f>
        <v/>
      </c>
      <c r="AR80" s="27" t="str">
        <f t="shared" si="35"/>
        <v>00329</v>
      </c>
      <c r="AS80" s="27" t="str">
        <f t="shared" si="36"/>
        <v>50</v>
      </c>
      <c r="AT80" s="27" t="str">
        <f t="shared" si="37"/>
        <v/>
      </c>
      <c r="AU80" s="27" t="str">
        <f t="shared" si="38"/>
        <v/>
      </c>
      <c r="AV80" s="27" t="str">
        <f t="shared" si="39"/>
        <v/>
      </c>
      <c r="AW80" s="27" t="str">
        <f t="shared" si="40"/>
        <v/>
      </c>
      <c r="AX80" s="27" t="str">
        <f t="shared" si="41"/>
        <v/>
      </c>
      <c r="AY80" s="27" t="str">
        <f t="shared" si="42"/>
        <v/>
      </c>
      <c r="AZ80" s="27" t="str">
        <f t="shared" si="43"/>
        <v/>
      </c>
      <c r="BA80" s="27" t="str">
        <f t="shared" si="44"/>
        <v/>
      </c>
      <c r="BB80" s="27" t="str">
        <f t="shared" si="45"/>
        <v/>
      </c>
      <c r="BC80" s="27" t="str">
        <f t="shared" si="46"/>
        <v/>
      </c>
      <c r="BD80" s="27" t="str">
        <f t="shared" si="47"/>
        <v/>
      </c>
      <c r="BE80" s="27" t="str">
        <f t="shared" si="48"/>
        <v/>
      </c>
      <c r="BF80" s="27" t="str">
        <f t="shared" si="49"/>
        <v/>
      </c>
      <c r="BG80" s="27" t="str">
        <f t="shared" si="50"/>
        <v/>
      </c>
      <c r="BH80" s="27" t="str">
        <f t="shared" si="51"/>
        <v/>
      </c>
      <c r="BI80" s="27" t="str">
        <f t="shared" si="52"/>
        <v/>
      </c>
      <c r="BJ80" s="27" t="str">
        <f t="shared" si="53"/>
        <v/>
      </c>
      <c r="BK80" s="27" t="str">
        <f t="shared" si="54"/>
        <v/>
      </c>
      <c r="BL80" s="27" t="str">
        <f t="shared" si="55"/>
        <v/>
      </c>
      <c r="BM80" s="21" t="s">
        <v>5581</v>
      </c>
    </row>
    <row r="81" spans="1:65" ht="15">
      <c r="A81" s="25" t="str">
        <f>IFERROR(INDEX('Hun Demand'!W:W,MATCH(O81,'Hun Demand'!A:A,0)),"")</f>
        <v/>
      </c>
      <c r="B81" s="25" t="str">
        <f>IFERROR(INDEX('Hun Demand'!V:V,MATCH(O81,'Hun Demand'!A:A,0)),"")</f>
        <v/>
      </c>
      <c r="C81" s="25" t="str">
        <f>IFERROR(INDEX('Hun Demand'!U:U,MATCH(O81,'Hun Demand'!A:A,0)),"")</f>
        <v/>
      </c>
      <c r="D81" s="25" t="str">
        <f>IFERROR(INDEX('Hun Demand'!T:T,MATCH(O81,'Hun Demand'!A:A,0)),"")</f>
        <v/>
      </c>
      <c r="E81" s="25" t="str">
        <f>IFERROR(INDEX('Hun Demand'!S:S,MATCH(O81,'Hun Demand'!A:A,0)),"")</f>
        <v/>
      </c>
      <c r="F81" s="25" t="str">
        <f>IFERROR(INDEX('Hun Demand'!R:R,MATCH(O81,'Hun Demand'!A:A,0)),"")</f>
        <v/>
      </c>
      <c r="G81" s="25">
        <f>IFERROR(INDEX('Aub Demand'!W:W,MATCH(O81,'Aub Demand'!A:A,0)),"")</f>
        <v>0</v>
      </c>
      <c r="H81" s="25">
        <f>IFERROR(INDEX('Aub Demand'!V:V,MATCH(O81,'Aub Demand'!A:A,0)),"")</f>
        <v>0</v>
      </c>
      <c r="I81" s="25">
        <f>IFERROR(INDEX('Aub Demand'!U:U,MATCH(O81,'Aub Demand'!A:A,0)),"")</f>
        <v>0</v>
      </c>
      <c r="J81" s="25">
        <f>IFERROR(INDEX('Aub Demand'!T:T,MATCH(O81,'Aub Demand'!A:A,0)),"")</f>
        <v>0</v>
      </c>
      <c r="K81" s="25">
        <f>IFERROR(INDEX('Aub Demand'!S:S,MATCH(O81,'Aub Demand'!A:A,0)),"")</f>
        <v>0</v>
      </c>
      <c r="L81" s="25">
        <f>IFERROR(INDEX('Aub Demand'!R:R,MATCH(O81,'Aub Demand'!A:A,0)),"")</f>
        <v>0</v>
      </c>
      <c r="O81" s="27" t="s">
        <v>221</v>
      </c>
      <c r="P81" s="27" t="str">
        <f>IFERROR(INDEX('Aub Demand'!B:B,MATCH($O81,'Aub Demand'!$A:$A,0)),"")</f>
        <v>GROOVY</v>
      </c>
      <c r="Q81" s="27" t="str">
        <f>IFERROR(INDEX('Aub Demand'!C:C,MATCH($O81,'Aub Demand'!$A:$A,0)),"")</f>
        <v>SAPPI</v>
      </c>
      <c r="R81" s="52">
        <f>IFERROR(IF(AR82=AR81,INDEX('Aub Demand'!K:K,MATCH($O81,'Aub Demand'!$A:$A,0))-IF(AN81="",0,AN81)+AP82,INDEX('Aub Demand'!K:K,MATCH($O81,'Aub Demand'!$A:$A,0))-IF(AN81="",0,AN81)),"")</f>
        <v>1406</v>
      </c>
      <c r="S81" s="53" t="str">
        <f t="shared" si="28"/>
        <v>n/a</v>
      </c>
      <c r="T81" s="52" t="str">
        <f t="shared" si="29"/>
        <v/>
      </c>
      <c r="U81" s="52">
        <f>IFERROR(IF(AR82=AR81,INDEX('Aub Demand'!Q:Q,MATCH($O81,'Aub Demand'!$A:$A,0))-IF(AN81="",0,AN81)+AP82,INDEX('Aub Demand'!Q:Q,MATCH($O81,'Aub Demand'!$A:$A,0))-IF(AN81="",0,AN81)),"")</f>
        <v>1406</v>
      </c>
      <c r="V81" s="53" t="str">
        <f t="shared" si="30"/>
        <v>n/a</v>
      </c>
      <c r="W81" s="52" t="str">
        <f t="shared" si="31"/>
        <v/>
      </c>
      <c r="X81" s="52">
        <f>IFERROR(IF(AND(AR82=AR81,AM81&lt;&gt;""),INDEX('Aub Demand'!Q:Q,MATCH($O81,'Aub Demand'!$A:$A,0))-IF(AN81="",0,AN81)+AP82+AD81+AL81,IF(AR82=AR81,INDEX('Aub Demand'!Q:Q,MATCH($O81,'Aub Demand'!$A:$A,0))-IF(AN81="",0,AN81)+AP82+AD81,IF(AM81&lt;&gt;"",INDEX('Aub Demand'!Q:Q,MATCH($O81,'Aub Demand'!$A:$A,0))-IF(AN81="",0,AN81)+AD81+AL81,INDEX('Aub Demand'!Q:Q,MATCH($O81,'Aub Demand'!$A:$A,0))-IF(AN81="",0,AN81)+AD81))),"")</f>
        <v>1406</v>
      </c>
      <c r="Y81" s="53" t="str">
        <f t="shared" si="32"/>
        <v>n/a</v>
      </c>
      <c r="Z81" s="52">
        <f>IF(L81="","",INDEX('Aub Demand'!H:H,MATCH($O81,'Aub Demand'!$A:$A,0)))</f>
        <v>0</v>
      </c>
      <c r="AA81" s="52" t="str">
        <f t="shared" si="33"/>
        <v>-spike-</v>
      </c>
      <c r="AB81" s="52">
        <f>IFERROR(INDEX('Aub Demand'!L:L,MATCH($O81,'Aub Demand'!$A:$A,0)),"")</f>
        <v>271</v>
      </c>
      <c r="AC81" s="52">
        <f>IFERROR(IF(O81="","",SUMIFS('CPL Mats'!F:F,'CPL Mats'!Q:Q,AR81,'CPL Mats'!S:S,AS81)),"")</f>
        <v>0</v>
      </c>
      <c r="AF81" s="25" t="str">
        <f>IF(SUMIFS('Supp Consol'!S:S,'Supp Consol'!Y:Y,"Releasable",'Supp Consol'!A:A,O81)=0,"",SUMIFS('Supp Consol'!S:S,'Supp Consol'!Y:Y,"Releasable",'Supp Consol'!A:A,O81))</f>
        <v/>
      </c>
      <c r="AG81" s="25" t="str">
        <f>IFERROR(INDEX('Hun Demand'!Q:Q,MATCH(O81,'Hun Demand'!A:A,0)),"")</f>
        <v/>
      </c>
      <c r="AH81" s="25" t="str">
        <f>IFERROR(INDEX('Hun Demand'!H:H,MATCH($O81,'Hun Demand'!$A:$A,0)),"")</f>
        <v/>
      </c>
      <c r="AI81" s="25" t="str">
        <f>IF(SUMIFS('Supp Consol'!AA:AA,'Supp Consol'!Z:Z,"Expires this month",'Supp Consol'!A:A,O81)=0,"",SUMIFS('Supp Consol'!AA:AA,'Supp Consol'!Z:Z,"Expires this month",'Supp Consol'!A:A,O81))</f>
        <v/>
      </c>
      <c r="AJ81" s="25" t="str">
        <f>IF(SUMIFS('Supp Consol'!AA:AA,'Supp Consol'!Z:Z,"Expired Previous Months",'Supp Consol'!A:A,O81)=0,"",SUMIFS('Supp Consol'!AA:AA,'Supp Consol'!Z:Z,"Expired Previous Months",'Supp Consol'!A:A,O81))</f>
        <v/>
      </c>
      <c r="AK81" s="25" t="str">
        <f>IFERROR(INDEX('Hun Release Current'!B:B,MATCH(O81,'Hun Release Current'!A:A,0)),"")</f>
        <v/>
      </c>
      <c r="AL81" s="25" t="str">
        <f>IF(SUMIF('Prev Aub'!A:A,O81,'Prev Aub'!B:B)=0,"",SUMIF('Prev Aub'!A:A,O81,'Prev Aub'!B:B))</f>
        <v/>
      </c>
      <c r="AN81" s="25" t="s">
        <v>3790</v>
      </c>
      <c r="AO81" s="25" t="s">
        <v>3790</v>
      </c>
      <c r="AP81" s="25">
        <f t="shared" si="34"/>
        <v>0</v>
      </c>
      <c r="AQ81" s="151" t="str">
        <f>IF(SUMIFS('Supp Consol'!S:S,'Supp Consol'!A:A,O81,'Supp Consol'!I:I,"PENDING")=0,"",SUMIFS('Supp Consol'!S:S,'Supp Consol'!A:A,O81,'Supp Consol'!I:I,"PENDING"))</f>
        <v/>
      </c>
      <c r="AR81" s="27" t="str">
        <f t="shared" si="35"/>
        <v>00329</v>
      </c>
      <c r="AS81" s="27" t="str">
        <f t="shared" si="36"/>
        <v>62</v>
      </c>
      <c r="AT81" s="27" t="str">
        <f t="shared" si="37"/>
        <v/>
      </c>
      <c r="AU81" s="27" t="str">
        <f t="shared" si="38"/>
        <v/>
      </c>
      <c r="AV81" s="27" t="str">
        <f t="shared" si="39"/>
        <v/>
      </c>
      <c r="AW81" s="27" t="str">
        <f t="shared" si="40"/>
        <v/>
      </c>
      <c r="AX81" s="27" t="str">
        <f t="shared" si="41"/>
        <v/>
      </c>
      <c r="AY81" s="27" t="str">
        <f t="shared" si="42"/>
        <v/>
      </c>
      <c r="AZ81" s="27" t="str">
        <f t="shared" si="43"/>
        <v/>
      </c>
      <c r="BA81" s="27" t="str">
        <f t="shared" si="44"/>
        <v/>
      </c>
      <c r="BB81" s="27" t="str">
        <f t="shared" si="45"/>
        <v/>
      </c>
      <c r="BC81" s="27" t="str">
        <f t="shared" si="46"/>
        <v/>
      </c>
      <c r="BD81" s="27" t="str">
        <f t="shared" si="47"/>
        <v/>
      </c>
      <c r="BE81" s="27" t="str">
        <f t="shared" si="48"/>
        <v/>
      </c>
      <c r="BF81" s="27" t="str">
        <f t="shared" si="49"/>
        <v/>
      </c>
      <c r="BG81" s="27" t="str">
        <f t="shared" si="50"/>
        <v/>
      </c>
      <c r="BH81" s="27" t="str">
        <f t="shared" si="51"/>
        <v/>
      </c>
      <c r="BI81" s="27" t="str">
        <f t="shared" si="52"/>
        <v/>
      </c>
      <c r="BJ81" s="27" t="str">
        <f t="shared" si="53"/>
        <v/>
      </c>
      <c r="BK81" s="27" t="str">
        <f t="shared" si="54"/>
        <v/>
      </c>
      <c r="BL81" s="27" t="str">
        <f t="shared" si="55"/>
        <v/>
      </c>
      <c r="BM81" s="21" t="s">
        <v>5581</v>
      </c>
    </row>
    <row r="82" spans="1:65" ht="15">
      <c r="A82" s="25" t="str">
        <f>IFERROR(INDEX('Hun Demand'!W:W,MATCH(O82,'Hun Demand'!A:A,0)),"")</f>
        <v/>
      </c>
      <c r="B82" s="25" t="str">
        <f>IFERROR(INDEX('Hun Demand'!V:V,MATCH(O82,'Hun Demand'!A:A,0)),"")</f>
        <v/>
      </c>
      <c r="C82" s="25" t="str">
        <f>IFERROR(INDEX('Hun Demand'!U:U,MATCH(O82,'Hun Demand'!A:A,0)),"")</f>
        <v/>
      </c>
      <c r="D82" s="25" t="str">
        <f>IFERROR(INDEX('Hun Demand'!T:T,MATCH(O82,'Hun Demand'!A:A,0)),"")</f>
        <v/>
      </c>
      <c r="E82" s="25" t="str">
        <f>IFERROR(INDEX('Hun Demand'!S:S,MATCH(O82,'Hun Demand'!A:A,0)),"")</f>
        <v/>
      </c>
      <c r="F82" s="25" t="str">
        <f>IFERROR(INDEX('Hun Demand'!R:R,MATCH(O82,'Hun Demand'!A:A,0)),"")</f>
        <v/>
      </c>
      <c r="G82" s="25">
        <f>IFERROR(INDEX('Aub Demand'!W:W,MATCH(O82,'Aub Demand'!A:A,0)),"")</f>
        <v>598</v>
      </c>
      <c r="H82" s="25">
        <f>IFERROR(INDEX('Aub Demand'!V:V,MATCH(O82,'Aub Demand'!A:A,0)),"")</f>
        <v>698</v>
      </c>
      <c r="I82" s="25">
        <f>IFERROR(INDEX('Aub Demand'!U:U,MATCH(O82,'Aub Demand'!A:A,0)),"")</f>
        <v>1051</v>
      </c>
      <c r="J82" s="25">
        <f>IFERROR(INDEX('Aub Demand'!T:T,MATCH(O82,'Aub Demand'!A:A,0)),"")</f>
        <v>880</v>
      </c>
      <c r="K82" s="25">
        <f>IFERROR(INDEX('Aub Demand'!S:S,MATCH(O82,'Aub Demand'!A:A,0)),"")</f>
        <v>0</v>
      </c>
      <c r="L82" s="25">
        <f>IFERROR(INDEX('Aub Demand'!R:R,MATCH(O82,'Aub Demand'!A:A,0)),"")</f>
        <v>555</v>
      </c>
      <c r="O82" s="27" t="s">
        <v>222</v>
      </c>
      <c r="P82" s="27" t="str">
        <f>IFERROR(INDEX('Aub Demand'!B:B,MATCH($O82,'Aub Demand'!$A:$A,0)),"")</f>
        <v>AGED BARK</v>
      </c>
      <c r="Q82" s="27" t="str">
        <f>IFERROR(INDEX('Aub Demand'!C:C,MATCH($O82,'Aub Demand'!$A:$A,0)),"")</f>
        <v>SAPPI</v>
      </c>
      <c r="R82" s="52">
        <f>IFERROR(IF(AR83=AR82,INDEX('Aub Demand'!K:K,MATCH($O82,'Aub Demand'!$A:$A,0))-IF(AN82="",0,AN82)+AP83,INDEX('Aub Demand'!K:K,MATCH($O82,'Aub Demand'!$A:$A,0))-IF(AN82="",0,AN82)),"")</f>
        <v>5526</v>
      </c>
      <c r="S82" s="53">
        <f t="shared" si="28"/>
        <v>36.799999999999997</v>
      </c>
      <c r="T82" s="52" t="str">
        <f t="shared" si="29"/>
        <v/>
      </c>
      <c r="U82" s="52">
        <f>IFERROR(IF(AR83=AR82,INDEX('Aub Demand'!Q:Q,MATCH($O82,'Aub Demand'!$A:$A,0))-IF(AN82="",0,AN82)+AP83,INDEX('Aub Demand'!Q:Q,MATCH($O82,'Aub Demand'!$A:$A,0))-IF(AN82="",0,AN82)),"")</f>
        <v>5335</v>
      </c>
      <c r="V82" s="53">
        <f t="shared" si="30"/>
        <v>35.5</v>
      </c>
      <c r="W82" s="52" t="str">
        <f t="shared" si="31"/>
        <v/>
      </c>
      <c r="X82" s="52">
        <f>IFERROR(IF(AND(AR83=AR82,AM82&lt;&gt;""),INDEX('Aub Demand'!Q:Q,MATCH($O82,'Aub Demand'!$A:$A,0))-IF(AN82="",0,AN82)+AP83+AD82+AL82,IF(AR83=AR82,INDEX('Aub Demand'!Q:Q,MATCH($O82,'Aub Demand'!$A:$A,0))-IF(AN82="",0,AN82)+AP83+AD82,IF(AM82&lt;&gt;"",INDEX('Aub Demand'!Q:Q,MATCH($O82,'Aub Demand'!$A:$A,0))-IF(AN82="",0,AN82)+AD82+AL82,INDEX('Aub Demand'!Q:Q,MATCH($O82,'Aub Demand'!$A:$A,0))-IF(AN82="",0,AN82)+AD82))),"")</f>
        <v>5335</v>
      </c>
      <c r="Y82" s="53">
        <f t="shared" si="32"/>
        <v>35.5</v>
      </c>
      <c r="Z82" s="52">
        <f>IF(L82="","",INDEX('Aub Demand'!H:H,MATCH($O82,'Aub Demand'!$A:$A,0)))</f>
        <v>644</v>
      </c>
      <c r="AA82" s="52">
        <f t="shared" si="33"/>
        <v>965.5</v>
      </c>
      <c r="AB82" s="52">
        <f>IFERROR(INDEX('Aub Demand'!L:L,MATCH($O82,'Aub Demand'!$A:$A,0)),"")</f>
        <v>926</v>
      </c>
      <c r="AC82" s="52">
        <f>IFERROR(IF(O82="","",SUMIFS('CPL Mats'!F:F,'CPL Mats'!Q:Q,AR82,'CPL Mats'!S:S,AS82)),"")</f>
        <v>0</v>
      </c>
      <c r="AF82" s="25" t="str">
        <f>IF(SUMIFS('Supp Consol'!S:S,'Supp Consol'!Y:Y,"Releasable",'Supp Consol'!A:A,O82)=0,"",SUMIFS('Supp Consol'!S:S,'Supp Consol'!Y:Y,"Releasable",'Supp Consol'!A:A,O82))</f>
        <v/>
      </c>
      <c r="AG82" s="25" t="str">
        <f>IFERROR(INDEX('Hun Demand'!Q:Q,MATCH(O82,'Hun Demand'!A:A,0)),"")</f>
        <v/>
      </c>
      <c r="AH82" s="25" t="str">
        <f>IFERROR(INDEX('Hun Demand'!H:H,MATCH($O82,'Hun Demand'!$A:$A,0)),"")</f>
        <v/>
      </c>
      <c r="AI82" s="25" t="str">
        <f>IF(SUMIFS('Supp Consol'!AA:AA,'Supp Consol'!Z:Z,"Expires this month",'Supp Consol'!A:A,O82)=0,"",SUMIFS('Supp Consol'!AA:AA,'Supp Consol'!Z:Z,"Expires this month",'Supp Consol'!A:A,O82))</f>
        <v/>
      </c>
      <c r="AJ82" s="25" t="str">
        <f>IF(SUMIFS('Supp Consol'!AA:AA,'Supp Consol'!Z:Z,"Expired Previous Months",'Supp Consol'!A:A,O82)=0,"",SUMIFS('Supp Consol'!AA:AA,'Supp Consol'!Z:Z,"Expired Previous Months",'Supp Consol'!A:A,O82))</f>
        <v/>
      </c>
      <c r="AK82" s="25" t="str">
        <f>IFERROR(INDEX('Hun Release Current'!B:B,MATCH(O82,'Hun Release Current'!A:A,0)),"")</f>
        <v/>
      </c>
      <c r="AL82" s="25" t="str">
        <f>IF(SUMIF('Prev Aub'!A:A,O82,'Prev Aub'!B:B)=0,"",SUMIF('Prev Aub'!A:A,O82,'Prev Aub'!B:B))</f>
        <v/>
      </c>
      <c r="AN82" s="25" t="s">
        <v>3790</v>
      </c>
      <c r="AO82" s="25" t="s">
        <v>3790</v>
      </c>
      <c r="AP82" s="25">
        <f t="shared" si="34"/>
        <v>0</v>
      </c>
      <c r="AQ82" s="151" t="str">
        <f>IF(SUMIFS('Supp Consol'!S:S,'Supp Consol'!A:A,O82,'Supp Consol'!I:I,"PENDING")=0,"",SUMIFS('Supp Consol'!S:S,'Supp Consol'!A:A,O82,'Supp Consol'!I:I,"PENDING"))</f>
        <v/>
      </c>
      <c r="AR82" s="27" t="str">
        <f t="shared" si="35"/>
        <v>00330</v>
      </c>
      <c r="AS82" s="27" t="str">
        <f t="shared" si="36"/>
        <v>50</v>
      </c>
      <c r="AT82" s="27" t="str">
        <f t="shared" si="37"/>
        <v/>
      </c>
      <c r="AU82" s="27" t="str">
        <f t="shared" si="38"/>
        <v/>
      </c>
      <c r="AV82" s="27" t="str">
        <f t="shared" si="39"/>
        <v/>
      </c>
      <c r="AW82" s="27" t="str">
        <f t="shared" si="40"/>
        <v/>
      </c>
      <c r="AX82" s="27" t="str">
        <f t="shared" si="41"/>
        <v/>
      </c>
      <c r="AY82" s="27" t="str">
        <f t="shared" si="42"/>
        <v/>
      </c>
      <c r="AZ82" s="27" t="str">
        <f t="shared" si="43"/>
        <v/>
      </c>
      <c r="BA82" s="27" t="str">
        <f t="shared" si="44"/>
        <v/>
      </c>
      <c r="BB82" s="27" t="str">
        <f t="shared" si="45"/>
        <v/>
      </c>
      <c r="BC82" s="27" t="str">
        <f t="shared" si="46"/>
        <v/>
      </c>
      <c r="BD82" s="27" t="str">
        <f t="shared" si="47"/>
        <v/>
      </c>
      <c r="BE82" s="27" t="str">
        <f t="shared" si="48"/>
        <v/>
      </c>
      <c r="BF82" s="27" t="str">
        <f t="shared" si="49"/>
        <v/>
      </c>
      <c r="BG82" s="27" t="str">
        <f t="shared" si="50"/>
        <v/>
      </c>
      <c r="BH82" s="27" t="str">
        <f t="shared" si="51"/>
        <v/>
      </c>
      <c r="BI82" s="27" t="str">
        <f t="shared" si="52"/>
        <v/>
      </c>
      <c r="BJ82" s="27" t="str">
        <f t="shared" si="53"/>
        <v/>
      </c>
      <c r="BK82" s="27" t="str">
        <f t="shared" si="54"/>
        <v/>
      </c>
      <c r="BL82" s="27" t="str">
        <f t="shared" si="55"/>
        <v/>
      </c>
      <c r="BM82" s="21" t="s">
        <v>5581</v>
      </c>
    </row>
    <row r="83" spans="1:65" ht="15">
      <c r="A83" s="25" t="str">
        <f>IFERROR(INDEX('Hun Demand'!W:W,MATCH(O83,'Hun Demand'!A:A,0)),"")</f>
        <v/>
      </c>
      <c r="B83" s="25" t="str">
        <f>IFERROR(INDEX('Hun Demand'!V:V,MATCH(O83,'Hun Demand'!A:A,0)),"")</f>
        <v/>
      </c>
      <c r="C83" s="25" t="str">
        <f>IFERROR(INDEX('Hun Demand'!U:U,MATCH(O83,'Hun Demand'!A:A,0)),"")</f>
        <v/>
      </c>
      <c r="D83" s="25" t="str">
        <f>IFERROR(INDEX('Hun Demand'!T:T,MATCH(O83,'Hun Demand'!A:A,0)),"")</f>
        <v/>
      </c>
      <c r="E83" s="25" t="str">
        <f>IFERROR(INDEX('Hun Demand'!S:S,MATCH(O83,'Hun Demand'!A:A,0)),"")</f>
        <v/>
      </c>
      <c r="F83" s="25" t="str">
        <f>IFERROR(INDEX('Hun Demand'!R:R,MATCH(O83,'Hun Demand'!A:A,0)),"")</f>
        <v/>
      </c>
      <c r="G83" s="25">
        <f>IFERROR(INDEX('Aub Demand'!W:W,MATCH(O83,'Aub Demand'!A:A,0)),"")</f>
        <v>838</v>
      </c>
      <c r="H83" s="25">
        <f>IFERROR(INDEX('Aub Demand'!V:V,MATCH(O83,'Aub Demand'!A:A,0)),"")</f>
        <v>0</v>
      </c>
      <c r="I83" s="25">
        <f>IFERROR(INDEX('Aub Demand'!U:U,MATCH(O83,'Aub Demand'!A:A,0)),"")</f>
        <v>0</v>
      </c>
      <c r="J83" s="25">
        <f>IFERROR(INDEX('Aub Demand'!T:T,MATCH(O83,'Aub Demand'!A:A,0)),"")</f>
        <v>0</v>
      </c>
      <c r="K83" s="25">
        <f>IFERROR(INDEX('Aub Demand'!S:S,MATCH(O83,'Aub Demand'!A:A,0)),"")</f>
        <v>0</v>
      </c>
      <c r="L83" s="25">
        <f>IFERROR(INDEX('Aub Demand'!R:R,MATCH(O83,'Aub Demand'!A:A,0)),"")</f>
        <v>0</v>
      </c>
      <c r="O83" s="27" t="s">
        <v>224</v>
      </c>
      <c r="P83" s="27" t="str">
        <f>IFERROR(INDEX('Aub Demand'!B:B,MATCH($O83,'Aub Demand'!$A:$A,0)),"")</f>
        <v>AGED BARK</v>
      </c>
      <c r="Q83" s="27" t="str">
        <f>IFERROR(INDEX('Aub Demand'!C:C,MATCH($O83,'Aub Demand'!$A:$A,0)),"")</f>
        <v>SAPPI</v>
      </c>
      <c r="R83" s="52">
        <f>IFERROR(IF(AR84=AR83,INDEX('Aub Demand'!K:K,MATCH($O83,'Aub Demand'!$A:$A,0))-IF(AN83="",0,AN83)+AP84,INDEX('Aub Demand'!K:K,MATCH($O83,'Aub Demand'!$A:$A,0))-IF(AN83="",0,AN83)),"")</f>
        <v>3953</v>
      </c>
      <c r="S83" s="53" t="str">
        <f t="shared" si="28"/>
        <v>n/a</v>
      </c>
      <c r="T83" s="52" t="str">
        <f t="shared" si="29"/>
        <v/>
      </c>
      <c r="U83" s="52">
        <f>IFERROR(IF(AR84=AR83,INDEX('Aub Demand'!Q:Q,MATCH($O83,'Aub Demand'!$A:$A,0))-IF(AN83="",0,AN83)+AP84,INDEX('Aub Demand'!Q:Q,MATCH($O83,'Aub Demand'!$A:$A,0))-IF(AN83="",0,AN83)),"")</f>
        <v>3953</v>
      </c>
      <c r="V83" s="53" t="str">
        <f t="shared" si="30"/>
        <v>n/a</v>
      </c>
      <c r="W83" s="52" t="str">
        <f t="shared" si="31"/>
        <v/>
      </c>
      <c r="X83" s="52">
        <f>IFERROR(IF(AND(AR84=AR83,AM83&lt;&gt;""),INDEX('Aub Demand'!Q:Q,MATCH($O83,'Aub Demand'!$A:$A,0))-IF(AN83="",0,AN83)+AP84+AD83+AL83,IF(AR84=AR83,INDEX('Aub Demand'!Q:Q,MATCH($O83,'Aub Demand'!$A:$A,0))-IF(AN83="",0,AN83)+AP84+AD83,IF(AM83&lt;&gt;"",INDEX('Aub Demand'!Q:Q,MATCH($O83,'Aub Demand'!$A:$A,0))-IF(AN83="",0,AN83)+AD83+AL83,INDEX('Aub Demand'!Q:Q,MATCH($O83,'Aub Demand'!$A:$A,0))-IF(AN83="",0,AN83)+AD83))),"")</f>
        <v>3953</v>
      </c>
      <c r="Y83" s="53" t="str">
        <f t="shared" si="32"/>
        <v>n/a</v>
      </c>
      <c r="Z83" s="52">
        <f>IF(L83="","",INDEX('Aub Demand'!H:H,MATCH($O83,'Aub Demand'!$A:$A,0)))</f>
        <v>0</v>
      </c>
      <c r="AA83" s="52" t="str">
        <f t="shared" si="33"/>
        <v>-spike-</v>
      </c>
      <c r="AB83" s="52">
        <f>IFERROR(INDEX('Aub Demand'!L:L,MATCH($O83,'Aub Demand'!$A:$A,0)),"")</f>
        <v>170</v>
      </c>
      <c r="AC83" s="52">
        <f>IFERROR(IF(O83="","",SUMIFS('CPL Mats'!F:F,'CPL Mats'!Q:Q,AR83,'CPL Mats'!S:S,AS83)),"")</f>
        <v>0</v>
      </c>
      <c r="AF83" s="25" t="str">
        <f>IF(SUMIFS('Supp Consol'!S:S,'Supp Consol'!Y:Y,"Releasable",'Supp Consol'!A:A,O83)=0,"",SUMIFS('Supp Consol'!S:S,'Supp Consol'!Y:Y,"Releasable",'Supp Consol'!A:A,O83))</f>
        <v/>
      </c>
      <c r="AG83" s="25" t="str">
        <f>IFERROR(INDEX('Hun Demand'!Q:Q,MATCH(O83,'Hun Demand'!A:A,0)),"")</f>
        <v/>
      </c>
      <c r="AH83" s="25" t="str">
        <f>IFERROR(INDEX('Hun Demand'!H:H,MATCH($O83,'Hun Demand'!$A:$A,0)),"")</f>
        <v/>
      </c>
      <c r="AI83" s="25" t="str">
        <f>IF(SUMIFS('Supp Consol'!AA:AA,'Supp Consol'!Z:Z,"Expires this month",'Supp Consol'!A:A,O83)=0,"",SUMIFS('Supp Consol'!AA:AA,'Supp Consol'!Z:Z,"Expires this month",'Supp Consol'!A:A,O83))</f>
        <v/>
      </c>
      <c r="AJ83" s="25" t="str">
        <f>IF(SUMIFS('Supp Consol'!AA:AA,'Supp Consol'!Z:Z,"Expired Previous Months",'Supp Consol'!A:A,O83)=0,"",SUMIFS('Supp Consol'!AA:AA,'Supp Consol'!Z:Z,"Expired Previous Months",'Supp Consol'!A:A,O83))</f>
        <v/>
      </c>
      <c r="AK83" s="25" t="str">
        <f>IFERROR(INDEX('Hun Release Current'!B:B,MATCH(O83,'Hun Release Current'!A:A,0)),"")</f>
        <v/>
      </c>
      <c r="AL83" s="25" t="str">
        <f>IF(SUMIF('Prev Aub'!A:A,O83,'Prev Aub'!B:B)=0,"",SUMIF('Prev Aub'!A:A,O83,'Prev Aub'!B:B))</f>
        <v/>
      </c>
      <c r="AN83" s="25" t="s">
        <v>3790</v>
      </c>
      <c r="AO83" s="25" t="s">
        <v>3790</v>
      </c>
      <c r="AP83" s="25">
        <f t="shared" si="34"/>
        <v>0</v>
      </c>
      <c r="AQ83" s="151" t="str">
        <f>IF(SUMIFS('Supp Consol'!S:S,'Supp Consol'!A:A,O83,'Supp Consol'!I:I,"PENDING")=0,"",SUMIFS('Supp Consol'!S:S,'Supp Consol'!A:A,O83,'Supp Consol'!I:I,"PENDING"))</f>
        <v/>
      </c>
      <c r="AR83" s="27" t="str">
        <f t="shared" si="35"/>
        <v>00330</v>
      </c>
      <c r="AS83" s="27" t="str">
        <f t="shared" si="36"/>
        <v>62</v>
      </c>
      <c r="AT83" s="27" t="str">
        <f t="shared" si="37"/>
        <v/>
      </c>
      <c r="AU83" s="27" t="str">
        <f t="shared" si="38"/>
        <v/>
      </c>
      <c r="AV83" s="27" t="str">
        <f t="shared" si="39"/>
        <v/>
      </c>
      <c r="AW83" s="27" t="str">
        <f t="shared" si="40"/>
        <v/>
      </c>
      <c r="AX83" s="27" t="str">
        <f t="shared" si="41"/>
        <v/>
      </c>
      <c r="AY83" s="27" t="str">
        <f t="shared" si="42"/>
        <v/>
      </c>
      <c r="AZ83" s="27" t="str">
        <f t="shared" si="43"/>
        <v/>
      </c>
      <c r="BA83" s="27" t="str">
        <f t="shared" si="44"/>
        <v/>
      </c>
      <c r="BB83" s="27" t="str">
        <f t="shared" si="45"/>
        <v/>
      </c>
      <c r="BC83" s="27" t="str">
        <f t="shared" si="46"/>
        <v/>
      </c>
      <c r="BD83" s="27" t="str">
        <f t="shared" si="47"/>
        <v/>
      </c>
      <c r="BE83" s="27" t="str">
        <f t="shared" si="48"/>
        <v/>
      </c>
      <c r="BF83" s="27" t="str">
        <f t="shared" si="49"/>
        <v/>
      </c>
      <c r="BG83" s="27" t="str">
        <f t="shared" si="50"/>
        <v/>
      </c>
      <c r="BH83" s="27" t="str">
        <f t="shared" si="51"/>
        <v/>
      </c>
      <c r="BI83" s="27" t="str">
        <f t="shared" si="52"/>
        <v/>
      </c>
      <c r="BJ83" s="27" t="str">
        <f t="shared" si="53"/>
        <v/>
      </c>
      <c r="BK83" s="27" t="str">
        <f t="shared" si="54"/>
        <v/>
      </c>
      <c r="BL83" s="27" t="str">
        <f t="shared" si="55"/>
        <v/>
      </c>
      <c r="BM83" s="21" t="s">
        <v>5581</v>
      </c>
    </row>
    <row r="84" spans="1:65" ht="15">
      <c r="A84" s="25" t="str">
        <f>IFERROR(INDEX('Hun Demand'!W:W,MATCH(O84,'Hun Demand'!A:A,0)),"")</f>
        <v/>
      </c>
      <c r="B84" s="25" t="str">
        <f>IFERROR(INDEX('Hun Demand'!V:V,MATCH(O84,'Hun Demand'!A:A,0)),"")</f>
        <v/>
      </c>
      <c r="C84" s="25" t="str">
        <f>IFERROR(INDEX('Hun Demand'!U:U,MATCH(O84,'Hun Demand'!A:A,0)),"")</f>
        <v/>
      </c>
      <c r="D84" s="25" t="str">
        <f>IFERROR(INDEX('Hun Demand'!T:T,MATCH(O84,'Hun Demand'!A:A,0)),"")</f>
        <v/>
      </c>
      <c r="E84" s="25" t="str">
        <f>IFERROR(INDEX('Hun Demand'!S:S,MATCH(O84,'Hun Demand'!A:A,0)),"")</f>
        <v/>
      </c>
      <c r="F84" s="25" t="str">
        <f>IFERROR(INDEX('Hun Demand'!R:R,MATCH(O84,'Hun Demand'!A:A,0)),"")</f>
        <v/>
      </c>
      <c r="G84" s="25">
        <f>IFERROR(INDEX('Aub Demand'!W:W,MATCH(O84,'Aub Demand'!A:A,0)),"")</f>
        <v>480</v>
      </c>
      <c r="H84" s="25">
        <f>IFERROR(INDEX('Aub Demand'!V:V,MATCH(O84,'Aub Demand'!A:A,0)),"")</f>
        <v>326</v>
      </c>
      <c r="I84" s="25">
        <f>IFERROR(INDEX('Aub Demand'!U:U,MATCH(O84,'Aub Demand'!A:A,0)),"")</f>
        <v>590</v>
      </c>
      <c r="J84" s="25">
        <f>IFERROR(INDEX('Aub Demand'!T:T,MATCH(O84,'Aub Demand'!A:A,0)),"")</f>
        <v>496</v>
      </c>
      <c r="K84" s="25">
        <f>IFERROR(INDEX('Aub Demand'!S:S,MATCH(O84,'Aub Demand'!A:A,0)),"")</f>
        <v>0</v>
      </c>
      <c r="L84" s="25">
        <f>IFERROR(INDEX('Aub Demand'!R:R,MATCH(O84,'Aub Demand'!A:A,0)),"")</f>
        <v>0</v>
      </c>
      <c r="O84" s="27" t="s">
        <v>225</v>
      </c>
      <c r="P84" s="27" t="str">
        <f>IFERROR(INDEX('Aub Demand'!B:B,MATCH($O84,'Aub Demand'!$A:$A,0)),"")</f>
        <v>FINELINE</v>
      </c>
      <c r="Q84" s="27" t="str">
        <f>IFERROR(INDEX('Aub Demand'!C:C,MATCH($O84,'Aub Demand'!$A:$A,0)),"")</f>
        <v>SAPPI</v>
      </c>
      <c r="R84" s="52">
        <f>IFERROR(IF(AR85=AR84,INDEX('Aub Demand'!K:K,MATCH($O84,'Aub Demand'!$A:$A,0))-IF(AN84="",0,AN84)+AP85,INDEX('Aub Demand'!K:K,MATCH($O84,'Aub Demand'!$A:$A,0))-IF(AN84="",0,AN84)),"")</f>
        <v>6219</v>
      </c>
      <c r="S84" s="53">
        <f t="shared" si="28"/>
        <v>73.599999999999994</v>
      </c>
      <c r="T84" s="52" t="str">
        <f t="shared" si="29"/>
        <v/>
      </c>
      <c r="U84" s="52">
        <f>IFERROR(IF(AR85=AR84,INDEX('Aub Demand'!Q:Q,MATCH($O84,'Aub Demand'!$A:$A,0))-IF(AN84="",0,AN84)+AP85,INDEX('Aub Demand'!Q:Q,MATCH($O84,'Aub Demand'!$A:$A,0))-IF(AN84="",0,AN84)),"")</f>
        <v>5258</v>
      </c>
      <c r="V84" s="53">
        <f t="shared" si="30"/>
        <v>62.2</v>
      </c>
      <c r="W84" s="52" t="str">
        <f t="shared" si="31"/>
        <v/>
      </c>
      <c r="X84" s="52">
        <f>IFERROR(IF(AND(AR85=AR84,AM84&lt;&gt;""),INDEX('Aub Demand'!Q:Q,MATCH($O84,'Aub Demand'!$A:$A,0))-IF(AN84="",0,AN84)+AP85+AD84+AL84,IF(AR85=AR84,INDEX('Aub Demand'!Q:Q,MATCH($O84,'Aub Demand'!$A:$A,0))-IF(AN84="",0,AN84)+AP85+AD84,IF(AM84&lt;&gt;"",INDEX('Aub Demand'!Q:Q,MATCH($O84,'Aub Demand'!$A:$A,0))-IF(AN84="",0,AN84)+AD84+AL84,INDEX('Aub Demand'!Q:Q,MATCH($O84,'Aub Demand'!$A:$A,0))-IF(AN84="",0,AN84)+AD84))),"")</f>
        <v>5258</v>
      </c>
      <c r="Y84" s="53">
        <f t="shared" si="32"/>
        <v>62.2</v>
      </c>
      <c r="Z84" s="52">
        <f>IF(L84="","",INDEX('Aub Demand'!H:H,MATCH($O84,'Aub Demand'!$A:$A,0)))</f>
        <v>362</v>
      </c>
      <c r="AA84" s="52">
        <f t="shared" si="33"/>
        <v>543</v>
      </c>
      <c r="AB84" s="52">
        <f>IFERROR(INDEX('Aub Demand'!L:L,MATCH($O84,'Aub Demand'!$A:$A,0)),"")</f>
        <v>347</v>
      </c>
      <c r="AC84" s="52">
        <f>IFERROR(IF(O84="","",SUMIFS('CPL Mats'!F:F,'CPL Mats'!Q:Q,AR84,'CPL Mats'!S:S,AS84)),"")</f>
        <v>0</v>
      </c>
      <c r="AF84" s="25" t="str">
        <f>IF(SUMIFS('Supp Consol'!S:S,'Supp Consol'!Y:Y,"Releasable",'Supp Consol'!A:A,O84)=0,"",SUMIFS('Supp Consol'!S:S,'Supp Consol'!Y:Y,"Releasable",'Supp Consol'!A:A,O84))</f>
        <v/>
      </c>
      <c r="AG84" s="25" t="str">
        <f>IFERROR(INDEX('Hun Demand'!Q:Q,MATCH(O84,'Hun Demand'!A:A,0)),"")</f>
        <v/>
      </c>
      <c r="AH84" s="25" t="str">
        <f>IFERROR(INDEX('Hun Demand'!H:H,MATCH($O84,'Hun Demand'!$A:$A,0)),"")</f>
        <v/>
      </c>
      <c r="AI84" s="25" t="str">
        <f>IF(SUMIFS('Supp Consol'!AA:AA,'Supp Consol'!Z:Z,"Expires this month",'Supp Consol'!A:A,O84)=0,"",SUMIFS('Supp Consol'!AA:AA,'Supp Consol'!Z:Z,"Expires this month",'Supp Consol'!A:A,O84))</f>
        <v/>
      </c>
      <c r="AJ84" s="25" t="str">
        <f>IF(SUMIFS('Supp Consol'!AA:AA,'Supp Consol'!Z:Z,"Expired Previous Months",'Supp Consol'!A:A,O84)=0,"",SUMIFS('Supp Consol'!AA:AA,'Supp Consol'!Z:Z,"Expired Previous Months",'Supp Consol'!A:A,O84))</f>
        <v/>
      </c>
      <c r="AK84" s="25" t="str">
        <f>IFERROR(INDEX('Hun Release Current'!B:B,MATCH(O84,'Hun Release Current'!A:A,0)),"")</f>
        <v/>
      </c>
      <c r="AL84" s="25" t="str">
        <f>IF(SUMIF('Prev Aub'!A:A,O84,'Prev Aub'!B:B)=0,"",SUMIF('Prev Aub'!A:A,O84,'Prev Aub'!B:B))</f>
        <v/>
      </c>
      <c r="AN84" s="25" t="s">
        <v>3790</v>
      </c>
      <c r="AO84" s="25" t="s">
        <v>3790</v>
      </c>
      <c r="AP84" s="25">
        <f t="shared" si="34"/>
        <v>0</v>
      </c>
      <c r="AQ84" s="151" t="str">
        <f>IF(SUMIFS('Supp Consol'!S:S,'Supp Consol'!A:A,O84,'Supp Consol'!I:I,"PENDING")=0,"",SUMIFS('Supp Consol'!S:S,'Supp Consol'!A:A,O84,'Supp Consol'!I:I,"PENDING"))</f>
        <v/>
      </c>
      <c r="AR84" s="27" t="str">
        <f t="shared" si="35"/>
        <v>00331</v>
      </c>
      <c r="AS84" s="27" t="str">
        <f t="shared" si="36"/>
        <v>50</v>
      </c>
      <c r="AT84" s="27" t="str">
        <f t="shared" si="37"/>
        <v/>
      </c>
      <c r="AU84" s="27" t="str">
        <f t="shared" si="38"/>
        <v/>
      </c>
      <c r="AV84" s="27" t="str">
        <f t="shared" si="39"/>
        <v/>
      </c>
      <c r="AW84" s="27" t="str">
        <f t="shared" si="40"/>
        <v/>
      </c>
      <c r="AX84" s="27" t="str">
        <f t="shared" si="41"/>
        <v/>
      </c>
      <c r="AY84" s="27" t="str">
        <f t="shared" si="42"/>
        <v/>
      </c>
      <c r="AZ84" s="27" t="str">
        <f t="shared" si="43"/>
        <v/>
      </c>
      <c r="BA84" s="27" t="str">
        <f t="shared" si="44"/>
        <v/>
      </c>
      <c r="BB84" s="27" t="str">
        <f t="shared" si="45"/>
        <v/>
      </c>
      <c r="BC84" s="27" t="str">
        <f t="shared" si="46"/>
        <v/>
      </c>
      <c r="BD84" s="27" t="str">
        <f t="shared" si="47"/>
        <v/>
      </c>
      <c r="BE84" s="27" t="str">
        <f t="shared" si="48"/>
        <v/>
      </c>
      <c r="BF84" s="27" t="str">
        <f t="shared" si="49"/>
        <v/>
      </c>
      <c r="BG84" s="27" t="str">
        <f t="shared" si="50"/>
        <v/>
      </c>
      <c r="BH84" s="27" t="str">
        <f t="shared" si="51"/>
        <v/>
      </c>
      <c r="BI84" s="27" t="str">
        <f t="shared" si="52"/>
        <v/>
      </c>
      <c r="BJ84" s="27" t="str">
        <f t="shared" si="53"/>
        <v/>
      </c>
      <c r="BK84" s="27" t="str">
        <f t="shared" si="54"/>
        <v/>
      </c>
      <c r="BL84" s="27" t="str">
        <f t="shared" si="55"/>
        <v/>
      </c>
      <c r="BM84" s="21" t="s">
        <v>5581</v>
      </c>
    </row>
    <row r="85" spans="1:65" ht="15">
      <c r="A85" s="25" t="str">
        <f>IFERROR(INDEX('Hun Demand'!W:W,MATCH(O85,'Hun Demand'!A:A,0)),"")</f>
        <v/>
      </c>
      <c r="B85" s="25" t="str">
        <f>IFERROR(INDEX('Hun Demand'!V:V,MATCH(O85,'Hun Demand'!A:A,0)),"")</f>
        <v/>
      </c>
      <c r="C85" s="25" t="str">
        <f>IFERROR(INDEX('Hun Demand'!U:U,MATCH(O85,'Hun Demand'!A:A,0)),"")</f>
        <v/>
      </c>
      <c r="D85" s="25" t="str">
        <f>IFERROR(INDEX('Hun Demand'!T:T,MATCH(O85,'Hun Demand'!A:A,0)),"")</f>
        <v/>
      </c>
      <c r="E85" s="25" t="str">
        <f>IFERROR(INDEX('Hun Demand'!S:S,MATCH(O85,'Hun Demand'!A:A,0)),"")</f>
        <v/>
      </c>
      <c r="F85" s="25" t="str">
        <f>IFERROR(INDEX('Hun Demand'!R:R,MATCH(O85,'Hun Demand'!A:A,0)),"")</f>
        <v/>
      </c>
      <c r="G85" s="25">
        <f>IFERROR(INDEX('Aub Demand'!W:W,MATCH(O85,'Aub Demand'!A:A,0)),"")</f>
        <v>224</v>
      </c>
      <c r="H85" s="25">
        <f>IFERROR(INDEX('Aub Demand'!V:V,MATCH(O85,'Aub Demand'!A:A,0)),"")</f>
        <v>0</v>
      </c>
      <c r="I85" s="25">
        <f>IFERROR(INDEX('Aub Demand'!U:U,MATCH(O85,'Aub Demand'!A:A,0)),"")</f>
        <v>157</v>
      </c>
      <c r="J85" s="25">
        <f>IFERROR(INDEX('Aub Demand'!T:T,MATCH(O85,'Aub Demand'!A:A,0)),"")</f>
        <v>0</v>
      </c>
      <c r="K85" s="25">
        <f>IFERROR(INDEX('Aub Demand'!S:S,MATCH(O85,'Aub Demand'!A:A,0)),"")</f>
        <v>0</v>
      </c>
      <c r="L85" s="25">
        <f>IFERROR(INDEX('Aub Demand'!R:R,MATCH(O85,'Aub Demand'!A:A,0)),"")</f>
        <v>0</v>
      </c>
      <c r="O85" s="27" t="s">
        <v>227</v>
      </c>
      <c r="P85" s="27" t="str">
        <f>IFERROR(INDEX('Aub Demand'!B:B,MATCH($O85,'Aub Demand'!$A:$A,0)),"")</f>
        <v>FINELINE</v>
      </c>
      <c r="Q85" s="27" t="str">
        <f>IFERROR(INDEX('Aub Demand'!C:C,MATCH($O85,'Aub Demand'!$A:$A,0)),"")</f>
        <v>SAPPI</v>
      </c>
      <c r="R85" s="52">
        <f>IFERROR(IF(AR86=AR85,INDEX('Aub Demand'!K:K,MATCH($O85,'Aub Demand'!$A:$A,0))-IF(AN85="",0,AN85)+AP86,INDEX('Aub Demand'!K:K,MATCH($O85,'Aub Demand'!$A:$A,0))-IF(AN85="",0,AN85)),"")</f>
        <v>1905</v>
      </c>
      <c r="S85" s="53">
        <f t="shared" si="28"/>
        <v>157</v>
      </c>
      <c r="T85" s="52" t="str">
        <f t="shared" si="29"/>
        <v/>
      </c>
      <c r="U85" s="52">
        <f>IFERROR(IF(AR86=AR85,INDEX('Aub Demand'!Q:Q,MATCH($O85,'Aub Demand'!$A:$A,0))-IF(AN85="",0,AN85)+AP86,INDEX('Aub Demand'!Q:Q,MATCH($O85,'Aub Demand'!$A:$A,0))-IF(AN85="",0,AN85)),"")</f>
        <v>1898</v>
      </c>
      <c r="V85" s="53">
        <f t="shared" si="30"/>
        <v>156.4</v>
      </c>
      <c r="W85" s="52" t="str">
        <f t="shared" si="31"/>
        <v/>
      </c>
      <c r="X85" s="52">
        <f>IFERROR(IF(AND(AR86=AR85,AM85&lt;&gt;""),INDEX('Aub Demand'!Q:Q,MATCH($O85,'Aub Demand'!$A:$A,0))-IF(AN85="",0,AN85)+AP86+AD85+AL85,IF(AR86=AR85,INDEX('Aub Demand'!Q:Q,MATCH($O85,'Aub Demand'!$A:$A,0))-IF(AN85="",0,AN85)+AP86+AD85,IF(AM85&lt;&gt;"",INDEX('Aub Demand'!Q:Q,MATCH($O85,'Aub Demand'!$A:$A,0))-IF(AN85="",0,AN85)+AD85+AL85,INDEX('Aub Demand'!Q:Q,MATCH($O85,'Aub Demand'!$A:$A,0))-IF(AN85="",0,AN85)+AD85))),"")</f>
        <v>1898</v>
      </c>
      <c r="Y85" s="53">
        <f t="shared" si="32"/>
        <v>156.4</v>
      </c>
      <c r="Z85" s="52">
        <f>IF(L85="","",INDEX('Aub Demand'!H:H,MATCH($O85,'Aub Demand'!$A:$A,0)))</f>
        <v>52</v>
      </c>
      <c r="AA85" s="52" t="str">
        <f t="shared" si="33"/>
        <v>-spike-</v>
      </c>
      <c r="AB85" s="52">
        <f>IFERROR(INDEX('Aub Demand'!L:L,MATCH($O85,'Aub Demand'!$A:$A,0)),"")</f>
        <v>263</v>
      </c>
      <c r="AC85" s="52">
        <f>IFERROR(IF(O85="","",SUMIFS('CPL Mats'!F:F,'CPL Mats'!Q:Q,AR85,'CPL Mats'!S:S,AS85)),"")</f>
        <v>0</v>
      </c>
      <c r="AF85" s="25" t="str">
        <f>IF(SUMIFS('Supp Consol'!S:S,'Supp Consol'!Y:Y,"Releasable",'Supp Consol'!A:A,O85)=0,"",SUMIFS('Supp Consol'!S:S,'Supp Consol'!Y:Y,"Releasable",'Supp Consol'!A:A,O85))</f>
        <v/>
      </c>
      <c r="AG85" s="25" t="str">
        <f>IFERROR(INDEX('Hun Demand'!Q:Q,MATCH(O85,'Hun Demand'!A:A,0)),"")</f>
        <v/>
      </c>
      <c r="AH85" s="25" t="str">
        <f>IFERROR(INDEX('Hun Demand'!H:H,MATCH($O85,'Hun Demand'!$A:$A,0)),"")</f>
        <v/>
      </c>
      <c r="AI85" s="25" t="str">
        <f>IF(SUMIFS('Supp Consol'!AA:AA,'Supp Consol'!Z:Z,"Expires this month",'Supp Consol'!A:A,O85)=0,"",SUMIFS('Supp Consol'!AA:AA,'Supp Consol'!Z:Z,"Expires this month",'Supp Consol'!A:A,O85))</f>
        <v/>
      </c>
      <c r="AJ85" s="25" t="str">
        <f>IF(SUMIFS('Supp Consol'!AA:AA,'Supp Consol'!Z:Z,"Expired Previous Months",'Supp Consol'!A:A,O85)=0,"",SUMIFS('Supp Consol'!AA:AA,'Supp Consol'!Z:Z,"Expired Previous Months",'Supp Consol'!A:A,O85))</f>
        <v/>
      </c>
      <c r="AK85" s="25" t="str">
        <f>IFERROR(INDEX('Hun Release Current'!B:B,MATCH(O85,'Hun Release Current'!A:A,0)),"")</f>
        <v/>
      </c>
      <c r="AL85" s="25" t="str">
        <f>IF(SUMIF('Prev Aub'!A:A,O85,'Prev Aub'!B:B)=0,"",SUMIF('Prev Aub'!A:A,O85,'Prev Aub'!B:B))</f>
        <v/>
      </c>
      <c r="AN85" s="25" t="s">
        <v>3790</v>
      </c>
      <c r="AO85" s="25" t="s">
        <v>3790</v>
      </c>
      <c r="AP85" s="25">
        <f t="shared" si="34"/>
        <v>0</v>
      </c>
      <c r="AQ85" s="151" t="str">
        <f>IF(SUMIFS('Supp Consol'!S:S,'Supp Consol'!A:A,O85,'Supp Consol'!I:I,"PENDING")=0,"",SUMIFS('Supp Consol'!S:S,'Supp Consol'!A:A,O85,'Supp Consol'!I:I,"PENDING"))</f>
        <v/>
      </c>
      <c r="AR85" s="27" t="str">
        <f t="shared" si="35"/>
        <v>00331</v>
      </c>
      <c r="AS85" s="27" t="str">
        <f t="shared" si="36"/>
        <v>62</v>
      </c>
      <c r="AT85" s="27" t="str">
        <f t="shared" si="37"/>
        <v/>
      </c>
      <c r="AU85" s="27" t="str">
        <f t="shared" si="38"/>
        <v/>
      </c>
      <c r="AV85" s="27" t="str">
        <f t="shared" si="39"/>
        <v/>
      </c>
      <c r="AW85" s="27" t="str">
        <f t="shared" si="40"/>
        <v/>
      </c>
      <c r="AX85" s="27" t="str">
        <f t="shared" si="41"/>
        <v/>
      </c>
      <c r="AY85" s="27" t="str">
        <f t="shared" si="42"/>
        <v/>
      </c>
      <c r="AZ85" s="27" t="str">
        <f t="shared" si="43"/>
        <v/>
      </c>
      <c r="BA85" s="27" t="str">
        <f t="shared" si="44"/>
        <v/>
      </c>
      <c r="BB85" s="27" t="str">
        <f t="shared" si="45"/>
        <v/>
      </c>
      <c r="BC85" s="27" t="str">
        <f t="shared" si="46"/>
        <v/>
      </c>
      <c r="BD85" s="27" t="str">
        <f t="shared" si="47"/>
        <v/>
      </c>
      <c r="BE85" s="27" t="str">
        <f t="shared" si="48"/>
        <v/>
      </c>
      <c r="BF85" s="27" t="str">
        <f t="shared" si="49"/>
        <v/>
      </c>
      <c r="BG85" s="27" t="str">
        <f t="shared" si="50"/>
        <v/>
      </c>
      <c r="BH85" s="27" t="str">
        <f t="shared" si="51"/>
        <v/>
      </c>
      <c r="BI85" s="27" t="str">
        <f t="shared" si="52"/>
        <v/>
      </c>
      <c r="BJ85" s="27" t="str">
        <f t="shared" si="53"/>
        <v/>
      </c>
      <c r="BK85" s="27" t="str">
        <f t="shared" si="54"/>
        <v/>
      </c>
      <c r="BL85" s="27" t="str">
        <f t="shared" si="55"/>
        <v/>
      </c>
      <c r="BM85" s="21" t="s">
        <v>5581</v>
      </c>
    </row>
    <row r="86" spans="1:65" ht="15">
      <c r="A86" s="25" t="str">
        <f>IFERROR(INDEX('Hun Demand'!W:W,MATCH(O86,'Hun Demand'!A:A,0)),"")</f>
        <v/>
      </c>
      <c r="B86" s="25" t="str">
        <f>IFERROR(INDEX('Hun Demand'!V:V,MATCH(O86,'Hun Demand'!A:A,0)),"")</f>
        <v/>
      </c>
      <c r="C86" s="25" t="str">
        <f>IFERROR(INDEX('Hun Demand'!U:U,MATCH(O86,'Hun Demand'!A:A,0)),"")</f>
        <v/>
      </c>
      <c r="D86" s="25" t="str">
        <f>IFERROR(INDEX('Hun Demand'!T:T,MATCH(O86,'Hun Demand'!A:A,0)),"")</f>
        <v/>
      </c>
      <c r="E86" s="25" t="str">
        <f>IFERROR(INDEX('Hun Demand'!S:S,MATCH(O86,'Hun Demand'!A:A,0)),"")</f>
        <v/>
      </c>
      <c r="F86" s="25" t="str">
        <f>IFERROR(INDEX('Hun Demand'!R:R,MATCH(O86,'Hun Demand'!A:A,0)),"")</f>
        <v/>
      </c>
      <c r="G86" s="25">
        <f>IFERROR(INDEX('Aub Demand'!W:W,MATCH(O86,'Aub Demand'!A:A,0)),"")</f>
        <v>0</v>
      </c>
      <c r="H86" s="25">
        <f>IFERROR(INDEX('Aub Demand'!V:V,MATCH(O86,'Aub Demand'!A:A,0)),"")</f>
        <v>0</v>
      </c>
      <c r="I86" s="25">
        <f>IFERROR(INDEX('Aub Demand'!U:U,MATCH(O86,'Aub Demand'!A:A,0)),"")</f>
        <v>89</v>
      </c>
      <c r="J86" s="25">
        <f>IFERROR(INDEX('Aub Demand'!T:T,MATCH(O86,'Aub Demand'!A:A,0)),"")</f>
        <v>325</v>
      </c>
      <c r="K86" s="25">
        <f>IFERROR(INDEX('Aub Demand'!S:S,MATCH(O86,'Aub Demand'!A:A,0)),"")</f>
        <v>0</v>
      </c>
      <c r="L86" s="25">
        <f>IFERROR(INDEX('Aub Demand'!R:R,MATCH(O86,'Aub Demand'!A:A,0)),"")</f>
        <v>0</v>
      </c>
      <c r="O86" s="27" t="s">
        <v>228</v>
      </c>
      <c r="P86" s="27" t="str">
        <f>IFERROR(INDEX('Aub Demand'!B:B,MATCH($O86,'Aub Demand'!$A:$A,0)),"")</f>
        <v>NATURAL STONE</v>
      </c>
      <c r="Q86" s="27" t="str">
        <f>IFERROR(INDEX('Aub Demand'!C:C,MATCH($O86,'Aub Demand'!$A:$A,0)),"")</f>
        <v>SAPPI</v>
      </c>
      <c r="R86" s="52">
        <f>IFERROR(IF(AR87=AR86,INDEX('Aub Demand'!K:K,MATCH($O86,'Aub Demand'!$A:$A,0))-IF(AN86="",0,AN86)+AP87,INDEX('Aub Demand'!K:K,MATCH($O86,'Aub Demand'!$A:$A,0))-IF(AN86="",0,AN86)),"")</f>
        <v>365</v>
      </c>
      <c r="S86" s="53">
        <f t="shared" si="28"/>
        <v>11.3</v>
      </c>
      <c r="T86" s="52" t="str">
        <f t="shared" si="29"/>
        <v/>
      </c>
      <c r="U86" s="52">
        <f>IFERROR(IF(AR87=AR86,INDEX('Aub Demand'!Q:Q,MATCH($O86,'Aub Demand'!$A:$A,0))-IF(AN86="",0,AN86)+AP87,INDEX('Aub Demand'!Q:Q,MATCH($O86,'Aub Demand'!$A:$A,0))-IF(AN86="",0,AN86)),"")</f>
        <v>347</v>
      </c>
      <c r="V86" s="53">
        <f t="shared" si="30"/>
        <v>10.8</v>
      </c>
      <c r="W86" s="52" t="str">
        <f t="shared" si="31"/>
        <v/>
      </c>
      <c r="X86" s="52">
        <f>IFERROR(IF(AND(AR87=AR86,AM86&lt;&gt;""),INDEX('Aub Demand'!Q:Q,MATCH($O86,'Aub Demand'!$A:$A,0))-IF(AN86="",0,AN86)+AP87+AD86+AL86,IF(AR87=AR86,INDEX('Aub Demand'!Q:Q,MATCH($O86,'Aub Demand'!$A:$A,0))-IF(AN86="",0,AN86)+AP87+AD86,IF(AM86&lt;&gt;"",INDEX('Aub Demand'!Q:Q,MATCH($O86,'Aub Demand'!$A:$A,0))-IF(AN86="",0,AN86)+AD86+AL86,INDEX('Aub Demand'!Q:Q,MATCH($O86,'Aub Demand'!$A:$A,0))-IF(AN86="",0,AN86)+AD86))),"")</f>
        <v>347</v>
      </c>
      <c r="Y86" s="53">
        <f t="shared" si="32"/>
        <v>10.8</v>
      </c>
      <c r="Z86" s="52">
        <f>IF(L86="","",INDEX('Aub Demand'!H:H,MATCH($O86,'Aub Demand'!$A:$A,0)))</f>
        <v>138</v>
      </c>
      <c r="AA86" s="52">
        <f t="shared" si="33"/>
        <v>207</v>
      </c>
      <c r="AB86" s="52">
        <f>IFERROR(INDEX('Aub Demand'!L:L,MATCH($O86,'Aub Demand'!$A:$A,0)),"")</f>
        <v>86</v>
      </c>
      <c r="AC86" s="52">
        <f>IFERROR(IF(O86="","",SUMIFS('CPL Mats'!F:F,'CPL Mats'!Q:Q,AR86,'CPL Mats'!S:S,AS86)),"")</f>
        <v>0</v>
      </c>
      <c r="AF86" s="25" t="str">
        <f>IF(SUMIFS('Supp Consol'!S:S,'Supp Consol'!Y:Y,"Releasable",'Supp Consol'!A:A,O86)=0,"",SUMIFS('Supp Consol'!S:S,'Supp Consol'!Y:Y,"Releasable",'Supp Consol'!A:A,O86))</f>
        <v/>
      </c>
      <c r="AG86" s="25" t="str">
        <f>IFERROR(INDEX('Hun Demand'!Q:Q,MATCH(O86,'Hun Demand'!A:A,0)),"")</f>
        <v/>
      </c>
      <c r="AH86" s="25" t="str">
        <f>IFERROR(INDEX('Hun Demand'!H:H,MATCH($O86,'Hun Demand'!$A:$A,0)),"")</f>
        <v/>
      </c>
      <c r="AI86" s="25" t="str">
        <f>IF(SUMIFS('Supp Consol'!AA:AA,'Supp Consol'!Z:Z,"Expires this month",'Supp Consol'!A:A,O86)=0,"",SUMIFS('Supp Consol'!AA:AA,'Supp Consol'!Z:Z,"Expires this month",'Supp Consol'!A:A,O86))</f>
        <v/>
      </c>
      <c r="AJ86" s="25" t="str">
        <f>IF(SUMIFS('Supp Consol'!AA:AA,'Supp Consol'!Z:Z,"Expired Previous Months",'Supp Consol'!A:A,O86)=0,"",SUMIFS('Supp Consol'!AA:AA,'Supp Consol'!Z:Z,"Expired Previous Months",'Supp Consol'!A:A,O86))</f>
        <v/>
      </c>
      <c r="AK86" s="25" t="str">
        <f>IFERROR(INDEX('Hun Release Current'!B:B,MATCH(O86,'Hun Release Current'!A:A,0)),"")</f>
        <v/>
      </c>
      <c r="AL86" s="25" t="str">
        <f>IF(SUMIF('Prev Aub'!A:A,O86,'Prev Aub'!B:B)=0,"",SUMIF('Prev Aub'!A:A,O86,'Prev Aub'!B:B))</f>
        <v/>
      </c>
      <c r="AN86" s="25" t="s">
        <v>3790</v>
      </c>
      <c r="AO86" s="25" t="s">
        <v>3790</v>
      </c>
      <c r="AP86" s="25">
        <f t="shared" si="34"/>
        <v>0</v>
      </c>
      <c r="AQ86" s="151" t="str">
        <f>IF(SUMIFS('Supp Consol'!S:S,'Supp Consol'!A:A,O86,'Supp Consol'!I:I,"PENDING")=0,"",SUMIFS('Supp Consol'!S:S,'Supp Consol'!A:A,O86,'Supp Consol'!I:I,"PENDING"))</f>
        <v/>
      </c>
      <c r="AR86" s="27" t="str">
        <f t="shared" si="35"/>
        <v>00332</v>
      </c>
      <c r="AS86" s="27" t="str">
        <f t="shared" si="36"/>
        <v>50</v>
      </c>
      <c r="AT86" s="27" t="str">
        <f t="shared" si="37"/>
        <v/>
      </c>
      <c r="AU86" s="27" t="str">
        <f t="shared" si="38"/>
        <v/>
      </c>
      <c r="AV86" s="27" t="str">
        <f t="shared" si="39"/>
        <v/>
      </c>
      <c r="AW86" s="27" t="str">
        <f t="shared" si="40"/>
        <v/>
      </c>
      <c r="AX86" s="27" t="str">
        <f t="shared" si="41"/>
        <v/>
      </c>
      <c r="AY86" s="27" t="str">
        <f t="shared" si="42"/>
        <v/>
      </c>
      <c r="AZ86" s="27" t="str">
        <f t="shared" si="43"/>
        <v/>
      </c>
      <c r="BA86" s="27" t="str">
        <f t="shared" si="44"/>
        <v/>
      </c>
      <c r="BB86" s="27" t="str">
        <f t="shared" si="45"/>
        <v/>
      </c>
      <c r="BC86" s="27" t="str">
        <f t="shared" si="46"/>
        <v/>
      </c>
      <c r="BD86" s="27" t="str">
        <f t="shared" si="47"/>
        <v/>
      </c>
      <c r="BE86" s="27" t="str">
        <f t="shared" si="48"/>
        <v/>
      </c>
      <c r="BF86" s="27" t="str">
        <f t="shared" si="49"/>
        <v/>
      </c>
      <c r="BG86" s="27" t="str">
        <f t="shared" si="50"/>
        <v/>
      </c>
      <c r="BH86" s="27" t="str">
        <f t="shared" si="51"/>
        <v/>
      </c>
      <c r="BI86" s="27" t="str">
        <f t="shared" si="52"/>
        <v/>
      </c>
      <c r="BJ86" s="27" t="str">
        <f t="shared" si="53"/>
        <v/>
      </c>
      <c r="BK86" s="27" t="str">
        <f t="shared" si="54"/>
        <v/>
      </c>
      <c r="BL86" s="27" t="str">
        <f t="shared" si="55"/>
        <v/>
      </c>
      <c r="BM86" s="21" t="s">
        <v>5581</v>
      </c>
    </row>
    <row r="87" spans="1:65" ht="15">
      <c r="A87" s="25" t="str">
        <f>IFERROR(INDEX('Hun Demand'!W:W,MATCH(O87,'Hun Demand'!A:A,0)),"")</f>
        <v/>
      </c>
      <c r="B87" s="25" t="str">
        <f>IFERROR(INDEX('Hun Demand'!V:V,MATCH(O87,'Hun Demand'!A:A,0)),"")</f>
        <v/>
      </c>
      <c r="C87" s="25" t="str">
        <f>IFERROR(INDEX('Hun Demand'!U:U,MATCH(O87,'Hun Demand'!A:A,0)),"")</f>
        <v/>
      </c>
      <c r="D87" s="25" t="str">
        <f>IFERROR(INDEX('Hun Demand'!T:T,MATCH(O87,'Hun Demand'!A:A,0)),"")</f>
        <v/>
      </c>
      <c r="E87" s="25" t="str">
        <f>IFERROR(INDEX('Hun Demand'!S:S,MATCH(O87,'Hun Demand'!A:A,0)),"")</f>
        <v/>
      </c>
      <c r="F87" s="25" t="str">
        <f>IFERROR(INDEX('Hun Demand'!R:R,MATCH(O87,'Hun Demand'!A:A,0)),"")</f>
        <v/>
      </c>
      <c r="G87" s="25">
        <f>IFERROR(INDEX('Aub Demand'!W:W,MATCH(O87,'Aub Demand'!A:A,0)),"")</f>
        <v>153</v>
      </c>
      <c r="H87" s="25">
        <f>IFERROR(INDEX('Aub Demand'!V:V,MATCH(O87,'Aub Demand'!A:A,0)),"")</f>
        <v>0</v>
      </c>
      <c r="I87" s="25">
        <f>IFERROR(INDEX('Aub Demand'!U:U,MATCH(O87,'Aub Demand'!A:A,0)),"")</f>
        <v>0</v>
      </c>
      <c r="J87" s="25">
        <f>IFERROR(INDEX('Aub Demand'!T:T,MATCH(O87,'Aub Demand'!A:A,0)),"")</f>
        <v>61</v>
      </c>
      <c r="K87" s="25">
        <f>IFERROR(INDEX('Aub Demand'!S:S,MATCH(O87,'Aub Demand'!A:A,0)),"")</f>
        <v>176</v>
      </c>
      <c r="L87" s="25">
        <f>IFERROR(INDEX('Aub Demand'!R:R,MATCH(O87,'Aub Demand'!A:A,0)),"")</f>
        <v>0</v>
      </c>
      <c r="O87" s="27" t="s">
        <v>230</v>
      </c>
      <c r="P87" s="27" t="str">
        <f>IFERROR(INDEX('Aub Demand'!B:B,MATCH($O87,'Aub Demand'!$A:$A,0)),"")</f>
        <v>NATURAL STONE</v>
      </c>
      <c r="Q87" s="27" t="str">
        <f>IFERROR(INDEX('Aub Demand'!C:C,MATCH($O87,'Aub Demand'!$A:$A,0)),"")</f>
        <v>SAPPI</v>
      </c>
      <c r="R87" s="52">
        <f>IFERROR(IF(AR88=AR87,INDEX('Aub Demand'!K:K,MATCH($O87,'Aub Demand'!$A:$A,0))-IF(AN87="",0,AN87)+AP88,INDEX('Aub Demand'!K:K,MATCH($O87,'Aub Demand'!$A:$A,0))-IF(AN87="",0,AN87)),"")</f>
        <v>1286</v>
      </c>
      <c r="S87" s="53">
        <f t="shared" si="28"/>
        <v>69.8</v>
      </c>
      <c r="T87" s="52" t="str">
        <f t="shared" si="29"/>
        <v/>
      </c>
      <c r="U87" s="52">
        <f>IFERROR(IF(AR88=AR87,INDEX('Aub Demand'!Q:Q,MATCH($O87,'Aub Demand'!$A:$A,0))-IF(AN87="",0,AN87)+AP88,INDEX('Aub Demand'!Q:Q,MATCH($O87,'Aub Demand'!$A:$A,0))-IF(AN87="",0,AN87)),"")</f>
        <v>1286</v>
      </c>
      <c r="V87" s="53">
        <f t="shared" si="30"/>
        <v>69.8</v>
      </c>
      <c r="W87" s="52" t="str">
        <f t="shared" si="31"/>
        <v/>
      </c>
      <c r="X87" s="52">
        <f>IFERROR(IF(AND(AR88=AR87,AM87&lt;&gt;""),INDEX('Aub Demand'!Q:Q,MATCH($O87,'Aub Demand'!$A:$A,0))-IF(AN87="",0,AN87)+AP88+AD87+AL87,IF(AR88=AR87,INDEX('Aub Demand'!Q:Q,MATCH($O87,'Aub Demand'!$A:$A,0))-IF(AN87="",0,AN87)+AP88+AD87,IF(AM87&lt;&gt;"",INDEX('Aub Demand'!Q:Q,MATCH($O87,'Aub Demand'!$A:$A,0))-IF(AN87="",0,AN87)+AD87+AL87,INDEX('Aub Demand'!Q:Q,MATCH($O87,'Aub Demand'!$A:$A,0))-IF(AN87="",0,AN87)+AD87))),"")</f>
        <v>1286</v>
      </c>
      <c r="Y87" s="53">
        <f t="shared" si="32"/>
        <v>69.8</v>
      </c>
      <c r="Z87" s="52">
        <f>IF(L87="","",INDEX('Aub Demand'!H:H,MATCH($O87,'Aub Demand'!$A:$A,0)))</f>
        <v>79</v>
      </c>
      <c r="AA87" s="52">
        <f t="shared" si="33"/>
        <v>118.5</v>
      </c>
      <c r="AB87" s="52">
        <f>IFERROR(INDEX('Aub Demand'!L:L,MATCH($O87,'Aub Demand'!$A:$A,0)),"")</f>
        <v>369</v>
      </c>
      <c r="AC87" s="52">
        <f>IFERROR(IF(O87="","",SUMIFS('CPL Mats'!F:F,'CPL Mats'!Q:Q,AR87,'CPL Mats'!S:S,AS87)),"")</f>
        <v>0</v>
      </c>
      <c r="AF87" s="25" t="str">
        <f>IF(SUMIFS('Supp Consol'!S:S,'Supp Consol'!Y:Y,"Releasable",'Supp Consol'!A:A,O87)=0,"",SUMIFS('Supp Consol'!S:S,'Supp Consol'!Y:Y,"Releasable",'Supp Consol'!A:A,O87))</f>
        <v/>
      </c>
      <c r="AG87" s="25" t="str">
        <f>IFERROR(INDEX('Hun Demand'!Q:Q,MATCH(O87,'Hun Demand'!A:A,0)),"")</f>
        <v/>
      </c>
      <c r="AH87" s="25" t="str">
        <f>IFERROR(INDEX('Hun Demand'!H:H,MATCH($O87,'Hun Demand'!$A:$A,0)),"")</f>
        <v/>
      </c>
      <c r="AI87" s="25" t="str">
        <f>IF(SUMIFS('Supp Consol'!AA:AA,'Supp Consol'!Z:Z,"Expires this month",'Supp Consol'!A:A,O87)=0,"",SUMIFS('Supp Consol'!AA:AA,'Supp Consol'!Z:Z,"Expires this month",'Supp Consol'!A:A,O87))</f>
        <v/>
      </c>
      <c r="AJ87" s="25" t="str">
        <f>IF(SUMIFS('Supp Consol'!AA:AA,'Supp Consol'!Z:Z,"Expired Previous Months",'Supp Consol'!A:A,O87)=0,"",SUMIFS('Supp Consol'!AA:AA,'Supp Consol'!Z:Z,"Expired Previous Months",'Supp Consol'!A:A,O87))</f>
        <v/>
      </c>
      <c r="AK87" s="25" t="str">
        <f>IFERROR(INDEX('Hun Release Current'!B:B,MATCH(O87,'Hun Release Current'!A:A,0)),"")</f>
        <v/>
      </c>
      <c r="AL87" s="25" t="str">
        <f>IF(SUMIF('Prev Aub'!A:A,O87,'Prev Aub'!B:B)=0,"",SUMIF('Prev Aub'!A:A,O87,'Prev Aub'!B:B))</f>
        <v/>
      </c>
      <c r="AN87" s="25" t="s">
        <v>3790</v>
      </c>
      <c r="AO87" s="25" t="s">
        <v>3790</v>
      </c>
      <c r="AP87" s="25">
        <f t="shared" si="34"/>
        <v>0</v>
      </c>
      <c r="AQ87" s="151" t="str">
        <f>IF(SUMIFS('Supp Consol'!S:S,'Supp Consol'!A:A,O87,'Supp Consol'!I:I,"PENDING")=0,"",SUMIFS('Supp Consol'!S:S,'Supp Consol'!A:A,O87,'Supp Consol'!I:I,"PENDING"))</f>
        <v/>
      </c>
      <c r="AR87" s="27" t="str">
        <f t="shared" si="35"/>
        <v>00332</v>
      </c>
      <c r="AS87" s="27" t="str">
        <f t="shared" si="36"/>
        <v>62</v>
      </c>
      <c r="AT87" s="27" t="str">
        <f t="shared" si="37"/>
        <v/>
      </c>
      <c r="AU87" s="27" t="str">
        <f t="shared" si="38"/>
        <v/>
      </c>
      <c r="AV87" s="27" t="str">
        <f t="shared" si="39"/>
        <v/>
      </c>
      <c r="AW87" s="27" t="str">
        <f t="shared" si="40"/>
        <v/>
      </c>
      <c r="AX87" s="27" t="str">
        <f t="shared" si="41"/>
        <v/>
      </c>
      <c r="AY87" s="27" t="str">
        <f t="shared" si="42"/>
        <v/>
      </c>
      <c r="AZ87" s="27" t="str">
        <f t="shared" si="43"/>
        <v/>
      </c>
      <c r="BA87" s="27" t="str">
        <f t="shared" si="44"/>
        <v/>
      </c>
      <c r="BB87" s="27" t="str">
        <f t="shared" si="45"/>
        <v/>
      </c>
      <c r="BC87" s="27" t="str">
        <f t="shared" si="46"/>
        <v/>
      </c>
      <c r="BD87" s="27" t="str">
        <f t="shared" si="47"/>
        <v/>
      </c>
      <c r="BE87" s="27" t="str">
        <f t="shared" si="48"/>
        <v/>
      </c>
      <c r="BF87" s="27" t="str">
        <f t="shared" si="49"/>
        <v/>
      </c>
      <c r="BG87" s="27" t="str">
        <f t="shared" si="50"/>
        <v/>
      </c>
      <c r="BH87" s="27" t="str">
        <f t="shared" si="51"/>
        <v/>
      </c>
      <c r="BI87" s="27" t="str">
        <f t="shared" si="52"/>
        <v/>
      </c>
      <c r="BJ87" s="27" t="str">
        <f t="shared" si="53"/>
        <v/>
      </c>
      <c r="BK87" s="27" t="str">
        <f t="shared" si="54"/>
        <v/>
      </c>
      <c r="BL87" s="27" t="str">
        <f t="shared" si="55"/>
        <v/>
      </c>
      <c r="BM87" s="21" t="s">
        <v>5581</v>
      </c>
    </row>
    <row r="88" spans="1:65" ht="15">
      <c r="A88" s="25" t="str">
        <f>IFERROR(INDEX('Hun Demand'!W:W,MATCH(O88,'Hun Demand'!A:A,0)),"")</f>
        <v/>
      </c>
      <c r="B88" s="25" t="str">
        <f>IFERROR(INDEX('Hun Demand'!V:V,MATCH(O88,'Hun Demand'!A:A,0)),"")</f>
        <v/>
      </c>
      <c r="C88" s="25" t="str">
        <f>IFERROR(INDEX('Hun Demand'!U:U,MATCH(O88,'Hun Demand'!A:A,0)),"")</f>
        <v/>
      </c>
      <c r="D88" s="25" t="str">
        <f>IFERROR(INDEX('Hun Demand'!T:T,MATCH(O88,'Hun Demand'!A:A,0)),"")</f>
        <v/>
      </c>
      <c r="E88" s="25" t="str">
        <f>IFERROR(INDEX('Hun Demand'!S:S,MATCH(O88,'Hun Demand'!A:A,0)),"")</f>
        <v/>
      </c>
      <c r="F88" s="25" t="str">
        <f>IFERROR(INDEX('Hun Demand'!R:R,MATCH(O88,'Hun Demand'!A:A,0)),"")</f>
        <v/>
      </c>
      <c r="G88" s="25">
        <f>IFERROR(INDEX('Aub Demand'!W:W,MATCH(O88,'Aub Demand'!A:A,0)),"")</f>
        <v>552</v>
      </c>
      <c r="H88" s="25">
        <f>IFERROR(INDEX('Aub Demand'!V:V,MATCH(O88,'Aub Demand'!A:A,0)),"")</f>
        <v>958</v>
      </c>
      <c r="I88" s="25">
        <f>IFERROR(INDEX('Aub Demand'!U:U,MATCH(O88,'Aub Demand'!A:A,0)),"")</f>
        <v>81</v>
      </c>
      <c r="J88" s="25">
        <f>IFERROR(INDEX('Aub Demand'!T:T,MATCH(O88,'Aub Demand'!A:A,0)),"")</f>
        <v>956</v>
      </c>
      <c r="K88" s="25">
        <f>IFERROR(INDEX('Aub Demand'!S:S,MATCH(O88,'Aub Demand'!A:A,0)),"")</f>
        <v>1268</v>
      </c>
      <c r="L88" s="25">
        <f>IFERROR(INDEX('Aub Demand'!R:R,MATCH(O88,'Aub Demand'!A:A,0)),"")</f>
        <v>0</v>
      </c>
      <c r="O88" s="27" t="s">
        <v>231</v>
      </c>
      <c r="P88" s="27" t="str">
        <f>IFERROR(INDEX('Aub Demand'!B:B,MATCH($O88,'Aub Demand'!$A:$A,0)),"")</f>
        <v>EVOLUTION</v>
      </c>
      <c r="Q88" s="27" t="str">
        <f>IFERROR(INDEX('Aub Demand'!C:C,MATCH($O88,'Aub Demand'!$A:$A,0)),"")</f>
        <v>SAPPI</v>
      </c>
      <c r="R88" s="52">
        <f>IFERROR(IF(AR89=AR88,INDEX('Aub Demand'!K:K,MATCH($O88,'Aub Demand'!$A:$A,0))-IF(AN88="",0,AN88)+AP89,INDEX('Aub Demand'!K:K,MATCH($O88,'Aub Demand'!$A:$A,0))-IF(AN88="",0,AN88)),"")</f>
        <v>7654</v>
      </c>
      <c r="S88" s="53">
        <f t="shared" si="28"/>
        <v>42.7</v>
      </c>
      <c r="T88" s="52" t="str">
        <f t="shared" si="29"/>
        <v/>
      </c>
      <c r="U88" s="52">
        <f>IFERROR(IF(AR89=AR88,INDEX('Aub Demand'!Q:Q,MATCH($O88,'Aub Demand'!$A:$A,0))-IF(AN88="",0,AN88)+AP89,INDEX('Aub Demand'!Q:Q,MATCH($O88,'Aub Demand'!$A:$A,0))-IF(AN88="",0,AN88)),"")</f>
        <v>7336</v>
      </c>
      <c r="V88" s="53">
        <f t="shared" si="30"/>
        <v>40.9</v>
      </c>
      <c r="W88" s="52" t="str">
        <f t="shared" si="31"/>
        <v/>
      </c>
      <c r="X88" s="52">
        <f>IFERROR(IF(AND(AR89=AR88,AM88&lt;&gt;""),INDEX('Aub Demand'!Q:Q,MATCH($O88,'Aub Demand'!$A:$A,0))-IF(AN88="",0,AN88)+AP89+AD88+AL88,IF(AR89=AR88,INDEX('Aub Demand'!Q:Q,MATCH($O88,'Aub Demand'!$A:$A,0))-IF(AN88="",0,AN88)+AP89+AD88,IF(AM88&lt;&gt;"",INDEX('Aub Demand'!Q:Q,MATCH($O88,'Aub Demand'!$A:$A,0))-IF(AN88="",0,AN88)+AD88+AL88,INDEX('Aub Demand'!Q:Q,MATCH($O88,'Aub Demand'!$A:$A,0))-IF(AN88="",0,AN88)+AD88))),"")</f>
        <v>7336</v>
      </c>
      <c r="Y88" s="53">
        <f t="shared" si="32"/>
        <v>40.9</v>
      </c>
      <c r="Z88" s="52">
        <f>IF(L88="","",INDEX('Aub Demand'!H:H,MATCH($O88,'Aub Demand'!$A:$A,0)))</f>
        <v>768</v>
      </c>
      <c r="AA88" s="52">
        <f t="shared" si="33"/>
        <v>1112</v>
      </c>
      <c r="AB88" s="52">
        <f>IFERROR(INDEX('Aub Demand'!L:L,MATCH($O88,'Aub Demand'!$A:$A,0)),"")</f>
        <v>459</v>
      </c>
      <c r="AC88" s="52">
        <f>IFERROR(IF(O88="","",SUMIFS('CPL Mats'!F:F,'CPL Mats'!Q:Q,AR88,'CPL Mats'!S:S,AS88)),"")</f>
        <v>0</v>
      </c>
      <c r="AF88" s="25" t="str">
        <f>IF(SUMIFS('Supp Consol'!S:S,'Supp Consol'!Y:Y,"Releasable",'Supp Consol'!A:A,O88)=0,"",SUMIFS('Supp Consol'!S:S,'Supp Consol'!Y:Y,"Releasable",'Supp Consol'!A:A,O88))</f>
        <v/>
      </c>
      <c r="AG88" s="25" t="str">
        <f>IFERROR(INDEX('Hun Demand'!Q:Q,MATCH(O88,'Hun Demand'!A:A,0)),"")</f>
        <v/>
      </c>
      <c r="AH88" s="25" t="str">
        <f>IFERROR(INDEX('Hun Demand'!H:H,MATCH($O88,'Hun Demand'!$A:$A,0)),"")</f>
        <v/>
      </c>
      <c r="AI88" s="25" t="str">
        <f>IF(SUMIFS('Supp Consol'!AA:AA,'Supp Consol'!Z:Z,"Expires this month",'Supp Consol'!A:A,O88)=0,"",SUMIFS('Supp Consol'!AA:AA,'Supp Consol'!Z:Z,"Expires this month",'Supp Consol'!A:A,O88))</f>
        <v/>
      </c>
      <c r="AJ88" s="25" t="str">
        <f>IF(SUMIFS('Supp Consol'!AA:AA,'Supp Consol'!Z:Z,"Expired Previous Months",'Supp Consol'!A:A,O88)=0,"",SUMIFS('Supp Consol'!AA:AA,'Supp Consol'!Z:Z,"Expired Previous Months",'Supp Consol'!A:A,O88))</f>
        <v/>
      </c>
      <c r="AK88" s="25" t="str">
        <f>IFERROR(INDEX('Hun Release Current'!B:B,MATCH(O88,'Hun Release Current'!A:A,0)),"")</f>
        <v/>
      </c>
      <c r="AL88" s="25" t="str">
        <f>IF(SUMIF('Prev Aub'!A:A,O88,'Prev Aub'!B:B)=0,"",SUMIF('Prev Aub'!A:A,O88,'Prev Aub'!B:B))</f>
        <v/>
      </c>
      <c r="AN88" s="25" t="s">
        <v>3790</v>
      </c>
      <c r="AO88" s="25" t="s">
        <v>3790</v>
      </c>
      <c r="AP88" s="25">
        <f t="shared" si="34"/>
        <v>0</v>
      </c>
      <c r="AQ88" s="151" t="str">
        <f>IF(SUMIFS('Supp Consol'!S:S,'Supp Consol'!A:A,O88,'Supp Consol'!I:I,"PENDING")=0,"",SUMIFS('Supp Consol'!S:S,'Supp Consol'!A:A,O88,'Supp Consol'!I:I,"PENDING"))</f>
        <v/>
      </c>
      <c r="AR88" s="27" t="str">
        <f t="shared" si="35"/>
        <v>00333</v>
      </c>
      <c r="AS88" s="27" t="str">
        <f t="shared" si="36"/>
        <v>50</v>
      </c>
      <c r="AT88" s="27" t="str">
        <f t="shared" si="37"/>
        <v/>
      </c>
      <c r="AU88" s="27" t="str">
        <f t="shared" si="38"/>
        <v/>
      </c>
      <c r="AV88" s="27" t="str">
        <f t="shared" si="39"/>
        <v/>
      </c>
      <c r="AW88" s="27" t="str">
        <f t="shared" si="40"/>
        <v/>
      </c>
      <c r="AX88" s="27" t="str">
        <f t="shared" si="41"/>
        <v/>
      </c>
      <c r="AY88" s="27" t="str">
        <f t="shared" si="42"/>
        <v/>
      </c>
      <c r="AZ88" s="27" t="str">
        <f t="shared" si="43"/>
        <v>Supp</v>
      </c>
      <c r="BA88" s="27" t="str">
        <f t="shared" si="44"/>
        <v/>
      </c>
      <c r="BB88" s="27" t="str">
        <f t="shared" si="45"/>
        <v/>
      </c>
      <c r="BC88" s="27" t="str">
        <f t="shared" si="46"/>
        <v/>
      </c>
      <c r="BD88" s="27" t="str">
        <f t="shared" si="47"/>
        <v/>
      </c>
      <c r="BE88" s="27" t="str">
        <f t="shared" si="48"/>
        <v>Exp</v>
      </c>
      <c r="BF88" s="27" t="str">
        <f t="shared" si="49"/>
        <v/>
      </c>
      <c r="BG88" s="27" t="str">
        <f t="shared" si="50"/>
        <v>S+NorE</v>
      </c>
      <c r="BH88" s="27" t="str">
        <f t="shared" si="51"/>
        <v/>
      </c>
      <c r="BI88" s="27" t="str">
        <f t="shared" si="52"/>
        <v/>
      </c>
      <c r="BJ88" s="27" t="str">
        <f t="shared" si="53"/>
        <v>Supp or Hun</v>
      </c>
      <c r="BK88" s="27" t="str">
        <f t="shared" si="54"/>
        <v/>
      </c>
      <c r="BL88" s="27" t="str">
        <f t="shared" si="55"/>
        <v>SorHandNandE</v>
      </c>
      <c r="BM88" s="21" t="s">
        <v>5581</v>
      </c>
    </row>
    <row r="89" spans="1:65" ht="15">
      <c r="A89" s="25" t="str">
        <f>IFERROR(INDEX('Hun Demand'!W:W,MATCH(O89,'Hun Demand'!A:A,0)),"")</f>
        <v/>
      </c>
      <c r="B89" s="25" t="str">
        <f>IFERROR(INDEX('Hun Demand'!V:V,MATCH(O89,'Hun Demand'!A:A,0)),"")</f>
        <v/>
      </c>
      <c r="C89" s="25" t="str">
        <f>IFERROR(INDEX('Hun Demand'!U:U,MATCH(O89,'Hun Demand'!A:A,0)),"")</f>
        <v/>
      </c>
      <c r="D89" s="25" t="str">
        <f>IFERROR(INDEX('Hun Demand'!T:T,MATCH(O89,'Hun Demand'!A:A,0)),"")</f>
        <v/>
      </c>
      <c r="E89" s="25" t="str">
        <f>IFERROR(INDEX('Hun Demand'!S:S,MATCH(O89,'Hun Demand'!A:A,0)),"")</f>
        <v/>
      </c>
      <c r="F89" s="25" t="str">
        <f>IFERROR(INDEX('Hun Demand'!R:R,MATCH(O89,'Hun Demand'!A:A,0)),"")</f>
        <v/>
      </c>
      <c r="G89" s="25">
        <f>IFERROR(INDEX('Aub Demand'!W:W,MATCH(O89,'Aub Demand'!A:A,0)),"")</f>
        <v>2833</v>
      </c>
      <c r="H89" s="25">
        <f>IFERROR(INDEX('Aub Demand'!V:V,MATCH(O89,'Aub Demand'!A:A,0)),"")</f>
        <v>194</v>
      </c>
      <c r="I89" s="25">
        <f>IFERROR(INDEX('Aub Demand'!U:U,MATCH(O89,'Aub Demand'!A:A,0)),"")</f>
        <v>1327</v>
      </c>
      <c r="J89" s="25">
        <f>IFERROR(INDEX('Aub Demand'!T:T,MATCH(O89,'Aub Demand'!A:A,0)),"")</f>
        <v>1152</v>
      </c>
      <c r="K89" s="25">
        <f>IFERROR(INDEX('Aub Demand'!S:S,MATCH(O89,'Aub Demand'!A:A,0)),"")</f>
        <v>839</v>
      </c>
      <c r="L89" s="25">
        <f>IFERROR(INDEX('Aub Demand'!R:R,MATCH(O89,'Aub Demand'!A:A,0)),"")</f>
        <v>0</v>
      </c>
      <c r="O89" s="27" t="s">
        <v>233</v>
      </c>
      <c r="P89" s="27" t="str">
        <f>IFERROR(INDEX('Aub Demand'!B:B,MATCH($O89,'Aub Demand'!$A:$A,0)),"")</f>
        <v>EVOLUTION</v>
      </c>
      <c r="Q89" s="27" t="str">
        <f>IFERROR(INDEX('Aub Demand'!C:C,MATCH($O89,'Aub Demand'!$A:$A,0)),"")</f>
        <v>SAPPI</v>
      </c>
      <c r="R89" s="52">
        <f>IFERROR(IF(AR90=AR89,INDEX('Aub Demand'!K:K,MATCH($O89,'Aub Demand'!$A:$A,0))-IF(AN89="",0,AN89)+AP90,INDEX('Aub Demand'!K:K,MATCH($O89,'Aub Demand'!$A:$A,0))-IF(AN89="",0,AN89)),"")</f>
        <v>3805</v>
      </c>
      <c r="S89" s="53">
        <f t="shared" si="28"/>
        <v>14.7</v>
      </c>
      <c r="T89" s="52" t="str">
        <f t="shared" si="29"/>
        <v/>
      </c>
      <c r="U89" s="52">
        <f>IFERROR(IF(AR90=AR89,INDEX('Aub Demand'!Q:Q,MATCH($O89,'Aub Demand'!$A:$A,0))-IF(AN89="",0,AN89)+AP90,INDEX('Aub Demand'!Q:Q,MATCH($O89,'Aub Demand'!$A:$A,0))-IF(AN89="",0,AN89)),"")</f>
        <v>3233</v>
      </c>
      <c r="V89" s="53">
        <f t="shared" si="30"/>
        <v>12.5</v>
      </c>
      <c r="W89" s="52" t="str">
        <f t="shared" si="31"/>
        <v/>
      </c>
      <c r="X89" s="52">
        <f>IFERROR(IF(AND(AR90=AR89,AM89&lt;&gt;""),INDEX('Aub Demand'!Q:Q,MATCH($O89,'Aub Demand'!$A:$A,0))-IF(AN89="",0,AN89)+AP90+AD89+AL89,IF(AR90=AR89,INDEX('Aub Demand'!Q:Q,MATCH($O89,'Aub Demand'!$A:$A,0))-IF(AN89="",0,AN89)+AP90+AD89,IF(AM89&lt;&gt;"",INDEX('Aub Demand'!Q:Q,MATCH($O89,'Aub Demand'!$A:$A,0))-IF(AN89="",0,AN89)+AD89+AL89,INDEX('Aub Demand'!Q:Q,MATCH($O89,'Aub Demand'!$A:$A,0))-IF(AN89="",0,AN89)+AD89))),"")</f>
        <v>3233</v>
      </c>
      <c r="Y89" s="53">
        <f t="shared" si="32"/>
        <v>12.5</v>
      </c>
      <c r="Z89" s="52">
        <f>IF(L89="","",INDEX('Aub Demand'!H:H,MATCH($O89,'Aub Demand'!$A:$A,0)))</f>
        <v>1106</v>
      </c>
      <c r="AA89" s="52">
        <f t="shared" si="33"/>
        <v>1239.5</v>
      </c>
      <c r="AB89" s="52">
        <f>IFERROR(INDEX('Aub Demand'!L:L,MATCH($O89,'Aub Demand'!$A:$A,0)),"")</f>
        <v>846</v>
      </c>
      <c r="AC89" s="52">
        <f>IFERROR(IF(O89="","",SUMIFS('CPL Mats'!F:F,'CPL Mats'!Q:Q,AR89,'CPL Mats'!S:S,AS89)),"")</f>
        <v>0</v>
      </c>
      <c r="AF89" s="25">
        <f>IF(SUMIFS('Supp Consol'!S:S,'Supp Consol'!Y:Y,"Releasable",'Supp Consol'!A:A,O89)=0,"",SUMIFS('Supp Consol'!S:S,'Supp Consol'!Y:Y,"Releasable",'Supp Consol'!A:A,O89))</f>
        <v>19123</v>
      </c>
      <c r="AG89" s="25" t="str">
        <f>IFERROR(INDEX('Hun Demand'!Q:Q,MATCH(O89,'Hun Demand'!A:A,0)),"")</f>
        <v/>
      </c>
      <c r="AH89" s="25" t="str">
        <f>IFERROR(INDEX('Hun Demand'!H:H,MATCH($O89,'Hun Demand'!$A:$A,0)),"")</f>
        <v/>
      </c>
      <c r="AI89" s="25">
        <f>IF(SUMIFS('Supp Consol'!AA:AA,'Supp Consol'!Z:Z,"Expires this month",'Supp Consol'!A:A,O89)=0,"",SUMIFS('Supp Consol'!AA:AA,'Supp Consol'!Z:Z,"Expires this month",'Supp Consol'!A:A,O89))</f>
        <v>11908</v>
      </c>
      <c r="AJ89" s="25" t="str">
        <f>IF(SUMIFS('Supp Consol'!AA:AA,'Supp Consol'!Z:Z,"Expired Previous Months",'Supp Consol'!A:A,O89)=0,"",SUMIFS('Supp Consol'!AA:AA,'Supp Consol'!Z:Z,"Expired Previous Months",'Supp Consol'!A:A,O89))</f>
        <v/>
      </c>
      <c r="AK89" s="25" t="str">
        <f>IFERROR(INDEX('Hun Release Current'!B:B,MATCH(O89,'Hun Release Current'!A:A,0)),"")</f>
        <v/>
      </c>
      <c r="AL89" s="25" t="str">
        <f>IF(SUMIF('Prev Aub'!A:A,O89,'Prev Aub'!B:B)=0,"",SUMIF('Prev Aub'!A:A,O89,'Prev Aub'!B:B))</f>
        <v/>
      </c>
      <c r="AN89" s="25" t="s">
        <v>3790</v>
      </c>
      <c r="AO89" s="25" t="s">
        <v>3790</v>
      </c>
      <c r="AP89" s="25">
        <f t="shared" si="34"/>
        <v>0</v>
      </c>
      <c r="AQ89" s="151" t="str">
        <f>IF(SUMIFS('Supp Consol'!S:S,'Supp Consol'!A:A,O89,'Supp Consol'!I:I,"PENDING")=0,"",SUMIFS('Supp Consol'!S:S,'Supp Consol'!A:A,O89,'Supp Consol'!I:I,"PENDING"))</f>
        <v/>
      </c>
      <c r="AR89" s="27" t="str">
        <f t="shared" si="35"/>
        <v>00333</v>
      </c>
      <c r="AS89" s="27" t="str">
        <f t="shared" si="36"/>
        <v>62</v>
      </c>
      <c r="AT89" s="27" t="str">
        <f t="shared" si="37"/>
        <v/>
      </c>
      <c r="AU89" s="27" t="str">
        <f t="shared" si="38"/>
        <v/>
      </c>
      <c r="AV89" s="27" t="str">
        <f t="shared" si="39"/>
        <v/>
      </c>
      <c r="AW89" s="27" t="str">
        <f t="shared" si="40"/>
        <v>00333</v>
      </c>
      <c r="AX89" s="27" t="str">
        <f t="shared" si="41"/>
        <v>00333</v>
      </c>
      <c r="AY89" s="27" t="str">
        <f t="shared" si="42"/>
        <v/>
      </c>
      <c r="AZ89" s="27" t="str">
        <f t="shared" si="43"/>
        <v>Supp</v>
      </c>
      <c r="BA89" s="27" t="str">
        <f t="shared" si="44"/>
        <v/>
      </c>
      <c r="BB89" s="27" t="str">
        <f t="shared" si="45"/>
        <v/>
      </c>
      <c r="BC89" s="27" t="str">
        <f t="shared" si="46"/>
        <v/>
      </c>
      <c r="BD89" s="27" t="str">
        <f t="shared" si="47"/>
        <v/>
      </c>
      <c r="BE89" s="27" t="str">
        <f t="shared" si="48"/>
        <v>Exp</v>
      </c>
      <c r="BF89" s="27" t="str">
        <f t="shared" si="49"/>
        <v/>
      </c>
      <c r="BG89" s="27" t="str">
        <f t="shared" si="50"/>
        <v>S+NorE</v>
      </c>
      <c r="BH89" s="27" t="str">
        <f t="shared" si="51"/>
        <v/>
      </c>
      <c r="BI89" s="27" t="str">
        <f t="shared" si="52"/>
        <v/>
      </c>
      <c r="BJ89" s="27" t="str">
        <f t="shared" si="53"/>
        <v>Supp or Hun</v>
      </c>
      <c r="BK89" s="27" t="str">
        <f t="shared" si="54"/>
        <v/>
      </c>
      <c r="BL89" s="27" t="str">
        <f t="shared" si="55"/>
        <v>SorHandNandE</v>
      </c>
      <c r="BM89" s="21" t="s">
        <v>5581</v>
      </c>
    </row>
    <row r="90" spans="1:65" ht="15">
      <c r="A90" s="25" t="str">
        <f>IFERROR(INDEX('Hun Demand'!W:W,MATCH(O90,'Hun Demand'!A:A,0)),"")</f>
        <v/>
      </c>
      <c r="B90" s="25" t="str">
        <f>IFERROR(INDEX('Hun Demand'!V:V,MATCH(O90,'Hun Demand'!A:A,0)),"")</f>
        <v/>
      </c>
      <c r="C90" s="25" t="str">
        <f>IFERROR(INDEX('Hun Demand'!U:U,MATCH(O90,'Hun Demand'!A:A,0)),"")</f>
        <v/>
      </c>
      <c r="D90" s="25" t="str">
        <f>IFERROR(INDEX('Hun Demand'!T:T,MATCH(O90,'Hun Demand'!A:A,0)),"")</f>
        <v/>
      </c>
      <c r="E90" s="25" t="str">
        <f>IFERROR(INDEX('Hun Demand'!S:S,MATCH(O90,'Hun Demand'!A:A,0)),"")</f>
        <v/>
      </c>
      <c r="F90" s="25" t="str">
        <f>IFERROR(INDEX('Hun Demand'!R:R,MATCH(O90,'Hun Demand'!A:A,0)),"")</f>
        <v/>
      </c>
      <c r="G90" s="25">
        <f>IFERROR(INDEX('Aub Demand'!W:W,MATCH(O90,'Aub Demand'!A:A,0)),"")</f>
        <v>1158</v>
      </c>
      <c r="H90" s="25">
        <f>IFERROR(INDEX('Aub Demand'!V:V,MATCH(O90,'Aub Demand'!A:A,0)),"")</f>
        <v>328</v>
      </c>
      <c r="I90" s="25">
        <f>IFERROR(INDEX('Aub Demand'!U:U,MATCH(O90,'Aub Demand'!A:A,0)),"")</f>
        <v>356</v>
      </c>
      <c r="J90" s="25">
        <f>IFERROR(INDEX('Aub Demand'!T:T,MATCH(O90,'Aub Demand'!A:A,0)),"")</f>
        <v>130</v>
      </c>
      <c r="K90" s="25">
        <f>IFERROR(INDEX('Aub Demand'!S:S,MATCH(O90,'Aub Demand'!A:A,0)),"")</f>
        <v>0</v>
      </c>
      <c r="L90" s="25">
        <f>IFERROR(INDEX('Aub Demand'!R:R,MATCH(O90,'Aub Demand'!A:A,0)),"")</f>
        <v>0</v>
      </c>
      <c r="O90" s="27" t="s">
        <v>235</v>
      </c>
      <c r="P90" s="27" t="str">
        <f>IFERROR(INDEX('Aub Demand'!B:B,MATCH($O90,'Aub Demand'!$A:$A,0)),"")</f>
        <v>NATURAL WOOD 50"</v>
      </c>
      <c r="Q90" s="27" t="str">
        <f>IFERROR(INDEX('Aub Demand'!C:C,MATCH($O90,'Aub Demand'!$A:$A,0)),"")</f>
        <v>SAPPI</v>
      </c>
      <c r="R90" s="52">
        <f>IFERROR(IF(AR91=AR90,INDEX('Aub Demand'!K:K,MATCH($O90,'Aub Demand'!$A:$A,0))-IF(AN90="",0,AN90)+AP91,INDEX('Aub Demand'!K:K,MATCH($O90,'Aub Demand'!$A:$A,0))-IF(AN90="",0,AN90)),"")</f>
        <v>1384</v>
      </c>
      <c r="S90" s="53">
        <f t="shared" si="28"/>
        <v>36.6</v>
      </c>
      <c r="T90" s="52" t="str">
        <f t="shared" si="29"/>
        <v/>
      </c>
      <c r="U90" s="52">
        <f>IFERROR(IF(AR91=AR90,INDEX('Aub Demand'!Q:Q,MATCH($O90,'Aub Demand'!$A:$A,0))-IF(AN90="",0,AN90)+AP91,INDEX('Aub Demand'!Q:Q,MATCH($O90,'Aub Demand'!$A:$A,0))-IF(AN90="",0,AN90)),"")</f>
        <v>1250</v>
      </c>
      <c r="V90" s="53">
        <f t="shared" si="30"/>
        <v>33.1</v>
      </c>
      <c r="W90" s="52" t="str">
        <f t="shared" si="31"/>
        <v/>
      </c>
      <c r="X90" s="52">
        <f>IFERROR(IF(AND(AR91=AR90,AM90&lt;&gt;""),INDEX('Aub Demand'!Q:Q,MATCH($O90,'Aub Demand'!$A:$A,0))-IF(AN90="",0,AN90)+AP91+AD90+AL90,IF(AR91=AR90,INDEX('Aub Demand'!Q:Q,MATCH($O90,'Aub Demand'!$A:$A,0))-IF(AN90="",0,AN90)+AP91+AD90,IF(AM90&lt;&gt;"",INDEX('Aub Demand'!Q:Q,MATCH($O90,'Aub Demand'!$A:$A,0))-IF(AN90="",0,AN90)+AD90+AL90,INDEX('Aub Demand'!Q:Q,MATCH($O90,'Aub Demand'!$A:$A,0))-IF(AN90="",0,AN90)+AD90))),"")</f>
        <v>1250</v>
      </c>
      <c r="Y90" s="53">
        <f t="shared" si="32"/>
        <v>33.1</v>
      </c>
      <c r="Z90" s="52">
        <f>IF(L90="","",INDEX('Aub Demand'!H:H,MATCH($O90,'Aub Demand'!$A:$A,0)))</f>
        <v>162</v>
      </c>
      <c r="AA90" s="52">
        <f t="shared" si="33"/>
        <v>243</v>
      </c>
      <c r="AB90" s="52">
        <f>IFERROR(INDEX('Aub Demand'!L:L,MATCH($O90,'Aub Demand'!$A:$A,0)),"")</f>
        <v>208</v>
      </c>
      <c r="AC90" s="52">
        <f>IFERROR(IF(O90="","",SUMIFS('CPL Mats'!F:F,'CPL Mats'!Q:Q,AR90,'CPL Mats'!S:S,AS90)),"")</f>
        <v>0</v>
      </c>
      <c r="AF90" s="25">
        <f>IF(SUMIFS('Supp Consol'!S:S,'Supp Consol'!Y:Y,"Releasable",'Supp Consol'!A:A,O90)=0,"",SUMIFS('Supp Consol'!S:S,'Supp Consol'!Y:Y,"Releasable",'Supp Consol'!A:A,O90))</f>
        <v>923</v>
      </c>
      <c r="AG90" s="25" t="str">
        <f>IFERROR(INDEX('Hun Demand'!Q:Q,MATCH(O90,'Hun Demand'!A:A,0)),"")</f>
        <v/>
      </c>
      <c r="AH90" s="25" t="str">
        <f>IFERROR(INDEX('Hun Demand'!H:H,MATCH($O90,'Hun Demand'!$A:$A,0)),"")</f>
        <v/>
      </c>
      <c r="AI90" s="25" t="str">
        <f>IF(SUMIFS('Supp Consol'!AA:AA,'Supp Consol'!Z:Z,"Expires this month",'Supp Consol'!A:A,O90)=0,"",SUMIFS('Supp Consol'!AA:AA,'Supp Consol'!Z:Z,"Expires this month",'Supp Consol'!A:A,O90))</f>
        <v/>
      </c>
      <c r="AJ90" s="25" t="str">
        <f>IF(SUMIFS('Supp Consol'!AA:AA,'Supp Consol'!Z:Z,"Expired Previous Months",'Supp Consol'!A:A,O90)=0,"",SUMIFS('Supp Consol'!AA:AA,'Supp Consol'!Z:Z,"Expired Previous Months",'Supp Consol'!A:A,O90))</f>
        <v/>
      </c>
      <c r="AK90" s="25" t="str">
        <f>IFERROR(INDEX('Hun Release Current'!B:B,MATCH(O90,'Hun Release Current'!A:A,0)),"")</f>
        <v/>
      </c>
      <c r="AL90" s="25" t="str">
        <f>IF(SUMIF('Prev Aub'!A:A,O90,'Prev Aub'!B:B)=0,"",SUMIF('Prev Aub'!A:A,O90,'Prev Aub'!B:B))</f>
        <v/>
      </c>
      <c r="AN90" s="25" t="s">
        <v>3790</v>
      </c>
      <c r="AO90" s="25" t="s">
        <v>3790</v>
      </c>
      <c r="AP90" s="25">
        <f t="shared" si="34"/>
        <v>0</v>
      </c>
      <c r="AQ90" s="151" t="str">
        <f>IF(SUMIFS('Supp Consol'!S:S,'Supp Consol'!A:A,O90,'Supp Consol'!I:I,"PENDING")=0,"",SUMIFS('Supp Consol'!S:S,'Supp Consol'!A:A,O90,'Supp Consol'!I:I,"PENDING"))</f>
        <v/>
      </c>
      <c r="AR90" s="27" t="str">
        <f t="shared" si="35"/>
        <v>00334</v>
      </c>
      <c r="AS90" s="27" t="str">
        <f t="shared" si="36"/>
        <v>50</v>
      </c>
      <c r="AT90" s="27" t="str">
        <f t="shared" si="37"/>
        <v/>
      </c>
      <c r="AU90" s="27" t="str">
        <f t="shared" si="38"/>
        <v/>
      </c>
      <c r="AV90" s="27" t="str">
        <f t="shared" si="39"/>
        <v/>
      </c>
      <c r="AW90" s="27" t="str">
        <f t="shared" si="40"/>
        <v/>
      </c>
      <c r="AX90" s="27" t="str">
        <f t="shared" si="41"/>
        <v>00334</v>
      </c>
      <c r="AY90" s="27" t="str">
        <f t="shared" si="42"/>
        <v/>
      </c>
      <c r="AZ90" s="27" t="str">
        <f t="shared" si="43"/>
        <v>Supp</v>
      </c>
      <c r="BA90" s="27" t="str">
        <f t="shared" si="44"/>
        <v/>
      </c>
      <c r="BB90" s="27" t="str">
        <f t="shared" si="45"/>
        <v/>
      </c>
      <c r="BC90" s="27" t="str">
        <f t="shared" si="46"/>
        <v/>
      </c>
      <c r="BD90" s="27" t="str">
        <f t="shared" si="47"/>
        <v/>
      </c>
      <c r="BE90" s="27" t="str">
        <f t="shared" si="48"/>
        <v/>
      </c>
      <c r="BF90" s="27" t="str">
        <f t="shared" si="49"/>
        <v/>
      </c>
      <c r="BG90" s="27" t="str">
        <f t="shared" si="50"/>
        <v/>
      </c>
      <c r="BH90" s="27" t="str">
        <f t="shared" si="51"/>
        <v/>
      </c>
      <c r="BI90" s="27" t="str">
        <f t="shared" si="52"/>
        <v/>
      </c>
      <c r="BJ90" s="27" t="str">
        <f t="shared" si="53"/>
        <v>Supp or Hun</v>
      </c>
      <c r="BK90" s="27" t="str">
        <f t="shared" si="54"/>
        <v/>
      </c>
      <c r="BL90" s="27" t="str">
        <f t="shared" si="55"/>
        <v/>
      </c>
      <c r="BM90" s="21" t="s">
        <v>5581</v>
      </c>
    </row>
    <row r="91" spans="1:65" ht="15">
      <c r="A91" s="25" t="str">
        <f>IFERROR(INDEX('Hun Demand'!W:W,MATCH(O91,'Hun Demand'!A:A,0)),"")</f>
        <v/>
      </c>
      <c r="B91" s="25" t="str">
        <f>IFERROR(INDEX('Hun Demand'!V:V,MATCH(O91,'Hun Demand'!A:A,0)),"")</f>
        <v/>
      </c>
      <c r="C91" s="25" t="str">
        <f>IFERROR(INDEX('Hun Demand'!U:U,MATCH(O91,'Hun Demand'!A:A,0)),"")</f>
        <v/>
      </c>
      <c r="D91" s="25" t="str">
        <f>IFERROR(INDEX('Hun Demand'!T:T,MATCH(O91,'Hun Demand'!A:A,0)),"")</f>
        <v/>
      </c>
      <c r="E91" s="25" t="str">
        <f>IFERROR(INDEX('Hun Demand'!S:S,MATCH(O91,'Hun Demand'!A:A,0)),"")</f>
        <v/>
      </c>
      <c r="F91" s="25" t="str">
        <f>IFERROR(INDEX('Hun Demand'!R:R,MATCH(O91,'Hun Demand'!A:A,0)),"")</f>
        <v/>
      </c>
      <c r="G91" s="25">
        <f>IFERROR(INDEX('Aub Demand'!W:W,MATCH(O91,'Aub Demand'!A:A,0)),"")</f>
        <v>0</v>
      </c>
      <c r="H91" s="25">
        <f>IFERROR(INDEX('Aub Demand'!V:V,MATCH(O91,'Aub Demand'!A:A,0)),"")</f>
        <v>0</v>
      </c>
      <c r="I91" s="25">
        <f>IFERROR(INDEX('Aub Demand'!U:U,MATCH(O91,'Aub Demand'!A:A,0)),"")</f>
        <v>0</v>
      </c>
      <c r="J91" s="25">
        <f>IFERROR(INDEX('Aub Demand'!T:T,MATCH(O91,'Aub Demand'!A:A,0)),"")</f>
        <v>0</v>
      </c>
      <c r="K91" s="25">
        <f>IFERROR(INDEX('Aub Demand'!S:S,MATCH(O91,'Aub Demand'!A:A,0)),"")</f>
        <v>0</v>
      </c>
      <c r="L91" s="25">
        <f>IFERROR(INDEX('Aub Demand'!R:R,MATCH(O91,'Aub Demand'!A:A,0)),"")</f>
        <v>0</v>
      </c>
      <c r="O91" s="27" t="s">
        <v>237</v>
      </c>
      <c r="P91" s="27" t="str">
        <f>IFERROR(INDEX('Aub Demand'!B:B,MATCH($O91,'Aub Demand'!$A:$A,0)),"")</f>
        <v>NATURAL WOOD 62"</v>
      </c>
      <c r="Q91" s="27" t="str">
        <f>IFERROR(INDEX('Aub Demand'!C:C,MATCH($O91,'Aub Demand'!$A:$A,0)),"")</f>
        <v>SAPPI</v>
      </c>
      <c r="R91" s="52">
        <f>IFERROR(IF(AR92=AR91,INDEX('Aub Demand'!K:K,MATCH($O91,'Aub Demand'!$A:$A,0))-IF(AN91="",0,AN91)+AP92,INDEX('Aub Demand'!K:K,MATCH($O91,'Aub Demand'!$A:$A,0))-IF(AN91="",0,AN91)),"")</f>
        <v>8925</v>
      </c>
      <c r="S91" s="53" t="str">
        <f t="shared" si="28"/>
        <v>n/a</v>
      </c>
      <c r="T91" s="52" t="str">
        <f t="shared" si="29"/>
        <v/>
      </c>
      <c r="U91" s="52">
        <f>IFERROR(IF(AR92=AR91,INDEX('Aub Demand'!Q:Q,MATCH($O91,'Aub Demand'!$A:$A,0))-IF(AN91="",0,AN91)+AP92,INDEX('Aub Demand'!Q:Q,MATCH($O91,'Aub Demand'!$A:$A,0))-IF(AN91="",0,AN91)),"")</f>
        <v>8856</v>
      </c>
      <c r="V91" s="53" t="str">
        <f t="shared" si="30"/>
        <v>n/a</v>
      </c>
      <c r="W91" s="52" t="str">
        <f t="shared" si="31"/>
        <v/>
      </c>
      <c r="X91" s="52">
        <f>IFERROR(IF(AND(AR92=AR91,AM91&lt;&gt;""),INDEX('Aub Demand'!Q:Q,MATCH($O91,'Aub Demand'!$A:$A,0))-IF(AN91="",0,AN91)+AP92+AD91+AL91,IF(AR92=AR91,INDEX('Aub Demand'!Q:Q,MATCH($O91,'Aub Demand'!$A:$A,0))-IF(AN91="",0,AN91)+AP92+AD91,IF(AM91&lt;&gt;"",INDEX('Aub Demand'!Q:Q,MATCH($O91,'Aub Demand'!$A:$A,0))-IF(AN91="",0,AN91)+AD91+AL91,INDEX('Aub Demand'!Q:Q,MATCH($O91,'Aub Demand'!$A:$A,0))-IF(AN91="",0,AN91)+AD91))),"")</f>
        <v>8856</v>
      </c>
      <c r="Y91" s="53" t="str">
        <f t="shared" si="32"/>
        <v>n/a</v>
      </c>
      <c r="Z91" s="52">
        <f>IF(L91="","",INDEX('Aub Demand'!H:H,MATCH($O91,'Aub Demand'!$A:$A,0)))</f>
        <v>0</v>
      </c>
      <c r="AA91" s="52" t="str">
        <f t="shared" si="33"/>
        <v>-spike-</v>
      </c>
      <c r="AB91" s="52">
        <f>IFERROR(INDEX('Aub Demand'!L:L,MATCH($O91,'Aub Demand'!$A:$A,0)),"")</f>
        <v>444</v>
      </c>
      <c r="AC91" s="52">
        <f>IFERROR(IF(O91="","",SUMIFS('CPL Mats'!F:F,'CPL Mats'!Q:Q,AR91,'CPL Mats'!S:S,AS91)),"")</f>
        <v>0</v>
      </c>
      <c r="AF91" s="25" t="str">
        <f>IF(SUMIFS('Supp Consol'!S:S,'Supp Consol'!Y:Y,"Releasable",'Supp Consol'!A:A,O91)=0,"",SUMIFS('Supp Consol'!S:S,'Supp Consol'!Y:Y,"Releasable",'Supp Consol'!A:A,O91))</f>
        <v/>
      </c>
      <c r="AG91" s="25" t="str">
        <f>IFERROR(INDEX('Hun Demand'!Q:Q,MATCH(O91,'Hun Demand'!A:A,0)),"")</f>
        <v/>
      </c>
      <c r="AH91" s="25" t="str">
        <f>IFERROR(INDEX('Hun Demand'!H:H,MATCH($O91,'Hun Demand'!$A:$A,0)),"")</f>
        <v/>
      </c>
      <c r="AI91" s="25" t="str">
        <f>IF(SUMIFS('Supp Consol'!AA:AA,'Supp Consol'!Z:Z,"Expires this month",'Supp Consol'!A:A,O91)=0,"",SUMIFS('Supp Consol'!AA:AA,'Supp Consol'!Z:Z,"Expires this month",'Supp Consol'!A:A,O91))</f>
        <v/>
      </c>
      <c r="AJ91" s="25" t="str">
        <f>IF(SUMIFS('Supp Consol'!AA:AA,'Supp Consol'!Z:Z,"Expired Previous Months",'Supp Consol'!A:A,O91)=0,"",SUMIFS('Supp Consol'!AA:AA,'Supp Consol'!Z:Z,"Expired Previous Months",'Supp Consol'!A:A,O91))</f>
        <v/>
      </c>
      <c r="AK91" s="25" t="str">
        <f>IFERROR(INDEX('Hun Release Current'!B:B,MATCH(O91,'Hun Release Current'!A:A,0)),"")</f>
        <v/>
      </c>
      <c r="AL91" s="25" t="str">
        <f>IF(SUMIF('Prev Aub'!A:A,O91,'Prev Aub'!B:B)=0,"",SUMIF('Prev Aub'!A:A,O91,'Prev Aub'!B:B))</f>
        <v/>
      </c>
      <c r="AN91" s="25" t="s">
        <v>3790</v>
      </c>
      <c r="AO91" s="25" t="s">
        <v>3790</v>
      </c>
      <c r="AP91" s="25">
        <f t="shared" si="34"/>
        <v>0</v>
      </c>
      <c r="AQ91" s="151" t="str">
        <f>IF(SUMIFS('Supp Consol'!S:S,'Supp Consol'!A:A,O91,'Supp Consol'!I:I,"PENDING")=0,"",SUMIFS('Supp Consol'!S:S,'Supp Consol'!A:A,O91,'Supp Consol'!I:I,"PENDING"))</f>
        <v/>
      </c>
      <c r="AR91" s="27" t="str">
        <f t="shared" si="35"/>
        <v>00334</v>
      </c>
      <c r="AS91" s="27" t="str">
        <f t="shared" si="36"/>
        <v>62</v>
      </c>
      <c r="AT91" s="27" t="str">
        <f t="shared" si="37"/>
        <v/>
      </c>
      <c r="AU91" s="27" t="str">
        <f t="shared" si="38"/>
        <v/>
      </c>
      <c r="AV91" s="27" t="str">
        <f t="shared" si="39"/>
        <v/>
      </c>
      <c r="AW91" s="27" t="str">
        <f t="shared" si="40"/>
        <v/>
      </c>
      <c r="AX91" s="27" t="str">
        <f t="shared" si="41"/>
        <v/>
      </c>
      <c r="AY91" s="27" t="str">
        <f t="shared" si="42"/>
        <v/>
      </c>
      <c r="AZ91" s="27" t="str">
        <f t="shared" si="43"/>
        <v>Supp</v>
      </c>
      <c r="BA91" s="27" t="str">
        <f t="shared" si="44"/>
        <v/>
      </c>
      <c r="BB91" s="27" t="str">
        <f t="shared" si="45"/>
        <v/>
      </c>
      <c r="BC91" s="27" t="str">
        <f t="shared" si="46"/>
        <v/>
      </c>
      <c r="BD91" s="27" t="str">
        <f t="shared" si="47"/>
        <v/>
      </c>
      <c r="BE91" s="27" t="str">
        <f t="shared" si="48"/>
        <v/>
      </c>
      <c r="BF91" s="27" t="str">
        <f t="shared" si="49"/>
        <v/>
      </c>
      <c r="BG91" s="27" t="str">
        <f t="shared" si="50"/>
        <v/>
      </c>
      <c r="BH91" s="27" t="str">
        <f t="shared" si="51"/>
        <v/>
      </c>
      <c r="BI91" s="27" t="str">
        <f t="shared" si="52"/>
        <v/>
      </c>
      <c r="BJ91" s="27" t="str">
        <f t="shared" si="53"/>
        <v>Supp or Hun</v>
      </c>
      <c r="BK91" s="27" t="str">
        <f t="shared" si="54"/>
        <v/>
      </c>
      <c r="BL91" s="27" t="str">
        <f t="shared" si="55"/>
        <v/>
      </c>
      <c r="BM91" s="21" t="s">
        <v>5581</v>
      </c>
    </row>
    <row r="92" spans="1:65" ht="15">
      <c r="A92" s="25" t="str">
        <f>IFERROR(INDEX('Hun Demand'!W:W,MATCH(O92,'Hun Demand'!A:A,0)),"")</f>
        <v/>
      </c>
      <c r="B92" s="25" t="str">
        <f>IFERROR(INDEX('Hun Demand'!V:V,MATCH(O92,'Hun Demand'!A:A,0)),"")</f>
        <v/>
      </c>
      <c r="C92" s="25" t="str">
        <f>IFERROR(INDEX('Hun Demand'!U:U,MATCH(O92,'Hun Demand'!A:A,0)),"")</f>
        <v/>
      </c>
      <c r="D92" s="25" t="str">
        <f>IFERROR(INDEX('Hun Demand'!T:T,MATCH(O92,'Hun Demand'!A:A,0)),"")</f>
        <v/>
      </c>
      <c r="E92" s="25" t="str">
        <f>IFERROR(INDEX('Hun Demand'!S:S,MATCH(O92,'Hun Demand'!A:A,0)),"")</f>
        <v/>
      </c>
      <c r="F92" s="25" t="str">
        <f>IFERROR(INDEX('Hun Demand'!R:R,MATCH(O92,'Hun Demand'!A:A,0)),"")</f>
        <v/>
      </c>
      <c r="G92" s="25">
        <f>IFERROR(INDEX('Aub Demand'!W:W,MATCH(O92,'Aub Demand'!A:A,0)),"")</f>
        <v>3859</v>
      </c>
      <c r="H92" s="25">
        <f>IFERROR(INDEX('Aub Demand'!V:V,MATCH(O92,'Aub Demand'!A:A,0)),"")</f>
        <v>2777</v>
      </c>
      <c r="I92" s="25">
        <f>IFERROR(INDEX('Aub Demand'!U:U,MATCH(O92,'Aub Demand'!A:A,0)),"")</f>
        <v>4073</v>
      </c>
      <c r="J92" s="25">
        <f>IFERROR(INDEX('Aub Demand'!T:T,MATCH(O92,'Aub Demand'!A:A,0)),"")</f>
        <v>8623</v>
      </c>
      <c r="K92" s="25">
        <f>IFERROR(INDEX('Aub Demand'!S:S,MATCH(O92,'Aub Demand'!A:A,0)),"")</f>
        <v>1644</v>
      </c>
      <c r="L92" s="25">
        <f>IFERROR(INDEX('Aub Demand'!R:R,MATCH(O92,'Aub Demand'!A:A,0)),"")</f>
        <v>0</v>
      </c>
      <c r="O92" s="27" t="s">
        <v>239</v>
      </c>
      <c r="P92" s="27" t="str">
        <f>IFERROR(INDEX('Aub Demand'!B:B,MATCH($O92,'Aub Demand'!$A:$A,0)),"")</f>
        <v>LINE Z</v>
      </c>
      <c r="Q92" s="27" t="str">
        <f>IFERROR(INDEX('Aub Demand'!C:C,MATCH($O92,'Aub Demand'!$A:$A,0)),"")</f>
        <v>SAPPI</v>
      </c>
      <c r="R92" s="52">
        <f>IFERROR(IF(AR93=AR92,INDEX('Aub Demand'!K:K,MATCH($O92,'Aub Demand'!$A:$A,0))-IF(AN92="",0,AN92)+AP93,INDEX('Aub Demand'!K:K,MATCH($O92,'Aub Demand'!$A:$A,0))-IF(AN92="",0,AN92)),"")</f>
        <v>6460</v>
      </c>
      <c r="S92" s="53">
        <f t="shared" si="28"/>
        <v>5.8</v>
      </c>
      <c r="T92" s="52" t="str">
        <f t="shared" si="29"/>
        <v/>
      </c>
      <c r="U92" s="52">
        <f>IFERROR(IF(AR93=AR92,INDEX('Aub Demand'!Q:Q,MATCH($O92,'Aub Demand'!$A:$A,0))-IF(AN92="",0,AN92)+AP93,INDEX('Aub Demand'!Q:Q,MATCH($O92,'Aub Demand'!$A:$A,0))-IF(AN92="",0,AN92)),"")</f>
        <v>4263</v>
      </c>
      <c r="V92" s="53">
        <f t="shared" si="30"/>
        <v>3.8</v>
      </c>
      <c r="W92" s="52" t="str">
        <f t="shared" si="31"/>
        <v/>
      </c>
      <c r="X92" s="52">
        <f>IFERROR(IF(AND(AR93=AR92,AM92&lt;&gt;""),INDEX('Aub Demand'!Q:Q,MATCH($O92,'Aub Demand'!$A:$A,0))-IF(AN92="",0,AN92)+AP93+AD92+AL92,IF(AR93=AR92,INDEX('Aub Demand'!Q:Q,MATCH($O92,'Aub Demand'!$A:$A,0))-IF(AN92="",0,AN92)+AP93+AD92,IF(AM92&lt;&gt;"",INDEX('Aub Demand'!Q:Q,MATCH($O92,'Aub Demand'!$A:$A,0))-IF(AN92="",0,AN92)+AD92+AL92,INDEX('Aub Demand'!Q:Q,MATCH($O92,'Aub Demand'!$A:$A,0))-IF(AN92="",0,AN92)+AD92))),"")</f>
        <v>4263</v>
      </c>
      <c r="Y92" s="53">
        <f t="shared" si="32"/>
        <v>3.8</v>
      </c>
      <c r="Z92" s="52">
        <f>IF(L92="","",INDEX('Aub Demand'!H:H,MATCH($O92,'Aub Demand'!$A:$A,0)))</f>
        <v>4780</v>
      </c>
      <c r="AA92" s="52">
        <f t="shared" si="33"/>
        <v>6348</v>
      </c>
      <c r="AB92" s="52">
        <f>IFERROR(INDEX('Aub Demand'!L:L,MATCH($O92,'Aub Demand'!$A:$A,0)),"")</f>
        <v>719</v>
      </c>
      <c r="AC92" s="52">
        <f>IFERROR(IF(O92="","",SUMIFS('CPL Mats'!F:F,'CPL Mats'!Q:Q,AR92,'CPL Mats'!S:S,AS92)),"")</f>
        <v>0</v>
      </c>
      <c r="AF92" s="25">
        <f>IF(SUMIFS('Supp Consol'!S:S,'Supp Consol'!Y:Y,"Releasable",'Supp Consol'!A:A,O92)=0,"",SUMIFS('Supp Consol'!S:S,'Supp Consol'!Y:Y,"Releasable",'Supp Consol'!A:A,O92))</f>
        <v>14549</v>
      </c>
      <c r="AG92" s="25" t="str">
        <f>IFERROR(INDEX('Hun Demand'!Q:Q,MATCH(O92,'Hun Demand'!A:A,0)),"")</f>
        <v/>
      </c>
      <c r="AH92" s="25" t="str">
        <f>IFERROR(INDEX('Hun Demand'!H:H,MATCH($O92,'Hun Demand'!$A:$A,0)),"")</f>
        <v/>
      </c>
      <c r="AI92" s="25">
        <f>IF(SUMIFS('Supp Consol'!AA:AA,'Supp Consol'!Z:Z,"Expires this month",'Supp Consol'!A:A,O92)=0,"",SUMIFS('Supp Consol'!AA:AA,'Supp Consol'!Z:Z,"Expires this month",'Supp Consol'!A:A,O92))</f>
        <v>14549</v>
      </c>
      <c r="AJ92" s="25" t="str">
        <f>IF(SUMIFS('Supp Consol'!AA:AA,'Supp Consol'!Z:Z,"Expired Previous Months",'Supp Consol'!A:A,O92)=0,"",SUMIFS('Supp Consol'!AA:AA,'Supp Consol'!Z:Z,"Expired Previous Months",'Supp Consol'!A:A,O92))</f>
        <v/>
      </c>
      <c r="AK92" s="25" t="str">
        <f>IFERROR(INDEX('Hun Release Current'!B:B,MATCH(O92,'Hun Release Current'!A:A,0)),"")</f>
        <v/>
      </c>
      <c r="AL92" s="25" t="str">
        <f>IF(SUMIF('Prev Aub'!A:A,O92,'Prev Aub'!B:B)=0,"",SUMIF('Prev Aub'!A:A,O92,'Prev Aub'!B:B))</f>
        <v/>
      </c>
      <c r="AN92" s="25" t="s">
        <v>3790</v>
      </c>
      <c r="AO92" s="25" t="s">
        <v>3790</v>
      </c>
      <c r="AP92" s="25">
        <f t="shared" si="34"/>
        <v>0</v>
      </c>
      <c r="AQ92" s="151" t="str">
        <f>IF(SUMIFS('Supp Consol'!S:S,'Supp Consol'!A:A,O92,'Supp Consol'!I:I,"PENDING")=0,"",SUMIFS('Supp Consol'!S:S,'Supp Consol'!A:A,O92,'Supp Consol'!I:I,"PENDING"))</f>
        <v/>
      </c>
      <c r="AR92" s="27" t="str">
        <f t="shared" si="35"/>
        <v>00335</v>
      </c>
      <c r="AS92" s="27" t="str">
        <f t="shared" si="36"/>
        <v>50</v>
      </c>
      <c r="AT92" s="27" t="str">
        <f t="shared" si="37"/>
        <v/>
      </c>
      <c r="AU92" s="27" t="str">
        <f t="shared" si="38"/>
        <v/>
      </c>
      <c r="AV92" s="27" t="str">
        <f t="shared" si="39"/>
        <v/>
      </c>
      <c r="AW92" s="27" t="str">
        <f t="shared" si="40"/>
        <v>00335</v>
      </c>
      <c r="AX92" s="27" t="str">
        <f t="shared" si="41"/>
        <v>00335</v>
      </c>
      <c r="AY92" s="27" t="str">
        <f t="shared" si="42"/>
        <v/>
      </c>
      <c r="AZ92" s="27" t="str">
        <f t="shared" si="43"/>
        <v>Supp</v>
      </c>
      <c r="BA92" s="27" t="str">
        <f t="shared" si="44"/>
        <v/>
      </c>
      <c r="BB92" s="27" t="str">
        <f t="shared" si="45"/>
        <v/>
      </c>
      <c r="BC92" s="27" t="str">
        <f t="shared" si="46"/>
        <v/>
      </c>
      <c r="BD92" s="27" t="str">
        <f t="shared" si="47"/>
        <v/>
      </c>
      <c r="BE92" s="27" t="str">
        <f t="shared" si="48"/>
        <v>Exp</v>
      </c>
      <c r="BF92" s="27" t="str">
        <f t="shared" si="49"/>
        <v/>
      </c>
      <c r="BG92" s="27" t="str">
        <f t="shared" si="50"/>
        <v>S+NorE</v>
      </c>
      <c r="BH92" s="27" t="str">
        <f t="shared" si="51"/>
        <v/>
      </c>
      <c r="BI92" s="27" t="str">
        <f t="shared" si="52"/>
        <v/>
      </c>
      <c r="BJ92" s="27" t="str">
        <f t="shared" si="53"/>
        <v>Supp or Hun</v>
      </c>
      <c r="BK92" s="27" t="str">
        <f t="shared" si="54"/>
        <v/>
      </c>
      <c r="BL92" s="27" t="str">
        <f t="shared" si="55"/>
        <v>SorHandNandE</v>
      </c>
      <c r="BM92" s="21" t="s">
        <v>5581</v>
      </c>
    </row>
    <row r="93" spans="1:65" ht="15">
      <c r="A93" s="25" t="str">
        <f>IFERROR(INDEX('Hun Demand'!W:W,MATCH(O93,'Hun Demand'!A:A,0)),"")</f>
        <v/>
      </c>
      <c r="B93" s="25" t="str">
        <f>IFERROR(INDEX('Hun Demand'!V:V,MATCH(O93,'Hun Demand'!A:A,0)),"")</f>
        <v/>
      </c>
      <c r="C93" s="25" t="str">
        <f>IFERROR(INDEX('Hun Demand'!U:U,MATCH(O93,'Hun Demand'!A:A,0)),"")</f>
        <v/>
      </c>
      <c r="D93" s="25" t="str">
        <f>IFERROR(INDEX('Hun Demand'!T:T,MATCH(O93,'Hun Demand'!A:A,0)),"")</f>
        <v/>
      </c>
      <c r="E93" s="25" t="str">
        <f>IFERROR(INDEX('Hun Demand'!S:S,MATCH(O93,'Hun Demand'!A:A,0)),"")</f>
        <v/>
      </c>
      <c r="F93" s="25" t="str">
        <f>IFERROR(INDEX('Hun Demand'!R:R,MATCH(O93,'Hun Demand'!A:A,0)),"")</f>
        <v/>
      </c>
      <c r="G93" s="25">
        <f>IFERROR(INDEX('Aub Demand'!W:W,MATCH(O93,'Aub Demand'!A:A,0)),"")</f>
        <v>0</v>
      </c>
      <c r="H93" s="25">
        <f>IFERROR(INDEX('Aub Demand'!V:V,MATCH(O93,'Aub Demand'!A:A,0)),"")</f>
        <v>0</v>
      </c>
      <c r="I93" s="25">
        <f>IFERROR(INDEX('Aub Demand'!U:U,MATCH(O93,'Aub Demand'!A:A,0)),"")</f>
        <v>667</v>
      </c>
      <c r="J93" s="25">
        <f>IFERROR(INDEX('Aub Demand'!T:T,MATCH(O93,'Aub Demand'!A:A,0)),"")</f>
        <v>298</v>
      </c>
      <c r="K93" s="25">
        <f>IFERROR(INDEX('Aub Demand'!S:S,MATCH(O93,'Aub Demand'!A:A,0)),"")</f>
        <v>0</v>
      </c>
      <c r="L93" s="25">
        <f>IFERROR(INDEX('Aub Demand'!R:R,MATCH(O93,'Aub Demand'!A:A,0)),"")</f>
        <v>0</v>
      </c>
      <c r="O93" s="27" t="s">
        <v>241</v>
      </c>
      <c r="P93" s="27" t="str">
        <f>IFERROR(INDEX('Aub Demand'!B:B,MATCH($O93,'Aub Demand'!$A:$A,0)),"")</f>
        <v>LINE Z</v>
      </c>
      <c r="Q93" s="27" t="str">
        <f>IFERROR(INDEX('Aub Demand'!C:C,MATCH($O93,'Aub Demand'!$A:$A,0)),"")</f>
        <v>SAPPI</v>
      </c>
      <c r="R93" s="52">
        <f>IFERROR(IF(AR94=AR93,INDEX('Aub Demand'!K:K,MATCH($O93,'Aub Demand'!$A:$A,0))-IF(AN93="",0,AN93)+AP94,INDEX('Aub Demand'!K:K,MATCH($O93,'Aub Demand'!$A:$A,0))-IF(AN93="",0,AN93)),"")</f>
        <v>1726</v>
      </c>
      <c r="S93" s="53">
        <f t="shared" si="28"/>
        <v>23</v>
      </c>
      <c r="T93" s="52" t="str">
        <f t="shared" si="29"/>
        <v/>
      </c>
      <c r="U93" s="52">
        <f>IFERROR(IF(AR94=AR93,INDEX('Aub Demand'!Q:Q,MATCH($O93,'Aub Demand'!$A:$A,0))-IF(AN93="",0,AN93)+AP94,INDEX('Aub Demand'!Q:Q,MATCH($O93,'Aub Demand'!$A:$A,0))-IF(AN93="",0,AN93)),"")</f>
        <v>1588</v>
      </c>
      <c r="V93" s="53">
        <f t="shared" si="30"/>
        <v>21.1</v>
      </c>
      <c r="W93" s="52" t="str">
        <f t="shared" si="31"/>
        <v/>
      </c>
      <c r="X93" s="52">
        <f>IFERROR(IF(AND(AR94=AR93,AM93&lt;&gt;""),INDEX('Aub Demand'!Q:Q,MATCH($O93,'Aub Demand'!$A:$A,0))-IF(AN93="",0,AN93)+AP94+AD93+AL93,IF(AR94=AR93,INDEX('Aub Demand'!Q:Q,MATCH($O93,'Aub Demand'!$A:$A,0))-IF(AN93="",0,AN93)+AP94+AD93,IF(AM93&lt;&gt;"",INDEX('Aub Demand'!Q:Q,MATCH($O93,'Aub Demand'!$A:$A,0))-IF(AN93="",0,AN93)+AD93+AL93,INDEX('Aub Demand'!Q:Q,MATCH($O93,'Aub Demand'!$A:$A,0))-IF(AN93="",0,AN93)+AD93))),"")</f>
        <v>1588</v>
      </c>
      <c r="Y93" s="53">
        <f t="shared" si="32"/>
        <v>21.1</v>
      </c>
      <c r="Z93" s="52">
        <f>IF(L93="","",INDEX('Aub Demand'!H:H,MATCH($O93,'Aub Demand'!$A:$A,0)))</f>
        <v>322</v>
      </c>
      <c r="AA93" s="52">
        <f t="shared" si="33"/>
        <v>482.5</v>
      </c>
      <c r="AB93" s="52">
        <f>IFERROR(INDEX('Aub Demand'!L:L,MATCH($O93,'Aub Demand'!$A:$A,0)),"")</f>
        <v>456</v>
      </c>
      <c r="AC93" s="52">
        <f>IFERROR(IF(O93="","",SUMIFS('CPL Mats'!F:F,'CPL Mats'!Q:Q,AR93,'CPL Mats'!S:S,AS93)),"")</f>
        <v>0</v>
      </c>
      <c r="AF93" s="25">
        <f>IF(SUMIFS('Supp Consol'!S:S,'Supp Consol'!Y:Y,"Releasable",'Supp Consol'!A:A,O93)=0,"",SUMIFS('Supp Consol'!S:S,'Supp Consol'!Y:Y,"Releasable",'Supp Consol'!A:A,O93))</f>
        <v>1170</v>
      </c>
      <c r="AG93" s="25" t="str">
        <f>IFERROR(INDEX('Hun Demand'!Q:Q,MATCH(O93,'Hun Demand'!A:A,0)),"")</f>
        <v/>
      </c>
      <c r="AH93" s="25" t="str">
        <f>IFERROR(INDEX('Hun Demand'!H:H,MATCH($O93,'Hun Demand'!$A:$A,0)),"")</f>
        <v/>
      </c>
      <c r="AI93" s="25">
        <f>IF(SUMIFS('Supp Consol'!AA:AA,'Supp Consol'!Z:Z,"Expires this month",'Supp Consol'!A:A,O93)=0,"",SUMIFS('Supp Consol'!AA:AA,'Supp Consol'!Z:Z,"Expires this month",'Supp Consol'!A:A,O93))</f>
        <v>1170</v>
      </c>
      <c r="AJ93" s="25" t="str">
        <f>IF(SUMIFS('Supp Consol'!AA:AA,'Supp Consol'!Z:Z,"Expired Previous Months",'Supp Consol'!A:A,O93)=0,"",SUMIFS('Supp Consol'!AA:AA,'Supp Consol'!Z:Z,"Expired Previous Months",'Supp Consol'!A:A,O93))</f>
        <v/>
      </c>
      <c r="AK93" s="25" t="str">
        <f>IFERROR(INDEX('Hun Release Current'!B:B,MATCH(O93,'Hun Release Current'!A:A,0)),"")</f>
        <v/>
      </c>
      <c r="AL93" s="25" t="str">
        <f>IF(SUMIF('Prev Aub'!A:A,O93,'Prev Aub'!B:B)=0,"",SUMIF('Prev Aub'!A:A,O93,'Prev Aub'!B:B))</f>
        <v/>
      </c>
      <c r="AN93" s="25" t="s">
        <v>3790</v>
      </c>
      <c r="AO93" s="25" t="s">
        <v>3790</v>
      </c>
      <c r="AP93" s="25">
        <f t="shared" si="34"/>
        <v>0</v>
      </c>
      <c r="AQ93" s="151" t="str">
        <f>IF(SUMIFS('Supp Consol'!S:S,'Supp Consol'!A:A,O93,'Supp Consol'!I:I,"PENDING")=0,"",SUMIFS('Supp Consol'!S:S,'Supp Consol'!A:A,O93,'Supp Consol'!I:I,"PENDING"))</f>
        <v/>
      </c>
      <c r="AR93" s="27" t="str">
        <f t="shared" si="35"/>
        <v>00335</v>
      </c>
      <c r="AS93" s="27" t="str">
        <f t="shared" si="36"/>
        <v>62</v>
      </c>
      <c r="AT93" s="27" t="str">
        <f t="shared" si="37"/>
        <v/>
      </c>
      <c r="AU93" s="27" t="str">
        <f t="shared" si="38"/>
        <v/>
      </c>
      <c r="AV93" s="27" t="str">
        <f t="shared" si="39"/>
        <v/>
      </c>
      <c r="AW93" s="27" t="str">
        <f t="shared" si="40"/>
        <v>00335</v>
      </c>
      <c r="AX93" s="27" t="str">
        <f t="shared" si="41"/>
        <v>00335</v>
      </c>
      <c r="AY93" s="27" t="str">
        <f t="shared" si="42"/>
        <v/>
      </c>
      <c r="AZ93" s="27" t="str">
        <f t="shared" si="43"/>
        <v>Supp</v>
      </c>
      <c r="BA93" s="27" t="str">
        <f t="shared" si="44"/>
        <v/>
      </c>
      <c r="BB93" s="27" t="str">
        <f t="shared" si="45"/>
        <v/>
      </c>
      <c r="BC93" s="27" t="str">
        <f t="shared" si="46"/>
        <v/>
      </c>
      <c r="BD93" s="27" t="str">
        <f t="shared" si="47"/>
        <v/>
      </c>
      <c r="BE93" s="27" t="str">
        <f t="shared" si="48"/>
        <v>Exp</v>
      </c>
      <c r="BF93" s="27" t="str">
        <f t="shared" si="49"/>
        <v/>
      </c>
      <c r="BG93" s="27" t="str">
        <f t="shared" si="50"/>
        <v>S+NorE</v>
      </c>
      <c r="BH93" s="27" t="str">
        <f t="shared" si="51"/>
        <v/>
      </c>
      <c r="BI93" s="27" t="str">
        <f t="shared" si="52"/>
        <v/>
      </c>
      <c r="BJ93" s="27" t="str">
        <f t="shared" si="53"/>
        <v>Supp or Hun</v>
      </c>
      <c r="BK93" s="27" t="str">
        <f t="shared" si="54"/>
        <v/>
      </c>
      <c r="BL93" s="27" t="str">
        <f t="shared" si="55"/>
        <v>SorHandNandE</v>
      </c>
      <c r="BM93" s="21" t="s">
        <v>5581</v>
      </c>
    </row>
    <row r="94" spans="1:65" ht="15">
      <c r="A94" s="25" t="str">
        <f>IFERROR(INDEX('Hun Demand'!W:W,MATCH(O94,'Hun Demand'!A:A,0)),"")</f>
        <v/>
      </c>
      <c r="B94" s="25" t="str">
        <f>IFERROR(INDEX('Hun Demand'!V:V,MATCH(O94,'Hun Demand'!A:A,0)),"")</f>
        <v/>
      </c>
      <c r="C94" s="25" t="str">
        <f>IFERROR(INDEX('Hun Demand'!U:U,MATCH(O94,'Hun Demand'!A:A,0)),"")</f>
        <v/>
      </c>
      <c r="D94" s="25" t="str">
        <f>IFERROR(INDEX('Hun Demand'!T:T,MATCH(O94,'Hun Demand'!A:A,0)),"")</f>
        <v/>
      </c>
      <c r="E94" s="25" t="str">
        <f>IFERROR(INDEX('Hun Demand'!S:S,MATCH(O94,'Hun Demand'!A:A,0)),"")</f>
        <v/>
      </c>
      <c r="F94" s="25" t="str">
        <f>IFERROR(INDEX('Hun Demand'!R:R,MATCH(O94,'Hun Demand'!A:A,0)),"")</f>
        <v/>
      </c>
      <c r="G94" s="25">
        <f>IFERROR(INDEX('Aub Demand'!W:W,MATCH(O94,'Aub Demand'!A:A,0)),"")</f>
        <v>0</v>
      </c>
      <c r="H94" s="25">
        <f>IFERROR(INDEX('Aub Demand'!V:V,MATCH(O94,'Aub Demand'!A:A,0)),"")</f>
        <v>0</v>
      </c>
      <c r="I94" s="25">
        <f>IFERROR(INDEX('Aub Demand'!U:U,MATCH(O94,'Aub Demand'!A:A,0)),"")</f>
        <v>0</v>
      </c>
      <c r="J94" s="25">
        <f>IFERROR(INDEX('Aub Demand'!T:T,MATCH(O94,'Aub Demand'!A:A,0)),"")</f>
        <v>0</v>
      </c>
      <c r="K94" s="25">
        <f>IFERROR(INDEX('Aub Demand'!S:S,MATCH(O94,'Aub Demand'!A:A,0)),"")</f>
        <v>0</v>
      </c>
      <c r="L94" s="25">
        <f>IFERROR(INDEX('Aub Demand'!R:R,MATCH(O94,'Aub Demand'!A:A,0)),"")</f>
        <v>0</v>
      </c>
      <c r="O94" s="27" t="s">
        <v>242</v>
      </c>
      <c r="P94" s="27" t="str">
        <f>IFERROR(INDEX('Aub Demand'!B:B,MATCH($O94,'Aub Demand'!$A:$A,0)),"")</f>
        <v>METALZ</v>
      </c>
      <c r="Q94" s="27" t="str">
        <f>IFERROR(INDEX('Aub Demand'!C:C,MATCH($O94,'Aub Demand'!$A:$A,0)),"")</f>
        <v>SAPPI</v>
      </c>
      <c r="R94" s="52">
        <f>IFERROR(IF(AR95=AR94,INDEX('Aub Demand'!K:K,MATCH($O94,'Aub Demand'!$A:$A,0))-IF(AN94="",0,AN94)+AP95,INDEX('Aub Demand'!K:K,MATCH($O94,'Aub Demand'!$A:$A,0))-IF(AN94="",0,AN94)),"")</f>
        <v>1394</v>
      </c>
      <c r="S94" s="53" t="str">
        <f t="shared" si="28"/>
        <v>n/a</v>
      </c>
      <c r="T94" s="52" t="str">
        <f t="shared" si="29"/>
        <v/>
      </c>
      <c r="U94" s="52">
        <f>IFERROR(IF(AR95=AR94,INDEX('Aub Demand'!Q:Q,MATCH($O94,'Aub Demand'!$A:$A,0))-IF(AN94="",0,AN94)+AP95,INDEX('Aub Demand'!Q:Q,MATCH($O94,'Aub Demand'!$A:$A,0))-IF(AN94="",0,AN94)),"")</f>
        <v>1394</v>
      </c>
      <c r="V94" s="53" t="str">
        <f t="shared" si="30"/>
        <v>n/a</v>
      </c>
      <c r="W94" s="52" t="str">
        <f t="shared" si="31"/>
        <v/>
      </c>
      <c r="X94" s="52">
        <f>IFERROR(IF(AND(AR95=AR94,AM94&lt;&gt;""),INDEX('Aub Demand'!Q:Q,MATCH($O94,'Aub Demand'!$A:$A,0))-IF(AN94="",0,AN94)+AP95+AD94+AL94,IF(AR95=AR94,INDEX('Aub Demand'!Q:Q,MATCH($O94,'Aub Demand'!$A:$A,0))-IF(AN94="",0,AN94)+AP95+AD94,IF(AM94&lt;&gt;"",INDEX('Aub Demand'!Q:Q,MATCH($O94,'Aub Demand'!$A:$A,0))-IF(AN94="",0,AN94)+AD94+AL94,INDEX('Aub Demand'!Q:Q,MATCH($O94,'Aub Demand'!$A:$A,0))-IF(AN94="",0,AN94)+AD94))),"")</f>
        <v>1394</v>
      </c>
      <c r="Y94" s="53" t="str">
        <f t="shared" si="32"/>
        <v>n/a</v>
      </c>
      <c r="Z94" s="52">
        <f>IF(L94="","",INDEX('Aub Demand'!H:H,MATCH($O94,'Aub Demand'!$A:$A,0)))</f>
        <v>0</v>
      </c>
      <c r="AA94" s="52" t="str">
        <f t="shared" si="33"/>
        <v>-spike-</v>
      </c>
      <c r="AB94" s="52">
        <f>IFERROR(INDEX('Aub Demand'!L:L,MATCH($O94,'Aub Demand'!$A:$A,0)),"")</f>
        <v>294</v>
      </c>
      <c r="AC94" s="52">
        <f>IFERROR(IF(O94="","",SUMIFS('CPL Mats'!F:F,'CPL Mats'!Q:Q,AR94,'CPL Mats'!S:S,AS94)),"")</f>
        <v>0</v>
      </c>
      <c r="AF94" s="25" t="str">
        <f>IF(SUMIFS('Supp Consol'!S:S,'Supp Consol'!Y:Y,"Releasable",'Supp Consol'!A:A,O94)=0,"",SUMIFS('Supp Consol'!S:S,'Supp Consol'!Y:Y,"Releasable",'Supp Consol'!A:A,O94))</f>
        <v/>
      </c>
      <c r="AG94" s="25" t="str">
        <f>IFERROR(INDEX('Hun Demand'!Q:Q,MATCH(O94,'Hun Demand'!A:A,0)),"")</f>
        <v/>
      </c>
      <c r="AH94" s="25" t="str">
        <f>IFERROR(INDEX('Hun Demand'!H:H,MATCH($O94,'Hun Demand'!$A:$A,0)),"")</f>
        <v/>
      </c>
      <c r="AI94" s="25" t="str">
        <f>IF(SUMIFS('Supp Consol'!AA:AA,'Supp Consol'!Z:Z,"Expires this month",'Supp Consol'!A:A,O94)=0,"",SUMIFS('Supp Consol'!AA:AA,'Supp Consol'!Z:Z,"Expires this month",'Supp Consol'!A:A,O94))</f>
        <v/>
      </c>
      <c r="AJ94" s="25" t="str">
        <f>IF(SUMIFS('Supp Consol'!AA:AA,'Supp Consol'!Z:Z,"Expired Previous Months",'Supp Consol'!A:A,O94)=0,"",SUMIFS('Supp Consol'!AA:AA,'Supp Consol'!Z:Z,"Expired Previous Months",'Supp Consol'!A:A,O94))</f>
        <v/>
      </c>
      <c r="AK94" s="25" t="str">
        <f>IFERROR(INDEX('Hun Release Current'!B:B,MATCH(O94,'Hun Release Current'!A:A,0)),"")</f>
        <v/>
      </c>
      <c r="AL94" s="25" t="str">
        <f>IF(SUMIF('Prev Aub'!A:A,O94,'Prev Aub'!B:B)=0,"",SUMIF('Prev Aub'!A:A,O94,'Prev Aub'!B:B))</f>
        <v/>
      </c>
      <c r="AN94" s="25" t="s">
        <v>3790</v>
      </c>
      <c r="AO94" s="25" t="s">
        <v>3790</v>
      </c>
      <c r="AP94" s="25">
        <f t="shared" si="34"/>
        <v>0</v>
      </c>
      <c r="AQ94" s="151" t="str">
        <f>IF(SUMIFS('Supp Consol'!S:S,'Supp Consol'!A:A,O94,'Supp Consol'!I:I,"PENDING")=0,"",SUMIFS('Supp Consol'!S:S,'Supp Consol'!A:A,O94,'Supp Consol'!I:I,"PENDING"))</f>
        <v/>
      </c>
      <c r="AR94" s="27" t="str">
        <f t="shared" si="35"/>
        <v>00336</v>
      </c>
      <c r="AS94" s="27" t="str">
        <f t="shared" si="36"/>
        <v>50</v>
      </c>
      <c r="AT94" s="27" t="str">
        <f t="shared" si="37"/>
        <v/>
      </c>
      <c r="AU94" s="27" t="str">
        <f t="shared" si="38"/>
        <v/>
      </c>
      <c r="AV94" s="27" t="str">
        <f t="shared" si="39"/>
        <v/>
      </c>
      <c r="AW94" s="27" t="str">
        <f t="shared" si="40"/>
        <v/>
      </c>
      <c r="AX94" s="27" t="str">
        <f t="shared" si="41"/>
        <v/>
      </c>
      <c r="AY94" s="27" t="str">
        <f t="shared" si="42"/>
        <v/>
      </c>
      <c r="AZ94" s="27" t="str">
        <f t="shared" si="43"/>
        <v/>
      </c>
      <c r="BA94" s="27" t="str">
        <f t="shared" si="44"/>
        <v/>
      </c>
      <c r="BB94" s="27" t="str">
        <f t="shared" si="45"/>
        <v/>
      </c>
      <c r="BC94" s="27" t="str">
        <f t="shared" si="46"/>
        <v/>
      </c>
      <c r="BD94" s="27" t="str">
        <f t="shared" si="47"/>
        <v/>
      </c>
      <c r="BE94" s="27" t="str">
        <f t="shared" si="48"/>
        <v/>
      </c>
      <c r="BF94" s="27" t="str">
        <f t="shared" si="49"/>
        <v/>
      </c>
      <c r="BG94" s="27" t="str">
        <f t="shared" si="50"/>
        <v/>
      </c>
      <c r="BH94" s="27" t="str">
        <f t="shared" si="51"/>
        <v/>
      </c>
      <c r="BI94" s="27" t="str">
        <f t="shared" si="52"/>
        <v/>
      </c>
      <c r="BJ94" s="27" t="str">
        <f t="shared" si="53"/>
        <v/>
      </c>
      <c r="BK94" s="27" t="str">
        <f t="shared" si="54"/>
        <v/>
      </c>
      <c r="BL94" s="27" t="str">
        <f t="shared" si="55"/>
        <v/>
      </c>
      <c r="BM94" s="21" t="s">
        <v>5581</v>
      </c>
    </row>
    <row r="95" spans="1:65" ht="15">
      <c r="A95" s="25" t="str">
        <f>IFERROR(INDEX('Hun Demand'!W:W,MATCH(O95,'Hun Demand'!A:A,0)),"")</f>
        <v/>
      </c>
      <c r="B95" s="25" t="str">
        <f>IFERROR(INDEX('Hun Demand'!V:V,MATCH(O95,'Hun Demand'!A:A,0)),"")</f>
        <v/>
      </c>
      <c r="C95" s="25" t="str">
        <f>IFERROR(INDEX('Hun Demand'!U:U,MATCH(O95,'Hun Demand'!A:A,0)),"")</f>
        <v/>
      </c>
      <c r="D95" s="25" t="str">
        <f>IFERROR(INDEX('Hun Demand'!T:T,MATCH(O95,'Hun Demand'!A:A,0)),"")</f>
        <v/>
      </c>
      <c r="E95" s="25" t="str">
        <f>IFERROR(INDEX('Hun Demand'!S:S,MATCH(O95,'Hun Demand'!A:A,0)),"")</f>
        <v/>
      </c>
      <c r="F95" s="25" t="str">
        <f>IFERROR(INDEX('Hun Demand'!R:R,MATCH(O95,'Hun Demand'!A:A,0)),"")</f>
        <v/>
      </c>
      <c r="G95" s="25">
        <f>IFERROR(INDEX('Aub Demand'!W:W,MATCH(O95,'Aub Demand'!A:A,0)),"")</f>
        <v>0</v>
      </c>
      <c r="H95" s="25">
        <f>IFERROR(INDEX('Aub Demand'!V:V,MATCH(O95,'Aub Demand'!A:A,0)),"")</f>
        <v>0</v>
      </c>
      <c r="I95" s="25">
        <f>IFERROR(INDEX('Aub Demand'!U:U,MATCH(O95,'Aub Demand'!A:A,0)),"")</f>
        <v>0</v>
      </c>
      <c r="J95" s="25">
        <f>IFERROR(INDEX('Aub Demand'!T:T,MATCH(O95,'Aub Demand'!A:A,0)),"")</f>
        <v>0</v>
      </c>
      <c r="K95" s="25">
        <f>IFERROR(INDEX('Aub Demand'!S:S,MATCH(O95,'Aub Demand'!A:A,0)),"")</f>
        <v>0</v>
      </c>
      <c r="L95" s="25">
        <f>IFERROR(INDEX('Aub Demand'!R:R,MATCH(O95,'Aub Demand'!A:A,0)),"")</f>
        <v>0</v>
      </c>
      <c r="O95" s="27" t="s">
        <v>244</v>
      </c>
      <c r="P95" s="27" t="str">
        <f>IFERROR(INDEX('Aub Demand'!B:B,MATCH($O95,'Aub Demand'!$A:$A,0)),"")</f>
        <v>METALZ</v>
      </c>
      <c r="Q95" s="27" t="str">
        <f>IFERROR(INDEX('Aub Demand'!C:C,MATCH($O95,'Aub Demand'!$A:$A,0)),"")</f>
        <v>SAPPI</v>
      </c>
      <c r="R95" s="52">
        <f>IFERROR(IF(AR96=AR95,INDEX('Aub Demand'!K:K,MATCH($O95,'Aub Demand'!$A:$A,0))-IF(AN95="",0,AN95)+AP96,INDEX('Aub Demand'!K:K,MATCH($O95,'Aub Demand'!$A:$A,0))-IF(AN95="",0,AN95)),"")</f>
        <v>1569</v>
      </c>
      <c r="S95" s="53" t="str">
        <f t="shared" si="28"/>
        <v>n/a</v>
      </c>
      <c r="T95" s="52" t="str">
        <f t="shared" si="29"/>
        <v/>
      </c>
      <c r="U95" s="52">
        <f>IFERROR(IF(AR96=AR95,INDEX('Aub Demand'!Q:Q,MATCH($O95,'Aub Demand'!$A:$A,0))-IF(AN95="",0,AN95)+AP96,INDEX('Aub Demand'!Q:Q,MATCH($O95,'Aub Demand'!$A:$A,0))-IF(AN95="",0,AN95)),"")</f>
        <v>1569</v>
      </c>
      <c r="V95" s="53" t="str">
        <f t="shared" si="30"/>
        <v>n/a</v>
      </c>
      <c r="W95" s="52" t="str">
        <f t="shared" si="31"/>
        <v/>
      </c>
      <c r="X95" s="52">
        <f>IFERROR(IF(AND(AR96=AR95,AM95&lt;&gt;""),INDEX('Aub Demand'!Q:Q,MATCH($O95,'Aub Demand'!$A:$A,0))-IF(AN95="",0,AN95)+AP96+AD95+AL95,IF(AR96=AR95,INDEX('Aub Demand'!Q:Q,MATCH($O95,'Aub Demand'!$A:$A,0))-IF(AN95="",0,AN95)+AP96+AD95,IF(AM95&lt;&gt;"",INDEX('Aub Demand'!Q:Q,MATCH($O95,'Aub Demand'!$A:$A,0))-IF(AN95="",0,AN95)+AD95+AL95,INDEX('Aub Demand'!Q:Q,MATCH($O95,'Aub Demand'!$A:$A,0))-IF(AN95="",0,AN95)+AD95))),"")</f>
        <v>1569</v>
      </c>
      <c r="Y95" s="53" t="str">
        <f t="shared" si="32"/>
        <v>n/a</v>
      </c>
      <c r="Z95" s="52">
        <f>IF(L95="","",INDEX('Aub Demand'!H:H,MATCH($O95,'Aub Demand'!$A:$A,0)))</f>
        <v>0</v>
      </c>
      <c r="AA95" s="52" t="str">
        <f t="shared" si="33"/>
        <v>-spike-</v>
      </c>
      <c r="AB95" s="52">
        <f>IFERROR(INDEX('Aub Demand'!L:L,MATCH($O95,'Aub Demand'!$A:$A,0)),"")</f>
        <v>283</v>
      </c>
      <c r="AC95" s="52">
        <f>IFERROR(IF(O95="","",SUMIFS('CPL Mats'!F:F,'CPL Mats'!Q:Q,AR95,'CPL Mats'!S:S,AS95)),"")</f>
        <v>0</v>
      </c>
      <c r="AF95" s="25" t="str">
        <f>IF(SUMIFS('Supp Consol'!S:S,'Supp Consol'!Y:Y,"Releasable",'Supp Consol'!A:A,O95)=0,"",SUMIFS('Supp Consol'!S:S,'Supp Consol'!Y:Y,"Releasable",'Supp Consol'!A:A,O95))</f>
        <v/>
      </c>
      <c r="AG95" s="25" t="str">
        <f>IFERROR(INDEX('Hun Demand'!Q:Q,MATCH(O95,'Hun Demand'!A:A,0)),"")</f>
        <v/>
      </c>
      <c r="AH95" s="25" t="str">
        <f>IFERROR(INDEX('Hun Demand'!H:H,MATCH($O95,'Hun Demand'!$A:$A,0)),"")</f>
        <v/>
      </c>
      <c r="AI95" s="25" t="str">
        <f>IF(SUMIFS('Supp Consol'!AA:AA,'Supp Consol'!Z:Z,"Expires this month",'Supp Consol'!A:A,O95)=0,"",SUMIFS('Supp Consol'!AA:AA,'Supp Consol'!Z:Z,"Expires this month",'Supp Consol'!A:A,O95))</f>
        <v/>
      </c>
      <c r="AJ95" s="25" t="str">
        <f>IF(SUMIFS('Supp Consol'!AA:AA,'Supp Consol'!Z:Z,"Expired Previous Months",'Supp Consol'!A:A,O95)=0,"",SUMIFS('Supp Consol'!AA:AA,'Supp Consol'!Z:Z,"Expired Previous Months",'Supp Consol'!A:A,O95))</f>
        <v/>
      </c>
      <c r="AK95" s="25" t="str">
        <f>IFERROR(INDEX('Hun Release Current'!B:B,MATCH(O95,'Hun Release Current'!A:A,0)),"")</f>
        <v/>
      </c>
      <c r="AL95" s="25" t="str">
        <f>IF(SUMIF('Prev Aub'!A:A,O95,'Prev Aub'!B:B)=0,"",SUMIF('Prev Aub'!A:A,O95,'Prev Aub'!B:B))</f>
        <v/>
      </c>
      <c r="AN95" s="25" t="s">
        <v>3790</v>
      </c>
      <c r="AO95" s="25" t="s">
        <v>3790</v>
      </c>
      <c r="AP95" s="25">
        <f t="shared" si="34"/>
        <v>0</v>
      </c>
      <c r="AQ95" s="151" t="str">
        <f>IF(SUMIFS('Supp Consol'!S:S,'Supp Consol'!A:A,O95,'Supp Consol'!I:I,"PENDING")=0,"",SUMIFS('Supp Consol'!S:S,'Supp Consol'!A:A,O95,'Supp Consol'!I:I,"PENDING"))</f>
        <v/>
      </c>
      <c r="AR95" s="27" t="str">
        <f t="shared" si="35"/>
        <v>00336</v>
      </c>
      <c r="AS95" s="27" t="str">
        <f t="shared" si="36"/>
        <v>62</v>
      </c>
      <c r="AT95" s="27" t="str">
        <f t="shared" si="37"/>
        <v/>
      </c>
      <c r="AU95" s="27" t="str">
        <f t="shared" si="38"/>
        <v/>
      </c>
      <c r="AV95" s="27" t="str">
        <f t="shared" si="39"/>
        <v/>
      </c>
      <c r="AW95" s="27" t="str">
        <f t="shared" si="40"/>
        <v/>
      </c>
      <c r="AX95" s="27" t="str">
        <f t="shared" si="41"/>
        <v/>
      </c>
      <c r="AY95" s="27" t="str">
        <f t="shared" si="42"/>
        <v/>
      </c>
      <c r="AZ95" s="27" t="str">
        <f t="shared" si="43"/>
        <v/>
      </c>
      <c r="BA95" s="27" t="str">
        <f t="shared" si="44"/>
        <v/>
      </c>
      <c r="BB95" s="27" t="str">
        <f t="shared" si="45"/>
        <v/>
      </c>
      <c r="BC95" s="27" t="str">
        <f t="shared" si="46"/>
        <v/>
      </c>
      <c r="BD95" s="27" t="str">
        <f t="shared" si="47"/>
        <v/>
      </c>
      <c r="BE95" s="27" t="str">
        <f t="shared" si="48"/>
        <v/>
      </c>
      <c r="BF95" s="27" t="str">
        <f t="shared" si="49"/>
        <v/>
      </c>
      <c r="BG95" s="27" t="str">
        <f t="shared" si="50"/>
        <v/>
      </c>
      <c r="BH95" s="27" t="str">
        <f t="shared" si="51"/>
        <v/>
      </c>
      <c r="BI95" s="27" t="str">
        <f t="shared" si="52"/>
        <v/>
      </c>
      <c r="BJ95" s="27" t="str">
        <f t="shared" si="53"/>
        <v/>
      </c>
      <c r="BK95" s="27" t="str">
        <f t="shared" si="54"/>
        <v/>
      </c>
      <c r="BL95" s="27" t="str">
        <f t="shared" si="55"/>
        <v/>
      </c>
      <c r="BM95" s="21" t="s">
        <v>5581</v>
      </c>
    </row>
    <row r="96" spans="1:65" ht="15">
      <c r="A96" s="25" t="str">
        <f>IFERROR(INDEX('Hun Demand'!W:W,MATCH(O96,'Hun Demand'!A:A,0)),"")</f>
        <v/>
      </c>
      <c r="B96" s="25" t="str">
        <f>IFERROR(INDEX('Hun Demand'!V:V,MATCH(O96,'Hun Demand'!A:A,0)),"")</f>
        <v/>
      </c>
      <c r="C96" s="25" t="str">
        <f>IFERROR(INDEX('Hun Demand'!U:U,MATCH(O96,'Hun Demand'!A:A,0)),"")</f>
        <v/>
      </c>
      <c r="D96" s="25" t="str">
        <f>IFERROR(INDEX('Hun Demand'!T:T,MATCH(O96,'Hun Demand'!A:A,0)),"")</f>
        <v/>
      </c>
      <c r="E96" s="25" t="str">
        <f>IFERROR(INDEX('Hun Demand'!S:S,MATCH(O96,'Hun Demand'!A:A,0)),"")</f>
        <v/>
      </c>
      <c r="F96" s="25" t="str">
        <f>IFERROR(INDEX('Hun Demand'!R:R,MATCH(O96,'Hun Demand'!A:A,0)),"")</f>
        <v/>
      </c>
      <c r="G96" s="25">
        <f>IFERROR(INDEX('Aub Demand'!W:W,MATCH(O96,'Aub Demand'!A:A,0)),"")</f>
        <v>210</v>
      </c>
      <c r="H96" s="25">
        <f>IFERROR(INDEX('Aub Demand'!V:V,MATCH(O96,'Aub Demand'!A:A,0)),"")</f>
        <v>0</v>
      </c>
      <c r="I96" s="25">
        <f>IFERROR(INDEX('Aub Demand'!U:U,MATCH(O96,'Aub Demand'!A:A,0)),"")</f>
        <v>168</v>
      </c>
      <c r="J96" s="25">
        <f>IFERROR(INDEX('Aub Demand'!T:T,MATCH(O96,'Aub Demand'!A:A,0)),"")</f>
        <v>0</v>
      </c>
      <c r="K96" s="25">
        <f>IFERROR(INDEX('Aub Demand'!S:S,MATCH(O96,'Aub Demand'!A:A,0)),"")</f>
        <v>0</v>
      </c>
      <c r="L96" s="25">
        <f>IFERROR(INDEX('Aub Demand'!R:R,MATCH(O96,'Aub Demand'!A:A,0)),"")</f>
        <v>0</v>
      </c>
      <c r="O96" s="27" t="s">
        <v>245</v>
      </c>
      <c r="P96" s="27" t="str">
        <f>IFERROR(INDEX('Aub Demand'!B:B,MATCH($O96,'Aub Demand'!$A:$A,0)),"")</f>
        <v>TACTILE WEAVE</v>
      </c>
      <c r="Q96" s="27" t="str">
        <f>IFERROR(INDEX('Aub Demand'!C:C,MATCH($O96,'Aub Demand'!$A:$A,0)),"")</f>
        <v>SAPPI</v>
      </c>
      <c r="R96" s="52">
        <f>IFERROR(IF(AR97=AR96,INDEX('Aub Demand'!K:K,MATCH($O96,'Aub Demand'!$A:$A,0))-IF(AN96="",0,AN96)+AP97,INDEX('Aub Demand'!K:K,MATCH($O96,'Aub Demand'!$A:$A,0))-IF(AN96="",0,AN96)),"")</f>
        <v>1226</v>
      </c>
      <c r="S96" s="53">
        <f t="shared" si="28"/>
        <v>93.8</v>
      </c>
      <c r="T96" s="52" t="str">
        <f t="shared" si="29"/>
        <v/>
      </c>
      <c r="U96" s="52">
        <f>IFERROR(IF(AR97=AR96,INDEX('Aub Demand'!Q:Q,MATCH($O96,'Aub Demand'!$A:$A,0))-IF(AN96="",0,AN96)+AP97,INDEX('Aub Demand'!Q:Q,MATCH($O96,'Aub Demand'!$A:$A,0))-IF(AN96="",0,AN96)),"")</f>
        <v>1171</v>
      </c>
      <c r="V96" s="53">
        <f t="shared" si="30"/>
        <v>89.6</v>
      </c>
      <c r="W96" s="52" t="str">
        <f t="shared" si="31"/>
        <v/>
      </c>
      <c r="X96" s="52">
        <f>IFERROR(IF(AND(AR97=AR96,AM96&lt;&gt;""),INDEX('Aub Demand'!Q:Q,MATCH($O96,'Aub Demand'!$A:$A,0))-IF(AN96="",0,AN96)+AP97+AD96+AL96,IF(AR97=AR96,INDEX('Aub Demand'!Q:Q,MATCH($O96,'Aub Demand'!$A:$A,0))-IF(AN96="",0,AN96)+AP97+AD96,IF(AM96&lt;&gt;"",INDEX('Aub Demand'!Q:Q,MATCH($O96,'Aub Demand'!$A:$A,0))-IF(AN96="",0,AN96)+AD96+AL96,INDEX('Aub Demand'!Q:Q,MATCH($O96,'Aub Demand'!$A:$A,0))-IF(AN96="",0,AN96)+AD96))),"")</f>
        <v>1171</v>
      </c>
      <c r="Y96" s="53">
        <f t="shared" si="32"/>
        <v>89.6</v>
      </c>
      <c r="Z96" s="52">
        <f>IF(L96="","",INDEX('Aub Demand'!H:H,MATCH($O96,'Aub Demand'!$A:$A,0)))</f>
        <v>56</v>
      </c>
      <c r="AA96" s="52" t="str">
        <f t="shared" si="33"/>
        <v>-spike-</v>
      </c>
      <c r="AB96" s="52">
        <f>IFERROR(INDEX('Aub Demand'!L:L,MATCH($O96,'Aub Demand'!$A:$A,0)),"")</f>
        <v>51</v>
      </c>
      <c r="AC96" s="52">
        <f>IFERROR(IF(O96="","",SUMIFS('CPL Mats'!F:F,'CPL Mats'!Q:Q,AR96,'CPL Mats'!S:S,AS96)),"")</f>
        <v>0</v>
      </c>
      <c r="AF96" s="25" t="str">
        <f>IF(SUMIFS('Supp Consol'!S:S,'Supp Consol'!Y:Y,"Releasable",'Supp Consol'!A:A,O96)=0,"",SUMIFS('Supp Consol'!S:S,'Supp Consol'!Y:Y,"Releasable",'Supp Consol'!A:A,O96))</f>
        <v/>
      </c>
      <c r="AG96" s="25" t="str">
        <f>IFERROR(INDEX('Hun Demand'!Q:Q,MATCH(O96,'Hun Demand'!A:A,0)),"")</f>
        <v/>
      </c>
      <c r="AH96" s="25" t="str">
        <f>IFERROR(INDEX('Hun Demand'!H:H,MATCH($O96,'Hun Demand'!$A:$A,0)),"")</f>
        <v/>
      </c>
      <c r="AI96" s="25" t="str">
        <f>IF(SUMIFS('Supp Consol'!AA:AA,'Supp Consol'!Z:Z,"Expires this month",'Supp Consol'!A:A,O96)=0,"",SUMIFS('Supp Consol'!AA:AA,'Supp Consol'!Z:Z,"Expires this month",'Supp Consol'!A:A,O96))</f>
        <v/>
      </c>
      <c r="AJ96" s="25" t="str">
        <f>IF(SUMIFS('Supp Consol'!AA:AA,'Supp Consol'!Z:Z,"Expired Previous Months",'Supp Consol'!A:A,O96)=0,"",SUMIFS('Supp Consol'!AA:AA,'Supp Consol'!Z:Z,"Expired Previous Months",'Supp Consol'!A:A,O96))</f>
        <v/>
      </c>
      <c r="AK96" s="25" t="str">
        <f>IFERROR(INDEX('Hun Release Current'!B:B,MATCH(O96,'Hun Release Current'!A:A,0)),"")</f>
        <v/>
      </c>
      <c r="AL96" s="25" t="str">
        <f>IF(SUMIF('Prev Aub'!A:A,O96,'Prev Aub'!B:B)=0,"",SUMIF('Prev Aub'!A:A,O96,'Prev Aub'!B:B))</f>
        <v/>
      </c>
      <c r="AN96" s="25" t="s">
        <v>3790</v>
      </c>
      <c r="AO96" s="25" t="s">
        <v>3790</v>
      </c>
      <c r="AP96" s="25">
        <f t="shared" si="34"/>
        <v>0</v>
      </c>
      <c r="AQ96" s="151" t="str">
        <f>IF(SUMIFS('Supp Consol'!S:S,'Supp Consol'!A:A,O96,'Supp Consol'!I:I,"PENDING")=0,"",SUMIFS('Supp Consol'!S:S,'Supp Consol'!A:A,O96,'Supp Consol'!I:I,"PENDING"))</f>
        <v/>
      </c>
      <c r="AR96" s="27" t="str">
        <f t="shared" si="35"/>
        <v>00337</v>
      </c>
      <c r="AS96" s="27" t="str">
        <f t="shared" si="36"/>
        <v>50</v>
      </c>
      <c r="AT96" s="27" t="str">
        <f t="shared" si="37"/>
        <v/>
      </c>
      <c r="AU96" s="27" t="str">
        <f t="shared" si="38"/>
        <v/>
      </c>
      <c r="AV96" s="27" t="str">
        <f t="shared" si="39"/>
        <v/>
      </c>
      <c r="AW96" s="27" t="str">
        <f t="shared" si="40"/>
        <v/>
      </c>
      <c r="AX96" s="27" t="str">
        <f t="shared" si="41"/>
        <v/>
      </c>
      <c r="AY96" s="27" t="str">
        <f t="shared" si="42"/>
        <v/>
      </c>
      <c r="AZ96" s="27" t="str">
        <f t="shared" si="43"/>
        <v/>
      </c>
      <c r="BA96" s="27" t="str">
        <f t="shared" si="44"/>
        <v/>
      </c>
      <c r="BB96" s="27" t="str">
        <f t="shared" si="45"/>
        <v/>
      </c>
      <c r="BC96" s="27" t="str">
        <f t="shared" si="46"/>
        <v/>
      </c>
      <c r="BD96" s="27" t="str">
        <f t="shared" si="47"/>
        <v/>
      </c>
      <c r="BE96" s="27" t="str">
        <f t="shared" si="48"/>
        <v/>
      </c>
      <c r="BF96" s="27" t="str">
        <f t="shared" si="49"/>
        <v/>
      </c>
      <c r="BG96" s="27" t="str">
        <f t="shared" si="50"/>
        <v/>
      </c>
      <c r="BH96" s="27" t="str">
        <f t="shared" si="51"/>
        <v/>
      </c>
      <c r="BI96" s="27" t="str">
        <f t="shared" si="52"/>
        <v/>
      </c>
      <c r="BJ96" s="27" t="str">
        <f t="shared" si="53"/>
        <v/>
      </c>
      <c r="BK96" s="27" t="str">
        <f t="shared" si="54"/>
        <v/>
      </c>
      <c r="BL96" s="27" t="str">
        <f t="shared" si="55"/>
        <v/>
      </c>
      <c r="BM96" s="21" t="s">
        <v>5581</v>
      </c>
    </row>
    <row r="97" spans="1:65" ht="15">
      <c r="A97" s="25" t="str">
        <f>IFERROR(INDEX('Hun Demand'!W:W,MATCH(O97,'Hun Demand'!A:A,0)),"")</f>
        <v/>
      </c>
      <c r="B97" s="25" t="str">
        <f>IFERROR(INDEX('Hun Demand'!V:V,MATCH(O97,'Hun Demand'!A:A,0)),"")</f>
        <v/>
      </c>
      <c r="C97" s="25" t="str">
        <f>IFERROR(INDEX('Hun Demand'!U:U,MATCH(O97,'Hun Demand'!A:A,0)),"")</f>
        <v/>
      </c>
      <c r="D97" s="25" t="str">
        <f>IFERROR(INDEX('Hun Demand'!T:T,MATCH(O97,'Hun Demand'!A:A,0)),"")</f>
        <v/>
      </c>
      <c r="E97" s="25" t="str">
        <f>IFERROR(INDEX('Hun Demand'!S:S,MATCH(O97,'Hun Demand'!A:A,0)),"")</f>
        <v/>
      </c>
      <c r="F97" s="25" t="str">
        <f>IFERROR(INDEX('Hun Demand'!R:R,MATCH(O97,'Hun Demand'!A:A,0)),"")</f>
        <v/>
      </c>
      <c r="G97" s="25">
        <f>IFERROR(INDEX('Aub Demand'!W:W,MATCH(O97,'Aub Demand'!A:A,0)),"")</f>
        <v>0</v>
      </c>
      <c r="H97" s="25">
        <f>IFERROR(INDEX('Aub Demand'!V:V,MATCH(O97,'Aub Demand'!A:A,0)),"")</f>
        <v>0</v>
      </c>
      <c r="I97" s="25">
        <f>IFERROR(INDEX('Aub Demand'!U:U,MATCH(O97,'Aub Demand'!A:A,0)),"")</f>
        <v>0</v>
      </c>
      <c r="J97" s="25">
        <f>IFERROR(INDEX('Aub Demand'!T:T,MATCH(O97,'Aub Demand'!A:A,0)),"")</f>
        <v>0</v>
      </c>
      <c r="K97" s="25">
        <f>IFERROR(INDEX('Aub Demand'!S:S,MATCH(O97,'Aub Demand'!A:A,0)),"")</f>
        <v>0</v>
      </c>
      <c r="L97" s="25">
        <f>IFERROR(INDEX('Aub Demand'!R:R,MATCH(O97,'Aub Demand'!A:A,0)),"")</f>
        <v>0</v>
      </c>
      <c r="O97" s="27" t="s">
        <v>248</v>
      </c>
      <c r="P97" s="27" t="str">
        <f>IFERROR(INDEX('Aub Demand'!B:B,MATCH($O97,'Aub Demand'!$A:$A,0)),"")</f>
        <v>TACTILE WEAVE</v>
      </c>
      <c r="Q97" s="27" t="str">
        <f>IFERROR(INDEX('Aub Demand'!C:C,MATCH($O97,'Aub Demand'!$A:$A,0)),"")</f>
        <v>SAPPI</v>
      </c>
      <c r="R97" s="52">
        <f>IFERROR(IF(AR98=AR97,INDEX('Aub Demand'!K:K,MATCH($O97,'Aub Demand'!$A:$A,0))-IF(AN97="",0,AN97)+AP98,INDEX('Aub Demand'!K:K,MATCH($O97,'Aub Demand'!$A:$A,0))-IF(AN97="",0,AN97)),"")</f>
        <v>3073</v>
      </c>
      <c r="S97" s="53" t="str">
        <f t="shared" si="28"/>
        <v>n/a</v>
      </c>
      <c r="T97" s="52" t="str">
        <f t="shared" si="29"/>
        <v/>
      </c>
      <c r="U97" s="52">
        <f>IFERROR(IF(AR98=AR97,INDEX('Aub Demand'!Q:Q,MATCH($O97,'Aub Demand'!$A:$A,0))-IF(AN97="",0,AN97)+AP98,INDEX('Aub Demand'!Q:Q,MATCH($O97,'Aub Demand'!$A:$A,0))-IF(AN97="",0,AN97)),"")</f>
        <v>3073</v>
      </c>
      <c r="V97" s="53" t="str">
        <f t="shared" si="30"/>
        <v>n/a</v>
      </c>
      <c r="W97" s="52" t="str">
        <f t="shared" si="31"/>
        <v/>
      </c>
      <c r="X97" s="52">
        <f>IFERROR(IF(AND(AR98=AR97,AM97&lt;&gt;""),INDEX('Aub Demand'!Q:Q,MATCH($O97,'Aub Demand'!$A:$A,0))-IF(AN97="",0,AN97)+AP98+AD97+AL97,IF(AR98=AR97,INDEX('Aub Demand'!Q:Q,MATCH($O97,'Aub Demand'!$A:$A,0))-IF(AN97="",0,AN97)+AP98+AD97,IF(AM97&lt;&gt;"",INDEX('Aub Demand'!Q:Q,MATCH($O97,'Aub Demand'!$A:$A,0))-IF(AN97="",0,AN97)+AD97+AL97,INDEX('Aub Demand'!Q:Q,MATCH($O97,'Aub Demand'!$A:$A,0))-IF(AN97="",0,AN97)+AD97))),"")</f>
        <v>3073</v>
      </c>
      <c r="Y97" s="53" t="str">
        <f t="shared" si="32"/>
        <v>n/a</v>
      </c>
      <c r="Z97" s="52">
        <f>IF(L97="","",INDEX('Aub Demand'!H:H,MATCH($O97,'Aub Demand'!$A:$A,0)))</f>
        <v>0</v>
      </c>
      <c r="AA97" s="52" t="str">
        <f t="shared" si="33"/>
        <v>-spike-</v>
      </c>
      <c r="AB97" s="52">
        <f>IFERROR(INDEX('Aub Demand'!L:L,MATCH($O97,'Aub Demand'!$A:$A,0)),"")</f>
        <v>474</v>
      </c>
      <c r="AC97" s="52">
        <f>IFERROR(IF(O97="","",SUMIFS('CPL Mats'!F:F,'CPL Mats'!Q:Q,AR97,'CPL Mats'!S:S,AS97)),"")</f>
        <v>0</v>
      </c>
      <c r="AF97" s="25" t="str">
        <f>IF(SUMIFS('Supp Consol'!S:S,'Supp Consol'!Y:Y,"Releasable",'Supp Consol'!A:A,O97)=0,"",SUMIFS('Supp Consol'!S:S,'Supp Consol'!Y:Y,"Releasable",'Supp Consol'!A:A,O97))</f>
        <v/>
      </c>
      <c r="AG97" s="25" t="str">
        <f>IFERROR(INDEX('Hun Demand'!Q:Q,MATCH(O97,'Hun Demand'!A:A,0)),"")</f>
        <v/>
      </c>
      <c r="AH97" s="25" t="str">
        <f>IFERROR(INDEX('Hun Demand'!H:H,MATCH($O97,'Hun Demand'!$A:$A,0)),"")</f>
        <v/>
      </c>
      <c r="AI97" s="25" t="str">
        <f>IF(SUMIFS('Supp Consol'!AA:AA,'Supp Consol'!Z:Z,"Expires this month",'Supp Consol'!A:A,O97)=0,"",SUMIFS('Supp Consol'!AA:AA,'Supp Consol'!Z:Z,"Expires this month",'Supp Consol'!A:A,O97))</f>
        <v/>
      </c>
      <c r="AJ97" s="25" t="str">
        <f>IF(SUMIFS('Supp Consol'!AA:AA,'Supp Consol'!Z:Z,"Expired Previous Months",'Supp Consol'!A:A,O97)=0,"",SUMIFS('Supp Consol'!AA:AA,'Supp Consol'!Z:Z,"Expired Previous Months",'Supp Consol'!A:A,O97))</f>
        <v/>
      </c>
      <c r="AK97" s="25" t="str">
        <f>IFERROR(INDEX('Hun Release Current'!B:B,MATCH(O97,'Hun Release Current'!A:A,0)),"")</f>
        <v/>
      </c>
      <c r="AL97" s="25" t="str">
        <f>IF(SUMIF('Prev Aub'!A:A,O97,'Prev Aub'!B:B)=0,"",SUMIF('Prev Aub'!A:A,O97,'Prev Aub'!B:B))</f>
        <v/>
      </c>
      <c r="AN97" s="25" t="s">
        <v>3790</v>
      </c>
      <c r="AO97" s="25" t="s">
        <v>3790</v>
      </c>
      <c r="AP97" s="25">
        <f t="shared" si="34"/>
        <v>0</v>
      </c>
      <c r="AQ97" s="151" t="str">
        <f>IF(SUMIFS('Supp Consol'!S:S,'Supp Consol'!A:A,O97,'Supp Consol'!I:I,"PENDING")=0,"",SUMIFS('Supp Consol'!S:S,'Supp Consol'!A:A,O97,'Supp Consol'!I:I,"PENDING"))</f>
        <v/>
      </c>
      <c r="AR97" s="27" t="str">
        <f t="shared" si="35"/>
        <v>00337</v>
      </c>
      <c r="AS97" s="27" t="str">
        <f t="shared" si="36"/>
        <v>62</v>
      </c>
      <c r="AT97" s="27" t="str">
        <f t="shared" si="37"/>
        <v/>
      </c>
      <c r="AU97" s="27" t="str">
        <f t="shared" si="38"/>
        <v/>
      </c>
      <c r="AV97" s="27" t="str">
        <f t="shared" si="39"/>
        <v/>
      </c>
      <c r="AW97" s="27" t="str">
        <f t="shared" si="40"/>
        <v/>
      </c>
      <c r="AX97" s="27" t="str">
        <f t="shared" si="41"/>
        <v/>
      </c>
      <c r="AY97" s="27" t="str">
        <f t="shared" si="42"/>
        <v/>
      </c>
      <c r="AZ97" s="27" t="str">
        <f t="shared" si="43"/>
        <v/>
      </c>
      <c r="BA97" s="27" t="str">
        <f t="shared" si="44"/>
        <v/>
      </c>
      <c r="BB97" s="27" t="str">
        <f t="shared" si="45"/>
        <v/>
      </c>
      <c r="BC97" s="27" t="str">
        <f t="shared" si="46"/>
        <v/>
      </c>
      <c r="BD97" s="27" t="str">
        <f t="shared" si="47"/>
        <v/>
      </c>
      <c r="BE97" s="27" t="str">
        <f t="shared" si="48"/>
        <v/>
      </c>
      <c r="BF97" s="27" t="str">
        <f t="shared" si="49"/>
        <v/>
      </c>
      <c r="BG97" s="27" t="str">
        <f t="shared" si="50"/>
        <v/>
      </c>
      <c r="BH97" s="27" t="str">
        <f t="shared" si="51"/>
        <v/>
      </c>
      <c r="BI97" s="27" t="str">
        <f t="shared" si="52"/>
        <v/>
      </c>
      <c r="BJ97" s="27" t="str">
        <f t="shared" si="53"/>
        <v/>
      </c>
      <c r="BK97" s="27" t="str">
        <f t="shared" si="54"/>
        <v/>
      </c>
      <c r="BL97" s="27" t="str">
        <f t="shared" si="55"/>
        <v/>
      </c>
      <c r="BM97" s="21" t="s">
        <v>5581</v>
      </c>
    </row>
    <row r="98" spans="1:65" ht="15">
      <c r="A98" s="25" t="str">
        <f>IFERROR(INDEX('Hun Demand'!W:W,MATCH(O98,'Hun Demand'!A:A,0)),"")</f>
        <v/>
      </c>
      <c r="B98" s="25" t="str">
        <f>IFERROR(INDEX('Hun Demand'!V:V,MATCH(O98,'Hun Demand'!A:A,0)),"")</f>
        <v/>
      </c>
      <c r="C98" s="25" t="str">
        <f>IFERROR(INDEX('Hun Demand'!U:U,MATCH(O98,'Hun Demand'!A:A,0)),"")</f>
        <v/>
      </c>
      <c r="D98" s="25" t="str">
        <f>IFERROR(INDEX('Hun Demand'!T:T,MATCH(O98,'Hun Demand'!A:A,0)),"")</f>
        <v/>
      </c>
      <c r="E98" s="25" t="str">
        <f>IFERROR(INDEX('Hun Demand'!S:S,MATCH(O98,'Hun Demand'!A:A,0)),"")</f>
        <v/>
      </c>
      <c r="F98" s="25" t="str">
        <f>IFERROR(INDEX('Hun Demand'!R:R,MATCH(O98,'Hun Demand'!A:A,0)),"")</f>
        <v/>
      </c>
      <c r="G98" s="25">
        <f>IFERROR(INDEX('Aub Demand'!W:W,MATCH(O98,'Aub Demand'!A:A,0)),"")</f>
        <v>0</v>
      </c>
      <c r="H98" s="25">
        <f>IFERROR(INDEX('Aub Demand'!V:V,MATCH(O98,'Aub Demand'!A:A,0)),"")</f>
        <v>0</v>
      </c>
      <c r="I98" s="25">
        <f>IFERROR(INDEX('Aub Demand'!U:U,MATCH(O98,'Aub Demand'!A:A,0)),"")</f>
        <v>0</v>
      </c>
      <c r="J98" s="25">
        <f>IFERROR(INDEX('Aub Demand'!T:T,MATCH(O98,'Aub Demand'!A:A,0)),"")</f>
        <v>0</v>
      </c>
      <c r="K98" s="25">
        <f>IFERROR(INDEX('Aub Demand'!S:S,MATCH(O98,'Aub Demand'!A:A,0)),"")</f>
        <v>0</v>
      </c>
      <c r="L98" s="25">
        <f>IFERROR(INDEX('Aub Demand'!R:R,MATCH(O98,'Aub Demand'!A:A,0)),"")</f>
        <v>0</v>
      </c>
      <c r="O98" s="27" t="s">
        <v>249</v>
      </c>
      <c r="P98" s="27" t="str">
        <f>IFERROR(INDEX('Aub Demand'!B:B,MATCH($O98,'Aub Demand'!$A:$A,0)),"")</f>
        <v>HEX</v>
      </c>
      <c r="Q98" s="27" t="str">
        <f>IFERROR(INDEX('Aub Demand'!C:C,MATCH($O98,'Aub Demand'!$A:$A,0)),"")</f>
        <v>SAPPI</v>
      </c>
      <c r="R98" s="52">
        <f>IFERROR(IF(AR99=AR98,INDEX('Aub Demand'!K:K,MATCH($O98,'Aub Demand'!$A:$A,0))-IF(AN98="",0,AN98)+AP99,INDEX('Aub Demand'!K:K,MATCH($O98,'Aub Demand'!$A:$A,0))-IF(AN98="",0,AN98)),"")</f>
        <v>1502</v>
      </c>
      <c r="S98" s="53" t="str">
        <f t="shared" si="28"/>
        <v>n/a</v>
      </c>
      <c r="T98" s="52" t="str">
        <f t="shared" si="29"/>
        <v/>
      </c>
      <c r="U98" s="52">
        <f>IFERROR(IF(AR99=AR98,INDEX('Aub Demand'!Q:Q,MATCH($O98,'Aub Demand'!$A:$A,0))-IF(AN98="",0,AN98)+AP99,INDEX('Aub Demand'!Q:Q,MATCH($O98,'Aub Demand'!$A:$A,0))-IF(AN98="",0,AN98)),"")</f>
        <v>1490</v>
      </c>
      <c r="V98" s="53" t="str">
        <f t="shared" si="30"/>
        <v>n/a</v>
      </c>
      <c r="W98" s="52" t="str">
        <f t="shared" si="31"/>
        <v/>
      </c>
      <c r="X98" s="52">
        <f>IFERROR(IF(AND(AR99=AR98,AM98&lt;&gt;""),INDEX('Aub Demand'!Q:Q,MATCH($O98,'Aub Demand'!$A:$A,0))-IF(AN98="",0,AN98)+AP99+AD98+AL98,IF(AR99=AR98,INDEX('Aub Demand'!Q:Q,MATCH($O98,'Aub Demand'!$A:$A,0))-IF(AN98="",0,AN98)+AP99+AD98,IF(AM98&lt;&gt;"",INDEX('Aub Demand'!Q:Q,MATCH($O98,'Aub Demand'!$A:$A,0))-IF(AN98="",0,AN98)+AD98+AL98,INDEX('Aub Demand'!Q:Q,MATCH($O98,'Aub Demand'!$A:$A,0))-IF(AN98="",0,AN98)+AD98))),"")</f>
        <v>1490</v>
      </c>
      <c r="Y98" s="53" t="str">
        <f t="shared" si="32"/>
        <v>n/a</v>
      </c>
      <c r="Z98" s="52">
        <f>IF(L98="","",INDEX('Aub Demand'!H:H,MATCH($O98,'Aub Demand'!$A:$A,0)))</f>
        <v>0</v>
      </c>
      <c r="AA98" s="52" t="str">
        <f t="shared" si="33"/>
        <v>-spike-</v>
      </c>
      <c r="AB98" s="52">
        <f>IFERROR(INDEX('Aub Demand'!L:L,MATCH($O98,'Aub Demand'!$A:$A,0)),"")</f>
        <v>127</v>
      </c>
      <c r="AC98" s="52">
        <f>IFERROR(IF(O98="","",SUMIFS('CPL Mats'!F:F,'CPL Mats'!Q:Q,AR98,'CPL Mats'!S:S,AS98)),"")</f>
        <v>0</v>
      </c>
      <c r="AF98" s="25" t="str">
        <f>IF(SUMIFS('Supp Consol'!S:S,'Supp Consol'!Y:Y,"Releasable",'Supp Consol'!A:A,O98)=0,"",SUMIFS('Supp Consol'!S:S,'Supp Consol'!Y:Y,"Releasable",'Supp Consol'!A:A,O98))</f>
        <v/>
      </c>
      <c r="AG98" s="25" t="str">
        <f>IFERROR(INDEX('Hun Demand'!Q:Q,MATCH(O98,'Hun Demand'!A:A,0)),"")</f>
        <v/>
      </c>
      <c r="AH98" s="25" t="str">
        <f>IFERROR(INDEX('Hun Demand'!H:H,MATCH($O98,'Hun Demand'!$A:$A,0)),"")</f>
        <v/>
      </c>
      <c r="AI98" s="25" t="str">
        <f>IF(SUMIFS('Supp Consol'!AA:AA,'Supp Consol'!Z:Z,"Expires this month",'Supp Consol'!A:A,O98)=0,"",SUMIFS('Supp Consol'!AA:AA,'Supp Consol'!Z:Z,"Expires this month",'Supp Consol'!A:A,O98))</f>
        <v/>
      </c>
      <c r="AJ98" s="25" t="str">
        <f>IF(SUMIFS('Supp Consol'!AA:AA,'Supp Consol'!Z:Z,"Expired Previous Months",'Supp Consol'!A:A,O98)=0,"",SUMIFS('Supp Consol'!AA:AA,'Supp Consol'!Z:Z,"Expired Previous Months",'Supp Consol'!A:A,O98))</f>
        <v/>
      </c>
      <c r="AK98" s="25" t="str">
        <f>IFERROR(INDEX('Hun Release Current'!B:B,MATCH(O98,'Hun Release Current'!A:A,0)),"")</f>
        <v/>
      </c>
      <c r="AL98" s="25" t="str">
        <f>IF(SUMIF('Prev Aub'!A:A,O98,'Prev Aub'!B:B)=0,"",SUMIF('Prev Aub'!A:A,O98,'Prev Aub'!B:B))</f>
        <v/>
      </c>
      <c r="AN98" s="25" t="s">
        <v>3790</v>
      </c>
      <c r="AO98" s="25" t="s">
        <v>3790</v>
      </c>
      <c r="AP98" s="25">
        <f t="shared" si="34"/>
        <v>0</v>
      </c>
      <c r="AQ98" s="151" t="str">
        <f>IF(SUMIFS('Supp Consol'!S:S,'Supp Consol'!A:A,O98,'Supp Consol'!I:I,"PENDING")=0,"",SUMIFS('Supp Consol'!S:S,'Supp Consol'!A:A,O98,'Supp Consol'!I:I,"PENDING"))</f>
        <v/>
      </c>
      <c r="AR98" s="27" t="str">
        <f t="shared" si="35"/>
        <v>00338</v>
      </c>
      <c r="AS98" s="27" t="str">
        <f t="shared" si="36"/>
        <v>50</v>
      </c>
      <c r="AT98" s="27" t="str">
        <f t="shared" si="37"/>
        <v/>
      </c>
      <c r="AU98" s="27" t="str">
        <f t="shared" si="38"/>
        <v/>
      </c>
      <c r="AV98" s="27" t="str">
        <f t="shared" si="39"/>
        <v/>
      </c>
      <c r="AW98" s="27" t="str">
        <f t="shared" si="40"/>
        <v/>
      </c>
      <c r="AX98" s="27" t="str">
        <f t="shared" si="41"/>
        <v/>
      </c>
      <c r="AY98" s="27" t="str">
        <f t="shared" si="42"/>
        <v/>
      </c>
      <c r="AZ98" s="27" t="str">
        <f t="shared" si="43"/>
        <v/>
      </c>
      <c r="BA98" s="27" t="str">
        <f t="shared" si="44"/>
        <v>Hun</v>
      </c>
      <c r="BB98" s="27" t="str">
        <f t="shared" si="45"/>
        <v/>
      </c>
      <c r="BC98" s="27" t="str">
        <f t="shared" si="46"/>
        <v/>
      </c>
      <c r="BD98" s="27" t="str">
        <f t="shared" si="47"/>
        <v/>
      </c>
      <c r="BE98" s="27" t="str">
        <f t="shared" si="48"/>
        <v/>
      </c>
      <c r="BF98" s="27" t="str">
        <f t="shared" si="49"/>
        <v/>
      </c>
      <c r="BG98" s="27" t="str">
        <f t="shared" si="50"/>
        <v/>
      </c>
      <c r="BH98" s="27" t="str">
        <f t="shared" si="51"/>
        <v/>
      </c>
      <c r="BI98" s="27" t="str">
        <f t="shared" si="52"/>
        <v/>
      </c>
      <c r="BJ98" s="27" t="str">
        <f t="shared" si="53"/>
        <v>Supp or Hun</v>
      </c>
      <c r="BK98" s="27" t="str">
        <f t="shared" si="54"/>
        <v/>
      </c>
      <c r="BL98" s="27" t="str">
        <f t="shared" si="55"/>
        <v/>
      </c>
      <c r="BM98" s="21" t="s">
        <v>5581</v>
      </c>
    </row>
    <row r="99" spans="1:65" ht="15">
      <c r="A99" s="25">
        <f>IFERROR(INDEX('Hun Demand'!W:W,MATCH(O99,'Hun Demand'!A:A,0)),"")</f>
        <v>0</v>
      </c>
      <c r="B99" s="25">
        <f>IFERROR(INDEX('Hun Demand'!V:V,MATCH(O99,'Hun Demand'!A:A,0)),"")</f>
        <v>0</v>
      </c>
      <c r="C99" s="25">
        <f>IFERROR(INDEX('Hun Demand'!U:U,MATCH(O99,'Hun Demand'!A:A,0)),"")</f>
        <v>0</v>
      </c>
      <c r="D99" s="25">
        <f>IFERROR(INDEX('Hun Demand'!T:T,MATCH(O99,'Hun Demand'!A:A,0)),"")</f>
        <v>0</v>
      </c>
      <c r="E99" s="25">
        <f>IFERROR(INDEX('Hun Demand'!S:S,MATCH(O99,'Hun Demand'!A:A,0)),"")</f>
        <v>0</v>
      </c>
      <c r="F99" s="25">
        <f>IFERROR(INDEX('Hun Demand'!R:R,MATCH(O99,'Hun Demand'!A:A,0)),"")</f>
        <v>0</v>
      </c>
      <c r="G99" s="25">
        <f>IFERROR(INDEX('Aub Demand'!W:W,MATCH(O99,'Aub Demand'!A:A,0)),"")</f>
        <v>0</v>
      </c>
      <c r="H99" s="25">
        <f>IFERROR(INDEX('Aub Demand'!V:V,MATCH(O99,'Aub Demand'!A:A,0)),"")</f>
        <v>0</v>
      </c>
      <c r="I99" s="25">
        <f>IFERROR(INDEX('Aub Demand'!U:U,MATCH(O99,'Aub Demand'!A:A,0)),"")</f>
        <v>0</v>
      </c>
      <c r="J99" s="25">
        <f>IFERROR(INDEX('Aub Demand'!T:T,MATCH(O99,'Aub Demand'!A:A,0)),"")</f>
        <v>0</v>
      </c>
      <c r="K99" s="25">
        <f>IFERROR(INDEX('Aub Demand'!S:S,MATCH(O99,'Aub Demand'!A:A,0)),"")</f>
        <v>0</v>
      </c>
      <c r="L99" s="25">
        <f>IFERROR(INDEX('Aub Demand'!R:R,MATCH(O99,'Aub Demand'!A:A,0)),"")</f>
        <v>0</v>
      </c>
      <c r="O99" s="27" t="s">
        <v>251</v>
      </c>
      <c r="P99" s="27" t="str">
        <f>IFERROR(INDEX('Aub Demand'!B:B,MATCH($O99,'Aub Demand'!$A:$A,0)),"")</f>
        <v>HEX</v>
      </c>
      <c r="Q99" s="27" t="str">
        <f>IFERROR(INDEX('Aub Demand'!C:C,MATCH($O99,'Aub Demand'!$A:$A,0)),"")</f>
        <v>SAPPI</v>
      </c>
      <c r="R99" s="52">
        <f>IFERROR(IF(AR100=AR99,INDEX('Aub Demand'!K:K,MATCH($O99,'Aub Demand'!$A:$A,0))-IF(AN99="",0,AN99)+AP100,INDEX('Aub Demand'!K:K,MATCH($O99,'Aub Demand'!$A:$A,0))-IF(AN99="",0,AN99)),"")</f>
        <v>1527</v>
      </c>
      <c r="S99" s="53" t="str">
        <f t="shared" si="28"/>
        <v>n/a</v>
      </c>
      <c r="T99" s="52" t="str">
        <f t="shared" si="29"/>
        <v/>
      </c>
      <c r="U99" s="52">
        <f>IFERROR(IF(AR100=AR99,INDEX('Aub Demand'!Q:Q,MATCH($O99,'Aub Demand'!$A:$A,0))-IF(AN99="",0,AN99)+AP100,INDEX('Aub Demand'!Q:Q,MATCH($O99,'Aub Demand'!$A:$A,0))-IF(AN99="",0,AN99)),"")</f>
        <v>1527</v>
      </c>
      <c r="V99" s="53" t="str">
        <f t="shared" si="30"/>
        <v>n/a</v>
      </c>
      <c r="W99" s="52" t="str">
        <f t="shared" si="31"/>
        <v/>
      </c>
      <c r="X99" s="52">
        <f>IFERROR(IF(AND(AR100=AR99,AM99&lt;&gt;""),INDEX('Aub Demand'!Q:Q,MATCH($O99,'Aub Demand'!$A:$A,0))-IF(AN99="",0,AN99)+AP100+AD99+AL99,IF(AR100=AR99,INDEX('Aub Demand'!Q:Q,MATCH($O99,'Aub Demand'!$A:$A,0))-IF(AN99="",0,AN99)+AP100+AD99,IF(AM99&lt;&gt;"",INDEX('Aub Demand'!Q:Q,MATCH($O99,'Aub Demand'!$A:$A,0))-IF(AN99="",0,AN99)+AD99+AL99,INDEX('Aub Demand'!Q:Q,MATCH($O99,'Aub Demand'!$A:$A,0))-IF(AN99="",0,AN99)+AD99))),"")</f>
        <v>1527</v>
      </c>
      <c r="Y99" s="53" t="str">
        <f t="shared" si="32"/>
        <v>n/a</v>
      </c>
      <c r="Z99" s="52">
        <f>IF(L99="","",INDEX('Aub Demand'!H:H,MATCH($O99,'Aub Demand'!$A:$A,0)))</f>
        <v>0</v>
      </c>
      <c r="AA99" s="52" t="str">
        <f t="shared" si="33"/>
        <v>-spike-</v>
      </c>
      <c r="AB99" s="52">
        <f>IFERROR(INDEX('Aub Demand'!L:L,MATCH($O99,'Aub Demand'!$A:$A,0)),"")</f>
        <v>139</v>
      </c>
      <c r="AC99" s="52">
        <f>IFERROR(IF(O99="","",SUMIFS('CPL Mats'!F:F,'CPL Mats'!Q:Q,AR99,'CPL Mats'!S:S,AS99)),"")</f>
        <v>0</v>
      </c>
      <c r="AF99" s="25" t="str">
        <f>IF(SUMIFS('Supp Consol'!S:S,'Supp Consol'!Y:Y,"Releasable",'Supp Consol'!A:A,O99)=0,"",SUMIFS('Supp Consol'!S:S,'Supp Consol'!Y:Y,"Releasable",'Supp Consol'!A:A,O99))</f>
        <v/>
      </c>
      <c r="AG99" s="25">
        <f>IFERROR(INDEX('Hun Demand'!Q:Q,MATCH(O99,'Hun Demand'!A:A,0)),"")</f>
        <v>1132</v>
      </c>
      <c r="AH99" s="25">
        <f>IFERROR(INDEX('Hun Demand'!H:H,MATCH($O99,'Hun Demand'!$A:$A,0)),"")</f>
        <v>0</v>
      </c>
      <c r="AI99" s="25" t="str">
        <f>IF(SUMIFS('Supp Consol'!AA:AA,'Supp Consol'!Z:Z,"Expires this month",'Supp Consol'!A:A,O99)=0,"",SUMIFS('Supp Consol'!AA:AA,'Supp Consol'!Z:Z,"Expires this month",'Supp Consol'!A:A,O99))</f>
        <v/>
      </c>
      <c r="AJ99" s="25" t="str">
        <f>IF(SUMIFS('Supp Consol'!AA:AA,'Supp Consol'!Z:Z,"Expired Previous Months",'Supp Consol'!A:A,O99)=0,"",SUMIFS('Supp Consol'!AA:AA,'Supp Consol'!Z:Z,"Expired Previous Months",'Supp Consol'!A:A,O99))</f>
        <v/>
      </c>
      <c r="AK99" s="25" t="str">
        <f>IFERROR(INDEX('Hun Release Current'!B:B,MATCH(O99,'Hun Release Current'!A:A,0)),"")</f>
        <v/>
      </c>
      <c r="AL99" s="25" t="str">
        <f>IF(SUMIF('Prev Aub'!A:A,O99,'Prev Aub'!B:B)=0,"",SUMIF('Prev Aub'!A:A,O99,'Prev Aub'!B:B))</f>
        <v/>
      </c>
      <c r="AN99" s="25" t="s">
        <v>3790</v>
      </c>
      <c r="AO99" s="25" t="s">
        <v>3790</v>
      </c>
      <c r="AP99" s="25">
        <f t="shared" si="34"/>
        <v>0</v>
      </c>
      <c r="AQ99" s="151" t="str">
        <f>IF(SUMIFS('Supp Consol'!S:S,'Supp Consol'!A:A,O99,'Supp Consol'!I:I,"PENDING")=0,"",SUMIFS('Supp Consol'!S:S,'Supp Consol'!A:A,O99,'Supp Consol'!I:I,"PENDING"))</f>
        <v/>
      </c>
      <c r="AR99" s="27" t="str">
        <f t="shared" si="35"/>
        <v>00338</v>
      </c>
      <c r="AS99" s="27" t="str">
        <f t="shared" si="36"/>
        <v>62</v>
      </c>
      <c r="AT99" s="27" t="str">
        <f t="shared" si="37"/>
        <v/>
      </c>
      <c r="AU99" s="27" t="str">
        <f t="shared" si="38"/>
        <v/>
      </c>
      <c r="AV99" s="27" t="str">
        <f t="shared" si="39"/>
        <v/>
      </c>
      <c r="AW99" s="27" t="str">
        <f t="shared" si="40"/>
        <v/>
      </c>
      <c r="AX99" s="27" t="str">
        <f t="shared" si="41"/>
        <v/>
      </c>
      <c r="AY99" s="27" t="str">
        <f t="shared" si="42"/>
        <v>00338</v>
      </c>
      <c r="AZ99" s="27" t="str">
        <f t="shared" si="43"/>
        <v/>
      </c>
      <c r="BA99" s="27" t="str">
        <f t="shared" si="44"/>
        <v>Hun</v>
      </c>
      <c r="BB99" s="27" t="str">
        <f t="shared" si="45"/>
        <v/>
      </c>
      <c r="BC99" s="27" t="str">
        <f t="shared" si="46"/>
        <v/>
      </c>
      <c r="BD99" s="27" t="str">
        <f t="shared" si="47"/>
        <v/>
      </c>
      <c r="BE99" s="27" t="str">
        <f t="shared" si="48"/>
        <v/>
      </c>
      <c r="BF99" s="27" t="str">
        <f t="shared" si="49"/>
        <v/>
      </c>
      <c r="BG99" s="27" t="str">
        <f t="shared" si="50"/>
        <v/>
      </c>
      <c r="BH99" s="27" t="str">
        <f t="shared" si="51"/>
        <v/>
      </c>
      <c r="BI99" s="27" t="str">
        <f t="shared" si="52"/>
        <v/>
      </c>
      <c r="BJ99" s="27" t="str">
        <f t="shared" si="53"/>
        <v>Supp or Hun</v>
      </c>
      <c r="BK99" s="27" t="str">
        <f t="shared" si="54"/>
        <v/>
      </c>
      <c r="BL99" s="27" t="str">
        <f t="shared" si="55"/>
        <v/>
      </c>
      <c r="BM99" s="21" t="s">
        <v>5581</v>
      </c>
    </row>
    <row r="100" spans="1:65" ht="15">
      <c r="A100" s="25" t="str">
        <f>IFERROR(INDEX('Hun Demand'!W:W,MATCH(O100,'Hun Demand'!A:A,0)),"")</f>
        <v/>
      </c>
      <c r="B100" s="25" t="str">
        <f>IFERROR(INDEX('Hun Demand'!V:V,MATCH(O100,'Hun Demand'!A:A,0)),"")</f>
        <v/>
      </c>
      <c r="C100" s="25" t="str">
        <f>IFERROR(INDEX('Hun Demand'!U:U,MATCH(O100,'Hun Demand'!A:A,0)),"")</f>
        <v/>
      </c>
      <c r="D100" s="25" t="str">
        <f>IFERROR(INDEX('Hun Demand'!T:T,MATCH(O100,'Hun Demand'!A:A,0)),"")</f>
        <v/>
      </c>
      <c r="E100" s="25" t="str">
        <f>IFERROR(INDEX('Hun Demand'!S:S,MATCH(O100,'Hun Demand'!A:A,0)),"")</f>
        <v/>
      </c>
      <c r="F100" s="25" t="str">
        <f>IFERROR(INDEX('Hun Demand'!R:R,MATCH(O100,'Hun Demand'!A:A,0)),"")</f>
        <v/>
      </c>
      <c r="G100" s="25">
        <f>IFERROR(INDEX('Aub Demand'!W:W,MATCH(O100,'Aub Demand'!A:A,0)),"")</f>
        <v>0</v>
      </c>
      <c r="H100" s="25">
        <f>IFERROR(INDEX('Aub Demand'!V:V,MATCH(O100,'Aub Demand'!A:A,0)),"")</f>
        <v>0</v>
      </c>
      <c r="I100" s="25">
        <f>IFERROR(INDEX('Aub Demand'!U:U,MATCH(O100,'Aub Demand'!A:A,0)),"")</f>
        <v>0</v>
      </c>
      <c r="J100" s="25">
        <f>IFERROR(INDEX('Aub Demand'!T:T,MATCH(O100,'Aub Demand'!A:A,0)),"")</f>
        <v>0</v>
      </c>
      <c r="K100" s="25">
        <f>IFERROR(INDEX('Aub Demand'!S:S,MATCH(O100,'Aub Demand'!A:A,0)),"")</f>
        <v>0</v>
      </c>
      <c r="L100" s="25">
        <f>IFERROR(INDEX('Aub Demand'!R:R,MATCH(O100,'Aub Demand'!A:A,0)),"")</f>
        <v>0</v>
      </c>
      <c r="O100" s="27" t="s">
        <v>252</v>
      </c>
      <c r="P100" s="27" t="str">
        <f>IFERROR(INDEX('Aub Demand'!B:B,MATCH($O100,'Aub Demand'!$A:$A,0)),"")</f>
        <v>IRONWOOD</v>
      </c>
      <c r="Q100" s="27" t="str">
        <f>IFERROR(INDEX('Aub Demand'!C:C,MATCH($O100,'Aub Demand'!$A:$A,0)),"")</f>
        <v>SAPPI</v>
      </c>
      <c r="R100" s="52">
        <f>IFERROR(IF(AR101=AR100,INDEX('Aub Demand'!K:K,MATCH($O100,'Aub Demand'!$A:$A,0))-IF(AN100="",0,AN100)+AP101,INDEX('Aub Demand'!K:K,MATCH($O100,'Aub Demand'!$A:$A,0))-IF(AN100="",0,AN100)),"")</f>
        <v>1252</v>
      </c>
      <c r="S100" s="53" t="str">
        <f t="shared" si="28"/>
        <v>n/a</v>
      </c>
      <c r="T100" s="52" t="str">
        <f t="shared" si="29"/>
        <v/>
      </c>
      <c r="U100" s="52">
        <f>IFERROR(IF(AR101=AR100,INDEX('Aub Demand'!Q:Q,MATCH($O100,'Aub Demand'!$A:$A,0))-IF(AN100="",0,AN100)+AP101,INDEX('Aub Demand'!Q:Q,MATCH($O100,'Aub Demand'!$A:$A,0))-IF(AN100="",0,AN100)),"")</f>
        <v>1252</v>
      </c>
      <c r="V100" s="53" t="str">
        <f t="shared" si="30"/>
        <v>n/a</v>
      </c>
      <c r="W100" s="52" t="str">
        <f t="shared" si="31"/>
        <v/>
      </c>
      <c r="X100" s="52">
        <f>IFERROR(IF(AND(AR101=AR100,AM100&lt;&gt;""),INDEX('Aub Demand'!Q:Q,MATCH($O100,'Aub Demand'!$A:$A,0))-IF(AN100="",0,AN100)+AP101+AD100+AL100,IF(AR101=AR100,INDEX('Aub Demand'!Q:Q,MATCH($O100,'Aub Demand'!$A:$A,0))-IF(AN100="",0,AN100)+AP101+AD100,IF(AM100&lt;&gt;"",INDEX('Aub Demand'!Q:Q,MATCH($O100,'Aub Demand'!$A:$A,0))-IF(AN100="",0,AN100)+AD100+AL100,INDEX('Aub Demand'!Q:Q,MATCH($O100,'Aub Demand'!$A:$A,0))-IF(AN100="",0,AN100)+AD100))),"")</f>
        <v>1252</v>
      </c>
      <c r="Y100" s="53" t="str">
        <f t="shared" si="32"/>
        <v>n/a</v>
      </c>
      <c r="Z100" s="52">
        <f>IF(L100="","",INDEX('Aub Demand'!H:H,MATCH($O100,'Aub Demand'!$A:$A,0)))</f>
        <v>0</v>
      </c>
      <c r="AA100" s="52" t="str">
        <f t="shared" si="33"/>
        <v>-spike-</v>
      </c>
      <c r="AB100" s="52">
        <f>IFERROR(INDEX('Aub Demand'!L:L,MATCH($O100,'Aub Demand'!$A:$A,0)),"")</f>
        <v>77</v>
      </c>
      <c r="AC100" s="52">
        <f>IFERROR(IF(O100="","",SUMIFS('CPL Mats'!F:F,'CPL Mats'!Q:Q,AR100,'CPL Mats'!S:S,AS100)),"")</f>
        <v>0</v>
      </c>
      <c r="AF100" s="25" t="str">
        <f>IF(SUMIFS('Supp Consol'!S:S,'Supp Consol'!Y:Y,"Releasable",'Supp Consol'!A:A,O100)=0,"",SUMIFS('Supp Consol'!S:S,'Supp Consol'!Y:Y,"Releasable",'Supp Consol'!A:A,O100))</f>
        <v/>
      </c>
      <c r="AG100" s="25" t="str">
        <f>IFERROR(INDEX('Hun Demand'!Q:Q,MATCH(O100,'Hun Demand'!A:A,0)),"")</f>
        <v/>
      </c>
      <c r="AH100" s="25" t="str">
        <f>IFERROR(INDEX('Hun Demand'!H:H,MATCH($O100,'Hun Demand'!$A:$A,0)),"")</f>
        <v/>
      </c>
      <c r="AI100" s="25" t="str">
        <f>IF(SUMIFS('Supp Consol'!AA:AA,'Supp Consol'!Z:Z,"Expires this month",'Supp Consol'!A:A,O100)=0,"",SUMIFS('Supp Consol'!AA:AA,'Supp Consol'!Z:Z,"Expires this month",'Supp Consol'!A:A,O100))</f>
        <v/>
      </c>
      <c r="AJ100" s="25" t="str">
        <f>IF(SUMIFS('Supp Consol'!AA:AA,'Supp Consol'!Z:Z,"Expired Previous Months",'Supp Consol'!A:A,O100)=0,"",SUMIFS('Supp Consol'!AA:AA,'Supp Consol'!Z:Z,"Expired Previous Months",'Supp Consol'!A:A,O100))</f>
        <v/>
      </c>
      <c r="AK100" s="25" t="str">
        <f>IFERROR(INDEX('Hun Release Current'!B:B,MATCH(O100,'Hun Release Current'!A:A,0)),"")</f>
        <v/>
      </c>
      <c r="AL100" s="25" t="str">
        <f>IF(SUMIF('Prev Aub'!A:A,O100,'Prev Aub'!B:B)=0,"",SUMIF('Prev Aub'!A:A,O100,'Prev Aub'!B:B))</f>
        <v/>
      </c>
      <c r="AN100" s="25" t="s">
        <v>3790</v>
      </c>
      <c r="AO100" s="25" t="s">
        <v>3790</v>
      </c>
      <c r="AP100" s="25">
        <f t="shared" si="34"/>
        <v>0</v>
      </c>
      <c r="AQ100" s="151" t="str">
        <f>IF(SUMIFS('Supp Consol'!S:S,'Supp Consol'!A:A,O100,'Supp Consol'!I:I,"PENDING")=0,"",SUMIFS('Supp Consol'!S:S,'Supp Consol'!A:A,O100,'Supp Consol'!I:I,"PENDING"))</f>
        <v/>
      </c>
      <c r="AR100" s="27" t="str">
        <f t="shared" si="35"/>
        <v>00339</v>
      </c>
      <c r="AS100" s="27" t="str">
        <f t="shared" si="36"/>
        <v>50</v>
      </c>
      <c r="AT100" s="27" t="str">
        <f t="shared" si="37"/>
        <v/>
      </c>
      <c r="AU100" s="27" t="str">
        <f t="shared" si="38"/>
        <v/>
      </c>
      <c r="AV100" s="27" t="str">
        <f t="shared" si="39"/>
        <v/>
      </c>
      <c r="AW100" s="27" t="str">
        <f t="shared" si="40"/>
        <v/>
      </c>
      <c r="AX100" s="27" t="str">
        <f t="shared" si="41"/>
        <v/>
      </c>
      <c r="AY100" s="27" t="str">
        <f t="shared" si="42"/>
        <v/>
      </c>
      <c r="AZ100" s="27" t="str">
        <f t="shared" si="43"/>
        <v/>
      </c>
      <c r="BA100" s="27" t="str">
        <f t="shared" si="44"/>
        <v>Hun</v>
      </c>
      <c r="BB100" s="27" t="str">
        <f t="shared" si="45"/>
        <v/>
      </c>
      <c r="BC100" s="27" t="str">
        <f t="shared" si="46"/>
        <v/>
      </c>
      <c r="BD100" s="27" t="str">
        <f t="shared" si="47"/>
        <v/>
      </c>
      <c r="BE100" s="27" t="str">
        <f t="shared" si="48"/>
        <v/>
      </c>
      <c r="BF100" s="27" t="str">
        <f t="shared" si="49"/>
        <v/>
      </c>
      <c r="BG100" s="27" t="str">
        <f t="shared" si="50"/>
        <v/>
      </c>
      <c r="BH100" s="27" t="str">
        <f t="shared" si="51"/>
        <v/>
      </c>
      <c r="BI100" s="27" t="str">
        <f t="shared" si="52"/>
        <v/>
      </c>
      <c r="BJ100" s="27" t="str">
        <f t="shared" si="53"/>
        <v>Supp or Hun</v>
      </c>
      <c r="BK100" s="27" t="str">
        <f t="shared" si="54"/>
        <v/>
      </c>
      <c r="BL100" s="27" t="str">
        <f t="shared" si="55"/>
        <v/>
      </c>
      <c r="BM100" s="21" t="s">
        <v>5581</v>
      </c>
    </row>
    <row r="101" spans="1:65" ht="15">
      <c r="A101" s="25">
        <f>IFERROR(INDEX('Hun Demand'!W:W,MATCH(O101,'Hun Demand'!A:A,0)),"")</f>
        <v>0</v>
      </c>
      <c r="B101" s="25">
        <f>IFERROR(INDEX('Hun Demand'!V:V,MATCH(O101,'Hun Demand'!A:A,0)),"")</f>
        <v>0</v>
      </c>
      <c r="C101" s="25">
        <f>IFERROR(INDEX('Hun Demand'!U:U,MATCH(O101,'Hun Demand'!A:A,0)),"")</f>
        <v>75</v>
      </c>
      <c r="D101" s="25">
        <f>IFERROR(INDEX('Hun Demand'!T:T,MATCH(O101,'Hun Demand'!A:A,0)),"")</f>
        <v>0</v>
      </c>
      <c r="E101" s="25">
        <f>IFERROR(INDEX('Hun Demand'!S:S,MATCH(O101,'Hun Demand'!A:A,0)),"")</f>
        <v>0</v>
      </c>
      <c r="F101" s="25">
        <f>IFERROR(INDEX('Hun Demand'!R:R,MATCH(O101,'Hun Demand'!A:A,0)),"")</f>
        <v>0</v>
      </c>
      <c r="G101" s="25">
        <f>IFERROR(INDEX('Aub Demand'!W:W,MATCH(O101,'Aub Demand'!A:A,0)),"")</f>
        <v>0</v>
      </c>
      <c r="H101" s="25">
        <f>IFERROR(INDEX('Aub Demand'!V:V,MATCH(O101,'Aub Demand'!A:A,0)),"")</f>
        <v>0</v>
      </c>
      <c r="I101" s="25">
        <f>IFERROR(INDEX('Aub Demand'!U:U,MATCH(O101,'Aub Demand'!A:A,0)),"")</f>
        <v>0</v>
      </c>
      <c r="J101" s="25">
        <f>IFERROR(INDEX('Aub Demand'!T:T,MATCH(O101,'Aub Demand'!A:A,0)),"")</f>
        <v>0</v>
      </c>
      <c r="K101" s="25">
        <f>IFERROR(INDEX('Aub Demand'!S:S,MATCH(O101,'Aub Demand'!A:A,0)),"")</f>
        <v>0</v>
      </c>
      <c r="L101" s="25">
        <f>IFERROR(INDEX('Aub Demand'!R:R,MATCH(O101,'Aub Demand'!A:A,0)),"")</f>
        <v>0</v>
      </c>
      <c r="O101" s="27" t="s">
        <v>254</v>
      </c>
      <c r="P101" s="27" t="str">
        <f>IFERROR(INDEX('Aub Demand'!B:B,MATCH($O101,'Aub Demand'!$A:$A,0)),"")</f>
        <v>IRONWOOD</v>
      </c>
      <c r="Q101" s="27" t="str">
        <f>IFERROR(INDEX('Aub Demand'!C:C,MATCH($O101,'Aub Demand'!$A:$A,0)),"")</f>
        <v>SAPPI</v>
      </c>
      <c r="R101" s="52">
        <f>IFERROR(IF(AR102=AR101,INDEX('Aub Demand'!K:K,MATCH($O101,'Aub Demand'!$A:$A,0))-IF(AN101="",0,AN101)+AP102,INDEX('Aub Demand'!K:K,MATCH($O101,'Aub Demand'!$A:$A,0))-IF(AN101="",0,AN101)),"")</f>
        <v>2810</v>
      </c>
      <c r="S101" s="53" t="str">
        <f t="shared" si="28"/>
        <v>n/a</v>
      </c>
      <c r="T101" s="52" t="str">
        <f t="shared" si="29"/>
        <v/>
      </c>
      <c r="U101" s="52">
        <f>IFERROR(IF(AR102=AR101,INDEX('Aub Demand'!Q:Q,MATCH($O101,'Aub Demand'!$A:$A,0))-IF(AN101="",0,AN101)+AP102,INDEX('Aub Demand'!Q:Q,MATCH($O101,'Aub Demand'!$A:$A,0))-IF(AN101="",0,AN101)),"")</f>
        <v>2810</v>
      </c>
      <c r="V101" s="53" t="str">
        <f t="shared" si="30"/>
        <v>n/a</v>
      </c>
      <c r="W101" s="52" t="str">
        <f t="shared" si="31"/>
        <v/>
      </c>
      <c r="X101" s="52">
        <f>IFERROR(IF(AND(AR102=AR101,AM101&lt;&gt;""),INDEX('Aub Demand'!Q:Q,MATCH($O101,'Aub Demand'!$A:$A,0))-IF(AN101="",0,AN101)+AP102+AD101+AL101,IF(AR102=AR101,INDEX('Aub Demand'!Q:Q,MATCH($O101,'Aub Demand'!$A:$A,0))-IF(AN101="",0,AN101)+AP102+AD101,IF(AM101&lt;&gt;"",INDEX('Aub Demand'!Q:Q,MATCH($O101,'Aub Demand'!$A:$A,0))-IF(AN101="",0,AN101)+AD101+AL101,INDEX('Aub Demand'!Q:Q,MATCH($O101,'Aub Demand'!$A:$A,0))-IF(AN101="",0,AN101)+AD101))),"")</f>
        <v>2810</v>
      </c>
      <c r="Y101" s="53" t="str">
        <f t="shared" si="32"/>
        <v>n/a</v>
      </c>
      <c r="Z101" s="52">
        <f>IF(L101="","",INDEX('Aub Demand'!H:H,MATCH($O101,'Aub Demand'!$A:$A,0)))</f>
        <v>0</v>
      </c>
      <c r="AA101" s="52" t="str">
        <f t="shared" si="33"/>
        <v>-spike-</v>
      </c>
      <c r="AB101" s="52">
        <f>IFERROR(INDEX('Aub Demand'!L:L,MATCH($O101,'Aub Demand'!$A:$A,0)),"")</f>
        <v>373</v>
      </c>
      <c r="AC101" s="52">
        <f>IFERROR(IF(O101="","",SUMIFS('CPL Mats'!F:F,'CPL Mats'!Q:Q,AR101,'CPL Mats'!S:S,AS101)),"")</f>
        <v>0</v>
      </c>
      <c r="AF101" s="25" t="str">
        <f>IF(SUMIFS('Supp Consol'!S:S,'Supp Consol'!Y:Y,"Releasable",'Supp Consol'!A:A,O101)=0,"",SUMIFS('Supp Consol'!S:S,'Supp Consol'!Y:Y,"Releasable",'Supp Consol'!A:A,O101))</f>
        <v/>
      </c>
      <c r="AG101" s="25">
        <f>IFERROR(INDEX('Hun Demand'!Q:Q,MATCH(O101,'Hun Demand'!A:A,0)),"")</f>
        <v>228</v>
      </c>
      <c r="AH101" s="25">
        <f>IFERROR(INDEX('Hun Demand'!H:H,MATCH($O101,'Hun Demand'!$A:$A,0)),"")</f>
        <v>25</v>
      </c>
      <c r="AI101" s="25" t="str">
        <f>IF(SUMIFS('Supp Consol'!AA:AA,'Supp Consol'!Z:Z,"Expires this month",'Supp Consol'!A:A,O101)=0,"",SUMIFS('Supp Consol'!AA:AA,'Supp Consol'!Z:Z,"Expires this month",'Supp Consol'!A:A,O101))</f>
        <v/>
      </c>
      <c r="AJ101" s="25" t="str">
        <f>IF(SUMIFS('Supp Consol'!AA:AA,'Supp Consol'!Z:Z,"Expired Previous Months",'Supp Consol'!A:A,O101)=0,"",SUMIFS('Supp Consol'!AA:AA,'Supp Consol'!Z:Z,"Expired Previous Months",'Supp Consol'!A:A,O101))</f>
        <v/>
      </c>
      <c r="AK101" s="25" t="str">
        <f>IFERROR(INDEX('Hun Release Current'!B:B,MATCH(O101,'Hun Release Current'!A:A,0)),"")</f>
        <v/>
      </c>
      <c r="AL101" s="25" t="str">
        <f>IF(SUMIF('Prev Aub'!A:A,O101,'Prev Aub'!B:B)=0,"",SUMIF('Prev Aub'!A:A,O101,'Prev Aub'!B:B))</f>
        <v/>
      </c>
      <c r="AN101" s="25" t="s">
        <v>3790</v>
      </c>
      <c r="AO101" s="25" t="s">
        <v>3790</v>
      </c>
      <c r="AP101" s="25">
        <f t="shared" si="34"/>
        <v>0</v>
      </c>
      <c r="AQ101" s="151" t="str">
        <f>IF(SUMIFS('Supp Consol'!S:S,'Supp Consol'!A:A,O101,'Supp Consol'!I:I,"PENDING")=0,"",SUMIFS('Supp Consol'!S:S,'Supp Consol'!A:A,O101,'Supp Consol'!I:I,"PENDING"))</f>
        <v/>
      </c>
      <c r="AR101" s="27" t="str">
        <f t="shared" si="35"/>
        <v>00339</v>
      </c>
      <c r="AS101" s="27" t="str">
        <f t="shared" si="36"/>
        <v>62</v>
      </c>
      <c r="AT101" s="27" t="str">
        <f t="shared" si="37"/>
        <v/>
      </c>
      <c r="AU101" s="27" t="str">
        <f t="shared" si="38"/>
        <v/>
      </c>
      <c r="AV101" s="27" t="str">
        <f t="shared" si="39"/>
        <v/>
      </c>
      <c r="AW101" s="27" t="str">
        <f t="shared" si="40"/>
        <v/>
      </c>
      <c r="AX101" s="27" t="str">
        <f t="shared" si="41"/>
        <v/>
      </c>
      <c r="AY101" s="27" t="str">
        <f t="shared" si="42"/>
        <v>00339</v>
      </c>
      <c r="AZ101" s="27" t="str">
        <f t="shared" si="43"/>
        <v/>
      </c>
      <c r="BA101" s="27" t="str">
        <f t="shared" si="44"/>
        <v>Hun</v>
      </c>
      <c r="BB101" s="27" t="str">
        <f t="shared" si="45"/>
        <v/>
      </c>
      <c r="BC101" s="27" t="str">
        <f t="shared" si="46"/>
        <v/>
      </c>
      <c r="BD101" s="27" t="str">
        <f t="shared" si="47"/>
        <v/>
      </c>
      <c r="BE101" s="27" t="str">
        <f t="shared" si="48"/>
        <v/>
      </c>
      <c r="BF101" s="27" t="str">
        <f t="shared" si="49"/>
        <v/>
      </c>
      <c r="BG101" s="27" t="str">
        <f t="shared" si="50"/>
        <v/>
      </c>
      <c r="BH101" s="27" t="str">
        <f t="shared" si="51"/>
        <v/>
      </c>
      <c r="BI101" s="27" t="str">
        <f t="shared" si="52"/>
        <v/>
      </c>
      <c r="BJ101" s="27" t="str">
        <f t="shared" si="53"/>
        <v>Supp or Hun</v>
      </c>
      <c r="BK101" s="27" t="str">
        <f t="shared" si="54"/>
        <v/>
      </c>
      <c r="BL101" s="27" t="str">
        <f t="shared" si="55"/>
        <v/>
      </c>
      <c r="BM101" s="21" t="s">
        <v>5581</v>
      </c>
    </row>
    <row r="102" spans="1:65" ht="15">
      <c r="A102" s="25" t="str">
        <f>IFERROR(INDEX('Hun Demand'!W:W,MATCH(O102,'Hun Demand'!A:A,0)),"")</f>
        <v/>
      </c>
      <c r="B102" s="25" t="str">
        <f>IFERROR(INDEX('Hun Demand'!V:V,MATCH(O102,'Hun Demand'!A:A,0)),"")</f>
        <v/>
      </c>
      <c r="C102" s="25" t="str">
        <f>IFERROR(INDEX('Hun Demand'!U:U,MATCH(O102,'Hun Demand'!A:A,0)),"")</f>
        <v/>
      </c>
      <c r="D102" s="25" t="str">
        <f>IFERROR(INDEX('Hun Demand'!T:T,MATCH(O102,'Hun Demand'!A:A,0)),"")</f>
        <v/>
      </c>
      <c r="E102" s="25" t="str">
        <f>IFERROR(INDEX('Hun Demand'!S:S,MATCH(O102,'Hun Demand'!A:A,0)),"")</f>
        <v/>
      </c>
      <c r="F102" s="25" t="str">
        <f>IFERROR(INDEX('Hun Demand'!R:R,MATCH(O102,'Hun Demand'!A:A,0)),"")</f>
        <v/>
      </c>
      <c r="G102" s="25">
        <f>IFERROR(INDEX('Aub Demand'!W:W,MATCH(O102,'Aub Demand'!A:A,0)),"")</f>
        <v>0</v>
      </c>
      <c r="H102" s="25">
        <f>IFERROR(INDEX('Aub Demand'!V:V,MATCH(O102,'Aub Demand'!A:A,0)),"")</f>
        <v>0</v>
      </c>
      <c r="I102" s="25">
        <f>IFERROR(INDEX('Aub Demand'!U:U,MATCH(O102,'Aub Demand'!A:A,0)),"")</f>
        <v>0</v>
      </c>
      <c r="J102" s="25">
        <f>IFERROR(INDEX('Aub Demand'!T:T,MATCH(O102,'Aub Demand'!A:A,0)),"")</f>
        <v>0</v>
      </c>
      <c r="K102" s="25">
        <f>IFERROR(INDEX('Aub Demand'!S:S,MATCH(O102,'Aub Demand'!A:A,0)),"")</f>
        <v>0</v>
      </c>
      <c r="L102" s="25">
        <f>IFERROR(INDEX('Aub Demand'!R:R,MATCH(O102,'Aub Demand'!A:A,0)),"")</f>
        <v>0</v>
      </c>
      <c r="O102" s="27" t="s">
        <v>257</v>
      </c>
      <c r="P102" s="27" t="str">
        <f>IFERROR(INDEX('Aub Demand'!B:B,MATCH($O102,'Aub Demand'!$A:$A,0)),"")</f>
        <v>TROSIFOL THIN FILM L</v>
      </c>
      <c r="Q102" s="27">
        <f>IFERROR(INDEX('Aub Demand'!C:C,MATCH($O102,'Aub Demand'!$A:$A,0)),"")</f>
        <v>0</v>
      </c>
      <c r="R102" s="52">
        <f>IFERROR(IF(AR103=AR102,INDEX('Aub Demand'!K:K,MATCH($O102,'Aub Demand'!$A:$A,0))-IF(AN102="",0,AN102)+AP103,INDEX('Aub Demand'!K:K,MATCH($O102,'Aub Demand'!$A:$A,0))-IF(AN102="",0,AN102)),"")</f>
        <v>45</v>
      </c>
      <c r="S102" s="53" t="str">
        <f t="shared" si="28"/>
        <v>n/a</v>
      </c>
      <c r="T102" s="52" t="str">
        <f t="shared" si="29"/>
        <v/>
      </c>
      <c r="U102" s="52">
        <f>IFERROR(IF(AR103=AR102,INDEX('Aub Demand'!Q:Q,MATCH($O102,'Aub Demand'!$A:$A,0))-IF(AN102="",0,AN102)+AP103,INDEX('Aub Demand'!Q:Q,MATCH($O102,'Aub Demand'!$A:$A,0))-IF(AN102="",0,AN102)),"")</f>
        <v>45</v>
      </c>
      <c r="V102" s="53" t="str">
        <f t="shared" si="30"/>
        <v>n/a</v>
      </c>
      <c r="W102" s="52" t="str">
        <f t="shared" si="31"/>
        <v/>
      </c>
      <c r="X102" s="52">
        <f>IFERROR(IF(AND(AR103=AR102,AM102&lt;&gt;""),INDEX('Aub Demand'!Q:Q,MATCH($O102,'Aub Demand'!$A:$A,0))-IF(AN102="",0,AN102)+AP103+AD102+AL102,IF(AR103=AR102,INDEX('Aub Demand'!Q:Q,MATCH($O102,'Aub Demand'!$A:$A,0))-IF(AN102="",0,AN102)+AP103+AD102,IF(AM102&lt;&gt;"",INDEX('Aub Demand'!Q:Q,MATCH($O102,'Aub Demand'!$A:$A,0))-IF(AN102="",0,AN102)+AD102+AL102,INDEX('Aub Demand'!Q:Q,MATCH($O102,'Aub Demand'!$A:$A,0))-IF(AN102="",0,AN102)+AD102))),"")</f>
        <v>45</v>
      </c>
      <c r="Y102" s="53" t="str">
        <f t="shared" si="32"/>
        <v>n/a</v>
      </c>
      <c r="Z102" s="52">
        <f>IF(L102="","",INDEX('Aub Demand'!H:H,MATCH($O102,'Aub Demand'!$A:$A,0)))</f>
        <v>0</v>
      </c>
      <c r="AA102" s="52" t="str">
        <f t="shared" si="33"/>
        <v>-spike-</v>
      </c>
      <c r="AB102" s="52">
        <f>IFERROR(INDEX('Aub Demand'!L:L,MATCH($O102,'Aub Demand'!$A:$A,0)),"")</f>
        <v>26</v>
      </c>
      <c r="AC102" s="52">
        <f>IFERROR(IF(O102="","",SUMIFS('CPL Mats'!F:F,'CPL Mats'!Q:Q,AR102,'CPL Mats'!S:S,AS102)),"")</f>
        <v>0</v>
      </c>
      <c r="AF102" s="25" t="str">
        <f>IF(SUMIFS('Supp Consol'!S:S,'Supp Consol'!Y:Y,"Releasable",'Supp Consol'!A:A,O102)=0,"",SUMIFS('Supp Consol'!S:S,'Supp Consol'!Y:Y,"Releasable",'Supp Consol'!A:A,O102))</f>
        <v/>
      </c>
      <c r="AG102" s="25" t="str">
        <f>IFERROR(INDEX('Hun Demand'!Q:Q,MATCH(O102,'Hun Demand'!A:A,0)),"")</f>
        <v/>
      </c>
      <c r="AH102" s="25" t="str">
        <f>IFERROR(INDEX('Hun Demand'!H:H,MATCH($O102,'Hun Demand'!$A:$A,0)),"")</f>
        <v/>
      </c>
      <c r="AI102" s="25" t="str">
        <f>IF(SUMIFS('Supp Consol'!AA:AA,'Supp Consol'!Z:Z,"Expires this month",'Supp Consol'!A:A,O102)=0,"",SUMIFS('Supp Consol'!AA:AA,'Supp Consol'!Z:Z,"Expires this month",'Supp Consol'!A:A,O102))</f>
        <v/>
      </c>
      <c r="AJ102" s="25" t="str">
        <f>IF(SUMIFS('Supp Consol'!AA:AA,'Supp Consol'!Z:Z,"Expired Previous Months",'Supp Consol'!A:A,O102)=0,"",SUMIFS('Supp Consol'!AA:AA,'Supp Consol'!Z:Z,"Expired Previous Months",'Supp Consol'!A:A,O102))</f>
        <v/>
      </c>
      <c r="AK102" s="25" t="str">
        <f>IFERROR(INDEX('Hun Release Current'!B:B,MATCH(O102,'Hun Release Current'!A:A,0)),"")</f>
        <v/>
      </c>
      <c r="AL102" s="25" t="str">
        <f>IF(SUMIF('Prev Aub'!A:A,O102,'Prev Aub'!B:B)=0,"",SUMIF('Prev Aub'!A:A,O102,'Prev Aub'!B:B))</f>
        <v/>
      </c>
      <c r="AN102" s="25" t="s">
        <v>3790</v>
      </c>
      <c r="AO102" s="25" t="s">
        <v>3790</v>
      </c>
      <c r="AP102" s="25">
        <f t="shared" si="34"/>
        <v>0</v>
      </c>
      <c r="AQ102" s="151" t="str">
        <f>IF(SUMIFS('Supp Consol'!S:S,'Supp Consol'!A:A,O102,'Supp Consol'!I:I,"PENDING")=0,"",SUMIFS('Supp Consol'!S:S,'Supp Consol'!A:A,O102,'Supp Consol'!I:I,"PENDING"))</f>
        <v/>
      </c>
      <c r="AR102" s="27" t="str">
        <f t="shared" si="35"/>
        <v>00406</v>
      </c>
      <c r="AS102" s="27" t="str">
        <f t="shared" si="36"/>
        <v>31</v>
      </c>
      <c r="AT102" s="27" t="str">
        <f t="shared" si="37"/>
        <v/>
      </c>
      <c r="AU102" s="27" t="str">
        <f t="shared" si="38"/>
        <v/>
      </c>
      <c r="AV102" s="27" t="str">
        <f t="shared" si="39"/>
        <v/>
      </c>
      <c r="AW102" s="27" t="str">
        <f t="shared" si="40"/>
        <v/>
      </c>
      <c r="AX102" s="27" t="str">
        <f t="shared" si="41"/>
        <v/>
      </c>
      <c r="AY102" s="27" t="str">
        <f t="shared" si="42"/>
        <v/>
      </c>
      <c r="AZ102" s="27" t="str">
        <f t="shared" si="43"/>
        <v/>
      </c>
      <c r="BA102" s="27" t="str">
        <f t="shared" si="44"/>
        <v/>
      </c>
      <c r="BB102" s="27" t="str">
        <f t="shared" si="45"/>
        <v/>
      </c>
      <c r="BC102" s="27" t="str">
        <f t="shared" si="46"/>
        <v/>
      </c>
      <c r="BD102" s="27" t="str">
        <f t="shared" si="47"/>
        <v/>
      </c>
      <c r="BE102" s="27" t="str">
        <f t="shared" si="48"/>
        <v/>
      </c>
      <c r="BF102" s="27" t="str">
        <f t="shared" si="49"/>
        <v/>
      </c>
      <c r="BG102" s="27" t="str">
        <f t="shared" si="50"/>
        <v/>
      </c>
      <c r="BH102" s="27" t="str">
        <f t="shared" si="51"/>
        <v/>
      </c>
      <c r="BI102" s="27" t="str">
        <f t="shared" si="52"/>
        <v/>
      </c>
      <c r="BJ102" s="27" t="str">
        <f t="shared" si="53"/>
        <v/>
      </c>
      <c r="BK102" s="27" t="str">
        <f t="shared" si="54"/>
        <v/>
      </c>
      <c r="BL102" s="27" t="str">
        <f t="shared" si="55"/>
        <v/>
      </c>
      <c r="BM102" s="21" t="s">
        <v>3790</v>
      </c>
    </row>
    <row r="103" spans="1:65" ht="15">
      <c r="A103" s="25" t="str">
        <f>IFERROR(INDEX('Hun Demand'!W:W,MATCH(O103,'Hun Demand'!A:A,0)),"")</f>
        <v/>
      </c>
      <c r="B103" s="25" t="str">
        <f>IFERROR(INDEX('Hun Demand'!V:V,MATCH(O103,'Hun Demand'!A:A,0)),"")</f>
        <v/>
      </c>
      <c r="C103" s="25" t="str">
        <f>IFERROR(INDEX('Hun Demand'!U:U,MATCH(O103,'Hun Demand'!A:A,0)),"")</f>
        <v/>
      </c>
      <c r="D103" s="25" t="str">
        <f>IFERROR(INDEX('Hun Demand'!T:T,MATCH(O103,'Hun Demand'!A:A,0)),"")</f>
        <v/>
      </c>
      <c r="E103" s="25" t="str">
        <f>IFERROR(INDEX('Hun Demand'!S:S,MATCH(O103,'Hun Demand'!A:A,0)),"")</f>
        <v/>
      </c>
      <c r="F103" s="25" t="str">
        <f>IFERROR(INDEX('Hun Demand'!R:R,MATCH(O103,'Hun Demand'!A:A,0)),"")</f>
        <v/>
      </c>
      <c r="G103" s="25">
        <f>IFERROR(INDEX('Aub Demand'!W:W,MATCH(O103,'Aub Demand'!A:A,0)),"")</f>
        <v>0</v>
      </c>
      <c r="H103" s="25">
        <f>IFERROR(INDEX('Aub Demand'!V:V,MATCH(O103,'Aub Demand'!A:A,0)),"")</f>
        <v>0</v>
      </c>
      <c r="I103" s="25">
        <f>IFERROR(INDEX('Aub Demand'!U:U,MATCH(O103,'Aub Demand'!A:A,0)),"")</f>
        <v>0</v>
      </c>
      <c r="J103" s="25">
        <f>IFERROR(INDEX('Aub Demand'!T:T,MATCH(O103,'Aub Demand'!A:A,0)),"")</f>
        <v>0</v>
      </c>
      <c r="K103" s="25">
        <f>IFERROR(INDEX('Aub Demand'!S:S,MATCH(O103,'Aub Demand'!A:A,0)),"")</f>
        <v>0</v>
      </c>
      <c r="L103" s="25">
        <f>IFERROR(INDEX('Aub Demand'!R:R,MATCH(O103,'Aub Demand'!A:A,0)),"")</f>
        <v>0</v>
      </c>
      <c r="O103" s="27" t="s">
        <v>259</v>
      </c>
      <c r="P103" s="27" t="str">
        <f>IFERROR(INDEX('Aub Demand'!B:B,MATCH($O103,'Aub Demand'!$A:$A,0)),"")</f>
        <v>TROSIFOL THIN FILM L</v>
      </c>
      <c r="Q103" s="27">
        <f>IFERROR(INDEX('Aub Demand'!C:C,MATCH($O103,'Aub Demand'!$A:$A,0)),"")</f>
        <v>0</v>
      </c>
      <c r="R103" s="52">
        <f>IFERROR(IF(AR104=AR103,INDEX('Aub Demand'!K:K,MATCH($O103,'Aub Demand'!$A:$A,0))-IF(AN103="",0,AN103)+AP104,INDEX('Aub Demand'!K:K,MATCH($O103,'Aub Demand'!$A:$A,0))-IF(AN103="",0,AN103)),"")</f>
        <v>732</v>
      </c>
      <c r="S103" s="53" t="str">
        <f t="shared" si="28"/>
        <v>n/a</v>
      </c>
      <c r="T103" s="52" t="str">
        <f t="shared" si="29"/>
        <v/>
      </c>
      <c r="U103" s="52">
        <f>IFERROR(IF(AR104=AR103,INDEX('Aub Demand'!Q:Q,MATCH($O103,'Aub Demand'!$A:$A,0))-IF(AN103="",0,AN103)+AP104,INDEX('Aub Demand'!Q:Q,MATCH($O103,'Aub Demand'!$A:$A,0))-IF(AN103="",0,AN103)),"")</f>
        <v>732</v>
      </c>
      <c r="V103" s="53" t="str">
        <f t="shared" si="30"/>
        <v>n/a</v>
      </c>
      <c r="W103" s="52" t="str">
        <f t="shared" si="31"/>
        <v/>
      </c>
      <c r="X103" s="52">
        <f>IFERROR(IF(AND(AR104=AR103,AM103&lt;&gt;""),INDEX('Aub Demand'!Q:Q,MATCH($O103,'Aub Demand'!$A:$A,0))-IF(AN103="",0,AN103)+AP104+AD103+AL103,IF(AR104=AR103,INDEX('Aub Demand'!Q:Q,MATCH($O103,'Aub Demand'!$A:$A,0))-IF(AN103="",0,AN103)+AP104+AD103,IF(AM103&lt;&gt;"",INDEX('Aub Demand'!Q:Q,MATCH($O103,'Aub Demand'!$A:$A,0))-IF(AN103="",0,AN103)+AD103+AL103,INDEX('Aub Demand'!Q:Q,MATCH($O103,'Aub Demand'!$A:$A,0))-IF(AN103="",0,AN103)+AD103))),"")</f>
        <v>732</v>
      </c>
      <c r="Y103" s="53" t="str">
        <f t="shared" si="32"/>
        <v>n/a</v>
      </c>
      <c r="Z103" s="52">
        <f>IF(L103="","",INDEX('Aub Demand'!H:H,MATCH($O103,'Aub Demand'!$A:$A,0)))</f>
        <v>0</v>
      </c>
      <c r="AA103" s="52" t="str">
        <f t="shared" si="33"/>
        <v>-spike-</v>
      </c>
      <c r="AB103" s="52">
        <f>IFERROR(INDEX('Aub Demand'!L:L,MATCH($O103,'Aub Demand'!$A:$A,0)),"")</f>
        <v>0</v>
      </c>
      <c r="AC103" s="52">
        <f>IFERROR(IF(O103="","",SUMIFS('CPL Mats'!F:F,'CPL Mats'!Q:Q,AR103,'CPL Mats'!S:S,AS103)),"")</f>
        <v>0</v>
      </c>
      <c r="AF103" s="25" t="str">
        <f>IF(SUMIFS('Supp Consol'!S:S,'Supp Consol'!Y:Y,"Releasable",'Supp Consol'!A:A,O103)=0,"",SUMIFS('Supp Consol'!S:S,'Supp Consol'!Y:Y,"Releasable",'Supp Consol'!A:A,O103))</f>
        <v/>
      </c>
      <c r="AG103" s="25" t="str">
        <f>IFERROR(INDEX('Hun Demand'!Q:Q,MATCH(O103,'Hun Demand'!A:A,0)),"")</f>
        <v/>
      </c>
      <c r="AH103" s="25" t="str">
        <f>IFERROR(INDEX('Hun Demand'!H:H,MATCH($O103,'Hun Demand'!$A:$A,0)),"")</f>
        <v/>
      </c>
      <c r="AI103" s="25" t="str">
        <f>IF(SUMIFS('Supp Consol'!AA:AA,'Supp Consol'!Z:Z,"Expires this month",'Supp Consol'!A:A,O103)=0,"",SUMIFS('Supp Consol'!AA:AA,'Supp Consol'!Z:Z,"Expires this month",'Supp Consol'!A:A,O103))</f>
        <v/>
      </c>
      <c r="AJ103" s="25" t="str">
        <f>IF(SUMIFS('Supp Consol'!AA:AA,'Supp Consol'!Z:Z,"Expired Previous Months",'Supp Consol'!A:A,O103)=0,"",SUMIFS('Supp Consol'!AA:AA,'Supp Consol'!Z:Z,"Expired Previous Months",'Supp Consol'!A:A,O103))</f>
        <v/>
      </c>
      <c r="AK103" s="25" t="str">
        <f>IFERROR(INDEX('Hun Release Current'!B:B,MATCH(O103,'Hun Release Current'!A:A,0)),"")</f>
        <v/>
      </c>
      <c r="AL103" s="25" t="str">
        <f>IF(SUMIF('Prev Aub'!A:A,O103,'Prev Aub'!B:B)=0,"",SUMIF('Prev Aub'!A:A,O103,'Prev Aub'!B:B))</f>
        <v/>
      </c>
      <c r="AN103" s="25" t="s">
        <v>3790</v>
      </c>
      <c r="AO103" s="25" t="s">
        <v>3790</v>
      </c>
      <c r="AP103" s="25">
        <f t="shared" si="34"/>
        <v>0</v>
      </c>
      <c r="AQ103" s="151" t="str">
        <f>IF(SUMIFS('Supp Consol'!S:S,'Supp Consol'!A:A,O103,'Supp Consol'!I:I,"PENDING")=0,"",SUMIFS('Supp Consol'!S:S,'Supp Consol'!A:A,O103,'Supp Consol'!I:I,"PENDING"))</f>
        <v/>
      </c>
      <c r="AR103" s="27" t="str">
        <f t="shared" si="35"/>
        <v>00406</v>
      </c>
      <c r="AS103" s="27" t="str">
        <f t="shared" si="36"/>
        <v>37</v>
      </c>
      <c r="AT103" s="27" t="str">
        <f t="shared" si="37"/>
        <v/>
      </c>
      <c r="AU103" s="27" t="str">
        <f t="shared" si="38"/>
        <v/>
      </c>
      <c r="AV103" s="27" t="str">
        <f t="shared" si="39"/>
        <v/>
      </c>
      <c r="AW103" s="27" t="str">
        <f t="shared" si="40"/>
        <v/>
      </c>
      <c r="AX103" s="27" t="str">
        <f t="shared" si="41"/>
        <v/>
      </c>
      <c r="AY103" s="27" t="str">
        <f t="shared" si="42"/>
        <v/>
      </c>
      <c r="AZ103" s="27" t="str">
        <f t="shared" si="43"/>
        <v/>
      </c>
      <c r="BA103" s="27" t="str">
        <f t="shared" si="44"/>
        <v/>
      </c>
      <c r="BB103" s="27" t="str">
        <f t="shared" si="45"/>
        <v/>
      </c>
      <c r="BC103" s="27" t="str">
        <f t="shared" si="46"/>
        <v/>
      </c>
      <c r="BD103" s="27" t="str">
        <f t="shared" si="47"/>
        <v/>
      </c>
      <c r="BE103" s="27" t="str">
        <f t="shared" si="48"/>
        <v/>
      </c>
      <c r="BF103" s="27" t="str">
        <f t="shared" si="49"/>
        <v/>
      </c>
      <c r="BG103" s="27" t="str">
        <f t="shared" si="50"/>
        <v/>
      </c>
      <c r="BH103" s="27" t="str">
        <f t="shared" si="51"/>
        <v/>
      </c>
      <c r="BI103" s="27" t="str">
        <f t="shared" si="52"/>
        <v/>
      </c>
      <c r="BJ103" s="27" t="str">
        <f t="shared" si="53"/>
        <v/>
      </c>
      <c r="BK103" s="27" t="str">
        <f t="shared" si="54"/>
        <v/>
      </c>
      <c r="BL103" s="27" t="str">
        <f t="shared" si="55"/>
        <v/>
      </c>
      <c r="BM103" s="21" t="s">
        <v>3790</v>
      </c>
    </row>
    <row r="104" spans="1:65" ht="15">
      <c r="A104" s="25" t="str">
        <f>IFERROR(INDEX('Hun Demand'!W:W,MATCH(O104,'Hun Demand'!A:A,0)),"")</f>
        <v/>
      </c>
      <c r="B104" s="25" t="str">
        <f>IFERROR(INDEX('Hun Demand'!V:V,MATCH(O104,'Hun Demand'!A:A,0)),"")</f>
        <v/>
      </c>
      <c r="C104" s="25" t="str">
        <f>IFERROR(INDEX('Hun Demand'!U:U,MATCH(O104,'Hun Demand'!A:A,0)),"")</f>
        <v/>
      </c>
      <c r="D104" s="25" t="str">
        <f>IFERROR(INDEX('Hun Demand'!T:T,MATCH(O104,'Hun Demand'!A:A,0)),"")</f>
        <v/>
      </c>
      <c r="E104" s="25" t="str">
        <f>IFERROR(INDEX('Hun Demand'!S:S,MATCH(O104,'Hun Demand'!A:A,0)),"")</f>
        <v/>
      </c>
      <c r="F104" s="25" t="str">
        <f>IFERROR(INDEX('Hun Demand'!R:R,MATCH(O104,'Hun Demand'!A:A,0)),"")</f>
        <v/>
      </c>
      <c r="G104" s="25">
        <f>IFERROR(INDEX('Aub Demand'!W:W,MATCH(O104,'Aub Demand'!A:A,0)),"")</f>
        <v>0</v>
      </c>
      <c r="H104" s="25">
        <f>IFERROR(INDEX('Aub Demand'!V:V,MATCH(O104,'Aub Demand'!A:A,0)),"")</f>
        <v>0</v>
      </c>
      <c r="I104" s="25">
        <f>IFERROR(INDEX('Aub Demand'!U:U,MATCH(O104,'Aub Demand'!A:A,0)),"")</f>
        <v>0</v>
      </c>
      <c r="J104" s="25">
        <f>IFERROR(INDEX('Aub Demand'!T:T,MATCH(O104,'Aub Demand'!A:A,0)),"")</f>
        <v>13</v>
      </c>
      <c r="K104" s="25">
        <f>IFERROR(INDEX('Aub Demand'!S:S,MATCH(O104,'Aub Demand'!A:A,0)),"")</f>
        <v>0</v>
      </c>
      <c r="L104" s="25">
        <f>IFERROR(INDEX('Aub Demand'!R:R,MATCH(O104,'Aub Demand'!A:A,0)),"")</f>
        <v>0</v>
      </c>
      <c r="O104" s="27" t="s">
        <v>260</v>
      </c>
      <c r="P104" s="27" t="str">
        <f>IFERROR(INDEX('Aub Demand'!B:B,MATCH($O104,'Aub Demand'!$A:$A,0)),"")</f>
        <v>TROSIFOL THIN FILMLP</v>
      </c>
      <c r="Q104" s="27">
        <f>IFERROR(INDEX('Aub Demand'!C:C,MATCH($O104,'Aub Demand'!$A:$A,0)),"")</f>
        <v>0</v>
      </c>
      <c r="R104" s="52">
        <f>IFERROR(IF(AR105=AR104,INDEX('Aub Demand'!K:K,MATCH($O104,'Aub Demand'!$A:$A,0))-IF(AN104="",0,AN104)+AP105,INDEX('Aub Demand'!K:K,MATCH($O104,'Aub Demand'!$A:$A,0))-IF(AN104="",0,AN104)),"")</f>
        <v>80</v>
      </c>
      <c r="S104" s="53">
        <f t="shared" si="28"/>
        <v>85.7</v>
      </c>
      <c r="T104" s="52" t="str">
        <f t="shared" si="29"/>
        <v/>
      </c>
      <c r="U104" s="52">
        <f>IFERROR(IF(AR105=AR104,INDEX('Aub Demand'!Q:Q,MATCH($O104,'Aub Demand'!$A:$A,0))-IF(AN104="",0,AN104)+AP105,INDEX('Aub Demand'!Q:Q,MATCH($O104,'Aub Demand'!$A:$A,0))-IF(AN104="",0,AN104)),"")</f>
        <v>80</v>
      </c>
      <c r="V104" s="53">
        <f t="shared" si="30"/>
        <v>85.7</v>
      </c>
      <c r="W104" s="52" t="str">
        <f t="shared" si="31"/>
        <v/>
      </c>
      <c r="X104" s="52">
        <f>IFERROR(IF(AND(AR105=AR104,AM104&lt;&gt;""),INDEX('Aub Demand'!Q:Q,MATCH($O104,'Aub Demand'!$A:$A,0))-IF(AN104="",0,AN104)+AP105+AD104+AL104,IF(AR105=AR104,INDEX('Aub Demand'!Q:Q,MATCH($O104,'Aub Demand'!$A:$A,0))-IF(AN104="",0,AN104)+AP105+AD104,IF(AM104&lt;&gt;"",INDEX('Aub Demand'!Q:Q,MATCH($O104,'Aub Demand'!$A:$A,0))-IF(AN104="",0,AN104)+AD104+AL104,INDEX('Aub Demand'!Q:Q,MATCH($O104,'Aub Demand'!$A:$A,0))-IF(AN104="",0,AN104)+AD104))),"")</f>
        <v>80</v>
      </c>
      <c r="Y104" s="53">
        <f t="shared" si="32"/>
        <v>85.7</v>
      </c>
      <c r="Z104" s="52">
        <f>IF(L104="","",INDEX('Aub Demand'!H:H,MATCH($O104,'Aub Demand'!$A:$A,0)))</f>
        <v>4</v>
      </c>
      <c r="AA104" s="52" t="str">
        <f t="shared" si="33"/>
        <v>-spike-</v>
      </c>
      <c r="AB104" s="52">
        <f>IFERROR(INDEX('Aub Demand'!L:L,MATCH($O104,'Aub Demand'!$A:$A,0)),"")</f>
        <v>123</v>
      </c>
      <c r="AC104" s="52">
        <f>IFERROR(IF(O104="","",SUMIFS('CPL Mats'!F:F,'CPL Mats'!Q:Q,AR104,'CPL Mats'!S:S,AS104)),"")</f>
        <v>0</v>
      </c>
      <c r="AF104" s="25" t="str">
        <f>IF(SUMIFS('Supp Consol'!S:S,'Supp Consol'!Y:Y,"Releasable",'Supp Consol'!A:A,O104)=0,"",SUMIFS('Supp Consol'!S:S,'Supp Consol'!Y:Y,"Releasable",'Supp Consol'!A:A,O104))</f>
        <v/>
      </c>
      <c r="AG104" s="25" t="str">
        <f>IFERROR(INDEX('Hun Demand'!Q:Q,MATCH(O104,'Hun Demand'!A:A,0)),"")</f>
        <v/>
      </c>
      <c r="AH104" s="25" t="str">
        <f>IFERROR(INDEX('Hun Demand'!H:H,MATCH($O104,'Hun Demand'!$A:$A,0)),"")</f>
        <v/>
      </c>
      <c r="AI104" s="25" t="str">
        <f>IF(SUMIFS('Supp Consol'!AA:AA,'Supp Consol'!Z:Z,"Expires this month",'Supp Consol'!A:A,O104)=0,"",SUMIFS('Supp Consol'!AA:AA,'Supp Consol'!Z:Z,"Expires this month",'Supp Consol'!A:A,O104))</f>
        <v/>
      </c>
      <c r="AJ104" s="25" t="str">
        <f>IF(SUMIFS('Supp Consol'!AA:AA,'Supp Consol'!Z:Z,"Expired Previous Months",'Supp Consol'!A:A,O104)=0,"",SUMIFS('Supp Consol'!AA:AA,'Supp Consol'!Z:Z,"Expired Previous Months",'Supp Consol'!A:A,O104))</f>
        <v/>
      </c>
      <c r="AK104" s="25" t="str">
        <f>IFERROR(INDEX('Hun Release Current'!B:B,MATCH(O104,'Hun Release Current'!A:A,0)),"")</f>
        <v/>
      </c>
      <c r="AL104" s="25" t="str">
        <f>IF(SUMIF('Prev Aub'!A:A,O104,'Prev Aub'!B:B)=0,"",SUMIF('Prev Aub'!A:A,O104,'Prev Aub'!B:B))</f>
        <v/>
      </c>
      <c r="AN104" s="25" t="s">
        <v>3790</v>
      </c>
      <c r="AO104" s="25" t="s">
        <v>3790</v>
      </c>
      <c r="AP104" s="25">
        <f t="shared" si="34"/>
        <v>0</v>
      </c>
      <c r="AQ104" s="151" t="str">
        <f>IF(SUMIFS('Supp Consol'!S:S,'Supp Consol'!A:A,O104,'Supp Consol'!I:I,"PENDING")=0,"",SUMIFS('Supp Consol'!S:S,'Supp Consol'!A:A,O104,'Supp Consol'!I:I,"PENDING"))</f>
        <v/>
      </c>
      <c r="AR104" s="27" t="str">
        <f t="shared" si="35"/>
        <v>00406</v>
      </c>
      <c r="AS104" s="27" t="str">
        <f t="shared" si="36"/>
        <v>50</v>
      </c>
      <c r="AT104" s="27" t="str">
        <f t="shared" si="37"/>
        <v/>
      </c>
      <c r="AU104" s="27" t="str">
        <f t="shared" si="38"/>
        <v/>
      </c>
      <c r="AV104" s="27" t="str">
        <f t="shared" si="39"/>
        <v/>
      </c>
      <c r="AW104" s="27" t="str">
        <f t="shared" si="40"/>
        <v/>
      </c>
      <c r="AX104" s="27" t="str">
        <f t="shared" si="41"/>
        <v/>
      </c>
      <c r="AY104" s="27" t="str">
        <f t="shared" si="42"/>
        <v/>
      </c>
      <c r="AZ104" s="27" t="str">
        <f t="shared" si="43"/>
        <v/>
      </c>
      <c r="BA104" s="27" t="str">
        <f t="shared" si="44"/>
        <v/>
      </c>
      <c r="BB104" s="27" t="str">
        <f t="shared" si="45"/>
        <v/>
      </c>
      <c r="BC104" s="27" t="str">
        <f t="shared" si="46"/>
        <v/>
      </c>
      <c r="BD104" s="27" t="str">
        <f t="shared" si="47"/>
        <v/>
      </c>
      <c r="BE104" s="27" t="str">
        <f t="shared" si="48"/>
        <v/>
      </c>
      <c r="BF104" s="27" t="str">
        <f t="shared" si="49"/>
        <v/>
      </c>
      <c r="BG104" s="27" t="str">
        <f t="shared" si="50"/>
        <v/>
      </c>
      <c r="BH104" s="27" t="str">
        <f t="shared" si="51"/>
        <v/>
      </c>
      <c r="BI104" s="27" t="str">
        <f t="shared" si="52"/>
        <v/>
      </c>
      <c r="BJ104" s="27" t="str">
        <f t="shared" si="53"/>
        <v/>
      </c>
      <c r="BK104" s="27" t="str">
        <f t="shared" si="54"/>
        <v/>
      </c>
      <c r="BL104" s="27" t="str">
        <f t="shared" si="55"/>
        <v/>
      </c>
      <c r="BM104" s="21" t="s">
        <v>3790</v>
      </c>
    </row>
    <row r="105" spans="1:65" ht="15">
      <c r="A105" s="25" t="str">
        <f>IFERROR(INDEX('Hun Demand'!W:W,MATCH(O105,'Hun Demand'!A:A,0)),"")</f>
        <v/>
      </c>
      <c r="B105" s="25" t="str">
        <f>IFERROR(INDEX('Hun Demand'!V:V,MATCH(O105,'Hun Demand'!A:A,0)),"")</f>
        <v/>
      </c>
      <c r="C105" s="25" t="str">
        <f>IFERROR(INDEX('Hun Demand'!U:U,MATCH(O105,'Hun Demand'!A:A,0)),"")</f>
        <v/>
      </c>
      <c r="D105" s="25" t="str">
        <f>IFERROR(INDEX('Hun Demand'!T:T,MATCH(O105,'Hun Demand'!A:A,0)),"")</f>
        <v/>
      </c>
      <c r="E105" s="25" t="str">
        <f>IFERROR(INDEX('Hun Demand'!S:S,MATCH(O105,'Hun Demand'!A:A,0)),"")</f>
        <v/>
      </c>
      <c r="F105" s="25" t="str">
        <f>IFERROR(INDEX('Hun Demand'!R:R,MATCH(O105,'Hun Demand'!A:A,0)),"")</f>
        <v/>
      </c>
      <c r="G105" s="25">
        <f>IFERROR(INDEX('Aub Demand'!W:W,MATCH(O105,'Aub Demand'!A:A,0)),"")</f>
        <v>0</v>
      </c>
      <c r="H105" s="25">
        <f>IFERROR(INDEX('Aub Demand'!V:V,MATCH(O105,'Aub Demand'!A:A,0)),"")</f>
        <v>0</v>
      </c>
      <c r="I105" s="25">
        <f>IFERROR(INDEX('Aub Demand'!U:U,MATCH(O105,'Aub Demand'!A:A,0)),"")</f>
        <v>0</v>
      </c>
      <c r="J105" s="25">
        <f>IFERROR(INDEX('Aub Demand'!T:T,MATCH(O105,'Aub Demand'!A:A,0)),"")</f>
        <v>0</v>
      </c>
      <c r="K105" s="25">
        <f>IFERROR(INDEX('Aub Demand'!S:S,MATCH(O105,'Aub Demand'!A:A,0)),"")</f>
        <v>0</v>
      </c>
      <c r="L105" s="25">
        <f>IFERROR(INDEX('Aub Demand'!R:R,MATCH(O105,'Aub Demand'!A:A,0)),"")</f>
        <v>0</v>
      </c>
      <c r="O105" s="27" t="s">
        <v>262</v>
      </c>
      <c r="P105" s="27" t="str">
        <f>IFERROR(INDEX('Aub Demand'!B:B,MATCH($O105,'Aub Demand'!$A:$A,0)),"")</f>
        <v>24 GA  STEEL .023X48</v>
      </c>
      <c r="Q105" s="27" t="str">
        <f>IFERROR(INDEX('Aub Demand'!C:C,MATCH($O105,'Aub Demand'!$A:$A,0)),"")</f>
        <v>AMERI</v>
      </c>
      <c r="R105" s="52">
        <f>IFERROR(IF(AR106=AR105,INDEX('Aub Demand'!K:K,MATCH($O105,'Aub Demand'!$A:$A,0))-IF(AN105="",0,AN105)+AP106,INDEX('Aub Demand'!K:K,MATCH($O105,'Aub Demand'!$A:$A,0))-IF(AN105="",0,AN105)),"")</f>
        <v>60</v>
      </c>
      <c r="S105" s="53" t="str">
        <f t="shared" si="28"/>
        <v>n/a</v>
      </c>
      <c r="T105" s="52" t="str">
        <f t="shared" si="29"/>
        <v/>
      </c>
      <c r="U105" s="52">
        <f>IFERROR(IF(AR106=AR105,INDEX('Aub Demand'!Q:Q,MATCH($O105,'Aub Demand'!$A:$A,0))-IF(AN105="",0,AN105)+AP106,INDEX('Aub Demand'!Q:Q,MATCH($O105,'Aub Demand'!$A:$A,0))-IF(AN105="",0,AN105)),"")</f>
        <v>60</v>
      </c>
      <c r="V105" s="53" t="str">
        <f t="shared" si="30"/>
        <v>n/a</v>
      </c>
      <c r="W105" s="52" t="str">
        <f t="shared" si="31"/>
        <v/>
      </c>
      <c r="X105" s="52">
        <f>IFERROR(IF(AND(AR106=AR105,AM105&lt;&gt;""),INDEX('Aub Demand'!Q:Q,MATCH($O105,'Aub Demand'!$A:$A,0))-IF(AN105="",0,AN105)+AP106+AD105+AL105,IF(AR106=AR105,INDEX('Aub Demand'!Q:Q,MATCH($O105,'Aub Demand'!$A:$A,0))-IF(AN105="",0,AN105)+AP106+AD105,IF(AM105&lt;&gt;"",INDEX('Aub Demand'!Q:Q,MATCH($O105,'Aub Demand'!$A:$A,0))-IF(AN105="",0,AN105)+AD105+AL105,INDEX('Aub Demand'!Q:Q,MATCH($O105,'Aub Demand'!$A:$A,0))-IF(AN105="",0,AN105)+AD105))),"")</f>
        <v>60</v>
      </c>
      <c r="Y105" s="53" t="str">
        <f t="shared" si="32"/>
        <v>n/a</v>
      </c>
      <c r="Z105" s="52">
        <f>IF(L105="","",INDEX('Aub Demand'!H:H,MATCH($O105,'Aub Demand'!$A:$A,0)))</f>
        <v>0</v>
      </c>
      <c r="AA105" s="52" t="str">
        <f t="shared" si="33"/>
        <v>-spike-</v>
      </c>
      <c r="AB105" s="52">
        <f>IFERROR(INDEX('Aub Demand'!L:L,MATCH($O105,'Aub Demand'!$A:$A,0)),"")</f>
        <v>0</v>
      </c>
      <c r="AC105" s="52">
        <f>IFERROR(IF(O105="","",SUMIFS('CPL Mats'!F:F,'CPL Mats'!Q:Q,AR105,'CPL Mats'!S:S,AS105)),"")</f>
        <v>0</v>
      </c>
      <c r="AF105" s="25" t="str">
        <f>IF(SUMIFS('Supp Consol'!S:S,'Supp Consol'!Y:Y,"Releasable",'Supp Consol'!A:A,O105)=0,"",SUMIFS('Supp Consol'!S:S,'Supp Consol'!Y:Y,"Releasable",'Supp Consol'!A:A,O105))</f>
        <v/>
      </c>
      <c r="AG105" s="25" t="str">
        <f>IFERROR(INDEX('Hun Demand'!Q:Q,MATCH(O105,'Hun Demand'!A:A,0)),"")</f>
        <v/>
      </c>
      <c r="AH105" s="25" t="str">
        <f>IFERROR(INDEX('Hun Demand'!H:H,MATCH($O105,'Hun Demand'!$A:$A,0)),"")</f>
        <v/>
      </c>
      <c r="AI105" s="25" t="str">
        <f>IF(SUMIFS('Supp Consol'!AA:AA,'Supp Consol'!Z:Z,"Expires this month",'Supp Consol'!A:A,O105)=0,"",SUMIFS('Supp Consol'!AA:AA,'Supp Consol'!Z:Z,"Expires this month",'Supp Consol'!A:A,O105))</f>
        <v/>
      </c>
      <c r="AJ105" s="25" t="str">
        <f>IF(SUMIFS('Supp Consol'!AA:AA,'Supp Consol'!Z:Z,"Expired Previous Months",'Supp Consol'!A:A,O105)=0,"",SUMIFS('Supp Consol'!AA:AA,'Supp Consol'!Z:Z,"Expired Previous Months",'Supp Consol'!A:A,O105))</f>
        <v/>
      </c>
      <c r="AK105" s="25" t="str">
        <f>IFERROR(INDEX('Hun Release Current'!B:B,MATCH(O105,'Hun Release Current'!A:A,0)),"")</f>
        <v/>
      </c>
      <c r="AL105" s="25" t="str">
        <f>IF(SUMIF('Prev Aub'!A:A,O105,'Prev Aub'!B:B)=0,"",SUMIF('Prev Aub'!A:A,O105,'Prev Aub'!B:B))</f>
        <v/>
      </c>
      <c r="AN105" s="25" t="s">
        <v>3790</v>
      </c>
      <c r="AO105" s="25" t="s">
        <v>3790</v>
      </c>
      <c r="AP105" s="25">
        <f t="shared" si="34"/>
        <v>0</v>
      </c>
      <c r="AQ105" s="151" t="str">
        <f>IF(SUMIFS('Supp Consol'!S:S,'Supp Consol'!A:A,O105,'Supp Consol'!I:I,"PENDING")=0,"",SUMIFS('Supp Consol'!S:S,'Supp Consol'!A:A,O105,'Supp Consol'!I:I,"PENDING"))</f>
        <v/>
      </c>
      <c r="AR105" s="27" t="str">
        <f t="shared" si="35"/>
        <v>00SS1</v>
      </c>
      <c r="AS105" s="27" t="str">
        <f t="shared" si="36"/>
        <v>48</v>
      </c>
      <c r="AT105" s="27" t="str">
        <f t="shared" si="37"/>
        <v/>
      </c>
      <c r="AU105" s="27" t="str">
        <f t="shared" si="38"/>
        <v/>
      </c>
      <c r="AV105" s="27" t="str">
        <f t="shared" si="39"/>
        <v/>
      </c>
      <c r="AW105" s="27" t="str">
        <f t="shared" si="40"/>
        <v/>
      </c>
      <c r="AX105" s="27" t="str">
        <f t="shared" si="41"/>
        <v/>
      </c>
      <c r="AY105" s="27" t="str">
        <f t="shared" si="42"/>
        <v/>
      </c>
      <c r="AZ105" s="27" t="str">
        <f t="shared" si="43"/>
        <v/>
      </c>
      <c r="BA105" s="27" t="str">
        <f t="shared" si="44"/>
        <v/>
      </c>
      <c r="BB105" s="27" t="str">
        <f t="shared" si="45"/>
        <v/>
      </c>
      <c r="BC105" s="27" t="str">
        <f t="shared" si="46"/>
        <v/>
      </c>
      <c r="BD105" s="27" t="str">
        <f t="shared" si="47"/>
        <v/>
      </c>
      <c r="BE105" s="27" t="str">
        <f t="shared" si="48"/>
        <v/>
      </c>
      <c r="BF105" s="27" t="str">
        <f t="shared" si="49"/>
        <v/>
      </c>
      <c r="BG105" s="27" t="str">
        <f t="shared" si="50"/>
        <v/>
      </c>
      <c r="BH105" s="27" t="str">
        <f t="shared" si="51"/>
        <v/>
      </c>
      <c r="BI105" s="27" t="str">
        <f t="shared" si="52"/>
        <v/>
      </c>
      <c r="BJ105" s="27" t="str">
        <f t="shared" si="53"/>
        <v/>
      </c>
      <c r="BK105" s="27" t="str">
        <f t="shared" si="54"/>
        <v/>
      </c>
      <c r="BL105" s="27" t="str">
        <f t="shared" si="55"/>
        <v/>
      </c>
      <c r="BM105" s="21" t="s">
        <v>3790</v>
      </c>
    </row>
    <row r="106" spans="1:65" ht="15">
      <c r="A106" s="25" t="str">
        <f>IFERROR(INDEX('Hun Demand'!W:W,MATCH(O106,'Hun Demand'!A:A,0)),"")</f>
        <v/>
      </c>
      <c r="B106" s="25" t="str">
        <f>IFERROR(INDEX('Hun Demand'!V:V,MATCH(O106,'Hun Demand'!A:A,0)),"")</f>
        <v/>
      </c>
      <c r="C106" s="25" t="str">
        <f>IFERROR(INDEX('Hun Demand'!U:U,MATCH(O106,'Hun Demand'!A:A,0)),"")</f>
        <v/>
      </c>
      <c r="D106" s="25" t="str">
        <f>IFERROR(INDEX('Hun Demand'!T:T,MATCH(O106,'Hun Demand'!A:A,0)),"")</f>
        <v/>
      </c>
      <c r="E106" s="25" t="str">
        <f>IFERROR(INDEX('Hun Demand'!S:S,MATCH(O106,'Hun Demand'!A:A,0)),"")</f>
        <v/>
      </c>
      <c r="F106" s="25" t="str">
        <f>IFERROR(INDEX('Hun Demand'!R:R,MATCH(O106,'Hun Demand'!A:A,0)),"")</f>
        <v/>
      </c>
      <c r="G106" s="25">
        <f>IFERROR(INDEX('Aub Demand'!W:W,MATCH(O106,'Aub Demand'!A:A,0)),"")</f>
        <v>0</v>
      </c>
      <c r="H106" s="25">
        <f>IFERROR(INDEX('Aub Demand'!V:V,MATCH(O106,'Aub Demand'!A:A,0)),"")</f>
        <v>0</v>
      </c>
      <c r="I106" s="25">
        <f>IFERROR(INDEX('Aub Demand'!U:U,MATCH(O106,'Aub Demand'!A:A,0)),"")</f>
        <v>0</v>
      </c>
      <c r="J106" s="25">
        <f>IFERROR(INDEX('Aub Demand'!T:T,MATCH(O106,'Aub Demand'!A:A,0)),"")</f>
        <v>0</v>
      </c>
      <c r="K106" s="25">
        <f>IFERROR(INDEX('Aub Demand'!S:S,MATCH(O106,'Aub Demand'!A:A,0)),"")</f>
        <v>0</v>
      </c>
      <c r="L106" s="25">
        <f>IFERROR(INDEX('Aub Demand'!R:R,MATCH(O106,'Aub Demand'!A:A,0)),"")</f>
        <v>0</v>
      </c>
      <c r="O106" s="27" t="s">
        <v>265</v>
      </c>
      <c r="P106" s="27" t="str">
        <f>IFERROR(INDEX('Aub Demand'!B:B,MATCH($O106,'Aub Demand'!$A:$A,0)),"")</f>
        <v>INDIGO ORGANIX</v>
      </c>
      <c r="Q106" s="27" t="str">
        <f>IFERROR(INDEX('Aub Demand'!C:C,MATCH($O106,'Aub Demand'!$A:$A,0)),"")</f>
        <v>AHLST</v>
      </c>
      <c r="R106" s="52">
        <f>IFERROR(IF(AR107=AR106,INDEX('Aub Demand'!K:K,MATCH($O106,'Aub Demand'!$A:$A,0))-IF(AN106="",0,AN106)+AP107,INDEX('Aub Demand'!K:K,MATCH($O106,'Aub Demand'!$A:$A,0))-IF(AN106="",0,AN106)),"")</f>
        <v>558</v>
      </c>
      <c r="S106" s="53" t="str">
        <f t="shared" si="28"/>
        <v>n/a</v>
      </c>
      <c r="T106" s="52" t="str">
        <f t="shared" si="29"/>
        <v/>
      </c>
      <c r="U106" s="52">
        <f>IFERROR(IF(AR107=AR106,INDEX('Aub Demand'!Q:Q,MATCH($O106,'Aub Demand'!$A:$A,0))-IF(AN106="",0,AN106)+AP107,INDEX('Aub Demand'!Q:Q,MATCH($O106,'Aub Demand'!$A:$A,0))-IF(AN106="",0,AN106)),"")</f>
        <v>558</v>
      </c>
      <c r="V106" s="53" t="str">
        <f t="shared" si="30"/>
        <v>n/a</v>
      </c>
      <c r="W106" s="52" t="str">
        <f t="shared" si="31"/>
        <v/>
      </c>
      <c r="X106" s="52">
        <f>IFERROR(IF(AND(AR107=AR106,AM106&lt;&gt;""),INDEX('Aub Demand'!Q:Q,MATCH($O106,'Aub Demand'!$A:$A,0))-IF(AN106="",0,AN106)+AP107+AD106+AL106,IF(AR107=AR106,INDEX('Aub Demand'!Q:Q,MATCH($O106,'Aub Demand'!$A:$A,0))-IF(AN106="",0,AN106)+AP107+AD106,IF(AM106&lt;&gt;"",INDEX('Aub Demand'!Q:Q,MATCH($O106,'Aub Demand'!$A:$A,0))-IF(AN106="",0,AN106)+AD106+AL106,INDEX('Aub Demand'!Q:Q,MATCH($O106,'Aub Demand'!$A:$A,0))-IF(AN106="",0,AN106)+AD106))),"")</f>
        <v>558</v>
      </c>
      <c r="Y106" s="53" t="str">
        <f t="shared" si="32"/>
        <v>n/a</v>
      </c>
      <c r="Z106" s="52">
        <f>IF(L106="","",INDEX('Aub Demand'!H:H,MATCH($O106,'Aub Demand'!$A:$A,0)))</f>
        <v>0</v>
      </c>
      <c r="AA106" s="52" t="str">
        <f t="shared" si="33"/>
        <v>-spike-</v>
      </c>
      <c r="AB106" s="52">
        <f>IFERROR(INDEX('Aub Demand'!L:L,MATCH($O106,'Aub Demand'!$A:$A,0)),"")</f>
        <v>0</v>
      </c>
      <c r="AC106" s="52">
        <f>IFERROR(IF(O106="","",SUMIFS('CPL Mats'!F:F,'CPL Mats'!Q:Q,AR106,'CPL Mats'!S:S,AS106)),"")</f>
        <v>0</v>
      </c>
      <c r="AF106" s="25" t="str">
        <f>IF(SUMIFS('Supp Consol'!S:S,'Supp Consol'!Y:Y,"Releasable",'Supp Consol'!A:A,O106)=0,"",SUMIFS('Supp Consol'!S:S,'Supp Consol'!Y:Y,"Releasable",'Supp Consol'!A:A,O106))</f>
        <v/>
      </c>
      <c r="AG106" s="25" t="str">
        <f>IFERROR(INDEX('Hun Demand'!Q:Q,MATCH(O106,'Hun Demand'!A:A,0)),"")</f>
        <v/>
      </c>
      <c r="AH106" s="25" t="str">
        <f>IFERROR(INDEX('Hun Demand'!H:H,MATCH($O106,'Hun Demand'!$A:$A,0)),"")</f>
        <v/>
      </c>
      <c r="AI106" s="25" t="str">
        <f>IF(SUMIFS('Supp Consol'!AA:AA,'Supp Consol'!Z:Z,"Expires this month",'Supp Consol'!A:A,O106)=0,"",SUMIFS('Supp Consol'!AA:AA,'Supp Consol'!Z:Z,"Expires this month",'Supp Consol'!A:A,O106))</f>
        <v/>
      </c>
      <c r="AJ106" s="25" t="str">
        <f>IF(SUMIFS('Supp Consol'!AA:AA,'Supp Consol'!Z:Z,"Expired Previous Months",'Supp Consol'!A:A,O106)=0,"",SUMIFS('Supp Consol'!AA:AA,'Supp Consol'!Z:Z,"Expired Previous Months",'Supp Consol'!A:A,O106))</f>
        <v/>
      </c>
      <c r="AK106" s="25" t="str">
        <f>IFERROR(INDEX('Hun Release Current'!B:B,MATCH(O106,'Hun Release Current'!A:A,0)),"")</f>
        <v/>
      </c>
      <c r="AL106" s="25" t="str">
        <f>IF(SUMIF('Prev Aub'!A:A,O106,'Prev Aub'!B:B)=0,"",SUMIF('Prev Aub'!A:A,O106,'Prev Aub'!B:B))</f>
        <v/>
      </c>
      <c r="AN106" s="25" t="s">
        <v>3790</v>
      </c>
      <c r="AO106" s="25" t="s">
        <v>3790</v>
      </c>
      <c r="AP106" s="25">
        <f t="shared" si="34"/>
        <v>0</v>
      </c>
      <c r="AQ106" s="151" t="str">
        <f>IF(SUMIFS('Supp Consol'!S:S,'Supp Consol'!A:A,O106,'Supp Consol'!I:I,"PENDING")=0,"",SUMIFS('Supp Consol'!S:S,'Supp Consol'!A:A,O106,'Supp Consol'!I:I,"PENDING"))</f>
        <v/>
      </c>
      <c r="AR106" s="27" t="str">
        <f t="shared" si="35"/>
        <v>AB051</v>
      </c>
      <c r="AS106" s="27" t="str">
        <f t="shared" si="36"/>
        <v>50</v>
      </c>
      <c r="AT106" s="27" t="str">
        <f t="shared" si="37"/>
        <v/>
      </c>
      <c r="AU106" s="27" t="str">
        <f t="shared" si="38"/>
        <v/>
      </c>
      <c r="AV106" s="27" t="str">
        <f t="shared" si="39"/>
        <v/>
      </c>
      <c r="AW106" s="27" t="str">
        <f t="shared" si="40"/>
        <v/>
      </c>
      <c r="AX106" s="27" t="str">
        <f t="shared" si="41"/>
        <v/>
      </c>
      <c r="AY106" s="27" t="str">
        <f t="shared" si="42"/>
        <v/>
      </c>
      <c r="AZ106" s="27" t="str">
        <f t="shared" si="43"/>
        <v/>
      </c>
      <c r="BA106" s="27" t="str">
        <f t="shared" si="44"/>
        <v/>
      </c>
      <c r="BB106" s="27" t="str">
        <f t="shared" si="45"/>
        <v/>
      </c>
      <c r="BC106" s="27" t="str">
        <f t="shared" si="46"/>
        <v/>
      </c>
      <c r="BD106" s="27" t="str">
        <f t="shared" si="47"/>
        <v/>
      </c>
      <c r="BE106" s="27" t="str">
        <f t="shared" si="48"/>
        <v/>
      </c>
      <c r="BF106" s="27" t="str">
        <f t="shared" si="49"/>
        <v/>
      </c>
      <c r="BG106" s="27" t="str">
        <f t="shared" si="50"/>
        <v/>
      </c>
      <c r="BH106" s="27" t="str">
        <f t="shared" si="51"/>
        <v/>
      </c>
      <c r="BI106" s="27" t="str">
        <f t="shared" si="52"/>
        <v/>
      </c>
      <c r="BJ106" s="27" t="str">
        <f t="shared" si="53"/>
        <v/>
      </c>
      <c r="BK106" s="27" t="str">
        <f t="shared" si="54"/>
        <v/>
      </c>
      <c r="BL106" s="27" t="str">
        <f t="shared" si="55"/>
        <v/>
      </c>
      <c r="BM106" s="21" t="s">
        <v>3790</v>
      </c>
    </row>
    <row r="107" spans="1:65" ht="15">
      <c r="A107" s="25" t="str">
        <f>IFERROR(INDEX('Hun Demand'!W:W,MATCH(O107,'Hun Demand'!A:A,0)),"")</f>
        <v/>
      </c>
      <c r="B107" s="25" t="str">
        <f>IFERROR(INDEX('Hun Demand'!V:V,MATCH(O107,'Hun Demand'!A:A,0)),"")</f>
        <v/>
      </c>
      <c r="C107" s="25" t="str">
        <f>IFERROR(INDEX('Hun Demand'!U:U,MATCH(O107,'Hun Demand'!A:A,0)),"")</f>
        <v/>
      </c>
      <c r="D107" s="25" t="str">
        <f>IFERROR(INDEX('Hun Demand'!T:T,MATCH(O107,'Hun Demand'!A:A,0)),"")</f>
        <v/>
      </c>
      <c r="E107" s="25" t="str">
        <f>IFERROR(INDEX('Hun Demand'!S:S,MATCH(O107,'Hun Demand'!A:A,0)),"")</f>
        <v/>
      </c>
      <c r="F107" s="25" t="str">
        <f>IFERROR(INDEX('Hun Demand'!R:R,MATCH(O107,'Hun Demand'!A:A,0)),"")</f>
        <v/>
      </c>
      <c r="G107" s="25">
        <f>IFERROR(INDEX('Aub Demand'!W:W,MATCH(O107,'Aub Demand'!A:A,0)),"")</f>
        <v>0</v>
      </c>
      <c r="H107" s="25">
        <f>IFERROR(INDEX('Aub Demand'!V:V,MATCH(O107,'Aub Demand'!A:A,0)),"")</f>
        <v>0</v>
      </c>
      <c r="I107" s="25">
        <f>IFERROR(INDEX('Aub Demand'!U:U,MATCH(O107,'Aub Demand'!A:A,0)),"")</f>
        <v>0</v>
      </c>
      <c r="J107" s="25">
        <f>IFERROR(INDEX('Aub Demand'!T:T,MATCH(O107,'Aub Demand'!A:A,0)),"")</f>
        <v>0</v>
      </c>
      <c r="K107" s="25">
        <f>IFERROR(INDEX('Aub Demand'!S:S,MATCH(O107,'Aub Demand'!A:A,0)),"")</f>
        <v>0</v>
      </c>
      <c r="L107" s="25">
        <f>IFERROR(INDEX('Aub Demand'!R:R,MATCH(O107,'Aub Demand'!A:A,0)),"")</f>
        <v>0</v>
      </c>
      <c r="O107" s="27" t="s">
        <v>269</v>
      </c>
      <c r="P107" s="27" t="str">
        <f>IFERROR(INDEX('Aub Demand'!B:B,MATCH($O107,'Aub Demand'!$A:$A,0)),"")</f>
        <v>INDIGO ORGANIX</v>
      </c>
      <c r="Q107" s="27" t="str">
        <f>IFERROR(INDEX('Aub Demand'!C:C,MATCH($O107,'Aub Demand'!$A:$A,0)),"")</f>
        <v>AHLST</v>
      </c>
      <c r="R107" s="52">
        <f>IFERROR(IF(AR108=AR107,INDEX('Aub Demand'!K:K,MATCH($O107,'Aub Demand'!$A:$A,0))-IF(AN107="",0,AN107)+AP108,INDEX('Aub Demand'!K:K,MATCH($O107,'Aub Demand'!$A:$A,0))-IF(AN107="",0,AN107)),"")</f>
        <v>4077</v>
      </c>
      <c r="S107" s="53" t="str">
        <f t="shared" si="28"/>
        <v>n/a</v>
      </c>
      <c r="T107" s="52" t="str">
        <f t="shared" si="29"/>
        <v/>
      </c>
      <c r="U107" s="52">
        <f>IFERROR(IF(AR108=AR107,INDEX('Aub Demand'!Q:Q,MATCH($O107,'Aub Demand'!$A:$A,0))-IF(AN107="",0,AN107)+AP108,INDEX('Aub Demand'!Q:Q,MATCH($O107,'Aub Demand'!$A:$A,0))-IF(AN107="",0,AN107)),"")</f>
        <v>4077</v>
      </c>
      <c r="V107" s="53" t="str">
        <f t="shared" si="30"/>
        <v>n/a</v>
      </c>
      <c r="W107" s="52" t="str">
        <f t="shared" si="31"/>
        <v/>
      </c>
      <c r="X107" s="52">
        <f>IFERROR(IF(AND(AR108=AR107,AM107&lt;&gt;""),INDEX('Aub Demand'!Q:Q,MATCH($O107,'Aub Demand'!$A:$A,0))-IF(AN107="",0,AN107)+AP108+AD107+AL107,IF(AR108=AR107,INDEX('Aub Demand'!Q:Q,MATCH($O107,'Aub Demand'!$A:$A,0))-IF(AN107="",0,AN107)+AP108+AD107,IF(AM107&lt;&gt;"",INDEX('Aub Demand'!Q:Q,MATCH($O107,'Aub Demand'!$A:$A,0))-IF(AN107="",0,AN107)+AD107+AL107,INDEX('Aub Demand'!Q:Q,MATCH($O107,'Aub Demand'!$A:$A,0))-IF(AN107="",0,AN107)+AD107))),"")</f>
        <v>4077</v>
      </c>
      <c r="Y107" s="53" t="str">
        <f t="shared" si="32"/>
        <v>n/a</v>
      </c>
      <c r="Z107" s="52">
        <f>IF(L107="","",INDEX('Aub Demand'!H:H,MATCH($O107,'Aub Demand'!$A:$A,0)))</f>
        <v>0</v>
      </c>
      <c r="AA107" s="52" t="str">
        <f t="shared" si="33"/>
        <v>-spike-</v>
      </c>
      <c r="AB107" s="52">
        <f>IFERROR(INDEX('Aub Demand'!L:L,MATCH($O107,'Aub Demand'!$A:$A,0)),"")</f>
        <v>0</v>
      </c>
      <c r="AC107" s="52">
        <f>IFERROR(IF(O107="","",SUMIFS('CPL Mats'!F:F,'CPL Mats'!Q:Q,AR107,'CPL Mats'!S:S,AS107)),"")</f>
        <v>0</v>
      </c>
      <c r="AF107" s="25" t="str">
        <f>IF(SUMIFS('Supp Consol'!S:S,'Supp Consol'!Y:Y,"Releasable",'Supp Consol'!A:A,O107)=0,"",SUMIFS('Supp Consol'!S:S,'Supp Consol'!Y:Y,"Releasable",'Supp Consol'!A:A,O107))</f>
        <v/>
      </c>
      <c r="AG107" s="25" t="str">
        <f>IFERROR(INDEX('Hun Demand'!Q:Q,MATCH(O107,'Hun Demand'!A:A,0)),"")</f>
        <v/>
      </c>
      <c r="AH107" s="25" t="str">
        <f>IFERROR(INDEX('Hun Demand'!H:H,MATCH($O107,'Hun Demand'!$A:$A,0)),"")</f>
        <v/>
      </c>
      <c r="AI107" s="25" t="str">
        <f>IF(SUMIFS('Supp Consol'!AA:AA,'Supp Consol'!Z:Z,"Expires this month",'Supp Consol'!A:A,O107)=0,"",SUMIFS('Supp Consol'!AA:AA,'Supp Consol'!Z:Z,"Expires this month",'Supp Consol'!A:A,O107))</f>
        <v/>
      </c>
      <c r="AJ107" s="25" t="str">
        <f>IF(SUMIFS('Supp Consol'!AA:AA,'Supp Consol'!Z:Z,"Expired Previous Months",'Supp Consol'!A:A,O107)=0,"",SUMIFS('Supp Consol'!AA:AA,'Supp Consol'!Z:Z,"Expired Previous Months",'Supp Consol'!A:A,O107))</f>
        <v/>
      </c>
      <c r="AK107" s="25" t="str">
        <f>IFERROR(INDEX('Hun Release Current'!B:B,MATCH(O107,'Hun Release Current'!A:A,0)),"")</f>
        <v/>
      </c>
      <c r="AL107" s="25" t="str">
        <f>IF(SUMIF('Prev Aub'!A:A,O107,'Prev Aub'!B:B)=0,"",SUMIF('Prev Aub'!A:A,O107,'Prev Aub'!B:B))</f>
        <v/>
      </c>
      <c r="AN107" s="25" t="s">
        <v>3790</v>
      </c>
      <c r="AO107" s="25" t="s">
        <v>3790</v>
      </c>
      <c r="AP107" s="25">
        <f t="shared" si="34"/>
        <v>0</v>
      </c>
      <c r="AQ107" s="151" t="str">
        <f>IF(SUMIFS('Supp Consol'!S:S,'Supp Consol'!A:A,O107,'Supp Consol'!I:I,"PENDING")=0,"",SUMIFS('Supp Consol'!S:S,'Supp Consol'!A:A,O107,'Supp Consol'!I:I,"PENDING"))</f>
        <v/>
      </c>
      <c r="AR107" s="27" t="str">
        <f t="shared" si="35"/>
        <v>AB051</v>
      </c>
      <c r="AS107" s="27" t="str">
        <f t="shared" si="36"/>
        <v>62</v>
      </c>
      <c r="AT107" s="27" t="str">
        <f t="shared" si="37"/>
        <v/>
      </c>
      <c r="AU107" s="27" t="str">
        <f t="shared" si="38"/>
        <v/>
      </c>
      <c r="AV107" s="27" t="str">
        <f t="shared" si="39"/>
        <v/>
      </c>
      <c r="AW107" s="27" t="str">
        <f t="shared" si="40"/>
        <v/>
      </c>
      <c r="AX107" s="27" t="str">
        <f t="shared" si="41"/>
        <v/>
      </c>
      <c r="AY107" s="27" t="str">
        <f t="shared" si="42"/>
        <v/>
      </c>
      <c r="AZ107" s="27" t="str">
        <f t="shared" si="43"/>
        <v/>
      </c>
      <c r="BA107" s="27" t="str">
        <f t="shared" si="44"/>
        <v/>
      </c>
      <c r="BB107" s="27" t="str">
        <f t="shared" si="45"/>
        <v/>
      </c>
      <c r="BC107" s="27" t="str">
        <f t="shared" si="46"/>
        <v/>
      </c>
      <c r="BD107" s="27" t="str">
        <f t="shared" si="47"/>
        <v/>
      </c>
      <c r="BE107" s="27" t="str">
        <f t="shared" si="48"/>
        <v/>
      </c>
      <c r="BF107" s="27" t="str">
        <f t="shared" si="49"/>
        <v/>
      </c>
      <c r="BG107" s="27" t="str">
        <f t="shared" si="50"/>
        <v/>
      </c>
      <c r="BH107" s="27" t="str">
        <f t="shared" si="51"/>
        <v/>
      </c>
      <c r="BI107" s="27" t="str">
        <f t="shared" si="52"/>
        <v/>
      </c>
      <c r="BJ107" s="27" t="str">
        <f t="shared" si="53"/>
        <v/>
      </c>
      <c r="BK107" s="27" t="str">
        <f t="shared" si="54"/>
        <v/>
      </c>
      <c r="BL107" s="27" t="str">
        <f t="shared" si="55"/>
        <v/>
      </c>
      <c r="BM107" s="21" t="s">
        <v>3790</v>
      </c>
    </row>
    <row r="108" spans="1:65" ht="15">
      <c r="A108" s="25" t="str">
        <f>IFERROR(INDEX('Hun Demand'!W:W,MATCH(O108,'Hun Demand'!A:A,0)),"")</f>
        <v/>
      </c>
      <c r="B108" s="25" t="str">
        <f>IFERROR(INDEX('Hun Demand'!V:V,MATCH(O108,'Hun Demand'!A:A,0)),"")</f>
        <v/>
      </c>
      <c r="C108" s="25" t="str">
        <f>IFERROR(INDEX('Hun Demand'!U:U,MATCH(O108,'Hun Demand'!A:A,0)),"")</f>
        <v/>
      </c>
      <c r="D108" s="25" t="str">
        <f>IFERROR(INDEX('Hun Demand'!T:T,MATCH(O108,'Hun Demand'!A:A,0)),"")</f>
        <v/>
      </c>
      <c r="E108" s="25" t="str">
        <f>IFERROR(INDEX('Hun Demand'!S:S,MATCH(O108,'Hun Demand'!A:A,0)),"")</f>
        <v/>
      </c>
      <c r="F108" s="25" t="str">
        <f>IFERROR(INDEX('Hun Demand'!R:R,MATCH(O108,'Hun Demand'!A:A,0)),"")</f>
        <v/>
      </c>
      <c r="G108" s="25">
        <f>IFERROR(INDEX('Aub Demand'!W:W,MATCH(O108,'Aub Demand'!A:A,0)),"")</f>
        <v>0</v>
      </c>
      <c r="H108" s="25">
        <f>IFERROR(INDEX('Aub Demand'!V:V,MATCH(O108,'Aub Demand'!A:A,0)),"")</f>
        <v>0</v>
      </c>
      <c r="I108" s="25">
        <f>IFERROR(INDEX('Aub Demand'!U:U,MATCH(O108,'Aub Demand'!A:A,0)),"")</f>
        <v>0</v>
      </c>
      <c r="J108" s="25">
        <f>IFERROR(INDEX('Aub Demand'!T:T,MATCH(O108,'Aub Demand'!A:A,0)),"")</f>
        <v>0</v>
      </c>
      <c r="K108" s="25">
        <f>IFERROR(INDEX('Aub Demand'!S:S,MATCH(O108,'Aub Demand'!A:A,0)),"")</f>
        <v>0</v>
      </c>
      <c r="L108" s="25">
        <f>IFERROR(INDEX('Aub Demand'!R:R,MATCH(O108,'Aub Demand'!A:A,0)),"")</f>
        <v>0</v>
      </c>
      <c r="O108" s="27" t="s">
        <v>270</v>
      </c>
      <c r="P108" s="27" t="str">
        <f>IFERROR(INDEX('Aub Demand'!B:B,MATCH($O108,'Aub Demand'!$A:$A,0)),"")</f>
        <v>ALTANTIC AZUR</v>
      </c>
      <c r="Q108" s="27" t="str">
        <f>IFERROR(INDEX('Aub Demand'!C:C,MATCH($O108,'Aub Demand'!$A:$A,0)),"")</f>
        <v>INTER</v>
      </c>
      <c r="R108" s="52">
        <f>IFERROR(IF(AR109=AR108,INDEX('Aub Demand'!K:K,MATCH($O108,'Aub Demand'!$A:$A,0))-IF(AN108="",0,AN108)+AP109,INDEX('Aub Demand'!K:K,MATCH($O108,'Aub Demand'!$A:$A,0))-IF(AN108="",0,AN108)),"")</f>
        <v>704</v>
      </c>
      <c r="S108" s="53" t="str">
        <f t="shared" si="28"/>
        <v>n/a</v>
      </c>
      <c r="T108" s="52" t="str">
        <f t="shared" si="29"/>
        <v/>
      </c>
      <c r="U108" s="52">
        <f>IFERROR(IF(AR109=AR108,INDEX('Aub Demand'!Q:Q,MATCH($O108,'Aub Demand'!$A:$A,0))-IF(AN108="",0,AN108)+AP109,INDEX('Aub Demand'!Q:Q,MATCH($O108,'Aub Demand'!$A:$A,0))-IF(AN108="",0,AN108)),"")</f>
        <v>704</v>
      </c>
      <c r="V108" s="53" t="str">
        <f t="shared" si="30"/>
        <v>n/a</v>
      </c>
      <c r="W108" s="52" t="str">
        <f t="shared" si="31"/>
        <v/>
      </c>
      <c r="X108" s="52">
        <f>IFERROR(IF(AND(AR109=AR108,AM108&lt;&gt;""),INDEX('Aub Demand'!Q:Q,MATCH($O108,'Aub Demand'!$A:$A,0))-IF(AN108="",0,AN108)+AP109+AD108+AL108,IF(AR109=AR108,INDEX('Aub Demand'!Q:Q,MATCH($O108,'Aub Demand'!$A:$A,0))-IF(AN108="",0,AN108)+AP109+AD108,IF(AM108&lt;&gt;"",INDEX('Aub Demand'!Q:Q,MATCH($O108,'Aub Demand'!$A:$A,0))-IF(AN108="",0,AN108)+AD108+AL108,INDEX('Aub Demand'!Q:Q,MATCH($O108,'Aub Demand'!$A:$A,0))-IF(AN108="",0,AN108)+AD108))),"")</f>
        <v>704</v>
      </c>
      <c r="Y108" s="53" t="str">
        <f t="shared" si="32"/>
        <v>n/a</v>
      </c>
      <c r="Z108" s="52">
        <f>IF(L108="","",INDEX('Aub Demand'!H:H,MATCH($O108,'Aub Demand'!$A:$A,0)))</f>
        <v>0</v>
      </c>
      <c r="AA108" s="52" t="str">
        <f t="shared" si="33"/>
        <v>-spike-</v>
      </c>
      <c r="AB108" s="52">
        <f>IFERROR(INDEX('Aub Demand'!L:L,MATCH($O108,'Aub Demand'!$A:$A,0)),"")</f>
        <v>0</v>
      </c>
      <c r="AC108" s="52">
        <f>IFERROR(IF(O108="","",SUMIFS('CPL Mats'!F:F,'CPL Mats'!Q:Q,AR108,'CPL Mats'!S:S,AS108)),"")</f>
        <v>0</v>
      </c>
      <c r="AF108" s="25" t="str">
        <f>IF(SUMIFS('Supp Consol'!S:S,'Supp Consol'!Y:Y,"Releasable",'Supp Consol'!A:A,O108)=0,"",SUMIFS('Supp Consol'!S:S,'Supp Consol'!Y:Y,"Releasable",'Supp Consol'!A:A,O108))</f>
        <v/>
      </c>
      <c r="AG108" s="25" t="str">
        <f>IFERROR(INDEX('Hun Demand'!Q:Q,MATCH(O108,'Hun Demand'!A:A,0)),"")</f>
        <v/>
      </c>
      <c r="AH108" s="25" t="str">
        <f>IFERROR(INDEX('Hun Demand'!H:H,MATCH($O108,'Hun Demand'!$A:$A,0)),"")</f>
        <v/>
      </c>
      <c r="AI108" s="25" t="str">
        <f>IF(SUMIFS('Supp Consol'!AA:AA,'Supp Consol'!Z:Z,"Expires this month",'Supp Consol'!A:A,O108)=0,"",SUMIFS('Supp Consol'!AA:AA,'Supp Consol'!Z:Z,"Expires this month",'Supp Consol'!A:A,O108))</f>
        <v/>
      </c>
      <c r="AJ108" s="25" t="str">
        <f>IF(SUMIFS('Supp Consol'!AA:AA,'Supp Consol'!Z:Z,"Expired Previous Months",'Supp Consol'!A:A,O108)=0,"",SUMIFS('Supp Consol'!AA:AA,'Supp Consol'!Z:Z,"Expired Previous Months",'Supp Consol'!A:A,O108))</f>
        <v/>
      </c>
      <c r="AK108" s="25" t="str">
        <f>IFERROR(INDEX('Hun Release Current'!B:B,MATCH(O108,'Hun Release Current'!A:A,0)),"")</f>
        <v/>
      </c>
      <c r="AL108" s="25" t="str">
        <f>IF(SUMIF('Prev Aub'!A:A,O108,'Prev Aub'!B:B)=0,"",SUMIF('Prev Aub'!A:A,O108,'Prev Aub'!B:B))</f>
        <v/>
      </c>
      <c r="AN108" s="25" t="s">
        <v>3790</v>
      </c>
      <c r="AO108" s="25" t="s">
        <v>3790</v>
      </c>
      <c r="AP108" s="25">
        <f t="shared" si="34"/>
        <v>0</v>
      </c>
      <c r="AQ108" s="151" t="str">
        <f>IF(SUMIFS('Supp Consol'!S:S,'Supp Consol'!A:A,O108,'Supp Consol'!I:I,"PENDING")=0,"",SUMIFS('Supp Consol'!S:S,'Supp Consol'!A:A,O108,'Supp Consol'!I:I,"PENDING"))</f>
        <v/>
      </c>
      <c r="AR108" s="27" t="str">
        <f t="shared" si="35"/>
        <v>AB085</v>
      </c>
      <c r="AS108" s="27" t="str">
        <f t="shared" si="36"/>
        <v>50</v>
      </c>
      <c r="AT108" s="27" t="str">
        <f t="shared" si="37"/>
        <v/>
      </c>
      <c r="AU108" s="27" t="str">
        <f t="shared" si="38"/>
        <v/>
      </c>
      <c r="AV108" s="27" t="str">
        <f t="shared" si="39"/>
        <v/>
      </c>
      <c r="AW108" s="27" t="str">
        <f t="shared" si="40"/>
        <v/>
      </c>
      <c r="AX108" s="27" t="str">
        <f t="shared" si="41"/>
        <v/>
      </c>
      <c r="AY108" s="27" t="str">
        <f t="shared" si="42"/>
        <v/>
      </c>
      <c r="AZ108" s="27" t="str">
        <f t="shared" si="43"/>
        <v/>
      </c>
      <c r="BA108" s="27" t="str">
        <f t="shared" si="44"/>
        <v/>
      </c>
      <c r="BB108" s="27" t="str">
        <f t="shared" si="45"/>
        <v/>
      </c>
      <c r="BC108" s="27" t="str">
        <f t="shared" si="46"/>
        <v/>
      </c>
      <c r="BD108" s="27" t="str">
        <f t="shared" si="47"/>
        <v/>
      </c>
      <c r="BE108" s="27" t="str">
        <f t="shared" si="48"/>
        <v/>
      </c>
      <c r="BF108" s="27" t="str">
        <f t="shared" si="49"/>
        <v/>
      </c>
      <c r="BG108" s="27" t="str">
        <f t="shared" si="50"/>
        <v/>
      </c>
      <c r="BH108" s="27" t="str">
        <f t="shared" si="51"/>
        <v/>
      </c>
      <c r="BI108" s="27" t="str">
        <f t="shared" si="52"/>
        <v/>
      </c>
      <c r="BJ108" s="27" t="str">
        <f t="shared" si="53"/>
        <v/>
      </c>
      <c r="BK108" s="27" t="str">
        <f t="shared" si="54"/>
        <v/>
      </c>
      <c r="BL108" s="27" t="str">
        <f t="shared" si="55"/>
        <v/>
      </c>
      <c r="BM108" s="21" t="s">
        <v>3790</v>
      </c>
    </row>
    <row r="109" spans="1:65" ht="15">
      <c r="A109" s="25" t="str">
        <f>IFERROR(INDEX('Hun Demand'!W:W,MATCH(O109,'Hun Demand'!A:A,0)),"")</f>
        <v/>
      </c>
      <c r="B109" s="25" t="str">
        <f>IFERROR(INDEX('Hun Demand'!V:V,MATCH(O109,'Hun Demand'!A:A,0)),"")</f>
        <v/>
      </c>
      <c r="C109" s="25" t="str">
        <f>IFERROR(INDEX('Hun Demand'!U:U,MATCH(O109,'Hun Demand'!A:A,0)),"")</f>
        <v/>
      </c>
      <c r="D109" s="25" t="str">
        <f>IFERROR(INDEX('Hun Demand'!T:T,MATCH(O109,'Hun Demand'!A:A,0)),"")</f>
        <v/>
      </c>
      <c r="E109" s="25" t="str">
        <f>IFERROR(INDEX('Hun Demand'!S:S,MATCH(O109,'Hun Demand'!A:A,0)),"")</f>
        <v/>
      </c>
      <c r="F109" s="25" t="str">
        <f>IFERROR(INDEX('Hun Demand'!R:R,MATCH(O109,'Hun Demand'!A:A,0)),"")</f>
        <v/>
      </c>
      <c r="G109" s="25">
        <f>IFERROR(INDEX('Aub Demand'!W:W,MATCH(O109,'Aub Demand'!A:A,0)),"")</f>
        <v>0</v>
      </c>
      <c r="H109" s="25">
        <f>IFERROR(INDEX('Aub Demand'!V:V,MATCH(O109,'Aub Demand'!A:A,0)),"")</f>
        <v>0</v>
      </c>
      <c r="I109" s="25">
        <f>IFERROR(INDEX('Aub Demand'!U:U,MATCH(O109,'Aub Demand'!A:A,0)),"")</f>
        <v>0</v>
      </c>
      <c r="J109" s="25">
        <f>IFERROR(INDEX('Aub Demand'!T:T,MATCH(O109,'Aub Demand'!A:A,0)),"")</f>
        <v>25</v>
      </c>
      <c r="K109" s="25">
        <f>IFERROR(INDEX('Aub Demand'!S:S,MATCH(O109,'Aub Demand'!A:A,0)),"")</f>
        <v>0</v>
      </c>
      <c r="L109" s="25">
        <f>IFERROR(INDEX('Aub Demand'!R:R,MATCH(O109,'Aub Demand'!A:A,0)),"")</f>
        <v>0</v>
      </c>
      <c r="O109" s="27" t="s">
        <v>5558</v>
      </c>
      <c r="P109" s="27" t="str">
        <f>IFERROR(INDEX('Aub Demand'!B:B,MATCH($O109,'Aub Demand'!$A:$A,0)),"")</f>
        <v>OCEANIC ALLURE</v>
      </c>
      <c r="Q109" s="27">
        <f>IFERROR(INDEX('Aub Demand'!C:C,MATCH($O109,'Aub Demand'!$A:$A,0)),"")</f>
        <v>0</v>
      </c>
      <c r="R109" s="52">
        <f>IFERROR(IF(AR110=AR109,INDEX('Aub Demand'!K:K,MATCH($O109,'Aub Demand'!$A:$A,0))-IF(AN109="",0,AN109)+AP110,INDEX('Aub Demand'!K:K,MATCH($O109,'Aub Demand'!$A:$A,0))-IF(AN109="",0,AN109)),"")</f>
        <v>0</v>
      </c>
      <c r="S109" s="53">
        <f t="shared" si="28"/>
        <v>0</v>
      </c>
      <c r="T109" s="52" t="str">
        <f t="shared" si="29"/>
        <v/>
      </c>
      <c r="U109" s="52">
        <f>IFERROR(IF(AR110=AR109,INDEX('Aub Demand'!Q:Q,MATCH($O109,'Aub Demand'!$A:$A,0))-IF(AN109="",0,AN109)+AP110,INDEX('Aub Demand'!Q:Q,MATCH($O109,'Aub Demand'!$A:$A,0))-IF(AN109="",0,AN109)),"")</f>
        <v>0</v>
      </c>
      <c r="V109" s="53">
        <f t="shared" si="30"/>
        <v>0</v>
      </c>
      <c r="W109" s="52" t="str">
        <f t="shared" si="31"/>
        <v/>
      </c>
      <c r="X109" s="52">
        <f>IFERROR(IF(AND(AR110=AR109,AM109&lt;&gt;""),INDEX('Aub Demand'!Q:Q,MATCH($O109,'Aub Demand'!$A:$A,0))-IF(AN109="",0,AN109)+AP110+AD109+AL109,IF(AR110=AR109,INDEX('Aub Demand'!Q:Q,MATCH($O109,'Aub Demand'!$A:$A,0))-IF(AN109="",0,AN109)+AP110+AD109,IF(AM109&lt;&gt;"",INDEX('Aub Demand'!Q:Q,MATCH($O109,'Aub Demand'!$A:$A,0))-IF(AN109="",0,AN109)+AD109+AL109,INDEX('Aub Demand'!Q:Q,MATCH($O109,'Aub Demand'!$A:$A,0))-IF(AN109="",0,AN109)+AD109))),"")</f>
        <v>0</v>
      </c>
      <c r="Y109" s="53">
        <f t="shared" si="32"/>
        <v>0</v>
      </c>
      <c r="Z109" s="52">
        <f>IF(L109="","",INDEX('Aub Demand'!H:H,MATCH($O109,'Aub Demand'!$A:$A,0)))</f>
        <v>8</v>
      </c>
      <c r="AA109" s="52" t="str">
        <f t="shared" si="33"/>
        <v>-spike-</v>
      </c>
      <c r="AB109" s="52">
        <f>IFERROR(INDEX('Aub Demand'!L:L,MATCH($O109,'Aub Demand'!$A:$A,0)),"")</f>
        <v>13</v>
      </c>
      <c r="AC109" s="52">
        <f>IFERROR(IF(O109="","",SUMIFS('CPL Mats'!F:F,'CPL Mats'!Q:Q,AR109,'CPL Mats'!S:S,AS109)),"")</f>
        <v>0</v>
      </c>
      <c r="AF109" s="25" t="str">
        <f>IF(SUMIFS('Supp Consol'!S:S,'Supp Consol'!Y:Y,"Releasable",'Supp Consol'!A:A,O109)=0,"",SUMIFS('Supp Consol'!S:S,'Supp Consol'!Y:Y,"Releasable",'Supp Consol'!A:A,O109))</f>
        <v/>
      </c>
      <c r="AG109" s="25" t="str">
        <f>IFERROR(INDEX('Hun Demand'!Q:Q,MATCH(O109,'Hun Demand'!A:A,0)),"")</f>
        <v/>
      </c>
      <c r="AH109" s="25" t="str">
        <f>IFERROR(INDEX('Hun Demand'!H:H,MATCH($O109,'Hun Demand'!$A:$A,0)),"")</f>
        <v/>
      </c>
      <c r="AI109" s="25" t="str">
        <f>IF(SUMIFS('Supp Consol'!AA:AA,'Supp Consol'!Z:Z,"Expires this month",'Supp Consol'!A:A,O109)=0,"",SUMIFS('Supp Consol'!AA:AA,'Supp Consol'!Z:Z,"Expires this month",'Supp Consol'!A:A,O109))</f>
        <v/>
      </c>
      <c r="AJ109" s="25" t="str">
        <f>IF(SUMIFS('Supp Consol'!AA:AA,'Supp Consol'!Z:Z,"Expired Previous Months",'Supp Consol'!A:A,O109)=0,"",SUMIFS('Supp Consol'!AA:AA,'Supp Consol'!Z:Z,"Expired Previous Months",'Supp Consol'!A:A,O109))</f>
        <v/>
      </c>
      <c r="AK109" s="25" t="str">
        <f>IFERROR(INDEX('Hun Release Current'!B:B,MATCH(O109,'Hun Release Current'!A:A,0)),"")</f>
        <v/>
      </c>
      <c r="AL109" s="25" t="str">
        <f>IF(SUMIF('Prev Aub'!A:A,O109,'Prev Aub'!B:B)=0,"",SUMIF('Prev Aub'!A:A,O109,'Prev Aub'!B:B))</f>
        <v/>
      </c>
      <c r="AN109" s="25" t="s">
        <v>3790</v>
      </c>
      <c r="AO109" s="25" t="s">
        <v>3790</v>
      </c>
      <c r="AP109" s="25">
        <f t="shared" si="34"/>
        <v>0</v>
      </c>
      <c r="AQ109" s="151" t="str">
        <f>IF(SUMIFS('Supp Consol'!S:S,'Supp Consol'!A:A,O109,'Supp Consol'!I:I,"PENDING")=0,"",SUMIFS('Supp Consol'!S:S,'Supp Consol'!A:A,O109,'Supp Consol'!I:I,"PENDING"))</f>
        <v/>
      </c>
      <c r="AR109" s="27" t="str">
        <f t="shared" si="35"/>
        <v>AB201</v>
      </c>
      <c r="AS109" s="27" t="str">
        <f t="shared" si="36"/>
        <v>50</v>
      </c>
      <c r="AT109" s="27" t="str">
        <f t="shared" si="37"/>
        <v>AB201</v>
      </c>
      <c r="AU109" s="27" t="str">
        <f t="shared" si="38"/>
        <v>AB201</v>
      </c>
      <c r="AV109" s="27" t="str">
        <f t="shared" si="39"/>
        <v>AB201</v>
      </c>
      <c r="AW109" s="27" t="str">
        <f t="shared" si="40"/>
        <v/>
      </c>
      <c r="AX109" s="27" t="str">
        <f t="shared" si="41"/>
        <v/>
      </c>
      <c r="AY109" s="27" t="str">
        <f t="shared" si="42"/>
        <v/>
      </c>
      <c r="AZ109" s="27" t="str">
        <f t="shared" si="43"/>
        <v/>
      </c>
      <c r="BA109" s="27" t="str">
        <f t="shared" si="44"/>
        <v/>
      </c>
      <c r="BB109" s="27" t="str">
        <f t="shared" si="45"/>
        <v>Gross</v>
      </c>
      <c r="BC109" s="27" t="str">
        <f t="shared" si="46"/>
        <v>Net</v>
      </c>
      <c r="BD109" s="27" t="str">
        <f t="shared" si="47"/>
        <v>Net</v>
      </c>
      <c r="BE109" s="27" t="str">
        <f t="shared" si="48"/>
        <v/>
      </c>
      <c r="BF109" s="27" t="str">
        <f t="shared" si="49"/>
        <v/>
      </c>
      <c r="BG109" s="27" t="str">
        <f t="shared" si="50"/>
        <v/>
      </c>
      <c r="BH109" s="27" t="str">
        <f t="shared" si="51"/>
        <v/>
      </c>
      <c r="BI109" s="27" t="str">
        <f t="shared" si="52"/>
        <v/>
      </c>
      <c r="BJ109" s="27" t="str">
        <f t="shared" si="53"/>
        <v/>
      </c>
      <c r="BK109" s="27" t="str">
        <f t="shared" si="54"/>
        <v/>
      </c>
      <c r="BL109" s="27" t="str">
        <f t="shared" si="55"/>
        <v/>
      </c>
      <c r="BM109" s="21" t="s">
        <v>5581</v>
      </c>
    </row>
    <row r="110" spans="1:65" ht="15">
      <c r="A110" s="25" t="str">
        <f>IFERROR(INDEX('Hun Demand'!W:W,MATCH(O110,'Hun Demand'!A:A,0)),"")</f>
        <v/>
      </c>
      <c r="B110" s="25" t="str">
        <f>IFERROR(INDEX('Hun Demand'!V:V,MATCH(O110,'Hun Demand'!A:A,0)),"")</f>
        <v/>
      </c>
      <c r="C110" s="25" t="str">
        <f>IFERROR(INDEX('Hun Demand'!U:U,MATCH(O110,'Hun Demand'!A:A,0)),"")</f>
        <v/>
      </c>
      <c r="D110" s="25" t="str">
        <f>IFERROR(INDEX('Hun Demand'!T:T,MATCH(O110,'Hun Demand'!A:A,0)),"")</f>
        <v/>
      </c>
      <c r="E110" s="25" t="str">
        <f>IFERROR(INDEX('Hun Demand'!S:S,MATCH(O110,'Hun Demand'!A:A,0)),"")</f>
        <v/>
      </c>
      <c r="F110" s="25" t="str">
        <f>IFERROR(INDEX('Hun Demand'!R:R,MATCH(O110,'Hun Demand'!A:A,0)),"")</f>
        <v/>
      </c>
      <c r="G110" s="25">
        <f>IFERROR(INDEX('Aub Demand'!W:W,MATCH(O110,'Aub Demand'!A:A,0)),"")</f>
        <v>11</v>
      </c>
      <c r="H110" s="25">
        <f>IFERROR(INDEX('Aub Demand'!V:V,MATCH(O110,'Aub Demand'!A:A,0)),"")</f>
        <v>0</v>
      </c>
      <c r="I110" s="25">
        <f>IFERROR(INDEX('Aub Demand'!U:U,MATCH(O110,'Aub Demand'!A:A,0)),"")</f>
        <v>11</v>
      </c>
      <c r="J110" s="25">
        <f>IFERROR(INDEX('Aub Demand'!T:T,MATCH(O110,'Aub Demand'!A:A,0)),"")</f>
        <v>6</v>
      </c>
      <c r="K110" s="25">
        <f>IFERROR(INDEX('Aub Demand'!S:S,MATCH(O110,'Aub Demand'!A:A,0)),"")</f>
        <v>15</v>
      </c>
      <c r="L110" s="25">
        <f>IFERROR(INDEX('Aub Demand'!R:R,MATCH(O110,'Aub Demand'!A:A,0)),"")</f>
        <v>0</v>
      </c>
      <c r="O110" s="27" t="s">
        <v>3317</v>
      </c>
      <c r="P110" s="27" t="str">
        <f>IFERROR(INDEX('Aub Demand'!B:B,MATCH($O110,'Aub Demand'!$A:$A,0)),"")</f>
        <v>OCEANIC ALLURE</v>
      </c>
      <c r="Q110" s="27" t="str">
        <f>IFERROR(INDEX('Aub Demand'!C:C,MATCH($O110,'Aub Demand'!$A:$A,0)),"")</f>
        <v>INTER</v>
      </c>
      <c r="R110" s="52">
        <f>IFERROR(IF(AR111=AR110,INDEX('Aub Demand'!K:K,MATCH($O110,'Aub Demand'!$A:$A,0))-IF(AN110="",0,AN110)+AP111,INDEX('Aub Demand'!K:K,MATCH($O110,'Aub Demand'!$A:$A,0))-IF(AN110="",0,AN110)),"")</f>
        <v>188</v>
      </c>
      <c r="S110" s="53">
        <f t="shared" si="28"/>
        <v>73.2</v>
      </c>
      <c r="T110" s="52" t="str">
        <f t="shared" si="29"/>
        <v/>
      </c>
      <c r="U110" s="52">
        <f>IFERROR(IF(AR111=AR110,INDEX('Aub Demand'!Q:Q,MATCH($O110,'Aub Demand'!$A:$A,0))-IF(AN110="",0,AN110)+AP111,INDEX('Aub Demand'!Q:Q,MATCH($O110,'Aub Demand'!$A:$A,0))-IF(AN110="",0,AN110)),"")</f>
        <v>188</v>
      </c>
      <c r="V110" s="53">
        <f t="shared" si="30"/>
        <v>73.2</v>
      </c>
      <c r="W110" s="52" t="str">
        <f t="shared" si="31"/>
        <v/>
      </c>
      <c r="X110" s="52">
        <f>IFERROR(IF(AND(AR111=AR110,AM110&lt;&gt;""),INDEX('Aub Demand'!Q:Q,MATCH($O110,'Aub Demand'!$A:$A,0))-IF(AN110="",0,AN110)+AP111+AD110+AL110,IF(AR111=AR110,INDEX('Aub Demand'!Q:Q,MATCH($O110,'Aub Demand'!$A:$A,0))-IF(AN110="",0,AN110)+AP111+AD110,IF(AM110&lt;&gt;"",INDEX('Aub Demand'!Q:Q,MATCH($O110,'Aub Demand'!$A:$A,0))-IF(AN110="",0,AN110)+AD110+AL110,INDEX('Aub Demand'!Q:Q,MATCH($O110,'Aub Demand'!$A:$A,0))-IF(AN110="",0,AN110)+AD110))),"")</f>
        <v>188</v>
      </c>
      <c r="Y110" s="53">
        <f t="shared" si="32"/>
        <v>73.2</v>
      </c>
      <c r="Z110" s="52">
        <f>IF(L110="","",INDEX('Aub Demand'!H:H,MATCH($O110,'Aub Demand'!$A:$A,0)))</f>
        <v>11</v>
      </c>
      <c r="AA110" s="52">
        <f t="shared" si="33"/>
        <v>13</v>
      </c>
      <c r="AB110" s="52">
        <f>IFERROR(INDEX('Aub Demand'!L:L,MATCH($O110,'Aub Demand'!$A:$A,0)),"")</f>
        <v>2</v>
      </c>
      <c r="AC110" s="52">
        <f>IFERROR(IF(O110="","",SUMIFS('CPL Mats'!F:F,'CPL Mats'!Q:Q,AR110,'CPL Mats'!S:S,AS110)),"")</f>
        <v>0</v>
      </c>
      <c r="AF110" s="25" t="str">
        <f>IF(SUMIFS('Supp Consol'!S:S,'Supp Consol'!Y:Y,"Releasable",'Supp Consol'!A:A,O110)=0,"",SUMIFS('Supp Consol'!S:S,'Supp Consol'!Y:Y,"Releasable",'Supp Consol'!A:A,O110))</f>
        <v/>
      </c>
      <c r="AG110" s="25" t="str">
        <f>IFERROR(INDEX('Hun Demand'!Q:Q,MATCH(O110,'Hun Demand'!A:A,0)),"")</f>
        <v/>
      </c>
      <c r="AH110" s="25" t="str">
        <f>IFERROR(INDEX('Hun Demand'!H:H,MATCH($O110,'Hun Demand'!$A:$A,0)),"")</f>
        <v/>
      </c>
      <c r="AI110" s="25" t="str">
        <f>IF(SUMIFS('Supp Consol'!AA:AA,'Supp Consol'!Z:Z,"Expires this month",'Supp Consol'!A:A,O110)=0,"",SUMIFS('Supp Consol'!AA:AA,'Supp Consol'!Z:Z,"Expires this month",'Supp Consol'!A:A,O110))</f>
        <v/>
      </c>
      <c r="AJ110" s="25" t="str">
        <f>IF(SUMIFS('Supp Consol'!AA:AA,'Supp Consol'!Z:Z,"Expired Previous Months",'Supp Consol'!A:A,O110)=0,"",SUMIFS('Supp Consol'!AA:AA,'Supp Consol'!Z:Z,"Expired Previous Months",'Supp Consol'!A:A,O110))</f>
        <v/>
      </c>
      <c r="AK110" s="25" t="str">
        <f>IFERROR(INDEX('Hun Release Current'!B:B,MATCH(O110,'Hun Release Current'!A:A,0)),"")</f>
        <v/>
      </c>
      <c r="AL110" s="25" t="str">
        <f>IF(SUMIF('Prev Aub'!A:A,O110,'Prev Aub'!B:B)=0,"",SUMIF('Prev Aub'!A:A,O110,'Prev Aub'!B:B))</f>
        <v/>
      </c>
      <c r="AN110" s="25" t="s">
        <v>3790</v>
      </c>
      <c r="AO110" s="25" t="s">
        <v>3790</v>
      </c>
      <c r="AP110" s="25">
        <f t="shared" si="34"/>
        <v>0</v>
      </c>
      <c r="AQ110" s="151" t="str">
        <f>IF(SUMIFS('Supp Consol'!S:S,'Supp Consol'!A:A,O110,'Supp Consol'!I:I,"PENDING")=0,"",SUMIFS('Supp Consol'!S:S,'Supp Consol'!A:A,O110,'Supp Consol'!I:I,"PENDING"))</f>
        <v/>
      </c>
      <c r="AR110" s="27" t="str">
        <f t="shared" si="35"/>
        <v>AB201</v>
      </c>
      <c r="AS110" s="27" t="str">
        <f t="shared" si="36"/>
        <v>62</v>
      </c>
      <c r="AT110" s="27" t="str">
        <f t="shared" si="37"/>
        <v/>
      </c>
      <c r="AU110" s="27" t="str">
        <f t="shared" si="38"/>
        <v/>
      </c>
      <c r="AV110" s="27" t="str">
        <f t="shared" si="39"/>
        <v/>
      </c>
      <c r="AW110" s="27" t="str">
        <f t="shared" si="40"/>
        <v/>
      </c>
      <c r="AX110" s="27" t="str">
        <f t="shared" si="41"/>
        <v/>
      </c>
      <c r="AY110" s="27" t="str">
        <f t="shared" si="42"/>
        <v/>
      </c>
      <c r="AZ110" s="27" t="str">
        <f t="shared" si="43"/>
        <v/>
      </c>
      <c r="BA110" s="27" t="str">
        <f t="shared" si="44"/>
        <v/>
      </c>
      <c r="BB110" s="27" t="str">
        <f t="shared" si="45"/>
        <v>Gross</v>
      </c>
      <c r="BC110" s="27" t="str">
        <f t="shared" si="46"/>
        <v>Net</v>
      </c>
      <c r="BD110" s="27" t="str">
        <f t="shared" si="47"/>
        <v>Net</v>
      </c>
      <c r="BE110" s="27" t="str">
        <f t="shared" si="48"/>
        <v/>
      </c>
      <c r="BF110" s="27" t="str">
        <f t="shared" si="49"/>
        <v/>
      </c>
      <c r="BG110" s="27" t="str">
        <f t="shared" si="50"/>
        <v/>
      </c>
      <c r="BH110" s="27" t="str">
        <f t="shared" si="51"/>
        <v/>
      </c>
      <c r="BI110" s="27" t="str">
        <f t="shared" si="52"/>
        <v/>
      </c>
      <c r="BJ110" s="27" t="str">
        <f t="shared" si="53"/>
        <v/>
      </c>
      <c r="BK110" s="27" t="str">
        <f t="shared" si="54"/>
        <v/>
      </c>
      <c r="BL110" s="27" t="str">
        <f t="shared" si="55"/>
        <v/>
      </c>
      <c r="BM110" s="21" t="s">
        <v>5581</v>
      </c>
    </row>
    <row r="111" spans="1:65" ht="15">
      <c r="A111" s="25" t="str">
        <f>IFERROR(INDEX('Hun Demand'!W:W,MATCH(O111,'Hun Demand'!A:A,0)),"")</f>
        <v/>
      </c>
      <c r="B111" s="25" t="str">
        <f>IFERROR(INDEX('Hun Demand'!V:V,MATCH(O111,'Hun Demand'!A:A,0)),"")</f>
        <v/>
      </c>
      <c r="C111" s="25" t="str">
        <f>IFERROR(INDEX('Hun Demand'!U:U,MATCH(O111,'Hun Demand'!A:A,0)),"")</f>
        <v/>
      </c>
      <c r="D111" s="25" t="str">
        <f>IFERROR(INDEX('Hun Demand'!T:T,MATCH(O111,'Hun Demand'!A:A,0)),"")</f>
        <v/>
      </c>
      <c r="E111" s="25" t="str">
        <f>IFERROR(INDEX('Hun Demand'!S:S,MATCH(O111,'Hun Demand'!A:A,0)),"")</f>
        <v/>
      </c>
      <c r="F111" s="25" t="str">
        <f>IFERROR(INDEX('Hun Demand'!R:R,MATCH(O111,'Hun Demand'!A:A,0)),"")</f>
        <v/>
      </c>
      <c r="G111" s="25">
        <f>IFERROR(INDEX('Aub Demand'!W:W,MATCH(O111,'Aub Demand'!A:A,0)),"")</f>
        <v>0</v>
      </c>
      <c r="H111" s="25">
        <f>IFERROR(INDEX('Aub Demand'!V:V,MATCH(O111,'Aub Demand'!A:A,0)),"")</f>
        <v>29</v>
      </c>
      <c r="I111" s="25">
        <f>IFERROR(INDEX('Aub Demand'!U:U,MATCH(O111,'Aub Demand'!A:A,0)),"")</f>
        <v>98</v>
      </c>
      <c r="J111" s="25">
        <f>IFERROR(INDEX('Aub Demand'!T:T,MATCH(O111,'Aub Demand'!A:A,0)),"")</f>
        <v>0</v>
      </c>
      <c r="K111" s="25">
        <f>IFERROR(INDEX('Aub Demand'!S:S,MATCH(O111,'Aub Demand'!A:A,0)),"")</f>
        <v>137</v>
      </c>
      <c r="L111" s="25">
        <f>IFERROR(INDEX('Aub Demand'!R:R,MATCH(O111,'Aub Demand'!A:A,0)),"")</f>
        <v>0</v>
      </c>
      <c r="O111" s="27" t="s">
        <v>273</v>
      </c>
      <c r="P111" s="27" t="str">
        <f>IFERROR(INDEX('Aub Demand'!B:B,MATCH($O111,'Aub Demand'!$A:$A,0)),"")</f>
        <v>CRADLE OF LIBERTY</v>
      </c>
      <c r="Q111" s="27" t="str">
        <f>IFERROR(INDEX('Aub Demand'!C:C,MATCH($O111,'Aub Demand'!$A:$A,0)),"")</f>
        <v>SUDDE</v>
      </c>
      <c r="R111" s="52">
        <f>IFERROR(IF(AR112=AR111,INDEX('Aub Demand'!K:K,MATCH($O111,'Aub Demand'!$A:$A,0))-IF(AN111="",0,AN111)+AP112,INDEX('Aub Demand'!K:K,MATCH($O111,'Aub Demand'!$A:$A,0))-IF(AN111="",0,AN111)),"")</f>
        <v>1797</v>
      </c>
      <c r="S111" s="53">
        <f t="shared" si="28"/>
        <v>98.7</v>
      </c>
      <c r="T111" s="52" t="str">
        <f t="shared" si="29"/>
        <v/>
      </c>
      <c r="U111" s="52">
        <f>IFERROR(IF(AR112=AR111,INDEX('Aub Demand'!Q:Q,MATCH($O111,'Aub Demand'!$A:$A,0))-IF(AN111="",0,AN111)+AP112,INDEX('Aub Demand'!Q:Q,MATCH($O111,'Aub Demand'!$A:$A,0))-IF(AN111="",0,AN111)),"")</f>
        <v>1786</v>
      </c>
      <c r="V111" s="53">
        <f t="shared" si="30"/>
        <v>98.1</v>
      </c>
      <c r="W111" s="52" t="str">
        <f t="shared" si="31"/>
        <v/>
      </c>
      <c r="X111" s="52">
        <f>IFERROR(IF(AND(AR112=AR111,AM111&lt;&gt;""),INDEX('Aub Demand'!Q:Q,MATCH($O111,'Aub Demand'!$A:$A,0))-IF(AN111="",0,AN111)+AP112+AD111+AL111,IF(AR112=AR111,INDEX('Aub Demand'!Q:Q,MATCH($O111,'Aub Demand'!$A:$A,0))-IF(AN111="",0,AN111)+AP112+AD111,IF(AM111&lt;&gt;"",INDEX('Aub Demand'!Q:Q,MATCH($O111,'Aub Demand'!$A:$A,0))-IF(AN111="",0,AN111)+AD111+AL111,INDEX('Aub Demand'!Q:Q,MATCH($O111,'Aub Demand'!$A:$A,0))-IF(AN111="",0,AN111)+AD111))),"")</f>
        <v>1786</v>
      </c>
      <c r="Y111" s="53">
        <f t="shared" si="32"/>
        <v>98.1</v>
      </c>
      <c r="Z111" s="52">
        <f>IF(L111="","",INDEX('Aub Demand'!H:H,MATCH($O111,'Aub Demand'!$A:$A,0)))</f>
        <v>78</v>
      </c>
      <c r="AA111" s="52">
        <f t="shared" si="33"/>
        <v>117.5</v>
      </c>
      <c r="AB111" s="52">
        <f>IFERROR(INDEX('Aub Demand'!L:L,MATCH($O111,'Aub Demand'!$A:$A,0)),"")</f>
        <v>183</v>
      </c>
      <c r="AC111" s="52">
        <f>IFERROR(IF(O111="","",SUMIFS('CPL Mats'!F:F,'CPL Mats'!Q:Q,AR111,'CPL Mats'!S:S,AS111)),"")</f>
        <v>1900</v>
      </c>
      <c r="AF111" s="25" t="str">
        <f>IF(SUMIFS('Supp Consol'!S:S,'Supp Consol'!Y:Y,"Releasable",'Supp Consol'!A:A,O111)=0,"",SUMIFS('Supp Consol'!S:S,'Supp Consol'!Y:Y,"Releasable",'Supp Consol'!A:A,O111))</f>
        <v/>
      </c>
      <c r="AG111" s="25" t="str">
        <f>IFERROR(INDEX('Hun Demand'!Q:Q,MATCH(O111,'Hun Demand'!A:A,0)),"")</f>
        <v/>
      </c>
      <c r="AH111" s="25" t="str">
        <f>IFERROR(INDEX('Hun Demand'!H:H,MATCH($O111,'Hun Demand'!$A:$A,0)),"")</f>
        <v/>
      </c>
      <c r="AI111" s="25" t="str">
        <f>IF(SUMIFS('Supp Consol'!AA:AA,'Supp Consol'!Z:Z,"Expires this month",'Supp Consol'!A:A,O111)=0,"",SUMIFS('Supp Consol'!AA:AA,'Supp Consol'!Z:Z,"Expires this month",'Supp Consol'!A:A,O111))</f>
        <v/>
      </c>
      <c r="AJ111" s="25" t="str">
        <f>IF(SUMIFS('Supp Consol'!AA:AA,'Supp Consol'!Z:Z,"Expired Previous Months",'Supp Consol'!A:A,O111)=0,"",SUMIFS('Supp Consol'!AA:AA,'Supp Consol'!Z:Z,"Expired Previous Months",'Supp Consol'!A:A,O111))</f>
        <v/>
      </c>
      <c r="AK111" s="25" t="str">
        <f>IFERROR(INDEX('Hun Release Current'!B:B,MATCH(O111,'Hun Release Current'!A:A,0)),"")</f>
        <v/>
      </c>
      <c r="AL111" s="25" t="str">
        <f>IF(SUMIF('Prev Aub'!A:A,O111,'Prev Aub'!B:B)=0,"",SUMIF('Prev Aub'!A:A,O111,'Prev Aub'!B:B))</f>
        <v/>
      </c>
      <c r="AN111" s="25" t="s">
        <v>3790</v>
      </c>
      <c r="AO111" s="25" t="s">
        <v>3790</v>
      </c>
      <c r="AP111" s="25">
        <f t="shared" si="34"/>
        <v>0</v>
      </c>
      <c r="AQ111" s="151" t="str">
        <f>IF(SUMIFS('Supp Consol'!S:S,'Supp Consol'!A:A,O111,'Supp Consol'!I:I,"PENDING")=0,"",SUMIFS('Supp Consol'!S:S,'Supp Consol'!A:A,O111,'Supp Consol'!I:I,"PENDING"))</f>
        <v/>
      </c>
      <c r="AR111" s="27" t="str">
        <f t="shared" si="35"/>
        <v>AB221</v>
      </c>
      <c r="AS111" s="27" t="str">
        <f t="shared" si="36"/>
        <v>50</v>
      </c>
      <c r="AT111" s="27" t="str">
        <f t="shared" si="37"/>
        <v/>
      </c>
      <c r="AU111" s="27" t="str">
        <f t="shared" si="38"/>
        <v/>
      </c>
      <c r="AV111" s="27" t="str">
        <f t="shared" si="39"/>
        <v/>
      </c>
      <c r="AW111" s="27" t="str">
        <f t="shared" si="40"/>
        <v/>
      </c>
      <c r="AX111" s="27" t="str">
        <f t="shared" si="41"/>
        <v/>
      </c>
      <c r="AY111" s="27" t="str">
        <f t="shared" si="42"/>
        <v/>
      </c>
      <c r="AZ111" s="27" t="str">
        <f t="shared" si="43"/>
        <v/>
      </c>
      <c r="BA111" s="27" t="str">
        <f t="shared" si="44"/>
        <v>Hun</v>
      </c>
      <c r="BB111" s="27" t="str">
        <f t="shared" si="45"/>
        <v/>
      </c>
      <c r="BC111" s="27" t="str">
        <f t="shared" si="46"/>
        <v/>
      </c>
      <c r="BD111" s="27" t="str">
        <f t="shared" si="47"/>
        <v/>
      </c>
      <c r="BE111" s="27" t="str">
        <f t="shared" si="48"/>
        <v/>
      </c>
      <c r="BF111" s="27" t="str">
        <f t="shared" si="49"/>
        <v/>
      </c>
      <c r="BG111" s="27" t="str">
        <f t="shared" si="50"/>
        <v/>
      </c>
      <c r="BH111" s="27" t="str">
        <f t="shared" si="51"/>
        <v/>
      </c>
      <c r="BI111" s="27" t="str">
        <f t="shared" si="52"/>
        <v/>
      </c>
      <c r="BJ111" s="27" t="str">
        <f t="shared" si="53"/>
        <v>Supp or Hun</v>
      </c>
      <c r="BK111" s="27" t="str">
        <f t="shared" si="54"/>
        <v/>
      </c>
      <c r="BL111" s="27" t="str">
        <f t="shared" si="55"/>
        <v/>
      </c>
      <c r="BM111" s="21" t="s">
        <v>5581</v>
      </c>
    </row>
    <row r="112" spans="1:65" ht="15">
      <c r="A112" s="25">
        <f>IFERROR(INDEX('Hun Demand'!W:W,MATCH(O112,'Hun Demand'!A:A,0)),"")</f>
        <v>0</v>
      </c>
      <c r="B112" s="25">
        <f>IFERROR(INDEX('Hun Demand'!V:V,MATCH(O112,'Hun Demand'!A:A,0)),"")</f>
        <v>0</v>
      </c>
      <c r="C112" s="25">
        <f>IFERROR(INDEX('Hun Demand'!U:U,MATCH(O112,'Hun Demand'!A:A,0)),"")</f>
        <v>0</v>
      </c>
      <c r="D112" s="25">
        <f>IFERROR(INDEX('Hun Demand'!T:T,MATCH(O112,'Hun Demand'!A:A,0)),"")</f>
        <v>0</v>
      </c>
      <c r="E112" s="25">
        <f>IFERROR(INDEX('Hun Demand'!S:S,MATCH(O112,'Hun Demand'!A:A,0)),"")</f>
        <v>0</v>
      </c>
      <c r="F112" s="25">
        <f>IFERROR(INDEX('Hun Demand'!R:R,MATCH(O112,'Hun Demand'!A:A,0)),"")</f>
        <v>0</v>
      </c>
      <c r="G112" s="25">
        <f>IFERROR(INDEX('Aub Demand'!W:W,MATCH(O112,'Aub Demand'!A:A,0)),"")</f>
        <v>129</v>
      </c>
      <c r="H112" s="25">
        <f>IFERROR(INDEX('Aub Demand'!V:V,MATCH(O112,'Aub Demand'!A:A,0)),"")</f>
        <v>0</v>
      </c>
      <c r="I112" s="25">
        <f>IFERROR(INDEX('Aub Demand'!U:U,MATCH(O112,'Aub Demand'!A:A,0)),"")</f>
        <v>69</v>
      </c>
      <c r="J112" s="25">
        <f>IFERROR(INDEX('Aub Demand'!T:T,MATCH(O112,'Aub Demand'!A:A,0)),"")</f>
        <v>25</v>
      </c>
      <c r="K112" s="25">
        <f>IFERROR(INDEX('Aub Demand'!S:S,MATCH(O112,'Aub Demand'!A:A,0)),"")</f>
        <v>24</v>
      </c>
      <c r="L112" s="25">
        <f>IFERROR(INDEX('Aub Demand'!R:R,MATCH(O112,'Aub Demand'!A:A,0)),"")</f>
        <v>0</v>
      </c>
      <c r="O112" s="27" t="s">
        <v>277</v>
      </c>
      <c r="P112" s="27" t="str">
        <f>IFERROR(INDEX('Aub Demand'!B:B,MATCH($O112,'Aub Demand'!$A:$A,0)),"")</f>
        <v>CRADLE OF LIBERTY</v>
      </c>
      <c r="Q112" s="27" t="str">
        <f>IFERROR(INDEX('Aub Demand'!C:C,MATCH($O112,'Aub Demand'!$A:$A,0)),"")</f>
        <v>SUDDE</v>
      </c>
      <c r="R112" s="52">
        <f>IFERROR(IF(AR113=AR112,INDEX('Aub Demand'!K:K,MATCH($O112,'Aub Demand'!$A:$A,0))-IF(AN112="",0,AN112)+AP113,INDEX('Aub Demand'!K:K,MATCH($O112,'Aub Demand'!$A:$A,0))-IF(AN112="",0,AN112)),"")</f>
        <v>2939</v>
      </c>
      <c r="S112" s="53">
        <f t="shared" si="28"/>
        <v>323</v>
      </c>
      <c r="T112" s="52" t="str">
        <f t="shared" si="29"/>
        <v/>
      </c>
      <c r="U112" s="52">
        <f>IFERROR(IF(AR113=AR112,INDEX('Aub Demand'!Q:Q,MATCH($O112,'Aub Demand'!$A:$A,0))-IF(AN112="",0,AN112)+AP113,INDEX('Aub Demand'!Q:Q,MATCH($O112,'Aub Demand'!$A:$A,0))-IF(AN112="",0,AN112)),"")</f>
        <v>2912</v>
      </c>
      <c r="V112" s="53">
        <f t="shared" si="30"/>
        <v>320</v>
      </c>
      <c r="W112" s="52" t="str">
        <f t="shared" si="31"/>
        <v/>
      </c>
      <c r="X112" s="52">
        <f>IFERROR(IF(AND(AR113=AR112,AM112&lt;&gt;""),INDEX('Aub Demand'!Q:Q,MATCH($O112,'Aub Demand'!$A:$A,0))-IF(AN112="",0,AN112)+AP113+AD112+AL112,IF(AR113=AR112,INDEX('Aub Demand'!Q:Q,MATCH($O112,'Aub Demand'!$A:$A,0))-IF(AN112="",0,AN112)+AP113+AD112,IF(AM112&lt;&gt;"",INDEX('Aub Demand'!Q:Q,MATCH($O112,'Aub Demand'!$A:$A,0))-IF(AN112="",0,AN112)+AD112+AL112,INDEX('Aub Demand'!Q:Q,MATCH($O112,'Aub Demand'!$A:$A,0))-IF(AN112="",0,AN112)+AD112))),"")</f>
        <v>2912</v>
      </c>
      <c r="Y112" s="53">
        <f t="shared" si="32"/>
        <v>320</v>
      </c>
      <c r="Z112" s="52">
        <f>IF(L112="","",INDEX('Aub Demand'!H:H,MATCH($O112,'Aub Demand'!$A:$A,0)))</f>
        <v>39</v>
      </c>
      <c r="AA112" s="52">
        <f t="shared" si="33"/>
        <v>47</v>
      </c>
      <c r="AB112" s="52">
        <f>IFERROR(INDEX('Aub Demand'!L:L,MATCH($O112,'Aub Demand'!$A:$A,0)),"")</f>
        <v>69</v>
      </c>
      <c r="AC112" s="52">
        <f>IFERROR(IF(O112="","",SUMIFS('CPL Mats'!F:F,'CPL Mats'!Q:Q,AR112,'CPL Mats'!S:S,AS112)),"")</f>
        <v>0</v>
      </c>
      <c r="AF112" s="25" t="str">
        <f>IF(SUMIFS('Supp Consol'!S:S,'Supp Consol'!Y:Y,"Releasable",'Supp Consol'!A:A,O112)=0,"",SUMIFS('Supp Consol'!S:S,'Supp Consol'!Y:Y,"Releasable",'Supp Consol'!A:A,O112))</f>
        <v/>
      </c>
      <c r="AG112" s="25">
        <f>IFERROR(INDEX('Hun Demand'!Q:Q,MATCH(O112,'Hun Demand'!A:A,0)),"")</f>
        <v>144</v>
      </c>
      <c r="AH112" s="25">
        <f>IFERROR(INDEX('Hun Demand'!H:H,MATCH($O112,'Hun Demand'!$A:$A,0)),"")</f>
        <v>0</v>
      </c>
      <c r="AI112" s="25" t="str">
        <f>IF(SUMIFS('Supp Consol'!AA:AA,'Supp Consol'!Z:Z,"Expires this month",'Supp Consol'!A:A,O112)=0,"",SUMIFS('Supp Consol'!AA:AA,'Supp Consol'!Z:Z,"Expires this month",'Supp Consol'!A:A,O112))</f>
        <v/>
      </c>
      <c r="AJ112" s="25" t="str">
        <f>IF(SUMIFS('Supp Consol'!AA:AA,'Supp Consol'!Z:Z,"Expired Previous Months",'Supp Consol'!A:A,O112)=0,"",SUMIFS('Supp Consol'!AA:AA,'Supp Consol'!Z:Z,"Expired Previous Months",'Supp Consol'!A:A,O112))</f>
        <v/>
      </c>
      <c r="AK112" s="25" t="str">
        <f>IFERROR(INDEX('Hun Release Current'!B:B,MATCH(O112,'Hun Release Current'!A:A,0)),"")</f>
        <v/>
      </c>
      <c r="AL112" s="25" t="str">
        <f>IF(SUMIF('Prev Aub'!A:A,O112,'Prev Aub'!B:B)=0,"",SUMIF('Prev Aub'!A:A,O112,'Prev Aub'!B:B))</f>
        <v/>
      </c>
      <c r="AN112" s="25" t="s">
        <v>3790</v>
      </c>
      <c r="AO112" s="25" t="s">
        <v>3790</v>
      </c>
      <c r="AP112" s="25">
        <f t="shared" si="34"/>
        <v>0</v>
      </c>
      <c r="AQ112" s="151" t="str">
        <f>IF(SUMIFS('Supp Consol'!S:S,'Supp Consol'!A:A,O112,'Supp Consol'!I:I,"PENDING")=0,"",SUMIFS('Supp Consol'!S:S,'Supp Consol'!A:A,O112,'Supp Consol'!I:I,"PENDING"))</f>
        <v/>
      </c>
      <c r="AR112" s="27" t="str">
        <f t="shared" si="35"/>
        <v>AB221</v>
      </c>
      <c r="AS112" s="27" t="str">
        <f t="shared" si="36"/>
        <v>62</v>
      </c>
      <c r="AT112" s="27" t="str">
        <f t="shared" si="37"/>
        <v/>
      </c>
      <c r="AU112" s="27" t="str">
        <f t="shared" si="38"/>
        <v/>
      </c>
      <c r="AV112" s="27" t="str">
        <f t="shared" si="39"/>
        <v/>
      </c>
      <c r="AW112" s="27" t="str">
        <f t="shared" si="40"/>
        <v/>
      </c>
      <c r="AX112" s="27" t="str">
        <f t="shared" si="41"/>
        <v/>
      </c>
      <c r="AY112" s="27" t="str">
        <f t="shared" si="42"/>
        <v>AB221</v>
      </c>
      <c r="AZ112" s="27" t="str">
        <f t="shared" si="43"/>
        <v/>
      </c>
      <c r="BA112" s="27" t="str">
        <f t="shared" si="44"/>
        <v>Hun</v>
      </c>
      <c r="BB112" s="27" t="str">
        <f t="shared" si="45"/>
        <v/>
      </c>
      <c r="BC112" s="27" t="str">
        <f t="shared" si="46"/>
        <v/>
      </c>
      <c r="BD112" s="27" t="str">
        <f t="shared" si="47"/>
        <v/>
      </c>
      <c r="BE112" s="27" t="str">
        <f t="shared" si="48"/>
        <v/>
      </c>
      <c r="BF112" s="27" t="str">
        <f t="shared" si="49"/>
        <v/>
      </c>
      <c r="BG112" s="27" t="str">
        <f t="shared" si="50"/>
        <v/>
      </c>
      <c r="BH112" s="27" t="str">
        <f t="shared" si="51"/>
        <v/>
      </c>
      <c r="BI112" s="27" t="str">
        <f t="shared" si="52"/>
        <v/>
      </c>
      <c r="BJ112" s="27" t="str">
        <f t="shared" si="53"/>
        <v>Supp or Hun</v>
      </c>
      <c r="BK112" s="27" t="str">
        <f t="shared" si="54"/>
        <v/>
      </c>
      <c r="BL112" s="27" t="str">
        <f t="shared" si="55"/>
        <v/>
      </c>
      <c r="BM112" s="21" t="s">
        <v>5581</v>
      </c>
    </row>
    <row r="113" spans="1:65" ht="15">
      <c r="A113" s="25">
        <f>IFERROR(INDEX('Hun Demand'!W:W,MATCH(O113,'Hun Demand'!A:A,0)),"")</f>
        <v>0</v>
      </c>
      <c r="B113" s="25">
        <f>IFERROR(INDEX('Hun Demand'!V:V,MATCH(O113,'Hun Demand'!A:A,0)),"")</f>
        <v>0</v>
      </c>
      <c r="C113" s="25">
        <f>IFERROR(INDEX('Hun Demand'!U:U,MATCH(O113,'Hun Demand'!A:A,0)),"")</f>
        <v>0</v>
      </c>
      <c r="D113" s="25">
        <f>IFERROR(INDEX('Hun Demand'!T:T,MATCH(O113,'Hun Demand'!A:A,0)),"")</f>
        <v>0</v>
      </c>
      <c r="E113" s="25">
        <f>IFERROR(INDEX('Hun Demand'!S:S,MATCH(O113,'Hun Demand'!A:A,0)),"")</f>
        <v>0</v>
      </c>
      <c r="F113" s="25">
        <f>IFERROR(INDEX('Hun Demand'!R:R,MATCH(O113,'Hun Demand'!A:A,0)),"")</f>
        <v>0</v>
      </c>
      <c r="G113" s="25">
        <f>IFERROR(INDEX('Aub Demand'!W:W,MATCH(O113,'Aub Demand'!A:A,0)),"")</f>
        <v>0</v>
      </c>
      <c r="H113" s="25">
        <f>IFERROR(INDEX('Aub Demand'!V:V,MATCH(O113,'Aub Demand'!A:A,0)),"")</f>
        <v>4</v>
      </c>
      <c r="I113" s="25">
        <f>IFERROR(INDEX('Aub Demand'!U:U,MATCH(O113,'Aub Demand'!A:A,0)),"")</f>
        <v>0</v>
      </c>
      <c r="J113" s="25">
        <f>IFERROR(INDEX('Aub Demand'!T:T,MATCH(O113,'Aub Demand'!A:A,0)),"")</f>
        <v>0</v>
      </c>
      <c r="K113" s="25">
        <f>IFERROR(INDEX('Aub Demand'!S:S,MATCH(O113,'Aub Demand'!A:A,0)),"")</f>
        <v>0</v>
      </c>
      <c r="L113" s="25">
        <f>IFERROR(INDEX('Aub Demand'!R:R,MATCH(O113,'Aub Demand'!A:A,0)),"")</f>
        <v>0</v>
      </c>
      <c r="O113" s="27" t="s">
        <v>2020</v>
      </c>
      <c r="P113" s="27" t="str">
        <f>IFERROR(INDEX('Aub Demand'!B:B,MATCH($O113,'Aub Demand'!$A:$A,0)),"")</f>
        <v>AQUA MINI RAFFIA</v>
      </c>
      <c r="Q113" s="27" t="str">
        <f>IFERROR(INDEX('Aub Demand'!C:C,MATCH($O113,'Aub Demand'!$A:$A,0)),"")</f>
        <v>SCHAT</v>
      </c>
      <c r="R113" s="52">
        <f>IFERROR(IF(AR114=AR113,INDEX('Aub Demand'!K:K,MATCH($O113,'Aub Demand'!$A:$A,0))-IF(AN113="",0,AN113)+AP114,INDEX('Aub Demand'!K:K,MATCH($O113,'Aub Demand'!$A:$A,0))-IF(AN113="",0,AN113)),"")</f>
        <v>727</v>
      </c>
      <c r="S113" s="53" t="str">
        <f t="shared" si="28"/>
        <v>n/a</v>
      </c>
      <c r="T113" s="52" t="str">
        <f t="shared" si="29"/>
        <v/>
      </c>
      <c r="U113" s="52">
        <f>IFERROR(IF(AR114=AR113,INDEX('Aub Demand'!Q:Q,MATCH($O113,'Aub Demand'!$A:$A,0))-IF(AN113="",0,AN113)+AP114,INDEX('Aub Demand'!Q:Q,MATCH($O113,'Aub Demand'!$A:$A,0))-IF(AN113="",0,AN113)),"")</f>
        <v>727</v>
      </c>
      <c r="V113" s="53" t="str">
        <f t="shared" si="30"/>
        <v>n/a</v>
      </c>
      <c r="W113" s="52" t="str">
        <f t="shared" si="31"/>
        <v/>
      </c>
      <c r="X113" s="52">
        <f>IFERROR(IF(AND(AR114=AR113,AM113&lt;&gt;""),INDEX('Aub Demand'!Q:Q,MATCH($O113,'Aub Demand'!$A:$A,0))-IF(AN113="",0,AN113)+AP114+AD113+AL113,IF(AR114=AR113,INDEX('Aub Demand'!Q:Q,MATCH($O113,'Aub Demand'!$A:$A,0))-IF(AN113="",0,AN113)+AP114+AD113,IF(AM113&lt;&gt;"",INDEX('Aub Demand'!Q:Q,MATCH($O113,'Aub Demand'!$A:$A,0))-IF(AN113="",0,AN113)+AD113+AL113,INDEX('Aub Demand'!Q:Q,MATCH($O113,'Aub Demand'!$A:$A,0))-IF(AN113="",0,AN113)+AD113))),"")</f>
        <v>727</v>
      </c>
      <c r="Y113" s="53" t="str">
        <f t="shared" si="32"/>
        <v>n/a</v>
      </c>
      <c r="Z113" s="52">
        <f>IF(L113="","",INDEX('Aub Demand'!H:H,MATCH($O113,'Aub Demand'!$A:$A,0)))</f>
        <v>0</v>
      </c>
      <c r="AA113" s="52" t="str">
        <f t="shared" si="33"/>
        <v>-spike-</v>
      </c>
      <c r="AB113" s="52">
        <f>IFERROR(INDEX('Aub Demand'!L:L,MATCH($O113,'Aub Demand'!$A:$A,0)),"")</f>
        <v>6</v>
      </c>
      <c r="AC113" s="52">
        <f>IFERROR(IF(O113="","",SUMIFS('CPL Mats'!F:F,'CPL Mats'!Q:Q,AR113,'CPL Mats'!S:S,AS113)),"")</f>
        <v>0</v>
      </c>
      <c r="AF113" s="25" t="str">
        <f>IF(SUMIFS('Supp Consol'!S:S,'Supp Consol'!Y:Y,"Releasable",'Supp Consol'!A:A,O113)=0,"",SUMIFS('Supp Consol'!S:S,'Supp Consol'!Y:Y,"Releasable",'Supp Consol'!A:A,O113))</f>
        <v/>
      </c>
      <c r="AG113" s="25">
        <f>IFERROR(INDEX('Hun Demand'!Q:Q,MATCH(O113,'Hun Demand'!A:A,0)),"")</f>
        <v>106</v>
      </c>
      <c r="AH113" s="25">
        <f>IFERROR(INDEX('Hun Demand'!H:H,MATCH($O113,'Hun Demand'!$A:$A,0)),"")</f>
        <v>0</v>
      </c>
      <c r="AI113" s="25" t="str">
        <f>IF(SUMIFS('Supp Consol'!AA:AA,'Supp Consol'!Z:Z,"Expires this month",'Supp Consol'!A:A,O113)=0,"",SUMIFS('Supp Consol'!AA:AA,'Supp Consol'!Z:Z,"Expires this month",'Supp Consol'!A:A,O113))</f>
        <v/>
      </c>
      <c r="AJ113" s="25" t="str">
        <f>IF(SUMIFS('Supp Consol'!AA:AA,'Supp Consol'!Z:Z,"Expired Previous Months",'Supp Consol'!A:A,O113)=0,"",SUMIFS('Supp Consol'!AA:AA,'Supp Consol'!Z:Z,"Expired Previous Months",'Supp Consol'!A:A,O113))</f>
        <v/>
      </c>
      <c r="AK113" s="25" t="str">
        <f>IFERROR(INDEX('Hun Release Current'!B:B,MATCH(O113,'Hun Release Current'!A:A,0)),"")</f>
        <v/>
      </c>
      <c r="AL113" s="25" t="str">
        <f>IF(SUMIF('Prev Aub'!A:A,O113,'Prev Aub'!B:B)=0,"",SUMIF('Prev Aub'!A:A,O113,'Prev Aub'!B:B))</f>
        <v/>
      </c>
      <c r="AN113" s="25" t="s">
        <v>3790</v>
      </c>
      <c r="AO113" s="25" t="s">
        <v>3790</v>
      </c>
      <c r="AP113" s="25">
        <f t="shared" si="34"/>
        <v>0</v>
      </c>
      <c r="AQ113" s="151" t="str">
        <f>IF(SUMIFS('Supp Consol'!S:S,'Supp Consol'!A:A,O113,'Supp Consol'!I:I,"PENDING")=0,"",SUMIFS('Supp Consol'!S:S,'Supp Consol'!A:A,O113,'Supp Consol'!I:I,"PENDING"))</f>
        <v/>
      </c>
      <c r="AR113" s="27" t="str">
        <f t="shared" si="35"/>
        <v>AB240</v>
      </c>
      <c r="AS113" s="27" t="str">
        <f t="shared" si="36"/>
        <v>50</v>
      </c>
      <c r="AT113" s="27" t="str">
        <f t="shared" si="37"/>
        <v/>
      </c>
      <c r="AU113" s="27" t="str">
        <f t="shared" si="38"/>
        <v/>
      </c>
      <c r="AV113" s="27" t="str">
        <f t="shared" si="39"/>
        <v/>
      </c>
      <c r="AW113" s="27" t="str">
        <f t="shared" si="40"/>
        <v/>
      </c>
      <c r="AX113" s="27" t="str">
        <f t="shared" si="41"/>
        <v/>
      </c>
      <c r="AY113" s="27" t="str">
        <f t="shared" si="42"/>
        <v>AB240</v>
      </c>
      <c r="AZ113" s="27" t="str">
        <f t="shared" si="43"/>
        <v/>
      </c>
      <c r="BA113" s="27" t="str">
        <f t="shared" si="44"/>
        <v>Hun</v>
      </c>
      <c r="BB113" s="27" t="str">
        <f t="shared" si="45"/>
        <v/>
      </c>
      <c r="BC113" s="27" t="str">
        <f t="shared" si="46"/>
        <v/>
      </c>
      <c r="BD113" s="27" t="str">
        <f t="shared" si="47"/>
        <v/>
      </c>
      <c r="BE113" s="27" t="str">
        <f t="shared" si="48"/>
        <v/>
      </c>
      <c r="BF113" s="27" t="str">
        <f t="shared" si="49"/>
        <v/>
      </c>
      <c r="BG113" s="27" t="str">
        <f t="shared" si="50"/>
        <v/>
      </c>
      <c r="BH113" s="27" t="str">
        <f t="shared" si="51"/>
        <v/>
      </c>
      <c r="BI113" s="27" t="str">
        <f t="shared" si="52"/>
        <v/>
      </c>
      <c r="BJ113" s="27" t="str">
        <f t="shared" si="53"/>
        <v>Supp or Hun</v>
      </c>
      <c r="BK113" s="27" t="str">
        <f t="shared" si="54"/>
        <v/>
      </c>
      <c r="BL113" s="27" t="str">
        <f t="shared" si="55"/>
        <v/>
      </c>
      <c r="BM113" s="21" t="s">
        <v>5581</v>
      </c>
    </row>
    <row r="114" spans="1:65" ht="15">
      <c r="A114" s="25" t="str">
        <f>IFERROR(INDEX('Hun Demand'!W:W,MATCH(O114,'Hun Demand'!A:A,0)),"")</f>
        <v/>
      </c>
      <c r="B114" s="25" t="str">
        <f>IFERROR(INDEX('Hun Demand'!V:V,MATCH(O114,'Hun Demand'!A:A,0)),"")</f>
        <v/>
      </c>
      <c r="C114" s="25" t="str">
        <f>IFERROR(INDEX('Hun Demand'!U:U,MATCH(O114,'Hun Demand'!A:A,0)),"")</f>
        <v/>
      </c>
      <c r="D114" s="25" t="str">
        <f>IFERROR(INDEX('Hun Demand'!T:T,MATCH(O114,'Hun Demand'!A:A,0)),"")</f>
        <v/>
      </c>
      <c r="E114" s="25" t="str">
        <f>IFERROR(INDEX('Hun Demand'!S:S,MATCH(O114,'Hun Demand'!A:A,0)),"")</f>
        <v/>
      </c>
      <c r="F114" s="25" t="str">
        <f>IFERROR(INDEX('Hun Demand'!R:R,MATCH(O114,'Hun Demand'!A:A,0)),"")</f>
        <v/>
      </c>
      <c r="G114" s="25">
        <f>IFERROR(INDEX('Aub Demand'!W:W,MATCH(O114,'Aub Demand'!A:A,0)),"")</f>
        <v>0</v>
      </c>
      <c r="H114" s="25">
        <f>IFERROR(INDEX('Aub Demand'!V:V,MATCH(O114,'Aub Demand'!A:A,0)),"")</f>
        <v>0</v>
      </c>
      <c r="I114" s="25">
        <f>IFERROR(INDEX('Aub Demand'!U:U,MATCH(O114,'Aub Demand'!A:A,0)),"")</f>
        <v>0</v>
      </c>
      <c r="J114" s="25">
        <f>IFERROR(INDEX('Aub Demand'!T:T,MATCH(O114,'Aub Demand'!A:A,0)),"")</f>
        <v>0</v>
      </c>
      <c r="K114" s="25">
        <f>IFERROR(INDEX('Aub Demand'!S:S,MATCH(O114,'Aub Demand'!A:A,0)),"")</f>
        <v>0</v>
      </c>
      <c r="L114" s="25">
        <f>IFERROR(INDEX('Aub Demand'!R:R,MATCH(O114,'Aub Demand'!A:A,0)),"")</f>
        <v>0</v>
      </c>
      <c r="O114" s="27" t="s">
        <v>2023</v>
      </c>
      <c r="P114" s="27" t="str">
        <f>IFERROR(INDEX('Aub Demand'!B:B,MATCH($O114,'Aub Demand'!$A:$A,0)),"")</f>
        <v>AQUA MINI RAFFIA</v>
      </c>
      <c r="Q114" s="27" t="str">
        <f>IFERROR(INDEX('Aub Demand'!C:C,MATCH($O114,'Aub Demand'!$A:$A,0)),"")</f>
        <v>SCHAT</v>
      </c>
      <c r="R114" s="52">
        <f>IFERROR(IF(AR115=AR114,INDEX('Aub Demand'!K:K,MATCH($O114,'Aub Demand'!$A:$A,0))-IF(AN114="",0,AN114)+AP115,INDEX('Aub Demand'!K:K,MATCH($O114,'Aub Demand'!$A:$A,0))-IF(AN114="",0,AN114)),"")</f>
        <v>945</v>
      </c>
      <c r="S114" s="53" t="str">
        <f t="shared" si="28"/>
        <v>n/a</v>
      </c>
      <c r="T114" s="52" t="str">
        <f t="shared" si="29"/>
        <v/>
      </c>
      <c r="U114" s="52">
        <f>IFERROR(IF(AR115=AR114,INDEX('Aub Demand'!Q:Q,MATCH($O114,'Aub Demand'!$A:$A,0))-IF(AN114="",0,AN114)+AP115,INDEX('Aub Demand'!Q:Q,MATCH($O114,'Aub Demand'!$A:$A,0))-IF(AN114="",0,AN114)),"")</f>
        <v>945</v>
      </c>
      <c r="V114" s="53" t="str">
        <f t="shared" si="30"/>
        <v>n/a</v>
      </c>
      <c r="W114" s="52" t="str">
        <f t="shared" si="31"/>
        <v/>
      </c>
      <c r="X114" s="52">
        <f>IFERROR(IF(AND(AR115=AR114,AM114&lt;&gt;""),INDEX('Aub Demand'!Q:Q,MATCH($O114,'Aub Demand'!$A:$A,0))-IF(AN114="",0,AN114)+AP115+AD114+AL114,IF(AR115=AR114,INDEX('Aub Demand'!Q:Q,MATCH($O114,'Aub Demand'!$A:$A,0))-IF(AN114="",0,AN114)+AP115+AD114,IF(AM114&lt;&gt;"",INDEX('Aub Demand'!Q:Q,MATCH($O114,'Aub Demand'!$A:$A,0))-IF(AN114="",0,AN114)+AD114+AL114,INDEX('Aub Demand'!Q:Q,MATCH($O114,'Aub Demand'!$A:$A,0))-IF(AN114="",0,AN114)+AD114))),"")</f>
        <v>945</v>
      </c>
      <c r="Y114" s="53" t="str">
        <f t="shared" si="32"/>
        <v>n/a</v>
      </c>
      <c r="Z114" s="52">
        <f>IF(L114="","",INDEX('Aub Demand'!H:H,MATCH($O114,'Aub Demand'!$A:$A,0)))</f>
        <v>0</v>
      </c>
      <c r="AA114" s="52" t="str">
        <f t="shared" si="33"/>
        <v>-spike-</v>
      </c>
      <c r="AB114" s="52">
        <f>IFERROR(INDEX('Aub Demand'!L:L,MATCH($O114,'Aub Demand'!$A:$A,0)),"")</f>
        <v>0</v>
      </c>
      <c r="AC114" s="52">
        <f>IFERROR(IF(O114="","",SUMIFS('CPL Mats'!F:F,'CPL Mats'!Q:Q,AR114,'CPL Mats'!S:S,AS114)),"")</f>
        <v>0</v>
      </c>
      <c r="AF114" s="25" t="str">
        <f>IF(SUMIFS('Supp Consol'!S:S,'Supp Consol'!Y:Y,"Releasable",'Supp Consol'!A:A,O114)=0,"",SUMIFS('Supp Consol'!S:S,'Supp Consol'!Y:Y,"Releasable",'Supp Consol'!A:A,O114))</f>
        <v/>
      </c>
      <c r="AG114" s="25" t="str">
        <f>IFERROR(INDEX('Hun Demand'!Q:Q,MATCH(O114,'Hun Demand'!A:A,0)),"")</f>
        <v/>
      </c>
      <c r="AH114" s="25" t="str">
        <f>IFERROR(INDEX('Hun Demand'!H:H,MATCH($O114,'Hun Demand'!$A:$A,0)),"")</f>
        <v/>
      </c>
      <c r="AI114" s="25" t="str">
        <f>IF(SUMIFS('Supp Consol'!AA:AA,'Supp Consol'!Z:Z,"Expires this month",'Supp Consol'!A:A,O114)=0,"",SUMIFS('Supp Consol'!AA:AA,'Supp Consol'!Z:Z,"Expires this month",'Supp Consol'!A:A,O114))</f>
        <v/>
      </c>
      <c r="AJ114" s="25" t="str">
        <f>IF(SUMIFS('Supp Consol'!AA:AA,'Supp Consol'!Z:Z,"Expired Previous Months",'Supp Consol'!A:A,O114)=0,"",SUMIFS('Supp Consol'!AA:AA,'Supp Consol'!Z:Z,"Expired Previous Months",'Supp Consol'!A:A,O114))</f>
        <v/>
      </c>
      <c r="AK114" s="25" t="str">
        <f>IFERROR(INDEX('Hun Release Current'!B:B,MATCH(O114,'Hun Release Current'!A:A,0)),"")</f>
        <v/>
      </c>
      <c r="AL114" s="25" t="str">
        <f>IF(SUMIF('Prev Aub'!A:A,O114,'Prev Aub'!B:B)=0,"",SUMIF('Prev Aub'!A:A,O114,'Prev Aub'!B:B))</f>
        <v/>
      </c>
      <c r="AN114" s="25" t="s">
        <v>3790</v>
      </c>
      <c r="AO114" s="25" t="s">
        <v>3790</v>
      </c>
      <c r="AP114" s="25">
        <f t="shared" si="34"/>
        <v>0</v>
      </c>
      <c r="AQ114" s="151" t="str">
        <f>IF(SUMIFS('Supp Consol'!S:S,'Supp Consol'!A:A,O114,'Supp Consol'!I:I,"PENDING")=0,"",SUMIFS('Supp Consol'!S:S,'Supp Consol'!A:A,O114,'Supp Consol'!I:I,"PENDING"))</f>
        <v/>
      </c>
      <c r="AR114" s="27" t="str">
        <f t="shared" si="35"/>
        <v>AB240</v>
      </c>
      <c r="AS114" s="27" t="str">
        <f t="shared" si="36"/>
        <v>62</v>
      </c>
      <c r="AT114" s="27" t="str">
        <f t="shared" si="37"/>
        <v/>
      </c>
      <c r="AU114" s="27" t="str">
        <f t="shared" si="38"/>
        <v/>
      </c>
      <c r="AV114" s="27" t="str">
        <f t="shared" si="39"/>
        <v/>
      </c>
      <c r="AW114" s="27" t="str">
        <f t="shared" si="40"/>
        <v/>
      </c>
      <c r="AX114" s="27" t="str">
        <f t="shared" si="41"/>
        <v/>
      </c>
      <c r="AY114" s="27" t="str">
        <f t="shared" si="42"/>
        <v/>
      </c>
      <c r="AZ114" s="27" t="str">
        <f t="shared" si="43"/>
        <v/>
      </c>
      <c r="BA114" s="27" t="str">
        <f t="shared" si="44"/>
        <v>Hun</v>
      </c>
      <c r="BB114" s="27" t="str">
        <f t="shared" si="45"/>
        <v/>
      </c>
      <c r="BC114" s="27" t="str">
        <f t="shared" si="46"/>
        <v/>
      </c>
      <c r="BD114" s="27" t="str">
        <f t="shared" si="47"/>
        <v/>
      </c>
      <c r="BE114" s="27" t="str">
        <f t="shared" si="48"/>
        <v/>
      </c>
      <c r="BF114" s="27" t="str">
        <f t="shared" si="49"/>
        <v/>
      </c>
      <c r="BG114" s="27" t="str">
        <f t="shared" si="50"/>
        <v/>
      </c>
      <c r="BH114" s="27" t="str">
        <f t="shared" si="51"/>
        <v/>
      </c>
      <c r="BI114" s="27" t="str">
        <f t="shared" si="52"/>
        <v/>
      </c>
      <c r="BJ114" s="27" t="str">
        <f t="shared" si="53"/>
        <v>Supp or Hun</v>
      </c>
      <c r="BK114" s="27" t="str">
        <f t="shared" si="54"/>
        <v/>
      </c>
      <c r="BL114" s="27" t="str">
        <f t="shared" si="55"/>
        <v/>
      </c>
      <c r="BM114" s="21" t="s">
        <v>5581</v>
      </c>
    </row>
    <row r="115" spans="1:65" ht="15">
      <c r="A115" s="25" t="str">
        <f>IFERROR(INDEX('Hun Demand'!W:W,MATCH(O115,'Hun Demand'!A:A,0)),"")</f>
        <v/>
      </c>
      <c r="B115" s="25" t="str">
        <f>IFERROR(INDEX('Hun Demand'!V:V,MATCH(O115,'Hun Demand'!A:A,0)),"")</f>
        <v/>
      </c>
      <c r="C115" s="25" t="str">
        <f>IFERROR(INDEX('Hun Demand'!U:U,MATCH(O115,'Hun Demand'!A:A,0)),"")</f>
        <v/>
      </c>
      <c r="D115" s="25" t="str">
        <f>IFERROR(INDEX('Hun Demand'!T:T,MATCH(O115,'Hun Demand'!A:A,0)),"")</f>
        <v/>
      </c>
      <c r="E115" s="25" t="str">
        <f>IFERROR(INDEX('Hun Demand'!S:S,MATCH(O115,'Hun Demand'!A:A,0)),"")</f>
        <v/>
      </c>
      <c r="F115" s="25" t="str">
        <f>IFERROR(INDEX('Hun Demand'!R:R,MATCH(O115,'Hun Demand'!A:A,0)),"")</f>
        <v/>
      </c>
      <c r="G115" s="25">
        <f>IFERROR(INDEX('Aub Demand'!W:W,MATCH(O115,'Aub Demand'!A:A,0)),"")</f>
        <v>0</v>
      </c>
      <c r="H115" s="25">
        <f>IFERROR(INDEX('Aub Demand'!V:V,MATCH(O115,'Aub Demand'!A:A,0)),"")</f>
        <v>10</v>
      </c>
      <c r="I115" s="25">
        <f>IFERROR(INDEX('Aub Demand'!U:U,MATCH(O115,'Aub Demand'!A:A,0)),"")</f>
        <v>0</v>
      </c>
      <c r="J115" s="25">
        <f>IFERROR(INDEX('Aub Demand'!T:T,MATCH(O115,'Aub Demand'!A:A,0)),"")</f>
        <v>0</v>
      </c>
      <c r="K115" s="25">
        <f>IFERROR(INDEX('Aub Demand'!S:S,MATCH(O115,'Aub Demand'!A:A,0)),"")</f>
        <v>0</v>
      </c>
      <c r="L115" s="25">
        <f>IFERROR(INDEX('Aub Demand'!R:R,MATCH(O115,'Aub Demand'!A:A,0)),"")</f>
        <v>0</v>
      </c>
      <c r="O115" s="27" t="s">
        <v>281</v>
      </c>
      <c r="P115" s="27" t="str">
        <f>IFERROR(INDEX('Aub Demand'!B:B,MATCH($O115,'Aub Demand'!$A:$A,0)),"")</f>
        <v>HIDDEN JEWEL</v>
      </c>
      <c r="Q115" s="27" t="str">
        <f>IFERROR(INDEX('Aub Demand'!C:C,MATCH($O115,'Aub Demand'!$A:$A,0)),"")</f>
        <v>SUDDE</v>
      </c>
      <c r="R115" s="52">
        <f>IFERROR(IF(AR116=AR115,INDEX('Aub Demand'!K:K,MATCH($O115,'Aub Demand'!$A:$A,0))-IF(AN115="",0,AN115)+AP116,INDEX('Aub Demand'!K:K,MATCH($O115,'Aub Demand'!$A:$A,0))-IF(AN115="",0,AN115)),"")</f>
        <v>2010</v>
      </c>
      <c r="S115" s="53" t="str">
        <f t="shared" si="28"/>
        <v>n/a</v>
      </c>
      <c r="T115" s="52" t="str">
        <f t="shared" si="29"/>
        <v/>
      </c>
      <c r="U115" s="52">
        <f>IFERROR(IF(AR116=AR115,INDEX('Aub Demand'!Q:Q,MATCH($O115,'Aub Demand'!$A:$A,0))-IF(AN115="",0,AN115)+AP116,INDEX('Aub Demand'!Q:Q,MATCH($O115,'Aub Demand'!$A:$A,0))-IF(AN115="",0,AN115)),"")</f>
        <v>2010</v>
      </c>
      <c r="V115" s="53" t="str">
        <f t="shared" si="30"/>
        <v>n/a</v>
      </c>
      <c r="W115" s="52" t="str">
        <f t="shared" si="31"/>
        <v/>
      </c>
      <c r="X115" s="52">
        <f>IFERROR(IF(AND(AR116=AR115,AM115&lt;&gt;""),INDEX('Aub Demand'!Q:Q,MATCH($O115,'Aub Demand'!$A:$A,0))-IF(AN115="",0,AN115)+AP116+AD115+AL115,IF(AR116=AR115,INDEX('Aub Demand'!Q:Q,MATCH($O115,'Aub Demand'!$A:$A,0))-IF(AN115="",0,AN115)+AP116+AD115,IF(AM115&lt;&gt;"",INDEX('Aub Demand'!Q:Q,MATCH($O115,'Aub Demand'!$A:$A,0))-IF(AN115="",0,AN115)+AD115+AL115,INDEX('Aub Demand'!Q:Q,MATCH($O115,'Aub Demand'!$A:$A,0))-IF(AN115="",0,AN115)+AD115))),"")</f>
        <v>2010</v>
      </c>
      <c r="Y115" s="53" t="str">
        <f t="shared" si="32"/>
        <v>n/a</v>
      </c>
      <c r="Z115" s="52">
        <f>IF(L115="","",INDEX('Aub Demand'!H:H,MATCH($O115,'Aub Demand'!$A:$A,0)))</f>
        <v>0</v>
      </c>
      <c r="AA115" s="52" t="str">
        <f t="shared" si="33"/>
        <v>-spike-</v>
      </c>
      <c r="AB115" s="52">
        <f>IFERROR(INDEX('Aub Demand'!L:L,MATCH($O115,'Aub Demand'!$A:$A,0)),"")</f>
        <v>0</v>
      </c>
      <c r="AC115" s="52">
        <f>IFERROR(IF(O115="","",SUMIFS('CPL Mats'!F:F,'CPL Mats'!Q:Q,AR115,'CPL Mats'!S:S,AS115)),"")</f>
        <v>0</v>
      </c>
      <c r="AF115" s="25" t="str">
        <f>IF(SUMIFS('Supp Consol'!S:S,'Supp Consol'!Y:Y,"Releasable",'Supp Consol'!A:A,O115)=0,"",SUMIFS('Supp Consol'!S:S,'Supp Consol'!Y:Y,"Releasable",'Supp Consol'!A:A,O115))</f>
        <v/>
      </c>
      <c r="AG115" s="25" t="str">
        <f>IFERROR(INDEX('Hun Demand'!Q:Q,MATCH(O115,'Hun Demand'!A:A,0)),"")</f>
        <v/>
      </c>
      <c r="AH115" s="25" t="str">
        <f>IFERROR(INDEX('Hun Demand'!H:H,MATCH($O115,'Hun Demand'!$A:$A,0)),"")</f>
        <v/>
      </c>
      <c r="AI115" s="25" t="str">
        <f>IF(SUMIFS('Supp Consol'!AA:AA,'Supp Consol'!Z:Z,"Expires this month",'Supp Consol'!A:A,O115)=0,"",SUMIFS('Supp Consol'!AA:AA,'Supp Consol'!Z:Z,"Expires this month",'Supp Consol'!A:A,O115))</f>
        <v/>
      </c>
      <c r="AJ115" s="25" t="str">
        <f>IF(SUMIFS('Supp Consol'!AA:AA,'Supp Consol'!Z:Z,"Expired Previous Months",'Supp Consol'!A:A,O115)=0,"",SUMIFS('Supp Consol'!AA:AA,'Supp Consol'!Z:Z,"Expired Previous Months",'Supp Consol'!A:A,O115))</f>
        <v/>
      </c>
      <c r="AK115" s="25" t="str">
        <f>IFERROR(INDEX('Hun Release Current'!B:B,MATCH(O115,'Hun Release Current'!A:A,0)),"")</f>
        <v/>
      </c>
      <c r="AL115" s="25" t="str">
        <f>IF(SUMIF('Prev Aub'!A:A,O115,'Prev Aub'!B:B)=0,"",SUMIF('Prev Aub'!A:A,O115,'Prev Aub'!B:B))</f>
        <v/>
      </c>
      <c r="AN115" s="25" t="s">
        <v>3790</v>
      </c>
      <c r="AO115" s="25" t="s">
        <v>3790</v>
      </c>
      <c r="AP115" s="25">
        <f t="shared" si="34"/>
        <v>0</v>
      </c>
      <c r="AQ115" s="151" t="str">
        <f>IF(SUMIFS('Supp Consol'!S:S,'Supp Consol'!A:A,O115,'Supp Consol'!I:I,"PENDING")=0,"",SUMIFS('Supp Consol'!S:S,'Supp Consol'!A:A,O115,'Supp Consol'!I:I,"PENDING"))</f>
        <v/>
      </c>
      <c r="AR115" s="27" t="str">
        <f t="shared" si="35"/>
        <v>AB281</v>
      </c>
      <c r="AS115" s="27" t="str">
        <f t="shared" si="36"/>
        <v>62</v>
      </c>
      <c r="AT115" s="27" t="str">
        <f t="shared" si="37"/>
        <v/>
      </c>
      <c r="AU115" s="27" t="str">
        <f t="shared" si="38"/>
        <v/>
      </c>
      <c r="AV115" s="27" t="str">
        <f t="shared" si="39"/>
        <v/>
      </c>
      <c r="AW115" s="27" t="str">
        <f t="shared" si="40"/>
        <v/>
      </c>
      <c r="AX115" s="27" t="str">
        <f t="shared" si="41"/>
        <v/>
      </c>
      <c r="AY115" s="27" t="str">
        <f t="shared" si="42"/>
        <v/>
      </c>
      <c r="AZ115" s="27" t="str">
        <f t="shared" si="43"/>
        <v/>
      </c>
      <c r="BA115" s="27" t="str">
        <f t="shared" si="44"/>
        <v/>
      </c>
      <c r="BB115" s="27" t="str">
        <f t="shared" si="45"/>
        <v/>
      </c>
      <c r="BC115" s="27" t="str">
        <f t="shared" si="46"/>
        <v/>
      </c>
      <c r="BD115" s="27" t="str">
        <f t="shared" si="47"/>
        <v/>
      </c>
      <c r="BE115" s="27" t="str">
        <f t="shared" si="48"/>
        <v/>
      </c>
      <c r="BF115" s="27" t="str">
        <f t="shared" si="49"/>
        <v/>
      </c>
      <c r="BG115" s="27" t="str">
        <f t="shared" si="50"/>
        <v/>
      </c>
      <c r="BH115" s="27" t="str">
        <f t="shared" si="51"/>
        <v/>
      </c>
      <c r="BI115" s="27" t="str">
        <f t="shared" si="52"/>
        <v/>
      </c>
      <c r="BJ115" s="27" t="str">
        <f t="shared" si="53"/>
        <v/>
      </c>
      <c r="BK115" s="27" t="str">
        <f t="shared" si="54"/>
        <v/>
      </c>
      <c r="BL115" s="27" t="str">
        <f t="shared" si="55"/>
        <v/>
      </c>
      <c r="BM115" s="21" t="s">
        <v>3790</v>
      </c>
    </row>
    <row r="116" spans="1:65" ht="15">
      <c r="A116" s="25" t="str">
        <f>IFERROR(INDEX('Hun Demand'!W:W,MATCH(O116,'Hun Demand'!A:A,0)),"")</f>
        <v/>
      </c>
      <c r="B116" s="25" t="str">
        <f>IFERROR(INDEX('Hun Demand'!V:V,MATCH(O116,'Hun Demand'!A:A,0)),"")</f>
        <v/>
      </c>
      <c r="C116" s="25" t="str">
        <f>IFERROR(INDEX('Hun Demand'!U:U,MATCH(O116,'Hun Demand'!A:A,0)),"")</f>
        <v/>
      </c>
      <c r="D116" s="25" t="str">
        <f>IFERROR(INDEX('Hun Demand'!T:T,MATCH(O116,'Hun Demand'!A:A,0)),"")</f>
        <v/>
      </c>
      <c r="E116" s="25" t="str">
        <f>IFERROR(INDEX('Hun Demand'!S:S,MATCH(O116,'Hun Demand'!A:A,0)),"")</f>
        <v/>
      </c>
      <c r="F116" s="25" t="str">
        <f>IFERROR(INDEX('Hun Demand'!R:R,MATCH(O116,'Hun Demand'!A:A,0)),"")</f>
        <v/>
      </c>
      <c r="G116" s="25">
        <f>IFERROR(INDEX('Aub Demand'!W:W,MATCH(O116,'Aub Demand'!A:A,0)),"")</f>
        <v>0</v>
      </c>
      <c r="H116" s="25">
        <f>IFERROR(INDEX('Aub Demand'!V:V,MATCH(O116,'Aub Demand'!A:A,0)),"")</f>
        <v>0</v>
      </c>
      <c r="I116" s="25">
        <f>IFERROR(INDEX('Aub Demand'!U:U,MATCH(O116,'Aub Demand'!A:A,0)),"")</f>
        <v>0</v>
      </c>
      <c r="J116" s="25">
        <f>IFERROR(INDEX('Aub Demand'!T:T,MATCH(O116,'Aub Demand'!A:A,0)),"")</f>
        <v>0</v>
      </c>
      <c r="K116" s="25">
        <f>IFERROR(INDEX('Aub Demand'!S:S,MATCH(O116,'Aub Demand'!A:A,0)),"")</f>
        <v>0</v>
      </c>
      <c r="L116" s="25">
        <f>IFERROR(INDEX('Aub Demand'!R:R,MATCH(O116,'Aub Demand'!A:A,0)),"")</f>
        <v>0</v>
      </c>
      <c r="O116" s="27" t="s">
        <v>3319</v>
      </c>
      <c r="P116" s="27" t="str">
        <f>IFERROR(INDEX('Aub Demand'!B:B,MATCH($O116,'Aub Demand'!$A:$A,0)),"")</f>
        <v>BRIDE OF THE SEA</v>
      </c>
      <c r="Q116" s="27">
        <f>IFERROR(INDEX('Aub Demand'!C:C,MATCH($O116,'Aub Demand'!$A:$A,0)),"")</f>
        <v>0</v>
      </c>
      <c r="R116" s="52">
        <f>IFERROR(IF(AR117=AR116,INDEX('Aub Demand'!K:K,MATCH($O116,'Aub Demand'!$A:$A,0))-IF(AN116="",0,AN116)+AP117,INDEX('Aub Demand'!K:K,MATCH($O116,'Aub Demand'!$A:$A,0))-IF(AN116="",0,AN116)),"")</f>
        <v>1790</v>
      </c>
      <c r="S116" s="53" t="str">
        <f t="shared" si="28"/>
        <v>n/a</v>
      </c>
      <c r="T116" s="52" t="str">
        <f t="shared" si="29"/>
        <v/>
      </c>
      <c r="U116" s="52">
        <f>IFERROR(IF(AR117=AR116,INDEX('Aub Demand'!Q:Q,MATCH($O116,'Aub Demand'!$A:$A,0))-IF(AN116="",0,AN116)+AP117,INDEX('Aub Demand'!Q:Q,MATCH($O116,'Aub Demand'!$A:$A,0))-IF(AN116="",0,AN116)),"")</f>
        <v>1790</v>
      </c>
      <c r="V116" s="53" t="str">
        <f t="shared" si="30"/>
        <v>n/a</v>
      </c>
      <c r="W116" s="52" t="str">
        <f t="shared" si="31"/>
        <v/>
      </c>
      <c r="X116" s="52">
        <f>IFERROR(IF(AND(AR117=AR116,AM116&lt;&gt;""),INDEX('Aub Demand'!Q:Q,MATCH($O116,'Aub Demand'!$A:$A,0))-IF(AN116="",0,AN116)+AP117+AD116+AL116,IF(AR117=AR116,INDEX('Aub Demand'!Q:Q,MATCH($O116,'Aub Demand'!$A:$A,0))-IF(AN116="",0,AN116)+AP117+AD116,IF(AM116&lt;&gt;"",INDEX('Aub Demand'!Q:Q,MATCH($O116,'Aub Demand'!$A:$A,0))-IF(AN116="",0,AN116)+AD116+AL116,INDEX('Aub Demand'!Q:Q,MATCH($O116,'Aub Demand'!$A:$A,0))-IF(AN116="",0,AN116)+AD116))),"")</f>
        <v>1790</v>
      </c>
      <c r="Y116" s="53" t="str">
        <f t="shared" si="32"/>
        <v>n/a</v>
      </c>
      <c r="Z116" s="52">
        <f>IF(L116="","",INDEX('Aub Demand'!H:H,MATCH($O116,'Aub Demand'!$A:$A,0)))</f>
        <v>0</v>
      </c>
      <c r="AA116" s="52" t="str">
        <f t="shared" si="33"/>
        <v>-spike-</v>
      </c>
      <c r="AB116" s="52">
        <f>IFERROR(INDEX('Aub Demand'!L:L,MATCH($O116,'Aub Demand'!$A:$A,0)),"")</f>
        <v>0</v>
      </c>
      <c r="AC116" s="52">
        <f>IFERROR(IF(O116="","",SUMIFS('CPL Mats'!F:F,'CPL Mats'!Q:Q,AR116,'CPL Mats'!S:S,AS116)),"")</f>
        <v>0</v>
      </c>
      <c r="AF116" s="25" t="str">
        <f>IF(SUMIFS('Supp Consol'!S:S,'Supp Consol'!Y:Y,"Releasable",'Supp Consol'!A:A,O116)=0,"",SUMIFS('Supp Consol'!S:S,'Supp Consol'!Y:Y,"Releasable",'Supp Consol'!A:A,O116))</f>
        <v/>
      </c>
      <c r="AG116" s="25" t="str">
        <f>IFERROR(INDEX('Hun Demand'!Q:Q,MATCH(O116,'Hun Demand'!A:A,0)),"")</f>
        <v/>
      </c>
      <c r="AH116" s="25" t="str">
        <f>IFERROR(INDEX('Hun Demand'!H:H,MATCH($O116,'Hun Demand'!$A:$A,0)),"")</f>
        <v/>
      </c>
      <c r="AI116" s="25" t="str">
        <f>IF(SUMIFS('Supp Consol'!AA:AA,'Supp Consol'!Z:Z,"Expires this month",'Supp Consol'!A:A,O116)=0,"",SUMIFS('Supp Consol'!AA:AA,'Supp Consol'!Z:Z,"Expires this month",'Supp Consol'!A:A,O116))</f>
        <v/>
      </c>
      <c r="AJ116" s="25" t="str">
        <f>IF(SUMIFS('Supp Consol'!AA:AA,'Supp Consol'!Z:Z,"Expired Previous Months",'Supp Consol'!A:A,O116)=0,"",SUMIFS('Supp Consol'!AA:AA,'Supp Consol'!Z:Z,"Expired Previous Months",'Supp Consol'!A:A,O116))</f>
        <v/>
      </c>
      <c r="AK116" s="25" t="str">
        <f>IFERROR(INDEX('Hun Release Current'!B:B,MATCH(O116,'Hun Release Current'!A:A,0)),"")</f>
        <v/>
      </c>
      <c r="AL116" s="25" t="str">
        <f>IF(SUMIF('Prev Aub'!A:A,O116,'Prev Aub'!B:B)=0,"",SUMIF('Prev Aub'!A:A,O116,'Prev Aub'!B:B))</f>
        <v/>
      </c>
      <c r="AN116" s="25" t="s">
        <v>3790</v>
      </c>
      <c r="AO116" s="25" t="s">
        <v>3790</v>
      </c>
      <c r="AP116" s="25">
        <f t="shared" si="34"/>
        <v>0</v>
      </c>
      <c r="AQ116" s="151" t="str">
        <f>IF(SUMIFS('Supp Consol'!S:S,'Supp Consol'!A:A,O116,'Supp Consol'!I:I,"PENDING")=0,"",SUMIFS('Supp Consol'!S:S,'Supp Consol'!A:A,O116,'Supp Consol'!I:I,"PENDING"))</f>
        <v/>
      </c>
      <c r="AR116" s="27" t="str">
        <f t="shared" si="35"/>
        <v>AB291</v>
      </c>
      <c r="AS116" s="27" t="str">
        <f t="shared" si="36"/>
        <v>50</v>
      </c>
      <c r="AT116" s="27" t="str">
        <f t="shared" si="37"/>
        <v/>
      </c>
      <c r="AU116" s="27" t="str">
        <f t="shared" si="38"/>
        <v/>
      </c>
      <c r="AV116" s="27" t="str">
        <f t="shared" si="39"/>
        <v/>
      </c>
      <c r="AW116" s="27" t="str">
        <f t="shared" si="40"/>
        <v/>
      </c>
      <c r="AX116" s="27" t="str">
        <f t="shared" si="41"/>
        <v/>
      </c>
      <c r="AY116" s="27" t="str">
        <f t="shared" si="42"/>
        <v/>
      </c>
      <c r="AZ116" s="27" t="str">
        <f t="shared" si="43"/>
        <v/>
      </c>
      <c r="BA116" s="27" t="str">
        <f t="shared" si="44"/>
        <v/>
      </c>
      <c r="BB116" s="27" t="str">
        <f t="shared" si="45"/>
        <v/>
      </c>
      <c r="BC116" s="27" t="str">
        <f t="shared" si="46"/>
        <v/>
      </c>
      <c r="BD116" s="27" t="str">
        <f t="shared" si="47"/>
        <v/>
      </c>
      <c r="BE116" s="27" t="str">
        <f t="shared" si="48"/>
        <v/>
      </c>
      <c r="BF116" s="27" t="str">
        <f t="shared" si="49"/>
        <v/>
      </c>
      <c r="BG116" s="27" t="str">
        <f t="shared" si="50"/>
        <v/>
      </c>
      <c r="BH116" s="27" t="str">
        <f t="shared" si="51"/>
        <v/>
      </c>
      <c r="BI116" s="27" t="str">
        <f t="shared" si="52"/>
        <v/>
      </c>
      <c r="BJ116" s="27" t="str">
        <f t="shared" si="53"/>
        <v/>
      </c>
      <c r="BK116" s="27" t="str">
        <f t="shared" si="54"/>
        <v/>
      </c>
      <c r="BL116" s="27" t="str">
        <f t="shared" si="55"/>
        <v/>
      </c>
      <c r="BM116" s="21" t="s">
        <v>5581</v>
      </c>
    </row>
    <row r="117" spans="1:65" ht="15">
      <c r="A117" s="25" t="str">
        <f>IFERROR(INDEX('Hun Demand'!W:W,MATCH(O117,'Hun Demand'!A:A,0)),"")</f>
        <v/>
      </c>
      <c r="B117" s="25" t="str">
        <f>IFERROR(INDEX('Hun Demand'!V:V,MATCH(O117,'Hun Demand'!A:A,0)),"")</f>
        <v/>
      </c>
      <c r="C117" s="25" t="str">
        <f>IFERROR(INDEX('Hun Demand'!U:U,MATCH(O117,'Hun Demand'!A:A,0)),"")</f>
        <v/>
      </c>
      <c r="D117" s="25" t="str">
        <f>IFERROR(INDEX('Hun Demand'!T:T,MATCH(O117,'Hun Demand'!A:A,0)),"")</f>
        <v/>
      </c>
      <c r="E117" s="25" t="str">
        <f>IFERROR(INDEX('Hun Demand'!S:S,MATCH(O117,'Hun Demand'!A:A,0)),"")</f>
        <v/>
      </c>
      <c r="F117" s="25" t="str">
        <f>IFERROR(INDEX('Hun Demand'!R:R,MATCH(O117,'Hun Demand'!A:A,0)),"")</f>
        <v/>
      </c>
      <c r="G117" s="25">
        <f>IFERROR(INDEX('Aub Demand'!W:W,MATCH(O117,'Aub Demand'!A:A,0)),"")</f>
        <v>83</v>
      </c>
      <c r="H117" s="25">
        <f>IFERROR(INDEX('Aub Demand'!V:V,MATCH(O117,'Aub Demand'!A:A,0)),"")</f>
        <v>0</v>
      </c>
      <c r="I117" s="25">
        <f>IFERROR(INDEX('Aub Demand'!U:U,MATCH(O117,'Aub Demand'!A:A,0)),"")</f>
        <v>41</v>
      </c>
      <c r="J117" s="25">
        <f>IFERROR(INDEX('Aub Demand'!T:T,MATCH(O117,'Aub Demand'!A:A,0)),"")</f>
        <v>0</v>
      </c>
      <c r="K117" s="25">
        <f>IFERROR(INDEX('Aub Demand'!S:S,MATCH(O117,'Aub Demand'!A:A,0)),"")</f>
        <v>65</v>
      </c>
      <c r="L117" s="25">
        <f>IFERROR(INDEX('Aub Demand'!R:R,MATCH(O117,'Aub Demand'!A:A,0)),"")</f>
        <v>0</v>
      </c>
      <c r="O117" s="27" t="s">
        <v>282</v>
      </c>
      <c r="P117" s="27" t="str">
        <f>IFERROR(INDEX('Aub Demand'!B:B,MATCH($O117,'Aub Demand'!$A:$A,0)),"")</f>
        <v>HEAD OVER HEELS</v>
      </c>
      <c r="Q117" s="27" t="str">
        <f>IFERROR(INDEX('Aub Demand'!C:C,MATCH($O117,'Aub Demand'!$A:$A,0)),"")</f>
        <v>INTER</v>
      </c>
      <c r="R117" s="52">
        <f>IFERROR(IF(AR118=AR117,INDEX('Aub Demand'!K:K,MATCH($O117,'Aub Demand'!$A:$A,0))-IF(AN117="",0,AN117)+AP118,INDEX('Aub Demand'!K:K,MATCH($O117,'Aub Demand'!$A:$A,0))-IF(AN117="",0,AN117)),"")</f>
        <v>1295</v>
      </c>
      <c r="S117" s="53">
        <f t="shared" si="28"/>
        <v>158.6</v>
      </c>
      <c r="T117" s="52" t="str">
        <f t="shared" si="29"/>
        <v/>
      </c>
      <c r="U117" s="52">
        <f>IFERROR(IF(AR118=AR117,INDEX('Aub Demand'!Q:Q,MATCH($O117,'Aub Demand'!$A:$A,0))-IF(AN117="",0,AN117)+AP118,INDEX('Aub Demand'!Q:Q,MATCH($O117,'Aub Demand'!$A:$A,0))-IF(AN117="",0,AN117)),"")</f>
        <v>1261</v>
      </c>
      <c r="V117" s="53">
        <f t="shared" si="30"/>
        <v>154.4</v>
      </c>
      <c r="W117" s="52" t="str">
        <f t="shared" si="31"/>
        <v/>
      </c>
      <c r="X117" s="52">
        <f>IFERROR(IF(AND(AR118=AR117,AM117&lt;&gt;""),INDEX('Aub Demand'!Q:Q,MATCH($O117,'Aub Demand'!$A:$A,0))-IF(AN117="",0,AN117)+AP118+AD117+AL117,IF(AR118=AR117,INDEX('Aub Demand'!Q:Q,MATCH($O117,'Aub Demand'!$A:$A,0))-IF(AN117="",0,AN117)+AP118+AD117,IF(AM117&lt;&gt;"",INDEX('Aub Demand'!Q:Q,MATCH($O117,'Aub Demand'!$A:$A,0))-IF(AN117="",0,AN117)+AD117+AL117,INDEX('Aub Demand'!Q:Q,MATCH($O117,'Aub Demand'!$A:$A,0))-IF(AN117="",0,AN117)+AD117))),"")</f>
        <v>1261</v>
      </c>
      <c r="Y117" s="53">
        <f t="shared" si="32"/>
        <v>154.4</v>
      </c>
      <c r="Z117" s="52">
        <f>IF(L117="","",INDEX('Aub Demand'!H:H,MATCH($O117,'Aub Demand'!$A:$A,0)))</f>
        <v>35</v>
      </c>
      <c r="AA117" s="52">
        <f t="shared" si="33"/>
        <v>53</v>
      </c>
      <c r="AB117" s="52">
        <f>IFERROR(INDEX('Aub Demand'!L:L,MATCH($O117,'Aub Demand'!$A:$A,0)),"")</f>
        <v>11</v>
      </c>
      <c r="AC117" s="52">
        <f>IFERROR(IF(O117="","",SUMIFS('CPL Mats'!F:F,'CPL Mats'!Q:Q,AR117,'CPL Mats'!S:S,AS117)),"")</f>
        <v>0</v>
      </c>
      <c r="AF117" s="25" t="str">
        <f>IF(SUMIFS('Supp Consol'!S:S,'Supp Consol'!Y:Y,"Releasable",'Supp Consol'!A:A,O117)=0,"",SUMIFS('Supp Consol'!S:S,'Supp Consol'!Y:Y,"Releasable",'Supp Consol'!A:A,O117))</f>
        <v/>
      </c>
      <c r="AG117" s="25" t="str">
        <f>IFERROR(INDEX('Hun Demand'!Q:Q,MATCH(O117,'Hun Demand'!A:A,0)),"")</f>
        <v/>
      </c>
      <c r="AH117" s="25" t="str">
        <f>IFERROR(INDEX('Hun Demand'!H:H,MATCH($O117,'Hun Demand'!$A:$A,0)),"")</f>
        <v/>
      </c>
      <c r="AI117" s="25" t="str">
        <f>IF(SUMIFS('Supp Consol'!AA:AA,'Supp Consol'!Z:Z,"Expires this month",'Supp Consol'!A:A,O117)=0,"",SUMIFS('Supp Consol'!AA:AA,'Supp Consol'!Z:Z,"Expires this month",'Supp Consol'!A:A,O117))</f>
        <v/>
      </c>
      <c r="AJ117" s="25" t="str">
        <f>IF(SUMIFS('Supp Consol'!AA:AA,'Supp Consol'!Z:Z,"Expired Previous Months",'Supp Consol'!A:A,O117)=0,"",SUMIFS('Supp Consol'!AA:AA,'Supp Consol'!Z:Z,"Expired Previous Months",'Supp Consol'!A:A,O117))</f>
        <v/>
      </c>
      <c r="AK117" s="25" t="str">
        <f>IFERROR(INDEX('Hun Release Current'!B:B,MATCH(O117,'Hun Release Current'!A:A,0)),"")</f>
        <v/>
      </c>
      <c r="AL117" s="25" t="str">
        <f>IF(SUMIF('Prev Aub'!A:A,O117,'Prev Aub'!B:B)=0,"",SUMIF('Prev Aub'!A:A,O117,'Prev Aub'!B:B))</f>
        <v/>
      </c>
      <c r="AN117" s="25" t="s">
        <v>3790</v>
      </c>
      <c r="AO117" s="25" t="s">
        <v>3790</v>
      </c>
      <c r="AP117" s="25">
        <f t="shared" si="34"/>
        <v>0</v>
      </c>
      <c r="AQ117" s="151" t="str">
        <f>IF(SUMIFS('Supp Consol'!S:S,'Supp Consol'!A:A,O117,'Supp Consol'!I:I,"PENDING")=0,"",SUMIFS('Supp Consol'!S:S,'Supp Consol'!A:A,O117,'Supp Consol'!I:I,"PENDING"))</f>
        <v/>
      </c>
      <c r="AR117" s="27" t="str">
        <f t="shared" si="35"/>
        <v>AB300</v>
      </c>
      <c r="AS117" s="27" t="str">
        <f t="shared" si="36"/>
        <v>50</v>
      </c>
      <c r="AT117" s="27" t="str">
        <f t="shared" si="37"/>
        <v/>
      </c>
      <c r="AU117" s="27" t="str">
        <f t="shared" si="38"/>
        <v/>
      </c>
      <c r="AV117" s="27" t="str">
        <f t="shared" si="39"/>
        <v/>
      </c>
      <c r="AW117" s="27" t="str">
        <f t="shared" si="40"/>
        <v/>
      </c>
      <c r="AX117" s="27" t="str">
        <f t="shared" si="41"/>
        <v/>
      </c>
      <c r="AY117" s="27" t="str">
        <f t="shared" si="42"/>
        <v/>
      </c>
      <c r="AZ117" s="27" t="str">
        <f t="shared" si="43"/>
        <v/>
      </c>
      <c r="BA117" s="27" t="str">
        <f t="shared" si="44"/>
        <v/>
      </c>
      <c r="BB117" s="27" t="str">
        <f t="shared" si="45"/>
        <v/>
      </c>
      <c r="BC117" s="27" t="str">
        <f t="shared" si="46"/>
        <v/>
      </c>
      <c r="BD117" s="27" t="str">
        <f t="shared" si="47"/>
        <v/>
      </c>
      <c r="BE117" s="27" t="str">
        <f t="shared" si="48"/>
        <v/>
      </c>
      <c r="BF117" s="27" t="str">
        <f t="shared" si="49"/>
        <v/>
      </c>
      <c r="BG117" s="27" t="str">
        <f t="shared" si="50"/>
        <v/>
      </c>
      <c r="BH117" s="27" t="str">
        <f t="shared" si="51"/>
        <v/>
      </c>
      <c r="BI117" s="27" t="str">
        <f t="shared" si="52"/>
        <v/>
      </c>
      <c r="BJ117" s="27" t="str">
        <f t="shared" si="53"/>
        <v/>
      </c>
      <c r="BK117" s="27" t="str">
        <f t="shared" si="54"/>
        <v/>
      </c>
      <c r="BL117" s="27" t="str">
        <f t="shared" si="55"/>
        <v/>
      </c>
      <c r="BM117" s="21" t="s">
        <v>5581</v>
      </c>
    </row>
    <row r="118" spans="1:65" ht="15">
      <c r="A118" s="25" t="str">
        <f>IFERROR(INDEX('Hun Demand'!W:W,MATCH(O118,'Hun Demand'!A:A,0)),"")</f>
        <v/>
      </c>
      <c r="B118" s="25" t="str">
        <f>IFERROR(INDEX('Hun Demand'!V:V,MATCH(O118,'Hun Demand'!A:A,0)),"")</f>
        <v/>
      </c>
      <c r="C118" s="25" t="str">
        <f>IFERROR(INDEX('Hun Demand'!U:U,MATCH(O118,'Hun Demand'!A:A,0)),"")</f>
        <v/>
      </c>
      <c r="D118" s="25" t="str">
        <f>IFERROR(INDEX('Hun Demand'!T:T,MATCH(O118,'Hun Demand'!A:A,0)),"")</f>
        <v/>
      </c>
      <c r="E118" s="25" t="str">
        <f>IFERROR(INDEX('Hun Demand'!S:S,MATCH(O118,'Hun Demand'!A:A,0)),"")</f>
        <v/>
      </c>
      <c r="F118" s="25" t="str">
        <f>IFERROR(INDEX('Hun Demand'!R:R,MATCH(O118,'Hun Demand'!A:A,0)),"")</f>
        <v/>
      </c>
      <c r="G118" s="25">
        <f>IFERROR(INDEX('Aub Demand'!W:W,MATCH(O118,'Aub Demand'!A:A,0)),"")</f>
        <v>101</v>
      </c>
      <c r="H118" s="25">
        <f>IFERROR(INDEX('Aub Demand'!V:V,MATCH(O118,'Aub Demand'!A:A,0)),"")</f>
        <v>0</v>
      </c>
      <c r="I118" s="25">
        <f>IFERROR(INDEX('Aub Demand'!U:U,MATCH(O118,'Aub Demand'!A:A,0)),"")</f>
        <v>0</v>
      </c>
      <c r="J118" s="25">
        <f>IFERROR(INDEX('Aub Demand'!T:T,MATCH(O118,'Aub Demand'!A:A,0)),"")</f>
        <v>82</v>
      </c>
      <c r="K118" s="25">
        <f>IFERROR(INDEX('Aub Demand'!S:S,MATCH(O118,'Aub Demand'!A:A,0)),"")</f>
        <v>74</v>
      </c>
      <c r="L118" s="25">
        <f>IFERROR(INDEX('Aub Demand'!R:R,MATCH(O118,'Aub Demand'!A:A,0)),"")</f>
        <v>0</v>
      </c>
      <c r="O118" s="27" t="s">
        <v>285</v>
      </c>
      <c r="P118" s="27" t="str">
        <f>IFERROR(INDEX('Aub Demand'!B:B,MATCH($O118,'Aub Demand'!$A:$A,0)),"")</f>
        <v>HEAD OVER HEALS</v>
      </c>
      <c r="Q118" s="27" t="str">
        <f>IFERROR(INDEX('Aub Demand'!C:C,MATCH($O118,'Aub Demand'!$A:$A,0)),"")</f>
        <v>INTER</v>
      </c>
      <c r="R118" s="52">
        <f>IFERROR(IF(AR119=AR118,INDEX('Aub Demand'!K:K,MATCH($O118,'Aub Demand'!$A:$A,0))-IF(AN118="",0,AN118)+AP119,INDEX('Aub Demand'!K:K,MATCH($O118,'Aub Demand'!$A:$A,0))-IF(AN118="",0,AN118)),"")</f>
        <v>2352</v>
      </c>
      <c r="S118" s="53">
        <f t="shared" si="28"/>
        <v>193.8</v>
      </c>
      <c r="T118" s="52" t="str">
        <f t="shared" si="29"/>
        <v/>
      </c>
      <c r="U118" s="52">
        <f>IFERROR(IF(AR119=AR118,INDEX('Aub Demand'!Q:Q,MATCH($O118,'Aub Demand'!$A:$A,0))-IF(AN118="",0,AN118)+AP119,INDEX('Aub Demand'!Q:Q,MATCH($O118,'Aub Demand'!$A:$A,0))-IF(AN118="",0,AN118)),"")</f>
        <v>2340</v>
      </c>
      <c r="V118" s="53">
        <f t="shared" si="30"/>
        <v>192.9</v>
      </c>
      <c r="W118" s="52" t="str">
        <f t="shared" si="31"/>
        <v/>
      </c>
      <c r="X118" s="52">
        <f>IFERROR(IF(AND(AR119=AR118,AM118&lt;&gt;""),INDEX('Aub Demand'!Q:Q,MATCH($O118,'Aub Demand'!$A:$A,0))-IF(AN118="",0,AN118)+AP119+AD118+AL118,IF(AR119=AR118,INDEX('Aub Demand'!Q:Q,MATCH($O118,'Aub Demand'!$A:$A,0))-IF(AN118="",0,AN118)+AP119+AD118,IF(AM118&lt;&gt;"",INDEX('Aub Demand'!Q:Q,MATCH($O118,'Aub Demand'!$A:$A,0))-IF(AN118="",0,AN118)+AD118+AL118,INDEX('Aub Demand'!Q:Q,MATCH($O118,'Aub Demand'!$A:$A,0))-IF(AN118="",0,AN118)+AD118))),"")</f>
        <v>2340</v>
      </c>
      <c r="Y118" s="53">
        <f t="shared" si="32"/>
        <v>192.9</v>
      </c>
      <c r="Z118" s="52">
        <f>IF(L118="","",INDEX('Aub Demand'!H:H,MATCH($O118,'Aub Demand'!$A:$A,0)))</f>
        <v>52</v>
      </c>
      <c r="AA118" s="52">
        <f t="shared" si="33"/>
        <v>78</v>
      </c>
      <c r="AB118" s="52">
        <f>IFERROR(INDEX('Aub Demand'!L:L,MATCH($O118,'Aub Demand'!$A:$A,0)),"")</f>
        <v>22</v>
      </c>
      <c r="AC118" s="52">
        <f>IFERROR(IF(O118="","",SUMIFS('CPL Mats'!F:F,'CPL Mats'!Q:Q,AR118,'CPL Mats'!S:S,AS118)),"")</f>
        <v>0</v>
      </c>
      <c r="AF118" s="25" t="str">
        <f>IF(SUMIFS('Supp Consol'!S:S,'Supp Consol'!Y:Y,"Releasable",'Supp Consol'!A:A,O118)=0,"",SUMIFS('Supp Consol'!S:S,'Supp Consol'!Y:Y,"Releasable",'Supp Consol'!A:A,O118))</f>
        <v/>
      </c>
      <c r="AG118" s="25" t="str">
        <f>IFERROR(INDEX('Hun Demand'!Q:Q,MATCH(O118,'Hun Demand'!A:A,0)),"")</f>
        <v/>
      </c>
      <c r="AH118" s="25" t="str">
        <f>IFERROR(INDEX('Hun Demand'!H:H,MATCH($O118,'Hun Demand'!$A:$A,0)),"")</f>
        <v/>
      </c>
      <c r="AI118" s="25" t="str">
        <f>IF(SUMIFS('Supp Consol'!AA:AA,'Supp Consol'!Z:Z,"Expires this month",'Supp Consol'!A:A,O118)=0,"",SUMIFS('Supp Consol'!AA:AA,'Supp Consol'!Z:Z,"Expires this month",'Supp Consol'!A:A,O118))</f>
        <v/>
      </c>
      <c r="AJ118" s="25" t="str">
        <f>IF(SUMIFS('Supp Consol'!AA:AA,'Supp Consol'!Z:Z,"Expired Previous Months",'Supp Consol'!A:A,O118)=0,"",SUMIFS('Supp Consol'!AA:AA,'Supp Consol'!Z:Z,"Expired Previous Months",'Supp Consol'!A:A,O118))</f>
        <v/>
      </c>
      <c r="AK118" s="25" t="str">
        <f>IFERROR(INDEX('Hun Release Current'!B:B,MATCH(O118,'Hun Release Current'!A:A,0)),"")</f>
        <v/>
      </c>
      <c r="AL118" s="25" t="str">
        <f>IF(SUMIF('Prev Aub'!A:A,O118,'Prev Aub'!B:B)=0,"",SUMIF('Prev Aub'!A:A,O118,'Prev Aub'!B:B))</f>
        <v/>
      </c>
      <c r="AN118" s="25" t="s">
        <v>3790</v>
      </c>
      <c r="AO118" s="25" t="s">
        <v>3790</v>
      </c>
      <c r="AP118" s="25">
        <f t="shared" si="34"/>
        <v>0</v>
      </c>
      <c r="AQ118" s="151" t="str">
        <f>IF(SUMIFS('Supp Consol'!S:S,'Supp Consol'!A:A,O118,'Supp Consol'!I:I,"PENDING")=0,"",SUMIFS('Supp Consol'!S:S,'Supp Consol'!A:A,O118,'Supp Consol'!I:I,"PENDING"))</f>
        <v/>
      </c>
      <c r="AR118" s="27" t="str">
        <f t="shared" si="35"/>
        <v>AB300</v>
      </c>
      <c r="AS118" s="27" t="str">
        <f t="shared" si="36"/>
        <v>62</v>
      </c>
      <c r="AT118" s="27" t="str">
        <f t="shared" si="37"/>
        <v/>
      </c>
      <c r="AU118" s="27" t="str">
        <f t="shared" si="38"/>
        <v/>
      </c>
      <c r="AV118" s="27" t="str">
        <f t="shared" si="39"/>
        <v/>
      </c>
      <c r="AW118" s="27" t="str">
        <f t="shared" si="40"/>
        <v/>
      </c>
      <c r="AX118" s="27" t="str">
        <f t="shared" si="41"/>
        <v/>
      </c>
      <c r="AY118" s="27" t="str">
        <f t="shared" si="42"/>
        <v/>
      </c>
      <c r="AZ118" s="27" t="str">
        <f t="shared" si="43"/>
        <v/>
      </c>
      <c r="BA118" s="27" t="str">
        <f t="shared" si="44"/>
        <v/>
      </c>
      <c r="BB118" s="27" t="str">
        <f t="shared" si="45"/>
        <v/>
      </c>
      <c r="BC118" s="27" t="str">
        <f t="shared" si="46"/>
        <v/>
      </c>
      <c r="BD118" s="27" t="str">
        <f t="shared" si="47"/>
        <v/>
      </c>
      <c r="BE118" s="27" t="str">
        <f t="shared" si="48"/>
        <v/>
      </c>
      <c r="BF118" s="27" t="str">
        <f t="shared" si="49"/>
        <v/>
      </c>
      <c r="BG118" s="27" t="str">
        <f t="shared" si="50"/>
        <v/>
      </c>
      <c r="BH118" s="27" t="str">
        <f t="shared" si="51"/>
        <v/>
      </c>
      <c r="BI118" s="27" t="str">
        <f t="shared" si="52"/>
        <v/>
      </c>
      <c r="BJ118" s="27" t="str">
        <f t="shared" si="53"/>
        <v/>
      </c>
      <c r="BK118" s="27" t="str">
        <f t="shared" si="54"/>
        <v/>
      </c>
      <c r="BL118" s="27" t="str">
        <f t="shared" si="55"/>
        <v/>
      </c>
      <c r="BM118" s="21" t="s">
        <v>5581</v>
      </c>
    </row>
    <row r="119" spans="1:65" ht="15">
      <c r="A119" s="25">
        <f>IFERROR(INDEX('Hun Demand'!W:W,MATCH(O119,'Hun Demand'!A:A,0)),"")</f>
        <v>0</v>
      </c>
      <c r="B119" s="25">
        <f>IFERROR(INDEX('Hun Demand'!V:V,MATCH(O119,'Hun Demand'!A:A,0)),"")</f>
        <v>0</v>
      </c>
      <c r="C119" s="25">
        <f>IFERROR(INDEX('Hun Demand'!U:U,MATCH(O119,'Hun Demand'!A:A,0)),"")</f>
        <v>0</v>
      </c>
      <c r="D119" s="25">
        <f>IFERROR(INDEX('Hun Demand'!T:T,MATCH(O119,'Hun Demand'!A:A,0)),"")</f>
        <v>0</v>
      </c>
      <c r="E119" s="25">
        <f>IFERROR(INDEX('Hun Demand'!S:S,MATCH(O119,'Hun Demand'!A:A,0)),"")</f>
        <v>0</v>
      </c>
      <c r="F119" s="25">
        <f>IFERROR(INDEX('Hun Demand'!R:R,MATCH(O119,'Hun Demand'!A:A,0)),"")</f>
        <v>0</v>
      </c>
      <c r="G119" s="25">
        <f>IFERROR(INDEX('Aub Demand'!W:W,MATCH(O119,'Aub Demand'!A:A,0)),"")</f>
        <v>12</v>
      </c>
      <c r="H119" s="25">
        <f>IFERROR(INDEX('Aub Demand'!V:V,MATCH(O119,'Aub Demand'!A:A,0)),"")</f>
        <v>0</v>
      </c>
      <c r="I119" s="25">
        <f>IFERROR(INDEX('Aub Demand'!U:U,MATCH(O119,'Aub Demand'!A:A,0)),"")</f>
        <v>0</v>
      </c>
      <c r="J119" s="25">
        <f>IFERROR(INDEX('Aub Demand'!T:T,MATCH(O119,'Aub Demand'!A:A,0)),"")</f>
        <v>0</v>
      </c>
      <c r="K119" s="25">
        <f>IFERROR(INDEX('Aub Demand'!S:S,MATCH(O119,'Aub Demand'!A:A,0)),"")</f>
        <v>0</v>
      </c>
      <c r="L119" s="25">
        <f>IFERROR(INDEX('Aub Demand'!R:R,MATCH(O119,'Aub Demand'!A:A,0)),"")</f>
        <v>0</v>
      </c>
      <c r="O119" s="27" t="s">
        <v>287</v>
      </c>
      <c r="P119" s="27" t="str">
        <f>IFERROR(INDEX('Aub Demand'!B:B,MATCH($O119,'Aub Demand'!$A:$A,0)),"")</f>
        <v>HAPPY HOUR</v>
      </c>
      <c r="Q119" s="27" t="str">
        <f>IFERROR(INDEX('Aub Demand'!C:C,MATCH($O119,'Aub Demand'!$A:$A,0)),"")</f>
        <v>AHLST</v>
      </c>
      <c r="R119" s="52">
        <f>IFERROR(IF(AR120=AR119,INDEX('Aub Demand'!K:K,MATCH($O119,'Aub Demand'!$A:$A,0))-IF(AN119="",0,AN119)+AP120,INDEX('Aub Demand'!K:K,MATCH($O119,'Aub Demand'!$A:$A,0))-IF(AN119="",0,AN119)),"")</f>
        <v>1246</v>
      </c>
      <c r="S119" s="53" t="str">
        <f t="shared" si="28"/>
        <v>n/a</v>
      </c>
      <c r="T119" s="52" t="str">
        <f t="shared" si="29"/>
        <v/>
      </c>
      <c r="U119" s="52">
        <f>IFERROR(IF(AR120=AR119,INDEX('Aub Demand'!Q:Q,MATCH($O119,'Aub Demand'!$A:$A,0))-IF(AN119="",0,AN119)+AP120,INDEX('Aub Demand'!Q:Q,MATCH($O119,'Aub Demand'!$A:$A,0))-IF(AN119="",0,AN119)),"")</f>
        <v>1246</v>
      </c>
      <c r="V119" s="53" t="str">
        <f t="shared" si="30"/>
        <v>n/a</v>
      </c>
      <c r="W119" s="52" t="str">
        <f t="shared" si="31"/>
        <v/>
      </c>
      <c r="X119" s="52">
        <f>IFERROR(IF(AND(AR120=AR119,AM119&lt;&gt;""),INDEX('Aub Demand'!Q:Q,MATCH($O119,'Aub Demand'!$A:$A,0))-IF(AN119="",0,AN119)+AP120+AD119+AL119,IF(AR120=AR119,INDEX('Aub Demand'!Q:Q,MATCH($O119,'Aub Demand'!$A:$A,0))-IF(AN119="",0,AN119)+AP120+AD119,IF(AM119&lt;&gt;"",INDEX('Aub Demand'!Q:Q,MATCH($O119,'Aub Demand'!$A:$A,0))-IF(AN119="",0,AN119)+AD119+AL119,INDEX('Aub Demand'!Q:Q,MATCH($O119,'Aub Demand'!$A:$A,0))-IF(AN119="",0,AN119)+AD119))),"")</f>
        <v>1246</v>
      </c>
      <c r="Y119" s="53" t="str">
        <f t="shared" si="32"/>
        <v>n/a</v>
      </c>
      <c r="Z119" s="52">
        <f>IF(L119="","",INDEX('Aub Demand'!H:H,MATCH($O119,'Aub Demand'!$A:$A,0)))</f>
        <v>0</v>
      </c>
      <c r="AA119" s="52" t="str">
        <f t="shared" si="33"/>
        <v>-spike-</v>
      </c>
      <c r="AB119" s="52">
        <f>IFERROR(INDEX('Aub Demand'!L:L,MATCH($O119,'Aub Demand'!$A:$A,0)),"")</f>
        <v>0</v>
      </c>
      <c r="AC119" s="52">
        <f>IFERROR(IF(O119="","",SUMIFS('CPL Mats'!F:F,'CPL Mats'!Q:Q,AR119,'CPL Mats'!S:S,AS119)),"")</f>
        <v>0</v>
      </c>
      <c r="AF119" s="25" t="str">
        <f>IF(SUMIFS('Supp Consol'!S:S,'Supp Consol'!Y:Y,"Releasable",'Supp Consol'!A:A,O119)=0,"",SUMIFS('Supp Consol'!S:S,'Supp Consol'!Y:Y,"Releasable",'Supp Consol'!A:A,O119))</f>
        <v/>
      </c>
      <c r="AG119" s="25">
        <f>IFERROR(INDEX('Hun Demand'!Q:Q,MATCH(O119,'Hun Demand'!A:A,0)),"")</f>
        <v>171</v>
      </c>
      <c r="AH119" s="25">
        <f>IFERROR(INDEX('Hun Demand'!H:H,MATCH($O119,'Hun Demand'!$A:$A,0)),"")</f>
        <v>0</v>
      </c>
      <c r="AI119" s="25" t="str">
        <f>IF(SUMIFS('Supp Consol'!AA:AA,'Supp Consol'!Z:Z,"Expires this month",'Supp Consol'!A:A,O119)=0,"",SUMIFS('Supp Consol'!AA:AA,'Supp Consol'!Z:Z,"Expires this month",'Supp Consol'!A:A,O119))</f>
        <v/>
      </c>
      <c r="AJ119" s="25" t="str">
        <f>IF(SUMIFS('Supp Consol'!AA:AA,'Supp Consol'!Z:Z,"Expired Previous Months",'Supp Consol'!A:A,O119)=0,"",SUMIFS('Supp Consol'!AA:AA,'Supp Consol'!Z:Z,"Expired Previous Months",'Supp Consol'!A:A,O119))</f>
        <v/>
      </c>
      <c r="AK119" s="25" t="str">
        <f>IFERROR(INDEX('Hun Release Current'!B:B,MATCH(O119,'Hun Release Current'!A:A,0)),"")</f>
        <v/>
      </c>
      <c r="AL119" s="25" t="str">
        <f>IF(SUMIF('Prev Aub'!A:A,O119,'Prev Aub'!B:B)=0,"",SUMIF('Prev Aub'!A:A,O119,'Prev Aub'!B:B))</f>
        <v/>
      </c>
      <c r="AN119" s="25" t="s">
        <v>3790</v>
      </c>
      <c r="AO119" s="25" t="s">
        <v>3790</v>
      </c>
      <c r="AP119" s="25">
        <f t="shared" si="34"/>
        <v>0</v>
      </c>
      <c r="AQ119" s="151" t="str">
        <f>IF(SUMIFS('Supp Consol'!S:S,'Supp Consol'!A:A,O119,'Supp Consol'!I:I,"PENDING")=0,"",SUMIFS('Supp Consol'!S:S,'Supp Consol'!A:A,O119,'Supp Consol'!I:I,"PENDING"))</f>
        <v/>
      </c>
      <c r="AR119" s="27" t="str">
        <f t="shared" si="35"/>
        <v>AB400</v>
      </c>
      <c r="AS119" s="27" t="str">
        <f t="shared" si="36"/>
        <v>50</v>
      </c>
      <c r="AT119" s="27" t="str">
        <f t="shared" si="37"/>
        <v/>
      </c>
      <c r="AU119" s="27" t="str">
        <f t="shared" si="38"/>
        <v/>
      </c>
      <c r="AV119" s="27" t="str">
        <f t="shared" si="39"/>
        <v/>
      </c>
      <c r="AW119" s="27" t="str">
        <f t="shared" si="40"/>
        <v/>
      </c>
      <c r="AX119" s="27" t="str">
        <f t="shared" si="41"/>
        <v/>
      </c>
      <c r="AY119" s="27" t="str">
        <f t="shared" si="42"/>
        <v>AB400</v>
      </c>
      <c r="AZ119" s="27" t="str">
        <f t="shared" si="43"/>
        <v/>
      </c>
      <c r="BA119" s="27" t="str">
        <f t="shared" si="44"/>
        <v>Hun</v>
      </c>
      <c r="BB119" s="27" t="str">
        <f t="shared" si="45"/>
        <v/>
      </c>
      <c r="BC119" s="27" t="str">
        <f t="shared" si="46"/>
        <v/>
      </c>
      <c r="BD119" s="27" t="str">
        <f t="shared" si="47"/>
        <v/>
      </c>
      <c r="BE119" s="27" t="str">
        <f t="shared" si="48"/>
        <v/>
      </c>
      <c r="BF119" s="27" t="str">
        <f t="shared" si="49"/>
        <v/>
      </c>
      <c r="BG119" s="27" t="str">
        <f t="shared" si="50"/>
        <v/>
      </c>
      <c r="BH119" s="27" t="str">
        <f t="shared" si="51"/>
        <v/>
      </c>
      <c r="BI119" s="27" t="str">
        <f t="shared" si="52"/>
        <v/>
      </c>
      <c r="BJ119" s="27" t="str">
        <f t="shared" si="53"/>
        <v>Supp or Hun</v>
      </c>
      <c r="BK119" s="27" t="str">
        <f t="shared" si="54"/>
        <v/>
      </c>
      <c r="BL119" s="27" t="str">
        <f t="shared" si="55"/>
        <v/>
      </c>
      <c r="BM119" s="21" t="s">
        <v>5581</v>
      </c>
    </row>
    <row r="120" spans="1:65" ht="15">
      <c r="A120" s="25" t="str">
        <f>IFERROR(INDEX('Hun Demand'!W:W,MATCH(O120,'Hun Demand'!A:A,0)),"")</f>
        <v/>
      </c>
      <c r="B120" s="25" t="str">
        <f>IFERROR(INDEX('Hun Demand'!V:V,MATCH(O120,'Hun Demand'!A:A,0)),"")</f>
        <v/>
      </c>
      <c r="C120" s="25" t="str">
        <f>IFERROR(INDEX('Hun Demand'!U:U,MATCH(O120,'Hun Demand'!A:A,0)),"")</f>
        <v/>
      </c>
      <c r="D120" s="25" t="str">
        <f>IFERROR(INDEX('Hun Demand'!T:T,MATCH(O120,'Hun Demand'!A:A,0)),"")</f>
        <v/>
      </c>
      <c r="E120" s="25" t="str">
        <f>IFERROR(INDEX('Hun Demand'!S:S,MATCH(O120,'Hun Demand'!A:A,0)),"")</f>
        <v/>
      </c>
      <c r="F120" s="25" t="str">
        <f>IFERROR(INDEX('Hun Demand'!R:R,MATCH(O120,'Hun Demand'!A:A,0)),"")</f>
        <v/>
      </c>
      <c r="G120" s="25">
        <f>IFERROR(INDEX('Aub Demand'!W:W,MATCH(O120,'Aub Demand'!A:A,0)),"")</f>
        <v>0</v>
      </c>
      <c r="H120" s="25">
        <f>IFERROR(INDEX('Aub Demand'!V:V,MATCH(O120,'Aub Demand'!A:A,0)),"")</f>
        <v>0</v>
      </c>
      <c r="I120" s="25">
        <f>IFERROR(INDEX('Aub Demand'!U:U,MATCH(O120,'Aub Demand'!A:A,0)),"")</f>
        <v>0</v>
      </c>
      <c r="J120" s="25">
        <f>IFERROR(INDEX('Aub Demand'!T:T,MATCH(O120,'Aub Demand'!A:A,0)),"")</f>
        <v>0</v>
      </c>
      <c r="K120" s="25">
        <f>IFERROR(INDEX('Aub Demand'!S:S,MATCH(O120,'Aub Demand'!A:A,0)),"")</f>
        <v>0</v>
      </c>
      <c r="L120" s="25">
        <f>IFERROR(INDEX('Aub Demand'!R:R,MATCH(O120,'Aub Demand'!A:A,0)),"")</f>
        <v>0</v>
      </c>
      <c r="O120" s="27" t="s">
        <v>289</v>
      </c>
      <c r="P120" s="27" t="str">
        <f>IFERROR(INDEX('Aub Demand'!B:B,MATCH($O120,'Aub Demand'!$A:$A,0)),"")</f>
        <v>HAPPY HOUR</v>
      </c>
      <c r="Q120" s="27" t="str">
        <f>IFERROR(INDEX('Aub Demand'!C:C,MATCH($O120,'Aub Demand'!$A:$A,0)),"")</f>
        <v>AHLST</v>
      </c>
      <c r="R120" s="52">
        <f>IFERROR(IF(AR121=AR120,INDEX('Aub Demand'!K:K,MATCH($O120,'Aub Demand'!$A:$A,0))-IF(AN120="",0,AN120)+AP121,INDEX('Aub Demand'!K:K,MATCH($O120,'Aub Demand'!$A:$A,0))-IF(AN120="",0,AN120)),"")</f>
        <v>1146</v>
      </c>
      <c r="S120" s="53" t="str">
        <f t="shared" si="28"/>
        <v>n/a</v>
      </c>
      <c r="T120" s="52" t="str">
        <f t="shared" si="29"/>
        <v/>
      </c>
      <c r="U120" s="52">
        <f>IFERROR(IF(AR121=AR120,INDEX('Aub Demand'!Q:Q,MATCH($O120,'Aub Demand'!$A:$A,0))-IF(AN120="",0,AN120)+AP121,INDEX('Aub Demand'!Q:Q,MATCH($O120,'Aub Demand'!$A:$A,0))-IF(AN120="",0,AN120)),"")</f>
        <v>1146</v>
      </c>
      <c r="V120" s="53" t="str">
        <f t="shared" si="30"/>
        <v>n/a</v>
      </c>
      <c r="W120" s="52" t="str">
        <f t="shared" si="31"/>
        <v/>
      </c>
      <c r="X120" s="52">
        <f>IFERROR(IF(AND(AR121=AR120,AM120&lt;&gt;""),INDEX('Aub Demand'!Q:Q,MATCH($O120,'Aub Demand'!$A:$A,0))-IF(AN120="",0,AN120)+AP121+AD120+AL120,IF(AR121=AR120,INDEX('Aub Demand'!Q:Q,MATCH($O120,'Aub Demand'!$A:$A,0))-IF(AN120="",0,AN120)+AP121+AD120,IF(AM120&lt;&gt;"",INDEX('Aub Demand'!Q:Q,MATCH($O120,'Aub Demand'!$A:$A,0))-IF(AN120="",0,AN120)+AD120+AL120,INDEX('Aub Demand'!Q:Q,MATCH($O120,'Aub Demand'!$A:$A,0))-IF(AN120="",0,AN120)+AD120))),"")</f>
        <v>1146</v>
      </c>
      <c r="Y120" s="53" t="str">
        <f t="shared" si="32"/>
        <v>n/a</v>
      </c>
      <c r="Z120" s="52">
        <f>IF(L120="","",INDEX('Aub Demand'!H:H,MATCH($O120,'Aub Demand'!$A:$A,0)))</f>
        <v>0</v>
      </c>
      <c r="AA120" s="52" t="str">
        <f t="shared" si="33"/>
        <v>-spike-</v>
      </c>
      <c r="AB120" s="52">
        <f>IFERROR(INDEX('Aub Demand'!L:L,MATCH($O120,'Aub Demand'!$A:$A,0)),"")</f>
        <v>5</v>
      </c>
      <c r="AC120" s="52">
        <f>IFERROR(IF(O120="","",SUMIFS('CPL Mats'!F:F,'CPL Mats'!Q:Q,AR120,'CPL Mats'!S:S,AS120)),"")</f>
        <v>0</v>
      </c>
      <c r="AF120" s="25" t="str">
        <f>IF(SUMIFS('Supp Consol'!S:S,'Supp Consol'!Y:Y,"Releasable",'Supp Consol'!A:A,O120)=0,"",SUMIFS('Supp Consol'!S:S,'Supp Consol'!Y:Y,"Releasable",'Supp Consol'!A:A,O120))</f>
        <v/>
      </c>
      <c r="AG120" s="25" t="str">
        <f>IFERROR(INDEX('Hun Demand'!Q:Q,MATCH(O120,'Hun Demand'!A:A,0)),"")</f>
        <v/>
      </c>
      <c r="AH120" s="25" t="str">
        <f>IFERROR(INDEX('Hun Demand'!H:H,MATCH($O120,'Hun Demand'!$A:$A,0)),"")</f>
        <v/>
      </c>
      <c r="AI120" s="25" t="str">
        <f>IF(SUMIFS('Supp Consol'!AA:AA,'Supp Consol'!Z:Z,"Expires this month",'Supp Consol'!A:A,O120)=0,"",SUMIFS('Supp Consol'!AA:AA,'Supp Consol'!Z:Z,"Expires this month",'Supp Consol'!A:A,O120))</f>
        <v/>
      </c>
      <c r="AJ120" s="25" t="str">
        <f>IF(SUMIFS('Supp Consol'!AA:AA,'Supp Consol'!Z:Z,"Expired Previous Months",'Supp Consol'!A:A,O120)=0,"",SUMIFS('Supp Consol'!AA:AA,'Supp Consol'!Z:Z,"Expired Previous Months",'Supp Consol'!A:A,O120))</f>
        <v/>
      </c>
      <c r="AK120" s="25" t="str">
        <f>IFERROR(INDEX('Hun Release Current'!B:B,MATCH(O120,'Hun Release Current'!A:A,0)),"")</f>
        <v/>
      </c>
      <c r="AL120" s="25" t="str">
        <f>IF(SUMIF('Prev Aub'!A:A,O120,'Prev Aub'!B:B)=0,"",SUMIF('Prev Aub'!A:A,O120,'Prev Aub'!B:B))</f>
        <v/>
      </c>
      <c r="AN120" s="25" t="s">
        <v>3790</v>
      </c>
      <c r="AO120" s="25" t="s">
        <v>3790</v>
      </c>
      <c r="AP120" s="25">
        <f t="shared" si="34"/>
        <v>0</v>
      </c>
      <c r="AQ120" s="151" t="str">
        <f>IF(SUMIFS('Supp Consol'!S:S,'Supp Consol'!A:A,O120,'Supp Consol'!I:I,"PENDING")=0,"",SUMIFS('Supp Consol'!S:S,'Supp Consol'!A:A,O120,'Supp Consol'!I:I,"PENDING"))</f>
        <v/>
      </c>
      <c r="AR120" s="27" t="str">
        <f t="shared" si="35"/>
        <v>AB400</v>
      </c>
      <c r="AS120" s="27" t="str">
        <f t="shared" si="36"/>
        <v>62</v>
      </c>
      <c r="AT120" s="27" t="str">
        <f t="shared" si="37"/>
        <v/>
      </c>
      <c r="AU120" s="27" t="str">
        <f t="shared" si="38"/>
        <v/>
      </c>
      <c r="AV120" s="27" t="str">
        <f t="shared" si="39"/>
        <v/>
      </c>
      <c r="AW120" s="27" t="str">
        <f t="shared" si="40"/>
        <v/>
      </c>
      <c r="AX120" s="27" t="str">
        <f t="shared" si="41"/>
        <v/>
      </c>
      <c r="AY120" s="27" t="str">
        <f t="shared" si="42"/>
        <v/>
      </c>
      <c r="AZ120" s="27" t="str">
        <f t="shared" si="43"/>
        <v/>
      </c>
      <c r="BA120" s="27" t="str">
        <f t="shared" si="44"/>
        <v>Hun</v>
      </c>
      <c r="BB120" s="27" t="str">
        <f t="shared" si="45"/>
        <v/>
      </c>
      <c r="BC120" s="27" t="str">
        <f t="shared" si="46"/>
        <v/>
      </c>
      <c r="BD120" s="27" t="str">
        <f t="shared" si="47"/>
        <v/>
      </c>
      <c r="BE120" s="27" t="str">
        <f t="shared" si="48"/>
        <v/>
      </c>
      <c r="BF120" s="27" t="str">
        <f t="shared" si="49"/>
        <v/>
      </c>
      <c r="BG120" s="27" t="str">
        <f t="shared" si="50"/>
        <v/>
      </c>
      <c r="BH120" s="27" t="str">
        <f t="shared" si="51"/>
        <v/>
      </c>
      <c r="BI120" s="27" t="str">
        <f t="shared" si="52"/>
        <v/>
      </c>
      <c r="BJ120" s="27" t="str">
        <f t="shared" si="53"/>
        <v>Supp or Hun</v>
      </c>
      <c r="BK120" s="27" t="str">
        <f t="shared" si="54"/>
        <v/>
      </c>
      <c r="BL120" s="27" t="str">
        <f t="shared" si="55"/>
        <v/>
      </c>
      <c r="BM120" s="21" t="s">
        <v>5581</v>
      </c>
    </row>
    <row r="121" spans="1:65" ht="15">
      <c r="A121" s="25">
        <f>IFERROR(INDEX('Hun Demand'!W:W,MATCH(O121,'Hun Demand'!A:A,0)),"")</f>
        <v>0</v>
      </c>
      <c r="B121" s="25">
        <f>IFERROR(INDEX('Hun Demand'!V:V,MATCH(O121,'Hun Demand'!A:A,0)),"")</f>
        <v>0</v>
      </c>
      <c r="C121" s="25">
        <f>IFERROR(INDEX('Hun Demand'!U:U,MATCH(O121,'Hun Demand'!A:A,0)),"")</f>
        <v>0</v>
      </c>
      <c r="D121" s="25">
        <f>IFERROR(INDEX('Hun Demand'!T:T,MATCH(O121,'Hun Demand'!A:A,0)),"")</f>
        <v>0</v>
      </c>
      <c r="E121" s="25">
        <f>IFERROR(INDEX('Hun Demand'!S:S,MATCH(O121,'Hun Demand'!A:A,0)),"")</f>
        <v>0</v>
      </c>
      <c r="F121" s="25">
        <f>IFERROR(INDEX('Hun Demand'!R:R,MATCH(O121,'Hun Demand'!A:A,0)),"")</f>
        <v>0</v>
      </c>
      <c r="G121" s="25">
        <f>IFERROR(INDEX('Aub Demand'!W:W,MATCH(O121,'Aub Demand'!A:A,0)),"")</f>
        <v>0</v>
      </c>
      <c r="H121" s="25">
        <f>IFERROR(INDEX('Aub Demand'!V:V,MATCH(O121,'Aub Demand'!A:A,0)),"")</f>
        <v>1</v>
      </c>
      <c r="I121" s="25">
        <f>IFERROR(INDEX('Aub Demand'!U:U,MATCH(O121,'Aub Demand'!A:A,0)),"")</f>
        <v>0</v>
      </c>
      <c r="J121" s="25">
        <f>IFERROR(INDEX('Aub Demand'!T:T,MATCH(O121,'Aub Demand'!A:A,0)),"")</f>
        <v>0</v>
      </c>
      <c r="K121" s="25">
        <f>IFERROR(INDEX('Aub Demand'!S:S,MATCH(O121,'Aub Demand'!A:A,0)),"")</f>
        <v>0</v>
      </c>
      <c r="L121" s="25">
        <f>IFERROR(INDEX('Aub Demand'!R:R,MATCH(O121,'Aub Demand'!A:A,0)),"")</f>
        <v>0</v>
      </c>
      <c r="O121" s="27" t="s">
        <v>2024</v>
      </c>
      <c r="P121" s="27" t="str">
        <f>IFERROR(INDEX('Aub Demand'!B:B,MATCH($O121,'Aub Demand'!$A:$A,0)),"")</f>
        <v>TURQUOISE KINETIC</v>
      </c>
      <c r="Q121" s="27" t="str">
        <f>IFERROR(INDEX('Aub Demand'!C:C,MATCH($O121,'Aub Demand'!$A:$A,0)),"")</f>
        <v>INTER</v>
      </c>
      <c r="R121" s="52">
        <f>IFERROR(IF(AR122=AR121,INDEX('Aub Demand'!K:K,MATCH($O121,'Aub Demand'!$A:$A,0))-IF(AN121="",0,AN121)+AP122,INDEX('Aub Demand'!K:K,MATCH($O121,'Aub Demand'!$A:$A,0))-IF(AN121="",0,AN121)),"")</f>
        <v>69</v>
      </c>
      <c r="S121" s="53" t="str">
        <f t="shared" si="28"/>
        <v>n/a</v>
      </c>
      <c r="T121" s="52" t="str">
        <f t="shared" si="29"/>
        <v/>
      </c>
      <c r="U121" s="52">
        <f>IFERROR(IF(AR122=AR121,INDEX('Aub Demand'!Q:Q,MATCH($O121,'Aub Demand'!$A:$A,0))-IF(AN121="",0,AN121)+AP122,INDEX('Aub Demand'!Q:Q,MATCH($O121,'Aub Demand'!$A:$A,0))-IF(AN121="",0,AN121)),"")</f>
        <v>69</v>
      </c>
      <c r="V121" s="53" t="str">
        <f t="shared" si="30"/>
        <v>n/a</v>
      </c>
      <c r="W121" s="52" t="str">
        <f t="shared" si="31"/>
        <v/>
      </c>
      <c r="X121" s="52">
        <f>IFERROR(IF(AND(AR122=AR121,AM121&lt;&gt;""),INDEX('Aub Demand'!Q:Q,MATCH($O121,'Aub Demand'!$A:$A,0))-IF(AN121="",0,AN121)+AP122+AD121+AL121,IF(AR122=AR121,INDEX('Aub Demand'!Q:Q,MATCH($O121,'Aub Demand'!$A:$A,0))-IF(AN121="",0,AN121)+AP122+AD121,IF(AM121&lt;&gt;"",INDEX('Aub Demand'!Q:Q,MATCH($O121,'Aub Demand'!$A:$A,0))-IF(AN121="",0,AN121)+AD121+AL121,INDEX('Aub Demand'!Q:Q,MATCH($O121,'Aub Demand'!$A:$A,0))-IF(AN121="",0,AN121)+AD121))),"")</f>
        <v>69</v>
      </c>
      <c r="Y121" s="53" t="str">
        <f t="shared" si="32"/>
        <v>n/a</v>
      </c>
      <c r="Z121" s="52">
        <f>IF(L121="","",INDEX('Aub Demand'!H:H,MATCH($O121,'Aub Demand'!$A:$A,0)))</f>
        <v>0</v>
      </c>
      <c r="AA121" s="52" t="str">
        <f t="shared" si="33"/>
        <v>-spike-</v>
      </c>
      <c r="AB121" s="52">
        <f>IFERROR(INDEX('Aub Demand'!L:L,MATCH($O121,'Aub Demand'!$A:$A,0)),"")</f>
        <v>7</v>
      </c>
      <c r="AC121" s="52">
        <f>IFERROR(IF(O121="","",SUMIFS('CPL Mats'!F:F,'CPL Mats'!Q:Q,AR121,'CPL Mats'!S:S,AS121)),"")</f>
        <v>0</v>
      </c>
      <c r="AF121" s="25" t="str">
        <f>IF(SUMIFS('Supp Consol'!S:S,'Supp Consol'!Y:Y,"Releasable",'Supp Consol'!A:A,O121)=0,"",SUMIFS('Supp Consol'!S:S,'Supp Consol'!Y:Y,"Releasable",'Supp Consol'!A:A,O121))</f>
        <v/>
      </c>
      <c r="AG121" s="25">
        <f>IFERROR(INDEX('Hun Demand'!Q:Q,MATCH(O121,'Hun Demand'!A:A,0)),"")</f>
        <v>256</v>
      </c>
      <c r="AH121" s="25">
        <f>IFERROR(INDEX('Hun Demand'!H:H,MATCH($O121,'Hun Demand'!$A:$A,0)),"")</f>
        <v>0</v>
      </c>
      <c r="AI121" s="25" t="str">
        <f>IF(SUMIFS('Supp Consol'!AA:AA,'Supp Consol'!Z:Z,"Expires this month",'Supp Consol'!A:A,O121)=0,"",SUMIFS('Supp Consol'!AA:AA,'Supp Consol'!Z:Z,"Expires this month",'Supp Consol'!A:A,O121))</f>
        <v/>
      </c>
      <c r="AJ121" s="25" t="str">
        <f>IF(SUMIFS('Supp Consol'!AA:AA,'Supp Consol'!Z:Z,"Expired Previous Months",'Supp Consol'!A:A,O121)=0,"",SUMIFS('Supp Consol'!AA:AA,'Supp Consol'!Z:Z,"Expired Previous Months",'Supp Consol'!A:A,O121))</f>
        <v/>
      </c>
      <c r="AK121" s="25" t="str">
        <f>IFERROR(INDEX('Hun Release Current'!B:B,MATCH(O121,'Hun Release Current'!A:A,0)),"")</f>
        <v/>
      </c>
      <c r="AL121" s="25" t="str">
        <f>IF(SUMIF('Prev Aub'!A:A,O121,'Prev Aub'!B:B)=0,"",SUMIF('Prev Aub'!A:A,O121,'Prev Aub'!B:B))</f>
        <v/>
      </c>
      <c r="AN121" s="25" t="s">
        <v>3790</v>
      </c>
      <c r="AO121" s="25" t="s">
        <v>3790</v>
      </c>
      <c r="AP121" s="25">
        <f t="shared" si="34"/>
        <v>0</v>
      </c>
      <c r="AQ121" s="151" t="str">
        <f>IF(SUMIFS('Supp Consol'!S:S,'Supp Consol'!A:A,O121,'Supp Consol'!I:I,"PENDING")=0,"",SUMIFS('Supp Consol'!S:S,'Supp Consol'!A:A,O121,'Supp Consol'!I:I,"PENDING"))</f>
        <v/>
      </c>
      <c r="AR121" s="27" t="str">
        <f t="shared" si="35"/>
        <v>AB444</v>
      </c>
      <c r="AS121" s="27" t="str">
        <f t="shared" si="36"/>
        <v>50</v>
      </c>
      <c r="AT121" s="27" t="str">
        <f t="shared" si="37"/>
        <v/>
      </c>
      <c r="AU121" s="27" t="str">
        <f t="shared" si="38"/>
        <v/>
      </c>
      <c r="AV121" s="27" t="str">
        <f t="shared" si="39"/>
        <v/>
      </c>
      <c r="AW121" s="27" t="str">
        <f t="shared" si="40"/>
        <v/>
      </c>
      <c r="AX121" s="27" t="str">
        <f t="shared" si="41"/>
        <v/>
      </c>
      <c r="AY121" s="27" t="str">
        <f t="shared" si="42"/>
        <v>AB444</v>
      </c>
      <c r="AZ121" s="27" t="str">
        <f t="shared" si="43"/>
        <v/>
      </c>
      <c r="BA121" s="27" t="str">
        <f t="shared" si="44"/>
        <v>Hun</v>
      </c>
      <c r="BB121" s="27" t="str">
        <f t="shared" si="45"/>
        <v/>
      </c>
      <c r="BC121" s="27" t="str">
        <f t="shared" si="46"/>
        <v/>
      </c>
      <c r="BD121" s="27" t="str">
        <f t="shared" si="47"/>
        <v/>
      </c>
      <c r="BE121" s="27" t="str">
        <f t="shared" si="48"/>
        <v/>
      </c>
      <c r="BF121" s="27" t="str">
        <f t="shared" si="49"/>
        <v/>
      </c>
      <c r="BG121" s="27" t="str">
        <f t="shared" si="50"/>
        <v/>
      </c>
      <c r="BH121" s="27" t="str">
        <f t="shared" si="51"/>
        <v/>
      </c>
      <c r="BI121" s="27" t="str">
        <f t="shared" si="52"/>
        <v/>
      </c>
      <c r="BJ121" s="27" t="str">
        <f t="shared" si="53"/>
        <v>Supp or Hun</v>
      </c>
      <c r="BK121" s="27" t="str">
        <f t="shared" si="54"/>
        <v/>
      </c>
      <c r="BL121" s="27" t="str">
        <f t="shared" si="55"/>
        <v/>
      </c>
      <c r="BM121" s="21" t="s">
        <v>5581</v>
      </c>
    </row>
    <row r="122" spans="1:65" ht="15">
      <c r="A122" s="25" t="str">
        <f>IFERROR(INDEX('Hun Demand'!W:W,MATCH(O122,'Hun Demand'!A:A,0)),"")</f>
        <v/>
      </c>
      <c r="B122" s="25" t="str">
        <f>IFERROR(INDEX('Hun Demand'!V:V,MATCH(O122,'Hun Demand'!A:A,0)),"")</f>
        <v/>
      </c>
      <c r="C122" s="25" t="str">
        <f>IFERROR(INDEX('Hun Demand'!U:U,MATCH(O122,'Hun Demand'!A:A,0)),"")</f>
        <v/>
      </c>
      <c r="D122" s="25" t="str">
        <f>IFERROR(INDEX('Hun Demand'!T:T,MATCH(O122,'Hun Demand'!A:A,0)),"")</f>
        <v/>
      </c>
      <c r="E122" s="25" t="str">
        <f>IFERROR(INDEX('Hun Demand'!S:S,MATCH(O122,'Hun Demand'!A:A,0)),"")</f>
        <v/>
      </c>
      <c r="F122" s="25" t="str">
        <f>IFERROR(INDEX('Hun Demand'!R:R,MATCH(O122,'Hun Demand'!A:A,0)),"")</f>
        <v/>
      </c>
      <c r="G122" s="25">
        <f>IFERROR(INDEX('Aub Demand'!W:W,MATCH(O122,'Aub Demand'!A:A,0)),"")</f>
        <v>0</v>
      </c>
      <c r="H122" s="25">
        <f>IFERROR(INDEX('Aub Demand'!V:V,MATCH(O122,'Aub Demand'!A:A,0)),"")</f>
        <v>0</v>
      </c>
      <c r="I122" s="25">
        <f>IFERROR(INDEX('Aub Demand'!U:U,MATCH(O122,'Aub Demand'!A:A,0)),"")</f>
        <v>0</v>
      </c>
      <c r="J122" s="25">
        <f>IFERROR(INDEX('Aub Demand'!T:T,MATCH(O122,'Aub Demand'!A:A,0)),"")</f>
        <v>0</v>
      </c>
      <c r="K122" s="25">
        <f>IFERROR(INDEX('Aub Demand'!S:S,MATCH(O122,'Aub Demand'!A:A,0)),"")</f>
        <v>0</v>
      </c>
      <c r="L122" s="25">
        <f>IFERROR(INDEX('Aub Demand'!R:R,MATCH(O122,'Aub Demand'!A:A,0)),"")</f>
        <v>0</v>
      </c>
      <c r="O122" s="27" t="s">
        <v>2026</v>
      </c>
      <c r="P122" s="27" t="str">
        <f>IFERROR(INDEX('Aub Demand'!B:B,MATCH($O122,'Aub Demand'!$A:$A,0)),"")</f>
        <v>TURQUOISE KINETIC</v>
      </c>
      <c r="Q122" s="27" t="str">
        <f>IFERROR(INDEX('Aub Demand'!C:C,MATCH($O122,'Aub Demand'!$A:$A,0)),"")</f>
        <v>INTER</v>
      </c>
      <c r="R122" s="52">
        <f>IFERROR(IF(AR123=AR122,INDEX('Aub Demand'!K:K,MATCH($O122,'Aub Demand'!$A:$A,0))-IF(AN122="",0,AN122)+AP123,INDEX('Aub Demand'!K:K,MATCH($O122,'Aub Demand'!$A:$A,0))-IF(AN122="",0,AN122)),"")</f>
        <v>1711</v>
      </c>
      <c r="S122" s="53" t="str">
        <f t="shared" si="28"/>
        <v>n/a</v>
      </c>
      <c r="T122" s="52" t="str">
        <f t="shared" si="29"/>
        <v/>
      </c>
      <c r="U122" s="52">
        <f>IFERROR(IF(AR123=AR122,INDEX('Aub Demand'!Q:Q,MATCH($O122,'Aub Demand'!$A:$A,0))-IF(AN122="",0,AN122)+AP123,INDEX('Aub Demand'!Q:Q,MATCH($O122,'Aub Demand'!$A:$A,0))-IF(AN122="",0,AN122)),"")</f>
        <v>1711</v>
      </c>
      <c r="V122" s="53" t="str">
        <f t="shared" si="30"/>
        <v>n/a</v>
      </c>
      <c r="W122" s="52" t="str">
        <f t="shared" si="31"/>
        <v/>
      </c>
      <c r="X122" s="52">
        <f>IFERROR(IF(AND(AR123=AR122,AM122&lt;&gt;""),INDEX('Aub Demand'!Q:Q,MATCH($O122,'Aub Demand'!$A:$A,0))-IF(AN122="",0,AN122)+AP123+AD122+AL122,IF(AR123=AR122,INDEX('Aub Demand'!Q:Q,MATCH($O122,'Aub Demand'!$A:$A,0))-IF(AN122="",0,AN122)+AP123+AD122,IF(AM122&lt;&gt;"",INDEX('Aub Demand'!Q:Q,MATCH($O122,'Aub Demand'!$A:$A,0))-IF(AN122="",0,AN122)+AD122+AL122,INDEX('Aub Demand'!Q:Q,MATCH($O122,'Aub Demand'!$A:$A,0))-IF(AN122="",0,AN122)+AD122))),"")</f>
        <v>1711</v>
      </c>
      <c r="Y122" s="53" t="str">
        <f t="shared" si="32"/>
        <v>n/a</v>
      </c>
      <c r="Z122" s="52">
        <f>IF(L122="","",INDEX('Aub Demand'!H:H,MATCH($O122,'Aub Demand'!$A:$A,0)))</f>
        <v>0</v>
      </c>
      <c r="AA122" s="52" t="str">
        <f t="shared" si="33"/>
        <v>-spike-</v>
      </c>
      <c r="AB122" s="52">
        <f>IFERROR(INDEX('Aub Demand'!L:L,MATCH($O122,'Aub Demand'!$A:$A,0)),"")</f>
        <v>0</v>
      </c>
      <c r="AC122" s="52">
        <f>IFERROR(IF(O122="","",SUMIFS('CPL Mats'!F:F,'CPL Mats'!Q:Q,AR122,'CPL Mats'!S:S,AS122)),"")</f>
        <v>0</v>
      </c>
      <c r="AF122" s="25" t="str">
        <f>IF(SUMIFS('Supp Consol'!S:S,'Supp Consol'!Y:Y,"Releasable",'Supp Consol'!A:A,O122)=0,"",SUMIFS('Supp Consol'!S:S,'Supp Consol'!Y:Y,"Releasable",'Supp Consol'!A:A,O122))</f>
        <v/>
      </c>
      <c r="AG122" s="25" t="str">
        <f>IFERROR(INDEX('Hun Demand'!Q:Q,MATCH(O122,'Hun Demand'!A:A,0)),"")</f>
        <v/>
      </c>
      <c r="AH122" s="25" t="str">
        <f>IFERROR(INDEX('Hun Demand'!H:H,MATCH($O122,'Hun Demand'!$A:$A,0)),"")</f>
        <v/>
      </c>
      <c r="AI122" s="25" t="str">
        <f>IF(SUMIFS('Supp Consol'!AA:AA,'Supp Consol'!Z:Z,"Expires this month",'Supp Consol'!A:A,O122)=0,"",SUMIFS('Supp Consol'!AA:AA,'Supp Consol'!Z:Z,"Expires this month",'Supp Consol'!A:A,O122))</f>
        <v/>
      </c>
      <c r="AJ122" s="25" t="str">
        <f>IF(SUMIFS('Supp Consol'!AA:AA,'Supp Consol'!Z:Z,"Expired Previous Months",'Supp Consol'!A:A,O122)=0,"",SUMIFS('Supp Consol'!AA:AA,'Supp Consol'!Z:Z,"Expired Previous Months",'Supp Consol'!A:A,O122))</f>
        <v/>
      </c>
      <c r="AK122" s="25" t="str">
        <f>IFERROR(INDEX('Hun Release Current'!B:B,MATCH(O122,'Hun Release Current'!A:A,0)),"")</f>
        <v/>
      </c>
      <c r="AL122" s="25" t="str">
        <f>IF(SUMIF('Prev Aub'!A:A,O122,'Prev Aub'!B:B)=0,"",SUMIF('Prev Aub'!A:A,O122,'Prev Aub'!B:B))</f>
        <v/>
      </c>
      <c r="AN122" s="25" t="s">
        <v>3790</v>
      </c>
      <c r="AO122" s="25" t="s">
        <v>3790</v>
      </c>
      <c r="AP122" s="25">
        <f t="shared" si="34"/>
        <v>0</v>
      </c>
      <c r="AQ122" s="151" t="str">
        <f>IF(SUMIFS('Supp Consol'!S:S,'Supp Consol'!A:A,O122,'Supp Consol'!I:I,"PENDING")=0,"",SUMIFS('Supp Consol'!S:S,'Supp Consol'!A:A,O122,'Supp Consol'!I:I,"PENDING"))</f>
        <v/>
      </c>
      <c r="AR122" s="27" t="str">
        <f t="shared" si="35"/>
        <v>AB444</v>
      </c>
      <c r="AS122" s="27" t="str">
        <f t="shared" si="36"/>
        <v>62</v>
      </c>
      <c r="AT122" s="27" t="str">
        <f t="shared" si="37"/>
        <v/>
      </c>
      <c r="AU122" s="27" t="str">
        <f t="shared" si="38"/>
        <v/>
      </c>
      <c r="AV122" s="27" t="str">
        <f t="shared" si="39"/>
        <v/>
      </c>
      <c r="AW122" s="27" t="str">
        <f t="shared" si="40"/>
        <v/>
      </c>
      <c r="AX122" s="27" t="str">
        <f t="shared" si="41"/>
        <v/>
      </c>
      <c r="AY122" s="27" t="str">
        <f t="shared" si="42"/>
        <v/>
      </c>
      <c r="AZ122" s="27" t="str">
        <f t="shared" si="43"/>
        <v/>
      </c>
      <c r="BA122" s="27" t="str">
        <f t="shared" si="44"/>
        <v>Hun</v>
      </c>
      <c r="BB122" s="27" t="str">
        <f t="shared" si="45"/>
        <v/>
      </c>
      <c r="BC122" s="27" t="str">
        <f t="shared" si="46"/>
        <v/>
      </c>
      <c r="BD122" s="27" t="str">
        <f t="shared" si="47"/>
        <v/>
      </c>
      <c r="BE122" s="27" t="str">
        <f t="shared" si="48"/>
        <v/>
      </c>
      <c r="BF122" s="27" t="str">
        <f t="shared" si="49"/>
        <v/>
      </c>
      <c r="BG122" s="27" t="str">
        <f t="shared" si="50"/>
        <v/>
      </c>
      <c r="BH122" s="27" t="str">
        <f t="shared" si="51"/>
        <v/>
      </c>
      <c r="BI122" s="27" t="str">
        <f t="shared" si="52"/>
        <v/>
      </c>
      <c r="BJ122" s="27" t="str">
        <f t="shared" si="53"/>
        <v>Supp or Hun</v>
      </c>
      <c r="BK122" s="27" t="str">
        <f t="shared" si="54"/>
        <v/>
      </c>
      <c r="BL122" s="27" t="str">
        <f t="shared" si="55"/>
        <v/>
      </c>
      <c r="BM122" s="21" t="s">
        <v>5581</v>
      </c>
    </row>
    <row r="123" spans="1:65" ht="15">
      <c r="A123" s="25" t="str">
        <f>IFERROR(INDEX('Hun Demand'!W:W,MATCH(O123,'Hun Demand'!A:A,0)),"")</f>
        <v/>
      </c>
      <c r="B123" s="25" t="str">
        <f>IFERROR(INDEX('Hun Demand'!V:V,MATCH(O123,'Hun Demand'!A:A,0)),"")</f>
        <v/>
      </c>
      <c r="C123" s="25" t="str">
        <f>IFERROR(INDEX('Hun Demand'!U:U,MATCH(O123,'Hun Demand'!A:A,0)),"")</f>
        <v/>
      </c>
      <c r="D123" s="25" t="str">
        <f>IFERROR(INDEX('Hun Demand'!T:T,MATCH(O123,'Hun Demand'!A:A,0)),"")</f>
        <v/>
      </c>
      <c r="E123" s="25" t="str">
        <f>IFERROR(INDEX('Hun Demand'!S:S,MATCH(O123,'Hun Demand'!A:A,0)),"")</f>
        <v/>
      </c>
      <c r="F123" s="25" t="str">
        <f>IFERROR(INDEX('Hun Demand'!R:R,MATCH(O123,'Hun Demand'!A:A,0)),"")</f>
        <v/>
      </c>
      <c r="G123" s="25">
        <f>IFERROR(INDEX('Aub Demand'!W:W,MATCH(O123,'Aub Demand'!A:A,0)),"")</f>
        <v>36</v>
      </c>
      <c r="H123" s="25">
        <f>IFERROR(INDEX('Aub Demand'!V:V,MATCH(O123,'Aub Demand'!A:A,0)),"")</f>
        <v>3</v>
      </c>
      <c r="I123" s="25">
        <f>IFERROR(INDEX('Aub Demand'!U:U,MATCH(O123,'Aub Demand'!A:A,0)),"")</f>
        <v>0</v>
      </c>
      <c r="J123" s="25">
        <f>IFERROR(INDEX('Aub Demand'!T:T,MATCH(O123,'Aub Demand'!A:A,0)),"")</f>
        <v>32</v>
      </c>
      <c r="K123" s="25">
        <f>IFERROR(INDEX('Aub Demand'!S:S,MATCH(O123,'Aub Demand'!A:A,0)),"")</f>
        <v>0</v>
      </c>
      <c r="L123" s="25">
        <f>IFERROR(INDEX('Aub Demand'!R:R,MATCH(O123,'Aub Demand'!A:A,0)),"")</f>
        <v>0</v>
      </c>
      <c r="O123" s="27" t="s">
        <v>290</v>
      </c>
      <c r="P123" s="27" t="str">
        <f>IFERROR(INDEX('Aub Demand'!B:B,MATCH($O123,'Aub Demand'!$A:$A,0)),"")</f>
        <v>CHARCOAL CHROMATIX</v>
      </c>
      <c r="Q123" s="27" t="str">
        <f>IFERROR(INDEX('Aub Demand'!C:C,MATCH($O123,'Aub Demand'!$A:$A,0)),"")</f>
        <v>INTER</v>
      </c>
      <c r="R123" s="52">
        <f>IFERROR(IF(AR124=AR123,INDEX('Aub Demand'!K:K,MATCH($O123,'Aub Demand'!$A:$A,0))-IF(AN123="",0,AN123)+AP124,INDEX('Aub Demand'!K:K,MATCH($O123,'Aub Demand'!$A:$A,0))-IF(AN123="",0,AN123)),"")</f>
        <v>680</v>
      </c>
      <c r="S123" s="53">
        <f t="shared" si="28"/>
        <v>264.89999999999998</v>
      </c>
      <c r="T123" s="52" t="str">
        <f t="shared" si="29"/>
        <v/>
      </c>
      <c r="U123" s="52">
        <f>IFERROR(IF(AR124=AR123,INDEX('Aub Demand'!Q:Q,MATCH($O123,'Aub Demand'!$A:$A,0))-IF(AN123="",0,AN123)+AP124,INDEX('Aub Demand'!Q:Q,MATCH($O123,'Aub Demand'!$A:$A,0))-IF(AN123="",0,AN123)),"")</f>
        <v>619</v>
      </c>
      <c r="V123" s="53">
        <f t="shared" si="30"/>
        <v>241.2</v>
      </c>
      <c r="W123" s="52" t="str">
        <f t="shared" si="31"/>
        <v/>
      </c>
      <c r="X123" s="52">
        <f>IFERROR(IF(AND(AR124=AR123,AM123&lt;&gt;""),INDEX('Aub Demand'!Q:Q,MATCH($O123,'Aub Demand'!$A:$A,0))-IF(AN123="",0,AN123)+AP124+AD123+AL123,IF(AR124=AR123,INDEX('Aub Demand'!Q:Q,MATCH($O123,'Aub Demand'!$A:$A,0))-IF(AN123="",0,AN123)+AP124+AD123,IF(AM123&lt;&gt;"",INDEX('Aub Demand'!Q:Q,MATCH($O123,'Aub Demand'!$A:$A,0))-IF(AN123="",0,AN123)+AD123+AL123,INDEX('Aub Demand'!Q:Q,MATCH($O123,'Aub Demand'!$A:$A,0))-IF(AN123="",0,AN123)+AD123))),"")</f>
        <v>619</v>
      </c>
      <c r="Y123" s="53">
        <f t="shared" si="32"/>
        <v>241.2</v>
      </c>
      <c r="Z123" s="52">
        <f>IF(L123="","",INDEX('Aub Demand'!H:H,MATCH($O123,'Aub Demand'!$A:$A,0)))</f>
        <v>11</v>
      </c>
      <c r="AA123" s="52" t="str">
        <f t="shared" si="33"/>
        <v>-spike-</v>
      </c>
      <c r="AB123" s="52">
        <f>IFERROR(INDEX('Aub Demand'!L:L,MATCH($O123,'Aub Demand'!$A:$A,0)),"")</f>
        <v>3</v>
      </c>
      <c r="AC123" s="52">
        <f>IFERROR(IF(O123="","",SUMIFS('CPL Mats'!F:F,'CPL Mats'!Q:Q,AR123,'CPL Mats'!S:S,AS123)),"")</f>
        <v>0</v>
      </c>
      <c r="AF123" s="25" t="str">
        <f>IF(SUMIFS('Supp Consol'!S:S,'Supp Consol'!Y:Y,"Releasable",'Supp Consol'!A:A,O123)=0,"",SUMIFS('Supp Consol'!S:S,'Supp Consol'!Y:Y,"Releasable",'Supp Consol'!A:A,O123))</f>
        <v/>
      </c>
      <c r="AG123" s="25" t="str">
        <f>IFERROR(INDEX('Hun Demand'!Q:Q,MATCH(O123,'Hun Demand'!A:A,0)),"")</f>
        <v/>
      </c>
      <c r="AH123" s="25" t="str">
        <f>IFERROR(INDEX('Hun Demand'!H:H,MATCH($O123,'Hun Demand'!$A:$A,0)),"")</f>
        <v/>
      </c>
      <c r="AI123" s="25" t="str">
        <f>IF(SUMIFS('Supp Consol'!AA:AA,'Supp Consol'!Z:Z,"Expires this month",'Supp Consol'!A:A,O123)=0,"",SUMIFS('Supp Consol'!AA:AA,'Supp Consol'!Z:Z,"Expires this month",'Supp Consol'!A:A,O123))</f>
        <v/>
      </c>
      <c r="AJ123" s="25" t="str">
        <f>IF(SUMIFS('Supp Consol'!AA:AA,'Supp Consol'!Z:Z,"Expired Previous Months",'Supp Consol'!A:A,O123)=0,"",SUMIFS('Supp Consol'!AA:AA,'Supp Consol'!Z:Z,"Expired Previous Months",'Supp Consol'!A:A,O123))</f>
        <v/>
      </c>
      <c r="AK123" s="25" t="str">
        <f>IFERROR(INDEX('Hun Release Current'!B:B,MATCH(O123,'Hun Release Current'!A:A,0)),"")</f>
        <v/>
      </c>
      <c r="AL123" s="25" t="str">
        <f>IF(SUMIF('Prev Aub'!A:A,O123,'Prev Aub'!B:B)=0,"",SUMIF('Prev Aub'!A:A,O123,'Prev Aub'!B:B))</f>
        <v/>
      </c>
      <c r="AN123" s="25" t="s">
        <v>3790</v>
      </c>
      <c r="AO123" s="25" t="s">
        <v>3790</v>
      </c>
      <c r="AP123" s="25">
        <f t="shared" si="34"/>
        <v>0</v>
      </c>
      <c r="AQ123" s="151" t="str">
        <f>IF(SUMIFS('Supp Consol'!S:S,'Supp Consol'!A:A,O123,'Supp Consol'!I:I,"PENDING")=0,"",SUMIFS('Supp Consol'!S:S,'Supp Consol'!A:A,O123,'Supp Consol'!I:I,"PENDING"))</f>
        <v/>
      </c>
      <c r="AR123" s="27" t="str">
        <f t="shared" si="35"/>
        <v>AE011</v>
      </c>
      <c r="AS123" s="27" t="str">
        <f t="shared" si="36"/>
        <v>50</v>
      </c>
      <c r="AT123" s="27" t="str">
        <f t="shared" si="37"/>
        <v/>
      </c>
      <c r="AU123" s="27" t="str">
        <f t="shared" si="38"/>
        <v/>
      </c>
      <c r="AV123" s="27" t="str">
        <f t="shared" si="39"/>
        <v/>
      </c>
      <c r="AW123" s="27" t="str">
        <f t="shared" si="40"/>
        <v/>
      </c>
      <c r="AX123" s="27" t="str">
        <f t="shared" si="41"/>
        <v/>
      </c>
      <c r="AY123" s="27" t="str">
        <f t="shared" si="42"/>
        <v/>
      </c>
      <c r="AZ123" s="27" t="str">
        <f t="shared" si="43"/>
        <v/>
      </c>
      <c r="BA123" s="27" t="str">
        <f t="shared" si="44"/>
        <v/>
      </c>
      <c r="BB123" s="27" t="str">
        <f t="shared" si="45"/>
        <v/>
      </c>
      <c r="BC123" s="27" t="str">
        <f t="shared" si="46"/>
        <v/>
      </c>
      <c r="BD123" s="27" t="str">
        <f t="shared" si="47"/>
        <v/>
      </c>
      <c r="BE123" s="27" t="str">
        <f t="shared" si="48"/>
        <v/>
      </c>
      <c r="BF123" s="27" t="str">
        <f t="shared" si="49"/>
        <v/>
      </c>
      <c r="BG123" s="27" t="str">
        <f t="shared" si="50"/>
        <v/>
      </c>
      <c r="BH123" s="27" t="str">
        <f t="shared" si="51"/>
        <v/>
      </c>
      <c r="BI123" s="27" t="str">
        <f t="shared" si="52"/>
        <v/>
      </c>
      <c r="BJ123" s="27" t="str">
        <f t="shared" si="53"/>
        <v/>
      </c>
      <c r="BK123" s="27" t="str">
        <f t="shared" si="54"/>
        <v/>
      </c>
      <c r="BL123" s="27" t="str">
        <f t="shared" si="55"/>
        <v/>
      </c>
      <c r="BM123" s="21" t="s">
        <v>5581</v>
      </c>
    </row>
    <row r="124" spans="1:65" ht="15">
      <c r="A124" s="25" t="str">
        <f>IFERROR(INDEX('Hun Demand'!W:W,MATCH(O124,'Hun Demand'!A:A,0)),"")</f>
        <v/>
      </c>
      <c r="B124" s="25" t="str">
        <f>IFERROR(INDEX('Hun Demand'!V:V,MATCH(O124,'Hun Demand'!A:A,0)),"")</f>
        <v/>
      </c>
      <c r="C124" s="25" t="str">
        <f>IFERROR(INDEX('Hun Demand'!U:U,MATCH(O124,'Hun Demand'!A:A,0)),"")</f>
        <v/>
      </c>
      <c r="D124" s="25" t="str">
        <f>IFERROR(INDEX('Hun Demand'!T:T,MATCH(O124,'Hun Demand'!A:A,0)),"")</f>
        <v/>
      </c>
      <c r="E124" s="25" t="str">
        <f>IFERROR(INDEX('Hun Demand'!S:S,MATCH(O124,'Hun Demand'!A:A,0)),"")</f>
        <v/>
      </c>
      <c r="F124" s="25" t="str">
        <f>IFERROR(INDEX('Hun Demand'!R:R,MATCH(O124,'Hun Demand'!A:A,0)),"")</f>
        <v/>
      </c>
      <c r="G124" s="25">
        <f>IFERROR(INDEX('Aub Demand'!W:W,MATCH(O124,'Aub Demand'!A:A,0)),"")</f>
        <v>0</v>
      </c>
      <c r="H124" s="25">
        <f>IFERROR(INDEX('Aub Demand'!V:V,MATCH(O124,'Aub Demand'!A:A,0)),"")</f>
        <v>0</v>
      </c>
      <c r="I124" s="25">
        <f>IFERROR(INDEX('Aub Demand'!U:U,MATCH(O124,'Aub Demand'!A:A,0)),"")</f>
        <v>0</v>
      </c>
      <c r="J124" s="25">
        <f>IFERROR(INDEX('Aub Demand'!T:T,MATCH(O124,'Aub Demand'!A:A,0)),"")</f>
        <v>0</v>
      </c>
      <c r="K124" s="25">
        <f>IFERROR(INDEX('Aub Demand'!S:S,MATCH(O124,'Aub Demand'!A:A,0)),"")</f>
        <v>0</v>
      </c>
      <c r="L124" s="25">
        <f>IFERROR(INDEX('Aub Demand'!R:R,MATCH(O124,'Aub Demand'!A:A,0)),"")</f>
        <v>0</v>
      </c>
      <c r="O124" s="27" t="s">
        <v>293</v>
      </c>
      <c r="P124" s="27" t="str">
        <f>IFERROR(INDEX('Aub Demand'!B:B,MATCH($O124,'Aub Demand'!$A:$A,0)),"")</f>
        <v>CHARCOAL CHROMATIX</v>
      </c>
      <c r="Q124" s="27" t="str">
        <f>IFERROR(INDEX('Aub Demand'!C:C,MATCH($O124,'Aub Demand'!$A:$A,0)),"")</f>
        <v>INTER</v>
      </c>
      <c r="R124" s="52">
        <f>IFERROR(IF(AR125=AR124,INDEX('Aub Demand'!K:K,MATCH($O124,'Aub Demand'!$A:$A,0))-IF(AN124="",0,AN124)+AP125,INDEX('Aub Demand'!K:K,MATCH($O124,'Aub Demand'!$A:$A,0))-IF(AN124="",0,AN124)),"")</f>
        <v>1295</v>
      </c>
      <c r="S124" s="53" t="str">
        <f t="shared" si="28"/>
        <v>n/a</v>
      </c>
      <c r="T124" s="52" t="str">
        <f t="shared" si="29"/>
        <v/>
      </c>
      <c r="U124" s="52">
        <f>IFERROR(IF(AR125=AR124,INDEX('Aub Demand'!Q:Q,MATCH($O124,'Aub Demand'!$A:$A,0))-IF(AN124="",0,AN124)+AP125,INDEX('Aub Demand'!Q:Q,MATCH($O124,'Aub Demand'!$A:$A,0))-IF(AN124="",0,AN124)),"")</f>
        <v>1249</v>
      </c>
      <c r="V124" s="53" t="str">
        <f t="shared" si="30"/>
        <v>n/a</v>
      </c>
      <c r="W124" s="52" t="str">
        <f t="shared" si="31"/>
        <v/>
      </c>
      <c r="X124" s="52">
        <f>IFERROR(IF(AND(AR125=AR124,AM124&lt;&gt;""),INDEX('Aub Demand'!Q:Q,MATCH($O124,'Aub Demand'!$A:$A,0))-IF(AN124="",0,AN124)+AP125+AD124+AL124,IF(AR125=AR124,INDEX('Aub Demand'!Q:Q,MATCH($O124,'Aub Demand'!$A:$A,0))-IF(AN124="",0,AN124)+AP125+AD124,IF(AM124&lt;&gt;"",INDEX('Aub Demand'!Q:Q,MATCH($O124,'Aub Demand'!$A:$A,0))-IF(AN124="",0,AN124)+AD124+AL124,INDEX('Aub Demand'!Q:Q,MATCH($O124,'Aub Demand'!$A:$A,0))-IF(AN124="",0,AN124)+AD124))),"")</f>
        <v>1249</v>
      </c>
      <c r="Y124" s="53" t="str">
        <f t="shared" si="32"/>
        <v>n/a</v>
      </c>
      <c r="Z124" s="52">
        <f>IF(L124="","",INDEX('Aub Demand'!H:H,MATCH($O124,'Aub Demand'!$A:$A,0)))</f>
        <v>0</v>
      </c>
      <c r="AA124" s="52" t="str">
        <f t="shared" si="33"/>
        <v>-spike-</v>
      </c>
      <c r="AB124" s="52">
        <f>IFERROR(INDEX('Aub Demand'!L:L,MATCH($O124,'Aub Demand'!$A:$A,0)),"")</f>
        <v>44</v>
      </c>
      <c r="AC124" s="52">
        <f>IFERROR(IF(O124="","",SUMIFS('CPL Mats'!F:F,'CPL Mats'!Q:Q,AR124,'CPL Mats'!S:S,AS124)),"")</f>
        <v>0</v>
      </c>
      <c r="AF124" s="25" t="str">
        <f>IF(SUMIFS('Supp Consol'!S:S,'Supp Consol'!Y:Y,"Releasable",'Supp Consol'!A:A,O124)=0,"",SUMIFS('Supp Consol'!S:S,'Supp Consol'!Y:Y,"Releasable",'Supp Consol'!A:A,O124))</f>
        <v/>
      </c>
      <c r="AG124" s="25" t="str">
        <f>IFERROR(INDEX('Hun Demand'!Q:Q,MATCH(O124,'Hun Demand'!A:A,0)),"")</f>
        <v/>
      </c>
      <c r="AH124" s="25" t="str">
        <f>IFERROR(INDEX('Hun Demand'!H:H,MATCH($O124,'Hun Demand'!$A:$A,0)),"")</f>
        <v/>
      </c>
      <c r="AI124" s="25" t="str">
        <f>IF(SUMIFS('Supp Consol'!AA:AA,'Supp Consol'!Z:Z,"Expires this month",'Supp Consol'!A:A,O124)=0,"",SUMIFS('Supp Consol'!AA:AA,'Supp Consol'!Z:Z,"Expires this month",'Supp Consol'!A:A,O124))</f>
        <v/>
      </c>
      <c r="AJ124" s="25" t="str">
        <f>IF(SUMIFS('Supp Consol'!AA:AA,'Supp Consol'!Z:Z,"Expired Previous Months",'Supp Consol'!A:A,O124)=0,"",SUMIFS('Supp Consol'!AA:AA,'Supp Consol'!Z:Z,"Expired Previous Months",'Supp Consol'!A:A,O124))</f>
        <v/>
      </c>
      <c r="AK124" s="25" t="str">
        <f>IFERROR(INDEX('Hun Release Current'!B:B,MATCH(O124,'Hun Release Current'!A:A,0)),"")</f>
        <v/>
      </c>
      <c r="AL124" s="25" t="str">
        <f>IF(SUMIF('Prev Aub'!A:A,O124,'Prev Aub'!B:B)=0,"",SUMIF('Prev Aub'!A:A,O124,'Prev Aub'!B:B))</f>
        <v/>
      </c>
      <c r="AN124" s="25" t="s">
        <v>3790</v>
      </c>
      <c r="AO124" s="25" t="s">
        <v>3790</v>
      </c>
      <c r="AP124" s="25">
        <f t="shared" si="34"/>
        <v>0</v>
      </c>
      <c r="AQ124" s="151" t="str">
        <f>IF(SUMIFS('Supp Consol'!S:S,'Supp Consol'!A:A,O124,'Supp Consol'!I:I,"PENDING")=0,"",SUMIFS('Supp Consol'!S:S,'Supp Consol'!A:A,O124,'Supp Consol'!I:I,"PENDING"))</f>
        <v/>
      </c>
      <c r="AR124" s="27" t="str">
        <f t="shared" si="35"/>
        <v>AE011</v>
      </c>
      <c r="AS124" s="27" t="str">
        <f t="shared" si="36"/>
        <v>62</v>
      </c>
      <c r="AT124" s="27" t="str">
        <f t="shared" si="37"/>
        <v/>
      </c>
      <c r="AU124" s="27" t="str">
        <f t="shared" si="38"/>
        <v/>
      </c>
      <c r="AV124" s="27" t="str">
        <f t="shared" si="39"/>
        <v/>
      </c>
      <c r="AW124" s="27" t="str">
        <f t="shared" si="40"/>
        <v/>
      </c>
      <c r="AX124" s="27" t="str">
        <f t="shared" si="41"/>
        <v/>
      </c>
      <c r="AY124" s="27" t="str">
        <f t="shared" si="42"/>
        <v/>
      </c>
      <c r="AZ124" s="27" t="str">
        <f t="shared" si="43"/>
        <v/>
      </c>
      <c r="BA124" s="27" t="str">
        <f t="shared" si="44"/>
        <v/>
      </c>
      <c r="BB124" s="27" t="str">
        <f t="shared" si="45"/>
        <v/>
      </c>
      <c r="BC124" s="27" t="str">
        <f t="shared" si="46"/>
        <v/>
      </c>
      <c r="BD124" s="27" t="str">
        <f t="shared" si="47"/>
        <v/>
      </c>
      <c r="BE124" s="27" t="str">
        <f t="shared" si="48"/>
        <v/>
      </c>
      <c r="BF124" s="27" t="str">
        <f t="shared" si="49"/>
        <v/>
      </c>
      <c r="BG124" s="27" t="str">
        <f t="shared" si="50"/>
        <v/>
      </c>
      <c r="BH124" s="27" t="str">
        <f t="shared" si="51"/>
        <v/>
      </c>
      <c r="BI124" s="27" t="str">
        <f t="shared" si="52"/>
        <v/>
      </c>
      <c r="BJ124" s="27" t="str">
        <f t="shared" si="53"/>
        <v/>
      </c>
      <c r="BK124" s="27" t="str">
        <f t="shared" si="54"/>
        <v/>
      </c>
      <c r="BL124" s="27" t="str">
        <f t="shared" si="55"/>
        <v/>
      </c>
      <c r="BM124" s="21" t="s">
        <v>5581</v>
      </c>
    </row>
    <row r="125" spans="1:65" ht="15">
      <c r="A125" s="25">
        <f>IFERROR(INDEX('Hun Demand'!W:W,MATCH(O125,'Hun Demand'!A:A,0)),"")</f>
        <v>0</v>
      </c>
      <c r="B125" s="25">
        <f>IFERROR(INDEX('Hun Demand'!V:V,MATCH(O125,'Hun Demand'!A:A,0)),"")</f>
        <v>0</v>
      </c>
      <c r="C125" s="25">
        <f>IFERROR(INDEX('Hun Demand'!U:U,MATCH(O125,'Hun Demand'!A:A,0)),"")</f>
        <v>0</v>
      </c>
      <c r="D125" s="25">
        <f>IFERROR(INDEX('Hun Demand'!T:T,MATCH(O125,'Hun Demand'!A:A,0)),"")</f>
        <v>0</v>
      </c>
      <c r="E125" s="25">
        <f>IFERROR(INDEX('Hun Demand'!S:S,MATCH(O125,'Hun Demand'!A:A,0)),"")</f>
        <v>0</v>
      </c>
      <c r="F125" s="25">
        <f>IFERROR(INDEX('Hun Demand'!R:R,MATCH(O125,'Hun Demand'!A:A,0)),"")</f>
        <v>0</v>
      </c>
      <c r="G125" s="25">
        <f>IFERROR(INDEX('Aub Demand'!W:W,MATCH(O125,'Aub Demand'!A:A,0)),"")</f>
        <v>0</v>
      </c>
      <c r="H125" s="25">
        <f>IFERROR(INDEX('Aub Demand'!V:V,MATCH(O125,'Aub Demand'!A:A,0)),"")</f>
        <v>0</v>
      </c>
      <c r="I125" s="25">
        <f>IFERROR(INDEX('Aub Demand'!U:U,MATCH(O125,'Aub Demand'!A:A,0)),"")</f>
        <v>0</v>
      </c>
      <c r="J125" s="25">
        <f>IFERROR(INDEX('Aub Demand'!T:T,MATCH(O125,'Aub Demand'!A:A,0)),"")</f>
        <v>0</v>
      </c>
      <c r="K125" s="25">
        <f>IFERROR(INDEX('Aub Demand'!S:S,MATCH(O125,'Aub Demand'!A:A,0)),"")</f>
        <v>10</v>
      </c>
      <c r="L125" s="25">
        <f>IFERROR(INDEX('Aub Demand'!R:R,MATCH(O125,'Aub Demand'!A:A,0)),"")</f>
        <v>0</v>
      </c>
      <c r="O125" s="27" t="s">
        <v>295</v>
      </c>
      <c r="P125" s="27" t="str">
        <f>IFERROR(INDEX('Aub Demand'!B:B,MATCH($O125,'Aub Demand'!$A:$A,0)),"")</f>
        <v>GRAPHITE SPEKTRUM</v>
      </c>
      <c r="Q125" s="27" t="str">
        <f>IFERROR(INDEX('Aub Demand'!C:C,MATCH($O125,'Aub Demand'!$A:$A,0)),"")</f>
        <v>INTER</v>
      </c>
      <c r="R125" s="52">
        <f>IFERROR(IF(AR126=AR125,INDEX('Aub Demand'!K:K,MATCH($O125,'Aub Demand'!$A:$A,0))-IF(AN125="",0,AN125)+AP126,INDEX('Aub Demand'!K:K,MATCH($O125,'Aub Demand'!$A:$A,0))-IF(AN125="",0,AN125)),"")</f>
        <v>3145</v>
      </c>
      <c r="S125" s="53">
        <f t="shared" si="28"/>
        <v>4492.8999999999996</v>
      </c>
      <c r="T125" s="52" t="str">
        <f t="shared" si="29"/>
        <v/>
      </c>
      <c r="U125" s="52">
        <f>IFERROR(IF(AR126=AR125,INDEX('Aub Demand'!Q:Q,MATCH($O125,'Aub Demand'!$A:$A,0))-IF(AN125="",0,AN125)+AP126,INDEX('Aub Demand'!Q:Q,MATCH($O125,'Aub Demand'!$A:$A,0))-IF(AN125="",0,AN125)),"")</f>
        <v>3145</v>
      </c>
      <c r="V125" s="53">
        <f t="shared" si="30"/>
        <v>4492.8999999999996</v>
      </c>
      <c r="W125" s="52" t="str">
        <f t="shared" si="31"/>
        <v/>
      </c>
      <c r="X125" s="52">
        <f>IFERROR(IF(AND(AR126=AR125,AM125&lt;&gt;""),INDEX('Aub Demand'!Q:Q,MATCH($O125,'Aub Demand'!$A:$A,0))-IF(AN125="",0,AN125)+AP126+AD125+AL125,IF(AR126=AR125,INDEX('Aub Demand'!Q:Q,MATCH($O125,'Aub Demand'!$A:$A,0))-IF(AN125="",0,AN125)+AP126+AD125,IF(AM125&lt;&gt;"",INDEX('Aub Demand'!Q:Q,MATCH($O125,'Aub Demand'!$A:$A,0))-IF(AN125="",0,AN125)+AD125+AL125,INDEX('Aub Demand'!Q:Q,MATCH($O125,'Aub Demand'!$A:$A,0))-IF(AN125="",0,AN125)+AD125))),"")</f>
        <v>3145</v>
      </c>
      <c r="Y125" s="53">
        <f t="shared" si="32"/>
        <v>4492.8999999999996</v>
      </c>
      <c r="Z125" s="52">
        <f>IF(L125="","",INDEX('Aub Demand'!H:H,MATCH($O125,'Aub Demand'!$A:$A,0)))</f>
        <v>3</v>
      </c>
      <c r="AA125" s="52" t="str">
        <f t="shared" si="33"/>
        <v>-spike-</v>
      </c>
      <c r="AB125" s="52">
        <f>IFERROR(INDEX('Aub Demand'!L:L,MATCH($O125,'Aub Demand'!$A:$A,0)),"")</f>
        <v>0</v>
      </c>
      <c r="AC125" s="52">
        <f>IFERROR(IF(O125="","",SUMIFS('CPL Mats'!F:F,'CPL Mats'!Q:Q,AR125,'CPL Mats'!S:S,AS125)),"")</f>
        <v>0</v>
      </c>
      <c r="AF125" s="25" t="str">
        <f>IF(SUMIFS('Supp Consol'!S:S,'Supp Consol'!Y:Y,"Releasable",'Supp Consol'!A:A,O125)=0,"",SUMIFS('Supp Consol'!S:S,'Supp Consol'!Y:Y,"Releasable",'Supp Consol'!A:A,O125))</f>
        <v/>
      </c>
      <c r="AG125" s="25">
        <f>IFERROR(INDEX('Hun Demand'!Q:Q,MATCH(O125,'Hun Demand'!A:A,0)),"")</f>
        <v>-49</v>
      </c>
      <c r="AH125" s="25">
        <f>IFERROR(INDEX('Hun Demand'!H:H,MATCH($O125,'Hun Demand'!$A:$A,0)),"")</f>
        <v>0</v>
      </c>
      <c r="AI125" s="25" t="str">
        <f>IF(SUMIFS('Supp Consol'!AA:AA,'Supp Consol'!Z:Z,"Expires this month",'Supp Consol'!A:A,O125)=0,"",SUMIFS('Supp Consol'!AA:AA,'Supp Consol'!Z:Z,"Expires this month",'Supp Consol'!A:A,O125))</f>
        <v/>
      </c>
      <c r="AJ125" s="25" t="str">
        <f>IF(SUMIFS('Supp Consol'!AA:AA,'Supp Consol'!Z:Z,"Expired Previous Months",'Supp Consol'!A:A,O125)=0,"",SUMIFS('Supp Consol'!AA:AA,'Supp Consol'!Z:Z,"Expired Previous Months",'Supp Consol'!A:A,O125))</f>
        <v/>
      </c>
      <c r="AK125" s="25" t="str">
        <f>IFERROR(INDEX('Hun Release Current'!B:B,MATCH(O125,'Hun Release Current'!A:A,0)),"")</f>
        <v/>
      </c>
      <c r="AL125" s="25" t="str">
        <f>IF(SUMIF('Prev Aub'!A:A,O125,'Prev Aub'!B:B)=0,"",SUMIF('Prev Aub'!A:A,O125,'Prev Aub'!B:B))</f>
        <v/>
      </c>
      <c r="AN125" s="25" t="s">
        <v>3790</v>
      </c>
      <c r="AO125" s="25" t="s">
        <v>3790</v>
      </c>
      <c r="AP125" s="25">
        <f t="shared" si="34"/>
        <v>0</v>
      </c>
      <c r="AQ125" s="151" t="str">
        <f>IF(SUMIFS('Supp Consol'!S:S,'Supp Consol'!A:A,O125,'Supp Consol'!I:I,"PENDING")=0,"",SUMIFS('Supp Consol'!S:S,'Supp Consol'!A:A,O125,'Supp Consol'!I:I,"PENDING"))</f>
        <v/>
      </c>
      <c r="AR125" s="27" t="str">
        <f t="shared" si="35"/>
        <v>AE021</v>
      </c>
      <c r="AS125" s="27" t="str">
        <f t="shared" si="36"/>
        <v>50</v>
      </c>
      <c r="AT125" s="27" t="str">
        <f t="shared" si="37"/>
        <v/>
      </c>
      <c r="AU125" s="27" t="str">
        <f t="shared" si="38"/>
        <v/>
      </c>
      <c r="AV125" s="27" t="str">
        <f t="shared" si="39"/>
        <v/>
      </c>
      <c r="AW125" s="27" t="str">
        <f t="shared" si="40"/>
        <v/>
      </c>
      <c r="AX125" s="27" t="str">
        <f t="shared" si="41"/>
        <v/>
      </c>
      <c r="AY125" s="27" t="str">
        <f t="shared" si="42"/>
        <v/>
      </c>
      <c r="AZ125" s="27" t="str">
        <f t="shared" si="43"/>
        <v/>
      </c>
      <c r="BA125" s="27" t="str">
        <f t="shared" si="44"/>
        <v>Hun</v>
      </c>
      <c r="BB125" s="27" t="str">
        <f t="shared" si="45"/>
        <v/>
      </c>
      <c r="BC125" s="27" t="str">
        <f t="shared" si="46"/>
        <v/>
      </c>
      <c r="BD125" s="27" t="str">
        <f t="shared" si="47"/>
        <v/>
      </c>
      <c r="BE125" s="27" t="str">
        <f t="shared" si="48"/>
        <v/>
      </c>
      <c r="BF125" s="27" t="str">
        <f t="shared" si="49"/>
        <v/>
      </c>
      <c r="BG125" s="27" t="str">
        <f t="shared" si="50"/>
        <v/>
      </c>
      <c r="BH125" s="27" t="str">
        <f t="shared" si="51"/>
        <v/>
      </c>
      <c r="BI125" s="27" t="str">
        <f t="shared" si="52"/>
        <v/>
      </c>
      <c r="BJ125" s="27" t="str">
        <f t="shared" si="53"/>
        <v>Supp or Hun</v>
      </c>
      <c r="BK125" s="27" t="str">
        <f t="shared" si="54"/>
        <v/>
      </c>
      <c r="BL125" s="27" t="str">
        <f t="shared" si="55"/>
        <v/>
      </c>
      <c r="BM125" s="21" t="s">
        <v>5581</v>
      </c>
    </row>
    <row r="126" spans="1:65" ht="15">
      <c r="A126" s="25">
        <f>IFERROR(INDEX('Hun Demand'!W:W,MATCH(O126,'Hun Demand'!A:A,0)),"")</f>
        <v>0</v>
      </c>
      <c r="B126" s="25">
        <f>IFERROR(INDEX('Hun Demand'!V:V,MATCH(O126,'Hun Demand'!A:A,0)),"")</f>
        <v>0</v>
      </c>
      <c r="C126" s="25">
        <f>IFERROR(INDEX('Hun Demand'!U:U,MATCH(O126,'Hun Demand'!A:A,0)),"")</f>
        <v>341</v>
      </c>
      <c r="D126" s="25">
        <f>IFERROR(INDEX('Hun Demand'!T:T,MATCH(O126,'Hun Demand'!A:A,0)),"")</f>
        <v>0</v>
      </c>
      <c r="E126" s="25">
        <f>IFERROR(INDEX('Hun Demand'!S:S,MATCH(O126,'Hun Demand'!A:A,0)),"")</f>
        <v>0</v>
      </c>
      <c r="F126" s="25">
        <f>IFERROR(INDEX('Hun Demand'!R:R,MATCH(O126,'Hun Demand'!A:A,0)),"")</f>
        <v>0</v>
      </c>
      <c r="G126" s="25">
        <f>IFERROR(INDEX('Aub Demand'!W:W,MATCH(O126,'Aub Demand'!A:A,0)),"")</f>
        <v>0</v>
      </c>
      <c r="H126" s="25">
        <f>IFERROR(INDEX('Aub Demand'!V:V,MATCH(O126,'Aub Demand'!A:A,0)),"")</f>
        <v>0</v>
      </c>
      <c r="I126" s="25">
        <f>IFERROR(INDEX('Aub Demand'!U:U,MATCH(O126,'Aub Demand'!A:A,0)),"")</f>
        <v>565</v>
      </c>
      <c r="J126" s="25">
        <f>IFERROR(INDEX('Aub Demand'!T:T,MATCH(O126,'Aub Demand'!A:A,0)),"")</f>
        <v>29</v>
      </c>
      <c r="K126" s="25">
        <f>IFERROR(INDEX('Aub Demand'!S:S,MATCH(O126,'Aub Demand'!A:A,0)),"")</f>
        <v>25</v>
      </c>
      <c r="L126" s="25">
        <f>IFERROR(INDEX('Aub Demand'!R:R,MATCH(O126,'Aub Demand'!A:A,0)),"")</f>
        <v>0</v>
      </c>
      <c r="O126" s="27" t="s">
        <v>297</v>
      </c>
      <c r="P126" s="27" t="str">
        <f>IFERROR(INDEX('Aub Demand'!B:B,MATCH($O126,'Aub Demand'!$A:$A,0)),"")</f>
        <v>GRAPHITE SPEKTRUM</v>
      </c>
      <c r="Q126" s="27" t="str">
        <f>IFERROR(INDEX('Aub Demand'!C:C,MATCH($O126,'Aub Demand'!$A:$A,0)),"")</f>
        <v>INTER</v>
      </c>
      <c r="R126" s="52">
        <f>IFERROR(IF(AR127=AR126,INDEX('Aub Demand'!K:K,MATCH($O126,'Aub Demand'!$A:$A,0))-IF(AN126="",0,AN126)+AP127,INDEX('Aub Demand'!K:K,MATCH($O126,'Aub Demand'!$A:$A,0))-IF(AN126="",0,AN126)),"")</f>
        <v>2061</v>
      </c>
      <c r="S126" s="53">
        <f t="shared" si="28"/>
        <v>42.9</v>
      </c>
      <c r="T126" s="52" t="str">
        <f t="shared" si="29"/>
        <v/>
      </c>
      <c r="U126" s="52">
        <f>IFERROR(IF(AR127=AR126,INDEX('Aub Demand'!Q:Q,MATCH($O126,'Aub Demand'!$A:$A,0))-IF(AN126="",0,AN126)+AP127,INDEX('Aub Demand'!Q:Q,MATCH($O126,'Aub Demand'!$A:$A,0))-IF(AN126="",0,AN126)),"")</f>
        <v>2041</v>
      </c>
      <c r="V126" s="53">
        <f t="shared" si="30"/>
        <v>42.5</v>
      </c>
      <c r="W126" s="52" t="str">
        <f t="shared" si="31"/>
        <v/>
      </c>
      <c r="X126" s="52">
        <f>IFERROR(IF(AND(AR127=AR126,AM126&lt;&gt;""),INDEX('Aub Demand'!Q:Q,MATCH($O126,'Aub Demand'!$A:$A,0))-IF(AN126="",0,AN126)+AP127+AD126+AL126,IF(AR127=AR126,INDEX('Aub Demand'!Q:Q,MATCH($O126,'Aub Demand'!$A:$A,0))-IF(AN126="",0,AN126)+AP127+AD126,IF(AM126&lt;&gt;"",INDEX('Aub Demand'!Q:Q,MATCH($O126,'Aub Demand'!$A:$A,0))-IF(AN126="",0,AN126)+AD126+AL126,INDEX('Aub Demand'!Q:Q,MATCH($O126,'Aub Demand'!$A:$A,0))-IF(AN126="",0,AN126)+AD126))),"")</f>
        <v>2041</v>
      </c>
      <c r="Y126" s="53">
        <f t="shared" si="32"/>
        <v>42.5</v>
      </c>
      <c r="Z126" s="52">
        <f>IF(L126="","",INDEX('Aub Demand'!H:H,MATCH($O126,'Aub Demand'!$A:$A,0)))</f>
        <v>206</v>
      </c>
      <c r="AA126" s="52">
        <f t="shared" si="33"/>
        <v>297</v>
      </c>
      <c r="AB126" s="52">
        <f>IFERROR(INDEX('Aub Demand'!L:L,MATCH($O126,'Aub Demand'!$A:$A,0)),"")</f>
        <v>19</v>
      </c>
      <c r="AC126" s="52">
        <f>IFERROR(IF(O126="","",SUMIFS('CPL Mats'!F:F,'CPL Mats'!Q:Q,AR126,'CPL Mats'!S:S,AS126)),"")</f>
        <v>0</v>
      </c>
      <c r="AF126" s="25" t="str">
        <f>IF(SUMIFS('Supp Consol'!S:S,'Supp Consol'!Y:Y,"Releasable",'Supp Consol'!A:A,O126)=0,"",SUMIFS('Supp Consol'!S:S,'Supp Consol'!Y:Y,"Releasable",'Supp Consol'!A:A,O126))</f>
        <v/>
      </c>
      <c r="AG126" s="25">
        <f>IFERROR(INDEX('Hun Demand'!Q:Q,MATCH(O126,'Hun Demand'!A:A,0)),"")</f>
        <v>174</v>
      </c>
      <c r="AH126" s="25">
        <f>IFERROR(INDEX('Hun Demand'!H:H,MATCH($O126,'Hun Demand'!$A:$A,0)),"")</f>
        <v>114</v>
      </c>
      <c r="AI126" s="25" t="str">
        <f>IF(SUMIFS('Supp Consol'!AA:AA,'Supp Consol'!Z:Z,"Expires this month",'Supp Consol'!A:A,O126)=0,"",SUMIFS('Supp Consol'!AA:AA,'Supp Consol'!Z:Z,"Expires this month",'Supp Consol'!A:A,O126))</f>
        <v/>
      </c>
      <c r="AJ126" s="25" t="str">
        <f>IF(SUMIFS('Supp Consol'!AA:AA,'Supp Consol'!Z:Z,"Expired Previous Months",'Supp Consol'!A:A,O126)=0,"",SUMIFS('Supp Consol'!AA:AA,'Supp Consol'!Z:Z,"Expired Previous Months",'Supp Consol'!A:A,O126))</f>
        <v/>
      </c>
      <c r="AK126" s="25" t="str">
        <f>IFERROR(INDEX('Hun Release Current'!B:B,MATCH(O126,'Hun Release Current'!A:A,0)),"")</f>
        <v/>
      </c>
      <c r="AL126" s="25" t="str">
        <f>IF(SUMIF('Prev Aub'!A:A,O126,'Prev Aub'!B:B)=0,"",SUMIF('Prev Aub'!A:A,O126,'Prev Aub'!B:B))</f>
        <v/>
      </c>
      <c r="AN126" s="25" t="s">
        <v>3790</v>
      </c>
      <c r="AO126" s="25" t="s">
        <v>3790</v>
      </c>
      <c r="AP126" s="25">
        <f t="shared" si="34"/>
        <v>0</v>
      </c>
      <c r="AQ126" s="151" t="str">
        <f>IF(SUMIFS('Supp Consol'!S:S,'Supp Consol'!A:A,O126,'Supp Consol'!I:I,"PENDING")=0,"",SUMIFS('Supp Consol'!S:S,'Supp Consol'!A:A,O126,'Supp Consol'!I:I,"PENDING"))</f>
        <v/>
      </c>
      <c r="AR126" s="27" t="str">
        <f t="shared" si="35"/>
        <v>AE021</v>
      </c>
      <c r="AS126" s="27" t="str">
        <f t="shared" si="36"/>
        <v>62</v>
      </c>
      <c r="AT126" s="27" t="str">
        <f t="shared" si="37"/>
        <v/>
      </c>
      <c r="AU126" s="27" t="str">
        <f t="shared" si="38"/>
        <v/>
      </c>
      <c r="AV126" s="27" t="str">
        <f t="shared" si="39"/>
        <v/>
      </c>
      <c r="AW126" s="27" t="str">
        <f t="shared" si="40"/>
        <v/>
      </c>
      <c r="AX126" s="27" t="str">
        <f t="shared" si="41"/>
        <v/>
      </c>
      <c r="AY126" s="27" t="str">
        <f t="shared" si="42"/>
        <v>AE021</v>
      </c>
      <c r="AZ126" s="27" t="str">
        <f t="shared" si="43"/>
        <v/>
      </c>
      <c r="BA126" s="27" t="str">
        <f t="shared" si="44"/>
        <v>Hun</v>
      </c>
      <c r="BB126" s="27" t="str">
        <f t="shared" si="45"/>
        <v/>
      </c>
      <c r="BC126" s="27" t="str">
        <f t="shared" si="46"/>
        <v/>
      </c>
      <c r="BD126" s="27" t="str">
        <f t="shared" si="47"/>
        <v/>
      </c>
      <c r="BE126" s="27" t="str">
        <f t="shared" si="48"/>
        <v/>
      </c>
      <c r="BF126" s="27" t="str">
        <f t="shared" si="49"/>
        <v/>
      </c>
      <c r="BG126" s="27" t="str">
        <f t="shared" si="50"/>
        <v/>
      </c>
      <c r="BH126" s="27" t="str">
        <f t="shared" si="51"/>
        <v/>
      </c>
      <c r="BI126" s="27" t="str">
        <f t="shared" si="52"/>
        <v/>
      </c>
      <c r="BJ126" s="27" t="str">
        <f t="shared" si="53"/>
        <v>Supp or Hun</v>
      </c>
      <c r="BK126" s="27" t="str">
        <f t="shared" si="54"/>
        <v/>
      </c>
      <c r="BL126" s="27" t="str">
        <f t="shared" si="55"/>
        <v/>
      </c>
      <c r="BM126" s="21" t="s">
        <v>5581</v>
      </c>
    </row>
    <row r="127" spans="1:65" ht="15">
      <c r="A127" s="25">
        <f>IFERROR(INDEX('Hun Demand'!W:W,MATCH(O127,'Hun Demand'!A:A,0)),"")</f>
        <v>0</v>
      </c>
      <c r="B127" s="25">
        <f>IFERROR(INDEX('Hun Demand'!V:V,MATCH(O127,'Hun Demand'!A:A,0)),"")</f>
        <v>0</v>
      </c>
      <c r="C127" s="25">
        <f>IFERROR(INDEX('Hun Demand'!U:U,MATCH(O127,'Hun Demand'!A:A,0)),"")</f>
        <v>0</v>
      </c>
      <c r="D127" s="25">
        <f>IFERROR(INDEX('Hun Demand'!T:T,MATCH(O127,'Hun Demand'!A:A,0)),"")</f>
        <v>0</v>
      </c>
      <c r="E127" s="25">
        <f>IFERROR(INDEX('Hun Demand'!S:S,MATCH(O127,'Hun Demand'!A:A,0)),"")</f>
        <v>0</v>
      </c>
      <c r="F127" s="25">
        <f>IFERROR(INDEX('Hun Demand'!R:R,MATCH(O127,'Hun Demand'!A:A,0)),"")</f>
        <v>0</v>
      </c>
      <c r="G127" s="25">
        <f>IFERROR(INDEX('Aub Demand'!W:W,MATCH(O127,'Aub Demand'!A:A,0)),"")</f>
        <v>36</v>
      </c>
      <c r="H127" s="25">
        <f>IFERROR(INDEX('Aub Demand'!V:V,MATCH(O127,'Aub Demand'!A:A,0)),"")</f>
        <v>0</v>
      </c>
      <c r="I127" s="25">
        <f>IFERROR(INDEX('Aub Demand'!U:U,MATCH(O127,'Aub Demand'!A:A,0)),"")</f>
        <v>0</v>
      </c>
      <c r="J127" s="25">
        <f>IFERROR(INDEX('Aub Demand'!T:T,MATCH(O127,'Aub Demand'!A:A,0)),"")</f>
        <v>0</v>
      </c>
      <c r="K127" s="25">
        <f>IFERROR(INDEX('Aub Demand'!S:S,MATCH(O127,'Aub Demand'!A:A,0)),"")</f>
        <v>0</v>
      </c>
      <c r="L127" s="25">
        <f>IFERROR(INDEX('Aub Demand'!R:R,MATCH(O127,'Aub Demand'!A:A,0)),"")</f>
        <v>0</v>
      </c>
      <c r="O127" s="27" t="s">
        <v>2027</v>
      </c>
      <c r="P127" s="27" t="str">
        <f>IFERROR(INDEX('Aub Demand'!B:B,MATCH($O127,'Aub Demand'!$A:$A,0)),"")</f>
        <v>STEPPING STONE</v>
      </c>
      <c r="Q127" s="27" t="str">
        <f>IFERROR(INDEX('Aub Demand'!C:C,MATCH($O127,'Aub Demand'!$A:$A,0)),"")</f>
        <v>IMPRE</v>
      </c>
      <c r="R127" s="52">
        <f>IFERROR(IF(AR128=AR127,INDEX('Aub Demand'!K:K,MATCH($O127,'Aub Demand'!$A:$A,0))-IF(AN127="",0,AN127)+AP128,INDEX('Aub Demand'!K:K,MATCH($O127,'Aub Demand'!$A:$A,0))-IF(AN127="",0,AN127)),"")</f>
        <v>1036</v>
      </c>
      <c r="S127" s="53" t="str">
        <f t="shared" si="28"/>
        <v>n/a</v>
      </c>
      <c r="T127" s="52" t="str">
        <f t="shared" si="29"/>
        <v/>
      </c>
      <c r="U127" s="52">
        <f>IFERROR(IF(AR128=AR127,INDEX('Aub Demand'!Q:Q,MATCH($O127,'Aub Demand'!$A:$A,0))-IF(AN127="",0,AN127)+AP128,INDEX('Aub Demand'!Q:Q,MATCH($O127,'Aub Demand'!$A:$A,0))-IF(AN127="",0,AN127)),"")</f>
        <v>1033</v>
      </c>
      <c r="V127" s="53" t="str">
        <f t="shared" si="30"/>
        <v>n/a</v>
      </c>
      <c r="W127" s="52" t="str">
        <f t="shared" si="31"/>
        <v/>
      </c>
      <c r="X127" s="52">
        <f>IFERROR(IF(AND(AR128=AR127,AM127&lt;&gt;""),INDEX('Aub Demand'!Q:Q,MATCH($O127,'Aub Demand'!$A:$A,0))-IF(AN127="",0,AN127)+AP128+AD127+AL127,IF(AR128=AR127,INDEX('Aub Demand'!Q:Q,MATCH($O127,'Aub Demand'!$A:$A,0))-IF(AN127="",0,AN127)+AP128+AD127,IF(AM127&lt;&gt;"",INDEX('Aub Demand'!Q:Q,MATCH($O127,'Aub Demand'!$A:$A,0))-IF(AN127="",0,AN127)+AD127+AL127,INDEX('Aub Demand'!Q:Q,MATCH($O127,'Aub Demand'!$A:$A,0))-IF(AN127="",0,AN127)+AD127))),"")</f>
        <v>1033</v>
      </c>
      <c r="Y127" s="53" t="str">
        <f t="shared" si="32"/>
        <v>n/a</v>
      </c>
      <c r="Z127" s="52">
        <f>IF(L127="","",INDEX('Aub Demand'!H:H,MATCH($O127,'Aub Demand'!$A:$A,0)))</f>
        <v>0</v>
      </c>
      <c r="AA127" s="52" t="str">
        <f t="shared" si="33"/>
        <v>-spike-</v>
      </c>
      <c r="AB127" s="52">
        <f>IFERROR(INDEX('Aub Demand'!L:L,MATCH($O127,'Aub Demand'!$A:$A,0)),"")</f>
        <v>10</v>
      </c>
      <c r="AC127" s="52">
        <f>IFERROR(IF(O127="","",SUMIFS('CPL Mats'!F:F,'CPL Mats'!Q:Q,AR127,'CPL Mats'!S:S,AS127)),"")</f>
        <v>0</v>
      </c>
      <c r="AF127" s="25" t="str">
        <f>IF(SUMIFS('Supp Consol'!S:S,'Supp Consol'!Y:Y,"Releasable",'Supp Consol'!A:A,O127)=0,"",SUMIFS('Supp Consol'!S:S,'Supp Consol'!Y:Y,"Releasable",'Supp Consol'!A:A,O127))</f>
        <v/>
      </c>
      <c r="AG127" s="25">
        <f>IFERROR(INDEX('Hun Demand'!Q:Q,MATCH(O127,'Hun Demand'!A:A,0)),"")</f>
        <v>172</v>
      </c>
      <c r="AH127" s="25">
        <f>IFERROR(INDEX('Hun Demand'!H:H,MATCH($O127,'Hun Demand'!$A:$A,0)),"")</f>
        <v>0</v>
      </c>
      <c r="AI127" s="25" t="str">
        <f>IF(SUMIFS('Supp Consol'!AA:AA,'Supp Consol'!Z:Z,"Expires this month",'Supp Consol'!A:A,O127)=0,"",SUMIFS('Supp Consol'!AA:AA,'Supp Consol'!Z:Z,"Expires this month",'Supp Consol'!A:A,O127))</f>
        <v/>
      </c>
      <c r="AJ127" s="25" t="str">
        <f>IF(SUMIFS('Supp Consol'!AA:AA,'Supp Consol'!Z:Z,"Expired Previous Months",'Supp Consol'!A:A,O127)=0,"",SUMIFS('Supp Consol'!AA:AA,'Supp Consol'!Z:Z,"Expired Previous Months",'Supp Consol'!A:A,O127))</f>
        <v/>
      </c>
      <c r="AK127" s="25" t="str">
        <f>IFERROR(INDEX('Hun Release Current'!B:B,MATCH(O127,'Hun Release Current'!A:A,0)),"")</f>
        <v/>
      </c>
      <c r="AL127" s="25" t="str">
        <f>IF(SUMIF('Prev Aub'!A:A,O127,'Prev Aub'!B:B)=0,"",SUMIF('Prev Aub'!A:A,O127,'Prev Aub'!B:B))</f>
        <v/>
      </c>
      <c r="AN127" s="25" t="s">
        <v>3790</v>
      </c>
      <c r="AO127" s="25" t="s">
        <v>3790</v>
      </c>
      <c r="AP127" s="25">
        <f t="shared" si="34"/>
        <v>0</v>
      </c>
      <c r="AQ127" s="151" t="str">
        <f>IF(SUMIFS('Supp Consol'!S:S,'Supp Consol'!A:A,O127,'Supp Consol'!I:I,"PENDING")=0,"",SUMIFS('Supp Consol'!S:S,'Supp Consol'!A:A,O127,'Supp Consol'!I:I,"PENDING"))</f>
        <v/>
      </c>
      <c r="AR127" s="27" t="str">
        <f t="shared" si="35"/>
        <v>AE050</v>
      </c>
      <c r="AS127" s="27" t="str">
        <f t="shared" si="36"/>
        <v>50</v>
      </c>
      <c r="AT127" s="27" t="str">
        <f t="shared" si="37"/>
        <v/>
      </c>
      <c r="AU127" s="27" t="str">
        <f t="shared" si="38"/>
        <v/>
      </c>
      <c r="AV127" s="27" t="str">
        <f t="shared" si="39"/>
        <v/>
      </c>
      <c r="AW127" s="27" t="str">
        <f t="shared" si="40"/>
        <v/>
      </c>
      <c r="AX127" s="27" t="str">
        <f t="shared" si="41"/>
        <v/>
      </c>
      <c r="AY127" s="27" t="str">
        <f t="shared" si="42"/>
        <v>AE050</v>
      </c>
      <c r="AZ127" s="27" t="str">
        <f t="shared" si="43"/>
        <v/>
      </c>
      <c r="BA127" s="27" t="str">
        <f t="shared" si="44"/>
        <v>Hun</v>
      </c>
      <c r="BB127" s="27" t="str">
        <f t="shared" si="45"/>
        <v/>
      </c>
      <c r="BC127" s="27" t="str">
        <f t="shared" si="46"/>
        <v/>
      </c>
      <c r="BD127" s="27" t="str">
        <f t="shared" si="47"/>
        <v/>
      </c>
      <c r="BE127" s="27" t="str">
        <f t="shared" si="48"/>
        <v/>
      </c>
      <c r="BF127" s="27" t="str">
        <f t="shared" si="49"/>
        <v/>
      </c>
      <c r="BG127" s="27" t="str">
        <f t="shared" si="50"/>
        <v/>
      </c>
      <c r="BH127" s="27" t="str">
        <f t="shared" si="51"/>
        <v/>
      </c>
      <c r="BI127" s="27" t="str">
        <f t="shared" si="52"/>
        <v/>
      </c>
      <c r="BJ127" s="27" t="str">
        <f t="shared" si="53"/>
        <v>Supp or Hun</v>
      </c>
      <c r="BK127" s="27" t="str">
        <f t="shared" si="54"/>
        <v/>
      </c>
      <c r="BL127" s="27" t="str">
        <f t="shared" si="55"/>
        <v/>
      </c>
      <c r="BM127" s="21" t="s">
        <v>5581</v>
      </c>
    </row>
    <row r="128" spans="1:65" ht="15">
      <c r="A128" s="25">
        <f>IFERROR(INDEX('Hun Demand'!W:W,MATCH(O128,'Hun Demand'!A:A,0)),"")</f>
        <v>0</v>
      </c>
      <c r="B128" s="25">
        <f>IFERROR(INDEX('Hun Demand'!V:V,MATCH(O128,'Hun Demand'!A:A,0)),"")</f>
        <v>0</v>
      </c>
      <c r="C128" s="25">
        <f>IFERROR(INDEX('Hun Demand'!U:U,MATCH(O128,'Hun Demand'!A:A,0)),"")</f>
        <v>0</v>
      </c>
      <c r="D128" s="25">
        <f>IFERROR(INDEX('Hun Demand'!T:T,MATCH(O128,'Hun Demand'!A:A,0)),"")</f>
        <v>0</v>
      </c>
      <c r="E128" s="25">
        <f>IFERROR(INDEX('Hun Demand'!S:S,MATCH(O128,'Hun Demand'!A:A,0)),"")</f>
        <v>0</v>
      </c>
      <c r="F128" s="25">
        <f>IFERROR(INDEX('Hun Demand'!R:R,MATCH(O128,'Hun Demand'!A:A,0)),"")</f>
        <v>0</v>
      </c>
      <c r="G128" s="25">
        <f>IFERROR(INDEX('Aub Demand'!W:W,MATCH(O128,'Aub Demand'!A:A,0)),"")</f>
        <v>160</v>
      </c>
      <c r="H128" s="25">
        <f>IFERROR(INDEX('Aub Demand'!V:V,MATCH(O128,'Aub Demand'!A:A,0)),"")</f>
        <v>100</v>
      </c>
      <c r="I128" s="25">
        <f>IFERROR(INDEX('Aub Demand'!U:U,MATCH(O128,'Aub Demand'!A:A,0)),"")</f>
        <v>19</v>
      </c>
      <c r="J128" s="25">
        <f>IFERROR(INDEX('Aub Demand'!T:T,MATCH(O128,'Aub Demand'!A:A,0)),"")</f>
        <v>84</v>
      </c>
      <c r="K128" s="25">
        <f>IFERROR(INDEX('Aub Demand'!S:S,MATCH(O128,'Aub Demand'!A:A,0)),"")</f>
        <v>0</v>
      </c>
      <c r="L128" s="25">
        <f>IFERROR(INDEX('Aub Demand'!R:R,MATCH(O128,'Aub Demand'!A:A,0)),"")</f>
        <v>0</v>
      </c>
      <c r="O128" s="27" t="s">
        <v>2029</v>
      </c>
      <c r="P128" s="27" t="str">
        <f>IFERROR(INDEX('Aub Demand'!B:B,MATCH($O128,'Aub Demand'!$A:$A,0)),"")</f>
        <v>STEPPING STONE</v>
      </c>
      <c r="Q128" s="27" t="str">
        <f>IFERROR(INDEX('Aub Demand'!C:C,MATCH($O128,'Aub Demand'!$A:$A,0)),"")</f>
        <v>IMPRE</v>
      </c>
      <c r="R128" s="52">
        <f>IFERROR(IF(AR129=AR128,INDEX('Aub Demand'!K:K,MATCH($O128,'Aub Demand'!$A:$A,0))-IF(AN128="",0,AN128)+AP129,INDEX('Aub Demand'!K:K,MATCH($O128,'Aub Demand'!$A:$A,0))-IF(AN128="",0,AN128)),"")</f>
        <v>1507</v>
      </c>
      <c r="S128" s="53">
        <f t="shared" si="28"/>
        <v>190</v>
      </c>
      <c r="T128" s="52" t="str">
        <f t="shared" si="29"/>
        <v/>
      </c>
      <c r="U128" s="52">
        <f>IFERROR(IF(AR129=AR128,INDEX('Aub Demand'!Q:Q,MATCH($O128,'Aub Demand'!$A:$A,0))-IF(AN128="",0,AN128)+AP129,INDEX('Aub Demand'!Q:Q,MATCH($O128,'Aub Demand'!$A:$A,0))-IF(AN128="",0,AN128)),"")</f>
        <v>1453</v>
      </c>
      <c r="V128" s="53">
        <f t="shared" si="30"/>
        <v>183.2</v>
      </c>
      <c r="W128" s="52" t="str">
        <f t="shared" si="31"/>
        <v/>
      </c>
      <c r="X128" s="52">
        <f>IFERROR(IF(AND(AR129=AR128,AM128&lt;&gt;""),INDEX('Aub Demand'!Q:Q,MATCH($O128,'Aub Demand'!$A:$A,0))-IF(AN128="",0,AN128)+AP129+AD128+AL128,IF(AR129=AR128,INDEX('Aub Demand'!Q:Q,MATCH($O128,'Aub Demand'!$A:$A,0))-IF(AN128="",0,AN128)+AP129+AD128,IF(AM128&lt;&gt;"",INDEX('Aub Demand'!Q:Q,MATCH($O128,'Aub Demand'!$A:$A,0))-IF(AN128="",0,AN128)+AD128+AL128,INDEX('Aub Demand'!Q:Q,MATCH($O128,'Aub Demand'!$A:$A,0))-IF(AN128="",0,AN128)+AD128))),"")</f>
        <v>1453</v>
      </c>
      <c r="Y128" s="53">
        <f t="shared" si="32"/>
        <v>183.2</v>
      </c>
      <c r="Z128" s="52">
        <f>IF(L128="","",INDEX('Aub Demand'!H:H,MATCH($O128,'Aub Demand'!$A:$A,0)))</f>
        <v>34</v>
      </c>
      <c r="AA128" s="52">
        <f t="shared" si="33"/>
        <v>51.5</v>
      </c>
      <c r="AB128" s="52">
        <f>IFERROR(INDEX('Aub Demand'!L:L,MATCH($O128,'Aub Demand'!$A:$A,0)),"")</f>
        <v>48</v>
      </c>
      <c r="AC128" s="52">
        <f>IFERROR(IF(O128="","",SUMIFS('CPL Mats'!F:F,'CPL Mats'!Q:Q,AR128,'CPL Mats'!S:S,AS128)),"")</f>
        <v>22.71</v>
      </c>
      <c r="AF128" s="25" t="str">
        <f>IF(SUMIFS('Supp Consol'!S:S,'Supp Consol'!Y:Y,"Releasable",'Supp Consol'!A:A,O128)=0,"",SUMIFS('Supp Consol'!S:S,'Supp Consol'!Y:Y,"Releasable",'Supp Consol'!A:A,O128))</f>
        <v/>
      </c>
      <c r="AG128" s="25">
        <f>IFERROR(INDEX('Hun Demand'!Q:Q,MATCH(O128,'Hun Demand'!A:A,0)),"")</f>
        <v>221</v>
      </c>
      <c r="AH128" s="25">
        <f>IFERROR(INDEX('Hun Demand'!H:H,MATCH($O128,'Hun Demand'!$A:$A,0)),"")</f>
        <v>0</v>
      </c>
      <c r="AI128" s="25" t="str">
        <f>IF(SUMIFS('Supp Consol'!AA:AA,'Supp Consol'!Z:Z,"Expires this month",'Supp Consol'!A:A,O128)=0,"",SUMIFS('Supp Consol'!AA:AA,'Supp Consol'!Z:Z,"Expires this month",'Supp Consol'!A:A,O128))</f>
        <v/>
      </c>
      <c r="AJ128" s="25" t="str">
        <f>IF(SUMIFS('Supp Consol'!AA:AA,'Supp Consol'!Z:Z,"Expired Previous Months",'Supp Consol'!A:A,O128)=0,"",SUMIFS('Supp Consol'!AA:AA,'Supp Consol'!Z:Z,"Expired Previous Months",'Supp Consol'!A:A,O128))</f>
        <v/>
      </c>
      <c r="AK128" s="25" t="str">
        <f>IFERROR(INDEX('Hun Release Current'!B:B,MATCH(O128,'Hun Release Current'!A:A,0)),"")</f>
        <v/>
      </c>
      <c r="AL128" s="25" t="str">
        <f>IF(SUMIF('Prev Aub'!A:A,O128,'Prev Aub'!B:B)=0,"",SUMIF('Prev Aub'!A:A,O128,'Prev Aub'!B:B))</f>
        <v/>
      </c>
      <c r="AN128" s="25" t="s">
        <v>3790</v>
      </c>
      <c r="AO128" s="25" t="s">
        <v>3790</v>
      </c>
      <c r="AP128" s="25">
        <f t="shared" si="34"/>
        <v>0</v>
      </c>
      <c r="AQ128" s="151" t="str">
        <f>IF(SUMIFS('Supp Consol'!S:S,'Supp Consol'!A:A,O128,'Supp Consol'!I:I,"PENDING")=0,"",SUMIFS('Supp Consol'!S:S,'Supp Consol'!A:A,O128,'Supp Consol'!I:I,"PENDING"))</f>
        <v/>
      </c>
      <c r="AR128" s="27" t="str">
        <f t="shared" si="35"/>
        <v>AE050</v>
      </c>
      <c r="AS128" s="27" t="str">
        <f t="shared" si="36"/>
        <v>62</v>
      </c>
      <c r="AT128" s="27" t="str">
        <f t="shared" si="37"/>
        <v/>
      </c>
      <c r="AU128" s="27" t="str">
        <f t="shared" si="38"/>
        <v/>
      </c>
      <c r="AV128" s="27" t="str">
        <f t="shared" si="39"/>
        <v/>
      </c>
      <c r="AW128" s="27" t="str">
        <f t="shared" si="40"/>
        <v/>
      </c>
      <c r="AX128" s="27" t="str">
        <f t="shared" si="41"/>
        <v/>
      </c>
      <c r="AY128" s="27" t="str">
        <f t="shared" si="42"/>
        <v>AE050</v>
      </c>
      <c r="AZ128" s="27" t="str">
        <f t="shared" si="43"/>
        <v/>
      </c>
      <c r="BA128" s="27" t="str">
        <f t="shared" si="44"/>
        <v>Hun</v>
      </c>
      <c r="BB128" s="27" t="str">
        <f t="shared" si="45"/>
        <v/>
      </c>
      <c r="BC128" s="27" t="str">
        <f t="shared" si="46"/>
        <v/>
      </c>
      <c r="BD128" s="27" t="str">
        <f t="shared" si="47"/>
        <v/>
      </c>
      <c r="BE128" s="27" t="str">
        <f t="shared" si="48"/>
        <v/>
      </c>
      <c r="BF128" s="27" t="str">
        <f t="shared" si="49"/>
        <v/>
      </c>
      <c r="BG128" s="27" t="str">
        <f t="shared" si="50"/>
        <v/>
      </c>
      <c r="BH128" s="27" t="str">
        <f t="shared" si="51"/>
        <v/>
      </c>
      <c r="BI128" s="27" t="str">
        <f t="shared" si="52"/>
        <v/>
      </c>
      <c r="BJ128" s="27" t="str">
        <f t="shared" si="53"/>
        <v>Supp or Hun</v>
      </c>
      <c r="BK128" s="27" t="str">
        <f t="shared" si="54"/>
        <v/>
      </c>
      <c r="BL128" s="27" t="str">
        <f t="shared" si="55"/>
        <v/>
      </c>
      <c r="BM128" s="21" t="s">
        <v>5581</v>
      </c>
    </row>
    <row r="129" spans="1:65" ht="15">
      <c r="A129" s="25">
        <f>IFERROR(INDEX('Hun Demand'!W:W,MATCH(O129,'Hun Demand'!A:A,0)),"")</f>
        <v>0</v>
      </c>
      <c r="B129" s="25">
        <f>IFERROR(INDEX('Hun Demand'!V:V,MATCH(O129,'Hun Demand'!A:A,0)),"")</f>
        <v>0</v>
      </c>
      <c r="C129" s="25">
        <f>IFERROR(INDEX('Hun Demand'!U:U,MATCH(O129,'Hun Demand'!A:A,0)),"")</f>
        <v>0</v>
      </c>
      <c r="D129" s="25">
        <f>IFERROR(INDEX('Hun Demand'!T:T,MATCH(O129,'Hun Demand'!A:A,0)),"")</f>
        <v>0</v>
      </c>
      <c r="E129" s="25">
        <f>IFERROR(INDEX('Hun Demand'!S:S,MATCH(O129,'Hun Demand'!A:A,0)),"")</f>
        <v>0</v>
      </c>
      <c r="F129" s="25">
        <f>IFERROR(INDEX('Hun Demand'!R:R,MATCH(O129,'Hun Demand'!A:A,0)),"")</f>
        <v>0</v>
      </c>
      <c r="G129" s="25">
        <f>IFERROR(INDEX('Aub Demand'!W:W,MATCH(O129,'Aub Demand'!A:A,0)),"")</f>
        <v>0</v>
      </c>
      <c r="H129" s="25">
        <f>IFERROR(INDEX('Aub Demand'!V:V,MATCH(O129,'Aub Demand'!A:A,0)),"")</f>
        <v>44</v>
      </c>
      <c r="I129" s="25">
        <f>IFERROR(INDEX('Aub Demand'!U:U,MATCH(O129,'Aub Demand'!A:A,0)),"")</f>
        <v>68</v>
      </c>
      <c r="J129" s="25">
        <f>IFERROR(INDEX('Aub Demand'!T:T,MATCH(O129,'Aub Demand'!A:A,0)),"")</f>
        <v>63</v>
      </c>
      <c r="K129" s="25">
        <f>IFERROR(INDEX('Aub Demand'!S:S,MATCH(O129,'Aub Demand'!A:A,0)),"")</f>
        <v>63</v>
      </c>
      <c r="L129" s="25">
        <f>IFERROR(INDEX('Aub Demand'!R:R,MATCH(O129,'Aub Demand'!A:A,0)),"")</f>
        <v>0</v>
      </c>
      <c r="O129" s="27" t="s">
        <v>298</v>
      </c>
      <c r="P129" s="27" t="str">
        <f>IFERROR(INDEX('Aub Demand'!B:B,MATCH($O129,'Aub Demand'!$A:$A,0)),"")</f>
        <v>STARGAZING</v>
      </c>
      <c r="Q129" s="27" t="str">
        <f>IFERROR(INDEX('Aub Demand'!C:C,MATCH($O129,'Aub Demand'!$A:$A,0)),"")</f>
        <v>INTER</v>
      </c>
      <c r="R129" s="52">
        <f>IFERROR(IF(AR130=AR129,INDEX('Aub Demand'!K:K,MATCH($O129,'Aub Demand'!$A:$A,0))-IF(AN129="",0,AN129)+AP130,INDEX('Aub Demand'!K:K,MATCH($O129,'Aub Demand'!$A:$A,0))-IF(AN129="",0,AN129)),"")</f>
        <v>2126</v>
      </c>
      <c r="S129" s="53">
        <f t="shared" si="28"/>
        <v>140.19999999999999</v>
      </c>
      <c r="T129" s="52" t="str">
        <f t="shared" si="29"/>
        <v/>
      </c>
      <c r="U129" s="52">
        <f>IFERROR(IF(AR130=AR129,INDEX('Aub Demand'!Q:Q,MATCH($O129,'Aub Demand'!$A:$A,0))-IF(AN129="",0,AN129)+AP130,INDEX('Aub Demand'!Q:Q,MATCH($O129,'Aub Demand'!$A:$A,0))-IF(AN129="",0,AN129)),"")</f>
        <v>2074</v>
      </c>
      <c r="V129" s="53">
        <f t="shared" si="30"/>
        <v>136.69999999999999</v>
      </c>
      <c r="W129" s="52" t="str">
        <f t="shared" si="31"/>
        <v/>
      </c>
      <c r="X129" s="52">
        <f>IFERROR(IF(AND(AR130=AR129,AM129&lt;&gt;""),INDEX('Aub Demand'!Q:Q,MATCH($O129,'Aub Demand'!$A:$A,0))-IF(AN129="",0,AN129)+AP130+AD129+AL129,IF(AR130=AR129,INDEX('Aub Demand'!Q:Q,MATCH($O129,'Aub Demand'!$A:$A,0))-IF(AN129="",0,AN129)+AP130+AD129,IF(AM129&lt;&gt;"",INDEX('Aub Demand'!Q:Q,MATCH($O129,'Aub Demand'!$A:$A,0))-IF(AN129="",0,AN129)+AD129+AL129,INDEX('Aub Demand'!Q:Q,MATCH($O129,'Aub Demand'!$A:$A,0))-IF(AN129="",0,AN129)+AD129))),"")</f>
        <v>2074</v>
      </c>
      <c r="Y129" s="53">
        <f t="shared" si="32"/>
        <v>136.69999999999999</v>
      </c>
      <c r="Z129" s="52">
        <f>IF(L129="","",INDEX('Aub Demand'!H:H,MATCH($O129,'Aub Demand'!$A:$A,0)))</f>
        <v>65</v>
      </c>
      <c r="AA129" s="52">
        <f t="shared" si="33"/>
        <v>65.5</v>
      </c>
      <c r="AB129" s="52">
        <f>IFERROR(INDEX('Aub Demand'!L:L,MATCH($O129,'Aub Demand'!$A:$A,0)),"")</f>
        <v>44</v>
      </c>
      <c r="AC129" s="52">
        <f>IFERROR(IF(O129="","",SUMIFS('CPL Mats'!F:F,'CPL Mats'!Q:Q,AR129,'CPL Mats'!S:S,AS129)),"")</f>
        <v>0</v>
      </c>
      <c r="AF129" s="25" t="str">
        <f>IF(SUMIFS('Supp Consol'!S:S,'Supp Consol'!Y:Y,"Releasable",'Supp Consol'!A:A,O129)=0,"",SUMIFS('Supp Consol'!S:S,'Supp Consol'!Y:Y,"Releasable",'Supp Consol'!A:A,O129))</f>
        <v/>
      </c>
      <c r="AG129" s="25">
        <f>IFERROR(INDEX('Hun Demand'!Q:Q,MATCH(O129,'Hun Demand'!A:A,0)),"")</f>
        <v>220</v>
      </c>
      <c r="AH129" s="25">
        <f>IFERROR(INDEX('Hun Demand'!H:H,MATCH($O129,'Hun Demand'!$A:$A,0)),"")</f>
        <v>0</v>
      </c>
      <c r="AI129" s="25" t="str">
        <f>IF(SUMIFS('Supp Consol'!AA:AA,'Supp Consol'!Z:Z,"Expires this month",'Supp Consol'!A:A,O129)=0,"",SUMIFS('Supp Consol'!AA:AA,'Supp Consol'!Z:Z,"Expires this month",'Supp Consol'!A:A,O129))</f>
        <v/>
      </c>
      <c r="AJ129" s="25" t="str">
        <f>IF(SUMIFS('Supp Consol'!AA:AA,'Supp Consol'!Z:Z,"Expired Previous Months",'Supp Consol'!A:A,O129)=0,"",SUMIFS('Supp Consol'!AA:AA,'Supp Consol'!Z:Z,"Expired Previous Months",'Supp Consol'!A:A,O129))</f>
        <v/>
      </c>
      <c r="AK129" s="25" t="str">
        <f>IFERROR(INDEX('Hun Release Current'!B:B,MATCH(O129,'Hun Release Current'!A:A,0)),"")</f>
        <v/>
      </c>
      <c r="AL129" s="25" t="str">
        <f>IF(SUMIF('Prev Aub'!A:A,O129,'Prev Aub'!B:B)=0,"",SUMIF('Prev Aub'!A:A,O129,'Prev Aub'!B:B))</f>
        <v/>
      </c>
      <c r="AN129" s="25" t="s">
        <v>3790</v>
      </c>
      <c r="AO129" s="25" t="s">
        <v>3790</v>
      </c>
      <c r="AP129" s="25">
        <f t="shared" si="34"/>
        <v>0</v>
      </c>
      <c r="AQ129" s="151" t="str">
        <f>IF(SUMIFS('Supp Consol'!S:S,'Supp Consol'!A:A,O129,'Supp Consol'!I:I,"PENDING")=0,"",SUMIFS('Supp Consol'!S:S,'Supp Consol'!A:A,O129,'Supp Consol'!I:I,"PENDING"))</f>
        <v/>
      </c>
      <c r="AR129" s="27" t="str">
        <f t="shared" si="35"/>
        <v>AE060</v>
      </c>
      <c r="AS129" s="27" t="str">
        <f t="shared" si="36"/>
        <v>50</v>
      </c>
      <c r="AT129" s="27" t="str">
        <f t="shared" si="37"/>
        <v/>
      </c>
      <c r="AU129" s="27" t="str">
        <f t="shared" si="38"/>
        <v/>
      </c>
      <c r="AV129" s="27" t="str">
        <f t="shared" si="39"/>
        <v/>
      </c>
      <c r="AW129" s="27" t="str">
        <f t="shared" si="40"/>
        <v/>
      </c>
      <c r="AX129" s="27" t="str">
        <f t="shared" si="41"/>
        <v/>
      </c>
      <c r="AY129" s="27" t="str">
        <f t="shared" si="42"/>
        <v>AE060</v>
      </c>
      <c r="AZ129" s="27" t="str">
        <f t="shared" si="43"/>
        <v/>
      </c>
      <c r="BA129" s="27" t="str">
        <f t="shared" si="44"/>
        <v>Hun</v>
      </c>
      <c r="BB129" s="27" t="str">
        <f t="shared" si="45"/>
        <v/>
      </c>
      <c r="BC129" s="27" t="str">
        <f t="shared" si="46"/>
        <v/>
      </c>
      <c r="BD129" s="27" t="str">
        <f t="shared" si="47"/>
        <v/>
      </c>
      <c r="BE129" s="27" t="str">
        <f t="shared" si="48"/>
        <v/>
      </c>
      <c r="BF129" s="27" t="str">
        <f t="shared" si="49"/>
        <v/>
      </c>
      <c r="BG129" s="27" t="str">
        <f t="shared" si="50"/>
        <v/>
      </c>
      <c r="BH129" s="27" t="str">
        <f t="shared" si="51"/>
        <v/>
      </c>
      <c r="BI129" s="27" t="str">
        <f t="shared" si="52"/>
        <v/>
      </c>
      <c r="BJ129" s="27" t="str">
        <f t="shared" si="53"/>
        <v>Supp or Hun</v>
      </c>
      <c r="BK129" s="27" t="str">
        <f t="shared" si="54"/>
        <v/>
      </c>
      <c r="BL129" s="27" t="str">
        <f t="shared" si="55"/>
        <v/>
      </c>
      <c r="BM129" s="21" t="s">
        <v>5581</v>
      </c>
    </row>
    <row r="130" spans="1:65" ht="15">
      <c r="A130" s="25" t="str">
        <f>IFERROR(INDEX('Hun Demand'!W:W,MATCH(O130,'Hun Demand'!A:A,0)),"")</f>
        <v/>
      </c>
      <c r="B130" s="25" t="str">
        <f>IFERROR(INDEX('Hun Demand'!V:V,MATCH(O130,'Hun Demand'!A:A,0)),"")</f>
        <v/>
      </c>
      <c r="C130" s="25" t="str">
        <f>IFERROR(INDEX('Hun Demand'!U:U,MATCH(O130,'Hun Demand'!A:A,0)),"")</f>
        <v/>
      </c>
      <c r="D130" s="25" t="str">
        <f>IFERROR(INDEX('Hun Demand'!T:T,MATCH(O130,'Hun Demand'!A:A,0)),"")</f>
        <v/>
      </c>
      <c r="E130" s="25" t="str">
        <f>IFERROR(INDEX('Hun Demand'!S:S,MATCH(O130,'Hun Demand'!A:A,0)),"")</f>
        <v/>
      </c>
      <c r="F130" s="25" t="str">
        <f>IFERROR(INDEX('Hun Demand'!R:R,MATCH(O130,'Hun Demand'!A:A,0)),"")</f>
        <v/>
      </c>
      <c r="G130" s="25">
        <f>IFERROR(INDEX('Aub Demand'!W:W,MATCH(O130,'Aub Demand'!A:A,0)),"")</f>
        <v>0</v>
      </c>
      <c r="H130" s="25">
        <f>IFERROR(INDEX('Aub Demand'!V:V,MATCH(O130,'Aub Demand'!A:A,0)),"")</f>
        <v>0</v>
      </c>
      <c r="I130" s="25">
        <f>IFERROR(INDEX('Aub Demand'!U:U,MATCH(O130,'Aub Demand'!A:A,0)),"")</f>
        <v>37</v>
      </c>
      <c r="J130" s="25">
        <f>IFERROR(INDEX('Aub Demand'!T:T,MATCH(O130,'Aub Demand'!A:A,0)),"")</f>
        <v>0</v>
      </c>
      <c r="K130" s="25">
        <f>IFERROR(INDEX('Aub Demand'!S:S,MATCH(O130,'Aub Demand'!A:A,0)),"")</f>
        <v>139</v>
      </c>
      <c r="L130" s="25">
        <f>IFERROR(INDEX('Aub Demand'!R:R,MATCH(O130,'Aub Demand'!A:A,0)),"")</f>
        <v>0</v>
      </c>
      <c r="O130" s="27" t="s">
        <v>300</v>
      </c>
      <c r="P130" s="27" t="str">
        <f>IFERROR(INDEX('Aub Demand'!B:B,MATCH($O130,'Aub Demand'!$A:$A,0)),"")</f>
        <v>STARGAZING</v>
      </c>
      <c r="Q130" s="27" t="str">
        <f>IFERROR(INDEX('Aub Demand'!C:C,MATCH($O130,'Aub Demand'!$A:$A,0)),"")</f>
        <v>INTER</v>
      </c>
      <c r="R130" s="52">
        <f>IFERROR(IF(AR131=AR130,INDEX('Aub Demand'!K:K,MATCH($O130,'Aub Demand'!$A:$A,0))-IF(AN130="",0,AN130)+AP131,INDEX('Aub Demand'!K:K,MATCH($O130,'Aub Demand'!$A:$A,0))-IF(AN130="",0,AN130)),"")</f>
        <v>1121</v>
      </c>
      <c r="S130" s="53">
        <f t="shared" si="28"/>
        <v>81.400000000000006</v>
      </c>
      <c r="T130" s="52" t="str">
        <f t="shared" si="29"/>
        <v/>
      </c>
      <c r="U130" s="52">
        <f>IFERROR(IF(AR131=AR130,INDEX('Aub Demand'!Q:Q,MATCH($O130,'Aub Demand'!$A:$A,0))-IF(AN130="",0,AN130)+AP131,INDEX('Aub Demand'!Q:Q,MATCH($O130,'Aub Demand'!$A:$A,0))-IF(AN130="",0,AN130)),"")</f>
        <v>1094</v>
      </c>
      <c r="V130" s="53">
        <f t="shared" si="30"/>
        <v>79.5</v>
      </c>
      <c r="W130" s="52" t="str">
        <f t="shared" si="31"/>
        <v/>
      </c>
      <c r="X130" s="52">
        <f>IFERROR(IF(AND(AR131=AR130,AM130&lt;&gt;""),INDEX('Aub Demand'!Q:Q,MATCH($O130,'Aub Demand'!$A:$A,0))-IF(AN130="",0,AN130)+AP131+AD130+AL130,IF(AR131=AR130,INDEX('Aub Demand'!Q:Q,MATCH($O130,'Aub Demand'!$A:$A,0))-IF(AN130="",0,AN130)+AP131+AD130,IF(AM130&lt;&gt;"",INDEX('Aub Demand'!Q:Q,MATCH($O130,'Aub Demand'!$A:$A,0))-IF(AN130="",0,AN130)+AD130+AL130,INDEX('Aub Demand'!Q:Q,MATCH($O130,'Aub Demand'!$A:$A,0))-IF(AN130="",0,AN130)+AD130))),"")</f>
        <v>1094</v>
      </c>
      <c r="Y130" s="53">
        <f t="shared" si="32"/>
        <v>79.5</v>
      </c>
      <c r="Z130" s="52">
        <f>IF(L130="","",INDEX('Aub Demand'!H:H,MATCH($O130,'Aub Demand'!$A:$A,0)))</f>
        <v>59</v>
      </c>
      <c r="AA130" s="52">
        <f t="shared" si="33"/>
        <v>88</v>
      </c>
      <c r="AB130" s="52">
        <f>IFERROR(INDEX('Aub Demand'!L:L,MATCH($O130,'Aub Demand'!$A:$A,0)),"")</f>
        <v>45</v>
      </c>
      <c r="AC130" s="52">
        <f>IFERROR(IF(O130="","",SUMIFS('CPL Mats'!F:F,'CPL Mats'!Q:Q,AR130,'CPL Mats'!S:S,AS130)),"")</f>
        <v>0</v>
      </c>
      <c r="AF130" s="25" t="str">
        <f>IF(SUMIFS('Supp Consol'!S:S,'Supp Consol'!Y:Y,"Releasable",'Supp Consol'!A:A,O130)=0,"",SUMIFS('Supp Consol'!S:S,'Supp Consol'!Y:Y,"Releasable",'Supp Consol'!A:A,O130))</f>
        <v/>
      </c>
      <c r="AG130" s="25" t="str">
        <f>IFERROR(INDEX('Hun Demand'!Q:Q,MATCH(O130,'Hun Demand'!A:A,0)),"")</f>
        <v/>
      </c>
      <c r="AH130" s="25" t="str">
        <f>IFERROR(INDEX('Hun Demand'!H:H,MATCH($O130,'Hun Demand'!$A:$A,0)),"")</f>
        <v/>
      </c>
      <c r="AI130" s="25" t="str">
        <f>IF(SUMIFS('Supp Consol'!AA:AA,'Supp Consol'!Z:Z,"Expires this month",'Supp Consol'!A:A,O130)=0,"",SUMIFS('Supp Consol'!AA:AA,'Supp Consol'!Z:Z,"Expires this month",'Supp Consol'!A:A,O130))</f>
        <v/>
      </c>
      <c r="AJ130" s="25" t="str">
        <f>IF(SUMIFS('Supp Consol'!AA:AA,'Supp Consol'!Z:Z,"Expired Previous Months",'Supp Consol'!A:A,O130)=0,"",SUMIFS('Supp Consol'!AA:AA,'Supp Consol'!Z:Z,"Expired Previous Months",'Supp Consol'!A:A,O130))</f>
        <v/>
      </c>
      <c r="AK130" s="25" t="str">
        <f>IFERROR(INDEX('Hun Release Current'!B:B,MATCH(O130,'Hun Release Current'!A:A,0)),"")</f>
        <v/>
      </c>
      <c r="AL130" s="25" t="str">
        <f>IF(SUMIF('Prev Aub'!A:A,O130,'Prev Aub'!B:B)=0,"",SUMIF('Prev Aub'!A:A,O130,'Prev Aub'!B:B))</f>
        <v/>
      </c>
      <c r="AN130" s="25" t="s">
        <v>3790</v>
      </c>
      <c r="AO130" s="25" t="s">
        <v>3790</v>
      </c>
      <c r="AP130" s="25">
        <f t="shared" si="34"/>
        <v>0</v>
      </c>
      <c r="AQ130" s="151" t="str">
        <f>IF(SUMIFS('Supp Consol'!S:S,'Supp Consol'!A:A,O130,'Supp Consol'!I:I,"PENDING")=0,"",SUMIFS('Supp Consol'!S:S,'Supp Consol'!A:A,O130,'Supp Consol'!I:I,"PENDING"))</f>
        <v/>
      </c>
      <c r="AR130" s="27" t="str">
        <f t="shared" si="35"/>
        <v>AE060</v>
      </c>
      <c r="AS130" s="27" t="str">
        <f t="shared" si="36"/>
        <v>62</v>
      </c>
      <c r="AT130" s="27" t="str">
        <f t="shared" si="37"/>
        <v/>
      </c>
      <c r="AU130" s="27" t="str">
        <f t="shared" si="38"/>
        <v/>
      </c>
      <c r="AV130" s="27" t="str">
        <f t="shared" si="39"/>
        <v/>
      </c>
      <c r="AW130" s="27" t="str">
        <f t="shared" si="40"/>
        <v/>
      </c>
      <c r="AX130" s="27" t="str">
        <f t="shared" si="41"/>
        <v/>
      </c>
      <c r="AY130" s="27" t="str">
        <f t="shared" si="42"/>
        <v/>
      </c>
      <c r="AZ130" s="27" t="str">
        <f t="shared" si="43"/>
        <v/>
      </c>
      <c r="BA130" s="27" t="str">
        <f t="shared" si="44"/>
        <v>Hun</v>
      </c>
      <c r="BB130" s="27" t="str">
        <f t="shared" si="45"/>
        <v/>
      </c>
      <c r="BC130" s="27" t="str">
        <f t="shared" si="46"/>
        <v/>
      </c>
      <c r="BD130" s="27" t="str">
        <f t="shared" si="47"/>
        <v/>
      </c>
      <c r="BE130" s="27" t="str">
        <f t="shared" si="48"/>
        <v/>
      </c>
      <c r="BF130" s="27" t="str">
        <f t="shared" si="49"/>
        <v/>
      </c>
      <c r="BG130" s="27" t="str">
        <f t="shared" si="50"/>
        <v/>
      </c>
      <c r="BH130" s="27" t="str">
        <f t="shared" si="51"/>
        <v/>
      </c>
      <c r="BI130" s="27" t="str">
        <f t="shared" si="52"/>
        <v/>
      </c>
      <c r="BJ130" s="27" t="str">
        <f t="shared" si="53"/>
        <v>Supp or Hun</v>
      </c>
      <c r="BK130" s="27" t="str">
        <f t="shared" si="54"/>
        <v/>
      </c>
      <c r="BL130" s="27" t="str">
        <f t="shared" si="55"/>
        <v/>
      </c>
      <c r="BM130" s="21" t="s">
        <v>5581</v>
      </c>
    </row>
    <row r="131" spans="1:65" ht="15">
      <c r="A131" s="25">
        <f>IFERROR(INDEX('Hun Demand'!W:W,MATCH(O131,'Hun Demand'!A:A,0)),"")</f>
        <v>718</v>
      </c>
      <c r="B131" s="25">
        <f>IFERROR(INDEX('Hun Demand'!V:V,MATCH(O131,'Hun Demand'!A:A,0)),"")</f>
        <v>394</v>
      </c>
      <c r="C131" s="25">
        <f>IFERROR(INDEX('Hun Demand'!U:U,MATCH(O131,'Hun Demand'!A:A,0)),"")</f>
        <v>487</v>
      </c>
      <c r="D131" s="25">
        <f>IFERROR(INDEX('Hun Demand'!T:T,MATCH(O131,'Hun Demand'!A:A,0)),"")</f>
        <v>0</v>
      </c>
      <c r="E131" s="25">
        <f>IFERROR(INDEX('Hun Demand'!S:S,MATCH(O131,'Hun Demand'!A:A,0)),"")</f>
        <v>0</v>
      </c>
      <c r="F131" s="25">
        <f>IFERROR(INDEX('Hun Demand'!R:R,MATCH(O131,'Hun Demand'!A:A,0)),"")</f>
        <v>0</v>
      </c>
      <c r="G131" s="25">
        <f>IFERROR(INDEX('Aub Demand'!W:W,MATCH(O131,'Aub Demand'!A:A,0)),"")</f>
        <v>0</v>
      </c>
      <c r="H131" s="25">
        <f>IFERROR(INDEX('Aub Demand'!V:V,MATCH(O131,'Aub Demand'!A:A,0)),"")</f>
        <v>0</v>
      </c>
      <c r="I131" s="25">
        <f>IFERROR(INDEX('Aub Demand'!U:U,MATCH(O131,'Aub Demand'!A:A,0)),"")</f>
        <v>37</v>
      </c>
      <c r="J131" s="25">
        <f>IFERROR(INDEX('Aub Demand'!T:T,MATCH(O131,'Aub Demand'!A:A,0)),"")</f>
        <v>166</v>
      </c>
      <c r="K131" s="25">
        <f>IFERROR(INDEX('Aub Demand'!S:S,MATCH(O131,'Aub Demand'!A:A,0)),"")</f>
        <v>90</v>
      </c>
      <c r="L131" s="25">
        <f>IFERROR(INDEX('Aub Demand'!R:R,MATCH(O131,'Aub Demand'!A:A,0)),"")</f>
        <v>0</v>
      </c>
      <c r="O131" s="27" t="s">
        <v>301</v>
      </c>
      <c r="P131" s="27" t="str">
        <f>IFERROR(INDEX('Aub Demand'!B:B,MATCH($O131,'Aub Demand'!$A:$A,0)),"")</f>
        <v>LITTLE BLACK DRESS</v>
      </c>
      <c r="Q131" s="27" t="str">
        <f>IFERROR(INDEX('Aub Demand'!C:C,MATCH($O131,'Aub Demand'!$A:$A,0)),"")</f>
        <v>INTER</v>
      </c>
      <c r="R131" s="52">
        <f>IFERROR(IF(AR132=AR131,INDEX('Aub Demand'!K:K,MATCH($O131,'Aub Demand'!$A:$A,0))-IF(AN131="",0,AN131)+AP132,INDEX('Aub Demand'!K:K,MATCH($O131,'Aub Demand'!$A:$A,0))-IF(AN131="",0,AN131)),"")</f>
        <v>300</v>
      </c>
      <c r="S131" s="53">
        <f t="shared" ref="S131:S194" si="56">IFERROR(IF(O131="","",ROUND(R131/((Z131/30)*7),1)),"n/a")</f>
        <v>13.1</v>
      </c>
      <c r="T131" s="52" t="str">
        <f t="shared" ref="T131:T194" si="57">IFERROR(IF(S131&lt;3.1,IF(AA131="spike",(3-S131)*(Z131/4),(3-S131)*(AA131/4)),""),"")</f>
        <v/>
      </c>
      <c r="U131" s="52">
        <f>IFERROR(IF(AR132=AR131,INDEX('Aub Demand'!Q:Q,MATCH($O131,'Aub Demand'!$A:$A,0))-IF(AN131="",0,AN131)+AP132,INDEX('Aub Demand'!Q:Q,MATCH($O131,'Aub Demand'!$A:$A,0))-IF(AN131="",0,AN131)),"")</f>
        <v>237</v>
      </c>
      <c r="V131" s="53">
        <f t="shared" ref="V131:V194" si="58">IFERROR(IF(O131="","",ROUND(U131/((Z131/30)*7),1)),"n/a")</f>
        <v>10.4</v>
      </c>
      <c r="W131" s="52" t="str">
        <f t="shared" ref="W131:W194" si="59">IF(IFERROR(IF(V131&lt;3.1,IF(AA131="spike",(3-V131)*(Z131/4),(3-V131)*(AA131/4)),""),"")&lt;0,0,IFERROR(IF(V131&lt;3.1,IF(AA131="spike",(3-V131)*(Z131/4),(3-V131)*(AA131/4)),""),""))</f>
        <v/>
      </c>
      <c r="X131" s="52">
        <f>IFERROR(IF(AND(AR132=AR131,AM131&lt;&gt;""),INDEX('Aub Demand'!Q:Q,MATCH($O131,'Aub Demand'!$A:$A,0))-IF(AN131="",0,AN131)+AP132+AD131+AL131,IF(AR132=AR131,INDEX('Aub Demand'!Q:Q,MATCH($O131,'Aub Demand'!$A:$A,0))-IF(AN131="",0,AN131)+AP132+AD131,IF(AM131&lt;&gt;"",INDEX('Aub Demand'!Q:Q,MATCH($O131,'Aub Demand'!$A:$A,0))-IF(AN131="",0,AN131)+AD131+AL131,INDEX('Aub Demand'!Q:Q,MATCH($O131,'Aub Demand'!$A:$A,0))-IF(AN131="",0,AN131)+AD131))),"")</f>
        <v>237</v>
      </c>
      <c r="Y131" s="53">
        <f t="shared" ref="Y131:Y194" si="60">IFERROR(IF(O131="","",ROUND(X131/((Z131/30)*7),1)),"n/a")</f>
        <v>10.4</v>
      </c>
      <c r="Z131" s="52">
        <f>IF(L131="","",INDEX('Aub Demand'!H:H,MATCH($O131,'Aub Demand'!$A:$A,0)))</f>
        <v>98</v>
      </c>
      <c r="AA131" s="52">
        <f t="shared" ref="AA131:AA194" si="61">IF(L131="","",IF(LARGE(I131:L131,2)=0,"-spike-",AVERAGE(LARGE(I131:L131,1),LARGE(I131:L131,2))))</f>
        <v>128</v>
      </c>
      <c r="AB131" s="52">
        <f>IFERROR(INDEX('Aub Demand'!L:L,MATCH($O131,'Aub Demand'!$A:$A,0)),"")</f>
        <v>167</v>
      </c>
      <c r="AC131" s="52">
        <f>IFERROR(IF(O131="","",SUMIFS('CPL Mats'!F:F,'CPL Mats'!Q:Q,AR131,'CPL Mats'!S:S,AS131)),"")</f>
        <v>0</v>
      </c>
      <c r="AF131" s="25">
        <f>IF(SUMIFS('Supp Consol'!S:S,'Supp Consol'!Y:Y,"Releasable",'Supp Consol'!A:A,O131)=0,"",SUMIFS('Supp Consol'!S:S,'Supp Consol'!Y:Y,"Releasable",'Supp Consol'!A:A,O131))</f>
        <v>3075</v>
      </c>
      <c r="AG131" s="25">
        <f>IFERROR(INDEX('Hun Demand'!Q:Q,MATCH(O131,'Hun Demand'!A:A,0)),"")</f>
        <v>182</v>
      </c>
      <c r="AH131" s="25">
        <f>IFERROR(INDEX('Hun Demand'!H:H,MATCH($O131,'Hun Demand'!$A:$A,0)),"")</f>
        <v>162</v>
      </c>
      <c r="AI131" s="25" t="str">
        <f>IF(SUMIFS('Supp Consol'!AA:AA,'Supp Consol'!Z:Z,"Expires this month",'Supp Consol'!A:A,O131)=0,"",SUMIFS('Supp Consol'!AA:AA,'Supp Consol'!Z:Z,"Expires this month",'Supp Consol'!A:A,O131))</f>
        <v/>
      </c>
      <c r="AJ131" s="25" t="str">
        <f>IF(SUMIFS('Supp Consol'!AA:AA,'Supp Consol'!Z:Z,"Expired Previous Months",'Supp Consol'!A:A,O131)=0,"",SUMIFS('Supp Consol'!AA:AA,'Supp Consol'!Z:Z,"Expired Previous Months",'Supp Consol'!A:A,O131))</f>
        <v/>
      </c>
      <c r="AK131" s="25" t="str">
        <f>IFERROR(INDEX('Hun Release Current'!B:B,MATCH(O131,'Hun Release Current'!A:A,0)),"")</f>
        <v/>
      </c>
      <c r="AL131" s="25" t="str">
        <f>IF(SUMIF('Prev Aub'!A:A,O131,'Prev Aub'!B:B)=0,"",SUMIF('Prev Aub'!A:A,O131,'Prev Aub'!B:B))</f>
        <v/>
      </c>
      <c r="AN131" s="25" t="s">
        <v>3790</v>
      </c>
      <c r="AO131" s="25" t="s">
        <v>3790</v>
      </c>
      <c r="AP131" s="25">
        <f t="shared" ref="AP131:AP194" si="62">IFERROR(IF(O131="","",IF(AN131="",0,VALUE(AN131)-(VALUE(AN131)*0.2))),"")</f>
        <v>0</v>
      </c>
      <c r="AQ131" s="151" t="str">
        <f>IF(SUMIFS('Supp Consol'!S:S,'Supp Consol'!A:A,O131,'Supp Consol'!I:I,"PENDING")=0,"",SUMIFS('Supp Consol'!S:S,'Supp Consol'!A:A,O131,'Supp Consol'!I:I,"PENDING"))</f>
        <v/>
      </c>
      <c r="AR131" s="27" t="str">
        <f t="shared" ref="AR131:AR194" si="63">MID(O131,4,5)</f>
        <v>AE100</v>
      </c>
      <c r="AS131" s="27" t="str">
        <f t="shared" ref="AS131:AS194" si="64">MID(O131,10,2)</f>
        <v>50</v>
      </c>
      <c r="AT131" s="27" t="str">
        <f t="shared" ref="AT131:AT194" si="65">IF(S131&lt;3.1,AR131,"")</f>
        <v/>
      </c>
      <c r="AU131" s="27" t="str">
        <f t="shared" ref="AU131:AU194" si="66">IF(Y131&lt;3.1,AR131,"")</f>
        <v/>
      </c>
      <c r="AV131" s="27" t="str">
        <f t="shared" ref="AV131:AV194" si="67">IF(AND(AA131="Spike",L131=0,K131=0,X131&gt;=0),"",IF(Y131&lt;3.1,AR131,""))</f>
        <v/>
      </c>
      <c r="AW131" s="27" t="str">
        <f t="shared" ref="AW131:AW194" si="68">IF(AI131=AL131,"",IF(OR(AI131&lt;&gt;"",AJ131&lt;&gt;""),AR131,""))</f>
        <v/>
      </c>
      <c r="AX131" s="27" t="str">
        <f t="shared" ref="AX131:AX194" si="69">IF(AF131&lt;&gt;"",AR131,"")</f>
        <v>AE100</v>
      </c>
      <c r="AY131" s="27" t="str">
        <f t="shared" ref="AY131:AY194" si="70">IF(AND(AG131&lt;&gt;"",AG131&gt;AH131),AR131,"")</f>
        <v>AE100</v>
      </c>
      <c r="AZ131" s="27" t="str">
        <f t="shared" ref="AZ131:AZ194" si="71">IFERROR(IF(O131="","",IF(ISERROR(MATCH(AR131,AX:AX,0)),"","Supp")),"")</f>
        <v>Supp</v>
      </c>
      <c r="BA131" s="27" t="str">
        <f t="shared" ref="BA131:BA194" si="72">IFERROR(IF(O131="","",IF(ISERROR(MATCH(AR131,AY:AY,0)),"","Hun")),"")</f>
        <v>Hun</v>
      </c>
      <c r="BB131" s="27" t="str">
        <f t="shared" ref="BB131:BB194" si="73">IFERROR(IF(O131="","",IF(ISERROR(MATCH(AR131,AT:AT,0)),"","Gross")),"")</f>
        <v/>
      </c>
      <c r="BC131" s="27" t="str">
        <f t="shared" ref="BC131:BC194" si="74">IFERROR(IF(O131="","",IF(ISERROR(MATCH(AR131,AU:AU,0)),"","Net")),"")</f>
        <v/>
      </c>
      <c r="BD131" s="27" t="str">
        <f t="shared" ref="BD131:BD194" si="75">IFERROR(IF(O131="","",IF(ISERROR(MATCH(AR131,AV:AV,0)),"","Net")),"")</f>
        <v/>
      </c>
      <c r="BE131" s="27" t="str">
        <f t="shared" ref="BE131:BE194" si="76">IFERROR(IF(O131="","",IF(ISERROR(MATCH(AR131,AW:AW,0)),"","Exp")),"")</f>
        <v/>
      </c>
      <c r="BF131" s="27" t="str">
        <f t="shared" ref="BF131:BF194" si="77">IFERROR(IF(O131="","",IF(AND(AZ131="Supp",BC131="Net"),"S+N","")),"")</f>
        <v/>
      </c>
      <c r="BG131" s="27" t="str">
        <f t="shared" ref="BG131:BG194" si="78">IFERROR(IF(O131="","",IF(OR(BE131&lt;&gt;"",BF131&lt;&gt;""),"S+NorE","")),"")</f>
        <v/>
      </c>
      <c r="BH131" s="27" t="str">
        <f t="shared" ref="BH131:BH194" si="79">IFERROR(IF(O131="","",IF(AND(BA131&lt;&gt;"",BC131&lt;&gt;""),"H+N","")),"")</f>
        <v/>
      </c>
      <c r="BI131" s="27" t="str">
        <f t="shared" ref="BI131:BI194" si="80">IFERROR(IF(O131="","",IF(AND(BA131&lt;&gt;"",BD131&lt;&gt;""),"H+Nex","")),"")</f>
        <v/>
      </c>
      <c r="BJ131" s="27" t="str">
        <f t="shared" ref="BJ131:BJ194" si="81">IF(OR(AZ131&lt;&gt;"",BA131&lt;&gt;""),"Supp or Hun","")</f>
        <v>Supp or Hun</v>
      </c>
      <c r="BK131" s="27" t="str">
        <f t="shared" ref="BK131:BK194" si="82">IF(AND(BJ131&lt;&gt;"",BC131&lt;&gt;""),"Supp or Hun Need","")</f>
        <v/>
      </c>
      <c r="BL131" s="27" t="str">
        <f t="shared" ref="BL131:BL194" si="83">IF(OR(BK131&lt;&gt;"",BE131&lt;&gt;""),"SorHandNandE","")</f>
        <v/>
      </c>
      <c r="BM131" s="21" t="s">
        <v>5581</v>
      </c>
    </row>
    <row r="132" spans="1:65" ht="15">
      <c r="A132" s="25">
        <f>IFERROR(INDEX('Hun Demand'!W:W,MATCH(O132,'Hun Demand'!A:A,0)),"")</f>
        <v>484</v>
      </c>
      <c r="B132" s="25">
        <f>IFERROR(INDEX('Hun Demand'!V:V,MATCH(O132,'Hun Demand'!A:A,0)),"")</f>
        <v>742</v>
      </c>
      <c r="C132" s="25">
        <f>IFERROR(INDEX('Hun Demand'!U:U,MATCH(O132,'Hun Demand'!A:A,0)),"")</f>
        <v>0</v>
      </c>
      <c r="D132" s="25">
        <f>IFERROR(INDEX('Hun Demand'!T:T,MATCH(O132,'Hun Demand'!A:A,0)),"")</f>
        <v>0</v>
      </c>
      <c r="E132" s="25">
        <f>IFERROR(INDEX('Hun Demand'!S:S,MATCH(O132,'Hun Demand'!A:A,0)),"")</f>
        <v>0</v>
      </c>
      <c r="F132" s="25">
        <f>IFERROR(INDEX('Hun Demand'!R:R,MATCH(O132,'Hun Demand'!A:A,0)),"")</f>
        <v>0</v>
      </c>
      <c r="G132" s="25">
        <f>IFERROR(INDEX('Aub Demand'!W:W,MATCH(O132,'Aub Demand'!A:A,0)),"")</f>
        <v>6</v>
      </c>
      <c r="H132" s="25">
        <f>IFERROR(INDEX('Aub Demand'!V:V,MATCH(O132,'Aub Demand'!A:A,0)),"")</f>
        <v>81</v>
      </c>
      <c r="I132" s="25">
        <f>IFERROR(INDEX('Aub Demand'!U:U,MATCH(O132,'Aub Demand'!A:A,0)),"")</f>
        <v>21</v>
      </c>
      <c r="J132" s="25">
        <f>IFERROR(INDEX('Aub Demand'!T:T,MATCH(O132,'Aub Demand'!A:A,0)),"")</f>
        <v>44</v>
      </c>
      <c r="K132" s="25">
        <f>IFERROR(INDEX('Aub Demand'!S:S,MATCH(O132,'Aub Demand'!A:A,0)),"")</f>
        <v>310</v>
      </c>
      <c r="L132" s="25">
        <f>IFERROR(INDEX('Aub Demand'!R:R,MATCH(O132,'Aub Demand'!A:A,0)),"")</f>
        <v>0</v>
      </c>
      <c r="O132" s="27" t="s">
        <v>303</v>
      </c>
      <c r="P132" s="27" t="str">
        <f>IFERROR(INDEX('Aub Demand'!B:B,MATCH($O132,'Aub Demand'!$A:$A,0)),"")</f>
        <v>LITTLE BLACK DRESS</v>
      </c>
      <c r="Q132" s="27" t="str">
        <f>IFERROR(INDEX('Aub Demand'!C:C,MATCH($O132,'Aub Demand'!$A:$A,0)),"")</f>
        <v>INTER</v>
      </c>
      <c r="R132" s="52">
        <f>IFERROR(IF(AR133=AR132,INDEX('Aub Demand'!K:K,MATCH($O132,'Aub Demand'!$A:$A,0))-IF(AN132="",0,AN132)+AP133,INDEX('Aub Demand'!K:K,MATCH($O132,'Aub Demand'!$A:$A,0))-IF(AN132="",0,AN132)),"")</f>
        <v>165</v>
      </c>
      <c r="S132" s="53">
        <f t="shared" si="56"/>
        <v>5.7</v>
      </c>
      <c r="T132" s="52" t="str">
        <f t="shared" si="57"/>
        <v/>
      </c>
      <c r="U132" s="52">
        <f>IFERROR(IF(AR133=AR132,INDEX('Aub Demand'!Q:Q,MATCH($O132,'Aub Demand'!$A:$A,0))-IF(AN132="",0,AN132)+AP133,INDEX('Aub Demand'!Q:Q,MATCH($O132,'Aub Demand'!$A:$A,0))-IF(AN132="",0,AN132)),"")</f>
        <v>123</v>
      </c>
      <c r="V132" s="53">
        <f t="shared" si="58"/>
        <v>4.2</v>
      </c>
      <c r="W132" s="52" t="str">
        <f t="shared" si="59"/>
        <v/>
      </c>
      <c r="X132" s="52">
        <f>IFERROR(IF(AND(AR133=AR132,AM132&lt;&gt;""),INDEX('Aub Demand'!Q:Q,MATCH($O132,'Aub Demand'!$A:$A,0))-IF(AN132="",0,AN132)+AP133+AD132+AL132,IF(AR133=AR132,INDEX('Aub Demand'!Q:Q,MATCH($O132,'Aub Demand'!$A:$A,0))-IF(AN132="",0,AN132)+AP133+AD132,IF(AM132&lt;&gt;"",INDEX('Aub Demand'!Q:Q,MATCH($O132,'Aub Demand'!$A:$A,0))-IF(AN132="",0,AN132)+AD132+AL132,INDEX('Aub Demand'!Q:Q,MATCH($O132,'Aub Demand'!$A:$A,0))-IF(AN132="",0,AN132)+AD132))),"")</f>
        <v>123</v>
      </c>
      <c r="Y132" s="53">
        <f t="shared" si="60"/>
        <v>4.2</v>
      </c>
      <c r="Z132" s="52">
        <f>IF(L132="","",INDEX('Aub Demand'!H:H,MATCH($O132,'Aub Demand'!$A:$A,0)))</f>
        <v>125</v>
      </c>
      <c r="AA132" s="52">
        <f t="shared" si="61"/>
        <v>177</v>
      </c>
      <c r="AB132" s="52">
        <f>IFERROR(INDEX('Aub Demand'!L:L,MATCH($O132,'Aub Demand'!$A:$A,0)),"")</f>
        <v>48</v>
      </c>
      <c r="AC132" s="52">
        <f>IFERROR(IF(O132="","",SUMIFS('CPL Mats'!F:F,'CPL Mats'!Q:Q,AR132,'CPL Mats'!S:S,AS132)),"")</f>
        <v>0</v>
      </c>
      <c r="AF132" s="25">
        <f>IF(SUMIFS('Supp Consol'!S:S,'Supp Consol'!Y:Y,"Releasable",'Supp Consol'!A:A,O132)=0,"",SUMIFS('Supp Consol'!S:S,'Supp Consol'!Y:Y,"Releasable",'Supp Consol'!A:A,O132))</f>
        <v>1311</v>
      </c>
      <c r="AG132" s="25">
        <f>IFERROR(INDEX('Hun Demand'!Q:Q,MATCH(O132,'Hun Demand'!A:A,0)),"")</f>
        <v>596</v>
      </c>
      <c r="AH132" s="25">
        <f>IFERROR(INDEX('Hun Demand'!H:H,MATCH($O132,'Hun Demand'!$A:$A,0)),"")</f>
        <v>0</v>
      </c>
      <c r="AI132" s="25" t="str">
        <f>IF(SUMIFS('Supp Consol'!AA:AA,'Supp Consol'!Z:Z,"Expires this month",'Supp Consol'!A:A,O132)=0,"",SUMIFS('Supp Consol'!AA:AA,'Supp Consol'!Z:Z,"Expires this month",'Supp Consol'!A:A,O132))</f>
        <v/>
      </c>
      <c r="AJ132" s="25" t="str">
        <f>IF(SUMIFS('Supp Consol'!AA:AA,'Supp Consol'!Z:Z,"Expired Previous Months",'Supp Consol'!A:A,O132)=0,"",SUMIFS('Supp Consol'!AA:AA,'Supp Consol'!Z:Z,"Expired Previous Months",'Supp Consol'!A:A,O132))</f>
        <v/>
      </c>
      <c r="AK132" s="25" t="str">
        <f>IFERROR(INDEX('Hun Release Current'!B:B,MATCH(O132,'Hun Release Current'!A:A,0)),"")</f>
        <v/>
      </c>
      <c r="AL132" s="25" t="str">
        <f>IF(SUMIF('Prev Aub'!A:A,O132,'Prev Aub'!B:B)=0,"",SUMIF('Prev Aub'!A:A,O132,'Prev Aub'!B:B))</f>
        <v/>
      </c>
      <c r="AN132" s="25" t="s">
        <v>3790</v>
      </c>
      <c r="AO132" s="25" t="s">
        <v>3790</v>
      </c>
      <c r="AP132" s="25">
        <f t="shared" si="62"/>
        <v>0</v>
      </c>
      <c r="AQ132" s="151" t="str">
        <f>IF(SUMIFS('Supp Consol'!S:S,'Supp Consol'!A:A,O132,'Supp Consol'!I:I,"PENDING")=0,"",SUMIFS('Supp Consol'!S:S,'Supp Consol'!A:A,O132,'Supp Consol'!I:I,"PENDING"))</f>
        <v/>
      </c>
      <c r="AR132" s="27" t="str">
        <f t="shared" si="63"/>
        <v>AE100</v>
      </c>
      <c r="AS132" s="27" t="str">
        <f t="shared" si="64"/>
        <v>62</v>
      </c>
      <c r="AT132" s="27" t="str">
        <f t="shared" si="65"/>
        <v/>
      </c>
      <c r="AU132" s="27" t="str">
        <f t="shared" si="66"/>
        <v/>
      </c>
      <c r="AV132" s="27" t="str">
        <f t="shared" si="67"/>
        <v/>
      </c>
      <c r="AW132" s="27" t="str">
        <f t="shared" si="68"/>
        <v/>
      </c>
      <c r="AX132" s="27" t="str">
        <f t="shared" si="69"/>
        <v>AE100</v>
      </c>
      <c r="AY132" s="27" t="str">
        <f t="shared" si="70"/>
        <v>AE100</v>
      </c>
      <c r="AZ132" s="27" t="str">
        <f t="shared" si="71"/>
        <v>Supp</v>
      </c>
      <c r="BA132" s="27" t="str">
        <f t="shared" si="72"/>
        <v>Hun</v>
      </c>
      <c r="BB132" s="27" t="str">
        <f t="shared" si="73"/>
        <v/>
      </c>
      <c r="BC132" s="27" t="str">
        <f t="shared" si="74"/>
        <v/>
      </c>
      <c r="BD132" s="27" t="str">
        <f t="shared" si="75"/>
        <v/>
      </c>
      <c r="BE132" s="27" t="str">
        <f t="shared" si="76"/>
        <v/>
      </c>
      <c r="BF132" s="27" t="str">
        <f t="shared" si="77"/>
        <v/>
      </c>
      <c r="BG132" s="27" t="str">
        <f t="shared" si="78"/>
        <v/>
      </c>
      <c r="BH132" s="27" t="str">
        <f t="shared" si="79"/>
        <v/>
      </c>
      <c r="BI132" s="27" t="str">
        <f t="shared" si="80"/>
        <v/>
      </c>
      <c r="BJ132" s="27" t="str">
        <f t="shared" si="81"/>
        <v>Supp or Hun</v>
      </c>
      <c r="BK132" s="27" t="str">
        <f t="shared" si="82"/>
        <v/>
      </c>
      <c r="BL132" s="27" t="str">
        <f t="shared" si="83"/>
        <v/>
      </c>
      <c r="BM132" s="21" t="s">
        <v>5581</v>
      </c>
    </row>
    <row r="133" spans="1:65" ht="15">
      <c r="A133" s="25" t="str">
        <f>IFERROR(INDEX('Hun Demand'!W:W,MATCH(O133,'Hun Demand'!A:A,0)),"")</f>
        <v/>
      </c>
      <c r="B133" s="25" t="str">
        <f>IFERROR(INDEX('Hun Demand'!V:V,MATCH(O133,'Hun Demand'!A:A,0)),"")</f>
        <v/>
      </c>
      <c r="C133" s="25" t="str">
        <f>IFERROR(INDEX('Hun Demand'!U:U,MATCH(O133,'Hun Demand'!A:A,0)),"")</f>
        <v/>
      </c>
      <c r="D133" s="25" t="str">
        <f>IFERROR(INDEX('Hun Demand'!T:T,MATCH(O133,'Hun Demand'!A:A,0)),"")</f>
        <v/>
      </c>
      <c r="E133" s="25" t="str">
        <f>IFERROR(INDEX('Hun Demand'!S:S,MATCH(O133,'Hun Demand'!A:A,0)),"")</f>
        <v/>
      </c>
      <c r="F133" s="25" t="str">
        <f>IFERROR(INDEX('Hun Demand'!R:R,MATCH(O133,'Hun Demand'!A:A,0)),"")</f>
        <v/>
      </c>
      <c r="G133" s="25">
        <f>IFERROR(INDEX('Aub Demand'!W:W,MATCH(O133,'Aub Demand'!A:A,0)),"")</f>
        <v>10</v>
      </c>
      <c r="H133" s="25">
        <f>IFERROR(INDEX('Aub Demand'!V:V,MATCH(O133,'Aub Demand'!A:A,0)),"")</f>
        <v>12</v>
      </c>
      <c r="I133" s="25">
        <f>IFERROR(INDEX('Aub Demand'!U:U,MATCH(O133,'Aub Demand'!A:A,0)),"")</f>
        <v>2</v>
      </c>
      <c r="J133" s="25">
        <f>IFERROR(INDEX('Aub Demand'!T:T,MATCH(O133,'Aub Demand'!A:A,0)),"")</f>
        <v>0</v>
      </c>
      <c r="K133" s="25">
        <f>IFERROR(INDEX('Aub Demand'!S:S,MATCH(O133,'Aub Demand'!A:A,0)),"")</f>
        <v>8</v>
      </c>
      <c r="L133" s="25">
        <f>IFERROR(INDEX('Aub Demand'!R:R,MATCH(O133,'Aub Demand'!A:A,0)),"")</f>
        <v>0</v>
      </c>
      <c r="O133" s="27" t="s">
        <v>304</v>
      </c>
      <c r="P133" s="27" t="str">
        <f>IFERROR(INDEX('Aub Demand'!B:B,MATCH($O133,'Aub Demand'!$A:$A,0)),"")</f>
        <v>ESTELLA</v>
      </c>
      <c r="Q133" s="27" t="str">
        <f>IFERROR(INDEX('Aub Demand'!C:C,MATCH($O133,'Aub Demand'!$A:$A,0)),"")</f>
        <v>INTER</v>
      </c>
      <c r="R133" s="52">
        <f>IFERROR(IF(AR134=AR133,INDEX('Aub Demand'!K:K,MATCH($O133,'Aub Demand'!$A:$A,0))-IF(AN133="",0,AN133)+AP134,INDEX('Aub Demand'!K:K,MATCH($O133,'Aub Demand'!$A:$A,0))-IF(AN133="",0,AN133)),"")</f>
        <v>353</v>
      </c>
      <c r="S133" s="53">
        <f t="shared" si="56"/>
        <v>504.3</v>
      </c>
      <c r="T133" s="52" t="str">
        <f t="shared" si="57"/>
        <v/>
      </c>
      <c r="U133" s="52">
        <f>IFERROR(IF(AR134=AR133,INDEX('Aub Demand'!Q:Q,MATCH($O133,'Aub Demand'!$A:$A,0))-IF(AN133="",0,AN133)+AP134,INDEX('Aub Demand'!Q:Q,MATCH($O133,'Aub Demand'!$A:$A,0))-IF(AN133="",0,AN133)),"")</f>
        <v>340</v>
      </c>
      <c r="V133" s="53">
        <f t="shared" si="58"/>
        <v>485.7</v>
      </c>
      <c r="W133" s="52" t="str">
        <f t="shared" si="59"/>
        <v/>
      </c>
      <c r="X133" s="52">
        <f>IFERROR(IF(AND(AR134=AR133,AM133&lt;&gt;""),INDEX('Aub Demand'!Q:Q,MATCH($O133,'Aub Demand'!$A:$A,0))-IF(AN133="",0,AN133)+AP134+AD133+AL133,IF(AR134=AR133,INDEX('Aub Demand'!Q:Q,MATCH($O133,'Aub Demand'!$A:$A,0))-IF(AN133="",0,AN133)+AP134+AD133,IF(AM133&lt;&gt;"",INDEX('Aub Demand'!Q:Q,MATCH($O133,'Aub Demand'!$A:$A,0))-IF(AN133="",0,AN133)+AD133+AL133,INDEX('Aub Demand'!Q:Q,MATCH($O133,'Aub Demand'!$A:$A,0))-IF(AN133="",0,AN133)+AD133))),"")</f>
        <v>340</v>
      </c>
      <c r="Y133" s="53">
        <f t="shared" si="60"/>
        <v>485.7</v>
      </c>
      <c r="Z133" s="52">
        <f>IF(L133="","",INDEX('Aub Demand'!H:H,MATCH($O133,'Aub Demand'!$A:$A,0)))</f>
        <v>3</v>
      </c>
      <c r="AA133" s="52">
        <f t="shared" si="61"/>
        <v>5</v>
      </c>
      <c r="AB133" s="52">
        <f>IFERROR(INDEX('Aub Demand'!L:L,MATCH($O133,'Aub Demand'!$A:$A,0)),"")</f>
        <v>3</v>
      </c>
      <c r="AC133" s="52">
        <f>IFERROR(IF(O133="","",SUMIFS('CPL Mats'!F:F,'CPL Mats'!Q:Q,AR133,'CPL Mats'!S:S,AS133)),"")</f>
        <v>0</v>
      </c>
      <c r="AF133" s="25">
        <f>IF(SUMIFS('Supp Consol'!S:S,'Supp Consol'!Y:Y,"Releasable",'Supp Consol'!A:A,O133)=0,"",SUMIFS('Supp Consol'!S:S,'Supp Consol'!Y:Y,"Releasable",'Supp Consol'!A:A,O133))</f>
        <v>372</v>
      </c>
      <c r="AG133" s="25" t="str">
        <f>IFERROR(INDEX('Hun Demand'!Q:Q,MATCH(O133,'Hun Demand'!A:A,0)),"")</f>
        <v/>
      </c>
      <c r="AH133" s="25" t="str">
        <f>IFERROR(INDEX('Hun Demand'!H:H,MATCH($O133,'Hun Demand'!$A:$A,0)),"")</f>
        <v/>
      </c>
      <c r="AI133" s="25" t="str">
        <f>IF(SUMIFS('Supp Consol'!AA:AA,'Supp Consol'!Z:Z,"Expires this month",'Supp Consol'!A:A,O133)=0,"",SUMIFS('Supp Consol'!AA:AA,'Supp Consol'!Z:Z,"Expires this month",'Supp Consol'!A:A,O133))</f>
        <v/>
      </c>
      <c r="AJ133" s="25" t="str">
        <f>IF(SUMIFS('Supp Consol'!AA:AA,'Supp Consol'!Z:Z,"Expired Previous Months",'Supp Consol'!A:A,O133)=0,"",SUMIFS('Supp Consol'!AA:AA,'Supp Consol'!Z:Z,"Expired Previous Months",'Supp Consol'!A:A,O133))</f>
        <v/>
      </c>
      <c r="AK133" s="25" t="str">
        <f>IFERROR(INDEX('Hun Release Current'!B:B,MATCH(O133,'Hun Release Current'!A:A,0)),"")</f>
        <v/>
      </c>
      <c r="AL133" s="25" t="str">
        <f>IF(SUMIF('Prev Aub'!A:A,O133,'Prev Aub'!B:B)=0,"",SUMIF('Prev Aub'!A:A,O133,'Prev Aub'!B:B))</f>
        <v/>
      </c>
      <c r="AN133" s="25" t="s">
        <v>3790</v>
      </c>
      <c r="AO133" s="25" t="s">
        <v>3790</v>
      </c>
      <c r="AP133" s="25">
        <f t="shared" si="62"/>
        <v>0</v>
      </c>
      <c r="AQ133" s="151" t="str">
        <f>IF(SUMIFS('Supp Consol'!S:S,'Supp Consol'!A:A,O133,'Supp Consol'!I:I,"PENDING")=0,"",SUMIFS('Supp Consol'!S:S,'Supp Consol'!A:A,O133,'Supp Consol'!I:I,"PENDING"))</f>
        <v/>
      </c>
      <c r="AR133" s="27" t="str">
        <f t="shared" si="63"/>
        <v>AG011</v>
      </c>
      <c r="AS133" s="27" t="str">
        <f t="shared" si="64"/>
        <v>50</v>
      </c>
      <c r="AT133" s="27" t="str">
        <f t="shared" si="65"/>
        <v/>
      </c>
      <c r="AU133" s="27" t="str">
        <f t="shared" si="66"/>
        <v/>
      </c>
      <c r="AV133" s="27" t="str">
        <f t="shared" si="67"/>
        <v/>
      </c>
      <c r="AW133" s="27" t="str">
        <f t="shared" si="68"/>
        <v/>
      </c>
      <c r="AX133" s="27" t="str">
        <f t="shared" si="69"/>
        <v>AG011</v>
      </c>
      <c r="AY133" s="27" t="str">
        <f t="shared" si="70"/>
        <v/>
      </c>
      <c r="AZ133" s="27" t="str">
        <f t="shared" si="71"/>
        <v>Supp</v>
      </c>
      <c r="BA133" s="27" t="str">
        <f t="shared" si="72"/>
        <v/>
      </c>
      <c r="BB133" s="27" t="str">
        <f t="shared" si="73"/>
        <v/>
      </c>
      <c r="BC133" s="27" t="str">
        <f t="shared" si="74"/>
        <v/>
      </c>
      <c r="BD133" s="27" t="str">
        <f t="shared" si="75"/>
        <v/>
      </c>
      <c r="BE133" s="27" t="str">
        <f t="shared" si="76"/>
        <v/>
      </c>
      <c r="BF133" s="27" t="str">
        <f t="shared" si="77"/>
        <v/>
      </c>
      <c r="BG133" s="27" t="str">
        <f t="shared" si="78"/>
        <v/>
      </c>
      <c r="BH133" s="27" t="str">
        <f t="shared" si="79"/>
        <v/>
      </c>
      <c r="BI133" s="27" t="str">
        <f t="shared" si="80"/>
        <v/>
      </c>
      <c r="BJ133" s="27" t="str">
        <f t="shared" si="81"/>
        <v>Supp or Hun</v>
      </c>
      <c r="BK133" s="27" t="str">
        <f t="shared" si="82"/>
        <v/>
      </c>
      <c r="BL133" s="27" t="str">
        <f t="shared" si="83"/>
        <v/>
      </c>
      <c r="BM133" s="21" t="s">
        <v>5581</v>
      </c>
    </row>
    <row r="134" spans="1:65" ht="15">
      <c r="A134" s="25" t="str">
        <f>IFERROR(INDEX('Hun Demand'!W:W,MATCH(O134,'Hun Demand'!A:A,0)),"")</f>
        <v/>
      </c>
      <c r="B134" s="25" t="str">
        <f>IFERROR(INDEX('Hun Demand'!V:V,MATCH(O134,'Hun Demand'!A:A,0)),"")</f>
        <v/>
      </c>
      <c r="C134" s="25" t="str">
        <f>IFERROR(INDEX('Hun Demand'!U:U,MATCH(O134,'Hun Demand'!A:A,0)),"")</f>
        <v/>
      </c>
      <c r="D134" s="25" t="str">
        <f>IFERROR(INDEX('Hun Demand'!T:T,MATCH(O134,'Hun Demand'!A:A,0)),"")</f>
        <v/>
      </c>
      <c r="E134" s="25" t="str">
        <f>IFERROR(INDEX('Hun Demand'!S:S,MATCH(O134,'Hun Demand'!A:A,0)),"")</f>
        <v/>
      </c>
      <c r="F134" s="25" t="str">
        <f>IFERROR(INDEX('Hun Demand'!R:R,MATCH(O134,'Hun Demand'!A:A,0)),"")</f>
        <v/>
      </c>
      <c r="G134" s="25">
        <f>IFERROR(INDEX('Aub Demand'!W:W,MATCH(O134,'Aub Demand'!A:A,0)),"")</f>
        <v>64</v>
      </c>
      <c r="H134" s="25">
        <f>IFERROR(INDEX('Aub Demand'!V:V,MATCH(O134,'Aub Demand'!A:A,0)),"")</f>
        <v>100</v>
      </c>
      <c r="I134" s="25">
        <f>IFERROR(INDEX('Aub Demand'!U:U,MATCH(O134,'Aub Demand'!A:A,0)),"")</f>
        <v>0</v>
      </c>
      <c r="J134" s="25">
        <f>IFERROR(INDEX('Aub Demand'!T:T,MATCH(O134,'Aub Demand'!A:A,0)),"")</f>
        <v>10</v>
      </c>
      <c r="K134" s="25">
        <f>IFERROR(INDEX('Aub Demand'!S:S,MATCH(O134,'Aub Demand'!A:A,0)),"")</f>
        <v>0</v>
      </c>
      <c r="L134" s="25">
        <f>IFERROR(INDEX('Aub Demand'!R:R,MATCH(O134,'Aub Demand'!A:A,0)),"")</f>
        <v>0</v>
      </c>
      <c r="O134" s="27" t="s">
        <v>307</v>
      </c>
      <c r="P134" s="27" t="str">
        <f>IFERROR(INDEX('Aub Demand'!B:B,MATCH($O134,'Aub Demand'!$A:$A,0)),"")</f>
        <v>ESTELLA</v>
      </c>
      <c r="Q134" s="27" t="str">
        <f>IFERROR(INDEX('Aub Demand'!C:C,MATCH($O134,'Aub Demand'!$A:$A,0)),"")</f>
        <v>INTER</v>
      </c>
      <c r="R134" s="52">
        <f>IFERROR(IF(AR135=AR134,INDEX('Aub Demand'!K:K,MATCH($O134,'Aub Demand'!$A:$A,0))-IF(AN134="",0,AN134)+AP135,INDEX('Aub Demand'!K:K,MATCH($O134,'Aub Demand'!$A:$A,0))-IF(AN134="",0,AN134)),"")</f>
        <v>1480</v>
      </c>
      <c r="S134" s="53">
        <f t="shared" si="56"/>
        <v>2114.3000000000002</v>
      </c>
      <c r="T134" s="52" t="str">
        <f t="shared" si="57"/>
        <v/>
      </c>
      <c r="U134" s="52">
        <f>IFERROR(IF(AR135=AR134,INDEX('Aub Demand'!Q:Q,MATCH($O134,'Aub Demand'!$A:$A,0))-IF(AN134="",0,AN134)+AP135,INDEX('Aub Demand'!Q:Q,MATCH($O134,'Aub Demand'!$A:$A,0))-IF(AN134="",0,AN134)),"")</f>
        <v>1438</v>
      </c>
      <c r="V134" s="53">
        <f t="shared" si="58"/>
        <v>2054.3000000000002</v>
      </c>
      <c r="W134" s="52" t="str">
        <f t="shared" si="59"/>
        <v/>
      </c>
      <c r="X134" s="52">
        <f>IFERROR(IF(AND(AR135=AR134,AM134&lt;&gt;""),INDEX('Aub Demand'!Q:Q,MATCH($O134,'Aub Demand'!$A:$A,0))-IF(AN134="",0,AN134)+AP135+AD134+AL134,IF(AR135=AR134,INDEX('Aub Demand'!Q:Q,MATCH($O134,'Aub Demand'!$A:$A,0))-IF(AN134="",0,AN134)+AP135+AD134,IF(AM134&lt;&gt;"",INDEX('Aub Demand'!Q:Q,MATCH($O134,'Aub Demand'!$A:$A,0))-IF(AN134="",0,AN134)+AD134+AL134,INDEX('Aub Demand'!Q:Q,MATCH($O134,'Aub Demand'!$A:$A,0))-IF(AN134="",0,AN134)+AD134))),"")</f>
        <v>1438</v>
      </c>
      <c r="Y134" s="53">
        <f t="shared" si="60"/>
        <v>2054.3000000000002</v>
      </c>
      <c r="Z134" s="52">
        <f>IF(L134="","",INDEX('Aub Demand'!H:H,MATCH($O134,'Aub Demand'!$A:$A,0)))</f>
        <v>3</v>
      </c>
      <c r="AA134" s="52" t="str">
        <f t="shared" si="61"/>
        <v>-spike-</v>
      </c>
      <c r="AB134" s="52">
        <f>IFERROR(INDEX('Aub Demand'!L:L,MATCH($O134,'Aub Demand'!$A:$A,0)),"")</f>
        <v>81</v>
      </c>
      <c r="AC134" s="52">
        <f>IFERROR(IF(O134="","",SUMIFS('CPL Mats'!F:F,'CPL Mats'!Q:Q,AR134,'CPL Mats'!S:S,AS134)),"")</f>
        <v>0</v>
      </c>
      <c r="AF134" s="25" t="str">
        <f>IF(SUMIFS('Supp Consol'!S:S,'Supp Consol'!Y:Y,"Releasable",'Supp Consol'!A:A,O134)=0,"",SUMIFS('Supp Consol'!S:S,'Supp Consol'!Y:Y,"Releasable",'Supp Consol'!A:A,O134))</f>
        <v/>
      </c>
      <c r="AG134" s="25" t="str">
        <f>IFERROR(INDEX('Hun Demand'!Q:Q,MATCH(O134,'Hun Demand'!A:A,0)),"")</f>
        <v/>
      </c>
      <c r="AH134" s="25" t="str">
        <f>IFERROR(INDEX('Hun Demand'!H:H,MATCH($O134,'Hun Demand'!$A:$A,0)),"")</f>
        <v/>
      </c>
      <c r="AI134" s="25" t="str">
        <f>IF(SUMIFS('Supp Consol'!AA:AA,'Supp Consol'!Z:Z,"Expires this month",'Supp Consol'!A:A,O134)=0,"",SUMIFS('Supp Consol'!AA:AA,'Supp Consol'!Z:Z,"Expires this month",'Supp Consol'!A:A,O134))</f>
        <v/>
      </c>
      <c r="AJ134" s="25" t="str">
        <f>IF(SUMIFS('Supp Consol'!AA:AA,'Supp Consol'!Z:Z,"Expired Previous Months",'Supp Consol'!A:A,O134)=0,"",SUMIFS('Supp Consol'!AA:AA,'Supp Consol'!Z:Z,"Expired Previous Months",'Supp Consol'!A:A,O134))</f>
        <v/>
      </c>
      <c r="AK134" s="25" t="str">
        <f>IFERROR(INDEX('Hun Release Current'!B:B,MATCH(O134,'Hun Release Current'!A:A,0)),"")</f>
        <v/>
      </c>
      <c r="AL134" s="25" t="str">
        <f>IF(SUMIF('Prev Aub'!A:A,O134,'Prev Aub'!B:B)=0,"",SUMIF('Prev Aub'!A:A,O134,'Prev Aub'!B:B))</f>
        <v/>
      </c>
      <c r="AN134" s="25" t="s">
        <v>3790</v>
      </c>
      <c r="AO134" s="25" t="s">
        <v>3790</v>
      </c>
      <c r="AP134" s="25">
        <f t="shared" si="62"/>
        <v>0</v>
      </c>
      <c r="AQ134" s="151" t="str">
        <f>IF(SUMIFS('Supp Consol'!S:S,'Supp Consol'!A:A,O134,'Supp Consol'!I:I,"PENDING")=0,"",SUMIFS('Supp Consol'!S:S,'Supp Consol'!A:A,O134,'Supp Consol'!I:I,"PENDING"))</f>
        <v/>
      </c>
      <c r="AR134" s="27" t="str">
        <f t="shared" si="63"/>
        <v>AG011</v>
      </c>
      <c r="AS134" s="27" t="str">
        <f t="shared" si="64"/>
        <v>62</v>
      </c>
      <c r="AT134" s="27" t="str">
        <f t="shared" si="65"/>
        <v/>
      </c>
      <c r="AU134" s="27" t="str">
        <f t="shared" si="66"/>
        <v/>
      </c>
      <c r="AV134" s="27" t="str">
        <f t="shared" si="67"/>
        <v/>
      </c>
      <c r="AW134" s="27" t="str">
        <f t="shared" si="68"/>
        <v/>
      </c>
      <c r="AX134" s="27" t="str">
        <f t="shared" si="69"/>
        <v/>
      </c>
      <c r="AY134" s="27" t="str">
        <f t="shared" si="70"/>
        <v/>
      </c>
      <c r="AZ134" s="27" t="str">
        <f t="shared" si="71"/>
        <v>Supp</v>
      </c>
      <c r="BA134" s="27" t="str">
        <f t="shared" si="72"/>
        <v/>
      </c>
      <c r="BB134" s="27" t="str">
        <f t="shared" si="73"/>
        <v/>
      </c>
      <c r="BC134" s="27" t="str">
        <f t="shared" si="74"/>
        <v/>
      </c>
      <c r="BD134" s="27" t="str">
        <f t="shared" si="75"/>
        <v/>
      </c>
      <c r="BE134" s="27" t="str">
        <f t="shared" si="76"/>
        <v/>
      </c>
      <c r="BF134" s="27" t="str">
        <f t="shared" si="77"/>
        <v/>
      </c>
      <c r="BG134" s="27" t="str">
        <f t="shared" si="78"/>
        <v/>
      </c>
      <c r="BH134" s="27" t="str">
        <f t="shared" si="79"/>
        <v/>
      </c>
      <c r="BI134" s="27" t="str">
        <f t="shared" si="80"/>
        <v/>
      </c>
      <c r="BJ134" s="27" t="str">
        <f t="shared" si="81"/>
        <v>Supp or Hun</v>
      </c>
      <c r="BK134" s="27" t="str">
        <f t="shared" si="82"/>
        <v/>
      </c>
      <c r="BL134" s="27" t="str">
        <f t="shared" si="83"/>
        <v/>
      </c>
      <c r="BM134" s="21" t="s">
        <v>5581</v>
      </c>
    </row>
    <row r="135" spans="1:65" ht="15">
      <c r="A135" s="25">
        <f>IFERROR(INDEX('Hun Demand'!W:W,MATCH(O135,'Hun Demand'!A:A,0)),"")</f>
        <v>0</v>
      </c>
      <c r="B135" s="25">
        <f>IFERROR(INDEX('Hun Demand'!V:V,MATCH(O135,'Hun Demand'!A:A,0)),"")</f>
        <v>0</v>
      </c>
      <c r="C135" s="25">
        <f>IFERROR(INDEX('Hun Demand'!U:U,MATCH(O135,'Hun Demand'!A:A,0)),"")</f>
        <v>280</v>
      </c>
      <c r="D135" s="25">
        <f>IFERROR(INDEX('Hun Demand'!T:T,MATCH(O135,'Hun Demand'!A:A,0)),"")</f>
        <v>0</v>
      </c>
      <c r="E135" s="25">
        <f>IFERROR(INDEX('Hun Demand'!S:S,MATCH(O135,'Hun Demand'!A:A,0)),"")</f>
        <v>0</v>
      </c>
      <c r="F135" s="25">
        <f>IFERROR(INDEX('Hun Demand'!R:R,MATCH(O135,'Hun Demand'!A:A,0)),"")</f>
        <v>0</v>
      </c>
      <c r="G135" s="25">
        <f>IFERROR(INDEX('Aub Demand'!W:W,MATCH(O135,'Aub Demand'!A:A,0)),"")</f>
        <v>1794</v>
      </c>
      <c r="H135" s="25">
        <f>IFERROR(INDEX('Aub Demand'!V:V,MATCH(O135,'Aub Demand'!A:A,0)),"")</f>
        <v>846</v>
      </c>
      <c r="I135" s="25">
        <f>IFERROR(INDEX('Aub Demand'!U:U,MATCH(O135,'Aub Demand'!A:A,0)),"")</f>
        <v>0</v>
      </c>
      <c r="J135" s="25">
        <f>IFERROR(INDEX('Aub Demand'!T:T,MATCH(O135,'Aub Demand'!A:A,0)),"")</f>
        <v>292</v>
      </c>
      <c r="K135" s="25">
        <f>IFERROR(INDEX('Aub Demand'!S:S,MATCH(O135,'Aub Demand'!A:A,0)),"")</f>
        <v>687</v>
      </c>
      <c r="L135" s="25">
        <f>IFERROR(INDEX('Aub Demand'!R:R,MATCH(O135,'Aub Demand'!A:A,0)),"")</f>
        <v>0</v>
      </c>
      <c r="O135" s="27" t="s">
        <v>308</v>
      </c>
      <c r="P135" s="27" t="str">
        <f>IFERROR(INDEX('Aub Demand'!B:B,MATCH($O135,'Aub Demand'!$A:$A,0)),"")</f>
        <v>SABLE</v>
      </c>
      <c r="Q135" s="27" t="str">
        <f>IFERROR(INDEX('Aub Demand'!C:C,MATCH($O135,'Aub Demand'!$A:$A,0)),"")</f>
        <v>INTER</v>
      </c>
      <c r="R135" s="52">
        <f>IFERROR(IF(AR136=AR135,INDEX('Aub Demand'!K:K,MATCH($O135,'Aub Demand'!$A:$A,0))-IF(AN135="",0,AN135)+AP136,INDEX('Aub Demand'!K:K,MATCH($O135,'Aub Demand'!$A:$A,0))-IF(AN135="",0,AN135)),"")</f>
        <v>944</v>
      </c>
      <c r="S135" s="53">
        <f t="shared" si="56"/>
        <v>12.4</v>
      </c>
      <c r="T135" s="52" t="str">
        <f t="shared" si="57"/>
        <v/>
      </c>
      <c r="U135" s="52">
        <f>IFERROR(IF(AR136=AR135,INDEX('Aub Demand'!Q:Q,MATCH($O135,'Aub Demand'!$A:$A,0))-IF(AN135="",0,AN135)+AP136,INDEX('Aub Demand'!Q:Q,MATCH($O135,'Aub Demand'!$A:$A,0))-IF(AN135="",0,AN135)),"")</f>
        <v>511</v>
      </c>
      <c r="V135" s="53">
        <f t="shared" si="58"/>
        <v>6.7</v>
      </c>
      <c r="W135" s="52" t="str">
        <f t="shared" si="59"/>
        <v/>
      </c>
      <c r="X135" s="52">
        <f>IFERROR(IF(AND(AR136=AR135,AM135&lt;&gt;""),INDEX('Aub Demand'!Q:Q,MATCH($O135,'Aub Demand'!$A:$A,0))-IF(AN135="",0,AN135)+AP136+AD135+AL135,IF(AR136=AR135,INDEX('Aub Demand'!Q:Q,MATCH($O135,'Aub Demand'!$A:$A,0))-IF(AN135="",0,AN135)+AP136+AD135,IF(AM135&lt;&gt;"",INDEX('Aub Demand'!Q:Q,MATCH($O135,'Aub Demand'!$A:$A,0))-IF(AN135="",0,AN135)+AD135+AL135,INDEX('Aub Demand'!Q:Q,MATCH($O135,'Aub Demand'!$A:$A,0))-IF(AN135="",0,AN135)+AD135))),"")</f>
        <v>511</v>
      </c>
      <c r="Y135" s="53">
        <f t="shared" si="60"/>
        <v>6.7</v>
      </c>
      <c r="Z135" s="52">
        <f>IF(L135="","",INDEX('Aub Demand'!H:H,MATCH($O135,'Aub Demand'!$A:$A,0)))</f>
        <v>326</v>
      </c>
      <c r="AA135" s="52">
        <f t="shared" si="61"/>
        <v>489.5</v>
      </c>
      <c r="AB135" s="52">
        <f>IFERROR(INDEX('Aub Demand'!L:L,MATCH($O135,'Aub Demand'!$A:$A,0)),"")</f>
        <v>888</v>
      </c>
      <c r="AC135" s="52">
        <f>IFERROR(IF(O135="","",SUMIFS('CPL Mats'!F:F,'CPL Mats'!Q:Q,AR135,'CPL Mats'!S:S,AS135)),"")</f>
        <v>11562.56</v>
      </c>
      <c r="AF135" s="25">
        <f>IF(SUMIFS('Supp Consol'!S:S,'Supp Consol'!Y:Y,"Releasable",'Supp Consol'!A:A,O135)=0,"",SUMIFS('Supp Consol'!S:S,'Supp Consol'!Y:Y,"Releasable",'Supp Consol'!A:A,O135))</f>
        <v>4166</v>
      </c>
      <c r="AG135" s="25">
        <f>IFERROR(INDEX('Hun Demand'!Q:Q,MATCH(O135,'Hun Demand'!A:A,0)),"")</f>
        <v>290</v>
      </c>
      <c r="AH135" s="25">
        <f>IFERROR(INDEX('Hun Demand'!H:H,MATCH($O135,'Hun Demand'!$A:$A,0)),"")</f>
        <v>93</v>
      </c>
      <c r="AI135" s="25">
        <f>IF(SUMIFS('Supp Consol'!AA:AA,'Supp Consol'!Z:Z,"Expires this month",'Supp Consol'!A:A,O135)=0,"",SUMIFS('Supp Consol'!AA:AA,'Supp Consol'!Z:Z,"Expires this month",'Supp Consol'!A:A,O135))</f>
        <v>4166</v>
      </c>
      <c r="AJ135" s="25" t="str">
        <f>IF(SUMIFS('Supp Consol'!AA:AA,'Supp Consol'!Z:Z,"Expired Previous Months",'Supp Consol'!A:A,O135)=0,"",SUMIFS('Supp Consol'!AA:AA,'Supp Consol'!Z:Z,"Expired Previous Months",'Supp Consol'!A:A,O135))</f>
        <v/>
      </c>
      <c r="AK135" s="25" t="str">
        <f>IFERROR(INDEX('Hun Release Current'!B:B,MATCH(O135,'Hun Release Current'!A:A,0)),"")</f>
        <v/>
      </c>
      <c r="AL135" s="25" t="str">
        <f>IF(SUMIF('Prev Aub'!A:A,O135,'Prev Aub'!B:B)=0,"",SUMIF('Prev Aub'!A:A,O135,'Prev Aub'!B:B))</f>
        <v/>
      </c>
      <c r="AN135" s="25" t="s">
        <v>3790</v>
      </c>
      <c r="AO135" s="25" t="s">
        <v>3790</v>
      </c>
      <c r="AP135" s="25">
        <f t="shared" si="62"/>
        <v>0</v>
      </c>
      <c r="AQ135" s="151" t="str">
        <f>IF(SUMIFS('Supp Consol'!S:S,'Supp Consol'!A:A,O135,'Supp Consol'!I:I,"PENDING")=0,"",SUMIFS('Supp Consol'!S:S,'Supp Consol'!A:A,O135,'Supp Consol'!I:I,"PENDING"))</f>
        <v/>
      </c>
      <c r="AR135" s="27" t="str">
        <f t="shared" si="63"/>
        <v>AG021</v>
      </c>
      <c r="AS135" s="27" t="str">
        <f t="shared" si="64"/>
        <v>50</v>
      </c>
      <c r="AT135" s="27" t="str">
        <f t="shared" si="65"/>
        <v/>
      </c>
      <c r="AU135" s="27" t="str">
        <f t="shared" si="66"/>
        <v/>
      </c>
      <c r="AV135" s="27" t="str">
        <f t="shared" si="67"/>
        <v/>
      </c>
      <c r="AW135" s="27" t="str">
        <f t="shared" si="68"/>
        <v>AG021</v>
      </c>
      <c r="AX135" s="27" t="str">
        <f t="shared" si="69"/>
        <v>AG021</v>
      </c>
      <c r="AY135" s="27" t="str">
        <f t="shared" si="70"/>
        <v>AG021</v>
      </c>
      <c r="AZ135" s="27" t="str">
        <f t="shared" si="71"/>
        <v>Supp</v>
      </c>
      <c r="BA135" s="27" t="str">
        <f t="shared" si="72"/>
        <v>Hun</v>
      </c>
      <c r="BB135" s="27" t="str">
        <f t="shared" si="73"/>
        <v/>
      </c>
      <c r="BC135" s="27" t="str">
        <f t="shared" si="74"/>
        <v/>
      </c>
      <c r="BD135" s="27" t="str">
        <f t="shared" si="75"/>
        <v/>
      </c>
      <c r="BE135" s="27" t="str">
        <f t="shared" si="76"/>
        <v>Exp</v>
      </c>
      <c r="BF135" s="27" t="str">
        <f t="shared" si="77"/>
        <v/>
      </c>
      <c r="BG135" s="27" t="str">
        <f t="shared" si="78"/>
        <v>S+NorE</v>
      </c>
      <c r="BH135" s="27" t="str">
        <f t="shared" si="79"/>
        <v/>
      </c>
      <c r="BI135" s="27" t="str">
        <f t="shared" si="80"/>
        <v/>
      </c>
      <c r="BJ135" s="27" t="str">
        <f t="shared" si="81"/>
        <v>Supp or Hun</v>
      </c>
      <c r="BK135" s="27" t="str">
        <f t="shared" si="82"/>
        <v/>
      </c>
      <c r="BL135" s="27" t="str">
        <f t="shared" si="83"/>
        <v>SorHandNandE</v>
      </c>
      <c r="BM135" s="21" t="s">
        <v>5581</v>
      </c>
    </row>
    <row r="136" spans="1:65" ht="15">
      <c r="A136" s="25" t="str">
        <f>IFERROR(INDEX('Hun Demand'!W:W,MATCH(O136,'Hun Demand'!A:A,0)),"")</f>
        <v/>
      </c>
      <c r="B136" s="25" t="str">
        <f>IFERROR(INDEX('Hun Demand'!V:V,MATCH(O136,'Hun Demand'!A:A,0)),"")</f>
        <v/>
      </c>
      <c r="C136" s="25" t="str">
        <f>IFERROR(INDEX('Hun Demand'!U:U,MATCH(O136,'Hun Demand'!A:A,0)),"")</f>
        <v/>
      </c>
      <c r="D136" s="25" t="str">
        <f>IFERROR(INDEX('Hun Demand'!T:T,MATCH(O136,'Hun Demand'!A:A,0)),"")</f>
        <v/>
      </c>
      <c r="E136" s="25" t="str">
        <f>IFERROR(INDEX('Hun Demand'!S:S,MATCH(O136,'Hun Demand'!A:A,0)),"")</f>
        <v/>
      </c>
      <c r="F136" s="25" t="str">
        <f>IFERROR(INDEX('Hun Demand'!R:R,MATCH(O136,'Hun Demand'!A:A,0)),"")</f>
        <v/>
      </c>
      <c r="G136" s="25">
        <f>IFERROR(INDEX('Aub Demand'!W:W,MATCH(O136,'Aub Demand'!A:A,0)),"")</f>
        <v>230</v>
      </c>
      <c r="H136" s="25">
        <f>IFERROR(INDEX('Aub Demand'!V:V,MATCH(O136,'Aub Demand'!A:A,0)),"")</f>
        <v>0</v>
      </c>
      <c r="I136" s="25">
        <f>IFERROR(INDEX('Aub Demand'!U:U,MATCH(O136,'Aub Demand'!A:A,0)),"")</f>
        <v>45</v>
      </c>
      <c r="J136" s="25">
        <f>IFERROR(INDEX('Aub Demand'!T:T,MATCH(O136,'Aub Demand'!A:A,0)),"")</f>
        <v>0</v>
      </c>
      <c r="K136" s="25">
        <f>IFERROR(INDEX('Aub Demand'!S:S,MATCH(O136,'Aub Demand'!A:A,0)),"")</f>
        <v>12</v>
      </c>
      <c r="L136" s="25">
        <f>IFERROR(INDEX('Aub Demand'!R:R,MATCH(O136,'Aub Demand'!A:A,0)),"")</f>
        <v>0</v>
      </c>
      <c r="O136" s="27" t="s">
        <v>310</v>
      </c>
      <c r="P136" s="27" t="str">
        <f>IFERROR(INDEX('Aub Demand'!B:B,MATCH($O136,'Aub Demand'!$A:$A,0)),"")</f>
        <v>SABLE</v>
      </c>
      <c r="Q136" s="27" t="str">
        <f>IFERROR(INDEX('Aub Demand'!C:C,MATCH($O136,'Aub Demand'!$A:$A,0)),"")</f>
        <v>INTER</v>
      </c>
      <c r="R136" s="52">
        <f>IFERROR(IF(AR137=AR136,INDEX('Aub Demand'!K:K,MATCH($O136,'Aub Demand'!$A:$A,0))-IF(AN136="",0,AN136)+AP137,INDEX('Aub Demand'!K:K,MATCH($O136,'Aub Demand'!$A:$A,0))-IF(AN136="",0,AN136)),"")</f>
        <v>1233</v>
      </c>
      <c r="S136" s="53">
        <f t="shared" si="56"/>
        <v>278.10000000000002</v>
      </c>
      <c r="T136" s="52" t="str">
        <f t="shared" si="57"/>
        <v/>
      </c>
      <c r="U136" s="52">
        <f>IFERROR(IF(AR137=AR136,INDEX('Aub Demand'!Q:Q,MATCH($O136,'Aub Demand'!$A:$A,0))-IF(AN136="",0,AN136)+AP137,INDEX('Aub Demand'!Q:Q,MATCH($O136,'Aub Demand'!$A:$A,0))-IF(AN136="",0,AN136)),"")</f>
        <v>1231</v>
      </c>
      <c r="V136" s="53">
        <f t="shared" si="58"/>
        <v>277.7</v>
      </c>
      <c r="W136" s="52" t="str">
        <f t="shared" si="59"/>
        <v/>
      </c>
      <c r="X136" s="52">
        <f>IFERROR(IF(AND(AR137=AR136,AM136&lt;&gt;""),INDEX('Aub Demand'!Q:Q,MATCH($O136,'Aub Demand'!$A:$A,0))-IF(AN136="",0,AN136)+AP137+AD136+AL136,IF(AR137=AR136,INDEX('Aub Demand'!Q:Q,MATCH($O136,'Aub Demand'!$A:$A,0))-IF(AN136="",0,AN136)+AP137+AD136,IF(AM136&lt;&gt;"",INDEX('Aub Demand'!Q:Q,MATCH($O136,'Aub Demand'!$A:$A,0))-IF(AN136="",0,AN136)+AD136+AL136,INDEX('Aub Demand'!Q:Q,MATCH($O136,'Aub Demand'!$A:$A,0))-IF(AN136="",0,AN136)+AD136))),"")</f>
        <v>1231</v>
      </c>
      <c r="Y136" s="53">
        <f t="shared" si="60"/>
        <v>277.7</v>
      </c>
      <c r="Z136" s="52">
        <f>IF(L136="","",INDEX('Aub Demand'!H:H,MATCH($O136,'Aub Demand'!$A:$A,0)))</f>
        <v>19</v>
      </c>
      <c r="AA136" s="52">
        <f t="shared" si="61"/>
        <v>28.5</v>
      </c>
      <c r="AB136" s="52">
        <f>IFERROR(INDEX('Aub Demand'!L:L,MATCH($O136,'Aub Demand'!$A:$A,0)),"")</f>
        <v>42</v>
      </c>
      <c r="AC136" s="52">
        <f>IFERROR(IF(O136="","",SUMIFS('CPL Mats'!F:F,'CPL Mats'!Q:Q,AR136,'CPL Mats'!S:S,AS136)),"")</f>
        <v>0</v>
      </c>
      <c r="AF136" s="25">
        <f>IF(SUMIFS('Supp Consol'!S:S,'Supp Consol'!Y:Y,"Releasable",'Supp Consol'!A:A,O136)=0,"",SUMIFS('Supp Consol'!S:S,'Supp Consol'!Y:Y,"Releasable",'Supp Consol'!A:A,O136))</f>
        <v>1971</v>
      </c>
      <c r="AG136" s="25" t="str">
        <f>IFERROR(INDEX('Hun Demand'!Q:Q,MATCH(O136,'Hun Demand'!A:A,0)),"")</f>
        <v/>
      </c>
      <c r="AH136" s="25" t="str">
        <f>IFERROR(INDEX('Hun Demand'!H:H,MATCH($O136,'Hun Demand'!$A:$A,0)),"")</f>
        <v/>
      </c>
      <c r="AI136" s="25">
        <f>IF(SUMIFS('Supp Consol'!AA:AA,'Supp Consol'!Z:Z,"Expires this month",'Supp Consol'!A:A,O136)=0,"",SUMIFS('Supp Consol'!AA:AA,'Supp Consol'!Z:Z,"Expires this month",'Supp Consol'!A:A,O136))</f>
        <v>1971</v>
      </c>
      <c r="AJ136" s="25" t="str">
        <f>IF(SUMIFS('Supp Consol'!AA:AA,'Supp Consol'!Z:Z,"Expired Previous Months",'Supp Consol'!A:A,O136)=0,"",SUMIFS('Supp Consol'!AA:AA,'Supp Consol'!Z:Z,"Expired Previous Months",'Supp Consol'!A:A,O136))</f>
        <v/>
      </c>
      <c r="AK136" s="25" t="str">
        <f>IFERROR(INDEX('Hun Release Current'!B:B,MATCH(O136,'Hun Release Current'!A:A,0)),"")</f>
        <v/>
      </c>
      <c r="AL136" s="25" t="str">
        <f>IF(SUMIF('Prev Aub'!A:A,O136,'Prev Aub'!B:B)=0,"",SUMIF('Prev Aub'!A:A,O136,'Prev Aub'!B:B))</f>
        <v/>
      </c>
      <c r="AN136" s="25" t="s">
        <v>3790</v>
      </c>
      <c r="AO136" s="25" t="s">
        <v>3790</v>
      </c>
      <c r="AP136" s="25">
        <f t="shared" si="62"/>
        <v>0</v>
      </c>
      <c r="AQ136" s="151" t="str">
        <f>IF(SUMIFS('Supp Consol'!S:S,'Supp Consol'!A:A,O136,'Supp Consol'!I:I,"PENDING")=0,"",SUMIFS('Supp Consol'!S:S,'Supp Consol'!A:A,O136,'Supp Consol'!I:I,"PENDING"))</f>
        <v/>
      </c>
      <c r="AR136" s="27" t="str">
        <f t="shared" si="63"/>
        <v>AG021</v>
      </c>
      <c r="AS136" s="27" t="str">
        <f t="shared" si="64"/>
        <v>62</v>
      </c>
      <c r="AT136" s="27" t="str">
        <f t="shared" si="65"/>
        <v/>
      </c>
      <c r="AU136" s="27" t="str">
        <f t="shared" si="66"/>
        <v/>
      </c>
      <c r="AV136" s="27" t="str">
        <f t="shared" si="67"/>
        <v/>
      </c>
      <c r="AW136" s="27" t="str">
        <f t="shared" si="68"/>
        <v>AG021</v>
      </c>
      <c r="AX136" s="27" t="str">
        <f t="shared" si="69"/>
        <v>AG021</v>
      </c>
      <c r="AY136" s="27" t="str">
        <f t="shared" si="70"/>
        <v/>
      </c>
      <c r="AZ136" s="27" t="str">
        <f t="shared" si="71"/>
        <v>Supp</v>
      </c>
      <c r="BA136" s="27" t="str">
        <f t="shared" si="72"/>
        <v>Hun</v>
      </c>
      <c r="BB136" s="27" t="str">
        <f t="shared" si="73"/>
        <v/>
      </c>
      <c r="BC136" s="27" t="str">
        <f t="shared" si="74"/>
        <v/>
      </c>
      <c r="BD136" s="27" t="str">
        <f t="shared" si="75"/>
        <v/>
      </c>
      <c r="BE136" s="27" t="str">
        <f t="shared" si="76"/>
        <v>Exp</v>
      </c>
      <c r="BF136" s="27" t="str">
        <f t="shared" si="77"/>
        <v/>
      </c>
      <c r="BG136" s="27" t="str">
        <f t="shared" si="78"/>
        <v>S+NorE</v>
      </c>
      <c r="BH136" s="27" t="str">
        <f t="shared" si="79"/>
        <v/>
      </c>
      <c r="BI136" s="27" t="str">
        <f t="shared" si="80"/>
        <v/>
      </c>
      <c r="BJ136" s="27" t="str">
        <f t="shared" si="81"/>
        <v>Supp or Hun</v>
      </c>
      <c r="BK136" s="27" t="str">
        <f t="shared" si="82"/>
        <v/>
      </c>
      <c r="BL136" s="27" t="str">
        <f t="shared" si="83"/>
        <v>SorHandNandE</v>
      </c>
      <c r="BM136" s="21" t="s">
        <v>5581</v>
      </c>
    </row>
    <row r="137" spans="1:65" ht="15">
      <c r="A137" s="25" t="str">
        <f>IFERROR(INDEX('Hun Demand'!W:W,MATCH(O137,'Hun Demand'!A:A,0)),"")</f>
        <v/>
      </c>
      <c r="B137" s="25" t="str">
        <f>IFERROR(INDEX('Hun Demand'!V:V,MATCH(O137,'Hun Demand'!A:A,0)),"")</f>
        <v/>
      </c>
      <c r="C137" s="25" t="str">
        <f>IFERROR(INDEX('Hun Demand'!U:U,MATCH(O137,'Hun Demand'!A:A,0)),"")</f>
        <v/>
      </c>
      <c r="D137" s="25" t="str">
        <f>IFERROR(INDEX('Hun Demand'!T:T,MATCH(O137,'Hun Demand'!A:A,0)),"")</f>
        <v/>
      </c>
      <c r="E137" s="25" t="str">
        <f>IFERROR(INDEX('Hun Demand'!S:S,MATCH(O137,'Hun Demand'!A:A,0)),"")</f>
        <v/>
      </c>
      <c r="F137" s="25" t="str">
        <f>IFERROR(INDEX('Hun Demand'!R:R,MATCH(O137,'Hun Demand'!A:A,0)),"")</f>
        <v/>
      </c>
      <c r="G137" s="25">
        <f>IFERROR(INDEX('Aub Demand'!W:W,MATCH(O137,'Aub Demand'!A:A,0)),"")</f>
        <v>0</v>
      </c>
      <c r="H137" s="25">
        <f>IFERROR(INDEX('Aub Demand'!V:V,MATCH(O137,'Aub Demand'!A:A,0)),"")</f>
        <v>2</v>
      </c>
      <c r="I137" s="25">
        <f>IFERROR(INDEX('Aub Demand'!U:U,MATCH(O137,'Aub Demand'!A:A,0)),"")</f>
        <v>10</v>
      </c>
      <c r="J137" s="25">
        <f>IFERROR(INDEX('Aub Demand'!T:T,MATCH(O137,'Aub Demand'!A:A,0)),"")</f>
        <v>11</v>
      </c>
      <c r="K137" s="25">
        <f>IFERROR(INDEX('Aub Demand'!S:S,MATCH(O137,'Aub Demand'!A:A,0)),"")</f>
        <v>30</v>
      </c>
      <c r="L137" s="25">
        <f>IFERROR(INDEX('Aub Demand'!R:R,MATCH(O137,'Aub Demand'!A:A,0)),"")</f>
        <v>0</v>
      </c>
      <c r="O137" s="27" t="s">
        <v>311</v>
      </c>
      <c r="P137" s="27" t="str">
        <f>IFERROR(INDEX('Aub Demand'!B:B,MATCH($O137,'Aub Demand'!$A:$A,0)),"")</f>
        <v>FIRST N MAIN</v>
      </c>
      <c r="Q137" s="27" t="str">
        <f>IFERROR(INDEX('Aub Demand'!C:C,MATCH($O137,'Aub Demand'!$A:$A,0)),"")</f>
        <v>SCHAT</v>
      </c>
      <c r="R137" s="52">
        <f>IFERROR(IF(AR138=AR137,INDEX('Aub Demand'!K:K,MATCH($O137,'Aub Demand'!$A:$A,0))-IF(AN137="",0,AN137)+AP138,INDEX('Aub Demand'!K:K,MATCH($O137,'Aub Demand'!$A:$A,0))-IF(AN137="",0,AN137)),"")</f>
        <v>1018</v>
      </c>
      <c r="S137" s="53">
        <f t="shared" si="56"/>
        <v>256.60000000000002</v>
      </c>
      <c r="T137" s="52" t="str">
        <f t="shared" si="57"/>
        <v/>
      </c>
      <c r="U137" s="52">
        <f>IFERROR(IF(AR138=AR137,INDEX('Aub Demand'!Q:Q,MATCH($O137,'Aub Demand'!$A:$A,0))-IF(AN137="",0,AN137)+AP138,INDEX('Aub Demand'!Q:Q,MATCH($O137,'Aub Demand'!$A:$A,0))-IF(AN137="",0,AN137)),"")</f>
        <v>1015</v>
      </c>
      <c r="V137" s="53">
        <f t="shared" si="58"/>
        <v>255.9</v>
      </c>
      <c r="W137" s="52" t="str">
        <f t="shared" si="59"/>
        <v/>
      </c>
      <c r="X137" s="52">
        <f>IFERROR(IF(AND(AR138=AR137,AM137&lt;&gt;""),INDEX('Aub Demand'!Q:Q,MATCH($O137,'Aub Demand'!$A:$A,0))-IF(AN137="",0,AN137)+AP138+AD137+AL137,IF(AR138=AR137,INDEX('Aub Demand'!Q:Q,MATCH($O137,'Aub Demand'!$A:$A,0))-IF(AN137="",0,AN137)+AP138+AD137,IF(AM137&lt;&gt;"",INDEX('Aub Demand'!Q:Q,MATCH($O137,'Aub Demand'!$A:$A,0))-IF(AN137="",0,AN137)+AD137+AL137,INDEX('Aub Demand'!Q:Q,MATCH($O137,'Aub Demand'!$A:$A,0))-IF(AN137="",0,AN137)+AD137))),"")</f>
        <v>1015</v>
      </c>
      <c r="Y137" s="53">
        <f t="shared" si="60"/>
        <v>255.9</v>
      </c>
      <c r="Z137" s="52">
        <f>IF(L137="","",INDEX('Aub Demand'!H:H,MATCH($O137,'Aub Demand'!$A:$A,0)))</f>
        <v>17</v>
      </c>
      <c r="AA137" s="52">
        <f t="shared" si="61"/>
        <v>20.5</v>
      </c>
      <c r="AB137" s="52">
        <f>IFERROR(INDEX('Aub Demand'!L:L,MATCH($O137,'Aub Demand'!$A:$A,0)),"")</f>
        <v>27</v>
      </c>
      <c r="AC137" s="52">
        <f>IFERROR(IF(O137="","",SUMIFS('CPL Mats'!F:F,'CPL Mats'!Q:Q,AR137,'CPL Mats'!S:S,AS137)),"")</f>
        <v>0</v>
      </c>
      <c r="AF137" s="25" t="str">
        <f>IF(SUMIFS('Supp Consol'!S:S,'Supp Consol'!Y:Y,"Releasable",'Supp Consol'!A:A,O137)=0,"",SUMIFS('Supp Consol'!S:S,'Supp Consol'!Y:Y,"Releasable",'Supp Consol'!A:A,O137))</f>
        <v/>
      </c>
      <c r="AG137" s="25" t="str">
        <f>IFERROR(INDEX('Hun Demand'!Q:Q,MATCH(O137,'Hun Demand'!A:A,0)),"")</f>
        <v/>
      </c>
      <c r="AH137" s="25" t="str">
        <f>IFERROR(INDEX('Hun Demand'!H:H,MATCH($O137,'Hun Demand'!$A:$A,0)),"")</f>
        <v/>
      </c>
      <c r="AI137" s="25" t="str">
        <f>IF(SUMIFS('Supp Consol'!AA:AA,'Supp Consol'!Z:Z,"Expires this month",'Supp Consol'!A:A,O137)=0,"",SUMIFS('Supp Consol'!AA:AA,'Supp Consol'!Z:Z,"Expires this month",'Supp Consol'!A:A,O137))</f>
        <v/>
      </c>
      <c r="AJ137" s="25" t="str">
        <f>IF(SUMIFS('Supp Consol'!AA:AA,'Supp Consol'!Z:Z,"Expired Previous Months",'Supp Consol'!A:A,O137)=0,"",SUMIFS('Supp Consol'!AA:AA,'Supp Consol'!Z:Z,"Expired Previous Months",'Supp Consol'!A:A,O137))</f>
        <v/>
      </c>
      <c r="AK137" s="25" t="str">
        <f>IFERROR(INDEX('Hun Release Current'!B:B,MATCH(O137,'Hun Release Current'!A:A,0)),"")</f>
        <v/>
      </c>
      <c r="AL137" s="25" t="str">
        <f>IF(SUMIF('Prev Aub'!A:A,O137,'Prev Aub'!B:B)=0,"",SUMIF('Prev Aub'!A:A,O137,'Prev Aub'!B:B))</f>
        <v/>
      </c>
      <c r="AN137" s="25" t="s">
        <v>3790</v>
      </c>
      <c r="AO137" s="25" t="s">
        <v>3790</v>
      </c>
      <c r="AP137" s="25">
        <f t="shared" si="62"/>
        <v>0</v>
      </c>
      <c r="AQ137" s="151" t="str">
        <f>IF(SUMIFS('Supp Consol'!S:S,'Supp Consol'!A:A,O137,'Supp Consol'!I:I,"PENDING")=0,"",SUMIFS('Supp Consol'!S:S,'Supp Consol'!A:A,O137,'Supp Consol'!I:I,"PENDING"))</f>
        <v/>
      </c>
      <c r="AR137" s="27" t="str">
        <f t="shared" si="63"/>
        <v>AG031</v>
      </c>
      <c r="AS137" s="27" t="str">
        <f t="shared" si="64"/>
        <v>50</v>
      </c>
      <c r="AT137" s="27" t="str">
        <f t="shared" si="65"/>
        <v/>
      </c>
      <c r="AU137" s="27" t="str">
        <f t="shared" si="66"/>
        <v/>
      </c>
      <c r="AV137" s="27" t="str">
        <f t="shared" si="67"/>
        <v/>
      </c>
      <c r="AW137" s="27" t="str">
        <f t="shared" si="68"/>
        <v/>
      </c>
      <c r="AX137" s="27" t="str">
        <f t="shared" si="69"/>
        <v/>
      </c>
      <c r="AY137" s="27" t="str">
        <f t="shared" si="70"/>
        <v/>
      </c>
      <c r="AZ137" s="27" t="str">
        <f t="shared" si="71"/>
        <v/>
      </c>
      <c r="BA137" s="27" t="str">
        <f t="shared" si="72"/>
        <v/>
      </c>
      <c r="BB137" s="27" t="str">
        <f t="shared" si="73"/>
        <v/>
      </c>
      <c r="BC137" s="27" t="str">
        <f t="shared" si="74"/>
        <v/>
      </c>
      <c r="BD137" s="27" t="str">
        <f t="shared" si="75"/>
        <v/>
      </c>
      <c r="BE137" s="27" t="str">
        <f t="shared" si="76"/>
        <v/>
      </c>
      <c r="BF137" s="27" t="str">
        <f t="shared" si="77"/>
        <v/>
      </c>
      <c r="BG137" s="27" t="str">
        <f t="shared" si="78"/>
        <v/>
      </c>
      <c r="BH137" s="27" t="str">
        <f t="shared" si="79"/>
        <v/>
      </c>
      <c r="BI137" s="27" t="str">
        <f t="shared" si="80"/>
        <v/>
      </c>
      <c r="BJ137" s="27" t="str">
        <f t="shared" si="81"/>
        <v/>
      </c>
      <c r="BK137" s="27" t="str">
        <f t="shared" si="82"/>
        <v/>
      </c>
      <c r="BL137" s="27" t="str">
        <f t="shared" si="83"/>
        <v/>
      </c>
      <c r="BM137" s="21" t="s">
        <v>5581</v>
      </c>
    </row>
    <row r="138" spans="1:65" ht="15">
      <c r="A138" s="25" t="str">
        <f>IFERROR(INDEX('Hun Demand'!W:W,MATCH(O138,'Hun Demand'!A:A,0)),"")</f>
        <v/>
      </c>
      <c r="B138" s="25" t="str">
        <f>IFERROR(INDEX('Hun Demand'!V:V,MATCH(O138,'Hun Demand'!A:A,0)),"")</f>
        <v/>
      </c>
      <c r="C138" s="25" t="str">
        <f>IFERROR(INDEX('Hun Demand'!U:U,MATCH(O138,'Hun Demand'!A:A,0)),"")</f>
        <v/>
      </c>
      <c r="D138" s="25" t="str">
        <f>IFERROR(INDEX('Hun Demand'!T:T,MATCH(O138,'Hun Demand'!A:A,0)),"")</f>
        <v/>
      </c>
      <c r="E138" s="25" t="str">
        <f>IFERROR(INDEX('Hun Demand'!S:S,MATCH(O138,'Hun Demand'!A:A,0)),"")</f>
        <v/>
      </c>
      <c r="F138" s="25" t="str">
        <f>IFERROR(INDEX('Hun Demand'!R:R,MATCH(O138,'Hun Demand'!A:A,0)),"")</f>
        <v/>
      </c>
      <c r="G138" s="25">
        <f>IFERROR(INDEX('Aub Demand'!W:W,MATCH(O138,'Aub Demand'!A:A,0)),"")</f>
        <v>0</v>
      </c>
      <c r="H138" s="25">
        <f>IFERROR(INDEX('Aub Demand'!V:V,MATCH(O138,'Aub Demand'!A:A,0)),"")</f>
        <v>0</v>
      </c>
      <c r="I138" s="25">
        <f>IFERROR(INDEX('Aub Demand'!U:U,MATCH(O138,'Aub Demand'!A:A,0)),"")</f>
        <v>0</v>
      </c>
      <c r="J138" s="25">
        <f>IFERROR(INDEX('Aub Demand'!T:T,MATCH(O138,'Aub Demand'!A:A,0)),"")</f>
        <v>0</v>
      </c>
      <c r="K138" s="25">
        <f>IFERROR(INDEX('Aub Demand'!S:S,MATCH(O138,'Aub Demand'!A:A,0)),"")</f>
        <v>0</v>
      </c>
      <c r="L138" s="25">
        <f>IFERROR(INDEX('Aub Demand'!R:R,MATCH(O138,'Aub Demand'!A:A,0)),"")</f>
        <v>0</v>
      </c>
      <c r="O138" s="27" t="s">
        <v>315</v>
      </c>
      <c r="P138" s="27" t="str">
        <f>IFERROR(INDEX('Aub Demand'!B:B,MATCH($O138,'Aub Demand'!$A:$A,0)),"")</f>
        <v>FIRST N MAIN</v>
      </c>
      <c r="Q138" s="27" t="str">
        <f>IFERROR(INDEX('Aub Demand'!C:C,MATCH($O138,'Aub Demand'!$A:$A,0)),"")</f>
        <v>SCHAT</v>
      </c>
      <c r="R138" s="52">
        <f>IFERROR(IF(AR139=AR138,INDEX('Aub Demand'!K:K,MATCH($O138,'Aub Demand'!$A:$A,0))-IF(AN138="",0,AN138)+AP139,INDEX('Aub Demand'!K:K,MATCH($O138,'Aub Demand'!$A:$A,0))-IF(AN138="",0,AN138)),"")</f>
        <v>1204</v>
      </c>
      <c r="S138" s="53" t="str">
        <f t="shared" si="56"/>
        <v>n/a</v>
      </c>
      <c r="T138" s="52" t="str">
        <f t="shared" si="57"/>
        <v/>
      </c>
      <c r="U138" s="52">
        <f>IFERROR(IF(AR139=AR138,INDEX('Aub Demand'!Q:Q,MATCH($O138,'Aub Demand'!$A:$A,0))-IF(AN138="",0,AN138)+AP139,INDEX('Aub Demand'!Q:Q,MATCH($O138,'Aub Demand'!$A:$A,0))-IF(AN138="",0,AN138)),"")</f>
        <v>1204</v>
      </c>
      <c r="V138" s="53" t="str">
        <f t="shared" si="58"/>
        <v>n/a</v>
      </c>
      <c r="W138" s="52" t="str">
        <f t="shared" si="59"/>
        <v/>
      </c>
      <c r="X138" s="52">
        <f>IFERROR(IF(AND(AR139=AR138,AM138&lt;&gt;""),INDEX('Aub Demand'!Q:Q,MATCH($O138,'Aub Demand'!$A:$A,0))-IF(AN138="",0,AN138)+AP139+AD138+AL138,IF(AR139=AR138,INDEX('Aub Demand'!Q:Q,MATCH($O138,'Aub Demand'!$A:$A,0))-IF(AN138="",0,AN138)+AP139+AD138,IF(AM138&lt;&gt;"",INDEX('Aub Demand'!Q:Q,MATCH($O138,'Aub Demand'!$A:$A,0))-IF(AN138="",0,AN138)+AD138+AL138,INDEX('Aub Demand'!Q:Q,MATCH($O138,'Aub Demand'!$A:$A,0))-IF(AN138="",0,AN138)+AD138))),"")</f>
        <v>1204</v>
      </c>
      <c r="Y138" s="53" t="str">
        <f t="shared" si="60"/>
        <v>n/a</v>
      </c>
      <c r="Z138" s="52">
        <f>IF(L138="","",INDEX('Aub Demand'!H:H,MATCH($O138,'Aub Demand'!$A:$A,0)))</f>
        <v>0</v>
      </c>
      <c r="AA138" s="52" t="str">
        <f t="shared" si="61"/>
        <v>-spike-</v>
      </c>
      <c r="AB138" s="52">
        <f>IFERROR(INDEX('Aub Demand'!L:L,MATCH($O138,'Aub Demand'!$A:$A,0)),"")</f>
        <v>0</v>
      </c>
      <c r="AC138" s="52">
        <f>IFERROR(IF(O138="","",SUMIFS('CPL Mats'!F:F,'CPL Mats'!Q:Q,AR138,'CPL Mats'!S:S,AS138)),"")</f>
        <v>0</v>
      </c>
      <c r="AF138" s="25" t="str">
        <f>IF(SUMIFS('Supp Consol'!S:S,'Supp Consol'!Y:Y,"Releasable",'Supp Consol'!A:A,O138)=0,"",SUMIFS('Supp Consol'!S:S,'Supp Consol'!Y:Y,"Releasable",'Supp Consol'!A:A,O138))</f>
        <v/>
      </c>
      <c r="AG138" s="25" t="str">
        <f>IFERROR(INDEX('Hun Demand'!Q:Q,MATCH(O138,'Hun Demand'!A:A,0)),"")</f>
        <v/>
      </c>
      <c r="AH138" s="25" t="str">
        <f>IFERROR(INDEX('Hun Demand'!H:H,MATCH($O138,'Hun Demand'!$A:$A,0)),"")</f>
        <v/>
      </c>
      <c r="AI138" s="25" t="str">
        <f>IF(SUMIFS('Supp Consol'!AA:AA,'Supp Consol'!Z:Z,"Expires this month",'Supp Consol'!A:A,O138)=0,"",SUMIFS('Supp Consol'!AA:AA,'Supp Consol'!Z:Z,"Expires this month",'Supp Consol'!A:A,O138))</f>
        <v/>
      </c>
      <c r="AJ138" s="25" t="str">
        <f>IF(SUMIFS('Supp Consol'!AA:AA,'Supp Consol'!Z:Z,"Expired Previous Months",'Supp Consol'!A:A,O138)=0,"",SUMIFS('Supp Consol'!AA:AA,'Supp Consol'!Z:Z,"Expired Previous Months",'Supp Consol'!A:A,O138))</f>
        <v/>
      </c>
      <c r="AK138" s="25" t="str">
        <f>IFERROR(INDEX('Hun Release Current'!B:B,MATCH(O138,'Hun Release Current'!A:A,0)),"")</f>
        <v/>
      </c>
      <c r="AL138" s="25" t="str">
        <f>IF(SUMIF('Prev Aub'!A:A,O138,'Prev Aub'!B:B)=0,"",SUMIF('Prev Aub'!A:A,O138,'Prev Aub'!B:B))</f>
        <v/>
      </c>
      <c r="AN138" s="25" t="s">
        <v>3790</v>
      </c>
      <c r="AO138" s="25" t="s">
        <v>3790</v>
      </c>
      <c r="AP138" s="25">
        <f t="shared" si="62"/>
        <v>0</v>
      </c>
      <c r="AQ138" s="151" t="str">
        <f>IF(SUMIFS('Supp Consol'!S:S,'Supp Consol'!A:A,O138,'Supp Consol'!I:I,"PENDING")=0,"",SUMIFS('Supp Consol'!S:S,'Supp Consol'!A:A,O138,'Supp Consol'!I:I,"PENDING"))</f>
        <v/>
      </c>
      <c r="AR138" s="27" t="str">
        <f t="shared" si="63"/>
        <v>AG031</v>
      </c>
      <c r="AS138" s="27" t="str">
        <f t="shared" si="64"/>
        <v>62</v>
      </c>
      <c r="AT138" s="27" t="str">
        <f t="shared" si="65"/>
        <v/>
      </c>
      <c r="AU138" s="27" t="str">
        <f t="shared" si="66"/>
        <v/>
      </c>
      <c r="AV138" s="27" t="str">
        <f t="shared" si="67"/>
        <v/>
      </c>
      <c r="AW138" s="27" t="str">
        <f t="shared" si="68"/>
        <v/>
      </c>
      <c r="AX138" s="27" t="str">
        <f t="shared" si="69"/>
        <v/>
      </c>
      <c r="AY138" s="27" t="str">
        <f t="shared" si="70"/>
        <v/>
      </c>
      <c r="AZ138" s="27" t="str">
        <f t="shared" si="71"/>
        <v/>
      </c>
      <c r="BA138" s="27" t="str">
        <f t="shared" si="72"/>
        <v/>
      </c>
      <c r="BB138" s="27" t="str">
        <f t="shared" si="73"/>
        <v/>
      </c>
      <c r="BC138" s="27" t="str">
        <f t="shared" si="74"/>
        <v/>
      </c>
      <c r="BD138" s="27" t="str">
        <f t="shared" si="75"/>
        <v/>
      </c>
      <c r="BE138" s="27" t="str">
        <f t="shared" si="76"/>
        <v/>
      </c>
      <c r="BF138" s="27" t="str">
        <f t="shared" si="77"/>
        <v/>
      </c>
      <c r="BG138" s="27" t="str">
        <f t="shared" si="78"/>
        <v/>
      </c>
      <c r="BH138" s="27" t="str">
        <f t="shared" si="79"/>
        <v/>
      </c>
      <c r="BI138" s="27" t="str">
        <f t="shared" si="80"/>
        <v/>
      </c>
      <c r="BJ138" s="27" t="str">
        <f t="shared" si="81"/>
        <v/>
      </c>
      <c r="BK138" s="27" t="str">
        <f t="shared" si="82"/>
        <v/>
      </c>
      <c r="BL138" s="27" t="str">
        <f t="shared" si="83"/>
        <v/>
      </c>
      <c r="BM138" s="21" t="s">
        <v>5581</v>
      </c>
    </row>
    <row r="139" spans="1:65" ht="15">
      <c r="A139" s="25" t="str">
        <f>IFERROR(INDEX('Hun Demand'!W:W,MATCH(O139,'Hun Demand'!A:A,0)),"")</f>
        <v/>
      </c>
      <c r="B139" s="25" t="str">
        <f>IFERROR(INDEX('Hun Demand'!V:V,MATCH(O139,'Hun Demand'!A:A,0)),"")</f>
        <v/>
      </c>
      <c r="C139" s="25" t="str">
        <f>IFERROR(INDEX('Hun Demand'!U:U,MATCH(O139,'Hun Demand'!A:A,0)),"")</f>
        <v/>
      </c>
      <c r="D139" s="25" t="str">
        <f>IFERROR(INDEX('Hun Demand'!T:T,MATCH(O139,'Hun Demand'!A:A,0)),"")</f>
        <v/>
      </c>
      <c r="E139" s="25" t="str">
        <f>IFERROR(INDEX('Hun Demand'!S:S,MATCH(O139,'Hun Demand'!A:A,0)),"")</f>
        <v/>
      </c>
      <c r="F139" s="25" t="str">
        <f>IFERROR(INDEX('Hun Demand'!R:R,MATCH(O139,'Hun Demand'!A:A,0)),"")</f>
        <v/>
      </c>
      <c r="G139" s="25">
        <f>IFERROR(INDEX('Aub Demand'!W:W,MATCH(O139,'Aub Demand'!A:A,0)),"")</f>
        <v>5</v>
      </c>
      <c r="H139" s="25">
        <f>IFERROR(INDEX('Aub Demand'!V:V,MATCH(O139,'Aub Demand'!A:A,0)),"")</f>
        <v>0</v>
      </c>
      <c r="I139" s="25">
        <f>IFERROR(INDEX('Aub Demand'!U:U,MATCH(O139,'Aub Demand'!A:A,0)),"")</f>
        <v>0</v>
      </c>
      <c r="J139" s="25">
        <f>IFERROR(INDEX('Aub Demand'!T:T,MATCH(O139,'Aub Demand'!A:A,0)),"")</f>
        <v>11</v>
      </c>
      <c r="K139" s="25">
        <f>IFERROR(INDEX('Aub Demand'!S:S,MATCH(O139,'Aub Demand'!A:A,0)),"")</f>
        <v>12</v>
      </c>
      <c r="L139" s="25">
        <f>IFERROR(INDEX('Aub Demand'!R:R,MATCH(O139,'Aub Demand'!A:A,0)),"")</f>
        <v>0</v>
      </c>
      <c r="O139" s="27" t="s">
        <v>316</v>
      </c>
      <c r="P139" s="27" t="str">
        <f>IFERROR(INDEX('Aub Demand'!B:B,MATCH($O139,'Aub Demand'!$A:$A,0)),"")</f>
        <v>SHOOTING STAR</v>
      </c>
      <c r="Q139" s="27" t="str">
        <f>IFERROR(INDEX('Aub Demand'!C:C,MATCH($O139,'Aub Demand'!$A:$A,0)),"")</f>
        <v>DNP A</v>
      </c>
      <c r="R139" s="52">
        <f>IFERROR(IF(AR140=AR139,INDEX('Aub Demand'!K:K,MATCH($O139,'Aub Demand'!$A:$A,0))-IF(AN139="",0,AN139)+AP140,INDEX('Aub Demand'!K:K,MATCH($O139,'Aub Demand'!$A:$A,0))-IF(AN139="",0,AN139)),"")</f>
        <v>0</v>
      </c>
      <c r="S139" s="53">
        <f t="shared" si="56"/>
        <v>0</v>
      </c>
      <c r="T139" s="52">
        <f t="shared" si="57"/>
        <v>8.625</v>
      </c>
      <c r="U139" s="52">
        <f>IFERROR(IF(AR140=AR139,INDEX('Aub Demand'!Q:Q,MATCH($O139,'Aub Demand'!$A:$A,0))-IF(AN139="",0,AN139)+AP140,INDEX('Aub Demand'!Q:Q,MATCH($O139,'Aub Demand'!$A:$A,0))-IF(AN139="",0,AN139)),"")</f>
        <v>0</v>
      </c>
      <c r="V139" s="53">
        <f t="shared" si="58"/>
        <v>0</v>
      </c>
      <c r="W139" s="52">
        <f t="shared" si="59"/>
        <v>8.625</v>
      </c>
      <c r="X139" s="52">
        <f>IFERROR(IF(AND(AR140=AR139,AM139&lt;&gt;""),INDEX('Aub Demand'!Q:Q,MATCH($O139,'Aub Demand'!$A:$A,0))-IF(AN139="",0,AN139)+AP140+AD139+AL139,IF(AR140=AR139,INDEX('Aub Demand'!Q:Q,MATCH($O139,'Aub Demand'!$A:$A,0))-IF(AN139="",0,AN139)+AP140+AD139,IF(AM139&lt;&gt;"",INDEX('Aub Demand'!Q:Q,MATCH($O139,'Aub Demand'!$A:$A,0))-IF(AN139="",0,AN139)+AD139+AL139,INDEX('Aub Demand'!Q:Q,MATCH($O139,'Aub Demand'!$A:$A,0))-IF(AN139="",0,AN139)+AD139))),"")</f>
        <v>0</v>
      </c>
      <c r="Y139" s="53">
        <f t="shared" si="60"/>
        <v>0</v>
      </c>
      <c r="Z139" s="52">
        <f>IF(L139="","",INDEX('Aub Demand'!H:H,MATCH($O139,'Aub Demand'!$A:$A,0)))</f>
        <v>8</v>
      </c>
      <c r="AA139" s="52">
        <f t="shared" si="61"/>
        <v>11.5</v>
      </c>
      <c r="AB139" s="52">
        <f>IFERROR(INDEX('Aub Demand'!L:L,MATCH($O139,'Aub Demand'!$A:$A,0)),"")</f>
        <v>0</v>
      </c>
      <c r="AC139" s="52">
        <f>IFERROR(IF(O139="","",SUMIFS('CPL Mats'!F:F,'CPL Mats'!Q:Q,AR139,'CPL Mats'!S:S,AS139)),"")</f>
        <v>0</v>
      </c>
      <c r="AF139" s="25" t="str">
        <f>IF(SUMIFS('Supp Consol'!S:S,'Supp Consol'!Y:Y,"Releasable",'Supp Consol'!A:A,O139)=0,"",SUMIFS('Supp Consol'!S:S,'Supp Consol'!Y:Y,"Releasable",'Supp Consol'!A:A,O139))</f>
        <v/>
      </c>
      <c r="AG139" s="25" t="str">
        <f>IFERROR(INDEX('Hun Demand'!Q:Q,MATCH(O139,'Hun Demand'!A:A,0)),"")</f>
        <v/>
      </c>
      <c r="AH139" s="25" t="str">
        <f>IFERROR(INDEX('Hun Demand'!H:H,MATCH($O139,'Hun Demand'!$A:$A,0)),"")</f>
        <v/>
      </c>
      <c r="AI139" s="25" t="str">
        <f>IF(SUMIFS('Supp Consol'!AA:AA,'Supp Consol'!Z:Z,"Expires this month",'Supp Consol'!A:A,O139)=0,"",SUMIFS('Supp Consol'!AA:AA,'Supp Consol'!Z:Z,"Expires this month",'Supp Consol'!A:A,O139))</f>
        <v/>
      </c>
      <c r="AJ139" s="25" t="str">
        <f>IF(SUMIFS('Supp Consol'!AA:AA,'Supp Consol'!Z:Z,"Expired Previous Months",'Supp Consol'!A:A,O139)=0,"",SUMIFS('Supp Consol'!AA:AA,'Supp Consol'!Z:Z,"Expired Previous Months",'Supp Consol'!A:A,O139))</f>
        <v/>
      </c>
      <c r="AK139" s="25" t="str">
        <f>IFERROR(INDEX('Hun Release Current'!B:B,MATCH(O139,'Hun Release Current'!A:A,0)),"")</f>
        <v/>
      </c>
      <c r="AL139" s="25" t="str">
        <f>IF(SUMIF('Prev Aub'!A:A,O139,'Prev Aub'!B:B)=0,"",SUMIF('Prev Aub'!A:A,O139,'Prev Aub'!B:B))</f>
        <v/>
      </c>
      <c r="AN139" s="25" t="s">
        <v>3790</v>
      </c>
      <c r="AO139" s="25" t="s">
        <v>3790</v>
      </c>
      <c r="AP139" s="25">
        <f t="shared" si="62"/>
        <v>0</v>
      </c>
      <c r="AQ139" s="151" t="str">
        <f>IF(SUMIFS('Supp Consol'!S:S,'Supp Consol'!A:A,O139,'Supp Consol'!I:I,"PENDING")=0,"",SUMIFS('Supp Consol'!S:S,'Supp Consol'!A:A,O139,'Supp Consol'!I:I,"PENDING"))</f>
        <v/>
      </c>
      <c r="AR139" s="27" t="str">
        <f t="shared" si="63"/>
        <v>AG041</v>
      </c>
      <c r="AS139" s="27" t="str">
        <f t="shared" si="64"/>
        <v>50</v>
      </c>
      <c r="AT139" s="27" t="str">
        <f t="shared" si="65"/>
        <v>AG041</v>
      </c>
      <c r="AU139" s="27" t="str">
        <f t="shared" si="66"/>
        <v>AG041</v>
      </c>
      <c r="AV139" s="27" t="str">
        <f t="shared" si="67"/>
        <v>AG041</v>
      </c>
      <c r="AW139" s="27" t="str">
        <f t="shared" si="68"/>
        <v/>
      </c>
      <c r="AX139" s="27" t="str">
        <f t="shared" si="69"/>
        <v/>
      </c>
      <c r="AY139" s="27" t="str">
        <f t="shared" si="70"/>
        <v/>
      </c>
      <c r="AZ139" s="27" t="str">
        <f t="shared" si="71"/>
        <v/>
      </c>
      <c r="BA139" s="27" t="str">
        <f t="shared" si="72"/>
        <v/>
      </c>
      <c r="BB139" s="27" t="str">
        <f t="shared" si="73"/>
        <v>Gross</v>
      </c>
      <c r="BC139" s="27" t="str">
        <f t="shared" si="74"/>
        <v>Net</v>
      </c>
      <c r="BD139" s="27" t="str">
        <f t="shared" si="75"/>
        <v>Net</v>
      </c>
      <c r="BE139" s="27" t="str">
        <f t="shared" si="76"/>
        <v/>
      </c>
      <c r="BF139" s="27" t="str">
        <f t="shared" si="77"/>
        <v/>
      </c>
      <c r="BG139" s="27" t="str">
        <f t="shared" si="78"/>
        <v/>
      </c>
      <c r="BH139" s="27" t="str">
        <f t="shared" si="79"/>
        <v/>
      </c>
      <c r="BI139" s="27" t="str">
        <f t="shared" si="80"/>
        <v/>
      </c>
      <c r="BJ139" s="27" t="str">
        <f t="shared" si="81"/>
        <v/>
      </c>
      <c r="BK139" s="27" t="str">
        <f t="shared" si="82"/>
        <v/>
      </c>
      <c r="BL139" s="27" t="str">
        <f t="shared" si="83"/>
        <v/>
      </c>
      <c r="BM139" s="21" t="s">
        <v>5581</v>
      </c>
    </row>
    <row r="140" spans="1:65" ht="15">
      <c r="A140" s="25" t="str">
        <f>IFERROR(INDEX('Hun Demand'!W:W,MATCH(O140,'Hun Demand'!A:A,0)),"")</f>
        <v/>
      </c>
      <c r="B140" s="25" t="str">
        <f>IFERROR(INDEX('Hun Demand'!V:V,MATCH(O140,'Hun Demand'!A:A,0)),"")</f>
        <v/>
      </c>
      <c r="C140" s="25" t="str">
        <f>IFERROR(INDEX('Hun Demand'!U:U,MATCH(O140,'Hun Demand'!A:A,0)),"")</f>
        <v/>
      </c>
      <c r="D140" s="25" t="str">
        <f>IFERROR(INDEX('Hun Demand'!T:T,MATCH(O140,'Hun Demand'!A:A,0)),"")</f>
        <v/>
      </c>
      <c r="E140" s="25" t="str">
        <f>IFERROR(INDEX('Hun Demand'!S:S,MATCH(O140,'Hun Demand'!A:A,0)),"")</f>
        <v/>
      </c>
      <c r="F140" s="25" t="str">
        <f>IFERROR(INDEX('Hun Demand'!R:R,MATCH(O140,'Hun Demand'!A:A,0)),"")</f>
        <v/>
      </c>
      <c r="G140" s="25">
        <f>IFERROR(INDEX('Aub Demand'!W:W,MATCH(O140,'Aub Demand'!A:A,0)),"")</f>
        <v>10</v>
      </c>
      <c r="H140" s="25">
        <f>IFERROR(INDEX('Aub Demand'!V:V,MATCH(O140,'Aub Demand'!A:A,0)),"")</f>
        <v>295</v>
      </c>
      <c r="I140" s="25">
        <f>IFERROR(INDEX('Aub Demand'!U:U,MATCH(O140,'Aub Demand'!A:A,0)),"")</f>
        <v>0</v>
      </c>
      <c r="J140" s="25">
        <f>IFERROR(INDEX('Aub Demand'!T:T,MATCH(O140,'Aub Demand'!A:A,0)),"")</f>
        <v>0</v>
      </c>
      <c r="K140" s="25">
        <f>IFERROR(INDEX('Aub Demand'!S:S,MATCH(O140,'Aub Demand'!A:A,0)),"")</f>
        <v>0</v>
      </c>
      <c r="L140" s="25">
        <f>IFERROR(INDEX('Aub Demand'!R:R,MATCH(O140,'Aub Demand'!A:A,0)),"")</f>
        <v>0</v>
      </c>
      <c r="O140" s="27" t="s">
        <v>319</v>
      </c>
      <c r="P140" s="27" t="str">
        <f>IFERROR(INDEX('Aub Demand'!B:B,MATCH($O140,'Aub Demand'!$A:$A,0)),"")</f>
        <v>SHOOTING STAR</v>
      </c>
      <c r="Q140" s="27" t="str">
        <f>IFERROR(INDEX('Aub Demand'!C:C,MATCH($O140,'Aub Demand'!$A:$A,0)),"")</f>
        <v>DNP A</v>
      </c>
      <c r="R140" s="52">
        <f>IFERROR(IF(AR141=AR140,INDEX('Aub Demand'!K:K,MATCH($O140,'Aub Demand'!$A:$A,0))-IF(AN140="",0,AN140)+AP141,INDEX('Aub Demand'!K:K,MATCH($O140,'Aub Demand'!$A:$A,0))-IF(AN140="",0,AN140)),"")</f>
        <v>2287</v>
      </c>
      <c r="S140" s="53" t="str">
        <f t="shared" si="56"/>
        <v>n/a</v>
      </c>
      <c r="T140" s="52" t="str">
        <f t="shared" si="57"/>
        <v/>
      </c>
      <c r="U140" s="52">
        <f>IFERROR(IF(AR141=AR140,INDEX('Aub Demand'!Q:Q,MATCH($O140,'Aub Demand'!$A:$A,0))-IF(AN140="",0,AN140)+AP141,INDEX('Aub Demand'!Q:Q,MATCH($O140,'Aub Demand'!$A:$A,0))-IF(AN140="",0,AN140)),"")</f>
        <v>2287</v>
      </c>
      <c r="V140" s="53" t="str">
        <f t="shared" si="58"/>
        <v>n/a</v>
      </c>
      <c r="W140" s="52" t="str">
        <f t="shared" si="59"/>
        <v/>
      </c>
      <c r="X140" s="52">
        <f>IFERROR(IF(AND(AR141=AR140,AM140&lt;&gt;""),INDEX('Aub Demand'!Q:Q,MATCH($O140,'Aub Demand'!$A:$A,0))-IF(AN140="",0,AN140)+AP141+AD140+AL140,IF(AR141=AR140,INDEX('Aub Demand'!Q:Q,MATCH($O140,'Aub Demand'!$A:$A,0))-IF(AN140="",0,AN140)+AP141+AD140,IF(AM140&lt;&gt;"",INDEX('Aub Demand'!Q:Q,MATCH($O140,'Aub Demand'!$A:$A,0))-IF(AN140="",0,AN140)+AD140+AL140,INDEX('Aub Demand'!Q:Q,MATCH($O140,'Aub Demand'!$A:$A,0))-IF(AN140="",0,AN140)+AD140))),"")</f>
        <v>2287</v>
      </c>
      <c r="Y140" s="53" t="str">
        <f t="shared" si="60"/>
        <v>n/a</v>
      </c>
      <c r="Z140" s="52">
        <f>IF(L140="","",INDEX('Aub Demand'!H:H,MATCH($O140,'Aub Demand'!$A:$A,0)))</f>
        <v>0</v>
      </c>
      <c r="AA140" s="52" t="str">
        <f t="shared" si="61"/>
        <v>-spike-</v>
      </c>
      <c r="AB140" s="52">
        <f>IFERROR(INDEX('Aub Demand'!L:L,MATCH($O140,'Aub Demand'!$A:$A,0)),"")</f>
        <v>294</v>
      </c>
      <c r="AC140" s="52">
        <f>IFERROR(IF(O140="","",SUMIFS('CPL Mats'!F:F,'CPL Mats'!Q:Q,AR140,'CPL Mats'!S:S,AS140)),"")</f>
        <v>0</v>
      </c>
      <c r="AF140" s="25" t="str">
        <f>IF(SUMIFS('Supp Consol'!S:S,'Supp Consol'!Y:Y,"Releasable",'Supp Consol'!A:A,O140)=0,"",SUMIFS('Supp Consol'!S:S,'Supp Consol'!Y:Y,"Releasable",'Supp Consol'!A:A,O140))</f>
        <v/>
      </c>
      <c r="AG140" s="25" t="str">
        <f>IFERROR(INDEX('Hun Demand'!Q:Q,MATCH(O140,'Hun Demand'!A:A,0)),"")</f>
        <v/>
      </c>
      <c r="AH140" s="25" t="str">
        <f>IFERROR(INDEX('Hun Demand'!H:H,MATCH($O140,'Hun Demand'!$A:$A,0)),"")</f>
        <v/>
      </c>
      <c r="AI140" s="25" t="str">
        <f>IF(SUMIFS('Supp Consol'!AA:AA,'Supp Consol'!Z:Z,"Expires this month",'Supp Consol'!A:A,O140)=0,"",SUMIFS('Supp Consol'!AA:AA,'Supp Consol'!Z:Z,"Expires this month",'Supp Consol'!A:A,O140))</f>
        <v/>
      </c>
      <c r="AJ140" s="25" t="str">
        <f>IF(SUMIFS('Supp Consol'!AA:AA,'Supp Consol'!Z:Z,"Expired Previous Months",'Supp Consol'!A:A,O140)=0,"",SUMIFS('Supp Consol'!AA:AA,'Supp Consol'!Z:Z,"Expired Previous Months",'Supp Consol'!A:A,O140))</f>
        <v/>
      </c>
      <c r="AK140" s="25" t="str">
        <f>IFERROR(INDEX('Hun Release Current'!B:B,MATCH(O140,'Hun Release Current'!A:A,0)),"")</f>
        <v/>
      </c>
      <c r="AL140" s="25" t="str">
        <f>IF(SUMIF('Prev Aub'!A:A,O140,'Prev Aub'!B:B)=0,"",SUMIF('Prev Aub'!A:A,O140,'Prev Aub'!B:B))</f>
        <v/>
      </c>
      <c r="AN140" s="25" t="s">
        <v>3790</v>
      </c>
      <c r="AO140" s="25" t="s">
        <v>3790</v>
      </c>
      <c r="AP140" s="25">
        <f t="shared" si="62"/>
        <v>0</v>
      </c>
      <c r="AQ140" s="151" t="str">
        <f>IF(SUMIFS('Supp Consol'!S:S,'Supp Consol'!A:A,O140,'Supp Consol'!I:I,"PENDING")=0,"",SUMIFS('Supp Consol'!S:S,'Supp Consol'!A:A,O140,'Supp Consol'!I:I,"PENDING"))</f>
        <v/>
      </c>
      <c r="AR140" s="27" t="str">
        <f t="shared" si="63"/>
        <v>AG041</v>
      </c>
      <c r="AS140" s="27" t="str">
        <f t="shared" si="64"/>
        <v>62</v>
      </c>
      <c r="AT140" s="27" t="str">
        <f t="shared" si="65"/>
        <v/>
      </c>
      <c r="AU140" s="27" t="str">
        <f t="shared" si="66"/>
        <v/>
      </c>
      <c r="AV140" s="27" t="str">
        <f t="shared" si="67"/>
        <v/>
      </c>
      <c r="AW140" s="27" t="str">
        <f t="shared" si="68"/>
        <v/>
      </c>
      <c r="AX140" s="27" t="str">
        <f t="shared" si="69"/>
        <v/>
      </c>
      <c r="AY140" s="27" t="str">
        <f t="shared" si="70"/>
        <v/>
      </c>
      <c r="AZ140" s="27" t="str">
        <f t="shared" si="71"/>
        <v/>
      </c>
      <c r="BA140" s="27" t="str">
        <f t="shared" si="72"/>
        <v/>
      </c>
      <c r="BB140" s="27" t="str">
        <f t="shared" si="73"/>
        <v>Gross</v>
      </c>
      <c r="BC140" s="27" t="str">
        <f t="shared" si="74"/>
        <v>Net</v>
      </c>
      <c r="BD140" s="27" t="str">
        <f t="shared" si="75"/>
        <v>Net</v>
      </c>
      <c r="BE140" s="27" t="str">
        <f t="shared" si="76"/>
        <v/>
      </c>
      <c r="BF140" s="27" t="str">
        <f t="shared" si="77"/>
        <v/>
      </c>
      <c r="BG140" s="27" t="str">
        <f t="shared" si="78"/>
        <v/>
      </c>
      <c r="BH140" s="27" t="str">
        <f t="shared" si="79"/>
        <v/>
      </c>
      <c r="BI140" s="27" t="str">
        <f t="shared" si="80"/>
        <v/>
      </c>
      <c r="BJ140" s="27" t="str">
        <f t="shared" si="81"/>
        <v/>
      </c>
      <c r="BK140" s="27" t="str">
        <f t="shared" si="82"/>
        <v/>
      </c>
      <c r="BL140" s="27" t="str">
        <f t="shared" si="83"/>
        <v/>
      </c>
      <c r="BM140" s="21" t="s">
        <v>5581</v>
      </c>
    </row>
    <row r="141" spans="1:65" ht="15">
      <c r="A141" s="25" t="str">
        <f>IFERROR(INDEX('Hun Demand'!W:W,MATCH(O141,'Hun Demand'!A:A,0)),"")</f>
        <v/>
      </c>
      <c r="B141" s="25" t="str">
        <f>IFERROR(INDEX('Hun Demand'!V:V,MATCH(O141,'Hun Demand'!A:A,0)),"")</f>
        <v/>
      </c>
      <c r="C141" s="25" t="str">
        <f>IFERROR(INDEX('Hun Demand'!U:U,MATCH(O141,'Hun Demand'!A:A,0)),"")</f>
        <v/>
      </c>
      <c r="D141" s="25" t="str">
        <f>IFERROR(INDEX('Hun Demand'!T:T,MATCH(O141,'Hun Demand'!A:A,0)),"")</f>
        <v/>
      </c>
      <c r="E141" s="25" t="str">
        <f>IFERROR(INDEX('Hun Demand'!S:S,MATCH(O141,'Hun Demand'!A:A,0)),"")</f>
        <v/>
      </c>
      <c r="F141" s="25" t="str">
        <f>IFERROR(INDEX('Hun Demand'!R:R,MATCH(O141,'Hun Demand'!A:A,0)),"")</f>
        <v/>
      </c>
      <c r="G141" s="25">
        <f>IFERROR(INDEX('Aub Demand'!W:W,MATCH(O141,'Aub Demand'!A:A,0)),"")</f>
        <v>0</v>
      </c>
      <c r="H141" s="25">
        <f>IFERROR(INDEX('Aub Demand'!V:V,MATCH(O141,'Aub Demand'!A:A,0)),"")</f>
        <v>0</v>
      </c>
      <c r="I141" s="25">
        <f>IFERROR(INDEX('Aub Demand'!U:U,MATCH(O141,'Aub Demand'!A:A,0)),"")</f>
        <v>0</v>
      </c>
      <c r="J141" s="25">
        <f>IFERROR(INDEX('Aub Demand'!T:T,MATCH(O141,'Aub Demand'!A:A,0)),"")</f>
        <v>0</v>
      </c>
      <c r="K141" s="25">
        <f>IFERROR(INDEX('Aub Demand'!S:S,MATCH(O141,'Aub Demand'!A:A,0)),"")</f>
        <v>20</v>
      </c>
      <c r="L141" s="25">
        <f>IFERROR(INDEX('Aub Demand'!R:R,MATCH(O141,'Aub Demand'!A:A,0)),"")</f>
        <v>0</v>
      </c>
      <c r="O141" s="27" t="s">
        <v>320</v>
      </c>
      <c r="P141" s="27" t="str">
        <f>IFERROR(INDEX('Aub Demand'!B:B,MATCH($O141,'Aub Demand'!$A:$A,0)),"")</f>
        <v>MACADAMIA NUT</v>
      </c>
      <c r="Q141" s="27" t="str">
        <f>IFERROR(INDEX('Aub Demand'!C:C,MATCH($O141,'Aub Demand'!$A:$A,0)),"")</f>
        <v>SCHAT</v>
      </c>
      <c r="R141" s="52">
        <f>IFERROR(IF(AR142=AR141,INDEX('Aub Demand'!K:K,MATCH($O141,'Aub Demand'!$A:$A,0))-IF(AN141="",0,AN141)+AP142,INDEX('Aub Demand'!K:K,MATCH($O141,'Aub Demand'!$A:$A,0))-IF(AN141="",0,AN141)),"")</f>
        <v>0</v>
      </c>
      <c r="S141" s="53">
        <f t="shared" si="56"/>
        <v>0</v>
      </c>
      <c r="T141" s="52" t="str">
        <f t="shared" si="57"/>
        <v/>
      </c>
      <c r="U141" s="52">
        <f>IFERROR(IF(AR142=AR141,INDEX('Aub Demand'!Q:Q,MATCH($O141,'Aub Demand'!$A:$A,0))-IF(AN141="",0,AN141)+AP142,INDEX('Aub Demand'!Q:Q,MATCH($O141,'Aub Demand'!$A:$A,0))-IF(AN141="",0,AN141)),"")</f>
        <v>-3</v>
      </c>
      <c r="V141" s="53">
        <f t="shared" si="58"/>
        <v>-1.8</v>
      </c>
      <c r="W141" s="52" t="str">
        <f t="shared" si="59"/>
        <v/>
      </c>
      <c r="X141" s="52">
        <f>IFERROR(IF(AND(AR142=AR141,AM141&lt;&gt;""),INDEX('Aub Demand'!Q:Q,MATCH($O141,'Aub Demand'!$A:$A,0))-IF(AN141="",0,AN141)+AP142+AD141+AL141,IF(AR142=AR141,INDEX('Aub Demand'!Q:Q,MATCH($O141,'Aub Demand'!$A:$A,0))-IF(AN141="",0,AN141)+AP142+AD141,IF(AM141&lt;&gt;"",INDEX('Aub Demand'!Q:Q,MATCH($O141,'Aub Demand'!$A:$A,0))-IF(AN141="",0,AN141)+AD141+AL141,INDEX('Aub Demand'!Q:Q,MATCH($O141,'Aub Demand'!$A:$A,0))-IF(AN141="",0,AN141)+AD141))),"")</f>
        <v>-3</v>
      </c>
      <c r="Y141" s="53">
        <f t="shared" si="60"/>
        <v>-1.8</v>
      </c>
      <c r="Z141" s="52">
        <f>IF(L141="","",INDEX('Aub Demand'!H:H,MATCH($O141,'Aub Demand'!$A:$A,0)))</f>
        <v>7</v>
      </c>
      <c r="AA141" s="52" t="str">
        <f t="shared" si="61"/>
        <v>-spike-</v>
      </c>
      <c r="AB141" s="52">
        <f>IFERROR(INDEX('Aub Demand'!L:L,MATCH($O141,'Aub Demand'!$A:$A,0)),"")</f>
        <v>15</v>
      </c>
      <c r="AC141" s="52">
        <f>IFERROR(IF(O141="","",SUMIFS('CPL Mats'!F:F,'CPL Mats'!Q:Q,AR141,'CPL Mats'!S:S,AS141)),"")</f>
        <v>0</v>
      </c>
      <c r="AF141" s="25" t="str">
        <f>IF(SUMIFS('Supp Consol'!S:S,'Supp Consol'!Y:Y,"Releasable",'Supp Consol'!A:A,O141)=0,"",SUMIFS('Supp Consol'!S:S,'Supp Consol'!Y:Y,"Releasable",'Supp Consol'!A:A,O141))</f>
        <v/>
      </c>
      <c r="AG141" s="25" t="str">
        <f>IFERROR(INDEX('Hun Demand'!Q:Q,MATCH(O141,'Hun Demand'!A:A,0)),"")</f>
        <v/>
      </c>
      <c r="AH141" s="25" t="str">
        <f>IFERROR(INDEX('Hun Demand'!H:H,MATCH($O141,'Hun Demand'!$A:$A,0)),"")</f>
        <v/>
      </c>
      <c r="AI141" s="25" t="str">
        <f>IF(SUMIFS('Supp Consol'!AA:AA,'Supp Consol'!Z:Z,"Expires this month",'Supp Consol'!A:A,O141)=0,"",SUMIFS('Supp Consol'!AA:AA,'Supp Consol'!Z:Z,"Expires this month",'Supp Consol'!A:A,O141))</f>
        <v/>
      </c>
      <c r="AJ141" s="25" t="str">
        <f>IF(SUMIFS('Supp Consol'!AA:AA,'Supp Consol'!Z:Z,"Expired Previous Months",'Supp Consol'!A:A,O141)=0,"",SUMIFS('Supp Consol'!AA:AA,'Supp Consol'!Z:Z,"Expired Previous Months",'Supp Consol'!A:A,O141))</f>
        <v/>
      </c>
      <c r="AK141" s="25" t="str">
        <f>IFERROR(INDEX('Hun Release Current'!B:B,MATCH(O141,'Hun Release Current'!A:A,0)),"")</f>
        <v/>
      </c>
      <c r="AL141" s="25" t="str">
        <f>IF(SUMIF('Prev Aub'!A:A,O141,'Prev Aub'!B:B)=0,"",SUMIF('Prev Aub'!A:A,O141,'Prev Aub'!B:B))</f>
        <v/>
      </c>
      <c r="AN141" s="25" t="s">
        <v>3790</v>
      </c>
      <c r="AO141" s="25" t="s">
        <v>3790</v>
      </c>
      <c r="AP141" s="25">
        <f t="shared" si="62"/>
        <v>0</v>
      </c>
      <c r="AQ141" s="151" t="str">
        <f>IF(SUMIFS('Supp Consol'!S:S,'Supp Consol'!A:A,O141,'Supp Consol'!I:I,"PENDING")=0,"",SUMIFS('Supp Consol'!S:S,'Supp Consol'!A:A,O141,'Supp Consol'!I:I,"PENDING"))</f>
        <v/>
      </c>
      <c r="AR141" s="27" t="str">
        <f t="shared" si="63"/>
        <v>AG071</v>
      </c>
      <c r="AS141" s="27" t="str">
        <f t="shared" si="64"/>
        <v>50</v>
      </c>
      <c r="AT141" s="27" t="str">
        <f t="shared" si="65"/>
        <v>AG071</v>
      </c>
      <c r="AU141" s="27" t="str">
        <f t="shared" si="66"/>
        <v>AG071</v>
      </c>
      <c r="AV141" s="27" t="str">
        <f t="shared" si="67"/>
        <v>AG071</v>
      </c>
      <c r="AW141" s="27" t="str">
        <f t="shared" si="68"/>
        <v/>
      </c>
      <c r="AX141" s="27" t="str">
        <f t="shared" si="69"/>
        <v/>
      </c>
      <c r="AY141" s="27" t="str">
        <f t="shared" si="70"/>
        <v/>
      </c>
      <c r="AZ141" s="27" t="str">
        <f t="shared" si="71"/>
        <v/>
      </c>
      <c r="BA141" s="27" t="str">
        <f t="shared" si="72"/>
        <v/>
      </c>
      <c r="BB141" s="27" t="str">
        <f t="shared" si="73"/>
        <v>Gross</v>
      </c>
      <c r="BC141" s="27" t="str">
        <f t="shared" si="74"/>
        <v>Net</v>
      </c>
      <c r="BD141" s="27" t="str">
        <f t="shared" si="75"/>
        <v>Net</v>
      </c>
      <c r="BE141" s="27" t="str">
        <f t="shared" si="76"/>
        <v/>
      </c>
      <c r="BF141" s="27" t="str">
        <f t="shared" si="77"/>
        <v/>
      </c>
      <c r="BG141" s="27" t="str">
        <f t="shared" si="78"/>
        <v/>
      </c>
      <c r="BH141" s="27" t="str">
        <f t="shared" si="79"/>
        <v/>
      </c>
      <c r="BI141" s="27" t="str">
        <f t="shared" si="80"/>
        <v/>
      </c>
      <c r="BJ141" s="27" t="str">
        <f t="shared" si="81"/>
        <v/>
      </c>
      <c r="BK141" s="27" t="str">
        <f t="shared" si="82"/>
        <v/>
      </c>
      <c r="BL141" s="27" t="str">
        <f t="shared" si="83"/>
        <v/>
      </c>
      <c r="BM141" s="21" t="s">
        <v>3790</v>
      </c>
    </row>
    <row r="142" spans="1:65" ht="15">
      <c r="A142" s="25" t="str">
        <f>IFERROR(INDEX('Hun Demand'!W:W,MATCH(O142,'Hun Demand'!A:A,0)),"")</f>
        <v/>
      </c>
      <c r="B142" s="25" t="str">
        <f>IFERROR(INDEX('Hun Demand'!V:V,MATCH(O142,'Hun Demand'!A:A,0)),"")</f>
        <v/>
      </c>
      <c r="C142" s="25" t="str">
        <f>IFERROR(INDEX('Hun Demand'!U:U,MATCH(O142,'Hun Demand'!A:A,0)),"")</f>
        <v/>
      </c>
      <c r="D142" s="25" t="str">
        <f>IFERROR(INDEX('Hun Demand'!T:T,MATCH(O142,'Hun Demand'!A:A,0)),"")</f>
        <v/>
      </c>
      <c r="E142" s="25" t="str">
        <f>IFERROR(INDEX('Hun Demand'!S:S,MATCH(O142,'Hun Demand'!A:A,0)),"")</f>
        <v/>
      </c>
      <c r="F142" s="25" t="str">
        <f>IFERROR(INDEX('Hun Demand'!R:R,MATCH(O142,'Hun Demand'!A:A,0)),"")</f>
        <v/>
      </c>
      <c r="G142" s="25">
        <f>IFERROR(INDEX('Aub Demand'!W:W,MATCH(O142,'Aub Demand'!A:A,0)),"")</f>
        <v>0</v>
      </c>
      <c r="H142" s="25">
        <f>IFERROR(INDEX('Aub Demand'!V:V,MATCH(O142,'Aub Demand'!A:A,0)),"")</f>
        <v>2</v>
      </c>
      <c r="I142" s="25">
        <f>IFERROR(INDEX('Aub Demand'!U:U,MATCH(O142,'Aub Demand'!A:A,0)),"")</f>
        <v>0</v>
      </c>
      <c r="J142" s="25">
        <f>IFERROR(INDEX('Aub Demand'!T:T,MATCH(O142,'Aub Demand'!A:A,0)),"")</f>
        <v>0</v>
      </c>
      <c r="K142" s="25">
        <f>IFERROR(INDEX('Aub Demand'!S:S,MATCH(O142,'Aub Demand'!A:A,0)),"")</f>
        <v>0</v>
      </c>
      <c r="L142" s="25">
        <f>IFERROR(INDEX('Aub Demand'!R:R,MATCH(O142,'Aub Demand'!A:A,0)),"")</f>
        <v>0</v>
      </c>
      <c r="O142" s="27" t="s">
        <v>322</v>
      </c>
      <c r="P142" s="27" t="str">
        <f>IFERROR(INDEX('Aub Demand'!B:B,MATCH($O142,'Aub Demand'!$A:$A,0)),"")</f>
        <v>MACADAMIA NUT</v>
      </c>
      <c r="Q142" s="27" t="str">
        <f>IFERROR(INDEX('Aub Demand'!C:C,MATCH($O142,'Aub Demand'!$A:$A,0)),"")</f>
        <v>SCHAT</v>
      </c>
      <c r="R142" s="52">
        <f>IFERROR(IF(AR143=AR142,INDEX('Aub Demand'!K:K,MATCH($O142,'Aub Demand'!$A:$A,0))-IF(AN142="",0,AN142)+AP143,INDEX('Aub Demand'!K:K,MATCH($O142,'Aub Demand'!$A:$A,0))-IF(AN142="",0,AN142)),"")</f>
        <v>1993</v>
      </c>
      <c r="S142" s="53" t="str">
        <f t="shared" si="56"/>
        <v>n/a</v>
      </c>
      <c r="T142" s="52" t="str">
        <f t="shared" si="57"/>
        <v/>
      </c>
      <c r="U142" s="52">
        <f>IFERROR(IF(AR143=AR142,INDEX('Aub Demand'!Q:Q,MATCH($O142,'Aub Demand'!$A:$A,0))-IF(AN142="",0,AN142)+AP143,INDEX('Aub Demand'!Q:Q,MATCH($O142,'Aub Demand'!$A:$A,0))-IF(AN142="",0,AN142)),"")</f>
        <v>1993</v>
      </c>
      <c r="V142" s="53" t="str">
        <f t="shared" si="58"/>
        <v>n/a</v>
      </c>
      <c r="W142" s="52" t="str">
        <f t="shared" si="59"/>
        <v/>
      </c>
      <c r="X142" s="52">
        <f>IFERROR(IF(AND(AR143=AR142,AM142&lt;&gt;""),INDEX('Aub Demand'!Q:Q,MATCH($O142,'Aub Demand'!$A:$A,0))-IF(AN142="",0,AN142)+AP143+AD142+AL142,IF(AR143=AR142,INDEX('Aub Demand'!Q:Q,MATCH($O142,'Aub Demand'!$A:$A,0))-IF(AN142="",0,AN142)+AP143+AD142,IF(AM142&lt;&gt;"",INDEX('Aub Demand'!Q:Q,MATCH($O142,'Aub Demand'!$A:$A,0))-IF(AN142="",0,AN142)+AD142+AL142,INDEX('Aub Demand'!Q:Q,MATCH($O142,'Aub Demand'!$A:$A,0))-IF(AN142="",0,AN142)+AD142))),"")</f>
        <v>1993</v>
      </c>
      <c r="Y142" s="53" t="str">
        <f t="shared" si="60"/>
        <v>n/a</v>
      </c>
      <c r="Z142" s="52">
        <f>IF(L142="","",INDEX('Aub Demand'!H:H,MATCH($O142,'Aub Demand'!$A:$A,0)))</f>
        <v>0</v>
      </c>
      <c r="AA142" s="52" t="str">
        <f t="shared" si="61"/>
        <v>-spike-</v>
      </c>
      <c r="AB142" s="52">
        <f>IFERROR(INDEX('Aub Demand'!L:L,MATCH($O142,'Aub Demand'!$A:$A,0)),"")</f>
        <v>0</v>
      </c>
      <c r="AC142" s="52">
        <f>IFERROR(IF(O142="","",SUMIFS('CPL Mats'!F:F,'CPL Mats'!Q:Q,AR142,'CPL Mats'!S:S,AS142)),"")</f>
        <v>0</v>
      </c>
      <c r="AF142" s="25" t="str">
        <f>IF(SUMIFS('Supp Consol'!S:S,'Supp Consol'!Y:Y,"Releasable",'Supp Consol'!A:A,O142)=0,"",SUMIFS('Supp Consol'!S:S,'Supp Consol'!Y:Y,"Releasable",'Supp Consol'!A:A,O142))</f>
        <v/>
      </c>
      <c r="AG142" s="25" t="str">
        <f>IFERROR(INDEX('Hun Demand'!Q:Q,MATCH(O142,'Hun Demand'!A:A,0)),"")</f>
        <v/>
      </c>
      <c r="AH142" s="25" t="str">
        <f>IFERROR(INDEX('Hun Demand'!H:H,MATCH($O142,'Hun Demand'!$A:$A,0)),"")</f>
        <v/>
      </c>
      <c r="AI142" s="25" t="str">
        <f>IF(SUMIFS('Supp Consol'!AA:AA,'Supp Consol'!Z:Z,"Expires this month",'Supp Consol'!A:A,O142)=0,"",SUMIFS('Supp Consol'!AA:AA,'Supp Consol'!Z:Z,"Expires this month",'Supp Consol'!A:A,O142))</f>
        <v/>
      </c>
      <c r="AJ142" s="25" t="str">
        <f>IF(SUMIFS('Supp Consol'!AA:AA,'Supp Consol'!Z:Z,"Expired Previous Months",'Supp Consol'!A:A,O142)=0,"",SUMIFS('Supp Consol'!AA:AA,'Supp Consol'!Z:Z,"Expired Previous Months",'Supp Consol'!A:A,O142))</f>
        <v/>
      </c>
      <c r="AK142" s="25" t="str">
        <f>IFERROR(INDEX('Hun Release Current'!B:B,MATCH(O142,'Hun Release Current'!A:A,0)),"")</f>
        <v/>
      </c>
      <c r="AL142" s="25" t="str">
        <f>IF(SUMIF('Prev Aub'!A:A,O142,'Prev Aub'!B:B)=0,"",SUMIF('Prev Aub'!A:A,O142,'Prev Aub'!B:B))</f>
        <v/>
      </c>
      <c r="AN142" s="25" t="s">
        <v>3790</v>
      </c>
      <c r="AO142" s="25" t="s">
        <v>3790</v>
      </c>
      <c r="AP142" s="25">
        <f t="shared" si="62"/>
        <v>0</v>
      </c>
      <c r="AQ142" s="151" t="str">
        <f>IF(SUMIFS('Supp Consol'!S:S,'Supp Consol'!A:A,O142,'Supp Consol'!I:I,"PENDING")=0,"",SUMIFS('Supp Consol'!S:S,'Supp Consol'!A:A,O142,'Supp Consol'!I:I,"PENDING"))</f>
        <v/>
      </c>
      <c r="AR142" s="27" t="str">
        <f t="shared" si="63"/>
        <v>AG071</v>
      </c>
      <c r="AS142" s="27" t="str">
        <f t="shared" si="64"/>
        <v>62</v>
      </c>
      <c r="AT142" s="27" t="str">
        <f t="shared" si="65"/>
        <v/>
      </c>
      <c r="AU142" s="27" t="str">
        <f t="shared" si="66"/>
        <v/>
      </c>
      <c r="AV142" s="27" t="str">
        <f t="shared" si="67"/>
        <v/>
      </c>
      <c r="AW142" s="27" t="str">
        <f t="shared" si="68"/>
        <v/>
      </c>
      <c r="AX142" s="27" t="str">
        <f t="shared" si="69"/>
        <v/>
      </c>
      <c r="AY142" s="27" t="str">
        <f t="shared" si="70"/>
        <v/>
      </c>
      <c r="AZ142" s="27" t="str">
        <f t="shared" si="71"/>
        <v/>
      </c>
      <c r="BA142" s="27" t="str">
        <f t="shared" si="72"/>
        <v/>
      </c>
      <c r="BB142" s="27" t="str">
        <f t="shared" si="73"/>
        <v>Gross</v>
      </c>
      <c r="BC142" s="27" t="str">
        <f t="shared" si="74"/>
        <v>Net</v>
      </c>
      <c r="BD142" s="27" t="str">
        <f t="shared" si="75"/>
        <v>Net</v>
      </c>
      <c r="BE142" s="27" t="str">
        <f t="shared" si="76"/>
        <v/>
      </c>
      <c r="BF142" s="27" t="str">
        <f t="shared" si="77"/>
        <v/>
      </c>
      <c r="BG142" s="27" t="str">
        <f t="shared" si="78"/>
        <v/>
      </c>
      <c r="BH142" s="27" t="str">
        <f t="shared" si="79"/>
        <v/>
      </c>
      <c r="BI142" s="27" t="str">
        <f t="shared" si="80"/>
        <v/>
      </c>
      <c r="BJ142" s="27" t="str">
        <f t="shared" si="81"/>
        <v/>
      </c>
      <c r="BK142" s="27" t="str">
        <f t="shared" si="82"/>
        <v/>
      </c>
      <c r="BL142" s="27" t="str">
        <f t="shared" si="83"/>
        <v/>
      </c>
      <c r="BM142" s="21" t="s">
        <v>5581</v>
      </c>
    </row>
    <row r="143" spans="1:65" ht="15">
      <c r="A143" s="25">
        <f>IFERROR(INDEX('Hun Demand'!W:W,MATCH(O143,'Hun Demand'!A:A,0)),"")</f>
        <v>0</v>
      </c>
      <c r="B143" s="25">
        <f>IFERROR(INDEX('Hun Demand'!V:V,MATCH(O143,'Hun Demand'!A:A,0)),"")</f>
        <v>0</v>
      </c>
      <c r="C143" s="25">
        <f>IFERROR(INDEX('Hun Demand'!U:U,MATCH(O143,'Hun Demand'!A:A,0)),"")</f>
        <v>0</v>
      </c>
      <c r="D143" s="25">
        <f>IFERROR(INDEX('Hun Demand'!T:T,MATCH(O143,'Hun Demand'!A:A,0)),"")</f>
        <v>0</v>
      </c>
      <c r="E143" s="25">
        <f>IFERROR(INDEX('Hun Demand'!S:S,MATCH(O143,'Hun Demand'!A:A,0)),"")</f>
        <v>195</v>
      </c>
      <c r="F143" s="25">
        <f>IFERROR(INDEX('Hun Demand'!R:R,MATCH(O143,'Hun Demand'!A:A,0)),"")</f>
        <v>0</v>
      </c>
      <c r="G143" s="25">
        <f>IFERROR(INDEX('Aub Demand'!W:W,MATCH(O143,'Aub Demand'!A:A,0)),"")</f>
        <v>212</v>
      </c>
      <c r="H143" s="25">
        <f>IFERROR(INDEX('Aub Demand'!V:V,MATCH(O143,'Aub Demand'!A:A,0)),"")</f>
        <v>7</v>
      </c>
      <c r="I143" s="25">
        <f>IFERROR(INDEX('Aub Demand'!U:U,MATCH(O143,'Aub Demand'!A:A,0)),"")</f>
        <v>123</v>
      </c>
      <c r="J143" s="25">
        <f>IFERROR(INDEX('Aub Demand'!T:T,MATCH(O143,'Aub Demand'!A:A,0)),"")</f>
        <v>0</v>
      </c>
      <c r="K143" s="25">
        <f>IFERROR(INDEX('Aub Demand'!S:S,MATCH(O143,'Aub Demand'!A:A,0)),"")</f>
        <v>197</v>
      </c>
      <c r="L143" s="25">
        <f>IFERROR(INDEX('Aub Demand'!R:R,MATCH(O143,'Aub Demand'!A:A,0)),"")</f>
        <v>107</v>
      </c>
      <c r="O143" s="27" t="s">
        <v>323</v>
      </c>
      <c r="P143" s="27" t="str">
        <f>IFERROR(INDEX('Aub Demand'!B:B,MATCH($O143,'Aub Demand'!$A:$A,0)),"")</f>
        <v>SUGAR PIE</v>
      </c>
      <c r="Q143" s="27" t="str">
        <f>IFERROR(INDEX('Aub Demand'!C:C,MATCH($O143,'Aub Demand'!$A:$A,0)),"")</f>
        <v>NEODE</v>
      </c>
      <c r="R143" s="52">
        <f>IFERROR(IF(AR144=AR143,INDEX('Aub Demand'!K:K,MATCH($O143,'Aub Demand'!$A:$A,0))-IF(AN143="",0,AN143)+AP144,INDEX('Aub Demand'!K:K,MATCH($O143,'Aub Demand'!$A:$A,0))-IF(AN143="",0,AN143)),"")</f>
        <v>1556</v>
      </c>
      <c r="S143" s="53">
        <f t="shared" si="56"/>
        <v>62.3</v>
      </c>
      <c r="T143" s="52" t="str">
        <f t="shared" si="57"/>
        <v/>
      </c>
      <c r="U143" s="52">
        <f>IFERROR(IF(AR144=AR143,INDEX('Aub Demand'!Q:Q,MATCH($O143,'Aub Demand'!$A:$A,0))-IF(AN143="",0,AN143)+AP144,INDEX('Aub Demand'!Q:Q,MATCH($O143,'Aub Demand'!$A:$A,0))-IF(AN143="",0,AN143)),"")</f>
        <v>1543</v>
      </c>
      <c r="V143" s="53">
        <f t="shared" si="58"/>
        <v>61.8</v>
      </c>
      <c r="W143" s="52" t="str">
        <f t="shared" si="59"/>
        <v/>
      </c>
      <c r="X143" s="52">
        <f>IFERROR(IF(AND(AR144=AR143,AM143&lt;&gt;""),INDEX('Aub Demand'!Q:Q,MATCH($O143,'Aub Demand'!$A:$A,0))-IF(AN143="",0,AN143)+AP144+AD143+AL143,IF(AR144=AR143,INDEX('Aub Demand'!Q:Q,MATCH($O143,'Aub Demand'!$A:$A,0))-IF(AN143="",0,AN143)+AP144+AD143,IF(AM143&lt;&gt;"",INDEX('Aub Demand'!Q:Q,MATCH($O143,'Aub Demand'!$A:$A,0))-IF(AN143="",0,AN143)+AD143+AL143,INDEX('Aub Demand'!Q:Q,MATCH($O143,'Aub Demand'!$A:$A,0))-IF(AN143="",0,AN143)+AD143))),"")</f>
        <v>1543</v>
      </c>
      <c r="Y143" s="53">
        <f t="shared" si="60"/>
        <v>61.8</v>
      </c>
      <c r="Z143" s="52">
        <f>IF(L143="","",INDEX('Aub Demand'!H:H,MATCH($O143,'Aub Demand'!$A:$A,0)))</f>
        <v>107</v>
      </c>
      <c r="AA143" s="52">
        <f t="shared" si="61"/>
        <v>160</v>
      </c>
      <c r="AB143" s="52">
        <f>IFERROR(INDEX('Aub Demand'!L:L,MATCH($O143,'Aub Demand'!$A:$A,0)),"")</f>
        <v>130</v>
      </c>
      <c r="AC143" s="52">
        <f>IFERROR(IF(O143="","",SUMIFS('CPL Mats'!F:F,'CPL Mats'!Q:Q,AR143,'CPL Mats'!S:S,AS143)),"")</f>
        <v>0</v>
      </c>
      <c r="AF143" s="25" t="str">
        <f>IF(SUMIFS('Supp Consol'!S:S,'Supp Consol'!Y:Y,"Releasable",'Supp Consol'!A:A,O143)=0,"",SUMIFS('Supp Consol'!S:S,'Supp Consol'!Y:Y,"Releasable",'Supp Consol'!A:A,O143))</f>
        <v/>
      </c>
      <c r="AG143" s="25">
        <f>IFERROR(INDEX('Hun Demand'!Q:Q,MATCH(O143,'Hun Demand'!A:A,0)),"")</f>
        <v>0</v>
      </c>
      <c r="AH143" s="25">
        <f>IFERROR(INDEX('Hun Demand'!H:H,MATCH($O143,'Hun Demand'!$A:$A,0)),"")</f>
        <v>65</v>
      </c>
      <c r="AI143" s="25" t="str">
        <f>IF(SUMIFS('Supp Consol'!AA:AA,'Supp Consol'!Z:Z,"Expires this month",'Supp Consol'!A:A,O143)=0,"",SUMIFS('Supp Consol'!AA:AA,'Supp Consol'!Z:Z,"Expires this month",'Supp Consol'!A:A,O143))</f>
        <v/>
      </c>
      <c r="AJ143" s="25" t="str">
        <f>IF(SUMIFS('Supp Consol'!AA:AA,'Supp Consol'!Z:Z,"Expired Previous Months",'Supp Consol'!A:A,O143)=0,"",SUMIFS('Supp Consol'!AA:AA,'Supp Consol'!Z:Z,"Expired Previous Months",'Supp Consol'!A:A,O143))</f>
        <v/>
      </c>
      <c r="AK143" s="25" t="str">
        <f>IFERROR(INDEX('Hun Release Current'!B:B,MATCH(O143,'Hun Release Current'!A:A,0)),"")</f>
        <v/>
      </c>
      <c r="AL143" s="25" t="str">
        <f>IF(SUMIF('Prev Aub'!A:A,O143,'Prev Aub'!B:B)=0,"",SUMIF('Prev Aub'!A:A,O143,'Prev Aub'!B:B))</f>
        <v/>
      </c>
      <c r="AN143" s="25" t="s">
        <v>3790</v>
      </c>
      <c r="AO143" s="25" t="s">
        <v>3790</v>
      </c>
      <c r="AP143" s="25">
        <f t="shared" si="62"/>
        <v>0</v>
      </c>
      <c r="AQ143" s="151" t="str">
        <f>IF(SUMIFS('Supp Consol'!S:S,'Supp Consol'!A:A,O143,'Supp Consol'!I:I,"PENDING")=0,"",SUMIFS('Supp Consol'!S:S,'Supp Consol'!A:A,O143,'Supp Consol'!I:I,"PENDING"))</f>
        <v/>
      </c>
      <c r="AR143" s="27" t="str">
        <f t="shared" si="63"/>
        <v>AG081</v>
      </c>
      <c r="AS143" s="27" t="str">
        <f t="shared" si="64"/>
        <v>50</v>
      </c>
      <c r="AT143" s="27" t="str">
        <f t="shared" si="65"/>
        <v/>
      </c>
      <c r="AU143" s="27" t="str">
        <f t="shared" si="66"/>
        <v/>
      </c>
      <c r="AV143" s="27" t="str">
        <f t="shared" si="67"/>
        <v/>
      </c>
      <c r="AW143" s="27" t="str">
        <f t="shared" si="68"/>
        <v/>
      </c>
      <c r="AX143" s="27" t="str">
        <f t="shared" si="69"/>
        <v/>
      </c>
      <c r="AY143" s="27" t="str">
        <f t="shared" si="70"/>
        <v/>
      </c>
      <c r="AZ143" s="27" t="str">
        <f t="shared" si="71"/>
        <v/>
      </c>
      <c r="BA143" s="27" t="str">
        <f t="shared" si="72"/>
        <v/>
      </c>
      <c r="BB143" s="27" t="str">
        <f t="shared" si="73"/>
        <v/>
      </c>
      <c r="BC143" s="27" t="str">
        <f t="shared" si="74"/>
        <v/>
      </c>
      <c r="BD143" s="27" t="str">
        <f t="shared" si="75"/>
        <v/>
      </c>
      <c r="BE143" s="27" t="str">
        <f t="shared" si="76"/>
        <v/>
      </c>
      <c r="BF143" s="27" t="str">
        <f t="shared" si="77"/>
        <v/>
      </c>
      <c r="BG143" s="27" t="str">
        <f t="shared" si="78"/>
        <v/>
      </c>
      <c r="BH143" s="27" t="str">
        <f t="shared" si="79"/>
        <v/>
      </c>
      <c r="BI143" s="27" t="str">
        <f t="shared" si="80"/>
        <v/>
      </c>
      <c r="BJ143" s="27" t="str">
        <f t="shared" si="81"/>
        <v/>
      </c>
      <c r="BK143" s="27" t="str">
        <f t="shared" si="82"/>
        <v/>
      </c>
      <c r="BL143" s="27" t="str">
        <f t="shared" si="83"/>
        <v/>
      </c>
      <c r="BM143" s="21" t="s">
        <v>5581</v>
      </c>
    </row>
    <row r="144" spans="1:65" ht="15">
      <c r="A144" s="25">
        <f>IFERROR(INDEX('Hun Demand'!W:W,MATCH(O144,'Hun Demand'!A:A,0)),"")</f>
        <v>0</v>
      </c>
      <c r="B144" s="25">
        <f>IFERROR(INDEX('Hun Demand'!V:V,MATCH(O144,'Hun Demand'!A:A,0)),"")</f>
        <v>0</v>
      </c>
      <c r="C144" s="25">
        <f>IFERROR(INDEX('Hun Demand'!U:U,MATCH(O144,'Hun Demand'!A:A,0)),"")</f>
        <v>0</v>
      </c>
      <c r="D144" s="25">
        <f>IFERROR(INDEX('Hun Demand'!T:T,MATCH(O144,'Hun Demand'!A:A,0)),"")</f>
        <v>0</v>
      </c>
      <c r="E144" s="25">
        <f>IFERROR(INDEX('Hun Demand'!S:S,MATCH(O144,'Hun Demand'!A:A,0)),"")</f>
        <v>0</v>
      </c>
      <c r="F144" s="25">
        <f>IFERROR(INDEX('Hun Demand'!R:R,MATCH(O144,'Hun Demand'!A:A,0)),"")</f>
        <v>0</v>
      </c>
      <c r="G144" s="25">
        <f>IFERROR(INDEX('Aub Demand'!W:W,MATCH(O144,'Aub Demand'!A:A,0)),"")</f>
        <v>114</v>
      </c>
      <c r="H144" s="25">
        <f>IFERROR(INDEX('Aub Demand'!V:V,MATCH(O144,'Aub Demand'!A:A,0)),"")</f>
        <v>110</v>
      </c>
      <c r="I144" s="25">
        <f>IFERROR(INDEX('Aub Demand'!U:U,MATCH(O144,'Aub Demand'!A:A,0)),"")</f>
        <v>102</v>
      </c>
      <c r="J144" s="25">
        <f>IFERROR(INDEX('Aub Demand'!T:T,MATCH(O144,'Aub Demand'!A:A,0)),"")</f>
        <v>146</v>
      </c>
      <c r="K144" s="25">
        <f>IFERROR(INDEX('Aub Demand'!S:S,MATCH(O144,'Aub Demand'!A:A,0)),"")</f>
        <v>144</v>
      </c>
      <c r="L144" s="25">
        <f>IFERROR(INDEX('Aub Demand'!R:R,MATCH(O144,'Aub Demand'!A:A,0)),"")</f>
        <v>0</v>
      </c>
      <c r="O144" s="27" t="s">
        <v>326</v>
      </c>
      <c r="P144" s="27" t="str">
        <f>IFERROR(INDEX('Aub Demand'!B:B,MATCH($O144,'Aub Demand'!$A:$A,0)),"")</f>
        <v>SUGAR PIE</v>
      </c>
      <c r="Q144" s="27" t="str">
        <f>IFERROR(INDEX('Aub Demand'!C:C,MATCH($O144,'Aub Demand'!$A:$A,0)),"")</f>
        <v>NEODE</v>
      </c>
      <c r="R144" s="52">
        <f>IFERROR(IF(AR145=AR144,INDEX('Aub Demand'!K:K,MATCH($O144,'Aub Demand'!$A:$A,0))-IF(AN144="",0,AN144)+AP145,INDEX('Aub Demand'!K:K,MATCH($O144,'Aub Demand'!$A:$A,0))-IF(AN144="",0,AN144)),"")</f>
        <v>3270</v>
      </c>
      <c r="S144" s="53">
        <f t="shared" si="56"/>
        <v>107</v>
      </c>
      <c r="T144" s="52" t="str">
        <f t="shared" si="57"/>
        <v/>
      </c>
      <c r="U144" s="52">
        <f>IFERROR(IF(AR145=AR144,INDEX('Aub Demand'!Q:Q,MATCH($O144,'Aub Demand'!$A:$A,0))-IF(AN144="",0,AN144)+AP145,INDEX('Aub Demand'!Q:Q,MATCH($O144,'Aub Demand'!$A:$A,0))-IF(AN144="",0,AN144)),"")</f>
        <v>3257</v>
      </c>
      <c r="V144" s="53">
        <f t="shared" si="58"/>
        <v>106.6</v>
      </c>
      <c r="W144" s="52" t="str">
        <f t="shared" si="59"/>
        <v/>
      </c>
      <c r="X144" s="52">
        <f>IFERROR(IF(AND(AR145=AR144,AM144&lt;&gt;""),INDEX('Aub Demand'!Q:Q,MATCH($O144,'Aub Demand'!$A:$A,0))-IF(AN144="",0,AN144)+AP145+AD144+AL144,IF(AR145=AR144,INDEX('Aub Demand'!Q:Q,MATCH($O144,'Aub Demand'!$A:$A,0))-IF(AN144="",0,AN144)+AP145+AD144,IF(AM144&lt;&gt;"",INDEX('Aub Demand'!Q:Q,MATCH($O144,'Aub Demand'!$A:$A,0))-IF(AN144="",0,AN144)+AD144+AL144,INDEX('Aub Demand'!Q:Q,MATCH($O144,'Aub Demand'!$A:$A,0))-IF(AN144="",0,AN144)+AD144))),"")</f>
        <v>3257</v>
      </c>
      <c r="Y144" s="53">
        <f t="shared" si="60"/>
        <v>106.6</v>
      </c>
      <c r="Z144" s="52">
        <f>IF(L144="","",INDEX('Aub Demand'!H:H,MATCH($O144,'Aub Demand'!$A:$A,0)))</f>
        <v>131</v>
      </c>
      <c r="AA144" s="52">
        <f t="shared" si="61"/>
        <v>145</v>
      </c>
      <c r="AB144" s="52">
        <f>IFERROR(INDEX('Aub Demand'!L:L,MATCH($O144,'Aub Demand'!$A:$A,0)),"")</f>
        <v>86</v>
      </c>
      <c r="AC144" s="52">
        <f>IFERROR(IF(O144="","",SUMIFS('CPL Mats'!F:F,'CPL Mats'!Q:Q,AR144,'CPL Mats'!S:S,AS144)),"")</f>
        <v>0</v>
      </c>
      <c r="AF144" s="25" t="str">
        <f>IF(SUMIFS('Supp Consol'!S:S,'Supp Consol'!Y:Y,"Releasable",'Supp Consol'!A:A,O144)=0,"",SUMIFS('Supp Consol'!S:S,'Supp Consol'!Y:Y,"Releasable",'Supp Consol'!A:A,O144))</f>
        <v/>
      </c>
      <c r="AG144" s="25">
        <f>IFERROR(INDEX('Hun Demand'!Q:Q,MATCH(O144,'Hun Demand'!A:A,0)),"")</f>
        <v>0</v>
      </c>
      <c r="AH144" s="25">
        <f>IFERROR(INDEX('Hun Demand'!H:H,MATCH($O144,'Hun Demand'!$A:$A,0)),"")</f>
        <v>0</v>
      </c>
      <c r="AI144" s="25" t="str">
        <f>IF(SUMIFS('Supp Consol'!AA:AA,'Supp Consol'!Z:Z,"Expires this month",'Supp Consol'!A:A,O144)=0,"",SUMIFS('Supp Consol'!AA:AA,'Supp Consol'!Z:Z,"Expires this month",'Supp Consol'!A:A,O144))</f>
        <v/>
      </c>
      <c r="AJ144" s="25" t="str">
        <f>IF(SUMIFS('Supp Consol'!AA:AA,'Supp Consol'!Z:Z,"Expired Previous Months",'Supp Consol'!A:A,O144)=0,"",SUMIFS('Supp Consol'!AA:AA,'Supp Consol'!Z:Z,"Expired Previous Months",'Supp Consol'!A:A,O144))</f>
        <v/>
      </c>
      <c r="AK144" s="25" t="str">
        <f>IFERROR(INDEX('Hun Release Current'!B:B,MATCH(O144,'Hun Release Current'!A:A,0)),"")</f>
        <v/>
      </c>
      <c r="AL144" s="25" t="str">
        <f>IF(SUMIF('Prev Aub'!A:A,O144,'Prev Aub'!B:B)=0,"",SUMIF('Prev Aub'!A:A,O144,'Prev Aub'!B:B))</f>
        <v/>
      </c>
      <c r="AN144" s="25" t="s">
        <v>3790</v>
      </c>
      <c r="AO144" s="25" t="s">
        <v>3790</v>
      </c>
      <c r="AP144" s="25">
        <f t="shared" si="62"/>
        <v>0</v>
      </c>
      <c r="AQ144" s="151" t="str">
        <f>IF(SUMIFS('Supp Consol'!S:S,'Supp Consol'!A:A,O144,'Supp Consol'!I:I,"PENDING")=0,"",SUMIFS('Supp Consol'!S:S,'Supp Consol'!A:A,O144,'Supp Consol'!I:I,"PENDING"))</f>
        <v/>
      </c>
      <c r="AR144" s="27" t="str">
        <f t="shared" si="63"/>
        <v>AG081</v>
      </c>
      <c r="AS144" s="27" t="str">
        <f t="shared" si="64"/>
        <v>62</v>
      </c>
      <c r="AT144" s="27" t="str">
        <f t="shared" si="65"/>
        <v/>
      </c>
      <c r="AU144" s="27" t="str">
        <f t="shared" si="66"/>
        <v/>
      </c>
      <c r="AV144" s="27" t="str">
        <f t="shared" si="67"/>
        <v/>
      </c>
      <c r="AW144" s="27" t="str">
        <f t="shared" si="68"/>
        <v/>
      </c>
      <c r="AX144" s="27" t="str">
        <f t="shared" si="69"/>
        <v/>
      </c>
      <c r="AY144" s="27" t="str">
        <f t="shared" si="70"/>
        <v/>
      </c>
      <c r="AZ144" s="27" t="str">
        <f t="shared" si="71"/>
        <v/>
      </c>
      <c r="BA144" s="27" t="str">
        <f t="shared" si="72"/>
        <v/>
      </c>
      <c r="BB144" s="27" t="str">
        <f t="shared" si="73"/>
        <v/>
      </c>
      <c r="BC144" s="27" t="str">
        <f t="shared" si="74"/>
        <v/>
      </c>
      <c r="BD144" s="27" t="str">
        <f t="shared" si="75"/>
        <v/>
      </c>
      <c r="BE144" s="27" t="str">
        <f t="shared" si="76"/>
        <v/>
      </c>
      <c r="BF144" s="27" t="str">
        <f t="shared" si="77"/>
        <v/>
      </c>
      <c r="BG144" s="27" t="str">
        <f t="shared" si="78"/>
        <v/>
      </c>
      <c r="BH144" s="27" t="str">
        <f t="shared" si="79"/>
        <v/>
      </c>
      <c r="BI144" s="27" t="str">
        <f t="shared" si="80"/>
        <v/>
      </c>
      <c r="BJ144" s="27" t="str">
        <f t="shared" si="81"/>
        <v/>
      </c>
      <c r="BK144" s="27" t="str">
        <f t="shared" si="82"/>
        <v/>
      </c>
      <c r="BL144" s="27" t="str">
        <f t="shared" si="83"/>
        <v/>
      </c>
      <c r="BM144" s="21" t="s">
        <v>5581</v>
      </c>
    </row>
    <row r="145" spans="1:65" ht="15">
      <c r="A145" s="25" t="str">
        <f>IFERROR(INDEX('Hun Demand'!W:W,MATCH(O145,'Hun Demand'!A:A,0)),"")</f>
        <v/>
      </c>
      <c r="B145" s="25" t="str">
        <f>IFERROR(INDEX('Hun Demand'!V:V,MATCH(O145,'Hun Demand'!A:A,0)),"")</f>
        <v/>
      </c>
      <c r="C145" s="25" t="str">
        <f>IFERROR(INDEX('Hun Demand'!U:U,MATCH(O145,'Hun Demand'!A:A,0)),"")</f>
        <v/>
      </c>
      <c r="D145" s="25" t="str">
        <f>IFERROR(INDEX('Hun Demand'!T:T,MATCH(O145,'Hun Demand'!A:A,0)),"")</f>
        <v/>
      </c>
      <c r="E145" s="25" t="str">
        <f>IFERROR(INDEX('Hun Demand'!S:S,MATCH(O145,'Hun Demand'!A:A,0)),"")</f>
        <v/>
      </c>
      <c r="F145" s="25" t="str">
        <f>IFERROR(INDEX('Hun Demand'!R:R,MATCH(O145,'Hun Demand'!A:A,0)),"")</f>
        <v/>
      </c>
      <c r="G145" s="25">
        <f>IFERROR(INDEX('Aub Demand'!W:W,MATCH(O145,'Aub Demand'!A:A,0)),"")</f>
        <v>29</v>
      </c>
      <c r="H145" s="25">
        <f>IFERROR(INDEX('Aub Demand'!V:V,MATCH(O145,'Aub Demand'!A:A,0)),"")</f>
        <v>59</v>
      </c>
      <c r="I145" s="25">
        <f>IFERROR(INDEX('Aub Demand'!U:U,MATCH(O145,'Aub Demand'!A:A,0)),"")</f>
        <v>0</v>
      </c>
      <c r="J145" s="25">
        <f>IFERROR(INDEX('Aub Demand'!T:T,MATCH(O145,'Aub Demand'!A:A,0)),"")</f>
        <v>31</v>
      </c>
      <c r="K145" s="25">
        <f>IFERROR(INDEX('Aub Demand'!S:S,MATCH(O145,'Aub Demand'!A:A,0)),"")</f>
        <v>0</v>
      </c>
      <c r="L145" s="25">
        <f>IFERROR(INDEX('Aub Demand'!R:R,MATCH(O145,'Aub Demand'!A:A,0)),"")</f>
        <v>0</v>
      </c>
      <c r="O145" s="27" t="s">
        <v>2030</v>
      </c>
      <c r="P145" s="27" t="str">
        <f>IFERROR(INDEX('Aub Demand'!B:B,MATCH($O145,'Aub Demand'!$A:$A,0)),"")</f>
        <v>GRAY KINETIC</v>
      </c>
      <c r="Q145" s="27" t="str">
        <f>IFERROR(INDEX('Aub Demand'!C:C,MATCH($O145,'Aub Demand'!$A:$A,0)),"")</f>
        <v>INTER</v>
      </c>
      <c r="R145" s="52">
        <f>IFERROR(IF(AR146=AR145,INDEX('Aub Demand'!K:K,MATCH($O145,'Aub Demand'!$A:$A,0))-IF(AN145="",0,AN145)+AP146,INDEX('Aub Demand'!K:K,MATCH($O145,'Aub Demand'!$A:$A,0))-IF(AN145="",0,AN145)),"")</f>
        <v>2938</v>
      </c>
      <c r="S145" s="53">
        <f t="shared" si="56"/>
        <v>1259.0999999999999</v>
      </c>
      <c r="T145" s="52" t="str">
        <f t="shared" si="57"/>
        <v/>
      </c>
      <c r="U145" s="52">
        <f>IFERROR(IF(AR146=AR145,INDEX('Aub Demand'!Q:Q,MATCH($O145,'Aub Demand'!$A:$A,0))-IF(AN145="",0,AN145)+AP146,INDEX('Aub Demand'!Q:Q,MATCH($O145,'Aub Demand'!$A:$A,0))-IF(AN145="",0,AN145)),"")</f>
        <v>2929</v>
      </c>
      <c r="V145" s="53">
        <f t="shared" si="58"/>
        <v>1255.3</v>
      </c>
      <c r="W145" s="52" t="str">
        <f t="shared" si="59"/>
        <v/>
      </c>
      <c r="X145" s="52">
        <f>IFERROR(IF(AND(AR146=AR145,AM145&lt;&gt;""),INDEX('Aub Demand'!Q:Q,MATCH($O145,'Aub Demand'!$A:$A,0))-IF(AN145="",0,AN145)+AP146+AD145+AL145,IF(AR146=AR145,INDEX('Aub Demand'!Q:Q,MATCH($O145,'Aub Demand'!$A:$A,0))-IF(AN145="",0,AN145)+AP146+AD145,IF(AM145&lt;&gt;"",INDEX('Aub Demand'!Q:Q,MATCH($O145,'Aub Demand'!$A:$A,0))-IF(AN145="",0,AN145)+AD145+AL145,INDEX('Aub Demand'!Q:Q,MATCH($O145,'Aub Demand'!$A:$A,0))-IF(AN145="",0,AN145)+AD145))),"")</f>
        <v>2929</v>
      </c>
      <c r="Y145" s="53">
        <f t="shared" si="60"/>
        <v>1255.3</v>
      </c>
      <c r="Z145" s="52">
        <f>IF(L145="","",INDEX('Aub Demand'!H:H,MATCH($O145,'Aub Demand'!$A:$A,0)))</f>
        <v>10</v>
      </c>
      <c r="AA145" s="52" t="str">
        <f t="shared" si="61"/>
        <v>-spike-</v>
      </c>
      <c r="AB145" s="52">
        <f>IFERROR(INDEX('Aub Demand'!L:L,MATCH($O145,'Aub Demand'!$A:$A,0)),"")</f>
        <v>22</v>
      </c>
      <c r="AC145" s="52">
        <f>IFERROR(IF(O145="","",SUMIFS('CPL Mats'!F:F,'CPL Mats'!Q:Q,AR145,'CPL Mats'!S:S,AS145)),"")</f>
        <v>0</v>
      </c>
      <c r="AF145" s="25" t="str">
        <f>IF(SUMIFS('Supp Consol'!S:S,'Supp Consol'!Y:Y,"Releasable",'Supp Consol'!A:A,O145)=0,"",SUMIFS('Supp Consol'!S:S,'Supp Consol'!Y:Y,"Releasable",'Supp Consol'!A:A,O145))</f>
        <v/>
      </c>
      <c r="AG145" s="25" t="str">
        <f>IFERROR(INDEX('Hun Demand'!Q:Q,MATCH(O145,'Hun Demand'!A:A,0)),"")</f>
        <v/>
      </c>
      <c r="AH145" s="25" t="str">
        <f>IFERROR(INDEX('Hun Demand'!H:H,MATCH($O145,'Hun Demand'!$A:$A,0)),"")</f>
        <v/>
      </c>
      <c r="AI145" s="25" t="str">
        <f>IF(SUMIFS('Supp Consol'!AA:AA,'Supp Consol'!Z:Z,"Expires this month",'Supp Consol'!A:A,O145)=0,"",SUMIFS('Supp Consol'!AA:AA,'Supp Consol'!Z:Z,"Expires this month",'Supp Consol'!A:A,O145))</f>
        <v/>
      </c>
      <c r="AJ145" s="25" t="str">
        <f>IF(SUMIFS('Supp Consol'!AA:AA,'Supp Consol'!Z:Z,"Expired Previous Months",'Supp Consol'!A:A,O145)=0,"",SUMIFS('Supp Consol'!AA:AA,'Supp Consol'!Z:Z,"Expired Previous Months",'Supp Consol'!A:A,O145))</f>
        <v/>
      </c>
      <c r="AK145" s="25" t="str">
        <f>IFERROR(INDEX('Hun Release Current'!B:B,MATCH(O145,'Hun Release Current'!A:A,0)),"")</f>
        <v/>
      </c>
      <c r="AL145" s="25" t="str">
        <f>IF(SUMIF('Prev Aub'!A:A,O145,'Prev Aub'!B:B)=0,"",SUMIF('Prev Aub'!A:A,O145,'Prev Aub'!B:B))</f>
        <v/>
      </c>
      <c r="AN145" s="25" t="s">
        <v>3790</v>
      </c>
      <c r="AO145" s="25" t="s">
        <v>3790</v>
      </c>
      <c r="AP145" s="25">
        <f t="shared" si="62"/>
        <v>0</v>
      </c>
      <c r="AQ145" s="151" t="str">
        <f>IF(SUMIFS('Supp Consol'!S:S,'Supp Consol'!A:A,O145,'Supp Consol'!I:I,"PENDING")=0,"",SUMIFS('Supp Consol'!S:S,'Supp Consol'!A:A,O145,'Supp Consol'!I:I,"PENDING"))</f>
        <v/>
      </c>
      <c r="AR145" s="27" t="str">
        <f t="shared" si="63"/>
        <v>AG100</v>
      </c>
      <c r="AS145" s="27" t="str">
        <f t="shared" si="64"/>
        <v>50</v>
      </c>
      <c r="AT145" s="27" t="str">
        <f t="shared" si="65"/>
        <v/>
      </c>
      <c r="AU145" s="27" t="str">
        <f t="shared" si="66"/>
        <v/>
      </c>
      <c r="AV145" s="27" t="str">
        <f t="shared" si="67"/>
        <v/>
      </c>
      <c r="AW145" s="27" t="str">
        <f t="shared" si="68"/>
        <v/>
      </c>
      <c r="AX145" s="27" t="str">
        <f t="shared" si="69"/>
        <v/>
      </c>
      <c r="AY145" s="27" t="str">
        <f t="shared" si="70"/>
        <v/>
      </c>
      <c r="AZ145" s="27" t="str">
        <f t="shared" si="71"/>
        <v/>
      </c>
      <c r="BA145" s="27" t="str">
        <f t="shared" si="72"/>
        <v/>
      </c>
      <c r="BB145" s="27" t="str">
        <f t="shared" si="73"/>
        <v/>
      </c>
      <c r="BC145" s="27" t="str">
        <f t="shared" si="74"/>
        <v/>
      </c>
      <c r="BD145" s="27" t="str">
        <f t="shared" si="75"/>
        <v/>
      </c>
      <c r="BE145" s="27" t="str">
        <f t="shared" si="76"/>
        <v/>
      </c>
      <c r="BF145" s="27" t="str">
        <f t="shared" si="77"/>
        <v/>
      </c>
      <c r="BG145" s="27" t="str">
        <f t="shared" si="78"/>
        <v/>
      </c>
      <c r="BH145" s="27" t="str">
        <f t="shared" si="79"/>
        <v/>
      </c>
      <c r="BI145" s="27" t="str">
        <f t="shared" si="80"/>
        <v/>
      </c>
      <c r="BJ145" s="27" t="str">
        <f t="shared" si="81"/>
        <v/>
      </c>
      <c r="BK145" s="27" t="str">
        <f t="shared" si="82"/>
        <v/>
      </c>
      <c r="BL145" s="27" t="str">
        <f t="shared" si="83"/>
        <v/>
      </c>
      <c r="BM145" s="21" t="s">
        <v>5581</v>
      </c>
    </row>
    <row r="146" spans="1:65" ht="15">
      <c r="A146" s="25" t="str">
        <f>IFERROR(INDEX('Hun Demand'!W:W,MATCH(O146,'Hun Demand'!A:A,0)),"")</f>
        <v/>
      </c>
      <c r="B146" s="25" t="str">
        <f>IFERROR(INDEX('Hun Demand'!V:V,MATCH(O146,'Hun Demand'!A:A,0)),"")</f>
        <v/>
      </c>
      <c r="C146" s="25" t="str">
        <f>IFERROR(INDEX('Hun Demand'!U:U,MATCH(O146,'Hun Demand'!A:A,0)),"")</f>
        <v/>
      </c>
      <c r="D146" s="25" t="str">
        <f>IFERROR(INDEX('Hun Demand'!T:T,MATCH(O146,'Hun Demand'!A:A,0)),"")</f>
        <v/>
      </c>
      <c r="E146" s="25" t="str">
        <f>IFERROR(INDEX('Hun Demand'!S:S,MATCH(O146,'Hun Demand'!A:A,0)),"")</f>
        <v/>
      </c>
      <c r="F146" s="25" t="str">
        <f>IFERROR(INDEX('Hun Demand'!R:R,MATCH(O146,'Hun Demand'!A:A,0)),"")</f>
        <v/>
      </c>
      <c r="G146" s="25">
        <f>IFERROR(INDEX('Aub Demand'!W:W,MATCH(O146,'Aub Demand'!A:A,0)),"")</f>
        <v>64</v>
      </c>
      <c r="H146" s="25">
        <f>IFERROR(INDEX('Aub Demand'!V:V,MATCH(O146,'Aub Demand'!A:A,0)),"")</f>
        <v>35</v>
      </c>
      <c r="I146" s="25">
        <f>IFERROR(INDEX('Aub Demand'!U:U,MATCH(O146,'Aub Demand'!A:A,0)),"")</f>
        <v>0</v>
      </c>
      <c r="J146" s="25">
        <f>IFERROR(INDEX('Aub Demand'!T:T,MATCH(O146,'Aub Demand'!A:A,0)),"")</f>
        <v>23</v>
      </c>
      <c r="K146" s="25">
        <f>IFERROR(INDEX('Aub Demand'!S:S,MATCH(O146,'Aub Demand'!A:A,0)),"")</f>
        <v>62</v>
      </c>
      <c r="L146" s="25">
        <f>IFERROR(INDEX('Aub Demand'!R:R,MATCH(O146,'Aub Demand'!A:A,0)),"")</f>
        <v>0</v>
      </c>
      <c r="O146" s="27" t="s">
        <v>2032</v>
      </c>
      <c r="P146" s="27" t="str">
        <f>IFERROR(INDEX('Aub Demand'!B:B,MATCH($O146,'Aub Demand'!$A:$A,0)),"")</f>
        <v>GRAY KINETIC</v>
      </c>
      <c r="Q146" s="27" t="str">
        <f>IFERROR(INDEX('Aub Demand'!C:C,MATCH($O146,'Aub Demand'!$A:$A,0)),"")</f>
        <v>INTER</v>
      </c>
      <c r="R146" s="52">
        <f>IFERROR(IF(AR147=AR146,INDEX('Aub Demand'!K:K,MATCH($O146,'Aub Demand'!$A:$A,0))-IF(AN146="",0,AN146)+AP147,INDEX('Aub Demand'!K:K,MATCH($O146,'Aub Demand'!$A:$A,0))-IF(AN146="",0,AN146)),"")</f>
        <v>2263</v>
      </c>
      <c r="S146" s="53">
        <f t="shared" si="56"/>
        <v>346.4</v>
      </c>
      <c r="T146" s="52" t="str">
        <f t="shared" si="57"/>
        <v/>
      </c>
      <c r="U146" s="52">
        <f>IFERROR(IF(AR147=AR146,INDEX('Aub Demand'!Q:Q,MATCH($O146,'Aub Demand'!$A:$A,0))-IF(AN146="",0,AN146)+AP147,INDEX('Aub Demand'!Q:Q,MATCH($O146,'Aub Demand'!$A:$A,0))-IF(AN146="",0,AN146)),"")</f>
        <v>2263</v>
      </c>
      <c r="V146" s="53">
        <f t="shared" si="58"/>
        <v>346.4</v>
      </c>
      <c r="W146" s="52" t="str">
        <f t="shared" si="59"/>
        <v/>
      </c>
      <c r="X146" s="52">
        <f>IFERROR(IF(AND(AR147=AR146,AM146&lt;&gt;""),INDEX('Aub Demand'!Q:Q,MATCH($O146,'Aub Demand'!$A:$A,0))-IF(AN146="",0,AN146)+AP147+AD146+AL146,IF(AR147=AR146,INDEX('Aub Demand'!Q:Q,MATCH($O146,'Aub Demand'!$A:$A,0))-IF(AN146="",0,AN146)+AP147+AD146,IF(AM146&lt;&gt;"",INDEX('Aub Demand'!Q:Q,MATCH($O146,'Aub Demand'!$A:$A,0))-IF(AN146="",0,AN146)+AD146+AL146,INDEX('Aub Demand'!Q:Q,MATCH($O146,'Aub Demand'!$A:$A,0))-IF(AN146="",0,AN146)+AD146))),"")</f>
        <v>2263</v>
      </c>
      <c r="Y146" s="53">
        <f t="shared" si="60"/>
        <v>346.4</v>
      </c>
      <c r="Z146" s="52">
        <f>IF(L146="","",INDEX('Aub Demand'!H:H,MATCH($O146,'Aub Demand'!$A:$A,0)))</f>
        <v>28</v>
      </c>
      <c r="AA146" s="52">
        <f t="shared" si="61"/>
        <v>42.5</v>
      </c>
      <c r="AB146" s="52">
        <f>IFERROR(INDEX('Aub Demand'!L:L,MATCH($O146,'Aub Demand'!$A:$A,0)),"")</f>
        <v>21</v>
      </c>
      <c r="AC146" s="52">
        <f>IFERROR(IF(O146="","",SUMIFS('CPL Mats'!F:F,'CPL Mats'!Q:Q,AR146,'CPL Mats'!S:S,AS146)),"")</f>
        <v>0</v>
      </c>
      <c r="AF146" s="25" t="str">
        <f>IF(SUMIFS('Supp Consol'!S:S,'Supp Consol'!Y:Y,"Releasable",'Supp Consol'!A:A,O146)=0,"",SUMIFS('Supp Consol'!S:S,'Supp Consol'!Y:Y,"Releasable",'Supp Consol'!A:A,O146))</f>
        <v/>
      </c>
      <c r="AG146" s="25" t="str">
        <f>IFERROR(INDEX('Hun Demand'!Q:Q,MATCH(O146,'Hun Demand'!A:A,0)),"")</f>
        <v/>
      </c>
      <c r="AH146" s="25" t="str">
        <f>IFERROR(INDEX('Hun Demand'!H:H,MATCH($O146,'Hun Demand'!$A:$A,0)),"")</f>
        <v/>
      </c>
      <c r="AI146" s="25" t="str">
        <f>IF(SUMIFS('Supp Consol'!AA:AA,'Supp Consol'!Z:Z,"Expires this month",'Supp Consol'!A:A,O146)=0,"",SUMIFS('Supp Consol'!AA:AA,'Supp Consol'!Z:Z,"Expires this month",'Supp Consol'!A:A,O146))</f>
        <v/>
      </c>
      <c r="AJ146" s="25" t="str">
        <f>IF(SUMIFS('Supp Consol'!AA:AA,'Supp Consol'!Z:Z,"Expired Previous Months",'Supp Consol'!A:A,O146)=0,"",SUMIFS('Supp Consol'!AA:AA,'Supp Consol'!Z:Z,"Expired Previous Months",'Supp Consol'!A:A,O146))</f>
        <v/>
      </c>
      <c r="AK146" s="25" t="str">
        <f>IFERROR(INDEX('Hun Release Current'!B:B,MATCH(O146,'Hun Release Current'!A:A,0)),"")</f>
        <v/>
      </c>
      <c r="AL146" s="25" t="str">
        <f>IF(SUMIF('Prev Aub'!A:A,O146,'Prev Aub'!B:B)=0,"",SUMIF('Prev Aub'!A:A,O146,'Prev Aub'!B:B))</f>
        <v/>
      </c>
      <c r="AN146" s="25" t="s">
        <v>3790</v>
      </c>
      <c r="AO146" s="25" t="s">
        <v>3790</v>
      </c>
      <c r="AP146" s="25">
        <f t="shared" si="62"/>
        <v>0</v>
      </c>
      <c r="AQ146" s="151" t="str">
        <f>IF(SUMIFS('Supp Consol'!S:S,'Supp Consol'!A:A,O146,'Supp Consol'!I:I,"PENDING")=0,"",SUMIFS('Supp Consol'!S:S,'Supp Consol'!A:A,O146,'Supp Consol'!I:I,"PENDING"))</f>
        <v/>
      </c>
      <c r="AR146" s="27" t="str">
        <f t="shared" si="63"/>
        <v>AG100</v>
      </c>
      <c r="AS146" s="27" t="str">
        <f t="shared" si="64"/>
        <v>62</v>
      </c>
      <c r="AT146" s="27" t="str">
        <f t="shared" si="65"/>
        <v/>
      </c>
      <c r="AU146" s="27" t="str">
        <f t="shared" si="66"/>
        <v/>
      </c>
      <c r="AV146" s="27" t="str">
        <f t="shared" si="67"/>
        <v/>
      </c>
      <c r="AW146" s="27" t="str">
        <f t="shared" si="68"/>
        <v/>
      </c>
      <c r="AX146" s="27" t="str">
        <f t="shared" si="69"/>
        <v/>
      </c>
      <c r="AY146" s="27" t="str">
        <f t="shared" si="70"/>
        <v/>
      </c>
      <c r="AZ146" s="27" t="str">
        <f t="shared" si="71"/>
        <v/>
      </c>
      <c r="BA146" s="27" t="str">
        <f t="shared" si="72"/>
        <v/>
      </c>
      <c r="BB146" s="27" t="str">
        <f t="shared" si="73"/>
        <v/>
      </c>
      <c r="BC146" s="27" t="str">
        <f t="shared" si="74"/>
        <v/>
      </c>
      <c r="BD146" s="27" t="str">
        <f t="shared" si="75"/>
        <v/>
      </c>
      <c r="BE146" s="27" t="str">
        <f t="shared" si="76"/>
        <v/>
      </c>
      <c r="BF146" s="27" t="str">
        <f t="shared" si="77"/>
        <v/>
      </c>
      <c r="BG146" s="27" t="str">
        <f t="shared" si="78"/>
        <v/>
      </c>
      <c r="BH146" s="27" t="str">
        <f t="shared" si="79"/>
        <v/>
      </c>
      <c r="BI146" s="27" t="str">
        <f t="shared" si="80"/>
        <v/>
      </c>
      <c r="BJ146" s="27" t="str">
        <f t="shared" si="81"/>
        <v/>
      </c>
      <c r="BK146" s="27" t="str">
        <f t="shared" si="82"/>
        <v/>
      </c>
      <c r="BL146" s="27" t="str">
        <f t="shared" si="83"/>
        <v/>
      </c>
      <c r="BM146" s="21" t="s">
        <v>5581</v>
      </c>
    </row>
    <row r="147" spans="1:65" ht="15">
      <c r="A147" s="25" t="str">
        <f>IFERROR(INDEX('Hun Demand'!W:W,MATCH(O147,'Hun Demand'!A:A,0)),"")</f>
        <v/>
      </c>
      <c r="B147" s="25" t="str">
        <f>IFERROR(INDEX('Hun Demand'!V:V,MATCH(O147,'Hun Demand'!A:A,0)),"")</f>
        <v/>
      </c>
      <c r="C147" s="25" t="str">
        <f>IFERROR(INDEX('Hun Demand'!U:U,MATCH(O147,'Hun Demand'!A:A,0)),"")</f>
        <v/>
      </c>
      <c r="D147" s="25" t="str">
        <f>IFERROR(INDEX('Hun Demand'!T:T,MATCH(O147,'Hun Demand'!A:A,0)),"")</f>
        <v/>
      </c>
      <c r="E147" s="25" t="str">
        <f>IFERROR(INDEX('Hun Demand'!S:S,MATCH(O147,'Hun Demand'!A:A,0)),"")</f>
        <v/>
      </c>
      <c r="F147" s="25" t="str">
        <f>IFERROR(INDEX('Hun Demand'!R:R,MATCH(O147,'Hun Demand'!A:A,0)),"")</f>
        <v/>
      </c>
      <c r="G147" s="25">
        <f>IFERROR(INDEX('Aub Demand'!W:W,MATCH(O147,'Aub Demand'!A:A,0)),"")</f>
        <v>0</v>
      </c>
      <c r="H147" s="25">
        <f>IFERROR(INDEX('Aub Demand'!V:V,MATCH(O147,'Aub Demand'!A:A,0)),"")</f>
        <v>76</v>
      </c>
      <c r="I147" s="25">
        <f>IFERROR(INDEX('Aub Demand'!U:U,MATCH(O147,'Aub Demand'!A:A,0)),"")</f>
        <v>0</v>
      </c>
      <c r="J147" s="25">
        <f>IFERROR(INDEX('Aub Demand'!T:T,MATCH(O147,'Aub Demand'!A:A,0)),"")</f>
        <v>68</v>
      </c>
      <c r="K147" s="25">
        <f>IFERROR(INDEX('Aub Demand'!S:S,MATCH(O147,'Aub Demand'!A:A,0)),"")</f>
        <v>0</v>
      </c>
      <c r="L147" s="25">
        <f>IFERROR(INDEX('Aub Demand'!R:R,MATCH(O147,'Aub Demand'!A:A,0)),"")</f>
        <v>0</v>
      </c>
      <c r="O147" s="27" t="s">
        <v>327</v>
      </c>
      <c r="P147" s="27" t="str">
        <f>IFERROR(INDEX('Aub Demand'!B:B,MATCH($O147,'Aub Demand'!$A:$A,0)),"")</f>
        <v>IRON GRAY</v>
      </c>
      <c r="Q147" s="27" t="str">
        <f>IFERROR(INDEX('Aub Demand'!C:C,MATCH($O147,'Aub Demand'!$A:$A,0)),"")</f>
        <v>TOPPA</v>
      </c>
      <c r="R147" s="52">
        <f>IFERROR(IF(AR148=AR147,INDEX('Aub Demand'!K:K,MATCH($O147,'Aub Demand'!$A:$A,0))-IF(AN147="",0,AN147)+AP148,INDEX('Aub Demand'!K:K,MATCH($O147,'Aub Demand'!$A:$A,0))-IF(AN147="",0,AN147)),"")</f>
        <v>1542</v>
      </c>
      <c r="S147" s="53">
        <f t="shared" si="56"/>
        <v>287.3</v>
      </c>
      <c r="T147" s="52" t="str">
        <f t="shared" si="57"/>
        <v/>
      </c>
      <c r="U147" s="52">
        <f>IFERROR(IF(AR148=AR147,INDEX('Aub Demand'!Q:Q,MATCH($O147,'Aub Demand'!$A:$A,0))-IF(AN147="",0,AN147)+AP148,INDEX('Aub Demand'!Q:Q,MATCH($O147,'Aub Demand'!$A:$A,0))-IF(AN147="",0,AN147)),"")</f>
        <v>1542</v>
      </c>
      <c r="V147" s="53">
        <f t="shared" si="58"/>
        <v>287.3</v>
      </c>
      <c r="W147" s="52" t="str">
        <f t="shared" si="59"/>
        <v/>
      </c>
      <c r="X147" s="52">
        <f>IFERROR(IF(AND(AR148=AR147,AM147&lt;&gt;""),INDEX('Aub Demand'!Q:Q,MATCH($O147,'Aub Demand'!$A:$A,0))-IF(AN147="",0,AN147)+AP148+AD147+AL147,IF(AR148=AR147,INDEX('Aub Demand'!Q:Q,MATCH($O147,'Aub Demand'!$A:$A,0))-IF(AN147="",0,AN147)+AP148+AD147,IF(AM147&lt;&gt;"",INDEX('Aub Demand'!Q:Q,MATCH($O147,'Aub Demand'!$A:$A,0))-IF(AN147="",0,AN147)+AD147+AL147,INDEX('Aub Demand'!Q:Q,MATCH($O147,'Aub Demand'!$A:$A,0))-IF(AN147="",0,AN147)+AD147))),"")</f>
        <v>1542</v>
      </c>
      <c r="Y147" s="53">
        <f t="shared" si="60"/>
        <v>287.3</v>
      </c>
      <c r="Z147" s="52">
        <f>IF(L147="","",INDEX('Aub Demand'!H:H,MATCH($O147,'Aub Demand'!$A:$A,0)))</f>
        <v>23</v>
      </c>
      <c r="AA147" s="52" t="str">
        <f t="shared" si="61"/>
        <v>-spike-</v>
      </c>
      <c r="AB147" s="52">
        <f>IFERROR(INDEX('Aub Demand'!L:L,MATCH($O147,'Aub Demand'!$A:$A,0)),"")</f>
        <v>48</v>
      </c>
      <c r="AC147" s="52">
        <f>IFERROR(IF(O147="","",SUMIFS('CPL Mats'!F:F,'CPL Mats'!Q:Q,AR147,'CPL Mats'!S:S,AS147)),"")</f>
        <v>0</v>
      </c>
      <c r="AF147" s="25" t="str">
        <f>IF(SUMIFS('Supp Consol'!S:S,'Supp Consol'!Y:Y,"Releasable",'Supp Consol'!A:A,O147)=0,"",SUMIFS('Supp Consol'!S:S,'Supp Consol'!Y:Y,"Releasable",'Supp Consol'!A:A,O147))</f>
        <v/>
      </c>
      <c r="AG147" s="25" t="str">
        <f>IFERROR(INDEX('Hun Demand'!Q:Q,MATCH(O147,'Hun Demand'!A:A,0)),"")</f>
        <v/>
      </c>
      <c r="AH147" s="25" t="str">
        <f>IFERROR(INDEX('Hun Demand'!H:H,MATCH($O147,'Hun Demand'!$A:$A,0)),"")</f>
        <v/>
      </c>
      <c r="AI147" s="25" t="str">
        <f>IF(SUMIFS('Supp Consol'!AA:AA,'Supp Consol'!Z:Z,"Expires this month",'Supp Consol'!A:A,O147)=0,"",SUMIFS('Supp Consol'!AA:AA,'Supp Consol'!Z:Z,"Expires this month",'Supp Consol'!A:A,O147))</f>
        <v/>
      </c>
      <c r="AJ147" s="25" t="str">
        <f>IF(SUMIFS('Supp Consol'!AA:AA,'Supp Consol'!Z:Z,"Expired Previous Months",'Supp Consol'!A:A,O147)=0,"",SUMIFS('Supp Consol'!AA:AA,'Supp Consol'!Z:Z,"Expired Previous Months",'Supp Consol'!A:A,O147))</f>
        <v/>
      </c>
      <c r="AK147" s="25" t="str">
        <f>IFERROR(INDEX('Hun Release Current'!B:B,MATCH(O147,'Hun Release Current'!A:A,0)),"")</f>
        <v/>
      </c>
      <c r="AL147" s="25" t="str">
        <f>IF(SUMIF('Prev Aub'!A:A,O147,'Prev Aub'!B:B)=0,"",SUMIF('Prev Aub'!A:A,O147,'Prev Aub'!B:B))</f>
        <v/>
      </c>
      <c r="AN147" s="25" t="s">
        <v>3790</v>
      </c>
      <c r="AO147" s="25" t="s">
        <v>3790</v>
      </c>
      <c r="AP147" s="25">
        <f t="shared" si="62"/>
        <v>0</v>
      </c>
      <c r="AQ147" s="151" t="str">
        <f>IF(SUMIFS('Supp Consol'!S:S,'Supp Consol'!A:A,O147,'Supp Consol'!I:I,"PENDING")=0,"",SUMIFS('Supp Consol'!S:S,'Supp Consol'!A:A,O147,'Supp Consol'!I:I,"PENDING"))</f>
        <v/>
      </c>
      <c r="AR147" s="27" t="str">
        <f t="shared" si="63"/>
        <v>AG105</v>
      </c>
      <c r="AS147" s="27" t="str">
        <f t="shared" si="64"/>
        <v>62</v>
      </c>
      <c r="AT147" s="27" t="str">
        <f t="shared" si="65"/>
        <v/>
      </c>
      <c r="AU147" s="27" t="str">
        <f t="shared" si="66"/>
        <v/>
      </c>
      <c r="AV147" s="27" t="str">
        <f t="shared" si="67"/>
        <v/>
      </c>
      <c r="AW147" s="27" t="str">
        <f t="shared" si="68"/>
        <v/>
      </c>
      <c r="AX147" s="27" t="str">
        <f t="shared" si="69"/>
        <v/>
      </c>
      <c r="AY147" s="27" t="str">
        <f t="shared" si="70"/>
        <v/>
      </c>
      <c r="AZ147" s="27" t="str">
        <f t="shared" si="71"/>
        <v/>
      </c>
      <c r="BA147" s="27" t="str">
        <f t="shared" si="72"/>
        <v/>
      </c>
      <c r="BB147" s="27" t="str">
        <f t="shared" si="73"/>
        <v/>
      </c>
      <c r="BC147" s="27" t="str">
        <f t="shared" si="74"/>
        <v/>
      </c>
      <c r="BD147" s="27" t="str">
        <f t="shared" si="75"/>
        <v/>
      </c>
      <c r="BE147" s="27" t="str">
        <f t="shared" si="76"/>
        <v/>
      </c>
      <c r="BF147" s="27" t="str">
        <f t="shared" si="77"/>
        <v/>
      </c>
      <c r="BG147" s="27" t="str">
        <f t="shared" si="78"/>
        <v/>
      </c>
      <c r="BH147" s="27" t="str">
        <f t="shared" si="79"/>
        <v/>
      </c>
      <c r="BI147" s="27" t="str">
        <f t="shared" si="80"/>
        <v/>
      </c>
      <c r="BJ147" s="27" t="str">
        <f t="shared" si="81"/>
        <v/>
      </c>
      <c r="BK147" s="27" t="str">
        <f t="shared" si="82"/>
        <v/>
      </c>
      <c r="BL147" s="27" t="str">
        <f t="shared" si="83"/>
        <v/>
      </c>
      <c r="BM147" s="21" t="s">
        <v>5581</v>
      </c>
    </row>
    <row r="148" spans="1:65" ht="15">
      <c r="A148" s="25" t="str">
        <f>IFERROR(INDEX('Hun Demand'!W:W,MATCH(O148,'Hun Demand'!A:A,0)),"")</f>
        <v/>
      </c>
      <c r="B148" s="25" t="str">
        <f>IFERROR(INDEX('Hun Demand'!V:V,MATCH(O148,'Hun Demand'!A:A,0)),"")</f>
        <v/>
      </c>
      <c r="C148" s="25" t="str">
        <f>IFERROR(INDEX('Hun Demand'!U:U,MATCH(O148,'Hun Demand'!A:A,0)),"")</f>
        <v/>
      </c>
      <c r="D148" s="25" t="str">
        <f>IFERROR(INDEX('Hun Demand'!T:T,MATCH(O148,'Hun Demand'!A:A,0)),"")</f>
        <v/>
      </c>
      <c r="E148" s="25" t="str">
        <f>IFERROR(INDEX('Hun Demand'!S:S,MATCH(O148,'Hun Demand'!A:A,0)),"")</f>
        <v/>
      </c>
      <c r="F148" s="25" t="str">
        <f>IFERROR(INDEX('Hun Demand'!R:R,MATCH(O148,'Hun Demand'!A:A,0)),"")</f>
        <v/>
      </c>
      <c r="G148" s="25">
        <f>IFERROR(INDEX('Aub Demand'!W:W,MATCH(O148,'Aub Demand'!A:A,0)),"")</f>
        <v>0</v>
      </c>
      <c r="H148" s="25">
        <f>IFERROR(INDEX('Aub Demand'!V:V,MATCH(O148,'Aub Demand'!A:A,0)),"")</f>
        <v>0</v>
      </c>
      <c r="I148" s="25">
        <f>IFERROR(INDEX('Aub Demand'!U:U,MATCH(O148,'Aub Demand'!A:A,0)),"")</f>
        <v>0</v>
      </c>
      <c r="J148" s="25">
        <f>IFERROR(INDEX('Aub Demand'!T:T,MATCH(O148,'Aub Demand'!A:A,0)),"")</f>
        <v>0</v>
      </c>
      <c r="K148" s="25">
        <f>IFERROR(INDEX('Aub Demand'!S:S,MATCH(O148,'Aub Demand'!A:A,0)),"")</f>
        <v>60</v>
      </c>
      <c r="L148" s="25">
        <f>IFERROR(INDEX('Aub Demand'!R:R,MATCH(O148,'Aub Demand'!A:A,0)),"")</f>
        <v>0</v>
      </c>
      <c r="O148" s="27" t="s">
        <v>6306</v>
      </c>
      <c r="P148" s="27" t="str">
        <f>IFERROR(INDEX('Aub Demand'!B:B,MATCH($O148,'Aub Demand'!$A:$A,0)),"")</f>
        <v>OFS STEEL GRAY</v>
      </c>
      <c r="Q148" s="27" t="str">
        <f>IFERROR(INDEX('Aub Demand'!C:C,MATCH($O148,'Aub Demand'!$A:$A,0)),"")</f>
        <v>INTER</v>
      </c>
      <c r="R148" s="52">
        <f>IFERROR(IF(AR149=AR148,INDEX('Aub Demand'!K:K,MATCH($O148,'Aub Demand'!$A:$A,0))-IF(AN148="",0,AN148)+AP149,INDEX('Aub Demand'!K:K,MATCH($O148,'Aub Demand'!$A:$A,0))-IF(AN148="",0,AN148)),"")</f>
        <v>20</v>
      </c>
      <c r="S148" s="53">
        <f t="shared" si="56"/>
        <v>4.3</v>
      </c>
      <c r="T148" s="52" t="str">
        <f t="shared" si="57"/>
        <v/>
      </c>
      <c r="U148" s="52">
        <f>IFERROR(IF(AR149=AR148,INDEX('Aub Demand'!Q:Q,MATCH($O148,'Aub Demand'!$A:$A,0))-IF(AN148="",0,AN148)+AP149,INDEX('Aub Demand'!Q:Q,MATCH($O148,'Aub Demand'!$A:$A,0))-IF(AN148="",0,AN148)),"")</f>
        <v>20</v>
      </c>
      <c r="V148" s="53">
        <f t="shared" si="58"/>
        <v>4.3</v>
      </c>
      <c r="W148" s="52" t="str">
        <f t="shared" si="59"/>
        <v/>
      </c>
      <c r="X148" s="52">
        <f>IFERROR(IF(AND(AR149=AR148,AM148&lt;&gt;""),INDEX('Aub Demand'!Q:Q,MATCH($O148,'Aub Demand'!$A:$A,0))-IF(AN148="",0,AN148)+AP149+AD148+AL148,IF(AR149=AR148,INDEX('Aub Demand'!Q:Q,MATCH($O148,'Aub Demand'!$A:$A,0))-IF(AN148="",0,AN148)+AP149+AD148,IF(AM148&lt;&gt;"",INDEX('Aub Demand'!Q:Q,MATCH($O148,'Aub Demand'!$A:$A,0))-IF(AN148="",0,AN148)+AD148+AL148,INDEX('Aub Demand'!Q:Q,MATCH($O148,'Aub Demand'!$A:$A,0))-IF(AN148="",0,AN148)+AD148))),"")</f>
        <v>20</v>
      </c>
      <c r="Y148" s="53">
        <f t="shared" si="60"/>
        <v>4.3</v>
      </c>
      <c r="Z148" s="52">
        <f>IF(L148="","",INDEX('Aub Demand'!H:H,MATCH($O148,'Aub Demand'!$A:$A,0)))</f>
        <v>20</v>
      </c>
      <c r="AA148" s="52" t="str">
        <f t="shared" si="61"/>
        <v>-spike-</v>
      </c>
      <c r="AB148" s="52">
        <f>IFERROR(INDEX('Aub Demand'!L:L,MATCH($O148,'Aub Demand'!$A:$A,0)),"")</f>
        <v>5</v>
      </c>
      <c r="AC148" s="52">
        <f>IFERROR(IF(O148="","",SUMIFS('CPL Mats'!F:F,'CPL Mats'!Q:Q,AR148,'CPL Mats'!S:S,AS148)),"")</f>
        <v>0</v>
      </c>
      <c r="AF148" s="25" t="str">
        <f>IF(SUMIFS('Supp Consol'!S:S,'Supp Consol'!Y:Y,"Releasable",'Supp Consol'!A:A,O148)=0,"",SUMIFS('Supp Consol'!S:S,'Supp Consol'!Y:Y,"Releasable",'Supp Consol'!A:A,O148))</f>
        <v/>
      </c>
      <c r="AG148" s="25" t="str">
        <f>IFERROR(INDEX('Hun Demand'!Q:Q,MATCH(O148,'Hun Demand'!A:A,0)),"")</f>
        <v/>
      </c>
      <c r="AH148" s="25" t="str">
        <f>IFERROR(INDEX('Hun Demand'!H:H,MATCH($O148,'Hun Demand'!$A:$A,0)),"")</f>
        <v/>
      </c>
      <c r="AI148" s="25" t="str">
        <f>IF(SUMIFS('Supp Consol'!AA:AA,'Supp Consol'!Z:Z,"Expires this month",'Supp Consol'!A:A,O148)=0,"",SUMIFS('Supp Consol'!AA:AA,'Supp Consol'!Z:Z,"Expires this month",'Supp Consol'!A:A,O148))</f>
        <v/>
      </c>
      <c r="AJ148" s="25" t="str">
        <f>IF(SUMIFS('Supp Consol'!AA:AA,'Supp Consol'!Z:Z,"Expired Previous Months",'Supp Consol'!A:A,O148)=0,"",SUMIFS('Supp Consol'!AA:AA,'Supp Consol'!Z:Z,"Expired Previous Months",'Supp Consol'!A:A,O148))</f>
        <v/>
      </c>
      <c r="AK148" s="25" t="str">
        <f>IFERROR(INDEX('Hun Release Current'!B:B,MATCH(O148,'Hun Release Current'!A:A,0)),"")</f>
        <v/>
      </c>
      <c r="AL148" s="25" t="str">
        <f>IF(SUMIF('Prev Aub'!A:A,O148,'Prev Aub'!B:B)=0,"",SUMIF('Prev Aub'!A:A,O148,'Prev Aub'!B:B))</f>
        <v/>
      </c>
      <c r="AN148" s="25" t="s">
        <v>3790</v>
      </c>
      <c r="AO148" s="25" t="s">
        <v>3790</v>
      </c>
      <c r="AP148" s="25">
        <f t="shared" si="62"/>
        <v>0</v>
      </c>
      <c r="AQ148" s="151" t="str">
        <f>IF(SUMIFS('Supp Consol'!S:S,'Supp Consol'!A:A,O148,'Supp Consol'!I:I,"PENDING")=0,"",SUMIFS('Supp Consol'!S:S,'Supp Consol'!A:A,O148,'Supp Consol'!I:I,"PENDING"))</f>
        <v/>
      </c>
      <c r="AR148" s="27" t="str">
        <f t="shared" si="63"/>
        <v>AG115</v>
      </c>
      <c r="AS148" s="27" t="str">
        <f t="shared" si="64"/>
        <v>50</v>
      </c>
      <c r="AT148" s="27" t="str">
        <f t="shared" si="65"/>
        <v/>
      </c>
      <c r="AU148" s="27" t="str">
        <f t="shared" si="66"/>
        <v/>
      </c>
      <c r="AV148" s="27" t="str">
        <f t="shared" si="67"/>
        <v/>
      </c>
      <c r="AW148" s="27" t="str">
        <f t="shared" si="68"/>
        <v/>
      </c>
      <c r="AX148" s="27" t="str">
        <f t="shared" si="69"/>
        <v/>
      </c>
      <c r="AY148" s="27" t="str">
        <f t="shared" si="70"/>
        <v/>
      </c>
      <c r="AZ148" s="27" t="str">
        <f t="shared" si="71"/>
        <v>Supp</v>
      </c>
      <c r="BA148" s="27" t="str">
        <f t="shared" si="72"/>
        <v/>
      </c>
      <c r="BB148" s="27" t="str">
        <f t="shared" si="73"/>
        <v/>
      </c>
      <c r="BC148" s="27" t="str">
        <f t="shared" si="74"/>
        <v/>
      </c>
      <c r="BD148" s="27" t="str">
        <f t="shared" si="75"/>
        <v/>
      </c>
      <c r="BE148" s="27" t="str">
        <f t="shared" si="76"/>
        <v/>
      </c>
      <c r="BF148" s="27" t="str">
        <f t="shared" si="77"/>
        <v/>
      </c>
      <c r="BG148" s="27" t="str">
        <f t="shared" si="78"/>
        <v/>
      </c>
      <c r="BH148" s="27" t="str">
        <f t="shared" si="79"/>
        <v/>
      </c>
      <c r="BI148" s="27" t="str">
        <f t="shared" si="80"/>
        <v/>
      </c>
      <c r="BJ148" s="27" t="str">
        <f t="shared" si="81"/>
        <v>Supp or Hun</v>
      </c>
      <c r="BK148" s="27" t="str">
        <f t="shared" si="82"/>
        <v/>
      </c>
      <c r="BL148" s="27" t="str">
        <f t="shared" si="83"/>
        <v/>
      </c>
      <c r="BM148" s="21" t="s">
        <v>3790</v>
      </c>
    </row>
    <row r="149" spans="1:65" ht="15">
      <c r="A149" s="25" t="str">
        <f>IFERROR(INDEX('Hun Demand'!W:W,MATCH(O149,'Hun Demand'!A:A,0)),"")</f>
        <v/>
      </c>
      <c r="B149" s="25" t="str">
        <f>IFERROR(INDEX('Hun Demand'!V:V,MATCH(O149,'Hun Demand'!A:A,0)),"")</f>
        <v/>
      </c>
      <c r="C149" s="25" t="str">
        <f>IFERROR(INDEX('Hun Demand'!U:U,MATCH(O149,'Hun Demand'!A:A,0)),"")</f>
        <v/>
      </c>
      <c r="D149" s="25" t="str">
        <f>IFERROR(INDEX('Hun Demand'!T:T,MATCH(O149,'Hun Demand'!A:A,0)),"")</f>
        <v/>
      </c>
      <c r="E149" s="25" t="str">
        <f>IFERROR(INDEX('Hun Demand'!S:S,MATCH(O149,'Hun Demand'!A:A,0)),"")</f>
        <v/>
      </c>
      <c r="F149" s="25" t="str">
        <f>IFERROR(INDEX('Hun Demand'!R:R,MATCH(O149,'Hun Demand'!A:A,0)),"")</f>
        <v/>
      </c>
      <c r="G149" s="25">
        <f>IFERROR(INDEX('Aub Demand'!W:W,MATCH(O149,'Aub Demand'!A:A,0)),"")</f>
        <v>72</v>
      </c>
      <c r="H149" s="25">
        <f>IFERROR(INDEX('Aub Demand'!V:V,MATCH(O149,'Aub Demand'!A:A,0)),"")</f>
        <v>185</v>
      </c>
      <c r="I149" s="25">
        <f>IFERROR(INDEX('Aub Demand'!U:U,MATCH(O149,'Aub Demand'!A:A,0)),"")</f>
        <v>215</v>
      </c>
      <c r="J149" s="25">
        <f>IFERROR(INDEX('Aub Demand'!T:T,MATCH(O149,'Aub Demand'!A:A,0)),"")</f>
        <v>10</v>
      </c>
      <c r="K149" s="25">
        <f>IFERROR(INDEX('Aub Demand'!S:S,MATCH(O149,'Aub Demand'!A:A,0)),"")</f>
        <v>0</v>
      </c>
      <c r="L149" s="25">
        <f>IFERROR(INDEX('Aub Demand'!R:R,MATCH(O149,'Aub Demand'!A:A,0)),"")</f>
        <v>0</v>
      </c>
      <c r="O149" s="27" t="s">
        <v>332</v>
      </c>
      <c r="P149" s="27" t="str">
        <f>IFERROR(INDEX('Aub Demand'!B:B,MATCH($O149,'Aub Demand'!$A:$A,0)),"")</f>
        <v>OFS STEEL GRAY</v>
      </c>
      <c r="Q149" s="27" t="str">
        <f>IFERROR(INDEX('Aub Demand'!C:C,MATCH($O149,'Aub Demand'!$A:$A,0)),"")</f>
        <v>INTER</v>
      </c>
      <c r="R149" s="52">
        <f>IFERROR(IF(AR150=AR149,INDEX('Aub Demand'!K:K,MATCH($O149,'Aub Demand'!$A:$A,0))-IF(AN149="",0,AN149)+AP150,INDEX('Aub Demand'!K:K,MATCH($O149,'Aub Demand'!$A:$A,0))-IF(AN149="",0,AN149)),"")</f>
        <v>461</v>
      </c>
      <c r="S149" s="53">
        <f t="shared" si="56"/>
        <v>26.3</v>
      </c>
      <c r="T149" s="52" t="str">
        <f t="shared" si="57"/>
        <v/>
      </c>
      <c r="U149" s="52">
        <f>IFERROR(IF(AR150=AR149,INDEX('Aub Demand'!Q:Q,MATCH($O149,'Aub Demand'!$A:$A,0))-IF(AN149="",0,AN149)+AP150,INDEX('Aub Demand'!Q:Q,MATCH($O149,'Aub Demand'!$A:$A,0))-IF(AN149="",0,AN149)),"")</f>
        <v>461</v>
      </c>
      <c r="V149" s="53">
        <f t="shared" si="58"/>
        <v>26.3</v>
      </c>
      <c r="W149" s="52" t="str">
        <f t="shared" si="59"/>
        <v/>
      </c>
      <c r="X149" s="52">
        <f>IFERROR(IF(AND(AR150=AR149,AM149&lt;&gt;""),INDEX('Aub Demand'!Q:Q,MATCH($O149,'Aub Demand'!$A:$A,0))-IF(AN149="",0,AN149)+AP150+AD149+AL149,IF(AR150=AR149,INDEX('Aub Demand'!Q:Q,MATCH($O149,'Aub Demand'!$A:$A,0))-IF(AN149="",0,AN149)+AP150+AD149,IF(AM149&lt;&gt;"",INDEX('Aub Demand'!Q:Q,MATCH($O149,'Aub Demand'!$A:$A,0))-IF(AN149="",0,AN149)+AD149+AL149,INDEX('Aub Demand'!Q:Q,MATCH($O149,'Aub Demand'!$A:$A,0))-IF(AN149="",0,AN149)+AD149))),"")</f>
        <v>461</v>
      </c>
      <c r="Y149" s="53">
        <f t="shared" si="60"/>
        <v>26.3</v>
      </c>
      <c r="Z149" s="52">
        <f>IF(L149="","",INDEX('Aub Demand'!H:H,MATCH($O149,'Aub Demand'!$A:$A,0)))</f>
        <v>75</v>
      </c>
      <c r="AA149" s="52">
        <f t="shared" si="61"/>
        <v>112.5</v>
      </c>
      <c r="AB149" s="52">
        <f>IFERROR(INDEX('Aub Demand'!L:L,MATCH($O149,'Aub Demand'!$A:$A,0)),"")</f>
        <v>139</v>
      </c>
      <c r="AC149" s="52">
        <f>IFERROR(IF(O149="","",SUMIFS('CPL Mats'!F:F,'CPL Mats'!Q:Q,AR149,'CPL Mats'!S:S,AS149)),"")</f>
        <v>0</v>
      </c>
      <c r="AF149" s="25">
        <f>IF(SUMIFS('Supp Consol'!S:S,'Supp Consol'!Y:Y,"Releasable",'Supp Consol'!A:A,O149)=0,"",SUMIFS('Supp Consol'!S:S,'Supp Consol'!Y:Y,"Releasable",'Supp Consol'!A:A,O149))</f>
        <v>584</v>
      </c>
      <c r="AG149" s="25" t="str">
        <f>IFERROR(INDEX('Hun Demand'!Q:Q,MATCH(O149,'Hun Demand'!A:A,0)),"")</f>
        <v/>
      </c>
      <c r="AH149" s="25" t="str">
        <f>IFERROR(INDEX('Hun Demand'!H:H,MATCH($O149,'Hun Demand'!$A:$A,0)),"")</f>
        <v/>
      </c>
      <c r="AI149" s="25" t="str">
        <f>IF(SUMIFS('Supp Consol'!AA:AA,'Supp Consol'!Z:Z,"Expires this month",'Supp Consol'!A:A,O149)=0,"",SUMIFS('Supp Consol'!AA:AA,'Supp Consol'!Z:Z,"Expires this month",'Supp Consol'!A:A,O149))</f>
        <v/>
      </c>
      <c r="AJ149" s="25" t="str">
        <f>IF(SUMIFS('Supp Consol'!AA:AA,'Supp Consol'!Z:Z,"Expired Previous Months",'Supp Consol'!A:A,O149)=0,"",SUMIFS('Supp Consol'!AA:AA,'Supp Consol'!Z:Z,"Expired Previous Months",'Supp Consol'!A:A,O149))</f>
        <v/>
      </c>
      <c r="AK149" s="25" t="str">
        <f>IFERROR(INDEX('Hun Release Current'!B:B,MATCH(O149,'Hun Release Current'!A:A,0)),"")</f>
        <v/>
      </c>
      <c r="AL149" s="25" t="str">
        <f>IF(SUMIF('Prev Aub'!A:A,O149,'Prev Aub'!B:B)=0,"",SUMIF('Prev Aub'!A:A,O149,'Prev Aub'!B:B))</f>
        <v/>
      </c>
      <c r="AN149" s="25">
        <v>25</v>
      </c>
      <c r="AO149" s="25" t="s">
        <v>3891</v>
      </c>
      <c r="AP149" s="25">
        <f t="shared" si="62"/>
        <v>20</v>
      </c>
      <c r="AQ149" s="151" t="str">
        <f>IF(SUMIFS('Supp Consol'!S:S,'Supp Consol'!A:A,O149,'Supp Consol'!I:I,"PENDING")=0,"",SUMIFS('Supp Consol'!S:S,'Supp Consol'!A:A,O149,'Supp Consol'!I:I,"PENDING"))</f>
        <v/>
      </c>
      <c r="AR149" s="27" t="str">
        <f t="shared" si="63"/>
        <v>AG115</v>
      </c>
      <c r="AS149" s="27" t="str">
        <f t="shared" si="64"/>
        <v>62</v>
      </c>
      <c r="AT149" s="27" t="str">
        <f t="shared" si="65"/>
        <v/>
      </c>
      <c r="AU149" s="27" t="str">
        <f t="shared" si="66"/>
        <v/>
      </c>
      <c r="AV149" s="27" t="str">
        <f t="shared" si="67"/>
        <v/>
      </c>
      <c r="AW149" s="27" t="str">
        <f t="shared" si="68"/>
        <v/>
      </c>
      <c r="AX149" s="27" t="str">
        <f t="shared" si="69"/>
        <v>AG115</v>
      </c>
      <c r="AY149" s="27" t="str">
        <f t="shared" si="70"/>
        <v/>
      </c>
      <c r="AZ149" s="27" t="str">
        <f t="shared" si="71"/>
        <v>Supp</v>
      </c>
      <c r="BA149" s="27" t="str">
        <f t="shared" si="72"/>
        <v/>
      </c>
      <c r="BB149" s="27" t="str">
        <f t="shared" si="73"/>
        <v/>
      </c>
      <c r="BC149" s="27" t="str">
        <f t="shared" si="74"/>
        <v/>
      </c>
      <c r="BD149" s="27" t="str">
        <f t="shared" si="75"/>
        <v/>
      </c>
      <c r="BE149" s="27" t="str">
        <f t="shared" si="76"/>
        <v/>
      </c>
      <c r="BF149" s="27" t="str">
        <f t="shared" si="77"/>
        <v/>
      </c>
      <c r="BG149" s="27" t="str">
        <f t="shared" si="78"/>
        <v/>
      </c>
      <c r="BH149" s="27" t="str">
        <f t="shared" si="79"/>
        <v/>
      </c>
      <c r="BI149" s="27" t="str">
        <f t="shared" si="80"/>
        <v/>
      </c>
      <c r="BJ149" s="27" t="str">
        <f t="shared" si="81"/>
        <v>Supp or Hun</v>
      </c>
      <c r="BK149" s="27" t="str">
        <f t="shared" si="82"/>
        <v/>
      </c>
      <c r="BL149" s="27" t="str">
        <f t="shared" si="83"/>
        <v/>
      </c>
      <c r="BM149" s="21" t="s">
        <v>5581</v>
      </c>
    </row>
    <row r="150" spans="1:65" ht="15">
      <c r="A150" s="25">
        <f>IFERROR(INDEX('Hun Demand'!W:W,MATCH(O150,'Hun Demand'!A:A,0)),"")</f>
        <v>344</v>
      </c>
      <c r="B150" s="25">
        <f>IFERROR(INDEX('Hun Demand'!V:V,MATCH(O150,'Hun Demand'!A:A,0)),"")</f>
        <v>0</v>
      </c>
      <c r="C150" s="25">
        <f>IFERROR(INDEX('Hun Demand'!U:U,MATCH(O150,'Hun Demand'!A:A,0)),"")</f>
        <v>0</v>
      </c>
      <c r="D150" s="25">
        <f>IFERROR(INDEX('Hun Demand'!T:T,MATCH(O150,'Hun Demand'!A:A,0)),"")</f>
        <v>0</v>
      </c>
      <c r="E150" s="25">
        <f>IFERROR(INDEX('Hun Demand'!S:S,MATCH(O150,'Hun Demand'!A:A,0)),"")</f>
        <v>0</v>
      </c>
      <c r="F150" s="25">
        <f>IFERROR(INDEX('Hun Demand'!R:R,MATCH(O150,'Hun Demand'!A:A,0)),"")</f>
        <v>0</v>
      </c>
      <c r="G150" s="25">
        <f>IFERROR(INDEX('Aub Demand'!W:W,MATCH(O150,'Aub Demand'!A:A,0)),"")</f>
        <v>1484</v>
      </c>
      <c r="H150" s="25">
        <f>IFERROR(INDEX('Aub Demand'!V:V,MATCH(O150,'Aub Demand'!A:A,0)),"")</f>
        <v>70</v>
      </c>
      <c r="I150" s="25">
        <f>IFERROR(INDEX('Aub Demand'!U:U,MATCH(O150,'Aub Demand'!A:A,0)),"")</f>
        <v>134</v>
      </c>
      <c r="J150" s="25">
        <f>IFERROR(INDEX('Aub Demand'!T:T,MATCH(O150,'Aub Demand'!A:A,0)),"")</f>
        <v>91</v>
      </c>
      <c r="K150" s="25">
        <f>IFERROR(INDEX('Aub Demand'!S:S,MATCH(O150,'Aub Demand'!A:A,0)),"")</f>
        <v>299</v>
      </c>
      <c r="L150" s="25">
        <f>IFERROR(INDEX('Aub Demand'!R:R,MATCH(O150,'Aub Demand'!A:A,0)),"")</f>
        <v>0</v>
      </c>
      <c r="O150" s="27" t="s">
        <v>333</v>
      </c>
      <c r="P150" s="27" t="str">
        <f>IFERROR(INDEX('Aub Demand'!B:B,MATCH($O150,'Aub Demand'!$A:$A,0)),"")</f>
        <v>COOKIES &amp; CREAM</v>
      </c>
      <c r="Q150" s="27" t="str">
        <f>IFERROR(INDEX('Aub Demand'!C:C,MATCH($O150,'Aub Demand'!$A:$A,0)),"")</f>
        <v>NEODE</v>
      </c>
      <c r="R150" s="52">
        <f>IFERROR(IF(AR151=AR150,INDEX('Aub Demand'!K:K,MATCH($O150,'Aub Demand'!$A:$A,0))-IF(AN150="",0,AN150)+AP151,INDEX('Aub Demand'!K:K,MATCH($O150,'Aub Demand'!$A:$A,0))-IF(AN150="",0,AN150)),"")</f>
        <v>9914</v>
      </c>
      <c r="S150" s="53">
        <f t="shared" si="56"/>
        <v>242.8</v>
      </c>
      <c r="T150" s="52" t="str">
        <f t="shared" si="57"/>
        <v/>
      </c>
      <c r="U150" s="52">
        <f>IFERROR(IF(AR151=AR150,INDEX('Aub Demand'!Q:Q,MATCH($O150,'Aub Demand'!$A:$A,0))-IF(AN150="",0,AN150)+AP151,INDEX('Aub Demand'!Q:Q,MATCH($O150,'Aub Demand'!$A:$A,0))-IF(AN150="",0,AN150)),"")</f>
        <v>9859</v>
      </c>
      <c r="V150" s="53">
        <f t="shared" si="58"/>
        <v>241.4</v>
      </c>
      <c r="W150" s="52" t="str">
        <f t="shared" si="59"/>
        <v/>
      </c>
      <c r="X150" s="52">
        <f>IFERROR(IF(AND(AR151=AR150,AM150&lt;&gt;""),INDEX('Aub Demand'!Q:Q,MATCH($O150,'Aub Demand'!$A:$A,0))-IF(AN150="",0,AN150)+AP151+AD150+AL150,IF(AR151=AR150,INDEX('Aub Demand'!Q:Q,MATCH($O150,'Aub Demand'!$A:$A,0))-IF(AN150="",0,AN150)+AP151+AD150,IF(AM150&lt;&gt;"",INDEX('Aub Demand'!Q:Q,MATCH($O150,'Aub Demand'!$A:$A,0))-IF(AN150="",0,AN150)+AD150+AL150,INDEX('Aub Demand'!Q:Q,MATCH($O150,'Aub Demand'!$A:$A,0))-IF(AN150="",0,AN150)+AD150))),"")</f>
        <v>9859</v>
      </c>
      <c r="Y150" s="53">
        <f t="shared" si="60"/>
        <v>241.4</v>
      </c>
      <c r="Z150" s="52">
        <f>IF(L150="","",INDEX('Aub Demand'!H:H,MATCH($O150,'Aub Demand'!$A:$A,0)))</f>
        <v>175</v>
      </c>
      <c r="AA150" s="52">
        <f t="shared" si="61"/>
        <v>216.5</v>
      </c>
      <c r="AB150" s="52">
        <f>IFERROR(INDEX('Aub Demand'!L:L,MATCH($O150,'Aub Demand'!$A:$A,0)),"")</f>
        <v>269</v>
      </c>
      <c r="AC150" s="52">
        <f>IFERROR(IF(O150="","",SUMIFS('CPL Mats'!F:F,'CPL Mats'!Q:Q,AR150,'CPL Mats'!S:S,AS150)),"")</f>
        <v>2900</v>
      </c>
      <c r="AF150" s="25" t="str">
        <f>IF(SUMIFS('Supp Consol'!S:S,'Supp Consol'!Y:Y,"Releasable",'Supp Consol'!A:A,O150)=0,"",SUMIFS('Supp Consol'!S:S,'Supp Consol'!Y:Y,"Releasable",'Supp Consol'!A:A,O150))</f>
        <v/>
      </c>
      <c r="AG150" s="25">
        <f>IFERROR(INDEX('Hun Demand'!Q:Q,MATCH(O150,'Hun Demand'!A:A,0)),"")</f>
        <v>63</v>
      </c>
      <c r="AH150" s="25">
        <f>IFERROR(INDEX('Hun Demand'!H:H,MATCH($O150,'Hun Demand'!$A:$A,0)),"")</f>
        <v>0</v>
      </c>
      <c r="AI150" s="25" t="str">
        <f>IF(SUMIFS('Supp Consol'!AA:AA,'Supp Consol'!Z:Z,"Expires this month",'Supp Consol'!A:A,O150)=0,"",SUMIFS('Supp Consol'!AA:AA,'Supp Consol'!Z:Z,"Expires this month",'Supp Consol'!A:A,O150))</f>
        <v/>
      </c>
      <c r="AJ150" s="25" t="str">
        <f>IF(SUMIFS('Supp Consol'!AA:AA,'Supp Consol'!Z:Z,"Expired Previous Months",'Supp Consol'!A:A,O150)=0,"",SUMIFS('Supp Consol'!AA:AA,'Supp Consol'!Z:Z,"Expired Previous Months",'Supp Consol'!A:A,O150))</f>
        <v/>
      </c>
      <c r="AK150" s="25" t="str">
        <f>IFERROR(INDEX('Hun Release Current'!B:B,MATCH(O150,'Hun Release Current'!A:A,0)),"")</f>
        <v/>
      </c>
      <c r="AL150" s="25" t="str">
        <f>IF(SUMIF('Prev Aub'!A:A,O150,'Prev Aub'!B:B)=0,"",SUMIF('Prev Aub'!A:A,O150,'Prev Aub'!B:B))</f>
        <v/>
      </c>
      <c r="AN150" s="25" t="s">
        <v>3790</v>
      </c>
      <c r="AO150" s="25" t="s">
        <v>3790</v>
      </c>
      <c r="AP150" s="25">
        <f t="shared" si="62"/>
        <v>0</v>
      </c>
      <c r="AQ150" s="151" t="str">
        <f>IF(SUMIFS('Supp Consol'!S:S,'Supp Consol'!A:A,O150,'Supp Consol'!I:I,"PENDING")=0,"",SUMIFS('Supp Consol'!S:S,'Supp Consol'!A:A,O150,'Supp Consol'!I:I,"PENDING"))</f>
        <v/>
      </c>
      <c r="AR150" s="27" t="str">
        <f t="shared" si="63"/>
        <v>AG130</v>
      </c>
      <c r="AS150" s="27" t="str">
        <f t="shared" si="64"/>
        <v>50</v>
      </c>
      <c r="AT150" s="27" t="str">
        <f t="shared" si="65"/>
        <v/>
      </c>
      <c r="AU150" s="27" t="str">
        <f t="shared" si="66"/>
        <v/>
      </c>
      <c r="AV150" s="27" t="str">
        <f t="shared" si="67"/>
        <v/>
      </c>
      <c r="AW150" s="27" t="str">
        <f t="shared" si="68"/>
        <v/>
      </c>
      <c r="AX150" s="27" t="str">
        <f t="shared" si="69"/>
        <v/>
      </c>
      <c r="AY150" s="27" t="str">
        <f t="shared" si="70"/>
        <v>AG130</v>
      </c>
      <c r="AZ150" s="27" t="str">
        <f t="shared" si="71"/>
        <v/>
      </c>
      <c r="BA150" s="27" t="str">
        <f t="shared" si="72"/>
        <v>Hun</v>
      </c>
      <c r="BB150" s="27" t="str">
        <f t="shared" si="73"/>
        <v/>
      </c>
      <c r="BC150" s="27" t="str">
        <f t="shared" si="74"/>
        <v/>
      </c>
      <c r="BD150" s="27" t="str">
        <f t="shared" si="75"/>
        <v/>
      </c>
      <c r="BE150" s="27" t="str">
        <f t="shared" si="76"/>
        <v/>
      </c>
      <c r="BF150" s="27" t="str">
        <f t="shared" si="77"/>
        <v/>
      </c>
      <c r="BG150" s="27" t="str">
        <f t="shared" si="78"/>
        <v/>
      </c>
      <c r="BH150" s="27" t="str">
        <f t="shared" si="79"/>
        <v/>
      </c>
      <c r="BI150" s="27" t="str">
        <f t="shared" si="80"/>
        <v/>
      </c>
      <c r="BJ150" s="27" t="str">
        <f t="shared" si="81"/>
        <v>Supp or Hun</v>
      </c>
      <c r="BK150" s="27" t="str">
        <f t="shared" si="82"/>
        <v/>
      </c>
      <c r="BL150" s="27" t="str">
        <f t="shared" si="83"/>
        <v/>
      </c>
      <c r="BM150" s="21" t="s">
        <v>5581</v>
      </c>
    </row>
    <row r="151" spans="1:65" ht="15">
      <c r="A151" s="25" t="str">
        <f>IFERROR(INDEX('Hun Demand'!W:W,MATCH(O151,'Hun Demand'!A:A,0)),"")</f>
        <v/>
      </c>
      <c r="B151" s="25" t="str">
        <f>IFERROR(INDEX('Hun Demand'!V:V,MATCH(O151,'Hun Demand'!A:A,0)),"")</f>
        <v/>
      </c>
      <c r="C151" s="25" t="str">
        <f>IFERROR(INDEX('Hun Demand'!U:U,MATCH(O151,'Hun Demand'!A:A,0)),"")</f>
        <v/>
      </c>
      <c r="D151" s="25" t="str">
        <f>IFERROR(INDEX('Hun Demand'!T:T,MATCH(O151,'Hun Demand'!A:A,0)),"")</f>
        <v/>
      </c>
      <c r="E151" s="25" t="str">
        <f>IFERROR(INDEX('Hun Demand'!S:S,MATCH(O151,'Hun Demand'!A:A,0)),"")</f>
        <v/>
      </c>
      <c r="F151" s="25" t="str">
        <f>IFERROR(INDEX('Hun Demand'!R:R,MATCH(O151,'Hun Demand'!A:A,0)),"")</f>
        <v/>
      </c>
      <c r="G151" s="25">
        <f>IFERROR(INDEX('Aub Demand'!W:W,MATCH(O151,'Aub Demand'!A:A,0)),"")</f>
        <v>52</v>
      </c>
      <c r="H151" s="25">
        <f>IFERROR(INDEX('Aub Demand'!V:V,MATCH(O151,'Aub Demand'!A:A,0)),"")</f>
        <v>123</v>
      </c>
      <c r="I151" s="25">
        <f>IFERROR(INDEX('Aub Demand'!U:U,MATCH(O151,'Aub Demand'!A:A,0)),"")</f>
        <v>120</v>
      </c>
      <c r="J151" s="25">
        <f>IFERROR(INDEX('Aub Demand'!T:T,MATCH(O151,'Aub Demand'!A:A,0)),"")</f>
        <v>276</v>
      </c>
      <c r="K151" s="25">
        <f>IFERROR(INDEX('Aub Demand'!S:S,MATCH(O151,'Aub Demand'!A:A,0)),"")</f>
        <v>294</v>
      </c>
      <c r="L151" s="25">
        <f>IFERROR(INDEX('Aub Demand'!R:R,MATCH(O151,'Aub Demand'!A:A,0)),"")</f>
        <v>0</v>
      </c>
      <c r="O151" s="27" t="s">
        <v>335</v>
      </c>
      <c r="P151" s="27" t="str">
        <f>IFERROR(INDEX('Aub Demand'!B:B,MATCH($O151,'Aub Demand'!$A:$A,0)),"")</f>
        <v>COOKIES &amp; CREAM</v>
      </c>
      <c r="Q151" s="27" t="str">
        <f>IFERROR(INDEX('Aub Demand'!C:C,MATCH($O151,'Aub Demand'!$A:$A,0)),"")</f>
        <v>NEODE</v>
      </c>
      <c r="R151" s="52">
        <f>IFERROR(IF(AR152=AR151,INDEX('Aub Demand'!K:K,MATCH($O151,'Aub Demand'!$A:$A,0))-IF(AN151="",0,AN151)+AP152,INDEX('Aub Demand'!K:K,MATCH($O151,'Aub Demand'!$A:$A,0))-IF(AN151="",0,AN151)),"")</f>
        <v>1613</v>
      </c>
      <c r="S151" s="53">
        <f t="shared" si="56"/>
        <v>30.1</v>
      </c>
      <c r="T151" s="52" t="str">
        <f t="shared" si="57"/>
        <v/>
      </c>
      <c r="U151" s="52">
        <f>IFERROR(IF(AR152=AR151,INDEX('Aub Demand'!Q:Q,MATCH($O151,'Aub Demand'!$A:$A,0))-IF(AN151="",0,AN151)+AP152,INDEX('Aub Demand'!Q:Q,MATCH($O151,'Aub Demand'!$A:$A,0))-IF(AN151="",0,AN151)),"")</f>
        <v>1602</v>
      </c>
      <c r="V151" s="53">
        <f t="shared" si="58"/>
        <v>29.9</v>
      </c>
      <c r="W151" s="52" t="str">
        <f t="shared" si="59"/>
        <v/>
      </c>
      <c r="X151" s="52">
        <f>IFERROR(IF(AND(AR152=AR151,AM151&lt;&gt;""),INDEX('Aub Demand'!Q:Q,MATCH($O151,'Aub Demand'!$A:$A,0))-IF(AN151="",0,AN151)+AP152+AD151+AL151,IF(AR152=AR151,INDEX('Aub Demand'!Q:Q,MATCH($O151,'Aub Demand'!$A:$A,0))-IF(AN151="",0,AN151)+AP152+AD151,IF(AM151&lt;&gt;"",INDEX('Aub Demand'!Q:Q,MATCH($O151,'Aub Demand'!$A:$A,0))-IF(AN151="",0,AN151)+AD151+AL151,INDEX('Aub Demand'!Q:Q,MATCH($O151,'Aub Demand'!$A:$A,0))-IF(AN151="",0,AN151)+AD151))),"")</f>
        <v>1602</v>
      </c>
      <c r="Y151" s="53">
        <f t="shared" si="60"/>
        <v>29.9</v>
      </c>
      <c r="Z151" s="52">
        <f>IF(L151="","",INDEX('Aub Demand'!H:H,MATCH($O151,'Aub Demand'!$A:$A,0)))</f>
        <v>230</v>
      </c>
      <c r="AA151" s="52">
        <f t="shared" si="61"/>
        <v>285</v>
      </c>
      <c r="AB151" s="52">
        <f>IFERROR(INDEX('Aub Demand'!L:L,MATCH($O151,'Aub Demand'!$A:$A,0)),"")</f>
        <v>238</v>
      </c>
      <c r="AC151" s="52">
        <f>IFERROR(IF(O151="","",SUMIFS('CPL Mats'!F:F,'CPL Mats'!Q:Q,AR151,'CPL Mats'!S:S,AS151)),"")</f>
        <v>0</v>
      </c>
      <c r="AF151" s="25" t="str">
        <f>IF(SUMIFS('Supp Consol'!S:S,'Supp Consol'!Y:Y,"Releasable",'Supp Consol'!A:A,O151)=0,"",SUMIFS('Supp Consol'!S:S,'Supp Consol'!Y:Y,"Releasable",'Supp Consol'!A:A,O151))</f>
        <v/>
      </c>
      <c r="AG151" s="25" t="str">
        <f>IFERROR(INDEX('Hun Demand'!Q:Q,MATCH(O151,'Hun Demand'!A:A,0)),"")</f>
        <v/>
      </c>
      <c r="AH151" s="25" t="str">
        <f>IFERROR(INDEX('Hun Demand'!H:H,MATCH($O151,'Hun Demand'!$A:$A,0)),"")</f>
        <v/>
      </c>
      <c r="AI151" s="25" t="str">
        <f>IF(SUMIFS('Supp Consol'!AA:AA,'Supp Consol'!Z:Z,"Expires this month",'Supp Consol'!A:A,O151)=0,"",SUMIFS('Supp Consol'!AA:AA,'Supp Consol'!Z:Z,"Expires this month",'Supp Consol'!A:A,O151))</f>
        <v/>
      </c>
      <c r="AJ151" s="25" t="str">
        <f>IF(SUMIFS('Supp Consol'!AA:AA,'Supp Consol'!Z:Z,"Expired Previous Months",'Supp Consol'!A:A,O151)=0,"",SUMIFS('Supp Consol'!AA:AA,'Supp Consol'!Z:Z,"Expired Previous Months",'Supp Consol'!A:A,O151))</f>
        <v/>
      </c>
      <c r="AK151" s="25" t="str">
        <f>IFERROR(INDEX('Hun Release Current'!B:B,MATCH(O151,'Hun Release Current'!A:A,0)),"")</f>
        <v/>
      </c>
      <c r="AL151" s="25" t="str">
        <f>IF(SUMIF('Prev Aub'!A:A,O151,'Prev Aub'!B:B)=0,"",SUMIF('Prev Aub'!A:A,O151,'Prev Aub'!B:B))</f>
        <v/>
      </c>
      <c r="AN151" s="25" t="s">
        <v>3790</v>
      </c>
      <c r="AO151" s="25" t="s">
        <v>3790</v>
      </c>
      <c r="AP151" s="25">
        <f t="shared" si="62"/>
        <v>0</v>
      </c>
      <c r="AQ151" s="151" t="str">
        <f>IF(SUMIFS('Supp Consol'!S:S,'Supp Consol'!A:A,O151,'Supp Consol'!I:I,"PENDING")=0,"",SUMIFS('Supp Consol'!S:S,'Supp Consol'!A:A,O151,'Supp Consol'!I:I,"PENDING"))</f>
        <v/>
      </c>
      <c r="AR151" s="27" t="str">
        <f t="shared" si="63"/>
        <v>AG130</v>
      </c>
      <c r="AS151" s="27" t="str">
        <f t="shared" si="64"/>
        <v>62</v>
      </c>
      <c r="AT151" s="27" t="str">
        <f t="shared" si="65"/>
        <v/>
      </c>
      <c r="AU151" s="27" t="str">
        <f t="shared" si="66"/>
        <v/>
      </c>
      <c r="AV151" s="27" t="str">
        <f t="shared" si="67"/>
        <v/>
      </c>
      <c r="AW151" s="27" t="str">
        <f t="shared" si="68"/>
        <v/>
      </c>
      <c r="AX151" s="27" t="str">
        <f t="shared" si="69"/>
        <v/>
      </c>
      <c r="AY151" s="27" t="str">
        <f t="shared" si="70"/>
        <v/>
      </c>
      <c r="AZ151" s="27" t="str">
        <f t="shared" si="71"/>
        <v/>
      </c>
      <c r="BA151" s="27" t="str">
        <f t="shared" si="72"/>
        <v>Hun</v>
      </c>
      <c r="BB151" s="27" t="str">
        <f t="shared" si="73"/>
        <v/>
      </c>
      <c r="BC151" s="27" t="str">
        <f t="shared" si="74"/>
        <v/>
      </c>
      <c r="BD151" s="27" t="str">
        <f t="shared" si="75"/>
        <v/>
      </c>
      <c r="BE151" s="27" t="str">
        <f t="shared" si="76"/>
        <v/>
      </c>
      <c r="BF151" s="27" t="str">
        <f t="shared" si="77"/>
        <v/>
      </c>
      <c r="BG151" s="27" t="str">
        <f t="shared" si="78"/>
        <v/>
      </c>
      <c r="BH151" s="27" t="str">
        <f t="shared" si="79"/>
        <v/>
      </c>
      <c r="BI151" s="27" t="str">
        <f t="shared" si="80"/>
        <v/>
      </c>
      <c r="BJ151" s="27" t="str">
        <f t="shared" si="81"/>
        <v>Supp or Hun</v>
      </c>
      <c r="BK151" s="27" t="str">
        <f t="shared" si="82"/>
        <v/>
      </c>
      <c r="BL151" s="27" t="str">
        <f t="shared" si="83"/>
        <v/>
      </c>
      <c r="BM151" s="21" t="s">
        <v>5581</v>
      </c>
    </row>
    <row r="152" spans="1:65" ht="15">
      <c r="A152" s="25" t="str">
        <f>IFERROR(INDEX('Hun Demand'!W:W,MATCH(O152,'Hun Demand'!A:A,0)),"")</f>
        <v/>
      </c>
      <c r="B152" s="25" t="str">
        <f>IFERROR(INDEX('Hun Demand'!V:V,MATCH(O152,'Hun Demand'!A:A,0)),"")</f>
        <v/>
      </c>
      <c r="C152" s="25" t="str">
        <f>IFERROR(INDEX('Hun Demand'!U:U,MATCH(O152,'Hun Demand'!A:A,0)),"")</f>
        <v/>
      </c>
      <c r="D152" s="25" t="str">
        <f>IFERROR(INDEX('Hun Demand'!T:T,MATCH(O152,'Hun Demand'!A:A,0)),"")</f>
        <v/>
      </c>
      <c r="E152" s="25" t="str">
        <f>IFERROR(INDEX('Hun Demand'!S:S,MATCH(O152,'Hun Demand'!A:A,0)),"")</f>
        <v/>
      </c>
      <c r="F152" s="25" t="str">
        <f>IFERROR(INDEX('Hun Demand'!R:R,MATCH(O152,'Hun Demand'!A:A,0)),"")</f>
        <v/>
      </c>
      <c r="G152" s="25">
        <f>IFERROR(INDEX('Aub Demand'!W:W,MATCH(O152,'Aub Demand'!A:A,0)),"")</f>
        <v>0</v>
      </c>
      <c r="H152" s="25">
        <f>IFERROR(INDEX('Aub Demand'!V:V,MATCH(O152,'Aub Demand'!A:A,0)),"")</f>
        <v>0</v>
      </c>
      <c r="I152" s="25">
        <f>IFERROR(INDEX('Aub Demand'!U:U,MATCH(O152,'Aub Demand'!A:A,0)),"")</f>
        <v>0</v>
      </c>
      <c r="J152" s="25">
        <f>IFERROR(INDEX('Aub Demand'!T:T,MATCH(O152,'Aub Demand'!A:A,0)),"")</f>
        <v>0</v>
      </c>
      <c r="K152" s="25">
        <f>IFERROR(INDEX('Aub Demand'!S:S,MATCH(O152,'Aub Demand'!A:A,0)),"")</f>
        <v>0</v>
      </c>
      <c r="L152" s="25">
        <f>IFERROR(INDEX('Aub Demand'!R:R,MATCH(O152,'Aub Demand'!A:A,0)),"")</f>
        <v>0</v>
      </c>
      <c r="O152" s="27" t="s">
        <v>336</v>
      </c>
      <c r="P152" s="27" t="str">
        <f>IFERROR(INDEX('Aub Demand'!B:B,MATCH($O152,'Aub Demand'!$A:$A,0)),"")</f>
        <v>CAPRISE</v>
      </c>
      <c r="Q152" s="27" t="str">
        <f>IFERROR(INDEX('Aub Demand'!C:C,MATCH($O152,'Aub Demand'!$A:$A,0)),"")</f>
        <v>IMPRE</v>
      </c>
      <c r="R152" s="52">
        <f>IFERROR(IF(AR153=AR152,INDEX('Aub Demand'!K:K,MATCH($O152,'Aub Demand'!$A:$A,0))-IF(AN152="",0,AN152)+AP153,INDEX('Aub Demand'!K:K,MATCH($O152,'Aub Demand'!$A:$A,0))-IF(AN152="",0,AN152)),"")</f>
        <v>37</v>
      </c>
      <c r="S152" s="53" t="str">
        <f t="shared" si="56"/>
        <v>n/a</v>
      </c>
      <c r="T152" s="52" t="str">
        <f t="shared" si="57"/>
        <v/>
      </c>
      <c r="U152" s="52">
        <f>IFERROR(IF(AR153=AR152,INDEX('Aub Demand'!Q:Q,MATCH($O152,'Aub Demand'!$A:$A,0))-IF(AN152="",0,AN152)+AP153,INDEX('Aub Demand'!Q:Q,MATCH($O152,'Aub Demand'!$A:$A,0))-IF(AN152="",0,AN152)),"")</f>
        <v>37</v>
      </c>
      <c r="V152" s="53" t="str">
        <f t="shared" si="58"/>
        <v>n/a</v>
      </c>
      <c r="W152" s="52" t="str">
        <f t="shared" si="59"/>
        <v/>
      </c>
      <c r="X152" s="52">
        <f>IFERROR(IF(AND(AR153=AR152,AM152&lt;&gt;""),INDEX('Aub Demand'!Q:Q,MATCH($O152,'Aub Demand'!$A:$A,0))-IF(AN152="",0,AN152)+AP153+AD152+AL152,IF(AR153=AR152,INDEX('Aub Demand'!Q:Q,MATCH($O152,'Aub Demand'!$A:$A,0))-IF(AN152="",0,AN152)+AP153+AD152,IF(AM152&lt;&gt;"",INDEX('Aub Demand'!Q:Q,MATCH($O152,'Aub Demand'!$A:$A,0))-IF(AN152="",0,AN152)+AD152+AL152,INDEX('Aub Demand'!Q:Q,MATCH($O152,'Aub Demand'!$A:$A,0))-IF(AN152="",0,AN152)+AD152))),"")</f>
        <v>37</v>
      </c>
      <c r="Y152" s="53" t="str">
        <f t="shared" si="60"/>
        <v>n/a</v>
      </c>
      <c r="Z152" s="52">
        <f>IF(L152="","",INDEX('Aub Demand'!H:H,MATCH($O152,'Aub Demand'!$A:$A,0)))</f>
        <v>0</v>
      </c>
      <c r="AA152" s="52" t="str">
        <f t="shared" si="61"/>
        <v>-spike-</v>
      </c>
      <c r="AB152" s="52">
        <f>IFERROR(INDEX('Aub Demand'!L:L,MATCH($O152,'Aub Demand'!$A:$A,0)),"")</f>
        <v>0</v>
      </c>
      <c r="AC152" s="52">
        <f>IFERROR(IF(O152="","",SUMIFS('CPL Mats'!F:F,'CPL Mats'!Q:Q,AR152,'CPL Mats'!S:S,AS152)),"")</f>
        <v>0</v>
      </c>
      <c r="AF152" s="25" t="str">
        <f>IF(SUMIFS('Supp Consol'!S:S,'Supp Consol'!Y:Y,"Releasable",'Supp Consol'!A:A,O152)=0,"",SUMIFS('Supp Consol'!S:S,'Supp Consol'!Y:Y,"Releasable",'Supp Consol'!A:A,O152))</f>
        <v/>
      </c>
      <c r="AG152" s="25" t="str">
        <f>IFERROR(INDEX('Hun Demand'!Q:Q,MATCH(O152,'Hun Demand'!A:A,0)),"")</f>
        <v/>
      </c>
      <c r="AH152" s="25" t="str">
        <f>IFERROR(INDEX('Hun Demand'!H:H,MATCH($O152,'Hun Demand'!$A:$A,0)),"")</f>
        <v/>
      </c>
      <c r="AI152" s="25" t="str">
        <f>IF(SUMIFS('Supp Consol'!AA:AA,'Supp Consol'!Z:Z,"Expires this month",'Supp Consol'!A:A,O152)=0,"",SUMIFS('Supp Consol'!AA:AA,'Supp Consol'!Z:Z,"Expires this month",'Supp Consol'!A:A,O152))</f>
        <v/>
      </c>
      <c r="AJ152" s="25" t="str">
        <f>IF(SUMIFS('Supp Consol'!AA:AA,'Supp Consol'!Z:Z,"Expired Previous Months",'Supp Consol'!A:A,O152)=0,"",SUMIFS('Supp Consol'!AA:AA,'Supp Consol'!Z:Z,"Expired Previous Months",'Supp Consol'!A:A,O152))</f>
        <v/>
      </c>
      <c r="AK152" s="25" t="str">
        <f>IFERROR(INDEX('Hun Release Current'!B:B,MATCH(O152,'Hun Release Current'!A:A,0)),"")</f>
        <v/>
      </c>
      <c r="AL152" s="25" t="str">
        <f>IF(SUMIF('Prev Aub'!A:A,O152,'Prev Aub'!B:B)=0,"",SUMIF('Prev Aub'!A:A,O152,'Prev Aub'!B:B))</f>
        <v/>
      </c>
      <c r="AN152" s="25" t="s">
        <v>3790</v>
      </c>
      <c r="AO152" s="25" t="s">
        <v>3790</v>
      </c>
      <c r="AP152" s="25">
        <f t="shared" si="62"/>
        <v>0</v>
      </c>
      <c r="AQ152" s="151" t="str">
        <f>IF(SUMIFS('Supp Consol'!S:S,'Supp Consol'!A:A,O152,'Supp Consol'!I:I,"PENDING")=0,"",SUMIFS('Supp Consol'!S:S,'Supp Consol'!A:A,O152,'Supp Consol'!I:I,"PENDING"))</f>
        <v/>
      </c>
      <c r="AR152" s="27" t="str">
        <f t="shared" si="63"/>
        <v>AG160</v>
      </c>
      <c r="AS152" s="27" t="str">
        <f t="shared" si="64"/>
        <v>50</v>
      </c>
      <c r="AT152" s="27" t="str">
        <f t="shared" si="65"/>
        <v/>
      </c>
      <c r="AU152" s="27" t="str">
        <f t="shared" si="66"/>
        <v/>
      </c>
      <c r="AV152" s="27" t="str">
        <f t="shared" si="67"/>
        <v/>
      </c>
      <c r="AW152" s="27" t="str">
        <f t="shared" si="68"/>
        <v/>
      </c>
      <c r="AX152" s="27" t="str">
        <f t="shared" si="69"/>
        <v/>
      </c>
      <c r="AY152" s="27" t="str">
        <f t="shared" si="70"/>
        <v/>
      </c>
      <c r="AZ152" s="27" t="str">
        <f t="shared" si="71"/>
        <v/>
      </c>
      <c r="BA152" s="27" t="str">
        <f t="shared" si="72"/>
        <v/>
      </c>
      <c r="BB152" s="27" t="str">
        <f t="shared" si="73"/>
        <v/>
      </c>
      <c r="BC152" s="27" t="str">
        <f t="shared" si="74"/>
        <v/>
      </c>
      <c r="BD152" s="27" t="str">
        <f t="shared" si="75"/>
        <v/>
      </c>
      <c r="BE152" s="27" t="str">
        <f t="shared" si="76"/>
        <v/>
      </c>
      <c r="BF152" s="27" t="str">
        <f t="shared" si="77"/>
        <v/>
      </c>
      <c r="BG152" s="27" t="str">
        <f t="shared" si="78"/>
        <v/>
      </c>
      <c r="BH152" s="27" t="str">
        <f t="shared" si="79"/>
        <v/>
      </c>
      <c r="BI152" s="27" t="str">
        <f t="shared" si="80"/>
        <v/>
      </c>
      <c r="BJ152" s="27" t="str">
        <f t="shared" si="81"/>
        <v/>
      </c>
      <c r="BK152" s="27" t="str">
        <f t="shared" si="82"/>
        <v/>
      </c>
      <c r="BL152" s="27" t="str">
        <f t="shared" si="83"/>
        <v/>
      </c>
      <c r="BM152" s="21" t="s">
        <v>5581</v>
      </c>
    </row>
    <row r="153" spans="1:65" ht="15">
      <c r="A153" s="25" t="str">
        <f>IFERROR(INDEX('Hun Demand'!W:W,MATCH(O153,'Hun Demand'!A:A,0)),"")</f>
        <v/>
      </c>
      <c r="B153" s="25" t="str">
        <f>IFERROR(INDEX('Hun Demand'!V:V,MATCH(O153,'Hun Demand'!A:A,0)),"")</f>
        <v/>
      </c>
      <c r="C153" s="25" t="str">
        <f>IFERROR(INDEX('Hun Demand'!U:U,MATCH(O153,'Hun Demand'!A:A,0)),"")</f>
        <v/>
      </c>
      <c r="D153" s="25" t="str">
        <f>IFERROR(INDEX('Hun Demand'!T:T,MATCH(O153,'Hun Demand'!A:A,0)),"")</f>
        <v/>
      </c>
      <c r="E153" s="25" t="str">
        <f>IFERROR(INDEX('Hun Demand'!S:S,MATCH(O153,'Hun Demand'!A:A,0)),"")</f>
        <v/>
      </c>
      <c r="F153" s="25" t="str">
        <f>IFERROR(INDEX('Hun Demand'!R:R,MATCH(O153,'Hun Demand'!A:A,0)),"")</f>
        <v/>
      </c>
      <c r="G153" s="25">
        <f>IFERROR(INDEX('Aub Demand'!W:W,MATCH(O153,'Aub Demand'!A:A,0)),"")</f>
        <v>22</v>
      </c>
      <c r="H153" s="25">
        <f>IFERROR(INDEX('Aub Demand'!V:V,MATCH(O153,'Aub Demand'!A:A,0)),"")</f>
        <v>0</v>
      </c>
      <c r="I153" s="25">
        <f>IFERROR(INDEX('Aub Demand'!U:U,MATCH(O153,'Aub Demand'!A:A,0)),"")</f>
        <v>0</v>
      </c>
      <c r="J153" s="25">
        <f>IFERROR(INDEX('Aub Demand'!T:T,MATCH(O153,'Aub Demand'!A:A,0)),"")</f>
        <v>0</v>
      </c>
      <c r="K153" s="25">
        <f>IFERROR(INDEX('Aub Demand'!S:S,MATCH(O153,'Aub Demand'!A:A,0)),"")</f>
        <v>0</v>
      </c>
      <c r="L153" s="25">
        <f>IFERROR(INDEX('Aub Demand'!R:R,MATCH(O153,'Aub Demand'!A:A,0)),"")</f>
        <v>0</v>
      </c>
      <c r="O153" s="27" t="s">
        <v>339</v>
      </c>
      <c r="P153" s="27" t="str">
        <f>IFERROR(INDEX('Aub Demand'!B:B,MATCH($O153,'Aub Demand'!$A:$A,0)),"")</f>
        <v>CAPRISE</v>
      </c>
      <c r="Q153" s="27" t="str">
        <f>IFERROR(INDEX('Aub Demand'!C:C,MATCH($O153,'Aub Demand'!$A:$A,0)),"")</f>
        <v>IMPRE</v>
      </c>
      <c r="R153" s="52">
        <f>IFERROR(IF(AR154=AR153,INDEX('Aub Demand'!K:K,MATCH($O153,'Aub Demand'!$A:$A,0))-IF(AN153="",0,AN153)+AP154,INDEX('Aub Demand'!K:K,MATCH($O153,'Aub Demand'!$A:$A,0))-IF(AN153="",0,AN153)),"")</f>
        <v>1752</v>
      </c>
      <c r="S153" s="53" t="str">
        <f t="shared" si="56"/>
        <v>n/a</v>
      </c>
      <c r="T153" s="52" t="str">
        <f t="shared" si="57"/>
        <v/>
      </c>
      <c r="U153" s="52">
        <f>IFERROR(IF(AR154=AR153,INDEX('Aub Demand'!Q:Q,MATCH($O153,'Aub Demand'!$A:$A,0))-IF(AN153="",0,AN153)+AP154,INDEX('Aub Demand'!Q:Q,MATCH($O153,'Aub Demand'!$A:$A,0))-IF(AN153="",0,AN153)),"")</f>
        <v>1752</v>
      </c>
      <c r="V153" s="53" t="str">
        <f t="shared" si="58"/>
        <v>n/a</v>
      </c>
      <c r="W153" s="52" t="str">
        <f t="shared" si="59"/>
        <v/>
      </c>
      <c r="X153" s="52">
        <f>IFERROR(IF(AND(AR154=AR153,AM153&lt;&gt;""),INDEX('Aub Demand'!Q:Q,MATCH($O153,'Aub Demand'!$A:$A,0))-IF(AN153="",0,AN153)+AP154+AD153+AL153,IF(AR154=AR153,INDEX('Aub Demand'!Q:Q,MATCH($O153,'Aub Demand'!$A:$A,0))-IF(AN153="",0,AN153)+AP154+AD153,IF(AM153&lt;&gt;"",INDEX('Aub Demand'!Q:Q,MATCH($O153,'Aub Demand'!$A:$A,0))-IF(AN153="",0,AN153)+AD153+AL153,INDEX('Aub Demand'!Q:Q,MATCH($O153,'Aub Demand'!$A:$A,0))-IF(AN153="",0,AN153)+AD153))),"")</f>
        <v>1752</v>
      </c>
      <c r="Y153" s="53" t="str">
        <f t="shared" si="60"/>
        <v>n/a</v>
      </c>
      <c r="Z153" s="52">
        <f>IF(L153="","",INDEX('Aub Demand'!H:H,MATCH($O153,'Aub Demand'!$A:$A,0)))</f>
        <v>0</v>
      </c>
      <c r="AA153" s="52" t="str">
        <f t="shared" si="61"/>
        <v>-spike-</v>
      </c>
      <c r="AB153" s="52">
        <f>IFERROR(INDEX('Aub Demand'!L:L,MATCH($O153,'Aub Demand'!$A:$A,0)),"")</f>
        <v>5</v>
      </c>
      <c r="AC153" s="52">
        <f>IFERROR(IF(O153="","",SUMIFS('CPL Mats'!F:F,'CPL Mats'!Q:Q,AR153,'CPL Mats'!S:S,AS153)),"")</f>
        <v>0</v>
      </c>
      <c r="AF153" s="25" t="str">
        <f>IF(SUMIFS('Supp Consol'!S:S,'Supp Consol'!Y:Y,"Releasable",'Supp Consol'!A:A,O153)=0,"",SUMIFS('Supp Consol'!S:S,'Supp Consol'!Y:Y,"Releasable",'Supp Consol'!A:A,O153))</f>
        <v/>
      </c>
      <c r="AG153" s="25" t="str">
        <f>IFERROR(INDEX('Hun Demand'!Q:Q,MATCH(O153,'Hun Demand'!A:A,0)),"")</f>
        <v/>
      </c>
      <c r="AH153" s="25" t="str">
        <f>IFERROR(INDEX('Hun Demand'!H:H,MATCH($O153,'Hun Demand'!$A:$A,0)),"")</f>
        <v/>
      </c>
      <c r="AI153" s="25" t="str">
        <f>IF(SUMIFS('Supp Consol'!AA:AA,'Supp Consol'!Z:Z,"Expires this month",'Supp Consol'!A:A,O153)=0,"",SUMIFS('Supp Consol'!AA:AA,'Supp Consol'!Z:Z,"Expires this month",'Supp Consol'!A:A,O153))</f>
        <v/>
      </c>
      <c r="AJ153" s="25" t="str">
        <f>IF(SUMIFS('Supp Consol'!AA:AA,'Supp Consol'!Z:Z,"Expired Previous Months",'Supp Consol'!A:A,O153)=0,"",SUMIFS('Supp Consol'!AA:AA,'Supp Consol'!Z:Z,"Expired Previous Months",'Supp Consol'!A:A,O153))</f>
        <v/>
      </c>
      <c r="AK153" s="25" t="str">
        <f>IFERROR(INDEX('Hun Release Current'!B:B,MATCH(O153,'Hun Release Current'!A:A,0)),"")</f>
        <v/>
      </c>
      <c r="AL153" s="25" t="str">
        <f>IF(SUMIF('Prev Aub'!A:A,O153,'Prev Aub'!B:B)=0,"",SUMIF('Prev Aub'!A:A,O153,'Prev Aub'!B:B))</f>
        <v/>
      </c>
      <c r="AN153" s="25" t="s">
        <v>3790</v>
      </c>
      <c r="AO153" s="25" t="s">
        <v>3790</v>
      </c>
      <c r="AP153" s="25">
        <f t="shared" si="62"/>
        <v>0</v>
      </c>
      <c r="AQ153" s="151" t="str">
        <f>IF(SUMIFS('Supp Consol'!S:S,'Supp Consol'!A:A,O153,'Supp Consol'!I:I,"PENDING")=0,"",SUMIFS('Supp Consol'!S:S,'Supp Consol'!A:A,O153,'Supp Consol'!I:I,"PENDING"))</f>
        <v/>
      </c>
      <c r="AR153" s="27" t="str">
        <f t="shared" si="63"/>
        <v>AG160</v>
      </c>
      <c r="AS153" s="27" t="str">
        <f t="shared" si="64"/>
        <v>62</v>
      </c>
      <c r="AT153" s="27" t="str">
        <f t="shared" si="65"/>
        <v/>
      </c>
      <c r="AU153" s="27" t="str">
        <f t="shared" si="66"/>
        <v/>
      </c>
      <c r="AV153" s="27" t="str">
        <f t="shared" si="67"/>
        <v/>
      </c>
      <c r="AW153" s="27" t="str">
        <f t="shared" si="68"/>
        <v/>
      </c>
      <c r="AX153" s="27" t="str">
        <f t="shared" si="69"/>
        <v/>
      </c>
      <c r="AY153" s="27" t="str">
        <f t="shared" si="70"/>
        <v/>
      </c>
      <c r="AZ153" s="27" t="str">
        <f t="shared" si="71"/>
        <v/>
      </c>
      <c r="BA153" s="27" t="str">
        <f t="shared" si="72"/>
        <v/>
      </c>
      <c r="BB153" s="27" t="str">
        <f t="shared" si="73"/>
        <v/>
      </c>
      <c r="BC153" s="27" t="str">
        <f t="shared" si="74"/>
        <v/>
      </c>
      <c r="BD153" s="27" t="str">
        <f t="shared" si="75"/>
        <v/>
      </c>
      <c r="BE153" s="27" t="str">
        <f t="shared" si="76"/>
        <v/>
      </c>
      <c r="BF153" s="27" t="str">
        <f t="shared" si="77"/>
        <v/>
      </c>
      <c r="BG153" s="27" t="str">
        <f t="shared" si="78"/>
        <v/>
      </c>
      <c r="BH153" s="27" t="str">
        <f t="shared" si="79"/>
        <v/>
      </c>
      <c r="BI153" s="27" t="str">
        <f t="shared" si="80"/>
        <v/>
      </c>
      <c r="BJ153" s="27" t="str">
        <f t="shared" si="81"/>
        <v/>
      </c>
      <c r="BK153" s="27" t="str">
        <f t="shared" si="82"/>
        <v/>
      </c>
      <c r="BL153" s="27" t="str">
        <f t="shared" si="83"/>
        <v/>
      </c>
      <c r="BM153" s="21" t="s">
        <v>5581</v>
      </c>
    </row>
    <row r="154" spans="1:65" ht="15">
      <c r="A154" s="25" t="str">
        <f>IFERROR(INDEX('Hun Demand'!W:W,MATCH(O154,'Hun Demand'!A:A,0)),"")</f>
        <v/>
      </c>
      <c r="B154" s="25" t="str">
        <f>IFERROR(INDEX('Hun Demand'!V:V,MATCH(O154,'Hun Demand'!A:A,0)),"")</f>
        <v/>
      </c>
      <c r="C154" s="25" t="str">
        <f>IFERROR(INDEX('Hun Demand'!U:U,MATCH(O154,'Hun Demand'!A:A,0)),"")</f>
        <v/>
      </c>
      <c r="D154" s="25" t="str">
        <f>IFERROR(INDEX('Hun Demand'!T:T,MATCH(O154,'Hun Demand'!A:A,0)),"")</f>
        <v/>
      </c>
      <c r="E154" s="25" t="str">
        <f>IFERROR(INDEX('Hun Demand'!S:S,MATCH(O154,'Hun Demand'!A:A,0)),"")</f>
        <v/>
      </c>
      <c r="F154" s="25" t="str">
        <f>IFERROR(INDEX('Hun Demand'!R:R,MATCH(O154,'Hun Demand'!A:A,0)),"")</f>
        <v/>
      </c>
      <c r="G154" s="25">
        <f>IFERROR(INDEX('Aub Demand'!W:W,MATCH(O154,'Aub Demand'!A:A,0)),"")</f>
        <v>0</v>
      </c>
      <c r="H154" s="25">
        <f>IFERROR(INDEX('Aub Demand'!V:V,MATCH(O154,'Aub Demand'!A:A,0)),"")</f>
        <v>0</v>
      </c>
      <c r="I154" s="25">
        <f>IFERROR(INDEX('Aub Demand'!U:U,MATCH(O154,'Aub Demand'!A:A,0)),"")</f>
        <v>22</v>
      </c>
      <c r="J154" s="25">
        <f>IFERROR(INDEX('Aub Demand'!T:T,MATCH(O154,'Aub Demand'!A:A,0)),"")</f>
        <v>0</v>
      </c>
      <c r="K154" s="25">
        <f>IFERROR(INDEX('Aub Demand'!S:S,MATCH(O154,'Aub Demand'!A:A,0)),"")</f>
        <v>26</v>
      </c>
      <c r="L154" s="25">
        <f>IFERROR(INDEX('Aub Demand'!R:R,MATCH(O154,'Aub Demand'!A:A,0)),"")</f>
        <v>0</v>
      </c>
      <c r="O154" s="27" t="s">
        <v>340</v>
      </c>
      <c r="P154" s="27" t="str">
        <f>IFERROR(INDEX('Aub Demand'!B:B,MATCH($O154,'Aub Demand'!$A:$A,0)),"")</f>
        <v>METEORIC METALLO</v>
      </c>
      <c r="Q154" s="27" t="str">
        <f>IFERROR(INDEX('Aub Demand'!C:C,MATCH($O154,'Aub Demand'!$A:$A,0)),"")</f>
        <v>TOPPA</v>
      </c>
      <c r="R154" s="52">
        <f>IFERROR(IF(AR155=AR154,INDEX('Aub Demand'!K:K,MATCH($O154,'Aub Demand'!$A:$A,0))-IF(AN154="",0,AN154)+AP155,INDEX('Aub Demand'!K:K,MATCH($O154,'Aub Demand'!$A:$A,0))-IF(AN154="",0,AN154)),"")</f>
        <v>0</v>
      </c>
      <c r="S154" s="53">
        <f t="shared" si="56"/>
        <v>0</v>
      </c>
      <c r="T154" s="52">
        <f t="shared" si="57"/>
        <v>18</v>
      </c>
      <c r="U154" s="52">
        <f>IFERROR(IF(AR155=AR154,INDEX('Aub Demand'!Q:Q,MATCH($O154,'Aub Demand'!$A:$A,0))-IF(AN154="",0,AN154)+AP155,INDEX('Aub Demand'!Q:Q,MATCH($O154,'Aub Demand'!$A:$A,0))-IF(AN154="",0,AN154)),"")</f>
        <v>0</v>
      </c>
      <c r="V154" s="53">
        <f t="shared" si="58"/>
        <v>0</v>
      </c>
      <c r="W154" s="52">
        <f t="shared" si="59"/>
        <v>18</v>
      </c>
      <c r="X154" s="52">
        <f>IFERROR(IF(AND(AR155=AR154,AM154&lt;&gt;""),INDEX('Aub Demand'!Q:Q,MATCH($O154,'Aub Demand'!$A:$A,0))-IF(AN154="",0,AN154)+AP155+AD154+AL154,IF(AR155=AR154,INDEX('Aub Demand'!Q:Q,MATCH($O154,'Aub Demand'!$A:$A,0))-IF(AN154="",0,AN154)+AP155+AD154,IF(AM154&lt;&gt;"",INDEX('Aub Demand'!Q:Q,MATCH($O154,'Aub Demand'!$A:$A,0))-IF(AN154="",0,AN154)+AD154+AL154,INDEX('Aub Demand'!Q:Q,MATCH($O154,'Aub Demand'!$A:$A,0))-IF(AN154="",0,AN154)+AD154))),"")</f>
        <v>0</v>
      </c>
      <c r="Y154" s="53">
        <f t="shared" si="60"/>
        <v>0</v>
      </c>
      <c r="Z154" s="52">
        <f>IF(L154="","",INDEX('Aub Demand'!H:H,MATCH($O154,'Aub Demand'!$A:$A,0)))</f>
        <v>16</v>
      </c>
      <c r="AA154" s="52">
        <f t="shared" si="61"/>
        <v>24</v>
      </c>
      <c r="AB154" s="52">
        <f>IFERROR(INDEX('Aub Demand'!L:L,MATCH($O154,'Aub Demand'!$A:$A,0)),"")</f>
        <v>1</v>
      </c>
      <c r="AC154" s="52">
        <f>IFERROR(IF(O154="","",SUMIFS('CPL Mats'!F:F,'CPL Mats'!Q:Q,AR154,'CPL Mats'!S:S,AS154)),"")</f>
        <v>0</v>
      </c>
      <c r="AF154" s="25" t="str">
        <f>IF(SUMIFS('Supp Consol'!S:S,'Supp Consol'!Y:Y,"Releasable",'Supp Consol'!A:A,O154)=0,"",SUMIFS('Supp Consol'!S:S,'Supp Consol'!Y:Y,"Releasable",'Supp Consol'!A:A,O154))</f>
        <v/>
      </c>
      <c r="AG154" s="25" t="str">
        <f>IFERROR(INDEX('Hun Demand'!Q:Q,MATCH(O154,'Hun Demand'!A:A,0)),"")</f>
        <v/>
      </c>
      <c r="AH154" s="25" t="str">
        <f>IFERROR(INDEX('Hun Demand'!H:H,MATCH($O154,'Hun Demand'!$A:$A,0)),"")</f>
        <v/>
      </c>
      <c r="AI154" s="25" t="str">
        <f>IF(SUMIFS('Supp Consol'!AA:AA,'Supp Consol'!Z:Z,"Expires this month",'Supp Consol'!A:A,O154)=0,"",SUMIFS('Supp Consol'!AA:AA,'Supp Consol'!Z:Z,"Expires this month",'Supp Consol'!A:A,O154))</f>
        <v/>
      </c>
      <c r="AJ154" s="25" t="str">
        <f>IF(SUMIFS('Supp Consol'!AA:AA,'Supp Consol'!Z:Z,"Expired Previous Months",'Supp Consol'!A:A,O154)=0,"",SUMIFS('Supp Consol'!AA:AA,'Supp Consol'!Z:Z,"Expired Previous Months",'Supp Consol'!A:A,O154))</f>
        <v/>
      </c>
      <c r="AK154" s="25" t="str">
        <f>IFERROR(INDEX('Hun Release Current'!B:B,MATCH(O154,'Hun Release Current'!A:A,0)),"")</f>
        <v/>
      </c>
      <c r="AL154" s="25" t="str">
        <f>IF(SUMIF('Prev Aub'!A:A,O154,'Prev Aub'!B:B)=0,"",SUMIF('Prev Aub'!A:A,O154,'Prev Aub'!B:B))</f>
        <v/>
      </c>
      <c r="AN154" s="25" t="s">
        <v>3790</v>
      </c>
      <c r="AO154" s="25" t="s">
        <v>3790</v>
      </c>
      <c r="AP154" s="25">
        <f t="shared" si="62"/>
        <v>0</v>
      </c>
      <c r="AQ154" s="151" t="str">
        <f>IF(SUMIFS('Supp Consol'!S:S,'Supp Consol'!A:A,O154,'Supp Consol'!I:I,"PENDING")=0,"",SUMIFS('Supp Consol'!S:S,'Supp Consol'!A:A,O154,'Supp Consol'!I:I,"PENDING"))</f>
        <v/>
      </c>
      <c r="AR154" s="27" t="str">
        <f t="shared" si="63"/>
        <v>AG180</v>
      </c>
      <c r="AS154" s="27" t="str">
        <f t="shared" si="64"/>
        <v>50</v>
      </c>
      <c r="AT154" s="27" t="str">
        <f t="shared" si="65"/>
        <v>AG180</v>
      </c>
      <c r="AU154" s="27" t="str">
        <f t="shared" si="66"/>
        <v>AG180</v>
      </c>
      <c r="AV154" s="27" t="str">
        <f t="shared" si="67"/>
        <v>AG180</v>
      </c>
      <c r="AW154" s="27" t="str">
        <f t="shared" si="68"/>
        <v/>
      </c>
      <c r="AX154" s="27" t="str">
        <f t="shared" si="69"/>
        <v/>
      </c>
      <c r="AY154" s="27" t="str">
        <f t="shared" si="70"/>
        <v/>
      </c>
      <c r="AZ154" s="27" t="str">
        <f t="shared" si="71"/>
        <v/>
      </c>
      <c r="BA154" s="27" t="str">
        <f t="shared" si="72"/>
        <v/>
      </c>
      <c r="BB154" s="27" t="str">
        <f t="shared" si="73"/>
        <v>Gross</v>
      </c>
      <c r="BC154" s="27" t="str">
        <f t="shared" si="74"/>
        <v>Net</v>
      </c>
      <c r="BD154" s="27" t="str">
        <f t="shared" si="75"/>
        <v>Net</v>
      </c>
      <c r="BE154" s="27" t="str">
        <f t="shared" si="76"/>
        <v/>
      </c>
      <c r="BF154" s="27" t="str">
        <f t="shared" si="77"/>
        <v/>
      </c>
      <c r="BG154" s="27" t="str">
        <f t="shared" si="78"/>
        <v/>
      </c>
      <c r="BH154" s="27" t="str">
        <f t="shared" si="79"/>
        <v/>
      </c>
      <c r="BI154" s="27" t="str">
        <f t="shared" si="80"/>
        <v/>
      </c>
      <c r="BJ154" s="27" t="str">
        <f t="shared" si="81"/>
        <v/>
      </c>
      <c r="BK154" s="27" t="str">
        <f t="shared" si="82"/>
        <v/>
      </c>
      <c r="BL154" s="27" t="str">
        <f t="shared" si="83"/>
        <v/>
      </c>
      <c r="BM154" s="21" t="s">
        <v>5581</v>
      </c>
    </row>
    <row r="155" spans="1:65" ht="15">
      <c r="A155" s="25" t="str">
        <f>IFERROR(INDEX('Hun Demand'!W:W,MATCH(O155,'Hun Demand'!A:A,0)),"")</f>
        <v/>
      </c>
      <c r="B155" s="25" t="str">
        <f>IFERROR(INDEX('Hun Demand'!V:V,MATCH(O155,'Hun Demand'!A:A,0)),"")</f>
        <v/>
      </c>
      <c r="C155" s="25" t="str">
        <f>IFERROR(INDEX('Hun Demand'!U:U,MATCH(O155,'Hun Demand'!A:A,0)),"")</f>
        <v/>
      </c>
      <c r="D155" s="25" t="str">
        <f>IFERROR(INDEX('Hun Demand'!T:T,MATCH(O155,'Hun Demand'!A:A,0)),"")</f>
        <v/>
      </c>
      <c r="E155" s="25" t="str">
        <f>IFERROR(INDEX('Hun Demand'!S:S,MATCH(O155,'Hun Demand'!A:A,0)),"")</f>
        <v/>
      </c>
      <c r="F155" s="25" t="str">
        <f>IFERROR(INDEX('Hun Demand'!R:R,MATCH(O155,'Hun Demand'!A:A,0)),"")</f>
        <v/>
      </c>
      <c r="G155" s="25">
        <f>IFERROR(INDEX('Aub Demand'!W:W,MATCH(O155,'Aub Demand'!A:A,0)),"")</f>
        <v>0</v>
      </c>
      <c r="H155" s="25">
        <f>IFERROR(INDEX('Aub Demand'!V:V,MATCH(O155,'Aub Demand'!A:A,0)),"")</f>
        <v>44</v>
      </c>
      <c r="I155" s="25">
        <f>IFERROR(INDEX('Aub Demand'!U:U,MATCH(O155,'Aub Demand'!A:A,0)),"")</f>
        <v>0</v>
      </c>
      <c r="J155" s="25">
        <f>IFERROR(INDEX('Aub Demand'!T:T,MATCH(O155,'Aub Demand'!A:A,0)),"")</f>
        <v>41</v>
      </c>
      <c r="K155" s="25">
        <f>IFERROR(INDEX('Aub Demand'!S:S,MATCH(O155,'Aub Demand'!A:A,0)),"")</f>
        <v>14</v>
      </c>
      <c r="L155" s="25">
        <f>IFERROR(INDEX('Aub Demand'!R:R,MATCH(O155,'Aub Demand'!A:A,0)),"")</f>
        <v>0</v>
      </c>
      <c r="O155" s="27" t="s">
        <v>343</v>
      </c>
      <c r="P155" s="27" t="str">
        <f>IFERROR(INDEX('Aub Demand'!B:B,MATCH($O155,'Aub Demand'!$A:$A,0)),"")</f>
        <v>METEORIC METALLO</v>
      </c>
      <c r="Q155" s="27" t="str">
        <f>IFERROR(INDEX('Aub Demand'!C:C,MATCH($O155,'Aub Demand'!$A:$A,0)),"")</f>
        <v>TOPPA</v>
      </c>
      <c r="R155" s="52">
        <f>IFERROR(IF(AR156=AR155,INDEX('Aub Demand'!K:K,MATCH($O155,'Aub Demand'!$A:$A,0))-IF(AN155="",0,AN155)+AP156,INDEX('Aub Demand'!K:K,MATCH($O155,'Aub Demand'!$A:$A,0))-IF(AN155="",0,AN155)),"")</f>
        <v>424</v>
      </c>
      <c r="S155" s="53">
        <f t="shared" si="56"/>
        <v>101</v>
      </c>
      <c r="T155" s="52" t="str">
        <f t="shared" si="57"/>
        <v/>
      </c>
      <c r="U155" s="52">
        <f>IFERROR(IF(AR156=AR155,INDEX('Aub Demand'!Q:Q,MATCH($O155,'Aub Demand'!$A:$A,0))-IF(AN155="",0,AN155)+AP156,INDEX('Aub Demand'!Q:Q,MATCH($O155,'Aub Demand'!$A:$A,0))-IF(AN155="",0,AN155)),"")</f>
        <v>411</v>
      </c>
      <c r="V155" s="53">
        <f t="shared" si="58"/>
        <v>97.9</v>
      </c>
      <c r="W155" s="52" t="str">
        <f t="shared" si="59"/>
        <v/>
      </c>
      <c r="X155" s="52">
        <f>IFERROR(IF(AND(AR156=AR155,AM155&lt;&gt;""),INDEX('Aub Demand'!Q:Q,MATCH($O155,'Aub Demand'!$A:$A,0))-IF(AN155="",0,AN155)+AP156+AD155+AL155,IF(AR156=AR155,INDEX('Aub Demand'!Q:Q,MATCH($O155,'Aub Demand'!$A:$A,0))-IF(AN155="",0,AN155)+AP156+AD155,IF(AM155&lt;&gt;"",INDEX('Aub Demand'!Q:Q,MATCH($O155,'Aub Demand'!$A:$A,0))-IF(AN155="",0,AN155)+AD155+AL155,INDEX('Aub Demand'!Q:Q,MATCH($O155,'Aub Demand'!$A:$A,0))-IF(AN155="",0,AN155)+AD155))),"")</f>
        <v>411</v>
      </c>
      <c r="Y155" s="53">
        <f t="shared" si="60"/>
        <v>97.9</v>
      </c>
      <c r="Z155" s="52">
        <f>IF(L155="","",INDEX('Aub Demand'!H:H,MATCH($O155,'Aub Demand'!$A:$A,0)))</f>
        <v>18</v>
      </c>
      <c r="AA155" s="52">
        <f t="shared" si="61"/>
        <v>27.5</v>
      </c>
      <c r="AB155" s="52">
        <f>IFERROR(INDEX('Aub Demand'!L:L,MATCH($O155,'Aub Demand'!$A:$A,0)),"")</f>
        <v>4</v>
      </c>
      <c r="AC155" s="52">
        <f>IFERROR(IF(O155="","",SUMIFS('CPL Mats'!F:F,'CPL Mats'!Q:Q,AR155,'CPL Mats'!S:S,AS155)),"")</f>
        <v>0</v>
      </c>
      <c r="AF155" s="25" t="str">
        <f>IF(SUMIFS('Supp Consol'!S:S,'Supp Consol'!Y:Y,"Releasable",'Supp Consol'!A:A,O155)=0,"",SUMIFS('Supp Consol'!S:S,'Supp Consol'!Y:Y,"Releasable",'Supp Consol'!A:A,O155))</f>
        <v/>
      </c>
      <c r="AG155" s="25" t="str">
        <f>IFERROR(INDEX('Hun Demand'!Q:Q,MATCH(O155,'Hun Demand'!A:A,0)),"")</f>
        <v/>
      </c>
      <c r="AH155" s="25" t="str">
        <f>IFERROR(INDEX('Hun Demand'!H:H,MATCH($O155,'Hun Demand'!$A:$A,0)),"")</f>
        <v/>
      </c>
      <c r="AI155" s="25" t="str">
        <f>IF(SUMIFS('Supp Consol'!AA:AA,'Supp Consol'!Z:Z,"Expires this month",'Supp Consol'!A:A,O155)=0,"",SUMIFS('Supp Consol'!AA:AA,'Supp Consol'!Z:Z,"Expires this month",'Supp Consol'!A:A,O155))</f>
        <v/>
      </c>
      <c r="AJ155" s="25" t="str">
        <f>IF(SUMIFS('Supp Consol'!AA:AA,'Supp Consol'!Z:Z,"Expired Previous Months",'Supp Consol'!A:A,O155)=0,"",SUMIFS('Supp Consol'!AA:AA,'Supp Consol'!Z:Z,"Expired Previous Months",'Supp Consol'!A:A,O155))</f>
        <v/>
      </c>
      <c r="AK155" s="25" t="str">
        <f>IFERROR(INDEX('Hun Release Current'!B:B,MATCH(O155,'Hun Release Current'!A:A,0)),"")</f>
        <v/>
      </c>
      <c r="AL155" s="25" t="str">
        <f>IF(SUMIF('Prev Aub'!A:A,O155,'Prev Aub'!B:B)=0,"",SUMIF('Prev Aub'!A:A,O155,'Prev Aub'!B:B))</f>
        <v/>
      </c>
      <c r="AN155" s="25" t="s">
        <v>3790</v>
      </c>
      <c r="AO155" s="25" t="s">
        <v>3790</v>
      </c>
      <c r="AP155" s="25">
        <f t="shared" si="62"/>
        <v>0</v>
      </c>
      <c r="AQ155" s="151" t="str">
        <f>IF(SUMIFS('Supp Consol'!S:S,'Supp Consol'!A:A,O155,'Supp Consol'!I:I,"PENDING")=0,"",SUMIFS('Supp Consol'!S:S,'Supp Consol'!A:A,O155,'Supp Consol'!I:I,"PENDING"))</f>
        <v/>
      </c>
      <c r="AR155" s="27" t="str">
        <f t="shared" si="63"/>
        <v>AG180</v>
      </c>
      <c r="AS155" s="27" t="str">
        <f t="shared" si="64"/>
        <v>62</v>
      </c>
      <c r="AT155" s="27" t="str">
        <f t="shared" si="65"/>
        <v/>
      </c>
      <c r="AU155" s="27" t="str">
        <f t="shared" si="66"/>
        <v/>
      </c>
      <c r="AV155" s="27" t="str">
        <f t="shared" si="67"/>
        <v/>
      </c>
      <c r="AW155" s="27" t="str">
        <f t="shared" si="68"/>
        <v/>
      </c>
      <c r="AX155" s="27" t="str">
        <f t="shared" si="69"/>
        <v/>
      </c>
      <c r="AY155" s="27" t="str">
        <f t="shared" si="70"/>
        <v/>
      </c>
      <c r="AZ155" s="27" t="str">
        <f t="shared" si="71"/>
        <v/>
      </c>
      <c r="BA155" s="27" t="str">
        <f t="shared" si="72"/>
        <v/>
      </c>
      <c r="BB155" s="27" t="str">
        <f t="shared" si="73"/>
        <v>Gross</v>
      </c>
      <c r="BC155" s="27" t="str">
        <f t="shared" si="74"/>
        <v>Net</v>
      </c>
      <c r="BD155" s="27" t="str">
        <f t="shared" si="75"/>
        <v>Net</v>
      </c>
      <c r="BE155" s="27" t="str">
        <f t="shared" si="76"/>
        <v/>
      </c>
      <c r="BF155" s="27" t="str">
        <f t="shared" si="77"/>
        <v/>
      </c>
      <c r="BG155" s="27" t="str">
        <f t="shared" si="78"/>
        <v/>
      </c>
      <c r="BH155" s="27" t="str">
        <f t="shared" si="79"/>
        <v/>
      </c>
      <c r="BI155" s="27" t="str">
        <f t="shared" si="80"/>
        <v/>
      </c>
      <c r="BJ155" s="27" t="str">
        <f t="shared" si="81"/>
        <v/>
      </c>
      <c r="BK155" s="27" t="str">
        <f t="shared" si="82"/>
        <v/>
      </c>
      <c r="BL155" s="27" t="str">
        <f t="shared" si="83"/>
        <v/>
      </c>
      <c r="BM155" s="21" t="s">
        <v>5581</v>
      </c>
    </row>
    <row r="156" spans="1:65" ht="15">
      <c r="A156" s="25" t="str">
        <f>IFERROR(INDEX('Hun Demand'!W:W,MATCH(O156,'Hun Demand'!A:A,0)),"")</f>
        <v/>
      </c>
      <c r="B156" s="25" t="str">
        <f>IFERROR(INDEX('Hun Demand'!V:V,MATCH(O156,'Hun Demand'!A:A,0)),"")</f>
        <v/>
      </c>
      <c r="C156" s="25" t="str">
        <f>IFERROR(INDEX('Hun Demand'!U:U,MATCH(O156,'Hun Demand'!A:A,0)),"")</f>
        <v/>
      </c>
      <c r="D156" s="25" t="str">
        <f>IFERROR(INDEX('Hun Demand'!T:T,MATCH(O156,'Hun Demand'!A:A,0)),"")</f>
        <v/>
      </c>
      <c r="E156" s="25" t="str">
        <f>IFERROR(INDEX('Hun Demand'!S:S,MATCH(O156,'Hun Demand'!A:A,0)),"")</f>
        <v/>
      </c>
      <c r="F156" s="25" t="str">
        <f>IFERROR(INDEX('Hun Demand'!R:R,MATCH(O156,'Hun Demand'!A:A,0)),"")</f>
        <v/>
      </c>
      <c r="G156" s="25">
        <f>IFERROR(INDEX('Aub Demand'!W:W,MATCH(O156,'Aub Demand'!A:A,0)),"")</f>
        <v>150</v>
      </c>
      <c r="H156" s="25">
        <f>IFERROR(INDEX('Aub Demand'!V:V,MATCH(O156,'Aub Demand'!A:A,0)),"")</f>
        <v>2</v>
      </c>
      <c r="I156" s="25">
        <f>IFERROR(INDEX('Aub Demand'!U:U,MATCH(O156,'Aub Demand'!A:A,0)),"")</f>
        <v>11</v>
      </c>
      <c r="J156" s="25">
        <f>IFERROR(INDEX('Aub Demand'!T:T,MATCH(O156,'Aub Demand'!A:A,0)),"")</f>
        <v>68</v>
      </c>
      <c r="K156" s="25">
        <f>IFERROR(INDEX('Aub Demand'!S:S,MATCH(O156,'Aub Demand'!A:A,0)),"")</f>
        <v>0</v>
      </c>
      <c r="L156" s="25">
        <f>IFERROR(INDEX('Aub Demand'!R:R,MATCH(O156,'Aub Demand'!A:A,0)),"")</f>
        <v>0</v>
      </c>
      <c r="O156" s="27" t="s">
        <v>2033</v>
      </c>
      <c r="P156" s="27" t="str">
        <f>IFERROR(INDEX('Aub Demand'!B:B,MATCH($O156,'Aub Demand'!$A:$A,0)),"")</f>
        <v>URBAN LIFE</v>
      </c>
      <c r="Q156" s="27" t="str">
        <f>IFERROR(INDEX('Aub Demand'!C:C,MATCH($O156,'Aub Demand'!$A:$A,0)),"")</f>
        <v>INTER</v>
      </c>
      <c r="R156" s="52">
        <f>IFERROR(IF(AR157=AR156,INDEX('Aub Demand'!K:K,MATCH($O156,'Aub Demand'!$A:$A,0))-IF(AN156="",0,AN156)+AP157,INDEX('Aub Demand'!K:K,MATCH($O156,'Aub Demand'!$A:$A,0))-IF(AN156="",0,AN156)),"")</f>
        <v>643</v>
      </c>
      <c r="S156" s="53">
        <f t="shared" si="56"/>
        <v>106</v>
      </c>
      <c r="T156" s="52" t="str">
        <f t="shared" si="57"/>
        <v/>
      </c>
      <c r="U156" s="52">
        <f>IFERROR(IF(AR157=AR156,INDEX('Aub Demand'!Q:Q,MATCH($O156,'Aub Demand'!$A:$A,0))-IF(AN156="",0,AN156)+AP157,INDEX('Aub Demand'!Q:Q,MATCH($O156,'Aub Demand'!$A:$A,0))-IF(AN156="",0,AN156)),"")</f>
        <v>643</v>
      </c>
      <c r="V156" s="53">
        <f t="shared" si="58"/>
        <v>106</v>
      </c>
      <c r="W156" s="52" t="str">
        <f t="shared" si="59"/>
        <v/>
      </c>
      <c r="X156" s="52">
        <f>IFERROR(IF(AND(AR157=AR156,AM156&lt;&gt;""),INDEX('Aub Demand'!Q:Q,MATCH($O156,'Aub Demand'!$A:$A,0))-IF(AN156="",0,AN156)+AP157+AD156+AL156,IF(AR157=AR156,INDEX('Aub Demand'!Q:Q,MATCH($O156,'Aub Demand'!$A:$A,0))-IF(AN156="",0,AN156)+AP157+AD156,IF(AM156&lt;&gt;"",INDEX('Aub Demand'!Q:Q,MATCH($O156,'Aub Demand'!$A:$A,0))-IF(AN156="",0,AN156)+AD156+AL156,INDEX('Aub Demand'!Q:Q,MATCH($O156,'Aub Demand'!$A:$A,0))-IF(AN156="",0,AN156)+AD156))),"")</f>
        <v>643</v>
      </c>
      <c r="Y156" s="53">
        <f t="shared" si="60"/>
        <v>106</v>
      </c>
      <c r="Z156" s="52">
        <f>IF(L156="","",INDEX('Aub Demand'!H:H,MATCH($O156,'Aub Demand'!$A:$A,0)))</f>
        <v>26</v>
      </c>
      <c r="AA156" s="52">
        <f t="shared" si="61"/>
        <v>39.5</v>
      </c>
      <c r="AB156" s="52">
        <f>IFERROR(INDEX('Aub Demand'!L:L,MATCH($O156,'Aub Demand'!$A:$A,0)),"")</f>
        <v>6</v>
      </c>
      <c r="AC156" s="52">
        <f>IFERROR(IF(O156="","",SUMIFS('CPL Mats'!F:F,'CPL Mats'!Q:Q,AR156,'CPL Mats'!S:S,AS156)),"")</f>
        <v>0</v>
      </c>
      <c r="AF156" s="25" t="str">
        <f>IF(SUMIFS('Supp Consol'!S:S,'Supp Consol'!Y:Y,"Releasable",'Supp Consol'!A:A,O156)=0,"",SUMIFS('Supp Consol'!S:S,'Supp Consol'!Y:Y,"Releasable",'Supp Consol'!A:A,O156))</f>
        <v/>
      </c>
      <c r="AG156" s="25" t="str">
        <f>IFERROR(INDEX('Hun Demand'!Q:Q,MATCH(O156,'Hun Demand'!A:A,0)),"")</f>
        <v/>
      </c>
      <c r="AH156" s="25" t="str">
        <f>IFERROR(INDEX('Hun Demand'!H:H,MATCH($O156,'Hun Demand'!$A:$A,0)),"")</f>
        <v/>
      </c>
      <c r="AI156" s="25" t="str">
        <f>IF(SUMIFS('Supp Consol'!AA:AA,'Supp Consol'!Z:Z,"Expires this month",'Supp Consol'!A:A,O156)=0,"",SUMIFS('Supp Consol'!AA:AA,'Supp Consol'!Z:Z,"Expires this month",'Supp Consol'!A:A,O156))</f>
        <v/>
      </c>
      <c r="AJ156" s="25" t="str">
        <f>IF(SUMIFS('Supp Consol'!AA:AA,'Supp Consol'!Z:Z,"Expired Previous Months",'Supp Consol'!A:A,O156)=0,"",SUMIFS('Supp Consol'!AA:AA,'Supp Consol'!Z:Z,"Expired Previous Months",'Supp Consol'!A:A,O156))</f>
        <v/>
      </c>
      <c r="AK156" s="25" t="str">
        <f>IFERROR(INDEX('Hun Release Current'!B:B,MATCH(O156,'Hun Release Current'!A:A,0)),"")</f>
        <v/>
      </c>
      <c r="AL156" s="25" t="str">
        <f>IF(SUMIF('Prev Aub'!A:A,O156,'Prev Aub'!B:B)=0,"",SUMIF('Prev Aub'!A:A,O156,'Prev Aub'!B:B))</f>
        <v/>
      </c>
      <c r="AN156" s="25" t="s">
        <v>3790</v>
      </c>
      <c r="AO156" s="25" t="s">
        <v>3790</v>
      </c>
      <c r="AP156" s="25">
        <f t="shared" si="62"/>
        <v>0</v>
      </c>
      <c r="AQ156" s="151" t="str">
        <f>IF(SUMIFS('Supp Consol'!S:S,'Supp Consol'!A:A,O156,'Supp Consol'!I:I,"PENDING")=0,"",SUMIFS('Supp Consol'!S:S,'Supp Consol'!A:A,O156,'Supp Consol'!I:I,"PENDING"))</f>
        <v/>
      </c>
      <c r="AR156" s="27" t="str">
        <f t="shared" si="63"/>
        <v>AG190</v>
      </c>
      <c r="AS156" s="27" t="str">
        <f t="shared" si="64"/>
        <v>50</v>
      </c>
      <c r="AT156" s="27" t="str">
        <f t="shared" si="65"/>
        <v/>
      </c>
      <c r="AU156" s="27" t="str">
        <f t="shared" si="66"/>
        <v/>
      </c>
      <c r="AV156" s="27" t="str">
        <f t="shared" si="67"/>
        <v/>
      </c>
      <c r="AW156" s="27" t="str">
        <f t="shared" si="68"/>
        <v/>
      </c>
      <c r="AX156" s="27" t="str">
        <f t="shared" si="69"/>
        <v/>
      </c>
      <c r="AY156" s="27" t="str">
        <f t="shared" si="70"/>
        <v/>
      </c>
      <c r="AZ156" s="27" t="str">
        <f t="shared" si="71"/>
        <v/>
      </c>
      <c r="BA156" s="27" t="str">
        <f t="shared" si="72"/>
        <v>Hun</v>
      </c>
      <c r="BB156" s="27" t="str">
        <f t="shared" si="73"/>
        <v/>
      </c>
      <c r="BC156" s="27" t="str">
        <f t="shared" si="74"/>
        <v/>
      </c>
      <c r="BD156" s="27" t="str">
        <f t="shared" si="75"/>
        <v/>
      </c>
      <c r="BE156" s="27" t="str">
        <f t="shared" si="76"/>
        <v/>
      </c>
      <c r="BF156" s="27" t="str">
        <f t="shared" si="77"/>
        <v/>
      </c>
      <c r="BG156" s="27" t="str">
        <f t="shared" si="78"/>
        <v/>
      </c>
      <c r="BH156" s="27" t="str">
        <f t="shared" si="79"/>
        <v/>
      </c>
      <c r="BI156" s="27" t="str">
        <f t="shared" si="80"/>
        <v/>
      </c>
      <c r="BJ156" s="27" t="str">
        <f t="shared" si="81"/>
        <v>Supp or Hun</v>
      </c>
      <c r="BK156" s="27" t="str">
        <f t="shared" si="82"/>
        <v/>
      </c>
      <c r="BL156" s="27" t="str">
        <f t="shared" si="83"/>
        <v/>
      </c>
      <c r="BM156" s="21" t="s">
        <v>5581</v>
      </c>
    </row>
    <row r="157" spans="1:65" ht="15">
      <c r="A157" s="25">
        <f>IFERROR(INDEX('Hun Demand'!W:W,MATCH(O157,'Hun Demand'!A:A,0)),"")</f>
        <v>0</v>
      </c>
      <c r="B157" s="25">
        <f>IFERROR(INDEX('Hun Demand'!V:V,MATCH(O157,'Hun Demand'!A:A,0)),"")</f>
        <v>0</v>
      </c>
      <c r="C157" s="25">
        <f>IFERROR(INDEX('Hun Demand'!U:U,MATCH(O157,'Hun Demand'!A:A,0)),"")</f>
        <v>0</v>
      </c>
      <c r="D157" s="25">
        <f>IFERROR(INDEX('Hun Demand'!T:T,MATCH(O157,'Hun Demand'!A:A,0)),"")</f>
        <v>0</v>
      </c>
      <c r="E157" s="25">
        <f>IFERROR(INDEX('Hun Demand'!S:S,MATCH(O157,'Hun Demand'!A:A,0)),"")</f>
        <v>0</v>
      </c>
      <c r="F157" s="25">
        <f>IFERROR(INDEX('Hun Demand'!R:R,MATCH(O157,'Hun Demand'!A:A,0)),"")</f>
        <v>0</v>
      </c>
      <c r="G157" s="25">
        <f>IFERROR(INDEX('Aub Demand'!W:W,MATCH(O157,'Aub Demand'!A:A,0)),"")</f>
        <v>170</v>
      </c>
      <c r="H157" s="25">
        <f>IFERROR(INDEX('Aub Demand'!V:V,MATCH(O157,'Aub Demand'!A:A,0)),"")</f>
        <v>193</v>
      </c>
      <c r="I157" s="25">
        <f>IFERROR(INDEX('Aub Demand'!U:U,MATCH(O157,'Aub Demand'!A:A,0)),"")</f>
        <v>75</v>
      </c>
      <c r="J157" s="25">
        <f>IFERROR(INDEX('Aub Demand'!T:T,MATCH(O157,'Aub Demand'!A:A,0)),"")</f>
        <v>431</v>
      </c>
      <c r="K157" s="25">
        <f>IFERROR(INDEX('Aub Demand'!S:S,MATCH(O157,'Aub Demand'!A:A,0)),"")</f>
        <v>0</v>
      </c>
      <c r="L157" s="25">
        <f>IFERROR(INDEX('Aub Demand'!R:R,MATCH(O157,'Aub Demand'!A:A,0)),"")</f>
        <v>0</v>
      </c>
      <c r="O157" s="27" t="s">
        <v>2035</v>
      </c>
      <c r="P157" s="27" t="str">
        <f>IFERROR(INDEX('Aub Demand'!B:B,MATCH($O157,'Aub Demand'!$A:$A,0)),"")</f>
        <v>URBAN LIFE</v>
      </c>
      <c r="Q157" s="27" t="str">
        <f>IFERROR(INDEX('Aub Demand'!C:C,MATCH($O157,'Aub Demand'!$A:$A,0)),"")</f>
        <v>INTER</v>
      </c>
      <c r="R157" s="52">
        <f>IFERROR(IF(AR158=AR157,INDEX('Aub Demand'!K:K,MATCH($O157,'Aub Demand'!$A:$A,0))-IF(AN157="",0,AN157)+AP158,INDEX('Aub Demand'!K:K,MATCH($O157,'Aub Demand'!$A:$A,0))-IF(AN157="",0,AN157)),"")</f>
        <v>3671</v>
      </c>
      <c r="S157" s="53">
        <f t="shared" si="56"/>
        <v>93.1</v>
      </c>
      <c r="T157" s="52" t="str">
        <f t="shared" si="57"/>
        <v/>
      </c>
      <c r="U157" s="52">
        <f>IFERROR(IF(AR158=AR157,INDEX('Aub Demand'!Q:Q,MATCH($O157,'Aub Demand'!$A:$A,0))-IF(AN157="",0,AN157)+AP158,INDEX('Aub Demand'!Q:Q,MATCH($O157,'Aub Demand'!$A:$A,0))-IF(AN157="",0,AN157)),"")</f>
        <v>3663</v>
      </c>
      <c r="V157" s="53">
        <f t="shared" si="58"/>
        <v>92.9</v>
      </c>
      <c r="W157" s="52" t="str">
        <f t="shared" si="59"/>
        <v/>
      </c>
      <c r="X157" s="52">
        <f>IFERROR(IF(AND(AR158=AR157,AM157&lt;&gt;""),INDEX('Aub Demand'!Q:Q,MATCH($O157,'Aub Demand'!$A:$A,0))-IF(AN157="",0,AN157)+AP158+AD157+AL157,IF(AR158=AR157,INDEX('Aub Demand'!Q:Q,MATCH($O157,'Aub Demand'!$A:$A,0))-IF(AN157="",0,AN157)+AP158+AD157,IF(AM157&lt;&gt;"",INDEX('Aub Demand'!Q:Q,MATCH($O157,'Aub Demand'!$A:$A,0))-IF(AN157="",0,AN157)+AD157+AL157,INDEX('Aub Demand'!Q:Q,MATCH($O157,'Aub Demand'!$A:$A,0))-IF(AN157="",0,AN157)+AD157))),"")</f>
        <v>3663</v>
      </c>
      <c r="Y157" s="53">
        <f t="shared" si="60"/>
        <v>92.9</v>
      </c>
      <c r="Z157" s="52">
        <f>IF(L157="","",INDEX('Aub Demand'!H:H,MATCH($O157,'Aub Demand'!$A:$A,0)))</f>
        <v>169</v>
      </c>
      <c r="AA157" s="52">
        <f t="shared" si="61"/>
        <v>253</v>
      </c>
      <c r="AB157" s="52">
        <f>IFERROR(INDEX('Aub Demand'!L:L,MATCH($O157,'Aub Demand'!$A:$A,0)),"")</f>
        <v>129</v>
      </c>
      <c r="AC157" s="52">
        <f>IFERROR(IF(O157="","",SUMIFS('CPL Mats'!F:F,'CPL Mats'!Q:Q,AR157,'CPL Mats'!S:S,AS157)),"")</f>
        <v>950</v>
      </c>
      <c r="AF157" s="25" t="str">
        <f>IF(SUMIFS('Supp Consol'!S:S,'Supp Consol'!Y:Y,"Releasable",'Supp Consol'!A:A,O157)=0,"",SUMIFS('Supp Consol'!S:S,'Supp Consol'!Y:Y,"Releasable",'Supp Consol'!A:A,O157))</f>
        <v/>
      </c>
      <c r="AG157" s="25">
        <f>IFERROR(INDEX('Hun Demand'!Q:Q,MATCH(O157,'Hun Demand'!A:A,0)),"")</f>
        <v>675</v>
      </c>
      <c r="AH157" s="25">
        <f>IFERROR(INDEX('Hun Demand'!H:H,MATCH($O157,'Hun Demand'!$A:$A,0)),"")</f>
        <v>0</v>
      </c>
      <c r="AI157" s="25" t="str">
        <f>IF(SUMIFS('Supp Consol'!AA:AA,'Supp Consol'!Z:Z,"Expires this month",'Supp Consol'!A:A,O157)=0,"",SUMIFS('Supp Consol'!AA:AA,'Supp Consol'!Z:Z,"Expires this month",'Supp Consol'!A:A,O157))</f>
        <v/>
      </c>
      <c r="AJ157" s="25" t="str">
        <f>IF(SUMIFS('Supp Consol'!AA:AA,'Supp Consol'!Z:Z,"Expired Previous Months",'Supp Consol'!A:A,O157)=0,"",SUMIFS('Supp Consol'!AA:AA,'Supp Consol'!Z:Z,"Expired Previous Months",'Supp Consol'!A:A,O157))</f>
        <v/>
      </c>
      <c r="AK157" s="25" t="str">
        <f>IFERROR(INDEX('Hun Release Current'!B:B,MATCH(O157,'Hun Release Current'!A:A,0)),"")</f>
        <v/>
      </c>
      <c r="AL157" s="25" t="str">
        <f>IF(SUMIF('Prev Aub'!A:A,O157,'Prev Aub'!B:B)=0,"",SUMIF('Prev Aub'!A:A,O157,'Prev Aub'!B:B))</f>
        <v/>
      </c>
      <c r="AN157" s="25" t="s">
        <v>3790</v>
      </c>
      <c r="AO157" s="25" t="s">
        <v>3790</v>
      </c>
      <c r="AP157" s="25">
        <f t="shared" si="62"/>
        <v>0</v>
      </c>
      <c r="AQ157" s="151" t="str">
        <f>IF(SUMIFS('Supp Consol'!S:S,'Supp Consol'!A:A,O157,'Supp Consol'!I:I,"PENDING")=0,"",SUMIFS('Supp Consol'!S:S,'Supp Consol'!A:A,O157,'Supp Consol'!I:I,"PENDING"))</f>
        <v/>
      </c>
      <c r="AR157" s="27" t="str">
        <f t="shared" si="63"/>
        <v>AG190</v>
      </c>
      <c r="AS157" s="27" t="str">
        <f t="shared" si="64"/>
        <v>62</v>
      </c>
      <c r="AT157" s="27" t="str">
        <f t="shared" si="65"/>
        <v/>
      </c>
      <c r="AU157" s="27" t="str">
        <f t="shared" si="66"/>
        <v/>
      </c>
      <c r="AV157" s="27" t="str">
        <f t="shared" si="67"/>
        <v/>
      </c>
      <c r="AW157" s="27" t="str">
        <f t="shared" si="68"/>
        <v/>
      </c>
      <c r="AX157" s="27" t="str">
        <f t="shared" si="69"/>
        <v/>
      </c>
      <c r="AY157" s="27" t="str">
        <f t="shared" si="70"/>
        <v>AG190</v>
      </c>
      <c r="AZ157" s="27" t="str">
        <f t="shared" si="71"/>
        <v/>
      </c>
      <c r="BA157" s="27" t="str">
        <f t="shared" si="72"/>
        <v>Hun</v>
      </c>
      <c r="BB157" s="27" t="str">
        <f t="shared" si="73"/>
        <v/>
      </c>
      <c r="BC157" s="27" t="str">
        <f t="shared" si="74"/>
        <v/>
      </c>
      <c r="BD157" s="27" t="str">
        <f t="shared" si="75"/>
        <v/>
      </c>
      <c r="BE157" s="27" t="str">
        <f t="shared" si="76"/>
        <v/>
      </c>
      <c r="BF157" s="27" t="str">
        <f t="shared" si="77"/>
        <v/>
      </c>
      <c r="BG157" s="27" t="str">
        <f t="shared" si="78"/>
        <v/>
      </c>
      <c r="BH157" s="27" t="str">
        <f t="shared" si="79"/>
        <v/>
      </c>
      <c r="BI157" s="27" t="str">
        <f t="shared" si="80"/>
        <v/>
      </c>
      <c r="BJ157" s="27" t="str">
        <f t="shared" si="81"/>
        <v>Supp or Hun</v>
      </c>
      <c r="BK157" s="27" t="str">
        <f t="shared" si="82"/>
        <v/>
      </c>
      <c r="BL157" s="27" t="str">
        <f t="shared" si="83"/>
        <v/>
      </c>
      <c r="BM157" s="21" t="s">
        <v>5581</v>
      </c>
    </row>
    <row r="158" spans="1:65" ht="15">
      <c r="A158" s="25">
        <f>IFERROR(INDEX('Hun Demand'!W:W,MATCH(O158,'Hun Demand'!A:A,0)),"")</f>
        <v>0</v>
      </c>
      <c r="B158" s="25">
        <f>IFERROR(INDEX('Hun Demand'!V:V,MATCH(O158,'Hun Demand'!A:A,0)),"")</f>
        <v>0</v>
      </c>
      <c r="C158" s="25">
        <f>IFERROR(INDEX('Hun Demand'!U:U,MATCH(O158,'Hun Demand'!A:A,0)),"")</f>
        <v>113</v>
      </c>
      <c r="D158" s="25">
        <f>IFERROR(INDEX('Hun Demand'!T:T,MATCH(O158,'Hun Demand'!A:A,0)),"")</f>
        <v>0</v>
      </c>
      <c r="E158" s="25">
        <f>IFERROR(INDEX('Hun Demand'!S:S,MATCH(O158,'Hun Demand'!A:A,0)),"")</f>
        <v>0</v>
      </c>
      <c r="F158" s="25">
        <f>IFERROR(INDEX('Hun Demand'!R:R,MATCH(O158,'Hun Demand'!A:A,0)),"")</f>
        <v>0</v>
      </c>
      <c r="G158" s="25">
        <f>IFERROR(INDEX('Aub Demand'!W:W,MATCH(O158,'Aub Demand'!A:A,0)),"")</f>
        <v>0</v>
      </c>
      <c r="H158" s="25">
        <f>IFERROR(INDEX('Aub Demand'!V:V,MATCH(O158,'Aub Demand'!A:A,0)),"")</f>
        <v>0</v>
      </c>
      <c r="I158" s="25">
        <f>IFERROR(INDEX('Aub Demand'!U:U,MATCH(O158,'Aub Demand'!A:A,0)),"")</f>
        <v>302</v>
      </c>
      <c r="J158" s="25">
        <f>IFERROR(INDEX('Aub Demand'!T:T,MATCH(O158,'Aub Demand'!A:A,0)),"")</f>
        <v>0</v>
      </c>
      <c r="K158" s="25">
        <f>IFERROR(INDEX('Aub Demand'!S:S,MATCH(O158,'Aub Demand'!A:A,0)),"")</f>
        <v>0</v>
      </c>
      <c r="L158" s="25">
        <f>IFERROR(INDEX('Aub Demand'!R:R,MATCH(O158,'Aub Demand'!A:A,0)),"")</f>
        <v>0</v>
      </c>
      <c r="O158" s="27" t="s">
        <v>3321</v>
      </c>
      <c r="P158" s="27" t="str">
        <f>IFERROR(INDEX('Aub Demand'!B:B,MATCH($O158,'Aub Demand'!$A:$A,0)),"")</f>
        <v>HAYDEN GRAY LINEN</v>
      </c>
      <c r="Q158" s="27">
        <f>IFERROR(INDEX('Aub Demand'!C:C,MATCH($O158,'Aub Demand'!$A:$A,0)),"")</f>
        <v>0</v>
      </c>
      <c r="R158" s="52">
        <f>IFERROR(IF(AR159=AR158,INDEX('Aub Demand'!K:K,MATCH($O158,'Aub Demand'!$A:$A,0))-IF(AN158="",0,AN158)+AP159,INDEX('Aub Demand'!K:K,MATCH($O158,'Aub Demand'!$A:$A,0))-IF(AN158="",0,AN158)),"")</f>
        <v>2687</v>
      </c>
      <c r="S158" s="53">
        <f t="shared" si="56"/>
        <v>114</v>
      </c>
      <c r="T158" s="52" t="str">
        <f t="shared" si="57"/>
        <v/>
      </c>
      <c r="U158" s="52">
        <f>IFERROR(IF(AR159=AR158,INDEX('Aub Demand'!Q:Q,MATCH($O158,'Aub Demand'!$A:$A,0))-IF(AN158="",0,AN158)+AP159,INDEX('Aub Demand'!Q:Q,MATCH($O158,'Aub Demand'!$A:$A,0))-IF(AN158="",0,AN158)),"")</f>
        <v>2687</v>
      </c>
      <c r="V158" s="53">
        <f t="shared" si="58"/>
        <v>114</v>
      </c>
      <c r="W158" s="52" t="str">
        <f t="shared" si="59"/>
        <v/>
      </c>
      <c r="X158" s="52">
        <f>IFERROR(IF(AND(AR159=AR158,AM158&lt;&gt;""),INDEX('Aub Demand'!Q:Q,MATCH($O158,'Aub Demand'!$A:$A,0))-IF(AN158="",0,AN158)+AP159+AD158+AL158,IF(AR159=AR158,INDEX('Aub Demand'!Q:Q,MATCH($O158,'Aub Demand'!$A:$A,0))-IF(AN158="",0,AN158)+AP159+AD158,IF(AM158&lt;&gt;"",INDEX('Aub Demand'!Q:Q,MATCH($O158,'Aub Demand'!$A:$A,0))-IF(AN158="",0,AN158)+AD158+AL158,INDEX('Aub Demand'!Q:Q,MATCH($O158,'Aub Demand'!$A:$A,0))-IF(AN158="",0,AN158)+AD158))),"")</f>
        <v>2687</v>
      </c>
      <c r="Y158" s="53">
        <f t="shared" si="60"/>
        <v>114</v>
      </c>
      <c r="Z158" s="52">
        <f>IF(L158="","",INDEX('Aub Demand'!H:H,MATCH($O158,'Aub Demand'!$A:$A,0)))</f>
        <v>101</v>
      </c>
      <c r="AA158" s="52" t="str">
        <f t="shared" si="61"/>
        <v>-spike-</v>
      </c>
      <c r="AB158" s="52">
        <f>IFERROR(INDEX('Aub Demand'!L:L,MATCH($O158,'Aub Demand'!$A:$A,0)),"")</f>
        <v>9</v>
      </c>
      <c r="AC158" s="52">
        <f>IFERROR(IF(O158="","",SUMIFS('CPL Mats'!F:F,'CPL Mats'!Q:Q,AR158,'CPL Mats'!S:S,AS158)),"")</f>
        <v>0</v>
      </c>
      <c r="AF158" s="25" t="str">
        <f>IF(SUMIFS('Supp Consol'!S:S,'Supp Consol'!Y:Y,"Releasable",'Supp Consol'!A:A,O158)=0,"",SUMIFS('Supp Consol'!S:S,'Supp Consol'!Y:Y,"Releasable",'Supp Consol'!A:A,O158))</f>
        <v/>
      </c>
      <c r="AG158" s="25">
        <f>IFERROR(INDEX('Hun Demand'!Q:Q,MATCH(O158,'Hun Demand'!A:A,0)),"")</f>
        <v>188</v>
      </c>
      <c r="AH158" s="25">
        <f>IFERROR(INDEX('Hun Demand'!H:H,MATCH($O158,'Hun Demand'!$A:$A,0)),"")</f>
        <v>38</v>
      </c>
      <c r="AI158" s="25" t="str">
        <f>IF(SUMIFS('Supp Consol'!AA:AA,'Supp Consol'!Z:Z,"Expires this month",'Supp Consol'!A:A,O158)=0,"",SUMIFS('Supp Consol'!AA:AA,'Supp Consol'!Z:Z,"Expires this month",'Supp Consol'!A:A,O158))</f>
        <v/>
      </c>
      <c r="AJ158" s="25" t="str">
        <f>IF(SUMIFS('Supp Consol'!AA:AA,'Supp Consol'!Z:Z,"Expired Previous Months",'Supp Consol'!A:A,O158)=0,"",SUMIFS('Supp Consol'!AA:AA,'Supp Consol'!Z:Z,"Expired Previous Months",'Supp Consol'!A:A,O158))</f>
        <v/>
      </c>
      <c r="AK158" s="25" t="str">
        <f>IFERROR(INDEX('Hun Release Current'!B:B,MATCH(O158,'Hun Release Current'!A:A,0)),"")</f>
        <v/>
      </c>
      <c r="AL158" s="25" t="str">
        <f>IF(SUMIF('Prev Aub'!A:A,O158,'Prev Aub'!B:B)=0,"",SUMIF('Prev Aub'!A:A,O158,'Prev Aub'!B:B))</f>
        <v/>
      </c>
      <c r="AN158" s="25" t="s">
        <v>3790</v>
      </c>
      <c r="AO158" s="25" t="s">
        <v>3790</v>
      </c>
      <c r="AP158" s="25">
        <f t="shared" si="62"/>
        <v>0</v>
      </c>
      <c r="AQ158" s="151" t="str">
        <f>IF(SUMIFS('Supp Consol'!S:S,'Supp Consol'!A:A,O158,'Supp Consol'!I:I,"PENDING")=0,"",SUMIFS('Supp Consol'!S:S,'Supp Consol'!A:A,O158,'Supp Consol'!I:I,"PENDING"))</f>
        <v/>
      </c>
      <c r="AR158" s="27" t="str">
        <f t="shared" si="63"/>
        <v>AG200</v>
      </c>
      <c r="AS158" s="27" t="str">
        <f t="shared" si="64"/>
        <v>62</v>
      </c>
      <c r="AT158" s="27" t="str">
        <f t="shared" si="65"/>
        <v/>
      </c>
      <c r="AU158" s="27" t="str">
        <f t="shared" si="66"/>
        <v/>
      </c>
      <c r="AV158" s="27" t="str">
        <f t="shared" si="67"/>
        <v/>
      </c>
      <c r="AW158" s="27" t="str">
        <f t="shared" si="68"/>
        <v/>
      </c>
      <c r="AX158" s="27" t="str">
        <f t="shared" si="69"/>
        <v/>
      </c>
      <c r="AY158" s="27" t="str">
        <f t="shared" si="70"/>
        <v>AG200</v>
      </c>
      <c r="AZ158" s="27" t="str">
        <f t="shared" si="71"/>
        <v/>
      </c>
      <c r="BA158" s="27" t="str">
        <f t="shared" si="72"/>
        <v>Hun</v>
      </c>
      <c r="BB158" s="27" t="str">
        <f t="shared" si="73"/>
        <v/>
      </c>
      <c r="BC158" s="27" t="str">
        <f t="shared" si="74"/>
        <v/>
      </c>
      <c r="BD158" s="27" t="str">
        <f t="shared" si="75"/>
        <v/>
      </c>
      <c r="BE158" s="27" t="str">
        <f t="shared" si="76"/>
        <v/>
      </c>
      <c r="BF158" s="27" t="str">
        <f t="shared" si="77"/>
        <v/>
      </c>
      <c r="BG158" s="27" t="str">
        <f t="shared" si="78"/>
        <v/>
      </c>
      <c r="BH158" s="27" t="str">
        <f t="shared" si="79"/>
        <v/>
      </c>
      <c r="BI158" s="27" t="str">
        <f t="shared" si="80"/>
        <v/>
      </c>
      <c r="BJ158" s="27" t="str">
        <f t="shared" si="81"/>
        <v>Supp or Hun</v>
      </c>
      <c r="BK158" s="27" t="str">
        <f t="shared" si="82"/>
        <v/>
      </c>
      <c r="BL158" s="27" t="str">
        <f t="shared" si="83"/>
        <v/>
      </c>
      <c r="BM158" s="21" t="s">
        <v>5582</v>
      </c>
    </row>
    <row r="159" spans="1:65" ht="15">
      <c r="A159" s="25" t="str">
        <f>IFERROR(INDEX('Hun Demand'!W:W,MATCH(O159,'Hun Demand'!A:A,0)),"")</f>
        <v/>
      </c>
      <c r="B159" s="25" t="str">
        <f>IFERROR(INDEX('Hun Demand'!V:V,MATCH(O159,'Hun Demand'!A:A,0)),"")</f>
        <v/>
      </c>
      <c r="C159" s="25" t="str">
        <f>IFERROR(INDEX('Hun Demand'!U:U,MATCH(O159,'Hun Demand'!A:A,0)),"")</f>
        <v/>
      </c>
      <c r="D159" s="25" t="str">
        <f>IFERROR(INDEX('Hun Demand'!T:T,MATCH(O159,'Hun Demand'!A:A,0)),"")</f>
        <v/>
      </c>
      <c r="E159" s="25" t="str">
        <f>IFERROR(INDEX('Hun Demand'!S:S,MATCH(O159,'Hun Demand'!A:A,0)),"")</f>
        <v/>
      </c>
      <c r="F159" s="25" t="str">
        <f>IFERROR(INDEX('Hun Demand'!R:R,MATCH(O159,'Hun Demand'!A:A,0)),"")</f>
        <v/>
      </c>
      <c r="G159" s="25">
        <f>IFERROR(INDEX('Aub Demand'!W:W,MATCH(O159,'Aub Demand'!A:A,0)),"")</f>
        <v>0</v>
      </c>
      <c r="H159" s="25">
        <f>IFERROR(INDEX('Aub Demand'!V:V,MATCH(O159,'Aub Demand'!A:A,0)),"")</f>
        <v>460</v>
      </c>
      <c r="I159" s="25">
        <f>IFERROR(INDEX('Aub Demand'!U:U,MATCH(O159,'Aub Demand'!A:A,0)),"")</f>
        <v>0</v>
      </c>
      <c r="J159" s="25">
        <f>IFERROR(INDEX('Aub Demand'!T:T,MATCH(O159,'Aub Demand'!A:A,0)),"")</f>
        <v>0</v>
      </c>
      <c r="K159" s="25">
        <f>IFERROR(INDEX('Aub Demand'!S:S,MATCH(O159,'Aub Demand'!A:A,0)),"")</f>
        <v>0</v>
      </c>
      <c r="L159" s="25">
        <f>IFERROR(INDEX('Aub Demand'!R:R,MATCH(O159,'Aub Demand'!A:A,0)),"")</f>
        <v>0</v>
      </c>
      <c r="O159" s="27" t="s">
        <v>344</v>
      </c>
      <c r="P159" s="27" t="str">
        <f>IFERROR(INDEX('Aub Demand'!B:B,MATCH($O159,'Aub Demand'!$A:$A,0)),"")</f>
        <v>GRAY SPEKTRUM</v>
      </c>
      <c r="Q159" s="27" t="str">
        <f>IFERROR(INDEX('Aub Demand'!C:C,MATCH($O159,'Aub Demand'!$A:$A,0)),"")</f>
        <v>INTER</v>
      </c>
      <c r="R159" s="52">
        <f>IFERROR(IF(AR160=AR159,INDEX('Aub Demand'!K:K,MATCH($O159,'Aub Demand'!$A:$A,0))-IF(AN159="",0,AN159)+AP160,INDEX('Aub Demand'!K:K,MATCH($O159,'Aub Demand'!$A:$A,0))-IF(AN159="",0,AN159)),"")</f>
        <v>767</v>
      </c>
      <c r="S159" s="53" t="str">
        <f t="shared" si="56"/>
        <v>n/a</v>
      </c>
      <c r="T159" s="52" t="str">
        <f t="shared" si="57"/>
        <v/>
      </c>
      <c r="U159" s="52">
        <f>IFERROR(IF(AR160=AR159,INDEX('Aub Demand'!Q:Q,MATCH($O159,'Aub Demand'!$A:$A,0))-IF(AN159="",0,AN159)+AP160,INDEX('Aub Demand'!Q:Q,MATCH($O159,'Aub Demand'!$A:$A,0))-IF(AN159="",0,AN159)),"")</f>
        <v>767</v>
      </c>
      <c r="V159" s="53" t="str">
        <f t="shared" si="58"/>
        <v>n/a</v>
      </c>
      <c r="W159" s="52" t="str">
        <f t="shared" si="59"/>
        <v/>
      </c>
      <c r="X159" s="52">
        <f>IFERROR(IF(AND(AR160=AR159,AM159&lt;&gt;""),INDEX('Aub Demand'!Q:Q,MATCH($O159,'Aub Demand'!$A:$A,0))-IF(AN159="",0,AN159)+AP160+AD159+AL159,IF(AR160=AR159,INDEX('Aub Demand'!Q:Q,MATCH($O159,'Aub Demand'!$A:$A,0))-IF(AN159="",0,AN159)+AP160+AD159,IF(AM159&lt;&gt;"",INDEX('Aub Demand'!Q:Q,MATCH($O159,'Aub Demand'!$A:$A,0))-IF(AN159="",0,AN159)+AD159+AL159,INDEX('Aub Demand'!Q:Q,MATCH($O159,'Aub Demand'!$A:$A,0))-IF(AN159="",0,AN159)+AD159))),"")</f>
        <v>767</v>
      </c>
      <c r="Y159" s="53" t="str">
        <f t="shared" si="60"/>
        <v>n/a</v>
      </c>
      <c r="Z159" s="52">
        <f>IF(L159="","",INDEX('Aub Demand'!H:H,MATCH($O159,'Aub Demand'!$A:$A,0)))</f>
        <v>0</v>
      </c>
      <c r="AA159" s="52" t="str">
        <f t="shared" si="61"/>
        <v>-spike-</v>
      </c>
      <c r="AB159" s="52">
        <f>IFERROR(INDEX('Aub Demand'!L:L,MATCH($O159,'Aub Demand'!$A:$A,0)),"")</f>
        <v>0</v>
      </c>
      <c r="AC159" s="52">
        <f>IFERROR(IF(O159="","",SUMIFS('CPL Mats'!F:F,'CPL Mats'!Q:Q,AR159,'CPL Mats'!S:S,AS159)),"")</f>
        <v>0</v>
      </c>
      <c r="AF159" s="25">
        <f>IF(SUMIFS('Supp Consol'!S:S,'Supp Consol'!Y:Y,"Releasable",'Supp Consol'!A:A,O159)=0,"",SUMIFS('Supp Consol'!S:S,'Supp Consol'!Y:Y,"Releasable",'Supp Consol'!A:A,O159))</f>
        <v>769</v>
      </c>
      <c r="AG159" s="25" t="str">
        <f>IFERROR(INDEX('Hun Demand'!Q:Q,MATCH(O159,'Hun Demand'!A:A,0)),"")</f>
        <v/>
      </c>
      <c r="AH159" s="25" t="str">
        <f>IFERROR(INDEX('Hun Demand'!H:H,MATCH($O159,'Hun Demand'!$A:$A,0)),"")</f>
        <v/>
      </c>
      <c r="AI159" s="25" t="str">
        <f>IF(SUMIFS('Supp Consol'!AA:AA,'Supp Consol'!Z:Z,"Expires this month",'Supp Consol'!A:A,O159)=0,"",SUMIFS('Supp Consol'!AA:AA,'Supp Consol'!Z:Z,"Expires this month",'Supp Consol'!A:A,O159))</f>
        <v/>
      </c>
      <c r="AJ159" s="25" t="str">
        <f>IF(SUMIFS('Supp Consol'!AA:AA,'Supp Consol'!Z:Z,"Expired Previous Months",'Supp Consol'!A:A,O159)=0,"",SUMIFS('Supp Consol'!AA:AA,'Supp Consol'!Z:Z,"Expired Previous Months",'Supp Consol'!A:A,O159))</f>
        <v/>
      </c>
      <c r="AK159" s="25" t="str">
        <f>IFERROR(INDEX('Hun Release Current'!B:B,MATCH(O159,'Hun Release Current'!A:A,0)),"")</f>
        <v/>
      </c>
      <c r="AL159" s="25" t="str">
        <f>IF(SUMIF('Prev Aub'!A:A,O159,'Prev Aub'!B:B)=0,"",SUMIF('Prev Aub'!A:A,O159,'Prev Aub'!B:B))</f>
        <v/>
      </c>
      <c r="AN159" s="25" t="s">
        <v>3790</v>
      </c>
      <c r="AO159" s="25" t="s">
        <v>3790</v>
      </c>
      <c r="AP159" s="25">
        <f t="shared" si="62"/>
        <v>0</v>
      </c>
      <c r="AQ159" s="151" t="str">
        <f>IF(SUMIFS('Supp Consol'!S:S,'Supp Consol'!A:A,O159,'Supp Consol'!I:I,"PENDING")=0,"",SUMIFS('Supp Consol'!S:S,'Supp Consol'!A:A,O159,'Supp Consol'!I:I,"PENDING"))</f>
        <v/>
      </c>
      <c r="AR159" s="27" t="str">
        <f t="shared" si="63"/>
        <v>AG251</v>
      </c>
      <c r="AS159" s="27" t="str">
        <f t="shared" si="64"/>
        <v>37</v>
      </c>
      <c r="AT159" s="27" t="str">
        <f t="shared" si="65"/>
        <v/>
      </c>
      <c r="AU159" s="27" t="str">
        <f t="shared" si="66"/>
        <v/>
      </c>
      <c r="AV159" s="27" t="str">
        <f t="shared" si="67"/>
        <v/>
      </c>
      <c r="AW159" s="27" t="str">
        <f t="shared" si="68"/>
        <v/>
      </c>
      <c r="AX159" s="27" t="str">
        <f t="shared" si="69"/>
        <v>AG251</v>
      </c>
      <c r="AY159" s="27" t="str">
        <f t="shared" si="70"/>
        <v/>
      </c>
      <c r="AZ159" s="27" t="str">
        <f t="shared" si="71"/>
        <v>Supp</v>
      </c>
      <c r="BA159" s="27" t="str">
        <f t="shared" si="72"/>
        <v/>
      </c>
      <c r="BB159" s="27" t="str">
        <f t="shared" si="73"/>
        <v/>
      </c>
      <c r="BC159" s="27" t="str">
        <f t="shared" si="74"/>
        <v/>
      </c>
      <c r="BD159" s="27" t="str">
        <f t="shared" si="75"/>
        <v/>
      </c>
      <c r="BE159" s="27" t="str">
        <f t="shared" si="76"/>
        <v/>
      </c>
      <c r="BF159" s="27" t="str">
        <f t="shared" si="77"/>
        <v/>
      </c>
      <c r="BG159" s="27" t="str">
        <f t="shared" si="78"/>
        <v/>
      </c>
      <c r="BH159" s="27" t="str">
        <f t="shared" si="79"/>
        <v/>
      </c>
      <c r="BI159" s="27" t="str">
        <f t="shared" si="80"/>
        <v/>
      </c>
      <c r="BJ159" s="27" t="str">
        <f t="shared" si="81"/>
        <v>Supp or Hun</v>
      </c>
      <c r="BK159" s="27" t="str">
        <f t="shared" si="82"/>
        <v/>
      </c>
      <c r="BL159" s="27" t="str">
        <f t="shared" si="83"/>
        <v/>
      </c>
      <c r="BM159" s="21" t="s">
        <v>5581</v>
      </c>
    </row>
    <row r="160" spans="1:65" ht="15">
      <c r="A160" s="25" t="str">
        <f>IFERROR(INDEX('Hun Demand'!W:W,MATCH(O160,'Hun Demand'!A:A,0)),"")</f>
        <v/>
      </c>
      <c r="B160" s="25" t="str">
        <f>IFERROR(INDEX('Hun Demand'!V:V,MATCH(O160,'Hun Demand'!A:A,0)),"")</f>
        <v/>
      </c>
      <c r="C160" s="25" t="str">
        <f>IFERROR(INDEX('Hun Demand'!U:U,MATCH(O160,'Hun Demand'!A:A,0)),"")</f>
        <v/>
      </c>
      <c r="D160" s="25" t="str">
        <f>IFERROR(INDEX('Hun Demand'!T:T,MATCH(O160,'Hun Demand'!A:A,0)),"")</f>
        <v/>
      </c>
      <c r="E160" s="25" t="str">
        <f>IFERROR(INDEX('Hun Demand'!S:S,MATCH(O160,'Hun Demand'!A:A,0)),"")</f>
        <v/>
      </c>
      <c r="F160" s="25" t="str">
        <f>IFERROR(INDEX('Hun Demand'!R:R,MATCH(O160,'Hun Demand'!A:A,0)),"")</f>
        <v/>
      </c>
      <c r="G160" s="25">
        <f>IFERROR(INDEX('Aub Demand'!W:W,MATCH(O160,'Aub Demand'!A:A,0)),"")</f>
        <v>0</v>
      </c>
      <c r="H160" s="25">
        <f>IFERROR(INDEX('Aub Demand'!V:V,MATCH(O160,'Aub Demand'!A:A,0)),"")</f>
        <v>272</v>
      </c>
      <c r="I160" s="25">
        <f>IFERROR(INDEX('Aub Demand'!U:U,MATCH(O160,'Aub Demand'!A:A,0)),"")</f>
        <v>55</v>
      </c>
      <c r="J160" s="25">
        <f>IFERROR(INDEX('Aub Demand'!T:T,MATCH(O160,'Aub Demand'!A:A,0)),"")</f>
        <v>146</v>
      </c>
      <c r="K160" s="25">
        <f>IFERROR(INDEX('Aub Demand'!S:S,MATCH(O160,'Aub Demand'!A:A,0)),"")</f>
        <v>171</v>
      </c>
      <c r="L160" s="25">
        <f>IFERROR(INDEX('Aub Demand'!R:R,MATCH(O160,'Aub Demand'!A:A,0)),"")</f>
        <v>0</v>
      </c>
      <c r="O160" s="27" t="s">
        <v>346</v>
      </c>
      <c r="P160" s="27" t="str">
        <f>IFERROR(INDEX('Aub Demand'!B:B,MATCH($O160,'Aub Demand'!$A:$A,0)),"")</f>
        <v>GRAY SPEKTRUM</v>
      </c>
      <c r="Q160" s="27" t="str">
        <f>IFERROR(INDEX('Aub Demand'!C:C,MATCH($O160,'Aub Demand'!$A:$A,0)),"")</f>
        <v>INTER</v>
      </c>
      <c r="R160" s="52">
        <f>IFERROR(IF(AR161=AR160,INDEX('Aub Demand'!K:K,MATCH($O160,'Aub Demand'!$A:$A,0))-IF(AN160="",0,AN160)+AP161,INDEX('Aub Demand'!K:K,MATCH($O160,'Aub Demand'!$A:$A,0))-IF(AN160="",0,AN160)),"")</f>
        <v>782</v>
      </c>
      <c r="S160" s="53">
        <f t="shared" si="56"/>
        <v>27</v>
      </c>
      <c r="T160" s="52" t="str">
        <f t="shared" si="57"/>
        <v/>
      </c>
      <c r="U160" s="52">
        <f>IFERROR(IF(AR161=AR160,INDEX('Aub Demand'!Q:Q,MATCH($O160,'Aub Demand'!$A:$A,0))-IF(AN160="",0,AN160)+AP161,INDEX('Aub Demand'!Q:Q,MATCH($O160,'Aub Demand'!$A:$A,0))-IF(AN160="",0,AN160)),"")</f>
        <v>324</v>
      </c>
      <c r="V160" s="53">
        <f t="shared" si="58"/>
        <v>11.2</v>
      </c>
      <c r="W160" s="52" t="str">
        <f t="shared" si="59"/>
        <v/>
      </c>
      <c r="X160" s="52">
        <f>IFERROR(IF(AND(AR161=AR160,AM160&lt;&gt;""),INDEX('Aub Demand'!Q:Q,MATCH($O160,'Aub Demand'!$A:$A,0))-IF(AN160="",0,AN160)+AP161+AD160+AL160,IF(AR161=AR160,INDEX('Aub Demand'!Q:Q,MATCH($O160,'Aub Demand'!$A:$A,0))-IF(AN160="",0,AN160)+AP161+AD160,IF(AM160&lt;&gt;"",INDEX('Aub Demand'!Q:Q,MATCH($O160,'Aub Demand'!$A:$A,0))-IF(AN160="",0,AN160)+AD160+AL160,INDEX('Aub Demand'!Q:Q,MATCH($O160,'Aub Demand'!$A:$A,0))-IF(AN160="",0,AN160)+AD160))),"")</f>
        <v>324</v>
      </c>
      <c r="Y160" s="53">
        <f t="shared" si="60"/>
        <v>11.2</v>
      </c>
      <c r="Z160" s="52">
        <f>IF(L160="","",INDEX('Aub Demand'!H:H,MATCH($O160,'Aub Demand'!$A:$A,0)))</f>
        <v>124</v>
      </c>
      <c r="AA160" s="52">
        <f t="shared" si="61"/>
        <v>158.5</v>
      </c>
      <c r="AB160" s="52">
        <f>IFERROR(INDEX('Aub Demand'!L:L,MATCH($O160,'Aub Demand'!$A:$A,0)),"")</f>
        <v>121</v>
      </c>
      <c r="AC160" s="52">
        <f>IFERROR(IF(O160="","",SUMIFS('CPL Mats'!F:F,'CPL Mats'!Q:Q,AR160,'CPL Mats'!S:S,AS160)),"")</f>
        <v>0</v>
      </c>
      <c r="AF160" s="25">
        <f>IF(SUMIFS('Supp Consol'!S:S,'Supp Consol'!Y:Y,"Releasable",'Supp Consol'!A:A,O160)=0,"",SUMIFS('Supp Consol'!S:S,'Supp Consol'!Y:Y,"Releasable",'Supp Consol'!A:A,O160))</f>
        <v>2866</v>
      </c>
      <c r="AG160" s="25" t="str">
        <f>IFERROR(INDEX('Hun Demand'!Q:Q,MATCH(O160,'Hun Demand'!A:A,0)),"")</f>
        <v/>
      </c>
      <c r="AH160" s="25" t="str">
        <f>IFERROR(INDEX('Hun Demand'!H:H,MATCH($O160,'Hun Demand'!$A:$A,0)),"")</f>
        <v/>
      </c>
      <c r="AI160" s="25" t="str">
        <f>IF(SUMIFS('Supp Consol'!AA:AA,'Supp Consol'!Z:Z,"Expires this month",'Supp Consol'!A:A,O160)=0,"",SUMIFS('Supp Consol'!AA:AA,'Supp Consol'!Z:Z,"Expires this month",'Supp Consol'!A:A,O160))</f>
        <v/>
      </c>
      <c r="AJ160" s="25" t="str">
        <f>IF(SUMIFS('Supp Consol'!AA:AA,'Supp Consol'!Z:Z,"Expired Previous Months",'Supp Consol'!A:A,O160)=0,"",SUMIFS('Supp Consol'!AA:AA,'Supp Consol'!Z:Z,"Expired Previous Months",'Supp Consol'!A:A,O160))</f>
        <v/>
      </c>
      <c r="AK160" s="25" t="str">
        <f>IFERROR(INDEX('Hun Release Current'!B:B,MATCH(O160,'Hun Release Current'!A:A,0)),"")</f>
        <v/>
      </c>
      <c r="AL160" s="25" t="str">
        <f>IF(SUMIF('Prev Aub'!A:A,O160,'Prev Aub'!B:B)=0,"",SUMIF('Prev Aub'!A:A,O160,'Prev Aub'!B:B))</f>
        <v/>
      </c>
      <c r="AN160" s="25" t="s">
        <v>3790</v>
      </c>
      <c r="AO160" s="25" t="s">
        <v>3790</v>
      </c>
      <c r="AP160" s="25">
        <f t="shared" si="62"/>
        <v>0</v>
      </c>
      <c r="AQ160" s="151" t="str">
        <f>IF(SUMIFS('Supp Consol'!S:S,'Supp Consol'!A:A,O160,'Supp Consol'!I:I,"PENDING")=0,"",SUMIFS('Supp Consol'!S:S,'Supp Consol'!A:A,O160,'Supp Consol'!I:I,"PENDING"))</f>
        <v/>
      </c>
      <c r="AR160" s="27" t="str">
        <f t="shared" si="63"/>
        <v>AG251</v>
      </c>
      <c r="AS160" s="27" t="str">
        <f t="shared" si="64"/>
        <v>50</v>
      </c>
      <c r="AT160" s="27" t="str">
        <f t="shared" si="65"/>
        <v/>
      </c>
      <c r="AU160" s="27" t="str">
        <f t="shared" si="66"/>
        <v/>
      </c>
      <c r="AV160" s="27" t="str">
        <f t="shared" si="67"/>
        <v/>
      </c>
      <c r="AW160" s="27" t="str">
        <f t="shared" si="68"/>
        <v/>
      </c>
      <c r="AX160" s="27" t="str">
        <f t="shared" si="69"/>
        <v>AG251</v>
      </c>
      <c r="AY160" s="27" t="str">
        <f t="shared" si="70"/>
        <v/>
      </c>
      <c r="AZ160" s="27" t="str">
        <f t="shared" si="71"/>
        <v>Supp</v>
      </c>
      <c r="BA160" s="27" t="str">
        <f t="shared" si="72"/>
        <v/>
      </c>
      <c r="BB160" s="27" t="str">
        <f t="shared" si="73"/>
        <v/>
      </c>
      <c r="BC160" s="27" t="str">
        <f t="shared" si="74"/>
        <v/>
      </c>
      <c r="BD160" s="27" t="str">
        <f t="shared" si="75"/>
        <v/>
      </c>
      <c r="BE160" s="27" t="str">
        <f t="shared" si="76"/>
        <v/>
      </c>
      <c r="BF160" s="27" t="str">
        <f t="shared" si="77"/>
        <v/>
      </c>
      <c r="BG160" s="27" t="str">
        <f t="shared" si="78"/>
        <v/>
      </c>
      <c r="BH160" s="27" t="str">
        <f t="shared" si="79"/>
        <v/>
      </c>
      <c r="BI160" s="27" t="str">
        <f t="shared" si="80"/>
        <v/>
      </c>
      <c r="BJ160" s="27" t="str">
        <f t="shared" si="81"/>
        <v>Supp or Hun</v>
      </c>
      <c r="BK160" s="27" t="str">
        <f t="shared" si="82"/>
        <v/>
      </c>
      <c r="BL160" s="27" t="str">
        <f t="shared" si="83"/>
        <v/>
      </c>
      <c r="BM160" s="21" t="s">
        <v>5582</v>
      </c>
    </row>
    <row r="161" spans="1:65" ht="15">
      <c r="A161" s="25">
        <f>IFERROR(INDEX('Hun Demand'!W:W,MATCH(O161,'Hun Demand'!A:A,0)),"")</f>
        <v>0</v>
      </c>
      <c r="B161" s="25">
        <f>IFERROR(INDEX('Hun Demand'!V:V,MATCH(O161,'Hun Demand'!A:A,0)),"")</f>
        <v>0</v>
      </c>
      <c r="C161" s="25">
        <f>IFERROR(INDEX('Hun Demand'!U:U,MATCH(O161,'Hun Demand'!A:A,0)),"")</f>
        <v>248</v>
      </c>
      <c r="D161" s="25">
        <f>IFERROR(INDEX('Hun Demand'!T:T,MATCH(O161,'Hun Demand'!A:A,0)),"")</f>
        <v>426</v>
      </c>
      <c r="E161" s="25">
        <f>IFERROR(INDEX('Hun Demand'!S:S,MATCH(O161,'Hun Demand'!A:A,0)),"")</f>
        <v>0</v>
      </c>
      <c r="F161" s="25">
        <f>IFERROR(INDEX('Hun Demand'!R:R,MATCH(O161,'Hun Demand'!A:A,0)),"")</f>
        <v>0</v>
      </c>
      <c r="G161" s="25">
        <f>IFERROR(INDEX('Aub Demand'!W:W,MATCH(O161,'Aub Demand'!A:A,0)),"")</f>
        <v>108</v>
      </c>
      <c r="H161" s="25">
        <f>IFERROR(INDEX('Aub Demand'!V:V,MATCH(O161,'Aub Demand'!A:A,0)),"")</f>
        <v>1844</v>
      </c>
      <c r="I161" s="25">
        <f>IFERROR(INDEX('Aub Demand'!U:U,MATCH(O161,'Aub Demand'!A:A,0)),"")</f>
        <v>84</v>
      </c>
      <c r="J161" s="25">
        <f>IFERROR(INDEX('Aub Demand'!T:T,MATCH(O161,'Aub Demand'!A:A,0)),"")</f>
        <v>219</v>
      </c>
      <c r="K161" s="25">
        <f>IFERROR(INDEX('Aub Demand'!S:S,MATCH(O161,'Aub Demand'!A:A,0)),"")</f>
        <v>375</v>
      </c>
      <c r="L161" s="25">
        <f>IFERROR(INDEX('Aub Demand'!R:R,MATCH(O161,'Aub Demand'!A:A,0)),"")</f>
        <v>0</v>
      </c>
      <c r="O161" s="27" t="s">
        <v>347</v>
      </c>
      <c r="P161" s="27" t="str">
        <f>IFERROR(INDEX('Aub Demand'!B:B,MATCH($O161,'Aub Demand'!$A:$A,0)),"")</f>
        <v>GRAY SPEKTRUM</v>
      </c>
      <c r="Q161" s="27" t="str">
        <f>IFERROR(INDEX('Aub Demand'!C:C,MATCH($O161,'Aub Demand'!$A:$A,0)),"")</f>
        <v>INTER</v>
      </c>
      <c r="R161" s="52">
        <f>IFERROR(IF(AR162=AR161,INDEX('Aub Demand'!K:K,MATCH($O161,'Aub Demand'!$A:$A,0))-IF(AN161="",0,AN161)+AP162,INDEX('Aub Demand'!K:K,MATCH($O161,'Aub Demand'!$A:$A,0))-IF(AN161="",0,AN161)),"")</f>
        <v>1547</v>
      </c>
      <c r="S161" s="53">
        <f t="shared" si="56"/>
        <v>29.3</v>
      </c>
      <c r="T161" s="52" t="str">
        <f t="shared" si="57"/>
        <v/>
      </c>
      <c r="U161" s="52">
        <f>IFERROR(IF(AR162=AR161,INDEX('Aub Demand'!Q:Q,MATCH($O161,'Aub Demand'!$A:$A,0))-IF(AN161="",0,AN161)+AP162,INDEX('Aub Demand'!Q:Q,MATCH($O161,'Aub Demand'!$A:$A,0))-IF(AN161="",0,AN161)),"")</f>
        <v>1405</v>
      </c>
      <c r="V161" s="53">
        <f t="shared" si="58"/>
        <v>26.6</v>
      </c>
      <c r="W161" s="52" t="str">
        <f t="shared" si="59"/>
        <v/>
      </c>
      <c r="X161" s="52">
        <f>IFERROR(IF(AND(AR162=AR161,AM161&lt;&gt;""),INDEX('Aub Demand'!Q:Q,MATCH($O161,'Aub Demand'!$A:$A,0))-IF(AN161="",0,AN161)+AP162+AD161+AL161,IF(AR162=AR161,INDEX('Aub Demand'!Q:Q,MATCH($O161,'Aub Demand'!$A:$A,0))-IF(AN161="",0,AN161)+AP162+AD161,IF(AM161&lt;&gt;"",INDEX('Aub Demand'!Q:Q,MATCH($O161,'Aub Demand'!$A:$A,0))-IF(AN161="",0,AN161)+AD161+AL161,INDEX('Aub Demand'!Q:Q,MATCH($O161,'Aub Demand'!$A:$A,0))-IF(AN161="",0,AN161)+AD161))),"")</f>
        <v>1405</v>
      </c>
      <c r="Y161" s="53">
        <f t="shared" si="60"/>
        <v>26.6</v>
      </c>
      <c r="Z161" s="52">
        <f>IF(L161="","",INDEX('Aub Demand'!H:H,MATCH($O161,'Aub Demand'!$A:$A,0)))</f>
        <v>226</v>
      </c>
      <c r="AA161" s="52">
        <f t="shared" si="61"/>
        <v>297</v>
      </c>
      <c r="AB161" s="52">
        <f>IFERROR(INDEX('Aub Demand'!L:L,MATCH($O161,'Aub Demand'!$A:$A,0)),"")</f>
        <v>242</v>
      </c>
      <c r="AC161" s="52">
        <f>IFERROR(IF(O161="","",SUMIFS('CPL Mats'!F:F,'CPL Mats'!Q:Q,AR161,'CPL Mats'!S:S,AS161)),"")</f>
        <v>0</v>
      </c>
      <c r="AF161" s="25">
        <f>IF(SUMIFS('Supp Consol'!S:S,'Supp Consol'!Y:Y,"Releasable",'Supp Consol'!A:A,O161)=0,"",SUMIFS('Supp Consol'!S:S,'Supp Consol'!Y:Y,"Releasable",'Supp Consol'!A:A,O161))</f>
        <v>5289</v>
      </c>
      <c r="AG161" s="25">
        <f>IFERROR(INDEX('Hun Demand'!Q:Q,MATCH(O161,'Hun Demand'!A:A,0)),"")</f>
        <v>0</v>
      </c>
      <c r="AH161" s="25">
        <f>IFERROR(INDEX('Hun Demand'!H:H,MATCH($O161,'Hun Demand'!$A:$A,0)),"")</f>
        <v>225</v>
      </c>
      <c r="AI161" s="25" t="str">
        <f>IF(SUMIFS('Supp Consol'!AA:AA,'Supp Consol'!Z:Z,"Expires this month",'Supp Consol'!A:A,O161)=0,"",SUMIFS('Supp Consol'!AA:AA,'Supp Consol'!Z:Z,"Expires this month",'Supp Consol'!A:A,O161))</f>
        <v/>
      </c>
      <c r="AJ161" s="25" t="str">
        <f>IF(SUMIFS('Supp Consol'!AA:AA,'Supp Consol'!Z:Z,"Expired Previous Months",'Supp Consol'!A:A,O161)=0,"",SUMIFS('Supp Consol'!AA:AA,'Supp Consol'!Z:Z,"Expired Previous Months",'Supp Consol'!A:A,O161))</f>
        <v/>
      </c>
      <c r="AK161" s="25" t="str">
        <f>IFERROR(INDEX('Hun Release Current'!B:B,MATCH(O161,'Hun Release Current'!A:A,0)),"")</f>
        <v/>
      </c>
      <c r="AL161" s="25" t="str">
        <f>IF(SUMIF('Prev Aub'!A:A,O161,'Prev Aub'!B:B)=0,"",SUMIF('Prev Aub'!A:A,O161,'Prev Aub'!B:B))</f>
        <v/>
      </c>
      <c r="AN161" s="25" t="s">
        <v>3790</v>
      </c>
      <c r="AO161" s="25" t="s">
        <v>3790</v>
      </c>
      <c r="AP161" s="25">
        <f t="shared" si="62"/>
        <v>0</v>
      </c>
      <c r="AQ161" s="151" t="str">
        <f>IF(SUMIFS('Supp Consol'!S:S,'Supp Consol'!A:A,O161,'Supp Consol'!I:I,"PENDING")=0,"",SUMIFS('Supp Consol'!S:S,'Supp Consol'!A:A,O161,'Supp Consol'!I:I,"PENDING"))</f>
        <v/>
      </c>
      <c r="AR161" s="27" t="str">
        <f t="shared" si="63"/>
        <v>AG251</v>
      </c>
      <c r="AS161" s="27" t="str">
        <f t="shared" si="64"/>
        <v>62</v>
      </c>
      <c r="AT161" s="27" t="str">
        <f t="shared" si="65"/>
        <v/>
      </c>
      <c r="AU161" s="27" t="str">
        <f t="shared" si="66"/>
        <v/>
      </c>
      <c r="AV161" s="27" t="str">
        <f t="shared" si="67"/>
        <v/>
      </c>
      <c r="AW161" s="27" t="str">
        <f t="shared" si="68"/>
        <v/>
      </c>
      <c r="AX161" s="27" t="str">
        <f t="shared" si="69"/>
        <v>AG251</v>
      </c>
      <c r="AY161" s="27" t="str">
        <f t="shared" si="70"/>
        <v/>
      </c>
      <c r="AZ161" s="27" t="str">
        <f t="shared" si="71"/>
        <v>Supp</v>
      </c>
      <c r="BA161" s="27" t="str">
        <f t="shared" si="72"/>
        <v/>
      </c>
      <c r="BB161" s="27" t="str">
        <f t="shared" si="73"/>
        <v/>
      </c>
      <c r="BC161" s="27" t="str">
        <f t="shared" si="74"/>
        <v/>
      </c>
      <c r="BD161" s="27" t="str">
        <f t="shared" si="75"/>
        <v/>
      </c>
      <c r="BE161" s="27" t="str">
        <f t="shared" si="76"/>
        <v/>
      </c>
      <c r="BF161" s="27" t="str">
        <f t="shared" si="77"/>
        <v/>
      </c>
      <c r="BG161" s="27" t="str">
        <f t="shared" si="78"/>
        <v/>
      </c>
      <c r="BH161" s="27" t="str">
        <f t="shared" si="79"/>
        <v/>
      </c>
      <c r="BI161" s="27" t="str">
        <f t="shared" si="80"/>
        <v/>
      </c>
      <c r="BJ161" s="27" t="str">
        <f t="shared" si="81"/>
        <v>Supp or Hun</v>
      </c>
      <c r="BK161" s="27" t="str">
        <f t="shared" si="82"/>
        <v/>
      </c>
      <c r="BL161" s="27" t="str">
        <f t="shared" si="83"/>
        <v/>
      </c>
      <c r="BM161" s="21" t="s">
        <v>5582</v>
      </c>
    </row>
    <row r="162" spans="1:65" ht="15">
      <c r="A162" s="25" t="str">
        <f>IFERROR(INDEX('Hun Demand'!W:W,MATCH(O162,'Hun Demand'!A:A,0)),"")</f>
        <v/>
      </c>
      <c r="B162" s="25" t="str">
        <f>IFERROR(INDEX('Hun Demand'!V:V,MATCH(O162,'Hun Demand'!A:A,0)),"")</f>
        <v/>
      </c>
      <c r="C162" s="25" t="str">
        <f>IFERROR(INDEX('Hun Demand'!U:U,MATCH(O162,'Hun Demand'!A:A,0)),"")</f>
        <v/>
      </c>
      <c r="D162" s="25" t="str">
        <f>IFERROR(INDEX('Hun Demand'!T:T,MATCH(O162,'Hun Demand'!A:A,0)),"")</f>
        <v/>
      </c>
      <c r="E162" s="25" t="str">
        <f>IFERROR(INDEX('Hun Demand'!S:S,MATCH(O162,'Hun Demand'!A:A,0)),"")</f>
        <v/>
      </c>
      <c r="F162" s="25" t="str">
        <f>IFERROR(INDEX('Hun Demand'!R:R,MATCH(O162,'Hun Demand'!A:A,0)),"")</f>
        <v/>
      </c>
      <c r="G162" s="25">
        <f>IFERROR(INDEX('Aub Demand'!W:W,MATCH(O162,'Aub Demand'!A:A,0)),"")</f>
        <v>17</v>
      </c>
      <c r="H162" s="25">
        <f>IFERROR(INDEX('Aub Demand'!V:V,MATCH(O162,'Aub Demand'!A:A,0)),"")</f>
        <v>0</v>
      </c>
      <c r="I162" s="25">
        <f>IFERROR(INDEX('Aub Demand'!U:U,MATCH(O162,'Aub Demand'!A:A,0)),"")</f>
        <v>0</v>
      </c>
      <c r="J162" s="25">
        <f>IFERROR(INDEX('Aub Demand'!T:T,MATCH(O162,'Aub Demand'!A:A,0)),"")</f>
        <v>0</v>
      </c>
      <c r="K162" s="25">
        <f>IFERROR(INDEX('Aub Demand'!S:S,MATCH(O162,'Aub Demand'!A:A,0)),"")</f>
        <v>0</v>
      </c>
      <c r="L162" s="25">
        <f>IFERROR(INDEX('Aub Demand'!R:R,MATCH(O162,'Aub Demand'!A:A,0)),"")</f>
        <v>0</v>
      </c>
      <c r="O162" s="27" t="s">
        <v>348</v>
      </c>
      <c r="P162" s="27" t="str">
        <f>IFERROR(INDEX('Aub Demand'!B:B,MATCH($O162,'Aub Demand'!$A:$A,0)),"")</f>
        <v>STORM CIRRUS</v>
      </c>
      <c r="Q162" s="27" t="str">
        <f>IFERROR(INDEX('Aub Demand'!C:C,MATCH($O162,'Aub Demand'!$A:$A,0)),"")</f>
        <v>INTER</v>
      </c>
      <c r="R162" s="52">
        <f>IFERROR(IF(AR163=AR162,INDEX('Aub Demand'!K:K,MATCH($O162,'Aub Demand'!$A:$A,0))-IF(AN162="",0,AN162)+AP163,INDEX('Aub Demand'!K:K,MATCH($O162,'Aub Demand'!$A:$A,0))-IF(AN162="",0,AN162)),"")</f>
        <v>63</v>
      </c>
      <c r="S162" s="53" t="str">
        <f t="shared" si="56"/>
        <v>n/a</v>
      </c>
      <c r="T162" s="52" t="str">
        <f t="shared" si="57"/>
        <v/>
      </c>
      <c r="U162" s="52">
        <f>IFERROR(IF(AR163=AR162,INDEX('Aub Demand'!Q:Q,MATCH($O162,'Aub Demand'!$A:$A,0))-IF(AN162="",0,AN162)+AP163,INDEX('Aub Demand'!Q:Q,MATCH($O162,'Aub Demand'!$A:$A,0))-IF(AN162="",0,AN162)),"")</f>
        <v>63</v>
      </c>
      <c r="V162" s="53" t="str">
        <f t="shared" si="58"/>
        <v>n/a</v>
      </c>
      <c r="W162" s="52" t="str">
        <f t="shared" si="59"/>
        <v/>
      </c>
      <c r="X162" s="52">
        <f>IFERROR(IF(AND(AR163=AR162,AM162&lt;&gt;""),INDEX('Aub Demand'!Q:Q,MATCH($O162,'Aub Demand'!$A:$A,0))-IF(AN162="",0,AN162)+AP163+AD162+AL162,IF(AR163=AR162,INDEX('Aub Demand'!Q:Q,MATCH($O162,'Aub Demand'!$A:$A,0))-IF(AN162="",0,AN162)+AP163+AD162,IF(AM162&lt;&gt;"",INDEX('Aub Demand'!Q:Q,MATCH($O162,'Aub Demand'!$A:$A,0))-IF(AN162="",0,AN162)+AD162+AL162,INDEX('Aub Demand'!Q:Q,MATCH($O162,'Aub Demand'!$A:$A,0))-IF(AN162="",0,AN162)+AD162))),"")</f>
        <v>63</v>
      </c>
      <c r="Y162" s="53" t="str">
        <f t="shared" si="60"/>
        <v>n/a</v>
      </c>
      <c r="Z162" s="52">
        <f>IF(L162="","",INDEX('Aub Demand'!H:H,MATCH($O162,'Aub Demand'!$A:$A,0)))</f>
        <v>0</v>
      </c>
      <c r="AA162" s="52" t="str">
        <f t="shared" si="61"/>
        <v>-spike-</v>
      </c>
      <c r="AB162" s="52">
        <f>IFERROR(INDEX('Aub Demand'!L:L,MATCH($O162,'Aub Demand'!$A:$A,0)),"")</f>
        <v>2</v>
      </c>
      <c r="AC162" s="52">
        <f>IFERROR(IF(O162="","",SUMIFS('CPL Mats'!F:F,'CPL Mats'!Q:Q,AR162,'CPL Mats'!S:S,AS162)),"")</f>
        <v>0</v>
      </c>
      <c r="AF162" s="25" t="str">
        <f>IF(SUMIFS('Supp Consol'!S:S,'Supp Consol'!Y:Y,"Releasable",'Supp Consol'!A:A,O162)=0,"",SUMIFS('Supp Consol'!S:S,'Supp Consol'!Y:Y,"Releasable",'Supp Consol'!A:A,O162))</f>
        <v/>
      </c>
      <c r="AG162" s="25" t="str">
        <f>IFERROR(INDEX('Hun Demand'!Q:Q,MATCH(O162,'Hun Demand'!A:A,0)),"")</f>
        <v/>
      </c>
      <c r="AH162" s="25" t="str">
        <f>IFERROR(INDEX('Hun Demand'!H:H,MATCH($O162,'Hun Demand'!$A:$A,0)),"")</f>
        <v/>
      </c>
      <c r="AI162" s="25" t="str">
        <f>IF(SUMIFS('Supp Consol'!AA:AA,'Supp Consol'!Z:Z,"Expires this month",'Supp Consol'!A:A,O162)=0,"",SUMIFS('Supp Consol'!AA:AA,'Supp Consol'!Z:Z,"Expires this month",'Supp Consol'!A:A,O162))</f>
        <v/>
      </c>
      <c r="AJ162" s="25" t="str">
        <f>IF(SUMIFS('Supp Consol'!AA:AA,'Supp Consol'!Z:Z,"Expired Previous Months",'Supp Consol'!A:A,O162)=0,"",SUMIFS('Supp Consol'!AA:AA,'Supp Consol'!Z:Z,"Expired Previous Months",'Supp Consol'!A:A,O162))</f>
        <v/>
      </c>
      <c r="AK162" s="25" t="str">
        <f>IFERROR(INDEX('Hun Release Current'!B:B,MATCH(O162,'Hun Release Current'!A:A,0)),"")</f>
        <v/>
      </c>
      <c r="AL162" s="25" t="str">
        <f>IF(SUMIF('Prev Aub'!A:A,O162,'Prev Aub'!B:B)=0,"",SUMIF('Prev Aub'!A:A,O162,'Prev Aub'!B:B))</f>
        <v/>
      </c>
      <c r="AN162" s="25" t="s">
        <v>3790</v>
      </c>
      <c r="AO162" s="25" t="s">
        <v>3790</v>
      </c>
      <c r="AP162" s="25">
        <f t="shared" si="62"/>
        <v>0</v>
      </c>
      <c r="AQ162" s="151" t="str">
        <f>IF(SUMIFS('Supp Consol'!S:S,'Supp Consol'!A:A,O162,'Supp Consol'!I:I,"PENDING")=0,"",SUMIFS('Supp Consol'!S:S,'Supp Consol'!A:A,O162,'Supp Consol'!I:I,"PENDING"))</f>
        <v/>
      </c>
      <c r="AR162" s="27" t="str">
        <f t="shared" si="63"/>
        <v>AG281</v>
      </c>
      <c r="AS162" s="27" t="str">
        <f t="shared" si="64"/>
        <v>50</v>
      </c>
      <c r="AT162" s="27" t="str">
        <f t="shared" si="65"/>
        <v/>
      </c>
      <c r="AU162" s="27" t="str">
        <f t="shared" si="66"/>
        <v/>
      </c>
      <c r="AV162" s="27" t="str">
        <f t="shared" si="67"/>
        <v/>
      </c>
      <c r="AW162" s="27" t="str">
        <f t="shared" si="68"/>
        <v/>
      </c>
      <c r="AX162" s="27" t="str">
        <f t="shared" si="69"/>
        <v/>
      </c>
      <c r="AY162" s="27" t="str">
        <f t="shared" si="70"/>
        <v/>
      </c>
      <c r="AZ162" s="27" t="str">
        <f t="shared" si="71"/>
        <v/>
      </c>
      <c r="BA162" s="27" t="str">
        <f t="shared" si="72"/>
        <v/>
      </c>
      <c r="BB162" s="27" t="str">
        <f t="shared" si="73"/>
        <v/>
      </c>
      <c r="BC162" s="27" t="str">
        <f t="shared" si="74"/>
        <v/>
      </c>
      <c r="BD162" s="27" t="str">
        <f t="shared" si="75"/>
        <v/>
      </c>
      <c r="BE162" s="27" t="str">
        <f t="shared" si="76"/>
        <v/>
      </c>
      <c r="BF162" s="27" t="str">
        <f t="shared" si="77"/>
        <v/>
      </c>
      <c r="BG162" s="27" t="str">
        <f t="shared" si="78"/>
        <v/>
      </c>
      <c r="BH162" s="27" t="str">
        <f t="shared" si="79"/>
        <v/>
      </c>
      <c r="BI162" s="27" t="str">
        <f t="shared" si="80"/>
        <v/>
      </c>
      <c r="BJ162" s="27" t="str">
        <f t="shared" si="81"/>
        <v/>
      </c>
      <c r="BK162" s="27" t="str">
        <f t="shared" si="82"/>
        <v/>
      </c>
      <c r="BL162" s="27" t="str">
        <f t="shared" si="83"/>
        <v/>
      </c>
      <c r="BM162" s="21" t="s">
        <v>3790</v>
      </c>
    </row>
    <row r="163" spans="1:65" ht="15">
      <c r="A163" s="25" t="str">
        <f>IFERROR(INDEX('Hun Demand'!W:W,MATCH(O163,'Hun Demand'!A:A,0)),"")</f>
        <v/>
      </c>
      <c r="B163" s="25" t="str">
        <f>IFERROR(INDEX('Hun Demand'!V:V,MATCH(O163,'Hun Demand'!A:A,0)),"")</f>
        <v/>
      </c>
      <c r="C163" s="25" t="str">
        <f>IFERROR(INDEX('Hun Demand'!U:U,MATCH(O163,'Hun Demand'!A:A,0)),"")</f>
        <v/>
      </c>
      <c r="D163" s="25" t="str">
        <f>IFERROR(INDEX('Hun Demand'!T:T,MATCH(O163,'Hun Demand'!A:A,0)),"")</f>
        <v/>
      </c>
      <c r="E163" s="25" t="str">
        <f>IFERROR(INDEX('Hun Demand'!S:S,MATCH(O163,'Hun Demand'!A:A,0)),"")</f>
        <v/>
      </c>
      <c r="F163" s="25" t="str">
        <f>IFERROR(INDEX('Hun Demand'!R:R,MATCH(O163,'Hun Demand'!A:A,0)),"")</f>
        <v/>
      </c>
      <c r="G163" s="25">
        <f>IFERROR(INDEX('Aub Demand'!W:W,MATCH(O163,'Aub Demand'!A:A,0)),"")</f>
        <v>0</v>
      </c>
      <c r="H163" s="25">
        <f>IFERROR(INDEX('Aub Demand'!V:V,MATCH(O163,'Aub Demand'!A:A,0)),"")</f>
        <v>0</v>
      </c>
      <c r="I163" s="25">
        <f>IFERROR(INDEX('Aub Demand'!U:U,MATCH(O163,'Aub Demand'!A:A,0)),"")</f>
        <v>0</v>
      </c>
      <c r="J163" s="25">
        <f>IFERROR(INDEX('Aub Demand'!T:T,MATCH(O163,'Aub Demand'!A:A,0)),"")</f>
        <v>5</v>
      </c>
      <c r="K163" s="25">
        <f>IFERROR(INDEX('Aub Demand'!S:S,MATCH(O163,'Aub Demand'!A:A,0)),"")</f>
        <v>0</v>
      </c>
      <c r="L163" s="25">
        <f>IFERROR(INDEX('Aub Demand'!R:R,MATCH(O163,'Aub Demand'!A:A,0)),"")</f>
        <v>0</v>
      </c>
      <c r="O163" s="27" t="s">
        <v>5950</v>
      </c>
      <c r="P163" s="27" t="str">
        <f>IFERROR(INDEX('Aub Demand'!B:B,MATCH($O163,'Aub Demand'!$A:$A,0)),"")</f>
        <v>STONEDUST LINEN</v>
      </c>
      <c r="Q163" s="27">
        <f>IFERROR(INDEX('Aub Demand'!C:C,MATCH($O163,'Aub Demand'!$A:$A,0)),"")</f>
        <v>0</v>
      </c>
      <c r="R163" s="52">
        <f>IFERROR(IF(AR164=AR163,INDEX('Aub Demand'!K:K,MATCH($O163,'Aub Demand'!$A:$A,0))-IF(AN163="",0,AN163)+AP164,INDEX('Aub Demand'!K:K,MATCH($O163,'Aub Demand'!$A:$A,0))-IF(AN163="",0,AN163)),"")</f>
        <v>0</v>
      </c>
      <c r="S163" s="53">
        <f t="shared" si="56"/>
        <v>0</v>
      </c>
      <c r="T163" s="52" t="str">
        <f t="shared" si="57"/>
        <v/>
      </c>
      <c r="U163" s="52">
        <f>IFERROR(IF(AR164=AR163,INDEX('Aub Demand'!Q:Q,MATCH($O163,'Aub Demand'!$A:$A,0))-IF(AN163="",0,AN163)+AP164,INDEX('Aub Demand'!Q:Q,MATCH($O163,'Aub Demand'!$A:$A,0))-IF(AN163="",0,AN163)),"")</f>
        <v>0</v>
      </c>
      <c r="V163" s="53">
        <f t="shared" si="58"/>
        <v>0</v>
      </c>
      <c r="W163" s="52" t="str">
        <f t="shared" si="59"/>
        <v/>
      </c>
      <c r="X163" s="52">
        <f>IFERROR(IF(AND(AR164=AR163,AM163&lt;&gt;""),INDEX('Aub Demand'!Q:Q,MATCH($O163,'Aub Demand'!$A:$A,0))-IF(AN163="",0,AN163)+AP164+AD163+AL163,IF(AR164=AR163,INDEX('Aub Demand'!Q:Q,MATCH($O163,'Aub Demand'!$A:$A,0))-IF(AN163="",0,AN163)+AP164+AD163,IF(AM163&lt;&gt;"",INDEX('Aub Demand'!Q:Q,MATCH($O163,'Aub Demand'!$A:$A,0))-IF(AN163="",0,AN163)+AD163+AL163,INDEX('Aub Demand'!Q:Q,MATCH($O163,'Aub Demand'!$A:$A,0))-IF(AN163="",0,AN163)+AD163))),"")</f>
        <v>0</v>
      </c>
      <c r="Y163" s="53">
        <f t="shared" si="60"/>
        <v>0</v>
      </c>
      <c r="Z163" s="52">
        <f>IF(L163="","",INDEX('Aub Demand'!H:H,MATCH($O163,'Aub Demand'!$A:$A,0)))</f>
        <v>2</v>
      </c>
      <c r="AA163" s="52" t="str">
        <f t="shared" si="61"/>
        <v>-spike-</v>
      </c>
      <c r="AB163" s="52">
        <f>IFERROR(INDEX('Aub Demand'!L:L,MATCH($O163,'Aub Demand'!$A:$A,0)),"")</f>
        <v>0</v>
      </c>
      <c r="AC163" s="52">
        <f>IFERROR(IF(O163="","",SUMIFS('CPL Mats'!F:F,'CPL Mats'!Q:Q,AR163,'CPL Mats'!S:S,AS163)),"")</f>
        <v>0</v>
      </c>
      <c r="AF163" s="25" t="str">
        <f>IF(SUMIFS('Supp Consol'!S:S,'Supp Consol'!Y:Y,"Releasable",'Supp Consol'!A:A,O163)=0,"",SUMIFS('Supp Consol'!S:S,'Supp Consol'!Y:Y,"Releasable",'Supp Consol'!A:A,O163))</f>
        <v/>
      </c>
      <c r="AG163" s="25" t="str">
        <f>IFERROR(INDEX('Hun Demand'!Q:Q,MATCH(O163,'Hun Demand'!A:A,0)),"")</f>
        <v/>
      </c>
      <c r="AH163" s="25" t="str">
        <f>IFERROR(INDEX('Hun Demand'!H:H,MATCH($O163,'Hun Demand'!$A:$A,0)),"")</f>
        <v/>
      </c>
      <c r="AI163" s="25" t="str">
        <f>IF(SUMIFS('Supp Consol'!AA:AA,'Supp Consol'!Z:Z,"Expires this month",'Supp Consol'!A:A,O163)=0,"",SUMIFS('Supp Consol'!AA:AA,'Supp Consol'!Z:Z,"Expires this month",'Supp Consol'!A:A,O163))</f>
        <v/>
      </c>
      <c r="AJ163" s="25" t="str">
        <f>IF(SUMIFS('Supp Consol'!AA:AA,'Supp Consol'!Z:Z,"Expired Previous Months",'Supp Consol'!A:A,O163)=0,"",SUMIFS('Supp Consol'!AA:AA,'Supp Consol'!Z:Z,"Expired Previous Months",'Supp Consol'!A:A,O163))</f>
        <v/>
      </c>
      <c r="AK163" s="25" t="str">
        <f>IFERROR(INDEX('Hun Release Current'!B:B,MATCH(O163,'Hun Release Current'!A:A,0)),"")</f>
        <v/>
      </c>
      <c r="AL163" s="25" t="str">
        <f>IF(SUMIF('Prev Aub'!A:A,O163,'Prev Aub'!B:B)=0,"",SUMIF('Prev Aub'!A:A,O163,'Prev Aub'!B:B))</f>
        <v/>
      </c>
      <c r="AN163" s="25" t="s">
        <v>3790</v>
      </c>
      <c r="AO163" s="25" t="s">
        <v>3790</v>
      </c>
      <c r="AP163" s="25">
        <f t="shared" si="62"/>
        <v>0</v>
      </c>
      <c r="AQ163" s="151" t="str">
        <f>IF(SUMIFS('Supp Consol'!S:S,'Supp Consol'!A:A,O163,'Supp Consol'!I:I,"PENDING")=0,"",SUMIFS('Supp Consol'!S:S,'Supp Consol'!A:A,O163,'Supp Consol'!I:I,"PENDING"))</f>
        <v/>
      </c>
      <c r="AR163" s="27" t="str">
        <f t="shared" si="63"/>
        <v>AG345</v>
      </c>
      <c r="AS163" s="27" t="str">
        <f t="shared" si="64"/>
        <v>50</v>
      </c>
      <c r="AT163" s="27" t="str">
        <f t="shared" si="65"/>
        <v>AG345</v>
      </c>
      <c r="AU163" s="27" t="str">
        <f t="shared" si="66"/>
        <v>AG345</v>
      </c>
      <c r="AV163" s="27" t="str">
        <f t="shared" si="67"/>
        <v>AG345</v>
      </c>
      <c r="AW163" s="27" t="str">
        <f t="shared" si="68"/>
        <v/>
      </c>
      <c r="AX163" s="27" t="str">
        <f t="shared" si="69"/>
        <v/>
      </c>
      <c r="AY163" s="27" t="str">
        <f t="shared" si="70"/>
        <v/>
      </c>
      <c r="AZ163" s="27" t="str">
        <f t="shared" si="71"/>
        <v/>
      </c>
      <c r="BA163" s="27" t="str">
        <f t="shared" si="72"/>
        <v/>
      </c>
      <c r="BB163" s="27" t="str">
        <f t="shared" si="73"/>
        <v>Gross</v>
      </c>
      <c r="BC163" s="27" t="str">
        <f t="shared" si="74"/>
        <v>Net</v>
      </c>
      <c r="BD163" s="27" t="str">
        <f t="shared" si="75"/>
        <v>Net</v>
      </c>
      <c r="BE163" s="27" t="str">
        <f t="shared" si="76"/>
        <v/>
      </c>
      <c r="BF163" s="27" t="str">
        <f t="shared" si="77"/>
        <v/>
      </c>
      <c r="BG163" s="27" t="str">
        <f t="shared" si="78"/>
        <v/>
      </c>
      <c r="BH163" s="27" t="str">
        <f t="shared" si="79"/>
        <v/>
      </c>
      <c r="BI163" s="27" t="str">
        <f t="shared" si="80"/>
        <v/>
      </c>
      <c r="BJ163" s="27" t="str">
        <f t="shared" si="81"/>
        <v/>
      </c>
      <c r="BK163" s="27" t="str">
        <f t="shared" si="82"/>
        <v/>
      </c>
      <c r="BL163" s="27" t="str">
        <f t="shared" si="83"/>
        <v/>
      </c>
      <c r="BM163" s="21" t="s">
        <v>3790</v>
      </c>
    </row>
    <row r="164" spans="1:65" ht="15">
      <c r="A164" s="25">
        <f>IFERROR(INDEX('Hun Demand'!W:W,MATCH(O164,'Hun Demand'!A:A,0)),"")</f>
        <v>0</v>
      </c>
      <c r="B164" s="25">
        <f>IFERROR(INDEX('Hun Demand'!V:V,MATCH(O164,'Hun Demand'!A:A,0)),"")</f>
        <v>0</v>
      </c>
      <c r="C164" s="25">
        <f>IFERROR(INDEX('Hun Demand'!U:U,MATCH(O164,'Hun Demand'!A:A,0)),"")</f>
        <v>113</v>
      </c>
      <c r="D164" s="25">
        <f>IFERROR(INDEX('Hun Demand'!T:T,MATCH(O164,'Hun Demand'!A:A,0)),"")</f>
        <v>0</v>
      </c>
      <c r="E164" s="25">
        <f>IFERROR(INDEX('Hun Demand'!S:S,MATCH(O164,'Hun Demand'!A:A,0)),"")</f>
        <v>0</v>
      </c>
      <c r="F164" s="25">
        <f>IFERROR(INDEX('Hun Demand'!R:R,MATCH(O164,'Hun Demand'!A:A,0)),"")</f>
        <v>0</v>
      </c>
      <c r="G164" s="25">
        <f>IFERROR(INDEX('Aub Demand'!W:W,MATCH(O164,'Aub Demand'!A:A,0)),"")</f>
        <v>0</v>
      </c>
      <c r="H164" s="25">
        <f>IFERROR(INDEX('Aub Demand'!V:V,MATCH(O164,'Aub Demand'!A:A,0)),"")</f>
        <v>0</v>
      </c>
      <c r="I164" s="25">
        <f>IFERROR(INDEX('Aub Demand'!U:U,MATCH(O164,'Aub Demand'!A:A,0)),"")</f>
        <v>113</v>
      </c>
      <c r="J164" s="25">
        <f>IFERROR(INDEX('Aub Demand'!T:T,MATCH(O164,'Aub Demand'!A:A,0)),"")</f>
        <v>12</v>
      </c>
      <c r="K164" s="25">
        <f>IFERROR(INDEX('Aub Demand'!S:S,MATCH(O164,'Aub Demand'!A:A,0)),"")</f>
        <v>20</v>
      </c>
      <c r="L164" s="25">
        <f>IFERROR(INDEX('Aub Demand'!R:R,MATCH(O164,'Aub Demand'!A:A,0)),"")</f>
        <v>0</v>
      </c>
      <c r="O164" s="27" t="s">
        <v>3323</v>
      </c>
      <c r="P164" s="27" t="str">
        <f>IFERROR(INDEX('Aub Demand'!B:B,MATCH($O164,'Aub Demand'!$A:$A,0)),"")</f>
        <v>STONEDUST LINEN</v>
      </c>
      <c r="Q164" s="27">
        <f>IFERROR(INDEX('Aub Demand'!C:C,MATCH($O164,'Aub Demand'!$A:$A,0)),"")</f>
        <v>0</v>
      </c>
      <c r="R164" s="52">
        <f>IFERROR(IF(AR165=AR164,INDEX('Aub Demand'!K:K,MATCH($O164,'Aub Demand'!$A:$A,0))-IF(AN164="",0,AN164)+AP165,INDEX('Aub Demand'!K:K,MATCH($O164,'Aub Demand'!$A:$A,0))-IF(AN164="",0,AN164)),"")</f>
        <v>668</v>
      </c>
      <c r="S164" s="53">
        <f t="shared" si="56"/>
        <v>59.6</v>
      </c>
      <c r="T164" s="52" t="str">
        <f t="shared" si="57"/>
        <v/>
      </c>
      <c r="U164" s="52">
        <f>IFERROR(IF(AR165=AR164,INDEX('Aub Demand'!Q:Q,MATCH($O164,'Aub Demand'!$A:$A,0))-IF(AN164="",0,AN164)+AP165,INDEX('Aub Demand'!Q:Q,MATCH($O164,'Aub Demand'!$A:$A,0))-IF(AN164="",0,AN164)),"")</f>
        <v>657</v>
      </c>
      <c r="V164" s="53">
        <f t="shared" si="58"/>
        <v>58.7</v>
      </c>
      <c r="W164" s="52" t="str">
        <f t="shared" si="59"/>
        <v/>
      </c>
      <c r="X164" s="52">
        <f>IFERROR(IF(AND(AR165=AR164,AM164&lt;&gt;""),INDEX('Aub Demand'!Q:Q,MATCH($O164,'Aub Demand'!$A:$A,0))-IF(AN164="",0,AN164)+AP165+AD164+AL164,IF(AR165=AR164,INDEX('Aub Demand'!Q:Q,MATCH($O164,'Aub Demand'!$A:$A,0))-IF(AN164="",0,AN164)+AP165+AD164,IF(AM164&lt;&gt;"",INDEX('Aub Demand'!Q:Q,MATCH($O164,'Aub Demand'!$A:$A,0))-IF(AN164="",0,AN164)+AD164+AL164,INDEX('Aub Demand'!Q:Q,MATCH($O164,'Aub Demand'!$A:$A,0))-IF(AN164="",0,AN164)+AD164))),"")</f>
        <v>657</v>
      </c>
      <c r="Y164" s="53">
        <f t="shared" si="60"/>
        <v>58.7</v>
      </c>
      <c r="Z164" s="52">
        <f>IF(L164="","",INDEX('Aub Demand'!H:H,MATCH($O164,'Aub Demand'!$A:$A,0)))</f>
        <v>48</v>
      </c>
      <c r="AA164" s="52">
        <f t="shared" si="61"/>
        <v>66.5</v>
      </c>
      <c r="AB164" s="52">
        <f>IFERROR(INDEX('Aub Demand'!L:L,MATCH($O164,'Aub Demand'!$A:$A,0)),"")</f>
        <v>0</v>
      </c>
      <c r="AC164" s="52">
        <f>IFERROR(IF(O164="","",SUMIFS('CPL Mats'!F:F,'CPL Mats'!Q:Q,AR164,'CPL Mats'!S:S,AS164)),"")</f>
        <v>0</v>
      </c>
      <c r="AF164" s="25" t="str">
        <f>IF(SUMIFS('Supp Consol'!S:S,'Supp Consol'!Y:Y,"Releasable",'Supp Consol'!A:A,O164)=0,"",SUMIFS('Supp Consol'!S:S,'Supp Consol'!Y:Y,"Releasable",'Supp Consol'!A:A,O164))</f>
        <v/>
      </c>
      <c r="AG164" s="25">
        <f>IFERROR(INDEX('Hun Demand'!Q:Q,MATCH(O164,'Hun Demand'!A:A,0)),"")</f>
        <v>0</v>
      </c>
      <c r="AH164" s="25">
        <f>IFERROR(INDEX('Hun Demand'!H:H,MATCH($O164,'Hun Demand'!$A:$A,0)),"")</f>
        <v>38</v>
      </c>
      <c r="AI164" s="25" t="str">
        <f>IF(SUMIFS('Supp Consol'!AA:AA,'Supp Consol'!Z:Z,"Expires this month",'Supp Consol'!A:A,O164)=0,"",SUMIFS('Supp Consol'!AA:AA,'Supp Consol'!Z:Z,"Expires this month",'Supp Consol'!A:A,O164))</f>
        <v/>
      </c>
      <c r="AJ164" s="25" t="str">
        <f>IF(SUMIFS('Supp Consol'!AA:AA,'Supp Consol'!Z:Z,"Expired Previous Months",'Supp Consol'!A:A,O164)=0,"",SUMIFS('Supp Consol'!AA:AA,'Supp Consol'!Z:Z,"Expired Previous Months",'Supp Consol'!A:A,O164))</f>
        <v/>
      </c>
      <c r="AK164" s="25" t="str">
        <f>IFERROR(INDEX('Hun Release Current'!B:B,MATCH(O164,'Hun Release Current'!A:A,0)),"")</f>
        <v/>
      </c>
      <c r="AL164" s="25" t="str">
        <f>IF(SUMIF('Prev Aub'!A:A,O164,'Prev Aub'!B:B)=0,"",SUMIF('Prev Aub'!A:A,O164,'Prev Aub'!B:B))</f>
        <v/>
      </c>
      <c r="AN164" s="25" t="s">
        <v>3790</v>
      </c>
      <c r="AO164" s="25" t="s">
        <v>3790</v>
      </c>
      <c r="AP164" s="25">
        <f t="shared" si="62"/>
        <v>0</v>
      </c>
      <c r="AQ164" s="151" t="str">
        <f>IF(SUMIFS('Supp Consol'!S:S,'Supp Consol'!A:A,O164,'Supp Consol'!I:I,"PENDING")=0,"",SUMIFS('Supp Consol'!S:S,'Supp Consol'!A:A,O164,'Supp Consol'!I:I,"PENDING"))</f>
        <v/>
      </c>
      <c r="AR164" s="27" t="str">
        <f t="shared" si="63"/>
        <v>AG345</v>
      </c>
      <c r="AS164" s="27" t="str">
        <f t="shared" si="64"/>
        <v>62</v>
      </c>
      <c r="AT164" s="27" t="str">
        <f t="shared" si="65"/>
        <v/>
      </c>
      <c r="AU164" s="27" t="str">
        <f t="shared" si="66"/>
        <v/>
      </c>
      <c r="AV164" s="27" t="str">
        <f t="shared" si="67"/>
        <v/>
      </c>
      <c r="AW164" s="27" t="str">
        <f t="shared" si="68"/>
        <v/>
      </c>
      <c r="AX164" s="27" t="str">
        <f t="shared" si="69"/>
        <v/>
      </c>
      <c r="AY164" s="27" t="str">
        <f t="shared" si="70"/>
        <v/>
      </c>
      <c r="AZ164" s="27" t="str">
        <f t="shared" si="71"/>
        <v/>
      </c>
      <c r="BA164" s="27" t="str">
        <f t="shared" si="72"/>
        <v/>
      </c>
      <c r="BB164" s="27" t="str">
        <f t="shared" si="73"/>
        <v>Gross</v>
      </c>
      <c r="BC164" s="27" t="str">
        <f t="shared" si="74"/>
        <v>Net</v>
      </c>
      <c r="BD164" s="27" t="str">
        <f t="shared" si="75"/>
        <v>Net</v>
      </c>
      <c r="BE164" s="27" t="str">
        <f t="shared" si="76"/>
        <v/>
      </c>
      <c r="BF164" s="27" t="str">
        <f t="shared" si="77"/>
        <v/>
      </c>
      <c r="BG164" s="27" t="str">
        <f t="shared" si="78"/>
        <v/>
      </c>
      <c r="BH164" s="27" t="str">
        <f t="shared" si="79"/>
        <v/>
      </c>
      <c r="BI164" s="27" t="str">
        <f t="shared" si="80"/>
        <v/>
      </c>
      <c r="BJ164" s="27" t="str">
        <f t="shared" si="81"/>
        <v/>
      </c>
      <c r="BK164" s="27" t="str">
        <f t="shared" si="82"/>
        <v/>
      </c>
      <c r="BL164" s="27" t="str">
        <f t="shared" si="83"/>
        <v/>
      </c>
      <c r="BM164" s="21" t="s">
        <v>3790</v>
      </c>
    </row>
    <row r="165" spans="1:65" ht="15">
      <c r="A165" s="25" t="str">
        <f>IFERROR(INDEX('Hun Demand'!W:W,MATCH(O165,'Hun Demand'!A:A,0)),"")</f>
        <v/>
      </c>
      <c r="B165" s="25" t="str">
        <f>IFERROR(INDEX('Hun Demand'!V:V,MATCH(O165,'Hun Demand'!A:A,0)),"")</f>
        <v/>
      </c>
      <c r="C165" s="25" t="str">
        <f>IFERROR(INDEX('Hun Demand'!U:U,MATCH(O165,'Hun Demand'!A:A,0)),"")</f>
        <v/>
      </c>
      <c r="D165" s="25" t="str">
        <f>IFERROR(INDEX('Hun Demand'!T:T,MATCH(O165,'Hun Demand'!A:A,0)),"")</f>
        <v/>
      </c>
      <c r="E165" s="25" t="str">
        <f>IFERROR(INDEX('Hun Demand'!S:S,MATCH(O165,'Hun Demand'!A:A,0)),"")</f>
        <v/>
      </c>
      <c r="F165" s="25" t="str">
        <f>IFERROR(INDEX('Hun Demand'!R:R,MATCH(O165,'Hun Demand'!A:A,0)),"")</f>
        <v/>
      </c>
      <c r="G165" s="25">
        <f>IFERROR(INDEX('Aub Demand'!W:W,MATCH(O165,'Aub Demand'!A:A,0)),"")</f>
        <v>59</v>
      </c>
      <c r="H165" s="25">
        <f>IFERROR(INDEX('Aub Demand'!V:V,MATCH(O165,'Aub Demand'!A:A,0)),"")</f>
        <v>116</v>
      </c>
      <c r="I165" s="25">
        <f>IFERROR(INDEX('Aub Demand'!U:U,MATCH(O165,'Aub Demand'!A:A,0)),"")</f>
        <v>0</v>
      </c>
      <c r="J165" s="25">
        <f>IFERROR(INDEX('Aub Demand'!T:T,MATCH(O165,'Aub Demand'!A:A,0)),"")</f>
        <v>0</v>
      </c>
      <c r="K165" s="25">
        <f>IFERROR(INDEX('Aub Demand'!S:S,MATCH(O165,'Aub Demand'!A:A,0)),"")</f>
        <v>37</v>
      </c>
      <c r="L165" s="25">
        <f>IFERROR(INDEX('Aub Demand'!R:R,MATCH(O165,'Aub Demand'!A:A,0)),"")</f>
        <v>0</v>
      </c>
      <c r="O165" s="27" t="s">
        <v>350</v>
      </c>
      <c r="P165" s="27" t="str">
        <f>IFERROR(INDEX('Aub Demand'!B:B,MATCH($O165,'Aub Demand'!$A:$A,0)),"")</f>
        <v>GRAPHITE TALC</v>
      </c>
      <c r="Q165" s="27" t="str">
        <f>IFERROR(INDEX('Aub Demand'!C:C,MATCH($O165,'Aub Demand'!$A:$A,0)),"")</f>
        <v>TOPPA</v>
      </c>
      <c r="R165" s="52">
        <f>IFERROR(IF(AR166=AR165,INDEX('Aub Demand'!K:K,MATCH($O165,'Aub Demand'!$A:$A,0))-IF(AN165="",0,AN165)+AP166,INDEX('Aub Demand'!K:K,MATCH($O165,'Aub Demand'!$A:$A,0))-IF(AN165="",0,AN165)),"")</f>
        <v>1195</v>
      </c>
      <c r="S165" s="53">
        <f t="shared" si="56"/>
        <v>426.8</v>
      </c>
      <c r="T165" s="52" t="str">
        <f t="shared" si="57"/>
        <v/>
      </c>
      <c r="U165" s="52">
        <f>IFERROR(IF(AR166=AR165,INDEX('Aub Demand'!Q:Q,MATCH($O165,'Aub Demand'!$A:$A,0))-IF(AN165="",0,AN165)+AP166,INDEX('Aub Demand'!Q:Q,MATCH($O165,'Aub Demand'!$A:$A,0))-IF(AN165="",0,AN165)),"")</f>
        <v>1105</v>
      </c>
      <c r="V165" s="53">
        <f t="shared" si="58"/>
        <v>394.6</v>
      </c>
      <c r="W165" s="52" t="str">
        <f t="shared" si="59"/>
        <v/>
      </c>
      <c r="X165" s="52">
        <f>IFERROR(IF(AND(AR166=AR165,AM165&lt;&gt;""),INDEX('Aub Demand'!Q:Q,MATCH($O165,'Aub Demand'!$A:$A,0))-IF(AN165="",0,AN165)+AP166+AD165+AL165,IF(AR166=AR165,INDEX('Aub Demand'!Q:Q,MATCH($O165,'Aub Demand'!$A:$A,0))-IF(AN165="",0,AN165)+AP166+AD165,IF(AM165&lt;&gt;"",INDEX('Aub Demand'!Q:Q,MATCH($O165,'Aub Demand'!$A:$A,0))-IF(AN165="",0,AN165)+AD165+AL165,INDEX('Aub Demand'!Q:Q,MATCH($O165,'Aub Demand'!$A:$A,0))-IF(AN165="",0,AN165)+AD165))),"")</f>
        <v>1105</v>
      </c>
      <c r="Y165" s="53">
        <f t="shared" si="60"/>
        <v>394.6</v>
      </c>
      <c r="Z165" s="52">
        <f>IF(L165="","",INDEX('Aub Demand'!H:H,MATCH($O165,'Aub Demand'!$A:$A,0)))</f>
        <v>12</v>
      </c>
      <c r="AA165" s="52" t="str">
        <f t="shared" si="61"/>
        <v>-spike-</v>
      </c>
      <c r="AB165" s="52">
        <f>IFERROR(INDEX('Aub Demand'!L:L,MATCH($O165,'Aub Demand'!$A:$A,0)),"")</f>
        <v>123</v>
      </c>
      <c r="AC165" s="52">
        <f>IFERROR(IF(O165="","",SUMIFS('CPL Mats'!F:F,'CPL Mats'!Q:Q,AR165,'CPL Mats'!S:S,AS165)),"")</f>
        <v>0</v>
      </c>
      <c r="AF165" s="25" t="str">
        <f>IF(SUMIFS('Supp Consol'!S:S,'Supp Consol'!Y:Y,"Releasable",'Supp Consol'!A:A,O165)=0,"",SUMIFS('Supp Consol'!S:S,'Supp Consol'!Y:Y,"Releasable",'Supp Consol'!A:A,O165))</f>
        <v/>
      </c>
      <c r="AG165" s="25" t="str">
        <f>IFERROR(INDEX('Hun Demand'!Q:Q,MATCH(O165,'Hun Demand'!A:A,0)),"")</f>
        <v/>
      </c>
      <c r="AH165" s="25" t="str">
        <f>IFERROR(INDEX('Hun Demand'!H:H,MATCH($O165,'Hun Demand'!$A:$A,0)),"")</f>
        <v/>
      </c>
      <c r="AI165" s="25" t="str">
        <f>IF(SUMIFS('Supp Consol'!AA:AA,'Supp Consol'!Z:Z,"Expires this month",'Supp Consol'!A:A,O165)=0,"",SUMIFS('Supp Consol'!AA:AA,'Supp Consol'!Z:Z,"Expires this month",'Supp Consol'!A:A,O165))</f>
        <v/>
      </c>
      <c r="AJ165" s="25" t="str">
        <f>IF(SUMIFS('Supp Consol'!AA:AA,'Supp Consol'!Z:Z,"Expired Previous Months",'Supp Consol'!A:A,O165)=0,"",SUMIFS('Supp Consol'!AA:AA,'Supp Consol'!Z:Z,"Expired Previous Months",'Supp Consol'!A:A,O165))</f>
        <v/>
      </c>
      <c r="AK165" s="25" t="str">
        <f>IFERROR(INDEX('Hun Release Current'!B:B,MATCH(O165,'Hun Release Current'!A:A,0)),"")</f>
        <v/>
      </c>
      <c r="AL165" s="25" t="str">
        <f>IF(SUMIF('Prev Aub'!A:A,O165,'Prev Aub'!B:B)=0,"",SUMIF('Prev Aub'!A:A,O165,'Prev Aub'!B:B))</f>
        <v/>
      </c>
      <c r="AN165" s="25" t="s">
        <v>3790</v>
      </c>
      <c r="AO165" s="25" t="s">
        <v>3790</v>
      </c>
      <c r="AP165" s="25">
        <f t="shared" si="62"/>
        <v>0</v>
      </c>
      <c r="AQ165" s="151" t="str">
        <f>IF(SUMIFS('Supp Consol'!S:S,'Supp Consol'!A:A,O165,'Supp Consol'!I:I,"PENDING")=0,"",SUMIFS('Supp Consol'!S:S,'Supp Consol'!A:A,O165,'Supp Consol'!I:I,"PENDING"))</f>
        <v/>
      </c>
      <c r="AR165" s="27" t="str">
        <f t="shared" si="63"/>
        <v>AG361</v>
      </c>
      <c r="AS165" s="27" t="str">
        <f t="shared" si="64"/>
        <v>50</v>
      </c>
      <c r="AT165" s="27" t="str">
        <f t="shared" si="65"/>
        <v/>
      </c>
      <c r="AU165" s="27" t="str">
        <f t="shared" si="66"/>
        <v/>
      </c>
      <c r="AV165" s="27" t="str">
        <f t="shared" si="67"/>
        <v/>
      </c>
      <c r="AW165" s="27" t="str">
        <f t="shared" si="68"/>
        <v/>
      </c>
      <c r="AX165" s="27" t="str">
        <f t="shared" si="69"/>
        <v/>
      </c>
      <c r="AY165" s="27" t="str">
        <f t="shared" si="70"/>
        <v/>
      </c>
      <c r="AZ165" s="27" t="str">
        <f t="shared" si="71"/>
        <v>Supp</v>
      </c>
      <c r="BA165" s="27" t="str">
        <f t="shared" si="72"/>
        <v/>
      </c>
      <c r="BB165" s="27" t="str">
        <f t="shared" si="73"/>
        <v/>
      </c>
      <c r="BC165" s="27" t="str">
        <f t="shared" si="74"/>
        <v/>
      </c>
      <c r="BD165" s="27" t="str">
        <f t="shared" si="75"/>
        <v/>
      </c>
      <c r="BE165" s="27" t="str">
        <f t="shared" si="76"/>
        <v/>
      </c>
      <c r="BF165" s="27" t="str">
        <f t="shared" si="77"/>
        <v/>
      </c>
      <c r="BG165" s="27" t="str">
        <f t="shared" si="78"/>
        <v/>
      </c>
      <c r="BH165" s="27" t="str">
        <f t="shared" si="79"/>
        <v/>
      </c>
      <c r="BI165" s="27" t="str">
        <f t="shared" si="80"/>
        <v/>
      </c>
      <c r="BJ165" s="27" t="str">
        <f t="shared" si="81"/>
        <v>Supp or Hun</v>
      </c>
      <c r="BK165" s="27" t="str">
        <f t="shared" si="82"/>
        <v/>
      </c>
      <c r="BL165" s="27" t="str">
        <f t="shared" si="83"/>
        <v/>
      </c>
      <c r="BM165" s="21" t="s">
        <v>5581</v>
      </c>
    </row>
    <row r="166" spans="1:65" ht="15">
      <c r="A166" s="25" t="str">
        <f>IFERROR(INDEX('Hun Demand'!W:W,MATCH(O166,'Hun Demand'!A:A,0)),"")</f>
        <v/>
      </c>
      <c r="B166" s="25" t="str">
        <f>IFERROR(INDEX('Hun Demand'!V:V,MATCH(O166,'Hun Demand'!A:A,0)),"")</f>
        <v/>
      </c>
      <c r="C166" s="25" t="str">
        <f>IFERROR(INDEX('Hun Demand'!U:U,MATCH(O166,'Hun Demand'!A:A,0)),"")</f>
        <v/>
      </c>
      <c r="D166" s="25" t="str">
        <f>IFERROR(INDEX('Hun Demand'!T:T,MATCH(O166,'Hun Demand'!A:A,0)),"")</f>
        <v/>
      </c>
      <c r="E166" s="25" t="str">
        <f>IFERROR(INDEX('Hun Demand'!S:S,MATCH(O166,'Hun Demand'!A:A,0)),"")</f>
        <v/>
      </c>
      <c r="F166" s="25" t="str">
        <f>IFERROR(INDEX('Hun Demand'!R:R,MATCH(O166,'Hun Demand'!A:A,0)),"")</f>
        <v/>
      </c>
      <c r="G166" s="25">
        <f>IFERROR(INDEX('Aub Demand'!W:W,MATCH(O166,'Aub Demand'!A:A,0)),"")</f>
        <v>247</v>
      </c>
      <c r="H166" s="25">
        <f>IFERROR(INDEX('Aub Demand'!V:V,MATCH(O166,'Aub Demand'!A:A,0)),"")</f>
        <v>49</v>
      </c>
      <c r="I166" s="25">
        <f>IFERROR(INDEX('Aub Demand'!U:U,MATCH(O166,'Aub Demand'!A:A,0)),"")</f>
        <v>130</v>
      </c>
      <c r="J166" s="25">
        <f>IFERROR(INDEX('Aub Demand'!T:T,MATCH(O166,'Aub Demand'!A:A,0)),"")</f>
        <v>86</v>
      </c>
      <c r="K166" s="25">
        <f>IFERROR(INDEX('Aub Demand'!S:S,MATCH(O166,'Aub Demand'!A:A,0)),"")</f>
        <v>108</v>
      </c>
      <c r="L166" s="25">
        <f>IFERROR(INDEX('Aub Demand'!R:R,MATCH(O166,'Aub Demand'!A:A,0)),"")</f>
        <v>0</v>
      </c>
      <c r="O166" s="27" t="s">
        <v>352</v>
      </c>
      <c r="P166" s="27" t="str">
        <f>IFERROR(INDEX('Aub Demand'!B:B,MATCH($O166,'Aub Demand'!$A:$A,0)),"")</f>
        <v>GRAPHITE TALC</v>
      </c>
      <c r="Q166" s="27" t="str">
        <f>IFERROR(INDEX('Aub Demand'!C:C,MATCH($O166,'Aub Demand'!$A:$A,0)),"")</f>
        <v>TOPPA</v>
      </c>
      <c r="R166" s="52">
        <f>IFERROR(IF(AR167=AR166,INDEX('Aub Demand'!K:K,MATCH($O166,'Aub Demand'!$A:$A,0))-IF(AN166="",0,AN166)+AP167,INDEX('Aub Demand'!K:K,MATCH($O166,'Aub Demand'!$A:$A,0))-IF(AN166="",0,AN166)),"")</f>
        <v>247</v>
      </c>
      <c r="S166" s="53">
        <f t="shared" si="56"/>
        <v>9.8000000000000007</v>
      </c>
      <c r="T166" s="52" t="str">
        <f t="shared" si="57"/>
        <v/>
      </c>
      <c r="U166" s="52">
        <f>IFERROR(IF(AR167=AR166,INDEX('Aub Demand'!Q:Q,MATCH($O166,'Aub Demand'!$A:$A,0))-IF(AN166="",0,AN166)+AP167,INDEX('Aub Demand'!Q:Q,MATCH($O166,'Aub Demand'!$A:$A,0))-IF(AN166="",0,AN166)),"")</f>
        <v>3</v>
      </c>
      <c r="V166" s="53">
        <f t="shared" si="58"/>
        <v>0.1</v>
      </c>
      <c r="W166" s="52">
        <f t="shared" si="59"/>
        <v>86.274999999999991</v>
      </c>
      <c r="X166" s="52">
        <f>IFERROR(IF(AND(AR167=AR166,AM166&lt;&gt;""),INDEX('Aub Demand'!Q:Q,MATCH($O166,'Aub Demand'!$A:$A,0))-IF(AN166="",0,AN166)+AP167+AD166+AL166,IF(AR167=AR166,INDEX('Aub Demand'!Q:Q,MATCH($O166,'Aub Demand'!$A:$A,0))-IF(AN166="",0,AN166)+AP167+AD166,IF(AM166&lt;&gt;"",INDEX('Aub Demand'!Q:Q,MATCH($O166,'Aub Demand'!$A:$A,0))-IF(AN166="",0,AN166)+AD166+AL166,INDEX('Aub Demand'!Q:Q,MATCH($O166,'Aub Demand'!$A:$A,0))-IF(AN166="",0,AN166)+AD166))),"")</f>
        <v>503</v>
      </c>
      <c r="Y166" s="53">
        <f t="shared" si="60"/>
        <v>20</v>
      </c>
      <c r="Z166" s="52">
        <f>IF(L166="","",INDEX('Aub Demand'!H:H,MATCH($O166,'Aub Demand'!$A:$A,0)))</f>
        <v>108</v>
      </c>
      <c r="AA166" s="52">
        <f t="shared" si="61"/>
        <v>119</v>
      </c>
      <c r="AB166" s="52">
        <f>IFERROR(INDEX('Aub Demand'!L:L,MATCH($O166,'Aub Demand'!$A:$A,0)),"")</f>
        <v>77</v>
      </c>
      <c r="AC166" s="52">
        <f>IFERROR(IF(O166="","",SUMIFS('CPL Mats'!F:F,'CPL Mats'!Q:Q,AR166,'CPL Mats'!S:S,AS166)),"")</f>
        <v>0</v>
      </c>
      <c r="AD166" s="25">
        <v>500</v>
      </c>
      <c r="AE166" s="52" t="s">
        <v>5583</v>
      </c>
      <c r="AF166" s="25">
        <f>IF(SUMIFS('Supp Consol'!S:S,'Supp Consol'!Y:Y,"Releasable",'Supp Consol'!A:A,O166)=0,"",SUMIFS('Supp Consol'!S:S,'Supp Consol'!Y:Y,"Releasable",'Supp Consol'!A:A,O166))</f>
        <v>3001</v>
      </c>
      <c r="AG166" s="25" t="str">
        <f>IFERROR(INDEX('Hun Demand'!Q:Q,MATCH(O166,'Hun Demand'!A:A,0)),"")</f>
        <v/>
      </c>
      <c r="AH166" s="25" t="str">
        <f>IFERROR(INDEX('Hun Demand'!H:H,MATCH($O166,'Hun Demand'!$A:$A,0)),"")</f>
        <v/>
      </c>
      <c r="AI166" s="25" t="str">
        <f>IF(SUMIFS('Supp Consol'!AA:AA,'Supp Consol'!Z:Z,"Expires this month",'Supp Consol'!A:A,O166)=0,"",SUMIFS('Supp Consol'!AA:AA,'Supp Consol'!Z:Z,"Expires this month",'Supp Consol'!A:A,O166))</f>
        <v/>
      </c>
      <c r="AJ166" s="25" t="str">
        <f>IF(SUMIFS('Supp Consol'!AA:AA,'Supp Consol'!Z:Z,"Expired Previous Months",'Supp Consol'!A:A,O166)=0,"",SUMIFS('Supp Consol'!AA:AA,'Supp Consol'!Z:Z,"Expired Previous Months",'Supp Consol'!A:A,O166))</f>
        <v/>
      </c>
      <c r="AK166" s="25" t="str">
        <f>IFERROR(INDEX('Hun Release Current'!B:B,MATCH(O166,'Hun Release Current'!A:A,0)),"")</f>
        <v/>
      </c>
      <c r="AL166" s="25" t="str">
        <f>IF(SUMIF('Prev Aub'!A:A,O166,'Prev Aub'!B:B)=0,"",SUMIF('Prev Aub'!A:A,O166,'Prev Aub'!B:B))</f>
        <v/>
      </c>
      <c r="AN166" s="25" t="s">
        <v>3790</v>
      </c>
      <c r="AO166" s="25" t="s">
        <v>3790</v>
      </c>
      <c r="AP166" s="25">
        <f t="shared" si="62"/>
        <v>0</v>
      </c>
      <c r="AQ166" s="151" t="str">
        <f>IF(SUMIFS('Supp Consol'!S:S,'Supp Consol'!A:A,O166,'Supp Consol'!I:I,"PENDING")=0,"",SUMIFS('Supp Consol'!S:S,'Supp Consol'!A:A,O166,'Supp Consol'!I:I,"PENDING"))</f>
        <v/>
      </c>
      <c r="AR166" s="27" t="str">
        <f t="shared" si="63"/>
        <v>AG361</v>
      </c>
      <c r="AS166" s="27" t="str">
        <f t="shared" si="64"/>
        <v>62</v>
      </c>
      <c r="AT166" s="27" t="str">
        <f t="shared" si="65"/>
        <v/>
      </c>
      <c r="AU166" s="27" t="str">
        <f t="shared" si="66"/>
        <v/>
      </c>
      <c r="AV166" s="27" t="str">
        <f t="shared" si="67"/>
        <v/>
      </c>
      <c r="AW166" s="27" t="str">
        <f t="shared" si="68"/>
        <v/>
      </c>
      <c r="AX166" s="27" t="str">
        <f t="shared" si="69"/>
        <v>AG361</v>
      </c>
      <c r="AY166" s="27" t="str">
        <f t="shared" si="70"/>
        <v/>
      </c>
      <c r="AZ166" s="27" t="str">
        <f t="shared" si="71"/>
        <v>Supp</v>
      </c>
      <c r="BA166" s="27" t="str">
        <f t="shared" si="72"/>
        <v/>
      </c>
      <c r="BB166" s="27" t="str">
        <f t="shared" si="73"/>
        <v/>
      </c>
      <c r="BC166" s="27" t="str">
        <f t="shared" si="74"/>
        <v/>
      </c>
      <c r="BD166" s="27" t="str">
        <f t="shared" si="75"/>
        <v/>
      </c>
      <c r="BE166" s="27" t="str">
        <f t="shared" si="76"/>
        <v/>
      </c>
      <c r="BF166" s="27" t="str">
        <f t="shared" si="77"/>
        <v/>
      </c>
      <c r="BG166" s="27" t="str">
        <f t="shared" si="78"/>
        <v/>
      </c>
      <c r="BH166" s="27" t="str">
        <f t="shared" si="79"/>
        <v/>
      </c>
      <c r="BI166" s="27" t="str">
        <f t="shared" si="80"/>
        <v/>
      </c>
      <c r="BJ166" s="27" t="str">
        <f t="shared" si="81"/>
        <v>Supp or Hun</v>
      </c>
      <c r="BK166" s="27" t="str">
        <f t="shared" si="82"/>
        <v/>
      </c>
      <c r="BL166" s="27" t="str">
        <f t="shared" si="83"/>
        <v/>
      </c>
      <c r="BM166" s="21" t="s">
        <v>5581</v>
      </c>
    </row>
    <row r="167" spans="1:65" ht="15">
      <c r="A167" s="25" t="str">
        <f>IFERROR(INDEX('Hun Demand'!W:W,MATCH(O167,'Hun Demand'!A:A,0)),"")</f>
        <v/>
      </c>
      <c r="B167" s="25" t="str">
        <f>IFERROR(INDEX('Hun Demand'!V:V,MATCH(O167,'Hun Demand'!A:A,0)),"")</f>
        <v/>
      </c>
      <c r="C167" s="25" t="str">
        <f>IFERROR(INDEX('Hun Demand'!U:U,MATCH(O167,'Hun Demand'!A:A,0)),"")</f>
        <v/>
      </c>
      <c r="D167" s="25" t="str">
        <f>IFERROR(INDEX('Hun Demand'!T:T,MATCH(O167,'Hun Demand'!A:A,0)),"")</f>
        <v/>
      </c>
      <c r="E167" s="25" t="str">
        <f>IFERROR(INDEX('Hun Demand'!S:S,MATCH(O167,'Hun Demand'!A:A,0)),"")</f>
        <v/>
      </c>
      <c r="F167" s="25" t="str">
        <f>IFERROR(INDEX('Hun Demand'!R:R,MATCH(O167,'Hun Demand'!A:A,0)),"")</f>
        <v/>
      </c>
      <c r="G167" s="25">
        <f>IFERROR(INDEX('Aub Demand'!W:W,MATCH(O167,'Aub Demand'!A:A,0)),"")</f>
        <v>68</v>
      </c>
      <c r="H167" s="25">
        <f>IFERROR(INDEX('Aub Demand'!V:V,MATCH(O167,'Aub Demand'!A:A,0)),"")</f>
        <v>0</v>
      </c>
      <c r="I167" s="25">
        <f>IFERROR(INDEX('Aub Demand'!U:U,MATCH(O167,'Aub Demand'!A:A,0)),"")</f>
        <v>57</v>
      </c>
      <c r="J167" s="25">
        <f>IFERROR(INDEX('Aub Demand'!T:T,MATCH(O167,'Aub Demand'!A:A,0)),"")</f>
        <v>0</v>
      </c>
      <c r="K167" s="25">
        <f>IFERROR(INDEX('Aub Demand'!S:S,MATCH(O167,'Aub Demand'!A:A,0)),"")</f>
        <v>0</v>
      </c>
      <c r="L167" s="25">
        <f>IFERROR(INDEX('Aub Demand'!R:R,MATCH(O167,'Aub Demand'!A:A,0)),"")</f>
        <v>0</v>
      </c>
      <c r="O167" s="27" t="s">
        <v>353</v>
      </c>
      <c r="P167" s="27" t="str">
        <f>IFERROR(INDEX('Aub Demand'!B:B,MATCH($O167,'Aub Demand'!$A:$A,0)),"")</f>
        <v>CARDAMOM FIBER</v>
      </c>
      <c r="Q167" s="27" t="str">
        <f>IFERROR(INDEX('Aub Demand'!C:C,MATCH($O167,'Aub Demand'!$A:$A,0)),"")</f>
        <v>SUDDE</v>
      </c>
      <c r="R167" s="52">
        <f>IFERROR(IF(AR168=AR167,INDEX('Aub Demand'!K:K,MATCH($O167,'Aub Demand'!$A:$A,0))-IF(AN167="",0,AN167)+AP168,INDEX('Aub Demand'!K:K,MATCH($O167,'Aub Demand'!$A:$A,0))-IF(AN167="",0,AN167)),"")</f>
        <v>1868</v>
      </c>
      <c r="S167" s="53">
        <f t="shared" si="56"/>
        <v>421.4</v>
      </c>
      <c r="T167" s="52" t="str">
        <f t="shared" si="57"/>
        <v/>
      </c>
      <c r="U167" s="52">
        <f>IFERROR(IF(AR168=AR167,INDEX('Aub Demand'!Q:Q,MATCH($O167,'Aub Demand'!$A:$A,0))-IF(AN167="",0,AN167)+AP168,INDEX('Aub Demand'!Q:Q,MATCH($O167,'Aub Demand'!$A:$A,0))-IF(AN167="",0,AN167)),"")</f>
        <v>1868</v>
      </c>
      <c r="V167" s="53">
        <f t="shared" si="58"/>
        <v>421.4</v>
      </c>
      <c r="W167" s="52" t="str">
        <f t="shared" si="59"/>
        <v/>
      </c>
      <c r="X167" s="52">
        <f>IFERROR(IF(AND(AR168=AR167,AM167&lt;&gt;""),INDEX('Aub Demand'!Q:Q,MATCH($O167,'Aub Demand'!$A:$A,0))-IF(AN167="",0,AN167)+AP168+AD167+AL167,IF(AR168=AR167,INDEX('Aub Demand'!Q:Q,MATCH($O167,'Aub Demand'!$A:$A,0))-IF(AN167="",0,AN167)+AP168+AD167,IF(AM167&lt;&gt;"",INDEX('Aub Demand'!Q:Q,MATCH($O167,'Aub Demand'!$A:$A,0))-IF(AN167="",0,AN167)+AD167+AL167,INDEX('Aub Demand'!Q:Q,MATCH($O167,'Aub Demand'!$A:$A,0))-IF(AN167="",0,AN167)+AD167))),"")</f>
        <v>1868</v>
      </c>
      <c r="Y167" s="53">
        <f t="shared" si="60"/>
        <v>421.4</v>
      </c>
      <c r="Z167" s="52">
        <f>IF(L167="","",INDEX('Aub Demand'!H:H,MATCH($O167,'Aub Demand'!$A:$A,0)))</f>
        <v>19</v>
      </c>
      <c r="AA167" s="52" t="str">
        <f t="shared" si="61"/>
        <v>-spike-</v>
      </c>
      <c r="AB167" s="52">
        <f>IFERROR(INDEX('Aub Demand'!L:L,MATCH($O167,'Aub Demand'!$A:$A,0)),"")</f>
        <v>33</v>
      </c>
      <c r="AC167" s="52">
        <f>IFERROR(IF(O167="","",SUMIFS('CPL Mats'!F:F,'CPL Mats'!Q:Q,AR167,'CPL Mats'!S:S,AS167)),"")</f>
        <v>0</v>
      </c>
      <c r="AF167" s="25" t="str">
        <f>IF(SUMIFS('Supp Consol'!S:S,'Supp Consol'!Y:Y,"Releasable",'Supp Consol'!A:A,O167)=0,"",SUMIFS('Supp Consol'!S:S,'Supp Consol'!Y:Y,"Releasable",'Supp Consol'!A:A,O167))</f>
        <v/>
      </c>
      <c r="AG167" s="25" t="str">
        <f>IFERROR(INDEX('Hun Demand'!Q:Q,MATCH(O167,'Hun Demand'!A:A,0)),"")</f>
        <v/>
      </c>
      <c r="AH167" s="25" t="str">
        <f>IFERROR(INDEX('Hun Demand'!H:H,MATCH($O167,'Hun Demand'!$A:$A,0)),"")</f>
        <v/>
      </c>
      <c r="AI167" s="25" t="str">
        <f>IF(SUMIFS('Supp Consol'!AA:AA,'Supp Consol'!Z:Z,"Expires this month",'Supp Consol'!A:A,O167)=0,"",SUMIFS('Supp Consol'!AA:AA,'Supp Consol'!Z:Z,"Expires this month",'Supp Consol'!A:A,O167))</f>
        <v/>
      </c>
      <c r="AJ167" s="25" t="str">
        <f>IF(SUMIFS('Supp Consol'!AA:AA,'Supp Consol'!Z:Z,"Expired Previous Months",'Supp Consol'!A:A,O167)=0,"",SUMIFS('Supp Consol'!AA:AA,'Supp Consol'!Z:Z,"Expired Previous Months",'Supp Consol'!A:A,O167))</f>
        <v/>
      </c>
      <c r="AK167" s="25" t="str">
        <f>IFERROR(INDEX('Hun Release Current'!B:B,MATCH(O167,'Hun Release Current'!A:A,0)),"")</f>
        <v/>
      </c>
      <c r="AL167" s="25" t="str">
        <f>IF(SUMIF('Prev Aub'!A:A,O167,'Prev Aub'!B:B)=0,"",SUMIF('Prev Aub'!A:A,O167,'Prev Aub'!B:B))</f>
        <v/>
      </c>
      <c r="AN167" s="25" t="s">
        <v>3790</v>
      </c>
      <c r="AO167" s="25" t="s">
        <v>3790</v>
      </c>
      <c r="AP167" s="25">
        <f t="shared" si="62"/>
        <v>0</v>
      </c>
      <c r="AQ167" s="151" t="str">
        <f>IF(SUMIFS('Supp Consol'!S:S,'Supp Consol'!A:A,O167,'Supp Consol'!I:I,"PENDING")=0,"",SUMIFS('Supp Consol'!S:S,'Supp Consol'!A:A,O167,'Supp Consol'!I:I,"PENDING"))</f>
        <v/>
      </c>
      <c r="AR167" s="27" t="str">
        <f t="shared" si="63"/>
        <v>AG371</v>
      </c>
      <c r="AS167" s="27" t="str">
        <f t="shared" si="64"/>
        <v>50</v>
      </c>
      <c r="AT167" s="27" t="str">
        <f t="shared" si="65"/>
        <v/>
      </c>
      <c r="AU167" s="27" t="str">
        <f t="shared" si="66"/>
        <v/>
      </c>
      <c r="AV167" s="27" t="str">
        <f t="shared" si="67"/>
        <v/>
      </c>
      <c r="AW167" s="27" t="str">
        <f t="shared" si="68"/>
        <v/>
      </c>
      <c r="AX167" s="27" t="str">
        <f t="shared" si="69"/>
        <v/>
      </c>
      <c r="AY167" s="27" t="str">
        <f t="shared" si="70"/>
        <v/>
      </c>
      <c r="AZ167" s="27" t="str">
        <f t="shared" si="71"/>
        <v/>
      </c>
      <c r="BA167" s="27" t="str">
        <f t="shared" si="72"/>
        <v/>
      </c>
      <c r="BB167" s="27" t="str">
        <f t="shared" si="73"/>
        <v/>
      </c>
      <c r="BC167" s="27" t="str">
        <f t="shared" si="74"/>
        <v/>
      </c>
      <c r="BD167" s="27" t="str">
        <f t="shared" si="75"/>
        <v/>
      </c>
      <c r="BE167" s="27" t="str">
        <f t="shared" si="76"/>
        <v/>
      </c>
      <c r="BF167" s="27" t="str">
        <f t="shared" si="77"/>
        <v/>
      </c>
      <c r="BG167" s="27" t="str">
        <f t="shared" si="78"/>
        <v/>
      </c>
      <c r="BH167" s="27" t="str">
        <f t="shared" si="79"/>
        <v/>
      </c>
      <c r="BI167" s="27" t="str">
        <f t="shared" si="80"/>
        <v/>
      </c>
      <c r="BJ167" s="27" t="str">
        <f t="shared" si="81"/>
        <v/>
      </c>
      <c r="BK167" s="27" t="str">
        <f t="shared" si="82"/>
        <v/>
      </c>
      <c r="BL167" s="27" t="str">
        <f t="shared" si="83"/>
        <v/>
      </c>
      <c r="BM167" s="21" t="s">
        <v>5581</v>
      </c>
    </row>
    <row r="168" spans="1:65" ht="15">
      <c r="A168" s="25" t="str">
        <f>IFERROR(INDEX('Hun Demand'!W:W,MATCH(O168,'Hun Demand'!A:A,0)),"")</f>
        <v/>
      </c>
      <c r="B168" s="25" t="str">
        <f>IFERROR(INDEX('Hun Demand'!V:V,MATCH(O168,'Hun Demand'!A:A,0)),"")</f>
        <v/>
      </c>
      <c r="C168" s="25" t="str">
        <f>IFERROR(INDEX('Hun Demand'!U:U,MATCH(O168,'Hun Demand'!A:A,0)),"")</f>
        <v/>
      </c>
      <c r="D168" s="25" t="str">
        <f>IFERROR(INDEX('Hun Demand'!T:T,MATCH(O168,'Hun Demand'!A:A,0)),"")</f>
        <v/>
      </c>
      <c r="E168" s="25" t="str">
        <f>IFERROR(INDEX('Hun Demand'!S:S,MATCH(O168,'Hun Demand'!A:A,0)),"")</f>
        <v/>
      </c>
      <c r="F168" s="25" t="str">
        <f>IFERROR(INDEX('Hun Demand'!R:R,MATCH(O168,'Hun Demand'!A:A,0)),"")</f>
        <v/>
      </c>
      <c r="G168" s="25">
        <f>IFERROR(INDEX('Aub Demand'!W:W,MATCH(O168,'Aub Demand'!A:A,0)),"")</f>
        <v>0</v>
      </c>
      <c r="H168" s="25">
        <f>IFERROR(INDEX('Aub Demand'!V:V,MATCH(O168,'Aub Demand'!A:A,0)),"")</f>
        <v>0</v>
      </c>
      <c r="I168" s="25">
        <f>IFERROR(INDEX('Aub Demand'!U:U,MATCH(O168,'Aub Demand'!A:A,0)),"")</f>
        <v>606</v>
      </c>
      <c r="J168" s="25">
        <f>IFERROR(INDEX('Aub Demand'!T:T,MATCH(O168,'Aub Demand'!A:A,0)),"")</f>
        <v>0</v>
      </c>
      <c r="K168" s="25">
        <f>IFERROR(INDEX('Aub Demand'!S:S,MATCH(O168,'Aub Demand'!A:A,0)),"")</f>
        <v>4</v>
      </c>
      <c r="L168" s="25">
        <f>IFERROR(INDEX('Aub Demand'!R:R,MATCH(O168,'Aub Demand'!A:A,0)),"")</f>
        <v>0</v>
      </c>
      <c r="O168" s="27" t="s">
        <v>355</v>
      </c>
      <c r="P168" s="27" t="str">
        <f>IFERROR(INDEX('Aub Demand'!B:B,MATCH($O168,'Aub Demand'!$A:$A,0)),"")</f>
        <v>CARDAMOM FIBER</v>
      </c>
      <c r="Q168" s="27" t="str">
        <f>IFERROR(INDEX('Aub Demand'!C:C,MATCH($O168,'Aub Demand'!$A:$A,0)),"")</f>
        <v>SUDDE</v>
      </c>
      <c r="R168" s="52">
        <f>IFERROR(IF(AR169=AR168,INDEX('Aub Demand'!K:K,MATCH($O168,'Aub Demand'!$A:$A,0))-IF(AN168="",0,AN168)+AP169,INDEX('Aub Demand'!K:K,MATCH($O168,'Aub Demand'!$A:$A,0))-IF(AN168="",0,AN168)),"")</f>
        <v>1046</v>
      </c>
      <c r="S168" s="53">
        <f t="shared" si="56"/>
        <v>22.1</v>
      </c>
      <c r="T168" s="52" t="str">
        <f t="shared" si="57"/>
        <v/>
      </c>
      <c r="U168" s="52">
        <f>IFERROR(IF(AR169=AR168,INDEX('Aub Demand'!Q:Q,MATCH($O168,'Aub Demand'!$A:$A,0))-IF(AN168="",0,AN168)+AP169,INDEX('Aub Demand'!Q:Q,MATCH($O168,'Aub Demand'!$A:$A,0))-IF(AN168="",0,AN168)),"")</f>
        <v>1046</v>
      </c>
      <c r="V168" s="53">
        <f t="shared" si="58"/>
        <v>22.1</v>
      </c>
      <c r="W168" s="52" t="str">
        <f t="shared" si="59"/>
        <v/>
      </c>
      <c r="X168" s="52">
        <f>IFERROR(IF(AND(AR169=AR168,AM168&lt;&gt;""),INDEX('Aub Demand'!Q:Q,MATCH($O168,'Aub Demand'!$A:$A,0))-IF(AN168="",0,AN168)+AP169+AD168+AL168,IF(AR169=AR168,INDEX('Aub Demand'!Q:Q,MATCH($O168,'Aub Demand'!$A:$A,0))-IF(AN168="",0,AN168)+AP169+AD168,IF(AM168&lt;&gt;"",INDEX('Aub Demand'!Q:Q,MATCH($O168,'Aub Demand'!$A:$A,0))-IF(AN168="",0,AN168)+AD168+AL168,INDEX('Aub Demand'!Q:Q,MATCH($O168,'Aub Demand'!$A:$A,0))-IF(AN168="",0,AN168)+AD168))),"")</f>
        <v>1046</v>
      </c>
      <c r="Y168" s="53">
        <f t="shared" si="60"/>
        <v>22.1</v>
      </c>
      <c r="Z168" s="52">
        <f>IF(L168="","",INDEX('Aub Demand'!H:H,MATCH($O168,'Aub Demand'!$A:$A,0)))</f>
        <v>203</v>
      </c>
      <c r="AA168" s="52">
        <f t="shared" si="61"/>
        <v>305</v>
      </c>
      <c r="AB168" s="52">
        <f>IFERROR(INDEX('Aub Demand'!L:L,MATCH($O168,'Aub Demand'!$A:$A,0)),"")</f>
        <v>0</v>
      </c>
      <c r="AC168" s="52">
        <f>IFERROR(IF(O168="","",SUMIFS('CPL Mats'!F:F,'CPL Mats'!Q:Q,AR168,'CPL Mats'!S:S,AS168)),"")</f>
        <v>0</v>
      </c>
      <c r="AF168" s="25" t="str">
        <f>IF(SUMIFS('Supp Consol'!S:S,'Supp Consol'!Y:Y,"Releasable",'Supp Consol'!A:A,O168)=0,"",SUMIFS('Supp Consol'!S:S,'Supp Consol'!Y:Y,"Releasable",'Supp Consol'!A:A,O168))</f>
        <v/>
      </c>
      <c r="AG168" s="25" t="str">
        <f>IFERROR(INDEX('Hun Demand'!Q:Q,MATCH(O168,'Hun Demand'!A:A,0)),"")</f>
        <v/>
      </c>
      <c r="AH168" s="25" t="str">
        <f>IFERROR(INDEX('Hun Demand'!H:H,MATCH($O168,'Hun Demand'!$A:$A,0)),"")</f>
        <v/>
      </c>
      <c r="AI168" s="25" t="str">
        <f>IF(SUMIFS('Supp Consol'!AA:AA,'Supp Consol'!Z:Z,"Expires this month",'Supp Consol'!A:A,O168)=0,"",SUMIFS('Supp Consol'!AA:AA,'Supp Consol'!Z:Z,"Expires this month",'Supp Consol'!A:A,O168))</f>
        <v/>
      </c>
      <c r="AJ168" s="25" t="str">
        <f>IF(SUMIFS('Supp Consol'!AA:AA,'Supp Consol'!Z:Z,"Expired Previous Months",'Supp Consol'!A:A,O168)=0,"",SUMIFS('Supp Consol'!AA:AA,'Supp Consol'!Z:Z,"Expired Previous Months",'Supp Consol'!A:A,O168))</f>
        <v/>
      </c>
      <c r="AK168" s="25" t="str">
        <f>IFERROR(INDEX('Hun Release Current'!B:B,MATCH(O168,'Hun Release Current'!A:A,0)),"")</f>
        <v/>
      </c>
      <c r="AL168" s="25" t="str">
        <f>IF(SUMIF('Prev Aub'!A:A,O168,'Prev Aub'!B:B)=0,"",SUMIF('Prev Aub'!A:A,O168,'Prev Aub'!B:B))</f>
        <v/>
      </c>
      <c r="AN168" s="25" t="s">
        <v>3790</v>
      </c>
      <c r="AO168" s="25" t="s">
        <v>3790</v>
      </c>
      <c r="AP168" s="25">
        <f t="shared" si="62"/>
        <v>0</v>
      </c>
      <c r="AQ168" s="151" t="str">
        <f>IF(SUMIFS('Supp Consol'!S:S,'Supp Consol'!A:A,O168,'Supp Consol'!I:I,"PENDING")=0,"",SUMIFS('Supp Consol'!S:S,'Supp Consol'!A:A,O168,'Supp Consol'!I:I,"PENDING"))</f>
        <v/>
      </c>
      <c r="AR168" s="27" t="str">
        <f t="shared" si="63"/>
        <v>AG371</v>
      </c>
      <c r="AS168" s="27" t="str">
        <f t="shared" si="64"/>
        <v>62</v>
      </c>
      <c r="AT168" s="27" t="str">
        <f t="shared" si="65"/>
        <v/>
      </c>
      <c r="AU168" s="27" t="str">
        <f t="shared" si="66"/>
        <v/>
      </c>
      <c r="AV168" s="27" t="str">
        <f t="shared" si="67"/>
        <v/>
      </c>
      <c r="AW168" s="27" t="str">
        <f t="shared" si="68"/>
        <v/>
      </c>
      <c r="AX168" s="27" t="str">
        <f t="shared" si="69"/>
        <v/>
      </c>
      <c r="AY168" s="27" t="str">
        <f t="shared" si="70"/>
        <v/>
      </c>
      <c r="AZ168" s="27" t="str">
        <f t="shared" si="71"/>
        <v/>
      </c>
      <c r="BA168" s="27" t="str">
        <f t="shared" si="72"/>
        <v/>
      </c>
      <c r="BB168" s="27" t="str">
        <f t="shared" si="73"/>
        <v/>
      </c>
      <c r="BC168" s="27" t="str">
        <f t="shared" si="74"/>
        <v/>
      </c>
      <c r="BD168" s="27" t="str">
        <f t="shared" si="75"/>
        <v/>
      </c>
      <c r="BE168" s="27" t="str">
        <f t="shared" si="76"/>
        <v/>
      </c>
      <c r="BF168" s="27" t="str">
        <f t="shared" si="77"/>
        <v/>
      </c>
      <c r="BG168" s="27" t="str">
        <f t="shared" si="78"/>
        <v/>
      </c>
      <c r="BH168" s="27" t="str">
        <f t="shared" si="79"/>
        <v/>
      </c>
      <c r="BI168" s="27" t="str">
        <f t="shared" si="80"/>
        <v/>
      </c>
      <c r="BJ168" s="27" t="str">
        <f t="shared" si="81"/>
        <v/>
      </c>
      <c r="BK168" s="27" t="str">
        <f t="shared" si="82"/>
        <v/>
      </c>
      <c r="BL168" s="27" t="str">
        <f t="shared" si="83"/>
        <v/>
      </c>
      <c r="BM168" s="21" t="s">
        <v>5581</v>
      </c>
    </row>
    <row r="169" spans="1:65" ht="15">
      <c r="A169" s="25">
        <f>IFERROR(INDEX('Hun Demand'!W:W,MATCH(O169,'Hun Demand'!A:A,0)),"")</f>
        <v>0</v>
      </c>
      <c r="B169" s="25">
        <f>IFERROR(INDEX('Hun Demand'!V:V,MATCH(O169,'Hun Demand'!A:A,0)),"")</f>
        <v>0</v>
      </c>
      <c r="C169" s="25">
        <f>IFERROR(INDEX('Hun Demand'!U:U,MATCH(O169,'Hun Demand'!A:A,0)),"")</f>
        <v>315</v>
      </c>
      <c r="D169" s="25">
        <f>IFERROR(INDEX('Hun Demand'!T:T,MATCH(O169,'Hun Demand'!A:A,0)),"")</f>
        <v>0</v>
      </c>
      <c r="E169" s="25">
        <f>IFERROR(INDEX('Hun Demand'!S:S,MATCH(O169,'Hun Demand'!A:A,0)),"")</f>
        <v>0</v>
      </c>
      <c r="F169" s="25">
        <f>IFERROR(INDEX('Hun Demand'!R:R,MATCH(O169,'Hun Demand'!A:A,0)),"")</f>
        <v>0</v>
      </c>
      <c r="G169" s="25">
        <f>IFERROR(INDEX('Aub Demand'!W:W,MATCH(O169,'Aub Demand'!A:A,0)),"")</f>
        <v>80</v>
      </c>
      <c r="H169" s="25">
        <f>IFERROR(INDEX('Aub Demand'!V:V,MATCH(O169,'Aub Demand'!A:A,0)),"")</f>
        <v>23</v>
      </c>
      <c r="I169" s="25">
        <f>IFERROR(INDEX('Aub Demand'!U:U,MATCH(O169,'Aub Demand'!A:A,0)),"")</f>
        <v>555</v>
      </c>
      <c r="J169" s="25">
        <f>IFERROR(INDEX('Aub Demand'!T:T,MATCH(O169,'Aub Demand'!A:A,0)),"")</f>
        <v>0</v>
      </c>
      <c r="K169" s="25">
        <f>IFERROR(INDEX('Aub Demand'!S:S,MATCH(O169,'Aub Demand'!A:A,0)),"")</f>
        <v>0</v>
      </c>
      <c r="L169" s="25">
        <f>IFERROR(INDEX('Aub Demand'!R:R,MATCH(O169,'Aub Demand'!A:A,0)),"")</f>
        <v>0</v>
      </c>
      <c r="O169" s="27" t="s">
        <v>356</v>
      </c>
      <c r="P169" s="27" t="str">
        <f>IFERROR(INDEX('Aub Demand'!B:B,MATCH($O169,'Aub Demand'!$A:$A,0)),"")</f>
        <v>MINERAL TALC</v>
      </c>
      <c r="Q169" s="27" t="str">
        <f>IFERROR(INDEX('Aub Demand'!C:C,MATCH($O169,'Aub Demand'!$A:$A,0)),"")</f>
        <v>TOPPA</v>
      </c>
      <c r="R169" s="52">
        <f>IFERROR(IF(AR170=AR169,INDEX('Aub Demand'!K:K,MATCH($O169,'Aub Demand'!$A:$A,0))-IF(AN169="",0,AN169)+AP170,INDEX('Aub Demand'!K:K,MATCH($O169,'Aub Demand'!$A:$A,0))-IF(AN169="",0,AN169)),"")</f>
        <v>916</v>
      </c>
      <c r="S169" s="53">
        <f t="shared" si="56"/>
        <v>21.2</v>
      </c>
      <c r="T169" s="52" t="str">
        <f t="shared" si="57"/>
        <v/>
      </c>
      <c r="U169" s="52">
        <f>IFERROR(IF(AR170=AR169,INDEX('Aub Demand'!Q:Q,MATCH($O169,'Aub Demand'!$A:$A,0))-IF(AN169="",0,AN169)+AP170,INDEX('Aub Demand'!Q:Q,MATCH($O169,'Aub Demand'!$A:$A,0))-IF(AN169="",0,AN169)),"")</f>
        <v>916</v>
      </c>
      <c r="V169" s="53">
        <f t="shared" si="58"/>
        <v>21.2</v>
      </c>
      <c r="W169" s="52" t="str">
        <f t="shared" si="59"/>
        <v/>
      </c>
      <c r="X169" s="52">
        <f>IFERROR(IF(AND(AR170=AR169,AM169&lt;&gt;""),INDEX('Aub Demand'!Q:Q,MATCH($O169,'Aub Demand'!$A:$A,0))-IF(AN169="",0,AN169)+AP170+AD169+AL169,IF(AR170=AR169,INDEX('Aub Demand'!Q:Q,MATCH($O169,'Aub Demand'!$A:$A,0))-IF(AN169="",0,AN169)+AP170+AD169,IF(AM169&lt;&gt;"",INDEX('Aub Demand'!Q:Q,MATCH($O169,'Aub Demand'!$A:$A,0))-IF(AN169="",0,AN169)+AD169+AL169,INDEX('Aub Demand'!Q:Q,MATCH($O169,'Aub Demand'!$A:$A,0))-IF(AN169="",0,AN169)+AD169))),"")</f>
        <v>916</v>
      </c>
      <c r="Y169" s="53">
        <f t="shared" si="60"/>
        <v>21.2</v>
      </c>
      <c r="Z169" s="52">
        <f>IF(L169="","",INDEX('Aub Demand'!H:H,MATCH($O169,'Aub Demand'!$A:$A,0)))</f>
        <v>185</v>
      </c>
      <c r="AA169" s="52" t="str">
        <f t="shared" si="61"/>
        <v>-spike-</v>
      </c>
      <c r="AB169" s="52">
        <f>IFERROR(INDEX('Aub Demand'!L:L,MATCH($O169,'Aub Demand'!$A:$A,0)),"")</f>
        <v>26</v>
      </c>
      <c r="AC169" s="52">
        <f>IFERROR(IF(O169="","",SUMIFS('CPL Mats'!F:F,'CPL Mats'!Q:Q,AR169,'CPL Mats'!S:S,AS169)),"")</f>
        <v>0</v>
      </c>
      <c r="AF169" s="25" t="str">
        <f>IF(SUMIFS('Supp Consol'!S:S,'Supp Consol'!Y:Y,"Releasable",'Supp Consol'!A:A,O169)=0,"",SUMIFS('Supp Consol'!S:S,'Supp Consol'!Y:Y,"Releasable",'Supp Consol'!A:A,O169))</f>
        <v/>
      </c>
      <c r="AG169" s="25">
        <f>IFERROR(INDEX('Hun Demand'!Q:Q,MATCH(O169,'Hun Demand'!A:A,0)),"")</f>
        <v>240</v>
      </c>
      <c r="AH169" s="25">
        <f>IFERROR(INDEX('Hun Demand'!H:H,MATCH($O169,'Hun Demand'!$A:$A,0)),"")</f>
        <v>105</v>
      </c>
      <c r="AI169" s="25" t="str">
        <f>IF(SUMIFS('Supp Consol'!AA:AA,'Supp Consol'!Z:Z,"Expires this month",'Supp Consol'!A:A,O169)=0,"",SUMIFS('Supp Consol'!AA:AA,'Supp Consol'!Z:Z,"Expires this month",'Supp Consol'!A:A,O169))</f>
        <v/>
      </c>
      <c r="AJ169" s="25" t="str">
        <f>IF(SUMIFS('Supp Consol'!AA:AA,'Supp Consol'!Z:Z,"Expired Previous Months",'Supp Consol'!A:A,O169)=0,"",SUMIFS('Supp Consol'!AA:AA,'Supp Consol'!Z:Z,"Expired Previous Months",'Supp Consol'!A:A,O169))</f>
        <v/>
      </c>
      <c r="AK169" s="25" t="str">
        <f>IFERROR(INDEX('Hun Release Current'!B:B,MATCH(O169,'Hun Release Current'!A:A,0)),"")</f>
        <v/>
      </c>
      <c r="AL169" s="25" t="str">
        <f>IF(SUMIF('Prev Aub'!A:A,O169,'Prev Aub'!B:B)=0,"",SUMIF('Prev Aub'!A:A,O169,'Prev Aub'!B:B))</f>
        <v/>
      </c>
      <c r="AN169" s="25" t="s">
        <v>3790</v>
      </c>
      <c r="AO169" s="25" t="s">
        <v>3790</v>
      </c>
      <c r="AP169" s="25">
        <f t="shared" si="62"/>
        <v>0</v>
      </c>
      <c r="AQ169" s="151" t="str">
        <f>IF(SUMIFS('Supp Consol'!S:S,'Supp Consol'!A:A,O169,'Supp Consol'!I:I,"PENDING")=0,"",SUMIFS('Supp Consol'!S:S,'Supp Consol'!A:A,O169,'Supp Consol'!I:I,"PENDING"))</f>
        <v/>
      </c>
      <c r="AR169" s="27" t="str">
        <f t="shared" si="63"/>
        <v>AG381</v>
      </c>
      <c r="AS169" s="27" t="str">
        <f t="shared" si="64"/>
        <v>50</v>
      </c>
      <c r="AT169" s="27" t="str">
        <f t="shared" si="65"/>
        <v/>
      </c>
      <c r="AU169" s="27" t="str">
        <f t="shared" si="66"/>
        <v/>
      </c>
      <c r="AV169" s="27" t="str">
        <f t="shared" si="67"/>
        <v/>
      </c>
      <c r="AW169" s="27" t="str">
        <f t="shared" si="68"/>
        <v/>
      </c>
      <c r="AX169" s="27" t="str">
        <f t="shared" si="69"/>
        <v/>
      </c>
      <c r="AY169" s="27" t="str">
        <f t="shared" si="70"/>
        <v>AG381</v>
      </c>
      <c r="AZ169" s="27" t="str">
        <f t="shared" si="71"/>
        <v/>
      </c>
      <c r="BA169" s="27" t="str">
        <f t="shared" si="72"/>
        <v>Hun</v>
      </c>
      <c r="BB169" s="27" t="str">
        <f t="shared" si="73"/>
        <v/>
      </c>
      <c r="BC169" s="27" t="str">
        <f t="shared" si="74"/>
        <v/>
      </c>
      <c r="BD169" s="27" t="str">
        <f t="shared" si="75"/>
        <v/>
      </c>
      <c r="BE169" s="27" t="str">
        <f t="shared" si="76"/>
        <v/>
      </c>
      <c r="BF169" s="27" t="str">
        <f t="shared" si="77"/>
        <v/>
      </c>
      <c r="BG169" s="27" t="str">
        <f t="shared" si="78"/>
        <v/>
      </c>
      <c r="BH169" s="27" t="str">
        <f t="shared" si="79"/>
        <v/>
      </c>
      <c r="BI169" s="27" t="str">
        <f t="shared" si="80"/>
        <v/>
      </c>
      <c r="BJ169" s="27" t="str">
        <f t="shared" si="81"/>
        <v>Supp or Hun</v>
      </c>
      <c r="BK169" s="27" t="str">
        <f t="shared" si="82"/>
        <v/>
      </c>
      <c r="BL169" s="27" t="str">
        <f t="shared" si="83"/>
        <v/>
      </c>
      <c r="BM169" s="21" t="s">
        <v>5581</v>
      </c>
    </row>
    <row r="170" spans="1:65" ht="15">
      <c r="A170" s="25">
        <f>IFERROR(INDEX('Hun Demand'!W:W,MATCH(O170,'Hun Demand'!A:A,0)),"")</f>
        <v>0</v>
      </c>
      <c r="B170" s="25">
        <f>IFERROR(INDEX('Hun Demand'!V:V,MATCH(O170,'Hun Demand'!A:A,0)),"")</f>
        <v>0</v>
      </c>
      <c r="C170" s="25">
        <f>IFERROR(INDEX('Hun Demand'!U:U,MATCH(O170,'Hun Demand'!A:A,0)),"")</f>
        <v>0</v>
      </c>
      <c r="D170" s="25">
        <f>IFERROR(INDEX('Hun Demand'!T:T,MATCH(O170,'Hun Demand'!A:A,0)),"")</f>
        <v>418</v>
      </c>
      <c r="E170" s="25">
        <f>IFERROR(INDEX('Hun Demand'!S:S,MATCH(O170,'Hun Demand'!A:A,0)),"")</f>
        <v>0</v>
      </c>
      <c r="F170" s="25">
        <f>IFERROR(INDEX('Hun Demand'!R:R,MATCH(O170,'Hun Demand'!A:A,0)),"")</f>
        <v>0</v>
      </c>
      <c r="G170" s="25">
        <f>IFERROR(INDEX('Aub Demand'!W:W,MATCH(O170,'Aub Demand'!A:A,0)),"")</f>
        <v>0</v>
      </c>
      <c r="H170" s="25">
        <f>IFERROR(INDEX('Aub Demand'!V:V,MATCH(O170,'Aub Demand'!A:A,0)),"")</f>
        <v>16</v>
      </c>
      <c r="I170" s="25">
        <f>IFERROR(INDEX('Aub Demand'!U:U,MATCH(O170,'Aub Demand'!A:A,0)),"")</f>
        <v>114</v>
      </c>
      <c r="J170" s="25">
        <f>IFERROR(INDEX('Aub Demand'!T:T,MATCH(O170,'Aub Demand'!A:A,0)),"")</f>
        <v>0</v>
      </c>
      <c r="K170" s="25">
        <f>IFERROR(INDEX('Aub Demand'!S:S,MATCH(O170,'Aub Demand'!A:A,0)),"")</f>
        <v>13</v>
      </c>
      <c r="L170" s="25">
        <f>IFERROR(INDEX('Aub Demand'!R:R,MATCH(O170,'Aub Demand'!A:A,0)),"")</f>
        <v>0</v>
      </c>
      <c r="O170" s="27" t="s">
        <v>358</v>
      </c>
      <c r="P170" s="27" t="str">
        <f>IFERROR(INDEX('Aub Demand'!B:B,MATCH($O170,'Aub Demand'!$A:$A,0)),"")</f>
        <v>MINERAL TALC</v>
      </c>
      <c r="Q170" s="27" t="str">
        <f>IFERROR(INDEX('Aub Demand'!C:C,MATCH($O170,'Aub Demand'!$A:$A,0)),"")</f>
        <v>TOPPA</v>
      </c>
      <c r="R170" s="52">
        <f>IFERROR(IF(AR171=AR170,INDEX('Aub Demand'!K:K,MATCH($O170,'Aub Demand'!$A:$A,0))-IF(AN170="",0,AN170)+AP171,INDEX('Aub Demand'!K:K,MATCH($O170,'Aub Demand'!$A:$A,0))-IF(AN170="",0,AN170)),"")</f>
        <v>440</v>
      </c>
      <c r="S170" s="53">
        <f t="shared" si="56"/>
        <v>44.9</v>
      </c>
      <c r="T170" s="52" t="str">
        <f t="shared" si="57"/>
        <v/>
      </c>
      <c r="U170" s="52">
        <f>IFERROR(IF(AR171=AR170,INDEX('Aub Demand'!Q:Q,MATCH($O170,'Aub Demand'!$A:$A,0))-IF(AN170="",0,AN170)+AP171,INDEX('Aub Demand'!Q:Q,MATCH($O170,'Aub Demand'!$A:$A,0))-IF(AN170="",0,AN170)),"")</f>
        <v>440</v>
      </c>
      <c r="V170" s="53">
        <f t="shared" si="58"/>
        <v>44.9</v>
      </c>
      <c r="W170" s="52" t="str">
        <f t="shared" si="59"/>
        <v/>
      </c>
      <c r="X170" s="52">
        <f>IFERROR(IF(AND(AR171=AR170,AM170&lt;&gt;""),INDEX('Aub Demand'!Q:Q,MATCH($O170,'Aub Demand'!$A:$A,0))-IF(AN170="",0,AN170)+AP171+AD170+AL170,IF(AR171=AR170,INDEX('Aub Demand'!Q:Q,MATCH($O170,'Aub Demand'!$A:$A,0))-IF(AN170="",0,AN170)+AP171+AD170,IF(AM170&lt;&gt;"",INDEX('Aub Demand'!Q:Q,MATCH($O170,'Aub Demand'!$A:$A,0))-IF(AN170="",0,AN170)+AD170+AL170,INDEX('Aub Demand'!Q:Q,MATCH($O170,'Aub Demand'!$A:$A,0))-IF(AN170="",0,AN170)+AD170))),"")</f>
        <v>440</v>
      </c>
      <c r="Y170" s="53">
        <f t="shared" si="60"/>
        <v>44.9</v>
      </c>
      <c r="Z170" s="52">
        <f>IF(L170="","",INDEX('Aub Demand'!H:H,MATCH($O170,'Aub Demand'!$A:$A,0)))</f>
        <v>42</v>
      </c>
      <c r="AA170" s="52">
        <f t="shared" si="61"/>
        <v>63.5</v>
      </c>
      <c r="AB170" s="52">
        <f>IFERROR(INDEX('Aub Demand'!L:L,MATCH($O170,'Aub Demand'!$A:$A,0)),"")</f>
        <v>0</v>
      </c>
      <c r="AC170" s="52">
        <f>IFERROR(IF(O170="","",SUMIFS('CPL Mats'!F:F,'CPL Mats'!Q:Q,AR170,'CPL Mats'!S:S,AS170)),"")</f>
        <v>0</v>
      </c>
      <c r="AF170" s="25" t="str">
        <f>IF(SUMIFS('Supp Consol'!S:S,'Supp Consol'!Y:Y,"Releasable",'Supp Consol'!A:A,O170)=0,"",SUMIFS('Supp Consol'!S:S,'Supp Consol'!Y:Y,"Releasable",'Supp Consol'!A:A,O170))</f>
        <v/>
      </c>
      <c r="AG170" s="25">
        <f>IFERROR(INDEX('Hun Demand'!Q:Q,MATCH(O170,'Hun Demand'!A:A,0)),"")</f>
        <v>0</v>
      </c>
      <c r="AH170" s="25">
        <f>IFERROR(INDEX('Hun Demand'!H:H,MATCH($O170,'Hun Demand'!$A:$A,0)),"")</f>
        <v>139</v>
      </c>
      <c r="AI170" s="25" t="str">
        <f>IF(SUMIFS('Supp Consol'!AA:AA,'Supp Consol'!Z:Z,"Expires this month",'Supp Consol'!A:A,O170)=0,"",SUMIFS('Supp Consol'!AA:AA,'Supp Consol'!Z:Z,"Expires this month",'Supp Consol'!A:A,O170))</f>
        <v/>
      </c>
      <c r="AJ170" s="25" t="str">
        <f>IF(SUMIFS('Supp Consol'!AA:AA,'Supp Consol'!Z:Z,"Expired Previous Months",'Supp Consol'!A:A,O170)=0,"",SUMIFS('Supp Consol'!AA:AA,'Supp Consol'!Z:Z,"Expired Previous Months",'Supp Consol'!A:A,O170))</f>
        <v/>
      </c>
      <c r="AK170" s="25" t="str">
        <f>IFERROR(INDEX('Hun Release Current'!B:B,MATCH(O170,'Hun Release Current'!A:A,0)),"")</f>
        <v/>
      </c>
      <c r="AL170" s="25" t="str">
        <f>IF(SUMIF('Prev Aub'!A:A,O170,'Prev Aub'!B:B)=0,"",SUMIF('Prev Aub'!A:A,O170,'Prev Aub'!B:B))</f>
        <v/>
      </c>
      <c r="AN170" s="25" t="s">
        <v>3790</v>
      </c>
      <c r="AO170" s="25" t="s">
        <v>3790</v>
      </c>
      <c r="AP170" s="25">
        <f t="shared" si="62"/>
        <v>0</v>
      </c>
      <c r="AQ170" s="151" t="str">
        <f>IF(SUMIFS('Supp Consol'!S:S,'Supp Consol'!A:A,O170,'Supp Consol'!I:I,"PENDING")=0,"",SUMIFS('Supp Consol'!S:S,'Supp Consol'!A:A,O170,'Supp Consol'!I:I,"PENDING"))</f>
        <v/>
      </c>
      <c r="AR170" s="27" t="str">
        <f t="shared" si="63"/>
        <v>AG381</v>
      </c>
      <c r="AS170" s="27" t="str">
        <f t="shared" si="64"/>
        <v>62</v>
      </c>
      <c r="AT170" s="27" t="str">
        <f t="shared" si="65"/>
        <v/>
      </c>
      <c r="AU170" s="27" t="str">
        <f t="shared" si="66"/>
        <v/>
      </c>
      <c r="AV170" s="27" t="str">
        <f t="shared" si="67"/>
        <v/>
      </c>
      <c r="AW170" s="27" t="str">
        <f t="shared" si="68"/>
        <v/>
      </c>
      <c r="AX170" s="27" t="str">
        <f t="shared" si="69"/>
        <v/>
      </c>
      <c r="AY170" s="27" t="str">
        <f t="shared" si="70"/>
        <v/>
      </c>
      <c r="AZ170" s="27" t="str">
        <f t="shared" si="71"/>
        <v/>
      </c>
      <c r="BA170" s="27" t="str">
        <f t="shared" si="72"/>
        <v>Hun</v>
      </c>
      <c r="BB170" s="27" t="str">
        <f t="shared" si="73"/>
        <v/>
      </c>
      <c r="BC170" s="27" t="str">
        <f t="shared" si="74"/>
        <v/>
      </c>
      <c r="BD170" s="27" t="str">
        <f t="shared" si="75"/>
        <v/>
      </c>
      <c r="BE170" s="27" t="str">
        <f t="shared" si="76"/>
        <v/>
      </c>
      <c r="BF170" s="27" t="str">
        <f t="shared" si="77"/>
        <v/>
      </c>
      <c r="BG170" s="27" t="str">
        <f t="shared" si="78"/>
        <v/>
      </c>
      <c r="BH170" s="27" t="str">
        <f t="shared" si="79"/>
        <v/>
      </c>
      <c r="BI170" s="27" t="str">
        <f t="shared" si="80"/>
        <v/>
      </c>
      <c r="BJ170" s="27" t="str">
        <f t="shared" si="81"/>
        <v>Supp or Hun</v>
      </c>
      <c r="BK170" s="27" t="str">
        <f t="shared" si="82"/>
        <v/>
      </c>
      <c r="BL170" s="27" t="str">
        <f t="shared" si="83"/>
        <v/>
      </c>
      <c r="BM170" s="21" t="s">
        <v>5581</v>
      </c>
    </row>
    <row r="171" spans="1:65" ht="15">
      <c r="A171" s="25" t="str">
        <f>IFERROR(INDEX('Hun Demand'!W:W,MATCH(O171,'Hun Demand'!A:A,0)),"")</f>
        <v/>
      </c>
      <c r="B171" s="25" t="str">
        <f>IFERROR(INDEX('Hun Demand'!V:V,MATCH(O171,'Hun Demand'!A:A,0)),"")</f>
        <v/>
      </c>
      <c r="C171" s="25" t="str">
        <f>IFERROR(INDEX('Hun Demand'!U:U,MATCH(O171,'Hun Demand'!A:A,0)),"")</f>
        <v/>
      </c>
      <c r="D171" s="25" t="str">
        <f>IFERROR(INDEX('Hun Demand'!T:T,MATCH(O171,'Hun Demand'!A:A,0)),"")</f>
        <v/>
      </c>
      <c r="E171" s="25" t="str">
        <f>IFERROR(INDEX('Hun Demand'!S:S,MATCH(O171,'Hun Demand'!A:A,0)),"")</f>
        <v/>
      </c>
      <c r="F171" s="25" t="str">
        <f>IFERROR(INDEX('Hun Demand'!R:R,MATCH(O171,'Hun Demand'!A:A,0)),"")</f>
        <v/>
      </c>
      <c r="G171" s="25">
        <f>IFERROR(INDEX('Aub Demand'!W:W,MATCH(O171,'Aub Demand'!A:A,0)),"")</f>
        <v>269</v>
      </c>
      <c r="H171" s="25">
        <f>IFERROR(INDEX('Aub Demand'!V:V,MATCH(O171,'Aub Demand'!A:A,0)),"")</f>
        <v>0</v>
      </c>
      <c r="I171" s="25">
        <f>IFERROR(INDEX('Aub Demand'!U:U,MATCH(O171,'Aub Demand'!A:A,0)),"")</f>
        <v>322</v>
      </c>
      <c r="J171" s="25">
        <f>IFERROR(INDEX('Aub Demand'!T:T,MATCH(O171,'Aub Demand'!A:A,0)),"")</f>
        <v>239</v>
      </c>
      <c r="K171" s="25">
        <f>IFERROR(INDEX('Aub Demand'!S:S,MATCH(O171,'Aub Demand'!A:A,0)),"")</f>
        <v>496</v>
      </c>
      <c r="L171" s="25">
        <f>IFERROR(INDEX('Aub Demand'!R:R,MATCH(O171,'Aub Demand'!A:A,0)),"")</f>
        <v>0</v>
      </c>
      <c r="O171" s="27" t="s">
        <v>359</v>
      </c>
      <c r="P171" s="27" t="str">
        <f>IFERROR(INDEX('Aub Demand'!B:B,MATCH($O171,'Aub Demand'!$A:$A,0)),"")</f>
        <v>OLD FRIEND</v>
      </c>
      <c r="Q171" s="27" t="str">
        <f>IFERROR(INDEX('Aub Demand'!C:C,MATCH($O171,'Aub Demand'!$A:$A,0)),"")</f>
        <v>INTER</v>
      </c>
      <c r="R171" s="52">
        <f>IFERROR(IF(AR172=AR171,INDEX('Aub Demand'!K:K,MATCH($O171,'Aub Demand'!$A:$A,0))-IF(AN171="",0,AN171)+AP172,INDEX('Aub Demand'!K:K,MATCH($O171,'Aub Demand'!$A:$A,0))-IF(AN171="",0,AN171)),"")</f>
        <v>1627</v>
      </c>
      <c r="S171" s="53">
        <f t="shared" si="56"/>
        <v>19.8</v>
      </c>
      <c r="T171" s="52" t="str">
        <f t="shared" si="57"/>
        <v/>
      </c>
      <c r="U171" s="52">
        <f>IFERROR(IF(AR172=AR171,INDEX('Aub Demand'!Q:Q,MATCH($O171,'Aub Demand'!$A:$A,0))-IF(AN171="",0,AN171)+AP172,INDEX('Aub Demand'!Q:Q,MATCH($O171,'Aub Demand'!$A:$A,0))-IF(AN171="",0,AN171)),"")</f>
        <v>1627</v>
      </c>
      <c r="V171" s="53">
        <f t="shared" si="58"/>
        <v>19.8</v>
      </c>
      <c r="W171" s="52" t="str">
        <f t="shared" si="59"/>
        <v/>
      </c>
      <c r="X171" s="52">
        <f>IFERROR(IF(AND(AR172=AR171,AM171&lt;&gt;""),INDEX('Aub Demand'!Q:Q,MATCH($O171,'Aub Demand'!$A:$A,0))-IF(AN171="",0,AN171)+AP172+AD171+AL171,IF(AR172=AR171,INDEX('Aub Demand'!Q:Q,MATCH($O171,'Aub Demand'!$A:$A,0))-IF(AN171="",0,AN171)+AP172+AD171,IF(AM171&lt;&gt;"",INDEX('Aub Demand'!Q:Q,MATCH($O171,'Aub Demand'!$A:$A,0))-IF(AN171="",0,AN171)+AD171+AL171,INDEX('Aub Demand'!Q:Q,MATCH($O171,'Aub Demand'!$A:$A,0))-IF(AN171="",0,AN171)+AD171))),"")</f>
        <v>1627</v>
      </c>
      <c r="Y171" s="53">
        <f t="shared" si="60"/>
        <v>19.8</v>
      </c>
      <c r="Z171" s="52">
        <f>IF(L171="","",INDEX('Aub Demand'!H:H,MATCH($O171,'Aub Demand'!$A:$A,0)))</f>
        <v>352</v>
      </c>
      <c r="AA171" s="52">
        <f t="shared" si="61"/>
        <v>409</v>
      </c>
      <c r="AB171" s="52">
        <f>IFERROR(INDEX('Aub Demand'!L:L,MATCH($O171,'Aub Demand'!$A:$A,0)),"")</f>
        <v>603</v>
      </c>
      <c r="AC171" s="52">
        <f>IFERROR(IF(O171="","",SUMIFS('CPL Mats'!F:F,'CPL Mats'!Q:Q,AR171,'CPL Mats'!S:S,AS171)),"")</f>
        <v>8430.74</v>
      </c>
      <c r="AF171" s="25" t="str">
        <f>IF(SUMIFS('Supp Consol'!S:S,'Supp Consol'!Y:Y,"Releasable",'Supp Consol'!A:A,O171)=0,"",SUMIFS('Supp Consol'!S:S,'Supp Consol'!Y:Y,"Releasable",'Supp Consol'!A:A,O171))</f>
        <v/>
      </c>
      <c r="AG171" s="25" t="str">
        <f>IFERROR(INDEX('Hun Demand'!Q:Q,MATCH(O171,'Hun Demand'!A:A,0)),"")</f>
        <v/>
      </c>
      <c r="AH171" s="25" t="str">
        <f>IFERROR(INDEX('Hun Demand'!H:H,MATCH($O171,'Hun Demand'!$A:$A,0)),"")</f>
        <v/>
      </c>
      <c r="AI171" s="25" t="str">
        <f>IF(SUMIFS('Supp Consol'!AA:AA,'Supp Consol'!Z:Z,"Expires this month",'Supp Consol'!A:A,O171)=0,"",SUMIFS('Supp Consol'!AA:AA,'Supp Consol'!Z:Z,"Expires this month",'Supp Consol'!A:A,O171))</f>
        <v/>
      </c>
      <c r="AJ171" s="25" t="str">
        <f>IF(SUMIFS('Supp Consol'!AA:AA,'Supp Consol'!Z:Z,"Expired Previous Months",'Supp Consol'!A:A,O171)=0,"",SUMIFS('Supp Consol'!AA:AA,'Supp Consol'!Z:Z,"Expired Previous Months",'Supp Consol'!A:A,O171))</f>
        <v/>
      </c>
      <c r="AK171" s="25" t="str">
        <f>IFERROR(INDEX('Hun Release Current'!B:B,MATCH(O171,'Hun Release Current'!A:A,0)),"")</f>
        <v/>
      </c>
      <c r="AL171" s="25" t="str">
        <f>IF(SUMIF('Prev Aub'!A:A,O171,'Prev Aub'!B:B)=0,"",SUMIF('Prev Aub'!A:A,O171,'Prev Aub'!B:B))</f>
        <v/>
      </c>
      <c r="AN171" s="25" t="s">
        <v>3790</v>
      </c>
      <c r="AO171" s="25" t="s">
        <v>3790</v>
      </c>
      <c r="AP171" s="25">
        <f t="shared" si="62"/>
        <v>0</v>
      </c>
      <c r="AQ171" s="151" t="str">
        <f>IF(SUMIFS('Supp Consol'!S:S,'Supp Consol'!A:A,O171,'Supp Consol'!I:I,"PENDING")=0,"",SUMIFS('Supp Consol'!S:S,'Supp Consol'!A:A,O171,'Supp Consol'!I:I,"PENDING"))</f>
        <v/>
      </c>
      <c r="AR171" s="27" t="str">
        <f t="shared" si="63"/>
        <v>AG415</v>
      </c>
      <c r="AS171" s="27" t="str">
        <f t="shared" si="64"/>
        <v>50</v>
      </c>
      <c r="AT171" s="27" t="str">
        <f t="shared" si="65"/>
        <v/>
      </c>
      <c r="AU171" s="27" t="str">
        <f t="shared" si="66"/>
        <v/>
      </c>
      <c r="AV171" s="27" t="str">
        <f t="shared" si="67"/>
        <v/>
      </c>
      <c r="AW171" s="27" t="str">
        <f t="shared" si="68"/>
        <v/>
      </c>
      <c r="AX171" s="27" t="str">
        <f t="shared" si="69"/>
        <v/>
      </c>
      <c r="AY171" s="27" t="str">
        <f t="shared" si="70"/>
        <v/>
      </c>
      <c r="AZ171" s="27" t="str">
        <f t="shared" si="71"/>
        <v/>
      </c>
      <c r="BA171" s="27" t="str">
        <f t="shared" si="72"/>
        <v/>
      </c>
      <c r="BB171" s="27" t="str">
        <f t="shared" si="73"/>
        <v/>
      </c>
      <c r="BC171" s="27" t="str">
        <f t="shared" si="74"/>
        <v/>
      </c>
      <c r="BD171" s="27" t="str">
        <f t="shared" si="75"/>
        <v/>
      </c>
      <c r="BE171" s="27" t="str">
        <f t="shared" si="76"/>
        <v/>
      </c>
      <c r="BF171" s="27" t="str">
        <f t="shared" si="77"/>
        <v/>
      </c>
      <c r="BG171" s="27" t="str">
        <f t="shared" si="78"/>
        <v/>
      </c>
      <c r="BH171" s="27" t="str">
        <f t="shared" si="79"/>
        <v/>
      </c>
      <c r="BI171" s="27" t="str">
        <f t="shared" si="80"/>
        <v/>
      </c>
      <c r="BJ171" s="27" t="str">
        <f t="shared" si="81"/>
        <v/>
      </c>
      <c r="BK171" s="27" t="str">
        <f t="shared" si="82"/>
        <v/>
      </c>
      <c r="BL171" s="27" t="str">
        <f t="shared" si="83"/>
        <v/>
      </c>
      <c r="BM171" s="21" t="s">
        <v>5581</v>
      </c>
    </row>
    <row r="172" spans="1:65" ht="15">
      <c r="A172" s="25" t="str">
        <f>IFERROR(INDEX('Hun Demand'!W:W,MATCH(O172,'Hun Demand'!A:A,0)),"")</f>
        <v/>
      </c>
      <c r="B172" s="25" t="str">
        <f>IFERROR(INDEX('Hun Demand'!V:V,MATCH(O172,'Hun Demand'!A:A,0)),"")</f>
        <v/>
      </c>
      <c r="C172" s="25" t="str">
        <f>IFERROR(INDEX('Hun Demand'!U:U,MATCH(O172,'Hun Demand'!A:A,0)),"")</f>
        <v/>
      </c>
      <c r="D172" s="25" t="str">
        <f>IFERROR(INDEX('Hun Demand'!T:T,MATCH(O172,'Hun Demand'!A:A,0)),"")</f>
        <v/>
      </c>
      <c r="E172" s="25" t="str">
        <f>IFERROR(INDEX('Hun Demand'!S:S,MATCH(O172,'Hun Demand'!A:A,0)),"")</f>
        <v/>
      </c>
      <c r="F172" s="25" t="str">
        <f>IFERROR(INDEX('Hun Demand'!R:R,MATCH(O172,'Hun Demand'!A:A,0)),"")</f>
        <v/>
      </c>
      <c r="G172" s="25">
        <f>IFERROR(INDEX('Aub Demand'!W:W,MATCH(O172,'Aub Demand'!A:A,0)),"")</f>
        <v>25</v>
      </c>
      <c r="H172" s="25">
        <f>IFERROR(INDEX('Aub Demand'!V:V,MATCH(O172,'Aub Demand'!A:A,0)),"")</f>
        <v>80</v>
      </c>
      <c r="I172" s="25">
        <f>IFERROR(INDEX('Aub Demand'!U:U,MATCH(O172,'Aub Demand'!A:A,0)),"")</f>
        <v>0</v>
      </c>
      <c r="J172" s="25">
        <f>IFERROR(INDEX('Aub Demand'!T:T,MATCH(O172,'Aub Demand'!A:A,0)),"")</f>
        <v>27</v>
      </c>
      <c r="K172" s="25">
        <f>IFERROR(INDEX('Aub Demand'!S:S,MATCH(O172,'Aub Demand'!A:A,0)),"")</f>
        <v>90</v>
      </c>
      <c r="L172" s="25">
        <f>IFERROR(INDEX('Aub Demand'!R:R,MATCH(O172,'Aub Demand'!A:A,0)),"")</f>
        <v>0</v>
      </c>
      <c r="O172" s="27" t="s">
        <v>361</v>
      </c>
      <c r="P172" s="27" t="str">
        <f>IFERROR(INDEX('Aub Demand'!B:B,MATCH($O172,'Aub Demand'!$A:$A,0)),"")</f>
        <v>OLD FRIEND</v>
      </c>
      <c r="Q172" s="27" t="str">
        <f>IFERROR(INDEX('Aub Demand'!C:C,MATCH($O172,'Aub Demand'!$A:$A,0)),"")</f>
        <v>INTER</v>
      </c>
      <c r="R172" s="52">
        <f>IFERROR(IF(AR173=AR172,INDEX('Aub Demand'!K:K,MATCH($O172,'Aub Demand'!$A:$A,0))-IF(AN172="",0,AN172)+AP173,INDEX('Aub Demand'!K:K,MATCH($O172,'Aub Demand'!$A:$A,0))-IF(AN172="",0,AN172)),"")</f>
        <v>383</v>
      </c>
      <c r="S172" s="53">
        <f t="shared" si="56"/>
        <v>42.1</v>
      </c>
      <c r="T172" s="52" t="str">
        <f t="shared" si="57"/>
        <v/>
      </c>
      <c r="U172" s="52">
        <f>IFERROR(IF(AR173=AR172,INDEX('Aub Demand'!Q:Q,MATCH($O172,'Aub Demand'!$A:$A,0))-IF(AN172="",0,AN172)+AP173,INDEX('Aub Demand'!Q:Q,MATCH($O172,'Aub Demand'!$A:$A,0))-IF(AN172="",0,AN172)),"")</f>
        <v>383</v>
      </c>
      <c r="V172" s="53">
        <f t="shared" si="58"/>
        <v>42.1</v>
      </c>
      <c r="W172" s="52" t="str">
        <f t="shared" si="59"/>
        <v/>
      </c>
      <c r="X172" s="52">
        <f>IFERROR(IF(AND(AR173=AR172,AM172&lt;&gt;""),INDEX('Aub Demand'!Q:Q,MATCH($O172,'Aub Demand'!$A:$A,0))-IF(AN172="",0,AN172)+AP173+AD172+AL172,IF(AR173=AR172,INDEX('Aub Demand'!Q:Q,MATCH($O172,'Aub Demand'!$A:$A,0))-IF(AN172="",0,AN172)+AP173+AD172,IF(AM172&lt;&gt;"",INDEX('Aub Demand'!Q:Q,MATCH($O172,'Aub Demand'!$A:$A,0))-IF(AN172="",0,AN172)+AD172+AL172,INDEX('Aub Demand'!Q:Q,MATCH($O172,'Aub Demand'!$A:$A,0))-IF(AN172="",0,AN172)+AD172))),"")</f>
        <v>383</v>
      </c>
      <c r="Y172" s="53">
        <f t="shared" si="60"/>
        <v>42.1</v>
      </c>
      <c r="Z172" s="52">
        <f>IF(L172="","",INDEX('Aub Demand'!H:H,MATCH($O172,'Aub Demand'!$A:$A,0)))</f>
        <v>39</v>
      </c>
      <c r="AA172" s="52">
        <f t="shared" si="61"/>
        <v>58.5</v>
      </c>
      <c r="AB172" s="52">
        <f>IFERROR(INDEX('Aub Demand'!L:L,MATCH($O172,'Aub Demand'!$A:$A,0)),"")</f>
        <v>41</v>
      </c>
      <c r="AC172" s="52">
        <f>IFERROR(IF(O172="","",SUMIFS('CPL Mats'!F:F,'CPL Mats'!Q:Q,AR172,'CPL Mats'!S:S,AS172)),"")</f>
        <v>0</v>
      </c>
      <c r="AF172" s="25" t="str">
        <f>IF(SUMIFS('Supp Consol'!S:S,'Supp Consol'!Y:Y,"Releasable",'Supp Consol'!A:A,O172)=0,"",SUMIFS('Supp Consol'!S:S,'Supp Consol'!Y:Y,"Releasable",'Supp Consol'!A:A,O172))</f>
        <v/>
      </c>
      <c r="AG172" s="25" t="str">
        <f>IFERROR(INDEX('Hun Demand'!Q:Q,MATCH(O172,'Hun Demand'!A:A,0)),"")</f>
        <v/>
      </c>
      <c r="AH172" s="25" t="str">
        <f>IFERROR(INDEX('Hun Demand'!H:H,MATCH($O172,'Hun Demand'!$A:$A,0)),"")</f>
        <v/>
      </c>
      <c r="AI172" s="25" t="str">
        <f>IF(SUMIFS('Supp Consol'!AA:AA,'Supp Consol'!Z:Z,"Expires this month",'Supp Consol'!A:A,O172)=0,"",SUMIFS('Supp Consol'!AA:AA,'Supp Consol'!Z:Z,"Expires this month",'Supp Consol'!A:A,O172))</f>
        <v/>
      </c>
      <c r="AJ172" s="25" t="str">
        <f>IF(SUMIFS('Supp Consol'!AA:AA,'Supp Consol'!Z:Z,"Expired Previous Months",'Supp Consol'!A:A,O172)=0,"",SUMIFS('Supp Consol'!AA:AA,'Supp Consol'!Z:Z,"Expired Previous Months",'Supp Consol'!A:A,O172))</f>
        <v/>
      </c>
      <c r="AK172" s="25" t="str">
        <f>IFERROR(INDEX('Hun Release Current'!B:B,MATCH(O172,'Hun Release Current'!A:A,0)),"")</f>
        <v/>
      </c>
      <c r="AL172" s="25" t="str">
        <f>IF(SUMIF('Prev Aub'!A:A,O172,'Prev Aub'!B:B)=0,"",SUMIF('Prev Aub'!A:A,O172,'Prev Aub'!B:B))</f>
        <v/>
      </c>
      <c r="AN172" s="25" t="s">
        <v>3790</v>
      </c>
      <c r="AO172" s="25" t="s">
        <v>3790</v>
      </c>
      <c r="AP172" s="25">
        <f t="shared" si="62"/>
        <v>0</v>
      </c>
      <c r="AQ172" s="151" t="str">
        <f>IF(SUMIFS('Supp Consol'!S:S,'Supp Consol'!A:A,O172,'Supp Consol'!I:I,"PENDING")=0,"",SUMIFS('Supp Consol'!S:S,'Supp Consol'!A:A,O172,'Supp Consol'!I:I,"PENDING"))</f>
        <v/>
      </c>
      <c r="AR172" s="27" t="str">
        <f t="shared" si="63"/>
        <v>AG415</v>
      </c>
      <c r="AS172" s="27" t="str">
        <f t="shared" si="64"/>
        <v>62</v>
      </c>
      <c r="AT172" s="27" t="str">
        <f t="shared" si="65"/>
        <v/>
      </c>
      <c r="AU172" s="27" t="str">
        <f t="shared" si="66"/>
        <v/>
      </c>
      <c r="AV172" s="27" t="str">
        <f t="shared" si="67"/>
        <v/>
      </c>
      <c r="AW172" s="27" t="str">
        <f t="shared" si="68"/>
        <v/>
      </c>
      <c r="AX172" s="27" t="str">
        <f t="shared" si="69"/>
        <v/>
      </c>
      <c r="AY172" s="27" t="str">
        <f t="shared" si="70"/>
        <v/>
      </c>
      <c r="AZ172" s="27" t="str">
        <f t="shared" si="71"/>
        <v/>
      </c>
      <c r="BA172" s="27" t="str">
        <f t="shared" si="72"/>
        <v/>
      </c>
      <c r="BB172" s="27" t="str">
        <f t="shared" si="73"/>
        <v/>
      </c>
      <c r="BC172" s="27" t="str">
        <f t="shared" si="74"/>
        <v/>
      </c>
      <c r="BD172" s="27" t="str">
        <f t="shared" si="75"/>
        <v/>
      </c>
      <c r="BE172" s="27" t="str">
        <f t="shared" si="76"/>
        <v/>
      </c>
      <c r="BF172" s="27" t="str">
        <f t="shared" si="77"/>
        <v/>
      </c>
      <c r="BG172" s="27" t="str">
        <f t="shared" si="78"/>
        <v/>
      </c>
      <c r="BH172" s="27" t="str">
        <f t="shared" si="79"/>
        <v/>
      </c>
      <c r="BI172" s="27" t="str">
        <f t="shared" si="80"/>
        <v/>
      </c>
      <c r="BJ172" s="27" t="str">
        <f t="shared" si="81"/>
        <v/>
      </c>
      <c r="BK172" s="27" t="str">
        <f t="shared" si="82"/>
        <v/>
      </c>
      <c r="BL172" s="27" t="str">
        <f t="shared" si="83"/>
        <v/>
      </c>
      <c r="BM172" s="21" t="s">
        <v>5581</v>
      </c>
    </row>
    <row r="173" spans="1:65" ht="15">
      <c r="A173" s="25">
        <f>IFERROR(INDEX('Hun Demand'!W:W,MATCH(O173,'Hun Demand'!A:A,0)),"")</f>
        <v>0</v>
      </c>
      <c r="B173" s="25">
        <f>IFERROR(INDEX('Hun Demand'!V:V,MATCH(O173,'Hun Demand'!A:A,0)),"")</f>
        <v>0</v>
      </c>
      <c r="C173" s="25">
        <f>IFERROR(INDEX('Hun Demand'!U:U,MATCH(O173,'Hun Demand'!A:A,0)),"")</f>
        <v>180</v>
      </c>
      <c r="D173" s="25">
        <f>IFERROR(INDEX('Hun Demand'!T:T,MATCH(O173,'Hun Demand'!A:A,0)),"")</f>
        <v>573</v>
      </c>
      <c r="E173" s="25">
        <f>IFERROR(INDEX('Hun Demand'!S:S,MATCH(O173,'Hun Demand'!A:A,0)),"")</f>
        <v>725</v>
      </c>
      <c r="F173" s="25">
        <f>IFERROR(INDEX('Hun Demand'!R:R,MATCH(O173,'Hun Demand'!A:A,0)),"")</f>
        <v>0</v>
      </c>
      <c r="G173" s="25">
        <f>IFERROR(INDEX('Aub Demand'!W:W,MATCH(O173,'Aub Demand'!A:A,0)),"")</f>
        <v>0</v>
      </c>
      <c r="H173" s="25">
        <f>IFERROR(INDEX('Aub Demand'!V:V,MATCH(O173,'Aub Demand'!A:A,0)),"")</f>
        <v>0</v>
      </c>
      <c r="I173" s="25">
        <f>IFERROR(INDEX('Aub Demand'!U:U,MATCH(O173,'Aub Demand'!A:A,0)),"")</f>
        <v>0</v>
      </c>
      <c r="J173" s="25">
        <f>IFERROR(INDEX('Aub Demand'!T:T,MATCH(O173,'Aub Demand'!A:A,0)),"")</f>
        <v>0</v>
      </c>
      <c r="K173" s="25">
        <f>IFERROR(INDEX('Aub Demand'!S:S,MATCH(O173,'Aub Demand'!A:A,0)),"")</f>
        <v>0</v>
      </c>
      <c r="L173" s="25">
        <f>IFERROR(INDEX('Aub Demand'!R:R,MATCH(O173,'Aub Demand'!A:A,0)),"")</f>
        <v>0</v>
      </c>
      <c r="O173" s="27" t="s">
        <v>362</v>
      </c>
      <c r="P173" s="27" t="str">
        <f>IFERROR(INDEX('Aub Demand'!B:B,MATCH($O173,'Aub Demand'!$A:$A,0)),"")</f>
        <v>ANTIQUE SILVER</v>
      </c>
      <c r="Q173" s="27" t="str">
        <f>IFERROR(INDEX('Aub Demand'!C:C,MATCH($O173,'Aub Demand'!$A:$A,0)),"")</f>
        <v>AHLST</v>
      </c>
      <c r="R173" s="52">
        <f>IFERROR(IF(AR174=AR173,INDEX('Aub Demand'!K:K,MATCH($O173,'Aub Demand'!$A:$A,0))-IF(AN173="",0,AN173)+AP174,INDEX('Aub Demand'!K:K,MATCH($O173,'Aub Demand'!$A:$A,0))-IF(AN173="",0,AN173)),"")</f>
        <v>540</v>
      </c>
      <c r="S173" s="53" t="str">
        <f t="shared" si="56"/>
        <v>n/a</v>
      </c>
      <c r="T173" s="52" t="str">
        <f t="shared" si="57"/>
        <v/>
      </c>
      <c r="U173" s="52">
        <f>IFERROR(IF(AR174=AR173,INDEX('Aub Demand'!Q:Q,MATCH($O173,'Aub Demand'!$A:$A,0))-IF(AN173="",0,AN173)+AP174,INDEX('Aub Demand'!Q:Q,MATCH($O173,'Aub Demand'!$A:$A,0))-IF(AN173="",0,AN173)),"")</f>
        <v>540</v>
      </c>
      <c r="V173" s="53" t="str">
        <f t="shared" si="58"/>
        <v>n/a</v>
      </c>
      <c r="W173" s="52" t="str">
        <f t="shared" si="59"/>
        <v/>
      </c>
      <c r="X173" s="52">
        <f>IFERROR(IF(AND(AR174=AR173,AM173&lt;&gt;""),INDEX('Aub Demand'!Q:Q,MATCH($O173,'Aub Demand'!$A:$A,0))-IF(AN173="",0,AN173)+AP174+AD173+AL173,IF(AR174=AR173,INDEX('Aub Demand'!Q:Q,MATCH($O173,'Aub Demand'!$A:$A,0))-IF(AN173="",0,AN173)+AP174+AD173,IF(AM173&lt;&gt;"",INDEX('Aub Demand'!Q:Q,MATCH($O173,'Aub Demand'!$A:$A,0))-IF(AN173="",0,AN173)+AD173+AL173,INDEX('Aub Demand'!Q:Q,MATCH($O173,'Aub Demand'!$A:$A,0))-IF(AN173="",0,AN173)+AD173))),"")</f>
        <v>540</v>
      </c>
      <c r="Y173" s="53" t="str">
        <f t="shared" si="60"/>
        <v>n/a</v>
      </c>
      <c r="Z173" s="52">
        <f>IF(L173="","",INDEX('Aub Demand'!H:H,MATCH($O173,'Aub Demand'!$A:$A,0)))</f>
        <v>0</v>
      </c>
      <c r="AA173" s="52" t="str">
        <f t="shared" si="61"/>
        <v>-spike-</v>
      </c>
      <c r="AB173" s="52">
        <f>IFERROR(INDEX('Aub Demand'!L:L,MATCH($O173,'Aub Demand'!$A:$A,0)),"")</f>
        <v>0</v>
      </c>
      <c r="AC173" s="52">
        <f>IFERROR(IF(O173="","",SUMIFS('CPL Mats'!F:F,'CPL Mats'!Q:Q,AR173,'CPL Mats'!S:S,AS173)),"")</f>
        <v>0</v>
      </c>
      <c r="AF173" s="25" t="str">
        <f>IF(SUMIFS('Supp Consol'!S:S,'Supp Consol'!Y:Y,"Releasable",'Supp Consol'!A:A,O173)=0,"",SUMIFS('Supp Consol'!S:S,'Supp Consol'!Y:Y,"Releasable",'Supp Consol'!A:A,O173))</f>
        <v/>
      </c>
      <c r="AG173" s="25">
        <f>IFERROR(INDEX('Hun Demand'!Q:Q,MATCH(O173,'Hun Demand'!A:A,0)),"")</f>
        <v>5524</v>
      </c>
      <c r="AH173" s="25">
        <f>IFERROR(INDEX('Hun Demand'!H:H,MATCH($O173,'Hun Demand'!$A:$A,0)),"")</f>
        <v>493</v>
      </c>
      <c r="AI173" s="25" t="str">
        <f>IF(SUMIFS('Supp Consol'!AA:AA,'Supp Consol'!Z:Z,"Expires this month",'Supp Consol'!A:A,O173)=0,"",SUMIFS('Supp Consol'!AA:AA,'Supp Consol'!Z:Z,"Expires this month",'Supp Consol'!A:A,O173))</f>
        <v/>
      </c>
      <c r="AJ173" s="25" t="str">
        <f>IF(SUMIFS('Supp Consol'!AA:AA,'Supp Consol'!Z:Z,"Expired Previous Months",'Supp Consol'!A:A,O173)=0,"",SUMIFS('Supp Consol'!AA:AA,'Supp Consol'!Z:Z,"Expired Previous Months",'Supp Consol'!A:A,O173))</f>
        <v/>
      </c>
      <c r="AK173" s="25" t="str">
        <f>IFERROR(INDEX('Hun Release Current'!B:B,MATCH(O173,'Hun Release Current'!A:A,0)),"")</f>
        <v/>
      </c>
      <c r="AL173" s="25" t="str">
        <f>IF(SUMIF('Prev Aub'!A:A,O173,'Prev Aub'!B:B)=0,"",SUMIF('Prev Aub'!A:A,O173,'Prev Aub'!B:B))</f>
        <v/>
      </c>
      <c r="AN173" s="25" t="s">
        <v>3790</v>
      </c>
      <c r="AO173" s="25" t="s">
        <v>3790</v>
      </c>
      <c r="AP173" s="25">
        <f t="shared" si="62"/>
        <v>0</v>
      </c>
      <c r="AQ173" s="151" t="str">
        <f>IF(SUMIFS('Supp Consol'!S:S,'Supp Consol'!A:A,O173,'Supp Consol'!I:I,"PENDING")=0,"",SUMIFS('Supp Consol'!S:S,'Supp Consol'!A:A,O173,'Supp Consol'!I:I,"PENDING"))</f>
        <v/>
      </c>
      <c r="AR173" s="27" t="str">
        <f t="shared" si="63"/>
        <v>AG460</v>
      </c>
      <c r="AS173" s="27" t="str">
        <f t="shared" si="64"/>
        <v>62</v>
      </c>
      <c r="AT173" s="27" t="str">
        <f t="shared" si="65"/>
        <v/>
      </c>
      <c r="AU173" s="27" t="str">
        <f t="shared" si="66"/>
        <v/>
      </c>
      <c r="AV173" s="27" t="str">
        <f t="shared" si="67"/>
        <v/>
      </c>
      <c r="AW173" s="27" t="str">
        <f t="shared" si="68"/>
        <v/>
      </c>
      <c r="AX173" s="27" t="str">
        <f t="shared" si="69"/>
        <v/>
      </c>
      <c r="AY173" s="27" t="str">
        <f t="shared" si="70"/>
        <v>AG460</v>
      </c>
      <c r="AZ173" s="27" t="str">
        <f t="shared" si="71"/>
        <v/>
      </c>
      <c r="BA173" s="27" t="str">
        <f t="shared" si="72"/>
        <v>Hun</v>
      </c>
      <c r="BB173" s="27" t="str">
        <f t="shared" si="73"/>
        <v/>
      </c>
      <c r="BC173" s="27" t="str">
        <f t="shared" si="74"/>
        <v/>
      </c>
      <c r="BD173" s="27" t="str">
        <f t="shared" si="75"/>
        <v/>
      </c>
      <c r="BE173" s="27" t="str">
        <f t="shared" si="76"/>
        <v/>
      </c>
      <c r="BF173" s="27" t="str">
        <f t="shared" si="77"/>
        <v/>
      </c>
      <c r="BG173" s="27" t="str">
        <f t="shared" si="78"/>
        <v/>
      </c>
      <c r="BH173" s="27" t="str">
        <f t="shared" si="79"/>
        <v/>
      </c>
      <c r="BI173" s="27" t="str">
        <f t="shared" si="80"/>
        <v/>
      </c>
      <c r="BJ173" s="27" t="str">
        <f t="shared" si="81"/>
        <v>Supp or Hun</v>
      </c>
      <c r="BK173" s="27" t="str">
        <f t="shared" si="82"/>
        <v/>
      </c>
      <c r="BL173" s="27" t="str">
        <f t="shared" si="83"/>
        <v/>
      </c>
      <c r="BM173" s="21" t="s">
        <v>5582</v>
      </c>
    </row>
    <row r="174" spans="1:65" ht="15">
      <c r="A174" s="25" t="str">
        <f>IFERROR(INDEX('Hun Demand'!W:W,MATCH(O174,'Hun Demand'!A:A,0)),"")</f>
        <v/>
      </c>
      <c r="B174" s="25" t="str">
        <f>IFERROR(INDEX('Hun Demand'!V:V,MATCH(O174,'Hun Demand'!A:A,0)),"")</f>
        <v/>
      </c>
      <c r="C174" s="25" t="str">
        <f>IFERROR(INDEX('Hun Demand'!U:U,MATCH(O174,'Hun Demand'!A:A,0)),"")</f>
        <v/>
      </c>
      <c r="D174" s="25" t="str">
        <f>IFERROR(INDEX('Hun Demand'!T:T,MATCH(O174,'Hun Demand'!A:A,0)),"")</f>
        <v/>
      </c>
      <c r="E174" s="25" t="str">
        <f>IFERROR(INDEX('Hun Demand'!S:S,MATCH(O174,'Hun Demand'!A:A,0)),"")</f>
        <v/>
      </c>
      <c r="F174" s="25" t="str">
        <f>IFERROR(INDEX('Hun Demand'!R:R,MATCH(O174,'Hun Demand'!A:A,0)),"")</f>
        <v/>
      </c>
      <c r="G174" s="25">
        <f>IFERROR(INDEX('Aub Demand'!W:W,MATCH(O174,'Aub Demand'!A:A,0)),"")</f>
        <v>88</v>
      </c>
      <c r="H174" s="25">
        <f>IFERROR(INDEX('Aub Demand'!V:V,MATCH(O174,'Aub Demand'!A:A,0)),"")</f>
        <v>0</v>
      </c>
      <c r="I174" s="25">
        <f>IFERROR(INDEX('Aub Demand'!U:U,MATCH(O174,'Aub Demand'!A:A,0)),"")</f>
        <v>1</v>
      </c>
      <c r="J174" s="25">
        <f>IFERROR(INDEX('Aub Demand'!T:T,MATCH(O174,'Aub Demand'!A:A,0)),"")</f>
        <v>19</v>
      </c>
      <c r="K174" s="25">
        <f>IFERROR(INDEX('Aub Demand'!S:S,MATCH(O174,'Aub Demand'!A:A,0)),"")</f>
        <v>55</v>
      </c>
      <c r="L174" s="25">
        <f>IFERROR(INDEX('Aub Demand'!R:R,MATCH(O174,'Aub Demand'!A:A,0)),"")</f>
        <v>0</v>
      </c>
      <c r="O174" s="27" t="s">
        <v>364</v>
      </c>
      <c r="P174" s="27" t="str">
        <f>IFERROR(INDEX('Aub Demand'!B:B,MATCH($O174,'Aub Demand'!$A:$A,0)),"")</f>
        <v>CINDER GRAY CONCRETE</v>
      </c>
      <c r="Q174" s="27" t="str">
        <f>IFERROR(INDEX('Aub Demand'!C:C,MATCH($O174,'Aub Demand'!$A:$A,0)),"")</f>
        <v>INTER</v>
      </c>
      <c r="R174" s="52">
        <f>IFERROR(IF(AR175=AR174,INDEX('Aub Demand'!K:K,MATCH($O174,'Aub Demand'!$A:$A,0))-IF(AN174="",0,AN174)+AP175,INDEX('Aub Demand'!K:K,MATCH($O174,'Aub Demand'!$A:$A,0))-IF(AN174="",0,AN174)),"")</f>
        <v>440</v>
      </c>
      <c r="S174" s="53">
        <f t="shared" si="56"/>
        <v>75.400000000000006</v>
      </c>
      <c r="T174" s="52" t="str">
        <f t="shared" si="57"/>
        <v/>
      </c>
      <c r="U174" s="52">
        <f>IFERROR(IF(AR175=AR174,INDEX('Aub Demand'!Q:Q,MATCH($O174,'Aub Demand'!$A:$A,0))-IF(AN174="",0,AN174)+AP175,INDEX('Aub Demand'!Q:Q,MATCH($O174,'Aub Demand'!$A:$A,0))-IF(AN174="",0,AN174)),"")</f>
        <v>429</v>
      </c>
      <c r="V174" s="53">
        <f t="shared" si="58"/>
        <v>73.5</v>
      </c>
      <c r="W174" s="52" t="str">
        <f t="shared" si="59"/>
        <v/>
      </c>
      <c r="X174" s="52">
        <f>IFERROR(IF(AND(AR175=AR174,AM174&lt;&gt;""),INDEX('Aub Demand'!Q:Q,MATCH($O174,'Aub Demand'!$A:$A,0))-IF(AN174="",0,AN174)+AP175+AD174+AL174,IF(AR175=AR174,INDEX('Aub Demand'!Q:Q,MATCH($O174,'Aub Demand'!$A:$A,0))-IF(AN174="",0,AN174)+AP175+AD174,IF(AM174&lt;&gt;"",INDEX('Aub Demand'!Q:Q,MATCH($O174,'Aub Demand'!$A:$A,0))-IF(AN174="",0,AN174)+AD174+AL174,INDEX('Aub Demand'!Q:Q,MATCH($O174,'Aub Demand'!$A:$A,0))-IF(AN174="",0,AN174)+AD174))),"")</f>
        <v>429</v>
      </c>
      <c r="Y174" s="53">
        <f t="shared" si="60"/>
        <v>73.5</v>
      </c>
      <c r="Z174" s="52">
        <f>IF(L174="","",INDEX('Aub Demand'!H:H,MATCH($O174,'Aub Demand'!$A:$A,0)))</f>
        <v>25</v>
      </c>
      <c r="AA174" s="52">
        <f t="shared" si="61"/>
        <v>37</v>
      </c>
      <c r="AB174" s="52">
        <f>IFERROR(INDEX('Aub Demand'!L:L,MATCH($O174,'Aub Demand'!$A:$A,0)),"")</f>
        <v>30</v>
      </c>
      <c r="AC174" s="52">
        <f>IFERROR(IF(O174="","",SUMIFS('CPL Mats'!F:F,'CPL Mats'!Q:Q,AR174,'CPL Mats'!S:S,AS174)),"")</f>
        <v>0</v>
      </c>
      <c r="AF174" s="25" t="str">
        <f>IF(SUMIFS('Supp Consol'!S:S,'Supp Consol'!Y:Y,"Releasable",'Supp Consol'!A:A,O174)=0,"",SUMIFS('Supp Consol'!S:S,'Supp Consol'!Y:Y,"Releasable",'Supp Consol'!A:A,O174))</f>
        <v/>
      </c>
      <c r="AG174" s="25" t="str">
        <f>IFERROR(INDEX('Hun Demand'!Q:Q,MATCH(O174,'Hun Demand'!A:A,0)),"")</f>
        <v/>
      </c>
      <c r="AH174" s="25" t="str">
        <f>IFERROR(INDEX('Hun Demand'!H:H,MATCH($O174,'Hun Demand'!$A:$A,0)),"")</f>
        <v/>
      </c>
      <c r="AI174" s="25" t="str">
        <f>IF(SUMIFS('Supp Consol'!AA:AA,'Supp Consol'!Z:Z,"Expires this month",'Supp Consol'!A:A,O174)=0,"",SUMIFS('Supp Consol'!AA:AA,'Supp Consol'!Z:Z,"Expires this month",'Supp Consol'!A:A,O174))</f>
        <v/>
      </c>
      <c r="AJ174" s="25" t="str">
        <f>IF(SUMIFS('Supp Consol'!AA:AA,'Supp Consol'!Z:Z,"Expired Previous Months",'Supp Consol'!A:A,O174)=0,"",SUMIFS('Supp Consol'!AA:AA,'Supp Consol'!Z:Z,"Expired Previous Months",'Supp Consol'!A:A,O174))</f>
        <v/>
      </c>
      <c r="AK174" s="25" t="str">
        <f>IFERROR(INDEX('Hun Release Current'!B:B,MATCH(O174,'Hun Release Current'!A:A,0)),"")</f>
        <v/>
      </c>
      <c r="AL174" s="25" t="str">
        <f>IF(SUMIF('Prev Aub'!A:A,O174,'Prev Aub'!B:B)=0,"",SUMIF('Prev Aub'!A:A,O174,'Prev Aub'!B:B))</f>
        <v/>
      </c>
      <c r="AN174" s="25" t="s">
        <v>3790</v>
      </c>
      <c r="AO174" s="25" t="s">
        <v>3790</v>
      </c>
      <c r="AP174" s="25">
        <f t="shared" si="62"/>
        <v>0</v>
      </c>
      <c r="AQ174" s="151" t="str">
        <f>IF(SUMIFS('Supp Consol'!S:S,'Supp Consol'!A:A,O174,'Supp Consol'!I:I,"PENDING")=0,"",SUMIFS('Supp Consol'!S:S,'Supp Consol'!A:A,O174,'Supp Consol'!I:I,"PENDING"))</f>
        <v/>
      </c>
      <c r="AR174" s="27" t="str">
        <f t="shared" si="63"/>
        <v>AG471</v>
      </c>
      <c r="AS174" s="27" t="str">
        <f t="shared" si="64"/>
        <v>50</v>
      </c>
      <c r="AT174" s="27" t="str">
        <f t="shared" si="65"/>
        <v/>
      </c>
      <c r="AU174" s="27" t="str">
        <f t="shared" si="66"/>
        <v/>
      </c>
      <c r="AV174" s="27" t="str">
        <f t="shared" si="67"/>
        <v/>
      </c>
      <c r="AW174" s="27" t="str">
        <f t="shared" si="68"/>
        <v/>
      </c>
      <c r="AX174" s="27" t="str">
        <f t="shared" si="69"/>
        <v/>
      </c>
      <c r="AY174" s="27" t="str">
        <f t="shared" si="70"/>
        <v/>
      </c>
      <c r="AZ174" s="27" t="str">
        <f t="shared" si="71"/>
        <v>Supp</v>
      </c>
      <c r="BA174" s="27" t="str">
        <f t="shared" si="72"/>
        <v/>
      </c>
      <c r="BB174" s="27" t="str">
        <f t="shared" si="73"/>
        <v/>
      </c>
      <c r="BC174" s="27" t="str">
        <f t="shared" si="74"/>
        <v/>
      </c>
      <c r="BD174" s="27" t="str">
        <f t="shared" si="75"/>
        <v/>
      </c>
      <c r="BE174" s="27" t="str">
        <f t="shared" si="76"/>
        <v>Exp</v>
      </c>
      <c r="BF174" s="27" t="str">
        <f t="shared" si="77"/>
        <v/>
      </c>
      <c r="BG174" s="27" t="str">
        <f t="shared" si="78"/>
        <v>S+NorE</v>
      </c>
      <c r="BH174" s="27" t="str">
        <f t="shared" si="79"/>
        <v/>
      </c>
      <c r="BI174" s="27" t="str">
        <f t="shared" si="80"/>
        <v/>
      </c>
      <c r="BJ174" s="27" t="str">
        <f t="shared" si="81"/>
        <v>Supp or Hun</v>
      </c>
      <c r="BK174" s="27" t="str">
        <f t="shared" si="82"/>
        <v/>
      </c>
      <c r="BL174" s="27" t="str">
        <f t="shared" si="83"/>
        <v>SorHandNandE</v>
      </c>
      <c r="BM174" s="21" t="s">
        <v>5581</v>
      </c>
    </row>
    <row r="175" spans="1:65" ht="15">
      <c r="A175" s="25" t="str">
        <f>IFERROR(INDEX('Hun Demand'!W:W,MATCH(O175,'Hun Demand'!A:A,0)),"")</f>
        <v/>
      </c>
      <c r="B175" s="25" t="str">
        <f>IFERROR(INDEX('Hun Demand'!V:V,MATCH(O175,'Hun Demand'!A:A,0)),"")</f>
        <v/>
      </c>
      <c r="C175" s="25" t="str">
        <f>IFERROR(INDEX('Hun Demand'!U:U,MATCH(O175,'Hun Demand'!A:A,0)),"")</f>
        <v/>
      </c>
      <c r="D175" s="25" t="str">
        <f>IFERROR(INDEX('Hun Demand'!T:T,MATCH(O175,'Hun Demand'!A:A,0)),"")</f>
        <v/>
      </c>
      <c r="E175" s="25" t="str">
        <f>IFERROR(INDEX('Hun Demand'!S:S,MATCH(O175,'Hun Demand'!A:A,0)),"")</f>
        <v/>
      </c>
      <c r="F175" s="25" t="str">
        <f>IFERROR(INDEX('Hun Demand'!R:R,MATCH(O175,'Hun Demand'!A:A,0)),"")</f>
        <v/>
      </c>
      <c r="G175" s="25">
        <f>IFERROR(INDEX('Aub Demand'!W:W,MATCH(O175,'Aub Demand'!A:A,0)),"")</f>
        <v>122</v>
      </c>
      <c r="H175" s="25">
        <f>IFERROR(INDEX('Aub Demand'!V:V,MATCH(O175,'Aub Demand'!A:A,0)),"")</f>
        <v>130</v>
      </c>
      <c r="I175" s="25">
        <f>IFERROR(INDEX('Aub Demand'!U:U,MATCH(O175,'Aub Demand'!A:A,0)),"")</f>
        <v>101</v>
      </c>
      <c r="J175" s="25">
        <f>IFERROR(INDEX('Aub Demand'!T:T,MATCH(O175,'Aub Demand'!A:A,0)),"")</f>
        <v>241</v>
      </c>
      <c r="K175" s="25">
        <f>IFERROR(INDEX('Aub Demand'!S:S,MATCH(O175,'Aub Demand'!A:A,0)),"")</f>
        <v>97</v>
      </c>
      <c r="L175" s="25">
        <f>IFERROR(INDEX('Aub Demand'!R:R,MATCH(O175,'Aub Demand'!A:A,0)),"")</f>
        <v>0</v>
      </c>
      <c r="O175" s="27" t="s">
        <v>366</v>
      </c>
      <c r="P175" s="27" t="str">
        <f>IFERROR(INDEX('Aub Demand'!B:B,MATCH($O175,'Aub Demand'!$A:$A,0)),"")</f>
        <v>CINDER GRAY CONCRETE</v>
      </c>
      <c r="Q175" s="27" t="str">
        <f>IFERROR(INDEX('Aub Demand'!C:C,MATCH($O175,'Aub Demand'!$A:$A,0)),"")</f>
        <v>INTER</v>
      </c>
      <c r="R175" s="52">
        <f>IFERROR(IF(AR176=AR175,INDEX('Aub Demand'!K:K,MATCH($O175,'Aub Demand'!$A:$A,0))-IF(AN175="",0,AN175)+AP176,INDEX('Aub Demand'!K:K,MATCH($O175,'Aub Demand'!$A:$A,0))-IF(AN175="",0,AN175)),"")</f>
        <v>496</v>
      </c>
      <c r="S175" s="53">
        <f t="shared" si="56"/>
        <v>14.6</v>
      </c>
      <c r="T175" s="52" t="str">
        <f t="shared" si="57"/>
        <v/>
      </c>
      <c r="U175" s="52">
        <f>IFERROR(IF(AR176=AR175,INDEX('Aub Demand'!Q:Q,MATCH($O175,'Aub Demand'!$A:$A,0))-IF(AN175="",0,AN175)+AP176,INDEX('Aub Demand'!Q:Q,MATCH($O175,'Aub Demand'!$A:$A,0))-IF(AN175="",0,AN175)),"")</f>
        <v>460</v>
      </c>
      <c r="V175" s="53">
        <f t="shared" si="58"/>
        <v>13.5</v>
      </c>
      <c r="W175" s="52" t="str">
        <f t="shared" si="59"/>
        <v/>
      </c>
      <c r="X175" s="52">
        <f>IFERROR(IF(AND(AR176=AR175,AM175&lt;&gt;""),INDEX('Aub Demand'!Q:Q,MATCH($O175,'Aub Demand'!$A:$A,0))-IF(AN175="",0,AN175)+AP176+AD175+AL175,IF(AR176=AR175,INDEX('Aub Demand'!Q:Q,MATCH($O175,'Aub Demand'!$A:$A,0))-IF(AN175="",0,AN175)+AP176+AD175,IF(AM175&lt;&gt;"",INDEX('Aub Demand'!Q:Q,MATCH($O175,'Aub Demand'!$A:$A,0))-IF(AN175="",0,AN175)+AD175+AL175,INDEX('Aub Demand'!Q:Q,MATCH($O175,'Aub Demand'!$A:$A,0))-IF(AN175="",0,AN175)+AD175))),"")</f>
        <v>460</v>
      </c>
      <c r="Y175" s="53">
        <f t="shared" si="60"/>
        <v>13.5</v>
      </c>
      <c r="Z175" s="52">
        <f>IF(L175="","",INDEX('Aub Demand'!H:H,MATCH($O175,'Aub Demand'!$A:$A,0)))</f>
        <v>146</v>
      </c>
      <c r="AA175" s="52">
        <f t="shared" si="61"/>
        <v>171</v>
      </c>
      <c r="AB175" s="52">
        <f>IFERROR(INDEX('Aub Demand'!L:L,MATCH($O175,'Aub Demand'!$A:$A,0)),"")</f>
        <v>120</v>
      </c>
      <c r="AC175" s="52">
        <f>IFERROR(IF(O175="","",SUMIFS('CPL Mats'!F:F,'CPL Mats'!Q:Q,AR175,'CPL Mats'!S:S,AS175)),"")</f>
        <v>0</v>
      </c>
      <c r="AF175" s="25">
        <f>IF(SUMIFS('Supp Consol'!S:S,'Supp Consol'!Y:Y,"Releasable",'Supp Consol'!A:A,O175)=0,"",SUMIFS('Supp Consol'!S:S,'Supp Consol'!Y:Y,"Releasable",'Supp Consol'!A:A,O175))</f>
        <v>1734</v>
      </c>
      <c r="AG175" s="25" t="str">
        <f>IFERROR(INDEX('Hun Demand'!Q:Q,MATCH(O175,'Hun Demand'!A:A,0)),"")</f>
        <v/>
      </c>
      <c r="AH175" s="25" t="str">
        <f>IFERROR(INDEX('Hun Demand'!H:H,MATCH($O175,'Hun Demand'!$A:$A,0)),"")</f>
        <v/>
      </c>
      <c r="AI175" s="25">
        <f>IF(SUMIFS('Supp Consol'!AA:AA,'Supp Consol'!Z:Z,"Expires this month",'Supp Consol'!A:A,O175)=0,"",SUMIFS('Supp Consol'!AA:AA,'Supp Consol'!Z:Z,"Expires this month",'Supp Consol'!A:A,O175))</f>
        <v>1734</v>
      </c>
      <c r="AJ175" s="25" t="str">
        <f>IF(SUMIFS('Supp Consol'!AA:AA,'Supp Consol'!Z:Z,"Expired Previous Months",'Supp Consol'!A:A,O175)=0,"",SUMIFS('Supp Consol'!AA:AA,'Supp Consol'!Z:Z,"Expired Previous Months",'Supp Consol'!A:A,O175))</f>
        <v/>
      </c>
      <c r="AK175" s="25" t="str">
        <f>IFERROR(INDEX('Hun Release Current'!B:B,MATCH(O175,'Hun Release Current'!A:A,0)),"")</f>
        <v/>
      </c>
      <c r="AL175" s="25" t="str">
        <f>IF(SUMIF('Prev Aub'!A:A,O175,'Prev Aub'!B:B)=0,"",SUMIF('Prev Aub'!A:A,O175,'Prev Aub'!B:B))</f>
        <v/>
      </c>
      <c r="AN175" s="25" t="s">
        <v>3790</v>
      </c>
      <c r="AO175" s="25" t="s">
        <v>3790</v>
      </c>
      <c r="AP175" s="25">
        <f t="shared" si="62"/>
        <v>0</v>
      </c>
      <c r="AQ175" s="151" t="str">
        <f>IF(SUMIFS('Supp Consol'!S:S,'Supp Consol'!A:A,O175,'Supp Consol'!I:I,"PENDING")=0,"",SUMIFS('Supp Consol'!S:S,'Supp Consol'!A:A,O175,'Supp Consol'!I:I,"PENDING"))</f>
        <v/>
      </c>
      <c r="AR175" s="27" t="str">
        <f t="shared" si="63"/>
        <v>AG471</v>
      </c>
      <c r="AS175" s="27" t="str">
        <f t="shared" si="64"/>
        <v>62</v>
      </c>
      <c r="AT175" s="27" t="str">
        <f t="shared" si="65"/>
        <v/>
      </c>
      <c r="AU175" s="27" t="str">
        <f t="shared" si="66"/>
        <v/>
      </c>
      <c r="AV175" s="27" t="str">
        <f t="shared" si="67"/>
        <v/>
      </c>
      <c r="AW175" s="27" t="str">
        <f t="shared" si="68"/>
        <v>AG471</v>
      </c>
      <c r="AX175" s="27" t="str">
        <f t="shared" si="69"/>
        <v>AG471</v>
      </c>
      <c r="AY175" s="27" t="str">
        <f t="shared" si="70"/>
        <v/>
      </c>
      <c r="AZ175" s="27" t="str">
        <f t="shared" si="71"/>
        <v>Supp</v>
      </c>
      <c r="BA175" s="27" t="str">
        <f t="shared" si="72"/>
        <v/>
      </c>
      <c r="BB175" s="27" t="str">
        <f t="shared" si="73"/>
        <v/>
      </c>
      <c r="BC175" s="27" t="str">
        <f t="shared" si="74"/>
        <v/>
      </c>
      <c r="BD175" s="27" t="str">
        <f t="shared" si="75"/>
        <v/>
      </c>
      <c r="BE175" s="27" t="str">
        <f t="shared" si="76"/>
        <v>Exp</v>
      </c>
      <c r="BF175" s="27" t="str">
        <f t="shared" si="77"/>
        <v/>
      </c>
      <c r="BG175" s="27" t="str">
        <f t="shared" si="78"/>
        <v>S+NorE</v>
      </c>
      <c r="BH175" s="27" t="str">
        <f t="shared" si="79"/>
        <v/>
      </c>
      <c r="BI175" s="27" t="str">
        <f t="shared" si="80"/>
        <v/>
      </c>
      <c r="BJ175" s="27" t="str">
        <f t="shared" si="81"/>
        <v>Supp or Hun</v>
      </c>
      <c r="BK175" s="27" t="str">
        <f t="shared" si="82"/>
        <v/>
      </c>
      <c r="BL175" s="27" t="str">
        <f t="shared" si="83"/>
        <v>SorHandNandE</v>
      </c>
      <c r="BM175" s="21" t="s">
        <v>5581</v>
      </c>
    </row>
    <row r="176" spans="1:65" ht="15">
      <c r="A176" s="25" t="str">
        <f>IFERROR(INDEX('Hun Demand'!W:W,MATCH(O176,'Hun Demand'!A:A,0)),"")</f>
        <v/>
      </c>
      <c r="B176" s="25" t="str">
        <f>IFERROR(INDEX('Hun Demand'!V:V,MATCH(O176,'Hun Demand'!A:A,0)),"")</f>
        <v/>
      </c>
      <c r="C176" s="25" t="str">
        <f>IFERROR(INDEX('Hun Demand'!U:U,MATCH(O176,'Hun Demand'!A:A,0)),"")</f>
        <v/>
      </c>
      <c r="D176" s="25" t="str">
        <f>IFERROR(INDEX('Hun Demand'!T:T,MATCH(O176,'Hun Demand'!A:A,0)),"")</f>
        <v/>
      </c>
      <c r="E176" s="25" t="str">
        <f>IFERROR(INDEX('Hun Demand'!S:S,MATCH(O176,'Hun Demand'!A:A,0)),"")</f>
        <v/>
      </c>
      <c r="F176" s="25" t="str">
        <f>IFERROR(INDEX('Hun Demand'!R:R,MATCH(O176,'Hun Demand'!A:A,0)),"")</f>
        <v/>
      </c>
      <c r="G176" s="25">
        <f>IFERROR(INDEX('Aub Demand'!W:W,MATCH(O176,'Aub Demand'!A:A,0)),"")</f>
        <v>2</v>
      </c>
      <c r="H176" s="25">
        <f>IFERROR(INDEX('Aub Demand'!V:V,MATCH(O176,'Aub Demand'!A:A,0)),"")</f>
        <v>0</v>
      </c>
      <c r="I176" s="25">
        <f>IFERROR(INDEX('Aub Demand'!U:U,MATCH(O176,'Aub Demand'!A:A,0)),"")</f>
        <v>16</v>
      </c>
      <c r="J176" s="25">
        <f>IFERROR(INDEX('Aub Demand'!T:T,MATCH(O176,'Aub Demand'!A:A,0)),"")</f>
        <v>59</v>
      </c>
      <c r="K176" s="25">
        <f>IFERROR(INDEX('Aub Demand'!S:S,MATCH(O176,'Aub Demand'!A:A,0)),"")</f>
        <v>45</v>
      </c>
      <c r="L176" s="25">
        <f>IFERROR(INDEX('Aub Demand'!R:R,MATCH(O176,'Aub Demand'!A:A,0)),"")</f>
        <v>0</v>
      </c>
      <c r="O176" s="27" t="s">
        <v>367</v>
      </c>
      <c r="P176" s="27" t="str">
        <f>IFERROR(INDEX('Aub Demand'!B:B,MATCH($O176,'Aub Demand'!$A:$A,0)),"")</f>
        <v>HIMALAYAN ALLURE</v>
      </c>
      <c r="Q176" s="27" t="str">
        <f>IFERROR(INDEX('Aub Demand'!C:C,MATCH($O176,'Aub Demand'!$A:$A,0)),"")</f>
        <v>INTER</v>
      </c>
      <c r="R176" s="52">
        <f>IFERROR(IF(AR177=AR176,INDEX('Aub Demand'!K:K,MATCH($O176,'Aub Demand'!$A:$A,0))-IF(AN176="",0,AN176)+AP177,INDEX('Aub Demand'!K:K,MATCH($O176,'Aub Demand'!$A:$A,0))-IF(AN176="",0,AN176)),"")</f>
        <v>1033</v>
      </c>
      <c r="S176" s="53">
        <f t="shared" si="56"/>
        <v>110.7</v>
      </c>
      <c r="T176" s="52" t="str">
        <f t="shared" si="57"/>
        <v/>
      </c>
      <c r="U176" s="52">
        <f>IFERROR(IF(AR177=AR176,INDEX('Aub Demand'!Q:Q,MATCH($O176,'Aub Demand'!$A:$A,0))-IF(AN176="",0,AN176)+AP177,INDEX('Aub Demand'!Q:Q,MATCH($O176,'Aub Demand'!$A:$A,0))-IF(AN176="",0,AN176)),"")</f>
        <v>1015</v>
      </c>
      <c r="V176" s="53">
        <f t="shared" si="58"/>
        <v>108.8</v>
      </c>
      <c r="W176" s="52" t="str">
        <f t="shared" si="59"/>
        <v/>
      </c>
      <c r="X176" s="52">
        <f>IFERROR(IF(AND(AR177=AR176,AM176&lt;&gt;""),INDEX('Aub Demand'!Q:Q,MATCH($O176,'Aub Demand'!$A:$A,0))-IF(AN176="",0,AN176)+AP177+AD176+AL176,IF(AR177=AR176,INDEX('Aub Demand'!Q:Q,MATCH($O176,'Aub Demand'!$A:$A,0))-IF(AN176="",0,AN176)+AP177+AD176,IF(AM176&lt;&gt;"",INDEX('Aub Demand'!Q:Q,MATCH($O176,'Aub Demand'!$A:$A,0))-IF(AN176="",0,AN176)+AD176+AL176,INDEX('Aub Demand'!Q:Q,MATCH($O176,'Aub Demand'!$A:$A,0))-IF(AN176="",0,AN176)+AD176))),"")</f>
        <v>1015</v>
      </c>
      <c r="Y176" s="53">
        <f t="shared" si="60"/>
        <v>108.8</v>
      </c>
      <c r="Z176" s="52">
        <f>IF(L176="","",INDEX('Aub Demand'!H:H,MATCH($O176,'Aub Demand'!$A:$A,0)))</f>
        <v>40</v>
      </c>
      <c r="AA176" s="52">
        <f t="shared" si="61"/>
        <v>52</v>
      </c>
      <c r="AB176" s="52">
        <f>IFERROR(INDEX('Aub Demand'!L:L,MATCH($O176,'Aub Demand'!$A:$A,0)),"")</f>
        <v>17</v>
      </c>
      <c r="AC176" s="52">
        <f>IFERROR(IF(O176="","",SUMIFS('CPL Mats'!F:F,'CPL Mats'!Q:Q,AR176,'CPL Mats'!S:S,AS176)),"")</f>
        <v>0</v>
      </c>
      <c r="AF176" s="25" t="str">
        <f>IF(SUMIFS('Supp Consol'!S:S,'Supp Consol'!Y:Y,"Releasable",'Supp Consol'!A:A,O176)=0,"",SUMIFS('Supp Consol'!S:S,'Supp Consol'!Y:Y,"Releasable",'Supp Consol'!A:A,O176))</f>
        <v/>
      </c>
      <c r="AG176" s="25" t="str">
        <f>IFERROR(INDEX('Hun Demand'!Q:Q,MATCH(O176,'Hun Demand'!A:A,0)),"")</f>
        <v/>
      </c>
      <c r="AH176" s="25" t="str">
        <f>IFERROR(INDEX('Hun Demand'!H:H,MATCH($O176,'Hun Demand'!$A:$A,0)),"")</f>
        <v/>
      </c>
      <c r="AI176" s="25" t="str">
        <f>IF(SUMIFS('Supp Consol'!AA:AA,'Supp Consol'!Z:Z,"Expires this month",'Supp Consol'!A:A,O176)=0,"",SUMIFS('Supp Consol'!AA:AA,'Supp Consol'!Z:Z,"Expires this month",'Supp Consol'!A:A,O176))</f>
        <v/>
      </c>
      <c r="AJ176" s="25" t="str">
        <f>IF(SUMIFS('Supp Consol'!AA:AA,'Supp Consol'!Z:Z,"Expired Previous Months",'Supp Consol'!A:A,O176)=0,"",SUMIFS('Supp Consol'!AA:AA,'Supp Consol'!Z:Z,"Expired Previous Months",'Supp Consol'!A:A,O176))</f>
        <v/>
      </c>
      <c r="AK176" s="25" t="str">
        <f>IFERROR(INDEX('Hun Release Current'!B:B,MATCH(O176,'Hun Release Current'!A:A,0)),"")</f>
        <v/>
      </c>
      <c r="AL176" s="25" t="str">
        <f>IF(SUMIF('Prev Aub'!A:A,O176,'Prev Aub'!B:B)=0,"",SUMIF('Prev Aub'!A:A,O176,'Prev Aub'!B:B))</f>
        <v/>
      </c>
      <c r="AN176" s="25" t="s">
        <v>3790</v>
      </c>
      <c r="AO176" s="25" t="s">
        <v>3790</v>
      </c>
      <c r="AP176" s="25">
        <f t="shared" si="62"/>
        <v>0</v>
      </c>
      <c r="AQ176" s="151" t="str">
        <f>IF(SUMIFS('Supp Consol'!S:S,'Supp Consol'!A:A,O176,'Supp Consol'!I:I,"PENDING")=0,"",SUMIFS('Supp Consol'!S:S,'Supp Consol'!A:A,O176,'Supp Consol'!I:I,"PENDING"))</f>
        <v/>
      </c>
      <c r="AR176" s="27" t="str">
        <f t="shared" si="63"/>
        <v>AG481</v>
      </c>
      <c r="AS176" s="27" t="str">
        <f t="shared" si="64"/>
        <v>62</v>
      </c>
      <c r="AT176" s="27" t="str">
        <f t="shared" si="65"/>
        <v/>
      </c>
      <c r="AU176" s="27" t="str">
        <f t="shared" si="66"/>
        <v/>
      </c>
      <c r="AV176" s="27" t="str">
        <f t="shared" si="67"/>
        <v/>
      </c>
      <c r="AW176" s="27" t="str">
        <f t="shared" si="68"/>
        <v/>
      </c>
      <c r="AX176" s="27" t="str">
        <f t="shared" si="69"/>
        <v/>
      </c>
      <c r="AY176" s="27" t="str">
        <f t="shared" si="70"/>
        <v/>
      </c>
      <c r="AZ176" s="27" t="str">
        <f t="shared" si="71"/>
        <v/>
      </c>
      <c r="BA176" s="27" t="str">
        <f t="shared" si="72"/>
        <v/>
      </c>
      <c r="BB176" s="27" t="str">
        <f t="shared" si="73"/>
        <v/>
      </c>
      <c r="BC176" s="27" t="str">
        <f t="shared" si="74"/>
        <v/>
      </c>
      <c r="BD176" s="27" t="str">
        <f t="shared" si="75"/>
        <v/>
      </c>
      <c r="BE176" s="27" t="str">
        <f t="shared" si="76"/>
        <v/>
      </c>
      <c r="BF176" s="27" t="str">
        <f t="shared" si="77"/>
        <v/>
      </c>
      <c r="BG176" s="27" t="str">
        <f t="shared" si="78"/>
        <v/>
      </c>
      <c r="BH176" s="27" t="str">
        <f t="shared" si="79"/>
        <v/>
      </c>
      <c r="BI176" s="27" t="str">
        <f t="shared" si="80"/>
        <v/>
      </c>
      <c r="BJ176" s="27" t="str">
        <f t="shared" si="81"/>
        <v/>
      </c>
      <c r="BK176" s="27" t="str">
        <f t="shared" si="82"/>
        <v/>
      </c>
      <c r="BL176" s="27" t="str">
        <f t="shared" si="83"/>
        <v/>
      </c>
      <c r="BM176" s="21" t="s">
        <v>5581</v>
      </c>
    </row>
    <row r="177" spans="1:65" ht="15">
      <c r="A177" s="25">
        <f>IFERROR(INDEX('Hun Demand'!W:W,MATCH(O177,'Hun Demand'!A:A,0)),"")</f>
        <v>0</v>
      </c>
      <c r="B177" s="25">
        <f>IFERROR(INDEX('Hun Demand'!V:V,MATCH(O177,'Hun Demand'!A:A,0)),"")</f>
        <v>0</v>
      </c>
      <c r="C177" s="25">
        <f>IFERROR(INDEX('Hun Demand'!U:U,MATCH(O177,'Hun Demand'!A:A,0)),"")</f>
        <v>0</v>
      </c>
      <c r="D177" s="25">
        <f>IFERROR(INDEX('Hun Demand'!T:T,MATCH(O177,'Hun Demand'!A:A,0)),"")</f>
        <v>0</v>
      </c>
      <c r="E177" s="25">
        <f>IFERROR(INDEX('Hun Demand'!S:S,MATCH(O177,'Hun Demand'!A:A,0)),"")</f>
        <v>0</v>
      </c>
      <c r="F177" s="25">
        <f>IFERROR(INDEX('Hun Demand'!R:R,MATCH(O177,'Hun Demand'!A:A,0)),"")</f>
        <v>0</v>
      </c>
      <c r="G177" s="25">
        <f>IFERROR(INDEX('Aub Demand'!W:W,MATCH(O177,'Aub Demand'!A:A,0)),"")</f>
        <v>4</v>
      </c>
      <c r="H177" s="25">
        <f>IFERROR(INDEX('Aub Demand'!V:V,MATCH(O177,'Aub Demand'!A:A,0)),"")</f>
        <v>27</v>
      </c>
      <c r="I177" s="25">
        <f>IFERROR(INDEX('Aub Demand'!U:U,MATCH(O177,'Aub Demand'!A:A,0)),"")</f>
        <v>5</v>
      </c>
      <c r="J177" s="25">
        <f>IFERROR(INDEX('Aub Demand'!T:T,MATCH(O177,'Aub Demand'!A:A,0)),"")</f>
        <v>0</v>
      </c>
      <c r="K177" s="25">
        <f>IFERROR(INDEX('Aub Demand'!S:S,MATCH(O177,'Aub Demand'!A:A,0)),"")</f>
        <v>0</v>
      </c>
      <c r="L177" s="25">
        <f>IFERROR(INDEX('Aub Demand'!R:R,MATCH(O177,'Aub Demand'!A:A,0)),"")</f>
        <v>0</v>
      </c>
      <c r="O177" s="27" t="s">
        <v>370</v>
      </c>
      <c r="P177" s="27" t="str">
        <f>IFERROR(INDEX('Aub Demand'!B:B,MATCH($O177,'Aub Demand'!$A:$A,0)),"")</f>
        <v>CAKE BATTER</v>
      </c>
      <c r="Q177" s="27" t="str">
        <f>IFERROR(INDEX('Aub Demand'!C:C,MATCH($O177,'Aub Demand'!$A:$A,0)),"")</f>
        <v>NEODE</v>
      </c>
      <c r="R177" s="52">
        <f>IFERROR(IF(AR178=AR177,INDEX('Aub Demand'!K:K,MATCH($O177,'Aub Demand'!$A:$A,0))-IF(AN177="",0,AN177)+AP178,INDEX('Aub Demand'!K:K,MATCH($O177,'Aub Demand'!$A:$A,0))-IF(AN177="",0,AN177)),"")</f>
        <v>1509</v>
      </c>
      <c r="S177" s="53">
        <f t="shared" si="56"/>
        <v>3233.6</v>
      </c>
      <c r="T177" s="52" t="str">
        <f t="shared" si="57"/>
        <v/>
      </c>
      <c r="U177" s="52">
        <f>IFERROR(IF(AR178=AR177,INDEX('Aub Demand'!Q:Q,MATCH($O177,'Aub Demand'!$A:$A,0))-IF(AN177="",0,AN177)+AP178,INDEX('Aub Demand'!Q:Q,MATCH($O177,'Aub Demand'!$A:$A,0))-IF(AN177="",0,AN177)),"")</f>
        <v>1509</v>
      </c>
      <c r="V177" s="53">
        <f t="shared" si="58"/>
        <v>3233.6</v>
      </c>
      <c r="W177" s="52" t="str">
        <f t="shared" si="59"/>
        <v/>
      </c>
      <c r="X177" s="52">
        <f>IFERROR(IF(AND(AR178=AR177,AM177&lt;&gt;""),INDEX('Aub Demand'!Q:Q,MATCH($O177,'Aub Demand'!$A:$A,0))-IF(AN177="",0,AN177)+AP178+AD177+AL177,IF(AR178=AR177,INDEX('Aub Demand'!Q:Q,MATCH($O177,'Aub Demand'!$A:$A,0))-IF(AN177="",0,AN177)+AP178+AD177,IF(AM177&lt;&gt;"",INDEX('Aub Demand'!Q:Q,MATCH($O177,'Aub Demand'!$A:$A,0))-IF(AN177="",0,AN177)+AD177+AL177,INDEX('Aub Demand'!Q:Q,MATCH($O177,'Aub Demand'!$A:$A,0))-IF(AN177="",0,AN177)+AD177))),"")</f>
        <v>1509</v>
      </c>
      <c r="Y177" s="53">
        <f t="shared" si="60"/>
        <v>3233.6</v>
      </c>
      <c r="Z177" s="52">
        <f>IF(L177="","",INDEX('Aub Demand'!H:H,MATCH($O177,'Aub Demand'!$A:$A,0)))</f>
        <v>2</v>
      </c>
      <c r="AA177" s="52" t="str">
        <f t="shared" si="61"/>
        <v>-spike-</v>
      </c>
      <c r="AB177" s="52">
        <f>IFERROR(INDEX('Aub Demand'!L:L,MATCH($O177,'Aub Demand'!$A:$A,0)),"")</f>
        <v>0</v>
      </c>
      <c r="AC177" s="52">
        <f>IFERROR(IF(O177="","",SUMIFS('CPL Mats'!F:F,'CPL Mats'!Q:Q,AR177,'CPL Mats'!S:S,AS177)),"")</f>
        <v>0</v>
      </c>
      <c r="AF177" s="25" t="str">
        <f>IF(SUMIFS('Supp Consol'!S:S,'Supp Consol'!Y:Y,"Releasable",'Supp Consol'!A:A,O177)=0,"",SUMIFS('Supp Consol'!S:S,'Supp Consol'!Y:Y,"Releasable",'Supp Consol'!A:A,O177))</f>
        <v/>
      </c>
      <c r="AG177" s="25">
        <f>IFERROR(INDEX('Hun Demand'!Q:Q,MATCH(O177,'Hun Demand'!A:A,0)),"")</f>
        <v>70</v>
      </c>
      <c r="AH177" s="25">
        <f>IFERROR(INDEX('Hun Demand'!H:H,MATCH($O177,'Hun Demand'!$A:$A,0)),"")</f>
        <v>0</v>
      </c>
      <c r="AI177" s="25" t="str">
        <f>IF(SUMIFS('Supp Consol'!AA:AA,'Supp Consol'!Z:Z,"Expires this month",'Supp Consol'!A:A,O177)=0,"",SUMIFS('Supp Consol'!AA:AA,'Supp Consol'!Z:Z,"Expires this month",'Supp Consol'!A:A,O177))</f>
        <v/>
      </c>
      <c r="AJ177" s="25" t="str">
        <f>IF(SUMIFS('Supp Consol'!AA:AA,'Supp Consol'!Z:Z,"Expired Previous Months",'Supp Consol'!A:A,O177)=0,"",SUMIFS('Supp Consol'!AA:AA,'Supp Consol'!Z:Z,"Expired Previous Months",'Supp Consol'!A:A,O177))</f>
        <v/>
      </c>
      <c r="AK177" s="25" t="str">
        <f>IFERROR(INDEX('Hun Release Current'!B:B,MATCH(O177,'Hun Release Current'!A:A,0)),"")</f>
        <v/>
      </c>
      <c r="AL177" s="25" t="str">
        <f>IF(SUMIF('Prev Aub'!A:A,O177,'Prev Aub'!B:B)=0,"",SUMIF('Prev Aub'!A:A,O177,'Prev Aub'!B:B))</f>
        <v/>
      </c>
      <c r="AN177" s="25" t="s">
        <v>3790</v>
      </c>
      <c r="AO177" s="25" t="s">
        <v>3790</v>
      </c>
      <c r="AP177" s="25">
        <f t="shared" si="62"/>
        <v>0</v>
      </c>
      <c r="AQ177" s="151" t="str">
        <f>IF(SUMIFS('Supp Consol'!S:S,'Supp Consol'!A:A,O177,'Supp Consol'!I:I,"PENDING")=0,"",SUMIFS('Supp Consol'!S:S,'Supp Consol'!A:A,O177,'Supp Consol'!I:I,"PENDING"))</f>
        <v/>
      </c>
      <c r="AR177" s="27" t="str">
        <f t="shared" si="63"/>
        <v>AG500</v>
      </c>
      <c r="AS177" s="27" t="str">
        <f t="shared" si="64"/>
        <v>50</v>
      </c>
      <c r="AT177" s="27" t="str">
        <f t="shared" si="65"/>
        <v/>
      </c>
      <c r="AU177" s="27" t="str">
        <f t="shared" si="66"/>
        <v/>
      </c>
      <c r="AV177" s="27" t="str">
        <f t="shared" si="67"/>
        <v/>
      </c>
      <c r="AW177" s="27" t="str">
        <f t="shared" si="68"/>
        <v/>
      </c>
      <c r="AX177" s="27" t="str">
        <f t="shared" si="69"/>
        <v/>
      </c>
      <c r="AY177" s="27" t="str">
        <f t="shared" si="70"/>
        <v>AG500</v>
      </c>
      <c r="AZ177" s="27" t="str">
        <f t="shared" si="71"/>
        <v/>
      </c>
      <c r="BA177" s="27" t="str">
        <f t="shared" si="72"/>
        <v>Hun</v>
      </c>
      <c r="BB177" s="27" t="str">
        <f t="shared" si="73"/>
        <v/>
      </c>
      <c r="BC177" s="27" t="str">
        <f t="shared" si="74"/>
        <v/>
      </c>
      <c r="BD177" s="27" t="str">
        <f t="shared" si="75"/>
        <v/>
      </c>
      <c r="BE177" s="27" t="str">
        <f t="shared" si="76"/>
        <v/>
      </c>
      <c r="BF177" s="27" t="str">
        <f t="shared" si="77"/>
        <v/>
      </c>
      <c r="BG177" s="27" t="str">
        <f t="shared" si="78"/>
        <v/>
      </c>
      <c r="BH177" s="27" t="str">
        <f t="shared" si="79"/>
        <v/>
      </c>
      <c r="BI177" s="27" t="str">
        <f t="shared" si="80"/>
        <v/>
      </c>
      <c r="BJ177" s="27" t="str">
        <f t="shared" si="81"/>
        <v>Supp or Hun</v>
      </c>
      <c r="BK177" s="27" t="str">
        <f t="shared" si="82"/>
        <v/>
      </c>
      <c r="BL177" s="27" t="str">
        <f t="shared" si="83"/>
        <v/>
      </c>
      <c r="BM177" s="21" t="s">
        <v>5581</v>
      </c>
    </row>
    <row r="178" spans="1:65" ht="15">
      <c r="A178" s="25" t="str">
        <f>IFERROR(INDEX('Hun Demand'!W:W,MATCH(O178,'Hun Demand'!A:A,0)),"")</f>
        <v/>
      </c>
      <c r="B178" s="25" t="str">
        <f>IFERROR(INDEX('Hun Demand'!V:V,MATCH(O178,'Hun Demand'!A:A,0)),"")</f>
        <v/>
      </c>
      <c r="C178" s="25" t="str">
        <f>IFERROR(INDEX('Hun Demand'!U:U,MATCH(O178,'Hun Demand'!A:A,0)),"")</f>
        <v/>
      </c>
      <c r="D178" s="25" t="str">
        <f>IFERROR(INDEX('Hun Demand'!T:T,MATCH(O178,'Hun Demand'!A:A,0)),"")</f>
        <v/>
      </c>
      <c r="E178" s="25" t="str">
        <f>IFERROR(INDEX('Hun Demand'!S:S,MATCH(O178,'Hun Demand'!A:A,0)),"")</f>
        <v/>
      </c>
      <c r="F178" s="25" t="str">
        <f>IFERROR(INDEX('Hun Demand'!R:R,MATCH(O178,'Hun Demand'!A:A,0)),"")</f>
        <v/>
      </c>
      <c r="G178" s="25">
        <f>IFERROR(INDEX('Aub Demand'!W:W,MATCH(O178,'Aub Demand'!A:A,0)),"")</f>
        <v>0</v>
      </c>
      <c r="H178" s="25">
        <f>IFERROR(INDEX('Aub Demand'!V:V,MATCH(O178,'Aub Demand'!A:A,0)),"")</f>
        <v>0</v>
      </c>
      <c r="I178" s="25">
        <f>IFERROR(INDEX('Aub Demand'!U:U,MATCH(O178,'Aub Demand'!A:A,0)),"")</f>
        <v>0</v>
      </c>
      <c r="J178" s="25">
        <f>IFERROR(INDEX('Aub Demand'!T:T,MATCH(O178,'Aub Demand'!A:A,0)),"")</f>
        <v>0</v>
      </c>
      <c r="K178" s="25">
        <f>IFERROR(INDEX('Aub Demand'!S:S,MATCH(O178,'Aub Demand'!A:A,0)),"")</f>
        <v>0</v>
      </c>
      <c r="L178" s="25">
        <f>IFERROR(INDEX('Aub Demand'!R:R,MATCH(O178,'Aub Demand'!A:A,0)),"")</f>
        <v>0</v>
      </c>
      <c r="O178" s="27" t="s">
        <v>372</v>
      </c>
      <c r="P178" s="27" t="str">
        <f>IFERROR(INDEX('Aub Demand'!B:B,MATCH($O178,'Aub Demand'!$A:$A,0)),"")</f>
        <v>CAKE BATTER</v>
      </c>
      <c r="Q178" s="27" t="str">
        <f>IFERROR(INDEX('Aub Demand'!C:C,MATCH($O178,'Aub Demand'!$A:$A,0)),"")</f>
        <v>NEODE</v>
      </c>
      <c r="R178" s="52">
        <f>IFERROR(IF(AR179=AR178,INDEX('Aub Demand'!K:K,MATCH($O178,'Aub Demand'!$A:$A,0))-IF(AN178="",0,AN178)+AP179,INDEX('Aub Demand'!K:K,MATCH($O178,'Aub Demand'!$A:$A,0))-IF(AN178="",0,AN178)),"")</f>
        <v>1585</v>
      </c>
      <c r="S178" s="53" t="str">
        <f t="shared" si="56"/>
        <v>n/a</v>
      </c>
      <c r="T178" s="52" t="str">
        <f t="shared" si="57"/>
        <v/>
      </c>
      <c r="U178" s="52">
        <f>IFERROR(IF(AR179=AR178,INDEX('Aub Demand'!Q:Q,MATCH($O178,'Aub Demand'!$A:$A,0))-IF(AN178="",0,AN178)+AP179,INDEX('Aub Demand'!Q:Q,MATCH($O178,'Aub Demand'!$A:$A,0))-IF(AN178="",0,AN178)),"")</f>
        <v>1585</v>
      </c>
      <c r="V178" s="53" t="str">
        <f t="shared" si="58"/>
        <v>n/a</v>
      </c>
      <c r="W178" s="52" t="str">
        <f t="shared" si="59"/>
        <v/>
      </c>
      <c r="X178" s="52">
        <f>IFERROR(IF(AND(AR179=AR178,AM178&lt;&gt;""),INDEX('Aub Demand'!Q:Q,MATCH($O178,'Aub Demand'!$A:$A,0))-IF(AN178="",0,AN178)+AP179+AD178+AL178,IF(AR179=AR178,INDEX('Aub Demand'!Q:Q,MATCH($O178,'Aub Demand'!$A:$A,0))-IF(AN178="",0,AN178)+AP179+AD178,IF(AM178&lt;&gt;"",INDEX('Aub Demand'!Q:Q,MATCH($O178,'Aub Demand'!$A:$A,0))-IF(AN178="",0,AN178)+AD178+AL178,INDEX('Aub Demand'!Q:Q,MATCH($O178,'Aub Demand'!$A:$A,0))-IF(AN178="",0,AN178)+AD178))),"")</f>
        <v>1585</v>
      </c>
      <c r="Y178" s="53" t="str">
        <f t="shared" si="60"/>
        <v>n/a</v>
      </c>
      <c r="Z178" s="52">
        <f>IF(L178="","",INDEX('Aub Demand'!H:H,MATCH($O178,'Aub Demand'!$A:$A,0)))</f>
        <v>0</v>
      </c>
      <c r="AA178" s="52" t="str">
        <f t="shared" si="61"/>
        <v>-spike-</v>
      </c>
      <c r="AB178" s="52">
        <f>IFERROR(INDEX('Aub Demand'!L:L,MATCH($O178,'Aub Demand'!$A:$A,0)),"")</f>
        <v>0</v>
      </c>
      <c r="AC178" s="52">
        <f>IFERROR(IF(O178="","",SUMIFS('CPL Mats'!F:F,'CPL Mats'!Q:Q,AR178,'CPL Mats'!S:S,AS178)),"")</f>
        <v>0</v>
      </c>
      <c r="AF178" s="25" t="str">
        <f>IF(SUMIFS('Supp Consol'!S:S,'Supp Consol'!Y:Y,"Releasable",'Supp Consol'!A:A,O178)=0,"",SUMIFS('Supp Consol'!S:S,'Supp Consol'!Y:Y,"Releasable",'Supp Consol'!A:A,O178))</f>
        <v/>
      </c>
      <c r="AG178" s="25" t="str">
        <f>IFERROR(INDEX('Hun Demand'!Q:Q,MATCH(O178,'Hun Demand'!A:A,0)),"")</f>
        <v/>
      </c>
      <c r="AH178" s="25" t="str">
        <f>IFERROR(INDEX('Hun Demand'!H:H,MATCH($O178,'Hun Demand'!$A:$A,0)),"")</f>
        <v/>
      </c>
      <c r="AI178" s="25" t="str">
        <f>IF(SUMIFS('Supp Consol'!AA:AA,'Supp Consol'!Z:Z,"Expires this month",'Supp Consol'!A:A,O178)=0,"",SUMIFS('Supp Consol'!AA:AA,'Supp Consol'!Z:Z,"Expires this month",'Supp Consol'!A:A,O178))</f>
        <v/>
      </c>
      <c r="AJ178" s="25" t="str">
        <f>IF(SUMIFS('Supp Consol'!AA:AA,'Supp Consol'!Z:Z,"Expired Previous Months",'Supp Consol'!A:A,O178)=0,"",SUMIFS('Supp Consol'!AA:AA,'Supp Consol'!Z:Z,"Expired Previous Months",'Supp Consol'!A:A,O178))</f>
        <v/>
      </c>
      <c r="AK178" s="25" t="str">
        <f>IFERROR(INDEX('Hun Release Current'!B:B,MATCH(O178,'Hun Release Current'!A:A,0)),"")</f>
        <v/>
      </c>
      <c r="AL178" s="25" t="str">
        <f>IF(SUMIF('Prev Aub'!A:A,O178,'Prev Aub'!B:B)=0,"",SUMIF('Prev Aub'!A:A,O178,'Prev Aub'!B:B))</f>
        <v/>
      </c>
      <c r="AN178" s="25" t="s">
        <v>3790</v>
      </c>
      <c r="AO178" s="25" t="s">
        <v>3790</v>
      </c>
      <c r="AP178" s="25">
        <f t="shared" si="62"/>
        <v>0</v>
      </c>
      <c r="AQ178" s="151" t="str">
        <f>IF(SUMIFS('Supp Consol'!S:S,'Supp Consol'!A:A,O178,'Supp Consol'!I:I,"PENDING")=0,"",SUMIFS('Supp Consol'!S:S,'Supp Consol'!A:A,O178,'Supp Consol'!I:I,"PENDING"))</f>
        <v/>
      </c>
      <c r="AR178" s="27" t="str">
        <f t="shared" si="63"/>
        <v>AG500</v>
      </c>
      <c r="AS178" s="27" t="str">
        <f t="shared" si="64"/>
        <v>62</v>
      </c>
      <c r="AT178" s="27" t="str">
        <f t="shared" si="65"/>
        <v/>
      </c>
      <c r="AU178" s="27" t="str">
        <f t="shared" si="66"/>
        <v/>
      </c>
      <c r="AV178" s="27" t="str">
        <f t="shared" si="67"/>
        <v/>
      </c>
      <c r="AW178" s="27" t="str">
        <f t="shared" si="68"/>
        <v/>
      </c>
      <c r="AX178" s="27" t="str">
        <f t="shared" si="69"/>
        <v/>
      </c>
      <c r="AY178" s="27" t="str">
        <f t="shared" si="70"/>
        <v/>
      </c>
      <c r="AZ178" s="27" t="str">
        <f t="shared" si="71"/>
        <v/>
      </c>
      <c r="BA178" s="27" t="str">
        <f t="shared" si="72"/>
        <v>Hun</v>
      </c>
      <c r="BB178" s="27" t="str">
        <f t="shared" si="73"/>
        <v/>
      </c>
      <c r="BC178" s="27" t="str">
        <f t="shared" si="74"/>
        <v/>
      </c>
      <c r="BD178" s="27" t="str">
        <f t="shared" si="75"/>
        <v/>
      </c>
      <c r="BE178" s="27" t="str">
        <f t="shared" si="76"/>
        <v/>
      </c>
      <c r="BF178" s="27" t="str">
        <f t="shared" si="77"/>
        <v/>
      </c>
      <c r="BG178" s="27" t="str">
        <f t="shared" si="78"/>
        <v/>
      </c>
      <c r="BH178" s="27" t="str">
        <f t="shared" si="79"/>
        <v/>
      </c>
      <c r="BI178" s="27" t="str">
        <f t="shared" si="80"/>
        <v/>
      </c>
      <c r="BJ178" s="27" t="str">
        <f t="shared" si="81"/>
        <v>Supp or Hun</v>
      </c>
      <c r="BK178" s="27" t="str">
        <f t="shared" si="82"/>
        <v/>
      </c>
      <c r="BL178" s="27" t="str">
        <f t="shared" si="83"/>
        <v/>
      </c>
      <c r="BM178" s="21" t="s">
        <v>5581</v>
      </c>
    </row>
    <row r="179" spans="1:65" ht="15">
      <c r="A179" s="25" t="str">
        <f>IFERROR(INDEX('Hun Demand'!W:W,MATCH(O179,'Hun Demand'!A:A,0)),"")</f>
        <v/>
      </c>
      <c r="B179" s="25" t="str">
        <f>IFERROR(INDEX('Hun Demand'!V:V,MATCH(O179,'Hun Demand'!A:A,0)),"")</f>
        <v/>
      </c>
      <c r="C179" s="25" t="str">
        <f>IFERROR(INDEX('Hun Demand'!U:U,MATCH(O179,'Hun Demand'!A:A,0)),"")</f>
        <v/>
      </c>
      <c r="D179" s="25" t="str">
        <f>IFERROR(INDEX('Hun Demand'!T:T,MATCH(O179,'Hun Demand'!A:A,0)),"")</f>
        <v/>
      </c>
      <c r="E179" s="25" t="str">
        <f>IFERROR(INDEX('Hun Demand'!S:S,MATCH(O179,'Hun Demand'!A:A,0)),"")</f>
        <v/>
      </c>
      <c r="F179" s="25" t="str">
        <f>IFERROR(INDEX('Hun Demand'!R:R,MATCH(O179,'Hun Demand'!A:A,0)),"")</f>
        <v/>
      </c>
      <c r="G179" s="25">
        <f>IFERROR(INDEX('Aub Demand'!W:W,MATCH(O179,'Aub Demand'!A:A,0)),"")</f>
        <v>0</v>
      </c>
      <c r="H179" s="25">
        <f>IFERROR(INDEX('Aub Demand'!V:V,MATCH(O179,'Aub Demand'!A:A,0)),"")</f>
        <v>84</v>
      </c>
      <c r="I179" s="25">
        <f>IFERROR(INDEX('Aub Demand'!U:U,MATCH(O179,'Aub Demand'!A:A,0)),"")</f>
        <v>0</v>
      </c>
      <c r="J179" s="25">
        <f>IFERROR(INDEX('Aub Demand'!T:T,MATCH(O179,'Aub Demand'!A:A,0)),"")</f>
        <v>0</v>
      </c>
      <c r="K179" s="25">
        <f>IFERROR(INDEX('Aub Demand'!S:S,MATCH(O179,'Aub Demand'!A:A,0)),"")</f>
        <v>23</v>
      </c>
      <c r="L179" s="25">
        <f>IFERROR(INDEX('Aub Demand'!R:R,MATCH(O179,'Aub Demand'!A:A,0)),"")</f>
        <v>0</v>
      </c>
      <c r="O179" s="27" t="s">
        <v>373</v>
      </c>
      <c r="P179" s="27" t="str">
        <f>IFERROR(INDEX('Aub Demand'!B:B,MATCH($O179,'Aub Demand'!$A:$A,0)),"")</f>
        <v>CUBICLE PAPEL</v>
      </c>
      <c r="Q179" s="27" t="str">
        <f>IFERROR(INDEX('Aub Demand'!C:C,MATCH($O179,'Aub Demand'!$A:$A,0)),"")</f>
        <v>INTER</v>
      </c>
      <c r="R179" s="52">
        <f>IFERROR(IF(AR180=AR179,INDEX('Aub Demand'!K:K,MATCH($O179,'Aub Demand'!$A:$A,0))-IF(AN179="",0,AN179)+AP180,INDEX('Aub Demand'!K:K,MATCH($O179,'Aub Demand'!$A:$A,0))-IF(AN179="",0,AN179)),"")</f>
        <v>896</v>
      </c>
      <c r="S179" s="53">
        <f t="shared" si="56"/>
        <v>480</v>
      </c>
      <c r="T179" s="52" t="str">
        <f t="shared" si="57"/>
        <v/>
      </c>
      <c r="U179" s="52">
        <f>IFERROR(IF(AR180=AR179,INDEX('Aub Demand'!Q:Q,MATCH($O179,'Aub Demand'!$A:$A,0))-IF(AN179="",0,AN179)+AP180,INDEX('Aub Demand'!Q:Q,MATCH($O179,'Aub Demand'!$A:$A,0))-IF(AN179="",0,AN179)),"")</f>
        <v>752</v>
      </c>
      <c r="V179" s="53">
        <f t="shared" si="58"/>
        <v>402.9</v>
      </c>
      <c r="W179" s="52" t="str">
        <f t="shared" si="59"/>
        <v/>
      </c>
      <c r="X179" s="52">
        <f>IFERROR(IF(AND(AR180=AR179,AM179&lt;&gt;""),INDEX('Aub Demand'!Q:Q,MATCH($O179,'Aub Demand'!$A:$A,0))-IF(AN179="",0,AN179)+AP180+AD179+AL179,IF(AR180=AR179,INDEX('Aub Demand'!Q:Q,MATCH($O179,'Aub Demand'!$A:$A,0))-IF(AN179="",0,AN179)+AP180+AD179,IF(AM179&lt;&gt;"",INDEX('Aub Demand'!Q:Q,MATCH($O179,'Aub Demand'!$A:$A,0))-IF(AN179="",0,AN179)+AD179+AL179,INDEX('Aub Demand'!Q:Q,MATCH($O179,'Aub Demand'!$A:$A,0))-IF(AN179="",0,AN179)+AD179))),"")</f>
        <v>752</v>
      </c>
      <c r="Y179" s="53">
        <f t="shared" si="60"/>
        <v>402.9</v>
      </c>
      <c r="Z179" s="52">
        <f>IF(L179="","",INDEX('Aub Demand'!H:H,MATCH($O179,'Aub Demand'!$A:$A,0)))</f>
        <v>8</v>
      </c>
      <c r="AA179" s="52" t="str">
        <f t="shared" si="61"/>
        <v>-spike-</v>
      </c>
      <c r="AB179" s="52">
        <f>IFERROR(INDEX('Aub Demand'!L:L,MATCH($O179,'Aub Demand'!$A:$A,0)),"")</f>
        <v>83</v>
      </c>
      <c r="AC179" s="52">
        <f>IFERROR(IF(O179="","",SUMIFS('CPL Mats'!F:F,'CPL Mats'!Q:Q,AR179,'CPL Mats'!S:S,AS179)),"")</f>
        <v>0</v>
      </c>
      <c r="AF179" s="25" t="str">
        <f>IF(SUMIFS('Supp Consol'!S:S,'Supp Consol'!Y:Y,"Releasable",'Supp Consol'!A:A,O179)=0,"",SUMIFS('Supp Consol'!S:S,'Supp Consol'!Y:Y,"Releasable",'Supp Consol'!A:A,O179))</f>
        <v/>
      </c>
      <c r="AG179" s="25" t="str">
        <f>IFERROR(INDEX('Hun Demand'!Q:Q,MATCH(O179,'Hun Demand'!A:A,0)),"")</f>
        <v/>
      </c>
      <c r="AH179" s="25" t="str">
        <f>IFERROR(INDEX('Hun Demand'!H:H,MATCH($O179,'Hun Demand'!$A:$A,0)),"")</f>
        <v/>
      </c>
      <c r="AI179" s="25" t="str">
        <f>IF(SUMIFS('Supp Consol'!AA:AA,'Supp Consol'!Z:Z,"Expires this month",'Supp Consol'!A:A,O179)=0,"",SUMIFS('Supp Consol'!AA:AA,'Supp Consol'!Z:Z,"Expires this month",'Supp Consol'!A:A,O179))</f>
        <v/>
      </c>
      <c r="AJ179" s="25" t="str">
        <f>IF(SUMIFS('Supp Consol'!AA:AA,'Supp Consol'!Z:Z,"Expired Previous Months",'Supp Consol'!A:A,O179)=0,"",SUMIFS('Supp Consol'!AA:AA,'Supp Consol'!Z:Z,"Expired Previous Months",'Supp Consol'!A:A,O179))</f>
        <v/>
      </c>
      <c r="AK179" s="25" t="str">
        <f>IFERROR(INDEX('Hun Release Current'!B:B,MATCH(O179,'Hun Release Current'!A:A,0)),"")</f>
        <v/>
      </c>
      <c r="AL179" s="25" t="str">
        <f>IF(SUMIF('Prev Aub'!A:A,O179,'Prev Aub'!B:B)=0,"",SUMIF('Prev Aub'!A:A,O179,'Prev Aub'!B:B))</f>
        <v/>
      </c>
      <c r="AN179" s="25" t="s">
        <v>3790</v>
      </c>
      <c r="AO179" s="25" t="s">
        <v>3790</v>
      </c>
      <c r="AP179" s="25">
        <f t="shared" si="62"/>
        <v>0</v>
      </c>
      <c r="AQ179" s="151" t="str">
        <f>IF(SUMIFS('Supp Consol'!S:S,'Supp Consol'!A:A,O179,'Supp Consol'!I:I,"PENDING")=0,"",SUMIFS('Supp Consol'!S:S,'Supp Consol'!A:A,O179,'Supp Consol'!I:I,"PENDING"))</f>
        <v/>
      </c>
      <c r="AR179" s="27" t="str">
        <f t="shared" si="63"/>
        <v>AG561</v>
      </c>
      <c r="AS179" s="27" t="str">
        <f t="shared" si="64"/>
        <v>50</v>
      </c>
      <c r="AT179" s="27" t="str">
        <f t="shared" si="65"/>
        <v/>
      </c>
      <c r="AU179" s="27" t="str">
        <f t="shared" si="66"/>
        <v/>
      </c>
      <c r="AV179" s="27" t="str">
        <f t="shared" si="67"/>
        <v/>
      </c>
      <c r="AW179" s="27" t="str">
        <f t="shared" si="68"/>
        <v/>
      </c>
      <c r="AX179" s="27" t="str">
        <f t="shared" si="69"/>
        <v/>
      </c>
      <c r="AY179" s="27" t="str">
        <f t="shared" si="70"/>
        <v/>
      </c>
      <c r="AZ179" s="27" t="str">
        <f t="shared" si="71"/>
        <v/>
      </c>
      <c r="BA179" s="27" t="str">
        <f t="shared" si="72"/>
        <v/>
      </c>
      <c r="BB179" s="27" t="str">
        <f t="shared" si="73"/>
        <v/>
      </c>
      <c r="BC179" s="27" t="str">
        <f t="shared" si="74"/>
        <v/>
      </c>
      <c r="BD179" s="27" t="str">
        <f t="shared" si="75"/>
        <v/>
      </c>
      <c r="BE179" s="27" t="str">
        <f t="shared" si="76"/>
        <v/>
      </c>
      <c r="BF179" s="27" t="str">
        <f t="shared" si="77"/>
        <v/>
      </c>
      <c r="BG179" s="27" t="str">
        <f t="shared" si="78"/>
        <v/>
      </c>
      <c r="BH179" s="27" t="str">
        <f t="shared" si="79"/>
        <v/>
      </c>
      <c r="BI179" s="27" t="str">
        <f t="shared" si="80"/>
        <v/>
      </c>
      <c r="BJ179" s="27" t="str">
        <f t="shared" si="81"/>
        <v/>
      </c>
      <c r="BK179" s="27" t="str">
        <f t="shared" si="82"/>
        <v/>
      </c>
      <c r="BL179" s="27" t="str">
        <f t="shared" si="83"/>
        <v/>
      </c>
      <c r="BM179" s="21" t="s">
        <v>5581</v>
      </c>
    </row>
    <row r="180" spans="1:65" ht="15">
      <c r="A180" s="25" t="str">
        <f>IFERROR(INDEX('Hun Demand'!W:W,MATCH(O180,'Hun Demand'!A:A,0)),"")</f>
        <v/>
      </c>
      <c r="B180" s="25" t="str">
        <f>IFERROR(INDEX('Hun Demand'!V:V,MATCH(O180,'Hun Demand'!A:A,0)),"")</f>
        <v/>
      </c>
      <c r="C180" s="25" t="str">
        <f>IFERROR(INDEX('Hun Demand'!U:U,MATCH(O180,'Hun Demand'!A:A,0)),"")</f>
        <v/>
      </c>
      <c r="D180" s="25" t="str">
        <f>IFERROR(INDEX('Hun Demand'!T:T,MATCH(O180,'Hun Demand'!A:A,0)),"")</f>
        <v/>
      </c>
      <c r="E180" s="25" t="str">
        <f>IFERROR(INDEX('Hun Demand'!S:S,MATCH(O180,'Hun Demand'!A:A,0)),"")</f>
        <v/>
      </c>
      <c r="F180" s="25" t="str">
        <f>IFERROR(INDEX('Hun Demand'!R:R,MATCH(O180,'Hun Demand'!A:A,0)),"")</f>
        <v/>
      </c>
      <c r="G180" s="25">
        <f>IFERROR(INDEX('Aub Demand'!W:W,MATCH(O180,'Aub Demand'!A:A,0)),"")</f>
        <v>25</v>
      </c>
      <c r="H180" s="25">
        <f>IFERROR(INDEX('Aub Demand'!V:V,MATCH(O180,'Aub Demand'!A:A,0)),"")</f>
        <v>49</v>
      </c>
      <c r="I180" s="25">
        <f>IFERROR(INDEX('Aub Demand'!U:U,MATCH(O180,'Aub Demand'!A:A,0)),"")</f>
        <v>93</v>
      </c>
      <c r="J180" s="25">
        <f>IFERROR(INDEX('Aub Demand'!T:T,MATCH(O180,'Aub Demand'!A:A,0)),"")</f>
        <v>17</v>
      </c>
      <c r="K180" s="25">
        <f>IFERROR(INDEX('Aub Demand'!S:S,MATCH(O180,'Aub Demand'!A:A,0)),"")</f>
        <v>109</v>
      </c>
      <c r="L180" s="25">
        <f>IFERROR(INDEX('Aub Demand'!R:R,MATCH(O180,'Aub Demand'!A:A,0)),"")</f>
        <v>0</v>
      </c>
      <c r="O180" s="27" t="s">
        <v>376</v>
      </c>
      <c r="P180" s="27" t="str">
        <f>IFERROR(INDEX('Aub Demand'!B:B,MATCH($O180,'Aub Demand'!$A:$A,0)),"")</f>
        <v>CUBICLE PAPEL</v>
      </c>
      <c r="Q180" s="27" t="str">
        <f>IFERROR(INDEX('Aub Demand'!C:C,MATCH($O180,'Aub Demand'!$A:$A,0)),"")</f>
        <v>INTER</v>
      </c>
      <c r="R180" s="52">
        <f>IFERROR(IF(AR181=AR180,INDEX('Aub Demand'!K:K,MATCH($O180,'Aub Demand'!$A:$A,0))-IF(AN180="",0,AN180)+AP181,INDEX('Aub Demand'!K:K,MATCH($O180,'Aub Demand'!$A:$A,0))-IF(AN180="",0,AN180)),"")</f>
        <v>3163</v>
      </c>
      <c r="S180" s="53">
        <f t="shared" si="56"/>
        <v>185.7</v>
      </c>
      <c r="T180" s="52" t="str">
        <f t="shared" si="57"/>
        <v/>
      </c>
      <c r="U180" s="52">
        <f>IFERROR(IF(AR181=AR180,INDEX('Aub Demand'!Q:Q,MATCH($O180,'Aub Demand'!$A:$A,0))-IF(AN180="",0,AN180)+AP181,INDEX('Aub Demand'!Q:Q,MATCH($O180,'Aub Demand'!$A:$A,0))-IF(AN180="",0,AN180)),"")</f>
        <v>3123</v>
      </c>
      <c r="V180" s="53">
        <f t="shared" si="58"/>
        <v>183.3</v>
      </c>
      <c r="W180" s="52" t="str">
        <f t="shared" si="59"/>
        <v/>
      </c>
      <c r="X180" s="52">
        <f>IFERROR(IF(AND(AR181=AR180,AM180&lt;&gt;""),INDEX('Aub Demand'!Q:Q,MATCH($O180,'Aub Demand'!$A:$A,0))-IF(AN180="",0,AN180)+AP181+AD180+AL180,IF(AR181=AR180,INDEX('Aub Demand'!Q:Q,MATCH($O180,'Aub Demand'!$A:$A,0))-IF(AN180="",0,AN180)+AP181+AD180,IF(AM180&lt;&gt;"",INDEX('Aub Demand'!Q:Q,MATCH($O180,'Aub Demand'!$A:$A,0))-IF(AN180="",0,AN180)+AD180+AL180,INDEX('Aub Demand'!Q:Q,MATCH($O180,'Aub Demand'!$A:$A,0))-IF(AN180="",0,AN180)+AD180))),"")</f>
        <v>3123</v>
      </c>
      <c r="Y180" s="53">
        <f t="shared" si="60"/>
        <v>183.3</v>
      </c>
      <c r="Z180" s="52">
        <f>IF(L180="","",INDEX('Aub Demand'!H:H,MATCH($O180,'Aub Demand'!$A:$A,0)))</f>
        <v>73</v>
      </c>
      <c r="AA180" s="52">
        <f t="shared" si="61"/>
        <v>101</v>
      </c>
      <c r="AB180" s="52">
        <f>IFERROR(INDEX('Aub Demand'!L:L,MATCH($O180,'Aub Demand'!$A:$A,0)),"")</f>
        <v>40</v>
      </c>
      <c r="AC180" s="52">
        <f>IFERROR(IF(O180="","",SUMIFS('CPL Mats'!F:F,'CPL Mats'!Q:Q,AR180,'CPL Mats'!S:S,AS180)),"")</f>
        <v>0</v>
      </c>
      <c r="AF180" s="25" t="str">
        <f>IF(SUMIFS('Supp Consol'!S:S,'Supp Consol'!Y:Y,"Releasable",'Supp Consol'!A:A,O180)=0,"",SUMIFS('Supp Consol'!S:S,'Supp Consol'!Y:Y,"Releasable",'Supp Consol'!A:A,O180))</f>
        <v/>
      </c>
      <c r="AG180" s="25" t="str">
        <f>IFERROR(INDEX('Hun Demand'!Q:Q,MATCH(O180,'Hun Demand'!A:A,0)),"")</f>
        <v/>
      </c>
      <c r="AH180" s="25" t="str">
        <f>IFERROR(INDEX('Hun Demand'!H:H,MATCH($O180,'Hun Demand'!$A:$A,0)),"")</f>
        <v/>
      </c>
      <c r="AI180" s="25" t="str">
        <f>IF(SUMIFS('Supp Consol'!AA:AA,'Supp Consol'!Z:Z,"Expires this month",'Supp Consol'!A:A,O180)=0,"",SUMIFS('Supp Consol'!AA:AA,'Supp Consol'!Z:Z,"Expires this month",'Supp Consol'!A:A,O180))</f>
        <v/>
      </c>
      <c r="AJ180" s="25" t="str">
        <f>IF(SUMIFS('Supp Consol'!AA:AA,'Supp Consol'!Z:Z,"Expired Previous Months",'Supp Consol'!A:A,O180)=0,"",SUMIFS('Supp Consol'!AA:AA,'Supp Consol'!Z:Z,"Expired Previous Months",'Supp Consol'!A:A,O180))</f>
        <v/>
      </c>
      <c r="AK180" s="25" t="str">
        <f>IFERROR(INDEX('Hun Release Current'!B:B,MATCH(O180,'Hun Release Current'!A:A,0)),"")</f>
        <v/>
      </c>
      <c r="AL180" s="25" t="str">
        <f>IF(SUMIF('Prev Aub'!A:A,O180,'Prev Aub'!B:B)=0,"",SUMIF('Prev Aub'!A:A,O180,'Prev Aub'!B:B))</f>
        <v/>
      </c>
      <c r="AN180" s="25" t="s">
        <v>3790</v>
      </c>
      <c r="AO180" s="25" t="s">
        <v>3790</v>
      </c>
      <c r="AP180" s="25">
        <f t="shared" si="62"/>
        <v>0</v>
      </c>
      <c r="AQ180" s="151" t="str">
        <f>IF(SUMIFS('Supp Consol'!S:S,'Supp Consol'!A:A,O180,'Supp Consol'!I:I,"PENDING")=0,"",SUMIFS('Supp Consol'!S:S,'Supp Consol'!A:A,O180,'Supp Consol'!I:I,"PENDING"))</f>
        <v/>
      </c>
      <c r="AR180" s="27" t="str">
        <f t="shared" si="63"/>
        <v>AG561</v>
      </c>
      <c r="AS180" s="27" t="str">
        <f t="shared" si="64"/>
        <v>62</v>
      </c>
      <c r="AT180" s="27" t="str">
        <f t="shared" si="65"/>
        <v/>
      </c>
      <c r="AU180" s="27" t="str">
        <f t="shared" si="66"/>
        <v/>
      </c>
      <c r="AV180" s="27" t="str">
        <f t="shared" si="67"/>
        <v/>
      </c>
      <c r="AW180" s="27" t="str">
        <f t="shared" si="68"/>
        <v/>
      </c>
      <c r="AX180" s="27" t="str">
        <f t="shared" si="69"/>
        <v/>
      </c>
      <c r="AY180" s="27" t="str">
        <f t="shared" si="70"/>
        <v/>
      </c>
      <c r="AZ180" s="27" t="str">
        <f t="shared" si="71"/>
        <v/>
      </c>
      <c r="BA180" s="27" t="str">
        <f t="shared" si="72"/>
        <v/>
      </c>
      <c r="BB180" s="27" t="str">
        <f t="shared" si="73"/>
        <v/>
      </c>
      <c r="BC180" s="27" t="str">
        <f t="shared" si="74"/>
        <v/>
      </c>
      <c r="BD180" s="27" t="str">
        <f t="shared" si="75"/>
        <v/>
      </c>
      <c r="BE180" s="27" t="str">
        <f t="shared" si="76"/>
        <v/>
      </c>
      <c r="BF180" s="27" t="str">
        <f t="shared" si="77"/>
        <v/>
      </c>
      <c r="BG180" s="27" t="str">
        <f t="shared" si="78"/>
        <v/>
      </c>
      <c r="BH180" s="27" t="str">
        <f t="shared" si="79"/>
        <v/>
      </c>
      <c r="BI180" s="27" t="str">
        <f t="shared" si="80"/>
        <v/>
      </c>
      <c r="BJ180" s="27" t="str">
        <f t="shared" si="81"/>
        <v/>
      </c>
      <c r="BK180" s="27" t="str">
        <f t="shared" si="82"/>
        <v/>
      </c>
      <c r="BL180" s="27" t="str">
        <f t="shared" si="83"/>
        <v/>
      </c>
      <c r="BM180" s="21" t="s">
        <v>5581</v>
      </c>
    </row>
    <row r="181" spans="1:65" ht="15">
      <c r="A181" s="25" t="str">
        <f>IFERROR(INDEX('Hun Demand'!W:W,MATCH(O181,'Hun Demand'!A:A,0)),"")</f>
        <v/>
      </c>
      <c r="B181" s="25" t="str">
        <f>IFERROR(INDEX('Hun Demand'!V:V,MATCH(O181,'Hun Demand'!A:A,0)),"")</f>
        <v/>
      </c>
      <c r="C181" s="25" t="str">
        <f>IFERROR(INDEX('Hun Demand'!U:U,MATCH(O181,'Hun Demand'!A:A,0)),"")</f>
        <v/>
      </c>
      <c r="D181" s="25" t="str">
        <f>IFERROR(INDEX('Hun Demand'!T:T,MATCH(O181,'Hun Demand'!A:A,0)),"")</f>
        <v/>
      </c>
      <c r="E181" s="25" t="str">
        <f>IFERROR(INDEX('Hun Demand'!S:S,MATCH(O181,'Hun Demand'!A:A,0)),"")</f>
        <v/>
      </c>
      <c r="F181" s="25" t="str">
        <f>IFERROR(INDEX('Hun Demand'!R:R,MATCH(O181,'Hun Demand'!A:A,0)),"")</f>
        <v/>
      </c>
      <c r="G181" s="25">
        <f>IFERROR(INDEX('Aub Demand'!W:W,MATCH(O181,'Aub Demand'!A:A,0)),"")</f>
        <v>213</v>
      </c>
      <c r="H181" s="25">
        <f>IFERROR(INDEX('Aub Demand'!V:V,MATCH(O181,'Aub Demand'!A:A,0)),"")</f>
        <v>41</v>
      </c>
      <c r="I181" s="25">
        <f>IFERROR(INDEX('Aub Demand'!U:U,MATCH(O181,'Aub Demand'!A:A,0)),"")</f>
        <v>39</v>
      </c>
      <c r="J181" s="25">
        <f>IFERROR(INDEX('Aub Demand'!T:T,MATCH(O181,'Aub Demand'!A:A,0)),"")</f>
        <v>125</v>
      </c>
      <c r="K181" s="25">
        <f>IFERROR(INDEX('Aub Demand'!S:S,MATCH(O181,'Aub Demand'!A:A,0)),"")</f>
        <v>110</v>
      </c>
      <c r="L181" s="25">
        <f>IFERROR(INDEX('Aub Demand'!R:R,MATCH(O181,'Aub Demand'!A:A,0)),"")</f>
        <v>0</v>
      </c>
      <c r="O181" s="27" t="s">
        <v>378</v>
      </c>
      <c r="P181" s="27" t="str">
        <f>IFERROR(INDEX('Aub Demand'!B:B,MATCH($O181,'Aub Demand'!$A:$A,0)),"")</f>
        <v>PEARL OF THE ORIENT</v>
      </c>
      <c r="Q181" s="27" t="str">
        <f>IFERROR(INDEX('Aub Demand'!C:C,MATCH($O181,'Aub Demand'!$A:$A,0)),"")</f>
        <v>AHLST</v>
      </c>
      <c r="R181" s="52">
        <f>IFERROR(IF(AR182=AR181,INDEX('Aub Demand'!K:K,MATCH($O181,'Aub Demand'!$A:$A,0))-IF(AN181="",0,AN181)+AP182,INDEX('Aub Demand'!K:K,MATCH($O181,'Aub Demand'!$A:$A,0))-IF(AN181="",0,AN181)),"")</f>
        <v>220</v>
      </c>
      <c r="S181" s="53">
        <f t="shared" si="56"/>
        <v>10.4</v>
      </c>
      <c r="T181" s="52" t="str">
        <f t="shared" si="57"/>
        <v/>
      </c>
      <c r="U181" s="52">
        <f>IFERROR(IF(AR182=AR181,INDEX('Aub Demand'!Q:Q,MATCH($O181,'Aub Demand'!$A:$A,0))-IF(AN181="",0,AN181)+AP182,INDEX('Aub Demand'!Q:Q,MATCH($O181,'Aub Demand'!$A:$A,0))-IF(AN181="",0,AN181)),"")</f>
        <v>119</v>
      </c>
      <c r="V181" s="53">
        <f t="shared" si="58"/>
        <v>5.6</v>
      </c>
      <c r="W181" s="52" t="str">
        <f t="shared" si="59"/>
        <v/>
      </c>
      <c r="X181" s="52">
        <f>IFERROR(IF(AND(AR182=AR181,AM181&lt;&gt;""),INDEX('Aub Demand'!Q:Q,MATCH($O181,'Aub Demand'!$A:$A,0))-IF(AN181="",0,AN181)+AP182+AD181+AL181,IF(AR182=AR181,INDEX('Aub Demand'!Q:Q,MATCH($O181,'Aub Demand'!$A:$A,0))-IF(AN181="",0,AN181)+AP182+AD181,IF(AM181&lt;&gt;"",INDEX('Aub Demand'!Q:Q,MATCH($O181,'Aub Demand'!$A:$A,0))-IF(AN181="",0,AN181)+AD181+AL181,INDEX('Aub Demand'!Q:Q,MATCH($O181,'Aub Demand'!$A:$A,0))-IF(AN181="",0,AN181)+AD181))),"")</f>
        <v>119</v>
      </c>
      <c r="Y181" s="53">
        <f t="shared" si="60"/>
        <v>5.6</v>
      </c>
      <c r="Z181" s="52">
        <f>IF(L181="","",INDEX('Aub Demand'!H:H,MATCH($O181,'Aub Demand'!$A:$A,0)))</f>
        <v>91</v>
      </c>
      <c r="AA181" s="52">
        <f t="shared" si="61"/>
        <v>117.5</v>
      </c>
      <c r="AB181" s="52">
        <f>IFERROR(INDEX('Aub Demand'!L:L,MATCH($O181,'Aub Demand'!$A:$A,0)),"")</f>
        <v>150</v>
      </c>
      <c r="AC181" s="52">
        <f>IFERROR(IF(O181="","",SUMIFS('CPL Mats'!F:F,'CPL Mats'!Q:Q,AR181,'CPL Mats'!S:S,AS181)),"")</f>
        <v>1400</v>
      </c>
      <c r="AF181" s="25" t="str">
        <f>IF(SUMIFS('Supp Consol'!S:S,'Supp Consol'!Y:Y,"Releasable",'Supp Consol'!A:A,O181)=0,"",SUMIFS('Supp Consol'!S:S,'Supp Consol'!Y:Y,"Releasable",'Supp Consol'!A:A,O181))</f>
        <v/>
      </c>
      <c r="AG181" s="25" t="str">
        <f>IFERROR(INDEX('Hun Demand'!Q:Q,MATCH(O181,'Hun Demand'!A:A,0)),"")</f>
        <v/>
      </c>
      <c r="AH181" s="25" t="str">
        <f>IFERROR(INDEX('Hun Demand'!H:H,MATCH($O181,'Hun Demand'!$A:$A,0)),"")</f>
        <v/>
      </c>
      <c r="AI181" s="25" t="str">
        <f>IF(SUMIFS('Supp Consol'!AA:AA,'Supp Consol'!Z:Z,"Expires this month",'Supp Consol'!A:A,O181)=0,"",SUMIFS('Supp Consol'!AA:AA,'Supp Consol'!Z:Z,"Expires this month",'Supp Consol'!A:A,O181))</f>
        <v/>
      </c>
      <c r="AJ181" s="25" t="str">
        <f>IF(SUMIFS('Supp Consol'!AA:AA,'Supp Consol'!Z:Z,"Expired Previous Months",'Supp Consol'!A:A,O181)=0,"",SUMIFS('Supp Consol'!AA:AA,'Supp Consol'!Z:Z,"Expired Previous Months",'Supp Consol'!A:A,O181))</f>
        <v/>
      </c>
      <c r="AK181" s="25" t="str">
        <f>IFERROR(INDEX('Hun Release Current'!B:B,MATCH(O181,'Hun Release Current'!A:A,0)),"")</f>
        <v/>
      </c>
      <c r="AL181" s="25" t="str">
        <f>IF(SUMIF('Prev Aub'!A:A,O181,'Prev Aub'!B:B)=0,"",SUMIF('Prev Aub'!A:A,O181,'Prev Aub'!B:B))</f>
        <v/>
      </c>
      <c r="AN181" s="25" t="s">
        <v>3790</v>
      </c>
      <c r="AO181" s="25" t="s">
        <v>3790</v>
      </c>
      <c r="AP181" s="25">
        <f t="shared" si="62"/>
        <v>0</v>
      </c>
      <c r="AQ181" s="151" t="str">
        <f>IF(SUMIFS('Supp Consol'!S:S,'Supp Consol'!A:A,O181,'Supp Consol'!I:I,"PENDING")=0,"",SUMIFS('Supp Consol'!S:S,'Supp Consol'!A:A,O181,'Supp Consol'!I:I,"PENDING"))</f>
        <v/>
      </c>
      <c r="AR181" s="27" t="str">
        <f t="shared" si="63"/>
        <v>AG601</v>
      </c>
      <c r="AS181" s="27" t="str">
        <f t="shared" si="64"/>
        <v>50</v>
      </c>
      <c r="AT181" s="27" t="str">
        <f t="shared" si="65"/>
        <v/>
      </c>
      <c r="AU181" s="27" t="str">
        <f t="shared" si="66"/>
        <v/>
      </c>
      <c r="AV181" s="27" t="str">
        <f t="shared" si="67"/>
        <v/>
      </c>
      <c r="AW181" s="27" t="str">
        <f t="shared" si="68"/>
        <v/>
      </c>
      <c r="AX181" s="27" t="str">
        <f t="shared" si="69"/>
        <v/>
      </c>
      <c r="AY181" s="27" t="str">
        <f t="shared" si="70"/>
        <v/>
      </c>
      <c r="AZ181" s="27" t="str">
        <f t="shared" si="71"/>
        <v/>
      </c>
      <c r="BA181" s="27" t="str">
        <f t="shared" si="72"/>
        <v/>
      </c>
      <c r="BB181" s="27" t="str">
        <f t="shared" si="73"/>
        <v/>
      </c>
      <c r="BC181" s="27" t="str">
        <f t="shared" si="74"/>
        <v/>
      </c>
      <c r="BD181" s="27" t="str">
        <f t="shared" si="75"/>
        <v/>
      </c>
      <c r="BE181" s="27" t="str">
        <f t="shared" si="76"/>
        <v/>
      </c>
      <c r="BF181" s="27" t="str">
        <f t="shared" si="77"/>
        <v/>
      </c>
      <c r="BG181" s="27" t="str">
        <f t="shared" si="78"/>
        <v/>
      </c>
      <c r="BH181" s="27" t="str">
        <f t="shared" si="79"/>
        <v/>
      </c>
      <c r="BI181" s="27" t="str">
        <f t="shared" si="80"/>
        <v/>
      </c>
      <c r="BJ181" s="27" t="str">
        <f t="shared" si="81"/>
        <v/>
      </c>
      <c r="BK181" s="27" t="str">
        <f t="shared" si="82"/>
        <v/>
      </c>
      <c r="BL181" s="27" t="str">
        <f t="shared" si="83"/>
        <v/>
      </c>
      <c r="BM181" s="21" t="s">
        <v>5581</v>
      </c>
    </row>
    <row r="182" spans="1:65" ht="15">
      <c r="A182" s="25" t="str">
        <f>IFERROR(INDEX('Hun Demand'!W:W,MATCH(O182,'Hun Demand'!A:A,0)),"")</f>
        <v/>
      </c>
      <c r="B182" s="25" t="str">
        <f>IFERROR(INDEX('Hun Demand'!V:V,MATCH(O182,'Hun Demand'!A:A,0)),"")</f>
        <v/>
      </c>
      <c r="C182" s="25" t="str">
        <f>IFERROR(INDEX('Hun Demand'!U:U,MATCH(O182,'Hun Demand'!A:A,0)),"")</f>
        <v/>
      </c>
      <c r="D182" s="25" t="str">
        <f>IFERROR(INDEX('Hun Demand'!T:T,MATCH(O182,'Hun Demand'!A:A,0)),"")</f>
        <v/>
      </c>
      <c r="E182" s="25" t="str">
        <f>IFERROR(INDEX('Hun Demand'!S:S,MATCH(O182,'Hun Demand'!A:A,0)),"")</f>
        <v/>
      </c>
      <c r="F182" s="25" t="str">
        <f>IFERROR(INDEX('Hun Demand'!R:R,MATCH(O182,'Hun Demand'!A:A,0)),"")</f>
        <v/>
      </c>
      <c r="G182" s="25">
        <f>IFERROR(INDEX('Aub Demand'!W:W,MATCH(O182,'Aub Demand'!A:A,0)),"")</f>
        <v>0</v>
      </c>
      <c r="H182" s="25">
        <f>IFERROR(INDEX('Aub Demand'!V:V,MATCH(O182,'Aub Demand'!A:A,0)),"")</f>
        <v>0</v>
      </c>
      <c r="I182" s="25">
        <f>IFERROR(INDEX('Aub Demand'!U:U,MATCH(O182,'Aub Demand'!A:A,0)),"")</f>
        <v>89</v>
      </c>
      <c r="J182" s="25">
        <f>IFERROR(INDEX('Aub Demand'!T:T,MATCH(O182,'Aub Demand'!A:A,0)),"")</f>
        <v>0</v>
      </c>
      <c r="K182" s="25">
        <f>IFERROR(INDEX('Aub Demand'!S:S,MATCH(O182,'Aub Demand'!A:A,0)),"")</f>
        <v>66</v>
      </c>
      <c r="L182" s="25">
        <f>IFERROR(INDEX('Aub Demand'!R:R,MATCH(O182,'Aub Demand'!A:A,0)),"")</f>
        <v>39</v>
      </c>
      <c r="O182" s="27" t="s">
        <v>381</v>
      </c>
      <c r="P182" s="27" t="str">
        <f>IFERROR(INDEX('Aub Demand'!B:B,MATCH($O182,'Aub Demand'!$A:$A,0)),"")</f>
        <v>PEARL OF THE ORIENT</v>
      </c>
      <c r="Q182" s="27" t="str">
        <f>IFERROR(INDEX('Aub Demand'!C:C,MATCH($O182,'Aub Demand'!$A:$A,0)),"")</f>
        <v>AHLST</v>
      </c>
      <c r="R182" s="52">
        <f>IFERROR(IF(AR183=AR182,INDEX('Aub Demand'!K:K,MATCH($O182,'Aub Demand'!$A:$A,0))-IF(AN182="",0,AN182)+AP183,INDEX('Aub Demand'!K:K,MATCH($O182,'Aub Demand'!$A:$A,0))-IF(AN182="",0,AN182)),"")</f>
        <v>2280</v>
      </c>
      <c r="S182" s="53">
        <f t="shared" si="56"/>
        <v>187.9</v>
      </c>
      <c r="T182" s="52" t="str">
        <f t="shared" si="57"/>
        <v/>
      </c>
      <c r="U182" s="52">
        <f>IFERROR(IF(AR183=AR182,INDEX('Aub Demand'!Q:Q,MATCH($O182,'Aub Demand'!$A:$A,0))-IF(AN182="",0,AN182)+AP183,INDEX('Aub Demand'!Q:Q,MATCH($O182,'Aub Demand'!$A:$A,0))-IF(AN182="",0,AN182)),"")</f>
        <v>2253</v>
      </c>
      <c r="V182" s="53">
        <f t="shared" si="58"/>
        <v>185.7</v>
      </c>
      <c r="W182" s="52" t="str">
        <f t="shared" si="59"/>
        <v/>
      </c>
      <c r="X182" s="52">
        <f>IFERROR(IF(AND(AR183=AR182,AM182&lt;&gt;""),INDEX('Aub Demand'!Q:Q,MATCH($O182,'Aub Demand'!$A:$A,0))-IF(AN182="",0,AN182)+AP183+AD182+AL182,IF(AR183=AR182,INDEX('Aub Demand'!Q:Q,MATCH($O182,'Aub Demand'!$A:$A,0))-IF(AN182="",0,AN182)+AP183+AD182,IF(AM182&lt;&gt;"",INDEX('Aub Demand'!Q:Q,MATCH($O182,'Aub Demand'!$A:$A,0))-IF(AN182="",0,AN182)+AD182+AL182,INDEX('Aub Demand'!Q:Q,MATCH($O182,'Aub Demand'!$A:$A,0))-IF(AN182="",0,AN182)+AD182))),"")</f>
        <v>2253</v>
      </c>
      <c r="Y182" s="53">
        <f t="shared" si="60"/>
        <v>185.7</v>
      </c>
      <c r="Z182" s="52">
        <f>IF(L182="","",INDEX('Aub Demand'!H:H,MATCH($O182,'Aub Demand'!$A:$A,0)))</f>
        <v>52</v>
      </c>
      <c r="AA182" s="52">
        <f t="shared" si="61"/>
        <v>77.5</v>
      </c>
      <c r="AB182" s="52">
        <f>IFERROR(INDEX('Aub Demand'!L:L,MATCH($O182,'Aub Demand'!$A:$A,0)),"")</f>
        <v>53</v>
      </c>
      <c r="AC182" s="52">
        <f>IFERROR(IF(O182="","",SUMIFS('CPL Mats'!F:F,'CPL Mats'!Q:Q,AR182,'CPL Mats'!S:S,AS182)),"")</f>
        <v>0</v>
      </c>
      <c r="AF182" s="25" t="str">
        <f>IF(SUMIFS('Supp Consol'!S:S,'Supp Consol'!Y:Y,"Releasable",'Supp Consol'!A:A,O182)=0,"",SUMIFS('Supp Consol'!S:S,'Supp Consol'!Y:Y,"Releasable",'Supp Consol'!A:A,O182))</f>
        <v/>
      </c>
      <c r="AG182" s="25" t="str">
        <f>IFERROR(INDEX('Hun Demand'!Q:Q,MATCH(O182,'Hun Demand'!A:A,0)),"")</f>
        <v/>
      </c>
      <c r="AH182" s="25" t="str">
        <f>IFERROR(INDEX('Hun Demand'!H:H,MATCH($O182,'Hun Demand'!$A:$A,0)),"")</f>
        <v/>
      </c>
      <c r="AI182" s="25" t="str">
        <f>IF(SUMIFS('Supp Consol'!AA:AA,'Supp Consol'!Z:Z,"Expires this month",'Supp Consol'!A:A,O182)=0,"",SUMIFS('Supp Consol'!AA:AA,'Supp Consol'!Z:Z,"Expires this month",'Supp Consol'!A:A,O182))</f>
        <v/>
      </c>
      <c r="AJ182" s="25" t="str">
        <f>IF(SUMIFS('Supp Consol'!AA:AA,'Supp Consol'!Z:Z,"Expired Previous Months",'Supp Consol'!A:A,O182)=0,"",SUMIFS('Supp Consol'!AA:AA,'Supp Consol'!Z:Z,"Expired Previous Months",'Supp Consol'!A:A,O182))</f>
        <v/>
      </c>
      <c r="AK182" s="25" t="str">
        <f>IFERROR(INDEX('Hun Release Current'!B:B,MATCH(O182,'Hun Release Current'!A:A,0)),"")</f>
        <v/>
      </c>
      <c r="AL182" s="25" t="str">
        <f>IF(SUMIF('Prev Aub'!A:A,O182,'Prev Aub'!B:B)=0,"",SUMIF('Prev Aub'!A:A,O182,'Prev Aub'!B:B))</f>
        <v/>
      </c>
      <c r="AN182" s="25" t="s">
        <v>3790</v>
      </c>
      <c r="AO182" s="25" t="s">
        <v>3790</v>
      </c>
      <c r="AP182" s="25">
        <f t="shared" si="62"/>
        <v>0</v>
      </c>
      <c r="AQ182" s="151" t="str">
        <f>IF(SUMIFS('Supp Consol'!S:S,'Supp Consol'!A:A,O182,'Supp Consol'!I:I,"PENDING")=0,"",SUMIFS('Supp Consol'!S:S,'Supp Consol'!A:A,O182,'Supp Consol'!I:I,"PENDING"))</f>
        <v/>
      </c>
      <c r="AR182" s="27" t="str">
        <f t="shared" si="63"/>
        <v>AG601</v>
      </c>
      <c r="AS182" s="27" t="str">
        <f t="shared" si="64"/>
        <v>62</v>
      </c>
      <c r="AT182" s="27" t="str">
        <f t="shared" si="65"/>
        <v/>
      </c>
      <c r="AU182" s="27" t="str">
        <f t="shared" si="66"/>
        <v/>
      </c>
      <c r="AV182" s="27" t="str">
        <f t="shared" si="67"/>
        <v/>
      </c>
      <c r="AW182" s="27" t="str">
        <f t="shared" si="68"/>
        <v/>
      </c>
      <c r="AX182" s="27" t="str">
        <f t="shared" si="69"/>
        <v/>
      </c>
      <c r="AY182" s="27" t="str">
        <f t="shared" si="70"/>
        <v/>
      </c>
      <c r="AZ182" s="27" t="str">
        <f t="shared" si="71"/>
        <v/>
      </c>
      <c r="BA182" s="27" t="str">
        <f t="shared" si="72"/>
        <v/>
      </c>
      <c r="BB182" s="27" t="str">
        <f t="shared" si="73"/>
        <v/>
      </c>
      <c r="BC182" s="27" t="str">
        <f t="shared" si="74"/>
        <v/>
      </c>
      <c r="BD182" s="27" t="str">
        <f t="shared" si="75"/>
        <v/>
      </c>
      <c r="BE182" s="27" t="str">
        <f t="shared" si="76"/>
        <v/>
      </c>
      <c r="BF182" s="27" t="str">
        <f t="shared" si="77"/>
        <v/>
      </c>
      <c r="BG182" s="27" t="str">
        <f t="shared" si="78"/>
        <v/>
      </c>
      <c r="BH182" s="27" t="str">
        <f t="shared" si="79"/>
        <v/>
      </c>
      <c r="BI182" s="27" t="str">
        <f t="shared" si="80"/>
        <v/>
      </c>
      <c r="BJ182" s="27" t="str">
        <f t="shared" si="81"/>
        <v/>
      </c>
      <c r="BK182" s="27" t="str">
        <f t="shared" si="82"/>
        <v/>
      </c>
      <c r="BL182" s="27" t="str">
        <f t="shared" si="83"/>
        <v/>
      </c>
      <c r="BM182" s="21" t="s">
        <v>5581</v>
      </c>
    </row>
    <row r="183" spans="1:65" ht="15">
      <c r="A183" s="25">
        <f>IFERROR(INDEX('Hun Demand'!W:W,MATCH(O183,'Hun Demand'!A:A,0)),"")</f>
        <v>256</v>
      </c>
      <c r="B183" s="25">
        <f>IFERROR(INDEX('Hun Demand'!V:V,MATCH(O183,'Hun Demand'!A:A,0)),"")</f>
        <v>0</v>
      </c>
      <c r="C183" s="25">
        <f>IFERROR(INDEX('Hun Demand'!U:U,MATCH(O183,'Hun Demand'!A:A,0)),"")</f>
        <v>0</v>
      </c>
      <c r="D183" s="25">
        <f>IFERROR(INDEX('Hun Demand'!T:T,MATCH(O183,'Hun Demand'!A:A,0)),"")</f>
        <v>0</v>
      </c>
      <c r="E183" s="25">
        <f>IFERROR(INDEX('Hun Demand'!S:S,MATCH(O183,'Hun Demand'!A:A,0)),"")</f>
        <v>0</v>
      </c>
      <c r="F183" s="25">
        <f>IFERROR(INDEX('Hun Demand'!R:R,MATCH(O183,'Hun Demand'!A:A,0)),"")</f>
        <v>0</v>
      </c>
      <c r="G183" s="25">
        <f>IFERROR(INDEX('Aub Demand'!W:W,MATCH(O183,'Aub Demand'!A:A,0)),"")</f>
        <v>1070</v>
      </c>
      <c r="H183" s="25">
        <f>IFERROR(INDEX('Aub Demand'!V:V,MATCH(O183,'Aub Demand'!A:A,0)),"")</f>
        <v>241</v>
      </c>
      <c r="I183" s="25">
        <f>IFERROR(INDEX('Aub Demand'!U:U,MATCH(O183,'Aub Demand'!A:A,0)),"")</f>
        <v>384</v>
      </c>
      <c r="J183" s="25">
        <f>IFERROR(INDEX('Aub Demand'!T:T,MATCH(O183,'Aub Demand'!A:A,0)),"")</f>
        <v>156</v>
      </c>
      <c r="K183" s="25">
        <f>IFERROR(INDEX('Aub Demand'!S:S,MATCH(O183,'Aub Demand'!A:A,0)),"")</f>
        <v>0</v>
      </c>
      <c r="L183" s="25">
        <f>IFERROR(INDEX('Aub Demand'!R:R,MATCH(O183,'Aub Demand'!A:A,0)),"")</f>
        <v>0</v>
      </c>
      <c r="O183" s="27" t="s">
        <v>382</v>
      </c>
      <c r="P183" s="27" t="str">
        <f>IFERROR(INDEX('Aub Demand'!B:B,MATCH($O183,'Aub Demand'!$A:$A,0)),"")</f>
        <v>GRAVEYARD OF THE ATL</v>
      </c>
      <c r="Q183" s="27" t="str">
        <f>IFERROR(INDEX('Aub Demand'!C:C,MATCH($O183,'Aub Demand'!$A:$A,0)),"")</f>
        <v>SUDDE</v>
      </c>
      <c r="R183" s="52">
        <f>IFERROR(IF(AR184=AR183,INDEX('Aub Demand'!K:K,MATCH($O183,'Aub Demand'!$A:$A,0))-IF(AN183="",0,AN183)+AP184,INDEX('Aub Demand'!K:K,MATCH($O183,'Aub Demand'!$A:$A,0))-IF(AN183="",0,AN183)),"")</f>
        <v>2525</v>
      </c>
      <c r="S183" s="53">
        <f t="shared" si="56"/>
        <v>60.1</v>
      </c>
      <c r="T183" s="52" t="str">
        <f t="shared" si="57"/>
        <v/>
      </c>
      <c r="U183" s="52">
        <f>IFERROR(IF(AR184=AR183,INDEX('Aub Demand'!Q:Q,MATCH($O183,'Aub Demand'!$A:$A,0))-IF(AN183="",0,AN183)+AP184,INDEX('Aub Demand'!Q:Q,MATCH($O183,'Aub Demand'!$A:$A,0))-IF(AN183="",0,AN183)),"")</f>
        <v>2465</v>
      </c>
      <c r="V183" s="53">
        <f t="shared" si="58"/>
        <v>58.7</v>
      </c>
      <c r="W183" s="52" t="str">
        <f t="shared" si="59"/>
        <v/>
      </c>
      <c r="X183" s="52">
        <f>IFERROR(IF(AND(AR184=AR183,AM183&lt;&gt;""),INDEX('Aub Demand'!Q:Q,MATCH($O183,'Aub Demand'!$A:$A,0))-IF(AN183="",0,AN183)+AP184+AD183+AL183,IF(AR184=AR183,INDEX('Aub Demand'!Q:Q,MATCH($O183,'Aub Demand'!$A:$A,0))-IF(AN183="",0,AN183)+AP184+AD183,IF(AM183&lt;&gt;"",INDEX('Aub Demand'!Q:Q,MATCH($O183,'Aub Demand'!$A:$A,0))-IF(AN183="",0,AN183)+AD183+AL183,INDEX('Aub Demand'!Q:Q,MATCH($O183,'Aub Demand'!$A:$A,0))-IF(AN183="",0,AN183)+AD183))),"")</f>
        <v>2465</v>
      </c>
      <c r="Y183" s="53">
        <f t="shared" si="60"/>
        <v>58.7</v>
      </c>
      <c r="Z183" s="52">
        <f>IF(L183="","",INDEX('Aub Demand'!H:H,MATCH($O183,'Aub Demand'!$A:$A,0)))</f>
        <v>180</v>
      </c>
      <c r="AA183" s="52">
        <f t="shared" si="61"/>
        <v>270</v>
      </c>
      <c r="AB183" s="52">
        <f>IFERROR(INDEX('Aub Demand'!L:L,MATCH($O183,'Aub Demand'!$A:$A,0)),"")</f>
        <v>361</v>
      </c>
      <c r="AC183" s="52">
        <f>IFERROR(IF(O183="","",SUMIFS('CPL Mats'!F:F,'CPL Mats'!Q:Q,AR183,'CPL Mats'!S:S,AS183)),"")</f>
        <v>4526.84</v>
      </c>
      <c r="AF183" s="25">
        <f>IF(SUMIFS('Supp Consol'!S:S,'Supp Consol'!Y:Y,"Releasable",'Supp Consol'!A:A,O183)=0,"",SUMIFS('Supp Consol'!S:S,'Supp Consol'!Y:Y,"Releasable",'Supp Consol'!A:A,O183))</f>
        <v>7492</v>
      </c>
      <c r="AG183" s="25">
        <f>IFERROR(INDEX('Hun Demand'!Q:Q,MATCH(O183,'Hun Demand'!A:A,0)),"")</f>
        <v>705</v>
      </c>
      <c r="AH183" s="25">
        <f>IFERROR(INDEX('Hun Demand'!H:H,MATCH($O183,'Hun Demand'!$A:$A,0)),"")</f>
        <v>0</v>
      </c>
      <c r="AI183" s="25" t="str">
        <f>IF(SUMIFS('Supp Consol'!AA:AA,'Supp Consol'!Z:Z,"Expires this month",'Supp Consol'!A:A,O183)=0,"",SUMIFS('Supp Consol'!AA:AA,'Supp Consol'!Z:Z,"Expires this month",'Supp Consol'!A:A,O183))</f>
        <v/>
      </c>
      <c r="AJ183" s="25" t="str">
        <f>IF(SUMIFS('Supp Consol'!AA:AA,'Supp Consol'!Z:Z,"Expired Previous Months",'Supp Consol'!A:A,O183)=0,"",SUMIFS('Supp Consol'!AA:AA,'Supp Consol'!Z:Z,"Expired Previous Months",'Supp Consol'!A:A,O183))</f>
        <v/>
      </c>
      <c r="AK183" s="25" t="str">
        <f>IFERROR(INDEX('Hun Release Current'!B:B,MATCH(O183,'Hun Release Current'!A:A,0)),"")</f>
        <v/>
      </c>
      <c r="AL183" s="25" t="str">
        <f>IF(SUMIF('Prev Aub'!A:A,O183,'Prev Aub'!B:B)=0,"",SUMIF('Prev Aub'!A:A,O183,'Prev Aub'!B:B))</f>
        <v/>
      </c>
      <c r="AN183" s="25" t="s">
        <v>3790</v>
      </c>
      <c r="AO183" s="25" t="s">
        <v>3790</v>
      </c>
      <c r="AP183" s="25">
        <f t="shared" si="62"/>
        <v>0</v>
      </c>
      <c r="AQ183" s="151" t="str">
        <f>IF(SUMIFS('Supp Consol'!S:S,'Supp Consol'!A:A,O183,'Supp Consol'!I:I,"PENDING")=0,"",SUMIFS('Supp Consol'!S:S,'Supp Consol'!A:A,O183,'Supp Consol'!I:I,"PENDING"))</f>
        <v/>
      </c>
      <c r="AR183" s="27" t="str">
        <f t="shared" si="63"/>
        <v>AG611</v>
      </c>
      <c r="AS183" s="27" t="str">
        <f t="shared" si="64"/>
        <v>50</v>
      </c>
      <c r="AT183" s="27" t="str">
        <f t="shared" si="65"/>
        <v/>
      </c>
      <c r="AU183" s="27" t="str">
        <f t="shared" si="66"/>
        <v/>
      </c>
      <c r="AV183" s="27" t="str">
        <f t="shared" si="67"/>
        <v/>
      </c>
      <c r="AW183" s="27" t="str">
        <f t="shared" si="68"/>
        <v/>
      </c>
      <c r="AX183" s="27" t="str">
        <f t="shared" si="69"/>
        <v>AG611</v>
      </c>
      <c r="AY183" s="27" t="str">
        <f t="shared" si="70"/>
        <v>AG611</v>
      </c>
      <c r="AZ183" s="27" t="str">
        <f t="shared" si="71"/>
        <v>Supp</v>
      </c>
      <c r="BA183" s="27" t="str">
        <f t="shared" si="72"/>
        <v>Hun</v>
      </c>
      <c r="BB183" s="27" t="str">
        <f t="shared" si="73"/>
        <v/>
      </c>
      <c r="BC183" s="27" t="str">
        <f t="shared" si="74"/>
        <v/>
      </c>
      <c r="BD183" s="27" t="str">
        <f t="shared" si="75"/>
        <v/>
      </c>
      <c r="BE183" s="27" t="str">
        <f t="shared" si="76"/>
        <v/>
      </c>
      <c r="BF183" s="27" t="str">
        <f t="shared" si="77"/>
        <v/>
      </c>
      <c r="BG183" s="27" t="str">
        <f t="shared" si="78"/>
        <v/>
      </c>
      <c r="BH183" s="27" t="str">
        <f t="shared" si="79"/>
        <v/>
      </c>
      <c r="BI183" s="27" t="str">
        <f t="shared" si="80"/>
        <v/>
      </c>
      <c r="BJ183" s="27" t="str">
        <f t="shared" si="81"/>
        <v>Supp or Hun</v>
      </c>
      <c r="BK183" s="27" t="str">
        <f t="shared" si="82"/>
        <v/>
      </c>
      <c r="BL183" s="27" t="str">
        <f t="shared" si="83"/>
        <v/>
      </c>
      <c r="BM183" s="21" t="s">
        <v>5581</v>
      </c>
    </row>
    <row r="184" spans="1:65" ht="15">
      <c r="A184" s="25">
        <f>IFERROR(INDEX('Hun Demand'!W:W,MATCH(O184,'Hun Demand'!A:A,0)),"")</f>
        <v>0</v>
      </c>
      <c r="B184" s="25">
        <f>IFERROR(INDEX('Hun Demand'!V:V,MATCH(O184,'Hun Demand'!A:A,0)),"")</f>
        <v>196</v>
      </c>
      <c r="C184" s="25">
        <f>IFERROR(INDEX('Hun Demand'!U:U,MATCH(O184,'Hun Demand'!A:A,0)),"")</f>
        <v>0</v>
      </c>
      <c r="D184" s="25">
        <f>IFERROR(INDEX('Hun Demand'!T:T,MATCH(O184,'Hun Demand'!A:A,0)),"")</f>
        <v>0</v>
      </c>
      <c r="E184" s="25">
        <f>IFERROR(INDEX('Hun Demand'!S:S,MATCH(O184,'Hun Demand'!A:A,0)),"")</f>
        <v>0</v>
      </c>
      <c r="F184" s="25">
        <f>IFERROR(INDEX('Hun Demand'!R:R,MATCH(O184,'Hun Demand'!A:A,0)),"")</f>
        <v>0</v>
      </c>
      <c r="G184" s="25">
        <f>IFERROR(INDEX('Aub Demand'!W:W,MATCH(O184,'Aub Demand'!A:A,0)),"")</f>
        <v>269</v>
      </c>
      <c r="H184" s="25">
        <f>IFERROR(INDEX('Aub Demand'!V:V,MATCH(O184,'Aub Demand'!A:A,0)),"")</f>
        <v>343</v>
      </c>
      <c r="I184" s="25">
        <f>IFERROR(INDEX('Aub Demand'!U:U,MATCH(O184,'Aub Demand'!A:A,0)),"")</f>
        <v>112</v>
      </c>
      <c r="J184" s="25">
        <f>IFERROR(INDEX('Aub Demand'!T:T,MATCH(O184,'Aub Demand'!A:A,0)),"")</f>
        <v>177</v>
      </c>
      <c r="K184" s="25">
        <f>IFERROR(INDEX('Aub Demand'!S:S,MATCH(O184,'Aub Demand'!A:A,0)),"")</f>
        <v>83</v>
      </c>
      <c r="L184" s="25">
        <f>IFERROR(INDEX('Aub Demand'!R:R,MATCH(O184,'Aub Demand'!A:A,0)),"")</f>
        <v>0</v>
      </c>
      <c r="O184" s="27" t="s">
        <v>384</v>
      </c>
      <c r="P184" s="27" t="str">
        <f>IFERROR(INDEX('Aub Demand'!B:B,MATCH($O184,'Aub Demand'!$A:$A,0)),"")</f>
        <v>GRAVEYARD OF THE ATL</v>
      </c>
      <c r="Q184" s="27" t="str">
        <f>IFERROR(INDEX('Aub Demand'!C:C,MATCH($O184,'Aub Demand'!$A:$A,0)),"")</f>
        <v>SUDDE</v>
      </c>
      <c r="R184" s="52">
        <f>IFERROR(IF(AR185=AR184,INDEX('Aub Demand'!K:K,MATCH($O184,'Aub Demand'!$A:$A,0))-IF(AN184="",0,AN184)+AP185,INDEX('Aub Demand'!K:K,MATCH($O184,'Aub Demand'!$A:$A,0))-IF(AN184="",0,AN184)),"")</f>
        <v>4083</v>
      </c>
      <c r="S184" s="53">
        <f t="shared" si="56"/>
        <v>141.1</v>
      </c>
      <c r="T184" s="52" t="str">
        <f t="shared" si="57"/>
        <v/>
      </c>
      <c r="U184" s="52">
        <f>IFERROR(IF(AR185=AR184,INDEX('Aub Demand'!Q:Q,MATCH($O184,'Aub Demand'!$A:$A,0))-IF(AN184="",0,AN184)+AP185,INDEX('Aub Demand'!Q:Q,MATCH($O184,'Aub Demand'!$A:$A,0))-IF(AN184="",0,AN184)),"")</f>
        <v>4070</v>
      </c>
      <c r="V184" s="53">
        <f t="shared" si="58"/>
        <v>140.69999999999999</v>
      </c>
      <c r="W184" s="52" t="str">
        <f t="shared" si="59"/>
        <v/>
      </c>
      <c r="X184" s="52">
        <f>IFERROR(IF(AND(AR185=AR184,AM184&lt;&gt;""),INDEX('Aub Demand'!Q:Q,MATCH($O184,'Aub Demand'!$A:$A,0))-IF(AN184="",0,AN184)+AP185+AD184+AL184,IF(AR185=AR184,INDEX('Aub Demand'!Q:Q,MATCH($O184,'Aub Demand'!$A:$A,0))-IF(AN184="",0,AN184)+AP185+AD184,IF(AM184&lt;&gt;"",INDEX('Aub Demand'!Q:Q,MATCH($O184,'Aub Demand'!$A:$A,0))-IF(AN184="",0,AN184)+AD184+AL184,INDEX('Aub Demand'!Q:Q,MATCH($O184,'Aub Demand'!$A:$A,0))-IF(AN184="",0,AN184)+AD184))),"")</f>
        <v>4070</v>
      </c>
      <c r="Y184" s="53">
        <f t="shared" si="60"/>
        <v>140.69999999999999</v>
      </c>
      <c r="Z184" s="52">
        <f>IF(L184="","",INDEX('Aub Demand'!H:H,MATCH($O184,'Aub Demand'!$A:$A,0)))</f>
        <v>124</v>
      </c>
      <c r="AA184" s="52">
        <f t="shared" si="61"/>
        <v>144.5</v>
      </c>
      <c r="AB184" s="52">
        <f>IFERROR(INDEX('Aub Demand'!L:L,MATCH($O184,'Aub Demand'!$A:$A,0)),"")</f>
        <v>342</v>
      </c>
      <c r="AC184" s="52">
        <f>IFERROR(IF(O184="","",SUMIFS('CPL Mats'!F:F,'CPL Mats'!Q:Q,AR184,'CPL Mats'!S:S,AS184)),"")</f>
        <v>2059</v>
      </c>
      <c r="AF184" s="25">
        <f>IF(SUMIFS('Supp Consol'!S:S,'Supp Consol'!Y:Y,"Releasable",'Supp Consol'!A:A,O184)=0,"",SUMIFS('Supp Consol'!S:S,'Supp Consol'!Y:Y,"Releasable",'Supp Consol'!A:A,O184))</f>
        <v>7959</v>
      </c>
      <c r="AG184" s="25">
        <f>IFERROR(INDEX('Hun Demand'!Q:Q,MATCH(O184,'Hun Demand'!A:A,0)),"")</f>
        <v>1706</v>
      </c>
      <c r="AH184" s="25">
        <f>IFERROR(INDEX('Hun Demand'!H:H,MATCH($O184,'Hun Demand'!$A:$A,0)),"")</f>
        <v>0</v>
      </c>
      <c r="AI184" s="25" t="str">
        <f>IF(SUMIFS('Supp Consol'!AA:AA,'Supp Consol'!Z:Z,"Expires this month",'Supp Consol'!A:A,O184)=0,"",SUMIFS('Supp Consol'!AA:AA,'Supp Consol'!Z:Z,"Expires this month",'Supp Consol'!A:A,O184))</f>
        <v/>
      </c>
      <c r="AJ184" s="25" t="str">
        <f>IF(SUMIFS('Supp Consol'!AA:AA,'Supp Consol'!Z:Z,"Expired Previous Months",'Supp Consol'!A:A,O184)=0,"",SUMIFS('Supp Consol'!AA:AA,'Supp Consol'!Z:Z,"Expired Previous Months",'Supp Consol'!A:A,O184))</f>
        <v/>
      </c>
      <c r="AK184" s="25" t="str">
        <f>IFERROR(INDEX('Hun Release Current'!B:B,MATCH(O184,'Hun Release Current'!A:A,0)),"")</f>
        <v/>
      </c>
      <c r="AL184" s="25" t="str">
        <f>IF(SUMIF('Prev Aub'!A:A,O184,'Prev Aub'!B:B)=0,"",SUMIF('Prev Aub'!A:A,O184,'Prev Aub'!B:B))</f>
        <v/>
      </c>
      <c r="AN184" s="25" t="s">
        <v>3790</v>
      </c>
      <c r="AO184" s="25" t="s">
        <v>3790</v>
      </c>
      <c r="AP184" s="25">
        <f t="shared" si="62"/>
        <v>0</v>
      </c>
      <c r="AQ184" s="151" t="str">
        <f>IF(SUMIFS('Supp Consol'!S:S,'Supp Consol'!A:A,O184,'Supp Consol'!I:I,"PENDING")=0,"",SUMIFS('Supp Consol'!S:S,'Supp Consol'!A:A,O184,'Supp Consol'!I:I,"PENDING"))</f>
        <v/>
      </c>
      <c r="AR184" s="27" t="str">
        <f t="shared" si="63"/>
        <v>AG611</v>
      </c>
      <c r="AS184" s="27" t="str">
        <f t="shared" si="64"/>
        <v>62</v>
      </c>
      <c r="AT184" s="27" t="str">
        <f t="shared" si="65"/>
        <v/>
      </c>
      <c r="AU184" s="27" t="str">
        <f t="shared" si="66"/>
        <v/>
      </c>
      <c r="AV184" s="27" t="str">
        <f t="shared" si="67"/>
        <v/>
      </c>
      <c r="AW184" s="27" t="str">
        <f t="shared" si="68"/>
        <v/>
      </c>
      <c r="AX184" s="27" t="str">
        <f t="shared" si="69"/>
        <v>AG611</v>
      </c>
      <c r="AY184" s="27" t="str">
        <f t="shared" si="70"/>
        <v>AG611</v>
      </c>
      <c r="AZ184" s="27" t="str">
        <f t="shared" si="71"/>
        <v>Supp</v>
      </c>
      <c r="BA184" s="27" t="str">
        <f t="shared" si="72"/>
        <v>Hun</v>
      </c>
      <c r="BB184" s="27" t="str">
        <f t="shared" si="73"/>
        <v/>
      </c>
      <c r="BC184" s="27" t="str">
        <f t="shared" si="74"/>
        <v/>
      </c>
      <c r="BD184" s="27" t="str">
        <f t="shared" si="75"/>
        <v/>
      </c>
      <c r="BE184" s="27" t="str">
        <f t="shared" si="76"/>
        <v/>
      </c>
      <c r="BF184" s="27" t="str">
        <f t="shared" si="77"/>
        <v/>
      </c>
      <c r="BG184" s="27" t="str">
        <f t="shared" si="78"/>
        <v/>
      </c>
      <c r="BH184" s="27" t="str">
        <f t="shared" si="79"/>
        <v/>
      </c>
      <c r="BI184" s="27" t="str">
        <f t="shared" si="80"/>
        <v/>
      </c>
      <c r="BJ184" s="27" t="str">
        <f t="shared" si="81"/>
        <v>Supp or Hun</v>
      </c>
      <c r="BK184" s="27" t="str">
        <f t="shared" si="82"/>
        <v/>
      </c>
      <c r="BL184" s="27" t="str">
        <f t="shared" si="83"/>
        <v/>
      </c>
      <c r="BM184" s="21" t="s">
        <v>5581</v>
      </c>
    </row>
    <row r="185" spans="1:65" ht="15">
      <c r="A185" s="25" t="str">
        <f>IFERROR(INDEX('Hun Demand'!W:W,MATCH(O185,'Hun Demand'!A:A,0)),"")</f>
        <v/>
      </c>
      <c r="B185" s="25" t="str">
        <f>IFERROR(INDEX('Hun Demand'!V:V,MATCH(O185,'Hun Demand'!A:A,0)),"")</f>
        <v/>
      </c>
      <c r="C185" s="25" t="str">
        <f>IFERROR(INDEX('Hun Demand'!U:U,MATCH(O185,'Hun Demand'!A:A,0)),"")</f>
        <v/>
      </c>
      <c r="D185" s="25" t="str">
        <f>IFERROR(INDEX('Hun Demand'!T:T,MATCH(O185,'Hun Demand'!A:A,0)),"")</f>
        <v/>
      </c>
      <c r="E185" s="25" t="str">
        <f>IFERROR(INDEX('Hun Demand'!S:S,MATCH(O185,'Hun Demand'!A:A,0)),"")</f>
        <v/>
      </c>
      <c r="F185" s="25" t="str">
        <f>IFERROR(INDEX('Hun Demand'!R:R,MATCH(O185,'Hun Demand'!A:A,0)),"")</f>
        <v/>
      </c>
      <c r="G185" s="25">
        <f>IFERROR(INDEX('Aub Demand'!W:W,MATCH(O185,'Aub Demand'!A:A,0)),"")</f>
        <v>126</v>
      </c>
      <c r="H185" s="25">
        <f>IFERROR(INDEX('Aub Demand'!V:V,MATCH(O185,'Aub Demand'!A:A,0)),"")</f>
        <v>53</v>
      </c>
      <c r="I185" s="25">
        <f>IFERROR(INDEX('Aub Demand'!U:U,MATCH(O185,'Aub Demand'!A:A,0)),"")</f>
        <v>0</v>
      </c>
      <c r="J185" s="25">
        <f>IFERROR(INDEX('Aub Demand'!T:T,MATCH(O185,'Aub Demand'!A:A,0)),"")</f>
        <v>0</v>
      </c>
      <c r="K185" s="25">
        <f>IFERROR(INDEX('Aub Demand'!S:S,MATCH(O185,'Aub Demand'!A:A,0)),"")</f>
        <v>0</v>
      </c>
      <c r="L185" s="25">
        <f>IFERROR(INDEX('Aub Demand'!R:R,MATCH(O185,'Aub Demand'!A:A,0)),"")</f>
        <v>0</v>
      </c>
      <c r="O185" s="27" t="s">
        <v>2036</v>
      </c>
      <c r="P185" s="27" t="str">
        <f>IFERROR(INDEX('Aub Demand'!B:B,MATCH($O185,'Aub Demand'!$A:$A,0)),"")</f>
        <v>SILVER WINGS</v>
      </c>
      <c r="Q185" s="27" t="str">
        <f>IFERROR(INDEX('Aub Demand'!C:C,MATCH($O185,'Aub Demand'!$A:$A,0)),"")</f>
        <v>SCHAT</v>
      </c>
      <c r="R185" s="52">
        <f>IFERROR(IF(AR186=AR185,INDEX('Aub Demand'!K:K,MATCH($O185,'Aub Demand'!$A:$A,0))-IF(AN185="",0,AN185)+AP186,INDEX('Aub Demand'!K:K,MATCH($O185,'Aub Demand'!$A:$A,0))-IF(AN185="",0,AN185)),"")</f>
        <v>1839</v>
      </c>
      <c r="S185" s="53" t="str">
        <f t="shared" si="56"/>
        <v>n/a</v>
      </c>
      <c r="T185" s="52" t="str">
        <f t="shared" si="57"/>
        <v/>
      </c>
      <c r="U185" s="52">
        <f>IFERROR(IF(AR186=AR185,INDEX('Aub Demand'!Q:Q,MATCH($O185,'Aub Demand'!$A:$A,0))-IF(AN185="",0,AN185)+AP186,INDEX('Aub Demand'!Q:Q,MATCH($O185,'Aub Demand'!$A:$A,0))-IF(AN185="",0,AN185)),"")</f>
        <v>1817</v>
      </c>
      <c r="V185" s="53" t="str">
        <f t="shared" si="58"/>
        <v>n/a</v>
      </c>
      <c r="W185" s="52" t="str">
        <f t="shared" si="59"/>
        <v/>
      </c>
      <c r="X185" s="52">
        <f>IFERROR(IF(AND(AR186=AR185,AM185&lt;&gt;""),INDEX('Aub Demand'!Q:Q,MATCH($O185,'Aub Demand'!$A:$A,0))-IF(AN185="",0,AN185)+AP186+AD185+AL185,IF(AR186=AR185,INDEX('Aub Demand'!Q:Q,MATCH($O185,'Aub Demand'!$A:$A,0))-IF(AN185="",0,AN185)+AP186+AD185,IF(AM185&lt;&gt;"",INDEX('Aub Demand'!Q:Q,MATCH($O185,'Aub Demand'!$A:$A,0))-IF(AN185="",0,AN185)+AD185+AL185,INDEX('Aub Demand'!Q:Q,MATCH($O185,'Aub Demand'!$A:$A,0))-IF(AN185="",0,AN185)+AD185))),"")</f>
        <v>1817</v>
      </c>
      <c r="Y185" s="53" t="str">
        <f t="shared" si="60"/>
        <v>n/a</v>
      </c>
      <c r="Z185" s="52">
        <f>IF(L185="","",INDEX('Aub Demand'!H:H,MATCH($O185,'Aub Demand'!$A:$A,0)))</f>
        <v>0</v>
      </c>
      <c r="AA185" s="52" t="str">
        <f t="shared" si="61"/>
        <v>-spike-</v>
      </c>
      <c r="AB185" s="52">
        <f>IFERROR(INDEX('Aub Demand'!L:L,MATCH($O185,'Aub Demand'!$A:$A,0)),"")</f>
        <v>53</v>
      </c>
      <c r="AC185" s="52">
        <f>IFERROR(IF(O185="","",SUMIFS('CPL Mats'!F:F,'CPL Mats'!Q:Q,AR185,'CPL Mats'!S:S,AS185)),"")</f>
        <v>0</v>
      </c>
      <c r="AF185" s="25" t="str">
        <f>IF(SUMIFS('Supp Consol'!S:S,'Supp Consol'!Y:Y,"Releasable",'Supp Consol'!A:A,O185)=0,"",SUMIFS('Supp Consol'!S:S,'Supp Consol'!Y:Y,"Releasable",'Supp Consol'!A:A,O185))</f>
        <v/>
      </c>
      <c r="AG185" s="25" t="str">
        <f>IFERROR(INDEX('Hun Demand'!Q:Q,MATCH(O185,'Hun Demand'!A:A,0)),"")</f>
        <v/>
      </c>
      <c r="AH185" s="25" t="str">
        <f>IFERROR(INDEX('Hun Demand'!H:H,MATCH($O185,'Hun Demand'!$A:$A,0)),"")</f>
        <v/>
      </c>
      <c r="AI185" s="25" t="str">
        <f>IF(SUMIFS('Supp Consol'!AA:AA,'Supp Consol'!Z:Z,"Expires this month",'Supp Consol'!A:A,O185)=0,"",SUMIFS('Supp Consol'!AA:AA,'Supp Consol'!Z:Z,"Expires this month",'Supp Consol'!A:A,O185))</f>
        <v/>
      </c>
      <c r="AJ185" s="25" t="str">
        <f>IF(SUMIFS('Supp Consol'!AA:AA,'Supp Consol'!Z:Z,"Expired Previous Months",'Supp Consol'!A:A,O185)=0,"",SUMIFS('Supp Consol'!AA:AA,'Supp Consol'!Z:Z,"Expired Previous Months",'Supp Consol'!A:A,O185))</f>
        <v/>
      </c>
      <c r="AK185" s="25" t="str">
        <f>IFERROR(INDEX('Hun Release Current'!B:B,MATCH(O185,'Hun Release Current'!A:A,0)),"")</f>
        <v/>
      </c>
      <c r="AL185" s="25" t="str">
        <f>IF(SUMIF('Prev Aub'!A:A,O185,'Prev Aub'!B:B)=0,"",SUMIF('Prev Aub'!A:A,O185,'Prev Aub'!B:B))</f>
        <v/>
      </c>
      <c r="AN185" s="25" t="s">
        <v>3790</v>
      </c>
      <c r="AO185" s="25" t="s">
        <v>3790</v>
      </c>
      <c r="AP185" s="25">
        <f t="shared" si="62"/>
        <v>0</v>
      </c>
      <c r="AQ185" s="151" t="str">
        <f>IF(SUMIFS('Supp Consol'!S:S,'Supp Consol'!A:A,O185,'Supp Consol'!I:I,"PENDING")=0,"",SUMIFS('Supp Consol'!S:S,'Supp Consol'!A:A,O185,'Supp Consol'!I:I,"PENDING"))</f>
        <v/>
      </c>
      <c r="AR185" s="27" t="str">
        <f t="shared" si="63"/>
        <v>AG630</v>
      </c>
      <c r="AS185" s="27" t="str">
        <f t="shared" si="64"/>
        <v>50</v>
      </c>
      <c r="AT185" s="27" t="str">
        <f t="shared" si="65"/>
        <v/>
      </c>
      <c r="AU185" s="27" t="str">
        <f t="shared" si="66"/>
        <v/>
      </c>
      <c r="AV185" s="27" t="str">
        <f t="shared" si="67"/>
        <v/>
      </c>
      <c r="AW185" s="27" t="str">
        <f t="shared" si="68"/>
        <v/>
      </c>
      <c r="AX185" s="27" t="str">
        <f t="shared" si="69"/>
        <v/>
      </c>
      <c r="AY185" s="27" t="str">
        <f t="shared" si="70"/>
        <v/>
      </c>
      <c r="AZ185" s="27" t="str">
        <f t="shared" si="71"/>
        <v/>
      </c>
      <c r="BA185" s="27" t="str">
        <f t="shared" si="72"/>
        <v/>
      </c>
      <c r="BB185" s="27" t="str">
        <f t="shared" si="73"/>
        <v/>
      </c>
      <c r="BC185" s="27" t="str">
        <f t="shared" si="74"/>
        <v/>
      </c>
      <c r="BD185" s="27" t="str">
        <f t="shared" si="75"/>
        <v/>
      </c>
      <c r="BE185" s="27" t="str">
        <f t="shared" si="76"/>
        <v/>
      </c>
      <c r="BF185" s="27" t="str">
        <f t="shared" si="77"/>
        <v/>
      </c>
      <c r="BG185" s="27" t="str">
        <f t="shared" si="78"/>
        <v/>
      </c>
      <c r="BH185" s="27" t="str">
        <f t="shared" si="79"/>
        <v/>
      </c>
      <c r="BI185" s="27" t="str">
        <f t="shared" si="80"/>
        <v/>
      </c>
      <c r="BJ185" s="27" t="str">
        <f t="shared" si="81"/>
        <v/>
      </c>
      <c r="BK185" s="27" t="str">
        <f t="shared" si="82"/>
        <v/>
      </c>
      <c r="BL185" s="27" t="str">
        <f t="shared" si="83"/>
        <v/>
      </c>
      <c r="BM185" s="21" t="s">
        <v>5581</v>
      </c>
    </row>
    <row r="186" spans="1:65" ht="15">
      <c r="A186" s="25" t="str">
        <f>IFERROR(INDEX('Hun Demand'!W:W,MATCH(O186,'Hun Demand'!A:A,0)),"")</f>
        <v/>
      </c>
      <c r="B186" s="25" t="str">
        <f>IFERROR(INDEX('Hun Demand'!V:V,MATCH(O186,'Hun Demand'!A:A,0)),"")</f>
        <v/>
      </c>
      <c r="C186" s="25" t="str">
        <f>IFERROR(INDEX('Hun Demand'!U:U,MATCH(O186,'Hun Demand'!A:A,0)),"")</f>
        <v/>
      </c>
      <c r="D186" s="25" t="str">
        <f>IFERROR(INDEX('Hun Demand'!T:T,MATCH(O186,'Hun Demand'!A:A,0)),"")</f>
        <v/>
      </c>
      <c r="E186" s="25" t="str">
        <f>IFERROR(INDEX('Hun Demand'!S:S,MATCH(O186,'Hun Demand'!A:A,0)),"")</f>
        <v/>
      </c>
      <c r="F186" s="25" t="str">
        <f>IFERROR(INDEX('Hun Demand'!R:R,MATCH(O186,'Hun Demand'!A:A,0)),"")</f>
        <v/>
      </c>
      <c r="G186" s="25">
        <f>IFERROR(INDEX('Aub Demand'!W:W,MATCH(O186,'Aub Demand'!A:A,0)),"")</f>
        <v>137</v>
      </c>
      <c r="H186" s="25">
        <f>IFERROR(INDEX('Aub Demand'!V:V,MATCH(O186,'Aub Demand'!A:A,0)),"")</f>
        <v>16</v>
      </c>
      <c r="I186" s="25">
        <f>IFERROR(INDEX('Aub Demand'!U:U,MATCH(O186,'Aub Demand'!A:A,0)),"")</f>
        <v>29</v>
      </c>
      <c r="J186" s="25">
        <f>IFERROR(INDEX('Aub Demand'!T:T,MATCH(O186,'Aub Demand'!A:A,0)),"")</f>
        <v>0</v>
      </c>
      <c r="K186" s="25">
        <f>IFERROR(INDEX('Aub Demand'!S:S,MATCH(O186,'Aub Demand'!A:A,0)),"")</f>
        <v>14</v>
      </c>
      <c r="L186" s="25">
        <f>IFERROR(INDEX('Aub Demand'!R:R,MATCH(O186,'Aub Demand'!A:A,0)),"")</f>
        <v>0</v>
      </c>
      <c r="O186" s="27" t="s">
        <v>2038</v>
      </c>
      <c r="P186" s="27" t="str">
        <f>IFERROR(INDEX('Aub Demand'!B:B,MATCH($O186,'Aub Demand'!$A:$A,0)),"")</f>
        <v>SILVER WINGS</v>
      </c>
      <c r="Q186" s="27" t="str">
        <f>IFERROR(INDEX('Aub Demand'!C:C,MATCH($O186,'Aub Demand'!$A:$A,0)),"")</f>
        <v>SCHAT</v>
      </c>
      <c r="R186" s="52">
        <f>IFERROR(IF(AR187=AR186,INDEX('Aub Demand'!K:K,MATCH($O186,'Aub Demand'!$A:$A,0))-IF(AN186="",0,AN186)+AP187,INDEX('Aub Demand'!K:K,MATCH($O186,'Aub Demand'!$A:$A,0))-IF(AN186="",0,AN186)),"")</f>
        <v>3091</v>
      </c>
      <c r="S186" s="53">
        <f t="shared" si="56"/>
        <v>946.2</v>
      </c>
      <c r="T186" s="52" t="str">
        <f t="shared" si="57"/>
        <v/>
      </c>
      <c r="U186" s="52">
        <f>IFERROR(IF(AR187=AR186,INDEX('Aub Demand'!Q:Q,MATCH($O186,'Aub Demand'!$A:$A,0))-IF(AN186="",0,AN186)+AP187,INDEX('Aub Demand'!Q:Q,MATCH($O186,'Aub Demand'!$A:$A,0))-IF(AN186="",0,AN186)),"")</f>
        <v>3044</v>
      </c>
      <c r="V186" s="53">
        <f t="shared" si="58"/>
        <v>931.8</v>
      </c>
      <c r="W186" s="52" t="str">
        <f t="shared" si="59"/>
        <v/>
      </c>
      <c r="X186" s="52">
        <f>IFERROR(IF(AND(AR187=AR186,AM186&lt;&gt;""),INDEX('Aub Demand'!Q:Q,MATCH($O186,'Aub Demand'!$A:$A,0))-IF(AN186="",0,AN186)+AP187+AD186+AL186,IF(AR187=AR186,INDEX('Aub Demand'!Q:Q,MATCH($O186,'Aub Demand'!$A:$A,0))-IF(AN186="",0,AN186)+AP187+AD186,IF(AM186&lt;&gt;"",INDEX('Aub Demand'!Q:Q,MATCH($O186,'Aub Demand'!$A:$A,0))-IF(AN186="",0,AN186)+AD186+AL186,INDEX('Aub Demand'!Q:Q,MATCH($O186,'Aub Demand'!$A:$A,0))-IF(AN186="",0,AN186)+AD186))),"")</f>
        <v>3044</v>
      </c>
      <c r="Y186" s="53">
        <f t="shared" si="60"/>
        <v>931.8</v>
      </c>
      <c r="Z186" s="52">
        <f>IF(L186="","",INDEX('Aub Demand'!H:H,MATCH($O186,'Aub Demand'!$A:$A,0)))</f>
        <v>14</v>
      </c>
      <c r="AA186" s="52">
        <f t="shared" si="61"/>
        <v>21.5</v>
      </c>
      <c r="AB186" s="52">
        <f>IFERROR(INDEX('Aub Demand'!L:L,MATCH($O186,'Aub Demand'!$A:$A,0)),"")</f>
        <v>97</v>
      </c>
      <c r="AC186" s="52">
        <f>IFERROR(IF(O186="","",SUMIFS('CPL Mats'!F:F,'CPL Mats'!Q:Q,AR186,'CPL Mats'!S:S,AS186)),"")</f>
        <v>0</v>
      </c>
      <c r="AF186" s="25" t="str">
        <f>IF(SUMIFS('Supp Consol'!S:S,'Supp Consol'!Y:Y,"Releasable",'Supp Consol'!A:A,O186)=0,"",SUMIFS('Supp Consol'!S:S,'Supp Consol'!Y:Y,"Releasable",'Supp Consol'!A:A,O186))</f>
        <v/>
      </c>
      <c r="AG186" s="25" t="str">
        <f>IFERROR(INDEX('Hun Demand'!Q:Q,MATCH(O186,'Hun Demand'!A:A,0)),"")</f>
        <v/>
      </c>
      <c r="AH186" s="25" t="str">
        <f>IFERROR(INDEX('Hun Demand'!H:H,MATCH($O186,'Hun Demand'!$A:$A,0)),"")</f>
        <v/>
      </c>
      <c r="AI186" s="25" t="str">
        <f>IF(SUMIFS('Supp Consol'!AA:AA,'Supp Consol'!Z:Z,"Expires this month",'Supp Consol'!A:A,O186)=0,"",SUMIFS('Supp Consol'!AA:AA,'Supp Consol'!Z:Z,"Expires this month",'Supp Consol'!A:A,O186))</f>
        <v/>
      </c>
      <c r="AJ186" s="25" t="str">
        <f>IF(SUMIFS('Supp Consol'!AA:AA,'Supp Consol'!Z:Z,"Expired Previous Months",'Supp Consol'!A:A,O186)=0,"",SUMIFS('Supp Consol'!AA:AA,'Supp Consol'!Z:Z,"Expired Previous Months",'Supp Consol'!A:A,O186))</f>
        <v/>
      </c>
      <c r="AK186" s="25" t="str">
        <f>IFERROR(INDEX('Hun Release Current'!B:B,MATCH(O186,'Hun Release Current'!A:A,0)),"")</f>
        <v/>
      </c>
      <c r="AL186" s="25" t="str">
        <f>IF(SUMIF('Prev Aub'!A:A,O186,'Prev Aub'!B:B)=0,"",SUMIF('Prev Aub'!A:A,O186,'Prev Aub'!B:B))</f>
        <v/>
      </c>
      <c r="AN186" s="25" t="s">
        <v>3790</v>
      </c>
      <c r="AO186" s="25" t="s">
        <v>3790</v>
      </c>
      <c r="AP186" s="25">
        <f t="shared" si="62"/>
        <v>0</v>
      </c>
      <c r="AQ186" s="151" t="str">
        <f>IF(SUMIFS('Supp Consol'!S:S,'Supp Consol'!A:A,O186,'Supp Consol'!I:I,"PENDING")=0,"",SUMIFS('Supp Consol'!S:S,'Supp Consol'!A:A,O186,'Supp Consol'!I:I,"PENDING"))</f>
        <v/>
      </c>
      <c r="AR186" s="27" t="str">
        <f t="shared" si="63"/>
        <v>AG630</v>
      </c>
      <c r="AS186" s="27" t="str">
        <f t="shared" si="64"/>
        <v>62</v>
      </c>
      <c r="AT186" s="27" t="str">
        <f t="shared" si="65"/>
        <v/>
      </c>
      <c r="AU186" s="27" t="str">
        <f t="shared" si="66"/>
        <v/>
      </c>
      <c r="AV186" s="27" t="str">
        <f t="shared" si="67"/>
        <v/>
      </c>
      <c r="AW186" s="27" t="str">
        <f t="shared" si="68"/>
        <v/>
      </c>
      <c r="AX186" s="27" t="str">
        <f t="shared" si="69"/>
        <v/>
      </c>
      <c r="AY186" s="27" t="str">
        <f t="shared" si="70"/>
        <v/>
      </c>
      <c r="AZ186" s="27" t="str">
        <f t="shared" si="71"/>
        <v/>
      </c>
      <c r="BA186" s="27" t="str">
        <f t="shared" si="72"/>
        <v/>
      </c>
      <c r="BB186" s="27" t="str">
        <f t="shared" si="73"/>
        <v/>
      </c>
      <c r="BC186" s="27" t="str">
        <f t="shared" si="74"/>
        <v/>
      </c>
      <c r="BD186" s="27" t="str">
        <f t="shared" si="75"/>
        <v/>
      </c>
      <c r="BE186" s="27" t="str">
        <f t="shared" si="76"/>
        <v/>
      </c>
      <c r="BF186" s="27" t="str">
        <f t="shared" si="77"/>
        <v/>
      </c>
      <c r="BG186" s="27" t="str">
        <f t="shared" si="78"/>
        <v/>
      </c>
      <c r="BH186" s="27" t="str">
        <f t="shared" si="79"/>
        <v/>
      </c>
      <c r="BI186" s="27" t="str">
        <f t="shared" si="80"/>
        <v/>
      </c>
      <c r="BJ186" s="27" t="str">
        <f t="shared" si="81"/>
        <v/>
      </c>
      <c r="BK186" s="27" t="str">
        <f t="shared" si="82"/>
        <v/>
      </c>
      <c r="BL186" s="27" t="str">
        <f t="shared" si="83"/>
        <v/>
      </c>
      <c r="BM186" s="21" t="s">
        <v>5581</v>
      </c>
    </row>
    <row r="187" spans="1:65" ht="15">
      <c r="A187" s="25">
        <f>IFERROR(INDEX('Hun Demand'!W:W,MATCH(O187,'Hun Demand'!A:A,0)),"")</f>
        <v>0</v>
      </c>
      <c r="B187" s="25">
        <f>IFERROR(INDEX('Hun Demand'!V:V,MATCH(O187,'Hun Demand'!A:A,0)),"")</f>
        <v>0</v>
      </c>
      <c r="C187" s="25">
        <f>IFERROR(INDEX('Hun Demand'!U:U,MATCH(O187,'Hun Demand'!A:A,0)),"")</f>
        <v>0</v>
      </c>
      <c r="D187" s="25">
        <f>IFERROR(INDEX('Hun Demand'!T:T,MATCH(O187,'Hun Demand'!A:A,0)),"")</f>
        <v>0</v>
      </c>
      <c r="E187" s="25">
        <f>IFERROR(INDEX('Hun Demand'!S:S,MATCH(O187,'Hun Demand'!A:A,0)),"")</f>
        <v>0</v>
      </c>
      <c r="F187" s="25">
        <f>IFERROR(INDEX('Hun Demand'!R:R,MATCH(O187,'Hun Demand'!A:A,0)),"")</f>
        <v>0</v>
      </c>
      <c r="G187" s="25">
        <f>IFERROR(INDEX('Aub Demand'!W:W,MATCH(O187,'Aub Demand'!A:A,0)),"")</f>
        <v>80</v>
      </c>
      <c r="H187" s="25">
        <f>IFERROR(INDEX('Aub Demand'!V:V,MATCH(O187,'Aub Demand'!A:A,0)),"")</f>
        <v>0</v>
      </c>
      <c r="I187" s="25">
        <f>IFERROR(INDEX('Aub Demand'!U:U,MATCH(O187,'Aub Demand'!A:A,0)),"")</f>
        <v>19</v>
      </c>
      <c r="J187" s="25">
        <f>IFERROR(INDEX('Aub Demand'!T:T,MATCH(O187,'Aub Demand'!A:A,0)),"")</f>
        <v>24</v>
      </c>
      <c r="K187" s="25">
        <f>IFERROR(INDEX('Aub Demand'!S:S,MATCH(O187,'Aub Demand'!A:A,0)),"")</f>
        <v>14</v>
      </c>
      <c r="L187" s="25">
        <f>IFERROR(INDEX('Aub Demand'!R:R,MATCH(O187,'Aub Demand'!A:A,0)),"")</f>
        <v>16</v>
      </c>
      <c r="O187" s="27" t="s">
        <v>386</v>
      </c>
      <c r="P187" s="27" t="str">
        <f>IFERROR(INDEX('Aub Demand'!B:B,MATCH($O187,'Aub Demand'!$A:$A,0)),"")</f>
        <v>SOOTHING WHITE CAPS</v>
      </c>
      <c r="Q187" s="27" t="str">
        <f>IFERROR(INDEX('Aub Demand'!C:C,MATCH($O187,'Aub Demand'!$A:$A,0)),"")</f>
        <v>SCHAT</v>
      </c>
      <c r="R187" s="52">
        <f>IFERROR(IF(AR188=AR187,INDEX('Aub Demand'!K:K,MATCH($O187,'Aub Demand'!$A:$A,0))-IF(AN187="",0,AN187)+AP188,INDEX('Aub Demand'!K:K,MATCH($O187,'Aub Demand'!$A:$A,0))-IF(AN187="",0,AN187)),"")</f>
        <v>0</v>
      </c>
      <c r="S187" s="53">
        <f t="shared" si="56"/>
        <v>0</v>
      </c>
      <c r="T187" s="52">
        <f t="shared" si="57"/>
        <v>16.125</v>
      </c>
      <c r="U187" s="52">
        <f>IFERROR(IF(AR188=AR187,INDEX('Aub Demand'!Q:Q,MATCH($O187,'Aub Demand'!$A:$A,0))-IF(AN187="",0,AN187)+AP188,INDEX('Aub Demand'!Q:Q,MATCH($O187,'Aub Demand'!$A:$A,0))-IF(AN187="",0,AN187)),"")</f>
        <v>-90</v>
      </c>
      <c r="V187" s="53">
        <f t="shared" si="58"/>
        <v>-20.3</v>
      </c>
      <c r="W187" s="52">
        <f t="shared" si="59"/>
        <v>125.2375</v>
      </c>
      <c r="X187" s="52">
        <f>IFERROR(IF(AND(AR188=AR187,AM187&lt;&gt;""),INDEX('Aub Demand'!Q:Q,MATCH($O187,'Aub Demand'!$A:$A,0))-IF(AN187="",0,AN187)+AP188+AD187+AL187,IF(AR188=AR187,INDEX('Aub Demand'!Q:Q,MATCH($O187,'Aub Demand'!$A:$A,0))-IF(AN187="",0,AN187)+AP188+AD187,IF(AM187&lt;&gt;"",INDEX('Aub Demand'!Q:Q,MATCH($O187,'Aub Demand'!$A:$A,0))-IF(AN187="",0,AN187)+AD187+AL187,INDEX('Aub Demand'!Q:Q,MATCH($O187,'Aub Demand'!$A:$A,0))-IF(AN187="",0,AN187)+AD187))),"")</f>
        <v>-90</v>
      </c>
      <c r="Y187" s="53">
        <f t="shared" si="60"/>
        <v>-20.3</v>
      </c>
      <c r="Z187" s="52">
        <f>IF(L187="","",INDEX('Aub Demand'!H:H,MATCH($O187,'Aub Demand'!$A:$A,0)))</f>
        <v>19</v>
      </c>
      <c r="AA187" s="52">
        <f t="shared" si="61"/>
        <v>21.5</v>
      </c>
      <c r="AB187" s="52">
        <f>IFERROR(INDEX('Aub Demand'!L:L,MATCH($O187,'Aub Demand'!$A:$A,0)),"")</f>
        <v>6</v>
      </c>
      <c r="AC187" s="52">
        <f>IFERROR(IF(O187="","",SUMIFS('CPL Mats'!F:F,'CPL Mats'!Q:Q,AR187,'CPL Mats'!S:S,AS187)),"")</f>
        <v>0</v>
      </c>
      <c r="AF187" s="25" t="str">
        <f>IF(SUMIFS('Supp Consol'!S:S,'Supp Consol'!Y:Y,"Releasable",'Supp Consol'!A:A,O187)=0,"",SUMIFS('Supp Consol'!S:S,'Supp Consol'!Y:Y,"Releasable",'Supp Consol'!A:A,O187))</f>
        <v/>
      </c>
      <c r="AG187" s="25">
        <f>IFERROR(INDEX('Hun Demand'!Q:Q,MATCH(O187,'Hun Demand'!A:A,0)),"")</f>
        <v>108</v>
      </c>
      <c r="AH187" s="25">
        <f>IFERROR(INDEX('Hun Demand'!H:H,MATCH($O187,'Hun Demand'!$A:$A,0)),"")</f>
        <v>0</v>
      </c>
      <c r="AI187" s="25" t="str">
        <f>IF(SUMIFS('Supp Consol'!AA:AA,'Supp Consol'!Z:Z,"Expires this month",'Supp Consol'!A:A,O187)=0,"",SUMIFS('Supp Consol'!AA:AA,'Supp Consol'!Z:Z,"Expires this month",'Supp Consol'!A:A,O187))</f>
        <v/>
      </c>
      <c r="AJ187" s="25" t="str">
        <f>IF(SUMIFS('Supp Consol'!AA:AA,'Supp Consol'!Z:Z,"Expired Previous Months",'Supp Consol'!A:A,O187)=0,"",SUMIFS('Supp Consol'!AA:AA,'Supp Consol'!Z:Z,"Expired Previous Months",'Supp Consol'!A:A,O187))</f>
        <v/>
      </c>
      <c r="AK187" s="25" t="str">
        <f>IFERROR(INDEX('Hun Release Current'!B:B,MATCH(O187,'Hun Release Current'!A:A,0)),"")</f>
        <v/>
      </c>
      <c r="AL187" s="25" t="str">
        <f>IF(SUMIF('Prev Aub'!A:A,O187,'Prev Aub'!B:B)=0,"",SUMIF('Prev Aub'!A:A,O187,'Prev Aub'!B:B))</f>
        <v/>
      </c>
      <c r="AN187" s="25" t="s">
        <v>3790</v>
      </c>
      <c r="AO187" s="25" t="s">
        <v>3790</v>
      </c>
      <c r="AP187" s="25">
        <f t="shared" si="62"/>
        <v>0</v>
      </c>
      <c r="AQ187" s="151" t="str">
        <f>IF(SUMIFS('Supp Consol'!S:S,'Supp Consol'!A:A,O187,'Supp Consol'!I:I,"PENDING")=0,"",SUMIFS('Supp Consol'!S:S,'Supp Consol'!A:A,O187,'Supp Consol'!I:I,"PENDING"))</f>
        <v/>
      </c>
      <c r="AR187" s="27" t="str">
        <f t="shared" si="63"/>
        <v>AG640</v>
      </c>
      <c r="AS187" s="27" t="str">
        <f t="shared" si="64"/>
        <v>50</v>
      </c>
      <c r="AT187" s="27" t="str">
        <f t="shared" si="65"/>
        <v>AG640</v>
      </c>
      <c r="AU187" s="27" t="str">
        <f t="shared" si="66"/>
        <v>AG640</v>
      </c>
      <c r="AV187" s="27" t="str">
        <f t="shared" si="67"/>
        <v>AG640</v>
      </c>
      <c r="AW187" s="27" t="str">
        <f t="shared" si="68"/>
        <v/>
      </c>
      <c r="AX187" s="27" t="str">
        <f t="shared" si="69"/>
        <v/>
      </c>
      <c r="AY187" s="27" t="str">
        <f t="shared" si="70"/>
        <v>AG640</v>
      </c>
      <c r="AZ187" s="27" t="str">
        <f t="shared" si="71"/>
        <v/>
      </c>
      <c r="BA187" s="27" t="str">
        <f t="shared" si="72"/>
        <v>Hun</v>
      </c>
      <c r="BB187" s="27" t="str">
        <f t="shared" si="73"/>
        <v>Gross</v>
      </c>
      <c r="BC187" s="27" t="str">
        <f t="shared" si="74"/>
        <v>Net</v>
      </c>
      <c r="BD187" s="27" t="str">
        <f t="shared" si="75"/>
        <v>Net</v>
      </c>
      <c r="BE187" s="27" t="str">
        <f t="shared" si="76"/>
        <v/>
      </c>
      <c r="BF187" s="27" t="str">
        <f t="shared" si="77"/>
        <v/>
      </c>
      <c r="BG187" s="27" t="str">
        <f t="shared" si="78"/>
        <v/>
      </c>
      <c r="BH187" s="27" t="str">
        <f t="shared" si="79"/>
        <v>H+N</v>
      </c>
      <c r="BI187" s="27" t="str">
        <f t="shared" si="80"/>
        <v>H+Nex</v>
      </c>
      <c r="BJ187" s="27" t="str">
        <f t="shared" si="81"/>
        <v>Supp or Hun</v>
      </c>
      <c r="BK187" s="27" t="str">
        <f t="shared" si="82"/>
        <v>Supp or Hun Need</v>
      </c>
      <c r="BL187" s="27" t="str">
        <f t="shared" si="83"/>
        <v>SorHandNandE</v>
      </c>
      <c r="BM187" s="21" t="s">
        <v>5581</v>
      </c>
    </row>
    <row r="188" spans="1:65" ht="15">
      <c r="A188" s="25" t="str">
        <f>IFERROR(INDEX('Hun Demand'!W:W,MATCH(O188,'Hun Demand'!A:A,0)),"")</f>
        <v/>
      </c>
      <c r="B188" s="25" t="str">
        <f>IFERROR(INDEX('Hun Demand'!V:V,MATCH(O188,'Hun Demand'!A:A,0)),"")</f>
        <v/>
      </c>
      <c r="C188" s="25" t="str">
        <f>IFERROR(INDEX('Hun Demand'!U:U,MATCH(O188,'Hun Demand'!A:A,0)),"")</f>
        <v/>
      </c>
      <c r="D188" s="25" t="str">
        <f>IFERROR(INDEX('Hun Demand'!T:T,MATCH(O188,'Hun Demand'!A:A,0)),"")</f>
        <v/>
      </c>
      <c r="E188" s="25" t="str">
        <f>IFERROR(INDEX('Hun Demand'!S:S,MATCH(O188,'Hun Demand'!A:A,0)),"")</f>
        <v/>
      </c>
      <c r="F188" s="25" t="str">
        <f>IFERROR(INDEX('Hun Demand'!R:R,MATCH(O188,'Hun Demand'!A:A,0)),"")</f>
        <v/>
      </c>
      <c r="G188" s="25">
        <f>IFERROR(INDEX('Aub Demand'!W:W,MATCH(O188,'Aub Demand'!A:A,0)),"")</f>
        <v>20</v>
      </c>
      <c r="H188" s="25">
        <f>IFERROR(INDEX('Aub Demand'!V:V,MATCH(O188,'Aub Demand'!A:A,0)),"")</f>
        <v>58</v>
      </c>
      <c r="I188" s="25">
        <f>IFERROR(INDEX('Aub Demand'!U:U,MATCH(O188,'Aub Demand'!A:A,0)),"")</f>
        <v>0</v>
      </c>
      <c r="J188" s="25">
        <f>IFERROR(INDEX('Aub Demand'!T:T,MATCH(O188,'Aub Demand'!A:A,0)),"")</f>
        <v>29</v>
      </c>
      <c r="K188" s="25">
        <f>IFERROR(INDEX('Aub Demand'!S:S,MATCH(O188,'Aub Demand'!A:A,0)),"")</f>
        <v>0</v>
      </c>
      <c r="L188" s="25">
        <f>IFERROR(INDEX('Aub Demand'!R:R,MATCH(O188,'Aub Demand'!A:A,0)),"")</f>
        <v>0</v>
      </c>
      <c r="O188" s="27" t="s">
        <v>389</v>
      </c>
      <c r="P188" s="27" t="str">
        <f>IFERROR(INDEX('Aub Demand'!B:B,MATCH($O188,'Aub Demand'!$A:$A,0)),"")</f>
        <v>SOOTHING WHITE CAPS</v>
      </c>
      <c r="Q188" s="27" t="str">
        <f>IFERROR(INDEX('Aub Demand'!C:C,MATCH($O188,'Aub Demand'!$A:$A,0)),"")</f>
        <v>SCHAT</v>
      </c>
      <c r="R188" s="52">
        <f>IFERROR(IF(AR189=AR188,INDEX('Aub Demand'!K:K,MATCH($O188,'Aub Demand'!$A:$A,0))-IF(AN188="",0,AN188)+AP189,INDEX('Aub Demand'!K:K,MATCH($O188,'Aub Demand'!$A:$A,0))-IF(AN188="",0,AN188)),"")</f>
        <v>2902</v>
      </c>
      <c r="S188" s="53">
        <f t="shared" si="56"/>
        <v>1243.7</v>
      </c>
      <c r="T188" s="52" t="str">
        <f t="shared" si="57"/>
        <v/>
      </c>
      <c r="U188" s="52">
        <f>IFERROR(IF(AR189=AR188,INDEX('Aub Demand'!Q:Q,MATCH($O188,'Aub Demand'!$A:$A,0))-IF(AN188="",0,AN188)+AP189,INDEX('Aub Demand'!Q:Q,MATCH($O188,'Aub Demand'!$A:$A,0))-IF(AN188="",0,AN188)),"")</f>
        <v>2879</v>
      </c>
      <c r="V188" s="53">
        <f t="shared" si="58"/>
        <v>1233.9000000000001</v>
      </c>
      <c r="W188" s="52" t="str">
        <f t="shared" si="59"/>
        <v/>
      </c>
      <c r="X188" s="52">
        <f>IFERROR(IF(AND(AR189=AR188,AM188&lt;&gt;""),INDEX('Aub Demand'!Q:Q,MATCH($O188,'Aub Demand'!$A:$A,0))-IF(AN188="",0,AN188)+AP189+AD188+AL188,IF(AR189=AR188,INDEX('Aub Demand'!Q:Q,MATCH($O188,'Aub Demand'!$A:$A,0))-IF(AN188="",0,AN188)+AP189+AD188,IF(AM188&lt;&gt;"",INDEX('Aub Demand'!Q:Q,MATCH($O188,'Aub Demand'!$A:$A,0))-IF(AN188="",0,AN188)+AD188+AL188,INDEX('Aub Demand'!Q:Q,MATCH($O188,'Aub Demand'!$A:$A,0))-IF(AN188="",0,AN188)+AD188))),"")</f>
        <v>2879</v>
      </c>
      <c r="Y188" s="53">
        <f t="shared" si="60"/>
        <v>1233.9000000000001</v>
      </c>
      <c r="Z188" s="52">
        <f>IF(L188="","",INDEX('Aub Demand'!H:H,MATCH($O188,'Aub Demand'!$A:$A,0)))</f>
        <v>10</v>
      </c>
      <c r="AA188" s="52" t="str">
        <f t="shared" si="61"/>
        <v>-spike-</v>
      </c>
      <c r="AB188" s="52">
        <f>IFERROR(INDEX('Aub Demand'!L:L,MATCH($O188,'Aub Demand'!$A:$A,0)),"")</f>
        <v>14</v>
      </c>
      <c r="AC188" s="52">
        <f>IFERROR(IF(O188="","",SUMIFS('CPL Mats'!F:F,'CPL Mats'!Q:Q,AR188,'CPL Mats'!S:S,AS188)),"")</f>
        <v>0</v>
      </c>
      <c r="AF188" s="25" t="str">
        <f>IF(SUMIFS('Supp Consol'!S:S,'Supp Consol'!Y:Y,"Releasable",'Supp Consol'!A:A,O188)=0,"",SUMIFS('Supp Consol'!S:S,'Supp Consol'!Y:Y,"Releasable",'Supp Consol'!A:A,O188))</f>
        <v/>
      </c>
      <c r="AG188" s="25" t="str">
        <f>IFERROR(INDEX('Hun Demand'!Q:Q,MATCH(O188,'Hun Demand'!A:A,0)),"")</f>
        <v/>
      </c>
      <c r="AH188" s="25" t="str">
        <f>IFERROR(INDEX('Hun Demand'!H:H,MATCH($O188,'Hun Demand'!$A:$A,0)),"")</f>
        <v/>
      </c>
      <c r="AI188" s="25" t="str">
        <f>IF(SUMIFS('Supp Consol'!AA:AA,'Supp Consol'!Z:Z,"Expires this month",'Supp Consol'!A:A,O188)=0,"",SUMIFS('Supp Consol'!AA:AA,'Supp Consol'!Z:Z,"Expires this month",'Supp Consol'!A:A,O188))</f>
        <v/>
      </c>
      <c r="AJ188" s="25" t="str">
        <f>IF(SUMIFS('Supp Consol'!AA:AA,'Supp Consol'!Z:Z,"Expired Previous Months",'Supp Consol'!A:A,O188)=0,"",SUMIFS('Supp Consol'!AA:AA,'Supp Consol'!Z:Z,"Expired Previous Months",'Supp Consol'!A:A,O188))</f>
        <v/>
      </c>
      <c r="AK188" s="25" t="str">
        <f>IFERROR(INDEX('Hun Release Current'!B:B,MATCH(O188,'Hun Release Current'!A:A,0)),"")</f>
        <v/>
      </c>
      <c r="AL188" s="25" t="str">
        <f>IF(SUMIF('Prev Aub'!A:A,O188,'Prev Aub'!B:B)=0,"",SUMIF('Prev Aub'!A:A,O188,'Prev Aub'!B:B))</f>
        <v/>
      </c>
      <c r="AN188" s="25" t="s">
        <v>3790</v>
      </c>
      <c r="AO188" s="25" t="s">
        <v>3790</v>
      </c>
      <c r="AP188" s="25">
        <f t="shared" si="62"/>
        <v>0</v>
      </c>
      <c r="AQ188" s="151" t="str">
        <f>IF(SUMIFS('Supp Consol'!S:S,'Supp Consol'!A:A,O188,'Supp Consol'!I:I,"PENDING")=0,"",SUMIFS('Supp Consol'!S:S,'Supp Consol'!A:A,O188,'Supp Consol'!I:I,"PENDING"))</f>
        <v/>
      </c>
      <c r="AR188" s="27" t="str">
        <f t="shared" si="63"/>
        <v>AG640</v>
      </c>
      <c r="AS188" s="27" t="str">
        <f t="shared" si="64"/>
        <v>62</v>
      </c>
      <c r="AT188" s="27" t="str">
        <f t="shared" si="65"/>
        <v/>
      </c>
      <c r="AU188" s="27" t="str">
        <f t="shared" si="66"/>
        <v/>
      </c>
      <c r="AV188" s="27" t="str">
        <f t="shared" si="67"/>
        <v/>
      </c>
      <c r="AW188" s="27" t="str">
        <f t="shared" si="68"/>
        <v/>
      </c>
      <c r="AX188" s="27" t="str">
        <f t="shared" si="69"/>
        <v/>
      </c>
      <c r="AY188" s="27" t="str">
        <f t="shared" si="70"/>
        <v/>
      </c>
      <c r="AZ188" s="27" t="str">
        <f t="shared" si="71"/>
        <v/>
      </c>
      <c r="BA188" s="27" t="str">
        <f t="shared" si="72"/>
        <v>Hun</v>
      </c>
      <c r="BB188" s="27" t="str">
        <f t="shared" si="73"/>
        <v>Gross</v>
      </c>
      <c r="BC188" s="27" t="str">
        <f t="shared" si="74"/>
        <v>Net</v>
      </c>
      <c r="BD188" s="27" t="str">
        <f t="shared" si="75"/>
        <v>Net</v>
      </c>
      <c r="BE188" s="27" t="str">
        <f t="shared" si="76"/>
        <v/>
      </c>
      <c r="BF188" s="27" t="str">
        <f t="shared" si="77"/>
        <v/>
      </c>
      <c r="BG188" s="27" t="str">
        <f t="shared" si="78"/>
        <v/>
      </c>
      <c r="BH188" s="27" t="str">
        <f t="shared" si="79"/>
        <v>H+N</v>
      </c>
      <c r="BI188" s="27" t="str">
        <f t="shared" si="80"/>
        <v>H+Nex</v>
      </c>
      <c r="BJ188" s="27" t="str">
        <f t="shared" si="81"/>
        <v>Supp or Hun</v>
      </c>
      <c r="BK188" s="27" t="str">
        <f t="shared" si="82"/>
        <v>Supp or Hun Need</v>
      </c>
      <c r="BL188" s="27" t="str">
        <f t="shared" si="83"/>
        <v>SorHandNandE</v>
      </c>
      <c r="BM188" s="21" t="s">
        <v>5581</v>
      </c>
    </row>
    <row r="189" spans="1:65" ht="15">
      <c r="A189" s="25">
        <f>IFERROR(INDEX('Hun Demand'!W:W,MATCH(O189,'Hun Demand'!A:A,0)),"")</f>
        <v>0</v>
      </c>
      <c r="B189" s="25">
        <f>IFERROR(INDEX('Hun Demand'!V:V,MATCH(O189,'Hun Demand'!A:A,0)),"")</f>
        <v>0</v>
      </c>
      <c r="C189" s="25">
        <f>IFERROR(INDEX('Hun Demand'!U:U,MATCH(O189,'Hun Demand'!A:A,0)),"")</f>
        <v>0</v>
      </c>
      <c r="D189" s="25">
        <f>IFERROR(INDEX('Hun Demand'!T:T,MATCH(O189,'Hun Demand'!A:A,0)),"")</f>
        <v>0</v>
      </c>
      <c r="E189" s="25">
        <f>IFERROR(INDEX('Hun Demand'!S:S,MATCH(O189,'Hun Demand'!A:A,0)),"")</f>
        <v>0</v>
      </c>
      <c r="F189" s="25">
        <f>IFERROR(INDEX('Hun Demand'!R:R,MATCH(O189,'Hun Demand'!A:A,0)),"")</f>
        <v>0</v>
      </c>
      <c r="G189" s="25">
        <f>IFERROR(INDEX('Aub Demand'!W:W,MATCH(O189,'Aub Demand'!A:A,0)),"")</f>
        <v>17</v>
      </c>
      <c r="H189" s="25">
        <f>IFERROR(INDEX('Aub Demand'!V:V,MATCH(O189,'Aub Demand'!A:A,0)),"")</f>
        <v>0</v>
      </c>
      <c r="I189" s="25">
        <f>IFERROR(INDEX('Aub Demand'!U:U,MATCH(O189,'Aub Demand'!A:A,0)),"")</f>
        <v>0</v>
      </c>
      <c r="J189" s="25">
        <f>IFERROR(INDEX('Aub Demand'!T:T,MATCH(O189,'Aub Demand'!A:A,0)),"")</f>
        <v>0</v>
      </c>
      <c r="K189" s="25">
        <f>IFERROR(INDEX('Aub Demand'!S:S,MATCH(O189,'Aub Demand'!A:A,0)),"")</f>
        <v>0</v>
      </c>
      <c r="L189" s="25">
        <f>IFERROR(INDEX('Aub Demand'!R:R,MATCH(O189,'Aub Demand'!A:A,0)),"")</f>
        <v>0</v>
      </c>
      <c r="O189" s="27" t="s">
        <v>2039</v>
      </c>
      <c r="P189" s="27" t="str">
        <f>IFERROR(INDEX('Aub Demand'!B:B,MATCH($O189,'Aub Demand'!$A:$A,0)),"")</f>
        <v>TRAILING STAR</v>
      </c>
      <c r="Q189" s="27" t="str">
        <f>IFERROR(INDEX('Aub Demand'!C:C,MATCH($O189,'Aub Demand'!$A:$A,0)),"")</f>
        <v>INTER</v>
      </c>
      <c r="R189" s="52">
        <f>IFERROR(IF(AR190=AR189,INDEX('Aub Demand'!K:K,MATCH($O189,'Aub Demand'!$A:$A,0))-IF(AN189="",0,AN189)+AP190,INDEX('Aub Demand'!K:K,MATCH($O189,'Aub Demand'!$A:$A,0))-IF(AN189="",0,AN189)),"")</f>
        <v>976</v>
      </c>
      <c r="S189" s="53" t="str">
        <f t="shared" si="56"/>
        <v>n/a</v>
      </c>
      <c r="T189" s="52" t="str">
        <f t="shared" si="57"/>
        <v/>
      </c>
      <c r="U189" s="52">
        <f>IFERROR(IF(AR190=AR189,INDEX('Aub Demand'!Q:Q,MATCH($O189,'Aub Demand'!$A:$A,0))-IF(AN189="",0,AN189)+AP190,INDEX('Aub Demand'!Q:Q,MATCH($O189,'Aub Demand'!$A:$A,0))-IF(AN189="",0,AN189)),"")</f>
        <v>976</v>
      </c>
      <c r="V189" s="53" t="str">
        <f t="shared" si="58"/>
        <v>n/a</v>
      </c>
      <c r="W189" s="52" t="str">
        <f t="shared" si="59"/>
        <v/>
      </c>
      <c r="X189" s="52">
        <f>IFERROR(IF(AND(AR190=AR189,AM189&lt;&gt;""),INDEX('Aub Demand'!Q:Q,MATCH($O189,'Aub Demand'!$A:$A,0))-IF(AN189="",0,AN189)+AP190+AD189+AL189,IF(AR190=AR189,INDEX('Aub Demand'!Q:Q,MATCH($O189,'Aub Demand'!$A:$A,0))-IF(AN189="",0,AN189)+AP190+AD189,IF(AM189&lt;&gt;"",INDEX('Aub Demand'!Q:Q,MATCH($O189,'Aub Demand'!$A:$A,0))-IF(AN189="",0,AN189)+AD189+AL189,INDEX('Aub Demand'!Q:Q,MATCH($O189,'Aub Demand'!$A:$A,0))-IF(AN189="",0,AN189)+AD189))),"")</f>
        <v>976</v>
      </c>
      <c r="Y189" s="53" t="str">
        <f t="shared" si="60"/>
        <v>n/a</v>
      </c>
      <c r="Z189" s="52">
        <f>IF(L189="","",INDEX('Aub Demand'!H:H,MATCH($O189,'Aub Demand'!$A:$A,0)))</f>
        <v>0</v>
      </c>
      <c r="AA189" s="52" t="str">
        <f t="shared" si="61"/>
        <v>-spike-</v>
      </c>
      <c r="AB189" s="52">
        <f>IFERROR(INDEX('Aub Demand'!L:L,MATCH($O189,'Aub Demand'!$A:$A,0)),"")</f>
        <v>3</v>
      </c>
      <c r="AC189" s="52">
        <f>IFERROR(IF(O189="","",SUMIFS('CPL Mats'!F:F,'CPL Mats'!Q:Q,AR189,'CPL Mats'!S:S,AS189)),"")</f>
        <v>0</v>
      </c>
      <c r="AF189" s="25" t="str">
        <f>IF(SUMIFS('Supp Consol'!S:S,'Supp Consol'!Y:Y,"Releasable",'Supp Consol'!A:A,O189)=0,"",SUMIFS('Supp Consol'!S:S,'Supp Consol'!Y:Y,"Releasable",'Supp Consol'!A:A,O189))</f>
        <v/>
      </c>
      <c r="AG189" s="25">
        <f>IFERROR(INDEX('Hun Demand'!Q:Q,MATCH(O189,'Hun Demand'!A:A,0)),"")</f>
        <v>200</v>
      </c>
      <c r="AH189" s="25">
        <f>IFERROR(INDEX('Hun Demand'!H:H,MATCH($O189,'Hun Demand'!$A:$A,0)),"")</f>
        <v>0</v>
      </c>
      <c r="AI189" s="25" t="str">
        <f>IF(SUMIFS('Supp Consol'!AA:AA,'Supp Consol'!Z:Z,"Expires this month",'Supp Consol'!A:A,O189)=0,"",SUMIFS('Supp Consol'!AA:AA,'Supp Consol'!Z:Z,"Expires this month",'Supp Consol'!A:A,O189))</f>
        <v/>
      </c>
      <c r="AJ189" s="25" t="str">
        <f>IF(SUMIFS('Supp Consol'!AA:AA,'Supp Consol'!Z:Z,"Expired Previous Months",'Supp Consol'!A:A,O189)=0,"",SUMIFS('Supp Consol'!AA:AA,'Supp Consol'!Z:Z,"Expired Previous Months",'Supp Consol'!A:A,O189))</f>
        <v/>
      </c>
      <c r="AK189" s="25" t="str">
        <f>IFERROR(INDEX('Hun Release Current'!B:B,MATCH(O189,'Hun Release Current'!A:A,0)),"")</f>
        <v/>
      </c>
      <c r="AL189" s="25" t="str">
        <f>IF(SUMIF('Prev Aub'!A:A,O189,'Prev Aub'!B:B)=0,"",SUMIF('Prev Aub'!A:A,O189,'Prev Aub'!B:B))</f>
        <v/>
      </c>
      <c r="AN189" s="25" t="s">
        <v>3790</v>
      </c>
      <c r="AO189" s="25" t="s">
        <v>3790</v>
      </c>
      <c r="AP189" s="25">
        <f t="shared" si="62"/>
        <v>0</v>
      </c>
      <c r="AQ189" s="151" t="str">
        <f>IF(SUMIFS('Supp Consol'!S:S,'Supp Consol'!A:A,O189,'Supp Consol'!I:I,"PENDING")=0,"",SUMIFS('Supp Consol'!S:S,'Supp Consol'!A:A,O189,'Supp Consol'!I:I,"PENDING"))</f>
        <v/>
      </c>
      <c r="AR189" s="27" t="str">
        <f t="shared" si="63"/>
        <v>AG700</v>
      </c>
      <c r="AS189" s="27" t="str">
        <f t="shared" si="64"/>
        <v>50</v>
      </c>
      <c r="AT189" s="27" t="str">
        <f t="shared" si="65"/>
        <v/>
      </c>
      <c r="AU189" s="27" t="str">
        <f t="shared" si="66"/>
        <v/>
      </c>
      <c r="AV189" s="27" t="str">
        <f t="shared" si="67"/>
        <v/>
      </c>
      <c r="AW189" s="27" t="str">
        <f t="shared" si="68"/>
        <v/>
      </c>
      <c r="AX189" s="27" t="str">
        <f t="shared" si="69"/>
        <v/>
      </c>
      <c r="AY189" s="27" t="str">
        <f t="shared" si="70"/>
        <v>AG700</v>
      </c>
      <c r="AZ189" s="27" t="str">
        <f t="shared" si="71"/>
        <v/>
      </c>
      <c r="BA189" s="27" t="str">
        <f t="shared" si="72"/>
        <v>Hun</v>
      </c>
      <c r="BB189" s="27" t="str">
        <f t="shared" si="73"/>
        <v/>
      </c>
      <c r="BC189" s="27" t="str">
        <f t="shared" si="74"/>
        <v/>
      </c>
      <c r="BD189" s="27" t="str">
        <f t="shared" si="75"/>
        <v/>
      </c>
      <c r="BE189" s="27" t="str">
        <f t="shared" si="76"/>
        <v/>
      </c>
      <c r="BF189" s="27" t="str">
        <f t="shared" si="77"/>
        <v/>
      </c>
      <c r="BG189" s="27" t="str">
        <f t="shared" si="78"/>
        <v/>
      </c>
      <c r="BH189" s="27" t="str">
        <f t="shared" si="79"/>
        <v/>
      </c>
      <c r="BI189" s="27" t="str">
        <f t="shared" si="80"/>
        <v/>
      </c>
      <c r="BJ189" s="27" t="str">
        <f t="shared" si="81"/>
        <v>Supp or Hun</v>
      </c>
      <c r="BK189" s="27" t="str">
        <f t="shared" si="82"/>
        <v/>
      </c>
      <c r="BL189" s="27" t="str">
        <f t="shared" si="83"/>
        <v/>
      </c>
      <c r="BM189" s="21" t="s">
        <v>5581</v>
      </c>
    </row>
    <row r="190" spans="1:65" ht="15">
      <c r="A190" s="25">
        <f>IFERROR(INDEX('Hun Demand'!W:W,MATCH(O190,'Hun Demand'!A:A,0)),"")</f>
        <v>0</v>
      </c>
      <c r="B190" s="25">
        <f>IFERROR(INDEX('Hun Demand'!V:V,MATCH(O190,'Hun Demand'!A:A,0)),"")</f>
        <v>0</v>
      </c>
      <c r="C190" s="25">
        <f>IFERROR(INDEX('Hun Demand'!U:U,MATCH(O190,'Hun Demand'!A:A,0)),"")</f>
        <v>0</v>
      </c>
      <c r="D190" s="25">
        <f>IFERROR(INDEX('Hun Demand'!T:T,MATCH(O190,'Hun Demand'!A:A,0)),"")</f>
        <v>0</v>
      </c>
      <c r="E190" s="25">
        <f>IFERROR(INDEX('Hun Demand'!S:S,MATCH(O190,'Hun Demand'!A:A,0)),"")</f>
        <v>0</v>
      </c>
      <c r="F190" s="25">
        <f>IFERROR(INDEX('Hun Demand'!R:R,MATCH(O190,'Hun Demand'!A:A,0)),"")</f>
        <v>0</v>
      </c>
      <c r="G190" s="25">
        <f>IFERROR(INDEX('Aub Demand'!W:W,MATCH(O190,'Aub Demand'!A:A,0)),"")</f>
        <v>50</v>
      </c>
      <c r="H190" s="25">
        <f>IFERROR(INDEX('Aub Demand'!V:V,MATCH(O190,'Aub Demand'!A:A,0)),"")</f>
        <v>4</v>
      </c>
      <c r="I190" s="25">
        <f>IFERROR(INDEX('Aub Demand'!U:U,MATCH(O190,'Aub Demand'!A:A,0)),"")</f>
        <v>50</v>
      </c>
      <c r="J190" s="25">
        <f>IFERROR(INDEX('Aub Demand'!T:T,MATCH(O190,'Aub Demand'!A:A,0)),"")</f>
        <v>230</v>
      </c>
      <c r="K190" s="25">
        <f>IFERROR(INDEX('Aub Demand'!S:S,MATCH(O190,'Aub Demand'!A:A,0)),"")</f>
        <v>35</v>
      </c>
      <c r="L190" s="25">
        <f>IFERROR(INDEX('Aub Demand'!R:R,MATCH(O190,'Aub Demand'!A:A,0)),"")</f>
        <v>0</v>
      </c>
      <c r="O190" s="27" t="s">
        <v>390</v>
      </c>
      <c r="P190" s="27" t="str">
        <f>IFERROR(INDEX('Aub Demand'!B:B,MATCH($O190,'Aub Demand'!$A:$A,0)),"")</f>
        <v>YORKSHIRE TWEED</v>
      </c>
      <c r="Q190" s="27" t="str">
        <f>IFERROR(INDEX('Aub Demand'!C:C,MATCH($O190,'Aub Demand'!$A:$A,0)),"")</f>
        <v>SCHAT</v>
      </c>
      <c r="R190" s="52">
        <f>IFERROR(IF(AR191=AR190,INDEX('Aub Demand'!K:K,MATCH($O190,'Aub Demand'!$A:$A,0))-IF(AN190="",0,AN190)+AP191,INDEX('Aub Demand'!K:K,MATCH($O190,'Aub Demand'!$A:$A,0))-IF(AN190="",0,AN190)),"")</f>
        <v>1029</v>
      </c>
      <c r="S190" s="53">
        <f t="shared" si="56"/>
        <v>42</v>
      </c>
      <c r="T190" s="52" t="str">
        <f t="shared" si="57"/>
        <v/>
      </c>
      <c r="U190" s="52">
        <f>IFERROR(IF(AR191=AR190,INDEX('Aub Demand'!Q:Q,MATCH($O190,'Aub Demand'!$A:$A,0))-IF(AN190="",0,AN190)+AP191,INDEX('Aub Demand'!Q:Q,MATCH($O190,'Aub Demand'!$A:$A,0))-IF(AN190="",0,AN190)),"")</f>
        <v>1029</v>
      </c>
      <c r="V190" s="53">
        <f t="shared" si="58"/>
        <v>42</v>
      </c>
      <c r="W190" s="52" t="str">
        <f t="shared" si="59"/>
        <v/>
      </c>
      <c r="X190" s="52">
        <f>IFERROR(IF(AND(AR191=AR190,AM190&lt;&gt;""),INDEX('Aub Demand'!Q:Q,MATCH($O190,'Aub Demand'!$A:$A,0))-IF(AN190="",0,AN190)+AP191+AD190+AL190,IF(AR191=AR190,INDEX('Aub Demand'!Q:Q,MATCH($O190,'Aub Demand'!$A:$A,0))-IF(AN190="",0,AN190)+AP191+AD190,IF(AM190&lt;&gt;"",INDEX('Aub Demand'!Q:Q,MATCH($O190,'Aub Demand'!$A:$A,0))-IF(AN190="",0,AN190)+AD190+AL190,INDEX('Aub Demand'!Q:Q,MATCH($O190,'Aub Demand'!$A:$A,0))-IF(AN190="",0,AN190)+AD190))),"")</f>
        <v>1029</v>
      </c>
      <c r="Y190" s="53">
        <f t="shared" si="60"/>
        <v>42</v>
      </c>
      <c r="Z190" s="52">
        <f>IF(L190="","",INDEX('Aub Demand'!H:H,MATCH($O190,'Aub Demand'!$A:$A,0)))</f>
        <v>105</v>
      </c>
      <c r="AA190" s="52">
        <f t="shared" si="61"/>
        <v>140</v>
      </c>
      <c r="AB190" s="52">
        <f>IFERROR(INDEX('Aub Demand'!L:L,MATCH($O190,'Aub Demand'!$A:$A,0)),"")</f>
        <v>0</v>
      </c>
      <c r="AC190" s="52">
        <f>IFERROR(IF(O190="","",SUMIFS('CPL Mats'!F:F,'CPL Mats'!Q:Q,AR190,'CPL Mats'!S:S,AS190)),"")</f>
        <v>0</v>
      </c>
      <c r="AF190" s="25" t="str">
        <f>IF(SUMIFS('Supp Consol'!S:S,'Supp Consol'!Y:Y,"Releasable",'Supp Consol'!A:A,O190)=0,"",SUMIFS('Supp Consol'!S:S,'Supp Consol'!Y:Y,"Releasable",'Supp Consol'!A:A,O190))</f>
        <v/>
      </c>
      <c r="AG190" s="25">
        <f>IFERROR(INDEX('Hun Demand'!Q:Q,MATCH(O190,'Hun Demand'!A:A,0)),"")</f>
        <v>204</v>
      </c>
      <c r="AH190" s="25">
        <f>IFERROR(INDEX('Hun Demand'!H:H,MATCH($O190,'Hun Demand'!$A:$A,0)),"")</f>
        <v>0</v>
      </c>
      <c r="AI190" s="25" t="str">
        <f>IF(SUMIFS('Supp Consol'!AA:AA,'Supp Consol'!Z:Z,"Expires this month",'Supp Consol'!A:A,O190)=0,"",SUMIFS('Supp Consol'!AA:AA,'Supp Consol'!Z:Z,"Expires this month",'Supp Consol'!A:A,O190))</f>
        <v/>
      </c>
      <c r="AJ190" s="25" t="str">
        <f>IF(SUMIFS('Supp Consol'!AA:AA,'Supp Consol'!Z:Z,"Expired Previous Months",'Supp Consol'!A:A,O190)=0,"",SUMIFS('Supp Consol'!AA:AA,'Supp Consol'!Z:Z,"Expired Previous Months",'Supp Consol'!A:A,O190))</f>
        <v/>
      </c>
      <c r="AK190" s="25" t="str">
        <f>IFERROR(INDEX('Hun Release Current'!B:B,MATCH(O190,'Hun Release Current'!A:A,0)),"")</f>
        <v/>
      </c>
      <c r="AL190" s="25" t="str">
        <f>IF(SUMIF('Prev Aub'!A:A,O190,'Prev Aub'!B:B)=0,"",SUMIF('Prev Aub'!A:A,O190,'Prev Aub'!B:B))</f>
        <v/>
      </c>
      <c r="AN190" s="25" t="s">
        <v>3790</v>
      </c>
      <c r="AO190" s="25" t="s">
        <v>3790</v>
      </c>
      <c r="AP190" s="25">
        <f t="shared" si="62"/>
        <v>0</v>
      </c>
      <c r="AQ190" s="151" t="str">
        <f>IF(SUMIFS('Supp Consol'!S:S,'Supp Consol'!A:A,O190,'Supp Consol'!I:I,"PENDING")=0,"",SUMIFS('Supp Consol'!S:S,'Supp Consol'!A:A,O190,'Supp Consol'!I:I,"PENDING"))</f>
        <v/>
      </c>
      <c r="AR190" s="27" t="str">
        <f t="shared" si="63"/>
        <v>AG730</v>
      </c>
      <c r="AS190" s="27" t="str">
        <f t="shared" si="64"/>
        <v>50</v>
      </c>
      <c r="AT190" s="27" t="str">
        <f t="shared" si="65"/>
        <v/>
      </c>
      <c r="AU190" s="27" t="str">
        <f t="shared" si="66"/>
        <v/>
      </c>
      <c r="AV190" s="27" t="str">
        <f t="shared" si="67"/>
        <v/>
      </c>
      <c r="AW190" s="27" t="str">
        <f t="shared" si="68"/>
        <v/>
      </c>
      <c r="AX190" s="27" t="str">
        <f t="shared" si="69"/>
        <v/>
      </c>
      <c r="AY190" s="27" t="str">
        <f t="shared" si="70"/>
        <v>AG730</v>
      </c>
      <c r="AZ190" s="27" t="str">
        <f t="shared" si="71"/>
        <v/>
      </c>
      <c r="BA190" s="27" t="str">
        <f t="shared" si="72"/>
        <v>Hun</v>
      </c>
      <c r="BB190" s="27" t="str">
        <f t="shared" si="73"/>
        <v/>
      </c>
      <c r="BC190" s="27" t="str">
        <f t="shared" si="74"/>
        <v/>
      </c>
      <c r="BD190" s="27" t="str">
        <f t="shared" si="75"/>
        <v/>
      </c>
      <c r="BE190" s="27" t="str">
        <f t="shared" si="76"/>
        <v/>
      </c>
      <c r="BF190" s="27" t="str">
        <f t="shared" si="77"/>
        <v/>
      </c>
      <c r="BG190" s="27" t="str">
        <f t="shared" si="78"/>
        <v/>
      </c>
      <c r="BH190" s="27" t="str">
        <f t="shared" si="79"/>
        <v/>
      </c>
      <c r="BI190" s="27" t="str">
        <f t="shared" si="80"/>
        <v/>
      </c>
      <c r="BJ190" s="27" t="str">
        <f t="shared" si="81"/>
        <v>Supp or Hun</v>
      </c>
      <c r="BK190" s="27" t="str">
        <f t="shared" si="82"/>
        <v/>
      </c>
      <c r="BL190" s="27" t="str">
        <f t="shared" si="83"/>
        <v/>
      </c>
      <c r="BM190" s="21" t="s">
        <v>5581</v>
      </c>
    </row>
    <row r="191" spans="1:65" ht="15">
      <c r="A191" s="25">
        <f>IFERROR(INDEX('Hun Demand'!W:W,MATCH(O191,'Hun Demand'!A:A,0)),"")</f>
        <v>0</v>
      </c>
      <c r="B191" s="25">
        <f>IFERROR(INDEX('Hun Demand'!V:V,MATCH(O191,'Hun Demand'!A:A,0)),"")</f>
        <v>104</v>
      </c>
      <c r="C191" s="25">
        <f>IFERROR(INDEX('Hun Demand'!U:U,MATCH(O191,'Hun Demand'!A:A,0)),"")</f>
        <v>212</v>
      </c>
      <c r="D191" s="25">
        <f>IFERROR(INDEX('Hun Demand'!T:T,MATCH(O191,'Hun Demand'!A:A,0)),"")</f>
        <v>0</v>
      </c>
      <c r="E191" s="25">
        <f>IFERROR(INDEX('Hun Demand'!S:S,MATCH(O191,'Hun Demand'!A:A,0)),"")</f>
        <v>106</v>
      </c>
      <c r="F191" s="25">
        <f>IFERROR(INDEX('Hun Demand'!R:R,MATCH(O191,'Hun Demand'!A:A,0)),"")</f>
        <v>0</v>
      </c>
      <c r="G191" s="25">
        <f>IFERROR(INDEX('Aub Demand'!W:W,MATCH(O191,'Aub Demand'!A:A,0)),"")</f>
        <v>5</v>
      </c>
      <c r="H191" s="25">
        <f>IFERROR(INDEX('Aub Demand'!V:V,MATCH(O191,'Aub Demand'!A:A,0)),"")</f>
        <v>104</v>
      </c>
      <c r="I191" s="25">
        <f>IFERROR(INDEX('Aub Demand'!U:U,MATCH(O191,'Aub Demand'!A:A,0)),"")</f>
        <v>212</v>
      </c>
      <c r="J191" s="25">
        <f>IFERROR(INDEX('Aub Demand'!T:T,MATCH(O191,'Aub Demand'!A:A,0)),"")</f>
        <v>0</v>
      </c>
      <c r="K191" s="25">
        <f>IFERROR(INDEX('Aub Demand'!S:S,MATCH(O191,'Aub Demand'!A:A,0)),"")</f>
        <v>304</v>
      </c>
      <c r="L191" s="25">
        <f>IFERROR(INDEX('Aub Demand'!R:R,MATCH(O191,'Aub Demand'!A:A,0)),"")</f>
        <v>0</v>
      </c>
      <c r="O191" s="27" t="s">
        <v>392</v>
      </c>
      <c r="P191" s="27" t="str">
        <f>IFERROR(INDEX('Aub Demand'!B:B,MATCH($O191,'Aub Demand'!$A:$A,0)),"")</f>
        <v>YORKSHIRE TWEED</v>
      </c>
      <c r="Q191" s="27" t="str">
        <f>IFERROR(INDEX('Aub Demand'!C:C,MATCH($O191,'Aub Demand'!$A:$A,0)),"")</f>
        <v>SCHAT</v>
      </c>
      <c r="R191" s="52">
        <f>IFERROR(IF(AR192=AR191,INDEX('Aub Demand'!K:K,MATCH($O191,'Aub Demand'!$A:$A,0))-IF(AN191="",0,AN191)+AP192,INDEX('Aub Demand'!K:K,MATCH($O191,'Aub Demand'!$A:$A,0))-IF(AN191="",0,AN191)),"")</f>
        <v>1333</v>
      </c>
      <c r="S191" s="53">
        <f t="shared" si="56"/>
        <v>33.200000000000003</v>
      </c>
      <c r="T191" s="52" t="str">
        <f t="shared" si="57"/>
        <v/>
      </c>
      <c r="U191" s="52">
        <f>IFERROR(IF(AR192=AR191,INDEX('Aub Demand'!Q:Q,MATCH($O191,'Aub Demand'!$A:$A,0))-IF(AN191="",0,AN191)+AP192,INDEX('Aub Demand'!Q:Q,MATCH($O191,'Aub Demand'!$A:$A,0))-IF(AN191="",0,AN191)),"")</f>
        <v>1333</v>
      </c>
      <c r="V191" s="53">
        <f t="shared" si="58"/>
        <v>33.200000000000003</v>
      </c>
      <c r="W191" s="52" t="str">
        <f t="shared" si="59"/>
        <v/>
      </c>
      <c r="X191" s="52">
        <f>IFERROR(IF(AND(AR192=AR191,AM191&lt;&gt;""),INDEX('Aub Demand'!Q:Q,MATCH($O191,'Aub Demand'!$A:$A,0))-IF(AN191="",0,AN191)+AP192+AD191+AL191,IF(AR192=AR191,INDEX('Aub Demand'!Q:Q,MATCH($O191,'Aub Demand'!$A:$A,0))-IF(AN191="",0,AN191)+AP192+AD191,IF(AM191&lt;&gt;"",INDEX('Aub Demand'!Q:Q,MATCH($O191,'Aub Demand'!$A:$A,0))-IF(AN191="",0,AN191)+AD191+AL191,INDEX('Aub Demand'!Q:Q,MATCH($O191,'Aub Demand'!$A:$A,0))-IF(AN191="",0,AN191)+AD191))),"")</f>
        <v>1333</v>
      </c>
      <c r="Y191" s="53">
        <f t="shared" si="60"/>
        <v>33.200000000000003</v>
      </c>
      <c r="Z191" s="52">
        <f>IF(L191="","",INDEX('Aub Demand'!H:H,MATCH($O191,'Aub Demand'!$A:$A,0)))</f>
        <v>172</v>
      </c>
      <c r="AA191" s="52">
        <f t="shared" si="61"/>
        <v>258</v>
      </c>
      <c r="AB191" s="52">
        <f>IFERROR(INDEX('Aub Demand'!L:L,MATCH($O191,'Aub Demand'!$A:$A,0)),"")</f>
        <v>36</v>
      </c>
      <c r="AC191" s="52">
        <f>IFERROR(IF(O191="","",SUMIFS('CPL Mats'!F:F,'CPL Mats'!Q:Q,AR191,'CPL Mats'!S:S,AS191)),"")</f>
        <v>0</v>
      </c>
      <c r="AF191" s="25" t="str">
        <f>IF(SUMIFS('Supp Consol'!S:S,'Supp Consol'!Y:Y,"Releasable",'Supp Consol'!A:A,O191)=0,"",SUMIFS('Supp Consol'!S:S,'Supp Consol'!Y:Y,"Releasable",'Supp Consol'!A:A,O191))</f>
        <v/>
      </c>
      <c r="AG191" s="25">
        <f>IFERROR(INDEX('Hun Demand'!Q:Q,MATCH(O191,'Hun Demand'!A:A,0)),"")</f>
        <v>198</v>
      </c>
      <c r="AH191" s="25">
        <f>IFERROR(INDEX('Hun Demand'!H:H,MATCH($O191,'Hun Demand'!$A:$A,0)),"")</f>
        <v>106</v>
      </c>
      <c r="AI191" s="25" t="str">
        <f>IF(SUMIFS('Supp Consol'!AA:AA,'Supp Consol'!Z:Z,"Expires this month",'Supp Consol'!A:A,O191)=0,"",SUMIFS('Supp Consol'!AA:AA,'Supp Consol'!Z:Z,"Expires this month",'Supp Consol'!A:A,O191))</f>
        <v/>
      </c>
      <c r="AJ191" s="25" t="str">
        <f>IF(SUMIFS('Supp Consol'!AA:AA,'Supp Consol'!Z:Z,"Expired Previous Months",'Supp Consol'!A:A,O191)=0,"",SUMIFS('Supp Consol'!AA:AA,'Supp Consol'!Z:Z,"Expired Previous Months",'Supp Consol'!A:A,O191))</f>
        <v/>
      </c>
      <c r="AK191" s="25" t="str">
        <f>IFERROR(INDEX('Hun Release Current'!B:B,MATCH(O191,'Hun Release Current'!A:A,0)),"")</f>
        <v/>
      </c>
      <c r="AL191" s="25" t="str">
        <f>IF(SUMIF('Prev Aub'!A:A,O191,'Prev Aub'!B:B)=0,"",SUMIF('Prev Aub'!A:A,O191,'Prev Aub'!B:B))</f>
        <v/>
      </c>
      <c r="AN191" s="25" t="s">
        <v>3790</v>
      </c>
      <c r="AO191" s="25" t="s">
        <v>3790</v>
      </c>
      <c r="AP191" s="25">
        <f t="shared" si="62"/>
        <v>0</v>
      </c>
      <c r="AQ191" s="151" t="str">
        <f>IF(SUMIFS('Supp Consol'!S:S,'Supp Consol'!A:A,O191,'Supp Consol'!I:I,"PENDING")=0,"",SUMIFS('Supp Consol'!S:S,'Supp Consol'!A:A,O191,'Supp Consol'!I:I,"PENDING"))</f>
        <v/>
      </c>
      <c r="AR191" s="27" t="str">
        <f t="shared" si="63"/>
        <v>AG730</v>
      </c>
      <c r="AS191" s="27" t="str">
        <f t="shared" si="64"/>
        <v>62</v>
      </c>
      <c r="AT191" s="27" t="str">
        <f t="shared" si="65"/>
        <v/>
      </c>
      <c r="AU191" s="27" t="str">
        <f t="shared" si="66"/>
        <v/>
      </c>
      <c r="AV191" s="27" t="str">
        <f t="shared" si="67"/>
        <v/>
      </c>
      <c r="AW191" s="27" t="str">
        <f t="shared" si="68"/>
        <v/>
      </c>
      <c r="AX191" s="27" t="str">
        <f t="shared" si="69"/>
        <v/>
      </c>
      <c r="AY191" s="27" t="str">
        <f t="shared" si="70"/>
        <v>AG730</v>
      </c>
      <c r="AZ191" s="27" t="str">
        <f t="shared" si="71"/>
        <v/>
      </c>
      <c r="BA191" s="27" t="str">
        <f t="shared" si="72"/>
        <v>Hun</v>
      </c>
      <c r="BB191" s="27" t="str">
        <f t="shared" si="73"/>
        <v/>
      </c>
      <c r="BC191" s="27" t="str">
        <f t="shared" si="74"/>
        <v/>
      </c>
      <c r="BD191" s="27" t="str">
        <f t="shared" si="75"/>
        <v/>
      </c>
      <c r="BE191" s="27" t="str">
        <f t="shared" si="76"/>
        <v/>
      </c>
      <c r="BF191" s="27" t="str">
        <f t="shared" si="77"/>
        <v/>
      </c>
      <c r="BG191" s="27" t="str">
        <f t="shared" si="78"/>
        <v/>
      </c>
      <c r="BH191" s="27" t="str">
        <f t="shared" si="79"/>
        <v/>
      </c>
      <c r="BI191" s="27" t="str">
        <f t="shared" si="80"/>
        <v/>
      </c>
      <c r="BJ191" s="27" t="str">
        <f t="shared" si="81"/>
        <v>Supp or Hun</v>
      </c>
      <c r="BK191" s="27" t="str">
        <f t="shared" si="82"/>
        <v/>
      </c>
      <c r="BL191" s="27" t="str">
        <f t="shared" si="83"/>
        <v/>
      </c>
      <c r="BM191" s="21" t="s">
        <v>5581</v>
      </c>
    </row>
    <row r="192" spans="1:65" ht="15">
      <c r="A192" s="25" t="str">
        <f>IFERROR(INDEX('Hun Demand'!W:W,MATCH(O192,'Hun Demand'!A:A,0)),"")</f>
        <v/>
      </c>
      <c r="B192" s="25" t="str">
        <f>IFERROR(INDEX('Hun Demand'!V:V,MATCH(O192,'Hun Demand'!A:A,0)),"")</f>
        <v/>
      </c>
      <c r="C192" s="25" t="str">
        <f>IFERROR(INDEX('Hun Demand'!U:U,MATCH(O192,'Hun Demand'!A:A,0)),"")</f>
        <v/>
      </c>
      <c r="D192" s="25" t="str">
        <f>IFERROR(INDEX('Hun Demand'!T:T,MATCH(O192,'Hun Demand'!A:A,0)),"")</f>
        <v/>
      </c>
      <c r="E192" s="25" t="str">
        <f>IFERROR(INDEX('Hun Demand'!S:S,MATCH(O192,'Hun Demand'!A:A,0)),"")</f>
        <v/>
      </c>
      <c r="F192" s="25" t="str">
        <f>IFERROR(INDEX('Hun Demand'!R:R,MATCH(O192,'Hun Demand'!A:A,0)),"")</f>
        <v/>
      </c>
      <c r="G192" s="25">
        <f>IFERROR(INDEX('Aub Demand'!W:W,MATCH(O192,'Aub Demand'!A:A,0)),"")</f>
        <v>0</v>
      </c>
      <c r="H192" s="25">
        <f>IFERROR(INDEX('Aub Demand'!V:V,MATCH(O192,'Aub Demand'!A:A,0)),"")</f>
        <v>0</v>
      </c>
      <c r="I192" s="25">
        <f>IFERROR(INDEX('Aub Demand'!U:U,MATCH(O192,'Aub Demand'!A:A,0)),"")</f>
        <v>45</v>
      </c>
      <c r="J192" s="25">
        <f>IFERROR(INDEX('Aub Demand'!T:T,MATCH(O192,'Aub Demand'!A:A,0)),"")</f>
        <v>102</v>
      </c>
      <c r="K192" s="25">
        <f>IFERROR(INDEX('Aub Demand'!S:S,MATCH(O192,'Aub Demand'!A:A,0)),"")</f>
        <v>0</v>
      </c>
      <c r="L192" s="25">
        <f>IFERROR(INDEX('Aub Demand'!R:R,MATCH(O192,'Aub Demand'!A:A,0)),"")</f>
        <v>0</v>
      </c>
      <c r="O192" s="27" t="s">
        <v>393</v>
      </c>
      <c r="P192" s="27" t="str">
        <f>IFERROR(INDEX('Aub Demand'!B:B,MATCH($O192,'Aub Demand'!$A:$A,0)),"")</f>
        <v>KNICKERBOCKER</v>
      </c>
      <c r="Q192" s="27" t="str">
        <f>IFERROR(INDEX('Aub Demand'!C:C,MATCH($O192,'Aub Demand'!$A:$A,0)),"")</f>
        <v>SUDDE</v>
      </c>
      <c r="R192" s="52">
        <f>IFERROR(IF(AR193=AR192,INDEX('Aub Demand'!K:K,MATCH($O192,'Aub Demand'!$A:$A,0))-IF(AN192="",0,AN192)+AP193,INDEX('Aub Demand'!K:K,MATCH($O192,'Aub Demand'!$A:$A,0))-IF(AN192="",0,AN192)),"")</f>
        <v>1014</v>
      </c>
      <c r="S192" s="53">
        <f t="shared" si="56"/>
        <v>88.7</v>
      </c>
      <c r="T192" s="52" t="str">
        <f t="shared" si="57"/>
        <v/>
      </c>
      <c r="U192" s="52">
        <f>IFERROR(IF(AR193=AR192,INDEX('Aub Demand'!Q:Q,MATCH($O192,'Aub Demand'!$A:$A,0))-IF(AN192="",0,AN192)+AP193,INDEX('Aub Demand'!Q:Q,MATCH($O192,'Aub Demand'!$A:$A,0))-IF(AN192="",0,AN192)),"")</f>
        <v>1014</v>
      </c>
      <c r="V192" s="53">
        <f t="shared" si="58"/>
        <v>88.7</v>
      </c>
      <c r="W192" s="52" t="str">
        <f t="shared" si="59"/>
        <v/>
      </c>
      <c r="X192" s="52">
        <f>IFERROR(IF(AND(AR193=AR192,AM192&lt;&gt;""),INDEX('Aub Demand'!Q:Q,MATCH($O192,'Aub Demand'!$A:$A,0))-IF(AN192="",0,AN192)+AP193+AD192+AL192,IF(AR193=AR192,INDEX('Aub Demand'!Q:Q,MATCH($O192,'Aub Demand'!$A:$A,0))-IF(AN192="",0,AN192)+AP193+AD192,IF(AM192&lt;&gt;"",INDEX('Aub Demand'!Q:Q,MATCH($O192,'Aub Demand'!$A:$A,0))-IF(AN192="",0,AN192)+AD192+AL192,INDEX('Aub Demand'!Q:Q,MATCH($O192,'Aub Demand'!$A:$A,0))-IF(AN192="",0,AN192)+AD192))),"")</f>
        <v>1014</v>
      </c>
      <c r="Y192" s="53">
        <f t="shared" si="60"/>
        <v>88.7</v>
      </c>
      <c r="Z192" s="52">
        <f>IF(L192="","",INDEX('Aub Demand'!H:H,MATCH($O192,'Aub Demand'!$A:$A,0)))</f>
        <v>49</v>
      </c>
      <c r="AA192" s="52">
        <f t="shared" si="61"/>
        <v>73.5</v>
      </c>
      <c r="AB192" s="52">
        <f>IFERROR(INDEX('Aub Demand'!L:L,MATCH($O192,'Aub Demand'!$A:$A,0)),"")</f>
        <v>10</v>
      </c>
      <c r="AC192" s="52">
        <f>IFERROR(IF(O192="","",SUMIFS('CPL Mats'!F:F,'CPL Mats'!Q:Q,AR192,'CPL Mats'!S:S,AS192)),"")</f>
        <v>0</v>
      </c>
      <c r="AF192" s="25" t="str">
        <f>IF(SUMIFS('Supp Consol'!S:S,'Supp Consol'!Y:Y,"Releasable",'Supp Consol'!A:A,O192)=0,"",SUMIFS('Supp Consol'!S:S,'Supp Consol'!Y:Y,"Releasable",'Supp Consol'!A:A,O192))</f>
        <v/>
      </c>
      <c r="AG192" s="25" t="str">
        <f>IFERROR(INDEX('Hun Demand'!Q:Q,MATCH(O192,'Hun Demand'!A:A,0)),"")</f>
        <v/>
      </c>
      <c r="AH192" s="25" t="str">
        <f>IFERROR(INDEX('Hun Demand'!H:H,MATCH($O192,'Hun Demand'!$A:$A,0)),"")</f>
        <v/>
      </c>
      <c r="AI192" s="25" t="str">
        <f>IF(SUMIFS('Supp Consol'!AA:AA,'Supp Consol'!Z:Z,"Expires this month",'Supp Consol'!A:A,O192)=0,"",SUMIFS('Supp Consol'!AA:AA,'Supp Consol'!Z:Z,"Expires this month",'Supp Consol'!A:A,O192))</f>
        <v/>
      </c>
      <c r="AJ192" s="25" t="str">
        <f>IF(SUMIFS('Supp Consol'!AA:AA,'Supp Consol'!Z:Z,"Expired Previous Months",'Supp Consol'!A:A,O192)=0,"",SUMIFS('Supp Consol'!AA:AA,'Supp Consol'!Z:Z,"Expired Previous Months",'Supp Consol'!A:A,O192))</f>
        <v/>
      </c>
      <c r="AK192" s="25" t="str">
        <f>IFERROR(INDEX('Hun Release Current'!B:B,MATCH(O192,'Hun Release Current'!A:A,0)),"")</f>
        <v/>
      </c>
      <c r="AL192" s="25" t="str">
        <f>IF(SUMIF('Prev Aub'!A:A,O192,'Prev Aub'!B:B)=0,"",SUMIF('Prev Aub'!A:A,O192,'Prev Aub'!B:B))</f>
        <v/>
      </c>
      <c r="AN192" s="25" t="s">
        <v>3790</v>
      </c>
      <c r="AO192" s="25" t="s">
        <v>3790</v>
      </c>
      <c r="AP192" s="25">
        <f t="shared" si="62"/>
        <v>0</v>
      </c>
      <c r="AQ192" s="151" t="str">
        <f>IF(SUMIFS('Supp Consol'!S:S,'Supp Consol'!A:A,O192,'Supp Consol'!I:I,"PENDING")=0,"",SUMIFS('Supp Consol'!S:S,'Supp Consol'!A:A,O192,'Supp Consol'!I:I,"PENDING"))</f>
        <v/>
      </c>
      <c r="AR192" s="27" t="str">
        <f t="shared" si="63"/>
        <v>AG740</v>
      </c>
      <c r="AS192" s="27" t="str">
        <f t="shared" si="64"/>
        <v>50</v>
      </c>
      <c r="AT192" s="27" t="str">
        <f t="shared" si="65"/>
        <v/>
      </c>
      <c r="AU192" s="27" t="str">
        <f t="shared" si="66"/>
        <v/>
      </c>
      <c r="AV192" s="27" t="str">
        <f t="shared" si="67"/>
        <v/>
      </c>
      <c r="AW192" s="27" t="str">
        <f t="shared" si="68"/>
        <v/>
      </c>
      <c r="AX192" s="27" t="str">
        <f t="shared" si="69"/>
        <v/>
      </c>
      <c r="AY192" s="27" t="str">
        <f t="shared" si="70"/>
        <v/>
      </c>
      <c r="AZ192" s="27" t="str">
        <f t="shared" si="71"/>
        <v/>
      </c>
      <c r="BA192" s="27" t="str">
        <f t="shared" si="72"/>
        <v/>
      </c>
      <c r="BB192" s="27" t="str">
        <f t="shared" si="73"/>
        <v/>
      </c>
      <c r="BC192" s="27" t="str">
        <f t="shared" si="74"/>
        <v/>
      </c>
      <c r="BD192" s="27" t="str">
        <f t="shared" si="75"/>
        <v/>
      </c>
      <c r="BE192" s="27" t="str">
        <f t="shared" si="76"/>
        <v/>
      </c>
      <c r="BF192" s="27" t="str">
        <f t="shared" si="77"/>
        <v/>
      </c>
      <c r="BG192" s="27" t="str">
        <f t="shared" si="78"/>
        <v/>
      </c>
      <c r="BH192" s="27" t="str">
        <f t="shared" si="79"/>
        <v/>
      </c>
      <c r="BI192" s="27" t="str">
        <f t="shared" si="80"/>
        <v/>
      </c>
      <c r="BJ192" s="27" t="str">
        <f t="shared" si="81"/>
        <v/>
      </c>
      <c r="BK192" s="27" t="str">
        <f t="shared" si="82"/>
        <v/>
      </c>
      <c r="BL192" s="27" t="str">
        <f t="shared" si="83"/>
        <v/>
      </c>
      <c r="BM192" s="21" t="s">
        <v>5581</v>
      </c>
    </row>
    <row r="193" spans="1:65" ht="15">
      <c r="A193" s="25" t="str">
        <f>IFERROR(INDEX('Hun Demand'!W:W,MATCH(O193,'Hun Demand'!A:A,0)),"")</f>
        <v/>
      </c>
      <c r="B193" s="25" t="str">
        <f>IFERROR(INDEX('Hun Demand'!V:V,MATCH(O193,'Hun Demand'!A:A,0)),"")</f>
        <v/>
      </c>
      <c r="C193" s="25" t="str">
        <f>IFERROR(INDEX('Hun Demand'!U:U,MATCH(O193,'Hun Demand'!A:A,0)),"")</f>
        <v/>
      </c>
      <c r="D193" s="25" t="str">
        <f>IFERROR(INDEX('Hun Demand'!T:T,MATCH(O193,'Hun Demand'!A:A,0)),"")</f>
        <v/>
      </c>
      <c r="E193" s="25" t="str">
        <f>IFERROR(INDEX('Hun Demand'!S:S,MATCH(O193,'Hun Demand'!A:A,0)),"")</f>
        <v/>
      </c>
      <c r="F193" s="25" t="str">
        <f>IFERROR(INDEX('Hun Demand'!R:R,MATCH(O193,'Hun Demand'!A:A,0)),"")</f>
        <v/>
      </c>
      <c r="G193" s="25">
        <f>IFERROR(INDEX('Aub Demand'!W:W,MATCH(O193,'Aub Demand'!A:A,0)),"")</f>
        <v>0</v>
      </c>
      <c r="H193" s="25">
        <f>IFERROR(INDEX('Aub Demand'!V:V,MATCH(O193,'Aub Demand'!A:A,0)),"")</f>
        <v>0</v>
      </c>
      <c r="I193" s="25">
        <f>IFERROR(INDEX('Aub Demand'!U:U,MATCH(O193,'Aub Demand'!A:A,0)),"")</f>
        <v>0</v>
      </c>
      <c r="J193" s="25">
        <f>IFERROR(INDEX('Aub Demand'!T:T,MATCH(O193,'Aub Demand'!A:A,0)),"")</f>
        <v>0</v>
      </c>
      <c r="K193" s="25">
        <f>IFERROR(INDEX('Aub Demand'!S:S,MATCH(O193,'Aub Demand'!A:A,0)),"")</f>
        <v>0</v>
      </c>
      <c r="L193" s="25">
        <f>IFERROR(INDEX('Aub Demand'!R:R,MATCH(O193,'Aub Demand'!A:A,0)),"")</f>
        <v>0</v>
      </c>
      <c r="O193" s="27" t="s">
        <v>395</v>
      </c>
      <c r="P193" s="27" t="str">
        <f>IFERROR(INDEX('Aub Demand'!B:B,MATCH($O193,'Aub Demand'!$A:$A,0)),"")</f>
        <v>KNICKERBOCKER</v>
      </c>
      <c r="Q193" s="27" t="str">
        <f>IFERROR(INDEX('Aub Demand'!C:C,MATCH($O193,'Aub Demand'!$A:$A,0)),"")</f>
        <v>SUDDE</v>
      </c>
      <c r="R193" s="52">
        <f>IFERROR(IF(AR194=AR193,INDEX('Aub Demand'!K:K,MATCH($O193,'Aub Demand'!$A:$A,0))-IF(AN193="",0,AN193)+AP194,INDEX('Aub Demand'!K:K,MATCH($O193,'Aub Demand'!$A:$A,0))-IF(AN193="",0,AN193)),"")</f>
        <v>2676</v>
      </c>
      <c r="S193" s="53" t="str">
        <f t="shared" si="56"/>
        <v>n/a</v>
      </c>
      <c r="T193" s="52" t="str">
        <f t="shared" si="57"/>
        <v/>
      </c>
      <c r="U193" s="52">
        <f>IFERROR(IF(AR194=AR193,INDEX('Aub Demand'!Q:Q,MATCH($O193,'Aub Demand'!$A:$A,0))-IF(AN193="",0,AN193)+AP194,INDEX('Aub Demand'!Q:Q,MATCH($O193,'Aub Demand'!$A:$A,0))-IF(AN193="",0,AN193)),"")</f>
        <v>2676</v>
      </c>
      <c r="V193" s="53" t="str">
        <f t="shared" si="58"/>
        <v>n/a</v>
      </c>
      <c r="W193" s="52" t="str">
        <f t="shared" si="59"/>
        <v/>
      </c>
      <c r="X193" s="52">
        <f>IFERROR(IF(AND(AR194=AR193,AM193&lt;&gt;""),INDEX('Aub Demand'!Q:Q,MATCH($O193,'Aub Demand'!$A:$A,0))-IF(AN193="",0,AN193)+AP194+AD193+AL193,IF(AR194=AR193,INDEX('Aub Demand'!Q:Q,MATCH($O193,'Aub Demand'!$A:$A,0))-IF(AN193="",0,AN193)+AP194+AD193,IF(AM193&lt;&gt;"",INDEX('Aub Demand'!Q:Q,MATCH($O193,'Aub Demand'!$A:$A,0))-IF(AN193="",0,AN193)+AD193+AL193,INDEX('Aub Demand'!Q:Q,MATCH($O193,'Aub Demand'!$A:$A,0))-IF(AN193="",0,AN193)+AD193))),"")</f>
        <v>2676</v>
      </c>
      <c r="Y193" s="53" t="str">
        <f t="shared" si="60"/>
        <v>n/a</v>
      </c>
      <c r="Z193" s="52">
        <f>IF(L193="","",INDEX('Aub Demand'!H:H,MATCH($O193,'Aub Demand'!$A:$A,0)))</f>
        <v>0</v>
      </c>
      <c r="AA193" s="52" t="str">
        <f t="shared" si="61"/>
        <v>-spike-</v>
      </c>
      <c r="AB193" s="52">
        <f>IFERROR(INDEX('Aub Demand'!L:L,MATCH($O193,'Aub Demand'!$A:$A,0)),"")</f>
        <v>0</v>
      </c>
      <c r="AC193" s="52">
        <f>IFERROR(IF(O193="","",SUMIFS('CPL Mats'!F:F,'CPL Mats'!Q:Q,AR193,'CPL Mats'!S:S,AS193)),"")</f>
        <v>0</v>
      </c>
      <c r="AF193" s="25" t="str">
        <f>IF(SUMIFS('Supp Consol'!S:S,'Supp Consol'!Y:Y,"Releasable",'Supp Consol'!A:A,O193)=0,"",SUMIFS('Supp Consol'!S:S,'Supp Consol'!Y:Y,"Releasable",'Supp Consol'!A:A,O193))</f>
        <v/>
      </c>
      <c r="AG193" s="25" t="str">
        <f>IFERROR(INDEX('Hun Demand'!Q:Q,MATCH(O193,'Hun Demand'!A:A,0)),"")</f>
        <v/>
      </c>
      <c r="AH193" s="25" t="str">
        <f>IFERROR(INDEX('Hun Demand'!H:H,MATCH($O193,'Hun Demand'!$A:$A,0)),"")</f>
        <v/>
      </c>
      <c r="AI193" s="25" t="str">
        <f>IF(SUMIFS('Supp Consol'!AA:AA,'Supp Consol'!Z:Z,"Expires this month",'Supp Consol'!A:A,O193)=0,"",SUMIFS('Supp Consol'!AA:AA,'Supp Consol'!Z:Z,"Expires this month",'Supp Consol'!A:A,O193))</f>
        <v/>
      </c>
      <c r="AJ193" s="25" t="str">
        <f>IF(SUMIFS('Supp Consol'!AA:AA,'Supp Consol'!Z:Z,"Expired Previous Months",'Supp Consol'!A:A,O193)=0,"",SUMIFS('Supp Consol'!AA:AA,'Supp Consol'!Z:Z,"Expired Previous Months",'Supp Consol'!A:A,O193))</f>
        <v/>
      </c>
      <c r="AK193" s="25" t="str">
        <f>IFERROR(INDEX('Hun Release Current'!B:B,MATCH(O193,'Hun Release Current'!A:A,0)),"")</f>
        <v/>
      </c>
      <c r="AL193" s="25" t="str">
        <f>IF(SUMIF('Prev Aub'!A:A,O193,'Prev Aub'!B:B)=0,"",SUMIF('Prev Aub'!A:A,O193,'Prev Aub'!B:B))</f>
        <v/>
      </c>
      <c r="AN193" s="25" t="s">
        <v>3790</v>
      </c>
      <c r="AO193" s="25" t="s">
        <v>3790</v>
      </c>
      <c r="AP193" s="25">
        <f t="shared" si="62"/>
        <v>0</v>
      </c>
      <c r="AQ193" s="151" t="str">
        <f>IF(SUMIFS('Supp Consol'!S:S,'Supp Consol'!A:A,O193,'Supp Consol'!I:I,"PENDING")=0,"",SUMIFS('Supp Consol'!S:S,'Supp Consol'!A:A,O193,'Supp Consol'!I:I,"PENDING"))</f>
        <v/>
      </c>
      <c r="AR193" s="27" t="str">
        <f t="shared" si="63"/>
        <v>AG740</v>
      </c>
      <c r="AS193" s="27" t="str">
        <f t="shared" si="64"/>
        <v>62</v>
      </c>
      <c r="AT193" s="27" t="str">
        <f t="shared" si="65"/>
        <v/>
      </c>
      <c r="AU193" s="27" t="str">
        <f t="shared" si="66"/>
        <v/>
      </c>
      <c r="AV193" s="27" t="str">
        <f t="shared" si="67"/>
        <v/>
      </c>
      <c r="AW193" s="27" t="str">
        <f t="shared" si="68"/>
        <v/>
      </c>
      <c r="AX193" s="27" t="str">
        <f t="shared" si="69"/>
        <v/>
      </c>
      <c r="AY193" s="27" t="str">
        <f t="shared" si="70"/>
        <v/>
      </c>
      <c r="AZ193" s="27" t="str">
        <f t="shared" si="71"/>
        <v/>
      </c>
      <c r="BA193" s="27" t="str">
        <f t="shared" si="72"/>
        <v/>
      </c>
      <c r="BB193" s="27" t="str">
        <f t="shared" si="73"/>
        <v/>
      </c>
      <c r="BC193" s="27" t="str">
        <f t="shared" si="74"/>
        <v/>
      </c>
      <c r="BD193" s="27" t="str">
        <f t="shared" si="75"/>
        <v/>
      </c>
      <c r="BE193" s="27" t="str">
        <f t="shared" si="76"/>
        <v/>
      </c>
      <c r="BF193" s="27" t="str">
        <f t="shared" si="77"/>
        <v/>
      </c>
      <c r="BG193" s="27" t="str">
        <f t="shared" si="78"/>
        <v/>
      </c>
      <c r="BH193" s="27" t="str">
        <f t="shared" si="79"/>
        <v/>
      </c>
      <c r="BI193" s="27" t="str">
        <f t="shared" si="80"/>
        <v/>
      </c>
      <c r="BJ193" s="27" t="str">
        <f t="shared" si="81"/>
        <v/>
      </c>
      <c r="BK193" s="27" t="str">
        <f t="shared" si="82"/>
        <v/>
      </c>
      <c r="BL193" s="27" t="str">
        <f t="shared" si="83"/>
        <v/>
      </c>
      <c r="BM193" s="21" t="s">
        <v>5581</v>
      </c>
    </row>
    <row r="194" spans="1:65" ht="15">
      <c r="A194" s="25" t="str">
        <f>IFERROR(INDEX('Hun Demand'!W:W,MATCH(O194,'Hun Demand'!A:A,0)),"")</f>
        <v/>
      </c>
      <c r="B194" s="25" t="str">
        <f>IFERROR(INDEX('Hun Demand'!V:V,MATCH(O194,'Hun Demand'!A:A,0)),"")</f>
        <v/>
      </c>
      <c r="C194" s="25" t="str">
        <f>IFERROR(INDEX('Hun Demand'!U:U,MATCH(O194,'Hun Demand'!A:A,0)),"")</f>
        <v/>
      </c>
      <c r="D194" s="25" t="str">
        <f>IFERROR(INDEX('Hun Demand'!T:T,MATCH(O194,'Hun Demand'!A:A,0)),"")</f>
        <v/>
      </c>
      <c r="E194" s="25" t="str">
        <f>IFERROR(INDEX('Hun Demand'!S:S,MATCH(O194,'Hun Demand'!A:A,0)),"")</f>
        <v/>
      </c>
      <c r="F194" s="25" t="str">
        <f>IFERROR(INDEX('Hun Demand'!R:R,MATCH(O194,'Hun Demand'!A:A,0)),"")</f>
        <v/>
      </c>
      <c r="G194" s="25">
        <f>IFERROR(INDEX('Aub Demand'!W:W,MATCH(O194,'Aub Demand'!A:A,0)),"")</f>
        <v>219</v>
      </c>
      <c r="H194" s="25">
        <f>IFERROR(INDEX('Aub Demand'!V:V,MATCH(O194,'Aub Demand'!A:A,0)),"")</f>
        <v>0</v>
      </c>
      <c r="I194" s="25">
        <f>IFERROR(INDEX('Aub Demand'!U:U,MATCH(O194,'Aub Demand'!A:A,0)),"")</f>
        <v>103</v>
      </c>
      <c r="J194" s="25">
        <f>IFERROR(INDEX('Aub Demand'!T:T,MATCH(O194,'Aub Demand'!A:A,0)),"")</f>
        <v>0</v>
      </c>
      <c r="K194" s="25">
        <f>IFERROR(INDEX('Aub Demand'!S:S,MATCH(O194,'Aub Demand'!A:A,0)),"")</f>
        <v>25</v>
      </c>
      <c r="L194" s="25">
        <f>IFERROR(INDEX('Aub Demand'!R:R,MATCH(O194,'Aub Demand'!A:A,0)),"")</f>
        <v>0</v>
      </c>
      <c r="O194" s="27" t="s">
        <v>396</v>
      </c>
      <c r="P194" s="27" t="str">
        <f>IFERROR(INDEX('Aub Demand'!B:B,MATCH($O194,'Aub Demand'!$A:$A,0)),"")</f>
        <v>DAYDREAMING</v>
      </c>
      <c r="Q194" s="27" t="str">
        <f>IFERROR(INDEX('Aub Demand'!C:C,MATCH($O194,'Aub Demand'!$A:$A,0)),"")</f>
        <v>AHLST</v>
      </c>
      <c r="R194" s="52">
        <f>IFERROR(IF(AR195=AR194,INDEX('Aub Demand'!K:K,MATCH($O194,'Aub Demand'!$A:$A,0))-IF(AN194="",0,AN194)+AP195,INDEX('Aub Demand'!K:K,MATCH($O194,'Aub Demand'!$A:$A,0))-IF(AN194="",0,AN194)),"")</f>
        <v>2180</v>
      </c>
      <c r="S194" s="53">
        <f t="shared" si="56"/>
        <v>217.3</v>
      </c>
      <c r="T194" s="52" t="str">
        <f t="shared" si="57"/>
        <v/>
      </c>
      <c r="U194" s="52">
        <f>IFERROR(IF(AR195=AR194,INDEX('Aub Demand'!Q:Q,MATCH($O194,'Aub Demand'!$A:$A,0))-IF(AN194="",0,AN194)+AP195,INDEX('Aub Demand'!Q:Q,MATCH($O194,'Aub Demand'!$A:$A,0))-IF(AN194="",0,AN194)),"")</f>
        <v>2180</v>
      </c>
      <c r="V194" s="53">
        <f t="shared" si="58"/>
        <v>217.3</v>
      </c>
      <c r="W194" s="52" t="str">
        <f t="shared" si="59"/>
        <v/>
      </c>
      <c r="X194" s="52">
        <f>IFERROR(IF(AND(AR195=AR194,AM194&lt;&gt;""),INDEX('Aub Demand'!Q:Q,MATCH($O194,'Aub Demand'!$A:$A,0))-IF(AN194="",0,AN194)+AP195+AD194+AL194,IF(AR195=AR194,INDEX('Aub Demand'!Q:Q,MATCH($O194,'Aub Demand'!$A:$A,0))-IF(AN194="",0,AN194)+AP195+AD194,IF(AM194&lt;&gt;"",INDEX('Aub Demand'!Q:Q,MATCH($O194,'Aub Demand'!$A:$A,0))-IF(AN194="",0,AN194)+AD194+AL194,INDEX('Aub Demand'!Q:Q,MATCH($O194,'Aub Demand'!$A:$A,0))-IF(AN194="",0,AN194)+AD194))),"")</f>
        <v>2180</v>
      </c>
      <c r="Y194" s="53">
        <f t="shared" si="60"/>
        <v>217.3</v>
      </c>
      <c r="Z194" s="52">
        <f>IF(L194="","",INDEX('Aub Demand'!H:H,MATCH($O194,'Aub Demand'!$A:$A,0)))</f>
        <v>43</v>
      </c>
      <c r="AA194" s="52">
        <f t="shared" si="61"/>
        <v>64</v>
      </c>
      <c r="AB194" s="52">
        <f>IFERROR(INDEX('Aub Demand'!L:L,MATCH($O194,'Aub Demand'!$A:$A,0)),"")</f>
        <v>127</v>
      </c>
      <c r="AC194" s="52">
        <f>IFERROR(IF(O194="","",SUMIFS('CPL Mats'!F:F,'CPL Mats'!Q:Q,AR194,'CPL Mats'!S:S,AS194)),"")</f>
        <v>1728</v>
      </c>
      <c r="AF194" s="25" t="str">
        <f>IF(SUMIFS('Supp Consol'!S:S,'Supp Consol'!Y:Y,"Releasable",'Supp Consol'!A:A,O194)=0,"",SUMIFS('Supp Consol'!S:S,'Supp Consol'!Y:Y,"Releasable",'Supp Consol'!A:A,O194))</f>
        <v/>
      </c>
      <c r="AG194" s="25" t="str">
        <f>IFERROR(INDEX('Hun Demand'!Q:Q,MATCH(O194,'Hun Demand'!A:A,0)),"")</f>
        <v/>
      </c>
      <c r="AH194" s="25" t="str">
        <f>IFERROR(INDEX('Hun Demand'!H:H,MATCH($O194,'Hun Demand'!$A:$A,0)),"")</f>
        <v/>
      </c>
      <c r="AI194" s="25" t="str">
        <f>IF(SUMIFS('Supp Consol'!AA:AA,'Supp Consol'!Z:Z,"Expires this month",'Supp Consol'!A:A,O194)=0,"",SUMIFS('Supp Consol'!AA:AA,'Supp Consol'!Z:Z,"Expires this month",'Supp Consol'!A:A,O194))</f>
        <v/>
      </c>
      <c r="AJ194" s="25" t="str">
        <f>IF(SUMIFS('Supp Consol'!AA:AA,'Supp Consol'!Z:Z,"Expired Previous Months",'Supp Consol'!A:A,O194)=0,"",SUMIFS('Supp Consol'!AA:AA,'Supp Consol'!Z:Z,"Expired Previous Months",'Supp Consol'!A:A,O194))</f>
        <v/>
      </c>
      <c r="AK194" s="25" t="str">
        <f>IFERROR(INDEX('Hun Release Current'!B:B,MATCH(O194,'Hun Release Current'!A:A,0)),"")</f>
        <v/>
      </c>
      <c r="AL194" s="25" t="str">
        <f>IF(SUMIF('Prev Aub'!A:A,O194,'Prev Aub'!B:B)=0,"",SUMIF('Prev Aub'!A:A,O194,'Prev Aub'!B:B))</f>
        <v/>
      </c>
      <c r="AN194" s="25" t="s">
        <v>3790</v>
      </c>
      <c r="AO194" s="25" t="s">
        <v>3790</v>
      </c>
      <c r="AP194" s="25">
        <f t="shared" si="62"/>
        <v>0</v>
      </c>
      <c r="AQ194" s="151" t="str">
        <f>IF(SUMIFS('Supp Consol'!S:S,'Supp Consol'!A:A,O194,'Supp Consol'!I:I,"PENDING")=0,"",SUMIFS('Supp Consol'!S:S,'Supp Consol'!A:A,O194,'Supp Consol'!I:I,"PENDING"))</f>
        <v/>
      </c>
      <c r="AR194" s="27" t="str">
        <f t="shared" si="63"/>
        <v>AG750</v>
      </c>
      <c r="AS194" s="27" t="str">
        <f t="shared" si="64"/>
        <v>50</v>
      </c>
      <c r="AT194" s="27" t="str">
        <f t="shared" si="65"/>
        <v/>
      </c>
      <c r="AU194" s="27" t="str">
        <f t="shared" si="66"/>
        <v/>
      </c>
      <c r="AV194" s="27" t="str">
        <f t="shared" si="67"/>
        <v/>
      </c>
      <c r="AW194" s="27" t="str">
        <f t="shared" si="68"/>
        <v/>
      </c>
      <c r="AX194" s="27" t="str">
        <f t="shared" si="69"/>
        <v/>
      </c>
      <c r="AY194" s="27" t="str">
        <f t="shared" si="70"/>
        <v/>
      </c>
      <c r="AZ194" s="27" t="str">
        <f t="shared" si="71"/>
        <v/>
      </c>
      <c r="BA194" s="27" t="str">
        <f t="shared" si="72"/>
        <v/>
      </c>
      <c r="BB194" s="27" t="str">
        <f t="shared" si="73"/>
        <v/>
      </c>
      <c r="BC194" s="27" t="str">
        <f t="shared" si="74"/>
        <v/>
      </c>
      <c r="BD194" s="27" t="str">
        <f t="shared" si="75"/>
        <v/>
      </c>
      <c r="BE194" s="27" t="str">
        <f t="shared" si="76"/>
        <v/>
      </c>
      <c r="BF194" s="27" t="str">
        <f t="shared" si="77"/>
        <v/>
      </c>
      <c r="BG194" s="27" t="str">
        <f t="shared" si="78"/>
        <v/>
      </c>
      <c r="BH194" s="27" t="str">
        <f t="shared" si="79"/>
        <v/>
      </c>
      <c r="BI194" s="27" t="str">
        <f t="shared" si="80"/>
        <v/>
      </c>
      <c r="BJ194" s="27" t="str">
        <f t="shared" si="81"/>
        <v/>
      </c>
      <c r="BK194" s="27" t="str">
        <f t="shared" si="82"/>
        <v/>
      </c>
      <c r="BL194" s="27" t="str">
        <f t="shared" si="83"/>
        <v/>
      </c>
      <c r="BM194" s="21" t="s">
        <v>5581</v>
      </c>
    </row>
    <row r="195" spans="1:65" ht="15">
      <c r="A195" s="25" t="str">
        <f>IFERROR(INDEX('Hun Demand'!W:W,MATCH(O195,'Hun Demand'!A:A,0)),"")</f>
        <v/>
      </c>
      <c r="B195" s="25" t="str">
        <f>IFERROR(INDEX('Hun Demand'!V:V,MATCH(O195,'Hun Demand'!A:A,0)),"")</f>
        <v/>
      </c>
      <c r="C195" s="25" t="str">
        <f>IFERROR(INDEX('Hun Demand'!U:U,MATCH(O195,'Hun Demand'!A:A,0)),"")</f>
        <v/>
      </c>
      <c r="D195" s="25" t="str">
        <f>IFERROR(INDEX('Hun Demand'!T:T,MATCH(O195,'Hun Demand'!A:A,0)),"")</f>
        <v/>
      </c>
      <c r="E195" s="25" t="str">
        <f>IFERROR(INDEX('Hun Demand'!S:S,MATCH(O195,'Hun Demand'!A:A,0)),"")</f>
        <v/>
      </c>
      <c r="F195" s="25" t="str">
        <f>IFERROR(INDEX('Hun Demand'!R:R,MATCH(O195,'Hun Demand'!A:A,0)),"")</f>
        <v/>
      </c>
      <c r="G195" s="25">
        <f>IFERROR(INDEX('Aub Demand'!W:W,MATCH(O195,'Aub Demand'!A:A,0)),"")</f>
        <v>80</v>
      </c>
      <c r="H195" s="25">
        <f>IFERROR(INDEX('Aub Demand'!V:V,MATCH(O195,'Aub Demand'!A:A,0)),"")</f>
        <v>179</v>
      </c>
      <c r="I195" s="25">
        <f>IFERROR(INDEX('Aub Demand'!U:U,MATCH(O195,'Aub Demand'!A:A,0)),"")</f>
        <v>78</v>
      </c>
      <c r="J195" s="25">
        <f>IFERROR(INDEX('Aub Demand'!T:T,MATCH(O195,'Aub Demand'!A:A,0)),"")</f>
        <v>33</v>
      </c>
      <c r="K195" s="25">
        <f>IFERROR(INDEX('Aub Demand'!S:S,MATCH(O195,'Aub Demand'!A:A,0)),"")</f>
        <v>383</v>
      </c>
      <c r="L195" s="25">
        <f>IFERROR(INDEX('Aub Demand'!R:R,MATCH(O195,'Aub Demand'!A:A,0)),"")</f>
        <v>0</v>
      </c>
      <c r="O195" s="27" t="s">
        <v>398</v>
      </c>
      <c r="P195" s="27" t="str">
        <f>IFERROR(INDEX('Aub Demand'!B:B,MATCH($O195,'Aub Demand'!$A:$A,0)),"")</f>
        <v>DAYDREAMING</v>
      </c>
      <c r="Q195" s="27" t="str">
        <f>IFERROR(INDEX('Aub Demand'!C:C,MATCH($O195,'Aub Demand'!$A:$A,0)),"")</f>
        <v>AHLST</v>
      </c>
      <c r="R195" s="52">
        <f>IFERROR(IF(AR196=AR195,INDEX('Aub Demand'!K:K,MATCH($O195,'Aub Demand'!$A:$A,0))-IF(AN195="",0,AN195)+AP196,INDEX('Aub Demand'!K:K,MATCH($O195,'Aub Demand'!$A:$A,0))-IF(AN195="",0,AN195)),"")</f>
        <v>1558</v>
      </c>
      <c r="S195" s="53">
        <f t="shared" ref="S195:S258" si="84">IFERROR(IF(O195="","",ROUND(R195/((Z195/30)*7),1)),"n/a")</f>
        <v>40.5</v>
      </c>
      <c r="T195" s="52" t="str">
        <f t="shared" ref="T195:T258" si="85">IFERROR(IF(S195&lt;3.1,IF(AA195="spike",(3-S195)*(Z195/4),(3-S195)*(AA195/4)),""),"")</f>
        <v/>
      </c>
      <c r="U195" s="52">
        <f>IFERROR(IF(AR196=AR195,INDEX('Aub Demand'!Q:Q,MATCH($O195,'Aub Demand'!$A:$A,0))-IF(AN195="",0,AN195)+AP196,INDEX('Aub Demand'!Q:Q,MATCH($O195,'Aub Demand'!$A:$A,0))-IF(AN195="",0,AN195)),"")</f>
        <v>1491</v>
      </c>
      <c r="V195" s="53">
        <f t="shared" ref="V195:V258" si="86">IFERROR(IF(O195="","",ROUND(U195/((Z195/30)*7),1)),"n/a")</f>
        <v>38.700000000000003</v>
      </c>
      <c r="W195" s="52" t="str">
        <f t="shared" ref="W195:W258" si="87">IF(IFERROR(IF(V195&lt;3.1,IF(AA195="spike",(3-V195)*(Z195/4),(3-V195)*(AA195/4)),""),"")&lt;0,0,IFERROR(IF(V195&lt;3.1,IF(AA195="spike",(3-V195)*(Z195/4),(3-V195)*(AA195/4)),""),""))</f>
        <v/>
      </c>
      <c r="X195" s="52">
        <f>IFERROR(IF(AND(AR196=AR195,AM195&lt;&gt;""),INDEX('Aub Demand'!Q:Q,MATCH($O195,'Aub Demand'!$A:$A,0))-IF(AN195="",0,AN195)+AP196+AD195+AL195,IF(AR196=AR195,INDEX('Aub Demand'!Q:Q,MATCH($O195,'Aub Demand'!$A:$A,0))-IF(AN195="",0,AN195)+AP196+AD195,IF(AM195&lt;&gt;"",INDEX('Aub Demand'!Q:Q,MATCH($O195,'Aub Demand'!$A:$A,0))-IF(AN195="",0,AN195)+AD195+AL195,INDEX('Aub Demand'!Q:Q,MATCH($O195,'Aub Demand'!$A:$A,0))-IF(AN195="",0,AN195)+AD195))),"")</f>
        <v>1491</v>
      </c>
      <c r="Y195" s="53">
        <f t="shared" ref="Y195:Y258" si="88">IFERROR(IF(O195="","",ROUND(X195/((Z195/30)*7),1)),"n/a")</f>
        <v>38.700000000000003</v>
      </c>
      <c r="Z195" s="52">
        <f>IF(L195="","",INDEX('Aub Demand'!H:H,MATCH($O195,'Aub Demand'!$A:$A,0)))</f>
        <v>165</v>
      </c>
      <c r="AA195" s="52">
        <f t="shared" ref="AA195:AA258" si="89">IF(L195="","",IF(LARGE(I195:L195,2)=0,"-spike-",AVERAGE(LARGE(I195:L195,1),LARGE(I195:L195,2))))</f>
        <v>230.5</v>
      </c>
      <c r="AB195" s="52">
        <f>IFERROR(INDEX('Aub Demand'!L:L,MATCH($O195,'Aub Demand'!$A:$A,0)),"")</f>
        <v>139</v>
      </c>
      <c r="AC195" s="52">
        <f>IFERROR(IF(O195="","",SUMIFS('CPL Mats'!F:F,'CPL Mats'!Q:Q,AR195,'CPL Mats'!S:S,AS195)),"")</f>
        <v>1395.17</v>
      </c>
      <c r="AF195" s="25" t="str">
        <f>IF(SUMIFS('Supp Consol'!S:S,'Supp Consol'!Y:Y,"Releasable",'Supp Consol'!A:A,O195)=0,"",SUMIFS('Supp Consol'!S:S,'Supp Consol'!Y:Y,"Releasable",'Supp Consol'!A:A,O195))</f>
        <v/>
      </c>
      <c r="AG195" s="25" t="str">
        <f>IFERROR(INDEX('Hun Demand'!Q:Q,MATCH(O195,'Hun Demand'!A:A,0)),"")</f>
        <v/>
      </c>
      <c r="AH195" s="25" t="str">
        <f>IFERROR(INDEX('Hun Demand'!H:H,MATCH($O195,'Hun Demand'!$A:$A,0)),"")</f>
        <v/>
      </c>
      <c r="AI195" s="25" t="str">
        <f>IF(SUMIFS('Supp Consol'!AA:AA,'Supp Consol'!Z:Z,"Expires this month",'Supp Consol'!A:A,O195)=0,"",SUMIFS('Supp Consol'!AA:AA,'Supp Consol'!Z:Z,"Expires this month",'Supp Consol'!A:A,O195))</f>
        <v/>
      </c>
      <c r="AJ195" s="25" t="str">
        <f>IF(SUMIFS('Supp Consol'!AA:AA,'Supp Consol'!Z:Z,"Expired Previous Months",'Supp Consol'!A:A,O195)=0,"",SUMIFS('Supp Consol'!AA:AA,'Supp Consol'!Z:Z,"Expired Previous Months",'Supp Consol'!A:A,O195))</f>
        <v/>
      </c>
      <c r="AK195" s="25" t="str">
        <f>IFERROR(INDEX('Hun Release Current'!B:B,MATCH(O195,'Hun Release Current'!A:A,0)),"")</f>
        <v/>
      </c>
      <c r="AL195" s="25" t="str">
        <f>IF(SUMIF('Prev Aub'!A:A,O195,'Prev Aub'!B:B)=0,"",SUMIF('Prev Aub'!A:A,O195,'Prev Aub'!B:B))</f>
        <v/>
      </c>
      <c r="AN195" s="25" t="s">
        <v>3790</v>
      </c>
      <c r="AO195" s="25" t="s">
        <v>3790</v>
      </c>
      <c r="AP195" s="25">
        <f t="shared" ref="AP195:AP258" si="90">IFERROR(IF(O195="","",IF(AN195="",0,VALUE(AN195)-(VALUE(AN195)*0.2))),"")</f>
        <v>0</v>
      </c>
      <c r="AQ195" s="151" t="str">
        <f>IF(SUMIFS('Supp Consol'!S:S,'Supp Consol'!A:A,O195,'Supp Consol'!I:I,"PENDING")=0,"",SUMIFS('Supp Consol'!S:S,'Supp Consol'!A:A,O195,'Supp Consol'!I:I,"PENDING"))</f>
        <v/>
      </c>
      <c r="AR195" s="27" t="str">
        <f t="shared" ref="AR195:AR258" si="91">MID(O195,4,5)</f>
        <v>AG750</v>
      </c>
      <c r="AS195" s="27" t="str">
        <f t="shared" ref="AS195:AS258" si="92">MID(O195,10,2)</f>
        <v>62</v>
      </c>
      <c r="AT195" s="27" t="str">
        <f t="shared" ref="AT195:AT258" si="93">IF(S195&lt;3.1,AR195,"")</f>
        <v/>
      </c>
      <c r="AU195" s="27" t="str">
        <f t="shared" ref="AU195:AU258" si="94">IF(Y195&lt;3.1,AR195,"")</f>
        <v/>
      </c>
      <c r="AV195" s="27" t="str">
        <f t="shared" ref="AV195:AV258" si="95">IF(AND(AA195="Spike",L195=0,K195=0,X195&gt;=0),"",IF(Y195&lt;3.1,AR195,""))</f>
        <v/>
      </c>
      <c r="AW195" s="27" t="str">
        <f t="shared" ref="AW195:AW258" si="96">IF(AI195=AL195,"",IF(OR(AI195&lt;&gt;"",AJ195&lt;&gt;""),AR195,""))</f>
        <v/>
      </c>
      <c r="AX195" s="27" t="str">
        <f t="shared" ref="AX195:AX258" si="97">IF(AF195&lt;&gt;"",AR195,"")</f>
        <v/>
      </c>
      <c r="AY195" s="27" t="str">
        <f t="shared" ref="AY195:AY258" si="98">IF(AND(AG195&lt;&gt;"",AG195&gt;AH195),AR195,"")</f>
        <v/>
      </c>
      <c r="AZ195" s="27" t="str">
        <f t="shared" ref="AZ195:AZ258" si="99">IFERROR(IF(O195="","",IF(ISERROR(MATCH(AR195,AX:AX,0)),"","Supp")),"")</f>
        <v/>
      </c>
      <c r="BA195" s="27" t="str">
        <f t="shared" ref="BA195:BA258" si="100">IFERROR(IF(O195="","",IF(ISERROR(MATCH(AR195,AY:AY,0)),"","Hun")),"")</f>
        <v/>
      </c>
      <c r="BB195" s="27" t="str">
        <f t="shared" ref="BB195:BB258" si="101">IFERROR(IF(O195="","",IF(ISERROR(MATCH(AR195,AT:AT,0)),"","Gross")),"")</f>
        <v/>
      </c>
      <c r="BC195" s="27" t="str">
        <f t="shared" ref="BC195:BC258" si="102">IFERROR(IF(O195="","",IF(ISERROR(MATCH(AR195,AU:AU,0)),"","Net")),"")</f>
        <v/>
      </c>
      <c r="BD195" s="27" t="str">
        <f t="shared" ref="BD195:BD258" si="103">IFERROR(IF(O195="","",IF(ISERROR(MATCH(AR195,AV:AV,0)),"","Net")),"")</f>
        <v/>
      </c>
      <c r="BE195" s="27" t="str">
        <f t="shared" ref="BE195:BE258" si="104">IFERROR(IF(O195="","",IF(ISERROR(MATCH(AR195,AW:AW,0)),"","Exp")),"")</f>
        <v/>
      </c>
      <c r="BF195" s="27" t="str">
        <f t="shared" ref="BF195:BF258" si="105">IFERROR(IF(O195="","",IF(AND(AZ195="Supp",BC195="Net"),"S+N","")),"")</f>
        <v/>
      </c>
      <c r="BG195" s="27" t="str">
        <f t="shared" ref="BG195:BG258" si="106">IFERROR(IF(O195="","",IF(OR(BE195&lt;&gt;"",BF195&lt;&gt;""),"S+NorE","")),"")</f>
        <v/>
      </c>
      <c r="BH195" s="27" t="str">
        <f t="shared" ref="BH195:BH258" si="107">IFERROR(IF(O195="","",IF(AND(BA195&lt;&gt;"",BC195&lt;&gt;""),"H+N","")),"")</f>
        <v/>
      </c>
      <c r="BI195" s="27" t="str">
        <f t="shared" ref="BI195:BI258" si="108">IFERROR(IF(O195="","",IF(AND(BA195&lt;&gt;"",BD195&lt;&gt;""),"H+Nex","")),"")</f>
        <v/>
      </c>
      <c r="BJ195" s="27" t="str">
        <f t="shared" ref="BJ195:BJ258" si="109">IF(OR(AZ195&lt;&gt;"",BA195&lt;&gt;""),"Supp or Hun","")</f>
        <v/>
      </c>
      <c r="BK195" s="27" t="str">
        <f t="shared" ref="BK195:BK258" si="110">IF(AND(BJ195&lt;&gt;"",BC195&lt;&gt;""),"Supp or Hun Need","")</f>
        <v/>
      </c>
      <c r="BL195" s="27" t="str">
        <f t="shared" ref="BL195:BL258" si="111">IF(OR(BK195&lt;&gt;"",BE195&lt;&gt;""),"SorHandNandE","")</f>
        <v/>
      </c>
      <c r="BM195" s="21" t="s">
        <v>5581</v>
      </c>
    </row>
    <row r="196" spans="1:65" ht="15">
      <c r="A196" s="25" t="str">
        <f>IFERROR(INDEX('Hun Demand'!W:W,MATCH(O196,'Hun Demand'!A:A,0)),"")</f>
        <v/>
      </c>
      <c r="B196" s="25" t="str">
        <f>IFERROR(INDEX('Hun Demand'!V:V,MATCH(O196,'Hun Demand'!A:A,0)),"")</f>
        <v/>
      </c>
      <c r="C196" s="25" t="str">
        <f>IFERROR(INDEX('Hun Demand'!U:U,MATCH(O196,'Hun Demand'!A:A,0)),"")</f>
        <v/>
      </c>
      <c r="D196" s="25" t="str">
        <f>IFERROR(INDEX('Hun Demand'!T:T,MATCH(O196,'Hun Demand'!A:A,0)),"")</f>
        <v/>
      </c>
      <c r="E196" s="25" t="str">
        <f>IFERROR(INDEX('Hun Demand'!S:S,MATCH(O196,'Hun Demand'!A:A,0)),"")</f>
        <v/>
      </c>
      <c r="F196" s="25" t="str">
        <f>IFERROR(INDEX('Hun Demand'!R:R,MATCH(O196,'Hun Demand'!A:A,0)),"")</f>
        <v/>
      </c>
      <c r="G196" s="25">
        <f>IFERROR(INDEX('Aub Demand'!W:W,MATCH(O196,'Aub Demand'!A:A,0)),"")</f>
        <v>0</v>
      </c>
      <c r="H196" s="25">
        <f>IFERROR(INDEX('Aub Demand'!V:V,MATCH(O196,'Aub Demand'!A:A,0)),"")</f>
        <v>0</v>
      </c>
      <c r="I196" s="25">
        <f>IFERROR(INDEX('Aub Demand'!U:U,MATCH(O196,'Aub Demand'!A:A,0)),"")</f>
        <v>0</v>
      </c>
      <c r="J196" s="25">
        <f>IFERROR(INDEX('Aub Demand'!T:T,MATCH(O196,'Aub Demand'!A:A,0)),"")</f>
        <v>96</v>
      </c>
      <c r="K196" s="25">
        <f>IFERROR(INDEX('Aub Demand'!S:S,MATCH(O196,'Aub Demand'!A:A,0)),"")</f>
        <v>0</v>
      </c>
      <c r="L196" s="25">
        <f>IFERROR(INDEX('Aub Demand'!R:R,MATCH(O196,'Aub Demand'!A:A,0)),"")</f>
        <v>0</v>
      </c>
      <c r="O196" s="27" t="s">
        <v>5929</v>
      </c>
      <c r="P196" s="27" t="str">
        <f>IFERROR(INDEX('Aub Demand'!B:B,MATCH($O196,'Aub Demand'!$A:$A,0)),"")</f>
        <v>LIBERATA AGGREGATE</v>
      </c>
      <c r="Q196" s="27" t="str">
        <f>IFERROR(INDEX('Aub Demand'!C:C,MATCH($O196,'Aub Demand'!$A:$A,0)),"")</f>
        <v>SCHAT</v>
      </c>
      <c r="R196" s="52">
        <f>IFERROR(IF(AR197=AR196,INDEX('Aub Demand'!K:K,MATCH($O196,'Aub Demand'!$A:$A,0))-IF(AN196="",0,AN196)+AP197,INDEX('Aub Demand'!K:K,MATCH($O196,'Aub Demand'!$A:$A,0))-IF(AN196="",0,AN196)),"")</f>
        <v>0</v>
      </c>
      <c r="S196" s="53">
        <f t="shared" si="84"/>
        <v>0</v>
      </c>
      <c r="T196" s="52" t="str">
        <f t="shared" si="85"/>
        <v/>
      </c>
      <c r="U196" s="52">
        <f>IFERROR(IF(AR197=AR196,INDEX('Aub Demand'!Q:Q,MATCH($O196,'Aub Demand'!$A:$A,0))-IF(AN196="",0,AN196)+AP197,INDEX('Aub Demand'!Q:Q,MATCH($O196,'Aub Demand'!$A:$A,0))-IF(AN196="",0,AN196)),"")</f>
        <v>0</v>
      </c>
      <c r="V196" s="53">
        <f t="shared" si="86"/>
        <v>0</v>
      </c>
      <c r="W196" s="52" t="str">
        <f t="shared" si="87"/>
        <v/>
      </c>
      <c r="X196" s="52">
        <f>IFERROR(IF(AND(AR197=AR196,AM196&lt;&gt;""),INDEX('Aub Demand'!Q:Q,MATCH($O196,'Aub Demand'!$A:$A,0))-IF(AN196="",0,AN196)+AP197+AD196+AL196,IF(AR197=AR196,INDEX('Aub Demand'!Q:Q,MATCH($O196,'Aub Demand'!$A:$A,0))-IF(AN196="",0,AN196)+AP197+AD196,IF(AM196&lt;&gt;"",INDEX('Aub Demand'!Q:Q,MATCH($O196,'Aub Demand'!$A:$A,0))-IF(AN196="",0,AN196)+AD196+AL196,INDEX('Aub Demand'!Q:Q,MATCH($O196,'Aub Demand'!$A:$A,0))-IF(AN196="",0,AN196)+AD196))),"")</f>
        <v>0</v>
      </c>
      <c r="Y196" s="53">
        <f t="shared" si="88"/>
        <v>0</v>
      </c>
      <c r="Z196" s="52">
        <f>IF(L196="","",INDEX('Aub Demand'!H:H,MATCH($O196,'Aub Demand'!$A:$A,0)))</f>
        <v>32</v>
      </c>
      <c r="AA196" s="52" t="str">
        <f t="shared" si="89"/>
        <v>-spike-</v>
      </c>
      <c r="AB196" s="52">
        <f>IFERROR(INDEX('Aub Demand'!L:L,MATCH($O196,'Aub Demand'!$A:$A,0)),"")</f>
        <v>7</v>
      </c>
      <c r="AC196" s="52">
        <f>IFERROR(IF(O196="","",SUMIFS('CPL Mats'!F:F,'CPL Mats'!Q:Q,AR196,'CPL Mats'!S:S,AS196)),"")</f>
        <v>0</v>
      </c>
      <c r="AF196" s="25" t="str">
        <f>IF(SUMIFS('Supp Consol'!S:S,'Supp Consol'!Y:Y,"Releasable",'Supp Consol'!A:A,O196)=0,"",SUMIFS('Supp Consol'!S:S,'Supp Consol'!Y:Y,"Releasable",'Supp Consol'!A:A,O196))</f>
        <v/>
      </c>
      <c r="AG196" s="25" t="str">
        <f>IFERROR(INDEX('Hun Demand'!Q:Q,MATCH(O196,'Hun Demand'!A:A,0)),"")</f>
        <v/>
      </c>
      <c r="AH196" s="25" t="str">
        <f>IFERROR(INDEX('Hun Demand'!H:H,MATCH($O196,'Hun Demand'!$A:$A,0)),"")</f>
        <v/>
      </c>
      <c r="AI196" s="25" t="str">
        <f>IF(SUMIFS('Supp Consol'!AA:AA,'Supp Consol'!Z:Z,"Expires this month",'Supp Consol'!A:A,O196)=0,"",SUMIFS('Supp Consol'!AA:AA,'Supp Consol'!Z:Z,"Expires this month",'Supp Consol'!A:A,O196))</f>
        <v/>
      </c>
      <c r="AJ196" s="25" t="str">
        <f>IF(SUMIFS('Supp Consol'!AA:AA,'Supp Consol'!Z:Z,"Expired Previous Months",'Supp Consol'!A:A,O196)=0,"",SUMIFS('Supp Consol'!AA:AA,'Supp Consol'!Z:Z,"Expired Previous Months",'Supp Consol'!A:A,O196))</f>
        <v/>
      </c>
      <c r="AK196" s="25" t="str">
        <f>IFERROR(INDEX('Hun Release Current'!B:B,MATCH(O196,'Hun Release Current'!A:A,0)),"")</f>
        <v/>
      </c>
      <c r="AL196" s="25" t="str">
        <f>IF(SUMIF('Prev Aub'!A:A,O196,'Prev Aub'!B:B)=0,"",SUMIF('Prev Aub'!A:A,O196,'Prev Aub'!B:B))</f>
        <v/>
      </c>
      <c r="AN196" s="25" t="s">
        <v>3790</v>
      </c>
      <c r="AO196" s="25" t="s">
        <v>3790</v>
      </c>
      <c r="AP196" s="25">
        <f t="shared" si="90"/>
        <v>0</v>
      </c>
      <c r="AQ196" s="151" t="str">
        <f>IF(SUMIFS('Supp Consol'!S:S,'Supp Consol'!A:A,O196,'Supp Consol'!I:I,"PENDING")=0,"",SUMIFS('Supp Consol'!S:S,'Supp Consol'!A:A,O196,'Supp Consol'!I:I,"PENDING"))</f>
        <v/>
      </c>
      <c r="AR196" s="27" t="str">
        <f t="shared" si="91"/>
        <v>AG760</v>
      </c>
      <c r="AS196" s="27" t="str">
        <f t="shared" si="92"/>
        <v>50</v>
      </c>
      <c r="AT196" s="27" t="str">
        <f t="shared" si="93"/>
        <v>AG760</v>
      </c>
      <c r="AU196" s="27" t="str">
        <f t="shared" si="94"/>
        <v>AG760</v>
      </c>
      <c r="AV196" s="27" t="str">
        <f t="shared" si="95"/>
        <v>AG760</v>
      </c>
      <c r="AW196" s="27" t="str">
        <f t="shared" si="96"/>
        <v/>
      </c>
      <c r="AX196" s="27" t="str">
        <f t="shared" si="97"/>
        <v/>
      </c>
      <c r="AY196" s="27" t="str">
        <f t="shared" si="98"/>
        <v/>
      </c>
      <c r="AZ196" s="27" t="str">
        <f t="shared" si="99"/>
        <v/>
      </c>
      <c r="BA196" s="27" t="str">
        <f t="shared" si="100"/>
        <v/>
      </c>
      <c r="BB196" s="27" t="str">
        <f t="shared" si="101"/>
        <v>Gross</v>
      </c>
      <c r="BC196" s="27" t="str">
        <f t="shared" si="102"/>
        <v>Net</v>
      </c>
      <c r="BD196" s="27" t="str">
        <f t="shared" si="103"/>
        <v>Net</v>
      </c>
      <c r="BE196" s="27" t="str">
        <f t="shared" si="104"/>
        <v/>
      </c>
      <c r="BF196" s="27" t="str">
        <f t="shared" si="105"/>
        <v/>
      </c>
      <c r="BG196" s="27" t="str">
        <f t="shared" si="106"/>
        <v/>
      </c>
      <c r="BH196" s="27" t="str">
        <f t="shared" si="107"/>
        <v/>
      </c>
      <c r="BI196" s="27" t="str">
        <f t="shared" si="108"/>
        <v/>
      </c>
      <c r="BJ196" s="27" t="str">
        <f t="shared" si="109"/>
        <v/>
      </c>
      <c r="BK196" s="27" t="str">
        <f t="shared" si="110"/>
        <v/>
      </c>
      <c r="BL196" s="27" t="str">
        <f t="shared" si="111"/>
        <v/>
      </c>
      <c r="BM196" s="21" t="s">
        <v>3790</v>
      </c>
    </row>
    <row r="197" spans="1:65" ht="15">
      <c r="A197" s="25" t="str">
        <f>IFERROR(INDEX('Hun Demand'!W:W,MATCH(O197,'Hun Demand'!A:A,0)),"")</f>
        <v/>
      </c>
      <c r="B197" s="25" t="str">
        <f>IFERROR(INDEX('Hun Demand'!V:V,MATCH(O197,'Hun Demand'!A:A,0)),"")</f>
        <v/>
      </c>
      <c r="C197" s="25" t="str">
        <f>IFERROR(INDEX('Hun Demand'!U:U,MATCH(O197,'Hun Demand'!A:A,0)),"")</f>
        <v/>
      </c>
      <c r="D197" s="25" t="str">
        <f>IFERROR(INDEX('Hun Demand'!T:T,MATCH(O197,'Hun Demand'!A:A,0)),"")</f>
        <v/>
      </c>
      <c r="E197" s="25" t="str">
        <f>IFERROR(INDEX('Hun Demand'!S:S,MATCH(O197,'Hun Demand'!A:A,0)),"")</f>
        <v/>
      </c>
      <c r="F197" s="25" t="str">
        <f>IFERROR(INDEX('Hun Demand'!R:R,MATCH(O197,'Hun Demand'!A:A,0)),"")</f>
        <v/>
      </c>
      <c r="G197" s="25">
        <f>IFERROR(INDEX('Aub Demand'!W:W,MATCH(O197,'Aub Demand'!A:A,0)),"")</f>
        <v>0</v>
      </c>
      <c r="H197" s="25">
        <f>IFERROR(INDEX('Aub Demand'!V:V,MATCH(O197,'Aub Demand'!A:A,0)),"")</f>
        <v>0</v>
      </c>
      <c r="I197" s="25">
        <f>IFERROR(INDEX('Aub Demand'!U:U,MATCH(O197,'Aub Demand'!A:A,0)),"")</f>
        <v>0</v>
      </c>
      <c r="J197" s="25">
        <f>IFERROR(INDEX('Aub Demand'!T:T,MATCH(O197,'Aub Demand'!A:A,0)),"")</f>
        <v>0</v>
      </c>
      <c r="K197" s="25">
        <f>IFERROR(INDEX('Aub Demand'!S:S,MATCH(O197,'Aub Demand'!A:A,0)),"")</f>
        <v>0</v>
      </c>
      <c r="L197" s="25">
        <f>IFERROR(INDEX('Aub Demand'!R:R,MATCH(O197,'Aub Demand'!A:A,0)),"")</f>
        <v>0</v>
      </c>
      <c r="O197" s="27" t="s">
        <v>399</v>
      </c>
      <c r="P197" s="27" t="str">
        <f>IFERROR(INDEX('Aub Demand'!B:B,MATCH($O197,'Aub Demand'!$A:$A,0)),"")</f>
        <v>LIBERATA AGGREGATE</v>
      </c>
      <c r="Q197" s="27" t="str">
        <f>IFERROR(INDEX('Aub Demand'!C:C,MATCH($O197,'Aub Demand'!$A:$A,0)),"")</f>
        <v>SCHAT</v>
      </c>
      <c r="R197" s="52">
        <f>IFERROR(IF(AR198=AR197,INDEX('Aub Demand'!K:K,MATCH($O197,'Aub Demand'!$A:$A,0))-IF(AN197="",0,AN197)+AP198,INDEX('Aub Demand'!K:K,MATCH($O197,'Aub Demand'!$A:$A,0))-IF(AN197="",0,AN197)),"")</f>
        <v>1991</v>
      </c>
      <c r="S197" s="53" t="str">
        <f t="shared" si="84"/>
        <v>n/a</v>
      </c>
      <c r="T197" s="52" t="str">
        <f t="shared" si="85"/>
        <v/>
      </c>
      <c r="U197" s="52">
        <f>IFERROR(IF(AR198=AR197,INDEX('Aub Demand'!Q:Q,MATCH($O197,'Aub Demand'!$A:$A,0))-IF(AN197="",0,AN197)+AP198,INDEX('Aub Demand'!Q:Q,MATCH($O197,'Aub Demand'!$A:$A,0))-IF(AN197="",0,AN197)),"")</f>
        <v>1991</v>
      </c>
      <c r="V197" s="53" t="str">
        <f t="shared" si="86"/>
        <v>n/a</v>
      </c>
      <c r="W197" s="52" t="str">
        <f t="shared" si="87"/>
        <v/>
      </c>
      <c r="X197" s="52">
        <f>IFERROR(IF(AND(AR198=AR197,AM197&lt;&gt;""),INDEX('Aub Demand'!Q:Q,MATCH($O197,'Aub Demand'!$A:$A,0))-IF(AN197="",0,AN197)+AP198+AD197+AL197,IF(AR198=AR197,INDEX('Aub Demand'!Q:Q,MATCH($O197,'Aub Demand'!$A:$A,0))-IF(AN197="",0,AN197)+AP198+AD197,IF(AM197&lt;&gt;"",INDEX('Aub Demand'!Q:Q,MATCH($O197,'Aub Demand'!$A:$A,0))-IF(AN197="",0,AN197)+AD197+AL197,INDEX('Aub Demand'!Q:Q,MATCH($O197,'Aub Demand'!$A:$A,0))-IF(AN197="",0,AN197)+AD197))),"")</f>
        <v>1991</v>
      </c>
      <c r="Y197" s="53" t="str">
        <f t="shared" si="88"/>
        <v>n/a</v>
      </c>
      <c r="Z197" s="52">
        <f>IF(L197="","",INDEX('Aub Demand'!H:H,MATCH($O197,'Aub Demand'!$A:$A,0)))</f>
        <v>0</v>
      </c>
      <c r="AA197" s="52" t="str">
        <f t="shared" si="89"/>
        <v>-spike-</v>
      </c>
      <c r="AB197" s="52">
        <f>IFERROR(INDEX('Aub Demand'!L:L,MATCH($O197,'Aub Demand'!$A:$A,0)),"")</f>
        <v>0</v>
      </c>
      <c r="AC197" s="52">
        <f>IFERROR(IF(O197="","",SUMIFS('CPL Mats'!F:F,'CPL Mats'!Q:Q,AR197,'CPL Mats'!S:S,AS197)),"")</f>
        <v>0</v>
      </c>
      <c r="AF197" s="25" t="str">
        <f>IF(SUMIFS('Supp Consol'!S:S,'Supp Consol'!Y:Y,"Releasable",'Supp Consol'!A:A,O197)=0,"",SUMIFS('Supp Consol'!S:S,'Supp Consol'!Y:Y,"Releasable",'Supp Consol'!A:A,O197))</f>
        <v/>
      </c>
      <c r="AG197" s="25" t="str">
        <f>IFERROR(INDEX('Hun Demand'!Q:Q,MATCH(O197,'Hun Demand'!A:A,0)),"")</f>
        <v/>
      </c>
      <c r="AH197" s="25" t="str">
        <f>IFERROR(INDEX('Hun Demand'!H:H,MATCH($O197,'Hun Demand'!$A:$A,0)),"")</f>
        <v/>
      </c>
      <c r="AI197" s="25" t="str">
        <f>IF(SUMIFS('Supp Consol'!AA:AA,'Supp Consol'!Z:Z,"Expires this month",'Supp Consol'!A:A,O197)=0,"",SUMIFS('Supp Consol'!AA:AA,'Supp Consol'!Z:Z,"Expires this month",'Supp Consol'!A:A,O197))</f>
        <v/>
      </c>
      <c r="AJ197" s="25" t="str">
        <f>IF(SUMIFS('Supp Consol'!AA:AA,'Supp Consol'!Z:Z,"Expired Previous Months",'Supp Consol'!A:A,O197)=0,"",SUMIFS('Supp Consol'!AA:AA,'Supp Consol'!Z:Z,"Expired Previous Months",'Supp Consol'!A:A,O197))</f>
        <v/>
      </c>
      <c r="AK197" s="25" t="str">
        <f>IFERROR(INDEX('Hun Release Current'!B:B,MATCH(O197,'Hun Release Current'!A:A,0)),"")</f>
        <v/>
      </c>
      <c r="AL197" s="25" t="str">
        <f>IF(SUMIF('Prev Aub'!A:A,O197,'Prev Aub'!B:B)=0,"",SUMIF('Prev Aub'!A:A,O197,'Prev Aub'!B:B))</f>
        <v/>
      </c>
      <c r="AN197" s="25" t="s">
        <v>3790</v>
      </c>
      <c r="AO197" s="25" t="s">
        <v>3790</v>
      </c>
      <c r="AP197" s="25">
        <f t="shared" si="90"/>
        <v>0</v>
      </c>
      <c r="AQ197" s="151" t="str">
        <f>IF(SUMIFS('Supp Consol'!S:S,'Supp Consol'!A:A,O197,'Supp Consol'!I:I,"PENDING")=0,"",SUMIFS('Supp Consol'!S:S,'Supp Consol'!A:A,O197,'Supp Consol'!I:I,"PENDING"))</f>
        <v/>
      </c>
      <c r="AR197" s="27" t="str">
        <f t="shared" si="91"/>
        <v>AG760</v>
      </c>
      <c r="AS197" s="27" t="str">
        <f t="shared" si="92"/>
        <v>62</v>
      </c>
      <c r="AT197" s="27" t="str">
        <f t="shared" si="93"/>
        <v/>
      </c>
      <c r="AU197" s="27" t="str">
        <f t="shared" si="94"/>
        <v/>
      </c>
      <c r="AV197" s="27" t="str">
        <f t="shared" si="95"/>
        <v/>
      </c>
      <c r="AW197" s="27" t="str">
        <f t="shared" si="96"/>
        <v/>
      </c>
      <c r="AX197" s="27" t="str">
        <f t="shared" si="97"/>
        <v/>
      </c>
      <c r="AY197" s="27" t="str">
        <f t="shared" si="98"/>
        <v/>
      </c>
      <c r="AZ197" s="27" t="str">
        <f t="shared" si="99"/>
        <v/>
      </c>
      <c r="BA197" s="27" t="str">
        <f t="shared" si="100"/>
        <v/>
      </c>
      <c r="BB197" s="27" t="str">
        <f t="shared" si="101"/>
        <v>Gross</v>
      </c>
      <c r="BC197" s="27" t="str">
        <f t="shared" si="102"/>
        <v>Net</v>
      </c>
      <c r="BD197" s="27" t="str">
        <f t="shared" si="103"/>
        <v>Net</v>
      </c>
      <c r="BE197" s="27" t="str">
        <f t="shared" si="104"/>
        <v/>
      </c>
      <c r="BF197" s="27" t="str">
        <f t="shared" si="105"/>
        <v/>
      </c>
      <c r="BG197" s="27" t="str">
        <f t="shared" si="106"/>
        <v/>
      </c>
      <c r="BH197" s="27" t="str">
        <f t="shared" si="107"/>
        <v/>
      </c>
      <c r="BI197" s="27" t="str">
        <f t="shared" si="108"/>
        <v/>
      </c>
      <c r="BJ197" s="27" t="str">
        <f t="shared" si="109"/>
        <v/>
      </c>
      <c r="BK197" s="27" t="str">
        <f t="shared" si="110"/>
        <v/>
      </c>
      <c r="BL197" s="27" t="str">
        <f t="shared" si="111"/>
        <v/>
      </c>
      <c r="BM197" s="21" t="s">
        <v>5581</v>
      </c>
    </row>
    <row r="198" spans="1:65" ht="15">
      <c r="A198" s="25" t="str">
        <f>IFERROR(INDEX('Hun Demand'!W:W,MATCH(O198,'Hun Demand'!A:A,0)),"")</f>
        <v/>
      </c>
      <c r="B198" s="25" t="str">
        <f>IFERROR(INDEX('Hun Demand'!V:V,MATCH(O198,'Hun Demand'!A:A,0)),"")</f>
        <v/>
      </c>
      <c r="C198" s="25" t="str">
        <f>IFERROR(INDEX('Hun Demand'!U:U,MATCH(O198,'Hun Demand'!A:A,0)),"")</f>
        <v/>
      </c>
      <c r="D198" s="25" t="str">
        <f>IFERROR(INDEX('Hun Demand'!T:T,MATCH(O198,'Hun Demand'!A:A,0)),"")</f>
        <v/>
      </c>
      <c r="E198" s="25" t="str">
        <f>IFERROR(INDEX('Hun Demand'!S:S,MATCH(O198,'Hun Demand'!A:A,0)),"")</f>
        <v/>
      </c>
      <c r="F198" s="25" t="str">
        <f>IFERROR(INDEX('Hun Demand'!R:R,MATCH(O198,'Hun Demand'!A:A,0)),"")</f>
        <v/>
      </c>
      <c r="G198" s="25">
        <f>IFERROR(INDEX('Aub Demand'!W:W,MATCH(O198,'Aub Demand'!A:A,0)),"")</f>
        <v>12</v>
      </c>
      <c r="H198" s="25">
        <f>IFERROR(INDEX('Aub Demand'!V:V,MATCH(O198,'Aub Demand'!A:A,0)),"")</f>
        <v>0</v>
      </c>
      <c r="I198" s="25">
        <f>IFERROR(INDEX('Aub Demand'!U:U,MATCH(O198,'Aub Demand'!A:A,0)),"")</f>
        <v>0</v>
      </c>
      <c r="J198" s="25">
        <f>IFERROR(INDEX('Aub Demand'!T:T,MATCH(O198,'Aub Demand'!A:A,0)),"")</f>
        <v>0</v>
      </c>
      <c r="K198" s="25">
        <f>IFERROR(INDEX('Aub Demand'!S:S,MATCH(O198,'Aub Demand'!A:A,0)),"")</f>
        <v>0</v>
      </c>
      <c r="L198" s="25">
        <f>IFERROR(INDEX('Aub Demand'!R:R,MATCH(O198,'Aub Demand'!A:A,0)),"")</f>
        <v>0</v>
      </c>
      <c r="O198" s="27" t="s">
        <v>2041</v>
      </c>
      <c r="P198" s="27" t="str">
        <f>IFERROR(INDEX('Aub Demand'!B:B,MATCH($O198,'Aub Demand'!$A:$A,0)),"")</f>
        <v>SPANISH MARBLE LC</v>
      </c>
      <c r="Q198" s="27" t="str">
        <f>IFERROR(INDEX('Aub Demand'!C:C,MATCH($O198,'Aub Demand'!$A:$A,0)),"")</f>
        <v>TOPPA</v>
      </c>
      <c r="R198" s="52">
        <f>IFERROR(IF(AR199=AR198,INDEX('Aub Demand'!K:K,MATCH($O198,'Aub Demand'!$A:$A,0))-IF(AN198="",0,AN198)+AP199,INDEX('Aub Demand'!K:K,MATCH($O198,'Aub Demand'!$A:$A,0))-IF(AN198="",0,AN198)),"")</f>
        <v>572</v>
      </c>
      <c r="S198" s="53" t="str">
        <f t="shared" si="84"/>
        <v>n/a</v>
      </c>
      <c r="T198" s="52" t="str">
        <f t="shared" si="85"/>
        <v/>
      </c>
      <c r="U198" s="52">
        <f>IFERROR(IF(AR199=AR198,INDEX('Aub Demand'!Q:Q,MATCH($O198,'Aub Demand'!$A:$A,0))-IF(AN198="",0,AN198)+AP199,INDEX('Aub Demand'!Q:Q,MATCH($O198,'Aub Demand'!$A:$A,0))-IF(AN198="",0,AN198)),"")</f>
        <v>572</v>
      </c>
      <c r="V198" s="53" t="str">
        <f t="shared" si="86"/>
        <v>n/a</v>
      </c>
      <c r="W198" s="52" t="str">
        <f t="shared" si="87"/>
        <v/>
      </c>
      <c r="X198" s="52">
        <f>IFERROR(IF(AND(AR199=AR198,AM198&lt;&gt;""),INDEX('Aub Demand'!Q:Q,MATCH($O198,'Aub Demand'!$A:$A,0))-IF(AN198="",0,AN198)+AP199+AD198+AL198,IF(AR199=AR198,INDEX('Aub Demand'!Q:Q,MATCH($O198,'Aub Demand'!$A:$A,0))-IF(AN198="",0,AN198)+AP199+AD198,IF(AM198&lt;&gt;"",INDEX('Aub Demand'!Q:Q,MATCH($O198,'Aub Demand'!$A:$A,0))-IF(AN198="",0,AN198)+AD198+AL198,INDEX('Aub Demand'!Q:Q,MATCH($O198,'Aub Demand'!$A:$A,0))-IF(AN198="",0,AN198)+AD198))),"")</f>
        <v>572</v>
      </c>
      <c r="Y198" s="53" t="str">
        <f t="shared" si="88"/>
        <v>n/a</v>
      </c>
      <c r="Z198" s="52">
        <f>IF(L198="","",INDEX('Aub Demand'!H:H,MATCH($O198,'Aub Demand'!$A:$A,0)))</f>
        <v>0</v>
      </c>
      <c r="AA198" s="52" t="str">
        <f t="shared" si="89"/>
        <v>-spike-</v>
      </c>
      <c r="AB198" s="52">
        <f>IFERROR(INDEX('Aub Demand'!L:L,MATCH($O198,'Aub Demand'!$A:$A,0)),"")</f>
        <v>0</v>
      </c>
      <c r="AC198" s="52">
        <f>IFERROR(IF(O198="","",SUMIFS('CPL Mats'!F:F,'CPL Mats'!Q:Q,AR198,'CPL Mats'!S:S,AS198)),"")</f>
        <v>0</v>
      </c>
      <c r="AF198" s="25" t="str">
        <f>IF(SUMIFS('Supp Consol'!S:S,'Supp Consol'!Y:Y,"Releasable",'Supp Consol'!A:A,O198)=0,"",SUMIFS('Supp Consol'!S:S,'Supp Consol'!Y:Y,"Releasable",'Supp Consol'!A:A,O198))</f>
        <v/>
      </c>
      <c r="AG198" s="25" t="str">
        <f>IFERROR(INDEX('Hun Demand'!Q:Q,MATCH(O198,'Hun Demand'!A:A,0)),"")</f>
        <v/>
      </c>
      <c r="AH198" s="25" t="str">
        <f>IFERROR(INDEX('Hun Demand'!H:H,MATCH($O198,'Hun Demand'!$A:$A,0)),"")</f>
        <v/>
      </c>
      <c r="AI198" s="25" t="str">
        <f>IF(SUMIFS('Supp Consol'!AA:AA,'Supp Consol'!Z:Z,"Expires this month",'Supp Consol'!A:A,O198)=0,"",SUMIFS('Supp Consol'!AA:AA,'Supp Consol'!Z:Z,"Expires this month",'Supp Consol'!A:A,O198))</f>
        <v/>
      </c>
      <c r="AJ198" s="25" t="str">
        <f>IF(SUMIFS('Supp Consol'!AA:AA,'Supp Consol'!Z:Z,"Expired Previous Months",'Supp Consol'!A:A,O198)=0,"",SUMIFS('Supp Consol'!AA:AA,'Supp Consol'!Z:Z,"Expired Previous Months",'Supp Consol'!A:A,O198))</f>
        <v/>
      </c>
      <c r="AK198" s="25" t="str">
        <f>IFERROR(INDEX('Hun Release Current'!B:B,MATCH(O198,'Hun Release Current'!A:A,0)),"")</f>
        <v/>
      </c>
      <c r="AL198" s="25" t="str">
        <f>IF(SUMIF('Prev Aub'!A:A,O198,'Prev Aub'!B:B)=0,"",SUMIF('Prev Aub'!A:A,O198,'Prev Aub'!B:B))</f>
        <v/>
      </c>
      <c r="AN198" s="25" t="s">
        <v>3790</v>
      </c>
      <c r="AO198" s="25" t="s">
        <v>3790</v>
      </c>
      <c r="AP198" s="25">
        <f t="shared" si="90"/>
        <v>0</v>
      </c>
      <c r="AQ198" s="151" t="str">
        <f>IF(SUMIFS('Supp Consol'!S:S,'Supp Consol'!A:A,O198,'Supp Consol'!I:I,"PENDING")=0,"",SUMIFS('Supp Consol'!S:S,'Supp Consol'!A:A,O198,'Supp Consol'!I:I,"PENDING"))</f>
        <v/>
      </c>
      <c r="AR198" s="27" t="str">
        <f t="shared" si="91"/>
        <v>AG790</v>
      </c>
      <c r="AS198" s="27" t="str">
        <f t="shared" si="92"/>
        <v>50</v>
      </c>
      <c r="AT198" s="27" t="str">
        <f t="shared" si="93"/>
        <v/>
      </c>
      <c r="AU198" s="27" t="str">
        <f t="shared" si="94"/>
        <v/>
      </c>
      <c r="AV198" s="27" t="str">
        <f t="shared" si="95"/>
        <v/>
      </c>
      <c r="AW198" s="27" t="str">
        <f t="shared" si="96"/>
        <v/>
      </c>
      <c r="AX198" s="27" t="str">
        <f t="shared" si="97"/>
        <v/>
      </c>
      <c r="AY198" s="27" t="str">
        <f t="shared" si="98"/>
        <v/>
      </c>
      <c r="AZ198" s="27" t="str">
        <f t="shared" si="99"/>
        <v/>
      </c>
      <c r="BA198" s="27" t="str">
        <f t="shared" si="100"/>
        <v/>
      </c>
      <c r="BB198" s="27" t="str">
        <f t="shared" si="101"/>
        <v/>
      </c>
      <c r="BC198" s="27" t="str">
        <f t="shared" si="102"/>
        <v/>
      </c>
      <c r="BD198" s="27" t="str">
        <f t="shared" si="103"/>
        <v/>
      </c>
      <c r="BE198" s="27" t="str">
        <f t="shared" si="104"/>
        <v/>
      </c>
      <c r="BF198" s="27" t="str">
        <f t="shared" si="105"/>
        <v/>
      </c>
      <c r="BG198" s="27" t="str">
        <f t="shared" si="106"/>
        <v/>
      </c>
      <c r="BH198" s="27" t="str">
        <f t="shared" si="107"/>
        <v/>
      </c>
      <c r="BI198" s="27" t="str">
        <f t="shared" si="108"/>
        <v/>
      </c>
      <c r="BJ198" s="27" t="str">
        <f t="shared" si="109"/>
        <v/>
      </c>
      <c r="BK198" s="27" t="str">
        <f t="shared" si="110"/>
        <v/>
      </c>
      <c r="BL198" s="27" t="str">
        <f t="shared" si="111"/>
        <v/>
      </c>
      <c r="BM198" s="21" t="s">
        <v>5581</v>
      </c>
    </row>
    <row r="199" spans="1:65" ht="15">
      <c r="A199" s="25" t="str">
        <f>IFERROR(INDEX('Hun Demand'!W:W,MATCH(O199,'Hun Demand'!A:A,0)),"")</f>
        <v/>
      </c>
      <c r="B199" s="25" t="str">
        <f>IFERROR(INDEX('Hun Demand'!V:V,MATCH(O199,'Hun Demand'!A:A,0)),"")</f>
        <v/>
      </c>
      <c r="C199" s="25" t="str">
        <f>IFERROR(INDEX('Hun Demand'!U:U,MATCH(O199,'Hun Demand'!A:A,0)),"")</f>
        <v/>
      </c>
      <c r="D199" s="25" t="str">
        <f>IFERROR(INDEX('Hun Demand'!T:T,MATCH(O199,'Hun Demand'!A:A,0)),"")</f>
        <v/>
      </c>
      <c r="E199" s="25" t="str">
        <f>IFERROR(INDEX('Hun Demand'!S:S,MATCH(O199,'Hun Demand'!A:A,0)),"")</f>
        <v/>
      </c>
      <c r="F199" s="25" t="str">
        <f>IFERROR(INDEX('Hun Demand'!R:R,MATCH(O199,'Hun Demand'!A:A,0)),"")</f>
        <v/>
      </c>
      <c r="G199" s="25">
        <f>IFERROR(INDEX('Aub Demand'!W:W,MATCH(O199,'Aub Demand'!A:A,0)),"")</f>
        <v>0</v>
      </c>
      <c r="H199" s="25">
        <f>IFERROR(INDEX('Aub Demand'!V:V,MATCH(O199,'Aub Demand'!A:A,0)),"")</f>
        <v>0</v>
      </c>
      <c r="I199" s="25">
        <f>IFERROR(INDEX('Aub Demand'!U:U,MATCH(O199,'Aub Demand'!A:A,0)),"")</f>
        <v>0</v>
      </c>
      <c r="J199" s="25">
        <f>IFERROR(INDEX('Aub Demand'!T:T,MATCH(O199,'Aub Demand'!A:A,0)),"")</f>
        <v>0</v>
      </c>
      <c r="K199" s="25">
        <f>IFERROR(INDEX('Aub Demand'!S:S,MATCH(O199,'Aub Demand'!A:A,0)),"")</f>
        <v>0</v>
      </c>
      <c r="L199" s="25">
        <f>IFERROR(INDEX('Aub Demand'!R:R,MATCH(O199,'Aub Demand'!A:A,0)),"")</f>
        <v>0</v>
      </c>
      <c r="O199" s="27" t="s">
        <v>2044</v>
      </c>
      <c r="P199" s="27" t="str">
        <f>IFERROR(INDEX('Aub Demand'!B:B,MATCH($O199,'Aub Demand'!$A:$A,0)),"")</f>
        <v>SPANISH MARBLE LC</v>
      </c>
      <c r="Q199" s="27" t="str">
        <f>IFERROR(INDEX('Aub Demand'!C:C,MATCH($O199,'Aub Demand'!$A:$A,0)),"")</f>
        <v>TOPPA</v>
      </c>
      <c r="R199" s="52">
        <f>IFERROR(IF(AR200=AR199,INDEX('Aub Demand'!K:K,MATCH($O199,'Aub Demand'!$A:$A,0))-IF(AN199="",0,AN199)+AP200,INDEX('Aub Demand'!K:K,MATCH($O199,'Aub Demand'!$A:$A,0))-IF(AN199="",0,AN199)),"")</f>
        <v>827</v>
      </c>
      <c r="S199" s="53" t="str">
        <f t="shared" si="84"/>
        <v>n/a</v>
      </c>
      <c r="T199" s="52" t="str">
        <f t="shared" si="85"/>
        <v/>
      </c>
      <c r="U199" s="52">
        <f>IFERROR(IF(AR200=AR199,INDEX('Aub Demand'!Q:Q,MATCH($O199,'Aub Demand'!$A:$A,0))-IF(AN199="",0,AN199)+AP200,INDEX('Aub Demand'!Q:Q,MATCH($O199,'Aub Demand'!$A:$A,0))-IF(AN199="",0,AN199)),"")</f>
        <v>827</v>
      </c>
      <c r="V199" s="53" t="str">
        <f t="shared" si="86"/>
        <v>n/a</v>
      </c>
      <c r="W199" s="52" t="str">
        <f t="shared" si="87"/>
        <v/>
      </c>
      <c r="X199" s="52">
        <f>IFERROR(IF(AND(AR200=AR199,AM199&lt;&gt;""),INDEX('Aub Demand'!Q:Q,MATCH($O199,'Aub Demand'!$A:$A,0))-IF(AN199="",0,AN199)+AP200+AD199+AL199,IF(AR200=AR199,INDEX('Aub Demand'!Q:Q,MATCH($O199,'Aub Demand'!$A:$A,0))-IF(AN199="",0,AN199)+AP200+AD199,IF(AM199&lt;&gt;"",INDEX('Aub Demand'!Q:Q,MATCH($O199,'Aub Demand'!$A:$A,0))-IF(AN199="",0,AN199)+AD199+AL199,INDEX('Aub Demand'!Q:Q,MATCH($O199,'Aub Demand'!$A:$A,0))-IF(AN199="",0,AN199)+AD199))),"")</f>
        <v>827</v>
      </c>
      <c r="Y199" s="53" t="str">
        <f t="shared" si="88"/>
        <v>n/a</v>
      </c>
      <c r="Z199" s="52">
        <f>IF(L199="","",INDEX('Aub Demand'!H:H,MATCH($O199,'Aub Demand'!$A:$A,0)))</f>
        <v>0</v>
      </c>
      <c r="AA199" s="52" t="str">
        <f t="shared" si="89"/>
        <v>-spike-</v>
      </c>
      <c r="AB199" s="52">
        <f>IFERROR(INDEX('Aub Demand'!L:L,MATCH($O199,'Aub Demand'!$A:$A,0)),"")</f>
        <v>0</v>
      </c>
      <c r="AC199" s="52">
        <f>IFERROR(IF(O199="","",SUMIFS('CPL Mats'!F:F,'CPL Mats'!Q:Q,AR199,'CPL Mats'!S:S,AS199)),"")</f>
        <v>0</v>
      </c>
      <c r="AF199" s="25" t="str">
        <f>IF(SUMIFS('Supp Consol'!S:S,'Supp Consol'!Y:Y,"Releasable",'Supp Consol'!A:A,O199)=0,"",SUMIFS('Supp Consol'!S:S,'Supp Consol'!Y:Y,"Releasable",'Supp Consol'!A:A,O199))</f>
        <v/>
      </c>
      <c r="AG199" s="25" t="str">
        <f>IFERROR(INDEX('Hun Demand'!Q:Q,MATCH(O199,'Hun Demand'!A:A,0)),"")</f>
        <v/>
      </c>
      <c r="AH199" s="25" t="str">
        <f>IFERROR(INDEX('Hun Demand'!H:H,MATCH($O199,'Hun Demand'!$A:$A,0)),"")</f>
        <v/>
      </c>
      <c r="AI199" s="25" t="str">
        <f>IF(SUMIFS('Supp Consol'!AA:AA,'Supp Consol'!Z:Z,"Expires this month",'Supp Consol'!A:A,O199)=0,"",SUMIFS('Supp Consol'!AA:AA,'Supp Consol'!Z:Z,"Expires this month",'Supp Consol'!A:A,O199))</f>
        <v/>
      </c>
      <c r="AJ199" s="25" t="str">
        <f>IF(SUMIFS('Supp Consol'!AA:AA,'Supp Consol'!Z:Z,"Expired Previous Months",'Supp Consol'!A:A,O199)=0,"",SUMIFS('Supp Consol'!AA:AA,'Supp Consol'!Z:Z,"Expired Previous Months",'Supp Consol'!A:A,O199))</f>
        <v/>
      </c>
      <c r="AK199" s="25" t="str">
        <f>IFERROR(INDEX('Hun Release Current'!B:B,MATCH(O199,'Hun Release Current'!A:A,0)),"")</f>
        <v/>
      </c>
      <c r="AL199" s="25" t="str">
        <f>IF(SUMIF('Prev Aub'!A:A,O199,'Prev Aub'!B:B)=0,"",SUMIF('Prev Aub'!A:A,O199,'Prev Aub'!B:B))</f>
        <v/>
      </c>
      <c r="AN199" s="25" t="s">
        <v>3790</v>
      </c>
      <c r="AO199" s="25" t="s">
        <v>3790</v>
      </c>
      <c r="AP199" s="25">
        <f t="shared" si="90"/>
        <v>0</v>
      </c>
      <c r="AQ199" s="151" t="str">
        <f>IF(SUMIFS('Supp Consol'!S:S,'Supp Consol'!A:A,O199,'Supp Consol'!I:I,"PENDING")=0,"",SUMIFS('Supp Consol'!S:S,'Supp Consol'!A:A,O199,'Supp Consol'!I:I,"PENDING"))</f>
        <v/>
      </c>
      <c r="AR199" s="27" t="str">
        <f t="shared" si="91"/>
        <v>AG790</v>
      </c>
      <c r="AS199" s="27" t="str">
        <f t="shared" si="92"/>
        <v>62</v>
      </c>
      <c r="AT199" s="27" t="str">
        <f t="shared" si="93"/>
        <v/>
      </c>
      <c r="AU199" s="27" t="str">
        <f t="shared" si="94"/>
        <v/>
      </c>
      <c r="AV199" s="27" t="str">
        <f t="shared" si="95"/>
        <v/>
      </c>
      <c r="AW199" s="27" t="str">
        <f t="shared" si="96"/>
        <v/>
      </c>
      <c r="AX199" s="27" t="str">
        <f t="shared" si="97"/>
        <v/>
      </c>
      <c r="AY199" s="27" t="str">
        <f t="shared" si="98"/>
        <v/>
      </c>
      <c r="AZ199" s="27" t="str">
        <f t="shared" si="99"/>
        <v/>
      </c>
      <c r="BA199" s="27" t="str">
        <f t="shared" si="100"/>
        <v/>
      </c>
      <c r="BB199" s="27" t="str">
        <f t="shared" si="101"/>
        <v/>
      </c>
      <c r="BC199" s="27" t="str">
        <f t="shared" si="102"/>
        <v/>
      </c>
      <c r="BD199" s="27" t="str">
        <f t="shared" si="103"/>
        <v/>
      </c>
      <c r="BE199" s="27" t="str">
        <f t="shared" si="104"/>
        <v/>
      </c>
      <c r="BF199" s="27" t="str">
        <f t="shared" si="105"/>
        <v/>
      </c>
      <c r="BG199" s="27" t="str">
        <f t="shared" si="106"/>
        <v/>
      </c>
      <c r="BH199" s="27" t="str">
        <f t="shared" si="107"/>
        <v/>
      </c>
      <c r="BI199" s="27" t="str">
        <f t="shared" si="108"/>
        <v/>
      </c>
      <c r="BJ199" s="27" t="str">
        <f t="shared" si="109"/>
        <v/>
      </c>
      <c r="BK199" s="27" t="str">
        <f t="shared" si="110"/>
        <v/>
      </c>
      <c r="BL199" s="27" t="str">
        <f t="shared" si="111"/>
        <v/>
      </c>
      <c r="BM199" s="21" t="s">
        <v>5581</v>
      </c>
    </row>
    <row r="200" spans="1:65" ht="15">
      <c r="A200" s="25" t="str">
        <f>IFERROR(INDEX('Hun Demand'!W:W,MATCH(O200,'Hun Demand'!A:A,0)),"")</f>
        <v/>
      </c>
      <c r="B200" s="25" t="str">
        <f>IFERROR(INDEX('Hun Demand'!V:V,MATCH(O200,'Hun Demand'!A:A,0)),"")</f>
        <v/>
      </c>
      <c r="C200" s="25" t="str">
        <f>IFERROR(INDEX('Hun Demand'!U:U,MATCH(O200,'Hun Demand'!A:A,0)),"")</f>
        <v/>
      </c>
      <c r="D200" s="25" t="str">
        <f>IFERROR(INDEX('Hun Demand'!T:T,MATCH(O200,'Hun Demand'!A:A,0)),"")</f>
        <v/>
      </c>
      <c r="E200" s="25" t="str">
        <f>IFERROR(INDEX('Hun Demand'!S:S,MATCH(O200,'Hun Demand'!A:A,0)),"")</f>
        <v/>
      </c>
      <c r="F200" s="25" t="str">
        <f>IFERROR(INDEX('Hun Demand'!R:R,MATCH(O200,'Hun Demand'!A:A,0)),"")</f>
        <v/>
      </c>
      <c r="G200" s="25">
        <f>IFERROR(INDEX('Aub Demand'!W:W,MATCH(O200,'Aub Demand'!A:A,0)),"")</f>
        <v>0</v>
      </c>
      <c r="H200" s="25">
        <f>IFERROR(INDEX('Aub Demand'!V:V,MATCH(O200,'Aub Demand'!A:A,0)),"")</f>
        <v>68</v>
      </c>
      <c r="I200" s="25">
        <f>IFERROR(INDEX('Aub Demand'!U:U,MATCH(O200,'Aub Demand'!A:A,0)),"")</f>
        <v>23</v>
      </c>
      <c r="J200" s="25">
        <f>IFERROR(INDEX('Aub Demand'!T:T,MATCH(O200,'Aub Demand'!A:A,0)),"")</f>
        <v>88</v>
      </c>
      <c r="K200" s="25">
        <f>IFERROR(INDEX('Aub Demand'!S:S,MATCH(O200,'Aub Demand'!A:A,0)),"")</f>
        <v>0</v>
      </c>
      <c r="L200" s="25">
        <f>IFERROR(INDEX('Aub Demand'!R:R,MATCH(O200,'Aub Demand'!A:A,0)),"")</f>
        <v>0</v>
      </c>
      <c r="O200" s="27" t="s">
        <v>2045</v>
      </c>
      <c r="P200" s="27" t="str">
        <f>IFERROR(INDEX('Aub Demand'!B:B,MATCH($O200,'Aub Demand'!$A:$A,0)),"")</f>
        <v>SILVER DOLLAR</v>
      </c>
      <c r="Q200" s="27" t="str">
        <f>IFERROR(INDEX('Aub Demand'!C:C,MATCH($O200,'Aub Demand'!$A:$A,0)),"")</f>
        <v>AHLST</v>
      </c>
      <c r="R200" s="52">
        <f>IFERROR(IF(AR201=AR200,INDEX('Aub Demand'!K:K,MATCH($O200,'Aub Demand'!$A:$A,0))-IF(AN200="",0,AN200)+AP201,INDEX('Aub Demand'!K:K,MATCH($O200,'Aub Demand'!$A:$A,0))-IF(AN200="",0,AN200)),"")</f>
        <v>0</v>
      </c>
      <c r="S200" s="53">
        <f t="shared" si="84"/>
        <v>0</v>
      </c>
      <c r="T200" s="52">
        <f t="shared" si="85"/>
        <v>41.625</v>
      </c>
      <c r="U200" s="52">
        <f>IFERROR(IF(AR201=AR200,INDEX('Aub Demand'!Q:Q,MATCH($O200,'Aub Demand'!$A:$A,0))-IF(AN200="",0,AN200)+AP201,INDEX('Aub Demand'!Q:Q,MATCH($O200,'Aub Demand'!$A:$A,0))-IF(AN200="",0,AN200)),"")</f>
        <v>-18</v>
      </c>
      <c r="V200" s="53">
        <f t="shared" si="86"/>
        <v>-2.1</v>
      </c>
      <c r="W200" s="52">
        <f t="shared" si="87"/>
        <v>70.762499999999989</v>
      </c>
      <c r="X200" s="52">
        <f>IFERROR(IF(AND(AR201=AR200,AM200&lt;&gt;""),INDEX('Aub Demand'!Q:Q,MATCH($O200,'Aub Demand'!$A:$A,0))-IF(AN200="",0,AN200)+AP201+AD200+AL200,IF(AR201=AR200,INDEX('Aub Demand'!Q:Q,MATCH($O200,'Aub Demand'!$A:$A,0))-IF(AN200="",0,AN200)+AP201+AD200,IF(AM200&lt;&gt;"",INDEX('Aub Demand'!Q:Q,MATCH($O200,'Aub Demand'!$A:$A,0))-IF(AN200="",0,AN200)+AD200+AL200,INDEX('Aub Demand'!Q:Q,MATCH($O200,'Aub Demand'!$A:$A,0))-IF(AN200="",0,AN200)+AD200))),"")</f>
        <v>-18</v>
      </c>
      <c r="Y200" s="53">
        <f t="shared" si="88"/>
        <v>-2.1</v>
      </c>
      <c r="Z200" s="52">
        <f>IF(L200="","",INDEX('Aub Demand'!H:H,MATCH($O200,'Aub Demand'!$A:$A,0)))</f>
        <v>37</v>
      </c>
      <c r="AA200" s="52">
        <f t="shared" si="89"/>
        <v>55.5</v>
      </c>
      <c r="AB200" s="52">
        <f>IFERROR(INDEX('Aub Demand'!L:L,MATCH($O200,'Aub Demand'!$A:$A,0)),"")</f>
        <v>39</v>
      </c>
      <c r="AC200" s="52">
        <f>IFERROR(IF(O200="","",SUMIFS('CPL Mats'!F:F,'CPL Mats'!Q:Q,AR200,'CPL Mats'!S:S,AS200)),"")</f>
        <v>0</v>
      </c>
      <c r="AF200" s="25" t="str">
        <f>IF(SUMIFS('Supp Consol'!S:S,'Supp Consol'!Y:Y,"Releasable",'Supp Consol'!A:A,O200)=0,"",SUMIFS('Supp Consol'!S:S,'Supp Consol'!Y:Y,"Releasable",'Supp Consol'!A:A,O200))</f>
        <v/>
      </c>
      <c r="AG200" s="25" t="str">
        <f>IFERROR(INDEX('Hun Demand'!Q:Q,MATCH(O200,'Hun Demand'!A:A,0)),"")</f>
        <v/>
      </c>
      <c r="AH200" s="25" t="str">
        <f>IFERROR(INDEX('Hun Demand'!H:H,MATCH($O200,'Hun Demand'!$A:$A,0)),"")</f>
        <v/>
      </c>
      <c r="AI200" s="25" t="str">
        <f>IF(SUMIFS('Supp Consol'!AA:AA,'Supp Consol'!Z:Z,"Expires this month",'Supp Consol'!A:A,O200)=0,"",SUMIFS('Supp Consol'!AA:AA,'Supp Consol'!Z:Z,"Expires this month",'Supp Consol'!A:A,O200))</f>
        <v/>
      </c>
      <c r="AJ200" s="25" t="str">
        <f>IF(SUMIFS('Supp Consol'!AA:AA,'Supp Consol'!Z:Z,"Expired Previous Months",'Supp Consol'!A:A,O200)=0,"",SUMIFS('Supp Consol'!AA:AA,'Supp Consol'!Z:Z,"Expired Previous Months",'Supp Consol'!A:A,O200))</f>
        <v/>
      </c>
      <c r="AK200" s="25" t="str">
        <f>IFERROR(INDEX('Hun Release Current'!B:B,MATCH(O200,'Hun Release Current'!A:A,0)),"")</f>
        <v/>
      </c>
      <c r="AL200" s="25" t="str">
        <f>IF(SUMIF('Prev Aub'!A:A,O200,'Prev Aub'!B:B)=0,"",SUMIF('Prev Aub'!A:A,O200,'Prev Aub'!B:B))</f>
        <v/>
      </c>
      <c r="AN200" s="25" t="s">
        <v>3790</v>
      </c>
      <c r="AO200" s="25" t="s">
        <v>3790</v>
      </c>
      <c r="AP200" s="25">
        <f t="shared" si="90"/>
        <v>0</v>
      </c>
      <c r="AQ200" s="151" t="str">
        <f>IF(SUMIFS('Supp Consol'!S:S,'Supp Consol'!A:A,O200,'Supp Consol'!I:I,"PENDING")=0,"",SUMIFS('Supp Consol'!S:S,'Supp Consol'!A:A,O200,'Supp Consol'!I:I,"PENDING"))</f>
        <v/>
      </c>
      <c r="AR200" s="27" t="str">
        <f t="shared" si="91"/>
        <v>AG800</v>
      </c>
      <c r="AS200" s="27" t="str">
        <f t="shared" si="92"/>
        <v>50</v>
      </c>
      <c r="AT200" s="27" t="str">
        <f t="shared" si="93"/>
        <v>AG800</v>
      </c>
      <c r="AU200" s="27" t="str">
        <f t="shared" si="94"/>
        <v>AG800</v>
      </c>
      <c r="AV200" s="27" t="str">
        <f t="shared" si="95"/>
        <v>AG800</v>
      </c>
      <c r="AW200" s="27" t="str">
        <f t="shared" si="96"/>
        <v/>
      </c>
      <c r="AX200" s="27" t="str">
        <f t="shared" si="97"/>
        <v/>
      </c>
      <c r="AY200" s="27" t="str">
        <f t="shared" si="98"/>
        <v/>
      </c>
      <c r="AZ200" s="27" t="str">
        <f t="shared" si="99"/>
        <v/>
      </c>
      <c r="BA200" s="27" t="str">
        <f t="shared" si="100"/>
        <v/>
      </c>
      <c r="BB200" s="27" t="str">
        <f t="shared" si="101"/>
        <v>Gross</v>
      </c>
      <c r="BC200" s="27" t="str">
        <f t="shared" si="102"/>
        <v>Net</v>
      </c>
      <c r="BD200" s="27" t="str">
        <f t="shared" si="103"/>
        <v>Net</v>
      </c>
      <c r="BE200" s="27" t="str">
        <f t="shared" si="104"/>
        <v/>
      </c>
      <c r="BF200" s="27" t="str">
        <f t="shared" si="105"/>
        <v/>
      </c>
      <c r="BG200" s="27" t="str">
        <f t="shared" si="106"/>
        <v/>
      </c>
      <c r="BH200" s="27" t="str">
        <f t="shared" si="107"/>
        <v/>
      </c>
      <c r="BI200" s="27" t="str">
        <f t="shared" si="108"/>
        <v/>
      </c>
      <c r="BJ200" s="27" t="str">
        <f t="shared" si="109"/>
        <v/>
      </c>
      <c r="BK200" s="27" t="str">
        <f t="shared" si="110"/>
        <v/>
      </c>
      <c r="BL200" s="27" t="str">
        <f t="shared" si="111"/>
        <v/>
      </c>
      <c r="BM200" s="21" t="s">
        <v>5581</v>
      </c>
    </row>
    <row r="201" spans="1:65" ht="15">
      <c r="A201" s="25" t="str">
        <f>IFERROR(INDEX('Hun Demand'!W:W,MATCH(O201,'Hun Demand'!A:A,0)),"")</f>
        <v/>
      </c>
      <c r="B201" s="25" t="str">
        <f>IFERROR(INDEX('Hun Demand'!V:V,MATCH(O201,'Hun Demand'!A:A,0)),"")</f>
        <v/>
      </c>
      <c r="C201" s="25" t="str">
        <f>IFERROR(INDEX('Hun Demand'!U:U,MATCH(O201,'Hun Demand'!A:A,0)),"")</f>
        <v/>
      </c>
      <c r="D201" s="25" t="str">
        <f>IFERROR(INDEX('Hun Demand'!T:T,MATCH(O201,'Hun Demand'!A:A,0)),"")</f>
        <v/>
      </c>
      <c r="E201" s="25" t="str">
        <f>IFERROR(INDEX('Hun Demand'!S:S,MATCH(O201,'Hun Demand'!A:A,0)),"")</f>
        <v/>
      </c>
      <c r="F201" s="25" t="str">
        <f>IFERROR(INDEX('Hun Demand'!R:R,MATCH(O201,'Hun Demand'!A:A,0)),"")</f>
        <v/>
      </c>
      <c r="G201" s="25">
        <f>IFERROR(INDEX('Aub Demand'!W:W,MATCH(O201,'Aub Demand'!A:A,0)),"")</f>
        <v>0</v>
      </c>
      <c r="H201" s="25">
        <f>IFERROR(INDEX('Aub Demand'!V:V,MATCH(O201,'Aub Demand'!A:A,0)),"")</f>
        <v>0</v>
      </c>
      <c r="I201" s="25">
        <f>IFERROR(INDEX('Aub Demand'!U:U,MATCH(O201,'Aub Demand'!A:A,0)),"")</f>
        <v>61</v>
      </c>
      <c r="J201" s="25">
        <f>IFERROR(INDEX('Aub Demand'!T:T,MATCH(O201,'Aub Demand'!A:A,0)),"")</f>
        <v>4</v>
      </c>
      <c r="K201" s="25">
        <f>IFERROR(INDEX('Aub Demand'!S:S,MATCH(O201,'Aub Demand'!A:A,0)),"")</f>
        <v>11</v>
      </c>
      <c r="L201" s="25">
        <f>IFERROR(INDEX('Aub Demand'!R:R,MATCH(O201,'Aub Demand'!A:A,0)),"")</f>
        <v>0</v>
      </c>
      <c r="O201" s="27" t="s">
        <v>2047</v>
      </c>
      <c r="P201" s="27" t="str">
        <f>IFERROR(INDEX('Aub Demand'!B:B,MATCH($O201,'Aub Demand'!$A:$A,0)),"")</f>
        <v>SILVER DOLLAR</v>
      </c>
      <c r="Q201" s="27" t="str">
        <f>IFERROR(INDEX('Aub Demand'!C:C,MATCH($O201,'Aub Demand'!$A:$A,0)),"")</f>
        <v>AHLST</v>
      </c>
      <c r="R201" s="52">
        <f>IFERROR(IF(AR202=AR201,INDEX('Aub Demand'!K:K,MATCH($O201,'Aub Demand'!$A:$A,0))-IF(AN201="",0,AN201)+AP202,INDEX('Aub Demand'!K:K,MATCH($O201,'Aub Demand'!$A:$A,0))-IF(AN201="",0,AN201)),"")</f>
        <v>1260</v>
      </c>
      <c r="S201" s="53">
        <f t="shared" si="84"/>
        <v>216</v>
      </c>
      <c r="T201" s="52" t="str">
        <f t="shared" si="85"/>
        <v/>
      </c>
      <c r="U201" s="52">
        <f>IFERROR(IF(AR202=AR201,INDEX('Aub Demand'!Q:Q,MATCH($O201,'Aub Demand'!$A:$A,0))-IF(AN201="",0,AN201)+AP202,INDEX('Aub Demand'!Q:Q,MATCH($O201,'Aub Demand'!$A:$A,0))-IF(AN201="",0,AN201)),"")</f>
        <v>1260</v>
      </c>
      <c r="V201" s="53">
        <f t="shared" si="86"/>
        <v>216</v>
      </c>
      <c r="W201" s="52" t="str">
        <f t="shared" si="87"/>
        <v/>
      </c>
      <c r="X201" s="52">
        <f>IFERROR(IF(AND(AR202=AR201,AM201&lt;&gt;""),INDEX('Aub Demand'!Q:Q,MATCH($O201,'Aub Demand'!$A:$A,0))-IF(AN201="",0,AN201)+AP202+AD201+AL201,IF(AR202=AR201,INDEX('Aub Demand'!Q:Q,MATCH($O201,'Aub Demand'!$A:$A,0))-IF(AN201="",0,AN201)+AP202+AD201,IF(AM201&lt;&gt;"",INDEX('Aub Demand'!Q:Q,MATCH($O201,'Aub Demand'!$A:$A,0))-IF(AN201="",0,AN201)+AD201+AL201,INDEX('Aub Demand'!Q:Q,MATCH($O201,'Aub Demand'!$A:$A,0))-IF(AN201="",0,AN201)+AD201))),"")</f>
        <v>1260</v>
      </c>
      <c r="Y201" s="53">
        <f t="shared" si="88"/>
        <v>216</v>
      </c>
      <c r="Z201" s="52">
        <f>IF(L201="","",INDEX('Aub Demand'!H:H,MATCH($O201,'Aub Demand'!$A:$A,0)))</f>
        <v>25</v>
      </c>
      <c r="AA201" s="52">
        <f t="shared" si="89"/>
        <v>36</v>
      </c>
      <c r="AB201" s="52">
        <f>IFERROR(INDEX('Aub Demand'!L:L,MATCH($O201,'Aub Demand'!$A:$A,0)),"")</f>
        <v>0</v>
      </c>
      <c r="AC201" s="52">
        <f>IFERROR(IF(O201="","",SUMIFS('CPL Mats'!F:F,'CPL Mats'!Q:Q,AR201,'CPL Mats'!S:S,AS201)),"")</f>
        <v>0</v>
      </c>
      <c r="AF201" s="25" t="str">
        <f>IF(SUMIFS('Supp Consol'!S:S,'Supp Consol'!Y:Y,"Releasable",'Supp Consol'!A:A,O201)=0,"",SUMIFS('Supp Consol'!S:S,'Supp Consol'!Y:Y,"Releasable",'Supp Consol'!A:A,O201))</f>
        <v/>
      </c>
      <c r="AG201" s="25" t="str">
        <f>IFERROR(INDEX('Hun Demand'!Q:Q,MATCH(O201,'Hun Demand'!A:A,0)),"")</f>
        <v/>
      </c>
      <c r="AH201" s="25" t="str">
        <f>IFERROR(INDEX('Hun Demand'!H:H,MATCH($O201,'Hun Demand'!$A:$A,0)),"")</f>
        <v/>
      </c>
      <c r="AI201" s="25" t="str">
        <f>IF(SUMIFS('Supp Consol'!AA:AA,'Supp Consol'!Z:Z,"Expires this month",'Supp Consol'!A:A,O201)=0,"",SUMIFS('Supp Consol'!AA:AA,'Supp Consol'!Z:Z,"Expires this month",'Supp Consol'!A:A,O201))</f>
        <v/>
      </c>
      <c r="AJ201" s="25" t="str">
        <f>IF(SUMIFS('Supp Consol'!AA:AA,'Supp Consol'!Z:Z,"Expired Previous Months",'Supp Consol'!A:A,O201)=0,"",SUMIFS('Supp Consol'!AA:AA,'Supp Consol'!Z:Z,"Expired Previous Months",'Supp Consol'!A:A,O201))</f>
        <v/>
      </c>
      <c r="AK201" s="25" t="str">
        <f>IFERROR(INDEX('Hun Release Current'!B:B,MATCH(O201,'Hun Release Current'!A:A,0)),"")</f>
        <v/>
      </c>
      <c r="AL201" s="25" t="str">
        <f>IF(SUMIF('Prev Aub'!A:A,O201,'Prev Aub'!B:B)=0,"",SUMIF('Prev Aub'!A:A,O201,'Prev Aub'!B:B))</f>
        <v/>
      </c>
      <c r="AN201" s="25" t="s">
        <v>3790</v>
      </c>
      <c r="AO201" s="25" t="s">
        <v>3790</v>
      </c>
      <c r="AP201" s="25">
        <f t="shared" si="90"/>
        <v>0</v>
      </c>
      <c r="AQ201" s="151" t="str">
        <f>IF(SUMIFS('Supp Consol'!S:S,'Supp Consol'!A:A,O201,'Supp Consol'!I:I,"PENDING")=0,"",SUMIFS('Supp Consol'!S:S,'Supp Consol'!A:A,O201,'Supp Consol'!I:I,"PENDING"))</f>
        <v/>
      </c>
      <c r="AR201" s="27" t="str">
        <f t="shared" si="91"/>
        <v>AG800</v>
      </c>
      <c r="AS201" s="27" t="str">
        <f t="shared" si="92"/>
        <v>62</v>
      </c>
      <c r="AT201" s="27" t="str">
        <f t="shared" si="93"/>
        <v/>
      </c>
      <c r="AU201" s="27" t="str">
        <f t="shared" si="94"/>
        <v/>
      </c>
      <c r="AV201" s="27" t="str">
        <f t="shared" si="95"/>
        <v/>
      </c>
      <c r="AW201" s="27" t="str">
        <f t="shared" si="96"/>
        <v/>
      </c>
      <c r="AX201" s="27" t="str">
        <f t="shared" si="97"/>
        <v/>
      </c>
      <c r="AY201" s="27" t="str">
        <f t="shared" si="98"/>
        <v/>
      </c>
      <c r="AZ201" s="27" t="str">
        <f t="shared" si="99"/>
        <v/>
      </c>
      <c r="BA201" s="27" t="str">
        <f t="shared" si="100"/>
        <v/>
      </c>
      <c r="BB201" s="27" t="str">
        <f t="shared" si="101"/>
        <v>Gross</v>
      </c>
      <c r="BC201" s="27" t="str">
        <f t="shared" si="102"/>
        <v>Net</v>
      </c>
      <c r="BD201" s="27" t="str">
        <f t="shared" si="103"/>
        <v>Net</v>
      </c>
      <c r="BE201" s="27" t="str">
        <f t="shared" si="104"/>
        <v/>
      </c>
      <c r="BF201" s="27" t="str">
        <f t="shared" si="105"/>
        <v/>
      </c>
      <c r="BG201" s="27" t="str">
        <f t="shared" si="106"/>
        <v/>
      </c>
      <c r="BH201" s="27" t="str">
        <f t="shared" si="107"/>
        <v/>
      </c>
      <c r="BI201" s="27" t="str">
        <f t="shared" si="108"/>
        <v/>
      </c>
      <c r="BJ201" s="27" t="str">
        <f t="shared" si="109"/>
        <v/>
      </c>
      <c r="BK201" s="27" t="str">
        <f t="shared" si="110"/>
        <v/>
      </c>
      <c r="BL201" s="27" t="str">
        <f t="shared" si="111"/>
        <v/>
      </c>
      <c r="BM201" s="21" t="s">
        <v>5581</v>
      </c>
    </row>
    <row r="202" spans="1:65" ht="15">
      <c r="A202" s="25">
        <f>IFERROR(INDEX('Hun Demand'!W:W,MATCH(O202,'Hun Demand'!A:A,0)),"")</f>
        <v>0</v>
      </c>
      <c r="B202" s="25">
        <f>IFERROR(INDEX('Hun Demand'!V:V,MATCH(O202,'Hun Demand'!A:A,0)),"")</f>
        <v>0</v>
      </c>
      <c r="C202" s="25">
        <f>IFERROR(INDEX('Hun Demand'!U:U,MATCH(O202,'Hun Demand'!A:A,0)),"")</f>
        <v>0</v>
      </c>
      <c r="D202" s="25">
        <f>IFERROR(INDEX('Hun Demand'!T:T,MATCH(O202,'Hun Demand'!A:A,0)),"")</f>
        <v>0</v>
      </c>
      <c r="E202" s="25">
        <f>IFERROR(INDEX('Hun Demand'!S:S,MATCH(O202,'Hun Demand'!A:A,0)),"")</f>
        <v>0</v>
      </c>
      <c r="F202" s="25">
        <f>IFERROR(INDEX('Hun Demand'!R:R,MATCH(O202,'Hun Demand'!A:A,0)),"")</f>
        <v>0</v>
      </c>
      <c r="G202" s="25">
        <f>IFERROR(INDEX('Aub Demand'!W:W,MATCH(O202,'Aub Demand'!A:A,0)),"")</f>
        <v>14</v>
      </c>
      <c r="H202" s="25">
        <f>IFERROR(INDEX('Aub Demand'!V:V,MATCH(O202,'Aub Demand'!A:A,0)),"")</f>
        <v>80</v>
      </c>
      <c r="I202" s="25">
        <f>IFERROR(INDEX('Aub Demand'!U:U,MATCH(O202,'Aub Demand'!A:A,0)),"")</f>
        <v>0</v>
      </c>
      <c r="J202" s="25">
        <f>IFERROR(INDEX('Aub Demand'!T:T,MATCH(O202,'Aub Demand'!A:A,0)),"")</f>
        <v>0</v>
      </c>
      <c r="K202" s="25">
        <f>IFERROR(INDEX('Aub Demand'!S:S,MATCH(O202,'Aub Demand'!A:A,0)),"")</f>
        <v>0</v>
      </c>
      <c r="L202" s="25">
        <f>IFERROR(INDEX('Aub Demand'!R:R,MATCH(O202,'Aub Demand'!A:A,0)),"")</f>
        <v>61</v>
      </c>
      <c r="O202" s="27" t="s">
        <v>402</v>
      </c>
      <c r="P202" s="27" t="str">
        <f>IFERROR(INDEX('Aub Demand'!B:B,MATCH($O202,'Aub Demand'!$A:$A,0)),"")</f>
        <v>JUMPING IN PUDDLES</v>
      </c>
      <c r="Q202" s="27" t="str">
        <f>IFERROR(INDEX('Aub Demand'!C:C,MATCH($O202,'Aub Demand'!$A:$A,0)),"")</f>
        <v>AHLST</v>
      </c>
      <c r="R202" s="52">
        <f>IFERROR(IF(AR203=AR202,INDEX('Aub Demand'!K:K,MATCH($O202,'Aub Demand'!$A:$A,0))-IF(AN202="",0,AN202)+AP203,INDEX('Aub Demand'!K:K,MATCH($O202,'Aub Demand'!$A:$A,0))-IF(AN202="",0,AN202)),"")</f>
        <v>863</v>
      </c>
      <c r="S202" s="53" t="str">
        <f t="shared" si="84"/>
        <v>n/a</v>
      </c>
      <c r="T202" s="52" t="str">
        <f t="shared" si="85"/>
        <v/>
      </c>
      <c r="U202" s="52">
        <f>IFERROR(IF(AR203=AR202,INDEX('Aub Demand'!Q:Q,MATCH($O202,'Aub Demand'!$A:$A,0))-IF(AN202="",0,AN202)+AP203,INDEX('Aub Demand'!Q:Q,MATCH($O202,'Aub Demand'!$A:$A,0))-IF(AN202="",0,AN202)),"")</f>
        <v>813</v>
      </c>
      <c r="V202" s="53" t="str">
        <f t="shared" si="86"/>
        <v>n/a</v>
      </c>
      <c r="W202" s="52" t="str">
        <f t="shared" si="87"/>
        <v/>
      </c>
      <c r="X202" s="52">
        <f>IFERROR(IF(AND(AR203=AR202,AM202&lt;&gt;""),INDEX('Aub Demand'!Q:Q,MATCH($O202,'Aub Demand'!$A:$A,0))-IF(AN202="",0,AN202)+AP203+AD202+AL202,IF(AR203=AR202,INDEX('Aub Demand'!Q:Q,MATCH($O202,'Aub Demand'!$A:$A,0))-IF(AN202="",0,AN202)+AP203+AD202,IF(AM202&lt;&gt;"",INDEX('Aub Demand'!Q:Q,MATCH($O202,'Aub Demand'!$A:$A,0))-IF(AN202="",0,AN202)+AD202+AL202,INDEX('Aub Demand'!Q:Q,MATCH($O202,'Aub Demand'!$A:$A,0))-IF(AN202="",0,AN202)+AD202))),"")</f>
        <v>813</v>
      </c>
      <c r="Y202" s="53" t="str">
        <f t="shared" si="88"/>
        <v>n/a</v>
      </c>
      <c r="Z202" s="52">
        <f>IF(L202="","",INDEX('Aub Demand'!H:H,MATCH($O202,'Aub Demand'!$A:$A,0)))</f>
        <v>0</v>
      </c>
      <c r="AA202" s="52" t="str">
        <f t="shared" si="89"/>
        <v>-spike-</v>
      </c>
      <c r="AB202" s="52">
        <f>IFERROR(INDEX('Aub Demand'!L:L,MATCH($O202,'Aub Demand'!$A:$A,0)),"")</f>
        <v>80</v>
      </c>
      <c r="AC202" s="52">
        <f>IFERROR(IF(O202="","",SUMIFS('CPL Mats'!F:F,'CPL Mats'!Q:Q,AR202,'CPL Mats'!S:S,AS202)),"")</f>
        <v>0</v>
      </c>
      <c r="AF202" s="25" t="str">
        <f>IF(SUMIFS('Supp Consol'!S:S,'Supp Consol'!Y:Y,"Releasable",'Supp Consol'!A:A,O202)=0,"",SUMIFS('Supp Consol'!S:S,'Supp Consol'!Y:Y,"Releasable",'Supp Consol'!A:A,O202))</f>
        <v/>
      </c>
      <c r="AG202" s="25">
        <f>IFERROR(INDEX('Hun Demand'!Q:Q,MATCH(O202,'Hun Demand'!A:A,0)),"")</f>
        <v>134</v>
      </c>
      <c r="AH202" s="25">
        <f>IFERROR(INDEX('Hun Demand'!H:H,MATCH($O202,'Hun Demand'!$A:$A,0)),"")</f>
        <v>0</v>
      </c>
      <c r="AI202" s="25" t="str">
        <f>IF(SUMIFS('Supp Consol'!AA:AA,'Supp Consol'!Z:Z,"Expires this month",'Supp Consol'!A:A,O202)=0,"",SUMIFS('Supp Consol'!AA:AA,'Supp Consol'!Z:Z,"Expires this month",'Supp Consol'!A:A,O202))</f>
        <v/>
      </c>
      <c r="AJ202" s="25" t="str">
        <f>IF(SUMIFS('Supp Consol'!AA:AA,'Supp Consol'!Z:Z,"Expired Previous Months",'Supp Consol'!A:A,O202)=0,"",SUMIFS('Supp Consol'!AA:AA,'Supp Consol'!Z:Z,"Expired Previous Months",'Supp Consol'!A:A,O202))</f>
        <v/>
      </c>
      <c r="AK202" s="25" t="str">
        <f>IFERROR(INDEX('Hun Release Current'!B:B,MATCH(O202,'Hun Release Current'!A:A,0)),"")</f>
        <v/>
      </c>
      <c r="AL202" s="25" t="str">
        <f>IF(SUMIF('Prev Aub'!A:A,O202,'Prev Aub'!B:B)=0,"",SUMIF('Prev Aub'!A:A,O202,'Prev Aub'!B:B))</f>
        <v/>
      </c>
      <c r="AN202" s="25" t="s">
        <v>3790</v>
      </c>
      <c r="AO202" s="25" t="s">
        <v>3790</v>
      </c>
      <c r="AP202" s="25">
        <f t="shared" si="90"/>
        <v>0</v>
      </c>
      <c r="AQ202" s="151" t="str">
        <f>IF(SUMIFS('Supp Consol'!S:S,'Supp Consol'!A:A,O202,'Supp Consol'!I:I,"PENDING")=0,"",SUMIFS('Supp Consol'!S:S,'Supp Consol'!A:A,O202,'Supp Consol'!I:I,"PENDING"))</f>
        <v/>
      </c>
      <c r="AR202" s="27" t="str">
        <f t="shared" si="91"/>
        <v>AG801</v>
      </c>
      <c r="AS202" s="27" t="str">
        <f t="shared" si="92"/>
        <v>50</v>
      </c>
      <c r="AT202" s="27" t="str">
        <f t="shared" si="93"/>
        <v/>
      </c>
      <c r="AU202" s="27" t="str">
        <f t="shared" si="94"/>
        <v/>
      </c>
      <c r="AV202" s="27" t="str">
        <f t="shared" si="95"/>
        <v/>
      </c>
      <c r="AW202" s="27" t="str">
        <f t="shared" si="96"/>
        <v/>
      </c>
      <c r="AX202" s="27" t="str">
        <f t="shared" si="97"/>
        <v/>
      </c>
      <c r="AY202" s="27" t="str">
        <f t="shared" si="98"/>
        <v>AG801</v>
      </c>
      <c r="AZ202" s="27" t="str">
        <f t="shared" si="99"/>
        <v/>
      </c>
      <c r="BA202" s="27" t="str">
        <f t="shared" si="100"/>
        <v>Hun</v>
      </c>
      <c r="BB202" s="27" t="str">
        <f t="shared" si="101"/>
        <v/>
      </c>
      <c r="BC202" s="27" t="str">
        <f t="shared" si="102"/>
        <v/>
      </c>
      <c r="BD202" s="27" t="str">
        <f t="shared" si="103"/>
        <v/>
      </c>
      <c r="BE202" s="27" t="str">
        <f t="shared" si="104"/>
        <v/>
      </c>
      <c r="BF202" s="27" t="str">
        <f t="shared" si="105"/>
        <v/>
      </c>
      <c r="BG202" s="27" t="str">
        <f t="shared" si="106"/>
        <v/>
      </c>
      <c r="BH202" s="27" t="str">
        <f t="shared" si="107"/>
        <v/>
      </c>
      <c r="BI202" s="27" t="str">
        <f t="shared" si="108"/>
        <v/>
      </c>
      <c r="BJ202" s="27" t="str">
        <f t="shared" si="109"/>
        <v>Supp or Hun</v>
      </c>
      <c r="BK202" s="27" t="str">
        <f t="shared" si="110"/>
        <v/>
      </c>
      <c r="BL202" s="27" t="str">
        <f t="shared" si="111"/>
        <v/>
      </c>
      <c r="BM202" s="21" t="s">
        <v>5581</v>
      </c>
    </row>
    <row r="203" spans="1:65" ht="15">
      <c r="A203" s="25" t="str">
        <f>IFERROR(INDEX('Hun Demand'!W:W,MATCH(O203,'Hun Demand'!A:A,0)),"")</f>
        <v/>
      </c>
      <c r="B203" s="25" t="str">
        <f>IFERROR(INDEX('Hun Demand'!V:V,MATCH(O203,'Hun Demand'!A:A,0)),"")</f>
        <v/>
      </c>
      <c r="C203" s="25" t="str">
        <f>IFERROR(INDEX('Hun Demand'!U:U,MATCH(O203,'Hun Demand'!A:A,0)),"")</f>
        <v/>
      </c>
      <c r="D203" s="25" t="str">
        <f>IFERROR(INDEX('Hun Demand'!T:T,MATCH(O203,'Hun Demand'!A:A,0)),"")</f>
        <v/>
      </c>
      <c r="E203" s="25" t="str">
        <f>IFERROR(INDEX('Hun Demand'!S:S,MATCH(O203,'Hun Demand'!A:A,0)),"")</f>
        <v/>
      </c>
      <c r="F203" s="25" t="str">
        <f>IFERROR(INDEX('Hun Demand'!R:R,MATCH(O203,'Hun Demand'!A:A,0)),"")</f>
        <v/>
      </c>
      <c r="G203" s="25">
        <f>IFERROR(INDEX('Aub Demand'!W:W,MATCH(O203,'Aub Demand'!A:A,0)),"")</f>
        <v>32</v>
      </c>
      <c r="H203" s="25">
        <f>IFERROR(INDEX('Aub Demand'!V:V,MATCH(O203,'Aub Demand'!A:A,0)),"")</f>
        <v>0</v>
      </c>
      <c r="I203" s="25">
        <f>IFERROR(INDEX('Aub Demand'!U:U,MATCH(O203,'Aub Demand'!A:A,0)),"")</f>
        <v>0</v>
      </c>
      <c r="J203" s="25">
        <f>IFERROR(INDEX('Aub Demand'!T:T,MATCH(O203,'Aub Demand'!A:A,0)),"")</f>
        <v>0</v>
      </c>
      <c r="K203" s="25">
        <f>IFERROR(INDEX('Aub Demand'!S:S,MATCH(O203,'Aub Demand'!A:A,0)),"")</f>
        <v>11</v>
      </c>
      <c r="L203" s="25">
        <f>IFERROR(INDEX('Aub Demand'!R:R,MATCH(O203,'Aub Demand'!A:A,0)),"")</f>
        <v>0</v>
      </c>
      <c r="O203" s="27" t="s">
        <v>404</v>
      </c>
      <c r="P203" s="27" t="str">
        <f>IFERROR(INDEX('Aub Demand'!B:B,MATCH($O203,'Aub Demand'!$A:$A,0)),"")</f>
        <v>JUMPING IN PUDDLES</v>
      </c>
      <c r="Q203" s="27" t="str">
        <f>IFERROR(INDEX('Aub Demand'!C:C,MATCH($O203,'Aub Demand'!$A:$A,0)),"")</f>
        <v>AHLST</v>
      </c>
      <c r="R203" s="52">
        <f>IFERROR(IF(AR204=AR203,INDEX('Aub Demand'!K:K,MATCH($O203,'Aub Demand'!$A:$A,0))-IF(AN203="",0,AN203)+AP204,INDEX('Aub Demand'!K:K,MATCH($O203,'Aub Demand'!$A:$A,0))-IF(AN203="",0,AN203)),"")</f>
        <v>884</v>
      </c>
      <c r="S203" s="53">
        <f t="shared" si="84"/>
        <v>947.1</v>
      </c>
      <c r="T203" s="52" t="str">
        <f t="shared" si="85"/>
        <v/>
      </c>
      <c r="U203" s="52">
        <f>IFERROR(IF(AR204=AR203,INDEX('Aub Demand'!Q:Q,MATCH($O203,'Aub Demand'!$A:$A,0))-IF(AN203="",0,AN203)+AP204,INDEX('Aub Demand'!Q:Q,MATCH($O203,'Aub Demand'!$A:$A,0))-IF(AN203="",0,AN203)),"")</f>
        <v>884</v>
      </c>
      <c r="V203" s="53">
        <f t="shared" si="86"/>
        <v>947.1</v>
      </c>
      <c r="W203" s="52" t="str">
        <f t="shared" si="87"/>
        <v/>
      </c>
      <c r="X203" s="52">
        <f>IFERROR(IF(AND(AR204=AR203,AM203&lt;&gt;""),INDEX('Aub Demand'!Q:Q,MATCH($O203,'Aub Demand'!$A:$A,0))-IF(AN203="",0,AN203)+AP204+AD203+AL203,IF(AR204=AR203,INDEX('Aub Demand'!Q:Q,MATCH($O203,'Aub Demand'!$A:$A,0))-IF(AN203="",0,AN203)+AP204+AD203,IF(AM203&lt;&gt;"",INDEX('Aub Demand'!Q:Q,MATCH($O203,'Aub Demand'!$A:$A,0))-IF(AN203="",0,AN203)+AD203+AL203,INDEX('Aub Demand'!Q:Q,MATCH($O203,'Aub Demand'!$A:$A,0))-IF(AN203="",0,AN203)+AD203))),"")</f>
        <v>884</v>
      </c>
      <c r="Y203" s="53">
        <f t="shared" si="88"/>
        <v>947.1</v>
      </c>
      <c r="Z203" s="52">
        <f>IF(L203="","",INDEX('Aub Demand'!H:H,MATCH($O203,'Aub Demand'!$A:$A,0)))</f>
        <v>4</v>
      </c>
      <c r="AA203" s="52" t="str">
        <f t="shared" si="89"/>
        <v>-spike-</v>
      </c>
      <c r="AB203" s="52">
        <f>IFERROR(INDEX('Aub Demand'!L:L,MATCH($O203,'Aub Demand'!$A:$A,0)),"")</f>
        <v>0</v>
      </c>
      <c r="AC203" s="52">
        <f>IFERROR(IF(O203="","",SUMIFS('CPL Mats'!F:F,'CPL Mats'!Q:Q,AR203,'CPL Mats'!S:S,AS203)),"")</f>
        <v>0</v>
      </c>
      <c r="AF203" s="25" t="str">
        <f>IF(SUMIFS('Supp Consol'!S:S,'Supp Consol'!Y:Y,"Releasable",'Supp Consol'!A:A,O203)=0,"",SUMIFS('Supp Consol'!S:S,'Supp Consol'!Y:Y,"Releasable",'Supp Consol'!A:A,O203))</f>
        <v/>
      </c>
      <c r="AG203" s="25" t="str">
        <f>IFERROR(INDEX('Hun Demand'!Q:Q,MATCH(O203,'Hun Demand'!A:A,0)),"")</f>
        <v/>
      </c>
      <c r="AH203" s="25" t="str">
        <f>IFERROR(INDEX('Hun Demand'!H:H,MATCH($O203,'Hun Demand'!$A:$A,0)),"")</f>
        <v/>
      </c>
      <c r="AI203" s="25" t="str">
        <f>IF(SUMIFS('Supp Consol'!AA:AA,'Supp Consol'!Z:Z,"Expires this month",'Supp Consol'!A:A,O203)=0,"",SUMIFS('Supp Consol'!AA:AA,'Supp Consol'!Z:Z,"Expires this month",'Supp Consol'!A:A,O203))</f>
        <v/>
      </c>
      <c r="AJ203" s="25" t="str">
        <f>IF(SUMIFS('Supp Consol'!AA:AA,'Supp Consol'!Z:Z,"Expired Previous Months",'Supp Consol'!A:A,O203)=0,"",SUMIFS('Supp Consol'!AA:AA,'Supp Consol'!Z:Z,"Expired Previous Months",'Supp Consol'!A:A,O203))</f>
        <v/>
      </c>
      <c r="AK203" s="25" t="str">
        <f>IFERROR(INDEX('Hun Release Current'!B:B,MATCH(O203,'Hun Release Current'!A:A,0)),"")</f>
        <v/>
      </c>
      <c r="AL203" s="25" t="str">
        <f>IF(SUMIF('Prev Aub'!A:A,O203,'Prev Aub'!B:B)=0,"",SUMIF('Prev Aub'!A:A,O203,'Prev Aub'!B:B))</f>
        <v/>
      </c>
      <c r="AN203" s="25" t="s">
        <v>3790</v>
      </c>
      <c r="AO203" s="25" t="s">
        <v>3790</v>
      </c>
      <c r="AP203" s="25">
        <f t="shared" si="90"/>
        <v>0</v>
      </c>
      <c r="AQ203" s="151" t="str">
        <f>IF(SUMIFS('Supp Consol'!S:S,'Supp Consol'!A:A,O203,'Supp Consol'!I:I,"PENDING")=0,"",SUMIFS('Supp Consol'!S:S,'Supp Consol'!A:A,O203,'Supp Consol'!I:I,"PENDING"))</f>
        <v/>
      </c>
      <c r="AR203" s="27" t="str">
        <f t="shared" si="91"/>
        <v>AG801</v>
      </c>
      <c r="AS203" s="27" t="str">
        <f t="shared" si="92"/>
        <v>62</v>
      </c>
      <c r="AT203" s="27" t="str">
        <f t="shared" si="93"/>
        <v/>
      </c>
      <c r="AU203" s="27" t="str">
        <f t="shared" si="94"/>
        <v/>
      </c>
      <c r="AV203" s="27" t="str">
        <f t="shared" si="95"/>
        <v/>
      </c>
      <c r="AW203" s="27" t="str">
        <f t="shared" si="96"/>
        <v/>
      </c>
      <c r="AX203" s="27" t="str">
        <f t="shared" si="97"/>
        <v/>
      </c>
      <c r="AY203" s="27" t="str">
        <f t="shared" si="98"/>
        <v/>
      </c>
      <c r="AZ203" s="27" t="str">
        <f t="shared" si="99"/>
        <v/>
      </c>
      <c r="BA203" s="27" t="str">
        <f t="shared" si="100"/>
        <v>Hun</v>
      </c>
      <c r="BB203" s="27" t="str">
        <f t="shared" si="101"/>
        <v/>
      </c>
      <c r="BC203" s="27" t="str">
        <f t="shared" si="102"/>
        <v/>
      </c>
      <c r="BD203" s="27" t="str">
        <f t="shared" si="103"/>
        <v/>
      </c>
      <c r="BE203" s="27" t="str">
        <f t="shared" si="104"/>
        <v/>
      </c>
      <c r="BF203" s="27" t="str">
        <f t="shared" si="105"/>
        <v/>
      </c>
      <c r="BG203" s="27" t="str">
        <f t="shared" si="106"/>
        <v/>
      </c>
      <c r="BH203" s="27" t="str">
        <f t="shared" si="107"/>
        <v/>
      </c>
      <c r="BI203" s="27" t="str">
        <f t="shared" si="108"/>
        <v/>
      </c>
      <c r="BJ203" s="27" t="str">
        <f t="shared" si="109"/>
        <v>Supp or Hun</v>
      </c>
      <c r="BK203" s="27" t="str">
        <f t="shared" si="110"/>
        <v/>
      </c>
      <c r="BL203" s="27" t="str">
        <f t="shared" si="111"/>
        <v/>
      </c>
      <c r="BM203" s="21" t="s">
        <v>5581</v>
      </c>
    </row>
    <row r="204" spans="1:65" ht="15">
      <c r="A204" s="25" t="str">
        <f>IFERROR(INDEX('Hun Demand'!W:W,MATCH(O204,'Hun Demand'!A:A,0)),"")</f>
        <v/>
      </c>
      <c r="B204" s="25" t="str">
        <f>IFERROR(INDEX('Hun Demand'!V:V,MATCH(O204,'Hun Demand'!A:A,0)),"")</f>
        <v/>
      </c>
      <c r="C204" s="25" t="str">
        <f>IFERROR(INDEX('Hun Demand'!U:U,MATCH(O204,'Hun Demand'!A:A,0)),"")</f>
        <v/>
      </c>
      <c r="D204" s="25" t="str">
        <f>IFERROR(INDEX('Hun Demand'!T:T,MATCH(O204,'Hun Demand'!A:A,0)),"")</f>
        <v/>
      </c>
      <c r="E204" s="25" t="str">
        <f>IFERROR(INDEX('Hun Demand'!S:S,MATCH(O204,'Hun Demand'!A:A,0)),"")</f>
        <v/>
      </c>
      <c r="F204" s="25" t="str">
        <f>IFERROR(INDEX('Hun Demand'!R:R,MATCH(O204,'Hun Demand'!A:A,0)),"")</f>
        <v/>
      </c>
      <c r="G204" s="25">
        <f>IFERROR(INDEX('Aub Demand'!W:W,MATCH(O204,'Aub Demand'!A:A,0)),"")</f>
        <v>7</v>
      </c>
      <c r="H204" s="25">
        <f>IFERROR(INDEX('Aub Demand'!V:V,MATCH(O204,'Aub Demand'!A:A,0)),"")</f>
        <v>0</v>
      </c>
      <c r="I204" s="25">
        <f>IFERROR(INDEX('Aub Demand'!U:U,MATCH(O204,'Aub Demand'!A:A,0)),"")</f>
        <v>0</v>
      </c>
      <c r="J204" s="25">
        <f>IFERROR(INDEX('Aub Demand'!T:T,MATCH(O204,'Aub Demand'!A:A,0)),"")</f>
        <v>0</v>
      </c>
      <c r="K204" s="25">
        <f>IFERROR(INDEX('Aub Demand'!S:S,MATCH(O204,'Aub Demand'!A:A,0)),"")</f>
        <v>0</v>
      </c>
      <c r="L204" s="25">
        <f>IFERROR(INDEX('Aub Demand'!R:R,MATCH(O204,'Aub Demand'!A:A,0)),"")</f>
        <v>0</v>
      </c>
      <c r="O204" s="27" t="s">
        <v>2048</v>
      </c>
      <c r="P204" s="27" t="str">
        <f>IFERROR(INDEX('Aub Demand'!B:B,MATCH($O204,'Aub Demand'!$A:$A,0)),"")</f>
        <v>AZUL ARAN GRANITE LC</v>
      </c>
      <c r="Q204" s="27" t="str">
        <f>IFERROR(INDEX('Aub Demand'!C:C,MATCH($O204,'Aub Demand'!$A:$A,0)),"")</f>
        <v>INTER</v>
      </c>
      <c r="R204" s="52">
        <f>IFERROR(IF(AR205=AR204,INDEX('Aub Demand'!K:K,MATCH($O204,'Aub Demand'!$A:$A,0))-IF(AN204="",0,AN204)+AP205,INDEX('Aub Demand'!K:K,MATCH($O204,'Aub Demand'!$A:$A,0))-IF(AN204="",0,AN204)),"")</f>
        <v>604</v>
      </c>
      <c r="S204" s="53" t="str">
        <f t="shared" si="84"/>
        <v>n/a</v>
      </c>
      <c r="T204" s="52" t="str">
        <f t="shared" si="85"/>
        <v/>
      </c>
      <c r="U204" s="52">
        <f>IFERROR(IF(AR205=AR204,INDEX('Aub Demand'!Q:Q,MATCH($O204,'Aub Demand'!$A:$A,0))-IF(AN204="",0,AN204)+AP205,INDEX('Aub Demand'!Q:Q,MATCH($O204,'Aub Demand'!$A:$A,0))-IF(AN204="",0,AN204)),"")</f>
        <v>604</v>
      </c>
      <c r="V204" s="53" t="str">
        <f t="shared" si="86"/>
        <v>n/a</v>
      </c>
      <c r="W204" s="52" t="str">
        <f t="shared" si="87"/>
        <v/>
      </c>
      <c r="X204" s="52">
        <f>IFERROR(IF(AND(AR205=AR204,AM204&lt;&gt;""),INDEX('Aub Demand'!Q:Q,MATCH($O204,'Aub Demand'!$A:$A,0))-IF(AN204="",0,AN204)+AP205+AD204+AL204,IF(AR205=AR204,INDEX('Aub Demand'!Q:Q,MATCH($O204,'Aub Demand'!$A:$A,0))-IF(AN204="",0,AN204)+AP205+AD204,IF(AM204&lt;&gt;"",INDEX('Aub Demand'!Q:Q,MATCH($O204,'Aub Demand'!$A:$A,0))-IF(AN204="",0,AN204)+AD204+AL204,INDEX('Aub Demand'!Q:Q,MATCH($O204,'Aub Demand'!$A:$A,0))-IF(AN204="",0,AN204)+AD204))),"")</f>
        <v>604</v>
      </c>
      <c r="Y204" s="53" t="str">
        <f t="shared" si="88"/>
        <v>n/a</v>
      </c>
      <c r="Z204" s="52">
        <f>IF(L204="","",INDEX('Aub Demand'!H:H,MATCH($O204,'Aub Demand'!$A:$A,0)))</f>
        <v>0</v>
      </c>
      <c r="AA204" s="52" t="str">
        <f t="shared" si="89"/>
        <v>-spike-</v>
      </c>
      <c r="AB204" s="52">
        <f>IFERROR(INDEX('Aub Demand'!L:L,MATCH($O204,'Aub Demand'!$A:$A,0)),"")</f>
        <v>6</v>
      </c>
      <c r="AC204" s="52">
        <f>IFERROR(IF(O204="","",SUMIFS('CPL Mats'!F:F,'CPL Mats'!Q:Q,AR204,'CPL Mats'!S:S,AS204)),"")</f>
        <v>0</v>
      </c>
      <c r="AF204" s="25" t="str">
        <f>IF(SUMIFS('Supp Consol'!S:S,'Supp Consol'!Y:Y,"Releasable",'Supp Consol'!A:A,O204)=0,"",SUMIFS('Supp Consol'!S:S,'Supp Consol'!Y:Y,"Releasable",'Supp Consol'!A:A,O204))</f>
        <v/>
      </c>
      <c r="AG204" s="25" t="str">
        <f>IFERROR(INDEX('Hun Demand'!Q:Q,MATCH(O204,'Hun Demand'!A:A,0)),"")</f>
        <v/>
      </c>
      <c r="AH204" s="25" t="str">
        <f>IFERROR(INDEX('Hun Demand'!H:H,MATCH($O204,'Hun Demand'!$A:$A,0)),"")</f>
        <v/>
      </c>
      <c r="AI204" s="25" t="str">
        <f>IF(SUMIFS('Supp Consol'!AA:AA,'Supp Consol'!Z:Z,"Expires this month",'Supp Consol'!A:A,O204)=0,"",SUMIFS('Supp Consol'!AA:AA,'Supp Consol'!Z:Z,"Expires this month",'Supp Consol'!A:A,O204))</f>
        <v/>
      </c>
      <c r="AJ204" s="25" t="str">
        <f>IF(SUMIFS('Supp Consol'!AA:AA,'Supp Consol'!Z:Z,"Expired Previous Months",'Supp Consol'!A:A,O204)=0,"",SUMIFS('Supp Consol'!AA:AA,'Supp Consol'!Z:Z,"Expired Previous Months",'Supp Consol'!A:A,O204))</f>
        <v/>
      </c>
      <c r="AK204" s="25" t="str">
        <f>IFERROR(INDEX('Hun Release Current'!B:B,MATCH(O204,'Hun Release Current'!A:A,0)),"")</f>
        <v/>
      </c>
      <c r="AL204" s="25" t="str">
        <f>IF(SUMIF('Prev Aub'!A:A,O204,'Prev Aub'!B:B)=0,"",SUMIF('Prev Aub'!A:A,O204,'Prev Aub'!B:B))</f>
        <v/>
      </c>
      <c r="AN204" s="25" t="s">
        <v>3790</v>
      </c>
      <c r="AO204" s="25" t="s">
        <v>3790</v>
      </c>
      <c r="AP204" s="25">
        <f t="shared" si="90"/>
        <v>0</v>
      </c>
      <c r="AQ204" s="151" t="str">
        <f>IF(SUMIFS('Supp Consol'!S:S,'Supp Consol'!A:A,O204,'Supp Consol'!I:I,"PENDING")=0,"",SUMIFS('Supp Consol'!S:S,'Supp Consol'!A:A,O204,'Supp Consol'!I:I,"PENDING"))</f>
        <v/>
      </c>
      <c r="AR204" s="27" t="str">
        <f t="shared" si="91"/>
        <v>AG810</v>
      </c>
      <c r="AS204" s="27" t="str">
        <f t="shared" si="92"/>
        <v>50</v>
      </c>
      <c r="AT204" s="27" t="str">
        <f t="shared" si="93"/>
        <v/>
      </c>
      <c r="AU204" s="27" t="str">
        <f t="shared" si="94"/>
        <v/>
      </c>
      <c r="AV204" s="27" t="str">
        <f t="shared" si="95"/>
        <v/>
      </c>
      <c r="AW204" s="27" t="str">
        <f t="shared" si="96"/>
        <v/>
      </c>
      <c r="AX204" s="27" t="str">
        <f t="shared" si="97"/>
        <v/>
      </c>
      <c r="AY204" s="27" t="str">
        <f t="shared" si="98"/>
        <v/>
      </c>
      <c r="AZ204" s="27" t="str">
        <f t="shared" si="99"/>
        <v/>
      </c>
      <c r="BA204" s="27" t="str">
        <f t="shared" si="100"/>
        <v/>
      </c>
      <c r="BB204" s="27" t="str">
        <f t="shared" si="101"/>
        <v/>
      </c>
      <c r="BC204" s="27" t="str">
        <f t="shared" si="102"/>
        <v/>
      </c>
      <c r="BD204" s="27" t="str">
        <f t="shared" si="103"/>
        <v/>
      </c>
      <c r="BE204" s="27" t="str">
        <f t="shared" si="104"/>
        <v/>
      </c>
      <c r="BF204" s="27" t="str">
        <f t="shared" si="105"/>
        <v/>
      </c>
      <c r="BG204" s="27" t="str">
        <f t="shared" si="106"/>
        <v/>
      </c>
      <c r="BH204" s="27" t="str">
        <f t="shared" si="107"/>
        <v/>
      </c>
      <c r="BI204" s="27" t="str">
        <f t="shared" si="108"/>
        <v/>
      </c>
      <c r="BJ204" s="27" t="str">
        <f t="shared" si="109"/>
        <v/>
      </c>
      <c r="BK204" s="27" t="str">
        <f t="shared" si="110"/>
        <v/>
      </c>
      <c r="BL204" s="27" t="str">
        <f t="shared" si="111"/>
        <v/>
      </c>
      <c r="BM204" s="21" t="s">
        <v>5581</v>
      </c>
    </row>
    <row r="205" spans="1:65" ht="15">
      <c r="A205" s="25" t="str">
        <f>IFERROR(INDEX('Hun Demand'!W:W,MATCH(O205,'Hun Demand'!A:A,0)),"")</f>
        <v/>
      </c>
      <c r="B205" s="25" t="str">
        <f>IFERROR(INDEX('Hun Demand'!V:V,MATCH(O205,'Hun Demand'!A:A,0)),"")</f>
        <v/>
      </c>
      <c r="C205" s="25" t="str">
        <f>IFERROR(INDEX('Hun Demand'!U:U,MATCH(O205,'Hun Demand'!A:A,0)),"")</f>
        <v/>
      </c>
      <c r="D205" s="25" t="str">
        <f>IFERROR(INDEX('Hun Demand'!T:T,MATCH(O205,'Hun Demand'!A:A,0)),"")</f>
        <v/>
      </c>
      <c r="E205" s="25" t="str">
        <f>IFERROR(INDEX('Hun Demand'!S:S,MATCH(O205,'Hun Demand'!A:A,0)),"")</f>
        <v/>
      </c>
      <c r="F205" s="25" t="str">
        <f>IFERROR(INDEX('Hun Demand'!R:R,MATCH(O205,'Hun Demand'!A:A,0)),"")</f>
        <v/>
      </c>
      <c r="G205" s="25">
        <f>IFERROR(INDEX('Aub Demand'!W:W,MATCH(O205,'Aub Demand'!A:A,0)),"")</f>
        <v>0</v>
      </c>
      <c r="H205" s="25">
        <f>IFERROR(INDEX('Aub Demand'!V:V,MATCH(O205,'Aub Demand'!A:A,0)),"")</f>
        <v>0</v>
      </c>
      <c r="I205" s="25">
        <f>IFERROR(INDEX('Aub Demand'!U:U,MATCH(O205,'Aub Demand'!A:A,0)),"")</f>
        <v>0</v>
      </c>
      <c r="J205" s="25">
        <f>IFERROR(INDEX('Aub Demand'!T:T,MATCH(O205,'Aub Demand'!A:A,0)),"")</f>
        <v>0</v>
      </c>
      <c r="K205" s="25">
        <f>IFERROR(INDEX('Aub Demand'!S:S,MATCH(O205,'Aub Demand'!A:A,0)),"")</f>
        <v>0</v>
      </c>
      <c r="L205" s="25">
        <f>IFERROR(INDEX('Aub Demand'!R:R,MATCH(O205,'Aub Demand'!A:A,0)),"")</f>
        <v>0</v>
      </c>
      <c r="O205" s="27" t="s">
        <v>2050</v>
      </c>
      <c r="P205" s="27" t="str">
        <f>IFERROR(INDEX('Aub Demand'!B:B,MATCH($O205,'Aub Demand'!$A:$A,0)),"")</f>
        <v>AZUL ARAN GRANITE LC</v>
      </c>
      <c r="Q205" s="27" t="str">
        <f>IFERROR(INDEX('Aub Demand'!C:C,MATCH($O205,'Aub Demand'!$A:$A,0)),"")</f>
        <v>INTER</v>
      </c>
      <c r="R205" s="52">
        <f>IFERROR(IF(AR206=AR205,INDEX('Aub Demand'!K:K,MATCH($O205,'Aub Demand'!$A:$A,0))-IF(AN205="",0,AN205)+AP206,INDEX('Aub Demand'!K:K,MATCH($O205,'Aub Demand'!$A:$A,0))-IF(AN205="",0,AN205)),"")</f>
        <v>1078</v>
      </c>
      <c r="S205" s="53" t="str">
        <f t="shared" si="84"/>
        <v>n/a</v>
      </c>
      <c r="T205" s="52" t="str">
        <f t="shared" si="85"/>
        <v/>
      </c>
      <c r="U205" s="52">
        <f>IFERROR(IF(AR206=AR205,INDEX('Aub Demand'!Q:Q,MATCH($O205,'Aub Demand'!$A:$A,0))-IF(AN205="",0,AN205)+AP206,INDEX('Aub Demand'!Q:Q,MATCH($O205,'Aub Demand'!$A:$A,0))-IF(AN205="",0,AN205)),"")</f>
        <v>1078</v>
      </c>
      <c r="V205" s="53" t="str">
        <f t="shared" si="86"/>
        <v>n/a</v>
      </c>
      <c r="W205" s="52" t="str">
        <f t="shared" si="87"/>
        <v/>
      </c>
      <c r="X205" s="52">
        <f>IFERROR(IF(AND(AR206=AR205,AM205&lt;&gt;""),INDEX('Aub Demand'!Q:Q,MATCH($O205,'Aub Demand'!$A:$A,0))-IF(AN205="",0,AN205)+AP206+AD205+AL205,IF(AR206=AR205,INDEX('Aub Demand'!Q:Q,MATCH($O205,'Aub Demand'!$A:$A,0))-IF(AN205="",0,AN205)+AP206+AD205,IF(AM205&lt;&gt;"",INDEX('Aub Demand'!Q:Q,MATCH($O205,'Aub Demand'!$A:$A,0))-IF(AN205="",0,AN205)+AD205+AL205,INDEX('Aub Demand'!Q:Q,MATCH($O205,'Aub Demand'!$A:$A,0))-IF(AN205="",0,AN205)+AD205))),"")</f>
        <v>1078</v>
      </c>
      <c r="Y205" s="53" t="str">
        <f t="shared" si="88"/>
        <v>n/a</v>
      </c>
      <c r="Z205" s="52">
        <f>IF(L205="","",INDEX('Aub Demand'!H:H,MATCH($O205,'Aub Demand'!$A:$A,0)))</f>
        <v>0</v>
      </c>
      <c r="AA205" s="52" t="str">
        <f t="shared" si="89"/>
        <v>-spike-</v>
      </c>
      <c r="AB205" s="52">
        <f>IFERROR(INDEX('Aub Demand'!L:L,MATCH($O205,'Aub Demand'!$A:$A,0)),"")</f>
        <v>0</v>
      </c>
      <c r="AC205" s="52">
        <f>IFERROR(IF(O205="","",SUMIFS('CPL Mats'!F:F,'CPL Mats'!Q:Q,AR205,'CPL Mats'!S:S,AS205)),"")</f>
        <v>0</v>
      </c>
      <c r="AF205" s="25" t="str">
        <f>IF(SUMIFS('Supp Consol'!S:S,'Supp Consol'!Y:Y,"Releasable",'Supp Consol'!A:A,O205)=0,"",SUMIFS('Supp Consol'!S:S,'Supp Consol'!Y:Y,"Releasable",'Supp Consol'!A:A,O205))</f>
        <v/>
      </c>
      <c r="AG205" s="25" t="str">
        <f>IFERROR(INDEX('Hun Demand'!Q:Q,MATCH(O205,'Hun Demand'!A:A,0)),"")</f>
        <v/>
      </c>
      <c r="AH205" s="25" t="str">
        <f>IFERROR(INDEX('Hun Demand'!H:H,MATCH($O205,'Hun Demand'!$A:$A,0)),"")</f>
        <v/>
      </c>
      <c r="AI205" s="25" t="str">
        <f>IF(SUMIFS('Supp Consol'!AA:AA,'Supp Consol'!Z:Z,"Expires this month",'Supp Consol'!A:A,O205)=0,"",SUMIFS('Supp Consol'!AA:AA,'Supp Consol'!Z:Z,"Expires this month",'Supp Consol'!A:A,O205))</f>
        <v/>
      </c>
      <c r="AJ205" s="25" t="str">
        <f>IF(SUMIFS('Supp Consol'!AA:AA,'Supp Consol'!Z:Z,"Expired Previous Months",'Supp Consol'!A:A,O205)=0,"",SUMIFS('Supp Consol'!AA:AA,'Supp Consol'!Z:Z,"Expired Previous Months",'Supp Consol'!A:A,O205))</f>
        <v/>
      </c>
      <c r="AK205" s="25" t="str">
        <f>IFERROR(INDEX('Hun Release Current'!B:B,MATCH(O205,'Hun Release Current'!A:A,0)),"")</f>
        <v/>
      </c>
      <c r="AL205" s="25" t="str">
        <f>IF(SUMIF('Prev Aub'!A:A,O205,'Prev Aub'!B:B)=0,"",SUMIF('Prev Aub'!A:A,O205,'Prev Aub'!B:B))</f>
        <v/>
      </c>
      <c r="AN205" s="25" t="s">
        <v>3790</v>
      </c>
      <c r="AO205" s="25" t="s">
        <v>3790</v>
      </c>
      <c r="AP205" s="25">
        <f t="shared" si="90"/>
        <v>0</v>
      </c>
      <c r="AQ205" s="151" t="str">
        <f>IF(SUMIFS('Supp Consol'!S:S,'Supp Consol'!A:A,O205,'Supp Consol'!I:I,"PENDING")=0,"",SUMIFS('Supp Consol'!S:S,'Supp Consol'!A:A,O205,'Supp Consol'!I:I,"PENDING"))</f>
        <v/>
      </c>
      <c r="AR205" s="27" t="str">
        <f t="shared" si="91"/>
        <v>AG810</v>
      </c>
      <c r="AS205" s="27" t="str">
        <f t="shared" si="92"/>
        <v>62</v>
      </c>
      <c r="AT205" s="27" t="str">
        <f t="shared" si="93"/>
        <v/>
      </c>
      <c r="AU205" s="27" t="str">
        <f t="shared" si="94"/>
        <v/>
      </c>
      <c r="AV205" s="27" t="str">
        <f t="shared" si="95"/>
        <v/>
      </c>
      <c r="AW205" s="27" t="str">
        <f t="shared" si="96"/>
        <v/>
      </c>
      <c r="AX205" s="27" t="str">
        <f t="shared" si="97"/>
        <v/>
      </c>
      <c r="AY205" s="27" t="str">
        <f t="shared" si="98"/>
        <v/>
      </c>
      <c r="AZ205" s="27" t="str">
        <f t="shared" si="99"/>
        <v/>
      </c>
      <c r="BA205" s="27" t="str">
        <f t="shared" si="100"/>
        <v/>
      </c>
      <c r="BB205" s="27" t="str">
        <f t="shared" si="101"/>
        <v/>
      </c>
      <c r="BC205" s="27" t="str">
        <f t="shared" si="102"/>
        <v/>
      </c>
      <c r="BD205" s="27" t="str">
        <f t="shared" si="103"/>
        <v/>
      </c>
      <c r="BE205" s="27" t="str">
        <f t="shared" si="104"/>
        <v/>
      </c>
      <c r="BF205" s="27" t="str">
        <f t="shared" si="105"/>
        <v/>
      </c>
      <c r="BG205" s="27" t="str">
        <f t="shared" si="106"/>
        <v/>
      </c>
      <c r="BH205" s="27" t="str">
        <f t="shared" si="107"/>
        <v/>
      </c>
      <c r="BI205" s="27" t="str">
        <f t="shared" si="108"/>
        <v/>
      </c>
      <c r="BJ205" s="27" t="str">
        <f t="shared" si="109"/>
        <v/>
      </c>
      <c r="BK205" s="27" t="str">
        <f t="shared" si="110"/>
        <v/>
      </c>
      <c r="BL205" s="27" t="str">
        <f t="shared" si="111"/>
        <v/>
      </c>
      <c r="BM205" s="21" t="s">
        <v>5581</v>
      </c>
    </row>
    <row r="206" spans="1:65" ht="15">
      <c r="A206" s="25" t="str">
        <f>IFERROR(INDEX('Hun Demand'!W:W,MATCH(O206,'Hun Demand'!A:A,0)),"")</f>
        <v/>
      </c>
      <c r="B206" s="25" t="str">
        <f>IFERROR(INDEX('Hun Demand'!V:V,MATCH(O206,'Hun Demand'!A:A,0)),"")</f>
        <v/>
      </c>
      <c r="C206" s="25" t="str">
        <f>IFERROR(INDEX('Hun Demand'!U:U,MATCH(O206,'Hun Demand'!A:A,0)),"")</f>
        <v/>
      </c>
      <c r="D206" s="25" t="str">
        <f>IFERROR(INDEX('Hun Demand'!T:T,MATCH(O206,'Hun Demand'!A:A,0)),"")</f>
        <v/>
      </c>
      <c r="E206" s="25" t="str">
        <f>IFERROR(INDEX('Hun Demand'!S:S,MATCH(O206,'Hun Demand'!A:A,0)),"")</f>
        <v/>
      </c>
      <c r="F206" s="25" t="str">
        <f>IFERROR(INDEX('Hun Demand'!R:R,MATCH(O206,'Hun Demand'!A:A,0)),"")</f>
        <v/>
      </c>
      <c r="G206" s="25">
        <f>IFERROR(INDEX('Aub Demand'!W:W,MATCH(O206,'Aub Demand'!A:A,0)),"")</f>
        <v>43</v>
      </c>
      <c r="H206" s="25">
        <f>IFERROR(INDEX('Aub Demand'!V:V,MATCH(O206,'Aub Demand'!A:A,0)),"")</f>
        <v>229</v>
      </c>
      <c r="I206" s="25">
        <f>IFERROR(INDEX('Aub Demand'!U:U,MATCH(O206,'Aub Demand'!A:A,0)),"")</f>
        <v>0</v>
      </c>
      <c r="J206" s="25">
        <f>IFERROR(INDEX('Aub Demand'!T:T,MATCH(O206,'Aub Demand'!A:A,0)),"")</f>
        <v>34</v>
      </c>
      <c r="K206" s="25">
        <f>IFERROR(INDEX('Aub Demand'!S:S,MATCH(O206,'Aub Demand'!A:A,0)),"")</f>
        <v>451</v>
      </c>
      <c r="L206" s="25">
        <f>IFERROR(INDEX('Aub Demand'!R:R,MATCH(O206,'Aub Demand'!A:A,0)),"")</f>
        <v>0</v>
      </c>
      <c r="O206" s="27" t="s">
        <v>2051</v>
      </c>
      <c r="P206" s="27" t="str">
        <f>IFERROR(INDEX('Aub Demand'!B:B,MATCH($O206,'Aub Demand'!$A:$A,0)),"")</f>
        <v>SMOKEY SKIES LC</v>
      </c>
      <c r="Q206" s="27" t="str">
        <f>IFERROR(INDEX('Aub Demand'!C:C,MATCH($O206,'Aub Demand'!$A:$A,0)),"")</f>
        <v>AHLST</v>
      </c>
      <c r="R206" s="52">
        <f>IFERROR(IF(AR207=AR206,INDEX('Aub Demand'!K:K,MATCH($O206,'Aub Demand'!$A:$A,0))-IF(AN206="",0,AN206)+AP207,INDEX('Aub Demand'!K:K,MATCH($O206,'Aub Demand'!$A:$A,0))-IF(AN206="",0,AN206)),"")</f>
        <v>0</v>
      </c>
      <c r="S206" s="53">
        <f t="shared" si="84"/>
        <v>0</v>
      </c>
      <c r="T206" s="52">
        <f t="shared" si="85"/>
        <v>181.875</v>
      </c>
      <c r="U206" s="52">
        <f>IFERROR(IF(AR207=AR206,INDEX('Aub Demand'!Q:Q,MATCH($O206,'Aub Demand'!$A:$A,0))-IF(AN206="",0,AN206)+AP207,INDEX('Aub Demand'!Q:Q,MATCH($O206,'Aub Demand'!$A:$A,0))-IF(AN206="",0,AN206)),"")</f>
        <v>-11</v>
      </c>
      <c r="V206" s="53">
        <f t="shared" si="86"/>
        <v>-0.3</v>
      </c>
      <c r="W206" s="52">
        <f t="shared" si="87"/>
        <v>200.0625</v>
      </c>
      <c r="X206" s="52">
        <f>IFERROR(IF(AND(AR207=AR206,AM206&lt;&gt;""),INDEX('Aub Demand'!Q:Q,MATCH($O206,'Aub Demand'!$A:$A,0))-IF(AN206="",0,AN206)+AP207+AD206+AL206,IF(AR207=AR206,INDEX('Aub Demand'!Q:Q,MATCH($O206,'Aub Demand'!$A:$A,0))-IF(AN206="",0,AN206)+AP207+AD206,IF(AM206&lt;&gt;"",INDEX('Aub Demand'!Q:Q,MATCH($O206,'Aub Demand'!$A:$A,0))-IF(AN206="",0,AN206)+AD206+AL206,INDEX('Aub Demand'!Q:Q,MATCH($O206,'Aub Demand'!$A:$A,0))-IF(AN206="",0,AN206)+AD206))),"")</f>
        <v>489</v>
      </c>
      <c r="Y206" s="53">
        <f t="shared" si="88"/>
        <v>12.9</v>
      </c>
      <c r="Z206" s="52">
        <f>IF(L206="","",INDEX('Aub Demand'!H:H,MATCH($O206,'Aub Demand'!$A:$A,0)))</f>
        <v>162</v>
      </c>
      <c r="AA206" s="52">
        <f t="shared" si="89"/>
        <v>242.5</v>
      </c>
      <c r="AB206" s="52">
        <f>IFERROR(INDEX('Aub Demand'!L:L,MATCH($O206,'Aub Demand'!$A:$A,0)),"")</f>
        <v>42</v>
      </c>
      <c r="AC206" s="52">
        <f>IFERROR(IF(O206="","",SUMIFS('CPL Mats'!F:F,'CPL Mats'!Q:Q,AR206,'CPL Mats'!S:S,AS206)),"")</f>
        <v>0</v>
      </c>
      <c r="AD206" s="25">
        <v>500</v>
      </c>
      <c r="AE206" s="52" t="s">
        <v>5583</v>
      </c>
      <c r="AF206" s="25">
        <f>IF(SUMIFS('Supp Consol'!S:S,'Supp Consol'!Y:Y,"Releasable",'Supp Consol'!A:A,O206)=0,"",SUMIFS('Supp Consol'!S:S,'Supp Consol'!Y:Y,"Releasable",'Supp Consol'!A:A,O206))</f>
        <v>1856</v>
      </c>
      <c r="AG206" s="25" t="str">
        <f>IFERROR(INDEX('Hun Demand'!Q:Q,MATCH(O206,'Hun Demand'!A:A,0)),"")</f>
        <v/>
      </c>
      <c r="AH206" s="25" t="str">
        <f>IFERROR(INDEX('Hun Demand'!H:H,MATCH($O206,'Hun Demand'!$A:$A,0)),"")</f>
        <v/>
      </c>
      <c r="AI206" s="25" t="str">
        <f>IF(SUMIFS('Supp Consol'!AA:AA,'Supp Consol'!Z:Z,"Expires this month",'Supp Consol'!A:A,O206)=0,"",SUMIFS('Supp Consol'!AA:AA,'Supp Consol'!Z:Z,"Expires this month",'Supp Consol'!A:A,O206))</f>
        <v/>
      </c>
      <c r="AJ206" s="25" t="str">
        <f>IF(SUMIFS('Supp Consol'!AA:AA,'Supp Consol'!Z:Z,"Expired Previous Months",'Supp Consol'!A:A,O206)=0,"",SUMIFS('Supp Consol'!AA:AA,'Supp Consol'!Z:Z,"Expired Previous Months",'Supp Consol'!A:A,O206))</f>
        <v/>
      </c>
      <c r="AK206" s="25" t="str">
        <f>IFERROR(INDEX('Hun Release Current'!B:B,MATCH(O206,'Hun Release Current'!A:A,0)),"")</f>
        <v/>
      </c>
      <c r="AL206" s="25" t="str">
        <f>IF(SUMIF('Prev Aub'!A:A,O206,'Prev Aub'!B:B)=0,"",SUMIF('Prev Aub'!A:A,O206,'Prev Aub'!B:B))</f>
        <v/>
      </c>
      <c r="AN206" s="25" t="s">
        <v>3790</v>
      </c>
      <c r="AO206" s="25" t="s">
        <v>3790</v>
      </c>
      <c r="AP206" s="25">
        <f t="shared" si="90"/>
        <v>0</v>
      </c>
      <c r="AQ206" s="151" t="str">
        <f>IF(SUMIFS('Supp Consol'!S:S,'Supp Consol'!A:A,O206,'Supp Consol'!I:I,"PENDING")=0,"",SUMIFS('Supp Consol'!S:S,'Supp Consol'!A:A,O206,'Supp Consol'!I:I,"PENDING"))</f>
        <v/>
      </c>
      <c r="AR206" s="27" t="str">
        <f t="shared" si="91"/>
        <v>AG872</v>
      </c>
      <c r="AS206" s="27" t="str">
        <f t="shared" si="92"/>
        <v>50</v>
      </c>
      <c r="AT206" s="27" t="str">
        <f t="shared" si="93"/>
        <v>AG872</v>
      </c>
      <c r="AU206" s="27" t="str">
        <f t="shared" si="94"/>
        <v/>
      </c>
      <c r="AV206" s="27" t="str">
        <f t="shared" si="95"/>
        <v/>
      </c>
      <c r="AW206" s="27" t="str">
        <f t="shared" si="96"/>
        <v/>
      </c>
      <c r="AX206" s="27" t="str">
        <f t="shared" si="97"/>
        <v>AG872</v>
      </c>
      <c r="AY206" s="27" t="str">
        <f t="shared" si="98"/>
        <v/>
      </c>
      <c r="AZ206" s="27" t="str">
        <f t="shared" si="99"/>
        <v>Supp</v>
      </c>
      <c r="BA206" s="27" t="str">
        <f t="shared" si="100"/>
        <v/>
      </c>
      <c r="BB206" s="27" t="str">
        <f t="shared" si="101"/>
        <v>Gross</v>
      </c>
      <c r="BC206" s="27" t="str">
        <f t="shared" si="102"/>
        <v/>
      </c>
      <c r="BD206" s="27" t="str">
        <f t="shared" si="103"/>
        <v/>
      </c>
      <c r="BE206" s="27" t="str">
        <f t="shared" si="104"/>
        <v/>
      </c>
      <c r="BF206" s="27" t="str">
        <f t="shared" si="105"/>
        <v/>
      </c>
      <c r="BG206" s="27" t="str">
        <f t="shared" si="106"/>
        <v/>
      </c>
      <c r="BH206" s="27" t="str">
        <f t="shared" si="107"/>
        <v/>
      </c>
      <c r="BI206" s="27" t="str">
        <f t="shared" si="108"/>
        <v/>
      </c>
      <c r="BJ206" s="27" t="str">
        <f t="shared" si="109"/>
        <v>Supp or Hun</v>
      </c>
      <c r="BK206" s="27" t="str">
        <f t="shared" si="110"/>
        <v/>
      </c>
      <c r="BL206" s="27" t="str">
        <f t="shared" si="111"/>
        <v/>
      </c>
      <c r="BM206" s="21" t="s">
        <v>5581</v>
      </c>
    </row>
    <row r="207" spans="1:65" ht="15">
      <c r="A207" s="25" t="str">
        <f>IFERROR(INDEX('Hun Demand'!W:W,MATCH(O207,'Hun Demand'!A:A,0)),"")</f>
        <v/>
      </c>
      <c r="B207" s="25" t="str">
        <f>IFERROR(INDEX('Hun Demand'!V:V,MATCH(O207,'Hun Demand'!A:A,0)),"")</f>
        <v/>
      </c>
      <c r="C207" s="25" t="str">
        <f>IFERROR(INDEX('Hun Demand'!U:U,MATCH(O207,'Hun Demand'!A:A,0)),"")</f>
        <v/>
      </c>
      <c r="D207" s="25" t="str">
        <f>IFERROR(INDEX('Hun Demand'!T:T,MATCH(O207,'Hun Demand'!A:A,0)),"")</f>
        <v/>
      </c>
      <c r="E207" s="25" t="str">
        <f>IFERROR(INDEX('Hun Demand'!S:S,MATCH(O207,'Hun Demand'!A:A,0)),"")</f>
        <v/>
      </c>
      <c r="F207" s="25" t="str">
        <f>IFERROR(INDEX('Hun Demand'!R:R,MATCH(O207,'Hun Demand'!A:A,0)),"")</f>
        <v/>
      </c>
      <c r="G207" s="25">
        <f>IFERROR(INDEX('Aub Demand'!W:W,MATCH(O207,'Aub Demand'!A:A,0)),"")</f>
        <v>1</v>
      </c>
      <c r="H207" s="25">
        <f>IFERROR(INDEX('Aub Demand'!V:V,MATCH(O207,'Aub Demand'!A:A,0)),"")</f>
        <v>30</v>
      </c>
      <c r="I207" s="25">
        <f>IFERROR(INDEX('Aub Demand'!U:U,MATCH(O207,'Aub Demand'!A:A,0)),"")</f>
        <v>0</v>
      </c>
      <c r="J207" s="25">
        <f>IFERROR(INDEX('Aub Demand'!T:T,MATCH(O207,'Aub Demand'!A:A,0)),"")</f>
        <v>94</v>
      </c>
      <c r="K207" s="25">
        <f>IFERROR(INDEX('Aub Demand'!S:S,MATCH(O207,'Aub Demand'!A:A,0)),"")</f>
        <v>20</v>
      </c>
      <c r="L207" s="25">
        <f>IFERROR(INDEX('Aub Demand'!R:R,MATCH(O207,'Aub Demand'!A:A,0)),"")</f>
        <v>0</v>
      </c>
      <c r="O207" s="27" t="s">
        <v>2053</v>
      </c>
      <c r="P207" s="27" t="str">
        <f>IFERROR(INDEX('Aub Demand'!B:B,MATCH($O207,'Aub Demand'!$A:$A,0)),"")</f>
        <v>SMOKEY SKIES LC</v>
      </c>
      <c r="Q207" s="27" t="str">
        <f>IFERROR(INDEX('Aub Demand'!C:C,MATCH($O207,'Aub Demand'!$A:$A,0)),"")</f>
        <v>AHLST</v>
      </c>
      <c r="R207" s="52">
        <f>IFERROR(IF(AR208=AR207,INDEX('Aub Demand'!K:K,MATCH($O207,'Aub Demand'!$A:$A,0))-IF(AN207="",0,AN207)+AP208,INDEX('Aub Demand'!K:K,MATCH($O207,'Aub Demand'!$A:$A,0))-IF(AN207="",0,AN207)),"")</f>
        <v>382</v>
      </c>
      <c r="S207" s="53">
        <f t="shared" si="84"/>
        <v>43.1</v>
      </c>
      <c r="T207" s="52" t="str">
        <f t="shared" si="85"/>
        <v/>
      </c>
      <c r="U207" s="52">
        <f>IFERROR(IF(AR208=AR207,INDEX('Aub Demand'!Q:Q,MATCH($O207,'Aub Demand'!$A:$A,0))-IF(AN207="",0,AN207)+AP208,INDEX('Aub Demand'!Q:Q,MATCH($O207,'Aub Demand'!$A:$A,0))-IF(AN207="",0,AN207)),"")</f>
        <v>359</v>
      </c>
      <c r="V207" s="53">
        <f t="shared" si="86"/>
        <v>40.5</v>
      </c>
      <c r="W207" s="52" t="str">
        <f t="shared" si="87"/>
        <v/>
      </c>
      <c r="X207" s="52">
        <f>IFERROR(IF(AND(AR208=AR207,AM207&lt;&gt;""),INDEX('Aub Demand'!Q:Q,MATCH($O207,'Aub Demand'!$A:$A,0))-IF(AN207="",0,AN207)+AP208+AD207+AL207,IF(AR208=AR207,INDEX('Aub Demand'!Q:Q,MATCH($O207,'Aub Demand'!$A:$A,0))-IF(AN207="",0,AN207)+AP208+AD207,IF(AM207&lt;&gt;"",INDEX('Aub Demand'!Q:Q,MATCH($O207,'Aub Demand'!$A:$A,0))-IF(AN207="",0,AN207)+AD207+AL207,INDEX('Aub Demand'!Q:Q,MATCH($O207,'Aub Demand'!$A:$A,0))-IF(AN207="",0,AN207)+AD207))),"")</f>
        <v>359</v>
      </c>
      <c r="Y207" s="53">
        <f t="shared" si="88"/>
        <v>40.5</v>
      </c>
      <c r="Z207" s="52">
        <f>IF(L207="","",INDEX('Aub Demand'!H:H,MATCH($O207,'Aub Demand'!$A:$A,0)))</f>
        <v>38</v>
      </c>
      <c r="AA207" s="52">
        <f t="shared" si="89"/>
        <v>57</v>
      </c>
      <c r="AB207" s="52">
        <f>IFERROR(INDEX('Aub Demand'!L:L,MATCH($O207,'Aub Demand'!$A:$A,0)),"")</f>
        <v>6</v>
      </c>
      <c r="AC207" s="52">
        <f>IFERROR(IF(O207="","",SUMIFS('CPL Mats'!F:F,'CPL Mats'!Q:Q,AR207,'CPL Mats'!S:S,AS207)),"")</f>
        <v>0</v>
      </c>
      <c r="AF207" s="25">
        <f>IF(SUMIFS('Supp Consol'!S:S,'Supp Consol'!Y:Y,"Releasable",'Supp Consol'!A:A,O207)=0,"",SUMIFS('Supp Consol'!S:S,'Supp Consol'!Y:Y,"Releasable",'Supp Consol'!A:A,O207))</f>
        <v>538</v>
      </c>
      <c r="AG207" s="25" t="str">
        <f>IFERROR(INDEX('Hun Demand'!Q:Q,MATCH(O207,'Hun Demand'!A:A,0)),"")</f>
        <v/>
      </c>
      <c r="AH207" s="25" t="str">
        <f>IFERROR(INDEX('Hun Demand'!H:H,MATCH($O207,'Hun Demand'!$A:$A,0)),"")</f>
        <v/>
      </c>
      <c r="AI207" s="25" t="str">
        <f>IF(SUMIFS('Supp Consol'!AA:AA,'Supp Consol'!Z:Z,"Expires this month",'Supp Consol'!A:A,O207)=0,"",SUMIFS('Supp Consol'!AA:AA,'Supp Consol'!Z:Z,"Expires this month",'Supp Consol'!A:A,O207))</f>
        <v/>
      </c>
      <c r="AJ207" s="25" t="str">
        <f>IF(SUMIFS('Supp Consol'!AA:AA,'Supp Consol'!Z:Z,"Expired Previous Months",'Supp Consol'!A:A,O207)=0,"",SUMIFS('Supp Consol'!AA:AA,'Supp Consol'!Z:Z,"Expired Previous Months",'Supp Consol'!A:A,O207))</f>
        <v/>
      </c>
      <c r="AK207" s="25" t="str">
        <f>IFERROR(INDEX('Hun Release Current'!B:B,MATCH(O207,'Hun Release Current'!A:A,0)),"")</f>
        <v/>
      </c>
      <c r="AL207" s="25" t="str">
        <f>IF(SUMIF('Prev Aub'!A:A,O207,'Prev Aub'!B:B)=0,"",SUMIF('Prev Aub'!A:A,O207,'Prev Aub'!B:B))</f>
        <v/>
      </c>
      <c r="AN207" s="25" t="s">
        <v>3790</v>
      </c>
      <c r="AO207" s="25" t="s">
        <v>3790</v>
      </c>
      <c r="AP207" s="25">
        <f t="shared" si="90"/>
        <v>0</v>
      </c>
      <c r="AQ207" s="151" t="str">
        <f>IF(SUMIFS('Supp Consol'!S:S,'Supp Consol'!A:A,O207,'Supp Consol'!I:I,"PENDING")=0,"",SUMIFS('Supp Consol'!S:S,'Supp Consol'!A:A,O207,'Supp Consol'!I:I,"PENDING"))</f>
        <v/>
      </c>
      <c r="AR207" s="27" t="str">
        <f t="shared" si="91"/>
        <v>AG872</v>
      </c>
      <c r="AS207" s="27" t="str">
        <f t="shared" si="92"/>
        <v>62</v>
      </c>
      <c r="AT207" s="27" t="str">
        <f t="shared" si="93"/>
        <v/>
      </c>
      <c r="AU207" s="27" t="str">
        <f t="shared" si="94"/>
        <v/>
      </c>
      <c r="AV207" s="27" t="str">
        <f t="shared" si="95"/>
        <v/>
      </c>
      <c r="AW207" s="27" t="str">
        <f t="shared" si="96"/>
        <v/>
      </c>
      <c r="AX207" s="27" t="str">
        <f t="shared" si="97"/>
        <v>AG872</v>
      </c>
      <c r="AY207" s="27" t="str">
        <f t="shared" si="98"/>
        <v/>
      </c>
      <c r="AZ207" s="27" t="str">
        <f t="shared" si="99"/>
        <v>Supp</v>
      </c>
      <c r="BA207" s="27" t="str">
        <f t="shared" si="100"/>
        <v/>
      </c>
      <c r="BB207" s="27" t="str">
        <f t="shared" si="101"/>
        <v>Gross</v>
      </c>
      <c r="BC207" s="27" t="str">
        <f t="shared" si="102"/>
        <v/>
      </c>
      <c r="BD207" s="27" t="str">
        <f t="shared" si="103"/>
        <v/>
      </c>
      <c r="BE207" s="27" t="str">
        <f t="shared" si="104"/>
        <v/>
      </c>
      <c r="BF207" s="27" t="str">
        <f t="shared" si="105"/>
        <v/>
      </c>
      <c r="BG207" s="27" t="str">
        <f t="shared" si="106"/>
        <v/>
      </c>
      <c r="BH207" s="27" t="str">
        <f t="shared" si="107"/>
        <v/>
      </c>
      <c r="BI207" s="27" t="str">
        <f t="shared" si="108"/>
        <v/>
      </c>
      <c r="BJ207" s="27" t="str">
        <f t="shared" si="109"/>
        <v>Supp or Hun</v>
      </c>
      <c r="BK207" s="27" t="str">
        <f t="shared" si="110"/>
        <v/>
      </c>
      <c r="BL207" s="27" t="str">
        <f t="shared" si="111"/>
        <v/>
      </c>
      <c r="BM207" s="21" t="s">
        <v>5581</v>
      </c>
    </row>
    <row r="208" spans="1:65" ht="15">
      <c r="A208" s="25" t="str">
        <f>IFERROR(INDEX('Hun Demand'!W:W,MATCH(O208,'Hun Demand'!A:A,0)),"")</f>
        <v/>
      </c>
      <c r="B208" s="25" t="str">
        <f>IFERROR(INDEX('Hun Demand'!V:V,MATCH(O208,'Hun Demand'!A:A,0)),"")</f>
        <v/>
      </c>
      <c r="C208" s="25" t="str">
        <f>IFERROR(INDEX('Hun Demand'!U:U,MATCH(O208,'Hun Demand'!A:A,0)),"")</f>
        <v/>
      </c>
      <c r="D208" s="25" t="str">
        <f>IFERROR(INDEX('Hun Demand'!T:T,MATCH(O208,'Hun Demand'!A:A,0)),"")</f>
        <v/>
      </c>
      <c r="E208" s="25" t="str">
        <f>IFERROR(INDEX('Hun Demand'!S:S,MATCH(O208,'Hun Demand'!A:A,0)),"")</f>
        <v/>
      </c>
      <c r="F208" s="25" t="str">
        <f>IFERROR(INDEX('Hun Demand'!R:R,MATCH(O208,'Hun Demand'!A:A,0)),"")</f>
        <v/>
      </c>
      <c r="G208" s="25">
        <f>IFERROR(INDEX('Aub Demand'!W:W,MATCH(O208,'Aub Demand'!A:A,0)),"")</f>
        <v>316</v>
      </c>
      <c r="H208" s="25">
        <f>IFERROR(INDEX('Aub Demand'!V:V,MATCH(O208,'Aub Demand'!A:A,0)),"")</f>
        <v>536</v>
      </c>
      <c r="I208" s="25">
        <f>IFERROR(INDEX('Aub Demand'!U:U,MATCH(O208,'Aub Demand'!A:A,0)),"")</f>
        <v>463</v>
      </c>
      <c r="J208" s="25">
        <f>IFERROR(INDEX('Aub Demand'!T:T,MATCH(O208,'Aub Demand'!A:A,0)),"")</f>
        <v>117</v>
      </c>
      <c r="K208" s="25">
        <f>IFERROR(INDEX('Aub Demand'!S:S,MATCH(O208,'Aub Demand'!A:A,0)),"")</f>
        <v>271</v>
      </c>
      <c r="L208" s="25">
        <f>IFERROR(INDEX('Aub Demand'!R:R,MATCH(O208,'Aub Demand'!A:A,0)),"")</f>
        <v>0</v>
      </c>
      <c r="O208" s="27" t="s">
        <v>405</v>
      </c>
      <c r="P208" s="27" t="str">
        <f>IFERROR(INDEX('Aub Demand'!B:B,MATCH($O208,'Aub Demand'!$A:$A,0)),"")</f>
        <v>AGEFLEX MDMDAC</v>
      </c>
      <c r="Q208" s="27" t="str">
        <f>IFERROR(INDEX('Aub Demand'!C:C,MATCH($O208,'Aub Demand'!$A:$A,0)),"")</f>
        <v>SOLEN</v>
      </c>
      <c r="R208" s="52">
        <f>IFERROR(IF(AR209=AR208,INDEX('Aub Demand'!K:K,MATCH($O208,'Aub Demand'!$A:$A,0))-IF(AN208="",0,AN208)+AP209,INDEX('Aub Demand'!K:K,MATCH($O208,'Aub Demand'!$A:$A,0))-IF(AN208="",0,AN208)),"")</f>
        <v>5542</v>
      </c>
      <c r="S208" s="53">
        <f t="shared" si="84"/>
        <v>83.9</v>
      </c>
      <c r="T208" s="52" t="str">
        <f t="shared" si="85"/>
        <v/>
      </c>
      <c r="U208" s="52">
        <f>IFERROR(IF(AR209=AR208,INDEX('Aub Demand'!Q:Q,MATCH($O208,'Aub Demand'!$A:$A,0))-IF(AN208="",0,AN208)+AP209,INDEX('Aub Demand'!Q:Q,MATCH($O208,'Aub Demand'!$A:$A,0))-IF(AN208="",0,AN208)),"")</f>
        <v>5450</v>
      </c>
      <c r="V208" s="53">
        <f t="shared" si="86"/>
        <v>82.5</v>
      </c>
      <c r="W208" s="52" t="str">
        <f t="shared" si="87"/>
        <v/>
      </c>
      <c r="X208" s="52">
        <f>IFERROR(IF(AND(AR209=AR208,AM208&lt;&gt;""),INDEX('Aub Demand'!Q:Q,MATCH($O208,'Aub Demand'!$A:$A,0))-IF(AN208="",0,AN208)+AP209+AD208+AL208,IF(AR209=AR208,INDEX('Aub Demand'!Q:Q,MATCH($O208,'Aub Demand'!$A:$A,0))-IF(AN208="",0,AN208)+AP209+AD208,IF(AM208&lt;&gt;"",INDEX('Aub Demand'!Q:Q,MATCH($O208,'Aub Demand'!$A:$A,0))-IF(AN208="",0,AN208)+AD208+AL208,INDEX('Aub Demand'!Q:Q,MATCH($O208,'Aub Demand'!$A:$A,0))-IF(AN208="",0,AN208)+AD208))),"")</f>
        <v>5450</v>
      </c>
      <c r="Y208" s="53">
        <f t="shared" si="88"/>
        <v>82.5</v>
      </c>
      <c r="Z208" s="52">
        <f>IF(L208="","",INDEX('Aub Demand'!H:H,MATCH($O208,'Aub Demand'!$A:$A,0)))</f>
        <v>283</v>
      </c>
      <c r="AA208" s="52">
        <f t="shared" si="89"/>
        <v>367</v>
      </c>
      <c r="AB208" s="52">
        <f>IFERROR(INDEX('Aub Demand'!L:L,MATCH($O208,'Aub Demand'!$A:$A,0)),"")</f>
        <v>0</v>
      </c>
      <c r="AC208" s="52">
        <f>IFERROR(IF(O208="","",SUMIFS('CPL Mats'!F:F,'CPL Mats'!Q:Q,AR208,'CPL Mats'!S:S,AS208)),"")</f>
        <v>0</v>
      </c>
      <c r="AF208" s="25" t="str">
        <f>IF(SUMIFS('Supp Consol'!S:S,'Supp Consol'!Y:Y,"Releasable",'Supp Consol'!A:A,O208)=0,"",SUMIFS('Supp Consol'!S:S,'Supp Consol'!Y:Y,"Releasable",'Supp Consol'!A:A,O208))</f>
        <v/>
      </c>
      <c r="AG208" s="25" t="str">
        <f>IFERROR(INDEX('Hun Demand'!Q:Q,MATCH(O208,'Hun Demand'!A:A,0)),"")</f>
        <v/>
      </c>
      <c r="AH208" s="25" t="str">
        <f>IFERROR(INDEX('Hun Demand'!H:H,MATCH($O208,'Hun Demand'!$A:$A,0)),"")</f>
        <v/>
      </c>
      <c r="AI208" s="25" t="str">
        <f>IF(SUMIFS('Supp Consol'!AA:AA,'Supp Consol'!Z:Z,"Expires this month",'Supp Consol'!A:A,O208)=0,"",SUMIFS('Supp Consol'!AA:AA,'Supp Consol'!Z:Z,"Expires this month",'Supp Consol'!A:A,O208))</f>
        <v/>
      </c>
      <c r="AJ208" s="25" t="str">
        <f>IF(SUMIFS('Supp Consol'!AA:AA,'Supp Consol'!Z:Z,"Expired Previous Months",'Supp Consol'!A:A,O208)=0,"",SUMIFS('Supp Consol'!AA:AA,'Supp Consol'!Z:Z,"Expired Previous Months",'Supp Consol'!A:A,O208))</f>
        <v/>
      </c>
      <c r="AK208" s="25" t="str">
        <f>IFERROR(INDEX('Hun Release Current'!B:B,MATCH(O208,'Hun Release Current'!A:A,0)),"")</f>
        <v/>
      </c>
      <c r="AL208" s="25" t="str">
        <f>IF(SUMIF('Prev Aub'!A:A,O208,'Prev Aub'!B:B)=0,"",SUMIF('Prev Aub'!A:A,O208,'Prev Aub'!B:B))</f>
        <v/>
      </c>
      <c r="AN208" s="25" t="s">
        <v>3790</v>
      </c>
      <c r="AO208" s="25" t="s">
        <v>3790</v>
      </c>
      <c r="AP208" s="25">
        <f t="shared" si="90"/>
        <v>0</v>
      </c>
      <c r="AQ208" s="151" t="str">
        <f>IF(SUMIFS('Supp Consol'!S:S,'Supp Consol'!A:A,O208,'Supp Consol'!I:I,"PENDING")=0,"",SUMIFS('Supp Consol'!S:S,'Supp Consol'!A:A,O208,'Supp Consol'!I:I,"PENDING"))</f>
        <v/>
      </c>
      <c r="AR208" s="27" t="str">
        <f t="shared" si="91"/>
        <v>AGEFL</v>
      </c>
      <c r="AS208" s="27" t="str">
        <f t="shared" si="92"/>
        <v/>
      </c>
      <c r="AT208" s="27" t="str">
        <f t="shared" si="93"/>
        <v/>
      </c>
      <c r="AU208" s="27" t="str">
        <f t="shared" si="94"/>
        <v/>
      </c>
      <c r="AV208" s="27" t="str">
        <f t="shared" si="95"/>
        <v/>
      </c>
      <c r="AW208" s="27" t="str">
        <f t="shared" si="96"/>
        <v/>
      </c>
      <c r="AX208" s="27" t="str">
        <f t="shared" si="97"/>
        <v/>
      </c>
      <c r="AY208" s="27" t="str">
        <f t="shared" si="98"/>
        <v/>
      </c>
      <c r="AZ208" s="27" t="str">
        <f t="shared" si="99"/>
        <v/>
      </c>
      <c r="BA208" s="27" t="str">
        <f t="shared" si="100"/>
        <v/>
      </c>
      <c r="BB208" s="27" t="str">
        <f t="shared" si="101"/>
        <v/>
      </c>
      <c r="BC208" s="27" t="str">
        <f t="shared" si="102"/>
        <v/>
      </c>
      <c r="BD208" s="27" t="str">
        <f t="shared" si="103"/>
        <v/>
      </c>
      <c r="BE208" s="27" t="str">
        <f t="shared" si="104"/>
        <v/>
      </c>
      <c r="BF208" s="27" t="str">
        <f t="shared" si="105"/>
        <v/>
      </c>
      <c r="BG208" s="27" t="str">
        <f t="shared" si="106"/>
        <v/>
      </c>
      <c r="BH208" s="27" t="str">
        <f t="shared" si="107"/>
        <v/>
      </c>
      <c r="BI208" s="27" t="str">
        <f t="shared" si="108"/>
        <v/>
      </c>
      <c r="BJ208" s="27" t="str">
        <f t="shared" si="109"/>
        <v/>
      </c>
      <c r="BK208" s="27" t="str">
        <f t="shared" si="110"/>
        <v/>
      </c>
      <c r="BL208" s="27" t="str">
        <f t="shared" si="111"/>
        <v/>
      </c>
      <c r="BM208" s="21" t="s">
        <v>3790</v>
      </c>
    </row>
    <row r="209" spans="1:65" ht="15">
      <c r="A209" s="25" t="str">
        <f>IFERROR(INDEX('Hun Demand'!W:W,MATCH(O209,'Hun Demand'!A:A,0)),"")</f>
        <v/>
      </c>
      <c r="B209" s="25" t="str">
        <f>IFERROR(INDEX('Hun Demand'!V:V,MATCH(O209,'Hun Demand'!A:A,0)),"")</f>
        <v/>
      </c>
      <c r="C209" s="25" t="str">
        <f>IFERROR(INDEX('Hun Demand'!U:U,MATCH(O209,'Hun Demand'!A:A,0)),"")</f>
        <v/>
      </c>
      <c r="D209" s="25" t="str">
        <f>IFERROR(INDEX('Hun Demand'!T:T,MATCH(O209,'Hun Demand'!A:A,0)),"")</f>
        <v/>
      </c>
      <c r="E209" s="25" t="str">
        <f>IFERROR(INDEX('Hun Demand'!S:S,MATCH(O209,'Hun Demand'!A:A,0)),"")</f>
        <v/>
      </c>
      <c r="F209" s="25" t="str">
        <f>IFERROR(INDEX('Hun Demand'!R:R,MATCH(O209,'Hun Demand'!A:A,0)),"")</f>
        <v/>
      </c>
      <c r="G209" s="25">
        <f>IFERROR(INDEX('Aub Demand'!W:W,MATCH(O209,'Aub Demand'!A:A,0)),"")</f>
        <v>20</v>
      </c>
      <c r="H209" s="25">
        <f>IFERROR(INDEX('Aub Demand'!V:V,MATCH(O209,'Aub Demand'!A:A,0)),"")</f>
        <v>0</v>
      </c>
      <c r="I209" s="25">
        <f>IFERROR(INDEX('Aub Demand'!U:U,MATCH(O209,'Aub Demand'!A:A,0)),"")</f>
        <v>0</v>
      </c>
      <c r="J209" s="25">
        <f>IFERROR(INDEX('Aub Demand'!T:T,MATCH(O209,'Aub Demand'!A:A,0)),"")</f>
        <v>0</v>
      </c>
      <c r="K209" s="25">
        <f>IFERROR(INDEX('Aub Demand'!S:S,MATCH(O209,'Aub Demand'!A:A,0)),"")</f>
        <v>145</v>
      </c>
      <c r="L209" s="25">
        <f>IFERROR(INDEX('Aub Demand'!R:R,MATCH(O209,'Aub Demand'!A:A,0)),"")</f>
        <v>9</v>
      </c>
      <c r="O209" s="27" t="s">
        <v>2054</v>
      </c>
      <c r="P209" s="27" t="str">
        <f>IFERROR(INDEX('Aub Demand'!B:B,MATCH($O209,'Aub Demand'!$A:$A,0)),"")</f>
        <v>GOLDEN ALLUSION 48"</v>
      </c>
      <c r="Q209" s="27" t="str">
        <f>IFERROR(INDEX('Aub Demand'!C:C,MATCH($O209,'Aub Demand'!$A:$A,0)),"")</f>
        <v>INTER</v>
      </c>
      <c r="R209" s="52">
        <f>IFERROR(IF(AR210=AR209,INDEX('Aub Demand'!K:K,MATCH($O209,'Aub Demand'!$A:$A,0))-IF(AN209="",0,AN209)+AP210,INDEX('Aub Demand'!K:K,MATCH($O209,'Aub Demand'!$A:$A,0))-IF(AN209="",0,AN209)),"")</f>
        <v>0</v>
      </c>
      <c r="S209" s="53">
        <f t="shared" si="84"/>
        <v>0</v>
      </c>
      <c r="T209" s="52">
        <f t="shared" si="85"/>
        <v>57.75</v>
      </c>
      <c r="U209" s="52">
        <f>IFERROR(IF(AR210=AR209,INDEX('Aub Demand'!Q:Q,MATCH($O209,'Aub Demand'!$A:$A,0))-IF(AN209="",0,AN209)+AP210,INDEX('Aub Demand'!Q:Q,MATCH($O209,'Aub Demand'!$A:$A,0))-IF(AN209="",0,AN209)),"")</f>
        <v>-16</v>
      </c>
      <c r="V209" s="53">
        <f t="shared" si="86"/>
        <v>-1.4</v>
      </c>
      <c r="W209" s="52">
        <f t="shared" si="87"/>
        <v>84.7</v>
      </c>
      <c r="X209" s="52">
        <f>IFERROR(IF(AND(AR210=AR209,AM209&lt;&gt;""),INDEX('Aub Demand'!Q:Q,MATCH($O209,'Aub Demand'!$A:$A,0))-IF(AN209="",0,AN209)+AP210+AD209+AL209,IF(AR210=AR209,INDEX('Aub Demand'!Q:Q,MATCH($O209,'Aub Demand'!$A:$A,0))-IF(AN209="",0,AN209)+AP210+AD209,IF(AM209&lt;&gt;"",INDEX('Aub Demand'!Q:Q,MATCH($O209,'Aub Demand'!$A:$A,0))-IF(AN209="",0,AN209)+AD209+AL209,INDEX('Aub Demand'!Q:Q,MATCH($O209,'Aub Demand'!$A:$A,0))-IF(AN209="",0,AN209)+AD209))),"")</f>
        <v>-16</v>
      </c>
      <c r="Y209" s="53">
        <f t="shared" si="88"/>
        <v>-1.4</v>
      </c>
      <c r="Z209" s="52">
        <f>IF(L209="","",INDEX('Aub Demand'!H:H,MATCH($O209,'Aub Demand'!$A:$A,0)))</f>
        <v>48</v>
      </c>
      <c r="AA209" s="52">
        <f t="shared" si="89"/>
        <v>77</v>
      </c>
      <c r="AB209" s="52">
        <f>IFERROR(INDEX('Aub Demand'!L:L,MATCH($O209,'Aub Demand'!$A:$A,0)),"")</f>
        <v>190</v>
      </c>
      <c r="AC209" s="52">
        <f>IFERROR(IF(O209="","",SUMIFS('CPL Mats'!F:F,'CPL Mats'!Q:Q,AR209,'CPL Mats'!S:S,AS209)),"")</f>
        <v>0</v>
      </c>
      <c r="AF209" s="25" t="str">
        <f>IF(SUMIFS('Supp Consol'!S:S,'Supp Consol'!Y:Y,"Releasable",'Supp Consol'!A:A,O209)=0,"",SUMIFS('Supp Consol'!S:S,'Supp Consol'!Y:Y,"Releasable",'Supp Consol'!A:A,O209))</f>
        <v/>
      </c>
      <c r="AG209" s="25" t="str">
        <f>IFERROR(INDEX('Hun Demand'!Q:Q,MATCH(O209,'Hun Demand'!A:A,0)),"")</f>
        <v/>
      </c>
      <c r="AH209" s="25" t="str">
        <f>IFERROR(INDEX('Hun Demand'!H:H,MATCH($O209,'Hun Demand'!$A:$A,0)),"")</f>
        <v/>
      </c>
      <c r="AI209" s="25" t="str">
        <f>IF(SUMIFS('Supp Consol'!AA:AA,'Supp Consol'!Z:Z,"Expires this month",'Supp Consol'!A:A,O209)=0,"",SUMIFS('Supp Consol'!AA:AA,'Supp Consol'!Z:Z,"Expires this month",'Supp Consol'!A:A,O209))</f>
        <v/>
      </c>
      <c r="AJ209" s="25" t="str">
        <f>IF(SUMIFS('Supp Consol'!AA:AA,'Supp Consol'!Z:Z,"Expired Previous Months",'Supp Consol'!A:A,O209)=0,"",SUMIFS('Supp Consol'!AA:AA,'Supp Consol'!Z:Z,"Expired Previous Months",'Supp Consol'!A:A,O209))</f>
        <v/>
      </c>
      <c r="AK209" s="25" t="str">
        <f>IFERROR(INDEX('Hun Release Current'!B:B,MATCH(O209,'Hun Release Current'!A:A,0)),"")</f>
        <v/>
      </c>
      <c r="AL209" s="25" t="str">
        <f>IF(SUMIF('Prev Aub'!A:A,O209,'Prev Aub'!B:B)=0,"",SUMIF('Prev Aub'!A:A,O209,'Prev Aub'!B:B))</f>
        <v/>
      </c>
      <c r="AN209" s="25" t="s">
        <v>3790</v>
      </c>
      <c r="AO209" s="25" t="s">
        <v>3790</v>
      </c>
      <c r="AP209" s="25">
        <f t="shared" si="90"/>
        <v>0</v>
      </c>
      <c r="AQ209" s="151" t="str">
        <f>IF(SUMIFS('Supp Consol'!S:S,'Supp Consol'!A:A,O209,'Supp Consol'!I:I,"PENDING")=0,"",SUMIFS('Supp Consol'!S:S,'Supp Consol'!A:A,O209,'Supp Consol'!I:I,"PENDING"))</f>
        <v/>
      </c>
      <c r="AR209" s="27" t="str">
        <f t="shared" si="91"/>
        <v>AL202</v>
      </c>
      <c r="AS209" s="27" t="str">
        <f t="shared" si="92"/>
        <v>50</v>
      </c>
      <c r="AT209" s="27" t="str">
        <f t="shared" si="93"/>
        <v>AL202</v>
      </c>
      <c r="AU209" s="27" t="str">
        <f t="shared" si="94"/>
        <v>AL202</v>
      </c>
      <c r="AV209" s="27" t="str">
        <f t="shared" si="95"/>
        <v>AL202</v>
      </c>
      <c r="AW209" s="27" t="str">
        <f t="shared" si="96"/>
        <v/>
      </c>
      <c r="AX209" s="27" t="str">
        <f t="shared" si="97"/>
        <v/>
      </c>
      <c r="AY209" s="27" t="str">
        <f t="shared" si="98"/>
        <v/>
      </c>
      <c r="AZ209" s="27" t="str">
        <f t="shared" si="99"/>
        <v/>
      </c>
      <c r="BA209" s="27" t="str">
        <f t="shared" si="100"/>
        <v/>
      </c>
      <c r="BB209" s="27" t="str">
        <f t="shared" si="101"/>
        <v>Gross</v>
      </c>
      <c r="BC209" s="27" t="str">
        <f t="shared" si="102"/>
        <v>Net</v>
      </c>
      <c r="BD209" s="27" t="str">
        <f t="shared" si="103"/>
        <v>Net</v>
      </c>
      <c r="BE209" s="27" t="str">
        <f t="shared" si="104"/>
        <v/>
      </c>
      <c r="BF209" s="27" t="str">
        <f t="shared" si="105"/>
        <v/>
      </c>
      <c r="BG209" s="27" t="str">
        <f t="shared" si="106"/>
        <v/>
      </c>
      <c r="BH209" s="27" t="str">
        <f t="shared" si="107"/>
        <v/>
      </c>
      <c r="BI209" s="27" t="str">
        <f t="shared" si="108"/>
        <v/>
      </c>
      <c r="BJ209" s="27" t="str">
        <f t="shared" si="109"/>
        <v/>
      </c>
      <c r="BK209" s="27" t="str">
        <f t="shared" si="110"/>
        <v/>
      </c>
      <c r="BL209" s="27" t="str">
        <f t="shared" si="111"/>
        <v/>
      </c>
      <c r="BM209" s="21" t="s">
        <v>5581</v>
      </c>
    </row>
    <row r="210" spans="1:65" ht="15">
      <c r="A210" s="25" t="str">
        <f>IFERROR(INDEX('Hun Demand'!W:W,MATCH(O210,'Hun Demand'!A:A,0)),"")</f>
        <v/>
      </c>
      <c r="B210" s="25" t="str">
        <f>IFERROR(INDEX('Hun Demand'!V:V,MATCH(O210,'Hun Demand'!A:A,0)),"")</f>
        <v/>
      </c>
      <c r="C210" s="25" t="str">
        <f>IFERROR(INDEX('Hun Demand'!U:U,MATCH(O210,'Hun Demand'!A:A,0)),"")</f>
        <v/>
      </c>
      <c r="D210" s="25" t="str">
        <f>IFERROR(INDEX('Hun Demand'!T:T,MATCH(O210,'Hun Demand'!A:A,0)),"")</f>
        <v/>
      </c>
      <c r="E210" s="25" t="str">
        <f>IFERROR(INDEX('Hun Demand'!S:S,MATCH(O210,'Hun Demand'!A:A,0)),"")</f>
        <v/>
      </c>
      <c r="F210" s="25" t="str">
        <f>IFERROR(INDEX('Hun Demand'!R:R,MATCH(O210,'Hun Demand'!A:A,0)),"")</f>
        <v/>
      </c>
      <c r="G210" s="25">
        <f>IFERROR(INDEX('Aub Demand'!W:W,MATCH(O210,'Aub Demand'!A:A,0)),"")</f>
        <v>17</v>
      </c>
      <c r="H210" s="25">
        <f>IFERROR(INDEX('Aub Demand'!V:V,MATCH(O210,'Aub Demand'!A:A,0)),"")</f>
        <v>0</v>
      </c>
      <c r="I210" s="25">
        <f>IFERROR(INDEX('Aub Demand'!U:U,MATCH(O210,'Aub Demand'!A:A,0)),"")</f>
        <v>0</v>
      </c>
      <c r="J210" s="25">
        <f>IFERROR(INDEX('Aub Demand'!T:T,MATCH(O210,'Aub Demand'!A:A,0)),"")</f>
        <v>0</v>
      </c>
      <c r="K210" s="25">
        <f>IFERROR(INDEX('Aub Demand'!S:S,MATCH(O210,'Aub Demand'!A:A,0)),"")</f>
        <v>57</v>
      </c>
      <c r="L210" s="25">
        <f>IFERROR(INDEX('Aub Demand'!R:R,MATCH(O210,'Aub Demand'!A:A,0)),"")</f>
        <v>0</v>
      </c>
      <c r="O210" s="27" t="s">
        <v>2057</v>
      </c>
      <c r="P210" s="27" t="str">
        <f>IFERROR(INDEX('Aub Demand'!B:B,MATCH($O210,'Aub Demand'!$A:$A,0)),"")</f>
        <v>GOLDEN ALLUSION 62"</v>
      </c>
      <c r="Q210" s="27" t="str">
        <f>IFERROR(INDEX('Aub Demand'!C:C,MATCH($O210,'Aub Demand'!$A:$A,0)),"")</f>
        <v>INTER</v>
      </c>
      <c r="R210" s="52">
        <f>IFERROR(IF(AR211=AR210,INDEX('Aub Demand'!K:K,MATCH($O210,'Aub Demand'!$A:$A,0))-IF(AN210="",0,AN210)+AP211,INDEX('Aub Demand'!K:K,MATCH($O210,'Aub Demand'!$A:$A,0))-IF(AN210="",0,AN210)),"")</f>
        <v>1659</v>
      </c>
      <c r="S210" s="53">
        <f t="shared" si="84"/>
        <v>374.2</v>
      </c>
      <c r="T210" s="52" t="str">
        <f t="shared" si="85"/>
        <v/>
      </c>
      <c r="U210" s="52">
        <f>IFERROR(IF(AR211=AR210,INDEX('Aub Demand'!Q:Q,MATCH($O210,'Aub Demand'!$A:$A,0))-IF(AN210="",0,AN210)+AP211,INDEX('Aub Demand'!Q:Q,MATCH($O210,'Aub Demand'!$A:$A,0))-IF(AN210="",0,AN210)),"")</f>
        <v>1659</v>
      </c>
      <c r="V210" s="53">
        <f t="shared" si="86"/>
        <v>374.2</v>
      </c>
      <c r="W210" s="52" t="str">
        <f t="shared" si="87"/>
        <v/>
      </c>
      <c r="X210" s="52">
        <f>IFERROR(IF(AND(AR211=AR210,AM210&lt;&gt;""),INDEX('Aub Demand'!Q:Q,MATCH($O210,'Aub Demand'!$A:$A,0))-IF(AN210="",0,AN210)+AP211+AD210+AL210,IF(AR211=AR210,INDEX('Aub Demand'!Q:Q,MATCH($O210,'Aub Demand'!$A:$A,0))-IF(AN210="",0,AN210)+AP211+AD210,IF(AM210&lt;&gt;"",INDEX('Aub Demand'!Q:Q,MATCH($O210,'Aub Demand'!$A:$A,0))-IF(AN210="",0,AN210)+AD210+AL210,INDEX('Aub Demand'!Q:Q,MATCH($O210,'Aub Demand'!$A:$A,0))-IF(AN210="",0,AN210)+AD210))),"")</f>
        <v>1659</v>
      </c>
      <c r="Y210" s="53">
        <f t="shared" si="88"/>
        <v>374.2</v>
      </c>
      <c r="Z210" s="52">
        <f>IF(L210="","",INDEX('Aub Demand'!H:H,MATCH($O210,'Aub Demand'!$A:$A,0)))</f>
        <v>19</v>
      </c>
      <c r="AA210" s="52" t="str">
        <f t="shared" si="89"/>
        <v>-spike-</v>
      </c>
      <c r="AB210" s="52">
        <f>IFERROR(INDEX('Aub Demand'!L:L,MATCH($O210,'Aub Demand'!$A:$A,0)),"")</f>
        <v>7</v>
      </c>
      <c r="AC210" s="52">
        <f>IFERROR(IF(O210="","",SUMIFS('CPL Mats'!F:F,'CPL Mats'!Q:Q,AR210,'CPL Mats'!S:S,AS210)),"")</f>
        <v>0</v>
      </c>
      <c r="AF210" s="25" t="str">
        <f>IF(SUMIFS('Supp Consol'!S:S,'Supp Consol'!Y:Y,"Releasable",'Supp Consol'!A:A,O210)=0,"",SUMIFS('Supp Consol'!S:S,'Supp Consol'!Y:Y,"Releasable",'Supp Consol'!A:A,O210))</f>
        <v/>
      </c>
      <c r="AG210" s="25" t="str">
        <f>IFERROR(INDEX('Hun Demand'!Q:Q,MATCH(O210,'Hun Demand'!A:A,0)),"")</f>
        <v/>
      </c>
      <c r="AH210" s="25" t="str">
        <f>IFERROR(INDEX('Hun Demand'!H:H,MATCH($O210,'Hun Demand'!$A:$A,0)),"")</f>
        <v/>
      </c>
      <c r="AI210" s="25" t="str">
        <f>IF(SUMIFS('Supp Consol'!AA:AA,'Supp Consol'!Z:Z,"Expires this month",'Supp Consol'!A:A,O210)=0,"",SUMIFS('Supp Consol'!AA:AA,'Supp Consol'!Z:Z,"Expires this month",'Supp Consol'!A:A,O210))</f>
        <v/>
      </c>
      <c r="AJ210" s="25" t="str">
        <f>IF(SUMIFS('Supp Consol'!AA:AA,'Supp Consol'!Z:Z,"Expired Previous Months",'Supp Consol'!A:A,O210)=0,"",SUMIFS('Supp Consol'!AA:AA,'Supp Consol'!Z:Z,"Expired Previous Months",'Supp Consol'!A:A,O210))</f>
        <v/>
      </c>
      <c r="AK210" s="25" t="str">
        <f>IFERROR(INDEX('Hun Release Current'!B:B,MATCH(O210,'Hun Release Current'!A:A,0)),"")</f>
        <v/>
      </c>
      <c r="AL210" s="25" t="str">
        <f>IF(SUMIF('Prev Aub'!A:A,O210,'Prev Aub'!B:B)=0,"",SUMIF('Prev Aub'!A:A,O210,'Prev Aub'!B:B))</f>
        <v/>
      </c>
      <c r="AN210" s="25" t="s">
        <v>3790</v>
      </c>
      <c r="AO210" s="25" t="s">
        <v>3790</v>
      </c>
      <c r="AP210" s="25">
        <f t="shared" si="90"/>
        <v>0</v>
      </c>
      <c r="AQ210" s="151" t="str">
        <f>IF(SUMIFS('Supp Consol'!S:S,'Supp Consol'!A:A,O210,'Supp Consol'!I:I,"PENDING")=0,"",SUMIFS('Supp Consol'!S:S,'Supp Consol'!A:A,O210,'Supp Consol'!I:I,"PENDING"))</f>
        <v/>
      </c>
      <c r="AR210" s="27" t="str">
        <f t="shared" si="91"/>
        <v>AL202</v>
      </c>
      <c r="AS210" s="27" t="str">
        <f t="shared" si="92"/>
        <v>62</v>
      </c>
      <c r="AT210" s="27" t="str">
        <f t="shared" si="93"/>
        <v/>
      </c>
      <c r="AU210" s="27" t="str">
        <f t="shared" si="94"/>
        <v/>
      </c>
      <c r="AV210" s="27" t="str">
        <f t="shared" si="95"/>
        <v/>
      </c>
      <c r="AW210" s="27" t="str">
        <f t="shared" si="96"/>
        <v/>
      </c>
      <c r="AX210" s="27" t="str">
        <f t="shared" si="97"/>
        <v/>
      </c>
      <c r="AY210" s="27" t="str">
        <f t="shared" si="98"/>
        <v/>
      </c>
      <c r="AZ210" s="27" t="str">
        <f t="shared" si="99"/>
        <v/>
      </c>
      <c r="BA210" s="27" t="str">
        <f t="shared" si="100"/>
        <v/>
      </c>
      <c r="BB210" s="27" t="str">
        <f t="shared" si="101"/>
        <v>Gross</v>
      </c>
      <c r="BC210" s="27" t="str">
        <f t="shared" si="102"/>
        <v>Net</v>
      </c>
      <c r="BD210" s="27" t="str">
        <f t="shared" si="103"/>
        <v>Net</v>
      </c>
      <c r="BE210" s="27" t="str">
        <f t="shared" si="104"/>
        <v/>
      </c>
      <c r="BF210" s="27" t="str">
        <f t="shared" si="105"/>
        <v/>
      </c>
      <c r="BG210" s="27" t="str">
        <f t="shared" si="106"/>
        <v/>
      </c>
      <c r="BH210" s="27" t="str">
        <f t="shared" si="107"/>
        <v/>
      </c>
      <c r="BI210" s="27" t="str">
        <f t="shared" si="108"/>
        <v/>
      </c>
      <c r="BJ210" s="27" t="str">
        <f t="shared" si="109"/>
        <v/>
      </c>
      <c r="BK210" s="27" t="str">
        <f t="shared" si="110"/>
        <v/>
      </c>
      <c r="BL210" s="27" t="str">
        <f t="shared" si="111"/>
        <v/>
      </c>
      <c r="BM210" s="21" t="s">
        <v>5581</v>
      </c>
    </row>
    <row r="211" spans="1:65" ht="15">
      <c r="A211" s="25" t="str">
        <f>IFERROR(INDEX('Hun Demand'!W:W,MATCH(O211,'Hun Demand'!A:A,0)),"")</f>
        <v/>
      </c>
      <c r="B211" s="25" t="str">
        <f>IFERROR(INDEX('Hun Demand'!V:V,MATCH(O211,'Hun Demand'!A:A,0)),"")</f>
        <v/>
      </c>
      <c r="C211" s="25" t="str">
        <f>IFERROR(INDEX('Hun Demand'!U:U,MATCH(O211,'Hun Demand'!A:A,0)),"")</f>
        <v/>
      </c>
      <c r="D211" s="25" t="str">
        <f>IFERROR(INDEX('Hun Demand'!T:T,MATCH(O211,'Hun Demand'!A:A,0)),"")</f>
        <v/>
      </c>
      <c r="E211" s="25" t="str">
        <f>IFERROR(INDEX('Hun Demand'!S:S,MATCH(O211,'Hun Demand'!A:A,0)),"")</f>
        <v/>
      </c>
      <c r="F211" s="25" t="str">
        <f>IFERROR(INDEX('Hun Demand'!R:R,MATCH(O211,'Hun Demand'!A:A,0)),"")</f>
        <v/>
      </c>
      <c r="G211" s="25">
        <f>IFERROR(INDEX('Aub Demand'!W:W,MATCH(O211,'Aub Demand'!A:A,0)),"")</f>
        <v>0</v>
      </c>
      <c r="H211" s="25">
        <f>IFERROR(INDEX('Aub Demand'!V:V,MATCH(O211,'Aub Demand'!A:A,0)),"")</f>
        <v>33</v>
      </c>
      <c r="I211" s="25">
        <f>IFERROR(INDEX('Aub Demand'!U:U,MATCH(O211,'Aub Demand'!A:A,0)),"")</f>
        <v>9</v>
      </c>
      <c r="J211" s="25">
        <f>IFERROR(INDEX('Aub Demand'!T:T,MATCH(O211,'Aub Demand'!A:A,0)),"")</f>
        <v>17</v>
      </c>
      <c r="K211" s="25">
        <f>IFERROR(INDEX('Aub Demand'!S:S,MATCH(O211,'Aub Demand'!A:A,0)),"")</f>
        <v>0</v>
      </c>
      <c r="L211" s="25">
        <f>IFERROR(INDEX('Aub Demand'!R:R,MATCH(O211,'Aub Demand'!A:A,0)),"")</f>
        <v>0</v>
      </c>
      <c r="O211" s="27" t="s">
        <v>2059</v>
      </c>
      <c r="P211" s="27" t="str">
        <f>IFERROR(INDEX('Aub Demand'!B:B,MATCH($O211,'Aub Demand'!$A:$A,0)),"")</f>
        <v>CAFE ALLUSION 48"</v>
      </c>
      <c r="Q211" s="27" t="str">
        <f>IFERROR(INDEX('Aub Demand'!C:C,MATCH($O211,'Aub Demand'!$A:$A,0)),"")</f>
        <v>INTER</v>
      </c>
      <c r="R211" s="52">
        <f>IFERROR(IF(AR212=AR211,INDEX('Aub Demand'!K:K,MATCH($O211,'Aub Demand'!$A:$A,0))-IF(AN211="",0,AN211)+AP212,INDEX('Aub Demand'!K:K,MATCH($O211,'Aub Demand'!$A:$A,0))-IF(AN211="",0,AN211)),"")</f>
        <v>614</v>
      </c>
      <c r="S211" s="53">
        <f t="shared" si="84"/>
        <v>292.39999999999998</v>
      </c>
      <c r="T211" s="52" t="str">
        <f t="shared" si="85"/>
        <v/>
      </c>
      <c r="U211" s="52">
        <f>IFERROR(IF(AR212=AR211,INDEX('Aub Demand'!Q:Q,MATCH($O211,'Aub Demand'!$A:$A,0))-IF(AN211="",0,AN211)+AP212,INDEX('Aub Demand'!Q:Q,MATCH($O211,'Aub Demand'!$A:$A,0))-IF(AN211="",0,AN211)),"")</f>
        <v>614</v>
      </c>
      <c r="V211" s="53">
        <f t="shared" si="86"/>
        <v>292.39999999999998</v>
      </c>
      <c r="W211" s="52" t="str">
        <f t="shared" si="87"/>
        <v/>
      </c>
      <c r="X211" s="52">
        <f>IFERROR(IF(AND(AR212=AR211,AM211&lt;&gt;""),INDEX('Aub Demand'!Q:Q,MATCH($O211,'Aub Demand'!$A:$A,0))-IF(AN211="",0,AN211)+AP212+AD211+AL211,IF(AR212=AR211,INDEX('Aub Demand'!Q:Q,MATCH($O211,'Aub Demand'!$A:$A,0))-IF(AN211="",0,AN211)+AP212+AD211,IF(AM211&lt;&gt;"",INDEX('Aub Demand'!Q:Q,MATCH($O211,'Aub Demand'!$A:$A,0))-IF(AN211="",0,AN211)+AD211+AL211,INDEX('Aub Demand'!Q:Q,MATCH($O211,'Aub Demand'!$A:$A,0))-IF(AN211="",0,AN211)+AD211))),"")</f>
        <v>614</v>
      </c>
      <c r="Y211" s="53">
        <f t="shared" si="88"/>
        <v>292.39999999999998</v>
      </c>
      <c r="Z211" s="52">
        <f>IF(L211="","",INDEX('Aub Demand'!H:H,MATCH($O211,'Aub Demand'!$A:$A,0)))</f>
        <v>9</v>
      </c>
      <c r="AA211" s="52">
        <f t="shared" si="89"/>
        <v>13</v>
      </c>
      <c r="AB211" s="52">
        <f>IFERROR(INDEX('Aub Demand'!L:L,MATCH($O211,'Aub Demand'!$A:$A,0)),"")</f>
        <v>9</v>
      </c>
      <c r="AC211" s="52">
        <f>IFERROR(IF(O211="","",SUMIFS('CPL Mats'!F:F,'CPL Mats'!Q:Q,AR211,'CPL Mats'!S:S,AS211)),"")</f>
        <v>0</v>
      </c>
      <c r="AF211" s="25" t="str">
        <f>IF(SUMIFS('Supp Consol'!S:S,'Supp Consol'!Y:Y,"Releasable",'Supp Consol'!A:A,O211)=0,"",SUMIFS('Supp Consol'!S:S,'Supp Consol'!Y:Y,"Releasable",'Supp Consol'!A:A,O211))</f>
        <v/>
      </c>
      <c r="AG211" s="25" t="str">
        <f>IFERROR(INDEX('Hun Demand'!Q:Q,MATCH(O211,'Hun Demand'!A:A,0)),"")</f>
        <v/>
      </c>
      <c r="AH211" s="25" t="str">
        <f>IFERROR(INDEX('Hun Demand'!H:H,MATCH($O211,'Hun Demand'!$A:$A,0)),"")</f>
        <v/>
      </c>
      <c r="AI211" s="25" t="str">
        <f>IF(SUMIFS('Supp Consol'!AA:AA,'Supp Consol'!Z:Z,"Expires this month",'Supp Consol'!A:A,O211)=0,"",SUMIFS('Supp Consol'!AA:AA,'Supp Consol'!Z:Z,"Expires this month",'Supp Consol'!A:A,O211))</f>
        <v/>
      </c>
      <c r="AJ211" s="25" t="str">
        <f>IF(SUMIFS('Supp Consol'!AA:AA,'Supp Consol'!Z:Z,"Expired Previous Months",'Supp Consol'!A:A,O211)=0,"",SUMIFS('Supp Consol'!AA:AA,'Supp Consol'!Z:Z,"Expired Previous Months",'Supp Consol'!A:A,O211))</f>
        <v/>
      </c>
      <c r="AK211" s="25" t="str">
        <f>IFERROR(INDEX('Hun Release Current'!B:B,MATCH(O211,'Hun Release Current'!A:A,0)),"")</f>
        <v/>
      </c>
      <c r="AL211" s="25" t="str">
        <f>IF(SUMIF('Prev Aub'!A:A,O211,'Prev Aub'!B:B)=0,"",SUMIF('Prev Aub'!A:A,O211,'Prev Aub'!B:B))</f>
        <v/>
      </c>
      <c r="AN211" s="25" t="s">
        <v>3790</v>
      </c>
      <c r="AO211" s="25" t="s">
        <v>3790</v>
      </c>
      <c r="AP211" s="25">
        <f t="shared" si="90"/>
        <v>0</v>
      </c>
      <c r="AQ211" s="151" t="str">
        <f>IF(SUMIFS('Supp Consol'!S:S,'Supp Consol'!A:A,O211,'Supp Consol'!I:I,"PENDING")=0,"",SUMIFS('Supp Consol'!S:S,'Supp Consol'!A:A,O211,'Supp Consol'!I:I,"PENDING"))</f>
        <v/>
      </c>
      <c r="AR211" s="27" t="str">
        <f t="shared" si="91"/>
        <v>AL204</v>
      </c>
      <c r="AS211" s="27" t="str">
        <f t="shared" si="92"/>
        <v>50</v>
      </c>
      <c r="AT211" s="27" t="str">
        <f t="shared" si="93"/>
        <v/>
      </c>
      <c r="AU211" s="27" t="str">
        <f t="shared" si="94"/>
        <v/>
      </c>
      <c r="AV211" s="27" t="str">
        <f t="shared" si="95"/>
        <v/>
      </c>
      <c r="AW211" s="27" t="str">
        <f t="shared" si="96"/>
        <v/>
      </c>
      <c r="AX211" s="27" t="str">
        <f t="shared" si="97"/>
        <v/>
      </c>
      <c r="AY211" s="27" t="str">
        <f t="shared" si="98"/>
        <v/>
      </c>
      <c r="AZ211" s="27" t="str">
        <f t="shared" si="99"/>
        <v/>
      </c>
      <c r="BA211" s="27" t="str">
        <f t="shared" si="100"/>
        <v/>
      </c>
      <c r="BB211" s="27" t="str">
        <f t="shared" si="101"/>
        <v/>
      </c>
      <c r="BC211" s="27" t="str">
        <f t="shared" si="102"/>
        <v/>
      </c>
      <c r="BD211" s="27" t="str">
        <f t="shared" si="103"/>
        <v/>
      </c>
      <c r="BE211" s="27" t="str">
        <f t="shared" si="104"/>
        <v/>
      </c>
      <c r="BF211" s="27" t="str">
        <f t="shared" si="105"/>
        <v/>
      </c>
      <c r="BG211" s="27" t="str">
        <f t="shared" si="106"/>
        <v/>
      </c>
      <c r="BH211" s="27" t="str">
        <f t="shared" si="107"/>
        <v/>
      </c>
      <c r="BI211" s="27" t="str">
        <f t="shared" si="108"/>
        <v/>
      </c>
      <c r="BJ211" s="27" t="str">
        <f t="shared" si="109"/>
        <v/>
      </c>
      <c r="BK211" s="27" t="str">
        <f t="shared" si="110"/>
        <v/>
      </c>
      <c r="BL211" s="27" t="str">
        <f t="shared" si="111"/>
        <v/>
      </c>
      <c r="BM211" s="21" t="s">
        <v>5581</v>
      </c>
    </row>
    <row r="212" spans="1:65" ht="15">
      <c r="A212" s="25" t="str">
        <f>IFERROR(INDEX('Hun Demand'!W:W,MATCH(O212,'Hun Demand'!A:A,0)),"")</f>
        <v/>
      </c>
      <c r="B212" s="25" t="str">
        <f>IFERROR(INDEX('Hun Demand'!V:V,MATCH(O212,'Hun Demand'!A:A,0)),"")</f>
        <v/>
      </c>
      <c r="C212" s="25" t="str">
        <f>IFERROR(INDEX('Hun Demand'!U:U,MATCH(O212,'Hun Demand'!A:A,0)),"")</f>
        <v/>
      </c>
      <c r="D212" s="25" t="str">
        <f>IFERROR(INDEX('Hun Demand'!T:T,MATCH(O212,'Hun Demand'!A:A,0)),"")</f>
        <v/>
      </c>
      <c r="E212" s="25" t="str">
        <f>IFERROR(INDEX('Hun Demand'!S:S,MATCH(O212,'Hun Demand'!A:A,0)),"")</f>
        <v/>
      </c>
      <c r="F212" s="25" t="str">
        <f>IFERROR(INDEX('Hun Demand'!R:R,MATCH(O212,'Hun Demand'!A:A,0)),"")</f>
        <v/>
      </c>
      <c r="G212" s="25">
        <f>IFERROR(INDEX('Aub Demand'!W:W,MATCH(O212,'Aub Demand'!A:A,0)),"")</f>
        <v>47</v>
      </c>
      <c r="H212" s="25">
        <f>IFERROR(INDEX('Aub Demand'!V:V,MATCH(O212,'Aub Demand'!A:A,0)),"")</f>
        <v>0</v>
      </c>
      <c r="I212" s="25">
        <f>IFERROR(INDEX('Aub Demand'!U:U,MATCH(O212,'Aub Demand'!A:A,0)),"")</f>
        <v>0</v>
      </c>
      <c r="J212" s="25">
        <f>IFERROR(INDEX('Aub Demand'!T:T,MATCH(O212,'Aub Demand'!A:A,0)),"")</f>
        <v>0</v>
      </c>
      <c r="K212" s="25">
        <f>IFERROR(INDEX('Aub Demand'!S:S,MATCH(O212,'Aub Demand'!A:A,0)),"")</f>
        <v>0</v>
      </c>
      <c r="L212" s="25">
        <f>IFERROR(INDEX('Aub Demand'!R:R,MATCH(O212,'Aub Demand'!A:A,0)),"")</f>
        <v>0</v>
      </c>
      <c r="O212" s="27" t="s">
        <v>2061</v>
      </c>
      <c r="P212" s="27" t="str">
        <f>IFERROR(INDEX('Aub Demand'!B:B,MATCH($O212,'Aub Demand'!$A:$A,0)),"")</f>
        <v>CAFE ALLUSION 60"</v>
      </c>
      <c r="Q212" s="27" t="str">
        <f>IFERROR(INDEX('Aub Demand'!C:C,MATCH($O212,'Aub Demand'!$A:$A,0)),"")</f>
        <v>INTER</v>
      </c>
      <c r="R212" s="52">
        <f>IFERROR(IF(AR213=AR212,INDEX('Aub Demand'!K:K,MATCH($O212,'Aub Demand'!$A:$A,0))-IF(AN212="",0,AN212)+AP213,INDEX('Aub Demand'!K:K,MATCH($O212,'Aub Demand'!$A:$A,0))-IF(AN212="",0,AN212)),"")</f>
        <v>3177</v>
      </c>
      <c r="S212" s="53" t="str">
        <f t="shared" si="84"/>
        <v>n/a</v>
      </c>
      <c r="T212" s="52" t="str">
        <f t="shared" si="85"/>
        <v/>
      </c>
      <c r="U212" s="52">
        <f>IFERROR(IF(AR213=AR212,INDEX('Aub Demand'!Q:Q,MATCH($O212,'Aub Demand'!$A:$A,0))-IF(AN212="",0,AN212)+AP213,INDEX('Aub Demand'!Q:Q,MATCH($O212,'Aub Demand'!$A:$A,0))-IF(AN212="",0,AN212)),"")</f>
        <v>3177</v>
      </c>
      <c r="V212" s="53" t="str">
        <f t="shared" si="86"/>
        <v>n/a</v>
      </c>
      <c r="W212" s="52" t="str">
        <f t="shared" si="87"/>
        <v/>
      </c>
      <c r="X212" s="52">
        <f>IFERROR(IF(AND(AR213=AR212,AM212&lt;&gt;""),INDEX('Aub Demand'!Q:Q,MATCH($O212,'Aub Demand'!$A:$A,0))-IF(AN212="",0,AN212)+AP213+AD212+AL212,IF(AR213=AR212,INDEX('Aub Demand'!Q:Q,MATCH($O212,'Aub Demand'!$A:$A,0))-IF(AN212="",0,AN212)+AP213+AD212,IF(AM212&lt;&gt;"",INDEX('Aub Demand'!Q:Q,MATCH($O212,'Aub Demand'!$A:$A,0))-IF(AN212="",0,AN212)+AD212+AL212,INDEX('Aub Demand'!Q:Q,MATCH($O212,'Aub Demand'!$A:$A,0))-IF(AN212="",0,AN212)+AD212))),"")</f>
        <v>3177</v>
      </c>
      <c r="Y212" s="53" t="str">
        <f t="shared" si="88"/>
        <v>n/a</v>
      </c>
      <c r="Z212" s="52">
        <f>IF(L212="","",INDEX('Aub Demand'!H:H,MATCH($O212,'Aub Demand'!$A:$A,0)))</f>
        <v>0</v>
      </c>
      <c r="AA212" s="52" t="str">
        <f t="shared" si="89"/>
        <v>-spike-</v>
      </c>
      <c r="AB212" s="52">
        <f>IFERROR(INDEX('Aub Demand'!L:L,MATCH($O212,'Aub Demand'!$A:$A,0)),"")</f>
        <v>10</v>
      </c>
      <c r="AC212" s="52">
        <f>IFERROR(IF(O212="","",SUMIFS('CPL Mats'!F:F,'CPL Mats'!Q:Q,AR212,'CPL Mats'!S:S,AS212)),"")</f>
        <v>0</v>
      </c>
      <c r="AF212" s="25" t="str">
        <f>IF(SUMIFS('Supp Consol'!S:S,'Supp Consol'!Y:Y,"Releasable",'Supp Consol'!A:A,O212)=0,"",SUMIFS('Supp Consol'!S:S,'Supp Consol'!Y:Y,"Releasable",'Supp Consol'!A:A,O212))</f>
        <v/>
      </c>
      <c r="AG212" s="25" t="str">
        <f>IFERROR(INDEX('Hun Demand'!Q:Q,MATCH(O212,'Hun Demand'!A:A,0)),"")</f>
        <v/>
      </c>
      <c r="AH212" s="25" t="str">
        <f>IFERROR(INDEX('Hun Demand'!H:H,MATCH($O212,'Hun Demand'!$A:$A,0)),"")</f>
        <v/>
      </c>
      <c r="AI212" s="25" t="str">
        <f>IF(SUMIFS('Supp Consol'!AA:AA,'Supp Consol'!Z:Z,"Expires this month",'Supp Consol'!A:A,O212)=0,"",SUMIFS('Supp Consol'!AA:AA,'Supp Consol'!Z:Z,"Expires this month",'Supp Consol'!A:A,O212))</f>
        <v/>
      </c>
      <c r="AJ212" s="25" t="str">
        <f>IF(SUMIFS('Supp Consol'!AA:AA,'Supp Consol'!Z:Z,"Expired Previous Months",'Supp Consol'!A:A,O212)=0,"",SUMIFS('Supp Consol'!AA:AA,'Supp Consol'!Z:Z,"Expired Previous Months",'Supp Consol'!A:A,O212))</f>
        <v/>
      </c>
      <c r="AK212" s="25" t="str">
        <f>IFERROR(INDEX('Hun Release Current'!B:B,MATCH(O212,'Hun Release Current'!A:A,0)),"")</f>
        <v/>
      </c>
      <c r="AL212" s="25" t="str">
        <f>IF(SUMIF('Prev Aub'!A:A,O212,'Prev Aub'!B:B)=0,"",SUMIF('Prev Aub'!A:A,O212,'Prev Aub'!B:B))</f>
        <v/>
      </c>
      <c r="AN212" s="25" t="s">
        <v>3790</v>
      </c>
      <c r="AO212" s="25" t="s">
        <v>3790</v>
      </c>
      <c r="AP212" s="25">
        <f t="shared" si="90"/>
        <v>0</v>
      </c>
      <c r="AQ212" s="151" t="str">
        <f>IF(SUMIFS('Supp Consol'!S:S,'Supp Consol'!A:A,O212,'Supp Consol'!I:I,"PENDING")=0,"",SUMIFS('Supp Consol'!S:S,'Supp Consol'!A:A,O212,'Supp Consol'!I:I,"PENDING"))</f>
        <v/>
      </c>
      <c r="AR212" s="27" t="str">
        <f t="shared" si="91"/>
        <v>AL204</v>
      </c>
      <c r="AS212" s="27" t="str">
        <f t="shared" si="92"/>
        <v>62</v>
      </c>
      <c r="AT212" s="27" t="str">
        <f t="shared" si="93"/>
        <v/>
      </c>
      <c r="AU212" s="27" t="str">
        <f t="shared" si="94"/>
        <v/>
      </c>
      <c r="AV212" s="27" t="str">
        <f t="shared" si="95"/>
        <v/>
      </c>
      <c r="AW212" s="27" t="str">
        <f t="shared" si="96"/>
        <v/>
      </c>
      <c r="AX212" s="27" t="str">
        <f t="shared" si="97"/>
        <v/>
      </c>
      <c r="AY212" s="27" t="str">
        <f t="shared" si="98"/>
        <v/>
      </c>
      <c r="AZ212" s="27" t="str">
        <f t="shared" si="99"/>
        <v/>
      </c>
      <c r="BA212" s="27" t="str">
        <f t="shared" si="100"/>
        <v/>
      </c>
      <c r="BB212" s="27" t="str">
        <f t="shared" si="101"/>
        <v/>
      </c>
      <c r="BC212" s="27" t="str">
        <f t="shared" si="102"/>
        <v/>
      </c>
      <c r="BD212" s="27" t="str">
        <f t="shared" si="103"/>
        <v/>
      </c>
      <c r="BE212" s="27" t="str">
        <f t="shared" si="104"/>
        <v/>
      </c>
      <c r="BF212" s="27" t="str">
        <f t="shared" si="105"/>
        <v/>
      </c>
      <c r="BG212" s="27" t="str">
        <f t="shared" si="106"/>
        <v/>
      </c>
      <c r="BH212" s="27" t="str">
        <f t="shared" si="107"/>
        <v/>
      </c>
      <c r="BI212" s="27" t="str">
        <f t="shared" si="108"/>
        <v/>
      </c>
      <c r="BJ212" s="27" t="str">
        <f t="shared" si="109"/>
        <v/>
      </c>
      <c r="BK212" s="27" t="str">
        <f t="shared" si="110"/>
        <v/>
      </c>
      <c r="BL212" s="27" t="str">
        <f t="shared" si="111"/>
        <v/>
      </c>
      <c r="BM212" s="21" t="s">
        <v>5581</v>
      </c>
    </row>
    <row r="213" spans="1:65" ht="15">
      <c r="A213" s="25" t="str">
        <f>IFERROR(INDEX('Hun Demand'!W:W,MATCH(O213,'Hun Demand'!A:A,0)),"")</f>
        <v/>
      </c>
      <c r="B213" s="25" t="str">
        <f>IFERROR(INDEX('Hun Demand'!V:V,MATCH(O213,'Hun Demand'!A:A,0)),"")</f>
        <v/>
      </c>
      <c r="C213" s="25" t="str">
        <f>IFERROR(INDEX('Hun Demand'!U:U,MATCH(O213,'Hun Demand'!A:A,0)),"")</f>
        <v/>
      </c>
      <c r="D213" s="25" t="str">
        <f>IFERROR(INDEX('Hun Demand'!T:T,MATCH(O213,'Hun Demand'!A:A,0)),"")</f>
        <v/>
      </c>
      <c r="E213" s="25" t="str">
        <f>IFERROR(INDEX('Hun Demand'!S:S,MATCH(O213,'Hun Demand'!A:A,0)),"")</f>
        <v/>
      </c>
      <c r="F213" s="25" t="str">
        <f>IFERROR(INDEX('Hun Demand'!R:R,MATCH(O213,'Hun Demand'!A:A,0)),"")</f>
        <v/>
      </c>
      <c r="G213" s="25">
        <f>IFERROR(INDEX('Aub Demand'!W:W,MATCH(O213,'Aub Demand'!A:A,0)),"")</f>
        <v>0</v>
      </c>
      <c r="H213" s="25">
        <f>IFERROR(INDEX('Aub Demand'!V:V,MATCH(O213,'Aub Demand'!A:A,0)),"")</f>
        <v>0</v>
      </c>
      <c r="I213" s="25">
        <f>IFERROR(INDEX('Aub Demand'!U:U,MATCH(O213,'Aub Demand'!A:A,0)),"")</f>
        <v>0</v>
      </c>
      <c r="J213" s="25">
        <f>IFERROR(INDEX('Aub Demand'!T:T,MATCH(O213,'Aub Demand'!A:A,0)),"")</f>
        <v>0</v>
      </c>
      <c r="K213" s="25">
        <f>IFERROR(INDEX('Aub Demand'!S:S,MATCH(O213,'Aub Demand'!A:A,0)),"")</f>
        <v>0</v>
      </c>
      <c r="L213" s="25">
        <f>IFERROR(INDEX('Aub Demand'!R:R,MATCH(O213,'Aub Demand'!A:A,0)),"")</f>
        <v>0</v>
      </c>
      <c r="O213" s="27" t="s">
        <v>2065</v>
      </c>
      <c r="P213" s="27" t="str">
        <f>IFERROR(INDEX('Aub Demand'!B:B,MATCH($O213,'Aub Demand'!$A:$A,0)),"")</f>
        <v>DREAMY ALLUSION 60"</v>
      </c>
      <c r="Q213" s="27" t="str">
        <f>IFERROR(INDEX('Aub Demand'!C:C,MATCH($O213,'Aub Demand'!$A:$A,0)),"")</f>
        <v>INTER</v>
      </c>
      <c r="R213" s="52">
        <f>IFERROR(IF(AR214=AR213,INDEX('Aub Demand'!K:K,MATCH($O213,'Aub Demand'!$A:$A,0))-IF(AN213="",0,AN213)+AP214,INDEX('Aub Demand'!K:K,MATCH($O213,'Aub Demand'!$A:$A,0))-IF(AN213="",0,AN213)),"")</f>
        <v>1265</v>
      </c>
      <c r="S213" s="53" t="str">
        <f t="shared" si="84"/>
        <v>n/a</v>
      </c>
      <c r="T213" s="52" t="str">
        <f t="shared" si="85"/>
        <v/>
      </c>
      <c r="U213" s="52">
        <f>IFERROR(IF(AR214=AR213,INDEX('Aub Demand'!Q:Q,MATCH($O213,'Aub Demand'!$A:$A,0))-IF(AN213="",0,AN213)+AP214,INDEX('Aub Demand'!Q:Q,MATCH($O213,'Aub Demand'!$A:$A,0))-IF(AN213="",0,AN213)),"")</f>
        <v>1265</v>
      </c>
      <c r="V213" s="53" t="str">
        <f t="shared" si="86"/>
        <v>n/a</v>
      </c>
      <c r="W213" s="52" t="str">
        <f t="shared" si="87"/>
        <v/>
      </c>
      <c r="X213" s="52">
        <f>IFERROR(IF(AND(AR214=AR213,AM213&lt;&gt;""),INDEX('Aub Demand'!Q:Q,MATCH($O213,'Aub Demand'!$A:$A,0))-IF(AN213="",0,AN213)+AP214+AD213+AL213,IF(AR214=AR213,INDEX('Aub Demand'!Q:Q,MATCH($O213,'Aub Demand'!$A:$A,0))-IF(AN213="",0,AN213)+AP214+AD213,IF(AM213&lt;&gt;"",INDEX('Aub Demand'!Q:Q,MATCH($O213,'Aub Demand'!$A:$A,0))-IF(AN213="",0,AN213)+AD213+AL213,INDEX('Aub Demand'!Q:Q,MATCH($O213,'Aub Demand'!$A:$A,0))-IF(AN213="",0,AN213)+AD213))),"")</f>
        <v>1265</v>
      </c>
      <c r="Y213" s="53" t="str">
        <f t="shared" si="88"/>
        <v>n/a</v>
      </c>
      <c r="Z213" s="52">
        <f>IF(L213="","",INDEX('Aub Demand'!H:H,MATCH($O213,'Aub Demand'!$A:$A,0)))</f>
        <v>0</v>
      </c>
      <c r="AA213" s="52" t="str">
        <f t="shared" si="89"/>
        <v>-spike-</v>
      </c>
      <c r="AB213" s="52">
        <f>IFERROR(INDEX('Aub Demand'!L:L,MATCH($O213,'Aub Demand'!$A:$A,0)),"")</f>
        <v>0</v>
      </c>
      <c r="AC213" s="52">
        <f>IFERROR(IF(O213="","",SUMIFS('CPL Mats'!F:F,'CPL Mats'!Q:Q,AR213,'CPL Mats'!S:S,AS213)),"")</f>
        <v>0</v>
      </c>
      <c r="AF213" s="25" t="str">
        <f>IF(SUMIFS('Supp Consol'!S:S,'Supp Consol'!Y:Y,"Releasable",'Supp Consol'!A:A,O213)=0,"",SUMIFS('Supp Consol'!S:S,'Supp Consol'!Y:Y,"Releasable",'Supp Consol'!A:A,O213))</f>
        <v/>
      </c>
      <c r="AG213" s="25" t="str">
        <f>IFERROR(INDEX('Hun Demand'!Q:Q,MATCH(O213,'Hun Demand'!A:A,0)),"")</f>
        <v/>
      </c>
      <c r="AH213" s="25" t="str">
        <f>IFERROR(INDEX('Hun Demand'!H:H,MATCH($O213,'Hun Demand'!$A:$A,0)),"")</f>
        <v/>
      </c>
      <c r="AI213" s="25" t="str">
        <f>IF(SUMIFS('Supp Consol'!AA:AA,'Supp Consol'!Z:Z,"Expires this month",'Supp Consol'!A:A,O213)=0,"",SUMIFS('Supp Consol'!AA:AA,'Supp Consol'!Z:Z,"Expires this month",'Supp Consol'!A:A,O213))</f>
        <v/>
      </c>
      <c r="AJ213" s="25" t="str">
        <f>IF(SUMIFS('Supp Consol'!AA:AA,'Supp Consol'!Z:Z,"Expired Previous Months",'Supp Consol'!A:A,O213)=0,"",SUMIFS('Supp Consol'!AA:AA,'Supp Consol'!Z:Z,"Expired Previous Months",'Supp Consol'!A:A,O213))</f>
        <v/>
      </c>
      <c r="AK213" s="25" t="str">
        <f>IFERROR(INDEX('Hun Release Current'!B:B,MATCH(O213,'Hun Release Current'!A:A,0)),"")</f>
        <v/>
      </c>
      <c r="AL213" s="25" t="str">
        <f>IF(SUMIF('Prev Aub'!A:A,O213,'Prev Aub'!B:B)=0,"",SUMIF('Prev Aub'!A:A,O213,'Prev Aub'!B:B))</f>
        <v/>
      </c>
      <c r="AN213" s="25" t="s">
        <v>3790</v>
      </c>
      <c r="AO213" s="25" t="s">
        <v>3790</v>
      </c>
      <c r="AP213" s="25">
        <f t="shared" si="90"/>
        <v>0</v>
      </c>
      <c r="AQ213" s="151" t="str">
        <f>IF(SUMIFS('Supp Consol'!S:S,'Supp Consol'!A:A,O213,'Supp Consol'!I:I,"PENDING")=0,"",SUMIFS('Supp Consol'!S:S,'Supp Consol'!A:A,O213,'Supp Consol'!I:I,"PENDING"))</f>
        <v/>
      </c>
      <c r="AR213" s="27" t="str">
        <f t="shared" si="91"/>
        <v>AL302</v>
      </c>
      <c r="AS213" s="27" t="str">
        <f t="shared" si="92"/>
        <v>62</v>
      </c>
      <c r="AT213" s="27" t="str">
        <f t="shared" si="93"/>
        <v/>
      </c>
      <c r="AU213" s="27" t="str">
        <f t="shared" si="94"/>
        <v/>
      </c>
      <c r="AV213" s="27" t="str">
        <f t="shared" si="95"/>
        <v/>
      </c>
      <c r="AW213" s="27" t="str">
        <f t="shared" si="96"/>
        <v/>
      </c>
      <c r="AX213" s="27" t="str">
        <f t="shared" si="97"/>
        <v/>
      </c>
      <c r="AY213" s="27" t="str">
        <f t="shared" si="98"/>
        <v/>
      </c>
      <c r="AZ213" s="27" t="str">
        <f t="shared" si="99"/>
        <v/>
      </c>
      <c r="BA213" s="27" t="str">
        <f t="shared" si="100"/>
        <v/>
      </c>
      <c r="BB213" s="27" t="str">
        <f t="shared" si="101"/>
        <v/>
      </c>
      <c r="BC213" s="27" t="str">
        <f t="shared" si="102"/>
        <v/>
      </c>
      <c r="BD213" s="27" t="str">
        <f t="shared" si="103"/>
        <v/>
      </c>
      <c r="BE213" s="27" t="str">
        <f t="shared" si="104"/>
        <v/>
      </c>
      <c r="BF213" s="27" t="str">
        <f t="shared" si="105"/>
        <v/>
      </c>
      <c r="BG213" s="27" t="str">
        <f t="shared" si="106"/>
        <v/>
      </c>
      <c r="BH213" s="27" t="str">
        <f t="shared" si="107"/>
        <v/>
      </c>
      <c r="BI213" s="27" t="str">
        <f t="shared" si="108"/>
        <v/>
      </c>
      <c r="BJ213" s="27" t="str">
        <f t="shared" si="109"/>
        <v/>
      </c>
      <c r="BK213" s="27" t="str">
        <f t="shared" si="110"/>
        <v/>
      </c>
      <c r="BL213" s="27" t="str">
        <f t="shared" si="111"/>
        <v/>
      </c>
      <c r="BM213" s="21" t="s">
        <v>3790</v>
      </c>
    </row>
    <row r="214" spans="1:65" ht="15">
      <c r="A214" s="25" t="str">
        <f>IFERROR(INDEX('Hun Demand'!W:W,MATCH(O214,'Hun Demand'!A:A,0)),"")</f>
        <v/>
      </c>
      <c r="B214" s="25" t="str">
        <f>IFERROR(INDEX('Hun Demand'!V:V,MATCH(O214,'Hun Demand'!A:A,0)),"")</f>
        <v/>
      </c>
      <c r="C214" s="25" t="str">
        <f>IFERROR(INDEX('Hun Demand'!U:U,MATCH(O214,'Hun Demand'!A:A,0)),"")</f>
        <v/>
      </c>
      <c r="D214" s="25" t="str">
        <f>IFERROR(INDEX('Hun Demand'!T:T,MATCH(O214,'Hun Demand'!A:A,0)),"")</f>
        <v/>
      </c>
      <c r="E214" s="25" t="str">
        <f>IFERROR(INDEX('Hun Demand'!S:S,MATCH(O214,'Hun Demand'!A:A,0)),"")</f>
        <v/>
      </c>
      <c r="F214" s="25" t="str">
        <f>IFERROR(INDEX('Hun Demand'!R:R,MATCH(O214,'Hun Demand'!A:A,0)),"")</f>
        <v/>
      </c>
      <c r="G214" s="25">
        <f>IFERROR(INDEX('Aub Demand'!W:W,MATCH(O214,'Aub Demand'!A:A,0)),"")</f>
        <v>0</v>
      </c>
      <c r="H214" s="25">
        <f>IFERROR(INDEX('Aub Demand'!V:V,MATCH(O214,'Aub Demand'!A:A,0)),"")</f>
        <v>0</v>
      </c>
      <c r="I214" s="25">
        <f>IFERROR(INDEX('Aub Demand'!U:U,MATCH(O214,'Aub Demand'!A:A,0)),"")</f>
        <v>0</v>
      </c>
      <c r="J214" s="25">
        <f>IFERROR(INDEX('Aub Demand'!T:T,MATCH(O214,'Aub Demand'!A:A,0)),"")</f>
        <v>0</v>
      </c>
      <c r="K214" s="25">
        <f>IFERROR(INDEX('Aub Demand'!S:S,MATCH(O214,'Aub Demand'!A:A,0)),"")</f>
        <v>0</v>
      </c>
      <c r="L214" s="25">
        <f>IFERROR(INDEX('Aub Demand'!R:R,MATCH(O214,'Aub Demand'!A:A,0)),"")</f>
        <v>0</v>
      </c>
      <c r="O214" s="27" t="s">
        <v>2068</v>
      </c>
      <c r="P214" s="27" t="str">
        <f>IFERROR(INDEX('Aub Demand'!B:B,MATCH($O214,'Aub Demand'!$A:$A,0)),"")</f>
        <v>BOTANICAL ALLUSION 5</v>
      </c>
      <c r="Q214" s="27" t="str">
        <f>IFERROR(INDEX('Aub Demand'!C:C,MATCH($O214,'Aub Demand'!$A:$A,0)),"")</f>
        <v>INTER</v>
      </c>
      <c r="R214" s="52">
        <f>IFERROR(IF(AR215=AR214,INDEX('Aub Demand'!K:K,MATCH($O214,'Aub Demand'!$A:$A,0))-IF(AN214="",0,AN214)+AP215,INDEX('Aub Demand'!K:K,MATCH($O214,'Aub Demand'!$A:$A,0))-IF(AN214="",0,AN214)),"")</f>
        <v>226</v>
      </c>
      <c r="S214" s="53" t="str">
        <f t="shared" si="84"/>
        <v>n/a</v>
      </c>
      <c r="T214" s="52" t="str">
        <f t="shared" si="85"/>
        <v/>
      </c>
      <c r="U214" s="52">
        <f>IFERROR(IF(AR215=AR214,INDEX('Aub Demand'!Q:Q,MATCH($O214,'Aub Demand'!$A:$A,0))-IF(AN214="",0,AN214)+AP215,INDEX('Aub Demand'!Q:Q,MATCH($O214,'Aub Demand'!$A:$A,0))-IF(AN214="",0,AN214)),"")</f>
        <v>226</v>
      </c>
      <c r="V214" s="53" t="str">
        <f t="shared" si="86"/>
        <v>n/a</v>
      </c>
      <c r="W214" s="52" t="str">
        <f t="shared" si="87"/>
        <v/>
      </c>
      <c r="X214" s="52">
        <f>IFERROR(IF(AND(AR215=AR214,AM214&lt;&gt;""),INDEX('Aub Demand'!Q:Q,MATCH($O214,'Aub Demand'!$A:$A,0))-IF(AN214="",0,AN214)+AP215+AD214+AL214,IF(AR215=AR214,INDEX('Aub Demand'!Q:Q,MATCH($O214,'Aub Demand'!$A:$A,0))-IF(AN214="",0,AN214)+AP215+AD214,IF(AM214&lt;&gt;"",INDEX('Aub Demand'!Q:Q,MATCH($O214,'Aub Demand'!$A:$A,0))-IF(AN214="",0,AN214)+AD214+AL214,INDEX('Aub Demand'!Q:Q,MATCH($O214,'Aub Demand'!$A:$A,0))-IF(AN214="",0,AN214)+AD214))),"")</f>
        <v>226</v>
      </c>
      <c r="Y214" s="53" t="str">
        <f t="shared" si="88"/>
        <v>n/a</v>
      </c>
      <c r="Z214" s="52">
        <f>IF(L214="","",INDEX('Aub Demand'!H:H,MATCH($O214,'Aub Demand'!$A:$A,0)))</f>
        <v>0</v>
      </c>
      <c r="AA214" s="52" t="str">
        <f t="shared" si="89"/>
        <v>-spike-</v>
      </c>
      <c r="AB214" s="52">
        <f>IFERROR(INDEX('Aub Demand'!L:L,MATCH($O214,'Aub Demand'!$A:$A,0)),"")</f>
        <v>24</v>
      </c>
      <c r="AC214" s="52">
        <f>IFERROR(IF(O214="","",SUMIFS('CPL Mats'!F:F,'CPL Mats'!Q:Q,AR214,'CPL Mats'!S:S,AS214)),"")</f>
        <v>0</v>
      </c>
      <c r="AF214" s="25" t="str">
        <f>IF(SUMIFS('Supp Consol'!S:S,'Supp Consol'!Y:Y,"Releasable",'Supp Consol'!A:A,O214)=0,"",SUMIFS('Supp Consol'!S:S,'Supp Consol'!Y:Y,"Releasable",'Supp Consol'!A:A,O214))</f>
        <v/>
      </c>
      <c r="AG214" s="25" t="str">
        <f>IFERROR(INDEX('Hun Demand'!Q:Q,MATCH(O214,'Hun Demand'!A:A,0)),"")</f>
        <v/>
      </c>
      <c r="AH214" s="25" t="str">
        <f>IFERROR(INDEX('Hun Demand'!H:H,MATCH($O214,'Hun Demand'!$A:$A,0)),"")</f>
        <v/>
      </c>
      <c r="AI214" s="25" t="str">
        <f>IF(SUMIFS('Supp Consol'!AA:AA,'Supp Consol'!Z:Z,"Expires this month",'Supp Consol'!A:A,O214)=0,"",SUMIFS('Supp Consol'!AA:AA,'Supp Consol'!Z:Z,"Expires this month",'Supp Consol'!A:A,O214))</f>
        <v/>
      </c>
      <c r="AJ214" s="25" t="str">
        <f>IF(SUMIFS('Supp Consol'!AA:AA,'Supp Consol'!Z:Z,"Expired Previous Months",'Supp Consol'!A:A,O214)=0,"",SUMIFS('Supp Consol'!AA:AA,'Supp Consol'!Z:Z,"Expired Previous Months",'Supp Consol'!A:A,O214))</f>
        <v/>
      </c>
      <c r="AK214" s="25" t="str">
        <f>IFERROR(INDEX('Hun Release Current'!B:B,MATCH(O214,'Hun Release Current'!A:A,0)),"")</f>
        <v/>
      </c>
      <c r="AL214" s="25" t="str">
        <f>IF(SUMIF('Prev Aub'!A:A,O214,'Prev Aub'!B:B)=0,"",SUMIF('Prev Aub'!A:A,O214,'Prev Aub'!B:B))</f>
        <v/>
      </c>
      <c r="AN214" s="25" t="s">
        <v>3790</v>
      </c>
      <c r="AO214" s="25" t="s">
        <v>3790</v>
      </c>
      <c r="AP214" s="25">
        <f t="shared" si="90"/>
        <v>0</v>
      </c>
      <c r="AQ214" s="151" t="str">
        <f>IF(SUMIFS('Supp Consol'!S:S,'Supp Consol'!A:A,O214,'Supp Consol'!I:I,"PENDING")=0,"",SUMIFS('Supp Consol'!S:S,'Supp Consol'!A:A,O214,'Supp Consol'!I:I,"PENDING"))</f>
        <v/>
      </c>
      <c r="AR214" s="27" t="str">
        <f t="shared" si="91"/>
        <v>AL502</v>
      </c>
      <c r="AS214" s="27" t="str">
        <f t="shared" si="92"/>
        <v>50</v>
      </c>
      <c r="AT214" s="27" t="str">
        <f t="shared" si="93"/>
        <v/>
      </c>
      <c r="AU214" s="27" t="str">
        <f t="shared" si="94"/>
        <v/>
      </c>
      <c r="AV214" s="27" t="str">
        <f t="shared" si="95"/>
        <v/>
      </c>
      <c r="AW214" s="27" t="str">
        <f t="shared" si="96"/>
        <v/>
      </c>
      <c r="AX214" s="27" t="str">
        <f t="shared" si="97"/>
        <v/>
      </c>
      <c r="AY214" s="27" t="str">
        <f t="shared" si="98"/>
        <v/>
      </c>
      <c r="AZ214" s="27" t="str">
        <f t="shared" si="99"/>
        <v/>
      </c>
      <c r="BA214" s="27" t="str">
        <f t="shared" si="100"/>
        <v/>
      </c>
      <c r="BB214" s="27" t="str">
        <f t="shared" si="101"/>
        <v/>
      </c>
      <c r="BC214" s="27" t="str">
        <f t="shared" si="102"/>
        <v/>
      </c>
      <c r="BD214" s="27" t="str">
        <f t="shared" si="103"/>
        <v/>
      </c>
      <c r="BE214" s="27" t="str">
        <f t="shared" si="104"/>
        <v/>
      </c>
      <c r="BF214" s="27" t="str">
        <f t="shared" si="105"/>
        <v/>
      </c>
      <c r="BG214" s="27" t="str">
        <f t="shared" si="106"/>
        <v/>
      </c>
      <c r="BH214" s="27" t="str">
        <f t="shared" si="107"/>
        <v/>
      </c>
      <c r="BI214" s="27" t="str">
        <f t="shared" si="108"/>
        <v/>
      </c>
      <c r="BJ214" s="27" t="str">
        <f t="shared" si="109"/>
        <v/>
      </c>
      <c r="BK214" s="27" t="str">
        <f t="shared" si="110"/>
        <v/>
      </c>
      <c r="BL214" s="27" t="str">
        <f t="shared" si="111"/>
        <v/>
      </c>
      <c r="BM214" s="21" t="s">
        <v>5581</v>
      </c>
    </row>
    <row r="215" spans="1:65" ht="15">
      <c r="A215" s="25" t="str">
        <f>IFERROR(INDEX('Hun Demand'!W:W,MATCH(O215,'Hun Demand'!A:A,0)),"")</f>
        <v/>
      </c>
      <c r="B215" s="25" t="str">
        <f>IFERROR(INDEX('Hun Demand'!V:V,MATCH(O215,'Hun Demand'!A:A,0)),"")</f>
        <v/>
      </c>
      <c r="C215" s="25" t="str">
        <f>IFERROR(INDEX('Hun Demand'!U:U,MATCH(O215,'Hun Demand'!A:A,0)),"")</f>
        <v/>
      </c>
      <c r="D215" s="25" t="str">
        <f>IFERROR(INDEX('Hun Demand'!T:T,MATCH(O215,'Hun Demand'!A:A,0)),"")</f>
        <v/>
      </c>
      <c r="E215" s="25" t="str">
        <f>IFERROR(INDEX('Hun Demand'!S:S,MATCH(O215,'Hun Demand'!A:A,0)),"")</f>
        <v/>
      </c>
      <c r="F215" s="25" t="str">
        <f>IFERROR(INDEX('Hun Demand'!R:R,MATCH(O215,'Hun Demand'!A:A,0)),"")</f>
        <v/>
      </c>
      <c r="G215" s="25">
        <f>IFERROR(INDEX('Aub Demand'!W:W,MATCH(O215,'Aub Demand'!A:A,0)),"")</f>
        <v>0</v>
      </c>
      <c r="H215" s="25">
        <f>IFERROR(INDEX('Aub Demand'!V:V,MATCH(O215,'Aub Demand'!A:A,0)),"")</f>
        <v>25</v>
      </c>
      <c r="I215" s="25">
        <f>IFERROR(INDEX('Aub Demand'!U:U,MATCH(O215,'Aub Demand'!A:A,0)),"")</f>
        <v>0</v>
      </c>
      <c r="J215" s="25">
        <f>IFERROR(INDEX('Aub Demand'!T:T,MATCH(O215,'Aub Demand'!A:A,0)),"")</f>
        <v>0</v>
      </c>
      <c r="K215" s="25">
        <f>IFERROR(INDEX('Aub Demand'!S:S,MATCH(O215,'Aub Demand'!A:A,0)),"")</f>
        <v>0</v>
      </c>
      <c r="L215" s="25">
        <f>IFERROR(INDEX('Aub Demand'!R:R,MATCH(O215,'Aub Demand'!A:A,0)),"")</f>
        <v>0</v>
      </c>
      <c r="O215" s="27" t="s">
        <v>2070</v>
      </c>
      <c r="P215" s="27" t="str">
        <f>IFERROR(INDEX('Aub Demand'!B:B,MATCH($O215,'Aub Demand'!$A:$A,0)),"")</f>
        <v>BOTANICAL ALLUSION 6</v>
      </c>
      <c r="Q215" s="27" t="str">
        <f>IFERROR(INDEX('Aub Demand'!C:C,MATCH($O215,'Aub Demand'!$A:$A,0)),"")</f>
        <v>INTER</v>
      </c>
      <c r="R215" s="52">
        <f>IFERROR(IF(AR216=AR215,INDEX('Aub Demand'!K:K,MATCH($O215,'Aub Demand'!$A:$A,0))-IF(AN215="",0,AN215)+AP216,INDEX('Aub Demand'!K:K,MATCH($O215,'Aub Demand'!$A:$A,0))-IF(AN215="",0,AN215)),"")</f>
        <v>2603</v>
      </c>
      <c r="S215" s="53" t="str">
        <f t="shared" si="84"/>
        <v>n/a</v>
      </c>
      <c r="T215" s="52" t="str">
        <f t="shared" si="85"/>
        <v/>
      </c>
      <c r="U215" s="52">
        <f>IFERROR(IF(AR216=AR215,INDEX('Aub Demand'!Q:Q,MATCH($O215,'Aub Demand'!$A:$A,0))-IF(AN215="",0,AN215)+AP216,INDEX('Aub Demand'!Q:Q,MATCH($O215,'Aub Demand'!$A:$A,0))-IF(AN215="",0,AN215)),"")</f>
        <v>2583</v>
      </c>
      <c r="V215" s="53" t="str">
        <f t="shared" si="86"/>
        <v>n/a</v>
      </c>
      <c r="W215" s="52" t="str">
        <f t="shared" si="87"/>
        <v/>
      </c>
      <c r="X215" s="52">
        <f>IFERROR(IF(AND(AR216=AR215,AM215&lt;&gt;""),INDEX('Aub Demand'!Q:Q,MATCH($O215,'Aub Demand'!$A:$A,0))-IF(AN215="",0,AN215)+AP216+AD215+AL215,IF(AR216=AR215,INDEX('Aub Demand'!Q:Q,MATCH($O215,'Aub Demand'!$A:$A,0))-IF(AN215="",0,AN215)+AP216+AD215,IF(AM215&lt;&gt;"",INDEX('Aub Demand'!Q:Q,MATCH($O215,'Aub Demand'!$A:$A,0))-IF(AN215="",0,AN215)+AD215+AL215,INDEX('Aub Demand'!Q:Q,MATCH($O215,'Aub Demand'!$A:$A,0))-IF(AN215="",0,AN215)+AD215))),"")</f>
        <v>2583</v>
      </c>
      <c r="Y215" s="53" t="str">
        <f t="shared" si="88"/>
        <v>n/a</v>
      </c>
      <c r="Z215" s="52">
        <f>IF(L215="","",INDEX('Aub Demand'!H:H,MATCH($O215,'Aub Demand'!$A:$A,0)))</f>
        <v>0</v>
      </c>
      <c r="AA215" s="52" t="str">
        <f t="shared" si="89"/>
        <v>-spike-</v>
      </c>
      <c r="AB215" s="52">
        <f>IFERROR(INDEX('Aub Demand'!L:L,MATCH($O215,'Aub Demand'!$A:$A,0)),"")</f>
        <v>0</v>
      </c>
      <c r="AC215" s="52">
        <f>IFERROR(IF(O215="","",SUMIFS('CPL Mats'!F:F,'CPL Mats'!Q:Q,AR215,'CPL Mats'!S:S,AS215)),"")</f>
        <v>0</v>
      </c>
      <c r="AF215" s="25" t="str">
        <f>IF(SUMIFS('Supp Consol'!S:S,'Supp Consol'!Y:Y,"Releasable",'Supp Consol'!A:A,O215)=0,"",SUMIFS('Supp Consol'!S:S,'Supp Consol'!Y:Y,"Releasable",'Supp Consol'!A:A,O215))</f>
        <v/>
      </c>
      <c r="AG215" s="25" t="str">
        <f>IFERROR(INDEX('Hun Demand'!Q:Q,MATCH(O215,'Hun Demand'!A:A,0)),"")</f>
        <v/>
      </c>
      <c r="AH215" s="25" t="str">
        <f>IFERROR(INDEX('Hun Demand'!H:H,MATCH($O215,'Hun Demand'!$A:$A,0)),"")</f>
        <v/>
      </c>
      <c r="AI215" s="25" t="str">
        <f>IF(SUMIFS('Supp Consol'!AA:AA,'Supp Consol'!Z:Z,"Expires this month",'Supp Consol'!A:A,O215)=0,"",SUMIFS('Supp Consol'!AA:AA,'Supp Consol'!Z:Z,"Expires this month",'Supp Consol'!A:A,O215))</f>
        <v/>
      </c>
      <c r="AJ215" s="25" t="str">
        <f>IF(SUMIFS('Supp Consol'!AA:AA,'Supp Consol'!Z:Z,"Expired Previous Months",'Supp Consol'!A:A,O215)=0,"",SUMIFS('Supp Consol'!AA:AA,'Supp Consol'!Z:Z,"Expired Previous Months",'Supp Consol'!A:A,O215))</f>
        <v/>
      </c>
      <c r="AK215" s="25" t="str">
        <f>IFERROR(INDEX('Hun Release Current'!B:B,MATCH(O215,'Hun Release Current'!A:A,0)),"")</f>
        <v/>
      </c>
      <c r="AL215" s="25" t="str">
        <f>IF(SUMIF('Prev Aub'!A:A,O215,'Prev Aub'!B:B)=0,"",SUMIF('Prev Aub'!A:A,O215,'Prev Aub'!B:B))</f>
        <v/>
      </c>
      <c r="AN215" s="25" t="s">
        <v>3790</v>
      </c>
      <c r="AO215" s="25" t="s">
        <v>3790</v>
      </c>
      <c r="AP215" s="25">
        <f t="shared" si="90"/>
        <v>0</v>
      </c>
      <c r="AQ215" s="151" t="str">
        <f>IF(SUMIFS('Supp Consol'!S:S,'Supp Consol'!A:A,O215,'Supp Consol'!I:I,"PENDING")=0,"",SUMIFS('Supp Consol'!S:S,'Supp Consol'!A:A,O215,'Supp Consol'!I:I,"PENDING"))</f>
        <v/>
      </c>
      <c r="AR215" s="27" t="str">
        <f t="shared" si="91"/>
        <v>AL502</v>
      </c>
      <c r="AS215" s="27" t="str">
        <f t="shared" si="92"/>
        <v>62</v>
      </c>
      <c r="AT215" s="27" t="str">
        <f t="shared" si="93"/>
        <v/>
      </c>
      <c r="AU215" s="27" t="str">
        <f t="shared" si="94"/>
        <v/>
      </c>
      <c r="AV215" s="27" t="str">
        <f t="shared" si="95"/>
        <v/>
      </c>
      <c r="AW215" s="27" t="str">
        <f t="shared" si="96"/>
        <v/>
      </c>
      <c r="AX215" s="27" t="str">
        <f t="shared" si="97"/>
        <v/>
      </c>
      <c r="AY215" s="27" t="str">
        <f t="shared" si="98"/>
        <v/>
      </c>
      <c r="AZ215" s="27" t="str">
        <f t="shared" si="99"/>
        <v/>
      </c>
      <c r="BA215" s="27" t="str">
        <f t="shared" si="100"/>
        <v/>
      </c>
      <c r="BB215" s="27" t="str">
        <f t="shared" si="101"/>
        <v/>
      </c>
      <c r="BC215" s="27" t="str">
        <f t="shared" si="102"/>
        <v/>
      </c>
      <c r="BD215" s="27" t="str">
        <f t="shared" si="103"/>
        <v/>
      </c>
      <c r="BE215" s="27" t="str">
        <f t="shared" si="104"/>
        <v/>
      </c>
      <c r="BF215" s="27" t="str">
        <f t="shared" si="105"/>
        <v/>
      </c>
      <c r="BG215" s="27" t="str">
        <f t="shared" si="106"/>
        <v/>
      </c>
      <c r="BH215" s="27" t="str">
        <f t="shared" si="107"/>
        <v/>
      </c>
      <c r="BI215" s="27" t="str">
        <f t="shared" si="108"/>
        <v/>
      </c>
      <c r="BJ215" s="27" t="str">
        <f t="shared" si="109"/>
        <v/>
      </c>
      <c r="BK215" s="27" t="str">
        <f t="shared" si="110"/>
        <v/>
      </c>
      <c r="BL215" s="27" t="str">
        <f t="shared" si="111"/>
        <v/>
      </c>
      <c r="BM215" s="21" t="s">
        <v>5581</v>
      </c>
    </row>
    <row r="216" spans="1:65" ht="15">
      <c r="A216" s="25" t="str">
        <f>IFERROR(INDEX('Hun Demand'!W:W,MATCH(O216,'Hun Demand'!A:A,0)),"")</f>
        <v/>
      </c>
      <c r="B216" s="25" t="str">
        <f>IFERROR(INDEX('Hun Demand'!V:V,MATCH(O216,'Hun Demand'!A:A,0)),"")</f>
        <v/>
      </c>
      <c r="C216" s="25" t="str">
        <f>IFERROR(INDEX('Hun Demand'!U:U,MATCH(O216,'Hun Demand'!A:A,0)),"")</f>
        <v/>
      </c>
      <c r="D216" s="25" t="str">
        <f>IFERROR(INDEX('Hun Demand'!T:T,MATCH(O216,'Hun Demand'!A:A,0)),"")</f>
        <v/>
      </c>
      <c r="E216" s="25" t="str">
        <f>IFERROR(INDEX('Hun Demand'!S:S,MATCH(O216,'Hun Demand'!A:A,0)),"")</f>
        <v/>
      </c>
      <c r="F216" s="25" t="str">
        <f>IFERROR(INDEX('Hun Demand'!R:R,MATCH(O216,'Hun Demand'!A:A,0)),"")</f>
        <v/>
      </c>
      <c r="G216" s="25">
        <f>IFERROR(INDEX('Aub Demand'!W:W,MATCH(O216,'Aub Demand'!A:A,0)),"")</f>
        <v>69</v>
      </c>
      <c r="H216" s="25">
        <f>IFERROR(INDEX('Aub Demand'!V:V,MATCH(O216,'Aub Demand'!A:A,0)),"")</f>
        <v>8</v>
      </c>
      <c r="I216" s="25">
        <f>IFERROR(INDEX('Aub Demand'!U:U,MATCH(O216,'Aub Demand'!A:A,0)),"")</f>
        <v>2</v>
      </c>
      <c r="J216" s="25">
        <f>IFERROR(INDEX('Aub Demand'!T:T,MATCH(O216,'Aub Demand'!A:A,0)),"")</f>
        <v>32</v>
      </c>
      <c r="K216" s="25">
        <f>IFERROR(INDEX('Aub Demand'!S:S,MATCH(O216,'Aub Demand'!A:A,0)),"")</f>
        <v>0</v>
      </c>
      <c r="L216" s="25">
        <f>IFERROR(INDEX('Aub Demand'!R:R,MATCH(O216,'Aub Demand'!A:A,0)),"")</f>
        <v>0</v>
      </c>
      <c r="O216" s="27" t="s">
        <v>2072</v>
      </c>
      <c r="P216" s="27" t="str">
        <f>IFERROR(INDEX('Aub Demand'!B:B,MATCH($O216,'Aub Demand'!$A:$A,0)),"")</f>
        <v>TROPICAL ALLUSION 48</v>
      </c>
      <c r="Q216" s="27" t="str">
        <f>IFERROR(INDEX('Aub Demand'!C:C,MATCH($O216,'Aub Demand'!$A:$A,0)),"")</f>
        <v>INTER</v>
      </c>
      <c r="R216" s="52">
        <f>IFERROR(IF(AR217=AR216,INDEX('Aub Demand'!K:K,MATCH($O216,'Aub Demand'!$A:$A,0))-IF(AN216="",0,AN216)+AP217,INDEX('Aub Demand'!K:K,MATCH($O216,'Aub Demand'!$A:$A,0))-IF(AN216="",0,AN216)),"")</f>
        <v>0</v>
      </c>
      <c r="S216" s="53">
        <f t="shared" si="84"/>
        <v>0</v>
      </c>
      <c r="T216" s="52">
        <f t="shared" si="85"/>
        <v>12.75</v>
      </c>
      <c r="U216" s="52">
        <f>IFERROR(IF(AR217=AR216,INDEX('Aub Demand'!Q:Q,MATCH($O216,'Aub Demand'!$A:$A,0))-IF(AN216="",0,AN216)+AP217,INDEX('Aub Demand'!Q:Q,MATCH($O216,'Aub Demand'!$A:$A,0))-IF(AN216="",0,AN216)),"")</f>
        <v>-59</v>
      </c>
      <c r="V216" s="53">
        <f t="shared" si="86"/>
        <v>-23</v>
      </c>
      <c r="W216" s="52">
        <f t="shared" si="87"/>
        <v>110.5</v>
      </c>
      <c r="X216" s="52">
        <f>IFERROR(IF(AND(AR217=AR216,AM216&lt;&gt;""),INDEX('Aub Demand'!Q:Q,MATCH($O216,'Aub Demand'!$A:$A,0))-IF(AN216="",0,AN216)+AP217+AD216+AL216,IF(AR217=AR216,INDEX('Aub Demand'!Q:Q,MATCH($O216,'Aub Demand'!$A:$A,0))-IF(AN216="",0,AN216)+AP217+AD216,IF(AM216&lt;&gt;"",INDEX('Aub Demand'!Q:Q,MATCH($O216,'Aub Demand'!$A:$A,0))-IF(AN216="",0,AN216)+AD216+AL216,INDEX('Aub Demand'!Q:Q,MATCH($O216,'Aub Demand'!$A:$A,0))-IF(AN216="",0,AN216)+AD216))),"")</f>
        <v>-59</v>
      </c>
      <c r="Y216" s="53">
        <f t="shared" si="88"/>
        <v>-23</v>
      </c>
      <c r="Z216" s="52">
        <f>IF(L216="","",INDEX('Aub Demand'!H:H,MATCH($O216,'Aub Demand'!$A:$A,0)))</f>
        <v>11</v>
      </c>
      <c r="AA216" s="52">
        <f t="shared" si="89"/>
        <v>17</v>
      </c>
      <c r="AB216" s="52">
        <f>IFERROR(INDEX('Aub Demand'!L:L,MATCH($O216,'Aub Demand'!$A:$A,0)),"")</f>
        <v>17</v>
      </c>
      <c r="AC216" s="52">
        <f>IFERROR(IF(O216="","",SUMIFS('CPL Mats'!F:F,'CPL Mats'!Q:Q,AR216,'CPL Mats'!S:S,AS216)),"")</f>
        <v>0</v>
      </c>
      <c r="AF216" s="25" t="str">
        <f>IF(SUMIFS('Supp Consol'!S:S,'Supp Consol'!Y:Y,"Releasable",'Supp Consol'!A:A,O216)=0,"",SUMIFS('Supp Consol'!S:S,'Supp Consol'!Y:Y,"Releasable",'Supp Consol'!A:A,O216))</f>
        <v/>
      </c>
      <c r="AG216" s="25" t="str">
        <f>IFERROR(INDEX('Hun Demand'!Q:Q,MATCH(O216,'Hun Demand'!A:A,0)),"")</f>
        <v/>
      </c>
      <c r="AH216" s="25" t="str">
        <f>IFERROR(INDEX('Hun Demand'!H:H,MATCH($O216,'Hun Demand'!$A:$A,0)),"")</f>
        <v/>
      </c>
      <c r="AI216" s="25" t="str">
        <f>IF(SUMIFS('Supp Consol'!AA:AA,'Supp Consol'!Z:Z,"Expires this month",'Supp Consol'!A:A,O216)=0,"",SUMIFS('Supp Consol'!AA:AA,'Supp Consol'!Z:Z,"Expires this month",'Supp Consol'!A:A,O216))</f>
        <v/>
      </c>
      <c r="AJ216" s="25" t="str">
        <f>IF(SUMIFS('Supp Consol'!AA:AA,'Supp Consol'!Z:Z,"Expired Previous Months",'Supp Consol'!A:A,O216)=0,"",SUMIFS('Supp Consol'!AA:AA,'Supp Consol'!Z:Z,"Expired Previous Months",'Supp Consol'!A:A,O216))</f>
        <v/>
      </c>
      <c r="AK216" s="25" t="str">
        <f>IFERROR(INDEX('Hun Release Current'!B:B,MATCH(O216,'Hun Release Current'!A:A,0)),"")</f>
        <v/>
      </c>
      <c r="AL216" s="25" t="str">
        <f>IF(SUMIF('Prev Aub'!A:A,O216,'Prev Aub'!B:B)=0,"",SUMIF('Prev Aub'!A:A,O216,'Prev Aub'!B:B))</f>
        <v/>
      </c>
      <c r="AN216" s="25" t="s">
        <v>3790</v>
      </c>
      <c r="AO216" s="25" t="s">
        <v>3790</v>
      </c>
      <c r="AP216" s="25">
        <f t="shared" si="90"/>
        <v>0</v>
      </c>
      <c r="AQ216" s="151" t="str">
        <f>IF(SUMIFS('Supp Consol'!S:S,'Supp Consol'!A:A,O216,'Supp Consol'!I:I,"PENDING")=0,"",SUMIFS('Supp Consol'!S:S,'Supp Consol'!A:A,O216,'Supp Consol'!I:I,"PENDING"))</f>
        <v/>
      </c>
      <c r="AR216" s="27" t="str">
        <f t="shared" si="91"/>
        <v>ALB01</v>
      </c>
      <c r="AS216" s="27" t="str">
        <f t="shared" si="92"/>
        <v>50</v>
      </c>
      <c r="AT216" s="27" t="str">
        <f t="shared" si="93"/>
        <v>ALB01</v>
      </c>
      <c r="AU216" s="27" t="str">
        <f t="shared" si="94"/>
        <v>ALB01</v>
      </c>
      <c r="AV216" s="27" t="str">
        <f t="shared" si="95"/>
        <v>ALB01</v>
      </c>
      <c r="AW216" s="27" t="str">
        <f t="shared" si="96"/>
        <v/>
      </c>
      <c r="AX216" s="27" t="str">
        <f t="shared" si="97"/>
        <v/>
      </c>
      <c r="AY216" s="27" t="str">
        <f t="shared" si="98"/>
        <v/>
      </c>
      <c r="AZ216" s="27" t="str">
        <f t="shared" si="99"/>
        <v/>
      </c>
      <c r="BA216" s="27" t="str">
        <f t="shared" si="100"/>
        <v/>
      </c>
      <c r="BB216" s="27" t="str">
        <f t="shared" si="101"/>
        <v>Gross</v>
      </c>
      <c r="BC216" s="27" t="str">
        <f t="shared" si="102"/>
        <v>Net</v>
      </c>
      <c r="BD216" s="27" t="str">
        <f t="shared" si="103"/>
        <v>Net</v>
      </c>
      <c r="BE216" s="27" t="str">
        <f t="shared" si="104"/>
        <v/>
      </c>
      <c r="BF216" s="27" t="str">
        <f t="shared" si="105"/>
        <v/>
      </c>
      <c r="BG216" s="27" t="str">
        <f t="shared" si="106"/>
        <v/>
      </c>
      <c r="BH216" s="27" t="str">
        <f t="shared" si="107"/>
        <v/>
      </c>
      <c r="BI216" s="27" t="str">
        <f t="shared" si="108"/>
        <v/>
      </c>
      <c r="BJ216" s="27" t="str">
        <f t="shared" si="109"/>
        <v/>
      </c>
      <c r="BK216" s="27" t="str">
        <f t="shared" si="110"/>
        <v/>
      </c>
      <c r="BL216" s="27" t="str">
        <f t="shared" si="111"/>
        <v/>
      </c>
      <c r="BM216" s="21" t="s">
        <v>5581</v>
      </c>
    </row>
    <row r="217" spans="1:65" ht="15">
      <c r="A217" s="25" t="str">
        <f>IFERROR(INDEX('Hun Demand'!W:W,MATCH(O217,'Hun Demand'!A:A,0)),"")</f>
        <v/>
      </c>
      <c r="B217" s="25" t="str">
        <f>IFERROR(INDEX('Hun Demand'!V:V,MATCH(O217,'Hun Demand'!A:A,0)),"")</f>
        <v/>
      </c>
      <c r="C217" s="25" t="str">
        <f>IFERROR(INDEX('Hun Demand'!U:U,MATCH(O217,'Hun Demand'!A:A,0)),"")</f>
        <v/>
      </c>
      <c r="D217" s="25" t="str">
        <f>IFERROR(INDEX('Hun Demand'!T:T,MATCH(O217,'Hun Demand'!A:A,0)),"")</f>
        <v/>
      </c>
      <c r="E217" s="25" t="str">
        <f>IFERROR(INDEX('Hun Demand'!S:S,MATCH(O217,'Hun Demand'!A:A,0)),"")</f>
        <v/>
      </c>
      <c r="F217" s="25" t="str">
        <f>IFERROR(INDEX('Hun Demand'!R:R,MATCH(O217,'Hun Demand'!A:A,0)),"")</f>
        <v/>
      </c>
      <c r="G217" s="25">
        <f>IFERROR(INDEX('Aub Demand'!W:W,MATCH(O217,'Aub Demand'!A:A,0)),"")</f>
        <v>0</v>
      </c>
      <c r="H217" s="25">
        <f>IFERROR(INDEX('Aub Demand'!V:V,MATCH(O217,'Aub Demand'!A:A,0)),"")</f>
        <v>0</v>
      </c>
      <c r="I217" s="25">
        <f>IFERROR(INDEX('Aub Demand'!U:U,MATCH(O217,'Aub Demand'!A:A,0)),"")</f>
        <v>0</v>
      </c>
      <c r="J217" s="25">
        <f>IFERROR(INDEX('Aub Demand'!T:T,MATCH(O217,'Aub Demand'!A:A,0)),"")</f>
        <v>0</v>
      </c>
      <c r="K217" s="25">
        <f>IFERROR(INDEX('Aub Demand'!S:S,MATCH(O217,'Aub Demand'!A:A,0)),"")</f>
        <v>0</v>
      </c>
      <c r="L217" s="25">
        <f>IFERROR(INDEX('Aub Demand'!R:R,MATCH(O217,'Aub Demand'!A:A,0)),"")</f>
        <v>0</v>
      </c>
      <c r="O217" s="27" t="s">
        <v>2074</v>
      </c>
      <c r="P217" s="27" t="str">
        <f>IFERROR(INDEX('Aub Demand'!B:B,MATCH($O217,'Aub Demand'!$A:$A,0)),"")</f>
        <v>TROPICAL ALLUSION 60</v>
      </c>
      <c r="Q217" s="27" t="str">
        <f>IFERROR(INDEX('Aub Demand'!C:C,MATCH($O217,'Aub Demand'!$A:$A,0)),"")</f>
        <v>INTER</v>
      </c>
      <c r="R217" s="52">
        <f>IFERROR(IF(AR218=AR217,INDEX('Aub Demand'!K:K,MATCH($O217,'Aub Demand'!$A:$A,0))-IF(AN217="",0,AN217)+AP218,INDEX('Aub Demand'!K:K,MATCH($O217,'Aub Demand'!$A:$A,0))-IF(AN217="",0,AN217)),"")</f>
        <v>2341</v>
      </c>
      <c r="S217" s="53" t="str">
        <f t="shared" si="84"/>
        <v>n/a</v>
      </c>
      <c r="T217" s="52" t="str">
        <f t="shared" si="85"/>
        <v/>
      </c>
      <c r="U217" s="52">
        <f>IFERROR(IF(AR218=AR217,INDEX('Aub Demand'!Q:Q,MATCH($O217,'Aub Demand'!$A:$A,0))-IF(AN217="",0,AN217)+AP218,INDEX('Aub Demand'!Q:Q,MATCH($O217,'Aub Demand'!$A:$A,0))-IF(AN217="",0,AN217)),"")</f>
        <v>2341</v>
      </c>
      <c r="V217" s="53" t="str">
        <f t="shared" si="86"/>
        <v>n/a</v>
      </c>
      <c r="W217" s="52" t="str">
        <f t="shared" si="87"/>
        <v/>
      </c>
      <c r="X217" s="52">
        <f>IFERROR(IF(AND(AR218=AR217,AM217&lt;&gt;""),INDEX('Aub Demand'!Q:Q,MATCH($O217,'Aub Demand'!$A:$A,0))-IF(AN217="",0,AN217)+AP218+AD217+AL217,IF(AR218=AR217,INDEX('Aub Demand'!Q:Q,MATCH($O217,'Aub Demand'!$A:$A,0))-IF(AN217="",0,AN217)+AP218+AD217,IF(AM217&lt;&gt;"",INDEX('Aub Demand'!Q:Q,MATCH($O217,'Aub Demand'!$A:$A,0))-IF(AN217="",0,AN217)+AD217+AL217,INDEX('Aub Demand'!Q:Q,MATCH($O217,'Aub Demand'!$A:$A,0))-IF(AN217="",0,AN217)+AD217))),"")</f>
        <v>2341</v>
      </c>
      <c r="Y217" s="53" t="str">
        <f t="shared" si="88"/>
        <v>n/a</v>
      </c>
      <c r="Z217" s="52">
        <f>IF(L217="","",INDEX('Aub Demand'!H:H,MATCH($O217,'Aub Demand'!$A:$A,0)))</f>
        <v>0</v>
      </c>
      <c r="AA217" s="52" t="str">
        <f t="shared" si="89"/>
        <v>-spike-</v>
      </c>
      <c r="AB217" s="52">
        <f>IFERROR(INDEX('Aub Demand'!L:L,MATCH($O217,'Aub Demand'!$A:$A,0)),"")</f>
        <v>0</v>
      </c>
      <c r="AC217" s="52">
        <f>IFERROR(IF(O217="","",SUMIFS('CPL Mats'!F:F,'CPL Mats'!Q:Q,AR217,'CPL Mats'!S:S,AS217)),"")</f>
        <v>0</v>
      </c>
      <c r="AF217" s="25" t="str">
        <f>IF(SUMIFS('Supp Consol'!S:S,'Supp Consol'!Y:Y,"Releasable",'Supp Consol'!A:A,O217)=0,"",SUMIFS('Supp Consol'!S:S,'Supp Consol'!Y:Y,"Releasable",'Supp Consol'!A:A,O217))</f>
        <v/>
      </c>
      <c r="AG217" s="25" t="str">
        <f>IFERROR(INDEX('Hun Demand'!Q:Q,MATCH(O217,'Hun Demand'!A:A,0)),"")</f>
        <v/>
      </c>
      <c r="AH217" s="25" t="str">
        <f>IFERROR(INDEX('Hun Demand'!H:H,MATCH($O217,'Hun Demand'!$A:$A,0)),"")</f>
        <v/>
      </c>
      <c r="AI217" s="25" t="str">
        <f>IF(SUMIFS('Supp Consol'!AA:AA,'Supp Consol'!Z:Z,"Expires this month",'Supp Consol'!A:A,O217)=0,"",SUMIFS('Supp Consol'!AA:AA,'Supp Consol'!Z:Z,"Expires this month",'Supp Consol'!A:A,O217))</f>
        <v/>
      </c>
      <c r="AJ217" s="25" t="str">
        <f>IF(SUMIFS('Supp Consol'!AA:AA,'Supp Consol'!Z:Z,"Expired Previous Months",'Supp Consol'!A:A,O217)=0,"",SUMIFS('Supp Consol'!AA:AA,'Supp Consol'!Z:Z,"Expired Previous Months",'Supp Consol'!A:A,O217))</f>
        <v/>
      </c>
      <c r="AK217" s="25" t="str">
        <f>IFERROR(INDEX('Hun Release Current'!B:B,MATCH(O217,'Hun Release Current'!A:A,0)),"")</f>
        <v/>
      </c>
      <c r="AL217" s="25" t="str">
        <f>IF(SUMIF('Prev Aub'!A:A,O217,'Prev Aub'!B:B)=0,"",SUMIF('Prev Aub'!A:A,O217,'Prev Aub'!B:B))</f>
        <v/>
      </c>
      <c r="AN217" s="25" t="s">
        <v>3790</v>
      </c>
      <c r="AO217" s="25" t="s">
        <v>3790</v>
      </c>
      <c r="AP217" s="25">
        <f t="shared" si="90"/>
        <v>0</v>
      </c>
      <c r="AQ217" s="151" t="str">
        <f>IF(SUMIFS('Supp Consol'!S:S,'Supp Consol'!A:A,O217,'Supp Consol'!I:I,"PENDING")=0,"",SUMIFS('Supp Consol'!S:S,'Supp Consol'!A:A,O217,'Supp Consol'!I:I,"PENDING"))</f>
        <v/>
      </c>
      <c r="AR217" s="27" t="str">
        <f t="shared" si="91"/>
        <v>ALB01</v>
      </c>
      <c r="AS217" s="27" t="str">
        <f t="shared" si="92"/>
        <v>62</v>
      </c>
      <c r="AT217" s="27" t="str">
        <f t="shared" si="93"/>
        <v/>
      </c>
      <c r="AU217" s="27" t="str">
        <f t="shared" si="94"/>
        <v/>
      </c>
      <c r="AV217" s="27" t="str">
        <f t="shared" si="95"/>
        <v/>
      </c>
      <c r="AW217" s="27" t="str">
        <f t="shared" si="96"/>
        <v/>
      </c>
      <c r="AX217" s="27" t="str">
        <f t="shared" si="97"/>
        <v/>
      </c>
      <c r="AY217" s="27" t="str">
        <f t="shared" si="98"/>
        <v/>
      </c>
      <c r="AZ217" s="27" t="str">
        <f t="shared" si="99"/>
        <v/>
      </c>
      <c r="BA217" s="27" t="str">
        <f t="shared" si="100"/>
        <v/>
      </c>
      <c r="BB217" s="27" t="str">
        <f t="shared" si="101"/>
        <v>Gross</v>
      </c>
      <c r="BC217" s="27" t="str">
        <f t="shared" si="102"/>
        <v>Net</v>
      </c>
      <c r="BD217" s="27" t="str">
        <f t="shared" si="103"/>
        <v>Net</v>
      </c>
      <c r="BE217" s="27" t="str">
        <f t="shared" si="104"/>
        <v/>
      </c>
      <c r="BF217" s="27" t="str">
        <f t="shared" si="105"/>
        <v/>
      </c>
      <c r="BG217" s="27" t="str">
        <f t="shared" si="106"/>
        <v/>
      </c>
      <c r="BH217" s="27" t="str">
        <f t="shared" si="107"/>
        <v/>
      </c>
      <c r="BI217" s="27" t="str">
        <f t="shared" si="108"/>
        <v/>
      </c>
      <c r="BJ217" s="27" t="str">
        <f t="shared" si="109"/>
        <v/>
      </c>
      <c r="BK217" s="27" t="str">
        <f t="shared" si="110"/>
        <v/>
      </c>
      <c r="BL217" s="27" t="str">
        <f t="shared" si="111"/>
        <v/>
      </c>
      <c r="BM217" s="21" t="s">
        <v>5581</v>
      </c>
    </row>
    <row r="218" spans="1:65" ht="15">
      <c r="A218" s="25" t="str">
        <f>IFERROR(INDEX('Hun Demand'!W:W,MATCH(O218,'Hun Demand'!A:A,0)),"")</f>
        <v/>
      </c>
      <c r="B218" s="25" t="str">
        <f>IFERROR(INDEX('Hun Demand'!V:V,MATCH(O218,'Hun Demand'!A:A,0)),"")</f>
        <v/>
      </c>
      <c r="C218" s="25" t="str">
        <f>IFERROR(INDEX('Hun Demand'!U:U,MATCH(O218,'Hun Demand'!A:A,0)),"")</f>
        <v/>
      </c>
      <c r="D218" s="25" t="str">
        <f>IFERROR(INDEX('Hun Demand'!T:T,MATCH(O218,'Hun Demand'!A:A,0)),"")</f>
        <v/>
      </c>
      <c r="E218" s="25" t="str">
        <f>IFERROR(INDEX('Hun Demand'!S:S,MATCH(O218,'Hun Demand'!A:A,0)),"")</f>
        <v/>
      </c>
      <c r="F218" s="25" t="str">
        <f>IFERROR(INDEX('Hun Demand'!R:R,MATCH(O218,'Hun Demand'!A:A,0)),"")</f>
        <v/>
      </c>
      <c r="G218" s="25">
        <f>IFERROR(INDEX('Aub Demand'!W:W,MATCH(O218,'Aub Demand'!A:A,0)),"")</f>
        <v>19</v>
      </c>
      <c r="H218" s="25">
        <f>IFERROR(INDEX('Aub Demand'!V:V,MATCH(O218,'Aub Demand'!A:A,0)),"")</f>
        <v>15</v>
      </c>
      <c r="I218" s="25">
        <f>IFERROR(INDEX('Aub Demand'!U:U,MATCH(O218,'Aub Demand'!A:A,0)),"")</f>
        <v>0</v>
      </c>
      <c r="J218" s="25">
        <f>IFERROR(INDEX('Aub Demand'!T:T,MATCH(O218,'Aub Demand'!A:A,0)),"")</f>
        <v>0</v>
      </c>
      <c r="K218" s="25">
        <f>IFERROR(INDEX('Aub Demand'!S:S,MATCH(O218,'Aub Demand'!A:A,0)),"")</f>
        <v>59</v>
      </c>
      <c r="L218" s="25">
        <f>IFERROR(INDEX('Aub Demand'!R:R,MATCH(O218,'Aub Demand'!A:A,0)),"")</f>
        <v>0</v>
      </c>
      <c r="O218" s="27" t="s">
        <v>2076</v>
      </c>
      <c r="P218" s="27" t="str">
        <f>IFERROR(INDEX('Aub Demand'!B:B,MATCH($O218,'Aub Demand'!$A:$A,0)),"")</f>
        <v>DECADENT ALLUSION 48</v>
      </c>
      <c r="Q218" s="27" t="str">
        <f>IFERROR(INDEX('Aub Demand'!C:C,MATCH($O218,'Aub Demand'!$A:$A,0)),"")</f>
        <v>INTER</v>
      </c>
      <c r="R218" s="52">
        <f>IFERROR(IF(AR219=AR218,INDEX('Aub Demand'!K:K,MATCH($O218,'Aub Demand'!$A:$A,0))-IF(AN218="",0,AN218)+AP219,INDEX('Aub Demand'!K:K,MATCH($O218,'Aub Demand'!$A:$A,0))-IF(AN218="",0,AN218)),"")</f>
        <v>0</v>
      </c>
      <c r="S218" s="53">
        <f t="shared" si="84"/>
        <v>0</v>
      </c>
      <c r="T218" s="52" t="str">
        <f t="shared" si="85"/>
        <v/>
      </c>
      <c r="U218" s="52">
        <f>IFERROR(IF(AR219=AR218,INDEX('Aub Demand'!Q:Q,MATCH($O218,'Aub Demand'!$A:$A,0))-IF(AN218="",0,AN218)+AP219,INDEX('Aub Demand'!Q:Q,MATCH($O218,'Aub Demand'!$A:$A,0))-IF(AN218="",0,AN218)),"")</f>
        <v>-13</v>
      </c>
      <c r="V218" s="53">
        <f t="shared" si="86"/>
        <v>-2.8</v>
      </c>
      <c r="W218" s="52" t="str">
        <f t="shared" si="87"/>
        <v/>
      </c>
      <c r="X218" s="52">
        <f>IFERROR(IF(AND(AR219=AR218,AM218&lt;&gt;""),INDEX('Aub Demand'!Q:Q,MATCH($O218,'Aub Demand'!$A:$A,0))-IF(AN218="",0,AN218)+AP219+AD218+AL218,IF(AR219=AR218,INDEX('Aub Demand'!Q:Q,MATCH($O218,'Aub Demand'!$A:$A,0))-IF(AN218="",0,AN218)+AP219+AD218,IF(AM218&lt;&gt;"",INDEX('Aub Demand'!Q:Q,MATCH($O218,'Aub Demand'!$A:$A,0))-IF(AN218="",0,AN218)+AD218+AL218,INDEX('Aub Demand'!Q:Q,MATCH($O218,'Aub Demand'!$A:$A,0))-IF(AN218="",0,AN218)+AD218))),"")</f>
        <v>-13</v>
      </c>
      <c r="Y218" s="53">
        <f t="shared" si="88"/>
        <v>-2.8</v>
      </c>
      <c r="Z218" s="52">
        <f>IF(L218="","",INDEX('Aub Demand'!H:H,MATCH($O218,'Aub Demand'!$A:$A,0)))</f>
        <v>20</v>
      </c>
      <c r="AA218" s="52" t="str">
        <f t="shared" si="89"/>
        <v>-spike-</v>
      </c>
      <c r="AB218" s="52">
        <f>IFERROR(INDEX('Aub Demand'!L:L,MATCH($O218,'Aub Demand'!$A:$A,0)),"")</f>
        <v>7</v>
      </c>
      <c r="AC218" s="52">
        <f>IFERROR(IF(O218="","",SUMIFS('CPL Mats'!F:F,'CPL Mats'!Q:Q,AR218,'CPL Mats'!S:S,AS218)),"")</f>
        <v>0</v>
      </c>
      <c r="AF218" s="25" t="str">
        <f>IF(SUMIFS('Supp Consol'!S:S,'Supp Consol'!Y:Y,"Releasable",'Supp Consol'!A:A,O218)=0,"",SUMIFS('Supp Consol'!S:S,'Supp Consol'!Y:Y,"Releasable",'Supp Consol'!A:A,O218))</f>
        <v/>
      </c>
      <c r="AG218" s="25" t="str">
        <f>IFERROR(INDEX('Hun Demand'!Q:Q,MATCH(O218,'Hun Demand'!A:A,0)),"")</f>
        <v/>
      </c>
      <c r="AH218" s="25" t="str">
        <f>IFERROR(INDEX('Hun Demand'!H:H,MATCH($O218,'Hun Demand'!$A:$A,0)),"")</f>
        <v/>
      </c>
      <c r="AI218" s="25" t="str">
        <f>IF(SUMIFS('Supp Consol'!AA:AA,'Supp Consol'!Z:Z,"Expires this month",'Supp Consol'!A:A,O218)=0,"",SUMIFS('Supp Consol'!AA:AA,'Supp Consol'!Z:Z,"Expires this month",'Supp Consol'!A:A,O218))</f>
        <v/>
      </c>
      <c r="AJ218" s="25" t="str">
        <f>IF(SUMIFS('Supp Consol'!AA:AA,'Supp Consol'!Z:Z,"Expired Previous Months",'Supp Consol'!A:A,O218)=0,"",SUMIFS('Supp Consol'!AA:AA,'Supp Consol'!Z:Z,"Expired Previous Months",'Supp Consol'!A:A,O218))</f>
        <v/>
      </c>
      <c r="AK218" s="25" t="str">
        <f>IFERROR(INDEX('Hun Release Current'!B:B,MATCH(O218,'Hun Release Current'!A:A,0)),"")</f>
        <v/>
      </c>
      <c r="AL218" s="25" t="str">
        <f>IF(SUMIF('Prev Aub'!A:A,O218,'Prev Aub'!B:B)=0,"",SUMIF('Prev Aub'!A:A,O218,'Prev Aub'!B:B))</f>
        <v/>
      </c>
      <c r="AN218" s="25" t="s">
        <v>3790</v>
      </c>
      <c r="AO218" s="25" t="s">
        <v>3790</v>
      </c>
      <c r="AP218" s="25">
        <f t="shared" si="90"/>
        <v>0</v>
      </c>
      <c r="AQ218" s="151" t="str">
        <f>IF(SUMIFS('Supp Consol'!S:S,'Supp Consol'!A:A,O218,'Supp Consol'!I:I,"PENDING")=0,"",SUMIFS('Supp Consol'!S:S,'Supp Consol'!A:A,O218,'Supp Consol'!I:I,"PENDING"))</f>
        <v/>
      </c>
      <c r="AR218" s="27" t="str">
        <f t="shared" si="91"/>
        <v>ALN02</v>
      </c>
      <c r="AS218" s="27" t="str">
        <f t="shared" si="92"/>
        <v>50</v>
      </c>
      <c r="AT218" s="27" t="str">
        <f t="shared" si="93"/>
        <v>ALN02</v>
      </c>
      <c r="AU218" s="27" t="str">
        <f t="shared" si="94"/>
        <v>ALN02</v>
      </c>
      <c r="AV218" s="27" t="str">
        <f t="shared" si="95"/>
        <v>ALN02</v>
      </c>
      <c r="AW218" s="27" t="str">
        <f t="shared" si="96"/>
        <v/>
      </c>
      <c r="AX218" s="27" t="str">
        <f t="shared" si="97"/>
        <v/>
      </c>
      <c r="AY218" s="27" t="str">
        <f t="shared" si="98"/>
        <v/>
      </c>
      <c r="AZ218" s="27" t="str">
        <f t="shared" si="99"/>
        <v/>
      </c>
      <c r="BA218" s="27" t="str">
        <f t="shared" si="100"/>
        <v/>
      </c>
      <c r="BB218" s="27" t="str">
        <f t="shared" si="101"/>
        <v>Gross</v>
      </c>
      <c r="BC218" s="27" t="str">
        <f t="shared" si="102"/>
        <v>Net</v>
      </c>
      <c r="BD218" s="27" t="str">
        <f t="shared" si="103"/>
        <v>Net</v>
      </c>
      <c r="BE218" s="27" t="str">
        <f t="shared" si="104"/>
        <v/>
      </c>
      <c r="BF218" s="27" t="str">
        <f t="shared" si="105"/>
        <v/>
      </c>
      <c r="BG218" s="27" t="str">
        <f t="shared" si="106"/>
        <v/>
      </c>
      <c r="BH218" s="27" t="str">
        <f t="shared" si="107"/>
        <v/>
      </c>
      <c r="BI218" s="27" t="str">
        <f t="shared" si="108"/>
        <v/>
      </c>
      <c r="BJ218" s="27" t="str">
        <f t="shared" si="109"/>
        <v/>
      </c>
      <c r="BK218" s="27" t="str">
        <f t="shared" si="110"/>
        <v/>
      </c>
      <c r="BL218" s="27" t="str">
        <f t="shared" si="111"/>
        <v/>
      </c>
      <c r="BM218" s="21" t="s">
        <v>5581</v>
      </c>
    </row>
    <row r="219" spans="1:65" ht="15">
      <c r="A219" s="25" t="str">
        <f>IFERROR(INDEX('Hun Demand'!W:W,MATCH(O219,'Hun Demand'!A:A,0)),"")</f>
        <v/>
      </c>
      <c r="B219" s="25" t="str">
        <f>IFERROR(INDEX('Hun Demand'!V:V,MATCH(O219,'Hun Demand'!A:A,0)),"")</f>
        <v/>
      </c>
      <c r="C219" s="25" t="str">
        <f>IFERROR(INDEX('Hun Demand'!U:U,MATCH(O219,'Hun Demand'!A:A,0)),"")</f>
        <v/>
      </c>
      <c r="D219" s="25" t="str">
        <f>IFERROR(INDEX('Hun Demand'!T:T,MATCH(O219,'Hun Demand'!A:A,0)),"")</f>
        <v/>
      </c>
      <c r="E219" s="25" t="str">
        <f>IFERROR(INDEX('Hun Demand'!S:S,MATCH(O219,'Hun Demand'!A:A,0)),"")</f>
        <v/>
      </c>
      <c r="F219" s="25" t="str">
        <f>IFERROR(INDEX('Hun Demand'!R:R,MATCH(O219,'Hun Demand'!A:A,0)),"")</f>
        <v/>
      </c>
      <c r="G219" s="25">
        <f>IFERROR(INDEX('Aub Demand'!W:W,MATCH(O219,'Aub Demand'!A:A,0)),"")</f>
        <v>0</v>
      </c>
      <c r="H219" s="25">
        <f>IFERROR(INDEX('Aub Demand'!V:V,MATCH(O219,'Aub Demand'!A:A,0)),"")</f>
        <v>17</v>
      </c>
      <c r="I219" s="25">
        <f>IFERROR(INDEX('Aub Demand'!U:U,MATCH(O219,'Aub Demand'!A:A,0)),"")</f>
        <v>0</v>
      </c>
      <c r="J219" s="25">
        <f>IFERROR(INDEX('Aub Demand'!T:T,MATCH(O219,'Aub Demand'!A:A,0)),"")</f>
        <v>0</v>
      </c>
      <c r="K219" s="25">
        <f>IFERROR(INDEX('Aub Demand'!S:S,MATCH(O219,'Aub Demand'!A:A,0)),"")</f>
        <v>0</v>
      </c>
      <c r="L219" s="25">
        <f>IFERROR(INDEX('Aub Demand'!R:R,MATCH(O219,'Aub Demand'!A:A,0)),"")</f>
        <v>0</v>
      </c>
      <c r="O219" s="27" t="s">
        <v>2079</v>
      </c>
      <c r="P219" s="27" t="str">
        <f>IFERROR(INDEX('Aub Demand'!B:B,MATCH($O219,'Aub Demand'!$A:$A,0)),"")</f>
        <v>DECADENT ALLUSION 62</v>
      </c>
      <c r="Q219" s="27" t="str">
        <f>IFERROR(INDEX('Aub Demand'!C:C,MATCH($O219,'Aub Demand'!$A:$A,0)),"")</f>
        <v>INTER</v>
      </c>
      <c r="R219" s="52">
        <f>IFERROR(IF(AR220=AR219,INDEX('Aub Demand'!K:K,MATCH($O219,'Aub Demand'!$A:$A,0))-IF(AN219="",0,AN219)+AP220,INDEX('Aub Demand'!K:K,MATCH($O219,'Aub Demand'!$A:$A,0))-IF(AN219="",0,AN219)),"")</f>
        <v>844</v>
      </c>
      <c r="S219" s="53" t="str">
        <f t="shared" si="84"/>
        <v>n/a</v>
      </c>
      <c r="T219" s="52" t="str">
        <f t="shared" si="85"/>
        <v/>
      </c>
      <c r="U219" s="52">
        <f>IFERROR(IF(AR220=AR219,INDEX('Aub Demand'!Q:Q,MATCH($O219,'Aub Demand'!$A:$A,0))-IF(AN219="",0,AN219)+AP220,INDEX('Aub Demand'!Q:Q,MATCH($O219,'Aub Demand'!$A:$A,0))-IF(AN219="",0,AN219)),"")</f>
        <v>844</v>
      </c>
      <c r="V219" s="53" t="str">
        <f t="shared" si="86"/>
        <v>n/a</v>
      </c>
      <c r="W219" s="52" t="str">
        <f t="shared" si="87"/>
        <v/>
      </c>
      <c r="X219" s="52">
        <f>IFERROR(IF(AND(AR220=AR219,AM219&lt;&gt;""),INDEX('Aub Demand'!Q:Q,MATCH($O219,'Aub Demand'!$A:$A,0))-IF(AN219="",0,AN219)+AP220+AD219+AL219,IF(AR220=AR219,INDEX('Aub Demand'!Q:Q,MATCH($O219,'Aub Demand'!$A:$A,0))-IF(AN219="",0,AN219)+AP220+AD219,IF(AM219&lt;&gt;"",INDEX('Aub Demand'!Q:Q,MATCH($O219,'Aub Demand'!$A:$A,0))-IF(AN219="",0,AN219)+AD219+AL219,INDEX('Aub Demand'!Q:Q,MATCH($O219,'Aub Demand'!$A:$A,0))-IF(AN219="",0,AN219)+AD219))),"")</f>
        <v>844</v>
      </c>
      <c r="Y219" s="53" t="str">
        <f t="shared" si="88"/>
        <v>n/a</v>
      </c>
      <c r="Z219" s="52">
        <f>IF(L219="","",INDEX('Aub Demand'!H:H,MATCH($O219,'Aub Demand'!$A:$A,0)))</f>
        <v>0</v>
      </c>
      <c r="AA219" s="52" t="str">
        <f t="shared" si="89"/>
        <v>-spike-</v>
      </c>
      <c r="AB219" s="52">
        <f>IFERROR(INDEX('Aub Demand'!L:L,MATCH($O219,'Aub Demand'!$A:$A,0)),"")</f>
        <v>11</v>
      </c>
      <c r="AC219" s="52">
        <f>IFERROR(IF(O219="","",SUMIFS('CPL Mats'!F:F,'CPL Mats'!Q:Q,AR219,'CPL Mats'!S:S,AS219)),"")</f>
        <v>0</v>
      </c>
      <c r="AF219" s="25" t="str">
        <f>IF(SUMIFS('Supp Consol'!S:S,'Supp Consol'!Y:Y,"Releasable",'Supp Consol'!A:A,O219)=0,"",SUMIFS('Supp Consol'!S:S,'Supp Consol'!Y:Y,"Releasable",'Supp Consol'!A:A,O219))</f>
        <v/>
      </c>
      <c r="AG219" s="25" t="str">
        <f>IFERROR(INDEX('Hun Demand'!Q:Q,MATCH(O219,'Hun Demand'!A:A,0)),"")</f>
        <v/>
      </c>
      <c r="AH219" s="25" t="str">
        <f>IFERROR(INDEX('Hun Demand'!H:H,MATCH($O219,'Hun Demand'!$A:$A,0)),"")</f>
        <v/>
      </c>
      <c r="AI219" s="25" t="str">
        <f>IF(SUMIFS('Supp Consol'!AA:AA,'Supp Consol'!Z:Z,"Expires this month",'Supp Consol'!A:A,O219)=0,"",SUMIFS('Supp Consol'!AA:AA,'Supp Consol'!Z:Z,"Expires this month",'Supp Consol'!A:A,O219))</f>
        <v/>
      </c>
      <c r="AJ219" s="25" t="str">
        <f>IF(SUMIFS('Supp Consol'!AA:AA,'Supp Consol'!Z:Z,"Expired Previous Months",'Supp Consol'!A:A,O219)=0,"",SUMIFS('Supp Consol'!AA:AA,'Supp Consol'!Z:Z,"Expired Previous Months",'Supp Consol'!A:A,O219))</f>
        <v/>
      </c>
      <c r="AK219" s="25" t="str">
        <f>IFERROR(INDEX('Hun Release Current'!B:B,MATCH(O219,'Hun Release Current'!A:A,0)),"")</f>
        <v/>
      </c>
      <c r="AL219" s="25" t="str">
        <f>IF(SUMIF('Prev Aub'!A:A,O219,'Prev Aub'!B:B)=0,"",SUMIF('Prev Aub'!A:A,O219,'Prev Aub'!B:B))</f>
        <v/>
      </c>
      <c r="AN219" s="25" t="s">
        <v>3790</v>
      </c>
      <c r="AO219" s="25" t="s">
        <v>3790</v>
      </c>
      <c r="AP219" s="25">
        <f t="shared" si="90"/>
        <v>0</v>
      </c>
      <c r="AQ219" s="151" t="str">
        <f>IF(SUMIFS('Supp Consol'!S:S,'Supp Consol'!A:A,O219,'Supp Consol'!I:I,"PENDING")=0,"",SUMIFS('Supp Consol'!S:S,'Supp Consol'!A:A,O219,'Supp Consol'!I:I,"PENDING"))</f>
        <v/>
      </c>
      <c r="AR219" s="27" t="str">
        <f t="shared" si="91"/>
        <v>ALN02</v>
      </c>
      <c r="AS219" s="27" t="str">
        <f t="shared" si="92"/>
        <v>62</v>
      </c>
      <c r="AT219" s="27" t="str">
        <f t="shared" si="93"/>
        <v/>
      </c>
      <c r="AU219" s="27" t="str">
        <f t="shared" si="94"/>
        <v/>
      </c>
      <c r="AV219" s="27" t="str">
        <f t="shared" si="95"/>
        <v/>
      </c>
      <c r="AW219" s="27" t="str">
        <f t="shared" si="96"/>
        <v/>
      </c>
      <c r="AX219" s="27" t="str">
        <f t="shared" si="97"/>
        <v/>
      </c>
      <c r="AY219" s="27" t="str">
        <f t="shared" si="98"/>
        <v/>
      </c>
      <c r="AZ219" s="27" t="str">
        <f t="shared" si="99"/>
        <v/>
      </c>
      <c r="BA219" s="27" t="str">
        <f t="shared" si="100"/>
        <v/>
      </c>
      <c r="BB219" s="27" t="str">
        <f t="shared" si="101"/>
        <v>Gross</v>
      </c>
      <c r="BC219" s="27" t="str">
        <f t="shared" si="102"/>
        <v>Net</v>
      </c>
      <c r="BD219" s="27" t="str">
        <f t="shared" si="103"/>
        <v>Net</v>
      </c>
      <c r="BE219" s="27" t="str">
        <f t="shared" si="104"/>
        <v/>
      </c>
      <c r="BF219" s="27" t="str">
        <f t="shared" si="105"/>
        <v/>
      </c>
      <c r="BG219" s="27" t="str">
        <f t="shared" si="106"/>
        <v/>
      </c>
      <c r="BH219" s="27" t="str">
        <f t="shared" si="107"/>
        <v/>
      </c>
      <c r="BI219" s="27" t="str">
        <f t="shared" si="108"/>
        <v/>
      </c>
      <c r="BJ219" s="27" t="str">
        <f t="shared" si="109"/>
        <v/>
      </c>
      <c r="BK219" s="27" t="str">
        <f t="shared" si="110"/>
        <v/>
      </c>
      <c r="BL219" s="27" t="str">
        <f t="shared" si="111"/>
        <v/>
      </c>
      <c r="BM219" s="21" t="s">
        <v>5581</v>
      </c>
    </row>
    <row r="220" spans="1:65" ht="15">
      <c r="A220" s="25" t="str">
        <f>IFERROR(INDEX('Hun Demand'!W:W,MATCH(O220,'Hun Demand'!A:A,0)),"")</f>
        <v/>
      </c>
      <c r="B220" s="25" t="str">
        <f>IFERROR(INDEX('Hun Demand'!V:V,MATCH(O220,'Hun Demand'!A:A,0)),"")</f>
        <v/>
      </c>
      <c r="C220" s="25" t="str">
        <f>IFERROR(INDEX('Hun Demand'!U:U,MATCH(O220,'Hun Demand'!A:A,0)),"")</f>
        <v/>
      </c>
      <c r="D220" s="25" t="str">
        <f>IFERROR(INDEX('Hun Demand'!T:T,MATCH(O220,'Hun Demand'!A:A,0)),"")</f>
        <v/>
      </c>
      <c r="E220" s="25" t="str">
        <f>IFERROR(INDEX('Hun Demand'!S:S,MATCH(O220,'Hun Demand'!A:A,0)),"")</f>
        <v/>
      </c>
      <c r="F220" s="25" t="str">
        <f>IFERROR(INDEX('Hun Demand'!R:R,MATCH(O220,'Hun Demand'!A:A,0)),"")</f>
        <v/>
      </c>
      <c r="G220" s="25">
        <f>IFERROR(INDEX('Aub Demand'!W:W,MATCH(O220,'Aub Demand'!A:A,0)),"")</f>
        <v>0</v>
      </c>
      <c r="H220" s="25">
        <f>IFERROR(INDEX('Aub Demand'!V:V,MATCH(O220,'Aub Demand'!A:A,0)),"")</f>
        <v>0</v>
      </c>
      <c r="I220" s="25">
        <f>IFERROR(INDEX('Aub Demand'!U:U,MATCH(O220,'Aub Demand'!A:A,0)),"")</f>
        <v>17</v>
      </c>
      <c r="J220" s="25">
        <f>IFERROR(INDEX('Aub Demand'!T:T,MATCH(O220,'Aub Demand'!A:A,0)),"")</f>
        <v>16</v>
      </c>
      <c r="K220" s="25">
        <f>IFERROR(INDEX('Aub Demand'!S:S,MATCH(O220,'Aub Demand'!A:A,0)),"")</f>
        <v>68</v>
      </c>
      <c r="L220" s="25">
        <f>IFERROR(INDEX('Aub Demand'!R:R,MATCH(O220,'Aub Demand'!A:A,0)),"")</f>
        <v>0</v>
      </c>
      <c r="O220" s="27" t="s">
        <v>2082</v>
      </c>
      <c r="P220" s="27" t="str">
        <f>IFERROR(INDEX('Aub Demand'!B:B,MATCH($O220,'Aub Demand'!$A:$A,0)),"")</f>
        <v>WALL STREET ALLUSION</v>
      </c>
      <c r="Q220" s="27" t="str">
        <f>IFERROR(INDEX('Aub Demand'!C:C,MATCH($O220,'Aub Demand'!$A:$A,0)),"")</f>
        <v>INTER</v>
      </c>
      <c r="R220" s="52">
        <f>IFERROR(IF(AR221=AR220,INDEX('Aub Demand'!K:K,MATCH($O220,'Aub Demand'!$A:$A,0))-IF(AN220="",0,AN220)+AP221,INDEX('Aub Demand'!K:K,MATCH($O220,'Aub Demand'!$A:$A,0))-IF(AN220="",0,AN220)),"")</f>
        <v>0</v>
      </c>
      <c r="S220" s="53">
        <f t="shared" si="84"/>
        <v>0</v>
      </c>
      <c r="T220" s="52">
        <f t="shared" si="85"/>
        <v>31.875</v>
      </c>
      <c r="U220" s="52">
        <f>IFERROR(IF(AR221=AR220,INDEX('Aub Demand'!Q:Q,MATCH($O220,'Aub Demand'!$A:$A,0))-IF(AN220="",0,AN220)+AP221,INDEX('Aub Demand'!Q:Q,MATCH($O220,'Aub Demand'!$A:$A,0))-IF(AN220="",0,AN220)),"")</f>
        <v>-11</v>
      </c>
      <c r="V220" s="53">
        <f t="shared" si="86"/>
        <v>-1.4</v>
      </c>
      <c r="W220" s="52">
        <f t="shared" si="87"/>
        <v>46.750000000000007</v>
      </c>
      <c r="X220" s="52">
        <f>IFERROR(IF(AND(AR221=AR220,AM220&lt;&gt;""),INDEX('Aub Demand'!Q:Q,MATCH($O220,'Aub Demand'!$A:$A,0))-IF(AN220="",0,AN220)+AP221+AD220+AL220,IF(AR221=AR220,INDEX('Aub Demand'!Q:Q,MATCH($O220,'Aub Demand'!$A:$A,0))-IF(AN220="",0,AN220)+AP221+AD220,IF(AM220&lt;&gt;"",INDEX('Aub Demand'!Q:Q,MATCH($O220,'Aub Demand'!$A:$A,0))-IF(AN220="",0,AN220)+AD220+AL220,INDEX('Aub Demand'!Q:Q,MATCH($O220,'Aub Demand'!$A:$A,0))-IF(AN220="",0,AN220)+AD220))),"")</f>
        <v>-11</v>
      </c>
      <c r="Y220" s="53">
        <f t="shared" si="88"/>
        <v>-1.4</v>
      </c>
      <c r="Z220" s="52">
        <f>IF(L220="","",INDEX('Aub Demand'!H:H,MATCH($O220,'Aub Demand'!$A:$A,0)))</f>
        <v>34</v>
      </c>
      <c r="AA220" s="52">
        <f t="shared" si="89"/>
        <v>42.5</v>
      </c>
      <c r="AB220" s="52">
        <f>IFERROR(INDEX('Aub Demand'!L:L,MATCH($O220,'Aub Demand'!$A:$A,0)),"")</f>
        <v>27</v>
      </c>
      <c r="AC220" s="52">
        <f>IFERROR(IF(O220="","",SUMIFS('CPL Mats'!F:F,'CPL Mats'!Q:Q,AR220,'CPL Mats'!S:S,AS220)),"")</f>
        <v>0</v>
      </c>
      <c r="AF220" s="25" t="str">
        <f>IF(SUMIFS('Supp Consol'!S:S,'Supp Consol'!Y:Y,"Releasable",'Supp Consol'!A:A,O220)=0,"",SUMIFS('Supp Consol'!S:S,'Supp Consol'!Y:Y,"Releasable",'Supp Consol'!A:A,O220))</f>
        <v/>
      </c>
      <c r="AG220" s="25" t="str">
        <f>IFERROR(INDEX('Hun Demand'!Q:Q,MATCH(O220,'Hun Demand'!A:A,0)),"")</f>
        <v/>
      </c>
      <c r="AH220" s="25" t="str">
        <f>IFERROR(INDEX('Hun Demand'!H:H,MATCH($O220,'Hun Demand'!$A:$A,0)),"")</f>
        <v/>
      </c>
      <c r="AI220" s="25" t="str">
        <f>IF(SUMIFS('Supp Consol'!AA:AA,'Supp Consol'!Z:Z,"Expires this month",'Supp Consol'!A:A,O220)=0,"",SUMIFS('Supp Consol'!AA:AA,'Supp Consol'!Z:Z,"Expires this month",'Supp Consol'!A:A,O220))</f>
        <v/>
      </c>
      <c r="AJ220" s="25" t="str">
        <f>IF(SUMIFS('Supp Consol'!AA:AA,'Supp Consol'!Z:Z,"Expired Previous Months",'Supp Consol'!A:A,O220)=0,"",SUMIFS('Supp Consol'!AA:AA,'Supp Consol'!Z:Z,"Expired Previous Months",'Supp Consol'!A:A,O220))</f>
        <v/>
      </c>
      <c r="AK220" s="25" t="str">
        <f>IFERROR(INDEX('Hun Release Current'!B:B,MATCH(O220,'Hun Release Current'!A:A,0)),"")</f>
        <v/>
      </c>
      <c r="AL220" s="25" t="str">
        <f>IF(SUMIF('Prev Aub'!A:A,O220,'Prev Aub'!B:B)=0,"",SUMIF('Prev Aub'!A:A,O220,'Prev Aub'!B:B))</f>
        <v/>
      </c>
      <c r="AN220" s="25" t="s">
        <v>3790</v>
      </c>
      <c r="AO220" s="25" t="s">
        <v>3790</v>
      </c>
      <c r="AP220" s="25">
        <f t="shared" si="90"/>
        <v>0</v>
      </c>
      <c r="AQ220" s="151" t="str">
        <f>IF(SUMIFS('Supp Consol'!S:S,'Supp Consol'!A:A,O220,'Supp Consol'!I:I,"PENDING")=0,"",SUMIFS('Supp Consol'!S:S,'Supp Consol'!A:A,O220,'Supp Consol'!I:I,"PENDING"))</f>
        <v/>
      </c>
      <c r="AR220" s="27" t="str">
        <f t="shared" si="91"/>
        <v>ALT05</v>
      </c>
      <c r="AS220" s="27" t="str">
        <f t="shared" si="92"/>
        <v>50</v>
      </c>
      <c r="AT220" s="27" t="str">
        <f t="shared" si="93"/>
        <v>ALT05</v>
      </c>
      <c r="AU220" s="27" t="str">
        <f t="shared" si="94"/>
        <v>ALT05</v>
      </c>
      <c r="AV220" s="27" t="str">
        <f t="shared" si="95"/>
        <v>ALT05</v>
      </c>
      <c r="AW220" s="27" t="str">
        <f t="shared" si="96"/>
        <v/>
      </c>
      <c r="AX220" s="27" t="str">
        <f t="shared" si="97"/>
        <v/>
      </c>
      <c r="AY220" s="27" t="str">
        <f t="shared" si="98"/>
        <v/>
      </c>
      <c r="AZ220" s="27" t="str">
        <f t="shared" si="99"/>
        <v/>
      </c>
      <c r="BA220" s="27" t="str">
        <f t="shared" si="100"/>
        <v/>
      </c>
      <c r="BB220" s="27" t="str">
        <f t="shared" si="101"/>
        <v>Gross</v>
      </c>
      <c r="BC220" s="27" t="str">
        <f t="shared" si="102"/>
        <v>Net</v>
      </c>
      <c r="BD220" s="27" t="str">
        <f t="shared" si="103"/>
        <v>Net</v>
      </c>
      <c r="BE220" s="27" t="str">
        <f t="shared" si="104"/>
        <v/>
      </c>
      <c r="BF220" s="27" t="str">
        <f t="shared" si="105"/>
        <v/>
      </c>
      <c r="BG220" s="27" t="str">
        <f t="shared" si="106"/>
        <v/>
      </c>
      <c r="BH220" s="27" t="str">
        <f t="shared" si="107"/>
        <v/>
      </c>
      <c r="BI220" s="27" t="str">
        <f t="shared" si="108"/>
        <v/>
      </c>
      <c r="BJ220" s="27" t="str">
        <f t="shared" si="109"/>
        <v/>
      </c>
      <c r="BK220" s="27" t="str">
        <f t="shared" si="110"/>
        <v/>
      </c>
      <c r="BL220" s="27" t="str">
        <f t="shared" si="111"/>
        <v/>
      </c>
      <c r="BM220" s="21" t="s">
        <v>5581</v>
      </c>
    </row>
    <row r="221" spans="1:65" ht="15">
      <c r="A221" s="25" t="str">
        <f>IFERROR(INDEX('Hun Demand'!W:W,MATCH(O221,'Hun Demand'!A:A,0)),"")</f>
        <v/>
      </c>
      <c r="B221" s="25" t="str">
        <f>IFERROR(INDEX('Hun Demand'!V:V,MATCH(O221,'Hun Demand'!A:A,0)),"")</f>
        <v/>
      </c>
      <c r="C221" s="25" t="str">
        <f>IFERROR(INDEX('Hun Demand'!U:U,MATCH(O221,'Hun Demand'!A:A,0)),"")</f>
        <v/>
      </c>
      <c r="D221" s="25" t="str">
        <f>IFERROR(INDEX('Hun Demand'!T:T,MATCH(O221,'Hun Demand'!A:A,0)),"")</f>
        <v/>
      </c>
      <c r="E221" s="25" t="str">
        <f>IFERROR(INDEX('Hun Demand'!S:S,MATCH(O221,'Hun Demand'!A:A,0)),"")</f>
        <v/>
      </c>
      <c r="F221" s="25" t="str">
        <f>IFERROR(INDEX('Hun Demand'!R:R,MATCH(O221,'Hun Demand'!A:A,0)),"")</f>
        <v/>
      </c>
      <c r="G221" s="25">
        <f>IFERROR(INDEX('Aub Demand'!W:W,MATCH(O221,'Aub Demand'!A:A,0)),"")</f>
        <v>0</v>
      </c>
      <c r="H221" s="25">
        <f>IFERROR(INDEX('Aub Demand'!V:V,MATCH(O221,'Aub Demand'!A:A,0)),"")</f>
        <v>0</v>
      </c>
      <c r="I221" s="25">
        <f>IFERROR(INDEX('Aub Demand'!U:U,MATCH(O221,'Aub Demand'!A:A,0)),"")</f>
        <v>16</v>
      </c>
      <c r="J221" s="25">
        <f>IFERROR(INDEX('Aub Demand'!T:T,MATCH(O221,'Aub Demand'!A:A,0)),"")</f>
        <v>109</v>
      </c>
      <c r="K221" s="25">
        <f>IFERROR(INDEX('Aub Demand'!S:S,MATCH(O221,'Aub Demand'!A:A,0)),"")</f>
        <v>190</v>
      </c>
      <c r="L221" s="25">
        <f>IFERROR(INDEX('Aub Demand'!R:R,MATCH(O221,'Aub Demand'!A:A,0)),"")</f>
        <v>0</v>
      </c>
      <c r="O221" s="27" t="s">
        <v>2084</v>
      </c>
      <c r="P221" s="27" t="str">
        <f>IFERROR(INDEX('Aub Demand'!B:B,MATCH($O221,'Aub Demand'!$A:$A,0)),"")</f>
        <v>WALL STREET ALLUSION</v>
      </c>
      <c r="Q221" s="27" t="str">
        <f>IFERROR(INDEX('Aub Demand'!C:C,MATCH($O221,'Aub Demand'!$A:$A,0)),"")</f>
        <v>INTER</v>
      </c>
      <c r="R221" s="52">
        <f>IFERROR(IF(AR222=AR221,INDEX('Aub Demand'!K:K,MATCH($O221,'Aub Demand'!$A:$A,0))-IF(AN221="",0,AN221)+AP222,INDEX('Aub Demand'!K:K,MATCH($O221,'Aub Demand'!$A:$A,0))-IF(AN221="",0,AN221)),"")</f>
        <v>591</v>
      </c>
      <c r="S221" s="53">
        <f t="shared" si="84"/>
        <v>24.1</v>
      </c>
      <c r="T221" s="52" t="str">
        <f t="shared" si="85"/>
        <v/>
      </c>
      <c r="U221" s="52">
        <f>IFERROR(IF(AR222=AR221,INDEX('Aub Demand'!Q:Q,MATCH($O221,'Aub Demand'!$A:$A,0))-IF(AN221="",0,AN221)+AP222,INDEX('Aub Demand'!Q:Q,MATCH($O221,'Aub Demand'!$A:$A,0))-IF(AN221="",0,AN221)),"")</f>
        <v>590</v>
      </c>
      <c r="V221" s="53">
        <f t="shared" si="86"/>
        <v>24.1</v>
      </c>
      <c r="W221" s="52" t="str">
        <f t="shared" si="87"/>
        <v/>
      </c>
      <c r="X221" s="52">
        <f>IFERROR(IF(AND(AR222=AR221,AM221&lt;&gt;""),INDEX('Aub Demand'!Q:Q,MATCH($O221,'Aub Demand'!$A:$A,0))-IF(AN221="",0,AN221)+AP222+AD221+AL221,IF(AR222=AR221,INDEX('Aub Demand'!Q:Q,MATCH($O221,'Aub Demand'!$A:$A,0))-IF(AN221="",0,AN221)+AP222+AD221,IF(AM221&lt;&gt;"",INDEX('Aub Demand'!Q:Q,MATCH($O221,'Aub Demand'!$A:$A,0))-IF(AN221="",0,AN221)+AD221+AL221,INDEX('Aub Demand'!Q:Q,MATCH($O221,'Aub Demand'!$A:$A,0))-IF(AN221="",0,AN221)+AD221))),"")</f>
        <v>590</v>
      </c>
      <c r="Y221" s="53">
        <f t="shared" si="88"/>
        <v>24.1</v>
      </c>
      <c r="Z221" s="52">
        <f>IF(L221="","",INDEX('Aub Demand'!H:H,MATCH($O221,'Aub Demand'!$A:$A,0)))</f>
        <v>105</v>
      </c>
      <c r="AA221" s="52">
        <f t="shared" si="89"/>
        <v>149.5</v>
      </c>
      <c r="AB221" s="52">
        <f>IFERROR(INDEX('Aub Demand'!L:L,MATCH($O221,'Aub Demand'!$A:$A,0)),"")</f>
        <v>131</v>
      </c>
      <c r="AC221" s="52">
        <f>IFERROR(IF(O221="","",SUMIFS('CPL Mats'!F:F,'CPL Mats'!Q:Q,AR221,'CPL Mats'!S:S,AS221)),"")</f>
        <v>0</v>
      </c>
      <c r="AF221" s="25" t="str">
        <f>IF(SUMIFS('Supp Consol'!S:S,'Supp Consol'!Y:Y,"Releasable",'Supp Consol'!A:A,O221)=0,"",SUMIFS('Supp Consol'!S:S,'Supp Consol'!Y:Y,"Releasable",'Supp Consol'!A:A,O221))</f>
        <v/>
      </c>
      <c r="AG221" s="25" t="str">
        <f>IFERROR(INDEX('Hun Demand'!Q:Q,MATCH(O221,'Hun Demand'!A:A,0)),"")</f>
        <v/>
      </c>
      <c r="AH221" s="25" t="str">
        <f>IFERROR(INDEX('Hun Demand'!H:H,MATCH($O221,'Hun Demand'!$A:$A,0)),"")</f>
        <v/>
      </c>
      <c r="AI221" s="25" t="str">
        <f>IF(SUMIFS('Supp Consol'!AA:AA,'Supp Consol'!Z:Z,"Expires this month",'Supp Consol'!A:A,O221)=0,"",SUMIFS('Supp Consol'!AA:AA,'Supp Consol'!Z:Z,"Expires this month",'Supp Consol'!A:A,O221))</f>
        <v/>
      </c>
      <c r="AJ221" s="25" t="str">
        <f>IF(SUMIFS('Supp Consol'!AA:AA,'Supp Consol'!Z:Z,"Expired Previous Months",'Supp Consol'!A:A,O221)=0,"",SUMIFS('Supp Consol'!AA:AA,'Supp Consol'!Z:Z,"Expired Previous Months",'Supp Consol'!A:A,O221))</f>
        <v/>
      </c>
      <c r="AK221" s="25" t="str">
        <f>IFERROR(INDEX('Hun Release Current'!B:B,MATCH(O221,'Hun Release Current'!A:A,0)),"")</f>
        <v/>
      </c>
      <c r="AL221" s="25" t="str">
        <f>IF(SUMIF('Prev Aub'!A:A,O221,'Prev Aub'!B:B)=0,"",SUMIF('Prev Aub'!A:A,O221,'Prev Aub'!B:B))</f>
        <v/>
      </c>
      <c r="AN221" s="25" t="s">
        <v>3790</v>
      </c>
      <c r="AO221" s="25" t="s">
        <v>3790</v>
      </c>
      <c r="AP221" s="25">
        <f t="shared" si="90"/>
        <v>0</v>
      </c>
      <c r="AQ221" s="151" t="str">
        <f>IF(SUMIFS('Supp Consol'!S:S,'Supp Consol'!A:A,O221,'Supp Consol'!I:I,"PENDING")=0,"",SUMIFS('Supp Consol'!S:S,'Supp Consol'!A:A,O221,'Supp Consol'!I:I,"PENDING"))</f>
        <v/>
      </c>
      <c r="AR221" s="27" t="str">
        <f t="shared" si="91"/>
        <v>ALT05</v>
      </c>
      <c r="AS221" s="27" t="str">
        <f t="shared" si="92"/>
        <v>62</v>
      </c>
      <c r="AT221" s="27" t="str">
        <f t="shared" si="93"/>
        <v/>
      </c>
      <c r="AU221" s="27" t="str">
        <f t="shared" si="94"/>
        <v/>
      </c>
      <c r="AV221" s="27" t="str">
        <f t="shared" si="95"/>
        <v/>
      </c>
      <c r="AW221" s="27" t="str">
        <f t="shared" si="96"/>
        <v/>
      </c>
      <c r="AX221" s="27" t="str">
        <f t="shared" si="97"/>
        <v/>
      </c>
      <c r="AY221" s="27" t="str">
        <f t="shared" si="98"/>
        <v/>
      </c>
      <c r="AZ221" s="27" t="str">
        <f t="shared" si="99"/>
        <v/>
      </c>
      <c r="BA221" s="27" t="str">
        <f t="shared" si="100"/>
        <v/>
      </c>
      <c r="BB221" s="27" t="str">
        <f t="shared" si="101"/>
        <v>Gross</v>
      </c>
      <c r="BC221" s="27" t="str">
        <f t="shared" si="102"/>
        <v>Net</v>
      </c>
      <c r="BD221" s="27" t="str">
        <f t="shared" si="103"/>
        <v>Net</v>
      </c>
      <c r="BE221" s="27" t="str">
        <f t="shared" si="104"/>
        <v/>
      </c>
      <c r="BF221" s="27" t="str">
        <f t="shared" si="105"/>
        <v/>
      </c>
      <c r="BG221" s="27" t="str">
        <f t="shared" si="106"/>
        <v/>
      </c>
      <c r="BH221" s="27" t="str">
        <f t="shared" si="107"/>
        <v/>
      </c>
      <c r="BI221" s="27" t="str">
        <f t="shared" si="108"/>
        <v/>
      </c>
      <c r="BJ221" s="27" t="str">
        <f t="shared" si="109"/>
        <v/>
      </c>
      <c r="BK221" s="27" t="str">
        <f t="shared" si="110"/>
        <v/>
      </c>
      <c r="BL221" s="27" t="str">
        <f t="shared" si="111"/>
        <v/>
      </c>
      <c r="BM221" s="21" t="s">
        <v>5581</v>
      </c>
    </row>
    <row r="222" spans="1:65" ht="15">
      <c r="A222" s="25" t="str">
        <f>IFERROR(INDEX('Hun Demand'!W:W,MATCH(O222,'Hun Demand'!A:A,0)),"")</f>
        <v/>
      </c>
      <c r="B222" s="25" t="str">
        <f>IFERROR(INDEX('Hun Demand'!V:V,MATCH(O222,'Hun Demand'!A:A,0)),"")</f>
        <v/>
      </c>
      <c r="C222" s="25" t="str">
        <f>IFERROR(INDEX('Hun Demand'!U:U,MATCH(O222,'Hun Demand'!A:A,0)),"")</f>
        <v/>
      </c>
      <c r="D222" s="25" t="str">
        <f>IFERROR(INDEX('Hun Demand'!T:T,MATCH(O222,'Hun Demand'!A:A,0)),"")</f>
        <v/>
      </c>
      <c r="E222" s="25" t="str">
        <f>IFERROR(INDEX('Hun Demand'!S:S,MATCH(O222,'Hun Demand'!A:A,0)),"")</f>
        <v/>
      </c>
      <c r="F222" s="25" t="str">
        <f>IFERROR(INDEX('Hun Demand'!R:R,MATCH(O222,'Hun Demand'!A:A,0)),"")</f>
        <v/>
      </c>
      <c r="G222" s="25">
        <f>IFERROR(INDEX('Aub Demand'!W:W,MATCH(O222,'Aub Demand'!A:A,0)),"")</f>
        <v>0</v>
      </c>
      <c r="H222" s="25">
        <f>IFERROR(INDEX('Aub Demand'!V:V,MATCH(O222,'Aub Demand'!A:A,0)),"")</f>
        <v>0</v>
      </c>
      <c r="I222" s="25">
        <f>IFERROR(INDEX('Aub Demand'!U:U,MATCH(O222,'Aub Demand'!A:A,0)),"")</f>
        <v>0</v>
      </c>
      <c r="J222" s="25">
        <f>IFERROR(INDEX('Aub Demand'!T:T,MATCH(O222,'Aub Demand'!A:A,0)),"")</f>
        <v>0</v>
      </c>
      <c r="K222" s="25">
        <f>IFERROR(INDEX('Aub Demand'!S:S,MATCH(O222,'Aub Demand'!A:A,0)),"")</f>
        <v>20</v>
      </c>
      <c r="L222" s="25">
        <f>IFERROR(INDEX('Aub Demand'!R:R,MATCH(O222,'Aub Demand'!A:A,0)),"")</f>
        <v>0</v>
      </c>
      <c r="O222" s="27" t="s">
        <v>6310</v>
      </c>
      <c r="P222" s="27" t="str">
        <f>IFERROR(INDEX('Aub Demand'!B:B,MATCH($O222,'Aub Demand'!$A:$A,0)),"")</f>
        <v>ALUMINITE</v>
      </c>
      <c r="Q222" s="27" t="str">
        <f>IFERROR(INDEX('Aub Demand'!C:C,MATCH($O222,'Aub Demand'!$A:$A,0)),"")</f>
        <v>INTER</v>
      </c>
      <c r="R222" s="52">
        <f>IFERROR(IF(AR223=AR222,INDEX('Aub Demand'!K:K,MATCH($O222,'Aub Demand'!$A:$A,0))-IF(AN222="",0,AN222)+AP223,INDEX('Aub Demand'!K:K,MATCH($O222,'Aub Demand'!$A:$A,0))-IF(AN222="",0,AN222)),"")</f>
        <v>0</v>
      </c>
      <c r="S222" s="53">
        <f t="shared" si="84"/>
        <v>0</v>
      </c>
      <c r="T222" s="52" t="str">
        <f t="shared" si="85"/>
        <v/>
      </c>
      <c r="U222" s="52">
        <f>IFERROR(IF(AR223=AR222,INDEX('Aub Demand'!Q:Q,MATCH($O222,'Aub Demand'!$A:$A,0))-IF(AN222="",0,AN222)+AP223,INDEX('Aub Demand'!Q:Q,MATCH($O222,'Aub Demand'!$A:$A,0))-IF(AN222="",0,AN222)),"")</f>
        <v>-29</v>
      </c>
      <c r="V222" s="53">
        <f t="shared" si="86"/>
        <v>-17.8</v>
      </c>
      <c r="W222" s="52" t="str">
        <f t="shared" si="87"/>
        <v/>
      </c>
      <c r="X222" s="52">
        <f>IFERROR(IF(AND(AR223=AR222,AM222&lt;&gt;""),INDEX('Aub Demand'!Q:Q,MATCH($O222,'Aub Demand'!$A:$A,0))-IF(AN222="",0,AN222)+AP223+AD222+AL222,IF(AR223=AR222,INDEX('Aub Demand'!Q:Q,MATCH($O222,'Aub Demand'!$A:$A,0))-IF(AN222="",0,AN222)+AP223+AD222,IF(AM222&lt;&gt;"",INDEX('Aub Demand'!Q:Q,MATCH($O222,'Aub Demand'!$A:$A,0))-IF(AN222="",0,AN222)+AD222+AL222,INDEX('Aub Demand'!Q:Q,MATCH($O222,'Aub Demand'!$A:$A,0))-IF(AN222="",0,AN222)+AD222))),"")</f>
        <v>-29</v>
      </c>
      <c r="Y222" s="53">
        <f t="shared" si="88"/>
        <v>-17.8</v>
      </c>
      <c r="Z222" s="52">
        <f>IF(L222="","",INDEX('Aub Demand'!H:H,MATCH($O222,'Aub Demand'!$A:$A,0)))</f>
        <v>7</v>
      </c>
      <c r="AA222" s="52" t="str">
        <f t="shared" si="89"/>
        <v>-spike-</v>
      </c>
      <c r="AB222" s="52">
        <f>IFERROR(INDEX('Aub Demand'!L:L,MATCH($O222,'Aub Demand'!$A:$A,0)),"")</f>
        <v>14</v>
      </c>
      <c r="AC222" s="52">
        <f>IFERROR(IF(O222="","",SUMIFS('CPL Mats'!F:F,'CPL Mats'!Q:Q,AR222,'CPL Mats'!S:S,AS222)),"")</f>
        <v>0</v>
      </c>
      <c r="AF222" s="25" t="str">
        <f>IF(SUMIFS('Supp Consol'!S:S,'Supp Consol'!Y:Y,"Releasable",'Supp Consol'!A:A,O222)=0,"",SUMIFS('Supp Consol'!S:S,'Supp Consol'!Y:Y,"Releasable",'Supp Consol'!A:A,O222))</f>
        <v/>
      </c>
      <c r="AG222" s="25" t="str">
        <f>IFERROR(INDEX('Hun Demand'!Q:Q,MATCH(O222,'Hun Demand'!A:A,0)),"")</f>
        <v/>
      </c>
      <c r="AH222" s="25" t="str">
        <f>IFERROR(INDEX('Hun Demand'!H:H,MATCH($O222,'Hun Demand'!$A:$A,0)),"")</f>
        <v/>
      </c>
      <c r="AI222" s="25" t="str">
        <f>IF(SUMIFS('Supp Consol'!AA:AA,'Supp Consol'!Z:Z,"Expires this month",'Supp Consol'!A:A,O222)=0,"",SUMIFS('Supp Consol'!AA:AA,'Supp Consol'!Z:Z,"Expires this month",'Supp Consol'!A:A,O222))</f>
        <v/>
      </c>
      <c r="AJ222" s="25" t="str">
        <f>IF(SUMIFS('Supp Consol'!AA:AA,'Supp Consol'!Z:Z,"Expired Previous Months",'Supp Consol'!A:A,O222)=0,"",SUMIFS('Supp Consol'!AA:AA,'Supp Consol'!Z:Z,"Expired Previous Months",'Supp Consol'!A:A,O222))</f>
        <v/>
      </c>
      <c r="AK222" s="25" t="str">
        <f>IFERROR(INDEX('Hun Release Current'!B:B,MATCH(O222,'Hun Release Current'!A:A,0)),"")</f>
        <v/>
      </c>
      <c r="AL222" s="25" t="str">
        <f>IF(SUMIF('Prev Aub'!A:A,O222,'Prev Aub'!B:B)=0,"",SUMIF('Prev Aub'!A:A,O222,'Prev Aub'!B:B))</f>
        <v/>
      </c>
      <c r="AN222" s="25" t="s">
        <v>3790</v>
      </c>
      <c r="AO222" s="25" t="s">
        <v>3790</v>
      </c>
      <c r="AP222" s="25">
        <f t="shared" si="90"/>
        <v>0</v>
      </c>
      <c r="AQ222" s="151" t="str">
        <f>IF(SUMIFS('Supp Consol'!S:S,'Supp Consol'!A:A,O222,'Supp Consol'!I:I,"PENDING")=0,"",SUMIFS('Supp Consol'!S:S,'Supp Consol'!A:A,O222,'Supp Consol'!I:I,"PENDING"))</f>
        <v/>
      </c>
      <c r="AR222" s="27" t="str">
        <f t="shared" si="91"/>
        <v>AM601</v>
      </c>
      <c r="AS222" s="27" t="str">
        <f t="shared" si="92"/>
        <v>50</v>
      </c>
      <c r="AT222" s="27" t="str">
        <f t="shared" si="93"/>
        <v>AM601</v>
      </c>
      <c r="AU222" s="27" t="str">
        <f t="shared" si="94"/>
        <v>AM601</v>
      </c>
      <c r="AV222" s="27" t="str">
        <f t="shared" si="95"/>
        <v>AM601</v>
      </c>
      <c r="AW222" s="27" t="str">
        <f t="shared" si="96"/>
        <v/>
      </c>
      <c r="AX222" s="27" t="str">
        <f t="shared" si="97"/>
        <v/>
      </c>
      <c r="AY222" s="27" t="str">
        <f t="shared" si="98"/>
        <v/>
      </c>
      <c r="AZ222" s="27" t="str">
        <f t="shared" si="99"/>
        <v/>
      </c>
      <c r="BA222" s="27" t="str">
        <f t="shared" si="100"/>
        <v/>
      </c>
      <c r="BB222" s="27" t="str">
        <f t="shared" si="101"/>
        <v>Gross</v>
      </c>
      <c r="BC222" s="27" t="str">
        <f t="shared" si="102"/>
        <v>Net</v>
      </c>
      <c r="BD222" s="27" t="str">
        <f t="shared" si="103"/>
        <v>Net</v>
      </c>
      <c r="BE222" s="27" t="str">
        <f t="shared" si="104"/>
        <v/>
      </c>
      <c r="BF222" s="27" t="str">
        <f t="shared" si="105"/>
        <v/>
      </c>
      <c r="BG222" s="27" t="str">
        <f t="shared" si="106"/>
        <v/>
      </c>
      <c r="BH222" s="27" t="str">
        <f t="shared" si="107"/>
        <v/>
      </c>
      <c r="BI222" s="27" t="str">
        <f t="shared" si="108"/>
        <v/>
      </c>
      <c r="BJ222" s="27" t="str">
        <f t="shared" si="109"/>
        <v/>
      </c>
      <c r="BK222" s="27" t="str">
        <f t="shared" si="110"/>
        <v/>
      </c>
      <c r="BL222" s="27" t="str">
        <f t="shared" si="111"/>
        <v/>
      </c>
      <c r="BM222" s="21" t="s">
        <v>3790</v>
      </c>
    </row>
    <row r="223" spans="1:65" ht="15">
      <c r="A223" s="25" t="str">
        <f>IFERROR(INDEX('Hun Demand'!W:W,MATCH(O223,'Hun Demand'!A:A,0)),"")</f>
        <v/>
      </c>
      <c r="B223" s="25" t="str">
        <f>IFERROR(INDEX('Hun Demand'!V:V,MATCH(O223,'Hun Demand'!A:A,0)),"")</f>
        <v/>
      </c>
      <c r="C223" s="25" t="str">
        <f>IFERROR(INDEX('Hun Demand'!U:U,MATCH(O223,'Hun Demand'!A:A,0)),"")</f>
        <v/>
      </c>
      <c r="D223" s="25" t="str">
        <f>IFERROR(INDEX('Hun Demand'!T:T,MATCH(O223,'Hun Demand'!A:A,0)),"")</f>
        <v/>
      </c>
      <c r="E223" s="25" t="str">
        <f>IFERROR(INDEX('Hun Demand'!S:S,MATCH(O223,'Hun Demand'!A:A,0)),"")</f>
        <v/>
      </c>
      <c r="F223" s="25" t="str">
        <f>IFERROR(INDEX('Hun Demand'!R:R,MATCH(O223,'Hun Demand'!A:A,0)),"")</f>
        <v/>
      </c>
      <c r="G223" s="25">
        <f>IFERROR(INDEX('Aub Demand'!W:W,MATCH(O223,'Aub Demand'!A:A,0)),"")</f>
        <v>0</v>
      </c>
      <c r="H223" s="25">
        <f>IFERROR(INDEX('Aub Demand'!V:V,MATCH(O223,'Aub Demand'!A:A,0)),"")</f>
        <v>0</v>
      </c>
      <c r="I223" s="25">
        <f>IFERROR(INDEX('Aub Demand'!U:U,MATCH(O223,'Aub Demand'!A:A,0)),"")</f>
        <v>0</v>
      </c>
      <c r="J223" s="25">
        <f>IFERROR(INDEX('Aub Demand'!T:T,MATCH(O223,'Aub Demand'!A:A,0)),"")</f>
        <v>23</v>
      </c>
      <c r="K223" s="25">
        <f>IFERROR(INDEX('Aub Demand'!S:S,MATCH(O223,'Aub Demand'!A:A,0)),"")</f>
        <v>0</v>
      </c>
      <c r="L223" s="25">
        <f>IFERROR(INDEX('Aub Demand'!R:R,MATCH(O223,'Aub Demand'!A:A,0)),"")</f>
        <v>0</v>
      </c>
      <c r="O223" s="27" t="s">
        <v>2085</v>
      </c>
      <c r="P223" s="27" t="str">
        <f>IFERROR(INDEX('Aub Demand'!B:B,MATCH($O223,'Aub Demand'!$A:$A,0)),"")</f>
        <v>ALUMINITE 60"</v>
      </c>
      <c r="Q223" s="27" t="str">
        <f>IFERROR(INDEX('Aub Demand'!C:C,MATCH($O223,'Aub Demand'!$A:$A,0)),"")</f>
        <v>INTER</v>
      </c>
      <c r="R223" s="52">
        <f>IFERROR(IF(AR224=AR223,INDEX('Aub Demand'!K:K,MATCH($O223,'Aub Demand'!$A:$A,0))-IF(AN223="",0,AN223)+AP224,INDEX('Aub Demand'!K:K,MATCH($O223,'Aub Demand'!$A:$A,0))-IF(AN223="",0,AN223)),"")</f>
        <v>1490</v>
      </c>
      <c r="S223" s="53">
        <f t="shared" si="84"/>
        <v>798.2</v>
      </c>
      <c r="T223" s="52" t="str">
        <f t="shared" si="85"/>
        <v/>
      </c>
      <c r="U223" s="52">
        <f>IFERROR(IF(AR224=AR223,INDEX('Aub Demand'!Q:Q,MATCH($O223,'Aub Demand'!$A:$A,0))-IF(AN223="",0,AN223)+AP224,INDEX('Aub Demand'!Q:Q,MATCH($O223,'Aub Demand'!$A:$A,0))-IF(AN223="",0,AN223)),"")</f>
        <v>1490</v>
      </c>
      <c r="V223" s="53">
        <f t="shared" si="86"/>
        <v>798.2</v>
      </c>
      <c r="W223" s="52" t="str">
        <f t="shared" si="87"/>
        <v/>
      </c>
      <c r="X223" s="52">
        <f>IFERROR(IF(AND(AR224=AR223,AM223&lt;&gt;""),INDEX('Aub Demand'!Q:Q,MATCH($O223,'Aub Demand'!$A:$A,0))-IF(AN223="",0,AN223)+AP224+AD223+AL223,IF(AR224=AR223,INDEX('Aub Demand'!Q:Q,MATCH($O223,'Aub Demand'!$A:$A,0))-IF(AN223="",0,AN223)+AP224+AD223,IF(AM223&lt;&gt;"",INDEX('Aub Demand'!Q:Q,MATCH($O223,'Aub Demand'!$A:$A,0))-IF(AN223="",0,AN223)+AD223+AL223,INDEX('Aub Demand'!Q:Q,MATCH($O223,'Aub Demand'!$A:$A,0))-IF(AN223="",0,AN223)+AD223))),"")</f>
        <v>1490</v>
      </c>
      <c r="Y223" s="53">
        <f t="shared" si="88"/>
        <v>798.2</v>
      </c>
      <c r="Z223" s="52">
        <f>IF(L223="","",INDEX('Aub Demand'!H:H,MATCH($O223,'Aub Demand'!$A:$A,0)))</f>
        <v>8</v>
      </c>
      <c r="AA223" s="52" t="str">
        <f t="shared" si="89"/>
        <v>-spike-</v>
      </c>
      <c r="AB223" s="52">
        <f>IFERROR(INDEX('Aub Demand'!L:L,MATCH($O223,'Aub Demand'!$A:$A,0)),"")</f>
        <v>0</v>
      </c>
      <c r="AC223" s="52">
        <f>IFERROR(IF(O223="","",SUMIFS('CPL Mats'!F:F,'CPL Mats'!Q:Q,AR223,'CPL Mats'!S:S,AS223)),"")</f>
        <v>0</v>
      </c>
      <c r="AF223" s="25" t="str">
        <f>IF(SUMIFS('Supp Consol'!S:S,'Supp Consol'!Y:Y,"Releasable",'Supp Consol'!A:A,O223)=0,"",SUMIFS('Supp Consol'!S:S,'Supp Consol'!Y:Y,"Releasable",'Supp Consol'!A:A,O223))</f>
        <v/>
      </c>
      <c r="AG223" s="25" t="str">
        <f>IFERROR(INDEX('Hun Demand'!Q:Q,MATCH(O223,'Hun Demand'!A:A,0)),"")</f>
        <v/>
      </c>
      <c r="AH223" s="25" t="str">
        <f>IFERROR(INDEX('Hun Demand'!H:H,MATCH($O223,'Hun Demand'!$A:$A,0)),"")</f>
        <v/>
      </c>
      <c r="AI223" s="25" t="str">
        <f>IF(SUMIFS('Supp Consol'!AA:AA,'Supp Consol'!Z:Z,"Expires this month",'Supp Consol'!A:A,O223)=0,"",SUMIFS('Supp Consol'!AA:AA,'Supp Consol'!Z:Z,"Expires this month",'Supp Consol'!A:A,O223))</f>
        <v/>
      </c>
      <c r="AJ223" s="25" t="str">
        <f>IF(SUMIFS('Supp Consol'!AA:AA,'Supp Consol'!Z:Z,"Expired Previous Months",'Supp Consol'!A:A,O223)=0,"",SUMIFS('Supp Consol'!AA:AA,'Supp Consol'!Z:Z,"Expired Previous Months",'Supp Consol'!A:A,O223))</f>
        <v/>
      </c>
      <c r="AK223" s="25" t="str">
        <f>IFERROR(INDEX('Hun Release Current'!B:B,MATCH(O223,'Hun Release Current'!A:A,0)),"")</f>
        <v/>
      </c>
      <c r="AL223" s="25" t="str">
        <f>IF(SUMIF('Prev Aub'!A:A,O223,'Prev Aub'!B:B)=0,"",SUMIF('Prev Aub'!A:A,O223,'Prev Aub'!B:B))</f>
        <v/>
      </c>
      <c r="AN223" s="25" t="s">
        <v>3790</v>
      </c>
      <c r="AO223" s="25" t="s">
        <v>3790</v>
      </c>
      <c r="AP223" s="25">
        <f t="shared" si="90"/>
        <v>0</v>
      </c>
      <c r="AQ223" s="151" t="str">
        <f>IF(SUMIFS('Supp Consol'!S:S,'Supp Consol'!A:A,O223,'Supp Consol'!I:I,"PENDING")=0,"",SUMIFS('Supp Consol'!S:S,'Supp Consol'!A:A,O223,'Supp Consol'!I:I,"PENDING"))</f>
        <v/>
      </c>
      <c r="AR223" s="27" t="str">
        <f t="shared" si="91"/>
        <v>AM601</v>
      </c>
      <c r="AS223" s="27" t="str">
        <f t="shared" si="92"/>
        <v>62</v>
      </c>
      <c r="AT223" s="27" t="str">
        <f t="shared" si="93"/>
        <v/>
      </c>
      <c r="AU223" s="27" t="str">
        <f t="shared" si="94"/>
        <v/>
      </c>
      <c r="AV223" s="27" t="str">
        <f t="shared" si="95"/>
        <v/>
      </c>
      <c r="AW223" s="27" t="str">
        <f t="shared" si="96"/>
        <v/>
      </c>
      <c r="AX223" s="27" t="str">
        <f t="shared" si="97"/>
        <v/>
      </c>
      <c r="AY223" s="27" t="str">
        <f t="shared" si="98"/>
        <v/>
      </c>
      <c r="AZ223" s="27" t="str">
        <f t="shared" si="99"/>
        <v/>
      </c>
      <c r="BA223" s="27" t="str">
        <f t="shared" si="100"/>
        <v/>
      </c>
      <c r="BB223" s="27" t="str">
        <f t="shared" si="101"/>
        <v>Gross</v>
      </c>
      <c r="BC223" s="27" t="str">
        <f t="shared" si="102"/>
        <v>Net</v>
      </c>
      <c r="BD223" s="27" t="str">
        <f t="shared" si="103"/>
        <v>Net</v>
      </c>
      <c r="BE223" s="27" t="str">
        <f t="shared" si="104"/>
        <v/>
      </c>
      <c r="BF223" s="27" t="str">
        <f t="shared" si="105"/>
        <v/>
      </c>
      <c r="BG223" s="27" t="str">
        <f t="shared" si="106"/>
        <v/>
      </c>
      <c r="BH223" s="27" t="str">
        <f t="shared" si="107"/>
        <v/>
      </c>
      <c r="BI223" s="27" t="str">
        <f t="shared" si="108"/>
        <v/>
      </c>
      <c r="BJ223" s="27" t="str">
        <f t="shared" si="109"/>
        <v/>
      </c>
      <c r="BK223" s="27" t="str">
        <f t="shared" si="110"/>
        <v/>
      </c>
      <c r="BL223" s="27" t="str">
        <f t="shared" si="111"/>
        <v/>
      </c>
      <c r="BM223" s="21" t="s">
        <v>5581</v>
      </c>
    </row>
    <row r="224" spans="1:65" ht="15">
      <c r="A224" s="25">
        <f>IFERROR(INDEX('Hun Demand'!W:W,MATCH(O224,'Hun Demand'!A:A,0)),"")</f>
        <v>0</v>
      </c>
      <c r="B224" s="25">
        <f>IFERROR(INDEX('Hun Demand'!V:V,MATCH(O224,'Hun Demand'!A:A,0)),"")</f>
        <v>0</v>
      </c>
      <c r="C224" s="25">
        <f>IFERROR(INDEX('Hun Demand'!U:U,MATCH(O224,'Hun Demand'!A:A,0)),"")</f>
        <v>0</v>
      </c>
      <c r="D224" s="25">
        <f>IFERROR(INDEX('Hun Demand'!T:T,MATCH(O224,'Hun Demand'!A:A,0)),"")</f>
        <v>0</v>
      </c>
      <c r="E224" s="25">
        <f>IFERROR(INDEX('Hun Demand'!S:S,MATCH(O224,'Hun Demand'!A:A,0)),"")</f>
        <v>0</v>
      </c>
      <c r="F224" s="25">
        <f>IFERROR(INDEX('Hun Demand'!R:R,MATCH(O224,'Hun Demand'!A:A,0)),"")</f>
        <v>0</v>
      </c>
      <c r="G224" s="25">
        <f>IFERROR(INDEX('Aub Demand'!W:W,MATCH(O224,'Aub Demand'!A:A,0)),"")</f>
        <v>0</v>
      </c>
      <c r="H224" s="25">
        <f>IFERROR(INDEX('Aub Demand'!V:V,MATCH(O224,'Aub Demand'!A:A,0)),"")</f>
        <v>2</v>
      </c>
      <c r="I224" s="25">
        <f>IFERROR(INDEX('Aub Demand'!U:U,MATCH(O224,'Aub Demand'!A:A,0)),"")</f>
        <v>0</v>
      </c>
      <c r="J224" s="25">
        <f>IFERROR(INDEX('Aub Demand'!T:T,MATCH(O224,'Aub Demand'!A:A,0)),"")</f>
        <v>0</v>
      </c>
      <c r="K224" s="25">
        <f>IFERROR(INDEX('Aub Demand'!S:S,MATCH(O224,'Aub Demand'!A:A,0)),"")</f>
        <v>0</v>
      </c>
      <c r="L224" s="25">
        <f>IFERROR(INDEX('Aub Demand'!R:R,MATCH(O224,'Aub Demand'!A:A,0)),"")</f>
        <v>0</v>
      </c>
      <c r="O224" s="27" t="s">
        <v>2088</v>
      </c>
      <c r="P224" s="27" t="str">
        <f>IFERROR(INDEX('Aub Demand'!B:B,MATCH($O224,'Aub Demand'!$A:$A,0)),"")</f>
        <v>TANGERINE MINI RAFFI</v>
      </c>
      <c r="Q224" s="27" t="str">
        <f>IFERROR(INDEX('Aub Demand'!C:C,MATCH($O224,'Aub Demand'!$A:$A,0)),"")</f>
        <v>SCHAT</v>
      </c>
      <c r="R224" s="52">
        <f>IFERROR(IF(AR225=AR224,INDEX('Aub Demand'!K:K,MATCH($O224,'Aub Demand'!$A:$A,0))-IF(AN224="",0,AN224)+AP225,INDEX('Aub Demand'!K:K,MATCH($O224,'Aub Demand'!$A:$A,0))-IF(AN224="",0,AN224)),"")</f>
        <v>910</v>
      </c>
      <c r="S224" s="53" t="str">
        <f t="shared" si="84"/>
        <v>n/a</v>
      </c>
      <c r="T224" s="52" t="str">
        <f t="shared" si="85"/>
        <v/>
      </c>
      <c r="U224" s="52">
        <f>IFERROR(IF(AR225=AR224,INDEX('Aub Demand'!Q:Q,MATCH($O224,'Aub Demand'!$A:$A,0))-IF(AN224="",0,AN224)+AP225,INDEX('Aub Demand'!Q:Q,MATCH($O224,'Aub Demand'!$A:$A,0))-IF(AN224="",0,AN224)),"")</f>
        <v>910</v>
      </c>
      <c r="V224" s="53" t="str">
        <f t="shared" si="86"/>
        <v>n/a</v>
      </c>
      <c r="W224" s="52" t="str">
        <f t="shared" si="87"/>
        <v/>
      </c>
      <c r="X224" s="52">
        <f>IFERROR(IF(AND(AR225=AR224,AM224&lt;&gt;""),INDEX('Aub Demand'!Q:Q,MATCH($O224,'Aub Demand'!$A:$A,0))-IF(AN224="",0,AN224)+AP225+AD224+AL224,IF(AR225=AR224,INDEX('Aub Demand'!Q:Q,MATCH($O224,'Aub Demand'!$A:$A,0))-IF(AN224="",0,AN224)+AP225+AD224,IF(AM224&lt;&gt;"",INDEX('Aub Demand'!Q:Q,MATCH($O224,'Aub Demand'!$A:$A,0))-IF(AN224="",0,AN224)+AD224+AL224,INDEX('Aub Demand'!Q:Q,MATCH($O224,'Aub Demand'!$A:$A,0))-IF(AN224="",0,AN224)+AD224))),"")</f>
        <v>910</v>
      </c>
      <c r="Y224" s="53" t="str">
        <f t="shared" si="88"/>
        <v>n/a</v>
      </c>
      <c r="Z224" s="52">
        <f>IF(L224="","",INDEX('Aub Demand'!H:H,MATCH($O224,'Aub Demand'!$A:$A,0)))</f>
        <v>0</v>
      </c>
      <c r="AA224" s="52" t="str">
        <f t="shared" si="89"/>
        <v>-spike-</v>
      </c>
      <c r="AB224" s="52">
        <f>IFERROR(INDEX('Aub Demand'!L:L,MATCH($O224,'Aub Demand'!$A:$A,0)),"")</f>
        <v>0</v>
      </c>
      <c r="AC224" s="52">
        <f>IFERROR(IF(O224="","",SUMIFS('CPL Mats'!F:F,'CPL Mats'!Q:Q,AR224,'CPL Mats'!S:S,AS224)),"")</f>
        <v>0</v>
      </c>
      <c r="AF224" s="25" t="str">
        <f>IF(SUMIFS('Supp Consol'!S:S,'Supp Consol'!Y:Y,"Releasable",'Supp Consol'!A:A,O224)=0,"",SUMIFS('Supp Consol'!S:S,'Supp Consol'!Y:Y,"Releasable",'Supp Consol'!A:A,O224))</f>
        <v/>
      </c>
      <c r="AG224" s="25">
        <f>IFERROR(INDEX('Hun Demand'!Q:Q,MATCH(O224,'Hun Demand'!A:A,0)),"")</f>
        <v>102</v>
      </c>
      <c r="AH224" s="25">
        <f>IFERROR(INDEX('Hun Demand'!H:H,MATCH($O224,'Hun Demand'!$A:$A,0)),"")</f>
        <v>0</v>
      </c>
      <c r="AI224" s="25" t="str">
        <f>IF(SUMIFS('Supp Consol'!AA:AA,'Supp Consol'!Z:Z,"Expires this month",'Supp Consol'!A:A,O224)=0,"",SUMIFS('Supp Consol'!AA:AA,'Supp Consol'!Z:Z,"Expires this month",'Supp Consol'!A:A,O224))</f>
        <v/>
      </c>
      <c r="AJ224" s="25" t="str">
        <f>IF(SUMIFS('Supp Consol'!AA:AA,'Supp Consol'!Z:Z,"Expired Previous Months",'Supp Consol'!A:A,O224)=0,"",SUMIFS('Supp Consol'!AA:AA,'Supp Consol'!Z:Z,"Expired Previous Months",'Supp Consol'!A:A,O224))</f>
        <v/>
      </c>
      <c r="AK224" s="25" t="str">
        <f>IFERROR(INDEX('Hun Release Current'!B:B,MATCH(O224,'Hun Release Current'!A:A,0)),"")</f>
        <v/>
      </c>
      <c r="AL224" s="25" t="str">
        <f>IF(SUMIF('Prev Aub'!A:A,O224,'Prev Aub'!B:B)=0,"",SUMIF('Prev Aub'!A:A,O224,'Prev Aub'!B:B))</f>
        <v/>
      </c>
      <c r="AN224" s="25" t="s">
        <v>3790</v>
      </c>
      <c r="AO224" s="25" t="s">
        <v>3790</v>
      </c>
      <c r="AP224" s="25">
        <f t="shared" si="90"/>
        <v>0</v>
      </c>
      <c r="AQ224" s="151" t="str">
        <f>IF(SUMIFS('Supp Consol'!S:S,'Supp Consol'!A:A,O224,'Supp Consol'!I:I,"PENDING")=0,"",SUMIFS('Supp Consol'!S:S,'Supp Consol'!A:A,O224,'Supp Consol'!I:I,"PENDING"))</f>
        <v/>
      </c>
      <c r="AR224" s="27" t="str">
        <f t="shared" si="91"/>
        <v>AO320</v>
      </c>
      <c r="AS224" s="27" t="str">
        <f t="shared" si="92"/>
        <v>50</v>
      </c>
      <c r="AT224" s="27" t="str">
        <f t="shared" si="93"/>
        <v/>
      </c>
      <c r="AU224" s="27" t="str">
        <f t="shared" si="94"/>
        <v/>
      </c>
      <c r="AV224" s="27" t="str">
        <f t="shared" si="95"/>
        <v/>
      </c>
      <c r="AW224" s="27" t="str">
        <f t="shared" si="96"/>
        <v/>
      </c>
      <c r="AX224" s="27" t="str">
        <f t="shared" si="97"/>
        <v/>
      </c>
      <c r="AY224" s="27" t="str">
        <f t="shared" si="98"/>
        <v>AO320</v>
      </c>
      <c r="AZ224" s="27" t="str">
        <f t="shared" si="99"/>
        <v/>
      </c>
      <c r="BA224" s="27" t="str">
        <f t="shared" si="100"/>
        <v>Hun</v>
      </c>
      <c r="BB224" s="27" t="str">
        <f t="shared" si="101"/>
        <v/>
      </c>
      <c r="BC224" s="27" t="str">
        <f t="shared" si="102"/>
        <v/>
      </c>
      <c r="BD224" s="27" t="str">
        <f t="shared" si="103"/>
        <v/>
      </c>
      <c r="BE224" s="27" t="str">
        <f t="shared" si="104"/>
        <v/>
      </c>
      <c r="BF224" s="27" t="str">
        <f t="shared" si="105"/>
        <v/>
      </c>
      <c r="BG224" s="27" t="str">
        <f t="shared" si="106"/>
        <v/>
      </c>
      <c r="BH224" s="27" t="str">
        <f t="shared" si="107"/>
        <v/>
      </c>
      <c r="BI224" s="27" t="str">
        <f t="shared" si="108"/>
        <v/>
      </c>
      <c r="BJ224" s="27" t="str">
        <f t="shared" si="109"/>
        <v>Supp or Hun</v>
      </c>
      <c r="BK224" s="27" t="str">
        <f t="shared" si="110"/>
        <v/>
      </c>
      <c r="BL224" s="27" t="str">
        <f t="shared" si="111"/>
        <v/>
      </c>
      <c r="BM224" s="21" t="s">
        <v>5581</v>
      </c>
    </row>
    <row r="225" spans="1:65" ht="15">
      <c r="A225" s="25" t="str">
        <f>IFERROR(INDEX('Hun Demand'!W:W,MATCH(O225,'Hun Demand'!A:A,0)),"")</f>
        <v/>
      </c>
      <c r="B225" s="25" t="str">
        <f>IFERROR(INDEX('Hun Demand'!V:V,MATCH(O225,'Hun Demand'!A:A,0)),"")</f>
        <v/>
      </c>
      <c r="C225" s="25" t="str">
        <f>IFERROR(INDEX('Hun Demand'!U:U,MATCH(O225,'Hun Demand'!A:A,0)),"")</f>
        <v/>
      </c>
      <c r="D225" s="25" t="str">
        <f>IFERROR(INDEX('Hun Demand'!T:T,MATCH(O225,'Hun Demand'!A:A,0)),"")</f>
        <v/>
      </c>
      <c r="E225" s="25" t="str">
        <f>IFERROR(INDEX('Hun Demand'!S:S,MATCH(O225,'Hun Demand'!A:A,0)),"")</f>
        <v/>
      </c>
      <c r="F225" s="25" t="str">
        <f>IFERROR(INDEX('Hun Demand'!R:R,MATCH(O225,'Hun Demand'!A:A,0)),"")</f>
        <v/>
      </c>
      <c r="G225" s="25">
        <f>IFERROR(INDEX('Aub Demand'!W:W,MATCH(O225,'Aub Demand'!A:A,0)),"")</f>
        <v>0</v>
      </c>
      <c r="H225" s="25">
        <f>IFERROR(INDEX('Aub Demand'!V:V,MATCH(O225,'Aub Demand'!A:A,0)),"")</f>
        <v>0</v>
      </c>
      <c r="I225" s="25">
        <f>IFERROR(INDEX('Aub Demand'!U:U,MATCH(O225,'Aub Demand'!A:A,0)),"")</f>
        <v>0</v>
      </c>
      <c r="J225" s="25">
        <f>IFERROR(INDEX('Aub Demand'!T:T,MATCH(O225,'Aub Demand'!A:A,0)),"")</f>
        <v>0</v>
      </c>
      <c r="K225" s="25">
        <f>IFERROR(INDEX('Aub Demand'!S:S,MATCH(O225,'Aub Demand'!A:A,0)),"")</f>
        <v>0</v>
      </c>
      <c r="L225" s="25">
        <f>IFERROR(INDEX('Aub Demand'!R:R,MATCH(O225,'Aub Demand'!A:A,0)),"")</f>
        <v>0</v>
      </c>
      <c r="O225" s="27" t="s">
        <v>2090</v>
      </c>
      <c r="P225" s="27" t="str">
        <f>IFERROR(INDEX('Aub Demand'!B:B,MATCH($O225,'Aub Demand'!$A:$A,0)),"")</f>
        <v>TANGERINE MINI RAFFI</v>
      </c>
      <c r="Q225" s="27" t="str">
        <f>IFERROR(INDEX('Aub Demand'!C:C,MATCH($O225,'Aub Demand'!$A:$A,0)),"")</f>
        <v>SCHAT</v>
      </c>
      <c r="R225" s="52">
        <f>IFERROR(IF(AR226=AR225,INDEX('Aub Demand'!K:K,MATCH($O225,'Aub Demand'!$A:$A,0))-IF(AN225="",0,AN225)+AP226,INDEX('Aub Demand'!K:K,MATCH($O225,'Aub Demand'!$A:$A,0))-IF(AN225="",0,AN225)),"")</f>
        <v>1198</v>
      </c>
      <c r="S225" s="53" t="str">
        <f t="shared" si="84"/>
        <v>n/a</v>
      </c>
      <c r="T225" s="52" t="str">
        <f t="shared" si="85"/>
        <v/>
      </c>
      <c r="U225" s="52">
        <f>IFERROR(IF(AR226=AR225,INDEX('Aub Demand'!Q:Q,MATCH($O225,'Aub Demand'!$A:$A,0))-IF(AN225="",0,AN225)+AP226,INDEX('Aub Demand'!Q:Q,MATCH($O225,'Aub Demand'!$A:$A,0))-IF(AN225="",0,AN225)),"")</f>
        <v>1198</v>
      </c>
      <c r="V225" s="53" t="str">
        <f t="shared" si="86"/>
        <v>n/a</v>
      </c>
      <c r="W225" s="52" t="str">
        <f t="shared" si="87"/>
        <v/>
      </c>
      <c r="X225" s="52">
        <f>IFERROR(IF(AND(AR226=AR225,AM225&lt;&gt;""),INDEX('Aub Demand'!Q:Q,MATCH($O225,'Aub Demand'!$A:$A,0))-IF(AN225="",0,AN225)+AP226+AD225+AL225,IF(AR226=AR225,INDEX('Aub Demand'!Q:Q,MATCH($O225,'Aub Demand'!$A:$A,0))-IF(AN225="",0,AN225)+AP226+AD225,IF(AM225&lt;&gt;"",INDEX('Aub Demand'!Q:Q,MATCH($O225,'Aub Demand'!$A:$A,0))-IF(AN225="",0,AN225)+AD225+AL225,INDEX('Aub Demand'!Q:Q,MATCH($O225,'Aub Demand'!$A:$A,0))-IF(AN225="",0,AN225)+AD225))),"")</f>
        <v>1198</v>
      </c>
      <c r="Y225" s="53" t="str">
        <f t="shared" si="88"/>
        <v>n/a</v>
      </c>
      <c r="Z225" s="52">
        <f>IF(L225="","",INDEX('Aub Demand'!H:H,MATCH($O225,'Aub Demand'!$A:$A,0)))</f>
        <v>0</v>
      </c>
      <c r="AA225" s="52" t="str">
        <f t="shared" si="89"/>
        <v>-spike-</v>
      </c>
      <c r="AB225" s="52">
        <f>IFERROR(INDEX('Aub Demand'!L:L,MATCH($O225,'Aub Demand'!$A:$A,0)),"")</f>
        <v>0</v>
      </c>
      <c r="AC225" s="52">
        <f>IFERROR(IF(O225="","",SUMIFS('CPL Mats'!F:F,'CPL Mats'!Q:Q,AR225,'CPL Mats'!S:S,AS225)),"")</f>
        <v>0</v>
      </c>
      <c r="AF225" s="25" t="str">
        <f>IF(SUMIFS('Supp Consol'!S:S,'Supp Consol'!Y:Y,"Releasable",'Supp Consol'!A:A,O225)=0,"",SUMIFS('Supp Consol'!S:S,'Supp Consol'!Y:Y,"Releasable",'Supp Consol'!A:A,O225))</f>
        <v/>
      </c>
      <c r="AG225" s="25" t="str">
        <f>IFERROR(INDEX('Hun Demand'!Q:Q,MATCH(O225,'Hun Demand'!A:A,0)),"")</f>
        <v/>
      </c>
      <c r="AH225" s="25" t="str">
        <f>IFERROR(INDEX('Hun Demand'!H:H,MATCH($O225,'Hun Demand'!$A:$A,0)),"")</f>
        <v/>
      </c>
      <c r="AI225" s="25" t="str">
        <f>IF(SUMIFS('Supp Consol'!AA:AA,'Supp Consol'!Z:Z,"Expires this month",'Supp Consol'!A:A,O225)=0,"",SUMIFS('Supp Consol'!AA:AA,'Supp Consol'!Z:Z,"Expires this month",'Supp Consol'!A:A,O225))</f>
        <v/>
      </c>
      <c r="AJ225" s="25" t="str">
        <f>IF(SUMIFS('Supp Consol'!AA:AA,'Supp Consol'!Z:Z,"Expired Previous Months",'Supp Consol'!A:A,O225)=0,"",SUMIFS('Supp Consol'!AA:AA,'Supp Consol'!Z:Z,"Expired Previous Months",'Supp Consol'!A:A,O225))</f>
        <v/>
      </c>
      <c r="AK225" s="25" t="str">
        <f>IFERROR(INDEX('Hun Release Current'!B:B,MATCH(O225,'Hun Release Current'!A:A,0)),"")</f>
        <v/>
      </c>
      <c r="AL225" s="25" t="str">
        <f>IF(SUMIF('Prev Aub'!A:A,O225,'Prev Aub'!B:B)=0,"",SUMIF('Prev Aub'!A:A,O225,'Prev Aub'!B:B))</f>
        <v/>
      </c>
      <c r="AN225" s="25" t="s">
        <v>3790</v>
      </c>
      <c r="AO225" s="25" t="s">
        <v>3790</v>
      </c>
      <c r="AP225" s="25">
        <f t="shared" si="90"/>
        <v>0</v>
      </c>
      <c r="AQ225" s="151" t="str">
        <f>IF(SUMIFS('Supp Consol'!S:S,'Supp Consol'!A:A,O225,'Supp Consol'!I:I,"PENDING")=0,"",SUMIFS('Supp Consol'!S:S,'Supp Consol'!A:A,O225,'Supp Consol'!I:I,"PENDING"))</f>
        <v/>
      </c>
      <c r="AR225" s="27" t="str">
        <f t="shared" si="91"/>
        <v>AO320</v>
      </c>
      <c r="AS225" s="27" t="str">
        <f t="shared" si="92"/>
        <v>62</v>
      </c>
      <c r="AT225" s="27" t="str">
        <f t="shared" si="93"/>
        <v/>
      </c>
      <c r="AU225" s="27" t="str">
        <f t="shared" si="94"/>
        <v/>
      </c>
      <c r="AV225" s="27" t="str">
        <f t="shared" si="95"/>
        <v/>
      </c>
      <c r="AW225" s="27" t="str">
        <f t="shared" si="96"/>
        <v/>
      </c>
      <c r="AX225" s="27" t="str">
        <f t="shared" si="97"/>
        <v/>
      </c>
      <c r="AY225" s="27" t="str">
        <f t="shared" si="98"/>
        <v/>
      </c>
      <c r="AZ225" s="27" t="str">
        <f t="shared" si="99"/>
        <v/>
      </c>
      <c r="BA225" s="27" t="str">
        <f t="shared" si="100"/>
        <v>Hun</v>
      </c>
      <c r="BB225" s="27" t="str">
        <f t="shared" si="101"/>
        <v/>
      </c>
      <c r="BC225" s="27" t="str">
        <f t="shared" si="102"/>
        <v/>
      </c>
      <c r="BD225" s="27" t="str">
        <f t="shared" si="103"/>
        <v/>
      </c>
      <c r="BE225" s="27" t="str">
        <f t="shared" si="104"/>
        <v/>
      </c>
      <c r="BF225" s="27" t="str">
        <f t="shared" si="105"/>
        <v/>
      </c>
      <c r="BG225" s="27" t="str">
        <f t="shared" si="106"/>
        <v/>
      </c>
      <c r="BH225" s="27" t="str">
        <f t="shared" si="107"/>
        <v/>
      </c>
      <c r="BI225" s="27" t="str">
        <f t="shared" si="108"/>
        <v/>
      </c>
      <c r="BJ225" s="27" t="str">
        <f t="shared" si="109"/>
        <v>Supp or Hun</v>
      </c>
      <c r="BK225" s="27" t="str">
        <f t="shared" si="110"/>
        <v/>
      </c>
      <c r="BL225" s="27" t="str">
        <f t="shared" si="111"/>
        <v/>
      </c>
      <c r="BM225" s="21" t="s">
        <v>5581</v>
      </c>
    </row>
    <row r="226" spans="1:65" ht="15">
      <c r="A226" s="25" t="str">
        <f>IFERROR(INDEX('Hun Demand'!W:W,MATCH(O226,'Hun Demand'!A:A,0)),"")</f>
        <v/>
      </c>
      <c r="B226" s="25" t="str">
        <f>IFERROR(INDEX('Hun Demand'!V:V,MATCH(O226,'Hun Demand'!A:A,0)),"")</f>
        <v/>
      </c>
      <c r="C226" s="25" t="str">
        <f>IFERROR(INDEX('Hun Demand'!U:U,MATCH(O226,'Hun Demand'!A:A,0)),"")</f>
        <v/>
      </c>
      <c r="D226" s="25" t="str">
        <f>IFERROR(INDEX('Hun Demand'!T:T,MATCH(O226,'Hun Demand'!A:A,0)),"")</f>
        <v/>
      </c>
      <c r="E226" s="25" t="str">
        <f>IFERROR(INDEX('Hun Demand'!S:S,MATCH(O226,'Hun Demand'!A:A,0)),"")</f>
        <v/>
      </c>
      <c r="F226" s="25" t="str">
        <f>IFERROR(INDEX('Hun Demand'!R:R,MATCH(O226,'Hun Demand'!A:A,0)),"")</f>
        <v/>
      </c>
      <c r="G226" s="25">
        <f>IFERROR(INDEX('Aub Demand'!W:W,MATCH(O226,'Aub Demand'!A:A,0)),"")</f>
        <v>0</v>
      </c>
      <c r="H226" s="25">
        <f>IFERROR(INDEX('Aub Demand'!V:V,MATCH(O226,'Aub Demand'!A:A,0)),"")</f>
        <v>0</v>
      </c>
      <c r="I226" s="25">
        <f>IFERROR(INDEX('Aub Demand'!U:U,MATCH(O226,'Aub Demand'!A:A,0)),"")</f>
        <v>6</v>
      </c>
      <c r="J226" s="25">
        <f>IFERROR(INDEX('Aub Demand'!T:T,MATCH(O226,'Aub Demand'!A:A,0)),"")</f>
        <v>0</v>
      </c>
      <c r="K226" s="25">
        <f>IFERROR(INDEX('Aub Demand'!S:S,MATCH(O226,'Aub Demand'!A:A,0)),"")</f>
        <v>0</v>
      </c>
      <c r="L226" s="25">
        <f>IFERROR(INDEX('Aub Demand'!R:R,MATCH(O226,'Aub Demand'!A:A,0)),"")</f>
        <v>0</v>
      </c>
      <c r="O226" s="27" t="s">
        <v>409</v>
      </c>
      <c r="P226" s="27" t="str">
        <f>IFERROR(INDEX('Aub Demand'!B:B,MATCH($O226,'Aub Demand'!$A:$A,0)),"")</f>
        <v>BELLE'S BOW</v>
      </c>
      <c r="Q226" s="27" t="str">
        <f>IFERROR(INDEX('Aub Demand'!C:C,MATCH($O226,'Aub Demand'!$A:$A,0)),"")</f>
        <v>SUDDE</v>
      </c>
      <c r="R226" s="52">
        <f>IFERROR(IF(AR227=AR226,INDEX('Aub Demand'!K:K,MATCH($O226,'Aub Demand'!$A:$A,0))-IF(AN226="",0,AN226)+AP227,INDEX('Aub Demand'!K:K,MATCH($O226,'Aub Demand'!$A:$A,0))-IF(AN226="",0,AN226)),"")</f>
        <v>884</v>
      </c>
      <c r="S226" s="53">
        <f t="shared" si="84"/>
        <v>1894.3</v>
      </c>
      <c r="T226" s="52" t="str">
        <f t="shared" si="85"/>
        <v/>
      </c>
      <c r="U226" s="52">
        <f>IFERROR(IF(AR227=AR226,INDEX('Aub Demand'!Q:Q,MATCH($O226,'Aub Demand'!$A:$A,0))-IF(AN226="",0,AN226)+AP227,INDEX('Aub Demand'!Q:Q,MATCH($O226,'Aub Demand'!$A:$A,0))-IF(AN226="",0,AN226)),"")</f>
        <v>884</v>
      </c>
      <c r="V226" s="53">
        <f t="shared" si="86"/>
        <v>1894.3</v>
      </c>
      <c r="W226" s="52" t="str">
        <f t="shared" si="87"/>
        <v/>
      </c>
      <c r="X226" s="52">
        <f>IFERROR(IF(AND(AR227=AR226,AM226&lt;&gt;""),INDEX('Aub Demand'!Q:Q,MATCH($O226,'Aub Demand'!$A:$A,0))-IF(AN226="",0,AN226)+AP227+AD226+AL226,IF(AR227=AR226,INDEX('Aub Demand'!Q:Q,MATCH($O226,'Aub Demand'!$A:$A,0))-IF(AN226="",0,AN226)+AP227+AD226,IF(AM226&lt;&gt;"",INDEX('Aub Demand'!Q:Q,MATCH($O226,'Aub Demand'!$A:$A,0))-IF(AN226="",0,AN226)+AD226+AL226,INDEX('Aub Demand'!Q:Q,MATCH($O226,'Aub Demand'!$A:$A,0))-IF(AN226="",0,AN226)+AD226))),"")</f>
        <v>884</v>
      </c>
      <c r="Y226" s="53">
        <f t="shared" si="88"/>
        <v>1894.3</v>
      </c>
      <c r="Z226" s="52">
        <f>IF(L226="","",INDEX('Aub Demand'!H:H,MATCH($O226,'Aub Demand'!$A:$A,0)))</f>
        <v>2</v>
      </c>
      <c r="AA226" s="52" t="str">
        <f t="shared" si="89"/>
        <v>-spike-</v>
      </c>
      <c r="AB226" s="52">
        <f>IFERROR(INDEX('Aub Demand'!L:L,MATCH($O226,'Aub Demand'!$A:$A,0)),"")</f>
        <v>0</v>
      </c>
      <c r="AC226" s="52">
        <f>IFERROR(IF(O226="","",SUMIFS('CPL Mats'!F:F,'CPL Mats'!Q:Q,AR226,'CPL Mats'!S:S,AS226)),"")</f>
        <v>0</v>
      </c>
      <c r="AF226" s="25" t="str">
        <f>IF(SUMIFS('Supp Consol'!S:S,'Supp Consol'!Y:Y,"Releasable",'Supp Consol'!A:A,O226)=0,"",SUMIFS('Supp Consol'!S:S,'Supp Consol'!Y:Y,"Releasable",'Supp Consol'!A:A,O226))</f>
        <v/>
      </c>
      <c r="AG226" s="25" t="str">
        <f>IFERROR(INDEX('Hun Demand'!Q:Q,MATCH(O226,'Hun Demand'!A:A,0)),"")</f>
        <v/>
      </c>
      <c r="AH226" s="25" t="str">
        <f>IFERROR(INDEX('Hun Demand'!H:H,MATCH($O226,'Hun Demand'!$A:$A,0)),"")</f>
        <v/>
      </c>
      <c r="AI226" s="25" t="str">
        <f>IF(SUMIFS('Supp Consol'!AA:AA,'Supp Consol'!Z:Z,"Expires this month",'Supp Consol'!A:A,O226)=0,"",SUMIFS('Supp Consol'!AA:AA,'Supp Consol'!Z:Z,"Expires this month",'Supp Consol'!A:A,O226))</f>
        <v/>
      </c>
      <c r="AJ226" s="25" t="str">
        <f>IF(SUMIFS('Supp Consol'!AA:AA,'Supp Consol'!Z:Z,"Expired Previous Months",'Supp Consol'!A:A,O226)=0,"",SUMIFS('Supp Consol'!AA:AA,'Supp Consol'!Z:Z,"Expired Previous Months",'Supp Consol'!A:A,O226))</f>
        <v/>
      </c>
      <c r="AK226" s="25" t="str">
        <f>IFERROR(INDEX('Hun Release Current'!B:B,MATCH(O226,'Hun Release Current'!A:A,0)),"")</f>
        <v/>
      </c>
      <c r="AL226" s="25" t="str">
        <f>IF(SUMIF('Prev Aub'!A:A,O226,'Prev Aub'!B:B)=0,"",SUMIF('Prev Aub'!A:A,O226,'Prev Aub'!B:B))</f>
        <v/>
      </c>
      <c r="AN226" s="25" t="s">
        <v>3790</v>
      </c>
      <c r="AO226" s="25" t="s">
        <v>3790</v>
      </c>
      <c r="AP226" s="25">
        <f t="shared" si="90"/>
        <v>0</v>
      </c>
      <c r="AQ226" s="151" t="str">
        <f>IF(SUMIFS('Supp Consol'!S:S,'Supp Consol'!A:A,O226,'Supp Consol'!I:I,"PENDING")=0,"",SUMIFS('Supp Consol'!S:S,'Supp Consol'!A:A,O226,'Supp Consol'!I:I,"PENDING"))</f>
        <v/>
      </c>
      <c r="AR226" s="27" t="str">
        <f t="shared" si="91"/>
        <v>AP280</v>
      </c>
      <c r="AS226" s="27" t="str">
        <f t="shared" si="92"/>
        <v>50</v>
      </c>
      <c r="AT226" s="27" t="str">
        <f t="shared" si="93"/>
        <v/>
      </c>
      <c r="AU226" s="27" t="str">
        <f t="shared" si="94"/>
        <v/>
      </c>
      <c r="AV226" s="27" t="str">
        <f t="shared" si="95"/>
        <v/>
      </c>
      <c r="AW226" s="27" t="str">
        <f t="shared" si="96"/>
        <v/>
      </c>
      <c r="AX226" s="27" t="str">
        <f t="shared" si="97"/>
        <v/>
      </c>
      <c r="AY226" s="27" t="str">
        <f t="shared" si="98"/>
        <v/>
      </c>
      <c r="AZ226" s="27" t="str">
        <f t="shared" si="99"/>
        <v/>
      </c>
      <c r="BA226" s="27" t="str">
        <f t="shared" si="100"/>
        <v/>
      </c>
      <c r="BB226" s="27" t="str">
        <f t="shared" si="101"/>
        <v/>
      </c>
      <c r="BC226" s="27" t="str">
        <f t="shared" si="102"/>
        <v/>
      </c>
      <c r="BD226" s="27" t="str">
        <f t="shared" si="103"/>
        <v/>
      </c>
      <c r="BE226" s="27" t="str">
        <f t="shared" si="104"/>
        <v/>
      </c>
      <c r="BF226" s="27" t="str">
        <f t="shared" si="105"/>
        <v/>
      </c>
      <c r="BG226" s="27" t="str">
        <f t="shared" si="106"/>
        <v/>
      </c>
      <c r="BH226" s="27" t="str">
        <f t="shared" si="107"/>
        <v/>
      </c>
      <c r="BI226" s="27" t="str">
        <f t="shared" si="108"/>
        <v/>
      </c>
      <c r="BJ226" s="27" t="str">
        <f t="shared" si="109"/>
        <v/>
      </c>
      <c r="BK226" s="27" t="str">
        <f t="shared" si="110"/>
        <v/>
      </c>
      <c r="BL226" s="27" t="str">
        <f t="shared" si="111"/>
        <v/>
      </c>
      <c r="BM226" s="21" t="s">
        <v>5581</v>
      </c>
    </row>
    <row r="227" spans="1:65" ht="15">
      <c r="A227" s="25" t="str">
        <f>IFERROR(INDEX('Hun Demand'!W:W,MATCH(O227,'Hun Demand'!A:A,0)),"")</f>
        <v/>
      </c>
      <c r="B227" s="25" t="str">
        <f>IFERROR(INDEX('Hun Demand'!V:V,MATCH(O227,'Hun Demand'!A:A,0)),"")</f>
        <v/>
      </c>
      <c r="C227" s="25" t="str">
        <f>IFERROR(INDEX('Hun Demand'!U:U,MATCH(O227,'Hun Demand'!A:A,0)),"")</f>
        <v/>
      </c>
      <c r="D227" s="25" t="str">
        <f>IFERROR(INDEX('Hun Demand'!T:T,MATCH(O227,'Hun Demand'!A:A,0)),"")</f>
        <v/>
      </c>
      <c r="E227" s="25" t="str">
        <f>IFERROR(INDEX('Hun Demand'!S:S,MATCH(O227,'Hun Demand'!A:A,0)),"")</f>
        <v/>
      </c>
      <c r="F227" s="25" t="str">
        <f>IFERROR(INDEX('Hun Demand'!R:R,MATCH(O227,'Hun Demand'!A:A,0)),"")</f>
        <v/>
      </c>
      <c r="G227" s="25">
        <f>IFERROR(INDEX('Aub Demand'!W:W,MATCH(O227,'Aub Demand'!A:A,0)),"")</f>
        <v>0</v>
      </c>
      <c r="H227" s="25">
        <f>IFERROR(INDEX('Aub Demand'!V:V,MATCH(O227,'Aub Demand'!A:A,0)),"")</f>
        <v>0</v>
      </c>
      <c r="I227" s="25">
        <f>IFERROR(INDEX('Aub Demand'!U:U,MATCH(O227,'Aub Demand'!A:A,0)),"")</f>
        <v>0</v>
      </c>
      <c r="J227" s="25">
        <f>IFERROR(INDEX('Aub Demand'!T:T,MATCH(O227,'Aub Demand'!A:A,0)),"")</f>
        <v>0</v>
      </c>
      <c r="K227" s="25">
        <f>IFERROR(INDEX('Aub Demand'!S:S,MATCH(O227,'Aub Demand'!A:A,0)),"")</f>
        <v>0</v>
      </c>
      <c r="L227" s="25">
        <f>IFERROR(INDEX('Aub Demand'!R:R,MATCH(O227,'Aub Demand'!A:A,0)),"")</f>
        <v>0</v>
      </c>
      <c r="O227" s="27" t="s">
        <v>411</v>
      </c>
      <c r="P227" s="27" t="str">
        <f>IFERROR(INDEX('Aub Demand'!B:B,MATCH($O227,'Aub Demand'!$A:$A,0)),"")</f>
        <v>BELLE'S BOW</v>
      </c>
      <c r="Q227" s="27" t="str">
        <f>IFERROR(INDEX('Aub Demand'!C:C,MATCH($O227,'Aub Demand'!$A:$A,0)),"")</f>
        <v>SUDDE</v>
      </c>
      <c r="R227" s="52">
        <f>IFERROR(IF(AR228=AR227,INDEX('Aub Demand'!K:K,MATCH($O227,'Aub Demand'!$A:$A,0))-IF(AN227="",0,AN227)+AP228,INDEX('Aub Demand'!K:K,MATCH($O227,'Aub Demand'!$A:$A,0))-IF(AN227="",0,AN227)),"")</f>
        <v>2737</v>
      </c>
      <c r="S227" s="53" t="str">
        <f t="shared" si="84"/>
        <v>n/a</v>
      </c>
      <c r="T227" s="52" t="str">
        <f t="shared" si="85"/>
        <v/>
      </c>
      <c r="U227" s="52">
        <f>IFERROR(IF(AR228=AR227,INDEX('Aub Demand'!Q:Q,MATCH($O227,'Aub Demand'!$A:$A,0))-IF(AN227="",0,AN227)+AP228,INDEX('Aub Demand'!Q:Q,MATCH($O227,'Aub Demand'!$A:$A,0))-IF(AN227="",0,AN227)),"")</f>
        <v>2737</v>
      </c>
      <c r="V227" s="53" t="str">
        <f t="shared" si="86"/>
        <v>n/a</v>
      </c>
      <c r="W227" s="52" t="str">
        <f t="shared" si="87"/>
        <v/>
      </c>
      <c r="X227" s="52">
        <f>IFERROR(IF(AND(AR228=AR227,AM227&lt;&gt;""),INDEX('Aub Demand'!Q:Q,MATCH($O227,'Aub Demand'!$A:$A,0))-IF(AN227="",0,AN227)+AP228+AD227+AL227,IF(AR228=AR227,INDEX('Aub Demand'!Q:Q,MATCH($O227,'Aub Demand'!$A:$A,0))-IF(AN227="",0,AN227)+AP228+AD227,IF(AM227&lt;&gt;"",INDEX('Aub Demand'!Q:Q,MATCH($O227,'Aub Demand'!$A:$A,0))-IF(AN227="",0,AN227)+AD227+AL227,INDEX('Aub Demand'!Q:Q,MATCH($O227,'Aub Demand'!$A:$A,0))-IF(AN227="",0,AN227)+AD227))),"")</f>
        <v>2737</v>
      </c>
      <c r="Y227" s="53" t="str">
        <f t="shared" si="88"/>
        <v>n/a</v>
      </c>
      <c r="Z227" s="52">
        <f>IF(L227="","",INDEX('Aub Demand'!H:H,MATCH($O227,'Aub Demand'!$A:$A,0)))</f>
        <v>0</v>
      </c>
      <c r="AA227" s="52" t="str">
        <f t="shared" si="89"/>
        <v>-spike-</v>
      </c>
      <c r="AB227" s="52">
        <f>IFERROR(INDEX('Aub Demand'!L:L,MATCH($O227,'Aub Demand'!$A:$A,0)),"")</f>
        <v>0</v>
      </c>
      <c r="AC227" s="52">
        <f>IFERROR(IF(O227="","",SUMIFS('CPL Mats'!F:F,'CPL Mats'!Q:Q,AR227,'CPL Mats'!S:S,AS227)),"")</f>
        <v>0</v>
      </c>
      <c r="AF227" s="25" t="str">
        <f>IF(SUMIFS('Supp Consol'!S:S,'Supp Consol'!Y:Y,"Releasable",'Supp Consol'!A:A,O227)=0,"",SUMIFS('Supp Consol'!S:S,'Supp Consol'!Y:Y,"Releasable",'Supp Consol'!A:A,O227))</f>
        <v/>
      </c>
      <c r="AG227" s="25" t="str">
        <f>IFERROR(INDEX('Hun Demand'!Q:Q,MATCH(O227,'Hun Demand'!A:A,0)),"")</f>
        <v/>
      </c>
      <c r="AH227" s="25" t="str">
        <f>IFERROR(INDEX('Hun Demand'!H:H,MATCH($O227,'Hun Demand'!$A:$A,0)),"")</f>
        <v/>
      </c>
      <c r="AI227" s="25" t="str">
        <f>IF(SUMIFS('Supp Consol'!AA:AA,'Supp Consol'!Z:Z,"Expires this month",'Supp Consol'!A:A,O227)=0,"",SUMIFS('Supp Consol'!AA:AA,'Supp Consol'!Z:Z,"Expires this month",'Supp Consol'!A:A,O227))</f>
        <v/>
      </c>
      <c r="AJ227" s="25" t="str">
        <f>IF(SUMIFS('Supp Consol'!AA:AA,'Supp Consol'!Z:Z,"Expired Previous Months",'Supp Consol'!A:A,O227)=0,"",SUMIFS('Supp Consol'!AA:AA,'Supp Consol'!Z:Z,"Expired Previous Months",'Supp Consol'!A:A,O227))</f>
        <v/>
      </c>
      <c r="AK227" s="25" t="str">
        <f>IFERROR(INDEX('Hun Release Current'!B:B,MATCH(O227,'Hun Release Current'!A:A,0)),"")</f>
        <v/>
      </c>
      <c r="AL227" s="25" t="str">
        <f>IF(SUMIF('Prev Aub'!A:A,O227,'Prev Aub'!B:B)=0,"",SUMIF('Prev Aub'!A:A,O227,'Prev Aub'!B:B))</f>
        <v/>
      </c>
      <c r="AN227" s="25" t="s">
        <v>3790</v>
      </c>
      <c r="AO227" s="25" t="s">
        <v>3790</v>
      </c>
      <c r="AP227" s="25">
        <f t="shared" si="90"/>
        <v>0</v>
      </c>
      <c r="AQ227" s="151" t="str">
        <f>IF(SUMIFS('Supp Consol'!S:S,'Supp Consol'!A:A,O227,'Supp Consol'!I:I,"PENDING")=0,"",SUMIFS('Supp Consol'!S:S,'Supp Consol'!A:A,O227,'Supp Consol'!I:I,"PENDING"))</f>
        <v/>
      </c>
      <c r="AR227" s="27" t="str">
        <f t="shared" si="91"/>
        <v>AP280</v>
      </c>
      <c r="AS227" s="27" t="str">
        <f t="shared" si="92"/>
        <v>62</v>
      </c>
      <c r="AT227" s="27" t="str">
        <f t="shared" si="93"/>
        <v/>
      </c>
      <c r="AU227" s="27" t="str">
        <f t="shared" si="94"/>
        <v/>
      </c>
      <c r="AV227" s="27" t="str">
        <f t="shared" si="95"/>
        <v/>
      </c>
      <c r="AW227" s="27" t="str">
        <f t="shared" si="96"/>
        <v/>
      </c>
      <c r="AX227" s="27" t="str">
        <f t="shared" si="97"/>
        <v/>
      </c>
      <c r="AY227" s="27" t="str">
        <f t="shared" si="98"/>
        <v/>
      </c>
      <c r="AZ227" s="27" t="str">
        <f t="shared" si="99"/>
        <v/>
      </c>
      <c r="BA227" s="27" t="str">
        <f t="shared" si="100"/>
        <v/>
      </c>
      <c r="BB227" s="27" t="str">
        <f t="shared" si="101"/>
        <v/>
      </c>
      <c r="BC227" s="27" t="str">
        <f t="shared" si="102"/>
        <v/>
      </c>
      <c r="BD227" s="27" t="str">
        <f t="shared" si="103"/>
        <v/>
      </c>
      <c r="BE227" s="27" t="str">
        <f t="shared" si="104"/>
        <v/>
      </c>
      <c r="BF227" s="27" t="str">
        <f t="shared" si="105"/>
        <v/>
      </c>
      <c r="BG227" s="27" t="str">
        <f t="shared" si="106"/>
        <v/>
      </c>
      <c r="BH227" s="27" t="str">
        <f t="shared" si="107"/>
        <v/>
      </c>
      <c r="BI227" s="27" t="str">
        <f t="shared" si="108"/>
        <v/>
      </c>
      <c r="BJ227" s="27" t="str">
        <f t="shared" si="109"/>
        <v/>
      </c>
      <c r="BK227" s="27" t="str">
        <f t="shared" si="110"/>
        <v/>
      </c>
      <c r="BL227" s="27" t="str">
        <f t="shared" si="111"/>
        <v/>
      </c>
      <c r="BM227" s="21" t="s">
        <v>5581</v>
      </c>
    </row>
    <row r="228" spans="1:65" ht="15">
      <c r="A228" s="25" t="str">
        <f>IFERROR(INDEX('Hun Demand'!W:W,MATCH(O228,'Hun Demand'!A:A,0)),"")</f>
        <v/>
      </c>
      <c r="B228" s="25" t="str">
        <f>IFERROR(INDEX('Hun Demand'!V:V,MATCH(O228,'Hun Demand'!A:A,0)),"")</f>
        <v/>
      </c>
      <c r="C228" s="25" t="str">
        <f>IFERROR(INDEX('Hun Demand'!U:U,MATCH(O228,'Hun Demand'!A:A,0)),"")</f>
        <v/>
      </c>
      <c r="D228" s="25" t="str">
        <f>IFERROR(INDEX('Hun Demand'!T:T,MATCH(O228,'Hun Demand'!A:A,0)),"")</f>
        <v/>
      </c>
      <c r="E228" s="25" t="str">
        <f>IFERROR(INDEX('Hun Demand'!S:S,MATCH(O228,'Hun Demand'!A:A,0)),"")</f>
        <v/>
      </c>
      <c r="F228" s="25" t="str">
        <f>IFERROR(INDEX('Hun Demand'!R:R,MATCH(O228,'Hun Demand'!A:A,0)),"")</f>
        <v/>
      </c>
      <c r="G228" s="25">
        <f>IFERROR(INDEX('Aub Demand'!W:W,MATCH(O228,'Aub Demand'!A:A,0)),"")</f>
        <v>82</v>
      </c>
      <c r="H228" s="25">
        <f>IFERROR(INDEX('Aub Demand'!V:V,MATCH(O228,'Aub Demand'!A:A,0)),"")</f>
        <v>0</v>
      </c>
      <c r="I228" s="25">
        <f>IFERROR(INDEX('Aub Demand'!U:U,MATCH(O228,'Aub Demand'!A:A,0)),"")</f>
        <v>0</v>
      </c>
      <c r="J228" s="25">
        <f>IFERROR(INDEX('Aub Demand'!T:T,MATCH(O228,'Aub Demand'!A:A,0)),"")</f>
        <v>0</v>
      </c>
      <c r="K228" s="25">
        <f>IFERROR(INDEX('Aub Demand'!S:S,MATCH(O228,'Aub Demand'!A:A,0)),"")</f>
        <v>0</v>
      </c>
      <c r="L228" s="25">
        <f>IFERROR(INDEX('Aub Demand'!R:R,MATCH(O228,'Aub Demand'!A:A,0)),"")</f>
        <v>0</v>
      </c>
      <c r="O228" s="27" t="s">
        <v>412</v>
      </c>
      <c r="P228" s="27" t="str">
        <f>IFERROR(INDEX('Aub Demand'!B:B,MATCH($O228,'Aub Demand'!$A:$A,0)),"")</f>
        <v>IT'S A WRAP</v>
      </c>
      <c r="Q228" s="27" t="str">
        <f>IFERROR(INDEX('Aub Demand'!C:C,MATCH($O228,'Aub Demand'!$A:$A,0)),"")</f>
        <v>AHLST</v>
      </c>
      <c r="R228" s="52">
        <f>IFERROR(IF(AR229=AR228,INDEX('Aub Demand'!K:K,MATCH($O228,'Aub Demand'!$A:$A,0))-IF(AN228="",0,AN228)+AP229,INDEX('Aub Demand'!K:K,MATCH($O228,'Aub Demand'!$A:$A,0))-IF(AN228="",0,AN228)),"")</f>
        <v>1077</v>
      </c>
      <c r="S228" s="53" t="str">
        <f t="shared" si="84"/>
        <v>n/a</v>
      </c>
      <c r="T228" s="52" t="str">
        <f t="shared" si="85"/>
        <v/>
      </c>
      <c r="U228" s="52">
        <f>IFERROR(IF(AR229=AR228,INDEX('Aub Demand'!Q:Q,MATCH($O228,'Aub Demand'!$A:$A,0))-IF(AN228="",0,AN228)+AP229,INDEX('Aub Demand'!Q:Q,MATCH($O228,'Aub Demand'!$A:$A,0))-IF(AN228="",0,AN228)),"")</f>
        <v>1077</v>
      </c>
      <c r="V228" s="53" t="str">
        <f t="shared" si="86"/>
        <v>n/a</v>
      </c>
      <c r="W228" s="52" t="str">
        <f t="shared" si="87"/>
        <v/>
      </c>
      <c r="X228" s="52">
        <f>IFERROR(IF(AND(AR229=AR228,AM228&lt;&gt;""),INDEX('Aub Demand'!Q:Q,MATCH($O228,'Aub Demand'!$A:$A,0))-IF(AN228="",0,AN228)+AP229+AD228+AL228,IF(AR229=AR228,INDEX('Aub Demand'!Q:Q,MATCH($O228,'Aub Demand'!$A:$A,0))-IF(AN228="",0,AN228)+AP229+AD228,IF(AM228&lt;&gt;"",INDEX('Aub Demand'!Q:Q,MATCH($O228,'Aub Demand'!$A:$A,0))-IF(AN228="",0,AN228)+AD228+AL228,INDEX('Aub Demand'!Q:Q,MATCH($O228,'Aub Demand'!$A:$A,0))-IF(AN228="",0,AN228)+AD228))),"")</f>
        <v>1077</v>
      </c>
      <c r="Y228" s="53" t="str">
        <f t="shared" si="88"/>
        <v>n/a</v>
      </c>
      <c r="Z228" s="52">
        <f>IF(L228="","",INDEX('Aub Demand'!H:H,MATCH($O228,'Aub Demand'!$A:$A,0)))</f>
        <v>0</v>
      </c>
      <c r="AA228" s="52" t="str">
        <f t="shared" si="89"/>
        <v>-spike-</v>
      </c>
      <c r="AB228" s="52">
        <f>IFERROR(INDEX('Aub Demand'!L:L,MATCH($O228,'Aub Demand'!$A:$A,0)),"")</f>
        <v>6</v>
      </c>
      <c r="AC228" s="52">
        <f>IFERROR(IF(O228="","",SUMIFS('CPL Mats'!F:F,'CPL Mats'!Q:Q,AR228,'CPL Mats'!S:S,AS228)),"")</f>
        <v>0</v>
      </c>
      <c r="AF228" s="25" t="str">
        <f>IF(SUMIFS('Supp Consol'!S:S,'Supp Consol'!Y:Y,"Releasable",'Supp Consol'!A:A,O228)=0,"",SUMIFS('Supp Consol'!S:S,'Supp Consol'!Y:Y,"Releasable",'Supp Consol'!A:A,O228))</f>
        <v/>
      </c>
      <c r="AG228" s="25" t="str">
        <f>IFERROR(INDEX('Hun Demand'!Q:Q,MATCH(O228,'Hun Demand'!A:A,0)),"")</f>
        <v/>
      </c>
      <c r="AH228" s="25" t="str">
        <f>IFERROR(INDEX('Hun Demand'!H:H,MATCH($O228,'Hun Demand'!$A:$A,0)),"")</f>
        <v/>
      </c>
      <c r="AI228" s="25" t="str">
        <f>IF(SUMIFS('Supp Consol'!AA:AA,'Supp Consol'!Z:Z,"Expires this month",'Supp Consol'!A:A,O228)=0,"",SUMIFS('Supp Consol'!AA:AA,'Supp Consol'!Z:Z,"Expires this month",'Supp Consol'!A:A,O228))</f>
        <v/>
      </c>
      <c r="AJ228" s="25" t="str">
        <f>IF(SUMIFS('Supp Consol'!AA:AA,'Supp Consol'!Z:Z,"Expired Previous Months",'Supp Consol'!A:A,O228)=0,"",SUMIFS('Supp Consol'!AA:AA,'Supp Consol'!Z:Z,"Expired Previous Months",'Supp Consol'!A:A,O228))</f>
        <v/>
      </c>
      <c r="AK228" s="25" t="str">
        <f>IFERROR(INDEX('Hun Release Current'!B:B,MATCH(O228,'Hun Release Current'!A:A,0)),"")</f>
        <v/>
      </c>
      <c r="AL228" s="25" t="str">
        <f>IF(SUMIF('Prev Aub'!A:A,O228,'Prev Aub'!B:B)=0,"",SUMIF('Prev Aub'!A:A,O228,'Prev Aub'!B:B))</f>
        <v/>
      </c>
      <c r="AN228" s="25" t="s">
        <v>3790</v>
      </c>
      <c r="AO228" s="25" t="s">
        <v>3790</v>
      </c>
      <c r="AP228" s="25">
        <f t="shared" si="90"/>
        <v>0</v>
      </c>
      <c r="AQ228" s="151" t="str">
        <f>IF(SUMIFS('Supp Consol'!S:S,'Supp Consol'!A:A,O228,'Supp Consol'!I:I,"PENDING")=0,"",SUMIFS('Supp Consol'!S:S,'Supp Consol'!A:A,O228,'Supp Consol'!I:I,"PENDING"))</f>
        <v/>
      </c>
      <c r="AR228" s="27" t="str">
        <f t="shared" si="91"/>
        <v>AP290</v>
      </c>
      <c r="AS228" s="27" t="str">
        <f t="shared" si="92"/>
        <v>50</v>
      </c>
      <c r="AT228" s="27" t="str">
        <f t="shared" si="93"/>
        <v/>
      </c>
      <c r="AU228" s="27" t="str">
        <f t="shared" si="94"/>
        <v/>
      </c>
      <c r="AV228" s="27" t="str">
        <f t="shared" si="95"/>
        <v/>
      </c>
      <c r="AW228" s="27" t="str">
        <f t="shared" si="96"/>
        <v/>
      </c>
      <c r="AX228" s="27" t="str">
        <f t="shared" si="97"/>
        <v/>
      </c>
      <c r="AY228" s="27" t="str">
        <f t="shared" si="98"/>
        <v/>
      </c>
      <c r="AZ228" s="27" t="str">
        <f t="shared" si="99"/>
        <v/>
      </c>
      <c r="BA228" s="27" t="str">
        <f t="shared" si="100"/>
        <v/>
      </c>
      <c r="BB228" s="27" t="str">
        <f t="shared" si="101"/>
        <v/>
      </c>
      <c r="BC228" s="27" t="str">
        <f t="shared" si="102"/>
        <v/>
      </c>
      <c r="BD228" s="27" t="str">
        <f t="shared" si="103"/>
        <v/>
      </c>
      <c r="BE228" s="27" t="str">
        <f t="shared" si="104"/>
        <v/>
      </c>
      <c r="BF228" s="27" t="str">
        <f t="shared" si="105"/>
        <v/>
      </c>
      <c r="BG228" s="27" t="str">
        <f t="shared" si="106"/>
        <v/>
      </c>
      <c r="BH228" s="27" t="str">
        <f t="shared" si="107"/>
        <v/>
      </c>
      <c r="BI228" s="27" t="str">
        <f t="shared" si="108"/>
        <v/>
      </c>
      <c r="BJ228" s="27" t="str">
        <f t="shared" si="109"/>
        <v/>
      </c>
      <c r="BK228" s="27" t="str">
        <f t="shared" si="110"/>
        <v/>
      </c>
      <c r="BL228" s="27" t="str">
        <f t="shared" si="111"/>
        <v/>
      </c>
      <c r="BM228" s="21" t="s">
        <v>5581</v>
      </c>
    </row>
    <row r="229" spans="1:65" ht="15">
      <c r="A229" s="25" t="str">
        <f>IFERROR(INDEX('Hun Demand'!W:W,MATCH(O229,'Hun Demand'!A:A,0)),"")</f>
        <v/>
      </c>
      <c r="B229" s="25" t="str">
        <f>IFERROR(INDEX('Hun Demand'!V:V,MATCH(O229,'Hun Demand'!A:A,0)),"")</f>
        <v/>
      </c>
      <c r="C229" s="25" t="str">
        <f>IFERROR(INDEX('Hun Demand'!U:U,MATCH(O229,'Hun Demand'!A:A,0)),"")</f>
        <v/>
      </c>
      <c r="D229" s="25" t="str">
        <f>IFERROR(INDEX('Hun Demand'!T:T,MATCH(O229,'Hun Demand'!A:A,0)),"")</f>
        <v/>
      </c>
      <c r="E229" s="25" t="str">
        <f>IFERROR(INDEX('Hun Demand'!S:S,MATCH(O229,'Hun Demand'!A:A,0)),"")</f>
        <v/>
      </c>
      <c r="F229" s="25" t="str">
        <f>IFERROR(INDEX('Hun Demand'!R:R,MATCH(O229,'Hun Demand'!A:A,0)),"")</f>
        <v/>
      </c>
      <c r="G229" s="25">
        <f>IFERROR(INDEX('Aub Demand'!W:W,MATCH(O229,'Aub Demand'!A:A,0)),"")</f>
        <v>0</v>
      </c>
      <c r="H229" s="25">
        <f>IFERROR(INDEX('Aub Demand'!V:V,MATCH(O229,'Aub Demand'!A:A,0)),"")</f>
        <v>0</v>
      </c>
      <c r="I229" s="25">
        <f>IFERROR(INDEX('Aub Demand'!U:U,MATCH(O229,'Aub Demand'!A:A,0)),"")</f>
        <v>0</v>
      </c>
      <c r="J229" s="25">
        <f>IFERROR(INDEX('Aub Demand'!T:T,MATCH(O229,'Aub Demand'!A:A,0)),"")</f>
        <v>0</v>
      </c>
      <c r="K229" s="25">
        <f>IFERROR(INDEX('Aub Demand'!S:S,MATCH(O229,'Aub Demand'!A:A,0)),"")</f>
        <v>0</v>
      </c>
      <c r="L229" s="25">
        <f>IFERROR(INDEX('Aub Demand'!R:R,MATCH(O229,'Aub Demand'!A:A,0)),"")</f>
        <v>0</v>
      </c>
      <c r="O229" s="27" t="s">
        <v>414</v>
      </c>
      <c r="P229" s="27" t="str">
        <f>IFERROR(INDEX('Aub Demand'!B:B,MATCH($O229,'Aub Demand'!$A:$A,0)),"")</f>
        <v>IT'S A WRAP</v>
      </c>
      <c r="Q229" s="27" t="str">
        <f>IFERROR(INDEX('Aub Demand'!C:C,MATCH($O229,'Aub Demand'!$A:$A,0)),"")</f>
        <v>AHLST</v>
      </c>
      <c r="R229" s="52">
        <f>IFERROR(IF(AR230=AR229,INDEX('Aub Demand'!K:K,MATCH($O229,'Aub Demand'!$A:$A,0))-IF(AN229="",0,AN229)+AP230,INDEX('Aub Demand'!K:K,MATCH($O229,'Aub Demand'!$A:$A,0))-IF(AN229="",0,AN229)),"")</f>
        <v>2833</v>
      </c>
      <c r="S229" s="53" t="str">
        <f t="shared" si="84"/>
        <v>n/a</v>
      </c>
      <c r="T229" s="52" t="str">
        <f t="shared" si="85"/>
        <v/>
      </c>
      <c r="U229" s="52">
        <f>IFERROR(IF(AR230=AR229,INDEX('Aub Demand'!Q:Q,MATCH($O229,'Aub Demand'!$A:$A,0))-IF(AN229="",0,AN229)+AP230,INDEX('Aub Demand'!Q:Q,MATCH($O229,'Aub Demand'!$A:$A,0))-IF(AN229="",0,AN229)),"")</f>
        <v>2833</v>
      </c>
      <c r="V229" s="53" t="str">
        <f t="shared" si="86"/>
        <v>n/a</v>
      </c>
      <c r="W229" s="52" t="str">
        <f t="shared" si="87"/>
        <v/>
      </c>
      <c r="X229" s="52">
        <f>IFERROR(IF(AND(AR230=AR229,AM229&lt;&gt;""),INDEX('Aub Demand'!Q:Q,MATCH($O229,'Aub Demand'!$A:$A,0))-IF(AN229="",0,AN229)+AP230+AD229+AL229,IF(AR230=AR229,INDEX('Aub Demand'!Q:Q,MATCH($O229,'Aub Demand'!$A:$A,0))-IF(AN229="",0,AN229)+AP230+AD229,IF(AM229&lt;&gt;"",INDEX('Aub Demand'!Q:Q,MATCH($O229,'Aub Demand'!$A:$A,0))-IF(AN229="",0,AN229)+AD229+AL229,INDEX('Aub Demand'!Q:Q,MATCH($O229,'Aub Demand'!$A:$A,0))-IF(AN229="",0,AN229)+AD229))),"")</f>
        <v>2833</v>
      </c>
      <c r="Y229" s="53" t="str">
        <f t="shared" si="88"/>
        <v>n/a</v>
      </c>
      <c r="Z229" s="52">
        <f>IF(L229="","",INDEX('Aub Demand'!H:H,MATCH($O229,'Aub Demand'!$A:$A,0)))</f>
        <v>0</v>
      </c>
      <c r="AA229" s="52" t="str">
        <f t="shared" si="89"/>
        <v>-spike-</v>
      </c>
      <c r="AB229" s="52">
        <f>IFERROR(INDEX('Aub Demand'!L:L,MATCH($O229,'Aub Demand'!$A:$A,0)),"")</f>
        <v>0</v>
      </c>
      <c r="AC229" s="52">
        <f>IFERROR(IF(O229="","",SUMIFS('CPL Mats'!F:F,'CPL Mats'!Q:Q,AR229,'CPL Mats'!S:S,AS229)),"")</f>
        <v>0</v>
      </c>
      <c r="AF229" s="25" t="str">
        <f>IF(SUMIFS('Supp Consol'!S:S,'Supp Consol'!Y:Y,"Releasable",'Supp Consol'!A:A,O229)=0,"",SUMIFS('Supp Consol'!S:S,'Supp Consol'!Y:Y,"Releasable",'Supp Consol'!A:A,O229))</f>
        <v/>
      </c>
      <c r="AG229" s="25" t="str">
        <f>IFERROR(INDEX('Hun Demand'!Q:Q,MATCH(O229,'Hun Demand'!A:A,0)),"")</f>
        <v/>
      </c>
      <c r="AH229" s="25" t="str">
        <f>IFERROR(INDEX('Hun Demand'!H:H,MATCH($O229,'Hun Demand'!$A:$A,0)),"")</f>
        <v/>
      </c>
      <c r="AI229" s="25" t="str">
        <f>IF(SUMIFS('Supp Consol'!AA:AA,'Supp Consol'!Z:Z,"Expires this month",'Supp Consol'!A:A,O229)=0,"",SUMIFS('Supp Consol'!AA:AA,'Supp Consol'!Z:Z,"Expires this month",'Supp Consol'!A:A,O229))</f>
        <v/>
      </c>
      <c r="AJ229" s="25" t="str">
        <f>IF(SUMIFS('Supp Consol'!AA:AA,'Supp Consol'!Z:Z,"Expired Previous Months",'Supp Consol'!A:A,O229)=0,"",SUMIFS('Supp Consol'!AA:AA,'Supp Consol'!Z:Z,"Expired Previous Months",'Supp Consol'!A:A,O229))</f>
        <v/>
      </c>
      <c r="AK229" s="25" t="str">
        <f>IFERROR(INDEX('Hun Release Current'!B:B,MATCH(O229,'Hun Release Current'!A:A,0)),"")</f>
        <v/>
      </c>
      <c r="AL229" s="25" t="str">
        <f>IF(SUMIF('Prev Aub'!A:A,O229,'Prev Aub'!B:B)=0,"",SUMIF('Prev Aub'!A:A,O229,'Prev Aub'!B:B))</f>
        <v/>
      </c>
      <c r="AN229" s="25" t="s">
        <v>3790</v>
      </c>
      <c r="AO229" s="25" t="s">
        <v>3790</v>
      </c>
      <c r="AP229" s="25">
        <f t="shared" si="90"/>
        <v>0</v>
      </c>
      <c r="AQ229" s="151" t="str">
        <f>IF(SUMIFS('Supp Consol'!S:S,'Supp Consol'!A:A,O229,'Supp Consol'!I:I,"PENDING")=0,"",SUMIFS('Supp Consol'!S:S,'Supp Consol'!A:A,O229,'Supp Consol'!I:I,"PENDING"))</f>
        <v/>
      </c>
      <c r="AR229" s="27" t="str">
        <f t="shared" si="91"/>
        <v>AP290</v>
      </c>
      <c r="AS229" s="27" t="str">
        <f t="shared" si="92"/>
        <v>62</v>
      </c>
      <c r="AT229" s="27" t="str">
        <f t="shared" si="93"/>
        <v/>
      </c>
      <c r="AU229" s="27" t="str">
        <f t="shared" si="94"/>
        <v/>
      </c>
      <c r="AV229" s="27" t="str">
        <f t="shared" si="95"/>
        <v/>
      </c>
      <c r="AW229" s="27" t="str">
        <f t="shared" si="96"/>
        <v/>
      </c>
      <c r="AX229" s="27" t="str">
        <f t="shared" si="97"/>
        <v/>
      </c>
      <c r="AY229" s="27" t="str">
        <f t="shared" si="98"/>
        <v/>
      </c>
      <c r="AZ229" s="27" t="str">
        <f t="shared" si="99"/>
        <v/>
      </c>
      <c r="BA229" s="27" t="str">
        <f t="shared" si="100"/>
        <v/>
      </c>
      <c r="BB229" s="27" t="str">
        <f t="shared" si="101"/>
        <v/>
      </c>
      <c r="BC229" s="27" t="str">
        <f t="shared" si="102"/>
        <v/>
      </c>
      <c r="BD229" s="27" t="str">
        <f t="shared" si="103"/>
        <v/>
      </c>
      <c r="BE229" s="27" t="str">
        <f t="shared" si="104"/>
        <v/>
      </c>
      <c r="BF229" s="27" t="str">
        <f t="shared" si="105"/>
        <v/>
      </c>
      <c r="BG229" s="27" t="str">
        <f t="shared" si="106"/>
        <v/>
      </c>
      <c r="BH229" s="27" t="str">
        <f t="shared" si="107"/>
        <v/>
      </c>
      <c r="BI229" s="27" t="str">
        <f t="shared" si="108"/>
        <v/>
      </c>
      <c r="BJ229" s="27" t="str">
        <f t="shared" si="109"/>
        <v/>
      </c>
      <c r="BK229" s="27" t="str">
        <f t="shared" si="110"/>
        <v/>
      </c>
      <c r="BL229" s="27" t="str">
        <f t="shared" si="111"/>
        <v/>
      </c>
      <c r="BM229" s="21" t="s">
        <v>5581</v>
      </c>
    </row>
    <row r="230" spans="1:65" ht="15">
      <c r="A230" s="25" t="str">
        <f>IFERROR(INDEX('Hun Demand'!W:W,MATCH(O230,'Hun Demand'!A:A,0)),"")</f>
        <v/>
      </c>
      <c r="B230" s="25" t="str">
        <f>IFERROR(INDEX('Hun Demand'!V:V,MATCH(O230,'Hun Demand'!A:A,0)),"")</f>
        <v/>
      </c>
      <c r="C230" s="25" t="str">
        <f>IFERROR(INDEX('Hun Demand'!U:U,MATCH(O230,'Hun Demand'!A:A,0)),"")</f>
        <v/>
      </c>
      <c r="D230" s="25" t="str">
        <f>IFERROR(INDEX('Hun Demand'!T:T,MATCH(O230,'Hun Demand'!A:A,0)),"")</f>
        <v/>
      </c>
      <c r="E230" s="25" t="str">
        <f>IFERROR(INDEX('Hun Demand'!S:S,MATCH(O230,'Hun Demand'!A:A,0)),"")</f>
        <v/>
      </c>
      <c r="F230" s="25" t="str">
        <f>IFERROR(INDEX('Hun Demand'!R:R,MATCH(O230,'Hun Demand'!A:A,0)),"")</f>
        <v/>
      </c>
      <c r="G230" s="25">
        <f>IFERROR(INDEX('Aub Demand'!W:W,MATCH(O230,'Aub Demand'!A:A,0)),"")</f>
        <v>15</v>
      </c>
      <c r="H230" s="25">
        <f>IFERROR(INDEX('Aub Demand'!V:V,MATCH(O230,'Aub Demand'!A:A,0)),"")</f>
        <v>0</v>
      </c>
      <c r="I230" s="25">
        <f>IFERROR(INDEX('Aub Demand'!U:U,MATCH(O230,'Aub Demand'!A:A,0)),"")</f>
        <v>0</v>
      </c>
      <c r="J230" s="25">
        <f>IFERROR(INDEX('Aub Demand'!T:T,MATCH(O230,'Aub Demand'!A:A,0)),"")</f>
        <v>0</v>
      </c>
      <c r="K230" s="25">
        <f>IFERROR(INDEX('Aub Demand'!S:S,MATCH(O230,'Aub Demand'!A:A,0)),"")</f>
        <v>0</v>
      </c>
      <c r="L230" s="25">
        <f>IFERROR(INDEX('Aub Demand'!R:R,MATCH(O230,'Aub Demand'!A:A,0)),"")</f>
        <v>6</v>
      </c>
      <c r="O230" s="27" t="s">
        <v>415</v>
      </c>
      <c r="P230" s="27" t="str">
        <f>IFERROR(INDEX('Aub Demand'!B:B,MATCH($O230,'Aub Demand'!$A:$A,0)),"")</f>
        <v>SHETLAND TWEED</v>
      </c>
      <c r="Q230" s="27" t="str">
        <f>IFERROR(INDEX('Aub Demand'!C:C,MATCH($O230,'Aub Demand'!$A:$A,0)),"")</f>
        <v>SCHAT</v>
      </c>
      <c r="R230" s="52">
        <f>IFERROR(IF(AR231=AR230,INDEX('Aub Demand'!K:K,MATCH($O230,'Aub Demand'!$A:$A,0))-IF(AN230="",0,AN230)+AP231,INDEX('Aub Demand'!K:K,MATCH($O230,'Aub Demand'!$A:$A,0))-IF(AN230="",0,AN230)),"")</f>
        <v>1310</v>
      </c>
      <c r="S230" s="53" t="str">
        <f t="shared" si="84"/>
        <v>n/a</v>
      </c>
      <c r="T230" s="52" t="str">
        <f t="shared" si="85"/>
        <v/>
      </c>
      <c r="U230" s="52">
        <f>IFERROR(IF(AR231=AR230,INDEX('Aub Demand'!Q:Q,MATCH($O230,'Aub Demand'!$A:$A,0))-IF(AN230="",0,AN230)+AP231,INDEX('Aub Demand'!Q:Q,MATCH($O230,'Aub Demand'!$A:$A,0))-IF(AN230="",0,AN230)),"")</f>
        <v>1302</v>
      </c>
      <c r="V230" s="53" t="str">
        <f t="shared" si="86"/>
        <v>n/a</v>
      </c>
      <c r="W230" s="52" t="str">
        <f t="shared" si="87"/>
        <v/>
      </c>
      <c r="X230" s="52">
        <f>IFERROR(IF(AND(AR231=AR230,AM230&lt;&gt;""),INDEX('Aub Demand'!Q:Q,MATCH($O230,'Aub Demand'!$A:$A,0))-IF(AN230="",0,AN230)+AP231+AD230+AL230,IF(AR231=AR230,INDEX('Aub Demand'!Q:Q,MATCH($O230,'Aub Demand'!$A:$A,0))-IF(AN230="",0,AN230)+AP231+AD230,IF(AM230&lt;&gt;"",INDEX('Aub Demand'!Q:Q,MATCH($O230,'Aub Demand'!$A:$A,0))-IF(AN230="",0,AN230)+AD230+AL230,INDEX('Aub Demand'!Q:Q,MATCH($O230,'Aub Demand'!$A:$A,0))-IF(AN230="",0,AN230)+AD230))),"")</f>
        <v>1302</v>
      </c>
      <c r="Y230" s="53" t="str">
        <f t="shared" si="88"/>
        <v>n/a</v>
      </c>
      <c r="Z230" s="52">
        <f>IF(L230="","",INDEX('Aub Demand'!H:H,MATCH($O230,'Aub Demand'!$A:$A,0)))</f>
        <v>0</v>
      </c>
      <c r="AA230" s="52" t="str">
        <f t="shared" si="89"/>
        <v>-spike-</v>
      </c>
      <c r="AB230" s="52">
        <f>IFERROR(INDEX('Aub Demand'!L:L,MATCH($O230,'Aub Demand'!$A:$A,0)),"")</f>
        <v>10</v>
      </c>
      <c r="AC230" s="52">
        <f>IFERROR(IF(O230="","",SUMIFS('CPL Mats'!F:F,'CPL Mats'!Q:Q,AR230,'CPL Mats'!S:S,AS230)),"")</f>
        <v>0</v>
      </c>
      <c r="AF230" s="25" t="str">
        <f>IF(SUMIFS('Supp Consol'!S:S,'Supp Consol'!Y:Y,"Releasable",'Supp Consol'!A:A,O230)=0,"",SUMIFS('Supp Consol'!S:S,'Supp Consol'!Y:Y,"Releasable",'Supp Consol'!A:A,O230))</f>
        <v/>
      </c>
      <c r="AG230" s="25" t="str">
        <f>IFERROR(INDEX('Hun Demand'!Q:Q,MATCH(O230,'Hun Demand'!A:A,0)),"")</f>
        <v/>
      </c>
      <c r="AH230" s="25" t="str">
        <f>IFERROR(INDEX('Hun Demand'!H:H,MATCH($O230,'Hun Demand'!$A:$A,0)),"")</f>
        <v/>
      </c>
      <c r="AI230" s="25" t="str">
        <f>IF(SUMIFS('Supp Consol'!AA:AA,'Supp Consol'!Z:Z,"Expires this month",'Supp Consol'!A:A,O230)=0,"",SUMIFS('Supp Consol'!AA:AA,'Supp Consol'!Z:Z,"Expires this month",'Supp Consol'!A:A,O230))</f>
        <v/>
      </c>
      <c r="AJ230" s="25" t="str">
        <f>IF(SUMIFS('Supp Consol'!AA:AA,'Supp Consol'!Z:Z,"Expired Previous Months",'Supp Consol'!A:A,O230)=0,"",SUMIFS('Supp Consol'!AA:AA,'Supp Consol'!Z:Z,"Expired Previous Months",'Supp Consol'!A:A,O230))</f>
        <v/>
      </c>
      <c r="AK230" s="25" t="str">
        <f>IFERROR(INDEX('Hun Release Current'!B:B,MATCH(O230,'Hun Release Current'!A:A,0)),"")</f>
        <v/>
      </c>
      <c r="AL230" s="25" t="str">
        <f>IF(SUMIF('Prev Aub'!A:A,O230,'Prev Aub'!B:B)=0,"",SUMIF('Prev Aub'!A:A,O230,'Prev Aub'!B:B))</f>
        <v/>
      </c>
      <c r="AN230" s="25" t="s">
        <v>3790</v>
      </c>
      <c r="AO230" s="25" t="s">
        <v>3790</v>
      </c>
      <c r="AP230" s="25">
        <f t="shared" si="90"/>
        <v>0</v>
      </c>
      <c r="AQ230" s="151" t="str">
        <f>IF(SUMIFS('Supp Consol'!S:S,'Supp Consol'!A:A,O230,'Supp Consol'!I:I,"PENDING")=0,"",SUMIFS('Supp Consol'!S:S,'Supp Consol'!A:A,O230,'Supp Consol'!I:I,"PENDING"))</f>
        <v/>
      </c>
      <c r="AR230" s="27" t="str">
        <f t="shared" si="91"/>
        <v>AP365</v>
      </c>
      <c r="AS230" s="27" t="str">
        <f t="shared" si="92"/>
        <v>50</v>
      </c>
      <c r="AT230" s="27" t="str">
        <f t="shared" si="93"/>
        <v/>
      </c>
      <c r="AU230" s="27" t="str">
        <f t="shared" si="94"/>
        <v/>
      </c>
      <c r="AV230" s="27" t="str">
        <f t="shared" si="95"/>
        <v/>
      </c>
      <c r="AW230" s="27" t="str">
        <f t="shared" si="96"/>
        <v/>
      </c>
      <c r="AX230" s="27" t="str">
        <f t="shared" si="97"/>
        <v/>
      </c>
      <c r="AY230" s="27" t="str">
        <f t="shared" si="98"/>
        <v/>
      </c>
      <c r="AZ230" s="27" t="str">
        <f t="shared" si="99"/>
        <v/>
      </c>
      <c r="BA230" s="27" t="str">
        <f t="shared" si="100"/>
        <v/>
      </c>
      <c r="BB230" s="27" t="str">
        <f t="shared" si="101"/>
        <v/>
      </c>
      <c r="BC230" s="27" t="str">
        <f t="shared" si="102"/>
        <v/>
      </c>
      <c r="BD230" s="27" t="str">
        <f t="shared" si="103"/>
        <v/>
      </c>
      <c r="BE230" s="27" t="str">
        <f t="shared" si="104"/>
        <v/>
      </c>
      <c r="BF230" s="27" t="str">
        <f t="shared" si="105"/>
        <v/>
      </c>
      <c r="BG230" s="27" t="str">
        <f t="shared" si="106"/>
        <v/>
      </c>
      <c r="BH230" s="27" t="str">
        <f t="shared" si="107"/>
        <v/>
      </c>
      <c r="BI230" s="27" t="str">
        <f t="shared" si="108"/>
        <v/>
      </c>
      <c r="BJ230" s="27" t="str">
        <f t="shared" si="109"/>
        <v/>
      </c>
      <c r="BK230" s="27" t="str">
        <f t="shared" si="110"/>
        <v/>
      </c>
      <c r="BL230" s="27" t="str">
        <f t="shared" si="111"/>
        <v/>
      </c>
      <c r="BM230" s="21" t="s">
        <v>5581</v>
      </c>
    </row>
    <row r="231" spans="1:65" ht="15">
      <c r="A231" s="25" t="str">
        <f>IFERROR(INDEX('Hun Demand'!W:W,MATCH(O231,'Hun Demand'!A:A,0)),"")</f>
        <v/>
      </c>
      <c r="B231" s="25" t="str">
        <f>IFERROR(INDEX('Hun Demand'!V:V,MATCH(O231,'Hun Demand'!A:A,0)),"")</f>
        <v/>
      </c>
      <c r="C231" s="25" t="str">
        <f>IFERROR(INDEX('Hun Demand'!U:U,MATCH(O231,'Hun Demand'!A:A,0)),"")</f>
        <v/>
      </c>
      <c r="D231" s="25" t="str">
        <f>IFERROR(INDEX('Hun Demand'!T:T,MATCH(O231,'Hun Demand'!A:A,0)),"")</f>
        <v/>
      </c>
      <c r="E231" s="25" t="str">
        <f>IFERROR(INDEX('Hun Demand'!S:S,MATCH(O231,'Hun Demand'!A:A,0)),"")</f>
        <v/>
      </c>
      <c r="F231" s="25" t="str">
        <f>IFERROR(INDEX('Hun Demand'!R:R,MATCH(O231,'Hun Demand'!A:A,0)),"")</f>
        <v/>
      </c>
      <c r="G231" s="25">
        <f>IFERROR(INDEX('Aub Demand'!W:W,MATCH(O231,'Aub Demand'!A:A,0)),"")</f>
        <v>0</v>
      </c>
      <c r="H231" s="25">
        <f>IFERROR(INDEX('Aub Demand'!V:V,MATCH(O231,'Aub Demand'!A:A,0)),"")</f>
        <v>0</v>
      </c>
      <c r="I231" s="25">
        <f>IFERROR(INDEX('Aub Demand'!U:U,MATCH(O231,'Aub Demand'!A:A,0)),"")</f>
        <v>0</v>
      </c>
      <c r="J231" s="25">
        <f>IFERROR(INDEX('Aub Demand'!T:T,MATCH(O231,'Aub Demand'!A:A,0)),"")</f>
        <v>0</v>
      </c>
      <c r="K231" s="25">
        <f>IFERROR(INDEX('Aub Demand'!S:S,MATCH(O231,'Aub Demand'!A:A,0)),"")</f>
        <v>0</v>
      </c>
      <c r="L231" s="25">
        <f>IFERROR(INDEX('Aub Demand'!R:R,MATCH(O231,'Aub Demand'!A:A,0)),"")</f>
        <v>0</v>
      </c>
      <c r="O231" s="27" t="s">
        <v>417</v>
      </c>
      <c r="P231" s="27" t="str">
        <f>IFERROR(INDEX('Aub Demand'!B:B,MATCH($O231,'Aub Demand'!$A:$A,0)),"")</f>
        <v>SHETLAND TWEED</v>
      </c>
      <c r="Q231" s="27" t="str">
        <f>IFERROR(INDEX('Aub Demand'!C:C,MATCH($O231,'Aub Demand'!$A:$A,0)),"")</f>
        <v>SCHAT</v>
      </c>
      <c r="R231" s="52">
        <f>IFERROR(IF(AR232=AR231,INDEX('Aub Demand'!K:K,MATCH($O231,'Aub Demand'!$A:$A,0))-IF(AN231="",0,AN231)+AP232,INDEX('Aub Demand'!K:K,MATCH($O231,'Aub Demand'!$A:$A,0))-IF(AN231="",0,AN231)),"")</f>
        <v>2803</v>
      </c>
      <c r="S231" s="53" t="str">
        <f t="shared" si="84"/>
        <v>n/a</v>
      </c>
      <c r="T231" s="52" t="str">
        <f t="shared" si="85"/>
        <v/>
      </c>
      <c r="U231" s="52">
        <f>IFERROR(IF(AR232=AR231,INDEX('Aub Demand'!Q:Q,MATCH($O231,'Aub Demand'!$A:$A,0))-IF(AN231="",0,AN231)+AP232,INDEX('Aub Demand'!Q:Q,MATCH($O231,'Aub Demand'!$A:$A,0))-IF(AN231="",0,AN231)),"")</f>
        <v>2803</v>
      </c>
      <c r="V231" s="53" t="str">
        <f t="shared" si="86"/>
        <v>n/a</v>
      </c>
      <c r="W231" s="52" t="str">
        <f t="shared" si="87"/>
        <v/>
      </c>
      <c r="X231" s="52">
        <f>IFERROR(IF(AND(AR232=AR231,AM231&lt;&gt;""),INDEX('Aub Demand'!Q:Q,MATCH($O231,'Aub Demand'!$A:$A,0))-IF(AN231="",0,AN231)+AP232+AD231+AL231,IF(AR232=AR231,INDEX('Aub Demand'!Q:Q,MATCH($O231,'Aub Demand'!$A:$A,0))-IF(AN231="",0,AN231)+AP232+AD231,IF(AM231&lt;&gt;"",INDEX('Aub Demand'!Q:Q,MATCH($O231,'Aub Demand'!$A:$A,0))-IF(AN231="",0,AN231)+AD231+AL231,INDEX('Aub Demand'!Q:Q,MATCH($O231,'Aub Demand'!$A:$A,0))-IF(AN231="",0,AN231)+AD231))),"")</f>
        <v>2803</v>
      </c>
      <c r="Y231" s="53" t="str">
        <f t="shared" si="88"/>
        <v>n/a</v>
      </c>
      <c r="Z231" s="52">
        <f>IF(L231="","",INDEX('Aub Demand'!H:H,MATCH($O231,'Aub Demand'!$A:$A,0)))</f>
        <v>0</v>
      </c>
      <c r="AA231" s="52" t="str">
        <f t="shared" si="89"/>
        <v>-spike-</v>
      </c>
      <c r="AB231" s="52">
        <f>IFERROR(INDEX('Aub Demand'!L:L,MATCH($O231,'Aub Demand'!$A:$A,0)),"")</f>
        <v>0</v>
      </c>
      <c r="AC231" s="52">
        <f>IFERROR(IF(O231="","",SUMIFS('CPL Mats'!F:F,'CPL Mats'!Q:Q,AR231,'CPL Mats'!S:S,AS231)),"")</f>
        <v>0</v>
      </c>
      <c r="AF231" s="25" t="str">
        <f>IF(SUMIFS('Supp Consol'!S:S,'Supp Consol'!Y:Y,"Releasable",'Supp Consol'!A:A,O231)=0,"",SUMIFS('Supp Consol'!S:S,'Supp Consol'!Y:Y,"Releasable",'Supp Consol'!A:A,O231))</f>
        <v/>
      </c>
      <c r="AG231" s="25" t="str">
        <f>IFERROR(INDEX('Hun Demand'!Q:Q,MATCH(O231,'Hun Demand'!A:A,0)),"")</f>
        <v/>
      </c>
      <c r="AH231" s="25" t="str">
        <f>IFERROR(INDEX('Hun Demand'!H:H,MATCH($O231,'Hun Demand'!$A:$A,0)),"")</f>
        <v/>
      </c>
      <c r="AI231" s="25" t="str">
        <f>IF(SUMIFS('Supp Consol'!AA:AA,'Supp Consol'!Z:Z,"Expires this month",'Supp Consol'!A:A,O231)=0,"",SUMIFS('Supp Consol'!AA:AA,'Supp Consol'!Z:Z,"Expires this month",'Supp Consol'!A:A,O231))</f>
        <v/>
      </c>
      <c r="AJ231" s="25" t="str">
        <f>IF(SUMIFS('Supp Consol'!AA:AA,'Supp Consol'!Z:Z,"Expired Previous Months",'Supp Consol'!A:A,O231)=0,"",SUMIFS('Supp Consol'!AA:AA,'Supp Consol'!Z:Z,"Expired Previous Months",'Supp Consol'!A:A,O231))</f>
        <v/>
      </c>
      <c r="AK231" s="25" t="str">
        <f>IFERROR(INDEX('Hun Release Current'!B:B,MATCH(O231,'Hun Release Current'!A:A,0)),"")</f>
        <v/>
      </c>
      <c r="AL231" s="25" t="str">
        <f>IF(SUMIF('Prev Aub'!A:A,O231,'Prev Aub'!B:B)=0,"",SUMIF('Prev Aub'!A:A,O231,'Prev Aub'!B:B))</f>
        <v/>
      </c>
      <c r="AN231" s="25" t="s">
        <v>3790</v>
      </c>
      <c r="AO231" s="25" t="s">
        <v>3790</v>
      </c>
      <c r="AP231" s="25">
        <f t="shared" si="90"/>
        <v>0</v>
      </c>
      <c r="AQ231" s="151" t="str">
        <f>IF(SUMIFS('Supp Consol'!S:S,'Supp Consol'!A:A,O231,'Supp Consol'!I:I,"PENDING")=0,"",SUMIFS('Supp Consol'!S:S,'Supp Consol'!A:A,O231,'Supp Consol'!I:I,"PENDING"))</f>
        <v/>
      </c>
      <c r="AR231" s="27" t="str">
        <f t="shared" si="91"/>
        <v>AP365</v>
      </c>
      <c r="AS231" s="27" t="str">
        <f t="shared" si="92"/>
        <v>62</v>
      </c>
      <c r="AT231" s="27" t="str">
        <f t="shared" si="93"/>
        <v/>
      </c>
      <c r="AU231" s="27" t="str">
        <f t="shared" si="94"/>
        <v/>
      </c>
      <c r="AV231" s="27" t="str">
        <f t="shared" si="95"/>
        <v/>
      </c>
      <c r="AW231" s="27" t="str">
        <f t="shared" si="96"/>
        <v/>
      </c>
      <c r="AX231" s="27" t="str">
        <f t="shared" si="97"/>
        <v/>
      </c>
      <c r="AY231" s="27" t="str">
        <f t="shared" si="98"/>
        <v/>
      </c>
      <c r="AZ231" s="27" t="str">
        <f t="shared" si="99"/>
        <v/>
      </c>
      <c r="BA231" s="27" t="str">
        <f t="shared" si="100"/>
        <v/>
      </c>
      <c r="BB231" s="27" t="str">
        <f t="shared" si="101"/>
        <v/>
      </c>
      <c r="BC231" s="27" t="str">
        <f t="shared" si="102"/>
        <v/>
      </c>
      <c r="BD231" s="27" t="str">
        <f t="shared" si="103"/>
        <v/>
      </c>
      <c r="BE231" s="27" t="str">
        <f t="shared" si="104"/>
        <v/>
      </c>
      <c r="BF231" s="27" t="str">
        <f t="shared" si="105"/>
        <v/>
      </c>
      <c r="BG231" s="27" t="str">
        <f t="shared" si="106"/>
        <v/>
      </c>
      <c r="BH231" s="27" t="str">
        <f t="shared" si="107"/>
        <v/>
      </c>
      <c r="BI231" s="27" t="str">
        <f t="shared" si="108"/>
        <v/>
      </c>
      <c r="BJ231" s="27" t="str">
        <f t="shared" si="109"/>
        <v/>
      </c>
      <c r="BK231" s="27" t="str">
        <f t="shared" si="110"/>
        <v/>
      </c>
      <c r="BL231" s="27" t="str">
        <f t="shared" si="111"/>
        <v/>
      </c>
      <c r="BM231" s="21" t="s">
        <v>5581</v>
      </c>
    </row>
    <row r="232" spans="1:65" ht="15">
      <c r="A232" s="25" t="str">
        <f>IFERROR(INDEX('Hun Demand'!W:W,MATCH(O232,'Hun Demand'!A:A,0)),"")</f>
        <v/>
      </c>
      <c r="B232" s="25" t="str">
        <f>IFERROR(INDEX('Hun Demand'!V:V,MATCH(O232,'Hun Demand'!A:A,0)),"")</f>
        <v/>
      </c>
      <c r="C232" s="25" t="str">
        <f>IFERROR(INDEX('Hun Demand'!U:U,MATCH(O232,'Hun Demand'!A:A,0)),"")</f>
        <v/>
      </c>
      <c r="D232" s="25" t="str">
        <f>IFERROR(INDEX('Hun Demand'!T:T,MATCH(O232,'Hun Demand'!A:A,0)),"")</f>
        <v/>
      </c>
      <c r="E232" s="25" t="str">
        <f>IFERROR(INDEX('Hun Demand'!S:S,MATCH(O232,'Hun Demand'!A:A,0)),"")</f>
        <v/>
      </c>
      <c r="F232" s="25" t="str">
        <f>IFERROR(INDEX('Hun Demand'!R:R,MATCH(O232,'Hun Demand'!A:A,0)),"")</f>
        <v/>
      </c>
      <c r="G232" s="25">
        <f>IFERROR(INDEX('Aub Demand'!W:W,MATCH(O232,'Aub Demand'!A:A,0)),"")</f>
        <v>0</v>
      </c>
      <c r="H232" s="25">
        <f>IFERROR(INDEX('Aub Demand'!V:V,MATCH(O232,'Aub Demand'!A:A,0)),"")</f>
        <v>0</v>
      </c>
      <c r="I232" s="25">
        <f>IFERROR(INDEX('Aub Demand'!U:U,MATCH(O232,'Aub Demand'!A:A,0)),"")</f>
        <v>0</v>
      </c>
      <c r="J232" s="25">
        <f>IFERROR(INDEX('Aub Demand'!T:T,MATCH(O232,'Aub Demand'!A:A,0)),"")</f>
        <v>0</v>
      </c>
      <c r="K232" s="25">
        <f>IFERROR(INDEX('Aub Demand'!S:S,MATCH(O232,'Aub Demand'!A:A,0)),"")</f>
        <v>0</v>
      </c>
      <c r="L232" s="25">
        <f>IFERROR(INDEX('Aub Demand'!R:R,MATCH(O232,'Aub Demand'!A:A,0)),"")</f>
        <v>8</v>
      </c>
      <c r="O232" s="27" t="s">
        <v>418</v>
      </c>
      <c r="P232" s="27" t="str">
        <f>IFERROR(INDEX('Aub Demand'!B:B,MATCH($O232,'Aub Demand'!$A:$A,0)),"")</f>
        <v>GENTELMAN'S TWEED</v>
      </c>
      <c r="Q232" s="27" t="str">
        <f>IFERROR(INDEX('Aub Demand'!C:C,MATCH($O232,'Aub Demand'!$A:$A,0)),"")</f>
        <v>SCHAT</v>
      </c>
      <c r="R232" s="52">
        <f>IFERROR(IF(AR233=AR232,INDEX('Aub Demand'!K:K,MATCH($O232,'Aub Demand'!$A:$A,0))-IF(AN232="",0,AN232)+AP233,INDEX('Aub Demand'!K:K,MATCH($O232,'Aub Demand'!$A:$A,0))-IF(AN232="",0,AN232)),"")</f>
        <v>1454</v>
      </c>
      <c r="S232" s="53" t="str">
        <f t="shared" si="84"/>
        <v>n/a</v>
      </c>
      <c r="T232" s="52" t="str">
        <f t="shared" si="85"/>
        <v/>
      </c>
      <c r="U232" s="52">
        <f>IFERROR(IF(AR233=AR232,INDEX('Aub Demand'!Q:Q,MATCH($O232,'Aub Demand'!$A:$A,0))-IF(AN232="",0,AN232)+AP233,INDEX('Aub Demand'!Q:Q,MATCH($O232,'Aub Demand'!$A:$A,0))-IF(AN232="",0,AN232)),"")</f>
        <v>1446</v>
      </c>
      <c r="V232" s="53" t="str">
        <f t="shared" si="86"/>
        <v>n/a</v>
      </c>
      <c r="W232" s="52" t="str">
        <f t="shared" si="87"/>
        <v/>
      </c>
      <c r="X232" s="52">
        <f>IFERROR(IF(AND(AR233=AR232,AM232&lt;&gt;""),INDEX('Aub Demand'!Q:Q,MATCH($O232,'Aub Demand'!$A:$A,0))-IF(AN232="",0,AN232)+AP233+AD232+AL232,IF(AR233=AR232,INDEX('Aub Demand'!Q:Q,MATCH($O232,'Aub Demand'!$A:$A,0))-IF(AN232="",0,AN232)+AP233+AD232,IF(AM232&lt;&gt;"",INDEX('Aub Demand'!Q:Q,MATCH($O232,'Aub Demand'!$A:$A,0))-IF(AN232="",0,AN232)+AD232+AL232,INDEX('Aub Demand'!Q:Q,MATCH($O232,'Aub Demand'!$A:$A,0))-IF(AN232="",0,AN232)+AD232))),"")</f>
        <v>1446</v>
      </c>
      <c r="Y232" s="53" t="str">
        <f t="shared" si="88"/>
        <v>n/a</v>
      </c>
      <c r="Z232" s="52">
        <f>IF(L232="","",INDEX('Aub Demand'!H:H,MATCH($O232,'Aub Demand'!$A:$A,0)))</f>
        <v>0</v>
      </c>
      <c r="AA232" s="52" t="str">
        <f t="shared" si="89"/>
        <v>-spike-</v>
      </c>
      <c r="AB232" s="52">
        <f>IFERROR(INDEX('Aub Demand'!L:L,MATCH($O232,'Aub Demand'!$A:$A,0)),"")</f>
        <v>10</v>
      </c>
      <c r="AC232" s="52">
        <f>IFERROR(IF(O232="","",SUMIFS('CPL Mats'!F:F,'CPL Mats'!Q:Q,AR232,'CPL Mats'!S:S,AS232)),"")</f>
        <v>0</v>
      </c>
      <c r="AF232" s="25" t="str">
        <f>IF(SUMIFS('Supp Consol'!S:S,'Supp Consol'!Y:Y,"Releasable",'Supp Consol'!A:A,O232)=0,"",SUMIFS('Supp Consol'!S:S,'Supp Consol'!Y:Y,"Releasable",'Supp Consol'!A:A,O232))</f>
        <v/>
      </c>
      <c r="AG232" s="25" t="str">
        <f>IFERROR(INDEX('Hun Demand'!Q:Q,MATCH(O232,'Hun Demand'!A:A,0)),"")</f>
        <v/>
      </c>
      <c r="AH232" s="25" t="str">
        <f>IFERROR(INDEX('Hun Demand'!H:H,MATCH($O232,'Hun Demand'!$A:$A,0)),"")</f>
        <v/>
      </c>
      <c r="AI232" s="25" t="str">
        <f>IF(SUMIFS('Supp Consol'!AA:AA,'Supp Consol'!Z:Z,"Expires this month",'Supp Consol'!A:A,O232)=0,"",SUMIFS('Supp Consol'!AA:AA,'Supp Consol'!Z:Z,"Expires this month",'Supp Consol'!A:A,O232))</f>
        <v/>
      </c>
      <c r="AJ232" s="25" t="str">
        <f>IF(SUMIFS('Supp Consol'!AA:AA,'Supp Consol'!Z:Z,"Expired Previous Months",'Supp Consol'!A:A,O232)=0,"",SUMIFS('Supp Consol'!AA:AA,'Supp Consol'!Z:Z,"Expired Previous Months",'Supp Consol'!A:A,O232))</f>
        <v/>
      </c>
      <c r="AK232" s="25" t="str">
        <f>IFERROR(INDEX('Hun Release Current'!B:B,MATCH(O232,'Hun Release Current'!A:A,0)),"")</f>
        <v/>
      </c>
      <c r="AL232" s="25" t="str">
        <f>IF(SUMIF('Prev Aub'!A:A,O232,'Prev Aub'!B:B)=0,"",SUMIF('Prev Aub'!A:A,O232,'Prev Aub'!B:B))</f>
        <v/>
      </c>
      <c r="AN232" s="25" t="s">
        <v>3790</v>
      </c>
      <c r="AO232" s="25" t="s">
        <v>3790</v>
      </c>
      <c r="AP232" s="25">
        <f t="shared" si="90"/>
        <v>0</v>
      </c>
      <c r="AQ232" s="151" t="str">
        <f>IF(SUMIFS('Supp Consol'!S:S,'Supp Consol'!A:A,O232,'Supp Consol'!I:I,"PENDING")=0,"",SUMIFS('Supp Consol'!S:S,'Supp Consol'!A:A,O232,'Supp Consol'!I:I,"PENDING"))</f>
        <v/>
      </c>
      <c r="AR232" s="27" t="str">
        <f t="shared" si="91"/>
        <v>AR250</v>
      </c>
      <c r="AS232" s="27" t="str">
        <f t="shared" si="92"/>
        <v>50</v>
      </c>
      <c r="AT232" s="27" t="str">
        <f t="shared" si="93"/>
        <v/>
      </c>
      <c r="AU232" s="27" t="str">
        <f t="shared" si="94"/>
        <v/>
      </c>
      <c r="AV232" s="27" t="str">
        <f t="shared" si="95"/>
        <v/>
      </c>
      <c r="AW232" s="27" t="str">
        <f t="shared" si="96"/>
        <v/>
      </c>
      <c r="AX232" s="27" t="str">
        <f t="shared" si="97"/>
        <v/>
      </c>
      <c r="AY232" s="27" t="str">
        <f t="shared" si="98"/>
        <v/>
      </c>
      <c r="AZ232" s="27" t="str">
        <f t="shared" si="99"/>
        <v/>
      </c>
      <c r="BA232" s="27" t="str">
        <f t="shared" si="100"/>
        <v/>
      </c>
      <c r="BB232" s="27" t="str">
        <f t="shared" si="101"/>
        <v/>
      </c>
      <c r="BC232" s="27" t="str">
        <f t="shared" si="102"/>
        <v/>
      </c>
      <c r="BD232" s="27" t="str">
        <f t="shared" si="103"/>
        <v/>
      </c>
      <c r="BE232" s="27" t="str">
        <f t="shared" si="104"/>
        <v/>
      </c>
      <c r="BF232" s="27" t="str">
        <f t="shared" si="105"/>
        <v/>
      </c>
      <c r="BG232" s="27" t="str">
        <f t="shared" si="106"/>
        <v/>
      </c>
      <c r="BH232" s="27" t="str">
        <f t="shared" si="107"/>
        <v/>
      </c>
      <c r="BI232" s="27" t="str">
        <f t="shared" si="108"/>
        <v/>
      </c>
      <c r="BJ232" s="27" t="str">
        <f t="shared" si="109"/>
        <v/>
      </c>
      <c r="BK232" s="27" t="str">
        <f t="shared" si="110"/>
        <v/>
      </c>
      <c r="BL232" s="27" t="str">
        <f t="shared" si="111"/>
        <v/>
      </c>
      <c r="BM232" s="21" t="s">
        <v>5581</v>
      </c>
    </row>
    <row r="233" spans="1:65" ht="15">
      <c r="A233" s="25" t="str">
        <f>IFERROR(INDEX('Hun Demand'!W:W,MATCH(O233,'Hun Demand'!A:A,0)),"")</f>
        <v/>
      </c>
      <c r="B233" s="25" t="str">
        <f>IFERROR(INDEX('Hun Demand'!V:V,MATCH(O233,'Hun Demand'!A:A,0)),"")</f>
        <v/>
      </c>
      <c r="C233" s="25" t="str">
        <f>IFERROR(INDEX('Hun Demand'!U:U,MATCH(O233,'Hun Demand'!A:A,0)),"")</f>
        <v/>
      </c>
      <c r="D233" s="25" t="str">
        <f>IFERROR(INDEX('Hun Demand'!T:T,MATCH(O233,'Hun Demand'!A:A,0)),"")</f>
        <v/>
      </c>
      <c r="E233" s="25" t="str">
        <f>IFERROR(INDEX('Hun Demand'!S:S,MATCH(O233,'Hun Demand'!A:A,0)),"")</f>
        <v/>
      </c>
      <c r="F233" s="25" t="str">
        <f>IFERROR(INDEX('Hun Demand'!R:R,MATCH(O233,'Hun Demand'!A:A,0)),"")</f>
        <v/>
      </c>
      <c r="G233" s="25">
        <f>IFERROR(INDEX('Aub Demand'!W:W,MATCH(O233,'Aub Demand'!A:A,0)),"")</f>
        <v>0</v>
      </c>
      <c r="H233" s="25">
        <f>IFERROR(INDEX('Aub Demand'!V:V,MATCH(O233,'Aub Demand'!A:A,0)),"")</f>
        <v>0</v>
      </c>
      <c r="I233" s="25">
        <f>IFERROR(INDEX('Aub Demand'!U:U,MATCH(O233,'Aub Demand'!A:A,0)),"")</f>
        <v>0</v>
      </c>
      <c r="J233" s="25">
        <f>IFERROR(INDEX('Aub Demand'!T:T,MATCH(O233,'Aub Demand'!A:A,0)),"")</f>
        <v>0</v>
      </c>
      <c r="K233" s="25">
        <f>IFERROR(INDEX('Aub Demand'!S:S,MATCH(O233,'Aub Demand'!A:A,0)),"")</f>
        <v>0</v>
      </c>
      <c r="L233" s="25">
        <f>IFERROR(INDEX('Aub Demand'!R:R,MATCH(O233,'Aub Demand'!A:A,0)),"")</f>
        <v>0</v>
      </c>
      <c r="O233" s="27" t="s">
        <v>420</v>
      </c>
      <c r="P233" s="27" t="str">
        <f>IFERROR(INDEX('Aub Demand'!B:B,MATCH($O233,'Aub Demand'!$A:$A,0)),"")</f>
        <v>GENTELMAN'S TWEED</v>
      </c>
      <c r="Q233" s="27" t="str">
        <f>IFERROR(INDEX('Aub Demand'!C:C,MATCH($O233,'Aub Demand'!$A:$A,0)),"")</f>
        <v>SCHAT</v>
      </c>
      <c r="R233" s="52">
        <f>IFERROR(IF(AR234=AR233,INDEX('Aub Demand'!K:K,MATCH($O233,'Aub Demand'!$A:$A,0))-IF(AN233="",0,AN233)+AP234,INDEX('Aub Demand'!K:K,MATCH($O233,'Aub Demand'!$A:$A,0))-IF(AN233="",0,AN233)),"")</f>
        <v>3169</v>
      </c>
      <c r="S233" s="53" t="str">
        <f t="shared" si="84"/>
        <v>n/a</v>
      </c>
      <c r="T233" s="52" t="str">
        <f t="shared" si="85"/>
        <v/>
      </c>
      <c r="U233" s="52">
        <f>IFERROR(IF(AR234=AR233,INDEX('Aub Demand'!Q:Q,MATCH($O233,'Aub Demand'!$A:$A,0))-IF(AN233="",0,AN233)+AP234,INDEX('Aub Demand'!Q:Q,MATCH($O233,'Aub Demand'!$A:$A,0))-IF(AN233="",0,AN233)),"")</f>
        <v>3169</v>
      </c>
      <c r="V233" s="53" t="str">
        <f t="shared" si="86"/>
        <v>n/a</v>
      </c>
      <c r="W233" s="52" t="str">
        <f t="shared" si="87"/>
        <v/>
      </c>
      <c r="X233" s="52">
        <f>IFERROR(IF(AND(AR234=AR233,AM233&lt;&gt;""),INDEX('Aub Demand'!Q:Q,MATCH($O233,'Aub Demand'!$A:$A,0))-IF(AN233="",0,AN233)+AP234+AD233+AL233,IF(AR234=AR233,INDEX('Aub Demand'!Q:Q,MATCH($O233,'Aub Demand'!$A:$A,0))-IF(AN233="",0,AN233)+AP234+AD233,IF(AM233&lt;&gt;"",INDEX('Aub Demand'!Q:Q,MATCH($O233,'Aub Demand'!$A:$A,0))-IF(AN233="",0,AN233)+AD233+AL233,INDEX('Aub Demand'!Q:Q,MATCH($O233,'Aub Demand'!$A:$A,0))-IF(AN233="",0,AN233)+AD233))),"")</f>
        <v>3169</v>
      </c>
      <c r="Y233" s="53" t="str">
        <f t="shared" si="88"/>
        <v>n/a</v>
      </c>
      <c r="Z233" s="52">
        <f>IF(L233="","",INDEX('Aub Demand'!H:H,MATCH($O233,'Aub Demand'!$A:$A,0)))</f>
        <v>0</v>
      </c>
      <c r="AA233" s="52" t="str">
        <f t="shared" si="89"/>
        <v>-spike-</v>
      </c>
      <c r="AB233" s="52">
        <f>IFERROR(INDEX('Aub Demand'!L:L,MATCH($O233,'Aub Demand'!$A:$A,0)),"")</f>
        <v>0</v>
      </c>
      <c r="AC233" s="52">
        <f>IFERROR(IF(O233="","",SUMIFS('CPL Mats'!F:F,'CPL Mats'!Q:Q,AR233,'CPL Mats'!S:S,AS233)),"")</f>
        <v>0</v>
      </c>
      <c r="AF233" s="25" t="str">
        <f>IF(SUMIFS('Supp Consol'!S:S,'Supp Consol'!Y:Y,"Releasable",'Supp Consol'!A:A,O233)=0,"",SUMIFS('Supp Consol'!S:S,'Supp Consol'!Y:Y,"Releasable",'Supp Consol'!A:A,O233))</f>
        <v/>
      </c>
      <c r="AG233" s="25" t="str">
        <f>IFERROR(INDEX('Hun Demand'!Q:Q,MATCH(O233,'Hun Demand'!A:A,0)),"")</f>
        <v/>
      </c>
      <c r="AH233" s="25" t="str">
        <f>IFERROR(INDEX('Hun Demand'!H:H,MATCH($O233,'Hun Demand'!$A:$A,0)),"")</f>
        <v/>
      </c>
      <c r="AI233" s="25" t="str">
        <f>IF(SUMIFS('Supp Consol'!AA:AA,'Supp Consol'!Z:Z,"Expires this month",'Supp Consol'!A:A,O233)=0,"",SUMIFS('Supp Consol'!AA:AA,'Supp Consol'!Z:Z,"Expires this month",'Supp Consol'!A:A,O233))</f>
        <v/>
      </c>
      <c r="AJ233" s="25" t="str">
        <f>IF(SUMIFS('Supp Consol'!AA:AA,'Supp Consol'!Z:Z,"Expired Previous Months",'Supp Consol'!A:A,O233)=0,"",SUMIFS('Supp Consol'!AA:AA,'Supp Consol'!Z:Z,"Expired Previous Months",'Supp Consol'!A:A,O233))</f>
        <v/>
      </c>
      <c r="AK233" s="25" t="str">
        <f>IFERROR(INDEX('Hun Release Current'!B:B,MATCH(O233,'Hun Release Current'!A:A,0)),"")</f>
        <v/>
      </c>
      <c r="AL233" s="25" t="str">
        <f>IF(SUMIF('Prev Aub'!A:A,O233,'Prev Aub'!B:B)=0,"",SUMIF('Prev Aub'!A:A,O233,'Prev Aub'!B:B))</f>
        <v/>
      </c>
      <c r="AN233" s="25" t="s">
        <v>3790</v>
      </c>
      <c r="AO233" s="25" t="s">
        <v>3790</v>
      </c>
      <c r="AP233" s="25">
        <f t="shared" si="90"/>
        <v>0</v>
      </c>
      <c r="AQ233" s="151" t="str">
        <f>IF(SUMIFS('Supp Consol'!S:S,'Supp Consol'!A:A,O233,'Supp Consol'!I:I,"PENDING")=0,"",SUMIFS('Supp Consol'!S:S,'Supp Consol'!A:A,O233,'Supp Consol'!I:I,"PENDING"))</f>
        <v/>
      </c>
      <c r="AR233" s="27" t="str">
        <f t="shared" si="91"/>
        <v>AR250</v>
      </c>
      <c r="AS233" s="27" t="str">
        <f t="shared" si="92"/>
        <v>62</v>
      </c>
      <c r="AT233" s="27" t="str">
        <f t="shared" si="93"/>
        <v/>
      </c>
      <c r="AU233" s="27" t="str">
        <f t="shared" si="94"/>
        <v/>
      </c>
      <c r="AV233" s="27" t="str">
        <f t="shared" si="95"/>
        <v/>
      </c>
      <c r="AW233" s="27" t="str">
        <f t="shared" si="96"/>
        <v/>
      </c>
      <c r="AX233" s="27" t="str">
        <f t="shared" si="97"/>
        <v/>
      </c>
      <c r="AY233" s="27" t="str">
        <f t="shared" si="98"/>
        <v/>
      </c>
      <c r="AZ233" s="27" t="str">
        <f t="shared" si="99"/>
        <v/>
      </c>
      <c r="BA233" s="27" t="str">
        <f t="shared" si="100"/>
        <v/>
      </c>
      <c r="BB233" s="27" t="str">
        <f t="shared" si="101"/>
        <v/>
      </c>
      <c r="BC233" s="27" t="str">
        <f t="shared" si="102"/>
        <v/>
      </c>
      <c r="BD233" s="27" t="str">
        <f t="shared" si="103"/>
        <v/>
      </c>
      <c r="BE233" s="27" t="str">
        <f t="shared" si="104"/>
        <v/>
      </c>
      <c r="BF233" s="27" t="str">
        <f t="shared" si="105"/>
        <v/>
      </c>
      <c r="BG233" s="27" t="str">
        <f t="shared" si="106"/>
        <v/>
      </c>
      <c r="BH233" s="27" t="str">
        <f t="shared" si="107"/>
        <v/>
      </c>
      <c r="BI233" s="27" t="str">
        <f t="shared" si="108"/>
        <v/>
      </c>
      <c r="BJ233" s="27" t="str">
        <f t="shared" si="109"/>
        <v/>
      </c>
      <c r="BK233" s="27" t="str">
        <f t="shared" si="110"/>
        <v/>
      </c>
      <c r="BL233" s="27" t="str">
        <f t="shared" si="111"/>
        <v/>
      </c>
      <c r="BM233" s="21" t="s">
        <v>5581</v>
      </c>
    </row>
    <row r="234" spans="1:65" ht="15">
      <c r="A234" s="25">
        <f>IFERROR(INDEX('Hun Demand'!W:W,MATCH(O234,'Hun Demand'!A:A,0)),"")</f>
        <v>0</v>
      </c>
      <c r="B234" s="25">
        <f>IFERROR(INDEX('Hun Demand'!V:V,MATCH(O234,'Hun Demand'!A:A,0)),"")</f>
        <v>0</v>
      </c>
      <c r="C234" s="25">
        <f>IFERROR(INDEX('Hun Demand'!U:U,MATCH(O234,'Hun Demand'!A:A,0)),"")</f>
        <v>0</v>
      </c>
      <c r="D234" s="25">
        <f>IFERROR(INDEX('Hun Demand'!T:T,MATCH(O234,'Hun Demand'!A:A,0)),"")</f>
        <v>0</v>
      </c>
      <c r="E234" s="25">
        <f>IFERROR(INDEX('Hun Demand'!S:S,MATCH(O234,'Hun Demand'!A:A,0)),"")</f>
        <v>0</v>
      </c>
      <c r="F234" s="25">
        <f>IFERROR(INDEX('Hun Demand'!R:R,MATCH(O234,'Hun Demand'!A:A,0)),"")</f>
        <v>0</v>
      </c>
      <c r="G234" s="25">
        <f>IFERROR(INDEX('Aub Demand'!W:W,MATCH(O234,'Aub Demand'!A:A,0)),"")</f>
        <v>0</v>
      </c>
      <c r="H234" s="25">
        <f>IFERROR(INDEX('Aub Demand'!V:V,MATCH(O234,'Aub Demand'!A:A,0)),"")</f>
        <v>4</v>
      </c>
      <c r="I234" s="25">
        <f>IFERROR(INDEX('Aub Demand'!U:U,MATCH(O234,'Aub Demand'!A:A,0)),"")</f>
        <v>0</v>
      </c>
      <c r="J234" s="25">
        <f>IFERROR(INDEX('Aub Demand'!T:T,MATCH(O234,'Aub Demand'!A:A,0)),"")</f>
        <v>0</v>
      </c>
      <c r="K234" s="25">
        <f>IFERROR(INDEX('Aub Demand'!S:S,MATCH(O234,'Aub Demand'!A:A,0)),"")</f>
        <v>0</v>
      </c>
      <c r="L234" s="25">
        <f>IFERROR(INDEX('Aub Demand'!R:R,MATCH(O234,'Aub Demand'!A:A,0)),"")</f>
        <v>0</v>
      </c>
      <c r="O234" s="27" t="s">
        <v>2091</v>
      </c>
      <c r="P234" s="27" t="str">
        <f>IFERROR(INDEX('Aub Demand'!B:B,MATCH($O234,'Aub Demand'!$A:$A,0)),"")</f>
        <v>PINK LEMONADE KINETI</v>
      </c>
      <c r="Q234" s="27" t="str">
        <f>IFERROR(INDEX('Aub Demand'!C:C,MATCH($O234,'Aub Demand'!$A:$A,0)),"")</f>
        <v>INTER</v>
      </c>
      <c r="R234" s="52">
        <f>IFERROR(IF(AR235=AR234,INDEX('Aub Demand'!K:K,MATCH($O234,'Aub Demand'!$A:$A,0))-IF(AN234="",0,AN234)+AP235,INDEX('Aub Demand'!K:K,MATCH($O234,'Aub Demand'!$A:$A,0))-IF(AN234="",0,AN234)),"")</f>
        <v>324</v>
      </c>
      <c r="S234" s="53" t="str">
        <f t="shared" si="84"/>
        <v>n/a</v>
      </c>
      <c r="T234" s="52" t="str">
        <f t="shared" si="85"/>
        <v/>
      </c>
      <c r="U234" s="52">
        <f>IFERROR(IF(AR235=AR234,INDEX('Aub Demand'!Q:Q,MATCH($O234,'Aub Demand'!$A:$A,0))-IF(AN234="",0,AN234)+AP235,INDEX('Aub Demand'!Q:Q,MATCH($O234,'Aub Demand'!$A:$A,0))-IF(AN234="",0,AN234)),"")</f>
        <v>324</v>
      </c>
      <c r="V234" s="53" t="str">
        <f t="shared" si="86"/>
        <v>n/a</v>
      </c>
      <c r="W234" s="52" t="str">
        <f t="shared" si="87"/>
        <v/>
      </c>
      <c r="X234" s="52">
        <f>IFERROR(IF(AND(AR235=AR234,AM234&lt;&gt;""),INDEX('Aub Demand'!Q:Q,MATCH($O234,'Aub Demand'!$A:$A,0))-IF(AN234="",0,AN234)+AP235+AD234+AL234,IF(AR235=AR234,INDEX('Aub Demand'!Q:Q,MATCH($O234,'Aub Demand'!$A:$A,0))-IF(AN234="",0,AN234)+AP235+AD234,IF(AM234&lt;&gt;"",INDEX('Aub Demand'!Q:Q,MATCH($O234,'Aub Demand'!$A:$A,0))-IF(AN234="",0,AN234)+AD234+AL234,INDEX('Aub Demand'!Q:Q,MATCH($O234,'Aub Demand'!$A:$A,0))-IF(AN234="",0,AN234)+AD234))),"")</f>
        <v>324</v>
      </c>
      <c r="Y234" s="53" t="str">
        <f t="shared" si="88"/>
        <v>n/a</v>
      </c>
      <c r="Z234" s="52">
        <f>IF(L234="","",INDEX('Aub Demand'!H:H,MATCH($O234,'Aub Demand'!$A:$A,0)))</f>
        <v>0</v>
      </c>
      <c r="AA234" s="52" t="str">
        <f t="shared" si="89"/>
        <v>-spike-</v>
      </c>
      <c r="AB234" s="52">
        <f>IFERROR(INDEX('Aub Demand'!L:L,MATCH($O234,'Aub Demand'!$A:$A,0)),"")</f>
        <v>7</v>
      </c>
      <c r="AC234" s="52">
        <f>IFERROR(IF(O234="","",SUMIFS('CPL Mats'!F:F,'CPL Mats'!Q:Q,AR234,'CPL Mats'!S:S,AS234)),"")</f>
        <v>0</v>
      </c>
      <c r="AF234" s="25" t="str">
        <f>IF(SUMIFS('Supp Consol'!S:S,'Supp Consol'!Y:Y,"Releasable",'Supp Consol'!A:A,O234)=0,"",SUMIFS('Supp Consol'!S:S,'Supp Consol'!Y:Y,"Releasable",'Supp Consol'!A:A,O234))</f>
        <v/>
      </c>
      <c r="AG234" s="25">
        <f>IFERROR(INDEX('Hun Demand'!Q:Q,MATCH(O234,'Hun Demand'!A:A,0)),"")</f>
        <v>176</v>
      </c>
      <c r="AH234" s="25">
        <f>IFERROR(INDEX('Hun Demand'!H:H,MATCH($O234,'Hun Demand'!$A:$A,0)),"")</f>
        <v>0</v>
      </c>
      <c r="AI234" s="25" t="str">
        <f>IF(SUMIFS('Supp Consol'!AA:AA,'Supp Consol'!Z:Z,"Expires this month",'Supp Consol'!A:A,O234)=0,"",SUMIFS('Supp Consol'!AA:AA,'Supp Consol'!Z:Z,"Expires this month",'Supp Consol'!A:A,O234))</f>
        <v/>
      </c>
      <c r="AJ234" s="25" t="str">
        <f>IF(SUMIFS('Supp Consol'!AA:AA,'Supp Consol'!Z:Z,"Expired Previous Months",'Supp Consol'!A:A,O234)=0,"",SUMIFS('Supp Consol'!AA:AA,'Supp Consol'!Z:Z,"Expired Previous Months",'Supp Consol'!A:A,O234))</f>
        <v/>
      </c>
      <c r="AK234" s="25" t="str">
        <f>IFERROR(INDEX('Hun Release Current'!B:B,MATCH(O234,'Hun Release Current'!A:A,0)),"")</f>
        <v/>
      </c>
      <c r="AL234" s="25" t="str">
        <f>IF(SUMIF('Prev Aub'!A:A,O234,'Prev Aub'!B:B)=0,"",SUMIF('Prev Aub'!A:A,O234,'Prev Aub'!B:B))</f>
        <v/>
      </c>
      <c r="AN234" s="25" t="s">
        <v>3790</v>
      </c>
      <c r="AO234" s="25" t="s">
        <v>3790</v>
      </c>
      <c r="AP234" s="25">
        <f t="shared" si="90"/>
        <v>0</v>
      </c>
      <c r="AQ234" s="151" t="str">
        <f>IF(SUMIFS('Supp Consol'!S:S,'Supp Consol'!A:A,O234,'Supp Consol'!I:I,"PENDING")=0,"",SUMIFS('Supp Consol'!S:S,'Supp Consol'!A:A,O234,'Supp Consol'!I:I,"PENDING"))</f>
        <v/>
      </c>
      <c r="AR234" s="27" t="str">
        <f t="shared" si="91"/>
        <v>AR283</v>
      </c>
      <c r="AS234" s="27" t="str">
        <f t="shared" si="92"/>
        <v>50</v>
      </c>
      <c r="AT234" s="27" t="str">
        <f t="shared" si="93"/>
        <v/>
      </c>
      <c r="AU234" s="27" t="str">
        <f t="shared" si="94"/>
        <v/>
      </c>
      <c r="AV234" s="27" t="str">
        <f t="shared" si="95"/>
        <v/>
      </c>
      <c r="AW234" s="27" t="str">
        <f t="shared" si="96"/>
        <v/>
      </c>
      <c r="AX234" s="27" t="str">
        <f t="shared" si="97"/>
        <v/>
      </c>
      <c r="AY234" s="27" t="str">
        <f t="shared" si="98"/>
        <v>AR283</v>
      </c>
      <c r="AZ234" s="27" t="str">
        <f t="shared" si="99"/>
        <v/>
      </c>
      <c r="BA234" s="27" t="str">
        <f t="shared" si="100"/>
        <v>Hun</v>
      </c>
      <c r="BB234" s="27" t="str">
        <f t="shared" si="101"/>
        <v/>
      </c>
      <c r="BC234" s="27" t="str">
        <f t="shared" si="102"/>
        <v/>
      </c>
      <c r="BD234" s="27" t="str">
        <f t="shared" si="103"/>
        <v/>
      </c>
      <c r="BE234" s="27" t="str">
        <f t="shared" si="104"/>
        <v/>
      </c>
      <c r="BF234" s="27" t="str">
        <f t="shared" si="105"/>
        <v/>
      </c>
      <c r="BG234" s="27" t="str">
        <f t="shared" si="106"/>
        <v/>
      </c>
      <c r="BH234" s="27" t="str">
        <f t="shared" si="107"/>
        <v/>
      </c>
      <c r="BI234" s="27" t="str">
        <f t="shared" si="108"/>
        <v/>
      </c>
      <c r="BJ234" s="27" t="str">
        <f t="shared" si="109"/>
        <v>Supp or Hun</v>
      </c>
      <c r="BK234" s="27" t="str">
        <f t="shared" si="110"/>
        <v/>
      </c>
      <c r="BL234" s="27" t="str">
        <f t="shared" si="111"/>
        <v/>
      </c>
      <c r="BM234" s="21" t="s">
        <v>5581</v>
      </c>
    </row>
    <row r="235" spans="1:65" ht="15">
      <c r="A235" s="25" t="str">
        <f>IFERROR(INDEX('Hun Demand'!W:W,MATCH(O235,'Hun Demand'!A:A,0)),"")</f>
        <v/>
      </c>
      <c r="B235" s="25" t="str">
        <f>IFERROR(INDEX('Hun Demand'!V:V,MATCH(O235,'Hun Demand'!A:A,0)),"")</f>
        <v/>
      </c>
      <c r="C235" s="25" t="str">
        <f>IFERROR(INDEX('Hun Demand'!U:U,MATCH(O235,'Hun Demand'!A:A,0)),"")</f>
        <v/>
      </c>
      <c r="D235" s="25" t="str">
        <f>IFERROR(INDEX('Hun Demand'!T:T,MATCH(O235,'Hun Demand'!A:A,0)),"")</f>
        <v/>
      </c>
      <c r="E235" s="25" t="str">
        <f>IFERROR(INDEX('Hun Demand'!S:S,MATCH(O235,'Hun Demand'!A:A,0)),"")</f>
        <v/>
      </c>
      <c r="F235" s="25" t="str">
        <f>IFERROR(INDEX('Hun Demand'!R:R,MATCH(O235,'Hun Demand'!A:A,0)),"")</f>
        <v/>
      </c>
      <c r="G235" s="25">
        <f>IFERROR(INDEX('Aub Demand'!W:W,MATCH(O235,'Aub Demand'!A:A,0)),"")</f>
        <v>0</v>
      </c>
      <c r="H235" s="25">
        <f>IFERROR(INDEX('Aub Demand'!V:V,MATCH(O235,'Aub Demand'!A:A,0)),"")</f>
        <v>0</v>
      </c>
      <c r="I235" s="25">
        <f>IFERROR(INDEX('Aub Demand'!U:U,MATCH(O235,'Aub Demand'!A:A,0)),"")</f>
        <v>0</v>
      </c>
      <c r="J235" s="25">
        <f>IFERROR(INDEX('Aub Demand'!T:T,MATCH(O235,'Aub Demand'!A:A,0)),"")</f>
        <v>0</v>
      </c>
      <c r="K235" s="25">
        <f>IFERROR(INDEX('Aub Demand'!S:S,MATCH(O235,'Aub Demand'!A:A,0)),"")</f>
        <v>0</v>
      </c>
      <c r="L235" s="25">
        <f>IFERROR(INDEX('Aub Demand'!R:R,MATCH(O235,'Aub Demand'!A:A,0)),"")</f>
        <v>0</v>
      </c>
      <c r="O235" s="27" t="s">
        <v>2093</v>
      </c>
      <c r="P235" s="27" t="str">
        <f>IFERROR(INDEX('Aub Demand'!B:B,MATCH($O235,'Aub Demand'!$A:$A,0)),"")</f>
        <v>PINK LEMONADE KINETI</v>
      </c>
      <c r="Q235" s="27" t="str">
        <f>IFERROR(INDEX('Aub Demand'!C:C,MATCH($O235,'Aub Demand'!$A:$A,0)),"")</f>
        <v>INTER</v>
      </c>
      <c r="R235" s="52">
        <f>IFERROR(IF(AR236=AR235,INDEX('Aub Demand'!K:K,MATCH($O235,'Aub Demand'!$A:$A,0))-IF(AN235="",0,AN235)+AP236,INDEX('Aub Demand'!K:K,MATCH($O235,'Aub Demand'!$A:$A,0))-IF(AN235="",0,AN235)),"")</f>
        <v>1940</v>
      </c>
      <c r="S235" s="53" t="str">
        <f t="shared" si="84"/>
        <v>n/a</v>
      </c>
      <c r="T235" s="52" t="str">
        <f t="shared" si="85"/>
        <v/>
      </c>
      <c r="U235" s="52">
        <f>IFERROR(IF(AR236=AR235,INDEX('Aub Demand'!Q:Q,MATCH($O235,'Aub Demand'!$A:$A,0))-IF(AN235="",0,AN235)+AP236,INDEX('Aub Demand'!Q:Q,MATCH($O235,'Aub Demand'!$A:$A,0))-IF(AN235="",0,AN235)),"")</f>
        <v>1940</v>
      </c>
      <c r="V235" s="53" t="str">
        <f t="shared" si="86"/>
        <v>n/a</v>
      </c>
      <c r="W235" s="52" t="str">
        <f t="shared" si="87"/>
        <v/>
      </c>
      <c r="X235" s="52">
        <f>IFERROR(IF(AND(AR236=AR235,AM235&lt;&gt;""),INDEX('Aub Demand'!Q:Q,MATCH($O235,'Aub Demand'!$A:$A,0))-IF(AN235="",0,AN235)+AP236+AD235+AL235,IF(AR236=AR235,INDEX('Aub Demand'!Q:Q,MATCH($O235,'Aub Demand'!$A:$A,0))-IF(AN235="",0,AN235)+AP236+AD235,IF(AM235&lt;&gt;"",INDEX('Aub Demand'!Q:Q,MATCH($O235,'Aub Demand'!$A:$A,0))-IF(AN235="",0,AN235)+AD235+AL235,INDEX('Aub Demand'!Q:Q,MATCH($O235,'Aub Demand'!$A:$A,0))-IF(AN235="",0,AN235)+AD235))),"")</f>
        <v>1940</v>
      </c>
      <c r="Y235" s="53" t="str">
        <f t="shared" si="88"/>
        <v>n/a</v>
      </c>
      <c r="Z235" s="52">
        <f>IF(L235="","",INDEX('Aub Demand'!H:H,MATCH($O235,'Aub Demand'!$A:$A,0)))</f>
        <v>0</v>
      </c>
      <c r="AA235" s="52" t="str">
        <f t="shared" si="89"/>
        <v>-spike-</v>
      </c>
      <c r="AB235" s="52">
        <f>IFERROR(INDEX('Aub Demand'!L:L,MATCH($O235,'Aub Demand'!$A:$A,0)),"")</f>
        <v>0</v>
      </c>
      <c r="AC235" s="52">
        <f>IFERROR(IF(O235="","",SUMIFS('CPL Mats'!F:F,'CPL Mats'!Q:Q,AR235,'CPL Mats'!S:S,AS235)),"")</f>
        <v>0</v>
      </c>
      <c r="AF235" s="25" t="str">
        <f>IF(SUMIFS('Supp Consol'!S:S,'Supp Consol'!Y:Y,"Releasable",'Supp Consol'!A:A,O235)=0,"",SUMIFS('Supp Consol'!S:S,'Supp Consol'!Y:Y,"Releasable",'Supp Consol'!A:A,O235))</f>
        <v/>
      </c>
      <c r="AG235" s="25" t="str">
        <f>IFERROR(INDEX('Hun Demand'!Q:Q,MATCH(O235,'Hun Demand'!A:A,0)),"")</f>
        <v/>
      </c>
      <c r="AH235" s="25" t="str">
        <f>IFERROR(INDEX('Hun Demand'!H:H,MATCH($O235,'Hun Demand'!$A:$A,0)),"")</f>
        <v/>
      </c>
      <c r="AI235" s="25" t="str">
        <f>IF(SUMIFS('Supp Consol'!AA:AA,'Supp Consol'!Z:Z,"Expires this month",'Supp Consol'!A:A,O235)=0,"",SUMIFS('Supp Consol'!AA:AA,'Supp Consol'!Z:Z,"Expires this month",'Supp Consol'!A:A,O235))</f>
        <v/>
      </c>
      <c r="AJ235" s="25" t="str">
        <f>IF(SUMIFS('Supp Consol'!AA:AA,'Supp Consol'!Z:Z,"Expired Previous Months",'Supp Consol'!A:A,O235)=0,"",SUMIFS('Supp Consol'!AA:AA,'Supp Consol'!Z:Z,"Expired Previous Months",'Supp Consol'!A:A,O235))</f>
        <v/>
      </c>
      <c r="AK235" s="25" t="str">
        <f>IFERROR(INDEX('Hun Release Current'!B:B,MATCH(O235,'Hun Release Current'!A:A,0)),"")</f>
        <v/>
      </c>
      <c r="AL235" s="25" t="str">
        <f>IF(SUMIF('Prev Aub'!A:A,O235,'Prev Aub'!B:B)=0,"",SUMIF('Prev Aub'!A:A,O235,'Prev Aub'!B:B))</f>
        <v/>
      </c>
      <c r="AN235" s="25" t="s">
        <v>3790</v>
      </c>
      <c r="AO235" s="25" t="s">
        <v>3790</v>
      </c>
      <c r="AP235" s="25">
        <f t="shared" si="90"/>
        <v>0</v>
      </c>
      <c r="AQ235" s="151" t="str">
        <f>IF(SUMIFS('Supp Consol'!S:S,'Supp Consol'!A:A,O235,'Supp Consol'!I:I,"PENDING")=0,"",SUMIFS('Supp Consol'!S:S,'Supp Consol'!A:A,O235,'Supp Consol'!I:I,"PENDING"))</f>
        <v/>
      </c>
      <c r="AR235" s="27" t="str">
        <f t="shared" si="91"/>
        <v>AR283</v>
      </c>
      <c r="AS235" s="27" t="str">
        <f t="shared" si="92"/>
        <v>62</v>
      </c>
      <c r="AT235" s="27" t="str">
        <f t="shared" si="93"/>
        <v/>
      </c>
      <c r="AU235" s="27" t="str">
        <f t="shared" si="94"/>
        <v/>
      </c>
      <c r="AV235" s="27" t="str">
        <f t="shared" si="95"/>
        <v/>
      </c>
      <c r="AW235" s="27" t="str">
        <f t="shared" si="96"/>
        <v/>
      </c>
      <c r="AX235" s="27" t="str">
        <f t="shared" si="97"/>
        <v/>
      </c>
      <c r="AY235" s="27" t="str">
        <f t="shared" si="98"/>
        <v/>
      </c>
      <c r="AZ235" s="27" t="str">
        <f t="shared" si="99"/>
        <v/>
      </c>
      <c r="BA235" s="27" t="str">
        <f t="shared" si="100"/>
        <v>Hun</v>
      </c>
      <c r="BB235" s="27" t="str">
        <f t="shared" si="101"/>
        <v/>
      </c>
      <c r="BC235" s="27" t="str">
        <f t="shared" si="102"/>
        <v/>
      </c>
      <c r="BD235" s="27" t="str">
        <f t="shared" si="103"/>
        <v/>
      </c>
      <c r="BE235" s="27" t="str">
        <f t="shared" si="104"/>
        <v/>
      </c>
      <c r="BF235" s="27" t="str">
        <f t="shared" si="105"/>
        <v/>
      </c>
      <c r="BG235" s="27" t="str">
        <f t="shared" si="106"/>
        <v/>
      </c>
      <c r="BH235" s="27" t="str">
        <f t="shared" si="107"/>
        <v/>
      </c>
      <c r="BI235" s="27" t="str">
        <f t="shared" si="108"/>
        <v/>
      </c>
      <c r="BJ235" s="27" t="str">
        <f t="shared" si="109"/>
        <v>Supp or Hun</v>
      </c>
      <c r="BK235" s="27" t="str">
        <f t="shared" si="110"/>
        <v/>
      </c>
      <c r="BL235" s="27" t="str">
        <f t="shared" si="111"/>
        <v/>
      </c>
      <c r="BM235" s="21" t="s">
        <v>5581</v>
      </c>
    </row>
    <row r="236" spans="1:65" ht="15">
      <c r="A236" s="25" t="str">
        <f>IFERROR(INDEX('Hun Demand'!W:W,MATCH(O236,'Hun Demand'!A:A,0)),"")</f>
        <v/>
      </c>
      <c r="B236" s="25" t="str">
        <f>IFERROR(INDEX('Hun Demand'!V:V,MATCH(O236,'Hun Demand'!A:A,0)),"")</f>
        <v/>
      </c>
      <c r="C236" s="25" t="str">
        <f>IFERROR(INDEX('Hun Demand'!U:U,MATCH(O236,'Hun Demand'!A:A,0)),"")</f>
        <v/>
      </c>
      <c r="D236" s="25" t="str">
        <f>IFERROR(INDEX('Hun Demand'!T:T,MATCH(O236,'Hun Demand'!A:A,0)),"")</f>
        <v/>
      </c>
      <c r="E236" s="25" t="str">
        <f>IFERROR(INDEX('Hun Demand'!S:S,MATCH(O236,'Hun Demand'!A:A,0)),"")</f>
        <v/>
      </c>
      <c r="F236" s="25" t="str">
        <f>IFERROR(INDEX('Hun Demand'!R:R,MATCH(O236,'Hun Demand'!A:A,0)),"")</f>
        <v/>
      </c>
      <c r="G236" s="25">
        <f>IFERROR(INDEX('Aub Demand'!W:W,MATCH(O236,'Aub Demand'!A:A,0)),"")</f>
        <v>407</v>
      </c>
      <c r="H236" s="25">
        <f>IFERROR(INDEX('Aub Demand'!V:V,MATCH(O236,'Aub Demand'!A:A,0)),"")</f>
        <v>955</v>
      </c>
      <c r="I236" s="25">
        <f>IFERROR(INDEX('Aub Demand'!U:U,MATCH(O236,'Aub Demand'!A:A,0)),"")</f>
        <v>356</v>
      </c>
      <c r="J236" s="25">
        <f>IFERROR(INDEX('Aub Demand'!T:T,MATCH(O236,'Aub Demand'!A:A,0)),"")</f>
        <v>741</v>
      </c>
      <c r="K236" s="25">
        <f>IFERROR(INDEX('Aub Demand'!S:S,MATCH(O236,'Aub Demand'!A:A,0)),"")</f>
        <v>1245</v>
      </c>
      <c r="L236" s="25">
        <f>IFERROR(INDEX('Aub Demand'!R:R,MATCH(O236,'Aub Demand'!A:A,0)),"")</f>
        <v>0</v>
      </c>
      <c r="O236" s="27" t="s">
        <v>421</v>
      </c>
      <c r="P236" s="27" t="str">
        <f>IFERROR(INDEX('Aub Demand'!B:B,MATCH($O236,'Aub Demand'!$A:$A,0)),"")</f>
        <v>SANDSTONE</v>
      </c>
      <c r="Q236" s="27" t="str">
        <f>IFERROR(INDEX('Aub Demand'!C:C,MATCH($O236,'Aub Demand'!$A:$A,0)),"")</f>
        <v>INTER</v>
      </c>
      <c r="R236" s="52">
        <f>IFERROR(IF(AR237=AR236,INDEX('Aub Demand'!K:K,MATCH($O236,'Aub Demand'!$A:$A,0))-IF(AN236="",0,AN236)+AP237,INDEX('Aub Demand'!K:K,MATCH($O236,'Aub Demand'!$A:$A,0))-IF(AN236="",0,AN236)),"")</f>
        <v>1835</v>
      </c>
      <c r="S236" s="53">
        <f t="shared" si="84"/>
        <v>10.1</v>
      </c>
      <c r="T236" s="52" t="str">
        <f t="shared" si="85"/>
        <v/>
      </c>
      <c r="U236" s="52">
        <f>IFERROR(IF(AR237=AR236,INDEX('Aub Demand'!Q:Q,MATCH($O236,'Aub Demand'!$A:$A,0))-IF(AN236="",0,AN236)+AP237,INDEX('Aub Demand'!Q:Q,MATCH($O236,'Aub Demand'!$A:$A,0))-IF(AN236="",0,AN236)),"")</f>
        <v>1666</v>
      </c>
      <c r="V236" s="53">
        <f t="shared" si="86"/>
        <v>9.1</v>
      </c>
      <c r="W236" s="52" t="str">
        <f t="shared" si="87"/>
        <v/>
      </c>
      <c r="X236" s="52">
        <f>IFERROR(IF(AND(AR237=AR236,AM236&lt;&gt;""),INDEX('Aub Demand'!Q:Q,MATCH($O236,'Aub Demand'!$A:$A,0))-IF(AN236="",0,AN236)+AP237+AD236+AL236,IF(AR237=AR236,INDEX('Aub Demand'!Q:Q,MATCH($O236,'Aub Demand'!$A:$A,0))-IF(AN236="",0,AN236)+AP237+AD236,IF(AM236&lt;&gt;"",INDEX('Aub Demand'!Q:Q,MATCH($O236,'Aub Demand'!$A:$A,0))-IF(AN236="",0,AN236)+AD236+AL236,INDEX('Aub Demand'!Q:Q,MATCH($O236,'Aub Demand'!$A:$A,0))-IF(AN236="",0,AN236)+AD236))),"")</f>
        <v>1666</v>
      </c>
      <c r="Y236" s="53">
        <f t="shared" si="88"/>
        <v>9.1</v>
      </c>
      <c r="Z236" s="52">
        <f>IF(L236="","",INDEX('Aub Demand'!H:H,MATCH($O236,'Aub Demand'!$A:$A,0)))</f>
        <v>781</v>
      </c>
      <c r="AA236" s="52">
        <f t="shared" si="89"/>
        <v>993</v>
      </c>
      <c r="AB236" s="52">
        <f>IFERROR(INDEX('Aub Demand'!L:L,MATCH($O236,'Aub Demand'!$A:$A,0)),"")</f>
        <v>0</v>
      </c>
      <c r="AC236" s="52">
        <f>IFERROR(IF(O236="","",SUMIFS('CPL Mats'!F:F,'CPL Mats'!Q:Q,AR236,'CPL Mats'!S:S,AS236)),"")</f>
        <v>0</v>
      </c>
      <c r="AF236" s="25" t="str">
        <f>IF(SUMIFS('Supp Consol'!S:S,'Supp Consol'!Y:Y,"Releasable",'Supp Consol'!A:A,O236)=0,"",SUMIFS('Supp Consol'!S:S,'Supp Consol'!Y:Y,"Releasable",'Supp Consol'!A:A,O236))</f>
        <v/>
      </c>
      <c r="AG236" s="25" t="str">
        <f>IFERROR(INDEX('Hun Demand'!Q:Q,MATCH(O236,'Hun Demand'!A:A,0)),"")</f>
        <v/>
      </c>
      <c r="AH236" s="25" t="str">
        <f>IFERROR(INDEX('Hun Demand'!H:H,MATCH($O236,'Hun Demand'!$A:$A,0)),"")</f>
        <v/>
      </c>
      <c r="AI236" s="25" t="str">
        <f>IF(SUMIFS('Supp Consol'!AA:AA,'Supp Consol'!Z:Z,"Expires this month",'Supp Consol'!A:A,O236)=0,"",SUMIFS('Supp Consol'!AA:AA,'Supp Consol'!Z:Z,"Expires this month",'Supp Consol'!A:A,O236))</f>
        <v/>
      </c>
      <c r="AJ236" s="25" t="str">
        <f>IF(SUMIFS('Supp Consol'!AA:AA,'Supp Consol'!Z:Z,"Expired Previous Months",'Supp Consol'!A:A,O236)=0,"",SUMIFS('Supp Consol'!AA:AA,'Supp Consol'!Z:Z,"Expired Previous Months",'Supp Consol'!A:A,O236))</f>
        <v/>
      </c>
      <c r="AK236" s="25" t="str">
        <f>IFERROR(INDEX('Hun Release Current'!B:B,MATCH(O236,'Hun Release Current'!A:A,0)),"")</f>
        <v/>
      </c>
      <c r="AL236" s="25" t="str">
        <f>IF(SUMIF('Prev Aub'!A:A,O236,'Prev Aub'!B:B)=0,"",SUMIF('Prev Aub'!A:A,O236,'Prev Aub'!B:B))</f>
        <v/>
      </c>
      <c r="AN236" s="25" t="s">
        <v>3790</v>
      </c>
      <c r="AO236" s="25" t="s">
        <v>3790</v>
      </c>
      <c r="AP236" s="25">
        <f t="shared" si="90"/>
        <v>0</v>
      </c>
      <c r="AQ236" s="151" t="str">
        <f>IF(SUMIFS('Supp Consol'!S:S,'Supp Consol'!A:A,O236,'Supp Consol'!I:I,"PENDING")=0,"",SUMIFS('Supp Consol'!S:S,'Supp Consol'!A:A,O236,'Supp Consol'!I:I,"PENDING"))</f>
        <v/>
      </c>
      <c r="AR236" s="27" t="str">
        <f t="shared" si="91"/>
        <v>AR321</v>
      </c>
      <c r="AS236" s="27" t="str">
        <f t="shared" si="92"/>
        <v>62</v>
      </c>
      <c r="AT236" s="27" t="str">
        <f t="shared" si="93"/>
        <v/>
      </c>
      <c r="AU236" s="27" t="str">
        <f t="shared" si="94"/>
        <v/>
      </c>
      <c r="AV236" s="27" t="str">
        <f t="shared" si="95"/>
        <v/>
      </c>
      <c r="AW236" s="27" t="str">
        <f t="shared" si="96"/>
        <v/>
      </c>
      <c r="AX236" s="27" t="str">
        <f t="shared" si="97"/>
        <v/>
      </c>
      <c r="AY236" s="27" t="str">
        <f t="shared" si="98"/>
        <v/>
      </c>
      <c r="AZ236" s="27" t="str">
        <f t="shared" si="99"/>
        <v/>
      </c>
      <c r="BA236" s="27" t="str">
        <f t="shared" si="100"/>
        <v/>
      </c>
      <c r="BB236" s="27" t="str">
        <f t="shared" si="101"/>
        <v/>
      </c>
      <c r="BC236" s="27" t="str">
        <f t="shared" si="102"/>
        <v/>
      </c>
      <c r="BD236" s="27" t="str">
        <f t="shared" si="103"/>
        <v/>
      </c>
      <c r="BE236" s="27" t="str">
        <f t="shared" si="104"/>
        <v/>
      </c>
      <c r="BF236" s="27" t="str">
        <f t="shared" si="105"/>
        <v/>
      </c>
      <c r="BG236" s="27" t="str">
        <f t="shared" si="106"/>
        <v/>
      </c>
      <c r="BH236" s="27" t="str">
        <f t="shared" si="107"/>
        <v/>
      </c>
      <c r="BI236" s="27" t="str">
        <f t="shared" si="108"/>
        <v/>
      </c>
      <c r="BJ236" s="27" t="str">
        <f t="shared" si="109"/>
        <v/>
      </c>
      <c r="BK236" s="27" t="str">
        <f t="shared" si="110"/>
        <v/>
      </c>
      <c r="BL236" s="27" t="str">
        <f t="shared" si="111"/>
        <v/>
      </c>
      <c r="BM236" s="21" t="s">
        <v>5581</v>
      </c>
    </row>
    <row r="237" spans="1:65" ht="15">
      <c r="A237" s="25" t="str">
        <f>IFERROR(INDEX('Hun Demand'!W:W,MATCH(O237,'Hun Demand'!A:A,0)),"")</f>
        <v/>
      </c>
      <c r="B237" s="25" t="str">
        <f>IFERROR(INDEX('Hun Demand'!V:V,MATCH(O237,'Hun Demand'!A:A,0)),"")</f>
        <v/>
      </c>
      <c r="C237" s="25" t="str">
        <f>IFERROR(INDEX('Hun Demand'!U:U,MATCH(O237,'Hun Demand'!A:A,0)),"")</f>
        <v/>
      </c>
      <c r="D237" s="25" t="str">
        <f>IFERROR(INDEX('Hun Demand'!T:T,MATCH(O237,'Hun Demand'!A:A,0)),"")</f>
        <v/>
      </c>
      <c r="E237" s="25" t="str">
        <f>IFERROR(INDEX('Hun Demand'!S:S,MATCH(O237,'Hun Demand'!A:A,0)),"")</f>
        <v/>
      </c>
      <c r="F237" s="25" t="str">
        <f>IFERROR(INDEX('Hun Demand'!R:R,MATCH(O237,'Hun Demand'!A:A,0)),"")</f>
        <v/>
      </c>
      <c r="G237" s="25">
        <f>IFERROR(INDEX('Aub Demand'!W:W,MATCH(O237,'Aub Demand'!A:A,0)),"")</f>
        <v>91</v>
      </c>
      <c r="H237" s="25">
        <f>IFERROR(INDEX('Aub Demand'!V:V,MATCH(O237,'Aub Demand'!A:A,0)),"")</f>
        <v>0</v>
      </c>
      <c r="I237" s="25">
        <f>IFERROR(INDEX('Aub Demand'!U:U,MATCH(O237,'Aub Demand'!A:A,0)),"")</f>
        <v>16</v>
      </c>
      <c r="J237" s="25">
        <f>IFERROR(INDEX('Aub Demand'!T:T,MATCH(O237,'Aub Demand'!A:A,0)),"")</f>
        <v>0</v>
      </c>
      <c r="K237" s="25">
        <f>IFERROR(INDEX('Aub Demand'!S:S,MATCH(O237,'Aub Demand'!A:A,0)),"")</f>
        <v>199</v>
      </c>
      <c r="L237" s="25">
        <f>IFERROR(INDEX('Aub Demand'!R:R,MATCH(O237,'Aub Demand'!A:A,0)),"")</f>
        <v>41</v>
      </c>
      <c r="O237" s="27" t="s">
        <v>424</v>
      </c>
      <c r="P237" s="27" t="str">
        <f>IFERROR(INDEX('Aub Demand'!B:B,MATCH($O237,'Aub Demand'!$A:$A,0)),"")</f>
        <v>GRANDIOSE GRID</v>
      </c>
      <c r="Q237" s="27" t="str">
        <f>IFERROR(INDEX('Aub Demand'!C:C,MATCH($O237,'Aub Demand'!$A:$A,0)),"")</f>
        <v>TOPPA</v>
      </c>
      <c r="R237" s="52">
        <f>IFERROR(IF(AR238=AR237,INDEX('Aub Demand'!K:K,MATCH($O237,'Aub Demand'!$A:$A,0))-IF(AN237="",0,AN237)+AP238,INDEX('Aub Demand'!K:K,MATCH($O237,'Aub Demand'!$A:$A,0))-IF(AN237="",0,AN237)),"")</f>
        <v>40</v>
      </c>
      <c r="S237" s="53">
        <f t="shared" si="84"/>
        <v>2.4</v>
      </c>
      <c r="T237" s="52">
        <f t="shared" si="85"/>
        <v>18.000000000000004</v>
      </c>
      <c r="U237" s="52">
        <f>IFERROR(IF(AR238=AR237,INDEX('Aub Demand'!Q:Q,MATCH($O237,'Aub Demand'!$A:$A,0))-IF(AN237="",0,AN237)+AP238,INDEX('Aub Demand'!Q:Q,MATCH($O237,'Aub Demand'!$A:$A,0))-IF(AN237="",0,AN237)),"")</f>
        <v>26</v>
      </c>
      <c r="V237" s="53">
        <f t="shared" si="86"/>
        <v>1.5</v>
      </c>
      <c r="W237" s="52">
        <f t="shared" si="87"/>
        <v>45</v>
      </c>
      <c r="X237" s="52">
        <f>IFERROR(IF(AND(AR238=AR237,AM237&lt;&gt;""),INDEX('Aub Demand'!Q:Q,MATCH($O237,'Aub Demand'!$A:$A,0))-IF(AN237="",0,AN237)+AP238+AD237+AL237,IF(AR238=AR237,INDEX('Aub Demand'!Q:Q,MATCH($O237,'Aub Demand'!$A:$A,0))-IF(AN237="",0,AN237)+AP238+AD237,IF(AM237&lt;&gt;"",INDEX('Aub Demand'!Q:Q,MATCH($O237,'Aub Demand'!$A:$A,0))-IF(AN237="",0,AN237)+AD237+AL237,INDEX('Aub Demand'!Q:Q,MATCH($O237,'Aub Demand'!$A:$A,0))-IF(AN237="",0,AN237)+AD237))),"")</f>
        <v>26</v>
      </c>
      <c r="Y237" s="53">
        <f t="shared" si="88"/>
        <v>1.5</v>
      </c>
      <c r="Z237" s="52">
        <f>IF(L237="","",INDEX('Aub Demand'!H:H,MATCH($O237,'Aub Demand'!$A:$A,0)))</f>
        <v>72</v>
      </c>
      <c r="AA237" s="52">
        <f t="shared" si="89"/>
        <v>120</v>
      </c>
      <c r="AB237" s="52">
        <f>IFERROR(INDEX('Aub Demand'!L:L,MATCH($O237,'Aub Demand'!$A:$A,0)),"")</f>
        <v>191</v>
      </c>
      <c r="AC237" s="52">
        <f>IFERROR(IF(O237="","",SUMIFS('CPL Mats'!F:F,'CPL Mats'!Q:Q,AR237,'CPL Mats'!S:S,AS237)),"")</f>
        <v>2250</v>
      </c>
      <c r="AF237" s="25" t="str">
        <f>IF(SUMIFS('Supp Consol'!S:S,'Supp Consol'!Y:Y,"Releasable",'Supp Consol'!A:A,O237)=0,"",SUMIFS('Supp Consol'!S:S,'Supp Consol'!Y:Y,"Releasable",'Supp Consol'!A:A,O237))</f>
        <v/>
      </c>
      <c r="AG237" s="25" t="str">
        <f>IFERROR(INDEX('Hun Demand'!Q:Q,MATCH(O237,'Hun Demand'!A:A,0)),"")</f>
        <v/>
      </c>
      <c r="AH237" s="25" t="str">
        <f>IFERROR(INDEX('Hun Demand'!H:H,MATCH($O237,'Hun Demand'!$A:$A,0)),"")</f>
        <v/>
      </c>
      <c r="AI237" s="25" t="str">
        <f>IF(SUMIFS('Supp Consol'!AA:AA,'Supp Consol'!Z:Z,"Expires this month",'Supp Consol'!A:A,O237)=0,"",SUMIFS('Supp Consol'!AA:AA,'Supp Consol'!Z:Z,"Expires this month",'Supp Consol'!A:A,O237))</f>
        <v/>
      </c>
      <c r="AJ237" s="25" t="str">
        <f>IF(SUMIFS('Supp Consol'!AA:AA,'Supp Consol'!Z:Z,"Expired Previous Months",'Supp Consol'!A:A,O237)=0,"",SUMIFS('Supp Consol'!AA:AA,'Supp Consol'!Z:Z,"Expired Previous Months",'Supp Consol'!A:A,O237))</f>
        <v/>
      </c>
      <c r="AK237" s="25" t="str">
        <f>IFERROR(INDEX('Hun Release Current'!B:B,MATCH(O237,'Hun Release Current'!A:A,0)),"")</f>
        <v/>
      </c>
      <c r="AL237" s="25" t="str">
        <f>IF(SUMIF('Prev Aub'!A:A,O237,'Prev Aub'!B:B)=0,"",SUMIF('Prev Aub'!A:A,O237,'Prev Aub'!B:B))</f>
        <v/>
      </c>
      <c r="AN237" s="25" t="s">
        <v>3790</v>
      </c>
      <c r="AO237" s="25" t="s">
        <v>3790</v>
      </c>
      <c r="AP237" s="25">
        <f t="shared" si="90"/>
        <v>0</v>
      </c>
      <c r="AQ237" s="151" t="str">
        <f>IF(SUMIFS('Supp Consol'!S:S,'Supp Consol'!A:A,O237,'Supp Consol'!I:I,"PENDING")=0,"",SUMIFS('Supp Consol'!S:S,'Supp Consol'!A:A,O237,'Supp Consol'!I:I,"PENDING"))</f>
        <v/>
      </c>
      <c r="AR237" s="27" t="str">
        <f t="shared" si="91"/>
        <v>AT106</v>
      </c>
      <c r="AS237" s="27" t="str">
        <f t="shared" si="92"/>
        <v>50</v>
      </c>
      <c r="AT237" s="27" t="str">
        <f t="shared" si="93"/>
        <v>AT106</v>
      </c>
      <c r="AU237" s="27" t="str">
        <f t="shared" si="94"/>
        <v>AT106</v>
      </c>
      <c r="AV237" s="27" t="str">
        <f t="shared" si="95"/>
        <v>AT106</v>
      </c>
      <c r="AW237" s="27" t="str">
        <f t="shared" si="96"/>
        <v/>
      </c>
      <c r="AX237" s="27" t="str">
        <f t="shared" si="97"/>
        <v/>
      </c>
      <c r="AY237" s="27" t="str">
        <f t="shared" si="98"/>
        <v/>
      </c>
      <c r="AZ237" s="27" t="str">
        <f t="shared" si="99"/>
        <v/>
      </c>
      <c r="BA237" s="27" t="str">
        <f t="shared" si="100"/>
        <v/>
      </c>
      <c r="BB237" s="27" t="str">
        <f t="shared" si="101"/>
        <v>Gross</v>
      </c>
      <c r="BC237" s="27" t="str">
        <f t="shared" si="102"/>
        <v>Net</v>
      </c>
      <c r="BD237" s="27" t="str">
        <f t="shared" si="103"/>
        <v>Net</v>
      </c>
      <c r="BE237" s="27" t="str">
        <f t="shared" si="104"/>
        <v/>
      </c>
      <c r="BF237" s="27" t="str">
        <f t="shared" si="105"/>
        <v/>
      </c>
      <c r="BG237" s="27" t="str">
        <f t="shared" si="106"/>
        <v/>
      </c>
      <c r="BH237" s="27" t="str">
        <f t="shared" si="107"/>
        <v/>
      </c>
      <c r="BI237" s="27" t="str">
        <f t="shared" si="108"/>
        <v/>
      </c>
      <c r="BJ237" s="27" t="str">
        <f t="shared" si="109"/>
        <v/>
      </c>
      <c r="BK237" s="27" t="str">
        <f t="shared" si="110"/>
        <v/>
      </c>
      <c r="BL237" s="27" t="str">
        <f t="shared" si="111"/>
        <v/>
      </c>
      <c r="BM237" s="21" t="s">
        <v>5581</v>
      </c>
    </row>
    <row r="238" spans="1:65" ht="15">
      <c r="A238" s="25" t="str">
        <f>IFERROR(INDEX('Hun Demand'!W:W,MATCH(O238,'Hun Demand'!A:A,0)),"")</f>
        <v/>
      </c>
      <c r="B238" s="25" t="str">
        <f>IFERROR(INDEX('Hun Demand'!V:V,MATCH(O238,'Hun Demand'!A:A,0)),"")</f>
        <v/>
      </c>
      <c r="C238" s="25" t="str">
        <f>IFERROR(INDEX('Hun Demand'!U:U,MATCH(O238,'Hun Demand'!A:A,0)),"")</f>
        <v/>
      </c>
      <c r="D238" s="25" t="str">
        <f>IFERROR(INDEX('Hun Demand'!T:T,MATCH(O238,'Hun Demand'!A:A,0)),"")</f>
        <v/>
      </c>
      <c r="E238" s="25" t="str">
        <f>IFERROR(INDEX('Hun Demand'!S:S,MATCH(O238,'Hun Demand'!A:A,0)),"")</f>
        <v/>
      </c>
      <c r="F238" s="25" t="str">
        <f>IFERROR(INDEX('Hun Demand'!R:R,MATCH(O238,'Hun Demand'!A:A,0)),"")</f>
        <v/>
      </c>
      <c r="G238" s="25">
        <f>IFERROR(INDEX('Aub Demand'!W:W,MATCH(O238,'Aub Demand'!A:A,0)),"")</f>
        <v>348</v>
      </c>
      <c r="H238" s="25">
        <f>IFERROR(INDEX('Aub Demand'!V:V,MATCH(O238,'Aub Demand'!A:A,0)),"")</f>
        <v>0</v>
      </c>
      <c r="I238" s="25">
        <f>IFERROR(INDEX('Aub Demand'!U:U,MATCH(O238,'Aub Demand'!A:A,0)),"")</f>
        <v>0</v>
      </c>
      <c r="J238" s="25">
        <f>IFERROR(INDEX('Aub Demand'!T:T,MATCH(O238,'Aub Demand'!A:A,0)),"")</f>
        <v>55</v>
      </c>
      <c r="K238" s="25">
        <f>IFERROR(INDEX('Aub Demand'!S:S,MATCH(O238,'Aub Demand'!A:A,0)),"")</f>
        <v>38</v>
      </c>
      <c r="L238" s="25">
        <f>IFERROR(INDEX('Aub Demand'!R:R,MATCH(O238,'Aub Demand'!A:A,0)),"")</f>
        <v>0</v>
      </c>
      <c r="O238" s="27" t="s">
        <v>426</v>
      </c>
      <c r="P238" s="27" t="str">
        <f>IFERROR(INDEX('Aub Demand'!B:B,MATCH($O238,'Aub Demand'!$A:$A,0)),"")</f>
        <v>GRANDIOSE GRID</v>
      </c>
      <c r="Q238" s="27" t="str">
        <f>IFERROR(INDEX('Aub Demand'!C:C,MATCH($O238,'Aub Demand'!$A:$A,0)),"")</f>
        <v>TOPPA</v>
      </c>
      <c r="R238" s="52">
        <f>IFERROR(IF(AR239=AR238,INDEX('Aub Demand'!K:K,MATCH($O238,'Aub Demand'!$A:$A,0))-IF(AN238="",0,AN238)+AP239,INDEX('Aub Demand'!K:K,MATCH($O238,'Aub Demand'!$A:$A,0))-IF(AN238="",0,AN238)),"")</f>
        <v>1364</v>
      </c>
      <c r="S238" s="53">
        <f t="shared" si="84"/>
        <v>188.6</v>
      </c>
      <c r="T238" s="52" t="str">
        <f t="shared" si="85"/>
        <v/>
      </c>
      <c r="U238" s="52">
        <f>IFERROR(IF(AR239=AR238,INDEX('Aub Demand'!Q:Q,MATCH($O238,'Aub Demand'!$A:$A,0))-IF(AN238="",0,AN238)+AP239,INDEX('Aub Demand'!Q:Q,MATCH($O238,'Aub Demand'!$A:$A,0))-IF(AN238="",0,AN238)),"")</f>
        <v>1364</v>
      </c>
      <c r="V238" s="53">
        <f t="shared" si="86"/>
        <v>188.6</v>
      </c>
      <c r="W238" s="52" t="str">
        <f t="shared" si="87"/>
        <v/>
      </c>
      <c r="X238" s="52">
        <f>IFERROR(IF(AND(AR239=AR238,AM238&lt;&gt;""),INDEX('Aub Demand'!Q:Q,MATCH($O238,'Aub Demand'!$A:$A,0))-IF(AN238="",0,AN238)+AP239+AD238+AL238,IF(AR239=AR238,INDEX('Aub Demand'!Q:Q,MATCH($O238,'Aub Demand'!$A:$A,0))-IF(AN238="",0,AN238)+AP239+AD238,IF(AM238&lt;&gt;"",INDEX('Aub Demand'!Q:Q,MATCH($O238,'Aub Demand'!$A:$A,0))-IF(AN238="",0,AN238)+AD238+AL238,INDEX('Aub Demand'!Q:Q,MATCH($O238,'Aub Demand'!$A:$A,0))-IF(AN238="",0,AN238)+AD238))),"")</f>
        <v>1364</v>
      </c>
      <c r="Y238" s="53">
        <f t="shared" si="88"/>
        <v>188.6</v>
      </c>
      <c r="Z238" s="52">
        <f>IF(L238="","",INDEX('Aub Demand'!H:H,MATCH($O238,'Aub Demand'!$A:$A,0)))</f>
        <v>31</v>
      </c>
      <c r="AA238" s="52">
        <f t="shared" si="89"/>
        <v>46.5</v>
      </c>
      <c r="AB238" s="52">
        <f>IFERROR(INDEX('Aub Demand'!L:L,MATCH($O238,'Aub Demand'!$A:$A,0)),"")</f>
        <v>0</v>
      </c>
      <c r="AC238" s="52">
        <f>IFERROR(IF(O238="","",SUMIFS('CPL Mats'!F:F,'CPL Mats'!Q:Q,AR238,'CPL Mats'!S:S,AS238)),"")</f>
        <v>0</v>
      </c>
      <c r="AF238" s="25" t="str">
        <f>IF(SUMIFS('Supp Consol'!S:S,'Supp Consol'!Y:Y,"Releasable",'Supp Consol'!A:A,O238)=0,"",SUMIFS('Supp Consol'!S:S,'Supp Consol'!Y:Y,"Releasable",'Supp Consol'!A:A,O238))</f>
        <v/>
      </c>
      <c r="AG238" s="25" t="str">
        <f>IFERROR(INDEX('Hun Demand'!Q:Q,MATCH(O238,'Hun Demand'!A:A,0)),"")</f>
        <v/>
      </c>
      <c r="AH238" s="25" t="str">
        <f>IFERROR(INDEX('Hun Demand'!H:H,MATCH($O238,'Hun Demand'!$A:$A,0)),"")</f>
        <v/>
      </c>
      <c r="AI238" s="25" t="str">
        <f>IF(SUMIFS('Supp Consol'!AA:AA,'Supp Consol'!Z:Z,"Expires this month",'Supp Consol'!A:A,O238)=0,"",SUMIFS('Supp Consol'!AA:AA,'Supp Consol'!Z:Z,"Expires this month",'Supp Consol'!A:A,O238))</f>
        <v/>
      </c>
      <c r="AJ238" s="25" t="str">
        <f>IF(SUMIFS('Supp Consol'!AA:AA,'Supp Consol'!Z:Z,"Expired Previous Months",'Supp Consol'!A:A,O238)=0,"",SUMIFS('Supp Consol'!AA:AA,'Supp Consol'!Z:Z,"Expired Previous Months",'Supp Consol'!A:A,O238))</f>
        <v/>
      </c>
      <c r="AK238" s="25" t="str">
        <f>IFERROR(INDEX('Hun Release Current'!B:B,MATCH(O238,'Hun Release Current'!A:A,0)),"")</f>
        <v/>
      </c>
      <c r="AL238" s="25" t="str">
        <f>IF(SUMIF('Prev Aub'!A:A,O238,'Prev Aub'!B:B)=0,"",SUMIF('Prev Aub'!A:A,O238,'Prev Aub'!B:B))</f>
        <v/>
      </c>
      <c r="AN238" s="25" t="s">
        <v>3790</v>
      </c>
      <c r="AO238" s="25" t="s">
        <v>3790</v>
      </c>
      <c r="AP238" s="25">
        <f t="shared" si="90"/>
        <v>0</v>
      </c>
      <c r="AQ238" s="151" t="str">
        <f>IF(SUMIFS('Supp Consol'!S:S,'Supp Consol'!A:A,O238,'Supp Consol'!I:I,"PENDING")=0,"",SUMIFS('Supp Consol'!S:S,'Supp Consol'!A:A,O238,'Supp Consol'!I:I,"PENDING"))</f>
        <v/>
      </c>
      <c r="AR238" s="27" t="str">
        <f t="shared" si="91"/>
        <v>AT106</v>
      </c>
      <c r="AS238" s="27" t="str">
        <f t="shared" si="92"/>
        <v>62</v>
      </c>
      <c r="AT238" s="27" t="str">
        <f t="shared" si="93"/>
        <v/>
      </c>
      <c r="AU238" s="27" t="str">
        <f t="shared" si="94"/>
        <v/>
      </c>
      <c r="AV238" s="27" t="str">
        <f t="shared" si="95"/>
        <v/>
      </c>
      <c r="AW238" s="27" t="str">
        <f t="shared" si="96"/>
        <v/>
      </c>
      <c r="AX238" s="27" t="str">
        <f t="shared" si="97"/>
        <v/>
      </c>
      <c r="AY238" s="27" t="str">
        <f t="shared" si="98"/>
        <v/>
      </c>
      <c r="AZ238" s="27" t="str">
        <f t="shared" si="99"/>
        <v/>
      </c>
      <c r="BA238" s="27" t="str">
        <f t="shared" si="100"/>
        <v/>
      </c>
      <c r="BB238" s="27" t="str">
        <f t="shared" si="101"/>
        <v>Gross</v>
      </c>
      <c r="BC238" s="27" t="str">
        <f t="shared" si="102"/>
        <v>Net</v>
      </c>
      <c r="BD238" s="27" t="str">
        <f t="shared" si="103"/>
        <v>Net</v>
      </c>
      <c r="BE238" s="27" t="str">
        <f t="shared" si="104"/>
        <v/>
      </c>
      <c r="BF238" s="27" t="str">
        <f t="shared" si="105"/>
        <v/>
      </c>
      <c r="BG238" s="27" t="str">
        <f t="shared" si="106"/>
        <v/>
      </c>
      <c r="BH238" s="27" t="str">
        <f t="shared" si="107"/>
        <v/>
      </c>
      <c r="BI238" s="27" t="str">
        <f t="shared" si="108"/>
        <v/>
      </c>
      <c r="BJ238" s="27" t="str">
        <f t="shared" si="109"/>
        <v/>
      </c>
      <c r="BK238" s="27" t="str">
        <f t="shared" si="110"/>
        <v/>
      </c>
      <c r="BL238" s="27" t="str">
        <f t="shared" si="111"/>
        <v/>
      </c>
      <c r="BM238" s="21" t="s">
        <v>5581</v>
      </c>
    </row>
    <row r="239" spans="1:65" ht="15">
      <c r="A239" s="25" t="str">
        <f>IFERROR(INDEX('Hun Demand'!W:W,MATCH(O239,'Hun Demand'!A:A,0)),"")</f>
        <v/>
      </c>
      <c r="B239" s="25" t="str">
        <f>IFERROR(INDEX('Hun Demand'!V:V,MATCH(O239,'Hun Demand'!A:A,0)),"")</f>
        <v/>
      </c>
      <c r="C239" s="25" t="str">
        <f>IFERROR(INDEX('Hun Demand'!U:U,MATCH(O239,'Hun Demand'!A:A,0)),"")</f>
        <v/>
      </c>
      <c r="D239" s="25" t="str">
        <f>IFERROR(INDEX('Hun Demand'!T:T,MATCH(O239,'Hun Demand'!A:A,0)),"")</f>
        <v/>
      </c>
      <c r="E239" s="25" t="str">
        <f>IFERROR(INDEX('Hun Demand'!S:S,MATCH(O239,'Hun Demand'!A:A,0)),"")</f>
        <v/>
      </c>
      <c r="F239" s="25" t="str">
        <f>IFERROR(INDEX('Hun Demand'!R:R,MATCH(O239,'Hun Demand'!A:A,0)),"")</f>
        <v/>
      </c>
      <c r="G239" s="25">
        <f>IFERROR(INDEX('Aub Demand'!W:W,MATCH(O239,'Aub Demand'!A:A,0)),"")</f>
        <v>0</v>
      </c>
      <c r="H239" s="25">
        <f>IFERROR(INDEX('Aub Demand'!V:V,MATCH(O239,'Aub Demand'!A:A,0)),"")</f>
        <v>0</v>
      </c>
      <c r="I239" s="25">
        <f>IFERROR(INDEX('Aub Demand'!U:U,MATCH(O239,'Aub Demand'!A:A,0)),"")</f>
        <v>0</v>
      </c>
      <c r="J239" s="25">
        <f>IFERROR(INDEX('Aub Demand'!T:T,MATCH(O239,'Aub Demand'!A:A,0)),"")</f>
        <v>0</v>
      </c>
      <c r="K239" s="25">
        <f>IFERROR(INDEX('Aub Demand'!S:S,MATCH(O239,'Aub Demand'!A:A,0)),"")</f>
        <v>0</v>
      </c>
      <c r="L239" s="25">
        <f>IFERROR(INDEX('Aub Demand'!R:R,MATCH(O239,'Aub Demand'!A:A,0)),"")</f>
        <v>32</v>
      </c>
      <c r="O239" s="27" t="s">
        <v>427</v>
      </c>
      <c r="P239" s="27" t="str">
        <f>IFERROR(INDEX('Aub Demand'!B:B,MATCH($O239,'Aub Demand'!$A:$A,0)),"")</f>
        <v>SOOTHING PEBBLE BEAC</v>
      </c>
      <c r="Q239" s="27" t="str">
        <f>IFERROR(INDEX('Aub Demand'!C:C,MATCH($O239,'Aub Demand'!$A:$A,0)),"")</f>
        <v>SCHAT</v>
      </c>
      <c r="R239" s="52">
        <f>IFERROR(IF(AR240=AR239,INDEX('Aub Demand'!K:K,MATCH($O239,'Aub Demand'!$A:$A,0))-IF(AN239="",0,AN239)+AP240,INDEX('Aub Demand'!K:K,MATCH($O239,'Aub Demand'!$A:$A,0))-IF(AN239="",0,AN239)),"")</f>
        <v>0</v>
      </c>
      <c r="S239" s="53" t="str">
        <f t="shared" si="84"/>
        <v>n/a</v>
      </c>
      <c r="T239" s="52" t="str">
        <f t="shared" si="85"/>
        <v/>
      </c>
      <c r="U239" s="52">
        <f>IFERROR(IF(AR240=AR239,INDEX('Aub Demand'!Q:Q,MATCH($O239,'Aub Demand'!$A:$A,0))-IF(AN239="",0,AN239)+AP240,INDEX('Aub Demand'!Q:Q,MATCH($O239,'Aub Demand'!$A:$A,0))-IF(AN239="",0,AN239)),"")</f>
        <v>-6</v>
      </c>
      <c r="V239" s="53" t="str">
        <f t="shared" si="86"/>
        <v>n/a</v>
      </c>
      <c r="W239" s="52" t="str">
        <f t="shared" si="87"/>
        <v/>
      </c>
      <c r="X239" s="52">
        <f>IFERROR(IF(AND(AR240=AR239,AM239&lt;&gt;""),INDEX('Aub Demand'!Q:Q,MATCH($O239,'Aub Demand'!$A:$A,0))-IF(AN239="",0,AN239)+AP240+AD239+AL239,IF(AR240=AR239,INDEX('Aub Demand'!Q:Q,MATCH($O239,'Aub Demand'!$A:$A,0))-IF(AN239="",0,AN239)+AP240+AD239,IF(AM239&lt;&gt;"",INDEX('Aub Demand'!Q:Q,MATCH($O239,'Aub Demand'!$A:$A,0))-IF(AN239="",0,AN239)+AD239+AL239,INDEX('Aub Demand'!Q:Q,MATCH($O239,'Aub Demand'!$A:$A,0))-IF(AN239="",0,AN239)+AD239))),"")</f>
        <v>-6</v>
      </c>
      <c r="Y239" s="53" t="str">
        <f t="shared" si="88"/>
        <v>n/a</v>
      </c>
      <c r="Z239" s="52">
        <f>IF(L239="","",INDEX('Aub Demand'!H:H,MATCH($O239,'Aub Demand'!$A:$A,0)))</f>
        <v>0</v>
      </c>
      <c r="AA239" s="52" t="str">
        <f t="shared" si="89"/>
        <v>-spike-</v>
      </c>
      <c r="AB239" s="52">
        <f>IFERROR(INDEX('Aub Demand'!L:L,MATCH($O239,'Aub Demand'!$A:$A,0)),"")</f>
        <v>13</v>
      </c>
      <c r="AC239" s="52">
        <f>IFERROR(IF(O239="","",SUMIFS('CPL Mats'!F:F,'CPL Mats'!Q:Q,AR239,'CPL Mats'!S:S,AS239)),"")</f>
        <v>0</v>
      </c>
      <c r="AF239" s="25" t="str">
        <f>IF(SUMIFS('Supp Consol'!S:S,'Supp Consol'!Y:Y,"Releasable",'Supp Consol'!A:A,O239)=0,"",SUMIFS('Supp Consol'!S:S,'Supp Consol'!Y:Y,"Releasable",'Supp Consol'!A:A,O239))</f>
        <v/>
      </c>
      <c r="AG239" s="25" t="str">
        <f>IFERROR(INDEX('Hun Demand'!Q:Q,MATCH(O239,'Hun Demand'!A:A,0)),"")</f>
        <v/>
      </c>
      <c r="AH239" s="25" t="str">
        <f>IFERROR(INDEX('Hun Demand'!H:H,MATCH($O239,'Hun Demand'!$A:$A,0)),"")</f>
        <v/>
      </c>
      <c r="AI239" s="25" t="str">
        <f>IF(SUMIFS('Supp Consol'!AA:AA,'Supp Consol'!Z:Z,"Expires this month",'Supp Consol'!A:A,O239)=0,"",SUMIFS('Supp Consol'!AA:AA,'Supp Consol'!Z:Z,"Expires this month",'Supp Consol'!A:A,O239))</f>
        <v/>
      </c>
      <c r="AJ239" s="25" t="str">
        <f>IF(SUMIFS('Supp Consol'!AA:AA,'Supp Consol'!Z:Z,"Expired Previous Months",'Supp Consol'!A:A,O239)=0,"",SUMIFS('Supp Consol'!AA:AA,'Supp Consol'!Z:Z,"Expired Previous Months",'Supp Consol'!A:A,O239))</f>
        <v/>
      </c>
      <c r="AK239" s="25" t="str">
        <f>IFERROR(INDEX('Hun Release Current'!B:B,MATCH(O239,'Hun Release Current'!A:A,0)),"")</f>
        <v/>
      </c>
      <c r="AL239" s="25" t="str">
        <f>IF(SUMIF('Prev Aub'!A:A,O239,'Prev Aub'!B:B)=0,"",SUMIF('Prev Aub'!A:A,O239,'Prev Aub'!B:B))</f>
        <v/>
      </c>
      <c r="AN239" s="25" t="s">
        <v>3790</v>
      </c>
      <c r="AO239" s="25" t="s">
        <v>3790</v>
      </c>
      <c r="AP239" s="25">
        <f t="shared" si="90"/>
        <v>0</v>
      </c>
      <c r="AQ239" s="151" t="str">
        <f>IF(SUMIFS('Supp Consol'!S:S,'Supp Consol'!A:A,O239,'Supp Consol'!I:I,"PENDING")=0,"",SUMIFS('Supp Consol'!S:S,'Supp Consol'!A:A,O239,'Supp Consol'!I:I,"PENDING"))</f>
        <v/>
      </c>
      <c r="AR239" s="27" t="str">
        <f t="shared" si="91"/>
        <v>AT109</v>
      </c>
      <c r="AS239" s="27" t="str">
        <f t="shared" si="92"/>
        <v>50</v>
      </c>
      <c r="AT239" s="27" t="str">
        <f t="shared" si="93"/>
        <v/>
      </c>
      <c r="AU239" s="27" t="str">
        <f t="shared" si="94"/>
        <v/>
      </c>
      <c r="AV239" s="27" t="str">
        <f t="shared" si="95"/>
        <v/>
      </c>
      <c r="AW239" s="27" t="str">
        <f t="shared" si="96"/>
        <v/>
      </c>
      <c r="AX239" s="27" t="str">
        <f t="shared" si="97"/>
        <v/>
      </c>
      <c r="AY239" s="27" t="str">
        <f t="shared" si="98"/>
        <v/>
      </c>
      <c r="AZ239" s="27" t="str">
        <f t="shared" si="99"/>
        <v/>
      </c>
      <c r="BA239" s="27" t="str">
        <f t="shared" si="100"/>
        <v/>
      </c>
      <c r="BB239" s="27" t="str">
        <f t="shared" si="101"/>
        <v/>
      </c>
      <c r="BC239" s="27" t="str">
        <f t="shared" si="102"/>
        <v/>
      </c>
      <c r="BD239" s="27" t="str">
        <f t="shared" si="103"/>
        <v/>
      </c>
      <c r="BE239" s="27" t="str">
        <f t="shared" si="104"/>
        <v/>
      </c>
      <c r="BF239" s="27" t="str">
        <f t="shared" si="105"/>
        <v/>
      </c>
      <c r="BG239" s="27" t="str">
        <f t="shared" si="106"/>
        <v/>
      </c>
      <c r="BH239" s="27" t="str">
        <f t="shared" si="107"/>
        <v/>
      </c>
      <c r="BI239" s="27" t="str">
        <f t="shared" si="108"/>
        <v/>
      </c>
      <c r="BJ239" s="27" t="str">
        <f t="shared" si="109"/>
        <v/>
      </c>
      <c r="BK239" s="27" t="str">
        <f t="shared" si="110"/>
        <v/>
      </c>
      <c r="BL239" s="27" t="str">
        <f t="shared" si="111"/>
        <v/>
      </c>
      <c r="BM239" s="21" t="s">
        <v>3790</v>
      </c>
    </row>
    <row r="240" spans="1:65" ht="15">
      <c r="A240" s="25" t="str">
        <f>IFERROR(INDEX('Hun Demand'!W:W,MATCH(O240,'Hun Demand'!A:A,0)),"")</f>
        <v/>
      </c>
      <c r="B240" s="25" t="str">
        <f>IFERROR(INDEX('Hun Demand'!V:V,MATCH(O240,'Hun Demand'!A:A,0)),"")</f>
        <v/>
      </c>
      <c r="C240" s="25" t="str">
        <f>IFERROR(INDEX('Hun Demand'!U:U,MATCH(O240,'Hun Demand'!A:A,0)),"")</f>
        <v/>
      </c>
      <c r="D240" s="25" t="str">
        <f>IFERROR(INDEX('Hun Demand'!T:T,MATCH(O240,'Hun Demand'!A:A,0)),"")</f>
        <v/>
      </c>
      <c r="E240" s="25" t="str">
        <f>IFERROR(INDEX('Hun Demand'!S:S,MATCH(O240,'Hun Demand'!A:A,0)),"")</f>
        <v/>
      </c>
      <c r="F240" s="25" t="str">
        <f>IFERROR(INDEX('Hun Demand'!R:R,MATCH(O240,'Hun Demand'!A:A,0)),"")</f>
        <v/>
      </c>
      <c r="G240" s="25">
        <f>IFERROR(INDEX('Aub Demand'!W:W,MATCH(O240,'Aub Demand'!A:A,0)),"")</f>
        <v>0</v>
      </c>
      <c r="H240" s="25">
        <f>IFERROR(INDEX('Aub Demand'!V:V,MATCH(O240,'Aub Demand'!A:A,0)),"")</f>
        <v>0</v>
      </c>
      <c r="I240" s="25">
        <f>IFERROR(INDEX('Aub Demand'!U:U,MATCH(O240,'Aub Demand'!A:A,0)),"")</f>
        <v>0</v>
      </c>
      <c r="J240" s="25">
        <f>IFERROR(INDEX('Aub Demand'!T:T,MATCH(O240,'Aub Demand'!A:A,0)),"")</f>
        <v>0</v>
      </c>
      <c r="K240" s="25">
        <f>IFERROR(INDEX('Aub Demand'!S:S,MATCH(O240,'Aub Demand'!A:A,0)),"")</f>
        <v>0</v>
      </c>
      <c r="L240" s="25">
        <f>IFERROR(INDEX('Aub Demand'!R:R,MATCH(O240,'Aub Demand'!A:A,0)),"")</f>
        <v>0</v>
      </c>
      <c r="O240" s="27" t="s">
        <v>429</v>
      </c>
      <c r="P240" s="27" t="str">
        <f>IFERROR(INDEX('Aub Demand'!B:B,MATCH($O240,'Aub Demand'!$A:$A,0)),"")</f>
        <v>SOOTHING PEBBLE BEAC</v>
      </c>
      <c r="Q240" s="27" t="str">
        <f>IFERROR(INDEX('Aub Demand'!C:C,MATCH($O240,'Aub Demand'!$A:$A,0)),"")</f>
        <v>SCHAT</v>
      </c>
      <c r="R240" s="52">
        <f>IFERROR(IF(AR241=AR240,INDEX('Aub Demand'!K:K,MATCH($O240,'Aub Demand'!$A:$A,0))-IF(AN240="",0,AN240)+AP241,INDEX('Aub Demand'!K:K,MATCH($O240,'Aub Demand'!$A:$A,0))-IF(AN240="",0,AN240)),"")</f>
        <v>1514</v>
      </c>
      <c r="S240" s="53" t="str">
        <f t="shared" si="84"/>
        <v>n/a</v>
      </c>
      <c r="T240" s="52" t="str">
        <f t="shared" si="85"/>
        <v/>
      </c>
      <c r="U240" s="52">
        <f>IFERROR(IF(AR241=AR240,INDEX('Aub Demand'!Q:Q,MATCH($O240,'Aub Demand'!$A:$A,0))-IF(AN240="",0,AN240)+AP241,INDEX('Aub Demand'!Q:Q,MATCH($O240,'Aub Demand'!$A:$A,0))-IF(AN240="",0,AN240)),"")</f>
        <v>1497</v>
      </c>
      <c r="V240" s="53" t="str">
        <f t="shared" si="86"/>
        <v>n/a</v>
      </c>
      <c r="W240" s="52" t="str">
        <f t="shared" si="87"/>
        <v/>
      </c>
      <c r="X240" s="52">
        <f>IFERROR(IF(AND(AR241=AR240,AM240&lt;&gt;""),INDEX('Aub Demand'!Q:Q,MATCH($O240,'Aub Demand'!$A:$A,0))-IF(AN240="",0,AN240)+AP241+AD240+AL240,IF(AR241=AR240,INDEX('Aub Demand'!Q:Q,MATCH($O240,'Aub Demand'!$A:$A,0))-IF(AN240="",0,AN240)+AP241+AD240,IF(AM240&lt;&gt;"",INDEX('Aub Demand'!Q:Q,MATCH($O240,'Aub Demand'!$A:$A,0))-IF(AN240="",0,AN240)+AD240+AL240,INDEX('Aub Demand'!Q:Q,MATCH($O240,'Aub Demand'!$A:$A,0))-IF(AN240="",0,AN240)+AD240))),"")</f>
        <v>1497</v>
      </c>
      <c r="Y240" s="53" t="str">
        <f t="shared" si="88"/>
        <v>n/a</v>
      </c>
      <c r="Z240" s="52">
        <f>IF(L240="","",INDEX('Aub Demand'!H:H,MATCH($O240,'Aub Demand'!$A:$A,0)))</f>
        <v>0</v>
      </c>
      <c r="AA240" s="52" t="str">
        <f t="shared" si="89"/>
        <v>-spike-</v>
      </c>
      <c r="AB240" s="52">
        <f>IFERROR(INDEX('Aub Demand'!L:L,MATCH($O240,'Aub Demand'!$A:$A,0)),"")</f>
        <v>0</v>
      </c>
      <c r="AC240" s="52">
        <f>IFERROR(IF(O240="","",SUMIFS('CPL Mats'!F:F,'CPL Mats'!Q:Q,AR240,'CPL Mats'!S:S,AS240)),"")</f>
        <v>0</v>
      </c>
      <c r="AF240" s="25" t="str">
        <f>IF(SUMIFS('Supp Consol'!S:S,'Supp Consol'!Y:Y,"Releasable",'Supp Consol'!A:A,O240)=0,"",SUMIFS('Supp Consol'!S:S,'Supp Consol'!Y:Y,"Releasable",'Supp Consol'!A:A,O240))</f>
        <v/>
      </c>
      <c r="AG240" s="25" t="str">
        <f>IFERROR(INDEX('Hun Demand'!Q:Q,MATCH(O240,'Hun Demand'!A:A,0)),"")</f>
        <v/>
      </c>
      <c r="AH240" s="25" t="str">
        <f>IFERROR(INDEX('Hun Demand'!H:H,MATCH($O240,'Hun Demand'!$A:$A,0)),"")</f>
        <v/>
      </c>
      <c r="AI240" s="25" t="str">
        <f>IF(SUMIFS('Supp Consol'!AA:AA,'Supp Consol'!Z:Z,"Expires this month",'Supp Consol'!A:A,O240)=0,"",SUMIFS('Supp Consol'!AA:AA,'Supp Consol'!Z:Z,"Expires this month",'Supp Consol'!A:A,O240))</f>
        <v/>
      </c>
      <c r="AJ240" s="25" t="str">
        <f>IF(SUMIFS('Supp Consol'!AA:AA,'Supp Consol'!Z:Z,"Expired Previous Months",'Supp Consol'!A:A,O240)=0,"",SUMIFS('Supp Consol'!AA:AA,'Supp Consol'!Z:Z,"Expired Previous Months",'Supp Consol'!A:A,O240))</f>
        <v/>
      </c>
      <c r="AK240" s="25" t="str">
        <f>IFERROR(INDEX('Hun Release Current'!B:B,MATCH(O240,'Hun Release Current'!A:A,0)),"")</f>
        <v/>
      </c>
      <c r="AL240" s="25" t="str">
        <f>IF(SUMIF('Prev Aub'!A:A,O240,'Prev Aub'!B:B)=0,"",SUMIF('Prev Aub'!A:A,O240,'Prev Aub'!B:B))</f>
        <v/>
      </c>
      <c r="AN240" s="25" t="s">
        <v>3790</v>
      </c>
      <c r="AO240" s="25" t="s">
        <v>3790</v>
      </c>
      <c r="AP240" s="25">
        <f t="shared" si="90"/>
        <v>0</v>
      </c>
      <c r="AQ240" s="151" t="str">
        <f>IF(SUMIFS('Supp Consol'!S:S,'Supp Consol'!A:A,O240,'Supp Consol'!I:I,"PENDING")=0,"",SUMIFS('Supp Consol'!S:S,'Supp Consol'!A:A,O240,'Supp Consol'!I:I,"PENDING"))</f>
        <v/>
      </c>
      <c r="AR240" s="27" t="str">
        <f t="shared" si="91"/>
        <v>AT109</v>
      </c>
      <c r="AS240" s="27" t="str">
        <f t="shared" si="92"/>
        <v>62</v>
      </c>
      <c r="AT240" s="27" t="str">
        <f t="shared" si="93"/>
        <v/>
      </c>
      <c r="AU240" s="27" t="str">
        <f t="shared" si="94"/>
        <v/>
      </c>
      <c r="AV240" s="27" t="str">
        <f t="shared" si="95"/>
        <v/>
      </c>
      <c r="AW240" s="27" t="str">
        <f t="shared" si="96"/>
        <v/>
      </c>
      <c r="AX240" s="27" t="str">
        <f t="shared" si="97"/>
        <v/>
      </c>
      <c r="AY240" s="27" t="str">
        <f t="shared" si="98"/>
        <v/>
      </c>
      <c r="AZ240" s="27" t="str">
        <f t="shared" si="99"/>
        <v/>
      </c>
      <c r="BA240" s="27" t="str">
        <f t="shared" si="100"/>
        <v/>
      </c>
      <c r="BB240" s="27" t="str">
        <f t="shared" si="101"/>
        <v/>
      </c>
      <c r="BC240" s="27" t="str">
        <f t="shared" si="102"/>
        <v/>
      </c>
      <c r="BD240" s="27" t="str">
        <f t="shared" si="103"/>
        <v/>
      </c>
      <c r="BE240" s="27" t="str">
        <f t="shared" si="104"/>
        <v/>
      </c>
      <c r="BF240" s="27" t="str">
        <f t="shared" si="105"/>
        <v/>
      </c>
      <c r="BG240" s="27" t="str">
        <f t="shared" si="106"/>
        <v/>
      </c>
      <c r="BH240" s="27" t="str">
        <f t="shared" si="107"/>
        <v/>
      </c>
      <c r="BI240" s="27" t="str">
        <f t="shared" si="108"/>
        <v/>
      </c>
      <c r="BJ240" s="27" t="str">
        <f t="shared" si="109"/>
        <v/>
      </c>
      <c r="BK240" s="27" t="str">
        <f t="shared" si="110"/>
        <v/>
      </c>
      <c r="BL240" s="27" t="str">
        <f t="shared" si="111"/>
        <v/>
      </c>
      <c r="BM240" s="21" t="s">
        <v>5581</v>
      </c>
    </row>
    <row r="241" spans="1:65" ht="15">
      <c r="A241" s="25" t="str">
        <f>IFERROR(INDEX('Hun Demand'!W:W,MATCH(O241,'Hun Demand'!A:A,0)),"")</f>
        <v/>
      </c>
      <c r="B241" s="25" t="str">
        <f>IFERROR(INDEX('Hun Demand'!V:V,MATCH(O241,'Hun Demand'!A:A,0)),"")</f>
        <v/>
      </c>
      <c r="C241" s="25" t="str">
        <f>IFERROR(INDEX('Hun Demand'!U:U,MATCH(O241,'Hun Demand'!A:A,0)),"")</f>
        <v/>
      </c>
      <c r="D241" s="25" t="str">
        <f>IFERROR(INDEX('Hun Demand'!T:T,MATCH(O241,'Hun Demand'!A:A,0)),"")</f>
        <v/>
      </c>
      <c r="E241" s="25" t="str">
        <f>IFERROR(INDEX('Hun Demand'!S:S,MATCH(O241,'Hun Demand'!A:A,0)),"")</f>
        <v/>
      </c>
      <c r="F241" s="25" t="str">
        <f>IFERROR(INDEX('Hun Demand'!R:R,MATCH(O241,'Hun Demand'!A:A,0)),"")</f>
        <v/>
      </c>
      <c r="G241" s="25">
        <f>IFERROR(INDEX('Aub Demand'!W:W,MATCH(O241,'Aub Demand'!A:A,0)),"")</f>
        <v>0</v>
      </c>
      <c r="H241" s="25">
        <f>IFERROR(INDEX('Aub Demand'!V:V,MATCH(O241,'Aub Demand'!A:A,0)),"")</f>
        <v>0</v>
      </c>
      <c r="I241" s="25">
        <f>IFERROR(INDEX('Aub Demand'!U:U,MATCH(O241,'Aub Demand'!A:A,0)),"")</f>
        <v>0</v>
      </c>
      <c r="J241" s="25">
        <f>IFERROR(INDEX('Aub Demand'!T:T,MATCH(O241,'Aub Demand'!A:A,0)),"")</f>
        <v>0</v>
      </c>
      <c r="K241" s="25">
        <f>IFERROR(INDEX('Aub Demand'!S:S,MATCH(O241,'Aub Demand'!A:A,0)),"")</f>
        <v>0</v>
      </c>
      <c r="L241" s="25">
        <f>IFERROR(INDEX('Aub Demand'!R:R,MATCH(O241,'Aub Demand'!A:A,0)),"")</f>
        <v>11</v>
      </c>
      <c r="O241" s="27" t="s">
        <v>430</v>
      </c>
      <c r="P241" s="27" t="str">
        <f>IFERROR(INDEX('Aub Demand'!B:B,MATCH($O241,'Aub Demand'!$A:$A,0)),"")</f>
        <v>CARAMEL CREPE</v>
      </c>
      <c r="Q241" s="27" t="str">
        <f>IFERROR(INDEX('Aub Demand'!C:C,MATCH($O241,'Aub Demand'!$A:$A,0)),"")</f>
        <v>SUDDE</v>
      </c>
      <c r="R241" s="52">
        <f>IFERROR(IF(AR242=AR241,INDEX('Aub Demand'!K:K,MATCH($O241,'Aub Demand'!$A:$A,0))-IF(AN241="",0,AN241)+AP242,INDEX('Aub Demand'!K:K,MATCH($O241,'Aub Demand'!$A:$A,0))-IF(AN241="",0,AN241)),"")</f>
        <v>128</v>
      </c>
      <c r="S241" s="53" t="str">
        <f t="shared" si="84"/>
        <v>n/a</v>
      </c>
      <c r="T241" s="52" t="str">
        <f t="shared" si="85"/>
        <v/>
      </c>
      <c r="U241" s="52">
        <f>IFERROR(IF(AR242=AR241,INDEX('Aub Demand'!Q:Q,MATCH($O241,'Aub Demand'!$A:$A,0))-IF(AN241="",0,AN241)+AP242,INDEX('Aub Demand'!Q:Q,MATCH($O241,'Aub Demand'!$A:$A,0))-IF(AN241="",0,AN241)),"")</f>
        <v>122</v>
      </c>
      <c r="V241" s="53" t="str">
        <f t="shared" si="86"/>
        <v>n/a</v>
      </c>
      <c r="W241" s="52" t="str">
        <f t="shared" si="87"/>
        <v/>
      </c>
      <c r="X241" s="52">
        <f>IFERROR(IF(AND(AR242=AR241,AM241&lt;&gt;""),INDEX('Aub Demand'!Q:Q,MATCH($O241,'Aub Demand'!$A:$A,0))-IF(AN241="",0,AN241)+AP242+AD241+AL241,IF(AR242=AR241,INDEX('Aub Demand'!Q:Q,MATCH($O241,'Aub Demand'!$A:$A,0))-IF(AN241="",0,AN241)+AP242+AD241,IF(AM241&lt;&gt;"",INDEX('Aub Demand'!Q:Q,MATCH($O241,'Aub Demand'!$A:$A,0))-IF(AN241="",0,AN241)+AD241+AL241,INDEX('Aub Demand'!Q:Q,MATCH($O241,'Aub Demand'!$A:$A,0))-IF(AN241="",0,AN241)+AD241))),"")</f>
        <v>122</v>
      </c>
      <c r="Y241" s="53" t="str">
        <f t="shared" si="88"/>
        <v>n/a</v>
      </c>
      <c r="Z241" s="52">
        <f>IF(L241="","",INDEX('Aub Demand'!H:H,MATCH($O241,'Aub Demand'!$A:$A,0)))</f>
        <v>0</v>
      </c>
      <c r="AA241" s="52" t="str">
        <f t="shared" si="89"/>
        <v>-spike-</v>
      </c>
      <c r="AB241" s="52">
        <f>IFERROR(INDEX('Aub Demand'!L:L,MATCH($O241,'Aub Demand'!$A:$A,0)),"")</f>
        <v>10</v>
      </c>
      <c r="AC241" s="52">
        <f>IFERROR(IF(O241="","",SUMIFS('CPL Mats'!F:F,'CPL Mats'!Q:Q,AR241,'CPL Mats'!S:S,AS241)),"")</f>
        <v>0</v>
      </c>
      <c r="AF241" s="25" t="str">
        <f>IF(SUMIFS('Supp Consol'!S:S,'Supp Consol'!Y:Y,"Releasable",'Supp Consol'!A:A,O241)=0,"",SUMIFS('Supp Consol'!S:S,'Supp Consol'!Y:Y,"Releasable",'Supp Consol'!A:A,O241))</f>
        <v/>
      </c>
      <c r="AG241" s="25" t="str">
        <f>IFERROR(INDEX('Hun Demand'!Q:Q,MATCH(O241,'Hun Demand'!A:A,0)),"")</f>
        <v/>
      </c>
      <c r="AH241" s="25" t="str">
        <f>IFERROR(INDEX('Hun Demand'!H:H,MATCH($O241,'Hun Demand'!$A:$A,0)),"")</f>
        <v/>
      </c>
      <c r="AI241" s="25" t="str">
        <f>IF(SUMIFS('Supp Consol'!AA:AA,'Supp Consol'!Z:Z,"Expires this month",'Supp Consol'!A:A,O241)=0,"",SUMIFS('Supp Consol'!AA:AA,'Supp Consol'!Z:Z,"Expires this month",'Supp Consol'!A:A,O241))</f>
        <v/>
      </c>
      <c r="AJ241" s="25" t="str">
        <f>IF(SUMIFS('Supp Consol'!AA:AA,'Supp Consol'!Z:Z,"Expired Previous Months",'Supp Consol'!A:A,O241)=0,"",SUMIFS('Supp Consol'!AA:AA,'Supp Consol'!Z:Z,"Expired Previous Months",'Supp Consol'!A:A,O241))</f>
        <v/>
      </c>
      <c r="AK241" s="25" t="str">
        <f>IFERROR(INDEX('Hun Release Current'!B:B,MATCH(O241,'Hun Release Current'!A:A,0)),"")</f>
        <v/>
      </c>
      <c r="AL241" s="25" t="str">
        <f>IF(SUMIF('Prev Aub'!A:A,O241,'Prev Aub'!B:B)=0,"",SUMIF('Prev Aub'!A:A,O241,'Prev Aub'!B:B))</f>
        <v/>
      </c>
      <c r="AN241" s="25" t="s">
        <v>3790</v>
      </c>
      <c r="AO241" s="25" t="s">
        <v>3790</v>
      </c>
      <c r="AP241" s="25">
        <f t="shared" si="90"/>
        <v>0</v>
      </c>
      <c r="AQ241" s="151" t="str">
        <f>IF(SUMIFS('Supp Consol'!S:S,'Supp Consol'!A:A,O241,'Supp Consol'!I:I,"PENDING")=0,"",SUMIFS('Supp Consol'!S:S,'Supp Consol'!A:A,O241,'Supp Consol'!I:I,"PENDING"))</f>
        <v/>
      </c>
      <c r="AR241" s="27" t="str">
        <f t="shared" si="91"/>
        <v>AT111</v>
      </c>
      <c r="AS241" s="27" t="str">
        <f t="shared" si="92"/>
        <v>62</v>
      </c>
      <c r="AT241" s="27" t="str">
        <f t="shared" si="93"/>
        <v/>
      </c>
      <c r="AU241" s="27" t="str">
        <f t="shared" si="94"/>
        <v/>
      </c>
      <c r="AV241" s="27" t="str">
        <f t="shared" si="95"/>
        <v/>
      </c>
      <c r="AW241" s="27" t="str">
        <f t="shared" si="96"/>
        <v/>
      </c>
      <c r="AX241" s="27" t="str">
        <f t="shared" si="97"/>
        <v/>
      </c>
      <c r="AY241" s="27" t="str">
        <f t="shared" si="98"/>
        <v/>
      </c>
      <c r="AZ241" s="27" t="str">
        <f t="shared" si="99"/>
        <v/>
      </c>
      <c r="BA241" s="27" t="str">
        <f t="shared" si="100"/>
        <v/>
      </c>
      <c r="BB241" s="27" t="str">
        <f t="shared" si="101"/>
        <v/>
      </c>
      <c r="BC241" s="27" t="str">
        <f t="shared" si="102"/>
        <v/>
      </c>
      <c r="BD241" s="27" t="str">
        <f t="shared" si="103"/>
        <v/>
      </c>
      <c r="BE241" s="27" t="str">
        <f t="shared" si="104"/>
        <v/>
      </c>
      <c r="BF241" s="27" t="str">
        <f t="shared" si="105"/>
        <v/>
      </c>
      <c r="BG241" s="27" t="str">
        <f t="shared" si="106"/>
        <v/>
      </c>
      <c r="BH241" s="27" t="str">
        <f t="shared" si="107"/>
        <v/>
      </c>
      <c r="BI241" s="27" t="str">
        <f t="shared" si="108"/>
        <v/>
      </c>
      <c r="BJ241" s="27" t="str">
        <f t="shared" si="109"/>
        <v/>
      </c>
      <c r="BK241" s="27" t="str">
        <f t="shared" si="110"/>
        <v/>
      </c>
      <c r="BL241" s="27" t="str">
        <f t="shared" si="111"/>
        <v/>
      </c>
      <c r="BM241" s="21" t="s">
        <v>3790</v>
      </c>
    </row>
    <row r="242" spans="1:65" ht="15">
      <c r="A242" s="25">
        <f>IFERROR(INDEX('Hun Demand'!W:W,MATCH(O242,'Hun Demand'!A:A,0)),"")</f>
        <v>0</v>
      </c>
      <c r="B242" s="25">
        <f>IFERROR(INDEX('Hun Demand'!V:V,MATCH(O242,'Hun Demand'!A:A,0)),"")</f>
        <v>0</v>
      </c>
      <c r="C242" s="25">
        <f>IFERROR(INDEX('Hun Demand'!U:U,MATCH(O242,'Hun Demand'!A:A,0)),"")</f>
        <v>0</v>
      </c>
      <c r="D242" s="25">
        <f>IFERROR(INDEX('Hun Demand'!T:T,MATCH(O242,'Hun Demand'!A:A,0)),"")</f>
        <v>0</v>
      </c>
      <c r="E242" s="25">
        <f>IFERROR(INDEX('Hun Demand'!S:S,MATCH(O242,'Hun Demand'!A:A,0)),"")</f>
        <v>0</v>
      </c>
      <c r="F242" s="25">
        <f>IFERROR(INDEX('Hun Demand'!R:R,MATCH(O242,'Hun Demand'!A:A,0)),"")</f>
        <v>0</v>
      </c>
      <c r="G242" s="25">
        <f>IFERROR(INDEX('Aub Demand'!W:W,MATCH(O242,'Aub Demand'!A:A,0)),"")</f>
        <v>0</v>
      </c>
      <c r="H242" s="25">
        <f>IFERROR(INDEX('Aub Demand'!V:V,MATCH(O242,'Aub Demand'!A:A,0)),"")</f>
        <v>0</v>
      </c>
      <c r="I242" s="25">
        <f>IFERROR(INDEX('Aub Demand'!U:U,MATCH(O242,'Aub Demand'!A:A,0)),"")</f>
        <v>0</v>
      </c>
      <c r="J242" s="25">
        <f>IFERROR(INDEX('Aub Demand'!T:T,MATCH(O242,'Aub Demand'!A:A,0)),"")</f>
        <v>0</v>
      </c>
      <c r="K242" s="25">
        <f>IFERROR(INDEX('Aub Demand'!S:S,MATCH(O242,'Aub Demand'!A:A,0)),"")</f>
        <v>0</v>
      </c>
      <c r="L242" s="25">
        <f>IFERROR(INDEX('Aub Demand'!R:R,MATCH(O242,'Aub Demand'!A:A,0)),"")</f>
        <v>0</v>
      </c>
      <c r="O242" s="27" t="s">
        <v>432</v>
      </c>
      <c r="P242" s="27" t="str">
        <f>IFERROR(INDEX('Aub Demand'!B:B,MATCH($O242,'Aub Demand'!$A:$A,0)),"")</f>
        <v>MOROCCAN FRESCO</v>
      </c>
      <c r="Q242" s="27" t="str">
        <f>IFERROR(INDEX('Aub Demand'!C:C,MATCH($O242,'Aub Demand'!$A:$A,0)),"")</f>
        <v>INTER</v>
      </c>
      <c r="R242" s="52">
        <f>IFERROR(IF(AR243=AR242,INDEX('Aub Demand'!K:K,MATCH($O242,'Aub Demand'!$A:$A,0))-IF(AN242="",0,AN242)+AP243,INDEX('Aub Demand'!K:K,MATCH($O242,'Aub Demand'!$A:$A,0))-IF(AN242="",0,AN242)),"")</f>
        <v>1021</v>
      </c>
      <c r="S242" s="53" t="str">
        <f t="shared" si="84"/>
        <v>n/a</v>
      </c>
      <c r="T242" s="52" t="str">
        <f t="shared" si="85"/>
        <v/>
      </c>
      <c r="U242" s="52">
        <f>IFERROR(IF(AR243=AR242,INDEX('Aub Demand'!Q:Q,MATCH($O242,'Aub Demand'!$A:$A,0))-IF(AN242="",0,AN242)+AP243,INDEX('Aub Demand'!Q:Q,MATCH($O242,'Aub Demand'!$A:$A,0))-IF(AN242="",0,AN242)),"")</f>
        <v>1021</v>
      </c>
      <c r="V242" s="53" t="str">
        <f t="shared" si="86"/>
        <v>n/a</v>
      </c>
      <c r="W242" s="52" t="str">
        <f t="shared" si="87"/>
        <v/>
      </c>
      <c r="X242" s="52">
        <f>IFERROR(IF(AND(AR243=AR242,AM242&lt;&gt;""),INDEX('Aub Demand'!Q:Q,MATCH($O242,'Aub Demand'!$A:$A,0))-IF(AN242="",0,AN242)+AP243+AD242+AL242,IF(AR243=AR242,INDEX('Aub Demand'!Q:Q,MATCH($O242,'Aub Demand'!$A:$A,0))-IF(AN242="",0,AN242)+AP243+AD242,IF(AM242&lt;&gt;"",INDEX('Aub Demand'!Q:Q,MATCH($O242,'Aub Demand'!$A:$A,0))-IF(AN242="",0,AN242)+AD242+AL242,INDEX('Aub Demand'!Q:Q,MATCH($O242,'Aub Demand'!$A:$A,0))-IF(AN242="",0,AN242)+AD242))),"")</f>
        <v>1021</v>
      </c>
      <c r="Y242" s="53" t="str">
        <f t="shared" si="88"/>
        <v>n/a</v>
      </c>
      <c r="Z242" s="52">
        <f>IF(L242="","",INDEX('Aub Demand'!H:H,MATCH($O242,'Aub Demand'!$A:$A,0)))</f>
        <v>0</v>
      </c>
      <c r="AA242" s="52" t="str">
        <f t="shared" si="89"/>
        <v>-spike-</v>
      </c>
      <c r="AB242" s="52">
        <f>IFERROR(INDEX('Aub Demand'!L:L,MATCH($O242,'Aub Demand'!$A:$A,0)),"")</f>
        <v>0</v>
      </c>
      <c r="AC242" s="52">
        <f>IFERROR(IF(O242="","",SUMIFS('CPL Mats'!F:F,'CPL Mats'!Q:Q,AR242,'CPL Mats'!S:S,AS242)),"")</f>
        <v>0</v>
      </c>
      <c r="AF242" s="25" t="str">
        <f>IF(SUMIFS('Supp Consol'!S:S,'Supp Consol'!Y:Y,"Releasable",'Supp Consol'!A:A,O242)=0,"",SUMIFS('Supp Consol'!S:S,'Supp Consol'!Y:Y,"Releasable",'Supp Consol'!A:A,O242))</f>
        <v/>
      </c>
      <c r="AG242" s="25">
        <f>IFERROR(INDEX('Hun Demand'!Q:Q,MATCH(O242,'Hun Demand'!A:A,0)),"")</f>
        <v>262</v>
      </c>
      <c r="AH242" s="25">
        <f>IFERROR(INDEX('Hun Demand'!H:H,MATCH($O242,'Hun Demand'!$A:$A,0)),"")</f>
        <v>0</v>
      </c>
      <c r="AI242" s="25" t="str">
        <f>IF(SUMIFS('Supp Consol'!AA:AA,'Supp Consol'!Z:Z,"Expires this month",'Supp Consol'!A:A,O242)=0,"",SUMIFS('Supp Consol'!AA:AA,'Supp Consol'!Z:Z,"Expires this month",'Supp Consol'!A:A,O242))</f>
        <v/>
      </c>
      <c r="AJ242" s="25" t="str">
        <f>IF(SUMIFS('Supp Consol'!AA:AA,'Supp Consol'!Z:Z,"Expired Previous Months",'Supp Consol'!A:A,O242)=0,"",SUMIFS('Supp Consol'!AA:AA,'Supp Consol'!Z:Z,"Expired Previous Months",'Supp Consol'!A:A,O242))</f>
        <v/>
      </c>
      <c r="AK242" s="25" t="str">
        <f>IFERROR(INDEX('Hun Release Current'!B:B,MATCH(O242,'Hun Release Current'!A:A,0)),"")</f>
        <v/>
      </c>
      <c r="AL242" s="25" t="str">
        <f>IF(SUMIF('Prev Aub'!A:A,O242,'Prev Aub'!B:B)=0,"",SUMIF('Prev Aub'!A:A,O242,'Prev Aub'!B:B))</f>
        <v/>
      </c>
      <c r="AN242" s="25" t="s">
        <v>3790</v>
      </c>
      <c r="AO242" s="25" t="s">
        <v>3790</v>
      </c>
      <c r="AP242" s="25">
        <f t="shared" si="90"/>
        <v>0</v>
      </c>
      <c r="AQ242" s="151" t="str">
        <f>IF(SUMIFS('Supp Consol'!S:S,'Supp Consol'!A:A,O242,'Supp Consol'!I:I,"PENDING")=0,"",SUMIFS('Supp Consol'!S:S,'Supp Consol'!A:A,O242,'Supp Consol'!I:I,"PENDING"))</f>
        <v/>
      </c>
      <c r="AR242" s="27" t="str">
        <f t="shared" si="91"/>
        <v>AT121</v>
      </c>
      <c r="AS242" s="27" t="str">
        <f t="shared" si="92"/>
        <v>62</v>
      </c>
      <c r="AT242" s="27" t="str">
        <f t="shared" si="93"/>
        <v/>
      </c>
      <c r="AU242" s="27" t="str">
        <f t="shared" si="94"/>
        <v/>
      </c>
      <c r="AV242" s="27" t="str">
        <f t="shared" si="95"/>
        <v/>
      </c>
      <c r="AW242" s="27" t="str">
        <f t="shared" si="96"/>
        <v/>
      </c>
      <c r="AX242" s="27" t="str">
        <f t="shared" si="97"/>
        <v/>
      </c>
      <c r="AY242" s="27" t="str">
        <f t="shared" si="98"/>
        <v>AT121</v>
      </c>
      <c r="AZ242" s="27" t="str">
        <f t="shared" si="99"/>
        <v/>
      </c>
      <c r="BA242" s="27" t="str">
        <f t="shared" si="100"/>
        <v>Hun</v>
      </c>
      <c r="BB242" s="27" t="str">
        <f t="shared" si="101"/>
        <v/>
      </c>
      <c r="BC242" s="27" t="str">
        <f t="shared" si="102"/>
        <v/>
      </c>
      <c r="BD242" s="27" t="str">
        <f t="shared" si="103"/>
        <v/>
      </c>
      <c r="BE242" s="27" t="str">
        <f t="shared" si="104"/>
        <v/>
      </c>
      <c r="BF242" s="27" t="str">
        <f t="shared" si="105"/>
        <v/>
      </c>
      <c r="BG242" s="27" t="str">
        <f t="shared" si="106"/>
        <v/>
      </c>
      <c r="BH242" s="27" t="str">
        <f t="shared" si="107"/>
        <v/>
      </c>
      <c r="BI242" s="27" t="str">
        <f t="shared" si="108"/>
        <v/>
      </c>
      <c r="BJ242" s="27" t="str">
        <f t="shared" si="109"/>
        <v>Supp or Hun</v>
      </c>
      <c r="BK242" s="27" t="str">
        <f t="shared" si="110"/>
        <v/>
      </c>
      <c r="BL242" s="27" t="str">
        <f t="shared" si="111"/>
        <v/>
      </c>
      <c r="BM242" s="21" t="s">
        <v>3790</v>
      </c>
    </row>
    <row r="243" spans="1:65" ht="15">
      <c r="A243" s="25" t="str">
        <f>IFERROR(INDEX('Hun Demand'!W:W,MATCH(O243,'Hun Demand'!A:A,0)),"")</f>
        <v/>
      </c>
      <c r="B243" s="25" t="str">
        <f>IFERROR(INDEX('Hun Demand'!V:V,MATCH(O243,'Hun Demand'!A:A,0)),"")</f>
        <v/>
      </c>
      <c r="C243" s="25" t="str">
        <f>IFERROR(INDEX('Hun Demand'!U:U,MATCH(O243,'Hun Demand'!A:A,0)),"")</f>
        <v/>
      </c>
      <c r="D243" s="25" t="str">
        <f>IFERROR(INDEX('Hun Demand'!T:T,MATCH(O243,'Hun Demand'!A:A,0)),"")</f>
        <v/>
      </c>
      <c r="E243" s="25" t="str">
        <f>IFERROR(INDEX('Hun Demand'!S:S,MATCH(O243,'Hun Demand'!A:A,0)),"")</f>
        <v/>
      </c>
      <c r="F243" s="25" t="str">
        <f>IFERROR(INDEX('Hun Demand'!R:R,MATCH(O243,'Hun Demand'!A:A,0)),"")</f>
        <v/>
      </c>
      <c r="G243" s="25">
        <f>IFERROR(INDEX('Aub Demand'!W:W,MATCH(O243,'Aub Demand'!A:A,0)),"")</f>
        <v>26</v>
      </c>
      <c r="H243" s="25">
        <f>IFERROR(INDEX('Aub Demand'!V:V,MATCH(O243,'Aub Demand'!A:A,0)),"")</f>
        <v>0</v>
      </c>
      <c r="I243" s="25">
        <f>IFERROR(INDEX('Aub Demand'!U:U,MATCH(O243,'Aub Demand'!A:A,0)),"")</f>
        <v>10</v>
      </c>
      <c r="J243" s="25">
        <f>IFERROR(INDEX('Aub Demand'!T:T,MATCH(O243,'Aub Demand'!A:A,0)),"")</f>
        <v>0</v>
      </c>
      <c r="K243" s="25">
        <f>IFERROR(INDEX('Aub Demand'!S:S,MATCH(O243,'Aub Demand'!A:A,0)),"")</f>
        <v>0</v>
      </c>
      <c r="L243" s="25">
        <f>IFERROR(INDEX('Aub Demand'!R:R,MATCH(O243,'Aub Demand'!A:A,0)),"")</f>
        <v>8</v>
      </c>
      <c r="O243" s="27" t="s">
        <v>434</v>
      </c>
      <c r="P243" s="27" t="str">
        <f>IFERROR(INDEX('Aub Demand'!B:B,MATCH($O243,'Aub Demand'!$A:$A,0)),"")</f>
        <v>ROCKY MOUNTAIN HIGH</v>
      </c>
      <c r="Q243" s="27" t="str">
        <f>IFERROR(INDEX('Aub Demand'!C:C,MATCH($O243,'Aub Demand'!$A:$A,0)),"")</f>
        <v>SUDDE</v>
      </c>
      <c r="R243" s="52">
        <f>IFERROR(IF(AR244=AR243,INDEX('Aub Demand'!K:K,MATCH($O243,'Aub Demand'!$A:$A,0))-IF(AN243="",0,AN243)+AP244,INDEX('Aub Demand'!K:K,MATCH($O243,'Aub Demand'!$A:$A,0))-IF(AN243="",0,AN243)),"")</f>
        <v>0</v>
      </c>
      <c r="S243" s="53">
        <f t="shared" si="84"/>
        <v>0</v>
      </c>
      <c r="T243" s="52">
        <f t="shared" si="85"/>
        <v>6.75</v>
      </c>
      <c r="U243" s="52">
        <f>IFERROR(IF(AR244=AR243,INDEX('Aub Demand'!Q:Q,MATCH($O243,'Aub Demand'!$A:$A,0))-IF(AN243="",0,AN243)+AP244,INDEX('Aub Demand'!Q:Q,MATCH($O243,'Aub Demand'!$A:$A,0))-IF(AN243="",0,AN243)),"")</f>
        <v>-20</v>
      </c>
      <c r="V243" s="53">
        <f t="shared" si="86"/>
        <v>-28.6</v>
      </c>
      <c r="W243" s="52">
        <f t="shared" si="87"/>
        <v>71.100000000000009</v>
      </c>
      <c r="X243" s="52">
        <f>IFERROR(IF(AND(AR244=AR243,AM243&lt;&gt;""),INDEX('Aub Demand'!Q:Q,MATCH($O243,'Aub Demand'!$A:$A,0))-IF(AN243="",0,AN243)+AP244+AD243+AL243,IF(AR244=AR243,INDEX('Aub Demand'!Q:Q,MATCH($O243,'Aub Demand'!$A:$A,0))-IF(AN243="",0,AN243)+AP244+AD243,IF(AM243&lt;&gt;"",INDEX('Aub Demand'!Q:Q,MATCH($O243,'Aub Demand'!$A:$A,0))-IF(AN243="",0,AN243)+AD243+AL243,INDEX('Aub Demand'!Q:Q,MATCH($O243,'Aub Demand'!$A:$A,0))-IF(AN243="",0,AN243)+AD243))),"")</f>
        <v>-20</v>
      </c>
      <c r="Y243" s="53">
        <f t="shared" si="88"/>
        <v>-28.6</v>
      </c>
      <c r="Z243" s="52">
        <f>IF(L243="","",INDEX('Aub Demand'!H:H,MATCH($O243,'Aub Demand'!$A:$A,0)))</f>
        <v>3</v>
      </c>
      <c r="AA243" s="52">
        <f t="shared" si="89"/>
        <v>9</v>
      </c>
      <c r="AB243" s="52">
        <f>IFERROR(INDEX('Aub Demand'!L:L,MATCH($O243,'Aub Demand'!$A:$A,0)),"")</f>
        <v>10</v>
      </c>
      <c r="AC243" s="52">
        <f>IFERROR(IF(O243="","",SUMIFS('CPL Mats'!F:F,'CPL Mats'!Q:Q,AR243,'CPL Mats'!S:S,AS243)),"")</f>
        <v>0</v>
      </c>
      <c r="AF243" s="25" t="str">
        <f>IF(SUMIFS('Supp Consol'!S:S,'Supp Consol'!Y:Y,"Releasable",'Supp Consol'!A:A,O243)=0,"",SUMIFS('Supp Consol'!S:S,'Supp Consol'!Y:Y,"Releasable",'Supp Consol'!A:A,O243))</f>
        <v/>
      </c>
      <c r="AG243" s="25" t="str">
        <f>IFERROR(INDEX('Hun Demand'!Q:Q,MATCH(O243,'Hun Demand'!A:A,0)),"")</f>
        <v/>
      </c>
      <c r="AH243" s="25" t="str">
        <f>IFERROR(INDEX('Hun Demand'!H:H,MATCH($O243,'Hun Demand'!$A:$A,0)),"")</f>
        <v/>
      </c>
      <c r="AI243" s="25" t="str">
        <f>IF(SUMIFS('Supp Consol'!AA:AA,'Supp Consol'!Z:Z,"Expires this month",'Supp Consol'!A:A,O243)=0,"",SUMIFS('Supp Consol'!AA:AA,'Supp Consol'!Z:Z,"Expires this month",'Supp Consol'!A:A,O243))</f>
        <v/>
      </c>
      <c r="AJ243" s="25" t="str">
        <f>IF(SUMIFS('Supp Consol'!AA:AA,'Supp Consol'!Z:Z,"Expired Previous Months",'Supp Consol'!A:A,O243)=0,"",SUMIFS('Supp Consol'!AA:AA,'Supp Consol'!Z:Z,"Expired Previous Months",'Supp Consol'!A:A,O243))</f>
        <v/>
      </c>
      <c r="AK243" s="25" t="str">
        <f>IFERROR(INDEX('Hun Release Current'!B:B,MATCH(O243,'Hun Release Current'!A:A,0)),"")</f>
        <v/>
      </c>
      <c r="AL243" s="25" t="str">
        <f>IF(SUMIF('Prev Aub'!A:A,O243,'Prev Aub'!B:B)=0,"",SUMIF('Prev Aub'!A:A,O243,'Prev Aub'!B:B))</f>
        <v/>
      </c>
      <c r="AN243" s="25" t="s">
        <v>3790</v>
      </c>
      <c r="AO243" s="25" t="s">
        <v>3790</v>
      </c>
      <c r="AP243" s="25">
        <f t="shared" si="90"/>
        <v>0</v>
      </c>
      <c r="AQ243" s="151" t="str">
        <f>IF(SUMIFS('Supp Consol'!S:S,'Supp Consol'!A:A,O243,'Supp Consol'!I:I,"PENDING")=0,"",SUMIFS('Supp Consol'!S:S,'Supp Consol'!A:A,O243,'Supp Consol'!I:I,"PENDING"))</f>
        <v/>
      </c>
      <c r="AR243" s="27" t="str">
        <f t="shared" si="91"/>
        <v>AT161</v>
      </c>
      <c r="AS243" s="27" t="str">
        <f t="shared" si="92"/>
        <v>50</v>
      </c>
      <c r="AT243" s="27" t="str">
        <f t="shared" si="93"/>
        <v>AT161</v>
      </c>
      <c r="AU243" s="27" t="str">
        <f t="shared" si="94"/>
        <v>AT161</v>
      </c>
      <c r="AV243" s="27" t="str">
        <f t="shared" si="95"/>
        <v>AT161</v>
      </c>
      <c r="AW243" s="27" t="str">
        <f t="shared" si="96"/>
        <v/>
      </c>
      <c r="AX243" s="27" t="str">
        <f t="shared" si="97"/>
        <v/>
      </c>
      <c r="AY243" s="27" t="str">
        <f t="shared" si="98"/>
        <v/>
      </c>
      <c r="AZ243" s="27" t="str">
        <f t="shared" si="99"/>
        <v/>
      </c>
      <c r="BA243" s="27" t="str">
        <f t="shared" si="100"/>
        <v/>
      </c>
      <c r="BB243" s="27" t="str">
        <f t="shared" si="101"/>
        <v>Gross</v>
      </c>
      <c r="BC243" s="27" t="str">
        <f t="shared" si="102"/>
        <v>Net</v>
      </c>
      <c r="BD243" s="27" t="str">
        <f t="shared" si="103"/>
        <v>Net</v>
      </c>
      <c r="BE243" s="27" t="str">
        <f t="shared" si="104"/>
        <v/>
      </c>
      <c r="BF243" s="27" t="str">
        <f t="shared" si="105"/>
        <v/>
      </c>
      <c r="BG243" s="27" t="str">
        <f t="shared" si="106"/>
        <v/>
      </c>
      <c r="BH243" s="27" t="str">
        <f t="shared" si="107"/>
        <v/>
      </c>
      <c r="BI243" s="27" t="str">
        <f t="shared" si="108"/>
        <v/>
      </c>
      <c r="BJ243" s="27" t="str">
        <f t="shared" si="109"/>
        <v/>
      </c>
      <c r="BK243" s="27" t="str">
        <f t="shared" si="110"/>
        <v/>
      </c>
      <c r="BL243" s="27" t="str">
        <f t="shared" si="111"/>
        <v/>
      </c>
      <c r="BM243" s="21" t="s">
        <v>5581</v>
      </c>
    </row>
    <row r="244" spans="1:65" ht="15">
      <c r="A244" s="25" t="str">
        <f>IFERROR(INDEX('Hun Demand'!W:W,MATCH(O244,'Hun Demand'!A:A,0)),"")</f>
        <v/>
      </c>
      <c r="B244" s="25" t="str">
        <f>IFERROR(INDEX('Hun Demand'!V:V,MATCH(O244,'Hun Demand'!A:A,0)),"")</f>
        <v/>
      </c>
      <c r="C244" s="25" t="str">
        <f>IFERROR(INDEX('Hun Demand'!U:U,MATCH(O244,'Hun Demand'!A:A,0)),"")</f>
        <v/>
      </c>
      <c r="D244" s="25" t="str">
        <f>IFERROR(INDEX('Hun Demand'!T:T,MATCH(O244,'Hun Demand'!A:A,0)),"")</f>
        <v/>
      </c>
      <c r="E244" s="25" t="str">
        <f>IFERROR(INDEX('Hun Demand'!S:S,MATCH(O244,'Hun Demand'!A:A,0)),"")</f>
        <v/>
      </c>
      <c r="F244" s="25" t="str">
        <f>IFERROR(INDEX('Hun Demand'!R:R,MATCH(O244,'Hun Demand'!A:A,0)),"")</f>
        <v/>
      </c>
      <c r="G244" s="25">
        <f>IFERROR(INDEX('Aub Demand'!W:W,MATCH(O244,'Aub Demand'!A:A,0)),"")</f>
        <v>32</v>
      </c>
      <c r="H244" s="25">
        <f>IFERROR(INDEX('Aub Demand'!V:V,MATCH(O244,'Aub Demand'!A:A,0)),"")</f>
        <v>41</v>
      </c>
      <c r="I244" s="25">
        <f>IFERROR(INDEX('Aub Demand'!U:U,MATCH(O244,'Aub Demand'!A:A,0)),"")</f>
        <v>10</v>
      </c>
      <c r="J244" s="25">
        <f>IFERROR(INDEX('Aub Demand'!T:T,MATCH(O244,'Aub Demand'!A:A,0)),"")</f>
        <v>124</v>
      </c>
      <c r="K244" s="25">
        <f>IFERROR(INDEX('Aub Demand'!S:S,MATCH(O244,'Aub Demand'!A:A,0)),"")</f>
        <v>0</v>
      </c>
      <c r="L244" s="25">
        <f>IFERROR(INDEX('Aub Demand'!R:R,MATCH(O244,'Aub Demand'!A:A,0)),"")</f>
        <v>0</v>
      </c>
      <c r="O244" s="27" t="s">
        <v>437</v>
      </c>
      <c r="P244" s="27" t="str">
        <f>IFERROR(INDEX('Aub Demand'!B:B,MATCH($O244,'Aub Demand'!$A:$A,0)),"")</f>
        <v>ROCKY MOUNTAIN HIGH</v>
      </c>
      <c r="Q244" s="27" t="str">
        <f>IFERROR(INDEX('Aub Demand'!C:C,MATCH($O244,'Aub Demand'!$A:$A,0)),"")</f>
        <v>SUDDE</v>
      </c>
      <c r="R244" s="52">
        <f>IFERROR(IF(AR245=AR244,INDEX('Aub Demand'!K:K,MATCH($O244,'Aub Demand'!$A:$A,0))-IF(AN244="",0,AN244)+AP245,INDEX('Aub Demand'!K:K,MATCH($O244,'Aub Demand'!$A:$A,0))-IF(AN244="",0,AN244)),"")</f>
        <v>999</v>
      </c>
      <c r="S244" s="53">
        <f t="shared" si="84"/>
        <v>95.1</v>
      </c>
      <c r="T244" s="52" t="str">
        <f t="shared" si="85"/>
        <v/>
      </c>
      <c r="U244" s="52">
        <f>IFERROR(IF(AR245=AR244,INDEX('Aub Demand'!Q:Q,MATCH($O244,'Aub Demand'!$A:$A,0))-IF(AN244="",0,AN244)+AP245,INDEX('Aub Demand'!Q:Q,MATCH($O244,'Aub Demand'!$A:$A,0))-IF(AN244="",0,AN244)),"")</f>
        <v>977</v>
      </c>
      <c r="V244" s="53">
        <f t="shared" si="86"/>
        <v>93</v>
      </c>
      <c r="W244" s="52" t="str">
        <f t="shared" si="87"/>
        <v/>
      </c>
      <c r="X244" s="52">
        <f>IFERROR(IF(AND(AR245=AR244,AM244&lt;&gt;""),INDEX('Aub Demand'!Q:Q,MATCH($O244,'Aub Demand'!$A:$A,0))-IF(AN244="",0,AN244)+AP245+AD244+AL244,IF(AR245=AR244,INDEX('Aub Demand'!Q:Q,MATCH($O244,'Aub Demand'!$A:$A,0))-IF(AN244="",0,AN244)+AP245+AD244,IF(AM244&lt;&gt;"",INDEX('Aub Demand'!Q:Q,MATCH($O244,'Aub Demand'!$A:$A,0))-IF(AN244="",0,AN244)+AD244+AL244,INDEX('Aub Demand'!Q:Q,MATCH($O244,'Aub Demand'!$A:$A,0))-IF(AN244="",0,AN244)+AD244))),"")</f>
        <v>977</v>
      </c>
      <c r="Y244" s="53">
        <f t="shared" si="88"/>
        <v>93</v>
      </c>
      <c r="Z244" s="52">
        <f>IF(L244="","",INDEX('Aub Demand'!H:H,MATCH($O244,'Aub Demand'!$A:$A,0)))</f>
        <v>45</v>
      </c>
      <c r="AA244" s="52">
        <f t="shared" si="89"/>
        <v>67</v>
      </c>
      <c r="AB244" s="52">
        <f>IFERROR(INDEX('Aub Demand'!L:L,MATCH($O244,'Aub Demand'!$A:$A,0)),"")</f>
        <v>23</v>
      </c>
      <c r="AC244" s="52">
        <f>IFERROR(IF(O244="","",SUMIFS('CPL Mats'!F:F,'CPL Mats'!Q:Q,AR244,'CPL Mats'!S:S,AS244)),"")</f>
        <v>0</v>
      </c>
      <c r="AF244" s="25" t="str">
        <f>IF(SUMIFS('Supp Consol'!S:S,'Supp Consol'!Y:Y,"Releasable",'Supp Consol'!A:A,O244)=0,"",SUMIFS('Supp Consol'!S:S,'Supp Consol'!Y:Y,"Releasable",'Supp Consol'!A:A,O244))</f>
        <v/>
      </c>
      <c r="AG244" s="25" t="str">
        <f>IFERROR(INDEX('Hun Demand'!Q:Q,MATCH(O244,'Hun Demand'!A:A,0)),"")</f>
        <v/>
      </c>
      <c r="AH244" s="25" t="str">
        <f>IFERROR(INDEX('Hun Demand'!H:H,MATCH($O244,'Hun Demand'!$A:$A,0)),"")</f>
        <v/>
      </c>
      <c r="AI244" s="25" t="str">
        <f>IF(SUMIFS('Supp Consol'!AA:AA,'Supp Consol'!Z:Z,"Expires this month",'Supp Consol'!A:A,O244)=0,"",SUMIFS('Supp Consol'!AA:AA,'Supp Consol'!Z:Z,"Expires this month",'Supp Consol'!A:A,O244))</f>
        <v/>
      </c>
      <c r="AJ244" s="25" t="str">
        <f>IF(SUMIFS('Supp Consol'!AA:AA,'Supp Consol'!Z:Z,"Expired Previous Months",'Supp Consol'!A:A,O244)=0,"",SUMIFS('Supp Consol'!AA:AA,'Supp Consol'!Z:Z,"Expired Previous Months",'Supp Consol'!A:A,O244))</f>
        <v/>
      </c>
      <c r="AK244" s="25" t="str">
        <f>IFERROR(INDEX('Hun Release Current'!B:B,MATCH(O244,'Hun Release Current'!A:A,0)),"")</f>
        <v/>
      </c>
      <c r="AL244" s="25" t="str">
        <f>IF(SUMIF('Prev Aub'!A:A,O244,'Prev Aub'!B:B)=0,"",SUMIF('Prev Aub'!A:A,O244,'Prev Aub'!B:B))</f>
        <v/>
      </c>
      <c r="AN244" s="25" t="s">
        <v>3790</v>
      </c>
      <c r="AO244" s="25" t="s">
        <v>3790</v>
      </c>
      <c r="AP244" s="25">
        <f t="shared" si="90"/>
        <v>0</v>
      </c>
      <c r="AQ244" s="151" t="str">
        <f>IF(SUMIFS('Supp Consol'!S:S,'Supp Consol'!A:A,O244,'Supp Consol'!I:I,"PENDING")=0,"",SUMIFS('Supp Consol'!S:S,'Supp Consol'!A:A,O244,'Supp Consol'!I:I,"PENDING"))</f>
        <v/>
      </c>
      <c r="AR244" s="27" t="str">
        <f t="shared" si="91"/>
        <v>AT161</v>
      </c>
      <c r="AS244" s="27" t="str">
        <f t="shared" si="92"/>
        <v>62</v>
      </c>
      <c r="AT244" s="27" t="str">
        <f t="shared" si="93"/>
        <v/>
      </c>
      <c r="AU244" s="27" t="str">
        <f t="shared" si="94"/>
        <v/>
      </c>
      <c r="AV244" s="27" t="str">
        <f t="shared" si="95"/>
        <v/>
      </c>
      <c r="AW244" s="27" t="str">
        <f t="shared" si="96"/>
        <v/>
      </c>
      <c r="AX244" s="27" t="str">
        <f t="shared" si="97"/>
        <v/>
      </c>
      <c r="AY244" s="27" t="str">
        <f t="shared" si="98"/>
        <v/>
      </c>
      <c r="AZ244" s="27" t="str">
        <f t="shared" si="99"/>
        <v/>
      </c>
      <c r="BA244" s="27" t="str">
        <f t="shared" si="100"/>
        <v/>
      </c>
      <c r="BB244" s="27" t="str">
        <f t="shared" si="101"/>
        <v>Gross</v>
      </c>
      <c r="BC244" s="27" t="str">
        <f t="shared" si="102"/>
        <v>Net</v>
      </c>
      <c r="BD244" s="27" t="str">
        <f t="shared" si="103"/>
        <v>Net</v>
      </c>
      <c r="BE244" s="27" t="str">
        <f t="shared" si="104"/>
        <v/>
      </c>
      <c r="BF244" s="27" t="str">
        <f t="shared" si="105"/>
        <v/>
      </c>
      <c r="BG244" s="27" t="str">
        <f t="shared" si="106"/>
        <v/>
      </c>
      <c r="BH244" s="27" t="str">
        <f t="shared" si="107"/>
        <v/>
      </c>
      <c r="BI244" s="27" t="str">
        <f t="shared" si="108"/>
        <v/>
      </c>
      <c r="BJ244" s="27" t="str">
        <f t="shared" si="109"/>
        <v/>
      </c>
      <c r="BK244" s="27" t="str">
        <f t="shared" si="110"/>
        <v/>
      </c>
      <c r="BL244" s="27" t="str">
        <f t="shared" si="111"/>
        <v/>
      </c>
      <c r="BM244" s="21" t="s">
        <v>5581</v>
      </c>
    </row>
    <row r="245" spans="1:65" ht="15">
      <c r="A245" s="25" t="str">
        <f>IFERROR(INDEX('Hun Demand'!W:W,MATCH(O245,'Hun Demand'!A:A,0)),"")</f>
        <v/>
      </c>
      <c r="B245" s="25" t="str">
        <f>IFERROR(INDEX('Hun Demand'!V:V,MATCH(O245,'Hun Demand'!A:A,0)),"")</f>
        <v/>
      </c>
      <c r="C245" s="25" t="str">
        <f>IFERROR(INDEX('Hun Demand'!U:U,MATCH(O245,'Hun Demand'!A:A,0)),"")</f>
        <v/>
      </c>
      <c r="D245" s="25" t="str">
        <f>IFERROR(INDEX('Hun Demand'!T:T,MATCH(O245,'Hun Demand'!A:A,0)),"")</f>
        <v/>
      </c>
      <c r="E245" s="25" t="str">
        <f>IFERROR(INDEX('Hun Demand'!S:S,MATCH(O245,'Hun Demand'!A:A,0)),"")</f>
        <v/>
      </c>
      <c r="F245" s="25" t="str">
        <f>IFERROR(INDEX('Hun Demand'!R:R,MATCH(O245,'Hun Demand'!A:A,0)),"")</f>
        <v/>
      </c>
      <c r="G245" s="25">
        <f>IFERROR(INDEX('Aub Demand'!W:W,MATCH(O245,'Aub Demand'!A:A,0)),"")</f>
        <v>25</v>
      </c>
      <c r="H245" s="25">
        <f>IFERROR(INDEX('Aub Demand'!V:V,MATCH(O245,'Aub Demand'!A:A,0)),"")</f>
        <v>8</v>
      </c>
      <c r="I245" s="25">
        <f>IFERROR(INDEX('Aub Demand'!U:U,MATCH(O245,'Aub Demand'!A:A,0)),"")</f>
        <v>45</v>
      </c>
      <c r="J245" s="25">
        <f>IFERROR(INDEX('Aub Demand'!T:T,MATCH(O245,'Aub Demand'!A:A,0)),"")</f>
        <v>0</v>
      </c>
      <c r="K245" s="25">
        <f>IFERROR(INDEX('Aub Demand'!S:S,MATCH(O245,'Aub Demand'!A:A,0)),"")</f>
        <v>0</v>
      </c>
      <c r="L245" s="25">
        <f>IFERROR(INDEX('Aub Demand'!R:R,MATCH(O245,'Aub Demand'!A:A,0)),"")</f>
        <v>0</v>
      </c>
      <c r="O245" s="27" t="s">
        <v>438</v>
      </c>
      <c r="P245" s="27" t="str">
        <f>IFERROR(INDEX('Aub Demand'!B:B,MATCH($O245,'Aub Demand'!$A:$A,0)),"")</f>
        <v>AGATHA</v>
      </c>
      <c r="Q245" s="27" t="str">
        <f>IFERROR(INDEX('Aub Demand'!C:C,MATCH($O245,'Aub Demand'!$A:$A,0)),"")</f>
        <v>INTER</v>
      </c>
      <c r="R245" s="52">
        <f>IFERROR(IF(AR246=AR245,INDEX('Aub Demand'!K:K,MATCH($O245,'Aub Demand'!$A:$A,0))-IF(AN245="",0,AN245)+AP246,INDEX('Aub Demand'!K:K,MATCH($O245,'Aub Demand'!$A:$A,0))-IF(AN245="",0,AN245)),"")</f>
        <v>345</v>
      </c>
      <c r="S245" s="53">
        <f t="shared" si="84"/>
        <v>98.6</v>
      </c>
      <c r="T245" s="52" t="str">
        <f t="shared" si="85"/>
        <v/>
      </c>
      <c r="U245" s="52">
        <f>IFERROR(IF(AR246=AR245,INDEX('Aub Demand'!Q:Q,MATCH($O245,'Aub Demand'!$A:$A,0))-IF(AN245="",0,AN245)+AP246,INDEX('Aub Demand'!Q:Q,MATCH($O245,'Aub Demand'!$A:$A,0))-IF(AN245="",0,AN245)),"")</f>
        <v>337</v>
      </c>
      <c r="V245" s="53">
        <f t="shared" si="86"/>
        <v>96.3</v>
      </c>
      <c r="W245" s="52" t="str">
        <f t="shared" si="87"/>
        <v/>
      </c>
      <c r="X245" s="52">
        <f>IFERROR(IF(AND(AR246=AR245,AM245&lt;&gt;""),INDEX('Aub Demand'!Q:Q,MATCH($O245,'Aub Demand'!$A:$A,0))-IF(AN245="",0,AN245)+AP246+AD245+AL245,IF(AR246=AR245,INDEX('Aub Demand'!Q:Q,MATCH($O245,'Aub Demand'!$A:$A,0))-IF(AN245="",0,AN245)+AP246+AD245,IF(AM245&lt;&gt;"",INDEX('Aub Demand'!Q:Q,MATCH($O245,'Aub Demand'!$A:$A,0))-IF(AN245="",0,AN245)+AD245+AL245,INDEX('Aub Demand'!Q:Q,MATCH($O245,'Aub Demand'!$A:$A,0))-IF(AN245="",0,AN245)+AD245))),"")</f>
        <v>337</v>
      </c>
      <c r="Y245" s="53">
        <f t="shared" si="88"/>
        <v>96.3</v>
      </c>
      <c r="Z245" s="52">
        <f>IF(L245="","",INDEX('Aub Demand'!H:H,MATCH($O245,'Aub Demand'!$A:$A,0)))</f>
        <v>15</v>
      </c>
      <c r="AA245" s="52" t="str">
        <f t="shared" si="89"/>
        <v>-spike-</v>
      </c>
      <c r="AB245" s="52">
        <f>IFERROR(INDEX('Aub Demand'!L:L,MATCH($O245,'Aub Demand'!$A:$A,0)),"")</f>
        <v>24</v>
      </c>
      <c r="AC245" s="52">
        <f>IFERROR(IF(O245="","",SUMIFS('CPL Mats'!F:F,'CPL Mats'!Q:Q,AR245,'CPL Mats'!S:S,AS245)),"")</f>
        <v>0</v>
      </c>
      <c r="AF245" s="25" t="str">
        <f>IF(SUMIFS('Supp Consol'!S:S,'Supp Consol'!Y:Y,"Releasable",'Supp Consol'!A:A,O245)=0,"",SUMIFS('Supp Consol'!S:S,'Supp Consol'!Y:Y,"Releasable",'Supp Consol'!A:A,O245))</f>
        <v/>
      </c>
      <c r="AG245" s="25" t="str">
        <f>IFERROR(INDEX('Hun Demand'!Q:Q,MATCH(O245,'Hun Demand'!A:A,0)),"")</f>
        <v/>
      </c>
      <c r="AH245" s="25" t="str">
        <f>IFERROR(INDEX('Hun Demand'!H:H,MATCH($O245,'Hun Demand'!$A:$A,0)),"")</f>
        <v/>
      </c>
      <c r="AI245" s="25" t="str">
        <f>IF(SUMIFS('Supp Consol'!AA:AA,'Supp Consol'!Z:Z,"Expires this month",'Supp Consol'!A:A,O245)=0,"",SUMIFS('Supp Consol'!AA:AA,'Supp Consol'!Z:Z,"Expires this month",'Supp Consol'!A:A,O245))</f>
        <v/>
      </c>
      <c r="AJ245" s="25" t="str">
        <f>IF(SUMIFS('Supp Consol'!AA:AA,'Supp Consol'!Z:Z,"Expired Previous Months",'Supp Consol'!A:A,O245)=0,"",SUMIFS('Supp Consol'!AA:AA,'Supp Consol'!Z:Z,"Expired Previous Months",'Supp Consol'!A:A,O245))</f>
        <v/>
      </c>
      <c r="AK245" s="25" t="str">
        <f>IFERROR(INDEX('Hun Release Current'!B:B,MATCH(O245,'Hun Release Current'!A:A,0)),"")</f>
        <v/>
      </c>
      <c r="AL245" s="25" t="str">
        <f>IF(SUMIF('Prev Aub'!A:A,O245,'Prev Aub'!B:B)=0,"",SUMIF('Prev Aub'!A:A,O245,'Prev Aub'!B:B))</f>
        <v/>
      </c>
      <c r="AN245" s="25" t="s">
        <v>3790</v>
      </c>
      <c r="AO245" s="25" t="s">
        <v>3790</v>
      </c>
      <c r="AP245" s="25">
        <f t="shared" si="90"/>
        <v>0</v>
      </c>
      <c r="AQ245" s="151" t="str">
        <f>IF(SUMIFS('Supp Consol'!S:S,'Supp Consol'!A:A,O245,'Supp Consol'!I:I,"PENDING")=0,"",SUMIFS('Supp Consol'!S:S,'Supp Consol'!A:A,O245,'Supp Consol'!I:I,"PENDING"))</f>
        <v/>
      </c>
      <c r="AR245" s="27" t="str">
        <f t="shared" si="91"/>
        <v>AT181</v>
      </c>
      <c r="AS245" s="27" t="str">
        <f t="shared" si="92"/>
        <v>50</v>
      </c>
      <c r="AT245" s="27" t="str">
        <f t="shared" si="93"/>
        <v/>
      </c>
      <c r="AU245" s="27" t="str">
        <f t="shared" si="94"/>
        <v/>
      </c>
      <c r="AV245" s="27" t="str">
        <f t="shared" si="95"/>
        <v/>
      </c>
      <c r="AW245" s="27" t="str">
        <f t="shared" si="96"/>
        <v/>
      </c>
      <c r="AX245" s="27" t="str">
        <f t="shared" si="97"/>
        <v/>
      </c>
      <c r="AY245" s="27" t="str">
        <f t="shared" si="98"/>
        <v/>
      </c>
      <c r="AZ245" s="27" t="str">
        <f t="shared" si="99"/>
        <v/>
      </c>
      <c r="BA245" s="27" t="str">
        <f t="shared" si="100"/>
        <v/>
      </c>
      <c r="BB245" s="27" t="str">
        <f t="shared" si="101"/>
        <v/>
      </c>
      <c r="BC245" s="27" t="str">
        <f t="shared" si="102"/>
        <v/>
      </c>
      <c r="BD245" s="27" t="str">
        <f t="shared" si="103"/>
        <v/>
      </c>
      <c r="BE245" s="27" t="str">
        <f t="shared" si="104"/>
        <v/>
      </c>
      <c r="BF245" s="27" t="str">
        <f t="shared" si="105"/>
        <v/>
      </c>
      <c r="BG245" s="27" t="str">
        <f t="shared" si="106"/>
        <v/>
      </c>
      <c r="BH245" s="27" t="str">
        <f t="shared" si="107"/>
        <v/>
      </c>
      <c r="BI245" s="27" t="str">
        <f t="shared" si="108"/>
        <v/>
      </c>
      <c r="BJ245" s="27" t="str">
        <f t="shared" si="109"/>
        <v/>
      </c>
      <c r="BK245" s="27" t="str">
        <f t="shared" si="110"/>
        <v/>
      </c>
      <c r="BL245" s="27" t="str">
        <f t="shared" si="111"/>
        <v/>
      </c>
      <c r="BM245" s="21" t="s">
        <v>5581</v>
      </c>
    </row>
    <row r="246" spans="1:65" ht="15">
      <c r="A246" s="25" t="str">
        <f>IFERROR(INDEX('Hun Demand'!W:W,MATCH(O246,'Hun Demand'!A:A,0)),"")</f>
        <v/>
      </c>
      <c r="B246" s="25" t="str">
        <f>IFERROR(INDEX('Hun Demand'!V:V,MATCH(O246,'Hun Demand'!A:A,0)),"")</f>
        <v/>
      </c>
      <c r="C246" s="25" t="str">
        <f>IFERROR(INDEX('Hun Demand'!U:U,MATCH(O246,'Hun Demand'!A:A,0)),"")</f>
        <v/>
      </c>
      <c r="D246" s="25" t="str">
        <f>IFERROR(INDEX('Hun Demand'!T:T,MATCH(O246,'Hun Demand'!A:A,0)),"")</f>
        <v/>
      </c>
      <c r="E246" s="25" t="str">
        <f>IFERROR(INDEX('Hun Demand'!S:S,MATCH(O246,'Hun Demand'!A:A,0)),"")</f>
        <v/>
      </c>
      <c r="F246" s="25" t="str">
        <f>IFERROR(INDEX('Hun Demand'!R:R,MATCH(O246,'Hun Demand'!A:A,0)),"")</f>
        <v/>
      </c>
      <c r="G246" s="25">
        <f>IFERROR(INDEX('Aub Demand'!W:W,MATCH(O246,'Aub Demand'!A:A,0)),"")</f>
        <v>36</v>
      </c>
      <c r="H246" s="25">
        <f>IFERROR(INDEX('Aub Demand'!V:V,MATCH(O246,'Aub Demand'!A:A,0)),"")</f>
        <v>22</v>
      </c>
      <c r="I246" s="25">
        <f>IFERROR(INDEX('Aub Demand'!U:U,MATCH(O246,'Aub Demand'!A:A,0)),"")</f>
        <v>65</v>
      </c>
      <c r="J246" s="25">
        <f>IFERROR(INDEX('Aub Demand'!T:T,MATCH(O246,'Aub Demand'!A:A,0)),"")</f>
        <v>11</v>
      </c>
      <c r="K246" s="25">
        <f>IFERROR(INDEX('Aub Demand'!S:S,MATCH(O246,'Aub Demand'!A:A,0)),"")</f>
        <v>0</v>
      </c>
      <c r="L246" s="25">
        <f>IFERROR(INDEX('Aub Demand'!R:R,MATCH(O246,'Aub Demand'!A:A,0)),"")</f>
        <v>0</v>
      </c>
      <c r="O246" s="27" t="s">
        <v>440</v>
      </c>
      <c r="P246" s="27" t="str">
        <f>IFERROR(INDEX('Aub Demand'!B:B,MATCH($O246,'Aub Demand'!$A:$A,0)),"")</f>
        <v>AGATHA</v>
      </c>
      <c r="Q246" s="27" t="str">
        <f>IFERROR(INDEX('Aub Demand'!C:C,MATCH($O246,'Aub Demand'!$A:$A,0)),"")</f>
        <v>INTER</v>
      </c>
      <c r="R246" s="52">
        <f>IFERROR(IF(AR247=AR246,INDEX('Aub Demand'!K:K,MATCH($O246,'Aub Demand'!$A:$A,0))-IF(AN246="",0,AN246)+AP247,INDEX('Aub Demand'!K:K,MATCH($O246,'Aub Demand'!$A:$A,0))-IF(AN246="",0,AN246)),"")</f>
        <v>1401</v>
      </c>
      <c r="S246" s="53">
        <f t="shared" si="84"/>
        <v>240.2</v>
      </c>
      <c r="T246" s="52" t="str">
        <f t="shared" si="85"/>
        <v/>
      </c>
      <c r="U246" s="52">
        <f>IFERROR(IF(AR247=AR246,INDEX('Aub Demand'!Q:Q,MATCH($O246,'Aub Demand'!$A:$A,0))-IF(AN246="",0,AN246)+AP247,INDEX('Aub Demand'!Q:Q,MATCH($O246,'Aub Demand'!$A:$A,0))-IF(AN246="",0,AN246)),"")</f>
        <v>1395</v>
      </c>
      <c r="V246" s="53">
        <f t="shared" si="86"/>
        <v>239.1</v>
      </c>
      <c r="W246" s="52" t="str">
        <f t="shared" si="87"/>
        <v/>
      </c>
      <c r="X246" s="52">
        <f>IFERROR(IF(AND(AR247=AR246,AM246&lt;&gt;""),INDEX('Aub Demand'!Q:Q,MATCH($O246,'Aub Demand'!$A:$A,0))-IF(AN246="",0,AN246)+AP247+AD246+AL246,IF(AR247=AR246,INDEX('Aub Demand'!Q:Q,MATCH($O246,'Aub Demand'!$A:$A,0))-IF(AN246="",0,AN246)+AP247+AD246,IF(AM246&lt;&gt;"",INDEX('Aub Demand'!Q:Q,MATCH($O246,'Aub Demand'!$A:$A,0))-IF(AN246="",0,AN246)+AD246+AL246,INDEX('Aub Demand'!Q:Q,MATCH($O246,'Aub Demand'!$A:$A,0))-IF(AN246="",0,AN246)+AD246))),"")</f>
        <v>1395</v>
      </c>
      <c r="Y246" s="53">
        <f t="shared" si="88"/>
        <v>239.1</v>
      </c>
      <c r="Z246" s="52">
        <f>IF(L246="","",INDEX('Aub Demand'!H:H,MATCH($O246,'Aub Demand'!$A:$A,0)))</f>
        <v>25</v>
      </c>
      <c r="AA246" s="52">
        <f t="shared" si="89"/>
        <v>38</v>
      </c>
      <c r="AB246" s="52">
        <f>IFERROR(INDEX('Aub Demand'!L:L,MATCH($O246,'Aub Demand'!$A:$A,0)),"")</f>
        <v>27</v>
      </c>
      <c r="AC246" s="52">
        <f>IFERROR(IF(O246="","",SUMIFS('CPL Mats'!F:F,'CPL Mats'!Q:Q,AR246,'CPL Mats'!S:S,AS246)),"")</f>
        <v>0</v>
      </c>
      <c r="AF246" s="25" t="str">
        <f>IF(SUMIFS('Supp Consol'!S:S,'Supp Consol'!Y:Y,"Releasable",'Supp Consol'!A:A,O246)=0,"",SUMIFS('Supp Consol'!S:S,'Supp Consol'!Y:Y,"Releasable",'Supp Consol'!A:A,O246))</f>
        <v/>
      </c>
      <c r="AG246" s="25" t="str">
        <f>IFERROR(INDEX('Hun Demand'!Q:Q,MATCH(O246,'Hun Demand'!A:A,0)),"")</f>
        <v/>
      </c>
      <c r="AH246" s="25" t="str">
        <f>IFERROR(INDEX('Hun Demand'!H:H,MATCH($O246,'Hun Demand'!$A:$A,0)),"")</f>
        <v/>
      </c>
      <c r="AI246" s="25" t="str">
        <f>IF(SUMIFS('Supp Consol'!AA:AA,'Supp Consol'!Z:Z,"Expires this month",'Supp Consol'!A:A,O246)=0,"",SUMIFS('Supp Consol'!AA:AA,'Supp Consol'!Z:Z,"Expires this month",'Supp Consol'!A:A,O246))</f>
        <v/>
      </c>
      <c r="AJ246" s="25" t="str">
        <f>IF(SUMIFS('Supp Consol'!AA:AA,'Supp Consol'!Z:Z,"Expired Previous Months",'Supp Consol'!A:A,O246)=0,"",SUMIFS('Supp Consol'!AA:AA,'Supp Consol'!Z:Z,"Expired Previous Months",'Supp Consol'!A:A,O246))</f>
        <v/>
      </c>
      <c r="AK246" s="25" t="str">
        <f>IFERROR(INDEX('Hun Release Current'!B:B,MATCH(O246,'Hun Release Current'!A:A,0)),"")</f>
        <v/>
      </c>
      <c r="AL246" s="25" t="str">
        <f>IF(SUMIF('Prev Aub'!A:A,O246,'Prev Aub'!B:B)=0,"",SUMIF('Prev Aub'!A:A,O246,'Prev Aub'!B:B))</f>
        <v/>
      </c>
      <c r="AN246" s="25" t="s">
        <v>3790</v>
      </c>
      <c r="AO246" s="25" t="s">
        <v>3790</v>
      </c>
      <c r="AP246" s="25">
        <f t="shared" si="90"/>
        <v>0</v>
      </c>
      <c r="AQ246" s="151" t="str">
        <f>IF(SUMIFS('Supp Consol'!S:S,'Supp Consol'!A:A,O246,'Supp Consol'!I:I,"PENDING")=0,"",SUMIFS('Supp Consol'!S:S,'Supp Consol'!A:A,O246,'Supp Consol'!I:I,"PENDING"))</f>
        <v/>
      </c>
      <c r="AR246" s="27" t="str">
        <f t="shared" si="91"/>
        <v>AT181</v>
      </c>
      <c r="AS246" s="27" t="str">
        <f t="shared" si="92"/>
        <v>62</v>
      </c>
      <c r="AT246" s="27" t="str">
        <f t="shared" si="93"/>
        <v/>
      </c>
      <c r="AU246" s="27" t="str">
        <f t="shared" si="94"/>
        <v/>
      </c>
      <c r="AV246" s="27" t="str">
        <f t="shared" si="95"/>
        <v/>
      </c>
      <c r="AW246" s="27" t="str">
        <f t="shared" si="96"/>
        <v/>
      </c>
      <c r="AX246" s="27" t="str">
        <f t="shared" si="97"/>
        <v/>
      </c>
      <c r="AY246" s="27" t="str">
        <f t="shared" si="98"/>
        <v/>
      </c>
      <c r="AZ246" s="27" t="str">
        <f t="shared" si="99"/>
        <v/>
      </c>
      <c r="BA246" s="27" t="str">
        <f t="shared" si="100"/>
        <v/>
      </c>
      <c r="BB246" s="27" t="str">
        <f t="shared" si="101"/>
        <v/>
      </c>
      <c r="BC246" s="27" t="str">
        <f t="shared" si="102"/>
        <v/>
      </c>
      <c r="BD246" s="27" t="str">
        <f t="shared" si="103"/>
        <v/>
      </c>
      <c r="BE246" s="27" t="str">
        <f t="shared" si="104"/>
        <v/>
      </c>
      <c r="BF246" s="27" t="str">
        <f t="shared" si="105"/>
        <v/>
      </c>
      <c r="BG246" s="27" t="str">
        <f t="shared" si="106"/>
        <v/>
      </c>
      <c r="BH246" s="27" t="str">
        <f t="shared" si="107"/>
        <v/>
      </c>
      <c r="BI246" s="27" t="str">
        <f t="shared" si="108"/>
        <v/>
      </c>
      <c r="BJ246" s="27" t="str">
        <f t="shared" si="109"/>
        <v/>
      </c>
      <c r="BK246" s="27" t="str">
        <f t="shared" si="110"/>
        <v/>
      </c>
      <c r="BL246" s="27" t="str">
        <f t="shared" si="111"/>
        <v/>
      </c>
      <c r="BM246" s="21" t="s">
        <v>5581</v>
      </c>
    </row>
    <row r="247" spans="1:65" ht="15">
      <c r="A247" s="25" t="str">
        <f>IFERROR(INDEX('Hun Demand'!W:W,MATCH(O247,'Hun Demand'!A:A,0)),"")</f>
        <v/>
      </c>
      <c r="B247" s="25" t="str">
        <f>IFERROR(INDEX('Hun Demand'!V:V,MATCH(O247,'Hun Demand'!A:A,0)),"")</f>
        <v/>
      </c>
      <c r="C247" s="25" t="str">
        <f>IFERROR(INDEX('Hun Demand'!U:U,MATCH(O247,'Hun Demand'!A:A,0)),"")</f>
        <v/>
      </c>
      <c r="D247" s="25" t="str">
        <f>IFERROR(INDEX('Hun Demand'!T:T,MATCH(O247,'Hun Demand'!A:A,0)),"")</f>
        <v/>
      </c>
      <c r="E247" s="25" t="str">
        <f>IFERROR(INDEX('Hun Demand'!S:S,MATCH(O247,'Hun Demand'!A:A,0)),"")</f>
        <v/>
      </c>
      <c r="F247" s="25" t="str">
        <f>IFERROR(INDEX('Hun Demand'!R:R,MATCH(O247,'Hun Demand'!A:A,0)),"")</f>
        <v/>
      </c>
      <c r="G247" s="25">
        <f>IFERROR(INDEX('Aub Demand'!W:W,MATCH(O247,'Aub Demand'!A:A,0)),"")</f>
        <v>0</v>
      </c>
      <c r="H247" s="25">
        <f>IFERROR(INDEX('Aub Demand'!V:V,MATCH(O247,'Aub Demand'!A:A,0)),"")</f>
        <v>0</v>
      </c>
      <c r="I247" s="25">
        <f>IFERROR(INDEX('Aub Demand'!U:U,MATCH(O247,'Aub Demand'!A:A,0)),"")</f>
        <v>18</v>
      </c>
      <c r="J247" s="25">
        <f>IFERROR(INDEX('Aub Demand'!T:T,MATCH(O247,'Aub Demand'!A:A,0)),"")</f>
        <v>25</v>
      </c>
      <c r="K247" s="25">
        <f>IFERROR(INDEX('Aub Demand'!S:S,MATCH(O247,'Aub Demand'!A:A,0)),"")</f>
        <v>0</v>
      </c>
      <c r="L247" s="25">
        <f>IFERROR(INDEX('Aub Demand'!R:R,MATCH(O247,'Aub Demand'!A:A,0)),"")</f>
        <v>0</v>
      </c>
      <c r="O247" s="27" t="s">
        <v>441</v>
      </c>
      <c r="P247" s="27" t="str">
        <f>IFERROR(INDEX('Aub Demand'!B:B,MATCH($O247,'Aub Demand'!$A:$A,0)),"")</f>
        <v>VIOLA</v>
      </c>
      <c r="Q247" s="27" t="str">
        <f>IFERROR(INDEX('Aub Demand'!C:C,MATCH($O247,'Aub Demand'!$A:$A,0)),"")</f>
        <v>INTER</v>
      </c>
      <c r="R247" s="52">
        <f>IFERROR(IF(AR248=AR247,INDEX('Aub Demand'!K:K,MATCH($O247,'Aub Demand'!$A:$A,0))-IF(AN247="",0,AN247)+AP248,INDEX('Aub Demand'!K:K,MATCH($O247,'Aub Demand'!$A:$A,0))-IF(AN247="",0,AN247)),"")</f>
        <v>508</v>
      </c>
      <c r="S247" s="53">
        <f t="shared" si="84"/>
        <v>155.5</v>
      </c>
      <c r="T247" s="52" t="str">
        <f t="shared" si="85"/>
        <v/>
      </c>
      <c r="U247" s="52">
        <f>IFERROR(IF(AR248=AR247,INDEX('Aub Demand'!Q:Q,MATCH($O247,'Aub Demand'!$A:$A,0))-IF(AN247="",0,AN247)+AP248,INDEX('Aub Demand'!Q:Q,MATCH($O247,'Aub Demand'!$A:$A,0))-IF(AN247="",0,AN247)),"")</f>
        <v>502</v>
      </c>
      <c r="V247" s="53">
        <f t="shared" si="86"/>
        <v>153.69999999999999</v>
      </c>
      <c r="W247" s="52" t="str">
        <f t="shared" si="87"/>
        <v/>
      </c>
      <c r="X247" s="52">
        <f>IFERROR(IF(AND(AR248=AR247,AM247&lt;&gt;""),INDEX('Aub Demand'!Q:Q,MATCH($O247,'Aub Demand'!$A:$A,0))-IF(AN247="",0,AN247)+AP248+AD247+AL247,IF(AR248=AR247,INDEX('Aub Demand'!Q:Q,MATCH($O247,'Aub Demand'!$A:$A,0))-IF(AN247="",0,AN247)+AP248+AD247,IF(AM247&lt;&gt;"",INDEX('Aub Demand'!Q:Q,MATCH($O247,'Aub Demand'!$A:$A,0))-IF(AN247="",0,AN247)+AD247+AL247,INDEX('Aub Demand'!Q:Q,MATCH($O247,'Aub Demand'!$A:$A,0))-IF(AN247="",0,AN247)+AD247))),"")</f>
        <v>502</v>
      </c>
      <c r="Y247" s="53">
        <f t="shared" si="88"/>
        <v>153.69999999999999</v>
      </c>
      <c r="Z247" s="52">
        <f>IF(L247="","",INDEX('Aub Demand'!H:H,MATCH($O247,'Aub Demand'!$A:$A,0)))</f>
        <v>14</v>
      </c>
      <c r="AA247" s="52">
        <f t="shared" si="89"/>
        <v>21.5</v>
      </c>
      <c r="AB247" s="52">
        <f>IFERROR(INDEX('Aub Demand'!L:L,MATCH($O247,'Aub Demand'!$A:$A,0)),"")</f>
        <v>10</v>
      </c>
      <c r="AC247" s="52">
        <f>IFERROR(IF(O247="","",SUMIFS('CPL Mats'!F:F,'CPL Mats'!Q:Q,AR247,'CPL Mats'!S:S,AS247)),"")</f>
        <v>0</v>
      </c>
      <c r="AF247" s="25" t="str">
        <f>IF(SUMIFS('Supp Consol'!S:S,'Supp Consol'!Y:Y,"Releasable",'Supp Consol'!A:A,O247)=0,"",SUMIFS('Supp Consol'!S:S,'Supp Consol'!Y:Y,"Releasable",'Supp Consol'!A:A,O247))</f>
        <v/>
      </c>
      <c r="AG247" s="25" t="str">
        <f>IFERROR(INDEX('Hun Demand'!Q:Q,MATCH(O247,'Hun Demand'!A:A,0)),"")</f>
        <v/>
      </c>
      <c r="AH247" s="25" t="str">
        <f>IFERROR(INDEX('Hun Demand'!H:H,MATCH($O247,'Hun Demand'!$A:$A,0)),"")</f>
        <v/>
      </c>
      <c r="AI247" s="25" t="str">
        <f>IF(SUMIFS('Supp Consol'!AA:AA,'Supp Consol'!Z:Z,"Expires this month",'Supp Consol'!A:A,O247)=0,"",SUMIFS('Supp Consol'!AA:AA,'Supp Consol'!Z:Z,"Expires this month",'Supp Consol'!A:A,O247))</f>
        <v/>
      </c>
      <c r="AJ247" s="25" t="str">
        <f>IF(SUMIFS('Supp Consol'!AA:AA,'Supp Consol'!Z:Z,"Expired Previous Months",'Supp Consol'!A:A,O247)=0,"",SUMIFS('Supp Consol'!AA:AA,'Supp Consol'!Z:Z,"Expired Previous Months",'Supp Consol'!A:A,O247))</f>
        <v/>
      </c>
      <c r="AK247" s="25" t="str">
        <f>IFERROR(INDEX('Hun Release Current'!B:B,MATCH(O247,'Hun Release Current'!A:A,0)),"")</f>
        <v/>
      </c>
      <c r="AL247" s="25" t="str">
        <f>IF(SUMIF('Prev Aub'!A:A,O247,'Prev Aub'!B:B)=0,"",SUMIF('Prev Aub'!A:A,O247,'Prev Aub'!B:B))</f>
        <v/>
      </c>
      <c r="AN247" s="25" t="s">
        <v>3790</v>
      </c>
      <c r="AO247" s="25" t="s">
        <v>3790</v>
      </c>
      <c r="AP247" s="25">
        <f t="shared" si="90"/>
        <v>0</v>
      </c>
      <c r="AQ247" s="151" t="str">
        <f>IF(SUMIFS('Supp Consol'!S:S,'Supp Consol'!A:A,O247,'Supp Consol'!I:I,"PENDING")=0,"",SUMIFS('Supp Consol'!S:S,'Supp Consol'!A:A,O247,'Supp Consol'!I:I,"PENDING"))</f>
        <v/>
      </c>
      <c r="AR247" s="27" t="str">
        <f t="shared" si="91"/>
        <v>AT191</v>
      </c>
      <c r="AS247" s="27" t="str">
        <f t="shared" si="92"/>
        <v>50</v>
      </c>
      <c r="AT247" s="27" t="str">
        <f t="shared" si="93"/>
        <v/>
      </c>
      <c r="AU247" s="27" t="str">
        <f t="shared" si="94"/>
        <v/>
      </c>
      <c r="AV247" s="27" t="str">
        <f t="shared" si="95"/>
        <v/>
      </c>
      <c r="AW247" s="27" t="str">
        <f t="shared" si="96"/>
        <v/>
      </c>
      <c r="AX247" s="27" t="str">
        <f t="shared" si="97"/>
        <v/>
      </c>
      <c r="AY247" s="27" t="str">
        <f t="shared" si="98"/>
        <v/>
      </c>
      <c r="AZ247" s="27" t="str">
        <f t="shared" si="99"/>
        <v/>
      </c>
      <c r="BA247" s="27" t="str">
        <f t="shared" si="100"/>
        <v/>
      </c>
      <c r="BB247" s="27" t="str">
        <f t="shared" si="101"/>
        <v/>
      </c>
      <c r="BC247" s="27" t="str">
        <f t="shared" si="102"/>
        <v/>
      </c>
      <c r="BD247" s="27" t="str">
        <f t="shared" si="103"/>
        <v/>
      </c>
      <c r="BE247" s="27" t="str">
        <f t="shared" si="104"/>
        <v/>
      </c>
      <c r="BF247" s="27" t="str">
        <f t="shared" si="105"/>
        <v/>
      </c>
      <c r="BG247" s="27" t="str">
        <f t="shared" si="106"/>
        <v/>
      </c>
      <c r="BH247" s="27" t="str">
        <f t="shared" si="107"/>
        <v/>
      </c>
      <c r="BI247" s="27" t="str">
        <f t="shared" si="108"/>
        <v/>
      </c>
      <c r="BJ247" s="27" t="str">
        <f t="shared" si="109"/>
        <v/>
      </c>
      <c r="BK247" s="27" t="str">
        <f t="shared" si="110"/>
        <v/>
      </c>
      <c r="BL247" s="27" t="str">
        <f t="shared" si="111"/>
        <v/>
      </c>
      <c r="BM247" s="21" t="s">
        <v>5581</v>
      </c>
    </row>
    <row r="248" spans="1:65" ht="15">
      <c r="A248" s="25" t="str">
        <f>IFERROR(INDEX('Hun Demand'!W:W,MATCH(O248,'Hun Demand'!A:A,0)),"")</f>
        <v/>
      </c>
      <c r="B248" s="25" t="str">
        <f>IFERROR(INDEX('Hun Demand'!V:V,MATCH(O248,'Hun Demand'!A:A,0)),"")</f>
        <v/>
      </c>
      <c r="C248" s="25" t="str">
        <f>IFERROR(INDEX('Hun Demand'!U:U,MATCH(O248,'Hun Demand'!A:A,0)),"")</f>
        <v/>
      </c>
      <c r="D248" s="25" t="str">
        <f>IFERROR(INDEX('Hun Demand'!T:T,MATCH(O248,'Hun Demand'!A:A,0)),"")</f>
        <v/>
      </c>
      <c r="E248" s="25" t="str">
        <f>IFERROR(INDEX('Hun Demand'!S:S,MATCH(O248,'Hun Demand'!A:A,0)),"")</f>
        <v/>
      </c>
      <c r="F248" s="25" t="str">
        <f>IFERROR(INDEX('Hun Demand'!R:R,MATCH(O248,'Hun Demand'!A:A,0)),"")</f>
        <v/>
      </c>
      <c r="G248" s="25">
        <f>IFERROR(INDEX('Aub Demand'!W:W,MATCH(O248,'Aub Demand'!A:A,0)),"")</f>
        <v>1</v>
      </c>
      <c r="H248" s="25">
        <f>IFERROR(INDEX('Aub Demand'!V:V,MATCH(O248,'Aub Demand'!A:A,0)),"")</f>
        <v>5</v>
      </c>
      <c r="I248" s="25">
        <f>IFERROR(INDEX('Aub Demand'!U:U,MATCH(O248,'Aub Demand'!A:A,0)),"")</f>
        <v>10</v>
      </c>
      <c r="J248" s="25">
        <f>IFERROR(INDEX('Aub Demand'!T:T,MATCH(O248,'Aub Demand'!A:A,0)),"")</f>
        <v>17</v>
      </c>
      <c r="K248" s="25">
        <f>IFERROR(INDEX('Aub Demand'!S:S,MATCH(O248,'Aub Demand'!A:A,0)),"")</f>
        <v>0</v>
      </c>
      <c r="L248" s="25">
        <f>IFERROR(INDEX('Aub Demand'!R:R,MATCH(O248,'Aub Demand'!A:A,0)),"")</f>
        <v>0</v>
      </c>
      <c r="O248" s="27" t="s">
        <v>443</v>
      </c>
      <c r="P248" s="27" t="str">
        <f>IFERROR(INDEX('Aub Demand'!B:B,MATCH($O248,'Aub Demand'!$A:$A,0)),"")</f>
        <v>VIOLA</v>
      </c>
      <c r="Q248" s="27" t="str">
        <f>IFERROR(INDEX('Aub Demand'!C:C,MATCH($O248,'Aub Demand'!$A:$A,0)),"")</f>
        <v>INTER</v>
      </c>
      <c r="R248" s="52">
        <f>IFERROR(IF(AR249=AR248,INDEX('Aub Demand'!K:K,MATCH($O248,'Aub Demand'!$A:$A,0))-IF(AN248="",0,AN248)+AP249,INDEX('Aub Demand'!K:K,MATCH($O248,'Aub Demand'!$A:$A,0))-IF(AN248="",0,AN248)),"")</f>
        <v>2227</v>
      </c>
      <c r="S248" s="53">
        <f t="shared" si="84"/>
        <v>1060.5</v>
      </c>
      <c r="T248" s="52" t="str">
        <f t="shared" si="85"/>
        <v/>
      </c>
      <c r="U248" s="52">
        <f>IFERROR(IF(AR249=AR248,INDEX('Aub Demand'!Q:Q,MATCH($O248,'Aub Demand'!$A:$A,0))-IF(AN248="",0,AN248)+AP249,INDEX('Aub Demand'!Q:Q,MATCH($O248,'Aub Demand'!$A:$A,0))-IF(AN248="",0,AN248)),"")</f>
        <v>2226</v>
      </c>
      <c r="V248" s="53">
        <f t="shared" si="86"/>
        <v>1060</v>
      </c>
      <c r="W248" s="52" t="str">
        <f t="shared" si="87"/>
        <v/>
      </c>
      <c r="X248" s="52">
        <f>IFERROR(IF(AND(AR249=AR248,AM248&lt;&gt;""),INDEX('Aub Demand'!Q:Q,MATCH($O248,'Aub Demand'!$A:$A,0))-IF(AN248="",0,AN248)+AP249+AD248+AL248,IF(AR249=AR248,INDEX('Aub Demand'!Q:Q,MATCH($O248,'Aub Demand'!$A:$A,0))-IF(AN248="",0,AN248)+AP249+AD248,IF(AM248&lt;&gt;"",INDEX('Aub Demand'!Q:Q,MATCH($O248,'Aub Demand'!$A:$A,0))-IF(AN248="",0,AN248)+AD248+AL248,INDEX('Aub Demand'!Q:Q,MATCH($O248,'Aub Demand'!$A:$A,0))-IF(AN248="",0,AN248)+AD248))),"")</f>
        <v>2226</v>
      </c>
      <c r="Y248" s="53">
        <f t="shared" si="88"/>
        <v>1060</v>
      </c>
      <c r="Z248" s="52">
        <f>IF(L248="","",INDEX('Aub Demand'!H:H,MATCH($O248,'Aub Demand'!$A:$A,0)))</f>
        <v>9</v>
      </c>
      <c r="AA248" s="52">
        <f t="shared" si="89"/>
        <v>13.5</v>
      </c>
      <c r="AB248" s="52">
        <f>IFERROR(INDEX('Aub Demand'!L:L,MATCH($O248,'Aub Demand'!$A:$A,0)),"")</f>
        <v>0</v>
      </c>
      <c r="AC248" s="52">
        <f>IFERROR(IF(O248="","",SUMIFS('CPL Mats'!F:F,'CPL Mats'!Q:Q,AR248,'CPL Mats'!S:S,AS248)),"")</f>
        <v>0</v>
      </c>
      <c r="AF248" s="25" t="str">
        <f>IF(SUMIFS('Supp Consol'!S:S,'Supp Consol'!Y:Y,"Releasable",'Supp Consol'!A:A,O248)=0,"",SUMIFS('Supp Consol'!S:S,'Supp Consol'!Y:Y,"Releasable",'Supp Consol'!A:A,O248))</f>
        <v/>
      </c>
      <c r="AG248" s="25" t="str">
        <f>IFERROR(INDEX('Hun Demand'!Q:Q,MATCH(O248,'Hun Demand'!A:A,0)),"")</f>
        <v/>
      </c>
      <c r="AH248" s="25" t="str">
        <f>IFERROR(INDEX('Hun Demand'!H:H,MATCH($O248,'Hun Demand'!$A:$A,0)),"")</f>
        <v/>
      </c>
      <c r="AI248" s="25" t="str">
        <f>IF(SUMIFS('Supp Consol'!AA:AA,'Supp Consol'!Z:Z,"Expires this month",'Supp Consol'!A:A,O248)=0,"",SUMIFS('Supp Consol'!AA:AA,'Supp Consol'!Z:Z,"Expires this month",'Supp Consol'!A:A,O248))</f>
        <v/>
      </c>
      <c r="AJ248" s="25" t="str">
        <f>IF(SUMIFS('Supp Consol'!AA:AA,'Supp Consol'!Z:Z,"Expired Previous Months",'Supp Consol'!A:A,O248)=0,"",SUMIFS('Supp Consol'!AA:AA,'Supp Consol'!Z:Z,"Expired Previous Months",'Supp Consol'!A:A,O248))</f>
        <v/>
      </c>
      <c r="AK248" s="25" t="str">
        <f>IFERROR(INDEX('Hun Release Current'!B:B,MATCH(O248,'Hun Release Current'!A:A,0)),"")</f>
        <v/>
      </c>
      <c r="AL248" s="25" t="str">
        <f>IF(SUMIF('Prev Aub'!A:A,O248,'Prev Aub'!B:B)=0,"",SUMIF('Prev Aub'!A:A,O248,'Prev Aub'!B:B))</f>
        <v/>
      </c>
      <c r="AN248" s="25" t="s">
        <v>3790</v>
      </c>
      <c r="AO248" s="25" t="s">
        <v>3790</v>
      </c>
      <c r="AP248" s="25">
        <f t="shared" si="90"/>
        <v>0</v>
      </c>
      <c r="AQ248" s="151" t="str">
        <f>IF(SUMIFS('Supp Consol'!S:S,'Supp Consol'!A:A,O248,'Supp Consol'!I:I,"PENDING")=0,"",SUMIFS('Supp Consol'!S:S,'Supp Consol'!A:A,O248,'Supp Consol'!I:I,"PENDING"))</f>
        <v/>
      </c>
      <c r="AR248" s="27" t="str">
        <f t="shared" si="91"/>
        <v>AT191</v>
      </c>
      <c r="AS248" s="27" t="str">
        <f t="shared" si="92"/>
        <v>62</v>
      </c>
      <c r="AT248" s="27" t="str">
        <f t="shared" si="93"/>
        <v/>
      </c>
      <c r="AU248" s="27" t="str">
        <f t="shared" si="94"/>
        <v/>
      </c>
      <c r="AV248" s="27" t="str">
        <f t="shared" si="95"/>
        <v/>
      </c>
      <c r="AW248" s="27" t="str">
        <f t="shared" si="96"/>
        <v/>
      </c>
      <c r="AX248" s="27" t="str">
        <f t="shared" si="97"/>
        <v/>
      </c>
      <c r="AY248" s="27" t="str">
        <f t="shared" si="98"/>
        <v/>
      </c>
      <c r="AZ248" s="27" t="str">
        <f t="shared" si="99"/>
        <v/>
      </c>
      <c r="BA248" s="27" t="str">
        <f t="shared" si="100"/>
        <v/>
      </c>
      <c r="BB248" s="27" t="str">
        <f t="shared" si="101"/>
        <v/>
      </c>
      <c r="BC248" s="27" t="str">
        <f t="shared" si="102"/>
        <v/>
      </c>
      <c r="BD248" s="27" t="str">
        <f t="shared" si="103"/>
        <v/>
      </c>
      <c r="BE248" s="27" t="str">
        <f t="shared" si="104"/>
        <v/>
      </c>
      <c r="BF248" s="27" t="str">
        <f t="shared" si="105"/>
        <v/>
      </c>
      <c r="BG248" s="27" t="str">
        <f t="shared" si="106"/>
        <v/>
      </c>
      <c r="BH248" s="27" t="str">
        <f t="shared" si="107"/>
        <v/>
      </c>
      <c r="BI248" s="27" t="str">
        <f t="shared" si="108"/>
        <v/>
      </c>
      <c r="BJ248" s="27" t="str">
        <f t="shared" si="109"/>
        <v/>
      </c>
      <c r="BK248" s="27" t="str">
        <f t="shared" si="110"/>
        <v/>
      </c>
      <c r="BL248" s="27" t="str">
        <f t="shared" si="111"/>
        <v/>
      </c>
      <c r="BM248" s="21" t="s">
        <v>5581</v>
      </c>
    </row>
    <row r="249" spans="1:65" ht="15">
      <c r="A249" s="25" t="str">
        <f>IFERROR(INDEX('Hun Demand'!W:W,MATCH(O249,'Hun Demand'!A:A,0)),"")</f>
        <v/>
      </c>
      <c r="B249" s="25" t="str">
        <f>IFERROR(INDEX('Hun Demand'!V:V,MATCH(O249,'Hun Demand'!A:A,0)),"")</f>
        <v/>
      </c>
      <c r="C249" s="25" t="str">
        <f>IFERROR(INDEX('Hun Demand'!U:U,MATCH(O249,'Hun Demand'!A:A,0)),"")</f>
        <v/>
      </c>
      <c r="D249" s="25" t="str">
        <f>IFERROR(INDEX('Hun Demand'!T:T,MATCH(O249,'Hun Demand'!A:A,0)),"")</f>
        <v/>
      </c>
      <c r="E249" s="25" t="str">
        <f>IFERROR(INDEX('Hun Demand'!S:S,MATCH(O249,'Hun Demand'!A:A,0)),"")</f>
        <v/>
      </c>
      <c r="F249" s="25" t="str">
        <f>IFERROR(INDEX('Hun Demand'!R:R,MATCH(O249,'Hun Demand'!A:A,0)),"")</f>
        <v/>
      </c>
      <c r="G249" s="25">
        <f>IFERROR(INDEX('Aub Demand'!W:W,MATCH(O249,'Aub Demand'!A:A,0)),"")</f>
        <v>5</v>
      </c>
      <c r="H249" s="25">
        <f>IFERROR(INDEX('Aub Demand'!V:V,MATCH(O249,'Aub Demand'!A:A,0)),"")</f>
        <v>0</v>
      </c>
      <c r="I249" s="25">
        <f>IFERROR(INDEX('Aub Demand'!U:U,MATCH(O249,'Aub Demand'!A:A,0)),"")</f>
        <v>0</v>
      </c>
      <c r="J249" s="25">
        <f>IFERROR(INDEX('Aub Demand'!T:T,MATCH(O249,'Aub Demand'!A:A,0)),"")</f>
        <v>9</v>
      </c>
      <c r="K249" s="25">
        <f>IFERROR(INDEX('Aub Demand'!S:S,MATCH(O249,'Aub Demand'!A:A,0)),"")</f>
        <v>0</v>
      </c>
      <c r="L249" s="25">
        <f>IFERROR(INDEX('Aub Demand'!R:R,MATCH(O249,'Aub Demand'!A:A,0)),"")</f>
        <v>0</v>
      </c>
      <c r="O249" s="27" t="s">
        <v>444</v>
      </c>
      <c r="P249" s="27" t="str">
        <f>IFERROR(INDEX('Aub Demand'!B:B,MATCH($O249,'Aub Demand'!$A:$A,0)),"")</f>
        <v>MANILA LINEN</v>
      </c>
      <c r="Q249" s="27" t="str">
        <f>IFERROR(INDEX('Aub Demand'!C:C,MATCH($O249,'Aub Demand'!$A:$A,0)),"")</f>
        <v>TOPPA</v>
      </c>
      <c r="R249" s="52">
        <f>IFERROR(IF(AR250=AR249,INDEX('Aub Demand'!K:K,MATCH($O249,'Aub Demand'!$A:$A,0))-IF(AN249="",0,AN249)+AP250,INDEX('Aub Demand'!K:K,MATCH($O249,'Aub Demand'!$A:$A,0))-IF(AN249="",0,AN249)),"")</f>
        <v>777</v>
      </c>
      <c r="S249" s="53">
        <f t="shared" si="84"/>
        <v>1110</v>
      </c>
      <c r="T249" s="52" t="str">
        <f t="shared" si="85"/>
        <v/>
      </c>
      <c r="U249" s="52">
        <f>IFERROR(IF(AR250=AR249,INDEX('Aub Demand'!Q:Q,MATCH($O249,'Aub Demand'!$A:$A,0))-IF(AN249="",0,AN249)+AP250,INDEX('Aub Demand'!Q:Q,MATCH($O249,'Aub Demand'!$A:$A,0))-IF(AN249="",0,AN249)),"")</f>
        <v>770</v>
      </c>
      <c r="V249" s="53">
        <f t="shared" si="86"/>
        <v>1100</v>
      </c>
      <c r="W249" s="52" t="str">
        <f t="shared" si="87"/>
        <v/>
      </c>
      <c r="X249" s="52">
        <f>IFERROR(IF(AND(AR250=AR249,AM249&lt;&gt;""),INDEX('Aub Demand'!Q:Q,MATCH($O249,'Aub Demand'!$A:$A,0))-IF(AN249="",0,AN249)+AP250+AD249+AL249,IF(AR250=AR249,INDEX('Aub Demand'!Q:Q,MATCH($O249,'Aub Demand'!$A:$A,0))-IF(AN249="",0,AN249)+AP250+AD249,IF(AM249&lt;&gt;"",INDEX('Aub Demand'!Q:Q,MATCH($O249,'Aub Demand'!$A:$A,0))-IF(AN249="",0,AN249)+AD249+AL249,INDEX('Aub Demand'!Q:Q,MATCH($O249,'Aub Demand'!$A:$A,0))-IF(AN249="",0,AN249)+AD249))),"")</f>
        <v>770</v>
      </c>
      <c r="Y249" s="53">
        <f t="shared" si="88"/>
        <v>1100</v>
      </c>
      <c r="Z249" s="52">
        <f>IF(L249="","",INDEX('Aub Demand'!H:H,MATCH($O249,'Aub Demand'!$A:$A,0)))</f>
        <v>3</v>
      </c>
      <c r="AA249" s="52" t="str">
        <f t="shared" si="89"/>
        <v>-spike-</v>
      </c>
      <c r="AB249" s="52">
        <f>IFERROR(INDEX('Aub Demand'!L:L,MATCH($O249,'Aub Demand'!$A:$A,0)),"")</f>
        <v>3</v>
      </c>
      <c r="AC249" s="52">
        <f>IFERROR(IF(O249="","",SUMIFS('CPL Mats'!F:F,'CPL Mats'!Q:Q,AR249,'CPL Mats'!S:S,AS249)),"")</f>
        <v>0</v>
      </c>
      <c r="AF249" s="25" t="str">
        <f>IF(SUMIFS('Supp Consol'!S:S,'Supp Consol'!Y:Y,"Releasable",'Supp Consol'!A:A,O249)=0,"",SUMIFS('Supp Consol'!S:S,'Supp Consol'!Y:Y,"Releasable",'Supp Consol'!A:A,O249))</f>
        <v/>
      </c>
      <c r="AG249" s="25" t="str">
        <f>IFERROR(INDEX('Hun Demand'!Q:Q,MATCH(O249,'Hun Demand'!A:A,0)),"")</f>
        <v/>
      </c>
      <c r="AH249" s="25" t="str">
        <f>IFERROR(INDEX('Hun Demand'!H:H,MATCH($O249,'Hun Demand'!$A:$A,0)),"")</f>
        <v/>
      </c>
      <c r="AI249" s="25" t="str">
        <f>IF(SUMIFS('Supp Consol'!AA:AA,'Supp Consol'!Z:Z,"Expires this month",'Supp Consol'!A:A,O249)=0,"",SUMIFS('Supp Consol'!AA:AA,'Supp Consol'!Z:Z,"Expires this month",'Supp Consol'!A:A,O249))</f>
        <v/>
      </c>
      <c r="AJ249" s="25" t="str">
        <f>IF(SUMIFS('Supp Consol'!AA:AA,'Supp Consol'!Z:Z,"Expired Previous Months",'Supp Consol'!A:A,O249)=0,"",SUMIFS('Supp Consol'!AA:AA,'Supp Consol'!Z:Z,"Expired Previous Months",'Supp Consol'!A:A,O249))</f>
        <v/>
      </c>
      <c r="AK249" s="25" t="str">
        <f>IFERROR(INDEX('Hun Release Current'!B:B,MATCH(O249,'Hun Release Current'!A:A,0)),"")</f>
        <v/>
      </c>
      <c r="AL249" s="25" t="str">
        <f>IF(SUMIF('Prev Aub'!A:A,O249,'Prev Aub'!B:B)=0,"",SUMIF('Prev Aub'!A:A,O249,'Prev Aub'!B:B))</f>
        <v/>
      </c>
      <c r="AN249" s="25" t="s">
        <v>3790</v>
      </c>
      <c r="AO249" s="25" t="s">
        <v>3790</v>
      </c>
      <c r="AP249" s="25">
        <f t="shared" si="90"/>
        <v>0</v>
      </c>
      <c r="AQ249" s="151" t="str">
        <f>IF(SUMIFS('Supp Consol'!S:S,'Supp Consol'!A:A,O249,'Supp Consol'!I:I,"PENDING")=0,"",SUMIFS('Supp Consol'!S:S,'Supp Consol'!A:A,O249,'Supp Consol'!I:I,"PENDING"))</f>
        <v/>
      </c>
      <c r="AR249" s="27" t="str">
        <f t="shared" si="91"/>
        <v>AT231</v>
      </c>
      <c r="AS249" s="27" t="str">
        <f t="shared" si="92"/>
        <v>50</v>
      </c>
      <c r="AT249" s="27" t="str">
        <f t="shared" si="93"/>
        <v/>
      </c>
      <c r="AU249" s="27" t="str">
        <f t="shared" si="94"/>
        <v/>
      </c>
      <c r="AV249" s="27" t="str">
        <f t="shared" si="95"/>
        <v/>
      </c>
      <c r="AW249" s="27" t="str">
        <f t="shared" si="96"/>
        <v/>
      </c>
      <c r="AX249" s="27" t="str">
        <f t="shared" si="97"/>
        <v/>
      </c>
      <c r="AY249" s="27" t="str">
        <f t="shared" si="98"/>
        <v/>
      </c>
      <c r="AZ249" s="27" t="str">
        <f t="shared" si="99"/>
        <v/>
      </c>
      <c r="BA249" s="27" t="str">
        <f t="shared" si="100"/>
        <v/>
      </c>
      <c r="BB249" s="27" t="str">
        <f t="shared" si="101"/>
        <v/>
      </c>
      <c r="BC249" s="27" t="str">
        <f t="shared" si="102"/>
        <v/>
      </c>
      <c r="BD249" s="27" t="str">
        <f t="shared" si="103"/>
        <v/>
      </c>
      <c r="BE249" s="27" t="str">
        <f t="shared" si="104"/>
        <v/>
      </c>
      <c r="BF249" s="27" t="str">
        <f t="shared" si="105"/>
        <v/>
      </c>
      <c r="BG249" s="27" t="str">
        <f t="shared" si="106"/>
        <v/>
      </c>
      <c r="BH249" s="27" t="str">
        <f t="shared" si="107"/>
        <v/>
      </c>
      <c r="BI249" s="27" t="str">
        <f t="shared" si="108"/>
        <v/>
      </c>
      <c r="BJ249" s="27" t="str">
        <f t="shared" si="109"/>
        <v/>
      </c>
      <c r="BK249" s="27" t="str">
        <f t="shared" si="110"/>
        <v/>
      </c>
      <c r="BL249" s="27" t="str">
        <f t="shared" si="111"/>
        <v/>
      </c>
      <c r="BM249" s="21" t="s">
        <v>5581</v>
      </c>
    </row>
    <row r="250" spans="1:65" ht="15">
      <c r="A250" s="25" t="str">
        <f>IFERROR(INDEX('Hun Demand'!W:W,MATCH(O250,'Hun Demand'!A:A,0)),"")</f>
        <v/>
      </c>
      <c r="B250" s="25" t="str">
        <f>IFERROR(INDEX('Hun Demand'!V:V,MATCH(O250,'Hun Demand'!A:A,0)),"")</f>
        <v/>
      </c>
      <c r="C250" s="25" t="str">
        <f>IFERROR(INDEX('Hun Demand'!U:U,MATCH(O250,'Hun Demand'!A:A,0)),"")</f>
        <v/>
      </c>
      <c r="D250" s="25" t="str">
        <f>IFERROR(INDEX('Hun Demand'!T:T,MATCH(O250,'Hun Demand'!A:A,0)),"")</f>
        <v/>
      </c>
      <c r="E250" s="25" t="str">
        <f>IFERROR(INDEX('Hun Demand'!S:S,MATCH(O250,'Hun Demand'!A:A,0)),"")</f>
        <v/>
      </c>
      <c r="F250" s="25" t="str">
        <f>IFERROR(INDEX('Hun Demand'!R:R,MATCH(O250,'Hun Demand'!A:A,0)),"")</f>
        <v/>
      </c>
      <c r="G250" s="25">
        <f>IFERROR(INDEX('Aub Demand'!W:W,MATCH(O250,'Aub Demand'!A:A,0)),"")</f>
        <v>35</v>
      </c>
      <c r="H250" s="25">
        <f>IFERROR(INDEX('Aub Demand'!V:V,MATCH(O250,'Aub Demand'!A:A,0)),"")</f>
        <v>0</v>
      </c>
      <c r="I250" s="25">
        <f>IFERROR(INDEX('Aub Demand'!U:U,MATCH(O250,'Aub Demand'!A:A,0)),"")</f>
        <v>36</v>
      </c>
      <c r="J250" s="25">
        <f>IFERROR(INDEX('Aub Demand'!T:T,MATCH(O250,'Aub Demand'!A:A,0)),"")</f>
        <v>0</v>
      </c>
      <c r="K250" s="25">
        <f>IFERROR(INDEX('Aub Demand'!S:S,MATCH(O250,'Aub Demand'!A:A,0)),"")</f>
        <v>0</v>
      </c>
      <c r="L250" s="25">
        <f>IFERROR(INDEX('Aub Demand'!R:R,MATCH(O250,'Aub Demand'!A:A,0)),"")</f>
        <v>0</v>
      </c>
      <c r="O250" s="27" t="s">
        <v>446</v>
      </c>
      <c r="P250" s="27" t="str">
        <f>IFERROR(INDEX('Aub Demand'!B:B,MATCH($O250,'Aub Demand'!$A:$A,0)),"")</f>
        <v>MANILA LINEN</v>
      </c>
      <c r="Q250" s="27" t="str">
        <f>IFERROR(INDEX('Aub Demand'!C:C,MATCH($O250,'Aub Demand'!$A:$A,0)),"")</f>
        <v>TOPPA</v>
      </c>
      <c r="R250" s="52">
        <f>IFERROR(IF(AR251=AR250,INDEX('Aub Demand'!K:K,MATCH($O250,'Aub Demand'!$A:$A,0))-IF(AN250="",0,AN250)+AP251,INDEX('Aub Demand'!K:K,MATCH($O250,'Aub Demand'!$A:$A,0))-IF(AN250="",0,AN250)),"")</f>
        <v>1268</v>
      </c>
      <c r="S250" s="53">
        <f t="shared" si="84"/>
        <v>452.9</v>
      </c>
      <c r="T250" s="52" t="str">
        <f t="shared" si="85"/>
        <v/>
      </c>
      <c r="U250" s="52">
        <f>IFERROR(IF(AR251=AR250,INDEX('Aub Demand'!Q:Q,MATCH($O250,'Aub Demand'!$A:$A,0))-IF(AN250="",0,AN250)+AP251,INDEX('Aub Demand'!Q:Q,MATCH($O250,'Aub Demand'!$A:$A,0))-IF(AN250="",0,AN250)),"")</f>
        <v>1268</v>
      </c>
      <c r="V250" s="53">
        <f t="shared" si="86"/>
        <v>452.9</v>
      </c>
      <c r="W250" s="52" t="str">
        <f t="shared" si="87"/>
        <v/>
      </c>
      <c r="X250" s="52">
        <f>IFERROR(IF(AND(AR251=AR250,AM250&lt;&gt;""),INDEX('Aub Demand'!Q:Q,MATCH($O250,'Aub Demand'!$A:$A,0))-IF(AN250="",0,AN250)+AP251+AD250+AL250,IF(AR251=AR250,INDEX('Aub Demand'!Q:Q,MATCH($O250,'Aub Demand'!$A:$A,0))-IF(AN250="",0,AN250)+AP251+AD250,IF(AM250&lt;&gt;"",INDEX('Aub Demand'!Q:Q,MATCH($O250,'Aub Demand'!$A:$A,0))-IF(AN250="",0,AN250)+AD250+AL250,INDEX('Aub Demand'!Q:Q,MATCH($O250,'Aub Demand'!$A:$A,0))-IF(AN250="",0,AN250)+AD250))),"")</f>
        <v>1268</v>
      </c>
      <c r="Y250" s="53">
        <f t="shared" si="88"/>
        <v>452.9</v>
      </c>
      <c r="Z250" s="52">
        <f>IF(L250="","",INDEX('Aub Demand'!H:H,MATCH($O250,'Aub Demand'!$A:$A,0)))</f>
        <v>12</v>
      </c>
      <c r="AA250" s="52" t="str">
        <f t="shared" si="89"/>
        <v>-spike-</v>
      </c>
      <c r="AB250" s="52">
        <f>IFERROR(INDEX('Aub Demand'!L:L,MATCH($O250,'Aub Demand'!$A:$A,0)),"")</f>
        <v>0</v>
      </c>
      <c r="AC250" s="52">
        <f>IFERROR(IF(O250="","",SUMIFS('CPL Mats'!F:F,'CPL Mats'!Q:Q,AR250,'CPL Mats'!S:S,AS250)),"")</f>
        <v>0</v>
      </c>
      <c r="AF250" s="25" t="str">
        <f>IF(SUMIFS('Supp Consol'!S:S,'Supp Consol'!Y:Y,"Releasable",'Supp Consol'!A:A,O250)=0,"",SUMIFS('Supp Consol'!S:S,'Supp Consol'!Y:Y,"Releasable",'Supp Consol'!A:A,O250))</f>
        <v/>
      </c>
      <c r="AG250" s="25" t="str">
        <f>IFERROR(INDEX('Hun Demand'!Q:Q,MATCH(O250,'Hun Demand'!A:A,0)),"")</f>
        <v/>
      </c>
      <c r="AH250" s="25" t="str">
        <f>IFERROR(INDEX('Hun Demand'!H:H,MATCH($O250,'Hun Demand'!$A:$A,0)),"")</f>
        <v/>
      </c>
      <c r="AI250" s="25" t="str">
        <f>IF(SUMIFS('Supp Consol'!AA:AA,'Supp Consol'!Z:Z,"Expires this month",'Supp Consol'!A:A,O250)=0,"",SUMIFS('Supp Consol'!AA:AA,'Supp Consol'!Z:Z,"Expires this month",'Supp Consol'!A:A,O250))</f>
        <v/>
      </c>
      <c r="AJ250" s="25" t="str">
        <f>IF(SUMIFS('Supp Consol'!AA:AA,'Supp Consol'!Z:Z,"Expired Previous Months",'Supp Consol'!A:A,O250)=0,"",SUMIFS('Supp Consol'!AA:AA,'Supp Consol'!Z:Z,"Expired Previous Months",'Supp Consol'!A:A,O250))</f>
        <v/>
      </c>
      <c r="AK250" s="25" t="str">
        <f>IFERROR(INDEX('Hun Release Current'!B:B,MATCH(O250,'Hun Release Current'!A:A,0)),"")</f>
        <v/>
      </c>
      <c r="AL250" s="25" t="str">
        <f>IF(SUMIF('Prev Aub'!A:A,O250,'Prev Aub'!B:B)=0,"",SUMIF('Prev Aub'!A:A,O250,'Prev Aub'!B:B))</f>
        <v/>
      </c>
      <c r="AN250" s="25" t="s">
        <v>3790</v>
      </c>
      <c r="AO250" s="25" t="s">
        <v>3790</v>
      </c>
      <c r="AP250" s="25">
        <f t="shared" si="90"/>
        <v>0</v>
      </c>
      <c r="AQ250" s="151" t="str">
        <f>IF(SUMIFS('Supp Consol'!S:S,'Supp Consol'!A:A,O250,'Supp Consol'!I:I,"PENDING")=0,"",SUMIFS('Supp Consol'!S:S,'Supp Consol'!A:A,O250,'Supp Consol'!I:I,"PENDING"))</f>
        <v/>
      </c>
      <c r="AR250" s="27" t="str">
        <f t="shared" si="91"/>
        <v>AT231</v>
      </c>
      <c r="AS250" s="27" t="str">
        <f t="shared" si="92"/>
        <v>62</v>
      </c>
      <c r="AT250" s="27" t="str">
        <f t="shared" si="93"/>
        <v/>
      </c>
      <c r="AU250" s="27" t="str">
        <f t="shared" si="94"/>
        <v/>
      </c>
      <c r="AV250" s="27" t="str">
        <f t="shared" si="95"/>
        <v/>
      </c>
      <c r="AW250" s="27" t="str">
        <f t="shared" si="96"/>
        <v/>
      </c>
      <c r="AX250" s="27" t="str">
        <f t="shared" si="97"/>
        <v/>
      </c>
      <c r="AY250" s="27" t="str">
        <f t="shared" si="98"/>
        <v/>
      </c>
      <c r="AZ250" s="27" t="str">
        <f t="shared" si="99"/>
        <v/>
      </c>
      <c r="BA250" s="27" t="str">
        <f t="shared" si="100"/>
        <v/>
      </c>
      <c r="BB250" s="27" t="str">
        <f t="shared" si="101"/>
        <v/>
      </c>
      <c r="BC250" s="27" t="str">
        <f t="shared" si="102"/>
        <v/>
      </c>
      <c r="BD250" s="27" t="str">
        <f t="shared" si="103"/>
        <v/>
      </c>
      <c r="BE250" s="27" t="str">
        <f t="shared" si="104"/>
        <v/>
      </c>
      <c r="BF250" s="27" t="str">
        <f t="shared" si="105"/>
        <v/>
      </c>
      <c r="BG250" s="27" t="str">
        <f t="shared" si="106"/>
        <v/>
      </c>
      <c r="BH250" s="27" t="str">
        <f t="shared" si="107"/>
        <v/>
      </c>
      <c r="BI250" s="27" t="str">
        <f t="shared" si="108"/>
        <v/>
      </c>
      <c r="BJ250" s="27" t="str">
        <f t="shared" si="109"/>
        <v/>
      </c>
      <c r="BK250" s="27" t="str">
        <f t="shared" si="110"/>
        <v/>
      </c>
      <c r="BL250" s="27" t="str">
        <f t="shared" si="111"/>
        <v/>
      </c>
      <c r="BM250" s="21" t="s">
        <v>5581</v>
      </c>
    </row>
    <row r="251" spans="1:65" ht="15">
      <c r="A251" s="25" t="str">
        <f>IFERROR(INDEX('Hun Demand'!W:W,MATCH(O251,'Hun Demand'!A:A,0)),"")</f>
        <v/>
      </c>
      <c r="B251" s="25" t="str">
        <f>IFERROR(INDEX('Hun Demand'!V:V,MATCH(O251,'Hun Demand'!A:A,0)),"")</f>
        <v/>
      </c>
      <c r="C251" s="25" t="str">
        <f>IFERROR(INDEX('Hun Demand'!U:U,MATCH(O251,'Hun Demand'!A:A,0)),"")</f>
        <v/>
      </c>
      <c r="D251" s="25" t="str">
        <f>IFERROR(INDEX('Hun Demand'!T:T,MATCH(O251,'Hun Demand'!A:A,0)),"")</f>
        <v/>
      </c>
      <c r="E251" s="25" t="str">
        <f>IFERROR(INDEX('Hun Demand'!S:S,MATCH(O251,'Hun Demand'!A:A,0)),"")</f>
        <v/>
      </c>
      <c r="F251" s="25" t="str">
        <f>IFERROR(INDEX('Hun Demand'!R:R,MATCH(O251,'Hun Demand'!A:A,0)),"")</f>
        <v/>
      </c>
      <c r="G251" s="25">
        <f>IFERROR(INDEX('Aub Demand'!W:W,MATCH(O251,'Aub Demand'!A:A,0)),"")</f>
        <v>0</v>
      </c>
      <c r="H251" s="25">
        <f>IFERROR(INDEX('Aub Demand'!V:V,MATCH(O251,'Aub Demand'!A:A,0)),"")</f>
        <v>0</v>
      </c>
      <c r="I251" s="25">
        <f>IFERROR(INDEX('Aub Demand'!U:U,MATCH(O251,'Aub Demand'!A:A,0)),"")</f>
        <v>7</v>
      </c>
      <c r="J251" s="25">
        <f>IFERROR(INDEX('Aub Demand'!T:T,MATCH(O251,'Aub Demand'!A:A,0)),"")</f>
        <v>0</v>
      </c>
      <c r="K251" s="25">
        <f>IFERROR(INDEX('Aub Demand'!S:S,MATCH(O251,'Aub Demand'!A:A,0)),"")</f>
        <v>14</v>
      </c>
      <c r="L251" s="25">
        <f>IFERROR(INDEX('Aub Demand'!R:R,MATCH(O251,'Aub Demand'!A:A,0)),"")</f>
        <v>0</v>
      </c>
      <c r="O251" s="27" t="s">
        <v>448</v>
      </c>
      <c r="P251" s="27" t="str">
        <f>IFERROR(INDEX('Aub Demand'!B:B,MATCH($O251,'Aub Demand'!$A:$A,0)),"")</f>
        <v>CHAMOMILE FIBER</v>
      </c>
      <c r="Q251" s="27" t="str">
        <f>IFERROR(INDEX('Aub Demand'!C:C,MATCH($O251,'Aub Demand'!$A:$A,0)),"")</f>
        <v>SUDDE</v>
      </c>
      <c r="R251" s="52">
        <f>IFERROR(IF(AR252=AR251,INDEX('Aub Demand'!K:K,MATCH($O251,'Aub Demand'!$A:$A,0))-IF(AN251="",0,AN251)+AP252,INDEX('Aub Demand'!K:K,MATCH($O251,'Aub Demand'!$A:$A,0))-IF(AN251="",0,AN251)),"")</f>
        <v>950</v>
      </c>
      <c r="S251" s="53">
        <f t="shared" si="84"/>
        <v>581.6</v>
      </c>
      <c r="T251" s="52" t="str">
        <f t="shared" si="85"/>
        <v/>
      </c>
      <c r="U251" s="52">
        <f>IFERROR(IF(AR252=AR251,INDEX('Aub Demand'!Q:Q,MATCH($O251,'Aub Demand'!$A:$A,0))-IF(AN251="",0,AN251)+AP252,INDEX('Aub Demand'!Q:Q,MATCH($O251,'Aub Demand'!$A:$A,0))-IF(AN251="",0,AN251)),"")</f>
        <v>950</v>
      </c>
      <c r="V251" s="53">
        <f t="shared" si="86"/>
        <v>581.6</v>
      </c>
      <c r="W251" s="52" t="str">
        <f t="shared" si="87"/>
        <v/>
      </c>
      <c r="X251" s="52">
        <f>IFERROR(IF(AND(AR252=AR251,AM251&lt;&gt;""),INDEX('Aub Demand'!Q:Q,MATCH($O251,'Aub Demand'!$A:$A,0))-IF(AN251="",0,AN251)+AP252+AD251+AL251,IF(AR252=AR251,INDEX('Aub Demand'!Q:Q,MATCH($O251,'Aub Demand'!$A:$A,0))-IF(AN251="",0,AN251)+AP252+AD251,IF(AM251&lt;&gt;"",INDEX('Aub Demand'!Q:Q,MATCH($O251,'Aub Demand'!$A:$A,0))-IF(AN251="",0,AN251)+AD251+AL251,INDEX('Aub Demand'!Q:Q,MATCH($O251,'Aub Demand'!$A:$A,0))-IF(AN251="",0,AN251)+AD251))),"")</f>
        <v>950</v>
      </c>
      <c r="Y251" s="53">
        <f t="shared" si="88"/>
        <v>581.6</v>
      </c>
      <c r="Z251" s="52">
        <f>IF(L251="","",INDEX('Aub Demand'!H:H,MATCH($O251,'Aub Demand'!$A:$A,0)))</f>
        <v>7</v>
      </c>
      <c r="AA251" s="52">
        <f t="shared" si="89"/>
        <v>10.5</v>
      </c>
      <c r="AB251" s="52">
        <f>IFERROR(INDEX('Aub Demand'!L:L,MATCH($O251,'Aub Demand'!$A:$A,0)),"")</f>
        <v>0</v>
      </c>
      <c r="AC251" s="52">
        <f>IFERROR(IF(O251="","",SUMIFS('CPL Mats'!F:F,'CPL Mats'!Q:Q,AR251,'CPL Mats'!S:S,AS251)),"")</f>
        <v>0</v>
      </c>
      <c r="AF251" s="25" t="str">
        <f>IF(SUMIFS('Supp Consol'!S:S,'Supp Consol'!Y:Y,"Releasable",'Supp Consol'!A:A,O251)=0,"",SUMIFS('Supp Consol'!S:S,'Supp Consol'!Y:Y,"Releasable",'Supp Consol'!A:A,O251))</f>
        <v/>
      </c>
      <c r="AG251" s="25" t="str">
        <f>IFERROR(INDEX('Hun Demand'!Q:Q,MATCH(O251,'Hun Demand'!A:A,0)),"")</f>
        <v/>
      </c>
      <c r="AH251" s="25" t="str">
        <f>IFERROR(INDEX('Hun Demand'!H:H,MATCH($O251,'Hun Demand'!$A:$A,0)),"")</f>
        <v/>
      </c>
      <c r="AI251" s="25" t="str">
        <f>IF(SUMIFS('Supp Consol'!AA:AA,'Supp Consol'!Z:Z,"Expires this month",'Supp Consol'!A:A,O251)=0,"",SUMIFS('Supp Consol'!AA:AA,'Supp Consol'!Z:Z,"Expires this month",'Supp Consol'!A:A,O251))</f>
        <v/>
      </c>
      <c r="AJ251" s="25" t="str">
        <f>IF(SUMIFS('Supp Consol'!AA:AA,'Supp Consol'!Z:Z,"Expired Previous Months",'Supp Consol'!A:A,O251)=0,"",SUMIFS('Supp Consol'!AA:AA,'Supp Consol'!Z:Z,"Expired Previous Months",'Supp Consol'!A:A,O251))</f>
        <v/>
      </c>
      <c r="AK251" s="25" t="str">
        <f>IFERROR(INDEX('Hun Release Current'!B:B,MATCH(O251,'Hun Release Current'!A:A,0)),"")</f>
        <v/>
      </c>
      <c r="AL251" s="25" t="str">
        <f>IF(SUMIF('Prev Aub'!A:A,O251,'Prev Aub'!B:B)=0,"",SUMIF('Prev Aub'!A:A,O251,'Prev Aub'!B:B))</f>
        <v/>
      </c>
      <c r="AN251" s="25" t="s">
        <v>3790</v>
      </c>
      <c r="AO251" s="25" t="s">
        <v>3790</v>
      </c>
      <c r="AP251" s="25">
        <f t="shared" si="90"/>
        <v>0</v>
      </c>
      <c r="AQ251" s="151" t="str">
        <f>IF(SUMIFS('Supp Consol'!S:S,'Supp Consol'!A:A,O251,'Supp Consol'!I:I,"PENDING")=0,"",SUMIFS('Supp Consol'!S:S,'Supp Consol'!A:A,O251,'Supp Consol'!I:I,"PENDING"))</f>
        <v/>
      </c>
      <c r="AR251" s="27" t="str">
        <f t="shared" si="91"/>
        <v>AT291</v>
      </c>
      <c r="AS251" s="27" t="str">
        <f t="shared" si="92"/>
        <v>50</v>
      </c>
      <c r="AT251" s="27" t="str">
        <f t="shared" si="93"/>
        <v/>
      </c>
      <c r="AU251" s="27" t="str">
        <f t="shared" si="94"/>
        <v/>
      </c>
      <c r="AV251" s="27" t="str">
        <f t="shared" si="95"/>
        <v/>
      </c>
      <c r="AW251" s="27" t="str">
        <f t="shared" si="96"/>
        <v/>
      </c>
      <c r="AX251" s="27" t="str">
        <f t="shared" si="97"/>
        <v/>
      </c>
      <c r="AY251" s="27" t="str">
        <f t="shared" si="98"/>
        <v/>
      </c>
      <c r="AZ251" s="27" t="str">
        <f t="shared" si="99"/>
        <v/>
      </c>
      <c r="BA251" s="27" t="str">
        <f t="shared" si="100"/>
        <v>Hun</v>
      </c>
      <c r="BB251" s="27" t="str">
        <f t="shared" si="101"/>
        <v/>
      </c>
      <c r="BC251" s="27" t="str">
        <f t="shared" si="102"/>
        <v/>
      </c>
      <c r="BD251" s="27" t="str">
        <f t="shared" si="103"/>
        <v/>
      </c>
      <c r="BE251" s="27" t="str">
        <f t="shared" si="104"/>
        <v/>
      </c>
      <c r="BF251" s="27" t="str">
        <f t="shared" si="105"/>
        <v/>
      </c>
      <c r="BG251" s="27" t="str">
        <f t="shared" si="106"/>
        <v/>
      </c>
      <c r="BH251" s="27" t="str">
        <f t="shared" si="107"/>
        <v/>
      </c>
      <c r="BI251" s="27" t="str">
        <f t="shared" si="108"/>
        <v/>
      </c>
      <c r="BJ251" s="27" t="str">
        <f t="shared" si="109"/>
        <v>Supp or Hun</v>
      </c>
      <c r="BK251" s="27" t="str">
        <f t="shared" si="110"/>
        <v/>
      </c>
      <c r="BL251" s="27" t="str">
        <f t="shared" si="111"/>
        <v/>
      </c>
      <c r="BM251" s="21" t="s">
        <v>3790</v>
      </c>
    </row>
    <row r="252" spans="1:65" ht="15">
      <c r="A252" s="25">
        <f>IFERROR(INDEX('Hun Demand'!W:W,MATCH(O252,'Hun Demand'!A:A,0)),"")</f>
        <v>0</v>
      </c>
      <c r="B252" s="25">
        <f>IFERROR(INDEX('Hun Demand'!V:V,MATCH(O252,'Hun Demand'!A:A,0)),"")</f>
        <v>0</v>
      </c>
      <c r="C252" s="25">
        <f>IFERROR(INDEX('Hun Demand'!U:U,MATCH(O252,'Hun Demand'!A:A,0)),"")</f>
        <v>0</v>
      </c>
      <c r="D252" s="25">
        <f>IFERROR(INDEX('Hun Demand'!T:T,MATCH(O252,'Hun Demand'!A:A,0)),"")</f>
        <v>0</v>
      </c>
      <c r="E252" s="25">
        <f>IFERROR(INDEX('Hun Demand'!S:S,MATCH(O252,'Hun Demand'!A:A,0)),"")</f>
        <v>0</v>
      </c>
      <c r="F252" s="25">
        <f>IFERROR(INDEX('Hun Demand'!R:R,MATCH(O252,'Hun Demand'!A:A,0)),"")</f>
        <v>0</v>
      </c>
      <c r="G252" s="25">
        <f>IFERROR(INDEX('Aub Demand'!W:W,MATCH(O252,'Aub Demand'!A:A,0)),"")</f>
        <v>0</v>
      </c>
      <c r="H252" s="25">
        <f>IFERROR(INDEX('Aub Demand'!V:V,MATCH(O252,'Aub Demand'!A:A,0)),"")</f>
        <v>0</v>
      </c>
      <c r="I252" s="25">
        <f>IFERROR(INDEX('Aub Demand'!U:U,MATCH(O252,'Aub Demand'!A:A,0)),"")</f>
        <v>0</v>
      </c>
      <c r="J252" s="25">
        <f>IFERROR(INDEX('Aub Demand'!T:T,MATCH(O252,'Aub Demand'!A:A,0)),"")</f>
        <v>0</v>
      </c>
      <c r="K252" s="25">
        <f>IFERROR(INDEX('Aub Demand'!S:S,MATCH(O252,'Aub Demand'!A:A,0)),"")</f>
        <v>0</v>
      </c>
      <c r="L252" s="25">
        <f>IFERROR(INDEX('Aub Demand'!R:R,MATCH(O252,'Aub Demand'!A:A,0)),"")</f>
        <v>0</v>
      </c>
      <c r="O252" s="27" t="s">
        <v>450</v>
      </c>
      <c r="P252" s="27" t="str">
        <f>IFERROR(INDEX('Aub Demand'!B:B,MATCH($O252,'Aub Demand'!$A:$A,0)),"")</f>
        <v>CHAMOMILE FIBER</v>
      </c>
      <c r="Q252" s="27" t="str">
        <f>IFERROR(INDEX('Aub Demand'!C:C,MATCH($O252,'Aub Demand'!$A:$A,0)),"")</f>
        <v>SUDDE</v>
      </c>
      <c r="R252" s="52">
        <f>IFERROR(IF(AR253=AR252,INDEX('Aub Demand'!K:K,MATCH($O252,'Aub Demand'!$A:$A,0))-IF(AN252="",0,AN252)+AP253,INDEX('Aub Demand'!K:K,MATCH($O252,'Aub Demand'!$A:$A,0))-IF(AN252="",0,AN252)),"")</f>
        <v>188</v>
      </c>
      <c r="S252" s="53" t="str">
        <f t="shared" si="84"/>
        <v>n/a</v>
      </c>
      <c r="T252" s="52" t="str">
        <f t="shared" si="85"/>
        <v/>
      </c>
      <c r="U252" s="52">
        <f>IFERROR(IF(AR253=AR252,INDEX('Aub Demand'!Q:Q,MATCH($O252,'Aub Demand'!$A:$A,0))-IF(AN252="",0,AN252)+AP253,INDEX('Aub Demand'!Q:Q,MATCH($O252,'Aub Demand'!$A:$A,0))-IF(AN252="",0,AN252)),"")</f>
        <v>188</v>
      </c>
      <c r="V252" s="53" t="str">
        <f t="shared" si="86"/>
        <v>n/a</v>
      </c>
      <c r="W252" s="52" t="str">
        <f t="shared" si="87"/>
        <v/>
      </c>
      <c r="X252" s="52">
        <f>IFERROR(IF(AND(AR253=AR252,AM252&lt;&gt;""),INDEX('Aub Demand'!Q:Q,MATCH($O252,'Aub Demand'!$A:$A,0))-IF(AN252="",0,AN252)+AP253+AD252+AL252,IF(AR253=AR252,INDEX('Aub Demand'!Q:Q,MATCH($O252,'Aub Demand'!$A:$A,0))-IF(AN252="",0,AN252)+AP253+AD252,IF(AM252&lt;&gt;"",INDEX('Aub Demand'!Q:Q,MATCH($O252,'Aub Demand'!$A:$A,0))-IF(AN252="",0,AN252)+AD252+AL252,INDEX('Aub Demand'!Q:Q,MATCH($O252,'Aub Demand'!$A:$A,0))-IF(AN252="",0,AN252)+AD252))),"")</f>
        <v>188</v>
      </c>
      <c r="Y252" s="53" t="str">
        <f t="shared" si="88"/>
        <v>n/a</v>
      </c>
      <c r="Z252" s="52">
        <f>IF(L252="","",INDEX('Aub Demand'!H:H,MATCH($O252,'Aub Demand'!$A:$A,0)))</f>
        <v>0</v>
      </c>
      <c r="AA252" s="52" t="str">
        <f t="shared" si="89"/>
        <v>-spike-</v>
      </c>
      <c r="AB252" s="52">
        <f>IFERROR(INDEX('Aub Demand'!L:L,MATCH($O252,'Aub Demand'!$A:$A,0)),"")</f>
        <v>0</v>
      </c>
      <c r="AC252" s="52">
        <f>IFERROR(IF(O252="","",SUMIFS('CPL Mats'!F:F,'CPL Mats'!Q:Q,AR252,'CPL Mats'!S:S,AS252)),"")</f>
        <v>0</v>
      </c>
      <c r="AF252" s="25" t="str">
        <f>IF(SUMIFS('Supp Consol'!S:S,'Supp Consol'!Y:Y,"Releasable",'Supp Consol'!A:A,O252)=0,"",SUMIFS('Supp Consol'!S:S,'Supp Consol'!Y:Y,"Releasable",'Supp Consol'!A:A,O252))</f>
        <v/>
      </c>
      <c r="AG252" s="25">
        <f>IFERROR(INDEX('Hun Demand'!Q:Q,MATCH(O252,'Hun Demand'!A:A,0)),"")</f>
        <v>134</v>
      </c>
      <c r="AH252" s="25">
        <f>IFERROR(INDEX('Hun Demand'!H:H,MATCH($O252,'Hun Demand'!$A:$A,0)),"")</f>
        <v>0</v>
      </c>
      <c r="AI252" s="25" t="str">
        <f>IF(SUMIFS('Supp Consol'!AA:AA,'Supp Consol'!Z:Z,"Expires this month",'Supp Consol'!A:A,O252)=0,"",SUMIFS('Supp Consol'!AA:AA,'Supp Consol'!Z:Z,"Expires this month",'Supp Consol'!A:A,O252))</f>
        <v/>
      </c>
      <c r="AJ252" s="25" t="str">
        <f>IF(SUMIFS('Supp Consol'!AA:AA,'Supp Consol'!Z:Z,"Expired Previous Months",'Supp Consol'!A:A,O252)=0,"",SUMIFS('Supp Consol'!AA:AA,'Supp Consol'!Z:Z,"Expired Previous Months",'Supp Consol'!A:A,O252))</f>
        <v/>
      </c>
      <c r="AK252" s="25" t="str">
        <f>IFERROR(INDEX('Hun Release Current'!B:B,MATCH(O252,'Hun Release Current'!A:A,0)),"")</f>
        <v/>
      </c>
      <c r="AL252" s="25" t="str">
        <f>IF(SUMIF('Prev Aub'!A:A,O252,'Prev Aub'!B:B)=0,"",SUMIF('Prev Aub'!A:A,O252,'Prev Aub'!B:B))</f>
        <v/>
      </c>
      <c r="AN252" s="25" t="s">
        <v>3790</v>
      </c>
      <c r="AO252" s="25" t="s">
        <v>3790</v>
      </c>
      <c r="AP252" s="25">
        <f t="shared" si="90"/>
        <v>0</v>
      </c>
      <c r="AQ252" s="151" t="str">
        <f>IF(SUMIFS('Supp Consol'!S:S,'Supp Consol'!A:A,O252,'Supp Consol'!I:I,"PENDING")=0,"",SUMIFS('Supp Consol'!S:S,'Supp Consol'!A:A,O252,'Supp Consol'!I:I,"PENDING"))</f>
        <v/>
      </c>
      <c r="AR252" s="27" t="str">
        <f t="shared" si="91"/>
        <v>AT291</v>
      </c>
      <c r="AS252" s="27" t="str">
        <f t="shared" si="92"/>
        <v>62</v>
      </c>
      <c r="AT252" s="27" t="str">
        <f t="shared" si="93"/>
        <v/>
      </c>
      <c r="AU252" s="27" t="str">
        <f t="shared" si="94"/>
        <v/>
      </c>
      <c r="AV252" s="27" t="str">
        <f t="shared" si="95"/>
        <v/>
      </c>
      <c r="AW252" s="27" t="str">
        <f t="shared" si="96"/>
        <v/>
      </c>
      <c r="AX252" s="27" t="str">
        <f t="shared" si="97"/>
        <v/>
      </c>
      <c r="AY252" s="27" t="str">
        <f t="shared" si="98"/>
        <v>AT291</v>
      </c>
      <c r="AZ252" s="27" t="str">
        <f t="shared" si="99"/>
        <v/>
      </c>
      <c r="BA252" s="27" t="str">
        <f t="shared" si="100"/>
        <v>Hun</v>
      </c>
      <c r="BB252" s="27" t="str">
        <f t="shared" si="101"/>
        <v/>
      </c>
      <c r="BC252" s="27" t="str">
        <f t="shared" si="102"/>
        <v/>
      </c>
      <c r="BD252" s="27" t="str">
        <f t="shared" si="103"/>
        <v/>
      </c>
      <c r="BE252" s="27" t="str">
        <f t="shared" si="104"/>
        <v/>
      </c>
      <c r="BF252" s="27" t="str">
        <f t="shared" si="105"/>
        <v/>
      </c>
      <c r="BG252" s="27" t="str">
        <f t="shared" si="106"/>
        <v/>
      </c>
      <c r="BH252" s="27" t="str">
        <f t="shared" si="107"/>
        <v/>
      </c>
      <c r="BI252" s="27" t="str">
        <f t="shared" si="108"/>
        <v/>
      </c>
      <c r="BJ252" s="27" t="str">
        <f t="shared" si="109"/>
        <v>Supp or Hun</v>
      </c>
      <c r="BK252" s="27" t="str">
        <f t="shared" si="110"/>
        <v/>
      </c>
      <c r="BL252" s="27" t="str">
        <f t="shared" si="111"/>
        <v/>
      </c>
      <c r="BM252" s="21" t="s">
        <v>3790</v>
      </c>
    </row>
    <row r="253" spans="1:65" ht="15">
      <c r="A253" s="25" t="str">
        <f>IFERROR(INDEX('Hun Demand'!W:W,MATCH(O253,'Hun Demand'!A:A,0)),"")</f>
        <v/>
      </c>
      <c r="B253" s="25" t="str">
        <f>IFERROR(INDEX('Hun Demand'!V:V,MATCH(O253,'Hun Demand'!A:A,0)),"")</f>
        <v/>
      </c>
      <c r="C253" s="25" t="str">
        <f>IFERROR(INDEX('Hun Demand'!U:U,MATCH(O253,'Hun Demand'!A:A,0)),"")</f>
        <v/>
      </c>
      <c r="D253" s="25" t="str">
        <f>IFERROR(INDEX('Hun Demand'!T:T,MATCH(O253,'Hun Demand'!A:A,0)),"")</f>
        <v/>
      </c>
      <c r="E253" s="25" t="str">
        <f>IFERROR(INDEX('Hun Demand'!S:S,MATCH(O253,'Hun Demand'!A:A,0)),"")</f>
        <v/>
      </c>
      <c r="F253" s="25" t="str">
        <f>IFERROR(INDEX('Hun Demand'!R:R,MATCH(O253,'Hun Demand'!A:A,0)),"")</f>
        <v/>
      </c>
      <c r="G253" s="25">
        <f>IFERROR(INDEX('Aub Demand'!W:W,MATCH(O253,'Aub Demand'!A:A,0)),"")</f>
        <v>61</v>
      </c>
      <c r="H253" s="25">
        <f>IFERROR(INDEX('Aub Demand'!V:V,MATCH(O253,'Aub Demand'!A:A,0)),"")</f>
        <v>0</v>
      </c>
      <c r="I253" s="25">
        <f>IFERROR(INDEX('Aub Demand'!U:U,MATCH(O253,'Aub Demand'!A:A,0)),"")</f>
        <v>0</v>
      </c>
      <c r="J253" s="25">
        <f>IFERROR(INDEX('Aub Demand'!T:T,MATCH(O253,'Aub Demand'!A:A,0)),"")</f>
        <v>0</v>
      </c>
      <c r="K253" s="25">
        <f>IFERROR(INDEX('Aub Demand'!S:S,MATCH(O253,'Aub Demand'!A:A,0)),"")</f>
        <v>85</v>
      </c>
      <c r="L253" s="25">
        <f>IFERROR(INDEX('Aub Demand'!R:R,MATCH(O253,'Aub Demand'!A:A,0)),"")</f>
        <v>0</v>
      </c>
      <c r="O253" s="27" t="s">
        <v>454</v>
      </c>
      <c r="P253" s="27" t="str">
        <f>IFERROR(INDEX('Aub Demand'!B:B,MATCH($O253,'Aub Demand'!$A:$A,0)),"")</f>
        <v>BEIGE LINEN</v>
      </c>
      <c r="Q253" s="27" t="str">
        <f>IFERROR(INDEX('Aub Demand'!C:C,MATCH($O253,'Aub Demand'!$A:$A,0)),"")</f>
        <v>TOPPA</v>
      </c>
      <c r="R253" s="52">
        <f>IFERROR(IF(AR254=AR253,INDEX('Aub Demand'!K:K,MATCH($O253,'Aub Demand'!$A:$A,0))-IF(AN253="",0,AN253)+AP254,INDEX('Aub Demand'!K:K,MATCH($O253,'Aub Demand'!$A:$A,0))-IF(AN253="",0,AN253)),"")</f>
        <v>0</v>
      </c>
      <c r="S253" s="53">
        <f t="shared" si="84"/>
        <v>0</v>
      </c>
      <c r="T253" s="52" t="str">
        <f t="shared" si="85"/>
        <v/>
      </c>
      <c r="U253" s="52">
        <f>IFERROR(IF(AR254=AR253,INDEX('Aub Demand'!Q:Q,MATCH($O253,'Aub Demand'!$A:$A,0))-IF(AN253="",0,AN253)+AP254,INDEX('Aub Demand'!Q:Q,MATCH($O253,'Aub Demand'!$A:$A,0))-IF(AN253="",0,AN253)),"")</f>
        <v>-25</v>
      </c>
      <c r="V253" s="53">
        <f t="shared" si="86"/>
        <v>-3.8</v>
      </c>
      <c r="W253" s="52" t="str">
        <f t="shared" si="87"/>
        <v/>
      </c>
      <c r="X253" s="52">
        <f>IFERROR(IF(AND(AR254=AR253,AM253&lt;&gt;""),INDEX('Aub Demand'!Q:Q,MATCH($O253,'Aub Demand'!$A:$A,0))-IF(AN253="",0,AN253)+AP254+AD253+AL253,IF(AR254=AR253,INDEX('Aub Demand'!Q:Q,MATCH($O253,'Aub Demand'!$A:$A,0))-IF(AN253="",0,AN253)+AP254+AD253,IF(AM253&lt;&gt;"",INDEX('Aub Demand'!Q:Q,MATCH($O253,'Aub Demand'!$A:$A,0))-IF(AN253="",0,AN253)+AD253+AL253,INDEX('Aub Demand'!Q:Q,MATCH($O253,'Aub Demand'!$A:$A,0))-IF(AN253="",0,AN253)+AD253))),"")</f>
        <v>-25</v>
      </c>
      <c r="Y253" s="53">
        <f t="shared" si="88"/>
        <v>-3.8</v>
      </c>
      <c r="Z253" s="52">
        <f>IF(L253="","",INDEX('Aub Demand'!H:H,MATCH($O253,'Aub Demand'!$A:$A,0)))</f>
        <v>28</v>
      </c>
      <c r="AA253" s="52" t="str">
        <f t="shared" si="89"/>
        <v>-spike-</v>
      </c>
      <c r="AB253" s="52">
        <f>IFERROR(INDEX('Aub Demand'!L:L,MATCH($O253,'Aub Demand'!$A:$A,0)),"")</f>
        <v>13</v>
      </c>
      <c r="AC253" s="52">
        <f>IFERROR(IF(O253="","",SUMIFS('CPL Mats'!F:F,'CPL Mats'!Q:Q,AR253,'CPL Mats'!S:S,AS253)),"")</f>
        <v>0</v>
      </c>
      <c r="AF253" s="25" t="str">
        <f>IF(SUMIFS('Supp Consol'!S:S,'Supp Consol'!Y:Y,"Releasable",'Supp Consol'!A:A,O253)=0,"",SUMIFS('Supp Consol'!S:S,'Supp Consol'!Y:Y,"Releasable",'Supp Consol'!A:A,O253))</f>
        <v/>
      </c>
      <c r="AG253" s="25" t="str">
        <f>IFERROR(INDEX('Hun Demand'!Q:Q,MATCH(O253,'Hun Demand'!A:A,0)),"")</f>
        <v/>
      </c>
      <c r="AH253" s="25" t="str">
        <f>IFERROR(INDEX('Hun Demand'!H:H,MATCH($O253,'Hun Demand'!$A:$A,0)),"")</f>
        <v/>
      </c>
      <c r="AI253" s="25" t="str">
        <f>IF(SUMIFS('Supp Consol'!AA:AA,'Supp Consol'!Z:Z,"Expires this month",'Supp Consol'!A:A,O253)=0,"",SUMIFS('Supp Consol'!AA:AA,'Supp Consol'!Z:Z,"Expires this month",'Supp Consol'!A:A,O253))</f>
        <v/>
      </c>
      <c r="AJ253" s="25" t="str">
        <f>IF(SUMIFS('Supp Consol'!AA:AA,'Supp Consol'!Z:Z,"Expired Previous Months",'Supp Consol'!A:A,O253)=0,"",SUMIFS('Supp Consol'!AA:AA,'Supp Consol'!Z:Z,"Expired Previous Months",'Supp Consol'!A:A,O253))</f>
        <v/>
      </c>
      <c r="AK253" s="25" t="str">
        <f>IFERROR(INDEX('Hun Release Current'!B:B,MATCH(O253,'Hun Release Current'!A:A,0)),"")</f>
        <v/>
      </c>
      <c r="AL253" s="25" t="str">
        <f>IF(SUMIF('Prev Aub'!A:A,O253,'Prev Aub'!B:B)=0,"",SUMIF('Prev Aub'!A:A,O253,'Prev Aub'!B:B))</f>
        <v/>
      </c>
      <c r="AN253" s="25" t="s">
        <v>3790</v>
      </c>
      <c r="AO253" s="25" t="s">
        <v>3790</v>
      </c>
      <c r="AP253" s="25">
        <f t="shared" si="90"/>
        <v>0</v>
      </c>
      <c r="AQ253" s="151" t="str">
        <f>IF(SUMIFS('Supp Consol'!S:S,'Supp Consol'!A:A,O253,'Supp Consol'!I:I,"PENDING")=0,"",SUMIFS('Supp Consol'!S:S,'Supp Consol'!A:A,O253,'Supp Consol'!I:I,"PENDING"))</f>
        <v/>
      </c>
      <c r="AR253" s="27" t="str">
        <f t="shared" si="91"/>
        <v>AT301</v>
      </c>
      <c r="AS253" s="27" t="str">
        <f t="shared" si="92"/>
        <v>50</v>
      </c>
      <c r="AT253" s="27" t="str">
        <f t="shared" si="93"/>
        <v>AT301</v>
      </c>
      <c r="AU253" s="27" t="str">
        <f t="shared" si="94"/>
        <v>AT301</v>
      </c>
      <c r="AV253" s="27" t="str">
        <f t="shared" si="95"/>
        <v>AT301</v>
      </c>
      <c r="AW253" s="27" t="str">
        <f t="shared" si="96"/>
        <v/>
      </c>
      <c r="AX253" s="27" t="str">
        <f t="shared" si="97"/>
        <v/>
      </c>
      <c r="AY253" s="27" t="str">
        <f t="shared" si="98"/>
        <v/>
      </c>
      <c r="AZ253" s="27" t="str">
        <f t="shared" si="99"/>
        <v/>
      </c>
      <c r="BA253" s="27" t="str">
        <f t="shared" si="100"/>
        <v/>
      </c>
      <c r="BB253" s="27" t="str">
        <f t="shared" si="101"/>
        <v>Gross</v>
      </c>
      <c r="BC253" s="27" t="str">
        <f t="shared" si="102"/>
        <v>Net</v>
      </c>
      <c r="BD253" s="27" t="str">
        <f t="shared" si="103"/>
        <v>Net</v>
      </c>
      <c r="BE253" s="27" t="str">
        <f t="shared" si="104"/>
        <v/>
      </c>
      <c r="BF253" s="27" t="str">
        <f t="shared" si="105"/>
        <v/>
      </c>
      <c r="BG253" s="27" t="str">
        <f t="shared" si="106"/>
        <v/>
      </c>
      <c r="BH253" s="27" t="str">
        <f t="shared" si="107"/>
        <v/>
      </c>
      <c r="BI253" s="27" t="str">
        <f t="shared" si="108"/>
        <v/>
      </c>
      <c r="BJ253" s="27" t="str">
        <f t="shared" si="109"/>
        <v/>
      </c>
      <c r="BK253" s="27" t="str">
        <f t="shared" si="110"/>
        <v/>
      </c>
      <c r="BL253" s="27" t="str">
        <f t="shared" si="111"/>
        <v/>
      </c>
      <c r="BM253" s="21" t="s">
        <v>5581</v>
      </c>
    </row>
    <row r="254" spans="1:65" ht="15">
      <c r="A254" s="25" t="str">
        <f>IFERROR(INDEX('Hun Demand'!W:W,MATCH(O254,'Hun Demand'!A:A,0)),"")</f>
        <v/>
      </c>
      <c r="B254" s="25" t="str">
        <f>IFERROR(INDEX('Hun Demand'!V:V,MATCH(O254,'Hun Demand'!A:A,0)),"")</f>
        <v/>
      </c>
      <c r="C254" s="25" t="str">
        <f>IFERROR(INDEX('Hun Demand'!U:U,MATCH(O254,'Hun Demand'!A:A,0)),"")</f>
        <v/>
      </c>
      <c r="D254" s="25" t="str">
        <f>IFERROR(INDEX('Hun Demand'!T:T,MATCH(O254,'Hun Demand'!A:A,0)),"")</f>
        <v/>
      </c>
      <c r="E254" s="25" t="str">
        <f>IFERROR(INDEX('Hun Demand'!S:S,MATCH(O254,'Hun Demand'!A:A,0)),"")</f>
        <v/>
      </c>
      <c r="F254" s="25" t="str">
        <f>IFERROR(INDEX('Hun Demand'!R:R,MATCH(O254,'Hun Demand'!A:A,0)),"")</f>
        <v/>
      </c>
      <c r="G254" s="25">
        <f>IFERROR(INDEX('Aub Demand'!W:W,MATCH(O254,'Aub Demand'!A:A,0)),"")</f>
        <v>0</v>
      </c>
      <c r="H254" s="25">
        <f>IFERROR(INDEX('Aub Demand'!V:V,MATCH(O254,'Aub Demand'!A:A,0)),"")</f>
        <v>0</v>
      </c>
      <c r="I254" s="25">
        <f>IFERROR(INDEX('Aub Demand'!U:U,MATCH(O254,'Aub Demand'!A:A,0)),"")</f>
        <v>0</v>
      </c>
      <c r="J254" s="25">
        <f>IFERROR(INDEX('Aub Demand'!T:T,MATCH(O254,'Aub Demand'!A:A,0)),"")</f>
        <v>0</v>
      </c>
      <c r="K254" s="25">
        <f>IFERROR(INDEX('Aub Demand'!S:S,MATCH(O254,'Aub Demand'!A:A,0)),"")</f>
        <v>0</v>
      </c>
      <c r="L254" s="25">
        <f>IFERROR(INDEX('Aub Demand'!R:R,MATCH(O254,'Aub Demand'!A:A,0)),"")</f>
        <v>0</v>
      </c>
      <c r="O254" s="27" t="s">
        <v>455</v>
      </c>
      <c r="P254" s="27" t="str">
        <f>IFERROR(INDEX('Aub Demand'!B:B,MATCH($O254,'Aub Demand'!$A:$A,0)),"")</f>
        <v>BEIGE LINEN</v>
      </c>
      <c r="Q254" s="27" t="str">
        <f>IFERROR(INDEX('Aub Demand'!C:C,MATCH($O254,'Aub Demand'!$A:$A,0)),"")</f>
        <v>TOPPA</v>
      </c>
      <c r="R254" s="52">
        <f>IFERROR(IF(AR255=AR254,INDEX('Aub Demand'!K:K,MATCH($O254,'Aub Demand'!$A:$A,0))-IF(AN254="",0,AN254)+AP255,INDEX('Aub Demand'!K:K,MATCH($O254,'Aub Demand'!$A:$A,0))-IF(AN254="",0,AN254)),"")</f>
        <v>302</v>
      </c>
      <c r="S254" s="53" t="str">
        <f t="shared" si="84"/>
        <v>n/a</v>
      </c>
      <c r="T254" s="52" t="str">
        <f t="shared" si="85"/>
        <v/>
      </c>
      <c r="U254" s="52">
        <f>IFERROR(IF(AR255=AR254,INDEX('Aub Demand'!Q:Q,MATCH($O254,'Aub Demand'!$A:$A,0))-IF(AN254="",0,AN254)+AP255,INDEX('Aub Demand'!Q:Q,MATCH($O254,'Aub Demand'!$A:$A,0))-IF(AN254="",0,AN254)),"")</f>
        <v>282</v>
      </c>
      <c r="V254" s="53" t="str">
        <f t="shared" si="86"/>
        <v>n/a</v>
      </c>
      <c r="W254" s="52" t="str">
        <f t="shared" si="87"/>
        <v/>
      </c>
      <c r="X254" s="52">
        <f>IFERROR(IF(AND(AR255=AR254,AM254&lt;&gt;""),INDEX('Aub Demand'!Q:Q,MATCH($O254,'Aub Demand'!$A:$A,0))-IF(AN254="",0,AN254)+AP255+AD254+AL254,IF(AR255=AR254,INDEX('Aub Demand'!Q:Q,MATCH($O254,'Aub Demand'!$A:$A,0))-IF(AN254="",0,AN254)+AP255+AD254,IF(AM254&lt;&gt;"",INDEX('Aub Demand'!Q:Q,MATCH($O254,'Aub Demand'!$A:$A,0))-IF(AN254="",0,AN254)+AD254+AL254,INDEX('Aub Demand'!Q:Q,MATCH($O254,'Aub Demand'!$A:$A,0))-IF(AN254="",0,AN254)+AD254))),"")</f>
        <v>282</v>
      </c>
      <c r="Y254" s="53" t="str">
        <f t="shared" si="88"/>
        <v>n/a</v>
      </c>
      <c r="Z254" s="52">
        <f>IF(L254="","",INDEX('Aub Demand'!H:H,MATCH($O254,'Aub Demand'!$A:$A,0)))</f>
        <v>0</v>
      </c>
      <c r="AA254" s="52" t="str">
        <f t="shared" si="89"/>
        <v>-spike-</v>
      </c>
      <c r="AB254" s="52">
        <f>IFERROR(INDEX('Aub Demand'!L:L,MATCH($O254,'Aub Demand'!$A:$A,0)),"")</f>
        <v>0</v>
      </c>
      <c r="AC254" s="52">
        <f>IFERROR(IF(O254="","",SUMIFS('CPL Mats'!F:F,'CPL Mats'!Q:Q,AR254,'CPL Mats'!S:S,AS254)),"")</f>
        <v>0</v>
      </c>
      <c r="AF254" s="25" t="str">
        <f>IF(SUMIFS('Supp Consol'!S:S,'Supp Consol'!Y:Y,"Releasable",'Supp Consol'!A:A,O254)=0,"",SUMIFS('Supp Consol'!S:S,'Supp Consol'!Y:Y,"Releasable",'Supp Consol'!A:A,O254))</f>
        <v/>
      </c>
      <c r="AG254" s="25" t="str">
        <f>IFERROR(INDEX('Hun Demand'!Q:Q,MATCH(O254,'Hun Demand'!A:A,0)),"")</f>
        <v/>
      </c>
      <c r="AH254" s="25" t="str">
        <f>IFERROR(INDEX('Hun Demand'!H:H,MATCH($O254,'Hun Demand'!$A:$A,0)),"")</f>
        <v/>
      </c>
      <c r="AI254" s="25" t="str">
        <f>IF(SUMIFS('Supp Consol'!AA:AA,'Supp Consol'!Z:Z,"Expires this month",'Supp Consol'!A:A,O254)=0,"",SUMIFS('Supp Consol'!AA:AA,'Supp Consol'!Z:Z,"Expires this month",'Supp Consol'!A:A,O254))</f>
        <v/>
      </c>
      <c r="AJ254" s="25" t="str">
        <f>IF(SUMIFS('Supp Consol'!AA:AA,'Supp Consol'!Z:Z,"Expired Previous Months",'Supp Consol'!A:A,O254)=0,"",SUMIFS('Supp Consol'!AA:AA,'Supp Consol'!Z:Z,"Expired Previous Months",'Supp Consol'!A:A,O254))</f>
        <v/>
      </c>
      <c r="AK254" s="25" t="str">
        <f>IFERROR(INDEX('Hun Release Current'!B:B,MATCH(O254,'Hun Release Current'!A:A,0)),"")</f>
        <v/>
      </c>
      <c r="AL254" s="25" t="str">
        <f>IF(SUMIF('Prev Aub'!A:A,O254,'Prev Aub'!B:B)=0,"",SUMIF('Prev Aub'!A:A,O254,'Prev Aub'!B:B))</f>
        <v/>
      </c>
      <c r="AN254" s="25" t="s">
        <v>3790</v>
      </c>
      <c r="AO254" s="25" t="s">
        <v>3790</v>
      </c>
      <c r="AP254" s="25">
        <f t="shared" si="90"/>
        <v>0</v>
      </c>
      <c r="AQ254" s="151" t="str">
        <f>IF(SUMIFS('Supp Consol'!S:S,'Supp Consol'!A:A,O254,'Supp Consol'!I:I,"PENDING")=0,"",SUMIFS('Supp Consol'!S:S,'Supp Consol'!A:A,O254,'Supp Consol'!I:I,"PENDING"))</f>
        <v/>
      </c>
      <c r="AR254" s="27" t="str">
        <f t="shared" si="91"/>
        <v>AT301</v>
      </c>
      <c r="AS254" s="27" t="str">
        <f t="shared" si="92"/>
        <v>62</v>
      </c>
      <c r="AT254" s="27" t="str">
        <f t="shared" si="93"/>
        <v/>
      </c>
      <c r="AU254" s="27" t="str">
        <f t="shared" si="94"/>
        <v/>
      </c>
      <c r="AV254" s="27" t="str">
        <f t="shared" si="95"/>
        <v/>
      </c>
      <c r="AW254" s="27" t="str">
        <f t="shared" si="96"/>
        <v/>
      </c>
      <c r="AX254" s="27" t="str">
        <f t="shared" si="97"/>
        <v/>
      </c>
      <c r="AY254" s="27" t="str">
        <f t="shared" si="98"/>
        <v/>
      </c>
      <c r="AZ254" s="27" t="str">
        <f t="shared" si="99"/>
        <v/>
      </c>
      <c r="BA254" s="27" t="str">
        <f t="shared" si="100"/>
        <v/>
      </c>
      <c r="BB254" s="27" t="str">
        <f t="shared" si="101"/>
        <v>Gross</v>
      </c>
      <c r="BC254" s="27" t="str">
        <f t="shared" si="102"/>
        <v>Net</v>
      </c>
      <c r="BD254" s="27" t="str">
        <f t="shared" si="103"/>
        <v>Net</v>
      </c>
      <c r="BE254" s="27" t="str">
        <f t="shared" si="104"/>
        <v/>
      </c>
      <c r="BF254" s="27" t="str">
        <f t="shared" si="105"/>
        <v/>
      </c>
      <c r="BG254" s="27" t="str">
        <f t="shared" si="106"/>
        <v/>
      </c>
      <c r="BH254" s="27" t="str">
        <f t="shared" si="107"/>
        <v/>
      </c>
      <c r="BI254" s="27" t="str">
        <f t="shared" si="108"/>
        <v/>
      </c>
      <c r="BJ254" s="27" t="str">
        <f t="shared" si="109"/>
        <v/>
      </c>
      <c r="BK254" s="27" t="str">
        <f t="shared" si="110"/>
        <v/>
      </c>
      <c r="BL254" s="27" t="str">
        <f t="shared" si="111"/>
        <v/>
      </c>
      <c r="BM254" s="21" t="s">
        <v>5581</v>
      </c>
    </row>
    <row r="255" spans="1:65" ht="15">
      <c r="A255" s="25" t="str">
        <f>IFERROR(INDEX('Hun Demand'!W:W,MATCH(O255,'Hun Demand'!A:A,0)),"")</f>
        <v/>
      </c>
      <c r="B255" s="25" t="str">
        <f>IFERROR(INDEX('Hun Demand'!V:V,MATCH(O255,'Hun Demand'!A:A,0)),"")</f>
        <v/>
      </c>
      <c r="C255" s="25" t="str">
        <f>IFERROR(INDEX('Hun Demand'!U:U,MATCH(O255,'Hun Demand'!A:A,0)),"")</f>
        <v/>
      </c>
      <c r="D255" s="25" t="str">
        <f>IFERROR(INDEX('Hun Demand'!T:T,MATCH(O255,'Hun Demand'!A:A,0)),"")</f>
        <v/>
      </c>
      <c r="E255" s="25" t="str">
        <f>IFERROR(INDEX('Hun Demand'!S:S,MATCH(O255,'Hun Demand'!A:A,0)),"")</f>
        <v/>
      </c>
      <c r="F255" s="25" t="str">
        <f>IFERROR(INDEX('Hun Demand'!R:R,MATCH(O255,'Hun Demand'!A:A,0)),"")</f>
        <v/>
      </c>
      <c r="G255" s="25">
        <f>IFERROR(INDEX('Aub Demand'!W:W,MATCH(O255,'Aub Demand'!A:A,0)),"")</f>
        <v>0</v>
      </c>
      <c r="H255" s="25">
        <f>IFERROR(INDEX('Aub Demand'!V:V,MATCH(O255,'Aub Demand'!A:A,0)),"")</f>
        <v>14</v>
      </c>
      <c r="I255" s="25">
        <f>IFERROR(INDEX('Aub Demand'!U:U,MATCH(O255,'Aub Demand'!A:A,0)),"")</f>
        <v>0</v>
      </c>
      <c r="J255" s="25">
        <f>IFERROR(INDEX('Aub Demand'!T:T,MATCH(O255,'Aub Demand'!A:A,0)),"")</f>
        <v>0</v>
      </c>
      <c r="K255" s="25">
        <f>IFERROR(INDEX('Aub Demand'!S:S,MATCH(O255,'Aub Demand'!A:A,0)),"")</f>
        <v>0</v>
      </c>
      <c r="L255" s="25">
        <f>IFERROR(INDEX('Aub Demand'!R:R,MATCH(O255,'Aub Demand'!A:A,0)),"")</f>
        <v>0</v>
      </c>
      <c r="O255" s="27" t="s">
        <v>3325</v>
      </c>
      <c r="P255" s="27" t="str">
        <f>IFERROR(INDEX('Aub Demand'!B:B,MATCH($O255,'Aub Demand'!$A:$A,0)),"")</f>
        <v>ALGONQUIN ALLURE</v>
      </c>
      <c r="Q255" s="27">
        <f>IFERROR(INDEX('Aub Demand'!C:C,MATCH($O255,'Aub Demand'!$A:$A,0)),"")</f>
        <v>0</v>
      </c>
      <c r="R255" s="52">
        <f>IFERROR(IF(AR256=AR255,INDEX('Aub Demand'!K:K,MATCH($O255,'Aub Demand'!$A:$A,0))-IF(AN255="",0,AN255)+AP256,INDEX('Aub Demand'!K:K,MATCH($O255,'Aub Demand'!$A:$A,0))-IF(AN255="",0,AN255)),"")</f>
        <v>452</v>
      </c>
      <c r="S255" s="53" t="str">
        <f t="shared" si="84"/>
        <v>n/a</v>
      </c>
      <c r="T255" s="52" t="str">
        <f t="shared" si="85"/>
        <v/>
      </c>
      <c r="U255" s="52">
        <f>IFERROR(IF(AR256=AR255,INDEX('Aub Demand'!Q:Q,MATCH($O255,'Aub Demand'!$A:$A,0))-IF(AN255="",0,AN255)+AP256,INDEX('Aub Demand'!Q:Q,MATCH($O255,'Aub Demand'!$A:$A,0))-IF(AN255="",0,AN255)),"")</f>
        <v>452</v>
      </c>
      <c r="V255" s="53" t="str">
        <f t="shared" si="86"/>
        <v>n/a</v>
      </c>
      <c r="W255" s="52" t="str">
        <f t="shared" si="87"/>
        <v/>
      </c>
      <c r="X255" s="52">
        <f>IFERROR(IF(AND(AR256=AR255,AM255&lt;&gt;""),INDEX('Aub Demand'!Q:Q,MATCH($O255,'Aub Demand'!$A:$A,0))-IF(AN255="",0,AN255)+AP256+AD255+AL255,IF(AR256=AR255,INDEX('Aub Demand'!Q:Q,MATCH($O255,'Aub Demand'!$A:$A,0))-IF(AN255="",0,AN255)+AP256+AD255,IF(AM255&lt;&gt;"",INDEX('Aub Demand'!Q:Q,MATCH($O255,'Aub Demand'!$A:$A,0))-IF(AN255="",0,AN255)+AD255+AL255,INDEX('Aub Demand'!Q:Q,MATCH($O255,'Aub Demand'!$A:$A,0))-IF(AN255="",0,AN255)+AD255))),"")</f>
        <v>452</v>
      </c>
      <c r="Y255" s="53" t="str">
        <f t="shared" si="88"/>
        <v>n/a</v>
      </c>
      <c r="Z255" s="52">
        <f>IF(L255="","",INDEX('Aub Demand'!H:H,MATCH($O255,'Aub Demand'!$A:$A,0)))</f>
        <v>0</v>
      </c>
      <c r="AA255" s="52" t="str">
        <f t="shared" si="89"/>
        <v>-spike-</v>
      </c>
      <c r="AB255" s="52">
        <f>IFERROR(INDEX('Aub Demand'!L:L,MATCH($O255,'Aub Demand'!$A:$A,0)),"")</f>
        <v>0</v>
      </c>
      <c r="AC255" s="52">
        <f>IFERROR(IF(O255="","",SUMIFS('CPL Mats'!F:F,'CPL Mats'!Q:Q,AR255,'CPL Mats'!S:S,AS255)),"")</f>
        <v>0</v>
      </c>
      <c r="AF255" s="25" t="str">
        <f>IF(SUMIFS('Supp Consol'!S:S,'Supp Consol'!Y:Y,"Releasable",'Supp Consol'!A:A,O255)=0,"",SUMIFS('Supp Consol'!S:S,'Supp Consol'!Y:Y,"Releasable",'Supp Consol'!A:A,O255))</f>
        <v/>
      </c>
      <c r="AG255" s="25" t="str">
        <f>IFERROR(INDEX('Hun Demand'!Q:Q,MATCH(O255,'Hun Demand'!A:A,0)),"")</f>
        <v/>
      </c>
      <c r="AH255" s="25" t="str">
        <f>IFERROR(INDEX('Hun Demand'!H:H,MATCH($O255,'Hun Demand'!$A:$A,0)),"")</f>
        <v/>
      </c>
      <c r="AI255" s="25" t="str">
        <f>IF(SUMIFS('Supp Consol'!AA:AA,'Supp Consol'!Z:Z,"Expires this month",'Supp Consol'!A:A,O255)=0,"",SUMIFS('Supp Consol'!AA:AA,'Supp Consol'!Z:Z,"Expires this month",'Supp Consol'!A:A,O255))</f>
        <v/>
      </c>
      <c r="AJ255" s="25" t="str">
        <f>IF(SUMIFS('Supp Consol'!AA:AA,'Supp Consol'!Z:Z,"Expired Previous Months",'Supp Consol'!A:A,O255)=0,"",SUMIFS('Supp Consol'!AA:AA,'Supp Consol'!Z:Z,"Expired Previous Months",'Supp Consol'!A:A,O255))</f>
        <v/>
      </c>
      <c r="AK255" s="25" t="str">
        <f>IFERROR(INDEX('Hun Release Current'!B:B,MATCH(O255,'Hun Release Current'!A:A,0)),"")</f>
        <v/>
      </c>
      <c r="AL255" s="25" t="str">
        <f>IF(SUMIF('Prev Aub'!A:A,O255,'Prev Aub'!B:B)=0,"",SUMIF('Prev Aub'!A:A,O255,'Prev Aub'!B:B))</f>
        <v/>
      </c>
      <c r="AN255" s="25" t="s">
        <v>3790</v>
      </c>
      <c r="AO255" s="25" t="s">
        <v>3790</v>
      </c>
      <c r="AP255" s="25">
        <f t="shared" si="90"/>
        <v>0</v>
      </c>
      <c r="AQ255" s="151" t="str">
        <f>IF(SUMIFS('Supp Consol'!S:S,'Supp Consol'!A:A,O255,'Supp Consol'!I:I,"PENDING")=0,"",SUMIFS('Supp Consol'!S:S,'Supp Consol'!A:A,O255,'Supp Consol'!I:I,"PENDING"))</f>
        <v/>
      </c>
      <c r="AR255" s="27" t="str">
        <f t="shared" si="91"/>
        <v>AT311</v>
      </c>
      <c r="AS255" s="27" t="str">
        <f t="shared" si="92"/>
        <v>62</v>
      </c>
      <c r="AT255" s="27" t="str">
        <f t="shared" si="93"/>
        <v/>
      </c>
      <c r="AU255" s="27" t="str">
        <f t="shared" si="94"/>
        <v/>
      </c>
      <c r="AV255" s="27" t="str">
        <f t="shared" si="95"/>
        <v/>
      </c>
      <c r="AW255" s="27" t="str">
        <f t="shared" si="96"/>
        <v/>
      </c>
      <c r="AX255" s="27" t="str">
        <f t="shared" si="97"/>
        <v/>
      </c>
      <c r="AY255" s="27" t="str">
        <f t="shared" si="98"/>
        <v/>
      </c>
      <c r="AZ255" s="27" t="str">
        <f t="shared" si="99"/>
        <v/>
      </c>
      <c r="BA255" s="27" t="str">
        <f t="shared" si="100"/>
        <v/>
      </c>
      <c r="BB255" s="27" t="str">
        <f t="shared" si="101"/>
        <v/>
      </c>
      <c r="BC255" s="27" t="str">
        <f t="shared" si="102"/>
        <v/>
      </c>
      <c r="BD255" s="27" t="str">
        <f t="shared" si="103"/>
        <v/>
      </c>
      <c r="BE255" s="27" t="str">
        <f t="shared" si="104"/>
        <v/>
      </c>
      <c r="BF255" s="27" t="str">
        <f t="shared" si="105"/>
        <v/>
      </c>
      <c r="BG255" s="27" t="str">
        <f t="shared" si="106"/>
        <v/>
      </c>
      <c r="BH255" s="27" t="str">
        <f t="shared" si="107"/>
        <v/>
      </c>
      <c r="BI255" s="27" t="str">
        <f t="shared" si="108"/>
        <v/>
      </c>
      <c r="BJ255" s="27" t="str">
        <f t="shared" si="109"/>
        <v/>
      </c>
      <c r="BK255" s="27" t="str">
        <f t="shared" si="110"/>
        <v/>
      </c>
      <c r="BL255" s="27" t="str">
        <f t="shared" si="111"/>
        <v/>
      </c>
      <c r="BM255" s="21" t="s">
        <v>5581</v>
      </c>
    </row>
    <row r="256" spans="1:65" ht="15">
      <c r="A256" s="25" t="str">
        <f>IFERROR(INDEX('Hun Demand'!W:W,MATCH(O256,'Hun Demand'!A:A,0)),"")</f>
        <v/>
      </c>
      <c r="B256" s="25" t="str">
        <f>IFERROR(INDEX('Hun Demand'!V:V,MATCH(O256,'Hun Demand'!A:A,0)),"")</f>
        <v/>
      </c>
      <c r="C256" s="25" t="str">
        <f>IFERROR(INDEX('Hun Demand'!U:U,MATCH(O256,'Hun Demand'!A:A,0)),"")</f>
        <v/>
      </c>
      <c r="D256" s="25" t="str">
        <f>IFERROR(INDEX('Hun Demand'!T:T,MATCH(O256,'Hun Demand'!A:A,0)),"")</f>
        <v/>
      </c>
      <c r="E256" s="25" t="str">
        <f>IFERROR(INDEX('Hun Demand'!S:S,MATCH(O256,'Hun Demand'!A:A,0)),"")</f>
        <v/>
      </c>
      <c r="F256" s="25" t="str">
        <f>IFERROR(INDEX('Hun Demand'!R:R,MATCH(O256,'Hun Demand'!A:A,0)),"")</f>
        <v/>
      </c>
      <c r="G256" s="25">
        <f>IFERROR(INDEX('Aub Demand'!W:W,MATCH(O256,'Aub Demand'!A:A,0)),"")</f>
        <v>46</v>
      </c>
      <c r="H256" s="25">
        <f>IFERROR(INDEX('Aub Demand'!V:V,MATCH(O256,'Aub Demand'!A:A,0)),"")</f>
        <v>26</v>
      </c>
      <c r="I256" s="25">
        <f>IFERROR(INDEX('Aub Demand'!U:U,MATCH(O256,'Aub Demand'!A:A,0)),"")</f>
        <v>6</v>
      </c>
      <c r="J256" s="25">
        <f>IFERROR(INDEX('Aub Demand'!T:T,MATCH(O256,'Aub Demand'!A:A,0)),"")</f>
        <v>0</v>
      </c>
      <c r="K256" s="25">
        <f>IFERROR(INDEX('Aub Demand'!S:S,MATCH(O256,'Aub Demand'!A:A,0)),"")</f>
        <v>0</v>
      </c>
      <c r="L256" s="25">
        <f>IFERROR(INDEX('Aub Demand'!R:R,MATCH(O256,'Aub Demand'!A:A,0)),"")</f>
        <v>0</v>
      </c>
      <c r="O256" s="27" t="s">
        <v>3327</v>
      </c>
      <c r="P256" s="27" t="str">
        <f>IFERROR(INDEX('Aub Demand'!B:B,MATCH($O256,'Aub Demand'!$A:$A,0)),"")</f>
        <v>EGYPTIAN ALLURE</v>
      </c>
      <c r="Q256" s="27">
        <f>IFERROR(INDEX('Aub Demand'!C:C,MATCH($O256,'Aub Demand'!$A:$A,0)),"")</f>
        <v>0</v>
      </c>
      <c r="R256" s="52">
        <f>IFERROR(IF(AR257=AR256,INDEX('Aub Demand'!K:K,MATCH($O256,'Aub Demand'!$A:$A,0))-IF(AN256="",0,AN256)+AP257,INDEX('Aub Demand'!K:K,MATCH($O256,'Aub Demand'!$A:$A,0))-IF(AN256="",0,AN256)),"")</f>
        <v>74</v>
      </c>
      <c r="S256" s="53">
        <f t="shared" si="84"/>
        <v>158.6</v>
      </c>
      <c r="T256" s="52" t="str">
        <f t="shared" si="85"/>
        <v/>
      </c>
      <c r="U256" s="52">
        <f>IFERROR(IF(AR257=AR256,INDEX('Aub Demand'!Q:Q,MATCH($O256,'Aub Demand'!$A:$A,0))-IF(AN256="",0,AN256)+AP257,INDEX('Aub Demand'!Q:Q,MATCH($O256,'Aub Demand'!$A:$A,0))-IF(AN256="",0,AN256)),"")</f>
        <v>66</v>
      </c>
      <c r="V256" s="53">
        <f t="shared" si="86"/>
        <v>141.4</v>
      </c>
      <c r="W256" s="52" t="str">
        <f t="shared" si="87"/>
        <v/>
      </c>
      <c r="X256" s="52">
        <f>IFERROR(IF(AND(AR257=AR256,AM256&lt;&gt;""),INDEX('Aub Demand'!Q:Q,MATCH($O256,'Aub Demand'!$A:$A,0))-IF(AN256="",0,AN256)+AP257+AD256+AL256,IF(AR257=AR256,INDEX('Aub Demand'!Q:Q,MATCH($O256,'Aub Demand'!$A:$A,0))-IF(AN256="",0,AN256)+AP257+AD256,IF(AM256&lt;&gt;"",INDEX('Aub Demand'!Q:Q,MATCH($O256,'Aub Demand'!$A:$A,0))-IF(AN256="",0,AN256)+AD256+AL256,INDEX('Aub Demand'!Q:Q,MATCH($O256,'Aub Demand'!$A:$A,0))-IF(AN256="",0,AN256)+AD256))),"")</f>
        <v>66</v>
      </c>
      <c r="Y256" s="53">
        <f t="shared" si="88"/>
        <v>141.4</v>
      </c>
      <c r="Z256" s="52">
        <f>IF(L256="","",INDEX('Aub Demand'!H:H,MATCH($O256,'Aub Demand'!$A:$A,0)))</f>
        <v>2</v>
      </c>
      <c r="AA256" s="52" t="str">
        <f t="shared" si="89"/>
        <v>-spike-</v>
      </c>
      <c r="AB256" s="52">
        <f>IFERROR(INDEX('Aub Demand'!L:L,MATCH($O256,'Aub Demand'!$A:$A,0)),"")</f>
        <v>6</v>
      </c>
      <c r="AC256" s="52">
        <f>IFERROR(IF(O256="","",SUMIFS('CPL Mats'!F:F,'CPL Mats'!Q:Q,AR256,'CPL Mats'!S:S,AS256)),"")</f>
        <v>0</v>
      </c>
      <c r="AF256" s="25" t="str">
        <f>IF(SUMIFS('Supp Consol'!S:S,'Supp Consol'!Y:Y,"Releasable",'Supp Consol'!A:A,O256)=0,"",SUMIFS('Supp Consol'!S:S,'Supp Consol'!Y:Y,"Releasable",'Supp Consol'!A:A,O256))</f>
        <v/>
      </c>
      <c r="AG256" s="25" t="str">
        <f>IFERROR(INDEX('Hun Demand'!Q:Q,MATCH(O256,'Hun Demand'!A:A,0)),"")</f>
        <v/>
      </c>
      <c r="AH256" s="25" t="str">
        <f>IFERROR(INDEX('Hun Demand'!H:H,MATCH($O256,'Hun Demand'!$A:$A,0)),"")</f>
        <v/>
      </c>
      <c r="AI256" s="25" t="str">
        <f>IF(SUMIFS('Supp Consol'!AA:AA,'Supp Consol'!Z:Z,"Expires this month",'Supp Consol'!A:A,O256)=0,"",SUMIFS('Supp Consol'!AA:AA,'Supp Consol'!Z:Z,"Expires this month",'Supp Consol'!A:A,O256))</f>
        <v/>
      </c>
      <c r="AJ256" s="25" t="str">
        <f>IF(SUMIFS('Supp Consol'!AA:AA,'Supp Consol'!Z:Z,"Expired Previous Months",'Supp Consol'!A:A,O256)=0,"",SUMIFS('Supp Consol'!AA:AA,'Supp Consol'!Z:Z,"Expired Previous Months",'Supp Consol'!A:A,O256))</f>
        <v/>
      </c>
      <c r="AK256" s="25" t="str">
        <f>IFERROR(INDEX('Hun Release Current'!B:B,MATCH(O256,'Hun Release Current'!A:A,0)),"")</f>
        <v/>
      </c>
      <c r="AL256" s="25" t="str">
        <f>IF(SUMIF('Prev Aub'!A:A,O256,'Prev Aub'!B:B)=0,"",SUMIF('Prev Aub'!A:A,O256,'Prev Aub'!B:B))</f>
        <v/>
      </c>
      <c r="AN256" s="25" t="s">
        <v>3790</v>
      </c>
      <c r="AO256" s="25" t="s">
        <v>3790</v>
      </c>
      <c r="AP256" s="25">
        <f t="shared" si="90"/>
        <v>0</v>
      </c>
      <c r="AQ256" s="151" t="str">
        <f>IF(SUMIFS('Supp Consol'!S:S,'Supp Consol'!A:A,O256,'Supp Consol'!I:I,"PENDING")=0,"",SUMIFS('Supp Consol'!S:S,'Supp Consol'!A:A,O256,'Supp Consol'!I:I,"PENDING"))</f>
        <v/>
      </c>
      <c r="AR256" s="27" t="str">
        <f t="shared" si="91"/>
        <v>AT321</v>
      </c>
      <c r="AS256" s="27" t="str">
        <f t="shared" si="92"/>
        <v>62</v>
      </c>
      <c r="AT256" s="27" t="str">
        <f t="shared" si="93"/>
        <v/>
      </c>
      <c r="AU256" s="27" t="str">
        <f t="shared" si="94"/>
        <v/>
      </c>
      <c r="AV256" s="27" t="str">
        <f t="shared" si="95"/>
        <v/>
      </c>
      <c r="AW256" s="27" t="str">
        <f t="shared" si="96"/>
        <v/>
      </c>
      <c r="AX256" s="27" t="str">
        <f t="shared" si="97"/>
        <v/>
      </c>
      <c r="AY256" s="27" t="str">
        <f t="shared" si="98"/>
        <v/>
      </c>
      <c r="AZ256" s="27" t="str">
        <f t="shared" si="99"/>
        <v/>
      </c>
      <c r="BA256" s="27" t="str">
        <f t="shared" si="100"/>
        <v/>
      </c>
      <c r="BB256" s="27" t="str">
        <f t="shared" si="101"/>
        <v/>
      </c>
      <c r="BC256" s="27" t="str">
        <f t="shared" si="102"/>
        <v/>
      </c>
      <c r="BD256" s="27" t="str">
        <f t="shared" si="103"/>
        <v/>
      </c>
      <c r="BE256" s="27" t="str">
        <f t="shared" si="104"/>
        <v/>
      </c>
      <c r="BF256" s="27" t="str">
        <f t="shared" si="105"/>
        <v/>
      </c>
      <c r="BG256" s="27" t="str">
        <f t="shared" si="106"/>
        <v/>
      </c>
      <c r="BH256" s="27" t="str">
        <f t="shared" si="107"/>
        <v/>
      </c>
      <c r="BI256" s="27" t="str">
        <f t="shared" si="108"/>
        <v/>
      </c>
      <c r="BJ256" s="27" t="str">
        <f t="shared" si="109"/>
        <v/>
      </c>
      <c r="BK256" s="27" t="str">
        <f t="shared" si="110"/>
        <v/>
      </c>
      <c r="BL256" s="27" t="str">
        <f t="shared" si="111"/>
        <v/>
      </c>
      <c r="BM256" s="21" t="s">
        <v>5581</v>
      </c>
    </row>
    <row r="257" spans="1:65" ht="15">
      <c r="A257" s="25" t="str">
        <f>IFERROR(INDEX('Hun Demand'!W:W,MATCH(O257,'Hun Demand'!A:A,0)),"")</f>
        <v/>
      </c>
      <c r="B257" s="25" t="str">
        <f>IFERROR(INDEX('Hun Demand'!V:V,MATCH(O257,'Hun Demand'!A:A,0)),"")</f>
        <v/>
      </c>
      <c r="C257" s="25" t="str">
        <f>IFERROR(INDEX('Hun Demand'!U:U,MATCH(O257,'Hun Demand'!A:A,0)),"")</f>
        <v/>
      </c>
      <c r="D257" s="25" t="str">
        <f>IFERROR(INDEX('Hun Demand'!T:T,MATCH(O257,'Hun Demand'!A:A,0)),"")</f>
        <v/>
      </c>
      <c r="E257" s="25" t="str">
        <f>IFERROR(INDEX('Hun Demand'!S:S,MATCH(O257,'Hun Demand'!A:A,0)),"")</f>
        <v/>
      </c>
      <c r="F257" s="25" t="str">
        <f>IFERROR(INDEX('Hun Demand'!R:R,MATCH(O257,'Hun Demand'!A:A,0)),"")</f>
        <v/>
      </c>
      <c r="G257" s="25">
        <f>IFERROR(INDEX('Aub Demand'!W:W,MATCH(O257,'Aub Demand'!A:A,0)),"")</f>
        <v>0</v>
      </c>
      <c r="H257" s="25">
        <f>IFERROR(INDEX('Aub Demand'!V:V,MATCH(O257,'Aub Demand'!A:A,0)),"")</f>
        <v>0</v>
      </c>
      <c r="I257" s="25">
        <f>IFERROR(INDEX('Aub Demand'!U:U,MATCH(O257,'Aub Demand'!A:A,0)),"")</f>
        <v>0</v>
      </c>
      <c r="J257" s="25">
        <f>IFERROR(INDEX('Aub Demand'!T:T,MATCH(O257,'Aub Demand'!A:A,0)),"")</f>
        <v>0</v>
      </c>
      <c r="K257" s="25">
        <f>IFERROR(INDEX('Aub Demand'!S:S,MATCH(O257,'Aub Demand'!A:A,0)),"")</f>
        <v>0</v>
      </c>
      <c r="L257" s="25">
        <f>IFERROR(INDEX('Aub Demand'!R:R,MATCH(O257,'Aub Demand'!A:A,0)),"")</f>
        <v>0</v>
      </c>
      <c r="O257" s="27" t="s">
        <v>456</v>
      </c>
      <c r="P257" s="27" t="str">
        <f>IFERROR(INDEX('Aub Demand'!B:B,MATCH($O257,'Aub Demand'!$A:$A,0)),"")</f>
        <v>OASIS IN THE DESERT</v>
      </c>
      <c r="Q257" s="27" t="str">
        <f>IFERROR(INDEX('Aub Demand'!C:C,MATCH($O257,'Aub Demand'!$A:$A,0)),"")</f>
        <v>SUDDE</v>
      </c>
      <c r="R257" s="52">
        <f>IFERROR(IF(AR258=AR257,INDEX('Aub Demand'!K:K,MATCH($O257,'Aub Demand'!$A:$A,0))-IF(AN257="",0,AN257)+AP258,INDEX('Aub Demand'!K:K,MATCH($O257,'Aub Demand'!$A:$A,0))-IF(AN257="",0,AN257)),"")</f>
        <v>93</v>
      </c>
      <c r="S257" s="53" t="str">
        <f t="shared" si="84"/>
        <v>n/a</v>
      </c>
      <c r="T257" s="52" t="str">
        <f t="shared" si="85"/>
        <v/>
      </c>
      <c r="U257" s="52">
        <f>IFERROR(IF(AR258=AR257,INDEX('Aub Demand'!Q:Q,MATCH($O257,'Aub Demand'!$A:$A,0))-IF(AN257="",0,AN257)+AP258,INDEX('Aub Demand'!Q:Q,MATCH($O257,'Aub Demand'!$A:$A,0))-IF(AN257="",0,AN257)),"")</f>
        <v>93</v>
      </c>
      <c r="V257" s="53" t="str">
        <f t="shared" si="86"/>
        <v>n/a</v>
      </c>
      <c r="W257" s="52" t="str">
        <f t="shared" si="87"/>
        <v/>
      </c>
      <c r="X257" s="52">
        <f>IFERROR(IF(AND(AR258=AR257,AM257&lt;&gt;""),INDEX('Aub Demand'!Q:Q,MATCH($O257,'Aub Demand'!$A:$A,0))-IF(AN257="",0,AN257)+AP258+AD257+AL257,IF(AR258=AR257,INDEX('Aub Demand'!Q:Q,MATCH($O257,'Aub Demand'!$A:$A,0))-IF(AN257="",0,AN257)+AP258+AD257,IF(AM257&lt;&gt;"",INDEX('Aub Demand'!Q:Q,MATCH($O257,'Aub Demand'!$A:$A,0))-IF(AN257="",0,AN257)+AD257+AL257,INDEX('Aub Demand'!Q:Q,MATCH($O257,'Aub Demand'!$A:$A,0))-IF(AN257="",0,AN257)+AD257))),"")</f>
        <v>93</v>
      </c>
      <c r="Y257" s="53" t="str">
        <f t="shared" si="88"/>
        <v>n/a</v>
      </c>
      <c r="Z257" s="52">
        <f>IF(L257="","",INDEX('Aub Demand'!H:H,MATCH($O257,'Aub Demand'!$A:$A,0)))</f>
        <v>0</v>
      </c>
      <c r="AA257" s="52" t="str">
        <f t="shared" si="89"/>
        <v>-spike-</v>
      </c>
      <c r="AB257" s="52">
        <f>IFERROR(INDEX('Aub Demand'!L:L,MATCH($O257,'Aub Demand'!$A:$A,0)),"")</f>
        <v>0</v>
      </c>
      <c r="AC257" s="52">
        <f>IFERROR(IF(O257="","",SUMIFS('CPL Mats'!F:F,'CPL Mats'!Q:Q,AR257,'CPL Mats'!S:S,AS257)),"")</f>
        <v>0</v>
      </c>
      <c r="AF257" s="25" t="str">
        <f>IF(SUMIFS('Supp Consol'!S:S,'Supp Consol'!Y:Y,"Releasable",'Supp Consol'!A:A,O257)=0,"",SUMIFS('Supp Consol'!S:S,'Supp Consol'!Y:Y,"Releasable",'Supp Consol'!A:A,O257))</f>
        <v/>
      </c>
      <c r="AG257" s="25" t="str">
        <f>IFERROR(INDEX('Hun Demand'!Q:Q,MATCH(O257,'Hun Demand'!A:A,0)),"")</f>
        <v/>
      </c>
      <c r="AH257" s="25" t="str">
        <f>IFERROR(INDEX('Hun Demand'!H:H,MATCH($O257,'Hun Demand'!$A:$A,0)),"")</f>
        <v/>
      </c>
      <c r="AI257" s="25" t="str">
        <f>IF(SUMIFS('Supp Consol'!AA:AA,'Supp Consol'!Z:Z,"Expires this month",'Supp Consol'!A:A,O257)=0,"",SUMIFS('Supp Consol'!AA:AA,'Supp Consol'!Z:Z,"Expires this month",'Supp Consol'!A:A,O257))</f>
        <v/>
      </c>
      <c r="AJ257" s="25" t="str">
        <f>IF(SUMIFS('Supp Consol'!AA:AA,'Supp Consol'!Z:Z,"Expired Previous Months",'Supp Consol'!A:A,O257)=0,"",SUMIFS('Supp Consol'!AA:AA,'Supp Consol'!Z:Z,"Expired Previous Months",'Supp Consol'!A:A,O257))</f>
        <v/>
      </c>
      <c r="AK257" s="25" t="str">
        <f>IFERROR(INDEX('Hun Release Current'!B:B,MATCH(O257,'Hun Release Current'!A:A,0)),"")</f>
        <v/>
      </c>
      <c r="AL257" s="25" t="str">
        <f>IF(SUMIF('Prev Aub'!A:A,O257,'Prev Aub'!B:B)=0,"",SUMIF('Prev Aub'!A:A,O257,'Prev Aub'!B:B))</f>
        <v/>
      </c>
      <c r="AN257" s="25" t="s">
        <v>3790</v>
      </c>
      <c r="AO257" s="25" t="s">
        <v>3790</v>
      </c>
      <c r="AP257" s="25">
        <f t="shared" si="90"/>
        <v>0</v>
      </c>
      <c r="AQ257" s="151" t="str">
        <f>IF(SUMIFS('Supp Consol'!S:S,'Supp Consol'!A:A,O257,'Supp Consol'!I:I,"PENDING")=0,"",SUMIFS('Supp Consol'!S:S,'Supp Consol'!A:A,O257,'Supp Consol'!I:I,"PENDING"))</f>
        <v/>
      </c>
      <c r="AR257" s="27" t="str">
        <f t="shared" si="91"/>
        <v>AT351</v>
      </c>
      <c r="AS257" s="27" t="str">
        <f t="shared" si="92"/>
        <v>50</v>
      </c>
      <c r="AT257" s="27" t="str">
        <f t="shared" si="93"/>
        <v/>
      </c>
      <c r="AU257" s="27" t="str">
        <f t="shared" si="94"/>
        <v/>
      </c>
      <c r="AV257" s="27" t="str">
        <f t="shared" si="95"/>
        <v/>
      </c>
      <c r="AW257" s="27" t="str">
        <f t="shared" si="96"/>
        <v/>
      </c>
      <c r="AX257" s="27" t="str">
        <f t="shared" si="97"/>
        <v/>
      </c>
      <c r="AY257" s="27" t="str">
        <f t="shared" si="98"/>
        <v/>
      </c>
      <c r="AZ257" s="27" t="str">
        <f t="shared" si="99"/>
        <v/>
      </c>
      <c r="BA257" s="27" t="str">
        <f t="shared" si="100"/>
        <v/>
      </c>
      <c r="BB257" s="27" t="str">
        <f t="shared" si="101"/>
        <v/>
      </c>
      <c r="BC257" s="27" t="str">
        <f t="shared" si="102"/>
        <v/>
      </c>
      <c r="BD257" s="27" t="str">
        <f t="shared" si="103"/>
        <v/>
      </c>
      <c r="BE257" s="27" t="str">
        <f t="shared" si="104"/>
        <v/>
      </c>
      <c r="BF257" s="27" t="str">
        <f t="shared" si="105"/>
        <v/>
      </c>
      <c r="BG257" s="27" t="str">
        <f t="shared" si="106"/>
        <v/>
      </c>
      <c r="BH257" s="27" t="str">
        <f t="shared" si="107"/>
        <v/>
      </c>
      <c r="BI257" s="27" t="str">
        <f t="shared" si="108"/>
        <v/>
      </c>
      <c r="BJ257" s="27" t="str">
        <f t="shared" si="109"/>
        <v/>
      </c>
      <c r="BK257" s="27" t="str">
        <f t="shared" si="110"/>
        <v/>
      </c>
      <c r="BL257" s="27" t="str">
        <f t="shared" si="111"/>
        <v/>
      </c>
      <c r="BM257" s="21" t="s">
        <v>3790</v>
      </c>
    </row>
    <row r="258" spans="1:65" ht="15">
      <c r="A258" s="25" t="str">
        <f>IFERROR(INDEX('Hun Demand'!W:W,MATCH(O258,'Hun Demand'!A:A,0)),"")</f>
        <v/>
      </c>
      <c r="B258" s="25" t="str">
        <f>IFERROR(INDEX('Hun Demand'!V:V,MATCH(O258,'Hun Demand'!A:A,0)),"")</f>
        <v/>
      </c>
      <c r="C258" s="25" t="str">
        <f>IFERROR(INDEX('Hun Demand'!U:U,MATCH(O258,'Hun Demand'!A:A,0)),"")</f>
        <v/>
      </c>
      <c r="D258" s="25" t="str">
        <f>IFERROR(INDEX('Hun Demand'!T:T,MATCH(O258,'Hun Demand'!A:A,0)),"")</f>
        <v/>
      </c>
      <c r="E258" s="25" t="str">
        <f>IFERROR(INDEX('Hun Demand'!S:S,MATCH(O258,'Hun Demand'!A:A,0)),"")</f>
        <v/>
      </c>
      <c r="F258" s="25" t="str">
        <f>IFERROR(INDEX('Hun Demand'!R:R,MATCH(O258,'Hun Demand'!A:A,0)),"")</f>
        <v/>
      </c>
      <c r="G258" s="25">
        <f>IFERROR(INDEX('Aub Demand'!W:W,MATCH(O258,'Aub Demand'!A:A,0)),"")</f>
        <v>0</v>
      </c>
      <c r="H258" s="25">
        <f>IFERROR(INDEX('Aub Demand'!V:V,MATCH(O258,'Aub Demand'!A:A,0)),"")</f>
        <v>0</v>
      </c>
      <c r="I258" s="25">
        <f>IFERROR(INDEX('Aub Demand'!U:U,MATCH(O258,'Aub Demand'!A:A,0)),"")</f>
        <v>0</v>
      </c>
      <c r="J258" s="25">
        <f>IFERROR(INDEX('Aub Demand'!T:T,MATCH(O258,'Aub Demand'!A:A,0)),"")</f>
        <v>0</v>
      </c>
      <c r="K258" s="25">
        <f>IFERROR(INDEX('Aub Demand'!S:S,MATCH(O258,'Aub Demand'!A:A,0)),"")</f>
        <v>0</v>
      </c>
      <c r="L258" s="25">
        <f>IFERROR(INDEX('Aub Demand'!R:R,MATCH(O258,'Aub Demand'!A:A,0)),"")</f>
        <v>0</v>
      </c>
      <c r="O258" s="27" t="s">
        <v>459</v>
      </c>
      <c r="P258" s="27" t="str">
        <f>IFERROR(INDEX('Aub Demand'!B:B,MATCH($O258,'Aub Demand'!$A:$A,0)),"")</f>
        <v>OASIS IN THE DESERT</v>
      </c>
      <c r="Q258" s="27" t="str">
        <f>IFERROR(INDEX('Aub Demand'!C:C,MATCH($O258,'Aub Demand'!$A:$A,0)),"")</f>
        <v>SUDDE</v>
      </c>
      <c r="R258" s="52">
        <f>IFERROR(IF(AR259=AR258,INDEX('Aub Demand'!K:K,MATCH($O258,'Aub Demand'!$A:$A,0))-IF(AN258="",0,AN258)+AP259,INDEX('Aub Demand'!K:K,MATCH($O258,'Aub Demand'!$A:$A,0))-IF(AN258="",0,AN258)),"")</f>
        <v>1193</v>
      </c>
      <c r="S258" s="53" t="str">
        <f t="shared" si="84"/>
        <v>n/a</v>
      </c>
      <c r="T258" s="52" t="str">
        <f t="shared" si="85"/>
        <v/>
      </c>
      <c r="U258" s="52">
        <f>IFERROR(IF(AR259=AR258,INDEX('Aub Demand'!Q:Q,MATCH($O258,'Aub Demand'!$A:$A,0))-IF(AN258="",0,AN258)+AP259,INDEX('Aub Demand'!Q:Q,MATCH($O258,'Aub Demand'!$A:$A,0))-IF(AN258="",0,AN258)),"")</f>
        <v>1193</v>
      </c>
      <c r="V258" s="53" t="str">
        <f t="shared" si="86"/>
        <v>n/a</v>
      </c>
      <c r="W258" s="52" t="str">
        <f t="shared" si="87"/>
        <v/>
      </c>
      <c r="X258" s="52">
        <f>IFERROR(IF(AND(AR259=AR258,AM258&lt;&gt;""),INDEX('Aub Demand'!Q:Q,MATCH($O258,'Aub Demand'!$A:$A,0))-IF(AN258="",0,AN258)+AP259+AD258+AL258,IF(AR259=AR258,INDEX('Aub Demand'!Q:Q,MATCH($O258,'Aub Demand'!$A:$A,0))-IF(AN258="",0,AN258)+AP259+AD258,IF(AM258&lt;&gt;"",INDEX('Aub Demand'!Q:Q,MATCH($O258,'Aub Demand'!$A:$A,0))-IF(AN258="",0,AN258)+AD258+AL258,INDEX('Aub Demand'!Q:Q,MATCH($O258,'Aub Demand'!$A:$A,0))-IF(AN258="",0,AN258)+AD258))),"")</f>
        <v>1193</v>
      </c>
      <c r="Y258" s="53" t="str">
        <f t="shared" si="88"/>
        <v>n/a</v>
      </c>
      <c r="Z258" s="52">
        <f>IF(L258="","",INDEX('Aub Demand'!H:H,MATCH($O258,'Aub Demand'!$A:$A,0)))</f>
        <v>0</v>
      </c>
      <c r="AA258" s="52" t="str">
        <f t="shared" si="89"/>
        <v>-spike-</v>
      </c>
      <c r="AB258" s="52">
        <f>IFERROR(INDEX('Aub Demand'!L:L,MATCH($O258,'Aub Demand'!$A:$A,0)),"")</f>
        <v>0</v>
      </c>
      <c r="AC258" s="52">
        <f>IFERROR(IF(O258="","",SUMIFS('CPL Mats'!F:F,'CPL Mats'!Q:Q,AR258,'CPL Mats'!S:S,AS258)),"")</f>
        <v>0</v>
      </c>
      <c r="AF258" s="25" t="str">
        <f>IF(SUMIFS('Supp Consol'!S:S,'Supp Consol'!Y:Y,"Releasable",'Supp Consol'!A:A,O258)=0,"",SUMIFS('Supp Consol'!S:S,'Supp Consol'!Y:Y,"Releasable",'Supp Consol'!A:A,O258))</f>
        <v/>
      </c>
      <c r="AG258" s="25" t="str">
        <f>IFERROR(INDEX('Hun Demand'!Q:Q,MATCH(O258,'Hun Demand'!A:A,0)),"")</f>
        <v/>
      </c>
      <c r="AH258" s="25" t="str">
        <f>IFERROR(INDEX('Hun Demand'!H:H,MATCH($O258,'Hun Demand'!$A:$A,0)),"")</f>
        <v/>
      </c>
      <c r="AI258" s="25" t="str">
        <f>IF(SUMIFS('Supp Consol'!AA:AA,'Supp Consol'!Z:Z,"Expires this month",'Supp Consol'!A:A,O258)=0,"",SUMIFS('Supp Consol'!AA:AA,'Supp Consol'!Z:Z,"Expires this month",'Supp Consol'!A:A,O258))</f>
        <v/>
      </c>
      <c r="AJ258" s="25" t="str">
        <f>IF(SUMIFS('Supp Consol'!AA:AA,'Supp Consol'!Z:Z,"Expired Previous Months",'Supp Consol'!A:A,O258)=0,"",SUMIFS('Supp Consol'!AA:AA,'Supp Consol'!Z:Z,"Expired Previous Months",'Supp Consol'!A:A,O258))</f>
        <v/>
      </c>
      <c r="AK258" s="25" t="str">
        <f>IFERROR(INDEX('Hun Release Current'!B:B,MATCH(O258,'Hun Release Current'!A:A,0)),"")</f>
        <v/>
      </c>
      <c r="AL258" s="25" t="str">
        <f>IF(SUMIF('Prev Aub'!A:A,O258,'Prev Aub'!B:B)=0,"",SUMIF('Prev Aub'!A:A,O258,'Prev Aub'!B:B))</f>
        <v/>
      </c>
      <c r="AN258" s="25" t="s">
        <v>3790</v>
      </c>
      <c r="AO258" s="25" t="s">
        <v>3790</v>
      </c>
      <c r="AP258" s="25">
        <f t="shared" si="90"/>
        <v>0</v>
      </c>
      <c r="AQ258" s="151" t="str">
        <f>IF(SUMIFS('Supp Consol'!S:S,'Supp Consol'!A:A,O258,'Supp Consol'!I:I,"PENDING")=0,"",SUMIFS('Supp Consol'!S:S,'Supp Consol'!A:A,O258,'Supp Consol'!I:I,"PENDING"))</f>
        <v/>
      </c>
      <c r="AR258" s="27" t="str">
        <f t="shared" si="91"/>
        <v>AT351</v>
      </c>
      <c r="AS258" s="27" t="str">
        <f t="shared" si="92"/>
        <v>62</v>
      </c>
      <c r="AT258" s="27" t="str">
        <f t="shared" si="93"/>
        <v/>
      </c>
      <c r="AU258" s="27" t="str">
        <f t="shared" si="94"/>
        <v/>
      </c>
      <c r="AV258" s="27" t="str">
        <f t="shared" si="95"/>
        <v/>
      </c>
      <c r="AW258" s="27" t="str">
        <f t="shared" si="96"/>
        <v/>
      </c>
      <c r="AX258" s="27" t="str">
        <f t="shared" si="97"/>
        <v/>
      </c>
      <c r="AY258" s="27" t="str">
        <f t="shared" si="98"/>
        <v/>
      </c>
      <c r="AZ258" s="27" t="str">
        <f t="shared" si="99"/>
        <v/>
      </c>
      <c r="BA258" s="27" t="str">
        <f t="shared" si="100"/>
        <v/>
      </c>
      <c r="BB258" s="27" t="str">
        <f t="shared" si="101"/>
        <v/>
      </c>
      <c r="BC258" s="27" t="str">
        <f t="shared" si="102"/>
        <v/>
      </c>
      <c r="BD258" s="27" t="str">
        <f t="shared" si="103"/>
        <v/>
      </c>
      <c r="BE258" s="27" t="str">
        <f t="shared" si="104"/>
        <v/>
      </c>
      <c r="BF258" s="27" t="str">
        <f t="shared" si="105"/>
        <v/>
      </c>
      <c r="BG258" s="27" t="str">
        <f t="shared" si="106"/>
        <v/>
      </c>
      <c r="BH258" s="27" t="str">
        <f t="shared" si="107"/>
        <v/>
      </c>
      <c r="BI258" s="27" t="str">
        <f t="shared" si="108"/>
        <v/>
      </c>
      <c r="BJ258" s="27" t="str">
        <f t="shared" si="109"/>
        <v/>
      </c>
      <c r="BK258" s="27" t="str">
        <f t="shared" si="110"/>
        <v/>
      </c>
      <c r="BL258" s="27" t="str">
        <f t="shared" si="111"/>
        <v/>
      </c>
      <c r="BM258" s="21" t="s">
        <v>3790</v>
      </c>
    </row>
    <row r="259" spans="1:65" ht="15">
      <c r="A259" s="25" t="str">
        <f>IFERROR(INDEX('Hun Demand'!W:W,MATCH(O259,'Hun Demand'!A:A,0)),"")</f>
        <v/>
      </c>
      <c r="B259" s="25" t="str">
        <f>IFERROR(INDEX('Hun Demand'!V:V,MATCH(O259,'Hun Demand'!A:A,0)),"")</f>
        <v/>
      </c>
      <c r="C259" s="25" t="str">
        <f>IFERROR(INDEX('Hun Demand'!U:U,MATCH(O259,'Hun Demand'!A:A,0)),"")</f>
        <v/>
      </c>
      <c r="D259" s="25" t="str">
        <f>IFERROR(INDEX('Hun Demand'!T:T,MATCH(O259,'Hun Demand'!A:A,0)),"")</f>
        <v/>
      </c>
      <c r="E259" s="25" t="str">
        <f>IFERROR(INDEX('Hun Demand'!S:S,MATCH(O259,'Hun Demand'!A:A,0)),"")</f>
        <v/>
      </c>
      <c r="F259" s="25" t="str">
        <f>IFERROR(INDEX('Hun Demand'!R:R,MATCH(O259,'Hun Demand'!A:A,0)),"")</f>
        <v/>
      </c>
      <c r="G259" s="25">
        <f>IFERROR(INDEX('Aub Demand'!W:W,MATCH(O259,'Aub Demand'!A:A,0)),"")</f>
        <v>0</v>
      </c>
      <c r="H259" s="25">
        <f>IFERROR(INDEX('Aub Demand'!V:V,MATCH(O259,'Aub Demand'!A:A,0)),"")</f>
        <v>0</v>
      </c>
      <c r="I259" s="25">
        <f>IFERROR(INDEX('Aub Demand'!U:U,MATCH(O259,'Aub Demand'!A:A,0)),"")</f>
        <v>23</v>
      </c>
      <c r="J259" s="25">
        <f>IFERROR(INDEX('Aub Demand'!T:T,MATCH(O259,'Aub Demand'!A:A,0)),"")</f>
        <v>0</v>
      </c>
      <c r="K259" s="25">
        <f>IFERROR(INDEX('Aub Demand'!S:S,MATCH(O259,'Aub Demand'!A:A,0)),"")</f>
        <v>0</v>
      </c>
      <c r="L259" s="25">
        <f>IFERROR(INDEX('Aub Demand'!R:R,MATCH(O259,'Aub Demand'!A:A,0)),"")</f>
        <v>0</v>
      </c>
      <c r="O259" s="27" t="s">
        <v>460</v>
      </c>
      <c r="P259" s="27" t="str">
        <f>IFERROR(INDEX('Aub Demand'!B:B,MATCH($O259,'Aub Demand'!$A:$A,0)),"")</f>
        <v>CRESSIDA</v>
      </c>
      <c r="Q259" s="27" t="str">
        <f>IFERROR(INDEX('Aub Demand'!C:C,MATCH($O259,'Aub Demand'!$A:$A,0)),"")</f>
        <v>AHLST</v>
      </c>
      <c r="R259" s="52">
        <f>IFERROR(IF(AR260=AR259,INDEX('Aub Demand'!K:K,MATCH($O259,'Aub Demand'!$A:$A,0))-IF(AN259="",0,AN259)+AP260,INDEX('Aub Demand'!K:K,MATCH($O259,'Aub Demand'!$A:$A,0))-IF(AN259="",0,AN259)),"")</f>
        <v>0</v>
      </c>
      <c r="S259" s="53">
        <f t="shared" ref="S259:S322" si="112">IFERROR(IF(O259="","",ROUND(R259/((Z259/30)*7),1)),"n/a")</f>
        <v>0</v>
      </c>
      <c r="T259" s="52" t="str">
        <f t="shared" ref="T259:T322" si="113">IFERROR(IF(S259&lt;3.1,IF(AA259="spike",(3-S259)*(Z259/4),(3-S259)*(AA259/4)),""),"")</f>
        <v/>
      </c>
      <c r="U259" s="52">
        <f>IFERROR(IF(AR260=AR259,INDEX('Aub Demand'!Q:Q,MATCH($O259,'Aub Demand'!$A:$A,0))-IF(AN259="",0,AN259)+AP260,INDEX('Aub Demand'!Q:Q,MATCH($O259,'Aub Demand'!$A:$A,0))-IF(AN259="",0,AN259)),"")</f>
        <v>-11</v>
      </c>
      <c r="V259" s="53">
        <f t="shared" ref="V259:V322" si="114">IFERROR(IF(O259="","",ROUND(U259/((Z259/30)*7),1)),"n/a")</f>
        <v>-5.9</v>
      </c>
      <c r="W259" s="52" t="str">
        <f t="shared" ref="W259:W322" si="115">IF(IFERROR(IF(V259&lt;3.1,IF(AA259="spike",(3-V259)*(Z259/4),(3-V259)*(AA259/4)),""),"")&lt;0,0,IFERROR(IF(V259&lt;3.1,IF(AA259="spike",(3-V259)*(Z259/4),(3-V259)*(AA259/4)),""),""))</f>
        <v/>
      </c>
      <c r="X259" s="52">
        <f>IFERROR(IF(AND(AR260=AR259,AM259&lt;&gt;""),INDEX('Aub Demand'!Q:Q,MATCH($O259,'Aub Demand'!$A:$A,0))-IF(AN259="",0,AN259)+AP260+AD259+AL259,IF(AR260=AR259,INDEX('Aub Demand'!Q:Q,MATCH($O259,'Aub Demand'!$A:$A,0))-IF(AN259="",0,AN259)+AP260+AD259,IF(AM259&lt;&gt;"",INDEX('Aub Demand'!Q:Q,MATCH($O259,'Aub Demand'!$A:$A,0))-IF(AN259="",0,AN259)+AD259+AL259,INDEX('Aub Demand'!Q:Q,MATCH($O259,'Aub Demand'!$A:$A,0))-IF(AN259="",0,AN259)+AD259))),"")</f>
        <v>-11</v>
      </c>
      <c r="Y259" s="53">
        <f t="shared" ref="Y259:Y322" si="116">IFERROR(IF(O259="","",ROUND(X259/((Z259/30)*7),1)),"n/a")</f>
        <v>-5.9</v>
      </c>
      <c r="Z259" s="52">
        <f>IF(L259="","",INDEX('Aub Demand'!H:H,MATCH($O259,'Aub Demand'!$A:$A,0)))</f>
        <v>8</v>
      </c>
      <c r="AA259" s="52" t="str">
        <f t="shared" ref="AA259:AA322" si="117">IF(L259="","",IF(LARGE(I259:L259,2)=0,"-spike-",AVERAGE(LARGE(I259:L259,1),LARGE(I259:L259,2))))</f>
        <v>-spike-</v>
      </c>
      <c r="AB259" s="52">
        <f>IFERROR(INDEX('Aub Demand'!L:L,MATCH($O259,'Aub Demand'!$A:$A,0)),"")</f>
        <v>5</v>
      </c>
      <c r="AC259" s="52">
        <f>IFERROR(IF(O259="","",SUMIFS('CPL Mats'!F:F,'CPL Mats'!Q:Q,AR259,'CPL Mats'!S:S,AS259)),"")</f>
        <v>0</v>
      </c>
      <c r="AF259" s="25" t="str">
        <f>IF(SUMIFS('Supp Consol'!S:S,'Supp Consol'!Y:Y,"Releasable",'Supp Consol'!A:A,O259)=0,"",SUMIFS('Supp Consol'!S:S,'Supp Consol'!Y:Y,"Releasable",'Supp Consol'!A:A,O259))</f>
        <v/>
      </c>
      <c r="AG259" s="25" t="str">
        <f>IFERROR(INDEX('Hun Demand'!Q:Q,MATCH(O259,'Hun Demand'!A:A,0)),"")</f>
        <v/>
      </c>
      <c r="AH259" s="25" t="str">
        <f>IFERROR(INDEX('Hun Demand'!H:H,MATCH($O259,'Hun Demand'!$A:$A,0)),"")</f>
        <v/>
      </c>
      <c r="AI259" s="25" t="str">
        <f>IF(SUMIFS('Supp Consol'!AA:AA,'Supp Consol'!Z:Z,"Expires this month",'Supp Consol'!A:A,O259)=0,"",SUMIFS('Supp Consol'!AA:AA,'Supp Consol'!Z:Z,"Expires this month",'Supp Consol'!A:A,O259))</f>
        <v/>
      </c>
      <c r="AJ259" s="25" t="str">
        <f>IF(SUMIFS('Supp Consol'!AA:AA,'Supp Consol'!Z:Z,"Expired Previous Months",'Supp Consol'!A:A,O259)=0,"",SUMIFS('Supp Consol'!AA:AA,'Supp Consol'!Z:Z,"Expired Previous Months",'Supp Consol'!A:A,O259))</f>
        <v/>
      </c>
      <c r="AK259" s="25" t="str">
        <f>IFERROR(INDEX('Hun Release Current'!B:B,MATCH(O259,'Hun Release Current'!A:A,0)),"")</f>
        <v/>
      </c>
      <c r="AL259" s="25" t="str">
        <f>IF(SUMIF('Prev Aub'!A:A,O259,'Prev Aub'!B:B)=0,"",SUMIF('Prev Aub'!A:A,O259,'Prev Aub'!B:B))</f>
        <v/>
      </c>
      <c r="AN259" s="25" t="s">
        <v>3790</v>
      </c>
      <c r="AO259" s="25" t="s">
        <v>3790</v>
      </c>
      <c r="AP259" s="25">
        <f t="shared" ref="AP259:AP322" si="118">IFERROR(IF(O259="","",IF(AN259="",0,VALUE(AN259)-(VALUE(AN259)*0.2))),"")</f>
        <v>0</v>
      </c>
      <c r="AQ259" s="151" t="str">
        <f>IF(SUMIFS('Supp Consol'!S:S,'Supp Consol'!A:A,O259,'Supp Consol'!I:I,"PENDING")=0,"",SUMIFS('Supp Consol'!S:S,'Supp Consol'!A:A,O259,'Supp Consol'!I:I,"PENDING"))</f>
        <v/>
      </c>
      <c r="AR259" s="27" t="str">
        <f t="shared" ref="AR259:AR322" si="119">MID(O259,4,5)</f>
        <v>AT371</v>
      </c>
      <c r="AS259" s="27" t="str">
        <f t="shared" ref="AS259:AS322" si="120">MID(O259,10,2)</f>
        <v>50</v>
      </c>
      <c r="AT259" s="27" t="str">
        <f t="shared" ref="AT259:AT322" si="121">IF(S259&lt;3.1,AR259,"")</f>
        <v>AT371</v>
      </c>
      <c r="AU259" s="27" t="str">
        <f t="shared" ref="AU259:AU322" si="122">IF(Y259&lt;3.1,AR259,"")</f>
        <v>AT371</v>
      </c>
      <c r="AV259" s="27" t="str">
        <f t="shared" ref="AV259:AV322" si="123">IF(AND(AA259="Spike",L259=0,K259=0,X259&gt;=0),"",IF(Y259&lt;3.1,AR259,""))</f>
        <v>AT371</v>
      </c>
      <c r="AW259" s="27" t="str">
        <f t="shared" ref="AW259:AW322" si="124">IF(AI259=AL259,"",IF(OR(AI259&lt;&gt;"",AJ259&lt;&gt;""),AR259,""))</f>
        <v/>
      </c>
      <c r="AX259" s="27" t="str">
        <f t="shared" ref="AX259:AX322" si="125">IF(AF259&lt;&gt;"",AR259,"")</f>
        <v/>
      </c>
      <c r="AY259" s="27" t="str">
        <f t="shared" ref="AY259:AY322" si="126">IF(AND(AG259&lt;&gt;"",AG259&gt;AH259),AR259,"")</f>
        <v/>
      </c>
      <c r="AZ259" s="27" t="str">
        <f t="shared" ref="AZ259:AZ322" si="127">IFERROR(IF(O259="","",IF(ISERROR(MATCH(AR259,AX:AX,0)),"","Supp")),"")</f>
        <v/>
      </c>
      <c r="BA259" s="27" t="str">
        <f t="shared" ref="BA259:BA322" si="128">IFERROR(IF(O259="","",IF(ISERROR(MATCH(AR259,AY:AY,0)),"","Hun")),"")</f>
        <v/>
      </c>
      <c r="BB259" s="27" t="str">
        <f t="shared" ref="BB259:BB322" si="129">IFERROR(IF(O259="","",IF(ISERROR(MATCH(AR259,AT:AT,0)),"","Gross")),"")</f>
        <v>Gross</v>
      </c>
      <c r="BC259" s="27" t="str">
        <f t="shared" ref="BC259:BC322" si="130">IFERROR(IF(O259="","",IF(ISERROR(MATCH(AR259,AU:AU,0)),"","Net")),"")</f>
        <v>Net</v>
      </c>
      <c r="BD259" s="27" t="str">
        <f t="shared" ref="BD259:BD322" si="131">IFERROR(IF(O259="","",IF(ISERROR(MATCH(AR259,AV:AV,0)),"","Net")),"")</f>
        <v>Net</v>
      </c>
      <c r="BE259" s="27" t="str">
        <f t="shared" ref="BE259:BE322" si="132">IFERROR(IF(O259="","",IF(ISERROR(MATCH(AR259,AW:AW,0)),"","Exp")),"")</f>
        <v/>
      </c>
      <c r="BF259" s="27" t="str">
        <f t="shared" ref="BF259:BF322" si="133">IFERROR(IF(O259="","",IF(AND(AZ259="Supp",BC259="Net"),"S+N","")),"")</f>
        <v/>
      </c>
      <c r="BG259" s="27" t="str">
        <f t="shared" ref="BG259:BG322" si="134">IFERROR(IF(O259="","",IF(OR(BE259&lt;&gt;"",BF259&lt;&gt;""),"S+NorE","")),"")</f>
        <v/>
      </c>
      <c r="BH259" s="27" t="str">
        <f t="shared" ref="BH259:BH322" si="135">IFERROR(IF(O259="","",IF(AND(BA259&lt;&gt;"",BC259&lt;&gt;""),"H+N","")),"")</f>
        <v/>
      </c>
      <c r="BI259" s="27" t="str">
        <f t="shared" ref="BI259:BI322" si="136">IFERROR(IF(O259="","",IF(AND(BA259&lt;&gt;"",BD259&lt;&gt;""),"H+Nex","")),"")</f>
        <v/>
      </c>
      <c r="BJ259" s="27" t="str">
        <f t="shared" ref="BJ259:BJ322" si="137">IF(OR(AZ259&lt;&gt;"",BA259&lt;&gt;""),"Supp or Hun","")</f>
        <v/>
      </c>
      <c r="BK259" s="27" t="str">
        <f t="shared" ref="BK259:BK322" si="138">IF(AND(BJ259&lt;&gt;"",BC259&lt;&gt;""),"Supp or Hun Need","")</f>
        <v/>
      </c>
      <c r="BL259" s="27" t="str">
        <f t="shared" ref="BL259:BL322" si="139">IF(OR(BK259&lt;&gt;"",BE259&lt;&gt;""),"SorHandNandE","")</f>
        <v/>
      </c>
      <c r="BM259" s="21" t="s">
        <v>5581</v>
      </c>
    </row>
    <row r="260" spans="1:65" ht="15">
      <c r="A260" s="25" t="str">
        <f>IFERROR(INDEX('Hun Demand'!W:W,MATCH(O260,'Hun Demand'!A:A,0)),"")</f>
        <v/>
      </c>
      <c r="B260" s="25" t="str">
        <f>IFERROR(INDEX('Hun Demand'!V:V,MATCH(O260,'Hun Demand'!A:A,0)),"")</f>
        <v/>
      </c>
      <c r="C260" s="25" t="str">
        <f>IFERROR(INDEX('Hun Demand'!U:U,MATCH(O260,'Hun Demand'!A:A,0)),"")</f>
        <v/>
      </c>
      <c r="D260" s="25" t="str">
        <f>IFERROR(INDEX('Hun Demand'!T:T,MATCH(O260,'Hun Demand'!A:A,0)),"")</f>
        <v/>
      </c>
      <c r="E260" s="25" t="str">
        <f>IFERROR(INDEX('Hun Demand'!S:S,MATCH(O260,'Hun Demand'!A:A,0)),"")</f>
        <v/>
      </c>
      <c r="F260" s="25" t="str">
        <f>IFERROR(INDEX('Hun Demand'!R:R,MATCH(O260,'Hun Demand'!A:A,0)),"")</f>
        <v/>
      </c>
      <c r="G260" s="25">
        <f>IFERROR(INDEX('Aub Demand'!W:W,MATCH(O260,'Aub Demand'!A:A,0)),"")</f>
        <v>0</v>
      </c>
      <c r="H260" s="25">
        <f>IFERROR(INDEX('Aub Demand'!V:V,MATCH(O260,'Aub Demand'!A:A,0)),"")</f>
        <v>0</v>
      </c>
      <c r="I260" s="25">
        <f>IFERROR(INDEX('Aub Demand'!U:U,MATCH(O260,'Aub Demand'!A:A,0)),"")</f>
        <v>13</v>
      </c>
      <c r="J260" s="25">
        <f>IFERROR(INDEX('Aub Demand'!T:T,MATCH(O260,'Aub Demand'!A:A,0)),"")</f>
        <v>0</v>
      </c>
      <c r="K260" s="25">
        <f>IFERROR(INDEX('Aub Demand'!S:S,MATCH(O260,'Aub Demand'!A:A,0)),"")</f>
        <v>0</v>
      </c>
      <c r="L260" s="25">
        <f>IFERROR(INDEX('Aub Demand'!R:R,MATCH(O260,'Aub Demand'!A:A,0)),"")</f>
        <v>0</v>
      </c>
      <c r="O260" s="27" t="s">
        <v>462</v>
      </c>
      <c r="P260" s="27" t="str">
        <f>IFERROR(INDEX('Aub Demand'!B:B,MATCH($O260,'Aub Demand'!$A:$A,0)),"")</f>
        <v>CRESSIDA</v>
      </c>
      <c r="Q260" s="27" t="str">
        <f>IFERROR(INDEX('Aub Demand'!C:C,MATCH($O260,'Aub Demand'!$A:$A,0)),"")</f>
        <v>AHLST</v>
      </c>
      <c r="R260" s="52">
        <f>IFERROR(IF(AR261=AR260,INDEX('Aub Demand'!K:K,MATCH($O260,'Aub Demand'!$A:$A,0))-IF(AN260="",0,AN260)+AP261,INDEX('Aub Demand'!K:K,MATCH($O260,'Aub Demand'!$A:$A,0))-IF(AN260="",0,AN260)),"")</f>
        <v>1348</v>
      </c>
      <c r="S260" s="53">
        <f t="shared" si="112"/>
        <v>1444.3</v>
      </c>
      <c r="T260" s="52" t="str">
        <f t="shared" si="113"/>
        <v/>
      </c>
      <c r="U260" s="52">
        <f>IFERROR(IF(AR261=AR260,INDEX('Aub Demand'!Q:Q,MATCH($O260,'Aub Demand'!$A:$A,0))-IF(AN260="",0,AN260)+AP261,INDEX('Aub Demand'!Q:Q,MATCH($O260,'Aub Demand'!$A:$A,0))-IF(AN260="",0,AN260)),"")</f>
        <v>1335</v>
      </c>
      <c r="V260" s="53">
        <f t="shared" si="114"/>
        <v>1430.4</v>
      </c>
      <c r="W260" s="52" t="str">
        <f t="shared" si="115"/>
        <v/>
      </c>
      <c r="X260" s="52">
        <f>IFERROR(IF(AND(AR261=AR260,AM260&lt;&gt;""),INDEX('Aub Demand'!Q:Q,MATCH($O260,'Aub Demand'!$A:$A,0))-IF(AN260="",0,AN260)+AP261+AD260+AL260,IF(AR261=AR260,INDEX('Aub Demand'!Q:Q,MATCH($O260,'Aub Demand'!$A:$A,0))-IF(AN260="",0,AN260)+AP261+AD260,IF(AM260&lt;&gt;"",INDEX('Aub Demand'!Q:Q,MATCH($O260,'Aub Demand'!$A:$A,0))-IF(AN260="",0,AN260)+AD260+AL260,INDEX('Aub Demand'!Q:Q,MATCH($O260,'Aub Demand'!$A:$A,0))-IF(AN260="",0,AN260)+AD260))),"")</f>
        <v>1335</v>
      </c>
      <c r="Y260" s="53">
        <f t="shared" si="116"/>
        <v>1430.4</v>
      </c>
      <c r="Z260" s="52">
        <f>IF(L260="","",INDEX('Aub Demand'!H:H,MATCH($O260,'Aub Demand'!$A:$A,0)))</f>
        <v>4</v>
      </c>
      <c r="AA260" s="52" t="str">
        <f t="shared" si="117"/>
        <v>-spike-</v>
      </c>
      <c r="AB260" s="52">
        <f>IFERROR(INDEX('Aub Demand'!L:L,MATCH($O260,'Aub Demand'!$A:$A,0)),"")</f>
        <v>0</v>
      </c>
      <c r="AC260" s="52">
        <f>IFERROR(IF(O260="","",SUMIFS('CPL Mats'!F:F,'CPL Mats'!Q:Q,AR260,'CPL Mats'!S:S,AS260)),"")</f>
        <v>0</v>
      </c>
      <c r="AF260" s="25" t="str">
        <f>IF(SUMIFS('Supp Consol'!S:S,'Supp Consol'!Y:Y,"Releasable",'Supp Consol'!A:A,O260)=0,"",SUMIFS('Supp Consol'!S:S,'Supp Consol'!Y:Y,"Releasable",'Supp Consol'!A:A,O260))</f>
        <v/>
      </c>
      <c r="AG260" s="25" t="str">
        <f>IFERROR(INDEX('Hun Demand'!Q:Q,MATCH(O260,'Hun Demand'!A:A,0)),"")</f>
        <v/>
      </c>
      <c r="AH260" s="25" t="str">
        <f>IFERROR(INDEX('Hun Demand'!H:H,MATCH($O260,'Hun Demand'!$A:$A,0)),"")</f>
        <v/>
      </c>
      <c r="AI260" s="25" t="str">
        <f>IF(SUMIFS('Supp Consol'!AA:AA,'Supp Consol'!Z:Z,"Expires this month",'Supp Consol'!A:A,O260)=0,"",SUMIFS('Supp Consol'!AA:AA,'Supp Consol'!Z:Z,"Expires this month",'Supp Consol'!A:A,O260))</f>
        <v/>
      </c>
      <c r="AJ260" s="25" t="str">
        <f>IF(SUMIFS('Supp Consol'!AA:AA,'Supp Consol'!Z:Z,"Expired Previous Months",'Supp Consol'!A:A,O260)=0,"",SUMIFS('Supp Consol'!AA:AA,'Supp Consol'!Z:Z,"Expired Previous Months",'Supp Consol'!A:A,O260))</f>
        <v/>
      </c>
      <c r="AK260" s="25" t="str">
        <f>IFERROR(INDEX('Hun Release Current'!B:B,MATCH(O260,'Hun Release Current'!A:A,0)),"")</f>
        <v/>
      </c>
      <c r="AL260" s="25" t="str">
        <f>IF(SUMIF('Prev Aub'!A:A,O260,'Prev Aub'!B:B)=0,"",SUMIF('Prev Aub'!A:A,O260,'Prev Aub'!B:B))</f>
        <v/>
      </c>
      <c r="AN260" s="25" t="s">
        <v>3790</v>
      </c>
      <c r="AO260" s="25" t="s">
        <v>3790</v>
      </c>
      <c r="AP260" s="25">
        <f t="shared" si="118"/>
        <v>0</v>
      </c>
      <c r="AQ260" s="151" t="str">
        <f>IF(SUMIFS('Supp Consol'!S:S,'Supp Consol'!A:A,O260,'Supp Consol'!I:I,"PENDING")=0,"",SUMIFS('Supp Consol'!S:S,'Supp Consol'!A:A,O260,'Supp Consol'!I:I,"PENDING"))</f>
        <v/>
      </c>
      <c r="AR260" s="27" t="str">
        <f t="shared" si="119"/>
        <v>AT371</v>
      </c>
      <c r="AS260" s="27" t="str">
        <f t="shared" si="120"/>
        <v>62</v>
      </c>
      <c r="AT260" s="27" t="str">
        <f t="shared" si="121"/>
        <v/>
      </c>
      <c r="AU260" s="27" t="str">
        <f t="shared" si="122"/>
        <v/>
      </c>
      <c r="AV260" s="27" t="str">
        <f t="shared" si="123"/>
        <v/>
      </c>
      <c r="AW260" s="27" t="str">
        <f t="shared" si="124"/>
        <v/>
      </c>
      <c r="AX260" s="27" t="str">
        <f t="shared" si="125"/>
        <v/>
      </c>
      <c r="AY260" s="27" t="str">
        <f t="shared" si="126"/>
        <v/>
      </c>
      <c r="AZ260" s="27" t="str">
        <f t="shared" si="127"/>
        <v/>
      </c>
      <c r="BA260" s="27" t="str">
        <f t="shared" si="128"/>
        <v/>
      </c>
      <c r="BB260" s="27" t="str">
        <f t="shared" si="129"/>
        <v>Gross</v>
      </c>
      <c r="BC260" s="27" t="str">
        <f t="shared" si="130"/>
        <v>Net</v>
      </c>
      <c r="BD260" s="27" t="str">
        <f t="shared" si="131"/>
        <v>Net</v>
      </c>
      <c r="BE260" s="27" t="str">
        <f t="shared" si="132"/>
        <v/>
      </c>
      <c r="BF260" s="27" t="str">
        <f t="shared" si="133"/>
        <v/>
      </c>
      <c r="BG260" s="27" t="str">
        <f t="shared" si="134"/>
        <v/>
      </c>
      <c r="BH260" s="27" t="str">
        <f t="shared" si="135"/>
        <v/>
      </c>
      <c r="BI260" s="27" t="str">
        <f t="shared" si="136"/>
        <v/>
      </c>
      <c r="BJ260" s="27" t="str">
        <f t="shared" si="137"/>
        <v/>
      </c>
      <c r="BK260" s="27" t="str">
        <f t="shared" si="138"/>
        <v/>
      </c>
      <c r="BL260" s="27" t="str">
        <f t="shared" si="139"/>
        <v/>
      </c>
      <c r="BM260" s="21" t="s">
        <v>5581</v>
      </c>
    </row>
    <row r="261" spans="1:65" ht="15">
      <c r="A261" s="25">
        <f>IFERROR(INDEX('Hun Demand'!W:W,MATCH(O261,'Hun Demand'!A:A,0)),"")</f>
        <v>0</v>
      </c>
      <c r="B261" s="25">
        <f>IFERROR(INDEX('Hun Demand'!V:V,MATCH(O261,'Hun Demand'!A:A,0)),"")</f>
        <v>0</v>
      </c>
      <c r="C261" s="25">
        <f>IFERROR(INDEX('Hun Demand'!U:U,MATCH(O261,'Hun Demand'!A:A,0)),"")</f>
        <v>0</v>
      </c>
      <c r="D261" s="25">
        <f>IFERROR(INDEX('Hun Demand'!T:T,MATCH(O261,'Hun Demand'!A:A,0)),"")</f>
        <v>0</v>
      </c>
      <c r="E261" s="25">
        <f>IFERROR(INDEX('Hun Demand'!S:S,MATCH(O261,'Hun Demand'!A:A,0)),"")</f>
        <v>0</v>
      </c>
      <c r="F261" s="25">
        <f>IFERROR(INDEX('Hun Demand'!R:R,MATCH(O261,'Hun Demand'!A:A,0)),"")</f>
        <v>0</v>
      </c>
      <c r="G261" s="25">
        <f>IFERROR(INDEX('Aub Demand'!W:W,MATCH(O261,'Aub Demand'!A:A,0)),"")</f>
        <v>366</v>
      </c>
      <c r="H261" s="25">
        <f>IFERROR(INDEX('Aub Demand'!V:V,MATCH(O261,'Aub Demand'!A:A,0)),"")</f>
        <v>0</v>
      </c>
      <c r="I261" s="25">
        <f>IFERROR(INDEX('Aub Demand'!U:U,MATCH(O261,'Aub Demand'!A:A,0)),"")</f>
        <v>0</v>
      </c>
      <c r="J261" s="25">
        <f>IFERROR(INDEX('Aub Demand'!T:T,MATCH(O261,'Aub Demand'!A:A,0)),"")</f>
        <v>0</v>
      </c>
      <c r="K261" s="25">
        <f>IFERROR(INDEX('Aub Demand'!S:S,MATCH(O261,'Aub Demand'!A:A,0)),"")</f>
        <v>0</v>
      </c>
      <c r="L261" s="25">
        <f>IFERROR(INDEX('Aub Demand'!R:R,MATCH(O261,'Aub Demand'!A:A,0)),"")</f>
        <v>0</v>
      </c>
      <c r="O261" s="27" t="s">
        <v>466</v>
      </c>
      <c r="P261" s="27" t="str">
        <f>IFERROR(INDEX('Aub Demand'!B:B,MATCH($O261,'Aub Demand'!$A:$A,0)),"")</f>
        <v>PHOENIX</v>
      </c>
      <c r="Q261" s="27" t="str">
        <f>IFERROR(INDEX('Aub Demand'!C:C,MATCH($O261,'Aub Demand'!$A:$A,0)),"")</f>
        <v>SUDDE</v>
      </c>
      <c r="R261" s="52">
        <f>IFERROR(IF(AR262=AR261,INDEX('Aub Demand'!K:K,MATCH($O261,'Aub Demand'!$A:$A,0))-IF(AN261="",0,AN261)+AP262,INDEX('Aub Demand'!K:K,MATCH($O261,'Aub Demand'!$A:$A,0))-IF(AN261="",0,AN261)),"")</f>
        <v>2038</v>
      </c>
      <c r="S261" s="53" t="str">
        <f t="shared" si="112"/>
        <v>n/a</v>
      </c>
      <c r="T261" s="52" t="str">
        <f t="shared" si="113"/>
        <v/>
      </c>
      <c r="U261" s="52">
        <f>IFERROR(IF(AR262=AR261,INDEX('Aub Demand'!Q:Q,MATCH($O261,'Aub Demand'!$A:$A,0))-IF(AN261="",0,AN261)+AP262,INDEX('Aub Demand'!Q:Q,MATCH($O261,'Aub Demand'!$A:$A,0))-IF(AN261="",0,AN261)),"")</f>
        <v>2038</v>
      </c>
      <c r="V261" s="53" t="str">
        <f t="shared" si="114"/>
        <v>n/a</v>
      </c>
      <c r="W261" s="52" t="str">
        <f t="shared" si="115"/>
        <v/>
      </c>
      <c r="X261" s="52">
        <f>IFERROR(IF(AND(AR262=AR261,AM261&lt;&gt;""),INDEX('Aub Demand'!Q:Q,MATCH($O261,'Aub Demand'!$A:$A,0))-IF(AN261="",0,AN261)+AP262+AD261+AL261,IF(AR262=AR261,INDEX('Aub Demand'!Q:Q,MATCH($O261,'Aub Demand'!$A:$A,0))-IF(AN261="",0,AN261)+AP262+AD261,IF(AM261&lt;&gt;"",INDEX('Aub Demand'!Q:Q,MATCH($O261,'Aub Demand'!$A:$A,0))-IF(AN261="",0,AN261)+AD261+AL261,INDEX('Aub Demand'!Q:Q,MATCH($O261,'Aub Demand'!$A:$A,0))-IF(AN261="",0,AN261)+AD261))),"")</f>
        <v>2038</v>
      </c>
      <c r="Y261" s="53" t="str">
        <f t="shared" si="116"/>
        <v>n/a</v>
      </c>
      <c r="Z261" s="52">
        <f>IF(L261="","",INDEX('Aub Demand'!H:H,MATCH($O261,'Aub Demand'!$A:$A,0)))</f>
        <v>0</v>
      </c>
      <c r="AA261" s="52" t="str">
        <f t="shared" si="117"/>
        <v>-spike-</v>
      </c>
      <c r="AB261" s="52">
        <f>IFERROR(INDEX('Aub Demand'!L:L,MATCH($O261,'Aub Demand'!$A:$A,0)),"")</f>
        <v>0</v>
      </c>
      <c r="AC261" s="52">
        <f>IFERROR(IF(O261="","",SUMIFS('CPL Mats'!F:F,'CPL Mats'!Q:Q,AR261,'CPL Mats'!S:S,AS261)),"")</f>
        <v>0</v>
      </c>
      <c r="AF261" s="25" t="str">
        <f>IF(SUMIFS('Supp Consol'!S:S,'Supp Consol'!Y:Y,"Releasable",'Supp Consol'!A:A,O261)=0,"",SUMIFS('Supp Consol'!S:S,'Supp Consol'!Y:Y,"Releasable",'Supp Consol'!A:A,O261))</f>
        <v/>
      </c>
      <c r="AG261" s="25">
        <f>IFERROR(INDEX('Hun Demand'!Q:Q,MATCH(O261,'Hun Demand'!A:A,0)),"")</f>
        <v>234</v>
      </c>
      <c r="AH261" s="25">
        <f>IFERROR(INDEX('Hun Demand'!H:H,MATCH($O261,'Hun Demand'!$A:$A,0)),"")</f>
        <v>0</v>
      </c>
      <c r="AI261" s="25" t="str">
        <f>IF(SUMIFS('Supp Consol'!AA:AA,'Supp Consol'!Z:Z,"Expires this month",'Supp Consol'!A:A,O261)=0,"",SUMIFS('Supp Consol'!AA:AA,'Supp Consol'!Z:Z,"Expires this month",'Supp Consol'!A:A,O261))</f>
        <v/>
      </c>
      <c r="AJ261" s="25" t="str">
        <f>IF(SUMIFS('Supp Consol'!AA:AA,'Supp Consol'!Z:Z,"Expired Previous Months",'Supp Consol'!A:A,O261)=0,"",SUMIFS('Supp Consol'!AA:AA,'Supp Consol'!Z:Z,"Expired Previous Months",'Supp Consol'!A:A,O261))</f>
        <v/>
      </c>
      <c r="AK261" s="25" t="str">
        <f>IFERROR(INDEX('Hun Release Current'!B:B,MATCH(O261,'Hun Release Current'!A:A,0)),"")</f>
        <v/>
      </c>
      <c r="AL261" s="25" t="str">
        <f>IF(SUMIF('Prev Aub'!A:A,O261,'Prev Aub'!B:B)=0,"",SUMIF('Prev Aub'!A:A,O261,'Prev Aub'!B:B))</f>
        <v/>
      </c>
      <c r="AN261" s="25" t="s">
        <v>3790</v>
      </c>
      <c r="AO261" s="25" t="s">
        <v>3790</v>
      </c>
      <c r="AP261" s="25">
        <f t="shared" si="118"/>
        <v>0</v>
      </c>
      <c r="AQ261" s="151" t="str">
        <f>IF(SUMIFS('Supp Consol'!S:S,'Supp Consol'!A:A,O261,'Supp Consol'!I:I,"PENDING")=0,"",SUMIFS('Supp Consol'!S:S,'Supp Consol'!A:A,O261,'Supp Consol'!I:I,"PENDING"))</f>
        <v/>
      </c>
      <c r="AR261" s="27" t="str">
        <f t="shared" si="119"/>
        <v>AT391</v>
      </c>
      <c r="AS261" s="27" t="str">
        <f t="shared" si="120"/>
        <v>62</v>
      </c>
      <c r="AT261" s="27" t="str">
        <f t="shared" si="121"/>
        <v/>
      </c>
      <c r="AU261" s="27" t="str">
        <f t="shared" si="122"/>
        <v/>
      </c>
      <c r="AV261" s="27" t="str">
        <f t="shared" si="123"/>
        <v/>
      </c>
      <c r="AW261" s="27" t="str">
        <f t="shared" si="124"/>
        <v/>
      </c>
      <c r="AX261" s="27" t="str">
        <f t="shared" si="125"/>
        <v/>
      </c>
      <c r="AY261" s="27" t="str">
        <f t="shared" si="126"/>
        <v>AT391</v>
      </c>
      <c r="AZ261" s="27" t="str">
        <f t="shared" si="127"/>
        <v/>
      </c>
      <c r="BA261" s="27" t="str">
        <f t="shared" si="128"/>
        <v>Hun</v>
      </c>
      <c r="BB261" s="27" t="str">
        <f t="shared" si="129"/>
        <v/>
      </c>
      <c r="BC261" s="27" t="str">
        <f t="shared" si="130"/>
        <v/>
      </c>
      <c r="BD261" s="27" t="str">
        <f t="shared" si="131"/>
        <v/>
      </c>
      <c r="BE261" s="27" t="str">
        <f t="shared" si="132"/>
        <v/>
      </c>
      <c r="BF261" s="27" t="str">
        <f t="shared" si="133"/>
        <v/>
      </c>
      <c r="BG261" s="27" t="str">
        <f t="shared" si="134"/>
        <v/>
      </c>
      <c r="BH261" s="27" t="str">
        <f t="shared" si="135"/>
        <v/>
      </c>
      <c r="BI261" s="27" t="str">
        <f t="shared" si="136"/>
        <v/>
      </c>
      <c r="BJ261" s="27" t="str">
        <f t="shared" si="137"/>
        <v>Supp or Hun</v>
      </c>
      <c r="BK261" s="27" t="str">
        <f t="shared" si="138"/>
        <v/>
      </c>
      <c r="BL261" s="27" t="str">
        <f t="shared" si="139"/>
        <v/>
      </c>
      <c r="BM261" s="21" t="s">
        <v>3790</v>
      </c>
    </row>
    <row r="262" spans="1:65" ht="15">
      <c r="A262" s="25" t="str">
        <f>IFERROR(INDEX('Hun Demand'!W:W,MATCH(O262,'Hun Demand'!A:A,0)),"")</f>
        <v/>
      </c>
      <c r="B262" s="25" t="str">
        <f>IFERROR(INDEX('Hun Demand'!V:V,MATCH(O262,'Hun Demand'!A:A,0)),"")</f>
        <v/>
      </c>
      <c r="C262" s="25" t="str">
        <f>IFERROR(INDEX('Hun Demand'!U:U,MATCH(O262,'Hun Demand'!A:A,0)),"")</f>
        <v/>
      </c>
      <c r="D262" s="25" t="str">
        <f>IFERROR(INDEX('Hun Demand'!T:T,MATCH(O262,'Hun Demand'!A:A,0)),"")</f>
        <v/>
      </c>
      <c r="E262" s="25" t="str">
        <f>IFERROR(INDEX('Hun Demand'!S:S,MATCH(O262,'Hun Demand'!A:A,0)),"")</f>
        <v/>
      </c>
      <c r="F262" s="25" t="str">
        <f>IFERROR(INDEX('Hun Demand'!R:R,MATCH(O262,'Hun Demand'!A:A,0)),"")</f>
        <v/>
      </c>
      <c r="G262" s="25">
        <f>IFERROR(INDEX('Aub Demand'!W:W,MATCH(O262,'Aub Demand'!A:A,0)),"")</f>
        <v>0</v>
      </c>
      <c r="H262" s="25">
        <f>IFERROR(INDEX('Aub Demand'!V:V,MATCH(O262,'Aub Demand'!A:A,0)),"")</f>
        <v>0</v>
      </c>
      <c r="I262" s="25">
        <f>IFERROR(INDEX('Aub Demand'!U:U,MATCH(O262,'Aub Demand'!A:A,0)),"")</f>
        <v>0</v>
      </c>
      <c r="J262" s="25">
        <f>IFERROR(INDEX('Aub Demand'!T:T,MATCH(O262,'Aub Demand'!A:A,0)),"")</f>
        <v>0</v>
      </c>
      <c r="K262" s="25">
        <f>IFERROR(INDEX('Aub Demand'!S:S,MATCH(O262,'Aub Demand'!A:A,0)),"")</f>
        <v>0</v>
      </c>
      <c r="L262" s="25">
        <f>IFERROR(INDEX('Aub Demand'!R:R,MATCH(O262,'Aub Demand'!A:A,0)),"")</f>
        <v>0</v>
      </c>
      <c r="O262" s="27" t="s">
        <v>467</v>
      </c>
      <c r="P262" s="27" t="str">
        <f>IFERROR(INDEX('Aub Demand'!B:B,MATCH($O262,'Aub Demand'!$A:$A,0)),"")</f>
        <v>MATERIAL MESH</v>
      </c>
      <c r="Q262" s="27" t="str">
        <f>IFERROR(INDEX('Aub Demand'!C:C,MATCH($O262,'Aub Demand'!$A:$A,0)),"")</f>
        <v>TOPPA</v>
      </c>
      <c r="R262" s="52">
        <f>IFERROR(IF(AR263=AR262,INDEX('Aub Demand'!K:K,MATCH($O262,'Aub Demand'!$A:$A,0))-IF(AN262="",0,AN262)+AP263,INDEX('Aub Demand'!K:K,MATCH($O262,'Aub Demand'!$A:$A,0))-IF(AN262="",0,AN262)),"")</f>
        <v>79</v>
      </c>
      <c r="S262" s="53" t="str">
        <f t="shared" si="112"/>
        <v>n/a</v>
      </c>
      <c r="T262" s="52" t="str">
        <f t="shared" si="113"/>
        <v/>
      </c>
      <c r="U262" s="52">
        <f>IFERROR(IF(AR263=AR262,INDEX('Aub Demand'!Q:Q,MATCH($O262,'Aub Demand'!$A:$A,0))-IF(AN262="",0,AN262)+AP263,INDEX('Aub Demand'!Q:Q,MATCH($O262,'Aub Demand'!$A:$A,0))-IF(AN262="",0,AN262)),"")</f>
        <v>79</v>
      </c>
      <c r="V262" s="53" t="str">
        <f t="shared" si="114"/>
        <v>n/a</v>
      </c>
      <c r="W262" s="52" t="str">
        <f t="shared" si="115"/>
        <v/>
      </c>
      <c r="X262" s="52">
        <f>IFERROR(IF(AND(AR263=AR262,AM262&lt;&gt;""),INDEX('Aub Demand'!Q:Q,MATCH($O262,'Aub Demand'!$A:$A,0))-IF(AN262="",0,AN262)+AP263+AD262+AL262,IF(AR263=AR262,INDEX('Aub Demand'!Q:Q,MATCH($O262,'Aub Demand'!$A:$A,0))-IF(AN262="",0,AN262)+AP263+AD262,IF(AM262&lt;&gt;"",INDEX('Aub Demand'!Q:Q,MATCH($O262,'Aub Demand'!$A:$A,0))-IF(AN262="",0,AN262)+AD262+AL262,INDEX('Aub Demand'!Q:Q,MATCH($O262,'Aub Demand'!$A:$A,0))-IF(AN262="",0,AN262)+AD262))),"")</f>
        <v>79</v>
      </c>
      <c r="Y262" s="53" t="str">
        <f t="shared" si="116"/>
        <v>n/a</v>
      </c>
      <c r="Z262" s="52">
        <f>IF(L262="","",INDEX('Aub Demand'!H:H,MATCH($O262,'Aub Demand'!$A:$A,0)))</f>
        <v>0</v>
      </c>
      <c r="AA262" s="52" t="str">
        <f t="shared" si="117"/>
        <v>-spike-</v>
      </c>
      <c r="AB262" s="52">
        <f>IFERROR(INDEX('Aub Demand'!L:L,MATCH($O262,'Aub Demand'!$A:$A,0)),"")</f>
        <v>0</v>
      </c>
      <c r="AC262" s="52">
        <f>IFERROR(IF(O262="","",SUMIFS('CPL Mats'!F:F,'CPL Mats'!Q:Q,AR262,'CPL Mats'!S:S,AS262)),"")</f>
        <v>0</v>
      </c>
      <c r="AF262" s="25" t="str">
        <f>IF(SUMIFS('Supp Consol'!S:S,'Supp Consol'!Y:Y,"Releasable",'Supp Consol'!A:A,O262)=0,"",SUMIFS('Supp Consol'!S:S,'Supp Consol'!Y:Y,"Releasable",'Supp Consol'!A:A,O262))</f>
        <v/>
      </c>
      <c r="AG262" s="25" t="str">
        <f>IFERROR(INDEX('Hun Demand'!Q:Q,MATCH(O262,'Hun Demand'!A:A,0)),"")</f>
        <v/>
      </c>
      <c r="AH262" s="25" t="str">
        <f>IFERROR(INDEX('Hun Demand'!H:H,MATCH($O262,'Hun Demand'!$A:$A,0)),"")</f>
        <v/>
      </c>
      <c r="AI262" s="25" t="str">
        <f>IF(SUMIFS('Supp Consol'!AA:AA,'Supp Consol'!Z:Z,"Expires this month",'Supp Consol'!A:A,O262)=0,"",SUMIFS('Supp Consol'!AA:AA,'Supp Consol'!Z:Z,"Expires this month",'Supp Consol'!A:A,O262))</f>
        <v/>
      </c>
      <c r="AJ262" s="25" t="str">
        <f>IF(SUMIFS('Supp Consol'!AA:AA,'Supp Consol'!Z:Z,"Expired Previous Months",'Supp Consol'!A:A,O262)=0,"",SUMIFS('Supp Consol'!AA:AA,'Supp Consol'!Z:Z,"Expired Previous Months",'Supp Consol'!A:A,O262))</f>
        <v/>
      </c>
      <c r="AK262" s="25" t="str">
        <f>IFERROR(INDEX('Hun Release Current'!B:B,MATCH(O262,'Hun Release Current'!A:A,0)),"")</f>
        <v/>
      </c>
      <c r="AL262" s="25" t="str">
        <f>IF(SUMIF('Prev Aub'!A:A,O262,'Prev Aub'!B:B)=0,"",SUMIF('Prev Aub'!A:A,O262,'Prev Aub'!B:B))</f>
        <v/>
      </c>
      <c r="AN262" s="25" t="s">
        <v>3790</v>
      </c>
      <c r="AO262" s="25" t="s">
        <v>3790</v>
      </c>
      <c r="AP262" s="25">
        <f t="shared" si="118"/>
        <v>0</v>
      </c>
      <c r="AQ262" s="151" t="str">
        <f>IF(SUMIFS('Supp Consol'!S:S,'Supp Consol'!A:A,O262,'Supp Consol'!I:I,"PENDING")=0,"",SUMIFS('Supp Consol'!S:S,'Supp Consol'!A:A,O262,'Supp Consol'!I:I,"PENDING"))</f>
        <v/>
      </c>
      <c r="AR262" s="27" t="str">
        <f t="shared" si="119"/>
        <v>AT400</v>
      </c>
      <c r="AS262" s="27" t="str">
        <f t="shared" si="120"/>
        <v>50</v>
      </c>
      <c r="AT262" s="27" t="str">
        <f t="shared" si="121"/>
        <v/>
      </c>
      <c r="AU262" s="27" t="str">
        <f t="shared" si="122"/>
        <v/>
      </c>
      <c r="AV262" s="27" t="str">
        <f t="shared" si="123"/>
        <v/>
      </c>
      <c r="AW262" s="27" t="str">
        <f t="shared" si="124"/>
        <v/>
      </c>
      <c r="AX262" s="27" t="str">
        <f t="shared" si="125"/>
        <v/>
      </c>
      <c r="AY262" s="27" t="str">
        <f t="shared" si="126"/>
        <v/>
      </c>
      <c r="AZ262" s="27" t="str">
        <f t="shared" si="127"/>
        <v/>
      </c>
      <c r="BA262" s="27" t="str">
        <f t="shared" si="128"/>
        <v/>
      </c>
      <c r="BB262" s="27" t="str">
        <f t="shared" si="129"/>
        <v/>
      </c>
      <c r="BC262" s="27" t="str">
        <f t="shared" si="130"/>
        <v/>
      </c>
      <c r="BD262" s="27" t="str">
        <f t="shared" si="131"/>
        <v/>
      </c>
      <c r="BE262" s="27" t="str">
        <f t="shared" si="132"/>
        <v/>
      </c>
      <c r="BF262" s="27" t="str">
        <f t="shared" si="133"/>
        <v/>
      </c>
      <c r="BG262" s="27" t="str">
        <f t="shared" si="134"/>
        <v/>
      </c>
      <c r="BH262" s="27" t="str">
        <f t="shared" si="135"/>
        <v/>
      </c>
      <c r="BI262" s="27" t="str">
        <f t="shared" si="136"/>
        <v/>
      </c>
      <c r="BJ262" s="27" t="str">
        <f t="shared" si="137"/>
        <v/>
      </c>
      <c r="BK262" s="27" t="str">
        <f t="shared" si="138"/>
        <v/>
      </c>
      <c r="BL262" s="27" t="str">
        <f t="shared" si="139"/>
        <v/>
      </c>
      <c r="BM262" s="21" t="s">
        <v>3790</v>
      </c>
    </row>
    <row r="263" spans="1:65" ht="15">
      <c r="A263" s="25" t="str">
        <f>IFERROR(INDEX('Hun Demand'!W:W,MATCH(O263,'Hun Demand'!A:A,0)),"")</f>
        <v/>
      </c>
      <c r="B263" s="25" t="str">
        <f>IFERROR(INDEX('Hun Demand'!V:V,MATCH(O263,'Hun Demand'!A:A,0)),"")</f>
        <v/>
      </c>
      <c r="C263" s="25" t="str">
        <f>IFERROR(INDEX('Hun Demand'!U:U,MATCH(O263,'Hun Demand'!A:A,0)),"")</f>
        <v/>
      </c>
      <c r="D263" s="25" t="str">
        <f>IFERROR(INDEX('Hun Demand'!T:T,MATCH(O263,'Hun Demand'!A:A,0)),"")</f>
        <v/>
      </c>
      <c r="E263" s="25" t="str">
        <f>IFERROR(INDEX('Hun Demand'!S:S,MATCH(O263,'Hun Demand'!A:A,0)),"")</f>
        <v/>
      </c>
      <c r="F263" s="25" t="str">
        <f>IFERROR(INDEX('Hun Demand'!R:R,MATCH(O263,'Hun Demand'!A:A,0)),"")</f>
        <v/>
      </c>
      <c r="G263" s="25">
        <f>IFERROR(INDEX('Aub Demand'!W:W,MATCH(O263,'Aub Demand'!A:A,0)),"")</f>
        <v>22</v>
      </c>
      <c r="H263" s="25">
        <f>IFERROR(INDEX('Aub Demand'!V:V,MATCH(O263,'Aub Demand'!A:A,0)),"")</f>
        <v>0</v>
      </c>
      <c r="I263" s="25">
        <f>IFERROR(INDEX('Aub Demand'!U:U,MATCH(O263,'Aub Demand'!A:A,0)),"")</f>
        <v>8</v>
      </c>
      <c r="J263" s="25">
        <f>IFERROR(INDEX('Aub Demand'!T:T,MATCH(O263,'Aub Demand'!A:A,0)),"")</f>
        <v>0</v>
      </c>
      <c r="K263" s="25">
        <f>IFERROR(INDEX('Aub Demand'!S:S,MATCH(O263,'Aub Demand'!A:A,0)),"")</f>
        <v>0</v>
      </c>
      <c r="L263" s="25">
        <f>IFERROR(INDEX('Aub Demand'!R:R,MATCH(O263,'Aub Demand'!A:A,0)),"")</f>
        <v>0</v>
      </c>
      <c r="O263" s="27" t="s">
        <v>469</v>
      </c>
      <c r="P263" s="27" t="str">
        <f>IFERROR(INDEX('Aub Demand'!B:B,MATCH($O263,'Aub Demand'!$A:$A,0)),"")</f>
        <v>NATURAL ALLURE</v>
      </c>
      <c r="Q263" s="27" t="str">
        <f>IFERROR(INDEX('Aub Demand'!C:C,MATCH($O263,'Aub Demand'!$A:$A,0)),"")</f>
        <v>INTER</v>
      </c>
      <c r="R263" s="52">
        <f>IFERROR(IF(AR264=AR263,INDEX('Aub Demand'!K:K,MATCH($O263,'Aub Demand'!$A:$A,0))-IF(AN263="",0,AN263)+AP264,INDEX('Aub Demand'!K:K,MATCH($O263,'Aub Demand'!$A:$A,0))-IF(AN263="",0,AN263)),"")</f>
        <v>20</v>
      </c>
      <c r="S263" s="53">
        <f t="shared" si="112"/>
        <v>28.6</v>
      </c>
      <c r="T263" s="52" t="str">
        <f t="shared" si="113"/>
        <v/>
      </c>
      <c r="U263" s="52">
        <f>IFERROR(IF(AR264=AR263,INDEX('Aub Demand'!Q:Q,MATCH($O263,'Aub Demand'!$A:$A,0))-IF(AN263="",0,AN263)+AP264,INDEX('Aub Demand'!Q:Q,MATCH($O263,'Aub Demand'!$A:$A,0))-IF(AN263="",0,AN263)),"")</f>
        <v>20</v>
      </c>
      <c r="V263" s="53">
        <f t="shared" si="114"/>
        <v>28.6</v>
      </c>
      <c r="W263" s="52" t="str">
        <f t="shared" si="115"/>
        <v/>
      </c>
      <c r="X263" s="52">
        <f>IFERROR(IF(AND(AR264=AR263,AM263&lt;&gt;""),INDEX('Aub Demand'!Q:Q,MATCH($O263,'Aub Demand'!$A:$A,0))-IF(AN263="",0,AN263)+AP264+AD263+AL263,IF(AR264=AR263,INDEX('Aub Demand'!Q:Q,MATCH($O263,'Aub Demand'!$A:$A,0))-IF(AN263="",0,AN263)+AP264+AD263,IF(AM263&lt;&gt;"",INDEX('Aub Demand'!Q:Q,MATCH($O263,'Aub Demand'!$A:$A,0))-IF(AN263="",0,AN263)+AD263+AL263,INDEX('Aub Demand'!Q:Q,MATCH($O263,'Aub Demand'!$A:$A,0))-IF(AN263="",0,AN263)+AD263))),"")</f>
        <v>20</v>
      </c>
      <c r="Y263" s="53">
        <f t="shared" si="116"/>
        <v>28.6</v>
      </c>
      <c r="Z263" s="52">
        <f>IF(L263="","",INDEX('Aub Demand'!H:H,MATCH($O263,'Aub Demand'!$A:$A,0)))</f>
        <v>3</v>
      </c>
      <c r="AA263" s="52" t="str">
        <f t="shared" si="117"/>
        <v>-spike-</v>
      </c>
      <c r="AB263" s="52">
        <f>IFERROR(INDEX('Aub Demand'!L:L,MATCH($O263,'Aub Demand'!$A:$A,0)),"")</f>
        <v>2</v>
      </c>
      <c r="AC263" s="52">
        <f>IFERROR(IF(O263="","",SUMIFS('CPL Mats'!F:F,'CPL Mats'!Q:Q,AR263,'CPL Mats'!S:S,AS263)),"")</f>
        <v>0</v>
      </c>
      <c r="AF263" s="25" t="str">
        <f>IF(SUMIFS('Supp Consol'!S:S,'Supp Consol'!Y:Y,"Releasable",'Supp Consol'!A:A,O263)=0,"",SUMIFS('Supp Consol'!S:S,'Supp Consol'!Y:Y,"Releasable",'Supp Consol'!A:A,O263))</f>
        <v/>
      </c>
      <c r="AG263" s="25" t="str">
        <f>IFERROR(INDEX('Hun Demand'!Q:Q,MATCH(O263,'Hun Demand'!A:A,0)),"")</f>
        <v/>
      </c>
      <c r="AH263" s="25" t="str">
        <f>IFERROR(INDEX('Hun Demand'!H:H,MATCH($O263,'Hun Demand'!$A:$A,0)),"")</f>
        <v/>
      </c>
      <c r="AI263" s="25" t="str">
        <f>IF(SUMIFS('Supp Consol'!AA:AA,'Supp Consol'!Z:Z,"Expires this month",'Supp Consol'!A:A,O263)=0,"",SUMIFS('Supp Consol'!AA:AA,'Supp Consol'!Z:Z,"Expires this month",'Supp Consol'!A:A,O263))</f>
        <v/>
      </c>
      <c r="AJ263" s="25" t="str">
        <f>IF(SUMIFS('Supp Consol'!AA:AA,'Supp Consol'!Z:Z,"Expired Previous Months",'Supp Consol'!A:A,O263)=0,"",SUMIFS('Supp Consol'!AA:AA,'Supp Consol'!Z:Z,"Expired Previous Months",'Supp Consol'!A:A,O263))</f>
        <v/>
      </c>
      <c r="AK263" s="25" t="str">
        <f>IFERROR(INDEX('Hun Release Current'!B:B,MATCH(O263,'Hun Release Current'!A:A,0)),"")</f>
        <v/>
      </c>
      <c r="AL263" s="25" t="str">
        <f>IF(SUMIF('Prev Aub'!A:A,O263,'Prev Aub'!B:B)=0,"",SUMIF('Prev Aub'!A:A,O263,'Prev Aub'!B:B))</f>
        <v/>
      </c>
      <c r="AN263" s="25" t="s">
        <v>3790</v>
      </c>
      <c r="AO263" s="25" t="s">
        <v>3790</v>
      </c>
      <c r="AP263" s="25">
        <f t="shared" si="118"/>
        <v>0</v>
      </c>
      <c r="AQ263" s="151" t="str">
        <f>IF(SUMIFS('Supp Consol'!S:S,'Supp Consol'!A:A,O263,'Supp Consol'!I:I,"PENDING")=0,"",SUMIFS('Supp Consol'!S:S,'Supp Consol'!A:A,O263,'Supp Consol'!I:I,"PENDING"))</f>
        <v/>
      </c>
      <c r="AR263" s="27" t="str">
        <f t="shared" si="119"/>
        <v>AT401</v>
      </c>
      <c r="AS263" s="27" t="str">
        <f t="shared" si="120"/>
        <v>50</v>
      </c>
      <c r="AT263" s="27" t="str">
        <f t="shared" si="121"/>
        <v/>
      </c>
      <c r="AU263" s="27" t="str">
        <f t="shared" si="122"/>
        <v/>
      </c>
      <c r="AV263" s="27" t="str">
        <f t="shared" si="123"/>
        <v/>
      </c>
      <c r="AW263" s="27" t="str">
        <f t="shared" si="124"/>
        <v/>
      </c>
      <c r="AX263" s="27" t="str">
        <f t="shared" si="125"/>
        <v/>
      </c>
      <c r="AY263" s="27" t="str">
        <f t="shared" si="126"/>
        <v/>
      </c>
      <c r="AZ263" s="27" t="str">
        <f t="shared" si="127"/>
        <v>Supp</v>
      </c>
      <c r="BA263" s="27" t="str">
        <f t="shared" si="128"/>
        <v/>
      </c>
      <c r="BB263" s="27" t="str">
        <f t="shared" si="129"/>
        <v/>
      </c>
      <c r="BC263" s="27" t="str">
        <f t="shared" si="130"/>
        <v/>
      </c>
      <c r="BD263" s="27" t="str">
        <f t="shared" si="131"/>
        <v/>
      </c>
      <c r="BE263" s="27" t="str">
        <f t="shared" si="132"/>
        <v>Exp</v>
      </c>
      <c r="BF263" s="27" t="str">
        <f t="shared" si="133"/>
        <v/>
      </c>
      <c r="BG263" s="27" t="str">
        <f t="shared" si="134"/>
        <v>S+NorE</v>
      </c>
      <c r="BH263" s="27" t="str">
        <f t="shared" si="135"/>
        <v/>
      </c>
      <c r="BI263" s="27" t="str">
        <f t="shared" si="136"/>
        <v/>
      </c>
      <c r="BJ263" s="27" t="str">
        <f t="shared" si="137"/>
        <v>Supp or Hun</v>
      </c>
      <c r="BK263" s="27" t="str">
        <f t="shared" si="138"/>
        <v/>
      </c>
      <c r="BL263" s="27" t="str">
        <f t="shared" si="139"/>
        <v>SorHandNandE</v>
      </c>
      <c r="BM263" s="21" t="s">
        <v>5581</v>
      </c>
    </row>
    <row r="264" spans="1:65" ht="15">
      <c r="A264" s="25" t="str">
        <f>IFERROR(INDEX('Hun Demand'!W:W,MATCH(O264,'Hun Demand'!A:A,0)),"")</f>
        <v/>
      </c>
      <c r="B264" s="25" t="str">
        <f>IFERROR(INDEX('Hun Demand'!V:V,MATCH(O264,'Hun Demand'!A:A,0)),"")</f>
        <v/>
      </c>
      <c r="C264" s="25" t="str">
        <f>IFERROR(INDEX('Hun Demand'!U:U,MATCH(O264,'Hun Demand'!A:A,0)),"")</f>
        <v/>
      </c>
      <c r="D264" s="25" t="str">
        <f>IFERROR(INDEX('Hun Demand'!T:T,MATCH(O264,'Hun Demand'!A:A,0)),"")</f>
        <v/>
      </c>
      <c r="E264" s="25" t="str">
        <f>IFERROR(INDEX('Hun Demand'!S:S,MATCH(O264,'Hun Demand'!A:A,0)),"")</f>
        <v/>
      </c>
      <c r="F264" s="25" t="str">
        <f>IFERROR(INDEX('Hun Demand'!R:R,MATCH(O264,'Hun Demand'!A:A,0)),"")</f>
        <v/>
      </c>
      <c r="G264" s="25">
        <f>IFERROR(INDEX('Aub Demand'!W:W,MATCH(O264,'Aub Demand'!A:A,0)),"")</f>
        <v>91</v>
      </c>
      <c r="H264" s="25">
        <f>IFERROR(INDEX('Aub Demand'!V:V,MATCH(O264,'Aub Demand'!A:A,0)),"")</f>
        <v>0</v>
      </c>
      <c r="I264" s="25">
        <f>IFERROR(INDEX('Aub Demand'!U:U,MATCH(O264,'Aub Demand'!A:A,0)),"")</f>
        <v>14</v>
      </c>
      <c r="J264" s="25">
        <f>IFERROR(INDEX('Aub Demand'!T:T,MATCH(O264,'Aub Demand'!A:A,0)),"")</f>
        <v>10</v>
      </c>
      <c r="K264" s="25">
        <f>IFERROR(INDEX('Aub Demand'!S:S,MATCH(O264,'Aub Demand'!A:A,0)),"")</f>
        <v>10</v>
      </c>
      <c r="L264" s="25">
        <f>IFERROR(INDEX('Aub Demand'!R:R,MATCH(O264,'Aub Demand'!A:A,0)),"")</f>
        <v>15</v>
      </c>
      <c r="O264" s="27" t="s">
        <v>472</v>
      </c>
      <c r="P264" s="27" t="str">
        <f>IFERROR(INDEX('Aub Demand'!B:B,MATCH($O264,'Aub Demand'!$A:$A,0)),"")</f>
        <v>NATURAL ALLURE</v>
      </c>
      <c r="Q264" s="27" t="str">
        <f>IFERROR(INDEX('Aub Demand'!C:C,MATCH($O264,'Aub Demand'!$A:$A,0)),"")</f>
        <v>INTER</v>
      </c>
      <c r="R264" s="52">
        <f>IFERROR(IF(AR265=AR264,INDEX('Aub Demand'!K:K,MATCH($O264,'Aub Demand'!$A:$A,0))-IF(AN264="",0,AN264)+AP265,INDEX('Aub Demand'!K:K,MATCH($O264,'Aub Demand'!$A:$A,0))-IF(AN264="",0,AN264)),"")</f>
        <v>320</v>
      </c>
      <c r="S264" s="53">
        <f t="shared" si="112"/>
        <v>124.7</v>
      </c>
      <c r="T264" s="52" t="str">
        <f t="shared" si="113"/>
        <v/>
      </c>
      <c r="U264" s="52">
        <f>IFERROR(IF(AR265=AR264,INDEX('Aub Demand'!Q:Q,MATCH($O264,'Aub Demand'!$A:$A,0))-IF(AN264="",0,AN264)+AP265,INDEX('Aub Demand'!Q:Q,MATCH($O264,'Aub Demand'!$A:$A,0))-IF(AN264="",0,AN264)),"")</f>
        <v>310</v>
      </c>
      <c r="V264" s="53">
        <f t="shared" si="114"/>
        <v>120.8</v>
      </c>
      <c r="W264" s="52" t="str">
        <f t="shared" si="115"/>
        <v/>
      </c>
      <c r="X264" s="52">
        <f>IFERROR(IF(AND(AR265=AR264,AM264&lt;&gt;""),INDEX('Aub Demand'!Q:Q,MATCH($O264,'Aub Demand'!$A:$A,0))-IF(AN264="",0,AN264)+AP265+AD264+AL264,IF(AR265=AR264,INDEX('Aub Demand'!Q:Q,MATCH($O264,'Aub Demand'!$A:$A,0))-IF(AN264="",0,AN264)+AP265+AD264,IF(AM264&lt;&gt;"",INDEX('Aub Demand'!Q:Q,MATCH($O264,'Aub Demand'!$A:$A,0))-IF(AN264="",0,AN264)+AD264+AL264,INDEX('Aub Demand'!Q:Q,MATCH($O264,'Aub Demand'!$A:$A,0))-IF(AN264="",0,AN264)+AD264))),"")</f>
        <v>310</v>
      </c>
      <c r="Y264" s="53">
        <f t="shared" si="116"/>
        <v>120.8</v>
      </c>
      <c r="Z264" s="52">
        <f>IF(L264="","",INDEX('Aub Demand'!H:H,MATCH($O264,'Aub Demand'!$A:$A,0)))</f>
        <v>11</v>
      </c>
      <c r="AA264" s="52">
        <f t="shared" si="117"/>
        <v>14.5</v>
      </c>
      <c r="AB264" s="52">
        <f>IFERROR(INDEX('Aub Demand'!L:L,MATCH($O264,'Aub Demand'!$A:$A,0)),"")</f>
        <v>14</v>
      </c>
      <c r="AC264" s="52">
        <f>IFERROR(IF(O264="","",SUMIFS('CPL Mats'!F:F,'CPL Mats'!Q:Q,AR264,'CPL Mats'!S:S,AS264)),"")</f>
        <v>0</v>
      </c>
      <c r="AF264" s="25">
        <f>IF(SUMIFS('Supp Consol'!S:S,'Supp Consol'!Y:Y,"Releasable",'Supp Consol'!A:A,O264)=0,"",SUMIFS('Supp Consol'!S:S,'Supp Consol'!Y:Y,"Releasable",'Supp Consol'!A:A,O264))</f>
        <v>602</v>
      </c>
      <c r="AG264" s="25" t="str">
        <f>IFERROR(INDEX('Hun Demand'!Q:Q,MATCH(O264,'Hun Demand'!A:A,0)),"")</f>
        <v/>
      </c>
      <c r="AH264" s="25" t="str">
        <f>IFERROR(INDEX('Hun Demand'!H:H,MATCH($O264,'Hun Demand'!$A:$A,0)),"")</f>
        <v/>
      </c>
      <c r="AI264" s="25">
        <f>IF(SUMIFS('Supp Consol'!AA:AA,'Supp Consol'!Z:Z,"Expires this month",'Supp Consol'!A:A,O264)=0,"",SUMIFS('Supp Consol'!AA:AA,'Supp Consol'!Z:Z,"Expires this month",'Supp Consol'!A:A,O264))</f>
        <v>602</v>
      </c>
      <c r="AJ264" s="25" t="str">
        <f>IF(SUMIFS('Supp Consol'!AA:AA,'Supp Consol'!Z:Z,"Expired Previous Months",'Supp Consol'!A:A,O264)=0,"",SUMIFS('Supp Consol'!AA:AA,'Supp Consol'!Z:Z,"Expired Previous Months",'Supp Consol'!A:A,O264))</f>
        <v/>
      </c>
      <c r="AK264" s="25" t="str">
        <f>IFERROR(INDEX('Hun Release Current'!B:B,MATCH(O264,'Hun Release Current'!A:A,0)),"")</f>
        <v/>
      </c>
      <c r="AL264" s="25" t="str">
        <f>IF(SUMIF('Prev Aub'!A:A,O264,'Prev Aub'!B:B)=0,"",SUMIF('Prev Aub'!A:A,O264,'Prev Aub'!B:B))</f>
        <v/>
      </c>
      <c r="AN264" s="25">
        <v>25</v>
      </c>
      <c r="AO264" s="25" t="s">
        <v>3891</v>
      </c>
      <c r="AP264" s="25">
        <f t="shared" si="118"/>
        <v>20</v>
      </c>
      <c r="AQ264" s="151" t="str">
        <f>IF(SUMIFS('Supp Consol'!S:S,'Supp Consol'!A:A,O264,'Supp Consol'!I:I,"PENDING")=0,"",SUMIFS('Supp Consol'!S:S,'Supp Consol'!A:A,O264,'Supp Consol'!I:I,"PENDING"))</f>
        <v/>
      </c>
      <c r="AR264" s="27" t="str">
        <f t="shared" si="119"/>
        <v>AT401</v>
      </c>
      <c r="AS264" s="27" t="str">
        <f t="shared" si="120"/>
        <v>62</v>
      </c>
      <c r="AT264" s="27" t="str">
        <f t="shared" si="121"/>
        <v/>
      </c>
      <c r="AU264" s="27" t="str">
        <f t="shared" si="122"/>
        <v/>
      </c>
      <c r="AV264" s="27" t="str">
        <f t="shared" si="123"/>
        <v/>
      </c>
      <c r="AW264" s="27" t="str">
        <f t="shared" si="124"/>
        <v>AT401</v>
      </c>
      <c r="AX264" s="27" t="str">
        <f t="shared" si="125"/>
        <v>AT401</v>
      </c>
      <c r="AY264" s="27" t="str">
        <f t="shared" si="126"/>
        <v/>
      </c>
      <c r="AZ264" s="27" t="str">
        <f t="shared" si="127"/>
        <v>Supp</v>
      </c>
      <c r="BA264" s="27" t="str">
        <f t="shared" si="128"/>
        <v/>
      </c>
      <c r="BB264" s="27" t="str">
        <f t="shared" si="129"/>
        <v/>
      </c>
      <c r="BC264" s="27" t="str">
        <f t="shared" si="130"/>
        <v/>
      </c>
      <c r="BD264" s="27" t="str">
        <f t="shared" si="131"/>
        <v/>
      </c>
      <c r="BE264" s="27" t="str">
        <f t="shared" si="132"/>
        <v>Exp</v>
      </c>
      <c r="BF264" s="27" t="str">
        <f t="shared" si="133"/>
        <v/>
      </c>
      <c r="BG264" s="27" t="str">
        <f t="shared" si="134"/>
        <v>S+NorE</v>
      </c>
      <c r="BH264" s="27" t="str">
        <f t="shared" si="135"/>
        <v/>
      </c>
      <c r="BI264" s="27" t="str">
        <f t="shared" si="136"/>
        <v/>
      </c>
      <c r="BJ264" s="27" t="str">
        <f t="shared" si="137"/>
        <v>Supp or Hun</v>
      </c>
      <c r="BK264" s="27" t="str">
        <f t="shared" si="138"/>
        <v/>
      </c>
      <c r="BL264" s="27" t="str">
        <f t="shared" si="139"/>
        <v>SorHandNandE</v>
      </c>
      <c r="BM264" s="21" t="s">
        <v>5581</v>
      </c>
    </row>
    <row r="265" spans="1:65" ht="15">
      <c r="A265" s="25" t="str">
        <f>IFERROR(INDEX('Hun Demand'!W:W,MATCH(O265,'Hun Demand'!A:A,0)),"")</f>
        <v/>
      </c>
      <c r="B265" s="25" t="str">
        <f>IFERROR(INDEX('Hun Demand'!V:V,MATCH(O265,'Hun Demand'!A:A,0)),"")</f>
        <v/>
      </c>
      <c r="C265" s="25" t="str">
        <f>IFERROR(INDEX('Hun Demand'!U:U,MATCH(O265,'Hun Demand'!A:A,0)),"")</f>
        <v/>
      </c>
      <c r="D265" s="25" t="str">
        <f>IFERROR(INDEX('Hun Demand'!T:T,MATCH(O265,'Hun Demand'!A:A,0)),"")</f>
        <v/>
      </c>
      <c r="E265" s="25" t="str">
        <f>IFERROR(INDEX('Hun Demand'!S:S,MATCH(O265,'Hun Demand'!A:A,0)),"")</f>
        <v/>
      </c>
      <c r="F265" s="25" t="str">
        <f>IFERROR(INDEX('Hun Demand'!R:R,MATCH(O265,'Hun Demand'!A:A,0)),"")</f>
        <v/>
      </c>
      <c r="G265" s="25">
        <f>IFERROR(INDEX('Aub Demand'!W:W,MATCH(O265,'Aub Demand'!A:A,0)),"")</f>
        <v>0</v>
      </c>
      <c r="H265" s="25">
        <f>IFERROR(INDEX('Aub Demand'!V:V,MATCH(O265,'Aub Demand'!A:A,0)),"")</f>
        <v>0</v>
      </c>
      <c r="I265" s="25">
        <f>IFERROR(INDEX('Aub Demand'!U:U,MATCH(O265,'Aub Demand'!A:A,0)),"")</f>
        <v>19</v>
      </c>
      <c r="J265" s="25">
        <f>IFERROR(INDEX('Aub Demand'!T:T,MATCH(O265,'Aub Demand'!A:A,0)),"")</f>
        <v>0</v>
      </c>
      <c r="K265" s="25">
        <f>IFERROR(INDEX('Aub Demand'!S:S,MATCH(O265,'Aub Demand'!A:A,0)),"")</f>
        <v>22</v>
      </c>
      <c r="L265" s="25">
        <f>IFERROR(INDEX('Aub Demand'!R:R,MATCH(O265,'Aub Demand'!A:A,0)),"")</f>
        <v>0</v>
      </c>
      <c r="O265" s="27" t="s">
        <v>473</v>
      </c>
      <c r="P265" s="27" t="str">
        <f>IFERROR(INDEX('Aub Demand'!B:B,MATCH($O265,'Aub Demand'!$A:$A,0)),"")</f>
        <v>TAILOR-MADE</v>
      </c>
      <c r="Q265" s="27" t="str">
        <f>IFERROR(INDEX('Aub Demand'!C:C,MATCH($O265,'Aub Demand'!$A:$A,0)),"")</f>
        <v>SUDDE</v>
      </c>
      <c r="R265" s="52">
        <f>IFERROR(IF(AR266=AR265,INDEX('Aub Demand'!K:K,MATCH($O265,'Aub Demand'!$A:$A,0))-IF(AN265="",0,AN265)+AP266,INDEX('Aub Demand'!K:K,MATCH($O265,'Aub Demand'!$A:$A,0))-IF(AN265="",0,AN265)),"")</f>
        <v>1026</v>
      </c>
      <c r="S265" s="53">
        <f t="shared" si="112"/>
        <v>314.10000000000002</v>
      </c>
      <c r="T265" s="52" t="str">
        <f t="shared" si="113"/>
        <v/>
      </c>
      <c r="U265" s="52">
        <f>IFERROR(IF(AR266=AR265,INDEX('Aub Demand'!Q:Q,MATCH($O265,'Aub Demand'!$A:$A,0))-IF(AN265="",0,AN265)+AP266,INDEX('Aub Demand'!Q:Q,MATCH($O265,'Aub Demand'!$A:$A,0))-IF(AN265="",0,AN265)),"")</f>
        <v>1007</v>
      </c>
      <c r="V265" s="53">
        <f t="shared" si="114"/>
        <v>308.3</v>
      </c>
      <c r="W265" s="52" t="str">
        <f t="shared" si="115"/>
        <v/>
      </c>
      <c r="X265" s="52">
        <f>IFERROR(IF(AND(AR266=AR265,AM265&lt;&gt;""),INDEX('Aub Demand'!Q:Q,MATCH($O265,'Aub Demand'!$A:$A,0))-IF(AN265="",0,AN265)+AP266+AD265+AL265,IF(AR266=AR265,INDEX('Aub Demand'!Q:Q,MATCH($O265,'Aub Demand'!$A:$A,0))-IF(AN265="",0,AN265)+AP266+AD265,IF(AM265&lt;&gt;"",INDEX('Aub Demand'!Q:Q,MATCH($O265,'Aub Demand'!$A:$A,0))-IF(AN265="",0,AN265)+AD265+AL265,INDEX('Aub Demand'!Q:Q,MATCH($O265,'Aub Demand'!$A:$A,0))-IF(AN265="",0,AN265)+AD265))),"")</f>
        <v>1007</v>
      </c>
      <c r="Y265" s="53">
        <f t="shared" si="116"/>
        <v>308.3</v>
      </c>
      <c r="Z265" s="52">
        <f>IF(L265="","",INDEX('Aub Demand'!H:H,MATCH($O265,'Aub Demand'!$A:$A,0)))</f>
        <v>14</v>
      </c>
      <c r="AA265" s="52">
        <f t="shared" si="117"/>
        <v>20.5</v>
      </c>
      <c r="AB265" s="52">
        <f>IFERROR(INDEX('Aub Demand'!L:L,MATCH($O265,'Aub Demand'!$A:$A,0)),"")</f>
        <v>0</v>
      </c>
      <c r="AC265" s="52">
        <f>IFERROR(IF(O265="","",SUMIFS('CPL Mats'!F:F,'CPL Mats'!Q:Q,AR265,'CPL Mats'!S:S,AS265)),"")</f>
        <v>0</v>
      </c>
      <c r="AF265" s="25" t="str">
        <f>IF(SUMIFS('Supp Consol'!S:S,'Supp Consol'!Y:Y,"Releasable",'Supp Consol'!A:A,O265)=0,"",SUMIFS('Supp Consol'!S:S,'Supp Consol'!Y:Y,"Releasable",'Supp Consol'!A:A,O265))</f>
        <v/>
      </c>
      <c r="AG265" s="25" t="str">
        <f>IFERROR(INDEX('Hun Demand'!Q:Q,MATCH(O265,'Hun Demand'!A:A,0)),"")</f>
        <v/>
      </c>
      <c r="AH265" s="25" t="str">
        <f>IFERROR(INDEX('Hun Demand'!H:H,MATCH($O265,'Hun Demand'!$A:$A,0)),"")</f>
        <v/>
      </c>
      <c r="AI265" s="25" t="str">
        <f>IF(SUMIFS('Supp Consol'!AA:AA,'Supp Consol'!Z:Z,"Expires this month",'Supp Consol'!A:A,O265)=0,"",SUMIFS('Supp Consol'!AA:AA,'Supp Consol'!Z:Z,"Expires this month",'Supp Consol'!A:A,O265))</f>
        <v/>
      </c>
      <c r="AJ265" s="25" t="str">
        <f>IF(SUMIFS('Supp Consol'!AA:AA,'Supp Consol'!Z:Z,"Expired Previous Months",'Supp Consol'!A:A,O265)=0,"",SUMIFS('Supp Consol'!AA:AA,'Supp Consol'!Z:Z,"Expired Previous Months",'Supp Consol'!A:A,O265))</f>
        <v/>
      </c>
      <c r="AK265" s="25" t="str">
        <f>IFERROR(INDEX('Hun Release Current'!B:B,MATCH(O265,'Hun Release Current'!A:A,0)),"")</f>
        <v/>
      </c>
      <c r="AL265" s="25" t="str">
        <f>IF(SUMIF('Prev Aub'!A:A,O265,'Prev Aub'!B:B)=0,"",SUMIF('Prev Aub'!A:A,O265,'Prev Aub'!B:B))</f>
        <v/>
      </c>
      <c r="AN265" s="25" t="s">
        <v>3790</v>
      </c>
      <c r="AO265" s="25" t="s">
        <v>3790</v>
      </c>
      <c r="AP265" s="25">
        <f t="shared" si="118"/>
        <v>0</v>
      </c>
      <c r="AQ265" s="151" t="str">
        <f>IF(SUMIFS('Supp Consol'!S:S,'Supp Consol'!A:A,O265,'Supp Consol'!I:I,"PENDING")=0,"",SUMIFS('Supp Consol'!S:S,'Supp Consol'!A:A,O265,'Supp Consol'!I:I,"PENDING"))</f>
        <v/>
      </c>
      <c r="AR265" s="27" t="str">
        <f t="shared" si="119"/>
        <v>AT435</v>
      </c>
      <c r="AS265" s="27" t="str">
        <f t="shared" si="120"/>
        <v>50</v>
      </c>
      <c r="AT265" s="27" t="str">
        <f t="shared" si="121"/>
        <v/>
      </c>
      <c r="AU265" s="27" t="str">
        <f t="shared" si="122"/>
        <v/>
      </c>
      <c r="AV265" s="27" t="str">
        <f t="shared" si="123"/>
        <v/>
      </c>
      <c r="AW265" s="27" t="str">
        <f t="shared" si="124"/>
        <v/>
      </c>
      <c r="AX265" s="27" t="str">
        <f t="shared" si="125"/>
        <v/>
      </c>
      <c r="AY265" s="27" t="str">
        <f t="shared" si="126"/>
        <v/>
      </c>
      <c r="AZ265" s="27" t="str">
        <f t="shared" si="127"/>
        <v/>
      </c>
      <c r="BA265" s="27" t="str">
        <f t="shared" si="128"/>
        <v/>
      </c>
      <c r="BB265" s="27" t="str">
        <f t="shared" si="129"/>
        <v/>
      </c>
      <c r="BC265" s="27" t="str">
        <f t="shared" si="130"/>
        <v/>
      </c>
      <c r="BD265" s="27" t="str">
        <f t="shared" si="131"/>
        <v/>
      </c>
      <c r="BE265" s="27" t="str">
        <f t="shared" si="132"/>
        <v/>
      </c>
      <c r="BF265" s="27" t="str">
        <f t="shared" si="133"/>
        <v/>
      </c>
      <c r="BG265" s="27" t="str">
        <f t="shared" si="134"/>
        <v/>
      </c>
      <c r="BH265" s="27" t="str">
        <f t="shared" si="135"/>
        <v/>
      </c>
      <c r="BI265" s="27" t="str">
        <f t="shared" si="136"/>
        <v/>
      </c>
      <c r="BJ265" s="27" t="str">
        <f t="shared" si="137"/>
        <v/>
      </c>
      <c r="BK265" s="27" t="str">
        <f t="shared" si="138"/>
        <v/>
      </c>
      <c r="BL265" s="27" t="str">
        <f t="shared" si="139"/>
        <v/>
      </c>
      <c r="BM265" s="21" t="s">
        <v>5581</v>
      </c>
    </row>
    <row r="266" spans="1:65" ht="15">
      <c r="A266" s="25" t="str">
        <f>IFERROR(INDEX('Hun Demand'!W:W,MATCH(O266,'Hun Demand'!A:A,0)),"")</f>
        <v/>
      </c>
      <c r="B266" s="25" t="str">
        <f>IFERROR(INDEX('Hun Demand'!V:V,MATCH(O266,'Hun Demand'!A:A,0)),"")</f>
        <v/>
      </c>
      <c r="C266" s="25" t="str">
        <f>IFERROR(INDEX('Hun Demand'!U:U,MATCH(O266,'Hun Demand'!A:A,0)),"")</f>
        <v/>
      </c>
      <c r="D266" s="25" t="str">
        <f>IFERROR(INDEX('Hun Demand'!T:T,MATCH(O266,'Hun Demand'!A:A,0)),"")</f>
        <v/>
      </c>
      <c r="E266" s="25" t="str">
        <f>IFERROR(INDEX('Hun Demand'!S:S,MATCH(O266,'Hun Demand'!A:A,0)),"")</f>
        <v/>
      </c>
      <c r="F266" s="25" t="str">
        <f>IFERROR(INDEX('Hun Demand'!R:R,MATCH(O266,'Hun Demand'!A:A,0)),"")</f>
        <v/>
      </c>
      <c r="G266" s="25">
        <f>IFERROR(INDEX('Aub Demand'!W:W,MATCH(O266,'Aub Demand'!A:A,0)),"")</f>
        <v>0</v>
      </c>
      <c r="H266" s="25">
        <f>IFERROR(INDEX('Aub Demand'!V:V,MATCH(O266,'Aub Demand'!A:A,0)),"")</f>
        <v>0</v>
      </c>
      <c r="I266" s="25">
        <f>IFERROR(INDEX('Aub Demand'!U:U,MATCH(O266,'Aub Demand'!A:A,0)),"")</f>
        <v>0</v>
      </c>
      <c r="J266" s="25">
        <f>IFERROR(INDEX('Aub Demand'!T:T,MATCH(O266,'Aub Demand'!A:A,0)),"")</f>
        <v>0</v>
      </c>
      <c r="K266" s="25">
        <f>IFERROR(INDEX('Aub Demand'!S:S,MATCH(O266,'Aub Demand'!A:A,0)),"")</f>
        <v>0</v>
      </c>
      <c r="L266" s="25">
        <f>IFERROR(INDEX('Aub Demand'!R:R,MATCH(O266,'Aub Demand'!A:A,0)),"")</f>
        <v>0</v>
      </c>
      <c r="O266" s="27" t="s">
        <v>475</v>
      </c>
      <c r="P266" s="27" t="str">
        <f>IFERROR(INDEX('Aub Demand'!B:B,MATCH($O266,'Aub Demand'!$A:$A,0)),"")</f>
        <v>TAILOR-MADE</v>
      </c>
      <c r="Q266" s="27" t="str">
        <f>IFERROR(INDEX('Aub Demand'!C:C,MATCH($O266,'Aub Demand'!$A:$A,0)),"")</f>
        <v>SUDDE</v>
      </c>
      <c r="R266" s="52">
        <f>IFERROR(IF(AR267=AR266,INDEX('Aub Demand'!K:K,MATCH($O266,'Aub Demand'!$A:$A,0))-IF(AN266="",0,AN266)+AP267,INDEX('Aub Demand'!K:K,MATCH($O266,'Aub Demand'!$A:$A,0))-IF(AN266="",0,AN266)),"")</f>
        <v>2313</v>
      </c>
      <c r="S266" s="53" t="str">
        <f t="shared" si="112"/>
        <v>n/a</v>
      </c>
      <c r="T266" s="52" t="str">
        <f t="shared" si="113"/>
        <v/>
      </c>
      <c r="U266" s="52">
        <f>IFERROR(IF(AR267=AR266,INDEX('Aub Demand'!Q:Q,MATCH($O266,'Aub Demand'!$A:$A,0))-IF(AN266="",0,AN266)+AP267,INDEX('Aub Demand'!Q:Q,MATCH($O266,'Aub Demand'!$A:$A,0))-IF(AN266="",0,AN266)),"")</f>
        <v>2313</v>
      </c>
      <c r="V266" s="53" t="str">
        <f t="shared" si="114"/>
        <v>n/a</v>
      </c>
      <c r="W266" s="52" t="str">
        <f t="shared" si="115"/>
        <v/>
      </c>
      <c r="X266" s="52">
        <f>IFERROR(IF(AND(AR267=AR266,AM266&lt;&gt;""),INDEX('Aub Demand'!Q:Q,MATCH($O266,'Aub Demand'!$A:$A,0))-IF(AN266="",0,AN266)+AP267+AD266+AL266,IF(AR267=AR266,INDEX('Aub Demand'!Q:Q,MATCH($O266,'Aub Demand'!$A:$A,0))-IF(AN266="",0,AN266)+AP267+AD266,IF(AM266&lt;&gt;"",INDEX('Aub Demand'!Q:Q,MATCH($O266,'Aub Demand'!$A:$A,0))-IF(AN266="",0,AN266)+AD266+AL266,INDEX('Aub Demand'!Q:Q,MATCH($O266,'Aub Demand'!$A:$A,0))-IF(AN266="",0,AN266)+AD266))),"")</f>
        <v>2313</v>
      </c>
      <c r="Y266" s="53" t="str">
        <f t="shared" si="116"/>
        <v>n/a</v>
      </c>
      <c r="Z266" s="52">
        <f>IF(L266="","",INDEX('Aub Demand'!H:H,MATCH($O266,'Aub Demand'!$A:$A,0)))</f>
        <v>0</v>
      </c>
      <c r="AA266" s="52" t="str">
        <f t="shared" si="117"/>
        <v>-spike-</v>
      </c>
      <c r="AB266" s="52">
        <f>IFERROR(INDEX('Aub Demand'!L:L,MATCH($O266,'Aub Demand'!$A:$A,0)),"")</f>
        <v>0</v>
      </c>
      <c r="AC266" s="52">
        <f>IFERROR(IF(O266="","",SUMIFS('CPL Mats'!F:F,'CPL Mats'!Q:Q,AR266,'CPL Mats'!S:S,AS266)),"")</f>
        <v>0</v>
      </c>
      <c r="AF266" s="25" t="str">
        <f>IF(SUMIFS('Supp Consol'!S:S,'Supp Consol'!Y:Y,"Releasable",'Supp Consol'!A:A,O266)=0,"",SUMIFS('Supp Consol'!S:S,'Supp Consol'!Y:Y,"Releasable",'Supp Consol'!A:A,O266))</f>
        <v/>
      </c>
      <c r="AG266" s="25" t="str">
        <f>IFERROR(INDEX('Hun Demand'!Q:Q,MATCH(O266,'Hun Demand'!A:A,0)),"")</f>
        <v/>
      </c>
      <c r="AH266" s="25" t="str">
        <f>IFERROR(INDEX('Hun Demand'!H:H,MATCH($O266,'Hun Demand'!$A:$A,0)),"")</f>
        <v/>
      </c>
      <c r="AI266" s="25" t="str">
        <f>IF(SUMIFS('Supp Consol'!AA:AA,'Supp Consol'!Z:Z,"Expires this month",'Supp Consol'!A:A,O266)=0,"",SUMIFS('Supp Consol'!AA:AA,'Supp Consol'!Z:Z,"Expires this month",'Supp Consol'!A:A,O266))</f>
        <v/>
      </c>
      <c r="AJ266" s="25" t="str">
        <f>IF(SUMIFS('Supp Consol'!AA:AA,'Supp Consol'!Z:Z,"Expired Previous Months",'Supp Consol'!A:A,O266)=0,"",SUMIFS('Supp Consol'!AA:AA,'Supp Consol'!Z:Z,"Expired Previous Months",'Supp Consol'!A:A,O266))</f>
        <v/>
      </c>
      <c r="AK266" s="25" t="str">
        <f>IFERROR(INDEX('Hun Release Current'!B:B,MATCH(O266,'Hun Release Current'!A:A,0)),"")</f>
        <v/>
      </c>
      <c r="AL266" s="25" t="str">
        <f>IF(SUMIF('Prev Aub'!A:A,O266,'Prev Aub'!B:B)=0,"",SUMIF('Prev Aub'!A:A,O266,'Prev Aub'!B:B))</f>
        <v/>
      </c>
      <c r="AN266" s="25" t="s">
        <v>3790</v>
      </c>
      <c r="AO266" s="25" t="s">
        <v>3790</v>
      </c>
      <c r="AP266" s="25">
        <f t="shared" si="118"/>
        <v>0</v>
      </c>
      <c r="AQ266" s="151" t="str">
        <f>IF(SUMIFS('Supp Consol'!S:S,'Supp Consol'!A:A,O266,'Supp Consol'!I:I,"PENDING")=0,"",SUMIFS('Supp Consol'!S:S,'Supp Consol'!A:A,O266,'Supp Consol'!I:I,"PENDING"))</f>
        <v/>
      </c>
      <c r="AR266" s="27" t="str">
        <f t="shared" si="119"/>
        <v>AT435</v>
      </c>
      <c r="AS266" s="27" t="str">
        <f t="shared" si="120"/>
        <v>62</v>
      </c>
      <c r="AT266" s="27" t="str">
        <f t="shared" si="121"/>
        <v/>
      </c>
      <c r="AU266" s="27" t="str">
        <f t="shared" si="122"/>
        <v/>
      </c>
      <c r="AV266" s="27" t="str">
        <f t="shared" si="123"/>
        <v/>
      </c>
      <c r="AW266" s="27" t="str">
        <f t="shared" si="124"/>
        <v/>
      </c>
      <c r="AX266" s="27" t="str">
        <f t="shared" si="125"/>
        <v/>
      </c>
      <c r="AY266" s="27" t="str">
        <f t="shared" si="126"/>
        <v/>
      </c>
      <c r="AZ266" s="27" t="str">
        <f t="shared" si="127"/>
        <v/>
      </c>
      <c r="BA266" s="27" t="str">
        <f t="shared" si="128"/>
        <v/>
      </c>
      <c r="BB266" s="27" t="str">
        <f t="shared" si="129"/>
        <v/>
      </c>
      <c r="BC266" s="27" t="str">
        <f t="shared" si="130"/>
        <v/>
      </c>
      <c r="BD266" s="27" t="str">
        <f t="shared" si="131"/>
        <v/>
      </c>
      <c r="BE266" s="27" t="str">
        <f t="shared" si="132"/>
        <v/>
      </c>
      <c r="BF266" s="27" t="str">
        <f t="shared" si="133"/>
        <v/>
      </c>
      <c r="BG266" s="27" t="str">
        <f t="shared" si="134"/>
        <v/>
      </c>
      <c r="BH266" s="27" t="str">
        <f t="shared" si="135"/>
        <v/>
      </c>
      <c r="BI266" s="27" t="str">
        <f t="shared" si="136"/>
        <v/>
      </c>
      <c r="BJ266" s="27" t="str">
        <f t="shared" si="137"/>
        <v/>
      </c>
      <c r="BK266" s="27" t="str">
        <f t="shared" si="138"/>
        <v/>
      </c>
      <c r="BL266" s="27" t="str">
        <f t="shared" si="139"/>
        <v/>
      </c>
      <c r="BM266" s="21" t="s">
        <v>5581</v>
      </c>
    </row>
    <row r="267" spans="1:65" ht="15">
      <c r="A267" s="25" t="str">
        <f>IFERROR(INDEX('Hun Demand'!W:W,MATCH(O267,'Hun Demand'!A:A,0)),"")</f>
        <v/>
      </c>
      <c r="B267" s="25" t="str">
        <f>IFERROR(INDEX('Hun Demand'!V:V,MATCH(O267,'Hun Demand'!A:A,0)),"")</f>
        <v/>
      </c>
      <c r="C267" s="25" t="str">
        <f>IFERROR(INDEX('Hun Demand'!U:U,MATCH(O267,'Hun Demand'!A:A,0)),"")</f>
        <v/>
      </c>
      <c r="D267" s="25" t="str">
        <f>IFERROR(INDEX('Hun Demand'!T:T,MATCH(O267,'Hun Demand'!A:A,0)),"")</f>
        <v/>
      </c>
      <c r="E267" s="25" t="str">
        <f>IFERROR(INDEX('Hun Demand'!S:S,MATCH(O267,'Hun Demand'!A:A,0)),"")</f>
        <v/>
      </c>
      <c r="F267" s="25" t="str">
        <f>IFERROR(INDEX('Hun Demand'!R:R,MATCH(O267,'Hun Demand'!A:A,0)),"")</f>
        <v/>
      </c>
      <c r="G267" s="25">
        <f>IFERROR(INDEX('Aub Demand'!W:W,MATCH(O267,'Aub Demand'!A:A,0)),"")</f>
        <v>0</v>
      </c>
      <c r="H267" s="25">
        <f>IFERROR(INDEX('Aub Demand'!V:V,MATCH(O267,'Aub Demand'!A:A,0)),"")</f>
        <v>0</v>
      </c>
      <c r="I267" s="25">
        <f>IFERROR(INDEX('Aub Demand'!U:U,MATCH(O267,'Aub Demand'!A:A,0)),"")</f>
        <v>11</v>
      </c>
      <c r="J267" s="25">
        <f>IFERROR(INDEX('Aub Demand'!T:T,MATCH(O267,'Aub Demand'!A:A,0)),"")</f>
        <v>34</v>
      </c>
      <c r="K267" s="25">
        <f>IFERROR(INDEX('Aub Demand'!S:S,MATCH(O267,'Aub Demand'!A:A,0)),"")</f>
        <v>0</v>
      </c>
      <c r="L267" s="25">
        <f>IFERROR(INDEX('Aub Demand'!R:R,MATCH(O267,'Aub Demand'!A:A,0)),"")</f>
        <v>37</v>
      </c>
      <c r="O267" s="27" t="s">
        <v>476</v>
      </c>
      <c r="P267" s="27" t="str">
        <f>IFERROR(INDEX('Aub Demand'!B:B,MATCH($O267,'Aub Demand'!$A:$A,0)),"")</f>
        <v>CONNECTED CUBES</v>
      </c>
      <c r="Q267" s="27" t="str">
        <f>IFERROR(INDEX('Aub Demand'!C:C,MATCH($O267,'Aub Demand'!$A:$A,0)),"")</f>
        <v>TOPPA</v>
      </c>
      <c r="R267" s="52">
        <f>IFERROR(IF(AR268=AR267,INDEX('Aub Demand'!K:K,MATCH($O267,'Aub Demand'!$A:$A,0))-IF(AN267="",0,AN267)+AP268,INDEX('Aub Demand'!K:K,MATCH($O267,'Aub Demand'!$A:$A,0))-IF(AN267="",0,AN267)),"")</f>
        <v>360</v>
      </c>
      <c r="S267" s="53">
        <f t="shared" si="112"/>
        <v>102.9</v>
      </c>
      <c r="T267" s="52" t="str">
        <f t="shared" si="113"/>
        <v/>
      </c>
      <c r="U267" s="52">
        <f>IFERROR(IF(AR268=AR267,INDEX('Aub Demand'!Q:Q,MATCH($O267,'Aub Demand'!$A:$A,0))-IF(AN267="",0,AN267)+AP268,INDEX('Aub Demand'!Q:Q,MATCH($O267,'Aub Demand'!$A:$A,0))-IF(AN267="",0,AN267)),"")</f>
        <v>349</v>
      </c>
      <c r="V267" s="53">
        <f t="shared" si="114"/>
        <v>99.7</v>
      </c>
      <c r="W267" s="52" t="str">
        <f t="shared" si="115"/>
        <v/>
      </c>
      <c r="X267" s="52">
        <f>IFERROR(IF(AND(AR268=AR267,AM267&lt;&gt;""),INDEX('Aub Demand'!Q:Q,MATCH($O267,'Aub Demand'!$A:$A,0))-IF(AN267="",0,AN267)+AP268+AD267+AL267,IF(AR268=AR267,INDEX('Aub Demand'!Q:Q,MATCH($O267,'Aub Demand'!$A:$A,0))-IF(AN267="",0,AN267)+AP268+AD267,IF(AM267&lt;&gt;"",INDEX('Aub Demand'!Q:Q,MATCH($O267,'Aub Demand'!$A:$A,0))-IF(AN267="",0,AN267)+AD267+AL267,INDEX('Aub Demand'!Q:Q,MATCH($O267,'Aub Demand'!$A:$A,0))-IF(AN267="",0,AN267)+AD267))),"")</f>
        <v>349</v>
      </c>
      <c r="Y267" s="53">
        <f t="shared" si="116"/>
        <v>99.7</v>
      </c>
      <c r="Z267" s="52">
        <f>IF(L267="","",INDEX('Aub Demand'!H:H,MATCH($O267,'Aub Demand'!$A:$A,0)))</f>
        <v>15</v>
      </c>
      <c r="AA267" s="52">
        <f t="shared" si="117"/>
        <v>35.5</v>
      </c>
      <c r="AB267" s="52">
        <f>IFERROR(INDEX('Aub Demand'!L:L,MATCH($O267,'Aub Demand'!$A:$A,0)),"")</f>
        <v>34</v>
      </c>
      <c r="AC267" s="52">
        <f>IFERROR(IF(O267="","",SUMIFS('CPL Mats'!F:F,'CPL Mats'!Q:Q,AR267,'CPL Mats'!S:S,AS267)),"")</f>
        <v>0</v>
      </c>
      <c r="AF267" s="25" t="str">
        <f>IF(SUMIFS('Supp Consol'!S:S,'Supp Consol'!Y:Y,"Releasable",'Supp Consol'!A:A,O267)=0,"",SUMIFS('Supp Consol'!S:S,'Supp Consol'!Y:Y,"Releasable",'Supp Consol'!A:A,O267))</f>
        <v/>
      </c>
      <c r="AG267" s="25" t="str">
        <f>IFERROR(INDEX('Hun Demand'!Q:Q,MATCH(O267,'Hun Demand'!A:A,0)),"")</f>
        <v/>
      </c>
      <c r="AH267" s="25" t="str">
        <f>IFERROR(INDEX('Hun Demand'!H:H,MATCH($O267,'Hun Demand'!$A:$A,0)),"")</f>
        <v/>
      </c>
      <c r="AI267" s="25" t="str">
        <f>IF(SUMIFS('Supp Consol'!AA:AA,'Supp Consol'!Z:Z,"Expires this month",'Supp Consol'!A:A,O267)=0,"",SUMIFS('Supp Consol'!AA:AA,'Supp Consol'!Z:Z,"Expires this month",'Supp Consol'!A:A,O267))</f>
        <v/>
      </c>
      <c r="AJ267" s="25" t="str">
        <f>IF(SUMIFS('Supp Consol'!AA:AA,'Supp Consol'!Z:Z,"Expired Previous Months",'Supp Consol'!A:A,O267)=0,"",SUMIFS('Supp Consol'!AA:AA,'Supp Consol'!Z:Z,"Expired Previous Months",'Supp Consol'!A:A,O267))</f>
        <v/>
      </c>
      <c r="AK267" s="25" t="str">
        <f>IFERROR(INDEX('Hun Release Current'!B:B,MATCH(O267,'Hun Release Current'!A:A,0)),"")</f>
        <v/>
      </c>
      <c r="AL267" s="25" t="str">
        <f>IF(SUMIF('Prev Aub'!A:A,O267,'Prev Aub'!B:B)=0,"",SUMIF('Prev Aub'!A:A,O267,'Prev Aub'!B:B))</f>
        <v/>
      </c>
      <c r="AN267" s="25" t="s">
        <v>3790</v>
      </c>
      <c r="AO267" s="25" t="s">
        <v>3790</v>
      </c>
      <c r="AP267" s="25">
        <f t="shared" si="118"/>
        <v>0</v>
      </c>
      <c r="AQ267" s="151" t="str">
        <f>IF(SUMIFS('Supp Consol'!S:S,'Supp Consol'!A:A,O267,'Supp Consol'!I:I,"PENDING")=0,"",SUMIFS('Supp Consol'!S:S,'Supp Consol'!A:A,O267,'Supp Consol'!I:I,"PENDING"))</f>
        <v/>
      </c>
      <c r="AR267" s="27" t="str">
        <f t="shared" si="119"/>
        <v>AT440</v>
      </c>
      <c r="AS267" s="27" t="str">
        <f t="shared" si="120"/>
        <v>50</v>
      </c>
      <c r="AT267" s="27" t="str">
        <f t="shared" si="121"/>
        <v/>
      </c>
      <c r="AU267" s="27" t="str">
        <f t="shared" si="122"/>
        <v/>
      </c>
      <c r="AV267" s="27" t="str">
        <f t="shared" si="123"/>
        <v/>
      </c>
      <c r="AW267" s="27" t="str">
        <f t="shared" si="124"/>
        <v/>
      </c>
      <c r="AX267" s="27" t="str">
        <f t="shared" si="125"/>
        <v/>
      </c>
      <c r="AY267" s="27" t="str">
        <f t="shared" si="126"/>
        <v/>
      </c>
      <c r="AZ267" s="27" t="str">
        <f t="shared" si="127"/>
        <v/>
      </c>
      <c r="BA267" s="27" t="str">
        <f t="shared" si="128"/>
        <v/>
      </c>
      <c r="BB267" s="27" t="str">
        <f t="shared" si="129"/>
        <v/>
      </c>
      <c r="BC267" s="27" t="str">
        <f t="shared" si="130"/>
        <v/>
      </c>
      <c r="BD267" s="27" t="str">
        <f t="shared" si="131"/>
        <v/>
      </c>
      <c r="BE267" s="27" t="str">
        <f t="shared" si="132"/>
        <v/>
      </c>
      <c r="BF267" s="27" t="str">
        <f t="shared" si="133"/>
        <v/>
      </c>
      <c r="BG267" s="27" t="str">
        <f t="shared" si="134"/>
        <v/>
      </c>
      <c r="BH267" s="27" t="str">
        <f t="shared" si="135"/>
        <v/>
      </c>
      <c r="BI267" s="27" t="str">
        <f t="shared" si="136"/>
        <v/>
      </c>
      <c r="BJ267" s="27" t="str">
        <f t="shared" si="137"/>
        <v/>
      </c>
      <c r="BK267" s="27" t="str">
        <f t="shared" si="138"/>
        <v/>
      </c>
      <c r="BL267" s="27" t="str">
        <f t="shared" si="139"/>
        <v/>
      </c>
      <c r="BM267" s="21" t="s">
        <v>5581</v>
      </c>
    </row>
    <row r="268" spans="1:65" ht="15">
      <c r="A268" s="25" t="str">
        <f>IFERROR(INDEX('Hun Demand'!W:W,MATCH(O268,'Hun Demand'!A:A,0)),"")</f>
        <v/>
      </c>
      <c r="B268" s="25" t="str">
        <f>IFERROR(INDEX('Hun Demand'!V:V,MATCH(O268,'Hun Demand'!A:A,0)),"")</f>
        <v/>
      </c>
      <c r="C268" s="25" t="str">
        <f>IFERROR(INDEX('Hun Demand'!U:U,MATCH(O268,'Hun Demand'!A:A,0)),"")</f>
        <v/>
      </c>
      <c r="D268" s="25" t="str">
        <f>IFERROR(INDEX('Hun Demand'!T:T,MATCH(O268,'Hun Demand'!A:A,0)),"")</f>
        <v/>
      </c>
      <c r="E268" s="25" t="str">
        <f>IFERROR(INDEX('Hun Demand'!S:S,MATCH(O268,'Hun Demand'!A:A,0)),"")</f>
        <v/>
      </c>
      <c r="F268" s="25" t="str">
        <f>IFERROR(INDEX('Hun Demand'!R:R,MATCH(O268,'Hun Demand'!A:A,0)),"")</f>
        <v/>
      </c>
      <c r="G268" s="25">
        <f>IFERROR(INDEX('Aub Demand'!W:W,MATCH(O268,'Aub Demand'!A:A,0)),"")</f>
        <v>0</v>
      </c>
      <c r="H268" s="25">
        <f>IFERROR(INDEX('Aub Demand'!V:V,MATCH(O268,'Aub Demand'!A:A,0)),"")</f>
        <v>35</v>
      </c>
      <c r="I268" s="25">
        <f>IFERROR(INDEX('Aub Demand'!U:U,MATCH(O268,'Aub Demand'!A:A,0)),"")</f>
        <v>0</v>
      </c>
      <c r="J268" s="25">
        <f>IFERROR(INDEX('Aub Demand'!T:T,MATCH(O268,'Aub Demand'!A:A,0)),"")</f>
        <v>66</v>
      </c>
      <c r="K268" s="25">
        <f>IFERROR(INDEX('Aub Demand'!S:S,MATCH(O268,'Aub Demand'!A:A,0)),"")</f>
        <v>0</v>
      </c>
      <c r="L268" s="25">
        <f>IFERROR(INDEX('Aub Demand'!R:R,MATCH(O268,'Aub Demand'!A:A,0)),"")</f>
        <v>0</v>
      </c>
      <c r="O268" s="27" t="s">
        <v>478</v>
      </c>
      <c r="P268" s="27" t="str">
        <f>IFERROR(INDEX('Aub Demand'!B:B,MATCH($O268,'Aub Demand'!$A:$A,0)),"")</f>
        <v>CONNECTED CUBES</v>
      </c>
      <c r="Q268" s="27" t="str">
        <f>IFERROR(INDEX('Aub Demand'!C:C,MATCH($O268,'Aub Demand'!$A:$A,0)),"")</f>
        <v>TOPPA</v>
      </c>
      <c r="R268" s="52">
        <f>IFERROR(IF(AR269=AR268,INDEX('Aub Demand'!K:K,MATCH($O268,'Aub Demand'!$A:$A,0))-IF(AN268="",0,AN268)+AP269,INDEX('Aub Demand'!K:K,MATCH($O268,'Aub Demand'!$A:$A,0))-IF(AN268="",0,AN268)),"")</f>
        <v>364</v>
      </c>
      <c r="S268" s="53">
        <f t="shared" si="112"/>
        <v>70.900000000000006</v>
      </c>
      <c r="T268" s="52" t="str">
        <f t="shared" si="113"/>
        <v/>
      </c>
      <c r="U268" s="52">
        <f>IFERROR(IF(AR269=AR268,INDEX('Aub Demand'!Q:Q,MATCH($O268,'Aub Demand'!$A:$A,0))-IF(AN268="",0,AN268)+AP269,INDEX('Aub Demand'!Q:Q,MATCH($O268,'Aub Demand'!$A:$A,0))-IF(AN268="",0,AN268)),"")</f>
        <v>337</v>
      </c>
      <c r="V268" s="53">
        <f t="shared" si="114"/>
        <v>65.599999999999994</v>
      </c>
      <c r="W268" s="52" t="str">
        <f t="shared" si="115"/>
        <v/>
      </c>
      <c r="X268" s="52">
        <f>IFERROR(IF(AND(AR269=AR268,AM268&lt;&gt;""),INDEX('Aub Demand'!Q:Q,MATCH($O268,'Aub Demand'!$A:$A,0))-IF(AN268="",0,AN268)+AP269+AD268+AL268,IF(AR269=AR268,INDEX('Aub Demand'!Q:Q,MATCH($O268,'Aub Demand'!$A:$A,0))-IF(AN268="",0,AN268)+AP269+AD268,IF(AM268&lt;&gt;"",INDEX('Aub Demand'!Q:Q,MATCH($O268,'Aub Demand'!$A:$A,0))-IF(AN268="",0,AN268)+AD268+AL268,INDEX('Aub Demand'!Q:Q,MATCH($O268,'Aub Demand'!$A:$A,0))-IF(AN268="",0,AN268)+AD268))),"")</f>
        <v>337</v>
      </c>
      <c r="Y268" s="53">
        <f t="shared" si="116"/>
        <v>65.599999999999994</v>
      </c>
      <c r="Z268" s="52">
        <f>IF(L268="","",INDEX('Aub Demand'!H:H,MATCH($O268,'Aub Demand'!$A:$A,0)))</f>
        <v>22</v>
      </c>
      <c r="AA268" s="52" t="str">
        <f t="shared" si="117"/>
        <v>-spike-</v>
      </c>
      <c r="AB268" s="52">
        <f>IFERROR(INDEX('Aub Demand'!L:L,MATCH($O268,'Aub Demand'!$A:$A,0)),"")</f>
        <v>0</v>
      </c>
      <c r="AC268" s="52">
        <f>IFERROR(IF(O268="","",SUMIFS('CPL Mats'!F:F,'CPL Mats'!Q:Q,AR268,'CPL Mats'!S:S,AS268)),"")</f>
        <v>0</v>
      </c>
      <c r="AF268" s="25" t="str">
        <f>IF(SUMIFS('Supp Consol'!S:S,'Supp Consol'!Y:Y,"Releasable",'Supp Consol'!A:A,O268)=0,"",SUMIFS('Supp Consol'!S:S,'Supp Consol'!Y:Y,"Releasable",'Supp Consol'!A:A,O268))</f>
        <v/>
      </c>
      <c r="AG268" s="25" t="str">
        <f>IFERROR(INDEX('Hun Demand'!Q:Q,MATCH(O268,'Hun Demand'!A:A,0)),"")</f>
        <v/>
      </c>
      <c r="AH268" s="25" t="str">
        <f>IFERROR(INDEX('Hun Demand'!H:H,MATCH($O268,'Hun Demand'!$A:$A,0)),"")</f>
        <v/>
      </c>
      <c r="AI268" s="25" t="str">
        <f>IF(SUMIFS('Supp Consol'!AA:AA,'Supp Consol'!Z:Z,"Expires this month",'Supp Consol'!A:A,O268)=0,"",SUMIFS('Supp Consol'!AA:AA,'Supp Consol'!Z:Z,"Expires this month",'Supp Consol'!A:A,O268))</f>
        <v/>
      </c>
      <c r="AJ268" s="25" t="str">
        <f>IF(SUMIFS('Supp Consol'!AA:AA,'Supp Consol'!Z:Z,"Expired Previous Months",'Supp Consol'!A:A,O268)=0,"",SUMIFS('Supp Consol'!AA:AA,'Supp Consol'!Z:Z,"Expired Previous Months",'Supp Consol'!A:A,O268))</f>
        <v/>
      </c>
      <c r="AK268" s="25" t="str">
        <f>IFERROR(INDEX('Hun Release Current'!B:B,MATCH(O268,'Hun Release Current'!A:A,0)),"")</f>
        <v/>
      </c>
      <c r="AL268" s="25" t="str">
        <f>IF(SUMIF('Prev Aub'!A:A,O268,'Prev Aub'!B:B)=0,"",SUMIF('Prev Aub'!A:A,O268,'Prev Aub'!B:B))</f>
        <v/>
      </c>
      <c r="AN268" s="25" t="s">
        <v>3790</v>
      </c>
      <c r="AO268" s="25" t="s">
        <v>3790</v>
      </c>
      <c r="AP268" s="25">
        <f t="shared" si="118"/>
        <v>0</v>
      </c>
      <c r="AQ268" s="151" t="str">
        <f>IF(SUMIFS('Supp Consol'!S:S,'Supp Consol'!A:A,O268,'Supp Consol'!I:I,"PENDING")=0,"",SUMIFS('Supp Consol'!S:S,'Supp Consol'!A:A,O268,'Supp Consol'!I:I,"PENDING"))</f>
        <v/>
      </c>
      <c r="AR268" s="27" t="str">
        <f t="shared" si="119"/>
        <v>AT440</v>
      </c>
      <c r="AS268" s="27" t="str">
        <f t="shared" si="120"/>
        <v>62</v>
      </c>
      <c r="AT268" s="27" t="str">
        <f t="shared" si="121"/>
        <v/>
      </c>
      <c r="AU268" s="27" t="str">
        <f t="shared" si="122"/>
        <v/>
      </c>
      <c r="AV268" s="27" t="str">
        <f t="shared" si="123"/>
        <v/>
      </c>
      <c r="AW268" s="27" t="str">
        <f t="shared" si="124"/>
        <v/>
      </c>
      <c r="AX268" s="27" t="str">
        <f t="shared" si="125"/>
        <v/>
      </c>
      <c r="AY268" s="27" t="str">
        <f t="shared" si="126"/>
        <v/>
      </c>
      <c r="AZ268" s="27" t="str">
        <f t="shared" si="127"/>
        <v/>
      </c>
      <c r="BA268" s="27" t="str">
        <f t="shared" si="128"/>
        <v/>
      </c>
      <c r="BB268" s="27" t="str">
        <f t="shared" si="129"/>
        <v/>
      </c>
      <c r="BC268" s="27" t="str">
        <f t="shared" si="130"/>
        <v/>
      </c>
      <c r="BD268" s="27" t="str">
        <f t="shared" si="131"/>
        <v/>
      </c>
      <c r="BE268" s="27" t="str">
        <f t="shared" si="132"/>
        <v/>
      </c>
      <c r="BF268" s="27" t="str">
        <f t="shared" si="133"/>
        <v/>
      </c>
      <c r="BG268" s="27" t="str">
        <f t="shared" si="134"/>
        <v/>
      </c>
      <c r="BH268" s="27" t="str">
        <f t="shared" si="135"/>
        <v/>
      </c>
      <c r="BI268" s="27" t="str">
        <f t="shared" si="136"/>
        <v/>
      </c>
      <c r="BJ268" s="27" t="str">
        <f t="shared" si="137"/>
        <v/>
      </c>
      <c r="BK268" s="27" t="str">
        <f t="shared" si="138"/>
        <v/>
      </c>
      <c r="BL268" s="27" t="str">
        <f t="shared" si="139"/>
        <v/>
      </c>
      <c r="BM268" s="21" t="s">
        <v>5581</v>
      </c>
    </row>
    <row r="269" spans="1:65" ht="15">
      <c r="A269" s="25" t="str">
        <f>IFERROR(INDEX('Hun Demand'!W:W,MATCH(O269,'Hun Demand'!A:A,0)),"")</f>
        <v/>
      </c>
      <c r="B269" s="25" t="str">
        <f>IFERROR(INDEX('Hun Demand'!V:V,MATCH(O269,'Hun Demand'!A:A,0)),"")</f>
        <v/>
      </c>
      <c r="C269" s="25" t="str">
        <f>IFERROR(INDEX('Hun Demand'!U:U,MATCH(O269,'Hun Demand'!A:A,0)),"")</f>
        <v/>
      </c>
      <c r="D269" s="25" t="str">
        <f>IFERROR(INDEX('Hun Demand'!T:T,MATCH(O269,'Hun Demand'!A:A,0)),"")</f>
        <v/>
      </c>
      <c r="E269" s="25" t="str">
        <f>IFERROR(INDEX('Hun Demand'!S:S,MATCH(O269,'Hun Demand'!A:A,0)),"")</f>
        <v/>
      </c>
      <c r="F269" s="25" t="str">
        <f>IFERROR(INDEX('Hun Demand'!R:R,MATCH(O269,'Hun Demand'!A:A,0)),"")</f>
        <v/>
      </c>
      <c r="G269" s="25">
        <f>IFERROR(INDEX('Aub Demand'!W:W,MATCH(O269,'Aub Demand'!A:A,0)),"")</f>
        <v>0</v>
      </c>
      <c r="H269" s="25">
        <f>IFERROR(INDEX('Aub Demand'!V:V,MATCH(O269,'Aub Demand'!A:A,0)),"")</f>
        <v>0</v>
      </c>
      <c r="I269" s="25">
        <f>IFERROR(INDEX('Aub Demand'!U:U,MATCH(O269,'Aub Demand'!A:A,0)),"")</f>
        <v>90</v>
      </c>
      <c r="J269" s="25">
        <f>IFERROR(INDEX('Aub Demand'!T:T,MATCH(O269,'Aub Demand'!A:A,0)),"")</f>
        <v>10</v>
      </c>
      <c r="K269" s="25">
        <f>IFERROR(INDEX('Aub Demand'!S:S,MATCH(O269,'Aub Demand'!A:A,0)),"")</f>
        <v>0</v>
      </c>
      <c r="L269" s="25">
        <f>IFERROR(INDEX('Aub Demand'!R:R,MATCH(O269,'Aub Demand'!A:A,0)),"")</f>
        <v>0</v>
      </c>
      <c r="O269" s="27" t="s">
        <v>479</v>
      </c>
      <c r="P269" s="27" t="str">
        <f>IFERROR(INDEX('Aub Demand'!B:B,MATCH($O269,'Aub Demand'!$A:$A,0)),"")</f>
        <v>ARGYLE SWEATER</v>
      </c>
      <c r="Q269" s="27" t="str">
        <f>IFERROR(INDEX('Aub Demand'!C:C,MATCH($O269,'Aub Demand'!$A:$A,0)),"")</f>
        <v>SCHAT</v>
      </c>
      <c r="R269" s="52">
        <f>IFERROR(IF(AR270=AR269,INDEX('Aub Demand'!K:K,MATCH($O269,'Aub Demand'!$A:$A,0))-IF(AN269="",0,AN269)+AP270,INDEX('Aub Demand'!K:K,MATCH($O269,'Aub Demand'!$A:$A,0))-IF(AN269="",0,AN269)),"")</f>
        <v>657</v>
      </c>
      <c r="S269" s="53">
        <f t="shared" si="112"/>
        <v>85.3</v>
      </c>
      <c r="T269" s="52" t="str">
        <f t="shared" si="113"/>
        <v/>
      </c>
      <c r="U269" s="52">
        <f>IFERROR(IF(AR270=AR269,INDEX('Aub Demand'!Q:Q,MATCH($O269,'Aub Demand'!$A:$A,0))-IF(AN269="",0,AN269)+AP270,INDEX('Aub Demand'!Q:Q,MATCH($O269,'Aub Demand'!$A:$A,0))-IF(AN269="",0,AN269)),"")</f>
        <v>657</v>
      </c>
      <c r="V269" s="53">
        <f t="shared" si="114"/>
        <v>85.3</v>
      </c>
      <c r="W269" s="52" t="str">
        <f t="shared" si="115"/>
        <v/>
      </c>
      <c r="X269" s="52">
        <f>IFERROR(IF(AND(AR270=AR269,AM269&lt;&gt;""),INDEX('Aub Demand'!Q:Q,MATCH($O269,'Aub Demand'!$A:$A,0))-IF(AN269="",0,AN269)+AP270+AD269+AL269,IF(AR270=AR269,INDEX('Aub Demand'!Q:Q,MATCH($O269,'Aub Demand'!$A:$A,0))-IF(AN269="",0,AN269)+AP270+AD269,IF(AM269&lt;&gt;"",INDEX('Aub Demand'!Q:Q,MATCH($O269,'Aub Demand'!$A:$A,0))-IF(AN269="",0,AN269)+AD269+AL269,INDEX('Aub Demand'!Q:Q,MATCH($O269,'Aub Demand'!$A:$A,0))-IF(AN269="",0,AN269)+AD269))),"")</f>
        <v>657</v>
      </c>
      <c r="Y269" s="53">
        <f t="shared" si="116"/>
        <v>85.3</v>
      </c>
      <c r="Z269" s="52">
        <f>IF(L269="","",INDEX('Aub Demand'!H:H,MATCH($O269,'Aub Demand'!$A:$A,0)))</f>
        <v>33</v>
      </c>
      <c r="AA269" s="52">
        <f t="shared" si="117"/>
        <v>50</v>
      </c>
      <c r="AB269" s="52">
        <f>IFERROR(INDEX('Aub Demand'!L:L,MATCH($O269,'Aub Demand'!$A:$A,0)),"")</f>
        <v>0</v>
      </c>
      <c r="AC269" s="52">
        <f>IFERROR(IF(O269="","",SUMIFS('CPL Mats'!F:F,'CPL Mats'!Q:Q,AR269,'CPL Mats'!S:S,AS269)),"")</f>
        <v>0</v>
      </c>
      <c r="AF269" s="25" t="str">
        <f>IF(SUMIFS('Supp Consol'!S:S,'Supp Consol'!Y:Y,"Releasable",'Supp Consol'!A:A,O269)=0,"",SUMIFS('Supp Consol'!S:S,'Supp Consol'!Y:Y,"Releasable",'Supp Consol'!A:A,O269))</f>
        <v/>
      </c>
      <c r="AG269" s="25" t="str">
        <f>IFERROR(INDEX('Hun Demand'!Q:Q,MATCH(O269,'Hun Demand'!A:A,0)),"")</f>
        <v/>
      </c>
      <c r="AH269" s="25" t="str">
        <f>IFERROR(INDEX('Hun Demand'!H:H,MATCH($O269,'Hun Demand'!$A:$A,0)),"")</f>
        <v/>
      </c>
      <c r="AI269" s="25" t="str">
        <f>IF(SUMIFS('Supp Consol'!AA:AA,'Supp Consol'!Z:Z,"Expires this month",'Supp Consol'!A:A,O269)=0,"",SUMIFS('Supp Consol'!AA:AA,'Supp Consol'!Z:Z,"Expires this month",'Supp Consol'!A:A,O269))</f>
        <v/>
      </c>
      <c r="AJ269" s="25" t="str">
        <f>IF(SUMIFS('Supp Consol'!AA:AA,'Supp Consol'!Z:Z,"Expired Previous Months",'Supp Consol'!A:A,O269)=0,"",SUMIFS('Supp Consol'!AA:AA,'Supp Consol'!Z:Z,"Expired Previous Months",'Supp Consol'!A:A,O269))</f>
        <v/>
      </c>
      <c r="AK269" s="25" t="str">
        <f>IFERROR(INDEX('Hun Release Current'!B:B,MATCH(O269,'Hun Release Current'!A:A,0)),"")</f>
        <v/>
      </c>
      <c r="AL269" s="25" t="str">
        <f>IF(SUMIF('Prev Aub'!A:A,O269,'Prev Aub'!B:B)=0,"",SUMIF('Prev Aub'!A:A,O269,'Prev Aub'!B:B))</f>
        <v/>
      </c>
      <c r="AN269" s="25" t="s">
        <v>3790</v>
      </c>
      <c r="AO269" s="25" t="s">
        <v>3790</v>
      </c>
      <c r="AP269" s="25">
        <f t="shared" si="118"/>
        <v>0</v>
      </c>
      <c r="AQ269" s="151" t="str">
        <f>IF(SUMIFS('Supp Consol'!S:S,'Supp Consol'!A:A,O269,'Supp Consol'!I:I,"PENDING")=0,"",SUMIFS('Supp Consol'!S:S,'Supp Consol'!A:A,O269,'Supp Consol'!I:I,"PENDING"))</f>
        <v/>
      </c>
      <c r="AR269" s="27" t="str">
        <f t="shared" si="119"/>
        <v>AT505</v>
      </c>
      <c r="AS269" s="27" t="str">
        <f t="shared" si="120"/>
        <v>50</v>
      </c>
      <c r="AT269" s="27" t="str">
        <f t="shared" si="121"/>
        <v/>
      </c>
      <c r="AU269" s="27" t="str">
        <f t="shared" si="122"/>
        <v/>
      </c>
      <c r="AV269" s="27" t="str">
        <f t="shared" si="123"/>
        <v/>
      </c>
      <c r="AW269" s="27" t="str">
        <f t="shared" si="124"/>
        <v/>
      </c>
      <c r="AX269" s="27" t="str">
        <f t="shared" si="125"/>
        <v/>
      </c>
      <c r="AY269" s="27" t="str">
        <f t="shared" si="126"/>
        <v/>
      </c>
      <c r="AZ269" s="27" t="str">
        <f t="shared" si="127"/>
        <v/>
      </c>
      <c r="BA269" s="27" t="str">
        <f t="shared" si="128"/>
        <v/>
      </c>
      <c r="BB269" s="27" t="str">
        <f t="shared" si="129"/>
        <v/>
      </c>
      <c r="BC269" s="27" t="str">
        <f t="shared" si="130"/>
        <v/>
      </c>
      <c r="BD269" s="27" t="str">
        <f t="shared" si="131"/>
        <v/>
      </c>
      <c r="BE269" s="27" t="str">
        <f t="shared" si="132"/>
        <v/>
      </c>
      <c r="BF269" s="27" t="str">
        <f t="shared" si="133"/>
        <v/>
      </c>
      <c r="BG269" s="27" t="str">
        <f t="shared" si="134"/>
        <v/>
      </c>
      <c r="BH269" s="27" t="str">
        <f t="shared" si="135"/>
        <v/>
      </c>
      <c r="BI269" s="27" t="str">
        <f t="shared" si="136"/>
        <v/>
      </c>
      <c r="BJ269" s="27" t="str">
        <f t="shared" si="137"/>
        <v/>
      </c>
      <c r="BK269" s="27" t="str">
        <f t="shared" si="138"/>
        <v/>
      </c>
      <c r="BL269" s="27" t="str">
        <f t="shared" si="139"/>
        <v/>
      </c>
      <c r="BM269" s="21" t="s">
        <v>5581</v>
      </c>
    </row>
    <row r="270" spans="1:65" ht="15">
      <c r="A270" s="25" t="str">
        <f>IFERROR(INDEX('Hun Demand'!W:W,MATCH(O270,'Hun Demand'!A:A,0)),"")</f>
        <v/>
      </c>
      <c r="B270" s="25" t="str">
        <f>IFERROR(INDEX('Hun Demand'!V:V,MATCH(O270,'Hun Demand'!A:A,0)),"")</f>
        <v/>
      </c>
      <c r="C270" s="25" t="str">
        <f>IFERROR(INDEX('Hun Demand'!U:U,MATCH(O270,'Hun Demand'!A:A,0)),"")</f>
        <v/>
      </c>
      <c r="D270" s="25" t="str">
        <f>IFERROR(INDEX('Hun Demand'!T:T,MATCH(O270,'Hun Demand'!A:A,0)),"")</f>
        <v/>
      </c>
      <c r="E270" s="25" t="str">
        <f>IFERROR(INDEX('Hun Demand'!S:S,MATCH(O270,'Hun Demand'!A:A,0)),"")</f>
        <v/>
      </c>
      <c r="F270" s="25" t="str">
        <f>IFERROR(INDEX('Hun Demand'!R:R,MATCH(O270,'Hun Demand'!A:A,0)),"")</f>
        <v/>
      </c>
      <c r="G270" s="25">
        <f>IFERROR(INDEX('Aub Demand'!W:W,MATCH(O270,'Aub Demand'!A:A,0)),"")</f>
        <v>0</v>
      </c>
      <c r="H270" s="25">
        <f>IFERROR(INDEX('Aub Demand'!V:V,MATCH(O270,'Aub Demand'!A:A,0)),"")</f>
        <v>0</v>
      </c>
      <c r="I270" s="25">
        <f>IFERROR(INDEX('Aub Demand'!U:U,MATCH(O270,'Aub Demand'!A:A,0)),"")</f>
        <v>0</v>
      </c>
      <c r="J270" s="25">
        <f>IFERROR(INDEX('Aub Demand'!T:T,MATCH(O270,'Aub Demand'!A:A,0)),"")</f>
        <v>0</v>
      </c>
      <c r="K270" s="25">
        <f>IFERROR(INDEX('Aub Demand'!S:S,MATCH(O270,'Aub Demand'!A:A,0)),"")</f>
        <v>0</v>
      </c>
      <c r="L270" s="25">
        <f>IFERROR(INDEX('Aub Demand'!R:R,MATCH(O270,'Aub Demand'!A:A,0)),"")</f>
        <v>0</v>
      </c>
      <c r="O270" s="27" t="s">
        <v>481</v>
      </c>
      <c r="P270" s="27" t="str">
        <f>IFERROR(INDEX('Aub Demand'!B:B,MATCH($O270,'Aub Demand'!$A:$A,0)),"")</f>
        <v>ARGYLE SWEATER</v>
      </c>
      <c r="Q270" s="27" t="str">
        <f>IFERROR(INDEX('Aub Demand'!C:C,MATCH($O270,'Aub Demand'!$A:$A,0)),"")</f>
        <v>SCHAT</v>
      </c>
      <c r="R270" s="52">
        <f>IFERROR(IF(AR271=AR270,INDEX('Aub Demand'!K:K,MATCH($O270,'Aub Demand'!$A:$A,0))-IF(AN270="",0,AN270)+AP271,INDEX('Aub Demand'!K:K,MATCH($O270,'Aub Demand'!$A:$A,0))-IF(AN270="",0,AN270)),"")</f>
        <v>2217</v>
      </c>
      <c r="S270" s="53" t="str">
        <f t="shared" si="112"/>
        <v>n/a</v>
      </c>
      <c r="T270" s="52" t="str">
        <f t="shared" si="113"/>
        <v/>
      </c>
      <c r="U270" s="52">
        <f>IFERROR(IF(AR271=AR270,INDEX('Aub Demand'!Q:Q,MATCH($O270,'Aub Demand'!$A:$A,0))-IF(AN270="",0,AN270)+AP271,INDEX('Aub Demand'!Q:Q,MATCH($O270,'Aub Demand'!$A:$A,0))-IF(AN270="",0,AN270)),"")</f>
        <v>2217</v>
      </c>
      <c r="V270" s="53" t="str">
        <f t="shared" si="114"/>
        <v>n/a</v>
      </c>
      <c r="W270" s="52" t="str">
        <f t="shared" si="115"/>
        <v/>
      </c>
      <c r="X270" s="52">
        <f>IFERROR(IF(AND(AR271=AR270,AM270&lt;&gt;""),INDEX('Aub Demand'!Q:Q,MATCH($O270,'Aub Demand'!$A:$A,0))-IF(AN270="",0,AN270)+AP271+AD270+AL270,IF(AR271=AR270,INDEX('Aub Demand'!Q:Q,MATCH($O270,'Aub Demand'!$A:$A,0))-IF(AN270="",0,AN270)+AP271+AD270,IF(AM270&lt;&gt;"",INDEX('Aub Demand'!Q:Q,MATCH($O270,'Aub Demand'!$A:$A,0))-IF(AN270="",0,AN270)+AD270+AL270,INDEX('Aub Demand'!Q:Q,MATCH($O270,'Aub Demand'!$A:$A,0))-IF(AN270="",0,AN270)+AD270))),"")</f>
        <v>2217</v>
      </c>
      <c r="Y270" s="53" t="str">
        <f t="shared" si="116"/>
        <v>n/a</v>
      </c>
      <c r="Z270" s="52">
        <f>IF(L270="","",INDEX('Aub Demand'!H:H,MATCH($O270,'Aub Demand'!$A:$A,0)))</f>
        <v>0</v>
      </c>
      <c r="AA270" s="52" t="str">
        <f t="shared" si="117"/>
        <v>-spike-</v>
      </c>
      <c r="AB270" s="52">
        <f>IFERROR(INDEX('Aub Demand'!L:L,MATCH($O270,'Aub Demand'!$A:$A,0)),"")</f>
        <v>0</v>
      </c>
      <c r="AC270" s="52">
        <f>IFERROR(IF(O270="","",SUMIFS('CPL Mats'!F:F,'CPL Mats'!Q:Q,AR270,'CPL Mats'!S:S,AS270)),"")</f>
        <v>0</v>
      </c>
      <c r="AF270" s="25" t="str">
        <f>IF(SUMIFS('Supp Consol'!S:S,'Supp Consol'!Y:Y,"Releasable",'Supp Consol'!A:A,O270)=0,"",SUMIFS('Supp Consol'!S:S,'Supp Consol'!Y:Y,"Releasable",'Supp Consol'!A:A,O270))</f>
        <v/>
      </c>
      <c r="AG270" s="25" t="str">
        <f>IFERROR(INDEX('Hun Demand'!Q:Q,MATCH(O270,'Hun Demand'!A:A,0)),"")</f>
        <v/>
      </c>
      <c r="AH270" s="25" t="str">
        <f>IFERROR(INDEX('Hun Demand'!H:H,MATCH($O270,'Hun Demand'!$A:$A,0)),"")</f>
        <v/>
      </c>
      <c r="AI270" s="25" t="str">
        <f>IF(SUMIFS('Supp Consol'!AA:AA,'Supp Consol'!Z:Z,"Expires this month",'Supp Consol'!A:A,O270)=0,"",SUMIFS('Supp Consol'!AA:AA,'Supp Consol'!Z:Z,"Expires this month",'Supp Consol'!A:A,O270))</f>
        <v/>
      </c>
      <c r="AJ270" s="25" t="str">
        <f>IF(SUMIFS('Supp Consol'!AA:AA,'Supp Consol'!Z:Z,"Expired Previous Months",'Supp Consol'!A:A,O270)=0,"",SUMIFS('Supp Consol'!AA:AA,'Supp Consol'!Z:Z,"Expired Previous Months",'Supp Consol'!A:A,O270))</f>
        <v/>
      </c>
      <c r="AK270" s="25" t="str">
        <f>IFERROR(INDEX('Hun Release Current'!B:B,MATCH(O270,'Hun Release Current'!A:A,0)),"")</f>
        <v/>
      </c>
      <c r="AL270" s="25" t="str">
        <f>IF(SUMIF('Prev Aub'!A:A,O270,'Prev Aub'!B:B)=0,"",SUMIF('Prev Aub'!A:A,O270,'Prev Aub'!B:B))</f>
        <v/>
      </c>
      <c r="AN270" s="25" t="s">
        <v>3790</v>
      </c>
      <c r="AO270" s="25" t="s">
        <v>3790</v>
      </c>
      <c r="AP270" s="25">
        <f t="shared" si="118"/>
        <v>0</v>
      </c>
      <c r="AQ270" s="151" t="str">
        <f>IF(SUMIFS('Supp Consol'!S:S,'Supp Consol'!A:A,O270,'Supp Consol'!I:I,"PENDING")=0,"",SUMIFS('Supp Consol'!S:S,'Supp Consol'!A:A,O270,'Supp Consol'!I:I,"PENDING"))</f>
        <v/>
      </c>
      <c r="AR270" s="27" t="str">
        <f t="shared" si="119"/>
        <v>AT505</v>
      </c>
      <c r="AS270" s="27" t="str">
        <f t="shared" si="120"/>
        <v>62</v>
      </c>
      <c r="AT270" s="27" t="str">
        <f t="shared" si="121"/>
        <v/>
      </c>
      <c r="AU270" s="27" t="str">
        <f t="shared" si="122"/>
        <v/>
      </c>
      <c r="AV270" s="27" t="str">
        <f t="shared" si="123"/>
        <v/>
      </c>
      <c r="AW270" s="27" t="str">
        <f t="shared" si="124"/>
        <v/>
      </c>
      <c r="AX270" s="27" t="str">
        <f t="shared" si="125"/>
        <v/>
      </c>
      <c r="AY270" s="27" t="str">
        <f t="shared" si="126"/>
        <v/>
      </c>
      <c r="AZ270" s="27" t="str">
        <f t="shared" si="127"/>
        <v/>
      </c>
      <c r="BA270" s="27" t="str">
        <f t="shared" si="128"/>
        <v/>
      </c>
      <c r="BB270" s="27" t="str">
        <f t="shared" si="129"/>
        <v/>
      </c>
      <c r="BC270" s="27" t="str">
        <f t="shared" si="130"/>
        <v/>
      </c>
      <c r="BD270" s="27" t="str">
        <f t="shared" si="131"/>
        <v/>
      </c>
      <c r="BE270" s="27" t="str">
        <f t="shared" si="132"/>
        <v/>
      </c>
      <c r="BF270" s="27" t="str">
        <f t="shared" si="133"/>
        <v/>
      </c>
      <c r="BG270" s="27" t="str">
        <f t="shared" si="134"/>
        <v/>
      </c>
      <c r="BH270" s="27" t="str">
        <f t="shared" si="135"/>
        <v/>
      </c>
      <c r="BI270" s="27" t="str">
        <f t="shared" si="136"/>
        <v/>
      </c>
      <c r="BJ270" s="27" t="str">
        <f t="shared" si="137"/>
        <v/>
      </c>
      <c r="BK270" s="27" t="str">
        <f t="shared" si="138"/>
        <v/>
      </c>
      <c r="BL270" s="27" t="str">
        <f t="shared" si="139"/>
        <v/>
      </c>
      <c r="BM270" s="21" t="s">
        <v>5581</v>
      </c>
    </row>
    <row r="271" spans="1:65" ht="15">
      <c r="A271" s="25">
        <f>IFERROR(INDEX('Hun Demand'!W:W,MATCH(O271,'Hun Demand'!A:A,0)),"")</f>
        <v>0</v>
      </c>
      <c r="B271" s="25">
        <f>IFERROR(INDEX('Hun Demand'!V:V,MATCH(O271,'Hun Demand'!A:A,0)),"")</f>
        <v>0</v>
      </c>
      <c r="C271" s="25">
        <f>IFERROR(INDEX('Hun Demand'!U:U,MATCH(O271,'Hun Demand'!A:A,0)),"")</f>
        <v>0</v>
      </c>
      <c r="D271" s="25">
        <f>IFERROR(INDEX('Hun Demand'!T:T,MATCH(O271,'Hun Demand'!A:A,0)),"")</f>
        <v>0</v>
      </c>
      <c r="E271" s="25">
        <f>IFERROR(INDEX('Hun Demand'!S:S,MATCH(O271,'Hun Demand'!A:A,0)),"")</f>
        <v>0</v>
      </c>
      <c r="F271" s="25">
        <f>IFERROR(INDEX('Hun Demand'!R:R,MATCH(O271,'Hun Demand'!A:A,0)),"")</f>
        <v>0</v>
      </c>
      <c r="G271" s="25">
        <f>IFERROR(INDEX('Aub Demand'!W:W,MATCH(O271,'Aub Demand'!A:A,0)),"")</f>
        <v>0</v>
      </c>
      <c r="H271" s="25">
        <f>IFERROR(INDEX('Aub Demand'!V:V,MATCH(O271,'Aub Demand'!A:A,0)),"")</f>
        <v>8</v>
      </c>
      <c r="I271" s="25">
        <f>IFERROR(INDEX('Aub Demand'!U:U,MATCH(O271,'Aub Demand'!A:A,0)),"")</f>
        <v>26</v>
      </c>
      <c r="J271" s="25">
        <f>IFERROR(INDEX('Aub Demand'!T:T,MATCH(O271,'Aub Demand'!A:A,0)),"")</f>
        <v>0</v>
      </c>
      <c r="K271" s="25">
        <f>IFERROR(INDEX('Aub Demand'!S:S,MATCH(O271,'Aub Demand'!A:A,0)),"")</f>
        <v>17</v>
      </c>
      <c r="L271" s="25">
        <f>IFERROR(INDEX('Aub Demand'!R:R,MATCH(O271,'Aub Demand'!A:A,0)),"")</f>
        <v>0</v>
      </c>
      <c r="O271" s="27" t="s">
        <v>2094</v>
      </c>
      <c r="P271" s="27" t="str">
        <f>IFERROR(INDEX('Aub Demand'!B:B,MATCH($O271,'Aub Demand'!$A:$A,0)),"")</f>
        <v>BLISSFUL PATH II</v>
      </c>
      <c r="Q271" s="27" t="str">
        <f>IFERROR(INDEX('Aub Demand'!C:C,MATCH($O271,'Aub Demand'!$A:$A,0)),"")</f>
        <v>IMPRE</v>
      </c>
      <c r="R271" s="52">
        <f>IFERROR(IF(AR272=AR271,INDEX('Aub Demand'!K:K,MATCH($O271,'Aub Demand'!$A:$A,0))-IF(AN271="",0,AN271)+AP272,INDEX('Aub Demand'!K:K,MATCH($O271,'Aub Demand'!$A:$A,0))-IF(AN271="",0,AN271)),"")</f>
        <v>3051</v>
      </c>
      <c r="S271" s="53">
        <f t="shared" si="112"/>
        <v>934</v>
      </c>
      <c r="T271" s="52" t="str">
        <f t="shared" si="113"/>
        <v/>
      </c>
      <c r="U271" s="52">
        <f>IFERROR(IF(AR272=AR271,INDEX('Aub Demand'!Q:Q,MATCH($O271,'Aub Demand'!$A:$A,0))-IF(AN271="",0,AN271)+AP272,INDEX('Aub Demand'!Q:Q,MATCH($O271,'Aub Demand'!$A:$A,0))-IF(AN271="",0,AN271)),"")</f>
        <v>3039</v>
      </c>
      <c r="V271" s="53">
        <f t="shared" si="114"/>
        <v>930.3</v>
      </c>
      <c r="W271" s="52" t="str">
        <f t="shared" si="115"/>
        <v/>
      </c>
      <c r="X271" s="52">
        <f>IFERROR(IF(AND(AR272=AR271,AM271&lt;&gt;""),INDEX('Aub Demand'!Q:Q,MATCH($O271,'Aub Demand'!$A:$A,0))-IF(AN271="",0,AN271)+AP272+AD271+AL271,IF(AR272=AR271,INDEX('Aub Demand'!Q:Q,MATCH($O271,'Aub Demand'!$A:$A,0))-IF(AN271="",0,AN271)+AP272+AD271,IF(AM271&lt;&gt;"",INDEX('Aub Demand'!Q:Q,MATCH($O271,'Aub Demand'!$A:$A,0))-IF(AN271="",0,AN271)+AD271+AL271,INDEX('Aub Demand'!Q:Q,MATCH($O271,'Aub Demand'!$A:$A,0))-IF(AN271="",0,AN271)+AD271))),"")</f>
        <v>3039</v>
      </c>
      <c r="Y271" s="53">
        <f t="shared" si="116"/>
        <v>930.3</v>
      </c>
      <c r="Z271" s="52">
        <f>IF(L271="","",INDEX('Aub Demand'!H:H,MATCH($O271,'Aub Demand'!$A:$A,0)))</f>
        <v>14</v>
      </c>
      <c r="AA271" s="52">
        <f t="shared" si="117"/>
        <v>21.5</v>
      </c>
      <c r="AB271" s="52">
        <f>IFERROR(INDEX('Aub Demand'!L:L,MATCH($O271,'Aub Demand'!$A:$A,0)),"")</f>
        <v>0</v>
      </c>
      <c r="AC271" s="52">
        <f>IFERROR(IF(O271="","",SUMIFS('CPL Mats'!F:F,'CPL Mats'!Q:Q,AR271,'CPL Mats'!S:S,AS271)),"")</f>
        <v>0</v>
      </c>
      <c r="AF271" s="25" t="str">
        <f>IF(SUMIFS('Supp Consol'!S:S,'Supp Consol'!Y:Y,"Releasable",'Supp Consol'!A:A,O271)=0,"",SUMIFS('Supp Consol'!S:S,'Supp Consol'!Y:Y,"Releasable",'Supp Consol'!A:A,O271))</f>
        <v/>
      </c>
      <c r="AG271" s="25">
        <f>IFERROR(INDEX('Hun Demand'!Q:Q,MATCH(O271,'Hun Demand'!A:A,0)),"")</f>
        <v>98</v>
      </c>
      <c r="AH271" s="25">
        <f>IFERROR(INDEX('Hun Demand'!H:H,MATCH($O271,'Hun Demand'!$A:$A,0)),"")</f>
        <v>0</v>
      </c>
      <c r="AI271" s="25" t="str">
        <f>IF(SUMIFS('Supp Consol'!AA:AA,'Supp Consol'!Z:Z,"Expires this month",'Supp Consol'!A:A,O271)=0,"",SUMIFS('Supp Consol'!AA:AA,'Supp Consol'!Z:Z,"Expires this month",'Supp Consol'!A:A,O271))</f>
        <v/>
      </c>
      <c r="AJ271" s="25" t="str">
        <f>IF(SUMIFS('Supp Consol'!AA:AA,'Supp Consol'!Z:Z,"Expired Previous Months",'Supp Consol'!A:A,O271)=0,"",SUMIFS('Supp Consol'!AA:AA,'Supp Consol'!Z:Z,"Expired Previous Months",'Supp Consol'!A:A,O271))</f>
        <v/>
      </c>
      <c r="AK271" s="25" t="str">
        <f>IFERROR(INDEX('Hun Release Current'!B:B,MATCH(O271,'Hun Release Current'!A:A,0)),"")</f>
        <v/>
      </c>
      <c r="AL271" s="25" t="str">
        <f>IF(SUMIF('Prev Aub'!A:A,O271,'Prev Aub'!B:B)=0,"",SUMIF('Prev Aub'!A:A,O271,'Prev Aub'!B:B))</f>
        <v/>
      </c>
      <c r="AN271" s="25" t="s">
        <v>3790</v>
      </c>
      <c r="AO271" s="25" t="s">
        <v>3790</v>
      </c>
      <c r="AP271" s="25">
        <f t="shared" si="118"/>
        <v>0</v>
      </c>
      <c r="AQ271" s="151" t="str">
        <f>IF(SUMIFS('Supp Consol'!S:S,'Supp Consol'!A:A,O271,'Supp Consol'!I:I,"PENDING")=0,"",SUMIFS('Supp Consol'!S:S,'Supp Consol'!A:A,O271,'Supp Consol'!I:I,"PENDING"))</f>
        <v/>
      </c>
      <c r="AR271" s="27" t="str">
        <f t="shared" si="119"/>
        <v>AT510</v>
      </c>
      <c r="AS271" s="27" t="str">
        <f t="shared" si="120"/>
        <v>50</v>
      </c>
      <c r="AT271" s="27" t="str">
        <f t="shared" si="121"/>
        <v/>
      </c>
      <c r="AU271" s="27" t="str">
        <f t="shared" si="122"/>
        <v/>
      </c>
      <c r="AV271" s="27" t="str">
        <f t="shared" si="123"/>
        <v/>
      </c>
      <c r="AW271" s="27" t="str">
        <f t="shared" si="124"/>
        <v/>
      </c>
      <c r="AX271" s="27" t="str">
        <f t="shared" si="125"/>
        <v/>
      </c>
      <c r="AY271" s="27" t="str">
        <f t="shared" si="126"/>
        <v>AT510</v>
      </c>
      <c r="AZ271" s="27" t="str">
        <f t="shared" si="127"/>
        <v/>
      </c>
      <c r="BA271" s="27" t="str">
        <f t="shared" si="128"/>
        <v>Hun</v>
      </c>
      <c r="BB271" s="27" t="str">
        <f t="shared" si="129"/>
        <v/>
      </c>
      <c r="BC271" s="27" t="str">
        <f t="shared" si="130"/>
        <v/>
      </c>
      <c r="BD271" s="27" t="str">
        <f t="shared" si="131"/>
        <v/>
      </c>
      <c r="BE271" s="27" t="str">
        <f t="shared" si="132"/>
        <v/>
      </c>
      <c r="BF271" s="27" t="str">
        <f t="shared" si="133"/>
        <v/>
      </c>
      <c r="BG271" s="27" t="str">
        <f t="shared" si="134"/>
        <v/>
      </c>
      <c r="BH271" s="27" t="str">
        <f t="shared" si="135"/>
        <v/>
      </c>
      <c r="BI271" s="27" t="str">
        <f t="shared" si="136"/>
        <v/>
      </c>
      <c r="BJ271" s="27" t="str">
        <f t="shared" si="137"/>
        <v>Supp or Hun</v>
      </c>
      <c r="BK271" s="27" t="str">
        <f t="shared" si="138"/>
        <v/>
      </c>
      <c r="BL271" s="27" t="str">
        <f t="shared" si="139"/>
        <v/>
      </c>
      <c r="BM271" s="21" t="s">
        <v>5581</v>
      </c>
    </row>
    <row r="272" spans="1:65" ht="15">
      <c r="A272" s="25" t="str">
        <f>IFERROR(INDEX('Hun Demand'!W:W,MATCH(O272,'Hun Demand'!A:A,0)),"")</f>
        <v/>
      </c>
      <c r="B272" s="25" t="str">
        <f>IFERROR(INDEX('Hun Demand'!V:V,MATCH(O272,'Hun Demand'!A:A,0)),"")</f>
        <v/>
      </c>
      <c r="C272" s="25" t="str">
        <f>IFERROR(INDEX('Hun Demand'!U:U,MATCH(O272,'Hun Demand'!A:A,0)),"")</f>
        <v/>
      </c>
      <c r="D272" s="25" t="str">
        <f>IFERROR(INDEX('Hun Demand'!T:T,MATCH(O272,'Hun Demand'!A:A,0)),"")</f>
        <v/>
      </c>
      <c r="E272" s="25" t="str">
        <f>IFERROR(INDEX('Hun Demand'!S:S,MATCH(O272,'Hun Demand'!A:A,0)),"")</f>
        <v/>
      </c>
      <c r="F272" s="25" t="str">
        <f>IFERROR(INDEX('Hun Demand'!R:R,MATCH(O272,'Hun Demand'!A:A,0)),"")</f>
        <v/>
      </c>
      <c r="G272" s="25">
        <f>IFERROR(INDEX('Aub Demand'!W:W,MATCH(O272,'Aub Demand'!A:A,0)),"")</f>
        <v>90</v>
      </c>
      <c r="H272" s="25">
        <f>IFERROR(INDEX('Aub Demand'!V:V,MATCH(O272,'Aub Demand'!A:A,0)),"")</f>
        <v>0</v>
      </c>
      <c r="I272" s="25">
        <f>IFERROR(INDEX('Aub Demand'!U:U,MATCH(O272,'Aub Demand'!A:A,0)),"")</f>
        <v>0</v>
      </c>
      <c r="J272" s="25">
        <f>IFERROR(INDEX('Aub Demand'!T:T,MATCH(O272,'Aub Demand'!A:A,0)),"")</f>
        <v>0</v>
      </c>
      <c r="K272" s="25">
        <f>IFERROR(INDEX('Aub Demand'!S:S,MATCH(O272,'Aub Demand'!A:A,0)),"")</f>
        <v>0</v>
      </c>
      <c r="L272" s="25">
        <f>IFERROR(INDEX('Aub Demand'!R:R,MATCH(O272,'Aub Demand'!A:A,0)),"")</f>
        <v>22</v>
      </c>
      <c r="O272" s="27" t="s">
        <v>2096</v>
      </c>
      <c r="P272" s="27" t="str">
        <f>IFERROR(INDEX('Aub Demand'!B:B,MATCH($O272,'Aub Demand'!$A:$A,0)),"")</f>
        <v>BLISSFUL PATH II</v>
      </c>
      <c r="Q272" s="27" t="str">
        <f>IFERROR(INDEX('Aub Demand'!C:C,MATCH($O272,'Aub Demand'!$A:$A,0)),"")</f>
        <v>IMPRE</v>
      </c>
      <c r="R272" s="52">
        <f>IFERROR(IF(AR273=AR272,INDEX('Aub Demand'!K:K,MATCH($O272,'Aub Demand'!$A:$A,0))-IF(AN272="",0,AN272)+AP273,INDEX('Aub Demand'!K:K,MATCH($O272,'Aub Demand'!$A:$A,0))-IF(AN272="",0,AN272)),"")</f>
        <v>2478</v>
      </c>
      <c r="S272" s="53" t="str">
        <f t="shared" si="112"/>
        <v>n/a</v>
      </c>
      <c r="T272" s="52" t="str">
        <f t="shared" si="113"/>
        <v/>
      </c>
      <c r="U272" s="52">
        <f>IFERROR(IF(AR273=AR272,INDEX('Aub Demand'!Q:Q,MATCH($O272,'Aub Demand'!$A:$A,0))-IF(AN272="",0,AN272)+AP273,INDEX('Aub Demand'!Q:Q,MATCH($O272,'Aub Demand'!$A:$A,0))-IF(AN272="",0,AN272)),"")</f>
        <v>2445</v>
      </c>
      <c r="V272" s="53" t="str">
        <f t="shared" si="114"/>
        <v>n/a</v>
      </c>
      <c r="W272" s="52" t="str">
        <f t="shared" si="115"/>
        <v/>
      </c>
      <c r="X272" s="52">
        <f>IFERROR(IF(AND(AR273=AR272,AM272&lt;&gt;""),INDEX('Aub Demand'!Q:Q,MATCH($O272,'Aub Demand'!$A:$A,0))-IF(AN272="",0,AN272)+AP273+AD272+AL272,IF(AR273=AR272,INDEX('Aub Demand'!Q:Q,MATCH($O272,'Aub Demand'!$A:$A,0))-IF(AN272="",0,AN272)+AP273+AD272,IF(AM272&lt;&gt;"",INDEX('Aub Demand'!Q:Q,MATCH($O272,'Aub Demand'!$A:$A,0))-IF(AN272="",0,AN272)+AD272+AL272,INDEX('Aub Demand'!Q:Q,MATCH($O272,'Aub Demand'!$A:$A,0))-IF(AN272="",0,AN272)+AD272))),"")</f>
        <v>2445</v>
      </c>
      <c r="Y272" s="53" t="str">
        <f t="shared" si="116"/>
        <v>n/a</v>
      </c>
      <c r="Z272" s="52">
        <f>IF(L272="","",INDEX('Aub Demand'!H:H,MATCH($O272,'Aub Demand'!$A:$A,0)))</f>
        <v>0</v>
      </c>
      <c r="AA272" s="52" t="str">
        <f t="shared" si="117"/>
        <v>-spike-</v>
      </c>
      <c r="AB272" s="52">
        <f>IFERROR(INDEX('Aub Demand'!L:L,MATCH($O272,'Aub Demand'!$A:$A,0)),"")</f>
        <v>29</v>
      </c>
      <c r="AC272" s="52">
        <f>IFERROR(IF(O272="","",SUMIFS('CPL Mats'!F:F,'CPL Mats'!Q:Q,AR272,'CPL Mats'!S:S,AS272)),"")</f>
        <v>0</v>
      </c>
      <c r="AF272" s="25" t="str">
        <f>IF(SUMIFS('Supp Consol'!S:S,'Supp Consol'!Y:Y,"Releasable",'Supp Consol'!A:A,O272)=0,"",SUMIFS('Supp Consol'!S:S,'Supp Consol'!Y:Y,"Releasable",'Supp Consol'!A:A,O272))</f>
        <v/>
      </c>
      <c r="AG272" s="25" t="str">
        <f>IFERROR(INDEX('Hun Demand'!Q:Q,MATCH(O272,'Hun Demand'!A:A,0)),"")</f>
        <v/>
      </c>
      <c r="AH272" s="25" t="str">
        <f>IFERROR(INDEX('Hun Demand'!H:H,MATCH($O272,'Hun Demand'!$A:$A,0)),"")</f>
        <v/>
      </c>
      <c r="AI272" s="25" t="str">
        <f>IF(SUMIFS('Supp Consol'!AA:AA,'Supp Consol'!Z:Z,"Expires this month",'Supp Consol'!A:A,O272)=0,"",SUMIFS('Supp Consol'!AA:AA,'Supp Consol'!Z:Z,"Expires this month",'Supp Consol'!A:A,O272))</f>
        <v/>
      </c>
      <c r="AJ272" s="25" t="str">
        <f>IF(SUMIFS('Supp Consol'!AA:AA,'Supp Consol'!Z:Z,"Expired Previous Months",'Supp Consol'!A:A,O272)=0,"",SUMIFS('Supp Consol'!AA:AA,'Supp Consol'!Z:Z,"Expired Previous Months",'Supp Consol'!A:A,O272))</f>
        <v/>
      </c>
      <c r="AK272" s="25" t="str">
        <f>IFERROR(INDEX('Hun Release Current'!B:B,MATCH(O272,'Hun Release Current'!A:A,0)),"")</f>
        <v/>
      </c>
      <c r="AL272" s="25" t="str">
        <f>IF(SUMIF('Prev Aub'!A:A,O272,'Prev Aub'!B:B)=0,"",SUMIF('Prev Aub'!A:A,O272,'Prev Aub'!B:B))</f>
        <v/>
      </c>
      <c r="AN272" s="25" t="s">
        <v>3790</v>
      </c>
      <c r="AO272" s="25" t="s">
        <v>3790</v>
      </c>
      <c r="AP272" s="25">
        <f t="shared" si="118"/>
        <v>0</v>
      </c>
      <c r="AQ272" s="151" t="str">
        <f>IF(SUMIFS('Supp Consol'!S:S,'Supp Consol'!A:A,O272,'Supp Consol'!I:I,"PENDING")=0,"",SUMIFS('Supp Consol'!S:S,'Supp Consol'!A:A,O272,'Supp Consol'!I:I,"PENDING"))</f>
        <v/>
      </c>
      <c r="AR272" s="27" t="str">
        <f t="shared" si="119"/>
        <v>AT510</v>
      </c>
      <c r="AS272" s="27" t="str">
        <f t="shared" si="120"/>
        <v>62</v>
      </c>
      <c r="AT272" s="27" t="str">
        <f t="shared" si="121"/>
        <v/>
      </c>
      <c r="AU272" s="27" t="str">
        <f t="shared" si="122"/>
        <v/>
      </c>
      <c r="AV272" s="27" t="str">
        <f t="shared" si="123"/>
        <v/>
      </c>
      <c r="AW272" s="27" t="str">
        <f t="shared" si="124"/>
        <v/>
      </c>
      <c r="AX272" s="27" t="str">
        <f t="shared" si="125"/>
        <v/>
      </c>
      <c r="AY272" s="27" t="str">
        <f t="shared" si="126"/>
        <v/>
      </c>
      <c r="AZ272" s="27" t="str">
        <f t="shared" si="127"/>
        <v/>
      </c>
      <c r="BA272" s="27" t="str">
        <f t="shared" si="128"/>
        <v>Hun</v>
      </c>
      <c r="BB272" s="27" t="str">
        <f t="shared" si="129"/>
        <v/>
      </c>
      <c r="BC272" s="27" t="str">
        <f t="shared" si="130"/>
        <v/>
      </c>
      <c r="BD272" s="27" t="str">
        <f t="shared" si="131"/>
        <v/>
      </c>
      <c r="BE272" s="27" t="str">
        <f t="shared" si="132"/>
        <v/>
      </c>
      <c r="BF272" s="27" t="str">
        <f t="shared" si="133"/>
        <v/>
      </c>
      <c r="BG272" s="27" t="str">
        <f t="shared" si="134"/>
        <v/>
      </c>
      <c r="BH272" s="27" t="str">
        <f t="shared" si="135"/>
        <v/>
      </c>
      <c r="BI272" s="27" t="str">
        <f t="shared" si="136"/>
        <v/>
      </c>
      <c r="BJ272" s="27" t="str">
        <f t="shared" si="137"/>
        <v>Supp or Hun</v>
      </c>
      <c r="BK272" s="27" t="str">
        <f t="shared" si="138"/>
        <v/>
      </c>
      <c r="BL272" s="27" t="str">
        <f t="shared" si="139"/>
        <v/>
      </c>
      <c r="BM272" s="21" t="s">
        <v>5581</v>
      </c>
    </row>
    <row r="273" spans="1:65" ht="15">
      <c r="A273" s="25" t="str">
        <f>IFERROR(INDEX('Hun Demand'!W:W,MATCH(O273,'Hun Demand'!A:A,0)),"")</f>
        <v/>
      </c>
      <c r="B273" s="25" t="str">
        <f>IFERROR(INDEX('Hun Demand'!V:V,MATCH(O273,'Hun Demand'!A:A,0)),"")</f>
        <v/>
      </c>
      <c r="C273" s="25" t="str">
        <f>IFERROR(INDEX('Hun Demand'!U:U,MATCH(O273,'Hun Demand'!A:A,0)),"")</f>
        <v/>
      </c>
      <c r="D273" s="25" t="str">
        <f>IFERROR(INDEX('Hun Demand'!T:T,MATCH(O273,'Hun Demand'!A:A,0)),"")</f>
        <v/>
      </c>
      <c r="E273" s="25" t="str">
        <f>IFERROR(INDEX('Hun Demand'!S:S,MATCH(O273,'Hun Demand'!A:A,0)),"")</f>
        <v/>
      </c>
      <c r="F273" s="25" t="str">
        <f>IFERROR(INDEX('Hun Demand'!R:R,MATCH(O273,'Hun Demand'!A:A,0)),"")</f>
        <v/>
      </c>
      <c r="G273" s="25">
        <f>IFERROR(INDEX('Aub Demand'!W:W,MATCH(O273,'Aub Demand'!A:A,0)),"")</f>
        <v>0</v>
      </c>
      <c r="H273" s="25">
        <f>IFERROR(INDEX('Aub Demand'!V:V,MATCH(O273,'Aub Demand'!A:A,0)),"")</f>
        <v>0</v>
      </c>
      <c r="I273" s="25">
        <f>IFERROR(INDEX('Aub Demand'!U:U,MATCH(O273,'Aub Demand'!A:A,0)),"")</f>
        <v>0</v>
      </c>
      <c r="J273" s="25">
        <f>IFERROR(INDEX('Aub Demand'!T:T,MATCH(O273,'Aub Demand'!A:A,0)),"")</f>
        <v>0</v>
      </c>
      <c r="K273" s="25">
        <f>IFERROR(INDEX('Aub Demand'!S:S,MATCH(O273,'Aub Demand'!A:A,0)),"")</f>
        <v>0</v>
      </c>
      <c r="L273" s="25">
        <f>IFERROR(INDEX('Aub Demand'!R:R,MATCH(O273,'Aub Demand'!A:A,0)),"")</f>
        <v>0</v>
      </c>
      <c r="O273" s="27" t="s">
        <v>482</v>
      </c>
      <c r="P273" s="27" t="str">
        <f>IFERROR(INDEX('Aub Demand'!B:B,MATCH($O273,'Aub Demand'!$A:$A,0)),"")</f>
        <v>WOVEN WEAVE</v>
      </c>
      <c r="Q273" s="27" t="str">
        <f>IFERROR(INDEX('Aub Demand'!C:C,MATCH($O273,'Aub Demand'!$A:$A,0)),"")</f>
        <v>TOPPA</v>
      </c>
      <c r="R273" s="52">
        <f>IFERROR(IF(AR274=AR273,INDEX('Aub Demand'!K:K,MATCH($O273,'Aub Demand'!$A:$A,0))-IF(AN273="",0,AN273)+AP274,INDEX('Aub Demand'!K:K,MATCH($O273,'Aub Demand'!$A:$A,0))-IF(AN273="",0,AN273)),"")</f>
        <v>786</v>
      </c>
      <c r="S273" s="53" t="str">
        <f t="shared" si="112"/>
        <v>n/a</v>
      </c>
      <c r="T273" s="52" t="str">
        <f t="shared" si="113"/>
        <v/>
      </c>
      <c r="U273" s="52">
        <f>IFERROR(IF(AR274=AR273,INDEX('Aub Demand'!Q:Q,MATCH($O273,'Aub Demand'!$A:$A,0))-IF(AN273="",0,AN273)+AP274,INDEX('Aub Demand'!Q:Q,MATCH($O273,'Aub Demand'!$A:$A,0))-IF(AN273="",0,AN273)),"")</f>
        <v>786</v>
      </c>
      <c r="V273" s="53" t="str">
        <f t="shared" si="114"/>
        <v>n/a</v>
      </c>
      <c r="W273" s="52" t="str">
        <f t="shared" si="115"/>
        <v/>
      </c>
      <c r="X273" s="52">
        <f>IFERROR(IF(AND(AR274=AR273,AM273&lt;&gt;""),INDEX('Aub Demand'!Q:Q,MATCH($O273,'Aub Demand'!$A:$A,0))-IF(AN273="",0,AN273)+AP274+AD273+AL273,IF(AR274=AR273,INDEX('Aub Demand'!Q:Q,MATCH($O273,'Aub Demand'!$A:$A,0))-IF(AN273="",0,AN273)+AP274+AD273,IF(AM273&lt;&gt;"",INDEX('Aub Demand'!Q:Q,MATCH($O273,'Aub Demand'!$A:$A,0))-IF(AN273="",0,AN273)+AD273+AL273,INDEX('Aub Demand'!Q:Q,MATCH($O273,'Aub Demand'!$A:$A,0))-IF(AN273="",0,AN273)+AD273))),"")</f>
        <v>786</v>
      </c>
      <c r="Y273" s="53" t="str">
        <f t="shared" si="116"/>
        <v>n/a</v>
      </c>
      <c r="Z273" s="52">
        <f>IF(L273="","",INDEX('Aub Demand'!H:H,MATCH($O273,'Aub Demand'!$A:$A,0)))</f>
        <v>0</v>
      </c>
      <c r="AA273" s="52" t="str">
        <f t="shared" si="117"/>
        <v>-spike-</v>
      </c>
      <c r="AB273" s="52">
        <f>IFERROR(INDEX('Aub Demand'!L:L,MATCH($O273,'Aub Demand'!$A:$A,0)),"")</f>
        <v>6</v>
      </c>
      <c r="AC273" s="52">
        <f>IFERROR(IF(O273="","",SUMIFS('CPL Mats'!F:F,'CPL Mats'!Q:Q,AR273,'CPL Mats'!S:S,AS273)),"")</f>
        <v>0</v>
      </c>
      <c r="AF273" s="25" t="str">
        <f>IF(SUMIFS('Supp Consol'!S:S,'Supp Consol'!Y:Y,"Releasable",'Supp Consol'!A:A,O273)=0,"",SUMIFS('Supp Consol'!S:S,'Supp Consol'!Y:Y,"Releasable",'Supp Consol'!A:A,O273))</f>
        <v/>
      </c>
      <c r="AG273" s="25" t="str">
        <f>IFERROR(INDEX('Hun Demand'!Q:Q,MATCH(O273,'Hun Demand'!A:A,0)),"")</f>
        <v/>
      </c>
      <c r="AH273" s="25" t="str">
        <f>IFERROR(INDEX('Hun Demand'!H:H,MATCH($O273,'Hun Demand'!$A:$A,0)),"")</f>
        <v/>
      </c>
      <c r="AI273" s="25" t="str">
        <f>IF(SUMIFS('Supp Consol'!AA:AA,'Supp Consol'!Z:Z,"Expires this month",'Supp Consol'!A:A,O273)=0,"",SUMIFS('Supp Consol'!AA:AA,'Supp Consol'!Z:Z,"Expires this month",'Supp Consol'!A:A,O273))</f>
        <v/>
      </c>
      <c r="AJ273" s="25" t="str">
        <f>IF(SUMIFS('Supp Consol'!AA:AA,'Supp Consol'!Z:Z,"Expired Previous Months",'Supp Consol'!A:A,O273)=0,"",SUMIFS('Supp Consol'!AA:AA,'Supp Consol'!Z:Z,"Expired Previous Months",'Supp Consol'!A:A,O273))</f>
        <v/>
      </c>
      <c r="AK273" s="25" t="str">
        <f>IFERROR(INDEX('Hun Release Current'!B:B,MATCH(O273,'Hun Release Current'!A:A,0)),"")</f>
        <v/>
      </c>
      <c r="AL273" s="25" t="str">
        <f>IF(SUMIF('Prev Aub'!A:A,O273,'Prev Aub'!B:B)=0,"",SUMIF('Prev Aub'!A:A,O273,'Prev Aub'!B:B))</f>
        <v/>
      </c>
      <c r="AN273" s="25" t="s">
        <v>3790</v>
      </c>
      <c r="AO273" s="25" t="s">
        <v>3790</v>
      </c>
      <c r="AP273" s="25">
        <f t="shared" si="118"/>
        <v>0</v>
      </c>
      <c r="AQ273" s="151" t="str">
        <f>IF(SUMIFS('Supp Consol'!S:S,'Supp Consol'!A:A,O273,'Supp Consol'!I:I,"PENDING")=0,"",SUMIFS('Supp Consol'!S:S,'Supp Consol'!A:A,O273,'Supp Consol'!I:I,"PENDING"))</f>
        <v/>
      </c>
      <c r="AR273" s="27" t="str">
        <f t="shared" si="119"/>
        <v>AT610</v>
      </c>
      <c r="AS273" s="27" t="str">
        <f t="shared" si="120"/>
        <v>50</v>
      </c>
      <c r="AT273" s="27" t="str">
        <f t="shared" si="121"/>
        <v/>
      </c>
      <c r="AU273" s="27" t="str">
        <f t="shared" si="122"/>
        <v/>
      </c>
      <c r="AV273" s="27" t="str">
        <f t="shared" si="123"/>
        <v/>
      </c>
      <c r="AW273" s="27" t="str">
        <f t="shared" si="124"/>
        <v/>
      </c>
      <c r="AX273" s="27" t="str">
        <f t="shared" si="125"/>
        <v/>
      </c>
      <c r="AY273" s="27" t="str">
        <f t="shared" si="126"/>
        <v/>
      </c>
      <c r="AZ273" s="27" t="str">
        <f t="shared" si="127"/>
        <v/>
      </c>
      <c r="BA273" s="27" t="str">
        <f t="shared" si="128"/>
        <v/>
      </c>
      <c r="BB273" s="27" t="str">
        <f t="shared" si="129"/>
        <v/>
      </c>
      <c r="BC273" s="27" t="str">
        <f t="shared" si="130"/>
        <v/>
      </c>
      <c r="BD273" s="27" t="str">
        <f t="shared" si="131"/>
        <v/>
      </c>
      <c r="BE273" s="27" t="str">
        <f t="shared" si="132"/>
        <v/>
      </c>
      <c r="BF273" s="27" t="str">
        <f t="shared" si="133"/>
        <v/>
      </c>
      <c r="BG273" s="27" t="str">
        <f t="shared" si="134"/>
        <v/>
      </c>
      <c r="BH273" s="27" t="str">
        <f t="shared" si="135"/>
        <v/>
      </c>
      <c r="BI273" s="27" t="str">
        <f t="shared" si="136"/>
        <v/>
      </c>
      <c r="BJ273" s="27" t="str">
        <f t="shared" si="137"/>
        <v/>
      </c>
      <c r="BK273" s="27" t="str">
        <f t="shared" si="138"/>
        <v/>
      </c>
      <c r="BL273" s="27" t="str">
        <f t="shared" si="139"/>
        <v/>
      </c>
      <c r="BM273" s="21" t="s">
        <v>3790</v>
      </c>
    </row>
    <row r="274" spans="1:65" ht="15">
      <c r="A274" s="25">
        <f>IFERROR(INDEX('Hun Demand'!W:W,MATCH(O274,'Hun Demand'!A:A,0)),"")</f>
        <v>0</v>
      </c>
      <c r="B274" s="25">
        <f>IFERROR(INDEX('Hun Demand'!V:V,MATCH(O274,'Hun Demand'!A:A,0)),"")</f>
        <v>0</v>
      </c>
      <c r="C274" s="25">
        <f>IFERROR(INDEX('Hun Demand'!U:U,MATCH(O274,'Hun Demand'!A:A,0)),"")</f>
        <v>0</v>
      </c>
      <c r="D274" s="25">
        <f>IFERROR(INDEX('Hun Demand'!T:T,MATCH(O274,'Hun Demand'!A:A,0)),"")</f>
        <v>0</v>
      </c>
      <c r="E274" s="25">
        <f>IFERROR(INDEX('Hun Demand'!S:S,MATCH(O274,'Hun Demand'!A:A,0)),"")</f>
        <v>0</v>
      </c>
      <c r="F274" s="25">
        <f>IFERROR(INDEX('Hun Demand'!R:R,MATCH(O274,'Hun Demand'!A:A,0)),"")</f>
        <v>0</v>
      </c>
      <c r="G274" s="25">
        <f>IFERROR(INDEX('Aub Demand'!W:W,MATCH(O274,'Aub Demand'!A:A,0)),"")</f>
        <v>117</v>
      </c>
      <c r="H274" s="25">
        <f>IFERROR(INDEX('Aub Demand'!V:V,MATCH(O274,'Aub Demand'!A:A,0)),"")</f>
        <v>0</v>
      </c>
      <c r="I274" s="25">
        <f>IFERROR(INDEX('Aub Demand'!U:U,MATCH(O274,'Aub Demand'!A:A,0)),"")</f>
        <v>95</v>
      </c>
      <c r="J274" s="25">
        <f>IFERROR(INDEX('Aub Demand'!T:T,MATCH(O274,'Aub Demand'!A:A,0)),"")</f>
        <v>60</v>
      </c>
      <c r="K274" s="25">
        <f>IFERROR(INDEX('Aub Demand'!S:S,MATCH(O274,'Aub Demand'!A:A,0)),"")</f>
        <v>170</v>
      </c>
      <c r="L274" s="25">
        <f>IFERROR(INDEX('Aub Demand'!R:R,MATCH(O274,'Aub Demand'!A:A,0)),"")</f>
        <v>0</v>
      </c>
      <c r="O274" s="27" t="s">
        <v>485</v>
      </c>
      <c r="P274" s="27" t="str">
        <f>IFERROR(INDEX('Aub Demand'!B:B,MATCH($O274,'Aub Demand'!$A:$A,0)),"")</f>
        <v>CAVALCADE SOUTH</v>
      </c>
      <c r="Q274" s="27" t="str">
        <f>IFERROR(INDEX('Aub Demand'!C:C,MATCH($O274,'Aub Demand'!$A:$A,0)),"")</f>
        <v>SUDDE</v>
      </c>
      <c r="R274" s="52">
        <f>IFERROR(IF(AR275=AR274,INDEX('Aub Demand'!K:K,MATCH($O274,'Aub Demand'!$A:$A,0))-IF(AN274="",0,AN274)+AP275,INDEX('Aub Demand'!K:K,MATCH($O274,'Aub Demand'!$A:$A,0))-IF(AN274="",0,AN274)),"")</f>
        <v>1988</v>
      </c>
      <c r="S274" s="53">
        <f t="shared" si="112"/>
        <v>78.900000000000006</v>
      </c>
      <c r="T274" s="52" t="str">
        <f t="shared" si="113"/>
        <v/>
      </c>
      <c r="U274" s="52">
        <f>IFERROR(IF(AR275=AR274,INDEX('Aub Demand'!Q:Q,MATCH($O274,'Aub Demand'!$A:$A,0))-IF(AN274="",0,AN274)+AP275,INDEX('Aub Demand'!Q:Q,MATCH($O274,'Aub Demand'!$A:$A,0))-IF(AN274="",0,AN274)),"")</f>
        <v>1972</v>
      </c>
      <c r="V274" s="53">
        <f t="shared" si="114"/>
        <v>78.3</v>
      </c>
      <c r="W274" s="52" t="str">
        <f t="shared" si="115"/>
        <v/>
      </c>
      <c r="X274" s="52">
        <f>IFERROR(IF(AND(AR275=AR274,AM274&lt;&gt;""),INDEX('Aub Demand'!Q:Q,MATCH($O274,'Aub Demand'!$A:$A,0))-IF(AN274="",0,AN274)+AP275+AD274+AL274,IF(AR275=AR274,INDEX('Aub Demand'!Q:Q,MATCH($O274,'Aub Demand'!$A:$A,0))-IF(AN274="",0,AN274)+AP275+AD274,IF(AM274&lt;&gt;"",INDEX('Aub Demand'!Q:Q,MATCH($O274,'Aub Demand'!$A:$A,0))-IF(AN274="",0,AN274)+AD274+AL274,INDEX('Aub Demand'!Q:Q,MATCH($O274,'Aub Demand'!$A:$A,0))-IF(AN274="",0,AN274)+AD274))),"")</f>
        <v>1972</v>
      </c>
      <c r="Y274" s="53">
        <f t="shared" si="116"/>
        <v>78.3</v>
      </c>
      <c r="Z274" s="52">
        <f>IF(L274="","",INDEX('Aub Demand'!H:H,MATCH($O274,'Aub Demand'!$A:$A,0)))</f>
        <v>108</v>
      </c>
      <c r="AA274" s="52">
        <f t="shared" si="117"/>
        <v>132.5</v>
      </c>
      <c r="AB274" s="52">
        <f>IFERROR(INDEX('Aub Demand'!L:L,MATCH($O274,'Aub Demand'!$A:$A,0)),"")</f>
        <v>198</v>
      </c>
      <c r="AC274" s="52">
        <f>IFERROR(IF(O274="","",SUMIFS('CPL Mats'!F:F,'CPL Mats'!Q:Q,AR274,'CPL Mats'!S:S,AS274)),"")</f>
        <v>2350</v>
      </c>
      <c r="AF274" s="25" t="str">
        <f>IF(SUMIFS('Supp Consol'!S:S,'Supp Consol'!Y:Y,"Releasable",'Supp Consol'!A:A,O274)=0,"",SUMIFS('Supp Consol'!S:S,'Supp Consol'!Y:Y,"Releasable",'Supp Consol'!A:A,O274))</f>
        <v/>
      </c>
      <c r="AG274" s="25">
        <f>IFERROR(INDEX('Hun Demand'!Q:Q,MATCH(O274,'Hun Demand'!A:A,0)),"")</f>
        <v>200</v>
      </c>
      <c r="AH274" s="25">
        <f>IFERROR(INDEX('Hun Demand'!H:H,MATCH($O274,'Hun Demand'!$A:$A,0)),"")</f>
        <v>0</v>
      </c>
      <c r="AI274" s="25" t="str">
        <f>IF(SUMIFS('Supp Consol'!AA:AA,'Supp Consol'!Z:Z,"Expires this month",'Supp Consol'!A:A,O274)=0,"",SUMIFS('Supp Consol'!AA:AA,'Supp Consol'!Z:Z,"Expires this month",'Supp Consol'!A:A,O274))</f>
        <v/>
      </c>
      <c r="AJ274" s="25" t="str">
        <f>IF(SUMIFS('Supp Consol'!AA:AA,'Supp Consol'!Z:Z,"Expired Previous Months",'Supp Consol'!A:A,O274)=0,"",SUMIFS('Supp Consol'!AA:AA,'Supp Consol'!Z:Z,"Expired Previous Months",'Supp Consol'!A:A,O274))</f>
        <v/>
      </c>
      <c r="AK274" s="25" t="str">
        <f>IFERROR(INDEX('Hun Release Current'!B:B,MATCH(O274,'Hun Release Current'!A:A,0)),"")</f>
        <v/>
      </c>
      <c r="AL274" s="25" t="str">
        <f>IF(SUMIF('Prev Aub'!A:A,O274,'Prev Aub'!B:B)=0,"",SUMIF('Prev Aub'!A:A,O274,'Prev Aub'!B:B))</f>
        <v/>
      </c>
      <c r="AN274" s="25" t="s">
        <v>3790</v>
      </c>
      <c r="AO274" s="25" t="s">
        <v>3790</v>
      </c>
      <c r="AP274" s="25">
        <f t="shared" si="118"/>
        <v>0</v>
      </c>
      <c r="AQ274" s="151" t="str">
        <f>IF(SUMIFS('Supp Consol'!S:S,'Supp Consol'!A:A,O274,'Supp Consol'!I:I,"PENDING")=0,"",SUMIFS('Supp Consol'!S:S,'Supp Consol'!A:A,O274,'Supp Consol'!I:I,"PENDING"))</f>
        <v/>
      </c>
      <c r="AR274" s="27" t="str">
        <f t="shared" si="119"/>
        <v>AT650</v>
      </c>
      <c r="AS274" s="27" t="str">
        <f t="shared" si="120"/>
        <v>50</v>
      </c>
      <c r="AT274" s="27" t="str">
        <f t="shared" si="121"/>
        <v/>
      </c>
      <c r="AU274" s="27" t="str">
        <f t="shared" si="122"/>
        <v/>
      </c>
      <c r="AV274" s="27" t="str">
        <f t="shared" si="123"/>
        <v/>
      </c>
      <c r="AW274" s="27" t="str">
        <f t="shared" si="124"/>
        <v/>
      </c>
      <c r="AX274" s="27" t="str">
        <f t="shared" si="125"/>
        <v/>
      </c>
      <c r="AY274" s="27" t="str">
        <f t="shared" si="126"/>
        <v>AT650</v>
      </c>
      <c r="AZ274" s="27" t="str">
        <f t="shared" si="127"/>
        <v/>
      </c>
      <c r="BA274" s="27" t="str">
        <f t="shared" si="128"/>
        <v>Hun</v>
      </c>
      <c r="BB274" s="27" t="str">
        <f t="shared" si="129"/>
        <v/>
      </c>
      <c r="BC274" s="27" t="str">
        <f t="shared" si="130"/>
        <v/>
      </c>
      <c r="BD274" s="27" t="str">
        <f t="shared" si="131"/>
        <v/>
      </c>
      <c r="BE274" s="27" t="str">
        <f t="shared" si="132"/>
        <v/>
      </c>
      <c r="BF274" s="27" t="str">
        <f t="shared" si="133"/>
        <v/>
      </c>
      <c r="BG274" s="27" t="str">
        <f t="shared" si="134"/>
        <v/>
      </c>
      <c r="BH274" s="27" t="str">
        <f t="shared" si="135"/>
        <v/>
      </c>
      <c r="BI274" s="27" t="str">
        <f t="shared" si="136"/>
        <v/>
      </c>
      <c r="BJ274" s="27" t="str">
        <f t="shared" si="137"/>
        <v>Supp or Hun</v>
      </c>
      <c r="BK274" s="27" t="str">
        <f t="shared" si="138"/>
        <v/>
      </c>
      <c r="BL274" s="27" t="str">
        <f t="shared" si="139"/>
        <v/>
      </c>
      <c r="BM274" s="21" t="s">
        <v>5581</v>
      </c>
    </row>
    <row r="275" spans="1:65" ht="15">
      <c r="A275" s="25">
        <f>IFERROR(INDEX('Hun Demand'!W:W,MATCH(O275,'Hun Demand'!A:A,0)),"")</f>
        <v>0</v>
      </c>
      <c r="B275" s="25">
        <f>IFERROR(INDEX('Hun Demand'!V:V,MATCH(O275,'Hun Demand'!A:A,0)),"")</f>
        <v>0</v>
      </c>
      <c r="C275" s="25">
        <f>IFERROR(INDEX('Hun Demand'!U:U,MATCH(O275,'Hun Demand'!A:A,0)),"")</f>
        <v>204</v>
      </c>
      <c r="D275" s="25">
        <f>IFERROR(INDEX('Hun Demand'!T:T,MATCH(O275,'Hun Demand'!A:A,0)),"")</f>
        <v>194</v>
      </c>
      <c r="E275" s="25">
        <f>IFERROR(INDEX('Hun Demand'!S:S,MATCH(O275,'Hun Demand'!A:A,0)),"")</f>
        <v>0</v>
      </c>
      <c r="F275" s="25">
        <f>IFERROR(INDEX('Hun Demand'!R:R,MATCH(O275,'Hun Demand'!A:A,0)),"")</f>
        <v>0</v>
      </c>
      <c r="G275" s="25">
        <f>IFERROR(INDEX('Aub Demand'!W:W,MATCH(O275,'Aub Demand'!A:A,0)),"")</f>
        <v>122</v>
      </c>
      <c r="H275" s="25">
        <f>IFERROR(INDEX('Aub Demand'!V:V,MATCH(O275,'Aub Demand'!A:A,0)),"")</f>
        <v>0</v>
      </c>
      <c r="I275" s="25">
        <f>IFERROR(INDEX('Aub Demand'!U:U,MATCH(O275,'Aub Demand'!A:A,0)),"")</f>
        <v>214</v>
      </c>
      <c r="J275" s="25">
        <f>IFERROR(INDEX('Aub Demand'!T:T,MATCH(O275,'Aub Demand'!A:A,0)),"")</f>
        <v>81</v>
      </c>
      <c r="K275" s="25">
        <f>IFERROR(INDEX('Aub Demand'!S:S,MATCH(O275,'Aub Demand'!A:A,0)),"")</f>
        <v>283</v>
      </c>
      <c r="L275" s="25">
        <f>IFERROR(INDEX('Aub Demand'!R:R,MATCH(O275,'Aub Demand'!A:A,0)),"")</f>
        <v>0</v>
      </c>
      <c r="O275" s="27" t="s">
        <v>487</v>
      </c>
      <c r="P275" s="27" t="str">
        <f>IFERROR(INDEX('Aub Demand'!B:B,MATCH($O275,'Aub Demand'!$A:$A,0)),"")</f>
        <v>CAVALCADE SOUTH</v>
      </c>
      <c r="Q275" s="27" t="str">
        <f>IFERROR(INDEX('Aub Demand'!C:C,MATCH($O275,'Aub Demand'!$A:$A,0)),"")</f>
        <v>SUDDE</v>
      </c>
      <c r="R275" s="52">
        <f>IFERROR(IF(AR276=AR275,INDEX('Aub Demand'!K:K,MATCH($O275,'Aub Demand'!$A:$A,0))-IF(AN275="",0,AN275)+AP276,INDEX('Aub Demand'!K:K,MATCH($O275,'Aub Demand'!$A:$A,0))-IF(AN275="",0,AN275)),"")</f>
        <v>2713</v>
      </c>
      <c r="S275" s="53">
        <f t="shared" si="112"/>
        <v>60.2</v>
      </c>
      <c r="T275" s="52" t="str">
        <f t="shared" si="113"/>
        <v/>
      </c>
      <c r="U275" s="52">
        <f>IFERROR(IF(AR276=AR275,INDEX('Aub Demand'!Q:Q,MATCH($O275,'Aub Demand'!$A:$A,0))-IF(AN275="",0,AN275)+AP276,INDEX('Aub Demand'!Q:Q,MATCH($O275,'Aub Demand'!$A:$A,0))-IF(AN275="",0,AN275)),"")</f>
        <v>2644</v>
      </c>
      <c r="V275" s="53">
        <f t="shared" si="114"/>
        <v>58.7</v>
      </c>
      <c r="W275" s="52" t="str">
        <f t="shared" si="115"/>
        <v/>
      </c>
      <c r="X275" s="52">
        <f>IFERROR(IF(AND(AR276=AR275,AM275&lt;&gt;""),INDEX('Aub Demand'!Q:Q,MATCH($O275,'Aub Demand'!$A:$A,0))-IF(AN275="",0,AN275)+AP276+AD275+AL275,IF(AR276=AR275,INDEX('Aub Demand'!Q:Q,MATCH($O275,'Aub Demand'!$A:$A,0))-IF(AN275="",0,AN275)+AP276+AD275,IF(AM275&lt;&gt;"",INDEX('Aub Demand'!Q:Q,MATCH($O275,'Aub Demand'!$A:$A,0))-IF(AN275="",0,AN275)+AD275+AL275,INDEX('Aub Demand'!Q:Q,MATCH($O275,'Aub Demand'!$A:$A,0))-IF(AN275="",0,AN275)+AD275))),"")</f>
        <v>2644</v>
      </c>
      <c r="Y275" s="53">
        <f t="shared" si="116"/>
        <v>58.7</v>
      </c>
      <c r="Z275" s="52">
        <f>IF(L275="","",INDEX('Aub Demand'!H:H,MATCH($O275,'Aub Demand'!$A:$A,0)))</f>
        <v>193</v>
      </c>
      <c r="AA275" s="52">
        <f t="shared" si="117"/>
        <v>248.5</v>
      </c>
      <c r="AB275" s="52">
        <f>IFERROR(INDEX('Aub Demand'!L:L,MATCH($O275,'Aub Demand'!$A:$A,0)),"")</f>
        <v>29</v>
      </c>
      <c r="AC275" s="52">
        <f>IFERROR(IF(O275="","",SUMIFS('CPL Mats'!F:F,'CPL Mats'!Q:Q,AR275,'CPL Mats'!S:S,AS275)),"")</f>
        <v>67.2</v>
      </c>
      <c r="AF275" s="25" t="str">
        <f>IF(SUMIFS('Supp Consol'!S:S,'Supp Consol'!Y:Y,"Releasable",'Supp Consol'!A:A,O275)=0,"",SUMIFS('Supp Consol'!S:S,'Supp Consol'!Y:Y,"Releasable",'Supp Consol'!A:A,O275))</f>
        <v/>
      </c>
      <c r="AG275" s="25">
        <f>IFERROR(INDEX('Hun Demand'!Q:Q,MATCH(O275,'Hun Demand'!A:A,0)),"")</f>
        <v>336</v>
      </c>
      <c r="AH275" s="25">
        <f>IFERROR(INDEX('Hun Demand'!H:H,MATCH($O275,'Hun Demand'!$A:$A,0)),"")</f>
        <v>133</v>
      </c>
      <c r="AI275" s="25" t="str">
        <f>IF(SUMIFS('Supp Consol'!AA:AA,'Supp Consol'!Z:Z,"Expires this month",'Supp Consol'!A:A,O275)=0,"",SUMIFS('Supp Consol'!AA:AA,'Supp Consol'!Z:Z,"Expires this month",'Supp Consol'!A:A,O275))</f>
        <v/>
      </c>
      <c r="AJ275" s="25" t="str">
        <f>IF(SUMIFS('Supp Consol'!AA:AA,'Supp Consol'!Z:Z,"Expired Previous Months",'Supp Consol'!A:A,O275)=0,"",SUMIFS('Supp Consol'!AA:AA,'Supp Consol'!Z:Z,"Expired Previous Months",'Supp Consol'!A:A,O275))</f>
        <v/>
      </c>
      <c r="AK275" s="25" t="str">
        <f>IFERROR(INDEX('Hun Release Current'!B:B,MATCH(O275,'Hun Release Current'!A:A,0)),"")</f>
        <v/>
      </c>
      <c r="AL275" s="25" t="str">
        <f>IF(SUMIF('Prev Aub'!A:A,O275,'Prev Aub'!B:B)=0,"",SUMIF('Prev Aub'!A:A,O275,'Prev Aub'!B:B))</f>
        <v/>
      </c>
      <c r="AN275" s="25" t="s">
        <v>3790</v>
      </c>
      <c r="AO275" s="25" t="s">
        <v>3790</v>
      </c>
      <c r="AP275" s="25">
        <f t="shared" si="118"/>
        <v>0</v>
      </c>
      <c r="AQ275" s="151" t="str">
        <f>IF(SUMIFS('Supp Consol'!S:S,'Supp Consol'!A:A,O275,'Supp Consol'!I:I,"PENDING")=0,"",SUMIFS('Supp Consol'!S:S,'Supp Consol'!A:A,O275,'Supp Consol'!I:I,"PENDING"))</f>
        <v/>
      </c>
      <c r="AR275" s="27" t="str">
        <f t="shared" si="119"/>
        <v>AT650</v>
      </c>
      <c r="AS275" s="27" t="str">
        <f t="shared" si="120"/>
        <v>62</v>
      </c>
      <c r="AT275" s="27" t="str">
        <f t="shared" si="121"/>
        <v/>
      </c>
      <c r="AU275" s="27" t="str">
        <f t="shared" si="122"/>
        <v/>
      </c>
      <c r="AV275" s="27" t="str">
        <f t="shared" si="123"/>
        <v/>
      </c>
      <c r="AW275" s="27" t="str">
        <f t="shared" si="124"/>
        <v/>
      </c>
      <c r="AX275" s="27" t="str">
        <f t="shared" si="125"/>
        <v/>
      </c>
      <c r="AY275" s="27" t="str">
        <f t="shared" si="126"/>
        <v>AT650</v>
      </c>
      <c r="AZ275" s="27" t="str">
        <f t="shared" si="127"/>
        <v/>
      </c>
      <c r="BA275" s="27" t="str">
        <f t="shared" si="128"/>
        <v>Hun</v>
      </c>
      <c r="BB275" s="27" t="str">
        <f t="shared" si="129"/>
        <v/>
      </c>
      <c r="BC275" s="27" t="str">
        <f t="shared" si="130"/>
        <v/>
      </c>
      <c r="BD275" s="27" t="str">
        <f t="shared" si="131"/>
        <v/>
      </c>
      <c r="BE275" s="27" t="str">
        <f t="shared" si="132"/>
        <v/>
      </c>
      <c r="BF275" s="27" t="str">
        <f t="shared" si="133"/>
        <v/>
      </c>
      <c r="BG275" s="27" t="str">
        <f t="shared" si="134"/>
        <v/>
      </c>
      <c r="BH275" s="27" t="str">
        <f t="shared" si="135"/>
        <v/>
      </c>
      <c r="BI275" s="27" t="str">
        <f t="shared" si="136"/>
        <v/>
      </c>
      <c r="BJ275" s="27" t="str">
        <f t="shared" si="137"/>
        <v>Supp or Hun</v>
      </c>
      <c r="BK275" s="27" t="str">
        <f t="shared" si="138"/>
        <v/>
      </c>
      <c r="BL275" s="27" t="str">
        <f t="shared" si="139"/>
        <v/>
      </c>
      <c r="BM275" s="21" t="s">
        <v>5581</v>
      </c>
    </row>
    <row r="276" spans="1:65" ht="15">
      <c r="A276" s="25">
        <f>IFERROR(INDEX('Hun Demand'!W:W,MATCH(O276,'Hun Demand'!A:A,0)),"")</f>
        <v>0</v>
      </c>
      <c r="B276" s="25">
        <f>IFERROR(INDEX('Hun Demand'!V:V,MATCH(O276,'Hun Demand'!A:A,0)),"")</f>
        <v>0</v>
      </c>
      <c r="C276" s="25">
        <f>IFERROR(INDEX('Hun Demand'!U:U,MATCH(O276,'Hun Demand'!A:A,0)),"")</f>
        <v>0</v>
      </c>
      <c r="D276" s="25">
        <f>IFERROR(INDEX('Hun Demand'!T:T,MATCH(O276,'Hun Demand'!A:A,0)),"")</f>
        <v>0</v>
      </c>
      <c r="E276" s="25">
        <f>IFERROR(INDEX('Hun Demand'!S:S,MATCH(O276,'Hun Demand'!A:A,0)),"")</f>
        <v>0</v>
      </c>
      <c r="F276" s="25">
        <f>IFERROR(INDEX('Hun Demand'!R:R,MATCH(O276,'Hun Demand'!A:A,0)),"")</f>
        <v>0</v>
      </c>
      <c r="G276" s="25">
        <f>IFERROR(INDEX('Aub Demand'!W:W,MATCH(O276,'Aub Demand'!A:A,0)),"")</f>
        <v>0</v>
      </c>
      <c r="H276" s="25">
        <f>IFERROR(INDEX('Aub Demand'!V:V,MATCH(O276,'Aub Demand'!A:A,0)),"")</f>
        <v>54</v>
      </c>
      <c r="I276" s="25">
        <f>IFERROR(INDEX('Aub Demand'!U:U,MATCH(O276,'Aub Demand'!A:A,0)),"")</f>
        <v>0</v>
      </c>
      <c r="J276" s="25">
        <f>IFERROR(INDEX('Aub Demand'!T:T,MATCH(O276,'Aub Demand'!A:A,0)),"")</f>
        <v>129</v>
      </c>
      <c r="K276" s="25">
        <f>IFERROR(INDEX('Aub Demand'!S:S,MATCH(O276,'Aub Demand'!A:A,0)),"")</f>
        <v>241</v>
      </c>
      <c r="L276" s="25">
        <f>IFERROR(INDEX('Aub Demand'!R:R,MATCH(O276,'Aub Demand'!A:A,0)),"")</f>
        <v>0</v>
      </c>
      <c r="O276" s="27" t="s">
        <v>488</v>
      </c>
      <c r="P276" s="27" t="str">
        <f>IFERROR(INDEX('Aub Demand'!B:B,MATCH($O276,'Aub Demand'!$A:$A,0)),"")</f>
        <v>CRISSCROSS</v>
      </c>
      <c r="Q276" s="27" t="str">
        <f>IFERROR(INDEX('Aub Demand'!C:C,MATCH($O276,'Aub Demand'!$A:$A,0)),"")</f>
        <v>SCHAT</v>
      </c>
      <c r="R276" s="52">
        <f>IFERROR(IF(AR277=AR276,INDEX('Aub Demand'!K:K,MATCH($O276,'Aub Demand'!$A:$A,0))-IF(AN276="",0,AN276)+AP277,INDEX('Aub Demand'!K:K,MATCH($O276,'Aub Demand'!$A:$A,0))-IF(AN276="",0,AN276)),"")</f>
        <v>662</v>
      </c>
      <c r="S276" s="53">
        <f t="shared" si="112"/>
        <v>23.1</v>
      </c>
      <c r="T276" s="52" t="str">
        <f t="shared" si="113"/>
        <v/>
      </c>
      <c r="U276" s="52">
        <f>IFERROR(IF(AR277=AR276,INDEX('Aub Demand'!Q:Q,MATCH($O276,'Aub Demand'!$A:$A,0))-IF(AN276="",0,AN276)+AP277,INDEX('Aub Demand'!Q:Q,MATCH($O276,'Aub Demand'!$A:$A,0))-IF(AN276="",0,AN276)),"")</f>
        <v>500</v>
      </c>
      <c r="V276" s="53">
        <f t="shared" si="114"/>
        <v>17.399999999999999</v>
      </c>
      <c r="W276" s="52" t="str">
        <f t="shared" si="115"/>
        <v/>
      </c>
      <c r="X276" s="52">
        <f>IFERROR(IF(AND(AR277=AR276,AM276&lt;&gt;""),INDEX('Aub Demand'!Q:Q,MATCH($O276,'Aub Demand'!$A:$A,0))-IF(AN276="",0,AN276)+AP277+AD276+AL276,IF(AR277=AR276,INDEX('Aub Demand'!Q:Q,MATCH($O276,'Aub Demand'!$A:$A,0))-IF(AN276="",0,AN276)+AP277+AD276,IF(AM276&lt;&gt;"",INDEX('Aub Demand'!Q:Q,MATCH($O276,'Aub Demand'!$A:$A,0))-IF(AN276="",0,AN276)+AD276+AL276,INDEX('Aub Demand'!Q:Q,MATCH($O276,'Aub Demand'!$A:$A,0))-IF(AN276="",0,AN276)+AD276))),"")</f>
        <v>500</v>
      </c>
      <c r="Y276" s="53">
        <f t="shared" si="116"/>
        <v>17.399999999999999</v>
      </c>
      <c r="Z276" s="52">
        <f>IF(L276="","",INDEX('Aub Demand'!H:H,MATCH($O276,'Aub Demand'!$A:$A,0)))</f>
        <v>123</v>
      </c>
      <c r="AA276" s="52">
        <f t="shared" si="117"/>
        <v>185</v>
      </c>
      <c r="AB276" s="52">
        <f>IFERROR(INDEX('Aub Demand'!L:L,MATCH($O276,'Aub Demand'!$A:$A,0)),"")</f>
        <v>307</v>
      </c>
      <c r="AC276" s="52">
        <f>IFERROR(IF(O276="","",SUMIFS('CPL Mats'!F:F,'CPL Mats'!Q:Q,AR276,'CPL Mats'!S:S,AS276)),"")</f>
        <v>3850</v>
      </c>
      <c r="AF276" s="25" t="str">
        <f>IF(SUMIFS('Supp Consol'!S:S,'Supp Consol'!Y:Y,"Releasable",'Supp Consol'!A:A,O276)=0,"",SUMIFS('Supp Consol'!S:S,'Supp Consol'!Y:Y,"Releasable",'Supp Consol'!A:A,O276))</f>
        <v/>
      </c>
      <c r="AG276" s="25">
        <f>IFERROR(INDEX('Hun Demand'!Q:Q,MATCH(O276,'Hun Demand'!A:A,0)),"")</f>
        <v>100</v>
      </c>
      <c r="AH276" s="25">
        <f>IFERROR(INDEX('Hun Demand'!H:H,MATCH($O276,'Hun Demand'!$A:$A,0)),"")</f>
        <v>0</v>
      </c>
      <c r="AI276" s="25" t="str">
        <f>IF(SUMIFS('Supp Consol'!AA:AA,'Supp Consol'!Z:Z,"Expires this month",'Supp Consol'!A:A,O276)=0,"",SUMIFS('Supp Consol'!AA:AA,'Supp Consol'!Z:Z,"Expires this month",'Supp Consol'!A:A,O276))</f>
        <v/>
      </c>
      <c r="AJ276" s="25" t="str">
        <f>IF(SUMIFS('Supp Consol'!AA:AA,'Supp Consol'!Z:Z,"Expired Previous Months",'Supp Consol'!A:A,O276)=0,"",SUMIFS('Supp Consol'!AA:AA,'Supp Consol'!Z:Z,"Expired Previous Months",'Supp Consol'!A:A,O276))</f>
        <v/>
      </c>
      <c r="AK276" s="25" t="str">
        <f>IFERROR(INDEX('Hun Release Current'!B:B,MATCH(O276,'Hun Release Current'!A:A,0)),"")</f>
        <v/>
      </c>
      <c r="AL276" s="25" t="str">
        <f>IF(SUMIF('Prev Aub'!A:A,O276,'Prev Aub'!B:B)=0,"",SUMIF('Prev Aub'!A:A,O276,'Prev Aub'!B:B))</f>
        <v/>
      </c>
      <c r="AN276" s="25" t="s">
        <v>3790</v>
      </c>
      <c r="AO276" s="25" t="s">
        <v>3790</v>
      </c>
      <c r="AP276" s="25">
        <f t="shared" si="118"/>
        <v>0</v>
      </c>
      <c r="AQ276" s="151" t="str">
        <f>IF(SUMIFS('Supp Consol'!S:S,'Supp Consol'!A:A,O276,'Supp Consol'!I:I,"PENDING")=0,"",SUMIFS('Supp Consol'!S:S,'Supp Consol'!A:A,O276,'Supp Consol'!I:I,"PENDING"))</f>
        <v/>
      </c>
      <c r="AR276" s="27" t="str">
        <f t="shared" si="119"/>
        <v>AT660</v>
      </c>
      <c r="AS276" s="27" t="str">
        <f t="shared" si="120"/>
        <v>50</v>
      </c>
      <c r="AT276" s="27" t="str">
        <f t="shared" si="121"/>
        <v/>
      </c>
      <c r="AU276" s="27" t="str">
        <f t="shared" si="122"/>
        <v/>
      </c>
      <c r="AV276" s="27" t="str">
        <f t="shared" si="123"/>
        <v/>
      </c>
      <c r="AW276" s="27" t="str">
        <f t="shared" si="124"/>
        <v/>
      </c>
      <c r="AX276" s="27" t="str">
        <f t="shared" si="125"/>
        <v/>
      </c>
      <c r="AY276" s="27" t="str">
        <f t="shared" si="126"/>
        <v>AT660</v>
      </c>
      <c r="AZ276" s="27" t="str">
        <f t="shared" si="127"/>
        <v/>
      </c>
      <c r="BA276" s="27" t="str">
        <f t="shared" si="128"/>
        <v>Hun</v>
      </c>
      <c r="BB276" s="27" t="str">
        <f t="shared" si="129"/>
        <v/>
      </c>
      <c r="BC276" s="27" t="str">
        <f t="shared" si="130"/>
        <v/>
      </c>
      <c r="BD276" s="27" t="str">
        <f t="shared" si="131"/>
        <v/>
      </c>
      <c r="BE276" s="27" t="str">
        <f t="shared" si="132"/>
        <v/>
      </c>
      <c r="BF276" s="27" t="str">
        <f t="shared" si="133"/>
        <v/>
      </c>
      <c r="BG276" s="27" t="str">
        <f t="shared" si="134"/>
        <v/>
      </c>
      <c r="BH276" s="27" t="str">
        <f t="shared" si="135"/>
        <v/>
      </c>
      <c r="BI276" s="27" t="str">
        <f t="shared" si="136"/>
        <v/>
      </c>
      <c r="BJ276" s="27" t="str">
        <f t="shared" si="137"/>
        <v>Supp or Hun</v>
      </c>
      <c r="BK276" s="27" t="str">
        <f t="shared" si="138"/>
        <v/>
      </c>
      <c r="BL276" s="27" t="str">
        <f t="shared" si="139"/>
        <v/>
      </c>
      <c r="BM276" s="21" t="s">
        <v>5581</v>
      </c>
    </row>
    <row r="277" spans="1:65" ht="15">
      <c r="A277" s="25" t="str">
        <f>IFERROR(INDEX('Hun Demand'!W:W,MATCH(O277,'Hun Demand'!A:A,0)),"")</f>
        <v/>
      </c>
      <c r="B277" s="25" t="str">
        <f>IFERROR(INDEX('Hun Demand'!V:V,MATCH(O277,'Hun Demand'!A:A,0)),"")</f>
        <v/>
      </c>
      <c r="C277" s="25" t="str">
        <f>IFERROR(INDEX('Hun Demand'!U:U,MATCH(O277,'Hun Demand'!A:A,0)),"")</f>
        <v/>
      </c>
      <c r="D277" s="25" t="str">
        <f>IFERROR(INDEX('Hun Demand'!T:T,MATCH(O277,'Hun Demand'!A:A,0)),"")</f>
        <v/>
      </c>
      <c r="E277" s="25" t="str">
        <f>IFERROR(INDEX('Hun Demand'!S:S,MATCH(O277,'Hun Demand'!A:A,0)),"")</f>
        <v/>
      </c>
      <c r="F277" s="25" t="str">
        <f>IFERROR(INDEX('Hun Demand'!R:R,MATCH(O277,'Hun Demand'!A:A,0)),"")</f>
        <v/>
      </c>
      <c r="G277" s="25">
        <f>IFERROR(INDEX('Aub Demand'!W:W,MATCH(O277,'Aub Demand'!A:A,0)),"")</f>
        <v>0</v>
      </c>
      <c r="H277" s="25">
        <f>IFERROR(INDEX('Aub Demand'!V:V,MATCH(O277,'Aub Demand'!A:A,0)),"")</f>
        <v>0</v>
      </c>
      <c r="I277" s="25">
        <f>IFERROR(INDEX('Aub Demand'!U:U,MATCH(O277,'Aub Demand'!A:A,0)),"")</f>
        <v>29</v>
      </c>
      <c r="J277" s="25">
        <f>IFERROR(INDEX('Aub Demand'!T:T,MATCH(O277,'Aub Demand'!A:A,0)),"")</f>
        <v>0</v>
      </c>
      <c r="K277" s="25">
        <f>IFERROR(INDEX('Aub Demand'!S:S,MATCH(O277,'Aub Demand'!A:A,0)),"")</f>
        <v>0</v>
      </c>
      <c r="L277" s="25">
        <f>IFERROR(INDEX('Aub Demand'!R:R,MATCH(O277,'Aub Demand'!A:A,0)),"")</f>
        <v>0</v>
      </c>
      <c r="O277" s="27" t="s">
        <v>490</v>
      </c>
      <c r="P277" s="27" t="str">
        <f>IFERROR(INDEX('Aub Demand'!B:B,MATCH($O277,'Aub Demand'!$A:$A,0)),"")</f>
        <v>CRISSCROSS</v>
      </c>
      <c r="Q277" s="27" t="str">
        <f>IFERROR(INDEX('Aub Demand'!C:C,MATCH($O277,'Aub Demand'!$A:$A,0)),"")</f>
        <v>SCHAT</v>
      </c>
      <c r="R277" s="52">
        <f>IFERROR(IF(AR278=AR277,INDEX('Aub Demand'!K:K,MATCH($O277,'Aub Demand'!$A:$A,0))-IF(AN277="",0,AN277)+AP278,INDEX('Aub Demand'!K:K,MATCH($O277,'Aub Demand'!$A:$A,0))-IF(AN277="",0,AN277)),"")</f>
        <v>709</v>
      </c>
      <c r="S277" s="53">
        <f t="shared" si="112"/>
        <v>303.89999999999998</v>
      </c>
      <c r="T277" s="52" t="str">
        <f t="shared" si="113"/>
        <v/>
      </c>
      <c r="U277" s="52">
        <f>IFERROR(IF(AR278=AR277,INDEX('Aub Demand'!Q:Q,MATCH($O277,'Aub Demand'!$A:$A,0))-IF(AN277="",0,AN277)+AP278,INDEX('Aub Demand'!Q:Q,MATCH($O277,'Aub Demand'!$A:$A,0))-IF(AN277="",0,AN277)),"")</f>
        <v>709</v>
      </c>
      <c r="V277" s="53">
        <f t="shared" si="114"/>
        <v>303.89999999999998</v>
      </c>
      <c r="W277" s="52" t="str">
        <f t="shared" si="115"/>
        <v/>
      </c>
      <c r="X277" s="52">
        <f>IFERROR(IF(AND(AR278=AR277,AM277&lt;&gt;""),INDEX('Aub Demand'!Q:Q,MATCH($O277,'Aub Demand'!$A:$A,0))-IF(AN277="",0,AN277)+AP278+AD277+AL277,IF(AR278=AR277,INDEX('Aub Demand'!Q:Q,MATCH($O277,'Aub Demand'!$A:$A,0))-IF(AN277="",0,AN277)+AP278+AD277,IF(AM277&lt;&gt;"",INDEX('Aub Demand'!Q:Q,MATCH($O277,'Aub Demand'!$A:$A,0))-IF(AN277="",0,AN277)+AD277+AL277,INDEX('Aub Demand'!Q:Q,MATCH($O277,'Aub Demand'!$A:$A,0))-IF(AN277="",0,AN277)+AD277))),"")</f>
        <v>709</v>
      </c>
      <c r="Y277" s="53">
        <f t="shared" si="116"/>
        <v>303.89999999999998</v>
      </c>
      <c r="Z277" s="52">
        <f>IF(L277="","",INDEX('Aub Demand'!H:H,MATCH($O277,'Aub Demand'!$A:$A,0)))</f>
        <v>10</v>
      </c>
      <c r="AA277" s="52" t="str">
        <f t="shared" si="117"/>
        <v>-spike-</v>
      </c>
      <c r="AB277" s="52">
        <f>IFERROR(INDEX('Aub Demand'!L:L,MATCH($O277,'Aub Demand'!$A:$A,0)),"")</f>
        <v>3</v>
      </c>
      <c r="AC277" s="52">
        <f>IFERROR(IF(O277="","",SUMIFS('CPL Mats'!F:F,'CPL Mats'!Q:Q,AR277,'CPL Mats'!S:S,AS277)),"")</f>
        <v>0</v>
      </c>
      <c r="AF277" s="25" t="str">
        <f>IF(SUMIFS('Supp Consol'!S:S,'Supp Consol'!Y:Y,"Releasable",'Supp Consol'!A:A,O277)=0,"",SUMIFS('Supp Consol'!S:S,'Supp Consol'!Y:Y,"Releasable",'Supp Consol'!A:A,O277))</f>
        <v/>
      </c>
      <c r="AG277" s="25" t="str">
        <f>IFERROR(INDEX('Hun Demand'!Q:Q,MATCH(O277,'Hun Demand'!A:A,0)),"")</f>
        <v/>
      </c>
      <c r="AH277" s="25" t="str">
        <f>IFERROR(INDEX('Hun Demand'!H:H,MATCH($O277,'Hun Demand'!$A:$A,0)),"")</f>
        <v/>
      </c>
      <c r="AI277" s="25" t="str">
        <f>IF(SUMIFS('Supp Consol'!AA:AA,'Supp Consol'!Z:Z,"Expires this month",'Supp Consol'!A:A,O277)=0,"",SUMIFS('Supp Consol'!AA:AA,'Supp Consol'!Z:Z,"Expires this month",'Supp Consol'!A:A,O277))</f>
        <v/>
      </c>
      <c r="AJ277" s="25" t="str">
        <f>IF(SUMIFS('Supp Consol'!AA:AA,'Supp Consol'!Z:Z,"Expired Previous Months",'Supp Consol'!A:A,O277)=0,"",SUMIFS('Supp Consol'!AA:AA,'Supp Consol'!Z:Z,"Expired Previous Months",'Supp Consol'!A:A,O277))</f>
        <v/>
      </c>
      <c r="AK277" s="25" t="str">
        <f>IFERROR(INDEX('Hun Release Current'!B:B,MATCH(O277,'Hun Release Current'!A:A,0)),"")</f>
        <v/>
      </c>
      <c r="AL277" s="25" t="str">
        <f>IF(SUMIF('Prev Aub'!A:A,O277,'Prev Aub'!B:B)=0,"",SUMIF('Prev Aub'!A:A,O277,'Prev Aub'!B:B))</f>
        <v/>
      </c>
      <c r="AN277" s="25" t="s">
        <v>3790</v>
      </c>
      <c r="AO277" s="25" t="s">
        <v>3790</v>
      </c>
      <c r="AP277" s="25">
        <f t="shared" si="118"/>
        <v>0</v>
      </c>
      <c r="AQ277" s="151" t="str">
        <f>IF(SUMIFS('Supp Consol'!S:S,'Supp Consol'!A:A,O277,'Supp Consol'!I:I,"PENDING")=0,"",SUMIFS('Supp Consol'!S:S,'Supp Consol'!A:A,O277,'Supp Consol'!I:I,"PENDING"))</f>
        <v/>
      </c>
      <c r="AR277" s="27" t="str">
        <f t="shared" si="119"/>
        <v>AT660</v>
      </c>
      <c r="AS277" s="27" t="str">
        <f t="shared" si="120"/>
        <v>62</v>
      </c>
      <c r="AT277" s="27" t="str">
        <f t="shared" si="121"/>
        <v/>
      </c>
      <c r="AU277" s="27" t="str">
        <f t="shared" si="122"/>
        <v/>
      </c>
      <c r="AV277" s="27" t="str">
        <f t="shared" si="123"/>
        <v/>
      </c>
      <c r="AW277" s="27" t="str">
        <f t="shared" si="124"/>
        <v/>
      </c>
      <c r="AX277" s="27" t="str">
        <f t="shared" si="125"/>
        <v/>
      </c>
      <c r="AY277" s="27" t="str">
        <f t="shared" si="126"/>
        <v/>
      </c>
      <c r="AZ277" s="27" t="str">
        <f t="shared" si="127"/>
        <v/>
      </c>
      <c r="BA277" s="27" t="str">
        <f t="shared" si="128"/>
        <v>Hun</v>
      </c>
      <c r="BB277" s="27" t="str">
        <f t="shared" si="129"/>
        <v/>
      </c>
      <c r="BC277" s="27" t="str">
        <f t="shared" si="130"/>
        <v/>
      </c>
      <c r="BD277" s="27" t="str">
        <f t="shared" si="131"/>
        <v/>
      </c>
      <c r="BE277" s="27" t="str">
        <f t="shared" si="132"/>
        <v/>
      </c>
      <c r="BF277" s="27" t="str">
        <f t="shared" si="133"/>
        <v/>
      </c>
      <c r="BG277" s="27" t="str">
        <f t="shared" si="134"/>
        <v/>
      </c>
      <c r="BH277" s="27" t="str">
        <f t="shared" si="135"/>
        <v/>
      </c>
      <c r="BI277" s="27" t="str">
        <f t="shared" si="136"/>
        <v/>
      </c>
      <c r="BJ277" s="27" t="str">
        <f t="shared" si="137"/>
        <v>Supp or Hun</v>
      </c>
      <c r="BK277" s="27" t="str">
        <f t="shared" si="138"/>
        <v/>
      </c>
      <c r="BL277" s="27" t="str">
        <f t="shared" si="139"/>
        <v/>
      </c>
      <c r="BM277" s="21" t="s">
        <v>5581</v>
      </c>
    </row>
    <row r="278" spans="1:65" ht="15">
      <c r="A278" s="25" t="str">
        <f>IFERROR(INDEX('Hun Demand'!W:W,MATCH(O278,'Hun Demand'!A:A,0)),"")</f>
        <v/>
      </c>
      <c r="B278" s="25" t="str">
        <f>IFERROR(INDEX('Hun Demand'!V:V,MATCH(O278,'Hun Demand'!A:A,0)),"")</f>
        <v/>
      </c>
      <c r="C278" s="25" t="str">
        <f>IFERROR(INDEX('Hun Demand'!U:U,MATCH(O278,'Hun Demand'!A:A,0)),"")</f>
        <v/>
      </c>
      <c r="D278" s="25" t="str">
        <f>IFERROR(INDEX('Hun Demand'!T:T,MATCH(O278,'Hun Demand'!A:A,0)),"")</f>
        <v/>
      </c>
      <c r="E278" s="25" t="str">
        <f>IFERROR(INDEX('Hun Demand'!S:S,MATCH(O278,'Hun Demand'!A:A,0)),"")</f>
        <v/>
      </c>
      <c r="F278" s="25" t="str">
        <f>IFERROR(INDEX('Hun Demand'!R:R,MATCH(O278,'Hun Demand'!A:A,0)),"")</f>
        <v/>
      </c>
      <c r="G278" s="25">
        <f>IFERROR(INDEX('Aub Demand'!W:W,MATCH(O278,'Aub Demand'!A:A,0)),"")</f>
        <v>211</v>
      </c>
      <c r="H278" s="25">
        <f>IFERROR(INDEX('Aub Demand'!V:V,MATCH(O278,'Aub Demand'!A:A,0)),"")</f>
        <v>47</v>
      </c>
      <c r="I278" s="25">
        <f>IFERROR(INDEX('Aub Demand'!U:U,MATCH(O278,'Aub Demand'!A:A,0)),"")</f>
        <v>0</v>
      </c>
      <c r="J278" s="25">
        <f>IFERROR(INDEX('Aub Demand'!T:T,MATCH(O278,'Aub Demand'!A:A,0)),"")</f>
        <v>72</v>
      </c>
      <c r="K278" s="25">
        <f>IFERROR(INDEX('Aub Demand'!S:S,MATCH(O278,'Aub Demand'!A:A,0)),"")</f>
        <v>80</v>
      </c>
      <c r="L278" s="25">
        <f>IFERROR(INDEX('Aub Demand'!R:R,MATCH(O278,'Aub Demand'!A:A,0)),"")</f>
        <v>0</v>
      </c>
      <c r="O278" s="27" t="s">
        <v>491</v>
      </c>
      <c r="P278" s="27" t="str">
        <f>IFERROR(INDEX('Aub Demand'!B:B,MATCH($O278,'Aub Demand'!$A:$A,0)),"")</f>
        <v>GRAYSAND</v>
      </c>
      <c r="Q278" s="27" t="str">
        <f>IFERROR(INDEX('Aub Demand'!C:C,MATCH($O278,'Aub Demand'!$A:$A,0)),"")</f>
        <v>TOPPA</v>
      </c>
      <c r="R278" s="52">
        <f>IFERROR(IF(AR279=AR278,INDEX('Aub Demand'!K:K,MATCH($O278,'Aub Demand'!$A:$A,0))-IF(AN278="",0,AN278)+AP279,INDEX('Aub Demand'!K:K,MATCH($O278,'Aub Demand'!$A:$A,0))-IF(AN278="",0,AN278)),"")</f>
        <v>1260</v>
      </c>
      <c r="S278" s="53">
        <f t="shared" si="112"/>
        <v>105.9</v>
      </c>
      <c r="T278" s="52" t="str">
        <f t="shared" si="113"/>
        <v/>
      </c>
      <c r="U278" s="52">
        <f>IFERROR(IF(AR279=AR278,INDEX('Aub Demand'!Q:Q,MATCH($O278,'Aub Demand'!$A:$A,0))-IF(AN278="",0,AN278)+AP279,INDEX('Aub Demand'!Q:Q,MATCH($O278,'Aub Demand'!$A:$A,0))-IF(AN278="",0,AN278)),"")</f>
        <v>1180</v>
      </c>
      <c r="V278" s="53">
        <f t="shared" si="114"/>
        <v>99.2</v>
      </c>
      <c r="W278" s="52" t="str">
        <f t="shared" si="115"/>
        <v/>
      </c>
      <c r="X278" s="52">
        <f>IFERROR(IF(AND(AR279=AR278,AM278&lt;&gt;""),INDEX('Aub Demand'!Q:Q,MATCH($O278,'Aub Demand'!$A:$A,0))-IF(AN278="",0,AN278)+AP279+AD278+AL278,IF(AR279=AR278,INDEX('Aub Demand'!Q:Q,MATCH($O278,'Aub Demand'!$A:$A,0))-IF(AN278="",0,AN278)+AP279+AD278,IF(AM278&lt;&gt;"",INDEX('Aub Demand'!Q:Q,MATCH($O278,'Aub Demand'!$A:$A,0))-IF(AN278="",0,AN278)+AD278+AL278,INDEX('Aub Demand'!Q:Q,MATCH($O278,'Aub Demand'!$A:$A,0))-IF(AN278="",0,AN278)+AD278))),"")</f>
        <v>1180</v>
      </c>
      <c r="Y278" s="53">
        <f t="shared" si="116"/>
        <v>99.2</v>
      </c>
      <c r="Z278" s="52">
        <f>IF(L278="","",INDEX('Aub Demand'!H:H,MATCH($O278,'Aub Demand'!$A:$A,0)))</f>
        <v>51</v>
      </c>
      <c r="AA278" s="52">
        <f t="shared" si="117"/>
        <v>76</v>
      </c>
      <c r="AB278" s="52">
        <f>IFERROR(INDEX('Aub Demand'!L:L,MATCH($O278,'Aub Demand'!$A:$A,0)),"")</f>
        <v>0</v>
      </c>
      <c r="AC278" s="52">
        <f>IFERROR(IF(O278="","",SUMIFS('CPL Mats'!F:F,'CPL Mats'!Q:Q,AR278,'CPL Mats'!S:S,AS278)),"")</f>
        <v>0</v>
      </c>
      <c r="AF278" s="25" t="str">
        <f>IF(SUMIFS('Supp Consol'!S:S,'Supp Consol'!Y:Y,"Releasable",'Supp Consol'!A:A,O278)=0,"",SUMIFS('Supp Consol'!S:S,'Supp Consol'!Y:Y,"Releasable",'Supp Consol'!A:A,O278))</f>
        <v/>
      </c>
      <c r="AG278" s="25" t="str">
        <f>IFERROR(INDEX('Hun Demand'!Q:Q,MATCH(O278,'Hun Demand'!A:A,0)),"")</f>
        <v/>
      </c>
      <c r="AH278" s="25" t="str">
        <f>IFERROR(INDEX('Hun Demand'!H:H,MATCH($O278,'Hun Demand'!$A:$A,0)),"")</f>
        <v/>
      </c>
      <c r="AI278" s="25" t="str">
        <f>IF(SUMIFS('Supp Consol'!AA:AA,'Supp Consol'!Z:Z,"Expires this month",'Supp Consol'!A:A,O278)=0,"",SUMIFS('Supp Consol'!AA:AA,'Supp Consol'!Z:Z,"Expires this month",'Supp Consol'!A:A,O278))</f>
        <v/>
      </c>
      <c r="AJ278" s="25" t="str">
        <f>IF(SUMIFS('Supp Consol'!AA:AA,'Supp Consol'!Z:Z,"Expired Previous Months",'Supp Consol'!A:A,O278)=0,"",SUMIFS('Supp Consol'!AA:AA,'Supp Consol'!Z:Z,"Expired Previous Months",'Supp Consol'!A:A,O278))</f>
        <v/>
      </c>
      <c r="AK278" s="25" t="str">
        <f>IFERROR(INDEX('Hun Release Current'!B:B,MATCH(O278,'Hun Release Current'!A:A,0)),"")</f>
        <v/>
      </c>
      <c r="AL278" s="25" t="str">
        <f>IF(SUMIF('Prev Aub'!A:A,O278,'Prev Aub'!B:B)=0,"",SUMIF('Prev Aub'!A:A,O278,'Prev Aub'!B:B))</f>
        <v/>
      </c>
      <c r="AN278" s="25" t="s">
        <v>3790</v>
      </c>
      <c r="AO278" s="25" t="s">
        <v>3790</v>
      </c>
      <c r="AP278" s="25">
        <f t="shared" si="118"/>
        <v>0</v>
      </c>
      <c r="AQ278" s="151" t="str">
        <f>IF(SUMIFS('Supp Consol'!S:S,'Supp Consol'!A:A,O278,'Supp Consol'!I:I,"PENDING")=0,"",SUMIFS('Supp Consol'!S:S,'Supp Consol'!A:A,O278,'Supp Consol'!I:I,"PENDING"))</f>
        <v/>
      </c>
      <c r="AR278" s="27" t="str">
        <f t="shared" si="119"/>
        <v>AT670</v>
      </c>
      <c r="AS278" s="27" t="str">
        <f t="shared" si="120"/>
        <v>62</v>
      </c>
      <c r="AT278" s="27" t="str">
        <f t="shared" si="121"/>
        <v/>
      </c>
      <c r="AU278" s="27" t="str">
        <f t="shared" si="122"/>
        <v/>
      </c>
      <c r="AV278" s="27" t="str">
        <f t="shared" si="123"/>
        <v/>
      </c>
      <c r="AW278" s="27" t="str">
        <f t="shared" si="124"/>
        <v/>
      </c>
      <c r="AX278" s="27" t="str">
        <f t="shared" si="125"/>
        <v/>
      </c>
      <c r="AY278" s="27" t="str">
        <f t="shared" si="126"/>
        <v/>
      </c>
      <c r="AZ278" s="27" t="str">
        <f t="shared" si="127"/>
        <v/>
      </c>
      <c r="BA278" s="27" t="str">
        <f t="shared" si="128"/>
        <v/>
      </c>
      <c r="BB278" s="27" t="str">
        <f t="shared" si="129"/>
        <v/>
      </c>
      <c r="BC278" s="27" t="str">
        <f t="shared" si="130"/>
        <v/>
      </c>
      <c r="BD278" s="27" t="str">
        <f t="shared" si="131"/>
        <v/>
      </c>
      <c r="BE278" s="27" t="str">
        <f t="shared" si="132"/>
        <v/>
      </c>
      <c r="BF278" s="27" t="str">
        <f t="shared" si="133"/>
        <v/>
      </c>
      <c r="BG278" s="27" t="str">
        <f t="shared" si="134"/>
        <v/>
      </c>
      <c r="BH278" s="27" t="str">
        <f t="shared" si="135"/>
        <v/>
      </c>
      <c r="BI278" s="27" t="str">
        <f t="shared" si="136"/>
        <v/>
      </c>
      <c r="BJ278" s="27" t="str">
        <f t="shared" si="137"/>
        <v/>
      </c>
      <c r="BK278" s="27" t="str">
        <f t="shared" si="138"/>
        <v/>
      </c>
      <c r="BL278" s="27" t="str">
        <f t="shared" si="139"/>
        <v/>
      </c>
      <c r="BM278" s="21" t="s">
        <v>5581</v>
      </c>
    </row>
    <row r="279" spans="1:65" ht="15">
      <c r="A279" s="25" t="str">
        <f>IFERROR(INDEX('Hun Demand'!W:W,MATCH(O279,'Hun Demand'!A:A,0)),"")</f>
        <v/>
      </c>
      <c r="B279" s="25" t="str">
        <f>IFERROR(INDEX('Hun Demand'!V:V,MATCH(O279,'Hun Demand'!A:A,0)),"")</f>
        <v/>
      </c>
      <c r="C279" s="25" t="str">
        <f>IFERROR(INDEX('Hun Demand'!U:U,MATCH(O279,'Hun Demand'!A:A,0)),"")</f>
        <v/>
      </c>
      <c r="D279" s="25" t="str">
        <f>IFERROR(INDEX('Hun Demand'!T:T,MATCH(O279,'Hun Demand'!A:A,0)),"")</f>
        <v/>
      </c>
      <c r="E279" s="25" t="str">
        <f>IFERROR(INDEX('Hun Demand'!S:S,MATCH(O279,'Hun Demand'!A:A,0)),"")</f>
        <v/>
      </c>
      <c r="F279" s="25" t="str">
        <f>IFERROR(INDEX('Hun Demand'!R:R,MATCH(O279,'Hun Demand'!A:A,0)),"")</f>
        <v/>
      </c>
      <c r="G279" s="25">
        <f>IFERROR(INDEX('Aub Demand'!W:W,MATCH(O279,'Aub Demand'!A:A,0)),"")</f>
        <v>19</v>
      </c>
      <c r="H279" s="25">
        <f>IFERROR(INDEX('Aub Demand'!V:V,MATCH(O279,'Aub Demand'!A:A,0)),"")</f>
        <v>0</v>
      </c>
      <c r="I279" s="25">
        <f>IFERROR(INDEX('Aub Demand'!U:U,MATCH(O279,'Aub Demand'!A:A,0)),"")</f>
        <v>0</v>
      </c>
      <c r="J279" s="25">
        <f>IFERROR(INDEX('Aub Demand'!T:T,MATCH(O279,'Aub Demand'!A:A,0)),"")</f>
        <v>67</v>
      </c>
      <c r="K279" s="25">
        <f>IFERROR(INDEX('Aub Demand'!S:S,MATCH(O279,'Aub Demand'!A:A,0)),"")</f>
        <v>42</v>
      </c>
      <c r="L279" s="25">
        <f>IFERROR(INDEX('Aub Demand'!R:R,MATCH(O279,'Aub Demand'!A:A,0)),"")</f>
        <v>0</v>
      </c>
      <c r="O279" s="27" t="s">
        <v>493</v>
      </c>
      <c r="P279" s="27" t="str">
        <f>IFERROR(INDEX('Aub Demand'!B:B,MATCH($O279,'Aub Demand'!$A:$A,0)),"")</f>
        <v>TRAVELIN LIGHT</v>
      </c>
      <c r="Q279" s="27" t="str">
        <f>IFERROR(INDEX('Aub Demand'!C:C,MATCH($O279,'Aub Demand'!$A:$A,0)),"")</f>
        <v>TOPPA</v>
      </c>
      <c r="R279" s="52">
        <f>IFERROR(IF(AR280=AR279,INDEX('Aub Demand'!K:K,MATCH($O279,'Aub Demand'!$A:$A,0))-IF(AN279="",0,AN279)+AP280,INDEX('Aub Demand'!K:K,MATCH($O279,'Aub Demand'!$A:$A,0))-IF(AN279="",0,AN279)),"")</f>
        <v>0</v>
      </c>
      <c r="S279" s="53">
        <f t="shared" si="112"/>
        <v>0</v>
      </c>
      <c r="T279" s="52">
        <f t="shared" si="113"/>
        <v>40.875</v>
      </c>
      <c r="U279" s="52">
        <f>IFERROR(IF(AR280=AR279,INDEX('Aub Demand'!Q:Q,MATCH($O279,'Aub Demand'!$A:$A,0))-IF(AN279="",0,AN279)+AP280,INDEX('Aub Demand'!Q:Q,MATCH($O279,'Aub Demand'!$A:$A,0))-IF(AN279="",0,AN279)),"")</f>
        <v>-36</v>
      </c>
      <c r="V279" s="53">
        <f t="shared" si="114"/>
        <v>-4.3</v>
      </c>
      <c r="W279" s="52">
        <f t="shared" si="115"/>
        <v>99.462499999999991</v>
      </c>
      <c r="X279" s="52">
        <f>IFERROR(IF(AND(AR280=AR279,AM279&lt;&gt;""),INDEX('Aub Demand'!Q:Q,MATCH($O279,'Aub Demand'!$A:$A,0))-IF(AN279="",0,AN279)+AP280+AD279+AL279,IF(AR280=AR279,INDEX('Aub Demand'!Q:Q,MATCH($O279,'Aub Demand'!$A:$A,0))-IF(AN279="",0,AN279)+AP280+AD279,IF(AM279&lt;&gt;"",INDEX('Aub Demand'!Q:Q,MATCH($O279,'Aub Demand'!$A:$A,0))-IF(AN279="",0,AN279)+AD279+AL279,INDEX('Aub Demand'!Q:Q,MATCH($O279,'Aub Demand'!$A:$A,0))-IF(AN279="",0,AN279)+AD279))),"")</f>
        <v>-36</v>
      </c>
      <c r="Y279" s="53">
        <f t="shared" si="116"/>
        <v>-4.3</v>
      </c>
      <c r="Z279" s="52">
        <f>IF(L279="","",INDEX('Aub Demand'!H:H,MATCH($O279,'Aub Demand'!$A:$A,0)))</f>
        <v>36</v>
      </c>
      <c r="AA279" s="52">
        <f t="shared" si="117"/>
        <v>54.5</v>
      </c>
      <c r="AB279" s="52">
        <f>IFERROR(INDEX('Aub Demand'!L:L,MATCH($O279,'Aub Demand'!$A:$A,0)),"")</f>
        <v>1</v>
      </c>
      <c r="AC279" s="52">
        <f>IFERROR(IF(O279="","",SUMIFS('CPL Mats'!F:F,'CPL Mats'!Q:Q,AR279,'CPL Mats'!S:S,AS279)),"")</f>
        <v>0</v>
      </c>
      <c r="AF279" s="25" t="str">
        <f>IF(SUMIFS('Supp Consol'!S:S,'Supp Consol'!Y:Y,"Releasable",'Supp Consol'!A:A,O279)=0,"",SUMIFS('Supp Consol'!S:S,'Supp Consol'!Y:Y,"Releasable",'Supp Consol'!A:A,O279))</f>
        <v/>
      </c>
      <c r="AG279" s="25" t="str">
        <f>IFERROR(INDEX('Hun Demand'!Q:Q,MATCH(O279,'Hun Demand'!A:A,0)),"")</f>
        <v/>
      </c>
      <c r="AH279" s="25" t="str">
        <f>IFERROR(INDEX('Hun Demand'!H:H,MATCH($O279,'Hun Demand'!$A:$A,0)),"")</f>
        <v/>
      </c>
      <c r="AI279" s="25" t="str">
        <f>IF(SUMIFS('Supp Consol'!AA:AA,'Supp Consol'!Z:Z,"Expires this month",'Supp Consol'!A:A,O279)=0,"",SUMIFS('Supp Consol'!AA:AA,'Supp Consol'!Z:Z,"Expires this month",'Supp Consol'!A:A,O279))</f>
        <v/>
      </c>
      <c r="AJ279" s="25" t="str">
        <f>IF(SUMIFS('Supp Consol'!AA:AA,'Supp Consol'!Z:Z,"Expired Previous Months",'Supp Consol'!A:A,O279)=0,"",SUMIFS('Supp Consol'!AA:AA,'Supp Consol'!Z:Z,"Expired Previous Months",'Supp Consol'!A:A,O279))</f>
        <v/>
      </c>
      <c r="AK279" s="25" t="str">
        <f>IFERROR(INDEX('Hun Release Current'!B:B,MATCH(O279,'Hun Release Current'!A:A,0)),"")</f>
        <v/>
      </c>
      <c r="AL279" s="25" t="str">
        <f>IF(SUMIF('Prev Aub'!A:A,O279,'Prev Aub'!B:B)=0,"",SUMIF('Prev Aub'!A:A,O279,'Prev Aub'!B:B))</f>
        <v/>
      </c>
      <c r="AN279" s="25" t="s">
        <v>3790</v>
      </c>
      <c r="AO279" s="25" t="s">
        <v>3790</v>
      </c>
      <c r="AP279" s="25">
        <f t="shared" si="118"/>
        <v>0</v>
      </c>
      <c r="AQ279" s="151" t="str">
        <f>IF(SUMIFS('Supp Consol'!S:S,'Supp Consol'!A:A,O279,'Supp Consol'!I:I,"PENDING")=0,"",SUMIFS('Supp Consol'!S:S,'Supp Consol'!A:A,O279,'Supp Consol'!I:I,"PENDING"))</f>
        <v/>
      </c>
      <c r="AR279" s="27" t="str">
        <f t="shared" si="119"/>
        <v>AT680</v>
      </c>
      <c r="AS279" s="27" t="str">
        <f t="shared" si="120"/>
        <v>50</v>
      </c>
      <c r="AT279" s="27" t="str">
        <f t="shared" si="121"/>
        <v>AT680</v>
      </c>
      <c r="AU279" s="27" t="str">
        <f t="shared" si="122"/>
        <v>AT680</v>
      </c>
      <c r="AV279" s="27" t="str">
        <f t="shared" si="123"/>
        <v>AT680</v>
      </c>
      <c r="AW279" s="27" t="str">
        <f t="shared" si="124"/>
        <v/>
      </c>
      <c r="AX279" s="27" t="str">
        <f t="shared" si="125"/>
        <v/>
      </c>
      <c r="AY279" s="27" t="str">
        <f t="shared" si="126"/>
        <v/>
      </c>
      <c r="AZ279" s="27" t="str">
        <f t="shared" si="127"/>
        <v/>
      </c>
      <c r="BA279" s="27" t="str">
        <f t="shared" si="128"/>
        <v/>
      </c>
      <c r="BB279" s="27" t="str">
        <f t="shared" si="129"/>
        <v>Gross</v>
      </c>
      <c r="BC279" s="27" t="str">
        <f t="shared" si="130"/>
        <v>Net</v>
      </c>
      <c r="BD279" s="27" t="str">
        <f t="shared" si="131"/>
        <v>Net</v>
      </c>
      <c r="BE279" s="27" t="str">
        <f t="shared" si="132"/>
        <v/>
      </c>
      <c r="BF279" s="27" t="str">
        <f t="shared" si="133"/>
        <v/>
      </c>
      <c r="BG279" s="27" t="str">
        <f t="shared" si="134"/>
        <v/>
      </c>
      <c r="BH279" s="27" t="str">
        <f t="shared" si="135"/>
        <v/>
      </c>
      <c r="BI279" s="27" t="str">
        <f t="shared" si="136"/>
        <v/>
      </c>
      <c r="BJ279" s="27" t="str">
        <f t="shared" si="137"/>
        <v/>
      </c>
      <c r="BK279" s="27" t="str">
        <f t="shared" si="138"/>
        <v/>
      </c>
      <c r="BL279" s="27" t="str">
        <f t="shared" si="139"/>
        <v/>
      </c>
      <c r="BM279" s="21" t="s">
        <v>5581</v>
      </c>
    </row>
    <row r="280" spans="1:65" ht="15">
      <c r="A280" s="25" t="str">
        <f>IFERROR(INDEX('Hun Demand'!W:W,MATCH(O280,'Hun Demand'!A:A,0)),"")</f>
        <v/>
      </c>
      <c r="B280" s="25" t="str">
        <f>IFERROR(INDEX('Hun Demand'!V:V,MATCH(O280,'Hun Demand'!A:A,0)),"")</f>
        <v/>
      </c>
      <c r="C280" s="25" t="str">
        <f>IFERROR(INDEX('Hun Demand'!U:U,MATCH(O280,'Hun Demand'!A:A,0)),"")</f>
        <v/>
      </c>
      <c r="D280" s="25" t="str">
        <f>IFERROR(INDEX('Hun Demand'!T:T,MATCH(O280,'Hun Demand'!A:A,0)),"")</f>
        <v/>
      </c>
      <c r="E280" s="25" t="str">
        <f>IFERROR(INDEX('Hun Demand'!S:S,MATCH(O280,'Hun Demand'!A:A,0)),"")</f>
        <v/>
      </c>
      <c r="F280" s="25" t="str">
        <f>IFERROR(INDEX('Hun Demand'!R:R,MATCH(O280,'Hun Demand'!A:A,0)),"")</f>
        <v/>
      </c>
      <c r="G280" s="25">
        <f>IFERROR(INDEX('Aub Demand'!W:W,MATCH(O280,'Aub Demand'!A:A,0)),"")</f>
        <v>0</v>
      </c>
      <c r="H280" s="25">
        <f>IFERROR(INDEX('Aub Demand'!V:V,MATCH(O280,'Aub Demand'!A:A,0)),"")</f>
        <v>0</v>
      </c>
      <c r="I280" s="25">
        <f>IFERROR(INDEX('Aub Demand'!U:U,MATCH(O280,'Aub Demand'!A:A,0)),"")</f>
        <v>18</v>
      </c>
      <c r="J280" s="25">
        <f>IFERROR(INDEX('Aub Demand'!T:T,MATCH(O280,'Aub Demand'!A:A,0)),"")</f>
        <v>7</v>
      </c>
      <c r="K280" s="25">
        <f>IFERROR(INDEX('Aub Demand'!S:S,MATCH(O280,'Aub Demand'!A:A,0)),"")</f>
        <v>27</v>
      </c>
      <c r="L280" s="25">
        <f>IFERROR(INDEX('Aub Demand'!R:R,MATCH(O280,'Aub Demand'!A:A,0)),"")</f>
        <v>0</v>
      </c>
      <c r="O280" s="27" t="s">
        <v>495</v>
      </c>
      <c r="P280" s="27" t="str">
        <f>IFERROR(INDEX('Aub Demand'!B:B,MATCH($O280,'Aub Demand'!$A:$A,0)),"")</f>
        <v>TRAVELIN LIGHT</v>
      </c>
      <c r="Q280" s="27" t="str">
        <f>IFERROR(INDEX('Aub Demand'!C:C,MATCH($O280,'Aub Demand'!$A:$A,0)),"")</f>
        <v>TOPPA</v>
      </c>
      <c r="R280" s="52">
        <f>IFERROR(IF(AR281=AR280,INDEX('Aub Demand'!K:K,MATCH($O280,'Aub Demand'!$A:$A,0))-IF(AN280="",0,AN280)+AP281,INDEX('Aub Demand'!K:K,MATCH($O280,'Aub Demand'!$A:$A,0))-IF(AN280="",0,AN280)),"")</f>
        <v>1330</v>
      </c>
      <c r="S280" s="53">
        <f t="shared" si="112"/>
        <v>335.3</v>
      </c>
      <c r="T280" s="52" t="str">
        <f t="shared" si="113"/>
        <v/>
      </c>
      <c r="U280" s="52">
        <f>IFERROR(IF(AR281=AR280,INDEX('Aub Demand'!Q:Q,MATCH($O280,'Aub Demand'!$A:$A,0))-IF(AN280="",0,AN280)+AP281,INDEX('Aub Demand'!Q:Q,MATCH($O280,'Aub Demand'!$A:$A,0))-IF(AN280="",0,AN280)),"")</f>
        <v>1330</v>
      </c>
      <c r="V280" s="53">
        <f t="shared" si="114"/>
        <v>335.3</v>
      </c>
      <c r="W280" s="52" t="str">
        <f t="shared" si="115"/>
        <v/>
      </c>
      <c r="X280" s="52">
        <f>IFERROR(IF(AND(AR281=AR280,AM280&lt;&gt;""),INDEX('Aub Demand'!Q:Q,MATCH($O280,'Aub Demand'!$A:$A,0))-IF(AN280="",0,AN280)+AP281+AD280+AL280,IF(AR281=AR280,INDEX('Aub Demand'!Q:Q,MATCH($O280,'Aub Demand'!$A:$A,0))-IF(AN280="",0,AN280)+AP281+AD280,IF(AM280&lt;&gt;"",INDEX('Aub Demand'!Q:Q,MATCH($O280,'Aub Demand'!$A:$A,0))-IF(AN280="",0,AN280)+AD280+AL280,INDEX('Aub Demand'!Q:Q,MATCH($O280,'Aub Demand'!$A:$A,0))-IF(AN280="",0,AN280)+AD280))),"")</f>
        <v>1330</v>
      </c>
      <c r="Y280" s="53">
        <f t="shared" si="116"/>
        <v>335.3</v>
      </c>
      <c r="Z280" s="52">
        <f>IF(L280="","",INDEX('Aub Demand'!H:H,MATCH($O280,'Aub Demand'!$A:$A,0)))</f>
        <v>17</v>
      </c>
      <c r="AA280" s="52">
        <f t="shared" si="117"/>
        <v>22.5</v>
      </c>
      <c r="AB280" s="52">
        <f>IFERROR(INDEX('Aub Demand'!L:L,MATCH($O280,'Aub Demand'!$A:$A,0)),"")</f>
        <v>0</v>
      </c>
      <c r="AC280" s="52">
        <f>IFERROR(IF(O280="","",SUMIFS('CPL Mats'!F:F,'CPL Mats'!Q:Q,AR280,'CPL Mats'!S:S,AS280)),"")</f>
        <v>0</v>
      </c>
      <c r="AF280" s="25" t="str">
        <f>IF(SUMIFS('Supp Consol'!S:S,'Supp Consol'!Y:Y,"Releasable",'Supp Consol'!A:A,O280)=0,"",SUMIFS('Supp Consol'!S:S,'Supp Consol'!Y:Y,"Releasable",'Supp Consol'!A:A,O280))</f>
        <v/>
      </c>
      <c r="AG280" s="25" t="str">
        <f>IFERROR(INDEX('Hun Demand'!Q:Q,MATCH(O280,'Hun Demand'!A:A,0)),"")</f>
        <v/>
      </c>
      <c r="AH280" s="25" t="str">
        <f>IFERROR(INDEX('Hun Demand'!H:H,MATCH($O280,'Hun Demand'!$A:$A,0)),"")</f>
        <v/>
      </c>
      <c r="AI280" s="25" t="str">
        <f>IF(SUMIFS('Supp Consol'!AA:AA,'Supp Consol'!Z:Z,"Expires this month",'Supp Consol'!A:A,O280)=0,"",SUMIFS('Supp Consol'!AA:AA,'Supp Consol'!Z:Z,"Expires this month",'Supp Consol'!A:A,O280))</f>
        <v/>
      </c>
      <c r="AJ280" s="25" t="str">
        <f>IF(SUMIFS('Supp Consol'!AA:AA,'Supp Consol'!Z:Z,"Expired Previous Months",'Supp Consol'!A:A,O280)=0,"",SUMIFS('Supp Consol'!AA:AA,'Supp Consol'!Z:Z,"Expired Previous Months",'Supp Consol'!A:A,O280))</f>
        <v/>
      </c>
      <c r="AK280" s="25" t="str">
        <f>IFERROR(INDEX('Hun Release Current'!B:B,MATCH(O280,'Hun Release Current'!A:A,0)),"")</f>
        <v/>
      </c>
      <c r="AL280" s="25" t="str">
        <f>IF(SUMIF('Prev Aub'!A:A,O280,'Prev Aub'!B:B)=0,"",SUMIF('Prev Aub'!A:A,O280,'Prev Aub'!B:B))</f>
        <v/>
      </c>
      <c r="AN280" s="25" t="s">
        <v>3790</v>
      </c>
      <c r="AO280" s="25" t="s">
        <v>3790</v>
      </c>
      <c r="AP280" s="25">
        <f t="shared" si="118"/>
        <v>0</v>
      </c>
      <c r="AQ280" s="151" t="str">
        <f>IF(SUMIFS('Supp Consol'!S:S,'Supp Consol'!A:A,O280,'Supp Consol'!I:I,"PENDING")=0,"",SUMIFS('Supp Consol'!S:S,'Supp Consol'!A:A,O280,'Supp Consol'!I:I,"PENDING"))</f>
        <v/>
      </c>
      <c r="AR280" s="27" t="str">
        <f t="shared" si="119"/>
        <v>AT680</v>
      </c>
      <c r="AS280" s="27" t="str">
        <f t="shared" si="120"/>
        <v>62</v>
      </c>
      <c r="AT280" s="27" t="str">
        <f t="shared" si="121"/>
        <v/>
      </c>
      <c r="AU280" s="27" t="str">
        <f t="shared" si="122"/>
        <v/>
      </c>
      <c r="AV280" s="27" t="str">
        <f t="shared" si="123"/>
        <v/>
      </c>
      <c r="AW280" s="27" t="str">
        <f t="shared" si="124"/>
        <v/>
      </c>
      <c r="AX280" s="27" t="str">
        <f t="shared" si="125"/>
        <v/>
      </c>
      <c r="AY280" s="27" t="str">
        <f t="shared" si="126"/>
        <v/>
      </c>
      <c r="AZ280" s="27" t="str">
        <f t="shared" si="127"/>
        <v/>
      </c>
      <c r="BA280" s="27" t="str">
        <f t="shared" si="128"/>
        <v/>
      </c>
      <c r="BB280" s="27" t="str">
        <f t="shared" si="129"/>
        <v>Gross</v>
      </c>
      <c r="BC280" s="27" t="str">
        <f t="shared" si="130"/>
        <v>Net</v>
      </c>
      <c r="BD280" s="27" t="str">
        <f t="shared" si="131"/>
        <v>Net</v>
      </c>
      <c r="BE280" s="27" t="str">
        <f t="shared" si="132"/>
        <v/>
      </c>
      <c r="BF280" s="27" t="str">
        <f t="shared" si="133"/>
        <v/>
      </c>
      <c r="BG280" s="27" t="str">
        <f t="shared" si="134"/>
        <v/>
      </c>
      <c r="BH280" s="27" t="str">
        <f t="shared" si="135"/>
        <v/>
      </c>
      <c r="BI280" s="27" t="str">
        <f t="shared" si="136"/>
        <v/>
      </c>
      <c r="BJ280" s="27" t="str">
        <f t="shared" si="137"/>
        <v/>
      </c>
      <c r="BK280" s="27" t="str">
        <f t="shared" si="138"/>
        <v/>
      </c>
      <c r="BL280" s="27" t="str">
        <f t="shared" si="139"/>
        <v/>
      </c>
      <c r="BM280" s="21" t="s">
        <v>5581</v>
      </c>
    </row>
    <row r="281" spans="1:65" ht="15">
      <c r="A281" s="25" t="str">
        <f>IFERROR(INDEX('Hun Demand'!W:W,MATCH(O281,'Hun Demand'!A:A,0)),"")</f>
        <v/>
      </c>
      <c r="B281" s="25" t="str">
        <f>IFERROR(INDEX('Hun Demand'!V:V,MATCH(O281,'Hun Demand'!A:A,0)),"")</f>
        <v/>
      </c>
      <c r="C281" s="25" t="str">
        <f>IFERROR(INDEX('Hun Demand'!U:U,MATCH(O281,'Hun Demand'!A:A,0)),"")</f>
        <v/>
      </c>
      <c r="D281" s="25" t="str">
        <f>IFERROR(INDEX('Hun Demand'!T:T,MATCH(O281,'Hun Demand'!A:A,0)),"")</f>
        <v/>
      </c>
      <c r="E281" s="25" t="str">
        <f>IFERROR(INDEX('Hun Demand'!S:S,MATCH(O281,'Hun Demand'!A:A,0)),"")</f>
        <v/>
      </c>
      <c r="F281" s="25" t="str">
        <f>IFERROR(INDEX('Hun Demand'!R:R,MATCH(O281,'Hun Demand'!A:A,0)),"")</f>
        <v/>
      </c>
      <c r="G281" s="25">
        <f>IFERROR(INDEX('Aub Demand'!W:W,MATCH(O281,'Aub Demand'!A:A,0)),"")</f>
        <v>29</v>
      </c>
      <c r="H281" s="25">
        <f>IFERROR(INDEX('Aub Demand'!V:V,MATCH(O281,'Aub Demand'!A:A,0)),"")</f>
        <v>0</v>
      </c>
      <c r="I281" s="25">
        <f>IFERROR(INDEX('Aub Demand'!U:U,MATCH(O281,'Aub Demand'!A:A,0)),"")</f>
        <v>0</v>
      </c>
      <c r="J281" s="25">
        <f>IFERROR(INDEX('Aub Demand'!T:T,MATCH(O281,'Aub Demand'!A:A,0)),"")</f>
        <v>0</v>
      </c>
      <c r="K281" s="25">
        <f>IFERROR(INDEX('Aub Demand'!S:S,MATCH(O281,'Aub Demand'!A:A,0)),"")</f>
        <v>12</v>
      </c>
      <c r="L281" s="25">
        <f>IFERROR(INDEX('Aub Demand'!R:R,MATCH(O281,'Aub Demand'!A:A,0)),"")</f>
        <v>0</v>
      </c>
      <c r="O281" s="27" t="s">
        <v>496</v>
      </c>
      <c r="P281" s="27" t="str">
        <f>IFERROR(INDEX('Aub Demand'!B:B,MATCH($O281,'Aub Demand'!$A:$A,0)),"")</f>
        <v>GOLD PANNIN</v>
      </c>
      <c r="Q281" s="27" t="str">
        <f>IFERROR(INDEX('Aub Demand'!C:C,MATCH($O281,'Aub Demand'!$A:$A,0)),"")</f>
        <v>TOPPA</v>
      </c>
      <c r="R281" s="52">
        <f>IFERROR(IF(AR282=AR281,INDEX('Aub Demand'!K:K,MATCH($O281,'Aub Demand'!$A:$A,0))-IF(AN281="",0,AN281)+AP282,INDEX('Aub Demand'!K:K,MATCH($O281,'Aub Demand'!$A:$A,0))-IF(AN281="",0,AN281)),"")</f>
        <v>0</v>
      </c>
      <c r="S281" s="53">
        <f t="shared" si="112"/>
        <v>0</v>
      </c>
      <c r="T281" s="52" t="str">
        <f t="shared" si="113"/>
        <v/>
      </c>
      <c r="U281" s="52">
        <f>IFERROR(IF(AR282=AR281,INDEX('Aub Demand'!Q:Q,MATCH($O281,'Aub Demand'!$A:$A,0))-IF(AN281="",0,AN281)+AP282,INDEX('Aub Demand'!Q:Q,MATCH($O281,'Aub Demand'!$A:$A,0))-IF(AN281="",0,AN281)),"")</f>
        <v>-16</v>
      </c>
      <c r="V281" s="53">
        <f t="shared" si="114"/>
        <v>-17.100000000000001</v>
      </c>
      <c r="W281" s="52" t="str">
        <f t="shared" si="115"/>
        <v/>
      </c>
      <c r="X281" s="52">
        <f>IFERROR(IF(AND(AR282=AR281,AM281&lt;&gt;""),INDEX('Aub Demand'!Q:Q,MATCH($O281,'Aub Demand'!$A:$A,0))-IF(AN281="",0,AN281)+AP282+AD281+AL281,IF(AR282=AR281,INDEX('Aub Demand'!Q:Q,MATCH($O281,'Aub Demand'!$A:$A,0))-IF(AN281="",0,AN281)+AP282+AD281,IF(AM281&lt;&gt;"",INDEX('Aub Demand'!Q:Q,MATCH($O281,'Aub Demand'!$A:$A,0))-IF(AN281="",0,AN281)+AD281+AL281,INDEX('Aub Demand'!Q:Q,MATCH($O281,'Aub Demand'!$A:$A,0))-IF(AN281="",0,AN281)+AD281))),"")</f>
        <v>-16</v>
      </c>
      <c r="Y281" s="53">
        <f t="shared" si="116"/>
        <v>-17.100000000000001</v>
      </c>
      <c r="Z281" s="52">
        <f>IF(L281="","",INDEX('Aub Demand'!H:H,MATCH($O281,'Aub Demand'!$A:$A,0)))</f>
        <v>4</v>
      </c>
      <c r="AA281" s="52" t="str">
        <f t="shared" si="117"/>
        <v>-spike-</v>
      </c>
      <c r="AB281" s="52">
        <f>IFERROR(INDEX('Aub Demand'!L:L,MATCH($O281,'Aub Demand'!$A:$A,0)),"")</f>
        <v>3</v>
      </c>
      <c r="AC281" s="52">
        <f>IFERROR(IF(O281="","",SUMIFS('CPL Mats'!F:F,'CPL Mats'!Q:Q,AR281,'CPL Mats'!S:S,AS281)),"")</f>
        <v>0</v>
      </c>
      <c r="AF281" s="25" t="str">
        <f>IF(SUMIFS('Supp Consol'!S:S,'Supp Consol'!Y:Y,"Releasable",'Supp Consol'!A:A,O281)=0,"",SUMIFS('Supp Consol'!S:S,'Supp Consol'!Y:Y,"Releasable",'Supp Consol'!A:A,O281))</f>
        <v/>
      </c>
      <c r="AG281" s="25" t="str">
        <f>IFERROR(INDEX('Hun Demand'!Q:Q,MATCH(O281,'Hun Demand'!A:A,0)),"")</f>
        <v/>
      </c>
      <c r="AH281" s="25" t="str">
        <f>IFERROR(INDEX('Hun Demand'!H:H,MATCH($O281,'Hun Demand'!$A:$A,0)),"")</f>
        <v/>
      </c>
      <c r="AI281" s="25" t="str">
        <f>IF(SUMIFS('Supp Consol'!AA:AA,'Supp Consol'!Z:Z,"Expires this month",'Supp Consol'!A:A,O281)=0,"",SUMIFS('Supp Consol'!AA:AA,'Supp Consol'!Z:Z,"Expires this month",'Supp Consol'!A:A,O281))</f>
        <v/>
      </c>
      <c r="AJ281" s="25" t="str">
        <f>IF(SUMIFS('Supp Consol'!AA:AA,'Supp Consol'!Z:Z,"Expired Previous Months",'Supp Consol'!A:A,O281)=0,"",SUMIFS('Supp Consol'!AA:AA,'Supp Consol'!Z:Z,"Expired Previous Months",'Supp Consol'!A:A,O281))</f>
        <v/>
      </c>
      <c r="AK281" s="25" t="str">
        <f>IFERROR(INDEX('Hun Release Current'!B:B,MATCH(O281,'Hun Release Current'!A:A,0)),"")</f>
        <v/>
      </c>
      <c r="AL281" s="25" t="str">
        <f>IF(SUMIF('Prev Aub'!A:A,O281,'Prev Aub'!B:B)=0,"",SUMIF('Prev Aub'!A:A,O281,'Prev Aub'!B:B))</f>
        <v/>
      </c>
      <c r="AN281" s="25" t="s">
        <v>3790</v>
      </c>
      <c r="AO281" s="25" t="s">
        <v>3790</v>
      </c>
      <c r="AP281" s="25">
        <f t="shared" si="118"/>
        <v>0</v>
      </c>
      <c r="AQ281" s="151" t="str">
        <f>IF(SUMIFS('Supp Consol'!S:S,'Supp Consol'!A:A,O281,'Supp Consol'!I:I,"PENDING")=0,"",SUMIFS('Supp Consol'!S:S,'Supp Consol'!A:A,O281,'Supp Consol'!I:I,"PENDING"))</f>
        <v/>
      </c>
      <c r="AR281" s="27" t="str">
        <f t="shared" si="119"/>
        <v>AT710</v>
      </c>
      <c r="AS281" s="27" t="str">
        <f t="shared" si="120"/>
        <v>50</v>
      </c>
      <c r="AT281" s="27" t="str">
        <f t="shared" si="121"/>
        <v>AT710</v>
      </c>
      <c r="AU281" s="27" t="str">
        <f t="shared" si="122"/>
        <v>AT710</v>
      </c>
      <c r="AV281" s="27" t="str">
        <f t="shared" si="123"/>
        <v>AT710</v>
      </c>
      <c r="AW281" s="27" t="str">
        <f t="shared" si="124"/>
        <v/>
      </c>
      <c r="AX281" s="27" t="str">
        <f t="shared" si="125"/>
        <v/>
      </c>
      <c r="AY281" s="27" t="str">
        <f t="shared" si="126"/>
        <v/>
      </c>
      <c r="AZ281" s="27" t="str">
        <f t="shared" si="127"/>
        <v/>
      </c>
      <c r="BA281" s="27" t="str">
        <f t="shared" si="128"/>
        <v/>
      </c>
      <c r="BB281" s="27" t="str">
        <f t="shared" si="129"/>
        <v>Gross</v>
      </c>
      <c r="BC281" s="27" t="str">
        <f t="shared" si="130"/>
        <v>Net</v>
      </c>
      <c r="BD281" s="27" t="str">
        <f t="shared" si="131"/>
        <v>Net</v>
      </c>
      <c r="BE281" s="27" t="str">
        <f t="shared" si="132"/>
        <v/>
      </c>
      <c r="BF281" s="27" t="str">
        <f t="shared" si="133"/>
        <v/>
      </c>
      <c r="BG281" s="27" t="str">
        <f t="shared" si="134"/>
        <v/>
      </c>
      <c r="BH281" s="27" t="str">
        <f t="shared" si="135"/>
        <v/>
      </c>
      <c r="BI281" s="27" t="str">
        <f t="shared" si="136"/>
        <v/>
      </c>
      <c r="BJ281" s="27" t="str">
        <f t="shared" si="137"/>
        <v/>
      </c>
      <c r="BK281" s="27" t="str">
        <f t="shared" si="138"/>
        <v/>
      </c>
      <c r="BL281" s="27" t="str">
        <f t="shared" si="139"/>
        <v/>
      </c>
      <c r="BM281" s="21" t="s">
        <v>5581</v>
      </c>
    </row>
    <row r="282" spans="1:65" ht="15">
      <c r="A282" s="25" t="str">
        <f>IFERROR(INDEX('Hun Demand'!W:W,MATCH(O282,'Hun Demand'!A:A,0)),"")</f>
        <v/>
      </c>
      <c r="B282" s="25" t="str">
        <f>IFERROR(INDEX('Hun Demand'!V:V,MATCH(O282,'Hun Demand'!A:A,0)),"")</f>
        <v/>
      </c>
      <c r="C282" s="25" t="str">
        <f>IFERROR(INDEX('Hun Demand'!U:U,MATCH(O282,'Hun Demand'!A:A,0)),"")</f>
        <v/>
      </c>
      <c r="D282" s="25" t="str">
        <f>IFERROR(INDEX('Hun Demand'!T:T,MATCH(O282,'Hun Demand'!A:A,0)),"")</f>
        <v/>
      </c>
      <c r="E282" s="25" t="str">
        <f>IFERROR(INDEX('Hun Demand'!S:S,MATCH(O282,'Hun Demand'!A:A,0)),"")</f>
        <v/>
      </c>
      <c r="F282" s="25" t="str">
        <f>IFERROR(INDEX('Hun Demand'!R:R,MATCH(O282,'Hun Demand'!A:A,0)),"")</f>
        <v/>
      </c>
      <c r="G282" s="25">
        <f>IFERROR(INDEX('Aub Demand'!W:W,MATCH(O282,'Aub Demand'!A:A,0)),"")</f>
        <v>6</v>
      </c>
      <c r="H282" s="25">
        <f>IFERROR(INDEX('Aub Demand'!V:V,MATCH(O282,'Aub Demand'!A:A,0)),"")</f>
        <v>44</v>
      </c>
      <c r="I282" s="25">
        <f>IFERROR(INDEX('Aub Demand'!U:U,MATCH(O282,'Aub Demand'!A:A,0)),"")</f>
        <v>0</v>
      </c>
      <c r="J282" s="25">
        <f>IFERROR(INDEX('Aub Demand'!T:T,MATCH(O282,'Aub Demand'!A:A,0)),"")</f>
        <v>0</v>
      </c>
      <c r="K282" s="25">
        <f>IFERROR(INDEX('Aub Demand'!S:S,MATCH(O282,'Aub Demand'!A:A,0)),"")</f>
        <v>0</v>
      </c>
      <c r="L282" s="25">
        <f>IFERROR(INDEX('Aub Demand'!R:R,MATCH(O282,'Aub Demand'!A:A,0)),"")</f>
        <v>0</v>
      </c>
      <c r="O282" s="27" t="s">
        <v>498</v>
      </c>
      <c r="P282" s="27" t="str">
        <f>IFERROR(INDEX('Aub Demand'!B:B,MATCH($O282,'Aub Demand'!$A:$A,0)),"")</f>
        <v>GOLD PANNIN</v>
      </c>
      <c r="Q282" s="27" t="str">
        <f>IFERROR(INDEX('Aub Demand'!C:C,MATCH($O282,'Aub Demand'!$A:$A,0)),"")</f>
        <v>TOPPA</v>
      </c>
      <c r="R282" s="52">
        <f>IFERROR(IF(AR283=AR282,INDEX('Aub Demand'!K:K,MATCH($O282,'Aub Demand'!$A:$A,0))-IF(AN282="",0,AN282)+AP283,INDEX('Aub Demand'!K:K,MATCH($O282,'Aub Demand'!$A:$A,0))-IF(AN282="",0,AN282)),"")</f>
        <v>700</v>
      </c>
      <c r="S282" s="53" t="str">
        <f t="shared" si="112"/>
        <v>n/a</v>
      </c>
      <c r="T282" s="52" t="str">
        <f t="shared" si="113"/>
        <v/>
      </c>
      <c r="U282" s="52">
        <f>IFERROR(IF(AR283=AR282,INDEX('Aub Demand'!Q:Q,MATCH($O282,'Aub Demand'!$A:$A,0))-IF(AN282="",0,AN282)+AP283,INDEX('Aub Demand'!Q:Q,MATCH($O282,'Aub Demand'!$A:$A,0))-IF(AN282="",0,AN282)),"")</f>
        <v>673</v>
      </c>
      <c r="V282" s="53" t="str">
        <f t="shared" si="114"/>
        <v>n/a</v>
      </c>
      <c r="W282" s="52" t="str">
        <f t="shared" si="115"/>
        <v/>
      </c>
      <c r="X282" s="52">
        <f>IFERROR(IF(AND(AR283=AR282,AM282&lt;&gt;""),INDEX('Aub Demand'!Q:Q,MATCH($O282,'Aub Demand'!$A:$A,0))-IF(AN282="",0,AN282)+AP283+AD282+AL282,IF(AR283=AR282,INDEX('Aub Demand'!Q:Q,MATCH($O282,'Aub Demand'!$A:$A,0))-IF(AN282="",0,AN282)+AP283+AD282,IF(AM282&lt;&gt;"",INDEX('Aub Demand'!Q:Q,MATCH($O282,'Aub Demand'!$A:$A,0))-IF(AN282="",0,AN282)+AD282+AL282,INDEX('Aub Demand'!Q:Q,MATCH($O282,'Aub Demand'!$A:$A,0))-IF(AN282="",0,AN282)+AD282))),"")</f>
        <v>673</v>
      </c>
      <c r="Y282" s="53" t="str">
        <f t="shared" si="116"/>
        <v>n/a</v>
      </c>
      <c r="Z282" s="52">
        <f>IF(L282="","",INDEX('Aub Demand'!H:H,MATCH($O282,'Aub Demand'!$A:$A,0)))</f>
        <v>0</v>
      </c>
      <c r="AA282" s="52" t="str">
        <f t="shared" si="117"/>
        <v>-spike-</v>
      </c>
      <c r="AB282" s="52">
        <f>IFERROR(INDEX('Aub Demand'!L:L,MATCH($O282,'Aub Demand'!$A:$A,0)),"")</f>
        <v>12</v>
      </c>
      <c r="AC282" s="52">
        <f>IFERROR(IF(O282="","",SUMIFS('CPL Mats'!F:F,'CPL Mats'!Q:Q,AR282,'CPL Mats'!S:S,AS282)),"")</f>
        <v>0</v>
      </c>
      <c r="AF282" s="25" t="str">
        <f>IF(SUMIFS('Supp Consol'!S:S,'Supp Consol'!Y:Y,"Releasable",'Supp Consol'!A:A,O282)=0,"",SUMIFS('Supp Consol'!S:S,'Supp Consol'!Y:Y,"Releasable",'Supp Consol'!A:A,O282))</f>
        <v/>
      </c>
      <c r="AG282" s="25" t="str">
        <f>IFERROR(INDEX('Hun Demand'!Q:Q,MATCH(O282,'Hun Demand'!A:A,0)),"")</f>
        <v/>
      </c>
      <c r="AH282" s="25" t="str">
        <f>IFERROR(INDEX('Hun Demand'!H:H,MATCH($O282,'Hun Demand'!$A:$A,0)),"")</f>
        <v/>
      </c>
      <c r="AI282" s="25" t="str">
        <f>IF(SUMIFS('Supp Consol'!AA:AA,'Supp Consol'!Z:Z,"Expires this month",'Supp Consol'!A:A,O282)=0,"",SUMIFS('Supp Consol'!AA:AA,'Supp Consol'!Z:Z,"Expires this month",'Supp Consol'!A:A,O282))</f>
        <v/>
      </c>
      <c r="AJ282" s="25" t="str">
        <f>IF(SUMIFS('Supp Consol'!AA:AA,'Supp Consol'!Z:Z,"Expired Previous Months",'Supp Consol'!A:A,O282)=0,"",SUMIFS('Supp Consol'!AA:AA,'Supp Consol'!Z:Z,"Expired Previous Months",'Supp Consol'!A:A,O282))</f>
        <v/>
      </c>
      <c r="AK282" s="25" t="str">
        <f>IFERROR(INDEX('Hun Release Current'!B:B,MATCH(O282,'Hun Release Current'!A:A,0)),"")</f>
        <v/>
      </c>
      <c r="AL282" s="25" t="str">
        <f>IF(SUMIF('Prev Aub'!A:A,O282,'Prev Aub'!B:B)=0,"",SUMIF('Prev Aub'!A:A,O282,'Prev Aub'!B:B))</f>
        <v/>
      </c>
      <c r="AN282" s="25" t="s">
        <v>3790</v>
      </c>
      <c r="AO282" s="25" t="s">
        <v>3790</v>
      </c>
      <c r="AP282" s="25">
        <f t="shared" si="118"/>
        <v>0</v>
      </c>
      <c r="AQ282" s="151" t="str">
        <f>IF(SUMIFS('Supp Consol'!S:S,'Supp Consol'!A:A,O282,'Supp Consol'!I:I,"PENDING")=0,"",SUMIFS('Supp Consol'!S:S,'Supp Consol'!A:A,O282,'Supp Consol'!I:I,"PENDING"))</f>
        <v/>
      </c>
      <c r="AR282" s="27" t="str">
        <f t="shared" si="119"/>
        <v>AT710</v>
      </c>
      <c r="AS282" s="27" t="str">
        <f t="shared" si="120"/>
        <v>62</v>
      </c>
      <c r="AT282" s="27" t="str">
        <f t="shared" si="121"/>
        <v/>
      </c>
      <c r="AU282" s="27" t="str">
        <f t="shared" si="122"/>
        <v/>
      </c>
      <c r="AV282" s="27" t="str">
        <f t="shared" si="123"/>
        <v/>
      </c>
      <c r="AW282" s="27" t="str">
        <f t="shared" si="124"/>
        <v/>
      </c>
      <c r="AX282" s="27" t="str">
        <f t="shared" si="125"/>
        <v/>
      </c>
      <c r="AY282" s="27" t="str">
        <f t="shared" si="126"/>
        <v/>
      </c>
      <c r="AZ282" s="27" t="str">
        <f t="shared" si="127"/>
        <v/>
      </c>
      <c r="BA282" s="27" t="str">
        <f t="shared" si="128"/>
        <v/>
      </c>
      <c r="BB282" s="27" t="str">
        <f t="shared" si="129"/>
        <v>Gross</v>
      </c>
      <c r="BC282" s="27" t="str">
        <f t="shared" si="130"/>
        <v>Net</v>
      </c>
      <c r="BD282" s="27" t="str">
        <f t="shared" si="131"/>
        <v>Net</v>
      </c>
      <c r="BE282" s="27" t="str">
        <f t="shared" si="132"/>
        <v/>
      </c>
      <c r="BF282" s="27" t="str">
        <f t="shared" si="133"/>
        <v/>
      </c>
      <c r="BG282" s="27" t="str">
        <f t="shared" si="134"/>
        <v/>
      </c>
      <c r="BH282" s="27" t="str">
        <f t="shared" si="135"/>
        <v/>
      </c>
      <c r="BI282" s="27" t="str">
        <f t="shared" si="136"/>
        <v/>
      </c>
      <c r="BJ282" s="27" t="str">
        <f t="shared" si="137"/>
        <v/>
      </c>
      <c r="BK282" s="27" t="str">
        <f t="shared" si="138"/>
        <v/>
      </c>
      <c r="BL282" s="27" t="str">
        <f t="shared" si="139"/>
        <v/>
      </c>
      <c r="BM282" s="21" t="s">
        <v>5581</v>
      </c>
    </row>
    <row r="283" spans="1:65" ht="15">
      <c r="A283" s="25" t="str">
        <f>IFERROR(INDEX('Hun Demand'!W:W,MATCH(O283,'Hun Demand'!A:A,0)),"")</f>
        <v/>
      </c>
      <c r="B283" s="25" t="str">
        <f>IFERROR(INDEX('Hun Demand'!V:V,MATCH(O283,'Hun Demand'!A:A,0)),"")</f>
        <v/>
      </c>
      <c r="C283" s="25" t="str">
        <f>IFERROR(INDEX('Hun Demand'!U:U,MATCH(O283,'Hun Demand'!A:A,0)),"")</f>
        <v/>
      </c>
      <c r="D283" s="25" t="str">
        <f>IFERROR(INDEX('Hun Demand'!T:T,MATCH(O283,'Hun Demand'!A:A,0)),"")</f>
        <v/>
      </c>
      <c r="E283" s="25" t="str">
        <f>IFERROR(INDEX('Hun Demand'!S:S,MATCH(O283,'Hun Demand'!A:A,0)),"")</f>
        <v/>
      </c>
      <c r="F283" s="25" t="str">
        <f>IFERROR(INDEX('Hun Demand'!R:R,MATCH(O283,'Hun Demand'!A:A,0)),"")</f>
        <v/>
      </c>
      <c r="G283" s="25">
        <f>IFERROR(INDEX('Aub Demand'!W:W,MATCH(O283,'Aub Demand'!A:A,0)),"")</f>
        <v>0</v>
      </c>
      <c r="H283" s="25">
        <f>IFERROR(INDEX('Aub Demand'!V:V,MATCH(O283,'Aub Demand'!A:A,0)),"")</f>
        <v>0</v>
      </c>
      <c r="I283" s="25">
        <f>IFERROR(INDEX('Aub Demand'!U:U,MATCH(O283,'Aub Demand'!A:A,0)),"")</f>
        <v>0</v>
      </c>
      <c r="J283" s="25">
        <f>IFERROR(INDEX('Aub Demand'!T:T,MATCH(O283,'Aub Demand'!A:A,0)),"")</f>
        <v>0</v>
      </c>
      <c r="K283" s="25">
        <f>IFERROR(INDEX('Aub Demand'!S:S,MATCH(O283,'Aub Demand'!A:A,0)),"")</f>
        <v>0</v>
      </c>
      <c r="L283" s="25">
        <f>IFERROR(INDEX('Aub Demand'!R:R,MATCH(O283,'Aub Demand'!A:A,0)),"")</f>
        <v>0</v>
      </c>
      <c r="O283" s="27" t="s">
        <v>499</v>
      </c>
      <c r="P283" s="27" t="str">
        <f>IFERROR(INDEX('Aub Demand'!B:B,MATCH($O283,'Aub Demand'!$A:$A,0)),"")</f>
        <v>MOLTEN METAL</v>
      </c>
      <c r="Q283" s="27" t="str">
        <f>IFERROR(INDEX('Aub Demand'!C:C,MATCH($O283,'Aub Demand'!$A:$A,0)),"")</f>
        <v>TOPPA</v>
      </c>
      <c r="R283" s="52">
        <f>IFERROR(IF(AR284=AR283,INDEX('Aub Demand'!K:K,MATCH($O283,'Aub Demand'!$A:$A,0))-IF(AN283="",0,AN283)+AP284,INDEX('Aub Demand'!K:K,MATCH($O283,'Aub Demand'!$A:$A,0))-IF(AN283="",0,AN283)),"")</f>
        <v>748</v>
      </c>
      <c r="S283" s="53" t="str">
        <f t="shared" si="112"/>
        <v>n/a</v>
      </c>
      <c r="T283" s="52" t="str">
        <f t="shared" si="113"/>
        <v/>
      </c>
      <c r="U283" s="52">
        <f>IFERROR(IF(AR284=AR283,INDEX('Aub Demand'!Q:Q,MATCH($O283,'Aub Demand'!$A:$A,0))-IF(AN283="",0,AN283)+AP284,INDEX('Aub Demand'!Q:Q,MATCH($O283,'Aub Demand'!$A:$A,0))-IF(AN283="",0,AN283)),"")</f>
        <v>748</v>
      </c>
      <c r="V283" s="53" t="str">
        <f t="shared" si="114"/>
        <v>n/a</v>
      </c>
      <c r="W283" s="52" t="str">
        <f t="shared" si="115"/>
        <v/>
      </c>
      <c r="X283" s="52">
        <f>IFERROR(IF(AND(AR284=AR283,AM283&lt;&gt;""),INDEX('Aub Demand'!Q:Q,MATCH($O283,'Aub Demand'!$A:$A,0))-IF(AN283="",0,AN283)+AP284+AD283+AL283,IF(AR284=AR283,INDEX('Aub Demand'!Q:Q,MATCH($O283,'Aub Demand'!$A:$A,0))-IF(AN283="",0,AN283)+AP284+AD283,IF(AM283&lt;&gt;"",INDEX('Aub Demand'!Q:Q,MATCH($O283,'Aub Demand'!$A:$A,0))-IF(AN283="",0,AN283)+AD283+AL283,INDEX('Aub Demand'!Q:Q,MATCH($O283,'Aub Demand'!$A:$A,0))-IF(AN283="",0,AN283)+AD283))),"")</f>
        <v>748</v>
      </c>
      <c r="Y283" s="53" t="str">
        <f t="shared" si="116"/>
        <v>n/a</v>
      </c>
      <c r="Z283" s="52">
        <f>IF(L283="","",INDEX('Aub Demand'!H:H,MATCH($O283,'Aub Demand'!$A:$A,0)))</f>
        <v>0</v>
      </c>
      <c r="AA283" s="52" t="str">
        <f t="shared" si="117"/>
        <v>-spike-</v>
      </c>
      <c r="AB283" s="52">
        <f>IFERROR(INDEX('Aub Demand'!L:L,MATCH($O283,'Aub Demand'!$A:$A,0)),"")</f>
        <v>0</v>
      </c>
      <c r="AC283" s="52">
        <f>IFERROR(IF(O283="","",SUMIFS('CPL Mats'!F:F,'CPL Mats'!Q:Q,AR283,'CPL Mats'!S:S,AS283)),"")</f>
        <v>0</v>
      </c>
      <c r="AF283" s="25" t="str">
        <f>IF(SUMIFS('Supp Consol'!S:S,'Supp Consol'!Y:Y,"Releasable",'Supp Consol'!A:A,O283)=0,"",SUMIFS('Supp Consol'!S:S,'Supp Consol'!Y:Y,"Releasable",'Supp Consol'!A:A,O283))</f>
        <v/>
      </c>
      <c r="AG283" s="25" t="str">
        <f>IFERROR(INDEX('Hun Demand'!Q:Q,MATCH(O283,'Hun Demand'!A:A,0)),"")</f>
        <v/>
      </c>
      <c r="AH283" s="25" t="str">
        <f>IFERROR(INDEX('Hun Demand'!H:H,MATCH($O283,'Hun Demand'!$A:$A,0)),"")</f>
        <v/>
      </c>
      <c r="AI283" s="25" t="str">
        <f>IF(SUMIFS('Supp Consol'!AA:AA,'Supp Consol'!Z:Z,"Expires this month",'Supp Consol'!A:A,O283)=0,"",SUMIFS('Supp Consol'!AA:AA,'Supp Consol'!Z:Z,"Expires this month",'Supp Consol'!A:A,O283))</f>
        <v/>
      </c>
      <c r="AJ283" s="25" t="str">
        <f>IF(SUMIFS('Supp Consol'!AA:AA,'Supp Consol'!Z:Z,"Expired Previous Months",'Supp Consol'!A:A,O283)=0,"",SUMIFS('Supp Consol'!AA:AA,'Supp Consol'!Z:Z,"Expired Previous Months",'Supp Consol'!A:A,O283))</f>
        <v/>
      </c>
      <c r="AK283" s="25" t="str">
        <f>IFERROR(INDEX('Hun Release Current'!B:B,MATCH(O283,'Hun Release Current'!A:A,0)),"")</f>
        <v/>
      </c>
      <c r="AL283" s="25" t="str">
        <f>IF(SUMIF('Prev Aub'!A:A,O283,'Prev Aub'!B:B)=0,"",SUMIF('Prev Aub'!A:A,O283,'Prev Aub'!B:B))</f>
        <v/>
      </c>
      <c r="AN283" s="25" t="s">
        <v>3790</v>
      </c>
      <c r="AO283" s="25" t="s">
        <v>3790</v>
      </c>
      <c r="AP283" s="25">
        <f t="shared" si="118"/>
        <v>0</v>
      </c>
      <c r="AQ283" s="151" t="str">
        <f>IF(SUMIFS('Supp Consol'!S:S,'Supp Consol'!A:A,O283,'Supp Consol'!I:I,"PENDING")=0,"",SUMIFS('Supp Consol'!S:S,'Supp Consol'!A:A,O283,'Supp Consol'!I:I,"PENDING"))</f>
        <v/>
      </c>
      <c r="AR283" s="27" t="str">
        <f t="shared" si="119"/>
        <v>AT740</v>
      </c>
      <c r="AS283" s="27" t="str">
        <f t="shared" si="120"/>
        <v>50</v>
      </c>
      <c r="AT283" s="27" t="str">
        <f t="shared" si="121"/>
        <v/>
      </c>
      <c r="AU283" s="27" t="str">
        <f t="shared" si="122"/>
        <v/>
      </c>
      <c r="AV283" s="27" t="str">
        <f t="shared" si="123"/>
        <v/>
      </c>
      <c r="AW283" s="27" t="str">
        <f t="shared" si="124"/>
        <v/>
      </c>
      <c r="AX283" s="27" t="str">
        <f t="shared" si="125"/>
        <v/>
      </c>
      <c r="AY283" s="27" t="str">
        <f t="shared" si="126"/>
        <v/>
      </c>
      <c r="AZ283" s="27" t="str">
        <f t="shared" si="127"/>
        <v/>
      </c>
      <c r="BA283" s="27" t="str">
        <f t="shared" si="128"/>
        <v/>
      </c>
      <c r="BB283" s="27" t="str">
        <f t="shared" si="129"/>
        <v/>
      </c>
      <c r="BC283" s="27" t="str">
        <f t="shared" si="130"/>
        <v/>
      </c>
      <c r="BD283" s="27" t="str">
        <f t="shared" si="131"/>
        <v/>
      </c>
      <c r="BE283" s="27" t="str">
        <f t="shared" si="132"/>
        <v/>
      </c>
      <c r="BF283" s="27" t="str">
        <f t="shared" si="133"/>
        <v/>
      </c>
      <c r="BG283" s="27" t="str">
        <f t="shared" si="134"/>
        <v/>
      </c>
      <c r="BH283" s="27" t="str">
        <f t="shared" si="135"/>
        <v/>
      </c>
      <c r="BI283" s="27" t="str">
        <f t="shared" si="136"/>
        <v/>
      </c>
      <c r="BJ283" s="27" t="str">
        <f t="shared" si="137"/>
        <v/>
      </c>
      <c r="BK283" s="27" t="str">
        <f t="shared" si="138"/>
        <v/>
      </c>
      <c r="BL283" s="27" t="str">
        <f t="shared" si="139"/>
        <v/>
      </c>
      <c r="BM283" s="21" t="s">
        <v>3790</v>
      </c>
    </row>
    <row r="284" spans="1:65" ht="15">
      <c r="A284" s="25" t="str">
        <f>IFERROR(INDEX('Hun Demand'!W:W,MATCH(O284,'Hun Demand'!A:A,0)),"")</f>
        <v/>
      </c>
      <c r="B284" s="25" t="str">
        <f>IFERROR(INDEX('Hun Demand'!V:V,MATCH(O284,'Hun Demand'!A:A,0)),"")</f>
        <v/>
      </c>
      <c r="C284" s="25" t="str">
        <f>IFERROR(INDEX('Hun Demand'!U:U,MATCH(O284,'Hun Demand'!A:A,0)),"")</f>
        <v/>
      </c>
      <c r="D284" s="25" t="str">
        <f>IFERROR(INDEX('Hun Demand'!T:T,MATCH(O284,'Hun Demand'!A:A,0)),"")</f>
        <v/>
      </c>
      <c r="E284" s="25" t="str">
        <f>IFERROR(INDEX('Hun Demand'!S:S,MATCH(O284,'Hun Demand'!A:A,0)),"")</f>
        <v/>
      </c>
      <c r="F284" s="25" t="str">
        <f>IFERROR(INDEX('Hun Demand'!R:R,MATCH(O284,'Hun Demand'!A:A,0)),"")</f>
        <v/>
      </c>
      <c r="G284" s="25">
        <f>IFERROR(INDEX('Aub Demand'!W:W,MATCH(O284,'Aub Demand'!A:A,0)),"")</f>
        <v>14</v>
      </c>
      <c r="H284" s="25">
        <f>IFERROR(INDEX('Aub Demand'!V:V,MATCH(O284,'Aub Demand'!A:A,0)),"")</f>
        <v>0</v>
      </c>
      <c r="I284" s="25">
        <f>IFERROR(INDEX('Aub Demand'!U:U,MATCH(O284,'Aub Demand'!A:A,0)),"")</f>
        <v>0</v>
      </c>
      <c r="J284" s="25">
        <f>IFERROR(INDEX('Aub Demand'!T:T,MATCH(O284,'Aub Demand'!A:A,0)),"")</f>
        <v>0</v>
      </c>
      <c r="K284" s="25">
        <f>IFERROR(INDEX('Aub Demand'!S:S,MATCH(O284,'Aub Demand'!A:A,0)),"")</f>
        <v>101</v>
      </c>
      <c r="L284" s="25">
        <f>IFERROR(INDEX('Aub Demand'!R:R,MATCH(O284,'Aub Demand'!A:A,0)),"")</f>
        <v>0</v>
      </c>
      <c r="O284" s="27" t="s">
        <v>2097</v>
      </c>
      <c r="P284" s="27" t="str">
        <f>IFERROR(INDEX('Aub Demand'!B:B,MATCH($O284,'Aub Demand'!$A:$A,0)),"")</f>
        <v>PENNY LANE</v>
      </c>
      <c r="Q284" s="27" t="str">
        <f>IFERROR(INDEX('Aub Demand'!C:C,MATCH($O284,'Aub Demand'!$A:$A,0)),"")</f>
        <v>INTER</v>
      </c>
      <c r="R284" s="52">
        <f>IFERROR(IF(AR285=AR284,INDEX('Aub Demand'!K:K,MATCH($O284,'Aub Demand'!$A:$A,0))-IF(AN284="",0,AN284)+AP285,INDEX('Aub Demand'!K:K,MATCH($O284,'Aub Demand'!$A:$A,0))-IF(AN284="",0,AN284)),"")</f>
        <v>0</v>
      </c>
      <c r="S284" s="53">
        <f t="shared" si="112"/>
        <v>0</v>
      </c>
      <c r="T284" s="52" t="str">
        <f t="shared" si="113"/>
        <v/>
      </c>
      <c r="U284" s="52">
        <f>IFERROR(IF(AR285=AR284,INDEX('Aub Demand'!Q:Q,MATCH($O284,'Aub Demand'!$A:$A,0))-IF(AN284="",0,AN284)+AP285,INDEX('Aub Demand'!Q:Q,MATCH($O284,'Aub Demand'!$A:$A,0))-IF(AN284="",0,AN284)),"")</f>
        <v>-3</v>
      </c>
      <c r="V284" s="53">
        <f t="shared" si="114"/>
        <v>-0.4</v>
      </c>
      <c r="W284" s="52" t="str">
        <f t="shared" si="115"/>
        <v/>
      </c>
      <c r="X284" s="52">
        <f>IFERROR(IF(AND(AR285=AR284,AM284&lt;&gt;""),INDEX('Aub Demand'!Q:Q,MATCH($O284,'Aub Demand'!$A:$A,0))-IF(AN284="",0,AN284)+AP285+AD284+AL284,IF(AR285=AR284,INDEX('Aub Demand'!Q:Q,MATCH($O284,'Aub Demand'!$A:$A,0))-IF(AN284="",0,AN284)+AP285+AD284,IF(AM284&lt;&gt;"",INDEX('Aub Demand'!Q:Q,MATCH($O284,'Aub Demand'!$A:$A,0))-IF(AN284="",0,AN284)+AD284+AL284,INDEX('Aub Demand'!Q:Q,MATCH($O284,'Aub Demand'!$A:$A,0))-IF(AN284="",0,AN284)+AD284))),"")</f>
        <v>-3</v>
      </c>
      <c r="Y284" s="53">
        <f t="shared" si="116"/>
        <v>-0.4</v>
      </c>
      <c r="Z284" s="52">
        <f>IF(L284="","",INDEX('Aub Demand'!H:H,MATCH($O284,'Aub Demand'!$A:$A,0)))</f>
        <v>34</v>
      </c>
      <c r="AA284" s="52" t="str">
        <f t="shared" si="117"/>
        <v>-spike-</v>
      </c>
      <c r="AB284" s="52">
        <f>IFERROR(INDEX('Aub Demand'!L:L,MATCH($O284,'Aub Demand'!$A:$A,0)),"")</f>
        <v>30</v>
      </c>
      <c r="AC284" s="52">
        <f>IFERROR(IF(O284="","",SUMIFS('CPL Mats'!F:F,'CPL Mats'!Q:Q,AR284,'CPL Mats'!S:S,AS284)),"")</f>
        <v>0</v>
      </c>
      <c r="AF284" s="25" t="str">
        <f>IF(SUMIFS('Supp Consol'!S:S,'Supp Consol'!Y:Y,"Releasable",'Supp Consol'!A:A,O284)=0,"",SUMIFS('Supp Consol'!S:S,'Supp Consol'!Y:Y,"Releasable",'Supp Consol'!A:A,O284))</f>
        <v/>
      </c>
      <c r="AG284" s="25" t="str">
        <f>IFERROR(INDEX('Hun Demand'!Q:Q,MATCH(O284,'Hun Demand'!A:A,0)),"")</f>
        <v/>
      </c>
      <c r="AH284" s="25" t="str">
        <f>IFERROR(INDEX('Hun Demand'!H:H,MATCH($O284,'Hun Demand'!$A:$A,0)),"")</f>
        <v/>
      </c>
      <c r="AI284" s="25" t="str">
        <f>IF(SUMIFS('Supp Consol'!AA:AA,'Supp Consol'!Z:Z,"Expires this month",'Supp Consol'!A:A,O284)=0,"",SUMIFS('Supp Consol'!AA:AA,'Supp Consol'!Z:Z,"Expires this month",'Supp Consol'!A:A,O284))</f>
        <v/>
      </c>
      <c r="AJ284" s="25" t="str">
        <f>IF(SUMIFS('Supp Consol'!AA:AA,'Supp Consol'!Z:Z,"Expired Previous Months",'Supp Consol'!A:A,O284)=0,"",SUMIFS('Supp Consol'!AA:AA,'Supp Consol'!Z:Z,"Expired Previous Months",'Supp Consol'!A:A,O284))</f>
        <v/>
      </c>
      <c r="AK284" s="25" t="str">
        <f>IFERROR(INDEX('Hun Release Current'!B:B,MATCH(O284,'Hun Release Current'!A:A,0)),"")</f>
        <v/>
      </c>
      <c r="AL284" s="25" t="str">
        <f>IF(SUMIF('Prev Aub'!A:A,O284,'Prev Aub'!B:B)=0,"",SUMIF('Prev Aub'!A:A,O284,'Prev Aub'!B:B))</f>
        <v/>
      </c>
      <c r="AN284" s="25" t="s">
        <v>3790</v>
      </c>
      <c r="AO284" s="25" t="s">
        <v>3790</v>
      </c>
      <c r="AP284" s="25">
        <f t="shared" si="118"/>
        <v>0</v>
      </c>
      <c r="AQ284" s="151" t="str">
        <f>IF(SUMIFS('Supp Consol'!S:S,'Supp Consol'!A:A,O284,'Supp Consol'!I:I,"PENDING")=0,"",SUMIFS('Supp Consol'!S:S,'Supp Consol'!A:A,O284,'Supp Consol'!I:I,"PENDING"))</f>
        <v/>
      </c>
      <c r="AR284" s="27" t="str">
        <f t="shared" si="119"/>
        <v>AT750</v>
      </c>
      <c r="AS284" s="27" t="str">
        <f t="shared" si="120"/>
        <v>50</v>
      </c>
      <c r="AT284" s="27" t="str">
        <f t="shared" si="121"/>
        <v>AT750</v>
      </c>
      <c r="AU284" s="27" t="str">
        <f t="shared" si="122"/>
        <v>AT750</v>
      </c>
      <c r="AV284" s="27" t="str">
        <f t="shared" si="123"/>
        <v>AT750</v>
      </c>
      <c r="AW284" s="27" t="str">
        <f t="shared" si="124"/>
        <v/>
      </c>
      <c r="AX284" s="27" t="str">
        <f t="shared" si="125"/>
        <v/>
      </c>
      <c r="AY284" s="27" t="str">
        <f t="shared" si="126"/>
        <v/>
      </c>
      <c r="AZ284" s="27" t="str">
        <f t="shared" si="127"/>
        <v/>
      </c>
      <c r="BA284" s="27" t="str">
        <f t="shared" si="128"/>
        <v/>
      </c>
      <c r="BB284" s="27" t="str">
        <f t="shared" si="129"/>
        <v>Gross</v>
      </c>
      <c r="BC284" s="27" t="str">
        <f t="shared" si="130"/>
        <v>Net</v>
      </c>
      <c r="BD284" s="27" t="str">
        <f t="shared" si="131"/>
        <v>Net</v>
      </c>
      <c r="BE284" s="27" t="str">
        <f t="shared" si="132"/>
        <v/>
      </c>
      <c r="BF284" s="27" t="str">
        <f t="shared" si="133"/>
        <v/>
      </c>
      <c r="BG284" s="27" t="str">
        <f t="shared" si="134"/>
        <v/>
      </c>
      <c r="BH284" s="27" t="str">
        <f t="shared" si="135"/>
        <v/>
      </c>
      <c r="BI284" s="27" t="str">
        <f t="shared" si="136"/>
        <v/>
      </c>
      <c r="BJ284" s="27" t="str">
        <f t="shared" si="137"/>
        <v/>
      </c>
      <c r="BK284" s="27" t="str">
        <f t="shared" si="138"/>
        <v/>
      </c>
      <c r="BL284" s="27" t="str">
        <f t="shared" si="139"/>
        <v/>
      </c>
      <c r="BM284" s="21" t="s">
        <v>5581</v>
      </c>
    </row>
    <row r="285" spans="1:65" ht="15">
      <c r="A285" s="25" t="str">
        <f>IFERROR(INDEX('Hun Demand'!W:W,MATCH(O285,'Hun Demand'!A:A,0)),"")</f>
        <v/>
      </c>
      <c r="B285" s="25" t="str">
        <f>IFERROR(INDEX('Hun Demand'!V:V,MATCH(O285,'Hun Demand'!A:A,0)),"")</f>
        <v/>
      </c>
      <c r="C285" s="25" t="str">
        <f>IFERROR(INDEX('Hun Demand'!U:U,MATCH(O285,'Hun Demand'!A:A,0)),"")</f>
        <v/>
      </c>
      <c r="D285" s="25" t="str">
        <f>IFERROR(INDEX('Hun Demand'!T:T,MATCH(O285,'Hun Demand'!A:A,0)),"")</f>
        <v/>
      </c>
      <c r="E285" s="25" t="str">
        <f>IFERROR(INDEX('Hun Demand'!S:S,MATCH(O285,'Hun Demand'!A:A,0)),"")</f>
        <v/>
      </c>
      <c r="F285" s="25" t="str">
        <f>IFERROR(INDEX('Hun Demand'!R:R,MATCH(O285,'Hun Demand'!A:A,0)),"")</f>
        <v/>
      </c>
      <c r="G285" s="25">
        <f>IFERROR(INDEX('Aub Demand'!W:W,MATCH(O285,'Aub Demand'!A:A,0)),"")</f>
        <v>11</v>
      </c>
      <c r="H285" s="25">
        <f>IFERROR(INDEX('Aub Demand'!V:V,MATCH(O285,'Aub Demand'!A:A,0)),"")</f>
        <v>0</v>
      </c>
      <c r="I285" s="25">
        <f>IFERROR(INDEX('Aub Demand'!U:U,MATCH(O285,'Aub Demand'!A:A,0)),"")</f>
        <v>48</v>
      </c>
      <c r="J285" s="25">
        <f>IFERROR(INDEX('Aub Demand'!T:T,MATCH(O285,'Aub Demand'!A:A,0)),"")</f>
        <v>0</v>
      </c>
      <c r="K285" s="25">
        <f>IFERROR(INDEX('Aub Demand'!S:S,MATCH(O285,'Aub Demand'!A:A,0)),"")</f>
        <v>94</v>
      </c>
      <c r="L285" s="25">
        <f>IFERROR(INDEX('Aub Demand'!R:R,MATCH(O285,'Aub Demand'!A:A,0)),"")</f>
        <v>0</v>
      </c>
      <c r="O285" s="27" t="s">
        <v>2099</v>
      </c>
      <c r="P285" s="27" t="str">
        <f>IFERROR(INDEX('Aub Demand'!B:B,MATCH($O285,'Aub Demand'!$A:$A,0)),"")</f>
        <v>PENNY LANE</v>
      </c>
      <c r="Q285" s="27" t="str">
        <f>IFERROR(INDEX('Aub Demand'!C:C,MATCH($O285,'Aub Demand'!$A:$A,0)),"")</f>
        <v>INTER</v>
      </c>
      <c r="R285" s="52">
        <f>IFERROR(IF(AR286=AR285,INDEX('Aub Demand'!K:K,MATCH($O285,'Aub Demand'!$A:$A,0))-IF(AN285="",0,AN285)+AP286,INDEX('Aub Demand'!K:K,MATCH($O285,'Aub Demand'!$A:$A,0))-IF(AN285="",0,AN285)),"")</f>
        <v>801</v>
      </c>
      <c r="S285" s="53">
        <f t="shared" si="112"/>
        <v>73</v>
      </c>
      <c r="T285" s="52" t="str">
        <f t="shared" si="113"/>
        <v/>
      </c>
      <c r="U285" s="52">
        <f>IFERROR(IF(AR286=AR285,INDEX('Aub Demand'!Q:Q,MATCH($O285,'Aub Demand'!$A:$A,0))-IF(AN285="",0,AN285)+AP286,INDEX('Aub Demand'!Q:Q,MATCH($O285,'Aub Demand'!$A:$A,0))-IF(AN285="",0,AN285)),"")</f>
        <v>779</v>
      </c>
      <c r="V285" s="53">
        <f t="shared" si="114"/>
        <v>71</v>
      </c>
      <c r="W285" s="52" t="str">
        <f t="shared" si="115"/>
        <v/>
      </c>
      <c r="X285" s="52">
        <f>IFERROR(IF(AND(AR286=AR285,AM285&lt;&gt;""),INDEX('Aub Demand'!Q:Q,MATCH($O285,'Aub Demand'!$A:$A,0))-IF(AN285="",0,AN285)+AP286+AD285+AL285,IF(AR286=AR285,INDEX('Aub Demand'!Q:Q,MATCH($O285,'Aub Demand'!$A:$A,0))-IF(AN285="",0,AN285)+AP286+AD285,IF(AM285&lt;&gt;"",INDEX('Aub Demand'!Q:Q,MATCH($O285,'Aub Demand'!$A:$A,0))-IF(AN285="",0,AN285)+AD285+AL285,INDEX('Aub Demand'!Q:Q,MATCH($O285,'Aub Demand'!$A:$A,0))-IF(AN285="",0,AN285)+AD285))),"")</f>
        <v>779</v>
      </c>
      <c r="Y285" s="53">
        <f t="shared" si="116"/>
        <v>71</v>
      </c>
      <c r="Z285" s="52">
        <f>IF(L285="","",INDEX('Aub Demand'!H:H,MATCH($O285,'Aub Demand'!$A:$A,0)))</f>
        <v>47</v>
      </c>
      <c r="AA285" s="52">
        <f t="shared" si="117"/>
        <v>71</v>
      </c>
      <c r="AB285" s="52">
        <f>IFERROR(INDEX('Aub Demand'!L:L,MATCH($O285,'Aub Demand'!$A:$A,0)),"")</f>
        <v>0</v>
      </c>
      <c r="AC285" s="52">
        <f>IFERROR(IF(O285="","",SUMIFS('CPL Mats'!F:F,'CPL Mats'!Q:Q,AR285,'CPL Mats'!S:S,AS285)),"")</f>
        <v>0</v>
      </c>
      <c r="AF285" s="25" t="str">
        <f>IF(SUMIFS('Supp Consol'!S:S,'Supp Consol'!Y:Y,"Releasable",'Supp Consol'!A:A,O285)=0,"",SUMIFS('Supp Consol'!S:S,'Supp Consol'!Y:Y,"Releasable",'Supp Consol'!A:A,O285))</f>
        <v/>
      </c>
      <c r="AG285" s="25" t="str">
        <f>IFERROR(INDEX('Hun Demand'!Q:Q,MATCH(O285,'Hun Demand'!A:A,0)),"")</f>
        <v/>
      </c>
      <c r="AH285" s="25" t="str">
        <f>IFERROR(INDEX('Hun Demand'!H:H,MATCH($O285,'Hun Demand'!$A:$A,0)),"")</f>
        <v/>
      </c>
      <c r="AI285" s="25" t="str">
        <f>IF(SUMIFS('Supp Consol'!AA:AA,'Supp Consol'!Z:Z,"Expires this month",'Supp Consol'!A:A,O285)=0,"",SUMIFS('Supp Consol'!AA:AA,'Supp Consol'!Z:Z,"Expires this month",'Supp Consol'!A:A,O285))</f>
        <v/>
      </c>
      <c r="AJ285" s="25" t="str">
        <f>IF(SUMIFS('Supp Consol'!AA:AA,'Supp Consol'!Z:Z,"Expired Previous Months",'Supp Consol'!A:A,O285)=0,"",SUMIFS('Supp Consol'!AA:AA,'Supp Consol'!Z:Z,"Expired Previous Months",'Supp Consol'!A:A,O285))</f>
        <v/>
      </c>
      <c r="AK285" s="25" t="str">
        <f>IFERROR(INDEX('Hun Release Current'!B:B,MATCH(O285,'Hun Release Current'!A:A,0)),"")</f>
        <v/>
      </c>
      <c r="AL285" s="25" t="str">
        <f>IF(SUMIF('Prev Aub'!A:A,O285,'Prev Aub'!B:B)=0,"",SUMIF('Prev Aub'!A:A,O285,'Prev Aub'!B:B))</f>
        <v/>
      </c>
      <c r="AN285" s="25" t="s">
        <v>3790</v>
      </c>
      <c r="AO285" s="25" t="s">
        <v>3790</v>
      </c>
      <c r="AP285" s="25">
        <f t="shared" si="118"/>
        <v>0</v>
      </c>
      <c r="AQ285" s="151" t="str">
        <f>IF(SUMIFS('Supp Consol'!S:S,'Supp Consol'!A:A,O285,'Supp Consol'!I:I,"PENDING")=0,"",SUMIFS('Supp Consol'!S:S,'Supp Consol'!A:A,O285,'Supp Consol'!I:I,"PENDING"))</f>
        <v/>
      </c>
      <c r="AR285" s="27" t="str">
        <f t="shared" si="119"/>
        <v>AT750</v>
      </c>
      <c r="AS285" s="27" t="str">
        <f t="shared" si="120"/>
        <v>62</v>
      </c>
      <c r="AT285" s="27" t="str">
        <f t="shared" si="121"/>
        <v/>
      </c>
      <c r="AU285" s="27" t="str">
        <f t="shared" si="122"/>
        <v/>
      </c>
      <c r="AV285" s="27" t="str">
        <f t="shared" si="123"/>
        <v/>
      </c>
      <c r="AW285" s="27" t="str">
        <f t="shared" si="124"/>
        <v/>
      </c>
      <c r="AX285" s="27" t="str">
        <f t="shared" si="125"/>
        <v/>
      </c>
      <c r="AY285" s="27" t="str">
        <f t="shared" si="126"/>
        <v/>
      </c>
      <c r="AZ285" s="27" t="str">
        <f t="shared" si="127"/>
        <v/>
      </c>
      <c r="BA285" s="27" t="str">
        <f t="shared" si="128"/>
        <v/>
      </c>
      <c r="BB285" s="27" t="str">
        <f t="shared" si="129"/>
        <v>Gross</v>
      </c>
      <c r="BC285" s="27" t="str">
        <f t="shared" si="130"/>
        <v>Net</v>
      </c>
      <c r="BD285" s="27" t="str">
        <f t="shared" si="131"/>
        <v>Net</v>
      </c>
      <c r="BE285" s="27" t="str">
        <f t="shared" si="132"/>
        <v/>
      </c>
      <c r="BF285" s="27" t="str">
        <f t="shared" si="133"/>
        <v/>
      </c>
      <c r="BG285" s="27" t="str">
        <f t="shared" si="134"/>
        <v/>
      </c>
      <c r="BH285" s="27" t="str">
        <f t="shared" si="135"/>
        <v/>
      </c>
      <c r="BI285" s="27" t="str">
        <f t="shared" si="136"/>
        <v/>
      </c>
      <c r="BJ285" s="27" t="str">
        <f t="shared" si="137"/>
        <v/>
      </c>
      <c r="BK285" s="27" t="str">
        <f t="shared" si="138"/>
        <v/>
      </c>
      <c r="BL285" s="27" t="str">
        <f t="shared" si="139"/>
        <v/>
      </c>
      <c r="BM285" s="21" t="s">
        <v>5581</v>
      </c>
    </row>
    <row r="286" spans="1:65" ht="15">
      <c r="A286" s="25" t="str">
        <f>IFERROR(INDEX('Hun Demand'!W:W,MATCH(O286,'Hun Demand'!A:A,0)),"")</f>
        <v/>
      </c>
      <c r="B286" s="25" t="str">
        <f>IFERROR(INDEX('Hun Demand'!V:V,MATCH(O286,'Hun Demand'!A:A,0)),"")</f>
        <v/>
      </c>
      <c r="C286" s="25" t="str">
        <f>IFERROR(INDEX('Hun Demand'!U:U,MATCH(O286,'Hun Demand'!A:A,0)),"")</f>
        <v/>
      </c>
      <c r="D286" s="25" t="str">
        <f>IFERROR(INDEX('Hun Demand'!T:T,MATCH(O286,'Hun Demand'!A:A,0)),"")</f>
        <v/>
      </c>
      <c r="E286" s="25" t="str">
        <f>IFERROR(INDEX('Hun Demand'!S:S,MATCH(O286,'Hun Demand'!A:A,0)),"")</f>
        <v/>
      </c>
      <c r="F286" s="25" t="str">
        <f>IFERROR(INDEX('Hun Demand'!R:R,MATCH(O286,'Hun Demand'!A:A,0)),"")</f>
        <v/>
      </c>
      <c r="G286" s="25">
        <f>IFERROR(INDEX('Aub Demand'!W:W,MATCH(O286,'Aub Demand'!A:A,0)),"")</f>
        <v>0</v>
      </c>
      <c r="H286" s="25">
        <f>IFERROR(INDEX('Aub Demand'!V:V,MATCH(O286,'Aub Demand'!A:A,0)),"")</f>
        <v>115</v>
      </c>
      <c r="I286" s="25">
        <f>IFERROR(INDEX('Aub Demand'!U:U,MATCH(O286,'Aub Demand'!A:A,0)),"")</f>
        <v>0</v>
      </c>
      <c r="J286" s="25">
        <f>IFERROR(INDEX('Aub Demand'!T:T,MATCH(O286,'Aub Demand'!A:A,0)),"")</f>
        <v>71</v>
      </c>
      <c r="K286" s="25">
        <f>IFERROR(INDEX('Aub Demand'!S:S,MATCH(O286,'Aub Demand'!A:A,0)),"")</f>
        <v>86</v>
      </c>
      <c r="L286" s="25">
        <f>IFERROR(INDEX('Aub Demand'!R:R,MATCH(O286,'Aub Demand'!A:A,0)),"")</f>
        <v>0</v>
      </c>
      <c r="O286" s="27" t="s">
        <v>501</v>
      </c>
      <c r="P286" s="27" t="str">
        <f>IFERROR(INDEX('Aub Demand'!B:B,MATCH($O286,'Aub Demand'!$A:$A,0)),"")</f>
        <v>SPECKLE SANDSTONE</v>
      </c>
      <c r="Q286" s="27" t="str">
        <f>IFERROR(INDEX('Aub Demand'!C:C,MATCH($O286,'Aub Demand'!$A:$A,0)),"")</f>
        <v>TOPPA</v>
      </c>
      <c r="R286" s="52">
        <f>IFERROR(IF(AR287=AR286,INDEX('Aub Demand'!K:K,MATCH($O286,'Aub Demand'!$A:$A,0))-IF(AN286="",0,AN286)+AP287,INDEX('Aub Demand'!K:K,MATCH($O286,'Aub Demand'!$A:$A,0))-IF(AN286="",0,AN286)),"")</f>
        <v>849</v>
      </c>
      <c r="S286" s="53">
        <f t="shared" si="112"/>
        <v>70</v>
      </c>
      <c r="T286" s="52" t="str">
        <f t="shared" si="113"/>
        <v/>
      </c>
      <c r="U286" s="52">
        <f>IFERROR(IF(AR287=AR286,INDEX('Aub Demand'!Q:Q,MATCH($O286,'Aub Demand'!$A:$A,0))-IF(AN286="",0,AN286)+AP287,INDEX('Aub Demand'!Q:Q,MATCH($O286,'Aub Demand'!$A:$A,0))-IF(AN286="",0,AN286)),"")</f>
        <v>849</v>
      </c>
      <c r="V286" s="53">
        <f t="shared" si="114"/>
        <v>70</v>
      </c>
      <c r="W286" s="52" t="str">
        <f t="shared" si="115"/>
        <v/>
      </c>
      <c r="X286" s="52">
        <f>IFERROR(IF(AND(AR287=AR286,AM286&lt;&gt;""),INDEX('Aub Demand'!Q:Q,MATCH($O286,'Aub Demand'!$A:$A,0))-IF(AN286="",0,AN286)+AP287+AD286+AL286,IF(AR287=AR286,INDEX('Aub Demand'!Q:Q,MATCH($O286,'Aub Demand'!$A:$A,0))-IF(AN286="",0,AN286)+AP287+AD286,IF(AM286&lt;&gt;"",INDEX('Aub Demand'!Q:Q,MATCH($O286,'Aub Demand'!$A:$A,0))-IF(AN286="",0,AN286)+AD286+AL286,INDEX('Aub Demand'!Q:Q,MATCH($O286,'Aub Demand'!$A:$A,0))-IF(AN286="",0,AN286)+AD286))),"")</f>
        <v>849</v>
      </c>
      <c r="Y286" s="53">
        <f t="shared" si="116"/>
        <v>70</v>
      </c>
      <c r="Z286" s="52">
        <f>IF(L286="","",INDEX('Aub Demand'!H:H,MATCH($O286,'Aub Demand'!$A:$A,0)))</f>
        <v>52</v>
      </c>
      <c r="AA286" s="52">
        <f t="shared" si="117"/>
        <v>78.5</v>
      </c>
      <c r="AB286" s="52">
        <f>IFERROR(INDEX('Aub Demand'!L:L,MATCH($O286,'Aub Demand'!$A:$A,0)),"")</f>
        <v>0</v>
      </c>
      <c r="AC286" s="52">
        <f>IFERROR(IF(O286="","",SUMIFS('CPL Mats'!F:F,'CPL Mats'!Q:Q,AR286,'CPL Mats'!S:S,AS286)),"")</f>
        <v>0</v>
      </c>
      <c r="AF286" s="25" t="str">
        <f>IF(SUMIFS('Supp Consol'!S:S,'Supp Consol'!Y:Y,"Releasable",'Supp Consol'!A:A,O286)=0,"",SUMIFS('Supp Consol'!S:S,'Supp Consol'!Y:Y,"Releasable",'Supp Consol'!A:A,O286))</f>
        <v/>
      </c>
      <c r="AG286" s="25" t="str">
        <f>IFERROR(INDEX('Hun Demand'!Q:Q,MATCH(O286,'Hun Demand'!A:A,0)),"")</f>
        <v/>
      </c>
      <c r="AH286" s="25" t="str">
        <f>IFERROR(INDEX('Hun Demand'!H:H,MATCH($O286,'Hun Demand'!$A:$A,0)),"")</f>
        <v/>
      </c>
      <c r="AI286" s="25" t="str">
        <f>IF(SUMIFS('Supp Consol'!AA:AA,'Supp Consol'!Z:Z,"Expires this month",'Supp Consol'!A:A,O286)=0,"",SUMIFS('Supp Consol'!AA:AA,'Supp Consol'!Z:Z,"Expires this month",'Supp Consol'!A:A,O286))</f>
        <v/>
      </c>
      <c r="AJ286" s="25" t="str">
        <f>IF(SUMIFS('Supp Consol'!AA:AA,'Supp Consol'!Z:Z,"Expired Previous Months",'Supp Consol'!A:A,O286)=0,"",SUMIFS('Supp Consol'!AA:AA,'Supp Consol'!Z:Z,"Expired Previous Months",'Supp Consol'!A:A,O286))</f>
        <v/>
      </c>
      <c r="AK286" s="25" t="str">
        <f>IFERROR(INDEX('Hun Release Current'!B:B,MATCH(O286,'Hun Release Current'!A:A,0)),"")</f>
        <v/>
      </c>
      <c r="AL286" s="25" t="str">
        <f>IF(SUMIF('Prev Aub'!A:A,O286,'Prev Aub'!B:B)=0,"",SUMIF('Prev Aub'!A:A,O286,'Prev Aub'!B:B))</f>
        <v/>
      </c>
      <c r="AN286" s="25" t="s">
        <v>3790</v>
      </c>
      <c r="AO286" s="25" t="s">
        <v>3790</v>
      </c>
      <c r="AP286" s="25">
        <f t="shared" si="118"/>
        <v>0</v>
      </c>
      <c r="AQ286" s="151" t="str">
        <f>IF(SUMIFS('Supp Consol'!S:S,'Supp Consol'!A:A,O286,'Supp Consol'!I:I,"PENDING")=0,"",SUMIFS('Supp Consol'!S:S,'Supp Consol'!A:A,O286,'Supp Consol'!I:I,"PENDING"))</f>
        <v/>
      </c>
      <c r="AR286" s="27" t="str">
        <f t="shared" si="119"/>
        <v>AT760</v>
      </c>
      <c r="AS286" s="27" t="str">
        <f t="shared" si="120"/>
        <v>62</v>
      </c>
      <c r="AT286" s="27" t="str">
        <f t="shared" si="121"/>
        <v/>
      </c>
      <c r="AU286" s="27" t="str">
        <f t="shared" si="122"/>
        <v/>
      </c>
      <c r="AV286" s="27" t="str">
        <f t="shared" si="123"/>
        <v/>
      </c>
      <c r="AW286" s="27" t="str">
        <f t="shared" si="124"/>
        <v/>
      </c>
      <c r="AX286" s="27" t="str">
        <f t="shared" si="125"/>
        <v/>
      </c>
      <c r="AY286" s="27" t="str">
        <f t="shared" si="126"/>
        <v/>
      </c>
      <c r="AZ286" s="27" t="str">
        <f t="shared" si="127"/>
        <v/>
      </c>
      <c r="BA286" s="27" t="str">
        <f t="shared" si="128"/>
        <v/>
      </c>
      <c r="BB286" s="27" t="str">
        <f t="shared" si="129"/>
        <v/>
      </c>
      <c r="BC286" s="27" t="str">
        <f t="shared" si="130"/>
        <v/>
      </c>
      <c r="BD286" s="27" t="str">
        <f t="shared" si="131"/>
        <v/>
      </c>
      <c r="BE286" s="27" t="str">
        <f t="shared" si="132"/>
        <v/>
      </c>
      <c r="BF286" s="27" t="str">
        <f t="shared" si="133"/>
        <v/>
      </c>
      <c r="BG286" s="27" t="str">
        <f t="shared" si="134"/>
        <v/>
      </c>
      <c r="BH286" s="27" t="str">
        <f t="shared" si="135"/>
        <v/>
      </c>
      <c r="BI286" s="27" t="str">
        <f t="shared" si="136"/>
        <v/>
      </c>
      <c r="BJ286" s="27" t="str">
        <f t="shared" si="137"/>
        <v/>
      </c>
      <c r="BK286" s="27" t="str">
        <f t="shared" si="138"/>
        <v/>
      </c>
      <c r="BL286" s="27" t="str">
        <f t="shared" si="139"/>
        <v/>
      </c>
      <c r="BM286" s="21" t="s">
        <v>5581</v>
      </c>
    </row>
    <row r="287" spans="1:65" ht="15">
      <c r="A287" s="25">
        <f>IFERROR(INDEX('Hun Demand'!W:W,MATCH(O287,'Hun Demand'!A:A,0)),"")</f>
        <v>0</v>
      </c>
      <c r="B287" s="25">
        <f>IFERROR(INDEX('Hun Demand'!V:V,MATCH(O287,'Hun Demand'!A:A,0)),"")</f>
        <v>0</v>
      </c>
      <c r="C287" s="25">
        <f>IFERROR(INDEX('Hun Demand'!U:U,MATCH(O287,'Hun Demand'!A:A,0)),"")</f>
        <v>0</v>
      </c>
      <c r="D287" s="25">
        <f>IFERROR(INDEX('Hun Demand'!T:T,MATCH(O287,'Hun Demand'!A:A,0)),"")</f>
        <v>0</v>
      </c>
      <c r="E287" s="25">
        <f>IFERROR(INDEX('Hun Demand'!S:S,MATCH(O287,'Hun Demand'!A:A,0)),"")</f>
        <v>0</v>
      </c>
      <c r="F287" s="25">
        <f>IFERROR(INDEX('Hun Demand'!R:R,MATCH(O287,'Hun Demand'!A:A,0)),"")</f>
        <v>0</v>
      </c>
      <c r="G287" s="25">
        <f>IFERROR(INDEX('Aub Demand'!W:W,MATCH(O287,'Aub Demand'!A:A,0)),"")</f>
        <v>0</v>
      </c>
      <c r="H287" s="25">
        <f>IFERROR(INDEX('Aub Demand'!V:V,MATCH(O287,'Aub Demand'!A:A,0)),"")</f>
        <v>0</v>
      </c>
      <c r="I287" s="25">
        <f>IFERROR(INDEX('Aub Demand'!U:U,MATCH(O287,'Aub Demand'!A:A,0)),"")</f>
        <v>0</v>
      </c>
      <c r="J287" s="25">
        <f>IFERROR(INDEX('Aub Demand'!T:T,MATCH(O287,'Aub Demand'!A:A,0)),"")</f>
        <v>41</v>
      </c>
      <c r="K287" s="25">
        <f>IFERROR(INDEX('Aub Demand'!S:S,MATCH(O287,'Aub Demand'!A:A,0)),"")</f>
        <v>13</v>
      </c>
      <c r="L287" s="25">
        <f>IFERROR(INDEX('Aub Demand'!R:R,MATCH(O287,'Aub Demand'!A:A,0)),"")</f>
        <v>0</v>
      </c>
      <c r="O287" s="27" t="s">
        <v>2100</v>
      </c>
      <c r="P287" s="27" t="str">
        <f>IFERROR(INDEX('Aub Demand'!B:B,MATCH($O287,'Aub Demand'!$A:$A,0)),"")</f>
        <v>HARMONY GLOW</v>
      </c>
      <c r="Q287" s="27" t="str">
        <f>IFERROR(INDEX('Aub Demand'!C:C,MATCH($O287,'Aub Demand'!$A:$A,0)),"")</f>
        <v>INTER</v>
      </c>
      <c r="R287" s="52">
        <f>IFERROR(IF(AR288=AR287,INDEX('Aub Demand'!K:K,MATCH($O287,'Aub Demand'!$A:$A,0))-IF(AN287="",0,AN287)+AP288,INDEX('Aub Demand'!K:K,MATCH($O287,'Aub Demand'!$A:$A,0))-IF(AN287="",0,AN287)),"")</f>
        <v>440</v>
      </c>
      <c r="S287" s="53">
        <f t="shared" si="112"/>
        <v>104.8</v>
      </c>
      <c r="T287" s="52" t="str">
        <f t="shared" si="113"/>
        <v/>
      </c>
      <c r="U287" s="52">
        <f>IFERROR(IF(AR288=AR287,INDEX('Aub Demand'!Q:Q,MATCH($O287,'Aub Demand'!$A:$A,0))-IF(AN287="",0,AN287)+AP288,INDEX('Aub Demand'!Q:Q,MATCH($O287,'Aub Demand'!$A:$A,0))-IF(AN287="",0,AN287)),"")</f>
        <v>439</v>
      </c>
      <c r="V287" s="53">
        <f t="shared" si="114"/>
        <v>104.5</v>
      </c>
      <c r="W287" s="52" t="str">
        <f t="shared" si="115"/>
        <v/>
      </c>
      <c r="X287" s="52">
        <f>IFERROR(IF(AND(AR288=AR287,AM287&lt;&gt;""),INDEX('Aub Demand'!Q:Q,MATCH($O287,'Aub Demand'!$A:$A,0))-IF(AN287="",0,AN287)+AP288+AD287+AL287,IF(AR288=AR287,INDEX('Aub Demand'!Q:Q,MATCH($O287,'Aub Demand'!$A:$A,0))-IF(AN287="",0,AN287)+AP288+AD287,IF(AM287&lt;&gt;"",INDEX('Aub Demand'!Q:Q,MATCH($O287,'Aub Demand'!$A:$A,0))-IF(AN287="",0,AN287)+AD287+AL287,INDEX('Aub Demand'!Q:Q,MATCH($O287,'Aub Demand'!$A:$A,0))-IF(AN287="",0,AN287)+AD287))),"")</f>
        <v>439</v>
      </c>
      <c r="Y287" s="53">
        <f t="shared" si="116"/>
        <v>104.5</v>
      </c>
      <c r="Z287" s="52">
        <f>IF(L287="","",INDEX('Aub Demand'!H:H,MATCH($O287,'Aub Demand'!$A:$A,0)))</f>
        <v>18</v>
      </c>
      <c r="AA287" s="52">
        <f t="shared" si="117"/>
        <v>27</v>
      </c>
      <c r="AB287" s="52">
        <f>IFERROR(INDEX('Aub Demand'!L:L,MATCH($O287,'Aub Demand'!$A:$A,0)),"")</f>
        <v>0</v>
      </c>
      <c r="AC287" s="52">
        <f>IFERROR(IF(O287="","",SUMIFS('CPL Mats'!F:F,'CPL Mats'!Q:Q,AR287,'CPL Mats'!S:S,AS287)),"")</f>
        <v>0</v>
      </c>
      <c r="AF287" s="25" t="str">
        <f>IF(SUMIFS('Supp Consol'!S:S,'Supp Consol'!Y:Y,"Releasable",'Supp Consol'!A:A,O287)=0,"",SUMIFS('Supp Consol'!S:S,'Supp Consol'!Y:Y,"Releasable",'Supp Consol'!A:A,O287))</f>
        <v/>
      </c>
      <c r="AG287" s="25">
        <f>IFERROR(INDEX('Hun Demand'!Q:Q,MATCH(O287,'Hun Demand'!A:A,0)),"")</f>
        <v>107</v>
      </c>
      <c r="AH287" s="25">
        <f>IFERROR(INDEX('Hun Demand'!H:H,MATCH($O287,'Hun Demand'!$A:$A,0)),"")</f>
        <v>0</v>
      </c>
      <c r="AI287" s="25" t="str">
        <f>IF(SUMIFS('Supp Consol'!AA:AA,'Supp Consol'!Z:Z,"Expires this month",'Supp Consol'!A:A,O287)=0,"",SUMIFS('Supp Consol'!AA:AA,'Supp Consol'!Z:Z,"Expires this month",'Supp Consol'!A:A,O287))</f>
        <v/>
      </c>
      <c r="AJ287" s="25" t="str">
        <f>IF(SUMIFS('Supp Consol'!AA:AA,'Supp Consol'!Z:Z,"Expired Previous Months",'Supp Consol'!A:A,O287)=0,"",SUMIFS('Supp Consol'!AA:AA,'Supp Consol'!Z:Z,"Expired Previous Months",'Supp Consol'!A:A,O287))</f>
        <v/>
      </c>
      <c r="AK287" s="25" t="str">
        <f>IFERROR(INDEX('Hun Release Current'!B:B,MATCH(O287,'Hun Release Current'!A:A,0)),"")</f>
        <v/>
      </c>
      <c r="AL287" s="25" t="str">
        <f>IF(SUMIF('Prev Aub'!A:A,O287,'Prev Aub'!B:B)=0,"",SUMIF('Prev Aub'!A:A,O287,'Prev Aub'!B:B))</f>
        <v/>
      </c>
      <c r="AN287" s="25" t="s">
        <v>3790</v>
      </c>
      <c r="AO287" s="25" t="s">
        <v>3790</v>
      </c>
      <c r="AP287" s="25">
        <f t="shared" si="118"/>
        <v>0</v>
      </c>
      <c r="AQ287" s="151" t="str">
        <f>IF(SUMIFS('Supp Consol'!S:S,'Supp Consol'!A:A,O287,'Supp Consol'!I:I,"PENDING")=0,"",SUMIFS('Supp Consol'!S:S,'Supp Consol'!A:A,O287,'Supp Consol'!I:I,"PENDING"))</f>
        <v/>
      </c>
      <c r="AR287" s="27" t="str">
        <f t="shared" si="119"/>
        <v>AT770</v>
      </c>
      <c r="AS287" s="27" t="str">
        <f t="shared" si="120"/>
        <v>50</v>
      </c>
      <c r="AT287" s="27" t="str">
        <f t="shared" si="121"/>
        <v/>
      </c>
      <c r="AU287" s="27" t="str">
        <f t="shared" si="122"/>
        <v/>
      </c>
      <c r="AV287" s="27" t="str">
        <f t="shared" si="123"/>
        <v/>
      </c>
      <c r="AW287" s="27" t="str">
        <f t="shared" si="124"/>
        <v/>
      </c>
      <c r="AX287" s="27" t="str">
        <f t="shared" si="125"/>
        <v/>
      </c>
      <c r="AY287" s="27" t="str">
        <f t="shared" si="126"/>
        <v>AT770</v>
      </c>
      <c r="AZ287" s="27" t="str">
        <f t="shared" si="127"/>
        <v/>
      </c>
      <c r="BA287" s="27" t="str">
        <f t="shared" si="128"/>
        <v>Hun</v>
      </c>
      <c r="BB287" s="27" t="str">
        <f t="shared" si="129"/>
        <v/>
      </c>
      <c r="BC287" s="27" t="str">
        <f t="shared" si="130"/>
        <v/>
      </c>
      <c r="BD287" s="27" t="str">
        <f t="shared" si="131"/>
        <v/>
      </c>
      <c r="BE287" s="27" t="str">
        <f t="shared" si="132"/>
        <v/>
      </c>
      <c r="BF287" s="27" t="str">
        <f t="shared" si="133"/>
        <v/>
      </c>
      <c r="BG287" s="27" t="str">
        <f t="shared" si="134"/>
        <v/>
      </c>
      <c r="BH287" s="27" t="str">
        <f t="shared" si="135"/>
        <v/>
      </c>
      <c r="BI287" s="27" t="str">
        <f t="shared" si="136"/>
        <v/>
      </c>
      <c r="BJ287" s="27" t="str">
        <f t="shared" si="137"/>
        <v>Supp or Hun</v>
      </c>
      <c r="BK287" s="27" t="str">
        <f t="shared" si="138"/>
        <v/>
      </c>
      <c r="BL287" s="27" t="str">
        <f t="shared" si="139"/>
        <v/>
      </c>
      <c r="BM287" s="21" t="s">
        <v>5581</v>
      </c>
    </row>
    <row r="288" spans="1:65" ht="15">
      <c r="A288" s="25" t="str">
        <f>IFERROR(INDEX('Hun Demand'!W:W,MATCH(O288,'Hun Demand'!A:A,0)),"")</f>
        <v/>
      </c>
      <c r="B288" s="25" t="str">
        <f>IFERROR(INDEX('Hun Demand'!V:V,MATCH(O288,'Hun Demand'!A:A,0)),"")</f>
        <v/>
      </c>
      <c r="C288" s="25" t="str">
        <f>IFERROR(INDEX('Hun Demand'!U:U,MATCH(O288,'Hun Demand'!A:A,0)),"")</f>
        <v/>
      </c>
      <c r="D288" s="25" t="str">
        <f>IFERROR(INDEX('Hun Demand'!T:T,MATCH(O288,'Hun Demand'!A:A,0)),"")</f>
        <v/>
      </c>
      <c r="E288" s="25" t="str">
        <f>IFERROR(INDEX('Hun Demand'!S:S,MATCH(O288,'Hun Demand'!A:A,0)),"")</f>
        <v/>
      </c>
      <c r="F288" s="25" t="str">
        <f>IFERROR(INDEX('Hun Demand'!R:R,MATCH(O288,'Hun Demand'!A:A,0)),"")</f>
        <v/>
      </c>
      <c r="G288" s="25">
        <f>IFERROR(INDEX('Aub Demand'!W:W,MATCH(O288,'Aub Demand'!A:A,0)),"")</f>
        <v>0</v>
      </c>
      <c r="H288" s="25">
        <f>IFERROR(INDEX('Aub Demand'!V:V,MATCH(O288,'Aub Demand'!A:A,0)),"")</f>
        <v>0</v>
      </c>
      <c r="I288" s="25">
        <f>IFERROR(INDEX('Aub Demand'!U:U,MATCH(O288,'Aub Demand'!A:A,0)),"")</f>
        <v>0</v>
      </c>
      <c r="J288" s="25">
        <f>IFERROR(INDEX('Aub Demand'!T:T,MATCH(O288,'Aub Demand'!A:A,0)),"")</f>
        <v>0</v>
      </c>
      <c r="K288" s="25">
        <f>IFERROR(INDEX('Aub Demand'!S:S,MATCH(O288,'Aub Demand'!A:A,0)),"")</f>
        <v>0</v>
      </c>
      <c r="L288" s="25">
        <f>IFERROR(INDEX('Aub Demand'!R:R,MATCH(O288,'Aub Demand'!A:A,0)),"")</f>
        <v>0</v>
      </c>
      <c r="O288" s="27" t="s">
        <v>2103</v>
      </c>
      <c r="P288" s="27" t="str">
        <f>IFERROR(INDEX('Aub Demand'!B:B,MATCH($O288,'Aub Demand'!$A:$A,0)),"")</f>
        <v>HARMONY GLOW</v>
      </c>
      <c r="Q288" s="27" t="str">
        <f>IFERROR(INDEX('Aub Demand'!C:C,MATCH($O288,'Aub Demand'!$A:$A,0)),"")</f>
        <v>INTER</v>
      </c>
      <c r="R288" s="52">
        <f>IFERROR(IF(AR289=AR288,INDEX('Aub Demand'!K:K,MATCH($O288,'Aub Demand'!$A:$A,0))-IF(AN288="",0,AN288)+AP289,INDEX('Aub Demand'!K:K,MATCH($O288,'Aub Demand'!$A:$A,0))-IF(AN288="",0,AN288)),"")</f>
        <v>2052</v>
      </c>
      <c r="S288" s="53" t="str">
        <f t="shared" si="112"/>
        <v>n/a</v>
      </c>
      <c r="T288" s="52" t="str">
        <f t="shared" si="113"/>
        <v/>
      </c>
      <c r="U288" s="52">
        <f>IFERROR(IF(AR289=AR288,INDEX('Aub Demand'!Q:Q,MATCH($O288,'Aub Demand'!$A:$A,0))-IF(AN288="",0,AN288)+AP289,INDEX('Aub Demand'!Q:Q,MATCH($O288,'Aub Demand'!$A:$A,0))-IF(AN288="",0,AN288)),"")</f>
        <v>2052</v>
      </c>
      <c r="V288" s="53" t="str">
        <f t="shared" si="114"/>
        <v>n/a</v>
      </c>
      <c r="W288" s="52" t="str">
        <f t="shared" si="115"/>
        <v/>
      </c>
      <c r="X288" s="52">
        <f>IFERROR(IF(AND(AR289=AR288,AM288&lt;&gt;""),INDEX('Aub Demand'!Q:Q,MATCH($O288,'Aub Demand'!$A:$A,0))-IF(AN288="",0,AN288)+AP289+AD288+AL288,IF(AR289=AR288,INDEX('Aub Demand'!Q:Q,MATCH($O288,'Aub Demand'!$A:$A,0))-IF(AN288="",0,AN288)+AP289+AD288,IF(AM288&lt;&gt;"",INDEX('Aub Demand'!Q:Q,MATCH($O288,'Aub Demand'!$A:$A,0))-IF(AN288="",0,AN288)+AD288+AL288,INDEX('Aub Demand'!Q:Q,MATCH($O288,'Aub Demand'!$A:$A,0))-IF(AN288="",0,AN288)+AD288))),"")</f>
        <v>2052</v>
      </c>
      <c r="Y288" s="53" t="str">
        <f t="shared" si="116"/>
        <v>n/a</v>
      </c>
      <c r="Z288" s="52">
        <f>IF(L288="","",INDEX('Aub Demand'!H:H,MATCH($O288,'Aub Demand'!$A:$A,0)))</f>
        <v>0</v>
      </c>
      <c r="AA288" s="52" t="str">
        <f t="shared" si="117"/>
        <v>-spike-</v>
      </c>
      <c r="AB288" s="52">
        <f>IFERROR(INDEX('Aub Demand'!L:L,MATCH($O288,'Aub Demand'!$A:$A,0)),"")</f>
        <v>0</v>
      </c>
      <c r="AC288" s="52">
        <f>IFERROR(IF(O288="","",SUMIFS('CPL Mats'!F:F,'CPL Mats'!Q:Q,AR288,'CPL Mats'!S:S,AS288)),"")</f>
        <v>0</v>
      </c>
      <c r="AF288" s="25" t="str">
        <f>IF(SUMIFS('Supp Consol'!S:S,'Supp Consol'!Y:Y,"Releasable",'Supp Consol'!A:A,O288)=0,"",SUMIFS('Supp Consol'!S:S,'Supp Consol'!Y:Y,"Releasable",'Supp Consol'!A:A,O288))</f>
        <v/>
      </c>
      <c r="AG288" s="25" t="str">
        <f>IFERROR(INDEX('Hun Demand'!Q:Q,MATCH(O288,'Hun Demand'!A:A,0)),"")</f>
        <v/>
      </c>
      <c r="AH288" s="25" t="str">
        <f>IFERROR(INDEX('Hun Demand'!H:H,MATCH($O288,'Hun Demand'!$A:$A,0)),"")</f>
        <v/>
      </c>
      <c r="AI288" s="25" t="str">
        <f>IF(SUMIFS('Supp Consol'!AA:AA,'Supp Consol'!Z:Z,"Expires this month",'Supp Consol'!A:A,O288)=0,"",SUMIFS('Supp Consol'!AA:AA,'Supp Consol'!Z:Z,"Expires this month",'Supp Consol'!A:A,O288))</f>
        <v/>
      </c>
      <c r="AJ288" s="25" t="str">
        <f>IF(SUMIFS('Supp Consol'!AA:AA,'Supp Consol'!Z:Z,"Expired Previous Months",'Supp Consol'!A:A,O288)=0,"",SUMIFS('Supp Consol'!AA:AA,'Supp Consol'!Z:Z,"Expired Previous Months",'Supp Consol'!A:A,O288))</f>
        <v/>
      </c>
      <c r="AK288" s="25" t="str">
        <f>IFERROR(INDEX('Hun Release Current'!B:B,MATCH(O288,'Hun Release Current'!A:A,0)),"")</f>
        <v/>
      </c>
      <c r="AL288" s="25" t="str">
        <f>IF(SUMIF('Prev Aub'!A:A,O288,'Prev Aub'!B:B)=0,"",SUMIF('Prev Aub'!A:A,O288,'Prev Aub'!B:B))</f>
        <v/>
      </c>
      <c r="AN288" s="25" t="s">
        <v>3790</v>
      </c>
      <c r="AO288" s="25" t="s">
        <v>3790</v>
      </c>
      <c r="AP288" s="25">
        <f t="shared" si="118"/>
        <v>0</v>
      </c>
      <c r="AQ288" s="151" t="str">
        <f>IF(SUMIFS('Supp Consol'!S:S,'Supp Consol'!A:A,O288,'Supp Consol'!I:I,"PENDING")=0,"",SUMIFS('Supp Consol'!S:S,'Supp Consol'!A:A,O288,'Supp Consol'!I:I,"PENDING"))</f>
        <v/>
      </c>
      <c r="AR288" s="27" t="str">
        <f t="shared" si="119"/>
        <v>AT770</v>
      </c>
      <c r="AS288" s="27" t="str">
        <f t="shared" si="120"/>
        <v>62</v>
      </c>
      <c r="AT288" s="27" t="str">
        <f t="shared" si="121"/>
        <v/>
      </c>
      <c r="AU288" s="27" t="str">
        <f t="shared" si="122"/>
        <v/>
      </c>
      <c r="AV288" s="27" t="str">
        <f t="shared" si="123"/>
        <v/>
      </c>
      <c r="AW288" s="27" t="str">
        <f t="shared" si="124"/>
        <v/>
      </c>
      <c r="AX288" s="27" t="str">
        <f t="shared" si="125"/>
        <v/>
      </c>
      <c r="AY288" s="27" t="str">
        <f t="shared" si="126"/>
        <v/>
      </c>
      <c r="AZ288" s="27" t="str">
        <f t="shared" si="127"/>
        <v/>
      </c>
      <c r="BA288" s="27" t="str">
        <f t="shared" si="128"/>
        <v>Hun</v>
      </c>
      <c r="BB288" s="27" t="str">
        <f t="shared" si="129"/>
        <v/>
      </c>
      <c r="BC288" s="27" t="str">
        <f t="shared" si="130"/>
        <v/>
      </c>
      <c r="BD288" s="27" t="str">
        <f t="shared" si="131"/>
        <v/>
      </c>
      <c r="BE288" s="27" t="str">
        <f t="shared" si="132"/>
        <v/>
      </c>
      <c r="BF288" s="27" t="str">
        <f t="shared" si="133"/>
        <v/>
      </c>
      <c r="BG288" s="27" t="str">
        <f t="shared" si="134"/>
        <v/>
      </c>
      <c r="BH288" s="27" t="str">
        <f t="shared" si="135"/>
        <v/>
      </c>
      <c r="BI288" s="27" t="str">
        <f t="shared" si="136"/>
        <v/>
      </c>
      <c r="BJ288" s="27" t="str">
        <f t="shared" si="137"/>
        <v>Supp or Hun</v>
      </c>
      <c r="BK288" s="27" t="str">
        <f t="shared" si="138"/>
        <v/>
      </c>
      <c r="BL288" s="27" t="str">
        <f t="shared" si="139"/>
        <v/>
      </c>
      <c r="BM288" s="21" t="s">
        <v>5581</v>
      </c>
    </row>
    <row r="289" spans="1:65" ht="15">
      <c r="A289" s="25" t="str">
        <f>IFERROR(INDEX('Hun Demand'!W:W,MATCH(O289,'Hun Demand'!A:A,0)),"")</f>
        <v/>
      </c>
      <c r="B289" s="25" t="str">
        <f>IFERROR(INDEX('Hun Demand'!V:V,MATCH(O289,'Hun Demand'!A:A,0)),"")</f>
        <v/>
      </c>
      <c r="C289" s="25" t="str">
        <f>IFERROR(INDEX('Hun Demand'!U:U,MATCH(O289,'Hun Demand'!A:A,0)),"")</f>
        <v/>
      </c>
      <c r="D289" s="25" t="str">
        <f>IFERROR(INDEX('Hun Demand'!T:T,MATCH(O289,'Hun Demand'!A:A,0)),"")</f>
        <v/>
      </c>
      <c r="E289" s="25" t="str">
        <f>IFERROR(INDEX('Hun Demand'!S:S,MATCH(O289,'Hun Demand'!A:A,0)),"")</f>
        <v/>
      </c>
      <c r="F289" s="25" t="str">
        <f>IFERROR(INDEX('Hun Demand'!R:R,MATCH(O289,'Hun Demand'!A:A,0)),"")</f>
        <v/>
      </c>
      <c r="G289" s="25">
        <f>IFERROR(INDEX('Aub Demand'!W:W,MATCH(O289,'Aub Demand'!A:A,0)),"")</f>
        <v>76</v>
      </c>
      <c r="H289" s="25">
        <f>IFERROR(INDEX('Aub Demand'!V:V,MATCH(O289,'Aub Demand'!A:A,0)),"")</f>
        <v>0</v>
      </c>
      <c r="I289" s="25">
        <f>IFERROR(INDEX('Aub Demand'!U:U,MATCH(O289,'Aub Demand'!A:A,0)),"")</f>
        <v>0</v>
      </c>
      <c r="J289" s="25">
        <f>IFERROR(INDEX('Aub Demand'!T:T,MATCH(O289,'Aub Demand'!A:A,0)),"")</f>
        <v>7</v>
      </c>
      <c r="K289" s="25">
        <f>IFERROR(INDEX('Aub Demand'!S:S,MATCH(O289,'Aub Demand'!A:A,0)),"")</f>
        <v>0</v>
      </c>
      <c r="L289" s="25">
        <f>IFERROR(INDEX('Aub Demand'!R:R,MATCH(O289,'Aub Demand'!A:A,0)),"")</f>
        <v>0</v>
      </c>
      <c r="O289" s="27" t="s">
        <v>504</v>
      </c>
      <c r="P289" s="27" t="str">
        <f>IFERROR(INDEX('Aub Demand'!B:B,MATCH($O289,'Aub Demand'!$A:$A,0)),"")</f>
        <v>COMEBACK CAMEL</v>
      </c>
      <c r="Q289" s="27" t="str">
        <f>IFERROR(INDEX('Aub Demand'!C:C,MATCH($O289,'Aub Demand'!$A:$A,0)),"")</f>
        <v>AHLST</v>
      </c>
      <c r="R289" s="52">
        <f>IFERROR(IF(AR290=AR289,INDEX('Aub Demand'!K:K,MATCH($O289,'Aub Demand'!$A:$A,0))-IF(AN289="",0,AN289)+AP290,INDEX('Aub Demand'!K:K,MATCH($O289,'Aub Demand'!$A:$A,0))-IF(AN289="",0,AN289)),"")</f>
        <v>1073</v>
      </c>
      <c r="S289" s="53">
        <f t="shared" si="112"/>
        <v>2299.3000000000002</v>
      </c>
      <c r="T289" s="52" t="str">
        <f t="shared" si="113"/>
        <v/>
      </c>
      <c r="U289" s="52">
        <f>IFERROR(IF(AR290=AR289,INDEX('Aub Demand'!Q:Q,MATCH($O289,'Aub Demand'!$A:$A,0))-IF(AN289="",0,AN289)+AP290,INDEX('Aub Demand'!Q:Q,MATCH($O289,'Aub Demand'!$A:$A,0))-IF(AN289="",0,AN289)),"")</f>
        <v>1073</v>
      </c>
      <c r="V289" s="53">
        <f t="shared" si="114"/>
        <v>2299.3000000000002</v>
      </c>
      <c r="W289" s="52" t="str">
        <f t="shared" si="115"/>
        <v/>
      </c>
      <c r="X289" s="52">
        <f>IFERROR(IF(AND(AR290=AR289,AM289&lt;&gt;""),INDEX('Aub Demand'!Q:Q,MATCH($O289,'Aub Demand'!$A:$A,0))-IF(AN289="",0,AN289)+AP290+AD289+AL289,IF(AR290=AR289,INDEX('Aub Demand'!Q:Q,MATCH($O289,'Aub Demand'!$A:$A,0))-IF(AN289="",0,AN289)+AP290+AD289,IF(AM289&lt;&gt;"",INDEX('Aub Demand'!Q:Q,MATCH($O289,'Aub Demand'!$A:$A,0))-IF(AN289="",0,AN289)+AD289+AL289,INDEX('Aub Demand'!Q:Q,MATCH($O289,'Aub Demand'!$A:$A,0))-IF(AN289="",0,AN289)+AD289))),"")</f>
        <v>1073</v>
      </c>
      <c r="Y289" s="53">
        <f t="shared" si="116"/>
        <v>2299.3000000000002</v>
      </c>
      <c r="Z289" s="52">
        <f>IF(L289="","",INDEX('Aub Demand'!H:H,MATCH($O289,'Aub Demand'!$A:$A,0)))</f>
        <v>2</v>
      </c>
      <c r="AA289" s="52" t="str">
        <f t="shared" si="117"/>
        <v>-spike-</v>
      </c>
      <c r="AB289" s="52">
        <f>IFERROR(INDEX('Aub Demand'!L:L,MATCH($O289,'Aub Demand'!$A:$A,0)),"")</f>
        <v>0</v>
      </c>
      <c r="AC289" s="52">
        <f>IFERROR(IF(O289="","",SUMIFS('CPL Mats'!F:F,'CPL Mats'!Q:Q,AR289,'CPL Mats'!S:S,AS289)),"")</f>
        <v>0</v>
      </c>
      <c r="AF289" s="25" t="str">
        <f>IF(SUMIFS('Supp Consol'!S:S,'Supp Consol'!Y:Y,"Releasable",'Supp Consol'!A:A,O289)=0,"",SUMIFS('Supp Consol'!S:S,'Supp Consol'!Y:Y,"Releasable",'Supp Consol'!A:A,O289))</f>
        <v/>
      </c>
      <c r="AG289" s="25" t="str">
        <f>IFERROR(INDEX('Hun Demand'!Q:Q,MATCH(O289,'Hun Demand'!A:A,0)),"")</f>
        <v/>
      </c>
      <c r="AH289" s="25" t="str">
        <f>IFERROR(INDEX('Hun Demand'!H:H,MATCH($O289,'Hun Demand'!$A:$A,0)),"")</f>
        <v/>
      </c>
      <c r="AI289" s="25" t="str">
        <f>IF(SUMIFS('Supp Consol'!AA:AA,'Supp Consol'!Z:Z,"Expires this month",'Supp Consol'!A:A,O289)=0,"",SUMIFS('Supp Consol'!AA:AA,'Supp Consol'!Z:Z,"Expires this month",'Supp Consol'!A:A,O289))</f>
        <v/>
      </c>
      <c r="AJ289" s="25" t="str">
        <f>IF(SUMIFS('Supp Consol'!AA:AA,'Supp Consol'!Z:Z,"Expired Previous Months",'Supp Consol'!A:A,O289)=0,"",SUMIFS('Supp Consol'!AA:AA,'Supp Consol'!Z:Z,"Expired Previous Months",'Supp Consol'!A:A,O289))</f>
        <v/>
      </c>
      <c r="AK289" s="25" t="str">
        <f>IFERROR(INDEX('Hun Release Current'!B:B,MATCH(O289,'Hun Release Current'!A:A,0)),"")</f>
        <v/>
      </c>
      <c r="AL289" s="25" t="str">
        <f>IF(SUMIF('Prev Aub'!A:A,O289,'Prev Aub'!B:B)=0,"",SUMIF('Prev Aub'!A:A,O289,'Prev Aub'!B:B))</f>
        <v/>
      </c>
      <c r="AN289" s="25" t="s">
        <v>3790</v>
      </c>
      <c r="AO289" s="25" t="s">
        <v>3790</v>
      </c>
      <c r="AP289" s="25">
        <f t="shared" si="118"/>
        <v>0</v>
      </c>
      <c r="AQ289" s="151" t="str">
        <f>IF(SUMIFS('Supp Consol'!S:S,'Supp Consol'!A:A,O289,'Supp Consol'!I:I,"PENDING")=0,"",SUMIFS('Supp Consol'!S:S,'Supp Consol'!A:A,O289,'Supp Consol'!I:I,"PENDING"))</f>
        <v/>
      </c>
      <c r="AR289" s="27" t="str">
        <f t="shared" si="119"/>
        <v>AT840</v>
      </c>
      <c r="AS289" s="27" t="str">
        <f t="shared" si="120"/>
        <v>50</v>
      </c>
      <c r="AT289" s="27" t="str">
        <f t="shared" si="121"/>
        <v/>
      </c>
      <c r="AU289" s="27" t="str">
        <f t="shared" si="122"/>
        <v/>
      </c>
      <c r="AV289" s="27" t="str">
        <f t="shared" si="123"/>
        <v/>
      </c>
      <c r="AW289" s="27" t="str">
        <f t="shared" si="124"/>
        <v/>
      </c>
      <c r="AX289" s="27" t="str">
        <f t="shared" si="125"/>
        <v/>
      </c>
      <c r="AY289" s="27" t="str">
        <f t="shared" si="126"/>
        <v/>
      </c>
      <c r="AZ289" s="27" t="str">
        <f t="shared" si="127"/>
        <v/>
      </c>
      <c r="BA289" s="27" t="str">
        <f t="shared" si="128"/>
        <v/>
      </c>
      <c r="BB289" s="27" t="str">
        <f t="shared" si="129"/>
        <v/>
      </c>
      <c r="BC289" s="27" t="str">
        <f t="shared" si="130"/>
        <v/>
      </c>
      <c r="BD289" s="27" t="str">
        <f t="shared" si="131"/>
        <v/>
      </c>
      <c r="BE289" s="27" t="str">
        <f t="shared" si="132"/>
        <v/>
      </c>
      <c r="BF289" s="27" t="str">
        <f t="shared" si="133"/>
        <v/>
      </c>
      <c r="BG289" s="27" t="str">
        <f t="shared" si="134"/>
        <v/>
      </c>
      <c r="BH289" s="27" t="str">
        <f t="shared" si="135"/>
        <v/>
      </c>
      <c r="BI289" s="27" t="str">
        <f t="shared" si="136"/>
        <v/>
      </c>
      <c r="BJ289" s="27" t="str">
        <f t="shared" si="137"/>
        <v/>
      </c>
      <c r="BK289" s="27" t="str">
        <f t="shared" si="138"/>
        <v/>
      </c>
      <c r="BL289" s="27" t="str">
        <f t="shared" si="139"/>
        <v/>
      </c>
      <c r="BM289" s="21" t="s">
        <v>5581</v>
      </c>
    </row>
    <row r="290" spans="1:65" ht="15">
      <c r="A290" s="25" t="str">
        <f>IFERROR(INDEX('Hun Demand'!W:W,MATCH(O290,'Hun Demand'!A:A,0)),"")</f>
        <v/>
      </c>
      <c r="B290" s="25" t="str">
        <f>IFERROR(INDEX('Hun Demand'!V:V,MATCH(O290,'Hun Demand'!A:A,0)),"")</f>
        <v/>
      </c>
      <c r="C290" s="25" t="str">
        <f>IFERROR(INDEX('Hun Demand'!U:U,MATCH(O290,'Hun Demand'!A:A,0)),"")</f>
        <v/>
      </c>
      <c r="D290" s="25" t="str">
        <f>IFERROR(INDEX('Hun Demand'!T:T,MATCH(O290,'Hun Demand'!A:A,0)),"")</f>
        <v/>
      </c>
      <c r="E290" s="25" t="str">
        <f>IFERROR(INDEX('Hun Demand'!S:S,MATCH(O290,'Hun Demand'!A:A,0)),"")</f>
        <v/>
      </c>
      <c r="F290" s="25" t="str">
        <f>IFERROR(INDEX('Hun Demand'!R:R,MATCH(O290,'Hun Demand'!A:A,0)),"")</f>
        <v/>
      </c>
      <c r="G290" s="25">
        <f>IFERROR(INDEX('Aub Demand'!W:W,MATCH(O290,'Aub Demand'!A:A,0)),"")</f>
        <v>0</v>
      </c>
      <c r="H290" s="25">
        <f>IFERROR(INDEX('Aub Demand'!V:V,MATCH(O290,'Aub Demand'!A:A,0)),"")</f>
        <v>35</v>
      </c>
      <c r="I290" s="25">
        <f>IFERROR(INDEX('Aub Demand'!U:U,MATCH(O290,'Aub Demand'!A:A,0)),"")</f>
        <v>0</v>
      </c>
      <c r="J290" s="25">
        <f>IFERROR(INDEX('Aub Demand'!T:T,MATCH(O290,'Aub Demand'!A:A,0)),"")</f>
        <v>0</v>
      </c>
      <c r="K290" s="25">
        <f>IFERROR(INDEX('Aub Demand'!S:S,MATCH(O290,'Aub Demand'!A:A,0)),"")</f>
        <v>0</v>
      </c>
      <c r="L290" s="25">
        <f>IFERROR(INDEX('Aub Demand'!R:R,MATCH(O290,'Aub Demand'!A:A,0)),"")</f>
        <v>0</v>
      </c>
      <c r="O290" s="27" t="s">
        <v>506</v>
      </c>
      <c r="P290" s="27" t="str">
        <f>IFERROR(INDEX('Aub Demand'!B:B,MATCH($O290,'Aub Demand'!$A:$A,0)),"")</f>
        <v>COMEBACK CAMEL</v>
      </c>
      <c r="Q290" s="27" t="str">
        <f>IFERROR(INDEX('Aub Demand'!C:C,MATCH($O290,'Aub Demand'!$A:$A,0)),"")</f>
        <v>AHLST</v>
      </c>
      <c r="R290" s="52">
        <f>IFERROR(IF(AR291=AR290,INDEX('Aub Demand'!K:K,MATCH($O290,'Aub Demand'!$A:$A,0))-IF(AN290="",0,AN290)+AP291,INDEX('Aub Demand'!K:K,MATCH($O290,'Aub Demand'!$A:$A,0))-IF(AN290="",0,AN290)),"")</f>
        <v>2828</v>
      </c>
      <c r="S290" s="53" t="str">
        <f t="shared" si="112"/>
        <v>n/a</v>
      </c>
      <c r="T290" s="52" t="str">
        <f t="shared" si="113"/>
        <v/>
      </c>
      <c r="U290" s="52">
        <f>IFERROR(IF(AR291=AR290,INDEX('Aub Demand'!Q:Q,MATCH($O290,'Aub Demand'!$A:$A,0))-IF(AN290="",0,AN290)+AP291,INDEX('Aub Demand'!Q:Q,MATCH($O290,'Aub Demand'!$A:$A,0))-IF(AN290="",0,AN290)),"")</f>
        <v>2828</v>
      </c>
      <c r="V290" s="53" t="str">
        <f t="shared" si="114"/>
        <v>n/a</v>
      </c>
      <c r="W290" s="52" t="str">
        <f t="shared" si="115"/>
        <v/>
      </c>
      <c r="X290" s="52">
        <f>IFERROR(IF(AND(AR291=AR290,AM290&lt;&gt;""),INDEX('Aub Demand'!Q:Q,MATCH($O290,'Aub Demand'!$A:$A,0))-IF(AN290="",0,AN290)+AP291+AD290+AL290,IF(AR291=AR290,INDEX('Aub Demand'!Q:Q,MATCH($O290,'Aub Demand'!$A:$A,0))-IF(AN290="",0,AN290)+AP291+AD290,IF(AM290&lt;&gt;"",INDEX('Aub Demand'!Q:Q,MATCH($O290,'Aub Demand'!$A:$A,0))-IF(AN290="",0,AN290)+AD290+AL290,INDEX('Aub Demand'!Q:Q,MATCH($O290,'Aub Demand'!$A:$A,0))-IF(AN290="",0,AN290)+AD290))),"")</f>
        <v>2828</v>
      </c>
      <c r="Y290" s="53" t="str">
        <f t="shared" si="116"/>
        <v>n/a</v>
      </c>
      <c r="Z290" s="52">
        <f>IF(L290="","",INDEX('Aub Demand'!H:H,MATCH($O290,'Aub Demand'!$A:$A,0)))</f>
        <v>0</v>
      </c>
      <c r="AA290" s="52" t="str">
        <f t="shared" si="117"/>
        <v>-spike-</v>
      </c>
      <c r="AB290" s="52">
        <f>IFERROR(INDEX('Aub Demand'!L:L,MATCH($O290,'Aub Demand'!$A:$A,0)),"")</f>
        <v>0</v>
      </c>
      <c r="AC290" s="52">
        <f>IFERROR(IF(O290="","",SUMIFS('CPL Mats'!F:F,'CPL Mats'!Q:Q,AR290,'CPL Mats'!S:S,AS290)),"")</f>
        <v>0</v>
      </c>
      <c r="AF290" s="25" t="str">
        <f>IF(SUMIFS('Supp Consol'!S:S,'Supp Consol'!Y:Y,"Releasable",'Supp Consol'!A:A,O290)=0,"",SUMIFS('Supp Consol'!S:S,'Supp Consol'!Y:Y,"Releasable",'Supp Consol'!A:A,O290))</f>
        <v/>
      </c>
      <c r="AG290" s="25" t="str">
        <f>IFERROR(INDEX('Hun Demand'!Q:Q,MATCH(O290,'Hun Demand'!A:A,0)),"")</f>
        <v/>
      </c>
      <c r="AH290" s="25" t="str">
        <f>IFERROR(INDEX('Hun Demand'!H:H,MATCH($O290,'Hun Demand'!$A:$A,0)),"")</f>
        <v/>
      </c>
      <c r="AI290" s="25" t="str">
        <f>IF(SUMIFS('Supp Consol'!AA:AA,'Supp Consol'!Z:Z,"Expires this month",'Supp Consol'!A:A,O290)=0,"",SUMIFS('Supp Consol'!AA:AA,'Supp Consol'!Z:Z,"Expires this month",'Supp Consol'!A:A,O290))</f>
        <v/>
      </c>
      <c r="AJ290" s="25" t="str">
        <f>IF(SUMIFS('Supp Consol'!AA:AA,'Supp Consol'!Z:Z,"Expired Previous Months",'Supp Consol'!A:A,O290)=0,"",SUMIFS('Supp Consol'!AA:AA,'Supp Consol'!Z:Z,"Expired Previous Months",'Supp Consol'!A:A,O290))</f>
        <v/>
      </c>
      <c r="AK290" s="25" t="str">
        <f>IFERROR(INDEX('Hun Release Current'!B:B,MATCH(O290,'Hun Release Current'!A:A,0)),"")</f>
        <v/>
      </c>
      <c r="AL290" s="25" t="str">
        <f>IF(SUMIF('Prev Aub'!A:A,O290,'Prev Aub'!B:B)=0,"",SUMIF('Prev Aub'!A:A,O290,'Prev Aub'!B:B))</f>
        <v/>
      </c>
      <c r="AN290" s="25" t="s">
        <v>3790</v>
      </c>
      <c r="AO290" s="25" t="s">
        <v>3790</v>
      </c>
      <c r="AP290" s="25">
        <f t="shared" si="118"/>
        <v>0</v>
      </c>
      <c r="AQ290" s="151" t="str">
        <f>IF(SUMIFS('Supp Consol'!S:S,'Supp Consol'!A:A,O290,'Supp Consol'!I:I,"PENDING")=0,"",SUMIFS('Supp Consol'!S:S,'Supp Consol'!A:A,O290,'Supp Consol'!I:I,"PENDING"))</f>
        <v/>
      </c>
      <c r="AR290" s="27" t="str">
        <f t="shared" si="119"/>
        <v>AT840</v>
      </c>
      <c r="AS290" s="27" t="str">
        <f t="shared" si="120"/>
        <v>62</v>
      </c>
      <c r="AT290" s="27" t="str">
        <f t="shared" si="121"/>
        <v/>
      </c>
      <c r="AU290" s="27" t="str">
        <f t="shared" si="122"/>
        <v/>
      </c>
      <c r="AV290" s="27" t="str">
        <f t="shared" si="123"/>
        <v/>
      </c>
      <c r="AW290" s="27" t="str">
        <f t="shared" si="124"/>
        <v/>
      </c>
      <c r="AX290" s="27" t="str">
        <f t="shared" si="125"/>
        <v/>
      </c>
      <c r="AY290" s="27" t="str">
        <f t="shared" si="126"/>
        <v/>
      </c>
      <c r="AZ290" s="27" t="str">
        <f t="shared" si="127"/>
        <v/>
      </c>
      <c r="BA290" s="27" t="str">
        <f t="shared" si="128"/>
        <v/>
      </c>
      <c r="BB290" s="27" t="str">
        <f t="shared" si="129"/>
        <v/>
      </c>
      <c r="BC290" s="27" t="str">
        <f t="shared" si="130"/>
        <v/>
      </c>
      <c r="BD290" s="27" t="str">
        <f t="shared" si="131"/>
        <v/>
      </c>
      <c r="BE290" s="27" t="str">
        <f t="shared" si="132"/>
        <v/>
      </c>
      <c r="BF290" s="27" t="str">
        <f t="shared" si="133"/>
        <v/>
      </c>
      <c r="BG290" s="27" t="str">
        <f t="shared" si="134"/>
        <v/>
      </c>
      <c r="BH290" s="27" t="str">
        <f t="shared" si="135"/>
        <v/>
      </c>
      <c r="BI290" s="27" t="str">
        <f t="shared" si="136"/>
        <v/>
      </c>
      <c r="BJ290" s="27" t="str">
        <f t="shared" si="137"/>
        <v/>
      </c>
      <c r="BK290" s="27" t="str">
        <f t="shared" si="138"/>
        <v/>
      </c>
      <c r="BL290" s="27" t="str">
        <f t="shared" si="139"/>
        <v/>
      </c>
      <c r="BM290" s="21" t="s">
        <v>5581</v>
      </c>
    </row>
    <row r="291" spans="1:65" ht="15">
      <c r="A291" s="25" t="str">
        <f>IFERROR(INDEX('Hun Demand'!W:W,MATCH(O291,'Hun Demand'!A:A,0)),"")</f>
        <v/>
      </c>
      <c r="B291" s="25" t="str">
        <f>IFERROR(INDEX('Hun Demand'!V:V,MATCH(O291,'Hun Demand'!A:A,0)),"")</f>
        <v/>
      </c>
      <c r="C291" s="25" t="str">
        <f>IFERROR(INDEX('Hun Demand'!U:U,MATCH(O291,'Hun Demand'!A:A,0)),"")</f>
        <v/>
      </c>
      <c r="D291" s="25" t="str">
        <f>IFERROR(INDEX('Hun Demand'!T:T,MATCH(O291,'Hun Demand'!A:A,0)),"")</f>
        <v/>
      </c>
      <c r="E291" s="25" t="str">
        <f>IFERROR(INDEX('Hun Demand'!S:S,MATCH(O291,'Hun Demand'!A:A,0)),"")</f>
        <v/>
      </c>
      <c r="F291" s="25" t="str">
        <f>IFERROR(INDEX('Hun Demand'!R:R,MATCH(O291,'Hun Demand'!A:A,0)),"")</f>
        <v/>
      </c>
      <c r="G291" s="25">
        <f>IFERROR(INDEX('Aub Demand'!W:W,MATCH(O291,'Aub Demand'!A:A,0)),"")</f>
        <v>19</v>
      </c>
      <c r="H291" s="25">
        <f>IFERROR(INDEX('Aub Demand'!V:V,MATCH(O291,'Aub Demand'!A:A,0)),"")</f>
        <v>0</v>
      </c>
      <c r="I291" s="25">
        <f>IFERROR(INDEX('Aub Demand'!U:U,MATCH(O291,'Aub Demand'!A:A,0)),"")</f>
        <v>0</v>
      </c>
      <c r="J291" s="25">
        <f>IFERROR(INDEX('Aub Demand'!T:T,MATCH(O291,'Aub Demand'!A:A,0)),"")</f>
        <v>0</v>
      </c>
      <c r="K291" s="25">
        <f>IFERROR(INDEX('Aub Demand'!S:S,MATCH(O291,'Aub Demand'!A:A,0)),"")</f>
        <v>0</v>
      </c>
      <c r="L291" s="25">
        <f>IFERROR(INDEX('Aub Demand'!R:R,MATCH(O291,'Aub Demand'!A:A,0)),"")</f>
        <v>0</v>
      </c>
      <c r="O291" s="27" t="s">
        <v>507</v>
      </c>
      <c r="P291" s="27" t="str">
        <f>IFERROR(INDEX('Aub Demand'!B:B,MATCH($O291,'Aub Demand'!$A:$A,0)),"")</f>
        <v>ARGYLE SOCKS</v>
      </c>
      <c r="Q291" s="27" t="str">
        <f>IFERROR(INDEX('Aub Demand'!C:C,MATCH($O291,'Aub Demand'!$A:$A,0)),"")</f>
        <v>SCHAT</v>
      </c>
      <c r="R291" s="52">
        <f>IFERROR(IF(AR292=AR291,INDEX('Aub Demand'!K:K,MATCH($O291,'Aub Demand'!$A:$A,0))-IF(AN291="",0,AN291)+AP292,INDEX('Aub Demand'!K:K,MATCH($O291,'Aub Demand'!$A:$A,0))-IF(AN291="",0,AN291)),"")</f>
        <v>721</v>
      </c>
      <c r="S291" s="53" t="str">
        <f t="shared" si="112"/>
        <v>n/a</v>
      </c>
      <c r="T291" s="52" t="str">
        <f t="shared" si="113"/>
        <v/>
      </c>
      <c r="U291" s="52">
        <f>IFERROR(IF(AR292=AR291,INDEX('Aub Demand'!Q:Q,MATCH($O291,'Aub Demand'!$A:$A,0))-IF(AN291="",0,AN291)+AP292,INDEX('Aub Demand'!Q:Q,MATCH($O291,'Aub Demand'!$A:$A,0))-IF(AN291="",0,AN291)),"")</f>
        <v>721</v>
      </c>
      <c r="V291" s="53" t="str">
        <f t="shared" si="114"/>
        <v>n/a</v>
      </c>
      <c r="W291" s="52" t="str">
        <f t="shared" si="115"/>
        <v/>
      </c>
      <c r="X291" s="52">
        <f>IFERROR(IF(AND(AR292=AR291,AM291&lt;&gt;""),INDEX('Aub Demand'!Q:Q,MATCH($O291,'Aub Demand'!$A:$A,0))-IF(AN291="",0,AN291)+AP292+AD291+AL291,IF(AR292=AR291,INDEX('Aub Demand'!Q:Q,MATCH($O291,'Aub Demand'!$A:$A,0))-IF(AN291="",0,AN291)+AP292+AD291,IF(AM291&lt;&gt;"",INDEX('Aub Demand'!Q:Q,MATCH($O291,'Aub Demand'!$A:$A,0))-IF(AN291="",0,AN291)+AD291+AL291,INDEX('Aub Demand'!Q:Q,MATCH($O291,'Aub Demand'!$A:$A,0))-IF(AN291="",0,AN291)+AD291))),"")</f>
        <v>721</v>
      </c>
      <c r="Y291" s="53" t="str">
        <f t="shared" si="116"/>
        <v>n/a</v>
      </c>
      <c r="Z291" s="52">
        <f>IF(L291="","",INDEX('Aub Demand'!H:H,MATCH($O291,'Aub Demand'!$A:$A,0)))</f>
        <v>0</v>
      </c>
      <c r="AA291" s="52" t="str">
        <f t="shared" si="117"/>
        <v>-spike-</v>
      </c>
      <c r="AB291" s="52">
        <f>IFERROR(INDEX('Aub Demand'!L:L,MATCH($O291,'Aub Demand'!$A:$A,0)),"")</f>
        <v>2</v>
      </c>
      <c r="AC291" s="52">
        <f>IFERROR(IF(O291="","",SUMIFS('CPL Mats'!F:F,'CPL Mats'!Q:Q,AR291,'CPL Mats'!S:S,AS291)),"")</f>
        <v>0</v>
      </c>
      <c r="AF291" s="25" t="str">
        <f>IF(SUMIFS('Supp Consol'!S:S,'Supp Consol'!Y:Y,"Releasable",'Supp Consol'!A:A,O291)=0,"",SUMIFS('Supp Consol'!S:S,'Supp Consol'!Y:Y,"Releasable",'Supp Consol'!A:A,O291))</f>
        <v/>
      </c>
      <c r="AG291" s="25" t="str">
        <f>IFERROR(INDEX('Hun Demand'!Q:Q,MATCH(O291,'Hun Demand'!A:A,0)),"")</f>
        <v/>
      </c>
      <c r="AH291" s="25" t="str">
        <f>IFERROR(INDEX('Hun Demand'!H:H,MATCH($O291,'Hun Demand'!$A:$A,0)),"")</f>
        <v/>
      </c>
      <c r="AI291" s="25" t="str">
        <f>IF(SUMIFS('Supp Consol'!AA:AA,'Supp Consol'!Z:Z,"Expires this month",'Supp Consol'!A:A,O291)=0,"",SUMIFS('Supp Consol'!AA:AA,'Supp Consol'!Z:Z,"Expires this month",'Supp Consol'!A:A,O291))</f>
        <v/>
      </c>
      <c r="AJ291" s="25" t="str">
        <f>IF(SUMIFS('Supp Consol'!AA:AA,'Supp Consol'!Z:Z,"Expired Previous Months",'Supp Consol'!A:A,O291)=0,"",SUMIFS('Supp Consol'!AA:AA,'Supp Consol'!Z:Z,"Expired Previous Months",'Supp Consol'!A:A,O291))</f>
        <v/>
      </c>
      <c r="AK291" s="25" t="str">
        <f>IFERROR(INDEX('Hun Release Current'!B:B,MATCH(O291,'Hun Release Current'!A:A,0)),"")</f>
        <v/>
      </c>
      <c r="AL291" s="25" t="str">
        <f>IF(SUMIF('Prev Aub'!A:A,O291,'Prev Aub'!B:B)=0,"",SUMIF('Prev Aub'!A:A,O291,'Prev Aub'!B:B))</f>
        <v/>
      </c>
      <c r="AN291" s="25" t="s">
        <v>3790</v>
      </c>
      <c r="AO291" s="25" t="s">
        <v>3790</v>
      </c>
      <c r="AP291" s="25">
        <f t="shared" si="118"/>
        <v>0</v>
      </c>
      <c r="AQ291" s="151" t="str">
        <f>IF(SUMIFS('Supp Consol'!S:S,'Supp Consol'!A:A,O291,'Supp Consol'!I:I,"PENDING")=0,"",SUMIFS('Supp Consol'!S:S,'Supp Consol'!A:A,O291,'Supp Consol'!I:I,"PENDING"))</f>
        <v/>
      </c>
      <c r="AR291" s="27" t="str">
        <f t="shared" si="119"/>
        <v>AT861</v>
      </c>
      <c r="AS291" s="27" t="str">
        <f t="shared" si="120"/>
        <v>50</v>
      </c>
      <c r="AT291" s="27" t="str">
        <f t="shared" si="121"/>
        <v/>
      </c>
      <c r="AU291" s="27" t="str">
        <f t="shared" si="122"/>
        <v/>
      </c>
      <c r="AV291" s="27" t="str">
        <f t="shared" si="123"/>
        <v/>
      </c>
      <c r="AW291" s="27" t="str">
        <f t="shared" si="124"/>
        <v/>
      </c>
      <c r="AX291" s="27" t="str">
        <f t="shared" si="125"/>
        <v/>
      </c>
      <c r="AY291" s="27" t="str">
        <f t="shared" si="126"/>
        <v/>
      </c>
      <c r="AZ291" s="27" t="str">
        <f t="shared" si="127"/>
        <v/>
      </c>
      <c r="BA291" s="27" t="str">
        <f t="shared" si="128"/>
        <v/>
      </c>
      <c r="BB291" s="27" t="str">
        <f t="shared" si="129"/>
        <v/>
      </c>
      <c r="BC291" s="27" t="str">
        <f t="shared" si="130"/>
        <v/>
      </c>
      <c r="BD291" s="27" t="str">
        <f t="shared" si="131"/>
        <v/>
      </c>
      <c r="BE291" s="27" t="str">
        <f t="shared" si="132"/>
        <v/>
      </c>
      <c r="BF291" s="27" t="str">
        <f t="shared" si="133"/>
        <v/>
      </c>
      <c r="BG291" s="27" t="str">
        <f t="shared" si="134"/>
        <v/>
      </c>
      <c r="BH291" s="27" t="str">
        <f t="shared" si="135"/>
        <v/>
      </c>
      <c r="BI291" s="27" t="str">
        <f t="shared" si="136"/>
        <v/>
      </c>
      <c r="BJ291" s="27" t="str">
        <f t="shared" si="137"/>
        <v/>
      </c>
      <c r="BK291" s="27" t="str">
        <f t="shared" si="138"/>
        <v/>
      </c>
      <c r="BL291" s="27" t="str">
        <f t="shared" si="139"/>
        <v/>
      </c>
      <c r="BM291" s="21" t="s">
        <v>5581</v>
      </c>
    </row>
    <row r="292" spans="1:65" ht="15">
      <c r="A292" s="25" t="str">
        <f>IFERROR(INDEX('Hun Demand'!W:W,MATCH(O292,'Hun Demand'!A:A,0)),"")</f>
        <v/>
      </c>
      <c r="B292" s="25" t="str">
        <f>IFERROR(INDEX('Hun Demand'!V:V,MATCH(O292,'Hun Demand'!A:A,0)),"")</f>
        <v/>
      </c>
      <c r="C292" s="25" t="str">
        <f>IFERROR(INDEX('Hun Demand'!U:U,MATCH(O292,'Hun Demand'!A:A,0)),"")</f>
        <v/>
      </c>
      <c r="D292" s="25" t="str">
        <f>IFERROR(INDEX('Hun Demand'!T:T,MATCH(O292,'Hun Demand'!A:A,0)),"")</f>
        <v/>
      </c>
      <c r="E292" s="25" t="str">
        <f>IFERROR(INDEX('Hun Demand'!S:S,MATCH(O292,'Hun Demand'!A:A,0)),"")</f>
        <v/>
      </c>
      <c r="F292" s="25" t="str">
        <f>IFERROR(INDEX('Hun Demand'!R:R,MATCH(O292,'Hun Demand'!A:A,0)),"")</f>
        <v/>
      </c>
      <c r="G292" s="25">
        <f>IFERROR(INDEX('Aub Demand'!W:W,MATCH(O292,'Aub Demand'!A:A,0)),"")</f>
        <v>0</v>
      </c>
      <c r="H292" s="25">
        <f>IFERROR(INDEX('Aub Demand'!V:V,MATCH(O292,'Aub Demand'!A:A,0)),"")</f>
        <v>20</v>
      </c>
      <c r="I292" s="25">
        <f>IFERROR(INDEX('Aub Demand'!U:U,MATCH(O292,'Aub Demand'!A:A,0)),"")</f>
        <v>0</v>
      </c>
      <c r="J292" s="25">
        <f>IFERROR(INDEX('Aub Demand'!T:T,MATCH(O292,'Aub Demand'!A:A,0)),"")</f>
        <v>0</v>
      </c>
      <c r="K292" s="25">
        <f>IFERROR(INDEX('Aub Demand'!S:S,MATCH(O292,'Aub Demand'!A:A,0)),"")</f>
        <v>0</v>
      </c>
      <c r="L292" s="25">
        <f>IFERROR(INDEX('Aub Demand'!R:R,MATCH(O292,'Aub Demand'!A:A,0)),"")</f>
        <v>0</v>
      </c>
      <c r="O292" s="27" t="s">
        <v>509</v>
      </c>
      <c r="P292" s="27" t="str">
        <f>IFERROR(INDEX('Aub Demand'!B:B,MATCH($O292,'Aub Demand'!$A:$A,0)),"")</f>
        <v>ARGYLE SOCKS</v>
      </c>
      <c r="Q292" s="27" t="str">
        <f>IFERROR(INDEX('Aub Demand'!C:C,MATCH($O292,'Aub Demand'!$A:$A,0)),"")</f>
        <v>SCHAT</v>
      </c>
      <c r="R292" s="52">
        <f>IFERROR(IF(AR293=AR292,INDEX('Aub Demand'!K:K,MATCH($O292,'Aub Demand'!$A:$A,0))-IF(AN292="",0,AN292)+AP293,INDEX('Aub Demand'!K:K,MATCH($O292,'Aub Demand'!$A:$A,0))-IF(AN292="",0,AN292)),"")</f>
        <v>2343</v>
      </c>
      <c r="S292" s="53" t="str">
        <f t="shared" si="112"/>
        <v>n/a</v>
      </c>
      <c r="T292" s="52" t="str">
        <f t="shared" si="113"/>
        <v/>
      </c>
      <c r="U292" s="52">
        <f>IFERROR(IF(AR293=AR292,INDEX('Aub Demand'!Q:Q,MATCH($O292,'Aub Demand'!$A:$A,0))-IF(AN292="",0,AN292)+AP293,INDEX('Aub Demand'!Q:Q,MATCH($O292,'Aub Demand'!$A:$A,0))-IF(AN292="",0,AN292)),"")</f>
        <v>2343</v>
      </c>
      <c r="V292" s="53" t="str">
        <f t="shared" si="114"/>
        <v>n/a</v>
      </c>
      <c r="W292" s="52" t="str">
        <f t="shared" si="115"/>
        <v/>
      </c>
      <c r="X292" s="52">
        <f>IFERROR(IF(AND(AR293=AR292,AM292&lt;&gt;""),INDEX('Aub Demand'!Q:Q,MATCH($O292,'Aub Demand'!$A:$A,0))-IF(AN292="",0,AN292)+AP293+AD292+AL292,IF(AR293=AR292,INDEX('Aub Demand'!Q:Q,MATCH($O292,'Aub Demand'!$A:$A,0))-IF(AN292="",0,AN292)+AP293+AD292,IF(AM292&lt;&gt;"",INDEX('Aub Demand'!Q:Q,MATCH($O292,'Aub Demand'!$A:$A,0))-IF(AN292="",0,AN292)+AD292+AL292,INDEX('Aub Demand'!Q:Q,MATCH($O292,'Aub Demand'!$A:$A,0))-IF(AN292="",0,AN292)+AD292))),"")</f>
        <v>2343</v>
      </c>
      <c r="Y292" s="53" t="str">
        <f t="shared" si="116"/>
        <v>n/a</v>
      </c>
      <c r="Z292" s="52">
        <f>IF(L292="","",INDEX('Aub Demand'!H:H,MATCH($O292,'Aub Demand'!$A:$A,0)))</f>
        <v>0</v>
      </c>
      <c r="AA292" s="52" t="str">
        <f t="shared" si="117"/>
        <v>-spike-</v>
      </c>
      <c r="AB292" s="52">
        <f>IFERROR(INDEX('Aub Demand'!L:L,MATCH($O292,'Aub Demand'!$A:$A,0)),"")</f>
        <v>0</v>
      </c>
      <c r="AC292" s="52">
        <f>IFERROR(IF(O292="","",SUMIFS('CPL Mats'!F:F,'CPL Mats'!Q:Q,AR292,'CPL Mats'!S:S,AS292)),"")</f>
        <v>0</v>
      </c>
      <c r="AF292" s="25" t="str">
        <f>IF(SUMIFS('Supp Consol'!S:S,'Supp Consol'!Y:Y,"Releasable",'Supp Consol'!A:A,O292)=0,"",SUMIFS('Supp Consol'!S:S,'Supp Consol'!Y:Y,"Releasable",'Supp Consol'!A:A,O292))</f>
        <v/>
      </c>
      <c r="AG292" s="25" t="str">
        <f>IFERROR(INDEX('Hun Demand'!Q:Q,MATCH(O292,'Hun Demand'!A:A,0)),"")</f>
        <v/>
      </c>
      <c r="AH292" s="25" t="str">
        <f>IFERROR(INDEX('Hun Demand'!H:H,MATCH($O292,'Hun Demand'!$A:$A,0)),"")</f>
        <v/>
      </c>
      <c r="AI292" s="25" t="str">
        <f>IF(SUMIFS('Supp Consol'!AA:AA,'Supp Consol'!Z:Z,"Expires this month",'Supp Consol'!A:A,O292)=0,"",SUMIFS('Supp Consol'!AA:AA,'Supp Consol'!Z:Z,"Expires this month",'Supp Consol'!A:A,O292))</f>
        <v/>
      </c>
      <c r="AJ292" s="25" t="str">
        <f>IF(SUMIFS('Supp Consol'!AA:AA,'Supp Consol'!Z:Z,"Expired Previous Months",'Supp Consol'!A:A,O292)=0,"",SUMIFS('Supp Consol'!AA:AA,'Supp Consol'!Z:Z,"Expired Previous Months",'Supp Consol'!A:A,O292))</f>
        <v/>
      </c>
      <c r="AK292" s="25" t="str">
        <f>IFERROR(INDEX('Hun Release Current'!B:B,MATCH(O292,'Hun Release Current'!A:A,0)),"")</f>
        <v/>
      </c>
      <c r="AL292" s="25" t="str">
        <f>IF(SUMIF('Prev Aub'!A:A,O292,'Prev Aub'!B:B)=0,"",SUMIF('Prev Aub'!A:A,O292,'Prev Aub'!B:B))</f>
        <v/>
      </c>
      <c r="AN292" s="25" t="s">
        <v>3790</v>
      </c>
      <c r="AO292" s="25" t="s">
        <v>3790</v>
      </c>
      <c r="AP292" s="25">
        <f t="shared" si="118"/>
        <v>0</v>
      </c>
      <c r="AQ292" s="151" t="str">
        <f>IF(SUMIFS('Supp Consol'!S:S,'Supp Consol'!A:A,O292,'Supp Consol'!I:I,"PENDING")=0,"",SUMIFS('Supp Consol'!S:S,'Supp Consol'!A:A,O292,'Supp Consol'!I:I,"PENDING"))</f>
        <v/>
      </c>
      <c r="AR292" s="27" t="str">
        <f t="shared" si="119"/>
        <v>AT861</v>
      </c>
      <c r="AS292" s="27" t="str">
        <f t="shared" si="120"/>
        <v>62</v>
      </c>
      <c r="AT292" s="27" t="str">
        <f t="shared" si="121"/>
        <v/>
      </c>
      <c r="AU292" s="27" t="str">
        <f t="shared" si="122"/>
        <v/>
      </c>
      <c r="AV292" s="27" t="str">
        <f t="shared" si="123"/>
        <v/>
      </c>
      <c r="AW292" s="27" t="str">
        <f t="shared" si="124"/>
        <v/>
      </c>
      <c r="AX292" s="27" t="str">
        <f t="shared" si="125"/>
        <v/>
      </c>
      <c r="AY292" s="27" t="str">
        <f t="shared" si="126"/>
        <v/>
      </c>
      <c r="AZ292" s="27" t="str">
        <f t="shared" si="127"/>
        <v/>
      </c>
      <c r="BA292" s="27" t="str">
        <f t="shared" si="128"/>
        <v/>
      </c>
      <c r="BB292" s="27" t="str">
        <f t="shared" si="129"/>
        <v/>
      </c>
      <c r="BC292" s="27" t="str">
        <f t="shared" si="130"/>
        <v/>
      </c>
      <c r="BD292" s="27" t="str">
        <f t="shared" si="131"/>
        <v/>
      </c>
      <c r="BE292" s="27" t="str">
        <f t="shared" si="132"/>
        <v/>
      </c>
      <c r="BF292" s="27" t="str">
        <f t="shared" si="133"/>
        <v/>
      </c>
      <c r="BG292" s="27" t="str">
        <f t="shared" si="134"/>
        <v/>
      </c>
      <c r="BH292" s="27" t="str">
        <f t="shared" si="135"/>
        <v/>
      </c>
      <c r="BI292" s="27" t="str">
        <f t="shared" si="136"/>
        <v/>
      </c>
      <c r="BJ292" s="27" t="str">
        <f t="shared" si="137"/>
        <v/>
      </c>
      <c r="BK292" s="27" t="str">
        <f t="shared" si="138"/>
        <v/>
      </c>
      <c r="BL292" s="27" t="str">
        <f t="shared" si="139"/>
        <v/>
      </c>
      <c r="BM292" s="21" t="s">
        <v>5581</v>
      </c>
    </row>
    <row r="293" spans="1:65" ht="15">
      <c r="A293" s="25" t="str">
        <f>IFERROR(INDEX('Hun Demand'!W:W,MATCH(O293,'Hun Demand'!A:A,0)),"")</f>
        <v/>
      </c>
      <c r="B293" s="25" t="str">
        <f>IFERROR(INDEX('Hun Demand'!V:V,MATCH(O293,'Hun Demand'!A:A,0)),"")</f>
        <v/>
      </c>
      <c r="C293" s="25" t="str">
        <f>IFERROR(INDEX('Hun Demand'!U:U,MATCH(O293,'Hun Demand'!A:A,0)),"")</f>
        <v/>
      </c>
      <c r="D293" s="25" t="str">
        <f>IFERROR(INDEX('Hun Demand'!T:T,MATCH(O293,'Hun Demand'!A:A,0)),"")</f>
        <v/>
      </c>
      <c r="E293" s="25" t="str">
        <f>IFERROR(INDEX('Hun Demand'!S:S,MATCH(O293,'Hun Demand'!A:A,0)),"")</f>
        <v/>
      </c>
      <c r="F293" s="25" t="str">
        <f>IFERROR(INDEX('Hun Demand'!R:R,MATCH(O293,'Hun Demand'!A:A,0)),"")</f>
        <v/>
      </c>
      <c r="G293" s="25">
        <f>IFERROR(INDEX('Aub Demand'!W:W,MATCH(O293,'Aub Demand'!A:A,0)),"")</f>
        <v>0</v>
      </c>
      <c r="H293" s="25">
        <f>IFERROR(INDEX('Aub Demand'!V:V,MATCH(O293,'Aub Demand'!A:A,0)),"")</f>
        <v>0</v>
      </c>
      <c r="I293" s="25">
        <f>IFERROR(INDEX('Aub Demand'!U:U,MATCH(O293,'Aub Demand'!A:A,0)),"")</f>
        <v>20</v>
      </c>
      <c r="J293" s="25">
        <f>IFERROR(INDEX('Aub Demand'!T:T,MATCH(O293,'Aub Demand'!A:A,0)),"")</f>
        <v>52</v>
      </c>
      <c r="K293" s="25">
        <f>IFERROR(INDEX('Aub Demand'!S:S,MATCH(O293,'Aub Demand'!A:A,0)),"")</f>
        <v>169</v>
      </c>
      <c r="L293" s="25">
        <f>IFERROR(INDEX('Aub Demand'!R:R,MATCH(O293,'Aub Demand'!A:A,0)),"")</f>
        <v>8</v>
      </c>
      <c r="O293" s="27" t="s">
        <v>510</v>
      </c>
      <c r="P293" s="27" t="str">
        <f>IFERROR(INDEX('Aub Demand'!B:B,MATCH($O293,'Aub Demand'!$A:$A,0)),"")</f>
        <v>MELLOW MARRON</v>
      </c>
      <c r="Q293" s="27" t="str">
        <f>IFERROR(INDEX('Aub Demand'!C:C,MATCH($O293,'Aub Demand'!$A:$A,0)),"")</f>
        <v>INTER</v>
      </c>
      <c r="R293" s="52">
        <f>IFERROR(IF(AR294=AR293,INDEX('Aub Demand'!K:K,MATCH($O293,'Aub Demand'!$A:$A,0))-IF(AN293="",0,AN293)+AP294,INDEX('Aub Demand'!K:K,MATCH($O293,'Aub Demand'!$A:$A,0))-IF(AN293="",0,AN293)),"")</f>
        <v>0</v>
      </c>
      <c r="S293" s="53">
        <f t="shared" si="112"/>
        <v>0</v>
      </c>
      <c r="T293" s="52">
        <f t="shared" si="113"/>
        <v>82.875</v>
      </c>
      <c r="U293" s="52">
        <f>IFERROR(IF(AR294=AR293,INDEX('Aub Demand'!Q:Q,MATCH($O293,'Aub Demand'!$A:$A,0))-IF(AN293="",0,AN293)+AP294,INDEX('Aub Demand'!Q:Q,MATCH($O293,'Aub Demand'!$A:$A,0))-IF(AN293="",0,AN293)),"")</f>
        <v>-16</v>
      </c>
      <c r="V293" s="53">
        <f t="shared" si="114"/>
        <v>-0.9</v>
      </c>
      <c r="W293" s="52">
        <f t="shared" si="115"/>
        <v>107.7375</v>
      </c>
      <c r="X293" s="52">
        <f>IFERROR(IF(AND(AR294=AR293,AM293&lt;&gt;""),INDEX('Aub Demand'!Q:Q,MATCH($O293,'Aub Demand'!$A:$A,0))-IF(AN293="",0,AN293)+AP294+AD293+AL293,IF(AR294=AR293,INDEX('Aub Demand'!Q:Q,MATCH($O293,'Aub Demand'!$A:$A,0))-IF(AN293="",0,AN293)+AP294+AD293,IF(AM293&lt;&gt;"",INDEX('Aub Demand'!Q:Q,MATCH($O293,'Aub Demand'!$A:$A,0))-IF(AN293="",0,AN293)+AD293+AL293,INDEX('Aub Demand'!Q:Q,MATCH($O293,'Aub Demand'!$A:$A,0))-IF(AN293="",0,AN293)+AD293))),"")</f>
        <v>-16</v>
      </c>
      <c r="Y293" s="53">
        <f t="shared" si="116"/>
        <v>-0.9</v>
      </c>
      <c r="Z293" s="52">
        <f>IF(L293="","",INDEX('Aub Demand'!H:H,MATCH($O293,'Aub Demand'!$A:$A,0)))</f>
        <v>80</v>
      </c>
      <c r="AA293" s="52">
        <f t="shared" si="117"/>
        <v>110.5</v>
      </c>
      <c r="AB293" s="52">
        <f>IFERROR(INDEX('Aub Demand'!L:L,MATCH($O293,'Aub Demand'!$A:$A,0)),"")</f>
        <v>140</v>
      </c>
      <c r="AC293" s="52">
        <f>IFERROR(IF(O293="","",SUMIFS('CPL Mats'!F:F,'CPL Mats'!Q:Q,AR293,'CPL Mats'!S:S,AS293)),"")</f>
        <v>2100</v>
      </c>
      <c r="AF293" s="25" t="str">
        <f>IF(SUMIFS('Supp Consol'!S:S,'Supp Consol'!Y:Y,"Releasable",'Supp Consol'!A:A,O293)=0,"",SUMIFS('Supp Consol'!S:S,'Supp Consol'!Y:Y,"Releasable",'Supp Consol'!A:A,O293))</f>
        <v/>
      </c>
      <c r="AG293" s="25" t="str">
        <f>IFERROR(INDEX('Hun Demand'!Q:Q,MATCH(O293,'Hun Demand'!A:A,0)),"")</f>
        <v/>
      </c>
      <c r="AH293" s="25" t="str">
        <f>IFERROR(INDEX('Hun Demand'!H:H,MATCH($O293,'Hun Demand'!$A:$A,0)),"")</f>
        <v/>
      </c>
      <c r="AI293" s="25" t="str">
        <f>IF(SUMIFS('Supp Consol'!AA:AA,'Supp Consol'!Z:Z,"Expires this month",'Supp Consol'!A:A,O293)=0,"",SUMIFS('Supp Consol'!AA:AA,'Supp Consol'!Z:Z,"Expires this month",'Supp Consol'!A:A,O293))</f>
        <v/>
      </c>
      <c r="AJ293" s="25" t="str">
        <f>IF(SUMIFS('Supp Consol'!AA:AA,'Supp Consol'!Z:Z,"Expired Previous Months",'Supp Consol'!A:A,O293)=0,"",SUMIFS('Supp Consol'!AA:AA,'Supp Consol'!Z:Z,"Expired Previous Months",'Supp Consol'!A:A,O293))</f>
        <v/>
      </c>
      <c r="AK293" s="25" t="str">
        <f>IFERROR(INDEX('Hun Release Current'!B:B,MATCH(O293,'Hun Release Current'!A:A,0)),"")</f>
        <v/>
      </c>
      <c r="AL293" s="25" t="str">
        <f>IF(SUMIF('Prev Aub'!A:A,O293,'Prev Aub'!B:B)=0,"",SUMIF('Prev Aub'!A:A,O293,'Prev Aub'!B:B))</f>
        <v/>
      </c>
      <c r="AN293" s="25" t="s">
        <v>3790</v>
      </c>
      <c r="AO293" s="25" t="s">
        <v>3790</v>
      </c>
      <c r="AP293" s="25">
        <f t="shared" si="118"/>
        <v>0</v>
      </c>
      <c r="AQ293" s="151" t="str">
        <f>IF(SUMIFS('Supp Consol'!S:S,'Supp Consol'!A:A,O293,'Supp Consol'!I:I,"PENDING")=0,"",SUMIFS('Supp Consol'!S:S,'Supp Consol'!A:A,O293,'Supp Consol'!I:I,"PENDING"))</f>
        <v/>
      </c>
      <c r="AR293" s="27" t="str">
        <f t="shared" si="119"/>
        <v>AT965</v>
      </c>
      <c r="AS293" s="27" t="str">
        <f t="shared" si="120"/>
        <v>50</v>
      </c>
      <c r="AT293" s="27" t="str">
        <f t="shared" si="121"/>
        <v>AT965</v>
      </c>
      <c r="AU293" s="27" t="str">
        <f t="shared" si="122"/>
        <v>AT965</v>
      </c>
      <c r="AV293" s="27" t="str">
        <f t="shared" si="123"/>
        <v>AT965</v>
      </c>
      <c r="AW293" s="27" t="str">
        <f t="shared" si="124"/>
        <v/>
      </c>
      <c r="AX293" s="27" t="str">
        <f t="shared" si="125"/>
        <v/>
      </c>
      <c r="AY293" s="27" t="str">
        <f t="shared" si="126"/>
        <v/>
      </c>
      <c r="AZ293" s="27" t="str">
        <f t="shared" si="127"/>
        <v/>
      </c>
      <c r="BA293" s="27" t="str">
        <f t="shared" si="128"/>
        <v/>
      </c>
      <c r="BB293" s="27" t="str">
        <f t="shared" si="129"/>
        <v>Gross</v>
      </c>
      <c r="BC293" s="27" t="str">
        <f t="shared" si="130"/>
        <v>Net</v>
      </c>
      <c r="BD293" s="27" t="str">
        <f t="shared" si="131"/>
        <v>Net</v>
      </c>
      <c r="BE293" s="27" t="str">
        <f t="shared" si="132"/>
        <v/>
      </c>
      <c r="BF293" s="27" t="str">
        <f t="shared" si="133"/>
        <v/>
      </c>
      <c r="BG293" s="27" t="str">
        <f t="shared" si="134"/>
        <v/>
      </c>
      <c r="BH293" s="27" t="str">
        <f t="shared" si="135"/>
        <v/>
      </c>
      <c r="BI293" s="27" t="str">
        <f t="shared" si="136"/>
        <v/>
      </c>
      <c r="BJ293" s="27" t="str">
        <f t="shared" si="137"/>
        <v/>
      </c>
      <c r="BK293" s="27" t="str">
        <f t="shared" si="138"/>
        <v/>
      </c>
      <c r="BL293" s="27" t="str">
        <f t="shared" si="139"/>
        <v/>
      </c>
      <c r="BM293" s="21" t="s">
        <v>5581</v>
      </c>
    </row>
    <row r="294" spans="1:65" ht="15">
      <c r="A294" s="25" t="str">
        <f>IFERROR(INDEX('Hun Demand'!W:W,MATCH(O294,'Hun Demand'!A:A,0)),"")</f>
        <v/>
      </c>
      <c r="B294" s="25" t="str">
        <f>IFERROR(INDEX('Hun Demand'!V:V,MATCH(O294,'Hun Demand'!A:A,0)),"")</f>
        <v/>
      </c>
      <c r="C294" s="25" t="str">
        <f>IFERROR(INDEX('Hun Demand'!U:U,MATCH(O294,'Hun Demand'!A:A,0)),"")</f>
        <v/>
      </c>
      <c r="D294" s="25" t="str">
        <f>IFERROR(INDEX('Hun Demand'!T:T,MATCH(O294,'Hun Demand'!A:A,0)),"")</f>
        <v/>
      </c>
      <c r="E294" s="25" t="str">
        <f>IFERROR(INDEX('Hun Demand'!S:S,MATCH(O294,'Hun Demand'!A:A,0)),"")</f>
        <v/>
      </c>
      <c r="F294" s="25" t="str">
        <f>IFERROR(INDEX('Hun Demand'!R:R,MATCH(O294,'Hun Demand'!A:A,0)),"")</f>
        <v/>
      </c>
      <c r="G294" s="25">
        <f>IFERROR(INDEX('Aub Demand'!W:W,MATCH(O294,'Aub Demand'!A:A,0)),"")</f>
        <v>0</v>
      </c>
      <c r="H294" s="25">
        <f>IFERROR(INDEX('Aub Demand'!V:V,MATCH(O294,'Aub Demand'!A:A,0)),"")</f>
        <v>0</v>
      </c>
      <c r="I294" s="25">
        <f>IFERROR(INDEX('Aub Demand'!U:U,MATCH(O294,'Aub Demand'!A:A,0)),"")</f>
        <v>15</v>
      </c>
      <c r="J294" s="25">
        <f>IFERROR(INDEX('Aub Demand'!T:T,MATCH(O294,'Aub Demand'!A:A,0)),"")</f>
        <v>92</v>
      </c>
      <c r="K294" s="25">
        <f>IFERROR(INDEX('Aub Demand'!S:S,MATCH(O294,'Aub Demand'!A:A,0)),"")</f>
        <v>19</v>
      </c>
      <c r="L294" s="25">
        <f>IFERROR(INDEX('Aub Demand'!R:R,MATCH(O294,'Aub Demand'!A:A,0)),"")</f>
        <v>0</v>
      </c>
      <c r="O294" s="27" t="s">
        <v>512</v>
      </c>
      <c r="P294" s="27" t="str">
        <f>IFERROR(INDEX('Aub Demand'!B:B,MATCH($O294,'Aub Demand'!$A:$A,0)),"")</f>
        <v>MELLOW MARRON</v>
      </c>
      <c r="Q294" s="27" t="str">
        <f>IFERROR(INDEX('Aub Demand'!C:C,MATCH($O294,'Aub Demand'!$A:$A,0)),"")</f>
        <v>INTER</v>
      </c>
      <c r="R294" s="52">
        <f>IFERROR(IF(AR295=AR294,INDEX('Aub Demand'!K:K,MATCH($O294,'Aub Demand'!$A:$A,0))-IF(AN294="",0,AN294)+AP295,INDEX('Aub Demand'!K:K,MATCH($O294,'Aub Demand'!$A:$A,0))-IF(AN294="",0,AN294)),"")</f>
        <v>823</v>
      </c>
      <c r="S294" s="53">
        <f t="shared" si="112"/>
        <v>84</v>
      </c>
      <c r="T294" s="52" t="str">
        <f t="shared" si="113"/>
        <v/>
      </c>
      <c r="U294" s="52">
        <f>IFERROR(IF(AR295=AR294,INDEX('Aub Demand'!Q:Q,MATCH($O294,'Aub Demand'!$A:$A,0))-IF(AN294="",0,AN294)+AP295,INDEX('Aub Demand'!Q:Q,MATCH($O294,'Aub Demand'!$A:$A,0))-IF(AN294="",0,AN294)),"")</f>
        <v>823</v>
      </c>
      <c r="V294" s="53">
        <f t="shared" si="114"/>
        <v>84</v>
      </c>
      <c r="W294" s="52" t="str">
        <f t="shared" si="115"/>
        <v/>
      </c>
      <c r="X294" s="52">
        <f>IFERROR(IF(AND(AR295=AR294,AM294&lt;&gt;""),INDEX('Aub Demand'!Q:Q,MATCH($O294,'Aub Demand'!$A:$A,0))-IF(AN294="",0,AN294)+AP295+AD294+AL294,IF(AR295=AR294,INDEX('Aub Demand'!Q:Q,MATCH($O294,'Aub Demand'!$A:$A,0))-IF(AN294="",0,AN294)+AP295+AD294,IF(AM294&lt;&gt;"",INDEX('Aub Demand'!Q:Q,MATCH($O294,'Aub Demand'!$A:$A,0))-IF(AN294="",0,AN294)+AD294+AL294,INDEX('Aub Demand'!Q:Q,MATCH($O294,'Aub Demand'!$A:$A,0))-IF(AN294="",0,AN294)+AD294))),"")</f>
        <v>823</v>
      </c>
      <c r="Y294" s="53">
        <f t="shared" si="116"/>
        <v>84</v>
      </c>
      <c r="Z294" s="52">
        <f>IF(L294="","",INDEX('Aub Demand'!H:H,MATCH($O294,'Aub Demand'!$A:$A,0)))</f>
        <v>42</v>
      </c>
      <c r="AA294" s="52">
        <f t="shared" si="117"/>
        <v>55.5</v>
      </c>
      <c r="AB294" s="52">
        <f>IFERROR(INDEX('Aub Demand'!L:L,MATCH($O294,'Aub Demand'!$A:$A,0)),"")</f>
        <v>0</v>
      </c>
      <c r="AC294" s="52">
        <f>IFERROR(IF(O294="","",SUMIFS('CPL Mats'!F:F,'CPL Mats'!Q:Q,AR294,'CPL Mats'!S:S,AS294)),"")</f>
        <v>0</v>
      </c>
      <c r="AF294" s="25" t="str">
        <f>IF(SUMIFS('Supp Consol'!S:S,'Supp Consol'!Y:Y,"Releasable",'Supp Consol'!A:A,O294)=0,"",SUMIFS('Supp Consol'!S:S,'Supp Consol'!Y:Y,"Releasable",'Supp Consol'!A:A,O294))</f>
        <v/>
      </c>
      <c r="AG294" s="25" t="str">
        <f>IFERROR(INDEX('Hun Demand'!Q:Q,MATCH(O294,'Hun Demand'!A:A,0)),"")</f>
        <v/>
      </c>
      <c r="AH294" s="25" t="str">
        <f>IFERROR(INDEX('Hun Demand'!H:H,MATCH($O294,'Hun Demand'!$A:$A,0)),"")</f>
        <v/>
      </c>
      <c r="AI294" s="25" t="str">
        <f>IF(SUMIFS('Supp Consol'!AA:AA,'Supp Consol'!Z:Z,"Expires this month",'Supp Consol'!A:A,O294)=0,"",SUMIFS('Supp Consol'!AA:AA,'Supp Consol'!Z:Z,"Expires this month",'Supp Consol'!A:A,O294))</f>
        <v/>
      </c>
      <c r="AJ294" s="25" t="str">
        <f>IF(SUMIFS('Supp Consol'!AA:AA,'Supp Consol'!Z:Z,"Expired Previous Months",'Supp Consol'!A:A,O294)=0,"",SUMIFS('Supp Consol'!AA:AA,'Supp Consol'!Z:Z,"Expired Previous Months",'Supp Consol'!A:A,O294))</f>
        <v/>
      </c>
      <c r="AK294" s="25" t="str">
        <f>IFERROR(INDEX('Hun Release Current'!B:B,MATCH(O294,'Hun Release Current'!A:A,0)),"")</f>
        <v/>
      </c>
      <c r="AL294" s="25" t="str">
        <f>IF(SUMIF('Prev Aub'!A:A,O294,'Prev Aub'!B:B)=0,"",SUMIF('Prev Aub'!A:A,O294,'Prev Aub'!B:B))</f>
        <v/>
      </c>
      <c r="AN294" s="25" t="s">
        <v>3790</v>
      </c>
      <c r="AO294" s="25" t="s">
        <v>3790</v>
      </c>
      <c r="AP294" s="25">
        <f t="shared" si="118"/>
        <v>0</v>
      </c>
      <c r="AQ294" s="151" t="str">
        <f>IF(SUMIFS('Supp Consol'!S:S,'Supp Consol'!A:A,O294,'Supp Consol'!I:I,"PENDING")=0,"",SUMIFS('Supp Consol'!S:S,'Supp Consol'!A:A,O294,'Supp Consol'!I:I,"PENDING"))</f>
        <v/>
      </c>
      <c r="AR294" s="27" t="str">
        <f t="shared" si="119"/>
        <v>AT965</v>
      </c>
      <c r="AS294" s="27" t="str">
        <f t="shared" si="120"/>
        <v>62</v>
      </c>
      <c r="AT294" s="27" t="str">
        <f t="shared" si="121"/>
        <v/>
      </c>
      <c r="AU294" s="27" t="str">
        <f t="shared" si="122"/>
        <v/>
      </c>
      <c r="AV294" s="27" t="str">
        <f t="shared" si="123"/>
        <v/>
      </c>
      <c r="AW294" s="27" t="str">
        <f t="shared" si="124"/>
        <v/>
      </c>
      <c r="AX294" s="27" t="str">
        <f t="shared" si="125"/>
        <v/>
      </c>
      <c r="AY294" s="27" t="str">
        <f t="shared" si="126"/>
        <v/>
      </c>
      <c r="AZ294" s="27" t="str">
        <f t="shared" si="127"/>
        <v/>
      </c>
      <c r="BA294" s="27" t="str">
        <f t="shared" si="128"/>
        <v/>
      </c>
      <c r="BB294" s="27" t="str">
        <f t="shared" si="129"/>
        <v>Gross</v>
      </c>
      <c r="BC294" s="27" t="str">
        <f t="shared" si="130"/>
        <v>Net</v>
      </c>
      <c r="BD294" s="27" t="str">
        <f t="shared" si="131"/>
        <v>Net</v>
      </c>
      <c r="BE294" s="27" t="str">
        <f t="shared" si="132"/>
        <v/>
      </c>
      <c r="BF294" s="27" t="str">
        <f t="shared" si="133"/>
        <v/>
      </c>
      <c r="BG294" s="27" t="str">
        <f t="shared" si="134"/>
        <v/>
      </c>
      <c r="BH294" s="27" t="str">
        <f t="shared" si="135"/>
        <v/>
      </c>
      <c r="BI294" s="27" t="str">
        <f t="shared" si="136"/>
        <v/>
      </c>
      <c r="BJ294" s="27" t="str">
        <f t="shared" si="137"/>
        <v/>
      </c>
      <c r="BK294" s="27" t="str">
        <f t="shared" si="138"/>
        <v/>
      </c>
      <c r="BL294" s="27" t="str">
        <f t="shared" si="139"/>
        <v/>
      </c>
      <c r="BM294" s="21" t="s">
        <v>5581</v>
      </c>
    </row>
    <row r="295" spans="1:65" ht="15">
      <c r="A295" s="25" t="str">
        <f>IFERROR(INDEX('Hun Demand'!W:W,MATCH(O295,'Hun Demand'!A:A,0)),"")</f>
        <v/>
      </c>
      <c r="B295" s="25" t="str">
        <f>IFERROR(INDEX('Hun Demand'!V:V,MATCH(O295,'Hun Demand'!A:A,0)),"")</f>
        <v/>
      </c>
      <c r="C295" s="25" t="str">
        <f>IFERROR(INDEX('Hun Demand'!U:U,MATCH(O295,'Hun Demand'!A:A,0)),"")</f>
        <v/>
      </c>
      <c r="D295" s="25" t="str">
        <f>IFERROR(INDEX('Hun Demand'!T:T,MATCH(O295,'Hun Demand'!A:A,0)),"")</f>
        <v/>
      </c>
      <c r="E295" s="25" t="str">
        <f>IFERROR(INDEX('Hun Demand'!S:S,MATCH(O295,'Hun Demand'!A:A,0)),"")</f>
        <v/>
      </c>
      <c r="F295" s="25" t="str">
        <f>IFERROR(INDEX('Hun Demand'!R:R,MATCH(O295,'Hun Demand'!A:A,0)),"")</f>
        <v/>
      </c>
      <c r="G295" s="25">
        <f>IFERROR(INDEX('Aub Demand'!W:W,MATCH(O295,'Aub Demand'!A:A,0)),"")</f>
        <v>0</v>
      </c>
      <c r="H295" s="25">
        <f>IFERROR(INDEX('Aub Demand'!V:V,MATCH(O295,'Aub Demand'!A:A,0)),"")</f>
        <v>0</v>
      </c>
      <c r="I295" s="25">
        <f>IFERROR(INDEX('Aub Demand'!U:U,MATCH(O295,'Aub Demand'!A:A,0)),"")</f>
        <v>9</v>
      </c>
      <c r="J295" s="25">
        <f>IFERROR(INDEX('Aub Demand'!T:T,MATCH(O295,'Aub Demand'!A:A,0)),"")</f>
        <v>0</v>
      </c>
      <c r="K295" s="25">
        <f>IFERROR(INDEX('Aub Demand'!S:S,MATCH(O295,'Aub Demand'!A:A,0)),"")</f>
        <v>0</v>
      </c>
      <c r="L295" s="25">
        <f>IFERROR(INDEX('Aub Demand'!R:R,MATCH(O295,'Aub Demand'!A:A,0)),"")</f>
        <v>0</v>
      </c>
      <c r="O295" s="27" t="s">
        <v>513</v>
      </c>
      <c r="P295" s="27" t="str">
        <f>IFERROR(INDEX('Aub Demand'!B:B,MATCH($O295,'Aub Demand'!$A:$A,0)),"")</f>
        <v>MUD PIE</v>
      </c>
      <c r="Q295" s="27" t="str">
        <f>IFERROR(INDEX('Aub Demand'!C:C,MATCH($O295,'Aub Demand'!$A:$A,0)),"")</f>
        <v>NEODE</v>
      </c>
      <c r="R295" s="52">
        <f>IFERROR(IF(AR296=AR295,INDEX('Aub Demand'!K:K,MATCH($O295,'Aub Demand'!$A:$A,0))-IF(AN295="",0,AN295)+AP296,INDEX('Aub Demand'!K:K,MATCH($O295,'Aub Demand'!$A:$A,0))-IF(AN295="",0,AN295)),"")</f>
        <v>1728</v>
      </c>
      <c r="S295" s="53">
        <f t="shared" si="112"/>
        <v>2468.6</v>
      </c>
      <c r="T295" s="52" t="str">
        <f t="shared" si="113"/>
        <v/>
      </c>
      <c r="U295" s="52">
        <f>IFERROR(IF(AR296=AR295,INDEX('Aub Demand'!Q:Q,MATCH($O295,'Aub Demand'!$A:$A,0))-IF(AN295="",0,AN295)+AP296,INDEX('Aub Demand'!Q:Q,MATCH($O295,'Aub Demand'!$A:$A,0))-IF(AN295="",0,AN295)),"")</f>
        <v>1728</v>
      </c>
      <c r="V295" s="53">
        <f t="shared" si="114"/>
        <v>2468.6</v>
      </c>
      <c r="W295" s="52" t="str">
        <f t="shared" si="115"/>
        <v/>
      </c>
      <c r="X295" s="52">
        <f>IFERROR(IF(AND(AR296=AR295,AM295&lt;&gt;""),INDEX('Aub Demand'!Q:Q,MATCH($O295,'Aub Demand'!$A:$A,0))-IF(AN295="",0,AN295)+AP296+AD295+AL295,IF(AR296=AR295,INDEX('Aub Demand'!Q:Q,MATCH($O295,'Aub Demand'!$A:$A,0))-IF(AN295="",0,AN295)+AP296+AD295,IF(AM295&lt;&gt;"",INDEX('Aub Demand'!Q:Q,MATCH($O295,'Aub Demand'!$A:$A,0))-IF(AN295="",0,AN295)+AD295+AL295,INDEX('Aub Demand'!Q:Q,MATCH($O295,'Aub Demand'!$A:$A,0))-IF(AN295="",0,AN295)+AD295))),"")</f>
        <v>1728</v>
      </c>
      <c r="Y295" s="53">
        <f t="shared" si="116"/>
        <v>2468.6</v>
      </c>
      <c r="Z295" s="52">
        <f>IF(L295="","",INDEX('Aub Demand'!H:H,MATCH($O295,'Aub Demand'!$A:$A,0)))</f>
        <v>3</v>
      </c>
      <c r="AA295" s="52" t="str">
        <f t="shared" si="117"/>
        <v>-spike-</v>
      </c>
      <c r="AB295" s="52">
        <f>IFERROR(INDEX('Aub Demand'!L:L,MATCH($O295,'Aub Demand'!$A:$A,0)),"")</f>
        <v>0</v>
      </c>
      <c r="AC295" s="52">
        <f>IFERROR(IF(O295="","",SUMIFS('CPL Mats'!F:F,'CPL Mats'!Q:Q,AR295,'CPL Mats'!S:S,AS295)),"")</f>
        <v>0</v>
      </c>
      <c r="AF295" s="25" t="str">
        <f>IF(SUMIFS('Supp Consol'!S:S,'Supp Consol'!Y:Y,"Releasable",'Supp Consol'!A:A,O295)=0,"",SUMIFS('Supp Consol'!S:S,'Supp Consol'!Y:Y,"Releasable",'Supp Consol'!A:A,O295))</f>
        <v/>
      </c>
      <c r="AG295" s="25" t="str">
        <f>IFERROR(INDEX('Hun Demand'!Q:Q,MATCH(O295,'Hun Demand'!A:A,0)),"")</f>
        <v/>
      </c>
      <c r="AH295" s="25" t="str">
        <f>IFERROR(INDEX('Hun Demand'!H:H,MATCH($O295,'Hun Demand'!$A:$A,0)),"")</f>
        <v/>
      </c>
      <c r="AI295" s="25" t="str">
        <f>IF(SUMIFS('Supp Consol'!AA:AA,'Supp Consol'!Z:Z,"Expires this month",'Supp Consol'!A:A,O295)=0,"",SUMIFS('Supp Consol'!AA:AA,'Supp Consol'!Z:Z,"Expires this month",'Supp Consol'!A:A,O295))</f>
        <v/>
      </c>
      <c r="AJ295" s="25" t="str">
        <f>IF(SUMIFS('Supp Consol'!AA:AA,'Supp Consol'!Z:Z,"Expired Previous Months",'Supp Consol'!A:A,O295)=0,"",SUMIFS('Supp Consol'!AA:AA,'Supp Consol'!Z:Z,"Expired Previous Months",'Supp Consol'!A:A,O295))</f>
        <v/>
      </c>
      <c r="AK295" s="25" t="str">
        <f>IFERROR(INDEX('Hun Release Current'!B:B,MATCH(O295,'Hun Release Current'!A:A,0)),"")</f>
        <v/>
      </c>
      <c r="AL295" s="25" t="str">
        <f>IF(SUMIF('Prev Aub'!A:A,O295,'Prev Aub'!B:B)=0,"",SUMIF('Prev Aub'!A:A,O295,'Prev Aub'!B:B))</f>
        <v/>
      </c>
      <c r="AN295" s="25" t="s">
        <v>3790</v>
      </c>
      <c r="AO295" s="25" t="s">
        <v>3790</v>
      </c>
      <c r="AP295" s="25">
        <f t="shared" si="118"/>
        <v>0</v>
      </c>
      <c r="AQ295" s="151" t="str">
        <f>IF(SUMIFS('Supp Consol'!S:S,'Supp Consol'!A:A,O295,'Supp Consol'!I:I,"PENDING")=0,"",SUMIFS('Supp Consol'!S:S,'Supp Consol'!A:A,O295,'Supp Consol'!I:I,"PENDING"))</f>
        <v/>
      </c>
      <c r="AR295" s="27" t="str">
        <f t="shared" si="119"/>
        <v>AT970</v>
      </c>
      <c r="AS295" s="27" t="str">
        <f t="shared" si="120"/>
        <v>50</v>
      </c>
      <c r="AT295" s="27" t="str">
        <f t="shared" si="121"/>
        <v/>
      </c>
      <c r="AU295" s="27" t="str">
        <f t="shared" si="122"/>
        <v/>
      </c>
      <c r="AV295" s="27" t="str">
        <f t="shared" si="123"/>
        <v/>
      </c>
      <c r="AW295" s="27" t="str">
        <f t="shared" si="124"/>
        <v/>
      </c>
      <c r="AX295" s="27" t="str">
        <f t="shared" si="125"/>
        <v/>
      </c>
      <c r="AY295" s="27" t="str">
        <f t="shared" si="126"/>
        <v/>
      </c>
      <c r="AZ295" s="27" t="str">
        <f t="shared" si="127"/>
        <v/>
      </c>
      <c r="BA295" s="27" t="str">
        <f t="shared" si="128"/>
        <v/>
      </c>
      <c r="BB295" s="27" t="str">
        <f t="shared" si="129"/>
        <v/>
      </c>
      <c r="BC295" s="27" t="str">
        <f t="shared" si="130"/>
        <v/>
      </c>
      <c r="BD295" s="27" t="str">
        <f t="shared" si="131"/>
        <v/>
      </c>
      <c r="BE295" s="27" t="str">
        <f t="shared" si="132"/>
        <v/>
      </c>
      <c r="BF295" s="27" t="str">
        <f t="shared" si="133"/>
        <v/>
      </c>
      <c r="BG295" s="27" t="str">
        <f t="shared" si="134"/>
        <v/>
      </c>
      <c r="BH295" s="27" t="str">
        <f t="shared" si="135"/>
        <v/>
      </c>
      <c r="BI295" s="27" t="str">
        <f t="shared" si="136"/>
        <v/>
      </c>
      <c r="BJ295" s="27" t="str">
        <f t="shared" si="137"/>
        <v/>
      </c>
      <c r="BK295" s="27" t="str">
        <f t="shared" si="138"/>
        <v/>
      </c>
      <c r="BL295" s="27" t="str">
        <f t="shared" si="139"/>
        <v/>
      </c>
      <c r="BM295" s="21" t="s">
        <v>5581</v>
      </c>
    </row>
    <row r="296" spans="1:65" ht="15">
      <c r="A296" s="25" t="str">
        <f>IFERROR(INDEX('Hun Demand'!W:W,MATCH(O296,'Hun Demand'!A:A,0)),"")</f>
        <v/>
      </c>
      <c r="B296" s="25" t="str">
        <f>IFERROR(INDEX('Hun Demand'!V:V,MATCH(O296,'Hun Demand'!A:A,0)),"")</f>
        <v/>
      </c>
      <c r="C296" s="25" t="str">
        <f>IFERROR(INDEX('Hun Demand'!U:U,MATCH(O296,'Hun Demand'!A:A,0)),"")</f>
        <v/>
      </c>
      <c r="D296" s="25" t="str">
        <f>IFERROR(INDEX('Hun Demand'!T:T,MATCH(O296,'Hun Demand'!A:A,0)),"")</f>
        <v/>
      </c>
      <c r="E296" s="25" t="str">
        <f>IFERROR(INDEX('Hun Demand'!S:S,MATCH(O296,'Hun Demand'!A:A,0)),"")</f>
        <v/>
      </c>
      <c r="F296" s="25" t="str">
        <f>IFERROR(INDEX('Hun Demand'!R:R,MATCH(O296,'Hun Demand'!A:A,0)),"")</f>
        <v/>
      </c>
      <c r="G296" s="25">
        <f>IFERROR(INDEX('Aub Demand'!W:W,MATCH(O296,'Aub Demand'!A:A,0)),"")</f>
        <v>0</v>
      </c>
      <c r="H296" s="25">
        <f>IFERROR(INDEX('Aub Demand'!V:V,MATCH(O296,'Aub Demand'!A:A,0)),"")</f>
        <v>0</v>
      </c>
      <c r="I296" s="25">
        <f>IFERROR(INDEX('Aub Demand'!U:U,MATCH(O296,'Aub Demand'!A:A,0)),"")</f>
        <v>0</v>
      </c>
      <c r="J296" s="25">
        <f>IFERROR(INDEX('Aub Demand'!T:T,MATCH(O296,'Aub Demand'!A:A,0)),"")</f>
        <v>48</v>
      </c>
      <c r="K296" s="25">
        <f>IFERROR(INDEX('Aub Demand'!S:S,MATCH(O296,'Aub Demand'!A:A,0)),"")</f>
        <v>14</v>
      </c>
      <c r="L296" s="25">
        <f>IFERROR(INDEX('Aub Demand'!R:R,MATCH(O296,'Aub Demand'!A:A,0)),"")</f>
        <v>0</v>
      </c>
      <c r="O296" s="27" t="s">
        <v>515</v>
      </c>
      <c r="P296" s="27" t="str">
        <f>IFERROR(INDEX('Aub Demand'!B:B,MATCH($O296,'Aub Demand'!$A:$A,0)),"")</f>
        <v>MUD PIE</v>
      </c>
      <c r="Q296" s="27" t="str">
        <f>IFERROR(INDEX('Aub Demand'!C:C,MATCH($O296,'Aub Demand'!$A:$A,0)),"")</f>
        <v>NEODE</v>
      </c>
      <c r="R296" s="52">
        <f>IFERROR(IF(AR297=AR296,INDEX('Aub Demand'!K:K,MATCH($O296,'Aub Demand'!$A:$A,0))-IF(AN296="",0,AN296)+AP297,INDEX('Aub Demand'!K:K,MATCH($O296,'Aub Demand'!$A:$A,0))-IF(AN296="",0,AN296)),"")</f>
        <v>2129</v>
      </c>
      <c r="S296" s="53">
        <f t="shared" si="112"/>
        <v>434.5</v>
      </c>
      <c r="T296" s="52" t="str">
        <f t="shared" si="113"/>
        <v/>
      </c>
      <c r="U296" s="52">
        <f>IFERROR(IF(AR297=AR296,INDEX('Aub Demand'!Q:Q,MATCH($O296,'Aub Demand'!$A:$A,0))-IF(AN296="",0,AN296)+AP297,INDEX('Aub Demand'!Q:Q,MATCH($O296,'Aub Demand'!$A:$A,0))-IF(AN296="",0,AN296)),"")</f>
        <v>2129</v>
      </c>
      <c r="V296" s="53">
        <f t="shared" si="114"/>
        <v>434.5</v>
      </c>
      <c r="W296" s="52" t="str">
        <f t="shared" si="115"/>
        <v/>
      </c>
      <c r="X296" s="52">
        <f>IFERROR(IF(AND(AR297=AR296,AM296&lt;&gt;""),INDEX('Aub Demand'!Q:Q,MATCH($O296,'Aub Demand'!$A:$A,0))-IF(AN296="",0,AN296)+AP297+AD296+AL296,IF(AR297=AR296,INDEX('Aub Demand'!Q:Q,MATCH($O296,'Aub Demand'!$A:$A,0))-IF(AN296="",0,AN296)+AP297+AD296,IF(AM296&lt;&gt;"",INDEX('Aub Demand'!Q:Q,MATCH($O296,'Aub Demand'!$A:$A,0))-IF(AN296="",0,AN296)+AD296+AL296,INDEX('Aub Demand'!Q:Q,MATCH($O296,'Aub Demand'!$A:$A,0))-IF(AN296="",0,AN296)+AD296))),"")</f>
        <v>2129</v>
      </c>
      <c r="Y296" s="53">
        <f t="shared" si="116"/>
        <v>434.5</v>
      </c>
      <c r="Z296" s="52">
        <f>IF(L296="","",INDEX('Aub Demand'!H:H,MATCH($O296,'Aub Demand'!$A:$A,0)))</f>
        <v>21</v>
      </c>
      <c r="AA296" s="52">
        <f t="shared" si="117"/>
        <v>31</v>
      </c>
      <c r="AB296" s="52">
        <f>IFERROR(INDEX('Aub Demand'!L:L,MATCH($O296,'Aub Demand'!$A:$A,0)),"")</f>
        <v>2</v>
      </c>
      <c r="AC296" s="52">
        <f>IFERROR(IF(O296="","",SUMIFS('CPL Mats'!F:F,'CPL Mats'!Q:Q,AR296,'CPL Mats'!S:S,AS296)),"")</f>
        <v>0</v>
      </c>
      <c r="AF296" s="25" t="str">
        <f>IF(SUMIFS('Supp Consol'!S:S,'Supp Consol'!Y:Y,"Releasable",'Supp Consol'!A:A,O296)=0,"",SUMIFS('Supp Consol'!S:S,'Supp Consol'!Y:Y,"Releasable",'Supp Consol'!A:A,O296))</f>
        <v/>
      </c>
      <c r="AG296" s="25" t="str">
        <f>IFERROR(INDEX('Hun Demand'!Q:Q,MATCH(O296,'Hun Demand'!A:A,0)),"")</f>
        <v/>
      </c>
      <c r="AH296" s="25" t="str">
        <f>IFERROR(INDEX('Hun Demand'!H:H,MATCH($O296,'Hun Demand'!$A:$A,0)),"")</f>
        <v/>
      </c>
      <c r="AI296" s="25" t="str">
        <f>IF(SUMIFS('Supp Consol'!AA:AA,'Supp Consol'!Z:Z,"Expires this month",'Supp Consol'!A:A,O296)=0,"",SUMIFS('Supp Consol'!AA:AA,'Supp Consol'!Z:Z,"Expires this month",'Supp Consol'!A:A,O296))</f>
        <v/>
      </c>
      <c r="AJ296" s="25" t="str">
        <f>IF(SUMIFS('Supp Consol'!AA:AA,'Supp Consol'!Z:Z,"Expired Previous Months",'Supp Consol'!A:A,O296)=0,"",SUMIFS('Supp Consol'!AA:AA,'Supp Consol'!Z:Z,"Expired Previous Months",'Supp Consol'!A:A,O296))</f>
        <v/>
      </c>
      <c r="AK296" s="25" t="str">
        <f>IFERROR(INDEX('Hun Release Current'!B:B,MATCH(O296,'Hun Release Current'!A:A,0)),"")</f>
        <v/>
      </c>
      <c r="AL296" s="25" t="str">
        <f>IF(SUMIF('Prev Aub'!A:A,O296,'Prev Aub'!B:B)=0,"",SUMIF('Prev Aub'!A:A,O296,'Prev Aub'!B:B))</f>
        <v/>
      </c>
      <c r="AN296" s="25" t="s">
        <v>3790</v>
      </c>
      <c r="AO296" s="25" t="s">
        <v>3790</v>
      </c>
      <c r="AP296" s="25">
        <f t="shared" si="118"/>
        <v>0</v>
      </c>
      <c r="AQ296" s="151" t="str">
        <f>IF(SUMIFS('Supp Consol'!S:S,'Supp Consol'!A:A,O296,'Supp Consol'!I:I,"PENDING")=0,"",SUMIFS('Supp Consol'!S:S,'Supp Consol'!A:A,O296,'Supp Consol'!I:I,"PENDING"))</f>
        <v/>
      </c>
      <c r="AR296" s="27" t="str">
        <f t="shared" si="119"/>
        <v>AT970</v>
      </c>
      <c r="AS296" s="27" t="str">
        <f t="shared" si="120"/>
        <v>62</v>
      </c>
      <c r="AT296" s="27" t="str">
        <f t="shared" si="121"/>
        <v/>
      </c>
      <c r="AU296" s="27" t="str">
        <f t="shared" si="122"/>
        <v/>
      </c>
      <c r="AV296" s="27" t="str">
        <f t="shared" si="123"/>
        <v/>
      </c>
      <c r="AW296" s="27" t="str">
        <f t="shared" si="124"/>
        <v/>
      </c>
      <c r="AX296" s="27" t="str">
        <f t="shared" si="125"/>
        <v/>
      </c>
      <c r="AY296" s="27" t="str">
        <f t="shared" si="126"/>
        <v/>
      </c>
      <c r="AZ296" s="27" t="str">
        <f t="shared" si="127"/>
        <v/>
      </c>
      <c r="BA296" s="27" t="str">
        <f t="shared" si="128"/>
        <v/>
      </c>
      <c r="BB296" s="27" t="str">
        <f t="shared" si="129"/>
        <v/>
      </c>
      <c r="BC296" s="27" t="str">
        <f t="shared" si="130"/>
        <v/>
      </c>
      <c r="BD296" s="27" t="str">
        <f t="shared" si="131"/>
        <v/>
      </c>
      <c r="BE296" s="27" t="str">
        <f t="shared" si="132"/>
        <v/>
      </c>
      <c r="BF296" s="27" t="str">
        <f t="shared" si="133"/>
        <v/>
      </c>
      <c r="BG296" s="27" t="str">
        <f t="shared" si="134"/>
        <v/>
      </c>
      <c r="BH296" s="27" t="str">
        <f t="shared" si="135"/>
        <v/>
      </c>
      <c r="BI296" s="27" t="str">
        <f t="shared" si="136"/>
        <v/>
      </c>
      <c r="BJ296" s="27" t="str">
        <f t="shared" si="137"/>
        <v/>
      </c>
      <c r="BK296" s="27" t="str">
        <f t="shared" si="138"/>
        <v/>
      </c>
      <c r="BL296" s="27" t="str">
        <f t="shared" si="139"/>
        <v/>
      </c>
      <c r="BM296" s="21" t="s">
        <v>5581</v>
      </c>
    </row>
    <row r="297" spans="1:65" ht="15">
      <c r="A297" s="25" t="str">
        <f>IFERROR(INDEX('Hun Demand'!W:W,MATCH(O297,'Hun Demand'!A:A,0)),"")</f>
        <v/>
      </c>
      <c r="B297" s="25" t="str">
        <f>IFERROR(INDEX('Hun Demand'!V:V,MATCH(O297,'Hun Demand'!A:A,0)),"")</f>
        <v/>
      </c>
      <c r="C297" s="25" t="str">
        <f>IFERROR(INDEX('Hun Demand'!U:U,MATCH(O297,'Hun Demand'!A:A,0)),"")</f>
        <v/>
      </c>
      <c r="D297" s="25" t="str">
        <f>IFERROR(INDEX('Hun Demand'!T:T,MATCH(O297,'Hun Demand'!A:A,0)),"")</f>
        <v/>
      </c>
      <c r="E297" s="25" t="str">
        <f>IFERROR(INDEX('Hun Demand'!S:S,MATCH(O297,'Hun Demand'!A:A,0)),"")</f>
        <v/>
      </c>
      <c r="F297" s="25" t="str">
        <f>IFERROR(INDEX('Hun Demand'!R:R,MATCH(O297,'Hun Demand'!A:A,0)),"")</f>
        <v/>
      </c>
      <c r="G297" s="25">
        <f>IFERROR(INDEX('Aub Demand'!W:W,MATCH(O297,'Aub Demand'!A:A,0)),"")</f>
        <v>0</v>
      </c>
      <c r="H297" s="25">
        <f>IFERROR(INDEX('Aub Demand'!V:V,MATCH(O297,'Aub Demand'!A:A,0)),"")</f>
        <v>27</v>
      </c>
      <c r="I297" s="25">
        <f>IFERROR(INDEX('Aub Demand'!U:U,MATCH(O297,'Aub Demand'!A:A,0)),"")</f>
        <v>138</v>
      </c>
      <c r="J297" s="25">
        <f>IFERROR(INDEX('Aub Demand'!T:T,MATCH(O297,'Aub Demand'!A:A,0)),"")</f>
        <v>51</v>
      </c>
      <c r="K297" s="25">
        <f>IFERROR(INDEX('Aub Demand'!S:S,MATCH(O297,'Aub Demand'!A:A,0)),"")</f>
        <v>0</v>
      </c>
      <c r="L297" s="25">
        <f>IFERROR(INDEX('Aub Demand'!R:R,MATCH(O297,'Aub Demand'!A:A,0)),"")</f>
        <v>0</v>
      </c>
      <c r="O297" s="27" t="s">
        <v>516</v>
      </c>
      <c r="P297" s="27" t="str">
        <f>IFERROR(INDEX('Aub Demand'!B:B,MATCH($O297,'Aub Demand'!$A:$A,0)),"")</f>
        <v>CORIANDER FIBER</v>
      </c>
      <c r="Q297" s="27" t="str">
        <f>IFERROR(INDEX('Aub Demand'!C:C,MATCH($O297,'Aub Demand'!$A:$A,0)),"")</f>
        <v>SUDDE</v>
      </c>
      <c r="R297" s="52">
        <f>IFERROR(IF(AR298=AR297,INDEX('Aub Demand'!K:K,MATCH($O297,'Aub Demand'!$A:$A,0))-IF(AN297="",0,AN297)+AP298,INDEX('Aub Demand'!K:K,MATCH($O297,'Aub Demand'!$A:$A,0))-IF(AN297="",0,AN297)),"")</f>
        <v>610</v>
      </c>
      <c r="S297" s="53">
        <f t="shared" si="112"/>
        <v>41.5</v>
      </c>
      <c r="T297" s="52" t="str">
        <f t="shared" si="113"/>
        <v/>
      </c>
      <c r="U297" s="52">
        <f>IFERROR(IF(AR298=AR297,INDEX('Aub Demand'!Q:Q,MATCH($O297,'Aub Demand'!$A:$A,0))-IF(AN297="",0,AN297)+AP298,INDEX('Aub Demand'!Q:Q,MATCH($O297,'Aub Demand'!$A:$A,0))-IF(AN297="",0,AN297)),"")</f>
        <v>574</v>
      </c>
      <c r="V297" s="53">
        <f t="shared" si="114"/>
        <v>39</v>
      </c>
      <c r="W297" s="52" t="str">
        <f t="shared" si="115"/>
        <v/>
      </c>
      <c r="X297" s="52">
        <f>IFERROR(IF(AND(AR298=AR297,AM297&lt;&gt;""),INDEX('Aub Demand'!Q:Q,MATCH($O297,'Aub Demand'!$A:$A,0))-IF(AN297="",0,AN297)+AP298+AD297+AL297,IF(AR298=AR297,INDEX('Aub Demand'!Q:Q,MATCH($O297,'Aub Demand'!$A:$A,0))-IF(AN297="",0,AN297)+AP298+AD297,IF(AM297&lt;&gt;"",INDEX('Aub Demand'!Q:Q,MATCH($O297,'Aub Demand'!$A:$A,0))-IF(AN297="",0,AN297)+AD297+AL297,INDEX('Aub Demand'!Q:Q,MATCH($O297,'Aub Demand'!$A:$A,0))-IF(AN297="",0,AN297)+AD297))),"")</f>
        <v>574</v>
      </c>
      <c r="Y297" s="53">
        <f t="shared" si="116"/>
        <v>39</v>
      </c>
      <c r="Z297" s="52">
        <f>IF(L297="","",INDEX('Aub Demand'!H:H,MATCH($O297,'Aub Demand'!$A:$A,0)))</f>
        <v>63</v>
      </c>
      <c r="AA297" s="52">
        <f t="shared" si="117"/>
        <v>94.5</v>
      </c>
      <c r="AB297" s="52">
        <f>IFERROR(INDEX('Aub Demand'!L:L,MATCH($O297,'Aub Demand'!$A:$A,0)),"")</f>
        <v>47</v>
      </c>
      <c r="AC297" s="52">
        <f>IFERROR(IF(O297="","",SUMIFS('CPL Mats'!F:F,'CPL Mats'!Q:Q,AR297,'CPL Mats'!S:S,AS297)),"")</f>
        <v>0</v>
      </c>
      <c r="AF297" s="25" t="str">
        <f>IF(SUMIFS('Supp Consol'!S:S,'Supp Consol'!Y:Y,"Releasable",'Supp Consol'!A:A,O297)=0,"",SUMIFS('Supp Consol'!S:S,'Supp Consol'!Y:Y,"Releasable",'Supp Consol'!A:A,O297))</f>
        <v/>
      </c>
      <c r="AG297" s="25" t="str">
        <f>IFERROR(INDEX('Hun Demand'!Q:Q,MATCH(O297,'Hun Demand'!A:A,0)),"")</f>
        <v/>
      </c>
      <c r="AH297" s="25" t="str">
        <f>IFERROR(INDEX('Hun Demand'!H:H,MATCH($O297,'Hun Demand'!$A:$A,0)),"")</f>
        <v/>
      </c>
      <c r="AI297" s="25" t="str">
        <f>IF(SUMIFS('Supp Consol'!AA:AA,'Supp Consol'!Z:Z,"Expires this month",'Supp Consol'!A:A,O297)=0,"",SUMIFS('Supp Consol'!AA:AA,'Supp Consol'!Z:Z,"Expires this month",'Supp Consol'!A:A,O297))</f>
        <v/>
      </c>
      <c r="AJ297" s="25" t="str">
        <f>IF(SUMIFS('Supp Consol'!AA:AA,'Supp Consol'!Z:Z,"Expired Previous Months",'Supp Consol'!A:A,O297)=0,"",SUMIFS('Supp Consol'!AA:AA,'Supp Consol'!Z:Z,"Expired Previous Months",'Supp Consol'!A:A,O297))</f>
        <v/>
      </c>
      <c r="AK297" s="25" t="str">
        <f>IFERROR(INDEX('Hun Release Current'!B:B,MATCH(O297,'Hun Release Current'!A:A,0)),"")</f>
        <v/>
      </c>
      <c r="AL297" s="25" t="str">
        <f>IF(SUMIF('Prev Aub'!A:A,O297,'Prev Aub'!B:B)=0,"",SUMIF('Prev Aub'!A:A,O297,'Prev Aub'!B:B))</f>
        <v/>
      </c>
      <c r="AN297" s="25" t="s">
        <v>3790</v>
      </c>
      <c r="AO297" s="25" t="s">
        <v>3790</v>
      </c>
      <c r="AP297" s="25">
        <f t="shared" si="118"/>
        <v>0</v>
      </c>
      <c r="AQ297" s="151" t="str">
        <f>IF(SUMIFS('Supp Consol'!S:S,'Supp Consol'!A:A,O297,'Supp Consol'!I:I,"PENDING")=0,"",SUMIFS('Supp Consol'!S:S,'Supp Consol'!A:A,O297,'Supp Consol'!I:I,"PENDING"))</f>
        <v/>
      </c>
      <c r="AR297" s="27" t="str">
        <f t="shared" si="119"/>
        <v>AT981</v>
      </c>
      <c r="AS297" s="27" t="str">
        <f t="shared" si="120"/>
        <v>50</v>
      </c>
      <c r="AT297" s="27" t="str">
        <f t="shared" si="121"/>
        <v/>
      </c>
      <c r="AU297" s="27" t="str">
        <f t="shared" si="122"/>
        <v/>
      </c>
      <c r="AV297" s="27" t="str">
        <f t="shared" si="123"/>
        <v/>
      </c>
      <c r="AW297" s="27" t="str">
        <f t="shared" si="124"/>
        <v/>
      </c>
      <c r="AX297" s="27" t="str">
        <f t="shared" si="125"/>
        <v/>
      </c>
      <c r="AY297" s="27" t="str">
        <f t="shared" si="126"/>
        <v/>
      </c>
      <c r="AZ297" s="27" t="str">
        <f t="shared" si="127"/>
        <v/>
      </c>
      <c r="BA297" s="27" t="str">
        <f t="shared" si="128"/>
        <v/>
      </c>
      <c r="BB297" s="27" t="str">
        <f t="shared" si="129"/>
        <v/>
      </c>
      <c r="BC297" s="27" t="str">
        <f t="shared" si="130"/>
        <v/>
      </c>
      <c r="BD297" s="27" t="str">
        <f t="shared" si="131"/>
        <v/>
      </c>
      <c r="BE297" s="27" t="str">
        <f t="shared" si="132"/>
        <v/>
      </c>
      <c r="BF297" s="27" t="str">
        <f t="shared" si="133"/>
        <v/>
      </c>
      <c r="BG297" s="27" t="str">
        <f t="shared" si="134"/>
        <v/>
      </c>
      <c r="BH297" s="27" t="str">
        <f t="shared" si="135"/>
        <v/>
      </c>
      <c r="BI297" s="27" t="str">
        <f t="shared" si="136"/>
        <v/>
      </c>
      <c r="BJ297" s="27" t="str">
        <f t="shared" si="137"/>
        <v/>
      </c>
      <c r="BK297" s="27" t="str">
        <f t="shared" si="138"/>
        <v/>
      </c>
      <c r="BL297" s="27" t="str">
        <f t="shared" si="139"/>
        <v/>
      </c>
      <c r="BM297" s="21" t="s">
        <v>5581</v>
      </c>
    </row>
    <row r="298" spans="1:65" ht="15">
      <c r="A298" s="25" t="str">
        <f>IFERROR(INDEX('Hun Demand'!W:W,MATCH(O298,'Hun Demand'!A:A,0)),"")</f>
        <v/>
      </c>
      <c r="B298" s="25" t="str">
        <f>IFERROR(INDEX('Hun Demand'!V:V,MATCH(O298,'Hun Demand'!A:A,0)),"")</f>
        <v/>
      </c>
      <c r="C298" s="25" t="str">
        <f>IFERROR(INDEX('Hun Demand'!U:U,MATCH(O298,'Hun Demand'!A:A,0)),"")</f>
        <v/>
      </c>
      <c r="D298" s="25" t="str">
        <f>IFERROR(INDEX('Hun Demand'!T:T,MATCH(O298,'Hun Demand'!A:A,0)),"")</f>
        <v/>
      </c>
      <c r="E298" s="25" t="str">
        <f>IFERROR(INDEX('Hun Demand'!S:S,MATCH(O298,'Hun Demand'!A:A,0)),"")</f>
        <v/>
      </c>
      <c r="F298" s="25" t="str">
        <f>IFERROR(INDEX('Hun Demand'!R:R,MATCH(O298,'Hun Demand'!A:A,0)),"")</f>
        <v/>
      </c>
      <c r="G298" s="25">
        <f>IFERROR(INDEX('Aub Demand'!W:W,MATCH(O298,'Aub Demand'!A:A,0)),"")</f>
        <v>64</v>
      </c>
      <c r="H298" s="25">
        <f>IFERROR(INDEX('Aub Demand'!V:V,MATCH(O298,'Aub Demand'!A:A,0)),"")</f>
        <v>0</v>
      </c>
      <c r="I298" s="25">
        <f>IFERROR(INDEX('Aub Demand'!U:U,MATCH(O298,'Aub Demand'!A:A,0)),"")</f>
        <v>0</v>
      </c>
      <c r="J298" s="25">
        <f>IFERROR(INDEX('Aub Demand'!T:T,MATCH(O298,'Aub Demand'!A:A,0)),"")</f>
        <v>0</v>
      </c>
      <c r="K298" s="25">
        <f>IFERROR(INDEX('Aub Demand'!S:S,MATCH(O298,'Aub Demand'!A:A,0)),"")</f>
        <v>0</v>
      </c>
      <c r="L298" s="25">
        <f>IFERROR(INDEX('Aub Demand'!R:R,MATCH(O298,'Aub Demand'!A:A,0)),"")</f>
        <v>0</v>
      </c>
      <c r="O298" s="27" t="s">
        <v>518</v>
      </c>
      <c r="P298" s="27" t="str">
        <f>IFERROR(INDEX('Aub Demand'!B:B,MATCH($O298,'Aub Demand'!$A:$A,0)),"")</f>
        <v>CORIANDER FIBER</v>
      </c>
      <c r="Q298" s="27" t="str">
        <f>IFERROR(INDEX('Aub Demand'!C:C,MATCH($O298,'Aub Demand'!$A:$A,0)),"")</f>
        <v>SUDDE</v>
      </c>
      <c r="R298" s="52">
        <f>IFERROR(IF(AR299=AR298,INDEX('Aub Demand'!K:K,MATCH($O298,'Aub Demand'!$A:$A,0))-IF(AN298="",0,AN298)+AP299,INDEX('Aub Demand'!K:K,MATCH($O298,'Aub Demand'!$A:$A,0))-IF(AN298="",0,AN298)),"")</f>
        <v>1810</v>
      </c>
      <c r="S298" s="53" t="str">
        <f t="shared" si="112"/>
        <v>n/a</v>
      </c>
      <c r="T298" s="52" t="str">
        <f t="shared" si="113"/>
        <v/>
      </c>
      <c r="U298" s="52">
        <f>IFERROR(IF(AR299=AR298,INDEX('Aub Demand'!Q:Q,MATCH($O298,'Aub Demand'!$A:$A,0))-IF(AN298="",0,AN298)+AP299,INDEX('Aub Demand'!Q:Q,MATCH($O298,'Aub Demand'!$A:$A,0))-IF(AN298="",0,AN298)),"")</f>
        <v>1810</v>
      </c>
      <c r="V298" s="53" t="str">
        <f t="shared" si="114"/>
        <v>n/a</v>
      </c>
      <c r="W298" s="52" t="str">
        <f t="shared" si="115"/>
        <v/>
      </c>
      <c r="X298" s="52">
        <f>IFERROR(IF(AND(AR299=AR298,AM298&lt;&gt;""),INDEX('Aub Demand'!Q:Q,MATCH($O298,'Aub Demand'!$A:$A,0))-IF(AN298="",0,AN298)+AP299+AD298+AL298,IF(AR299=AR298,INDEX('Aub Demand'!Q:Q,MATCH($O298,'Aub Demand'!$A:$A,0))-IF(AN298="",0,AN298)+AP299+AD298,IF(AM298&lt;&gt;"",INDEX('Aub Demand'!Q:Q,MATCH($O298,'Aub Demand'!$A:$A,0))-IF(AN298="",0,AN298)+AD298+AL298,INDEX('Aub Demand'!Q:Q,MATCH($O298,'Aub Demand'!$A:$A,0))-IF(AN298="",0,AN298)+AD298))),"")</f>
        <v>1810</v>
      </c>
      <c r="Y298" s="53" t="str">
        <f t="shared" si="116"/>
        <v>n/a</v>
      </c>
      <c r="Z298" s="52">
        <f>IF(L298="","",INDEX('Aub Demand'!H:H,MATCH($O298,'Aub Demand'!$A:$A,0)))</f>
        <v>0</v>
      </c>
      <c r="AA298" s="52" t="str">
        <f t="shared" si="117"/>
        <v>-spike-</v>
      </c>
      <c r="AB298" s="52">
        <f>IFERROR(INDEX('Aub Demand'!L:L,MATCH($O298,'Aub Demand'!$A:$A,0)),"")</f>
        <v>0</v>
      </c>
      <c r="AC298" s="52">
        <f>IFERROR(IF(O298="","",SUMIFS('CPL Mats'!F:F,'CPL Mats'!Q:Q,AR298,'CPL Mats'!S:S,AS298)),"")</f>
        <v>0</v>
      </c>
      <c r="AF298" s="25" t="str">
        <f>IF(SUMIFS('Supp Consol'!S:S,'Supp Consol'!Y:Y,"Releasable",'Supp Consol'!A:A,O298)=0,"",SUMIFS('Supp Consol'!S:S,'Supp Consol'!Y:Y,"Releasable",'Supp Consol'!A:A,O298))</f>
        <v/>
      </c>
      <c r="AG298" s="25" t="str">
        <f>IFERROR(INDEX('Hun Demand'!Q:Q,MATCH(O298,'Hun Demand'!A:A,0)),"")</f>
        <v/>
      </c>
      <c r="AH298" s="25" t="str">
        <f>IFERROR(INDEX('Hun Demand'!H:H,MATCH($O298,'Hun Demand'!$A:$A,0)),"")</f>
        <v/>
      </c>
      <c r="AI298" s="25" t="str">
        <f>IF(SUMIFS('Supp Consol'!AA:AA,'Supp Consol'!Z:Z,"Expires this month",'Supp Consol'!A:A,O298)=0,"",SUMIFS('Supp Consol'!AA:AA,'Supp Consol'!Z:Z,"Expires this month",'Supp Consol'!A:A,O298))</f>
        <v/>
      </c>
      <c r="AJ298" s="25" t="str">
        <f>IF(SUMIFS('Supp Consol'!AA:AA,'Supp Consol'!Z:Z,"Expired Previous Months",'Supp Consol'!A:A,O298)=0,"",SUMIFS('Supp Consol'!AA:AA,'Supp Consol'!Z:Z,"Expired Previous Months",'Supp Consol'!A:A,O298))</f>
        <v/>
      </c>
      <c r="AK298" s="25" t="str">
        <f>IFERROR(INDEX('Hun Release Current'!B:B,MATCH(O298,'Hun Release Current'!A:A,0)),"")</f>
        <v/>
      </c>
      <c r="AL298" s="25" t="str">
        <f>IF(SUMIF('Prev Aub'!A:A,O298,'Prev Aub'!B:B)=0,"",SUMIF('Prev Aub'!A:A,O298,'Prev Aub'!B:B))</f>
        <v/>
      </c>
      <c r="AN298" s="25" t="s">
        <v>3790</v>
      </c>
      <c r="AO298" s="25" t="s">
        <v>3790</v>
      </c>
      <c r="AP298" s="25">
        <f t="shared" si="118"/>
        <v>0</v>
      </c>
      <c r="AQ298" s="151" t="str">
        <f>IF(SUMIFS('Supp Consol'!S:S,'Supp Consol'!A:A,O298,'Supp Consol'!I:I,"PENDING")=0,"",SUMIFS('Supp Consol'!S:S,'Supp Consol'!A:A,O298,'Supp Consol'!I:I,"PENDING"))</f>
        <v/>
      </c>
      <c r="AR298" s="27" t="str">
        <f t="shared" si="119"/>
        <v>AT981</v>
      </c>
      <c r="AS298" s="27" t="str">
        <f t="shared" si="120"/>
        <v>62</v>
      </c>
      <c r="AT298" s="27" t="str">
        <f t="shared" si="121"/>
        <v/>
      </c>
      <c r="AU298" s="27" t="str">
        <f t="shared" si="122"/>
        <v/>
      </c>
      <c r="AV298" s="27" t="str">
        <f t="shared" si="123"/>
        <v/>
      </c>
      <c r="AW298" s="27" t="str">
        <f t="shared" si="124"/>
        <v/>
      </c>
      <c r="AX298" s="27" t="str">
        <f t="shared" si="125"/>
        <v/>
      </c>
      <c r="AY298" s="27" t="str">
        <f t="shared" si="126"/>
        <v/>
      </c>
      <c r="AZ298" s="27" t="str">
        <f t="shared" si="127"/>
        <v/>
      </c>
      <c r="BA298" s="27" t="str">
        <f t="shared" si="128"/>
        <v/>
      </c>
      <c r="BB298" s="27" t="str">
        <f t="shared" si="129"/>
        <v/>
      </c>
      <c r="BC298" s="27" t="str">
        <f t="shared" si="130"/>
        <v/>
      </c>
      <c r="BD298" s="27" t="str">
        <f t="shared" si="131"/>
        <v/>
      </c>
      <c r="BE298" s="27" t="str">
        <f t="shared" si="132"/>
        <v/>
      </c>
      <c r="BF298" s="27" t="str">
        <f t="shared" si="133"/>
        <v/>
      </c>
      <c r="BG298" s="27" t="str">
        <f t="shared" si="134"/>
        <v/>
      </c>
      <c r="BH298" s="27" t="str">
        <f t="shared" si="135"/>
        <v/>
      </c>
      <c r="BI298" s="27" t="str">
        <f t="shared" si="136"/>
        <v/>
      </c>
      <c r="BJ298" s="27" t="str">
        <f t="shared" si="137"/>
        <v/>
      </c>
      <c r="BK298" s="27" t="str">
        <f t="shared" si="138"/>
        <v/>
      </c>
      <c r="BL298" s="27" t="str">
        <f t="shared" si="139"/>
        <v/>
      </c>
      <c r="BM298" s="21" t="s">
        <v>5581</v>
      </c>
    </row>
    <row r="299" spans="1:65" ht="15">
      <c r="A299" s="25">
        <f>IFERROR(INDEX('Hun Demand'!W:W,MATCH(O299,'Hun Demand'!A:A,0)),"")</f>
        <v>0</v>
      </c>
      <c r="B299" s="25">
        <f>IFERROR(INDEX('Hun Demand'!V:V,MATCH(O299,'Hun Demand'!A:A,0)),"")</f>
        <v>0</v>
      </c>
      <c r="C299" s="25">
        <f>IFERROR(INDEX('Hun Demand'!U:U,MATCH(O299,'Hun Demand'!A:A,0)),"")</f>
        <v>96</v>
      </c>
      <c r="D299" s="25">
        <f>IFERROR(INDEX('Hun Demand'!T:T,MATCH(O299,'Hun Demand'!A:A,0)),"")</f>
        <v>0</v>
      </c>
      <c r="E299" s="25">
        <f>IFERROR(INDEX('Hun Demand'!S:S,MATCH(O299,'Hun Demand'!A:A,0)),"")</f>
        <v>0</v>
      </c>
      <c r="F299" s="25">
        <f>IFERROR(INDEX('Hun Demand'!R:R,MATCH(O299,'Hun Demand'!A:A,0)),"")</f>
        <v>0</v>
      </c>
      <c r="G299" s="25">
        <f>IFERROR(INDEX('Aub Demand'!W:W,MATCH(O299,'Aub Demand'!A:A,0)),"")</f>
        <v>0</v>
      </c>
      <c r="H299" s="25">
        <f>IFERROR(INDEX('Aub Demand'!V:V,MATCH(O299,'Aub Demand'!A:A,0)),"")</f>
        <v>96</v>
      </c>
      <c r="I299" s="25">
        <f>IFERROR(INDEX('Aub Demand'!U:U,MATCH(O299,'Aub Demand'!A:A,0)),"")</f>
        <v>8</v>
      </c>
      <c r="J299" s="25">
        <f>IFERROR(INDEX('Aub Demand'!T:T,MATCH(O299,'Aub Demand'!A:A,0)),"")</f>
        <v>82</v>
      </c>
      <c r="K299" s="25">
        <f>IFERROR(INDEX('Aub Demand'!S:S,MATCH(O299,'Aub Demand'!A:A,0)),"")</f>
        <v>37</v>
      </c>
      <c r="L299" s="25">
        <f>IFERROR(INDEX('Aub Demand'!R:R,MATCH(O299,'Aub Demand'!A:A,0)),"")</f>
        <v>0</v>
      </c>
      <c r="O299" s="27" t="s">
        <v>519</v>
      </c>
      <c r="P299" s="27" t="str">
        <f>IFERROR(INDEX('Aub Demand'!B:B,MATCH($O299,'Aub Demand'!$A:$A,0)),"")</f>
        <v>BEACHCOMBER</v>
      </c>
      <c r="Q299" s="27" t="str">
        <f>IFERROR(INDEX('Aub Demand'!C:C,MATCH($O299,'Aub Demand'!$A:$A,0)),"")</f>
        <v>AHLST</v>
      </c>
      <c r="R299" s="52">
        <f>IFERROR(IF(AR300=AR299,INDEX('Aub Demand'!K:K,MATCH($O299,'Aub Demand'!$A:$A,0))-IF(AN299="",0,AN299)+AP300,INDEX('Aub Demand'!K:K,MATCH($O299,'Aub Demand'!$A:$A,0))-IF(AN299="",0,AN299)),"")</f>
        <v>1703</v>
      </c>
      <c r="S299" s="53">
        <f t="shared" si="112"/>
        <v>173.8</v>
      </c>
      <c r="T299" s="52" t="str">
        <f t="shared" si="113"/>
        <v/>
      </c>
      <c r="U299" s="52">
        <f>IFERROR(IF(AR300=AR299,INDEX('Aub Demand'!Q:Q,MATCH($O299,'Aub Demand'!$A:$A,0))-IF(AN299="",0,AN299)+AP300,INDEX('Aub Demand'!Q:Q,MATCH($O299,'Aub Demand'!$A:$A,0))-IF(AN299="",0,AN299)),"")</f>
        <v>1685</v>
      </c>
      <c r="V299" s="53">
        <f t="shared" si="114"/>
        <v>171.9</v>
      </c>
      <c r="W299" s="52" t="str">
        <f t="shared" si="115"/>
        <v/>
      </c>
      <c r="X299" s="52">
        <f>IFERROR(IF(AND(AR300=AR299,AM299&lt;&gt;""),INDEX('Aub Demand'!Q:Q,MATCH($O299,'Aub Demand'!$A:$A,0))-IF(AN299="",0,AN299)+AP300+AD299+AL299,IF(AR300=AR299,INDEX('Aub Demand'!Q:Q,MATCH($O299,'Aub Demand'!$A:$A,0))-IF(AN299="",0,AN299)+AP300+AD299,IF(AM299&lt;&gt;"",INDEX('Aub Demand'!Q:Q,MATCH($O299,'Aub Demand'!$A:$A,0))-IF(AN299="",0,AN299)+AD299+AL299,INDEX('Aub Demand'!Q:Q,MATCH($O299,'Aub Demand'!$A:$A,0))-IF(AN299="",0,AN299)+AD299))),"")</f>
        <v>1685</v>
      </c>
      <c r="Y299" s="53">
        <f t="shared" si="116"/>
        <v>171.9</v>
      </c>
      <c r="Z299" s="52">
        <f>IF(L299="","",INDEX('Aub Demand'!H:H,MATCH($O299,'Aub Demand'!$A:$A,0)))</f>
        <v>42</v>
      </c>
      <c r="AA299" s="52">
        <f t="shared" si="117"/>
        <v>59.5</v>
      </c>
      <c r="AB299" s="52">
        <f>IFERROR(INDEX('Aub Demand'!L:L,MATCH($O299,'Aub Demand'!$A:$A,0)),"")</f>
        <v>42</v>
      </c>
      <c r="AC299" s="52">
        <f>IFERROR(IF(O299="","",SUMIFS('CPL Mats'!F:F,'CPL Mats'!Q:Q,AR299,'CPL Mats'!S:S,AS299)),"")</f>
        <v>0</v>
      </c>
      <c r="AF299" s="25" t="str">
        <f>IF(SUMIFS('Supp Consol'!S:S,'Supp Consol'!Y:Y,"Releasable",'Supp Consol'!A:A,O299)=0,"",SUMIFS('Supp Consol'!S:S,'Supp Consol'!Y:Y,"Releasable",'Supp Consol'!A:A,O299))</f>
        <v/>
      </c>
      <c r="AG299" s="25">
        <f>IFERROR(INDEX('Hun Demand'!Q:Q,MATCH(O299,'Hun Demand'!A:A,0)),"")</f>
        <v>0</v>
      </c>
      <c r="AH299" s="25">
        <f>IFERROR(INDEX('Hun Demand'!H:H,MATCH($O299,'Hun Demand'!$A:$A,0)),"")</f>
        <v>32</v>
      </c>
      <c r="AI299" s="25" t="str">
        <f>IF(SUMIFS('Supp Consol'!AA:AA,'Supp Consol'!Z:Z,"Expires this month",'Supp Consol'!A:A,O299)=0,"",SUMIFS('Supp Consol'!AA:AA,'Supp Consol'!Z:Z,"Expires this month",'Supp Consol'!A:A,O299))</f>
        <v/>
      </c>
      <c r="AJ299" s="25" t="str">
        <f>IF(SUMIFS('Supp Consol'!AA:AA,'Supp Consol'!Z:Z,"Expired Previous Months",'Supp Consol'!A:A,O299)=0,"",SUMIFS('Supp Consol'!AA:AA,'Supp Consol'!Z:Z,"Expired Previous Months",'Supp Consol'!A:A,O299))</f>
        <v/>
      </c>
      <c r="AK299" s="25" t="str">
        <f>IFERROR(INDEX('Hun Release Current'!B:B,MATCH(O299,'Hun Release Current'!A:A,0)),"")</f>
        <v/>
      </c>
      <c r="AL299" s="25" t="str">
        <f>IF(SUMIF('Prev Aub'!A:A,O299,'Prev Aub'!B:B)=0,"",SUMIF('Prev Aub'!A:A,O299,'Prev Aub'!B:B))</f>
        <v/>
      </c>
      <c r="AN299" s="25" t="s">
        <v>3790</v>
      </c>
      <c r="AO299" s="25" t="s">
        <v>3790</v>
      </c>
      <c r="AP299" s="25">
        <f t="shared" si="118"/>
        <v>0</v>
      </c>
      <c r="AQ299" s="151" t="str">
        <f>IF(SUMIFS('Supp Consol'!S:S,'Supp Consol'!A:A,O299,'Supp Consol'!I:I,"PENDING")=0,"",SUMIFS('Supp Consol'!S:S,'Supp Consol'!A:A,O299,'Supp Consol'!I:I,"PENDING"))</f>
        <v/>
      </c>
      <c r="AR299" s="27" t="str">
        <f t="shared" si="119"/>
        <v>AT988</v>
      </c>
      <c r="AS299" s="27" t="str">
        <f t="shared" si="120"/>
        <v>50</v>
      </c>
      <c r="AT299" s="27" t="str">
        <f t="shared" si="121"/>
        <v/>
      </c>
      <c r="AU299" s="27" t="str">
        <f t="shared" si="122"/>
        <v/>
      </c>
      <c r="AV299" s="27" t="str">
        <f t="shared" si="123"/>
        <v/>
      </c>
      <c r="AW299" s="27" t="str">
        <f t="shared" si="124"/>
        <v/>
      </c>
      <c r="AX299" s="27" t="str">
        <f t="shared" si="125"/>
        <v/>
      </c>
      <c r="AY299" s="27" t="str">
        <f t="shared" si="126"/>
        <v/>
      </c>
      <c r="AZ299" s="27" t="str">
        <f t="shared" si="127"/>
        <v/>
      </c>
      <c r="BA299" s="27" t="str">
        <f t="shared" si="128"/>
        <v/>
      </c>
      <c r="BB299" s="27" t="str">
        <f t="shared" si="129"/>
        <v/>
      </c>
      <c r="BC299" s="27" t="str">
        <f t="shared" si="130"/>
        <v/>
      </c>
      <c r="BD299" s="27" t="str">
        <f t="shared" si="131"/>
        <v/>
      </c>
      <c r="BE299" s="27" t="str">
        <f t="shared" si="132"/>
        <v/>
      </c>
      <c r="BF299" s="27" t="str">
        <f t="shared" si="133"/>
        <v/>
      </c>
      <c r="BG299" s="27" t="str">
        <f t="shared" si="134"/>
        <v/>
      </c>
      <c r="BH299" s="27" t="str">
        <f t="shared" si="135"/>
        <v/>
      </c>
      <c r="BI299" s="27" t="str">
        <f t="shared" si="136"/>
        <v/>
      </c>
      <c r="BJ299" s="27" t="str">
        <f t="shared" si="137"/>
        <v/>
      </c>
      <c r="BK299" s="27" t="str">
        <f t="shared" si="138"/>
        <v/>
      </c>
      <c r="BL299" s="27" t="str">
        <f t="shared" si="139"/>
        <v/>
      </c>
      <c r="BM299" s="21" t="s">
        <v>5581</v>
      </c>
    </row>
    <row r="300" spans="1:65" ht="15">
      <c r="A300" s="25" t="str">
        <f>IFERROR(INDEX('Hun Demand'!W:W,MATCH(O300,'Hun Demand'!A:A,0)),"")</f>
        <v/>
      </c>
      <c r="B300" s="25" t="str">
        <f>IFERROR(INDEX('Hun Demand'!V:V,MATCH(O300,'Hun Demand'!A:A,0)),"")</f>
        <v/>
      </c>
      <c r="C300" s="25" t="str">
        <f>IFERROR(INDEX('Hun Demand'!U:U,MATCH(O300,'Hun Demand'!A:A,0)),"")</f>
        <v/>
      </c>
      <c r="D300" s="25" t="str">
        <f>IFERROR(INDEX('Hun Demand'!T:T,MATCH(O300,'Hun Demand'!A:A,0)),"")</f>
        <v/>
      </c>
      <c r="E300" s="25" t="str">
        <f>IFERROR(INDEX('Hun Demand'!S:S,MATCH(O300,'Hun Demand'!A:A,0)),"")</f>
        <v/>
      </c>
      <c r="F300" s="25" t="str">
        <f>IFERROR(INDEX('Hun Demand'!R:R,MATCH(O300,'Hun Demand'!A:A,0)),"")</f>
        <v/>
      </c>
      <c r="G300" s="25">
        <f>IFERROR(INDEX('Aub Demand'!W:W,MATCH(O300,'Aub Demand'!A:A,0)),"")</f>
        <v>42</v>
      </c>
      <c r="H300" s="25">
        <f>IFERROR(INDEX('Aub Demand'!V:V,MATCH(O300,'Aub Demand'!A:A,0)),"")</f>
        <v>133</v>
      </c>
      <c r="I300" s="25">
        <f>IFERROR(INDEX('Aub Demand'!U:U,MATCH(O300,'Aub Demand'!A:A,0)),"")</f>
        <v>71</v>
      </c>
      <c r="J300" s="25">
        <f>IFERROR(INDEX('Aub Demand'!T:T,MATCH(O300,'Aub Demand'!A:A,0)),"")</f>
        <v>0</v>
      </c>
      <c r="K300" s="25">
        <f>IFERROR(INDEX('Aub Demand'!S:S,MATCH(O300,'Aub Demand'!A:A,0)),"")</f>
        <v>89</v>
      </c>
      <c r="L300" s="25">
        <f>IFERROR(INDEX('Aub Demand'!R:R,MATCH(O300,'Aub Demand'!A:A,0)),"")</f>
        <v>0</v>
      </c>
      <c r="O300" s="27" t="s">
        <v>522</v>
      </c>
      <c r="P300" s="27" t="str">
        <f>IFERROR(INDEX('Aub Demand'!B:B,MATCH($O300,'Aub Demand'!$A:$A,0)),"")</f>
        <v>BEACHCOMBER</v>
      </c>
      <c r="Q300" s="27" t="str">
        <f>IFERROR(INDEX('Aub Demand'!C:C,MATCH($O300,'Aub Demand'!$A:$A,0)),"")</f>
        <v>AHLST</v>
      </c>
      <c r="R300" s="52">
        <f>IFERROR(IF(AR301=AR300,INDEX('Aub Demand'!K:K,MATCH($O300,'Aub Demand'!$A:$A,0))-IF(AN300="",0,AN300)+AP301,INDEX('Aub Demand'!K:K,MATCH($O300,'Aub Demand'!$A:$A,0))-IF(AN300="",0,AN300)),"")</f>
        <v>765</v>
      </c>
      <c r="S300" s="53">
        <f t="shared" si="112"/>
        <v>61.9</v>
      </c>
      <c r="T300" s="52" t="str">
        <f t="shared" si="113"/>
        <v/>
      </c>
      <c r="U300" s="52">
        <f>IFERROR(IF(AR301=AR300,INDEX('Aub Demand'!Q:Q,MATCH($O300,'Aub Demand'!$A:$A,0))-IF(AN300="",0,AN300)+AP301,INDEX('Aub Demand'!Q:Q,MATCH($O300,'Aub Demand'!$A:$A,0))-IF(AN300="",0,AN300)),"")</f>
        <v>696</v>
      </c>
      <c r="V300" s="53">
        <f t="shared" si="114"/>
        <v>56.3</v>
      </c>
      <c r="W300" s="52" t="str">
        <f t="shared" si="115"/>
        <v/>
      </c>
      <c r="X300" s="52">
        <f>IFERROR(IF(AND(AR301=AR300,AM300&lt;&gt;""),INDEX('Aub Demand'!Q:Q,MATCH($O300,'Aub Demand'!$A:$A,0))-IF(AN300="",0,AN300)+AP301+AD300+AL300,IF(AR301=AR300,INDEX('Aub Demand'!Q:Q,MATCH($O300,'Aub Demand'!$A:$A,0))-IF(AN300="",0,AN300)+AP301+AD300,IF(AM300&lt;&gt;"",INDEX('Aub Demand'!Q:Q,MATCH($O300,'Aub Demand'!$A:$A,0))-IF(AN300="",0,AN300)+AD300+AL300,INDEX('Aub Demand'!Q:Q,MATCH($O300,'Aub Demand'!$A:$A,0))-IF(AN300="",0,AN300)+AD300))),"")</f>
        <v>696</v>
      </c>
      <c r="Y300" s="53">
        <f t="shared" si="116"/>
        <v>56.3</v>
      </c>
      <c r="Z300" s="52">
        <f>IF(L300="","",INDEX('Aub Demand'!H:H,MATCH($O300,'Aub Demand'!$A:$A,0)))</f>
        <v>53</v>
      </c>
      <c r="AA300" s="52">
        <f t="shared" si="117"/>
        <v>80</v>
      </c>
      <c r="AB300" s="52">
        <f>IFERROR(INDEX('Aub Demand'!L:L,MATCH($O300,'Aub Demand'!$A:$A,0)),"")</f>
        <v>33</v>
      </c>
      <c r="AC300" s="52">
        <f>IFERROR(IF(O300="","",SUMIFS('CPL Mats'!F:F,'CPL Mats'!Q:Q,AR300,'CPL Mats'!S:S,AS300)),"")</f>
        <v>0</v>
      </c>
      <c r="AF300" s="25" t="str">
        <f>IF(SUMIFS('Supp Consol'!S:S,'Supp Consol'!Y:Y,"Releasable",'Supp Consol'!A:A,O300)=0,"",SUMIFS('Supp Consol'!S:S,'Supp Consol'!Y:Y,"Releasable",'Supp Consol'!A:A,O300))</f>
        <v/>
      </c>
      <c r="AG300" s="25" t="str">
        <f>IFERROR(INDEX('Hun Demand'!Q:Q,MATCH(O300,'Hun Demand'!A:A,0)),"")</f>
        <v/>
      </c>
      <c r="AH300" s="25" t="str">
        <f>IFERROR(INDEX('Hun Demand'!H:H,MATCH($O300,'Hun Demand'!$A:$A,0)),"")</f>
        <v/>
      </c>
      <c r="AI300" s="25" t="str">
        <f>IF(SUMIFS('Supp Consol'!AA:AA,'Supp Consol'!Z:Z,"Expires this month",'Supp Consol'!A:A,O300)=0,"",SUMIFS('Supp Consol'!AA:AA,'Supp Consol'!Z:Z,"Expires this month",'Supp Consol'!A:A,O300))</f>
        <v/>
      </c>
      <c r="AJ300" s="25" t="str">
        <f>IF(SUMIFS('Supp Consol'!AA:AA,'Supp Consol'!Z:Z,"Expired Previous Months",'Supp Consol'!A:A,O300)=0,"",SUMIFS('Supp Consol'!AA:AA,'Supp Consol'!Z:Z,"Expired Previous Months",'Supp Consol'!A:A,O300))</f>
        <v/>
      </c>
      <c r="AK300" s="25" t="str">
        <f>IFERROR(INDEX('Hun Release Current'!B:B,MATCH(O300,'Hun Release Current'!A:A,0)),"")</f>
        <v/>
      </c>
      <c r="AL300" s="25" t="str">
        <f>IF(SUMIF('Prev Aub'!A:A,O300,'Prev Aub'!B:B)=0,"",SUMIF('Prev Aub'!A:A,O300,'Prev Aub'!B:B))</f>
        <v/>
      </c>
      <c r="AN300" s="25" t="s">
        <v>3790</v>
      </c>
      <c r="AO300" s="25" t="s">
        <v>3790</v>
      </c>
      <c r="AP300" s="25">
        <f t="shared" si="118"/>
        <v>0</v>
      </c>
      <c r="AQ300" s="151" t="str">
        <f>IF(SUMIFS('Supp Consol'!S:S,'Supp Consol'!A:A,O300,'Supp Consol'!I:I,"PENDING")=0,"",SUMIFS('Supp Consol'!S:S,'Supp Consol'!A:A,O300,'Supp Consol'!I:I,"PENDING"))</f>
        <v/>
      </c>
      <c r="AR300" s="27" t="str">
        <f t="shared" si="119"/>
        <v>AT988</v>
      </c>
      <c r="AS300" s="27" t="str">
        <f t="shared" si="120"/>
        <v>62</v>
      </c>
      <c r="AT300" s="27" t="str">
        <f t="shared" si="121"/>
        <v/>
      </c>
      <c r="AU300" s="27" t="str">
        <f t="shared" si="122"/>
        <v/>
      </c>
      <c r="AV300" s="27" t="str">
        <f t="shared" si="123"/>
        <v/>
      </c>
      <c r="AW300" s="27" t="str">
        <f t="shared" si="124"/>
        <v/>
      </c>
      <c r="AX300" s="27" t="str">
        <f t="shared" si="125"/>
        <v/>
      </c>
      <c r="AY300" s="27" t="str">
        <f t="shared" si="126"/>
        <v/>
      </c>
      <c r="AZ300" s="27" t="str">
        <f t="shared" si="127"/>
        <v/>
      </c>
      <c r="BA300" s="27" t="str">
        <f t="shared" si="128"/>
        <v/>
      </c>
      <c r="BB300" s="27" t="str">
        <f t="shared" si="129"/>
        <v/>
      </c>
      <c r="BC300" s="27" t="str">
        <f t="shared" si="130"/>
        <v/>
      </c>
      <c r="BD300" s="27" t="str">
        <f t="shared" si="131"/>
        <v/>
      </c>
      <c r="BE300" s="27" t="str">
        <f t="shared" si="132"/>
        <v/>
      </c>
      <c r="BF300" s="27" t="str">
        <f t="shared" si="133"/>
        <v/>
      </c>
      <c r="BG300" s="27" t="str">
        <f t="shared" si="134"/>
        <v/>
      </c>
      <c r="BH300" s="27" t="str">
        <f t="shared" si="135"/>
        <v/>
      </c>
      <c r="BI300" s="27" t="str">
        <f t="shared" si="136"/>
        <v/>
      </c>
      <c r="BJ300" s="27" t="str">
        <f t="shared" si="137"/>
        <v/>
      </c>
      <c r="BK300" s="27" t="str">
        <f t="shared" si="138"/>
        <v/>
      </c>
      <c r="BL300" s="27" t="str">
        <f t="shared" si="139"/>
        <v/>
      </c>
      <c r="BM300" s="21" t="s">
        <v>5581</v>
      </c>
    </row>
    <row r="301" spans="1:65" ht="15">
      <c r="A301" s="25" t="str">
        <f>IFERROR(INDEX('Hun Demand'!W:W,MATCH(O301,'Hun Demand'!A:A,0)),"")</f>
        <v/>
      </c>
      <c r="B301" s="25" t="str">
        <f>IFERROR(INDEX('Hun Demand'!V:V,MATCH(O301,'Hun Demand'!A:A,0)),"")</f>
        <v/>
      </c>
      <c r="C301" s="25" t="str">
        <f>IFERROR(INDEX('Hun Demand'!U:U,MATCH(O301,'Hun Demand'!A:A,0)),"")</f>
        <v/>
      </c>
      <c r="D301" s="25" t="str">
        <f>IFERROR(INDEX('Hun Demand'!T:T,MATCH(O301,'Hun Demand'!A:A,0)),"")</f>
        <v/>
      </c>
      <c r="E301" s="25" t="str">
        <f>IFERROR(INDEX('Hun Demand'!S:S,MATCH(O301,'Hun Demand'!A:A,0)),"")</f>
        <v/>
      </c>
      <c r="F301" s="25" t="str">
        <f>IFERROR(INDEX('Hun Demand'!R:R,MATCH(O301,'Hun Demand'!A:A,0)),"")</f>
        <v/>
      </c>
      <c r="G301" s="25">
        <f>IFERROR(INDEX('Aub Demand'!W:W,MATCH(O301,'Aub Demand'!A:A,0)),"")</f>
        <v>0</v>
      </c>
      <c r="H301" s="25">
        <f>IFERROR(INDEX('Aub Demand'!V:V,MATCH(O301,'Aub Demand'!A:A,0)),"")</f>
        <v>0</v>
      </c>
      <c r="I301" s="25">
        <f>IFERROR(INDEX('Aub Demand'!U:U,MATCH(O301,'Aub Demand'!A:A,0)),"")</f>
        <v>0</v>
      </c>
      <c r="J301" s="25">
        <f>IFERROR(INDEX('Aub Demand'!T:T,MATCH(O301,'Aub Demand'!A:A,0)),"")</f>
        <v>53</v>
      </c>
      <c r="K301" s="25">
        <f>IFERROR(INDEX('Aub Demand'!S:S,MATCH(O301,'Aub Demand'!A:A,0)),"")</f>
        <v>0</v>
      </c>
      <c r="L301" s="25">
        <f>IFERROR(INDEX('Aub Demand'!R:R,MATCH(O301,'Aub Demand'!A:A,0)),"")</f>
        <v>0</v>
      </c>
      <c r="O301" s="27" t="s">
        <v>523</v>
      </c>
      <c r="P301" s="27" t="str">
        <f>IFERROR(INDEX('Aub Demand'!B:B,MATCH($O301,'Aub Demand'!$A:$A,0)),"")</f>
        <v>WHEAT FIBER</v>
      </c>
      <c r="Q301" s="27" t="str">
        <f>IFERROR(INDEX('Aub Demand'!C:C,MATCH($O301,'Aub Demand'!$A:$A,0)),"")</f>
        <v>SUDDE</v>
      </c>
      <c r="R301" s="52">
        <f>IFERROR(IF(AR302=AR301,INDEX('Aub Demand'!K:K,MATCH($O301,'Aub Demand'!$A:$A,0))-IF(AN301="",0,AN301)+AP302,INDEX('Aub Demand'!K:K,MATCH($O301,'Aub Demand'!$A:$A,0))-IF(AN301="",0,AN301)),"")</f>
        <v>1031</v>
      </c>
      <c r="S301" s="53">
        <f t="shared" si="112"/>
        <v>245.5</v>
      </c>
      <c r="T301" s="52" t="str">
        <f t="shared" si="113"/>
        <v/>
      </c>
      <c r="U301" s="52">
        <f>IFERROR(IF(AR302=AR301,INDEX('Aub Demand'!Q:Q,MATCH($O301,'Aub Demand'!$A:$A,0))-IF(AN301="",0,AN301)+AP302,INDEX('Aub Demand'!Q:Q,MATCH($O301,'Aub Demand'!$A:$A,0))-IF(AN301="",0,AN301)),"")</f>
        <v>1009</v>
      </c>
      <c r="V301" s="53">
        <f t="shared" si="114"/>
        <v>240.2</v>
      </c>
      <c r="W301" s="52" t="str">
        <f t="shared" si="115"/>
        <v/>
      </c>
      <c r="X301" s="52">
        <f>IFERROR(IF(AND(AR302=AR301,AM301&lt;&gt;""),INDEX('Aub Demand'!Q:Q,MATCH($O301,'Aub Demand'!$A:$A,0))-IF(AN301="",0,AN301)+AP302+AD301+AL301,IF(AR302=AR301,INDEX('Aub Demand'!Q:Q,MATCH($O301,'Aub Demand'!$A:$A,0))-IF(AN301="",0,AN301)+AP302+AD301,IF(AM301&lt;&gt;"",INDEX('Aub Demand'!Q:Q,MATCH($O301,'Aub Demand'!$A:$A,0))-IF(AN301="",0,AN301)+AD301+AL301,INDEX('Aub Demand'!Q:Q,MATCH($O301,'Aub Demand'!$A:$A,0))-IF(AN301="",0,AN301)+AD301))),"")</f>
        <v>1009</v>
      </c>
      <c r="Y301" s="53">
        <f t="shared" si="116"/>
        <v>240.2</v>
      </c>
      <c r="Z301" s="52">
        <f>IF(L301="","",INDEX('Aub Demand'!H:H,MATCH($O301,'Aub Demand'!$A:$A,0)))</f>
        <v>18</v>
      </c>
      <c r="AA301" s="52" t="str">
        <f t="shared" si="117"/>
        <v>-spike-</v>
      </c>
      <c r="AB301" s="52">
        <f>IFERROR(INDEX('Aub Demand'!L:L,MATCH($O301,'Aub Demand'!$A:$A,0)),"")</f>
        <v>15</v>
      </c>
      <c r="AC301" s="52">
        <f>IFERROR(IF(O301="","",SUMIFS('CPL Mats'!F:F,'CPL Mats'!Q:Q,AR301,'CPL Mats'!S:S,AS301)),"")</f>
        <v>0</v>
      </c>
      <c r="AF301" s="25" t="str">
        <f>IF(SUMIFS('Supp Consol'!S:S,'Supp Consol'!Y:Y,"Releasable",'Supp Consol'!A:A,O301)=0,"",SUMIFS('Supp Consol'!S:S,'Supp Consol'!Y:Y,"Releasable",'Supp Consol'!A:A,O301))</f>
        <v/>
      </c>
      <c r="AG301" s="25" t="str">
        <f>IFERROR(INDEX('Hun Demand'!Q:Q,MATCH(O301,'Hun Demand'!A:A,0)),"")</f>
        <v/>
      </c>
      <c r="AH301" s="25" t="str">
        <f>IFERROR(INDEX('Hun Demand'!H:H,MATCH($O301,'Hun Demand'!$A:$A,0)),"")</f>
        <v/>
      </c>
      <c r="AI301" s="25" t="str">
        <f>IF(SUMIFS('Supp Consol'!AA:AA,'Supp Consol'!Z:Z,"Expires this month",'Supp Consol'!A:A,O301)=0,"",SUMIFS('Supp Consol'!AA:AA,'Supp Consol'!Z:Z,"Expires this month",'Supp Consol'!A:A,O301))</f>
        <v/>
      </c>
      <c r="AJ301" s="25" t="str">
        <f>IF(SUMIFS('Supp Consol'!AA:AA,'Supp Consol'!Z:Z,"Expired Previous Months",'Supp Consol'!A:A,O301)=0,"",SUMIFS('Supp Consol'!AA:AA,'Supp Consol'!Z:Z,"Expired Previous Months",'Supp Consol'!A:A,O301))</f>
        <v/>
      </c>
      <c r="AK301" s="25" t="str">
        <f>IFERROR(INDEX('Hun Release Current'!B:B,MATCH(O301,'Hun Release Current'!A:A,0)),"")</f>
        <v/>
      </c>
      <c r="AL301" s="25" t="str">
        <f>IF(SUMIF('Prev Aub'!A:A,O301,'Prev Aub'!B:B)=0,"",SUMIF('Prev Aub'!A:A,O301,'Prev Aub'!B:B))</f>
        <v/>
      </c>
      <c r="AN301" s="25" t="s">
        <v>3790</v>
      </c>
      <c r="AO301" s="25" t="s">
        <v>3790</v>
      </c>
      <c r="AP301" s="25">
        <f t="shared" si="118"/>
        <v>0</v>
      </c>
      <c r="AQ301" s="151" t="str">
        <f>IF(SUMIFS('Supp Consol'!S:S,'Supp Consol'!A:A,O301,'Supp Consol'!I:I,"PENDING")=0,"",SUMIFS('Supp Consol'!S:S,'Supp Consol'!A:A,O301,'Supp Consol'!I:I,"PENDING"))</f>
        <v/>
      </c>
      <c r="AR301" s="27" t="str">
        <f t="shared" si="119"/>
        <v>AT991</v>
      </c>
      <c r="AS301" s="27" t="str">
        <f t="shared" si="120"/>
        <v>50</v>
      </c>
      <c r="AT301" s="27" t="str">
        <f t="shared" si="121"/>
        <v/>
      </c>
      <c r="AU301" s="27" t="str">
        <f t="shared" si="122"/>
        <v/>
      </c>
      <c r="AV301" s="27" t="str">
        <f t="shared" si="123"/>
        <v/>
      </c>
      <c r="AW301" s="27" t="str">
        <f t="shared" si="124"/>
        <v/>
      </c>
      <c r="AX301" s="27" t="str">
        <f t="shared" si="125"/>
        <v/>
      </c>
      <c r="AY301" s="27" t="str">
        <f t="shared" si="126"/>
        <v/>
      </c>
      <c r="AZ301" s="27" t="str">
        <f t="shared" si="127"/>
        <v/>
      </c>
      <c r="BA301" s="27" t="str">
        <f t="shared" si="128"/>
        <v/>
      </c>
      <c r="BB301" s="27" t="str">
        <f t="shared" si="129"/>
        <v/>
      </c>
      <c r="BC301" s="27" t="str">
        <f t="shared" si="130"/>
        <v/>
      </c>
      <c r="BD301" s="27" t="str">
        <f t="shared" si="131"/>
        <v/>
      </c>
      <c r="BE301" s="27" t="str">
        <f t="shared" si="132"/>
        <v/>
      </c>
      <c r="BF301" s="27" t="str">
        <f t="shared" si="133"/>
        <v/>
      </c>
      <c r="BG301" s="27" t="str">
        <f t="shared" si="134"/>
        <v/>
      </c>
      <c r="BH301" s="27" t="str">
        <f t="shared" si="135"/>
        <v/>
      </c>
      <c r="BI301" s="27" t="str">
        <f t="shared" si="136"/>
        <v/>
      </c>
      <c r="BJ301" s="27" t="str">
        <f t="shared" si="137"/>
        <v/>
      </c>
      <c r="BK301" s="27" t="str">
        <f t="shared" si="138"/>
        <v/>
      </c>
      <c r="BL301" s="27" t="str">
        <f t="shared" si="139"/>
        <v/>
      </c>
      <c r="BM301" s="21" t="s">
        <v>5581</v>
      </c>
    </row>
    <row r="302" spans="1:65" ht="15">
      <c r="A302" s="25" t="str">
        <f>IFERROR(INDEX('Hun Demand'!W:W,MATCH(O302,'Hun Demand'!A:A,0)),"")</f>
        <v/>
      </c>
      <c r="B302" s="25" t="str">
        <f>IFERROR(INDEX('Hun Demand'!V:V,MATCH(O302,'Hun Demand'!A:A,0)),"")</f>
        <v/>
      </c>
      <c r="C302" s="25" t="str">
        <f>IFERROR(INDEX('Hun Demand'!U:U,MATCH(O302,'Hun Demand'!A:A,0)),"")</f>
        <v/>
      </c>
      <c r="D302" s="25" t="str">
        <f>IFERROR(INDEX('Hun Demand'!T:T,MATCH(O302,'Hun Demand'!A:A,0)),"")</f>
        <v/>
      </c>
      <c r="E302" s="25" t="str">
        <f>IFERROR(INDEX('Hun Demand'!S:S,MATCH(O302,'Hun Demand'!A:A,0)),"")</f>
        <v/>
      </c>
      <c r="F302" s="25" t="str">
        <f>IFERROR(INDEX('Hun Demand'!R:R,MATCH(O302,'Hun Demand'!A:A,0)),"")</f>
        <v/>
      </c>
      <c r="G302" s="25">
        <f>IFERROR(INDEX('Aub Demand'!W:W,MATCH(O302,'Aub Demand'!A:A,0)),"")</f>
        <v>35</v>
      </c>
      <c r="H302" s="25">
        <f>IFERROR(INDEX('Aub Demand'!V:V,MATCH(O302,'Aub Demand'!A:A,0)),"")</f>
        <v>9</v>
      </c>
      <c r="I302" s="25">
        <f>IFERROR(INDEX('Aub Demand'!U:U,MATCH(O302,'Aub Demand'!A:A,0)),"")</f>
        <v>0</v>
      </c>
      <c r="J302" s="25">
        <f>IFERROR(INDEX('Aub Demand'!T:T,MATCH(O302,'Aub Demand'!A:A,0)),"")</f>
        <v>38</v>
      </c>
      <c r="K302" s="25">
        <f>IFERROR(INDEX('Aub Demand'!S:S,MATCH(O302,'Aub Demand'!A:A,0)),"")</f>
        <v>14</v>
      </c>
      <c r="L302" s="25">
        <f>IFERROR(INDEX('Aub Demand'!R:R,MATCH(O302,'Aub Demand'!A:A,0)),"")</f>
        <v>0</v>
      </c>
      <c r="O302" s="27" t="s">
        <v>525</v>
      </c>
      <c r="P302" s="27" t="str">
        <f>IFERROR(INDEX('Aub Demand'!B:B,MATCH($O302,'Aub Demand'!$A:$A,0)),"")</f>
        <v>WHEAT FIBER</v>
      </c>
      <c r="Q302" s="27" t="str">
        <f>IFERROR(INDEX('Aub Demand'!C:C,MATCH($O302,'Aub Demand'!$A:$A,0)),"")</f>
        <v>SUDDE</v>
      </c>
      <c r="R302" s="52">
        <f>IFERROR(IF(AR303=AR302,INDEX('Aub Demand'!K:K,MATCH($O302,'Aub Demand'!$A:$A,0))-IF(AN302="",0,AN302)+AP303,INDEX('Aub Demand'!K:K,MATCH($O302,'Aub Demand'!$A:$A,0))-IF(AN302="",0,AN302)),"")</f>
        <v>1550</v>
      </c>
      <c r="S302" s="53">
        <f t="shared" si="112"/>
        <v>390.8</v>
      </c>
      <c r="T302" s="52" t="str">
        <f t="shared" si="113"/>
        <v/>
      </c>
      <c r="U302" s="52">
        <f>IFERROR(IF(AR303=AR302,INDEX('Aub Demand'!Q:Q,MATCH($O302,'Aub Demand'!$A:$A,0))-IF(AN302="",0,AN302)+AP303,INDEX('Aub Demand'!Q:Q,MATCH($O302,'Aub Demand'!$A:$A,0))-IF(AN302="",0,AN302)),"")</f>
        <v>1537</v>
      </c>
      <c r="V302" s="53">
        <f t="shared" si="114"/>
        <v>387.5</v>
      </c>
      <c r="W302" s="52" t="str">
        <f t="shared" si="115"/>
        <v/>
      </c>
      <c r="X302" s="52">
        <f>IFERROR(IF(AND(AR303=AR302,AM302&lt;&gt;""),INDEX('Aub Demand'!Q:Q,MATCH($O302,'Aub Demand'!$A:$A,0))-IF(AN302="",0,AN302)+AP303+AD302+AL302,IF(AR303=AR302,INDEX('Aub Demand'!Q:Q,MATCH($O302,'Aub Demand'!$A:$A,0))-IF(AN302="",0,AN302)+AP303+AD302,IF(AM302&lt;&gt;"",INDEX('Aub Demand'!Q:Q,MATCH($O302,'Aub Demand'!$A:$A,0))-IF(AN302="",0,AN302)+AD302+AL302,INDEX('Aub Demand'!Q:Q,MATCH($O302,'Aub Demand'!$A:$A,0))-IF(AN302="",0,AN302)+AD302))),"")</f>
        <v>1537</v>
      </c>
      <c r="Y302" s="53">
        <f t="shared" si="116"/>
        <v>387.5</v>
      </c>
      <c r="Z302" s="52">
        <f>IF(L302="","",INDEX('Aub Demand'!H:H,MATCH($O302,'Aub Demand'!$A:$A,0)))</f>
        <v>17</v>
      </c>
      <c r="AA302" s="52">
        <f t="shared" si="117"/>
        <v>26</v>
      </c>
      <c r="AB302" s="52">
        <f>IFERROR(INDEX('Aub Demand'!L:L,MATCH($O302,'Aub Demand'!$A:$A,0)),"")</f>
        <v>10</v>
      </c>
      <c r="AC302" s="52">
        <f>IFERROR(IF(O302="","",SUMIFS('CPL Mats'!F:F,'CPL Mats'!Q:Q,AR302,'CPL Mats'!S:S,AS302)),"")</f>
        <v>0</v>
      </c>
      <c r="AF302" s="25" t="str">
        <f>IF(SUMIFS('Supp Consol'!S:S,'Supp Consol'!Y:Y,"Releasable",'Supp Consol'!A:A,O302)=0,"",SUMIFS('Supp Consol'!S:S,'Supp Consol'!Y:Y,"Releasable",'Supp Consol'!A:A,O302))</f>
        <v/>
      </c>
      <c r="AG302" s="25" t="str">
        <f>IFERROR(INDEX('Hun Demand'!Q:Q,MATCH(O302,'Hun Demand'!A:A,0)),"")</f>
        <v/>
      </c>
      <c r="AH302" s="25" t="str">
        <f>IFERROR(INDEX('Hun Demand'!H:H,MATCH($O302,'Hun Demand'!$A:$A,0)),"")</f>
        <v/>
      </c>
      <c r="AI302" s="25" t="str">
        <f>IF(SUMIFS('Supp Consol'!AA:AA,'Supp Consol'!Z:Z,"Expires this month",'Supp Consol'!A:A,O302)=0,"",SUMIFS('Supp Consol'!AA:AA,'Supp Consol'!Z:Z,"Expires this month",'Supp Consol'!A:A,O302))</f>
        <v/>
      </c>
      <c r="AJ302" s="25" t="str">
        <f>IF(SUMIFS('Supp Consol'!AA:AA,'Supp Consol'!Z:Z,"Expired Previous Months",'Supp Consol'!A:A,O302)=0,"",SUMIFS('Supp Consol'!AA:AA,'Supp Consol'!Z:Z,"Expired Previous Months",'Supp Consol'!A:A,O302))</f>
        <v/>
      </c>
      <c r="AK302" s="25" t="str">
        <f>IFERROR(INDEX('Hun Release Current'!B:B,MATCH(O302,'Hun Release Current'!A:A,0)),"")</f>
        <v/>
      </c>
      <c r="AL302" s="25" t="str">
        <f>IF(SUMIF('Prev Aub'!A:A,O302,'Prev Aub'!B:B)=0,"",SUMIF('Prev Aub'!A:A,O302,'Prev Aub'!B:B))</f>
        <v/>
      </c>
      <c r="AN302" s="25" t="s">
        <v>3790</v>
      </c>
      <c r="AO302" s="25" t="s">
        <v>3790</v>
      </c>
      <c r="AP302" s="25">
        <f t="shared" si="118"/>
        <v>0</v>
      </c>
      <c r="AQ302" s="151" t="str">
        <f>IF(SUMIFS('Supp Consol'!S:S,'Supp Consol'!A:A,O302,'Supp Consol'!I:I,"PENDING")=0,"",SUMIFS('Supp Consol'!S:S,'Supp Consol'!A:A,O302,'Supp Consol'!I:I,"PENDING"))</f>
        <v/>
      </c>
      <c r="AR302" s="27" t="str">
        <f t="shared" si="119"/>
        <v>AT991</v>
      </c>
      <c r="AS302" s="27" t="str">
        <f t="shared" si="120"/>
        <v>62</v>
      </c>
      <c r="AT302" s="27" t="str">
        <f t="shared" si="121"/>
        <v/>
      </c>
      <c r="AU302" s="27" t="str">
        <f t="shared" si="122"/>
        <v/>
      </c>
      <c r="AV302" s="27" t="str">
        <f t="shared" si="123"/>
        <v/>
      </c>
      <c r="AW302" s="27" t="str">
        <f t="shared" si="124"/>
        <v/>
      </c>
      <c r="AX302" s="27" t="str">
        <f t="shared" si="125"/>
        <v/>
      </c>
      <c r="AY302" s="27" t="str">
        <f t="shared" si="126"/>
        <v/>
      </c>
      <c r="AZ302" s="27" t="str">
        <f t="shared" si="127"/>
        <v/>
      </c>
      <c r="BA302" s="27" t="str">
        <f t="shared" si="128"/>
        <v/>
      </c>
      <c r="BB302" s="27" t="str">
        <f t="shared" si="129"/>
        <v/>
      </c>
      <c r="BC302" s="27" t="str">
        <f t="shared" si="130"/>
        <v/>
      </c>
      <c r="BD302" s="27" t="str">
        <f t="shared" si="131"/>
        <v/>
      </c>
      <c r="BE302" s="27" t="str">
        <f t="shared" si="132"/>
        <v/>
      </c>
      <c r="BF302" s="27" t="str">
        <f t="shared" si="133"/>
        <v/>
      </c>
      <c r="BG302" s="27" t="str">
        <f t="shared" si="134"/>
        <v/>
      </c>
      <c r="BH302" s="27" t="str">
        <f t="shared" si="135"/>
        <v/>
      </c>
      <c r="BI302" s="27" t="str">
        <f t="shared" si="136"/>
        <v/>
      </c>
      <c r="BJ302" s="27" t="str">
        <f t="shared" si="137"/>
        <v/>
      </c>
      <c r="BK302" s="27" t="str">
        <f t="shared" si="138"/>
        <v/>
      </c>
      <c r="BL302" s="27" t="str">
        <f t="shared" si="139"/>
        <v/>
      </c>
      <c r="BM302" s="21" t="s">
        <v>5581</v>
      </c>
    </row>
    <row r="303" spans="1:65" ht="15">
      <c r="A303" s="25" t="str">
        <f>IFERROR(INDEX('Hun Demand'!W:W,MATCH(O303,'Hun Demand'!A:A,0)),"")</f>
        <v/>
      </c>
      <c r="B303" s="25" t="str">
        <f>IFERROR(INDEX('Hun Demand'!V:V,MATCH(O303,'Hun Demand'!A:A,0)),"")</f>
        <v/>
      </c>
      <c r="C303" s="25" t="str">
        <f>IFERROR(INDEX('Hun Demand'!U:U,MATCH(O303,'Hun Demand'!A:A,0)),"")</f>
        <v/>
      </c>
      <c r="D303" s="25" t="str">
        <f>IFERROR(INDEX('Hun Demand'!T:T,MATCH(O303,'Hun Demand'!A:A,0)),"")</f>
        <v/>
      </c>
      <c r="E303" s="25" t="str">
        <f>IFERROR(INDEX('Hun Demand'!S:S,MATCH(O303,'Hun Demand'!A:A,0)),"")</f>
        <v/>
      </c>
      <c r="F303" s="25" t="str">
        <f>IFERROR(INDEX('Hun Demand'!R:R,MATCH(O303,'Hun Demand'!A:A,0)),"")</f>
        <v/>
      </c>
      <c r="G303" s="25">
        <f>IFERROR(INDEX('Aub Demand'!W:W,MATCH(O303,'Aub Demand'!A:A,0)),"")</f>
        <v>0</v>
      </c>
      <c r="H303" s="25">
        <f>IFERROR(INDEX('Aub Demand'!V:V,MATCH(O303,'Aub Demand'!A:A,0)),"")</f>
        <v>0</v>
      </c>
      <c r="I303" s="25">
        <f>IFERROR(INDEX('Aub Demand'!U:U,MATCH(O303,'Aub Demand'!A:A,0)),"")</f>
        <v>0</v>
      </c>
      <c r="J303" s="25">
        <f>IFERROR(INDEX('Aub Demand'!T:T,MATCH(O303,'Aub Demand'!A:A,0)),"")</f>
        <v>0</v>
      </c>
      <c r="K303" s="25">
        <f>IFERROR(INDEX('Aub Demand'!S:S,MATCH(O303,'Aub Demand'!A:A,0)),"")</f>
        <v>0</v>
      </c>
      <c r="L303" s="25">
        <f>IFERROR(INDEX('Aub Demand'!R:R,MATCH(O303,'Aub Demand'!A:A,0)),"")</f>
        <v>3</v>
      </c>
      <c r="O303" s="27" t="s">
        <v>2104</v>
      </c>
      <c r="P303" s="27" t="str">
        <f>IFERROR(INDEX('Aub Demand'!B:B,MATCH($O303,'Aub Demand'!$A:$A,0)),"")</f>
        <v>BROWN CORALINO MARBL</v>
      </c>
      <c r="Q303" s="27" t="str">
        <f>IFERROR(INDEX('Aub Demand'!C:C,MATCH($O303,'Aub Demand'!$A:$A,0)),"")</f>
        <v>INTER</v>
      </c>
      <c r="R303" s="52">
        <f>IFERROR(IF(AR304=AR303,INDEX('Aub Demand'!K:K,MATCH($O303,'Aub Demand'!$A:$A,0))-IF(AN303="",0,AN303)+AP304,INDEX('Aub Demand'!K:K,MATCH($O303,'Aub Demand'!$A:$A,0))-IF(AN303="",0,AN303)),"")</f>
        <v>1072</v>
      </c>
      <c r="S303" s="53" t="str">
        <f t="shared" si="112"/>
        <v>n/a</v>
      </c>
      <c r="T303" s="52" t="str">
        <f t="shared" si="113"/>
        <v/>
      </c>
      <c r="U303" s="52">
        <f>IFERROR(IF(AR304=AR303,INDEX('Aub Demand'!Q:Q,MATCH($O303,'Aub Demand'!$A:$A,0))-IF(AN303="",0,AN303)+AP304,INDEX('Aub Demand'!Q:Q,MATCH($O303,'Aub Demand'!$A:$A,0))-IF(AN303="",0,AN303)),"")</f>
        <v>1069</v>
      </c>
      <c r="V303" s="53" t="str">
        <f t="shared" si="114"/>
        <v>n/a</v>
      </c>
      <c r="W303" s="52" t="str">
        <f t="shared" si="115"/>
        <v/>
      </c>
      <c r="X303" s="52">
        <f>IFERROR(IF(AND(AR304=AR303,AM303&lt;&gt;""),INDEX('Aub Demand'!Q:Q,MATCH($O303,'Aub Demand'!$A:$A,0))-IF(AN303="",0,AN303)+AP304+AD303+AL303,IF(AR304=AR303,INDEX('Aub Demand'!Q:Q,MATCH($O303,'Aub Demand'!$A:$A,0))-IF(AN303="",0,AN303)+AP304+AD303,IF(AM303&lt;&gt;"",INDEX('Aub Demand'!Q:Q,MATCH($O303,'Aub Demand'!$A:$A,0))-IF(AN303="",0,AN303)+AD303+AL303,INDEX('Aub Demand'!Q:Q,MATCH($O303,'Aub Demand'!$A:$A,0))-IF(AN303="",0,AN303)+AD303))),"")</f>
        <v>1069</v>
      </c>
      <c r="Y303" s="53" t="str">
        <f t="shared" si="116"/>
        <v>n/a</v>
      </c>
      <c r="Z303" s="52">
        <f>IF(L303="","",INDEX('Aub Demand'!H:H,MATCH($O303,'Aub Demand'!$A:$A,0)))</f>
        <v>0</v>
      </c>
      <c r="AA303" s="52" t="str">
        <f t="shared" si="117"/>
        <v>-spike-</v>
      </c>
      <c r="AB303" s="52">
        <f>IFERROR(INDEX('Aub Demand'!L:L,MATCH($O303,'Aub Demand'!$A:$A,0)),"")</f>
        <v>4</v>
      </c>
      <c r="AC303" s="52">
        <f>IFERROR(IF(O303="","",SUMIFS('CPL Mats'!F:F,'CPL Mats'!Q:Q,AR303,'CPL Mats'!S:S,AS303)),"")</f>
        <v>0</v>
      </c>
      <c r="AF303" s="25" t="str">
        <f>IF(SUMIFS('Supp Consol'!S:S,'Supp Consol'!Y:Y,"Releasable",'Supp Consol'!A:A,O303)=0,"",SUMIFS('Supp Consol'!S:S,'Supp Consol'!Y:Y,"Releasable",'Supp Consol'!A:A,O303))</f>
        <v/>
      </c>
      <c r="AG303" s="25" t="str">
        <f>IFERROR(INDEX('Hun Demand'!Q:Q,MATCH(O303,'Hun Demand'!A:A,0)),"")</f>
        <v/>
      </c>
      <c r="AH303" s="25" t="str">
        <f>IFERROR(INDEX('Hun Demand'!H:H,MATCH($O303,'Hun Demand'!$A:$A,0)),"")</f>
        <v/>
      </c>
      <c r="AI303" s="25" t="str">
        <f>IF(SUMIFS('Supp Consol'!AA:AA,'Supp Consol'!Z:Z,"Expires this month",'Supp Consol'!A:A,O303)=0,"",SUMIFS('Supp Consol'!AA:AA,'Supp Consol'!Z:Z,"Expires this month",'Supp Consol'!A:A,O303))</f>
        <v/>
      </c>
      <c r="AJ303" s="25" t="str">
        <f>IF(SUMIFS('Supp Consol'!AA:AA,'Supp Consol'!Z:Z,"Expired Previous Months",'Supp Consol'!A:A,O303)=0,"",SUMIFS('Supp Consol'!AA:AA,'Supp Consol'!Z:Z,"Expired Previous Months",'Supp Consol'!A:A,O303))</f>
        <v/>
      </c>
      <c r="AK303" s="25" t="str">
        <f>IFERROR(INDEX('Hun Release Current'!B:B,MATCH(O303,'Hun Release Current'!A:A,0)),"")</f>
        <v/>
      </c>
      <c r="AL303" s="25" t="str">
        <f>IF(SUMIF('Prev Aub'!A:A,O303,'Prev Aub'!B:B)=0,"",SUMIF('Prev Aub'!A:A,O303,'Prev Aub'!B:B))</f>
        <v/>
      </c>
      <c r="AN303" s="25" t="s">
        <v>3790</v>
      </c>
      <c r="AO303" s="25" t="s">
        <v>3790</v>
      </c>
      <c r="AP303" s="25">
        <f t="shared" si="118"/>
        <v>0</v>
      </c>
      <c r="AQ303" s="151" t="str">
        <f>IF(SUMIFS('Supp Consol'!S:S,'Supp Consol'!A:A,O303,'Supp Consol'!I:I,"PENDING")=0,"",SUMIFS('Supp Consol'!S:S,'Supp Consol'!A:A,O303,'Supp Consol'!I:I,"PENDING"))</f>
        <v/>
      </c>
      <c r="AR303" s="27" t="str">
        <f t="shared" si="119"/>
        <v>AT996</v>
      </c>
      <c r="AS303" s="27" t="str">
        <f t="shared" si="120"/>
        <v>50</v>
      </c>
      <c r="AT303" s="27" t="str">
        <f t="shared" si="121"/>
        <v/>
      </c>
      <c r="AU303" s="27" t="str">
        <f t="shared" si="122"/>
        <v/>
      </c>
      <c r="AV303" s="27" t="str">
        <f t="shared" si="123"/>
        <v/>
      </c>
      <c r="AW303" s="27" t="str">
        <f t="shared" si="124"/>
        <v/>
      </c>
      <c r="AX303" s="27" t="str">
        <f t="shared" si="125"/>
        <v/>
      </c>
      <c r="AY303" s="27" t="str">
        <f t="shared" si="126"/>
        <v/>
      </c>
      <c r="AZ303" s="27" t="str">
        <f t="shared" si="127"/>
        <v/>
      </c>
      <c r="BA303" s="27" t="str">
        <f t="shared" si="128"/>
        <v/>
      </c>
      <c r="BB303" s="27" t="str">
        <f t="shared" si="129"/>
        <v/>
      </c>
      <c r="BC303" s="27" t="str">
        <f t="shared" si="130"/>
        <v/>
      </c>
      <c r="BD303" s="27" t="str">
        <f t="shared" si="131"/>
        <v/>
      </c>
      <c r="BE303" s="27" t="str">
        <f t="shared" si="132"/>
        <v/>
      </c>
      <c r="BF303" s="27" t="str">
        <f t="shared" si="133"/>
        <v/>
      </c>
      <c r="BG303" s="27" t="str">
        <f t="shared" si="134"/>
        <v/>
      </c>
      <c r="BH303" s="27" t="str">
        <f t="shared" si="135"/>
        <v/>
      </c>
      <c r="BI303" s="27" t="str">
        <f t="shared" si="136"/>
        <v/>
      </c>
      <c r="BJ303" s="27" t="str">
        <f t="shared" si="137"/>
        <v/>
      </c>
      <c r="BK303" s="27" t="str">
        <f t="shared" si="138"/>
        <v/>
      </c>
      <c r="BL303" s="27" t="str">
        <f t="shared" si="139"/>
        <v/>
      </c>
      <c r="BM303" s="21" t="s">
        <v>5581</v>
      </c>
    </row>
    <row r="304" spans="1:65" ht="15">
      <c r="A304" s="25" t="str">
        <f>IFERROR(INDEX('Hun Demand'!W:W,MATCH(O304,'Hun Demand'!A:A,0)),"")</f>
        <v/>
      </c>
      <c r="B304" s="25" t="str">
        <f>IFERROR(INDEX('Hun Demand'!V:V,MATCH(O304,'Hun Demand'!A:A,0)),"")</f>
        <v/>
      </c>
      <c r="C304" s="25" t="str">
        <f>IFERROR(INDEX('Hun Demand'!U:U,MATCH(O304,'Hun Demand'!A:A,0)),"")</f>
        <v/>
      </c>
      <c r="D304" s="25" t="str">
        <f>IFERROR(INDEX('Hun Demand'!T:T,MATCH(O304,'Hun Demand'!A:A,0)),"")</f>
        <v/>
      </c>
      <c r="E304" s="25" t="str">
        <f>IFERROR(INDEX('Hun Demand'!S:S,MATCH(O304,'Hun Demand'!A:A,0)),"")</f>
        <v/>
      </c>
      <c r="F304" s="25" t="str">
        <f>IFERROR(INDEX('Hun Demand'!R:R,MATCH(O304,'Hun Demand'!A:A,0)),"")</f>
        <v/>
      </c>
      <c r="G304" s="25">
        <f>IFERROR(INDEX('Aub Demand'!W:W,MATCH(O304,'Aub Demand'!A:A,0)),"")</f>
        <v>0</v>
      </c>
      <c r="H304" s="25">
        <f>IFERROR(INDEX('Aub Demand'!V:V,MATCH(O304,'Aub Demand'!A:A,0)),"")</f>
        <v>0</v>
      </c>
      <c r="I304" s="25">
        <f>IFERROR(INDEX('Aub Demand'!U:U,MATCH(O304,'Aub Demand'!A:A,0)),"")</f>
        <v>0</v>
      </c>
      <c r="J304" s="25">
        <f>IFERROR(INDEX('Aub Demand'!T:T,MATCH(O304,'Aub Demand'!A:A,0)),"")</f>
        <v>0</v>
      </c>
      <c r="K304" s="25">
        <f>IFERROR(INDEX('Aub Demand'!S:S,MATCH(O304,'Aub Demand'!A:A,0)),"")</f>
        <v>0</v>
      </c>
      <c r="L304" s="25">
        <f>IFERROR(INDEX('Aub Demand'!R:R,MATCH(O304,'Aub Demand'!A:A,0)),"")</f>
        <v>0</v>
      </c>
      <c r="O304" s="27" t="s">
        <v>2106</v>
      </c>
      <c r="P304" s="27" t="str">
        <f>IFERROR(INDEX('Aub Demand'!B:B,MATCH($O304,'Aub Demand'!$A:$A,0)),"")</f>
        <v>BROWN CORALINO MARBL</v>
      </c>
      <c r="Q304" s="27" t="str">
        <f>IFERROR(INDEX('Aub Demand'!C:C,MATCH($O304,'Aub Demand'!$A:$A,0)),"")</f>
        <v>LAMIG</v>
      </c>
      <c r="R304" s="52">
        <f>IFERROR(IF(AR305=AR304,INDEX('Aub Demand'!K:K,MATCH($O304,'Aub Demand'!$A:$A,0))-IF(AN304="",0,AN304)+AP305,INDEX('Aub Demand'!K:K,MATCH($O304,'Aub Demand'!$A:$A,0))-IF(AN304="",0,AN304)),"")</f>
        <v>2609</v>
      </c>
      <c r="S304" s="53" t="str">
        <f t="shared" si="112"/>
        <v>n/a</v>
      </c>
      <c r="T304" s="52" t="str">
        <f t="shared" si="113"/>
        <v/>
      </c>
      <c r="U304" s="52">
        <f>IFERROR(IF(AR305=AR304,INDEX('Aub Demand'!Q:Q,MATCH($O304,'Aub Demand'!$A:$A,0))-IF(AN304="",0,AN304)+AP305,INDEX('Aub Demand'!Q:Q,MATCH($O304,'Aub Demand'!$A:$A,0))-IF(AN304="",0,AN304)),"")</f>
        <v>2609</v>
      </c>
      <c r="V304" s="53" t="str">
        <f t="shared" si="114"/>
        <v>n/a</v>
      </c>
      <c r="W304" s="52" t="str">
        <f t="shared" si="115"/>
        <v/>
      </c>
      <c r="X304" s="52">
        <f>IFERROR(IF(AND(AR305=AR304,AM304&lt;&gt;""),INDEX('Aub Demand'!Q:Q,MATCH($O304,'Aub Demand'!$A:$A,0))-IF(AN304="",0,AN304)+AP305+AD304+AL304,IF(AR305=AR304,INDEX('Aub Demand'!Q:Q,MATCH($O304,'Aub Demand'!$A:$A,0))-IF(AN304="",0,AN304)+AP305+AD304,IF(AM304&lt;&gt;"",INDEX('Aub Demand'!Q:Q,MATCH($O304,'Aub Demand'!$A:$A,0))-IF(AN304="",0,AN304)+AD304+AL304,INDEX('Aub Demand'!Q:Q,MATCH($O304,'Aub Demand'!$A:$A,0))-IF(AN304="",0,AN304)+AD304))),"")</f>
        <v>2609</v>
      </c>
      <c r="Y304" s="53" t="str">
        <f t="shared" si="116"/>
        <v>n/a</v>
      </c>
      <c r="Z304" s="52">
        <f>IF(L304="","",INDEX('Aub Demand'!H:H,MATCH($O304,'Aub Demand'!$A:$A,0)))</f>
        <v>0</v>
      </c>
      <c r="AA304" s="52" t="str">
        <f t="shared" si="117"/>
        <v>-spike-</v>
      </c>
      <c r="AB304" s="52">
        <f>IFERROR(INDEX('Aub Demand'!L:L,MATCH($O304,'Aub Demand'!$A:$A,0)),"")</f>
        <v>0</v>
      </c>
      <c r="AC304" s="52">
        <f>IFERROR(IF(O304="","",SUMIFS('CPL Mats'!F:F,'CPL Mats'!Q:Q,AR304,'CPL Mats'!S:S,AS304)),"")</f>
        <v>0</v>
      </c>
      <c r="AF304" s="25" t="str">
        <f>IF(SUMIFS('Supp Consol'!S:S,'Supp Consol'!Y:Y,"Releasable",'Supp Consol'!A:A,O304)=0,"",SUMIFS('Supp Consol'!S:S,'Supp Consol'!Y:Y,"Releasable",'Supp Consol'!A:A,O304))</f>
        <v/>
      </c>
      <c r="AG304" s="25" t="str">
        <f>IFERROR(INDEX('Hun Demand'!Q:Q,MATCH(O304,'Hun Demand'!A:A,0)),"")</f>
        <v/>
      </c>
      <c r="AH304" s="25" t="str">
        <f>IFERROR(INDEX('Hun Demand'!H:H,MATCH($O304,'Hun Demand'!$A:$A,0)),"")</f>
        <v/>
      </c>
      <c r="AI304" s="25" t="str">
        <f>IF(SUMIFS('Supp Consol'!AA:AA,'Supp Consol'!Z:Z,"Expires this month",'Supp Consol'!A:A,O304)=0,"",SUMIFS('Supp Consol'!AA:AA,'Supp Consol'!Z:Z,"Expires this month",'Supp Consol'!A:A,O304))</f>
        <v/>
      </c>
      <c r="AJ304" s="25" t="str">
        <f>IF(SUMIFS('Supp Consol'!AA:AA,'Supp Consol'!Z:Z,"Expired Previous Months",'Supp Consol'!A:A,O304)=0,"",SUMIFS('Supp Consol'!AA:AA,'Supp Consol'!Z:Z,"Expired Previous Months",'Supp Consol'!A:A,O304))</f>
        <v/>
      </c>
      <c r="AK304" s="25" t="str">
        <f>IFERROR(INDEX('Hun Release Current'!B:B,MATCH(O304,'Hun Release Current'!A:A,0)),"")</f>
        <v/>
      </c>
      <c r="AL304" s="25" t="str">
        <f>IF(SUMIF('Prev Aub'!A:A,O304,'Prev Aub'!B:B)=0,"",SUMIF('Prev Aub'!A:A,O304,'Prev Aub'!B:B))</f>
        <v/>
      </c>
      <c r="AN304" s="25" t="s">
        <v>3790</v>
      </c>
      <c r="AO304" s="25" t="s">
        <v>3790</v>
      </c>
      <c r="AP304" s="25">
        <f t="shared" si="118"/>
        <v>0</v>
      </c>
      <c r="AQ304" s="151" t="str">
        <f>IF(SUMIFS('Supp Consol'!S:S,'Supp Consol'!A:A,O304,'Supp Consol'!I:I,"PENDING")=0,"",SUMIFS('Supp Consol'!S:S,'Supp Consol'!A:A,O304,'Supp Consol'!I:I,"PENDING"))</f>
        <v/>
      </c>
      <c r="AR304" s="27" t="str">
        <f t="shared" si="119"/>
        <v>AT996</v>
      </c>
      <c r="AS304" s="27" t="str">
        <f t="shared" si="120"/>
        <v>62</v>
      </c>
      <c r="AT304" s="27" t="str">
        <f t="shared" si="121"/>
        <v/>
      </c>
      <c r="AU304" s="27" t="str">
        <f t="shared" si="122"/>
        <v/>
      </c>
      <c r="AV304" s="27" t="str">
        <f t="shared" si="123"/>
        <v/>
      </c>
      <c r="AW304" s="27" t="str">
        <f t="shared" si="124"/>
        <v/>
      </c>
      <c r="AX304" s="27" t="str">
        <f t="shared" si="125"/>
        <v/>
      </c>
      <c r="AY304" s="27" t="str">
        <f t="shared" si="126"/>
        <v/>
      </c>
      <c r="AZ304" s="27" t="str">
        <f t="shared" si="127"/>
        <v/>
      </c>
      <c r="BA304" s="27" t="str">
        <f t="shared" si="128"/>
        <v/>
      </c>
      <c r="BB304" s="27" t="str">
        <f t="shared" si="129"/>
        <v/>
      </c>
      <c r="BC304" s="27" t="str">
        <f t="shared" si="130"/>
        <v/>
      </c>
      <c r="BD304" s="27" t="str">
        <f t="shared" si="131"/>
        <v/>
      </c>
      <c r="BE304" s="27" t="str">
        <f t="shared" si="132"/>
        <v/>
      </c>
      <c r="BF304" s="27" t="str">
        <f t="shared" si="133"/>
        <v/>
      </c>
      <c r="BG304" s="27" t="str">
        <f t="shared" si="134"/>
        <v/>
      </c>
      <c r="BH304" s="27" t="str">
        <f t="shared" si="135"/>
        <v/>
      </c>
      <c r="BI304" s="27" t="str">
        <f t="shared" si="136"/>
        <v/>
      </c>
      <c r="BJ304" s="27" t="str">
        <f t="shared" si="137"/>
        <v/>
      </c>
      <c r="BK304" s="27" t="str">
        <f t="shared" si="138"/>
        <v/>
      </c>
      <c r="BL304" s="27" t="str">
        <f t="shared" si="139"/>
        <v/>
      </c>
      <c r="BM304" s="21" t="s">
        <v>5581</v>
      </c>
    </row>
    <row r="305" spans="1:65" ht="15">
      <c r="A305" s="25" t="str">
        <f>IFERROR(INDEX('Hun Demand'!W:W,MATCH(O305,'Hun Demand'!A:A,0)),"")</f>
        <v/>
      </c>
      <c r="B305" s="25" t="str">
        <f>IFERROR(INDEX('Hun Demand'!V:V,MATCH(O305,'Hun Demand'!A:A,0)),"")</f>
        <v/>
      </c>
      <c r="C305" s="25" t="str">
        <f>IFERROR(INDEX('Hun Demand'!U:U,MATCH(O305,'Hun Demand'!A:A,0)),"")</f>
        <v/>
      </c>
      <c r="D305" s="25" t="str">
        <f>IFERROR(INDEX('Hun Demand'!T:T,MATCH(O305,'Hun Demand'!A:A,0)),"")</f>
        <v/>
      </c>
      <c r="E305" s="25" t="str">
        <f>IFERROR(INDEX('Hun Demand'!S:S,MATCH(O305,'Hun Demand'!A:A,0)),"")</f>
        <v/>
      </c>
      <c r="F305" s="25" t="str">
        <f>IFERROR(INDEX('Hun Demand'!R:R,MATCH(O305,'Hun Demand'!A:A,0)),"")</f>
        <v/>
      </c>
      <c r="G305" s="25">
        <f>IFERROR(INDEX('Aub Demand'!W:W,MATCH(O305,'Aub Demand'!A:A,0)),"")</f>
        <v>0</v>
      </c>
      <c r="H305" s="25">
        <f>IFERROR(INDEX('Aub Demand'!V:V,MATCH(O305,'Aub Demand'!A:A,0)),"")</f>
        <v>0</v>
      </c>
      <c r="I305" s="25">
        <f>IFERROR(INDEX('Aub Demand'!U:U,MATCH(O305,'Aub Demand'!A:A,0)),"")</f>
        <v>0</v>
      </c>
      <c r="J305" s="25">
        <f>IFERROR(INDEX('Aub Demand'!T:T,MATCH(O305,'Aub Demand'!A:A,0)),"")</f>
        <v>0</v>
      </c>
      <c r="K305" s="25">
        <f>IFERROR(INDEX('Aub Demand'!S:S,MATCH(O305,'Aub Demand'!A:A,0)),"")</f>
        <v>7</v>
      </c>
      <c r="L305" s="25">
        <f>IFERROR(INDEX('Aub Demand'!R:R,MATCH(O305,'Aub Demand'!A:A,0)),"")</f>
        <v>0</v>
      </c>
      <c r="O305" s="27" t="s">
        <v>526</v>
      </c>
      <c r="P305" s="27" t="str">
        <f>IFERROR(INDEX('Aub Demand'!B:B,MATCH($O305,'Aub Demand'!$A:$A,0)),"")</f>
        <v>GATEWAY TO THE FUTUR</v>
      </c>
      <c r="Q305" s="27" t="str">
        <f>IFERROR(INDEX('Aub Demand'!C:C,MATCH($O305,'Aub Demand'!$A:$A,0)),"")</f>
        <v>AHLST</v>
      </c>
      <c r="R305" s="52">
        <f>IFERROR(IF(AR306=AR305,INDEX('Aub Demand'!K:K,MATCH($O305,'Aub Demand'!$A:$A,0))-IF(AN305="",0,AN305)+AP306,INDEX('Aub Demand'!K:K,MATCH($O305,'Aub Demand'!$A:$A,0))-IF(AN305="",0,AN305)),"")</f>
        <v>0</v>
      </c>
      <c r="S305" s="53">
        <f t="shared" si="112"/>
        <v>0</v>
      </c>
      <c r="T305" s="52" t="str">
        <f t="shared" si="113"/>
        <v/>
      </c>
      <c r="U305" s="52">
        <f>IFERROR(IF(AR306=AR305,INDEX('Aub Demand'!Q:Q,MATCH($O305,'Aub Demand'!$A:$A,0))-IF(AN305="",0,AN305)+AP306,INDEX('Aub Demand'!Q:Q,MATCH($O305,'Aub Demand'!$A:$A,0))-IF(AN305="",0,AN305)),"")</f>
        <v>0</v>
      </c>
      <c r="V305" s="53">
        <f t="shared" si="114"/>
        <v>0</v>
      </c>
      <c r="W305" s="52" t="str">
        <f t="shared" si="115"/>
        <v/>
      </c>
      <c r="X305" s="52">
        <f>IFERROR(IF(AND(AR306=AR305,AM305&lt;&gt;""),INDEX('Aub Demand'!Q:Q,MATCH($O305,'Aub Demand'!$A:$A,0))-IF(AN305="",0,AN305)+AP306+AD305+AL305,IF(AR306=AR305,INDEX('Aub Demand'!Q:Q,MATCH($O305,'Aub Demand'!$A:$A,0))-IF(AN305="",0,AN305)+AP306+AD305,IF(AM305&lt;&gt;"",INDEX('Aub Demand'!Q:Q,MATCH($O305,'Aub Demand'!$A:$A,0))-IF(AN305="",0,AN305)+AD305+AL305,INDEX('Aub Demand'!Q:Q,MATCH($O305,'Aub Demand'!$A:$A,0))-IF(AN305="",0,AN305)+AD305))),"")</f>
        <v>0</v>
      </c>
      <c r="Y305" s="53">
        <f t="shared" si="116"/>
        <v>0</v>
      </c>
      <c r="Z305" s="52">
        <f>IF(L305="","",INDEX('Aub Demand'!H:H,MATCH($O305,'Aub Demand'!$A:$A,0)))</f>
        <v>2</v>
      </c>
      <c r="AA305" s="52" t="str">
        <f t="shared" si="117"/>
        <v>-spike-</v>
      </c>
      <c r="AB305" s="52">
        <f>IFERROR(INDEX('Aub Demand'!L:L,MATCH($O305,'Aub Demand'!$A:$A,0)),"")</f>
        <v>0</v>
      </c>
      <c r="AC305" s="52">
        <f>IFERROR(IF(O305="","",SUMIFS('CPL Mats'!F:F,'CPL Mats'!Q:Q,AR305,'CPL Mats'!S:S,AS305)),"")</f>
        <v>0</v>
      </c>
      <c r="AF305" s="25" t="str">
        <f>IF(SUMIFS('Supp Consol'!S:S,'Supp Consol'!Y:Y,"Releasable",'Supp Consol'!A:A,O305)=0,"",SUMIFS('Supp Consol'!S:S,'Supp Consol'!Y:Y,"Releasable",'Supp Consol'!A:A,O305))</f>
        <v/>
      </c>
      <c r="AG305" s="25" t="str">
        <f>IFERROR(INDEX('Hun Demand'!Q:Q,MATCH(O305,'Hun Demand'!A:A,0)),"")</f>
        <v/>
      </c>
      <c r="AH305" s="25" t="str">
        <f>IFERROR(INDEX('Hun Demand'!H:H,MATCH($O305,'Hun Demand'!$A:$A,0)),"")</f>
        <v/>
      </c>
      <c r="AI305" s="25" t="str">
        <f>IF(SUMIFS('Supp Consol'!AA:AA,'Supp Consol'!Z:Z,"Expires this month",'Supp Consol'!A:A,O305)=0,"",SUMIFS('Supp Consol'!AA:AA,'Supp Consol'!Z:Z,"Expires this month",'Supp Consol'!A:A,O305))</f>
        <v/>
      </c>
      <c r="AJ305" s="25" t="str">
        <f>IF(SUMIFS('Supp Consol'!AA:AA,'Supp Consol'!Z:Z,"Expired Previous Months",'Supp Consol'!A:A,O305)=0,"",SUMIFS('Supp Consol'!AA:AA,'Supp Consol'!Z:Z,"Expired Previous Months",'Supp Consol'!A:A,O305))</f>
        <v/>
      </c>
      <c r="AK305" s="25" t="str">
        <f>IFERROR(INDEX('Hun Release Current'!B:B,MATCH(O305,'Hun Release Current'!A:A,0)),"")</f>
        <v/>
      </c>
      <c r="AL305" s="25" t="str">
        <f>IF(SUMIF('Prev Aub'!A:A,O305,'Prev Aub'!B:B)=0,"",SUMIF('Prev Aub'!A:A,O305,'Prev Aub'!B:B))</f>
        <v/>
      </c>
      <c r="AN305" s="25" t="s">
        <v>3790</v>
      </c>
      <c r="AO305" s="25" t="s">
        <v>3790</v>
      </c>
      <c r="AP305" s="25">
        <f t="shared" si="118"/>
        <v>0</v>
      </c>
      <c r="AQ305" s="151" t="str">
        <f>IF(SUMIFS('Supp Consol'!S:S,'Supp Consol'!A:A,O305,'Supp Consol'!I:I,"PENDING")=0,"",SUMIFS('Supp Consol'!S:S,'Supp Consol'!A:A,O305,'Supp Consol'!I:I,"PENDING"))</f>
        <v/>
      </c>
      <c r="AR305" s="27" t="str">
        <f t="shared" si="119"/>
        <v>AV100</v>
      </c>
      <c r="AS305" s="27" t="str">
        <f t="shared" si="120"/>
        <v>50</v>
      </c>
      <c r="AT305" s="27" t="str">
        <f t="shared" si="121"/>
        <v>AV100</v>
      </c>
      <c r="AU305" s="27" t="str">
        <f t="shared" si="122"/>
        <v>AV100</v>
      </c>
      <c r="AV305" s="27" t="str">
        <f t="shared" si="123"/>
        <v>AV100</v>
      </c>
      <c r="AW305" s="27" t="str">
        <f t="shared" si="124"/>
        <v/>
      </c>
      <c r="AX305" s="27" t="str">
        <f t="shared" si="125"/>
        <v/>
      </c>
      <c r="AY305" s="27" t="str">
        <f t="shared" si="126"/>
        <v/>
      </c>
      <c r="AZ305" s="27" t="str">
        <f t="shared" si="127"/>
        <v/>
      </c>
      <c r="BA305" s="27" t="str">
        <f t="shared" si="128"/>
        <v/>
      </c>
      <c r="BB305" s="27" t="str">
        <f t="shared" si="129"/>
        <v>Gross</v>
      </c>
      <c r="BC305" s="27" t="str">
        <f t="shared" si="130"/>
        <v>Net</v>
      </c>
      <c r="BD305" s="27" t="str">
        <f t="shared" si="131"/>
        <v>Net</v>
      </c>
      <c r="BE305" s="27" t="str">
        <f t="shared" si="132"/>
        <v/>
      </c>
      <c r="BF305" s="27" t="str">
        <f t="shared" si="133"/>
        <v/>
      </c>
      <c r="BG305" s="27" t="str">
        <f t="shared" si="134"/>
        <v/>
      </c>
      <c r="BH305" s="27" t="str">
        <f t="shared" si="135"/>
        <v/>
      </c>
      <c r="BI305" s="27" t="str">
        <f t="shared" si="136"/>
        <v/>
      </c>
      <c r="BJ305" s="27" t="str">
        <f t="shared" si="137"/>
        <v/>
      </c>
      <c r="BK305" s="27" t="str">
        <f t="shared" si="138"/>
        <v/>
      </c>
      <c r="BL305" s="27" t="str">
        <f t="shared" si="139"/>
        <v/>
      </c>
      <c r="BM305" s="21" t="s">
        <v>3790</v>
      </c>
    </row>
    <row r="306" spans="1:65" ht="15">
      <c r="A306" s="25" t="str">
        <f>IFERROR(INDEX('Hun Demand'!W:W,MATCH(O306,'Hun Demand'!A:A,0)),"")</f>
        <v/>
      </c>
      <c r="B306" s="25" t="str">
        <f>IFERROR(INDEX('Hun Demand'!V:V,MATCH(O306,'Hun Demand'!A:A,0)),"")</f>
        <v/>
      </c>
      <c r="C306" s="25" t="str">
        <f>IFERROR(INDEX('Hun Demand'!U:U,MATCH(O306,'Hun Demand'!A:A,0)),"")</f>
        <v/>
      </c>
      <c r="D306" s="25" t="str">
        <f>IFERROR(INDEX('Hun Demand'!T:T,MATCH(O306,'Hun Demand'!A:A,0)),"")</f>
        <v/>
      </c>
      <c r="E306" s="25" t="str">
        <f>IFERROR(INDEX('Hun Demand'!S:S,MATCH(O306,'Hun Demand'!A:A,0)),"")</f>
        <v/>
      </c>
      <c r="F306" s="25" t="str">
        <f>IFERROR(INDEX('Hun Demand'!R:R,MATCH(O306,'Hun Demand'!A:A,0)),"")</f>
        <v/>
      </c>
      <c r="G306" s="25">
        <f>IFERROR(INDEX('Aub Demand'!W:W,MATCH(O306,'Aub Demand'!A:A,0)),"")</f>
        <v>24</v>
      </c>
      <c r="H306" s="25">
        <f>IFERROR(INDEX('Aub Demand'!V:V,MATCH(O306,'Aub Demand'!A:A,0)),"")</f>
        <v>0</v>
      </c>
      <c r="I306" s="25">
        <f>IFERROR(INDEX('Aub Demand'!U:U,MATCH(O306,'Aub Demand'!A:A,0)),"")</f>
        <v>0</v>
      </c>
      <c r="J306" s="25">
        <f>IFERROR(INDEX('Aub Demand'!T:T,MATCH(O306,'Aub Demand'!A:A,0)),"")</f>
        <v>0</v>
      </c>
      <c r="K306" s="25">
        <f>IFERROR(INDEX('Aub Demand'!S:S,MATCH(O306,'Aub Demand'!A:A,0)),"")</f>
        <v>0</v>
      </c>
      <c r="L306" s="25">
        <f>IFERROR(INDEX('Aub Demand'!R:R,MATCH(O306,'Aub Demand'!A:A,0)),"")</f>
        <v>0</v>
      </c>
      <c r="O306" s="27" t="s">
        <v>528</v>
      </c>
      <c r="P306" s="27" t="str">
        <f>IFERROR(INDEX('Aub Demand'!B:B,MATCH($O306,'Aub Demand'!$A:$A,0)),"")</f>
        <v>GATEWAY TO THE FUTUR</v>
      </c>
      <c r="Q306" s="27" t="str">
        <f>IFERROR(INDEX('Aub Demand'!C:C,MATCH($O306,'Aub Demand'!$A:$A,0)),"")</f>
        <v>AHLST</v>
      </c>
      <c r="R306" s="52">
        <f>IFERROR(IF(AR307=AR306,INDEX('Aub Demand'!K:K,MATCH($O306,'Aub Demand'!$A:$A,0))-IF(AN306="",0,AN306)+AP307,INDEX('Aub Demand'!K:K,MATCH($O306,'Aub Demand'!$A:$A,0))-IF(AN306="",0,AN306)),"")</f>
        <v>584</v>
      </c>
      <c r="S306" s="53" t="str">
        <f t="shared" si="112"/>
        <v>n/a</v>
      </c>
      <c r="T306" s="52" t="str">
        <f t="shared" si="113"/>
        <v/>
      </c>
      <c r="U306" s="52">
        <f>IFERROR(IF(AR307=AR306,INDEX('Aub Demand'!Q:Q,MATCH($O306,'Aub Demand'!$A:$A,0))-IF(AN306="",0,AN306)+AP307,INDEX('Aub Demand'!Q:Q,MATCH($O306,'Aub Demand'!$A:$A,0))-IF(AN306="",0,AN306)),"")</f>
        <v>584</v>
      </c>
      <c r="V306" s="53" t="str">
        <f t="shared" si="114"/>
        <v>n/a</v>
      </c>
      <c r="W306" s="52" t="str">
        <f t="shared" si="115"/>
        <v/>
      </c>
      <c r="X306" s="52">
        <f>IFERROR(IF(AND(AR307=AR306,AM306&lt;&gt;""),INDEX('Aub Demand'!Q:Q,MATCH($O306,'Aub Demand'!$A:$A,0))-IF(AN306="",0,AN306)+AP307+AD306+AL306,IF(AR307=AR306,INDEX('Aub Demand'!Q:Q,MATCH($O306,'Aub Demand'!$A:$A,0))-IF(AN306="",0,AN306)+AP307+AD306,IF(AM306&lt;&gt;"",INDEX('Aub Demand'!Q:Q,MATCH($O306,'Aub Demand'!$A:$A,0))-IF(AN306="",0,AN306)+AD306+AL306,INDEX('Aub Demand'!Q:Q,MATCH($O306,'Aub Demand'!$A:$A,0))-IF(AN306="",0,AN306)+AD306))),"")</f>
        <v>584</v>
      </c>
      <c r="Y306" s="53" t="str">
        <f t="shared" si="116"/>
        <v>n/a</v>
      </c>
      <c r="Z306" s="52">
        <f>IF(L306="","",INDEX('Aub Demand'!H:H,MATCH($O306,'Aub Demand'!$A:$A,0)))</f>
        <v>0</v>
      </c>
      <c r="AA306" s="52" t="str">
        <f t="shared" si="117"/>
        <v>-spike-</v>
      </c>
      <c r="AB306" s="52">
        <f>IFERROR(INDEX('Aub Demand'!L:L,MATCH($O306,'Aub Demand'!$A:$A,0)),"")</f>
        <v>0</v>
      </c>
      <c r="AC306" s="52">
        <f>IFERROR(IF(O306="","",SUMIFS('CPL Mats'!F:F,'CPL Mats'!Q:Q,AR306,'CPL Mats'!S:S,AS306)),"")</f>
        <v>0</v>
      </c>
      <c r="AF306" s="25" t="str">
        <f>IF(SUMIFS('Supp Consol'!S:S,'Supp Consol'!Y:Y,"Releasable",'Supp Consol'!A:A,O306)=0,"",SUMIFS('Supp Consol'!S:S,'Supp Consol'!Y:Y,"Releasable",'Supp Consol'!A:A,O306))</f>
        <v/>
      </c>
      <c r="AG306" s="25" t="str">
        <f>IFERROR(INDEX('Hun Demand'!Q:Q,MATCH(O306,'Hun Demand'!A:A,0)),"")</f>
        <v/>
      </c>
      <c r="AH306" s="25" t="str">
        <f>IFERROR(INDEX('Hun Demand'!H:H,MATCH($O306,'Hun Demand'!$A:$A,0)),"")</f>
        <v/>
      </c>
      <c r="AI306" s="25" t="str">
        <f>IF(SUMIFS('Supp Consol'!AA:AA,'Supp Consol'!Z:Z,"Expires this month",'Supp Consol'!A:A,O306)=0,"",SUMIFS('Supp Consol'!AA:AA,'Supp Consol'!Z:Z,"Expires this month",'Supp Consol'!A:A,O306))</f>
        <v/>
      </c>
      <c r="AJ306" s="25" t="str">
        <f>IF(SUMIFS('Supp Consol'!AA:AA,'Supp Consol'!Z:Z,"Expired Previous Months",'Supp Consol'!A:A,O306)=0,"",SUMIFS('Supp Consol'!AA:AA,'Supp Consol'!Z:Z,"Expired Previous Months",'Supp Consol'!A:A,O306))</f>
        <v/>
      </c>
      <c r="AK306" s="25" t="str">
        <f>IFERROR(INDEX('Hun Release Current'!B:B,MATCH(O306,'Hun Release Current'!A:A,0)),"")</f>
        <v/>
      </c>
      <c r="AL306" s="25" t="str">
        <f>IF(SUMIF('Prev Aub'!A:A,O306,'Prev Aub'!B:B)=0,"",SUMIF('Prev Aub'!A:A,O306,'Prev Aub'!B:B))</f>
        <v/>
      </c>
      <c r="AN306" s="25" t="s">
        <v>3790</v>
      </c>
      <c r="AO306" s="25" t="s">
        <v>3790</v>
      </c>
      <c r="AP306" s="25">
        <f t="shared" si="118"/>
        <v>0</v>
      </c>
      <c r="AQ306" s="151" t="str">
        <f>IF(SUMIFS('Supp Consol'!S:S,'Supp Consol'!A:A,O306,'Supp Consol'!I:I,"PENDING")=0,"",SUMIFS('Supp Consol'!S:S,'Supp Consol'!A:A,O306,'Supp Consol'!I:I,"PENDING"))</f>
        <v/>
      </c>
      <c r="AR306" s="27" t="str">
        <f t="shared" si="119"/>
        <v>AV100</v>
      </c>
      <c r="AS306" s="27" t="str">
        <f t="shared" si="120"/>
        <v>62</v>
      </c>
      <c r="AT306" s="27" t="str">
        <f t="shared" si="121"/>
        <v/>
      </c>
      <c r="AU306" s="27" t="str">
        <f t="shared" si="122"/>
        <v/>
      </c>
      <c r="AV306" s="27" t="str">
        <f t="shared" si="123"/>
        <v/>
      </c>
      <c r="AW306" s="27" t="str">
        <f t="shared" si="124"/>
        <v/>
      </c>
      <c r="AX306" s="27" t="str">
        <f t="shared" si="125"/>
        <v/>
      </c>
      <c r="AY306" s="27" t="str">
        <f t="shared" si="126"/>
        <v/>
      </c>
      <c r="AZ306" s="27" t="str">
        <f t="shared" si="127"/>
        <v/>
      </c>
      <c r="BA306" s="27" t="str">
        <f t="shared" si="128"/>
        <v/>
      </c>
      <c r="BB306" s="27" t="str">
        <f t="shared" si="129"/>
        <v>Gross</v>
      </c>
      <c r="BC306" s="27" t="str">
        <f t="shared" si="130"/>
        <v>Net</v>
      </c>
      <c r="BD306" s="27" t="str">
        <f t="shared" si="131"/>
        <v>Net</v>
      </c>
      <c r="BE306" s="27" t="str">
        <f t="shared" si="132"/>
        <v/>
      </c>
      <c r="BF306" s="27" t="str">
        <f t="shared" si="133"/>
        <v/>
      </c>
      <c r="BG306" s="27" t="str">
        <f t="shared" si="134"/>
        <v/>
      </c>
      <c r="BH306" s="27" t="str">
        <f t="shared" si="135"/>
        <v/>
      </c>
      <c r="BI306" s="27" t="str">
        <f t="shared" si="136"/>
        <v/>
      </c>
      <c r="BJ306" s="27" t="str">
        <f t="shared" si="137"/>
        <v/>
      </c>
      <c r="BK306" s="27" t="str">
        <f t="shared" si="138"/>
        <v/>
      </c>
      <c r="BL306" s="27" t="str">
        <f t="shared" si="139"/>
        <v/>
      </c>
      <c r="BM306" s="21" t="s">
        <v>3790</v>
      </c>
    </row>
    <row r="307" spans="1:65" ht="15">
      <c r="A307" s="25">
        <f>IFERROR(INDEX('Hun Demand'!W:W,MATCH(O307,'Hun Demand'!A:A,0)),"")</f>
        <v>0</v>
      </c>
      <c r="B307" s="25">
        <f>IFERROR(INDEX('Hun Demand'!V:V,MATCH(O307,'Hun Demand'!A:A,0)),"")</f>
        <v>0</v>
      </c>
      <c r="C307" s="25">
        <f>IFERROR(INDEX('Hun Demand'!U:U,MATCH(O307,'Hun Demand'!A:A,0)),"")</f>
        <v>0</v>
      </c>
      <c r="D307" s="25">
        <f>IFERROR(INDEX('Hun Demand'!T:T,MATCH(O307,'Hun Demand'!A:A,0)),"")</f>
        <v>0</v>
      </c>
      <c r="E307" s="25">
        <f>IFERROR(INDEX('Hun Demand'!S:S,MATCH(O307,'Hun Demand'!A:A,0)),"")</f>
        <v>0</v>
      </c>
      <c r="F307" s="25">
        <f>IFERROR(INDEX('Hun Demand'!R:R,MATCH(O307,'Hun Demand'!A:A,0)),"")</f>
        <v>0</v>
      </c>
      <c r="G307" s="25">
        <f>IFERROR(INDEX('Aub Demand'!W:W,MATCH(O307,'Aub Demand'!A:A,0)),"")</f>
        <v>0</v>
      </c>
      <c r="H307" s="25">
        <f>IFERROR(INDEX('Aub Demand'!V:V,MATCH(O307,'Aub Demand'!A:A,0)),"")</f>
        <v>0</v>
      </c>
      <c r="I307" s="25">
        <f>IFERROR(INDEX('Aub Demand'!U:U,MATCH(O307,'Aub Demand'!A:A,0)),"")</f>
        <v>20</v>
      </c>
      <c r="J307" s="25">
        <f>IFERROR(INDEX('Aub Demand'!T:T,MATCH(O307,'Aub Demand'!A:A,0)),"")</f>
        <v>0</v>
      </c>
      <c r="K307" s="25">
        <f>IFERROR(INDEX('Aub Demand'!S:S,MATCH(O307,'Aub Demand'!A:A,0)),"")</f>
        <v>0</v>
      </c>
      <c r="L307" s="25">
        <f>IFERROR(INDEX('Aub Demand'!R:R,MATCH(O307,'Aub Demand'!A:A,0)),"")</f>
        <v>0</v>
      </c>
      <c r="O307" s="27" t="s">
        <v>529</v>
      </c>
      <c r="P307" s="27" t="str">
        <f>IFERROR(INDEX('Aub Demand'!B:B,MATCH($O307,'Aub Demand'!$A:$A,0)),"")</f>
        <v>SOOTHING SEA MIST</v>
      </c>
      <c r="Q307" s="27" t="str">
        <f>IFERROR(INDEX('Aub Demand'!C:C,MATCH($O307,'Aub Demand'!$A:$A,0)),"")</f>
        <v>SCHAT</v>
      </c>
      <c r="R307" s="52">
        <f>IFERROR(IF(AR308=AR307,INDEX('Aub Demand'!K:K,MATCH($O307,'Aub Demand'!$A:$A,0))-IF(AN307="",0,AN307)+AP308,INDEX('Aub Demand'!K:K,MATCH($O307,'Aub Demand'!$A:$A,0))-IF(AN307="",0,AN307)),"")</f>
        <v>113</v>
      </c>
      <c r="S307" s="53">
        <f t="shared" si="112"/>
        <v>69.2</v>
      </c>
      <c r="T307" s="52" t="str">
        <f t="shared" si="113"/>
        <v/>
      </c>
      <c r="U307" s="52">
        <f>IFERROR(IF(AR308=AR307,INDEX('Aub Demand'!Q:Q,MATCH($O307,'Aub Demand'!$A:$A,0))-IF(AN307="",0,AN307)+AP308,INDEX('Aub Demand'!Q:Q,MATCH($O307,'Aub Demand'!$A:$A,0))-IF(AN307="",0,AN307)),"")</f>
        <v>113</v>
      </c>
      <c r="V307" s="53">
        <f t="shared" si="114"/>
        <v>69.2</v>
      </c>
      <c r="W307" s="52" t="str">
        <f t="shared" si="115"/>
        <v/>
      </c>
      <c r="X307" s="52">
        <f>IFERROR(IF(AND(AR308=AR307,AM307&lt;&gt;""),INDEX('Aub Demand'!Q:Q,MATCH($O307,'Aub Demand'!$A:$A,0))-IF(AN307="",0,AN307)+AP308+AD307+AL307,IF(AR308=AR307,INDEX('Aub Demand'!Q:Q,MATCH($O307,'Aub Demand'!$A:$A,0))-IF(AN307="",0,AN307)+AP308+AD307,IF(AM307&lt;&gt;"",INDEX('Aub Demand'!Q:Q,MATCH($O307,'Aub Demand'!$A:$A,0))-IF(AN307="",0,AN307)+AD307+AL307,INDEX('Aub Demand'!Q:Q,MATCH($O307,'Aub Demand'!$A:$A,0))-IF(AN307="",0,AN307)+AD307))),"")</f>
        <v>113</v>
      </c>
      <c r="Y307" s="53">
        <f t="shared" si="116"/>
        <v>69.2</v>
      </c>
      <c r="Z307" s="52">
        <f>IF(L307="","",INDEX('Aub Demand'!H:H,MATCH($O307,'Aub Demand'!$A:$A,0)))</f>
        <v>7</v>
      </c>
      <c r="AA307" s="52" t="str">
        <f t="shared" si="117"/>
        <v>-spike-</v>
      </c>
      <c r="AB307" s="52">
        <f>IFERROR(INDEX('Aub Demand'!L:L,MATCH($O307,'Aub Demand'!$A:$A,0)),"")</f>
        <v>7</v>
      </c>
      <c r="AC307" s="52">
        <f>IFERROR(IF(O307="","",SUMIFS('CPL Mats'!F:F,'CPL Mats'!Q:Q,AR307,'CPL Mats'!S:S,AS307)),"")</f>
        <v>0</v>
      </c>
      <c r="AF307" s="25" t="str">
        <f>IF(SUMIFS('Supp Consol'!S:S,'Supp Consol'!Y:Y,"Releasable",'Supp Consol'!A:A,O307)=0,"",SUMIFS('Supp Consol'!S:S,'Supp Consol'!Y:Y,"Releasable",'Supp Consol'!A:A,O307))</f>
        <v/>
      </c>
      <c r="AG307" s="25">
        <f>IFERROR(INDEX('Hun Demand'!Q:Q,MATCH(O307,'Hun Demand'!A:A,0)),"")</f>
        <v>108</v>
      </c>
      <c r="AH307" s="25">
        <f>IFERROR(INDEX('Hun Demand'!H:H,MATCH($O307,'Hun Demand'!$A:$A,0)),"")</f>
        <v>0</v>
      </c>
      <c r="AI307" s="25" t="str">
        <f>IF(SUMIFS('Supp Consol'!AA:AA,'Supp Consol'!Z:Z,"Expires this month",'Supp Consol'!A:A,O307)=0,"",SUMIFS('Supp Consol'!AA:AA,'Supp Consol'!Z:Z,"Expires this month",'Supp Consol'!A:A,O307))</f>
        <v/>
      </c>
      <c r="AJ307" s="25" t="str">
        <f>IF(SUMIFS('Supp Consol'!AA:AA,'Supp Consol'!Z:Z,"Expired Previous Months",'Supp Consol'!A:A,O307)=0,"",SUMIFS('Supp Consol'!AA:AA,'Supp Consol'!Z:Z,"Expired Previous Months",'Supp Consol'!A:A,O307))</f>
        <v/>
      </c>
      <c r="AK307" s="25" t="str">
        <f>IFERROR(INDEX('Hun Release Current'!B:B,MATCH(O307,'Hun Release Current'!A:A,0)),"")</f>
        <v/>
      </c>
      <c r="AL307" s="25" t="str">
        <f>IF(SUMIF('Prev Aub'!A:A,O307,'Prev Aub'!B:B)=0,"",SUMIF('Prev Aub'!A:A,O307,'Prev Aub'!B:B))</f>
        <v/>
      </c>
      <c r="AN307" s="25" t="s">
        <v>3790</v>
      </c>
      <c r="AO307" s="25" t="s">
        <v>3790</v>
      </c>
      <c r="AP307" s="25">
        <f t="shared" si="118"/>
        <v>0</v>
      </c>
      <c r="AQ307" s="151" t="str">
        <f>IF(SUMIFS('Supp Consol'!S:S,'Supp Consol'!A:A,O307,'Supp Consol'!I:I,"PENDING")=0,"",SUMIFS('Supp Consol'!S:S,'Supp Consol'!A:A,O307,'Supp Consol'!I:I,"PENDING"))</f>
        <v/>
      </c>
      <c r="AR307" s="27" t="str">
        <f t="shared" si="119"/>
        <v>AV208</v>
      </c>
      <c r="AS307" s="27" t="str">
        <f t="shared" si="120"/>
        <v>50</v>
      </c>
      <c r="AT307" s="27" t="str">
        <f t="shared" si="121"/>
        <v/>
      </c>
      <c r="AU307" s="27" t="str">
        <f t="shared" si="122"/>
        <v/>
      </c>
      <c r="AV307" s="27" t="str">
        <f t="shared" si="123"/>
        <v/>
      </c>
      <c r="AW307" s="27" t="str">
        <f t="shared" si="124"/>
        <v/>
      </c>
      <c r="AX307" s="27" t="str">
        <f t="shared" si="125"/>
        <v/>
      </c>
      <c r="AY307" s="27" t="str">
        <f t="shared" si="126"/>
        <v>AV208</v>
      </c>
      <c r="AZ307" s="27" t="str">
        <f t="shared" si="127"/>
        <v/>
      </c>
      <c r="BA307" s="27" t="str">
        <f t="shared" si="128"/>
        <v>Hun</v>
      </c>
      <c r="BB307" s="27" t="str">
        <f t="shared" si="129"/>
        <v/>
      </c>
      <c r="BC307" s="27" t="str">
        <f t="shared" si="130"/>
        <v/>
      </c>
      <c r="BD307" s="27" t="str">
        <f t="shared" si="131"/>
        <v/>
      </c>
      <c r="BE307" s="27" t="str">
        <f t="shared" si="132"/>
        <v/>
      </c>
      <c r="BF307" s="27" t="str">
        <f t="shared" si="133"/>
        <v/>
      </c>
      <c r="BG307" s="27" t="str">
        <f t="shared" si="134"/>
        <v/>
      </c>
      <c r="BH307" s="27" t="str">
        <f t="shared" si="135"/>
        <v/>
      </c>
      <c r="BI307" s="27" t="str">
        <f t="shared" si="136"/>
        <v/>
      </c>
      <c r="BJ307" s="27" t="str">
        <f t="shared" si="137"/>
        <v>Supp or Hun</v>
      </c>
      <c r="BK307" s="27" t="str">
        <f t="shared" si="138"/>
        <v/>
      </c>
      <c r="BL307" s="27" t="str">
        <f t="shared" si="139"/>
        <v/>
      </c>
      <c r="BM307" s="21" t="s">
        <v>5581</v>
      </c>
    </row>
    <row r="308" spans="1:65" ht="15">
      <c r="A308" s="25" t="str">
        <f>IFERROR(INDEX('Hun Demand'!W:W,MATCH(O308,'Hun Demand'!A:A,0)),"")</f>
        <v/>
      </c>
      <c r="B308" s="25" t="str">
        <f>IFERROR(INDEX('Hun Demand'!V:V,MATCH(O308,'Hun Demand'!A:A,0)),"")</f>
        <v/>
      </c>
      <c r="C308" s="25" t="str">
        <f>IFERROR(INDEX('Hun Demand'!U:U,MATCH(O308,'Hun Demand'!A:A,0)),"")</f>
        <v/>
      </c>
      <c r="D308" s="25" t="str">
        <f>IFERROR(INDEX('Hun Demand'!T:T,MATCH(O308,'Hun Demand'!A:A,0)),"")</f>
        <v/>
      </c>
      <c r="E308" s="25" t="str">
        <f>IFERROR(INDEX('Hun Demand'!S:S,MATCH(O308,'Hun Demand'!A:A,0)),"")</f>
        <v/>
      </c>
      <c r="F308" s="25" t="str">
        <f>IFERROR(INDEX('Hun Demand'!R:R,MATCH(O308,'Hun Demand'!A:A,0)),"")</f>
        <v/>
      </c>
      <c r="G308" s="25">
        <f>IFERROR(INDEX('Aub Demand'!W:W,MATCH(O308,'Aub Demand'!A:A,0)),"")</f>
        <v>0</v>
      </c>
      <c r="H308" s="25">
        <f>IFERROR(INDEX('Aub Demand'!V:V,MATCH(O308,'Aub Demand'!A:A,0)),"")</f>
        <v>0</v>
      </c>
      <c r="I308" s="25">
        <f>IFERROR(INDEX('Aub Demand'!U:U,MATCH(O308,'Aub Demand'!A:A,0)),"")</f>
        <v>0</v>
      </c>
      <c r="J308" s="25">
        <f>IFERROR(INDEX('Aub Demand'!T:T,MATCH(O308,'Aub Demand'!A:A,0)),"")</f>
        <v>0</v>
      </c>
      <c r="K308" s="25">
        <f>IFERROR(INDEX('Aub Demand'!S:S,MATCH(O308,'Aub Demand'!A:A,0)),"")</f>
        <v>0</v>
      </c>
      <c r="L308" s="25">
        <f>IFERROR(INDEX('Aub Demand'!R:R,MATCH(O308,'Aub Demand'!A:A,0)),"")</f>
        <v>0</v>
      </c>
      <c r="O308" s="27" t="s">
        <v>531</v>
      </c>
      <c r="P308" s="27" t="str">
        <f>IFERROR(INDEX('Aub Demand'!B:B,MATCH($O308,'Aub Demand'!$A:$A,0)),"")</f>
        <v>SOOTHING SEA MIST</v>
      </c>
      <c r="Q308" s="27" t="str">
        <f>IFERROR(INDEX('Aub Demand'!C:C,MATCH($O308,'Aub Demand'!$A:$A,0)),"")</f>
        <v>SCHAT</v>
      </c>
      <c r="R308" s="52">
        <f>IFERROR(IF(AR309=AR308,INDEX('Aub Demand'!K:K,MATCH($O308,'Aub Demand'!$A:$A,0))-IF(AN308="",0,AN308)+AP309,INDEX('Aub Demand'!K:K,MATCH($O308,'Aub Demand'!$A:$A,0))-IF(AN308="",0,AN308)),"")</f>
        <v>1927</v>
      </c>
      <c r="S308" s="53" t="str">
        <f t="shared" si="112"/>
        <v>n/a</v>
      </c>
      <c r="T308" s="52" t="str">
        <f t="shared" si="113"/>
        <v/>
      </c>
      <c r="U308" s="52">
        <f>IFERROR(IF(AR309=AR308,INDEX('Aub Demand'!Q:Q,MATCH($O308,'Aub Demand'!$A:$A,0))-IF(AN308="",0,AN308)+AP309,INDEX('Aub Demand'!Q:Q,MATCH($O308,'Aub Demand'!$A:$A,0))-IF(AN308="",0,AN308)),"")</f>
        <v>1927</v>
      </c>
      <c r="V308" s="53" t="str">
        <f t="shared" si="114"/>
        <v>n/a</v>
      </c>
      <c r="W308" s="52" t="str">
        <f t="shared" si="115"/>
        <v/>
      </c>
      <c r="X308" s="52">
        <f>IFERROR(IF(AND(AR309=AR308,AM308&lt;&gt;""),INDEX('Aub Demand'!Q:Q,MATCH($O308,'Aub Demand'!$A:$A,0))-IF(AN308="",0,AN308)+AP309+AD308+AL308,IF(AR309=AR308,INDEX('Aub Demand'!Q:Q,MATCH($O308,'Aub Demand'!$A:$A,0))-IF(AN308="",0,AN308)+AP309+AD308,IF(AM308&lt;&gt;"",INDEX('Aub Demand'!Q:Q,MATCH($O308,'Aub Demand'!$A:$A,0))-IF(AN308="",0,AN308)+AD308+AL308,INDEX('Aub Demand'!Q:Q,MATCH($O308,'Aub Demand'!$A:$A,0))-IF(AN308="",0,AN308)+AD308))),"")</f>
        <v>1927</v>
      </c>
      <c r="Y308" s="53" t="str">
        <f t="shared" si="116"/>
        <v>n/a</v>
      </c>
      <c r="Z308" s="52">
        <f>IF(L308="","",INDEX('Aub Demand'!H:H,MATCH($O308,'Aub Demand'!$A:$A,0)))</f>
        <v>0</v>
      </c>
      <c r="AA308" s="52" t="str">
        <f t="shared" si="117"/>
        <v>-spike-</v>
      </c>
      <c r="AB308" s="52">
        <f>IFERROR(INDEX('Aub Demand'!L:L,MATCH($O308,'Aub Demand'!$A:$A,0)),"")</f>
        <v>0</v>
      </c>
      <c r="AC308" s="52">
        <f>IFERROR(IF(O308="","",SUMIFS('CPL Mats'!F:F,'CPL Mats'!Q:Q,AR308,'CPL Mats'!S:S,AS308)),"")</f>
        <v>0</v>
      </c>
      <c r="AF308" s="25" t="str">
        <f>IF(SUMIFS('Supp Consol'!S:S,'Supp Consol'!Y:Y,"Releasable",'Supp Consol'!A:A,O308)=0,"",SUMIFS('Supp Consol'!S:S,'Supp Consol'!Y:Y,"Releasable",'Supp Consol'!A:A,O308))</f>
        <v/>
      </c>
      <c r="AG308" s="25" t="str">
        <f>IFERROR(INDEX('Hun Demand'!Q:Q,MATCH(O308,'Hun Demand'!A:A,0)),"")</f>
        <v/>
      </c>
      <c r="AH308" s="25" t="str">
        <f>IFERROR(INDEX('Hun Demand'!H:H,MATCH($O308,'Hun Demand'!$A:$A,0)),"")</f>
        <v/>
      </c>
      <c r="AI308" s="25" t="str">
        <f>IF(SUMIFS('Supp Consol'!AA:AA,'Supp Consol'!Z:Z,"Expires this month",'Supp Consol'!A:A,O308)=0,"",SUMIFS('Supp Consol'!AA:AA,'Supp Consol'!Z:Z,"Expires this month",'Supp Consol'!A:A,O308))</f>
        <v/>
      </c>
      <c r="AJ308" s="25" t="str">
        <f>IF(SUMIFS('Supp Consol'!AA:AA,'Supp Consol'!Z:Z,"Expired Previous Months",'Supp Consol'!A:A,O308)=0,"",SUMIFS('Supp Consol'!AA:AA,'Supp Consol'!Z:Z,"Expired Previous Months",'Supp Consol'!A:A,O308))</f>
        <v/>
      </c>
      <c r="AK308" s="25" t="str">
        <f>IFERROR(INDEX('Hun Release Current'!B:B,MATCH(O308,'Hun Release Current'!A:A,0)),"")</f>
        <v/>
      </c>
      <c r="AL308" s="25" t="str">
        <f>IF(SUMIF('Prev Aub'!A:A,O308,'Prev Aub'!B:B)=0,"",SUMIF('Prev Aub'!A:A,O308,'Prev Aub'!B:B))</f>
        <v/>
      </c>
      <c r="AN308" s="25" t="s">
        <v>3790</v>
      </c>
      <c r="AO308" s="25" t="s">
        <v>3790</v>
      </c>
      <c r="AP308" s="25">
        <f t="shared" si="118"/>
        <v>0</v>
      </c>
      <c r="AQ308" s="151" t="str">
        <f>IF(SUMIFS('Supp Consol'!S:S,'Supp Consol'!A:A,O308,'Supp Consol'!I:I,"PENDING")=0,"",SUMIFS('Supp Consol'!S:S,'Supp Consol'!A:A,O308,'Supp Consol'!I:I,"PENDING"))</f>
        <v/>
      </c>
      <c r="AR308" s="27" t="str">
        <f t="shared" si="119"/>
        <v>AV208</v>
      </c>
      <c r="AS308" s="27" t="str">
        <f t="shared" si="120"/>
        <v>62</v>
      </c>
      <c r="AT308" s="27" t="str">
        <f t="shared" si="121"/>
        <v/>
      </c>
      <c r="AU308" s="27" t="str">
        <f t="shared" si="122"/>
        <v/>
      </c>
      <c r="AV308" s="27" t="str">
        <f t="shared" si="123"/>
        <v/>
      </c>
      <c r="AW308" s="27" t="str">
        <f t="shared" si="124"/>
        <v/>
      </c>
      <c r="AX308" s="27" t="str">
        <f t="shared" si="125"/>
        <v/>
      </c>
      <c r="AY308" s="27" t="str">
        <f t="shared" si="126"/>
        <v/>
      </c>
      <c r="AZ308" s="27" t="str">
        <f t="shared" si="127"/>
        <v/>
      </c>
      <c r="BA308" s="27" t="str">
        <f t="shared" si="128"/>
        <v>Hun</v>
      </c>
      <c r="BB308" s="27" t="str">
        <f t="shared" si="129"/>
        <v/>
      </c>
      <c r="BC308" s="27" t="str">
        <f t="shared" si="130"/>
        <v/>
      </c>
      <c r="BD308" s="27" t="str">
        <f t="shared" si="131"/>
        <v/>
      </c>
      <c r="BE308" s="27" t="str">
        <f t="shared" si="132"/>
        <v/>
      </c>
      <c r="BF308" s="27" t="str">
        <f t="shared" si="133"/>
        <v/>
      </c>
      <c r="BG308" s="27" t="str">
        <f t="shared" si="134"/>
        <v/>
      </c>
      <c r="BH308" s="27" t="str">
        <f t="shared" si="135"/>
        <v/>
      </c>
      <c r="BI308" s="27" t="str">
        <f t="shared" si="136"/>
        <v/>
      </c>
      <c r="BJ308" s="27" t="str">
        <f t="shared" si="137"/>
        <v>Supp or Hun</v>
      </c>
      <c r="BK308" s="27" t="str">
        <f t="shared" si="138"/>
        <v/>
      </c>
      <c r="BL308" s="27" t="str">
        <f t="shared" si="139"/>
        <v/>
      </c>
      <c r="BM308" s="21" t="s">
        <v>5581</v>
      </c>
    </row>
    <row r="309" spans="1:65" ht="15">
      <c r="A309" s="25" t="str">
        <f>IFERROR(INDEX('Hun Demand'!W:W,MATCH(O309,'Hun Demand'!A:A,0)),"")</f>
        <v/>
      </c>
      <c r="B309" s="25" t="str">
        <f>IFERROR(INDEX('Hun Demand'!V:V,MATCH(O309,'Hun Demand'!A:A,0)),"")</f>
        <v/>
      </c>
      <c r="C309" s="25" t="str">
        <f>IFERROR(INDEX('Hun Demand'!U:U,MATCH(O309,'Hun Demand'!A:A,0)),"")</f>
        <v/>
      </c>
      <c r="D309" s="25" t="str">
        <f>IFERROR(INDEX('Hun Demand'!T:T,MATCH(O309,'Hun Demand'!A:A,0)),"")</f>
        <v/>
      </c>
      <c r="E309" s="25" t="str">
        <f>IFERROR(INDEX('Hun Demand'!S:S,MATCH(O309,'Hun Demand'!A:A,0)),"")</f>
        <v/>
      </c>
      <c r="F309" s="25" t="str">
        <f>IFERROR(INDEX('Hun Demand'!R:R,MATCH(O309,'Hun Demand'!A:A,0)),"")</f>
        <v/>
      </c>
      <c r="G309" s="25">
        <f>IFERROR(INDEX('Aub Demand'!W:W,MATCH(O309,'Aub Demand'!A:A,0)),"")</f>
        <v>7</v>
      </c>
      <c r="H309" s="25">
        <f>IFERROR(INDEX('Aub Demand'!V:V,MATCH(O309,'Aub Demand'!A:A,0)),"")</f>
        <v>0</v>
      </c>
      <c r="I309" s="25">
        <f>IFERROR(INDEX('Aub Demand'!U:U,MATCH(O309,'Aub Demand'!A:A,0)),"")</f>
        <v>0</v>
      </c>
      <c r="J309" s="25">
        <f>IFERROR(INDEX('Aub Demand'!T:T,MATCH(O309,'Aub Demand'!A:A,0)),"")</f>
        <v>0</v>
      </c>
      <c r="K309" s="25">
        <f>IFERROR(INDEX('Aub Demand'!S:S,MATCH(O309,'Aub Demand'!A:A,0)),"")</f>
        <v>0</v>
      </c>
      <c r="L309" s="25">
        <f>IFERROR(INDEX('Aub Demand'!R:R,MATCH(O309,'Aub Demand'!A:A,0)),"")</f>
        <v>14</v>
      </c>
      <c r="O309" s="27" t="s">
        <v>2107</v>
      </c>
      <c r="P309" s="27" t="str">
        <f>IFERROR(INDEX('Aub Demand'!B:B,MATCH($O309,'Aub Demand'!$A:$A,0)),"")</f>
        <v>URBAN GARDEN</v>
      </c>
      <c r="Q309" s="27" t="str">
        <f>IFERROR(INDEX('Aub Demand'!C:C,MATCH($O309,'Aub Demand'!$A:$A,0)),"")</f>
        <v>INTER</v>
      </c>
      <c r="R309" s="52">
        <f>IFERROR(IF(AR310=AR309,INDEX('Aub Demand'!K:K,MATCH($O309,'Aub Demand'!$A:$A,0))-IF(AN309="",0,AN309)+AP310,INDEX('Aub Demand'!K:K,MATCH($O309,'Aub Demand'!$A:$A,0))-IF(AN309="",0,AN309)),"")</f>
        <v>130</v>
      </c>
      <c r="S309" s="53" t="str">
        <f t="shared" si="112"/>
        <v>n/a</v>
      </c>
      <c r="T309" s="52" t="str">
        <f t="shared" si="113"/>
        <v/>
      </c>
      <c r="U309" s="52">
        <f>IFERROR(IF(AR310=AR309,INDEX('Aub Demand'!Q:Q,MATCH($O309,'Aub Demand'!$A:$A,0))-IF(AN309="",0,AN309)+AP310,INDEX('Aub Demand'!Q:Q,MATCH($O309,'Aub Demand'!$A:$A,0))-IF(AN309="",0,AN309)),"")</f>
        <v>119</v>
      </c>
      <c r="V309" s="53" t="str">
        <f t="shared" si="114"/>
        <v>n/a</v>
      </c>
      <c r="W309" s="52" t="str">
        <f t="shared" si="115"/>
        <v/>
      </c>
      <c r="X309" s="52">
        <f>IFERROR(IF(AND(AR310=AR309,AM309&lt;&gt;""),INDEX('Aub Demand'!Q:Q,MATCH($O309,'Aub Demand'!$A:$A,0))-IF(AN309="",0,AN309)+AP310+AD309+AL309,IF(AR310=AR309,INDEX('Aub Demand'!Q:Q,MATCH($O309,'Aub Demand'!$A:$A,0))-IF(AN309="",0,AN309)+AP310+AD309,IF(AM309&lt;&gt;"",INDEX('Aub Demand'!Q:Q,MATCH($O309,'Aub Demand'!$A:$A,0))-IF(AN309="",0,AN309)+AD309+AL309,INDEX('Aub Demand'!Q:Q,MATCH($O309,'Aub Demand'!$A:$A,0))-IF(AN309="",0,AN309)+AD309))),"")</f>
        <v>119</v>
      </c>
      <c r="Y309" s="53" t="str">
        <f t="shared" si="116"/>
        <v>n/a</v>
      </c>
      <c r="Z309" s="52">
        <f>IF(L309="","",INDEX('Aub Demand'!H:H,MATCH($O309,'Aub Demand'!$A:$A,0)))</f>
        <v>0</v>
      </c>
      <c r="AA309" s="52" t="str">
        <f t="shared" si="117"/>
        <v>-spike-</v>
      </c>
      <c r="AB309" s="52">
        <f>IFERROR(INDEX('Aub Demand'!L:L,MATCH($O309,'Aub Demand'!$A:$A,0)),"")</f>
        <v>7</v>
      </c>
      <c r="AC309" s="52">
        <f>IFERROR(IF(O309="","",SUMIFS('CPL Mats'!F:F,'CPL Mats'!Q:Q,AR309,'CPL Mats'!S:S,AS309)),"")</f>
        <v>0</v>
      </c>
      <c r="AF309" s="25" t="str">
        <f>IF(SUMIFS('Supp Consol'!S:S,'Supp Consol'!Y:Y,"Releasable",'Supp Consol'!A:A,O309)=0,"",SUMIFS('Supp Consol'!S:S,'Supp Consol'!Y:Y,"Releasable",'Supp Consol'!A:A,O309))</f>
        <v/>
      </c>
      <c r="AG309" s="25" t="str">
        <f>IFERROR(INDEX('Hun Demand'!Q:Q,MATCH(O309,'Hun Demand'!A:A,0)),"")</f>
        <v/>
      </c>
      <c r="AH309" s="25" t="str">
        <f>IFERROR(INDEX('Hun Demand'!H:H,MATCH($O309,'Hun Demand'!$A:$A,0)),"")</f>
        <v/>
      </c>
      <c r="AI309" s="25" t="str">
        <f>IF(SUMIFS('Supp Consol'!AA:AA,'Supp Consol'!Z:Z,"Expires this month",'Supp Consol'!A:A,O309)=0,"",SUMIFS('Supp Consol'!AA:AA,'Supp Consol'!Z:Z,"Expires this month",'Supp Consol'!A:A,O309))</f>
        <v/>
      </c>
      <c r="AJ309" s="25" t="str">
        <f>IF(SUMIFS('Supp Consol'!AA:AA,'Supp Consol'!Z:Z,"Expired Previous Months",'Supp Consol'!A:A,O309)=0,"",SUMIFS('Supp Consol'!AA:AA,'Supp Consol'!Z:Z,"Expired Previous Months",'Supp Consol'!A:A,O309))</f>
        <v/>
      </c>
      <c r="AK309" s="25" t="str">
        <f>IFERROR(INDEX('Hun Release Current'!B:B,MATCH(O309,'Hun Release Current'!A:A,0)),"")</f>
        <v/>
      </c>
      <c r="AL309" s="25" t="str">
        <f>IF(SUMIF('Prev Aub'!A:A,O309,'Prev Aub'!B:B)=0,"",SUMIF('Prev Aub'!A:A,O309,'Prev Aub'!B:B))</f>
        <v/>
      </c>
      <c r="AN309" s="25" t="s">
        <v>3790</v>
      </c>
      <c r="AO309" s="25" t="s">
        <v>3790</v>
      </c>
      <c r="AP309" s="25">
        <f t="shared" si="118"/>
        <v>0</v>
      </c>
      <c r="AQ309" s="151" t="str">
        <f>IF(SUMIFS('Supp Consol'!S:S,'Supp Consol'!A:A,O309,'Supp Consol'!I:I,"PENDING")=0,"",SUMIFS('Supp Consol'!S:S,'Supp Consol'!A:A,O309,'Supp Consol'!I:I,"PENDING"))</f>
        <v/>
      </c>
      <c r="AR309" s="27" t="str">
        <f t="shared" si="119"/>
        <v>AV210</v>
      </c>
      <c r="AS309" s="27" t="str">
        <f t="shared" si="120"/>
        <v>50</v>
      </c>
      <c r="AT309" s="27" t="str">
        <f t="shared" si="121"/>
        <v/>
      </c>
      <c r="AU309" s="27" t="str">
        <f t="shared" si="122"/>
        <v/>
      </c>
      <c r="AV309" s="27" t="str">
        <f t="shared" si="123"/>
        <v/>
      </c>
      <c r="AW309" s="27" t="str">
        <f t="shared" si="124"/>
        <v/>
      </c>
      <c r="AX309" s="27" t="str">
        <f t="shared" si="125"/>
        <v/>
      </c>
      <c r="AY309" s="27" t="str">
        <f t="shared" si="126"/>
        <v/>
      </c>
      <c r="AZ309" s="27" t="str">
        <f t="shared" si="127"/>
        <v/>
      </c>
      <c r="BA309" s="27" t="str">
        <f t="shared" si="128"/>
        <v/>
      </c>
      <c r="BB309" s="27" t="str">
        <f t="shared" si="129"/>
        <v/>
      </c>
      <c r="BC309" s="27" t="str">
        <f t="shared" si="130"/>
        <v/>
      </c>
      <c r="BD309" s="27" t="str">
        <f t="shared" si="131"/>
        <v/>
      </c>
      <c r="BE309" s="27" t="str">
        <f t="shared" si="132"/>
        <v/>
      </c>
      <c r="BF309" s="27" t="str">
        <f t="shared" si="133"/>
        <v/>
      </c>
      <c r="BG309" s="27" t="str">
        <f t="shared" si="134"/>
        <v/>
      </c>
      <c r="BH309" s="27" t="str">
        <f t="shared" si="135"/>
        <v/>
      </c>
      <c r="BI309" s="27" t="str">
        <f t="shared" si="136"/>
        <v/>
      </c>
      <c r="BJ309" s="27" t="str">
        <f t="shared" si="137"/>
        <v/>
      </c>
      <c r="BK309" s="27" t="str">
        <f t="shared" si="138"/>
        <v/>
      </c>
      <c r="BL309" s="27" t="str">
        <f t="shared" si="139"/>
        <v/>
      </c>
      <c r="BM309" s="21" t="s">
        <v>5581</v>
      </c>
    </row>
    <row r="310" spans="1:65" ht="15">
      <c r="A310" s="25" t="str">
        <f>IFERROR(INDEX('Hun Demand'!W:W,MATCH(O310,'Hun Demand'!A:A,0)),"")</f>
        <v/>
      </c>
      <c r="B310" s="25" t="str">
        <f>IFERROR(INDEX('Hun Demand'!V:V,MATCH(O310,'Hun Demand'!A:A,0)),"")</f>
        <v/>
      </c>
      <c r="C310" s="25" t="str">
        <f>IFERROR(INDEX('Hun Demand'!U:U,MATCH(O310,'Hun Demand'!A:A,0)),"")</f>
        <v/>
      </c>
      <c r="D310" s="25" t="str">
        <f>IFERROR(INDEX('Hun Demand'!T:T,MATCH(O310,'Hun Demand'!A:A,0)),"")</f>
        <v/>
      </c>
      <c r="E310" s="25" t="str">
        <f>IFERROR(INDEX('Hun Demand'!S:S,MATCH(O310,'Hun Demand'!A:A,0)),"")</f>
        <v/>
      </c>
      <c r="F310" s="25" t="str">
        <f>IFERROR(INDEX('Hun Demand'!R:R,MATCH(O310,'Hun Demand'!A:A,0)),"")</f>
        <v/>
      </c>
      <c r="G310" s="25">
        <f>IFERROR(INDEX('Aub Demand'!W:W,MATCH(O310,'Aub Demand'!A:A,0)),"")</f>
        <v>0</v>
      </c>
      <c r="H310" s="25">
        <f>IFERROR(INDEX('Aub Demand'!V:V,MATCH(O310,'Aub Demand'!A:A,0)),"")</f>
        <v>0</v>
      </c>
      <c r="I310" s="25">
        <f>IFERROR(INDEX('Aub Demand'!U:U,MATCH(O310,'Aub Demand'!A:A,0)),"")</f>
        <v>0</v>
      </c>
      <c r="J310" s="25">
        <f>IFERROR(INDEX('Aub Demand'!T:T,MATCH(O310,'Aub Demand'!A:A,0)),"")</f>
        <v>0</v>
      </c>
      <c r="K310" s="25">
        <f>IFERROR(INDEX('Aub Demand'!S:S,MATCH(O310,'Aub Demand'!A:A,0)),"")</f>
        <v>0</v>
      </c>
      <c r="L310" s="25">
        <f>IFERROR(INDEX('Aub Demand'!R:R,MATCH(O310,'Aub Demand'!A:A,0)),"")</f>
        <v>0</v>
      </c>
      <c r="O310" s="27" t="s">
        <v>2109</v>
      </c>
      <c r="P310" s="27" t="str">
        <f>IFERROR(INDEX('Aub Demand'!B:B,MATCH($O310,'Aub Demand'!$A:$A,0)),"")</f>
        <v>URBAN GARDEN</v>
      </c>
      <c r="Q310" s="27" t="str">
        <f>IFERROR(INDEX('Aub Demand'!C:C,MATCH($O310,'Aub Demand'!$A:$A,0)),"")</f>
        <v>INTER</v>
      </c>
      <c r="R310" s="52">
        <f>IFERROR(IF(AR311=AR310,INDEX('Aub Demand'!K:K,MATCH($O310,'Aub Demand'!$A:$A,0))-IF(AN310="",0,AN310)+AP311,INDEX('Aub Demand'!K:K,MATCH($O310,'Aub Demand'!$A:$A,0))-IF(AN310="",0,AN310)),"")</f>
        <v>2418</v>
      </c>
      <c r="S310" s="53" t="str">
        <f t="shared" si="112"/>
        <v>n/a</v>
      </c>
      <c r="T310" s="52" t="str">
        <f t="shared" si="113"/>
        <v/>
      </c>
      <c r="U310" s="52">
        <f>IFERROR(IF(AR311=AR310,INDEX('Aub Demand'!Q:Q,MATCH($O310,'Aub Demand'!$A:$A,0))-IF(AN310="",0,AN310)+AP311,INDEX('Aub Demand'!Q:Q,MATCH($O310,'Aub Demand'!$A:$A,0))-IF(AN310="",0,AN310)),"")</f>
        <v>2418</v>
      </c>
      <c r="V310" s="53" t="str">
        <f t="shared" si="114"/>
        <v>n/a</v>
      </c>
      <c r="W310" s="52" t="str">
        <f t="shared" si="115"/>
        <v/>
      </c>
      <c r="X310" s="52">
        <f>IFERROR(IF(AND(AR311=AR310,AM310&lt;&gt;""),INDEX('Aub Demand'!Q:Q,MATCH($O310,'Aub Demand'!$A:$A,0))-IF(AN310="",0,AN310)+AP311+AD310+AL310,IF(AR311=AR310,INDEX('Aub Demand'!Q:Q,MATCH($O310,'Aub Demand'!$A:$A,0))-IF(AN310="",0,AN310)+AP311+AD310,IF(AM310&lt;&gt;"",INDEX('Aub Demand'!Q:Q,MATCH($O310,'Aub Demand'!$A:$A,0))-IF(AN310="",0,AN310)+AD310+AL310,INDEX('Aub Demand'!Q:Q,MATCH($O310,'Aub Demand'!$A:$A,0))-IF(AN310="",0,AN310)+AD310))),"")</f>
        <v>2418</v>
      </c>
      <c r="Y310" s="53" t="str">
        <f t="shared" si="116"/>
        <v>n/a</v>
      </c>
      <c r="Z310" s="52">
        <f>IF(L310="","",INDEX('Aub Demand'!H:H,MATCH($O310,'Aub Demand'!$A:$A,0)))</f>
        <v>0</v>
      </c>
      <c r="AA310" s="52" t="str">
        <f t="shared" si="117"/>
        <v>-spike-</v>
      </c>
      <c r="AB310" s="52">
        <f>IFERROR(INDEX('Aub Demand'!L:L,MATCH($O310,'Aub Demand'!$A:$A,0)),"")</f>
        <v>4</v>
      </c>
      <c r="AC310" s="52">
        <f>IFERROR(IF(O310="","",SUMIFS('CPL Mats'!F:F,'CPL Mats'!Q:Q,AR310,'CPL Mats'!S:S,AS310)),"")</f>
        <v>0</v>
      </c>
      <c r="AF310" s="25" t="str">
        <f>IF(SUMIFS('Supp Consol'!S:S,'Supp Consol'!Y:Y,"Releasable",'Supp Consol'!A:A,O310)=0,"",SUMIFS('Supp Consol'!S:S,'Supp Consol'!Y:Y,"Releasable",'Supp Consol'!A:A,O310))</f>
        <v/>
      </c>
      <c r="AG310" s="25" t="str">
        <f>IFERROR(INDEX('Hun Demand'!Q:Q,MATCH(O310,'Hun Demand'!A:A,0)),"")</f>
        <v/>
      </c>
      <c r="AH310" s="25" t="str">
        <f>IFERROR(INDEX('Hun Demand'!H:H,MATCH($O310,'Hun Demand'!$A:$A,0)),"")</f>
        <v/>
      </c>
      <c r="AI310" s="25" t="str">
        <f>IF(SUMIFS('Supp Consol'!AA:AA,'Supp Consol'!Z:Z,"Expires this month",'Supp Consol'!A:A,O310)=0,"",SUMIFS('Supp Consol'!AA:AA,'Supp Consol'!Z:Z,"Expires this month",'Supp Consol'!A:A,O310))</f>
        <v/>
      </c>
      <c r="AJ310" s="25" t="str">
        <f>IF(SUMIFS('Supp Consol'!AA:AA,'Supp Consol'!Z:Z,"Expired Previous Months",'Supp Consol'!A:A,O310)=0,"",SUMIFS('Supp Consol'!AA:AA,'Supp Consol'!Z:Z,"Expired Previous Months",'Supp Consol'!A:A,O310))</f>
        <v/>
      </c>
      <c r="AK310" s="25" t="str">
        <f>IFERROR(INDEX('Hun Release Current'!B:B,MATCH(O310,'Hun Release Current'!A:A,0)),"")</f>
        <v/>
      </c>
      <c r="AL310" s="25" t="str">
        <f>IF(SUMIF('Prev Aub'!A:A,O310,'Prev Aub'!B:B)=0,"",SUMIF('Prev Aub'!A:A,O310,'Prev Aub'!B:B))</f>
        <v/>
      </c>
      <c r="AN310" s="25" t="s">
        <v>3790</v>
      </c>
      <c r="AO310" s="25" t="s">
        <v>3790</v>
      </c>
      <c r="AP310" s="25">
        <f t="shared" si="118"/>
        <v>0</v>
      </c>
      <c r="AQ310" s="151" t="str">
        <f>IF(SUMIFS('Supp Consol'!S:S,'Supp Consol'!A:A,O310,'Supp Consol'!I:I,"PENDING")=0,"",SUMIFS('Supp Consol'!S:S,'Supp Consol'!A:A,O310,'Supp Consol'!I:I,"PENDING"))</f>
        <v/>
      </c>
      <c r="AR310" s="27" t="str">
        <f t="shared" si="119"/>
        <v>AV210</v>
      </c>
      <c r="AS310" s="27" t="str">
        <f t="shared" si="120"/>
        <v>62</v>
      </c>
      <c r="AT310" s="27" t="str">
        <f t="shared" si="121"/>
        <v/>
      </c>
      <c r="AU310" s="27" t="str">
        <f t="shared" si="122"/>
        <v/>
      </c>
      <c r="AV310" s="27" t="str">
        <f t="shared" si="123"/>
        <v/>
      </c>
      <c r="AW310" s="27" t="str">
        <f t="shared" si="124"/>
        <v/>
      </c>
      <c r="AX310" s="27" t="str">
        <f t="shared" si="125"/>
        <v/>
      </c>
      <c r="AY310" s="27" t="str">
        <f t="shared" si="126"/>
        <v/>
      </c>
      <c r="AZ310" s="27" t="str">
        <f t="shared" si="127"/>
        <v/>
      </c>
      <c r="BA310" s="27" t="str">
        <f t="shared" si="128"/>
        <v/>
      </c>
      <c r="BB310" s="27" t="str">
        <f t="shared" si="129"/>
        <v/>
      </c>
      <c r="BC310" s="27" t="str">
        <f t="shared" si="130"/>
        <v/>
      </c>
      <c r="BD310" s="27" t="str">
        <f t="shared" si="131"/>
        <v/>
      </c>
      <c r="BE310" s="27" t="str">
        <f t="shared" si="132"/>
        <v/>
      </c>
      <c r="BF310" s="27" t="str">
        <f t="shared" si="133"/>
        <v/>
      </c>
      <c r="BG310" s="27" t="str">
        <f t="shared" si="134"/>
        <v/>
      </c>
      <c r="BH310" s="27" t="str">
        <f t="shared" si="135"/>
        <v/>
      </c>
      <c r="BI310" s="27" t="str">
        <f t="shared" si="136"/>
        <v/>
      </c>
      <c r="BJ310" s="27" t="str">
        <f t="shared" si="137"/>
        <v/>
      </c>
      <c r="BK310" s="27" t="str">
        <f t="shared" si="138"/>
        <v/>
      </c>
      <c r="BL310" s="27" t="str">
        <f t="shared" si="139"/>
        <v/>
      </c>
      <c r="BM310" s="21" t="s">
        <v>5581</v>
      </c>
    </row>
    <row r="311" spans="1:65" ht="15">
      <c r="A311" s="25" t="str">
        <f>IFERROR(INDEX('Hun Demand'!W:W,MATCH(O311,'Hun Demand'!A:A,0)),"")</f>
        <v/>
      </c>
      <c r="B311" s="25" t="str">
        <f>IFERROR(INDEX('Hun Demand'!V:V,MATCH(O311,'Hun Demand'!A:A,0)),"")</f>
        <v/>
      </c>
      <c r="C311" s="25" t="str">
        <f>IFERROR(INDEX('Hun Demand'!U:U,MATCH(O311,'Hun Demand'!A:A,0)),"")</f>
        <v/>
      </c>
      <c r="D311" s="25" t="str">
        <f>IFERROR(INDEX('Hun Demand'!T:T,MATCH(O311,'Hun Demand'!A:A,0)),"")</f>
        <v/>
      </c>
      <c r="E311" s="25" t="str">
        <f>IFERROR(INDEX('Hun Demand'!S:S,MATCH(O311,'Hun Demand'!A:A,0)),"")</f>
        <v/>
      </c>
      <c r="F311" s="25" t="str">
        <f>IFERROR(INDEX('Hun Demand'!R:R,MATCH(O311,'Hun Demand'!A:A,0)),"")</f>
        <v/>
      </c>
      <c r="G311" s="25">
        <f>IFERROR(INDEX('Aub Demand'!W:W,MATCH(O311,'Aub Demand'!A:A,0)),"")</f>
        <v>0</v>
      </c>
      <c r="H311" s="25">
        <f>IFERROR(INDEX('Aub Demand'!V:V,MATCH(O311,'Aub Demand'!A:A,0)),"")</f>
        <v>0</v>
      </c>
      <c r="I311" s="25">
        <f>IFERROR(INDEX('Aub Demand'!U:U,MATCH(O311,'Aub Demand'!A:A,0)),"")</f>
        <v>59</v>
      </c>
      <c r="J311" s="25">
        <f>IFERROR(INDEX('Aub Demand'!T:T,MATCH(O311,'Aub Demand'!A:A,0)),"")</f>
        <v>0</v>
      </c>
      <c r="K311" s="25">
        <f>IFERROR(INDEX('Aub Demand'!S:S,MATCH(O311,'Aub Demand'!A:A,0)),"")</f>
        <v>17</v>
      </c>
      <c r="L311" s="25">
        <f>IFERROR(INDEX('Aub Demand'!R:R,MATCH(O311,'Aub Demand'!A:A,0)),"")</f>
        <v>29</v>
      </c>
      <c r="O311" s="27" t="s">
        <v>532</v>
      </c>
      <c r="P311" s="27" t="str">
        <f>IFERROR(INDEX('Aub Demand'!B:B,MATCH($O311,'Aub Demand'!$A:$A,0)),"")</f>
        <v>PASSIN THROUGH</v>
      </c>
      <c r="Q311" s="27" t="str">
        <f>IFERROR(INDEX('Aub Demand'!C:C,MATCH($O311,'Aub Demand'!$A:$A,0)),"")</f>
        <v>TOPPA</v>
      </c>
      <c r="R311" s="52">
        <f>IFERROR(IF(AR312=AR311,INDEX('Aub Demand'!K:K,MATCH($O311,'Aub Demand'!$A:$A,0))-IF(AN311="",0,AN311)+AP312,INDEX('Aub Demand'!K:K,MATCH($O311,'Aub Demand'!$A:$A,0))-IF(AN311="",0,AN311)),"")</f>
        <v>0</v>
      </c>
      <c r="S311" s="53">
        <f t="shared" si="112"/>
        <v>0</v>
      </c>
      <c r="T311" s="52">
        <f t="shared" si="113"/>
        <v>33</v>
      </c>
      <c r="U311" s="52">
        <f>IFERROR(IF(AR312=AR311,INDEX('Aub Demand'!Q:Q,MATCH($O311,'Aub Demand'!$A:$A,0))-IF(AN311="",0,AN311)+AP312,INDEX('Aub Demand'!Q:Q,MATCH($O311,'Aub Demand'!$A:$A,0))-IF(AN311="",0,AN311)),"")</f>
        <v>-46</v>
      </c>
      <c r="V311" s="53">
        <f t="shared" si="114"/>
        <v>-7.9</v>
      </c>
      <c r="W311" s="52">
        <f t="shared" si="115"/>
        <v>119.9</v>
      </c>
      <c r="X311" s="52">
        <f>IFERROR(IF(AND(AR312=AR311,AM311&lt;&gt;""),INDEX('Aub Demand'!Q:Q,MATCH($O311,'Aub Demand'!$A:$A,0))-IF(AN311="",0,AN311)+AP312+AD311+AL311,IF(AR312=AR311,INDEX('Aub Demand'!Q:Q,MATCH($O311,'Aub Demand'!$A:$A,0))-IF(AN311="",0,AN311)+AP312+AD311,IF(AM311&lt;&gt;"",INDEX('Aub Demand'!Q:Q,MATCH($O311,'Aub Demand'!$A:$A,0))-IF(AN311="",0,AN311)+AD311+AL311,INDEX('Aub Demand'!Q:Q,MATCH($O311,'Aub Demand'!$A:$A,0))-IF(AN311="",0,AN311)+AD311))),"")</f>
        <v>-46</v>
      </c>
      <c r="Y311" s="53">
        <f t="shared" si="116"/>
        <v>-7.9</v>
      </c>
      <c r="Z311" s="52">
        <f>IF(L311="","",INDEX('Aub Demand'!H:H,MATCH($O311,'Aub Demand'!$A:$A,0)))</f>
        <v>25</v>
      </c>
      <c r="AA311" s="52">
        <f t="shared" si="117"/>
        <v>44</v>
      </c>
      <c r="AB311" s="52">
        <f>IFERROR(INDEX('Aub Demand'!L:L,MATCH($O311,'Aub Demand'!$A:$A,0)),"")</f>
        <v>37</v>
      </c>
      <c r="AC311" s="52">
        <f>IFERROR(IF(O311="","",SUMIFS('CPL Mats'!F:F,'CPL Mats'!Q:Q,AR311,'CPL Mats'!S:S,AS311)),"")</f>
        <v>0</v>
      </c>
      <c r="AF311" s="25" t="str">
        <f>IF(SUMIFS('Supp Consol'!S:S,'Supp Consol'!Y:Y,"Releasable",'Supp Consol'!A:A,O311)=0,"",SUMIFS('Supp Consol'!S:S,'Supp Consol'!Y:Y,"Releasable",'Supp Consol'!A:A,O311))</f>
        <v/>
      </c>
      <c r="AG311" s="25" t="str">
        <f>IFERROR(INDEX('Hun Demand'!Q:Q,MATCH(O311,'Hun Demand'!A:A,0)),"")</f>
        <v/>
      </c>
      <c r="AH311" s="25" t="str">
        <f>IFERROR(INDEX('Hun Demand'!H:H,MATCH($O311,'Hun Demand'!$A:$A,0)),"")</f>
        <v/>
      </c>
      <c r="AI311" s="25" t="str">
        <f>IF(SUMIFS('Supp Consol'!AA:AA,'Supp Consol'!Z:Z,"Expires this month",'Supp Consol'!A:A,O311)=0,"",SUMIFS('Supp Consol'!AA:AA,'Supp Consol'!Z:Z,"Expires this month",'Supp Consol'!A:A,O311))</f>
        <v/>
      </c>
      <c r="AJ311" s="25" t="str">
        <f>IF(SUMIFS('Supp Consol'!AA:AA,'Supp Consol'!Z:Z,"Expired Previous Months",'Supp Consol'!A:A,O311)=0,"",SUMIFS('Supp Consol'!AA:AA,'Supp Consol'!Z:Z,"Expired Previous Months",'Supp Consol'!A:A,O311))</f>
        <v/>
      </c>
      <c r="AK311" s="25" t="str">
        <f>IFERROR(INDEX('Hun Release Current'!B:B,MATCH(O311,'Hun Release Current'!A:A,0)),"")</f>
        <v/>
      </c>
      <c r="AL311" s="25" t="str">
        <f>IF(SUMIF('Prev Aub'!A:A,O311,'Prev Aub'!B:B)=0,"",SUMIF('Prev Aub'!A:A,O311,'Prev Aub'!B:B))</f>
        <v/>
      </c>
      <c r="AN311" s="25" t="s">
        <v>3790</v>
      </c>
      <c r="AO311" s="25" t="s">
        <v>3790</v>
      </c>
      <c r="AP311" s="25">
        <f t="shared" si="118"/>
        <v>0</v>
      </c>
      <c r="AQ311" s="151" t="str">
        <f>IF(SUMIFS('Supp Consol'!S:S,'Supp Consol'!A:A,O311,'Supp Consol'!I:I,"PENDING")=0,"",SUMIFS('Supp Consol'!S:S,'Supp Consol'!A:A,O311,'Supp Consol'!I:I,"PENDING"))</f>
        <v/>
      </c>
      <c r="AR311" s="27" t="str">
        <f t="shared" si="119"/>
        <v>AV250</v>
      </c>
      <c r="AS311" s="27" t="str">
        <f t="shared" si="120"/>
        <v>50</v>
      </c>
      <c r="AT311" s="27" t="str">
        <f t="shared" si="121"/>
        <v>AV250</v>
      </c>
      <c r="AU311" s="27" t="str">
        <f t="shared" si="122"/>
        <v>AV250</v>
      </c>
      <c r="AV311" s="27" t="str">
        <f t="shared" si="123"/>
        <v>AV250</v>
      </c>
      <c r="AW311" s="27" t="str">
        <f t="shared" si="124"/>
        <v/>
      </c>
      <c r="AX311" s="27" t="str">
        <f t="shared" si="125"/>
        <v/>
      </c>
      <c r="AY311" s="27" t="str">
        <f t="shared" si="126"/>
        <v/>
      </c>
      <c r="AZ311" s="27" t="str">
        <f t="shared" si="127"/>
        <v/>
      </c>
      <c r="BA311" s="27" t="str">
        <f t="shared" si="128"/>
        <v/>
      </c>
      <c r="BB311" s="27" t="str">
        <f t="shared" si="129"/>
        <v>Gross</v>
      </c>
      <c r="BC311" s="27" t="str">
        <f t="shared" si="130"/>
        <v>Net</v>
      </c>
      <c r="BD311" s="27" t="str">
        <f t="shared" si="131"/>
        <v>Net</v>
      </c>
      <c r="BE311" s="27" t="str">
        <f t="shared" si="132"/>
        <v/>
      </c>
      <c r="BF311" s="27" t="str">
        <f t="shared" si="133"/>
        <v/>
      </c>
      <c r="BG311" s="27" t="str">
        <f t="shared" si="134"/>
        <v/>
      </c>
      <c r="BH311" s="27" t="str">
        <f t="shared" si="135"/>
        <v/>
      </c>
      <c r="BI311" s="27" t="str">
        <f t="shared" si="136"/>
        <v/>
      </c>
      <c r="BJ311" s="27" t="str">
        <f t="shared" si="137"/>
        <v/>
      </c>
      <c r="BK311" s="27" t="str">
        <f t="shared" si="138"/>
        <v/>
      </c>
      <c r="BL311" s="27" t="str">
        <f t="shared" si="139"/>
        <v/>
      </c>
      <c r="BM311" s="21" t="s">
        <v>5581</v>
      </c>
    </row>
    <row r="312" spans="1:65" ht="15">
      <c r="A312" s="25" t="str">
        <f>IFERROR(INDEX('Hun Demand'!W:W,MATCH(O312,'Hun Demand'!A:A,0)),"")</f>
        <v/>
      </c>
      <c r="B312" s="25" t="str">
        <f>IFERROR(INDEX('Hun Demand'!V:V,MATCH(O312,'Hun Demand'!A:A,0)),"")</f>
        <v/>
      </c>
      <c r="C312" s="25" t="str">
        <f>IFERROR(INDEX('Hun Demand'!U:U,MATCH(O312,'Hun Demand'!A:A,0)),"")</f>
        <v/>
      </c>
      <c r="D312" s="25" t="str">
        <f>IFERROR(INDEX('Hun Demand'!T:T,MATCH(O312,'Hun Demand'!A:A,0)),"")</f>
        <v/>
      </c>
      <c r="E312" s="25" t="str">
        <f>IFERROR(INDEX('Hun Demand'!S:S,MATCH(O312,'Hun Demand'!A:A,0)),"")</f>
        <v/>
      </c>
      <c r="F312" s="25" t="str">
        <f>IFERROR(INDEX('Hun Demand'!R:R,MATCH(O312,'Hun Demand'!A:A,0)),"")</f>
        <v/>
      </c>
      <c r="G312" s="25">
        <f>IFERROR(INDEX('Aub Demand'!W:W,MATCH(O312,'Aub Demand'!A:A,0)),"")</f>
        <v>63</v>
      </c>
      <c r="H312" s="25">
        <f>IFERROR(INDEX('Aub Demand'!V:V,MATCH(O312,'Aub Demand'!A:A,0)),"")</f>
        <v>0</v>
      </c>
      <c r="I312" s="25">
        <f>IFERROR(INDEX('Aub Demand'!U:U,MATCH(O312,'Aub Demand'!A:A,0)),"")</f>
        <v>0</v>
      </c>
      <c r="J312" s="25">
        <f>IFERROR(INDEX('Aub Demand'!T:T,MATCH(O312,'Aub Demand'!A:A,0)),"")</f>
        <v>112</v>
      </c>
      <c r="K312" s="25">
        <f>IFERROR(INDEX('Aub Demand'!S:S,MATCH(O312,'Aub Demand'!A:A,0)),"")</f>
        <v>24</v>
      </c>
      <c r="L312" s="25">
        <f>IFERROR(INDEX('Aub Demand'!R:R,MATCH(O312,'Aub Demand'!A:A,0)),"")</f>
        <v>49</v>
      </c>
      <c r="O312" s="27" t="s">
        <v>534</v>
      </c>
      <c r="P312" s="27" t="str">
        <f>IFERROR(INDEX('Aub Demand'!B:B,MATCH($O312,'Aub Demand'!$A:$A,0)),"")</f>
        <v>PASSIN THROUGH</v>
      </c>
      <c r="Q312" s="27" t="str">
        <f>IFERROR(INDEX('Aub Demand'!C:C,MATCH($O312,'Aub Demand'!$A:$A,0)),"")</f>
        <v>TOPPA</v>
      </c>
      <c r="R312" s="52">
        <f>IFERROR(IF(AR313=AR312,INDEX('Aub Demand'!K:K,MATCH($O312,'Aub Demand'!$A:$A,0))-IF(AN312="",0,AN312)+AP313,INDEX('Aub Demand'!K:K,MATCH($O312,'Aub Demand'!$A:$A,0))-IF(AN312="",0,AN312)),"")</f>
        <v>1203</v>
      </c>
      <c r="S312" s="53">
        <f t="shared" si="112"/>
        <v>114.6</v>
      </c>
      <c r="T312" s="52" t="str">
        <f t="shared" si="113"/>
        <v/>
      </c>
      <c r="U312" s="52">
        <f>IFERROR(IF(AR313=AR312,INDEX('Aub Demand'!Q:Q,MATCH($O312,'Aub Demand'!$A:$A,0))-IF(AN312="",0,AN312)+AP313,INDEX('Aub Demand'!Q:Q,MATCH($O312,'Aub Demand'!$A:$A,0))-IF(AN312="",0,AN312)),"")</f>
        <v>1176</v>
      </c>
      <c r="V312" s="53">
        <f t="shared" si="114"/>
        <v>112</v>
      </c>
      <c r="W312" s="52" t="str">
        <f t="shared" si="115"/>
        <v/>
      </c>
      <c r="X312" s="52">
        <f>IFERROR(IF(AND(AR313=AR312,AM312&lt;&gt;""),INDEX('Aub Demand'!Q:Q,MATCH($O312,'Aub Demand'!$A:$A,0))-IF(AN312="",0,AN312)+AP313+AD312+AL312,IF(AR313=AR312,INDEX('Aub Demand'!Q:Q,MATCH($O312,'Aub Demand'!$A:$A,0))-IF(AN312="",0,AN312)+AP313+AD312,IF(AM312&lt;&gt;"",INDEX('Aub Demand'!Q:Q,MATCH($O312,'Aub Demand'!$A:$A,0))-IF(AN312="",0,AN312)+AD312+AL312,INDEX('Aub Demand'!Q:Q,MATCH($O312,'Aub Demand'!$A:$A,0))-IF(AN312="",0,AN312)+AD312))),"")</f>
        <v>1176</v>
      </c>
      <c r="Y312" s="53">
        <f t="shared" si="116"/>
        <v>112</v>
      </c>
      <c r="Z312" s="52">
        <f>IF(L312="","",INDEX('Aub Demand'!H:H,MATCH($O312,'Aub Demand'!$A:$A,0)))</f>
        <v>45</v>
      </c>
      <c r="AA312" s="52">
        <f t="shared" si="117"/>
        <v>80.5</v>
      </c>
      <c r="AB312" s="52">
        <f>IFERROR(INDEX('Aub Demand'!L:L,MATCH($O312,'Aub Demand'!$A:$A,0)),"")</f>
        <v>9</v>
      </c>
      <c r="AC312" s="52">
        <f>IFERROR(IF(O312="","",SUMIFS('CPL Mats'!F:F,'CPL Mats'!Q:Q,AR312,'CPL Mats'!S:S,AS312)),"")</f>
        <v>0</v>
      </c>
      <c r="AF312" s="25" t="str">
        <f>IF(SUMIFS('Supp Consol'!S:S,'Supp Consol'!Y:Y,"Releasable",'Supp Consol'!A:A,O312)=0,"",SUMIFS('Supp Consol'!S:S,'Supp Consol'!Y:Y,"Releasable",'Supp Consol'!A:A,O312))</f>
        <v/>
      </c>
      <c r="AG312" s="25" t="str">
        <f>IFERROR(INDEX('Hun Demand'!Q:Q,MATCH(O312,'Hun Demand'!A:A,0)),"")</f>
        <v/>
      </c>
      <c r="AH312" s="25" t="str">
        <f>IFERROR(INDEX('Hun Demand'!H:H,MATCH($O312,'Hun Demand'!$A:$A,0)),"")</f>
        <v/>
      </c>
      <c r="AI312" s="25" t="str">
        <f>IF(SUMIFS('Supp Consol'!AA:AA,'Supp Consol'!Z:Z,"Expires this month",'Supp Consol'!A:A,O312)=0,"",SUMIFS('Supp Consol'!AA:AA,'Supp Consol'!Z:Z,"Expires this month",'Supp Consol'!A:A,O312))</f>
        <v/>
      </c>
      <c r="AJ312" s="25" t="str">
        <f>IF(SUMIFS('Supp Consol'!AA:AA,'Supp Consol'!Z:Z,"Expired Previous Months",'Supp Consol'!A:A,O312)=0,"",SUMIFS('Supp Consol'!AA:AA,'Supp Consol'!Z:Z,"Expired Previous Months",'Supp Consol'!A:A,O312))</f>
        <v/>
      </c>
      <c r="AK312" s="25" t="str">
        <f>IFERROR(INDEX('Hun Release Current'!B:B,MATCH(O312,'Hun Release Current'!A:A,0)),"")</f>
        <v/>
      </c>
      <c r="AL312" s="25" t="str">
        <f>IF(SUMIF('Prev Aub'!A:A,O312,'Prev Aub'!B:B)=0,"",SUMIF('Prev Aub'!A:A,O312,'Prev Aub'!B:B))</f>
        <v/>
      </c>
      <c r="AN312" s="25" t="s">
        <v>3790</v>
      </c>
      <c r="AO312" s="25" t="s">
        <v>3790</v>
      </c>
      <c r="AP312" s="25">
        <f t="shared" si="118"/>
        <v>0</v>
      </c>
      <c r="AQ312" s="151" t="str">
        <f>IF(SUMIFS('Supp Consol'!S:S,'Supp Consol'!A:A,O312,'Supp Consol'!I:I,"PENDING")=0,"",SUMIFS('Supp Consol'!S:S,'Supp Consol'!A:A,O312,'Supp Consol'!I:I,"PENDING"))</f>
        <v/>
      </c>
      <c r="AR312" s="27" t="str">
        <f t="shared" si="119"/>
        <v>AV250</v>
      </c>
      <c r="AS312" s="27" t="str">
        <f t="shared" si="120"/>
        <v>62</v>
      </c>
      <c r="AT312" s="27" t="str">
        <f t="shared" si="121"/>
        <v/>
      </c>
      <c r="AU312" s="27" t="str">
        <f t="shared" si="122"/>
        <v/>
      </c>
      <c r="AV312" s="27" t="str">
        <f t="shared" si="123"/>
        <v/>
      </c>
      <c r="AW312" s="27" t="str">
        <f t="shared" si="124"/>
        <v/>
      </c>
      <c r="AX312" s="27" t="str">
        <f t="shared" si="125"/>
        <v/>
      </c>
      <c r="AY312" s="27" t="str">
        <f t="shared" si="126"/>
        <v/>
      </c>
      <c r="AZ312" s="27" t="str">
        <f t="shared" si="127"/>
        <v/>
      </c>
      <c r="BA312" s="27" t="str">
        <f t="shared" si="128"/>
        <v/>
      </c>
      <c r="BB312" s="27" t="str">
        <f t="shared" si="129"/>
        <v>Gross</v>
      </c>
      <c r="BC312" s="27" t="str">
        <f t="shared" si="130"/>
        <v>Net</v>
      </c>
      <c r="BD312" s="27" t="str">
        <f t="shared" si="131"/>
        <v>Net</v>
      </c>
      <c r="BE312" s="27" t="str">
        <f t="shared" si="132"/>
        <v/>
      </c>
      <c r="BF312" s="27" t="str">
        <f t="shared" si="133"/>
        <v/>
      </c>
      <c r="BG312" s="27" t="str">
        <f t="shared" si="134"/>
        <v/>
      </c>
      <c r="BH312" s="27" t="str">
        <f t="shared" si="135"/>
        <v/>
      </c>
      <c r="BI312" s="27" t="str">
        <f t="shared" si="136"/>
        <v/>
      </c>
      <c r="BJ312" s="27" t="str">
        <f t="shared" si="137"/>
        <v/>
      </c>
      <c r="BK312" s="27" t="str">
        <f t="shared" si="138"/>
        <v/>
      </c>
      <c r="BL312" s="27" t="str">
        <f t="shared" si="139"/>
        <v/>
      </c>
      <c r="BM312" s="21" t="s">
        <v>5581</v>
      </c>
    </row>
    <row r="313" spans="1:65" ht="15">
      <c r="A313" s="25">
        <f>IFERROR(INDEX('Hun Demand'!W:W,MATCH(O313,'Hun Demand'!A:A,0)),"")</f>
        <v>0</v>
      </c>
      <c r="B313" s="25">
        <f>IFERROR(INDEX('Hun Demand'!V:V,MATCH(O313,'Hun Demand'!A:A,0)),"")</f>
        <v>0</v>
      </c>
      <c r="C313" s="25">
        <f>IFERROR(INDEX('Hun Demand'!U:U,MATCH(O313,'Hun Demand'!A:A,0)),"")</f>
        <v>0</v>
      </c>
      <c r="D313" s="25">
        <f>IFERROR(INDEX('Hun Demand'!T:T,MATCH(O313,'Hun Demand'!A:A,0)),"")</f>
        <v>0</v>
      </c>
      <c r="E313" s="25">
        <f>IFERROR(INDEX('Hun Demand'!S:S,MATCH(O313,'Hun Demand'!A:A,0)),"")</f>
        <v>0</v>
      </c>
      <c r="F313" s="25">
        <f>IFERROR(INDEX('Hun Demand'!R:R,MATCH(O313,'Hun Demand'!A:A,0)),"")</f>
        <v>0</v>
      </c>
      <c r="G313" s="25">
        <f>IFERROR(INDEX('Aub Demand'!W:W,MATCH(O313,'Aub Demand'!A:A,0)),"")</f>
        <v>0</v>
      </c>
      <c r="H313" s="25">
        <f>IFERROR(INDEX('Aub Demand'!V:V,MATCH(O313,'Aub Demand'!A:A,0)),"")</f>
        <v>0</v>
      </c>
      <c r="I313" s="25">
        <f>IFERROR(INDEX('Aub Demand'!U:U,MATCH(O313,'Aub Demand'!A:A,0)),"")</f>
        <v>0</v>
      </c>
      <c r="J313" s="25">
        <f>IFERROR(INDEX('Aub Demand'!T:T,MATCH(O313,'Aub Demand'!A:A,0)),"")</f>
        <v>0</v>
      </c>
      <c r="K313" s="25">
        <f>IFERROR(INDEX('Aub Demand'!S:S,MATCH(O313,'Aub Demand'!A:A,0)),"")</f>
        <v>0</v>
      </c>
      <c r="L313" s="25">
        <f>IFERROR(INDEX('Aub Demand'!R:R,MATCH(O313,'Aub Demand'!A:A,0)),"")</f>
        <v>0</v>
      </c>
      <c r="O313" s="27" t="s">
        <v>2110</v>
      </c>
      <c r="P313" s="27" t="str">
        <f>IFERROR(INDEX('Aub Demand'!B:B,MATCH($O313,'Aub Demand'!$A:$A,0)),"")</f>
        <v>HARMONY MINT</v>
      </c>
      <c r="Q313" s="27" t="str">
        <f>IFERROR(INDEX('Aub Demand'!C:C,MATCH($O313,'Aub Demand'!$A:$A,0)),"")</f>
        <v>INTER</v>
      </c>
      <c r="R313" s="52">
        <f>IFERROR(IF(AR314=AR313,INDEX('Aub Demand'!K:K,MATCH($O313,'Aub Demand'!$A:$A,0))-IF(AN313="",0,AN313)+AP314,INDEX('Aub Demand'!K:K,MATCH($O313,'Aub Demand'!$A:$A,0))-IF(AN313="",0,AN313)),"")</f>
        <v>513</v>
      </c>
      <c r="S313" s="53" t="str">
        <f t="shared" si="112"/>
        <v>n/a</v>
      </c>
      <c r="T313" s="52" t="str">
        <f t="shared" si="113"/>
        <v/>
      </c>
      <c r="U313" s="52">
        <f>IFERROR(IF(AR314=AR313,INDEX('Aub Demand'!Q:Q,MATCH($O313,'Aub Demand'!$A:$A,0))-IF(AN313="",0,AN313)+AP314,INDEX('Aub Demand'!Q:Q,MATCH($O313,'Aub Demand'!$A:$A,0))-IF(AN313="",0,AN313)),"")</f>
        <v>513</v>
      </c>
      <c r="V313" s="53" t="str">
        <f t="shared" si="114"/>
        <v>n/a</v>
      </c>
      <c r="W313" s="52" t="str">
        <f t="shared" si="115"/>
        <v/>
      </c>
      <c r="X313" s="52">
        <f>IFERROR(IF(AND(AR314=AR313,AM313&lt;&gt;""),INDEX('Aub Demand'!Q:Q,MATCH($O313,'Aub Demand'!$A:$A,0))-IF(AN313="",0,AN313)+AP314+AD313+AL313,IF(AR314=AR313,INDEX('Aub Demand'!Q:Q,MATCH($O313,'Aub Demand'!$A:$A,0))-IF(AN313="",0,AN313)+AP314+AD313,IF(AM313&lt;&gt;"",INDEX('Aub Demand'!Q:Q,MATCH($O313,'Aub Demand'!$A:$A,0))-IF(AN313="",0,AN313)+AD313+AL313,INDEX('Aub Demand'!Q:Q,MATCH($O313,'Aub Demand'!$A:$A,0))-IF(AN313="",0,AN313)+AD313))),"")</f>
        <v>513</v>
      </c>
      <c r="Y313" s="53" t="str">
        <f t="shared" si="116"/>
        <v>n/a</v>
      </c>
      <c r="Z313" s="52">
        <f>IF(L313="","",INDEX('Aub Demand'!H:H,MATCH($O313,'Aub Demand'!$A:$A,0)))</f>
        <v>0</v>
      </c>
      <c r="AA313" s="52" t="str">
        <f t="shared" si="117"/>
        <v>-spike-</v>
      </c>
      <c r="AB313" s="52">
        <f>IFERROR(INDEX('Aub Demand'!L:L,MATCH($O313,'Aub Demand'!$A:$A,0)),"")</f>
        <v>9</v>
      </c>
      <c r="AC313" s="52">
        <f>IFERROR(IF(O313="","",SUMIFS('CPL Mats'!F:F,'CPL Mats'!Q:Q,AR313,'CPL Mats'!S:S,AS313)),"")</f>
        <v>0</v>
      </c>
      <c r="AF313" s="25" t="str">
        <f>IF(SUMIFS('Supp Consol'!S:S,'Supp Consol'!Y:Y,"Releasable",'Supp Consol'!A:A,O313)=0,"",SUMIFS('Supp Consol'!S:S,'Supp Consol'!Y:Y,"Releasable",'Supp Consol'!A:A,O313))</f>
        <v/>
      </c>
      <c r="AG313" s="25">
        <f>IFERROR(INDEX('Hun Demand'!Q:Q,MATCH(O313,'Hun Demand'!A:A,0)),"")</f>
        <v>108</v>
      </c>
      <c r="AH313" s="25">
        <f>IFERROR(INDEX('Hun Demand'!H:H,MATCH($O313,'Hun Demand'!$A:$A,0)),"")</f>
        <v>0</v>
      </c>
      <c r="AI313" s="25" t="str">
        <f>IF(SUMIFS('Supp Consol'!AA:AA,'Supp Consol'!Z:Z,"Expires this month",'Supp Consol'!A:A,O313)=0,"",SUMIFS('Supp Consol'!AA:AA,'Supp Consol'!Z:Z,"Expires this month",'Supp Consol'!A:A,O313))</f>
        <v/>
      </c>
      <c r="AJ313" s="25" t="str">
        <f>IF(SUMIFS('Supp Consol'!AA:AA,'Supp Consol'!Z:Z,"Expired Previous Months",'Supp Consol'!A:A,O313)=0,"",SUMIFS('Supp Consol'!AA:AA,'Supp Consol'!Z:Z,"Expired Previous Months",'Supp Consol'!A:A,O313))</f>
        <v/>
      </c>
      <c r="AK313" s="25" t="str">
        <f>IFERROR(INDEX('Hun Release Current'!B:B,MATCH(O313,'Hun Release Current'!A:A,0)),"")</f>
        <v/>
      </c>
      <c r="AL313" s="25" t="str">
        <f>IF(SUMIF('Prev Aub'!A:A,O313,'Prev Aub'!B:B)=0,"",SUMIF('Prev Aub'!A:A,O313,'Prev Aub'!B:B))</f>
        <v/>
      </c>
      <c r="AN313" s="25" t="s">
        <v>3790</v>
      </c>
      <c r="AO313" s="25" t="s">
        <v>3790</v>
      </c>
      <c r="AP313" s="25">
        <f t="shared" si="118"/>
        <v>0</v>
      </c>
      <c r="AQ313" s="151" t="str">
        <f>IF(SUMIFS('Supp Consol'!S:S,'Supp Consol'!A:A,O313,'Supp Consol'!I:I,"PENDING")=0,"",SUMIFS('Supp Consol'!S:S,'Supp Consol'!A:A,O313,'Supp Consol'!I:I,"PENDING"))</f>
        <v/>
      </c>
      <c r="AR313" s="27" t="str">
        <f t="shared" si="119"/>
        <v>AV400</v>
      </c>
      <c r="AS313" s="27" t="str">
        <f t="shared" si="120"/>
        <v>50</v>
      </c>
      <c r="AT313" s="27" t="str">
        <f t="shared" si="121"/>
        <v/>
      </c>
      <c r="AU313" s="27" t="str">
        <f t="shared" si="122"/>
        <v/>
      </c>
      <c r="AV313" s="27" t="str">
        <f t="shared" si="123"/>
        <v/>
      </c>
      <c r="AW313" s="27" t="str">
        <f t="shared" si="124"/>
        <v/>
      </c>
      <c r="AX313" s="27" t="str">
        <f t="shared" si="125"/>
        <v/>
      </c>
      <c r="AY313" s="27" t="str">
        <f t="shared" si="126"/>
        <v>AV400</v>
      </c>
      <c r="AZ313" s="27" t="str">
        <f t="shared" si="127"/>
        <v/>
      </c>
      <c r="BA313" s="27" t="str">
        <f t="shared" si="128"/>
        <v>Hun</v>
      </c>
      <c r="BB313" s="27" t="str">
        <f t="shared" si="129"/>
        <v/>
      </c>
      <c r="BC313" s="27" t="str">
        <f t="shared" si="130"/>
        <v/>
      </c>
      <c r="BD313" s="27" t="str">
        <f t="shared" si="131"/>
        <v/>
      </c>
      <c r="BE313" s="27" t="str">
        <f t="shared" si="132"/>
        <v/>
      </c>
      <c r="BF313" s="27" t="str">
        <f t="shared" si="133"/>
        <v/>
      </c>
      <c r="BG313" s="27" t="str">
        <f t="shared" si="134"/>
        <v/>
      </c>
      <c r="BH313" s="27" t="str">
        <f t="shared" si="135"/>
        <v/>
      </c>
      <c r="BI313" s="27" t="str">
        <f t="shared" si="136"/>
        <v/>
      </c>
      <c r="BJ313" s="27" t="str">
        <f t="shared" si="137"/>
        <v>Supp or Hun</v>
      </c>
      <c r="BK313" s="27" t="str">
        <f t="shared" si="138"/>
        <v/>
      </c>
      <c r="BL313" s="27" t="str">
        <f t="shared" si="139"/>
        <v/>
      </c>
      <c r="BM313" s="21" t="s">
        <v>5581</v>
      </c>
    </row>
    <row r="314" spans="1:65" ht="15">
      <c r="A314" s="25" t="str">
        <f>IFERROR(INDEX('Hun Demand'!W:W,MATCH(O314,'Hun Demand'!A:A,0)),"")</f>
        <v/>
      </c>
      <c r="B314" s="25" t="str">
        <f>IFERROR(INDEX('Hun Demand'!V:V,MATCH(O314,'Hun Demand'!A:A,0)),"")</f>
        <v/>
      </c>
      <c r="C314" s="25" t="str">
        <f>IFERROR(INDEX('Hun Demand'!U:U,MATCH(O314,'Hun Demand'!A:A,0)),"")</f>
        <v/>
      </c>
      <c r="D314" s="25" t="str">
        <f>IFERROR(INDEX('Hun Demand'!T:T,MATCH(O314,'Hun Demand'!A:A,0)),"")</f>
        <v/>
      </c>
      <c r="E314" s="25" t="str">
        <f>IFERROR(INDEX('Hun Demand'!S:S,MATCH(O314,'Hun Demand'!A:A,0)),"")</f>
        <v/>
      </c>
      <c r="F314" s="25" t="str">
        <f>IFERROR(INDEX('Hun Demand'!R:R,MATCH(O314,'Hun Demand'!A:A,0)),"")</f>
        <v/>
      </c>
      <c r="G314" s="25">
        <f>IFERROR(INDEX('Aub Demand'!W:W,MATCH(O314,'Aub Demand'!A:A,0)),"")</f>
        <v>0</v>
      </c>
      <c r="H314" s="25">
        <f>IFERROR(INDEX('Aub Demand'!V:V,MATCH(O314,'Aub Demand'!A:A,0)),"")</f>
        <v>0</v>
      </c>
      <c r="I314" s="25">
        <f>IFERROR(INDEX('Aub Demand'!U:U,MATCH(O314,'Aub Demand'!A:A,0)),"")</f>
        <v>9</v>
      </c>
      <c r="J314" s="25">
        <f>IFERROR(INDEX('Aub Demand'!T:T,MATCH(O314,'Aub Demand'!A:A,0)),"")</f>
        <v>0</v>
      </c>
      <c r="K314" s="25">
        <f>IFERROR(INDEX('Aub Demand'!S:S,MATCH(O314,'Aub Demand'!A:A,0)),"")</f>
        <v>0</v>
      </c>
      <c r="L314" s="25">
        <f>IFERROR(INDEX('Aub Demand'!R:R,MATCH(O314,'Aub Demand'!A:A,0)),"")</f>
        <v>0</v>
      </c>
      <c r="O314" s="27" t="s">
        <v>2112</v>
      </c>
      <c r="P314" s="27" t="str">
        <f>IFERROR(INDEX('Aub Demand'!B:B,MATCH($O314,'Aub Demand'!$A:$A,0)),"")</f>
        <v>HARMONY MINT</v>
      </c>
      <c r="Q314" s="27" t="str">
        <f>IFERROR(INDEX('Aub Demand'!C:C,MATCH($O314,'Aub Demand'!$A:$A,0)),"")</f>
        <v>INTER</v>
      </c>
      <c r="R314" s="52">
        <f>IFERROR(IF(AR315=AR314,INDEX('Aub Demand'!K:K,MATCH($O314,'Aub Demand'!$A:$A,0))-IF(AN314="",0,AN314)+AP315,INDEX('Aub Demand'!K:K,MATCH($O314,'Aub Demand'!$A:$A,0))-IF(AN314="",0,AN314)),"")</f>
        <v>1002</v>
      </c>
      <c r="S314" s="53">
        <f t="shared" si="112"/>
        <v>1431.4</v>
      </c>
      <c r="T314" s="52" t="str">
        <f t="shared" si="113"/>
        <v/>
      </c>
      <c r="U314" s="52">
        <f>IFERROR(IF(AR315=AR314,INDEX('Aub Demand'!Q:Q,MATCH($O314,'Aub Demand'!$A:$A,0))-IF(AN314="",0,AN314)+AP315,INDEX('Aub Demand'!Q:Q,MATCH($O314,'Aub Demand'!$A:$A,0))-IF(AN314="",0,AN314)),"")</f>
        <v>1002</v>
      </c>
      <c r="V314" s="53">
        <f t="shared" si="114"/>
        <v>1431.4</v>
      </c>
      <c r="W314" s="52" t="str">
        <f t="shared" si="115"/>
        <v/>
      </c>
      <c r="X314" s="52">
        <f>IFERROR(IF(AND(AR315=AR314,AM314&lt;&gt;""),INDEX('Aub Demand'!Q:Q,MATCH($O314,'Aub Demand'!$A:$A,0))-IF(AN314="",0,AN314)+AP315+AD314+AL314,IF(AR315=AR314,INDEX('Aub Demand'!Q:Q,MATCH($O314,'Aub Demand'!$A:$A,0))-IF(AN314="",0,AN314)+AP315+AD314,IF(AM314&lt;&gt;"",INDEX('Aub Demand'!Q:Q,MATCH($O314,'Aub Demand'!$A:$A,0))-IF(AN314="",0,AN314)+AD314+AL314,INDEX('Aub Demand'!Q:Q,MATCH($O314,'Aub Demand'!$A:$A,0))-IF(AN314="",0,AN314)+AD314))),"")</f>
        <v>1002</v>
      </c>
      <c r="Y314" s="53">
        <f t="shared" si="116"/>
        <v>1431.4</v>
      </c>
      <c r="Z314" s="52">
        <f>IF(L314="","",INDEX('Aub Demand'!H:H,MATCH($O314,'Aub Demand'!$A:$A,0)))</f>
        <v>3</v>
      </c>
      <c r="AA314" s="52" t="str">
        <f t="shared" si="117"/>
        <v>-spike-</v>
      </c>
      <c r="AB314" s="52">
        <f>IFERROR(INDEX('Aub Demand'!L:L,MATCH($O314,'Aub Demand'!$A:$A,0)),"")</f>
        <v>0</v>
      </c>
      <c r="AC314" s="52">
        <f>IFERROR(IF(O314="","",SUMIFS('CPL Mats'!F:F,'CPL Mats'!Q:Q,AR314,'CPL Mats'!S:S,AS314)),"")</f>
        <v>0</v>
      </c>
      <c r="AF314" s="25" t="str">
        <f>IF(SUMIFS('Supp Consol'!S:S,'Supp Consol'!Y:Y,"Releasable",'Supp Consol'!A:A,O314)=0,"",SUMIFS('Supp Consol'!S:S,'Supp Consol'!Y:Y,"Releasable",'Supp Consol'!A:A,O314))</f>
        <v/>
      </c>
      <c r="AG314" s="25" t="str">
        <f>IFERROR(INDEX('Hun Demand'!Q:Q,MATCH(O314,'Hun Demand'!A:A,0)),"")</f>
        <v/>
      </c>
      <c r="AH314" s="25" t="str">
        <f>IFERROR(INDEX('Hun Demand'!H:H,MATCH($O314,'Hun Demand'!$A:$A,0)),"")</f>
        <v/>
      </c>
      <c r="AI314" s="25" t="str">
        <f>IF(SUMIFS('Supp Consol'!AA:AA,'Supp Consol'!Z:Z,"Expires this month",'Supp Consol'!A:A,O314)=0,"",SUMIFS('Supp Consol'!AA:AA,'Supp Consol'!Z:Z,"Expires this month",'Supp Consol'!A:A,O314))</f>
        <v/>
      </c>
      <c r="AJ314" s="25" t="str">
        <f>IF(SUMIFS('Supp Consol'!AA:AA,'Supp Consol'!Z:Z,"Expired Previous Months",'Supp Consol'!A:A,O314)=0,"",SUMIFS('Supp Consol'!AA:AA,'Supp Consol'!Z:Z,"Expired Previous Months",'Supp Consol'!A:A,O314))</f>
        <v/>
      </c>
      <c r="AK314" s="25" t="str">
        <f>IFERROR(INDEX('Hun Release Current'!B:B,MATCH(O314,'Hun Release Current'!A:A,0)),"")</f>
        <v/>
      </c>
      <c r="AL314" s="25" t="str">
        <f>IF(SUMIF('Prev Aub'!A:A,O314,'Prev Aub'!B:B)=0,"",SUMIF('Prev Aub'!A:A,O314,'Prev Aub'!B:B))</f>
        <v/>
      </c>
      <c r="AN314" s="25" t="s">
        <v>3790</v>
      </c>
      <c r="AO314" s="25" t="s">
        <v>3790</v>
      </c>
      <c r="AP314" s="25">
        <f t="shared" si="118"/>
        <v>0</v>
      </c>
      <c r="AQ314" s="151" t="str">
        <f>IF(SUMIFS('Supp Consol'!S:S,'Supp Consol'!A:A,O314,'Supp Consol'!I:I,"PENDING")=0,"",SUMIFS('Supp Consol'!S:S,'Supp Consol'!A:A,O314,'Supp Consol'!I:I,"PENDING"))</f>
        <v/>
      </c>
      <c r="AR314" s="27" t="str">
        <f t="shared" si="119"/>
        <v>AV400</v>
      </c>
      <c r="AS314" s="27" t="str">
        <f t="shared" si="120"/>
        <v>62</v>
      </c>
      <c r="AT314" s="27" t="str">
        <f t="shared" si="121"/>
        <v/>
      </c>
      <c r="AU314" s="27" t="str">
        <f t="shared" si="122"/>
        <v/>
      </c>
      <c r="AV314" s="27" t="str">
        <f t="shared" si="123"/>
        <v/>
      </c>
      <c r="AW314" s="27" t="str">
        <f t="shared" si="124"/>
        <v/>
      </c>
      <c r="AX314" s="27" t="str">
        <f t="shared" si="125"/>
        <v/>
      </c>
      <c r="AY314" s="27" t="str">
        <f t="shared" si="126"/>
        <v/>
      </c>
      <c r="AZ314" s="27" t="str">
        <f t="shared" si="127"/>
        <v/>
      </c>
      <c r="BA314" s="27" t="str">
        <f t="shared" si="128"/>
        <v>Hun</v>
      </c>
      <c r="BB314" s="27" t="str">
        <f t="shared" si="129"/>
        <v/>
      </c>
      <c r="BC314" s="27" t="str">
        <f t="shared" si="130"/>
        <v/>
      </c>
      <c r="BD314" s="27" t="str">
        <f t="shared" si="131"/>
        <v/>
      </c>
      <c r="BE314" s="27" t="str">
        <f t="shared" si="132"/>
        <v/>
      </c>
      <c r="BF314" s="27" t="str">
        <f t="shared" si="133"/>
        <v/>
      </c>
      <c r="BG314" s="27" t="str">
        <f t="shared" si="134"/>
        <v/>
      </c>
      <c r="BH314" s="27" t="str">
        <f t="shared" si="135"/>
        <v/>
      </c>
      <c r="BI314" s="27" t="str">
        <f t="shared" si="136"/>
        <v/>
      </c>
      <c r="BJ314" s="27" t="str">
        <f t="shared" si="137"/>
        <v>Supp or Hun</v>
      </c>
      <c r="BK314" s="27" t="str">
        <f t="shared" si="138"/>
        <v/>
      </c>
      <c r="BL314" s="27" t="str">
        <f t="shared" si="139"/>
        <v/>
      </c>
      <c r="BM314" s="21" t="s">
        <v>5581</v>
      </c>
    </row>
    <row r="315" spans="1:65" ht="15">
      <c r="A315" s="25" t="str">
        <f>IFERROR(INDEX('Hun Demand'!W:W,MATCH(O315,'Hun Demand'!A:A,0)),"")</f>
        <v/>
      </c>
      <c r="B315" s="25" t="str">
        <f>IFERROR(INDEX('Hun Demand'!V:V,MATCH(O315,'Hun Demand'!A:A,0)),"")</f>
        <v/>
      </c>
      <c r="C315" s="25" t="str">
        <f>IFERROR(INDEX('Hun Demand'!U:U,MATCH(O315,'Hun Demand'!A:A,0)),"")</f>
        <v/>
      </c>
      <c r="D315" s="25" t="str">
        <f>IFERROR(INDEX('Hun Demand'!T:T,MATCH(O315,'Hun Demand'!A:A,0)),"")</f>
        <v/>
      </c>
      <c r="E315" s="25" t="str">
        <f>IFERROR(INDEX('Hun Demand'!S:S,MATCH(O315,'Hun Demand'!A:A,0)),"")</f>
        <v/>
      </c>
      <c r="F315" s="25" t="str">
        <f>IFERROR(INDEX('Hun Demand'!R:R,MATCH(O315,'Hun Demand'!A:A,0)),"")</f>
        <v/>
      </c>
      <c r="G315" s="25">
        <f>IFERROR(INDEX('Aub Demand'!W:W,MATCH(O315,'Aub Demand'!A:A,0)),"")</f>
        <v>0</v>
      </c>
      <c r="H315" s="25">
        <f>IFERROR(INDEX('Aub Demand'!V:V,MATCH(O315,'Aub Demand'!A:A,0)),"")</f>
        <v>0</v>
      </c>
      <c r="I315" s="25">
        <f>IFERROR(INDEX('Aub Demand'!U:U,MATCH(O315,'Aub Demand'!A:A,0)),"")</f>
        <v>0</v>
      </c>
      <c r="J315" s="25">
        <f>IFERROR(INDEX('Aub Demand'!T:T,MATCH(O315,'Aub Demand'!A:A,0)),"")</f>
        <v>23</v>
      </c>
      <c r="K315" s="25">
        <f>IFERROR(INDEX('Aub Demand'!S:S,MATCH(O315,'Aub Demand'!A:A,0)),"")</f>
        <v>0</v>
      </c>
      <c r="L315" s="25">
        <f>IFERROR(INDEX('Aub Demand'!R:R,MATCH(O315,'Aub Demand'!A:A,0)),"")</f>
        <v>0</v>
      </c>
      <c r="O315" s="27" t="s">
        <v>5930</v>
      </c>
      <c r="P315" s="27" t="str">
        <f>IFERROR(INDEX('Aub Demand'!B:B,MATCH($O315,'Aub Demand'!$A:$A,0)),"")</f>
        <v>OLIVE ORGANIX</v>
      </c>
      <c r="Q315" s="27" t="str">
        <f>IFERROR(INDEX('Aub Demand'!C:C,MATCH($O315,'Aub Demand'!$A:$A,0)),"")</f>
        <v>AHLST</v>
      </c>
      <c r="R315" s="52">
        <f>IFERROR(IF(AR316=AR315,INDEX('Aub Demand'!K:K,MATCH($O315,'Aub Demand'!$A:$A,0))-IF(AN315="",0,AN315)+AP316,INDEX('Aub Demand'!K:K,MATCH($O315,'Aub Demand'!$A:$A,0))-IF(AN315="",0,AN315)),"")</f>
        <v>0</v>
      </c>
      <c r="S315" s="53">
        <f t="shared" si="112"/>
        <v>0</v>
      </c>
      <c r="T315" s="52" t="str">
        <f t="shared" si="113"/>
        <v/>
      </c>
      <c r="U315" s="52">
        <f>IFERROR(IF(AR316=AR315,INDEX('Aub Demand'!Q:Q,MATCH($O315,'Aub Demand'!$A:$A,0))-IF(AN315="",0,AN315)+AP316,INDEX('Aub Demand'!Q:Q,MATCH($O315,'Aub Demand'!$A:$A,0))-IF(AN315="",0,AN315)),"")</f>
        <v>0</v>
      </c>
      <c r="V315" s="53">
        <f t="shared" si="114"/>
        <v>0</v>
      </c>
      <c r="W315" s="52" t="str">
        <f t="shared" si="115"/>
        <v/>
      </c>
      <c r="X315" s="52">
        <f>IFERROR(IF(AND(AR316=AR315,AM315&lt;&gt;""),INDEX('Aub Demand'!Q:Q,MATCH($O315,'Aub Demand'!$A:$A,0))-IF(AN315="",0,AN315)+AP316+AD315+AL315,IF(AR316=AR315,INDEX('Aub Demand'!Q:Q,MATCH($O315,'Aub Demand'!$A:$A,0))-IF(AN315="",0,AN315)+AP316+AD315,IF(AM315&lt;&gt;"",INDEX('Aub Demand'!Q:Q,MATCH($O315,'Aub Demand'!$A:$A,0))-IF(AN315="",0,AN315)+AD315+AL315,INDEX('Aub Demand'!Q:Q,MATCH($O315,'Aub Demand'!$A:$A,0))-IF(AN315="",0,AN315)+AD315))),"")</f>
        <v>0</v>
      </c>
      <c r="Y315" s="53">
        <f t="shared" si="116"/>
        <v>0</v>
      </c>
      <c r="Z315" s="52">
        <f>IF(L315="","",INDEX('Aub Demand'!H:H,MATCH($O315,'Aub Demand'!$A:$A,0)))</f>
        <v>8</v>
      </c>
      <c r="AA315" s="52" t="str">
        <f t="shared" si="117"/>
        <v>-spike-</v>
      </c>
      <c r="AB315" s="52">
        <f>IFERROR(INDEX('Aub Demand'!L:L,MATCH($O315,'Aub Demand'!$A:$A,0)),"")</f>
        <v>0</v>
      </c>
      <c r="AC315" s="52">
        <f>IFERROR(IF(O315="","",SUMIFS('CPL Mats'!F:F,'CPL Mats'!Q:Q,AR315,'CPL Mats'!S:S,AS315)),"")</f>
        <v>0</v>
      </c>
      <c r="AF315" s="25" t="str">
        <f>IF(SUMIFS('Supp Consol'!S:S,'Supp Consol'!Y:Y,"Releasable",'Supp Consol'!A:A,O315)=0,"",SUMIFS('Supp Consol'!S:S,'Supp Consol'!Y:Y,"Releasable",'Supp Consol'!A:A,O315))</f>
        <v/>
      </c>
      <c r="AG315" s="25" t="str">
        <f>IFERROR(INDEX('Hun Demand'!Q:Q,MATCH(O315,'Hun Demand'!A:A,0)),"")</f>
        <v/>
      </c>
      <c r="AH315" s="25" t="str">
        <f>IFERROR(INDEX('Hun Demand'!H:H,MATCH($O315,'Hun Demand'!$A:$A,0)),"")</f>
        <v/>
      </c>
      <c r="AI315" s="25" t="str">
        <f>IF(SUMIFS('Supp Consol'!AA:AA,'Supp Consol'!Z:Z,"Expires this month",'Supp Consol'!A:A,O315)=0,"",SUMIFS('Supp Consol'!AA:AA,'Supp Consol'!Z:Z,"Expires this month",'Supp Consol'!A:A,O315))</f>
        <v/>
      </c>
      <c r="AJ315" s="25" t="str">
        <f>IF(SUMIFS('Supp Consol'!AA:AA,'Supp Consol'!Z:Z,"Expired Previous Months",'Supp Consol'!A:A,O315)=0,"",SUMIFS('Supp Consol'!AA:AA,'Supp Consol'!Z:Z,"Expired Previous Months",'Supp Consol'!A:A,O315))</f>
        <v/>
      </c>
      <c r="AK315" s="25" t="str">
        <f>IFERROR(INDEX('Hun Release Current'!B:B,MATCH(O315,'Hun Release Current'!A:A,0)),"")</f>
        <v/>
      </c>
      <c r="AL315" s="25" t="str">
        <f>IF(SUMIF('Prev Aub'!A:A,O315,'Prev Aub'!B:B)=0,"",SUMIF('Prev Aub'!A:A,O315,'Prev Aub'!B:B))</f>
        <v/>
      </c>
      <c r="AN315" s="25" t="s">
        <v>3790</v>
      </c>
      <c r="AO315" s="25" t="s">
        <v>3790</v>
      </c>
      <c r="AP315" s="25">
        <f t="shared" si="118"/>
        <v>0</v>
      </c>
      <c r="AQ315" s="151" t="str">
        <f>IF(SUMIFS('Supp Consol'!S:S,'Supp Consol'!A:A,O315,'Supp Consol'!I:I,"PENDING")=0,"",SUMIFS('Supp Consol'!S:S,'Supp Consol'!A:A,O315,'Supp Consol'!I:I,"PENDING"))</f>
        <v/>
      </c>
      <c r="AR315" s="27" t="str">
        <f t="shared" si="119"/>
        <v>AV674</v>
      </c>
      <c r="AS315" s="27" t="str">
        <f t="shared" si="120"/>
        <v>50</v>
      </c>
      <c r="AT315" s="27" t="str">
        <f t="shared" si="121"/>
        <v>AV674</v>
      </c>
      <c r="AU315" s="27" t="str">
        <f t="shared" si="122"/>
        <v>AV674</v>
      </c>
      <c r="AV315" s="27" t="str">
        <f t="shared" si="123"/>
        <v>AV674</v>
      </c>
      <c r="AW315" s="27" t="str">
        <f t="shared" si="124"/>
        <v/>
      </c>
      <c r="AX315" s="27" t="str">
        <f t="shared" si="125"/>
        <v/>
      </c>
      <c r="AY315" s="27" t="str">
        <f t="shared" si="126"/>
        <v/>
      </c>
      <c r="AZ315" s="27" t="str">
        <f t="shared" si="127"/>
        <v/>
      </c>
      <c r="BA315" s="27" t="str">
        <f t="shared" si="128"/>
        <v/>
      </c>
      <c r="BB315" s="27" t="str">
        <f t="shared" si="129"/>
        <v>Gross</v>
      </c>
      <c r="BC315" s="27" t="str">
        <f t="shared" si="130"/>
        <v>Net</v>
      </c>
      <c r="BD315" s="27" t="str">
        <f t="shared" si="131"/>
        <v>Net</v>
      </c>
      <c r="BE315" s="27" t="str">
        <f t="shared" si="132"/>
        <v/>
      </c>
      <c r="BF315" s="27" t="str">
        <f t="shared" si="133"/>
        <v/>
      </c>
      <c r="BG315" s="27" t="str">
        <f t="shared" si="134"/>
        <v/>
      </c>
      <c r="BH315" s="27" t="str">
        <f t="shared" si="135"/>
        <v/>
      </c>
      <c r="BI315" s="27" t="str">
        <f t="shared" si="136"/>
        <v/>
      </c>
      <c r="BJ315" s="27" t="str">
        <f t="shared" si="137"/>
        <v/>
      </c>
      <c r="BK315" s="27" t="str">
        <f t="shared" si="138"/>
        <v/>
      </c>
      <c r="BL315" s="27" t="str">
        <f t="shared" si="139"/>
        <v/>
      </c>
      <c r="BM315" s="21" t="s">
        <v>3790</v>
      </c>
    </row>
    <row r="316" spans="1:65" ht="15">
      <c r="A316" s="25" t="str">
        <f>IFERROR(INDEX('Hun Demand'!W:W,MATCH(O316,'Hun Demand'!A:A,0)),"")</f>
        <v/>
      </c>
      <c r="B316" s="25" t="str">
        <f>IFERROR(INDEX('Hun Demand'!V:V,MATCH(O316,'Hun Demand'!A:A,0)),"")</f>
        <v/>
      </c>
      <c r="C316" s="25" t="str">
        <f>IFERROR(INDEX('Hun Demand'!U:U,MATCH(O316,'Hun Demand'!A:A,0)),"")</f>
        <v/>
      </c>
      <c r="D316" s="25" t="str">
        <f>IFERROR(INDEX('Hun Demand'!T:T,MATCH(O316,'Hun Demand'!A:A,0)),"")</f>
        <v/>
      </c>
      <c r="E316" s="25" t="str">
        <f>IFERROR(INDEX('Hun Demand'!S:S,MATCH(O316,'Hun Demand'!A:A,0)),"")</f>
        <v/>
      </c>
      <c r="F316" s="25" t="str">
        <f>IFERROR(INDEX('Hun Demand'!R:R,MATCH(O316,'Hun Demand'!A:A,0)),"")</f>
        <v/>
      </c>
      <c r="G316" s="25">
        <f>IFERROR(INDEX('Aub Demand'!W:W,MATCH(O316,'Aub Demand'!A:A,0)),"")</f>
        <v>40</v>
      </c>
      <c r="H316" s="25">
        <f>IFERROR(INDEX('Aub Demand'!V:V,MATCH(O316,'Aub Demand'!A:A,0)),"")</f>
        <v>23</v>
      </c>
      <c r="I316" s="25">
        <f>IFERROR(INDEX('Aub Demand'!U:U,MATCH(O316,'Aub Demand'!A:A,0)),"")</f>
        <v>0</v>
      </c>
      <c r="J316" s="25">
        <f>IFERROR(INDEX('Aub Demand'!T:T,MATCH(O316,'Aub Demand'!A:A,0)),"")</f>
        <v>0</v>
      </c>
      <c r="K316" s="25">
        <f>IFERROR(INDEX('Aub Demand'!S:S,MATCH(O316,'Aub Demand'!A:A,0)),"")</f>
        <v>23</v>
      </c>
      <c r="L316" s="25">
        <f>IFERROR(INDEX('Aub Demand'!R:R,MATCH(O316,'Aub Demand'!A:A,0)),"")</f>
        <v>0</v>
      </c>
      <c r="O316" s="27" t="s">
        <v>535</v>
      </c>
      <c r="P316" s="27" t="str">
        <f>IFERROR(INDEX('Aub Demand'!B:B,MATCH($O316,'Aub Demand'!$A:$A,0)),"")</f>
        <v>OLIVE ORGANIX</v>
      </c>
      <c r="Q316" s="27" t="str">
        <f>IFERROR(INDEX('Aub Demand'!C:C,MATCH($O316,'Aub Demand'!$A:$A,0)),"")</f>
        <v>AHLST</v>
      </c>
      <c r="R316" s="52">
        <f>IFERROR(IF(AR317=AR316,INDEX('Aub Demand'!K:K,MATCH($O316,'Aub Demand'!$A:$A,0))-IF(AN316="",0,AN316)+AP317,INDEX('Aub Demand'!K:K,MATCH($O316,'Aub Demand'!$A:$A,0))-IF(AN316="",0,AN316)),"")</f>
        <v>3885</v>
      </c>
      <c r="S316" s="53">
        <f t="shared" si="112"/>
        <v>2081.3000000000002</v>
      </c>
      <c r="T316" s="52" t="str">
        <f t="shared" si="113"/>
        <v/>
      </c>
      <c r="U316" s="52">
        <f>IFERROR(IF(AR317=AR316,INDEX('Aub Demand'!Q:Q,MATCH($O316,'Aub Demand'!$A:$A,0))-IF(AN316="",0,AN316)+AP317,INDEX('Aub Demand'!Q:Q,MATCH($O316,'Aub Demand'!$A:$A,0))-IF(AN316="",0,AN316)),"")</f>
        <v>3885</v>
      </c>
      <c r="V316" s="53">
        <f t="shared" si="114"/>
        <v>2081.3000000000002</v>
      </c>
      <c r="W316" s="52" t="str">
        <f t="shared" si="115"/>
        <v/>
      </c>
      <c r="X316" s="52">
        <f>IFERROR(IF(AND(AR317=AR316,AM316&lt;&gt;""),INDEX('Aub Demand'!Q:Q,MATCH($O316,'Aub Demand'!$A:$A,0))-IF(AN316="",0,AN316)+AP317+AD316+AL316,IF(AR317=AR316,INDEX('Aub Demand'!Q:Q,MATCH($O316,'Aub Demand'!$A:$A,0))-IF(AN316="",0,AN316)+AP317+AD316,IF(AM316&lt;&gt;"",INDEX('Aub Demand'!Q:Q,MATCH($O316,'Aub Demand'!$A:$A,0))-IF(AN316="",0,AN316)+AD316+AL316,INDEX('Aub Demand'!Q:Q,MATCH($O316,'Aub Demand'!$A:$A,0))-IF(AN316="",0,AN316)+AD316))),"")</f>
        <v>3885</v>
      </c>
      <c r="Y316" s="53">
        <f t="shared" si="116"/>
        <v>2081.3000000000002</v>
      </c>
      <c r="Z316" s="52">
        <f>IF(L316="","",INDEX('Aub Demand'!H:H,MATCH($O316,'Aub Demand'!$A:$A,0)))</f>
        <v>8</v>
      </c>
      <c r="AA316" s="52" t="str">
        <f t="shared" si="117"/>
        <v>-spike-</v>
      </c>
      <c r="AB316" s="52">
        <f>IFERROR(INDEX('Aub Demand'!L:L,MATCH($O316,'Aub Demand'!$A:$A,0)),"")</f>
        <v>0</v>
      </c>
      <c r="AC316" s="52">
        <f>IFERROR(IF(O316="","",SUMIFS('CPL Mats'!F:F,'CPL Mats'!Q:Q,AR316,'CPL Mats'!S:S,AS316)),"")</f>
        <v>0</v>
      </c>
      <c r="AF316" s="25" t="str">
        <f>IF(SUMIFS('Supp Consol'!S:S,'Supp Consol'!Y:Y,"Releasable",'Supp Consol'!A:A,O316)=0,"",SUMIFS('Supp Consol'!S:S,'Supp Consol'!Y:Y,"Releasable",'Supp Consol'!A:A,O316))</f>
        <v/>
      </c>
      <c r="AG316" s="25" t="str">
        <f>IFERROR(INDEX('Hun Demand'!Q:Q,MATCH(O316,'Hun Demand'!A:A,0)),"")</f>
        <v/>
      </c>
      <c r="AH316" s="25" t="str">
        <f>IFERROR(INDEX('Hun Demand'!H:H,MATCH($O316,'Hun Demand'!$A:$A,0)),"")</f>
        <v/>
      </c>
      <c r="AI316" s="25" t="str">
        <f>IF(SUMIFS('Supp Consol'!AA:AA,'Supp Consol'!Z:Z,"Expires this month",'Supp Consol'!A:A,O316)=0,"",SUMIFS('Supp Consol'!AA:AA,'Supp Consol'!Z:Z,"Expires this month",'Supp Consol'!A:A,O316))</f>
        <v/>
      </c>
      <c r="AJ316" s="25" t="str">
        <f>IF(SUMIFS('Supp Consol'!AA:AA,'Supp Consol'!Z:Z,"Expired Previous Months",'Supp Consol'!A:A,O316)=0,"",SUMIFS('Supp Consol'!AA:AA,'Supp Consol'!Z:Z,"Expired Previous Months",'Supp Consol'!A:A,O316))</f>
        <v/>
      </c>
      <c r="AK316" s="25" t="str">
        <f>IFERROR(INDEX('Hun Release Current'!B:B,MATCH(O316,'Hun Release Current'!A:A,0)),"")</f>
        <v/>
      </c>
      <c r="AL316" s="25" t="str">
        <f>IF(SUMIF('Prev Aub'!A:A,O316,'Prev Aub'!B:B)=0,"",SUMIF('Prev Aub'!A:A,O316,'Prev Aub'!B:B))</f>
        <v/>
      </c>
      <c r="AN316" s="25" t="s">
        <v>3790</v>
      </c>
      <c r="AO316" s="25" t="s">
        <v>3790</v>
      </c>
      <c r="AP316" s="25">
        <f t="shared" si="118"/>
        <v>0</v>
      </c>
      <c r="AQ316" s="151" t="str">
        <f>IF(SUMIFS('Supp Consol'!S:S,'Supp Consol'!A:A,O316,'Supp Consol'!I:I,"PENDING")=0,"",SUMIFS('Supp Consol'!S:S,'Supp Consol'!A:A,O316,'Supp Consol'!I:I,"PENDING"))</f>
        <v/>
      </c>
      <c r="AR316" s="27" t="str">
        <f t="shared" si="119"/>
        <v>AV674</v>
      </c>
      <c r="AS316" s="27" t="str">
        <f t="shared" si="120"/>
        <v>62</v>
      </c>
      <c r="AT316" s="27" t="str">
        <f t="shared" si="121"/>
        <v/>
      </c>
      <c r="AU316" s="27" t="str">
        <f t="shared" si="122"/>
        <v/>
      </c>
      <c r="AV316" s="27" t="str">
        <f t="shared" si="123"/>
        <v/>
      </c>
      <c r="AW316" s="27" t="str">
        <f t="shared" si="124"/>
        <v/>
      </c>
      <c r="AX316" s="27" t="str">
        <f t="shared" si="125"/>
        <v/>
      </c>
      <c r="AY316" s="27" t="str">
        <f t="shared" si="126"/>
        <v/>
      </c>
      <c r="AZ316" s="27" t="str">
        <f t="shared" si="127"/>
        <v/>
      </c>
      <c r="BA316" s="27" t="str">
        <f t="shared" si="128"/>
        <v/>
      </c>
      <c r="BB316" s="27" t="str">
        <f t="shared" si="129"/>
        <v>Gross</v>
      </c>
      <c r="BC316" s="27" t="str">
        <f t="shared" si="130"/>
        <v>Net</v>
      </c>
      <c r="BD316" s="27" t="str">
        <f t="shared" si="131"/>
        <v>Net</v>
      </c>
      <c r="BE316" s="27" t="str">
        <f t="shared" si="132"/>
        <v/>
      </c>
      <c r="BF316" s="27" t="str">
        <f t="shared" si="133"/>
        <v/>
      </c>
      <c r="BG316" s="27" t="str">
        <f t="shared" si="134"/>
        <v/>
      </c>
      <c r="BH316" s="27" t="str">
        <f t="shared" si="135"/>
        <v/>
      </c>
      <c r="BI316" s="27" t="str">
        <f t="shared" si="136"/>
        <v/>
      </c>
      <c r="BJ316" s="27" t="str">
        <f t="shared" si="137"/>
        <v/>
      </c>
      <c r="BK316" s="27" t="str">
        <f t="shared" si="138"/>
        <v/>
      </c>
      <c r="BL316" s="27" t="str">
        <f t="shared" si="139"/>
        <v/>
      </c>
      <c r="BM316" s="21" t="s">
        <v>5581</v>
      </c>
    </row>
    <row r="317" spans="1:65" ht="15">
      <c r="A317" s="25" t="str">
        <f>IFERROR(INDEX('Hun Demand'!W:W,MATCH(O317,'Hun Demand'!A:A,0)),"")</f>
        <v/>
      </c>
      <c r="B317" s="25" t="str">
        <f>IFERROR(INDEX('Hun Demand'!V:V,MATCH(O317,'Hun Demand'!A:A,0)),"")</f>
        <v/>
      </c>
      <c r="C317" s="25" t="str">
        <f>IFERROR(INDEX('Hun Demand'!U:U,MATCH(O317,'Hun Demand'!A:A,0)),"")</f>
        <v/>
      </c>
      <c r="D317" s="25" t="str">
        <f>IFERROR(INDEX('Hun Demand'!T:T,MATCH(O317,'Hun Demand'!A:A,0)),"")</f>
        <v/>
      </c>
      <c r="E317" s="25" t="str">
        <f>IFERROR(INDEX('Hun Demand'!S:S,MATCH(O317,'Hun Demand'!A:A,0)),"")</f>
        <v/>
      </c>
      <c r="F317" s="25" t="str">
        <f>IFERROR(INDEX('Hun Demand'!R:R,MATCH(O317,'Hun Demand'!A:A,0)),"")</f>
        <v/>
      </c>
      <c r="G317" s="25">
        <f>IFERROR(INDEX('Aub Demand'!W:W,MATCH(O317,'Aub Demand'!A:A,0)),"")</f>
        <v>0</v>
      </c>
      <c r="H317" s="25">
        <f>IFERROR(INDEX('Aub Demand'!V:V,MATCH(O317,'Aub Demand'!A:A,0)),"")</f>
        <v>0</v>
      </c>
      <c r="I317" s="25">
        <f>IFERROR(INDEX('Aub Demand'!U:U,MATCH(O317,'Aub Demand'!A:A,0)),"")</f>
        <v>0</v>
      </c>
      <c r="J317" s="25">
        <f>IFERROR(INDEX('Aub Demand'!T:T,MATCH(O317,'Aub Demand'!A:A,0)),"")</f>
        <v>0</v>
      </c>
      <c r="K317" s="25">
        <f>IFERROR(INDEX('Aub Demand'!S:S,MATCH(O317,'Aub Demand'!A:A,0)),"")</f>
        <v>0</v>
      </c>
      <c r="L317" s="25">
        <f>IFERROR(INDEX('Aub Demand'!R:R,MATCH(O317,'Aub Demand'!A:A,0)),"")</f>
        <v>0</v>
      </c>
      <c r="O317" s="27" t="s">
        <v>537</v>
      </c>
      <c r="P317" s="27" t="str">
        <f>IFERROR(INDEX('Aub Demand'!B:B,MATCH($O317,'Aub Demand'!$A:$A,0)),"")</f>
        <v>THYME FIBER</v>
      </c>
      <c r="Q317" s="27" t="str">
        <f>IFERROR(INDEX('Aub Demand'!C:C,MATCH($O317,'Aub Demand'!$A:$A,0)),"")</f>
        <v>SUDDE</v>
      </c>
      <c r="R317" s="52">
        <f>IFERROR(IF(AR318=AR317,INDEX('Aub Demand'!K:K,MATCH($O317,'Aub Demand'!$A:$A,0))-IF(AN317="",0,AN317)+AP318,INDEX('Aub Demand'!K:K,MATCH($O317,'Aub Demand'!$A:$A,0))-IF(AN317="",0,AN317)),"")</f>
        <v>94</v>
      </c>
      <c r="S317" s="53" t="str">
        <f t="shared" si="112"/>
        <v>n/a</v>
      </c>
      <c r="T317" s="52" t="str">
        <f t="shared" si="113"/>
        <v/>
      </c>
      <c r="U317" s="52">
        <f>IFERROR(IF(AR318=AR317,INDEX('Aub Demand'!Q:Q,MATCH($O317,'Aub Demand'!$A:$A,0))-IF(AN317="",0,AN317)+AP318,INDEX('Aub Demand'!Q:Q,MATCH($O317,'Aub Demand'!$A:$A,0))-IF(AN317="",0,AN317)),"")</f>
        <v>94</v>
      </c>
      <c r="V317" s="53" t="str">
        <f t="shared" si="114"/>
        <v>n/a</v>
      </c>
      <c r="W317" s="52" t="str">
        <f t="shared" si="115"/>
        <v/>
      </c>
      <c r="X317" s="52">
        <f>IFERROR(IF(AND(AR318=AR317,AM317&lt;&gt;""),INDEX('Aub Demand'!Q:Q,MATCH($O317,'Aub Demand'!$A:$A,0))-IF(AN317="",0,AN317)+AP318+AD317+AL317,IF(AR318=AR317,INDEX('Aub Demand'!Q:Q,MATCH($O317,'Aub Demand'!$A:$A,0))-IF(AN317="",0,AN317)+AP318+AD317,IF(AM317&lt;&gt;"",INDEX('Aub Demand'!Q:Q,MATCH($O317,'Aub Demand'!$A:$A,0))-IF(AN317="",0,AN317)+AD317+AL317,INDEX('Aub Demand'!Q:Q,MATCH($O317,'Aub Demand'!$A:$A,0))-IF(AN317="",0,AN317)+AD317))),"")</f>
        <v>94</v>
      </c>
      <c r="Y317" s="53" t="str">
        <f t="shared" si="116"/>
        <v>n/a</v>
      </c>
      <c r="Z317" s="52">
        <f>IF(L317="","",INDEX('Aub Demand'!H:H,MATCH($O317,'Aub Demand'!$A:$A,0)))</f>
        <v>0</v>
      </c>
      <c r="AA317" s="52" t="str">
        <f t="shared" si="117"/>
        <v>-spike-</v>
      </c>
      <c r="AB317" s="52">
        <f>IFERROR(INDEX('Aub Demand'!L:L,MATCH($O317,'Aub Demand'!$A:$A,0)),"")</f>
        <v>0</v>
      </c>
      <c r="AC317" s="52">
        <f>IFERROR(IF(O317="","",SUMIFS('CPL Mats'!F:F,'CPL Mats'!Q:Q,AR317,'CPL Mats'!S:S,AS317)),"")</f>
        <v>0</v>
      </c>
      <c r="AF317" s="25" t="str">
        <f>IF(SUMIFS('Supp Consol'!S:S,'Supp Consol'!Y:Y,"Releasable",'Supp Consol'!A:A,O317)=0,"",SUMIFS('Supp Consol'!S:S,'Supp Consol'!Y:Y,"Releasable",'Supp Consol'!A:A,O317))</f>
        <v/>
      </c>
      <c r="AG317" s="25" t="str">
        <f>IFERROR(INDEX('Hun Demand'!Q:Q,MATCH(O317,'Hun Demand'!A:A,0)),"")</f>
        <v/>
      </c>
      <c r="AH317" s="25" t="str">
        <f>IFERROR(INDEX('Hun Demand'!H:H,MATCH($O317,'Hun Demand'!$A:$A,0)),"")</f>
        <v/>
      </c>
      <c r="AI317" s="25" t="str">
        <f>IF(SUMIFS('Supp Consol'!AA:AA,'Supp Consol'!Z:Z,"Expires this month",'Supp Consol'!A:A,O317)=0,"",SUMIFS('Supp Consol'!AA:AA,'Supp Consol'!Z:Z,"Expires this month",'Supp Consol'!A:A,O317))</f>
        <v/>
      </c>
      <c r="AJ317" s="25" t="str">
        <f>IF(SUMIFS('Supp Consol'!AA:AA,'Supp Consol'!Z:Z,"Expired Previous Months",'Supp Consol'!A:A,O317)=0,"",SUMIFS('Supp Consol'!AA:AA,'Supp Consol'!Z:Z,"Expired Previous Months",'Supp Consol'!A:A,O317))</f>
        <v/>
      </c>
      <c r="AK317" s="25" t="str">
        <f>IFERROR(INDEX('Hun Release Current'!B:B,MATCH(O317,'Hun Release Current'!A:A,0)),"")</f>
        <v/>
      </c>
      <c r="AL317" s="25" t="str">
        <f>IF(SUMIF('Prev Aub'!A:A,O317,'Prev Aub'!B:B)=0,"",SUMIF('Prev Aub'!A:A,O317,'Prev Aub'!B:B))</f>
        <v/>
      </c>
      <c r="AN317" s="25" t="s">
        <v>3790</v>
      </c>
      <c r="AO317" s="25" t="s">
        <v>3790</v>
      </c>
      <c r="AP317" s="25">
        <f t="shared" si="118"/>
        <v>0</v>
      </c>
      <c r="AQ317" s="151" t="str">
        <f>IF(SUMIFS('Supp Consol'!S:S,'Supp Consol'!A:A,O317,'Supp Consol'!I:I,"PENDING")=0,"",SUMIFS('Supp Consol'!S:S,'Supp Consol'!A:A,O317,'Supp Consol'!I:I,"PENDING"))</f>
        <v/>
      </c>
      <c r="AR317" s="27" t="str">
        <f t="shared" si="119"/>
        <v>AV721</v>
      </c>
      <c r="AS317" s="27" t="str">
        <f t="shared" si="120"/>
        <v>50</v>
      </c>
      <c r="AT317" s="27" t="str">
        <f t="shared" si="121"/>
        <v/>
      </c>
      <c r="AU317" s="27" t="str">
        <f t="shared" si="122"/>
        <v/>
      </c>
      <c r="AV317" s="27" t="str">
        <f t="shared" si="123"/>
        <v/>
      </c>
      <c r="AW317" s="27" t="str">
        <f t="shared" si="124"/>
        <v/>
      </c>
      <c r="AX317" s="27" t="str">
        <f t="shared" si="125"/>
        <v/>
      </c>
      <c r="AY317" s="27" t="str">
        <f t="shared" si="126"/>
        <v/>
      </c>
      <c r="AZ317" s="27" t="str">
        <f t="shared" si="127"/>
        <v/>
      </c>
      <c r="BA317" s="27" t="str">
        <f t="shared" si="128"/>
        <v/>
      </c>
      <c r="BB317" s="27" t="str">
        <f t="shared" si="129"/>
        <v/>
      </c>
      <c r="BC317" s="27" t="str">
        <f t="shared" si="130"/>
        <v/>
      </c>
      <c r="BD317" s="27" t="str">
        <f t="shared" si="131"/>
        <v/>
      </c>
      <c r="BE317" s="27" t="str">
        <f t="shared" si="132"/>
        <v/>
      </c>
      <c r="BF317" s="27" t="str">
        <f t="shared" si="133"/>
        <v/>
      </c>
      <c r="BG317" s="27" t="str">
        <f t="shared" si="134"/>
        <v/>
      </c>
      <c r="BH317" s="27" t="str">
        <f t="shared" si="135"/>
        <v/>
      </c>
      <c r="BI317" s="27" t="str">
        <f t="shared" si="136"/>
        <v/>
      </c>
      <c r="BJ317" s="27" t="str">
        <f t="shared" si="137"/>
        <v/>
      </c>
      <c r="BK317" s="27" t="str">
        <f t="shared" si="138"/>
        <v/>
      </c>
      <c r="BL317" s="27" t="str">
        <f t="shared" si="139"/>
        <v/>
      </c>
      <c r="BM317" s="21" t="s">
        <v>3790</v>
      </c>
    </row>
    <row r="318" spans="1:65" ht="15">
      <c r="A318" s="25" t="str">
        <f>IFERROR(INDEX('Hun Demand'!W:W,MATCH(O318,'Hun Demand'!A:A,0)),"")</f>
        <v/>
      </c>
      <c r="B318" s="25" t="str">
        <f>IFERROR(INDEX('Hun Demand'!V:V,MATCH(O318,'Hun Demand'!A:A,0)),"")</f>
        <v/>
      </c>
      <c r="C318" s="25" t="str">
        <f>IFERROR(INDEX('Hun Demand'!U:U,MATCH(O318,'Hun Demand'!A:A,0)),"")</f>
        <v/>
      </c>
      <c r="D318" s="25" t="str">
        <f>IFERROR(INDEX('Hun Demand'!T:T,MATCH(O318,'Hun Demand'!A:A,0)),"")</f>
        <v/>
      </c>
      <c r="E318" s="25" t="str">
        <f>IFERROR(INDEX('Hun Demand'!S:S,MATCH(O318,'Hun Demand'!A:A,0)),"")</f>
        <v/>
      </c>
      <c r="F318" s="25" t="str">
        <f>IFERROR(INDEX('Hun Demand'!R:R,MATCH(O318,'Hun Demand'!A:A,0)),"")</f>
        <v/>
      </c>
      <c r="G318" s="25">
        <f>IFERROR(INDEX('Aub Demand'!W:W,MATCH(O318,'Aub Demand'!A:A,0)),"")</f>
        <v>0</v>
      </c>
      <c r="H318" s="25">
        <f>IFERROR(INDEX('Aub Demand'!V:V,MATCH(O318,'Aub Demand'!A:A,0)),"")</f>
        <v>0</v>
      </c>
      <c r="I318" s="25">
        <f>IFERROR(INDEX('Aub Demand'!U:U,MATCH(O318,'Aub Demand'!A:A,0)),"")</f>
        <v>64</v>
      </c>
      <c r="J318" s="25">
        <f>IFERROR(INDEX('Aub Demand'!T:T,MATCH(O318,'Aub Demand'!A:A,0)),"")</f>
        <v>0</v>
      </c>
      <c r="K318" s="25">
        <f>IFERROR(INDEX('Aub Demand'!S:S,MATCH(O318,'Aub Demand'!A:A,0)),"")</f>
        <v>0</v>
      </c>
      <c r="L318" s="25">
        <f>IFERROR(INDEX('Aub Demand'!R:R,MATCH(O318,'Aub Demand'!A:A,0)),"")</f>
        <v>8</v>
      </c>
      <c r="O318" s="27" t="s">
        <v>5423</v>
      </c>
      <c r="P318" s="27" t="str">
        <f>IFERROR(INDEX('Aub Demand'!B:B,MATCH($O318,'Aub Demand'!$A:$A,0)),"")</f>
        <v>CELERY FIBER</v>
      </c>
      <c r="Q318" s="27" t="str">
        <f>IFERROR(INDEX('Aub Demand'!C:C,MATCH($O318,'Aub Demand'!$A:$A,0)),"")</f>
        <v>SUDDE</v>
      </c>
      <c r="R318" s="52">
        <f>IFERROR(IF(AR319=AR318,INDEX('Aub Demand'!K:K,MATCH($O318,'Aub Demand'!$A:$A,0))-IF(AN318="",0,AN318)+AP319,INDEX('Aub Demand'!K:K,MATCH($O318,'Aub Demand'!$A:$A,0))-IF(AN318="",0,AN318)),"")</f>
        <v>40</v>
      </c>
      <c r="S318" s="53">
        <f t="shared" si="112"/>
        <v>8.1999999999999993</v>
      </c>
      <c r="T318" s="52" t="str">
        <f t="shared" si="113"/>
        <v/>
      </c>
      <c r="U318" s="52">
        <f>IFERROR(IF(AR319=AR318,INDEX('Aub Demand'!Q:Q,MATCH($O318,'Aub Demand'!$A:$A,0))-IF(AN318="",0,AN318)+AP319,INDEX('Aub Demand'!Q:Q,MATCH($O318,'Aub Demand'!$A:$A,0))-IF(AN318="",0,AN318)),"")</f>
        <v>26</v>
      </c>
      <c r="V318" s="53">
        <f t="shared" si="114"/>
        <v>5.3</v>
      </c>
      <c r="W318" s="52" t="str">
        <f t="shared" si="115"/>
        <v/>
      </c>
      <c r="X318" s="52">
        <f>IFERROR(IF(AND(AR319=AR318,AM318&lt;&gt;""),INDEX('Aub Demand'!Q:Q,MATCH($O318,'Aub Demand'!$A:$A,0))-IF(AN318="",0,AN318)+AP319+AD318+AL318,IF(AR319=AR318,INDEX('Aub Demand'!Q:Q,MATCH($O318,'Aub Demand'!$A:$A,0))-IF(AN318="",0,AN318)+AP319+AD318,IF(AM318&lt;&gt;"",INDEX('Aub Demand'!Q:Q,MATCH($O318,'Aub Demand'!$A:$A,0))-IF(AN318="",0,AN318)+AD318+AL318,INDEX('Aub Demand'!Q:Q,MATCH($O318,'Aub Demand'!$A:$A,0))-IF(AN318="",0,AN318)+AD318))),"")</f>
        <v>26</v>
      </c>
      <c r="Y318" s="53">
        <f t="shared" si="116"/>
        <v>5.3</v>
      </c>
      <c r="Z318" s="52">
        <f>IF(L318="","",INDEX('Aub Demand'!H:H,MATCH($O318,'Aub Demand'!$A:$A,0)))</f>
        <v>21</v>
      </c>
      <c r="AA318" s="52">
        <f t="shared" si="117"/>
        <v>36</v>
      </c>
      <c r="AB318" s="52">
        <f>IFERROR(INDEX('Aub Demand'!L:L,MATCH($O318,'Aub Demand'!$A:$A,0)),"")</f>
        <v>9</v>
      </c>
      <c r="AC318" s="52">
        <f>IFERROR(IF(O318="","",SUMIFS('CPL Mats'!F:F,'CPL Mats'!Q:Q,AR318,'CPL Mats'!S:S,AS318)),"")</f>
        <v>0</v>
      </c>
      <c r="AF318" s="25" t="str">
        <f>IF(SUMIFS('Supp Consol'!S:S,'Supp Consol'!Y:Y,"Releasable",'Supp Consol'!A:A,O318)=0,"",SUMIFS('Supp Consol'!S:S,'Supp Consol'!Y:Y,"Releasable",'Supp Consol'!A:A,O318))</f>
        <v/>
      </c>
      <c r="AG318" s="25" t="str">
        <f>IFERROR(INDEX('Hun Demand'!Q:Q,MATCH(O318,'Hun Demand'!A:A,0)),"")</f>
        <v/>
      </c>
      <c r="AH318" s="25" t="str">
        <f>IFERROR(INDEX('Hun Demand'!H:H,MATCH($O318,'Hun Demand'!$A:$A,0)),"")</f>
        <v/>
      </c>
      <c r="AI318" s="25" t="str">
        <f>IF(SUMIFS('Supp Consol'!AA:AA,'Supp Consol'!Z:Z,"Expires this month",'Supp Consol'!A:A,O318)=0,"",SUMIFS('Supp Consol'!AA:AA,'Supp Consol'!Z:Z,"Expires this month",'Supp Consol'!A:A,O318))</f>
        <v/>
      </c>
      <c r="AJ318" s="25" t="str">
        <f>IF(SUMIFS('Supp Consol'!AA:AA,'Supp Consol'!Z:Z,"Expired Previous Months",'Supp Consol'!A:A,O318)=0,"",SUMIFS('Supp Consol'!AA:AA,'Supp Consol'!Z:Z,"Expired Previous Months",'Supp Consol'!A:A,O318))</f>
        <v/>
      </c>
      <c r="AK318" s="25" t="str">
        <f>IFERROR(INDEX('Hun Release Current'!B:B,MATCH(O318,'Hun Release Current'!A:A,0)),"")</f>
        <v/>
      </c>
      <c r="AL318" s="25" t="str">
        <f>IF(SUMIF('Prev Aub'!A:A,O318,'Prev Aub'!B:B)=0,"",SUMIF('Prev Aub'!A:A,O318,'Prev Aub'!B:B))</f>
        <v/>
      </c>
      <c r="AN318" s="25" t="s">
        <v>3790</v>
      </c>
      <c r="AO318" s="25" t="s">
        <v>3790</v>
      </c>
      <c r="AP318" s="25">
        <f t="shared" si="118"/>
        <v>0</v>
      </c>
      <c r="AQ318" s="151" t="str">
        <f>IF(SUMIFS('Supp Consol'!S:S,'Supp Consol'!A:A,O318,'Supp Consol'!I:I,"PENDING")=0,"",SUMIFS('Supp Consol'!S:S,'Supp Consol'!A:A,O318,'Supp Consol'!I:I,"PENDING"))</f>
        <v/>
      </c>
      <c r="AR318" s="27" t="str">
        <f t="shared" si="119"/>
        <v>AV751</v>
      </c>
      <c r="AS318" s="27" t="str">
        <f t="shared" si="120"/>
        <v>50</v>
      </c>
      <c r="AT318" s="27" t="str">
        <f t="shared" si="121"/>
        <v/>
      </c>
      <c r="AU318" s="27" t="str">
        <f t="shared" si="122"/>
        <v/>
      </c>
      <c r="AV318" s="27" t="str">
        <f t="shared" si="123"/>
        <v/>
      </c>
      <c r="AW318" s="27" t="str">
        <f t="shared" si="124"/>
        <v/>
      </c>
      <c r="AX318" s="27" t="str">
        <f t="shared" si="125"/>
        <v/>
      </c>
      <c r="AY318" s="27" t="str">
        <f t="shared" si="126"/>
        <v/>
      </c>
      <c r="AZ318" s="27" t="str">
        <f t="shared" si="127"/>
        <v/>
      </c>
      <c r="BA318" s="27" t="str">
        <f t="shared" si="128"/>
        <v>Hun</v>
      </c>
      <c r="BB318" s="27" t="str">
        <f t="shared" si="129"/>
        <v/>
      </c>
      <c r="BC318" s="27" t="str">
        <f t="shared" si="130"/>
        <v/>
      </c>
      <c r="BD318" s="27" t="str">
        <f t="shared" si="131"/>
        <v/>
      </c>
      <c r="BE318" s="27" t="str">
        <f t="shared" si="132"/>
        <v/>
      </c>
      <c r="BF318" s="27" t="str">
        <f t="shared" si="133"/>
        <v/>
      </c>
      <c r="BG318" s="27" t="str">
        <f t="shared" si="134"/>
        <v/>
      </c>
      <c r="BH318" s="27" t="str">
        <f t="shared" si="135"/>
        <v/>
      </c>
      <c r="BI318" s="27" t="str">
        <f t="shared" si="136"/>
        <v/>
      </c>
      <c r="BJ318" s="27" t="str">
        <f t="shared" si="137"/>
        <v>Supp or Hun</v>
      </c>
      <c r="BK318" s="27" t="str">
        <f t="shared" si="138"/>
        <v/>
      </c>
      <c r="BL318" s="27" t="str">
        <f t="shared" si="139"/>
        <v/>
      </c>
      <c r="BM318" s="21" t="s">
        <v>5581</v>
      </c>
    </row>
    <row r="319" spans="1:65" ht="15">
      <c r="A319" s="25">
        <f>IFERROR(INDEX('Hun Demand'!W:W,MATCH(O319,'Hun Demand'!A:A,0)),"")</f>
        <v>0</v>
      </c>
      <c r="B319" s="25">
        <f>IFERROR(INDEX('Hun Demand'!V:V,MATCH(O319,'Hun Demand'!A:A,0)),"")</f>
        <v>0</v>
      </c>
      <c r="C319" s="25">
        <f>IFERROR(INDEX('Hun Demand'!U:U,MATCH(O319,'Hun Demand'!A:A,0)),"")</f>
        <v>0</v>
      </c>
      <c r="D319" s="25">
        <f>IFERROR(INDEX('Hun Demand'!T:T,MATCH(O319,'Hun Demand'!A:A,0)),"")</f>
        <v>0</v>
      </c>
      <c r="E319" s="25">
        <f>IFERROR(INDEX('Hun Demand'!S:S,MATCH(O319,'Hun Demand'!A:A,0)),"")</f>
        <v>0</v>
      </c>
      <c r="F319" s="25">
        <f>IFERROR(INDEX('Hun Demand'!R:R,MATCH(O319,'Hun Demand'!A:A,0)),"")</f>
        <v>0</v>
      </c>
      <c r="G319" s="25">
        <f>IFERROR(INDEX('Aub Demand'!W:W,MATCH(O319,'Aub Demand'!A:A,0)),"")</f>
        <v>12</v>
      </c>
      <c r="H319" s="25">
        <f>IFERROR(INDEX('Aub Demand'!V:V,MATCH(O319,'Aub Demand'!A:A,0)),"")</f>
        <v>0</v>
      </c>
      <c r="I319" s="25">
        <f>IFERROR(INDEX('Aub Demand'!U:U,MATCH(O319,'Aub Demand'!A:A,0)),"")</f>
        <v>0</v>
      </c>
      <c r="J319" s="25">
        <f>IFERROR(INDEX('Aub Demand'!T:T,MATCH(O319,'Aub Demand'!A:A,0)),"")</f>
        <v>0</v>
      </c>
      <c r="K319" s="25">
        <f>IFERROR(INDEX('Aub Demand'!S:S,MATCH(O319,'Aub Demand'!A:A,0)),"")</f>
        <v>0</v>
      </c>
      <c r="L319" s="25">
        <f>IFERROR(INDEX('Aub Demand'!R:R,MATCH(O319,'Aub Demand'!A:A,0)),"")</f>
        <v>0</v>
      </c>
      <c r="O319" s="27" t="s">
        <v>540</v>
      </c>
      <c r="P319" s="27" t="str">
        <f>IFERROR(INDEX('Aub Demand'!B:B,MATCH($O319,'Aub Demand'!$A:$A,0)),"")</f>
        <v>CELERY FIBER</v>
      </c>
      <c r="Q319" s="27" t="str">
        <f>IFERROR(INDEX('Aub Demand'!C:C,MATCH($O319,'Aub Demand'!$A:$A,0)),"")</f>
        <v>SUDDE</v>
      </c>
      <c r="R319" s="52">
        <f>IFERROR(IF(AR320=AR319,INDEX('Aub Demand'!K:K,MATCH($O319,'Aub Demand'!$A:$A,0))-IF(AN319="",0,AN319)+AP320,INDEX('Aub Demand'!K:K,MATCH($O319,'Aub Demand'!$A:$A,0))-IF(AN319="",0,AN319)),"")</f>
        <v>1749</v>
      </c>
      <c r="S319" s="53" t="str">
        <f t="shared" si="112"/>
        <v>n/a</v>
      </c>
      <c r="T319" s="52" t="str">
        <f t="shared" si="113"/>
        <v/>
      </c>
      <c r="U319" s="52">
        <f>IFERROR(IF(AR320=AR319,INDEX('Aub Demand'!Q:Q,MATCH($O319,'Aub Demand'!$A:$A,0))-IF(AN319="",0,AN319)+AP320,INDEX('Aub Demand'!Q:Q,MATCH($O319,'Aub Demand'!$A:$A,0))-IF(AN319="",0,AN319)),"")</f>
        <v>1749</v>
      </c>
      <c r="V319" s="53" t="str">
        <f t="shared" si="114"/>
        <v>n/a</v>
      </c>
      <c r="W319" s="52" t="str">
        <f t="shared" si="115"/>
        <v/>
      </c>
      <c r="X319" s="52">
        <f>IFERROR(IF(AND(AR320=AR319,AM319&lt;&gt;""),INDEX('Aub Demand'!Q:Q,MATCH($O319,'Aub Demand'!$A:$A,0))-IF(AN319="",0,AN319)+AP320+AD319+AL319,IF(AR320=AR319,INDEX('Aub Demand'!Q:Q,MATCH($O319,'Aub Demand'!$A:$A,0))-IF(AN319="",0,AN319)+AP320+AD319,IF(AM319&lt;&gt;"",INDEX('Aub Demand'!Q:Q,MATCH($O319,'Aub Demand'!$A:$A,0))-IF(AN319="",0,AN319)+AD319+AL319,INDEX('Aub Demand'!Q:Q,MATCH($O319,'Aub Demand'!$A:$A,0))-IF(AN319="",0,AN319)+AD319))),"")</f>
        <v>1749</v>
      </c>
      <c r="Y319" s="53" t="str">
        <f t="shared" si="116"/>
        <v>n/a</v>
      </c>
      <c r="Z319" s="52">
        <f>IF(L319="","",INDEX('Aub Demand'!H:H,MATCH($O319,'Aub Demand'!$A:$A,0)))</f>
        <v>0</v>
      </c>
      <c r="AA319" s="52" t="str">
        <f t="shared" si="117"/>
        <v>-spike-</v>
      </c>
      <c r="AB319" s="52">
        <f>IFERROR(INDEX('Aub Demand'!L:L,MATCH($O319,'Aub Demand'!$A:$A,0)),"")</f>
        <v>42</v>
      </c>
      <c r="AC319" s="52">
        <f>IFERROR(IF(O319="","",SUMIFS('CPL Mats'!F:F,'CPL Mats'!Q:Q,AR319,'CPL Mats'!S:S,AS319)),"")</f>
        <v>0</v>
      </c>
      <c r="AF319" s="25" t="str">
        <f>IF(SUMIFS('Supp Consol'!S:S,'Supp Consol'!Y:Y,"Releasable",'Supp Consol'!A:A,O319)=0,"",SUMIFS('Supp Consol'!S:S,'Supp Consol'!Y:Y,"Releasable",'Supp Consol'!A:A,O319))</f>
        <v/>
      </c>
      <c r="AG319" s="25">
        <f>IFERROR(INDEX('Hun Demand'!Q:Q,MATCH(O319,'Hun Demand'!A:A,0)),"")</f>
        <v>794</v>
      </c>
      <c r="AH319" s="25">
        <f>IFERROR(INDEX('Hun Demand'!H:H,MATCH($O319,'Hun Demand'!$A:$A,0)),"")</f>
        <v>0</v>
      </c>
      <c r="AI319" s="25" t="str">
        <f>IF(SUMIFS('Supp Consol'!AA:AA,'Supp Consol'!Z:Z,"Expires this month",'Supp Consol'!A:A,O319)=0,"",SUMIFS('Supp Consol'!AA:AA,'Supp Consol'!Z:Z,"Expires this month",'Supp Consol'!A:A,O319))</f>
        <v/>
      </c>
      <c r="AJ319" s="25" t="str">
        <f>IF(SUMIFS('Supp Consol'!AA:AA,'Supp Consol'!Z:Z,"Expired Previous Months",'Supp Consol'!A:A,O319)=0,"",SUMIFS('Supp Consol'!AA:AA,'Supp Consol'!Z:Z,"Expired Previous Months",'Supp Consol'!A:A,O319))</f>
        <v/>
      </c>
      <c r="AK319" s="25" t="str">
        <f>IFERROR(INDEX('Hun Release Current'!B:B,MATCH(O319,'Hun Release Current'!A:A,0)),"")</f>
        <v/>
      </c>
      <c r="AL319" s="25" t="str">
        <f>IF(SUMIF('Prev Aub'!A:A,O319,'Prev Aub'!B:B)=0,"",SUMIF('Prev Aub'!A:A,O319,'Prev Aub'!B:B))</f>
        <v/>
      </c>
      <c r="AN319" s="25">
        <v>50</v>
      </c>
      <c r="AO319" s="25" t="s">
        <v>3891</v>
      </c>
      <c r="AP319" s="25">
        <f t="shared" si="118"/>
        <v>40</v>
      </c>
      <c r="AQ319" s="151" t="str">
        <f>IF(SUMIFS('Supp Consol'!S:S,'Supp Consol'!A:A,O319,'Supp Consol'!I:I,"PENDING")=0,"",SUMIFS('Supp Consol'!S:S,'Supp Consol'!A:A,O319,'Supp Consol'!I:I,"PENDING"))</f>
        <v/>
      </c>
      <c r="AR319" s="27" t="str">
        <f t="shared" si="119"/>
        <v>AV751</v>
      </c>
      <c r="AS319" s="27" t="str">
        <f t="shared" si="120"/>
        <v>62</v>
      </c>
      <c r="AT319" s="27" t="str">
        <f t="shared" si="121"/>
        <v/>
      </c>
      <c r="AU319" s="27" t="str">
        <f t="shared" si="122"/>
        <v/>
      </c>
      <c r="AV319" s="27" t="str">
        <f t="shared" si="123"/>
        <v/>
      </c>
      <c r="AW319" s="27" t="str">
        <f t="shared" si="124"/>
        <v/>
      </c>
      <c r="AX319" s="27" t="str">
        <f t="shared" si="125"/>
        <v/>
      </c>
      <c r="AY319" s="27" t="str">
        <f t="shared" si="126"/>
        <v>AV751</v>
      </c>
      <c r="AZ319" s="27" t="str">
        <f t="shared" si="127"/>
        <v/>
      </c>
      <c r="BA319" s="27" t="str">
        <f t="shared" si="128"/>
        <v>Hun</v>
      </c>
      <c r="BB319" s="27" t="str">
        <f t="shared" si="129"/>
        <v/>
      </c>
      <c r="BC319" s="27" t="str">
        <f t="shared" si="130"/>
        <v/>
      </c>
      <c r="BD319" s="27" t="str">
        <f t="shared" si="131"/>
        <v/>
      </c>
      <c r="BE319" s="27" t="str">
        <f t="shared" si="132"/>
        <v/>
      </c>
      <c r="BF319" s="27" t="str">
        <f t="shared" si="133"/>
        <v/>
      </c>
      <c r="BG319" s="27" t="str">
        <f t="shared" si="134"/>
        <v/>
      </c>
      <c r="BH319" s="27" t="str">
        <f t="shared" si="135"/>
        <v/>
      </c>
      <c r="BI319" s="27" t="str">
        <f t="shared" si="136"/>
        <v/>
      </c>
      <c r="BJ319" s="27" t="str">
        <f t="shared" si="137"/>
        <v>Supp or Hun</v>
      </c>
      <c r="BK319" s="27" t="str">
        <f t="shared" si="138"/>
        <v/>
      </c>
      <c r="BL319" s="27" t="str">
        <f t="shared" si="139"/>
        <v/>
      </c>
      <c r="BM319" s="21" t="s">
        <v>5581</v>
      </c>
    </row>
    <row r="320" spans="1:65" ht="15">
      <c r="A320" s="25" t="str">
        <f>IFERROR(INDEX('Hun Demand'!W:W,MATCH(O320,'Hun Demand'!A:A,0)),"")</f>
        <v/>
      </c>
      <c r="B320" s="25" t="str">
        <f>IFERROR(INDEX('Hun Demand'!V:V,MATCH(O320,'Hun Demand'!A:A,0)),"")</f>
        <v/>
      </c>
      <c r="C320" s="25" t="str">
        <f>IFERROR(INDEX('Hun Demand'!U:U,MATCH(O320,'Hun Demand'!A:A,0)),"")</f>
        <v/>
      </c>
      <c r="D320" s="25" t="str">
        <f>IFERROR(INDEX('Hun Demand'!T:T,MATCH(O320,'Hun Demand'!A:A,0)),"")</f>
        <v/>
      </c>
      <c r="E320" s="25" t="str">
        <f>IFERROR(INDEX('Hun Demand'!S:S,MATCH(O320,'Hun Demand'!A:A,0)),"")</f>
        <v/>
      </c>
      <c r="F320" s="25" t="str">
        <f>IFERROR(INDEX('Hun Demand'!R:R,MATCH(O320,'Hun Demand'!A:A,0)),"")</f>
        <v/>
      </c>
      <c r="G320" s="25">
        <f>IFERROR(INDEX('Aub Demand'!W:W,MATCH(O320,'Aub Demand'!A:A,0)),"")</f>
        <v>20</v>
      </c>
      <c r="H320" s="25">
        <f>IFERROR(INDEX('Aub Demand'!V:V,MATCH(O320,'Aub Demand'!A:A,0)),"")</f>
        <v>44</v>
      </c>
      <c r="I320" s="25">
        <f>IFERROR(INDEX('Aub Demand'!U:U,MATCH(O320,'Aub Demand'!A:A,0)),"")</f>
        <v>0</v>
      </c>
      <c r="J320" s="25">
        <f>IFERROR(INDEX('Aub Demand'!T:T,MATCH(O320,'Aub Demand'!A:A,0)),"")</f>
        <v>38</v>
      </c>
      <c r="K320" s="25">
        <f>IFERROR(INDEX('Aub Demand'!S:S,MATCH(O320,'Aub Demand'!A:A,0)),"")</f>
        <v>0</v>
      </c>
      <c r="L320" s="25">
        <f>IFERROR(INDEX('Aub Demand'!R:R,MATCH(O320,'Aub Demand'!A:A,0)),"")</f>
        <v>0</v>
      </c>
      <c r="O320" s="27" t="s">
        <v>541</v>
      </c>
      <c r="P320" s="27" t="str">
        <f>IFERROR(INDEX('Aub Demand'!B:B,MATCH($O320,'Aub Demand'!$A:$A,0)),"")</f>
        <v>AGEAN FRESCO</v>
      </c>
      <c r="Q320" s="27" t="str">
        <f>IFERROR(INDEX('Aub Demand'!C:C,MATCH($O320,'Aub Demand'!$A:$A,0)),"")</f>
        <v>INTER</v>
      </c>
      <c r="R320" s="52">
        <f>IFERROR(IF(AR321=AR320,INDEX('Aub Demand'!K:K,MATCH($O320,'Aub Demand'!$A:$A,0))-IF(AN320="",0,AN320)+AP321,INDEX('Aub Demand'!K:K,MATCH($O320,'Aub Demand'!$A:$A,0))-IF(AN320="",0,AN320)),"")</f>
        <v>0</v>
      </c>
      <c r="S320" s="53">
        <f t="shared" si="112"/>
        <v>0</v>
      </c>
      <c r="T320" s="52" t="str">
        <f t="shared" si="113"/>
        <v/>
      </c>
      <c r="U320" s="52">
        <f>IFERROR(IF(AR321=AR320,INDEX('Aub Demand'!Q:Q,MATCH($O320,'Aub Demand'!$A:$A,0))-IF(AN320="",0,AN320)+AP321,INDEX('Aub Demand'!Q:Q,MATCH($O320,'Aub Demand'!$A:$A,0))-IF(AN320="",0,AN320)),"")</f>
        <v>0</v>
      </c>
      <c r="V320" s="53">
        <f t="shared" si="114"/>
        <v>0</v>
      </c>
      <c r="W320" s="52" t="str">
        <f t="shared" si="115"/>
        <v/>
      </c>
      <c r="X320" s="52">
        <f>IFERROR(IF(AND(AR321=AR320,AM320&lt;&gt;""),INDEX('Aub Demand'!Q:Q,MATCH($O320,'Aub Demand'!$A:$A,0))-IF(AN320="",0,AN320)+AP321+AD320+AL320,IF(AR321=AR320,INDEX('Aub Demand'!Q:Q,MATCH($O320,'Aub Demand'!$A:$A,0))-IF(AN320="",0,AN320)+AP321+AD320,IF(AM320&lt;&gt;"",INDEX('Aub Demand'!Q:Q,MATCH($O320,'Aub Demand'!$A:$A,0))-IF(AN320="",0,AN320)+AD320+AL320,INDEX('Aub Demand'!Q:Q,MATCH($O320,'Aub Demand'!$A:$A,0))-IF(AN320="",0,AN320)+AD320))),"")</f>
        <v>0</v>
      </c>
      <c r="Y320" s="53">
        <f t="shared" si="116"/>
        <v>0</v>
      </c>
      <c r="Z320" s="52">
        <f>IF(L320="","",INDEX('Aub Demand'!H:H,MATCH($O320,'Aub Demand'!$A:$A,0)))</f>
        <v>13</v>
      </c>
      <c r="AA320" s="52" t="str">
        <f t="shared" si="117"/>
        <v>-spike-</v>
      </c>
      <c r="AB320" s="52">
        <f>IFERROR(INDEX('Aub Demand'!L:L,MATCH($O320,'Aub Demand'!$A:$A,0)),"")</f>
        <v>54</v>
      </c>
      <c r="AC320" s="52">
        <f>IFERROR(IF(O320="","",SUMIFS('CPL Mats'!F:F,'CPL Mats'!Q:Q,AR320,'CPL Mats'!S:S,AS320)),"")</f>
        <v>0</v>
      </c>
      <c r="AF320" s="25" t="str">
        <f>IF(SUMIFS('Supp Consol'!S:S,'Supp Consol'!Y:Y,"Releasable",'Supp Consol'!A:A,O320)=0,"",SUMIFS('Supp Consol'!S:S,'Supp Consol'!Y:Y,"Releasable",'Supp Consol'!A:A,O320))</f>
        <v/>
      </c>
      <c r="AG320" s="25" t="str">
        <f>IFERROR(INDEX('Hun Demand'!Q:Q,MATCH(O320,'Hun Demand'!A:A,0)),"")</f>
        <v/>
      </c>
      <c r="AH320" s="25" t="str">
        <f>IFERROR(INDEX('Hun Demand'!H:H,MATCH($O320,'Hun Demand'!$A:$A,0)),"")</f>
        <v/>
      </c>
      <c r="AI320" s="25" t="str">
        <f>IF(SUMIFS('Supp Consol'!AA:AA,'Supp Consol'!Z:Z,"Expires this month",'Supp Consol'!A:A,O320)=0,"",SUMIFS('Supp Consol'!AA:AA,'Supp Consol'!Z:Z,"Expires this month",'Supp Consol'!A:A,O320))</f>
        <v/>
      </c>
      <c r="AJ320" s="25" t="str">
        <f>IF(SUMIFS('Supp Consol'!AA:AA,'Supp Consol'!Z:Z,"Expired Previous Months",'Supp Consol'!A:A,O320)=0,"",SUMIFS('Supp Consol'!AA:AA,'Supp Consol'!Z:Z,"Expired Previous Months",'Supp Consol'!A:A,O320))</f>
        <v/>
      </c>
      <c r="AK320" s="25" t="str">
        <f>IFERROR(INDEX('Hun Release Current'!B:B,MATCH(O320,'Hun Release Current'!A:A,0)),"")</f>
        <v/>
      </c>
      <c r="AL320" s="25" t="str">
        <f>IF(SUMIF('Prev Aub'!A:A,O320,'Prev Aub'!B:B)=0,"",SUMIF('Prev Aub'!A:A,O320,'Prev Aub'!B:B))</f>
        <v/>
      </c>
      <c r="AN320" s="25" t="s">
        <v>3790</v>
      </c>
      <c r="AO320" s="25" t="s">
        <v>3790</v>
      </c>
      <c r="AP320" s="25">
        <f t="shared" si="118"/>
        <v>0</v>
      </c>
      <c r="AQ320" s="151" t="str">
        <f>IF(SUMIFS('Supp Consol'!S:S,'Supp Consol'!A:A,O320,'Supp Consol'!I:I,"PENDING")=0,"",SUMIFS('Supp Consol'!S:S,'Supp Consol'!A:A,O320,'Supp Consol'!I:I,"PENDING"))</f>
        <v/>
      </c>
      <c r="AR320" s="27" t="str">
        <f t="shared" si="119"/>
        <v>AV771</v>
      </c>
      <c r="AS320" s="27" t="str">
        <f t="shared" si="120"/>
        <v>50</v>
      </c>
      <c r="AT320" s="27" t="str">
        <f t="shared" si="121"/>
        <v>AV771</v>
      </c>
      <c r="AU320" s="27" t="str">
        <f t="shared" si="122"/>
        <v>AV771</v>
      </c>
      <c r="AV320" s="27" t="str">
        <f t="shared" si="123"/>
        <v>AV771</v>
      </c>
      <c r="AW320" s="27" t="str">
        <f t="shared" si="124"/>
        <v/>
      </c>
      <c r="AX320" s="27" t="str">
        <f t="shared" si="125"/>
        <v/>
      </c>
      <c r="AY320" s="27" t="str">
        <f t="shared" si="126"/>
        <v/>
      </c>
      <c r="AZ320" s="27" t="str">
        <f t="shared" si="127"/>
        <v/>
      </c>
      <c r="BA320" s="27" t="str">
        <f t="shared" si="128"/>
        <v/>
      </c>
      <c r="BB320" s="27" t="str">
        <f t="shared" si="129"/>
        <v>Gross</v>
      </c>
      <c r="BC320" s="27" t="str">
        <f t="shared" si="130"/>
        <v>Net</v>
      </c>
      <c r="BD320" s="27" t="str">
        <f t="shared" si="131"/>
        <v>Net</v>
      </c>
      <c r="BE320" s="27" t="str">
        <f t="shared" si="132"/>
        <v/>
      </c>
      <c r="BF320" s="27" t="str">
        <f t="shared" si="133"/>
        <v/>
      </c>
      <c r="BG320" s="27" t="str">
        <f t="shared" si="134"/>
        <v/>
      </c>
      <c r="BH320" s="27" t="str">
        <f t="shared" si="135"/>
        <v/>
      </c>
      <c r="BI320" s="27" t="str">
        <f t="shared" si="136"/>
        <v/>
      </c>
      <c r="BJ320" s="27" t="str">
        <f t="shared" si="137"/>
        <v/>
      </c>
      <c r="BK320" s="27" t="str">
        <f t="shared" si="138"/>
        <v/>
      </c>
      <c r="BL320" s="27" t="str">
        <f t="shared" si="139"/>
        <v/>
      </c>
      <c r="BM320" s="21" t="s">
        <v>3790</v>
      </c>
    </row>
    <row r="321" spans="1:65" ht="15">
      <c r="A321" s="25" t="str">
        <f>IFERROR(INDEX('Hun Demand'!W:W,MATCH(O321,'Hun Demand'!A:A,0)),"")</f>
        <v/>
      </c>
      <c r="B321" s="25" t="str">
        <f>IFERROR(INDEX('Hun Demand'!V:V,MATCH(O321,'Hun Demand'!A:A,0)),"")</f>
        <v/>
      </c>
      <c r="C321" s="25" t="str">
        <f>IFERROR(INDEX('Hun Demand'!U:U,MATCH(O321,'Hun Demand'!A:A,0)),"")</f>
        <v/>
      </c>
      <c r="D321" s="25" t="str">
        <f>IFERROR(INDEX('Hun Demand'!T:T,MATCH(O321,'Hun Demand'!A:A,0)),"")</f>
        <v/>
      </c>
      <c r="E321" s="25" t="str">
        <f>IFERROR(INDEX('Hun Demand'!S:S,MATCH(O321,'Hun Demand'!A:A,0)),"")</f>
        <v/>
      </c>
      <c r="F321" s="25" t="str">
        <f>IFERROR(INDEX('Hun Demand'!R:R,MATCH(O321,'Hun Demand'!A:A,0)),"")</f>
        <v/>
      </c>
      <c r="G321" s="25">
        <f>IFERROR(INDEX('Aub Demand'!W:W,MATCH(O321,'Aub Demand'!A:A,0)),"")</f>
        <v>18</v>
      </c>
      <c r="H321" s="25">
        <f>IFERROR(INDEX('Aub Demand'!V:V,MATCH(O321,'Aub Demand'!A:A,0)),"")</f>
        <v>0</v>
      </c>
      <c r="I321" s="25">
        <f>IFERROR(INDEX('Aub Demand'!U:U,MATCH(O321,'Aub Demand'!A:A,0)),"")</f>
        <v>0</v>
      </c>
      <c r="J321" s="25">
        <f>IFERROR(INDEX('Aub Demand'!T:T,MATCH(O321,'Aub Demand'!A:A,0)),"")</f>
        <v>0</v>
      </c>
      <c r="K321" s="25">
        <f>IFERROR(INDEX('Aub Demand'!S:S,MATCH(O321,'Aub Demand'!A:A,0)),"")</f>
        <v>0</v>
      </c>
      <c r="L321" s="25">
        <f>IFERROR(INDEX('Aub Demand'!R:R,MATCH(O321,'Aub Demand'!A:A,0)),"")</f>
        <v>0</v>
      </c>
      <c r="O321" s="27" t="s">
        <v>543</v>
      </c>
      <c r="P321" s="27" t="str">
        <f>IFERROR(INDEX('Aub Demand'!B:B,MATCH($O321,'Aub Demand'!$A:$A,0)),"")</f>
        <v>AGEAN FRESCO</v>
      </c>
      <c r="Q321" s="27" t="str">
        <f>IFERROR(INDEX('Aub Demand'!C:C,MATCH($O321,'Aub Demand'!$A:$A,0)),"")</f>
        <v>INTER</v>
      </c>
      <c r="R321" s="52">
        <f>IFERROR(IF(AR322=AR321,INDEX('Aub Demand'!K:K,MATCH($O321,'Aub Demand'!$A:$A,0))-IF(AN321="",0,AN321)+AP322,INDEX('Aub Demand'!K:K,MATCH($O321,'Aub Demand'!$A:$A,0))-IF(AN321="",0,AN321)),"")</f>
        <v>213</v>
      </c>
      <c r="S321" s="53" t="str">
        <f t="shared" si="112"/>
        <v>n/a</v>
      </c>
      <c r="T321" s="52" t="str">
        <f t="shared" si="113"/>
        <v/>
      </c>
      <c r="U321" s="52">
        <f>IFERROR(IF(AR322=AR321,INDEX('Aub Demand'!Q:Q,MATCH($O321,'Aub Demand'!$A:$A,0))-IF(AN321="",0,AN321)+AP322,INDEX('Aub Demand'!Q:Q,MATCH($O321,'Aub Demand'!$A:$A,0))-IF(AN321="",0,AN321)),"")</f>
        <v>213</v>
      </c>
      <c r="V321" s="53" t="str">
        <f t="shared" si="114"/>
        <v>n/a</v>
      </c>
      <c r="W321" s="52" t="str">
        <f t="shared" si="115"/>
        <v/>
      </c>
      <c r="X321" s="52">
        <f>IFERROR(IF(AND(AR322=AR321,AM321&lt;&gt;""),INDEX('Aub Demand'!Q:Q,MATCH($O321,'Aub Demand'!$A:$A,0))-IF(AN321="",0,AN321)+AP322+AD321+AL321,IF(AR322=AR321,INDEX('Aub Demand'!Q:Q,MATCH($O321,'Aub Demand'!$A:$A,0))-IF(AN321="",0,AN321)+AP322+AD321,IF(AM321&lt;&gt;"",INDEX('Aub Demand'!Q:Q,MATCH($O321,'Aub Demand'!$A:$A,0))-IF(AN321="",0,AN321)+AD321+AL321,INDEX('Aub Demand'!Q:Q,MATCH($O321,'Aub Demand'!$A:$A,0))-IF(AN321="",0,AN321)+AD321))),"")</f>
        <v>213</v>
      </c>
      <c r="Y321" s="53" t="str">
        <f t="shared" si="116"/>
        <v>n/a</v>
      </c>
      <c r="Z321" s="52">
        <f>IF(L321="","",INDEX('Aub Demand'!H:H,MATCH($O321,'Aub Demand'!$A:$A,0)))</f>
        <v>0</v>
      </c>
      <c r="AA321" s="52" t="str">
        <f t="shared" si="117"/>
        <v>-spike-</v>
      </c>
      <c r="AB321" s="52">
        <f>IFERROR(INDEX('Aub Demand'!L:L,MATCH($O321,'Aub Demand'!$A:$A,0)),"")</f>
        <v>4</v>
      </c>
      <c r="AC321" s="52">
        <f>IFERROR(IF(O321="","",SUMIFS('CPL Mats'!F:F,'CPL Mats'!Q:Q,AR321,'CPL Mats'!S:S,AS321)),"")</f>
        <v>0</v>
      </c>
      <c r="AF321" s="25" t="str">
        <f>IF(SUMIFS('Supp Consol'!S:S,'Supp Consol'!Y:Y,"Releasable",'Supp Consol'!A:A,O321)=0,"",SUMIFS('Supp Consol'!S:S,'Supp Consol'!Y:Y,"Releasable",'Supp Consol'!A:A,O321))</f>
        <v/>
      </c>
      <c r="AG321" s="25" t="str">
        <f>IFERROR(INDEX('Hun Demand'!Q:Q,MATCH(O321,'Hun Demand'!A:A,0)),"")</f>
        <v/>
      </c>
      <c r="AH321" s="25" t="str">
        <f>IFERROR(INDEX('Hun Demand'!H:H,MATCH($O321,'Hun Demand'!$A:$A,0)),"")</f>
        <v/>
      </c>
      <c r="AI321" s="25" t="str">
        <f>IF(SUMIFS('Supp Consol'!AA:AA,'Supp Consol'!Z:Z,"Expires this month",'Supp Consol'!A:A,O321)=0,"",SUMIFS('Supp Consol'!AA:AA,'Supp Consol'!Z:Z,"Expires this month",'Supp Consol'!A:A,O321))</f>
        <v/>
      </c>
      <c r="AJ321" s="25" t="str">
        <f>IF(SUMIFS('Supp Consol'!AA:AA,'Supp Consol'!Z:Z,"Expired Previous Months",'Supp Consol'!A:A,O321)=0,"",SUMIFS('Supp Consol'!AA:AA,'Supp Consol'!Z:Z,"Expired Previous Months",'Supp Consol'!A:A,O321))</f>
        <v/>
      </c>
      <c r="AK321" s="25" t="str">
        <f>IFERROR(INDEX('Hun Release Current'!B:B,MATCH(O321,'Hun Release Current'!A:A,0)),"")</f>
        <v/>
      </c>
      <c r="AL321" s="25" t="str">
        <f>IF(SUMIF('Prev Aub'!A:A,O321,'Prev Aub'!B:B)=0,"",SUMIF('Prev Aub'!A:A,O321,'Prev Aub'!B:B))</f>
        <v/>
      </c>
      <c r="AN321" s="25" t="s">
        <v>3790</v>
      </c>
      <c r="AO321" s="25" t="s">
        <v>3790</v>
      </c>
      <c r="AP321" s="25">
        <f t="shared" si="118"/>
        <v>0</v>
      </c>
      <c r="AQ321" s="151" t="str">
        <f>IF(SUMIFS('Supp Consol'!S:S,'Supp Consol'!A:A,O321,'Supp Consol'!I:I,"PENDING")=0,"",SUMIFS('Supp Consol'!S:S,'Supp Consol'!A:A,O321,'Supp Consol'!I:I,"PENDING"))</f>
        <v/>
      </c>
      <c r="AR321" s="27" t="str">
        <f t="shared" si="119"/>
        <v>AV771</v>
      </c>
      <c r="AS321" s="27" t="str">
        <f t="shared" si="120"/>
        <v>62</v>
      </c>
      <c r="AT321" s="27" t="str">
        <f t="shared" si="121"/>
        <v/>
      </c>
      <c r="AU321" s="27" t="str">
        <f t="shared" si="122"/>
        <v/>
      </c>
      <c r="AV321" s="27" t="str">
        <f t="shared" si="123"/>
        <v/>
      </c>
      <c r="AW321" s="27" t="str">
        <f t="shared" si="124"/>
        <v/>
      </c>
      <c r="AX321" s="27" t="str">
        <f t="shared" si="125"/>
        <v/>
      </c>
      <c r="AY321" s="27" t="str">
        <f t="shared" si="126"/>
        <v/>
      </c>
      <c r="AZ321" s="27" t="str">
        <f t="shared" si="127"/>
        <v/>
      </c>
      <c r="BA321" s="27" t="str">
        <f t="shared" si="128"/>
        <v/>
      </c>
      <c r="BB321" s="27" t="str">
        <f t="shared" si="129"/>
        <v>Gross</v>
      </c>
      <c r="BC321" s="27" t="str">
        <f t="shared" si="130"/>
        <v>Net</v>
      </c>
      <c r="BD321" s="27" t="str">
        <f t="shared" si="131"/>
        <v>Net</v>
      </c>
      <c r="BE321" s="27" t="str">
        <f t="shared" si="132"/>
        <v/>
      </c>
      <c r="BF321" s="27" t="str">
        <f t="shared" si="133"/>
        <v/>
      </c>
      <c r="BG321" s="27" t="str">
        <f t="shared" si="134"/>
        <v/>
      </c>
      <c r="BH321" s="27" t="str">
        <f t="shared" si="135"/>
        <v/>
      </c>
      <c r="BI321" s="27" t="str">
        <f t="shared" si="136"/>
        <v/>
      </c>
      <c r="BJ321" s="27" t="str">
        <f t="shared" si="137"/>
        <v/>
      </c>
      <c r="BK321" s="27" t="str">
        <f t="shared" si="138"/>
        <v/>
      </c>
      <c r="BL321" s="27" t="str">
        <f t="shared" si="139"/>
        <v/>
      </c>
      <c r="BM321" s="21" t="s">
        <v>5581</v>
      </c>
    </row>
    <row r="322" spans="1:65" ht="15">
      <c r="A322" s="25" t="str">
        <f>IFERROR(INDEX('Hun Demand'!W:W,MATCH(O322,'Hun Demand'!A:A,0)),"")</f>
        <v/>
      </c>
      <c r="B322" s="25" t="str">
        <f>IFERROR(INDEX('Hun Demand'!V:V,MATCH(O322,'Hun Demand'!A:A,0)),"")</f>
        <v/>
      </c>
      <c r="C322" s="25" t="str">
        <f>IFERROR(INDEX('Hun Demand'!U:U,MATCH(O322,'Hun Demand'!A:A,0)),"")</f>
        <v/>
      </c>
      <c r="D322" s="25" t="str">
        <f>IFERROR(INDEX('Hun Demand'!T:T,MATCH(O322,'Hun Demand'!A:A,0)),"")</f>
        <v/>
      </c>
      <c r="E322" s="25" t="str">
        <f>IFERROR(INDEX('Hun Demand'!S:S,MATCH(O322,'Hun Demand'!A:A,0)),"")</f>
        <v/>
      </c>
      <c r="F322" s="25" t="str">
        <f>IFERROR(INDEX('Hun Demand'!R:R,MATCH(O322,'Hun Demand'!A:A,0)),"")</f>
        <v/>
      </c>
      <c r="G322" s="25">
        <f>IFERROR(INDEX('Aub Demand'!W:W,MATCH(O322,'Aub Demand'!A:A,0)),"")</f>
        <v>6</v>
      </c>
      <c r="H322" s="25">
        <f>IFERROR(INDEX('Aub Demand'!V:V,MATCH(O322,'Aub Demand'!A:A,0)),"")</f>
        <v>0</v>
      </c>
      <c r="I322" s="25">
        <f>IFERROR(INDEX('Aub Demand'!U:U,MATCH(O322,'Aub Demand'!A:A,0)),"")</f>
        <v>0</v>
      </c>
      <c r="J322" s="25">
        <f>IFERROR(INDEX('Aub Demand'!T:T,MATCH(O322,'Aub Demand'!A:A,0)),"")</f>
        <v>0</v>
      </c>
      <c r="K322" s="25">
        <f>IFERROR(INDEX('Aub Demand'!S:S,MATCH(O322,'Aub Demand'!A:A,0)),"")</f>
        <v>0</v>
      </c>
      <c r="L322" s="25">
        <f>IFERROR(INDEX('Aub Demand'!R:R,MATCH(O322,'Aub Demand'!A:A,0)),"")</f>
        <v>10</v>
      </c>
      <c r="O322" s="27" t="s">
        <v>545</v>
      </c>
      <c r="P322" s="27" t="str">
        <f>IFERROR(INDEX('Aub Demand'!B:B,MATCH($O322,'Aub Demand'!$A:$A,0)),"")</f>
        <v>SAGE CORAL</v>
      </c>
      <c r="Q322" s="27" t="str">
        <f>IFERROR(INDEX('Aub Demand'!C:C,MATCH($O322,'Aub Demand'!$A:$A,0)),"")</f>
        <v>INTER</v>
      </c>
      <c r="R322" s="52">
        <f>IFERROR(IF(AR323=AR322,INDEX('Aub Demand'!K:K,MATCH($O322,'Aub Demand'!$A:$A,0))-IF(AN322="",0,AN322)+AP323,INDEX('Aub Demand'!K:K,MATCH($O322,'Aub Demand'!$A:$A,0))-IF(AN322="",0,AN322)),"")</f>
        <v>800</v>
      </c>
      <c r="S322" s="53" t="str">
        <f t="shared" si="112"/>
        <v>n/a</v>
      </c>
      <c r="T322" s="52" t="str">
        <f t="shared" si="113"/>
        <v/>
      </c>
      <c r="U322" s="52">
        <f>IFERROR(IF(AR323=AR322,INDEX('Aub Demand'!Q:Q,MATCH($O322,'Aub Demand'!$A:$A,0))-IF(AN322="",0,AN322)+AP323,INDEX('Aub Demand'!Q:Q,MATCH($O322,'Aub Demand'!$A:$A,0))-IF(AN322="",0,AN322)),"")</f>
        <v>793</v>
      </c>
      <c r="V322" s="53" t="str">
        <f t="shared" si="114"/>
        <v>n/a</v>
      </c>
      <c r="W322" s="52" t="str">
        <f t="shared" si="115"/>
        <v/>
      </c>
      <c r="X322" s="52">
        <f>IFERROR(IF(AND(AR323=AR322,AM322&lt;&gt;""),INDEX('Aub Demand'!Q:Q,MATCH($O322,'Aub Demand'!$A:$A,0))-IF(AN322="",0,AN322)+AP323+AD322+AL322,IF(AR323=AR322,INDEX('Aub Demand'!Q:Q,MATCH($O322,'Aub Demand'!$A:$A,0))-IF(AN322="",0,AN322)+AP323+AD322,IF(AM322&lt;&gt;"",INDEX('Aub Demand'!Q:Q,MATCH($O322,'Aub Demand'!$A:$A,0))-IF(AN322="",0,AN322)+AD322+AL322,INDEX('Aub Demand'!Q:Q,MATCH($O322,'Aub Demand'!$A:$A,0))-IF(AN322="",0,AN322)+AD322))),"")</f>
        <v>793</v>
      </c>
      <c r="Y322" s="53" t="str">
        <f t="shared" si="116"/>
        <v>n/a</v>
      </c>
      <c r="Z322" s="52">
        <f>IF(L322="","",INDEX('Aub Demand'!H:H,MATCH($O322,'Aub Demand'!$A:$A,0)))</f>
        <v>0</v>
      </c>
      <c r="AA322" s="52" t="str">
        <f t="shared" si="117"/>
        <v>-spike-</v>
      </c>
      <c r="AB322" s="52">
        <f>IFERROR(INDEX('Aub Demand'!L:L,MATCH($O322,'Aub Demand'!$A:$A,0)),"")</f>
        <v>10</v>
      </c>
      <c r="AC322" s="52">
        <f>IFERROR(IF(O322="","",SUMIFS('CPL Mats'!F:F,'CPL Mats'!Q:Q,AR322,'CPL Mats'!S:S,AS322)),"")</f>
        <v>0</v>
      </c>
      <c r="AF322" s="25" t="str">
        <f>IF(SUMIFS('Supp Consol'!S:S,'Supp Consol'!Y:Y,"Releasable",'Supp Consol'!A:A,O322)=0,"",SUMIFS('Supp Consol'!S:S,'Supp Consol'!Y:Y,"Releasable",'Supp Consol'!A:A,O322))</f>
        <v/>
      </c>
      <c r="AG322" s="25" t="str">
        <f>IFERROR(INDEX('Hun Demand'!Q:Q,MATCH(O322,'Hun Demand'!A:A,0)),"")</f>
        <v/>
      </c>
      <c r="AH322" s="25" t="str">
        <f>IFERROR(INDEX('Hun Demand'!H:H,MATCH($O322,'Hun Demand'!$A:$A,0)),"")</f>
        <v/>
      </c>
      <c r="AI322" s="25" t="str">
        <f>IF(SUMIFS('Supp Consol'!AA:AA,'Supp Consol'!Z:Z,"Expires this month",'Supp Consol'!A:A,O322)=0,"",SUMIFS('Supp Consol'!AA:AA,'Supp Consol'!Z:Z,"Expires this month",'Supp Consol'!A:A,O322))</f>
        <v/>
      </c>
      <c r="AJ322" s="25" t="str">
        <f>IF(SUMIFS('Supp Consol'!AA:AA,'Supp Consol'!Z:Z,"Expired Previous Months",'Supp Consol'!A:A,O322)=0,"",SUMIFS('Supp Consol'!AA:AA,'Supp Consol'!Z:Z,"Expired Previous Months",'Supp Consol'!A:A,O322))</f>
        <v/>
      </c>
      <c r="AK322" s="25" t="str">
        <f>IFERROR(INDEX('Hun Release Current'!B:B,MATCH(O322,'Hun Release Current'!A:A,0)),"")</f>
        <v/>
      </c>
      <c r="AL322" s="25" t="str">
        <f>IF(SUMIF('Prev Aub'!A:A,O322,'Prev Aub'!B:B)=0,"",SUMIF('Prev Aub'!A:A,O322,'Prev Aub'!B:B))</f>
        <v/>
      </c>
      <c r="AN322" s="25" t="s">
        <v>3790</v>
      </c>
      <c r="AO322" s="25" t="s">
        <v>3790</v>
      </c>
      <c r="AP322" s="25">
        <f t="shared" si="118"/>
        <v>0</v>
      </c>
      <c r="AQ322" s="151" t="str">
        <f>IF(SUMIFS('Supp Consol'!S:S,'Supp Consol'!A:A,O322,'Supp Consol'!I:I,"PENDING")=0,"",SUMIFS('Supp Consol'!S:S,'Supp Consol'!A:A,O322,'Supp Consol'!I:I,"PENDING"))</f>
        <v/>
      </c>
      <c r="AR322" s="27" t="str">
        <f t="shared" si="119"/>
        <v>AV781</v>
      </c>
      <c r="AS322" s="27" t="str">
        <f t="shared" si="120"/>
        <v>50</v>
      </c>
      <c r="AT322" s="27" t="str">
        <f t="shared" si="121"/>
        <v/>
      </c>
      <c r="AU322" s="27" t="str">
        <f t="shared" si="122"/>
        <v/>
      </c>
      <c r="AV322" s="27" t="str">
        <f t="shared" si="123"/>
        <v/>
      </c>
      <c r="AW322" s="27" t="str">
        <f t="shared" si="124"/>
        <v/>
      </c>
      <c r="AX322" s="27" t="str">
        <f t="shared" si="125"/>
        <v/>
      </c>
      <c r="AY322" s="27" t="str">
        <f t="shared" si="126"/>
        <v/>
      </c>
      <c r="AZ322" s="27" t="str">
        <f t="shared" si="127"/>
        <v>Supp</v>
      </c>
      <c r="BA322" s="27" t="str">
        <f t="shared" si="128"/>
        <v/>
      </c>
      <c r="BB322" s="27" t="str">
        <f t="shared" si="129"/>
        <v/>
      </c>
      <c r="BC322" s="27" t="str">
        <f t="shared" si="130"/>
        <v/>
      </c>
      <c r="BD322" s="27" t="str">
        <f t="shared" si="131"/>
        <v/>
      </c>
      <c r="BE322" s="27" t="str">
        <f t="shared" si="132"/>
        <v/>
      </c>
      <c r="BF322" s="27" t="str">
        <f t="shared" si="133"/>
        <v/>
      </c>
      <c r="BG322" s="27" t="str">
        <f t="shared" si="134"/>
        <v/>
      </c>
      <c r="BH322" s="27" t="str">
        <f t="shared" si="135"/>
        <v/>
      </c>
      <c r="BI322" s="27" t="str">
        <f t="shared" si="136"/>
        <v/>
      </c>
      <c r="BJ322" s="27" t="str">
        <f t="shared" si="137"/>
        <v>Supp or Hun</v>
      </c>
      <c r="BK322" s="27" t="str">
        <f t="shared" si="138"/>
        <v/>
      </c>
      <c r="BL322" s="27" t="str">
        <f t="shared" si="139"/>
        <v/>
      </c>
      <c r="BM322" s="21" t="s">
        <v>5581</v>
      </c>
    </row>
    <row r="323" spans="1:65" ht="15">
      <c r="A323" s="25" t="str">
        <f>IFERROR(INDEX('Hun Demand'!W:W,MATCH(O323,'Hun Demand'!A:A,0)),"")</f>
        <v/>
      </c>
      <c r="B323" s="25" t="str">
        <f>IFERROR(INDEX('Hun Demand'!V:V,MATCH(O323,'Hun Demand'!A:A,0)),"")</f>
        <v/>
      </c>
      <c r="C323" s="25" t="str">
        <f>IFERROR(INDEX('Hun Demand'!U:U,MATCH(O323,'Hun Demand'!A:A,0)),"")</f>
        <v/>
      </c>
      <c r="D323" s="25" t="str">
        <f>IFERROR(INDEX('Hun Demand'!T:T,MATCH(O323,'Hun Demand'!A:A,0)),"")</f>
        <v/>
      </c>
      <c r="E323" s="25" t="str">
        <f>IFERROR(INDEX('Hun Demand'!S:S,MATCH(O323,'Hun Demand'!A:A,0)),"")</f>
        <v/>
      </c>
      <c r="F323" s="25" t="str">
        <f>IFERROR(INDEX('Hun Demand'!R:R,MATCH(O323,'Hun Demand'!A:A,0)),"")</f>
        <v/>
      </c>
      <c r="G323" s="25">
        <f>IFERROR(INDEX('Aub Demand'!W:W,MATCH(O323,'Aub Demand'!A:A,0)),"")</f>
        <v>9</v>
      </c>
      <c r="H323" s="25">
        <f>IFERROR(INDEX('Aub Demand'!V:V,MATCH(O323,'Aub Demand'!A:A,0)),"")</f>
        <v>0</v>
      </c>
      <c r="I323" s="25">
        <f>IFERROR(INDEX('Aub Demand'!U:U,MATCH(O323,'Aub Demand'!A:A,0)),"")</f>
        <v>22</v>
      </c>
      <c r="J323" s="25">
        <f>IFERROR(INDEX('Aub Demand'!T:T,MATCH(O323,'Aub Demand'!A:A,0)),"")</f>
        <v>21</v>
      </c>
      <c r="K323" s="25">
        <f>IFERROR(INDEX('Aub Demand'!S:S,MATCH(O323,'Aub Demand'!A:A,0)),"")</f>
        <v>0</v>
      </c>
      <c r="L323" s="25">
        <f>IFERROR(INDEX('Aub Demand'!R:R,MATCH(O323,'Aub Demand'!A:A,0)),"")</f>
        <v>58</v>
      </c>
      <c r="O323" s="27" t="s">
        <v>547</v>
      </c>
      <c r="P323" s="27" t="str">
        <f>IFERROR(INDEX('Aub Demand'!B:B,MATCH($O323,'Aub Demand'!$A:$A,0)),"")</f>
        <v>SAGE CORAL</v>
      </c>
      <c r="Q323" s="27" t="str">
        <f>IFERROR(INDEX('Aub Demand'!C:C,MATCH($O323,'Aub Demand'!$A:$A,0)),"")</f>
        <v>INTER</v>
      </c>
      <c r="R323" s="52">
        <f>IFERROR(IF(AR324=AR323,INDEX('Aub Demand'!K:K,MATCH($O323,'Aub Demand'!$A:$A,0))-IF(AN323="",0,AN323)+AP324,INDEX('Aub Demand'!K:K,MATCH($O323,'Aub Demand'!$A:$A,0))-IF(AN323="",0,AN323)),"")</f>
        <v>1538</v>
      </c>
      <c r="S323" s="53">
        <f t="shared" ref="S323:S386" si="140">IFERROR(IF(O323="","",ROUND(R323/((Z323/30)*7),1)),"n/a")</f>
        <v>470.8</v>
      </c>
      <c r="T323" s="52" t="str">
        <f t="shared" ref="T323:T386" si="141">IFERROR(IF(S323&lt;3.1,IF(AA323="spike",(3-S323)*(Z323/4),(3-S323)*(AA323/4)),""),"")</f>
        <v/>
      </c>
      <c r="U323" s="52">
        <f>IFERROR(IF(AR324=AR323,INDEX('Aub Demand'!Q:Q,MATCH($O323,'Aub Demand'!$A:$A,0))-IF(AN323="",0,AN323)+AP324,INDEX('Aub Demand'!Q:Q,MATCH($O323,'Aub Demand'!$A:$A,0))-IF(AN323="",0,AN323)),"")</f>
        <v>1528</v>
      </c>
      <c r="V323" s="53">
        <f t="shared" ref="V323:V386" si="142">IFERROR(IF(O323="","",ROUND(U323/((Z323/30)*7),1)),"n/a")</f>
        <v>467.8</v>
      </c>
      <c r="W323" s="52" t="str">
        <f t="shared" ref="W323:W386" si="143">IF(IFERROR(IF(V323&lt;3.1,IF(AA323="spike",(3-V323)*(Z323/4),(3-V323)*(AA323/4)),""),"")&lt;0,0,IFERROR(IF(V323&lt;3.1,IF(AA323="spike",(3-V323)*(Z323/4),(3-V323)*(AA323/4)),""),""))</f>
        <v/>
      </c>
      <c r="X323" s="52">
        <f>IFERROR(IF(AND(AR324=AR323,AM323&lt;&gt;""),INDEX('Aub Demand'!Q:Q,MATCH($O323,'Aub Demand'!$A:$A,0))-IF(AN323="",0,AN323)+AP324+AD323+AL323,IF(AR324=AR323,INDEX('Aub Demand'!Q:Q,MATCH($O323,'Aub Demand'!$A:$A,0))-IF(AN323="",0,AN323)+AP324+AD323,IF(AM323&lt;&gt;"",INDEX('Aub Demand'!Q:Q,MATCH($O323,'Aub Demand'!$A:$A,0))-IF(AN323="",0,AN323)+AD323+AL323,INDEX('Aub Demand'!Q:Q,MATCH($O323,'Aub Demand'!$A:$A,0))-IF(AN323="",0,AN323)+AD323))),"")</f>
        <v>1528</v>
      </c>
      <c r="Y323" s="53">
        <f t="shared" ref="Y323:Y386" si="144">IFERROR(IF(O323="","",ROUND(X323/((Z323/30)*7),1)),"n/a")</f>
        <v>467.8</v>
      </c>
      <c r="Z323" s="52">
        <f>IF(L323="","",INDEX('Aub Demand'!H:H,MATCH($O323,'Aub Demand'!$A:$A,0)))</f>
        <v>14</v>
      </c>
      <c r="AA323" s="52">
        <f t="shared" ref="AA323:AA386" si="145">IF(L323="","",IF(LARGE(I323:L323,2)=0,"-spike-",AVERAGE(LARGE(I323:L323,1),LARGE(I323:L323,2))))</f>
        <v>40</v>
      </c>
      <c r="AB323" s="52">
        <f>IFERROR(INDEX('Aub Demand'!L:L,MATCH($O323,'Aub Demand'!$A:$A,0)),"")</f>
        <v>6</v>
      </c>
      <c r="AC323" s="52">
        <f>IFERROR(IF(O323="","",SUMIFS('CPL Mats'!F:F,'CPL Mats'!Q:Q,AR323,'CPL Mats'!S:S,AS323)),"")</f>
        <v>0</v>
      </c>
      <c r="AF323" s="25">
        <f>IF(SUMIFS('Supp Consol'!S:S,'Supp Consol'!Y:Y,"Releasable",'Supp Consol'!A:A,O323)=0,"",SUMIFS('Supp Consol'!S:S,'Supp Consol'!Y:Y,"Releasable",'Supp Consol'!A:A,O323))</f>
        <v>1344</v>
      </c>
      <c r="AG323" s="25" t="str">
        <f>IFERROR(INDEX('Hun Demand'!Q:Q,MATCH(O323,'Hun Demand'!A:A,0)),"")</f>
        <v/>
      </c>
      <c r="AH323" s="25" t="str">
        <f>IFERROR(INDEX('Hun Demand'!H:H,MATCH($O323,'Hun Demand'!$A:$A,0)),"")</f>
        <v/>
      </c>
      <c r="AI323" s="25" t="str">
        <f>IF(SUMIFS('Supp Consol'!AA:AA,'Supp Consol'!Z:Z,"Expires this month",'Supp Consol'!A:A,O323)=0,"",SUMIFS('Supp Consol'!AA:AA,'Supp Consol'!Z:Z,"Expires this month",'Supp Consol'!A:A,O323))</f>
        <v/>
      </c>
      <c r="AJ323" s="25" t="str">
        <f>IF(SUMIFS('Supp Consol'!AA:AA,'Supp Consol'!Z:Z,"Expired Previous Months",'Supp Consol'!A:A,O323)=0,"",SUMIFS('Supp Consol'!AA:AA,'Supp Consol'!Z:Z,"Expired Previous Months",'Supp Consol'!A:A,O323))</f>
        <v/>
      </c>
      <c r="AK323" s="25" t="str">
        <f>IFERROR(INDEX('Hun Release Current'!B:B,MATCH(O323,'Hun Release Current'!A:A,0)),"")</f>
        <v/>
      </c>
      <c r="AL323" s="25" t="str">
        <f>IF(SUMIF('Prev Aub'!A:A,O323,'Prev Aub'!B:B)=0,"",SUMIF('Prev Aub'!A:A,O323,'Prev Aub'!B:B))</f>
        <v/>
      </c>
      <c r="AN323" s="25" t="s">
        <v>3790</v>
      </c>
      <c r="AO323" s="25" t="s">
        <v>3790</v>
      </c>
      <c r="AP323" s="25">
        <f t="shared" ref="AP323:AP386" si="146">IFERROR(IF(O323="","",IF(AN323="",0,VALUE(AN323)-(VALUE(AN323)*0.2))),"")</f>
        <v>0</v>
      </c>
      <c r="AQ323" s="151" t="str">
        <f>IF(SUMIFS('Supp Consol'!S:S,'Supp Consol'!A:A,O323,'Supp Consol'!I:I,"PENDING")=0,"",SUMIFS('Supp Consol'!S:S,'Supp Consol'!A:A,O323,'Supp Consol'!I:I,"PENDING"))</f>
        <v/>
      </c>
      <c r="AR323" s="27" t="str">
        <f t="shared" ref="AR323:AR386" si="147">MID(O323,4,5)</f>
        <v>AV781</v>
      </c>
      <c r="AS323" s="27" t="str">
        <f t="shared" ref="AS323:AS386" si="148">MID(O323,10,2)</f>
        <v>62</v>
      </c>
      <c r="AT323" s="27" t="str">
        <f t="shared" ref="AT323:AT386" si="149">IF(S323&lt;3.1,AR323,"")</f>
        <v/>
      </c>
      <c r="AU323" s="27" t="str">
        <f t="shared" ref="AU323:AU386" si="150">IF(Y323&lt;3.1,AR323,"")</f>
        <v/>
      </c>
      <c r="AV323" s="27" t="str">
        <f t="shared" ref="AV323:AV386" si="151">IF(AND(AA323="Spike",L323=0,K323=0,X323&gt;=0),"",IF(Y323&lt;3.1,AR323,""))</f>
        <v/>
      </c>
      <c r="AW323" s="27" t="str">
        <f t="shared" ref="AW323:AW386" si="152">IF(AI323=AL323,"",IF(OR(AI323&lt;&gt;"",AJ323&lt;&gt;""),AR323,""))</f>
        <v/>
      </c>
      <c r="AX323" s="27" t="str">
        <f t="shared" ref="AX323:AX386" si="153">IF(AF323&lt;&gt;"",AR323,"")</f>
        <v>AV781</v>
      </c>
      <c r="AY323" s="27" t="str">
        <f t="shared" ref="AY323:AY386" si="154">IF(AND(AG323&lt;&gt;"",AG323&gt;AH323),AR323,"")</f>
        <v/>
      </c>
      <c r="AZ323" s="27" t="str">
        <f t="shared" ref="AZ323:AZ386" si="155">IFERROR(IF(O323="","",IF(ISERROR(MATCH(AR323,AX:AX,0)),"","Supp")),"")</f>
        <v>Supp</v>
      </c>
      <c r="BA323" s="27" t="str">
        <f t="shared" ref="BA323:BA386" si="156">IFERROR(IF(O323="","",IF(ISERROR(MATCH(AR323,AY:AY,0)),"","Hun")),"")</f>
        <v/>
      </c>
      <c r="BB323" s="27" t="str">
        <f t="shared" ref="BB323:BB386" si="157">IFERROR(IF(O323="","",IF(ISERROR(MATCH(AR323,AT:AT,0)),"","Gross")),"")</f>
        <v/>
      </c>
      <c r="BC323" s="27" t="str">
        <f t="shared" ref="BC323:BC386" si="158">IFERROR(IF(O323="","",IF(ISERROR(MATCH(AR323,AU:AU,0)),"","Net")),"")</f>
        <v/>
      </c>
      <c r="BD323" s="27" t="str">
        <f t="shared" ref="BD323:BD386" si="159">IFERROR(IF(O323="","",IF(ISERROR(MATCH(AR323,AV:AV,0)),"","Net")),"")</f>
        <v/>
      </c>
      <c r="BE323" s="27" t="str">
        <f t="shared" ref="BE323:BE386" si="160">IFERROR(IF(O323="","",IF(ISERROR(MATCH(AR323,AW:AW,0)),"","Exp")),"")</f>
        <v/>
      </c>
      <c r="BF323" s="27" t="str">
        <f t="shared" ref="BF323:BF386" si="161">IFERROR(IF(O323="","",IF(AND(AZ323="Supp",BC323="Net"),"S+N","")),"")</f>
        <v/>
      </c>
      <c r="BG323" s="27" t="str">
        <f t="shared" ref="BG323:BG386" si="162">IFERROR(IF(O323="","",IF(OR(BE323&lt;&gt;"",BF323&lt;&gt;""),"S+NorE","")),"")</f>
        <v/>
      </c>
      <c r="BH323" s="27" t="str">
        <f t="shared" ref="BH323:BH386" si="163">IFERROR(IF(O323="","",IF(AND(BA323&lt;&gt;"",BC323&lt;&gt;""),"H+N","")),"")</f>
        <v/>
      </c>
      <c r="BI323" s="27" t="str">
        <f t="shared" ref="BI323:BI386" si="164">IFERROR(IF(O323="","",IF(AND(BA323&lt;&gt;"",BD323&lt;&gt;""),"H+Nex","")),"")</f>
        <v/>
      </c>
      <c r="BJ323" s="27" t="str">
        <f t="shared" ref="BJ323:BJ386" si="165">IF(OR(AZ323&lt;&gt;"",BA323&lt;&gt;""),"Supp or Hun","")</f>
        <v>Supp or Hun</v>
      </c>
      <c r="BK323" s="27" t="str">
        <f t="shared" ref="BK323:BK386" si="166">IF(AND(BJ323&lt;&gt;"",BC323&lt;&gt;""),"Supp or Hun Need","")</f>
        <v/>
      </c>
      <c r="BL323" s="27" t="str">
        <f t="shared" ref="BL323:BL386" si="167">IF(OR(BK323&lt;&gt;"",BE323&lt;&gt;""),"SorHandNandE","")</f>
        <v/>
      </c>
      <c r="BM323" s="21" t="s">
        <v>5581</v>
      </c>
    </row>
    <row r="324" spans="1:65" ht="15">
      <c r="A324" s="25" t="str">
        <f>IFERROR(INDEX('Hun Demand'!W:W,MATCH(O324,'Hun Demand'!A:A,0)),"")</f>
        <v/>
      </c>
      <c r="B324" s="25" t="str">
        <f>IFERROR(INDEX('Hun Demand'!V:V,MATCH(O324,'Hun Demand'!A:A,0)),"")</f>
        <v/>
      </c>
      <c r="C324" s="25" t="str">
        <f>IFERROR(INDEX('Hun Demand'!U:U,MATCH(O324,'Hun Demand'!A:A,0)),"")</f>
        <v/>
      </c>
      <c r="D324" s="25" t="str">
        <f>IFERROR(INDEX('Hun Demand'!T:T,MATCH(O324,'Hun Demand'!A:A,0)),"")</f>
        <v/>
      </c>
      <c r="E324" s="25" t="str">
        <f>IFERROR(INDEX('Hun Demand'!S:S,MATCH(O324,'Hun Demand'!A:A,0)),"")</f>
        <v/>
      </c>
      <c r="F324" s="25" t="str">
        <f>IFERROR(INDEX('Hun Demand'!R:R,MATCH(O324,'Hun Demand'!A:A,0)),"")</f>
        <v/>
      </c>
      <c r="G324" s="25">
        <f>IFERROR(INDEX('Aub Demand'!W:W,MATCH(O324,'Aub Demand'!A:A,0)),"")</f>
        <v>0</v>
      </c>
      <c r="H324" s="25">
        <f>IFERROR(INDEX('Aub Demand'!V:V,MATCH(O324,'Aub Demand'!A:A,0)),"")</f>
        <v>0</v>
      </c>
      <c r="I324" s="25">
        <f>IFERROR(INDEX('Aub Demand'!U:U,MATCH(O324,'Aub Demand'!A:A,0)),"")</f>
        <v>0</v>
      </c>
      <c r="J324" s="25">
        <f>IFERROR(INDEX('Aub Demand'!T:T,MATCH(O324,'Aub Demand'!A:A,0)),"")</f>
        <v>0</v>
      </c>
      <c r="K324" s="25">
        <f>IFERROR(INDEX('Aub Demand'!S:S,MATCH(O324,'Aub Demand'!A:A,0)),"")</f>
        <v>0</v>
      </c>
      <c r="L324" s="25">
        <f>IFERROR(INDEX('Aub Demand'!R:R,MATCH(O324,'Aub Demand'!A:A,0)),"")</f>
        <v>0</v>
      </c>
      <c r="O324" s="27" t="s">
        <v>548</v>
      </c>
      <c r="P324" s="27" t="str">
        <f>IFERROR(INDEX('Aub Demand'!B:B,MATCH($O324,'Aub Demand'!$A:$A,0)),"")</f>
        <v>OLIVE SERENITY</v>
      </c>
      <c r="Q324" s="27" t="str">
        <f>IFERROR(INDEX('Aub Demand'!C:C,MATCH($O324,'Aub Demand'!$A:$A,0)),"")</f>
        <v>DNP A</v>
      </c>
      <c r="R324" s="52">
        <f>IFERROR(IF(AR325=AR324,INDEX('Aub Demand'!K:K,MATCH($O324,'Aub Demand'!$A:$A,0))-IF(AN324="",0,AN324)+AP325,INDEX('Aub Demand'!K:K,MATCH($O324,'Aub Demand'!$A:$A,0))-IF(AN324="",0,AN324)),"")</f>
        <v>256</v>
      </c>
      <c r="S324" s="53" t="str">
        <f t="shared" si="140"/>
        <v>n/a</v>
      </c>
      <c r="T324" s="52" t="str">
        <f t="shared" si="141"/>
        <v/>
      </c>
      <c r="U324" s="52">
        <f>IFERROR(IF(AR325=AR324,INDEX('Aub Demand'!Q:Q,MATCH($O324,'Aub Demand'!$A:$A,0))-IF(AN324="",0,AN324)+AP325,INDEX('Aub Demand'!Q:Q,MATCH($O324,'Aub Demand'!$A:$A,0))-IF(AN324="",0,AN324)),"")</f>
        <v>256</v>
      </c>
      <c r="V324" s="53" t="str">
        <f t="shared" si="142"/>
        <v>n/a</v>
      </c>
      <c r="W324" s="52" t="str">
        <f t="shared" si="143"/>
        <v/>
      </c>
      <c r="X324" s="52">
        <f>IFERROR(IF(AND(AR325=AR324,AM324&lt;&gt;""),INDEX('Aub Demand'!Q:Q,MATCH($O324,'Aub Demand'!$A:$A,0))-IF(AN324="",0,AN324)+AP325+AD324+AL324,IF(AR325=AR324,INDEX('Aub Demand'!Q:Q,MATCH($O324,'Aub Demand'!$A:$A,0))-IF(AN324="",0,AN324)+AP325+AD324,IF(AM324&lt;&gt;"",INDEX('Aub Demand'!Q:Q,MATCH($O324,'Aub Demand'!$A:$A,0))-IF(AN324="",0,AN324)+AD324+AL324,INDEX('Aub Demand'!Q:Q,MATCH($O324,'Aub Demand'!$A:$A,0))-IF(AN324="",0,AN324)+AD324))),"")</f>
        <v>256</v>
      </c>
      <c r="Y324" s="53" t="str">
        <f t="shared" si="144"/>
        <v>n/a</v>
      </c>
      <c r="Z324" s="52">
        <f>IF(L324="","",INDEX('Aub Demand'!H:H,MATCH($O324,'Aub Demand'!$A:$A,0)))</f>
        <v>0</v>
      </c>
      <c r="AA324" s="52" t="str">
        <f t="shared" si="145"/>
        <v>-spike-</v>
      </c>
      <c r="AB324" s="52">
        <f>IFERROR(INDEX('Aub Demand'!L:L,MATCH($O324,'Aub Demand'!$A:$A,0)),"")</f>
        <v>0</v>
      </c>
      <c r="AC324" s="52">
        <f>IFERROR(IF(O324="","",SUMIFS('CPL Mats'!F:F,'CPL Mats'!Q:Q,AR324,'CPL Mats'!S:S,AS324)),"")</f>
        <v>0</v>
      </c>
      <c r="AF324" s="25" t="str">
        <f>IF(SUMIFS('Supp Consol'!S:S,'Supp Consol'!Y:Y,"Releasable",'Supp Consol'!A:A,O324)=0,"",SUMIFS('Supp Consol'!S:S,'Supp Consol'!Y:Y,"Releasable",'Supp Consol'!A:A,O324))</f>
        <v/>
      </c>
      <c r="AG324" s="25" t="str">
        <f>IFERROR(INDEX('Hun Demand'!Q:Q,MATCH(O324,'Hun Demand'!A:A,0)),"")</f>
        <v/>
      </c>
      <c r="AH324" s="25" t="str">
        <f>IFERROR(INDEX('Hun Demand'!H:H,MATCH($O324,'Hun Demand'!$A:$A,0)),"")</f>
        <v/>
      </c>
      <c r="AI324" s="25" t="str">
        <f>IF(SUMIFS('Supp Consol'!AA:AA,'Supp Consol'!Z:Z,"Expires this month",'Supp Consol'!A:A,O324)=0,"",SUMIFS('Supp Consol'!AA:AA,'Supp Consol'!Z:Z,"Expires this month",'Supp Consol'!A:A,O324))</f>
        <v/>
      </c>
      <c r="AJ324" s="25" t="str">
        <f>IF(SUMIFS('Supp Consol'!AA:AA,'Supp Consol'!Z:Z,"Expired Previous Months",'Supp Consol'!A:A,O324)=0,"",SUMIFS('Supp Consol'!AA:AA,'Supp Consol'!Z:Z,"Expired Previous Months",'Supp Consol'!A:A,O324))</f>
        <v/>
      </c>
      <c r="AK324" s="25" t="str">
        <f>IFERROR(INDEX('Hun Release Current'!B:B,MATCH(O324,'Hun Release Current'!A:A,0)),"")</f>
        <v/>
      </c>
      <c r="AL324" s="25" t="str">
        <f>IF(SUMIF('Prev Aub'!A:A,O324,'Prev Aub'!B:B)=0,"",SUMIF('Prev Aub'!A:A,O324,'Prev Aub'!B:B))</f>
        <v/>
      </c>
      <c r="AN324" s="25" t="s">
        <v>3790</v>
      </c>
      <c r="AO324" s="25" t="s">
        <v>3790</v>
      </c>
      <c r="AP324" s="25">
        <f t="shared" si="146"/>
        <v>0</v>
      </c>
      <c r="AQ324" s="151" t="str">
        <f>IF(SUMIFS('Supp Consol'!S:S,'Supp Consol'!A:A,O324,'Supp Consol'!I:I,"PENDING")=0,"",SUMIFS('Supp Consol'!S:S,'Supp Consol'!A:A,O324,'Supp Consol'!I:I,"PENDING"))</f>
        <v/>
      </c>
      <c r="AR324" s="27" t="str">
        <f t="shared" si="147"/>
        <v>AV801</v>
      </c>
      <c r="AS324" s="27" t="str">
        <f t="shared" si="148"/>
        <v>50</v>
      </c>
      <c r="AT324" s="27" t="str">
        <f t="shared" si="149"/>
        <v/>
      </c>
      <c r="AU324" s="27" t="str">
        <f t="shared" si="150"/>
        <v/>
      </c>
      <c r="AV324" s="27" t="str">
        <f t="shared" si="151"/>
        <v/>
      </c>
      <c r="AW324" s="27" t="str">
        <f t="shared" si="152"/>
        <v/>
      </c>
      <c r="AX324" s="27" t="str">
        <f t="shared" si="153"/>
        <v/>
      </c>
      <c r="AY324" s="27" t="str">
        <f t="shared" si="154"/>
        <v/>
      </c>
      <c r="AZ324" s="27" t="str">
        <f t="shared" si="155"/>
        <v/>
      </c>
      <c r="BA324" s="27" t="str">
        <f t="shared" si="156"/>
        <v/>
      </c>
      <c r="BB324" s="27" t="str">
        <f t="shared" si="157"/>
        <v/>
      </c>
      <c r="BC324" s="27" t="str">
        <f t="shared" si="158"/>
        <v/>
      </c>
      <c r="BD324" s="27" t="str">
        <f t="shared" si="159"/>
        <v/>
      </c>
      <c r="BE324" s="27" t="str">
        <f t="shared" si="160"/>
        <v/>
      </c>
      <c r="BF324" s="27" t="str">
        <f t="shared" si="161"/>
        <v/>
      </c>
      <c r="BG324" s="27" t="str">
        <f t="shared" si="162"/>
        <v/>
      </c>
      <c r="BH324" s="27" t="str">
        <f t="shared" si="163"/>
        <v/>
      </c>
      <c r="BI324" s="27" t="str">
        <f t="shared" si="164"/>
        <v/>
      </c>
      <c r="BJ324" s="27" t="str">
        <f t="shared" si="165"/>
        <v/>
      </c>
      <c r="BK324" s="27" t="str">
        <f t="shared" si="166"/>
        <v/>
      </c>
      <c r="BL324" s="27" t="str">
        <f t="shared" si="167"/>
        <v/>
      </c>
      <c r="BM324" s="21" t="s">
        <v>3790</v>
      </c>
    </row>
    <row r="325" spans="1:65" ht="15">
      <c r="A325" s="25">
        <f>IFERROR(INDEX('Hun Demand'!W:W,MATCH(O325,'Hun Demand'!A:A,0)),"")</f>
        <v>61</v>
      </c>
      <c r="B325" s="25">
        <f>IFERROR(INDEX('Hun Demand'!V:V,MATCH(O325,'Hun Demand'!A:A,0)),"")</f>
        <v>0</v>
      </c>
      <c r="C325" s="25">
        <f>IFERROR(INDEX('Hun Demand'!U:U,MATCH(O325,'Hun Demand'!A:A,0)),"")</f>
        <v>0</v>
      </c>
      <c r="D325" s="25">
        <f>IFERROR(INDEX('Hun Demand'!T:T,MATCH(O325,'Hun Demand'!A:A,0)),"")</f>
        <v>0</v>
      </c>
      <c r="E325" s="25">
        <f>IFERROR(INDEX('Hun Demand'!S:S,MATCH(O325,'Hun Demand'!A:A,0)),"")</f>
        <v>0</v>
      </c>
      <c r="F325" s="25">
        <f>IFERROR(INDEX('Hun Demand'!R:R,MATCH(O325,'Hun Demand'!A:A,0)),"")</f>
        <v>0</v>
      </c>
      <c r="G325" s="25">
        <f>IFERROR(INDEX('Aub Demand'!W:W,MATCH(O325,'Aub Demand'!A:A,0)),"")</f>
        <v>0</v>
      </c>
      <c r="H325" s="25">
        <f>IFERROR(INDEX('Aub Demand'!V:V,MATCH(O325,'Aub Demand'!A:A,0)),"")</f>
        <v>0</v>
      </c>
      <c r="I325" s="25">
        <f>IFERROR(INDEX('Aub Demand'!U:U,MATCH(O325,'Aub Demand'!A:A,0)),"")</f>
        <v>0</v>
      </c>
      <c r="J325" s="25">
        <f>IFERROR(INDEX('Aub Demand'!T:T,MATCH(O325,'Aub Demand'!A:A,0)),"")</f>
        <v>12</v>
      </c>
      <c r="K325" s="25">
        <f>IFERROR(INDEX('Aub Demand'!S:S,MATCH(O325,'Aub Demand'!A:A,0)),"")</f>
        <v>0</v>
      </c>
      <c r="L325" s="25">
        <f>IFERROR(INDEX('Aub Demand'!R:R,MATCH(O325,'Aub Demand'!A:A,0)),"")</f>
        <v>0</v>
      </c>
      <c r="O325" s="27" t="s">
        <v>550</v>
      </c>
      <c r="P325" s="27" t="str">
        <f>IFERROR(INDEX('Aub Demand'!B:B,MATCH($O325,'Aub Demand'!$A:$A,0)),"")</f>
        <v>VIRIDESCENT SILK</v>
      </c>
      <c r="Q325" s="27" t="str">
        <f>IFERROR(INDEX('Aub Demand'!C:C,MATCH($O325,'Aub Demand'!$A:$A,0)),"")</f>
        <v>NEODE</v>
      </c>
      <c r="R325" s="52">
        <f>IFERROR(IF(AR326=AR325,INDEX('Aub Demand'!K:K,MATCH($O325,'Aub Demand'!$A:$A,0))-IF(AN325="",0,AN325)+AP326,INDEX('Aub Demand'!K:K,MATCH($O325,'Aub Demand'!$A:$A,0))-IF(AN325="",0,AN325)),"")</f>
        <v>1070</v>
      </c>
      <c r="S325" s="53">
        <f t="shared" si="140"/>
        <v>1146.4000000000001</v>
      </c>
      <c r="T325" s="52" t="str">
        <f t="shared" si="141"/>
        <v/>
      </c>
      <c r="U325" s="52">
        <f>IFERROR(IF(AR326=AR325,INDEX('Aub Demand'!Q:Q,MATCH($O325,'Aub Demand'!$A:$A,0))-IF(AN325="",0,AN325)+AP326,INDEX('Aub Demand'!Q:Q,MATCH($O325,'Aub Demand'!$A:$A,0))-IF(AN325="",0,AN325)),"")</f>
        <v>1058</v>
      </c>
      <c r="V325" s="53">
        <f t="shared" si="142"/>
        <v>1133.5999999999999</v>
      </c>
      <c r="W325" s="52" t="str">
        <f t="shared" si="143"/>
        <v/>
      </c>
      <c r="X325" s="52">
        <f>IFERROR(IF(AND(AR326=AR325,AM325&lt;&gt;""),INDEX('Aub Demand'!Q:Q,MATCH($O325,'Aub Demand'!$A:$A,0))-IF(AN325="",0,AN325)+AP326+AD325+AL325,IF(AR326=AR325,INDEX('Aub Demand'!Q:Q,MATCH($O325,'Aub Demand'!$A:$A,0))-IF(AN325="",0,AN325)+AP326+AD325,IF(AM325&lt;&gt;"",INDEX('Aub Demand'!Q:Q,MATCH($O325,'Aub Demand'!$A:$A,0))-IF(AN325="",0,AN325)+AD325+AL325,INDEX('Aub Demand'!Q:Q,MATCH($O325,'Aub Demand'!$A:$A,0))-IF(AN325="",0,AN325)+AD325))),"")</f>
        <v>1058</v>
      </c>
      <c r="Y325" s="53">
        <f t="shared" si="144"/>
        <v>1133.5999999999999</v>
      </c>
      <c r="Z325" s="52">
        <f>IF(L325="","",INDEX('Aub Demand'!H:H,MATCH($O325,'Aub Demand'!$A:$A,0)))</f>
        <v>4</v>
      </c>
      <c r="AA325" s="52" t="str">
        <f t="shared" si="145"/>
        <v>-spike-</v>
      </c>
      <c r="AB325" s="52">
        <f>IFERROR(INDEX('Aub Demand'!L:L,MATCH($O325,'Aub Demand'!$A:$A,0)),"")</f>
        <v>0</v>
      </c>
      <c r="AC325" s="52">
        <f>IFERROR(IF(O325="","",SUMIFS('CPL Mats'!F:F,'CPL Mats'!Q:Q,AR325,'CPL Mats'!S:S,AS325)),"")</f>
        <v>0</v>
      </c>
      <c r="AF325" s="25" t="str">
        <f>IF(SUMIFS('Supp Consol'!S:S,'Supp Consol'!Y:Y,"Releasable",'Supp Consol'!A:A,O325)=0,"",SUMIFS('Supp Consol'!S:S,'Supp Consol'!Y:Y,"Releasable",'Supp Consol'!A:A,O325))</f>
        <v/>
      </c>
      <c r="AG325" s="25">
        <f>IFERROR(INDEX('Hun Demand'!Q:Q,MATCH(O325,'Hun Demand'!A:A,0)),"")</f>
        <v>46</v>
      </c>
      <c r="AH325" s="25">
        <f>IFERROR(INDEX('Hun Demand'!H:H,MATCH($O325,'Hun Demand'!$A:$A,0)),"")</f>
        <v>0</v>
      </c>
      <c r="AI325" s="25" t="str">
        <f>IF(SUMIFS('Supp Consol'!AA:AA,'Supp Consol'!Z:Z,"Expires this month",'Supp Consol'!A:A,O325)=0,"",SUMIFS('Supp Consol'!AA:AA,'Supp Consol'!Z:Z,"Expires this month",'Supp Consol'!A:A,O325))</f>
        <v/>
      </c>
      <c r="AJ325" s="25" t="str">
        <f>IF(SUMIFS('Supp Consol'!AA:AA,'Supp Consol'!Z:Z,"Expired Previous Months",'Supp Consol'!A:A,O325)=0,"",SUMIFS('Supp Consol'!AA:AA,'Supp Consol'!Z:Z,"Expired Previous Months",'Supp Consol'!A:A,O325))</f>
        <v/>
      </c>
      <c r="AK325" s="25" t="str">
        <f>IFERROR(INDEX('Hun Release Current'!B:B,MATCH(O325,'Hun Release Current'!A:A,0)),"")</f>
        <v/>
      </c>
      <c r="AL325" s="25" t="str">
        <f>IF(SUMIF('Prev Aub'!A:A,O325,'Prev Aub'!B:B)=0,"",SUMIF('Prev Aub'!A:A,O325,'Prev Aub'!B:B))</f>
        <v/>
      </c>
      <c r="AN325" s="25" t="s">
        <v>3790</v>
      </c>
      <c r="AO325" s="25" t="s">
        <v>3790</v>
      </c>
      <c r="AP325" s="25">
        <f t="shared" si="146"/>
        <v>0</v>
      </c>
      <c r="AQ325" s="151" t="str">
        <f>IF(SUMIFS('Supp Consol'!S:S,'Supp Consol'!A:A,O325,'Supp Consol'!I:I,"PENDING")=0,"",SUMIFS('Supp Consol'!S:S,'Supp Consol'!A:A,O325,'Supp Consol'!I:I,"PENDING"))</f>
        <v/>
      </c>
      <c r="AR325" s="27" t="str">
        <f t="shared" si="147"/>
        <v>AV830</v>
      </c>
      <c r="AS325" s="27" t="str">
        <f t="shared" si="148"/>
        <v>50</v>
      </c>
      <c r="AT325" s="27" t="str">
        <f t="shared" si="149"/>
        <v/>
      </c>
      <c r="AU325" s="27" t="str">
        <f t="shared" si="150"/>
        <v/>
      </c>
      <c r="AV325" s="27" t="str">
        <f t="shared" si="151"/>
        <v/>
      </c>
      <c r="AW325" s="27" t="str">
        <f t="shared" si="152"/>
        <v/>
      </c>
      <c r="AX325" s="27" t="str">
        <f t="shared" si="153"/>
        <v/>
      </c>
      <c r="AY325" s="27" t="str">
        <f t="shared" si="154"/>
        <v>AV830</v>
      </c>
      <c r="AZ325" s="27" t="str">
        <f t="shared" si="155"/>
        <v/>
      </c>
      <c r="BA325" s="27" t="str">
        <f t="shared" si="156"/>
        <v>Hun</v>
      </c>
      <c r="BB325" s="27" t="str">
        <f t="shared" si="157"/>
        <v/>
      </c>
      <c r="BC325" s="27" t="str">
        <f t="shared" si="158"/>
        <v/>
      </c>
      <c r="BD325" s="27" t="str">
        <f t="shared" si="159"/>
        <v/>
      </c>
      <c r="BE325" s="27" t="str">
        <f t="shared" si="160"/>
        <v/>
      </c>
      <c r="BF325" s="27" t="str">
        <f t="shared" si="161"/>
        <v/>
      </c>
      <c r="BG325" s="27" t="str">
        <f t="shared" si="162"/>
        <v/>
      </c>
      <c r="BH325" s="27" t="str">
        <f t="shared" si="163"/>
        <v/>
      </c>
      <c r="BI325" s="27" t="str">
        <f t="shared" si="164"/>
        <v/>
      </c>
      <c r="BJ325" s="27" t="str">
        <f t="shared" si="165"/>
        <v>Supp or Hun</v>
      </c>
      <c r="BK325" s="27" t="str">
        <f t="shared" si="166"/>
        <v/>
      </c>
      <c r="BL325" s="27" t="str">
        <f t="shared" si="167"/>
        <v/>
      </c>
      <c r="BM325" s="21" t="s">
        <v>5581</v>
      </c>
    </row>
    <row r="326" spans="1:65" ht="15">
      <c r="A326" s="25">
        <f>IFERROR(INDEX('Hun Demand'!W:W,MATCH(O326,'Hun Demand'!A:A,0)),"")</f>
        <v>462</v>
      </c>
      <c r="B326" s="25">
        <f>IFERROR(INDEX('Hun Demand'!V:V,MATCH(O326,'Hun Demand'!A:A,0)),"")</f>
        <v>0</v>
      </c>
      <c r="C326" s="25">
        <f>IFERROR(INDEX('Hun Demand'!U:U,MATCH(O326,'Hun Demand'!A:A,0)),"")</f>
        <v>0</v>
      </c>
      <c r="D326" s="25">
        <f>IFERROR(INDEX('Hun Demand'!T:T,MATCH(O326,'Hun Demand'!A:A,0)),"")</f>
        <v>0</v>
      </c>
      <c r="E326" s="25">
        <f>IFERROR(INDEX('Hun Demand'!S:S,MATCH(O326,'Hun Demand'!A:A,0)),"")</f>
        <v>0</v>
      </c>
      <c r="F326" s="25">
        <f>IFERROR(INDEX('Hun Demand'!R:R,MATCH(O326,'Hun Demand'!A:A,0)),"")</f>
        <v>0</v>
      </c>
      <c r="G326" s="25">
        <f>IFERROR(INDEX('Aub Demand'!W:W,MATCH(O326,'Aub Demand'!A:A,0)),"")</f>
        <v>0</v>
      </c>
      <c r="H326" s="25">
        <f>IFERROR(INDEX('Aub Demand'!V:V,MATCH(O326,'Aub Demand'!A:A,0)),"")</f>
        <v>32</v>
      </c>
      <c r="I326" s="25">
        <f>IFERROR(INDEX('Aub Demand'!U:U,MATCH(O326,'Aub Demand'!A:A,0)),"")</f>
        <v>0</v>
      </c>
      <c r="J326" s="25">
        <f>IFERROR(INDEX('Aub Demand'!T:T,MATCH(O326,'Aub Demand'!A:A,0)),"")</f>
        <v>0</v>
      </c>
      <c r="K326" s="25">
        <f>IFERROR(INDEX('Aub Demand'!S:S,MATCH(O326,'Aub Demand'!A:A,0)),"")</f>
        <v>0</v>
      </c>
      <c r="L326" s="25">
        <f>IFERROR(INDEX('Aub Demand'!R:R,MATCH(O326,'Aub Demand'!A:A,0)),"")</f>
        <v>0</v>
      </c>
      <c r="O326" s="27" t="s">
        <v>552</v>
      </c>
      <c r="P326" s="27" t="str">
        <f>IFERROR(INDEX('Aub Demand'!B:B,MATCH($O326,'Aub Demand'!$A:$A,0)),"")</f>
        <v>VIRIDESCENT SILK</v>
      </c>
      <c r="Q326" s="27" t="str">
        <f>IFERROR(INDEX('Aub Demand'!C:C,MATCH($O326,'Aub Demand'!$A:$A,0)),"")</f>
        <v>NEODE</v>
      </c>
      <c r="R326" s="52">
        <f>IFERROR(IF(AR327=AR326,INDEX('Aub Demand'!K:K,MATCH($O326,'Aub Demand'!$A:$A,0))-IF(AN326="",0,AN326)+AP327,INDEX('Aub Demand'!K:K,MATCH($O326,'Aub Demand'!$A:$A,0))-IF(AN326="",0,AN326)),"")</f>
        <v>4549</v>
      </c>
      <c r="S326" s="53" t="str">
        <f t="shared" si="140"/>
        <v>n/a</v>
      </c>
      <c r="T326" s="52" t="str">
        <f t="shared" si="141"/>
        <v/>
      </c>
      <c r="U326" s="52">
        <f>IFERROR(IF(AR327=AR326,INDEX('Aub Demand'!Q:Q,MATCH($O326,'Aub Demand'!$A:$A,0))-IF(AN326="",0,AN326)+AP327,INDEX('Aub Demand'!Q:Q,MATCH($O326,'Aub Demand'!$A:$A,0))-IF(AN326="",0,AN326)),"")</f>
        <v>4549</v>
      </c>
      <c r="V326" s="53" t="str">
        <f t="shared" si="142"/>
        <v>n/a</v>
      </c>
      <c r="W326" s="52" t="str">
        <f t="shared" si="143"/>
        <v/>
      </c>
      <c r="X326" s="52">
        <f>IFERROR(IF(AND(AR327=AR326,AM326&lt;&gt;""),INDEX('Aub Demand'!Q:Q,MATCH($O326,'Aub Demand'!$A:$A,0))-IF(AN326="",0,AN326)+AP327+AD326+AL326,IF(AR327=AR326,INDEX('Aub Demand'!Q:Q,MATCH($O326,'Aub Demand'!$A:$A,0))-IF(AN326="",0,AN326)+AP327+AD326,IF(AM326&lt;&gt;"",INDEX('Aub Demand'!Q:Q,MATCH($O326,'Aub Demand'!$A:$A,0))-IF(AN326="",0,AN326)+AD326+AL326,INDEX('Aub Demand'!Q:Q,MATCH($O326,'Aub Demand'!$A:$A,0))-IF(AN326="",0,AN326)+AD326))),"")</f>
        <v>4549</v>
      </c>
      <c r="Y326" s="53" t="str">
        <f t="shared" si="144"/>
        <v>n/a</v>
      </c>
      <c r="Z326" s="52">
        <f>IF(L326="","",INDEX('Aub Demand'!H:H,MATCH($O326,'Aub Demand'!$A:$A,0)))</f>
        <v>0</v>
      </c>
      <c r="AA326" s="52" t="str">
        <f t="shared" si="145"/>
        <v>-spike-</v>
      </c>
      <c r="AB326" s="52">
        <f>IFERROR(INDEX('Aub Demand'!L:L,MATCH($O326,'Aub Demand'!$A:$A,0)),"")</f>
        <v>0</v>
      </c>
      <c r="AC326" s="52">
        <f>IFERROR(IF(O326="","",SUMIFS('CPL Mats'!F:F,'CPL Mats'!Q:Q,AR326,'CPL Mats'!S:S,AS326)),"")</f>
        <v>0</v>
      </c>
      <c r="AF326" s="25" t="str">
        <f>IF(SUMIFS('Supp Consol'!S:S,'Supp Consol'!Y:Y,"Releasable",'Supp Consol'!A:A,O326)=0,"",SUMIFS('Supp Consol'!S:S,'Supp Consol'!Y:Y,"Releasable",'Supp Consol'!A:A,O326))</f>
        <v/>
      </c>
      <c r="AG326" s="25">
        <f>IFERROR(INDEX('Hun Demand'!Q:Q,MATCH(O326,'Hun Demand'!A:A,0)),"")</f>
        <v>218</v>
      </c>
      <c r="AH326" s="25">
        <f>IFERROR(INDEX('Hun Demand'!H:H,MATCH($O326,'Hun Demand'!$A:$A,0)),"")</f>
        <v>0</v>
      </c>
      <c r="AI326" s="25" t="str">
        <f>IF(SUMIFS('Supp Consol'!AA:AA,'Supp Consol'!Z:Z,"Expires this month",'Supp Consol'!A:A,O326)=0,"",SUMIFS('Supp Consol'!AA:AA,'Supp Consol'!Z:Z,"Expires this month",'Supp Consol'!A:A,O326))</f>
        <v/>
      </c>
      <c r="AJ326" s="25" t="str">
        <f>IF(SUMIFS('Supp Consol'!AA:AA,'Supp Consol'!Z:Z,"Expired Previous Months",'Supp Consol'!A:A,O326)=0,"",SUMIFS('Supp Consol'!AA:AA,'Supp Consol'!Z:Z,"Expired Previous Months",'Supp Consol'!A:A,O326))</f>
        <v/>
      </c>
      <c r="AK326" s="25" t="str">
        <f>IFERROR(INDEX('Hun Release Current'!B:B,MATCH(O326,'Hun Release Current'!A:A,0)),"")</f>
        <v/>
      </c>
      <c r="AL326" s="25" t="str">
        <f>IF(SUMIF('Prev Aub'!A:A,O326,'Prev Aub'!B:B)=0,"",SUMIF('Prev Aub'!A:A,O326,'Prev Aub'!B:B))</f>
        <v/>
      </c>
      <c r="AN326" s="25" t="s">
        <v>3790</v>
      </c>
      <c r="AO326" s="25" t="s">
        <v>3790</v>
      </c>
      <c r="AP326" s="25">
        <f t="shared" si="146"/>
        <v>0</v>
      </c>
      <c r="AQ326" s="151" t="str">
        <f>IF(SUMIFS('Supp Consol'!S:S,'Supp Consol'!A:A,O326,'Supp Consol'!I:I,"PENDING")=0,"",SUMIFS('Supp Consol'!S:S,'Supp Consol'!A:A,O326,'Supp Consol'!I:I,"PENDING"))</f>
        <v/>
      </c>
      <c r="AR326" s="27" t="str">
        <f t="shared" si="147"/>
        <v>AV830</v>
      </c>
      <c r="AS326" s="27" t="str">
        <f t="shared" si="148"/>
        <v>62</v>
      </c>
      <c r="AT326" s="27" t="str">
        <f t="shared" si="149"/>
        <v/>
      </c>
      <c r="AU326" s="27" t="str">
        <f t="shared" si="150"/>
        <v/>
      </c>
      <c r="AV326" s="27" t="str">
        <f t="shared" si="151"/>
        <v/>
      </c>
      <c r="AW326" s="27" t="str">
        <f t="shared" si="152"/>
        <v/>
      </c>
      <c r="AX326" s="27" t="str">
        <f t="shared" si="153"/>
        <v/>
      </c>
      <c r="AY326" s="27" t="str">
        <f t="shared" si="154"/>
        <v>AV830</v>
      </c>
      <c r="AZ326" s="27" t="str">
        <f t="shared" si="155"/>
        <v/>
      </c>
      <c r="BA326" s="27" t="str">
        <f t="shared" si="156"/>
        <v>Hun</v>
      </c>
      <c r="BB326" s="27" t="str">
        <f t="shared" si="157"/>
        <v/>
      </c>
      <c r="BC326" s="27" t="str">
        <f t="shared" si="158"/>
        <v/>
      </c>
      <c r="BD326" s="27" t="str">
        <f t="shared" si="159"/>
        <v/>
      </c>
      <c r="BE326" s="27" t="str">
        <f t="shared" si="160"/>
        <v/>
      </c>
      <c r="BF326" s="27" t="str">
        <f t="shared" si="161"/>
        <v/>
      </c>
      <c r="BG326" s="27" t="str">
        <f t="shared" si="162"/>
        <v/>
      </c>
      <c r="BH326" s="27" t="str">
        <f t="shared" si="163"/>
        <v/>
      </c>
      <c r="BI326" s="27" t="str">
        <f t="shared" si="164"/>
        <v/>
      </c>
      <c r="BJ326" s="27" t="str">
        <f t="shared" si="165"/>
        <v>Supp or Hun</v>
      </c>
      <c r="BK326" s="27" t="str">
        <f t="shared" si="166"/>
        <v/>
      </c>
      <c r="BL326" s="27" t="str">
        <f t="shared" si="167"/>
        <v/>
      </c>
      <c r="BM326" s="21" t="s">
        <v>5581</v>
      </c>
    </row>
    <row r="327" spans="1:65" ht="15">
      <c r="A327" s="25" t="str">
        <f>IFERROR(INDEX('Hun Demand'!W:W,MATCH(O327,'Hun Demand'!A:A,0)),"")</f>
        <v/>
      </c>
      <c r="B327" s="25" t="str">
        <f>IFERROR(INDEX('Hun Demand'!V:V,MATCH(O327,'Hun Demand'!A:A,0)),"")</f>
        <v/>
      </c>
      <c r="C327" s="25" t="str">
        <f>IFERROR(INDEX('Hun Demand'!U:U,MATCH(O327,'Hun Demand'!A:A,0)),"")</f>
        <v/>
      </c>
      <c r="D327" s="25" t="str">
        <f>IFERROR(INDEX('Hun Demand'!T:T,MATCH(O327,'Hun Demand'!A:A,0)),"")</f>
        <v/>
      </c>
      <c r="E327" s="25" t="str">
        <f>IFERROR(INDEX('Hun Demand'!S:S,MATCH(O327,'Hun Demand'!A:A,0)),"")</f>
        <v/>
      </c>
      <c r="F327" s="25" t="str">
        <f>IFERROR(INDEX('Hun Demand'!R:R,MATCH(O327,'Hun Demand'!A:A,0)),"")</f>
        <v/>
      </c>
      <c r="G327" s="25">
        <f>IFERROR(INDEX('Aub Demand'!W:W,MATCH(O327,'Aub Demand'!A:A,0)),"")</f>
        <v>0</v>
      </c>
      <c r="H327" s="25">
        <f>IFERROR(INDEX('Aub Demand'!V:V,MATCH(O327,'Aub Demand'!A:A,0)),"")</f>
        <v>0</v>
      </c>
      <c r="I327" s="25">
        <f>IFERROR(INDEX('Aub Demand'!U:U,MATCH(O327,'Aub Demand'!A:A,0)),"")</f>
        <v>0</v>
      </c>
      <c r="J327" s="25">
        <f>IFERROR(INDEX('Aub Demand'!T:T,MATCH(O327,'Aub Demand'!A:A,0)),"")</f>
        <v>0</v>
      </c>
      <c r="K327" s="25">
        <f>IFERROR(INDEX('Aub Demand'!S:S,MATCH(O327,'Aub Demand'!A:A,0)),"")</f>
        <v>0</v>
      </c>
      <c r="L327" s="25">
        <f>IFERROR(INDEX('Aub Demand'!R:R,MATCH(O327,'Aub Demand'!A:A,0)),"")</f>
        <v>0</v>
      </c>
      <c r="O327" s="27" t="s">
        <v>553</v>
      </c>
      <c r="P327" s="27" t="str">
        <f>IFERROR(INDEX('Aub Demand'!B:B,MATCH($O327,'Aub Demand'!$A:$A,0)),"")</f>
        <v>KALE FIBER</v>
      </c>
      <c r="Q327" s="27" t="str">
        <f>IFERROR(INDEX('Aub Demand'!C:C,MATCH($O327,'Aub Demand'!$A:$A,0)),"")</f>
        <v>SUDDE</v>
      </c>
      <c r="R327" s="52">
        <f>IFERROR(IF(AR328=AR327,INDEX('Aub Demand'!K:K,MATCH($O327,'Aub Demand'!$A:$A,0))-IF(AN327="",0,AN327)+AP328,INDEX('Aub Demand'!K:K,MATCH($O327,'Aub Demand'!$A:$A,0))-IF(AN327="",0,AN327)),"")</f>
        <v>187</v>
      </c>
      <c r="S327" s="53" t="str">
        <f t="shared" si="140"/>
        <v>n/a</v>
      </c>
      <c r="T327" s="52" t="str">
        <f t="shared" si="141"/>
        <v/>
      </c>
      <c r="U327" s="52">
        <f>IFERROR(IF(AR328=AR327,INDEX('Aub Demand'!Q:Q,MATCH($O327,'Aub Demand'!$A:$A,0))-IF(AN327="",0,AN327)+AP328,INDEX('Aub Demand'!Q:Q,MATCH($O327,'Aub Demand'!$A:$A,0))-IF(AN327="",0,AN327)),"")</f>
        <v>187</v>
      </c>
      <c r="V327" s="53" t="str">
        <f t="shared" si="142"/>
        <v>n/a</v>
      </c>
      <c r="W327" s="52" t="str">
        <f t="shared" si="143"/>
        <v/>
      </c>
      <c r="X327" s="52">
        <f>IFERROR(IF(AND(AR328=AR327,AM327&lt;&gt;""),INDEX('Aub Demand'!Q:Q,MATCH($O327,'Aub Demand'!$A:$A,0))-IF(AN327="",0,AN327)+AP328+AD327+AL327,IF(AR328=AR327,INDEX('Aub Demand'!Q:Q,MATCH($O327,'Aub Demand'!$A:$A,0))-IF(AN327="",0,AN327)+AP328+AD327,IF(AM327&lt;&gt;"",INDEX('Aub Demand'!Q:Q,MATCH($O327,'Aub Demand'!$A:$A,0))-IF(AN327="",0,AN327)+AD327+AL327,INDEX('Aub Demand'!Q:Q,MATCH($O327,'Aub Demand'!$A:$A,0))-IF(AN327="",0,AN327)+AD327))),"")</f>
        <v>187</v>
      </c>
      <c r="Y327" s="53" t="str">
        <f t="shared" si="144"/>
        <v>n/a</v>
      </c>
      <c r="Z327" s="52">
        <f>IF(L327="","",INDEX('Aub Demand'!H:H,MATCH($O327,'Aub Demand'!$A:$A,0)))</f>
        <v>0</v>
      </c>
      <c r="AA327" s="52" t="str">
        <f t="shared" si="145"/>
        <v>-spike-</v>
      </c>
      <c r="AB327" s="52">
        <f>IFERROR(INDEX('Aub Demand'!L:L,MATCH($O327,'Aub Demand'!$A:$A,0)),"")</f>
        <v>0</v>
      </c>
      <c r="AC327" s="52">
        <f>IFERROR(IF(O327="","",SUMIFS('CPL Mats'!F:F,'CPL Mats'!Q:Q,AR327,'CPL Mats'!S:S,AS327)),"")</f>
        <v>0</v>
      </c>
      <c r="AF327" s="25" t="str">
        <f>IF(SUMIFS('Supp Consol'!S:S,'Supp Consol'!Y:Y,"Releasable",'Supp Consol'!A:A,O327)=0,"",SUMIFS('Supp Consol'!S:S,'Supp Consol'!Y:Y,"Releasable",'Supp Consol'!A:A,O327))</f>
        <v/>
      </c>
      <c r="AG327" s="25" t="str">
        <f>IFERROR(INDEX('Hun Demand'!Q:Q,MATCH(O327,'Hun Demand'!A:A,0)),"")</f>
        <v/>
      </c>
      <c r="AH327" s="25" t="str">
        <f>IFERROR(INDEX('Hun Demand'!H:H,MATCH($O327,'Hun Demand'!$A:$A,0)),"")</f>
        <v/>
      </c>
      <c r="AI327" s="25" t="str">
        <f>IF(SUMIFS('Supp Consol'!AA:AA,'Supp Consol'!Z:Z,"Expires this month",'Supp Consol'!A:A,O327)=0,"",SUMIFS('Supp Consol'!AA:AA,'Supp Consol'!Z:Z,"Expires this month",'Supp Consol'!A:A,O327))</f>
        <v/>
      </c>
      <c r="AJ327" s="25" t="str">
        <f>IF(SUMIFS('Supp Consol'!AA:AA,'Supp Consol'!Z:Z,"Expired Previous Months",'Supp Consol'!A:A,O327)=0,"",SUMIFS('Supp Consol'!AA:AA,'Supp Consol'!Z:Z,"Expired Previous Months",'Supp Consol'!A:A,O327))</f>
        <v/>
      </c>
      <c r="AK327" s="25" t="str">
        <f>IFERROR(INDEX('Hun Release Current'!B:B,MATCH(O327,'Hun Release Current'!A:A,0)),"")</f>
        <v/>
      </c>
      <c r="AL327" s="25" t="str">
        <f>IF(SUMIF('Prev Aub'!A:A,O327,'Prev Aub'!B:B)=0,"",SUMIF('Prev Aub'!A:A,O327,'Prev Aub'!B:B))</f>
        <v/>
      </c>
      <c r="AN327" s="25" t="s">
        <v>3790</v>
      </c>
      <c r="AO327" s="25" t="s">
        <v>3790</v>
      </c>
      <c r="AP327" s="25">
        <f t="shared" si="146"/>
        <v>0</v>
      </c>
      <c r="AQ327" s="151" t="str">
        <f>IF(SUMIFS('Supp Consol'!S:S,'Supp Consol'!A:A,O327,'Supp Consol'!I:I,"PENDING")=0,"",SUMIFS('Supp Consol'!S:S,'Supp Consol'!A:A,O327,'Supp Consol'!I:I,"PENDING"))</f>
        <v/>
      </c>
      <c r="AR327" s="27" t="str">
        <f t="shared" si="147"/>
        <v>AV861</v>
      </c>
      <c r="AS327" s="27" t="str">
        <f t="shared" si="148"/>
        <v>50</v>
      </c>
      <c r="AT327" s="27" t="str">
        <f t="shared" si="149"/>
        <v/>
      </c>
      <c r="AU327" s="27" t="str">
        <f t="shared" si="150"/>
        <v/>
      </c>
      <c r="AV327" s="27" t="str">
        <f t="shared" si="151"/>
        <v/>
      </c>
      <c r="AW327" s="27" t="str">
        <f t="shared" si="152"/>
        <v/>
      </c>
      <c r="AX327" s="27" t="str">
        <f t="shared" si="153"/>
        <v/>
      </c>
      <c r="AY327" s="27" t="str">
        <f t="shared" si="154"/>
        <v/>
      </c>
      <c r="AZ327" s="27" t="str">
        <f t="shared" si="155"/>
        <v/>
      </c>
      <c r="BA327" s="27" t="str">
        <f t="shared" si="156"/>
        <v/>
      </c>
      <c r="BB327" s="27" t="str">
        <f t="shared" si="157"/>
        <v/>
      </c>
      <c r="BC327" s="27" t="str">
        <f t="shared" si="158"/>
        <v/>
      </c>
      <c r="BD327" s="27" t="str">
        <f t="shared" si="159"/>
        <v/>
      </c>
      <c r="BE327" s="27" t="str">
        <f t="shared" si="160"/>
        <v/>
      </c>
      <c r="BF327" s="27" t="str">
        <f t="shared" si="161"/>
        <v/>
      </c>
      <c r="BG327" s="27" t="str">
        <f t="shared" si="162"/>
        <v/>
      </c>
      <c r="BH327" s="27" t="str">
        <f t="shared" si="163"/>
        <v/>
      </c>
      <c r="BI327" s="27" t="str">
        <f t="shared" si="164"/>
        <v/>
      </c>
      <c r="BJ327" s="27" t="str">
        <f t="shared" si="165"/>
        <v/>
      </c>
      <c r="BK327" s="27" t="str">
        <f t="shared" si="166"/>
        <v/>
      </c>
      <c r="BL327" s="27" t="str">
        <f t="shared" si="167"/>
        <v/>
      </c>
      <c r="BM327" s="21" t="s">
        <v>3790</v>
      </c>
    </row>
    <row r="328" spans="1:65" ht="15">
      <c r="A328" s="25" t="str">
        <f>IFERROR(INDEX('Hun Demand'!W:W,MATCH(O328,'Hun Demand'!A:A,0)),"")</f>
        <v/>
      </c>
      <c r="B328" s="25" t="str">
        <f>IFERROR(INDEX('Hun Demand'!V:V,MATCH(O328,'Hun Demand'!A:A,0)),"")</f>
        <v/>
      </c>
      <c r="C328" s="25" t="str">
        <f>IFERROR(INDEX('Hun Demand'!U:U,MATCH(O328,'Hun Demand'!A:A,0)),"")</f>
        <v/>
      </c>
      <c r="D328" s="25" t="str">
        <f>IFERROR(INDEX('Hun Demand'!T:T,MATCH(O328,'Hun Demand'!A:A,0)),"")</f>
        <v/>
      </c>
      <c r="E328" s="25" t="str">
        <f>IFERROR(INDEX('Hun Demand'!S:S,MATCH(O328,'Hun Demand'!A:A,0)),"")</f>
        <v/>
      </c>
      <c r="F328" s="25" t="str">
        <f>IFERROR(INDEX('Hun Demand'!R:R,MATCH(O328,'Hun Demand'!A:A,0)),"")</f>
        <v/>
      </c>
      <c r="G328" s="25">
        <f>IFERROR(INDEX('Aub Demand'!W:W,MATCH(O328,'Aub Demand'!A:A,0)),"")</f>
        <v>0</v>
      </c>
      <c r="H328" s="25">
        <f>IFERROR(INDEX('Aub Demand'!V:V,MATCH(O328,'Aub Demand'!A:A,0)),"")</f>
        <v>0</v>
      </c>
      <c r="I328" s="25">
        <f>IFERROR(INDEX('Aub Demand'!U:U,MATCH(O328,'Aub Demand'!A:A,0)),"")</f>
        <v>0</v>
      </c>
      <c r="J328" s="25">
        <f>IFERROR(INDEX('Aub Demand'!T:T,MATCH(O328,'Aub Demand'!A:A,0)),"")</f>
        <v>0</v>
      </c>
      <c r="K328" s="25">
        <f>IFERROR(INDEX('Aub Demand'!S:S,MATCH(O328,'Aub Demand'!A:A,0)),"")</f>
        <v>14</v>
      </c>
      <c r="L328" s="25">
        <f>IFERROR(INDEX('Aub Demand'!R:R,MATCH(O328,'Aub Demand'!A:A,0)),"")</f>
        <v>0</v>
      </c>
      <c r="O328" s="27" t="s">
        <v>3331</v>
      </c>
      <c r="P328" s="27" t="str">
        <f>IFERROR(INDEX('Aub Demand'!B:B,MATCH($O328,'Aub Demand'!$A:$A,0)),"")</f>
        <v>AMAZON ALLURE</v>
      </c>
      <c r="Q328" s="27" t="str">
        <f>IFERROR(INDEX('Aub Demand'!C:C,MATCH($O328,'Aub Demand'!$A:$A,0)),"")</f>
        <v>INTER</v>
      </c>
      <c r="R328" s="52">
        <f>IFERROR(IF(AR329=AR328,INDEX('Aub Demand'!K:K,MATCH($O328,'Aub Demand'!$A:$A,0))-IF(AN328="",0,AN328)+AP329,INDEX('Aub Demand'!K:K,MATCH($O328,'Aub Demand'!$A:$A,0))-IF(AN328="",0,AN328)),"")</f>
        <v>1843</v>
      </c>
      <c r="S328" s="53">
        <f t="shared" si="140"/>
        <v>1579.7</v>
      </c>
      <c r="T328" s="52" t="str">
        <f t="shared" si="141"/>
        <v/>
      </c>
      <c r="U328" s="52">
        <f>IFERROR(IF(AR329=AR328,INDEX('Aub Demand'!Q:Q,MATCH($O328,'Aub Demand'!$A:$A,0))-IF(AN328="",0,AN328)+AP329,INDEX('Aub Demand'!Q:Q,MATCH($O328,'Aub Demand'!$A:$A,0))-IF(AN328="",0,AN328)),"")</f>
        <v>1843</v>
      </c>
      <c r="V328" s="53">
        <f t="shared" si="142"/>
        <v>1579.7</v>
      </c>
      <c r="W328" s="52" t="str">
        <f t="shared" si="143"/>
        <v/>
      </c>
      <c r="X328" s="52">
        <f>IFERROR(IF(AND(AR329=AR328,AM328&lt;&gt;""),INDEX('Aub Demand'!Q:Q,MATCH($O328,'Aub Demand'!$A:$A,0))-IF(AN328="",0,AN328)+AP329+AD328+AL328,IF(AR329=AR328,INDEX('Aub Demand'!Q:Q,MATCH($O328,'Aub Demand'!$A:$A,0))-IF(AN328="",0,AN328)+AP329+AD328,IF(AM328&lt;&gt;"",INDEX('Aub Demand'!Q:Q,MATCH($O328,'Aub Demand'!$A:$A,0))-IF(AN328="",0,AN328)+AD328+AL328,INDEX('Aub Demand'!Q:Q,MATCH($O328,'Aub Demand'!$A:$A,0))-IF(AN328="",0,AN328)+AD328))),"")</f>
        <v>1843</v>
      </c>
      <c r="Y328" s="53">
        <f t="shared" si="144"/>
        <v>1579.7</v>
      </c>
      <c r="Z328" s="52">
        <f>IF(L328="","",INDEX('Aub Demand'!H:H,MATCH($O328,'Aub Demand'!$A:$A,0)))</f>
        <v>5</v>
      </c>
      <c r="AA328" s="52" t="str">
        <f t="shared" si="145"/>
        <v>-spike-</v>
      </c>
      <c r="AB328" s="52">
        <f>IFERROR(INDEX('Aub Demand'!L:L,MATCH($O328,'Aub Demand'!$A:$A,0)),"")</f>
        <v>0</v>
      </c>
      <c r="AC328" s="52">
        <f>IFERROR(IF(O328="","",SUMIFS('CPL Mats'!F:F,'CPL Mats'!Q:Q,AR328,'CPL Mats'!S:S,AS328)),"")</f>
        <v>0</v>
      </c>
      <c r="AF328" s="25" t="str">
        <f>IF(SUMIFS('Supp Consol'!S:S,'Supp Consol'!Y:Y,"Releasable",'Supp Consol'!A:A,O328)=0,"",SUMIFS('Supp Consol'!S:S,'Supp Consol'!Y:Y,"Releasable",'Supp Consol'!A:A,O328))</f>
        <v/>
      </c>
      <c r="AG328" s="25" t="str">
        <f>IFERROR(INDEX('Hun Demand'!Q:Q,MATCH(O328,'Hun Demand'!A:A,0)),"")</f>
        <v/>
      </c>
      <c r="AH328" s="25" t="str">
        <f>IFERROR(INDEX('Hun Demand'!H:H,MATCH($O328,'Hun Demand'!$A:$A,0)),"")</f>
        <v/>
      </c>
      <c r="AI328" s="25" t="str">
        <f>IF(SUMIFS('Supp Consol'!AA:AA,'Supp Consol'!Z:Z,"Expires this month",'Supp Consol'!A:A,O328)=0,"",SUMIFS('Supp Consol'!AA:AA,'Supp Consol'!Z:Z,"Expires this month",'Supp Consol'!A:A,O328))</f>
        <v/>
      </c>
      <c r="AJ328" s="25" t="str">
        <f>IF(SUMIFS('Supp Consol'!AA:AA,'Supp Consol'!Z:Z,"Expired Previous Months",'Supp Consol'!A:A,O328)=0,"",SUMIFS('Supp Consol'!AA:AA,'Supp Consol'!Z:Z,"Expired Previous Months",'Supp Consol'!A:A,O328))</f>
        <v/>
      </c>
      <c r="AK328" s="25" t="str">
        <f>IFERROR(INDEX('Hun Release Current'!B:B,MATCH(O328,'Hun Release Current'!A:A,0)),"")</f>
        <v/>
      </c>
      <c r="AL328" s="25" t="str">
        <f>IF(SUMIF('Prev Aub'!A:A,O328,'Prev Aub'!B:B)=0,"",SUMIF('Prev Aub'!A:A,O328,'Prev Aub'!B:B))</f>
        <v/>
      </c>
      <c r="AN328" s="25" t="s">
        <v>3790</v>
      </c>
      <c r="AO328" s="25" t="s">
        <v>3790</v>
      </c>
      <c r="AP328" s="25">
        <f t="shared" si="146"/>
        <v>0</v>
      </c>
      <c r="AQ328" s="151" t="str">
        <f>IF(SUMIFS('Supp Consol'!S:S,'Supp Consol'!A:A,O328,'Supp Consol'!I:I,"PENDING")=0,"",SUMIFS('Supp Consol'!S:S,'Supp Consol'!A:A,O328,'Supp Consol'!I:I,"PENDING"))</f>
        <v/>
      </c>
      <c r="AR328" s="27" t="str">
        <f t="shared" si="147"/>
        <v>AV941</v>
      </c>
      <c r="AS328" s="27" t="str">
        <f t="shared" si="148"/>
        <v>62</v>
      </c>
      <c r="AT328" s="27" t="str">
        <f t="shared" si="149"/>
        <v/>
      </c>
      <c r="AU328" s="27" t="str">
        <f t="shared" si="150"/>
        <v/>
      </c>
      <c r="AV328" s="27" t="str">
        <f t="shared" si="151"/>
        <v/>
      </c>
      <c r="AW328" s="27" t="str">
        <f t="shared" si="152"/>
        <v/>
      </c>
      <c r="AX328" s="27" t="str">
        <f t="shared" si="153"/>
        <v/>
      </c>
      <c r="AY328" s="27" t="str">
        <f t="shared" si="154"/>
        <v/>
      </c>
      <c r="AZ328" s="27" t="str">
        <f t="shared" si="155"/>
        <v/>
      </c>
      <c r="BA328" s="27" t="str">
        <f t="shared" si="156"/>
        <v/>
      </c>
      <c r="BB328" s="27" t="str">
        <f t="shared" si="157"/>
        <v/>
      </c>
      <c r="BC328" s="27" t="str">
        <f t="shared" si="158"/>
        <v/>
      </c>
      <c r="BD328" s="27" t="str">
        <f t="shared" si="159"/>
        <v/>
      </c>
      <c r="BE328" s="27" t="str">
        <f t="shared" si="160"/>
        <v/>
      </c>
      <c r="BF328" s="27" t="str">
        <f t="shared" si="161"/>
        <v/>
      </c>
      <c r="BG328" s="27" t="str">
        <f t="shared" si="162"/>
        <v/>
      </c>
      <c r="BH328" s="27" t="str">
        <f t="shared" si="163"/>
        <v/>
      </c>
      <c r="BI328" s="27" t="str">
        <f t="shared" si="164"/>
        <v/>
      </c>
      <c r="BJ328" s="27" t="str">
        <f t="shared" si="165"/>
        <v/>
      </c>
      <c r="BK328" s="27" t="str">
        <f t="shared" si="166"/>
        <v/>
      </c>
      <c r="BL328" s="27" t="str">
        <f t="shared" si="167"/>
        <v/>
      </c>
      <c r="BM328" s="21" t="s">
        <v>5581</v>
      </c>
    </row>
    <row r="329" spans="1:65" ht="15">
      <c r="A329" s="25" t="str">
        <f>IFERROR(INDEX('Hun Demand'!W:W,MATCH(O329,'Hun Demand'!A:A,0)),"")</f>
        <v/>
      </c>
      <c r="B329" s="25" t="str">
        <f>IFERROR(INDEX('Hun Demand'!V:V,MATCH(O329,'Hun Demand'!A:A,0)),"")</f>
        <v/>
      </c>
      <c r="C329" s="25" t="str">
        <f>IFERROR(INDEX('Hun Demand'!U:U,MATCH(O329,'Hun Demand'!A:A,0)),"")</f>
        <v/>
      </c>
      <c r="D329" s="25" t="str">
        <f>IFERROR(INDEX('Hun Demand'!T:T,MATCH(O329,'Hun Demand'!A:A,0)),"")</f>
        <v/>
      </c>
      <c r="E329" s="25" t="str">
        <f>IFERROR(INDEX('Hun Demand'!S:S,MATCH(O329,'Hun Demand'!A:A,0)),"")</f>
        <v/>
      </c>
      <c r="F329" s="25" t="str">
        <f>IFERROR(INDEX('Hun Demand'!R:R,MATCH(O329,'Hun Demand'!A:A,0)),"")</f>
        <v/>
      </c>
      <c r="G329" s="25">
        <f>IFERROR(INDEX('Aub Demand'!W:W,MATCH(O329,'Aub Demand'!A:A,0)),"")</f>
        <v>0</v>
      </c>
      <c r="H329" s="25">
        <f>IFERROR(INDEX('Aub Demand'!V:V,MATCH(O329,'Aub Demand'!A:A,0)),"")</f>
        <v>379</v>
      </c>
      <c r="I329" s="25">
        <f>IFERROR(INDEX('Aub Demand'!U:U,MATCH(O329,'Aub Demand'!A:A,0)),"")</f>
        <v>0</v>
      </c>
      <c r="J329" s="25">
        <f>IFERROR(INDEX('Aub Demand'!T:T,MATCH(O329,'Aub Demand'!A:A,0)),"")</f>
        <v>0</v>
      </c>
      <c r="K329" s="25">
        <f>IFERROR(INDEX('Aub Demand'!S:S,MATCH(O329,'Aub Demand'!A:A,0)),"")</f>
        <v>0</v>
      </c>
      <c r="L329" s="25">
        <f>IFERROR(INDEX('Aub Demand'!R:R,MATCH(O329,'Aub Demand'!A:A,0)),"")</f>
        <v>0</v>
      </c>
      <c r="O329" s="27" t="s">
        <v>555</v>
      </c>
      <c r="P329" s="27" t="str">
        <f>IFERROR(INDEX('Aub Demand'!B:B,MATCH($O329,'Aub Demand'!$A:$A,0)),"")</f>
        <v>MOONLIGHTING PAPEL</v>
      </c>
      <c r="Q329" s="27" t="str">
        <f>IFERROR(INDEX('Aub Demand'!C:C,MATCH($O329,'Aub Demand'!$A:$A,0)),"")</f>
        <v>INTER</v>
      </c>
      <c r="R329" s="52">
        <f>IFERROR(IF(AR330=AR329,INDEX('Aub Demand'!K:K,MATCH($O329,'Aub Demand'!$A:$A,0))-IF(AN329="",0,AN329)+AP330,INDEX('Aub Demand'!K:K,MATCH($O329,'Aub Demand'!$A:$A,0))-IF(AN329="",0,AN329)),"")</f>
        <v>502</v>
      </c>
      <c r="S329" s="53" t="str">
        <f t="shared" si="140"/>
        <v>n/a</v>
      </c>
      <c r="T329" s="52" t="str">
        <f t="shared" si="141"/>
        <v/>
      </c>
      <c r="U329" s="52">
        <f>IFERROR(IF(AR330=AR329,INDEX('Aub Demand'!Q:Q,MATCH($O329,'Aub Demand'!$A:$A,0))-IF(AN329="",0,AN329)+AP330,INDEX('Aub Demand'!Q:Q,MATCH($O329,'Aub Demand'!$A:$A,0))-IF(AN329="",0,AN329)),"")</f>
        <v>502</v>
      </c>
      <c r="V329" s="53" t="str">
        <f t="shared" si="142"/>
        <v>n/a</v>
      </c>
      <c r="W329" s="52" t="str">
        <f t="shared" si="143"/>
        <v/>
      </c>
      <c r="X329" s="52">
        <f>IFERROR(IF(AND(AR330=AR329,AM329&lt;&gt;""),INDEX('Aub Demand'!Q:Q,MATCH($O329,'Aub Demand'!$A:$A,0))-IF(AN329="",0,AN329)+AP330+AD329+AL329,IF(AR330=AR329,INDEX('Aub Demand'!Q:Q,MATCH($O329,'Aub Demand'!$A:$A,0))-IF(AN329="",0,AN329)+AP330+AD329,IF(AM329&lt;&gt;"",INDEX('Aub Demand'!Q:Q,MATCH($O329,'Aub Demand'!$A:$A,0))-IF(AN329="",0,AN329)+AD329+AL329,INDEX('Aub Demand'!Q:Q,MATCH($O329,'Aub Demand'!$A:$A,0))-IF(AN329="",0,AN329)+AD329))),"")</f>
        <v>502</v>
      </c>
      <c r="Y329" s="53" t="str">
        <f t="shared" si="144"/>
        <v>n/a</v>
      </c>
      <c r="Z329" s="52">
        <f>IF(L329="","",INDEX('Aub Demand'!H:H,MATCH($O329,'Aub Demand'!$A:$A,0)))</f>
        <v>0</v>
      </c>
      <c r="AA329" s="52" t="str">
        <f t="shared" si="145"/>
        <v>-spike-</v>
      </c>
      <c r="AB329" s="52">
        <f>IFERROR(INDEX('Aub Demand'!L:L,MATCH($O329,'Aub Demand'!$A:$A,0)),"")</f>
        <v>2</v>
      </c>
      <c r="AC329" s="52">
        <f>IFERROR(IF(O329="","",SUMIFS('CPL Mats'!F:F,'CPL Mats'!Q:Q,AR329,'CPL Mats'!S:S,AS329)),"")</f>
        <v>0</v>
      </c>
      <c r="AF329" s="25" t="str">
        <f>IF(SUMIFS('Supp Consol'!S:S,'Supp Consol'!Y:Y,"Releasable",'Supp Consol'!A:A,O329)=0,"",SUMIFS('Supp Consol'!S:S,'Supp Consol'!Y:Y,"Releasable",'Supp Consol'!A:A,O329))</f>
        <v/>
      </c>
      <c r="AG329" s="25" t="str">
        <f>IFERROR(INDEX('Hun Demand'!Q:Q,MATCH(O329,'Hun Demand'!A:A,0)),"")</f>
        <v/>
      </c>
      <c r="AH329" s="25" t="str">
        <f>IFERROR(INDEX('Hun Demand'!H:H,MATCH($O329,'Hun Demand'!$A:$A,0)),"")</f>
        <v/>
      </c>
      <c r="AI329" s="25" t="str">
        <f>IF(SUMIFS('Supp Consol'!AA:AA,'Supp Consol'!Z:Z,"Expires this month",'Supp Consol'!A:A,O329)=0,"",SUMIFS('Supp Consol'!AA:AA,'Supp Consol'!Z:Z,"Expires this month",'Supp Consol'!A:A,O329))</f>
        <v/>
      </c>
      <c r="AJ329" s="25" t="str">
        <f>IF(SUMIFS('Supp Consol'!AA:AA,'Supp Consol'!Z:Z,"Expired Previous Months",'Supp Consol'!A:A,O329)=0,"",SUMIFS('Supp Consol'!AA:AA,'Supp Consol'!Z:Z,"Expired Previous Months",'Supp Consol'!A:A,O329))</f>
        <v/>
      </c>
      <c r="AK329" s="25" t="str">
        <f>IFERROR(INDEX('Hun Release Current'!B:B,MATCH(O329,'Hun Release Current'!A:A,0)),"")</f>
        <v/>
      </c>
      <c r="AL329" s="25" t="str">
        <f>IF(SUMIF('Prev Aub'!A:A,O329,'Prev Aub'!B:B)=0,"",SUMIF('Prev Aub'!A:A,O329,'Prev Aub'!B:B))</f>
        <v/>
      </c>
      <c r="AN329" s="25" t="s">
        <v>3790</v>
      </c>
      <c r="AO329" s="25" t="s">
        <v>3790</v>
      </c>
      <c r="AP329" s="25">
        <f t="shared" si="146"/>
        <v>0</v>
      </c>
      <c r="AQ329" s="151" t="str">
        <f>IF(SUMIFS('Supp Consol'!S:S,'Supp Consol'!A:A,O329,'Supp Consol'!I:I,"PENDING")=0,"",SUMIFS('Supp Consol'!S:S,'Supp Consol'!A:A,O329,'Supp Consol'!I:I,"PENDING"))</f>
        <v/>
      </c>
      <c r="AR329" s="27" t="str">
        <f t="shared" si="147"/>
        <v>AV971</v>
      </c>
      <c r="AS329" s="27" t="str">
        <f t="shared" si="148"/>
        <v>50</v>
      </c>
      <c r="AT329" s="27" t="str">
        <f t="shared" si="149"/>
        <v/>
      </c>
      <c r="AU329" s="27" t="str">
        <f t="shared" si="150"/>
        <v/>
      </c>
      <c r="AV329" s="27" t="str">
        <f t="shared" si="151"/>
        <v/>
      </c>
      <c r="AW329" s="27" t="str">
        <f t="shared" si="152"/>
        <v/>
      </c>
      <c r="AX329" s="27" t="str">
        <f t="shared" si="153"/>
        <v/>
      </c>
      <c r="AY329" s="27" t="str">
        <f t="shared" si="154"/>
        <v/>
      </c>
      <c r="AZ329" s="27" t="str">
        <f t="shared" si="155"/>
        <v>Supp</v>
      </c>
      <c r="BA329" s="27" t="str">
        <f t="shared" si="156"/>
        <v/>
      </c>
      <c r="BB329" s="27" t="str">
        <f t="shared" si="157"/>
        <v/>
      </c>
      <c r="BC329" s="27" t="str">
        <f t="shared" si="158"/>
        <v/>
      </c>
      <c r="BD329" s="27" t="str">
        <f t="shared" si="159"/>
        <v/>
      </c>
      <c r="BE329" s="27" t="str">
        <f t="shared" si="160"/>
        <v/>
      </c>
      <c r="BF329" s="27" t="str">
        <f t="shared" si="161"/>
        <v/>
      </c>
      <c r="BG329" s="27" t="str">
        <f t="shared" si="162"/>
        <v/>
      </c>
      <c r="BH329" s="27" t="str">
        <f t="shared" si="163"/>
        <v/>
      </c>
      <c r="BI329" s="27" t="str">
        <f t="shared" si="164"/>
        <v/>
      </c>
      <c r="BJ329" s="27" t="str">
        <f t="shared" si="165"/>
        <v>Supp or Hun</v>
      </c>
      <c r="BK329" s="27" t="str">
        <f t="shared" si="166"/>
        <v/>
      </c>
      <c r="BL329" s="27" t="str">
        <f t="shared" si="167"/>
        <v/>
      </c>
      <c r="BM329" s="21" t="s">
        <v>5581</v>
      </c>
    </row>
    <row r="330" spans="1:65" ht="15">
      <c r="A330" s="25" t="str">
        <f>IFERROR(INDEX('Hun Demand'!W:W,MATCH(O330,'Hun Demand'!A:A,0)),"")</f>
        <v/>
      </c>
      <c r="B330" s="25" t="str">
        <f>IFERROR(INDEX('Hun Demand'!V:V,MATCH(O330,'Hun Demand'!A:A,0)),"")</f>
        <v/>
      </c>
      <c r="C330" s="25" t="str">
        <f>IFERROR(INDEX('Hun Demand'!U:U,MATCH(O330,'Hun Demand'!A:A,0)),"")</f>
        <v/>
      </c>
      <c r="D330" s="25" t="str">
        <f>IFERROR(INDEX('Hun Demand'!T:T,MATCH(O330,'Hun Demand'!A:A,0)),"")</f>
        <v/>
      </c>
      <c r="E330" s="25" t="str">
        <f>IFERROR(INDEX('Hun Demand'!S:S,MATCH(O330,'Hun Demand'!A:A,0)),"")</f>
        <v/>
      </c>
      <c r="F330" s="25" t="str">
        <f>IFERROR(INDEX('Hun Demand'!R:R,MATCH(O330,'Hun Demand'!A:A,0)),"")</f>
        <v/>
      </c>
      <c r="G330" s="25">
        <f>IFERROR(INDEX('Aub Demand'!W:W,MATCH(O330,'Aub Demand'!A:A,0)),"")</f>
        <v>0</v>
      </c>
      <c r="H330" s="25">
        <f>IFERROR(INDEX('Aub Demand'!V:V,MATCH(O330,'Aub Demand'!A:A,0)),"")</f>
        <v>142</v>
      </c>
      <c r="I330" s="25">
        <f>IFERROR(INDEX('Aub Demand'!U:U,MATCH(O330,'Aub Demand'!A:A,0)),"")</f>
        <v>173</v>
      </c>
      <c r="J330" s="25">
        <f>IFERROR(INDEX('Aub Demand'!T:T,MATCH(O330,'Aub Demand'!A:A,0)),"")</f>
        <v>212</v>
      </c>
      <c r="K330" s="25">
        <f>IFERROR(INDEX('Aub Demand'!S:S,MATCH(O330,'Aub Demand'!A:A,0)),"")</f>
        <v>118</v>
      </c>
      <c r="L330" s="25">
        <f>IFERROR(INDEX('Aub Demand'!R:R,MATCH(O330,'Aub Demand'!A:A,0)),"")</f>
        <v>0</v>
      </c>
      <c r="O330" s="27" t="s">
        <v>558</v>
      </c>
      <c r="P330" s="27" t="str">
        <f>IFERROR(INDEX('Aub Demand'!B:B,MATCH($O330,'Aub Demand'!$A:$A,0)),"")</f>
        <v>MOONLIGHTING PAPEL</v>
      </c>
      <c r="Q330" s="27" t="str">
        <f>IFERROR(INDEX('Aub Demand'!C:C,MATCH($O330,'Aub Demand'!$A:$A,0)),"")</f>
        <v>INTER</v>
      </c>
      <c r="R330" s="52">
        <f>IFERROR(IF(AR331=AR330,INDEX('Aub Demand'!K:K,MATCH($O330,'Aub Demand'!$A:$A,0))-IF(AN330="",0,AN330)+AP331,INDEX('Aub Demand'!K:K,MATCH($O330,'Aub Demand'!$A:$A,0))-IF(AN330="",0,AN330)),"")</f>
        <v>459</v>
      </c>
      <c r="S330" s="53">
        <f t="shared" si="140"/>
        <v>11.7</v>
      </c>
      <c r="T330" s="52" t="str">
        <f t="shared" si="141"/>
        <v/>
      </c>
      <c r="U330" s="52">
        <f>IFERROR(IF(AR331=AR330,INDEX('Aub Demand'!Q:Q,MATCH($O330,'Aub Demand'!$A:$A,0))-IF(AN330="",0,AN330)+AP331,INDEX('Aub Demand'!Q:Q,MATCH($O330,'Aub Demand'!$A:$A,0))-IF(AN330="",0,AN330)),"")</f>
        <v>459</v>
      </c>
      <c r="V330" s="53">
        <f t="shared" si="142"/>
        <v>11.7</v>
      </c>
      <c r="W330" s="52" t="str">
        <f t="shared" si="143"/>
        <v/>
      </c>
      <c r="X330" s="52">
        <f>IFERROR(IF(AND(AR331=AR330,AM330&lt;&gt;""),INDEX('Aub Demand'!Q:Q,MATCH($O330,'Aub Demand'!$A:$A,0))-IF(AN330="",0,AN330)+AP331+AD330+AL330,IF(AR331=AR330,INDEX('Aub Demand'!Q:Q,MATCH($O330,'Aub Demand'!$A:$A,0))-IF(AN330="",0,AN330)+AP331+AD330,IF(AM330&lt;&gt;"",INDEX('Aub Demand'!Q:Q,MATCH($O330,'Aub Demand'!$A:$A,0))-IF(AN330="",0,AN330)+AD330+AL330,INDEX('Aub Demand'!Q:Q,MATCH($O330,'Aub Demand'!$A:$A,0))-IF(AN330="",0,AN330)+AD330))),"")</f>
        <v>459</v>
      </c>
      <c r="Y330" s="53">
        <f t="shared" si="144"/>
        <v>11.7</v>
      </c>
      <c r="Z330" s="52">
        <f>IF(L330="","",INDEX('Aub Demand'!H:H,MATCH($O330,'Aub Demand'!$A:$A,0)))</f>
        <v>168</v>
      </c>
      <c r="AA330" s="52">
        <f t="shared" si="145"/>
        <v>192.5</v>
      </c>
      <c r="AB330" s="52">
        <f>IFERROR(INDEX('Aub Demand'!L:L,MATCH($O330,'Aub Demand'!$A:$A,0)),"")</f>
        <v>192</v>
      </c>
      <c r="AC330" s="52">
        <f>IFERROR(IF(O330="","",SUMIFS('CPL Mats'!F:F,'CPL Mats'!Q:Q,AR330,'CPL Mats'!S:S,AS330)),"")</f>
        <v>1590.71</v>
      </c>
      <c r="AF330" s="25">
        <f>IF(SUMIFS('Supp Consol'!S:S,'Supp Consol'!Y:Y,"Releasable",'Supp Consol'!A:A,O330)=0,"",SUMIFS('Supp Consol'!S:S,'Supp Consol'!Y:Y,"Releasable",'Supp Consol'!A:A,O330))</f>
        <v>3848</v>
      </c>
      <c r="AG330" s="25" t="str">
        <f>IFERROR(INDEX('Hun Demand'!Q:Q,MATCH(O330,'Hun Demand'!A:A,0)),"")</f>
        <v/>
      </c>
      <c r="AH330" s="25" t="str">
        <f>IFERROR(INDEX('Hun Demand'!H:H,MATCH($O330,'Hun Demand'!$A:$A,0)),"")</f>
        <v/>
      </c>
      <c r="AI330" s="25" t="str">
        <f>IF(SUMIFS('Supp Consol'!AA:AA,'Supp Consol'!Z:Z,"Expires this month",'Supp Consol'!A:A,O330)=0,"",SUMIFS('Supp Consol'!AA:AA,'Supp Consol'!Z:Z,"Expires this month",'Supp Consol'!A:A,O330))</f>
        <v/>
      </c>
      <c r="AJ330" s="25" t="str">
        <f>IF(SUMIFS('Supp Consol'!AA:AA,'Supp Consol'!Z:Z,"Expired Previous Months",'Supp Consol'!A:A,O330)=0,"",SUMIFS('Supp Consol'!AA:AA,'Supp Consol'!Z:Z,"Expired Previous Months",'Supp Consol'!A:A,O330))</f>
        <v/>
      </c>
      <c r="AK330" s="25" t="str">
        <f>IFERROR(INDEX('Hun Release Current'!B:B,MATCH(O330,'Hun Release Current'!A:A,0)),"")</f>
        <v/>
      </c>
      <c r="AL330" s="25" t="str">
        <f>IF(SUMIF('Prev Aub'!A:A,O330,'Prev Aub'!B:B)=0,"",SUMIF('Prev Aub'!A:A,O330,'Prev Aub'!B:B))</f>
        <v/>
      </c>
      <c r="AN330" s="25" t="s">
        <v>3790</v>
      </c>
      <c r="AO330" s="25" t="s">
        <v>3790</v>
      </c>
      <c r="AP330" s="25">
        <f t="shared" si="146"/>
        <v>0</v>
      </c>
      <c r="AQ330" s="151" t="str">
        <f>IF(SUMIFS('Supp Consol'!S:S,'Supp Consol'!A:A,O330,'Supp Consol'!I:I,"PENDING")=0,"",SUMIFS('Supp Consol'!S:S,'Supp Consol'!A:A,O330,'Supp Consol'!I:I,"PENDING"))</f>
        <v/>
      </c>
      <c r="AR330" s="27" t="str">
        <f t="shared" si="147"/>
        <v>AV971</v>
      </c>
      <c r="AS330" s="27" t="str">
        <f t="shared" si="148"/>
        <v>62</v>
      </c>
      <c r="AT330" s="27" t="str">
        <f t="shared" si="149"/>
        <v/>
      </c>
      <c r="AU330" s="27" t="str">
        <f t="shared" si="150"/>
        <v/>
      </c>
      <c r="AV330" s="27" t="str">
        <f t="shared" si="151"/>
        <v/>
      </c>
      <c r="AW330" s="27" t="str">
        <f t="shared" si="152"/>
        <v/>
      </c>
      <c r="AX330" s="27" t="str">
        <f t="shared" si="153"/>
        <v>AV971</v>
      </c>
      <c r="AY330" s="27" t="str">
        <f t="shared" si="154"/>
        <v/>
      </c>
      <c r="AZ330" s="27" t="str">
        <f t="shared" si="155"/>
        <v>Supp</v>
      </c>
      <c r="BA330" s="27" t="str">
        <f t="shared" si="156"/>
        <v/>
      </c>
      <c r="BB330" s="27" t="str">
        <f t="shared" si="157"/>
        <v/>
      </c>
      <c r="BC330" s="27" t="str">
        <f t="shared" si="158"/>
        <v/>
      </c>
      <c r="BD330" s="27" t="str">
        <f t="shared" si="159"/>
        <v/>
      </c>
      <c r="BE330" s="27" t="str">
        <f t="shared" si="160"/>
        <v/>
      </c>
      <c r="BF330" s="27" t="str">
        <f t="shared" si="161"/>
        <v/>
      </c>
      <c r="BG330" s="27" t="str">
        <f t="shared" si="162"/>
        <v/>
      </c>
      <c r="BH330" s="27" t="str">
        <f t="shared" si="163"/>
        <v/>
      </c>
      <c r="BI330" s="27" t="str">
        <f t="shared" si="164"/>
        <v/>
      </c>
      <c r="BJ330" s="27" t="str">
        <f t="shared" si="165"/>
        <v>Supp or Hun</v>
      </c>
      <c r="BK330" s="27" t="str">
        <f t="shared" si="166"/>
        <v/>
      </c>
      <c r="BL330" s="27" t="str">
        <f t="shared" si="167"/>
        <v/>
      </c>
      <c r="BM330" s="21" t="s">
        <v>5581</v>
      </c>
    </row>
    <row r="331" spans="1:65" ht="15">
      <c r="A331" s="25" t="str">
        <f>IFERROR(INDEX('Hun Demand'!W:W,MATCH(O331,'Hun Demand'!A:A,0)),"")</f>
        <v/>
      </c>
      <c r="B331" s="25" t="str">
        <f>IFERROR(INDEX('Hun Demand'!V:V,MATCH(O331,'Hun Demand'!A:A,0)),"")</f>
        <v/>
      </c>
      <c r="C331" s="25" t="str">
        <f>IFERROR(INDEX('Hun Demand'!U:U,MATCH(O331,'Hun Demand'!A:A,0)),"")</f>
        <v/>
      </c>
      <c r="D331" s="25" t="str">
        <f>IFERROR(INDEX('Hun Demand'!T:T,MATCH(O331,'Hun Demand'!A:A,0)),"")</f>
        <v/>
      </c>
      <c r="E331" s="25" t="str">
        <f>IFERROR(INDEX('Hun Demand'!S:S,MATCH(O331,'Hun Demand'!A:A,0)),"")</f>
        <v/>
      </c>
      <c r="F331" s="25" t="str">
        <f>IFERROR(INDEX('Hun Demand'!R:R,MATCH(O331,'Hun Demand'!A:A,0)),"")</f>
        <v/>
      </c>
      <c r="G331" s="25">
        <f>IFERROR(INDEX('Aub Demand'!W:W,MATCH(O331,'Aub Demand'!A:A,0)),"")</f>
        <v>13</v>
      </c>
      <c r="H331" s="25">
        <f>IFERROR(INDEX('Aub Demand'!V:V,MATCH(O331,'Aub Demand'!A:A,0)),"")</f>
        <v>0</v>
      </c>
      <c r="I331" s="25">
        <f>IFERROR(INDEX('Aub Demand'!U:U,MATCH(O331,'Aub Demand'!A:A,0)),"")</f>
        <v>27</v>
      </c>
      <c r="J331" s="25">
        <f>IFERROR(INDEX('Aub Demand'!T:T,MATCH(O331,'Aub Demand'!A:A,0)),"")</f>
        <v>25</v>
      </c>
      <c r="K331" s="25">
        <f>IFERROR(INDEX('Aub Demand'!S:S,MATCH(O331,'Aub Demand'!A:A,0)),"")</f>
        <v>45</v>
      </c>
      <c r="L331" s="25">
        <f>IFERROR(INDEX('Aub Demand'!R:R,MATCH(O331,'Aub Demand'!A:A,0)),"")</f>
        <v>0</v>
      </c>
      <c r="O331" s="27" t="s">
        <v>559</v>
      </c>
      <c r="P331" s="27" t="str">
        <f>IFERROR(INDEX('Aub Demand'!B:B,MATCH($O331,'Aub Demand'!$A:$A,0)),"")</f>
        <v>IL PALIO PAPEL</v>
      </c>
      <c r="Q331" s="27" t="str">
        <f>IFERROR(INDEX('Aub Demand'!C:C,MATCH($O331,'Aub Demand'!$A:$A,0)),"")</f>
        <v>INTER</v>
      </c>
      <c r="R331" s="52">
        <f>IFERROR(IF(AR332=AR331,INDEX('Aub Demand'!K:K,MATCH($O331,'Aub Demand'!$A:$A,0))-IF(AN331="",0,AN331)+AP332,INDEX('Aub Demand'!K:K,MATCH($O331,'Aub Demand'!$A:$A,0))-IF(AN331="",0,AN331)),"")</f>
        <v>858</v>
      </c>
      <c r="S331" s="53">
        <f t="shared" si="140"/>
        <v>114.9</v>
      </c>
      <c r="T331" s="52" t="str">
        <f t="shared" si="141"/>
        <v/>
      </c>
      <c r="U331" s="52">
        <f>IFERROR(IF(AR332=AR331,INDEX('Aub Demand'!Q:Q,MATCH($O331,'Aub Demand'!$A:$A,0))-IF(AN331="",0,AN331)+AP332,INDEX('Aub Demand'!Q:Q,MATCH($O331,'Aub Demand'!$A:$A,0))-IF(AN331="",0,AN331)),"")</f>
        <v>858</v>
      </c>
      <c r="V331" s="53">
        <f t="shared" si="142"/>
        <v>114.9</v>
      </c>
      <c r="W331" s="52" t="str">
        <f t="shared" si="143"/>
        <v/>
      </c>
      <c r="X331" s="52">
        <f>IFERROR(IF(AND(AR332=AR331,AM331&lt;&gt;""),INDEX('Aub Demand'!Q:Q,MATCH($O331,'Aub Demand'!$A:$A,0))-IF(AN331="",0,AN331)+AP332+AD331+AL331,IF(AR332=AR331,INDEX('Aub Demand'!Q:Q,MATCH($O331,'Aub Demand'!$A:$A,0))-IF(AN331="",0,AN331)+AP332+AD331,IF(AM331&lt;&gt;"",INDEX('Aub Demand'!Q:Q,MATCH($O331,'Aub Demand'!$A:$A,0))-IF(AN331="",0,AN331)+AD331+AL331,INDEX('Aub Demand'!Q:Q,MATCH($O331,'Aub Demand'!$A:$A,0))-IF(AN331="",0,AN331)+AD331))),"")</f>
        <v>858</v>
      </c>
      <c r="Y331" s="53">
        <f t="shared" si="144"/>
        <v>114.9</v>
      </c>
      <c r="Z331" s="52">
        <f>IF(L331="","",INDEX('Aub Demand'!H:H,MATCH($O331,'Aub Demand'!$A:$A,0)))</f>
        <v>32</v>
      </c>
      <c r="AA331" s="52">
        <f t="shared" si="145"/>
        <v>36</v>
      </c>
      <c r="AB331" s="52">
        <f>IFERROR(INDEX('Aub Demand'!L:L,MATCH($O331,'Aub Demand'!$A:$A,0)),"")</f>
        <v>4</v>
      </c>
      <c r="AC331" s="52">
        <f>IFERROR(IF(O331="","",SUMIFS('CPL Mats'!F:F,'CPL Mats'!Q:Q,AR331,'CPL Mats'!S:S,AS331)),"")</f>
        <v>0</v>
      </c>
      <c r="AF331" s="25" t="str">
        <f>IF(SUMIFS('Supp Consol'!S:S,'Supp Consol'!Y:Y,"Releasable",'Supp Consol'!A:A,O331)=0,"",SUMIFS('Supp Consol'!S:S,'Supp Consol'!Y:Y,"Releasable",'Supp Consol'!A:A,O331))</f>
        <v/>
      </c>
      <c r="AG331" s="25" t="str">
        <f>IFERROR(INDEX('Hun Demand'!Q:Q,MATCH(O331,'Hun Demand'!A:A,0)),"")</f>
        <v/>
      </c>
      <c r="AH331" s="25" t="str">
        <f>IFERROR(INDEX('Hun Demand'!H:H,MATCH($O331,'Hun Demand'!$A:$A,0)),"")</f>
        <v/>
      </c>
      <c r="AI331" s="25" t="str">
        <f>IF(SUMIFS('Supp Consol'!AA:AA,'Supp Consol'!Z:Z,"Expires this month",'Supp Consol'!A:A,O331)=0,"",SUMIFS('Supp Consol'!AA:AA,'Supp Consol'!Z:Z,"Expires this month",'Supp Consol'!A:A,O331))</f>
        <v/>
      </c>
      <c r="AJ331" s="25" t="str">
        <f>IF(SUMIFS('Supp Consol'!AA:AA,'Supp Consol'!Z:Z,"Expired Previous Months",'Supp Consol'!A:A,O331)=0,"",SUMIFS('Supp Consol'!AA:AA,'Supp Consol'!Z:Z,"Expired Previous Months",'Supp Consol'!A:A,O331))</f>
        <v/>
      </c>
      <c r="AK331" s="25" t="str">
        <f>IFERROR(INDEX('Hun Release Current'!B:B,MATCH(O331,'Hun Release Current'!A:A,0)),"")</f>
        <v/>
      </c>
      <c r="AL331" s="25" t="str">
        <f>IF(SUMIF('Prev Aub'!A:A,O331,'Prev Aub'!B:B)=0,"",SUMIF('Prev Aub'!A:A,O331,'Prev Aub'!B:B))</f>
        <v/>
      </c>
      <c r="AN331" s="25" t="s">
        <v>3790</v>
      </c>
      <c r="AO331" s="25" t="s">
        <v>3790</v>
      </c>
      <c r="AP331" s="25">
        <f t="shared" si="146"/>
        <v>0</v>
      </c>
      <c r="AQ331" s="151" t="str">
        <f>IF(SUMIFS('Supp Consol'!S:S,'Supp Consol'!A:A,O331,'Supp Consol'!I:I,"PENDING")=0,"",SUMIFS('Supp Consol'!S:S,'Supp Consol'!A:A,O331,'Supp Consol'!I:I,"PENDING"))</f>
        <v/>
      </c>
      <c r="AR331" s="27" t="str">
        <f t="shared" si="147"/>
        <v>AV981</v>
      </c>
      <c r="AS331" s="27" t="str">
        <f t="shared" si="148"/>
        <v>50</v>
      </c>
      <c r="AT331" s="27" t="str">
        <f t="shared" si="149"/>
        <v/>
      </c>
      <c r="AU331" s="27" t="str">
        <f t="shared" si="150"/>
        <v/>
      </c>
      <c r="AV331" s="27" t="str">
        <f t="shared" si="151"/>
        <v/>
      </c>
      <c r="AW331" s="27" t="str">
        <f t="shared" si="152"/>
        <v/>
      </c>
      <c r="AX331" s="27" t="str">
        <f t="shared" si="153"/>
        <v/>
      </c>
      <c r="AY331" s="27" t="str">
        <f t="shared" si="154"/>
        <v/>
      </c>
      <c r="AZ331" s="27" t="str">
        <f t="shared" si="155"/>
        <v/>
      </c>
      <c r="BA331" s="27" t="str">
        <f t="shared" si="156"/>
        <v/>
      </c>
      <c r="BB331" s="27" t="str">
        <f t="shared" si="157"/>
        <v/>
      </c>
      <c r="BC331" s="27" t="str">
        <f t="shared" si="158"/>
        <v/>
      </c>
      <c r="BD331" s="27" t="str">
        <f t="shared" si="159"/>
        <v/>
      </c>
      <c r="BE331" s="27" t="str">
        <f t="shared" si="160"/>
        <v/>
      </c>
      <c r="BF331" s="27" t="str">
        <f t="shared" si="161"/>
        <v/>
      </c>
      <c r="BG331" s="27" t="str">
        <f t="shared" si="162"/>
        <v/>
      </c>
      <c r="BH331" s="27" t="str">
        <f t="shared" si="163"/>
        <v/>
      </c>
      <c r="BI331" s="27" t="str">
        <f t="shared" si="164"/>
        <v/>
      </c>
      <c r="BJ331" s="27" t="str">
        <f t="shared" si="165"/>
        <v/>
      </c>
      <c r="BK331" s="27" t="str">
        <f t="shared" si="166"/>
        <v/>
      </c>
      <c r="BL331" s="27" t="str">
        <f t="shared" si="167"/>
        <v/>
      </c>
      <c r="BM331" s="21" t="s">
        <v>5581</v>
      </c>
    </row>
    <row r="332" spans="1:65" ht="15">
      <c r="A332" s="25" t="str">
        <f>IFERROR(INDEX('Hun Demand'!W:W,MATCH(O332,'Hun Demand'!A:A,0)),"")</f>
        <v/>
      </c>
      <c r="B332" s="25" t="str">
        <f>IFERROR(INDEX('Hun Demand'!V:V,MATCH(O332,'Hun Demand'!A:A,0)),"")</f>
        <v/>
      </c>
      <c r="C332" s="25" t="str">
        <f>IFERROR(INDEX('Hun Demand'!U:U,MATCH(O332,'Hun Demand'!A:A,0)),"")</f>
        <v/>
      </c>
      <c r="D332" s="25" t="str">
        <f>IFERROR(INDEX('Hun Demand'!T:T,MATCH(O332,'Hun Demand'!A:A,0)),"")</f>
        <v/>
      </c>
      <c r="E332" s="25" t="str">
        <f>IFERROR(INDEX('Hun Demand'!S:S,MATCH(O332,'Hun Demand'!A:A,0)),"")</f>
        <v/>
      </c>
      <c r="F332" s="25" t="str">
        <f>IFERROR(INDEX('Hun Demand'!R:R,MATCH(O332,'Hun Demand'!A:A,0)),"")</f>
        <v/>
      </c>
      <c r="G332" s="25">
        <f>IFERROR(INDEX('Aub Demand'!W:W,MATCH(O332,'Aub Demand'!A:A,0)),"")</f>
        <v>0</v>
      </c>
      <c r="H332" s="25">
        <f>IFERROR(INDEX('Aub Demand'!V:V,MATCH(O332,'Aub Demand'!A:A,0)),"")</f>
        <v>0</v>
      </c>
      <c r="I332" s="25">
        <f>IFERROR(INDEX('Aub Demand'!U:U,MATCH(O332,'Aub Demand'!A:A,0)),"")</f>
        <v>25</v>
      </c>
      <c r="J332" s="25">
        <f>IFERROR(INDEX('Aub Demand'!T:T,MATCH(O332,'Aub Demand'!A:A,0)),"")</f>
        <v>90</v>
      </c>
      <c r="K332" s="25">
        <f>IFERROR(INDEX('Aub Demand'!S:S,MATCH(O332,'Aub Demand'!A:A,0)),"")</f>
        <v>70</v>
      </c>
      <c r="L332" s="25">
        <f>IFERROR(INDEX('Aub Demand'!R:R,MATCH(O332,'Aub Demand'!A:A,0)),"")</f>
        <v>0</v>
      </c>
      <c r="O332" s="27" t="s">
        <v>562</v>
      </c>
      <c r="P332" s="27" t="str">
        <f>IFERROR(INDEX('Aub Demand'!B:B,MATCH($O332,'Aub Demand'!$A:$A,0)),"")</f>
        <v>IL PALIO PAPEL</v>
      </c>
      <c r="Q332" s="27" t="str">
        <f>IFERROR(INDEX('Aub Demand'!C:C,MATCH($O332,'Aub Demand'!$A:$A,0)),"")</f>
        <v>INTER</v>
      </c>
      <c r="R332" s="52">
        <f>IFERROR(IF(AR333=AR332,INDEX('Aub Demand'!K:K,MATCH($O332,'Aub Demand'!$A:$A,0))-IF(AN332="",0,AN332)+AP333,INDEX('Aub Demand'!K:K,MATCH($O332,'Aub Demand'!$A:$A,0))-IF(AN332="",0,AN332)),"")</f>
        <v>245</v>
      </c>
      <c r="S332" s="53">
        <f t="shared" si="140"/>
        <v>16.899999999999999</v>
      </c>
      <c r="T332" s="52" t="str">
        <f t="shared" si="141"/>
        <v/>
      </c>
      <c r="U332" s="52">
        <f>IFERROR(IF(AR333=AR332,INDEX('Aub Demand'!Q:Q,MATCH($O332,'Aub Demand'!$A:$A,0))-IF(AN332="",0,AN332)+AP333,INDEX('Aub Demand'!Q:Q,MATCH($O332,'Aub Demand'!$A:$A,0))-IF(AN332="",0,AN332)),"")</f>
        <v>205</v>
      </c>
      <c r="V332" s="53">
        <f t="shared" si="142"/>
        <v>14.2</v>
      </c>
      <c r="W332" s="52" t="str">
        <f t="shared" si="143"/>
        <v/>
      </c>
      <c r="X332" s="52">
        <f>IFERROR(IF(AND(AR333=AR332,AM332&lt;&gt;""),INDEX('Aub Demand'!Q:Q,MATCH($O332,'Aub Demand'!$A:$A,0))-IF(AN332="",0,AN332)+AP333+AD332+AL332,IF(AR333=AR332,INDEX('Aub Demand'!Q:Q,MATCH($O332,'Aub Demand'!$A:$A,0))-IF(AN332="",0,AN332)+AP333+AD332,IF(AM332&lt;&gt;"",INDEX('Aub Demand'!Q:Q,MATCH($O332,'Aub Demand'!$A:$A,0))-IF(AN332="",0,AN332)+AD332+AL332,INDEX('Aub Demand'!Q:Q,MATCH($O332,'Aub Demand'!$A:$A,0))-IF(AN332="",0,AN332)+AD332))),"")</f>
        <v>205</v>
      </c>
      <c r="Y332" s="53">
        <f t="shared" si="144"/>
        <v>14.2</v>
      </c>
      <c r="Z332" s="52">
        <f>IF(L332="","",INDEX('Aub Demand'!H:H,MATCH($O332,'Aub Demand'!$A:$A,0)))</f>
        <v>62</v>
      </c>
      <c r="AA332" s="52">
        <f t="shared" si="145"/>
        <v>80</v>
      </c>
      <c r="AB332" s="52">
        <f>IFERROR(INDEX('Aub Demand'!L:L,MATCH($O332,'Aub Demand'!$A:$A,0)),"")</f>
        <v>0</v>
      </c>
      <c r="AC332" s="52">
        <f>IFERROR(IF(O332="","",SUMIFS('CPL Mats'!F:F,'CPL Mats'!Q:Q,AR332,'CPL Mats'!S:S,AS332)),"")</f>
        <v>0</v>
      </c>
      <c r="AF332" s="25" t="str">
        <f>IF(SUMIFS('Supp Consol'!S:S,'Supp Consol'!Y:Y,"Releasable",'Supp Consol'!A:A,O332)=0,"",SUMIFS('Supp Consol'!S:S,'Supp Consol'!Y:Y,"Releasable",'Supp Consol'!A:A,O332))</f>
        <v/>
      </c>
      <c r="AG332" s="25" t="str">
        <f>IFERROR(INDEX('Hun Demand'!Q:Q,MATCH(O332,'Hun Demand'!A:A,0)),"")</f>
        <v/>
      </c>
      <c r="AH332" s="25" t="str">
        <f>IFERROR(INDEX('Hun Demand'!H:H,MATCH($O332,'Hun Demand'!$A:$A,0)),"")</f>
        <v/>
      </c>
      <c r="AI332" s="25" t="str">
        <f>IF(SUMIFS('Supp Consol'!AA:AA,'Supp Consol'!Z:Z,"Expires this month",'Supp Consol'!A:A,O332)=0,"",SUMIFS('Supp Consol'!AA:AA,'Supp Consol'!Z:Z,"Expires this month",'Supp Consol'!A:A,O332))</f>
        <v/>
      </c>
      <c r="AJ332" s="25" t="str">
        <f>IF(SUMIFS('Supp Consol'!AA:AA,'Supp Consol'!Z:Z,"Expired Previous Months",'Supp Consol'!A:A,O332)=0,"",SUMIFS('Supp Consol'!AA:AA,'Supp Consol'!Z:Z,"Expired Previous Months",'Supp Consol'!A:A,O332))</f>
        <v/>
      </c>
      <c r="AK332" s="25" t="str">
        <f>IFERROR(INDEX('Hun Release Current'!B:B,MATCH(O332,'Hun Release Current'!A:A,0)),"")</f>
        <v/>
      </c>
      <c r="AL332" s="25" t="str">
        <f>IF(SUMIF('Prev Aub'!A:A,O332,'Prev Aub'!B:B)=0,"",SUMIF('Prev Aub'!A:A,O332,'Prev Aub'!B:B))</f>
        <v/>
      </c>
      <c r="AN332" s="25" t="s">
        <v>3790</v>
      </c>
      <c r="AO332" s="25" t="s">
        <v>3790</v>
      </c>
      <c r="AP332" s="25">
        <f t="shared" si="146"/>
        <v>0</v>
      </c>
      <c r="AQ332" s="151" t="str">
        <f>IF(SUMIFS('Supp Consol'!S:S,'Supp Consol'!A:A,O332,'Supp Consol'!I:I,"PENDING")=0,"",SUMIFS('Supp Consol'!S:S,'Supp Consol'!A:A,O332,'Supp Consol'!I:I,"PENDING"))</f>
        <v/>
      </c>
      <c r="AR332" s="27" t="str">
        <f t="shared" si="147"/>
        <v>AV981</v>
      </c>
      <c r="AS332" s="27" t="str">
        <f t="shared" si="148"/>
        <v>62</v>
      </c>
      <c r="AT332" s="27" t="str">
        <f t="shared" si="149"/>
        <v/>
      </c>
      <c r="AU332" s="27" t="str">
        <f t="shared" si="150"/>
        <v/>
      </c>
      <c r="AV332" s="27" t="str">
        <f t="shared" si="151"/>
        <v/>
      </c>
      <c r="AW332" s="27" t="str">
        <f t="shared" si="152"/>
        <v/>
      </c>
      <c r="AX332" s="27" t="str">
        <f t="shared" si="153"/>
        <v/>
      </c>
      <c r="AY332" s="27" t="str">
        <f t="shared" si="154"/>
        <v/>
      </c>
      <c r="AZ332" s="27" t="str">
        <f t="shared" si="155"/>
        <v/>
      </c>
      <c r="BA332" s="27" t="str">
        <f t="shared" si="156"/>
        <v/>
      </c>
      <c r="BB332" s="27" t="str">
        <f t="shared" si="157"/>
        <v/>
      </c>
      <c r="BC332" s="27" t="str">
        <f t="shared" si="158"/>
        <v/>
      </c>
      <c r="BD332" s="27" t="str">
        <f t="shared" si="159"/>
        <v/>
      </c>
      <c r="BE332" s="27" t="str">
        <f t="shared" si="160"/>
        <v/>
      </c>
      <c r="BF332" s="27" t="str">
        <f t="shared" si="161"/>
        <v/>
      </c>
      <c r="BG332" s="27" t="str">
        <f t="shared" si="162"/>
        <v/>
      </c>
      <c r="BH332" s="27" t="str">
        <f t="shared" si="163"/>
        <v/>
      </c>
      <c r="BI332" s="27" t="str">
        <f t="shared" si="164"/>
        <v/>
      </c>
      <c r="BJ332" s="27" t="str">
        <f t="shared" si="165"/>
        <v/>
      </c>
      <c r="BK332" s="27" t="str">
        <f t="shared" si="166"/>
        <v/>
      </c>
      <c r="BL332" s="27" t="str">
        <f t="shared" si="167"/>
        <v/>
      </c>
      <c r="BM332" s="21" t="s">
        <v>5581</v>
      </c>
    </row>
    <row r="333" spans="1:65" ht="15">
      <c r="A333" s="25" t="str">
        <f>IFERROR(INDEX('Hun Demand'!W:W,MATCH(O333,'Hun Demand'!A:A,0)),"")</f>
        <v/>
      </c>
      <c r="B333" s="25" t="str">
        <f>IFERROR(INDEX('Hun Demand'!V:V,MATCH(O333,'Hun Demand'!A:A,0)),"")</f>
        <v/>
      </c>
      <c r="C333" s="25" t="str">
        <f>IFERROR(INDEX('Hun Demand'!U:U,MATCH(O333,'Hun Demand'!A:A,0)),"")</f>
        <v/>
      </c>
      <c r="D333" s="25" t="str">
        <f>IFERROR(INDEX('Hun Demand'!T:T,MATCH(O333,'Hun Demand'!A:A,0)),"")</f>
        <v/>
      </c>
      <c r="E333" s="25" t="str">
        <f>IFERROR(INDEX('Hun Demand'!S:S,MATCH(O333,'Hun Demand'!A:A,0)),"")</f>
        <v/>
      </c>
      <c r="F333" s="25" t="str">
        <f>IFERROR(INDEX('Hun Demand'!R:R,MATCH(O333,'Hun Demand'!A:A,0)),"")</f>
        <v/>
      </c>
      <c r="G333" s="25">
        <f>IFERROR(INDEX('Aub Demand'!W:W,MATCH(O333,'Aub Demand'!A:A,0)),"")</f>
        <v>0</v>
      </c>
      <c r="H333" s="25">
        <f>IFERROR(INDEX('Aub Demand'!V:V,MATCH(O333,'Aub Demand'!A:A,0)),"")</f>
        <v>0</v>
      </c>
      <c r="I333" s="25">
        <f>IFERROR(INDEX('Aub Demand'!U:U,MATCH(O333,'Aub Demand'!A:A,0)),"")</f>
        <v>11</v>
      </c>
      <c r="J333" s="25">
        <f>IFERROR(INDEX('Aub Demand'!T:T,MATCH(O333,'Aub Demand'!A:A,0)),"")</f>
        <v>0</v>
      </c>
      <c r="K333" s="25">
        <f>IFERROR(INDEX('Aub Demand'!S:S,MATCH(O333,'Aub Demand'!A:A,0)),"")</f>
        <v>70</v>
      </c>
      <c r="L333" s="25">
        <f>IFERROR(INDEX('Aub Demand'!R:R,MATCH(O333,'Aub Demand'!A:A,0)),"")</f>
        <v>17</v>
      </c>
      <c r="O333" s="27" t="s">
        <v>563</v>
      </c>
      <c r="P333" s="27" t="str">
        <f>IFERROR(INDEX('Aub Demand'!B:B,MATCH($O333,'Aub Demand'!$A:$A,0)),"")</f>
        <v>GAME KEEPERS TWEED</v>
      </c>
      <c r="Q333" s="27" t="str">
        <f>IFERROR(INDEX('Aub Demand'!C:C,MATCH($O333,'Aub Demand'!$A:$A,0)),"")</f>
        <v>SCHAT</v>
      </c>
      <c r="R333" s="52">
        <f>IFERROR(IF(AR334=AR333,INDEX('Aub Demand'!K:K,MATCH($O333,'Aub Demand'!$A:$A,0))-IF(AN333="",0,AN333)+AP334,INDEX('Aub Demand'!K:K,MATCH($O333,'Aub Demand'!$A:$A,0))-IF(AN333="",0,AN333)),"")</f>
        <v>1293</v>
      </c>
      <c r="S333" s="53">
        <f t="shared" si="140"/>
        <v>205.2</v>
      </c>
      <c r="T333" s="52" t="str">
        <f t="shared" si="141"/>
        <v/>
      </c>
      <c r="U333" s="52">
        <f>IFERROR(IF(AR334=AR333,INDEX('Aub Demand'!Q:Q,MATCH($O333,'Aub Demand'!$A:$A,0))-IF(AN333="",0,AN333)+AP334,INDEX('Aub Demand'!Q:Q,MATCH($O333,'Aub Demand'!$A:$A,0))-IF(AN333="",0,AN333)),"")</f>
        <v>1281</v>
      </c>
      <c r="V333" s="53">
        <f t="shared" si="142"/>
        <v>203.3</v>
      </c>
      <c r="W333" s="52" t="str">
        <f t="shared" si="143"/>
        <v/>
      </c>
      <c r="X333" s="52">
        <f>IFERROR(IF(AND(AR334=AR333,AM333&lt;&gt;""),INDEX('Aub Demand'!Q:Q,MATCH($O333,'Aub Demand'!$A:$A,0))-IF(AN333="",0,AN333)+AP334+AD333+AL333,IF(AR334=AR333,INDEX('Aub Demand'!Q:Q,MATCH($O333,'Aub Demand'!$A:$A,0))-IF(AN333="",0,AN333)+AP334+AD333,IF(AM333&lt;&gt;"",INDEX('Aub Demand'!Q:Q,MATCH($O333,'Aub Demand'!$A:$A,0))-IF(AN333="",0,AN333)+AD333+AL333,INDEX('Aub Demand'!Q:Q,MATCH($O333,'Aub Demand'!$A:$A,0))-IF(AN333="",0,AN333)+AD333))),"")</f>
        <v>1281</v>
      </c>
      <c r="Y333" s="53">
        <f t="shared" si="144"/>
        <v>203.3</v>
      </c>
      <c r="Z333" s="52">
        <f>IF(L333="","",INDEX('Aub Demand'!H:H,MATCH($O333,'Aub Demand'!$A:$A,0)))</f>
        <v>27</v>
      </c>
      <c r="AA333" s="52">
        <f t="shared" si="145"/>
        <v>43.5</v>
      </c>
      <c r="AB333" s="52">
        <f>IFERROR(INDEX('Aub Demand'!L:L,MATCH($O333,'Aub Demand'!$A:$A,0)),"")</f>
        <v>16</v>
      </c>
      <c r="AC333" s="52">
        <f>IFERROR(IF(O333="","",SUMIFS('CPL Mats'!F:F,'CPL Mats'!Q:Q,AR333,'CPL Mats'!S:S,AS333)),"")</f>
        <v>0</v>
      </c>
      <c r="AF333" s="25" t="str">
        <f>IF(SUMIFS('Supp Consol'!S:S,'Supp Consol'!Y:Y,"Releasable",'Supp Consol'!A:A,O333)=0,"",SUMIFS('Supp Consol'!S:S,'Supp Consol'!Y:Y,"Releasable",'Supp Consol'!A:A,O333))</f>
        <v/>
      </c>
      <c r="AG333" s="25" t="str">
        <f>IFERROR(INDEX('Hun Demand'!Q:Q,MATCH(O333,'Hun Demand'!A:A,0)),"")</f>
        <v/>
      </c>
      <c r="AH333" s="25" t="str">
        <f>IFERROR(INDEX('Hun Demand'!H:H,MATCH($O333,'Hun Demand'!$A:$A,0)),"")</f>
        <v/>
      </c>
      <c r="AI333" s="25" t="str">
        <f>IF(SUMIFS('Supp Consol'!AA:AA,'Supp Consol'!Z:Z,"Expires this month",'Supp Consol'!A:A,O333)=0,"",SUMIFS('Supp Consol'!AA:AA,'Supp Consol'!Z:Z,"Expires this month",'Supp Consol'!A:A,O333))</f>
        <v/>
      </c>
      <c r="AJ333" s="25" t="str">
        <f>IF(SUMIFS('Supp Consol'!AA:AA,'Supp Consol'!Z:Z,"Expired Previous Months",'Supp Consol'!A:A,O333)=0,"",SUMIFS('Supp Consol'!AA:AA,'Supp Consol'!Z:Z,"Expired Previous Months",'Supp Consol'!A:A,O333))</f>
        <v/>
      </c>
      <c r="AK333" s="25" t="str">
        <f>IFERROR(INDEX('Hun Release Current'!B:B,MATCH(O333,'Hun Release Current'!A:A,0)),"")</f>
        <v/>
      </c>
      <c r="AL333" s="25" t="str">
        <f>IF(SUMIF('Prev Aub'!A:A,O333,'Prev Aub'!B:B)=0,"",SUMIF('Prev Aub'!A:A,O333,'Prev Aub'!B:B))</f>
        <v/>
      </c>
      <c r="AN333" s="25" t="s">
        <v>3790</v>
      </c>
      <c r="AO333" s="25" t="s">
        <v>3790</v>
      </c>
      <c r="AP333" s="25">
        <f t="shared" si="146"/>
        <v>0</v>
      </c>
      <c r="AQ333" s="151" t="str">
        <f>IF(SUMIFS('Supp Consol'!S:S,'Supp Consol'!A:A,O333,'Supp Consol'!I:I,"PENDING")=0,"",SUMIFS('Supp Consol'!S:S,'Supp Consol'!A:A,O333,'Supp Consol'!I:I,"PENDING"))</f>
        <v/>
      </c>
      <c r="AR333" s="27" t="str">
        <f t="shared" si="147"/>
        <v>AV999</v>
      </c>
      <c r="AS333" s="27" t="str">
        <f t="shared" si="148"/>
        <v>50</v>
      </c>
      <c r="AT333" s="27" t="str">
        <f t="shared" si="149"/>
        <v/>
      </c>
      <c r="AU333" s="27" t="str">
        <f t="shared" si="150"/>
        <v/>
      </c>
      <c r="AV333" s="27" t="str">
        <f t="shared" si="151"/>
        <v/>
      </c>
      <c r="AW333" s="27" t="str">
        <f t="shared" si="152"/>
        <v/>
      </c>
      <c r="AX333" s="27" t="str">
        <f t="shared" si="153"/>
        <v/>
      </c>
      <c r="AY333" s="27" t="str">
        <f t="shared" si="154"/>
        <v/>
      </c>
      <c r="AZ333" s="27" t="str">
        <f t="shared" si="155"/>
        <v/>
      </c>
      <c r="BA333" s="27" t="str">
        <f t="shared" si="156"/>
        <v/>
      </c>
      <c r="BB333" s="27" t="str">
        <f t="shared" si="157"/>
        <v/>
      </c>
      <c r="BC333" s="27" t="str">
        <f t="shared" si="158"/>
        <v/>
      </c>
      <c r="BD333" s="27" t="str">
        <f t="shared" si="159"/>
        <v/>
      </c>
      <c r="BE333" s="27" t="str">
        <f t="shared" si="160"/>
        <v/>
      </c>
      <c r="BF333" s="27" t="str">
        <f t="shared" si="161"/>
        <v/>
      </c>
      <c r="BG333" s="27" t="str">
        <f t="shared" si="162"/>
        <v/>
      </c>
      <c r="BH333" s="27" t="str">
        <f t="shared" si="163"/>
        <v/>
      </c>
      <c r="BI333" s="27" t="str">
        <f t="shared" si="164"/>
        <v/>
      </c>
      <c r="BJ333" s="27" t="str">
        <f t="shared" si="165"/>
        <v/>
      </c>
      <c r="BK333" s="27" t="str">
        <f t="shared" si="166"/>
        <v/>
      </c>
      <c r="BL333" s="27" t="str">
        <f t="shared" si="167"/>
        <v/>
      </c>
      <c r="BM333" s="21" t="s">
        <v>5581</v>
      </c>
    </row>
    <row r="334" spans="1:65" ht="15">
      <c r="A334" s="25" t="str">
        <f>IFERROR(INDEX('Hun Demand'!W:W,MATCH(O334,'Hun Demand'!A:A,0)),"")</f>
        <v/>
      </c>
      <c r="B334" s="25" t="str">
        <f>IFERROR(INDEX('Hun Demand'!V:V,MATCH(O334,'Hun Demand'!A:A,0)),"")</f>
        <v/>
      </c>
      <c r="C334" s="25" t="str">
        <f>IFERROR(INDEX('Hun Demand'!U:U,MATCH(O334,'Hun Demand'!A:A,0)),"")</f>
        <v/>
      </c>
      <c r="D334" s="25" t="str">
        <f>IFERROR(INDEX('Hun Demand'!T:T,MATCH(O334,'Hun Demand'!A:A,0)),"")</f>
        <v/>
      </c>
      <c r="E334" s="25" t="str">
        <f>IFERROR(INDEX('Hun Demand'!S:S,MATCH(O334,'Hun Demand'!A:A,0)),"")</f>
        <v/>
      </c>
      <c r="F334" s="25" t="str">
        <f>IFERROR(INDEX('Hun Demand'!R:R,MATCH(O334,'Hun Demand'!A:A,0)),"")</f>
        <v/>
      </c>
      <c r="G334" s="25">
        <f>IFERROR(INDEX('Aub Demand'!W:W,MATCH(O334,'Aub Demand'!A:A,0)),"")</f>
        <v>0</v>
      </c>
      <c r="H334" s="25">
        <f>IFERROR(INDEX('Aub Demand'!V:V,MATCH(O334,'Aub Demand'!A:A,0)),"")</f>
        <v>0</v>
      </c>
      <c r="I334" s="25">
        <f>IFERROR(INDEX('Aub Demand'!U:U,MATCH(O334,'Aub Demand'!A:A,0)),"")</f>
        <v>0</v>
      </c>
      <c r="J334" s="25">
        <f>IFERROR(INDEX('Aub Demand'!T:T,MATCH(O334,'Aub Demand'!A:A,0)),"")</f>
        <v>0</v>
      </c>
      <c r="K334" s="25">
        <f>IFERROR(INDEX('Aub Demand'!S:S,MATCH(O334,'Aub Demand'!A:A,0)),"")</f>
        <v>0</v>
      </c>
      <c r="L334" s="25">
        <f>IFERROR(INDEX('Aub Demand'!R:R,MATCH(O334,'Aub Demand'!A:A,0)),"")</f>
        <v>0</v>
      </c>
      <c r="O334" s="27" t="s">
        <v>565</v>
      </c>
      <c r="P334" s="27" t="str">
        <f>IFERROR(INDEX('Aub Demand'!B:B,MATCH($O334,'Aub Demand'!$A:$A,0)),"")</f>
        <v>GAME KEEPERS TWEED</v>
      </c>
      <c r="Q334" s="27" t="str">
        <f>IFERROR(INDEX('Aub Demand'!C:C,MATCH($O334,'Aub Demand'!$A:$A,0)),"")</f>
        <v>SCHAT</v>
      </c>
      <c r="R334" s="52">
        <f>IFERROR(IF(AR335=AR334,INDEX('Aub Demand'!K:K,MATCH($O334,'Aub Demand'!$A:$A,0))-IF(AN334="",0,AN334)+AP335,INDEX('Aub Demand'!K:K,MATCH($O334,'Aub Demand'!$A:$A,0))-IF(AN334="",0,AN334)),"")</f>
        <v>2596</v>
      </c>
      <c r="S334" s="53" t="str">
        <f t="shared" si="140"/>
        <v>n/a</v>
      </c>
      <c r="T334" s="52" t="str">
        <f t="shared" si="141"/>
        <v/>
      </c>
      <c r="U334" s="52">
        <f>IFERROR(IF(AR335=AR334,INDEX('Aub Demand'!Q:Q,MATCH($O334,'Aub Demand'!$A:$A,0))-IF(AN334="",0,AN334)+AP335,INDEX('Aub Demand'!Q:Q,MATCH($O334,'Aub Demand'!$A:$A,0))-IF(AN334="",0,AN334)),"")</f>
        <v>2596</v>
      </c>
      <c r="V334" s="53" t="str">
        <f t="shared" si="142"/>
        <v>n/a</v>
      </c>
      <c r="W334" s="52" t="str">
        <f t="shared" si="143"/>
        <v/>
      </c>
      <c r="X334" s="52">
        <f>IFERROR(IF(AND(AR335=AR334,AM334&lt;&gt;""),INDEX('Aub Demand'!Q:Q,MATCH($O334,'Aub Demand'!$A:$A,0))-IF(AN334="",0,AN334)+AP335+AD334+AL334,IF(AR335=AR334,INDEX('Aub Demand'!Q:Q,MATCH($O334,'Aub Demand'!$A:$A,0))-IF(AN334="",0,AN334)+AP335+AD334,IF(AM334&lt;&gt;"",INDEX('Aub Demand'!Q:Q,MATCH($O334,'Aub Demand'!$A:$A,0))-IF(AN334="",0,AN334)+AD334+AL334,INDEX('Aub Demand'!Q:Q,MATCH($O334,'Aub Demand'!$A:$A,0))-IF(AN334="",0,AN334)+AD334))),"")</f>
        <v>2596</v>
      </c>
      <c r="Y334" s="53" t="str">
        <f t="shared" si="144"/>
        <v>n/a</v>
      </c>
      <c r="Z334" s="52">
        <f>IF(L334="","",INDEX('Aub Demand'!H:H,MATCH($O334,'Aub Demand'!$A:$A,0)))</f>
        <v>0</v>
      </c>
      <c r="AA334" s="52" t="str">
        <f t="shared" si="145"/>
        <v>-spike-</v>
      </c>
      <c r="AB334" s="52">
        <f>IFERROR(INDEX('Aub Demand'!L:L,MATCH($O334,'Aub Demand'!$A:$A,0)),"")</f>
        <v>0</v>
      </c>
      <c r="AC334" s="52">
        <f>IFERROR(IF(O334="","",SUMIFS('CPL Mats'!F:F,'CPL Mats'!Q:Q,AR334,'CPL Mats'!S:S,AS334)),"")</f>
        <v>0</v>
      </c>
      <c r="AF334" s="25" t="str">
        <f>IF(SUMIFS('Supp Consol'!S:S,'Supp Consol'!Y:Y,"Releasable",'Supp Consol'!A:A,O334)=0,"",SUMIFS('Supp Consol'!S:S,'Supp Consol'!Y:Y,"Releasable",'Supp Consol'!A:A,O334))</f>
        <v/>
      </c>
      <c r="AG334" s="25" t="str">
        <f>IFERROR(INDEX('Hun Demand'!Q:Q,MATCH(O334,'Hun Demand'!A:A,0)),"")</f>
        <v/>
      </c>
      <c r="AH334" s="25" t="str">
        <f>IFERROR(INDEX('Hun Demand'!H:H,MATCH($O334,'Hun Demand'!$A:$A,0)),"")</f>
        <v/>
      </c>
      <c r="AI334" s="25" t="str">
        <f>IF(SUMIFS('Supp Consol'!AA:AA,'Supp Consol'!Z:Z,"Expires this month",'Supp Consol'!A:A,O334)=0,"",SUMIFS('Supp Consol'!AA:AA,'Supp Consol'!Z:Z,"Expires this month",'Supp Consol'!A:A,O334))</f>
        <v/>
      </c>
      <c r="AJ334" s="25" t="str">
        <f>IF(SUMIFS('Supp Consol'!AA:AA,'Supp Consol'!Z:Z,"Expired Previous Months",'Supp Consol'!A:A,O334)=0,"",SUMIFS('Supp Consol'!AA:AA,'Supp Consol'!Z:Z,"Expired Previous Months",'Supp Consol'!A:A,O334))</f>
        <v/>
      </c>
      <c r="AK334" s="25" t="str">
        <f>IFERROR(INDEX('Hun Release Current'!B:B,MATCH(O334,'Hun Release Current'!A:A,0)),"")</f>
        <v/>
      </c>
      <c r="AL334" s="25" t="str">
        <f>IF(SUMIF('Prev Aub'!A:A,O334,'Prev Aub'!B:B)=0,"",SUMIF('Prev Aub'!A:A,O334,'Prev Aub'!B:B))</f>
        <v/>
      </c>
      <c r="AN334" s="25" t="s">
        <v>3790</v>
      </c>
      <c r="AO334" s="25" t="s">
        <v>3790</v>
      </c>
      <c r="AP334" s="25">
        <f t="shared" si="146"/>
        <v>0</v>
      </c>
      <c r="AQ334" s="151" t="str">
        <f>IF(SUMIFS('Supp Consol'!S:S,'Supp Consol'!A:A,O334,'Supp Consol'!I:I,"PENDING")=0,"",SUMIFS('Supp Consol'!S:S,'Supp Consol'!A:A,O334,'Supp Consol'!I:I,"PENDING"))</f>
        <v/>
      </c>
      <c r="AR334" s="27" t="str">
        <f t="shared" si="147"/>
        <v>AV999</v>
      </c>
      <c r="AS334" s="27" t="str">
        <f t="shared" si="148"/>
        <v>62</v>
      </c>
      <c r="AT334" s="27" t="str">
        <f t="shared" si="149"/>
        <v/>
      </c>
      <c r="AU334" s="27" t="str">
        <f t="shared" si="150"/>
        <v/>
      </c>
      <c r="AV334" s="27" t="str">
        <f t="shared" si="151"/>
        <v/>
      </c>
      <c r="AW334" s="27" t="str">
        <f t="shared" si="152"/>
        <v/>
      </c>
      <c r="AX334" s="27" t="str">
        <f t="shared" si="153"/>
        <v/>
      </c>
      <c r="AY334" s="27" t="str">
        <f t="shared" si="154"/>
        <v/>
      </c>
      <c r="AZ334" s="27" t="str">
        <f t="shared" si="155"/>
        <v/>
      </c>
      <c r="BA334" s="27" t="str">
        <f t="shared" si="156"/>
        <v/>
      </c>
      <c r="BB334" s="27" t="str">
        <f t="shared" si="157"/>
        <v/>
      </c>
      <c r="BC334" s="27" t="str">
        <f t="shared" si="158"/>
        <v/>
      </c>
      <c r="BD334" s="27" t="str">
        <f t="shared" si="159"/>
        <v/>
      </c>
      <c r="BE334" s="27" t="str">
        <f t="shared" si="160"/>
        <v/>
      </c>
      <c r="BF334" s="27" t="str">
        <f t="shared" si="161"/>
        <v/>
      </c>
      <c r="BG334" s="27" t="str">
        <f t="shared" si="162"/>
        <v/>
      </c>
      <c r="BH334" s="27" t="str">
        <f t="shared" si="163"/>
        <v/>
      </c>
      <c r="BI334" s="27" t="str">
        <f t="shared" si="164"/>
        <v/>
      </c>
      <c r="BJ334" s="27" t="str">
        <f t="shared" si="165"/>
        <v/>
      </c>
      <c r="BK334" s="27" t="str">
        <f t="shared" si="166"/>
        <v/>
      </c>
      <c r="BL334" s="27" t="str">
        <f t="shared" si="167"/>
        <v/>
      </c>
      <c r="BM334" s="21" t="s">
        <v>5581</v>
      </c>
    </row>
    <row r="335" spans="1:65" ht="15">
      <c r="A335" s="25" t="str">
        <f>IFERROR(INDEX('Hun Demand'!W:W,MATCH(O335,'Hun Demand'!A:A,0)),"")</f>
        <v/>
      </c>
      <c r="B335" s="25" t="str">
        <f>IFERROR(INDEX('Hun Demand'!V:V,MATCH(O335,'Hun Demand'!A:A,0)),"")</f>
        <v/>
      </c>
      <c r="C335" s="25" t="str">
        <f>IFERROR(INDEX('Hun Demand'!U:U,MATCH(O335,'Hun Demand'!A:A,0)),"")</f>
        <v/>
      </c>
      <c r="D335" s="25" t="str">
        <f>IFERROR(INDEX('Hun Demand'!T:T,MATCH(O335,'Hun Demand'!A:A,0)),"")</f>
        <v/>
      </c>
      <c r="E335" s="25" t="str">
        <f>IFERROR(INDEX('Hun Demand'!S:S,MATCH(O335,'Hun Demand'!A:A,0)),"")</f>
        <v/>
      </c>
      <c r="F335" s="25" t="str">
        <f>IFERROR(INDEX('Hun Demand'!R:R,MATCH(O335,'Hun Demand'!A:A,0)),"")</f>
        <v/>
      </c>
      <c r="G335" s="25">
        <f>IFERROR(INDEX('Aub Demand'!W:W,MATCH(O335,'Aub Demand'!A:A,0)),"")</f>
        <v>61</v>
      </c>
      <c r="H335" s="25">
        <f>IFERROR(INDEX('Aub Demand'!V:V,MATCH(O335,'Aub Demand'!A:A,0)),"")</f>
        <v>44</v>
      </c>
      <c r="I335" s="25">
        <f>IFERROR(INDEX('Aub Demand'!U:U,MATCH(O335,'Aub Demand'!A:A,0)),"")</f>
        <v>131</v>
      </c>
      <c r="J335" s="25">
        <f>IFERROR(INDEX('Aub Demand'!T:T,MATCH(O335,'Aub Demand'!A:A,0)),"")</f>
        <v>62</v>
      </c>
      <c r="K335" s="25">
        <f>IFERROR(INDEX('Aub Demand'!S:S,MATCH(O335,'Aub Demand'!A:A,0)),"")</f>
        <v>61</v>
      </c>
      <c r="L335" s="25">
        <f>IFERROR(INDEX('Aub Demand'!R:R,MATCH(O335,'Aub Demand'!A:A,0)),"")</f>
        <v>0</v>
      </c>
      <c r="O335" s="27" t="s">
        <v>566</v>
      </c>
      <c r="P335" s="27" t="str">
        <f>IFERROR(INDEX('Aub Demand'!B:B,MATCH($O335,'Aub Demand'!$A:$A,0)),"")</f>
        <v>ROCK OF AGES</v>
      </c>
      <c r="Q335" s="27" t="str">
        <f>IFERROR(INDEX('Aub Demand'!C:C,MATCH($O335,'Aub Demand'!$A:$A,0)),"")</f>
        <v>TOPPA</v>
      </c>
      <c r="R335" s="52">
        <f>IFERROR(IF(AR336=AR335,INDEX('Aub Demand'!K:K,MATCH($O335,'Aub Demand'!$A:$A,0))-IF(AN335="",0,AN335)+AP336,INDEX('Aub Demand'!K:K,MATCH($O335,'Aub Demand'!$A:$A,0))-IF(AN335="",0,AN335)),"")</f>
        <v>322</v>
      </c>
      <c r="S335" s="53">
        <f t="shared" si="140"/>
        <v>16.2</v>
      </c>
      <c r="T335" s="52" t="str">
        <f t="shared" si="141"/>
        <v/>
      </c>
      <c r="U335" s="52">
        <f>IFERROR(IF(AR336=AR335,INDEX('Aub Demand'!Q:Q,MATCH($O335,'Aub Demand'!$A:$A,0))-IF(AN335="",0,AN335)+AP336,INDEX('Aub Demand'!Q:Q,MATCH($O335,'Aub Demand'!$A:$A,0))-IF(AN335="",0,AN335)),"")</f>
        <v>296</v>
      </c>
      <c r="V335" s="53">
        <f t="shared" si="142"/>
        <v>14.9</v>
      </c>
      <c r="W335" s="52" t="str">
        <f t="shared" si="143"/>
        <v/>
      </c>
      <c r="X335" s="52">
        <f>IFERROR(IF(AND(AR336=AR335,AM335&lt;&gt;""),INDEX('Aub Demand'!Q:Q,MATCH($O335,'Aub Demand'!$A:$A,0))-IF(AN335="",0,AN335)+AP336+AD335+AL335,IF(AR336=AR335,INDEX('Aub Demand'!Q:Q,MATCH($O335,'Aub Demand'!$A:$A,0))-IF(AN335="",0,AN335)+AP336+AD335,IF(AM335&lt;&gt;"",INDEX('Aub Demand'!Q:Q,MATCH($O335,'Aub Demand'!$A:$A,0))-IF(AN335="",0,AN335)+AD335+AL335,INDEX('Aub Demand'!Q:Q,MATCH($O335,'Aub Demand'!$A:$A,0))-IF(AN335="",0,AN335)+AD335))),"")</f>
        <v>296</v>
      </c>
      <c r="Y335" s="53">
        <f t="shared" si="144"/>
        <v>14.9</v>
      </c>
      <c r="Z335" s="52">
        <f>IF(L335="","",INDEX('Aub Demand'!H:H,MATCH($O335,'Aub Demand'!$A:$A,0)))</f>
        <v>85</v>
      </c>
      <c r="AA335" s="52">
        <f t="shared" si="145"/>
        <v>96.5</v>
      </c>
      <c r="AB335" s="52">
        <f>IFERROR(INDEX('Aub Demand'!L:L,MATCH($O335,'Aub Demand'!$A:$A,0)),"")</f>
        <v>58</v>
      </c>
      <c r="AC335" s="52">
        <f>IFERROR(IF(O335="","",SUMIFS('CPL Mats'!F:F,'CPL Mats'!Q:Q,AR335,'CPL Mats'!S:S,AS335)),"")</f>
        <v>0</v>
      </c>
      <c r="AF335" s="25" t="str">
        <f>IF(SUMIFS('Supp Consol'!S:S,'Supp Consol'!Y:Y,"Releasable",'Supp Consol'!A:A,O335)=0,"",SUMIFS('Supp Consol'!S:S,'Supp Consol'!Y:Y,"Releasable",'Supp Consol'!A:A,O335))</f>
        <v/>
      </c>
      <c r="AG335" s="25" t="str">
        <f>IFERROR(INDEX('Hun Demand'!Q:Q,MATCH(O335,'Hun Demand'!A:A,0)),"")</f>
        <v/>
      </c>
      <c r="AH335" s="25" t="str">
        <f>IFERROR(INDEX('Hun Demand'!H:H,MATCH($O335,'Hun Demand'!$A:$A,0)),"")</f>
        <v/>
      </c>
      <c r="AI335" s="25" t="str">
        <f>IF(SUMIFS('Supp Consol'!AA:AA,'Supp Consol'!Z:Z,"Expires this month",'Supp Consol'!A:A,O335)=0,"",SUMIFS('Supp Consol'!AA:AA,'Supp Consol'!Z:Z,"Expires this month",'Supp Consol'!A:A,O335))</f>
        <v/>
      </c>
      <c r="AJ335" s="25" t="str">
        <f>IF(SUMIFS('Supp Consol'!AA:AA,'Supp Consol'!Z:Z,"Expired Previous Months",'Supp Consol'!A:A,O335)=0,"",SUMIFS('Supp Consol'!AA:AA,'Supp Consol'!Z:Z,"Expired Previous Months",'Supp Consol'!A:A,O335))</f>
        <v/>
      </c>
      <c r="AK335" s="25" t="str">
        <f>IFERROR(INDEX('Hun Release Current'!B:B,MATCH(O335,'Hun Release Current'!A:A,0)),"")</f>
        <v/>
      </c>
      <c r="AL335" s="25" t="str">
        <f>IF(SUMIF('Prev Aub'!A:A,O335,'Prev Aub'!B:B)=0,"",SUMIF('Prev Aub'!A:A,O335,'Prev Aub'!B:B))</f>
        <v/>
      </c>
      <c r="AN335" s="25" t="s">
        <v>3790</v>
      </c>
      <c r="AO335" s="25" t="s">
        <v>3790</v>
      </c>
      <c r="AP335" s="25">
        <f t="shared" si="146"/>
        <v>0</v>
      </c>
      <c r="AQ335" s="151" t="str">
        <f>IF(SUMIFS('Supp Consol'!S:S,'Supp Consol'!A:A,O335,'Supp Consol'!I:I,"PENDING")=0,"",SUMIFS('Supp Consol'!S:S,'Supp Consol'!A:A,O335,'Supp Consol'!I:I,"PENDING"))</f>
        <v/>
      </c>
      <c r="AR335" s="27" t="str">
        <f t="shared" si="147"/>
        <v>AW141</v>
      </c>
      <c r="AS335" s="27" t="str">
        <f t="shared" si="148"/>
        <v>50</v>
      </c>
      <c r="AT335" s="27" t="str">
        <f t="shared" si="149"/>
        <v/>
      </c>
      <c r="AU335" s="27" t="str">
        <f t="shared" si="150"/>
        <v/>
      </c>
      <c r="AV335" s="27" t="str">
        <f t="shared" si="151"/>
        <v/>
      </c>
      <c r="AW335" s="27" t="str">
        <f t="shared" si="152"/>
        <v/>
      </c>
      <c r="AX335" s="27" t="str">
        <f t="shared" si="153"/>
        <v/>
      </c>
      <c r="AY335" s="27" t="str">
        <f t="shared" si="154"/>
        <v/>
      </c>
      <c r="AZ335" s="27" t="str">
        <f t="shared" si="155"/>
        <v/>
      </c>
      <c r="BA335" s="27" t="str">
        <f t="shared" si="156"/>
        <v/>
      </c>
      <c r="BB335" s="27" t="str">
        <f t="shared" si="157"/>
        <v/>
      </c>
      <c r="BC335" s="27" t="str">
        <f t="shared" si="158"/>
        <v/>
      </c>
      <c r="BD335" s="27" t="str">
        <f t="shared" si="159"/>
        <v/>
      </c>
      <c r="BE335" s="27" t="str">
        <f t="shared" si="160"/>
        <v/>
      </c>
      <c r="BF335" s="27" t="str">
        <f t="shared" si="161"/>
        <v/>
      </c>
      <c r="BG335" s="27" t="str">
        <f t="shared" si="162"/>
        <v/>
      </c>
      <c r="BH335" s="27" t="str">
        <f t="shared" si="163"/>
        <v/>
      </c>
      <c r="BI335" s="27" t="str">
        <f t="shared" si="164"/>
        <v/>
      </c>
      <c r="BJ335" s="27" t="str">
        <f t="shared" si="165"/>
        <v/>
      </c>
      <c r="BK335" s="27" t="str">
        <f t="shared" si="166"/>
        <v/>
      </c>
      <c r="BL335" s="27" t="str">
        <f t="shared" si="167"/>
        <v/>
      </c>
      <c r="BM335" s="21" t="s">
        <v>5581</v>
      </c>
    </row>
    <row r="336" spans="1:65" ht="15">
      <c r="A336" s="25" t="str">
        <f>IFERROR(INDEX('Hun Demand'!W:W,MATCH(O336,'Hun Demand'!A:A,0)),"")</f>
        <v/>
      </c>
      <c r="B336" s="25" t="str">
        <f>IFERROR(INDEX('Hun Demand'!V:V,MATCH(O336,'Hun Demand'!A:A,0)),"")</f>
        <v/>
      </c>
      <c r="C336" s="25" t="str">
        <f>IFERROR(INDEX('Hun Demand'!U:U,MATCH(O336,'Hun Demand'!A:A,0)),"")</f>
        <v/>
      </c>
      <c r="D336" s="25" t="str">
        <f>IFERROR(INDEX('Hun Demand'!T:T,MATCH(O336,'Hun Demand'!A:A,0)),"")</f>
        <v/>
      </c>
      <c r="E336" s="25" t="str">
        <f>IFERROR(INDEX('Hun Demand'!S:S,MATCH(O336,'Hun Demand'!A:A,0)),"")</f>
        <v/>
      </c>
      <c r="F336" s="25" t="str">
        <f>IFERROR(INDEX('Hun Demand'!R:R,MATCH(O336,'Hun Demand'!A:A,0)),"")</f>
        <v/>
      </c>
      <c r="G336" s="25">
        <f>IFERROR(INDEX('Aub Demand'!W:W,MATCH(O336,'Aub Demand'!A:A,0)),"")</f>
        <v>99</v>
      </c>
      <c r="H336" s="25">
        <f>IFERROR(INDEX('Aub Demand'!V:V,MATCH(O336,'Aub Demand'!A:A,0)),"")</f>
        <v>335</v>
      </c>
      <c r="I336" s="25">
        <f>IFERROR(INDEX('Aub Demand'!U:U,MATCH(O336,'Aub Demand'!A:A,0)),"")</f>
        <v>232</v>
      </c>
      <c r="J336" s="25">
        <f>IFERROR(INDEX('Aub Demand'!T:T,MATCH(O336,'Aub Demand'!A:A,0)),"")</f>
        <v>363</v>
      </c>
      <c r="K336" s="25">
        <f>IFERROR(INDEX('Aub Demand'!S:S,MATCH(O336,'Aub Demand'!A:A,0)),"")</f>
        <v>0</v>
      </c>
      <c r="L336" s="25">
        <f>IFERROR(INDEX('Aub Demand'!R:R,MATCH(O336,'Aub Demand'!A:A,0)),"")</f>
        <v>0</v>
      </c>
      <c r="O336" s="27" t="s">
        <v>568</v>
      </c>
      <c r="P336" s="27" t="str">
        <f>IFERROR(INDEX('Aub Demand'!B:B,MATCH($O336,'Aub Demand'!$A:$A,0)),"")</f>
        <v>ROCK OF AGES</v>
      </c>
      <c r="Q336" s="27" t="str">
        <f>IFERROR(INDEX('Aub Demand'!C:C,MATCH($O336,'Aub Demand'!$A:$A,0)),"")</f>
        <v>TOPPA</v>
      </c>
      <c r="R336" s="52">
        <f>IFERROR(IF(AR337=AR336,INDEX('Aub Demand'!K:K,MATCH($O336,'Aub Demand'!$A:$A,0))-IF(AN336="",0,AN336)+AP337,INDEX('Aub Demand'!K:K,MATCH($O336,'Aub Demand'!$A:$A,0))-IF(AN336="",0,AN336)),"")</f>
        <v>4635</v>
      </c>
      <c r="S336" s="53">
        <f t="shared" si="140"/>
        <v>100.3</v>
      </c>
      <c r="T336" s="52" t="str">
        <f t="shared" si="141"/>
        <v/>
      </c>
      <c r="U336" s="52">
        <f>IFERROR(IF(AR337=AR336,INDEX('Aub Demand'!Q:Q,MATCH($O336,'Aub Demand'!$A:$A,0))-IF(AN336="",0,AN336)+AP337,INDEX('Aub Demand'!Q:Q,MATCH($O336,'Aub Demand'!$A:$A,0))-IF(AN336="",0,AN336)),"")</f>
        <v>4528</v>
      </c>
      <c r="V336" s="53">
        <f t="shared" si="142"/>
        <v>98</v>
      </c>
      <c r="W336" s="52" t="str">
        <f t="shared" si="143"/>
        <v/>
      </c>
      <c r="X336" s="52">
        <f>IFERROR(IF(AND(AR337=AR336,AM336&lt;&gt;""),INDEX('Aub Demand'!Q:Q,MATCH($O336,'Aub Demand'!$A:$A,0))-IF(AN336="",0,AN336)+AP337+AD336+AL336,IF(AR337=AR336,INDEX('Aub Demand'!Q:Q,MATCH($O336,'Aub Demand'!$A:$A,0))-IF(AN336="",0,AN336)+AP337+AD336,IF(AM336&lt;&gt;"",INDEX('Aub Demand'!Q:Q,MATCH($O336,'Aub Demand'!$A:$A,0))-IF(AN336="",0,AN336)+AD336+AL336,INDEX('Aub Demand'!Q:Q,MATCH($O336,'Aub Demand'!$A:$A,0))-IF(AN336="",0,AN336)+AD336))),"")</f>
        <v>4528</v>
      </c>
      <c r="Y336" s="53">
        <f t="shared" si="144"/>
        <v>98</v>
      </c>
      <c r="Z336" s="52">
        <f>IF(L336="","",INDEX('Aub Demand'!H:H,MATCH($O336,'Aub Demand'!$A:$A,0)))</f>
        <v>198</v>
      </c>
      <c r="AA336" s="52">
        <f t="shared" si="145"/>
        <v>297.5</v>
      </c>
      <c r="AB336" s="52">
        <f>IFERROR(INDEX('Aub Demand'!L:L,MATCH($O336,'Aub Demand'!$A:$A,0)),"")</f>
        <v>93</v>
      </c>
      <c r="AC336" s="52">
        <f>IFERROR(IF(O336="","",SUMIFS('CPL Mats'!F:F,'CPL Mats'!Q:Q,AR336,'CPL Mats'!S:S,AS336)),"")</f>
        <v>0</v>
      </c>
      <c r="AF336" s="25" t="str">
        <f>IF(SUMIFS('Supp Consol'!S:S,'Supp Consol'!Y:Y,"Releasable",'Supp Consol'!A:A,O336)=0,"",SUMIFS('Supp Consol'!S:S,'Supp Consol'!Y:Y,"Releasable",'Supp Consol'!A:A,O336))</f>
        <v/>
      </c>
      <c r="AG336" s="25" t="str">
        <f>IFERROR(INDEX('Hun Demand'!Q:Q,MATCH(O336,'Hun Demand'!A:A,0)),"")</f>
        <v/>
      </c>
      <c r="AH336" s="25" t="str">
        <f>IFERROR(INDEX('Hun Demand'!H:H,MATCH($O336,'Hun Demand'!$A:$A,0)),"")</f>
        <v/>
      </c>
      <c r="AI336" s="25" t="str">
        <f>IF(SUMIFS('Supp Consol'!AA:AA,'Supp Consol'!Z:Z,"Expires this month",'Supp Consol'!A:A,O336)=0,"",SUMIFS('Supp Consol'!AA:AA,'Supp Consol'!Z:Z,"Expires this month",'Supp Consol'!A:A,O336))</f>
        <v/>
      </c>
      <c r="AJ336" s="25" t="str">
        <f>IF(SUMIFS('Supp Consol'!AA:AA,'Supp Consol'!Z:Z,"Expired Previous Months",'Supp Consol'!A:A,O336)=0,"",SUMIFS('Supp Consol'!AA:AA,'Supp Consol'!Z:Z,"Expired Previous Months",'Supp Consol'!A:A,O336))</f>
        <v/>
      </c>
      <c r="AK336" s="25" t="str">
        <f>IFERROR(INDEX('Hun Release Current'!B:B,MATCH(O336,'Hun Release Current'!A:A,0)),"")</f>
        <v/>
      </c>
      <c r="AL336" s="25" t="str">
        <f>IF(SUMIF('Prev Aub'!A:A,O336,'Prev Aub'!B:B)=0,"",SUMIF('Prev Aub'!A:A,O336,'Prev Aub'!B:B))</f>
        <v/>
      </c>
      <c r="AN336" s="25" t="s">
        <v>3790</v>
      </c>
      <c r="AO336" s="25" t="s">
        <v>3790</v>
      </c>
      <c r="AP336" s="25">
        <f t="shared" si="146"/>
        <v>0</v>
      </c>
      <c r="AQ336" s="151" t="str">
        <f>IF(SUMIFS('Supp Consol'!S:S,'Supp Consol'!A:A,O336,'Supp Consol'!I:I,"PENDING")=0,"",SUMIFS('Supp Consol'!S:S,'Supp Consol'!A:A,O336,'Supp Consol'!I:I,"PENDING"))</f>
        <v/>
      </c>
      <c r="AR336" s="27" t="str">
        <f t="shared" si="147"/>
        <v>AW141</v>
      </c>
      <c r="AS336" s="27" t="str">
        <f t="shared" si="148"/>
        <v>62</v>
      </c>
      <c r="AT336" s="27" t="str">
        <f t="shared" si="149"/>
        <v/>
      </c>
      <c r="AU336" s="27" t="str">
        <f t="shared" si="150"/>
        <v/>
      </c>
      <c r="AV336" s="27" t="str">
        <f t="shared" si="151"/>
        <v/>
      </c>
      <c r="AW336" s="27" t="str">
        <f t="shared" si="152"/>
        <v/>
      </c>
      <c r="AX336" s="27" t="str">
        <f t="shared" si="153"/>
        <v/>
      </c>
      <c r="AY336" s="27" t="str">
        <f t="shared" si="154"/>
        <v/>
      </c>
      <c r="AZ336" s="27" t="str">
        <f t="shared" si="155"/>
        <v/>
      </c>
      <c r="BA336" s="27" t="str">
        <f t="shared" si="156"/>
        <v/>
      </c>
      <c r="BB336" s="27" t="str">
        <f t="shared" si="157"/>
        <v/>
      </c>
      <c r="BC336" s="27" t="str">
        <f t="shared" si="158"/>
        <v/>
      </c>
      <c r="BD336" s="27" t="str">
        <f t="shared" si="159"/>
        <v/>
      </c>
      <c r="BE336" s="27" t="str">
        <f t="shared" si="160"/>
        <v/>
      </c>
      <c r="BF336" s="27" t="str">
        <f t="shared" si="161"/>
        <v/>
      </c>
      <c r="BG336" s="27" t="str">
        <f t="shared" si="162"/>
        <v/>
      </c>
      <c r="BH336" s="27" t="str">
        <f t="shared" si="163"/>
        <v/>
      </c>
      <c r="BI336" s="27" t="str">
        <f t="shared" si="164"/>
        <v/>
      </c>
      <c r="BJ336" s="27" t="str">
        <f t="shared" si="165"/>
        <v/>
      </c>
      <c r="BK336" s="27" t="str">
        <f t="shared" si="166"/>
        <v/>
      </c>
      <c r="BL336" s="27" t="str">
        <f t="shared" si="167"/>
        <v/>
      </c>
      <c r="BM336" s="21" t="s">
        <v>5581</v>
      </c>
    </row>
    <row r="337" spans="1:65" ht="15">
      <c r="A337" s="25" t="str">
        <f>IFERROR(INDEX('Hun Demand'!W:W,MATCH(O337,'Hun Demand'!A:A,0)),"")</f>
        <v/>
      </c>
      <c r="B337" s="25" t="str">
        <f>IFERROR(INDEX('Hun Demand'!V:V,MATCH(O337,'Hun Demand'!A:A,0)),"")</f>
        <v/>
      </c>
      <c r="C337" s="25" t="str">
        <f>IFERROR(INDEX('Hun Demand'!U:U,MATCH(O337,'Hun Demand'!A:A,0)),"")</f>
        <v/>
      </c>
      <c r="D337" s="25" t="str">
        <f>IFERROR(INDEX('Hun Demand'!T:T,MATCH(O337,'Hun Demand'!A:A,0)),"")</f>
        <v/>
      </c>
      <c r="E337" s="25" t="str">
        <f>IFERROR(INDEX('Hun Demand'!S:S,MATCH(O337,'Hun Demand'!A:A,0)),"")</f>
        <v/>
      </c>
      <c r="F337" s="25" t="str">
        <f>IFERROR(INDEX('Hun Demand'!R:R,MATCH(O337,'Hun Demand'!A:A,0)),"")</f>
        <v/>
      </c>
      <c r="G337" s="25">
        <f>IFERROR(INDEX('Aub Demand'!W:W,MATCH(O337,'Aub Demand'!A:A,0)),"")</f>
        <v>31</v>
      </c>
      <c r="H337" s="25">
        <f>IFERROR(INDEX('Aub Demand'!V:V,MATCH(O337,'Aub Demand'!A:A,0)),"")</f>
        <v>12</v>
      </c>
      <c r="I337" s="25">
        <f>IFERROR(INDEX('Aub Demand'!U:U,MATCH(O337,'Aub Demand'!A:A,0)),"")</f>
        <v>21</v>
      </c>
      <c r="J337" s="25">
        <f>IFERROR(INDEX('Aub Demand'!T:T,MATCH(O337,'Aub Demand'!A:A,0)),"")</f>
        <v>40</v>
      </c>
      <c r="K337" s="25">
        <f>IFERROR(INDEX('Aub Demand'!S:S,MATCH(O337,'Aub Demand'!A:A,0)),"")</f>
        <v>90</v>
      </c>
      <c r="L337" s="25">
        <f>IFERROR(INDEX('Aub Demand'!R:R,MATCH(O337,'Aub Demand'!A:A,0)),"")</f>
        <v>0</v>
      </c>
      <c r="O337" s="27" t="s">
        <v>2113</v>
      </c>
      <c r="P337" s="27" t="str">
        <f>IFERROR(INDEX('Aub Demand'!B:B,MATCH($O337,'Aub Demand'!$A:$A,0)),"")</f>
        <v>WHITE KINETIC</v>
      </c>
      <c r="Q337" s="27" t="str">
        <f>IFERROR(INDEX('Aub Demand'!C:C,MATCH($O337,'Aub Demand'!$A:$A,0)),"")</f>
        <v>INTER</v>
      </c>
      <c r="R337" s="52">
        <f>IFERROR(IF(AR338=AR337,INDEX('Aub Demand'!K:K,MATCH($O337,'Aub Demand'!$A:$A,0))-IF(AN337="",0,AN337)+AP338,INDEX('Aub Demand'!K:K,MATCH($O337,'Aub Demand'!$A:$A,0))-IF(AN337="",0,AN337)),"")</f>
        <v>1078</v>
      </c>
      <c r="S337" s="53">
        <f t="shared" si="140"/>
        <v>92.4</v>
      </c>
      <c r="T337" s="52" t="str">
        <f t="shared" si="141"/>
        <v/>
      </c>
      <c r="U337" s="52">
        <f>IFERROR(IF(AR338=AR337,INDEX('Aub Demand'!Q:Q,MATCH($O337,'Aub Demand'!$A:$A,0))-IF(AN337="",0,AN337)+AP338,INDEX('Aub Demand'!Q:Q,MATCH($O337,'Aub Demand'!$A:$A,0))-IF(AN337="",0,AN337)),"")</f>
        <v>1040</v>
      </c>
      <c r="V337" s="53">
        <f t="shared" si="142"/>
        <v>89.1</v>
      </c>
      <c r="W337" s="52" t="str">
        <f t="shared" si="143"/>
        <v/>
      </c>
      <c r="X337" s="52">
        <f>IFERROR(IF(AND(AR338=AR337,AM337&lt;&gt;""),INDEX('Aub Demand'!Q:Q,MATCH($O337,'Aub Demand'!$A:$A,0))-IF(AN337="",0,AN337)+AP338+AD337+AL337,IF(AR338=AR337,INDEX('Aub Demand'!Q:Q,MATCH($O337,'Aub Demand'!$A:$A,0))-IF(AN337="",0,AN337)+AP338+AD337,IF(AM337&lt;&gt;"",INDEX('Aub Demand'!Q:Q,MATCH($O337,'Aub Demand'!$A:$A,0))-IF(AN337="",0,AN337)+AD337+AL337,INDEX('Aub Demand'!Q:Q,MATCH($O337,'Aub Demand'!$A:$A,0))-IF(AN337="",0,AN337)+AD337))),"")</f>
        <v>1040</v>
      </c>
      <c r="Y337" s="53">
        <f t="shared" si="144"/>
        <v>89.1</v>
      </c>
      <c r="Z337" s="52">
        <f>IF(L337="","",INDEX('Aub Demand'!H:H,MATCH($O337,'Aub Demand'!$A:$A,0)))</f>
        <v>50</v>
      </c>
      <c r="AA337" s="52">
        <f t="shared" si="145"/>
        <v>65</v>
      </c>
      <c r="AB337" s="52">
        <f>IFERROR(INDEX('Aub Demand'!L:L,MATCH($O337,'Aub Demand'!$A:$A,0)),"")</f>
        <v>129</v>
      </c>
      <c r="AC337" s="52">
        <f>IFERROR(IF(O337="","",SUMIFS('CPL Mats'!F:F,'CPL Mats'!Q:Q,AR337,'CPL Mats'!S:S,AS337)),"")</f>
        <v>1851</v>
      </c>
      <c r="AF337" s="25" t="str">
        <f>IF(SUMIFS('Supp Consol'!S:S,'Supp Consol'!Y:Y,"Releasable",'Supp Consol'!A:A,O337)=0,"",SUMIFS('Supp Consol'!S:S,'Supp Consol'!Y:Y,"Releasable",'Supp Consol'!A:A,O337))</f>
        <v/>
      </c>
      <c r="AG337" s="25" t="str">
        <f>IFERROR(INDEX('Hun Demand'!Q:Q,MATCH(O337,'Hun Demand'!A:A,0)),"")</f>
        <v/>
      </c>
      <c r="AH337" s="25" t="str">
        <f>IFERROR(INDEX('Hun Demand'!H:H,MATCH($O337,'Hun Demand'!$A:$A,0)),"")</f>
        <v/>
      </c>
      <c r="AI337" s="25" t="str">
        <f>IF(SUMIFS('Supp Consol'!AA:AA,'Supp Consol'!Z:Z,"Expires this month",'Supp Consol'!A:A,O337)=0,"",SUMIFS('Supp Consol'!AA:AA,'Supp Consol'!Z:Z,"Expires this month",'Supp Consol'!A:A,O337))</f>
        <v/>
      </c>
      <c r="AJ337" s="25" t="str">
        <f>IF(SUMIFS('Supp Consol'!AA:AA,'Supp Consol'!Z:Z,"Expired Previous Months",'Supp Consol'!A:A,O337)=0,"",SUMIFS('Supp Consol'!AA:AA,'Supp Consol'!Z:Z,"Expired Previous Months",'Supp Consol'!A:A,O337))</f>
        <v/>
      </c>
      <c r="AK337" s="25" t="str">
        <f>IFERROR(INDEX('Hun Release Current'!B:B,MATCH(O337,'Hun Release Current'!A:A,0)),"")</f>
        <v/>
      </c>
      <c r="AL337" s="25" t="str">
        <f>IF(SUMIF('Prev Aub'!A:A,O337,'Prev Aub'!B:B)=0,"",SUMIF('Prev Aub'!A:A,O337,'Prev Aub'!B:B))</f>
        <v/>
      </c>
      <c r="AN337" s="25" t="s">
        <v>3790</v>
      </c>
      <c r="AO337" s="25" t="s">
        <v>3790</v>
      </c>
      <c r="AP337" s="25">
        <f t="shared" si="146"/>
        <v>0</v>
      </c>
      <c r="AQ337" s="151" t="str">
        <f>IF(SUMIFS('Supp Consol'!S:S,'Supp Consol'!A:A,O337,'Supp Consol'!I:I,"PENDING")=0,"",SUMIFS('Supp Consol'!S:S,'Supp Consol'!A:A,O337,'Supp Consol'!I:I,"PENDING"))</f>
        <v/>
      </c>
      <c r="AR337" s="27" t="str">
        <f t="shared" si="147"/>
        <v>AW180</v>
      </c>
      <c r="AS337" s="27" t="str">
        <f t="shared" si="148"/>
        <v>50</v>
      </c>
      <c r="AT337" s="27" t="str">
        <f t="shared" si="149"/>
        <v/>
      </c>
      <c r="AU337" s="27" t="str">
        <f t="shared" si="150"/>
        <v/>
      </c>
      <c r="AV337" s="27" t="str">
        <f t="shared" si="151"/>
        <v/>
      </c>
      <c r="AW337" s="27" t="str">
        <f t="shared" si="152"/>
        <v/>
      </c>
      <c r="AX337" s="27" t="str">
        <f t="shared" si="153"/>
        <v/>
      </c>
      <c r="AY337" s="27" t="str">
        <f t="shared" si="154"/>
        <v/>
      </c>
      <c r="AZ337" s="27" t="str">
        <f t="shared" si="155"/>
        <v/>
      </c>
      <c r="BA337" s="27" t="str">
        <f t="shared" si="156"/>
        <v/>
      </c>
      <c r="BB337" s="27" t="str">
        <f t="shared" si="157"/>
        <v/>
      </c>
      <c r="BC337" s="27" t="str">
        <f t="shared" si="158"/>
        <v>Net</v>
      </c>
      <c r="BD337" s="27" t="str">
        <f t="shared" si="159"/>
        <v>Net</v>
      </c>
      <c r="BE337" s="27" t="str">
        <f t="shared" si="160"/>
        <v/>
      </c>
      <c r="BF337" s="27" t="str">
        <f t="shared" si="161"/>
        <v/>
      </c>
      <c r="BG337" s="27" t="str">
        <f t="shared" si="162"/>
        <v/>
      </c>
      <c r="BH337" s="27" t="str">
        <f t="shared" si="163"/>
        <v/>
      </c>
      <c r="BI337" s="27" t="str">
        <f t="shared" si="164"/>
        <v/>
      </c>
      <c r="BJ337" s="27" t="str">
        <f t="shared" si="165"/>
        <v/>
      </c>
      <c r="BK337" s="27" t="str">
        <f t="shared" si="166"/>
        <v/>
      </c>
      <c r="BL337" s="27" t="str">
        <f t="shared" si="167"/>
        <v/>
      </c>
      <c r="BM337" s="21" t="s">
        <v>5581</v>
      </c>
    </row>
    <row r="338" spans="1:65" ht="15">
      <c r="A338" s="25" t="str">
        <f>IFERROR(INDEX('Hun Demand'!W:W,MATCH(O338,'Hun Demand'!A:A,0)),"")</f>
        <v/>
      </c>
      <c r="B338" s="25" t="str">
        <f>IFERROR(INDEX('Hun Demand'!V:V,MATCH(O338,'Hun Demand'!A:A,0)),"")</f>
        <v/>
      </c>
      <c r="C338" s="25" t="str">
        <f>IFERROR(INDEX('Hun Demand'!U:U,MATCH(O338,'Hun Demand'!A:A,0)),"")</f>
        <v/>
      </c>
      <c r="D338" s="25" t="str">
        <f>IFERROR(INDEX('Hun Demand'!T:T,MATCH(O338,'Hun Demand'!A:A,0)),"")</f>
        <v/>
      </c>
      <c r="E338" s="25" t="str">
        <f>IFERROR(INDEX('Hun Demand'!S:S,MATCH(O338,'Hun Demand'!A:A,0)),"")</f>
        <v/>
      </c>
      <c r="F338" s="25" t="str">
        <f>IFERROR(INDEX('Hun Demand'!R:R,MATCH(O338,'Hun Demand'!A:A,0)),"")</f>
        <v/>
      </c>
      <c r="G338" s="25">
        <f>IFERROR(INDEX('Aub Demand'!W:W,MATCH(O338,'Aub Demand'!A:A,0)),"")</f>
        <v>52</v>
      </c>
      <c r="H338" s="25">
        <f>IFERROR(INDEX('Aub Demand'!V:V,MATCH(O338,'Aub Demand'!A:A,0)),"")</f>
        <v>22</v>
      </c>
      <c r="I338" s="25">
        <f>IFERROR(INDEX('Aub Demand'!U:U,MATCH(O338,'Aub Demand'!A:A,0)),"")</f>
        <v>41</v>
      </c>
      <c r="J338" s="25">
        <f>IFERROR(INDEX('Aub Demand'!T:T,MATCH(O338,'Aub Demand'!A:A,0)),"")</f>
        <v>260</v>
      </c>
      <c r="K338" s="25">
        <f>IFERROR(INDEX('Aub Demand'!S:S,MATCH(O338,'Aub Demand'!A:A,0)),"")</f>
        <v>0</v>
      </c>
      <c r="L338" s="25">
        <f>IFERROR(INDEX('Aub Demand'!R:R,MATCH(O338,'Aub Demand'!A:A,0)),"")</f>
        <v>0</v>
      </c>
      <c r="O338" s="27" t="s">
        <v>2115</v>
      </c>
      <c r="P338" s="27" t="str">
        <f>IFERROR(INDEX('Aub Demand'!B:B,MATCH($O338,'Aub Demand'!$A:$A,0)),"")</f>
        <v>WHITE KINETIC</v>
      </c>
      <c r="Q338" s="27" t="str">
        <f>IFERROR(INDEX('Aub Demand'!C:C,MATCH($O338,'Aub Demand'!$A:$A,0)),"")</f>
        <v>INTER</v>
      </c>
      <c r="R338" s="52">
        <f>IFERROR(IF(AR339=AR338,INDEX('Aub Demand'!K:K,MATCH($O338,'Aub Demand'!$A:$A,0))-IF(AN338="",0,AN338)+AP339,INDEX('Aub Demand'!K:K,MATCH($O338,'Aub Demand'!$A:$A,0))-IF(AN338="",0,AN338)),"")</f>
        <v>100</v>
      </c>
      <c r="S338" s="53">
        <f t="shared" si="140"/>
        <v>4.3</v>
      </c>
      <c r="T338" s="52" t="str">
        <f t="shared" si="141"/>
        <v/>
      </c>
      <c r="U338" s="52">
        <f>IFERROR(IF(AR339=AR338,INDEX('Aub Demand'!Q:Q,MATCH($O338,'Aub Demand'!$A:$A,0))-IF(AN338="",0,AN338)+AP339,INDEX('Aub Demand'!Q:Q,MATCH($O338,'Aub Demand'!$A:$A,0))-IF(AN338="",0,AN338)),"")</f>
        <v>34</v>
      </c>
      <c r="V338" s="53">
        <f t="shared" si="142"/>
        <v>1.5</v>
      </c>
      <c r="W338" s="52">
        <f t="shared" si="143"/>
        <v>56.4375</v>
      </c>
      <c r="X338" s="52">
        <f>IFERROR(IF(AND(AR339=AR338,AM338&lt;&gt;""),INDEX('Aub Demand'!Q:Q,MATCH($O338,'Aub Demand'!$A:$A,0))-IF(AN338="",0,AN338)+AP339+AD338+AL338,IF(AR339=AR338,INDEX('Aub Demand'!Q:Q,MATCH($O338,'Aub Demand'!$A:$A,0))-IF(AN338="",0,AN338)+AP339+AD338,IF(AM338&lt;&gt;"",INDEX('Aub Demand'!Q:Q,MATCH($O338,'Aub Demand'!$A:$A,0))-IF(AN338="",0,AN338)+AD338+AL338,INDEX('Aub Demand'!Q:Q,MATCH($O338,'Aub Demand'!$A:$A,0))-IF(AN338="",0,AN338)+AD338))),"")</f>
        <v>34</v>
      </c>
      <c r="Y338" s="53">
        <f t="shared" si="144"/>
        <v>1.5</v>
      </c>
      <c r="Z338" s="52">
        <f>IF(L338="","",INDEX('Aub Demand'!H:H,MATCH($O338,'Aub Demand'!$A:$A,0)))</f>
        <v>100</v>
      </c>
      <c r="AA338" s="52">
        <f t="shared" si="145"/>
        <v>150.5</v>
      </c>
      <c r="AB338" s="52">
        <f>IFERROR(INDEX('Aub Demand'!L:L,MATCH($O338,'Aub Demand'!$A:$A,0)),"")</f>
        <v>86</v>
      </c>
      <c r="AC338" s="52">
        <f>IFERROR(IF(O338="","",SUMIFS('CPL Mats'!F:F,'CPL Mats'!Q:Q,AR338,'CPL Mats'!S:S,AS338)),"")</f>
        <v>0</v>
      </c>
      <c r="AF338" s="25" t="str">
        <f>IF(SUMIFS('Supp Consol'!S:S,'Supp Consol'!Y:Y,"Releasable",'Supp Consol'!A:A,O338)=0,"",SUMIFS('Supp Consol'!S:S,'Supp Consol'!Y:Y,"Releasable",'Supp Consol'!A:A,O338))</f>
        <v/>
      </c>
      <c r="AG338" s="25" t="str">
        <f>IFERROR(INDEX('Hun Demand'!Q:Q,MATCH(O338,'Hun Demand'!A:A,0)),"")</f>
        <v/>
      </c>
      <c r="AH338" s="25" t="str">
        <f>IFERROR(INDEX('Hun Demand'!H:H,MATCH($O338,'Hun Demand'!$A:$A,0)),"")</f>
        <v/>
      </c>
      <c r="AI338" s="25" t="str">
        <f>IF(SUMIFS('Supp Consol'!AA:AA,'Supp Consol'!Z:Z,"Expires this month",'Supp Consol'!A:A,O338)=0,"",SUMIFS('Supp Consol'!AA:AA,'Supp Consol'!Z:Z,"Expires this month",'Supp Consol'!A:A,O338))</f>
        <v/>
      </c>
      <c r="AJ338" s="25" t="str">
        <f>IF(SUMIFS('Supp Consol'!AA:AA,'Supp Consol'!Z:Z,"Expired Previous Months",'Supp Consol'!A:A,O338)=0,"",SUMIFS('Supp Consol'!AA:AA,'Supp Consol'!Z:Z,"Expired Previous Months",'Supp Consol'!A:A,O338))</f>
        <v/>
      </c>
      <c r="AK338" s="25" t="str">
        <f>IFERROR(INDEX('Hun Release Current'!B:B,MATCH(O338,'Hun Release Current'!A:A,0)),"")</f>
        <v/>
      </c>
      <c r="AL338" s="25" t="str">
        <f>IF(SUMIF('Prev Aub'!A:A,O338,'Prev Aub'!B:B)=0,"",SUMIF('Prev Aub'!A:A,O338,'Prev Aub'!B:B))</f>
        <v/>
      </c>
      <c r="AN338" s="25" t="s">
        <v>3790</v>
      </c>
      <c r="AO338" s="25" t="s">
        <v>3790</v>
      </c>
      <c r="AP338" s="25">
        <f t="shared" si="146"/>
        <v>0</v>
      </c>
      <c r="AQ338" s="151" t="str">
        <f>IF(SUMIFS('Supp Consol'!S:S,'Supp Consol'!A:A,O338,'Supp Consol'!I:I,"PENDING")=0,"",SUMIFS('Supp Consol'!S:S,'Supp Consol'!A:A,O338,'Supp Consol'!I:I,"PENDING"))</f>
        <v/>
      </c>
      <c r="AR338" s="27" t="str">
        <f t="shared" si="147"/>
        <v>AW180</v>
      </c>
      <c r="AS338" s="27" t="str">
        <f t="shared" si="148"/>
        <v>62</v>
      </c>
      <c r="AT338" s="27" t="str">
        <f t="shared" si="149"/>
        <v/>
      </c>
      <c r="AU338" s="27" t="str">
        <f t="shared" si="150"/>
        <v>AW180</v>
      </c>
      <c r="AV338" s="27" t="str">
        <f t="shared" si="151"/>
        <v>AW180</v>
      </c>
      <c r="AW338" s="27" t="str">
        <f t="shared" si="152"/>
        <v/>
      </c>
      <c r="AX338" s="27" t="str">
        <f t="shared" si="153"/>
        <v/>
      </c>
      <c r="AY338" s="27" t="str">
        <f t="shared" si="154"/>
        <v/>
      </c>
      <c r="AZ338" s="27" t="str">
        <f t="shared" si="155"/>
        <v/>
      </c>
      <c r="BA338" s="27" t="str">
        <f t="shared" si="156"/>
        <v/>
      </c>
      <c r="BB338" s="27" t="str">
        <f t="shared" si="157"/>
        <v/>
      </c>
      <c r="BC338" s="27" t="str">
        <f t="shared" si="158"/>
        <v>Net</v>
      </c>
      <c r="BD338" s="27" t="str">
        <f t="shared" si="159"/>
        <v>Net</v>
      </c>
      <c r="BE338" s="27" t="str">
        <f t="shared" si="160"/>
        <v/>
      </c>
      <c r="BF338" s="27" t="str">
        <f t="shared" si="161"/>
        <v/>
      </c>
      <c r="BG338" s="27" t="str">
        <f t="shared" si="162"/>
        <v/>
      </c>
      <c r="BH338" s="27" t="str">
        <f t="shared" si="163"/>
        <v/>
      </c>
      <c r="BI338" s="27" t="str">
        <f t="shared" si="164"/>
        <v/>
      </c>
      <c r="BJ338" s="27" t="str">
        <f t="shared" si="165"/>
        <v/>
      </c>
      <c r="BK338" s="27" t="str">
        <f t="shared" si="166"/>
        <v/>
      </c>
      <c r="BL338" s="27" t="str">
        <f t="shared" si="167"/>
        <v/>
      </c>
      <c r="BM338" s="21" t="s">
        <v>5581</v>
      </c>
    </row>
    <row r="339" spans="1:65" ht="15">
      <c r="A339" s="25" t="str">
        <f>IFERROR(INDEX('Hun Demand'!W:W,MATCH(O339,'Hun Demand'!A:A,0)),"")</f>
        <v/>
      </c>
      <c r="B339" s="25" t="str">
        <f>IFERROR(INDEX('Hun Demand'!V:V,MATCH(O339,'Hun Demand'!A:A,0)),"")</f>
        <v/>
      </c>
      <c r="C339" s="25" t="str">
        <f>IFERROR(INDEX('Hun Demand'!U:U,MATCH(O339,'Hun Demand'!A:A,0)),"")</f>
        <v/>
      </c>
      <c r="D339" s="25" t="str">
        <f>IFERROR(INDEX('Hun Demand'!T:T,MATCH(O339,'Hun Demand'!A:A,0)),"")</f>
        <v/>
      </c>
      <c r="E339" s="25" t="str">
        <f>IFERROR(INDEX('Hun Demand'!S:S,MATCH(O339,'Hun Demand'!A:A,0)),"")</f>
        <v/>
      </c>
      <c r="F339" s="25" t="str">
        <f>IFERROR(INDEX('Hun Demand'!R:R,MATCH(O339,'Hun Demand'!A:A,0)),"")</f>
        <v/>
      </c>
      <c r="G339" s="25">
        <f>IFERROR(INDEX('Aub Demand'!W:W,MATCH(O339,'Aub Demand'!A:A,0)),"")</f>
        <v>0</v>
      </c>
      <c r="H339" s="25">
        <f>IFERROR(INDEX('Aub Demand'!V:V,MATCH(O339,'Aub Demand'!A:A,0)),"")</f>
        <v>0</v>
      </c>
      <c r="I339" s="25">
        <f>IFERROR(INDEX('Aub Demand'!U:U,MATCH(O339,'Aub Demand'!A:A,0)),"")</f>
        <v>0</v>
      </c>
      <c r="J339" s="25">
        <f>IFERROR(INDEX('Aub Demand'!T:T,MATCH(O339,'Aub Demand'!A:A,0)),"")</f>
        <v>119</v>
      </c>
      <c r="K339" s="25">
        <f>IFERROR(INDEX('Aub Demand'!S:S,MATCH(O339,'Aub Demand'!A:A,0)),"")</f>
        <v>0</v>
      </c>
      <c r="L339" s="25">
        <f>IFERROR(INDEX('Aub Demand'!R:R,MATCH(O339,'Aub Demand'!A:A,0)),"")</f>
        <v>0</v>
      </c>
      <c r="O339" s="27" t="s">
        <v>5931</v>
      </c>
      <c r="P339" s="27" t="str">
        <f>IFERROR(INDEX('Aub Demand'!B:B,MATCH($O339,'Aub Demand'!$A:$A,0)),"")</f>
        <v>SPIRITO TERRAZZO</v>
      </c>
      <c r="Q339" s="27" t="str">
        <f>IFERROR(INDEX('Aub Demand'!C:C,MATCH($O339,'Aub Demand'!$A:$A,0)),"")</f>
        <v>IMPRE</v>
      </c>
      <c r="R339" s="52">
        <f>IFERROR(IF(AR340=AR339,INDEX('Aub Demand'!K:K,MATCH($O339,'Aub Demand'!$A:$A,0))-IF(AN339="",0,AN339)+AP340,INDEX('Aub Demand'!K:K,MATCH($O339,'Aub Demand'!$A:$A,0))-IF(AN339="",0,AN339)),"")</f>
        <v>0</v>
      </c>
      <c r="S339" s="53">
        <f t="shared" si="140"/>
        <v>0</v>
      </c>
      <c r="T339" s="52" t="str">
        <f t="shared" si="141"/>
        <v/>
      </c>
      <c r="U339" s="52">
        <f>IFERROR(IF(AR340=AR339,INDEX('Aub Demand'!Q:Q,MATCH($O339,'Aub Demand'!$A:$A,0))-IF(AN339="",0,AN339)+AP340,INDEX('Aub Demand'!Q:Q,MATCH($O339,'Aub Demand'!$A:$A,0))-IF(AN339="",0,AN339)),"")</f>
        <v>0</v>
      </c>
      <c r="V339" s="53">
        <f t="shared" si="142"/>
        <v>0</v>
      </c>
      <c r="W339" s="52" t="str">
        <f t="shared" si="143"/>
        <v/>
      </c>
      <c r="X339" s="52">
        <f>IFERROR(IF(AND(AR340=AR339,AM339&lt;&gt;""),INDEX('Aub Demand'!Q:Q,MATCH($O339,'Aub Demand'!$A:$A,0))-IF(AN339="",0,AN339)+AP340+AD339+AL339,IF(AR340=AR339,INDEX('Aub Demand'!Q:Q,MATCH($O339,'Aub Demand'!$A:$A,0))-IF(AN339="",0,AN339)+AP340+AD339,IF(AM339&lt;&gt;"",INDEX('Aub Demand'!Q:Q,MATCH($O339,'Aub Demand'!$A:$A,0))-IF(AN339="",0,AN339)+AD339+AL339,INDEX('Aub Demand'!Q:Q,MATCH($O339,'Aub Demand'!$A:$A,0))-IF(AN339="",0,AN339)+AD339))),"")</f>
        <v>0</v>
      </c>
      <c r="Y339" s="53">
        <f t="shared" si="144"/>
        <v>0</v>
      </c>
      <c r="Z339" s="52">
        <f>IF(L339="","",INDEX('Aub Demand'!H:H,MATCH($O339,'Aub Demand'!$A:$A,0)))</f>
        <v>40</v>
      </c>
      <c r="AA339" s="52" t="str">
        <f t="shared" si="145"/>
        <v>-spike-</v>
      </c>
      <c r="AB339" s="52">
        <f>IFERROR(INDEX('Aub Demand'!L:L,MATCH($O339,'Aub Demand'!$A:$A,0)),"")</f>
        <v>0</v>
      </c>
      <c r="AC339" s="52">
        <f>IFERROR(IF(O339="","",SUMIFS('CPL Mats'!F:F,'CPL Mats'!Q:Q,AR339,'CPL Mats'!S:S,AS339)),"")</f>
        <v>0</v>
      </c>
      <c r="AF339" s="25" t="str">
        <f>IF(SUMIFS('Supp Consol'!S:S,'Supp Consol'!Y:Y,"Releasable",'Supp Consol'!A:A,O339)=0,"",SUMIFS('Supp Consol'!S:S,'Supp Consol'!Y:Y,"Releasable",'Supp Consol'!A:A,O339))</f>
        <v/>
      </c>
      <c r="AG339" s="25" t="str">
        <f>IFERROR(INDEX('Hun Demand'!Q:Q,MATCH(O339,'Hun Demand'!A:A,0)),"")</f>
        <v/>
      </c>
      <c r="AH339" s="25" t="str">
        <f>IFERROR(INDEX('Hun Demand'!H:H,MATCH($O339,'Hun Demand'!$A:$A,0)),"")</f>
        <v/>
      </c>
      <c r="AI339" s="25" t="str">
        <f>IF(SUMIFS('Supp Consol'!AA:AA,'Supp Consol'!Z:Z,"Expires this month",'Supp Consol'!A:A,O339)=0,"",SUMIFS('Supp Consol'!AA:AA,'Supp Consol'!Z:Z,"Expires this month",'Supp Consol'!A:A,O339))</f>
        <v/>
      </c>
      <c r="AJ339" s="25" t="str">
        <f>IF(SUMIFS('Supp Consol'!AA:AA,'Supp Consol'!Z:Z,"Expired Previous Months",'Supp Consol'!A:A,O339)=0,"",SUMIFS('Supp Consol'!AA:AA,'Supp Consol'!Z:Z,"Expired Previous Months",'Supp Consol'!A:A,O339))</f>
        <v/>
      </c>
      <c r="AK339" s="25" t="str">
        <f>IFERROR(INDEX('Hun Release Current'!B:B,MATCH(O339,'Hun Release Current'!A:A,0)),"")</f>
        <v/>
      </c>
      <c r="AL339" s="25" t="str">
        <f>IF(SUMIF('Prev Aub'!A:A,O339,'Prev Aub'!B:B)=0,"",SUMIF('Prev Aub'!A:A,O339,'Prev Aub'!B:B))</f>
        <v/>
      </c>
      <c r="AN339" s="25" t="s">
        <v>3790</v>
      </c>
      <c r="AO339" s="25" t="s">
        <v>3790</v>
      </c>
      <c r="AP339" s="25">
        <f t="shared" si="146"/>
        <v>0</v>
      </c>
      <c r="AQ339" s="151" t="str">
        <f>IF(SUMIFS('Supp Consol'!S:S,'Supp Consol'!A:A,O339,'Supp Consol'!I:I,"PENDING")=0,"",SUMIFS('Supp Consol'!S:S,'Supp Consol'!A:A,O339,'Supp Consol'!I:I,"PENDING"))</f>
        <v/>
      </c>
      <c r="AR339" s="27" t="str">
        <f t="shared" si="147"/>
        <v>AW190</v>
      </c>
      <c r="AS339" s="27" t="str">
        <f t="shared" si="148"/>
        <v>50</v>
      </c>
      <c r="AT339" s="27" t="str">
        <f t="shared" si="149"/>
        <v>AW190</v>
      </c>
      <c r="AU339" s="27" t="str">
        <f t="shared" si="150"/>
        <v>AW190</v>
      </c>
      <c r="AV339" s="27" t="str">
        <f t="shared" si="151"/>
        <v>AW190</v>
      </c>
      <c r="AW339" s="27" t="str">
        <f t="shared" si="152"/>
        <v/>
      </c>
      <c r="AX339" s="27" t="str">
        <f t="shared" si="153"/>
        <v/>
      </c>
      <c r="AY339" s="27" t="str">
        <f t="shared" si="154"/>
        <v/>
      </c>
      <c r="AZ339" s="27" t="str">
        <f t="shared" si="155"/>
        <v/>
      </c>
      <c r="BA339" s="27" t="str">
        <f t="shared" si="156"/>
        <v/>
      </c>
      <c r="BB339" s="27" t="str">
        <f t="shared" si="157"/>
        <v>Gross</v>
      </c>
      <c r="BC339" s="27" t="str">
        <f t="shared" si="158"/>
        <v>Net</v>
      </c>
      <c r="BD339" s="27" t="str">
        <f t="shared" si="159"/>
        <v>Net</v>
      </c>
      <c r="BE339" s="27" t="str">
        <f t="shared" si="160"/>
        <v/>
      </c>
      <c r="BF339" s="27" t="str">
        <f t="shared" si="161"/>
        <v/>
      </c>
      <c r="BG339" s="27" t="str">
        <f t="shared" si="162"/>
        <v/>
      </c>
      <c r="BH339" s="27" t="str">
        <f t="shared" si="163"/>
        <v/>
      </c>
      <c r="BI339" s="27" t="str">
        <f t="shared" si="164"/>
        <v/>
      </c>
      <c r="BJ339" s="27" t="str">
        <f t="shared" si="165"/>
        <v/>
      </c>
      <c r="BK339" s="27" t="str">
        <f t="shared" si="166"/>
        <v/>
      </c>
      <c r="BL339" s="27" t="str">
        <f t="shared" si="167"/>
        <v/>
      </c>
      <c r="BM339" s="21" t="s">
        <v>3790</v>
      </c>
    </row>
    <row r="340" spans="1:65" ht="15">
      <c r="A340" s="25" t="str">
        <f>IFERROR(INDEX('Hun Demand'!W:W,MATCH(O340,'Hun Demand'!A:A,0)),"")</f>
        <v/>
      </c>
      <c r="B340" s="25" t="str">
        <f>IFERROR(INDEX('Hun Demand'!V:V,MATCH(O340,'Hun Demand'!A:A,0)),"")</f>
        <v/>
      </c>
      <c r="C340" s="25" t="str">
        <f>IFERROR(INDEX('Hun Demand'!U:U,MATCH(O340,'Hun Demand'!A:A,0)),"")</f>
        <v/>
      </c>
      <c r="D340" s="25" t="str">
        <f>IFERROR(INDEX('Hun Demand'!T:T,MATCH(O340,'Hun Demand'!A:A,0)),"")</f>
        <v/>
      </c>
      <c r="E340" s="25" t="str">
        <f>IFERROR(INDEX('Hun Demand'!S:S,MATCH(O340,'Hun Demand'!A:A,0)),"")</f>
        <v/>
      </c>
      <c r="F340" s="25" t="str">
        <f>IFERROR(INDEX('Hun Demand'!R:R,MATCH(O340,'Hun Demand'!A:A,0)),"")</f>
        <v/>
      </c>
      <c r="G340" s="25">
        <f>IFERROR(INDEX('Aub Demand'!W:W,MATCH(O340,'Aub Demand'!A:A,0)),"")</f>
        <v>0</v>
      </c>
      <c r="H340" s="25">
        <f>IFERROR(INDEX('Aub Demand'!V:V,MATCH(O340,'Aub Demand'!A:A,0)),"")</f>
        <v>0</v>
      </c>
      <c r="I340" s="25">
        <f>IFERROR(INDEX('Aub Demand'!U:U,MATCH(O340,'Aub Demand'!A:A,0)),"")</f>
        <v>0</v>
      </c>
      <c r="J340" s="25">
        <f>IFERROR(INDEX('Aub Demand'!T:T,MATCH(O340,'Aub Demand'!A:A,0)),"")</f>
        <v>0</v>
      </c>
      <c r="K340" s="25">
        <f>IFERROR(INDEX('Aub Demand'!S:S,MATCH(O340,'Aub Demand'!A:A,0)),"")</f>
        <v>0</v>
      </c>
      <c r="L340" s="25">
        <f>IFERROR(INDEX('Aub Demand'!R:R,MATCH(O340,'Aub Demand'!A:A,0)),"")</f>
        <v>0</v>
      </c>
      <c r="O340" s="27" t="s">
        <v>569</v>
      </c>
      <c r="P340" s="27" t="str">
        <f>IFERROR(INDEX('Aub Demand'!B:B,MATCH($O340,'Aub Demand'!$A:$A,0)),"")</f>
        <v>SPIRITO TERRAZZO</v>
      </c>
      <c r="Q340" s="27" t="str">
        <f>IFERROR(INDEX('Aub Demand'!C:C,MATCH($O340,'Aub Demand'!$A:$A,0)),"")</f>
        <v>IMPRE</v>
      </c>
      <c r="R340" s="52">
        <f>IFERROR(IF(AR341=AR340,INDEX('Aub Demand'!K:K,MATCH($O340,'Aub Demand'!$A:$A,0))-IF(AN340="",0,AN340)+AP341,INDEX('Aub Demand'!K:K,MATCH($O340,'Aub Demand'!$A:$A,0))-IF(AN340="",0,AN340)),"")</f>
        <v>1494</v>
      </c>
      <c r="S340" s="53" t="str">
        <f t="shared" si="140"/>
        <v>n/a</v>
      </c>
      <c r="T340" s="52" t="str">
        <f t="shared" si="141"/>
        <v/>
      </c>
      <c r="U340" s="52">
        <f>IFERROR(IF(AR341=AR340,INDEX('Aub Demand'!Q:Q,MATCH($O340,'Aub Demand'!$A:$A,0))-IF(AN340="",0,AN340)+AP341,INDEX('Aub Demand'!Q:Q,MATCH($O340,'Aub Demand'!$A:$A,0))-IF(AN340="",0,AN340)),"")</f>
        <v>1494</v>
      </c>
      <c r="V340" s="53" t="str">
        <f t="shared" si="142"/>
        <v>n/a</v>
      </c>
      <c r="W340" s="52" t="str">
        <f t="shared" si="143"/>
        <v/>
      </c>
      <c r="X340" s="52">
        <f>IFERROR(IF(AND(AR341=AR340,AM340&lt;&gt;""),INDEX('Aub Demand'!Q:Q,MATCH($O340,'Aub Demand'!$A:$A,0))-IF(AN340="",0,AN340)+AP341+AD340+AL340,IF(AR341=AR340,INDEX('Aub Demand'!Q:Q,MATCH($O340,'Aub Demand'!$A:$A,0))-IF(AN340="",0,AN340)+AP341+AD340,IF(AM340&lt;&gt;"",INDEX('Aub Demand'!Q:Q,MATCH($O340,'Aub Demand'!$A:$A,0))-IF(AN340="",0,AN340)+AD340+AL340,INDEX('Aub Demand'!Q:Q,MATCH($O340,'Aub Demand'!$A:$A,0))-IF(AN340="",0,AN340)+AD340))),"")</f>
        <v>1494</v>
      </c>
      <c r="Y340" s="53" t="str">
        <f t="shared" si="144"/>
        <v>n/a</v>
      </c>
      <c r="Z340" s="52">
        <f>IF(L340="","",INDEX('Aub Demand'!H:H,MATCH($O340,'Aub Demand'!$A:$A,0)))</f>
        <v>0</v>
      </c>
      <c r="AA340" s="52" t="str">
        <f t="shared" si="145"/>
        <v>-spike-</v>
      </c>
      <c r="AB340" s="52">
        <f>IFERROR(INDEX('Aub Demand'!L:L,MATCH($O340,'Aub Demand'!$A:$A,0)),"")</f>
        <v>0</v>
      </c>
      <c r="AC340" s="52">
        <f>IFERROR(IF(O340="","",SUMIFS('CPL Mats'!F:F,'CPL Mats'!Q:Q,AR340,'CPL Mats'!S:S,AS340)),"")</f>
        <v>0</v>
      </c>
      <c r="AF340" s="25" t="str">
        <f>IF(SUMIFS('Supp Consol'!S:S,'Supp Consol'!Y:Y,"Releasable",'Supp Consol'!A:A,O340)=0,"",SUMIFS('Supp Consol'!S:S,'Supp Consol'!Y:Y,"Releasable",'Supp Consol'!A:A,O340))</f>
        <v/>
      </c>
      <c r="AG340" s="25" t="str">
        <f>IFERROR(INDEX('Hun Demand'!Q:Q,MATCH(O340,'Hun Demand'!A:A,0)),"")</f>
        <v/>
      </c>
      <c r="AH340" s="25" t="str">
        <f>IFERROR(INDEX('Hun Demand'!H:H,MATCH($O340,'Hun Demand'!$A:$A,0)),"")</f>
        <v/>
      </c>
      <c r="AI340" s="25" t="str">
        <f>IF(SUMIFS('Supp Consol'!AA:AA,'Supp Consol'!Z:Z,"Expires this month",'Supp Consol'!A:A,O340)=0,"",SUMIFS('Supp Consol'!AA:AA,'Supp Consol'!Z:Z,"Expires this month",'Supp Consol'!A:A,O340))</f>
        <v/>
      </c>
      <c r="AJ340" s="25" t="str">
        <f>IF(SUMIFS('Supp Consol'!AA:AA,'Supp Consol'!Z:Z,"Expired Previous Months",'Supp Consol'!A:A,O340)=0,"",SUMIFS('Supp Consol'!AA:AA,'Supp Consol'!Z:Z,"Expired Previous Months",'Supp Consol'!A:A,O340))</f>
        <v/>
      </c>
      <c r="AK340" s="25" t="str">
        <f>IFERROR(INDEX('Hun Release Current'!B:B,MATCH(O340,'Hun Release Current'!A:A,0)),"")</f>
        <v/>
      </c>
      <c r="AL340" s="25" t="str">
        <f>IF(SUMIF('Prev Aub'!A:A,O340,'Prev Aub'!B:B)=0,"",SUMIF('Prev Aub'!A:A,O340,'Prev Aub'!B:B))</f>
        <v/>
      </c>
      <c r="AN340" s="25" t="s">
        <v>3790</v>
      </c>
      <c r="AO340" s="25" t="s">
        <v>3790</v>
      </c>
      <c r="AP340" s="25">
        <f t="shared" si="146"/>
        <v>0</v>
      </c>
      <c r="AQ340" s="151" t="str">
        <f>IF(SUMIFS('Supp Consol'!S:S,'Supp Consol'!A:A,O340,'Supp Consol'!I:I,"PENDING")=0,"",SUMIFS('Supp Consol'!S:S,'Supp Consol'!A:A,O340,'Supp Consol'!I:I,"PENDING"))</f>
        <v/>
      </c>
      <c r="AR340" s="27" t="str">
        <f t="shared" si="147"/>
        <v>AW190</v>
      </c>
      <c r="AS340" s="27" t="str">
        <f t="shared" si="148"/>
        <v>62</v>
      </c>
      <c r="AT340" s="27" t="str">
        <f t="shared" si="149"/>
        <v/>
      </c>
      <c r="AU340" s="27" t="str">
        <f t="shared" si="150"/>
        <v/>
      </c>
      <c r="AV340" s="27" t="str">
        <f t="shared" si="151"/>
        <v/>
      </c>
      <c r="AW340" s="27" t="str">
        <f t="shared" si="152"/>
        <v/>
      </c>
      <c r="AX340" s="27" t="str">
        <f t="shared" si="153"/>
        <v/>
      </c>
      <c r="AY340" s="27" t="str">
        <f t="shared" si="154"/>
        <v/>
      </c>
      <c r="AZ340" s="27" t="str">
        <f t="shared" si="155"/>
        <v/>
      </c>
      <c r="BA340" s="27" t="str">
        <f t="shared" si="156"/>
        <v/>
      </c>
      <c r="BB340" s="27" t="str">
        <f t="shared" si="157"/>
        <v>Gross</v>
      </c>
      <c r="BC340" s="27" t="str">
        <f t="shared" si="158"/>
        <v>Net</v>
      </c>
      <c r="BD340" s="27" t="str">
        <f t="shared" si="159"/>
        <v>Net</v>
      </c>
      <c r="BE340" s="27" t="str">
        <f t="shared" si="160"/>
        <v/>
      </c>
      <c r="BF340" s="27" t="str">
        <f t="shared" si="161"/>
        <v/>
      </c>
      <c r="BG340" s="27" t="str">
        <f t="shared" si="162"/>
        <v/>
      </c>
      <c r="BH340" s="27" t="str">
        <f t="shared" si="163"/>
        <v/>
      </c>
      <c r="BI340" s="27" t="str">
        <f t="shared" si="164"/>
        <v/>
      </c>
      <c r="BJ340" s="27" t="str">
        <f t="shared" si="165"/>
        <v/>
      </c>
      <c r="BK340" s="27" t="str">
        <f t="shared" si="166"/>
        <v/>
      </c>
      <c r="BL340" s="27" t="str">
        <f t="shared" si="167"/>
        <v/>
      </c>
      <c r="BM340" s="21" t="s">
        <v>5581</v>
      </c>
    </row>
    <row r="341" spans="1:65" ht="15">
      <c r="A341" s="25" t="str">
        <f>IFERROR(INDEX('Hun Demand'!W:W,MATCH(O341,'Hun Demand'!A:A,0)),"")</f>
        <v/>
      </c>
      <c r="B341" s="25" t="str">
        <f>IFERROR(INDEX('Hun Demand'!V:V,MATCH(O341,'Hun Demand'!A:A,0)),"")</f>
        <v/>
      </c>
      <c r="C341" s="25" t="str">
        <f>IFERROR(INDEX('Hun Demand'!U:U,MATCH(O341,'Hun Demand'!A:A,0)),"")</f>
        <v/>
      </c>
      <c r="D341" s="25" t="str">
        <f>IFERROR(INDEX('Hun Demand'!T:T,MATCH(O341,'Hun Demand'!A:A,0)),"")</f>
        <v/>
      </c>
      <c r="E341" s="25" t="str">
        <f>IFERROR(INDEX('Hun Demand'!S:S,MATCH(O341,'Hun Demand'!A:A,0)),"")</f>
        <v/>
      </c>
      <c r="F341" s="25" t="str">
        <f>IFERROR(INDEX('Hun Demand'!R:R,MATCH(O341,'Hun Demand'!A:A,0)),"")</f>
        <v/>
      </c>
      <c r="G341" s="25">
        <f>IFERROR(INDEX('Aub Demand'!W:W,MATCH(O341,'Aub Demand'!A:A,0)),"")</f>
        <v>1</v>
      </c>
      <c r="H341" s="25">
        <f>IFERROR(INDEX('Aub Demand'!V:V,MATCH(O341,'Aub Demand'!A:A,0)),"")</f>
        <v>621</v>
      </c>
      <c r="I341" s="25">
        <f>IFERROR(INDEX('Aub Demand'!U:U,MATCH(O341,'Aub Demand'!A:A,0)),"")</f>
        <v>0</v>
      </c>
      <c r="J341" s="25">
        <f>IFERROR(INDEX('Aub Demand'!T:T,MATCH(O341,'Aub Demand'!A:A,0)),"")</f>
        <v>0</v>
      </c>
      <c r="K341" s="25">
        <f>IFERROR(INDEX('Aub Demand'!S:S,MATCH(O341,'Aub Demand'!A:A,0)),"")</f>
        <v>40</v>
      </c>
      <c r="L341" s="25">
        <f>IFERROR(INDEX('Aub Demand'!R:R,MATCH(O341,'Aub Demand'!A:A,0)),"")</f>
        <v>87</v>
      </c>
      <c r="O341" s="27" t="s">
        <v>571</v>
      </c>
      <c r="P341" s="27" t="str">
        <f>IFERROR(INDEX('Aub Demand'!B:B,MATCH($O341,'Aub Demand'!$A:$A,0)),"")</f>
        <v>BRIDAL BLANCO</v>
      </c>
      <c r="Q341" s="27" t="str">
        <f>IFERROR(INDEX('Aub Demand'!C:C,MATCH($O341,'Aub Demand'!$A:$A,0)),"")</f>
        <v>INTER</v>
      </c>
      <c r="R341" s="52">
        <f>IFERROR(IF(AR342=AR341,INDEX('Aub Demand'!K:K,MATCH($O341,'Aub Demand'!$A:$A,0))-IF(AN341="",0,AN341)+AP342,INDEX('Aub Demand'!K:K,MATCH($O341,'Aub Demand'!$A:$A,0))-IF(AN341="",0,AN341)),"")</f>
        <v>2303</v>
      </c>
      <c r="S341" s="53">
        <f t="shared" si="140"/>
        <v>759.2</v>
      </c>
      <c r="T341" s="52" t="str">
        <f t="shared" si="141"/>
        <v/>
      </c>
      <c r="U341" s="52">
        <f>IFERROR(IF(AR342=AR341,INDEX('Aub Demand'!Q:Q,MATCH($O341,'Aub Demand'!$A:$A,0))-IF(AN341="",0,AN341)+AP342,INDEX('Aub Demand'!Q:Q,MATCH($O341,'Aub Demand'!$A:$A,0))-IF(AN341="",0,AN341)),"")</f>
        <v>2270</v>
      </c>
      <c r="V341" s="53">
        <f t="shared" si="142"/>
        <v>748.4</v>
      </c>
      <c r="W341" s="52" t="str">
        <f t="shared" si="143"/>
        <v/>
      </c>
      <c r="X341" s="52">
        <f>IFERROR(IF(AND(AR342=AR341,AM341&lt;&gt;""),INDEX('Aub Demand'!Q:Q,MATCH($O341,'Aub Demand'!$A:$A,0))-IF(AN341="",0,AN341)+AP342+AD341+AL341,IF(AR342=AR341,INDEX('Aub Demand'!Q:Q,MATCH($O341,'Aub Demand'!$A:$A,0))-IF(AN341="",0,AN341)+AP342+AD341,IF(AM341&lt;&gt;"",INDEX('Aub Demand'!Q:Q,MATCH($O341,'Aub Demand'!$A:$A,0))-IF(AN341="",0,AN341)+AD341+AL341,INDEX('Aub Demand'!Q:Q,MATCH($O341,'Aub Demand'!$A:$A,0))-IF(AN341="",0,AN341)+AD341))),"")</f>
        <v>2270</v>
      </c>
      <c r="Y341" s="53">
        <f t="shared" si="144"/>
        <v>748.4</v>
      </c>
      <c r="Z341" s="52">
        <f>IF(L341="","",INDEX('Aub Demand'!H:H,MATCH($O341,'Aub Demand'!$A:$A,0)))</f>
        <v>13</v>
      </c>
      <c r="AA341" s="52">
        <f t="shared" si="145"/>
        <v>63.5</v>
      </c>
      <c r="AB341" s="52">
        <f>IFERROR(INDEX('Aub Demand'!L:L,MATCH($O341,'Aub Demand'!$A:$A,0)),"")</f>
        <v>81</v>
      </c>
      <c r="AC341" s="52">
        <f>IFERROR(IF(O341="","",SUMIFS('CPL Mats'!F:F,'CPL Mats'!Q:Q,AR341,'CPL Mats'!S:S,AS341)),"")</f>
        <v>0</v>
      </c>
      <c r="AF341" s="25" t="str">
        <f>IF(SUMIFS('Supp Consol'!S:S,'Supp Consol'!Y:Y,"Releasable",'Supp Consol'!A:A,O341)=0,"",SUMIFS('Supp Consol'!S:S,'Supp Consol'!Y:Y,"Releasable",'Supp Consol'!A:A,O341))</f>
        <v/>
      </c>
      <c r="AG341" s="25" t="str">
        <f>IFERROR(INDEX('Hun Demand'!Q:Q,MATCH(O341,'Hun Demand'!A:A,0)),"")</f>
        <v/>
      </c>
      <c r="AH341" s="25" t="str">
        <f>IFERROR(INDEX('Hun Demand'!H:H,MATCH($O341,'Hun Demand'!$A:$A,0)),"")</f>
        <v/>
      </c>
      <c r="AI341" s="25" t="str">
        <f>IF(SUMIFS('Supp Consol'!AA:AA,'Supp Consol'!Z:Z,"Expires this month",'Supp Consol'!A:A,O341)=0,"",SUMIFS('Supp Consol'!AA:AA,'Supp Consol'!Z:Z,"Expires this month",'Supp Consol'!A:A,O341))</f>
        <v/>
      </c>
      <c r="AJ341" s="25" t="str">
        <f>IF(SUMIFS('Supp Consol'!AA:AA,'Supp Consol'!Z:Z,"Expired Previous Months",'Supp Consol'!A:A,O341)=0,"",SUMIFS('Supp Consol'!AA:AA,'Supp Consol'!Z:Z,"Expired Previous Months",'Supp Consol'!A:A,O341))</f>
        <v/>
      </c>
      <c r="AK341" s="25" t="str">
        <f>IFERROR(INDEX('Hun Release Current'!B:B,MATCH(O341,'Hun Release Current'!A:A,0)),"")</f>
        <v/>
      </c>
      <c r="AL341" s="25" t="str">
        <f>IF(SUMIF('Prev Aub'!A:A,O341,'Prev Aub'!B:B)=0,"",SUMIF('Prev Aub'!A:A,O341,'Prev Aub'!B:B))</f>
        <v/>
      </c>
      <c r="AN341" s="25" t="s">
        <v>3790</v>
      </c>
      <c r="AO341" s="25" t="s">
        <v>3790</v>
      </c>
      <c r="AP341" s="25">
        <f t="shared" si="146"/>
        <v>0</v>
      </c>
      <c r="AQ341" s="151" t="str">
        <f>IF(SUMIFS('Supp Consol'!S:S,'Supp Consol'!A:A,O341,'Supp Consol'!I:I,"PENDING")=0,"",SUMIFS('Supp Consol'!S:S,'Supp Consol'!A:A,O341,'Supp Consol'!I:I,"PENDING"))</f>
        <v/>
      </c>
      <c r="AR341" s="27" t="str">
        <f t="shared" si="147"/>
        <v>AW200</v>
      </c>
      <c r="AS341" s="27" t="str">
        <f t="shared" si="148"/>
        <v>50</v>
      </c>
      <c r="AT341" s="27" t="str">
        <f t="shared" si="149"/>
        <v/>
      </c>
      <c r="AU341" s="27" t="str">
        <f t="shared" si="150"/>
        <v/>
      </c>
      <c r="AV341" s="27" t="str">
        <f t="shared" si="151"/>
        <v/>
      </c>
      <c r="AW341" s="27" t="str">
        <f t="shared" si="152"/>
        <v/>
      </c>
      <c r="AX341" s="27" t="str">
        <f t="shared" si="153"/>
        <v/>
      </c>
      <c r="AY341" s="27" t="str">
        <f t="shared" si="154"/>
        <v/>
      </c>
      <c r="AZ341" s="27" t="str">
        <f t="shared" si="155"/>
        <v/>
      </c>
      <c r="BA341" s="27" t="str">
        <f t="shared" si="156"/>
        <v/>
      </c>
      <c r="BB341" s="27" t="str">
        <f t="shared" si="157"/>
        <v/>
      </c>
      <c r="BC341" s="27" t="str">
        <f t="shared" si="158"/>
        <v/>
      </c>
      <c r="BD341" s="27" t="str">
        <f t="shared" si="159"/>
        <v/>
      </c>
      <c r="BE341" s="27" t="str">
        <f t="shared" si="160"/>
        <v/>
      </c>
      <c r="BF341" s="27" t="str">
        <f t="shared" si="161"/>
        <v/>
      </c>
      <c r="BG341" s="27" t="str">
        <f t="shared" si="162"/>
        <v/>
      </c>
      <c r="BH341" s="27" t="str">
        <f t="shared" si="163"/>
        <v/>
      </c>
      <c r="BI341" s="27" t="str">
        <f t="shared" si="164"/>
        <v/>
      </c>
      <c r="BJ341" s="27" t="str">
        <f t="shared" si="165"/>
        <v/>
      </c>
      <c r="BK341" s="27" t="str">
        <f t="shared" si="166"/>
        <v/>
      </c>
      <c r="BL341" s="27" t="str">
        <f t="shared" si="167"/>
        <v/>
      </c>
      <c r="BM341" s="21" t="s">
        <v>5581</v>
      </c>
    </row>
    <row r="342" spans="1:65" ht="15">
      <c r="A342" s="25" t="str">
        <f>IFERROR(INDEX('Hun Demand'!W:W,MATCH(O342,'Hun Demand'!A:A,0)),"")</f>
        <v/>
      </c>
      <c r="B342" s="25" t="str">
        <f>IFERROR(INDEX('Hun Demand'!V:V,MATCH(O342,'Hun Demand'!A:A,0)),"")</f>
        <v/>
      </c>
      <c r="C342" s="25" t="str">
        <f>IFERROR(INDEX('Hun Demand'!U:U,MATCH(O342,'Hun Demand'!A:A,0)),"")</f>
        <v/>
      </c>
      <c r="D342" s="25" t="str">
        <f>IFERROR(INDEX('Hun Demand'!T:T,MATCH(O342,'Hun Demand'!A:A,0)),"")</f>
        <v/>
      </c>
      <c r="E342" s="25" t="str">
        <f>IFERROR(INDEX('Hun Demand'!S:S,MATCH(O342,'Hun Demand'!A:A,0)),"")</f>
        <v/>
      </c>
      <c r="F342" s="25" t="str">
        <f>IFERROR(INDEX('Hun Demand'!R:R,MATCH(O342,'Hun Demand'!A:A,0)),"")</f>
        <v/>
      </c>
      <c r="G342" s="25">
        <f>IFERROR(INDEX('Aub Demand'!W:W,MATCH(O342,'Aub Demand'!A:A,0)),"")</f>
        <v>265</v>
      </c>
      <c r="H342" s="25">
        <f>IFERROR(INDEX('Aub Demand'!V:V,MATCH(O342,'Aub Demand'!A:A,0)),"")</f>
        <v>0</v>
      </c>
      <c r="I342" s="25">
        <f>IFERROR(INDEX('Aub Demand'!U:U,MATCH(O342,'Aub Demand'!A:A,0)),"")</f>
        <v>0</v>
      </c>
      <c r="J342" s="25">
        <f>IFERROR(INDEX('Aub Demand'!T:T,MATCH(O342,'Aub Demand'!A:A,0)),"")</f>
        <v>206</v>
      </c>
      <c r="K342" s="25">
        <f>IFERROR(INDEX('Aub Demand'!S:S,MATCH(O342,'Aub Demand'!A:A,0)),"")</f>
        <v>219</v>
      </c>
      <c r="L342" s="25">
        <f>IFERROR(INDEX('Aub Demand'!R:R,MATCH(O342,'Aub Demand'!A:A,0)),"")</f>
        <v>57</v>
      </c>
      <c r="O342" s="27" t="s">
        <v>573</v>
      </c>
      <c r="P342" s="27" t="str">
        <f>IFERROR(INDEX('Aub Demand'!B:B,MATCH($O342,'Aub Demand'!$A:$A,0)),"")</f>
        <v>BRIDAL BLANCO</v>
      </c>
      <c r="Q342" s="27" t="str">
        <f>IFERROR(INDEX('Aub Demand'!C:C,MATCH($O342,'Aub Demand'!$A:$A,0)),"")</f>
        <v>INTER</v>
      </c>
      <c r="R342" s="52">
        <f>IFERROR(IF(AR343=AR342,INDEX('Aub Demand'!K:K,MATCH($O342,'Aub Demand'!$A:$A,0))-IF(AN342="",0,AN342)+AP343,INDEX('Aub Demand'!K:K,MATCH($O342,'Aub Demand'!$A:$A,0))-IF(AN342="",0,AN342)),"")</f>
        <v>1305</v>
      </c>
      <c r="S342" s="53">
        <f t="shared" si="140"/>
        <v>39.4</v>
      </c>
      <c r="T342" s="52" t="str">
        <f t="shared" si="141"/>
        <v/>
      </c>
      <c r="U342" s="52">
        <f>IFERROR(IF(AR343=AR342,INDEX('Aub Demand'!Q:Q,MATCH($O342,'Aub Demand'!$A:$A,0))-IF(AN342="",0,AN342)+AP343,INDEX('Aub Demand'!Q:Q,MATCH($O342,'Aub Demand'!$A:$A,0))-IF(AN342="",0,AN342)),"")</f>
        <v>1286</v>
      </c>
      <c r="V342" s="53">
        <f t="shared" si="142"/>
        <v>38.799999999999997</v>
      </c>
      <c r="W342" s="52" t="str">
        <f t="shared" si="143"/>
        <v/>
      </c>
      <c r="X342" s="52">
        <f>IFERROR(IF(AND(AR343=AR342,AM342&lt;&gt;""),INDEX('Aub Demand'!Q:Q,MATCH($O342,'Aub Demand'!$A:$A,0))-IF(AN342="",0,AN342)+AP343+AD342+AL342,IF(AR343=AR342,INDEX('Aub Demand'!Q:Q,MATCH($O342,'Aub Demand'!$A:$A,0))-IF(AN342="",0,AN342)+AP343+AD342,IF(AM342&lt;&gt;"",INDEX('Aub Demand'!Q:Q,MATCH($O342,'Aub Demand'!$A:$A,0))-IF(AN342="",0,AN342)+AD342+AL342,INDEX('Aub Demand'!Q:Q,MATCH($O342,'Aub Demand'!$A:$A,0))-IF(AN342="",0,AN342)+AD342))),"")</f>
        <v>1286</v>
      </c>
      <c r="Y342" s="53">
        <f t="shared" si="144"/>
        <v>38.799999999999997</v>
      </c>
      <c r="Z342" s="52">
        <f>IF(L342="","",INDEX('Aub Demand'!H:H,MATCH($O342,'Aub Demand'!$A:$A,0)))</f>
        <v>142</v>
      </c>
      <c r="AA342" s="52">
        <f t="shared" si="145"/>
        <v>212.5</v>
      </c>
      <c r="AB342" s="52">
        <f>IFERROR(INDEX('Aub Demand'!L:L,MATCH($O342,'Aub Demand'!$A:$A,0)),"")</f>
        <v>44</v>
      </c>
      <c r="AC342" s="52">
        <f>IFERROR(IF(O342="","",SUMIFS('CPL Mats'!F:F,'CPL Mats'!Q:Q,AR342,'CPL Mats'!S:S,AS342)),"")</f>
        <v>0</v>
      </c>
      <c r="AF342" s="25" t="str">
        <f>IF(SUMIFS('Supp Consol'!S:S,'Supp Consol'!Y:Y,"Releasable",'Supp Consol'!A:A,O342)=0,"",SUMIFS('Supp Consol'!S:S,'Supp Consol'!Y:Y,"Releasable",'Supp Consol'!A:A,O342))</f>
        <v/>
      </c>
      <c r="AG342" s="25" t="str">
        <f>IFERROR(INDEX('Hun Demand'!Q:Q,MATCH(O342,'Hun Demand'!A:A,0)),"")</f>
        <v/>
      </c>
      <c r="AH342" s="25" t="str">
        <f>IFERROR(INDEX('Hun Demand'!H:H,MATCH($O342,'Hun Demand'!$A:$A,0)),"")</f>
        <v/>
      </c>
      <c r="AI342" s="25" t="str">
        <f>IF(SUMIFS('Supp Consol'!AA:AA,'Supp Consol'!Z:Z,"Expires this month",'Supp Consol'!A:A,O342)=0,"",SUMIFS('Supp Consol'!AA:AA,'Supp Consol'!Z:Z,"Expires this month",'Supp Consol'!A:A,O342))</f>
        <v/>
      </c>
      <c r="AJ342" s="25" t="str">
        <f>IF(SUMIFS('Supp Consol'!AA:AA,'Supp Consol'!Z:Z,"Expired Previous Months",'Supp Consol'!A:A,O342)=0,"",SUMIFS('Supp Consol'!AA:AA,'Supp Consol'!Z:Z,"Expired Previous Months",'Supp Consol'!A:A,O342))</f>
        <v/>
      </c>
      <c r="AK342" s="25" t="str">
        <f>IFERROR(INDEX('Hun Release Current'!B:B,MATCH(O342,'Hun Release Current'!A:A,0)),"")</f>
        <v/>
      </c>
      <c r="AL342" s="25" t="str">
        <f>IF(SUMIF('Prev Aub'!A:A,O342,'Prev Aub'!B:B)=0,"",SUMIF('Prev Aub'!A:A,O342,'Prev Aub'!B:B))</f>
        <v/>
      </c>
      <c r="AN342" s="25" t="s">
        <v>3790</v>
      </c>
      <c r="AO342" s="25" t="s">
        <v>3790</v>
      </c>
      <c r="AP342" s="25">
        <f t="shared" si="146"/>
        <v>0</v>
      </c>
      <c r="AQ342" s="151" t="str">
        <f>IF(SUMIFS('Supp Consol'!S:S,'Supp Consol'!A:A,O342,'Supp Consol'!I:I,"PENDING")=0,"",SUMIFS('Supp Consol'!S:S,'Supp Consol'!A:A,O342,'Supp Consol'!I:I,"PENDING"))</f>
        <v/>
      </c>
      <c r="AR342" s="27" t="str">
        <f t="shared" si="147"/>
        <v>AW200</v>
      </c>
      <c r="AS342" s="27" t="str">
        <f t="shared" si="148"/>
        <v>62</v>
      </c>
      <c r="AT342" s="27" t="str">
        <f t="shared" si="149"/>
        <v/>
      </c>
      <c r="AU342" s="27" t="str">
        <f t="shared" si="150"/>
        <v/>
      </c>
      <c r="AV342" s="27" t="str">
        <f t="shared" si="151"/>
        <v/>
      </c>
      <c r="AW342" s="27" t="str">
        <f t="shared" si="152"/>
        <v/>
      </c>
      <c r="AX342" s="27" t="str">
        <f t="shared" si="153"/>
        <v/>
      </c>
      <c r="AY342" s="27" t="str">
        <f t="shared" si="154"/>
        <v/>
      </c>
      <c r="AZ342" s="27" t="str">
        <f t="shared" si="155"/>
        <v/>
      </c>
      <c r="BA342" s="27" t="str">
        <f t="shared" si="156"/>
        <v/>
      </c>
      <c r="BB342" s="27" t="str">
        <f t="shared" si="157"/>
        <v/>
      </c>
      <c r="BC342" s="27" t="str">
        <f t="shared" si="158"/>
        <v/>
      </c>
      <c r="BD342" s="27" t="str">
        <f t="shared" si="159"/>
        <v/>
      </c>
      <c r="BE342" s="27" t="str">
        <f t="shared" si="160"/>
        <v/>
      </c>
      <c r="BF342" s="27" t="str">
        <f t="shared" si="161"/>
        <v/>
      </c>
      <c r="BG342" s="27" t="str">
        <f t="shared" si="162"/>
        <v/>
      </c>
      <c r="BH342" s="27" t="str">
        <f t="shared" si="163"/>
        <v/>
      </c>
      <c r="BI342" s="27" t="str">
        <f t="shared" si="164"/>
        <v/>
      </c>
      <c r="BJ342" s="27" t="str">
        <f t="shared" si="165"/>
        <v/>
      </c>
      <c r="BK342" s="27" t="str">
        <f t="shared" si="166"/>
        <v/>
      </c>
      <c r="BL342" s="27" t="str">
        <f t="shared" si="167"/>
        <v/>
      </c>
      <c r="BM342" s="21" t="s">
        <v>5581</v>
      </c>
    </row>
    <row r="343" spans="1:65" ht="15">
      <c r="A343" s="25">
        <f>IFERROR(INDEX('Hun Demand'!W:W,MATCH(O343,'Hun Demand'!A:A,0)),"")</f>
        <v>0</v>
      </c>
      <c r="B343" s="25">
        <f>IFERROR(INDEX('Hun Demand'!V:V,MATCH(O343,'Hun Demand'!A:A,0)),"")</f>
        <v>0</v>
      </c>
      <c r="C343" s="25">
        <f>IFERROR(INDEX('Hun Demand'!U:U,MATCH(O343,'Hun Demand'!A:A,0)),"")</f>
        <v>0</v>
      </c>
      <c r="D343" s="25">
        <f>IFERROR(INDEX('Hun Demand'!T:T,MATCH(O343,'Hun Demand'!A:A,0)),"")</f>
        <v>0</v>
      </c>
      <c r="E343" s="25">
        <f>IFERROR(INDEX('Hun Demand'!S:S,MATCH(O343,'Hun Demand'!A:A,0)),"")</f>
        <v>434</v>
      </c>
      <c r="F343" s="25">
        <f>IFERROR(INDEX('Hun Demand'!R:R,MATCH(O343,'Hun Demand'!A:A,0)),"")</f>
        <v>350</v>
      </c>
      <c r="G343" s="25">
        <f>IFERROR(INDEX('Aub Demand'!W:W,MATCH(O343,'Aub Demand'!A:A,0)),"")</f>
        <v>728</v>
      </c>
      <c r="H343" s="25">
        <f>IFERROR(INDEX('Aub Demand'!V:V,MATCH(O343,'Aub Demand'!A:A,0)),"")</f>
        <v>1169</v>
      </c>
      <c r="I343" s="25">
        <f>IFERROR(INDEX('Aub Demand'!U:U,MATCH(O343,'Aub Demand'!A:A,0)),"")</f>
        <v>21</v>
      </c>
      <c r="J343" s="25">
        <f>IFERROR(INDEX('Aub Demand'!T:T,MATCH(O343,'Aub Demand'!A:A,0)),"")</f>
        <v>265</v>
      </c>
      <c r="K343" s="25">
        <f>IFERROR(INDEX('Aub Demand'!S:S,MATCH(O343,'Aub Demand'!A:A,0)),"")</f>
        <v>490</v>
      </c>
      <c r="L343" s="25">
        <f>IFERROR(INDEX('Aub Demand'!R:R,MATCH(O343,'Aub Demand'!A:A,0)),"")</f>
        <v>0</v>
      </c>
      <c r="O343" s="27" t="s">
        <v>574</v>
      </c>
      <c r="P343" s="27" t="str">
        <f>IFERROR(INDEX('Aub Demand'!B:B,MATCH($O343,'Aub Demand'!$A:$A,0)),"")</f>
        <v>LOVE LETTERS</v>
      </c>
      <c r="Q343" s="27" t="str">
        <f>IFERROR(INDEX('Aub Demand'!C:C,MATCH($O343,'Aub Demand'!$A:$A,0)),"")</f>
        <v>INTER</v>
      </c>
      <c r="R343" s="52">
        <f>IFERROR(IF(AR344=AR343,INDEX('Aub Demand'!K:K,MATCH($O343,'Aub Demand'!$A:$A,0))-IF(AN343="",0,AN343)+AP344,INDEX('Aub Demand'!K:K,MATCH($O343,'Aub Demand'!$A:$A,0))-IF(AN343="",0,AN343)),"")</f>
        <v>561</v>
      </c>
      <c r="S343" s="53">
        <f t="shared" si="140"/>
        <v>9.3000000000000007</v>
      </c>
      <c r="T343" s="52" t="str">
        <f t="shared" si="141"/>
        <v/>
      </c>
      <c r="U343" s="52">
        <f>IFERROR(IF(AR344=AR343,INDEX('Aub Demand'!Q:Q,MATCH($O343,'Aub Demand'!$A:$A,0))-IF(AN343="",0,AN343)+AP344,INDEX('Aub Demand'!Q:Q,MATCH($O343,'Aub Demand'!$A:$A,0))-IF(AN343="",0,AN343)),"")</f>
        <v>331</v>
      </c>
      <c r="V343" s="53">
        <f t="shared" si="142"/>
        <v>5.5</v>
      </c>
      <c r="W343" s="52" t="str">
        <f t="shared" si="143"/>
        <v/>
      </c>
      <c r="X343" s="52">
        <f>IFERROR(IF(AND(AR344=AR343,AM343&lt;&gt;""),INDEX('Aub Demand'!Q:Q,MATCH($O343,'Aub Demand'!$A:$A,0))-IF(AN343="",0,AN343)+AP344+AD343+AL343,IF(AR344=AR343,INDEX('Aub Demand'!Q:Q,MATCH($O343,'Aub Demand'!$A:$A,0))-IF(AN343="",0,AN343)+AP344+AD343,IF(AM343&lt;&gt;"",INDEX('Aub Demand'!Q:Q,MATCH($O343,'Aub Demand'!$A:$A,0))-IF(AN343="",0,AN343)+AD343+AL343,INDEX('Aub Demand'!Q:Q,MATCH($O343,'Aub Demand'!$A:$A,0))-IF(AN343="",0,AN343)+AD343))),"")</f>
        <v>331</v>
      </c>
      <c r="Y343" s="53">
        <f t="shared" si="144"/>
        <v>5.5</v>
      </c>
      <c r="Z343" s="52">
        <f>IF(L343="","",INDEX('Aub Demand'!H:H,MATCH($O343,'Aub Demand'!$A:$A,0)))</f>
        <v>259</v>
      </c>
      <c r="AA343" s="52">
        <f t="shared" si="145"/>
        <v>377.5</v>
      </c>
      <c r="AB343" s="52">
        <f>IFERROR(INDEX('Aub Demand'!L:L,MATCH($O343,'Aub Demand'!$A:$A,0)),"")</f>
        <v>700</v>
      </c>
      <c r="AC343" s="52">
        <f>IFERROR(IF(O343="","",SUMIFS('CPL Mats'!F:F,'CPL Mats'!Q:Q,AR343,'CPL Mats'!S:S,AS343)),"")</f>
        <v>9520.2099999999991</v>
      </c>
      <c r="AF343" s="25">
        <f>IF(SUMIFS('Supp Consol'!S:S,'Supp Consol'!Y:Y,"Releasable",'Supp Consol'!A:A,O343)=0,"",SUMIFS('Supp Consol'!S:S,'Supp Consol'!Y:Y,"Releasable",'Supp Consol'!A:A,O343))</f>
        <v>6007</v>
      </c>
      <c r="AG343" s="25">
        <f>IFERROR(INDEX('Hun Demand'!Q:Q,MATCH(O343,'Hun Demand'!A:A,0)),"")</f>
        <v>-465</v>
      </c>
      <c r="AH343" s="25">
        <f>IFERROR(INDEX('Hun Demand'!H:H,MATCH($O343,'Hun Demand'!$A:$A,0)),"")</f>
        <v>145</v>
      </c>
      <c r="AI343" s="25" t="str">
        <f>IF(SUMIFS('Supp Consol'!AA:AA,'Supp Consol'!Z:Z,"Expires this month",'Supp Consol'!A:A,O343)=0,"",SUMIFS('Supp Consol'!AA:AA,'Supp Consol'!Z:Z,"Expires this month",'Supp Consol'!A:A,O343))</f>
        <v/>
      </c>
      <c r="AJ343" s="25" t="str">
        <f>IF(SUMIFS('Supp Consol'!AA:AA,'Supp Consol'!Z:Z,"Expired Previous Months",'Supp Consol'!A:A,O343)=0,"",SUMIFS('Supp Consol'!AA:AA,'Supp Consol'!Z:Z,"Expired Previous Months",'Supp Consol'!A:A,O343))</f>
        <v/>
      </c>
      <c r="AK343" s="25">
        <f>IFERROR(INDEX('Hun Release Current'!B:B,MATCH(O343,'Hun Release Current'!A:A,0)),"")</f>
        <v>500</v>
      </c>
      <c r="AL343" s="25" t="str">
        <f>IF(SUMIF('Prev Aub'!A:A,O343,'Prev Aub'!B:B)=0,"",SUMIF('Prev Aub'!A:A,O343,'Prev Aub'!B:B))</f>
        <v/>
      </c>
      <c r="AN343" s="25" t="s">
        <v>3790</v>
      </c>
      <c r="AO343" s="25" t="s">
        <v>3790</v>
      </c>
      <c r="AP343" s="25">
        <f t="shared" si="146"/>
        <v>0</v>
      </c>
      <c r="AQ343" s="151" t="str">
        <f>IF(SUMIFS('Supp Consol'!S:S,'Supp Consol'!A:A,O343,'Supp Consol'!I:I,"PENDING")=0,"",SUMIFS('Supp Consol'!S:S,'Supp Consol'!A:A,O343,'Supp Consol'!I:I,"PENDING"))</f>
        <v/>
      </c>
      <c r="AR343" s="27" t="str">
        <f t="shared" si="147"/>
        <v>AW300</v>
      </c>
      <c r="AS343" s="27" t="str">
        <f t="shared" si="148"/>
        <v>50</v>
      </c>
      <c r="AT343" s="27" t="str">
        <f t="shared" si="149"/>
        <v/>
      </c>
      <c r="AU343" s="27" t="str">
        <f t="shared" si="150"/>
        <v/>
      </c>
      <c r="AV343" s="27" t="str">
        <f t="shared" si="151"/>
        <v/>
      </c>
      <c r="AW343" s="27" t="str">
        <f t="shared" si="152"/>
        <v/>
      </c>
      <c r="AX343" s="27" t="str">
        <f t="shared" si="153"/>
        <v>AW300</v>
      </c>
      <c r="AY343" s="27" t="str">
        <f t="shared" si="154"/>
        <v/>
      </c>
      <c r="AZ343" s="27" t="str">
        <f t="shared" si="155"/>
        <v>Supp</v>
      </c>
      <c r="BA343" s="27" t="str">
        <f t="shared" si="156"/>
        <v>Hun</v>
      </c>
      <c r="BB343" s="27" t="str">
        <f t="shared" si="157"/>
        <v/>
      </c>
      <c r="BC343" s="27" t="str">
        <f t="shared" si="158"/>
        <v/>
      </c>
      <c r="BD343" s="27" t="str">
        <f t="shared" si="159"/>
        <v/>
      </c>
      <c r="BE343" s="27" t="str">
        <f t="shared" si="160"/>
        <v/>
      </c>
      <c r="BF343" s="27" t="str">
        <f t="shared" si="161"/>
        <v/>
      </c>
      <c r="BG343" s="27" t="str">
        <f t="shared" si="162"/>
        <v/>
      </c>
      <c r="BH343" s="27" t="str">
        <f t="shared" si="163"/>
        <v/>
      </c>
      <c r="BI343" s="27" t="str">
        <f t="shared" si="164"/>
        <v/>
      </c>
      <c r="BJ343" s="27" t="str">
        <f t="shared" si="165"/>
        <v>Supp or Hun</v>
      </c>
      <c r="BK343" s="27" t="str">
        <f t="shared" si="166"/>
        <v/>
      </c>
      <c r="BL343" s="27" t="str">
        <f t="shared" si="167"/>
        <v/>
      </c>
      <c r="BM343" s="21" t="s">
        <v>5581</v>
      </c>
    </row>
    <row r="344" spans="1:65" ht="15">
      <c r="A344" s="25">
        <f>IFERROR(INDEX('Hun Demand'!W:W,MATCH(O344,'Hun Demand'!A:A,0)),"")</f>
        <v>2428</v>
      </c>
      <c r="B344" s="25">
        <f>IFERROR(INDEX('Hun Demand'!V:V,MATCH(O344,'Hun Demand'!A:A,0)),"")</f>
        <v>615</v>
      </c>
      <c r="C344" s="25">
        <f>IFERROR(INDEX('Hun Demand'!U:U,MATCH(O344,'Hun Demand'!A:A,0)),"")</f>
        <v>0</v>
      </c>
      <c r="D344" s="25">
        <f>IFERROR(INDEX('Hun Demand'!T:T,MATCH(O344,'Hun Demand'!A:A,0)),"")</f>
        <v>0</v>
      </c>
      <c r="E344" s="25">
        <f>IFERROR(INDEX('Hun Demand'!S:S,MATCH(O344,'Hun Demand'!A:A,0)),"")</f>
        <v>378</v>
      </c>
      <c r="F344" s="25">
        <f>IFERROR(INDEX('Hun Demand'!R:R,MATCH(O344,'Hun Demand'!A:A,0)),"")</f>
        <v>540</v>
      </c>
      <c r="G344" s="25">
        <f>IFERROR(INDEX('Aub Demand'!W:W,MATCH(O344,'Aub Demand'!A:A,0)),"")</f>
        <v>861</v>
      </c>
      <c r="H344" s="25">
        <f>IFERROR(INDEX('Aub Demand'!V:V,MATCH(O344,'Aub Demand'!A:A,0)),"")</f>
        <v>100</v>
      </c>
      <c r="I344" s="25">
        <f>IFERROR(INDEX('Aub Demand'!U:U,MATCH(O344,'Aub Demand'!A:A,0)),"")</f>
        <v>278</v>
      </c>
      <c r="J344" s="25">
        <f>IFERROR(INDEX('Aub Demand'!T:T,MATCH(O344,'Aub Demand'!A:A,0)),"")</f>
        <v>128</v>
      </c>
      <c r="K344" s="25">
        <f>IFERROR(INDEX('Aub Demand'!S:S,MATCH(O344,'Aub Demand'!A:A,0)),"")</f>
        <v>231</v>
      </c>
      <c r="L344" s="25">
        <f>IFERROR(INDEX('Aub Demand'!R:R,MATCH(O344,'Aub Demand'!A:A,0)),"")</f>
        <v>0</v>
      </c>
      <c r="O344" s="27" t="s">
        <v>576</v>
      </c>
      <c r="P344" s="27" t="str">
        <f>IFERROR(INDEX('Aub Demand'!B:B,MATCH($O344,'Aub Demand'!$A:$A,0)),"")</f>
        <v>LOVE LETTERS</v>
      </c>
      <c r="Q344" s="27" t="str">
        <f>IFERROR(INDEX('Aub Demand'!C:C,MATCH($O344,'Aub Demand'!$A:$A,0)),"")</f>
        <v>INTER</v>
      </c>
      <c r="R344" s="52">
        <f>IFERROR(IF(AR345=AR344,INDEX('Aub Demand'!K:K,MATCH($O344,'Aub Demand'!$A:$A,0))-IF(AN344="",0,AN344)+AP345,INDEX('Aub Demand'!K:K,MATCH($O344,'Aub Demand'!$A:$A,0))-IF(AN344="",0,AN344)),"")</f>
        <v>726</v>
      </c>
      <c r="S344" s="53">
        <f t="shared" si="140"/>
        <v>14.7</v>
      </c>
      <c r="T344" s="52" t="str">
        <f t="shared" si="141"/>
        <v/>
      </c>
      <c r="U344" s="52">
        <f>IFERROR(IF(AR345=AR344,INDEX('Aub Demand'!Q:Q,MATCH($O344,'Aub Demand'!$A:$A,0))-IF(AN344="",0,AN344)+AP345,INDEX('Aub Demand'!Q:Q,MATCH($O344,'Aub Demand'!$A:$A,0))-IF(AN344="",0,AN344)),"")</f>
        <v>726</v>
      </c>
      <c r="V344" s="53">
        <f t="shared" si="142"/>
        <v>14.7</v>
      </c>
      <c r="W344" s="52" t="str">
        <f t="shared" si="143"/>
        <v/>
      </c>
      <c r="X344" s="52">
        <f>IFERROR(IF(AND(AR345=AR344,AM344&lt;&gt;""),INDEX('Aub Demand'!Q:Q,MATCH($O344,'Aub Demand'!$A:$A,0))-IF(AN344="",0,AN344)+AP345+AD344+AL344,IF(AR345=AR344,INDEX('Aub Demand'!Q:Q,MATCH($O344,'Aub Demand'!$A:$A,0))-IF(AN344="",0,AN344)+AP345+AD344,IF(AM344&lt;&gt;"",INDEX('Aub Demand'!Q:Q,MATCH($O344,'Aub Demand'!$A:$A,0))-IF(AN344="",0,AN344)+AD344+AL344,INDEX('Aub Demand'!Q:Q,MATCH($O344,'Aub Demand'!$A:$A,0))-IF(AN344="",0,AN344)+AD344))),"")</f>
        <v>726</v>
      </c>
      <c r="Y344" s="53">
        <f t="shared" si="144"/>
        <v>14.7</v>
      </c>
      <c r="Z344" s="52">
        <f>IF(L344="","",INDEX('Aub Demand'!H:H,MATCH($O344,'Aub Demand'!$A:$A,0)))</f>
        <v>212</v>
      </c>
      <c r="AA344" s="52">
        <f t="shared" si="145"/>
        <v>254.5</v>
      </c>
      <c r="AB344" s="52">
        <f>IFERROR(INDEX('Aub Demand'!L:L,MATCH($O344,'Aub Demand'!$A:$A,0)),"")</f>
        <v>70</v>
      </c>
      <c r="AC344" s="52">
        <f>IFERROR(IF(O344="","",SUMIFS('CPL Mats'!F:F,'CPL Mats'!Q:Q,AR344,'CPL Mats'!S:S,AS344)),"")</f>
        <v>519.96</v>
      </c>
      <c r="AF344" s="25">
        <f>IF(SUMIFS('Supp Consol'!S:S,'Supp Consol'!Y:Y,"Releasable",'Supp Consol'!A:A,O344)=0,"",SUMIFS('Supp Consol'!S:S,'Supp Consol'!Y:Y,"Releasable",'Supp Consol'!A:A,O344))</f>
        <v>2317</v>
      </c>
      <c r="AG344" s="25">
        <f>IFERROR(INDEX('Hun Demand'!Q:Q,MATCH(O344,'Hun Demand'!A:A,0)),"")</f>
        <v>135</v>
      </c>
      <c r="AH344" s="25">
        <f>IFERROR(INDEX('Hun Demand'!H:H,MATCH($O344,'Hun Demand'!$A:$A,0)),"")</f>
        <v>126</v>
      </c>
      <c r="AI344" s="25" t="str">
        <f>IF(SUMIFS('Supp Consol'!AA:AA,'Supp Consol'!Z:Z,"Expires this month",'Supp Consol'!A:A,O344)=0,"",SUMIFS('Supp Consol'!AA:AA,'Supp Consol'!Z:Z,"Expires this month",'Supp Consol'!A:A,O344))</f>
        <v/>
      </c>
      <c r="AJ344" s="25" t="str">
        <f>IF(SUMIFS('Supp Consol'!AA:AA,'Supp Consol'!Z:Z,"Expired Previous Months",'Supp Consol'!A:A,O344)=0,"",SUMIFS('Supp Consol'!AA:AA,'Supp Consol'!Z:Z,"Expired Previous Months",'Supp Consol'!A:A,O344))</f>
        <v/>
      </c>
      <c r="AK344" s="25" t="str">
        <f>IFERROR(INDEX('Hun Release Current'!B:B,MATCH(O344,'Hun Release Current'!A:A,0)),"")</f>
        <v/>
      </c>
      <c r="AL344" s="25" t="str">
        <f>IF(SUMIF('Prev Aub'!A:A,O344,'Prev Aub'!B:B)=0,"",SUMIF('Prev Aub'!A:A,O344,'Prev Aub'!B:B))</f>
        <v/>
      </c>
      <c r="AN344" s="25" t="s">
        <v>3790</v>
      </c>
      <c r="AO344" s="25" t="s">
        <v>3790</v>
      </c>
      <c r="AP344" s="25">
        <f t="shared" si="146"/>
        <v>0</v>
      </c>
      <c r="AQ344" s="151" t="str">
        <f>IF(SUMIFS('Supp Consol'!S:S,'Supp Consol'!A:A,O344,'Supp Consol'!I:I,"PENDING")=0,"",SUMIFS('Supp Consol'!S:S,'Supp Consol'!A:A,O344,'Supp Consol'!I:I,"PENDING"))</f>
        <v/>
      </c>
      <c r="AR344" s="27" t="str">
        <f t="shared" si="147"/>
        <v>AW300</v>
      </c>
      <c r="AS344" s="27" t="str">
        <f t="shared" si="148"/>
        <v>62</v>
      </c>
      <c r="AT344" s="27" t="str">
        <f t="shared" si="149"/>
        <v/>
      </c>
      <c r="AU344" s="27" t="str">
        <f t="shared" si="150"/>
        <v/>
      </c>
      <c r="AV344" s="27" t="str">
        <f t="shared" si="151"/>
        <v/>
      </c>
      <c r="AW344" s="27" t="str">
        <f t="shared" si="152"/>
        <v/>
      </c>
      <c r="AX344" s="27" t="str">
        <f t="shared" si="153"/>
        <v>AW300</v>
      </c>
      <c r="AY344" s="27" t="str">
        <f t="shared" si="154"/>
        <v>AW300</v>
      </c>
      <c r="AZ344" s="27" t="str">
        <f t="shared" si="155"/>
        <v>Supp</v>
      </c>
      <c r="BA344" s="27" t="str">
        <f t="shared" si="156"/>
        <v>Hun</v>
      </c>
      <c r="BB344" s="27" t="str">
        <f t="shared" si="157"/>
        <v/>
      </c>
      <c r="BC344" s="27" t="str">
        <f t="shared" si="158"/>
        <v/>
      </c>
      <c r="BD344" s="27" t="str">
        <f t="shared" si="159"/>
        <v/>
      </c>
      <c r="BE344" s="27" t="str">
        <f t="shared" si="160"/>
        <v/>
      </c>
      <c r="BF344" s="27" t="str">
        <f t="shared" si="161"/>
        <v/>
      </c>
      <c r="BG344" s="27" t="str">
        <f t="shared" si="162"/>
        <v/>
      </c>
      <c r="BH344" s="27" t="str">
        <f t="shared" si="163"/>
        <v/>
      </c>
      <c r="BI344" s="27" t="str">
        <f t="shared" si="164"/>
        <v/>
      </c>
      <c r="BJ344" s="27" t="str">
        <f t="shared" si="165"/>
        <v>Supp or Hun</v>
      </c>
      <c r="BK344" s="27" t="str">
        <f t="shared" si="166"/>
        <v/>
      </c>
      <c r="BL344" s="27" t="str">
        <f t="shared" si="167"/>
        <v/>
      </c>
      <c r="BM344" s="21" t="s">
        <v>5581</v>
      </c>
    </row>
    <row r="345" spans="1:65" ht="15">
      <c r="A345" s="25" t="str">
        <f>IFERROR(INDEX('Hun Demand'!W:W,MATCH(O345,'Hun Demand'!A:A,0)),"")</f>
        <v/>
      </c>
      <c r="B345" s="25" t="str">
        <f>IFERROR(INDEX('Hun Demand'!V:V,MATCH(O345,'Hun Demand'!A:A,0)),"")</f>
        <v/>
      </c>
      <c r="C345" s="25" t="str">
        <f>IFERROR(INDEX('Hun Demand'!U:U,MATCH(O345,'Hun Demand'!A:A,0)),"")</f>
        <v/>
      </c>
      <c r="D345" s="25" t="str">
        <f>IFERROR(INDEX('Hun Demand'!T:T,MATCH(O345,'Hun Demand'!A:A,0)),"")</f>
        <v/>
      </c>
      <c r="E345" s="25" t="str">
        <f>IFERROR(INDEX('Hun Demand'!S:S,MATCH(O345,'Hun Demand'!A:A,0)),"")</f>
        <v/>
      </c>
      <c r="F345" s="25" t="str">
        <f>IFERROR(INDEX('Hun Demand'!R:R,MATCH(O345,'Hun Demand'!A:A,0)),"")</f>
        <v/>
      </c>
      <c r="G345" s="25">
        <f>IFERROR(INDEX('Aub Demand'!W:W,MATCH(O345,'Aub Demand'!A:A,0)),"")</f>
        <v>19</v>
      </c>
      <c r="H345" s="25">
        <f>IFERROR(INDEX('Aub Demand'!V:V,MATCH(O345,'Aub Demand'!A:A,0)),"")</f>
        <v>0</v>
      </c>
      <c r="I345" s="25">
        <f>IFERROR(INDEX('Aub Demand'!U:U,MATCH(O345,'Aub Demand'!A:A,0)),"")</f>
        <v>0</v>
      </c>
      <c r="J345" s="25">
        <f>IFERROR(INDEX('Aub Demand'!T:T,MATCH(O345,'Aub Demand'!A:A,0)),"")</f>
        <v>13</v>
      </c>
      <c r="K345" s="25">
        <f>IFERROR(INDEX('Aub Demand'!S:S,MATCH(O345,'Aub Demand'!A:A,0)),"")</f>
        <v>0</v>
      </c>
      <c r="L345" s="25">
        <f>IFERROR(INDEX('Aub Demand'!R:R,MATCH(O345,'Aub Demand'!A:A,0)),"")</f>
        <v>4</v>
      </c>
      <c r="O345" s="27" t="s">
        <v>577</v>
      </c>
      <c r="P345" s="27" t="str">
        <f>IFERROR(INDEX('Aub Demand'!B:B,MATCH($O345,'Aub Demand'!$A:$A,0)),"")</f>
        <v>BEAU-TIE</v>
      </c>
      <c r="Q345" s="27" t="str">
        <f>IFERROR(INDEX('Aub Demand'!C:C,MATCH($O345,'Aub Demand'!$A:$A,0)),"")</f>
        <v>SUDDE</v>
      </c>
      <c r="R345" s="52">
        <f>IFERROR(IF(AR346=AR345,INDEX('Aub Demand'!K:K,MATCH($O345,'Aub Demand'!$A:$A,0))-IF(AN345="",0,AN345)+AP346,INDEX('Aub Demand'!K:K,MATCH($O345,'Aub Demand'!$A:$A,0))-IF(AN345="",0,AN345)),"")</f>
        <v>1263</v>
      </c>
      <c r="S345" s="53">
        <f t="shared" si="140"/>
        <v>1353.2</v>
      </c>
      <c r="T345" s="52" t="str">
        <f t="shared" si="141"/>
        <v/>
      </c>
      <c r="U345" s="52">
        <f>IFERROR(IF(AR346=AR345,INDEX('Aub Demand'!Q:Q,MATCH($O345,'Aub Demand'!$A:$A,0))-IF(AN345="",0,AN345)+AP346,INDEX('Aub Demand'!Q:Q,MATCH($O345,'Aub Demand'!$A:$A,0))-IF(AN345="",0,AN345)),"")</f>
        <v>1257</v>
      </c>
      <c r="V345" s="53">
        <f t="shared" si="142"/>
        <v>1346.8</v>
      </c>
      <c r="W345" s="52" t="str">
        <f t="shared" si="143"/>
        <v/>
      </c>
      <c r="X345" s="52">
        <f>IFERROR(IF(AND(AR346=AR345,AM345&lt;&gt;""),INDEX('Aub Demand'!Q:Q,MATCH($O345,'Aub Demand'!$A:$A,0))-IF(AN345="",0,AN345)+AP346+AD345+AL345,IF(AR346=AR345,INDEX('Aub Demand'!Q:Q,MATCH($O345,'Aub Demand'!$A:$A,0))-IF(AN345="",0,AN345)+AP346+AD345,IF(AM345&lt;&gt;"",INDEX('Aub Demand'!Q:Q,MATCH($O345,'Aub Demand'!$A:$A,0))-IF(AN345="",0,AN345)+AD345+AL345,INDEX('Aub Demand'!Q:Q,MATCH($O345,'Aub Demand'!$A:$A,0))-IF(AN345="",0,AN345)+AD345))),"")</f>
        <v>1257</v>
      </c>
      <c r="Y345" s="53">
        <f t="shared" si="144"/>
        <v>1346.8</v>
      </c>
      <c r="Z345" s="52">
        <f>IF(L345="","",INDEX('Aub Demand'!H:H,MATCH($O345,'Aub Demand'!$A:$A,0)))</f>
        <v>4</v>
      </c>
      <c r="AA345" s="52">
        <f t="shared" si="145"/>
        <v>8.5</v>
      </c>
      <c r="AB345" s="52">
        <f>IFERROR(INDEX('Aub Demand'!L:L,MATCH($O345,'Aub Demand'!$A:$A,0)),"")</f>
        <v>8</v>
      </c>
      <c r="AC345" s="52">
        <f>IFERROR(IF(O345="","",SUMIFS('CPL Mats'!F:F,'CPL Mats'!Q:Q,AR345,'CPL Mats'!S:S,AS345)),"")</f>
        <v>0</v>
      </c>
      <c r="AF345" s="25" t="str">
        <f>IF(SUMIFS('Supp Consol'!S:S,'Supp Consol'!Y:Y,"Releasable",'Supp Consol'!A:A,O345)=0,"",SUMIFS('Supp Consol'!S:S,'Supp Consol'!Y:Y,"Releasable",'Supp Consol'!A:A,O345))</f>
        <v/>
      </c>
      <c r="AG345" s="25" t="str">
        <f>IFERROR(INDEX('Hun Demand'!Q:Q,MATCH(O345,'Hun Demand'!A:A,0)),"")</f>
        <v/>
      </c>
      <c r="AH345" s="25" t="str">
        <f>IFERROR(INDEX('Hun Demand'!H:H,MATCH($O345,'Hun Demand'!$A:$A,0)),"")</f>
        <v/>
      </c>
      <c r="AI345" s="25" t="str">
        <f>IF(SUMIFS('Supp Consol'!AA:AA,'Supp Consol'!Z:Z,"Expires this month",'Supp Consol'!A:A,O345)=0,"",SUMIFS('Supp Consol'!AA:AA,'Supp Consol'!Z:Z,"Expires this month",'Supp Consol'!A:A,O345))</f>
        <v/>
      </c>
      <c r="AJ345" s="25" t="str">
        <f>IF(SUMIFS('Supp Consol'!AA:AA,'Supp Consol'!Z:Z,"Expired Previous Months",'Supp Consol'!A:A,O345)=0,"",SUMIFS('Supp Consol'!AA:AA,'Supp Consol'!Z:Z,"Expired Previous Months",'Supp Consol'!A:A,O345))</f>
        <v/>
      </c>
      <c r="AK345" s="25" t="str">
        <f>IFERROR(INDEX('Hun Release Current'!B:B,MATCH(O345,'Hun Release Current'!A:A,0)),"")</f>
        <v/>
      </c>
      <c r="AL345" s="25" t="str">
        <f>IF(SUMIF('Prev Aub'!A:A,O345,'Prev Aub'!B:B)=0,"",SUMIF('Prev Aub'!A:A,O345,'Prev Aub'!B:B))</f>
        <v/>
      </c>
      <c r="AN345" s="25" t="s">
        <v>3790</v>
      </c>
      <c r="AO345" s="25" t="s">
        <v>3790</v>
      </c>
      <c r="AP345" s="25">
        <f t="shared" si="146"/>
        <v>0</v>
      </c>
      <c r="AQ345" s="151" t="str">
        <f>IF(SUMIFS('Supp Consol'!S:S,'Supp Consol'!A:A,O345,'Supp Consol'!I:I,"PENDING")=0,"",SUMIFS('Supp Consol'!S:S,'Supp Consol'!A:A,O345,'Supp Consol'!I:I,"PENDING"))</f>
        <v/>
      </c>
      <c r="AR345" s="27" t="str">
        <f t="shared" si="147"/>
        <v>AW700</v>
      </c>
      <c r="AS345" s="27" t="str">
        <f t="shared" si="148"/>
        <v>50</v>
      </c>
      <c r="AT345" s="27" t="str">
        <f t="shared" si="149"/>
        <v/>
      </c>
      <c r="AU345" s="27" t="str">
        <f t="shared" si="150"/>
        <v/>
      </c>
      <c r="AV345" s="27" t="str">
        <f t="shared" si="151"/>
        <v/>
      </c>
      <c r="AW345" s="27" t="str">
        <f t="shared" si="152"/>
        <v/>
      </c>
      <c r="AX345" s="27" t="str">
        <f t="shared" si="153"/>
        <v/>
      </c>
      <c r="AY345" s="27" t="str">
        <f t="shared" si="154"/>
        <v/>
      </c>
      <c r="AZ345" s="27" t="str">
        <f t="shared" si="155"/>
        <v/>
      </c>
      <c r="BA345" s="27" t="str">
        <f t="shared" si="156"/>
        <v/>
      </c>
      <c r="BB345" s="27" t="str">
        <f t="shared" si="157"/>
        <v/>
      </c>
      <c r="BC345" s="27" t="str">
        <f t="shared" si="158"/>
        <v/>
      </c>
      <c r="BD345" s="27" t="str">
        <f t="shared" si="159"/>
        <v/>
      </c>
      <c r="BE345" s="27" t="str">
        <f t="shared" si="160"/>
        <v/>
      </c>
      <c r="BF345" s="27" t="str">
        <f t="shared" si="161"/>
        <v/>
      </c>
      <c r="BG345" s="27" t="str">
        <f t="shared" si="162"/>
        <v/>
      </c>
      <c r="BH345" s="27" t="str">
        <f t="shared" si="163"/>
        <v/>
      </c>
      <c r="BI345" s="27" t="str">
        <f t="shared" si="164"/>
        <v/>
      </c>
      <c r="BJ345" s="27" t="str">
        <f t="shared" si="165"/>
        <v/>
      </c>
      <c r="BK345" s="27" t="str">
        <f t="shared" si="166"/>
        <v/>
      </c>
      <c r="BL345" s="27" t="str">
        <f t="shared" si="167"/>
        <v/>
      </c>
      <c r="BM345" s="21" t="s">
        <v>5581</v>
      </c>
    </row>
    <row r="346" spans="1:65" ht="15">
      <c r="A346" s="25" t="str">
        <f>IFERROR(INDEX('Hun Demand'!W:W,MATCH(O346,'Hun Demand'!A:A,0)),"")</f>
        <v/>
      </c>
      <c r="B346" s="25" t="str">
        <f>IFERROR(INDEX('Hun Demand'!V:V,MATCH(O346,'Hun Demand'!A:A,0)),"")</f>
        <v/>
      </c>
      <c r="C346" s="25" t="str">
        <f>IFERROR(INDEX('Hun Demand'!U:U,MATCH(O346,'Hun Demand'!A:A,0)),"")</f>
        <v/>
      </c>
      <c r="D346" s="25" t="str">
        <f>IFERROR(INDEX('Hun Demand'!T:T,MATCH(O346,'Hun Demand'!A:A,0)),"")</f>
        <v/>
      </c>
      <c r="E346" s="25" t="str">
        <f>IFERROR(INDEX('Hun Demand'!S:S,MATCH(O346,'Hun Demand'!A:A,0)),"")</f>
        <v/>
      </c>
      <c r="F346" s="25" t="str">
        <f>IFERROR(INDEX('Hun Demand'!R:R,MATCH(O346,'Hun Demand'!A:A,0)),"")</f>
        <v/>
      </c>
      <c r="G346" s="25">
        <f>IFERROR(INDEX('Aub Demand'!W:W,MATCH(O346,'Aub Demand'!A:A,0)),"")</f>
        <v>0</v>
      </c>
      <c r="H346" s="25">
        <f>IFERROR(INDEX('Aub Demand'!V:V,MATCH(O346,'Aub Demand'!A:A,0)),"")</f>
        <v>0</v>
      </c>
      <c r="I346" s="25">
        <f>IFERROR(INDEX('Aub Demand'!U:U,MATCH(O346,'Aub Demand'!A:A,0)),"")</f>
        <v>0</v>
      </c>
      <c r="J346" s="25">
        <f>IFERROR(INDEX('Aub Demand'!T:T,MATCH(O346,'Aub Demand'!A:A,0)),"")</f>
        <v>0</v>
      </c>
      <c r="K346" s="25">
        <f>IFERROR(INDEX('Aub Demand'!S:S,MATCH(O346,'Aub Demand'!A:A,0)),"")</f>
        <v>0</v>
      </c>
      <c r="L346" s="25">
        <f>IFERROR(INDEX('Aub Demand'!R:R,MATCH(O346,'Aub Demand'!A:A,0)),"")</f>
        <v>0</v>
      </c>
      <c r="O346" s="27" t="s">
        <v>579</v>
      </c>
      <c r="P346" s="27" t="str">
        <f>IFERROR(INDEX('Aub Demand'!B:B,MATCH($O346,'Aub Demand'!$A:$A,0)),"")</f>
        <v>BEAU-TIE</v>
      </c>
      <c r="Q346" s="27" t="str">
        <f>IFERROR(INDEX('Aub Demand'!C:C,MATCH($O346,'Aub Demand'!$A:$A,0)),"")</f>
        <v>SUDDE</v>
      </c>
      <c r="R346" s="52">
        <f>IFERROR(IF(AR347=AR346,INDEX('Aub Demand'!K:K,MATCH($O346,'Aub Demand'!$A:$A,0))-IF(AN346="",0,AN346)+AP347,INDEX('Aub Demand'!K:K,MATCH($O346,'Aub Demand'!$A:$A,0))-IF(AN346="",0,AN346)),"")</f>
        <v>2806</v>
      </c>
      <c r="S346" s="53" t="str">
        <f t="shared" si="140"/>
        <v>n/a</v>
      </c>
      <c r="T346" s="52" t="str">
        <f t="shared" si="141"/>
        <v/>
      </c>
      <c r="U346" s="52">
        <f>IFERROR(IF(AR347=AR346,INDEX('Aub Demand'!Q:Q,MATCH($O346,'Aub Demand'!$A:$A,0))-IF(AN346="",0,AN346)+AP347,INDEX('Aub Demand'!Q:Q,MATCH($O346,'Aub Demand'!$A:$A,0))-IF(AN346="",0,AN346)),"")</f>
        <v>2806</v>
      </c>
      <c r="V346" s="53" t="str">
        <f t="shared" si="142"/>
        <v>n/a</v>
      </c>
      <c r="W346" s="52" t="str">
        <f t="shared" si="143"/>
        <v/>
      </c>
      <c r="X346" s="52">
        <f>IFERROR(IF(AND(AR347=AR346,AM346&lt;&gt;""),INDEX('Aub Demand'!Q:Q,MATCH($O346,'Aub Demand'!$A:$A,0))-IF(AN346="",0,AN346)+AP347+AD346+AL346,IF(AR347=AR346,INDEX('Aub Demand'!Q:Q,MATCH($O346,'Aub Demand'!$A:$A,0))-IF(AN346="",0,AN346)+AP347+AD346,IF(AM346&lt;&gt;"",INDEX('Aub Demand'!Q:Q,MATCH($O346,'Aub Demand'!$A:$A,0))-IF(AN346="",0,AN346)+AD346+AL346,INDEX('Aub Demand'!Q:Q,MATCH($O346,'Aub Demand'!$A:$A,0))-IF(AN346="",0,AN346)+AD346))),"")</f>
        <v>2806</v>
      </c>
      <c r="Y346" s="53" t="str">
        <f t="shared" si="144"/>
        <v>n/a</v>
      </c>
      <c r="Z346" s="52">
        <f>IF(L346="","",INDEX('Aub Demand'!H:H,MATCH($O346,'Aub Demand'!$A:$A,0)))</f>
        <v>0</v>
      </c>
      <c r="AA346" s="52" t="str">
        <f t="shared" si="145"/>
        <v>-spike-</v>
      </c>
      <c r="AB346" s="52">
        <f>IFERROR(INDEX('Aub Demand'!L:L,MATCH($O346,'Aub Demand'!$A:$A,0)),"")</f>
        <v>8</v>
      </c>
      <c r="AC346" s="52">
        <f>IFERROR(IF(O346="","",SUMIFS('CPL Mats'!F:F,'CPL Mats'!Q:Q,AR346,'CPL Mats'!S:S,AS346)),"")</f>
        <v>0</v>
      </c>
      <c r="AF346" s="25" t="str">
        <f>IF(SUMIFS('Supp Consol'!S:S,'Supp Consol'!Y:Y,"Releasable",'Supp Consol'!A:A,O346)=0,"",SUMIFS('Supp Consol'!S:S,'Supp Consol'!Y:Y,"Releasable",'Supp Consol'!A:A,O346))</f>
        <v/>
      </c>
      <c r="AG346" s="25" t="str">
        <f>IFERROR(INDEX('Hun Demand'!Q:Q,MATCH(O346,'Hun Demand'!A:A,0)),"")</f>
        <v/>
      </c>
      <c r="AH346" s="25" t="str">
        <f>IFERROR(INDEX('Hun Demand'!H:H,MATCH($O346,'Hun Demand'!$A:$A,0)),"")</f>
        <v/>
      </c>
      <c r="AI346" s="25" t="str">
        <f>IF(SUMIFS('Supp Consol'!AA:AA,'Supp Consol'!Z:Z,"Expires this month",'Supp Consol'!A:A,O346)=0,"",SUMIFS('Supp Consol'!AA:AA,'Supp Consol'!Z:Z,"Expires this month",'Supp Consol'!A:A,O346))</f>
        <v/>
      </c>
      <c r="AJ346" s="25" t="str">
        <f>IF(SUMIFS('Supp Consol'!AA:AA,'Supp Consol'!Z:Z,"Expired Previous Months",'Supp Consol'!A:A,O346)=0,"",SUMIFS('Supp Consol'!AA:AA,'Supp Consol'!Z:Z,"Expired Previous Months",'Supp Consol'!A:A,O346))</f>
        <v/>
      </c>
      <c r="AK346" s="25" t="str">
        <f>IFERROR(INDEX('Hun Release Current'!B:B,MATCH(O346,'Hun Release Current'!A:A,0)),"")</f>
        <v/>
      </c>
      <c r="AL346" s="25" t="str">
        <f>IF(SUMIF('Prev Aub'!A:A,O346,'Prev Aub'!B:B)=0,"",SUMIF('Prev Aub'!A:A,O346,'Prev Aub'!B:B))</f>
        <v/>
      </c>
      <c r="AN346" s="25" t="s">
        <v>3790</v>
      </c>
      <c r="AO346" s="25" t="s">
        <v>3790</v>
      </c>
      <c r="AP346" s="25">
        <f t="shared" si="146"/>
        <v>0</v>
      </c>
      <c r="AQ346" s="151" t="str">
        <f>IF(SUMIFS('Supp Consol'!S:S,'Supp Consol'!A:A,O346,'Supp Consol'!I:I,"PENDING")=0,"",SUMIFS('Supp Consol'!S:S,'Supp Consol'!A:A,O346,'Supp Consol'!I:I,"PENDING"))</f>
        <v/>
      </c>
      <c r="AR346" s="27" t="str">
        <f t="shared" si="147"/>
        <v>AW700</v>
      </c>
      <c r="AS346" s="27" t="str">
        <f t="shared" si="148"/>
        <v>62</v>
      </c>
      <c r="AT346" s="27" t="str">
        <f t="shared" si="149"/>
        <v/>
      </c>
      <c r="AU346" s="27" t="str">
        <f t="shared" si="150"/>
        <v/>
      </c>
      <c r="AV346" s="27" t="str">
        <f t="shared" si="151"/>
        <v/>
      </c>
      <c r="AW346" s="27" t="str">
        <f t="shared" si="152"/>
        <v/>
      </c>
      <c r="AX346" s="27" t="str">
        <f t="shared" si="153"/>
        <v/>
      </c>
      <c r="AY346" s="27" t="str">
        <f t="shared" si="154"/>
        <v/>
      </c>
      <c r="AZ346" s="27" t="str">
        <f t="shared" si="155"/>
        <v/>
      </c>
      <c r="BA346" s="27" t="str">
        <f t="shared" si="156"/>
        <v/>
      </c>
      <c r="BB346" s="27" t="str">
        <f t="shared" si="157"/>
        <v/>
      </c>
      <c r="BC346" s="27" t="str">
        <f t="shared" si="158"/>
        <v/>
      </c>
      <c r="BD346" s="27" t="str">
        <f t="shared" si="159"/>
        <v/>
      </c>
      <c r="BE346" s="27" t="str">
        <f t="shared" si="160"/>
        <v/>
      </c>
      <c r="BF346" s="27" t="str">
        <f t="shared" si="161"/>
        <v/>
      </c>
      <c r="BG346" s="27" t="str">
        <f t="shared" si="162"/>
        <v/>
      </c>
      <c r="BH346" s="27" t="str">
        <f t="shared" si="163"/>
        <v/>
      </c>
      <c r="BI346" s="27" t="str">
        <f t="shared" si="164"/>
        <v/>
      </c>
      <c r="BJ346" s="27" t="str">
        <f t="shared" si="165"/>
        <v/>
      </c>
      <c r="BK346" s="27" t="str">
        <f t="shared" si="166"/>
        <v/>
      </c>
      <c r="BL346" s="27" t="str">
        <f t="shared" si="167"/>
        <v/>
      </c>
      <c r="BM346" s="21" t="s">
        <v>5581</v>
      </c>
    </row>
    <row r="347" spans="1:65" ht="15">
      <c r="A347" s="25">
        <f>IFERROR(INDEX('Hun Demand'!W:W,MATCH(O347,'Hun Demand'!A:A,0)),"")</f>
        <v>190</v>
      </c>
      <c r="B347" s="25">
        <f>IFERROR(INDEX('Hun Demand'!V:V,MATCH(O347,'Hun Demand'!A:A,0)),"")</f>
        <v>0</v>
      </c>
      <c r="C347" s="25">
        <f>IFERROR(INDEX('Hun Demand'!U:U,MATCH(O347,'Hun Demand'!A:A,0)),"")</f>
        <v>0</v>
      </c>
      <c r="D347" s="25">
        <f>IFERROR(INDEX('Hun Demand'!T:T,MATCH(O347,'Hun Demand'!A:A,0)),"")</f>
        <v>190</v>
      </c>
      <c r="E347" s="25">
        <f>IFERROR(INDEX('Hun Demand'!S:S,MATCH(O347,'Hun Demand'!A:A,0)),"")</f>
        <v>141</v>
      </c>
      <c r="F347" s="25">
        <f>IFERROR(INDEX('Hun Demand'!R:R,MATCH(O347,'Hun Demand'!A:A,0)),"")</f>
        <v>200</v>
      </c>
      <c r="G347" s="25">
        <f>IFERROR(INDEX('Aub Demand'!W:W,MATCH(O347,'Aub Demand'!A:A,0)),"")</f>
        <v>290</v>
      </c>
      <c r="H347" s="25">
        <f>IFERROR(INDEX('Aub Demand'!V:V,MATCH(O347,'Aub Demand'!A:A,0)),"")</f>
        <v>381</v>
      </c>
      <c r="I347" s="25">
        <f>IFERROR(INDEX('Aub Demand'!U:U,MATCH(O347,'Aub Demand'!A:A,0)),"")</f>
        <v>1344</v>
      </c>
      <c r="J347" s="25">
        <f>IFERROR(INDEX('Aub Demand'!T:T,MATCH(O347,'Aub Demand'!A:A,0)),"")</f>
        <v>62</v>
      </c>
      <c r="K347" s="25">
        <f>IFERROR(INDEX('Aub Demand'!S:S,MATCH(O347,'Aub Demand'!A:A,0)),"")</f>
        <v>0</v>
      </c>
      <c r="L347" s="25">
        <f>IFERROR(INDEX('Aub Demand'!R:R,MATCH(O347,'Aub Demand'!A:A,0)),"")</f>
        <v>0</v>
      </c>
      <c r="O347" s="27" t="s">
        <v>580</v>
      </c>
      <c r="P347" s="27" t="str">
        <f>IFERROR(INDEX('Aub Demand'!B:B,MATCH($O347,'Aub Demand'!$A:$A,0)),"")</f>
        <v>WHITE SPEKTRUM</v>
      </c>
      <c r="Q347" s="27" t="str">
        <f>IFERROR(INDEX('Aub Demand'!C:C,MATCH($O347,'Aub Demand'!$A:$A,0)),"")</f>
        <v>INTER</v>
      </c>
      <c r="R347" s="52">
        <f>IFERROR(IF(AR348=AR347,INDEX('Aub Demand'!K:K,MATCH($O347,'Aub Demand'!$A:$A,0))-IF(AN347="",0,AN347)+AP348,INDEX('Aub Demand'!K:K,MATCH($O347,'Aub Demand'!$A:$A,0))-IF(AN347="",0,AN347)),"")</f>
        <v>958</v>
      </c>
      <c r="S347" s="53">
        <f t="shared" si="140"/>
        <v>8.8000000000000007</v>
      </c>
      <c r="T347" s="52" t="str">
        <f t="shared" si="141"/>
        <v/>
      </c>
      <c r="U347" s="52">
        <f>IFERROR(IF(AR348=AR347,INDEX('Aub Demand'!Q:Q,MATCH($O347,'Aub Demand'!$A:$A,0))-IF(AN347="",0,AN347)+AP348,INDEX('Aub Demand'!Q:Q,MATCH($O347,'Aub Demand'!$A:$A,0))-IF(AN347="",0,AN347)),"")</f>
        <v>926</v>
      </c>
      <c r="V347" s="53">
        <f t="shared" si="142"/>
        <v>8.5</v>
      </c>
      <c r="W347" s="52" t="str">
        <f t="shared" si="143"/>
        <v/>
      </c>
      <c r="X347" s="52">
        <f>IFERROR(IF(AND(AR348=AR347,AM347&lt;&gt;""),INDEX('Aub Demand'!Q:Q,MATCH($O347,'Aub Demand'!$A:$A,0))-IF(AN347="",0,AN347)+AP348+AD347+AL347,IF(AR348=AR347,INDEX('Aub Demand'!Q:Q,MATCH($O347,'Aub Demand'!$A:$A,0))-IF(AN347="",0,AN347)+AP348+AD347,IF(AM347&lt;&gt;"",INDEX('Aub Demand'!Q:Q,MATCH($O347,'Aub Demand'!$A:$A,0))-IF(AN347="",0,AN347)+AD347+AL347,INDEX('Aub Demand'!Q:Q,MATCH($O347,'Aub Demand'!$A:$A,0))-IF(AN347="",0,AN347)+AD347))),"")</f>
        <v>926</v>
      </c>
      <c r="Y347" s="53">
        <f t="shared" si="144"/>
        <v>8.5</v>
      </c>
      <c r="Z347" s="52">
        <f>IF(L347="","",INDEX('Aub Demand'!H:H,MATCH($O347,'Aub Demand'!$A:$A,0)))</f>
        <v>469</v>
      </c>
      <c r="AA347" s="52">
        <f t="shared" si="145"/>
        <v>703</v>
      </c>
      <c r="AB347" s="52">
        <f>IFERROR(INDEX('Aub Demand'!L:L,MATCH($O347,'Aub Demand'!$A:$A,0)),"")</f>
        <v>6</v>
      </c>
      <c r="AC347" s="52">
        <f>IFERROR(IF(O347="","",SUMIFS('CPL Mats'!F:F,'CPL Mats'!Q:Q,AR347,'CPL Mats'!S:S,AS347)),"")</f>
        <v>0</v>
      </c>
      <c r="AF347" s="25" t="str">
        <f>IF(SUMIFS('Supp Consol'!S:S,'Supp Consol'!Y:Y,"Releasable",'Supp Consol'!A:A,O347)=0,"",SUMIFS('Supp Consol'!S:S,'Supp Consol'!Y:Y,"Releasable",'Supp Consol'!A:A,O347))</f>
        <v/>
      </c>
      <c r="AG347" s="25">
        <f>IFERROR(INDEX('Hun Demand'!Q:Q,MATCH(O347,'Hun Demand'!A:A,0)),"")</f>
        <v>529</v>
      </c>
      <c r="AH347" s="25">
        <f>IFERROR(INDEX('Hun Demand'!H:H,MATCH($O347,'Hun Demand'!$A:$A,0)),"")</f>
        <v>110</v>
      </c>
      <c r="AI347" s="25" t="str">
        <f>IF(SUMIFS('Supp Consol'!AA:AA,'Supp Consol'!Z:Z,"Expires this month",'Supp Consol'!A:A,O347)=0,"",SUMIFS('Supp Consol'!AA:AA,'Supp Consol'!Z:Z,"Expires this month",'Supp Consol'!A:A,O347))</f>
        <v/>
      </c>
      <c r="AJ347" s="25" t="str">
        <f>IF(SUMIFS('Supp Consol'!AA:AA,'Supp Consol'!Z:Z,"Expired Previous Months",'Supp Consol'!A:A,O347)=0,"",SUMIFS('Supp Consol'!AA:AA,'Supp Consol'!Z:Z,"Expired Previous Months",'Supp Consol'!A:A,O347))</f>
        <v/>
      </c>
      <c r="AK347" s="25" t="str">
        <f>IFERROR(INDEX('Hun Release Current'!B:B,MATCH(O347,'Hun Release Current'!A:A,0)),"")</f>
        <v/>
      </c>
      <c r="AL347" s="25" t="str">
        <f>IF(SUMIF('Prev Aub'!A:A,O347,'Prev Aub'!B:B)=0,"",SUMIF('Prev Aub'!A:A,O347,'Prev Aub'!B:B))</f>
        <v/>
      </c>
      <c r="AN347" s="25" t="s">
        <v>3790</v>
      </c>
      <c r="AO347" s="25" t="s">
        <v>3790</v>
      </c>
      <c r="AP347" s="25">
        <f t="shared" si="146"/>
        <v>0</v>
      </c>
      <c r="AQ347" s="151" t="str">
        <f>IF(SUMIFS('Supp Consol'!S:S,'Supp Consol'!A:A,O347,'Supp Consol'!I:I,"PENDING")=0,"",SUMIFS('Supp Consol'!S:S,'Supp Consol'!A:A,O347,'Supp Consol'!I:I,"PENDING"))</f>
        <v/>
      </c>
      <c r="AR347" s="27" t="str">
        <f t="shared" si="147"/>
        <v>AW785</v>
      </c>
      <c r="AS347" s="27" t="str">
        <f t="shared" si="148"/>
        <v>50</v>
      </c>
      <c r="AT347" s="27" t="str">
        <f t="shared" si="149"/>
        <v/>
      </c>
      <c r="AU347" s="27" t="str">
        <f t="shared" si="150"/>
        <v/>
      </c>
      <c r="AV347" s="27" t="str">
        <f t="shared" si="151"/>
        <v/>
      </c>
      <c r="AW347" s="27" t="str">
        <f t="shared" si="152"/>
        <v/>
      </c>
      <c r="AX347" s="27" t="str">
        <f t="shared" si="153"/>
        <v/>
      </c>
      <c r="AY347" s="27" t="str">
        <f t="shared" si="154"/>
        <v>AW785</v>
      </c>
      <c r="AZ347" s="27" t="str">
        <f t="shared" si="155"/>
        <v>Supp</v>
      </c>
      <c r="BA347" s="27" t="str">
        <f t="shared" si="156"/>
        <v>Hun</v>
      </c>
      <c r="BB347" s="27" t="str">
        <f t="shared" si="157"/>
        <v/>
      </c>
      <c r="BC347" s="27" t="str">
        <f t="shared" si="158"/>
        <v/>
      </c>
      <c r="BD347" s="27" t="str">
        <f t="shared" si="159"/>
        <v/>
      </c>
      <c r="BE347" s="27" t="str">
        <f t="shared" si="160"/>
        <v/>
      </c>
      <c r="BF347" s="27" t="str">
        <f t="shared" si="161"/>
        <v/>
      </c>
      <c r="BG347" s="27" t="str">
        <f t="shared" si="162"/>
        <v/>
      </c>
      <c r="BH347" s="27" t="str">
        <f t="shared" si="163"/>
        <v/>
      </c>
      <c r="BI347" s="27" t="str">
        <f t="shared" si="164"/>
        <v/>
      </c>
      <c r="BJ347" s="27" t="str">
        <f t="shared" si="165"/>
        <v>Supp or Hun</v>
      </c>
      <c r="BK347" s="27" t="str">
        <f t="shared" si="166"/>
        <v/>
      </c>
      <c r="BL347" s="27" t="str">
        <f t="shared" si="167"/>
        <v/>
      </c>
      <c r="BM347" s="21" t="s">
        <v>5581</v>
      </c>
    </row>
    <row r="348" spans="1:65" ht="15">
      <c r="A348" s="25">
        <f>IFERROR(INDEX('Hun Demand'!W:W,MATCH(O348,'Hun Demand'!A:A,0)),"")</f>
        <v>2962</v>
      </c>
      <c r="B348" s="25">
        <f>IFERROR(INDEX('Hun Demand'!V:V,MATCH(O348,'Hun Demand'!A:A,0)),"")</f>
        <v>546</v>
      </c>
      <c r="C348" s="25">
        <f>IFERROR(INDEX('Hun Demand'!U:U,MATCH(O348,'Hun Demand'!A:A,0)),"")</f>
        <v>282</v>
      </c>
      <c r="D348" s="25">
        <f>IFERROR(INDEX('Hun Demand'!T:T,MATCH(O348,'Hun Demand'!A:A,0)),"")</f>
        <v>0</v>
      </c>
      <c r="E348" s="25">
        <f>IFERROR(INDEX('Hun Demand'!S:S,MATCH(O348,'Hun Demand'!A:A,0)),"")</f>
        <v>368</v>
      </c>
      <c r="F348" s="25">
        <f>IFERROR(INDEX('Hun Demand'!R:R,MATCH(O348,'Hun Demand'!A:A,0)),"")</f>
        <v>0</v>
      </c>
      <c r="G348" s="25">
        <f>IFERROR(INDEX('Aub Demand'!W:W,MATCH(O348,'Aub Demand'!A:A,0)),"")</f>
        <v>940</v>
      </c>
      <c r="H348" s="25">
        <f>IFERROR(INDEX('Aub Demand'!V:V,MATCH(O348,'Aub Demand'!A:A,0)),"")</f>
        <v>0</v>
      </c>
      <c r="I348" s="25">
        <f>IFERROR(INDEX('Aub Demand'!U:U,MATCH(O348,'Aub Demand'!A:A,0)),"")</f>
        <v>543</v>
      </c>
      <c r="J348" s="25">
        <f>IFERROR(INDEX('Aub Demand'!T:T,MATCH(O348,'Aub Demand'!A:A,0)),"")</f>
        <v>155</v>
      </c>
      <c r="K348" s="25">
        <f>IFERROR(INDEX('Aub Demand'!S:S,MATCH(O348,'Aub Demand'!A:A,0)),"")</f>
        <v>70</v>
      </c>
      <c r="L348" s="25">
        <f>IFERROR(INDEX('Aub Demand'!R:R,MATCH(O348,'Aub Demand'!A:A,0)),"")</f>
        <v>0</v>
      </c>
      <c r="O348" s="27" t="s">
        <v>583</v>
      </c>
      <c r="P348" s="27" t="str">
        <f>IFERROR(INDEX('Aub Demand'!B:B,MATCH($O348,'Aub Demand'!$A:$A,0)),"")</f>
        <v>WHITE SPEKTRUM</v>
      </c>
      <c r="Q348" s="27" t="str">
        <f>IFERROR(INDEX('Aub Demand'!C:C,MATCH($O348,'Aub Demand'!$A:$A,0)),"")</f>
        <v>INTER</v>
      </c>
      <c r="R348" s="52">
        <f>IFERROR(IF(AR349=AR348,INDEX('Aub Demand'!K:K,MATCH($O348,'Aub Demand'!$A:$A,0))-IF(AN348="",0,AN348)+AP349,INDEX('Aub Demand'!K:K,MATCH($O348,'Aub Demand'!$A:$A,0))-IF(AN348="",0,AN348)),"")</f>
        <v>877</v>
      </c>
      <c r="S348" s="53">
        <f t="shared" si="140"/>
        <v>14.7</v>
      </c>
      <c r="T348" s="52" t="str">
        <f t="shared" si="141"/>
        <v/>
      </c>
      <c r="U348" s="52">
        <f>IFERROR(IF(AR349=AR348,INDEX('Aub Demand'!Q:Q,MATCH($O348,'Aub Demand'!$A:$A,0))-IF(AN348="",0,AN348)+AP349,INDEX('Aub Demand'!Q:Q,MATCH($O348,'Aub Demand'!$A:$A,0))-IF(AN348="",0,AN348)),"")</f>
        <v>873</v>
      </c>
      <c r="V348" s="53">
        <f t="shared" si="142"/>
        <v>14.6</v>
      </c>
      <c r="W348" s="52" t="str">
        <f t="shared" si="143"/>
        <v/>
      </c>
      <c r="X348" s="52">
        <f>IFERROR(IF(AND(AR349=AR348,AM348&lt;&gt;""),INDEX('Aub Demand'!Q:Q,MATCH($O348,'Aub Demand'!$A:$A,0))-IF(AN348="",0,AN348)+AP349+AD348+AL348,IF(AR349=AR348,INDEX('Aub Demand'!Q:Q,MATCH($O348,'Aub Demand'!$A:$A,0))-IF(AN348="",0,AN348)+AP349+AD348,IF(AM348&lt;&gt;"",INDEX('Aub Demand'!Q:Q,MATCH($O348,'Aub Demand'!$A:$A,0))-IF(AN348="",0,AN348)+AD348+AL348,INDEX('Aub Demand'!Q:Q,MATCH($O348,'Aub Demand'!$A:$A,0))-IF(AN348="",0,AN348)+AD348))),"")</f>
        <v>873</v>
      </c>
      <c r="Y348" s="53">
        <f t="shared" si="144"/>
        <v>14.6</v>
      </c>
      <c r="Z348" s="52">
        <f>IF(L348="","",INDEX('Aub Demand'!H:H,MATCH($O348,'Aub Demand'!$A:$A,0)))</f>
        <v>256</v>
      </c>
      <c r="AA348" s="52">
        <f t="shared" si="145"/>
        <v>349</v>
      </c>
      <c r="AB348" s="52">
        <f>IFERROR(INDEX('Aub Demand'!L:L,MATCH($O348,'Aub Demand'!$A:$A,0)),"")</f>
        <v>58</v>
      </c>
      <c r="AC348" s="52">
        <f>IFERROR(IF(O348="","",SUMIFS('CPL Mats'!F:F,'CPL Mats'!Q:Q,AR348,'CPL Mats'!S:S,AS348)),"")</f>
        <v>0</v>
      </c>
      <c r="AF348" s="25">
        <f>IF(SUMIFS('Supp Consol'!S:S,'Supp Consol'!Y:Y,"Releasable",'Supp Consol'!A:A,O348)=0,"",SUMIFS('Supp Consol'!S:S,'Supp Consol'!Y:Y,"Releasable",'Supp Consol'!A:A,O348))</f>
        <v>4659</v>
      </c>
      <c r="AG348" s="25">
        <f>IFERROR(INDEX('Hun Demand'!Q:Q,MATCH(O348,'Hun Demand'!A:A,0)),"")</f>
        <v>706</v>
      </c>
      <c r="AH348" s="25">
        <f>IFERROR(INDEX('Hun Demand'!H:H,MATCH($O348,'Hun Demand'!$A:$A,0)),"")</f>
        <v>217</v>
      </c>
      <c r="AI348" s="25" t="str">
        <f>IF(SUMIFS('Supp Consol'!AA:AA,'Supp Consol'!Z:Z,"Expires this month",'Supp Consol'!A:A,O348)=0,"",SUMIFS('Supp Consol'!AA:AA,'Supp Consol'!Z:Z,"Expires this month",'Supp Consol'!A:A,O348))</f>
        <v/>
      </c>
      <c r="AJ348" s="25" t="str">
        <f>IF(SUMIFS('Supp Consol'!AA:AA,'Supp Consol'!Z:Z,"Expired Previous Months",'Supp Consol'!A:A,O348)=0,"",SUMIFS('Supp Consol'!AA:AA,'Supp Consol'!Z:Z,"Expired Previous Months",'Supp Consol'!A:A,O348))</f>
        <v/>
      </c>
      <c r="AK348" s="25" t="str">
        <f>IFERROR(INDEX('Hun Release Current'!B:B,MATCH(O348,'Hun Release Current'!A:A,0)),"")</f>
        <v/>
      </c>
      <c r="AL348" s="25" t="str">
        <f>IF(SUMIF('Prev Aub'!A:A,O348,'Prev Aub'!B:B)=0,"",SUMIF('Prev Aub'!A:A,O348,'Prev Aub'!B:B))</f>
        <v/>
      </c>
      <c r="AN348" s="25" t="s">
        <v>3790</v>
      </c>
      <c r="AO348" s="25" t="s">
        <v>3790</v>
      </c>
      <c r="AP348" s="25">
        <f t="shared" si="146"/>
        <v>0</v>
      </c>
      <c r="AQ348" s="151" t="str">
        <f>IF(SUMIFS('Supp Consol'!S:S,'Supp Consol'!A:A,O348,'Supp Consol'!I:I,"PENDING")=0,"",SUMIFS('Supp Consol'!S:S,'Supp Consol'!A:A,O348,'Supp Consol'!I:I,"PENDING"))</f>
        <v/>
      </c>
      <c r="AR348" s="27" t="str">
        <f t="shared" si="147"/>
        <v>AW785</v>
      </c>
      <c r="AS348" s="27" t="str">
        <f t="shared" si="148"/>
        <v>62</v>
      </c>
      <c r="AT348" s="27" t="str">
        <f t="shared" si="149"/>
        <v/>
      </c>
      <c r="AU348" s="27" t="str">
        <f t="shared" si="150"/>
        <v/>
      </c>
      <c r="AV348" s="27" t="str">
        <f t="shared" si="151"/>
        <v/>
      </c>
      <c r="AW348" s="27" t="str">
        <f t="shared" si="152"/>
        <v/>
      </c>
      <c r="AX348" s="27" t="str">
        <f t="shared" si="153"/>
        <v>AW785</v>
      </c>
      <c r="AY348" s="27" t="str">
        <f t="shared" si="154"/>
        <v>AW785</v>
      </c>
      <c r="AZ348" s="27" t="str">
        <f t="shared" si="155"/>
        <v>Supp</v>
      </c>
      <c r="BA348" s="27" t="str">
        <f t="shared" si="156"/>
        <v>Hun</v>
      </c>
      <c r="BB348" s="27" t="str">
        <f t="shared" si="157"/>
        <v/>
      </c>
      <c r="BC348" s="27" t="str">
        <f t="shared" si="158"/>
        <v/>
      </c>
      <c r="BD348" s="27" t="str">
        <f t="shared" si="159"/>
        <v/>
      </c>
      <c r="BE348" s="27" t="str">
        <f t="shared" si="160"/>
        <v/>
      </c>
      <c r="BF348" s="27" t="str">
        <f t="shared" si="161"/>
        <v/>
      </c>
      <c r="BG348" s="27" t="str">
        <f t="shared" si="162"/>
        <v/>
      </c>
      <c r="BH348" s="27" t="str">
        <f t="shared" si="163"/>
        <v/>
      </c>
      <c r="BI348" s="27" t="str">
        <f t="shared" si="164"/>
        <v/>
      </c>
      <c r="BJ348" s="27" t="str">
        <f t="shared" si="165"/>
        <v>Supp or Hun</v>
      </c>
      <c r="BK348" s="27" t="str">
        <f t="shared" si="166"/>
        <v/>
      </c>
      <c r="BL348" s="27" t="str">
        <f t="shared" si="167"/>
        <v/>
      </c>
      <c r="BM348" s="21" t="s">
        <v>5581</v>
      </c>
    </row>
    <row r="349" spans="1:65" ht="15">
      <c r="A349" s="25" t="str">
        <f>IFERROR(INDEX('Hun Demand'!W:W,MATCH(O349,'Hun Demand'!A:A,0)),"")</f>
        <v/>
      </c>
      <c r="B349" s="25" t="str">
        <f>IFERROR(INDEX('Hun Demand'!V:V,MATCH(O349,'Hun Demand'!A:A,0)),"")</f>
        <v/>
      </c>
      <c r="C349" s="25" t="str">
        <f>IFERROR(INDEX('Hun Demand'!U:U,MATCH(O349,'Hun Demand'!A:A,0)),"")</f>
        <v/>
      </c>
      <c r="D349" s="25" t="str">
        <f>IFERROR(INDEX('Hun Demand'!T:T,MATCH(O349,'Hun Demand'!A:A,0)),"")</f>
        <v/>
      </c>
      <c r="E349" s="25" t="str">
        <f>IFERROR(INDEX('Hun Demand'!S:S,MATCH(O349,'Hun Demand'!A:A,0)),"")</f>
        <v/>
      </c>
      <c r="F349" s="25" t="str">
        <f>IFERROR(INDEX('Hun Demand'!R:R,MATCH(O349,'Hun Demand'!A:A,0)),"")</f>
        <v/>
      </c>
      <c r="G349" s="25">
        <f>IFERROR(INDEX('Aub Demand'!W:W,MATCH(O349,'Aub Demand'!A:A,0)),"")</f>
        <v>178</v>
      </c>
      <c r="H349" s="25">
        <f>IFERROR(INDEX('Aub Demand'!V:V,MATCH(O349,'Aub Demand'!A:A,0)),"")</f>
        <v>0</v>
      </c>
      <c r="I349" s="25">
        <f>IFERROR(INDEX('Aub Demand'!U:U,MATCH(O349,'Aub Demand'!A:A,0)),"")</f>
        <v>0</v>
      </c>
      <c r="J349" s="25">
        <f>IFERROR(INDEX('Aub Demand'!T:T,MATCH(O349,'Aub Demand'!A:A,0)),"")</f>
        <v>0</v>
      </c>
      <c r="K349" s="25">
        <f>IFERROR(INDEX('Aub Demand'!S:S,MATCH(O349,'Aub Demand'!A:A,0)),"")</f>
        <v>0</v>
      </c>
      <c r="L349" s="25">
        <f>IFERROR(INDEX('Aub Demand'!R:R,MATCH(O349,'Aub Demand'!A:A,0)),"")</f>
        <v>9</v>
      </c>
      <c r="O349" s="27" t="s">
        <v>585</v>
      </c>
      <c r="P349" s="27" t="str">
        <f>IFERROR(INDEX('Aub Demand'!B:B,MATCH($O349,'Aub Demand'!$A:$A,0)),"")</f>
        <v>VANILLA FIBER</v>
      </c>
      <c r="Q349" s="27" t="str">
        <f>IFERROR(INDEX('Aub Demand'!C:C,MATCH($O349,'Aub Demand'!$A:$A,0)),"")</f>
        <v>SUDDE</v>
      </c>
      <c r="R349" s="52">
        <f>IFERROR(IF(AR350=AR349,INDEX('Aub Demand'!K:K,MATCH($O349,'Aub Demand'!$A:$A,0))-IF(AN349="",0,AN349)+AP350,INDEX('Aub Demand'!K:K,MATCH($O349,'Aub Demand'!$A:$A,0))-IF(AN349="",0,AN349)),"")</f>
        <v>872</v>
      </c>
      <c r="S349" s="53" t="str">
        <f t="shared" si="140"/>
        <v>n/a</v>
      </c>
      <c r="T349" s="52" t="str">
        <f t="shared" si="141"/>
        <v/>
      </c>
      <c r="U349" s="52">
        <f>IFERROR(IF(AR350=AR349,INDEX('Aub Demand'!Q:Q,MATCH($O349,'Aub Demand'!$A:$A,0))-IF(AN349="",0,AN349)+AP350,INDEX('Aub Demand'!Q:Q,MATCH($O349,'Aub Demand'!$A:$A,0))-IF(AN349="",0,AN349)),"")</f>
        <v>767</v>
      </c>
      <c r="V349" s="53" t="str">
        <f t="shared" si="142"/>
        <v>n/a</v>
      </c>
      <c r="W349" s="52" t="str">
        <f t="shared" si="143"/>
        <v/>
      </c>
      <c r="X349" s="52">
        <f>IFERROR(IF(AND(AR350=AR349,AM349&lt;&gt;""),INDEX('Aub Demand'!Q:Q,MATCH($O349,'Aub Demand'!$A:$A,0))-IF(AN349="",0,AN349)+AP350+AD349+AL349,IF(AR350=AR349,INDEX('Aub Demand'!Q:Q,MATCH($O349,'Aub Demand'!$A:$A,0))-IF(AN349="",0,AN349)+AP350+AD349,IF(AM349&lt;&gt;"",INDEX('Aub Demand'!Q:Q,MATCH($O349,'Aub Demand'!$A:$A,0))-IF(AN349="",0,AN349)+AD349+AL349,INDEX('Aub Demand'!Q:Q,MATCH($O349,'Aub Demand'!$A:$A,0))-IF(AN349="",0,AN349)+AD349))),"")</f>
        <v>767</v>
      </c>
      <c r="Y349" s="53" t="str">
        <f t="shared" si="144"/>
        <v>n/a</v>
      </c>
      <c r="Z349" s="52">
        <f>IF(L349="","",INDEX('Aub Demand'!H:H,MATCH($O349,'Aub Demand'!$A:$A,0)))</f>
        <v>0</v>
      </c>
      <c r="AA349" s="52" t="str">
        <f t="shared" si="145"/>
        <v>-spike-</v>
      </c>
      <c r="AB349" s="52">
        <f>IFERROR(INDEX('Aub Demand'!L:L,MATCH($O349,'Aub Demand'!$A:$A,0)),"")</f>
        <v>58</v>
      </c>
      <c r="AC349" s="52">
        <f>IFERROR(IF(O349="","",SUMIFS('CPL Mats'!F:F,'CPL Mats'!Q:Q,AR349,'CPL Mats'!S:S,AS349)),"")</f>
        <v>0</v>
      </c>
      <c r="AF349" s="25" t="str">
        <f>IF(SUMIFS('Supp Consol'!S:S,'Supp Consol'!Y:Y,"Releasable",'Supp Consol'!A:A,O349)=0,"",SUMIFS('Supp Consol'!S:S,'Supp Consol'!Y:Y,"Releasable",'Supp Consol'!A:A,O349))</f>
        <v/>
      </c>
      <c r="AG349" s="25" t="str">
        <f>IFERROR(INDEX('Hun Demand'!Q:Q,MATCH(O349,'Hun Demand'!A:A,0)),"")</f>
        <v/>
      </c>
      <c r="AH349" s="25" t="str">
        <f>IFERROR(INDEX('Hun Demand'!H:H,MATCH($O349,'Hun Demand'!$A:$A,0)),"")</f>
        <v/>
      </c>
      <c r="AI349" s="25" t="str">
        <f>IF(SUMIFS('Supp Consol'!AA:AA,'Supp Consol'!Z:Z,"Expires this month",'Supp Consol'!A:A,O349)=0,"",SUMIFS('Supp Consol'!AA:AA,'Supp Consol'!Z:Z,"Expires this month",'Supp Consol'!A:A,O349))</f>
        <v/>
      </c>
      <c r="AJ349" s="25" t="str">
        <f>IF(SUMIFS('Supp Consol'!AA:AA,'Supp Consol'!Z:Z,"Expired Previous Months",'Supp Consol'!A:A,O349)=0,"",SUMIFS('Supp Consol'!AA:AA,'Supp Consol'!Z:Z,"Expired Previous Months",'Supp Consol'!A:A,O349))</f>
        <v/>
      </c>
      <c r="AK349" s="25" t="str">
        <f>IFERROR(INDEX('Hun Release Current'!B:B,MATCH(O349,'Hun Release Current'!A:A,0)),"")</f>
        <v/>
      </c>
      <c r="AL349" s="25" t="str">
        <f>IF(SUMIF('Prev Aub'!A:A,O349,'Prev Aub'!B:B)=0,"",SUMIF('Prev Aub'!A:A,O349,'Prev Aub'!B:B))</f>
        <v/>
      </c>
      <c r="AN349" s="25" t="s">
        <v>3790</v>
      </c>
      <c r="AO349" s="25" t="s">
        <v>3790</v>
      </c>
      <c r="AP349" s="25">
        <f t="shared" si="146"/>
        <v>0</v>
      </c>
      <c r="AQ349" s="151" t="str">
        <f>IF(SUMIFS('Supp Consol'!S:S,'Supp Consol'!A:A,O349,'Supp Consol'!I:I,"PENDING")=0,"",SUMIFS('Supp Consol'!S:S,'Supp Consol'!A:A,O349,'Supp Consol'!I:I,"PENDING"))</f>
        <v/>
      </c>
      <c r="AR349" s="27" t="str">
        <f t="shared" si="147"/>
        <v>AW871</v>
      </c>
      <c r="AS349" s="27" t="str">
        <f t="shared" si="148"/>
        <v>50</v>
      </c>
      <c r="AT349" s="27" t="str">
        <f t="shared" si="149"/>
        <v/>
      </c>
      <c r="AU349" s="27" t="str">
        <f t="shared" si="150"/>
        <v/>
      </c>
      <c r="AV349" s="27" t="str">
        <f t="shared" si="151"/>
        <v/>
      </c>
      <c r="AW349" s="27" t="str">
        <f t="shared" si="152"/>
        <v/>
      </c>
      <c r="AX349" s="27" t="str">
        <f t="shared" si="153"/>
        <v/>
      </c>
      <c r="AY349" s="27" t="str">
        <f t="shared" si="154"/>
        <v/>
      </c>
      <c r="AZ349" s="27" t="str">
        <f t="shared" si="155"/>
        <v/>
      </c>
      <c r="BA349" s="27" t="str">
        <f t="shared" si="156"/>
        <v/>
      </c>
      <c r="BB349" s="27" t="str">
        <f t="shared" si="157"/>
        <v/>
      </c>
      <c r="BC349" s="27" t="str">
        <f t="shared" si="158"/>
        <v/>
      </c>
      <c r="BD349" s="27" t="str">
        <f t="shared" si="159"/>
        <v/>
      </c>
      <c r="BE349" s="27" t="str">
        <f t="shared" si="160"/>
        <v/>
      </c>
      <c r="BF349" s="27" t="str">
        <f t="shared" si="161"/>
        <v/>
      </c>
      <c r="BG349" s="27" t="str">
        <f t="shared" si="162"/>
        <v/>
      </c>
      <c r="BH349" s="27" t="str">
        <f t="shared" si="163"/>
        <v/>
      </c>
      <c r="BI349" s="27" t="str">
        <f t="shared" si="164"/>
        <v/>
      </c>
      <c r="BJ349" s="27" t="str">
        <f t="shared" si="165"/>
        <v/>
      </c>
      <c r="BK349" s="27" t="str">
        <f t="shared" si="166"/>
        <v/>
      </c>
      <c r="BL349" s="27" t="str">
        <f t="shared" si="167"/>
        <v/>
      </c>
      <c r="BM349" s="21" t="s">
        <v>5581</v>
      </c>
    </row>
    <row r="350" spans="1:65" ht="15">
      <c r="A350" s="25" t="str">
        <f>IFERROR(INDEX('Hun Demand'!W:W,MATCH(O350,'Hun Demand'!A:A,0)),"")</f>
        <v/>
      </c>
      <c r="B350" s="25" t="str">
        <f>IFERROR(INDEX('Hun Demand'!V:V,MATCH(O350,'Hun Demand'!A:A,0)),"")</f>
        <v/>
      </c>
      <c r="C350" s="25" t="str">
        <f>IFERROR(INDEX('Hun Demand'!U:U,MATCH(O350,'Hun Demand'!A:A,0)),"")</f>
        <v/>
      </c>
      <c r="D350" s="25" t="str">
        <f>IFERROR(INDEX('Hun Demand'!T:T,MATCH(O350,'Hun Demand'!A:A,0)),"")</f>
        <v/>
      </c>
      <c r="E350" s="25" t="str">
        <f>IFERROR(INDEX('Hun Demand'!S:S,MATCH(O350,'Hun Demand'!A:A,0)),"")</f>
        <v/>
      </c>
      <c r="F350" s="25" t="str">
        <f>IFERROR(INDEX('Hun Demand'!R:R,MATCH(O350,'Hun Demand'!A:A,0)),"")</f>
        <v/>
      </c>
      <c r="G350" s="25">
        <f>IFERROR(INDEX('Aub Demand'!W:W,MATCH(O350,'Aub Demand'!A:A,0)),"")</f>
        <v>31</v>
      </c>
      <c r="H350" s="25">
        <f>IFERROR(INDEX('Aub Demand'!V:V,MATCH(O350,'Aub Demand'!A:A,0)),"")</f>
        <v>25</v>
      </c>
      <c r="I350" s="25">
        <f>IFERROR(INDEX('Aub Demand'!U:U,MATCH(O350,'Aub Demand'!A:A,0)),"")</f>
        <v>13</v>
      </c>
      <c r="J350" s="25">
        <f>IFERROR(INDEX('Aub Demand'!T:T,MATCH(O350,'Aub Demand'!A:A,0)),"")</f>
        <v>0</v>
      </c>
      <c r="K350" s="25">
        <f>IFERROR(INDEX('Aub Demand'!S:S,MATCH(O350,'Aub Demand'!A:A,0)),"")</f>
        <v>6</v>
      </c>
      <c r="L350" s="25">
        <f>IFERROR(INDEX('Aub Demand'!R:R,MATCH(O350,'Aub Demand'!A:A,0)),"")</f>
        <v>0</v>
      </c>
      <c r="O350" s="27" t="s">
        <v>587</v>
      </c>
      <c r="P350" s="27" t="str">
        <f>IFERROR(INDEX('Aub Demand'!B:B,MATCH($O350,'Aub Demand'!$A:$A,0)),"")</f>
        <v>VANILLA FIBER</v>
      </c>
      <c r="Q350" s="27" t="str">
        <f>IFERROR(INDEX('Aub Demand'!C:C,MATCH($O350,'Aub Demand'!$A:$A,0)),"")</f>
        <v>SUDDE</v>
      </c>
      <c r="R350" s="52">
        <f>IFERROR(IF(AR351=AR350,INDEX('Aub Demand'!K:K,MATCH($O350,'Aub Demand'!$A:$A,0))-IF(AN350="",0,AN350)+AP351,INDEX('Aub Demand'!K:K,MATCH($O350,'Aub Demand'!$A:$A,0))-IF(AN350="",0,AN350)),"")</f>
        <v>1094</v>
      </c>
      <c r="S350" s="53">
        <f t="shared" si="140"/>
        <v>781.4</v>
      </c>
      <c r="T350" s="52" t="str">
        <f t="shared" si="141"/>
        <v/>
      </c>
      <c r="U350" s="52">
        <f>IFERROR(IF(AR351=AR350,INDEX('Aub Demand'!Q:Q,MATCH($O350,'Aub Demand'!$A:$A,0))-IF(AN350="",0,AN350)+AP351,INDEX('Aub Demand'!Q:Q,MATCH($O350,'Aub Demand'!$A:$A,0))-IF(AN350="",0,AN350)),"")</f>
        <v>1094</v>
      </c>
      <c r="V350" s="53">
        <f t="shared" si="142"/>
        <v>781.4</v>
      </c>
      <c r="W350" s="52" t="str">
        <f t="shared" si="143"/>
        <v/>
      </c>
      <c r="X350" s="52">
        <f>IFERROR(IF(AND(AR351=AR350,AM350&lt;&gt;""),INDEX('Aub Demand'!Q:Q,MATCH($O350,'Aub Demand'!$A:$A,0))-IF(AN350="",0,AN350)+AP351+AD350+AL350,IF(AR351=AR350,INDEX('Aub Demand'!Q:Q,MATCH($O350,'Aub Demand'!$A:$A,0))-IF(AN350="",0,AN350)+AP351+AD350,IF(AM350&lt;&gt;"",INDEX('Aub Demand'!Q:Q,MATCH($O350,'Aub Demand'!$A:$A,0))-IF(AN350="",0,AN350)+AD350+AL350,INDEX('Aub Demand'!Q:Q,MATCH($O350,'Aub Demand'!$A:$A,0))-IF(AN350="",0,AN350)+AD350))),"")</f>
        <v>1094</v>
      </c>
      <c r="Y350" s="53">
        <f t="shared" si="144"/>
        <v>781.4</v>
      </c>
      <c r="Z350" s="52">
        <f>IF(L350="","",INDEX('Aub Demand'!H:H,MATCH($O350,'Aub Demand'!$A:$A,0)))</f>
        <v>6</v>
      </c>
      <c r="AA350" s="52">
        <f t="shared" si="145"/>
        <v>9.5</v>
      </c>
      <c r="AB350" s="52">
        <f>IFERROR(INDEX('Aub Demand'!L:L,MATCH($O350,'Aub Demand'!$A:$A,0)),"")</f>
        <v>0</v>
      </c>
      <c r="AC350" s="52">
        <f>IFERROR(IF(O350="","",SUMIFS('CPL Mats'!F:F,'CPL Mats'!Q:Q,AR350,'CPL Mats'!S:S,AS350)),"")</f>
        <v>0</v>
      </c>
      <c r="AF350" s="25" t="str">
        <f>IF(SUMIFS('Supp Consol'!S:S,'Supp Consol'!Y:Y,"Releasable",'Supp Consol'!A:A,O350)=0,"",SUMIFS('Supp Consol'!S:S,'Supp Consol'!Y:Y,"Releasable",'Supp Consol'!A:A,O350))</f>
        <v/>
      </c>
      <c r="AG350" s="25" t="str">
        <f>IFERROR(INDEX('Hun Demand'!Q:Q,MATCH(O350,'Hun Demand'!A:A,0)),"")</f>
        <v/>
      </c>
      <c r="AH350" s="25" t="str">
        <f>IFERROR(INDEX('Hun Demand'!H:H,MATCH($O350,'Hun Demand'!$A:$A,0)),"")</f>
        <v/>
      </c>
      <c r="AI350" s="25" t="str">
        <f>IF(SUMIFS('Supp Consol'!AA:AA,'Supp Consol'!Z:Z,"Expires this month",'Supp Consol'!A:A,O350)=0,"",SUMIFS('Supp Consol'!AA:AA,'Supp Consol'!Z:Z,"Expires this month",'Supp Consol'!A:A,O350))</f>
        <v/>
      </c>
      <c r="AJ350" s="25" t="str">
        <f>IF(SUMIFS('Supp Consol'!AA:AA,'Supp Consol'!Z:Z,"Expired Previous Months",'Supp Consol'!A:A,O350)=0,"",SUMIFS('Supp Consol'!AA:AA,'Supp Consol'!Z:Z,"Expired Previous Months",'Supp Consol'!A:A,O350))</f>
        <v/>
      </c>
      <c r="AK350" s="25" t="str">
        <f>IFERROR(INDEX('Hun Release Current'!B:B,MATCH(O350,'Hun Release Current'!A:A,0)),"")</f>
        <v/>
      </c>
      <c r="AL350" s="25" t="str">
        <f>IF(SUMIF('Prev Aub'!A:A,O350,'Prev Aub'!B:B)=0,"",SUMIF('Prev Aub'!A:A,O350,'Prev Aub'!B:B))</f>
        <v/>
      </c>
      <c r="AN350" s="25" t="s">
        <v>3790</v>
      </c>
      <c r="AO350" s="25" t="s">
        <v>3790</v>
      </c>
      <c r="AP350" s="25">
        <f t="shared" si="146"/>
        <v>0</v>
      </c>
      <c r="AQ350" s="151" t="str">
        <f>IF(SUMIFS('Supp Consol'!S:S,'Supp Consol'!A:A,O350,'Supp Consol'!I:I,"PENDING")=0,"",SUMIFS('Supp Consol'!S:S,'Supp Consol'!A:A,O350,'Supp Consol'!I:I,"PENDING"))</f>
        <v/>
      </c>
      <c r="AR350" s="27" t="str">
        <f t="shared" si="147"/>
        <v>AW871</v>
      </c>
      <c r="AS350" s="27" t="str">
        <f t="shared" si="148"/>
        <v>62</v>
      </c>
      <c r="AT350" s="27" t="str">
        <f t="shared" si="149"/>
        <v/>
      </c>
      <c r="AU350" s="27" t="str">
        <f t="shared" si="150"/>
        <v/>
      </c>
      <c r="AV350" s="27" t="str">
        <f t="shared" si="151"/>
        <v/>
      </c>
      <c r="AW350" s="27" t="str">
        <f t="shared" si="152"/>
        <v/>
      </c>
      <c r="AX350" s="27" t="str">
        <f t="shared" si="153"/>
        <v/>
      </c>
      <c r="AY350" s="27" t="str">
        <f t="shared" si="154"/>
        <v/>
      </c>
      <c r="AZ350" s="27" t="str">
        <f t="shared" si="155"/>
        <v/>
      </c>
      <c r="BA350" s="27" t="str">
        <f t="shared" si="156"/>
        <v/>
      </c>
      <c r="BB350" s="27" t="str">
        <f t="shared" si="157"/>
        <v/>
      </c>
      <c r="BC350" s="27" t="str">
        <f t="shared" si="158"/>
        <v/>
      </c>
      <c r="BD350" s="27" t="str">
        <f t="shared" si="159"/>
        <v/>
      </c>
      <c r="BE350" s="27" t="str">
        <f t="shared" si="160"/>
        <v/>
      </c>
      <c r="BF350" s="27" t="str">
        <f t="shared" si="161"/>
        <v/>
      </c>
      <c r="BG350" s="27" t="str">
        <f t="shared" si="162"/>
        <v/>
      </c>
      <c r="BH350" s="27" t="str">
        <f t="shared" si="163"/>
        <v/>
      </c>
      <c r="BI350" s="27" t="str">
        <f t="shared" si="164"/>
        <v/>
      </c>
      <c r="BJ350" s="27" t="str">
        <f t="shared" si="165"/>
        <v/>
      </c>
      <c r="BK350" s="27" t="str">
        <f t="shared" si="166"/>
        <v/>
      </c>
      <c r="BL350" s="27" t="str">
        <f t="shared" si="167"/>
        <v/>
      </c>
      <c r="BM350" s="21" t="s">
        <v>5581</v>
      </c>
    </row>
    <row r="351" spans="1:65" ht="15">
      <c r="A351" s="25" t="str">
        <f>IFERROR(INDEX('Hun Demand'!W:W,MATCH(O351,'Hun Demand'!A:A,0)),"")</f>
        <v/>
      </c>
      <c r="B351" s="25" t="str">
        <f>IFERROR(INDEX('Hun Demand'!V:V,MATCH(O351,'Hun Demand'!A:A,0)),"")</f>
        <v/>
      </c>
      <c r="C351" s="25" t="str">
        <f>IFERROR(INDEX('Hun Demand'!U:U,MATCH(O351,'Hun Demand'!A:A,0)),"")</f>
        <v/>
      </c>
      <c r="D351" s="25" t="str">
        <f>IFERROR(INDEX('Hun Demand'!T:T,MATCH(O351,'Hun Demand'!A:A,0)),"")</f>
        <v/>
      </c>
      <c r="E351" s="25" t="str">
        <f>IFERROR(INDEX('Hun Demand'!S:S,MATCH(O351,'Hun Demand'!A:A,0)),"")</f>
        <v/>
      </c>
      <c r="F351" s="25" t="str">
        <f>IFERROR(INDEX('Hun Demand'!R:R,MATCH(O351,'Hun Demand'!A:A,0)),"")</f>
        <v/>
      </c>
      <c r="G351" s="25">
        <f>IFERROR(INDEX('Aub Demand'!W:W,MATCH(O351,'Aub Demand'!A:A,0)),"")</f>
        <v>0</v>
      </c>
      <c r="H351" s="25">
        <f>IFERROR(INDEX('Aub Demand'!V:V,MATCH(O351,'Aub Demand'!A:A,0)),"")</f>
        <v>14</v>
      </c>
      <c r="I351" s="25">
        <f>IFERROR(INDEX('Aub Demand'!U:U,MATCH(O351,'Aub Demand'!A:A,0)),"")</f>
        <v>0</v>
      </c>
      <c r="J351" s="25">
        <f>IFERROR(INDEX('Aub Demand'!T:T,MATCH(O351,'Aub Demand'!A:A,0)),"")</f>
        <v>0</v>
      </c>
      <c r="K351" s="25">
        <f>IFERROR(INDEX('Aub Demand'!S:S,MATCH(O351,'Aub Demand'!A:A,0)),"")</f>
        <v>0</v>
      </c>
      <c r="L351" s="25">
        <f>IFERROR(INDEX('Aub Demand'!R:R,MATCH(O351,'Aub Demand'!A:A,0)),"")</f>
        <v>0</v>
      </c>
      <c r="O351" s="27" t="s">
        <v>588</v>
      </c>
      <c r="P351" s="27" t="str">
        <f>IFERROR(INDEX('Aub Demand'!B:B,MATCH($O351,'Aub Demand'!$A:$A,0)),"")</f>
        <v>CURRY FIBER</v>
      </c>
      <c r="Q351" s="27" t="str">
        <f>IFERROR(INDEX('Aub Demand'!C:C,MATCH($O351,'Aub Demand'!$A:$A,0)),"")</f>
        <v>SUDDE</v>
      </c>
      <c r="R351" s="52">
        <f>IFERROR(IF(AR352=AR351,INDEX('Aub Demand'!K:K,MATCH($O351,'Aub Demand'!$A:$A,0))-IF(AN351="",0,AN351)+AP352,INDEX('Aub Demand'!K:K,MATCH($O351,'Aub Demand'!$A:$A,0))-IF(AN351="",0,AN351)),"")</f>
        <v>1223</v>
      </c>
      <c r="S351" s="53" t="str">
        <f t="shared" si="140"/>
        <v>n/a</v>
      </c>
      <c r="T351" s="52" t="str">
        <f t="shared" si="141"/>
        <v/>
      </c>
      <c r="U351" s="52">
        <f>IFERROR(IF(AR352=AR351,INDEX('Aub Demand'!Q:Q,MATCH($O351,'Aub Demand'!$A:$A,0))-IF(AN351="",0,AN351)+AP352,INDEX('Aub Demand'!Q:Q,MATCH($O351,'Aub Demand'!$A:$A,0))-IF(AN351="",0,AN351)),"")</f>
        <v>1223</v>
      </c>
      <c r="V351" s="53" t="str">
        <f t="shared" si="142"/>
        <v>n/a</v>
      </c>
      <c r="W351" s="52" t="str">
        <f t="shared" si="143"/>
        <v/>
      </c>
      <c r="X351" s="52">
        <f>IFERROR(IF(AND(AR352=AR351,AM351&lt;&gt;""),INDEX('Aub Demand'!Q:Q,MATCH($O351,'Aub Demand'!$A:$A,0))-IF(AN351="",0,AN351)+AP352+AD351+AL351,IF(AR352=AR351,INDEX('Aub Demand'!Q:Q,MATCH($O351,'Aub Demand'!$A:$A,0))-IF(AN351="",0,AN351)+AP352+AD351,IF(AM351&lt;&gt;"",INDEX('Aub Demand'!Q:Q,MATCH($O351,'Aub Demand'!$A:$A,0))-IF(AN351="",0,AN351)+AD351+AL351,INDEX('Aub Demand'!Q:Q,MATCH($O351,'Aub Demand'!$A:$A,0))-IF(AN351="",0,AN351)+AD351))),"")</f>
        <v>1223</v>
      </c>
      <c r="Y351" s="53" t="str">
        <f t="shared" si="144"/>
        <v>n/a</v>
      </c>
      <c r="Z351" s="52">
        <f>IF(L351="","",INDEX('Aub Demand'!H:H,MATCH($O351,'Aub Demand'!$A:$A,0)))</f>
        <v>0</v>
      </c>
      <c r="AA351" s="52" t="str">
        <f t="shared" si="145"/>
        <v>-spike-</v>
      </c>
      <c r="AB351" s="52">
        <f>IFERROR(INDEX('Aub Demand'!L:L,MATCH($O351,'Aub Demand'!$A:$A,0)),"")</f>
        <v>0</v>
      </c>
      <c r="AC351" s="52">
        <f>IFERROR(IF(O351="","",SUMIFS('CPL Mats'!F:F,'CPL Mats'!Q:Q,AR351,'CPL Mats'!S:S,AS351)),"")</f>
        <v>0</v>
      </c>
      <c r="AF351" s="25" t="str">
        <f>IF(SUMIFS('Supp Consol'!S:S,'Supp Consol'!Y:Y,"Releasable",'Supp Consol'!A:A,O351)=0,"",SUMIFS('Supp Consol'!S:S,'Supp Consol'!Y:Y,"Releasable",'Supp Consol'!A:A,O351))</f>
        <v/>
      </c>
      <c r="AG351" s="25" t="str">
        <f>IFERROR(INDEX('Hun Demand'!Q:Q,MATCH(O351,'Hun Demand'!A:A,0)),"")</f>
        <v/>
      </c>
      <c r="AH351" s="25" t="str">
        <f>IFERROR(INDEX('Hun Demand'!H:H,MATCH($O351,'Hun Demand'!$A:$A,0)),"")</f>
        <v/>
      </c>
      <c r="AI351" s="25" t="str">
        <f>IF(SUMIFS('Supp Consol'!AA:AA,'Supp Consol'!Z:Z,"Expires this month",'Supp Consol'!A:A,O351)=0,"",SUMIFS('Supp Consol'!AA:AA,'Supp Consol'!Z:Z,"Expires this month",'Supp Consol'!A:A,O351))</f>
        <v/>
      </c>
      <c r="AJ351" s="25" t="str">
        <f>IF(SUMIFS('Supp Consol'!AA:AA,'Supp Consol'!Z:Z,"Expired Previous Months",'Supp Consol'!A:A,O351)=0,"",SUMIFS('Supp Consol'!AA:AA,'Supp Consol'!Z:Z,"Expired Previous Months",'Supp Consol'!A:A,O351))</f>
        <v/>
      </c>
      <c r="AK351" s="25" t="str">
        <f>IFERROR(INDEX('Hun Release Current'!B:B,MATCH(O351,'Hun Release Current'!A:A,0)),"")</f>
        <v/>
      </c>
      <c r="AL351" s="25" t="str">
        <f>IF(SUMIF('Prev Aub'!A:A,O351,'Prev Aub'!B:B)=0,"",SUMIF('Prev Aub'!A:A,O351,'Prev Aub'!B:B))</f>
        <v/>
      </c>
      <c r="AN351" s="25" t="s">
        <v>3790</v>
      </c>
      <c r="AO351" s="25" t="s">
        <v>3790</v>
      </c>
      <c r="AP351" s="25">
        <f t="shared" si="146"/>
        <v>0</v>
      </c>
      <c r="AQ351" s="151" t="str">
        <f>IF(SUMIFS('Supp Consol'!S:S,'Supp Consol'!A:A,O351,'Supp Consol'!I:I,"PENDING")=0,"",SUMIFS('Supp Consol'!S:S,'Supp Consol'!A:A,O351,'Supp Consol'!I:I,"PENDING"))</f>
        <v/>
      </c>
      <c r="AR351" s="27" t="str">
        <f t="shared" si="147"/>
        <v>AY102</v>
      </c>
      <c r="AS351" s="27" t="str">
        <f t="shared" si="148"/>
        <v>62</v>
      </c>
      <c r="AT351" s="27" t="str">
        <f t="shared" si="149"/>
        <v/>
      </c>
      <c r="AU351" s="27" t="str">
        <f t="shared" si="150"/>
        <v/>
      </c>
      <c r="AV351" s="27" t="str">
        <f t="shared" si="151"/>
        <v/>
      </c>
      <c r="AW351" s="27" t="str">
        <f t="shared" si="152"/>
        <v/>
      </c>
      <c r="AX351" s="27" t="str">
        <f t="shared" si="153"/>
        <v/>
      </c>
      <c r="AY351" s="27" t="str">
        <f t="shared" si="154"/>
        <v/>
      </c>
      <c r="AZ351" s="27" t="str">
        <f t="shared" si="155"/>
        <v/>
      </c>
      <c r="BA351" s="27" t="str">
        <f t="shared" si="156"/>
        <v/>
      </c>
      <c r="BB351" s="27" t="str">
        <f t="shared" si="157"/>
        <v/>
      </c>
      <c r="BC351" s="27" t="str">
        <f t="shared" si="158"/>
        <v/>
      </c>
      <c r="BD351" s="27" t="str">
        <f t="shared" si="159"/>
        <v/>
      </c>
      <c r="BE351" s="27" t="str">
        <f t="shared" si="160"/>
        <v/>
      </c>
      <c r="BF351" s="27" t="str">
        <f t="shared" si="161"/>
        <v/>
      </c>
      <c r="BG351" s="27" t="str">
        <f t="shared" si="162"/>
        <v/>
      </c>
      <c r="BH351" s="27" t="str">
        <f t="shared" si="163"/>
        <v/>
      </c>
      <c r="BI351" s="27" t="str">
        <f t="shared" si="164"/>
        <v/>
      </c>
      <c r="BJ351" s="27" t="str">
        <f t="shared" si="165"/>
        <v/>
      </c>
      <c r="BK351" s="27" t="str">
        <f t="shared" si="166"/>
        <v/>
      </c>
      <c r="BL351" s="27" t="str">
        <f t="shared" si="167"/>
        <v/>
      </c>
      <c r="BM351" s="21" t="s">
        <v>3790</v>
      </c>
    </row>
    <row r="352" spans="1:65" ht="15">
      <c r="A352" s="25" t="str">
        <f>IFERROR(INDEX('Hun Demand'!W:W,MATCH(O352,'Hun Demand'!A:A,0)),"")</f>
        <v/>
      </c>
      <c r="B352" s="25" t="str">
        <f>IFERROR(INDEX('Hun Demand'!V:V,MATCH(O352,'Hun Demand'!A:A,0)),"")</f>
        <v/>
      </c>
      <c r="C352" s="25" t="str">
        <f>IFERROR(INDEX('Hun Demand'!U:U,MATCH(O352,'Hun Demand'!A:A,0)),"")</f>
        <v/>
      </c>
      <c r="D352" s="25" t="str">
        <f>IFERROR(INDEX('Hun Demand'!T:T,MATCH(O352,'Hun Demand'!A:A,0)),"")</f>
        <v/>
      </c>
      <c r="E352" s="25" t="str">
        <f>IFERROR(INDEX('Hun Demand'!S:S,MATCH(O352,'Hun Demand'!A:A,0)),"")</f>
        <v/>
      </c>
      <c r="F352" s="25" t="str">
        <f>IFERROR(INDEX('Hun Demand'!R:R,MATCH(O352,'Hun Demand'!A:A,0)),"")</f>
        <v/>
      </c>
      <c r="G352" s="25">
        <f>IFERROR(INDEX('Aub Demand'!W:W,MATCH(O352,'Aub Demand'!A:A,0)),"")</f>
        <v>5</v>
      </c>
      <c r="H352" s="25">
        <f>IFERROR(INDEX('Aub Demand'!V:V,MATCH(O352,'Aub Demand'!A:A,0)),"")</f>
        <v>1</v>
      </c>
      <c r="I352" s="25">
        <f>IFERROR(INDEX('Aub Demand'!U:U,MATCH(O352,'Aub Demand'!A:A,0)),"")</f>
        <v>0</v>
      </c>
      <c r="J352" s="25">
        <f>IFERROR(INDEX('Aub Demand'!T:T,MATCH(O352,'Aub Demand'!A:A,0)),"")</f>
        <v>0</v>
      </c>
      <c r="K352" s="25">
        <f>IFERROR(INDEX('Aub Demand'!S:S,MATCH(O352,'Aub Demand'!A:A,0)),"")</f>
        <v>58</v>
      </c>
      <c r="L352" s="25">
        <f>IFERROR(INDEX('Aub Demand'!R:R,MATCH(O352,'Aub Demand'!A:A,0)),"")</f>
        <v>8</v>
      </c>
      <c r="O352" s="27" t="s">
        <v>591</v>
      </c>
      <c r="P352" s="27" t="str">
        <f>IFERROR(INDEX('Aub Demand'!B:B,MATCH($O352,'Aub Demand'!$A:$A,0)),"")</f>
        <v>GINGER SNAP</v>
      </c>
      <c r="Q352" s="27" t="str">
        <f>IFERROR(INDEX('Aub Demand'!C:C,MATCH($O352,'Aub Demand'!$A:$A,0)),"")</f>
        <v>SCHAT</v>
      </c>
      <c r="R352" s="52">
        <f>IFERROR(IF(AR353=AR352,INDEX('Aub Demand'!K:K,MATCH($O352,'Aub Demand'!$A:$A,0))-IF(AN352="",0,AN352)+AP353,INDEX('Aub Demand'!K:K,MATCH($O352,'Aub Demand'!$A:$A,0))-IF(AN352="",0,AN352)),"")</f>
        <v>2889</v>
      </c>
      <c r="S352" s="53">
        <f t="shared" si="140"/>
        <v>651.70000000000005</v>
      </c>
      <c r="T352" s="52" t="str">
        <f t="shared" si="141"/>
        <v/>
      </c>
      <c r="U352" s="52">
        <f>IFERROR(IF(AR353=AR352,INDEX('Aub Demand'!Q:Q,MATCH($O352,'Aub Demand'!$A:$A,0))-IF(AN352="",0,AN352)+AP353,INDEX('Aub Demand'!Q:Q,MATCH($O352,'Aub Demand'!$A:$A,0))-IF(AN352="",0,AN352)),"")</f>
        <v>2849</v>
      </c>
      <c r="V352" s="53">
        <f t="shared" si="142"/>
        <v>642.6</v>
      </c>
      <c r="W352" s="52" t="str">
        <f t="shared" si="143"/>
        <v/>
      </c>
      <c r="X352" s="52">
        <f>IFERROR(IF(AND(AR353=AR352,AM352&lt;&gt;""),INDEX('Aub Demand'!Q:Q,MATCH($O352,'Aub Demand'!$A:$A,0))-IF(AN352="",0,AN352)+AP353+AD352+AL352,IF(AR353=AR352,INDEX('Aub Demand'!Q:Q,MATCH($O352,'Aub Demand'!$A:$A,0))-IF(AN352="",0,AN352)+AP353+AD352,IF(AM352&lt;&gt;"",INDEX('Aub Demand'!Q:Q,MATCH($O352,'Aub Demand'!$A:$A,0))-IF(AN352="",0,AN352)+AD352+AL352,INDEX('Aub Demand'!Q:Q,MATCH($O352,'Aub Demand'!$A:$A,0))-IF(AN352="",0,AN352)+AD352))),"")</f>
        <v>2849</v>
      </c>
      <c r="Y352" s="53">
        <f t="shared" si="144"/>
        <v>642.6</v>
      </c>
      <c r="Z352" s="52">
        <f>IF(L352="","",INDEX('Aub Demand'!H:H,MATCH($O352,'Aub Demand'!$A:$A,0)))</f>
        <v>19</v>
      </c>
      <c r="AA352" s="52">
        <f t="shared" si="145"/>
        <v>33</v>
      </c>
      <c r="AB352" s="52">
        <f>IFERROR(INDEX('Aub Demand'!L:L,MATCH($O352,'Aub Demand'!$A:$A,0)),"")</f>
        <v>65</v>
      </c>
      <c r="AC352" s="52">
        <f>IFERROR(IF(O352="","",SUMIFS('CPL Mats'!F:F,'CPL Mats'!Q:Q,AR352,'CPL Mats'!S:S,AS352)),"")</f>
        <v>900</v>
      </c>
      <c r="AF352" s="25" t="str">
        <f>IF(SUMIFS('Supp Consol'!S:S,'Supp Consol'!Y:Y,"Releasable",'Supp Consol'!A:A,O352)=0,"",SUMIFS('Supp Consol'!S:S,'Supp Consol'!Y:Y,"Releasable",'Supp Consol'!A:A,O352))</f>
        <v/>
      </c>
      <c r="AG352" s="25" t="str">
        <f>IFERROR(INDEX('Hun Demand'!Q:Q,MATCH(O352,'Hun Demand'!A:A,0)),"")</f>
        <v/>
      </c>
      <c r="AH352" s="25" t="str">
        <f>IFERROR(INDEX('Hun Demand'!H:H,MATCH($O352,'Hun Demand'!$A:$A,0)),"")</f>
        <v/>
      </c>
      <c r="AI352" s="25" t="str">
        <f>IF(SUMIFS('Supp Consol'!AA:AA,'Supp Consol'!Z:Z,"Expires this month",'Supp Consol'!A:A,O352)=0,"",SUMIFS('Supp Consol'!AA:AA,'Supp Consol'!Z:Z,"Expires this month",'Supp Consol'!A:A,O352))</f>
        <v/>
      </c>
      <c r="AJ352" s="25" t="str">
        <f>IF(SUMIFS('Supp Consol'!AA:AA,'Supp Consol'!Z:Z,"Expired Previous Months",'Supp Consol'!A:A,O352)=0,"",SUMIFS('Supp Consol'!AA:AA,'Supp Consol'!Z:Z,"Expired Previous Months",'Supp Consol'!A:A,O352))</f>
        <v/>
      </c>
      <c r="AK352" s="25" t="str">
        <f>IFERROR(INDEX('Hun Release Current'!B:B,MATCH(O352,'Hun Release Current'!A:A,0)),"")</f>
        <v/>
      </c>
      <c r="AL352" s="25" t="str">
        <f>IF(SUMIF('Prev Aub'!A:A,O352,'Prev Aub'!B:B)=0,"",SUMIF('Prev Aub'!A:A,O352,'Prev Aub'!B:B))</f>
        <v/>
      </c>
      <c r="AN352" s="25" t="s">
        <v>3790</v>
      </c>
      <c r="AO352" s="25" t="s">
        <v>3790</v>
      </c>
      <c r="AP352" s="25">
        <f t="shared" si="146"/>
        <v>0</v>
      </c>
      <c r="AQ352" s="151" t="str">
        <f>IF(SUMIFS('Supp Consol'!S:S,'Supp Consol'!A:A,O352,'Supp Consol'!I:I,"PENDING")=0,"",SUMIFS('Supp Consol'!S:S,'Supp Consol'!A:A,O352,'Supp Consol'!I:I,"PENDING"))</f>
        <v/>
      </c>
      <c r="AR352" s="27" t="str">
        <f t="shared" si="147"/>
        <v>AY120</v>
      </c>
      <c r="AS352" s="27" t="str">
        <f t="shared" si="148"/>
        <v>50</v>
      </c>
      <c r="AT352" s="27" t="str">
        <f t="shared" si="149"/>
        <v/>
      </c>
      <c r="AU352" s="27" t="str">
        <f t="shared" si="150"/>
        <v/>
      </c>
      <c r="AV352" s="27" t="str">
        <f t="shared" si="151"/>
        <v/>
      </c>
      <c r="AW352" s="27" t="str">
        <f t="shared" si="152"/>
        <v/>
      </c>
      <c r="AX352" s="27" t="str">
        <f t="shared" si="153"/>
        <v/>
      </c>
      <c r="AY352" s="27" t="str">
        <f t="shared" si="154"/>
        <v/>
      </c>
      <c r="AZ352" s="27" t="str">
        <f t="shared" si="155"/>
        <v/>
      </c>
      <c r="BA352" s="27" t="str">
        <f t="shared" si="156"/>
        <v>Hun</v>
      </c>
      <c r="BB352" s="27" t="str">
        <f t="shared" si="157"/>
        <v/>
      </c>
      <c r="BC352" s="27" t="str">
        <f t="shared" si="158"/>
        <v/>
      </c>
      <c r="BD352" s="27" t="str">
        <f t="shared" si="159"/>
        <v/>
      </c>
      <c r="BE352" s="27" t="str">
        <f t="shared" si="160"/>
        <v/>
      </c>
      <c r="BF352" s="27" t="str">
        <f t="shared" si="161"/>
        <v/>
      </c>
      <c r="BG352" s="27" t="str">
        <f t="shared" si="162"/>
        <v/>
      </c>
      <c r="BH352" s="27" t="str">
        <f t="shared" si="163"/>
        <v/>
      </c>
      <c r="BI352" s="27" t="str">
        <f t="shared" si="164"/>
        <v/>
      </c>
      <c r="BJ352" s="27" t="str">
        <f t="shared" si="165"/>
        <v>Supp or Hun</v>
      </c>
      <c r="BK352" s="27" t="str">
        <f t="shared" si="166"/>
        <v/>
      </c>
      <c r="BL352" s="27" t="str">
        <f t="shared" si="167"/>
        <v/>
      </c>
      <c r="BM352" s="21" t="s">
        <v>5581</v>
      </c>
    </row>
    <row r="353" spans="1:65" ht="15">
      <c r="A353" s="25">
        <f>IFERROR(INDEX('Hun Demand'!W:W,MATCH(O353,'Hun Demand'!A:A,0)),"")</f>
        <v>0</v>
      </c>
      <c r="B353" s="25">
        <f>IFERROR(INDEX('Hun Demand'!V:V,MATCH(O353,'Hun Demand'!A:A,0)),"")</f>
        <v>0</v>
      </c>
      <c r="C353" s="25">
        <f>IFERROR(INDEX('Hun Demand'!U:U,MATCH(O353,'Hun Demand'!A:A,0)),"")</f>
        <v>0</v>
      </c>
      <c r="D353" s="25">
        <f>IFERROR(INDEX('Hun Demand'!T:T,MATCH(O353,'Hun Demand'!A:A,0)),"")</f>
        <v>0</v>
      </c>
      <c r="E353" s="25">
        <f>IFERROR(INDEX('Hun Demand'!S:S,MATCH(O353,'Hun Demand'!A:A,0)),"")</f>
        <v>0</v>
      </c>
      <c r="F353" s="25">
        <f>IFERROR(INDEX('Hun Demand'!R:R,MATCH(O353,'Hun Demand'!A:A,0)),"")</f>
        <v>0</v>
      </c>
      <c r="G353" s="25">
        <f>IFERROR(INDEX('Aub Demand'!W:W,MATCH(O353,'Aub Demand'!A:A,0)),"")</f>
        <v>12</v>
      </c>
      <c r="H353" s="25">
        <f>IFERROR(INDEX('Aub Demand'!V:V,MATCH(O353,'Aub Demand'!A:A,0)),"")</f>
        <v>0</v>
      </c>
      <c r="I353" s="25">
        <f>IFERROR(INDEX('Aub Demand'!U:U,MATCH(O353,'Aub Demand'!A:A,0)),"")</f>
        <v>0</v>
      </c>
      <c r="J353" s="25">
        <f>IFERROR(INDEX('Aub Demand'!T:T,MATCH(O353,'Aub Demand'!A:A,0)),"")</f>
        <v>0</v>
      </c>
      <c r="K353" s="25">
        <f>IFERROR(INDEX('Aub Demand'!S:S,MATCH(O353,'Aub Demand'!A:A,0)),"")</f>
        <v>0</v>
      </c>
      <c r="L353" s="25">
        <f>IFERROR(INDEX('Aub Demand'!R:R,MATCH(O353,'Aub Demand'!A:A,0)),"")</f>
        <v>0</v>
      </c>
      <c r="O353" s="27" t="s">
        <v>593</v>
      </c>
      <c r="P353" s="27" t="str">
        <f>IFERROR(INDEX('Aub Demand'!B:B,MATCH($O353,'Aub Demand'!$A:$A,0)),"")</f>
        <v>GINGER SNAP</v>
      </c>
      <c r="Q353" s="27" t="str">
        <f>IFERROR(INDEX('Aub Demand'!C:C,MATCH($O353,'Aub Demand'!$A:$A,0)),"")</f>
        <v>SCHAT</v>
      </c>
      <c r="R353" s="52">
        <f>IFERROR(IF(AR354=AR353,INDEX('Aub Demand'!K:K,MATCH($O353,'Aub Demand'!$A:$A,0))-IF(AN353="",0,AN353)+AP354,INDEX('Aub Demand'!K:K,MATCH($O353,'Aub Demand'!$A:$A,0))-IF(AN353="",0,AN353)),"")</f>
        <v>908</v>
      </c>
      <c r="S353" s="53" t="str">
        <f t="shared" si="140"/>
        <v>n/a</v>
      </c>
      <c r="T353" s="52" t="str">
        <f t="shared" si="141"/>
        <v/>
      </c>
      <c r="U353" s="52">
        <f>IFERROR(IF(AR354=AR353,INDEX('Aub Demand'!Q:Q,MATCH($O353,'Aub Demand'!$A:$A,0))-IF(AN353="",0,AN353)+AP354,INDEX('Aub Demand'!Q:Q,MATCH($O353,'Aub Demand'!$A:$A,0))-IF(AN353="",0,AN353)),"")</f>
        <v>908</v>
      </c>
      <c r="V353" s="53" t="str">
        <f t="shared" si="142"/>
        <v>n/a</v>
      </c>
      <c r="W353" s="52" t="str">
        <f t="shared" si="143"/>
        <v/>
      </c>
      <c r="X353" s="52">
        <f>IFERROR(IF(AND(AR354=AR353,AM353&lt;&gt;""),INDEX('Aub Demand'!Q:Q,MATCH($O353,'Aub Demand'!$A:$A,0))-IF(AN353="",0,AN353)+AP354+AD353+AL353,IF(AR354=AR353,INDEX('Aub Demand'!Q:Q,MATCH($O353,'Aub Demand'!$A:$A,0))-IF(AN353="",0,AN353)+AP354+AD353,IF(AM353&lt;&gt;"",INDEX('Aub Demand'!Q:Q,MATCH($O353,'Aub Demand'!$A:$A,0))-IF(AN353="",0,AN353)+AD353+AL353,INDEX('Aub Demand'!Q:Q,MATCH($O353,'Aub Demand'!$A:$A,0))-IF(AN353="",0,AN353)+AD353))),"")</f>
        <v>908</v>
      </c>
      <c r="Y353" s="53" t="str">
        <f t="shared" si="144"/>
        <v>n/a</v>
      </c>
      <c r="Z353" s="52">
        <f>IF(L353="","",INDEX('Aub Demand'!H:H,MATCH($O353,'Aub Demand'!$A:$A,0)))</f>
        <v>0</v>
      </c>
      <c r="AA353" s="52" t="str">
        <f t="shared" si="145"/>
        <v>-spike-</v>
      </c>
      <c r="AB353" s="52">
        <f>IFERROR(INDEX('Aub Demand'!L:L,MATCH($O353,'Aub Demand'!$A:$A,0)),"")</f>
        <v>0</v>
      </c>
      <c r="AC353" s="52">
        <f>IFERROR(IF(O353="","",SUMIFS('CPL Mats'!F:F,'CPL Mats'!Q:Q,AR353,'CPL Mats'!S:S,AS353)),"")</f>
        <v>0</v>
      </c>
      <c r="AF353" s="25" t="str">
        <f>IF(SUMIFS('Supp Consol'!S:S,'Supp Consol'!Y:Y,"Releasable",'Supp Consol'!A:A,O353)=0,"",SUMIFS('Supp Consol'!S:S,'Supp Consol'!Y:Y,"Releasable",'Supp Consol'!A:A,O353))</f>
        <v/>
      </c>
      <c r="AG353" s="25">
        <f>IFERROR(INDEX('Hun Demand'!Q:Q,MATCH(O353,'Hun Demand'!A:A,0)),"")</f>
        <v>514</v>
      </c>
      <c r="AH353" s="25">
        <f>IFERROR(INDEX('Hun Demand'!H:H,MATCH($O353,'Hun Demand'!$A:$A,0)),"")</f>
        <v>0</v>
      </c>
      <c r="AI353" s="25" t="str">
        <f>IF(SUMIFS('Supp Consol'!AA:AA,'Supp Consol'!Z:Z,"Expires this month",'Supp Consol'!A:A,O353)=0,"",SUMIFS('Supp Consol'!AA:AA,'Supp Consol'!Z:Z,"Expires this month",'Supp Consol'!A:A,O353))</f>
        <v/>
      </c>
      <c r="AJ353" s="25" t="str">
        <f>IF(SUMIFS('Supp Consol'!AA:AA,'Supp Consol'!Z:Z,"Expired Previous Months",'Supp Consol'!A:A,O353)=0,"",SUMIFS('Supp Consol'!AA:AA,'Supp Consol'!Z:Z,"Expired Previous Months",'Supp Consol'!A:A,O353))</f>
        <v/>
      </c>
      <c r="AK353" s="25" t="str">
        <f>IFERROR(INDEX('Hun Release Current'!B:B,MATCH(O353,'Hun Release Current'!A:A,0)),"")</f>
        <v/>
      </c>
      <c r="AL353" s="25" t="str">
        <f>IF(SUMIF('Prev Aub'!A:A,O353,'Prev Aub'!B:B)=0,"",SUMIF('Prev Aub'!A:A,O353,'Prev Aub'!B:B))</f>
        <v/>
      </c>
      <c r="AN353" s="25" t="s">
        <v>3790</v>
      </c>
      <c r="AO353" s="25" t="s">
        <v>3790</v>
      </c>
      <c r="AP353" s="25">
        <f t="shared" si="146"/>
        <v>0</v>
      </c>
      <c r="AQ353" s="151" t="str">
        <f>IF(SUMIFS('Supp Consol'!S:S,'Supp Consol'!A:A,O353,'Supp Consol'!I:I,"PENDING")=0,"",SUMIFS('Supp Consol'!S:S,'Supp Consol'!A:A,O353,'Supp Consol'!I:I,"PENDING"))</f>
        <v/>
      </c>
      <c r="AR353" s="27" t="str">
        <f t="shared" si="147"/>
        <v>AY120</v>
      </c>
      <c r="AS353" s="27" t="str">
        <f t="shared" si="148"/>
        <v>62</v>
      </c>
      <c r="AT353" s="27" t="str">
        <f t="shared" si="149"/>
        <v/>
      </c>
      <c r="AU353" s="27" t="str">
        <f t="shared" si="150"/>
        <v/>
      </c>
      <c r="AV353" s="27" t="str">
        <f t="shared" si="151"/>
        <v/>
      </c>
      <c r="AW353" s="27" t="str">
        <f t="shared" si="152"/>
        <v/>
      </c>
      <c r="AX353" s="27" t="str">
        <f t="shared" si="153"/>
        <v/>
      </c>
      <c r="AY353" s="27" t="str">
        <f t="shared" si="154"/>
        <v>AY120</v>
      </c>
      <c r="AZ353" s="27" t="str">
        <f t="shared" si="155"/>
        <v/>
      </c>
      <c r="BA353" s="27" t="str">
        <f t="shared" si="156"/>
        <v>Hun</v>
      </c>
      <c r="BB353" s="27" t="str">
        <f t="shared" si="157"/>
        <v/>
      </c>
      <c r="BC353" s="27" t="str">
        <f t="shared" si="158"/>
        <v/>
      </c>
      <c r="BD353" s="27" t="str">
        <f t="shared" si="159"/>
        <v/>
      </c>
      <c r="BE353" s="27" t="str">
        <f t="shared" si="160"/>
        <v/>
      </c>
      <c r="BF353" s="27" t="str">
        <f t="shared" si="161"/>
        <v/>
      </c>
      <c r="BG353" s="27" t="str">
        <f t="shared" si="162"/>
        <v/>
      </c>
      <c r="BH353" s="27" t="str">
        <f t="shared" si="163"/>
        <v/>
      </c>
      <c r="BI353" s="27" t="str">
        <f t="shared" si="164"/>
        <v/>
      </c>
      <c r="BJ353" s="27" t="str">
        <f t="shared" si="165"/>
        <v>Supp or Hun</v>
      </c>
      <c r="BK353" s="27" t="str">
        <f t="shared" si="166"/>
        <v/>
      </c>
      <c r="BL353" s="27" t="str">
        <f t="shared" si="167"/>
        <v/>
      </c>
      <c r="BM353" s="21" t="s">
        <v>5581</v>
      </c>
    </row>
    <row r="354" spans="1:65" ht="15">
      <c r="A354" s="25" t="str">
        <f>IFERROR(INDEX('Hun Demand'!W:W,MATCH(O354,'Hun Demand'!A:A,0)),"")</f>
        <v/>
      </c>
      <c r="B354" s="25" t="str">
        <f>IFERROR(INDEX('Hun Demand'!V:V,MATCH(O354,'Hun Demand'!A:A,0)),"")</f>
        <v/>
      </c>
      <c r="C354" s="25" t="str">
        <f>IFERROR(INDEX('Hun Demand'!U:U,MATCH(O354,'Hun Demand'!A:A,0)),"")</f>
        <v/>
      </c>
      <c r="D354" s="25" t="str">
        <f>IFERROR(INDEX('Hun Demand'!T:T,MATCH(O354,'Hun Demand'!A:A,0)),"")</f>
        <v/>
      </c>
      <c r="E354" s="25" t="str">
        <f>IFERROR(INDEX('Hun Demand'!S:S,MATCH(O354,'Hun Demand'!A:A,0)),"")</f>
        <v/>
      </c>
      <c r="F354" s="25" t="str">
        <f>IFERROR(INDEX('Hun Demand'!R:R,MATCH(O354,'Hun Demand'!A:A,0)),"")</f>
        <v/>
      </c>
      <c r="G354" s="25">
        <f>IFERROR(INDEX('Aub Demand'!W:W,MATCH(O354,'Aub Demand'!A:A,0)),"")</f>
        <v>12</v>
      </c>
      <c r="H354" s="25">
        <f>IFERROR(INDEX('Aub Demand'!V:V,MATCH(O354,'Aub Demand'!A:A,0)),"")</f>
        <v>0</v>
      </c>
      <c r="I354" s="25">
        <f>IFERROR(INDEX('Aub Demand'!U:U,MATCH(O354,'Aub Demand'!A:A,0)),"")</f>
        <v>36</v>
      </c>
      <c r="J354" s="25">
        <f>IFERROR(INDEX('Aub Demand'!T:T,MATCH(O354,'Aub Demand'!A:A,0)),"")</f>
        <v>0</v>
      </c>
      <c r="K354" s="25">
        <f>IFERROR(INDEX('Aub Demand'!S:S,MATCH(O354,'Aub Demand'!A:A,0)),"")</f>
        <v>53</v>
      </c>
      <c r="L354" s="25">
        <f>IFERROR(INDEX('Aub Demand'!R:R,MATCH(O354,'Aub Demand'!A:A,0)),"")</f>
        <v>0</v>
      </c>
      <c r="O354" s="27" t="s">
        <v>2116</v>
      </c>
      <c r="P354" s="27" t="str">
        <f>IFERROR(INDEX('Aub Demand'!B:B,MATCH($O354,'Aub Demand'!$A:$A,0)),"")</f>
        <v>GOLDEN YEARS</v>
      </c>
      <c r="Q354" s="27" t="str">
        <f>IFERROR(INDEX('Aub Demand'!C:C,MATCH($O354,'Aub Demand'!$A:$A,0)),"")</f>
        <v>INTER</v>
      </c>
      <c r="R354" s="52">
        <f>IFERROR(IF(AR355=AR354,INDEX('Aub Demand'!K:K,MATCH($O354,'Aub Demand'!$A:$A,0))-IF(AN354="",0,AN354)+AP355,INDEX('Aub Demand'!K:K,MATCH($O354,'Aub Demand'!$A:$A,0))-IF(AN354="",0,AN354)),"")</f>
        <v>0</v>
      </c>
      <c r="S354" s="53">
        <f t="shared" si="140"/>
        <v>0</v>
      </c>
      <c r="T354" s="52">
        <f t="shared" si="141"/>
        <v>33.375</v>
      </c>
      <c r="U354" s="52">
        <f>IFERROR(IF(AR355=AR354,INDEX('Aub Demand'!Q:Q,MATCH($O354,'Aub Demand'!$A:$A,0))-IF(AN354="",0,AN354)+AP355,INDEX('Aub Demand'!Q:Q,MATCH($O354,'Aub Demand'!$A:$A,0))-IF(AN354="",0,AN354)),"")</f>
        <v>0</v>
      </c>
      <c r="V354" s="53">
        <f t="shared" si="142"/>
        <v>0</v>
      </c>
      <c r="W354" s="52">
        <f t="shared" si="143"/>
        <v>33.375</v>
      </c>
      <c r="X354" s="52">
        <f>IFERROR(IF(AND(AR355=AR354,AM354&lt;&gt;""),INDEX('Aub Demand'!Q:Q,MATCH($O354,'Aub Demand'!$A:$A,0))-IF(AN354="",0,AN354)+AP355+AD354+AL354,IF(AR355=AR354,INDEX('Aub Demand'!Q:Q,MATCH($O354,'Aub Demand'!$A:$A,0))-IF(AN354="",0,AN354)+AP355+AD354,IF(AM354&lt;&gt;"",INDEX('Aub Demand'!Q:Q,MATCH($O354,'Aub Demand'!$A:$A,0))-IF(AN354="",0,AN354)+AD354+AL354,INDEX('Aub Demand'!Q:Q,MATCH($O354,'Aub Demand'!$A:$A,0))-IF(AN354="",0,AN354)+AD354))),"")</f>
        <v>0</v>
      </c>
      <c r="Y354" s="53">
        <f t="shared" si="144"/>
        <v>0</v>
      </c>
      <c r="Z354" s="52">
        <f>IF(L354="","",INDEX('Aub Demand'!H:H,MATCH($O354,'Aub Demand'!$A:$A,0)))</f>
        <v>30</v>
      </c>
      <c r="AA354" s="52">
        <f t="shared" si="145"/>
        <v>44.5</v>
      </c>
      <c r="AB354" s="52">
        <f>IFERROR(INDEX('Aub Demand'!L:L,MATCH($O354,'Aub Demand'!$A:$A,0)),"")</f>
        <v>9</v>
      </c>
      <c r="AC354" s="52">
        <f>IFERROR(IF(O354="","",SUMIFS('CPL Mats'!F:F,'CPL Mats'!Q:Q,AR354,'CPL Mats'!S:S,AS354)),"")</f>
        <v>0</v>
      </c>
      <c r="AF354" s="25" t="str">
        <f>IF(SUMIFS('Supp Consol'!S:S,'Supp Consol'!Y:Y,"Releasable",'Supp Consol'!A:A,O354)=0,"",SUMIFS('Supp Consol'!S:S,'Supp Consol'!Y:Y,"Releasable",'Supp Consol'!A:A,O354))</f>
        <v/>
      </c>
      <c r="AG354" s="25" t="str">
        <f>IFERROR(INDEX('Hun Demand'!Q:Q,MATCH(O354,'Hun Demand'!A:A,0)),"")</f>
        <v/>
      </c>
      <c r="AH354" s="25" t="str">
        <f>IFERROR(INDEX('Hun Demand'!H:H,MATCH($O354,'Hun Demand'!$A:$A,0)),"")</f>
        <v/>
      </c>
      <c r="AI354" s="25" t="str">
        <f>IF(SUMIFS('Supp Consol'!AA:AA,'Supp Consol'!Z:Z,"Expires this month",'Supp Consol'!A:A,O354)=0,"",SUMIFS('Supp Consol'!AA:AA,'Supp Consol'!Z:Z,"Expires this month",'Supp Consol'!A:A,O354))</f>
        <v/>
      </c>
      <c r="AJ354" s="25" t="str">
        <f>IF(SUMIFS('Supp Consol'!AA:AA,'Supp Consol'!Z:Z,"Expired Previous Months",'Supp Consol'!A:A,O354)=0,"",SUMIFS('Supp Consol'!AA:AA,'Supp Consol'!Z:Z,"Expired Previous Months",'Supp Consol'!A:A,O354))</f>
        <v/>
      </c>
      <c r="AK354" s="25" t="str">
        <f>IFERROR(INDEX('Hun Release Current'!B:B,MATCH(O354,'Hun Release Current'!A:A,0)),"")</f>
        <v/>
      </c>
      <c r="AL354" s="25" t="str">
        <f>IF(SUMIF('Prev Aub'!A:A,O354,'Prev Aub'!B:B)=0,"",SUMIF('Prev Aub'!A:A,O354,'Prev Aub'!B:B))</f>
        <v/>
      </c>
      <c r="AN354" s="25" t="s">
        <v>3790</v>
      </c>
      <c r="AO354" s="25" t="s">
        <v>3790</v>
      </c>
      <c r="AP354" s="25">
        <f t="shared" si="146"/>
        <v>0</v>
      </c>
      <c r="AQ354" s="151" t="str">
        <f>IF(SUMIFS('Supp Consol'!S:S,'Supp Consol'!A:A,O354,'Supp Consol'!I:I,"PENDING")=0,"",SUMIFS('Supp Consol'!S:S,'Supp Consol'!A:A,O354,'Supp Consol'!I:I,"PENDING"))</f>
        <v/>
      </c>
      <c r="AR354" s="27" t="str">
        <f t="shared" si="147"/>
        <v>AY130</v>
      </c>
      <c r="AS354" s="27" t="str">
        <f t="shared" si="148"/>
        <v>50</v>
      </c>
      <c r="AT354" s="27" t="str">
        <f t="shared" si="149"/>
        <v>AY130</v>
      </c>
      <c r="AU354" s="27" t="str">
        <f t="shared" si="150"/>
        <v>AY130</v>
      </c>
      <c r="AV354" s="27" t="str">
        <f t="shared" si="151"/>
        <v>AY130</v>
      </c>
      <c r="AW354" s="27" t="str">
        <f t="shared" si="152"/>
        <v/>
      </c>
      <c r="AX354" s="27" t="str">
        <f t="shared" si="153"/>
        <v/>
      </c>
      <c r="AY354" s="27" t="str">
        <f t="shared" si="154"/>
        <v/>
      </c>
      <c r="AZ354" s="27" t="str">
        <f t="shared" si="155"/>
        <v/>
      </c>
      <c r="BA354" s="27" t="str">
        <f t="shared" si="156"/>
        <v/>
      </c>
      <c r="BB354" s="27" t="str">
        <f t="shared" si="157"/>
        <v>Gross</v>
      </c>
      <c r="BC354" s="27" t="str">
        <f t="shared" si="158"/>
        <v>Net</v>
      </c>
      <c r="BD354" s="27" t="str">
        <f t="shared" si="159"/>
        <v>Net</v>
      </c>
      <c r="BE354" s="27" t="str">
        <f t="shared" si="160"/>
        <v/>
      </c>
      <c r="BF354" s="27" t="str">
        <f t="shared" si="161"/>
        <v/>
      </c>
      <c r="BG354" s="27" t="str">
        <f t="shared" si="162"/>
        <v/>
      </c>
      <c r="BH354" s="27" t="str">
        <f t="shared" si="163"/>
        <v/>
      </c>
      <c r="BI354" s="27" t="str">
        <f t="shared" si="164"/>
        <v/>
      </c>
      <c r="BJ354" s="27" t="str">
        <f t="shared" si="165"/>
        <v/>
      </c>
      <c r="BK354" s="27" t="str">
        <f t="shared" si="166"/>
        <v/>
      </c>
      <c r="BL354" s="27" t="str">
        <f t="shared" si="167"/>
        <v/>
      </c>
      <c r="BM354" s="21" t="s">
        <v>5581</v>
      </c>
    </row>
    <row r="355" spans="1:65" ht="15">
      <c r="A355" s="25" t="str">
        <f>IFERROR(INDEX('Hun Demand'!W:W,MATCH(O355,'Hun Demand'!A:A,0)),"")</f>
        <v/>
      </c>
      <c r="B355" s="25" t="str">
        <f>IFERROR(INDEX('Hun Demand'!V:V,MATCH(O355,'Hun Demand'!A:A,0)),"")</f>
        <v/>
      </c>
      <c r="C355" s="25" t="str">
        <f>IFERROR(INDEX('Hun Demand'!U:U,MATCH(O355,'Hun Demand'!A:A,0)),"")</f>
        <v/>
      </c>
      <c r="D355" s="25" t="str">
        <f>IFERROR(INDEX('Hun Demand'!T:T,MATCH(O355,'Hun Demand'!A:A,0)),"")</f>
        <v/>
      </c>
      <c r="E355" s="25" t="str">
        <f>IFERROR(INDEX('Hun Demand'!S:S,MATCH(O355,'Hun Demand'!A:A,0)),"")</f>
        <v/>
      </c>
      <c r="F355" s="25" t="str">
        <f>IFERROR(INDEX('Hun Demand'!R:R,MATCH(O355,'Hun Demand'!A:A,0)),"")</f>
        <v/>
      </c>
      <c r="G355" s="25">
        <f>IFERROR(INDEX('Aub Demand'!W:W,MATCH(O355,'Aub Demand'!A:A,0)),"")</f>
        <v>0</v>
      </c>
      <c r="H355" s="25">
        <f>IFERROR(INDEX('Aub Demand'!V:V,MATCH(O355,'Aub Demand'!A:A,0)),"")</f>
        <v>0</v>
      </c>
      <c r="I355" s="25">
        <f>IFERROR(INDEX('Aub Demand'!U:U,MATCH(O355,'Aub Demand'!A:A,0)),"")</f>
        <v>0</v>
      </c>
      <c r="J355" s="25">
        <f>IFERROR(INDEX('Aub Demand'!T:T,MATCH(O355,'Aub Demand'!A:A,0)),"")</f>
        <v>0</v>
      </c>
      <c r="K355" s="25">
        <f>IFERROR(INDEX('Aub Demand'!S:S,MATCH(O355,'Aub Demand'!A:A,0)),"")</f>
        <v>0</v>
      </c>
      <c r="L355" s="25">
        <f>IFERROR(INDEX('Aub Demand'!R:R,MATCH(O355,'Aub Demand'!A:A,0)),"")</f>
        <v>0</v>
      </c>
      <c r="O355" s="27" t="s">
        <v>2118</v>
      </c>
      <c r="P355" s="27" t="str">
        <f>IFERROR(INDEX('Aub Demand'!B:B,MATCH($O355,'Aub Demand'!$A:$A,0)),"")</f>
        <v>GOLDEN YEARS</v>
      </c>
      <c r="Q355" s="27" t="str">
        <f>IFERROR(INDEX('Aub Demand'!C:C,MATCH($O355,'Aub Demand'!$A:$A,0)),"")</f>
        <v>INTER</v>
      </c>
      <c r="R355" s="52">
        <f>IFERROR(IF(AR356=AR355,INDEX('Aub Demand'!K:K,MATCH($O355,'Aub Demand'!$A:$A,0))-IF(AN355="",0,AN355)+AP356,INDEX('Aub Demand'!K:K,MATCH($O355,'Aub Demand'!$A:$A,0))-IF(AN355="",0,AN355)),"")</f>
        <v>583</v>
      </c>
      <c r="S355" s="53" t="str">
        <f t="shared" si="140"/>
        <v>n/a</v>
      </c>
      <c r="T355" s="52" t="str">
        <f t="shared" si="141"/>
        <v/>
      </c>
      <c r="U355" s="52">
        <f>IFERROR(IF(AR356=AR355,INDEX('Aub Demand'!Q:Q,MATCH($O355,'Aub Demand'!$A:$A,0))-IF(AN355="",0,AN355)+AP356,INDEX('Aub Demand'!Q:Q,MATCH($O355,'Aub Demand'!$A:$A,0))-IF(AN355="",0,AN355)),"")</f>
        <v>583</v>
      </c>
      <c r="V355" s="53" t="str">
        <f t="shared" si="142"/>
        <v>n/a</v>
      </c>
      <c r="W355" s="52" t="str">
        <f t="shared" si="143"/>
        <v/>
      </c>
      <c r="X355" s="52">
        <f>IFERROR(IF(AND(AR356=AR355,AM355&lt;&gt;""),INDEX('Aub Demand'!Q:Q,MATCH($O355,'Aub Demand'!$A:$A,0))-IF(AN355="",0,AN355)+AP356+AD355+AL355,IF(AR356=AR355,INDEX('Aub Demand'!Q:Q,MATCH($O355,'Aub Demand'!$A:$A,0))-IF(AN355="",0,AN355)+AP356+AD355,IF(AM355&lt;&gt;"",INDEX('Aub Demand'!Q:Q,MATCH($O355,'Aub Demand'!$A:$A,0))-IF(AN355="",0,AN355)+AD355+AL355,INDEX('Aub Demand'!Q:Q,MATCH($O355,'Aub Demand'!$A:$A,0))-IF(AN355="",0,AN355)+AD355))),"")</f>
        <v>583</v>
      </c>
      <c r="Y355" s="53" t="str">
        <f t="shared" si="144"/>
        <v>n/a</v>
      </c>
      <c r="Z355" s="52">
        <f>IF(L355="","",INDEX('Aub Demand'!H:H,MATCH($O355,'Aub Demand'!$A:$A,0)))</f>
        <v>0</v>
      </c>
      <c r="AA355" s="52" t="str">
        <f t="shared" si="145"/>
        <v>-spike-</v>
      </c>
      <c r="AB355" s="52">
        <f>IFERROR(INDEX('Aub Demand'!L:L,MATCH($O355,'Aub Demand'!$A:$A,0)),"")</f>
        <v>0</v>
      </c>
      <c r="AC355" s="52">
        <f>IFERROR(IF(O355="","",SUMIFS('CPL Mats'!F:F,'CPL Mats'!Q:Q,AR355,'CPL Mats'!S:S,AS355)),"")</f>
        <v>0</v>
      </c>
      <c r="AF355" s="25" t="str">
        <f>IF(SUMIFS('Supp Consol'!S:S,'Supp Consol'!Y:Y,"Releasable",'Supp Consol'!A:A,O355)=0,"",SUMIFS('Supp Consol'!S:S,'Supp Consol'!Y:Y,"Releasable",'Supp Consol'!A:A,O355))</f>
        <v/>
      </c>
      <c r="AG355" s="25" t="str">
        <f>IFERROR(INDEX('Hun Demand'!Q:Q,MATCH(O355,'Hun Demand'!A:A,0)),"")</f>
        <v/>
      </c>
      <c r="AH355" s="25" t="str">
        <f>IFERROR(INDEX('Hun Demand'!H:H,MATCH($O355,'Hun Demand'!$A:$A,0)),"")</f>
        <v/>
      </c>
      <c r="AI355" s="25" t="str">
        <f>IF(SUMIFS('Supp Consol'!AA:AA,'Supp Consol'!Z:Z,"Expires this month",'Supp Consol'!A:A,O355)=0,"",SUMIFS('Supp Consol'!AA:AA,'Supp Consol'!Z:Z,"Expires this month",'Supp Consol'!A:A,O355))</f>
        <v/>
      </c>
      <c r="AJ355" s="25" t="str">
        <f>IF(SUMIFS('Supp Consol'!AA:AA,'Supp Consol'!Z:Z,"Expired Previous Months",'Supp Consol'!A:A,O355)=0,"",SUMIFS('Supp Consol'!AA:AA,'Supp Consol'!Z:Z,"Expired Previous Months",'Supp Consol'!A:A,O355))</f>
        <v/>
      </c>
      <c r="AK355" s="25" t="str">
        <f>IFERROR(INDEX('Hun Release Current'!B:B,MATCH(O355,'Hun Release Current'!A:A,0)),"")</f>
        <v/>
      </c>
      <c r="AL355" s="25" t="str">
        <f>IF(SUMIF('Prev Aub'!A:A,O355,'Prev Aub'!B:B)=0,"",SUMIF('Prev Aub'!A:A,O355,'Prev Aub'!B:B))</f>
        <v/>
      </c>
      <c r="AN355" s="25" t="s">
        <v>3790</v>
      </c>
      <c r="AO355" s="25" t="s">
        <v>3790</v>
      </c>
      <c r="AP355" s="25">
        <f t="shared" si="146"/>
        <v>0</v>
      </c>
      <c r="AQ355" s="151" t="str">
        <f>IF(SUMIFS('Supp Consol'!S:S,'Supp Consol'!A:A,O355,'Supp Consol'!I:I,"PENDING")=0,"",SUMIFS('Supp Consol'!S:S,'Supp Consol'!A:A,O355,'Supp Consol'!I:I,"PENDING"))</f>
        <v/>
      </c>
      <c r="AR355" s="27" t="str">
        <f t="shared" si="147"/>
        <v>AY130</v>
      </c>
      <c r="AS355" s="27" t="str">
        <f t="shared" si="148"/>
        <v>62</v>
      </c>
      <c r="AT355" s="27" t="str">
        <f t="shared" si="149"/>
        <v/>
      </c>
      <c r="AU355" s="27" t="str">
        <f t="shared" si="150"/>
        <v/>
      </c>
      <c r="AV355" s="27" t="str">
        <f t="shared" si="151"/>
        <v/>
      </c>
      <c r="AW355" s="27" t="str">
        <f t="shared" si="152"/>
        <v/>
      </c>
      <c r="AX355" s="27" t="str">
        <f t="shared" si="153"/>
        <v/>
      </c>
      <c r="AY355" s="27" t="str">
        <f t="shared" si="154"/>
        <v/>
      </c>
      <c r="AZ355" s="27" t="str">
        <f t="shared" si="155"/>
        <v/>
      </c>
      <c r="BA355" s="27" t="str">
        <f t="shared" si="156"/>
        <v/>
      </c>
      <c r="BB355" s="27" t="str">
        <f t="shared" si="157"/>
        <v>Gross</v>
      </c>
      <c r="BC355" s="27" t="str">
        <f t="shared" si="158"/>
        <v>Net</v>
      </c>
      <c r="BD355" s="27" t="str">
        <f t="shared" si="159"/>
        <v>Net</v>
      </c>
      <c r="BE355" s="27" t="str">
        <f t="shared" si="160"/>
        <v/>
      </c>
      <c r="BF355" s="27" t="str">
        <f t="shared" si="161"/>
        <v/>
      </c>
      <c r="BG355" s="27" t="str">
        <f t="shared" si="162"/>
        <v/>
      </c>
      <c r="BH355" s="27" t="str">
        <f t="shared" si="163"/>
        <v/>
      </c>
      <c r="BI355" s="27" t="str">
        <f t="shared" si="164"/>
        <v/>
      </c>
      <c r="BJ355" s="27" t="str">
        <f t="shared" si="165"/>
        <v/>
      </c>
      <c r="BK355" s="27" t="str">
        <f t="shared" si="166"/>
        <v/>
      </c>
      <c r="BL355" s="27" t="str">
        <f t="shared" si="167"/>
        <v/>
      </c>
      <c r="BM355" s="21" t="s">
        <v>5581</v>
      </c>
    </row>
    <row r="356" spans="1:65" ht="15">
      <c r="A356" s="25">
        <f>IFERROR(INDEX('Hun Demand'!W:W,MATCH(O356,'Hun Demand'!A:A,0)),"")</f>
        <v>52</v>
      </c>
      <c r="B356" s="25">
        <f>IFERROR(INDEX('Hun Demand'!V:V,MATCH(O356,'Hun Demand'!A:A,0)),"")</f>
        <v>0</v>
      </c>
      <c r="C356" s="25">
        <f>IFERROR(INDEX('Hun Demand'!U:U,MATCH(O356,'Hun Demand'!A:A,0)),"")</f>
        <v>0</v>
      </c>
      <c r="D356" s="25">
        <f>IFERROR(INDEX('Hun Demand'!T:T,MATCH(O356,'Hun Demand'!A:A,0)),"")</f>
        <v>0</v>
      </c>
      <c r="E356" s="25">
        <f>IFERROR(INDEX('Hun Demand'!S:S,MATCH(O356,'Hun Demand'!A:A,0)),"")</f>
        <v>0</v>
      </c>
      <c r="F356" s="25">
        <f>IFERROR(INDEX('Hun Demand'!R:R,MATCH(O356,'Hun Demand'!A:A,0)),"")</f>
        <v>0</v>
      </c>
      <c r="G356" s="25">
        <f>IFERROR(INDEX('Aub Demand'!W:W,MATCH(O356,'Aub Demand'!A:A,0)),"")</f>
        <v>18</v>
      </c>
      <c r="H356" s="25">
        <f>IFERROR(INDEX('Aub Demand'!V:V,MATCH(O356,'Aub Demand'!A:A,0)),"")</f>
        <v>0</v>
      </c>
      <c r="I356" s="25">
        <f>IFERROR(INDEX('Aub Demand'!U:U,MATCH(O356,'Aub Demand'!A:A,0)),"")</f>
        <v>0</v>
      </c>
      <c r="J356" s="25">
        <f>IFERROR(INDEX('Aub Demand'!T:T,MATCH(O356,'Aub Demand'!A:A,0)),"")</f>
        <v>0</v>
      </c>
      <c r="K356" s="25">
        <f>IFERROR(INDEX('Aub Demand'!S:S,MATCH(O356,'Aub Demand'!A:A,0)),"")</f>
        <v>14</v>
      </c>
      <c r="L356" s="25">
        <f>IFERROR(INDEX('Aub Demand'!R:R,MATCH(O356,'Aub Demand'!A:A,0)),"")</f>
        <v>7</v>
      </c>
      <c r="O356" s="27" t="s">
        <v>594</v>
      </c>
      <c r="P356" s="27" t="str">
        <f>IFERROR(INDEX('Aub Demand'!B:B,MATCH($O356,'Aub Demand'!$A:$A,0)),"")</f>
        <v>LUMINESCENT SILK</v>
      </c>
      <c r="Q356" s="27" t="str">
        <f>IFERROR(INDEX('Aub Demand'!C:C,MATCH($O356,'Aub Demand'!$A:$A,0)),"")</f>
        <v>NEODE</v>
      </c>
      <c r="R356" s="52">
        <f>IFERROR(IF(AR357=AR356,INDEX('Aub Demand'!K:K,MATCH($O356,'Aub Demand'!$A:$A,0))-IF(AN356="",0,AN356)+AP357,INDEX('Aub Demand'!K:K,MATCH($O356,'Aub Demand'!$A:$A,0))-IF(AN356="",0,AN356)),"")</f>
        <v>986</v>
      </c>
      <c r="S356" s="53">
        <f t="shared" si="140"/>
        <v>845.1</v>
      </c>
      <c r="T356" s="52" t="str">
        <f t="shared" si="141"/>
        <v/>
      </c>
      <c r="U356" s="52">
        <f>IFERROR(IF(AR357=AR356,INDEX('Aub Demand'!Q:Q,MATCH($O356,'Aub Demand'!$A:$A,0))-IF(AN356="",0,AN356)+AP357,INDEX('Aub Demand'!Q:Q,MATCH($O356,'Aub Demand'!$A:$A,0))-IF(AN356="",0,AN356)),"")</f>
        <v>979</v>
      </c>
      <c r="V356" s="53">
        <f t="shared" si="142"/>
        <v>839.1</v>
      </c>
      <c r="W356" s="52" t="str">
        <f t="shared" si="143"/>
        <v/>
      </c>
      <c r="X356" s="52">
        <f>IFERROR(IF(AND(AR357=AR356,AM356&lt;&gt;""),INDEX('Aub Demand'!Q:Q,MATCH($O356,'Aub Demand'!$A:$A,0))-IF(AN356="",0,AN356)+AP357+AD356+AL356,IF(AR357=AR356,INDEX('Aub Demand'!Q:Q,MATCH($O356,'Aub Demand'!$A:$A,0))-IF(AN356="",0,AN356)+AP357+AD356,IF(AM356&lt;&gt;"",INDEX('Aub Demand'!Q:Q,MATCH($O356,'Aub Demand'!$A:$A,0))-IF(AN356="",0,AN356)+AD356+AL356,INDEX('Aub Demand'!Q:Q,MATCH($O356,'Aub Demand'!$A:$A,0))-IF(AN356="",0,AN356)+AD356))),"")</f>
        <v>979</v>
      </c>
      <c r="Y356" s="53">
        <f t="shared" si="144"/>
        <v>839.1</v>
      </c>
      <c r="Z356" s="52">
        <f>IF(L356="","",INDEX('Aub Demand'!H:H,MATCH($O356,'Aub Demand'!$A:$A,0)))</f>
        <v>5</v>
      </c>
      <c r="AA356" s="52">
        <f t="shared" si="145"/>
        <v>10.5</v>
      </c>
      <c r="AB356" s="52">
        <f>IFERROR(INDEX('Aub Demand'!L:L,MATCH($O356,'Aub Demand'!$A:$A,0)),"")</f>
        <v>9</v>
      </c>
      <c r="AC356" s="52">
        <f>IFERROR(IF(O356="","",SUMIFS('CPL Mats'!F:F,'CPL Mats'!Q:Q,AR356,'CPL Mats'!S:S,AS356)),"")</f>
        <v>0</v>
      </c>
      <c r="AF356" s="25" t="str">
        <f>IF(SUMIFS('Supp Consol'!S:S,'Supp Consol'!Y:Y,"Releasable",'Supp Consol'!A:A,O356)=0,"",SUMIFS('Supp Consol'!S:S,'Supp Consol'!Y:Y,"Releasable",'Supp Consol'!A:A,O356))</f>
        <v/>
      </c>
      <c r="AG356" s="25">
        <f>IFERROR(INDEX('Hun Demand'!Q:Q,MATCH(O356,'Hun Demand'!A:A,0)),"")</f>
        <v>54</v>
      </c>
      <c r="AH356" s="25">
        <f>IFERROR(INDEX('Hun Demand'!H:H,MATCH($O356,'Hun Demand'!$A:$A,0)),"")</f>
        <v>0</v>
      </c>
      <c r="AI356" s="25" t="str">
        <f>IF(SUMIFS('Supp Consol'!AA:AA,'Supp Consol'!Z:Z,"Expires this month",'Supp Consol'!A:A,O356)=0,"",SUMIFS('Supp Consol'!AA:AA,'Supp Consol'!Z:Z,"Expires this month",'Supp Consol'!A:A,O356))</f>
        <v/>
      </c>
      <c r="AJ356" s="25" t="str">
        <f>IF(SUMIFS('Supp Consol'!AA:AA,'Supp Consol'!Z:Z,"Expired Previous Months",'Supp Consol'!A:A,O356)=0,"",SUMIFS('Supp Consol'!AA:AA,'Supp Consol'!Z:Z,"Expired Previous Months",'Supp Consol'!A:A,O356))</f>
        <v/>
      </c>
      <c r="AK356" s="25" t="str">
        <f>IFERROR(INDEX('Hun Release Current'!B:B,MATCH(O356,'Hun Release Current'!A:A,0)),"")</f>
        <v/>
      </c>
      <c r="AL356" s="25" t="str">
        <f>IF(SUMIF('Prev Aub'!A:A,O356,'Prev Aub'!B:B)=0,"",SUMIF('Prev Aub'!A:A,O356,'Prev Aub'!B:B))</f>
        <v/>
      </c>
      <c r="AN356" s="25" t="s">
        <v>3790</v>
      </c>
      <c r="AO356" s="25" t="s">
        <v>3790</v>
      </c>
      <c r="AP356" s="25">
        <f t="shared" si="146"/>
        <v>0</v>
      </c>
      <c r="AQ356" s="151" t="str">
        <f>IF(SUMIFS('Supp Consol'!S:S,'Supp Consol'!A:A,O356,'Supp Consol'!I:I,"PENDING")=0,"",SUMIFS('Supp Consol'!S:S,'Supp Consol'!A:A,O356,'Supp Consol'!I:I,"PENDING"))</f>
        <v/>
      </c>
      <c r="AR356" s="27" t="str">
        <f t="shared" si="147"/>
        <v>AY135</v>
      </c>
      <c r="AS356" s="27" t="str">
        <f t="shared" si="148"/>
        <v>50</v>
      </c>
      <c r="AT356" s="27" t="str">
        <f t="shared" si="149"/>
        <v/>
      </c>
      <c r="AU356" s="27" t="str">
        <f t="shared" si="150"/>
        <v/>
      </c>
      <c r="AV356" s="27" t="str">
        <f t="shared" si="151"/>
        <v/>
      </c>
      <c r="AW356" s="27" t="str">
        <f t="shared" si="152"/>
        <v/>
      </c>
      <c r="AX356" s="27" t="str">
        <f t="shared" si="153"/>
        <v/>
      </c>
      <c r="AY356" s="27" t="str">
        <f t="shared" si="154"/>
        <v>AY135</v>
      </c>
      <c r="AZ356" s="27" t="str">
        <f t="shared" si="155"/>
        <v/>
      </c>
      <c r="BA356" s="27" t="str">
        <f t="shared" si="156"/>
        <v>Hun</v>
      </c>
      <c r="BB356" s="27" t="str">
        <f t="shared" si="157"/>
        <v/>
      </c>
      <c r="BC356" s="27" t="str">
        <f t="shared" si="158"/>
        <v/>
      </c>
      <c r="BD356" s="27" t="str">
        <f t="shared" si="159"/>
        <v/>
      </c>
      <c r="BE356" s="27" t="str">
        <f t="shared" si="160"/>
        <v/>
      </c>
      <c r="BF356" s="27" t="str">
        <f t="shared" si="161"/>
        <v/>
      </c>
      <c r="BG356" s="27" t="str">
        <f t="shared" si="162"/>
        <v/>
      </c>
      <c r="BH356" s="27" t="str">
        <f t="shared" si="163"/>
        <v/>
      </c>
      <c r="BI356" s="27" t="str">
        <f t="shared" si="164"/>
        <v/>
      </c>
      <c r="BJ356" s="27" t="str">
        <f t="shared" si="165"/>
        <v>Supp or Hun</v>
      </c>
      <c r="BK356" s="27" t="str">
        <f t="shared" si="166"/>
        <v/>
      </c>
      <c r="BL356" s="27" t="str">
        <f t="shared" si="167"/>
        <v/>
      </c>
      <c r="BM356" s="21" t="s">
        <v>5581</v>
      </c>
    </row>
    <row r="357" spans="1:65" ht="15">
      <c r="A357" s="25" t="str">
        <f>IFERROR(INDEX('Hun Demand'!W:W,MATCH(O357,'Hun Demand'!A:A,0)),"")</f>
        <v/>
      </c>
      <c r="B357" s="25" t="str">
        <f>IFERROR(INDEX('Hun Demand'!V:V,MATCH(O357,'Hun Demand'!A:A,0)),"")</f>
        <v/>
      </c>
      <c r="C357" s="25" t="str">
        <f>IFERROR(INDEX('Hun Demand'!U:U,MATCH(O357,'Hun Demand'!A:A,0)),"")</f>
        <v/>
      </c>
      <c r="D357" s="25" t="str">
        <f>IFERROR(INDEX('Hun Demand'!T:T,MATCH(O357,'Hun Demand'!A:A,0)),"")</f>
        <v/>
      </c>
      <c r="E357" s="25" t="str">
        <f>IFERROR(INDEX('Hun Demand'!S:S,MATCH(O357,'Hun Demand'!A:A,0)),"")</f>
        <v/>
      </c>
      <c r="F357" s="25" t="str">
        <f>IFERROR(INDEX('Hun Demand'!R:R,MATCH(O357,'Hun Demand'!A:A,0)),"")</f>
        <v/>
      </c>
      <c r="G357" s="25">
        <f>IFERROR(INDEX('Aub Demand'!W:W,MATCH(O357,'Aub Demand'!A:A,0)),"")</f>
        <v>0</v>
      </c>
      <c r="H357" s="25">
        <f>IFERROR(INDEX('Aub Demand'!V:V,MATCH(O357,'Aub Demand'!A:A,0)),"")</f>
        <v>0</v>
      </c>
      <c r="I357" s="25">
        <f>IFERROR(INDEX('Aub Demand'!U:U,MATCH(O357,'Aub Demand'!A:A,0)),"")</f>
        <v>22</v>
      </c>
      <c r="J357" s="25">
        <f>IFERROR(INDEX('Aub Demand'!T:T,MATCH(O357,'Aub Demand'!A:A,0)),"")</f>
        <v>0</v>
      </c>
      <c r="K357" s="25">
        <f>IFERROR(INDEX('Aub Demand'!S:S,MATCH(O357,'Aub Demand'!A:A,0)),"")</f>
        <v>0</v>
      </c>
      <c r="L357" s="25">
        <f>IFERROR(INDEX('Aub Demand'!R:R,MATCH(O357,'Aub Demand'!A:A,0)),"")</f>
        <v>0</v>
      </c>
      <c r="O357" s="27" t="s">
        <v>596</v>
      </c>
      <c r="P357" s="27" t="str">
        <f>IFERROR(INDEX('Aub Demand'!B:B,MATCH($O357,'Aub Demand'!$A:$A,0)),"")</f>
        <v>LUMINESCENT SILK</v>
      </c>
      <c r="Q357" s="27" t="str">
        <f>IFERROR(INDEX('Aub Demand'!C:C,MATCH($O357,'Aub Demand'!$A:$A,0)),"")</f>
        <v>NEODE</v>
      </c>
      <c r="R357" s="52">
        <f>IFERROR(IF(AR358=AR357,INDEX('Aub Demand'!K:K,MATCH($O357,'Aub Demand'!$A:$A,0))-IF(AN357="",0,AN357)+AP358,INDEX('Aub Demand'!K:K,MATCH($O357,'Aub Demand'!$A:$A,0))-IF(AN357="",0,AN357)),"")</f>
        <v>1236</v>
      </c>
      <c r="S357" s="53">
        <f t="shared" si="140"/>
        <v>756.7</v>
      </c>
      <c r="T357" s="52" t="str">
        <f t="shared" si="141"/>
        <v/>
      </c>
      <c r="U357" s="52">
        <f>IFERROR(IF(AR358=AR357,INDEX('Aub Demand'!Q:Q,MATCH($O357,'Aub Demand'!$A:$A,0))-IF(AN357="",0,AN357)+AP358,INDEX('Aub Demand'!Q:Q,MATCH($O357,'Aub Demand'!$A:$A,0))-IF(AN357="",0,AN357)),"")</f>
        <v>1236</v>
      </c>
      <c r="V357" s="53">
        <f t="shared" si="142"/>
        <v>756.7</v>
      </c>
      <c r="W357" s="52" t="str">
        <f t="shared" si="143"/>
        <v/>
      </c>
      <c r="X357" s="52">
        <f>IFERROR(IF(AND(AR358=AR357,AM357&lt;&gt;""),INDEX('Aub Demand'!Q:Q,MATCH($O357,'Aub Demand'!$A:$A,0))-IF(AN357="",0,AN357)+AP358+AD357+AL357,IF(AR358=AR357,INDEX('Aub Demand'!Q:Q,MATCH($O357,'Aub Demand'!$A:$A,0))-IF(AN357="",0,AN357)+AP358+AD357,IF(AM357&lt;&gt;"",INDEX('Aub Demand'!Q:Q,MATCH($O357,'Aub Demand'!$A:$A,0))-IF(AN357="",0,AN357)+AD357+AL357,INDEX('Aub Demand'!Q:Q,MATCH($O357,'Aub Demand'!$A:$A,0))-IF(AN357="",0,AN357)+AD357))),"")</f>
        <v>1236</v>
      </c>
      <c r="Y357" s="53">
        <f t="shared" si="144"/>
        <v>756.7</v>
      </c>
      <c r="Z357" s="52">
        <f>IF(L357="","",INDEX('Aub Demand'!H:H,MATCH($O357,'Aub Demand'!$A:$A,0)))</f>
        <v>7</v>
      </c>
      <c r="AA357" s="52" t="str">
        <f t="shared" si="145"/>
        <v>-spike-</v>
      </c>
      <c r="AB357" s="52">
        <f>IFERROR(INDEX('Aub Demand'!L:L,MATCH($O357,'Aub Demand'!$A:$A,0)),"")</f>
        <v>0</v>
      </c>
      <c r="AC357" s="52">
        <f>IFERROR(IF(O357="","",SUMIFS('CPL Mats'!F:F,'CPL Mats'!Q:Q,AR357,'CPL Mats'!S:S,AS357)),"")</f>
        <v>0</v>
      </c>
      <c r="AF357" s="25" t="str">
        <f>IF(SUMIFS('Supp Consol'!S:S,'Supp Consol'!Y:Y,"Releasable",'Supp Consol'!A:A,O357)=0,"",SUMIFS('Supp Consol'!S:S,'Supp Consol'!Y:Y,"Releasable",'Supp Consol'!A:A,O357))</f>
        <v/>
      </c>
      <c r="AG357" s="25" t="str">
        <f>IFERROR(INDEX('Hun Demand'!Q:Q,MATCH(O357,'Hun Demand'!A:A,0)),"")</f>
        <v/>
      </c>
      <c r="AH357" s="25" t="str">
        <f>IFERROR(INDEX('Hun Demand'!H:H,MATCH($O357,'Hun Demand'!$A:$A,0)),"")</f>
        <v/>
      </c>
      <c r="AI357" s="25" t="str">
        <f>IF(SUMIFS('Supp Consol'!AA:AA,'Supp Consol'!Z:Z,"Expires this month",'Supp Consol'!A:A,O357)=0,"",SUMIFS('Supp Consol'!AA:AA,'Supp Consol'!Z:Z,"Expires this month",'Supp Consol'!A:A,O357))</f>
        <v/>
      </c>
      <c r="AJ357" s="25" t="str">
        <f>IF(SUMIFS('Supp Consol'!AA:AA,'Supp Consol'!Z:Z,"Expired Previous Months",'Supp Consol'!A:A,O357)=0,"",SUMIFS('Supp Consol'!AA:AA,'Supp Consol'!Z:Z,"Expired Previous Months",'Supp Consol'!A:A,O357))</f>
        <v/>
      </c>
      <c r="AK357" s="25" t="str">
        <f>IFERROR(INDEX('Hun Release Current'!B:B,MATCH(O357,'Hun Release Current'!A:A,0)),"")</f>
        <v/>
      </c>
      <c r="AL357" s="25" t="str">
        <f>IF(SUMIF('Prev Aub'!A:A,O357,'Prev Aub'!B:B)=0,"",SUMIF('Prev Aub'!A:A,O357,'Prev Aub'!B:B))</f>
        <v/>
      </c>
      <c r="AN357" s="25" t="s">
        <v>3790</v>
      </c>
      <c r="AO357" s="25" t="s">
        <v>3790</v>
      </c>
      <c r="AP357" s="25">
        <f t="shared" si="146"/>
        <v>0</v>
      </c>
      <c r="AQ357" s="151" t="str">
        <f>IF(SUMIFS('Supp Consol'!S:S,'Supp Consol'!A:A,O357,'Supp Consol'!I:I,"PENDING")=0,"",SUMIFS('Supp Consol'!S:S,'Supp Consol'!A:A,O357,'Supp Consol'!I:I,"PENDING"))</f>
        <v/>
      </c>
      <c r="AR357" s="27" t="str">
        <f t="shared" si="147"/>
        <v>AY135</v>
      </c>
      <c r="AS357" s="27" t="str">
        <f t="shared" si="148"/>
        <v>62</v>
      </c>
      <c r="AT357" s="27" t="str">
        <f t="shared" si="149"/>
        <v/>
      </c>
      <c r="AU357" s="27" t="str">
        <f t="shared" si="150"/>
        <v/>
      </c>
      <c r="AV357" s="27" t="str">
        <f t="shared" si="151"/>
        <v/>
      </c>
      <c r="AW357" s="27" t="str">
        <f t="shared" si="152"/>
        <v/>
      </c>
      <c r="AX357" s="27" t="str">
        <f t="shared" si="153"/>
        <v/>
      </c>
      <c r="AY357" s="27" t="str">
        <f t="shared" si="154"/>
        <v/>
      </c>
      <c r="AZ357" s="27" t="str">
        <f t="shared" si="155"/>
        <v/>
      </c>
      <c r="BA357" s="27" t="str">
        <f t="shared" si="156"/>
        <v>Hun</v>
      </c>
      <c r="BB357" s="27" t="str">
        <f t="shared" si="157"/>
        <v/>
      </c>
      <c r="BC357" s="27" t="str">
        <f t="shared" si="158"/>
        <v/>
      </c>
      <c r="BD357" s="27" t="str">
        <f t="shared" si="159"/>
        <v/>
      </c>
      <c r="BE357" s="27" t="str">
        <f t="shared" si="160"/>
        <v/>
      </c>
      <c r="BF357" s="27" t="str">
        <f t="shared" si="161"/>
        <v/>
      </c>
      <c r="BG357" s="27" t="str">
        <f t="shared" si="162"/>
        <v/>
      </c>
      <c r="BH357" s="27" t="str">
        <f t="shared" si="163"/>
        <v/>
      </c>
      <c r="BI357" s="27" t="str">
        <f t="shared" si="164"/>
        <v/>
      </c>
      <c r="BJ357" s="27" t="str">
        <f t="shared" si="165"/>
        <v>Supp or Hun</v>
      </c>
      <c r="BK357" s="27" t="str">
        <f t="shared" si="166"/>
        <v/>
      </c>
      <c r="BL357" s="27" t="str">
        <f t="shared" si="167"/>
        <v/>
      </c>
      <c r="BM357" s="21" t="s">
        <v>5581</v>
      </c>
    </row>
    <row r="358" spans="1:65" ht="15">
      <c r="A358" s="25" t="str">
        <f>IFERROR(INDEX('Hun Demand'!W:W,MATCH(O358,'Hun Demand'!A:A,0)),"")</f>
        <v/>
      </c>
      <c r="B358" s="25" t="str">
        <f>IFERROR(INDEX('Hun Demand'!V:V,MATCH(O358,'Hun Demand'!A:A,0)),"")</f>
        <v/>
      </c>
      <c r="C358" s="25" t="str">
        <f>IFERROR(INDEX('Hun Demand'!U:U,MATCH(O358,'Hun Demand'!A:A,0)),"")</f>
        <v/>
      </c>
      <c r="D358" s="25" t="str">
        <f>IFERROR(INDEX('Hun Demand'!T:T,MATCH(O358,'Hun Demand'!A:A,0)),"")</f>
        <v/>
      </c>
      <c r="E358" s="25" t="str">
        <f>IFERROR(INDEX('Hun Demand'!S:S,MATCH(O358,'Hun Demand'!A:A,0)),"")</f>
        <v/>
      </c>
      <c r="F358" s="25" t="str">
        <f>IFERROR(INDEX('Hun Demand'!R:R,MATCH(O358,'Hun Demand'!A:A,0)),"")</f>
        <v/>
      </c>
      <c r="G358" s="25">
        <f>IFERROR(INDEX('Aub Demand'!W:W,MATCH(O358,'Aub Demand'!A:A,0)),"")</f>
        <v>0</v>
      </c>
      <c r="H358" s="25">
        <f>IFERROR(INDEX('Aub Demand'!V:V,MATCH(O358,'Aub Demand'!A:A,0)),"")</f>
        <v>0</v>
      </c>
      <c r="I358" s="25">
        <f>IFERROR(INDEX('Aub Demand'!U:U,MATCH(O358,'Aub Demand'!A:A,0)),"")</f>
        <v>0</v>
      </c>
      <c r="J358" s="25">
        <f>IFERROR(INDEX('Aub Demand'!T:T,MATCH(O358,'Aub Demand'!A:A,0)),"")</f>
        <v>0</v>
      </c>
      <c r="K358" s="25">
        <f>IFERROR(INDEX('Aub Demand'!S:S,MATCH(O358,'Aub Demand'!A:A,0)),"")</f>
        <v>0</v>
      </c>
      <c r="L358" s="25">
        <f>IFERROR(INDEX('Aub Demand'!R:R,MATCH(O358,'Aub Demand'!A:A,0)),"")</f>
        <v>0</v>
      </c>
      <c r="O358" s="27" t="s">
        <v>2119</v>
      </c>
      <c r="P358" s="27" t="str">
        <f>IFERROR(INDEX('Aub Demand'!B:B,MATCH($O358,'Aub Demand'!$A:$A,0)),"")</f>
        <v>SILVER METALICA</v>
      </c>
      <c r="Q358" s="27" t="str">
        <f>IFERROR(INDEX('Aub Demand'!C:C,MATCH($O358,'Aub Demand'!$A:$A,0)),"")</f>
        <v>INTER</v>
      </c>
      <c r="R358" s="52">
        <f>IFERROR(IF(AR359=AR358,INDEX('Aub Demand'!K:K,MATCH($O358,'Aub Demand'!$A:$A,0))-IF(AN358="",0,AN358)+AP359,INDEX('Aub Demand'!K:K,MATCH($O358,'Aub Demand'!$A:$A,0))-IF(AN358="",0,AN358)),"")</f>
        <v>2805</v>
      </c>
      <c r="S358" s="53" t="str">
        <f t="shared" si="140"/>
        <v>n/a</v>
      </c>
      <c r="T358" s="52" t="str">
        <f t="shared" si="141"/>
        <v/>
      </c>
      <c r="U358" s="52">
        <f>IFERROR(IF(AR359=AR358,INDEX('Aub Demand'!Q:Q,MATCH($O358,'Aub Demand'!$A:$A,0))-IF(AN358="",0,AN358)+AP359,INDEX('Aub Demand'!Q:Q,MATCH($O358,'Aub Demand'!$A:$A,0))-IF(AN358="",0,AN358)),"")</f>
        <v>2805</v>
      </c>
      <c r="V358" s="53" t="str">
        <f t="shared" si="142"/>
        <v>n/a</v>
      </c>
      <c r="W358" s="52" t="str">
        <f t="shared" si="143"/>
        <v/>
      </c>
      <c r="X358" s="52">
        <f>IFERROR(IF(AND(AR359=AR358,AM358&lt;&gt;""),INDEX('Aub Demand'!Q:Q,MATCH($O358,'Aub Demand'!$A:$A,0))-IF(AN358="",0,AN358)+AP359+AD358+AL358,IF(AR359=AR358,INDEX('Aub Demand'!Q:Q,MATCH($O358,'Aub Demand'!$A:$A,0))-IF(AN358="",0,AN358)+AP359+AD358,IF(AM358&lt;&gt;"",INDEX('Aub Demand'!Q:Q,MATCH($O358,'Aub Demand'!$A:$A,0))-IF(AN358="",0,AN358)+AD358+AL358,INDEX('Aub Demand'!Q:Q,MATCH($O358,'Aub Demand'!$A:$A,0))-IF(AN358="",0,AN358)+AD358))),"")</f>
        <v>2805</v>
      </c>
      <c r="Y358" s="53" t="str">
        <f t="shared" si="144"/>
        <v>n/a</v>
      </c>
      <c r="Z358" s="52">
        <f>IF(L358="","",INDEX('Aub Demand'!H:H,MATCH($O358,'Aub Demand'!$A:$A,0)))</f>
        <v>0</v>
      </c>
      <c r="AA358" s="52" t="str">
        <f t="shared" si="145"/>
        <v>-spike-</v>
      </c>
      <c r="AB358" s="52">
        <f>IFERROR(INDEX('Aub Demand'!L:L,MATCH($O358,'Aub Demand'!$A:$A,0)),"")</f>
        <v>0</v>
      </c>
      <c r="AC358" s="52">
        <f>IFERROR(IF(O358="","",SUMIFS('CPL Mats'!F:F,'CPL Mats'!Q:Q,AR358,'CPL Mats'!S:S,AS358)),"")</f>
        <v>0</v>
      </c>
      <c r="AF358" s="25" t="str">
        <f>IF(SUMIFS('Supp Consol'!S:S,'Supp Consol'!Y:Y,"Releasable",'Supp Consol'!A:A,O358)=0,"",SUMIFS('Supp Consol'!S:S,'Supp Consol'!Y:Y,"Releasable",'Supp Consol'!A:A,O358))</f>
        <v/>
      </c>
      <c r="AG358" s="25" t="str">
        <f>IFERROR(INDEX('Hun Demand'!Q:Q,MATCH(O358,'Hun Demand'!A:A,0)),"")</f>
        <v/>
      </c>
      <c r="AH358" s="25" t="str">
        <f>IFERROR(INDEX('Hun Demand'!H:H,MATCH($O358,'Hun Demand'!$A:$A,0)),"")</f>
        <v/>
      </c>
      <c r="AI358" s="25" t="str">
        <f>IF(SUMIFS('Supp Consol'!AA:AA,'Supp Consol'!Z:Z,"Expires this month",'Supp Consol'!A:A,O358)=0,"",SUMIFS('Supp Consol'!AA:AA,'Supp Consol'!Z:Z,"Expires this month",'Supp Consol'!A:A,O358))</f>
        <v/>
      </c>
      <c r="AJ358" s="25" t="str">
        <f>IF(SUMIFS('Supp Consol'!AA:AA,'Supp Consol'!Z:Z,"Expired Previous Months",'Supp Consol'!A:A,O358)=0,"",SUMIFS('Supp Consol'!AA:AA,'Supp Consol'!Z:Z,"Expired Previous Months",'Supp Consol'!A:A,O358))</f>
        <v/>
      </c>
      <c r="AK358" s="25" t="str">
        <f>IFERROR(INDEX('Hun Release Current'!B:B,MATCH(O358,'Hun Release Current'!A:A,0)),"")</f>
        <v/>
      </c>
      <c r="AL358" s="25" t="str">
        <f>IF(SUMIF('Prev Aub'!A:A,O358,'Prev Aub'!B:B)=0,"",SUMIF('Prev Aub'!A:A,O358,'Prev Aub'!B:B))</f>
        <v/>
      </c>
      <c r="AN358" s="25" t="s">
        <v>3790</v>
      </c>
      <c r="AO358" s="25" t="s">
        <v>3790</v>
      </c>
      <c r="AP358" s="25">
        <f t="shared" si="146"/>
        <v>0</v>
      </c>
      <c r="AQ358" s="151" t="str">
        <f>IF(SUMIFS('Supp Consol'!S:S,'Supp Consol'!A:A,O358,'Supp Consol'!I:I,"PENDING")=0,"",SUMIFS('Supp Consol'!S:S,'Supp Consol'!A:A,O358,'Supp Consol'!I:I,"PENDING"))</f>
        <v/>
      </c>
      <c r="AR358" s="27" t="str">
        <f t="shared" si="147"/>
        <v>AY140</v>
      </c>
      <c r="AS358" s="27" t="str">
        <f t="shared" si="148"/>
        <v>50</v>
      </c>
      <c r="AT358" s="27" t="str">
        <f t="shared" si="149"/>
        <v/>
      </c>
      <c r="AU358" s="27" t="str">
        <f t="shared" si="150"/>
        <v/>
      </c>
      <c r="AV358" s="27" t="str">
        <f t="shared" si="151"/>
        <v/>
      </c>
      <c r="AW358" s="27" t="str">
        <f t="shared" si="152"/>
        <v/>
      </c>
      <c r="AX358" s="27" t="str">
        <f t="shared" si="153"/>
        <v/>
      </c>
      <c r="AY358" s="27" t="str">
        <f t="shared" si="154"/>
        <v/>
      </c>
      <c r="AZ358" s="27" t="str">
        <f t="shared" si="155"/>
        <v/>
      </c>
      <c r="BA358" s="27" t="str">
        <f t="shared" si="156"/>
        <v/>
      </c>
      <c r="BB358" s="27" t="str">
        <f t="shared" si="157"/>
        <v/>
      </c>
      <c r="BC358" s="27" t="str">
        <f t="shared" si="158"/>
        <v/>
      </c>
      <c r="BD358" s="27" t="str">
        <f t="shared" si="159"/>
        <v/>
      </c>
      <c r="BE358" s="27" t="str">
        <f t="shared" si="160"/>
        <v/>
      </c>
      <c r="BF358" s="27" t="str">
        <f t="shared" si="161"/>
        <v/>
      </c>
      <c r="BG358" s="27" t="str">
        <f t="shared" si="162"/>
        <v/>
      </c>
      <c r="BH358" s="27" t="str">
        <f t="shared" si="163"/>
        <v/>
      </c>
      <c r="BI358" s="27" t="str">
        <f t="shared" si="164"/>
        <v/>
      </c>
      <c r="BJ358" s="27" t="str">
        <f t="shared" si="165"/>
        <v/>
      </c>
      <c r="BK358" s="27" t="str">
        <f t="shared" si="166"/>
        <v/>
      </c>
      <c r="BL358" s="27" t="str">
        <f t="shared" si="167"/>
        <v/>
      </c>
      <c r="BM358" s="21" t="s">
        <v>5581</v>
      </c>
    </row>
    <row r="359" spans="1:65" ht="15">
      <c r="A359" s="25">
        <f>IFERROR(INDEX('Hun Demand'!W:W,MATCH(O359,'Hun Demand'!A:A,0)),"")</f>
        <v>0</v>
      </c>
      <c r="B359" s="25">
        <f>IFERROR(INDEX('Hun Demand'!V:V,MATCH(O359,'Hun Demand'!A:A,0)),"")</f>
        <v>0</v>
      </c>
      <c r="C359" s="25">
        <f>IFERROR(INDEX('Hun Demand'!U:U,MATCH(O359,'Hun Demand'!A:A,0)),"")</f>
        <v>0</v>
      </c>
      <c r="D359" s="25">
        <f>IFERROR(INDEX('Hun Demand'!T:T,MATCH(O359,'Hun Demand'!A:A,0)),"")</f>
        <v>0</v>
      </c>
      <c r="E359" s="25">
        <f>IFERROR(INDEX('Hun Demand'!S:S,MATCH(O359,'Hun Demand'!A:A,0)),"")</f>
        <v>0</v>
      </c>
      <c r="F359" s="25">
        <f>IFERROR(INDEX('Hun Demand'!R:R,MATCH(O359,'Hun Demand'!A:A,0)),"")</f>
        <v>0</v>
      </c>
      <c r="G359" s="25">
        <f>IFERROR(INDEX('Aub Demand'!W:W,MATCH(O359,'Aub Demand'!A:A,0)),"")</f>
        <v>0</v>
      </c>
      <c r="H359" s="25">
        <f>IFERROR(INDEX('Aub Demand'!V:V,MATCH(O359,'Aub Demand'!A:A,0)),"")</f>
        <v>0</v>
      </c>
      <c r="I359" s="25">
        <f>IFERROR(INDEX('Aub Demand'!U:U,MATCH(O359,'Aub Demand'!A:A,0)),"")</f>
        <v>0</v>
      </c>
      <c r="J359" s="25">
        <f>IFERROR(INDEX('Aub Demand'!T:T,MATCH(O359,'Aub Demand'!A:A,0)),"")</f>
        <v>7</v>
      </c>
      <c r="K359" s="25">
        <f>IFERROR(INDEX('Aub Demand'!S:S,MATCH(O359,'Aub Demand'!A:A,0)),"")</f>
        <v>0</v>
      </c>
      <c r="L359" s="25">
        <f>IFERROR(INDEX('Aub Demand'!R:R,MATCH(O359,'Aub Demand'!A:A,0)),"")</f>
        <v>0</v>
      </c>
      <c r="O359" s="27" t="s">
        <v>2122</v>
      </c>
      <c r="P359" s="27" t="str">
        <f>IFERROR(INDEX('Aub Demand'!B:B,MATCH($O359,'Aub Demand'!$A:$A,0)),"")</f>
        <v>GOLD MINI RAFFIA</v>
      </c>
      <c r="Q359" s="27" t="str">
        <f>IFERROR(INDEX('Aub Demand'!C:C,MATCH($O359,'Aub Demand'!$A:$A,0)),"")</f>
        <v>SCHAT</v>
      </c>
      <c r="R359" s="52">
        <f>IFERROR(IF(AR360=AR359,INDEX('Aub Demand'!K:K,MATCH($O359,'Aub Demand'!$A:$A,0))-IF(AN359="",0,AN359)+AP360,INDEX('Aub Demand'!K:K,MATCH($O359,'Aub Demand'!$A:$A,0))-IF(AN359="",0,AN359)),"")</f>
        <v>727</v>
      </c>
      <c r="S359" s="53">
        <f t="shared" si="140"/>
        <v>1557.9</v>
      </c>
      <c r="T359" s="52" t="str">
        <f t="shared" si="141"/>
        <v/>
      </c>
      <c r="U359" s="52">
        <f>IFERROR(IF(AR360=AR359,INDEX('Aub Demand'!Q:Q,MATCH($O359,'Aub Demand'!$A:$A,0))-IF(AN359="",0,AN359)+AP360,INDEX('Aub Demand'!Q:Q,MATCH($O359,'Aub Demand'!$A:$A,0))-IF(AN359="",0,AN359)),"")</f>
        <v>727</v>
      </c>
      <c r="V359" s="53">
        <f t="shared" si="142"/>
        <v>1557.9</v>
      </c>
      <c r="W359" s="52" t="str">
        <f t="shared" si="143"/>
        <v/>
      </c>
      <c r="X359" s="52">
        <f>IFERROR(IF(AND(AR360=AR359,AM359&lt;&gt;""),INDEX('Aub Demand'!Q:Q,MATCH($O359,'Aub Demand'!$A:$A,0))-IF(AN359="",0,AN359)+AP360+AD359+AL359,IF(AR360=AR359,INDEX('Aub Demand'!Q:Q,MATCH($O359,'Aub Demand'!$A:$A,0))-IF(AN359="",0,AN359)+AP360+AD359,IF(AM359&lt;&gt;"",INDEX('Aub Demand'!Q:Q,MATCH($O359,'Aub Demand'!$A:$A,0))-IF(AN359="",0,AN359)+AD359+AL359,INDEX('Aub Demand'!Q:Q,MATCH($O359,'Aub Demand'!$A:$A,0))-IF(AN359="",0,AN359)+AD359))),"")</f>
        <v>727</v>
      </c>
      <c r="Y359" s="53">
        <f t="shared" si="144"/>
        <v>1557.9</v>
      </c>
      <c r="Z359" s="52">
        <f>IF(L359="","",INDEX('Aub Demand'!H:H,MATCH($O359,'Aub Demand'!$A:$A,0)))</f>
        <v>2</v>
      </c>
      <c r="AA359" s="52" t="str">
        <f t="shared" si="145"/>
        <v>-spike-</v>
      </c>
      <c r="AB359" s="52">
        <f>IFERROR(INDEX('Aub Demand'!L:L,MATCH($O359,'Aub Demand'!$A:$A,0)),"")</f>
        <v>3</v>
      </c>
      <c r="AC359" s="52">
        <f>IFERROR(IF(O359="","",SUMIFS('CPL Mats'!F:F,'CPL Mats'!Q:Q,AR359,'CPL Mats'!S:S,AS359)),"")</f>
        <v>0</v>
      </c>
      <c r="AF359" s="25" t="str">
        <f>IF(SUMIFS('Supp Consol'!S:S,'Supp Consol'!Y:Y,"Releasable",'Supp Consol'!A:A,O359)=0,"",SUMIFS('Supp Consol'!S:S,'Supp Consol'!Y:Y,"Releasable",'Supp Consol'!A:A,O359))</f>
        <v/>
      </c>
      <c r="AG359" s="25">
        <f>IFERROR(INDEX('Hun Demand'!Q:Q,MATCH(O359,'Hun Demand'!A:A,0)),"")</f>
        <v>103</v>
      </c>
      <c r="AH359" s="25">
        <f>IFERROR(INDEX('Hun Demand'!H:H,MATCH($O359,'Hun Demand'!$A:$A,0)),"")</f>
        <v>0</v>
      </c>
      <c r="AI359" s="25" t="str">
        <f>IF(SUMIFS('Supp Consol'!AA:AA,'Supp Consol'!Z:Z,"Expires this month",'Supp Consol'!A:A,O359)=0,"",SUMIFS('Supp Consol'!AA:AA,'Supp Consol'!Z:Z,"Expires this month",'Supp Consol'!A:A,O359))</f>
        <v/>
      </c>
      <c r="AJ359" s="25" t="str">
        <f>IF(SUMIFS('Supp Consol'!AA:AA,'Supp Consol'!Z:Z,"Expired Previous Months",'Supp Consol'!A:A,O359)=0,"",SUMIFS('Supp Consol'!AA:AA,'Supp Consol'!Z:Z,"Expired Previous Months",'Supp Consol'!A:A,O359))</f>
        <v/>
      </c>
      <c r="AK359" s="25" t="str">
        <f>IFERROR(INDEX('Hun Release Current'!B:B,MATCH(O359,'Hun Release Current'!A:A,0)),"")</f>
        <v/>
      </c>
      <c r="AL359" s="25" t="str">
        <f>IF(SUMIF('Prev Aub'!A:A,O359,'Prev Aub'!B:B)=0,"",SUMIF('Prev Aub'!A:A,O359,'Prev Aub'!B:B))</f>
        <v/>
      </c>
      <c r="AN359" s="25" t="s">
        <v>3790</v>
      </c>
      <c r="AO359" s="25" t="s">
        <v>3790</v>
      </c>
      <c r="AP359" s="25">
        <f t="shared" si="146"/>
        <v>0</v>
      </c>
      <c r="AQ359" s="151" t="str">
        <f>IF(SUMIFS('Supp Consol'!S:S,'Supp Consol'!A:A,O359,'Supp Consol'!I:I,"PENDING")=0,"",SUMIFS('Supp Consol'!S:S,'Supp Consol'!A:A,O359,'Supp Consol'!I:I,"PENDING"))</f>
        <v/>
      </c>
      <c r="AR359" s="27" t="str">
        <f t="shared" si="147"/>
        <v>AY150</v>
      </c>
      <c r="AS359" s="27" t="str">
        <f t="shared" si="148"/>
        <v>50</v>
      </c>
      <c r="AT359" s="27" t="str">
        <f t="shared" si="149"/>
        <v/>
      </c>
      <c r="AU359" s="27" t="str">
        <f t="shared" si="150"/>
        <v/>
      </c>
      <c r="AV359" s="27" t="str">
        <f t="shared" si="151"/>
        <v/>
      </c>
      <c r="AW359" s="27" t="str">
        <f t="shared" si="152"/>
        <v/>
      </c>
      <c r="AX359" s="27" t="str">
        <f t="shared" si="153"/>
        <v/>
      </c>
      <c r="AY359" s="27" t="str">
        <f t="shared" si="154"/>
        <v>AY150</v>
      </c>
      <c r="AZ359" s="27" t="str">
        <f t="shared" si="155"/>
        <v/>
      </c>
      <c r="BA359" s="27" t="str">
        <f t="shared" si="156"/>
        <v>Hun</v>
      </c>
      <c r="BB359" s="27" t="str">
        <f t="shared" si="157"/>
        <v/>
      </c>
      <c r="BC359" s="27" t="str">
        <f t="shared" si="158"/>
        <v/>
      </c>
      <c r="BD359" s="27" t="str">
        <f t="shared" si="159"/>
        <v/>
      </c>
      <c r="BE359" s="27" t="str">
        <f t="shared" si="160"/>
        <v/>
      </c>
      <c r="BF359" s="27" t="str">
        <f t="shared" si="161"/>
        <v/>
      </c>
      <c r="BG359" s="27" t="str">
        <f t="shared" si="162"/>
        <v/>
      </c>
      <c r="BH359" s="27" t="str">
        <f t="shared" si="163"/>
        <v/>
      </c>
      <c r="BI359" s="27" t="str">
        <f t="shared" si="164"/>
        <v/>
      </c>
      <c r="BJ359" s="27" t="str">
        <f t="shared" si="165"/>
        <v>Supp or Hun</v>
      </c>
      <c r="BK359" s="27" t="str">
        <f t="shared" si="166"/>
        <v/>
      </c>
      <c r="BL359" s="27" t="str">
        <f t="shared" si="167"/>
        <v/>
      </c>
      <c r="BM359" s="21" t="s">
        <v>5581</v>
      </c>
    </row>
    <row r="360" spans="1:65" ht="15">
      <c r="A360" s="25" t="str">
        <f>IFERROR(INDEX('Hun Demand'!W:W,MATCH(O360,'Hun Demand'!A:A,0)),"")</f>
        <v/>
      </c>
      <c r="B360" s="25" t="str">
        <f>IFERROR(INDEX('Hun Demand'!V:V,MATCH(O360,'Hun Demand'!A:A,0)),"")</f>
        <v/>
      </c>
      <c r="C360" s="25" t="str">
        <f>IFERROR(INDEX('Hun Demand'!U:U,MATCH(O360,'Hun Demand'!A:A,0)),"")</f>
        <v/>
      </c>
      <c r="D360" s="25" t="str">
        <f>IFERROR(INDEX('Hun Demand'!T:T,MATCH(O360,'Hun Demand'!A:A,0)),"")</f>
        <v/>
      </c>
      <c r="E360" s="25" t="str">
        <f>IFERROR(INDEX('Hun Demand'!S:S,MATCH(O360,'Hun Demand'!A:A,0)),"")</f>
        <v/>
      </c>
      <c r="F360" s="25" t="str">
        <f>IFERROR(INDEX('Hun Demand'!R:R,MATCH(O360,'Hun Demand'!A:A,0)),"")</f>
        <v/>
      </c>
      <c r="G360" s="25">
        <f>IFERROR(INDEX('Aub Demand'!W:W,MATCH(O360,'Aub Demand'!A:A,0)),"")</f>
        <v>0</v>
      </c>
      <c r="H360" s="25">
        <f>IFERROR(INDEX('Aub Demand'!V:V,MATCH(O360,'Aub Demand'!A:A,0)),"")</f>
        <v>0</v>
      </c>
      <c r="I360" s="25">
        <f>IFERROR(INDEX('Aub Demand'!U:U,MATCH(O360,'Aub Demand'!A:A,0)),"")</f>
        <v>0</v>
      </c>
      <c r="J360" s="25">
        <f>IFERROR(INDEX('Aub Demand'!T:T,MATCH(O360,'Aub Demand'!A:A,0)),"")</f>
        <v>0</v>
      </c>
      <c r="K360" s="25">
        <f>IFERROR(INDEX('Aub Demand'!S:S,MATCH(O360,'Aub Demand'!A:A,0)),"")</f>
        <v>0</v>
      </c>
      <c r="L360" s="25">
        <f>IFERROR(INDEX('Aub Demand'!R:R,MATCH(O360,'Aub Demand'!A:A,0)),"")</f>
        <v>0</v>
      </c>
      <c r="O360" s="27" t="s">
        <v>2124</v>
      </c>
      <c r="P360" s="27" t="str">
        <f>IFERROR(INDEX('Aub Demand'!B:B,MATCH($O360,'Aub Demand'!$A:$A,0)),"")</f>
        <v>GOLD MINI RAFFIA</v>
      </c>
      <c r="Q360" s="27" t="str">
        <f>IFERROR(INDEX('Aub Demand'!C:C,MATCH($O360,'Aub Demand'!$A:$A,0)),"")</f>
        <v>SCHAT</v>
      </c>
      <c r="R360" s="52">
        <f>IFERROR(IF(AR361=AR360,INDEX('Aub Demand'!K:K,MATCH($O360,'Aub Demand'!$A:$A,0))-IF(AN360="",0,AN360)+AP361,INDEX('Aub Demand'!K:K,MATCH($O360,'Aub Demand'!$A:$A,0))-IF(AN360="",0,AN360)),"")</f>
        <v>852</v>
      </c>
      <c r="S360" s="53" t="str">
        <f t="shared" si="140"/>
        <v>n/a</v>
      </c>
      <c r="T360" s="52" t="str">
        <f t="shared" si="141"/>
        <v/>
      </c>
      <c r="U360" s="52">
        <f>IFERROR(IF(AR361=AR360,INDEX('Aub Demand'!Q:Q,MATCH($O360,'Aub Demand'!$A:$A,0))-IF(AN360="",0,AN360)+AP361,INDEX('Aub Demand'!Q:Q,MATCH($O360,'Aub Demand'!$A:$A,0))-IF(AN360="",0,AN360)),"")</f>
        <v>852</v>
      </c>
      <c r="V360" s="53" t="str">
        <f t="shared" si="142"/>
        <v>n/a</v>
      </c>
      <c r="W360" s="52" t="str">
        <f t="shared" si="143"/>
        <v/>
      </c>
      <c r="X360" s="52">
        <f>IFERROR(IF(AND(AR361=AR360,AM360&lt;&gt;""),INDEX('Aub Demand'!Q:Q,MATCH($O360,'Aub Demand'!$A:$A,0))-IF(AN360="",0,AN360)+AP361+AD360+AL360,IF(AR361=AR360,INDEX('Aub Demand'!Q:Q,MATCH($O360,'Aub Demand'!$A:$A,0))-IF(AN360="",0,AN360)+AP361+AD360,IF(AM360&lt;&gt;"",INDEX('Aub Demand'!Q:Q,MATCH($O360,'Aub Demand'!$A:$A,0))-IF(AN360="",0,AN360)+AD360+AL360,INDEX('Aub Demand'!Q:Q,MATCH($O360,'Aub Demand'!$A:$A,0))-IF(AN360="",0,AN360)+AD360))),"")</f>
        <v>852</v>
      </c>
      <c r="Y360" s="53" t="str">
        <f t="shared" si="144"/>
        <v>n/a</v>
      </c>
      <c r="Z360" s="52">
        <f>IF(L360="","",INDEX('Aub Demand'!H:H,MATCH($O360,'Aub Demand'!$A:$A,0)))</f>
        <v>0</v>
      </c>
      <c r="AA360" s="52" t="str">
        <f t="shared" si="145"/>
        <v>-spike-</v>
      </c>
      <c r="AB360" s="52">
        <f>IFERROR(INDEX('Aub Demand'!L:L,MATCH($O360,'Aub Demand'!$A:$A,0)),"")</f>
        <v>0</v>
      </c>
      <c r="AC360" s="52">
        <f>IFERROR(IF(O360="","",SUMIFS('CPL Mats'!F:F,'CPL Mats'!Q:Q,AR360,'CPL Mats'!S:S,AS360)),"")</f>
        <v>0</v>
      </c>
      <c r="AF360" s="25" t="str">
        <f>IF(SUMIFS('Supp Consol'!S:S,'Supp Consol'!Y:Y,"Releasable",'Supp Consol'!A:A,O360)=0,"",SUMIFS('Supp Consol'!S:S,'Supp Consol'!Y:Y,"Releasable",'Supp Consol'!A:A,O360))</f>
        <v/>
      </c>
      <c r="AG360" s="25" t="str">
        <f>IFERROR(INDEX('Hun Demand'!Q:Q,MATCH(O360,'Hun Demand'!A:A,0)),"")</f>
        <v/>
      </c>
      <c r="AH360" s="25" t="str">
        <f>IFERROR(INDEX('Hun Demand'!H:H,MATCH($O360,'Hun Demand'!$A:$A,0)),"")</f>
        <v/>
      </c>
      <c r="AI360" s="25" t="str">
        <f>IF(SUMIFS('Supp Consol'!AA:AA,'Supp Consol'!Z:Z,"Expires this month",'Supp Consol'!A:A,O360)=0,"",SUMIFS('Supp Consol'!AA:AA,'Supp Consol'!Z:Z,"Expires this month",'Supp Consol'!A:A,O360))</f>
        <v/>
      </c>
      <c r="AJ360" s="25" t="str">
        <f>IF(SUMIFS('Supp Consol'!AA:AA,'Supp Consol'!Z:Z,"Expired Previous Months",'Supp Consol'!A:A,O360)=0,"",SUMIFS('Supp Consol'!AA:AA,'Supp Consol'!Z:Z,"Expired Previous Months",'Supp Consol'!A:A,O360))</f>
        <v/>
      </c>
      <c r="AK360" s="25" t="str">
        <f>IFERROR(INDEX('Hun Release Current'!B:B,MATCH(O360,'Hun Release Current'!A:A,0)),"")</f>
        <v/>
      </c>
      <c r="AL360" s="25" t="str">
        <f>IF(SUMIF('Prev Aub'!A:A,O360,'Prev Aub'!B:B)=0,"",SUMIF('Prev Aub'!A:A,O360,'Prev Aub'!B:B))</f>
        <v/>
      </c>
      <c r="AN360" s="25" t="s">
        <v>3790</v>
      </c>
      <c r="AO360" s="25" t="s">
        <v>3790</v>
      </c>
      <c r="AP360" s="25">
        <f t="shared" si="146"/>
        <v>0</v>
      </c>
      <c r="AQ360" s="151" t="str">
        <f>IF(SUMIFS('Supp Consol'!S:S,'Supp Consol'!A:A,O360,'Supp Consol'!I:I,"PENDING")=0,"",SUMIFS('Supp Consol'!S:S,'Supp Consol'!A:A,O360,'Supp Consol'!I:I,"PENDING"))</f>
        <v/>
      </c>
      <c r="AR360" s="27" t="str">
        <f t="shared" si="147"/>
        <v>AY150</v>
      </c>
      <c r="AS360" s="27" t="str">
        <f t="shared" si="148"/>
        <v>62</v>
      </c>
      <c r="AT360" s="27" t="str">
        <f t="shared" si="149"/>
        <v/>
      </c>
      <c r="AU360" s="27" t="str">
        <f t="shared" si="150"/>
        <v/>
      </c>
      <c r="AV360" s="27" t="str">
        <f t="shared" si="151"/>
        <v/>
      </c>
      <c r="AW360" s="27" t="str">
        <f t="shared" si="152"/>
        <v/>
      </c>
      <c r="AX360" s="27" t="str">
        <f t="shared" si="153"/>
        <v/>
      </c>
      <c r="AY360" s="27" t="str">
        <f t="shared" si="154"/>
        <v/>
      </c>
      <c r="AZ360" s="27" t="str">
        <f t="shared" si="155"/>
        <v/>
      </c>
      <c r="BA360" s="27" t="str">
        <f t="shared" si="156"/>
        <v>Hun</v>
      </c>
      <c r="BB360" s="27" t="str">
        <f t="shared" si="157"/>
        <v/>
      </c>
      <c r="BC360" s="27" t="str">
        <f t="shared" si="158"/>
        <v/>
      </c>
      <c r="BD360" s="27" t="str">
        <f t="shared" si="159"/>
        <v/>
      </c>
      <c r="BE360" s="27" t="str">
        <f t="shared" si="160"/>
        <v/>
      </c>
      <c r="BF360" s="27" t="str">
        <f t="shared" si="161"/>
        <v/>
      </c>
      <c r="BG360" s="27" t="str">
        <f t="shared" si="162"/>
        <v/>
      </c>
      <c r="BH360" s="27" t="str">
        <f t="shared" si="163"/>
        <v/>
      </c>
      <c r="BI360" s="27" t="str">
        <f t="shared" si="164"/>
        <v/>
      </c>
      <c r="BJ360" s="27" t="str">
        <f t="shared" si="165"/>
        <v>Supp or Hun</v>
      </c>
      <c r="BK360" s="27" t="str">
        <f t="shared" si="166"/>
        <v/>
      </c>
      <c r="BL360" s="27" t="str">
        <f t="shared" si="167"/>
        <v/>
      </c>
      <c r="BM360" s="21" t="s">
        <v>5581</v>
      </c>
    </row>
    <row r="361" spans="1:65" ht="15">
      <c r="A361" s="25" t="str">
        <f>IFERROR(INDEX('Hun Demand'!W:W,MATCH(O361,'Hun Demand'!A:A,0)),"")</f>
        <v/>
      </c>
      <c r="B361" s="25" t="str">
        <f>IFERROR(INDEX('Hun Demand'!V:V,MATCH(O361,'Hun Demand'!A:A,0)),"")</f>
        <v/>
      </c>
      <c r="C361" s="25" t="str">
        <f>IFERROR(INDEX('Hun Demand'!U:U,MATCH(O361,'Hun Demand'!A:A,0)),"")</f>
        <v/>
      </c>
      <c r="D361" s="25" t="str">
        <f>IFERROR(INDEX('Hun Demand'!T:T,MATCH(O361,'Hun Demand'!A:A,0)),"")</f>
        <v/>
      </c>
      <c r="E361" s="25" t="str">
        <f>IFERROR(INDEX('Hun Demand'!S:S,MATCH(O361,'Hun Demand'!A:A,0)),"")</f>
        <v/>
      </c>
      <c r="F361" s="25" t="str">
        <f>IFERROR(INDEX('Hun Demand'!R:R,MATCH(O361,'Hun Demand'!A:A,0)),"")</f>
        <v/>
      </c>
      <c r="G361" s="25">
        <f>IFERROR(INDEX('Aub Demand'!W:W,MATCH(O361,'Aub Demand'!A:A,0)),"")</f>
        <v>18</v>
      </c>
      <c r="H361" s="25">
        <f>IFERROR(INDEX('Aub Demand'!V:V,MATCH(O361,'Aub Demand'!A:A,0)),"")</f>
        <v>8</v>
      </c>
      <c r="I361" s="25">
        <f>IFERROR(INDEX('Aub Demand'!U:U,MATCH(O361,'Aub Demand'!A:A,0)),"")</f>
        <v>0</v>
      </c>
      <c r="J361" s="25">
        <f>IFERROR(INDEX('Aub Demand'!T:T,MATCH(O361,'Aub Demand'!A:A,0)),"")</f>
        <v>0</v>
      </c>
      <c r="K361" s="25">
        <f>IFERROR(INDEX('Aub Demand'!S:S,MATCH(O361,'Aub Demand'!A:A,0)),"")</f>
        <v>0</v>
      </c>
      <c r="L361" s="25">
        <f>IFERROR(INDEX('Aub Demand'!R:R,MATCH(O361,'Aub Demand'!A:A,0)),"")</f>
        <v>7</v>
      </c>
      <c r="O361" s="27" t="s">
        <v>597</v>
      </c>
      <c r="P361" s="27" t="str">
        <f>IFERROR(INDEX('Aub Demand'!B:B,MATCH($O361,'Aub Demand'!$A:$A,0)),"")</f>
        <v>IN THE TRENCHES</v>
      </c>
      <c r="Q361" s="27" t="str">
        <f>IFERROR(INDEX('Aub Demand'!C:C,MATCH($O361,'Aub Demand'!$A:$A,0)),"")</f>
        <v>AHLST</v>
      </c>
      <c r="R361" s="52">
        <f>IFERROR(IF(AR362=AR361,INDEX('Aub Demand'!K:K,MATCH($O361,'Aub Demand'!$A:$A,0))-IF(AN361="",0,AN361)+AP362,INDEX('Aub Demand'!K:K,MATCH($O361,'Aub Demand'!$A:$A,0))-IF(AN361="",0,AN361)),"")</f>
        <v>955</v>
      </c>
      <c r="S361" s="53" t="str">
        <f t="shared" si="140"/>
        <v>n/a</v>
      </c>
      <c r="T361" s="52" t="str">
        <f t="shared" si="141"/>
        <v/>
      </c>
      <c r="U361" s="52">
        <f>IFERROR(IF(AR362=AR361,INDEX('Aub Demand'!Q:Q,MATCH($O361,'Aub Demand'!$A:$A,0))-IF(AN361="",0,AN361)+AP362,INDEX('Aub Demand'!Q:Q,MATCH($O361,'Aub Demand'!$A:$A,0))-IF(AN361="",0,AN361)),"")</f>
        <v>948</v>
      </c>
      <c r="V361" s="53" t="str">
        <f t="shared" si="142"/>
        <v>n/a</v>
      </c>
      <c r="W361" s="52" t="str">
        <f t="shared" si="143"/>
        <v/>
      </c>
      <c r="X361" s="52">
        <f>IFERROR(IF(AND(AR362=AR361,AM361&lt;&gt;""),INDEX('Aub Demand'!Q:Q,MATCH($O361,'Aub Demand'!$A:$A,0))-IF(AN361="",0,AN361)+AP362+AD361+AL361,IF(AR362=AR361,INDEX('Aub Demand'!Q:Q,MATCH($O361,'Aub Demand'!$A:$A,0))-IF(AN361="",0,AN361)+AP362+AD361,IF(AM361&lt;&gt;"",INDEX('Aub Demand'!Q:Q,MATCH($O361,'Aub Demand'!$A:$A,0))-IF(AN361="",0,AN361)+AD361+AL361,INDEX('Aub Demand'!Q:Q,MATCH($O361,'Aub Demand'!$A:$A,0))-IF(AN361="",0,AN361)+AD361))),"")</f>
        <v>948</v>
      </c>
      <c r="Y361" s="53" t="str">
        <f t="shared" si="144"/>
        <v>n/a</v>
      </c>
      <c r="Z361" s="52">
        <f>IF(L361="","",INDEX('Aub Demand'!H:H,MATCH($O361,'Aub Demand'!$A:$A,0)))</f>
        <v>0</v>
      </c>
      <c r="AA361" s="52" t="str">
        <f t="shared" si="145"/>
        <v>-spike-</v>
      </c>
      <c r="AB361" s="52">
        <f>IFERROR(INDEX('Aub Demand'!L:L,MATCH($O361,'Aub Demand'!$A:$A,0)),"")</f>
        <v>9</v>
      </c>
      <c r="AC361" s="52">
        <f>IFERROR(IF(O361="","",SUMIFS('CPL Mats'!F:F,'CPL Mats'!Q:Q,AR361,'CPL Mats'!S:S,AS361)),"")</f>
        <v>0</v>
      </c>
      <c r="AF361" s="25" t="str">
        <f>IF(SUMIFS('Supp Consol'!S:S,'Supp Consol'!Y:Y,"Releasable",'Supp Consol'!A:A,O361)=0,"",SUMIFS('Supp Consol'!S:S,'Supp Consol'!Y:Y,"Releasable",'Supp Consol'!A:A,O361))</f>
        <v/>
      </c>
      <c r="AG361" s="25" t="str">
        <f>IFERROR(INDEX('Hun Demand'!Q:Q,MATCH(O361,'Hun Demand'!A:A,0)),"")</f>
        <v/>
      </c>
      <c r="AH361" s="25" t="str">
        <f>IFERROR(INDEX('Hun Demand'!H:H,MATCH($O361,'Hun Demand'!$A:$A,0)),"")</f>
        <v/>
      </c>
      <c r="AI361" s="25" t="str">
        <f>IF(SUMIFS('Supp Consol'!AA:AA,'Supp Consol'!Z:Z,"Expires this month",'Supp Consol'!A:A,O361)=0,"",SUMIFS('Supp Consol'!AA:AA,'Supp Consol'!Z:Z,"Expires this month",'Supp Consol'!A:A,O361))</f>
        <v/>
      </c>
      <c r="AJ361" s="25" t="str">
        <f>IF(SUMIFS('Supp Consol'!AA:AA,'Supp Consol'!Z:Z,"Expired Previous Months",'Supp Consol'!A:A,O361)=0,"",SUMIFS('Supp Consol'!AA:AA,'Supp Consol'!Z:Z,"Expired Previous Months",'Supp Consol'!A:A,O361))</f>
        <v/>
      </c>
      <c r="AK361" s="25" t="str">
        <f>IFERROR(INDEX('Hun Release Current'!B:B,MATCH(O361,'Hun Release Current'!A:A,0)),"")</f>
        <v/>
      </c>
      <c r="AL361" s="25" t="str">
        <f>IF(SUMIF('Prev Aub'!A:A,O361,'Prev Aub'!B:B)=0,"",SUMIF('Prev Aub'!A:A,O361,'Prev Aub'!B:B))</f>
        <v/>
      </c>
      <c r="AN361" s="25" t="s">
        <v>3790</v>
      </c>
      <c r="AO361" s="25" t="s">
        <v>3790</v>
      </c>
      <c r="AP361" s="25">
        <f t="shared" si="146"/>
        <v>0</v>
      </c>
      <c r="AQ361" s="151" t="str">
        <f>IF(SUMIFS('Supp Consol'!S:S,'Supp Consol'!A:A,O361,'Supp Consol'!I:I,"PENDING")=0,"",SUMIFS('Supp Consol'!S:S,'Supp Consol'!A:A,O361,'Supp Consol'!I:I,"PENDING"))</f>
        <v/>
      </c>
      <c r="AR361" s="27" t="str">
        <f t="shared" si="147"/>
        <v>AY160</v>
      </c>
      <c r="AS361" s="27" t="str">
        <f t="shared" si="148"/>
        <v>50</v>
      </c>
      <c r="AT361" s="27" t="str">
        <f t="shared" si="149"/>
        <v/>
      </c>
      <c r="AU361" s="27" t="str">
        <f t="shared" si="150"/>
        <v/>
      </c>
      <c r="AV361" s="27" t="str">
        <f t="shared" si="151"/>
        <v/>
      </c>
      <c r="AW361" s="27" t="str">
        <f t="shared" si="152"/>
        <v/>
      </c>
      <c r="AX361" s="27" t="str">
        <f t="shared" si="153"/>
        <v/>
      </c>
      <c r="AY361" s="27" t="str">
        <f t="shared" si="154"/>
        <v/>
      </c>
      <c r="AZ361" s="27" t="str">
        <f t="shared" si="155"/>
        <v/>
      </c>
      <c r="BA361" s="27" t="str">
        <f t="shared" si="156"/>
        <v/>
      </c>
      <c r="BB361" s="27" t="str">
        <f t="shared" si="157"/>
        <v/>
      </c>
      <c r="BC361" s="27" t="str">
        <f t="shared" si="158"/>
        <v/>
      </c>
      <c r="BD361" s="27" t="str">
        <f t="shared" si="159"/>
        <v/>
      </c>
      <c r="BE361" s="27" t="str">
        <f t="shared" si="160"/>
        <v/>
      </c>
      <c r="BF361" s="27" t="str">
        <f t="shared" si="161"/>
        <v/>
      </c>
      <c r="BG361" s="27" t="str">
        <f t="shared" si="162"/>
        <v/>
      </c>
      <c r="BH361" s="27" t="str">
        <f t="shared" si="163"/>
        <v/>
      </c>
      <c r="BI361" s="27" t="str">
        <f t="shared" si="164"/>
        <v/>
      </c>
      <c r="BJ361" s="27" t="str">
        <f t="shared" si="165"/>
        <v/>
      </c>
      <c r="BK361" s="27" t="str">
        <f t="shared" si="166"/>
        <v/>
      </c>
      <c r="BL361" s="27" t="str">
        <f t="shared" si="167"/>
        <v/>
      </c>
      <c r="BM361" s="21" t="s">
        <v>5581</v>
      </c>
    </row>
    <row r="362" spans="1:65" ht="15">
      <c r="A362" s="25" t="str">
        <f>IFERROR(INDEX('Hun Demand'!W:W,MATCH(O362,'Hun Demand'!A:A,0)),"")</f>
        <v/>
      </c>
      <c r="B362" s="25" t="str">
        <f>IFERROR(INDEX('Hun Demand'!V:V,MATCH(O362,'Hun Demand'!A:A,0)),"")</f>
        <v/>
      </c>
      <c r="C362" s="25" t="str">
        <f>IFERROR(INDEX('Hun Demand'!U:U,MATCH(O362,'Hun Demand'!A:A,0)),"")</f>
        <v/>
      </c>
      <c r="D362" s="25" t="str">
        <f>IFERROR(INDEX('Hun Demand'!T:T,MATCH(O362,'Hun Demand'!A:A,0)),"")</f>
        <v/>
      </c>
      <c r="E362" s="25" t="str">
        <f>IFERROR(INDEX('Hun Demand'!S:S,MATCH(O362,'Hun Demand'!A:A,0)),"")</f>
        <v/>
      </c>
      <c r="F362" s="25" t="str">
        <f>IFERROR(INDEX('Hun Demand'!R:R,MATCH(O362,'Hun Demand'!A:A,0)),"")</f>
        <v/>
      </c>
      <c r="G362" s="25">
        <f>IFERROR(INDEX('Aub Demand'!W:W,MATCH(O362,'Aub Demand'!A:A,0)),"")</f>
        <v>0</v>
      </c>
      <c r="H362" s="25">
        <f>IFERROR(INDEX('Aub Demand'!V:V,MATCH(O362,'Aub Demand'!A:A,0)),"")</f>
        <v>0</v>
      </c>
      <c r="I362" s="25">
        <f>IFERROR(INDEX('Aub Demand'!U:U,MATCH(O362,'Aub Demand'!A:A,0)),"")</f>
        <v>0</v>
      </c>
      <c r="J362" s="25">
        <f>IFERROR(INDEX('Aub Demand'!T:T,MATCH(O362,'Aub Demand'!A:A,0)),"")</f>
        <v>0</v>
      </c>
      <c r="K362" s="25">
        <f>IFERROR(INDEX('Aub Demand'!S:S,MATCH(O362,'Aub Demand'!A:A,0)),"")</f>
        <v>0</v>
      </c>
      <c r="L362" s="25">
        <f>IFERROR(INDEX('Aub Demand'!R:R,MATCH(O362,'Aub Demand'!A:A,0)),"")</f>
        <v>0</v>
      </c>
      <c r="O362" s="27" t="s">
        <v>599</v>
      </c>
      <c r="P362" s="27" t="str">
        <f>IFERROR(INDEX('Aub Demand'!B:B,MATCH($O362,'Aub Demand'!$A:$A,0)),"")</f>
        <v>IN THE TRENCHES</v>
      </c>
      <c r="Q362" s="27" t="str">
        <f>IFERROR(INDEX('Aub Demand'!C:C,MATCH($O362,'Aub Demand'!$A:$A,0)),"")</f>
        <v>AHLST</v>
      </c>
      <c r="R362" s="52">
        <f>IFERROR(IF(AR363=AR362,INDEX('Aub Demand'!K:K,MATCH($O362,'Aub Demand'!$A:$A,0))-IF(AN362="",0,AN362)+AP363,INDEX('Aub Demand'!K:K,MATCH($O362,'Aub Demand'!$A:$A,0))-IF(AN362="",0,AN362)),"")</f>
        <v>2916</v>
      </c>
      <c r="S362" s="53" t="str">
        <f t="shared" si="140"/>
        <v>n/a</v>
      </c>
      <c r="T362" s="52" t="str">
        <f t="shared" si="141"/>
        <v/>
      </c>
      <c r="U362" s="52">
        <f>IFERROR(IF(AR363=AR362,INDEX('Aub Demand'!Q:Q,MATCH($O362,'Aub Demand'!$A:$A,0))-IF(AN362="",0,AN362)+AP363,INDEX('Aub Demand'!Q:Q,MATCH($O362,'Aub Demand'!$A:$A,0))-IF(AN362="",0,AN362)),"")</f>
        <v>2916</v>
      </c>
      <c r="V362" s="53" t="str">
        <f t="shared" si="142"/>
        <v>n/a</v>
      </c>
      <c r="W362" s="52" t="str">
        <f t="shared" si="143"/>
        <v/>
      </c>
      <c r="X362" s="52">
        <f>IFERROR(IF(AND(AR363=AR362,AM362&lt;&gt;""),INDEX('Aub Demand'!Q:Q,MATCH($O362,'Aub Demand'!$A:$A,0))-IF(AN362="",0,AN362)+AP363+AD362+AL362,IF(AR363=AR362,INDEX('Aub Demand'!Q:Q,MATCH($O362,'Aub Demand'!$A:$A,0))-IF(AN362="",0,AN362)+AP363+AD362,IF(AM362&lt;&gt;"",INDEX('Aub Demand'!Q:Q,MATCH($O362,'Aub Demand'!$A:$A,0))-IF(AN362="",0,AN362)+AD362+AL362,INDEX('Aub Demand'!Q:Q,MATCH($O362,'Aub Demand'!$A:$A,0))-IF(AN362="",0,AN362)+AD362))),"")</f>
        <v>2916</v>
      </c>
      <c r="Y362" s="53" t="str">
        <f t="shared" si="144"/>
        <v>n/a</v>
      </c>
      <c r="Z362" s="52">
        <f>IF(L362="","",INDEX('Aub Demand'!H:H,MATCH($O362,'Aub Demand'!$A:$A,0)))</f>
        <v>0</v>
      </c>
      <c r="AA362" s="52" t="str">
        <f t="shared" si="145"/>
        <v>-spike-</v>
      </c>
      <c r="AB362" s="52">
        <f>IFERROR(INDEX('Aub Demand'!L:L,MATCH($O362,'Aub Demand'!$A:$A,0)),"")</f>
        <v>0</v>
      </c>
      <c r="AC362" s="52">
        <f>IFERROR(IF(O362="","",SUMIFS('CPL Mats'!F:F,'CPL Mats'!Q:Q,AR362,'CPL Mats'!S:S,AS362)),"")</f>
        <v>0</v>
      </c>
      <c r="AF362" s="25" t="str">
        <f>IF(SUMIFS('Supp Consol'!S:S,'Supp Consol'!Y:Y,"Releasable",'Supp Consol'!A:A,O362)=0,"",SUMIFS('Supp Consol'!S:S,'Supp Consol'!Y:Y,"Releasable",'Supp Consol'!A:A,O362))</f>
        <v/>
      </c>
      <c r="AG362" s="25" t="str">
        <f>IFERROR(INDEX('Hun Demand'!Q:Q,MATCH(O362,'Hun Demand'!A:A,0)),"")</f>
        <v/>
      </c>
      <c r="AH362" s="25" t="str">
        <f>IFERROR(INDEX('Hun Demand'!H:H,MATCH($O362,'Hun Demand'!$A:$A,0)),"")</f>
        <v/>
      </c>
      <c r="AI362" s="25" t="str">
        <f>IF(SUMIFS('Supp Consol'!AA:AA,'Supp Consol'!Z:Z,"Expires this month",'Supp Consol'!A:A,O362)=0,"",SUMIFS('Supp Consol'!AA:AA,'Supp Consol'!Z:Z,"Expires this month",'Supp Consol'!A:A,O362))</f>
        <v/>
      </c>
      <c r="AJ362" s="25" t="str">
        <f>IF(SUMIFS('Supp Consol'!AA:AA,'Supp Consol'!Z:Z,"Expired Previous Months",'Supp Consol'!A:A,O362)=0,"",SUMIFS('Supp Consol'!AA:AA,'Supp Consol'!Z:Z,"Expired Previous Months",'Supp Consol'!A:A,O362))</f>
        <v/>
      </c>
      <c r="AK362" s="25" t="str">
        <f>IFERROR(INDEX('Hun Release Current'!B:B,MATCH(O362,'Hun Release Current'!A:A,0)),"")</f>
        <v/>
      </c>
      <c r="AL362" s="25" t="str">
        <f>IF(SUMIF('Prev Aub'!A:A,O362,'Prev Aub'!B:B)=0,"",SUMIF('Prev Aub'!A:A,O362,'Prev Aub'!B:B))</f>
        <v/>
      </c>
      <c r="AN362" s="25" t="s">
        <v>3790</v>
      </c>
      <c r="AO362" s="25" t="s">
        <v>3790</v>
      </c>
      <c r="AP362" s="25">
        <f t="shared" si="146"/>
        <v>0</v>
      </c>
      <c r="AQ362" s="151" t="str">
        <f>IF(SUMIFS('Supp Consol'!S:S,'Supp Consol'!A:A,O362,'Supp Consol'!I:I,"PENDING")=0,"",SUMIFS('Supp Consol'!S:S,'Supp Consol'!A:A,O362,'Supp Consol'!I:I,"PENDING"))</f>
        <v/>
      </c>
      <c r="AR362" s="27" t="str">
        <f t="shared" si="147"/>
        <v>AY160</v>
      </c>
      <c r="AS362" s="27" t="str">
        <f t="shared" si="148"/>
        <v>62</v>
      </c>
      <c r="AT362" s="27" t="str">
        <f t="shared" si="149"/>
        <v/>
      </c>
      <c r="AU362" s="27" t="str">
        <f t="shared" si="150"/>
        <v/>
      </c>
      <c r="AV362" s="27" t="str">
        <f t="shared" si="151"/>
        <v/>
      </c>
      <c r="AW362" s="27" t="str">
        <f t="shared" si="152"/>
        <v/>
      </c>
      <c r="AX362" s="27" t="str">
        <f t="shared" si="153"/>
        <v/>
      </c>
      <c r="AY362" s="27" t="str">
        <f t="shared" si="154"/>
        <v/>
      </c>
      <c r="AZ362" s="27" t="str">
        <f t="shared" si="155"/>
        <v/>
      </c>
      <c r="BA362" s="27" t="str">
        <f t="shared" si="156"/>
        <v/>
      </c>
      <c r="BB362" s="27" t="str">
        <f t="shared" si="157"/>
        <v/>
      </c>
      <c r="BC362" s="27" t="str">
        <f t="shared" si="158"/>
        <v/>
      </c>
      <c r="BD362" s="27" t="str">
        <f t="shared" si="159"/>
        <v/>
      </c>
      <c r="BE362" s="27" t="str">
        <f t="shared" si="160"/>
        <v/>
      </c>
      <c r="BF362" s="27" t="str">
        <f t="shared" si="161"/>
        <v/>
      </c>
      <c r="BG362" s="27" t="str">
        <f t="shared" si="162"/>
        <v/>
      </c>
      <c r="BH362" s="27" t="str">
        <f t="shared" si="163"/>
        <v/>
      </c>
      <c r="BI362" s="27" t="str">
        <f t="shared" si="164"/>
        <v/>
      </c>
      <c r="BJ362" s="27" t="str">
        <f t="shared" si="165"/>
        <v/>
      </c>
      <c r="BK362" s="27" t="str">
        <f t="shared" si="166"/>
        <v/>
      </c>
      <c r="BL362" s="27" t="str">
        <f t="shared" si="167"/>
        <v/>
      </c>
      <c r="BM362" s="21" t="s">
        <v>5581</v>
      </c>
    </row>
    <row r="363" spans="1:65" ht="15">
      <c r="A363" s="25" t="str">
        <f>IFERROR(INDEX('Hun Demand'!W:W,MATCH(O363,'Hun Demand'!A:A,0)),"")</f>
        <v/>
      </c>
      <c r="B363" s="25" t="str">
        <f>IFERROR(INDEX('Hun Demand'!V:V,MATCH(O363,'Hun Demand'!A:A,0)),"")</f>
        <v/>
      </c>
      <c r="C363" s="25" t="str">
        <f>IFERROR(INDEX('Hun Demand'!U:U,MATCH(O363,'Hun Demand'!A:A,0)),"")</f>
        <v/>
      </c>
      <c r="D363" s="25" t="str">
        <f>IFERROR(INDEX('Hun Demand'!T:T,MATCH(O363,'Hun Demand'!A:A,0)),"")</f>
        <v/>
      </c>
      <c r="E363" s="25" t="str">
        <f>IFERROR(INDEX('Hun Demand'!S:S,MATCH(O363,'Hun Demand'!A:A,0)),"")</f>
        <v/>
      </c>
      <c r="F363" s="25" t="str">
        <f>IFERROR(INDEX('Hun Demand'!R:R,MATCH(O363,'Hun Demand'!A:A,0)),"")</f>
        <v/>
      </c>
      <c r="G363" s="25">
        <f>IFERROR(INDEX('Aub Demand'!W:W,MATCH(O363,'Aub Demand'!A:A,0)),"")</f>
        <v>0</v>
      </c>
      <c r="H363" s="25">
        <f>IFERROR(INDEX('Aub Demand'!V:V,MATCH(O363,'Aub Demand'!A:A,0)),"")</f>
        <v>0</v>
      </c>
      <c r="I363" s="25">
        <f>IFERROR(INDEX('Aub Demand'!U:U,MATCH(O363,'Aub Demand'!A:A,0)),"")</f>
        <v>0</v>
      </c>
      <c r="J363" s="25">
        <f>IFERROR(INDEX('Aub Demand'!T:T,MATCH(O363,'Aub Demand'!A:A,0)),"")</f>
        <v>0</v>
      </c>
      <c r="K363" s="25">
        <f>IFERROR(INDEX('Aub Demand'!S:S,MATCH(O363,'Aub Demand'!A:A,0)),"")</f>
        <v>0</v>
      </c>
      <c r="L363" s="25">
        <f>IFERROR(INDEX('Aub Demand'!R:R,MATCH(O363,'Aub Demand'!A:A,0)),"")</f>
        <v>0</v>
      </c>
      <c r="O363" s="27" t="s">
        <v>5555</v>
      </c>
      <c r="P363" s="27" t="str">
        <f>IFERROR(INDEX('Aub Demand'!B:B,MATCH($O363,'Aub Demand'!$A:$A,0)),"")</f>
        <v>130# ESD CONDUCTIVE</v>
      </c>
      <c r="Q363" s="27" t="str">
        <f>IFERROR(INDEX('Aub Demand'!C:C,MATCH($O363,'Aub Demand'!$A:$A,0)),"")</f>
        <v>ONYX</v>
      </c>
      <c r="R363" s="52">
        <f>IFERROR(IF(AR364=AR363,INDEX('Aub Demand'!K:K,MATCH($O363,'Aub Demand'!$A:$A,0))-IF(AN363="",0,AN363)+AP364,INDEX('Aub Demand'!K:K,MATCH($O363,'Aub Demand'!$A:$A,0))-IF(AN363="",0,AN363)),"")</f>
        <v>0</v>
      </c>
      <c r="S363" s="53" t="str">
        <f t="shared" si="140"/>
        <v>n/a</v>
      </c>
      <c r="T363" s="52" t="str">
        <f t="shared" si="141"/>
        <v/>
      </c>
      <c r="U363" s="52">
        <f>IFERROR(IF(AR364=AR363,INDEX('Aub Demand'!Q:Q,MATCH($O363,'Aub Demand'!$A:$A,0))-IF(AN363="",0,AN363)+AP364,INDEX('Aub Demand'!Q:Q,MATCH($O363,'Aub Demand'!$A:$A,0))-IF(AN363="",0,AN363)),"")</f>
        <v>-2</v>
      </c>
      <c r="V363" s="53" t="str">
        <f t="shared" si="142"/>
        <v>n/a</v>
      </c>
      <c r="W363" s="52" t="str">
        <f t="shared" si="143"/>
        <v/>
      </c>
      <c r="X363" s="52">
        <f>IFERROR(IF(AND(AR364=AR363,AM363&lt;&gt;""),INDEX('Aub Demand'!Q:Q,MATCH($O363,'Aub Demand'!$A:$A,0))-IF(AN363="",0,AN363)+AP364+AD363+AL363,IF(AR364=AR363,INDEX('Aub Demand'!Q:Q,MATCH($O363,'Aub Demand'!$A:$A,0))-IF(AN363="",0,AN363)+AP364+AD363,IF(AM363&lt;&gt;"",INDEX('Aub Demand'!Q:Q,MATCH($O363,'Aub Demand'!$A:$A,0))-IF(AN363="",0,AN363)+AD363+AL363,INDEX('Aub Demand'!Q:Q,MATCH($O363,'Aub Demand'!$A:$A,0))-IF(AN363="",0,AN363)+AD363))),"")</f>
        <v>-2</v>
      </c>
      <c r="Y363" s="53" t="str">
        <f t="shared" si="144"/>
        <v>n/a</v>
      </c>
      <c r="Z363" s="52">
        <f>IF(L363="","",INDEX('Aub Demand'!H:H,MATCH($O363,'Aub Demand'!$A:$A,0)))</f>
        <v>0</v>
      </c>
      <c r="AA363" s="52" t="str">
        <f t="shared" si="145"/>
        <v>-spike-</v>
      </c>
      <c r="AB363" s="52">
        <f>IFERROR(INDEX('Aub Demand'!L:L,MATCH($O363,'Aub Demand'!$A:$A,0)),"")</f>
        <v>0</v>
      </c>
      <c r="AC363" s="52">
        <f>IFERROR(IF(O363="","",SUMIFS('CPL Mats'!F:F,'CPL Mats'!Q:Q,AR363,'CPL Mats'!S:S,AS363)),"")</f>
        <v>0</v>
      </c>
      <c r="AF363" s="25" t="str">
        <f>IF(SUMIFS('Supp Consol'!S:S,'Supp Consol'!Y:Y,"Releasable",'Supp Consol'!A:A,O363)=0,"",SUMIFS('Supp Consol'!S:S,'Supp Consol'!Y:Y,"Releasable",'Supp Consol'!A:A,O363))</f>
        <v/>
      </c>
      <c r="AG363" s="25" t="str">
        <f>IFERROR(INDEX('Hun Demand'!Q:Q,MATCH(O363,'Hun Demand'!A:A,0)),"")</f>
        <v/>
      </c>
      <c r="AH363" s="25" t="str">
        <f>IFERROR(INDEX('Hun Demand'!H:H,MATCH($O363,'Hun Demand'!$A:$A,0)),"")</f>
        <v/>
      </c>
      <c r="AI363" s="25" t="str">
        <f>IF(SUMIFS('Supp Consol'!AA:AA,'Supp Consol'!Z:Z,"Expires this month",'Supp Consol'!A:A,O363)=0,"",SUMIFS('Supp Consol'!AA:AA,'Supp Consol'!Z:Z,"Expires this month",'Supp Consol'!A:A,O363))</f>
        <v/>
      </c>
      <c r="AJ363" s="25" t="str">
        <f>IF(SUMIFS('Supp Consol'!AA:AA,'Supp Consol'!Z:Z,"Expired Previous Months",'Supp Consol'!A:A,O363)=0,"",SUMIFS('Supp Consol'!AA:AA,'Supp Consol'!Z:Z,"Expired Previous Months",'Supp Consol'!A:A,O363))</f>
        <v/>
      </c>
      <c r="AK363" s="25" t="str">
        <f>IFERROR(INDEX('Hun Release Current'!B:B,MATCH(O363,'Hun Release Current'!A:A,0)),"")</f>
        <v/>
      </c>
      <c r="AL363" s="25" t="str">
        <f>IF(SUMIF('Prev Aub'!A:A,O363,'Prev Aub'!B:B)=0,"",SUMIF('Prev Aub'!A:A,O363,'Prev Aub'!B:B))</f>
        <v/>
      </c>
      <c r="AN363" s="25" t="s">
        <v>3790</v>
      </c>
      <c r="AO363" s="25" t="s">
        <v>3790</v>
      </c>
      <c r="AP363" s="25">
        <f t="shared" si="146"/>
        <v>0</v>
      </c>
      <c r="AQ363" s="151" t="str">
        <f>IF(SUMIFS('Supp Consol'!S:S,'Supp Consol'!A:A,O363,'Supp Consol'!I:I,"PENDING")=0,"",SUMIFS('Supp Consol'!S:S,'Supp Consol'!A:A,O363,'Supp Consol'!I:I,"PENDING"))</f>
        <v/>
      </c>
      <c r="AR363" s="27" t="str">
        <f t="shared" si="147"/>
        <v>CC130</v>
      </c>
      <c r="AS363" s="27" t="str">
        <f t="shared" si="148"/>
        <v>38</v>
      </c>
      <c r="AT363" s="27" t="str">
        <f t="shared" si="149"/>
        <v/>
      </c>
      <c r="AU363" s="27" t="str">
        <f t="shared" si="150"/>
        <v/>
      </c>
      <c r="AV363" s="27" t="str">
        <f t="shared" si="151"/>
        <v/>
      </c>
      <c r="AW363" s="27" t="str">
        <f t="shared" si="152"/>
        <v/>
      </c>
      <c r="AX363" s="27" t="str">
        <f t="shared" si="153"/>
        <v/>
      </c>
      <c r="AY363" s="27" t="str">
        <f t="shared" si="154"/>
        <v/>
      </c>
      <c r="AZ363" s="27" t="str">
        <f t="shared" si="155"/>
        <v/>
      </c>
      <c r="BA363" s="27" t="str">
        <f t="shared" si="156"/>
        <v/>
      </c>
      <c r="BB363" s="27" t="str">
        <f t="shared" si="157"/>
        <v/>
      </c>
      <c r="BC363" s="27" t="str">
        <f t="shared" si="158"/>
        <v/>
      </c>
      <c r="BD363" s="27" t="str">
        <f t="shared" si="159"/>
        <v/>
      </c>
      <c r="BE363" s="27" t="str">
        <f t="shared" si="160"/>
        <v/>
      </c>
      <c r="BF363" s="27" t="str">
        <f t="shared" si="161"/>
        <v/>
      </c>
      <c r="BG363" s="27" t="str">
        <f t="shared" si="162"/>
        <v/>
      </c>
      <c r="BH363" s="27" t="str">
        <f t="shared" si="163"/>
        <v/>
      </c>
      <c r="BI363" s="27" t="str">
        <f t="shared" si="164"/>
        <v/>
      </c>
      <c r="BJ363" s="27" t="str">
        <f t="shared" si="165"/>
        <v/>
      </c>
      <c r="BK363" s="27" t="str">
        <f t="shared" si="166"/>
        <v/>
      </c>
      <c r="BL363" s="27" t="str">
        <f t="shared" si="167"/>
        <v/>
      </c>
      <c r="BM363" s="21" t="s">
        <v>5581</v>
      </c>
    </row>
    <row r="364" spans="1:65" ht="15">
      <c r="A364" s="25" t="str">
        <f>IFERROR(INDEX('Hun Demand'!W:W,MATCH(O364,'Hun Demand'!A:A,0)),"")</f>
        <v/>
      </c>
      <c r="B364" s="25" t="str">
        <f>IFERROR(INDEX('Hun Demand'!V:V,MATCH(O364,'Hun Demand'!A:A,0)),"")</f>
        <v/>
      </c>
      <c r="C364" s="25" t="str">
        <f>IFERROR(INDEX('Hun Demand'!U:U,MATCH(O364,'Hun Demand'!A:A,0)),"")</f>
        <v/>
      </c>
      <c r="D364" s="25" t="str">
        <f>IFERROR(INDEX('Hun Demand'!T:T,MATCH(O364,'Hun Demand'!A:A,0)),"")</f>
        <v/>
      </c>
      <c r="E364" s="25" t="str">
        <f>IFERROR(INDEX('Hun Demand'!S:S,MATCH(O364,'Hun Demand'!A:A,0)),"")</f>
        <v/>
      </c>
      <c r="F364" s="25" t="str">
        <f>IFERROR(INDEX('Hun Demand'!R:R,MATCH(O364,'Hun Demand'!A:A,0)),"")</f>
        <v/>
      </c>
      <c r="G364" s="25">
        <f>IFERROR(INDEX('Aub Demand'!W:W,MATCH(O364,'Aub Demand'!A:A,0)),"")</f>
        <v>1011</v>
      </c>
      <c r="H364" s="25">
        <f>IFERROR(INDEX('Aub Demand'!V:V,MATCH(O364,'Aub Demand'!A:A,0)),"")</f>
        <v>2971</v>
      </c>
      <c r="I364" s="25">
        <f>IFERROR(INDEX('Aub Demand'!U:U,MATCH(O364,'Aub Demand'!A:A,0)),"")</f>
        <v>972</v>
      </c>
      <c r="J364" s="25">
        <f>IFERROR(INDEX('Aub Demand'!T:T,MATCH(O364,'Aub Demand'!A:A,0)),"")</f>
        <v>3998</v>
      </c>
      <c r="K364" s="25">
        <f>IFERROR(INDEX('Aub Demand'!S:S,MATCH(O364,'Aub Demand'!A:A,0)),"")</f>
        <v>1001</v>
      </c>
      <c r="L364" s="25">
        <f>IFERROR(INDEX('Aub Demand'!R:R,MATCH(O364,'Aub Demand'!A:A,0)),"")</f>
        <v>0</v>
      </c>
      <c r="O364" s="27" t="s">
        <v>601</v>
      </c>
      <c r="P364" s="27" t="str">
        <f>IFERROR(INDEX('Aub Demand'!B:B,MATCH($O364,'Aub Demand'!$A:$A,0)),"")</f>
        <v>130# ESD CONDUCTIVE</v>
      </c>
      <c r="Q364" s="27" t="str">
        <f>IFERROR(INDEX('Aub Demand'!C:C,MATCH($O364,'Aub Demand'!$A:$A,0)),"")</f>
        <v>ONYX</v>
      </c>
      <c r="R364" s="52">
        <f>IFERROR(IF(AR365=AR364,INDEX('Aub Demand'!K:K,MATCH($O364,'Aub Demand'!$A:$A,0))-IF(AN364="",0,AN364)+AP365,INDEX('Aub Demand'!K:K,MATCH($O364,'Aub Demand'!$A:$A,0))-IF(AN364="",0,AN364)),"")</f>
        <v>2256</v>
      </c>
      <c r="S364" s="53">
        <f t="shared" si="140"/>
        <v>4.9000000000000004</v>
      </c>
      <c r="T364" s="52" t="str">
        <f t="shared" si="141"/>
        <v/>
      </c>
      <c r="U364" s="52">
        <f>IFERROR(IF(AR365=AR364,INDEX('Aub Demand'!Q:Q,MATCH($O364,'Aub Demand'!$A:$A,0))-IF(AN364="",0,AN364)+AP365,INDEX('Aub Demand'!Q:Q,MATCH($O364,'Aub Demand'!$A:$A,0))-IF(AN364="",0,AN364)),"")</f>
        <v>1529</v>
      </c>
      <c r="V364" s="53">
        <f t="shared" si="142"/>
        <v>3.3</v>
      </c>
      <c r="W364" s="52" t="str">
        <f t="shared" si="143"/>
        <v/>
      </c>
      <c r="X364" s="52">
        <f>IFERROR(IF(AND(AR365=AR364,AM364&lt;&gt;""),INDEX('Aub Demand'!Q:Q,MATCH($O364,'Aub Demand'!$A:$A,0))-IF(AN364="",0,AN364)+AP365+AD364+AL364,IF(AR365=AR364,INDEX('Aub Demand'!Q:Q,MATCH($O364,'Aub Demand'!$A:$A,0))-IF(AN364="",0,AN364)+AP365+AD364,IF(AM364&lt;&gt;"",INDEX('Aub Demand'!Q:Q,MATCH($O364,'Aub Demand'!$A:$A,0))-IF(AN364="",0,AN364)+AD364+AL364,INDEX('Aub Demand'!Q:Q,MATCH($O364,'Aub Demand'!$A:$A,0))-IF(AN364="",0,AN364)+AD364))),"")</f>
        <v>1529</v>
      </c>
      <c r="Y364" s="53">
        <f t="shared" si="144"/>
        <v>3.3</v>
      </c>
      <c r="Z364" s="52">
        <f>IF(L364="","",INDEX('Aub Demand'!H:H,MATCH($O364,'Aub Demand'!$A:$A,0)))</f>
        <v>1990</v>
      </c>
      <c r="AA364" s="52">
        <f t="shared" si="145"/>
        <v>2499.5</v>
      </c>
      <c r="AB364" s="52">
        <f>IFERROR(INDEX('Aub Demand'!L:L,MATCH($O364,'Aub Demand'!$A:$A,0)),"")</f>
        <v>2802</v>
      </c>
      <c r="AC364" s="52">
        <f>IFERROR(IF(O364="","",SUMIFS('CPL Mats'!F:F,'CPL Mats'!Q:Q,AR364,'CPL Mats'!S:S,AS364)),"")</f>
        <v>0</v>
      </c>
      <c r="AF364" s="25" t="str">
        <f>IF(SUMIFS('Supp Consol'!S:S,'Supp Consol'!Y:Y,"Releasable",'Supp Consol'!A:A,O364)=0,"",SUMIFS('Supp Consol'!S:S,'Supp Consol'!Y:Y,"Releasable",'Supp Consol'!A:A,O364))</f>
        <v/>
      </c>
      <c r="AG364" s="25" t="str">
        <f>IFERROR(INDEX('Hun Demand'!Q:Q,MATCH(O364,'Hun Demand'!A:A,0)),"")</f>
        <v/>
      </c>
      <c r="AH364" s="25" t="str">
        <f>IFERROR(INDEX('Hun Demand'!H:H,MATCH($O364,'Hun Demand'!$A:$A,0)),"")</f>
        <v/>
      </c>
      <c r="AI364" s="25" t="str">
        <f>IF(SUMIFS('Supp Consol'!AA:AA,'Supp Consol'!Z:Z,"Expires this month",'Supp Consol'!A:A,O364)=0,"",SUMIFS('Supp Consol'!AA:AA,'Supp Consol'!Z:Z,"Expires this month",'Supp Consol'!A:A,O364))</f>
        <v/>
      </c>
      <c r="AJ364" s="25" t="str">
        <f>IF(SUMIFS('Supp Consol'!AA:AA,'Supp Consol'!Z:Z,"Expired Previous Months",'Supp Consol'!A:A,O364)=0,"",SUMIFS('Supp Consol'!AA:AA,'Supp Consol'!Z:Z,"Expired Previous Months",'Supp Consol'!A:A,O364))</f>
        <v/>
      </c>
      <c r="AK364" s="25" t="str">
        <f>IFERROR(INDEX('Hun Release Current'!B:B,MATCH(O364,'Hun Release Current'!A:A,0)),"")</f>
        <v/>
      </c>
      <c r="AL364" s="25" t="str">
        <f>IF(SUMIF('Prev Aub'!A:A,O364,'Prev Aub'!B:B)=0,"",SUMIF('Prev Aub'!A:A,O364,'Prev Aub'!B:B))</f>
        <v/>
      </c>
      <c r="AN364" s="25" t="s">
        <v>3790</v>
      </c>
      <c r="AO364" s="25" t="s">
        <v>3790</v>
      </c>
      <c r="AP364" s="25">
        <f t="shared" si="146"/>
        <v>0</v>
      </c>
      <c r="AQ364" s="151" t="str">
        <f>IF(SUMIFS('Supp Consol'!S:S,'Supp Consol'!A:A,O364,'Supp Consol'!I:I,"PENDING")=0,"",SUMIFS('Supp Consol'!S:S,'Supp Consol'!A:A,O364,'Supp Consol'!I:I,"PENDING"))</f>
        <v/>
      </c>
      <c r="AR364" s="27" t="str">
        <f t="shared" si="147"/>
        <v>CC130</v>
      </c>
      <c r="AS364" s="27" t="str">
        <f t="shared" si="148"/>
        <v>50</v>
      </c>
      <c r="AT364" s="27" t="str">
        <f t="shared" si="149"/>
        <v/>
      </c>
      <c r="AU364" s="27" t="str">
        <f t="shared" si="150"/>
        <v/>
      </c>
      <c r="AV364" s="27" t="str">
        <f t="shared" si="151"/>
        <v/>
      </c>
      <c r="AW364" s="27" t="str">
        <f t="shared" si="152"/>
        <v/>
      </c>
      <c r="AX364" s="27" t="str">
        <f t="shared" si="153"/>
        <v/>
      </c>
      <c r="AY364" s="27" t="str">
        <f t="shared" si="154"/>
        <v/>
      </c>
      <c r="AZ364" s="27" t="str">
        <f t="shared" si="155"/>
        <v/>
      </c>
      <c r="BA364" s="27" t="str">
        <f t="shared" si="156"/>
        <v/>
      </c>
      <c r="BB364" s="27" t="str">
        <f t="shared" si="157"/>
        <v/>
      </c>
      <c r="BC364" s="27" t="str">
        <f t="shared" si="158"/>
        <v/>
      </c>
      <c r="BD364" s="27" t="str">
        <f t="shared" si="159"/>
        <v/>
      </c>
      <c r="BE364" s="27" t="str">
        <f t="shared" si="160"/>
        <v/>
      </c>
      <c r="BF364" s="27" t="str">
        <f t="shared" si="161"/>
        <v/>
      </c>
      <c r="BG364" s="27" t="str">
        <f t="shared" si="162"/>
        <v/>
      </c>
      <c r="BH364" s="27" t="str">
        <f t="shared" si="163"/>
        <v/>
      </c>
      <c r="BI364" s="27" t="str">
        <f t="shared" si="164"/>
        <v/>
      </c>
      <c r="BJ364" s="27" t="str">
        <f t="shared" si="165"/>
        <v/>
      </c>
      <c r="BK364" s="27" t="str">
        <f t="shared" si="166"/>
        <v/>
      </c>
      <c r="BL364" s="27" t="str">
        <f t="shared" si="167"/>
        <v/>
      </c>
      <c r="BM364" s="21" t="s">
        <v>5581</v>
      </c>
    </row>
    <row r="365" spans="1:65" ht="15">
      <c r="A365" s="25" t="str">
        <f>IFERROR(INDEX('Hun Demand'!W:W,MATCH(O365,'Hun Demand'!A:A,0)),"")</f>
        <v/>
      </c>
      <c r="B365" s="25" t="str">
        <f>IFERROR(INDEX('Hun Demand'!V:V,MATCH(O365,'Hun Demand'!A:A,0)),"")</f>
        <v/>
      </c>
      <c r="C365" s="25" t="str">
        <f>IFERROR(INDEX('Hun Demand'!U:U,MATCH(O365,'Hun Demand'!A:A,0)),"")</f>
        <v/>
      </c>
      <c r="D365" s="25" t="str">
        <f>IFERROR(INDEX('Hun Demand'!T:T,MATCH(O365,'Hun Demand'!A:A,0)),"")</f>
        <v/>
      </c>
      <c r="E365" s="25" t="str">
        <f>IFERROR(INDEX('Hun Demand'!S:S,MATCH(O365,'Hun Demand'!A:A,0)),"")</f>
        <v/>
      </c>
      <c r="F365" s="25" t="str">
        <f>IFERROR(INDEX('Hun Demand'!R:R,MATCH(O365,'Hun Demand'!A:A,0)),"")</f>
        <v/>
      </c>
      <c r="G365" s="25">
        <f>IFERROR(INDEX('Aub Demand'!W:W,MATCH(O365,'Aub Demand'!A:A,0)),"")</f>
        <v>1343</v>
      </c>
      <c r="H365" s="25">
        <f>IFERROR(INDEX('Aub Demand'!V:V,MATCH(O365,'Aub Demand'!A:A,0)),"")</f>
        <v>2655</v>
      </c>
      <c r="I365" s="25">
        <f>IFERROR(INDEX('Aub Demand'!U:U,MATCH(O365,'Aub Demand'!A:A,0)),"")</f>
        <v>2806</v>
      </c>
      <c r="J365" s="25">
        <f>IFERROR(INDEX('Aub Demand'!T:T,MATCH(O365,'Aub Demand'!A:A,0)),"")</f>
        <v>3011</v>
      </c>
      <c r="K365" s="25">
        <f>IFERROR(INDEX('Aub Demand'!S:S,MATCH(O365,'Aub Demand'!A:A,0)),"")</f>
        <v>591</v>
      </c>
      <c r="L365" s="25">
        <f>IFERROR(INDEX('Aub Demand'!R:R,MATCH(O365,'Aub Demand'!A:A,0)),"")</f>
        <v>0</v>
      </c>
      <c r="O365" s="27" t="s">
        <v>602</v>
      </c>
      <c r="P365" s="27" t="str">
        <f>IFERROR(INDEX('Aub Demand'!B:B,MATCH($O365,'Aub Demand'!$A:$A,0)),"")</f>
        <v>130# ESD CONDUCTIVE</v>
      </c>
      <c r="Q365" s="27" t="str">
        <f>IFERROR(INDEX('Aub Demand'!C:C,MATCH($O365,'Aub Demand'!$A:$A,0)),"")</f>
        <v>ONYX</v>
      </c>
      <c r="R365" s="52">
        <f>IFERROR(IF(AR366=AR365,INDEX('Aub Demand'!K:K,MATCH($O365,'Aub Demand'!$A:$A,0))-IF(AN365="",0,AN365)+AP366,INDEX('Aub Demand'!K:K,MATCH($O365,'Aub Demand'!$A:$A,0))-IF(AN365="",0,AN365)),"")</f>
        <v>3784</v>
      </c>
      <c r="S365" s="53">
        <f t="shared" si="140"/>
        <v>7.6</v>
      </c>
      <c r="T365" s="52" t="str">
        <f t="shared" si="141"/>
        <v/>
      </c>
      <c r="U365" s="52">
        <f>IFERROR(IF(AR366=AR365,INDEX('Aub Demand'!Q:Q,MATCH($O365,'Aub Demand'!$A:$A,0))-IF(AN365="",0,AN365)+AP366,INDEX('Aub Demand'!Q:Q,MATCH($O365,'Aub Demand'!$A:$A,0))-IF(AN365="",0,AN365)),"")</f>
        <v>3586</v>
      </c>
      <c r="V365" s="53">
        <f t="shared" si="142"/>
        <v>7.2</v>
      </c>
      <c r="W365" s="52" t="str">
        <f t="shared" si="143"/>
        <v/>
      </c>
      <c r="X365" s="52">
        <f>IFERROR(IF(AND(AR366=AR365,AM365&lt;&gt;""),INDEX('Aub Demand'!Q:Q,MATCH($O365,'Aub Demand'!$A:$A,0))-IF(AN365="",0,AN365)+AP366+AD365+AL365,IF(AR366=AR365,INDEX('Aub Demand'!Q:Q,MATCH($O365,'Aub Demand'!$A:$A,0))-IF(AN365="",0,AN365)+AP366+AD365,IF(AM365&lt;&gt;"",INDEX('Aub Demand'!Q:Q,MATCH($O365,'Aub Demand'!$A:$A,0))-IF(AN365="",0,AN365)+AD365+AL365,INDEX('Aub Demand'!Q:Q,MATCH($O365,'Aub Demand'!$A:$A,0))-IF(AN365="",0,AN365)+AD365))),"")</f>
        <v>3586</v>
      </c>
      <c r="Y365" s="53">
        <f t="shared" si="144"/>
        <v>7.2</v>
      </c>
      <c r="Z365" s="52">
        <f>IF(L365="","",INDEX('Aub Demand'!H:H,MATCH($O365,'Aub Demand'!$A:$A,0)))</f>
        <v>2136</v>
      </c>
      <c r="AA365" s="52">
        <f t="shared" si="145"/>
        <v>2908.5</v>
      </c>
      <c r="AB365" s="52">
        <f>IFERROR(INDEX('Aub Demand'!L:L,MATCH($O365,'Aub Demand'!$A:$A,0)),"")</f>
        <v>2996</v>
      </c>
      <c r="AC365" s="52">
        <f>IFERROR(IF(O365="","",SUMIFS('CPL Mats'!F:F,'CPL Mats'!Q:Q,AR365,'CPL Mats'!S:S,AS365)),"")</f>
        <v>0</v>
      </c>
      <c r="AF365" s="25" t="str">
        <f>IF(SUMIFS('Supp Consol'!S:S,'Supp Consol'!Y:Y,"Releasable",'Supp Consol'!A:A,O365)=0,"",SUMIFS('Supp Consol'!S:S,'Supp Consol'!Y:Y,"Releasable",'Supp Consol'!A:A,O365))</f>
        <v/>
      </c>
      <c r="AG365" s="25" t="str">
        <f>IFERROR(INDEX('Hun Demand'!Q:Q,MATCH(O365,'Hun Demand'!A:A,0)),"")</f>
        <v/>
      </c>
      <c r="AH365" s="25" t="str">
        <f>IFERROR(INDEX('Hun Demand'!H:H,MATCH($O365,'Hun Demand'!$A:$A,0)),"")</f>
        <v/>
      </c>
      <c r="AI365" s="25" t="str">
        <f>IF(SUMIFS('Supp Consol'!AA:AA,'Supp Consol'!Z:Z,"Expires this month",'Supp Consol'!A:A,O365)=0,"",SUMIFS('Supp Consol'!AA:AA,'Supp Consol'!Z:Z,"Expires this month",'Supp Consol'!A:A,O365))</f>
        <v/>
      </c>
      <c r="AJ365" s="25" t="str">
        <f>IF(SUMIFS('Supp Consol'!AA:AA,'Supp Consol'!Z:Z,"Expired Previous Months",'Supp Consol'!A:A,O365)=0,"",SUMIFS('Supp Consol'!AA:AA,'Supp Consol'!Z:Z,"Expired Previous Months",'Supp Consol'!A:A,O365))</f>
        <v/>
      </c>
      <c r="AK365" s="25" t="str">
        <f>IFERROR(INDEX('Hun Release Current'!B:B,MATCH(O365,'Hun Release Current'!A:A,0)),"")</f>
        <v/>
      </c>
      <c r="AL365" s="25" t="str">
        <f>IF(SUMIF('Prev Aub'!A:A,O365,'Prev Aub'!B:B)=0,"",SUMIF('Prev Aub'!A:A,O365,'Prev Aub'!B:B))</f>
        <v/>
      </c>
      <c r="AN365" s="25" t="s">
        <v>3790</v>
      </c>
      <c r="AO365" s="25" t="s">
        <v>3790</v>
      </c>
      <c r="AP365" s="25">
        <f t="shared" si="146"/>
        <v>0</v>
      </c>
      <c r="AQ365" s="151" t="str">
        <f>IF(SUMIFS('Supp Consol'!S:S,'Supp Consol'!A:A,O365,'Supp Consol'!I:I,"PENDING")=0,"",SUMIFS('Supp Consol'!S:S,'Supp Consol'!A:A,O365,'Supp Consol'!I:I,"PENDING"))</f>
        <v/>
      </c>
      <c r="AR365" s="27" t="str">
        <f t="shared" si="147"/>
        <v>CC130</v>
      </c>
      <c r="AS365" s="27" t="str">
        <f t="shared" si="148"/>
        <v>62</v>
      </c>
      <c r="AT365" s="27" t="str">
        <f t="shared" si="149"/>
        <v/>
      </c>
      <c r="AU365" s="27" t="str">
        <f t="shared" si="150"/>
        <v/>
      </c>
      <c r="AV365" s="27" t="str">
        <f t="shared" si="151"/>
        <v/>
      </c>
      <c r="AW365" s="27" t="str">
        <f t="shared" si="152"/>
        <v/>
      </c>
      <c r="AX365" s="27" t="str">
        <f t="shared" si="153"/>
        <v/>
      </c>
      <c r="AY365" s="27" t="str">
        <f t="shared" si="154"/>
        <v/>
      </c>
      <c r="AZ365" s="27" t="str">
        <f t="shared" si="155"/>
        <v/>
      </c>
      <c r="BA365" s="27" t="str">
        <f t="shared" si="156"/>
        <v/>
      </c>
      <c r="BB365" s="27" t="str">
        <f t="shared" si="157"/>
        <v/>
      </c>
      <c r="BC365" s="27" t="str">
        <f t="shared" si="158"/>
        <v/>
      </c>
      <c r="BD365" s="27" t="str">
        <f t="shared" si="159"/>
        <v/>
      </c>
      <c r="BE365" s="27" t="str">
        <f t="shared" si="160"/>
        <v/>
      </c>
      <c r="BF365" s="27" t="str">
        <f t="shared" si="161"/>
        <v/>
      </c>
      <c r="BG365" s="27" t="str">
        <f t="shared" si="162"/>
        <v/>
      </c>
      <c r="BH365" s="27" t="str">
        <f t="shared" si="163"/>
        <v/>
      </c>
      <c r="BI365" s="27" t="str">
        <f t="shared" si="164"/>
        <v/>
      </c>
      <c r="BJ365" s="27" t="str">
        <f t="shared" si="165"/>
        <v/>
      </c>
      <c r="BK365" s="27" t="str">
        <f t="shared" si="166"/>
        <v/>
      </c>
      <c r="BL365" s="27" t="str">
        <f t="shared" si="167"/>
        <v/>
      </c>
      <c r="BM365" s="21" t="s">
        <v>5581</v>
      </c>
    </row>
    <row r="366" spans="1:65" ht="15">
      <c r="A366" s="25" t="str">
        <f>IFERROR(INDEX('Hun Demand'!W:W,MATCH(O366,'Hun Demand'!A:A,0)),"")</f>
        <v/>
      </c>
      <c r="B366" s="25" t="str">
        <f>IFERROR(INDEX('Hun Demand'!V:V,MATCH(O366,'Hun Demand'!A:A,0)),"")</f>
        <v/>
      </c>
      <c r="C366" s="25" t="str">
        <f>IFERROR(INDEX('Hun Demand'!U:U,MATCH(O366,'Hun Demand'!A:A,0)),"")</f>
        <v/>
      </c>
      <c r="D366" s="25" t="str">
        <f>IFERROR(INDEX('Hun Demand'!T:T,MATCH(O366,'Hun Demand'!A:A,0)),"")</f>
        <v/>
      </c>
      <c r="E366" s="25" t="str">
        <f>IFERROR(INDEX('Hun Demand'!S:S,MATCH(O366,'Hun Demand'!A:A,0)),"")</f>
        <v/>
      </c>
      <c r="F366" s="25" t="str">
        <f>IFERROR(INDEX('Hun Demand'!R:R,MATCH(O366,'Hun Demand'!A:A,0)),"")</f>
        <v/>
      </c>
      <c r="G366" s="25">
        <f>IFERROR(INDEX('Aub Demand'!W:W,MATCH(O366,'Aub Demand'!A:A,0)),"")</f>
        <v>0</v>
      </c>
      <c r="H366" s="25">
        <f>IFERROR(INDEX('Aub Demand'!V:V,MATCH(O366,'Aub Demand'!A:A,0)),"")</f>
        <v>16</v>
      </c>
      <c r="I366" s="25">
        <f>IFERROR(INDEX('Aub Demand'!U:U,MATCH(O366,'Aub Demand'!A:A,0)),"")</f>
        <v>0</v>
      </c>
      <c r="J366" s="25">
        <f>IFERROR(INDEX('Aub Demand'!T:T,MATCH(O366,'Aub Demand'!A:A,0)),"")</f>
        <v>8</v>
      </c>
      <c r="K366" s="25">
        <f>IFERROR(INDEX('Aub Demand'!S:S,MATCH(O366,'Aub Demand'!A:A,0)),"")</f>
        <v>0</v>
      </c>
      <c r="L366" s="25">
        <f>IFERROR(INDEX('Aub Demand'!R:R,MATCH(O366,'Aub Demand'!A:A,0)),"")</f>
        <v>0</v>
      </c>
      <c r="O366" s="27" t="s">
        <v>2125</v>
      </c>
      <c r="P366" s="27" t="str">
        <f>IFERROR(INDEX('Aub Demand'!B:B,MATCH($O366,'Aub Demand'!$A:$A,0)),"")</f>
        <v>CASA PIEDRA 50"</v>
      </c>
      <c r="Q366" s="27" t="str">
        <f>IFERROR(INDEX('Aub Demand'!C:C,MATCH($O366,'Aub Demand'!$A:$A,0)),"")</f>
        <v>TOPPA</v>
      </c>
      <c r="R366" s="52">
        <f>IFERROR(IF(AR367=AR366,INDEX('Aub Demand'!K:K,MATCH($O366,'Aub Demand'!$A:$A,0))-IF(AN366="",0,AN366)+AP367,INDEX('Aub Demand'!K:K,MATCH($O366,'Aub Demand'!$A:$A,0))-IF(AN366="",0,AN366)),"")</f>
        <v>0</v>
      </c>
      <c r="S366" s="53">
        <f t="shared" si="140"/>
        <v>0</v>
      </c>
      <c r="T366" s="52" t="str">
        <f t="shared" si="141"/>
        <v/>
      </c>
      <c r="U366" s="52">
        <f>IFERROR(IF(AR367=AR366,INDEX('Aub Demand'!Q:Q,MATCH($O366,'Aub Demand'!$A:$A,0))-IF(AN366="",0,AN366)+AP367,INDEX('Aub Demand'!Q:Q,MATCH($O366,'Aub Demand'!$A:$A,0))-IF(AN366="",0,AN366)),"")</f>
        <v>0</v>
      </c>
      <c r="V366" s="53">
        <f t="shared" si="142"/>
        <v>0</v>
      </c>
      <c r="W366" s="52" t="str">
        <f t="shared" si="143"/>
        <v/>
      </c>
      <c r="X366" s="52">
        <f>IFERROR(IF(AND(AR367=AR366,AM366&lt;&gt;""),INDEX('Aub Demand'!Q:Q,MATCH($O366,'Aub Demand'!$A:$A,0))-IF(AN366="",0,AN366)+AP367+AD366+AL366,IF(AR367=AR366,INDEX('Aub Demand'!Q:Q,MATCH($O366,'Aub Demand'!$A:$A,0))-IF(AN366="",0,AN366)+AP367+AD366,IF(AM366&lt;&gt;"",INDEX('Aub Demand'!Q:Q,MATCH($O366,'Aub Demand'!$A:$A,0))-IF(AN366="",0,AN366)+AD366+AL366,INDEX('Aub Demand'!Q:Q,MATCH($O366,'Aub Demand'!$A:$A,0))-IF(AN366="",0,AN366)+AD366))),"")</f>
        <v>0</v>
      </c>
      <c r="Y366" s="53">
        <f t="shared" si="144"/>
        <v>0</v>
      </c>
      <c r="Z366" s="52">
        <f>IF(L366="","",INDEX('Aub Demand'!H:H,MATCH($O366,'Aub Demand'!$A:$A,0)))</f>
        <v>3</v>
      </c>
      <c r="AA366" s="52" t="str">
        <f t="shared" si="145"/>
        <v>-spike-</v>
      </c>
      <c r="AB366" s="52">
        <f>IFERROR(INDEX('Aub Demand'!L:L,MATCH($O366,'Aub Demand'!$A:$A,0)),"")</f>
        <v>0</v>
      </c>
      <c r="AC366" s="52">
        <f>IFERROR(IF(O366="","",SUMIFS('CPL Mats'!F:F,'CPL Mats'!Q:Q,AR366,'CPL Mats'!S:S,AS366)),"")</f>
        <v>0</v>
      </c>
      <c r="AF366" s="25" t="str">
        <f>IF(SUMIFS('Supp Consol'!S:S,'Supp Consol'!Y:Y,"Releasable",'Supp Consol'!A:A,O366)=0,"",SUMIFS('Supp Consol'!S:S,'Supp Consol'!Y:Y,"Releasable",'Supp Consol'!A:A,O366))</f>
        <v/>
      </c>
      <c r="AG366" s="25" t="str">
        <f>IFERROR(INDEX('Hun Demand'!Q:Q,MATCH(O366,'Hun Demand'!A:A,0)),"")</f>
        <v/>
      </c>
      <c r="AH366" s="25" t="str">
        <f>IFERROR(INDEX('Hun Demand'!H:H,MATCH($O366,'Hun Demand'!$A:$A,0)),"")</f>
        <v/>
      </c>
      <c r="AI366" s="25" t="str">
        <f>IF(SUMIFS('Supp Consol'!AA:AA,'Supp Consol'!Z:Z,"Expires this month",'Supp Consol'!A:A,O366)=0,"",SUMIFS('Supp Consol'!AA:AA,'Supp Consol'!Z:Z,"Expires this month",'Supp Consol'!A:A,O366))</f>
        <v/>
      </c>
      <c r="AJ366" s="25" t="str">
        <f>IF(SUMIFS('Supp Consol'!AA:AA,'Supp Consol'!Z:Z,"Expired Previous Months",'Supp Consol'!A:A,O366)=0,"",SUMIFS('Supp Consol'!AA:AA,'Supp Consol'!Z:Z,"Expired Previous Months",'Supp Consol'!A:A,O366))</f>
        <v/>
      </c>
      <c r="AK366" s="25" t="str">
        <f>IFERROR(INDEX('Hun Release Current'!B:B,MATCH(O366,'Hun Release Current'!A:A,0)),"")</f>
        <v/>
      </c>
      <c r="AL366" s="25" t="str">
        <f>IF(SUMIF('Prev Aub'!A:A,O366,'Prev Aub'!B:B)=0,"",SUMIF('Prev Aub'!A:A,O366,'Prev Aub'!B:B))</f>
        <v/>
      </c>
      <c r="AN366" s="25" t="s">
        <v>3790</v>
      </c>
      <c r="AO366" s="25" t="s">
        <v>3790</v>
      </c>
      <c r="AP366" s="25">
        <f t="shared" si="146"/>
        <v>0</v>
      </c>
      <c r="AQ366" s="151" t="str">
        <f>IF(SUMIFS('Supp Consol'!S:S,'Supp Consol'!A:A,O366,'Supp Consol'!I:I,"PENDING")=0,"",SUMIFS('Supp Consol'!S:S,'Supp Consol'!A:A,O366,'Supp Consol'!I:I,"PENDING"))</f>
        <v/>
      </c>
      <c r="AR366" s="27" t="str">
        <f t="shared" si="147"/>
        <v>CK202</v>
      </c>
      <c r="AS366" s="27" t="str">
        <f t="shared" si="148"/>
        <v>50</v>
      </c>
      <c r="AT366" s="27" t="str">
        <f t="shared" si="149"/>
        <v>CK202</v>
      </c>
      <c r="AU366" s="27" t="str">
        <f t="shared" si="150"/>
        <v>CK202</v>
      </c>
      <c r="AV366" s="27" t="str">
        <f t="shared" si="151"/>
        <v>CK202</v>
      </c>
      <c r="AW366" s="27" t="str">
        <f t="shared" si="152"/>
        <v/>
      </c>
      <c r="AX366" s="27" t="str">
        <f t="shared" si="153"/>
        <v/>
      </c>
      <c r="AY366" s="27" t="str">
        <f t="shared" si="154"/>
        <v/>
      </c>
      <c r="AZ366" s="27" t="str">
        <f t="shared" si="155"/>
        <v/>
      </c>
      <c r="BA366" s="27" t="str">
        <f t="shared" si="156"/>
        <v/>
      </c>
      <c r="BB366" s="27" t="str">
        <f t="shared" si="157"/>
        <v>Gross</v>
      </c>
      <c r="BC366" s="27" t="str">
        <f t="shared" si="158"/>
        <v>Net</v>
      </c>
      <c r="BD366" s="27" t="str">
        <f t="shared" si="159"/>
        <v>Net</v>
      </c>
      <c r="BE366" s="27" t="str">
        <f t="shared" si="160"/>
        <v/>
      </c>
      <c r="BF366" s="27" t="str">
        <f t="shared" si="161"/>
        <v/>
      </c>
      <c r="BG366" s="27" t="str">
        <f t="shared" si="162"/>
        <v/>
      </c>
      <c r="BH366" s="27" t="str">
        <f t="shared" si="163"/>
        <v/>
      </c>
      <c r="BI366" s="27" t="str">
        <f t="shared" si="164"/>
        <v/>
      </c>
      <c r="BJ366" s="27" t="str">
        <f t="shared" si="165"/>
        <v/>
      </c>
      <c r="BK366" s="27" t="str">
        <f t="shared" si="166"/>
        <v/>
      </c>
      <c r="BL366" s="27" t="str">
        <f t="shared" si="167"/>
        <v/>
      </c>
      <c r="BM366" s="21" t="s">
        <v>5581</v>
      </c>
    </row>
    <row r="367" spans="1:65" ht="15">
      <c r="A367" s="25" t="str">
        <f>IFERROR(INDEX('Hun Demand'!W:W,MATCH(O367,'Hun Demand'!A:A,0)),"")</f>
        <v/>
      </c>
      <c r="B367" s="25" t="str">
        <f>IFERROR(INDEX('Hun Demand'!V:V,MATCH(O367,'Hun Demand'!A:A,0)),"")</f>
        <v/>
      </c>
      <c r="C367" s="25" t="str">
        <f>IFERROR(INDEX('Hun Demand'!U:U,MATCH(O367,'Hun Demand'!A:A,0)),"")</f>
        <v/>
      </c>
      <c r="D367" s="25" t="str">
        <f>IFERROR(INDEX('Hun Demand'!T:T,MATCH(O367,'Hun Demand'!A:A,0)),"")</f>
        <v/>
      </c>
      <c r="E367" s="25" t="str">
        <f>IFERROR(INDEX('Hun Demand'!S:S,MATCH(O367,'Hun Demand'!A:A,0)),"")</f>
        <v/>
      </c>
      <c r="F367" s="25" t="str">
        <f>IFERROR(INDEX('Hun Demand'!R:R,MATCH(O367,'Hun Demand'!A:A,0)),"")</f>
        <v/>
      </c>
      <c r="G367" s="25">
        <f>IFERROR(INDEX('Aub Demand'!W:W,MATCH(O367,'Aub Demand'!A:A,0)),"")</f>
        <v>33</v>
      </c>
      <c r="H367" s="25">
        <f>IFERROR(INDEX('Aub Demand'!V:V,MATCH(O367,'Aub Demand'!A:A,0)),"")</f>
        <v>0</v>
      </c>
      <c r="I367" s="25">
        <f>IFERROR(INDEX('Aub Demand'!U:U,MATCH(O367,'Aub Demand'!A:A,0)),"")</f>
        <v>16</v>
      </c>
      <c r="J367" s="25">
        <f>IFERROR(INDEX('Aub Demand'!T:T,MATCH(O367,'Aub Demand'!A:A,0)),"")</f>
        <v>17</v>
      </c>
      <c r="K367" s="25">
        <f>IFERROR(INDEX('Aub Demand'!S:S,MATCH(O367,'Aub Demand'!A:A,0)),"")</f>
        <v>0</v>
      </c>
      <c r="L367" s="25">
        <f>IFERROR(INDEX('Aub Demand'!R:R,MATCH(O367,'Aub Demand'!A:A,0)),"")</f>
        <v>0</v>
      </c>
      <c r="O367" s="27" t="s">
        <v>2127</v>
      </c>
      <c r="P367" s="27" t="str">
        <f>IFERROR(INDEX('Aub Demand'!B:B,MATCH($O367,'Aub Demand'!$A:$A,0)),"")</f>
        <v>CASA PIEDRA 62"</v>
      </c>
      <c r="Q367" s="27" t="str">
        <f>IFERROR(INDEX('Aub Demand'!C:C,MATCH($O367,'Aub Demand'!$A:$A,0)),"")</f>
        <v>TOPPA</v>
      </c>
      <c r="R367" s="52">
        <f>IFERROR(IF(AR368=AR367,INDEX('Aub Demand'!K:K,MATCH($O367,'Aub Demand'!$A:$A,0))-IF(AN367="",0,AN367)+AP368,INDEX('Aub Demand'!K:K,MATCH($O367,'Aub Demand'!$A:$A,0))-IF(AN367="",0,AN367)),"")</f>
        <v>454</v>
      </c>
      <c r="S367" s="53">
        <f t="shared" si="140"/>
        <v>176.9</v>
      </c>
      <c r="T367" s="52" t="str">
        <f t="shared" si="141"/>
        <v/>
      </c>
      <c r="U367" s="52">
        <f>IFERROR(IF(AR368=AR367,INDEX('Aub Demand'!Q:Q,MATCH($O367,'Aub Demand'!$A:$A,0))-IF(AN367="",0,AN367)+AP368,INDEX('Aub Demand'!Q:Q,MATCH($O367,'Aub Demand'!$A:$A,0))-IF(AN367="",0,AN367)),"")</f>
        <v>441</v>
      </c>
      <c r="V367" s="53">
        <f t="shared" si="142"/>
        <v>171.8</v>
      </c>
      <c r="W367" s="52" t="str">
        <f t="shared" si="143"/>
        <v/>
      </c>
      <c r="X367" s="52">
        <f>IFERROR(IF(AND(AR368=AR367,AM367&lt;&gt;""),INDEX('Aub Demand'!Q:Q,MATCH($O367,'Aub Demand'!$A:$A,0))-IF(AN367="",0,AN367)+AP368+AD367+AL367,IF(AR368=AR367,INDEX('Aub Demand'!Q:Q,MATCH($O367,'Aub Demand'!$A:$A,0))-IF(AN367="",0,AN367)+AP368+AD367,IF(AM367&lt;&gt;"",INDEX('Aub Demand'!Q:Q,MATCH($O367,'Aub Demand'!$A:$A,0))-IF(AN367="",0,AN367)+AD367+AL367,INDEX('Aub Demand'!Q:Q,MATCH($O367,'Aub Demand'!$A:$A,0))-IF(AN367="",0,AN367)+AD367))),"")</f>
        <v>441</v>
      </c>
      <c r="Y367" s="53">
        <f t="shared" si="144"/>
        <v>171.8</v>
      </c>
      <c r="Z367" s="52">
        <f>IF(L367="","",INDEX('Aub Demand'!H:H,MATCH($O367,'Aub Demand'!$A:$A,0)))</f>
        <v>11</v>
      </c>
      <c r="AA367" s="52">
        <f t="shared" si="145"/>
        <v>16.5</v>
      </c>
      <c r="AB367" s="52">
        <f>IFERROR(INDEX('Aub Demand'!L:L,MATCH($O367,'Aub Demand'!$A:$A,0)),"")</f>
        <v>0</v>
      </c>
      <c r="AC367" s="52">
        <f>IFERROR(IF(O367="","",SUMIFS('CPL Mats'!F:F,'CPL Mats'!Q:Q,AR367,'CPL Mats'!S:S,AS367)),"")</f>
        <v>0</v>
      </c>
      <c r="AF367" s="25" t="str">
        <f>IF(SUMIFS('Supp Consol'!S:S,'Supp Consol'!Y:Y,"Releasable",'Supp Consol'!A:A,O367)=0,"",SUMIFS('Supp Consol'!S:S,'Supp Consol'!Y:Y,"Releasable",'Supp Consol'!A:A,O367))</f>
        <v/>
      </c>
      <c r="AG367" s="25" t="str">
        <f>IFERROR(INDEX('Hun Demand'!Q:Q,MATCH(O367,'Hun Demand'!A:A,0)),"")</f>
        <v/>
      </c>
      <c r="AH367" s="25" t="str">
        <f>IFERROR(INDEX('Hun Demand'!H:H,MATCH($O367,'Hun Demand'!$A:$A,0)),"")</f>
        <v/>
      </c>
      <c r="AI367" s="25" t="str">
        <f>IF(SUMIFS('Supp Consol'!AA:AA,'Supp Consol'!Z:Z,"Expires this month",'Supp Consol'!A:A,O367)=0,"",SUMIFS('Supp Consol'!AA:AA,'Supp Consol'!Z:Z,"Expires this month",'Supp Consol'!A:A,O367))</f>
        <v/>
      </c>
      <c r="AJ367" s="25" t="str">
        <f>IF(SUMIFS('Supp Consol'!AA:AA,'Supp Consol'!Z:Z,"Expired Previous Months",'Supp Consol'!A:A,O367)=0,"",SUMIFS('Supp Consol'!AA:AA,'Supp Consol'!Z:Z,"Expired Previous Months",'Supp Consol'!A:A,O367))</f>
        <v/>
      </c>
      <c r="AK367" s="25" t="str">
        <f>IFERROR(INDEX('Hun Release Current'!B:B,MATCH(O367,'Hun Release Current'!A:A,0)),"")</f>
        <v/>
      </c>
      <c r="AL367" s="25" t="str">
        <f>IF(SUMIF('Prev Aub'!A:A,O367,'Prev Aub'!B:B)=0,"",SUMIF('Prev Aub'!A:A,O367,'Prev Aub'!B:B))</f>
        <v/>
      </c>
      <c r="AN367" s="25" t="s">
        <v>3790</v>
      </c>
      <c r="AO367" s="25" t="s">
        <v>3790</v>
      </c>
      <c r="AP367" s="25">
        <f t="shared" si="146"/>
        <v>0</v>
      </c>
      <c r="AQ367" s="151" t="str">
        <f>IF(SUMIFS('Supp Consol'!S:S,'Supp Consol'!A:A,O367,'Supp Consol'!I:I,"PENDING")=0,"",SUMIFS('Supp Consol'!S:S,'Supp Consol'!A:A,O367,'Supp Consol'!I:I,"PENDING"))</f>
        <v/>
      </c>
      <c r="AR367" s="27" t="str">
        <f t="shared" si="147"/>
        <v>CK202</v>
      </c>
      <c r="AS367" s="27" t="str">
        <f t="shared" si="148"/>
        <v>62</v>
      </c>
      <c r="AT367" s="27" t="str">
        <f t="shared" si="149"/>
        <v/>
      </c>
      <c r="AU367" s="27" t="str">
        <f t="shared" si="150"/>
        <v/>
      </c>
      <c r="AV367" s="27" t="str">
        <f t="shared" si="151"/>
        <v/>
      </c>
      <c r="AW367" s="27" t="str">
        <f t="shared" si="152"/>
        <v/>
      </c>
      <c r="AX367" s="27" t="str">
        <f t="shared" si="153"/>
        <v/>
      </c>
      <c r="AY367" s="27" t="str">
        <f t="shared" si="154"/>
        <v/>
      </c>
      <c r="AZ367" s="27" t="str">
        <f t="shared" si="155"/>
        <v/>
      </c>
      <c r="BA367" s="27" t="str">
        <f t="shared" si="156"/>
        <v/>
      </c>
      <c r="BB367" s="27" t="str">
        <f t="shared" si="157"/>
        <v>Gross</v>
      </c>
      <c r="BC367" s="27" t="str">
        <f t="shared" si="158"/>
        <v>Net</v>
      </c>
      <c r="BD367" s="27" t="str">
        <f t="shared" si="159"/>
        <v>Net</v>
      </c>
      <c r="BE367" s="27" t="str">
        <f t="shared" si="160"/>
        <v/>
      </c>
      <c r="BF367" s="27" t="str">
        <f t="shared" si="161"/>
        <v/>
      </c>
      <c r="BG367" s="27" t="str">
        <f t="shared" si="162"/>
        <v/>
      </c>
      <c r="BH367" s="27" t="str">
        <f t="shared" si="163"/>
        <v/>
      </c>
      <c r="BI367" s="27" t="str">
        <f t="shared" si="164"/>
        <v/>
      </c>
      <c r="BJ367" s="27" t="str">
        <f t="shared" si="165"/>
        <v/>
      </c>
      <c r="BK367" s="27" t="str">
        <f t="shared" si="166"/>
        <v/>
      </c>
      <c r="BL367" s="27" t="str">
        <f t="shared" si="167"/>
        <v/>
      </c>
      <c r="BM367" s="21" t="s">
        <v>5581</v>
      </c>
    </row>
    <row r="368" spans="1:65" ht="15">
      <c r="A368" s="25" t="str">
        <f>IFERROR(INDEX('Hun Demand'!W:W,MATCH(O368,'Hun Demand'!A:A,0)),"")</f>
        <v/>
      </c>
      <c r="B368" s="25" t="str">
        <f>IFERROR(INDEX('Hun Demand'!V:V,MATCH(O368,'Hun Demand'!A:A,0)),"")</f>
        <v/>
      </c>
      <c r="C368" s="25" t="str">
        <f>IFERROR(INDEX('Hun Demand'!U:U,MATCH(O368,'Hun Demand'!A:A,0)),"")</f>
        <v/>
      </c>
      <c r="D368" s="25" t="str">
        <f>IFERROR(INDEX('Hun Demand'!T:T,MATCH(O368,'Hun Demand'!A:A,0)),"")</f>
        <v/>
      </c>
      <c r="E368" s="25" t="str">
        <f>IFERROR(INDEX('Hun Demand'!S:S,MATCH(O368,'Hun Demand'!A:A,0)),"")</f>
        <v/>
      </c>
      <c r="F368" s="25" t="str">
        <f>IFERROR(INDEX('Hun Demand'!R:R,MATCH(O368,'Hun Demand'!A:A,0)),"")</f>
        <v/>
      </c>
      <c r="G368" s="25">
        <f>IFERROR(INDEX('Aub Demand'!W:W,MATCH(O368,'Aub Demand'!A:A,0)),"")</f>
        <v>0</v>
      </c>
      <c r="H368" s="25">
        <f>IFERROR(INDEX('Aub Demand'!V:V,MATCH(O368,'Aub Demand'!A:A,0)),"")</f>
        <v>0</v>
      </c>
      <c r="I368" s="25">
        <f>IFERROR(INDEX('Aub Demand'!U:U,MATCH(O368,'Aub Demand'!A:A,0)),"")</f>
        <v>0</v>
      </c>
      <c r="J368" s="25">
        <f>IFERROR(INDEX('Aub Demand'!T:T,MATCH(O368,'Aub Demand'!A:A,0)),"")</f>
        <v>0</v>
      </c>
      <c r="K368" s="25">
        <f>IFERROR(INDEX('Aub Demand'!S:S,MATCH(O368,'Aub Demand'!A:A,0)),"")</f>
        <v>0</v>
      </c>
      <c r="L368" s="25">
        <f>IFERROR(INDEX('Aub Demand'!R:R,MATCH(O368,'Aub Demand'!A:A,0)),"")</f>
        <v>0</v>
      </c>
      <c r="O368" s="27" t="s">
        <v>2129</v>
      </c>
      <c r="P368" s="27" t="str">
        <f>IFERROR(INDEX('Aub Demand'!B:B,MATCH($O368,'Aub Demand'!$A:$A,0)),"")</f>
        <v>CASA ARENA 50"</v>
      </c>
      <c r="Q368" s="27" t="str">
        <f>IFERROR(INDEX('Aub Demand'!C:C,MATCH($O368,'Aub Demand'!$A:$A,0)),"")</f>
        <v>TOPPA</v>
      </c>
      <c r="R368" s="52">
        <f>IFERROR(IF(AR369=AR368,INDEX('Aub Demand'!K:K,MATCH($O368,'Aub Demand'!$A:$A,0))-IF(AN368="",0,AN368)+AP369,INDEX('Aub Demand'!K:K,MATCH($O368,'Aub Demand'!$A:$A,0))-IF(AN368="",0,AN368)),"")</f>
        <v>871</v>
      </c>
      <c r="S368" s="53" t="str">
        <f t="shared" si="140"/>
        <v>n/a</v>
      </c>
      <c r="T368" s="52" t="str">
        <f t="shared" si="141"/>
        <v/>
      </c>
      <c r="U368" s="52">
        <f>IFERROR(IF(AR369=AR368,INDEX('Aub Demand'!Q:Q,MATCH($O368,'Aub Demand'!$A:$A,0))-IF(AN368="",0,AN368)+AP369,INDEX('Aub Demand'!Q:Q,MATCH($O368,'Aub Demand'!$A:$A,0))-IF(AN368="",0,AN368)),"")</f>
        <v>871</v>
      </c>
      <c r="V368" s="53" t="str">
        <f t="shared" si="142"/>
        <v>n/a</v>
      </c>
      <c r="W368" s="52" t="str">
        <f t="shared" si="143"/>
        <v/>
      </c>
      <c r="X368" s="52">
        <f>IFERROR(IF(AND(AR369=AR368,AM368&lt;&gt;""),INDEX('Aub Demand'!Q:Q,MATCH($O368,'Aub Demand'!$A:$A,0))-IF(AN368="",0,AN368)+AP369+AD368+AL368,IF(AR369=AR368,INDEX('Aub Demand'!Q:Q,MATCH($O368,'Aub Demand'!$A:$A,0))-IF(AN368="",0,AN368)+AP369+AD368,IF(AM368&lt;&gt;"",INDEX('Aub Demand'!Q:Q,MATCH($O368,'Aub Demand'!$A:$A,0))-IF(AN368="",0,AN368)+AD368+AL368,INDEX('Aub Demand'!Q:Q,MATCH($O368,'Aub Demand'!$A:$A,0))-IF(AN368="",0,AN368)+AD368))),"")</f>
        <v>871</v>
      </c>
      <c r="Y368" s="53" t="str">
        <f t="shared" si="144"/>
        <v>n/a</v>
      </c>
      <c r="Z368" s="52">
        <f>IF(L368="","",INDEX('Aub Demand'!H:H,MATCH($O368,'Aub Demand'!$A:$A,0)))</f>
        <v>0</v>
      </c>
      <c r="AA368" s="52" t="str">
        <f t="shared" si="145"/>
        <v>-spike-</v>
      </c>
      <c r="AB368" s="52">
        <f>IFERROR(INDEX('Aub Demand'!L:L,MATCH($O368,'Aub Demand'!$A:$A,0)),"")</f>
        <v>0</v>
      </c>
      <c r="AC368" s="52">
        <f>IFERROR(IF(O368="","",SUMIFS('CPL Mats'!F:F,'CPL Mats'!Q:Q,AR368,'CPL Mats'!S:S,AS368)),"")</f>
        <v>0</v>
      </c>
      <c r="AF368" s="25" t="str">
        <f>IF(SUMIFS('Supp Consol'!S:S,'Supp Consol'!Y:Y,"Releasable",'Supp Consol'!A:A,O368)=0,"",SUMIFS('Supp Consol'!S:S,'Supp Consol'!Y:Y,"Releasable",'Supp Consol'!A:A,O368))</f>
        <v/>
      </c>
      <c r="AG368" s="25" t="str">
        <f>IFERROR(INDEX('Hun Demand'!Q:Q,MATCH(O368,'Hun Demand'!A:A,0)),"")</f>
        <v/>
      </c>
      <c r="AH368" s="25" t="str">
        <f>IFERROR(INDEX('Hun Demand'!H:H,MATCH($O368,'Hun Demand'!$A:$A,0)),"")</f>
        <v/>
      </c>
      <c r="AI368" s="25" t="str">
        <f>IF(SUMIFS('Supp Consol'!AA:AA,'Supp Consol'!Z:Z,"Expires this month",'Supp Consol'!A:A,O368)=0,"",SUMIFS('Supp Consol'!AA:AA,'Supp Consol'!Z:Z,"Expires this month",'Supp Consol'!A:A,O368))</f>
        <v/>
      </c>
      <c r="AJ368" s="25" t="str">
        <f>IF(SUMIFS('Supp Consol'!AA:AA,'Supp Consol'!Z:Z,"Expired Previous Months",'Supp Consol'!A:A,O368)=0,"",SUMIFS('Supp Consol'!AA:AA,'Supp Consol'!Z:Z,"Expired Previous Months",'Supp Consol'!A:A,O368))</f>
        <v/>
      </c>
      <c r="AK368" s="25" t="str">
        <f>IFERROR(INDEX('Hun Release Current'!B:B,MATCH(O368,'Hun Release Current'!A:A,0)),"")</f>
        <v/>
      </c>
      <c r="AL368" s="25" t="str">
        <f>IF(SUMIF('Prev Aub'!A:A,O368,'Prev Aub'!B:B)=0,"",SUMIF('Prev Aub'!A:A,O368,'Prev Aub'!B:B))</f>
        <v/>
      </c>
      <c r="AN368" s="25" t="s">
        <v>3790</v>
      </c>
      <c r="AO368" s="25" t="s">
        <v>3790</v>
      </c>
      <c r="AP368" s="25">
        <f t="shared" si="146"/>
        <v>0</v>
      </c>
      <c r="AQ368" s="151" t="str">
        <f>IF(SUMIFS('Supp Consol'!S:S,'Supp Consol'!A:A,O368,'Supp Consol'!I:I,"PENDING")=0,"",SUMIFS('Supp Consol'!S:S,'Supp Consol'!A:A,O368,'Supp Consol'!I:I,"PENDING"))</f>
        <v/>
      </c>
      <c r="AR368" s="27" t="str">
        <f t="shared" si="147"/>
        <v>CK203</v>
      </c>
      <c r="AS368" s="27" t="str">
        <f t="shared" si="148"/>
        <v>50</v>
      </c>
      <c r="AT368" s="27" t="str">
        <f t="shared" si="149"/>
        <v/>
      </c>
      <c r="AU368" s="27" t="str">
        <f t="shared" si="150"/>
        <v/>
      </c>
      <c r="AV368" s="27" t="str">
        <f t="shared" si="151"/>
        <v/>
      </c>
      <c r="AW368" s="27" t="str">
        <f t="shared" si="152"/>
        <v/>
      </c>
      <c r="AX368" s="27" t="str">
        <f t="shared" si="153"/>
        <v/>
      </c>
      <c r="AY368" s="27" t="str">
        <f t="shared" si="154"/>
        <v/>
      </c>
      <c r="AZ368" s="27" t="str">
        <f t="shared" si="155"/>
        <v/>
      </c>
      <c r="BA368" s="27" t="str">
        <f t="shared" si="156"/>
        <v/>
      </c>
      <c r="BB368" s="27" t="str">
        <f t="shared" si="157"/>
        <v/>
      </c>
      <c r="BC368" s="27" t="str">
        <f t="shared" si="158"/>
        <v/>
      </c>
      <c r="BD368" s="27" t="str">
        <f t="shared" si="159"/>
        <v/>
      </c>
      <c r="BE368" s="27" t="str">
        <f t="shared" si="160"/>
        <v/>
      </c>
      <c r="BF368" s="27" t="str">
        <f t="shared" si="161"/>
        <v/>
      </c>
      <c r="BG368" s="27" t="str">
        <f t="shared" si="162"/>
        <v/>
      </c>
      <c r="BH368" s="27" t="str">
        <f t="shared" si="163"/>
        <v/>
      </c>
      <c r="BI368" s="27" t="str">
        <f t="shared" si="164"/>
        <v/>
      </c>
      <c r="BJ368" s="27" t="str">
        <f t="shared" si="165"/>
        <v/>
      </c>
      <c r="BK368" s="27" t="str">
        <f t="shared" si="166"/>
        <v/>
      </c>
      <c r="BL368" s="27" t="str">
        <f t="shared" si="167"/>
        <v/>
      </c>
      <c r="BM368" s="21" t="s">
        <v>3790</v>
      </c>
    </row>
    <row r="369" spans="1:65" ht="15">
      <c r="A369" s="25" t="str">
        <f>IFERROR(INDEX('Hun Demand'!W:W,MATCH(O369,'Hun Demand'!A:A,0)),"")</f>
        <v/>
      </c>
      <c r="B369" s="25" t="str">
        <f>IFERROR(INDEX('Hun Demand'!V:V,MATCH(O369,'Hun Demand'!A:A,0)),"")</f>
        <v/>
      </c>
      <c r="C369" s="25" t="str">
        <f>IFERROR(INDEX('Hun Demand'!U:U,MATCH(O369,'Hun Demand'!A:A,0)),"")</f>
        <v/>
      </c>
      <c r="D369" s="25" t="str">
        <f>IFERROR(INDEX('Hun Demand'!T:T,MATCH(O369,'Hun Demand'!A:A,0)),"")</f>
        <v/>
      </c>
      <c r="E369" s="25" t="str">
        <f>IFERROR(INDEX('Hun Demand'!S:S,MATCH(O369,'Hun Demand'!A:A,0)),"")</f>
        <v/>
      </c>
      <c r="F369" s="25" t="str">
        <f>IFERROR(INDEX('Hun Demand'!R:R,MATCH(O369,'Hun Demand'!A:A,0)),"")</f>
        <v/>
      </c>
      <c r="G369" s="25">
        <f>IFERROR(INDEX('Aub Demand'!W:W,MATCH(O369,'Aub Demand'!A:A,0)),"")</f>
        <v>3484</v>
      </c>
      <c r="H369" s="25">
        <f>IFERROR(INDEX('Aub Demand'!V:V,MATCH(O369,'Aub Demand'!A:A,0)),"")</f>
        <v>1452</v>
      </c>
      <c r="I369" s="25">
        <f>IFERROR(INDEX('Aub Demand'!U:U,MATCH(O369,'Aub Demand'!A:A,0)),"")</f>
        <v>2373</v>
      </c>
      <c r="J369" s="25">
        <f>IFERROR(INDEX('Aub Demand'!T:T,MATCH(O369,'Aub Demand'!A:A,0)),"")</f>
        <v>1584</v>
      </c>
      <c r="K369" s="25">
        <f>IFERROR(INDEX('Aub Demand'!S:S,MATCH(O369,'Aub Demand'!A:A,0)),"")</f>
        <v>1650</v>
      </c>
      <c r="L369" s="25">
        <f>IFERROR(INDEX('Aub Demand'!R:R,MATCH(O369,'Aub Demand'!A:A,0)),"")</f>
        <v>0</v>
      </c>
      <c r="O369" s="27" t="s">
        <v>607</v>
      </c>
      <c r="P369" s="27" t="str">
        <f>IFERROR(INDEX('Aub Demand'!B:B,MATCH($O369,'Aub Demand'!$A:$A,0)),"")</f>
        <v>NUTMEG BACKER</v>
      </c>
      <c r="Q369" s="27" t="str">
        <f>IFERROR(INDEX('Aub Demand'!C:C,MATCH($O369,'Aub Demand'!$A:$A,0)),"")</f>
        <v>TECHN</v>
      </c>
      <c r="R369" s="52">
        <f>IFERROR(IF(AR370=AR369,INDEX('Aub Demand'!K:K,MATCH($O369,'Aub Demand'!$A:$A,0))-IF(AN369="",0,AN369)+AP370,INDEX('Aub Demand'!K:K,MATCH($O369,'Aub Demand'!$A:$A,0))-IF(AN369="",0,AN369)),"")</f>
        <v>5804</v>
      </c>
      <c r="S369" s="53">
        <f t="shared" si="140"/>
        <v>13.3</v>
      </c>
      <c r="T369" s="52" t="str">
        <f t="shared" si="141"/>
        <v/>
      </c>
      <c r="U369" s="52">
        <f>IFERROR(IF(AR370=AR369,INDEX('Aub Demand'!Q:Q,MATCH($O369,'Aub Demand'!$A:$A,0))-IF(AN369="",0,AN369)+AP370,INDEX('Aub Demand'!Q:Q,MATCH($O369,'Aub Demand'!$A:$A,0))-IF(AN369="",0,AN369)),"")</f>
        <v>2968</v>
      </c>
      <c r="V369" s="53">
        <f t="shared" si="142"/>
        <v>6.8</v>
      </c>
      <c r="W369" s="52" t="str">
        <f t="shared" si="143"/>
        <v/>
      </c>
      <c r="X369" s="52">
        <f>IFERROR(IF(AND(AR370=AR369,AM369&lt;&gt;""),INDEX('Aub Demand'!Q:Q,MATCH($O369,'Aub Demand'!$A:$A,0))-IF(AN369="",0,AN369)+AP370+AD369+AL369,IF(AR370=AR369,INDEX('Aub Demand'!Q:Q,MATCH($O369,'Aub Demand'!$A:$A,0))-IF(AN369="",0,AN369)+AP370+AD369,IF(AM369&lt;&gt;"",INDEX('Aub Demand'!Q:Q,MATCH($O369,'Aub Demand'!$A:$A,0))-IF(AN369="",0,AN369)+AD369+AL369,INDEX('Aub Demand'!Q:Q,MATCH($O369,'Aub Demand'!$A:$A,0))-IF(AN369="",0,AN369)+AD369))),"")</f>
        <v>2968</v>
      </c>
      <c r="Y369" s="53">
        <f t="shared" si="144"/>
        <v>6.8</v>
      </c>
      <c r="Z369" s="52">
        <f>IF(L369="","",INDEX('Aub Demand'!H:H,MATCH($O369,'Aub Demand'!$A:$A,0)))</f>
        <v>1869</v>
      </c>
      <c r="AA369" s="52">
        <f t="shared" si="145"/>
        <v>2011.5</v>
      </c>
      <c r="AB369" s="52">
        <f>IFERROR(INDEX('Aub Demand'!L:L,MATCH($O369,'Aub Demand'!$A:$A,0)),"")</f>
        <v>540</v>
      </c>
      <c r="AC369" s="52">
        <f>IFERROR(IF(O369="","",SUMIFS('CPL Mats'!F:F,'CPL Mats'!Q:Q,AR369,'CPL Mats'!S:S,AS369)),"")</f>
        <v>0</v>
      </c>
      <c r="AF369" s="25" t="str">
        <f>IF(SUMIFS('Supp Consol'!S:S,'Supp Consol'!Y:Y,"Releasable",'Supp Consol'!A:A,O369)=0,"",SUMIFS('Supp Consol'!S:S,'Supp Consol'!Y:Y,"Releasable",'Supp Consol'!A:A,O369))</f>
        <v/>
      </c>
      <c r="AG369" s="25" t="str">
        <f>IFERROR(INDEX('Hun Demand'!Q:Q,MATCH(O369,'Hun Demand'!A:A,0)),"")</f>
        <v/>
      </c>
      <c r="AH369" s="25" t="str">
        <f>IFERROR(INDEX('Hun Demand'!H:H,MATCH($O369,'Hun Demand'!$A:$A,0)),"")</f>
        <v/>
      </c>
      <c r="AI369" s="25" t="str">
        <f>IF(SUMIFS('Supp Consol'!AA:AA,'Supp Consol'!Z:Z,"Expires this month",'Supp Consol'!A:A,O369)=0,"",SUMIFS('Supp Consol'!AA:AA,'Supp Consol'!Z:Z,"Expires this month",'Supp Consol'!A:A,O369))</f>
        <v/>
      </c>
      <c r="AJ369" s="25" t="str">
        <f>IF(SUMIFS('Supp Consol'!AA:AA,'Supp Consol'!Z:Z,"Expired Previous Months",'Supp Consol'!A:A,O369)=0,"",SUMIFS('Supp Consol'!AA:AA,'Supp Consol'!Z:Z,"Expired Previous Months",'Supp Consol'!A:A,O369))</f>
        <v/>
      </c>
      <c r="AK369" s="25" t="str">
        <f>IFERROR(INDEX('Hun Release Current'!B:B,MATCH(O369,'Hun Release Current'!A:A,0)),"")</f>
        <v/>
      </c>
      <c r="AL369" s="25" t="str">
        <f>IF(SUMIF('Prev Aub'!A:A,O369,'Prev Aub'!B:B)=0,"",SUMIF('Prev Aub'!A:A,O369,'Prev Aub'!B:B))</f>
        <v/>
      </c>
      <c r="AN369" s="25" t="s">
        <v>3790</v>
      </c>
      <c r="AO369" s="25" t="s">
        <v>3790</v>
      </c>
      <c r="AP369" s="25">
        <f t="shared" si="146"/>
        <v>0</v>
      </c>
      <c r="AQ369" s="151" t="str">
        <f>IF(SUMIFS('Supp Consol'!S:S,'Supp Consol'!A:A,O369,'Supp Consol'!I:I,"PENDING")=0,"",SUMIFS('Supp Consol'!S:S,'Supp Consol'!A:A,O369,'Supp Consol'!I:I,"PENDING"))</f>
        <v/>
      </c>
      <c r="AR369" s="27" t="str">
        <f t="shared" si="147"/>
        <v>DB010</v>
      </c>
      <c r="AS369" s="27" t="str">
        <f t="shared" si="148"/>
        <v>43</v>
      </c>
      <c r="AT369" s="27" t="str">
        <f t="shared" si="149"/>
        <v/>
      </c>
      <c r="AU369" s="27" t="str">
        <f t="shared" si="150"/>
        <v/>
      </c>
      <c r="AV369" s="27" t="str">
        <f t="shared" si="151"/>
        <v/>
      </c>
      <c r="AW369" s="27" t="str">
        <f t="shared" si="152"/>
        <v/>
      </c>
      <c r="AX369" s="27" t="str">
        <f t="shared" si="153"/>
        <v/>
      </c>
      <c r="AY369" s="27" t="str">
        <f t="shared" si="154"/>
        <v/>
      </c>
      <c r="AZ369" s="27" t="str">
        <f t="shared" si="155"/>
        <v/>
      </c>
      <c r="BA369" s="27" t="str">
        <f t="shared" si="156"/>
        <v>Hun</v>
      </c>
      <c r="BB369" s="27" t="str">
        <f t="shared" si="157"/>
        <v/>
      </c>
      <c r="BC369" s="27" t="str">
        <f t="shared" si="158"/>
        <v/>
      </c>
      <c r="BD369" s="27" t="str">
        <f t="shared" si="159"/>
        <v/>
      </c>
      <c r="BE369" s="27" t="str">
        <f t="shared" si="160"/>
        <v/>
      </c>
      <c r="BF369" s="27" t="str">
        <f t="shared" si="161"/>
        <v/>
      </c>
      <c r="BG369" s="27" t="str">
        <f t="shared" si="162"/>
        <v/>
      </c>
      <c r="BH369" s="27" t="str">
        <f t="shared" si="163"/>
        <v/>
      </c>
      <c r="BI369" s="27" t="str">
        <f t="shared" si="164"/>
        <v/>
      </c>
      <c r="BJ369" s="27" t="str">
        <f t="shared" si="165"/>
        <v>Supp or Hun</v>
      </c>
      <c r="BK369" s="27" t="str">
        <f t="shared" si="166"/>
        <v/>
      </c>
      <c r="BL369" s="27" t="str">
        <f t="shared" si="167"/>
        <v/>
      </c>
      <c r="BM369" s="21" t="s">
        <v>5581</v>
      </c>
    </row>
    <row r="370" spans="1:65" ht="15">
      <c r="A370" s="25">
        <f>IFERROR(INDEX('Hun Demand'!W:W,MATCH(O370,'Hun Demand'!A:A,0)),"")</f>
        <v>9878</v>
      </c>
      <c r="B370" s="25">
        <f>IFERROR(INDEX('Hun Demand'!V:V,MATCH(O370,'Hun Demand'!A:A,0)),"")</f>
        <v>1951</v>
      </c>
      <c r="C370" s="25">
        <f>IFERROR(INDEX('Hun Demand'!U:U,MATCH(O370,'Hun Demand'!A:A,0)),"")</f>
        <v>2376</v>
      </c>
      <c r="D370" s="25">
        <f>IFERROR(INDEX('Hun Demand'!T:T,MATCH(O370,'Hun Demand'!A:A,0)),"")</f>
        <v>1023</v>
      </c>
      <c r="E370" s="25">
        <f>IFERROR(INDEX('Hun Demand'!S:S,MATCH(O370,'Hun Demand'!A:A,0)),"")</f>
        <v>1164</v>
      </c>
      <c r="F370" s="25">
        <f>IFERROR(INDEX('Hun Demand'!R:R,MATCH(O370,'Hun Demand'!A:A,0)),"")</f>
        <v>360</v>
      </c>
      <c r="G370" s="25">
        <f>IFERROR(INDEX('Aub Demand'!W:W,MATCH(O370,'Aub Demand'!A:A,0)),"")</f>
        <v>364</v>
      </c>
      <c r="H370" s="25">
        <f>IFERROR(INDEX('Aub Demand'!V:V,MATCH(O370,'Aub Demand'!A:A,0)),"")</f>
        <v>6815</v>
      </c>
      <c r="I370" s="25">
        <f>IFERROR(INDEX('Aub Demand'!U:U,MATCH(O370,'Aub Demand'!A:A,0)),"")</f>
        <v>280</v>
      </c>
      <c r="J370" s="25">
        <f>IFERROR(INDEX('Aub Demand'!T:T,MATCH(O370,'Aub Demand'!A:A,0)),"")</f>
        <v>0</v>
      </c>
      <c r="K370" s="25">
        <f>IFERROR(INDEX('Aub Demand'!S:S,MATCH(O370,'Aub Demand'!A:A,0)),"")</f>
        <v>341</v>
      </c>
      <c r="L370" s="25">
        <f>IFERROR(INDEX('Aub Demand'!R:R,MATCH(O370,'Aub Demand'!A:A,0)),"")</f>
        <v>0</v>
      </c>
      <c r="O370" s="27" t="s">
        <v>610</v>
      </c>
      <c r="P370" s="27" t="str">
        <f>IFERROR(INDEX('Aub Demand'!B:B,MATCH($O370,'Aub Demand'!$A:$A,0)),"")</f>
        <v>NUTMEG BACKER</v>
      </c>
      <c r="Q370" s="27" t="str">
        <f>IFERROR(INDEX('Aub Demand'!C:C,MATCH($O370,'Aub Demand'!$A:$A,0)),"")</f>
        <v>TECHN</v>
      </c>
      <c r="R370" s="52">
        <f>IFERROR(IF(AR371=AR370,INDEX('Aub Demand'!K:K,MATCH($O370,'Aub Demand'!$A:$A,0))-IF(AN370="",0,AN370)+AP371,INDEX('Aub Demand'!K:K,MATCH($O370,'Aub Demand'!$A:$A,0))-IF(AN370="",0,AN370)),"")</f>
        <v>10376</v>
      </c>
      <c r="S370" s="53">
        <f t="shared" si="140"/>
        <v>214.8</v>
      </c>
      <c r="T370" s="52" t="str">
        <f t="shared" si="141"/>
        <v/>
      </c>
      <c r="U370" s="52">
        <f>IFERROR(IF(AR371=AR370,INDEX('Aub Demand'!Q:Q,MATCH($O370,'Aub Demand'!$A:$A,0))-IF(AN370="",0,AN370)+AP371,INDEX('Aub Demand'!Q:Q,MATCH($O370,'Aub Demand'!$A:$A,0))-IF(AN370="",0,AN370)),"")</f>
        <v>10234</v>
      </c>
      <c r="V370" s="53">
        <f t="shared" si="142"/>
        <v>211.9</v>
      </c>
      <c r="W370" s="52" t="str">
        <f t="shared" si="143"/>
        <v/>
      </c>
      <c r="X370" s="52">
        <f>IFERROR(IF(AND(AR371=AR370,AM370&lt;&gt;""),INDEX('Aub Demand'!Q:Q,MATCH($O370,'Aub Demand'!$A:$A,0))-IF(AN370="",0,AN370)+AP371+AD370+AL370,IF(AR371=AR370,INDEX('Aub Demand'!Q:Q,MATCH($O370,'Aub Demand'!$A:$A,0))-IF(AN370="",0,AN370)+AP371+AD370,IF(AM370&lt;&gt;"",INDEX('Aub Demand'!Q:Q,MATCH($O370,'Aub Demand'!$A:$A,0))-IF(AN370="",0,AN370)+AD370+AL370,INDEX('Aub Demand'!Q:Q,MATCH($O370,'Aub Demand'!$A:$A,0))-IF(AN370="",0,AN370)+AD370))),"")</f>
        <v>10234</v>
      </c>
      <c r="Y370" s="53">
        <f t="shared" si="144"/>
        <v>211.9</v>
      </c>
      <c r="Z370" s="52">
        <f>IF(L370="","",INDEX('Aub Demand'!H:H,MATCH($O370,'Aub Demand'!$A:$A,0)))</f>
        <v>207</v>
      </c>
      <c r="AA370" s="52">
        <f t="shared" si="145"/>
        <v>310.5</v>
      </c>
      <c r="AB370" s="52">
        <f>IFERROR(INDEX('Aub Demand'!L:L,MATCH($O370,'Aub Demand'!$A:$A,0)),"")</f>
        <v>421</v>
      </c>
      <c r="AC370" s="52">
        <f>IFERROR(IF(O370="","",SUMIFS('CPL Mats'!F:F,'CPL Mats'!Q:Q,AR370,'CPL Mats'!S:S,AS370)),"")</f>
        <v>0</v>
      </c>
      <c r="AF370" s="25" t="str">
        <f>IF(SUMIFS('Supp Consol'!S:S,'Supp Consol'!Y:Y,"Releasable",'Supp Consol'!A:A,O370)=0,"",SUMIFS('Supp Consol'!S:S,'Supp Consol'!Y:Y,"Releasable",'Supp Consol'!A:A,O370))</f>
        <v/>
      </c>
      <c r="AG370" s="25">
        <f>IFERROR(INDEX('Hun Demand'!Q:Q,MATCH(O370,'Hun Demand'!A:A,0)),"")</f>
        <v>895</v>
      </c>
      <c r="AH370" s="25">
        <f>IFERROR(INDEX('Hun Demand'!H:H,MATCH($O370,'Hun Demand'!$A:$A,0)),"")</f>
        <v>1521</v>
      </c>
      <c r="AI370" s="25" t="str">
        <f>IF(SUMIFS('Supp Consol'!AA:AA,'Supp Consol'!Z:Z,"Expires this month",'Supp Consol'!A:A,O370)=0,"",SUMIFS('Supp Consol'!AA:AA,'Supp Consol'!Z:Z,"Expires this month",'Supp Consol'!A:A,O370))</f>
        <v/>
      </c>
      <c r="AJ370" s="25" t="str">
        <f>IF(SUMIFS('Supp Consol'!AA:AA,'Supp Consol'!Z:Z,"Expired Previous Months",'Supp Consol'!A:A,O370)=0,"",SUMIFS('Supp Consol'!AA:AA,'Supp Consol'!Z:Z,"Expired Previous Months",'Supp Consol'!A:A,O370))</f>
        <v/>
      </c>
      <c r="AK370" s="25" t="str">
        <f>IFERROR(INDEX('Hun Release Current'!B:B,MATCH(O370,'Hun Release Current'!A:A,0)),"")</f>
        <v/>
      </c>
      <c r="AL370" s="25" t="str">
        <f>IF(SUMIF('Prev Aub'!A:A,O370,'Prev Aub'!B:B)=0,"",SUMIF('Prev Aub'!A:A,O370,'Prev Aub'!B:B))</f>
        <v/>
      </c>
      <c r="AN370" s="25" t="s">
        <v>3790</v>
      </c>
      <c r="AO370" s="25" t="s">
        <v>3790</v>
      </c>
      <c r="AP370" s="25">
        <f t="shared" si="146"/>
        <v>0</v>
      </c>
      <c r="AQ370" s="151" t="str">
        <f>IF(SUMIFS('Supp Consol'!S:S,'Supp Consol'!A:A,O370,'Supp Consol'!I:I,"PENDING")=0,"",SUMIFS('Supp Consol'!S:S,'Supp Consol'!A:A,O370,'Supp Consol'!I:I,"PENDING"))</f>
        <v/>
      </c>
      <c r="AR370" s="27" t="str">
        <f t="shared" si="147"/>
        <v>DB010</v>
      </c>
      <c r="AS370" s="27" t="str">
        <f t="shared" si="148"/>
        <v>50</v>
      </c>
      <c r="AT370" s="27" t="str">
        <f t="shared" si="149"/>
        <v/>
      </c>
      <c r="AU370" s="27" t="str">
        <f t="shared" si="150"/>
        <v/>
      </c>
      <c r="AV370" s="27" t="str">
        <f t="shared" si="151"/>
        <v/>
      </c>
      <c r="AW370" s="27" t="str">
        <f t="shared" si="152"/>
        <v/>
      </c>
      <c r="AX370" s="27" t="str">
        <f t="shared" si="153"/>
        <v/>
      </c>
      <c r="AY370" s="27" t="str">
        <f t="shared" si="154"/>
        <v/>
      </c>
      <c r="AZ370" s="27" t="str">
        <f t="shared" si="155"/>
        <v/>
      </c>
      <c r="BA370" s="27" t="str">
        <f t="shared" si="156"/>
        <v>Hun</v>
      </c>
      <c r="BB370" s="27" t="str">
        <f t="shared" si="157"/>
        <v/>
      </c>
      <c r="BC370" s="27" t="str">
        <f t="shared" si="158"/>
        <v/>
      </c>
      <c r="BD370" s="27" t="str">
        <f t="shared" si="159"/>
        <v/>
      </c>
      <c r="BE370" s="27" t="str">
        <f t="shared" si="160"/>
        <v/>
      </c>
      <c r="BF370" s="27" t="str">
        <f t="shared" si="161"/>
        <v/>
      </c>
      <c r="BG370" s="27" t="str">
        <f t="shared" si="162"/>
        <v/>
      </c>
      <c r="BH370" s="27" t="str">
        <f t="shared" si="163"/>
        <v/>
      </c>
      <c r="BI370" s="27" t="str">
        <f t="shared" si="164"/>
        <v/>
      </c>
      <c r="BJ370" s="27" t="str">
        <f t="shared" si="165"/>
        <v>Supp or Hun</v>
      </c>
      <c r="BK370" s="27" t="str">
        <f t="shared" si="166"/>
        <v/>
      </c>
      <c r="BL370" s="27" t="str">
        <f t="shared" si="167"/>
        <v/>
      </c>
      <c r="BM370" s="21" t="s">
        <v>5582</v>
      </c>
    </row>
    <row r="371" spans="1:65" ht="15">
      <c r="A371" s="25">
        <f>IFERROR(INDEX('Hun Demand'!W:W,MATCH(O371,'Hun Demand'!A:A,0)),"")</f>
        <v>1419</v>
      </c>
      <c r="B371" s="25">
        <f>IFERROR(INDEX('Hun Demand'!V:V,MATCH(O371,'Hun Demand'!A:A,0)),"")</f>
        <v>2527</v>
      </c>
      <c r="C371" s="25">
        <f>IFERROR(INDEX('Hun Demand'!U:U,MATCH(O371,'Hun Demand'!A:A,0)),"")</f>
        <v>3038</v>
      </c>
      <c r="D371" s="25">
        <f>IFERROR(INDEX('Hun Demand'!T:T,MATCH(O371,'Hun Demand'!A:A,0)),"")</f>
        <v>760</v>
      </c>
      <c r="E371" s="25">
        <f>IFERROR(INDEX('Hun Demand'!S:S,MATCH(O371,'Hun Demand'!A:A,0)),"")</f>
        <v>2206</v>
      </c>
      <c r="F371" s="25">
        <f>IFERROR(INDEX('Hun Demand'!R:R,MATCH(O371,'Hun Demand'!A:A,0)),"")</f>
        <v>356</v>
      </c>
      <c r="G371" s="25">
        <f>IFERROR(INDEX('Aub Demand'!W:W,MATCH(O371,'Aub Demand'!A:A,0)),"")</f>
        <v>540</v>
      </c>
      <c r="H371" s="25">
        <f>IFERROR(INDEX('Aub Demand'!V:V,MATCH(O371,'Aub Demand'!A:A,0)),"")</f>
        <v>0</v>
      </c>
      <c r="I371" s="25">
        <f>IFERROR(INDEX('Aub Demand'!U:U,MATCH(O371,'Aub Demand'!A:A,0)),"")</f>
        <v>690</v>
      </c>
      <c r="J371" s="25">
        <f>IFERROR(INDEX('Aub Demand'!T:T,MATCH(O371,'Aub Demand'!A:A,0)),"")</f>
        <v>0</v>
      </c>
      <c r="K371" s="25">
        <f>IFERROR(INDEX('Aub Demand'!S:S,MATCH(O371,'Aub Demand'!A:A,0)),"")</f>
        <v>559</v>
      </c>
      <c r="L371" s="25">
        <f>IFERROR(INDEX('Aub Demand'!R:R,MATCH(O371,'Aub Demand'!A:A,0)),"")</f>
        <v>0</v>
      </c>
      <c r="O371" s="27" t="s">
        <v>611</v>
      </c>
      <c r="P371" s="27" t="str">
        <f>IFERROR(INDEX('Aub Demand'!B:B,MATCH($O371,'Aub Demand'!$A:$A,0)),"")</f>
        <v>NUTMEG BACKER</v>
      </c>
      <c r="Q371" s="27" t="str">
        <f>IFERROR(INDEX('Aub Demand'!C:C,MATCH($O371,'Aub Demand'!$A:$A,0)),"")</f>
        <v>TECHN</v>
      </c>
      <c r="R371" s="52">
        <f>IFERROR(IF(AR372=AR371,INDEX('Aub Demand'!K:K,MATCH($O371,'Aub Demand'!$A:$A,0))-IF(AN371="",0,AN371)+AP372,INDEX('Aub Demand'!K:K,MATCH($O371,'Aub Demand'!$A:$A,0))-IF(AN371="",0,AN371)),"")</f>
        <v>1171</v>
      </c>
      <c r="S371" s="53">
        <f t="shared" si="140"/>
        <v>12.1</v>
      </c>
      <c r="T371" s="52" t="str">
        <f t="shared" si="141"/>
        <v/>
      </c>
      <c r="U371" s="52">
        <f>IFERROR(IF(AR372=AR371,INDEX('Aub Demand'!Q:Q,MATCH($O371,'Aub Demand'!$A:$A,0))-IF(AN371="",0,AN371)+AP372,INDEX('Aub Demand'!Q:Q,MATCH($O371,'Aub Demand'!$A:$A,0))-IF(AN371="",0,AN371)),"")</f>
        <v>484</v>
      </c>
      <c r="V371" s="53">
        <f t="shared" si="142"/>
        <v>5</v>
      </c>
      <c r="W371" s="52" t="str">
        <f t="shared" si="143"/>
        <v/>
      </c>
      <c r="X371" s="52">
        <f>IFERROR(IF(AND(AR372=AR371,AM371&lt;&gt;""),INDEX('Aub Demand'!Q:Q,MATCH($O371,'Aub Demand'!$A:$A,0))-IF(AN371="",0,AN371)+AP372+AD371+AL371,IF(AR372=AR371,INDEX('Aub Demand'!Q:Q,MATCH($O371,'Aub Demand'!$A:$A,0))-IF(AN371="",0,AN371)+AP372+AD371,IF(AM371&lt;&gt;"",INDEX('Aub Demand'!Q:Q,MATCH($O371,'Aub Demand'!$A:$A,0))-IF(AN371="",0,AN371)+AD371+AL371,INDEX('Aub Demand'!Q:Q,MATCH($O371,'Aub Demand'!$A:$A,0))-IF(AN371="",0,AN371)+AD371))),"")</f>
        <v>484</v>
      </c>
      <c r="Y371" s="53">
        <f t="shared" si="144"/>
        <v>5</v>
      </c>
      <c r="Z371" s="52">
        <f>IF(L371="","",INDEX('Aub Demand'!H:H,MATCH($O371,'Aub Demand'!$A:$A,0)))</f>
        <v>416</v>
      </c>
      <c r="AA371" s="52">
        <f t="shared" si="145"/>
        <v>624.5</v>
      </c>
      <c r="AB371" s="52">
        <f>IFERROR(INDEX('Aub Demand'!L:L,MATCH($O371,'Aub Demand'!$A:$A,0)),"")</f>
        <v>205</v>
      </c>
      <c r="AC371" s="52">
        <f>IFERROR(IF(O371="","",SUMIFS('CPL Mats'!F:F,'CPL Mats'!Q:Q,AR371,'CPL Mats'!S:S,AS371)),"")</f>
        <v>0</v>
      </c>
      <c r="AF371" s="25" t="str">
        <f>IF(SUMIFS('Supp Consol'!S:S,'Supp Consol'!Y:Y,"Releasable",'Supp Consol'!A:A,O371)=0,"",SUMIFS('Supp Consol'!S:S,'Supp Consol'!Y:Y,"Releasable",'Supp Consol'!A:A,O371))</f>
        <v/>
      </c>
      <c r="AG371" s="25">
        <f>IFERROR(INDEX('Hun Demand'!Q:Q,MATCH(O371,'Hun Demand'!A:A,0)),"")</f>
        <v>13983</v>
      </c>
      <c r="AH371" s="25">
        <f>IFERROR(INDEX('Hun Demand'!H:H,MATCH($O371,'Hun Demand'!$A:$A,0)),"")</f>
        <v>2001</v>
      </c>
      <c r="AI371" s="25" t="str">
        <f>IF(SUMIFS('Supp Consol'!AA:AA,'Supp Consol'!Z:Z,"Expires this month",'Supp Consol'!A:A,O371)=0,"",SUMIFS('Supp Consol'!AA:AA,'Supp Consol'!Z:Z,"Expires this month",'Supp Consol'!A:A,O371))</f>
        <v/>
      </c>
      <c r="AJ371" s="25" t="str">
        <f>IF(SUMIFS('Supp Consol'!AA:AA,'Supp Consol'!Z:Z,"Expired Previous Months",'Supp Consol'!A:A,O371)=0,"",SUMIFS('Supp Consol'!AA:AA,'Supp Consol'!Z:Z,"Expired Previous Months",'Supp Consol'!A:A,O371))</f>
        <v/>
      </c>
      <c r="AK371" s="25" t="str">
        <f>IFERROR(INDEX('Hun Release Current'!B:B,MATCH(O371,'Hun Release Current'!A:A,0)),"")</f>
        <v/>
      </c>
      <c r="AL371" s="25" t="str">
        <f>IF(SUMIF('Prev Aub'!A:A,O371,'Prev Aub'!B:B)=0,"",SUMIF('Prev Aub'!A:A,O371,'Prev Aub'!B:B))</f>
        <v/>
      </c>
      <c r="AN371" s="25" t="s">
        <v>3790</v>
      </c>
      <c r="AO371" s="25" t="s">
        <v>3790</v>
      </c>
      <c r="AP371" s="25">
        <f t="shared" si="146"/>
        <v>0</v>
      </c>
      <c r="AQ371" s="151" t="str">
        <f>IF(SUMIFS('Supp Consol'!S:S,'Supp Consol'!A:A,O371,'Supp Consol'!I:I,"PENDING")=0,"",SUMIFS('Supp Consol'!S:S,'Supp Consol'!A:A,O371,'Supp Consol'!I:I,"PENDING"))</f>
        <v/>
      </c>
      <c r="AR371" s="27" t="str">
        <f t="shared" si="147"/>
        <v>DB010</v>
      </c>
      <c r="AS371" s="27" t="str">
        <f t="shared" si="148"/>
        <v>62</v>
      </c>
      <c r="AT371" s="27" t="str">
        <f t="shared" si="149"/>
        <v/>
      </c>
      <c r="AU371" s="27" t="str">
        <f t="shared" si="150"/>
        <v/>
      </c>
      <c r="AV371" s="27" t="str">
        <f t="shared" si="151"/>
        <v/>
      </c>
      <c r="AW371" s="27" t="str">
        <f t="shared" si="152"/>
        <v/>
      </c>
      <c r="AX371" s="27" t="str">
        <f t="shared" si="153"/>
        <v/>
      </c>
      <c r="AY371" s="27" t="str">
        <f t="shared" si="154"/>
        <v>DB010</v>
      </c>
      <c r="AZ371" s="27" t="str">
        <f t="shared" si="155"/>
        <v/>
      </c>
      <c r="BA371" s="27" t="str">
        <f t="shared" si="156"/>
        <v>Hun</v>
      </c>
      <c r="BB371" s="27" t="str">
        <f t="shared" si="157"/>
        <v/>
      </c>
      <c r="BC371" s="27" t="str">
        <f t="shared" si="158"/>
        <v/>
      </c>
      <c r="BD371" s="27" t="str">
        <f t="shared" si="159"/>
        <v/>
      </c>
      <c r="BE371" s="27" t="str">
        <f t="shared" si="160"/>
        <v/>
      </c>
      <c r="BF371" s="27" t="str">
        <f t="shared" si="161"/>
        <v/>
      </c>
      <c r="BG371" s="27" t="str">
        <f t="shared" si="162"/>
        <v/>
      </c>
      <c r="BH371" s="27" t="str">
        <f t="shared" si="163"/>
        <v/>
      </c>
      <c r="BI371" s="27" t="str">
        <f t="shared" si="164"/>
        <v/>
      </c>
      <c r="BJ371" s="27" t="str">
        <f t="shared" si="165"/>
        <v>Supp or Hun</v>
      </c>
      <c r="BK371" s="27" t="str">
        <f t="shared" si="166"/>
        <v/>
      </c>
      <c r="BL371" s="27" t="str">
        <f t="shared" si="167"/>
        <v/>
      </c>
      <c r="BM371" s="21" t="s">
        <v>5582</v>
      </c>
    </row>
    <row r="372" spans="1:65" ht="15">
      <c r="A372" s="25" t="str">
        <f>IFERROR(INDEX('Hun Demand'!W:W,MATCH(O372,'Hun Demand'!A:A,0)),"")</f>
        <v/>
      </c>
      <c r="B372" s="25" t="str">
        <f>IFERROR(INDEX('Hun Demand'!V:V,MATCH(O372,'Hun Demand'!A:A,0)),"")</f>
        <v/>
      </c>
      <c r="C372" s="25" t="str">
        <f>IFERROR(INDEX('Hun Demand'!U:U,MATCH(O372,'Hun Demand'!A:A,0)),"")</f>
        <v/>
      </c>
      <c r="D372" s="25" t="str">
        <f>IFERROR(INDEX('Hun Demand'!T:T,MATCH(O372,'Hun Demand'!A:A,0)),"")</f>
        <v/>
      </c>
      <c r="E372" s="25" t="str">
        <f>IFERROR(INDEX('Hun Demand'!S:S,MATCH(O372,'Hun Demand'!A:A,0)),"")</f>
        <v/>
      </c>
      <c r="F372" s="25" t="str">
        <f>IFERROR(INDEX('Hun Demand'!R:R,MATCH(O372,'Hun Demand'!A:A,0)),"")</f>
        <v/>
      </c>
      <c r="G372" s="25">
        <f>IFERROR(INDEX('Aub Demand'!W:W,MATCH(O372,'Aub Demand'!A:A,0)),"")</f>
        <v>2263</v>
      </c>
      <c r="H372" s="25">
        <f>IFERROR(INDEX('Aub Demand'!V:V,MATCH(O372,'Aub Demand'!A:A,0)),"")</f>
        <v>974</v>
      </c>
      <c r="I372" s="25">
        <f>IFERROR(INDEX('Aub Demand'!U:U,MATCH(O372,'Aub Demand'!A:A,0)),"")</f>
        <v>642</v>
      </c>
      <c r="J372" s="25">
        <f>IFERROR(INDEX('Aub Demand'!T:T,MATCH(O372,'Aub Demand'!A:A,0)),"")</f>
        <v>672</v>
      </c>
      <c r="K372" s="25">
        <f>IFERROR(INDEX('Aub Demand'!S:S,MATCH(O372,'Aub Demand'!A:A,0)),"")</f>
        <v>945</v>
      </c>
      <c r="L372" s="25">
        <f>IFERROR(INDEX('Aub Demand'!R:R,MATCH(O372,'Aub Demand'!A:A,0)),"")</f>
        <v>0</v>
      </c>
      <c r="O372" s="27" t="s">
        <v>612</v>
      </c>
      <c r="P372" s="27" t="str">
        <f>IFERROR(INDEX('Aub Demand'!B:B,MATCH($O372,'Aub Demand'!$A:$A,0)),"")</f>
        <v>NUTMEG BACKER (BOWLI</v>
      </c>
      <c r="Q372" s="27" t="str">
        <f>IFERROR(INDEX('Aub Demand'!C:C,MATCH($O372,'Aub Demand'!$A:$A,0)),"")</f>
        <v>TECHN</v>
      </c>
      <c r="R372" s="52">
        <f>IFERROR(IF(AR373=AR372,INDEX('Aub Demand'!K:K,MATCH($O372,'Aub Demand'!$A:$A,0))-IF(AN372="",0,AN372)+AP373,INDEX('Aub Demand'!K:K,MATCH($O372,'Aub Demand'!$A:$A,0))-IF(AN372="",0,AN372)),"")</f>
        <v>6231</v>
      </c>
      <c r="S372" s="53">
        <f t="shared" si="140"/>
        <v>35.5</v>
      </c>
      <c r="T372" s="52" t="str">
        <f t="shared" si="141"/>
        <v/>
      </c>
      <c r="U372" s="52">
        <f>IFERROR(IF(AR373=AR372,INDEX('Aub Demand'!Q:Q,MATCH($O372,'Aub Demand'!$A:$A,0))-IF(AN372="",0,AN372)+AP373,INDEX('Aub Demand'!Q:Q,MATCH($O372,'Aub Demand'!$A:$A,0))-IF(AN372="",0,AN372)),"")</f>
        <v>4586</v>
      </c>
      <c r="V372" s="53">
        <f t="shared" si="142"/>
        <v>26.1</v>
      </c>
      <c r="W372" s="52" t="str">
        <f t="shared" si="143"/>
        <v/>
      </c>
      <c r="X372" s="52">
        <f>IFERROR(IF(AND(AR373=AR372,AM372&lt;&gt;""),INDEX('Aub Demand'!Q:Q,MATCH($O372,'Aub Demand'!$A:$A,0))-IF(AN372="",0,AN372)+AP373+AD372+AL372,IF(AR373=AR372,INDEX('Aub Demand'!Q:Q,MATCH($O372,'Aub Demand'!$A:$A,0))-IF(AN372="",0,AN372)+AP373+AD372,IF(AM372&lt;&gt;"",INDEX('Aub Demand'!Q:Q,MATCH($O372,'Aub Demand'!$A:$A,0))-IF(AN372="",0,AN372)+AD372+AL372,INDEX('Aub Demand'!Q:Q,MATCH($O372,'Aub Demand'!$A:$A,0))-IF(AN372="",0,AN372)+AD372))),"")</f>
        <v>4586</v>
      </c>
      <c r="Y372" s="53">
        <f t="shared" si="144"/>
        <v>26.1</v>
      </c>
      <c r="Z372" s="52">
        <f>IF(L372="","",INDEX('Aub Demand'!H:H,MATCH($O372,'Aub Demand'!$A:$A,0)))</f>
        <v>753</v>
      </c>
      <c r="AA372" s="52">
        <f t="shared" si="145"/>
        <v>808.5</v>
      </c>
      <c r="AB372" s="52">
        <f>IFERROR(INDEX('Aub Demand'!L:L,MATCH($O372,'Aub Demand'!$A:$A,0)),"")</f>
        <v>109</v>
      </c>
      <c r="AC372" s="52">
        <f>IFERROR(IF(O372="","",SUMIFS('CPL Mats'!F:F,'CPL Mats'!Q:Q,AR372,'CPL Mats'!S:S,AS372)),"")</f>
        <v>0</v>
      </c>
      <c r="AF372" s="25" t="str">
        <f>IF(SUMIFS('Supp Consol'!S:S,'Supp Consol'!Y:Y,"Releasable",'Supp Consol'!A:A,O372)=0,"",SUMIFS('Supp Consol'!S:S,'Supp Consol'!Y:Y,"Releasable",'Supp Consol'!A:A,O372))</f>
        <v/>
      </c>
      <c r="AG372" s="25" t="str">
        <f>IFERROR(INDEX('Hun Demand'!Q:Q,MATCH(O372,'Hun Demand'!A:A,0)),"")</f>
        <v/>
      </c>
      <c r="AH372" s="25" t="str">
        <f>IFERROR(INDEX('Hun Demand'!H:H,MATCH($O372,'Hun Demand'!$A:$A,0)),"")</f>
        <v/>
      </c>
      <c r="AI372" s="25" t="str">
        <f>IF(SUMIFS('Supp Consol'!AA:AA,'Supp Consol'!Z:Z,"Expires this month",'Supp Consol'!A:A,O372)=0,"",SUMIFS('Supp Consol'!AA:AA,'Supp Consol'!Z:Z,"Expires this month",'Supp Consol'!A:A,O372))</f>
        <v/>
      </c>
      <c r="AJ372" s="25" t="str">
        <f>IF(SUMIFS('Supp Consol'!AA:AA,'Supp Consol'!Z:Z,"Expired Previous Months",'Supp Consol'!A:A,O372)=0,"",SUMIFS('Supp Consol'!AA:AA,'Supp Consol'!Z:Z,"Expired Previous Months",'Supp Consol'!A:A,O372))</f>
        <v/>
      </c>
      <c r="AK372" s="25" t="str">
        <f>IFERROR(INDEX('Hun Release Current'!B:B,MATCH(O372,'Hun Release Current'!A:A,0)),"")</f>
        <v/>
      </c>
      <c r="AL372" s="25" t="str">
        <f>IF(SUMIF('Prev Aub'!A:A,O372,'Prev Aub'!B:B)=0,"",SUMIF('Prev Aub'!A:A,O372,'Prev Aub'!B:B))</f>
        <v/>
      </c>
      <c r="AN372" s="25" t="s">
        <v>3790</v>
      </c>
      <c r="AO372" s="25" t="s">
        <v>3790</v>
      </c>
      <c r="AP372" s="25">
        <f t="shared" si="146"/>
        <v>0</v>
      </c>
      <c r="AQ372" s="151" t="str">
        <f>IF(SUMIFS('Supp Consol'!S:S,'Supp Consol'!A:A,O372,'Supp Consol'!I:I,"PENDING")=0,"",SUMIFS('Supp Consol'!S:S,'Supp Consol'!A:A,O372,'Supp Consol'!I:I,"PENDING"))</f>
        <v/>
      </c>
      <c r="AR372" s="27" t="str">
        <f t="shared" si="147"/>
        <v>DB010</v>
      </c>
      <c r="AS372" s="27" t="str">
        <f t="shared" si="148"/>
        <v>62</v>
      </c>
      <c r="AT372" s="27" t="str">
        <f t="shared" si="149"/>
        <v/>
      </c>
      <c r="AU372" s="27" t="str">
        <f t="shared" si="150"/>
        <v/>
      </c>
      <c r="AV372" s="27" t="str">
        <f t="shared" si="151"/>
        <v/>
      </c>
      <c r="AW372" s="27" t="str">
        <f t="shared" si="152"/>
        <v/>
      </c>
      <c r="AX372" s="27" t="str">
        <f t="shared" si="153"/>
        <v/>
      </c>
      <c r="AY372" s="27" t="str">
        <f t="shared" si="154"/>
        <v/>
      </c>
      <c r="AZ372" s="27" t="str">
        <f t="shared" si="155"/>
        <v/>
      </c>
      <c r="BA372" s="27" t="str">
        <f t="shared" si="156"/>
        <v>Hun</v>
      </c>
      <c r="BB372" s="27" t="str">
        <f t="shared" si="157"/>
        <v/>
      </c>
      <c r="BC372" s="27" t="str">
        <f t="shared" si="158"/>
        <v/>
      </c>
      <c r="BD372" s="27" t="str">
        <f t="shared" si="159"/>
        <v/>
      </c>
      <c r="BE372" s="27" t="str">
        <f t="shared" si="160"/>
        <v/>
      </c>
      <c r="BF372" s="27" t="str">
        <f t="shared" si="161"/>
        <v/>
      </c>
      <c r="BG372" s="27" t="str">
        <f t="shared" si="162"/>
        <v/>
      </c>
      <c r="BH372" s="27" t="str">
        <f t="shared" si="163"/>
        <v/>
      </c>
      <c r="BI372" s="27" t="str">
        <f t="shared" si="164"/>
        <v/>
      </c>
      <c r="BJ372" s="27" t="str">
        <f t="shared" si="165"/>
        <v>Supp or Hun</v>
      </c>
      <c r="BK372" s="27" t="str">
        <f t="shared" si="166"/>
        <v/>
      </c>
      <c r="BL372" s="27" t="str">
        <f t="shared" si="167"/>
        <v/>
      </c>
      <c r="BM372" s="21" t="s">
        <v>5581</v>
      </c>
    </row>
    <row r="373" spans="1:65" ht="15">
      <c r="A373" s="25" t="str">
        <f>IFERROR(INDEX('Hun Demand'!W:W,MATCH(O373,'Hun Demand'!A:A,0)),"")</f>
        <v/>
      </c>
      <c r="B373" s="25" t="str">
        <f>IFERROR(INDEX('Hun Demand'!V:V,MATCH(O373,'Hun Demand'!A:A,0)),"")</f>
        <v/>
      </c>
      <c r="C373" s="25" t="str">
        <f>IFERROR(INDEX('Hun Demand'!U:U,MATCH(O373,'Hun Demand'!A:A,0)),"")</f>
        <v/>
      </c>
      <c r="D373" s="25" t="str">
        <f>IFERROR(INDEX('Hun Demand'!T:T,MATCH(O373,'Hun Demand'!A:A,0)),"")</f>
        <v/>
      </c>
      <c r="E373" s="25" t="str">
        <f>IFERROR(INDEX('Hun Demand'!S:S,MATCH(O373,'Hun Demand'!A:A,0)),"")</f>
        <v/>
      </c>
      <c r="F373" s="25" t="str">
        <f>IFERROR(INDEX('Hun Demand'!R:R,MATCH(O373,'Hun Demand'!A:A,0)),"")</f>
        <v/>
      </c>
      <c r="G373" s="25">
        <f>IFERROR(INDEX('Aub Demand'!W:W,MATCH(O373,'Aub Demand'!A:A,0)),"")</f>
        <v>1897</v>
      </c>
      <c r="H373" s="25">
        <f>IFERROR(INDEX('Aub Demand'!V:V,MATCH(O373,'Aub Demand'!A:A,0)),"")</f>
        <v>795</v>
      </c>
      <c r="I373" s="25">
        <f>IFERROR(INDEX('Aub Demand'!U:U,MATCH(O373,'Aub Demand'!A:A,0)),"")</f>
        <v>787</v>
      </c>
      <c r="J373" s="25">
        <f>IFERROR(INDEX('Aub Demand'!T:T,MATCH(O373,'Aub Demand'!A:A,0)),"")</f>
        <v>1174</v>
      </c>
      <c r="K373" s="25">
        <f>IFERROR(INDEX('Aub Demand'!S:S,MATCH(O373,'Aub Demand'!A:A,0)),"")</f>
        <v>2211</v>
      </c>
      <c r="L373" s="25">
        <f>IFERROR(INDEX('Aub Demand'!R:R,MATCH(O373,'Aub Demand'!A:A,0)),"")</f>
        <v>0</v>
      </c>
      <c r="O373" s="27" t="s">
        <v>638</v>
      </c>
      <c r="P373" s="27" t="str">
        <f>IFERROR(INDEX('Aub Demand'!B:B,MATCH($O373,'Aub Demand'!$A:$A,0)),"")</f>
        <v>FROSTY WHITE</v>
      </c>
      <c r="Q373" s="27" t="str">
        <f>IFERROR(INDEX('Aub Demand'!C:C,MATCH($O373,'Aub Demand'!$A:$A,0)),"")</f>
        <v>TECHN</v>
      </c>
      <c r="R373" s="52">
        <f>IFERROR(IF(AR374=AR373,INDEX('Aub Demand'!K:K,MATCH($O373,'Aub Demand'!$A:$A,0))-IF(AN373="",0,AN373)+AP374,INDEX('Aub Demand'!K:K,MATCH($O373,'Aub Demand'!$A:$A,0))-IF(AN373="",0,AN373)),"")</f>
        <v>7840</v>
      </c>
      <c r="S373" s="53">
        <f t="shared" si="140"/>
        <v>24.2</v>
      </c>
      <c r="T373" s="52" t="str">
        <f t="shared" si="141"/>
        <v/>
      </c>
      <c r="U373" s="52">
        <f>IFERROR(IF(AR374=AR373,INDEX('Aub Demand'!Q:Q,MATCH($O373,'Aub Demand'!$A:$A,0))-IF(AN373="",0,AN373)+AP374,INDEX('Aub Demand'!Q:Q,MATCH($O373,'Aub Demand'!$A:$A,0))-IF(AN373="",0,AN373)),"")</f>
        <v>5048</v>
      </c>
      <c r="V373" s="53">
        <f t="shared" si="142"/>
        <v>15.6</v>
      </c>
      <c r="W373" s="52" t="str">
        <f t="shared" si="143"/>
        <v/>
      </c>
      <c r="X373" s="52">
        <f>IFERROR(IF(AND(AR374=AR373,AM373&lt;&gt;""),INDEX('Aub Demand'!Q:Q,MATCH($O373,'Aub Demand'!$A:$A,0))-IF(AN373="",0,AN373)+AP374+AD373+AL373,IF(AR374=AR373,INDEX('Aub Demand'!Q:Q,MATCH($O373,'Aub Demand'!$A:$A,0))-IF(AN373="",0,AN373)+AP374+AD373,IF(AM373&lt;&gt;"",INDEX('Aub Demand'!Q:Q,MATCH($O373,'Aub Demand'!$A:$A,0))-IF(AN373="",0,AN373)+AD373+AL373,INDEX('Aub Demand'!Q:Q,MATCH($O373,'Aub Demand'!$A:$A,0))-IF(AN373="",0,AN373)+AD373))),"")</f>
        <v>5048</v>
      </c>
      <c r="Y373" s="53">
        <f t="shared" si="144"/>
        <v>15.6</v>
      </c>
      <c r="Z373" s="52">
        <f>IF(L373="","",INDEX('Aub Demand'!H:H,MATCH($O373,'Aub Demand'!$A:$A,0)))</f>
        <v>1391</v>
      </c>
      <c r="AA373" s="52">
        <f t="shared" si="145"/>
        <v>1692.5</v>
      </c>
      <c r="AB373" s="52">
        <f>IFERROR(INDEX('Aub Demand'!L:L,MATCH($O373,'Aub Demand'!$A:$A,0)),"")</f>
        <v>2820</v>
      </c>
      <c r="AC373" s="52">
        <f>IFERROR(IF(O373="","",SUMIFS('CPL Mats'!F:F,'CPL Mats'!Q:Q,AR373,'CPL Mats'!S:S,AS373)),"")</f>
        <v>0</v>
      </c>
      <c r="AF373" s="25" t="str">
        <f>IF(SUMIFS('Supp Consol'!S:S,'Supp Consol'!Y:Y,"Releasable",'Supp Consol'!A:A,O373)=0,"",SUMIFS('Supp Consol'!S:S,'Supp Consol'!Y:Y,"Releasable",'Supp Consol'!A:A,O373))</f>
        <v/>
      </c>
      <c r="AG373" s="25" t="str">
        <f>IFERROR(INDEX('Hun Demand'!Q:Q,MATCH(O373,'Hun Demand'!A:A,0)),"")</f>
        <v/>
      </c>
      <c r="AH373" s="25" t="str">
        <f>IFERROR(INDEX('Hun Demand'!H:H,MATCH($O373,'Hun Demand'!$A:$A,0)),"")</f>
        <v/>
      </c>
      <c r="AI373" s="25" t="str">
        <f>IF(SUMIFS('Supp Consol'!AA:AA,'Supp Consol'!Z:Z,"Expires this month",'Supp Consol'!A:A,O373)=0,"",SUMIFS('Supp Consol'!AA:AA,'Supp Consol'!Z:Z,"Expires this month",'Supp Consol'!A:A,O373))</f>
        <v/>
      </c>
      <c r="AJ373" s="25" t="str">
        <f>IF(SUMIFS('Supp Consol'!AA:AA,'Supp Consol'!Z:Z,"Expired Previous Months",'Supp Consol'!A:A,O373)=0,"",SUMIFS('Supp Consol'!AA:AA,'Supp Consol'!Z:Z,"Expired Previous Months",'Supp Consol'!A:A,O373))</f>
        <v/>
      </c>
      <c r="AK373" s="25" t="str">
        <f>IFERROR(INDEX('Hun Release Current'!B:B,MATCH(O373,'Hun Release Current'!A:A,0)),"")</f>
        <v/>
      </c>
      <c r="AL373" s="25" t="str">
        <f>IF(SUMIF('Prev Aub'!A:A,O373,'Prev Aub'!B:B)=0,"",SUMIF('Prev Aub'!A:A,O373,'Prev Aub'!B:B))</f>
        <v/>
      </c>
      <c r="AN373" s="25" t="s">
        <v>3790</v>
      </c>
      <c r="AO373" s="25" t="s">
        <v>3790</v>
      </c>
      <c r="AP373" s="25">
        <f t="shared" si="146"/>
        <v>0</v>
      </c>
      <c r="AQ373" s="151" t="str">
        <f>IF(SUMIFS('Supp Consol'!S:S,'Supp Consol'!A:A,O373,'Supp Consol'!I:I,"PENDING")=0,"",SUMIFS('Supp Consol'!S:S,'Supp Consol'!A:A,O373,'Supp Consol'!I:I,"PENDING"))</f>
        <v/>
      </c>
      <c r="AR373" s="27" t="str">
        <f t="shared" si="147"/>
        <v>DS009</v>
      </c>
      <c r="AS373" s="27" t="str">
        <f t="shared" si="148"/>
        <v>50</v>
      </c>
      <c r="AT373" s="27" t="str">
        <f t="shared" si="149"/>
        <v/>
      </c>
      <c r="AU373" s="27" t="str">
        <f t="shared" si="150"/>
        <v/>
      </c>
      <c r="AV373" s="27" t="str">
        <f t="shared" si="151"/>
        <v/>
      </c>
      <c r="AW373" s="27" t="str">
        <f t="shared" si="152"/>
        <v/>
      </c>
      <c r="AX373" s="27" t="str">
        <f t="shared" si="153"/>
        <v/>
      </c>
      <c r="AY373" s="27" t="str">
        <f t="shared" si="154"/>
        <v/>
      </c>
      <c r="AZ373" s="27" t="str">
        <f t="shared" si="155"/>
        <v/>
      </c>
      <c r="BA373" s="27" t="str">
        <f t="shared" si="156"/>
        <v/>
      </c>
      <c r="BB373" s="27" t="str">
        <f t="shared" si="157"/>
        <v/>
      </c>
      <c r="BC373" s="27" t="str">
        <f t="shared" si="158"/>
        <v>Net</v>
      </c>
      <c r="BD373" s="27" t="str">
        <f t="shared" si="159"/>
        <v>Net</v>
      </c>
      <c r="BE373" s="27" t="str">
        <f t="shared" si="160"/>
        <v/>
      </c>
      <c r="BF373" s="27" t="str">
        <f t="shared" si="161"/>
        <v/>
      </c>
      <c r="BG373" s="27" t="str">
        <f t="shared" si="162"/>
        <v/>
      </c>
      <c r="BH373" s="27" t="str">
        <f t="shared" si="163"/>
        <v/>
      </c>
      <c r="BI373" s="27" t="str">
        <f t="shared" si="164"/>
        <v/>
      </c>
      <c r="BJ373" s="27" t="str">
        <f t="shared" si="165"/>
        <v/>
      </c>
      <c r="BK373" s="27" t="str">
        <f t="shared" si="166"/>
        <v/>
      </c>
      <c r="BL373" s="27" t="str">
        <f t="shared" si="167"/>
        <v/>
      </c>
      <c r="BM373" s="21" t="s">
        <v>5581</v>
      </c>
    </row>
    <row r="374" spans="1:65" ht="15">
      <c r="A374" s="25" t="str">
        <f>IFERROR(INDEX('Hun Demand'!W:W,MATCH(O374,'Hun Demand'!A:A,0)),"")</f>
        <v/>
      </c>
      <c r="B374" s="25" t="str">
        <f>IFERROR(INDEX('Hun Demand'!V:V,MATCH(O374,'Hun Demand'!A:A,0)),"")</f>
        <v/>
      </c>
      <c r="C374" s="25" t="str">
        <f>IFERROR(INDEX('Hun Demand'!U:U,MATCH(O374,'Hun Demand'!A:A,0)),"")</f>
        <v/>
      </c>
      <c r="D374" s="25" t="str">
        <f>IFERROR(INDEX('Hun Demand'!T:T,MATCH(O374,'Hun Demand'!A:A,0)),"")</f>
        <v/>
      </c>
      <c r="E374" s="25" t="str">
        <f>IFERROR(INDEX('Hun Demand'!S:S,MATCH(O374,'Hun Demand'!A:A,0)),"")</f>
        <v/>
      </c>
      <c r="F374" s="25" t="str">
        <f>IFERROR(INDEX('Hun Demand'!R:R,MATCH(O374,'Hun Demand'!A:A,0)),"")</f>
        <v/>
      </c>
      <c r="G374" s="25">
        <f>IFERROR(INDEX('Aub Demand'!W:W,MATCH(O374,'Aub Demand'!A:A,0)),"")</f>
        <v>1342</v>
      </c>
      <c r="H374" s="25">
        <f>IFERROR(INDEX('Aub Demand'!V:V,MATCH(O374,'Aub Demand'!A:A,0)),"")</f>
        <v>541</v>
      </c>
      <c r="I374" s="25">
        <f>IFERROR(INDEX('Aub Demand'!U:U,MATCH(O374,'Aub Demand'!A:A,0)),"")</f>
        <v>944</v>
      </c>
      <c r="J374" s="25">
        <f>IFERROR(INDEX('Aub Demand'!T:T,MATCH(O374,'Aub Demand'!A:A,0)),"")</f>
        <v>626</v>
      </c>
      <c r="K374" s="25">
        <f>IFERROR(INDEX('Aub Demand'!S:S,MATCH(O374,'Aub Demand'!A:A,0)),"")</f>
        <v>2410</v>
      </c>
      <c r="L374" s="25">
        <f>IFERROR(INDEX('Aub Demand'!R:R,MATCH(O374,'Aub Demand'!A:A,0)),"")</f>
        <v>0</v>
      </c>
      <c r="O374" s="27" t="s">
        <v>641</v>
      </c>
      <c r="P374" s="27" t="str">
        <f>IFERROR(INDEX('Aub Demand'!B:B,MATCH($O374,'Aub Demand'!$A:$A,0)),"")</f>
        <v>FROSTY WHITE</v>
      </c>
      <c r="Q374" s="27" t="str">
        <f>IFERROR(INDEX('Aub Demand'!C:C,MATCH($O374,'Aub Demand'!$A:$A,0)),"")</f>
        <v>TECHN</v>
      </c>
      <c r="R374" s="52">
        <f>IFERROR(IF(AR375=AR374,INDEX('Aub Demand'!K:K,MATCH($O374,'Aub Demand'!$A:$A,0))-IF(AN374="",0,AN374)+AP375,INDEX('Aub Demand'!K:K,MATCH($O374,'Aub Demand'!$A:$A,0))-IF(AN374="",0,AN374)),"")</f>
        <v>1260</v>
      </c>
      <c r="S374" s="53">
        <f t="shared" si="140"/>
        <v>4.0999999999999996</v>
      </c>
      <c r="T374" s="52" t="str">
        <f t="shared" si="141"/>
        <v/>
      </c>
      <c r="U374" s="52">
        <f>IFERROR(IF(AR375=AR374,INDEX('Aub Demand'!Q:Q,MATCH($O374,'Aub Demand'!$A:$A,0))-IF(AN374="",0,AN374)+AP375,INDEX('Aub Demand'!Q:Q,MATCH($O374,'Aub Demand'!$A:$A,0))-IF(AN374="",0,AN374)),"")</f>
        <v>-119</v>
      </c>
      <c r="V374" s="53">
        <f t="shared" si="142"/>
        <v>-0.4</v>
      </c>
      <c r="W374" s="52">
        <f t="shared" si="143"/>
        <v>1425.45</v>
      </c>
      <c r="X374" s="52">
        <f>IFERROR(IF(AND(AR375=AR374,AM374&lt;&gt;""),INDEX('Aub Demand'!Q:Q,MATCH($O374,'Aub Demand'!$A:$A,0))-IF(AN374="",0,AN374)+AP375+AD374+AL374,IF(AR375=AR374,INDEX('Aub Demand'!Q:Q,MATCH($O374,'Aub Demand'!$A:$A,0))-IF(AN374="",0,AN374)+AP375+AD374,IF(AM374&lt;&gt;"",INDEX('Aub Demand'!Q:Q,MATCH($O374,'Aub Demand'!$A:$A,0))-IF(AN374="",0,AN374)+AD374+AL374,INDEX('Aub Demand'!Q:Q,MATCH($O374,'Aub Demand'!$A:$A,0))-IF(AN374="",0,AN374)+AD374))),"")</f>
        <v>-119</v>
      </c>
      <c r="Y374" s="53">
        <f t="shared" si="144"/>
        <v>-0.4</v>
      </c>
      <c r="Z374" s="52">
        <f>IF(L374="","",INDEX('Aub Demand'!H:H,MATCH($O374,'Aub Demand'!$A:$A,0)))</f>
        <v>1327</v>
      </c>
      <c r="AA374" s="52">
        <f t="shared" si="145"/>
        <v>1677</v>
      </c>
      <c r="AB374" s="52">
        <f>IFERROR(INDEX('Aub Demand'!L:L,MATCH($O374,'Aub Demand'!$A:$A,0)),"")</f>
        <v>1670</v>
      </c>
      <c r="AC374" s="52">
        <f>IFERROR(IF(O374="","",SUMIFS('CPL Mats'!F:F,'CPL Mats'!Q:Q,AR374,'CPL Mats'!S:S,AS374)),"")</f>
        <v>0</v>
      </c>
      <c r="AF374" s="25" t="str">
        <f>IF(SUMIFS('Supp Consol'!S:S,'Supp Consol'!Y:Y,"Releasable",'Supp Consol'!A:A,O374)=0,"",SUMIFS('Supp Consol'!S:S,'Supp Consol'!Y:Y,"Releasable",'Supp Consol'!A:A,O374))</f>
        <v/>
      </c>
      <c r="AG374" s="25" t="str">
        <f>IFERROR(INDEX('Hun Demand'!Q:Q,MATCH(O374,'Hun Demand'!A:A,0)),"")</f>
        <v/>
      </c>
      <c r="AH374" s="25" t="str">
        <f>IFERROR(INDEX('Hun Demand'!H:H,MATCH($O374,'Hun Demand'!$A:$A,0)),"")</f>
        <v/>
      </c>
      <c r="AI374" s="25" t="str">
        <f>IF(SUMIFS('Supp Consol'!AA:AA,'Supp Consol'!Z:Z,"Expires this month",'Supp Consol'!A:A,O374)=0,"",SUMIFS('Supp Consol'!AA:AA,'Supp Consol'!Z:Z,"Expires this month",'Supp Consol'!A:A,O374))</f>
        <v/>
      </c>
      <c r="AJ374" s="25" t="str">
        <f>IF(SUMIFS('Supp Consol'!AA:AA,'Supp Consol'!Z:Z,"Expired Previous Months",'Supp Consol'!A:A,O374)=0,"",SUMIFS('Supp Consol'!AA:AA,'Supp Consol'!Z:Z,"Expired Previous Months",'Supp Consol'!A:A,O374))</f>
        <v/>
      </c>
      <c r="AK374" s="25" t="str">
        <f>IFERROR(INDEX('Hun Release Current'!B:B,MATCH(O374,'Hun Release Current'!A:A,0)),"")</f>
        <v/>
      </c>
      <c r="AL374" s="25" t="str">
        <f>IF(SUMIF('Prev Aub'!A:A,O374,'Prev Aub'!B:B)=0,"",SUMIF('Prev Aub'!A:A,O374,'Prev Aub'!B:B))</f>
        <v/>
      </c>
      <c r="AN374" s="25" t="s">
        <v>3790</v>
      </c>
      <c r="AO374" s="25" t="s">
        <v>3790</v>
      </c>
      <c r="AP374" s="25">
        <f t="shared" si="146"/>
        <v>0</v>
      </c>
      <c r="AQ374" s="151" t="str">
        <f>IF(SUMIFS('Supp Consol'!S:S,'Supp Consol'!A:A,O374,'Supp Consol'!I:I,"PENDING")=0,"",SUMIFS('Supp Consol'!S:S,'Supp Consol'!A:A,O374,'Supp Consol'!I:I,"PENDING"))</f>
        <v/>
      </c>
      <c r="AR374" s="27" t="str">
        <f t="shared" si="147"/>
        <v>DS009</v>
      </c>
      <c r="AS374" s="27" t="str">
        <f t="shared" si="148"/>
        <v>62</v>
      </c>
      <c r="AT374" s="27" t="str">
        <f t="shared" si="149"/>
        <v/>
      </c>
      <c r="AU374" s="27" t="str">
        <f t="shared" si="150"/>
        <v>DS009</v>
      </c>
      <c r="AV374" s="27" t="str">
        <f t="shared" si="151"/>
        <v>DS009</v>
      </c>
      <c r="AW374" s="27" t="str">
        <f t="shared" si="152"/>
        <v/>
      </c>
      <c r="AX374" s="27" t="str">
        <f t="shared" si="153"/>
        <v/>
      </c>
      <c r="AY374" s="27" t="str">
        <f t="shared" si="154"/>
        <v/>
      </c>
      <c r="AZ374" s="27" t="str">
        <f t="shared" si="155"/>
        <v/>
      </c>
      <c r="BA374" s="27" t="str">
        <f t="shared" si="156"/>
        <v/>
      </c>
      <c r="BB374" s="27" t="str">
        <f t="shared" si="157"/>
        <v/>
      </c>
      <c r="BC374" s="27" t="str">
        <f t="shared" si="158"/>
        <v>Net</v>
      </c>
      <c r="BD374" s="27" t="str">
        <f t="shared" si="159"/>
        <v>Net</v>
      </c>
      <c r="BE374" s="27" t="str">
        <f t="shared" si="160"/>
        <v/>
      </c>
      <c r="BF374" s="27" t="str">
        <f t="shared" si="161"/>
        <v/>
      </c>
      <c r="BG374" s="27" t="str">
        <f t="shared" si="162"/>
        <v/>
      </c>
      <c r="BH374" s="27" t="str">
        <f t="shared" si="163"/>
        <v/>
      </c>
      <c r="BI374" s="27" t="str">
        <f t="shared" si="164"/>
        <v/>
      </c>
      <c r="BJ374" s="27" t="str">
        <f t="shared" si="165"/>
        <v/>
      </c>
      <c r="BK374" s="27" t="str">
        <f t="shared" si="166"/>
        <v/>
      </c>
      <c r="BL374" s="27" t="str">
        <f t="shared" si="167"/>
        <v/>
      </c>
      <c r="BM374" s="21" t="s">
        <v>5581</v>
      </c>
    </row>
    <row r="375" spans="1:65" ht="15">
      <c r="A375" s="25" t="str">
        <f>IFERROR(INDEX('Hun Demand'!W:W,MATCH(O375,'Hun Demand'!A:A,0)),"")</f>
        <v/>
      </c>
      <c r="B375" s="25" t="str">
        <f>IFERROR(INDEX('Hun Demand'!V:V,MATCH(O375,'Hun Demand'!A:A,0)),"")</f>
        <v/>
      </c>
      <c r="C375" s="25" t="str">
        <f>IFERROR(INDEX('Hun Demand'!U:U,MATCH(O375,'Hun Demand'!A:A,0)),"")</f>
        <v/>
      </c>
      <c r="D375" s="25" t="str">
        <f>IFERROR(INDEX('Hun Demand'!T:T,MATCH(O375,'Hun Demand'!A:A,0)),"")</f>
        <v/>
      </c>
      <c r="E375" s="25" t="str">
        <f>IFERROR(INDEX('Hun Demand'!S:S,MATCH(O375,'Hun Demand'!A:A,0)),"")</f>
        <v/>
      </c>
      <c r="F375" s="25" t="str">
        <f>IFERROR(INDEX('Hun Demand'!R:R,MATCH(O375,'Hun Demand'!A:A,0)),"")</f>
        <v/>
      </c>
      <c r="G375" s="25">
        <f>IFERROR(INDEX('Aub Demand'!W:W,MATCH(O375,'Aub Demand'!A:A,0)),"")</f>
        <v>0</v>
      </c>
      <c r="H375" s="25">
        <f>IFERROR(INDEX('Aub Demand'!V:V,MATCH(O375,'Aub Demand'!A:A,0)),"")</f>
        <v>0</v>
      </c>
      <c r="I375" s="25">
        <f>IFERROR(INDEX('Aub Demand'!U:U,MATCH(O375,'Aub Demand'!A:A,0)),"")</f>
        <v>0</v>
      </c>
      <c r="J375" s="25">
        <f>IFERROR(INDEX('Aub Demand'!T:T,MATCH(O375,'Aub Demand'!A:A,0)),"")</f>
        <v>0</v>
      </c>
      <c r="K375" s="25">
        <f>IFERROR(INDEX('Aub Demand'!S:S,MATCH(O375,'Aub Demand'!A:A,0)),"")</f>
        <v>0</v>
      </c>
      <c r="L375" s="25">
        <f>IFERROR(INDEX('Aub Demand'!R:R,MATCH(O375,'Aub Demand'!A:A,0)),"")</f>
        <v>0</v>
      </c>
      <c r="O375" s="27" t="s">
        <v>642</v>
      </c>
      <c r="P375" s="27" t="str">
        <f>IFERROR(INDEX('Aub Demand'!B:B,MATCH($O375,'Aub Demand'!$A:$A,0)),"")</f>
        <v>SNO FLAKE WHITE</v>
      </c>
      <c r="Q375" s="27" t="str">
        <f>IFERROR(INDEX('Aub Demand'!C:C,MATCH($O375,'Aub Demand'!$A:$A,0)),"")</f>
        <v>TECHN</v>
      </c>
      <c r="R375" s="52">
        <f>IFERROR(IF(AR376=AR375,INDEX('Aub Demand'!K:K,MATCH($O375,'Aub Demand'!$A:$A,0))-IF(AN375="",0,AN375)+AP376,INDEX('Aub Demand'!K:K,MATCH($O375,'Aub Demand'!$A:$A,0))-IF(AN375="",0,AN375)),"")</f>
        <v>935</v>
      </c>
      <c r="S375" s="53" t="str">
        <f t="shared" si="140"/>
        <v>n/a</v>
      </c>
      <c r="T375" s="52" t="str">
        <f t="shared" si="141"/>
        <v/>
      </c>
      <c r="U375" s="52">
        <f>IFERROR(IF(AR376=AR375,INDEX('Aub Demand'!Q:Q,MATCH($O375,'Aub Demand'!$A:$A,0))-IF(AN375="",0,AN375)+AP376,INDEX('Aub Demand'!Q:Q,MATCH($O375,'Aub Demand'!$A:$A,0))-IF(AN375="",0,AN375)),"")</f>
        <v>929</v>
      </c>
      <c r="V375" s="53" t="str">
        <f t="shared" si="142"/>
        <v>n/a</v>
      </c>
      <c r="W375" s="52" t="str">
        <f t="shared" si="143"/>
        <v/>
      </c>
      <c r="X375" s="52">
        <f>IFERROR(IF(AND(AR376=AR375,AM375&lt;&gt;""),INDEX('Aub Demand'!Q:Q,MATCH($O375,'Aub Demand'!$A:$A,0))-IF(AN375="",0,AN375)+AP376+AD375+AL375,IF(AR376=AR375,INDEX('Aub Demand'!Q:Q,MATCH($O375,'Aub Demand'!$A:$A,0))-IF(AN375="",0,AN375)+AP376+AD375,IF(AM375&lt;&gt;"",INDEX('Aub Demand'!Q:Q,MATCH($O375,'Aub Demand'!$A:$A,0))-IF(AN375="",0,AN375)+AD375+AL375,INDEX('Aub Demand'!Q:Q,MATCH($O375,'Aub Demand'!$A:$A,0))-IF(AN375="",0,AN375)+AD375))),"")</f>
        <v>929</v>
      </c>
      <c r="Y375" s="53" t="str">
        <f t="shared" si="144"/>
        <v>n/a</v>
      </c>
      <c r="Z375" s="52">
        <f>IF(L375="","",INDEX('Aub Demand'!H:H,MATCH($O375,'Aub Demand'!$A:$A,0)))</f>
        <v>0</v>
      </c>
      <c r="AA375" s="52" t="str">
        <f t="shared" si="145"/>
        <v>-spike-</v>
      </c>
      <c r="AB375" s="52">
        <f>IFERROR(INDEX('Aub Demand'!L:L,MATCH($O375,'Aub Demand'!$A:$A,0)),"")</f>
        <v>27</v>
      </c>
      <c r="AC375" s="52">
        <f>IFERROR(IF(O375="","",SUMIFS('CPL Mats'!F:F,'CPL Mats'!Q:Q,AR375,'CPL Mats'!S:S,AS375)),"")</f>
        <v>0</v>
      </c>
      <c r="AF375" s="25" t="str">
        <f>IF(SUMIFS('Supp Consol'!S:S,'Supp Consol'!Y:Y,"Releasable",'Supp Consol'!A:A,O375)=0,"",SUMIFS('Supp Consol'!S:S,'Supp Consol'!Y:Y,"Releasable",'Supp Consol'!A:A,O375))</f>
        <v/>
      </c>
      <c r="AG375" s="25" t="str">
        <f>IFERROR(INDEX('Hun Demand'!Q:Q,MATCH(O375,'Hun Demand'!A:A,0)),"")</f>
        <v/>
      </c>
      <c r="AH375" s="25" t="str">
        <f>IFERROR(INDEX('Hun Demand'!H:H,MATCH($O375,'Hun Demand'!$A:$A,0)),"")</f>
        <v/>
      </c>
      <c r="AI375" s="25" t="str">
        <f>IF(SUMIFS('Supp Consol'!AA:AA,'Supp Consol'!Z:Z,"Expires this month",'Supp Consol'!A:A,O375)=0,"",SUMIFS('Supp Consol'!AA:AA,'Supp Consol'!Z:Z,"Expires this month",'Supp Consol'!A:A,O375))</f>
        <v/>
      </c>
      <c r="AJ375" s="25" t="str">
        <f>IF(SUMIFS('Supp Consol'!AA:AA,'Supp Consol'!Z:Z,"Expired Previous Months",'Supp Consol'!A:A,O375)=0,"",SUMIFS('Supp Consol'!AA:AA,'Supp Consol'!Z:Z,"Expired Previous Months",'Supp Consol'!A:A,O375))</f>
        <v/>
      </c>
      <c r="AK375" s="25" t="str">
        <f>IFERROR(INDEX('Hun Release Current'!B:B,MATCH(O375,'Hun Release Current'!A:A,0)),"")</f>
        <v/>
      </c>
      <c r="AL375" s="25" t="str">
        <f>IF(SUMIF('Prev Aub'!A:A,O375,'Prev Aub'!B:B)=0,"",SUMIF('Prev Aub'!A:A,O375,'Prev Aub'!B:B))</f>
        <v/>
      </c>
      <c r="AN375" s="25" t="s">
        <v>3790</v>
      </c>
      <c r="AO375" s="25" t="s">
        <v>3790</v>
      </c>
      <c r="AP375" s="25">
        <f t="shared" si="146"/>
        <v>0</v>
      </c>
      <c r="AQ375" s="151" t="str">
        <f>IF(SUMIFS('Supp Consol'!S:S,'Supp Consol'!A:A,O375,'Supp Consol'!I:I,"PENDING")=0,"",SUMIFS('Supp Consol'!S:S,'Supp Consol'!A:A,O375,'Supp Consol'!I:I,"PENDING"))</f>
        <v/>
      </c>
      <c r="AR375" s="27" t="str">
        <f t="shared" si="147"/>
        <v>DS014</v>
      </c>
      <c r="AS375" s="27" t="str">
        <f t="shared" si="148"/>
        <v>50</v>
      </c>
      <c r="AT375" s="27" t="str">
        <f t="shared" si="149"/>
        <v/>
      </c>
      <c r="AU375" s="27" t="str">
        <f t="shared" si="150"/>
        <v/>
      </c>
      <c r="AV375" s="27" t="str">
        <f t="shared" si="151"/>
        <v/>
      </c>
      <c r="AW375" s="27" t="str">
        <f t="shared" si="152"/>
        <v/>
      </c>
      <c r="AX375" s="27" t="str">
        <f t="shared" si="153"/>
        <v/>
      </c>
      <c r="AY375" s="27" t="str">
        <f t="shared" si="154"/>
        <v/>
      </c>
      <c r="AZ375" s="27" t="str">
        <f t="shared" si="155"/>
        <v/>
      </c>
      <c r="BA375" s="27" t="str">
        <f t="shared" si="156"/>
        <v/>
      </c>
      <c r="BB375" s="27" t="str">
        <f t="shared" si="157"/>
        <v/>
      </c>
      <c r="BC375" s="27" t="str">
        <f t="shared" si="158"/>
        <v/>
      </c>
      <c r="BD375" s="27" t="str">
        <f t="shared" si="159"/>
        <v/>
      </c>
      <c r="BE375" s="27" t="str">
        <f t="shared" si="160"/>
        <v/>
      </c>
      <c r="BF375" s="27" t="str">
        <f t="shared" si="161"/>
        <v/>
      </c>
      <c r="BG375" s="27" t="str">
        <f t="shared" si="162"/>
        <v/>
      </c>
      <c r="BH375" s="27" t="str">
        <f t="shared" si="163"/>
        <v/>
      </c>
      <c r="BI375" s="27" t="str">
        <f t="shared" si="164"/>
        <v/>
      </c>
      <c r="BJ375" s="27" t="str">
        <f t="shared" si="165"/>
        <v/>
      </c>
      <c r="BK375" s="27" t="str">
        <f t="shared" si="166"/>
        <v/>
      </c>
      <c r="BL375" s="27" t="str">
        <f t="shared" si="167"/>
        <v/>
      </c>
      <c r="BM375" s="21" t="s">
        <v>5581</v>
      </c>
    </row>
    <row r="376" spans="1:65" ht="15">
      <c r="A376" s="25" t="str">
        <f>IFERROR(INDEX('Hun Demand'!W:W,MATCH(O376,'Hun Demand'!A:A,0)),"")</f>
        <v/>
      </c>
      <c r="B376" s="25" t="str">
        <f>IFERROR(INDEX('Hun Demand'!V:V,MATCH(O376,'Hun Demand'!A:A,0)),"")</f>
        <v/>
      </c>
      <c r="C376" s="25" t="str">
        <f>IFERROR(INDEX('Hun Demand'!U:U,MATCH(O376,'Hun Demand'!A:A,0)),"")</f>
        <v/>
      </c>
      <c r="D376" s="25" t="str">
        <f>IFERROR(INDEX('Hun Demand'!T:T,MATCH(O376,'Hun Demand'!A:A,0)),"")</f>
        <v/>
      </c>
      <c r="E376" s="25" t="str">
        <f>IFERROR(INDEX('Hun Demand'!S:S,MATCH(O376,'Hun Demand'!A:A,0)),"")</f>
        <v/>
      </c>
      <c r="F376" s="25" t="str">
        <f>IFERROR(INDEX('Hun Demand'!R:R,MATCH(O376,'Hun Demand'!A:A,0)),"")</f>
        <v/>
      </c>
      <c r="G376" s="25">
        <f>IFERROR(INDEX('Aub Demand'!W:W,MATCH(O376,'Aub Demand'!A:A,0)),"")</f>
        <v>0</v>
      </c>
      <c r="H376" s="25">
        <f>IFERROR(INDEX('Aub Demand'!V:V,MATCH(O376,'Aub Demand'!A:A,0)),"")</f>
        <v>0</v>
      </c>
      <c r="I376" s="25">
        <f>IFERROR(INDEX('Aub Demand'!U:U,MATCH(O376,'Aub Demand'!A:A,0)),"")</f>
        <v>0</v>
      </c>
      <c r="J376" s="25">
        <f>IFERROR(INDEX('Aub Demand'!T:T,MATCH(O376,'Aub Demand'!A:A,0)),"")</f>
        <v>0</v>
      </c>
      <c r="K376" s="25">
        <f>IFERROR(INDEX('Aub Demand'!S:S,MATCH(O376,'Aub Demand'!A:A,0)),"")</f>
        <v>0</v>
      </c>
      <c r="L376" s="25">
        <f>IFERROR(INDEX('Aub Demand'!R:R,MATCH(O376,'Aub Demand'!A:A,0)),"")</f>
        <v>0</v>
      </c>
      <c r="O376" s="27" t="s">
        <v>645</v>
      </c>
      <c r="P376" s="27" t="str">
        <f>IFERROR(INDEX('Aub Demand'!B:B,MATCH($O376,'Aub Demand'!$A:$A,0)),"")</f>
        <v>SNO FLAKE WHITE</v>
      </c>
      <c r="Q376" s="27" t="str">
        <f>IFERROR(INDEX('Aub Demand'!C:C,MATCH($O376,'Aub Demand'!$A:$A,0)),"")</f>
        <v>TECHN</v>
      </c>
      <c r="R376" s="52">
        <f>IFERROR(IF(AR377=AR376,INDEX('Aub Demand'!K:K,MATCH($O376,'Aub Demand'!$A:$A,0))-IF(AN376="",0,AN376)+AP377,INDEX('Aub Demand'!K:K,MATCH($O376,'Aub Demand'!$A:$A,0))-IF(AN376="",0,AN376)),"")</f>
        <v>1783</v>
      </c>
      <c r="S376" s="53" t="str">
        <f t="shared" si="140"/>
        <v>n/a</v>
      </c>
      <c r="T376" s="52" t="str">
        <f t="shared" si="141"/>
        <v/>
      </c>
      <c r="U376" s="52">
        <f>IFERROR(IF(AR377=AR376,INDEX('Aub Demand'!Q:Q,MATCH($O376,'Aub Demand'!$A:$A,0))-IF(AN376="",0,AN376)+AP377,INDEX('Aub Demand'!Q:Q,MATCH($O376,'Aub Demand'!$A:$A,0))-IF(AN376="",0,AN376)),"")</f>
        <v>1783</v>
      </c>
      <c r="V376" s="53" t="str">
        <f t="shared" si="142"/>
        <v>n/a</v>
      </c>
      <c r="W376" s="52" t="str">
        <f t="shared" si="143"/>
        <v/>
      </c>
      <c r="X376" s="52">
        <f>IFERROR(IF(AND(AR377=AR376,AM376&lt;&gt;""),INDEX('Aub Demand'!Q:Q,MATCH($O376,'Aub Demand'!$A:$A,0))-IF(AN376="",0,AN376)+AP377+AD376+AL376,IF(AR377=AR376,INDEX('Aub Demand'!Q:Q,MATCH($O376,'Aub Demand'!$A:$A,0))-IF(AN376="",0,AN376)+AP377+AD376,IF(AM376&lt;&gt;"",INDEX('Aub Demand'!Q:Q,MATCH($O376,'Aub Demand'!$A:$A,0))-IF(AN376="",0,AN376)+AD376+AL376,INDEX('Aub Demand'!Q:Q,MATCH($O376,'Aub Demand'!$A:$A,0))-IF(AN376="",0,AN376)+AD376))),"")</f>
        <v>1783</v>
      </c>
      <c r="Y376" s="53" t="str">
        <f t="shared" si="144"/>
        <v>n/a</v>
      </c>
      <c r="Z376" s="52">
        <f>IF(L376="","",INDEX('Aub Demand'!H:H,MATCH($O376,'Aub Demand'!$A:$A,0)))</f>
        <v>0</v>
      </c>
      <c r="AA376" s="52" t="str">
        <f t="shared" si="145"/>
        <v>-spike-</v>
      </c>
      <c r="AB376" s="52">
        <f>IFERROR(INDEX('Aub Demand'!L:L,MATCH($O376,'Aub Demand'!$A:$A,0)),"")</f>
        <v>0</v>
      </c>
      <c r="AC376" s="52">
        <f>IFERROR(IF(O376="","",SUMIFS('CPL Mats'!F:F,'CPL Mats'!Q:Q,AR376,'CPL Mats'!S:S,AS376)),"")</f>
        <v>0</v>
      </c>
      <c r="AF376" s="25" t="str">
        <f>IF(SUMIFS('Supp Consol'!S:S,'Supp Consol'!Y:Y,"Releasable",'Supp Consol'!A:A,O376)=0,"",SUMIFS('Supp Consol'!S:S,'Supp Consol'!Y:Y,"Releasable",'Supp Consol'!A:A,O376))</f>
        <v/>
      </c>
      <c r="AG376" s="25" t="str">
        <f>IFERROR(INDEX('Hun Demand'!Q:Q,MATCH(O376,'Hun Demand'!A:A,0)),"")</f>
        <v/>
      </c>
      <c r="AH376" s="25" t="str">
        <f>IFERROR(INDEX('Hun Demand'!H:H,MATCH($O376,'Hun Demand'!$A:$A,0)),"")</f>
        <v/>
      </c>
      <c r="AI376" s="25" t="str">
        <f>IF(SUMIFS('Supp Consol'!AA:AA,'Supp Consol'!Z:Z,"Expires this month",'Supp Consol'!A:A,O376)=0,"",SUMIFS('Supp Consol'!AA:AA,'Supp Consol'!Z:Z,"Expires this month",'Supp Consol'!A:A,O376))</f>
        <v/>
      </c>
      <c r="AJ376" s="25" t="str">
        <f>IF(SUMIFS('Supp Consol'!AA:AA,'Supp Consol'!Z:Z,"Expired Previous Months",'Supp Consol'!A:A,O376)=0,"",SUMIFS('Supp Consol'!AA:AA,'Supp Consol'!Z:Z,"Expired Previous Months",'Supp Consol'!A:A,O376))</f>
        <v/>
      </c>
      <c r="AK376" s="25" t="str">
        <f>IFERROR(INDEX('Hun Release Current'!B:B,MATCH(O376,'Hun Release Current'!A:A,0)),"")</f>
        <v/>
      </c>
      <c r="AL376" s="25" t="str">
        <f>IF(SUMIF('Prev Aub'!A:A,O376,'Prev Aub'!B:B)=0,"",SUMIF('Prev Aub'!A:A,O376,'Prev Aub'!B:B))</f>
        <v/>
      </c>
      <c r="AN376" s="25" t="s">
        <v>3790</v>
      </c>
      <c r="AO376" s="25" t="s">
        <v>3790</v>
      </c>
      <c r="AP376" s="25">
        <f t="shared" si="146"/>
        <v>0</v>
      </c>
      <c r="AQ376" s="151" t="str">
        <f>IF(SUMIFS('Supp Consol'!S:S,'Supp Consol'!A:A,O376,'Supp Consol'!I:I,"PENDING")=0,"",SUMIFS('Supp Consol'!S:S,'Supp Consol'!A:A,O376,'Supp Consol'!I:I,"PENDING"))</f>
        <v/>
      </c>
      <c r="AR376" s="27" t="str">
        <f t="shared" si="147"/>
        <v>DS014</v>
      </c>
      <c r="AS376" s="27" t="str">
        <f t="shared" si="148"/>
        <v>62</v>
      </c>
      <c r="AT376" s="27" t="str">
        <f t="shared" si="149"/>
        <v/>
      </c>
      <c r="AU376" s="27" t="str">
        <f t="shared" si="150"/>
        <v/>
      </c>
      <c r="AV376" s="27" t="str">
        <f t="shared" si="151"/>
        <v/>
      </c>
      <c r="AW376" s="27" t="str">
        <f t="shared" si="152"/>
        <v/>
      </c>
      <c r="AX376" s="27" t="str">
        <f t="shared" si="153"/>
        <v/>
      </c>
      <c r="AY376" s="27" t="str">
        <f t="shared" si="154"/>
        <v/>
      </c>
      <c r="AZ376" s="27" t="str">
        <f t="shared" si="155"/>
        <v/>
      </c>
      <c r="BA376" s="27" t="str">
        <f t="shared" si="156"/>
        <v/>
      </c>
      <c r="BB376" s="27" t="str">
        <f t="shared" si="157"/>
        <v/>
      </c>
      <c r="BC376" s="27" t="str">
        <f t="shared" si="158"/>
        <v/>
      </c>
      <c r="BD376" s="27" t="str">
        <f t="shared" si="159"/>
        <v/>
      </c>
      <c r="BE376" s="27" t="str">
        <f t="shared" si="160"/>
        <v/>
      </c>
      <c r="BF376" s="27" t="str">
        <f t="shared" si="161"/>
        <v/>
      </c>
      <c r="BG376" s="27" t="str">
        <f t="shared" si="162"/>
        <v/>
      </c>
      <c r="BH376" s="27" t="str">
        <f t="shared" si="163"/>
        <v/>
      </c>
      <c r="BI376" s="27" t="str">
        <f t="shared" si="164"/>
        <v/>
      </c>
      <c r="BJ376" s="27" t="str">
        <f t="shared" si="165"/>
        <v/>
      </c>
      <c r="BK376" s="27" t="str">
        <f t="shared" si="166"/>
        <v/>
      </c>
      <c r="BL376" s="27" t="str">
        <f t="shared" si="167"/>
        <v/>
      </c>
      <c r="BM376" s="21" t="s">
        <v>5581</v>
      </c>
    </row>
    <row r="377" spans="1:65" ht="15">
      <c r="A377" s="25">
        <f>IFERROR(INDEX('Hun Demand'!W:W,MATCH(O377,'Hun Demand'!A:A,0)),"")</f>
        <v>943</v>
      </c>
      <c r="B377" s="25">
        <f>IFERROR(INDEX('Hun Demand'!V:V,MATCH(O377,'Hun Demand'!A:A,0)),"")</f>
        <v>1449</v>
      </c>
      <c r="C377" s="25">
        <f>IFERROR(INDEX('Hun Demand'!U:U,MATCH(O377,'Hun Demand'!A:A,0)),"")</f>
        <v>219</v>
      </c>
      <c r="D377" s="25">
        <f>IFERROR(INDEX('Hun Demand'!T:T,MATCH(O377,'Hun Demand'!A:A,0)),"")</f>
        <v>0</v>
      </c>
      <c r="E377" s="25">
        <f>IFERROR(INDEX('Hun Demand'!S:S,MATCH(O377,'Hun Demand'!A:A,0)),"")</f>
        <v>0</v>
      </c>
      <c r="F377" s="25">
        <f>IFERROR(INDEX('Hun Demand'!R:R,MATCH(O377,'Hun Demand'!A:A,0)),"")</f>
        <v>0</v>
      </c>
      <c r="G377" s="25">
        <f>IFERROR(INDEX('Aub Demand'!W:W,MATCH(O377,'Aub Demand'!A:A,0)),"")</f>
        <v>979</v>
      </c>
      <c r="H377" s="25">
        <f>IFERROR(INDEX('Aub Demand'!V:V,MATCH(O377,'Aub Demand'!A:A,0)),"")</f>
        <v>379</v>
      </c>
      <c r="I377" s="25">
        <f>IFERROR(INDEX('Aub Demand'!U:U,MATCH(O377,'Aub Demand'!A:A,0)),"")</f>
        <v>0</v>
      </c>
      <c r="J377" s="25">
        <f>IFERROR(INDEX('Aub Demand'!T:T,MATCH(O377,'Aub Demand'!A:A,0)),"")</f>
        <v>0</v>
      </c>
      <c r="K377" s="25">
        <f>IFERROR(INDEX('Aub Demand'!S:S,MATCH(O377,'Aub Demand'!A:A,0)),"")</f>
        <v>0</v>
      </c>
      <c r="L377" s="25">
        <f>IFERROR(INDEX('Aub Demand'!R:R,MATCH(O377,'Aub Demand'!A:A,0)),"")</f>
        <v>0</v>
      </c>
      <c r="O377" s="27" t="s">
        <v>646</v>
      </c>
      <c r="P377" s="27" t="str">
        <f>IFERROR(INDEX('Aub Demand'!B:B,MATCH($O377,'Aub Demand'!$A:$A,0)),"")</f>
        <v>SLATE</v>
      </c>
      <c r="Q377" s="27" t="str">
        <f>IFERROR(INDEX('Aub Demand'!C:C,MATCH($O377,'Aub Demand'!$A:$A,0)),"")</f>
        <v>ONYX</v>
      </c>
      <c r="R377" s="52">
        <f>IFERROR(IF(AR378=AR377,INDEX('Aub Demand'!K:K,MATCH($O377,'Aub Demand'!$A:$A,0))-IF(AN377="",0,AN377)+AP378,INDEX('Aub Demand'!K:K,MATCH($O377,'Aub Demand'!$A:$A,0))-IF(AN377="",0,AN377)),"")</f>
        <v>604</v>
      </c>
      <c r="S377" s="53" t="str">
        <f t="shared" si="140"/>
        <v>n/a</v>
      </c>
      <c r="T377" s="52" t="str">
        <f t="shared" si="141"/>
        <v/>
      </c>
      <c r="U377" s="52">
        <f>IFERROR(IF(AR378=AR377,INDEX('Aub Demand'!Q:Q,MATCH($O377,'Aub Demand'!$A:$A,0))-IF(AN377="",0,AN377)+AP378,INDEX('Aub Demand'!Q:Q,MATCH($O377,'Aub Demand'!$A:$A,0))-IF(AN377="",0,AN377)),"")</f>
        <v>604</v>
      </c>
      <c r="V377" s="53" t="str">
        <f t="shared" si="142"/>
        <v>n/a</v>
      </c>
      <c r="W377" s="52" t="str">
        <f t="shared" si="143"/>
        <v/>
      </c>
      <c r="X377" s="52">
        <f>IFERROR(IF(AND(AR378=AR377,AM377&lt;&gt;""),INDEX('Aub Demand'!Q:Q,MATCH($O377,'Aub Demand'!$A:$A,0))-IF(AN377="",0,AN377)+AP378+AD377+AL377,IF(AR378=AR377,INDEX('Aub Demand'!Q:Q,MATCH($O377,'Aub Demand'!$A:$A,0))-IF(AN377="",0,AN377)+AP378+AD377,IF(AM377&lt;&gt;"",INDEX('Aub Demand'!Q:Q,MATCH($O377,'Aub Demand'!$A:$A,0))-IF(AN377="",0,AN377)+AD377+AL377,INDEX('Aub Demand'!Q:Q,MATCH($O377,'Aub Demand'!$A:$A,0))-IF(AN377="",0,AN377)+AD377))),"")</f>
        <v>604</v>
      </c>
      <c r="Y377" s="53" t="str">
        <f t="shared" si="144"/>
        <v>n/a</v>
      </c>
      <c r="Z377" s="52">
        <f>IF(L377="","",INDEX('Aub Demand'!H:H,MATCH($O377,'Aub Demand'!$A:$A,0)))</f>
        <v>0</v>
      </c>
      <c r="AA377" s="52" t="str">
        <f t="shared" si="145"/>
        <v>-spike-</v>
      </c>
      <c r="AB377" s="52">
        <f>IFERROR(INDEX('Aub Demand'!L:L,MATCH($O377,'Aub Demand'!$A:$A,0)),"")</f>
        <v>0</v>
      </c>
      <c r="AC377" s="52">
        <f>IFERROR(IF(O377="","",SUMIFS('CPL Mats'!F:F,'CPL Mats'!Q:Q,AR377,'CPL Mats'!S:S,AS377)),"")</f>
        <v>0</v>
      </c>
      <c r="AF377" s="25">
        <f>IF(SUMIFS('Supp Consol'!S:S,'Supp Consol'!Y:Y,"Releasable",'Supp Consol'!A:A,O377)=0,"",SUMIFS('Supp Consol'!S:S,'Supp Consol'!Y:Y,"Releasable",'Supp Consol'!A:A,O377))</f>
        <v>1001</v>
      </c>
      <c r="AG377" s="25">
        <f>IFERROR(INDEX('Hun Demand'!Q:Q,MATCH(O377,'Hun Demand'!A:A,0)),"")</f>
        <v>502</v>
      </c>
      <c r="AH377" s="25">
        <f>IFERROR(INDEX('Hun Demand'!H:H,MATCH($O377,'Hun Demand'!$A:$A,0)),"")</f>
        <v>73</v>
      </c>
      <c r="AI377" s="25" t="str">
        <f>IF(SUMIFS('Supp Consol'!AA:AA,'Supp Consol'!Z:Z,"Expires this month",'Supp Consol'!A:A,O377)=0,"",SUMIFS('Supp Consol'!AA:AA,'Supp Consol'!Z:Z,"Expires this month",'Supp Consol'!A:A,O377))</f>
        <v/>
      </c>
      <c r="AJ377" s="25" t="str">
        <f>IF(SUMIFS('Supp Consol'!AA:AA,'Supp Consol'!Z:Z,"Expired Previous Months",'Supp Consol'!A:A,O377)=0,"",SUMIFS('Supp Consol'!AA:AA,'Supp Consol'!Z:Z,"Expired Previous Months",'Supp Consol'!A:A,O377))</f>
        <v/>
      </c>
      <c r="AK377" s="25" t="str">
        <f>IFERROR(INDEX('Hun Release Current'!B:B,MATCH(O377,'Hun Release Current'!A:A,0)),"")</f>
        <v/>
      </c>
      <c r="AL377" s="25" t="str">
        <f>IF(SUMIF('Prev Aub'!A:A,O377,'Prev Aub'!B:B)=0,"",SUMIF('Prev Aub'!A:A,O377,'Prev Aub'!B:B))</f>
        <v/>
      </c>
      <c r="AN377" s="25" t="s">
        <v>3790</v>
      </c>
      <c r="AO377" s="25" t="s">
        <v>3790</v>
      </c>
      <c r="AP377" s="25">
        <f t="shared" si="146"/>
        <v>0</v>
      </c>
      <c r="AQ377" s="151" t="str">
        <f>IF(SUMIFS('Supp Consol'!S:S,'Supp Consol'!A:A,O377,'Supp Consol'!I:I,"PENDING")=0,"",SUMIFS('Supp Consol'!S:S,'Supp Consol'!A:A,O377,'Supp Consol'!I:I,"PENDING"))</f>
        <v/>
      </c>
      <c r="AR377" s="27" t="str">
        <f t="shared" si="147"/>
        <v>DS059</v>
      </c>
      <c r="AS377" s="27" t="str">
        <f t="shared" si="148"/>
        <v>50</v>
      </c>
      <c r="AT377" s="27" t="str">
        <f t="shared" si="149"/>
        <v/>
      </c>
      <c r="AU377" s="27" t="str">
        <f t="shared" si="150"/>
        <v/>
      </c>
      <c r="AV377" s="27" t="str">
        <f t="shared" si="151"/>
        <v/>
      </c>
      <c r="AW377" s="27" t="str">
        <f t="shared" si="152"/>
        <v/>
      </c>
      <c r="AX377" s="27" t="str">
        <f t="shared" si="153"/>
        <v>DS059</v>
      </c>
      <c r="AY377" s="27" t="str">
        <f t="shared" si="154"/>
        <v>DS059</v>
      </c>
      <c r="AZ377" s="27" t="str">
        <f t="shared" si="155"/>
        <v>Supp</v>
      </c>
      <c r="BA377" s="27" t="str">
        <f t="shared" si="156"/>
        <v>Hun</v>
      </c>
      <c r="BB377" s="27" t="str">
        <f t="shared" si="157"/>
        <v/>
      </c>
      <c r="BC377" s="27" t="str">
        <f t="shared" si="158"/>
        <v/>
      </c>
      <c r="BD377" s="27" t="str">
        <f t="shared" si="159"/>
        <v/>
      </c>
      <c r="BE377" s="27" t="str">
        <f t="shared" si="160"/>
        <v/>
      </c>
      <c r="BF377" s="27" t="str">
        <f t="shared" si="161"/>
        <v/>
      </c>
      <c r="BG377" s="27" t="str">
        <f t="shared" si="162"/>
        <v/>
      </c>
      <c r="BH377" s="27" t="str">
        <f t="shared" si="163"/>
        <v/>
      </c>
      <c r="BI377" s="27" t="str">
        <f t="shared" si="164"/>
        <v/>
      </c>
      <c r="BJ377" s="27" t="str">
        <f t="shared" si="165"/>
        <v>Supp or Hun</v>
      </c>
      <c r="BK377" s="27" t="str">
        <f t="shared" si="166"/>
        <v/>
      </c>
      <c r="BL377" s="27" t="str">
        <f t="shared" si="167"/>
        <v/>
      </c>
      <c r="BM377" s="21" t="s">
        <v>5582</v>
      </c>
    </row>
    <row r="378" spans="1:65" ht="15">
      <c r="A378" s="25">
        <f>IFERROR(INDEX('Hun Demand'!W:W,MATCH(O378,'Hun Demand'!A:A,0)),"")</f>
        <v>247</v>
      </c>
      <c r="B378" s="25">
        <f>IFERROR(INDEX('Hun Demand'!V:V,MATCH(O378,'Hun Demand'!A:A,0)),"")</f>
        <v>260</v>
      </c>
      <c r="C378" s="25">
        <f>IFERROR(INDEX('Hun Demand'!U:U,MATCH(O378,'Hun Demand'!A:A,0)),"")</f>
        <v>0</v>
      </c>
      <c r="D378" s="25">
        <f>IFERROR(INDEX('Hun Demand'!T:T,MATCH(O378,'Hun Demand'!A:A,0)),"")</f>
        <v>0</v>
      </c>
      <c r="E378" s="25">
        <f>IFERROR(INDEX('Hun Demand'!S:S,MATCH(O378,'Hun Demand'!A:A,0)),"")</f>
        <v>0</v>
      </c>
      <c r="F378" s="25">
        <f>IFERROR(INDEX('Hun Demand'!R:R,MATCH(O378,'Hun Demand'!A:A,0)),"")</f>
        <v>0</v>
      </c>
      <c r="G378" s="25">
        <f>IFERROR(INDEX('Aub Demand'!W:W,MATCH(O378,'Aub Demand'!A:A,0)),"")</f>
        <v>0</v>
      </c>
      <c r="H378" s="25">
        <f>IFERROR(INDEX('Aub Demand'!V:V,MATCH(O378,'Aub Demand'!A:A,0)),"")</f>
        <v>519</v>
      </c>
      <c r="I378" s="25">
        <f>IFERROR(INDEX('Aub Demand'!U:U,MATCH(O378,'Aub Demand'!A:A,0)),"")</f>
        <v>0</v>
      </c>
      <c r="J378" s="25">
        <f>IFERROR(INDEX('Aub Demand'!T:T,MATCH(O378,'Aub Demand'!A:A,0)),"")</f>
        <v>0</v>
      </c>
      <c r="K378" s="25">
        <f>IFERROR(INDEX('Aub Demand'!S:S,MATCH(O378,'Aub Demand'!A:A,0)),"")</f>
        <v>1296</v>
      </c>
      <c r="L378" s="25">
        <f>IFERROR(INDEX('Aub Demand'!R:R,MATCH(O378,'Aub Demand'!A:A,0)),"")</f>
        <v>0</v>
      </c>
      <c r="O378" s="27" t="s">
        <v>649</v>
      </c>
      <c r="P378" s="27" t="str">
        <f>IFERROR(INDEX('Aub Demand'!B:B,MATCH($O378,'Aub Demand'!$A:$A,0)),"")</f>
        <v>SLATE</v>
      </c>
      <c r="Q378" s="27" t="str">
        <f>IFERROR(INDEX('Aub Demand'!C:C,MATCH($O378,'Aub Demand'!$A:$A,0)),"")</f>
        <v>ONYX</v>
      </c>
      <c r="R378" s="52">
        <f>IFERROR(IF(AR379=AR378,INDEX('Aub Demand'!K:K,MATCH($O378,'Aub Demand'!$A:$A,0))-IF(AN378="",0,AN378)+AP379,INDEX('Aub Demand'!K:K,MATCH($O378,'Aub Demand'!$A:$A,0))-IF(AN378="",0,AN378)),"")</f>
        <v>521</v>
      </c>
      <c r="S378" s="53">
        <f t="shared" si="140"/>
        <v>5.2</v>
      </c>
      <c r="T378" s="52" t="str">
        <f t="shared" si="141"/>
        <v/>
      </c>
      <c r="U378" s="52">
        <f>IFERROR(IF(AR379=AR378,INDEX('Aub Demand'!Q:Q,MATCH($O378,'Aub Demand'!$A:$A,0))-IF(AN378="",0,AN378)+AP379,INDEX('Aub Demand'!Q:Q,MATCH($O378,'Aub Demand'!$A:$A,0))-IF(AN378="",0,AN378)),"")</f>
        <v>521</v>
      </c>
      <c r="V378" s="53">
        <f t="shared" si="142"/>
        <v>5.2</v>
      </c>
      <c r="W378" s="52" t="str">
        <f t="shared" si="143"/>
        <v/>
      </c>
      <c r="X378" s="52">
        <f>IFERROR(IF(AND(AR379=AR378,AM378&lt;&gt;""),INDEX('Aub Demand'!Q:Q,MATCH($O378,'Aub Demand'!$A:$A,0))-IF(AN378="",0,AN378)+AP379+AD378+AL378,IF(AR379=AR378,INDEX('Aub Demand'!Q:Q,MATCH($O378,'Aub Demand'!$A:$A,0))-IF(AN378="",0,AN378)+AP379+AD378,IF(AM378&lt;&gt;"",INDEX('Aub Demand'!Q:Q,MATCH($O378,'Aub Demand'!$A:$A,0))-IF(AN378="",0,AN378)+AD378+AL378,INDEX('Aub Demand'!Q:Q,MATCH($O378,'Aub Demand'!$A:$A,0))-IF(AN378="",0,AN378)+AD378))),"")</f>
        <v>521</v>
      </c>
      <c r="Y378" s="53">
        <f t="shared" si="144"/>
        <v>5.2</v>
      </c>
      <c r="Z378" s="52">
        <f>IF(L378="","",INDEX('Aub Demand'!H:H,MATCH($O378,'Aub Demand'!$A:$A,0)))</f>
        <v>432</v>
      </c>
      <c r="AA378" s="52" t="str">
        <f t="shared" si="145"/>
        <v>-spike-</v>
      </c>
      <c r="AB378" s="52">
        <f>IFERROR(INDEX('Aub Demand'!L:L,MATCH($O378,'Aub Demand'!$A:$A,0)),"")</f>
        <v>0</v>
      </c>
      <c r="AC378" s="52">
        <f>IFERROR(IF(O378="","",SUMIFS('CPL Mats'!F:F,'CPL Mats'!Q:Q,AR378,'CPL Mats'!S:S,AS378)),"")</f>
        <v>0</v>
      </c>
      <c r="AF378" s="25" t="str">
        <f>IF(SUMIFS('Supp Consol'!S:S,'Supp Consol'!Y:Y,"Releasable",'Supp Consol'!A:A,O378)=0,"",SUMIFS('Supp Consol'!S:S,'Supp Consol'!Y:Y,"Releasable",'Supp Consol'!A:A,O378))</f>
        <v/>
      </c>
      <c r="AG378" s="25">
        <f>IFERROR(INDEX('Hun Demand'!Q:Q,MATCH(O378,'Hun Demand'!A:A,0)),"")</f>
        <v>939</v>
      </c>
      <c r="AH378" s="25">
        <f>IFERROR(INDEX('Hun Demand'!H:H,MATCH($O378,'Hun Demand'!$A:$A,0)),"")</f>
        <v>0</v>
      </c>
      <c r="AI378" s="25" t="str">
        <f>IF(SUMIFS('Supp Consol'!AA:AA,'Supp Consol'!Z:Z,"Expires this month",'Supp Consol'!A:A,O378)=0,"",SUMIFS('Supp Consol'!AA:AA,'Supp Consol'!Z:Z,"Expires this month",'Supp Consol'!A:A,O378))</f>
        <v/>
      </c>
      <c r="AJ378" s="25" t="str">
        <f>IF(SUMIFS('Supp Consol'!AA:AA,'Supp Consol'!Z:Z,"Expired Previous Months",'Supp Consol'!A:A,O378)=0,"",SUMIFS('Supp Consol'!AA:AA,'Supp Consol'!Z:Z,"Expired Previous Months",'Supp Consol'!A:A,O378))</f>
        <v/>
      </c>
      <c r="AK378" s="25" t="str">
        <f>IFERROR(INDEX('Hun Release Current'!B:B,MATCH(O378,'Hun Release Current'!A:A,0)),"")</f>
        <v/>
      </c>
      <c r="AL378" s="25" t="str">
        <f>IF(SUMIF('Prev Aub'!A:A,O378,'Prev Aub'!B:B)=0,"",SUMIF('Prev Aub'!A:A,O378,'Prev Aub'!B:B))</f>
        <v/>
      </c>
      <c r="AN378" s="25" t="s">
        <v>3790</v>
      </c>
      <c r="AO378" s="25" t="s">
        <v>3790</v>
      </c>
      <c r="AP378" s="25">
        <f t="shared" si="146"/>
        <v>0</v>
      </c>
      <c r="AQ378" s="151" t="str">
        <f>IF(SUMIFS('Supp Consol'!S:S,'Supp Consol'!A:A,O378,'Supp Consol'!I:I,"PENDING")=0,"",SUMIFS('Supp Consol'!S:S,'Supp Consol'!A:A,O378,'Supp Consol'!I:I,"PENDING"))</f>
        <v/>
      </c>
      <c r="AR378" s="27" t="str">
        <f t="shared" si="147"/>
        <v>DS059</v>
      </c>
      <c r="AS378" s="27" t="str">
        <f t="shared" si="148"/>
        <v>62</v>
      </c>
      <c r="AT378" s="27" t="str">
        <f t="shared" si="149"/>
        <v/>
      </c>
      <c r="AU378" s="27" t="str">
        <f t="shared" si="150"/>
        <v/>
      </c>
      <c r="AV378" s="27" t="str">
        <f t="shared" si="151"/>
        <v/>
      </c>
      <c r="AW378" s="27" t="str">
        <f t="shared" si="152"/>
        <v/>
      </c>
      <c r="AX378" s="27" t="str">
        <f t="shared" si="153"/>
        <v/>
      </c>
      <c r="AY378" s="27" t="str">
        <f t="shared" si="154"/>
        <v>DS059</v>
      </c>
      <c r="AZ378" s="27" t="str">
        <f t="shared" si="155"/>
        <v>Supp</v>
      </c>
      <c r="BA378" s="27" t="str">
        <f t="shared" si="156"/>
        <v>Hun</v>
      </c>
      <c r="BB378" s="27" t="str">
        <f t="shared" si="157"/>
        <v/>
      </c>
      <c r="BC378" s="27" t="str">
        <f t="shared" si="158"/>
        <v/>
      </c>
      <c r="BD378" s="27" t="str">
        <f t="shared" si="159"/>
        <v/>
      </c>
      <c r="BE378" s="27" t="str">
        <f t="shared" si="160"/>
        <v/>
      </c>
      <c r="BF378" s="27" t="str">
        <f t="shared" si="161"/>
        <v/>
      </c>
      <c r="BG378" s="27" t="str">
        <f t="shared" si="162"/>
        <v/>
      </c>
      <c r="BH378" s="27" t="str">
        <f t="shared" si="163"/>
        <v/>
      </c>
      <c r="BI378" s="27" t="str">
        <f t="shared" si="164"/>
        <v/>
      </c>
      <c r="BJ378" s="27" t="str">
        <f t="shared" si="165"/>
        <v>Supp or Hun</v>
      </c>
      <c r="BK378" s="27" t="str">
        <f t="shared" si="166"/>
        <v/>
      </c>
      <c r="BL378" s="27" t="str">
        <f t="shared" si="167"/>
        <v/>
      </c>
      <c r="BM378" s="21" t="s">
        <v>5582</v>
      </c>
    </row>
    <row r="379" spans="1:65" ht="15">
      <c r="A379" s="25" t="str">
        <f>IFERROR(INDEX('Hun Demand'!W:W,MATCH(O379,'Hun Demand'!A:A,0)),"")</f>
        <v/>
      </c>
      <c r="B379" s="25" t="str">
        <f>IFERROR(INDEX('Hun Demand'!V:V,MATCH(O379,'Hun Demand'!A:A,0)),"")</f>
        <v/>
      </c>
      <c r="C379" s="25" t="str">
        <f>IFERROR(INDEX('Hun Demand'!U:U,MATCH(O379,'Hun Demand'!A:A,0)),"")</f>
        <v/>
      </c>
      <c r="D379" s="25" t="str">
        <f>IFERROR(INDEX('Hun Demand'!T:T,MATCH(O379,'Hun Demand'!A:A,0)),"")</f>
        <v/>
      </c>
      <c r="E379" s="25" t="str">
        <f>IFERROR(INDEX('Hun Demand'!S:S,MATCH(O379,'Hun Demand'!A:A,0)),"")</f>
        <v/>
      </c>
      <c r="F379" s="25" t="str">
        <f>IFERROR(INDEX('Hun Demand'!R:R,MATCH(O379,'Hun Demand'!A:A,0)),"")</f>
        <v/>
      </c>
      <c r="G379" s="25">
        <f>IFERROR(INDEX('Aub Demand'!W:W,MATCH(O379,'Aub Demand'!A:A,0)),"")</f>
        <v>0</v>
      </c>
      <c r="H379" s="25">
        <f>IFERROR(INDEX('Aub Demand'!V:V,MATCH(O379,'Aub Demand'!A:A,0)),"")</f>
        <v>0</v>
      </c>
      <c r="I379" s="25">
        <f>IFERROR(INDEX('Aub Demand'!U:U,MATCH(O379,'Aub Demand'!A:A,0)),"")</f>
        <v>0</v>
      </c>
      <c r="J379" s="25">
        <f>IFERROR(INDEX('Aub Demand'!T:T,MATCH(O379,'Aub Demand'!A:A,0)),"")</f>
        <v>0</v>
      </c>
      <c r="K379" s="25">
        <f>IFERROR(INDEX('Aub Demand'!S:S,MATCH(O379,'Aub Demand'!A:A,0)),"")</f>
        <v>0</v>
      </c>
      <c r="L379" s="25">
        <f>IFERROR(INDEX('Aub Demand'!R:R,MATCH(O379,'Aub Demand'!A:A,0)),"")</f>
        <v>0</v>
      </c>
      <c r="O379" s="27" t="s">
        <v>651</v>
      </c>
      <c r="P379" s="27" t="str">
        <f>IFERROR(INDEX('Aub Demand'!B:B,MATCH($O379,'Aub Demand'!$A:$A,0)),"")</f>
        <v>BLACK</v>
      </c>
      <c r="Q379" s="27" t="str">
        <f>IFERROR(INDEX('Aub Demand'!C:C,MATCH($O379,'Aub Demand'!$A:$A,0)),"")</f>
        <v>ONYX</v>
      </c>
      <c r="R379" s="52">
        <f>IFERROR(IF(AR380=AR379,INDEX('Aub Demand'!K:K,MATCH($O379,'Aub Demand'!$A:$A,0))-IF(AN379="",0,AN379)+AP380,INDEX('Aub Demand'!K:K,MATCH($O379,'Aub Demand'!$A:$A,0))-IF(AN379="",0,AN379)),"")</f>
        <v>466</v>
      </c>
      <c r="S379" s="53" t="str">
        <f t="shared" si="140"/>
        <v>n/a</v>
      </c>
      <c r="T379" s="52" t="str">
        <f t="shared" si="141"/>
        <v/>
      </c>
      <c r="U379" s="52">
        <f>IFERROR(IF(AR380=AR379,INDEX('Aub Demand'!Q:Q,MATCH($O379,'Aub Demand'!$A:$A,0))-IF(AN379="",0,AN379)+AP380,INDEX('Aub Demand'!Q:Q,MATCH($O379,'Aub Demand'!$A:$A,0))-IF(AN379="",0,AN379)),"")</f>
        <v>463</v>
      </c>
      <c r="V379" s="53" t="str">
        <f t="shared" si="142"/>
        <v>n/a</v>
      </c>
      <c r="W379" s="52" t="str">
        <f t="shared" si="143"/>
        <v/>
      </c>
      <c r="X379" s="52">
        <f>IFERROR(IF(AND(AR380=AR379,AM379&lt;&gt;""),INDEX('Aub Demand'!Q:Q,MATCH($O379,'Aub Demand'!$A:$A,0))-IF(AN379="",0,AN379)+AP380+AD379+AL379,IF(AR380=AR379,INDEX('Aub Demand'!Q:Q,MATCH($O379,'Aub Demand'!$A:$A,0))-IF(AN379="",0,AN379)+AP380+AD379,IF(AM379&lt;&gt;"",INDEX('Aub Demand'!Q:Q,MATCH($O379,'Aub Demand'!$A:$A,0))-IF(AN379="",0,AN379)+AD379+AL379,INDEX('Aub Demand'!Q:Q,MATCH($O379,'Aub Demand'!$A:$A,0))-IF(AN379="",0,AN379)+AD379))),"")</f>
        <v>463</v>
      </c>
      <c r="Y379" s="53" t="str">
        <f t="shared" si="144"/>
        <v>n/a</v>
      </c>
      <c r="Z379" s="52">
        <f>IF(L379="","",INDEX('Aub Demand'!H:H,MATCH($O379,'Aub Demand'!$A:$A,0)))</f>
        <v>0</v>
      </c>
      <c r="AA379" s="52" t="str">
        <f t="shared" si="145"/>
        <v>-spike-</v>
      </c>
      <c r="AB379" s="52">
        <f>IFERROR(INDEX('Aub Demand'!L:L,MATCH($O379,'Aub Demand'!$A:$A,0)),"")</f>
        <v>100</v>
      </c>
      <c r="AC379" s="52">
        <f>IFERROR(IF(O379="","",SUMIFS('CPL Mats'!F:F,'CPL Mats'!Q:Q,AR379,'CPL Mats'!S:S,AS379)),"")</f>
        <v>0</v>
      </c>
      <c r="AF379" s="25" t="str">
        <f>IF(SUMIFS('Supp Consol'!S:S,'Supp Consol'!Y:Y,"Releasable",'Supp Consol'!A:A,O379)=0,"",SUMIFS('Supp Consol'!S:S,'Supp Consol'!Y:Y,"Releasable",'Supp Consol'!A:A,O379))</f>
        <v/>
      </c>
      <c r="AG379" s="25" t="str">
        <f>IFERROR(INDEX('Hun Demand'!Q:Q,MATCH(O379,'Hun Demand'!A:A,0)),"")</f>
        <v/>
      </c>
      <c r="AH379" s="25" t="str">
        <f>IFERROR(INDEX('Hun Demand'!H:H,MATCH($O379,'Hun Demand'!$A:$A,0)),"")</f>
        <v/>
      </c>
      <c r="AI379" s="25" t="str">
        <f>IF(SUMIFS('Supp Consol'!AA:AA,'Supp Consol'!Z:Z,"Expires this month",'Supp Consol'!A:A,O379)=0,"",SUMIFS('Supp Consol'!AA:AA,'Supp Consol'!Z:Z,"Expires this month",'Supp Consol'!A:A,O379))</f>
        <v/>
      </c>
      <c r="AJ379" s="25" t="str">
        <f>IF(SUMIFS('Supp Consol'!AA:AA,'Supp Consol'!Z:Z,"Expired Previous Months",'Supp Consol'!A:A,O379)=0,"",SUMIFS('Supp Consol'!AA:AA,'Supp Consol'!Z:Z,"Expired Previous Months",'Supp Consol'!A:A,O379))</f>
        <v/>
      </c>
      <c r="AK379" s="25" t="str">
        <f>IFERROR(INDEX('Hun Release Current'!B:B,MATCH(O379,'Hun Release Current'!A:A,0)),"")</f>
        <v/>
      </c>
      <c r="AL379" s="25" t="str">
        <f>IF(SUMIF('Prev Aub'!A:A,O379,'Prev Aub'!B:B)=0,"",SUMIF('Prev Aub'!A:A,O379,'Prev Aub'!B:B))</f>
        <v/>
      </c>
      <c r="AN379" s="25" t="s">
        <v>3790</v>
      </c>
      <c r="AO379" s="25" t="s">
        <v>3790</v>
      </c>
      <c r="AP379" s="25">
        <f t="shared" si="146"/>
        <v>0</v>
      </c>
      <c r="AQ379" s="151" t="str">
        <f>IF(SUMIFS('Supp Consol'!S:S,'Supp Consol'!A:A,O379,'Supp Consol'!I:I,"PENDING")=0,"",SUMIFS('Supp Consol'!S:S,'Supp Consol'!A:A,O379,'Supp Consol'!I:I,"PENDING"))</f>
        <v/>
      </c>
      <c r="AR379" s="27" t="str">
        <f t="shared" si="147"/>
        <v>DS064</v>
      </c>
      <c r="AS379" s="27" t="str">
        <f t="shared" si="148"/>
        <v>37</v>
      </c>
      <c r="AT379" s="27" t="str">
        <f t="shared" si="149"/>
        <v/>
      </c>
      <c r="AU379" s="27" t="str">
        <f t="shared" si="150"/>
        <v/>
      </c>
      <c r="AV379" s="27" t="str">
        <f t="shared" si="151"/>
        <v/>
      </c>
      <c r="AW379" s="27" t="str">
        <f t="shared" si="152"/>
        <v/>
      </c>
      <c r="AX379" s="27" t="str">
        <f t="shared" si="153"/>
        <v/>
      </c>
      <c r="AY379" s="27" t="str">
        <f t="shared" si="154"/>
        <v/>
      </c>
      <c r="AZ379" s="27" t="str">
        <f t="shared" si="155"/>
        <v>Supp</v>
      </c>
      <c r="BA379" s="27" t="str">
        <f t="shared" si="156"/>
        <v>Hun</v>
      </c>
      <c r="BB379" s="27" t="str">
        <f t="shared" si="157"/>
        <v/>
      </c>
      <c r="BC379" s="27" t="str">
        <f t="shared" si="158"/>
        <v/>
      </c>
      <c r="BD379" s="27" t="str">
        <f t="shared" si="159"/>
        <v/>
      </c>
      <c r="BE379" s="27" t="str">
        <f t="shared" si="160"/>
        <v/>
      </c>
      <c r="BF379" s="27" t="str">
        <f t="shared" si="161"/>
        <v/>
      </c>
      <c r="BG379" s="27" t="str">
        <f t="shared" si="162"/>
        <v/>
      </c>
      <c r="BH379" s="27" t="str">
        <f t="shared" si="163"/>
        <v/>
      </c>
      <c r="BI379" s="27" t="str">
        <f t="shared" si="164"/>
        <v/>
      </c>
      <c r="BJ379" s="27" t="str">
        <f t="shared" si="165"/>
        <v>Supp or Hun</v>
      </c>
      <c r="BK379" s="27" t="str">
        <f t="shared" si="166"/>
        <v/>
      </c>
      <c r="BL379" s="27" t="str">
        <f t="shared" si="167"/>
        <v/>
      </c>
      <c r="BM379" s="21" t="s">
        <v>5581</v>
      </c>
    </row>
    <row r="380" spans="1:65" ht="15">
      <c r="A380" s="25">
        <f>IFERROR(INDEX('Hun Demand'!W:W,MATCH(O380,'Hun Demand'!A:A,0)),"")</f>
        <v>6305</v>
      </c>
      <c r="B380" s="25">
        <f>IFERROR(INDEX('Hun Demand'!V:V,MATCH(O380,'Hun Demand'!A:A,0)),"")</f>
        <v>3470</v>
      </c>
      <c r="C380" s="25">
        <f>IFERROR(INDEX('Hun Demand'!U:U,MATCH(O380,'Hun Demand'!A:A,0)),"")</f>
        <v>2663</v>
      </c>
      <c r="D380" s="25">
        <f>IFERROR(INDEX('Hun Demand'!T:T,MATCH(O380,'Hun Demand'!A:A,0)),"")</f>
        <v>4109</v>
      </c>
      <c r="E380" s="25">
        <f>IFERROR(INDEX('Hun Demand'!S:S,MATCH(O380,'Hun Demand'!A:A,0)),"")</f>
        <v>2757</v>
      </c>
      <c r="F380" s="25">
        <f>IFERROR(INDEX('Hun Demand'!R:R,MATCH(O380,'Hun Demand'!A:A,0)),"")</f>
        <v>0</v>
      </c>
      <c r="G380" s="25">
        <f>IFERROR(INDEX('Aub Demand'!W:W,MATCH(O380,'Aub Demand'!A:A,0)),"")</f>
        <v>126</v>
      </c>
      <c r="H380" s="25">
        <f>IFERROR(INDEX('Aub Demand'!V:V,MATCH(O380,'Aub Demand'!A:A,0)),"")</f>
        <v>0</v>
      </c>
      <c r="I380" s="25">
        <f>IFERROR(INDEX('Aub Demand'!U:U,MATCH(O380,'Aub Demand'!A:A,0)),"")</f>
        <v>0</v>
      </c>
      <c r="J380" s="25">
        <f>IFERROR(INDEX('Aub Demand'!T:T,MATCH(O380,'Aub Demand'!A:A,0)),"")</f>
        <v>0</v>
      </c>
      <c r="K380" s="25">
        <f>IFERROR(INDEX('Aub Demand'!S:S,MATCH(O380,'Aub Demand'!A:A,0)),"")</f>
        <v>124</v>
      </c>
      <c r="L380" s="25">
        <f>IFERROR(INDEX('Aub Demand'!R:R,MATCH(O380,'Aub Demand'!A:A,0)),"")</f>
        <v>0</v>
      </c>
      <c r="O380" s="27" t="s">
        <v>654</v>
      </c>
      <c r="P380" s="27" t="str">
        <f>IFERROR(INDEX('Aub Demand'!B:B,MATCH($O380,'Aub Demand'!$A:$A,0)),"")</f>
        <v>BLACK (LPL USE)</v>
      </c>
      <c r="Q380" s="27" t="str">
        <f>IFERROR(INDEX('Aub Demand'!C:C,MATCH($O380,'Aub Demand'!$A:$A,0)),"")</f>
        <v>ONYX</v>
      </c>
      <c r="R380" s="52">
        <f>IFERROR(IF(AR381=AR380,INDEX('Aub Demand'!K:K,MATCH($O380,'Aub Demand'!$A:$A,0))-IF(AN380="",0,AN380)+AP381,INDEX('Aub Demand'!K:K,MATCH($O380,'Aub Demand'!$A:$A,0))-IF(AN380="",0,AN380)),"")</f>
        <v>17035</v>
      </c>
      <c r="S380" s="53">
        <f t="shared" si="140"/>
        <v>1780.7</v>
      </c>
      <c r="T380" s="52" t="str">
        <f t="shared" si="141"/>
        <v/>
      </c>
      <c r="U380" s="52">
        <f>IFERROR(IF(AR381=AR380,INDEX('Aub Demand'!Q:Q,MATCH($O380,'Aub Demand'!$A:$A,0))-IF(AN380="",0,AN380)+AP381,INDEX('Aub Demand'!Q:Q,MATCH($O380,'Aub Demand'!$A:$A,0))-IF(AN380="",0,AN380)),"")</f>
        <v>16793</v>
      </c>
      <c r="V380" s="53">
        <f t="shared" si="142"/>
        <v>1755.4</v>
      </c>
      <c r="W380" s="52" t="str">
        <f t="shared" si="143"/>
        <v/>
      </c>
      <c r="X380" s="52">
        <f>IFERROR(IF(AND(AR381=AR380,AM380&lt;&gt;""),INDEX('Aub Demand'!Q:Q,MATCH($O380,'Aub Demand'!$A:$A,0))-IF(AN380="",0,AN380)+AP381+AD380+AL380,IF(AR381=AR380,INDEX('Aub Demand'!Q:Q,MATCH($O380,'Aub Demand'!$A:$A,0))-IF(AN380="",0,AN380)+AP381+AD380,IF(AM380&lt;&gt;"",INDEX('Aub Demand'!Q:Q,MATCH($O380,'Aub Demand'!$A:$A,0))-IF(AN380="",0,AN380)+AD380+AL380,INDEX('Aub Demand'!Q:Q,MATCH($O380,'Aub Demand'!$A:$A,0))-IF(AN380="",0,AN380)+AD380))),"")</f>
        <v>16793</v>
      </c>
      <c r="Y380" s="53">
        <f t="shared" si="144"/>
        <v>1755.4</v>
      </c>
      <c r="Z380" s="52">
        <f>IF(L380="","",INDEX('Aub Demand'!H:H,MATCH($O380,'Aub Demand'!$A:$A,0)))</f>
        <v>41</v>
      </c>
      <c r="AA380" s="52" t="str">
        <f t="shared" si="145"/>
        <v>-spike-</v>
      </c>
      <c r="AB380" s="52">
        <f>IFERROR(INDEX('Aub Demand'!L:L,MATCH($O380,'Aub Demand'!$A:$A,0)),"")</f>
        <v>0</v>
      </c>
      <c r="AC380" s="52">
        <f>IFERROR(IF(O380="","",SUMIFS('CPL Mats'!F:F,'CPL Mats'!Q:Q,AR380,'CPL Mats'!S:S,AS380)),"")</f>
        <v>0</v>
      </c>
      <c r="AF380" s="25">
        <f>IF(SUMIFS('Supp Consol'!S:S,'Supp Consol'!Y:Y,"Releasable",'Supp Consol'!A:A,O380)=0,"",SUMIFS('Supp Consol'!S:S,'Supp Consol'!Y:Y,"Releasable",'Supp Consol'!A:A,O380))</f>
        <v>20222</v>
      </c>
      <c r="AG380" s="25">
        <f>IFERROR(INDEX('Hun Demand'!Q:Q,MATCH(O380,'Hun Demand'!A:A,0)),"")</f>
        <v>17533</v>
      </c>
      <c r="AH380" s="25">
        <f>IFERROR(INDEX('Hun Demand'!H:H,MATCH($O380,'Hun Demand'!$A:$A,0)),"")</f>
        <v>3176</v>
      </c>
      <c r="AI380" s="25" t="str">
        <f>IF(SUMIFS('Supp Consol'!AA:AA,'Supp Consol'!Z:Z,"Expires this month",'Supp Consol'!A:A,O380)=0,"",SUMIFS('Supp Consol'!AA:AA,'Supp Consol'!Z:Z,"Expires this month",'Supp Consol'!A:A,O380))</f>
        <v/>
      </c>
      <c r="AJ380" s="25" t="str">
        <f>IF(SUMIFS('Supp Consol'!AA:AA,'Supp Consol'!Z:Z,"Expired Previous Months",'Supp Consol'!A:A,O380)=0,"",SUMIFS('Supp Consol'!AA:AA,'Supp Consol'!Z:Z,"Expired Previous Months",'Supp Consol'!A:A,O380))</f>
        <v/>
      </c>
      <c r="AK380" s="25" t="str">
        <f>IFERROR(INDEX('Hun Release Current'!B:B,MATCH(O380,'Hun Release Current'!A:A,0)),"")</f>
        <v/>
      </c>
      <c r="AL380" s="25" t="str">
        <f>IF(SUMIF('Prev Aub'!A:A,O380,'Prev Aub'!B:B)=0,"",SUMIF('Prev Aub'!A:A,O380,'Prev Aub'!B:B))</f>
        <v/>
      </c>
      <c r="AN380" s="25" t="s">
        <v>3790</v>
      </c>
      <c r="AO380" s="25" t="s">
        <v>3790</v>
      </c>
      <c r="AP380" s="25">
        <f t="shared" si="146"/>
        <v>0</v>
      </c>
      <c r="AQ380" s="151" t="str">
        <f>IF(SUMIFS('Supp Consol'!S:S,'Supp Consol'!A:A,O380,'Supp Consol'!I:I,"PENDING")=0,"",SUMIFS('Supp Consol'!S:S,'Supp Consol'!A:A,O380,'Supp Consol'!I:I,"PENDING"))</f>
        <v/>
      </c>
      <c r="AR380" s="27" t="str">
        <f t="shared" si="147"/>
        <v>DS064</v>
      </c>
      <c r="AS380" s="27" t="str">
        <f t="shared" si="148"/>
        <v>49</v>
      </c>
      <c r="AT380" s="27" t="str">
        <f t="shared" si="149"/>
        <v/>
      </c>
      <c r="AU380" s="27" t="str">
        <f t="shared" si="150"/>
        <v/>
      </c>
      <c r="AV380" s="27" t="str">
        <f t="shared" si="151"/>
        <v/>
      </c>
      <c r="AW380" s="27" t="str">
        <f t="shared" si="152"/>
        <v/>
      </c>
      <c r="AX380" s="27" t="str">
        <f t="shared" si="153"/>
        <v>DS064</v>
      </c>
      <c r="AY380" s="27" t="str">
        <f t="shared" si="154"/>
        <v>DS064</v>
      </c>
      <c r="AZ380" s="27" t="str">
        <f t="shared" si="155"/>
        <v>Supp</v>
      </c>
      <c r="BA380" s="27" t="str">
        <f t="shared" si="156"/>
        <v>Hun</v>
      </c>
      <c r="BB380" s="27" t="str">
        <f t="shared" si="157"/>
        <v/>
      </c>
      <c r="BC380" s="27" t="str">
        <f t="shared" si="158"/>
        <v/>
      </c>
      <c r="BD380" s="27" t="str">
        <f t="shared" si="159"/>
        <v/>
      </c>
      <c r="BE380" s="27" t="str">
        <f t="shared" si="160"/>
        <v/>
      </c>
      <c r="BF380" s="27" t="str">
        <f t="shared" si="161"/>
        <v/>
      </c>
      <c r="BG380" s="27" t="str">
        <f t="shared" si="162"/>
        <v/>
      </c>
      <c r="BH380" s="27" t="str">
        <f t="shared" si="163"/>
        <v/>
      </c>
      <c r="BI380" s="27" t="str">
        <f t="shared" si="164"/>
        <v/>
      </c>
      <c r="BJ380" s="27" t="str">
        <f t="shared" si="165"/>
        <v>Supp or Hun</v>
      </c>
      <c r="BK380" s="27" t="str">
        <f t="shared" si="166"/>
        <v/>
      </c>
      <c r="BL380" s="27" t="str">
        <f t="shared" si="167"/>
        <v/>
      </c>
      <c r="BM380" s="21" t="s">
        <v>5582</v>
      </c>
    </row>
    <row r="381" spans="1:65" ht="15">
      <c r="A381" s="25" t="str">
        <f>IFERROR(INDEX('Hun Demand'!W:W,MATCH(O381,'Hun Demand'!A:A,0)),"")</f>
        <v/>
      </c>
      <c r="B381" s="25" t="str">
        <f>IFERROR(INDEX('Hun Demand'!V:V,MATCH(O381,'Hun Demand'!A:A,0)),"")</f>
        <v/>
      </c>
      <c r="C381" s="25" t="str">
        <f>IFERROR(INDEX('Hun Demand'!U:U,MATCH(O381,'Hun Demand'!A:A,0)),"")</f>
        <v/>
      </c>
      <c r="D381" s="25" t="str">
        <f>IFERROR(INDEX('Hun Demand'!T:T,MATCH(O381,'Hun Demand'!A:A,0)),"")</f>
        <v/>
      </c>
      <c r="E381" s="25" t="str">
        <f>IFERROR(INDEX('Hun Demand'!S:S,MATCH(O381,'Hun Demand'!A:A,0)),"")</f>
        <v/>
      </c>
      <c r="F381" s="25" t="str">
        <f>IFERROR(INDEX('Hun Demand'!R:R,MATCH(O381,'Hun Demand'!A:A,0)),"")</f>
        <v/>
      </c>
      <c r="G381" s="25">
        <f>IFERROR(INDEX('Aub Demand'!W:W,MATCH(O381,'Aub Demand'!A:A,0)),"")</f>
        <v>654</v>
      </c>
      <c r="H381" s="25">
        <f>IFERROR(INDEX('Aub Demand'!V:V,MATCH(O381,'Aub Demand'!A:A,0)),"")</f>
        <v>1183</v>
      </c>
      <c r="I381" s="25">
        <f>IFERROR(INDEX('Aub Demand'!U:U,MATCH(O381,'Aub Demand'!A:A,0)),"")</f>
        <v>190</v>
      </c>
      <c r="J381" s="25">
        <f>IFERROR(INDEX('Aub Demand'!T:T,MATCH(O381,'Aub Demand'!A:A,0)),"")</f>
        <v>711</v>
      </c>
      <c r="K381" s="25">
        <f>IFERROR(INDEX('Aub Demand'!S:S,MATCH(O381,'Aub Demand'!A:A,0)),"")</f>
        <v>343</v>
      </c>
      <c r="L381" s="25">
        <f>IFERROR(INDEX('Aub Demand'!R:R,MATCH(O381,'Aub Demand'!A:A,0)),"")</f>
        <v>0</v>
      </c>
      <c r="O381" s="27" t="s">
        <v>657</v>
      </c>
      <c r="P381" s="27" t="str">
        <f>IFERROR(INDEX('Aub Demand'!B:B,MATCH($O381,'Aub Demand'!$A:$A,0)),"")</f>
        <v>BLACK</v>
      </c>
      <c r="Q381" s="27" t="str">
        <f>IFERROR(INDEX('Aub Demand'!C:C,MATCH($O381,'Aub Demand'!$A:$A,0)),"")</f>
        <v>ONYX</v>
      </c>
      <c r="R381" s="52">
        <f>IFERROR(IF(AR382=AR381,INDEX('Aub Demand'!K:K,MATCH($O381,'Aub Demand'!$A:$A,0))-IF(AN381="",0,AN381)+AP382,INDEX('Aub Demand'!K:K,MATCH($O381,'Aub Demand'!$A:$A,0))-IF(AN381="",0,AN381)),"")</f>
        <v>7030</v>
      </c>
      <c r="S381" s="53">
        <f t="shared" si="140"/>
        <v>72.599999999999994</v>
      </c>
      <c r="T381" s="52" t="str">
        <f t="shared" si="141"/>
        <v/>
      </c>
      <c r="U381" s="52">
        <f>IFERROR(IF(AR382=AR381,INDEX('Aub Demand'!Q:Q,MATCH($O381,'Aub Demand'!$A:$A,0))-IF(AN381="",0,AN381)+AP382,INDEX('Aub Demand'!Q:Q,MATCH($O381,'Aub Demand'!$A:$A,0))-IF(AN381="",0,AN381)),"")</f>
        <v>6837</v>
      </c>
      <c r="V381" s="53">
        <f t="shared" si="142"/>
        <v>70.599999999999994</v>
      </c>
      <c r="W381" s="52" t="str">
        <f t="shared" si="143"/>
        <v/>
      </c>
      <c r="X381" s="52">
        <f>IFERROR(IF(AND(AR382=AR381,AM381&lt;&gt;""),INDEX('Aub Demand'!Q:Q,MATCH($O381,'Aub Demand'!$A:$A,0))-IF(AN381="",0,AN381)+AP382+AD381+AL381,IF(AR382=AR381,INDEX('Aub Demand'!Q:Q,MATCH($O381,'Aub Demand'!$A:$A,0))-IF(AN381="",0,AN381)+AP382+AD381,IF(AM381&lt;&gt;"",INDEX('Aub Demand'!Q:Q,MATCH($O381,'Aub Demand'!$A:$A,0))-IF(AN381="",0,AN381)+AD381+AL381,INDEX('Aub Demand'!Q:Q,MATCH($O381,'Aub Demand'!$A:$A,0))-IF(AN381="",0,AN381)+AD381))),"")</f>
        <v>6837</v>
      </c>
      <c r="Y381" s="53">
        <f t="shared" si="144"/>
        <v>70.599999999999994</v>
      </c>
      <c r="Z381" s="52">
        <f>IF(L381="","",INDEX('Aub Demand'!H:H,MATCH($O381,'Aub Demand'!$A:$A,0)))</f>
        <v>415</v>
      </c>
      <c r="AA381" s="52">
        <f t="shared" si="145"/>
        <v>527</v>
      </c>
      <c r="AB381" s="52">
        <f>IFERROR(INDEX('Aub Demand'!L:L,MATCH($O381,'Aub Demand'!$A:$A,0)),"")</f>
        <v>1369</v>
      </c>
      <c r="AC381" s="52">
        <f>IFERROR(IF(O381="","",SUMIFS('CPL Mats'!F:F,'CPL Mats'!Q:Q,AR381,'CPL Mats'!S:S,AS381)),"")</f>
        <v>0</v>
      </c>
      <c r="AF381" s="25">
        <f>IF(SUMIFS('Supp Consol'!S:S,'Supp Consol'!Y:Y,"Releasable",'Supp Consol'!A:A,O381)=0,"",SUMIFS('Supp Consol'!S:S,'Supp Consol'!Y:Y,"Releasable",'Supp Consol'!A:A,O381))</f>
        <v>2535</v>
      </c>
      <c r="AG381" s="25" t="str">
        <f>IFERROR(INDEX('Hun Demand'!Q:Q,MATCH(O381,'Hun Demand'!A:A,0)),"")</f>
        <v/>
      </c>
      <c r="AH381" s="25" t="str">
        <f>IFERROR(INDEX('Hun Demand'!H:H,MATCH($O381,'Hun Demand'!$A:$A,0)),"")</f>
        <v/>
      </c>
      <c r="AI381" s="25" t="str">
        <f>IF(SUMIFS('Supp Consol'!AA:AA,'Supp Consol'!Z:Z,"Expires this month",'Supp Consol'!A:A,O381)=0,"",SUMIFS('Supp Consol'!AA:AA,'Supp Consol'!Z:Z,"Expires this month",'Supp Consol'!A:A,O381))</f>
        <v/>
      </c>
      <c r="AJ381" s="25" t="str">
        <f>IF(SUMIFS('Supp Consol'!AA:AA,'Supp Consol'!Z:Z,"Expired Previous Months",'Supp Consol'!A:A,O381)=0,"",SUMIFS('Supp Consol'!AA:AA,'Supp Consol'!Z:Z,"Expired Previous Months",'Supp Consol'!A:A,O381))</f>
        <v/>
      </c>
      <c r="AK381" s="25" t="str">
        <f>IFERROR(INDEX('Hun Release Current'!B:B,MATCH(O381,'Hun Release Current'!A:A,0)),"")</f>
        <v/>
      </c>
      <c r="AL381" s="25" t="str">
        <f>IF(SUMIF('Prev Aub'!A:A,O381,'Prev Aub'!B:B)=0,"",SUMIF('Prev Aub'!A:A,O381,'Prev Aub'!B:B))</f>
        <v/>
      </c>
      <c r="AN381" s="25" t="s">
        <v>3790</v>
      </c>
      <c r="AO381" s="25" t="s">
        <v>3790</v>
      </c>
      <c r="AP381" s="25">
        <f t="shared" si="146"/>
        <v>0</v>
      </c>
      <c r="AQ381" s="151" t="str">
        <f>IF(SUMIFS('Supp Consol'!S:S,'Supp Consol'!A:A,O381,'Supp Consol'!I:I,"PENDING")=0,"",SUMIFS('Supp Consol'!S:S,'Supp Consol'!A:A,O381,'Supp Consol'!I:I,"PENDING"))</f>
        <v/>
      </c>
      <c r="AR381" s="27" t="str">
        <f t="shared" si="147"/>
        <v>DS064</v>
      </c>
      <c r="AS381" s="27" t="str">
        <f t="shared" si="148"/>
        <v>50</v>
      </c>
      <c r="AT381" s="27" t="str">
        <f t="shared" si="149"/>
        <v/>
      </c>
      <c r="AU381" s="27" t="str">
        <f t="shared" si="150"/>
        <v/>
      </c>
      <c r="AV381" s="27" t="str">
        <f t="shared" si="151"/>
        <v/>
      </c>
      <c r="AW381" s="27" t="str">
        <f t="shared" si="152"/>
        <v/>
      </c>
      <c r="AX381" s="27" t="str">
        <f t="shared" si="153"/>
        <v>DS064</v>
      </c>
      <c r="AY381" s="27" t="str">
        <f t="shared" si="154"/>
        <v/>
      </c>
      <c r="AZ381" s="27" t="str">
        <f t="shared" si="155"/>
        <v>Supp</v>
      </c>
      <c r="BA381" s="27" t="str">
        <f t="shared" si="156"/>
        <v>Hun</v>
      </c>
      <c r="BB381" s="27" t="str">
        <f t="shared" si="157"/>
        <v/>
      </c>
      <c r="BC381" s="27" t="str">
        <f t="shared" si="158"/>
        <v/>
      </c>
      <c r="BD381" s="27" t="str">
        <f t="shared" si="159"/>
        <v/>
      </c>
      <c r="BE381" s="27" t="str">
        <f t="shared" si="160"/>
        <v/>
      </c>
      <c r="BF381" s="27" t="str">
        <f t="shared" si="161"/>
        <v/>
      </c>
      <c r="BG381" s="27" t="str">
        <f t="shared" si="162"/>
        <v/>
      </c>
      <c r="BH381" s="27" t="str">
        <f t="shared" si="163"/>
        <v/>
      </c>
      <c r="BI381" s="27" t="str">
        <f t="shared" si="164"/>
        <v/>
      </c>
      <c r="BJ381" s="27" t="str">
        <f t="shared" si="165"/>
        <v>Supp or Hun</v>
      </c>
      <c r="BK381" s="27" t="str">
        <f t="shared" si="166"/>
        <v/>
      </c>
      <c r="BL381" s="27" t="str">
        <f t="shared" si="167"/>
        <v/>
      </c>
      <c r="BM381" s="21" t="s">
        <v>5581</v>
      </c>
    </row>
    <row r="382" spans="1:65" ht="15">
      <c r="A382" s="25">
        <f>IFERROR(INDEX('Hun Demand'!W:W,MATCH(O382,'Hun Demand'!A:A,0)),"")</f>
        <v>4260</v>
      </c>
      <c r="B382" s="25">
        <f>IFERROR(INDEX('Hun Demand'!V:V,MATCH(O382,'Hun Demand'!A:A,0)),"")</f>
        <v>1892</v>
      </c>
      <c r="C382" s="25">
        <f>IFERROR(INDEX('Hun Demand'!U:U,MATCH(O382,'Hun Demand'!A:A,0)),"")</f>
        <v>2231</v>
      </c>
      <c r="D382" s="25">
        <f>IFERROR(INDEX('Hun Demand'!T:T,MATCH(O382,'Hun Demand'!A:A,0)),"")</f>
        <v>818</v>
      </c>
      <c r="E382" s="25">
        <f>IFERROR(INDEX('Hun Demand'!S:S,MATCH(O382,'Hun Demand'!A:A,0)),"")</f>
        <v>3357</v>
      </c>
      <c r="F382" s="25">
        <f>IFERROR(INDEX('Hun Demand'!R:R,MATCH(O382,'Hun Demand'!A:A,0)),"")</f>
        <v>0</v>
      </c>
      <c r="G382" s="25">
        <f>IFERROR(INDEX('Aub Demand'!W:W,MATCH(O382,'Aub Demand'!A:A,0)),"")</f>
        <v>3138</v>
      </c>
      <c r="H382" s="25">
        <f>IFERROR(INDEX('Aub Demand'!V:V,MATCH(O382,'Aub Demand'!A:A,0)),"")</f>
        <v>1061</v>
      </c>
      <c r="I382" s="25">
        <f>IFERROR(INDEX('Aub Demand'!U:U,MATCH(O382,'Aub Demand'!A:A,0)),"")</f>
        <v>428</v>
      </c>
      <c r="J382" s="25">
        <f>IFERROR(INDEX('Aub Demand'!T:T,MATCH(O382,'Aub Demand'!A:A,0)),"")</f>
        <v>1758</v>
      </c>
      <c r="K382" s="25">
        <f>IFERROR(INDEX('Aub Demand'!S:S,MATCH(O382,'Aub Demand'!A:A,0)),"")</f>
        <v>912</v>
      </c>
      <c r="L382" s="25">
        <f>IFERROR(INDEX('Aub Demand'!R:R,MATCH(O382,'Aub Demand'!A:A,0)),"")</f>
        <v>0</v>
      </c>
      <c r="O382" s="27" t="s">
        <v>659</v>
      </c>
      <c r="P382" s="27" t="str">
        <f>IFERROR(INDEX('Aub Demand'!B:B,MATCH($O382,'Aub Demand'!$A:$A,0)),"")</f>
        <v>BLACK</v>
      </c>
      <c r="Q382" s="27" t="str">
        <f>IFERROR(INDEX('Aub Demand'!C:C,MATCH($O382,'Aub Demand'!$A:$A,0)),"")</f>
        <v>ONYX</v>
      </c>
      <c r="R382" s="52">
        <f>IFERROR(IF(AR383=AR382,INDEX('Aub Demand'!K:K,MATCH($O382,'Aub Demand'!$A:$A,0))-IF(AN382="",0,AN382)+AP383,INDEX('Aub Demand'!K:K,MATCH($O382,'Aub Demand'!$A:$A,0))-IF(AN382="",0,AN382)),"")</f>
        <v>8865</v>
      </c>
      <c r="S382" s="53">
        <f t="shared" si="140"/>
        <v>36.799999999999997</v>
      </c>
      <c r="T382" s="52" t="str">
        <f t="shared" si="141"/>
        <v/>
      </c>
      <c r="U382" s="52">
        <f>IFERROR(IF(AR383=AR382,INDEX('Aub Demand'!Q:Q,MATCH($O382,'Aub Demand'!$A:$A,0))-IF(AN382="",0,AN382)+AP383,INDEX('Aub Demand'!Q:Q,MATCH($O382,'Aub Demand'!$A:$A,0))-IF(AN382="",0,AN382)),"")</f>
        <v>7530</v>
      </c>
      <c r="V382" s="53">
        <f t="shared" si="142"/>
        <v>31.2</v>
      </c>
      <c r="W382" s="52" t="str">
        <f t="shared" si="143"/>
        <v/>
      </c>
      <c r="X382" s="52">
        <f>IFERROR(IF(AND(AR383=AR382,AM382&lt;&gt;""),INDEX('Aub Demand'!Q:Q,MATCH($O382,'Aub Demand'!$A:$A,0))-IF(AN382="",0,AN382)+AP383+AD382+AL382,IF(AR383=AR382,INDEX('Aub Demand'!Q:Q,MATCH($O382,'Aub Demand'!$A:$A,0))-IF(AN382="",0,AN382)+AP383+AD382,IF(AM382&lt;&gt;"",INDEX('Aub Demand'!Q:Q,MATCH($O382,'Aub Demand'!$A:$A,0))-IF(AN382="",0,AN382)+AD382+AL382,INDEX('Aub Demand'!Q:Q,MATCH($O382,'Aub Demand'!$A:$A,0))-IF(AN382="",0,AN382)+AD382))),"")</f>
        <v>7530</v>
      </c>
      <c r="Y382" s="53">
        <f t="shared" si="144"/>
        <v>31.2</v>
      </c>
      <c r="Z382" s="52">
        <f>IF(L382="","",INDEX('Aub Demand'!H:H,MATCH($O382,'Aub Demand'!$A:$A,0)))</f>
        <v>1033</v>
      </c>
      <c r="AA382" s="52">
        <f t="shared" si="145"/>
        <v>1335</v>
      </c>
      <c r="AB382" s="52">
        <f>IFERROR(INDEX('Aub Demand'!L:L,MATCH($O382,'Aub Demand'!$A:$A,0)),"")</f>
        <v>1413</v>
      </c>
      <c r="AC382" s="52">
        <f>IFERROR(IF(O382="","",SUMIFS('CPL Mats'!F:F,'CPL Mats'!Q:Q,AR382,'CPL Mats'!S:S,AS382)),"")</f>
        <v>0</v>
      </c>
      <c r="AF382" s="25">
        <f>IF(SUMIFS('Supp Consol'!S:S,'Supp Consol'!Y:Y,"Releasable",'Supp Consol'!A:A,O382)=0,"",SUMIFS('Supp Consol'!S:S,'Supp Consol'!Y:Y,"Releasable",'Supp Consol'!A:A,O382))</f>
        <v>18857</v>
      </c>
      <c r="AG382" s="25">
        <f>IFERROR(INDEX('Hun Demand'!Q:Q,MATCH(O382,'Hun Demand'!A:A,0)),"")</f>
        <v>2803</v>
      </c>
      <c r="AH382" s="25">
        <f>IFERROR(INDEX('Hun Demand'!H:H,MATCH($O382,'Hun Demand'!$A:$A,0)),"")</f>
        <v>2135</v>
      </c>
      <c r="AI382" s="25" t="str">
        <f>IF(SUMIFS('Supp Consol'!AA:AA,'Supp Consol'!Z:Z,"Expires this month",'Supp Consol'!A:A,O382)=0,"",SUMIFS('Supp Consol'!AA:AA,'Supp Consol'!Z:Z,"Expires this month",'Supp Consol'!A:A,O382))</f>
        <v/>
      </c>
      <c r="AJ382" s="25" t="str">
        <f>IF(SUMIFS('Supp Consol'!AA:AA,'Supp Consol'!Z:Z,"Expired Previous Months",'Supp Consol'!A:A,O382)=0,"",SUMIFS('Supp Consol'!AA:AA,'Supp Consol'!Z:Z,"Expired Previous Months",'Supp Consol'!A:A,O382))</f>
        <v/>
      </c>
      <c r="AK382" s="25">
        <f>IFERROR(INDEX('Hun Release Current'!B:B,MATCH(O382,'Hun Release Current'!A:A,0)),"")</f>
        <v>6000</v>
      </c>
      <c r="AL382" s="25" t="str">
        <f>IF(SUMIF('Prev Aub'!A:A,O382,'Prev Aub'!B:B)=0,"",SUMIF('Prev Aub'!A:A,O382,'Prev Aub'!B:B))</f>
        <v/>
      </c>
      <c r="AN382" s="25" t="s">
        <v>3790</v>
      </c>
      <c r="AO382" s="25" t="s">
        <v>3790</v>
      </c>
      <c r="AP382" s="25">
        <f t="shared" si="146"/>
        <v>0</v>
      </c>
      <c r="AQ382" s="151" t="str">
        <f>IF(SUMIFS('Supp Consol'!S:S,'Supp Consol'!A:A,O382,'Supp Consol'!I:I,"PENDING")=0,"",SUMIFS('Supp Consol'!S:S,'Supp Consol'!A:A,O382,'Supp Consol'!I:I,"PENDING"))</f>
        <v/>
      </c>
      <c r="AR382" s="27" t="str">
        <f t="shared" si="147"/>
        <v>DS064</v>
      </c>
      <c r="AS382" s="27" t="str">
        <f t="shared" si="148"/>
        <v>62</v>
      </c>
      <c r="AT382" s="27" t="str">
        <f t="shared" si="149"/>
        <v/>
      </c>
      <c r="AU382" s="27" t="str">
        <f t="shared" si="150"/>
        <v/>
      </c>
      <c r="AV382" s="27" t="str">
        <f t="shared" si="151"/>
        <v/>
      </c>
      <c r="AW382" s="27" t="str">
        <f t="shared" si="152"/>
        <v/>
      </c>
      <c r="AX382" s="27" t="str">
        <f t="shared" si="153"/>
        <v>DS064</v>
      </c>
      <c r="AY382" s="27" t="str">
        <f t="shared" si="154"/>
        <v>DS064</v>
      </c>
      <c r="AZ382" s="27" t="str">
        <f t="shared" si="155"/>
        <v>Supp</v>
      </c>
      <c r="BA382" s="27" t="str">
        <f t="shared" si="156"/>
        <v>Hun</v>
      </c>
      <c r="BB382" s="27" t="str">
        <f t="shared" si="157"/>
        <v/>
      </c>
      <c r="BC382" s="27" t="str">
        <f t="shared" si="158"/>
        <v/>
      </c>
      <c r="BD382" s="27" t="str">
        <f t="shared" si="159"/>
        <v/>
      </c>
      <c r="BE382" s="27" t="str">
        <f t="shared" si="160"/>
        <v/>
      </c>
      <c r="BF382" s="27" t="str">
        <f t="shared" si="161"/>
        <v/>
      </c>
      <c r="BG382" s="27" t="str">
        <f t="shared" si="162"/>
        <v/>
      </c>
      <c r="BH382" s="27" t="str">
        <f t="shared" si="163"/>
        <v/>
      </c>
      <c r="BI382" s="27" t="str">
        <f t="shared" si="164"/>
        <v/>
      </c>
      <c r="BJ382" s="27" t="str">
        <f t="shared" si="165"/>
        <v>Supp or Hun</v>
      </c>
      <c r="BK382" s="27" t="str">
        <f t="shared" si="166"/>
        <v/>
      </c>
      <c r="BL382" s="27" t="str">
        <f t="shared" si="167"/>
        <v/>
      </c>
      <c r="BM382" s="21" t="s">
        <v>5582</v>
      </c>
    </row>
    <row r="383" spans="1:65" ht="15">
      <c r="A383" s="25">
        <f>IFERROR(INDEX('Hun Demand'!W:W,MATCH(O383,'Hun Demand'!A:A,0)),"")</f>
        <v>0</v>
      </c>
      <c r="B383" s="25">
        <f>IFERROR(INDEX('Hun Demand'!V:V,MATCH(O383,'Hun Demand'!A:A,0)),"")</f>
        <v>0</v>
      </c>
      <c r="C383" s="25">
        <f>IFERROR(INDEX('Hun Demand'!U:U,MATCH(O383,'Hun Demand'!A:A,0)),"")</f>
        <v>0</v>
      </c>
      <c r="D383" s="25">
        <f>IFERROR(INDEX('Hun Demand'!T:T,MATCH(O383,'Hun Demand'!A:A,0)),"")</f>
        <v>0</v>
      </c>
      <c r="E383" s="25">
        <f>IFERROR(INDEX('Hun Demand'!S:S,MATCH(O383,'Hun Demand'!A:A,0)),"")</f>
        <v>0</v>
      </c>
      <c r="F383" s="25">
        <f>IFERROR(INDEX('Hun Demand'!R:R,MATCH(O383,'Hun Demand'!A:A,0)),"")</f>
        <v>0</v>
      </c>
      <c r="G383" s="25">
        <f>IFERROR(INDEX('Aub Demand'!W:W,MATCH(O383,'Aub Demand'!A:A,0)),"")</f>
        <v>0</v>
      </c>
      <c r="H383" s="25">
        <f>IFERROR(INDEX('Aub Demand'!V:V,MATCH(O383,'Aub Demand'!A:A,0)),"")</f>
        <v>0</v>
      </c>
      <c r="I383" s="25">
        <f>IFERROR(INDEX('Aub Demand'!U:U,MATCH(O383,'Aub Demand'!A:A,0)),"")</f>
        <v>0</v>
      </c>
      <c r="J383" s="25">
        <f>IFERROR(INDEX('Aub Demand'!T:T,MATCH(O383,'Aub Demand'!A:A,0)),"")</f>
        <v>0</v>
      </c>
      <c r="K383" s="25">
        <f>IFERROR(INDEX('Aub Demand'!S:S,MATCH(O383,'Aub Demand'!A:A,0)),"")</f>
        <v>0</v>
      </c>
      <c r="L383" s="25">
        <f>IFERROR(INDEX('Aub Demand'!R:R,MATCH(O383,'Aub Demand'!A:A,0)),"")</f>
        <v>0</v>
      </c>
      <c r="O383" s="27" t="s">
        <v>660</v>
      </c>
      <c r="P383" s="27" t="str">
        <f>IFERROR(INDEX('Aub Demand'!B:B,MATCH($O383,'Aub Demand'!$A:$A,0)),"")</f>
        <v>VERTICAL BEIGE</v>
      </c>
      <c r="Q383" s="27" t="str">
        <f>IFERROR(INDEX('Aub Demand'!C:C,MATCH($O383,'Aub Demand'!$A:$A,0)),"")</f>
        <v>ONYX</v>
      </c>
      <c r="R383" s="52">
        <f>IFERROR(IF(AR384=AR383,INDEX('Aub Demand'!K:K,MATCH($O383,'Aub Demand'!$A:$A,0))-IF(AN383="",0,AN383)+AP384,INDEX('Aub Demand'!K:K,MATCH($O383,'Aub Demand'!$A:$A,0))-IF(AN383="",0,AN383)),"")</f>
        <v>553</v>
      </c>
      <c r="S383" s="53" t="str">
        <f t="shared" si="140"/>
        <v>n/a</v>
      </c>
      <c r="T383" s="52" t="str">
        <f t="shared" si="141"/>
        <v/>
      </c>
      <c r="U383" s="52">
        <f>IFERROR(IF(AR384=AR383,INDEX('Aub Demand'!Q:Q,MATCH($O383,'Aub Demand'!$A:$A,0))-IF(AN383="",0,AN383)+AP384,INDEX('Aub Demand'!Q:Q,MATCH($O383,'Aub Demand'!$A:$A,0))-IF(AN383="",0,AN383)),"")</f>
        <v>553</v>
      </c>
      <c r="V383" s="53" t="str">
        <f t="shared" si="142"/>
        <v>n/a</v>
      </c>
      <c r="W383" s="52" t="str">
        <f t="shared" si="143"/>
        <v/>
      </c>
      <c r="X383" s="52">
        <f>IFERROR(IF(AND(AR384=AR383,AM383&lt;&gt;""),INDEX('Aub Demand'!Q:Q,MATCH($O383,'Aub Demand'!$A:$A,0))-IF(AN383="",0,AN383)+AP384+AD383+AL383,IF(AR384=AR383,INDEX('Aub Demand'!Q:Q,MATCH($O383,'Aub Demand'!$A:$A,0))-IF(AN383="",0,AN383)+AP384+AD383,IF(AM383&lt;&gt;"",INDEX('Aub Demand'!Q:Q,MATCH($O383,'Aub Demand'!$A:$A,0))-IF(AN383="",0,AN383)+AD383+AL383,INDEX('Aub Demand'!Q:Q,MATCH($O383,'Aub Demand'!$A:$A,0))-IF(AN383="",0,AN383)+AD383))),"")</f>
        <v>553</v>
      </c>
      <c r="Y383" s="53" t="str">
        <f t="shared" si="144"/>
        <v>n/a</v>
      </c>
      <c r="Z383" s="52">
        <f>IF(L383="","",INDEX('Aub Demand'!H:H,MATCH($O383,'Aub Demand'!$A:$A,0)))</f>
        <v>0</v>
      </c>
      <c r="AA383" s="52" t="str">
        <f t="shared" si="145"/>
        <v>-spike-</v>
      </c>
      <c r="AB383" s="52">
        <f>IFERROR(INDEX('Aub Demand'!L:L,MATCH($O383,'Aub Demand'!$A:$A,0)),"")</f>
        <v>0</v>
      </c>
      <c r="AC383" s="52">
        <f>IFERROR(IF(O383="","",SUMIFS('CPL Mats'!F:F,'CPL Mats'!Q:Q,AR383,'CPL Mats'!S:S,AS383)),"")</f>
        <v>0</v>
      </c>
      <c r="AF383" s="25" t="str">
        <f>IF(SUMIFS('Supp Consol'!S:S,'Supp Consol'!Y:Y,"Releasable",'Supp Consol'!A:A,O383)=0,"",SUMIFS('Supp Consol'!S:S,'Supp Consol'!Y:Y,"Releasable",'Supp Consol'!A:A,O383))</f>
        <v/>
      </c>
      <c r="AG383" s="25">
        <f>IFERROR(INDEX('Hun Demand'!Q:Q,MATCH(O383,'Hun Demand'!A:A,0)),"")</f>
        <v>2129</v>
      </c>
      <c r="AH383" s="25">
        <f>IFERROR(INDEX('Hun Demand'!H:H,MATCH($O383,'Hun Demand'!$A:$A,0)),"")</f>
        <v>0</v>
      </c>
      <c r="AI383" s="25" t="str">
        <f>IF(SUMIFS('Supp Consol'!AA:AA,'Supp Consol'!Z:Z,"Expires this month",'Supp Consol'!A:A,O383)=0,"",SUMIFS('Supp Consol'!AA:AA,'Supp Consol'!Z:Z,"Expires this month",'Supp Consol'!A:A,O383))</f>
        <v/>
      </c>
      <c r="AJ383" s="25" t="str">
        <f>IF(SUMIFS('Supp Consol'!AA:AA,'Supp Consol'!Z:Z,"Expired Previous Months",'Supp Consol'!A:A,O383)=0,"",SUMIFS('Supp Consol'!AA:AA,'Supp Consol'!Z:Z,"Expired Previous Months",'Supp Consol'!A:A,O383))</f>
        <v/>
      </c>
      <c r="AK383" s="25" t="str">
        <f>IFERROR(INDEX('Hun Release Current'!B:B,MATCH(O383,'Hun Release Current'!A:A,0)),"")</f>
        <v/>
      </c>
      <c r="AL383" s="25" t="str">
        <f>IF(SUMIF('Prev Aub'!A:A,O383,'Prev Aub'!B:B)=0,"",SUMIF('Prev Aub'!A:A,O383,'Prev Aub'!B:B))</f>
        <v/>
      </c>
      <c r="AN383" s="25" t="s">
        <v>3790</v>
      </c>
      <c r="AO383" s="25" t="s">
        <v>3790</v>
      </c>
      <c r="AP383" s="25">
        <f t="shared" si="146"/>
        <v>0</v>
      </c>
      <c r="AQ383" s="151" t="str">
        <f>IF(SUMIFS('Supp Consol'!S:S,'Supp Consol'!A:A,O383,'Supp Consol'!I:I,"PENDING")=0,"",SUMIFS('Supp Consol'!S:S,'Supp Consol'!A:A,O383,'Supp Consol'!I:I,"PENDING"))</f>
        <v/>
      </c>
      <c r="AR383" s="27" t="str">
        <f t="shared" si="147"/>
        <v>DS080</v>
      </c>
      <c r="AS383" s="27" t="str">
        <f t="shared" si="148"/>
        <v>62</v>
      </c>
      <c r="AT383" s="27" t="str">
        <f t="shared" si="149"/>
        <v/>
      </c>
      <c r="AU383" s="27" t="str">
        <f t="shared" si="150"/>
        <v/>
      </c>
      <c r="AV383" s="27" t="str">
        <f t="shared" si="151"/>
        <v/>
      </c>
      <c r="AW383" s="27" t="str">
        <f t="shared" si="152"/>
        <v/>
      </c>
      <c r="AX383" s="27" t="str">
        <f t="shared" si="153"/>
        <v/>
      </c>
      <c r="AY383" s="27" t="str">
        <f t="shared" si="154"/>
        <v>DS080</v>
      </c>
      <c r="AZ383" s="27" t="str">
        <f t="shared" si="155"/>
        <v/>
      </c>
      <c r="BA383" s="27" t="str">
        <f t="shared" si="156"/>
        <v>Hun</v>
      </c>
      <c r="BB383" s="27" t="str">
        <f t="shared" si="157"/>
        <v/>
      </c>
      <c r="BC383" s="27" t="str">
        <f t="shared" si="158"/>
        <v/>
      </c>
      <c r="BD383" s="27" t="str">
        <f t="shared" si="159"/>
        <v/>
      </c>
      <c r="BE383" s="27" t="str">
        <f t="shared" si="160"/>
        <v/>
      </c>
      <c r="BF383" s="27" t="str">
        <f t="shared" si="161"/>
        <v/>
      </c>
      <c r="BG383" s="27" t="str">
        <f t="shared" si="162"/>
        <v/>
      </c>
      <c r="BH383" s="27" t="str">
        <f t="shared" si="163"/>
        <v/>
      </c>
      <c r="BI383" s="27" t="str">
        <f t="shared" si="164"/>
        <v/>
      </c>
      <c r="BJ383" s="27" t="str">
        <f t="shared" si="165"/>
        <v>Supp or Hun</v>
      </c>
      <c r="BK383" s="27" t="str">
        <f t="shared" si="166"/>
        <v/>
      </c>
      <c r="BL383" s="27" t="str">
        <f t="shared" si="167"/>
        <v/>
      </c>
      <c r="BM383" s="21" t="s">
        <v>3790</v>
      </c>
    </row>
    <row r="384" spans="1:65" ht="15">
      <c r="A384" s="25" t="str">
        <f>IFERROR(INDEX('Hun Demand'!W:W,MATCH(O384,'Hun Demand'!A:A,0)),"")</f>
        <v/>
      </c>
      <c r="B384" s="25" t="str">
        <f>IFERROR(INDEX('Hun Demand'!V:V,MATCH(O384,'Hun Demand'!A:A,0)),"")</f>
        <v/>
      </c>
      <c r="C384" s="25" t="str">
        <f>IFERROR(INDEX('Hun Demand'!U:U,MATCH(O384,'Hun Demand'!A:A,0)),"")</f>
        <v/>
      </c>
      <c r="D384" s="25" t="str">
        <f>IFERROR(INDEX('Hun Demand'!T:T,MATCH(O384,'Hun Demand'!A:A,0)),"")</f>
        <v/>
      </c>
      <c r="E384" s="25" t="str">
        <f>IFERROR(INDEX('Hun Demand'!S:S,MATCH(O384,'Hun Demand'!A:A,0)),"")</f>
        <v/>
      </c>
      <c r="F384" s="25" t="str">
        <f>IFERROR(INDEX('Hun Demand'!R:R,MATCH(O384,'Hun Demand'!A:A,0)),"")</f>
        <v/>
      </c>
      <c r="G384" s="25">
        <f>IFERROR(INDEX('Aub Demand'!W:W,MATCH(O384,'Aub Demand'!A:A,0)),"")</f>
        <v>50</v>
      </c>
      <c r="H384" s="25">
        <f>IFERROR(INDEX('Aub Demand'!V:V,MATCH(O384,'Aub Demand'!A:A,0)),"")</f>
        <v>34</v>
      </c>
      <c r="I384" s="25">
        <f>IFERROR(INDEX('Aub Demand'!U:U,MATCH(O384,'Aub Demand'!A:A,0)),"")</f>
        <v>16</v>
      </c>
      <c r="J384" s="25">
        <f>IFERROR(INDEX('Aub Demand'!T:T,MATCH(O384,'Aub Demand'!A:A,0)),"")</f>
        <v>5</v>
      </c>
      <c r="K384" s="25">
        <f>IFERROR(INDEX('Aub Demand'!S:S,MATCH(O384,'Aub Demand'!A:A,0)),"")</f>
        <v>0</v>
      </c>
      <c r="L384" s="25">
        <f>IFERROR(INDEX('Aub Demand'!R:R,MATCH(O384,'Aub Demand'!A:A,0)),"")</f>
        <v>0</v>
      </c>
      <c r="O384" s="27" t="s">
        <v>2131</v>
      </c>
      <c r="P384" s="27" t="str">
        <f>IFERROR(INDEX('Aub Demand'!B:B,MATCH($O384,'Aub Demand'!$A:$A,0)),"")</f>
        <v>AGED ELEMENTS 50"</v>
      </c>
      <c r="Q384" s="27" t="str">
        <f>IFERROR(INDEX('Aub Demand'!C:C,MATCH($O384,'Aub Demand'!$A:$A,0)),"")</f>
        <v>TOPPA</v>
      </c>
      <c r="R384" s="52">
        <f>IFERROR(IF(AR385=AR384,INDEX('Aub Demand'!K:K,MATCH($O384,'Aub Demand'!$A:$A,0))-IF(AN384="",0,AN384)+AP385,INDEX('Aub Demand'!K:K,MATCH($O384,'Aub Demand'!$A:$A,0))-IF(AN384="",0,AN384)),"")</f>
        <v>0</v>
      </c>
      <c r="S384" s="53">
        <f t="shared" si="140"/>
        <v>0</v>
      </c>
      <c r="T384" s="52">
        <f t="shared" si="141"/>
        <v>7.875</v>
      </c>
      <c r="U384" s="52">
        <f>IFERROR(IF(AR385=AR384,INDEX('Aub Demand'!Q:Q,MATCH($O384,'Aub Demand'!$A:$A,0))-IF(AN384="",0,AN384)+AP385,INDEX('Aub Demand'!Q:Q,MATCH($O384,'Aub Demand'!$A:$A,0))-IF(AN384="",0,AN384)),"")</f>
        <v>-6</v>
      </c>
      <c r="V384" s="53">
        <f t="shared" si="142"/>
        <v>-3.7</v>
      </c>
      <c r="W384" s="52">
        <f t="shared" si="143"/>
        <v>17.587500000000002</v>
      </c>
      <c r="X384" s="52">
        <f>IFERROR(IF(AND(AR385=AR384,AM384&lt;&gt;""),INDEX('Aub Demand'!Q:Q,MATCH($O384,'Aub Demand'!$A:$A,0))-IF(AN384="",0,AN384)+AP385+AD384+AL384,IF(AR385=AR384,INDEX('Aub Demand'!Q:Q,MATCH($O384,'Aub Demand'!$A:$A,0))-IF(AN384="",0,AN384)+AP385+AD384,IF(AM384&lt;&gt;"",INDEX('Aub Demand'!Q:Q,MATCH($O384,'Aub Demand'!$A:$A,0))-IF(AN384="",0,AN384)+AD384+AL384,INDEX('Aub Demand'!Q:Q,MATCH($O384,'Aub Demand'!$A:$A,0))-IF(AN384="",0,AN384)+AD384))),"")</f>
        <v>-6</v>
      </c>
      <c r="Y384" s="53">
        <f t="shared" si="144"/>
        <v>-3.7</v>
      </c>
      <c r="Z384" s="52">
        <f>IF(L384="","",INDEX('Aub Demand'!H:H,MATCH($O384,'Aub Demand'!$A:$A,0)))</f>
        <v>7</v>
      </c>
      <c r="AA384" s="52">
        <f t="shared" si="145"/>
        <v>10.5</v>
      </c>
      <c r="AB384" s="52">
        <f>IFERROR(INDEX('Aub Demand'!L:L,MATCH($O384,'Aub Demand'!$A:$A,0)),"")</f>
        <v>0</v>
      </c>
      <c r="AC384" s="52">
        <f>IFERROR(IF(O384="","",SUMIFS('CPL Mats'!F:F,'CPL Mats'!Q:Q,AR384,'CPL Mats'!S:S,AS384)),"")</f>
        <v>0</v>
      </c>
      <c r="AF384" s="25" t="str">
        <f>IF(SUMIFS('Supp Consol'!S:S,'Supp Consol'!Y:Y,"Releasable",'Supp Consol'!A:A,O384)=0,"",SUMIFS('Supp Consol'!S:S,'Supp Consol'!Y:Y,"Releasable",'Supp Consol'!A:A,O384))</f>
        <v/>
      </c>
      <c r="AG384" s="25" t="str">
        <f>IFERROR(INDEX('Hun Demand'!Q:Q,MATCH(O384,'Hun Demand'!A:A,0)),"")</f>
        <v/>
      </c>
      <c r="AH384" s="25" t="str">
        <f>IFERROR(INDEX('Hun Demand'!H:H,MATCH($O384,'Hun Demand'!$A:$A,0)),"")</f>
        <v/>
      </c>
      <c r="AI384" s="25" t="str">
        <f>IF(SUMIFS('Supp Consol'!AA:AA,'Supp Consol'!Z:Z,"Expires this month",'Supp Consol'!A:A,O384)=0,"",SUMIFS('Supp Consol'!AA:AA,'Supp Consol'!Z:Z,"Expires this month",'Supp Consol'!A:A,O384))</f>
        <v/>
      </c>
      <c r="AJ384" s="25" t="str">
        <f>IF(SUMIFS('Supp Consol'!AA:AA,'Supp Consol'!Z:Z,"Expired Previous Months",'Supp Consol'!A:A,O384)=0,"",SUMIFS('Supp Consol'!AA:AA,'Supp Consol'!Z:Z,"Expired Previous Months",'Supp Consol'!A:A,O384))</f>
        <v/>
      </c>
      <c r="AK384" s="25" t="str">
        <f>IFERROR(INDEX('Hun Release Current'!B:B,MATCH(O384,'Hun Release Current'!A:A,0)),"")</f>
        <v/>
      </c>
      <c r="AL384" s="25" t="str">
        <f>IF(SUMIF('Prev Aub'!A:A,O384,'Prev Aub'!B:B)=0,"",SUMIF('Prev Aub'!A:A,O384,'Prev Aub'!B:B))</f>
        <v/>
      </c>
      <c r="AN384" s="25" t="s">
        <v>3790</v>
      </c>
      <c r="AO384" s="25" t="s">
        <v>3790</v>
      </c>
      <c r="AP384" s="25">
        <f t="shared" si="146"/>
        <v>0</v>
      </c>
      <c r="AQ384" s="151" t="str">
        <f>IF(SUMIFS('Supp Consol'!S:S,'Supp Consol'!A:A,O384,'Supp Consol'!I:I,"PENDING")=0,"",SUMIFS('Supp Consol'!S:S,'Supp Consol'!A:A,O384,'Supp Consol'!I:I,"PENDING"))</f>
        <v/>
      </c>
      <c r="AR384" s="27" t="str">
        <f t="shared" si="147"/>
        <v>EM601</v>
      </c>
      <c r="AS384" s="27" t="str">
        <f t="shared" si="148"/>
        <v>50</v>
      </c>
      <c r="AT384" s="27" t="str">
        <f t="shared" si="149"/>
        <v>EM601</v>
      </c>
      <c r="AU384" s="27" t="str">
        <f t="shared" si="150"/>
        <v>EM601</v>
      </c>
      <c r="AV384" s="27" t="str">
        <f t="shared" si="151"/>
        <v>EM601</v>
      </c>
      <c r="AW384" s="27" t="str">
        <f t="shared" si="152"/>
        <v/>
      </c>
      <c r="AX384" s="27" t="str">
        <f t="shared" si="153"/>
        <v/>
      </c>
      <c r="AY384" s="27" t="str">
        <f t="shared" si="154"/>
        <v/>
      </c>
      <c r="AZ384" s="27" t="str">
        <f t="shared" si="155"/>
        <v/>
      </c>
      <c r="BA384" s="27" t="str">
        <f t="shared" si="156"/>
        <v/>
      </c>
      <c r="BB384" s="27" t="str">
        <f t="shared" si="157"/>
        <v>Gross</v>
      </c>
      <c r="BC384" s="27" t="str">
        <f t="shared" si="158"/>
        <v>Net</v>
      </c>
      <c r="BD384" s="27" t="str">
        <f t="shared" si="159"/>
        <v>Net</v>
      </c>
      <c r="BE384" s="27" t="str">
        <f t="shared" si="160"/>
        <v/>
      </c>
      <c r="BF384" s="27" t="str">
        <f t="shared" si="161"/>
        <v/>
      </c>
      <c r="BG384" s="27" t="str">
        <f t="shared" si="162"/>
        <v/>
      </c>
      <c r="BH384" s="27" t="str">
        <f t="shared" si="163"/>
        <v/>
      </c>
      <c r="BI384" s="27" t="str">
        <f t="shared" si="164"/>
        <v/>
      </c>
      <c r="BJ384" s="27" t="str">
        <f t="shared" si="165"/>
        <v/>
      </c>
      <c r="BK384" s="27" t="str">
        <f t="shared" si="166"/>
        <v/>
      </c>
      <c r="BL384" s="27" t="str">
        <f t="shared" si="167"/>
        <v/>
      </c>
      <c r="BM384" s="21" t="s">
        <v>5581</v>
      </c>
    </row>
    <row r="385" spans="1:65" ht="15">
      <c r="A385" s="25" t="str">
        <f>IFERROR(INDEX('Hun Demand'!W:W,MATCH(O385,'Hun Demand'!A:A,0)),"")</f>
        <v/>
      </c>
      <c r="B385" s="25" t="str">
        <f>IFERROR(INDEX('Hun Demand'!V:V,MATCH(O385,'Hun Demand'!A:A,0)),"")</f>
        <v/>
      </c>
      <c r="C385" s="25" t="str">
        <f>IFERROR(INDEX('Hun Demand'!U:U,MATCH(O385,'Hun Demand'!A:A,0)),"")</f>
        <v/>
      </c>
      <c r="D385" s="25" t="str">
        <f>IFERROR(INDEX('Hun Demand'!T:T,MATCH(O385,'Hun Demand'!A:A,0)),"")</f>
        <v/>
      </c>
      <c r="E385" s="25" t="str">
        <f>IFERROR(INDEX('Hun Demand'!S:S,MATCH(O385,'Hun Demand'!A:A,0)),"")</f>
        <v/>
      </c>
      <c r="F385" s="25" t="str">
        <f>IFERROR(INDEX('Hun Demand'!R:R,MATCH(O385,'Hun Demand'!A:A,0)),"")</f>
        <v/>
      </c>
      <c r="G385" s="25">
        <f>IFERROR(INDEX('Aub Demand'!W:W,MATCH(O385,'Aub Demand'!A:A,0)),"")</f>
        <v>0</v>
      </c>
      <c r="H385" s="25">
        <f>IFERROR(INDEX('Aub Demand'!V:V,MATCH(O385,'Aub Demand'!A:A,0)),"")</f>
        <v>36</v>
      </c>
      <c r="I385" s="25">
        <f>IFERROR(INDEX('Aub Demand'!U:U,MATCH(O385,'Aub Demand'!A:A,0)),"")</f>
        <v>34</v>
      </c>
      <c r="J385" s="25">
        <f>IFERROR(INDEX('Aub Demand'!T:T,MATCH(O385,'Aub Demand'!A:A,0)),"")</f>
        <v>29</v>
      </c>
      <c r="K385" s="25">
        <f>IFERROR(INDEX('Aub Demand'!S:S,MATCH(O385,'Aub Demand'!A:A,0)),"")</f>
        <v>29</v>
      </c>
      <c r="L385" s="25">
        <f>IFERROR(INDEX('Aub Demand'!R:R,MATCH(O385,'Aub Demand'!A:A,0)),"")</f>
        <v>0</v>
      </c>
      <c r="O385" s="27" t="s">
        <v>2134</v>
      </c>
      <c r="P385" s="27" t="str">
        <f>IFERROR(INDEX('Aub Demand'!B:B,MATCH($O385,'Aub Demand'!$A:$A,0)),"")</f>
        <v>AGED ELEMENTS 62"</v>
      </c>
      <c r="Q385" s="27" t="str">
        <f>IFERROR(INDEX('Aub Demand'!C:C,MATCH($O385,'Aub Demand'!$A:$A,0)),"")</f>
        <v>TOPPA</v>
      </c>
      <c r="R385" s="52">
        <f>IFERROR(IF(AR386=AR385,INDEX('Aub Demand'!K:K,MATCH($O385,'Aub Demand'!$A:$A,0))-IF(AN385="",0,AN385)+AP386,INDEX('Aub Demand'!K:K,MATCH($O385,'Aub Demand'!$A:$A,0))-IF(AN385="",0,AN385)),"")</f>
        <v>2005</v>
      </c>
      <c r="S385" s="53">
        <f t="shared" si="140"/>
        <v>277.2</v>
      </c>
      <c r="T385" s="52" t="str">
        <f t="shared" si="141"/>
        <v/>
      </c>
      <c r="U385" s="52">
        <f>IFERROR(IF(AR386=AR385,INDEX('Aub Demand'!Q:Q,MATCH($O385,'Aub Demand'!$A:$A,0))-IF(AN385="",0,AN385)+AP386,INDEX('Aub Demand'!Q:Q,MATCH($O385,'Aub Demand'!$A:$A,0))-IF(AN385="",0,AN385)),"")</f>
        <v>2005</v>
      </c>
      <c r="V385" s="53">
        <f t="shared" si="142"/>
        <v>277.2</v>
      </c>
      <c r="W385" s="52" t="str">
        <f t="shared" si="143"/>
        <v/>
      </c>
      <c r="X385" s="52">
        <f>IFERROR(IF(AND(AR386=AR385,AM385&lt;&gt;""),INDEX('Aub Demand'!Q:Q,MATCH($O385,'Aub Demand'!$A:$A,0))-IF(AN385="",0,AN385)+AP386+AD385+AL385,IF(AR386=AR385,INDEX('Aub Demand'!Q:Q,MATCH($O385,'Aub Demand'!$A:$A,0))-IF(AN385="",0,AN385)+AP386+AD385,IF(AM385&lt;&gt;"",INDEX('Aub Demand'!Q:Q,MATCH($O385,'Aub Demand'!$A:$A,0))-IF(AN385="",0,AN385)+AD385+AL385,INDEX('Aub Demand'!Q:Q,MATCH($O385,'Aub Demand'!$A:$A,0))-IF(AN385="",0,AN385)+AD385))),"")</f>
        <v>2005</v>
      </c>
      <c r="Y385" s="53">
        <f t="shared" si="144"/>
        <v>277.2</v>
      </c>
      <c r="Z385" s="52">
        <f>IF(L385="","",INDEX('Aub Demand'!H:H,MATCH($O385,'Aub Demand'!$A:$A,0)))</f>
        <v>31</v>
      </c>
      <c r="AA385" s="52">
        <f t="shared" si="145"/>
        <v>31.5</v>
      </c>
      <c r="AB385" s="52">
        <f>IFERROR(INDEX('Aub Demand'!L:L,MATCH($O385,'Aub Demand'!$A:$A,0)),"")</f>
        <v>0</v>
      </c>
      <c r="AC385" s="52">
        <f>IFERROR(IF(O385="","",SUMIFS('CPL Mats'!F:F,'CPL Mats'!Q:Q,AR385,'CPL Mats'!S:S,AS385)),"")</f>
        <v>0</v>
      </c>
      <c r="AF385" s="25" t="str">
        <f>IF(SUMIFS('Supp Consol'!S:S,'Supp Consol'!Y:Y,"Releasable",'Supp Consol'!A:A,O385)=0,"",SUMIFS('Supp Consol'!S:S,'Supp Consol'!Y:Y,"Releasable",'Supp Consol'!A:A,O385))</f>
        <v/>
      </c>
      <c r="AG385" s="25" t="str">
        <f>IFERROR(INDEX('Hun Demand'!Q:Q,MATCH(O385,'Hun Demand'!A:A,0)),"")</f>
        <v/>
      </c>
      <c r="AH385" s="25" t="str">
        <f>IFERROR(INDEX('Hun Demand'!H:H,MATCH($O385,'Hun Demand'!$A:$A,0)),"")</f>
        <v/>
      </c>
      <c r="AI385" s="25" t="str">
        <f>IF(SUMIFS('Supp Consol'!AA:AA,'Supp Consol'!Z:Z,"Expires this month",'Supp Consol'!A:A,O385)=0,"",SUMIFS('Supp Consol'!AA:AA,'Supp Consol'!Z:Z,"Expires this month",'Supp Consol'!A:A,O385))</f>
        <v/>
      </c>
      <c r="AJ385" s="25" t="str">
        <f>IF(SUMIFS('Supp Consol'!AA:AA,'Supp Consol'!Z:Z,"Expired Previous Months",'Supp Consol'!A:A,O385)=0,"",SUMIFS('Supp Consol'!AA:AA,'Supp Consol'!Z:Z,"Expired Previous Months",'Supp Consol'!A:A,O385))</f>
        <v/>
      </c>
      <c r="AK385" s="25" t="str">
        <f>IFERROR(INDEX('Hun Release Current'!B:B,MATCH(O385,'Hun Release Current'!A:A,0)),"")</f>
        <v/>
      </c>
      <c r="AL385" s="25" t="str">
        <f>IF(SUMIF('Prev Aub'!A:A,O385,'Prev Aub'!B:B)=0,"",SUMIF('Prev Aub'!A:A,O385,'Prev Aub'!B:B))</f>
        <v/>
      </c>
      <c r="AN385" s="25" t="s">
        <v>3790</v>
      </c>
      <c r="AO385" s="25" t="s">
        <v>3790</v>
      </c>
      <c r="AP385" s="25">
        <f t="shared" si="146"/>
        <v>0</v>
      </c>
      <c r="AQ385" s="151" t="str">
        <f>IF(SUMIFS('Supp Consol'!S:S,'Supp Consol'!A:A,O385,'Supp Consol'!I:I,"PENDING")=0,"",SUMIFS('Supp Consol'!S:S,'Supp Consol'!A:A,O385,'Supp Consol'!I:I,"PENDING"))</f>
        <v/>
      </c>
      <c r="AR385" s="27" t="str">
        <f t="shared" si="147"/>
        <v>EM601</v>
      </c>
      <c r="AS385" s="27" t="str">
        <f t="shared" si="148"/>
        <v>62</v>
      </c>
      <c r="AT385" s="27" t="str">
        <f t="shared" si="149"/>
        <v/>
      </c>
      <c r="AU385" s="27" t="str">
        <f t="shared" si="150"/>
        <v/>
      </c>
      <c r="AV385" s="27" t="str">
        <f t="shared" si="151"/>
        <v/>
      </c>
      <c r="AW385" s="27" t="str">
        <f t="shared" si="152"/>
        <v/>
      </c>
      <c r="AX385" s="27" t="str">
        <f t="shared" si="153"/>
        <v/>
      </c>
      <c r="AY385" s="27" t="str">
        <f t="shared" si="154"/>
        <v/>
      </c>
      <c r="AZ385" s="27" t="str">
        <f t="shared" si="155"/>
        <v/>
      </c>
      <c r="BA385" s="27" t="str">
        <f t="shared" si="156"/>
        <v/>
      </c>
      <c r="BB385" s="27" t="str">
        <f t="shared" si="157"/>
        <v>Gross</v>
      </c>
      <c r="BC385" s="27" t="str">
        <f t="shared" si="158"/>
        <v>Net</v>
      </c>
      <c r="BD385" s="27" t="str">
        <f t="shared" si="159"/>
        <v>Net</v>
      </c>
      <c r="BE385" s="27" t="str">
        <f t="shared" si="160"/>
        <v/>
      </c>
      <c r="BF385" s="27" t="str">
        <f t="shared" si="161"/>
        <v/>
      </c>
      <c r="BG385" s="27" t="str">
        <f t="shared" si="162"/>
        <v/>
      </c>
      <c r="BH385" s="27" t="str">
        <f t="shared" si="163"/>
        <v/>
      </c>
      <c r="BI385" s="27" t="str">
        <f t="shared" si="164"/>
        <v/>
      </c>
      <c r="BJ385" s="27" t="str">
        <f t="shared" si="165"/>
        <v/>
      </c>
      <c r="BK385" s="27" t="str">
        <f t="shared" si="166"/>
        <v/>
      </c>
      <c r="BL385" s="27" t="str">
        <f t="shared" si="167"/>
        <v/>
      </c>
      <c r="BM385" s="21" t="s">
        <v>5581</v>
      </c>
    </row>
    <row r="386" spans="1:65" ht="15">
      <c r="A386" s="25" t="str">
        <f>IFERROR(INDEX('Hun Demand'!W:W,MATCH(O386,'Hun Demand'!A:A,0)),"")</f>
        <v/>
      </c>
      <c r="B386" s="25" t="str">
        <f>IFERROR(INDEX('Hun Demand'!V:V,MATCH(O386,'Hun Demand'!A:A,0)),"")</f>
        <v/>
      </c>
      <c r="C386" s="25" t="str">
        <f>IFERROR(INDEX('Hun Demand'!U:U,MATCH(O386,'Hun Demand'!A:A,0)),"")</f>
        <v/>
      </c>
      <c r="D386" s="25" t="str">
        <f>IFERROR(INDEX('Hun Demand'!T:T,MATCH(O386,'Hun Demand'!A:A,0)),"")</f>
        <v/>
      </c>
      <c r="E386" s="25" t="str">
        <f>IFERROR(INDEX('Hun Demand'!S:S,MATCH(O386,'Hun Demand'!A:A,0)),"")</f>
        <v/>
      </c>
      <c r="F386" s="25" t="str">
        <f>IFERROR(INDEX('Hun Demand'!R:R,MATCH(O386,'Hun Demand'!A:A,0)),"")</f>
        <v/>
      </c>
      <c r="G386" s="25">
        <f>IFERROR(INDEX('Aub Demand'!W:W,MATCH(O386,'Aub Demand'!A:A,0)),"")</f>
        <v>16</v>
      </c>
      <c r="H386" s="25">
        <f>IFERROR(INDEX('Aub Demand'!V:V,MATCH(O386,'Aub Demand'!A:A,0)),"")</f>
        <v>12</v>
      </c>
      <c r="I386" s="25">
        <f>IFERROR(INDEX('Aub Demand'!U:U,MATCH(O386,'Aub Demand'!A:A,0)),"")</f>
        <v>0</v>
      </c>
      <c r="J386" s="25">
        <f>IFERROR(INDEX('Aub Demand'!T:T,MATCH(O386,'Aub Demand'!A:A,0)),"")</f>
        <v>0</v>
      </c>
      <c r="K386" s="25">
        <f>IFERROR(INDEX('Aub Demand'!S:S,MATCH(O386,'Aub Demand'!A:A,0)),"")</f>
        <v>28</v>
      </c>
      <c r="L386" s="25">
        <f>IFERROR(INDEX('Aub Demand'!R:R,MATCH(O386,'Aub Demand'!A:A,0)),"")</f>
        <v>0</v>
      </c>
      <c r="O386" s="27" t="s">
        <v>2136</v>
      </c>
      <c r="P386" s="27" t="str">
        <f>IFERROR(INDEX('Aub Demand'!B:B,MATCH($O386,'Aub Demand'!$A:$A,0)),"")</f>
        <v>IVORY ESSENCE 48"</v>
      </c>
      <c r="Q386" s="27" t="str">
        <f>IFERROR(INDEX('Aub Demand'!C:C,MATCH($O386,'Aub Demand'!$A:$A,0)),"")</f>
        <v>INTER</v>
      </c>
      <c r="R386" s="52">
        <f>IFERROR(IF(AR387=AR386,INDEX('Aub Demand'!K:K,MATCH($O386,'Aub Demand'!$A:$A,0))-IF(AN386="",0,AN386)+AP387,INDEX('Aub Demand'!K:K,MATCH($O386,'Aub Demand'!$A:$A,0))-IF(AN386="",0,AN386)),"")</f>
        <v>0</v>
      </c>
      <c r="S386" s="53">
        <f t="shared" si="140"/>
        <v>0</v>
      </c>
      <c r="T386" s="52" t="str">
        <f t="shared" si="141"/>
        <v/>
      </c>
      <c r="U386" s="52">
        <f>IFERROR(IF(AR387=AR386,INDEX('Aub Demand'!Q:Q,MATCH($O386,'Aub Demand'!$A:$A,0))-IF(AN386="",0,AN386)+AP387,INDEX('Aub Demand'!Q:Q,MATCH($O386,'Aub Demand'!$A:$A,0))-IF(AN386="",0,AN386)),"")</f>
        <v>0</v>
      </c>
      <c r="V386" s="53">
        <f t="shared" si="142"/>
        <v>0</v>
      </c>
      <c r="W386" s="52" t="str">
        <f t="shared" si="143"/>
        <v/>
      </c>
      <c r="X386" s="52">
        <f>IFERROR(IF(AND(AR387=AR386,AM386&lt;&gt;""),INDEX('Aub Demand'!Q:Q,MATCH($O386,'Aub Demand'!$A:$A,0))-IF(AN386="",0,AN386)+AP387+AD386+AL386,IF(AR387=AR386,INDEX('Aub Demand'!Q:Q,MATCH($O386,'Aub Demand'!$A:$A,0))-IF(AN386="",0,AN386)+AP387+AD386,IF(AM386&lt;&gt;"",INDEX('Aub Demand'!Q:Q,MATCH($O386,'Aub Demand'!$A:$A,0))-IF(AN386="",0,AN386)+AD386+AL386,INDEX('Aub Demand'!Q:Q,MATCH($O386,'Aub Demand'!$A:$A,0))-IF(AN386="",0,AN386)+AD386))),"")</f>
        <v>0</v>
      </c>
      <c r="Y386" s="53">
        <f t="shared" si="144"/>
        <v>0</v>
      </c>
      <c r="Z386" s="52">
        <f>IF(L386="","",INDEX('Aub Demand'!H:H,MATCH($O386,'Aub Demand'!$A:$A,0)))</f>
        <v>9</v>
      </c>
      <c r="AA386" s="52" t="str">
        <f t="shared" si="145"/>
        <v>-spike-</v>
      </c>
      <c r="AB386" s="52">
        <f>IFERROR(INDEX('Aub Demand'!L:L,MATCH($O386,'Aub Demand'!$A:$A,0)),"")</f>
        <v>397</v>
      </c>
      <c r="AC386" s="52">
        <f>IFERROR(IF(O386="","",SUMIFS('CPL Mats'!F:F,'CPL Mats'!Q:Q,AR386,'CPL Mats'!S:S,AS386)),"")</f>
        <v>0</v>
      </c>
      <c r="AF386" s="25" t="str">
        <f>IF(SUMIFS('Supp Consol'!S:S,'Supp Consol'!Y:Y,"Releasable",'Supp Consol'!A:A,O386)=0,"",SUMIFS('Supp Consol'!S:S,'Supp Consol'!Y:Y,"Releasable",'Supp Consol'!A:A,O386))</f>
        <v/>
      </c>
      <c r="AG386" s="25" t="str">
        <f>IFERROR(INDEX('Hun Demand'!Q:Q,MATCH(O386,'Hun Demand'!A:A,0)),"")</f>
        <v/>
      </c>
      <c r="AH386" s="25" t="str">
        <f>IFERROR(INDEX('Hun Demand'!H:H,MATCH($O386,'Hun Demand'!$A:$A,0)),"")</f>
        <v/>
      </c>
      <c r="AI386" s="25" t="str">
        <f>IF(SUMIFS('Supp Consol'!AA:AA,'Supp Consol'!Z:Z,"Expires this month",'Supp Consol'!A:A,O386)=0,"",SUMIFS('Supp Consol'!AA:AA,'Supp Consol'!Z:Z,"Expires this month",'Supp Consol'!A:A,O386))</f>
        <v/>
      </c>
      <c r="AJ386" s="25" t="str">
        <f>IF(SUMIFS('Supp Consol'!AA:AA,'Supp Consol'!Z:Z,"Expired Previous Months",'Supp Consol'!A:A,O386)=0,"",SUMIFS('Supp Consol'!AA:AA,'Supp Consol'!Z:Z,"Expired Previous Months",'Supp Consol'!A:A,O386))</f>
        <v/>
      </c>
      <c r="AK386" s="25" t="str">
        <f>IFERROR(INDEX('Hun Release Current'!B:B,MATCH(O386,'Hun Release Current'!A:A,0)),"")</f>
        <v/>
      </c>
      <c r="AL386" s="25" t="str">
        <f>IF(SUMIF('Prev Aub'!A:A,O386,'Prev Aub'!B:B)=0,"",SUMIF('Prev Aub'!A:A,O386,'Prev Aub'!B:B))</f>
        <v/>
      </c>
      <c r="AN386" s="25" t="s">
        <v>3790</v>
      </c>
      <c r="AO386" s="25" t="s">
        <v>3790</v>
      </c>
      <c r="AP386" s="25">
        <f t="shared" si="146"/>
        <v>0</v>
      </c>
      <c r="AQ386" s="151" t="str">
        <f>IF(SUMIFS('Supp Consol'!S:S,'Supp Consol'!A:A,O386,'Supp Consol'!I:I,"PENDING")=0,"",SUMIFS('Supp Consol'!S:S,'Supp Consol'!A:A,O386,'Supp Consol'!I:I,"PENDING"))</f>
        <v/>
      </c>
      <c r="AR386" s="27" t="str">
        <f t="shared" si="147"/>
        <v>ES201</v>
      </c>
      <c r="AS386" s="27" t="str">
        <f t="shared" si="148"/>
        <v>50</v>
      </c>
      <c r="AT386" s="27" t="str">
        <f t="shared" si="149"/>
        <v>ES201</v>
      </c>
      <c r="AU386" s="27" t="str">
        <f t="shared" si="150"/>
        <v>ES201</v>
      </c>
      <c r="AV386" s="27" t="str">
        <f t="shared" si="151"/>
        <v>ES201</v>
      </c>
      <c r="AW386" s="27" t="str">
        <f t="shared" si="152"/>
        <v/>
      </c>
      <c r="AX386" s="27" t="str">
        <f t="shared" si="153"/>
        <v/>
      </c>
      <c r="AY386" s="27" t="str">
        <f t="shared" si="154"/>
        <v/>
      </c>
      <c r="AZ386" s="27" t="str">
        <f t="shared" si="155"/>
        <v/>
      </c>
      <c r="BA386" s="27" t="str">
        <f t="shared" si="156"/>
        <v/>
      </c>
      <c r="BB386" s="27" t="str">
        <f t="shared" si="157"/>
        <v>Gross</v>
      </c>
      <c r="BC386" s="27" t="str">
        <f t="shared" si="158"/>
        <v>Net</v>
      </c>
      <c r="BD386" s="27" t="str">
        <f t="shared" si="159"/>
        <v>Net</v>
      </c>
      <c r="BE386" s="27" t="str">
        <f t="shared" si="160"/>
        <v/>
      </c>
      <c r="BF386" s="27" t="str">
        <f t="shared" si="161"/>
        <v/>
      </c>
      <c r="BG386" s="27" t="str">
        <f t="shared" si="162"/>
        <v/>
      </c>
      <c r="BH386" s="27" t="str">
        <f t="shared" si="163"/>
        <v/>
      </c>
      <c r="BI386" s="27" t="str">
        <f t="shared" si="164"/>
        <v/>
      </c>
      <c r="BJ386" s="27" t="str">
        <f t="shared" si="165"/>
        <v/>
      </c>
      <c r="BK386" s="27" t="str">
        <f t="shared" si="166"/>
        <v/>
      </c>
      <c r="BL386" s="27" t="str">
        <f t="shared" si="167"/>
        <v/>
      </c>
      <c r="BM386" s="21" t="s">
        <v>5581</v>
      </c>
    </row>
    <row r="387" spans="1:65" ht="15">
      <c r="A387" s="25" t="str">
        <f>IFERROR(INDEX('Hun Demand'!W:W,MATCH(O387,'Hun Demand'!A:A,0)),"")</f>
        <v/>
      </c>
      <c r="B387" s="25" t="str">
        <f>IFERROR(INDEX('Hun Demand'!V:V,MATCH(O387,'Hun Demand'!A:A,0)),"")</f>
        <v/>
      </c>
      <c r="C387" s="25" t="str">
        <f>IFERROR(INDEX('Hun Demand'!U:U,MATCH(O387,'Hun Demand'!A:A,0)),"")</f>
        <v/>
      </c>
      <c r="D387" s="25" t="str">
        <f>IFERROR(INDEX('Hun Demand'!T:T,MATCH(O387,'Hun Demand'!A:A,0)),"")</f>
        <v/>
      </c>
      <c r="E387" s="25" t="str">
        <f>IFERROR(INDEX('Hun Demand'!S:S,MATCH(O387,'Hun Demand'!A:A,0)),"")</f>
        <v/>
      </c>
      <c r="F387" s="25" t="str">
        <f>IFERROR(INDEX('Hun Demand'!R:R,MATCH(O387,'Hun Demand'!A:A,0)),"")</f>
        <v/>
      </c>
      <c r="G387" s="25">
        <f>IFERROR(INDEX('Aub Demand'!W:W,MATCH(O387,'Aub Demand'!A:A,0)),"")</f>
        <v>10</v>
      </c>
      <c r="H387" s="25">
        <f>IFERROR(INDEX('Aub Demand'!V:V,MATCH(O387,'Aub Demand'!A:A,0)),"")</f>
        <v>0</v>
      </c>
      <c r="I387" s="25">
        <f>IFERROR(INDEX('Aub Demand'!U:U,MATCH(O387,'Aub Demand'!A:A,0)),"")</f>
        <v>32</v>
      </c>
      <c r="J387" s="25">
        <f>IFERROR(INDEX('Aub Demand'!T:T,MATCH(O387,'Aub Demand'!A:A,0)),"")</f>
        <v>0</v>
      </c>
      <c r="K387" s="25">
        <f>IFERROR(INDEX('Aub Demand'!S:S,MATCH(O387,'Aub Demand'!A:A,0)),"")</f>
        <v>6</v>
      </c>
      <c r="L387" s="25">
        <f>IFERROR(INDEX('Aub Demand'!R:R,MATCH(O387,'Aub Demand'!A:A,0)),"")</f>
        <v>0</v>
      </c>
      <c r="O387" s="27" t="s">
        <v>2138</v>
      </c>
      <c r="P387" s="27" t="str">
        <f>IFERROR(INDEX('Aub Demand'!B:B,MATCH($O387,'Aub Demand'!$A:$A,0)),"")</f>
        <v>IVORY ESSENCE 60"</v>
      </c>
      <c r="Q387" s="27" t="str">
        <f>IFERROR(INDEX('Aub Demand'!C:C,MATCH($O387,'Aub Demand'!$A:$A,0)),"")</f>
        <v>INTER</v>
      </c>
      <c r="R387" s="52">
        <f>IFERROR(IF(AR388=AR387,INDEX('Aub Demand'!K:K,MATCH($O387,'Aub Demand'!$A:$A,0))-IF(AN387="",0,AN387)+AP388,INDEX('Aub Demand'!K:K,MATCH($O387,'Aub Demand'!$A:$A,0))-IF(AN387="",0,AN387)),"")</f>
        <v>1978</v>
      </c>
      <c r="S387" s="53">
        <f t="shared" ref="S387:S450" si="168">IFERROR(IF(O387="","",ROUND(R387/((Z387/30)*7),1)),"n/a")</f>
        <v>652.1</v>
      </c>
      <c r="T387" s="52" t="str">
        <f t="shared" ref="T387:T450" si="169">IFERROR(IF(S387&lt;3.1,IF(AA387="spike",(3-S387)*(Z387/4),(3-S387)*(AA387/4)),""),"")</f>
        <v/>
      </c>
      <c r="U387" s="52">
        <f>IFERROR(IF(AR388=AR387,INDEX('Aub Demand'!Q:Q,MATCH($O387,'Aub Demand'!$A:$A,0))-IF(AN387="",0,AN387)+AP388,INDEX('Aub Demand'!Q:Q,MATCH($O387,'Aub Demand'!$A:$A,0))-IF(AN387="",0,AN387)),"")</f>
        <v>1978</v>
      </c>
      <c r="V387" s="53">
        <f t="shared" ref="V387:V450" si="170">IFERROR(IF(O387="","",ROUND(U387/((Z387/30)*7),1)),"n/a")</f>
        <v>652.1</v>
      </c>
      <c r="W387" s="52" t="str">
        <f t="shared" ref="W387:W450" si="171">IF(IFERROR(IF(V387&lt;3.1,IF(AA387="spike",(3-V387)*(Z387/4),(3-V387)*(AA387/4)),""),"")&lt;0,0,IFERROR(IF(V387&lt;3.1,IF(AA387="spike",(3-V387)*(Z387/4),(3-V387)*(AA387/4)),""),""))</f>
        <v/>
      </c>
      <c r="X387" s="52">
        <f>IFERROR(IF(AND(AR388=AR387,AM387&lt;&gt;""),INDEX('Aub Demand'!Q:Q,MATCH($O387,'Aub Demand'!$A:$A,0))-IF(AN387="",0,AN387)+AP388+AD387+AL387,IF(AR388=AR387,INDEX('Aub Demand'!Q:Q,MATCH($O387,'Aub Demand'!$A:$A,0))-IF(AN387="",0,AN387)+AP388+AD387,IF(AM387&lt;&gt;"",INDEX('Aub Demand'!Q:Q,MATCH($O387,'Aub Demand'!$A:$A,0))-IF(AN387="",0,AN387)+AD387+AL387,INDEX('Aub Demand'!Q:Q,MATCH($O387,'Aub Demand'!$A:$A,0))-IF(AN387="",0,AN387)+AD387))),"")</f>
        <v>1978</v>
      </c>
      <c r="Y387" s="53">
        <f t="shared" ref="Y387:Y450" si="172">IFERROR(IF(O387="","",ROUND(X387/((Z387/30)*7),1)),"n/a")</f>
        <v>652.1</v>
      </c>
      <c r="Z387" s="52">
        <f>IF(L387="","",INDEX('Aub Demand'!H:H,MATCH($O387,'Aub Demand'!$A:$A,0)))</f>
        <v>13</v>
      </c>
      <c r="AA387" s="52">
        <f t="shared" ref="AA387:AA450" si="173">IF(L387="","",IF(LARGE(I387:L387,2)=0,"-spike-",AVERAGE(LARGE(I387:L387,1),LARGE(I387:L387,2))))</f>
        <v>19</v>
      </c>
      <c r="AB387" s="52">
        <f>IFERROR(INDEX('Aub Demand'!L:L,MATCH($O387,'Aub Demand'!$A:$A,0)),"")</f>
        <v>0</v>
      </c>
      <c r="AC387" s="52">
        <f>IFERROR(IF(O387="","",SUMIFS('CPL Mats'!F:F,'CPL Mats'!Q:Q,AR387,'CPL Mats'!S:S,AS387)),"")</f>
        <v>0</v>
      </c>
      <c r="AF387" s="25" t="str">
        <f>IF(SUMIFS('Supp Consol'!S:S,'Supp Consol'!Y:Y,"Releasable",'Supp Consol'!A:A,O387)=0,"",SUMIFS('Supp Consol'!S:S,'Supp Consol'!Y:Y,"Releasable",'Supp Consol'!A:A,O387))</f>
        <v/>
      </c>
      <c r="AG387" s="25" t="str">
        <f>IFERROR(INDEX('Hun Demand'!Q:Q,MATCH(O387,'Hun Demand'!A:A,0)),"")</f>
        <v/>
      </c>
      <c r="AH387" s="25" t="str">
        <f>IFERROR(INDEX('Hun Demand'!H:H,MATCH($O387,'Hun Demand'!$A:$A,0)),"")</f>
        <v/>
      </c>
      <c r="AI387" s="25" t="str">
        <f>IF(SUMIFS('Supp Consol'!AA:AA,'Supp Consol'!Z:Z,"Expires this month",'Supp Consol'!A:A,O387)=0,"",SUMIFS('Supp Consol'!AA:AA,'Supp Consol'!Z:Z,"Expires this month",'Supp Consol'!A:A,O387))</f>
        <v/>
      </c>
      <c r="AJ387" s="25" t="str">
        <f>IF(SUMIFS('Supp Consol'!AA:AA,'Supp Consol'!Z:Z,"Expired Previous Months",'Supp Consol'!A:A,O387)=0,"",SUMIFS('Supp Consol'!AA:AA,'Supp Consol'!Z:Z,"Expired Previous Months",'Supp Consol'!A:A,O387))</f>
        <v/>
      </c>
      <c r="AK387" s="25" t="str">
        <f>IFERROR(INDEX('Hun Release Current'!B:B,MATCH(O387,'Hun Release Current'!A:A,0)),"")</f>
        <v/>
      </c>
      <c r="AL387" s="25" t="str">
        <f>IF(SUMIF('Prev Aub'!A:A,O387,'Prev Aub'!B:B)=0,"",SUMIF('Prev Aub'!A:A,O387,'Prev Aub'!B:B))</f>
        <v/>
      </c>
      <c r="AN387" s="25" t="s">
        <v>3790</v>
      </c>
      <c r="AO387" s="25" t="s">
        <v>3790</v>
      </c>
      <c r="AP387" s="25">
        <f t="shared" ref="AP387:AP450" si="174">IFERROR(IF(O387="","",IF(AN387="",0,VALUE(AN387)-(VALUE(AN387)*0.2))),"")</f>
        <v>0</v>
      </c>
      <c r="AQ387" s="151" t="str">
        <f>IF(SUMIFS('Supp Consol'!S:S,'Supp Consol'!A:A,O387,'Supp Consol'!I:I,"PENDING")=0,"",SUMIFS('Supp Consol'!S:S,'Supp Consol'!A:A,O387,'Supp Consol'!I:I,"PENDING"))</f>
        <v/>
      </c>
      <c r="AR387" s="27" t="str">
        <f t="shared" ref="AR387:AR450" si="175">MID(O387,4,5)</f>
        <v>ES201</v>
      </c>
      <c r="AS387" s="27" t="str">
        <f t="shared" ref="AS387:AS450" si="176">MID(O387,10,2)</f>
        <v>62</v>
      </c>
      <c r="AT387" s="27" t="str">
        <f t="shared" ref="AT387:AT450" si="177">IF(S387&lt;3.1,AR387,"")</f>
        <v/>
      </c>
      <c r="AU387" s="27" t="str">
        <f t="shared" ref="AU387:AU450" si="178">IF(Y387&lt;3.1,AR387,"")</f>
        <v/>
      </c>
      <c r="AV387" s="27" t="str">
        <f t="shared" ref="AV387:AV450" si="179">IF(AND(AA387="Spike",L387=0,K387=0,X387&gt;=0),"",IF(Y387&lt;3.1,AR387,""))</f>
        <v/>
      </c>
      <c r="AW387" s="27" t="str">
        <f t="shared" ref="AW387:AW450" si="180">IF(AI387=AL387,"",IF(OR(AI387&lt;&gt;"",AJ387&lt;&gt;""),AR387,""))</f>
        <v/>
      </c>
      <c r="AX387" s="27" t="str">
        <f t="shared" ref="AX387:AX450" si="181">IF(AF387&lt;&gt;"",AR387,"")</f>
        <v/>
      </c>
      <c r="AY387" s="27" t="str">
        <f t="shared" ref="AY387:AY450" si="182">IF(AND(AG387&lt;&gt;"",AG387&gt;AH387),AR387,"")</f>
        <v/>
      </c>
      <c r="AZ387" s="27" t="str">
        <f t="shared" ref="AZ387:AZ450" si="183">IFERROR(IF(O387="","",IF(ISERROR(MATCH(AR387,AX:AX,0)),"","Supp")),"")</f>
        <v/>
      </c>
      <c r="BA387" s="27" t="str">
        <f t="shared" ref="BA387:BA450" si="184">IFERROR(IF(O387="","",IF(ISERROR(MATCH(AR387,AY:AY,0)),"","Hun")),"")</f>
        <v/>
      </c>
      <c r="BB387" s="27" t="str">
        <f t="shared" ref="BB387:BB450" si="185">IFERROR(IF(O387="","",IF(ISERROR(MATCH(AR387,AT:AT,0)),"","Gross")),"")</f>
        <v>Gross</v>
      </c>
      <c r="BC387" s="27" t="str">
        <f t="shared" ref="BC387:BC450" si="186">IFERROR(IF(O387="","",IF(ISERROR(MATCH(AR387,AU:AU,0)),"","Net")),"")</f>
        <v>Net</v>
      </c>
      <c r="BD387" s="27" t="str">
        <f t="shared" ref="BD387:BD450" si="187">IFERROR(IF(O387="","",IF(ISERROR(MATCH(AR387,AV:AV,0)),"","Net")),"")</f>
        <v>Net</v>
      </c>
      <c r="BE387" s="27" t="str">
        <f t="shared" ref="BE387:BE450" si="188">IFERROR(IF(O387="","",IF(ISERROR(MATCH(AR387,AW:AW,0)),"","Exp")),"")</f>
        <v/>
      </c>
      <c r="BF387" s="27" t="str">
        <f t="shared" ref="BF387:BF450" si="189">IFERROR(IF(O387="","",IF(AND(AZ387="Supp",BC387="Net"),"S+N","")),"")</f>
        <v/>
      </c>
      <c r="BG387" s="27" t="str">
        <f t="shared" ref="BG387:BG450" si="190">IFERROR(IF(O387="","",IF(OR(BE387&lt;&gt;"",BF387&lt;&gt;""),"S+NorE","")),"")</f>
        <v/>
      </c>
      <c r="BH387" s="27" t="str">
        <f t="shared" ref="BH387:BH450" si="191">IFERROR(IF(O387="","",IF(AND(BA387&lt;&gt;"",BC387&lt;&gt;""),"H+N","")),"")</f>
        <v/>
      </c>
      <c r="BI387" s="27" t="str">
        <f t="shared" ref="BI387:BI450" si="192">IFERROR(IF(O387="","",IF(AND(BA387&lt;&gt;"",BD387&lt;&gt;""),"H+Nex","")),"")</f>
        <v/>
      </c>
      <c r="BJ387" s="27" t="str">
        <f t="shared" ref="BJ387:BJ450" si="193">IF(OR(AZ387&lt;&gt;"",BA387&lt;&gt;""),"Supp or Hun","")</f>
        <v/>
      </c>
      <c r="BK387" s="27" t="str">
        <f t="shared" ref="BK387:BK450" si="194">IF(AND(BJ387&lt;&gt;"",BC387&lt;&gt;""),"Supp or Hun Need","")</f>
        <v/>
      </c>
      <c r="BL387" s="27" t="str">
        <f t="shared" ref="BL387:BL450" si="195">IF(OR(BK387&lt;&gt;"",BE387&lt;&gt;""),"SorHandNandE","")</f>
        <v/>
      </c>
      <c r="BM387" s="21" t="s">
        <v>5581</v>
      </c>
    </row>
    <row r="388" spans="1:65" ht="15">
      <c r="A388" s="25" t="str">
        <f>IFERROR(INDEX('Hun Demand'!W:W,MATCH(O388,'Hun Demand'!A:A,0)),"")</f>
        <v/>
      </c>
      <c r="B388" s="25" t="str">
        <f>IFERROR(INDEX('Hun Demand'!V:V,MATCH(O388,'Hun Demand'!A:A,0)),"")</f>
        <v/>
      </c>
      <c r="C388" s="25" t="str">
        <f>IFERROR(INDEX('Hun Demand'!U:U,MATCH(O388,'Hun Demand'!A:A,0)),"")</f>
        <v/>
      </c>
      <c r="D388" s="25" t="str">
        <f>IFERROR(INDEX('Hun Demand'!T:T,MATCH(O388,'Hun Demand'!A:A,0)),"")</f>
        <v/>
      </c>
      <c r="E388" s="25" t="str">
        <f>IFERROR(INDEX('Hun Demand'!S:S,MATCH(O388,'Hun Demand'!A:A,0)),"")</f>
        <v/>
      </c>
      <c r="F388" s="25" t="str">
        <f>IFERROR(INDEX('Hun Demand'!R:R,MATCH(O388,'Hun Demand'!A:A,0)),"")</f>
        <v/>
      </c>
      <c r="G388" s="25">
        <f>IFERROR(INDEX('Aub Demand'!W:W,MATCH(O388,'Aub Demand'!A:A,0)),"")</f>
        <v>100</v>
      </c>
      <c r="H388" s="25">
        <f>IFERROR(INDEX('Aub Demand'!V:V,MATCH(O388,'Aub Demand'!A:A,0)),"")</f>
        <v>0</v>
      </c>
      <c r="I388" s="25">
        <f>IFERROR(INDEX('Aub Demand'!U:U,MATCH(O388,'Aub Demand'!A:A,0)),"")</f>
        <v>0</v>
      </c>
      <c r="J388" s="25">
        <f>IFERROR(INDEX('Aub Demand'!T:T,MATCH(O388,'Aub Demand'!A:A,0)),"")</f>
        <v>8</v>
      </c>
      <c r="K388" s="25">
        <f>IFERROR(INDEX('Aub Demand'!S:S,MATCH(O388,'Aub Demand'!A:A,0)),"")</f>
        <v>159</v>
      </c>
      <c r="L388" s="25">
        <f>IFERROR(INDEX('Aub Demand'!R:R,MATCH(O388,'Aub Demand'!A:A,0)),"")</f>
        <v>0</v>
      </c>
      <c r="O388" s="27" t="s">
        <v>2141</v>
      </c>
      <c r="P388" s="27" t="str">
        <f>IFERROR(INDEX('Aub Demand'!B:B,MATCH($O388,'Aub Demand'!$A:$A,0)),"")</f>
        <v>SIENNA ESSENCE 50"</v>
      </c>
      <c r="Q388" s="27" t="str">
        <f>IFERROR(INDEX('Aub Demand'!C:C,MATCH($O388,'Aub Demand'!$A:$A,0)),"")</f>
        <v>INTER</v>
      </c>
      <c r="R388" s="52">
        <f>IFERROR(IF(AR389=AR388,INDEX('Aub Demand'!K:K,MATCH($O388,'Aub Demand'!$A:$A,0))-IF(AN388="",0,AN388)+AP389,INDEX('Aub Demand'!K:K,MATCH($O388,'Aub Demand'!$A:$A,0))-IF(AN388="",0,AN388)),"")</f>
        <v>1219</v>
      </c>
      <c r="S388" s="53">
        <f t="shared" si="168"/>
        <v>93.3</v>
      </c>
      <c r="T388" s="52" t="str">
        <f t="shared" si="169"/>
        <v/>
      </c>
      <c r="U388" s="52">
        <f>IFERROR(IF(AR389=AR388,INDEX('Aub Demand'!Q:Q,MATCH($O388,'Aub Demand'!$A:$A,0))-IF(AN388="",0,AN388)+AP389,INDEX('Aub Demand'!Q:Q,MATCH($O388,'Aub Demand'!$A:$A,0))-IF(AN388="",0,AN388)),"")</f>
        <v>1216</v>
      </c>
      <c r="V388" s="53">
        <f t="shared" si="170"/>
        <v>93.1</v>
      </c>
      <c r="W388" s="52" t="str">
        <f t="shared" si="171"/>
        <v/>
      </c>
      <c r="X388" s="52">
        <f>IFERROR(IF(AND(AR389=AR388,AM388&lt;&gt;""),INDEX('Aub Demand'!Q:Q,MATCH($O388,'Aub Demand'!$A:$A,0))-IF(AN388="",0,AN388)+AP389+AD388+AL388,IF(AR389=AR388,INDEX('Aub Demand'!Q:Q,MATCH($O388,'Aub Demand'!$A:$A,0))-IF(AN388="",0,AN388)+AP389+AD388,IF(AM388&lt;&gt;"",INDEX('Aub Demand'!Q:Q,MATCH($O388,'Aub Demand'!$A:$A,0))-IF(AN388="",0,AN388)+AD388+AL388,INDEX('Aub Demand'!Q:Q,MATCH($O388,'Aub Demand'!$A:$A,0))-IF(AN388="",0,AN388)+AD388))),"")</f>
        <v>1216</v>
      </c>
      <c r="Y388" s="53">
        <f t="shared" si="172"/>
        <v>93.1</v>
      </c>
      <c r="Z388" s="52">
        <f>IF(L388="","",INDEX('Aub Demand'!H:H,MATCH($O388,'Aub Demand'!$A:$A,0)))</f>
        <v>56</v>
      </c>
      <c r="AA388" s="52">
        <f t="shared" si="173"/>
        <v>83.5</v>
      </c>
      <c r="AB388" s="52">
        <f>IFERROR(INDEX('Aub Demand'!L:L,MATCH($O388,'Aub Demand'!$A:$A,0)),"")</f>
        <v>134</v>
      </c>
      <c r="AC388" s="52">
        <f>IFERROR(IF(O388="","",SUMIFS('CPL Mats'!F:F,'CPL Mats'!Q:Q,AR388,'CPL Mats'!S:S,AS388)),"")</f>
        <v>1500</v>
      </c>
      <c r="AF388" s="25" t="str">
        <f>IF(SUMIFS('Supp Consol'!S:S,'Supp Consol'!Y:Y,"Releasable",'Supp Consol'!A:A,O388)=0,"",SUMIFS('Supp Consol'!S:S,'Supp Consol'!Y:Y,"Releasable",'Supp Consol'!A:A,O388))</f>
        <v/>
      </c>
      <c r="AG388" s="25" t="str">
        <f>IFERROR(INDEX('Hun Demand'!Q:Q,MATCH(O388,'Hun Demand'!A:A,0)),"")</f>
        <v/>
      </c>
      <c r="AH388" s="25" t="str">
        <f>IFERROR(INDEX('Hun Demand'!H:H,MATCH($O388,'Hun Demand'!$A:$A,0)),"")</f>
        <v/>
      </c>
      <c r="AI388" s="25" t="str">
        <f>IF(SUMIFS('Supp Consol'!AA:AA,'Supp Consol'!Z:Z,"Expires this month",'Supp Consol'!A:A,O388)=0,"",SUMIFS('Supp Consol'!AA:AA,'Supp Consol'!Z:Z,"Expires this month",'Supp Consol'!A:A,O388))</f>
        <v/>
      </c>
      <c r="AJ388" s="25" t="str">
        <f>IF(SUMIFS('Supp Consol'!AA:AA,'Supp Consol'!Z:Z,"Expired Previous Months",'Supp Consol'!A:A,O388)=0,"",SUMIFS('Supp Consol'!AA:AA,'Supp Consol'!Z:Z,"Expired Previous Months",'Supp Consol'!A:A,O388))</f>
        <v/>
      </c>
      <c r="AK388" s="25" t="str">
        <f>IFERROR(INDEX('Hun Release Current'!B:B,MATCH(O388,'Hun Release Current'!A:A,0)),"")</f>
        <v/>
      </c>
      <c r="AL388" s="25" t="str">
        <f>IF(SUMIF('Prev Aub'!A:A,O388,'Prev Aub'!B:B)=0,"",SUMIF('Prev Aub'!A:A,O388,'Prev Aub'!B:B))</f>
        <v/>
      </c>
      <c r="AN388" s="25" t="s">
        <v>3790</v>
      </c>
      <c r="AO388" s="25" t="s">
        <v>3790</v>
      </c>
      <c r="AP388" s="25">
        <f t="shared" si="174"/>
        <v>0</v>
      </c>
      <c r="AQ388" s="151" t="str">
        <f>IF(SUMIFS('Supp Consol'!S:S,'Supp Consol'!A:A,O388,'Supp Consol'!I:I,"PENDING")=0,"",SUMIFS('Supp Consol'!S:S,'Supp Consol'!A:A,O388,'Supp Consol'!I:I,"PENDING"))</f>
        <v/>
      </c>
      <c r="AR388" s="27" t="str">
        <f t="shared" si="175"/>
        <v>ES203</v>
      </c>
      <c r="AS388" s="27" t="str">
        <f t="shared" si="176"/>
        <v>50</v>
      </c>
      <c r="AT388" s="27" t="str">
        <f t="shared" si="177"/>
        <v/>
      </c>
      <c r="AU388" s="27" t="str">
        <f t="shared" si="178"/>
        <v/>
      </c>
      <c r="AV388" s="27" t="str">
        <f t="shared" si="179"/>
        <v/>
      </c>
      <c r="AW388" s="27" t="str">
        <f t="shared" si="180"/>
        <v/>
      </c>
      <c r="AX388" s="27" t="str">
        <f t="shared" si="181"/>
        <v/>
      </c>
      <c r="AY388" s="27" t="str">
        <f t="shared" si="182"/>
        <v/>
      </c>
      <c r="AZ388" s="27" t="str">
        <f t="shared" si="183"/>
        <v/>
      </c>
      <c r="BA388" s="27" t="str">
        <f t="shared" si="184"/>
        <v/>
      </c>
      <c r="BB388" s="27" t="str">
        <f t="shared" si="185"/>
        <v/>
      </c>
      <c r="BC388" s="27" t="str">
        <f t="shared" si="186"/>
        <v/>
      </c>
      <c r="BD388" s="27" t="str">
        <f t="shared" si="187"/>
        <v/>
      </c>
      <c r="BE388" s="27" t="str">
        <f t="shared" si="188"/>
        <v/>
      </c>
      <c r="BF388" s="27" t="str">
        <f t="shared" si="189"/>
        <v/>
      </c>
      <c r="BG388" s="27" t="str">
        <f t="shared" si="190"/>
        <v/>
      </c>
      <c r="BH388" s="27" t="str">
        <f t="shared" si="191"/>
        <v/>
      </c>
      <c r="BI388" s="27" t="str">
        <f t="shared" si="192"/>
        <v/>
      </c>
      <c r="BJ388" s="27" t="str">
        <f t="shared" si="193"/>
        <v/>
      </c>
      <c r="BK388" s="27" t="str">
        <f t="shared" si="194"/>
        <v/>
      </c>
      <c r="BL388" s="27" t="str">
        <f t="shared" si="195"/>
        <v/>
      </c>
      <c r="BM388" s="21" t="s">
        <v>5581</v>
      </c>
    </row>
    <row r="389" spans="1:65" ht="15">
      <c r="A389" s="25" t="str">
        <f>IFERROR(INDEX('Hun Demand'!W:W,MATCH(O389,'Hun Demand'!A:A,0)),"")</f>
        <v/>
      </c>
      <c r="B389" s="25" t="str">
        <f>IFERROR(INDEX('Hun Demand'!V:V,MATCH(O389,'Hun Demand'!A:A,0)),"")</f>
        <v/>
      </c>
      <c r="C389" s="25" t="str">
        <f>IFERROR(INDEX('Hun Demand'!U:U,MATCH(O389,'Hun Demand'!A:A,0)),"")</f>
        <v/>
      </c>
      <c r="D389" s="25" t="str">
        <f>IFERROR(INDEX('Hun Demand'!T:T,MATCH(O389,'Hun Demand'!A:A,0)),"")</f>
        <v/>
      </c>
      <c r="E389" s="25" t="str">
        <f>IFERROR(INDEX('Hun Demand'!S:S,MATCH(O389,'Hun Demand'!A:A,0)),"")</f>
        <v/>
      </c>
      <c r="F389" s="25" t="str">
        <f>IFERROR(INDEX('Hun Demand'!R:R,MATCH(O389,'Hun Demand'!A:A,0)),"")</f>
        <v/>
      </c>
      <c r="G389" s="25">
        <f>IFERROR(INDEX('Aub Demand'!W:W,MATCH(O389,'Aub Demand'!A:A,0)),"")</f>
        <v>0</v>
      </c>
      <c r="H389" s="25">
        <f>IFERROR(INDEX('Aub Demand'!V:V,MATCH(O389,'Aub Demand'!A:A,0)),"")</f>
        <v>0</v>
      </c>
      <c r="I389" s="25">
        <f>IFERROR(INDEX('Aub Demand'!U:U,MATCH(O389,'Aub Demand'!A:A,0)),"")</f>
        <v>0</v>
      </c>
      <c r="J389" s="25">
        <f>IFERROR(INDEX('Aub Demand'!T:T,MATCH(O389,'Aub Demand'!A:A,0)),"")</f>
        <v>0</v>
      </c>
      <c r="K389" s="25">
        <f>IFERROR(INDEX('Aub Demand'!S:S,MATCH(O389,'Aub Demand'!A:A,0)),"")</f>
        <v>0</v>
      </c>
      <c r="L389" s="25">
        <f>IFERROR(INDEX('Aub Demand'!R:R,MATCH(O389,'Aub Demand'!A:A,0)),"")</f>
        <v>0</v>
      </c>
      <c r="O389" s="27" t="s">
        <v>2144</v>
      </c>
      <c r="P389" s="27" t="str">
        <f>IFERROR(INDEX('Aub Demand'!B:B,MATCH($O389,'Aub Demand'!$A:$A,0)),"")</f>
        <v>SIENNA ESSENCE 62"</v>
      </c>
      <c r="Q389" s="27" t="str">
        <f>IFERROR(INDEX('Aub Demand'!C:C,MATCH($O389,'Aub Demand'!$A:$A,0)),"")</f>
        <v>INTER</v>
      </c>
      <c r="R389" s="52">
        <f>IFERROR(IF(AR390=AR389,INDEX('Aub Demand'!K:K,MATCH($O389,'Aub Demand'!$A:$A,0))-IF(AN389="",0,AN389)+AP390,INDEX('Aub Demand'!K:K,MATCH($O389,'Aub Demand'!$A:$A,0))-IF(AN389="",0,AN389)),"")</f>
        <v>2245</v>
      </c>
      <c r="S389" s="53" t="str">
        <f t="shared" si="168"/>
        <v>n/a</v>
      </c>
      <c r="T389" s="52" t="str">
        <f t="shared" si="169"/>
        <v/>
      </c>
      <c r="U389" s="52">
        <f>IFERROR(IF(AR390=AR389,INDEX('Aub Demand'!Q:Q,MATCH($O389,'Aub Demand'!$A:$A,0))-IF(AN389="",0,AN389)+AP390,INDEX('Aub Demand'!Q:Q,MATCH($O389,'Aub Demand'!$A:$A,0))-IF(AN389="",0,AN389)),"")</f>
        <v>2245</v>
      </c>
      <c r="V389" s="53" t="str">
        <f t="shared" si="170"/>
        <v>n/a</v>
      </c>
      <c r="W389" s="52" t="str">
        <f t="shared" si="171"/>
        <v/>
      </c>
      <c r="X389" s="52">
        <f>IFERROR(IF(AND(AR390=AR389,AM389&lt;&gt;""),INDEX('Aub Demand'!Q:Q,MATCH($O389,'Aub Demand'!$A:$A,0))-IF(AN389="",0,AN389)+AP390+AD389+AL389,IF(AR390=AR389,INDEX('Aub Demand'!Q:Q,MATCH($O389,'Aub Demand'!$A:$A,0))-IF(AN389="",0,AN389)+AP390+AD389,IF(AM389&lt;&gt;"",INDEX('Aub Demand'!Q:Q,MATCH($O389,'Aub Demand'!$A:$A,0))-IF(AN389="",0,AN389)+AD389+AL389,INDEX('Aub Demand'!Q:Q,MATCH($O389,'Aub Demand'!$A:$A,0))-IF(AN389="",0,AN389)+AD389))),"")</f>
        <v>2245</v>
      </c>
      <c r="Y389" s="53" t="str">
        <f t="shared" si="172"/>
        <v>n/a</v>
      </c>
      <c r="Z389" s="52">
        <f>IF(L389="","",INDEX('Aub Demand'!H:H,MATCH($O389,'Aub Demand'!$A:$A,0)))</f>
        <v>0</v>
      </c>
      <c r="AA389" s="52" t="str">
        <f t="shared" si="173"/>
        <v>-spike-</v>
      </c>
      <c r="AB389" s="52">
        <f>IFERROR(INDEX('Aub Demand'!L:L,MATCH($O389,'Aub Demand'!$A:$A,0)),"")</f>
        <v>0</v>
      </c>
      <c r="AC389" s="52">
        <f>IFERROR(IF(O389="","",SUMIFS('CPL Mats'!F:F,'CPL Mats'!Q:Q,AR389,'CPL Mats'!S:S,AS389)),"")</f>
        <v>0</v>
      </c>
      <c r="AF389" s="25" t="str">
        <f>IF(SUMIFS('Supp Consol'!S:S,'Supp Consol'!Y:Y,"Releasable",'Supp Consol'!A:A,O389)=0,"",SUMIFS('Supp Consol'!S:S,'Supp Consol'!Y:Y,"Releasable",'Supp Consol'!A:A,O389))</f>
        <v/>
      </c>
      <c r="AG389" s="25" t="str">
        <f>IFERROR(INDEX('Hun Demand'!Q:Q,MATCH(O389,'Hun Demand'!A:A,0)),"")</f>
        <v/>
      </c>
      <c r="AH389" s="25" t="str">
        <f>IFERROR(INDEX('Hun Demand'!H:H,MATCH($O389,'Hun Demand'!$A:$A,0)),"")</f>
        <v/>
      </c>
      <c r="AI389" s="25" t="str">
        <f>IF(SUMIFS('Supp Consol'!AA:AA,'Supp Consol'!Z:Z,"Expires this month",'Supp Consol'!A:A,O389)=0,"",SUMIFS('Supp Consol'!AA:AA,'Supp Consol'!Z:Z,"Expires this month",'Supp Consol'!A:A,O389))</f>
        <v/>
      </c>
      <c r="AJ389" s="25" t="str">
        <f>IF(SUMIFS('Supp Consol'!AA:AA,'Supp Consol'!Z:Z,"Expired Previous Months",'Supp Consol'!A:A,O389)=0,"",SUMIFS('Supp Consol'!AA:AA,'Supp Consol'!Z:Z,"Expired Previous Months",'Supp Consol'!A:A,O389))</f>
        <v/>
      </c>
      <c r="AK389" s="25" t="str">
        <f>IFERROR(INDEX('Hun Release Current'!B:B,MATCH(O389,'Hun Release Current'!A:A,0)),"")</f>
        <v/>
      </c>
      <c r="AL389" s="25" t="str">
        <f>IF(SUMIF('Prev Aub'!A:A,O389,'Prev Aub'!B:B)=0,"",SUMIF('Prev Aub'!A:A,O389,'Prev Aub'!B:B))</f>
        <v/>
      </c>
      <c r="AN389" s="25" t="s">
        <v>3790</v>
      </c>
      <c r="AO389" s="25" t="s">
        <v>3790</v>
      </c>
      <c r="AP389" s="25">
        <f t="shared" si="174"/>
        <v>0</v>
      </c>
      <c r="AQ389" s="151" t="str">
        <f>IF(SUMIFS('Supp Consol'!S:S,'Supp Consol'!A:A,O389,'Supp Consol'!I:I,"PENDING")=0,"",SUMIFS('Supp Consol'!S:S,'Supp Consol'!A:A,O389,'Supp Consol'!I:I,"PENDING"))</f>
        <v/>
      </c>
      <c r="AR389" s="27" t="str">
        <f t="shared" si="175"/>
        <v>ES203</v>
      </c>
      <c r="AS389" s="27" t="str">
        <f t="shared" si="176"/>
        <v>62</v>
      </c>
      <c r="AT389" s="27" t="str">
        <f t="shared" si="177"/>
        <v/>
      </c>
      <c r="AU389" s="27" t="str">
        <f t="shared" si="178"/>
        <v/>
      </c>
      <c r="AV389" s="27" t="str">
        <f t="shared" si="179"/>
        <v/>
      </c>
      <c r="AW389" s="27" t="str">
        <f t="shared" si="180"/>
        <v/>
      </c>
      <c r="AX389" s="27" t="str">
        <f t="shared" si="181"/>
        <v/>
      </c>
      <c r="AY389" s="27" t="str">
        <f t="shared" si="182"/>
        <v/>
      </c>
      <c r="AZ389" s="27" t="str">
        <f t="shared" si="183"/>
        <v/>
      </c>
      <c r="BA389" s="27" t="str">
        <f t="shared" si="184"/>
        <v/>
      </c>
      <c r="BB389" s="27" t="str">
        <f t="shared" si="185"/>
        <v/>
      </c>
      <c r="BC389" s="27" t="str">
        <f t="shared" si="186"/>
        <v/>
      </c>
      <c r="BD389" s="27" t="str">
        <f t="shared" si="187"/>
        <v/>
      </c>
      <c r="BE389" s="27" t="str">
        <f t="shared" si="188"/>
        <v/>
      </c>
      <c r="BF389" s="27" t="str">
        <f t="shared" si="189"/>
        <v/>
      </c>
      <c r="BG389" s="27" t="str">
        <f t="shared" si="190"/>
        <v/>
      </c>
      <c r="BH389" s="27" t="str">
        <f t="shared" si="191"/>
        <v/>
      </c>
      <c r="BI389" s="27" t="str">
        <f t="shared" si="192"/>
        <v/>
      </c>
      <c r="BJ389" s="27" t="str">
        <f t="shared" si="193"/>
        <v/>
      </c>
      <c r="BK389" s="27" t="str">
        <f t="shared" si="194"/>
        <v/>
      </c>
      <c r="BL389" s="27" t="str">
        <f t="shared" si="195"/>
        <v/>
      </c>
      <c r="BM389" s="21" t="s">
        <v>5581</v>
      </c>
    </row>
    <row r="390" spans="1:65" ht="15">
      <c r="A390" s="25" t="str">
        <f>IFERROR(INDEX('Hun Demand'!W:W,MATCH(O390,'Hun Demand'!A:A,0)),"")</f>
        <v/>
      </c>
      <c r="B390" s="25" t="str">
        <f>IFERROR(INDEX('Hun Demand'!V:V,MATCH(O390,'Hun Demand'!A:A,0)),"")</f>
        <v/>
      </c>
      <c r="C390" s="25" t="str">
        <f>IFERROR(INDEX('Hun Demand'!U:U,MATCH(O390,'Hun Demand'!A:A,0)),"")</f>
        <v/>
      </c>
      <c r="D390" s="25" t="str">
        <f>IFERROR(INDEX('Hun Demand'!T:T,MATCH(O390,'Hun Demand'!A:A,0)),"")</f>
        <v/>
      </c>
      <c r="E390" s="25" t="str">
        <f>IFERROR(INDEX('Hun Demand'!S:S,MATCH(O390,'Hun Demand'!A:A,0)),"")</f>
        <v/>
      </c>
      <c r="F390" s="25" t="str">
        <f>IFERROR(INDEX('Hun Demand'!R:R,MATCH(O390,'Hun Demand'!A:A,0)),"")</f>
        <v/>
      </c>
      <c r="G390" s="25">
        <f>IFERROR(INDEX('Aub Demand'!W:W,MATCH(O390,'Aub Demand'!A:A,0)),"")</f>
        <v>72</v>
      </c>
      <c r="H390" s="25">
        <f>IFERROR(INDEX('Aub Demand'!V:V,MATCH(O390,'Aub Demand'!A:A,0)),"")</f>
        <v>6</v>
      </c>
      <c r="I390" s="25">
        <f>IFERROR(INDEX('Aub Demand'!U:U,MATCH(O390,'Aub Demand'!A:A,0)),"")</f>
        <v>85</v>
      </c>
      <c r="J390" s="25">
        <f>IFERROR(INDEX('Aub Demand'!T:T,MATCH(O390,'Aub Demand'!A:A,0)),"")</f>
        <v>65</v>
      </c>
      <c r="K390" s="25">
        <f>IFERROR(INDEX('Aub Demand'!S:S,MATCH(O390,'Aub Demand'!A:A,0)),"")</f>
        <v>40</v>
      </c>
      <c r="L390" s="25">
        <f>IFERROR(INDEX('Aub Demand'!R:R,MATCH(O390,'Aub Demand'!A:A,0)),"")</f>
        <v>0</v>
      </c>
      <c r="O390" s="27" t="s">
        <v>2147</v>
      </c>
      <c r="P390" s="27" t="str">
        <f>IFERROR(INDEX('Aub Demand'!B:B,MATCH($O390,'Aub Demand'!$A:$A,0)),"")</f>
        <v>CHARCOAL ESSENCE 50"</v>
      </c>
      <c r="Q390" s="27" t="str">
        <f>IFERROR(INDEX('Aub Demand'!C:C,MATCH($O390,'Aub Demand'!$A:$A,0)),"")</f>
        <v>INTER</v>
      </c>
      <c r="R390" s="52">
        <f>IFERROR(IF(AR391=AR390,INDEX('Aub Demand'!K:K,MATCH($O390,'Aub Demand'!$A:$A,0))-IF(AN390="",0,AN390)+AP391,INDEX('Aub Demand'!K:K,MATCH($O390,'Aub Demand'!$A:$A,0))-IF(AN390="",0,AN390)),"")</f>
        <v>60</v>
      </c>
      <c r="S390" s="53">
        <f t="shared" si="168"/>
        <v>4.0999999999999996</v>
      </c>
      <c r="T390" s="52" t="str">
        <f t="shared" si="169"/>
        <v/>
      </c>
      <c r="U390" s="52">
        <f>IFERROR(IF(AR391=AR390,INDEX('Aub Demand'!Q:Q,MATCH($O390,'Aub Demand'!$A:$A,0))-IF(AN390="",0,AN390)+AP391,INDEX('Aub Demand'!Q:Q,MATCH($O390,'Aub Demand'!$A:$A,0))-IF(AN390="",0,AN390)),"")</f>
        <v>53</v>
      </c>
      <c r="V390" s="53">
        <f t="shared" si="170"/>
        <v>3.6</v>
      </c>
      <c r="W390" s="52" t="str">
        <f t="shared" si="171"/>
        <v/>
      </c>
      <c r="X390" s="52">
        <f>IFERROR(IF(AND(AR391=AR390,AM390&lt;&gt;""),INDEX('Aub Demand'!Q:Q,MATCH($O390,'Aub Demand'!$A:$A,0))-IF(AN390="",0,AN390)+AP391+AD390+AL390,IF(AR391=AR390,INDEX('Aub Demand'!Q:Q,MATCH($O390,'Aub Demand'!$A:$A,0))-IF(AN390="",0,AN390)+AP391+AD390,IF(AM390&lt;&gt;"",INDEX('Aub Demand'!Q:Q,MATCH($O390,'Aub Demand'!$A:$A,0))-IF(AN390="",0,AN390)+AD390+AL390,INDEX('Aub Demand'!Q:Q,MATCH($O390,'Aub Demand'!$A:$A,0))-IF(AN390="",0,AN390)+AD390))),"")</f>
        <v>53</v>
      </c>
      <c r="Y390" s="53">
        <f t="shared" si="172"/>
        <v>3.6</v>
      </c>
      <c r="Z390" s="52">
        <f>IF(L390="","",INDEX('Aub Demand'!H:H,MATCH($O390,'Aub Demand'!$A:$A,0)))</f>
        <v>63</v>
      </c>
      <c r="AA390" s="52">
        <f t="shared" si="173"/>
        <v>75</v>
      </c>
      <c r="AB390" s="52">
        <f>IFERROR(INDEX('Aub Demand'!L:L,MATCH($O390,'Aub Demand'!$A:$A,0)),"")</f>
        <v>54</v>
      </c>
      <c r="AC390" s="52">
        <f>IFERROR(IF(O390="","",SUMIFS('CPL Mats'!F:F,'CPL Mats'!Q:Q,AR390,'CPL Mats'!S:S,AS390)),"")</f>
        <v>0</v>
      </c>
      <c r="AF390" s="25" t="str">
        <f>IF(SUMIFS('Supp Consol'!S:S,'Supp Consol'!Y:Y,"Releasable",'Supp Consol'!A:A,O390)=0,"",SUMIFS('Supp Consol'!S:S,'Supp Consol'!Y:Y,"Releasable",'Supp Consol'!A:A,O390))</f>
        <v/>
      </c>
      <c r="AG390" s="25" t="str">
        <f>IFERROR(INDEX('Hun Demand'!Q:Q,MATCH(O390,'Hun Demand'!A:A,0)),"")</f>
        <v/>
      </c>
      <c r="AH390" s="25" t="str">
        <f>IFERROR(INDEX('Hun Demand'!H:H,MATCH($O390,'Hun Demand'!$A:$A,0)),"")</f>
        <v/>
      </c>
      <c r="AI390" s="25" t="str">
        <f>IF(SUMIFS('Supp Consol'!AA:AA,'Supp Consol'!Z:Z,"Expires this month",'Supp Consol'!A:A,O390)=0,"",SUMIFS('Supp Consol'!AA:AA,'Supp Consol'!Z:Z,"Expires this month",'Supp Consol'!A:A,O390))</f>
        <v/>
      </c>
      <c r="AJ390" s="25" t="str">
        <f>IF(SUMIFS('Supp Consol'!AA:AA,'Supp Consol'!Z:Z,"Expired Previous Months",'Supp Consol'!A:A,O390)=0,"",SUMIFS('Supp Consol'!AA:AA,'Supp Consol'!Z:Z,"Expired Previous Months",'Supp Consol'!A:A,O390))</f>
        <v/>
      </c>
      <c r="AK390" s="25" t="str">
        <f>IFERROR(INDEX('Hun Release Current'!B:B,MATCH(O390,'Hun Release Current'!A:A,0)),"")</f>
        <v/>
      </c>
      <c r="AL390" s="25" t="str">
        <f>IF(SUMIF('Prev Aub'!A:A,O390,'Prev Aub'!B:B)=0,"",SUMIF('Prev Aub'!A:A,O390,'Prev Aub'!B:B))</f>
        <v/>
      </c>
      <c r="AN390" s="25" t="s">
        <v>3790</v>
      </c>
      <c r="AO390" s="25" t="s">
        <v>3790</v>
      </c>
      <c r="AP390" s="25">
        <f t="shared" si="174"/>
        <v>0</v>
      </c>
      <c r="AQ390" s="151" t="str">
        <f>IF(SUMIFS('Supp Consol'!S:S,'Supp Consol'!A:A,O390,'Supp Consol'!I:I,"PENDING")=0,"",SUMIFS('Supp Consol'!S:S,'Supp Consol'!A:A,O390,'Supp Consol'!I:I,"PENDING"))</f>
        <v/>
      </c>
      <c r="AR390" s="27" t="str">
        <f t="shared" si="175"/>
        <v>ES602</v>
      </c>
      <c r="AS390" s="27" t="str">
        <f t="shared" si="176"/>
        <v>50</v>
      </c>
      <c r="AT390" s="27" t="str">
        <f t="shared" si="177"/>
        <v/>
      </c>
      <c r="AU390" s="27" t="str">
        <f t="shared" si="178"/>
        <v/>
      </c>
      <c r="AV390" s="27" t="str">
        <f t="shared" si="179"/>
        <v/>
      </c>
      <c r="AW390" s="27" t="str">
        <f t="shared" si="180"/>
        <v/>
      </c>
      <c r="AX390" s="27" t="str">
        <f t="shared" si="181"/>
        <v/>
      </c>
      <c r="AY390" s="27" t="str">
        <f t="shared" si="182"/>
        <v/>
      </c>
      <c r="AZ390" s="27" t="str">
        <f t="shared" si="183"/>
        <v>Supp</v>
      </c>
      <c r="BA390" s="27" t="str">
        <f t="shared" si="184"/>
        <v/>
      </c>
      <c r="BB390" s="27" t="str">
        <f t="shared" si="185"/>
        <v/>
      </c>
      <c r="BC390" s="27" t="str">
        <f t="shared" si="186"/>
        <v/>
      </c>
      <c r="BD390" s="27" t="str">
        <f t="shared" si="187"/>
        <v/>
      </c>
      <c r="BE390" s="27" t="str">
        <f t="shared" si="188"/>
        <v/>
      </c>
      <c r="BF390" s="27" t="str">
        <f t="shared" si="189"/>
        <v/>
      </c>
      <c r="BG390" s="27" t="str">
        <f t="shared" si="190"/>
        <v/>
      </c>
      <c r="BH390" s="27" t="str">
        <f t="shared" si="191"/>
        <v/>
      </c>
      <c r="BI390" s="27" t="str">
        <f t="shared" si="192"/>
        <v/>
      </c>
      <c r="BJ390" s="27" t="str">
        <f t="shared" si="193"/>
        <v>Supp or Hun</v>
      </c>
      <c r="BK390" s="27" t="str">
        <f t="shared" si="194"/>
        <v/>
      </c>
      <c r="BL390" s="27" t="str">
        <f t="shared" si="195"/>
        <v/>
      </c>
      <c r="BM390" s="21" t="s">
        <v>5581</v>
      </c>
    </row>
    <row r="391" spans="1:65" ht="15">
      <c r="A391" s="25" t="str">
        <f>IFERROR(INDEX('Hun Demand'!W:W,MATCH(O391,'Hun Demand'!A:A,0)),"")</f>
        <v/>
      </c>
      <c r="B391" s="25" t="str">
        <f>IFERROR(INDEX('Hun Demand'!V:V,MATCH(O391,'Hun Demand'!A:A,0)),"")</f>
        <v/>
      </c>
      <c r="C391" s="25" t="str">
        <f>IFERROR(INDEX('Hun Demand'!U:U,MATCH(O391,'Hun Demand'!A:A,0)),"")</f>
        <v/>
      </c>
      <c r="D391" s="25" t="str">
        <f>IFERROR(INDEX('Hun Demand'!T:T,MATCH(O391,'Hun Demand'!A:A,0)),"")</f>
        <v/>
      </c>
      <c r="E391" s="25" t="str">
        <f>IFERROR(INDEX('Hun Demand'!S:S,MATCH(O391,'Hun Demand'!A:A,0)),"")</f>
        <v/>
      </c>
      <c r="F391" s="25" t="str">
        <f>IFERROR(INDEX('Hun Demand'!R:R,MATCH(O391,'Hun Demand'!A:A,0)),"")</f>
        <v/>
      </c>
      <c r="G391" s="25">
        <f>IFERROR(INDEX('Aub Demand'!W:W,MATCH(O391,'Aub Demand'!A:A,0)),"")</f>
        <v>60</v>
      </c>
      <c r="H391" s="25">
        <f>IFERROR(INDEX('Aub Demand'!V:V,MATCH(O391,'Aub Demand'!A:A,0)),"")</f>
        <v>20</v>
      </c>
      <c r="I391" s="25">
        <f>IFERROR(INDEX('Aub Demand'!U:U,MATCH(O391,'Aub Demand'!A:A,0)),"")</f>
        <v>220</v>
      </c>
      <c r="J391" s="25">
        <f>IFERROR(INDEX('Aub Demand'!T:T,MATCH(O391,'Aub Demand'!A:A,0)),"")</f>
        <v>111</v>
      </c>
      <c r="K391" s="25">
        <f>IFERROR(INDEX('Aub Demand'!S:S,MATCH(O391,'Aub Demand'!A:A,0)),"")</f>
        <v>0</v>
      </c>
      <c r="L391" s="25">
        <f>IFERROR(INDEX('Aub Demand'!R:R,MATCH(O391,'Aub Demand'!A:A,0)),"")</f>
        <v>0</v>
      </c>
      <c r="O391" s="27" t="s">
        <v>2150</v>
      </c>
      <c r="P391" s="27" t="str">
        <f>IFERROR(INDEX('Aub Demand'!B:B,MATCH($O391,'Aub Demand'!$A:$A,0)),"")</f>
        <v>CHARCOAL ESSENCE 60"</v>
      </c>
      <c r="Q391" s="27" t="str">
        <f>IFERROR(INDEX('Aub Demand'!C:C,MATCH($O391,'Aub Demand'!$A:$A,0)),"")</f>
        <v>INTER</v>
      </c>
      <c r="R391" s="52">
        <f>IFERROR(IF(AR392=AR391,INDEX('Aub Demand'!K:K,MATCH($O391,'Aub Demand'!$A:$A,0))-IF(AN391="",0,AN391)+AP392,INDEX('Aub Demand'!K:K,MATCH($O391,'Aub Demand'!$A:$A,0))-IF(AN391="",0,AN391)),"")</f>
        <v>631</v>
      </c>
      <c r="S391" s="53">
        <f t="shared" si="168"/>
        <v>24.6</v>
      </c>
      <c r="T391" s="52" t="str">
        <f t="shared" si="169"/>
        <v/>
      </c>
      <c r="U391" s="52">
        <f>IFERROR(IF(AR392=AR391,INDEX('Aub Demand'!Q:Q,MATCH($O391,'Aub Demand'!$A:$A,0))-IF(AN391="",0,AN391)+AP392,INDEX('Aub Demand'!Q:Q,MATCH($O391,'Aub Demand'!$A:$A,0))-IF(AN391="",0,AN391)),"")</f>
        <v>611</v>
      </c>
      <c r="V391" s="53">
        <f t="shared" si="170"/>
        <v>23.8</v>
      </c>
      <c r="W391" s="52" t="str">
        <f t="shared" si="171"/>
        <v/>
      </c>
      <c r="X391" s="52">
        <f>IFERROR(IF(AND(AR392=AR391,AM391&lt;&gt;""),INDEX('Aub Demand'!Q:Q,MATCH($O391,'Aub Demand'!$A:$A,0))-IF(AN391="",0,AN391)+AP392+AD391+AL391,IF(AR392=AR391,INDEX('Aub Demand'!Q:Q,MATCH($O391,'Aub Demand'!$A:$A,0))-IF(AN391="",0,AN391)+AP392+AD391,IF(AM391&lt;&gt;"",INDEX('Aub Demand'!Q:Q,MATCH($O391,'Aub Demand'!$A:$A,0))-IF(AN391="",0,AN391)+AD391+AL391,INDEX('Aub Demand'!Q:Q,MATCH($O391,'Aub Demand'!$A:$A,0))-IF(AN391="",0,AN391)+AD391))),"")</f>
        <v>611</v>
      </c>
      <c r="Y391" s="53">
        <f t="shared" si="172"/>
        <v>23.8</v>
      </c>
      <c r="Z391" s="52">
        <f>IF(L391="","",INDEX('Aub Demand'!H:H,MATCH($O391,'Aub Demand'!$A:$A,0)))</f>
        <v>110</v>
      </c>
      <c r="AA391" s="52">
        <f t="shared" si="173"/>
        <v>165.5</v>
      </c>
      <c r="AB391" s="52">
        <f>IFERROR(INDEX('Aub Demand'!L:L,MATCH($O391,'Aub Demand'!$A:$A,0)),"")</f>
        <v>42</v>
      </c>
      <c r="AC391" s="52">
        <f>IFERROR(IF(O391="","",SUMIFS('CPL Mats'!F:F,'CPL Mats'!Q:Q,AR391,'CPL Mats'!S:S,AS391)),"")</f>
        <v>0</v>
      </c>
      <c r="AF391" s="25">
        <f>IF(SUMIFS('Supp Consol'!S:S,'Supp Consol'!Y:Y,"Releasable",'Supp Consol'!A:A,O391)=0,"",SUMIFS('Supp Consol'!S:S,'Supp Consol'!Y:Y,"Releasable",'Supp Consol'!A:A,O391))</f>
        <v>1344</v>
      </c>
      <c r="AG391" s="25" t="str">
        <f>IFERROR(INDEX('Hun Demand'!Q:Q,MATCH(O391,'Hun Demand'!A:A,0)),"")</f>
        <v/>
      </c>
      <c r="AH391" s="25" t="str">
        <f>IFERROR(INDEX('Hun Demand'!H:H,MATCH($O391,'Hun Demand'!$A:$A,0)),"")</f>
        <v/>
      </c>
      <c r="AI391" s="25" t="str">
        <f>IF(SUMIFS('Supp Consol'!AA:AA,'Supp Consol'!Z:Z,"Expires this month",'Supp Consol'!A:A,O391)=0,"",SUMIFS('Supp Consol'!AA:AA,'Supp Consol'!Z:Z,"Expires this month",'Supp Consol'!A:A,O391))</f>
        <v/>
      </c>
      <c r="AJ391" s="25" t="str">
        <f>IF(SUMIFS('Supp Consol'!AA:AA,'Supp Consol'!Z:Z,"Expired Previous Months",'Supp Consol'!A:A,O391)=0,"",SUMIFS('Supp Consol'!AA:AA,'Supp Consol'!Z:Z,"Expired Previous Months",'Supp Consol'!A:A,O391))</f>
        <v/>
      </c>
      <c r="AK391" s="25" t="str">
        <f>IFERROR(INDEX('Hun Release Current'!B:B,MATCH(O391,'Hun Release Current'!A:A,0)),"")</f>
        <v/>
      </c>
      <c r="AL391" s="25" t="str">
        <f>IF(SUMIF('Prev Aub'!A:A,O391,'Prev Aub'!B:B)=0,"",SUMIF('Prev Aub'!A:A,O391,'Prev Aub'!B:B))</f>
        <v/>
      </c>
      <c r="AN391" s="25">
        <v>75</v>
      </c>
      <c r="AO391" s="25" t="s">
        <v>3790</v>
      </c>
      <c r="AP391" s="25">
        <f t="shared" si="174"/>
        <v>60</v>
      </c>
      <c r="AQ391" s="151" t="str">
        <f>IF(SUMIFS('Supp Consol'!S:S,'Supp Consol'!A:A,O391,'Supp Consol'!I:I,"PENDING")=0,"",SUMIFS('Supp Consol'!S:S,'Supp Consol'!A:A,O391,'Supp Consol'!I:I,"PENDING"))</f>
        <v/>
      </c>
      <c r="AR391" s="27" t="str">
        <f t="shared" si="175"/>
        <v>ES602</v>
      </c>
      <c r="AS391" s="27" t="str">
        <f t="shared" si="176"/>
        <v>62</v>
      </c>
      <c r="AT391" s="27" t="str">
        <f t="shared" si="177"/>
        <v/>
      </c>
      <c r="AU391" s="27" t="str">
        <f t="shared" si="178"/>
        <v/>
      </c>
      <c r="AV391" s="27" t="str">
        <f t="shared" si="179"/>
        <v/>
      </c>
      <c r="AW391" s="27" t="str">
        <f t="shared" si="180"/>
        <v/>
      </c>
      <c r="AX391" s="27" t="str">
        <f t="shared" si="181"/>
        <v>ES602</v>
      </c>
      <c r="AY391" s="27" t="str">
        <f t="shared" si="182"/>
        <v/>
      </c>
      <c r="AZ391" s="27" t="str">
        <f t="shared" si="183"/>
        <v>Supp</v>
      </c>
      <c r="BA391" s="27" t="str">
        <f t="shared" si="184"/>
        <v/>
      </c>
      <c r="BB391" s="27" t="str">
        <f t="shared" si="185"/>
        <v/>
      </c>
      <c r="BC391" s="27" t="str">
        <f t="shared" si="186"/>
        <v/>
      </c>
      <c r="BD391" s="27" t="str">
        <f t="shared" si="187"/>
        <v/>
      </c>
      <c r="BE391" s="27" t="str">
        <f t="shared" si="188"/>
        <v/>
      </c>
      <c r="BF391" s="27" t="str">
        <f t="shared" si="189"/>
        <v/>
      </c>
      <c r="BG391" s="27" t="str">
        <f t="shared" si="190"/>
        <v/>
      </c>
      <c r="BH391" s="27" t="str">
        <f t="shared" si="191"/>
        <v/>
      </c>
      <c r="BI391" s="27" t="str">
        <f t="shared" si="192"/>
        <v/>
      </c>
      <c r="BJ391" s="27" t="str">
        <f t="shared" si="193"/>
        <v>Supp or Hun</v>
      </c>
      <c r="BK391" s="27" t="str">
        <f t="shared" si="194"/>
        <v/>
      </c>
      <c r="BL391" s="27" t="str">
        <f t="shared" si="195"/>
        <v/>
      </c>
      <c r="BM391" s="21" t="s">
        <v>5581</v>
      </c>
    </row>
    <row r="392" spans="1:65" ht="15">
      <c r="A392" s="25" t="str">
        <f>IFERROR(INDEX('Hun Demand'!W:W,MATCH(O392,'Hun Demand'!A:A,0)),"")</f>
        <v/>
      </c>
      <c r="B392" s="25" t="str">
        <f>IFERROR(INDEX('Hun Demand'!V:V,MATCH(O392,'Hun Demand'!A:A,0)),"")</f>
        <v/>
      </c>
      <c r="C392" s="25" t="str">
        <f>IFERROR(INDEX('Hun Demand'!U:U,MATCH(O392,'Hun Demand'!A:A,0)),"")</f>
        <v/>
      </c>
      <c r="D392" s="25" t="str">
        <f>IFERROR(INDEX('Hun Demand'!T:T,MATCH(O392,'Hun Demand'!A:A,0)),"")</f>
        <v/>
      </c>
      <c r="E392" s="25" t="str">
        <f>IFERROR(INDEX('Hun Demand'!S:S,MATCH(O392,'Hun Demand'!A:A,0)),"")</f>
        <v/>
      </c>
      <c r="F392" s="25" t="str">
        <f>IFERROR(INDEX('Hun Demand'!R:R,MATCH(O392,'Hun Demand'!A:A,0)),"")</f>
        <v/>
      </c>
      <c r="G392" s="25">
        <f>IFERROR(INDEX('Aub Demand'!W:W,MATCH(O392,'Aub Demand'!A:A,0)),"")</f>
        <v>72</v>
      </c>
      <c r="H392" s="25">
        <f>IFERROR(INDEX('Aub Demand'!V:V,MATCH(O392,'Aub Demand'!A:A,0)),"")</f>
        <v>0</v>
      </c>
      <c r="I392" s="25">
        <f>IFERROR(INDEX('Aub Demand'!U:U,MATCH(O392,'Aub Demand'!A:A,0)),"")</f>
        <v>77</v>
      </c>
      <c r="J392" s="25">
        <f>IFERROR(INDEX('Aub Demand'!T:T,MATCH(O392,'Aub Demand'!A:A,0)),"")</f>
        <v>0</v>
      </c>
      <c r="K392" s="25">
        <f>IFERROR(INDEX('Aub Demand'!S:S,MATCH(O392,'Aub Demand'!A:A,0)),"")</f>
        <v>0</v>
      </c>
      <c r="L392" s="25">
        <f>IFERROR(INDEX('Aub Demand'!R:R,MATCH(O392,'Aub Demand'!A:A,0)),"")</f>
        <v>0</v>
      </c>
      <c r="O392" s="27" t="s">
        <v>2152</v>
      </c>
      <c r="P392" s="27" t="str">
        <f>IFERROR(INDEX('Aub Demand'!B:B,MATCH($O392,'Aub Demand'!$A:$A,0)),"")</f>
        <v>WHITE ESSENCE 48"</v>
      </c>
      <c r="Q392" s="27" t="str">
        <f>IFERROR(INDEX('Aub Demand'!C:C,MATCH($O392,'Aub Demand'!$A:$A,0)),"")</f>
        <v>INTER</v>
      </c>
      <c r="R392" s="52">
        <f>IFERROR(IF(AR393=AR392,INDEX('Aub Demand'!K:K,MATCH($O392,'Aub Demand'!$A:$A,0))-IF(AN392="",0,AN392)+AP393,INDEX('Aub Demand'!K:K,MATCH($O392,'Aub Demand'!$A:$A,0))-IF(AN392="",0,AN392)),"")</f>
        <v>20</v>
      </c>
      <c r="S392" s="53">
        <f t="shared" si="168"/>
        <v>3.3</v>
      </c>
      <c r="T392" s="52" t="str">
        <f t="shared" si="169"/>
        <v/>
      </c>
      <c r="U392" s="52">
        <f>IFERROR(IF(AR393=AR392,INDEX('Aub Demand'!Q:Q,MATCH($O392,'Aub Demand'!$A:$A,0))-IF(AN392="",0,AN392)+AP393,INDEX('Aub Demand'!Q:Q,MATCH($O392,'Aub Demand'!$A:$A,0))-IF(AN392="",0,AN392)),"")</f>
        <v>20</v>
      </c>
      <c r="V392" s="53">
        <f t="shared" si="170"/>
        <v>3.3</v>
      </c>
      <c r="W392" s="52" t="str">
        <f t="shared" si="171"/>
        <v/>
      </c>
      <c r="X392" s="52">
        <f>IFERROR(IF(AND(AR393=AR392,AM392&lt;&gt;""),INDEX('Aub Demand'!Q:Q,MATCH($O392,'Aub Demand'!$A:$A,0))-IF(AN392="",0,AN392)+AP393+AD392+AL392,IF(AR393=AR392,INDEX('Aub Demand'!Q:Q,MATCH($O392,'Aub Demand'!$A:$A,0))-IF(AN392="",0,AN392)+AP393+AD392,IF(AM392&lt;&gt;"",INDEX('Aub Demand'!Q:Q,MATCH($O392,'Aub Demand'!$A:$A,0))-IF(AN392="",0,AN392)+AD392+AL392,INDEX('Aub Demand'!Q:Q,MATCH($O392,'Aub Demand'!$A:$A,0))-IF(AN392="",0,AN392)+AD392))),"")</f>
        <v>20</v>
      </c>
      <c r="Y392" s="53">
        <f t="shared" si="172"/>
        <v>3.3</v>
      </c>
      <c r="Z392" s="52">
        <f>IF(L392="","",INDEX('Aub Demand'!H:H,MATCH($O392,'Aub Demand'!$A:$A,0)))</f>
        <v>26</v>
      </c>
      <c r="AA392" s="52" t="str">
        <f t="shared" si="173"/>
        <v>-spike-</v>
      </c>
      <c r="AB392" s="52">
        <f>IFERROR(INDEX('Aub Demand'!L:L,MATCH($O392,'Aub Demand'!$A:$A,0)),"")</f>
        <v>32</v>
      </c>
      <c r="AC392" s="52">
        <f>IFERROR(IF(O392="","",SUMIFS('CPL Mats'!F:F,'CPL Mats'!Q:Q,AR392,'CPL Mats'!S:S,AS392)),"")</f>
        <v>0</v>
      </c>
      <c r="AF392" s="25" t="str">
        <f>IF(SUMIFS('Supp Consol'!S:S,'Supp Consol'!Y:Y,"Releasable",'Supp Consol'!A:A,O392)=0,"",SUMIFS('Supp Consol'!S:S,'Supp Consol'!Y:Y,"Releasable",'Supp Consol'!A:A,O392))</f>
        <v/>
      </c>
      <c r="AG392" s="25" t="str">
        <f>IFERROR(INDEX('Hun Demand'!Q:Q,MATCH(O392,'Hun Demand'!A:A,0)),"")</f>
        <v/>
      </c>
      <c r="AH392" s="25" t="str">
        <f>IFERROR(INDEX('Hun Demand'!H:H,MATCH($O392,'Hun Demand'!$A:$A,0)),"")</f>
        <v/>
      </c>
      <c r="AI392" s="25" t="str">
        <f>IF(SUMIFS('Supp Consol'!AA:AA,'Supp Consol'!Z:Z,"Expires this month",'Supp Consol'!A:A,O392)=0,"",SUMIFS('Supp Consol'!AA:AA,'Supp Consol'!Z:Z,"Expires this month",'Supp Consol'!A:A,O392))</f>
        <v/>
      </c>
      <c r="AJ392" s="25" t="str">
        <f>IF(SUMIFS('Supp Consol'!AA:AA,'Supp Consol'!Z:Z,"Expired Previous Months",'Supp Consol'!A:A,O392)=0,"",SUMIFS('Supp Consol'!AA:AA,'Supp Consol'!Z:Z,"Expired Previous Months",'Supp Consol'!A:A,O392))</f>
        <v/>
      </c>
      <c r="AK392" s="25" t="str">
        <f>IFERROR(INDEX('Hun Release Current'!B:B,MATCH(O392,'Hun Release Current'!A:A,0)),"")</f>
        <v/>
      </c>
      <c r="AL392" s="25" t="str">
        <f>IF(SUMIF('Prev Aub'!A:A,O392,'Prev Aub'!B:B)=0,"",SUMIF('Prev Aub'!A:A,O392,'Prev Aub'!B:B))</f>
        <v/>
      </c>
      <c r="AN392" s="25" t="s">
        <v>3790</v>
      </c>
      <c r="AO392" s="25" t="s">
        <v>3790</v>
      </c>
      <c r="AP392" s="25">
        <f t="shared" si="174"/>
        <v>0</v>
      </c>
      <c r="AQ392" s="151">
        <f>IF(SUMIFS('Supp Consol'!S:S,'Supp Consol'!A:A,O392,'Supp Consol'!I:I,"PENDING")=0,"",SUMIFS('Supp Consol'!S:S,'Supp Consol'!A:A,O392,'Supp Consol'!I:I,"PENDING"))</f>
        <v>1159</v>
      </c>
      <c r="AR392" s="27" t="str">
        <f t="shared" si="175"/>
        <v>ES701</v>
      </c>
      <c r="AS392" s="27" t="str">
        <f t="shared" si="176"/>
        <v>50</v>
      </c>
      <c r="AT392" s="27" t="str">
        <f t="shared" si="177"/>
        <v/>
      </c>
      <c r="AU392" s="27" t="str">
        <f t="shared" si="178"/>
        <v/>
      </c>
      <c r="AV392" s="27" t="str">
        <f t="shared" si="179"/>
        <v/>
      </c>
      <c r="AW392" s="27" t="str">
        <f t="shared" si="180"/>
        <v/>
      </c>
      <c r="AX392" s="27" t="str">
        <f t="shared" si="181"/>
        <v/>
      </c>
      <c r="AY392" s="27" t="str">
        <f t="shared" si="182"/>
        <v/>
      </c>
      <c r="AZ392" s="27" t="str">
        <f t="shared" si="183"/>
        <v/>
      </c>
      <c r="BA392" s="27" t="str">
        <f t="shared" si="184"/>
        <v/>
      </c>
      <c r="BB392" s="27" t="str">
        <f t="shared" si="185"/>
        <v/>
      </c>
      <c r="BC392" s="27" t="str">
        <f t="shared" si="186"/>
        <v>Net</v>
      </c>
      <c r="BD392" s="27" t="str">
        <f t="shared" si="187"/>
        <v>Net</v>
      </c>
      <c r="BE392" s="27" t="str">
        <f t="shared" si="188"/>
        <v/>
      </c>
      <c r="BF392" s="27" t="str">
        <f t="shared" si="189"/>
        <v/>
      </c>
      <c r="BG392" s="27" t="str">
        <f t="shared" si="190"/>
        <v/>
      </c>
      <c r="BH392" s="27" t="str">
        <f t="shared" si="191"/>
        <v/>
      </c>
      <c r="BI392" s="27" t="str">
        <f t="shared" si="192"/>
        <v/>
      </c>
      <c r="BJ392" s="27" t="str">
        <f t="shared" si="193"/>
        <v/>
      </c>
      <c r="BK392" s="27" t="str">
        <f t="shared" si="194"/>
        <v/>
      </c>
      <c r="BL392" s="27" t="str">
        <f t="shared" si="195"/>
        <v/>
      </c>
      <c r="BM392" s="21" t="s">
        <v>5581</v>
      </c>
    </row>
    <row r="393" spans="1:65" ht="15">
      <c r="A393" s="25" t="str">
        <f>IFERROR(INDEX('Hun Demand'!W:W,MATCH(O393,'Hun Demand'!A:A,0)),"")</f>
        <v/>
      </c>
      <c r="B393" s="25" t="str">
        <f>IFERROR(INDEX('Hun Demand'!V:V,MATCH(O393,'Hun Demand'!A:A,0)),"")</f>
        <v/>
      </c>
      <c r="C393" s="25" t="str">
        <f>IFERROR(INDEX('Hun Demand'!U:U,MATCH(O393,'Hun Demand'!A:A,0)),"")</f>
        <v/>
      </c>
      <c r="D393" s="25" t="str">
        <f>IFERROR(INDEX('Hun Demand'!T:T,MATCH(O393,'Hun Demand'!A:A,0)),"")</f>
        <v/>
      </c>
      <c r="E393" s="25" t="str">
        <f>IFERROR(INDEX('Hun Demand'!S:S,MATCH(O393,'Hun Demand'!A:A,0)),"")</f>
        <v/>
      </c>
      <c r="F393" s="25" t="str">
        <f>IFERROR(INDEX('Hun Demand'!R:R,MATCH(O393,'Hun Demand'!A:A,0)),"")</f>
        <v/>
      </c>
      <c r="G393" s="25">
        <f>IFERROR(INDEX('Aub Demand'!W:W,MATCH(O393,'Aub Demand'!A:A,0)),"")</f>
        <v>0</v>
      </c>
      <c r="H393" s="25">
        <f>IFERROR(INDEX('Aub Demand'!V:V,MATCH(O393,'Aub Demand'!A:A,0)),"")</f>
        <v>1</v>
      </c>
      <c r="I393" s="25">
        <f>IFERROR(INDEX('Aub Demand'!U:U,MATCH(O393,'Aub Demand'!A:A,0)),"")</f>
        <v>257</v>
      </c>
      <c r="J393" s="25">
        <f>IFERROR(INDEX('Aub Demand'!T:T,MATCH(O393,'Aub Demand'!A:A,0)),"")</f>
        <v>218</v>
      </c>
      <c r="K393" s="25">
        <f>IFERROR(INDEX('Aub Demand'!S:S,MATCH(O393,'Aub Demand'!A:A,0)),"")</f>
        <v>108</v>
      </c>
      <c r="L393" s="25">
        <f>IFERROR(INDEX('Aub Demand'!R:R,MATCH(O393,'Aub Demand'!A:A,0)),"")</f>
        <v>0</v>
      </c>
      <c r="O393" s="27" t="s">
        <v>2154</v>
      </c>
      <c r="P393" s="27" t="str">
        <f>IFERROR(INDEX('Aub Demand'!B:B,MATCH($O393,'Aub Demand'!$A:$A,0)),"")</f>
        <v>WHITE ESSENCE 60"</v>
      </c>
      <c r="Q393" s="27" t="str">
        <f>IFERROR(INDEX('Aub Demand'!C:C,MATCH($O393,'Aub Demand'!$A:$A,0)),"")</f>
        <v>INTER</v>
      </c>
      <c r="R393" s="52">
        <f>IFERROR(IF(AR394=AR393,INDEX('Aub Demand'!K:K,MATCH($O393,'Aub Demand'!$A:$A,0))-IF(AN393="",0,AN393)+AP394,INDEX('Aub Demand'!K:K,MATCH($O393,'Aub Demand'!$A:$A,0))-IF(AN393="",0,AN393)),"")</f>
        <v>163</v>
      </c>
      <c r="S393" s="53">
        <f t="shared" si="168"/>
        <v>3.6</v>
      </c>
      <c r="T393" s="52" t="str">
        <f t="shared" si="169"/>
        <v/>
      </c>
      <c r="U393" s="52">
        <f>IFERROR(IF(AR394=AR393,INDEX('Aub Demand'!Q:Q,MATCH($O393,'Aub Demand'!$A:$A,0))-IF(AN393="",0,AN393)+AP394,INDEX('Aub Demand'!Q:Q,MATCH($O393,'Aub Demand'!$A:$A,0))-IF(AN393="",0,AN393)),"")</f>
        <v>112</v>
      </c>
      <c r="V393" s="53">
        <f t="shared" si="170"/>
        <v>2.5</v>
      </c>
      <c r="W393" s="52">
        <f t="shared" si="171"/>
        <v>29.6875</v>
      </c>
      <c r="X393" s="52">
        <f>IFERROR(IF(AND(AR394=AR393,AM393&lt;&gt;""),INDEX('Aub Demand'!Q:Q,MATCH($O393,'Aub Demand'!$A:$A,0))-IF(AN393="",0,AN393)+AP394+AD393+AL393,IF(AR394=AR393,INDEX('Aub Demand'!Q:Q,MATCH($O393,'Aub Demand'!$A:$A,0))-IF(AN393="",0,AN393)+AP394+AD393,IF(AM393&lt;&gt;"",INDEX('Aub Demand'!Q:Q,MATCH($O393,'Aub Demand'!$A:$A,0))-IF(AN393="",0,AN393)+AD393+AL393,INDEX('Aub Demand'!Q:Q,MATCH($O393,'Aub Demand'!$A:$A,0))-IF(AN393="",0,AN393)+AD393))),"")</f>
        <v>112</v>
      </c>
      <c r="Y393" s="53">
        <f t="shared" si="172"/>
        <v>2.5</v>
      </c>
      <c r="Z393" s="52">
        <f>IF(L393="","",INDEX('Aub Demand'!H:H,MATCH($O393,'Aub Demand'!$A:$A,0)))</f>
        <v>194</v>
      </c>
      <c r="AA393" s="52">
        <f t="shared" si="173"/>
        <v>237.5</v>
      </c>
      <c r="AB393" s="52">
        <f>IFERROR(INDEX('Aub Demand'!L:L,MATCH($O393,'Aub Demand'!$A:$A,0)),"")</f>
        <v>88</v>
      </c>
      <c r="AC393" s="52">
        <f>IFERROR(IF(O393="","",SUMIFS('CPL Mats'!F:F,'CPL Mats'!Q:Q,AR393,'CPL Mats'!S:S,AS393)),"")</f>
        <v>0</v>
      </c>
      <c r="AF393" s="25" t="str">
        <f>IF(SUMIFS('Supp Consol'!S:S,'Supp Consol'!Y:Y,"Releasable",'Supp Consol'!A:A,O393)=0,"",SUMIFS('Supp Consol'!S:S,'Supp Consol'!Y:Y,"Releasable",'Supp Consol'!A:A,O393))</f>
        <v/>
      </c>
      <c r="AG393" s="25" t="str">
        <f>IFERROR(INDEX('Hun Demand'!Q:Q,MATCH(O393,'Hun Demand'!A:A,0)),"")</f>
        <v/>
      </c>
      <c r="AH393" s="25" t="str">
        <f>IFERROR(INDEX('Hun Demand'!H:H,MATCH($O393,'Hun Demand'!$A:$A,0)),"")</f>
        <v/>
      </c>
      <c r="AI393" s="25" t="str">
        <f>IF(SUMIFS('Supp Consol'!AA:AA,'Supp Consol'!Z:Z,"Expires this month",'Supp Consol'!A:A,O393)=0,"",SUMIFS('Supp Consol'!AA:AA,'Supp Consol'!Z:Z,"Expires this month",'Supp Consol'!A:A,O393))</f>
        <v/>
      </c>
      <c r="AJ393" s="25" t="str">
        <f>IF(SUMIFS('Supp Consol'!AA:AA,'Supp Consol'!Z:Z,"Expired Previous Months",'Supp Consol'!A:A,O393)=0,"",SUMIFS('Supp Consol'!AA:AA,'Supp Consol'!Z:Z,"Expired Previous Months",'Supp Consol'!A:A,O393))</f>
        <v/>
      </c>
      <c r="AK393" s="25" t="str">
        <f>IFERROR(INDEX('Hun Release Current'!B:B,MATCH(O393,'Hun Release Current'!A:A,0)),"")</f>
        <v/>
      </c>
      <c r="AL393" s="25">
        <f>IF(SUMIF('Prev Aub'!A:A,O393,'Prev Aub'!B:B)=0,"",SUMIF('Prev Aub'!A:A,O393,'Prev Aub'!B:B))</f>
        <v>500</v>
      </c>
      <c r="AN393" s="25">
        <v>25</v>
      </c>
      <c r="AO393" s="25" t="s">
        <v>3891</v>
      </c>
      <c r="AP393" s="25">
        <f t="shared" si="174"/>
        <v>20</v>
      </c>
      <c r="AQ393" s="151">
        <f>IF(SUMIFS('Supp Consol'!S:S,'Supp Consol'!A:A,O393,'Supp Consol'!I:I,"PENDING")=0,"",SUMIFS('Supp Consol'!S:S,'Supp Consol'!A:A,O393,'Supp Consol'!I:I,"PENDING"))</f>
        <v>2634</v>
      </c>
      <c r="AR393" s="27" t="str">
        <f t="shared" si="175"/>
        <v>ES701</v>
      </c>
      <c r="AS393" s="27" t="str">
        <f t="shared" si="176"/>
        <v>62</v>
      </c>
      <c r="AT393" s="27" t="str">
        <f t="shared" si="177"/>
        <v/>
      </c>
      <c r="AU393" s="27" t="str">
        <f t="shared" si="178"/>
        <v>ES701</v>
      </c>
      <c r="AV393" s="27" t="str">
        <f t="shared" si="179"/>
        <v>ES701</v>
      </c>
      <c r="AW393" s="27" t="str">
        <f t="shared" si="180"/>
        <v/>
      </c>
      <c r="AX393" s="27" t="str">
        <f t="shared" si="181"/>
        <v/>
      </c>
      <c r="AY393" s="27" t="str">
        <f t="shared" si="182"/>
        <v/>
      </c>
      <c r="AZ393" s="27" t="str">
        <f t="shared" si="183"/>
        <v/>
      </c>
      <c r="BA393" s="27" t="str">
        <f t="shared" si="184"/>
        <v/>
      </c>
      <c r="BB393" s="27" t="str">
        <f t="shared" si="185"/>
        <v/>
      </c>
      <c r="BC393" s="27" t="str">
        <f t="shared" si="186"/>
        <v>Net</v>
      </c>
      <c r="BD393" s="27" t="str">
        <f t="shared" si="187"/>
        <v>Net</v>
      </c>
      <c r="BE393" s="27" t="str">
        <f t="shared" si="188"/>
        <v/>
      </c>
      <c r="BF393" s="27" t="str">
        <f t="shared" si="189"/>
        <v/>
      </c>
      <c r="BG393" s="27" t="str">
        <f t="shared" si="190"/>
        <v/>
      </c>
      <c r="BH393" s="27" t="str">
        <f t="shared" si="191"/>
        <v/>
      </c>
      <c r="BI393" s="27" t="str">
        <f t="shared" si="192"/>
        <v/>
      </c>
      <c r="BJ393" s="27" t="str">
        <f t="shared" si="193"/>
        <v/>
      </c>
      <c r="BK393" s="27" t="str">
        <f t="shared" si="194"/>
        <v/>
      </c>
      <c r="BL393" s="27" t="str">
        <f t="shared" si="195"/>
        <v/>
      </c>
      <c r="BM393" s="21" t="s">
        <v>5581</v>
      </c>
    </row>
    <row r="394" spans="1:65" ht="15">
      <c r="A394" s="25" t="str">
        <f>IFERROR(INDEX('Hun Demand'!W:W,MATCH(O394,'Hun Demand'!A:A,0)),"")</f>
        <v/>
      </c>
      <c r="B394" s="25" t="str">
        <f>IFERROR(INDEX('Hun Demand'!V:V,MATCH(O394,'Hun Demand'!A:A,0)),"")</f>
        <v/>
      </c>
      <c r="C394" s="25" t="str">
        <f>IFERROR(INDEX('Hun Demand'!U:U,MATCH(O394,'Hun Demand'!A:A,0)),"")</f>
        <v/>
      </c>
      <c r="D394" s="25" t="str">
        <f>IFERROR(INDEX('Hun Demand'!T:T,MATCH(O394,'Hun Demand'!A:A,0)),"")</f>
        <v/>
      </c>
      <c r="E394" s="25" t="str">
        <f>IFERROR(INDEX('Hun Demand'!S:S,MATCH(O394,'Hun Demand'!A:A,0)),"")</f>
        <v/>
      </c>
      <c r="F394" s="25" t="str">
        <f>IFERROR(INDEX('Hun Demand'!R:R,MATCH(O394,'Hun Demand'!A:A,0)),"")</f>
        <v/>
      </c>
      <c r="G394" s="25">
        <f>IFERROR(INDEX('Aub Demand'!W:W,MATCH(O394,'Aub Demand'!A:A,0)),"")</f>
        <v>0</v>
      </c>
      <c r="H394" s="25">
        <f>IFERROR(INDEX('Aub Demand'!V:V,MATCH(O394,'Aub Demand'!A:A,0)),"")</f>
        <v>0</v>
      </c>
      <c r="I394" s="25">
        <f>IFERROR(INDEX('Aub Demand'!U:U,MATCH(O394,'Aub Demand'!A:A,0)),"")</f>
        <v>0</v>
      </c>
      <c r="J394" s="25">
        <f>IFERROR(INDEX('Aub Demand'!T:T,MATCH(O394,'Aub Demand'!A:A,0)),"")</f>
        <v>0</v>
      </c>
      <c r="K394" s="25">
        <f>IFERROR(INDEX('Aub Demand'!S:S,MATCH(O394,'Aub Demand'!A:A,0)),"")</f>
        <v>0</v>
      </c>
      <c r="L394" s="25">
        <f>IFERROR(INDEX('Aub Demand'!R:R,MATCH(O394,'Aub Demand'!A:A,0)),"")</f>
        <v>0</v>
      </c>
      <c r="O394" s="27" t="s">
        <v>663</v>
      </c>
      <c r="P394" s="27" t="str">
        <f>IFERROR(INDEX('Aub Demand'!B:B,MATCH($O394,'Aub Demand'!$A:$A,0)),"")</f>
        <v>ASH PINSTRIPE</v>
      </c>
      <c r="Q394" s="27" t="str">
        <f>IFERROR(INDEX('Aub Demand'!C:C,MATCH($O394,'Aub Demand'!$A:$A,0)),"")</f>
        <v>ARAUC</v>
      </c>
      <c r="R394" s="52">
        <f>IFERROR(IF(AR395=AR394,INDEX('Aub Demand'!K:K,MATCH($O394,'Aub Demand'!$A:$A,0))-IF(AN394="",0,AN394)+AP395,INDEX('Aub Demand'!K:K,MATCH($O394,'Aub Demand'!$A:$A,0))-IF(AN394="",0,AN394)),"")</f>
        <v>73</v>
      </c>
      <c r="S394" s="53" t="str">
        <f t="shared" si="168"/>
        <v>n/a</v>
      </c>
      <c r="T394" s="52" t="str">
        <f t="shared" si="169"/>
        <v/>
      </c>
      <c r="U394" s="52">
        <f>IFERROR(IF(AR395=AR394,INDEX('Aub Demand'!Q:Q,MATCH($O394,'Aub Demand'!$A:$A,0))-IF(AN394="",0,AN394)+AP395,INDEX('Aub Demand'!Q:Q,MATCH($O394,'Aub Demand'!$A:$A,0))-IF(AN394="",0,AN394)),"")</f>
        <v>73</v>
      </c>
      <c r="V394" s="53" t="str">
        <f t="shared" si="170"/>
        <v>n/a</v>
      </c>
      <c r="W394" s="52" t="str">
        <f t="shared" si="171"/>
        <v/>
      </c>
      <c r="X394" s="52">
        <f>IFERROR(IF(AND(AR395=AR394,AM394&lt;&gt;""),INDEX('Aub Demand'!Q:Q,MATCH($O394,'Aub Demand'!$A:$A,0))-IF(AN394="",0,AN394)+AP395+AD394+AL394,IF(AR395=AR394,INDEX('Aub Demand'!Q:Q,MATCH($O394,'Aub Demand'!$A:$A,0))-IF(AN394="",0,AN394)+AP395+AD394,IF(AM394&lt;&gt;"",INDEX('Aub Demand'!Q:Q,MATCH($O394,'Aub Demand'!$A:$A,0))-IF(AN394="",0,AN394)+AD394+AL394,INDEX('Aub Demand'!Q:Q,MATCH($O394,'Aub Demand'!$A:$A,0))-IF(AN394="",0,AN394)+AD394))),"")</f>
        <v>73</v>
      </c>
      <c r="Y394" s="53" t="str">
        <f t="shared" si="172"/>
        <v>n/a</v>
      </c>
      <c r="Z394" s="52">
        <f>IF(L394="","",INDEX('Aub Demand'!H:H,MATCH($O394,'Aub Demand'!$A:$A,0)))</f>
        <v>0</v>
      </c>
      <c r="AA394" s="52" t="str">
        <f t="shared" si="173"/>
        <v>-spike-</v>
      </c>
      <c r="AB394" s="52">
        <f>IFERROR(INDEX('Aub Demand'!L:L,MATCH($O394,'Aub Demand'!$A:$A,0)),"")</f>
        <v>0</v>
      </c>
      <c r="AC394" s="52">
        <f>IFERROR(IF(O394="","",SUMIFS('CPL Mats'!F:F,'CPL Mats'!Q:Q,AR394,'CPL Mats'!S:S,AS394)),"")</f>
        <v>0</v>
      </c>
      <c r="AF394" s="25" t="str">
        <f>IF(SUMIFS('Supp Consol'!S:S,'Supp Consol'!Y:Y,"Releasable",'Supp Consol'!A:A,O394)=0,"",SUMIFS('Supp Consol'!S:S,'Supp Consol'!Y:Y,"Releasable",'Supp Consol'!A:A,O394))</f>
        <v/>
      </c>
      <c r="AG394" s="25" t="str">
        <f>IFERROR(INDEX('Hun Demand'!Q:Q,MATCH(O394,'Hun Demand'!A:A,0)),"")</f>
        <v/>
      </c>
      <c r="AH394" s="25" t="str">
        <f>IFERROR(INDEX('Hun Demand'!H:H,MATCH($O394,'Hun Demand'!$A:$A,0)),"")</f>
        <v/>
      </c>
      <c r="AI394" s="25" t="str">
        <f>IF(SUMIFS('Supp Consol'!AA:AA,'Supp Consol'!Z:Z,"Expires this month",'Supp Consol'!A:A,O394)=0,"",SUMIFS('Supp Consol'!AA:AA,'Supp Consol'!Z:Z,"Expires this month",'Supp Consol'!A:A,O394))</f>
        <v/>
      </c>
      <c r="AJ394" s="25" t="str">
        <f>IF(SUMIFS('Supp Consol'!AA:AA,'Supp Consol'!Z:Z,"Expired Previous Months",'Supp Consol'!A:A,O394)=0,"",SUMIFS('Supp Consol'!AA:AA,'Supp Consol'!Z:Z,"Expired Previous Months",'Supp Consol'!A:A,O394))</f>
        <v/>
      </c>
      <c r="AK394" s="25" t="str">
        <f>IFERROR(INDEX('Hun Release Current'!B:B,MATCH(O394,'Hun Release Current'!A:A,0)),"")</f>
        <v/>
      </c>
      <c r="AL394" s="25" t="str">
        <f>IF(SUMIF('Prev Aub'!A:A,O394,'Prev Aub'!B:B)=0,"",SUMIF('Prev Aub'!A:A,O394,'Prev Aub'!B:B))</f>
        <v/>
      </c>
      <c r="AN394" s="25" t="s">
        <v>3790</v>
      </c>
      <c r="AO394" s="25" t="s">
        <v>3790</v>
      </c>
      <c r="AP394" s="25">
        <f t="shared" si="174"/>
        <v>0</v>
      </c>
      <c r="AQ394" s="151" t="str">
        <f>IF(SUMIFS('Supp Consol'!S:S,'Supp Consol'!A:A,O394,'Supp Consol'!I:I,"PENDING")=0,"",SUMIFS('Supp Consol'!S:S,'Supp Consol'!A:A,O394,'Supp Consol'!I:I,"PENDING"))</f>
        <v/>
      </c>
      <c r="AR394" s="27" t="str">
        <f t="shared" si="175"/>
        <v>FB118</v>
      </c>
      <c r="AS394" s="27" t="str">
        <f t="shared" si="176"/>
        <v>62</v>
      </c>
      <c r="AT394" s="27" t="str">
        <f t="shared" si="177"/>
        <v/>
      </c>
      <c r="AU394" s="27" t="str">
        <f t="shared" si="178"/>
        <v/>
      </c>
      <c r="AV394" s="27" t="str">
        <f t="shared" si="179"/>
        <v/>
      </c>
      <c r="AW394" s="27" t="str">
        <f t="shared" si="180"/>
        <v/>
      </c>
      <c r="AX394" s="27" t="str">
        <f t="shared" si="181"/>
        <v/>
      </c>
      <c r="AY394" s="27" t="str">
        <f t="shared" si="182"/>
        <v/>
      </c>
      <c r="AZ394" s="27" t="str">
        <f t="shared" si="183"/>
        <v/>
      </c>
      <c r="BA394" s="27" t="str">
        <f t="shared" si="184"/>
        <v/>
      </c>
      <c r="BB394" s="27" t="str">
        <f t="shared" si="185"/>
        <v/>
      </c>
      <c r="BC394" s="27" t="str">
        <f t="shared" si="186"/>
        <v/>
      </c>
      <c r="BD394" s="27" t="str">
        <f t="shared" si="187"/>
        <v/>
      </c>
      <c r="BE394" s="27" t="str">
        <f t="shared" si="188"/>
        <v/>
      </c>
      <c r="BF394" s="27" t="str">
        <f t="shared" si="189"/>
        <v/>
      </c>
      <c r="BG394" s="27" t="str">
        <f t="shared" si="190"/>
        <v/>
      </c>
      <c r="BH394" s="27" t="str">
        <f t="shared" si="191"/>
        <v/>
      </c>
      <c r="BI394" s="27" t="str">
        <f t="shared" si="192"/>
        <v/>
      </c>
      <c r="BJ394" s="27" t="str">
        <f t="shared" si="193"/>
        <v/>
      </c>
      <c r="BK394" s="27" t="str">
        <f t="shared" si="194"/>
        <v/>
      </c>
      <c r="BL394" s="27" t="str">
        <f t="shared" si="195"/>
        <v/>
      </c>
      <c r="BM394" s="21" t="s">
        <v>3790</v>
      </c>
    </row>
    <row r="395" spans="1:65" ht="15">
      <c r="A395" s="25" t="str">
        <f>IFERROR(INDEX('Hun Demand'!W:W,MATCH(O395,'Hun Demand'!A:A,0)),"")</f>
        <v/>
      </c>
      <c r="B395" s="25" t="str">
        <f>IFERROR(INDEX('Hun Demand'!V:V,MATCH(O395,'Hun Demand'!A:A,0)),"")</f>
        <v/>
      </c>
      <c r="C395" s="25" t="str">
        <f>IFERROR(INDEX('Hun Demand'!U:U,MATCH(O395,'Hun Demand'!A:A,0)),"")</f>
        <v/>
      </c>
      <c r="D395" s="25" t="str">
        <f>IFERROR(INDEX('Hun Demand'!T:T,MATCH(O395,'Hun Demand'!A:A,0)),"")</f>
        <v/>
      </c>
      <c r="E395" s="25" t="str">
        <f>IFERROR(INDEX('Hun Demand'!S:S,MATCH(O395,'Hun Demand'!A:A,0)),"")</f>
        <v/>
      </c>
      <c r="F395" s="25" t="str">
        <f>IFERROR(INDEX('Hun Demand'!R:R,MATCH(O395,'Hun Demand'!A:A,0)),"")</f>
        <v/>
      </c>
      <c r="G395" s="25">
        <f>IFERROR(INDEX('Aub Demand'!W:W,MATCH(O395,'Aub Demand'!A:A,0)),"")</f>
        <v>0</v>
      </c>
      <c r="H395" s="25">
        <f>IFERROR(INDEX('Aub Demand'!V:V,MATCH(O395,'Aub Demand'!A:A,0)),"")</f>
        <v>0</v>
      </c>
      <c r="I395" s="25">
        <f>IFERROR(INDEX('Aub Demand'!U:U,MATCH(O395,'Aub Demand'!A:A,0)),"")</f>
        <v>0</v>
      </c>
      <c r="J395" s="25">
        <f>IFERROR(INDEX('Aub Demand'!T:T,MATCH(O395,'Aub Demand'!A:A,0)),"")</f>
        <v>0</v>
      </c>
      <c r="K395" s="25">
        <f>IFERROR(INDEX('Aub Demand'!S:S,MATCH(O395,'Aub Demand'!A:A,0)),"")</f>
        <v>0</v>
      </c>
      <c r="L395" s="25">
        <f>IFERROR(INDEX('Aub Demand'!R:R,MATCH(O395,'Aub Demand'!A:A,0)),"")</f>
        <v>0</v>
      </c>
      <c r="O395" s="27" t="s">
        <v>667</v>
      </c>
      <c r="P395" s="27" t="str">
        <f>IFERROR(INDEX('Aub Demand'!B:B,MATCH($O395,'Aub Demand'!$A:$A,0)),"")</f>
        <v>BAROQUE</v>
      </c>
      <c r="Q395" s="27" t="str">
        <f>IFERROR(INDEX('Aub Demand'!C:C,MATCH($O395,'Aub Demand'!$A:$A,0)),"")</f>
        <v>ARAUC</v>
      </c>
      <c r="R395" s="52">
        <f>IFERROR(IF(AR396=AR395,INDEX('Aub Demand'!K:K,MATCH($O395,'Aub Demand'!$A:$A,0))-IF(AN395="",0,AN395)+AP396,INDEX('Aub Demand'!K:K,MATCH($O395,'Aub Demand'!$A:$A,0))-IF(AN395="",0,AN395)),"")</f>
        <v>45</v>
      </c>
      <c r="S395" s="53" t="str">
        <f t="shared" si="168"/>
        <v>n/a</v>
      </c>
      <c r="T395" s="52" t="str">
        <f t="shared" si="169"/>
        <v/>
      </c>
      <c r="U395" s="52">
        <f>IFERROR(IF(AR396=AR395,INDEX('Aub Demand'!Q:Q,MATCH($O395,'Aub Demand'!$A:$A,0))-IF(AN395="",0,AN395)+AP396,INDEX('Aub Demand'!Q:Q,MATCH($O395,'Aub Demand'!$A:$A,0))-IF(AN395="",0,AN395)),"")</f>
        <v>45</v>
      </c>
      <c r="V395" s="53" t="str">
        <f t="shared" si="170"/>
        <v>n/a</v>
      </c>
      <c r="W395" s="52" t="str">
        <f t="shared" si="171"/>
        <v/>
      </c>
      <c r="X395" s="52">
        <f>IFERROR(IF(AND(AR396=AR395,AM395&lt;&gt;""),INDEX('Aub Demand'!Q:Q,MATCH($O395,'Aub Demand'!$A:$A,0))-IF(AN395="",0,AN395)+AP396+AD395+AL395,IF(AR396=AR395,INDEX('Aub Demand'!Q:Q,MATCH($O395,'Aub Demand'!$A:$A,0))-IF(AN395="",0,AN395)+AP396+AD395,IF(AM395&lt;&gt;"",INDEX('Aub Demand'!Q:Q,MATCH($O395,'Aub Demand'!$A:$A,0))-IF(AN395="",0,AN395)+AD395+AL395,INDEX('Aub Demand'!Q:Q,MATCH($O395,'Aub Demand'!$A:$A,0))-IF(AN395="",0,AN395)+AD395))),"")</f>
        <v>45</v>
      </c>
      <c r="Y395" s="53" t="str">
        <f t="shared" si="172"/>
        <v>n/a</v>
      </c>
      <c r="Z395" s="52">
        <f>IF(L395="","",INDEX('Aub Demand'!H:H,MATCH($O395,'Aub Demand'!$A:$A,0)))</f>
        <v>0</v>
      </c>
      <c r="AA395" s="52" t="str">
        <f t="shared" si="173"/>
        <v>-spike-</v>
      </c>
      <c r="AB395" s="52">
        <f>IFERROR(INDEX('Aub Demand'!L:L,MATCH($O395,'Aub Demand'!$A:$A,0)),"")</f>
        <v>0</v>
      </c>
      <c r="AC395" s="52">
        <f>IFERROR(IF(O395="","",SUMIFS('CPL Mats'!F:F,'CPL Mats'!Q:Q,AR395,'CPL Mats'!S:S,AS395)),"")</f>
        <v>0</v>
      </c>
      <c r="AF395" s="25" t="str">
        <f>IF(SUMIFS('Supp Consol'!S:S,'Supp Consol'!Y:Y,"Releasable",'Supp Consol'!A:A,O395)=0,"",SUMIFS('Supp Consol'!S:S,'Supp Consol'!Y:Y,"Releasable",'Supp Consol'!A:A,O395))</f>
        <v/>
      </c>
      <c r="AG395" s="25" t="str">
        <f>IFERROR(INDEX('Hun Demand'!Q:Q,MATCH(O395,'Hun Demand'!A:A,0)),"")</f>
        <v/>
      </c>
      <c r="AH395" s="25" t="str">
        <f>IFERROR(INDEX('Hun Demand'!H:H,MATCH($O395,'Hun Demand'!$A:$A,0)),"")</f>
        <v/>
      </c>
      <c r="AI395" s="25" t="str">
        <f>IF(SUMIFS('Supp Consol'!AA:AA,'Supp Consol'!Z:Z,"Expires this month",'Supp Consol'!A:A,O395)=0,"",SUMIFS('Supp Consol'!AA:AA,'Supp Consol'!Z:Z,"Expires this month",'Supp Consol'!A:A,O395))</f>
        <v/>
      </c>
      <c r="AJ395" s="25" t="str">
        <f>IF(SUMIFS('Supp Consol'!AA:AA,'Supp Consol'!Z:Z,"Expired Previous Months",'Supp Consol'!A:A,O395)=0,"",SUMIFS('Supp Consol'!AA:AA,'Supp Consol'!Z:Z,"Expired Previous Months",'Supp Consol'!A:A,O395))</f>
        <v/>
      </c>
      <c r="AK395" s="25" t="str">
        <f>IFERROR(INDEX('Hun Release Current'!B:B,MATCH(O395,'Hun Release Current'!A:A,0)),"")</f>
        <v/>
      </c>
      <c r="AL395" s="25" t="str">
        <f>IF(SUMIF('Prev Aub'!A:A,O395,'Prev Aub'!B:B)=0,"",SUMIF('Prev Aub'!A:A,O395,'Prev Aub'!B:B))</f>
        <v/>
      </c>
      <c r="AN395" s="25" t="s">
        <v>3790</v>
      </c>
      <c r="AO395" s="25" t="s">
        <v>3790</v>
      </c>
      <c r="AP395" s="25">
        <f t="shared" si="174"/>
        <v>0</v>
      </c>
      <c r="AQ395" s="151" t="str">
        <f>IF(SUMIFS('Supp Consol'!S:S,'Supp Consol'!A:A,O395,'Supp Consol'!I:I,"PENDING")=0,"",SUMIFS('Supp Consol'!S:S,'Supp Consol'!A:A,O395,'Supp Consol'!I:I,"PENDING"))</f>
        <v/>
      </c>
      <c r="AR395" s="27" t="str">
        <f t="shared" si="175"/>
        <v>FB204</v>
      </c>
      <c r="AS395" s="27" t="str">
        <f t="shared" si="176"/>
        <v>62</v>
      </c>
      <c r="AT395" s="27" t="str">
        <f t="shared" si="177"/>
        <v/>
      </c>
      <c r="AU395" s="27" t="str">
        <f t="shared" si="178"/>
        <v/>
      </c>
      <c r="AV395" s="27" t="str">
        <f t="shared" si="179"/>
        <v/>
      </c>
      <c r="AW395" s="27" t="str">
        <f t="shared" si="180"/>
        <v/>
      </c>
      <c r="AX395" s="27" t="str">
        <f t="shared" si="181"/>
        <v/>
      </c>
      <c r="AY395" s="27" t="str">
        <f t="shared" si="182"/>
        <v/>
      </c>
      <c r="AZ395" s="27" t="str">
        <f t="shared" si="183"/>
        <v/>
      </c>
      <c r="BA395" s="27" t="str">
        <f t="shared" si="184"/>
        <v/>
      </c>
      <c r="BB395" s="27" t="str">
        <f t="shared" si="185"/>
        <v/>
      </c>
      <c r="BC395" s="27" t="str">
        <f t="shared" si="186"/>
        <v/>
      </c>
      <c r="BD395" s="27" t="str">
        <f t="shared" si="187"/>
        <v/>
      </c>
      <c r="BE395" s="27" t="str">
        <f t="shared" si="188"/>
        <v/>
      </c>
      <c r="BF395" s="27" t="str">
        <f t="shared" si="189"/>
        <v/>
      </c>
      <c r="BG395" s="27" t="str">
        <f t="shared" si="190"/>
        <v/>
      </c>
      <c r="BH395" s="27" t="str">
        <f t="shared" si="191"/>
        <v/>
      </c>
      <c r="BI395" s="27" t="str">
        <f t="shared" si="192"/>
        <v/>
      </c>
      <c r="BJ395" s="27" t="str">
        <f t="shared" si="193"/>
        <v/>
      </c>
      <c r="BK395" s="27" t="str">
        <f t="shared" si="194"/>
        <v/>
      </c>
      <c r="BL395" s="27" t="str">
        <f t="shared" si="195"/>
        <v/>
      </c>
      <c r="BM395" s="21" t="s">
        <v>3790</v>
      </c>
    </row>
    <row r="396" spans="1:65" ht="15">
      <c r="A396" s="25" t="str">
        <f>IFERROR(INDEX('Hun Demand'!W:W,MATCH(O396,'Hun Demand'!A:A,0)),"")</f>
        <v/>
      </c>
      <c r="B396" s="25" t="str">
        <f>IFERROR(INDEX('Hun Demand'!V:V,MATCH(O396,'Hun Demand'!A:A,0)),"")</f>
        <v/>
      </c>
      <c r="C396" s="25" t="str">
        <f>IFERROR(INDEX('Hun Demand'!U:U,MATCH(O396,'Hun Demand'!A:A,0)),"")</f>
        <v/>
      </c>
      <c r="D396" s="25" t="str">
        <f>IFERROR(INDEX('Hun Demand'!T:T,MATCH(O396,'Hun Demand'!A:A,0)),"")</f>
        <v/>
      </c>
      <c r="E396" s="25" t="str">
        <f>IFERROR(INDEX('Hun Demand'!S:S,MATCH(O396,'Hun Demand'!A:A,0)),"")</f>
        <v/>
      </c>
      <c r="F396" s="25" t="str">
        <f>IFERROR(INDEX('Hun Demand'!R:R,MATCH(O396,'Hun Demand'!A:A,0)),"")</f>
        <v/>
      </c>
      <c r="G396" s="25">
        <f>IFERROR(INDEX('Aub Demand'!W:W,MATCH(O396,'Aub Demand'!A:A,0)),"")</f>
        <v>0</v>
      </c>
      <c r="H396" s="25">
        <f>IFERROR(INDEX('Aub Demand'!V:V,MATCH(O396,'Aub Demand'!A:A,0)),"")</f>
        <v>0</v>
      </c>
      <c r="I396" s="25">
        <f>IFERROR(INDEX('Aub Demand'!U:U,MATCH(O396,'Aub Demand'!A:A,0)),"")</f>
        <v>0</v>
      </c>
      <c r="J396" s="25">
        <f>IFERROR(INDEX('Aub Demand'!T:T,MATCH(O396,'Aub Demand'!A:A,0)),"")</f>
        <v>0</v>
      </c>
      <c r="K396" s="25">
        <f>IFERROR(INDEX('Aub Demand'!S:S,MATCH(O396,'Aub Demand'!A:A,0)),"")</f>
        <v>0</v>
      </c>
      <c r="L396" s="25">
        <f>IFERROR(INDEX('Aub Demand'!R:R,MATCH(O396,'Aub Demand'!A:A,0)),"")</f>
        <v>0</v>
      </c>
      <c r="O396" s="27" t="s">
        <v>669</v>
      </c>
      <c r="P396" s="27" t="str">
        <f>IFERROR(INDEX('Aub Demand'!B:B,MATCH($O396,'Aub Demand'!$A:$A,0)),"")</f>
        <v>SHADOW FROST</v>
      </c>
      <c r="Q396" s="27" t="str">
        <f>IFERROR(INDEX('Aub Demand'!C:C,MATCH($O396,'Aub Demand'!$A:$A,0)),"")</f>
        <v>ARAUC</v>
      </c>
      <c r="R396" s="52">
        <f>IFERROR(IF(AR397=AR396,INDEX('Aub Demand'!K:K,MATCH($O396,'Aub Demand'!$A:$A,0))-IF(AN396="",0,AN396)+AP397,INDEX('Aub Demand'!K:K,MATCH($O396,'Aub Demand'!$A:$A,0))-IF(AN396="",0,AN396)),"")</f>
        <v>27</v>
      </c>
      <c r="S396" s="53" t="str">
        <f t="shared" si="168"/>
        <v>n/a</v>
      </c>
      <c r="T396" s="52" t="str">
        <f t="shared" si="169"/>
        <v/>
      </c>
      <c r="U396" s="52">
        <f>IFERROR(IF(AR397=AR396,INDEX('Aub Demand'!Q:Q,MATCH($O396,'Aub Demand'!$A:$A,0))-IF(AN396="",0,AN396)+AP397,INDEX('Aub Demand'!Q:Q,MATCH($O396,'Aub Demand'!$A:$A,0))-IF(AN396="",0,AN396)),"")</f>
        <v>27</v>
      </c>
      <c r="V396" s="53" t="str">
        <f t="shared" si="170"/>
        <v>n/a</v>
      </c>
      <c r="W396" s="52" t="str">
        <f t="shared" si="171"/>
        <v/>
      </c>
      <c r="X396" s="52">
        <f>IFERROR(IF(AND(AR397=AR396,AM396&lt;&gt;""),INDEX('Aub Demand'!Q:Q,MATCH($O396,'Aub Demand'!$A:$A,0))-IF(AN396="",0,AN396)+AP397+AD396+AL396,IF(AR397=AR396,INDEX('Aub Demand'!Q:Q,MATCH($O396,'Aub Demand'!$A:$A,0))-IF(AN396="",0,AN396)+AP397+AD396,IF(AM396&lt;&gt;"",INDEX('Aub Demand'!Q:Q,MATCH($O396,'Aub Demand'!$A:$A,0))-IF(AN396="",0,AN396)+AD396+AL396,INDEX('Aub Demand'!Q:Q,MATCH($O396,'Aub Demand'!$A:$A,0))-IF(AN396="",0,AN396)+AD396))),"")</f>
        <v>27</v>
      </c>
      <c r="Y396" s="53" t="str">
        <f t="shared" si="172"/>
        <v>n/a</v>
      </c>
      <c r="Z396" s="52">
        <f>IF(L396="","",INDEX('Aub Demand'!H:H,MATCH($O396,'Aub Demand'!$A:$A,0)))</f>
        <v>0</v>
      </c>
      <c r="AA396" s="52" t="str">
        <f t="shared" si="173"/>
        <v>-spike-</v>
      </c>
      <c r="AB396" s="52">
        <f>IFERROR(INDEX('Aub Demand'!L:L,MATCH($O396,'Aub Demand'!$A:$A,0)),"")</f>
        <v>0</v>
      </c>
      <c r="AC396" s="52">
        <f>IFERROR(IF(O396="","",SUMIFS('CPL Mats'!F:F,'CPL Mats'!Q:Q,AR396,'CPL Mats'!S:S,AS396)),"")</f>
        <v>0</v>
      </c>
      <c r="AF396" s="25" t="str">
        <f>IF(SUMIFS('Supp Consol'!S:S,'Supp Consol'!Y:Y,"Releasable",'Supp Consol'!A:A,O396)=0,"",SUMIFS('Supp Consol'!S:S,'Supp Consol'!Y:Y,"Releasable",'Supp Consol'!A:A,O396))</f>
        <v/>
      </c>
      <c r="AG396" s="25" t="str">
        <f>IFERROR(INDEX('Hun Demand'!Q:Q,MATCH(O396,'Hun Demand'!A:A,0)),"")</f>
        <v/>
      </c>
      <c r="AH396" s="25" t="str">
        <f>IFERROR(INDEX('Hun Demand'!H:H,MATCH($O396,'Hun Demand'!$A:$A,0)),"")</f>
        <v/>
      </c>
      <c r="AI396" s="25" t="str">
        <f>IF(SUMIFS('Supp Consol'!AA:AA,'Supp Consol'!Z:Z,"Expires this month",'Supp Consol'!A:A,O396)=0,"",SUMIFS('Supp Consol'!AA:AA,'Supp Consol'!Z:Z,"Expires this month",'Supp Consol'!A:A,O396))</f>
        <v/>
      </c>
      <c r="AJ396" s="25" t="str">
        <f>IF(SUMIFS('Supp Consol'!AA:AA,'Supp Consol'!Z:Z,"Expired Previous Months",'Supp Consol'!A:A,O396)=0,"",SUMIFS('Supp Consol'!AA:AA,'Supp Consol'!Z:Z,"Expired Previous Months",'Supp Consol'!A:A,O396))</f>
        <v/>
      </c>
      <c r="AK396" s="25" t="str">
        <f>IFERROR(INDEX('Hun Release Current'!B:B,MATCH(O396,'Hun Release Current'!A:A,0)),"")</f>
        <v/>
      </c>
      <c r="AL396" s="25" t="str">
        <f>IF(SUMIF('Prev Aub'!A:A,O396,'Prev Aub'!B:B)=0,"",SUMIF('Prev Aub'!A:A,O396,'Prev Aub'!B:B))</f>
        <v/>
      </c>
      <c r="AN396" s="25" t="s">
        <v>3790</v>
      </c>
      <c r="AO396" s="25" t="s">
        <v>3790</v>
      </c>
      <c r="AP396" s="25">
        <f t="shared" si="174"/>
        <v>0</v>
      </c>
      <c r="AQ396" s="151" t="str">
        <f>IF(SUMIFS('Supp Consol'!S:S,'Supp Consol'!A:A,O396,'Supp Consol'!I:I,"PENDING")=0,"",SUMIFS('Supp Consol'!S:S,'Supp Consol'!A:A,O396,'Supp Consol'!I:I,"PENDING"))</f>
        <v/>
      </c>
      <c r="AR396" s="27" t="str">
        <f t="shared" si="175"/>
        <v>FB209</v>
      </c>
      <c r="AS396" s="27" t="str">
        <f t="shared" si="176"/>
        <v>62</v>
      </c>
      <c r="AT396" s="27" t="str">
        <f t="shared" si="177"/>
        <v/>
      </c>
      <c r="AU396" s="27" t="str">
        <f t="shared" si="178"/>
        <v/>
      </c>
      <c r="AV396" s="27" t="str">
        <f t="shared" si="179"/>
        <v/>
      </c>
      <c r="AW396" s="27" t="str">
        <f t="shared" si="180"/>
        <v/>
      </c>
      <c r="AX396" s="27" t="str">
        <f t="shared" si="181"/>
        <v/>
      </c>
      <c r="AY396" s="27" t="str">
        <f t="shared" si="182"/>
        <v/>
      </c>
      <c r="AZ396" s="27" t="str">
        <f t="shared" si="183"/>
        <v/>
      </c>
      <c r="BA396" s="27" t="str">
        <f t="shared" si="184"/>
        <v/>
      </c>
      <c r="BB396" s="27" t="str">
        <f t="shared" si="185"/>
        <v/>
      </c>
      <c r="BC396" s="27" t="str">
        <f t="shared" si="186"/>
        <v/>
      </c>
      <c r="BD396" s="27" t="str">
        <f t="shared" si="187"/>
        <v/>
      </c>
      <c r="BE396" s="27" t="str">
        <f t="shared" si="188"/>
        <v/>
      </c>
      <c r="BF396" s="27" t="str">
        <f t="shared" si="189"/>
        <v/>
      </c>
      <c r="BG396" s="27" t="str">
        <f t="shared" si="190"/>
        <v/>
      </c>
      <c r="BH396" s="27" t="str">
        <f t="shared" si="191"/>
        <v/>
      </c>
      <c r="BI396" s="27" t="str">
        <f t="shared" si="192"/>
        <v/>
      </c>
      <c r="BJ396" s="27" t="str">
        <f t="shared" si="193"/>
        <v/>
      </c>
      <c r="BK396" s="27" t="str">
        <f t="shared" si="194"/>
        <v/>
      </c>
      <c r="BL396" s="27" t="str">
        <f t="shared" si="195"/>
        <v/>
      </c>
      <c r="BM396" s="21" t="s">
        <v>3790</v>
      </c>
    </row>
    <row r="397" spans="1:65" ht="15">
      <c r="A397" s="25" t="str">
        <f>IFERROR(INDEX('Hun Demand'!W:W,MATCH(O397,'Hun Demand'!A:A,0)),"")</f>
        <v/>
      </c>
      <c r="B397" s="25" t="str">
        <f>IFERROR(INDEX('Hun Demand'!V:V,MATCH(O397,'Hun Demand'!A:A,0)),"")</f>
        <v/>
      </c>
      <c r="C397" s="25" t="str">
        <f>IFERROR(INDEX('Hun Demand'!U:U,MATCH(O397,'Hun Demand'!A:A,0)),"")</f>
        <v/>
      </c>
      <c r="D397" s="25" t="str">
        <f>IFERROR(INDEX('Hun Demand'!T:T,MATCH(O397,'Hun Demand'!A:A,0)),"")</f>
        <v/>
      </c>
      <c r="E397" s="25" t="str">
        <f>IFERROR(INDEX('Hun Demand'!S:S,MATCH(O397,'Hun Demand'!A:A,0)),"")</f>
        <v/>
      </c>
      <c r="F397" s="25" t="str">
        <f>IFERROR(INDEX('Hun Demand'!R:R,MATCH(O397,'Hun Demand'!A:A,0)),"")</f>
        <v/>
      </c>
      <c r="G397" s="25">
        <f>IFERROR(INDEX('Aub Demand'!W:W,MATCH(O397,'Aub Demand'!A:A,0)),"")</f>
        <v>0</v>
      </c>
      <c r="H397" s="25">
        <f>IFERROR(INDEX('Aub Demand'!V:V,MATCH(O397,'Aub Demand'!A:A,0)),"")</f>
        <v>0</v>
      </c>
      <c r="I397" s="25">
        <f>IFERROR(INDEX('Aub Demand'!U:U,MATCH(O397,'Aub Demand'!A:A,0)),"")</f>
        <v>0</v>
      </c>
      <c r="J397" s="25">
        <f>IFERROR(INDEX('Aub Demand'!T:T,MATCH(O397,'Aub Demand'!A:A,0)),"")</f>
        <v>0</v>
      </c>
      <c r="K397" s="25">
        <f>IFERROR(INDEX('Aub Demand'!S:S,MATCH(O397,'Aub Demand'!A:A,0)),"")</f>
        <v>0</v>
      </c>
      <c r="L397" s="25">
        <f>IFERROR(INDEX('Aub Demand'!R:R,MATCH(O397,'Aub Demand'!A:A,0)),"")</f>
        <v>0</v>
      </c>
      <c r="O397" s="27" t="s">
        <v>671</v>
      </c>
      <c r="P397" s="27" t="str">
        <f>IFERROR(INDEX('Aub Demand'!B:B,MATCH($O397,'Aub Demand'!$A:$A,0)),"")</f>
        <v>FOG GRAY</v>
      </c>
      <c r="Q397" s="27" t="str">
        <f>IFERROR(INDEX('Aub Demand'!C:C,MATCH($O397,'Aub Demand'!$A:$A,0)),"")</f>
        <v>ARAUC</v>
      </c>
      <c r="R397" s="52">
        <f>IFERROR(IF(AR398=AR397,INDEX('Aub Demand'!K:K,MATCH($O397,'Aub Demand'!$A:$A,0))-IF(AN397="",0,AN397)+AP398,INDEX('Aub Demand'!K:K,MATCH($O397,'Aub Demand'!$A:$A,0))-IF(AN397="",0,AN397)),"")</f>
        <v>166</v>
      </c>
      <c r="S397" s="53" t="str">
        <f t="shared" si="168"/>
        <v>n/a</v>
      </c>
      <c r="T397" s="52" t="str">
        <f t="shared" si="169"/>
        <v/>
      </c>
      <c r="U397" s="52">
        <f>IFERROR(IF(AR398=AR397,INDEX('Aub Demand'!Q:Q,MATCH($O397,'Aub Demand'!$A:$A,0))-IF(AN397="",0,AN397)+AP398,INDEX('Aub Demand'!Q:Q,MATCH($O397,'Aub Demand'!$A:$A,0))-IF(AN397="",0,AN397)),"")</f>
        <v>136</v>
      </c>
      <c r="V397" s="53" t="str">
        <f t="shared" si="170"/>
        <v>n/a</v>
      </c>
      <c r="W397" s="52" t="str">
        <f t="shared" si="171"/>
        <v/>
      </c>
      <c r="X397" s="52">
        <f>IFERROR(IF(AND(AR398=AR397,AM397&lt;&gt;""),INDEX('Aub Demand'!Q:Q,MATCH($O397,'Aub Demand'!$A:$A,0))-IF(AN397="",0,AN397)+AP398+AD397+AL397,IF(AR398=AR397,INDEX('Aub Demand'!Q:Q,MATCH($O397,'Aub Demand'!$A:$A,0))-IF(AN397="",0,AN397)+AP398+AD397,IF(AM397&lt;&gt;"",INDEX('Aub Demand'!Q:Q,MATCH($O397,'Aub Demand'!$A:$A,0))-IF(AN397="",0,AN397)+AD397+AL397,INDEX('Aub Demand'!Q:Q,MATCH($O397,'Aub Demand'!$A:$A,0))-IF(AN397="",0,AN397)+AD397))),"")</f>
        <v>136</v>
      </c>
      <c r="Y397" s="53" t="str">
        <f t="shared" si="172"/>
        <v>n/a</v>
      </c>
      <c r="Z397" s="52">
        <f>IF(L397="","",INDEX('Aub Demand'!H:H,MATCH($O397,'Aub Demand'!$A:$A,0)))</f>
        <v>0</v>
      </c>
      <c r="AA397" s="52" t="str">
        <f t="shared" si="173"/>
        <v>-spike-</v>
      </c>
      <c r="AB397" s="52">
        <f>IFERROR(INDEX('Aub Demand'!L:L,MATCH($O397,'Aub Demand'!$A:$A,0)),"")</f>
        <v>17</v>
      </c>
      <c r="AC397" s="52">
        <f>IFERROR(IF(O397="","",SUMIFS('CPL Mats'!F:F,'CPL Mats'!Q:Q,AR397,'CPL Mats'!S:S,AS397)),"")</f>
        <v>0</v>
      </c>
      <c r="AF397" s="25" t="str">
        <f>IF(SUMIFS('Supp Consol'!S:S,'Supp Consol'!Y:Y,"Releasable",'Supp Consol'!A:A,O397)=0,"",SUMIFS('Supp Consol'!S:S,'Supp Consol'!Y:Y,"Releasable",'Supp Consol'!A:A,O397))</f>
        <v/>
      </c>
      <c r="AG397" s="25" t="str">
        <f>IFERROR(INDEX('Hun Demand'!Q:Q,MATCH(O397,'Hun Demand'!A:A,0)),"")</f>
        <v/>
      </c>
      <c r="AH397" s="25" t="str">
        <f>IFERROR(INDEX('Hun Demand'!H:H,MATCH($O397,'Hun Demand'!$A:$A,0)),"")</f>
        <v/>
      </c>
      <c r="AI397" s="25" t="str">
        <f>IF(SUMIFS('Supp Consol'!AA:AA,'Supp Consol'!Z:Z,"Expires this month",'Supp Consol'!A:A,O397)=0,"",SUMIFS('Supp Consol'!AA:AA,'Supp Consol'!Z:Z,"Expires this month",'Supp Consol'!A:A,O397))</f>
        <v/>
      </c>
      <c r="AJ397" s="25" t="str">
        <f>IF(SUMIFS('Supp Consol'!AA:AA,'Supp Consol'!Z:Z,"Expired Previous Months",'Supp Consol'!A:A,O397)=0,"",SUMIFS('Supp Consol'!AA:AA,'Supp Consol'!Z:Z,"Expired Previous Months",'Supp Consol'!A:A,O397))</f>
        <v/>
      </c>
      <c r="AK397" s="25" t="str">
        <f>IFERROR(INDEX('Hun Release Current'!B:B,MATCH(O397,'Hun Release Current'!A:A,0)),"")</f>
        <v/>
      </c>
      <c r="AL397" s="25" t="str">
        <f>IF(SUMIF('Prev Aub'!A:A,O397,'Prev Aub'!B:B)=0,"",SUMIF('Prev Aub'!A:A,O397,'Prev Aub'!B:B))</f>
        <v/>
      </c>
      <c r="AN397" s="25" t="s">
        <v>3790</v>
      </c>
      <c r="AO397" s="25" t="s">
        <v>3790</v>
      </c>
      <c r="AP397" s="25">
        <f t="shared" si="174"/>
        <v>0</v>
      </c>
      <c r="AQ397" s="151" t="str">
        <f>IF(SUMIFS('Supp Consol'!S:S,'Supp Consol'!A:A,O397,'Supp Consol'!I:I,"PENDING")=0,"",SUMIFS('Supp Consol'!S:S,'Supp Consol'!A:A,O397,'Supp Consol'!I:I,"PENDING"))</f>
        <v/>
      </c>
      <c r="AR397" s="27" t="str">
        <f t="shared" si="175"/>
        <v>FB213</v>
      </c>
      <c r="AS397" s="27" t="str">
        <f t="shared" si="176"/>
        <v>50</v>
      </c>
      <c r="AT397" s="27" t="str">
        <f t="shared" si="177"/>
        <v/>
      </c>
      <c r="AU397" s="27" t="str">
        <f t="shared" si="178"/>
        <v/>
      </c>
      <c r="AV397" s="27" t="str">
        <f t="shared" si="179"/>
        <v/>
      </c>
      <c r="AW397" s="27" t="str">
        <f t="shared" si="180"/>
        <v/>
      </c>
      <c r="AX397" s="27" t="str">
        <f t="shared" si="181"/>
        <v/>
      </c>
      <c r="AY397" s="27" t="str">
        <f t="shared" si="182"/>
        <v/>
      </c>
      <c r="AZ397" s="27" t="str">
        <f t="shared" si="183"/>
        <v/>
      </c>
      <c r="BA397" s="27" t="str">
        <f t="shared" si="184"/>
        <v/>
      </c>
      <c r="BB397" s="27" t="str">
        <f t="shared" si="185"/>
        <v/>
      </c>
      <c r="BC397" s="27" t="str">
        <f t="shared" si="186"/>
        <v/>
      </c>
      <c r="BD397" s="27" t="str">
        <f t="shared" si="187"/>
        <v/>
      </c>
      <c r="BE397" s="27" t="str">
        <f t="shared" si="188"/>
        <v/>
      </c>
      <c r="BF397" s="27" t="str">
        <f t="shared" si="189"/>
        <v/>
      </c>
      <c r="BG397" s="27" t="str">
        <f t="shared" si="190"/>
        <v/>
      </c>
      <c r="BH397" s="27" t="str">
        <f t="shared" si="191"/>
        <v/>
      </c>
      <c r="BI397" s="27" t="str">
        <f t="shared" si="192"/>
        <v/>
      </c>
      <c r="BJ397" s="27" t="str">
        <f t="shared" si="193"/>
        <v/>
      </c>
      <c r="BK397" s="27" t="str">
        <f t="shared" si="194"/>
        <v/>
      </c>
      <c r="BL397" s="27" t="str">
        <f t="shared" si="195"/>
        <v/>
      </c>
      <c r="BM397" s="21" t="s">
        <v>3790</v>
      </c>
    </row>
    <row r="398" spans="1:65" ht="15">
      <c r="A398" s="25" t="str">
        <f>IFERROR(INDEX('Hun Demand'!W:W,MATCH(O398,'Hun Demand'!A:A,0)),"")</f>
        <v/>
      </c>
      <c r="B398" s="25" t="str">
        <f>IFERROR(INDEX('Hun Demand'!V:V,MATCH(O398,'Hun Demand'!A:A,0)),"")</f>
        <v/>
      </c>
      <c r="C398" s="25" t="str">
        <f>IFERROR(INDEX('Hun Demand'!U:U,MATCH(O398,'Hun Demand'!A:A,0)),"")</f>
        <v/>
      </c>
      <c r="D398" s="25" t="str">
        <f>IFERROR(INDEX('Hun Demand'!T:T,MATCH(O398,'Hun Demand'!A:A,0)),"")</f>
        <v/>
      </c>
      <c r="E398" s="25" t="str">
        <f>IFERROR(INDEX('Hun Demand'!S:S,MATCH(O398,'Hun Demand'!A:A,0)),"")</f>
        <v/>
      </c>
      <c r="F398" s="25" t="str">
        <f>IFERROR(INDEX('Hun Demand'!R:R,MATCH(O398,'Hun Demand'!A:A,0)),"")</f>
        <v/>
      </c>
      <c r="G398" s="25">
        <f>IFERROR(INDEX('Aub Demand'!W:W,MATCH(O398,'Aub Demand'!A:A,0)),"")</f>
        <v>0</v>
      </c>
      <c r="H398" s="25">
        <f>IFERROR(INDEX('Aub Demand'!V:V,MATCH(O398,'Aub Demand'!A:A,0)),"")</f>
        <v>0</v>
      </c>
      <c r="I398" s="25">
        <f>IFERROR(INDEX('Aub Demand'!U:U,MATCH(O398,'Aub Demand'!A:A,0)),"")</f>
        <v>0</v>
      </c>
      <c r="J398" s="25">
        <f>IFERROR(INDEX('Aub Demand'!T:T,MATCH(O398,'Aub Demand'!A:A,0)),"")</f>
        <v>0</v>
      </c>
      <c r="K398" s="25">
        <f>IFERROR(INDEX('Aub Demand'!S:S,MATCH(O398,'Aub Demand'!A:A,0)),"")</f>
        <v>0</v>
      </c>
      <c r="L398" s="25">
        <f>IFERROR(INDEX('Aub Demand'!R:R,MATCH(O398,'Aub Demand'!A:A,0)),"")</f>
        <v>0</v>
      </c>
      <c r="O398" s="27" t="s">
        <v>673</v>
      </c>
      <c r="P398" s="27" t="str">
        <f>IFERROR(INDEX('Aub Demand'!B:B,MATCH($O398,'Aub Demand'!$A:$A,0)),"")</f>
        <v>BLACK ICE</v>
      </c>
      <c r="Q398" s="27" t="str">
        <f>IFERROR(INDEX('Aub Demand'!C:C,MATCH($O398,'Aub Demand'!$A:$A,0)),"")</f>
        <v>ARAUC</v>
      </c>
      <c r="R398" s="52">
        <f>IFERROR(IF(AR399=AR398,INDEX('Aub Demand'!K:K,MATCH($O398,'Aub Demand'!$A:$A,0))-IF(AN398="",0,AN398)+AP399,INDEX('Aub Demand'!K:K,MATCH($O398,'Aub Demand'!$A:$A,0))-IF(AN398="",0,AN398)),"")</f>
        <v>0</v>
      </c>
      <c r="S398" s="53" t="str">
        <f t="shared" si="168"/>
        <v>n/a</v>
      </c>
      <c r="T398" s="52" t="str">
        <f t="shared" si="169"/>
        <v/>
      </c>
      <c r="U398" s="52">
        <f>IFERROR(IF(AR399=AR398,INDEX('Aub Demand'!Q:Q,MATCH($O398,'Aub Demand'!$A:$A,0))-IF(AN398="",0,AN398)+AP399,INDEX('Aub Demand'!Q:Q,MATCH($O398,'Aub Demand'!$A:$A,0))-IF(AN398="",0,AN398)),"")</f>
        <v>0</v>
      </c>
      <c r="V398" s="53" t="str">
        <f t="shared" si="170"/>
        <v>n/a</v>
      </c>
      <c r="W398" s="52" t="str">
        <f t="shared" si="171"/>
        <v/>
      </c>
      <c r="X398" s="52">
        <f>IFERROR(IF(AND(AR399=AR398,AM398&lt;&gt;""),INDEX('Aub Demand'!Q:Q,MATCH($O398,'Aub Demand'!$A:$A,0))-IF(AN398="",0,AN398)+AP399+AD398+AL398,IF(AR399=AR398,INDEX('Aub Demand'!Q:Q,MATCH($O398,'Aub Demand'!$A:$A,0))-IF(AN398="",0,AN398)+AP399+AD398,IF(AM398&lt;&gt;"",INDEX('Aub Demand'!Q:Q,MATCH($O398,'Aub Demand'!$A:$A,0))-IF(AN398="",0,AN398)+AD398+AL398,INDEX('Aub Demand'!Q:Q,MATCH($O398,'Aub Demand'!$A:$A,0))-IF(AN398="",0,AN398)+AD398))),"")</f>
        <v>0</v>
      </c>
      <c r="Y398" s="53" t="str">
        <f t="shared" si="172"/>
        <v>n/a</v>
      </c>
      <c r="Z398" s="52">
        <f>IF(L398="","",INDEX('Aub Demand'!H:H,MATCH($O398,'Aub Demand'!$A:$A,0)))</f>
        <v>0</v>
      </c>
      <c r="AA398" s="52" t="str">
        <f t="shared" si="173"/>
        <v>-spike-</v>
      </c>
      <c r="AB398" s="52">
        <f>IFERROR(INDEX('Aub Demand'!L:L,MATCH($O398,'Aub Demand'!$A:$A,0)),"")</f>
        <v>0</v>
      </c>
      <c r="AC398" s="52">
        <f>IFERROR(IF(O398="","",SUMIFS('CPL Mats'!F:F,'CPL Mats'!Q:Q,AR398,'CPL Mats'!S:S,AS398)),"")</f>
        <v>0</v>
      </c>
      <c r="AF398" s="25" t="str">
        <f>IF(SUMIFS('Supp Consol'!S:S,'Supp Consol'!Y:Y,"Releasable",'Supp Consol'!A:A,O398)=0,"",SUMIFS('Supp Consol'!S:S,'Supp Consol'!Y:Y,"Releasable",'Supp Consol'!A:A,O398))</f>
        <v/>
      </c>
      <c r="AG398" s="25" t="str">
        <f>IFERROR(INDEX('Hun Demand'!Q:Q,MATCH(O398,'Hun Demand'!A:A,0)),"")</f>
        <v/>
      </c>
      <c r="AH398" s="25" t="str">
        <f>IFERROR(INDEX('Hun Demand'!H:H,MATCH($O398,'Hun Demand'!$A:$A,0)),"")</f>
        <v/>
      </c>
      <c r="AI398" s="25" t="str">
        <f>IF(SUMIFS('Supp Consol'!AA:AA,'Supp Consol'!Z:Z,"Expires this month",'Supp Consol'!A:A,O398)=0,"",SUMIFS('Supp Consol'!AA:AA,'Supp Consol'!Z:Z,"Expires this month",'Supp Consol'!A:A,O398))</f>
        <v/>
      </c>
      <c r="AJ398" s="25" t="str">
        <f>IF(SUMIFS('Supp Consol'!AA:AA,'Supp Consol'!Z:Z,"Expired Previous Months",'Supp Consol'!A:A,O398)=0,"",SUMIFS('Supp Consol'!AA:AA,'Supp Consol'!Z:Z,"Expired Previous Months",'Supp Consol'!A:A,O398))</f>
        <v/>
      </c>
      <c r="AK398" s="25" t="str">
        <f>IFERROR(INDEX('Hun Release Current'!B:B,MATCH(O398,'Hun Release Current'!A:A,0)),"")</f>
        <v/>
      </c>
      <c r="AL398" s="25" t="str">
        <f>IF(SUMIF('Prev Aub'!A:A,O398,'Prev Aub'!B:B)=0,"",SUMIF('Prev Aub'!A:A,O398,'Prev Aub'!B:B))</f>
        <v/>
      </c>
      <c r="AN398" s="25" t="s">
        <v>3790</v>
      </c>
      <c r="AO398" s="25" t="s">
        <v>3790</v>
      </c>
      <c r="AP398" s="25">
        <f t="shared" si="174"/>
        <v>0</v>
      </c>
      <c r="AQ398" s="151" t="str">
        <f>IF(SUMIFS('Supp Consol'!S:S,'Supp Consol'!A:A,O398,'Supp Consol'!I:I,"PENDING")=0,"",SUMIFS('Supp Consol'!S:S,'Supp Consol'!A:A,O398,'Supp Consol'!I:I,"PENDING"))</f>
        <v/>
      </c>
      <c r="AR398" s="27" t="str">
        <f t="shared" si="175"/>
        <v>FB225</v>
      </c>
      <c r="AS398" s="27" t="str">
        <f t="shared" si="176"/>
        <v>50</v>
      </c>
      <c r="AT398" s="27" t="str">
        <f t="shared" si="177"/>
        <v/>
      </c>
      <c r="AU398" s="27" t="str">
        <f t="shared" si="178"/>
        <v/>
      </c>
      <c r="AV398" s="27" t="str">
        <f t="shared" si="179"/>
        <v/>
      </c>
      <c r="AW398" s="27" t="str">
        <f t="shared" si="180"/>
        <v/>
      </c>
      <c r="AX398" s="27" t="str">
        <f t="shared" si="181"/>
        <v/>
      </c>
      <c r="AY398" s="27" t="str">
        <f t="shared" si="182"/>
        <v/>
      </c>
      <c r="AZ398" s="27" t="str">
        <f t="shared" si="183"/>
        <v/>
      </c>
      <c r="BA398" s="27" t="str">
        <f t="shared" si="184"/>
        <v/>
      </c>
      <c r="BB398" s="27" t="str">
        <f t="shared" si="185"/>
        <v/>
      </c>
      <c r="BC398" s="27" t="str">
        <f t="shared" si="186"/>
        <v/>
      </c>
      <c r="BD398" s="27" t="str">
        <f t="shared" si="187"/>
        <v/>
      </c>
      <c r="BE398" s="27" t="str">
        <f t="shared" si="188"/>
        <v/>
      </c>
      <c r="BF398" s="27" t="str">
        <f t="shared" si="189"/>
        <v/>
      </c>
      <c r="BG398" s="27" t="str">
        <f t="shared" si="190"/>
        <v/>
      </c>
      <c r="BH398" s="27" t="str">
        <f t="shared" si="191"/>
        <v/>
      </c>
      <c r="BI398" s="27" t="str">
        <f t="shared" si="192"/>
        <v/>
      </c>
      <c r="BJ398" s="27" t="str">
        <f t="shared" si="193"/>
        <v/>
      </c>
      <c r="BK398" s="27" t="str">
        <f t="shared" si="194"/>
        <v/>
      </c>
      <c r="BL398" s="27" t="str">
        <f t="shared" si="195"/>
        <v/>
      </c>
      <c r="BM398" s="21" t="s">
        <v>3790</v>
      </c>
    </row>
    <row r="399" spans="1:65" ht="15">
      <c r="A399" s="25" t="str">
        <f>IFERROR(INDEX('Hun Demand'!W:W,MATCH(O399,'Hun Demand'!A:A,0)),"")</f>
        <v/>
      </c>
      <c r="B399" s="25" t="str">
        <f>IFERROR(INDEX('Hun Demand'!V:V,MATCH(O399,'Hun Demand'!A:A,0)),"")</f>
        <v/>
      </c>
      <c r="C399" s="25" t="str">
        <f>IFERROR(INDEX('Hun Demand'!U:U,MATCH(O399,'Hun Demand'!A:A,0)),"")</f>
        <v/>
      </c>
      <c r="D399" s="25" t="str">
        <f>IFERROR(INDEX('Hun Demand'!T:T,MATCH(O399,'Hun Demand'!A:A,0)),"")</f>
        <v/>
      </c>
      <c r="E399" s="25" t="str">
        <f>IFERROR(INDEX('Hun Demand'!S:S,MATCH(O399,'Hun Demand'!A:A,0)),"")</f>
        <v/>
      </c>
      <c r="F399" s="25" t="str">
        <f>IFERROR(INDEX('Hun Demand'!R:R,MATCH(O399,'Hun Demand'!A:A,0)),"")</f>
        <v/>
      </c>
      <c r="G399" s="25">
        <f>IFERROR(INDEX('Aub Demand'!W:W,MATCH(O399,'Aub Demand'!A:A,0)),"")</f>
        <v>0</v>
      </c>
      <c r="H399" s="25">
        <f>IFERROR(INDEX('Aub Demand'!V:V,MATCH(O399,'Aub Demand'!A:A,0)),"")</f>
        <v>0</v>
      </c>
      <c r="I399" s="25">
        <f>IFERROR(INDEX('Aub Demand'!U:U,MATCH(O399,'Aub Demand'!A:A,0)),"")</f>
        <v>0</v>
      </c>
      <c r="J399" s="25">
        <f>IFERROR(INDEX('Aub Demand'!T:T,MATCH(O399,'Aub Demand'!A:A,0)),"")</f>
        <v>0</v>
      </c>
      <c r="K399" s="25">
        <f>IFERROR(INDEX('Aub Demand'!S:S,MATCH(O399,'Aub Demand'!A:A,0)),"")</f>
        <v>0</v>
      </c>
      <c r="L399" s="25">
        <f>IFERROR(INDEX('Aub Demand'!R:R,MATCH(O399,'Aub Demand'!A:A,0)),"")</f>
        <v>0</v>
      </c>
      <c r="O399" s="27" t="s">
        <v>675</v>
      </c>
      <c r="P399" s="27" t="str">
        <f>IFERROR(INDEX('Aub Demand'!B:B,MATCH($O399,'Aub Demand'!$A:$A,0)),"")</f>
        <v>MERIT MAPLE</v>
      </c>
      <c r="Q399" s="27" t="str">
        <f>IFERROR(INDEX('Aub Demand'!C:C,MATCH($O399,'Aub Demand'!$A:$A,0)),"")</f>
        <v>ARAUC</v>
      </c>
      <c r="R399" s="52">
        <f>IFERROR(IF(AR400=AR399,INDEX('Aub Demand'!K:K,MATCH($O399,'Aub Demand'!$A:$A,0))-IF(AN399="",0,AN399)+AP400,INDEX('Aub Demand'!K:K,MATCH($O399,'Aub Demand'!$A:$A,0))-IF(AN399="",0,AN399)),"")</f>
        <v>164</v>
      </c>
      <c r="S399" s="53" t="str">
        <f t="shared" si="168"/>
        <v>n/a</v>
      </c>
      <c r="T399" s="52" t="str">
        <f t="shared" si="169"/>
        <v/>
      </c>
      <c r="U399" s="52">
        <f>IFERROR(IF(AR400=AR399,INDEX('Aub Demand'!Q:Q,MATCH($O399,'Aub Demand'!$A:$A,0))-IF(AN399="",0,AN399)+AP400,INDEX('Aub Demand'!Q:Q,MATCH($O399,'Aub Demand'!$A:$A,0))-IF(AN399="",0,AN399)),"")</f>
        <v>164</v>
      </c>
      <c r="V399" s="53" t="str">
        <f t="shared" si="170"/>
        <v>n/a</v>
      </c>
      <c r="W399" s="52" t="str">
        <f t="shared" si="171"/>
        <v/>
      </c>
      <c r="X399" s="52">
        <f>IFERROR(IF(AND(AR400=AR399,AM399&lt;&gt;""),INDEX('Aub Demand'!Q:Q,MATCH($O399,'Aub Demand'!$A:$A,0))-IF(AN399="",0,AN399)+AP400+AD399+AL399,IF(AR400=AR399,INDEX('Aub Demand'!Q:Q,MATCH($O399,'Aub Demand'!$A:$A,0))-IF(AN399="",0,AN399)+AP400+AD399,IF(AM399&lt;&gt;"",INDEX('Aub Demand'!Q:Q,MATCH($O399,'Aub Demand'!$A:$A,0))-IF(AN399="",0,AN399)+AD399+AL399,INDEX('Aub Demand'!Q:Q,MATCH($O399,'Aub Demand'!$A:$A,0))-IF(AN399="",0,AN399)+AD399))),"")</f>
        <v>164</v>
      </c>
      <c r="Y399" s="53" t="str">
        <f t="shared" si="172"/>
        <v>n/a</v>
      </c>
      <c r="Z399" s="52">
        <f>IF(L399="","",INDEX('Aub Demand'!H:H,MATCH($O399,'Aub Demand'!$A:$A,0)))</f>
        <v>0</v>
      </c>
      <c r="AA399" s="52" t="str">
        <f t="shared" si="173"/>
        <v>-spike-</v>
      </c>
      <c r="AB399" s="52">
        <f>IFERROR(INDEX('Aub Demand'!L:L,MATCH($O399,'Aub Demand'!$A:$A,0)),"")</f>
        <v>0</v>
      </c>
      <c r="AC399" s="52">
        <f>IFERROR(IF(O399="","",SUMIFS('CPL Mats'!F:F,'CPL Mats'!Q:Q,AR399,'CPL Mats'!S:S,AS399)),"")</f>
        <v>0</v>
      </c>
      <c r="AF399" s="25" t="str">
        <f>IF(SUMIFS('Supp Consol'!S:S,'Supp Consol'!Y:Y,"Releasable",'Supp Consol'!A:A,O399)=0,"",SUMIFS('Supp Consol'!S:S,'Supp Consol'!Y:Y,"Releasable",'Supp Consol'!A:A,O399))</f>
        <v/>
      </c>
      <c r="AG399" s="25" t="str">
        <f>IFERROR(INDEX('Hun Demand'!Q:Q,MATCH(O399,'Hun Demand'!A:A,0)),"")</f>
        <v/>
      </c>
      <c r="AH399" s="25" t="str">
        <f>IFERROR(INDEX('Hun Demand'!H:H,MATCH($O399,'Hun Demand'!$A:$A,0)),"")</f>
        <v/>
      </c>
      <c r="AI399" s="25" t="str">
        <f>IF(SUMIFS('Supp Consol'!AA:AA,'Supp Consol'!Z:Z,"Expires this month",'Supp Consol'!A:A,O399)=0,"",SUMIFS('Supp Consol'!AA:AA,'Supp Consol'!Z:Z,"Expires this month",'Supp Consol'!A:A,O399))</f>
        <v/>
      </c>
      <c r="AJ399" s="25" t="str">
        <f>IF(SUMIFS('Supp Consol'!AA:AA,'Supp Consol'!Z:Z,"Expired Previous Months",'Supp Consol'!A:A,O399)=0,"",SUMIFS('Supp Consol'!AA:AA,'Supp Consol'!Z:Z,"Expired Previous Months",'Supp Consol'!A:A,O399))</f>
        <v/>
      </c>
      <c r="AK399" s="25" t="str">
        <f>IFERROR(INDEX('Hun Release Current'!B:B,MATCH(O399,'Hun Release Current'!A:A,0)),"")</f>
        <v/>
      </c>
      <c r="AL399" s="25" t="str">
        <f>IF(SUMIF('Prev Aub'!A:A,O399,'Prev Aub'!B:B)=0,"",SUMIF('Prev Aub'!A:A,O399,'Prev Aub'!B:B))</f>
        <v/>
      </c>
      <c r="AN399" s="25" t="s">
        <v>3790</v>
      </c>
      <c r="AO399" s="25" t="s">
        <v>3790</v>
      </c>
      <c r="AP399" s="25">
        <f t="shared" si="174"/>
        <v>0</v>
      </c>
      <c r="AQ399" s="151" t="str">
        <f>IF(SUMIFS('Supp Consol'!S:S,'Supp Consol'!A:A,O399,'Supp Consol'!I:I,"PENDING")=0,"",SUMIFS('Supp Consol'!S:S,'Supp Consol'!A:A,O399,'Supp Consol'!I:I,"PENDING"))</f>
        <v/>
      </c>
      <c r="AR399" s="27" t="str">
        <f t="shared" si="175"/>
        <v>FB229</v>
      </c>
      <c r="AS399" s="27" t="str">
        <f t="shared" si="176"/>
        <v>62</v>
      </c>
      <c r="AT399" s="27" t="str">
        <f t="shared" si="177"/>
        <v/>
      </c>
      <c r="AU399" s="27" t="str">
        <f t="shared" si="178"/>
        <v/>
      </c>
      <c r="AV399" s="27" t="str">
        <f t="shared" si="179"/>
        <v/>
      </c>
      <c r="AW399" s="27" t="str">
        <f t="shared" si="180"/>
        <v/>
      </c>
      <c r="AX399" s="27" t="str">
        <f t="shared" si="181"/>
        <v/>
      </c>
      <c r="AY399" s="27" t="str">
        <f t="shared" si="182"/>
        <v/>
      </c>
      <c r="AZ399" s="27" t="str">
        <f t="shared" si="183"/>
        <v/>
      </c>
      <c r="BA399" s="27" t="str">
        <f t="shared" si="184"/>
        <v/>
      </c>
      <c r="BB399" s="27" t="str">
        <f t="shared" si="185"/>
        <v/>
      </c>
      <c r="BC399" s="27" t="str">
        <f t="shared" si="186"/>
        <v/>
      </c>
      <c r="BD399" s="27" t="str">
        <f t="shared" si="187"/>
        <v/>
      </c>
      <c r="BE399" s="27" t="str">
        <f t="shared" si="188"/>
        <v/>
      </c>
      <c r="BF399" s="27" t="str">
        <f t="shared" si="189"/>
        <v/>
      </c>
      <c r="BG399" s="27" t="str">
        <f t="shared" si="190"/>
        <v/>
      </c>
      <c r="BH399" s="27" t="str">
        <f t="shared" si="191"/>
        <v/>
      </c>
      <c r="BI399" s="27" t="str">
        <f t="shared" si="192"/>
        <v/>
      </c>
      <c r="BJ399" s="27" t="str">
        <f t="shared" si="193"/>
        <v/>
      </c>
      <c r="BK399" s="27" t="str">
        <f t="shared" si="194"/>
        <v/>
      </c>
      <c r="BL399" s="27" t="str">
        <f t="shared" si="195"/>
        <v/>
      </c>
      <c r="BM399" s="21" t="s">
        <v>3790</v>
      </c>
    </row>
    <row r="400" spans="1:65" ht="15">
      <c r="A400" s="25" t="str">
        <f>IFERROR(INDEX('Hun Demand'!W:W,MATCH(O400,'Hun Demand'!A:A,0)),"")</f>
        <v/>
      </c>
      <c r="B400" s="25" t="str">
        <f>IFERROR(INDEX('Hun Demand'!V:V,MATCH(O400,'Hun Demand'!A:A,0)),"")</f>
        <v/>
      </c>
      <c r="C400" s="25" t="str">
        <f>IFERROR(INDEX('Hun Demand'!U:U,MATCH(O400,'Hun Demand'!A:A,0)),"")</f>
        <v/>
      </c>
      <c r="D400" s="25" t="str">
        <f>IFERROR(INDEX('Hun Demand'!T:T,MATCH(O400,'Hun Demand'!A:A,0)),"")</f>
        <v/>
      </c>
      <c r="E400" s="25" t="str">
        <f>IFERROR(INDEX('Hun Demand'!S:S,MATCH(O400,'Hun Demand'!A:A,0)),"")</f>
        <v/>
      </c>
      <c r="F400" s="25" t="str">
        <f>IFERROR(INDEX('Hun Demand'!R:R,MATCH(O400,'Hun Demand'!A:A,0)),"")</f>
        <v/>
      </c>
      <c r="G400" s="25">
        <f>IFERROR(INDEX('Aub Demand'!W:W,MATCH(O400,'Aub Demand'!A:A,0)),"")</f>
        <v>0</v>
      </c>
      <c r="H400" s="25">
        <f>IFERROR(INDEX('Aub Demand'!V:V,MATCH(O400,'Aub Demand'!A:A,0)),"")</f>
        <v>0</v>
      </c>
      <c r="I400" s="25">
        <f>IFERROR(INDEX('Aub Demand'!U:U,MATCH(O400,'Aub Demand'!A:A,0)),"")</f>
        <v>0</v>
      </c>
      <c r="J400" s="25">
        <f>IFERROR(INDEX('Aub Demand'!T:T,MATCH(O400,'Aub Demand'!A:A,0)),"")</f>
        <v>0</v>
      </c>
      <c r="K400" s="25">
        <f>IFERROR(INDEX('Aub Demand'!S:S,MATCH(O400,'Aub Demand'!A:A,0)),"")</f>
        <v>0</v>
      </c>
      <c r="L400" s="25">
        <f>IFERROR(INDEX('Aub Demand'!R:R,MATCH(O400,'Aub Demand'!A:A,0)),"")</f>
        <v>0</v>
      </c>
      <c r="O400" s="27" t="s">
        <v>677</v>
      </c>
      <c r="P400" s="27" t="str">
        <f>IFERROR(INDEX('Aub Demand'!B:B,MATCH($O400,'Aub Demand'!$A:$A,0)),"")</f>
        <v>CHERRY HILL PLANK</v>
      </c>
      <c r="Q400" s="27" t="str">
        <f>IFERROR(INDEX('Aub Demand'!C:C,MATCH($O400,'Aub Demand'!$A:$A,0)),"")</f>
        <v>ARAUC</v>
      </c>
      <c r="R400" s="52">
        <f>IFERROR(IF(AR401=AR400,INDEX('Aub Demand'!K:K,MATCH($O400,'Aub Demand'!$A:$A,0))-IF(AN400="",0,AN400)+AP401,INDEX('Aub Demand'!K:K,MATCH($O400,'Aub Demand'!$A:$A,0))-IF(AN400="",0,AN400)),"")</f>
        <v>247</v>
      </c>
      <c r="S400" s="53" t="str">
        <f t="shared" si="168"/>
        <v>n/a</v>
      </c>
      <c r="T400" s="52" t="str">
        <f t="shared" si="169"/>
        <v/>
      </c>
      <c r="U400" s="52">
        <f>IFERROR(IF(AR401=AR400,INDEX('Aub Demand'!Q:Q,MATCH($O400,'Aub Demand'!$A:$A,0))-IF(AN400="",0,AN400)+AP401,INDEX('Aub Demand'!Q:Q,MATCH($O400,'Aub Demand'!$A:$A,0))-IF(AN400="",0,AN400)),"")</f>
        <v>247</v>
      </c>
      <c r="V400" s="53" t="str">
        <f t="shared" si="170"/>
        <v>n/a</v>
      </c>
      <c r="W400" s="52" t="str">
        <f t="shared" si="171"/>
        <v/>
      </c>
      <c r="X400" s="52">
        <f>IFERROR(IF(AND(AR401=AR400,AM400&lt;&gt;""),INDEX('Aub Demand'!Q:Q,MATCH($O400,'Aub Demand'!$A:$A,0))-IF(AN400="",0,AN400)+AP401+AD400+AL400,IF(AR401=AR400,INDEX('Aub Demand'!Q:Q,MATCH($O400,'Aub Demand'!$A:$A,0))-IF(AN400="",0,AN400)+AP401+AD400,IF(AM400&lt;&gt;"",INDEX('Aub Demand'!Q:Q,MATCH($O400,'Aub Demand'!$A:$A,0))-IF(AN400="",0,AN400)+AD400+AL400,INDEX('Aub Demand'!Q:Q,MATCH($O400,'Aub Demand'!$A:$A,0))-IF(AN400="",0,AN400)+AD400))),"")</f>
        <v>247</v>
      </c>
      <c r="Y400" s="53" t="str">
        <f t="shared" si="172"/>
        <v>n/a</v>
      </c>
      <c r="Z400" s="52">
        <f>IF(L400="","",INDEX('Aub Demand'!H:H,MATCH($O400,'Aub Demand'!$A:$A,0)))</f>
        <v>0</v>
      </c>
      <c r="AA400" s="52" t="str">
        <f t="shared" si="173"/>
        <v>-spike-</v>
      </c>
      <c r="AB400" s="52">
        <f>IFERROR(INDEX('Aub Demand'!L:L,MATCH($O400,'Aub Demand'!$A:$A,0)),"")</f>
        <v>0</v>
      </c>
      <c r="AC400" s="52">
        <f>IFERROR(IF(O400="","",SUMIFS('CPL Mats'!F:F,'CPL Mats'!Q:Q,AR400,'CPL Mats'!S:S,AS400)),"")</f>
        <v>0</v>
      </c>
      <c r="AF400" s="25" t="str">
        <f>IF(SUMIFS('Supp Consol'!S:S,'Supp Consol'!Y:Y,"Releasable",'Supp Consol'!A:A,O400)=0,"",SUMIFS('Supp Consol'!S:S,'Supp Consol'!Y:Y,"Releasable",'Supp Consol'!A:A,O400))</f>
        <v/>
      </c>
      <c r="AG400" s="25" t="str">
        <f>IFERROR(INDEX('Hun Demand'!Q:Q,MATCH(O400,'Hun Demand'!A:A,0)),"")</f>
        <v/>
      </c>
      <c r="AH400" s="25" t="str">
        <f>IFERROR(INDEX('Hun Demand'!H:H,MATCH($O400,'Hun Demand'!$A:$A,0)),"")</f>
        <v/>
      </c>
      <c r="AI400" s="25" t="str">
        <f>IF(SUMIFS('Supp Consol'!AA:AA,'Supp Consol'!Z:Z,"Expires this month",'Supp Consol'!A:A,O400)=0,"",SUMIFS('Supp Consol'!AA:AA,'Supp Consol'!Z:Z,"Expires this month",'Supp Consol'!A:A,O400))</f>
        <v/>
      </c>
      <c r="AJ400" s="25" t="str">
        <f>IF(SUMIFS('Supp Consol'!AA:AA,'Supp Consol'!Z:Z,"Expired Previous Months",'Supp Consol'!A:A,O400)=0,"",SUMIFS('Supp Consol'!AA:AA,'Supp Consol'!Z:Z,"Expired Previous Months",'Supp Consol'!A:A,O400))</f>
        <v/>
      </c>
      <c r="AK400" s="25" t="str">
        <f>IFERROR(INDEX('Hun Release Current'!B:B,MATCH(O400,'Hun Release Current'!A:A,0)),"")</f>
        <v/>
      </c>
      <c r="AL400" s="25" t="str">
        <f>IF(SUMIF('Prev Aub'!A:A,O400,'Prev Aub'!B:B)=0,"",SUMIF('Prev Aub'!A:A,O400,'Prev Aub'!B:B))</f>
        <v/>
      </c>
      <c r="AN400" s="25" t="s">
        <v>3790</v>
      </c>
      <c r="AO400" s="25" t="s">
        <v>3790</v>
      </c>
      <c r="AP400" s="25">
        <f t="shared" si="174"/>
        <v>0</v>
      </c>
      <c r="AQ400" s="151" t="str">
        <f>IF(SUMIFS('Supp Consol'!S:S,'Supp Consol'!A:A,O400,'Supp Consol'!I:I,"PENDING")=0,"",SUMIFS('Supp Consol'!S:S,'Supp Consol'!A:A,O400,'Supp Consol'!I:I,"PENDING"))</f>
        <v/>
      </c>
      <c r="AR400" s="27" t="str">
        <f t="shared" si="175"/>
        <v>FB230</v>
      </c>
      <c r="AS400" s="27" t="str">
        <f t="shared" si="176"/>
        <v>62</v>
      </c>
      <c r="AT400" s="27" t="str">
        <f t="shared" si="177"/>
        <v/>
      </c>
      <c r="AU400" s="27" t="str">
        <f t="shared" si="178"/>
        <v/>
      </c>
      <c r="AV400" s="27" t="str">
        <f t="shared" si="179"/>
        <v/>
      </c>
      <c r="AW400" s="27" t="str">
        <f t="shared" si="180"/>
        <v/>
      </c>
      <c r="AX400" s="27" t="str">
        <f t="shared" si="181"/>
        <v/>
      </c>
      <c r="AY400" s="27" t="str">
        <f t="shared" si="182"/>
        <v/>
      </c>
      <c r="AZ400" s="27" t="str">
        <f t="shared" si="183"/>
        <v/>
      </c>
      <c r="BA400" s="27" t="str">
        <f t="shared" si="184"/>
        <v/>
      </c>
      <c r="BB400" s="27" t="str">
        <f t="shared" si="185"/>
        <v/>
      </c>
      <c r="BC400" s="27" t="str">
        <f t="shared" si="186"/>
        <v/>
      </c>
      <c r="BD400" s="27" t="str">
        <f t="shared" si="187"/>
        <v/>
      </c>
      <c r="BE400" s="27" t="str">
        <f t="shared" si="188"/>
        <v/>
      </c>
      <c r="BF400" s="27" t="str">
        <f t="shared" si="189"/>
        <v/>
      </c>
      <c r="BG400" s="27" t="str">
        <f t="shared" si="190"/>
        <v/>
      </c>
      <c r="BH400" s="27" t="str">
        <f t="shared" si="191"/>
        <v/>
      </c>
      <c r="BI400" s="27" t="str">
        <f t="shared" si="192"/>
        <v/>
      </c>
      <c r="BJ400" s="27" t="str">
        <f t="shared" si="193"/>
        <v/>
      </c>
      <c r="BK400" s="27" t="str">
        <f t="shared" si="194"/>
        <v/>
      </c>
      <c r="BL400" s="27" t="str">
        <f t="shared" si="195"/>
        <v/>
      </c>
      <c r="BM400" s="21" t="s">
        <v>3790</v>
      </c>
    </row>
    <row r="401" spans="1:65" ht="15">
      <c r="A401" s="25" t="str">
        <f>IFERROR(INDEX('Hun Demand'!W:W,MATCH(O401,'Hun Demand'!A:A,0)),"")</f>
        <v/>
      </c>
      <c r="B401" s="25" t="str">
        <f>IFERROR(INDEX('Hun Demand'!V:V,MATCH(O401,'Hun Demand'!A:A,0)),"")</f>
        <v/>
      </c>
      <c r="C401" s="25" t="str">
        <f>IFERROR(INDEX('Hun Demand'!U:U,MATCH(O401,'Hun Demand'!A:A,0)),"")</f>
        <v/>
      </c>
      <c r="D401" s="25" t="str">
        <f>IFERROR(INDEX('Hun Demand'!T:T,MATCH(O401,'Hun Demand'!A:A,0)),"")</f>
        <v/>
      </c>
      <c r="E401" s="25" t="str">
        <f>IFERROR(INDEX('Hun Demand'!S:S,MATCH(O401,'Hun Demand'!A:A,0)),"")</f>
        <v/>
      </c>
      <c r="F401" s="25" t="str">
        <f>IFERROR(INDEX('Hun Demand'!R:R,MATCH(O401,'Hun Demand'!A:A,0)),"")</f>
        <v/>
      </c>
      <c r="G401" s="25">
        <f>IFERROR(INDEX('Aub Demand'!W:W,MATCH(O401,'Aub Demand'!A:A,0)),"")</f>
        <v>0</v>
      </c>
      <c r="H401" s="25">
        <f>IFERROR(INDEX('Aub Demand'!V:V,MATCH(O401,'Aub Demand'!A:A,0)),"")</f>
        <v>0</v>
      </c>
      <c r="I401" s="25">
        <f>IFERROR(INDEX('Aub Demand'!U:U,MATCH(O401,'Aub Demand'!A:A,0)),"")</f>
        <v>0</v>
      </c>
      <c r="J401" s="25">
        <f>IFERROR(INDEX('Aub Demand'!T:T,MATCH(O401,'Aub Demand'!A:A,0)),"")</f>
        <v>0</v>
      </c>
      <c r="K401" s="25">
        <f>IFERROR(INDEX('Aub Demand'!S:S,MATCH(O401,'Aub Demand'!A:A,0)),"")</f>
        <v>0</v>
      </c>
      <c r="L401" s="25">
        <f>IFERROR(INDEX('Aub Demand'!R:R,MATCH(O401,'Aub Demand'!A:A,0)),"")</f>
        <v>0</v>
      </c>
      <c r="O401" s="27" t="s">
        <v>679</v>
      </c>
      <c r="P401" s="27" t="str">
        <f>IFERROR(INDEX('Aub Demand'!B:B,MATCH($O401,'Aub Demand'!$A:$A,0)),"")</f>
        <v>FOSSIL</v>
      </c>
      <c r="Q401" s="27" t="str">
        <f>IFERROR(INDEX('Aub Demand'!C:C,MATCH($O401,'Aub Demand'!$A:$A,0)),"")</f>
        <v>ARAUC</v>
      </c>
      <c r="R401" s="52">
        <f>IFERROR(IF(AR402=AR401,INDEX('Aub Demand'!K:K,MATCH($O401,'Aub Demand'!$A:$A,0))-IF(AN401="",0,AN401)+AP402,INDEX('Aub Demand'!K:K,MATCH($O401,'Aub Demand'!$A:$A,0))-IF(AN401="",0,AN401)),"")</f>
        <v>136</v>
      </c>
      <c r="S401" s="53" t="str">
        <f t="shared" si="168"/>
        <v>n/a</v>
      </c>
      <c r="T401" s="52" t="str">
        <f t="shared" si="169"/>
        <v/>
      </c>
      <c r="U401" s="52">
        <f>IFERROR(IF(AR402=AR401,INDEX('Aub Demand'!Q:Q,MATCH($O401,'Aub Demand'!$A:$A,0))-IF(AN401="",0,AN401)+AP402,INDEX('Aub Demand'!Q:Q,MATCH($O401,'Aub Demand'!$A:$A,0))-IF(AN401="",0,AN401)),"")</f>
        <v>136</v>
      </c>
      <c r="V401" s="53" t="str">
        <f t="shared" si="170"/>
        <v>n/a</v>
      </c>
      <c r="W401" s="52" t="str">
        <f t="shared" si="171"/>
        <v/>
      </c>
      <c r="X401" s="52">
        <f>IFERROR(IF(AND(AR402=AR401,AM401&lt;&gt;""),INDEX('Aub Demand'!Q:Q,MATCH($O401,'Aub Demand'!$A:$A,0))-IF(AN401="",0,AN401)+AP402+AD401+AL401,IF(AR402=AR401,INDEX('Aub Demand'!Q:Q,MATCH($O401,'Aub Demand'!$A:$A,0))-IF(AN401="",0,AN401)+AP402+AD401,IF(AM401&lt;&gt;"",INDEX('Aub Demand'!Q:Q,MATCH($O401,'Aub Demand'!$A:$A,0))-IF(AN401="",0,AN401)+AD401+AL401,INDEX('Aub Demand'!Q:Q,MATCH($O401,'Aub Demand'!$A:$A,0))-IF(AN401="",0,AN401)+AD401))),"")</f>
        <v>136</v>
      </c>
      <c r="Y401" s="53" t="str">
        <f t="shared" si="172"/>
        <v>n/a</v>
      </c>
      <c r="Z401" s="52">
        <f>IF(L401="","",INDEX('Aub Demand'!H:H,MATCH($O401,'Aub Demand'!$A:$A,0)))</f>
        <v>0</v>
      </c>
      <c r="AA401" s="52" t="str">
        <f t="shared" si="173"/>
        <v>-spike-</v>
      </c>
      <c r="AB401" s="52">
        <f>IFERROR(INDEX('Aub Demand'!L:L,MATCH($O401,'Aub Demand'!$A:$A,0)),"")</f>
        <v>3</v>
      </c>
      <c r="AC401" s="52">
        <f>IFERROR(IF(O401="","",SUMIFS('CPL Mats'!F:F,'CPL Mats'!Q:Q,AR401,'CPL Mats'!S:S,AS401)),"")</f>
        <v>0</v>
      </c>
      <c r="AF401" s="25" t="str">
        <f>IF(SUMIFS('Supp Consol'!S:S,'Supp Consol'!Y:Y,"Releasable",'Supp Consol'!A:A,O401)=0,"",SUMIFS('Supp Consol'!S:S,'Supp Consol'!Y:Y,"Releasable",'Supp Consol'!A:A,O401))</f>
        <v/>
      </c>
      <c r="AG401" s="25" t="str">
        <f>IFERROR(INDEX('Hun Demand'!Q:Q,MATCH(O401,'Hun Demand'!A:A,0)),"")</f>
        <v/>
      </c>
      <c r="AH401" s="25" t="str">
        <f>IFERROR(INDEX('Hun Demand'!H:H,MATCH($O401,'Hun Demand'!$A:$A,0)),"")</f>
        <v/>
      </c>
      <c r="AI401" s="25" t="str">
        <f>IF(SUMIFS('Supp Consol'!AA:AA,'Supp Consol'!Z:Z,"Expires this month",'Supp Consol'!A:A,O401)=0,"",SUMIFS('Supp Consol'!AA:AA,'Supp Consol'!Z:Z,"Expires this month",'Supp Consol'!A:A,O401))</f>
        <v/>
      </c>
      <c r="AJ401" s="25" t="str">
        <f>IF(SUMIFS('Supp Consol'!AA:AA,'Supp Consol'!Z:Z,"Expired Previous Months",'Supp Consol'!A:A,O401)=0,"",SUMIFS('Supp Consol'!AA:AA,'Supp Consol'!Z:Z,"Expired Previous Months",'Supp Consol'!A:A,O401))</f>
        <v/>
      </c>
      <c r="AK401" s="25" t="str">
        <f>IFERROR(INDEX('Hun Release Current'!B:B,MATCH(O401,'Hun Release Current'!A:A,0)),"")</f>
        <v/>
      </c>
      <c r="AL401" s="25" t="str">
        <f>IF(SUMIF('Prev Aub'!A:A,O401,'Prev Aub'!B:B)=0,"",SUMIF('Prev Aub'!A:A,O401,'Prev Aub'!B:B))</f>
        <v/>
      </c>
      <c r="AN401" s="25" t="s">
        <v>3790</v>
      </c>
      <c r="AO401" s="25" t="s">
        <v>3790</v>
      </c>
      <c r="AP401" s="25">
        <f t="shared" si="174"/>
        <v>0</v>
      </c>
      <c r="AQ401" s="151" t="str">
        <f>IF(SUMIFS('Supp Consol'!S:S,'Supp Consol'!A:A,O401,'Supp Consol'!I:I,"PENDING")=0,"",SUMIFS('Supp Consol'!S:S,'Supp Consol'!A:A,O401,'Supp Consol'!I:I,"PENDING"))</f>
        <v/>
      </c>
      <c r="AR401" s="27" t="str">
        <f t="shared" si="175"/>
        <v>FB233</v>
      </c>
      <c r="AS401" s="27" t="str">
        <f t="shared" si="176"/>
        <v>50</v>
      </c>
      <c r="AT401" s="27" t="str">
        <f t="shared" si="177"/>
        <v/>
      </c>
      <c r="AU401" s="27" t="str">
        <f t="shared" si="178"/>
        <v/>
      </c>
      <c r="AV401" s="27" t="str">
        <f t="shared" si="179"/>
        <v/>
      </c>
      <c r="AW401" s="27" t="str">
        <f t="shared" si="180"/>
        <v/>
      </c>
      <c r="AX401" s="27" t="str">
        <f t="shared" si="181"/>
        <v/>
      </c>
      <c r="AY401" s="27" t="str">
        <f t="shared" si="182"/>
        <v/>
      </c>
      <c r="AZ401" s="27" t="str">
        <f t="shared" si="183"/>
        <v/>
      </c>
      <c r="BA401" s="27" t="str">
        <f t="shared" si="184"/>
        <v/>
      </c>
      <c r="BB401" s="27" t="str">
        <f t="shared" si="185"/>
        <v/>
      </c>
      <c r="BC401" s="27" t="str">
        <f t="shared" si="186"/>
        <v/>
      </c>
      <c r="BD401" s="27" t="str">
        <f t="shared" si="187"/>
        <v/>
      </c>
      <c r="BE401" s="27" t="str">
        <f t="shared" si="188"/>
        <v/>
      </c>
      <c r="BF401" s="27" t="str">
        <f t="shared" si="189"/>
        <v/>
      </c>
      <c r="BG401" s="27" t="str">
        <f t="shared" si="190"/>
        <v/>
      </c>
      <c r="BH401" s="27" t="str">
        <f t="shared" si="191"/>
        <v/>
      </c>
      <c r="BI401" s="27" t="str">
        <f t="shared" si="192"/>
        <v/>
      </c>
      <c r="BJ401" s="27" t="str">
        <f t="shared" si="193"/>
        <v/>
      </c>
      <c r="BK401" s="27" t="str">
        <f t="shared" si="194"/>
        <v/>
      </c>
      <c r="BL401" s="27" t="str">
        <f t="shared" si="195"/>
        <v/>
      </c>
      <c r="BM401" s="21" t="s">
        <v>5581</v>
      </c>
    </row>
    <row r="402" spans="1:65" ht="15">
      <c r="A402" s="25" t="str">
        <f>IFERROR(INDEX('Hun Demand'!W:W,MATCH(O402,'Hun Demand'!A:A,0)),"")</f>
        <v/>
      </c>
      <c r="B402" s="25" t="str">
        <f>IFERROR(INDEX('Hun Demand'!V:V,MATCH(O402,'Hun Demand'!A:A,0)),"")</f>
        <v/>
      </c>
      <c r="C402" s="25" t="str">
        <f>IFERROR(INDEX('Hun Demand'!U:U,MATCH(O402,'Hun Demand'!A:A,0)),"")</f>
        <v/>
      </c>
      <c r="D402" s="25" t="str">
        <f>IFERROR(INDEX('Hun Demand'!T:T,MATCH(O402,'Hun Demand'!A:A,0)),"")</f>
        <v/>
      </c>
      <c r="E402" s="25" t="str">
        <f>IFERROR(INDEX('Hun Demand'!S:S,MATCH(O402,'Hun Demand'!A:A,0)),"")</f>
        <v/>
      </c>
      <c r="F402" s="25" t="str">
        <f>IFERROR(INDEX('Hun Demand'!R:R,MATCH(O402,'Hun Demand'!A:A,0)),"")</f>
        <v/>
      </c>
      <c r="G402" s="25">
        <f>IFERROR(INDEX('Aub Demand'!W:W,MATCH(O402,'Aub Demand'!A:A,0)),"")</f>
        <v>27</v>
      </c>
      <c r="H402" s="25">
        <f>IFERROR(INDEX('Aub Demand'!V:V,MATCH(O402,'Aub Demand'!A:A,0)),"")</f>
        <v>8</v>
      </c>
      <c r="I402" s="25">
        <f>IFERROR(INDEX('Aub Demand'!U:U,MATCH(O402,'Aub Demand'!A:A,0)),"")</f>
        <v>0</v>
      </c>
      <c r="J402" s="25">
        <f>IFERROR(INDEX('Aub Demand'!T:T,MATCH(O402,'Aub Demand'!A:A,0)),"")</f>
        <v>13</v>
      </c>
      <c r="K402" s="25">
        <f>IFERROR(INDEX('Aub Demand'!S:S,MATCH(O402,'Aub Demand'!A:A,0)),"")</f>
        <v>8</v>
      </c>
      <c r="L402" s="25">
        <f>IFERROR(INDEX('Aub Demand'!R:R,MATCH(O402,'Aub Demand'!A:A,0)),"")</f>
        <v>0</v>
      </c>
      <c r="O402" s="27" t="s">
        <v>681</v>
      </c>
      <c r="P402" s="27" t="str">
        <f>IFERROR(INDEX('Aub Demand'!B:B,MATCH($O402,'Aub Demand'!$A:$A,0)),"")</f>
        <v>FOSSIL</v>
      </c>
      <c r="Q402" s="27" t="str">
        <f>IFERROR(INDEX('Aub Demand'!C:C,MATCH($O402,'Aub Demand'!$A:$A,0)),"")</f>
        <v>ARAUC</v>
      </c>
      <c r="R402" s="52">
        <f>IFERROR(IF(AR403=AR402,INDEX('Aub Demand'!K:K,MATCH($O402,'Aub Demand'!$A:$A,0))-IF(AN402="",0,AN402)+AP403,INDEX('Aub Demand'!K:K,MATCH($O402,'Aub Demand'!$A:$A,0))-IF(AN402="",0,AN402)),"")</f>
        <v>111</v>
      </c>
      <c r="S402" s="53">
        <f t="shared" si="168"/>
        <v>68</v>
      </c>
      <c r="T402" s="52" t="str">
        <f t="shared" si="169"/>
        <v/>
      </c>
      <c r="U402" s="52">
        <f>IFERROR(IF(AR403=AR402,INDEX('Aub Demand'!Q:Q,MATCH($O402,'Aub Demand'!$A:$A,0))-IF(AN402="",0,AN402)+AP403,INDEX('Aub Demand'!Q:Q,MATCH($O402,'Aub Demand'!$A:$A,0))-IF(AN402="",0,AN402)),"")</f>
        <v>107</v>
      </c>
      <c r="V402" s="53">
        <f t="shared" si="170"/>
        <v>65.5</v>
      </c>
      <c r="W402" s="52" t="str">
        <f t="shared" si="171"/>
        <v/>
      </c>
      <c r="X402" s="52">
        <f>IFERROR(IF(AND(AR403=AR402,AM402&lt;&gt;""),INDEX('Aub Demand'!Q:Q,MATCH($O402,'Aub Demand'!$A:$A,0))-IF(AN402="",0,AN402)+AP403+AD402+AL402,IF(AR403=AR402,INDEX('Aub Demand'!Q:Q,MATCH($O402,'Aub Demand'!$A:$A,0))-IF(AN402="",0,AN402)+AP403+AD402,IF(AM402&lt;&gt;"",INDEX('Aub Demand'!Q:Q,MATCH($O402,'Aub Demand'!$A:$A,0))-IF(AN402="",0,AN402)+AD402+AL402,INDEX('Aub Demand'!Q:Q,MATCH($O402,'Aub Demand'!$A:$A,0))-IF(AN402="",0,AN402)+AD402))),"")</f>
        <v>107</v>
      </c>
      <c r="Y402" s="53">
        <f t="shared" si="172"/>
        <v>65.5</v>
      </c>
      <c r="Z402" s="52">
        <f>IF(L402="","",INDEX('Aub Demand'!H:H,MATCH($O402,'Aub Demand'!$A:$A,0)))</f>
        <v>7</v>
      </c>
      <c r="AA402" s="52">
        <f t="shared" si="173"/>
        <v>10.5</v>
      </c>
      <c r="AB402" s="52">
        <f>IFERROR(INDEX('Aub Demand'!L:L,MATCH($O402,'Aub Demand'!$A:$A,0)),"")</f>
        <v>0</v>
      </c>
      <c r="AC402" s="52">
        <f>IFERROR(IF(O402="","",SUMIFS('CPL Mats'!F:F,'CPL Mats'!Q:Q,AR402,'CPL Mats'!S:S,AS402)),"")</f>
        <v>0</v>
      </c>
      <c r="AF402" s="25" t="str">
        <f>IF(SUMIFS('Supp Consol'!S:S,'Supp Consol'!Y:Y,"Releasable",'Supp Consol'!A:A,O402)=0,"",SUMIFS('Supp Consol'!S:S,'Supp Consol'!Y:Y,"Releasable",'Supp Consol'!A:A,O402))</f>
        <v/>
      </c>
      <c r="AG402" s="25" t="str">
        <f>IFERROR(INDEX('Hun Demand'!Q:Q,MATCH(O402,'Hun Demand'!A:A,0)),"")</f>
        <v/>
      </c>
      <c r="AH402" s="25" t="str">
        <f>IFERROR(INDEX('Hun Demand'!H:H,MATCH($O402,'Hun Demand'!$A:$A,0)),"")</f>
        <v/>
      </c>
      <c r="AI402" s="25" t="str">
        <f>IF(SUMIFS('Supp Consol'!AA:AA,'Supp Consol'!Z:Z,"Expires this month",'Supp Consol'!A:A,O402)=0,"",SUMIFS('Supp Consol'!AA:AA,'Supp Consol'!Z:Z,"Expires this month",'Supp Consol'!A:A,O402))</f>
        <v/>
      </c>
      <c r="AJ402" s="25" t="str">
        <f>IF(SUMIFS('Supp Consol'!AA:AA,'Supp Consol'!Z:Z,"Expired Previous Months",'Supp Consol'!A:A,O402)=0,"",SUMIFS('Supp Consol'!AA:AA,'Supp Consol'!Z:Z,"Expired Previous Months",'Supp Consol'!A:A,O402))</f>
        <v/>
      </c>
      <c r="AK402" s="25" t="str">
        <f>IFERROR(INDEX('Hun Release Current'!B:B,MATCH(O402,'Hun Release Current'!A:A,0)),"")</f>
        <v/>
      </c>
      <c r="AL402" s="25" t="str">
        <f>IF(SUMIF('Prev Aub'!A:A,O402,'Prev Aub'!B:B)=0,"",SUMIF('Prev Aub'!A:A,O402,'Prev Aub'!B:B))</f>
        <v/>
      </c>
      <c r="AN402" s="25" t="s">
        <v>3790</v>
      </c>
      <c r="AO402" s="25" t="s">
        <v>3790</v>
      </c>
      <c r="AP402" s="25">
        <f t="shared" si="174"/>
        <v>0</v>
      </c>
      <c r="AQ402" s="151" t="str">
        <f>IF(SUMIFS('Supp Consol'!S:S,'Supp Consol'!A:A,O402,'Supp Consol'!I:I,"PENDING")=0,"",SUMIFS('Supp Consol'!S:S,'Supp Consol'!A:A,O402,'Supp Consol'!I:I,"PENDING"))</f>
        <v/>
      </c>
      <c r="AR402" s="27" t="str">
        <f t="shared" si="175"/>
        <v>FB233</v>
      </c>
      <c r="AS402" s="27" t="str">
        <f t="shared" si="176"/>
        <v>62</v>
      </c>
      <c r="AT402" s="27" t="str">
        <f t="shared" si="177"/>
        <v/>
      </c>
      <c r="AU402" s="27" t="str">
        <f t="shared" si="178"/>
        <v/>
      </c>
      <c r="AV402" s="27" t="str">
        <f t="shared" si="179"/>
        <v/>
      </c>
      <c r="AW402" s="27" t="str">
        <f t="shared" si="180"/>
        <v/>
      </c>
      <c r="AX402" s="27" t="str">
        <f t="shared" si="181"/>
        <v/>
      </c>
      <c r="AY402" s="27" t="str">
        <f t="shared" si="182"/>
        <v/>
      </c>
      <c r="AZ402" s="27" t="str">
        <f t="shared" si="183"/>
        <v/>
      </c>
      <c r="BA402" s="27" t="str">
        <f t="shared" si="184"/>
        <v/>
      </c>
      <c r="BB402" s="27" t="str">
        <f t="shared" si="185"/>
        <v/>
      </c>
      <c r="BC402" s="27" t="str">
        <f t="shared" si="186"/>
        <v/>
      </c>
      <c r="BD402" s="27" t="str">
        <f t="shared" si="187"/>
        <v/>
      </c>
      <c r="BE402" s="27" t="str">
        <f t="shared" si="188"/>
        <v/>
      </c>
      <c r="BF402" s="27" t="str">
        <f t="shared" si="189"/>
        <v/>
      </c>
      <c r="BG402" s="27" t="str">
        <f t="shared" si="190"/>
        <v/>
      </c>
      <c r="BH402" s="27" t="str">
        <f t="shared" si="191"/>
        <v/>
      </c>
      <c r="BI402" s="27" t="str">
        <f t="shared" si="192"/>
        <v/>
      </c>
      <c r="BJ402" s="27" t="str">
        <f t="shared" si="193"/>
        <v/>
      </c>
      <c r="BK402" s="27" t="str">
        <f t="shared" si="194"/>
        <v/>
      </c>
      <c r="BL402" s="27" t="str">
        <f t="shared" si="195"/>
        <v/>
      </c>
      <c r="BM402" s="21" t="s">
        <v>5581</v>
      </c>
    </row>
    <row r="403" spans="1:65" ht="15">
      <c r="A403" s="25" t="str">
        <f>IFERROR(INDEX('Hun Demand'!W:W,MATCH(O403,'Hun Demand'!A:A,0)),"")</f>
        <v/>
      </c>
      <c r="B403" s="25" t="str">
        <f>IFERROR(INDEX('Hun Demand'!V:V,MATCH(O403,'Hun Demand'!A:A,0)),"")</f>
        <v/>
      </c>
      <c r="C403" s="25" t="str">
        <f>IFERROR(INDEX('Hun Demand'!U:U,MATCH(O403,'Hun Demand'!A:A,0)),"")</f>
        <v/>
      </c>
      <c r="D403" s="25" t="str">
        <f>IFERROR(INDEX('Hun Demand'!T:T,MATCH(O403,'Hun Demand'!A:A,0)),"")</f>
        <v/>
      </c>
      <c r="E403" s="25" t="str">
        <f>IFERROR(INDEX('Hun Demand'!S:S,MATCH(O403,'Hun Demand'!A:A,0)),"")</f>
        <v/>
      </c>
      <c r="F403" s="25" t="str">
        <f>IFERROR(INDEX('Hun Demand'!R:R,MATCH(O403,'Hun Demand'!A:A,0)),"")</f>
        <v/>
      </c>
      <c r="G403" s="25">
        <f>IFERROR(INDEX('Aub Demand'!W:W,MATCH(O403,'Aub Demand'!A:A,0)),"")</f>
        <v>0</v>
      </c>
      <c r="H403" s="25">
        <f>IFERROR(INDEX('Aub Demand'!V:V,MATCH(O403,'Aub Demand'!A:A,0)),"")</f>
        <v>0</v>
      </c>
      <c r="I403" s="25">
        <f>IFERROR(INDEX('Aub Demand'!U:U,MATCH(O403,'Aub Demand'!A:A,0)),"")</f>
        <v>0</v>
      </c>
      <c r="J403" s="25">
        <f>IFERROR(INDEX('Aub Demand'!T:T,MATCH(O403,'Aub Demand'!A:A,0)),"")</f>
        <v>0</v>
      </c>
      <c r="K403" s="25">
        <f>IFERROR(INDEX('Aub Demand'!S:S,MATCH(O403,'Aub Demand'!A:A,0)),"")</f>
        <v>0</v>
      </c>
      <c r="L403" s="25">
        <f>IFERROR(INDEX('Aub Demand'!R:R,MATCH(O403,'Aub Demand'!A:A,0)),"")</f>
        <v>0</v>
      </c>
      <c r="O403" s="27" t="s">
        <v>682</v>
      </c>
      <c r="P403" s="27" t="str">
        <f>IFERROR(INDEX('Aub Demand'!B:B,MATCH($O403,'Aub Demand'!$A:$A,0)),"")</f>
        <v>LINEN</v>
      </c>
      <c r="Q403" s="27" t="str">
        <f>IFERROR(INDEX('Aub Demand'!C:C,MATCH($O403,'Aub Demand'!$A:$A,0)),"")</f>
        <v>ARAUC</v>
      </c>
      <c r="R403" s="52">
        <f>IFERROR(IF(AR404=AR403,INDEX('Aub Demand'!K:K,MATCH($O403,'Aub Demand'!$A:$A,0))-IF(AN403="",0,AN403)+AP404,INDEX('Aub Demand'!K:K,MATCH($O403,'Aub Demand'!$A:$A,0))-IF(AN403="",0,AN403)),"")</f>
        <v>111</v>
      </c>
      <c r="S403" s="53" t="str">
        <f t="shared" si="168"/>
        <v>n/a</v>
      </c>
      <c r="T403" s="52" t="str">
        <f t="shared" si="169"/>
        <v/>
      </c>
      <c r="U403" s="52">
        <f>IFERROR(IF(AR404=AR403,INDEX('Aub Demand'!Q:Q,MATCH($O403,'Aub Demand'!$A:$A,0))-IF(AN403="",0,AN403)+AP404,INDEX('Aub Demand'!Q:Q,MATCH($O403,'Aub Demand'!$A:$A,0))-IF(AN403="",0,AN403)),"")</f>
        <v>69</v>
      </c>
      <c r="V403" s="53" t="str">
        <f t="shared" si="170"/>
        <v>n/a</v>
      </c>
      <c r="W403" s="52" t="str">
        <f t="shared" si="171"/>
        <v/>
      </c>
      <c r="X403" s="52">
        <f>IFERROR(IF(AND(AR404=AR403,AM403&lt;&gt;""),INDEX('Aub Demand'!Q:Q,MATCH($O403,'Aub Demand'!$A:$A,0))-IF(AN403="",0,AN403)+AP404+AD403+AL403,IF(AR404=AR403,INDEX('Aub Demand'!Q:Q,MATCH($O403,'Aub Demand'!$A:$A,0))-IF(AN403="",0,AN403)+AP404+AD403,IF(AM403&lt;&gt;"",INDEX('Aub Demand'!Q:Q,MATCH($O403,'Aub Demand'!$A:$A,0))-IF(AN403="",0,AN403)+AD403+AL403,INDEX('Aub Demand'!Q:Q,MATCH($O403,'Aub Demand'!$A:$A,0))-IF(AN403="",0,AN403)+AD403))),"")</f>
        <v>69</v>
      </c>
      <c r="Y403" s="53" t="str">
        <f t="shared" si="172"/>
        <v>n/a</v>
      </c>
      <c r="Z403" s="52">
        <f>IF(L403="","",INDEX('Aub Demand'!H:H,MATCH($O403,'Aub Demand'!$A:$A,0)))</f>
        <v>0</v>
      </c>
      <c r="AA403" s="52" t="str">
        <f t="shared" si="173"/>
        <v>-spike-</v>
      </c>
      <c r="AB403" s="52">
        <f>IFERROR(INDEX('Aub Demand'!L:L,MATCH($O403,'Aub Demand'!$A:$A,0)),"")</f>
        <v>0</v>
      </c>
      <c r="AC403" s="52">
        <f>IFERROR(IF(O403="","",SUMIFS('CPL Mats'!F:F,'CPL Mats'!Q:Q,AR403,'CPL Mats'!S:S,AS403)),"")</f>
        <v>0</v>
      </c>
      <c r="AF403" s="25" t="str">
        <f>IF(SUMIFS('Supp Consol'!S:S,'Supp Consol'!Y:Y,"Releasable",'Supp Consol'!A:A,O403)=0,"",SUMIFS('Supp Consol'!S:S,'Supp Consol'!Y:Y,"Releasable",'Supp Consol'!A:A,O403))</f>
        <v/>
      </c>
      <c r="AG403" s="25" t="str">
        <f>IFERROR(INDEX('Hun Demand'!Q:Q,MATCH(O403,'Hun Demand'!A:A,0)),"")</f>
        <v/>
      </c>
      <c r="AH403" s="25" t="str">
        <f>IFERROR(INDEX('Hun Demand'!H:H,MATCH($O403,'Hun Demand'!$A:$A,0)),"")</f>
        <v/>
      </c>
      <c r="AI403" s="25" t="str">
        <f>IF(SUMIFS('Supp Consol'!AA:AA,'Supp Consol'!Z:Z,"Expires this month",'Supp Consol'!A:A,O403)=0,"",SUMIFS('Supp Consol'!AA:AA,'Supp Consol'!Z:Z,"Expires this month",'Supp Consol'!A:A,O403))</f>
        <v/>
      </c>
      <c r="AJ403" s="25" t="str">
        <f>IF(SUMIFS('Supp Consol'!AA:AA,'Supp Consol'!Z:Z,"Expired Previous Months",'Supp Consol'!A:A,O403)=0,"",SUMIFS('Supp Consol'!AA:AA,'Supp Consol'!Z:Z,"Expired Previous Months",'Supp Consol'!A:A,O403))</f>
        <v/>
      </c>
      <c r="AK403" s="25" t="str">
        <f>IFERROR(INDEX('Hun Release Current'!B:B,MATCH(O403,'Hun Release Current'!A:A,0)),"")</f>
        <v/>
      </c>
      <c r="AL403" s="25" t="str">
        <f>IF(SUMIF('Prev Aub'!A:A,O403,'Prev Aub'!B:B)=0,"",SUMIF('Prev Aub'!A:A,O403,'Prev Aub'!B:B))</f>
        <v/>
      </c>
      <c r="AN403" s="25" t="s">
        <v>3790</v>
      </c>
      <c r="AO403" s="25" t="s">
        <v>3790</v>
      </c>
      <c r="AP403" s="25">
        <f t="shared" si="174"/>
        <v>0</v>
      </c>
      <c r="AQ403" s="151" t="str">
        <f>IF(SUMIFS('Supp Consol'!S:S,'Supp Consol'!A:A,O403,'Supp Consol'!I:I,"PENDING")=0,"",SUMIFS('Supp Consol'!S:S,'Supp Consol'!A:A,O403,'Supp Consol'!I:I,"PENDING"))</f>
        <v/>
      </c>
      <c r="AR403" s="27" t="str">
        <f t="shared" si="175"/>
        <v>FB234</v>
      </c>
      <c r="AS403" s="27" t="str">
        <f t="shared" si="176"/>
        <v>62</v>
      </c>
      <c r="AT403" s="27" t="str">
        <f t="shared" si="177"/>
        <v/>
      </c>
      <c r="AU403" s="27" t="str">
        <f t="shared" si="178"/>
        <v/>
      </c>
      <c r="AV403" s="27" t="str">
        <f t="shared" si="179"/>
        <v/>
      </c>
      <c r="AW403" s="27" t="str">
        <f t="shared" si="180"/>
        <v/>
      </c>
      <c r="AX403" s="27" t="str">
        <f t="shared" si="181"/>
        <v/>
      </c>
      <c r="AY403" s="27" t="str">
        <f t="shared" si="182"/>
        <v/>
      </c>
      <c r="AZ403" s="27" t="str">
        <f t="shared" si="183"/>
        <v/>
      </c>
      <c r="BA403" s="27" t="str">
        <f t="shared" si="184"/>
        <v/>
      </c>
      <c r="BB403" s="27" t="str">
        <f t="shared" si="185"/>
        <v/>
      </c>
      <c r="BC403" s="27" t="str">
        <f t="shared" si="186"/>
        <v/>
      </c>
      <c r="BD403" s="27" t="str">
        <f t="shared" si="187"/>
        <v/>
      </c>
      <c r="BE403" s="27" t="str">
        <f t="shared" si="188"/>
        <v/>
      </c>
      <c r="BF403" s="27" t="str">
        <f t="shared" si="189"/>
        <v/>
      </c>
      <c r="BG403" s="27" t="str">
        <f t="shared" si="190"/>
        <v/>
      </c>
      <c r="BH403" s="27" t="str">
        <f t="shared" si="191"/>
        <v/>
      </c>
      <c r="BI403" s="27" t="str">
        <f t="shared" si="192"/>
        <v/>
      </c>
      <c r="BJ403" s="27" t="str">
        <f t="shared" si="193"/>
        <v/>
      </c>
      <c r="BK403" s="27" t="str">
        <f t="shared" si="194"/>
        <v/>
      </c>
      <c r="BL403" s="27" t="str">
        <f t="shared" si="195"/>
        <v/>
      </c>
      <c r="BM403" s="21" t="s">
        <v>3790</v>
      </c>
    </row>
    <row r="404" spans="1:65" ht="15">
      <c r="A404" s="25" t="str">
        <f>IFERROR(INDEX('Hun Demand'!W:W,MATCH(O404,'Hun Demand'!A:A,0)),"")</f>
        <v/>
      </c>
      <c r="B404" s="25" t="str">
        <f>IFERROR(INDEX('Hun Demand'!V:V,MATCH(O404,'Hun Demand'!A:A,0)),"")</f>
        <v/>
      </c>
      <c r="C404" s="25" t="str">
        <f>IFERROR(INDEX('Hun Demand'!U:U,MATCH(O404,'Hun Demand'!A:A,0)),"")</f>
        <v/>
      </c>
      <c r="D404" s="25" t="str">
        <f>IFERROR(INDEX('Hun Demand'!T:T,MATCH(O404,'Hun Demand'!A:A,0)),"")</f>
        <v/>
      </c>
      <c r="E404" s="25" t="str">
        <f>IFERROR(INDEX('Hun Demand'!S:S,MATCH(O404,'Hun Demand'!A:A,0)),"")</f>
        <v/>
      </c>
      <c r="F404" s="25" t="str">
        <f>IFERROR(INDEX('Hun Demand'!R:R,MATCH(O404,'Hun Demand'!A:A,0)),"")</f>
        <v/>
      </c>
      <c r="G404" s="25">
        <f>IFERROR(INDEX('Aub Demand'!W:W,MATCH(O404,'Aub Demand'!A:A,0)),"")</f>
        <v>0</v>
      </c>
      <c r="H404" s="25">
        <f>IFERROR(INDEX('Aub Demand'!V:V,MATCH(O404,'Aub Demand'!A:A,0)),"")</f>
        <v>0</v>
      </c>
      <c r="I404" s="25">
        <f>IFERROR(INDEX('Aub Demand'!U:U,MATCH(O404,'Aub Demand'!A:A,0)),"")</f>
        <v>0</v>
      </c>
      <c r="J404" s="25">
        <f>IFERROR(INDEX('Aub Demand'!T:T,MATCH(O404,'Aub Demand'!A:A,0)),"")</f>
        <v>0</v>
      </c>
      <c r="K404" s="25">
        <f>IFERROR(INDEX('Aub Demand'!S:S,MATCH(O404,'Aub Demand'!A:A,0)),"")</f>
        <v>0</v>
      </c>
      <c r="L404" s="25">
        <f>IFERROR(INDEX('Aub Demand'!R:R,MATCH(O404,'Aub Demand'!A:A,0)),"")</f>
        <v>0</v>
      </c>
      <c r="O404" s="27" t="s">
        <v>684</v>
      </c>
      <c r="P404" s="27" t="str">
        <f>IFERROR(INDEX('Aub Demand'!B:B,MATCH($O404,'Aub Demand'!$A:$A,0)),"")</f>
        <v>CHARCOAL</v>
      </c>
      <c r="Q404" s="27" t="str">
        <f>IFERROR(INDEX('Aub Demand'!C:C,MATCH($O404,'Aub Demand'!$A:$A,0)),"")</f>
        <v>ARAUC</v>
      </c>
      <c r="R404" s="52">
        <f>IFERROR(IF(AR405=AR404,INDEX('Aub Demand'!K:K,MATCH($O404,'Aub Demand'!$A:$A,0))-IF(AN404="",0,AN404)+AP405,INDEX('Aub Demand'!K:K,MATCH($O404,'Aub Demand'!$A:$A,0))-IF(AN404="",0,AN404)),"")</f>
        <v>96</v>
      </c>
      <c r="S404" s="53" t="str">
        <f t="shared" si="168"/>
        <v>n/a</v>
      </c>
      <c r="T404" s="52" t="str">
        <f t="shared" si="169"/>
        <v/>
      </c>
      <c r="U404" s="52">
        <f>IFERROR(IF(AR405=AR404,INDEX('Aub Demand'!Q:Q,MATCH($O404,'Aub Demand'!$A:$A,0))-IF(AN404="",0,AN404)+AP405,INDEX('Aub Demand'!Q:Q,MATCH($O404,'Aub Demand'!$A:$A,0))-IF(AN404="",0,AN404)),"")</f>
        <v>96</v>
      </c>
      <c r="V404" s="53" t="str">
        <f t="shared" si="170"/>
        <v>n/a</v>
      </c>
      <c r="W404" s="52" t="str">
        <f t="shared" si="171"/>
        <v/>
      </c>
      <c r="X404" s="52">
        <f>IFERROR(IF(AND(AR405=AR404,AM404&lt;&gt;""),INDEX('Aub Demand'!Q:Q,MATCH($O404,'Aub Demand'!$A:$A,0))-IF(AN404="",0,AN404)+AP405+AD404+AL404,IF(AR405=AR404,INDEX('Aub Demand'!Q:Q,MATCH($O404,'Aub Demand'!$A:$A,0))-IF(AN404="",0,AN404)+AP405+AD404,IF(AM404&lt;&gt;"",INDEX('Aub Demand'!Q:Q,MATCH($O404,'Aub Demand'!$A:$A,0))-IF(AN404="",0,AN404)+AD404+AL404,INDEX('Aub Demand'!Q:Q,MATCH($O404,'Aub Demand'!$A:$A,0))-IF(AN404="",0,AN404)+AD404))),"")</f>
        <v>96</v>
      </c>
      <c r="Y404" s="53" t="str">
        <f t="shared" si="172"/>
        <v>n/a</v>
      </c>
      <c r="Z404" s="52">
        <f>IF(L404="","",INDEX('Aub Demand'!H:H,MATCH($O404,'Aub Demand'!$A:$A,0)))</f>
        <v>0</v>
      </c>
      <c r="AA404" s="52" t="str">
        <f t="shared" si="173"/>
        <v>-spike-</v>
      </c>
      <c r="AB404" s="52">
        <f>IFERROR(INDEX('Aub Demand'!L:L,MATCH($O404,'Aub Demand'!$A:$A,0)),"")</f>
        <v>0</v>
      </c>
      <c r="AC404" s="52">
        <f>IFERROR(IF(O404="","",SUMIFS('CPL Mats'!F:F,'CPL Mats'!Q:Q,AR404,'CPL Mats'!S:S,AS404)),"")</f>
        <v>0</v>
      </c>
      <c r="AF404" s="25" t="str">
        <f>IF(SUMIFS('Supp Consol'!S:S,'Supp Consol'!Y:Y,"Releasable",'Supp Consol'!A:A,O404)=0,"",SUMIFS('Supp Consol'!S:S,'Supp Consol'!Y:Y,"Releasable",'Supp Consol'!A:A,O404))</f>
        <v/>
      </c>
      <c r="AG404" s="25" t="str">
        <f>IFERROR(INDEX('Hun Demand'!Q:Q,MATCH(O404,'Hun Demand'!A:A,0)),"")</f>
        <v/>
      </c>
      <c r="AH404" s="25" t="str">
        <f>IFERROR(INDEX('Hun Demand'!H:H,MATCH($O404,'Hun Demand'!$A:$A,0)),"")</f>
        <v/>
      </c>
      <c r="AI404" s="25" t="str">
        <f>IF(SUMIFS('Supp Consol'!AA:AA,'Supp Consol'!Z:Z,"Expires this month",'Supp Consol'!A:A,O404)=0,"",SUMIFS('Supp Consol'!AA:AA,'Supp Consol'!Z:Z,"Expires this month",'Supp Consol'!A:A,O404))</f>
        <v/>
      </c>
      <c r="AJ404" s="25" t="str">
        <f>IF(SUMIFS('Supp Consol'!AA:AA,'Supp Consol'!Z:Z,"Expired Previous Months",'Supp Consol'!A:A,O404)=0,"",SUMIFS('Supp Consol'!AA:AA,'Supp Consol'!Z:Z,"Expired Previous Months",'Supp Consol'!A:A,O404))</f>
        <v/>
      </c>
      <c r="AK404" s="25" t="str">
        <f>IFERROR(INDEX('Hun Release Current'!B:B,MATCH(O404,'Hun Release Current'!A:A,0)),"")</f>
        <v/>
      </c>
      <c r="AL404" s="25" t="str">
        <f>IF(SUMIF('Prev Aub'!A:A,O404,'Prev Aub'!B:B)=0,"",SUMIF('Prev Aub'!A:A,O404,'Prev Aub'!B:B))</f>
        <v/>
      </c>
      <c r="AN404" s="25" t="s">
        <v>3790</v>
      </c>
      <c r="AO404" s="25" t="s">
        <v>3790</v>
      </c>
      <c r="AP404" s="25">
        <f t="shared" si="174"/>
        <v>0</v>
      </c>
      <c r="AQ404" s="151" t="str">
        <f>IF(SUMIFS('Supp Consol'!S:S,'Supp Consol'!A:A,O404,'Supp Consol'!I:I,"PENDING")=0,"",SUMIFS('Supp Consol'!S:S,'Supp Consol'!A:A,O404,'Supp Consol'!I:I,"PENDING"))</f>
        <v/>
      </c>
      <c r="AR404" s="27" t="str">
        <f t="shared" si="175"/>
        <v>FB237</v>
      </c>
      <c r="AS404" s="27" t="str">
        <f t="shared" si="176"/>
        <v>62</v>
      </c>
      <c r="AT404" s="27" t="str">
        <f t="shared" si="177"/>
        <v/>
      </c>
      <c r="AU404" s="27" t="str">
        <f t="shared" si="178"/>
        <v/>
      </c>
      <c r="AV404" s="27" t="str">
        <f t="shared" si="179"/>
        <v/>
      </c>
      <c r="AW404" s="27" t="str">
        <f t="shared" si="180"/>
        <v/>
      </c>
      <c r="AX404" s="27" t="str">
        <f t="shared" si="181"/>
        <v/>
      </c>
      <c r="AY404" s="27" t="str">
        <f t="shared" si="182"/>
        <v/>
      </c>
      <c r="AZ404" s="27" t="str">
        <f t="shared" si="183"/>
        <v/>
      </c>
      <c r="BA404" s="27" t="str">
        <f t="shared" si="184"/>
        <v/>
      </c>
      <c r="BB404" s="27" t="str">
        <f t="shared" si="185"/>
        <v/>
      </c>
      <c r="BC404" s="27" t="str">
        <f t="shared" si="186"/>
        <v/>
      </c>
      <c r="BD404" s="27" t="str">
        <f t="shared" si="187"/>
        <v/>
      </c>
      <c r="BE404" s="27" t="str">
        <f t="shared" si="188"/>
        <v/>
      </c>
      <c r="BF404" s="27" t="str">
        <f t="shared" si="189"/>
        <v/>
      </c>
      <c r="BG404" s="27" t="str">
        <f t="shared" si="190"/>
        <v/>
      </c>
      <c r="BH404" s="27" t="str">
        <f t="shared" si="191"/>
        <v/>
      </c>
      <c r="BI404" s="27" t="str">
        <f t="shared" si="192"/>
        <v/>
      </c>
      <c r="BJ404" s="27" t="str">
        <f t="shared" si="193"/>
        <v/>
      </c>
      <c r="BK404" s="27" t="str">
        <f t="shared" si="194"/>
        <v/>
      </c>
      <c r="BL404" s="27" t="str">
        <f t="shared" si="195"/>
        <v/>
      </c>
      <c r="BM404" s="21" t="s">
        <v>5581</v>
      </c>
    </row>
    <row r="405" spans="1:65" ht="15">
      <c r="A405" s="25" t="str">
        <f>IFERROR(INDEX('Hun Demand'!W:W,MATCH(O405,'Hun Demand'!A:A,0)),"")</f>
        <v/>
      </c>
      <c r="B405" s="25" t="str">
        <f>IFERROR(INDEX('Hun Demand'!V:V,MATCH(O405,'Hun Demand'!A:A,0)),"")</f>
        <v/>
      </c>
      <c r="C405" s="25" t="str">
        <f>IFERROR(INDEX('Hun Demand'!U:U,MATCH(O405,'Hun Demand'!A:A,0)),"")</f>
        <v/>
      </c>
      <c r="D405" s="25" t="str">
        <f>IFERROR(INDEX('Hun Demand'!T:T,MATCH(O405,'Hun Demand'!A:A,0)),"")</f>
        <v/>
      </c>
      <c r="E405" s="25" t="str">
        <f>IFERROR(INDEX('Hun Demand'!S:S,MATCH(O405,'Hun Demand'!A:A,0)),"")</f>
        <v/>
      </c>
      <c r="F405" s="25" t="str">
        <f>IFERROR(INDEX('Hun Demand'!R:R,MATCH(O405,'Hun Demand'!A:A,0)),"")</f>
        <v/>
      </c>
      <c r="G405" s="25">
        <f>IFERROR(INDEX('Aub Demand'!W:W,MATCH(O405,'Aub Demand'!A:A,0)),"")</f>
        <v>0</v>
      </c>
      <c r="H405" s="25">
        <f>IFERROR(INDEX('Aub Demand'!V:V,MATCH(O405,'Aub Demand'!A:A,0)),"")</f>
        <v>0</v>
      </c>
      <c r="I405" s="25">
        <f>IFERROR(INDEX('Aub Demand'!U:U,MATCH(O405,'Aub Demand'!A:A,0)),"")</f>
        <v>0</v>
      </c>
      <c r="J405" s="25">
        <f>IFERROR(INDEX('Aub Demand'!T:T,MATCH(O405,'Aub Demand'!A:A,0)),"")</f>
        <v>0</v>
      </c>
      <c r="K405" s="25">
        <f>IFERROR(INDEX('Aub Demand'!S:S,MATCH(O405,'Aub Demand'!A:A,0)),"")</f>
        <v>0</v>
      </c>
      <c r="L405" s="25">
        <f>IFERROR(INDEX('Aub Demand'!R:R,MATCH(O405,'Aub Demand'!A:A,0)),"")</f>
        <v>0</v>
      </c>
      <c r="O405" s="27" t="s">
        <v>686</v>
      </c>
      <c r="P405" s="27" t="str">
        <f>IFERROR(INDEX('Aub Demand'!B:B,MATCH($O405,'Aub Demand'!$A:$A,0)),"")</f>
        <v>STORM</v>
      </c>
      <c r="Q405" s="27" t="str">
        <f>IFERROR(INDEX('Aub Demand'!C:C,MATCH($O405,'Aub Demand'!$A:$A,0)),"")</f>
        <v>ARAUC</v>
      </c>
      <c r="R405" s="52">
        <f>IFERROR(IF(AR406=AR405,INDEX('Aub Demand'!K:K,MATCH($O405,'Aub Demand'!$A:$A,0))-IF(AN405="",0,AN405)+AP406,INDEX('Aub Demand'!K:K,MATCH($O405,'Aub Demand'!$A:$A,0))-IF(AN405="",0,AN405)),"")</f>
        <v>302</v>
      </c>
      <c r="S405" s="53" t="str">
        <f t="shared" si="168"/>
        <v>n/a</v>
      </c>
      <c r="T405" s="52" t="str">
        <f t="shared" si="169"/>
        <v/>
      </c>
      <c r="U405" s="52">
        <f>IFERROR(IF(AR406=AR405,INDEX('Aub Demand'!Q:Q,MATCH($O405,'Aub Demand'!$A:$A,0))-IF(AN405="",0,AN405)+AP406,INDEX('Aub Demand'!Q:Q,MATCH($O405,'Aub Demand'!$A:$A,0))-IF(AN405="",0,AN405)),"")</f>
        <v>302</v>
      </c>
      <c r="V405" s="53" t="str">
        <f t="shared" si="170"/>
        <v>n/a</v>
      </c>
      <c r="W405" s="52" t="str">
        <f t="shared" si="171"/>
        <v/>
      </c>
      <c r="X405" s="52">
        <f>IFERROR(IF(AND(AR406=AR405,AM405&lt;&gt;""),INDEX('Aub Demand'!Q:Q,MATCH($O405,'Aub Demand'!$A:$A,0))-IF(AN405="",0,AN405)+AP406+AD405+AL405,IF(AR406=AR405,INDEX('Aub Demand'!Q:Q,MATCH($O405,'Aub Demand'!$A:$A,0))-IF(AN405="",0,AN405)+AP406+AD405,IF(AM405&lt;&gt;"",INDEX('Aub Demand'!Q:Q,MATCH($O405,'Aub Demand'!$A:$A,0))-IF(AN405="",0,AN405)+AD405+AL405,INDEX('Aub Demand'!Q:Q,MATCH($O405,'Aub Demand'!$A:$A,0))-IF(AN405="",0,AN405)+AD405))),"")</f>
        <v>302</v>
      </c>
      <c r="Y405" s="53" t="str">
        <f t="shared" si="172"/>
        <v>n/a</v>
      </c>
      <c r="Z405" s="52">
        <f>IF(L405="","",INDEX('Aub Demand'!H:H,MATCH($O405,'Aub Demand'!$A:$A,0)))</f>
        <v>0</v>
      </c>
      <c r="AA405" s="52" t="str">
        <f t="shared" si="173"/>
        <v>-spike-</v>
      </c>
      <c r="AB405" s="52">
        <f>IFERROR(INDEX('Aub Demand'!L:L,MATCH($O405,'Aub Demand'!$A:$A,0)),"")</f>
        <v>0</v>
      </c>
      <c r="AC405" s="52">
        <f>IFERROR(IF(O405="","",SUMIFS('CPL Mats'!F:F,'CPL Mats'!Q:Q,AR405,'CPL Mats'!S:S,AS405)),"")</f>
        <v>0</v>
      </c>
      <c r="AF405" s="25" t="str">
        <f>IF(SUMIFS('Supp Consol'!S:S,'Supp Consol'!Y:Y,"Releasable",'Supp Consol'!A:A,O405)=0,"",SUMIFS('Supp Consol'!S:S,'Supp Consol'!Y:Y,"Releasable",'Supp Consol'!A:A,O405))</f>
        <v/>
      </c>
      <c r="AG405" s="25" t="str">
        <f>IFERROR(INDEX('Hun Demand'!Q:Q,MATCH(O405,'Hun Demand'!A:A,0)),"")</f>
        <v/>
      </c>
      <c r="AH405" s="25" t="str">
        <f>IFERROR(INDEX('Hun Demand'!H:H,MATCH($O405,'Hun Demand'!$A:$A,0)),"")</f>
        <v/>
      </c>
      <c r="AI405" s="25" t="str">
        <f>IF(SUMIFS('Supp Consol'!AA:AA,'Supp Consol'!Z:Z,"Expires this month",'Supp Consol'!A:A,O405)=0,"",SUMIFS('Supp Consol'!AA:AA,'Supp Consol'!Z:Z,"Expires this month",'Supp Consol'!A:A,O405))</f>
        <v/>
      </c>
      <c r="AJ405" s="25" t="str">
        <f>IF(SUMIFS('Supp Consol'!AA:AA,'Supp Consol'!Z:Z,"Expired Previous Months",'Supp Consol'!A:A,O405)=0,"",SUMIFS('Supp Consol'!AA:AA,'Supp Consol'!Z:Z,"Expired Previous Months",'Supp Consol'!A:A,O405))</f>
        <v/>
      </c>
      <c r="AK405" s="25" t="str">
        <f>IFERROR(INDEX('Hun Release Current'!B:B,MATCH(O405,'Hun Release Current'!A:A,0)),"")</f>
        <v/>
      </c>
      <c r="AL405" s="25" t="str">
        <f>IF(SUMIF('Prev Aub'!A:A,O405,'Prev Aub'!B:B)=0,"",SUMIF('Prev Aub'!A:A,O405,'Prev Aub'!B:B))</f>
        <v/>
      </c>
      <c r="AN405" s="25" t="s">
        <v>3790</v>
      </c>
      <c r="AO405" s="25" t="s">
        <v>3790</v>
      </c>
      <c r="AP405" s="25">
        <f t="shared" si="174"/>
        <v>0</v>
      </c>
      <c r="AQ405" s="151" t="str">
        <f>IF(SUMIFS('Supp Consol'!S:S,'Supp Consol'!A:A,O405,'Supp Consol'!I:I,"PENDING")=0,"",SUMIFS('Supp Consol'!S:S,'Supp Consol'!A:A,O405,'Supp Consol'!I:I,"PENDING"))</f>
        <v/>
      </c>
      <c r="AR405" s="27" t="str">
        <f t="shared" si="175"/>
        <v>FB239</v>
      </c>
      <c r="AS405" s="27" t="str">
        <f t="shared" si="176"/>
        <v>62</v>
      </c>
      <c r="AT405" s="27" t="str">
        <f t="shared" si="177"/>
        <v/>
      </c>
      <c r="AU405" s="27" t="str">
        <f t="shared" si="178"/>
        <v/>
      </c>
      <c r="AV405" s="27" t="str">
        <f t="shared" si="179"/>
        <v/>
      </c>
      <c r="AW405" s="27" t="str">
        <f t="shared" si="180"/>
        <v/>
      </c>
      <c r="AX405" s="27" t="str">
        <f t="shared" si="181"/>
        <v/>
      </c>
      <c r="AY405" s="27" t="str">
        <f t="shared" si="182"/>
        <v/>
      </c>
      <c r="AZ405" s="27" t="str">
        <f t="shared" si="183"/>
        <v/>
      </c>
      <c r="BA405" s="27" t="str">
        <f t="shared" si="184"/>
        <v/>
      </c>
      <c r="BB405" s="27" t="str">
        <f t="shared" si="185"/>
        <v/>
      </c>
      <c r="BC405" s="27" t="str">
        <f t="shared" si="186"/>
        <v/>
      </c>
      <c r="BD405" s="27" t="str">
        <f t="shared" si="187"/>
        <v/>
      </c>
      <c r="BE405" s="27" t="str">
        <f t="shared" si="188"/>
        <v/>
      </c>
      <c r="BF405" s="27" t="str">
        <f t="shared" si="189"/>
        <v/>
      </c>
      <c r="BG405" s="27" t="str">
        <f t="shared" si="190"/>
        <v/>
      </c>
      <c r="BH405" s="27" t="str">
        <f t="shared" si="191"/>
        <v/>
      </c>
      <c r="BI405" s="27" t="str">
        <f t="shared" si="192"/>
        <v/>
      </c>
      <c r="BJ405" s="27" t="str">
        <f t="shared" si="193"/>
        <v/>
      </c>
      <c r="BK405" s="27" t="str">
        <f t="shared" si="194"/>
        <v/>
      </c>
      <c r="BL405" s="27" t="str">
        <f t="shared" si="195"/>
        <v/>
      </c>
      <c r="BM405" s="21" t="s">
        <v>5581</v>
      </c>
    </row>
    <row r="406" spans="1:65" ht="15">
      <c r="A406" s="25" t="str">
        <f>IFERROR(INDEX('Hun Demand'!W:W,MATCH(O406,'Hun Demand'!A:A,0)),"")</f>
        <v/>
      </c>
      <c r="B406" s="25" t="str">
        <f>IFERROR(INDEX('Hun Demand'!V:V,MATCH(O406,'Hun Demand'!A:A,0)),"")</f>
        <v/>
      </c>
      <c r="C406" s="25" t="str">
        <f>IFERROR(INDEX('Hun Demand'!U:U,MATCH(O406,'Hun Demand'!A:A,0)),"")</f>
        <v/>
      </c>
      <c r="D406" s="25" t="str">
        <f>IFERROR(INDEX('Hun Demand'!T:T,MATCH(O406,'Hun Demand'!A:A,0)),"")</f>
        <v/>
      </c>
      <c r="E406" s="25" t="str">
        <f>IFERROR(INDEX('Hun Demand'!S:S,MATCH(O406,'Hun Demand'!A:A,0)),"")</f>
        <v/>
      </c>
      <c r="F406" s="25" t="str">
        <f>IFERROR(INDEX('Hun Demand'!R:R,MATCH(O406,'Hun Demand'!A:A,0)),"")</f>
        <v/>
      </c>
      <c r="G406" s="25">
        <f>IFERROR(INDEX('Aub Demand'!W:W,MATCH(O406,'Aub Demand'!A:A,0)),"")</f>
        <v>0</v>
      </c>
      <c r="H406" s="25">
        <f>IFERROR(INDEX('Aub Demand'!V:V,MATCH(O406,'Aub Demand'!A:A,0)),"")</f>
        <v>0</v>
      </c>
      <c r="I406" s="25">
        <f>IFERROR(INDEX('Aub Demand'!U:U,MATCH(O406,'Aub Demand'!A:A,0)),"")</f>
        <v>0</v>
      </c>
      <c r="J406" s="25">
        <f>IFERROR(INDEX('Aub Demand'!T:T,MATCH(O406,'Aub Demand'!A:A,0)),"")</f>
        <v>0</v>
      </c>
      <c r="K406" s="25">
        <f>IFERROR(INDEX('Aub Demand'!S:S,MATCH(O406,'Aub Demand'!A:A,0)),"")</f>
        <v>0</v>
      </c>
      <c r="L406" s="25">
        <f>IFERROR(INDEX('Aub Demand'!R:R,MATCH(O406,'Aub Demand'!A:A,0)),"")</f>
        <v>0</v>
      </c>
      <c r="O406" s="27" t="s">
        <v>688</v>
      </c>
      <c r="P406" s="27" t="str">
        <f>IFERROR(INDEX('Aub Demand'!B:B,MATCH($O406,'Aub Demand'!$A:$A,0)),"")</f>
        <v>CHESTNUT CHERRY</v>
      </c>
      <c r="Q406" s="27" t="str">
        <f>IFERROR(INDEX('Aub Demand'!C:C,MATCH($O406,'Aub Demand'!$A:$A,0)),"")</f>
        <v>ARAUC</v>
      </c>
      <c r="R406" s="52">
        <f>IFERROR(IF(AR407=AR406,INDEX('Aub Demand'!K:K,MATCH($O406,'Aub Demand'!$A:$A,0))-IF(AN406="",0,AN406)+AP407,INDEX('Aub Demand'!K:K,MATCH($O406,'Aub Demand'!$A:$A,0))-IF(AN406="",0,AN406)),"")</f>
        <v>56</v>
      </c>
      <c r="S406" s="53" t="str">
        <f t="shared" si="168"/>
        <v>n/a</v>
      </c>
      <c r="T406" s="52" t="str">
        <f t="shared" si="169"/>
        <v/>
      </c>
      <c r="U406" s="52">
        <f>IFERROR(IF(AR407=AR406,INDEX('Aub Demand'!Q:Q,MATCH($O406,'Aub Demand'!$A:$A,0))-IF(AN406="",0,AN406)+AP407,INDEX('Aub Demand'!Q:Q,MATCH($O406,'Aub Demand'!$A:$A,0))-IF(AN406="",0,AN406)),"")</f>
        <v>56</v>
      </c>
      <c r="V406" s="53" t="str">
        <f t="shared" si="170"/>
        <v>n/a</v>
      </c>
      <c r="W406" s="52" t="str">
        <f t="shared" si="171"/>
        <v/>
      </c>
      <c r="X406" s="52">
        <f>IFERROR(IF(AND(AR407=AR406,AM406&lt;&gt;""),INDEX('Aub Demand'!Q:Q,MATCH($O406,'Aub Demand'!$A:$A,0))-IF(AN406="",0,AN406)+AP407+AD406+AL406,IF(AR407=AR406,INDEX('Aub Demand'!Q:Q,MATCH($O406,'Aub Demand'!$A:$A,0))-IF(AN406="",0,AN406)+AP407+AD406,IF(AM406&lt;&gt;"",INDEX('Aub Demand'!Q:Q,MATCH($O406,'Aub Demand'!$A:$A,0))-IF(AN406="",0,AN406)+AD406+AL406,INDEX('Aub Demand'!Q:Q,MATCH($O406,'Aub Demand'!$A:$A,0))-IF(AN406="",0,AN406)+AD406))),"")</f>
        <v>56</v>
      </c>
      <c r="Y406" s="53" t="str">
        <f t="shared" si="172"/>
        <v>n/a</v>
      </c>
      <c r="Z406" s="52">
        <f>IF(L406="","",INDEX('Aub Demand'!H:H,MATCH($O406,'Aub Demand'!$A:$A,0)))</f>
        <v>0</v>
      </c>
      <c r="AA406" s="52" t="str">
        <f t="shared" si="173"/>
        <v>-spike-</v>
      </c>
      <c r="AB406" s="52">
        <f>IFERROR(INDEX('Aub Demand'!L:L,MATCH($O406,'Aub Demand'!$A:$A,0)),"")</f>
        <v>0</v>
      </c>
      <c r="AC406" s="52">
        <f>IFERROR(IF(O406="","",SUMIFS('CPL Mats'!F:F,'CPL Mats'!Q:Q,AR406,'CPL Mats'!S:S,AS406)),"")</f>
        <v>0</v>
      </c>
      <c r="AF406" s="25" t="str">
        <f>IF(SUMIFS('Supp Consol'!S:S,'Supp Consol'!Y:Y,"Releasable",'Supp Consol'!A:A,O406)=0,"",SUMIFS('Supp Consol'!S:S,'Supp Consol'!Y:Y,"Releasable",'Supp Consol'!A:A,O406))</f>
        <v/>
      </c>
      <c r="AG406" s="25" t="str">
        <f>IFERROR(INDEX('Hun Demand'!Q:Q,MATCH(O406,'Hun Demand'!A:A,0)),"")</f>
        <v/>
      </c>
      <c r="AH406" s="25" t="str">
        <f>IFERROR(INDEX('Hun Demand'!H:H,MATCH($O406,'Hun Demand'!$A:$A,0)),"")</f>
        <v/>
      </c>
      <c r="AI406" s="25" t="str">
        <f>IF(SUMIFS('Supp Consol'!AA:AA,'Supp Consol'!Z:Z,"Expires this month",'Supp Consol'!A:A,O406)=0,"",SUMIFS('Supp Consol'!AA:AA,'Supp Consol'!Z:Z,"Expires this month",'Supp Consol'!A:A,O406))</f>
        <v/>
      </c>
      <c r="AJ406" s="25" t="str">
        <f>IF(SUMIFS('Supp Consol'!AA:AA,'Supp Consol'!Z:Z,"Expired Previous Months",'Supp Consol'!A:A,O406)=0,"",SUMIFS('Supp Consol'!AA:AA,'Supp Consol'!Z:Z,"Expired Previous Months",'Supp Consol'!A:A,O406))</f>
        <v/>
      </c>
      <c r="AK406" s="25" t="str">
        <f>IFERROR(INDEX('Hun Release Current'!B:B,MATCH(O406,'Hun Release Current'!A:A,0)),"")</f>
        <v/>
      </c>
      <c r="AL406" s="25" t="str">
        <f>IF(SUMIF('Prev Aub'!A:A,O406,'Prev Aub'!B:B)=0,"",SUMIF('Prev Aub'!A:A,O406,'Prev Aub'!B:B))</f>
        <v/>
      </c>
      <c r="AN406" s="25" t="s">
        <v>3790</v>
      </c>
      <c r="AO406" s="25" t="s">
        <v>3790</v>
      </c>
      <c r="AP406" s="25">
        <f t="shared" si="174"/>
        <v>0</v>
      </c>
      <c r="AQ406" s="151" t="str">
        <f>IF(SUMIFS('Supp Consol'!S:S,'Supp Consol'!A:A,O406,'Supp Consol'!I:I,"PENDING")=0,"",SUMIFS('Supp Consol'!S:S,'Supp Consol'!A:A,O406,'Supp Consol'!I:I,"PENDING"))</f>
        <v/>
      </c>
      <c r="AR406" s="27" t="str">
        <f t="shared" si="175"/>
        <v>FB244</v>
      </c>
      <c r="AS406" s="27" t="str">
        <f t="shared" si="176"/>
        <v>50</v>
      </c>
      <c r="AT406" s="27" t="str">
        <f t="shared" si="177"/>
        <v/>
      </c>
      <c r="AU406" s="27" t="str">
        <f t="shared" si="178"/>
        <v/>
      </c>
      <c r="AV406" s="27" t="str">
        <f t="shared" si="179"/>
        <v/>
      </c>
      <c r="AW406" s="27" t="str">
        <f t="shared" si="180"/>
        <v/>
      </c>
      <c r="AX406" s="27" t="str">
        <f t="shared" si="181"/>
        <v/>
      </c>
      <c r="AY406" s="27" t="str">
        <f t="shared" si="182"/>
        <v/>
      </c>
      <c r="AZ406" s="27" t="str">
        <f t="shared" si="183"/>
        <v/>
      </c>
      <c r="BA406" s="27" t="str">
        <f t="shared" si="184"/>
        <v/>
      </c>
      <c r="BB406" s="27" t="str">
        <f t="shared" si="185"/>
        <v/>
      </c>
      <c r="BC406" s="27" t="str">
        <f t="shared" si="186"/>
        <v/>
      </c>
      <c r="BD406" s="27" t="str">
        <f t="shared" si="187"/>
        <v/>
      </c>
      <c r="BE406" s="27" t="str">
        <f t="shared" si="188"/>
        <v/>
      </c>
      <c r="BF406" s="27" t="str">
        <f t="shared" si="189"/>
        <v/>
      </c>
      <c r="BG406" s="27" t="str">
        <f t="shared" si="190"/>
        <v/>
      </c>
      <c r="BH406" s="27" t="str">
        <f t="shared" si="191"/>
        <v/>
      </c>
      <c r="BI406" s="27" t="str">
        <f t="shared" si="192"/>
        <v/>
      </c>
      <c r="BJ406" s="27" t="str">
        <f t="shared" si="193"/>
        <v/>
      </c>
      <c r="BK406" s="27" t="str">
        <f t="shared" si="194"/>
        <v/>
      </c>
      <c r="BL406" s="27" t="str">
        <f t="shared" si="195"/>
        <v/>
      </c>
      <c r="BM406" s="21" t="s">
        <v>3790</v>
      </c>
    </row>
    <row r="407" spans="1:65" ht="15">
      <c r="A407" s="25" t="str">
        <f>IFERROR(INDEX('Hun Demand'!W:W,MATCH(O407,'Hun Demand'!A:A,0)),"")</f>
        <v/>
      </c>
      <c r="B407" s="25" t="str">
        <f>IFERROR(INDEX('Hun Demand'!V:V,MATCH(O407,'Hun Demand'!A:A,0)),"")</f>
        <v/>
      </c>
      <c r="C407" s="25" t="str">
        <f>IFERROR(INDEX('Hun Demand'!U:U,MATCH(O407,'Hun Demand'!A:A,0)),"")</f>
        <v/>
      </c>
      <c r="D407" s="25" t="str">
        <f>IFERROR(INDEX('Hun Demand'!T:T,MATCH(O407,'Hun Demand'!A:A,0)),"")</f>
        <v/>
      </c>
      <c r="E407" s="25" t="str">
        <f>IFERROR(INDEX('Hun Demand'!S:S,MATCH(O407,'Hun Demand'!A:A,0)),"")</f>
        <v/>
      </c>
      <c r="F407" s="25" t="str">
        <f>IFERROR(INDEX('Hun Demand'!R:R,MATCH(O407,'Hun Demand'!A:A,0)),"")</f>
        <v/>
      </c>
      <c r="G407" s="25">
        <f>IFERROR(INDEX('Aub Demand'!W:W,MATCH(O407,'Aub Demand'!A:A,0)),"")</f>
        <v>0</v>
      </c>
      <c r="H407" s="25">
        <f>IFERROR(INDEX('Aub Demand'!V:V,MATCH(O407,'Aub Demand'!A:A,0)),"")</f>
        <v>0</v>
      </c>
      <c r="I407" s="25">
        <f>IFERROR(INDEX('Aub Demand'!U:U,MATCH(O407,'Aub Demand'!A:A,0)),"")</f>
        <v>0</v>
      </c>
      <c r="J407" s="25">
        <f>IFERROR(INDEX('Aub Demand'!T:T,MATCH(O407,'Aub Demand'!A:A,0)),"")</f>
        <v>12</v>
      </c>
      <c r="K407" s="25">
        <f>IFERROR(INDEX('Aub Demand'!S:S,MATCH(O407,'Aub Demand'!A:A,0)),"")</f>
        <v>0</v>
      </c>
      <c r="L407" s="25">
        <f>IFERROR(INDEX('Aub Demand'!R:R,MATCH(O407,'Aub Demand'!A:A,0)),"")</f>
        <v>0</v>
      </c>
      <c r="O407" s="27" t="s">
        <v>690</v>
      </c>
      <c r="P407" s="27" t="str">
        <f>IFERROR(INDEX('Aub Demand'!B:B,MATCH($O407,'Aub Demand'!$A:$A,0)),"")</f>
        <v>MYSTERIOUS</v>
      </c>
      <c r="Q407" s="27" t="str">
        <f>IFERROR(INDEX('Aub Demand'!C:C,MATCH($O407,'Aub Demand'!$A:$A,0)),"")</f>
        <v>ARAUC</v>
      </c>
      <c r="R407" s="52">
        <f>IFERROR(IF(AR408=AR407,INDEX('Aub Demand'!K:K,MATCH($O407,'Aub Demand'!$A:$A,0))-IF(AN407="",0,AN407)+AP408,INDEX('Aub Demand'!K:K,MATCH($O407,'Aub Demand'!$A:$A,0))-IF(AN407="",0,AN407)),"")</f>
        <v>84</v>
      </c>
      <c r="S407" s="53">
        <f t="shared" si="168"/>
        <v>90</v>
      </c>
      <c r="T407" s="52" t="str">
        <f t="shared" si="169"/>
        <v/>
      </c>
      <c r="U407" s="52">
        <f>IFERROR(IF(AR408=AR407,INDEX('Aub Demand'!Q:Q,MATCH($O407,'Aub Demand'!$A:$A,0))-IF(AN407="",0,AN407)+AP408,INDEX('Aub Demand'!Q:Q,MATCH($O407,'Aub Demand'!$A:$A,0))-IF(AN407="",0,AN407)),"")</f>
        <v>63</v>
      </c>
      <c r="V407" s="53">
        <f t="shared" si="170"/>
        <v>67.5</v>
      </c>
      <c r="W407" s="52" t="str">
        <f t="shared" si="171"/>
        <v/>
      </c>
      <c r="X407" s="52">
        <f>IFERROR(IF(AND(AR408=AR407,AM407&lt;&gt;""),INDEX('Aub Demand'!Q:Q,MATCH($O407,'Aub Demand'!$A:$A,0))-IF(AN407="",0,AN407)+AP408+AD407+AL407,IF(AR408=AR407,INDEX('Aub Demand'!Q:Q,MATCH($O407,'Aub Demand'!$A:$A,0))-IF(AN407="",0,AN407)+AP408+AD407,IF(AM407&lt;&gt;"",INDEX('Aub Demand'!Q:Q,MATCH($O407,'Aub Demand'!$A:$A,0))-IF(AN407="",0,AN407)+AD407+AL407,INDEX('Aub Demand'!Q:Q,MATCH($O407,'Aub Demand'!$A:$A,0))-IF(AN407="",0,AN407)+AD407))),"")</f>
        <v>63</v>
      </c>
      <c r="Y407" s="53">
        <f t="shared" si="172"/>
        <v>67.5</v>
      </c>
      <c r="Z407" s="52">
        <f>IF(L407="","",INDEX('Aub Demand'!H:H,MATCH($O407,'Aub Demand'!$A:$A,0)))</f>
        <v>4</v>
      </c>
      <c r="AA407" s="52" t="str">
        <f t="shared" si="173"/>
        <v>-spike-</v>
      </c>
      <c r="AB407" s="52">
        <f>IFERROR(INDEX('Aub Demand'!L:L,MATCH($O407,'Aub Demand'!$A:$A,0)),"")</f>
        <v>0</v>
      </c>
      <c r="AC407" s="52">
        <f>IFERROR(IF(O407="","",SUMIFS('CPL Mats'!F:F,'CPL Mats'!Q:Q,AR407,'CPL Mats'!S:S,AS407)),"")</f>
        <v>0</v>
      </c>
      <c r="AF407" s="25" t="str">
        <f>IF(SUMIFS('Supp Consol'!S:S,'Supp Consol'!Y:Y,"Releasable",'Supp Consol'!A:A,O407)=0,"",SUMIFS('Supp Consol'!S:S,'Supp Consol'!Y:Y,"Releasable",'Supp Consol'!A:A,O407))</f>
        <v/>
      </c>
      <c r="AG407" s="25" t="str">
        <f>IFERROR(INDEX('Hun Demand'!Q:Q,MATCH(O407,'Hun Demand'!A:A,0)),"")</f>
        <v/>
      </c>
      <c r="AH407" s="25" t="str">
        <f>IFERROR(INDEX('Hun Demand'!H:H,MATCH($O407,'Hun Demand'!$A:$A,0)),"")</f>
        <v/>
      </c>
      <c r="AI407" s="25" t="str">
        <f>IF(SUMIFS('Supp Consol'!AA:AA,'Supp Consol'!Z:Z,"Expires this month",'Supp Consol'!A:A,O407)=0,"",SUMIFS('Supp Consol'!AA:AA,'Supp Consol'!Z:Z,"Expires this month",'Supp Consol'!A:A,O407))</f>
        <v/>
      </c>
      <c r="AJ407" s="25" t="str">
        <f>IF(SUMIFS('Supp Consol'!AA:AA,'Supp Consol'!Z:Z,"Expired Previous Months",'Supp Consol'!A:A,O407)=0,"",SUMIFS('Supp Consol'!AA:AA,'Supp Consol'!Z:Z,"Expired Previous Months",'Supp Consol'!A:A,O407))</f>
        <v/>
      </c>
      <c r="AK407" s="25" t="str">
        <f>IFERROR(INDEX('Hun Release Current'!B:B,MATCH(O407,'Hun Release Current'!A:A,0)),"")</f>
        <v/>
      </c>
      <c r="AL407" s="25" t="str">
        <f>IF(SUMIF('Prev Aub'!A:A,O407,'Prev Aub'!B:B)=0,"",SUMIF('Prev Aub'!A:A,O407,'Prev Aub'!B:B))</f>
        <v/>
      </c>
      <c r="AN407" s="25" t="s">
        <v>3790</v>
      </c>
      <c r="AO407" s="25" t="s">
        <v>3790</v>
      </c>
      <c r="AP407" s="25">
        <f t="shared" si="174"/>
        <v>0</v>
      </c>
      <c r="AQ407" s="151" t="str">
        <f>IF(SUMIFS('Supp Consol'!S:S,'Supp Consol'!A:A,O407,'Supp Consol'!I:I,"PENDING")=0,"",SUMIFS('Supp Consol'!S:S,'Supp Consol'!A:A,O407,'Supp Consol'!I:I,"PENDING"))</f>
        <v/>
      </c>
      <c r="AR407" s="27" t="str">
        <f t="shared" si="175"/>
        <v>FB247</v>
      </c>
      <c r="AS407" s="27" t="str">
        <f t="shared" si="176"/>
        <v>50</v>
      </c>
      <c r="AT407" s="27" t="str">
        <f t="shared" si="177"/>
        <v/>
      </c>
      <c r="AU407" s="27" t="str">
        <f t="shared" si="178"/>
        <v/>
      </c>
      <c r="AV407" s="27" t="str">
        <f t="shared" si="179"/>
        <v/>
      </c>
      <c r="AW407" s="27" t="str">
        <f t="shared" si="180"/>
        <v/>
      </c>
      <c r="AX407" s="27" t="str">
        <f t="shared" si="181"/>
        <v/>
      </c>
      <c r="AY407" s="27" t="str">
        <f t="shared" si="182"/>
        <v/>
      </c>
      <c r="AZ407" s="27" t="str">
        <f t="shared" si="183"/>
        <v/>
      </c>
      <c r="BA407" s="27" t="str">
        <f t="shared" si="184"/>
        <v/>
      </c>
      <c r="BB407" s="27" t="str">
        <f t="shared" si="185"/>
        <v/>
      </c>
      <c r="BC407" s="27" t="str">
        <f t="shared" si="186"/>
        <v/>
      </c>
      <c r="BD407" s="27" t="str">
        <f t="shared" si="187"/>
        <v/>
      </c>
      <c r="BE407" s="27" t="str">
        <f t="shared" si="188"/>
        <v/>
      </c>
      <c r="BF407" s="27" t="str">
        <f t="shared" si="189"/>
        <v/>
      </c>
      <c r="BG407" s="27" t="str">
        <f t="shared" si="190"/>
        <v/>
      </c>
      <c r="BH407" s="27" t="str">
        <f t="shared" si="191"/>
        <v/>
      </c>
      <c r="BI407" s="27" t="str">
        <f t="shared" si="192"/>
        <v/>
      </c>
      <c r="BJ407" s="27" t="str">
        <f t="shared" si="193"/>
        <v/>
      </c>
      <c r="BK407" s="27" t="str">
        <f t="shared" si="194"/>
        <v/>
      </c>
      <c r="BL407" s="27" t="str">
        <f t="shared" si="195"/>
        <v/>
      </c>
      <c r="BM407" s="21" t="s">
        <v>5581</v>
      </c>
    </row>
    <row r="408" spans="1:65" ht="15">
      <c r="A408" s="25" t="str">
        <f>IFERROR(INDEX('Hun Demand'!W:W,MATCH(O408,'Hun Demand'!A:A,0)),"")</f>
        <v/>
      </c>
      <c r="B408" s="25" t="str">
        <f>IFERROR(INDEX('Hun Demand'!V:V,MATCH(O408,'Hun Demand'!A:A,0)),"")</f>
        <v/>
      </c>
      <c r="C408" s="25" t="str">
        <f>IFERROR(INDEX('Hun Demand'!U:U,MATCH(O408,'Hun Demand'!A:A,0)),"")</f>
        <v/>
      </c>
      <c r="D408" s="25" t="str">
        <f>IFERROR(INDEX('Hun Demand'!T:T,MATCH(O408,'Hun Demand'!A:A,0)),"")</f>
        <v/>
      </c>
      <c r="E408" s="25" t="str">
        <f>IFERROR(INDEX('Hun Demand'!S:S,MATCH(O408,'Hun Demand'!A:A,0)),"")</f>
        <v/>
      </c>
      <c r="F408" s="25" t="str">
        <f>IFERROR(INDEX('Hun Demand'!R:R,MATCH(O408,'Hun Demand'!A:A,0)),"")</f>
        <v/>
      </c>
      <c r="G408" s="25">
        <f>IFERROR(INDEX('Aub Demand'!W:W,MATCH(O408,'Aub Demand'!A:A,0)),"")</f>
        <v>0</v>
      </c>
      <c r="H408" s="25">
        <f>IFERROR(INDEX('Aub Demand'!V:V,MATCH(O408,'Aub Demand'!A:A,0)),"")</f>
        <v>0</v>
      </c>
      <c r="I408" s="25">
        <f>IFERROR(INDEX('Aub Demand'!U:U,MATCH(O408,'Aub Demand'!A:A,0)),"")</f>
        <v>0</v>
      </c>
      <c r="J408" s="25">
        <f>IFERROR(INDEX('Aub Demand'!T:T,MATCH(O408,'Aub Demand'!A:A,0)),"")</f>
        <v>16</v>
      </c>
      <c r="K408" s="25">
        <f>IFERROR(INDEX('Aub Demand'!S:S,MATCH(O408,'Aub Demand'!A:A,0)),"")</f>
        <v>0</v>
      </c>
      <c r="L408" s="25">
        <f>IFERROR(INDEX('Aub Demand'!R:R,MATCH(O408,'Aub Demand'!A:A,0)),"")</f>
        <v>0</v>
      </c>
      <c r="O408" s="27" t="s">
        <v>5932</v>
      </c>
      <c r="P408" s="27" t="str">
        <f>IFERROR(INDEX('Aub Demand'!B:B,MATCH($O408,'Aub Demand'!$A:$A,0)),"")</f>
        <v>MYSTERIOUS</v>
      </c>
      <c r="Q408" s="27" t="str">
        <f>IFERROR(INDEX('Aub Demand'!C:C,MATCH($O408,'Aub Demand'!$A:$A,0)),"")</f>
        <v>ARAUC</v>
      </c>
      <c r="R408" s="52">
        <f>IFERROR(IF(AR409=AR408,INDEX('Aub Demand'!K:K,MATCH($O408,'Aub Demand'!$A:$A,0))-IF(AN408="",0,AN408)+AP409,INDEX('Aub Demand'!K:K,MATCH($O408,'Aub Demand'!$A:$A,0))-IF(AN408="",0,AN408)),"")</f>
        <v>240</v>
      </c>
      <c r="S408" s="53">
        <f t="shared" si="168"/>
        <v>205.7</v>
      </c>
      <c r="T408" s="52" t="str">
        <f t="shared" si="169"/>
        <v/>
      </c>
      <c r="U408" s="52">
        <f>IFERROR(IF(AR409=AR408,INDEX('Aub Demand'!Q:Q,MATCH($O408,'Aub Demand'!$A:$A,0))-IF(AN408="",0,AN408)+AP409,INDEX('Aub Demand'!Q:Q,MATCH($O408,'Aub Demand'!$A:$A,0))-IF(AN408="",0,AN408)),"")</f>
        <v>240</v>
      </c>
      <c r="V408" s="53">
        <f t="shared" si="170"/>
        <v>205.7</v>
      </c>
      <c r="W408" s="52" t="str">
        <f t="shared" si="171"/>
        <v/>
      </c>
      <c r="X408" s="52">
        <f>IFERROR(IF(AND(AR409=AR408,AM408&lt;&gt;""),INDEX('Aub Demand'!Q:Q,MATCH($O408,'Aub Demand'!$A:$A,0))-IF(AN408="",0,AN408)+AP409+AD408+AL408,IF(AR409=AR408,INDEX('Aub Demand'!Q:Q,MATCH($O408,'Aub Demand'!$A:$A,0))-IF(AN408="",0,AN408)+AP409+AD408,IF(AM408&lt;&gt;"",INDEX('Aub Demand'!Q:Q,MATCH($O408,'Aub Demand'!$A:$A,0))-IF(AN408="",0,AN408)+AD408+AL408,INDEX('Aub Demand'!Q:Q,MATCH($O408,'Aub Demand'!$A:$A,0))-IF(AN408="",0,AN408)+AD408))),"")</f>
        <v>240</v>
      </c>
      <c r="Y408" s="53">
        <f t="shared" si="172"/>
        <v>205.7</v>
      </c>
      <c r="Z408" s="52">
        <f>IF(L408="","",INDEX('Aub Demand'!H:H,MATCH($O408,'Aub Demand'!$A:$A,0)))</f>
        <v>5</v>
      </c>
      <c r="AA408" s="52" t="str">
        <f t="shared" si="173"/>
        <v>-spike-</v>
      </c>
      <c r="AB408" s="52">
        <f>IFERROR(INDEX('Aub Demand'!L:L,MATCH($O408,'Aub Demand'!$A:$A,0)),"")</f>
        <v>0</v>
      </c>
      <c r="AC408" s="52">
        <f>IFERROR(IF(O408="","",SUMIFS('CPL Mats'!F:F,'CPL Mats'!Q:Q,AR408,'CPL Mats'!S:S,AS408)),"")</f>
        <v>0</v>
      </c>
      <c r="AF408" s="25" t="str">
        <f>IF(SUMIFS('Supp Consol'!S:S,'Supp Consol'!Y:Y,"Releasable",'Supp Consol'!A:A,O408)=0,"",SUMIFS('Supp Consol'!S:S,'Supp Consol'!Y:Y,"Releasable",'Supp Consol'!A:A,O408))</f>
        <v/>
      </c>
      <c r="AG408" s="25" t="str">
        <f>IFERROR(INDEX('Hun Demand'!Q:Q,MATCH(O408,'Hun Demand'!A:A,0)),"")</f>
        <v/>
      </c>
      <c r="AH408" s="25" t="str">
        <f>IFERROR(INDEX('Hun Demand'!H:H,MATCH($O408,'Hun Demand'!$A:$A,0)),"")</f>
        <v/>
      </c>
      <c r="AI408" s="25" t="str">
        <f>IF(SUMIFS('Supp Consol'!AA:AA,'Supp Consol'!Z:Z,"Expires this month",'Supp Consol'!A:A,O408)=0,"",SUMIFS('Supp Consol'!AA:AA,'Supp Consol'!Z:Z,"Expires this month",'Supp Consol'!A:A,O408))</f>
        <v/>
      </c>
      <c r="AJ408" s="25" t="str">
        <f>IF(SUMIFS('Supp Consol'!AA:AA,'Supp Consol'!Z:Z,"Expired Previous Months",'Supp Consol'!A:A,O408)=0,"",SUMIFS('Supp Consol'!AA:AA,'Supp Consol'!Z:Z,"Expired Previous Months",'Supp Consol'!A:A,O408))</f>
        <v/>
      </c>
      <c r="AK408" s="25" t="str">
        <f>IFERROR(INDEX('Hun Release Current'!B:B,MATCH(O408,'Hun Release Current'!A:A,0)),"")</f>
        <v/>
      </c>
      <c r="AL408" s="25" t="str">
        <f>IF(SUMIF('Prev Aub'!A:A,O408,'Prev Aub'!B:B)=0,"",SUMIF('Prev Aub'!A:A,O408,'Prev Aub'!B:B))</f>
        <v/>
      </c>
      <c r="AN408" s="25" t="s">
        <v>3790</v>
      </c>
      <c r="AO408" s="25" t="s">
        <v>3790</v>
      </c>
      <c r="AP408" s="25">
        <f t="shared" si="174"/>
        <v>0</v>
      </c>
      <c r="AQ408" s="151" t="str">
        <f>IF(SUMIFS('Supp Consol'!S:S,'Supp Consol'!A:A,O408,'Supp Consol'!I:I,"PENDING")=0,"",SUMIFS('Supp Consol'!S:S,'Supp Consol'!A:A,O408,'Supp Consol'!I:I,"PENDING"))</f>
        <v/>
      </c>
      <c r="AR408" s="27" t="str">
        <f t="shared" si="175"/>
        <v>FB247</v>
      </c>
      <c r="AS408" s="27" t="str">
        <f t="shared" si="176"/>
        <v>62</v>
      </c>
      <c r="AT408" s="27" t="str">
        <f t="shared" si="177"/>
        <v/>
      </c>
      <c r="AU408" s="27" t="str">
        <f t="shared" si="178"/>
        <v/>
      </c>
      <c r="AV408" s="27" t="str">
        <f t="shared" si="179"/>
        <v/>
      </c>
      <c r="AW408" s="27" t="str">
        <f t="shared" si="180"/>
        <v/>
      </c>
      <c r="AX408" s="27" t="str">
        <f t="shared" si="181"/>
        <v/>
      </c>
      <c r="AY408" s="27" t="str">
        <f t="shared" si="182"/>
        <v/>
      </c>
      <c r="AZ408" s="27" t="str">
        <f t="shared" si="183"/>
        <v/>
      </c>
      <c r="BA408" s="27" t="str">
        <f t="shared" si="184"/>
        <v/>
      </c>
      <c r="BB408" s="27" t="str">
        <f t="shared" si="185"/>
        <v/>
      </c>
      <c r="BC408" s="27" t="str">
        <f t="shared" si="186"/>
        <v/>
      </c>
      <c r="BD408" s="27" t="str">
        <f t="shared" si="187"/>
        <v/>
      </c>
      <c r="BE408" s="27" t="str">
        <f t="shared" si="188"/>
        <v/>
      </c>
      <c r="BF408" s="27" t="str">
        <f t="shared" si="189"/>
        <v/>
      </c>
      <c r="BG408" s="27" t="str">
        <f t="shared" si="190"/>
        <v/>
      </c>
      <c r="BH408" s="27" t="str">
        <f t="shared" si="191"/>
        <v/>
      </c>
      <c r="BI408" s="27" t="str">
        <f t="shared" si="192"/>
        <v/>
      </c>
      <c r="BJ408" s="27" t="str">
        <f t="shared" si="193"/>
        <v/>
      </c>
      <c r="BK408" s="27" t="str">
        <f t="shared" si="194"/>
        <v/>
      </c>
      <c r="BL408" s="27" t="str">
        <f t="shared" si="195"/>
        <v/>
      </c>
      <c r="BM408" s="21" t="s">
        <v>3790</v>
      </c>
    </row>
    <row r="409" spans="1:65" ht="15">
      <c r="A409" s="25" t="str">
        <f>IFERROR(INDEX('Hun Demand'!W:W,MATCH(O409,'Hun Demand'!A:A,0)),"")</f>
        <v/>
      </c>
      <c r="B409" s="25" t="str">
        <f>IFERROR(INDEX('Hun Demand'!V:V,MATCH(O409,'Hun Demand'!A:A,0)),"")</f>
        <v/>
      </c>
      <c r="C409" s="25" t="str">
        <f>IFERROR(INDEX('Hun Demand'!U:U,MATCH(O409,'Hun Demand'!A:A,0)),"")</f>
        <v/>
      </c>
      <c r="D409" s="25" t="str">
        <f>IFERROR(INDEX('Hun Demand'!T:T,MATCH(O409,'Hun Demand'!A:A,0)),"")</f>
        <v/>
      </c>
      <c r="E409" s="25" t="str">
        <f>IFERROR(INDEX('Hun Demand'!S:S,MATCH(O409,'Hun Demand'!A:A,0)),"")</f>
        <v/>
      </c>
      <c r="F409" s="25" t="str">
        <f>IFERROR(INDEX('Hun Demand'!R:R,MATCH(O409,'Hun Demand'!A:A,0)),"")</f>
        <v/>
      </c>
      <c r="G409" s="25">
        <f>IFERROR(INDEX('Aub Demand'!W:W,MATCH(O409,'Aub Demand'!A:A,0)),"")</f>
        <v>0</v>
      </c>
      <c r="H409" s="25">
        <f>IFERROR(INDEX('Aub Demand'!V:V,MATCH(O409,'Aub Demand'!A:A,0)),"")</f>
        <v>0</v>
      </c>
      <c r="I409" s="25">
        <f>IFERROR(INDEX('Aub Demand'!U:U,MATCH(O409,'Aub Demand'!A:A,0)),"")</f>
        <v>0</v>
      </c>
      <c r="J409" s="25">
        <f>IFERROR(INDEX('Aub Demand'!T:T,MATCH(O409,'Aub Demand'!A:A,0)),"")</f>
        <v>0</v>
      </c>
      <c r="K409" s="25">
        <f>IFERROR(INDEX('Aub Demand'!S:S,MATCH(O409,'Aub Demand'!A:A,0)),"")</f>
        <v>0</v>
      </c>
      <c r="L409" s="25">
        <f>IFERROR(INDEX('Aub Demand'!R:R,MATCH(O409,'Aub Demand'!A:A,0)),"")</f>
        <v>0</v>
      </c>
      <c r="O409" s="27" t="s">
        <v>692</v>
      </c>
      <c r="P409" s="27" t="str">
        <f>IFERROR(INDEX('Aub Demand'!B:B,MATCH($O409,'Aub Demand'!$A:$A,0)),"")</f>
        <v>WILLOW GREY</v>
      </c>
      <c r="Q409" s="27" t="str">
        <f>IFERROR(INDEX('Aub Demand'!C:C,MATCH($O409,'Aub Demand'!$A:$A,0)),"")</f>
        <v>ARAUC</v>
      </c>
      <c r="R409" s="52">
        <f>IFERROR(IF(AR410=AR409,INDEX('Aub Demand'!K:K,MATCH($O409,'Aub Demand'!$A:$A,0))-IF(AN409="",0,AN409)+AP410,INDEX('Aub Demand'!K:K,MATCH($O409,'Aub Demand'!$A:$A,0))-IF(AN409="",0,AN409)),"")</f>
        <v>278</v>
      </c>
      <c r="S409" s="53" t="str">
        <f t="shared" si="168"/>
        <v>n/a</v>
      </c>
      <c r="T409" s="52" t="str">
        <f t="shared" si="169"/>
        <v/>
      </c>
      <c r="U409" s="52">
        <f>IFERROR(IF(AR410=AR409,INDEX('Aub Demand'!Q:Q,MATCH($O409,'Aub Demand'!$A:$A,0))-IF(AN409="",0,AN409)+AP410,INDEX('Aub Demand'!Q:Q,MATCH($O409,'Aub Demand'!$A:$A,0))-IF(AN409="",0,AN409)),"")</f>
        <v>261</v>
      </c>
      <c r="V409" s="53" t="str">
        <f t="shared" si="170"/>
        <v>n/a</v>
      </c>
      <c r="W409" s="52" t="str">
        <f t="shared" si="171"/>
        <v/>
      </c>
      <c r="X409" s="52">
        <f>IFERROR(IF(AND(AR410=AR409,AM409&lt;&gt;""),INDEX('Aub Demand'!Q:Q,MATCH($O409,'Aub Demand'!$A:$A,0))-IF(AN409="",0,AN409)+AP410+AD409+AL409,IF(AR410=AR409,INDEX('Aub Demand'!Q:Q,MATCH($O409,'Aub Demand'!$A:$A,0))-IF(AN409="",0,AN409)+AP410+AD409,IF(AM409&lt;&gt;"",INDEX('Aub Demand'!Q:Q,MATCH($O409,'Aub Demand'!$A:$A,0))-IF(AN409="",0,AN409)+AD409+AL409,INDEX('Aub Demand'!Q:Q,MATCH($O409,'Aub Demand'!$A:$A,0))-IF(AN409="",0,AN409)+AD409))),"")</f>
        <v>261</v>
      </c>
      <c r="Y409" s="53" t="str">
        <f t="shared" si="172"/>
        <v>n/a</v>
      </c>
      <c r="Z409" s="52">
        <f>IF(L409="","",INDEX('Aub Demand'!H:H,MATCH($O409,'Aub Demand'!$A:$A,0)))</f>
        <v>0</v>
      </c>
      <c r="AA409" s="52" t="str">
        <f t="shared" si="173"/>
        <v>-spike-</v>
      </c>
      <c r="AB409" s="52">
        <f>IFERROR(INDEX('Aub Demand'!L:L,MATCH($O409,'Aub Demand'!$A:$A,0)),"")</f>
        <v>0</v>
      </c>
      <c r="AC409" s="52">
        <f>IFERROR(IF(O409="","",SUMIFS('CPL Mats'!F:F,'CPL Mats'!Q:Q,AR409,'CPL Mats'!S:S,AS409)),"")</f>
        <v>0</v>
      </c>
      <c r="AF409" s="25" t="str">
        <f>IF(SUMIFS('Supp Consol'!S:S,'Supp Consol'!Y:Y,"Releasable",'Supp Consol'!A:A,O409)=0,"",SUMIFS('Supp Consol'!S:S,'Supp Consol'!Y:Y,"Releasable",'Supp Consol'!A:A,O409))</f>
        <v/>
      </c>
      <c r="AG409" s="25" t="str">
        <f>IFERROR(INDEX('Hun Demand'!Q:Q,MATCH(O409,'Hun Demand'!A:A,0)),"")</f>
        <v/>
      </c>
      <c r="AH409" s="25" t="str">
        <f>IFERROR(INDEX('Hun Demand'!H:H,MATCH($O409,'Hun Demand'!$A:$A,0)),"")</f>
        <v/>
      </c>
      <c r="AI409" s="25" t="str">
        <f>IF(SUMIFS('Supp Consol'!AA:AA,'Supp Consol'!Z:Z,"Expires this month",'Supp Consol'!A:A,O409)=0,"",SUMIFS('Supp Consol'!AA:AA,'Supp Consol'!Z:Z,"Expires this month",'Supp Consol'!A:A,O409))</f>
        <v/>
      </c>
      <c r="AJ409" s="25" t="str">
        <f>IF(SUMIFS('Supp Consol'!AA:AA,'Supp Consol'!Z:Z,"Expired Previous Months",'Supp Consol'!A:A,O409)=0,"",SUMIFS('Supp Consol'!AA:AA,'Supp Consol'!Z:Z,"Expired Previous Months",'Supp Consol'!A:A,O409))</f>
        <v/>
      </c>
      <c r="AK409" s="25" t="str">
        <f>IFERROR(INDEX('Hun Release Current'!B:B,MATCH(O409,'Hun Release Current'!A:A,0)),"")</f>
        <v/>
      </c>
      <c r="AL409" s="25" t="str">
        <f>IF(SUMIF('Prev Aub'!A:A,O409,'Prev Aub'!B:B)=0,"",SUMIF('Prev Aub'!A:A,O409,'Prev Aub'!B:B))</f>
        <v/>
      </c>
      <c r="AN409" s="25" t="s">
        <v>3790</v>
      </c>
      <c r="AO409" s="25" t="s">
        <v>3790</v>
      </c>
      <c r="AP409" s="25">
        <f t="shared" si="174"/>
        <v>0</v>
      </c>
      <c r="AQ409" s="151" t="str">
        <f>IF(SUMIFS('Supp Consol'!S:S,'Supp Consol'!A:A,O409,'Supp Consol'!I:I,"PENDING")=0,"",SUMIFS('Supp Consol'!S:S,'Supp Consol'!A:A,O409,'Supp Consol'!I:I,"PENDING"))</f>
        <v/>
      </c>
      <c r="AR409" s="27" t="str">
        <f t="shared" si="175"/>
        <v>FB248</v>
      </c>
      <c r="AS409" s="27" t="str">
        <f t="shared" si="176"/>
        <v>50</v>
      </c>
      <c r="AT409" s="27" t="str">
        <f t="shared" si="177"/>
        <v/>
      </c>
      <c r="AU409" s="27" t="str">
        <f t="shared" si="178"/>
        <v/>
      </c>
      <c r="AV409" s="27" t="str">
        <f t="shared" si="179"/>
        <v/>
      </c>
      <c r="AW409" s="27" t="str">
        <f t="shared" si="180"/>
        <v/>
      </c>
      <c r="AX409" s="27" t="str">
        <f t="shared" si="181"/>
        <v/>
      </c>
      <c r="AY409" s="27" t="str">
        <f t="shared" si="182"/>
        <v/>
      </c>
      <c r="AZ409" s="27" t="str">
        <f t="shared" si="183"/>
        <v/>
      </c>
      <c r="BA409" s="27" t="str">
        <f t="shared" si="184"/>
        <v/>
      </c>
      <c r="BB409" s="27" t="str">
        <f t="shared" si="185"/>
        <v/>
      </c>
      <c r="BC409" s="27" t="str">
        <f t="shared" si="186"/>
        <v/>
      </c>
      <c r="BD409" s="27" t="str">
        <f t="shared" si="187"/>
        <v/>
      </c>
      <c r="BE409" s="27" t="str">
        <f t="shared" si="188"/>
        <v/>
      </c>
      <c r="BF409" s="27" t="str">
        <f t="shared" si="189"/>
        <v/>
      </c>
      <c r="BG409" s="27" t="str">
        <f t="shared" si="190"/>
        <v/>
      </c>
      <c r="BH409" s="27" t="str">
        <f t="shared" si="191"/>
        <v/>
      </c>
      <c r="BI409" s="27" t="str">
        <f t="shared" si="192"/>
        <v/>
      </c>
      <c r="BJ409" s="27" t="str">
        <f t="shared" si="193"/>
        <v/>
      </c>
      <c r="BK409" s="27" t="str">
        <f t="shared" si="194"/>
        <v/>
      </c>
      <c r="BL409" s="27" t="str">
        <f t="shared" si="195"/>
        <v/>
      </c>
      <c r="BM409" s="21" t="s">
        <v>5581</v>
      </c>
    </row>
    <row r="410" spans="1:65" ht="15">
      <c r="A410" s="25" t="str">
        <f>IFERROR(INDEX('Hun Demand'!W:W,MATCH(O410,'Hun Demand'!A:A,0)),"")</f>
        <v/>
      </c>
      <c r="B410" s="25" t="str">
        <f>IFERROR(INDEX('Hun Demand'!V:V,MATCH(O410,'Hun Demand'!A:A,0)),"")</f>
        <v/>
      </c>
      <c r="C410" s="25" t="str">
        <f>IFERROR(INDEX('Hun Demand'!U:U,MATCH(O410,'Hun Demand'!A:A,0)),"")</f>
        <v/>
      </c>
      <c r="D410" s="25" t="str">
        <f>IFERROR(INDEX('Hun Demand'!T:T,MATCH(O410,'Hun Demand'!A:A,0)),"")</f>
        <v/>
      </c>
      <c r="E410" s="25" t="str">
        <f>IFERROR(INDEX('Hun Demand'!S:S,MATCH(O410,'Hun Demand'!A:A,0)),"")</f>
        <v/>
      </c>
      <c r="F410" s="25" t="str">
        <f>IFERROR(INDEX('Hun Demand'!R:R,MATCH(O410,'Hun Demand'!A:A,0)),"")</f>
        <v/>
      </c>
      <c r="G410" s="25">
        <f>IFERROR(INDEX('Aub Demand'!W:W,MATCH(O410,'Aub Demand'!A:A,0)),"")</f>
        <v>0</v>
      </c>
      <c r="H410" s="25">
        <f>IFERROR(INDEX('Aub Demand'!V:V,MATCH(O410,'Aub Demand'!A:A,0)),"")</f>
        <v>0</v>
      </c>
      <c r="I410" s="25">
        <f>IFERROR(INDEX('Aub Demand'!U:U,MATCH(O410,'Aub Demand'!A:A,0)),"")</f>
        <v>0</v>
      </c>
      <c r="J410" s="25">
        <f>IFERROR(INDEX('Aub Demand'!T:T,MATCH(O410,'Aub Demand'!A:A,0)),"")</f>
        <v>0</v>
      </c>
      <c r="K410" s="25">
        <f>IFERROR(INDEX('Aub Demand'!S:S,MATCH(O410,'Aub Demand'!A:A,0)),"")</f>
        <v>0</v>
      </c>
      <c r="L410" s="25">
        <f>IFERROR(INDEX('Aub Demand'!R:R,MATCH(O410,'Aub Demand'!A:A,0)),"")</f>
        <v>0</v>
      </c>
      <c r="O410" s="27" t="s">
        <v>694</v>
      </c>
      <c r="P410" s="27" t="str">
        <f>IFERROR(INDEX('Aub Demand'!B:B,MATCH($O410,'Aub Demand'!$A:$A,0)),"")</f>
        <v>DUKE</v>
      </c>
      <c r="Q410" s="27" t="str">
        <f>IFERROR(INDEX('Aub Demand'!C:C,MATCH($O410,'Aub Demand'!$A:$A,0)),"")</f>
        <v>ARAUC</v>
      </c>
      <c r="R410" s="52">
        <f>IFERROR(IF(AR411=AR410,INDEX('Aub Demand'!K:K,MATCH($O410,'Aub Demand'!$A:$A,0))-IF(AN410="",0,AN410)+AP411,INDEX('Aub Demand'!K:K,MATCH($O410,'Aub Demand'!$A:$A,0))-IF(AN410="",0,AN410)),"")</f>
        <v>218</v>
      </c>
      <c r="S410" s="53" t="str">
        <f t="shared" si="168"/>
        <v>n/a</v>
      </c>
      <c r="T410" s="52" t="str">
        <f t="shared" si="169"/>
        <v/>
      </c>
      <c r="U410" s="52">
        <f>IFERROR(IF(AR411=AR410,INDEX('Aub Demand'!Q:Q,MATCH($O410,'Aub Demand'!$A:$A,0))-IF(AN410="",0,AN410)+AP411,INDEX('Aub Demand'!Q:Q,MATCH($O410,'Aub Demand'!$A:$A,0))-IF(AN410="",0,AN410)),"")</f>
        <v>218</v>
      </c>
      <c r="V410" s="53" t="str">
        <f t="shared" si="170"/>
        <v>n/a</v>
      </c>
      <c r="W410" s="52" t="str">
        <f t="shared" si="171"/>
        <v/>
      </c>
      <c r="X410" s="52">
        <f>IFERROR(IF(AND(AR411=AR410,AM410&lt;&gt;""),INDEX('Aub Demand'!Q:Q,MATCH($O410,'Aub Demand'!$A:$A,0))-IF(AN410="",0,AN410)+AP411+AD410+AL410,IF(AR411=AR410,INDEX('Aub Demand'!Q:Q,MATCH($O410,'Aub Demand'!$A:$A,0))-IF(AN410="",0,AN410)+AP411+AD410,IF(AM410&lt;&gt;"",INDEX('Aub Demand'!Q:Q,MATCH($O410,'Aub Demand'!$A:$A,0))-IF(AN410="",0,AN410)+AD410+AL410,INDEX('Aub Demand'!Q:Q,MATCH($O410,'Aub Demand'!$A:$A,0))-IF(AN410="",0,AN410)+AD410))),"")</f>
        <v>218</v>
      </c>
      <c r="Y410" s="53" t="str">
        <f t="shared" si="172"/>
        <v>n/a</v>
      </c>
      <c r="Z410" s="52">
        <f>IF(L410="","",INDEX('Aub Demand'!H:H,MATCH($O410,'Aub Demand'!$A:$A,0)))</f>
        <v>0</v>
      </c>
      <c r="AA410" s="52" t="str">
        <f t="shared" si="173"/>
        <v>-spike-</v>
      </c>
      <c r="AB410" s="52">
        <f>IFERROR(INDEX('Aub Demand'!L:L,MATCH($O410,'Aub Demand'!$A:$A,0)),"")</f>
        <v>0</v>
      </c>
      <c r="AC410" s="52">
        <f>IFERROR(IF(O410="","",SUMIFS('CPL Mats'!F:F,'CPL Mats'!Q:Q,AR410,'CPL Mats'!S:S,AS410)),"")</f>
        <v>0</v>
      </c>
      <c r="AF410" s="25" t="str">
        <f>IF(SUMIFS('Supp Consol'!S:S,'Supp Consol'!Y:Y,"Releasable",'Supp Consol'!A:A,O410)=0,"",SUMIFS('Supp Consol'!S:S,'Supp Consol'!Y:Y,"Releasable",'Supp Consol'!A:A,O410))</f>
        <v/>
      </c>
      <c r="AG410" s="25" t="str">
        <f>IFERROR(INDEX('Hun Demand'!Q:Q,MATCH(O410,'Hun Demand'!A:A,0)),"")</f>
        <v/>
      </c>
      <c r="AH410" s="25" t="str">
        <f>IFERROR(INDEX('Hun Demand'!H:H,MATCH($O410,'Hun Demand'!$A:$A,0)),"")</f>
        <v/>
      </c>
      <c r="AI410" s="25" t="str">
        <f>IF(SUMIFS('Supp Consol'!AA:AA,'Supp Consol'!Z:Z,"Expires this month",'Supp Consol'!A:A,O410)=0,"",SUMIFS('Supp Consol'!AA:AA,'Supp Consol'!Z:Z,"Expires this month",'Supp Consol'!A:A,O410))</f>
        <v/>
      </c>
      <c r="AJ410" s="25" t="str">
        <f>IF(SUMIFS('Supp Consol'!AA:AA,'Supp Consol'!Z:Z,"Expired Previous Months",'Supp Consol'!A:A,O410)=0,"",SUMIFS('Supp Consol'!AA:AA,'Supp Consol'!Z:Z,"Expired Previous Months",'Supp Consol'!A:A,O410))</f>
        <v/>
      </c>
      <c r="AK410" s="25" t="str">
        <f>IFERROR(INDEX('Hun Release Current'!B:B,MATCH(O410,'Hun Release Current'!A:A,0)),"")</f>
        <v/>
      </c>
      <c r="AL410" s="25" t="str">
        <f>IF(SUMIF('Prev Aub'!A:A,O410,'Prev Aub'!B:B)=0,"",SUMIF('Prev Aub'!A:A,O410,'Prev Aub'!B:B))</f>
        <v/>
      </c>
      <c r="AN410" s="25" t="s">
        <v>3790</v>
      </c>
      <c r="AO410" s="25" t="s">
        <v>3790</v>
      </c>
      <c r="AP410" s="25">
        <f t="shared" si="174"/>
        <v>0</v>
      </c>
      <c r="AQ410" s="151" t="str">
        <f>IF(SUMIFS('Supp Consol'!S:S,'Supp Consol'!A:A,O410,'Supp Consol'!I:I,"PENDING")=0,"",SUMIFS('Supp Consol'!S:S,'Supp Consol'!A:A,O410,'Supp Consol'!I:I,"PENDING"))</f>
        <v/>
      </c>
      <c r="AR410" s="27" t="str">
        <f t="shared" si="175"/>
        <v>FB250</v>
      </c>
      <c r="AS410" s="27" t="str">
        <f t="shared" si="176"/>
        <v>50</v>
      </c>
      <c r="AT410" s="27" t="str">
        <f t="shared" si="177"/>
        <v/>
      </c>
      <c r="AU410" s="27" t="str">
        <f t="shared" si="178"/>
        <v/>
      </c>
      <c r="AV410" s="27" t="str">
        <f t="shared" si="179"/>
        <v/>
      </c>
      <c r="AW410" s="27" t="str">
        <f t="shared" si="180"/>
        <v/>
      </c>
      <c r="AX410" s="27" t="str">
        <f t="shared" si="181"/>
        <v/>
      </c>
      <c r="AY410" s="27" t="str">
        <f t="shared" si="182"/>
        <v/>
      </c>
      <c r="AZ410" s="27" t="str">
        <f t="shared" si="183"/>
        <v/>
      </c>
      <c r="BA410" s="27" t="str">
        <f t="shared" si="184"/>
        <v/>
      </c>
      <c r="BB410" s="27" t="str">
        <f t="shared" si="185"/>
        <v/>
      </c>
      <c r="BC410" s="27" t="str">
        <f t="shared" si="186"/>
        <v/>
      </c>
      <c r="BD410" s="27" t="str">
        <f t="shared" si="187"/>
        <v/>
      </c>
      <c r="BE410" s="27" t="str">
        <f t="shared" si="188"/>
        <v/>
      </c>
      <c r="BF410" s="27" t="str">
        <f t="shared" si="189"/>
        <v/>
      </c>
      <c r="BG410" s="27" t="str">
        <f t="shared" si="190"/>
        <v/>
      </c>
      <c r="BH410" s="27" t="str">
        <f t="shared" si="191"/>
        <v/>
      </c>
      <c r="BI410" s="27" t="str">
        <f t="shared" si="192"/>
        <v/>
      </c>
      <c r="BJ410" s="27" t="str">
        <f t="shared" si="193"/>
        <v/>
      </c>
      <c r="BK410" s="27" t="str">
        <f t="shared" si="194"/>
        <v/>
      </c>
      <c r="BL410" s="27" t="str">
        <f t="shared" si="195"/>
        <v/>
      </c>
      <c r="BM410" s="21" t="s">
        <v>5581</v>
      </c>
    </row>
    <row r="411" spans="1:65" ht="15">
      <c r="A411" s="25" t="str">
        <f>IFERROR(INDEX('Hun Demand'!W:W,MATCH(O411,'Hun Demand'!A:A,0)),"")</f>
        <v/>
      </c>
      <c r="B411" s="25" t="str">
        <f>IFERROR(INDEX('Hun Demand'!V:V,MATCH(O411,'Hun Demand'!A:A,0)),"")</f>
        <v/>
      </c>
      <c r="C411" s="25" t="str">
        <f>IFERROR(INDEX('Hun Demand'!U:U,MATCH(O411,'Hun Demand'!A:A,0)),"")</f>
        <v/>
      </c>
      <c r="D411" s="25" t="str">
        <f>IFERROR(INDEX('Hun Demand'!T:T,MATCH(O411,'Hun Demand'!A:A,0)),"")</f>
        <v/>
      </c>
      <c r="E411" s="25" t="str">
        <f>IFERROR(INDEX('Hun Demand'!S:S,MATCH(O411,'Hun Demand'!A:A,0)),"")</f>
        <v/>
      </c>
      <c r="F411" s="25" t="str">
        <f>IFERROR(INDEX('Hun Demand'!R:R,MATCH(O411,'Hun Demand'!A:A,0)),"")</f>
        <v/>
      </c>
      <c r="G411" s="25">
        <f>IFERROR(INDEX('Aub Demand'!W:W,MATCH(O411,'Aub Demand'!A:A,0)),"")</f>
        <v>0</v>
      </c>
      <c r="H411" s="25">
        <f>IFERROR(INDEX('Aub Demand'!V:V,MATCH(O411,'Aub Demand'!A:A,0)),"")</f>
        <v>0</v>
      </c>
      <c r="I411" s="25">
        <f>IFERROR(INDEX('Aub Demand'!U:U,MATCH(O411,'Aub Demand'!A:A,0)),"")</f>
        <v>0</v>
      </c>
      <c r="J411" s="25">
        <f>IFERROR(INDEX('Aub Demand'!T:T,MATCH(O411,'Aub Demand'!A:A,0)),"")</f>
        <v>0</v>
      </c>
      <c r="K411" s="25">
        <f>IFERROR(INDEX('Aub Demand'!S:S,MATCH(O411,'Aub Demand'!A:A,0)),"")</f>
        <v>0</v>
      </c>
      <c r="L411" s="25">
        <f>IFERROR(INDEX('Aub Demand'!R:R,MATCH(O411,'Aub Demand'!A:A,0)),"")</f>
        <v>0</v>
      </c>
      <c r="O411" s="27" t="s">
        <v>696</v>
      </c>
      <c r="P411" s="27" t="str">
        <f>IFERROR(INDEX('Aub Demand'!B:B,MATCH($O411,'Aub Demand'!$A:$A,0)),"")</f>
        <v>DUKE</v>
      </c>
      <c r="Q411" s="27" t="str">
        <f>IFERROR(INDEX('Aub Demand'!C:C,MATCH($O411,'Aub Demand'!$A:$A,0)),"")</f>
        <v>ARAUC</v>
      </c>
      <c r="R411" s="52">
        <f>IFERROR(IF(AR412=AR411,INDEX('Aub Demand'!K:K,MATCH($O411,'Aub Demand'!$A:$A,0))-IF(AN411="",0,AN411)+AP412,INDEX('Aub Demand'!K:K,MATCH($O411,'Aub Demand'!$A:$A,0))-IF(AN411="",0,AN411)),"")</f>
        <v>188</v>
      </c>
      <c r="S411" s="53" t="str">
        <f t="shared" si="168"/>
        <v>n/a</v>
      </c>
      <c r="T411" s="52" t="str">
        <f t="shared" si="169"/>
        <v/>
      </c>
      <c r="U411" s="52">
        <f>IFERROR(IF(AR412=AR411,INDEX('Aub Demand'!Q:Q,MATCH($O411,'Aub Demand'!$A:$A,0))-IF(AN411="",0,AN411)+AP412,INDEX('Aub Demand'!Q:Q,MATCH($O411,'Aub Demand'!$A:$A,0))-IF(AN411="",0,AN411)),"")</f>
        <v>188</v>
      </c>
      <c r="V411" s="53" t="str">
        <f t="shared" si="170"/>
        <v>n/a</v>
      </c>
      <c r="W411" s="52" t="str">
        <f t="shared" si="171"/>
        <v/>
      </c>
      <c r="X411" s="52">
        <f>IFERROR(IF(AND(AR412=AR411,AM411&lt;&gt;""),INDEX('Aub Demand'!Q:Q,MATCH($O411,'Aub Demand'!$A:$A,0))-IF(AN411="",0,AN411)+AP412+AD411+AL411,IF(AR412=AR411,INDEX('Aub Demand'!Q:Q,MATCH($O411,'Aub Demand'!$A:$A,0))-IF(AN411="",0,AN411)+AP412+AD411,IF(AM411&lt;&gt;"",INDEX('Aub Demand'!Q:Q,MATCH($O411,'Aub Demand'!$A:$A,0))-IF(AN411="",0,AN411)+AD411+AL411,INDEX('Aub Demand'!Q:Q,MATCH($O411,'Aub Demand'!$A:$A,0))-IF(AN411="",0,AN411)+AD411))),"")</f>
        <v>188</v>
      </c>
      <c r="Y411" s="53" t="str">
        <f t="shared" si="172"/>
        <v>n/a</v>
      </c>
      <c r="Z411" s="52">
        <f>IF(L411="","",INDEX('Aub Demand'!H:H,MATCH($O411,'Aub Demand'!$A:$A,0)))</f>
        <v>0</v>
      </c>
      <c r="AA411" s="52" t="str">
        <f t="shared" si="173"/>
        <v>-spike-</v>
      </c>
      <c r="AB411" s="52">
        <f>IFERROR(INDEX('Aub Demand'!L:L,MATCH($O411,'Aub Demand'!$A:$A,0)),"")</f>
        <v>0</v>
      </c>
      <c r="AC411" s="52">
        <f>IFERROR(IF(O411="","",SUMIFS('CPL Mats'!F:F,'CPL Mats'!Q:Q,AR411,'CPL Mats'!S:S,AS411)),"")</f>
        <v>0</v>
      </c>
      <c r="AF411" s="25" t="str">
        <f>IF(SUMIFS('Supp Consol'!S:S,'Supp Consol'!Y:Y,"Releasable",'Supp Consol'!A:A,O411)=0,"",SUMIFS('Supp Consol'!S:S,'Supp Consol'!Y:Y,"Releasable",'Supp Consol'!A:A,O411))</f>
        <v/>
      </c>
      <c r="AG411" s="25" t="str">
        <f>IFERROR(INDEX('Hun Demand'!Q:Q,MATCH(O411,'Hun Demand'!A:A,0)),"")</f>
        <v/>
      </c>
      <c r="AH411" s="25" t="str">
        <f>IFERROR(INDEX('Hun Demand'!H:H,MATCH($O411,'Hun Demand'!$A:$A,0)),"")</f>
        <v/>
      </c>
      <c r="AI411" s="25" t="str">
        <f>IF(SUMIFS('Supp Consol'!AA:AA,'Supp Consol'!Z:Z,"Expires this month",'Supp Consol'!A:A,O411)=0,"",SUMIFS('Supp Consol'!AA:AA,'Supp Consol'!Z:Z,"Expires this month",'Supp Consol'!A:A,O411))</f>
        <v/>
      </c>
      <c r="AJ411" s="25" t="str">
        <f>IF(SUMIFS('Supp Consol'!AA:AA,'Supp Consol'!Z:Z,"Expired Previous Months",'Supp Consol'!A:A,O411)=0,"",SUMIFS('Supp Consol'!AA:AA,'Supp Consol'!Z:Z,"Expired Previous Months",'Supp Consol'!A:A,O411))</f>
        <v/>
      </c>
      <c r="AK411" s="25" t="str">
        <f>IFERROR(INDEX('Hun Release Current'!B:B,MATCH(O411,'Hun Release Current'!A:A,0)),"")</f>
        <v/>
      </c>
      <c r="AL411" s="25" t="str">
        <f>IF(SUMIF('Prev Aub'!A:A,O411,'Prev Aub'!B:B)=0,"",SUMIF('Prev Aub'!A:A,O411,'Prev Aub'!B:B))</f>
        <v/>
      </c>
      <c r="AN411" s="25" t="s">
        <v>3790</v>
      </c>
      <c r="AO411" s="25" t="s">
        <v>3790</v>
      </c>
      <c r="AP411" s="25">
        <f t="shared" si="174"/>
        <v>0</v>
      </c>
      <c r="AQ411" s="151" t="str">
        <f>IF(SUMIFS('Supp Consol'!S:S,'Supp Consol'!A:A,O411,'Supp Consol'!I:I,"PENDING")=0,"",SUMIFS('Supp Consol'!S:S,'Supp Consol'!A:A,O411,'Supp Consol'!I:I,"PENDING"))</f>
        <v/>
      </c>
      <c r="AR411" s="27" t="str">
        <f t="shared" si="175"/>
        <v>FB250</v>
      </c>
      <c r="AS411" s="27" t="str">
        <f t="shared" si="176"/>
        <v>62</v>
      </c>
      <c r="AT411" s="27" t="str">
        <f t="shared" si="177"/>
        <v/>
      </c>
      <c r="AU411" s="27" t="str">
        <f t="shared" si="178"/>
        <v/>
      </c>
      <c r="AV411" s="27" t="str">
        <f t="shared" si="179"/>
        <v/>
      </c>
      <c r="AW411" s="27" t="str">
        <f t="shared" si="180"/>
        <v/>
      </c>
      <c r="AX411" s="27" t="str">
        <f t="shared" si="181"/>
        <v/>
      </c>
      <c r="AY411" s="27" t="str">
        <f t="shared" si="182"/>
        <v/>
      </c>
      <c r="AZ411" s="27" t="str">
        <f t="shared" si="183"/>
        <v/>
      </c>
      <c r="BA411" s="27" t="str">
        <f t="shared" si="184"/>
        <v/>
      </c>
      <c r="BB411" s="27" t="str">
        <f t="shared" si="185"/>
        <v/>
      </c>
      <c r="BC411" s="27" t="str">
        <f t="shared" si="186"/>
        <v/>
      </c>
      <c r="BD411" s="27" t="str">
        <f t="shared" si="187"/>
        <v/>
      </c>
      <c r="BE411" s="27" t="str">
        <f t="shared" si="188"/>
        <v/>
      </c>
      <c r="BF411" s="27" t="str">
        <f t="shared" si="189"/>
        <v/>
      </c>
      <c r="BG411" s="27" t="str">
        <f t="shared" si="190"/>
        <v/>
      </c>
      <c r="BH411" s="27" t="str">
        <f t="shared" si="191"/>
        <v/>
      </c>
      <c r="BI411" s="27" t="str">
        <f t="shared" si="192"/>
        <v/>
      </c>
      <c r="BJ411" s="27" t="str">
        <f t="shared" si="193"/>
        <v/>
      </c>
      <c r="BK411" s="27" t="str">
        <f t="shared" si="194"/>
        <v/>
      </c>
      <c r="BL411" s="27" t="str">
        <f t="shared" si="195"/>
        <v/>
      </c>
      <c r="BM411" s="21" t="s">
        <v>5581</v>
      </c>
    </row>
    <row r="412" spans="1:65" ht="15">
      <c r="A412" s="25" t="str">
        <f>IFERROR(INDEX('Hun Demand'!W:W,MATCH(O412,'Hun Demand'!A:A,0)),"")</f>
        <v/>
      </c>
      <c r="B412" s="25" t="str">
        <f>IFERROR(INDEX('Hun Demand'!V:V,MATCH(O412,'Hun Demand'!A:A,0)),"")</f>
        <v/>
      </c>
      <c r="C412" s="25" t="str">
        <f>IFERROR(INDEX('Hun Demand'!U:U,MATCH(O412,'Hun Demand'!A:A,0)),"")</f>
        <v/>
      </c>
      <c r="D412" s="25" t="str">
        <f>IFERROR(INDEX('Hun Demand'!T:T,MATCH(O412,'Hun Demand'!A:A,0)),"")</f>
        <v/>
      </c>
      <c r="E412" s="25" t="str">
        <f>IFERROR(INDEX('Hun Demand'!S:S,MATCH(O412,'Hun Demand'!A:A,0)),"")</f>
        <v/>
      </c>
      <c r="F412" s="25" t="str">
        <f>IFERROR(INDEX('Hun Demand'!R:R,MATCH(O412,'Hun Demand'!A:A,0)),"")</f>
        <v/>
      </c>
      <c r="G412" s="25">
        <f>IFERROR(INDEX('Aub Demand'!W:W,MATCH(O412,'Aub Demand'!A:A,0)),"")</f>
        <v>0</v>
      </c>
      <c r="H412" s="25">
        <f>IFERROR(INDEX('Aub Demand'!V:V,MATCH(O412,'Aub Demand'!A:A,0)),"")</f>
        <v>0</v>
      </c>
      <c r="I412" s="25">
        <f>IFERROR(INDEX('Aub Demand'!U:U,MATCH(O412,'Aub Demand'!A:A,0)),"")</f>
        <v>0</v>
      </c>
      <c r="J412" s="25">
        <f>IFERROR(INDEX('Aub Demand'!T:T,MATCH(O412,'Aub Demand'!A:A,0)),"")</f>
        <v>0</v>
      </c>
      <c r="K412" s="25">
        <f>IFERROR(INDEX('Aub Demand'!S:S,MATCH(O412,'Aub Demand'!A:A,0)),"")</f>
        <v>0</v>
      </c>
      <c r="L412" s="25">
        <f>IFERROR(INDEX('Aub Demand'!R:R,MATCH(O412,'Aub Demand'!A:A,0)),"")</f>
        <v>0</v>
      </c>
      <c r="O412" s="27" t="s">
        <v>697</v>
      </c>
      <c r="P412" s="27" t="str">
        <f>IFERROR(INDEX('Aub Demand'!B:B,MATCH($O412,'Aub Demand'!$A:$A,0)),"")</f>
        <v>CELADON</v>
      </c>
      <c r="Q412" s="27" t="str">
        <f>IFERROR(INDEX('Aub Demand'!C:C,MATCH($O412,'Aub Demand'!$A:$A,0)),"")</f>
        <v>ARAUC</v>
      </c>
      <c r="R412" s="52">
        <f>IFERROR(IF(AR413=AR412,INDEX('Aub Demand'!K:K,MATCH($O412,'Aub Demand'!$A:$A,0))-IF(AN412="",0,AN412)+AP413,INDEX('Aub Demand'!K:K,MATCH($O412,'Aub Demand'!$A:$A,0))-IF(AN412="",0,AN412)),"")</f>
        <v>153</v>
      </c>
      <c r="S412" s="53" t="str">
        <f t="shared" si="168"/>
        <v>n/a</v>
      </c>
      <c r="T412" s="52" t="str">
        <f t="shared" si="169"/>
        <v/>
      </c>
      <c r="U412" s="52">
        <f>IFERROR(IF(AR413=AR412,INDEX('Aub Demand'!Q:Q,MATCH($O412,'Aub Demand'!$A:$A,0))-IF(AN412="",0,AN412)+AP413,INDEX('Aub Demand'!Q:Q,MATCH($O412,'Aub Demand'!$A:$A,0))-IF(AN412="",0,AN412)),"")</f>
        <v>153</v>
      </c>
      <c r="V412" s="53" t="str">
        <f t="shared" si="170"/>
        <v>n/a</v>
      </c>
      <c r="W412" s="52" t="str">
        <f t="shared" si="171"/>
        <v/>
      </c>
      <c r="X412" s="52">
        <f>IFERROR(IF(AND(AR413=AR412,AM412&lt;&gt;""),INDEX('Aub Demand'!Q:Q,MATCH($O412,'Aub Demand'!$A:$A,0))-IF(AN412="",0,AN412)+AP413+AD412+AL412,IF(AR413=AR412,INDEX('Aub Demand'!Q:Q,MATCH($O412,'Aub Demand'!$A:$A,0))-IF(AN412="",0,AN412)+AP413+AD412,IF(AM412&lt;&gt;"",INDEX('Aub Demand'!Q:Q,MATCH($O412,'Aub Demand'!$A:$A,0))-IF(AN412="",0,AN412)+AD412+AL412,INDEX('Aub Demand'!Q:Q,MATCH($O412,'Aub Demand'!$A:$A,0))-IF(AN412="",0,AN412)+AD412))),"")</f>
        <v>153</v>
      </c>
      <c r="Y412" s="53" t="str">
        <f t="shared" si="172"/>
        <v>n/a</v>
      </c>
      <c r="Z412" s="52">
        <f>IF(L412="","",INDEX('Aub Demand'!H:H,MATCH($O412,'Aub Demand'!$A:$A,0)))</f>
        <v>0</v>
      </c>
      <c r="AA412" s="52" t="str">
        <f t="shared" si="173"/>
        <v>-spike-</v>
      </c>
      <c r="AB412" s="52">
        <f>IFERROR(INDEX('Aub Demand'!L:L,MATCH($O412,'Aub Demand'!$A:$A,0)),"")</f>
        <v>3</v>
      </c>
      <c r="AC412" s="52">
        <f>IFERROR(IF(O412="","",SUMIFS('CPL Mats'!F:F,'CPL Mats'!Q:Q,AR412,'CPL Mats'!S:S,AS412)),"")</f>
        <v>0</v>
      </c>
      <c r="AF412" s="25" t="str">
        <f>IF(SUMIFS('Supp Consol'!S:S,'Supp Consol'!Y:Y,"Releasable",'Supp Consol'!A:A,O412)=0,"",SUMIFS('Supp Consol'!S:S,'Supp Consol'!Y:Y,"Releasable",'Supp Consol'!A:A,O412))</f>
        <v/>
      </c>
      <c r="AG412" s="25" t="str">
        <f>IFERROR(INDEX('Hun Demand'!Q:Q,MATCH(O412,'Hun Demand'!A:A,0)),"")</f>
        <v/>
      </c>
      <c r="AH412" s="25" t="str">
        <f>IFERROR(INDEX('Hun Demand'!H:H,MATCH($O412,'Hun Demand'!$A:$A,0)),"")</f>
        <v/>
      </c>
      <c r="AI412" s="25" t="str">
        <f>IF(SUMIFS('Supp Consol'!AA:AA,'Supp Consol'!Z:Z,"Expires this month",'Supp Consol'!A:A,O412)=0,"",SUMIFS('Supp Consol'!AA:AA,'Supp Consol'!Z:Z,"Expires this month",'Supp Consol'!A:A,O412))</f>
        <v/>
      </c>
      <c r="AJ412" s="25" t="str">
        <f>IF(SUMIFS('Supp Consol'!AA:AA,'Supp Consol'!Z:Z,"Expired Previous Months",'Supp Consol'!A:A,O412)=0,"",SUMIFS('Supp Consol'!AA:AA,'Supp Consol'!Z:Z,"Expired Previous Months",'Supp Consol'!A:A,O412))</f>
        <v/>
      </c>
      <c r="AK412" s="25" t="str">
        <f>IFERROR(INDEX('Hun Release Current'!B:B,MATCH(O412,'Hun Release Current'!A:A,0)),"")</f>
        <v/>
      </c>
      <c r="AL412" s="25" t="str">
        <f>IF(SUMIF('Prev Aub'!A:A,O412,'Prev Aub'!B:B)=0,"",SUMIF('Prev Aub'!A:A,O412,'Prev Aub'!B:B))</f>
        <v/>
      </c>
      <c r="AN412" s="25" t="s">
        <v>3790</v>
      </c>
      <c r="AO412" s="25" t="s">
        <v>3790</v>
      </c>
      <c r="AP412" s="25">
        <f t="shared" si="174"/>
        <v>0</v>
      </c>
      <c r="AQ412" s="151" t="str">
        <f>IF(SUMIFS('Supp Consol'!S:S,'Supp Consol'!A:A,O412,'Supp Consol'!I:I,"PENDING")=0,"",SUMIFS('Supp Consol'!S:S,'Supp Consol'!A:A,O412,'Supp Consol'!I:I,"PENDING"))</f>
        <v/>
      </c>
      <c r="AR412" s="27" t="str">
        <f t="shared" si="175"/>
        <v>FB251</v>
      </c>
      <c r="AS412" s="27" t="str">
        <f t="shared" si="176"/>
        <v>50</v>
      </c>
      <c r="AT412" s="27" t="str">
        <f t="shared" si="177"/>
        <v/>
      </c>
      <c r="AU412" s="27" t="str">
        <f t="shared" si="178"/>
        <v/>
      </c>
      <c r="AV412" s="27" t="str">
        <f t="shared" si="179"/>
        <v/>
      </c>
      <c r="AW412" s="27" t="str">
        <f t="shared" si="180"/>
        <v/>
      </c>
      <c r="AX412" s="27" t="str">
        <f t="shared" si="181"/>
        <v/>
      </c>
      <c r="AY412" s="27" t="str">
        <f t="shared" si="182"/>
        <v/>
      </c>
      <c r="AZ412" s="27" t="str">
        <f t="shared" si="183"/>
        <v/>
      </c>
      <c r="BA412" s="27" t="str">
        <f t="shared" si="184"/>
        <v/>
      </c>
      <c r="BB412" s="27" t="str">
        <f t="shared" si="185"/>
        <v/>
      </c>
      <c r="BC412" s="27" t="str">
        <f t="shared" si="186"/>
        <v/>
      </c>
      <c r="BD412" s="27" t="str">
        <f t="shared" si="187"/>
        <v/>
      </c>
      <c r="BE412" s="27" t="str">
        <f t="shared" si="188"/>
        <v/>
      </c>
      <c r="BF412" s="27" t="str">
        <f t="shared" si="189"/>
        <v/>
      </c>
      <c r="BG412" s="27" t="str">
        <f t="shared" si="190"/>
        <v/>
      </c>
      <c r="BH412" s="27" t="str">
        <f t="shared" si="191"/>
        <v/>
      </c>
      <c r="BI412" s="27" t="str">
        <f t="shared" si="192"/>
        <v/>
      </c>
      <c r="BJ412" s="27" t="str">
        <f t="shared" si="193"/>
        <v/>
      </c>
      <c r="BK412" s="27" t="str">
        <f t="shared" si="194"/>
        <v/>
      </c>
      <c r="BL412" s="27" t="str">
        <f t="shared" si="195"/>
        <v/>
      </c>
      <c r="BM412" s="21" t="s">
        <v>5581</v>
      </c>
    </row>
    <row r="413" spans="1:65" ht="15">
      <c r="A413" s="25" t="str">
        <f>IFERROR(INDEX('Hun Demand'!W:W,MATCH(O413,'Hun Demand'!A:A,0)),"")</f>
        <v/>
      </c>
      <c r="B413" s="25" t="str">
        <f>IFERROR(INDEX('Hun Demand'!V:V,MATCH(O413,'Hun Demand'!A:A,0)),"")</f>
        <v/>
      </c>
      <c r="C413" s="25" t="str">
        <f>IFERROR(INDEX('Hun Demand'!U:U,MATCH(O413,'Hun Demand'!A:A,0)),"")</f>
        <v/>
      </c>
      <c r="D413" s="25" t="str">
        <f>IFERROR(INDEX('Hun Demand'!T:T,MATCH(O413,'Hun Demand'!A:A,0)),"")</f>
        <v/>
      </c>
      <c r="E413" s="25" t="str">
        <f>IFERROR(INDEX('Hun Demand'!S:S,MATCH(O413,'Hun Demand'!A:A,0)),"")</f>
        <v/>
      </c>
      <c r="F413" s="25" t="str">
        <f>IFERROR(INDEX('Hun Demand'!R:R,MATCH(O413,'Hun Demand'!A:A,0)),"")</f>
        <v/>
      </c>
      <c r="G413" s="25">
        <f>IFERROR(INDEX('Aub Demand'!W:W,MATCH(O413,'Aub Demand'!A:A,0)),"")</f>
        <v>0</v>
      </c>
      <c r="H413" s="25">
        <f>IFERROR(INDEX('Aub Demand'!V:V,MATCH(O413,'Aub Demand'!A:A,0)),"")</f>
        <v>0</v>
      </c>
      <c r="I413" s="25">
        <f>IFERROR(INDEX('Aub Demand'!U:U,MATCH(O413,'Aub Demand'!A:A,0)),"")</f>
        <v>0</v>
      </c>
      <c r="J413" s="25">
        <f>IFERROR(INDEX('Aub Demand'!T:T,MATCH(O413,'Aub Demand'!A:A,0)),"")</f>
        <v>0</v>
      </c>
      <c r="K413" s="25">
        <f>IFERROR(INDEX('Aub Demand'!S:S,MATCH(O413,'Aub Demand'!A:A,0)),"")</f>
        <v>30</v>
      </c>
      <c r="L413" s="25">
        <f>IFERROR(INDEX('Aub Demand'!R:R,MATCH(O413,'Aub Demand'!A:A,0)),"")</f>
        <v>0</v>
      </c>
      <c r="O413" s="27" t="s">
        <v>5933</v>
      </c>
      <c r="P413" s="27" t="str">
        <f>IFERROR(INDEX('Aub Demand'!B:B,MATCH($O413,'Aub Demand'!$A:$A,0)),"")</f>
        <v>CELADON</v>
      </c>
      <c r="Q413" s="27" t="str">
        <f>IFERROR(INDEX('Aub Demand'!C:C,MATCH($O413,'Aub Demand'!$A:$A,0)),"")</f>
        <v>ARAUC</v>
      </c>
      <c r="R413" s="52">
        <f>IFERROR(IF(AR414=AR413,INDEX('Aub Demand'!K:K,MATCH($O413,'Aub Demand'!$A:$A,0))-IF(AN413="",0,AN413)+AP414,INDEX('Aub Demand'!K:K,MATCH($O413,'Aub Demand'!$A:$A,0))-IF(AN413="",0,AN413)),"")</f>
        <v>208</v>
      </c>
      <c r="S413" s="53">
        <f t="shared" si="168"/>
        <v>89.1</v>
      </c>
      <c r="T413" s="52" t="str">
        <f t="shared" si="169"/>
        <v/>
      </c>
      <c r="U413" s="52">
        <f>IFERROR(IF(AR414=AR413,INDEX('Aub Demand'!Q:Q,MATCH($O413,'Aub Demand'!$A:$A,0))-IF(AN413="",0,AN413)+AP414,INDEX('Aub Demand'!Q:Q,MATCH($O413,'Aub Demand'!$A:$A,0))-IF(AN413="",0,AN413)),"")</f>
        <v>208</v>
      </c>
      <c r="V413" s="53">
        <f t="shared" si="170"/>
        <v>89.1</v>
      </c>
      <c r="W413" s="52" t="str">
        <f t="shared" si="171"/>
        <v/>
      </c>
      <c r="X413" s="52">
        <f>IFERROR(IF(AND(AR414=AR413,AM413&lt;&gt;""),INDEX('Aub Demand'!Q:Q,MATCH($O413,'Aub Demand'!$A:$A,0))-IF(AN413="",0,AN413)+AP414+AD413+AL413,IF(AR414=AR413,INDEX('Aub Demand'!Q:Q,MATCH($O413,'Aub Demand'!$A:$A,0))-IF(AN413="",0,AN413)+AP414+AD413,IF(AM413&lt;&gt;"",INDEX('Aub Demand'!Q:Q,MATCH($O413,'Aub Demand'!$A:$A,0))-IF(AN413="",0,AN413)+AD413+AL413,INDEX('Aub Demand'!Q:Q,MATCH($O413,'Aub Demand'!$A:$A,0))-IF(AN413="",0,AN413)+AD413))),"")</f>
        <v>208</v>
      </c>
      <c r="Y413" s="53">
        <f t="shared" si="172"/>
        <v>89.1</v>
      </c>
      <c r="Z413" s="52">
        <f>IF(L413="","",INDEX('Aub Demand'!H:H,MATCH($O413,'Aub Demand'!$A:$A,0)))</f>
        <v>10</v>
      </c>
      <c r="AA413" s="52" t="str">
        <f t="shared" si="173"/>
        <v>-spike-</v>
      </c>
      <c r="AB413" s="52">
        <f>IFERROR(INDEX('Aub Demand'!L:L,MATCH($O413,'Aub Demand'!$A:$A,0)),"")</f>
        <v>0</v>
      </c>
      <c r="AC413" s="52">
        <f>IFERROR(IF(O413="","",SUMIFS('CPL Mats'!F:F,'CPL Mats'!Q:Q,AR413,'CPL Mats'!S:S,AS413)),"")</f>
        <v>0</v>
      </c>
      <c r="AF413" s="25" t="str">
        <f>IF(SUMIFS('Supp Consol'!S:S,'Supp Consol'!Y:Y,"Releasable",'Supp Consol'!A:A,O413)=0,"",SUMIFS('Supp Consol'!S:S,'Supp Consol'!Y:Y,"Releasable",'Supp Consol'!A:A,O413))</f>
        <v/>
      </c>
      <c r="AG413" s="25" t="str">
        <f>IFERROR(INDEX('Hun Demand'!Q:Q,MATCH(O413,'Hun Demand'!A:A,0)),"")</f>
        <v/>
      </c>
      <c r="AH413" s="25" t="str">
        <f>IFERROR(INDEX('Hun Demand'!H:H,MATCH($O413,'Hun Demand'!$A:$A,0)),"")</f>
        <v/>
      </c>
      <c r="AI413" s="25" t="str">
        <f>IF(SUMIFS('Supp Consol'!AA:AA,'Supp Consol'!Z:Z,"Expires this month",'Supp Consol'!A:A,O413)=0,"",SUMIFS('Supp Consol'!AA:AA,'Supp Consol'!Z:Z,"Expires this month",'Supp Consol'!A:A,O413))</f>
        <v/>
      </c>
      <c r="AJ413" s="25" t="str">
        <f>IF(SUMIFS('Supp Consol'!AA:AA,'Supp Consol'!Z:Z,"Expired Previous Months",'Supp Consol'!A:A,O413)=0,"",SUMIFS('Supp Consol'!AA:AA,'Supp Consol'!Z:Z,"Expired Previous Months",'Supp Consol'!A:A,O413))</f>
        <v/>
      </c>
      <c r="AK413" s="25" t="str">
        <f>IFERROR(INDEX('Hun Release Current'!B:B,MATCH(O413,'Hun Release Current'!A:A,0)),"")</f>
        <v/>
      </c>
      <c r="AL413" s="25" t="str">
        <f>IF(SUMIF('Prev Aub'!A:A,O413,'Prev Aub'!B:B)=0,"",SUMIF('Prev Aub'!A:A,O413,'Prev Aub'!B:B))</f>
        <v/>
      </c>
      <c r="AN413" s="25" t="s">
        <v>3790</v>
      </c>
      <c r="AO413" s="25" t="s">
        <v>3790</v>
      </c>
      <c r="AP413" s="25">
        <f t="shared" si="174"/>
        <v>0</v>
      </c>
      <c r="AQ413" s="151" t="str">
        <f>IF(SUMIFS('Supp Consol'!S:S,'Supp Consol'!A:A,O413,'Supp Consol'!I:I,"PENDING")=0,"",SUMIFS('Supp Consol'!S:S,'Supp Consol'!A:A,O413,'Supp Consol'!I:I,"PENDING"))</f>
        <v/>
      </c>
      <c r="AR413" s="27" t="str">
        <f t="shared" si="175"/>
        <v>FB251</v>
      </c>
      <c r="AS413" s="27" t="str">
        <f t="shared" si="176"/>
        <v>62</v>
      </c>
      <c r="AT413" s="27" t="str">
        <f t="shared" si="177"/>
        <v/>
      </c>
      <c r="AU413" s="27" t="str">
        <f t="shared" si="178"/>
        <v/>
      </c>
      <c r="AV413" s="27" t="str">
        <f t="shared" si="179"/>
        <v/>
      </c>
      <c r="AW413" s="27" t="str">
        <f t="shared" si="180"/>
        <v/>
      </c>
      <c r="AX413" s="27" t="str">
        <f t="shared" si="181"/>
        <v/>
      </c>
      <c r="AY413" s="27" t="str">
        <f t="shared" si="182"/>
        <v/>
      </c>
      <c r="AZ413" s="27" t="str">
        <f t="shared" si="183"/>
        <v/>
      </c>
      <c r="BA413" s="27" t="str">
        <f t="shared" si="184"/>
        <v/>
      </c>
      <c r="BB413" s="27" t="str">
        <f t="shared" si="185"/>
        <v/>
      </c>
      <c r="BC413" s="27" t="str">
        <f t="shared" si="186"/>
        <v/>
      </c>
      <c r="BD413" s="27" t="str">
        <f t="shared" si="187"/>
        <v/>
      </c>
      <c r="BE413" s="27" t="str">
        <f t="shared" si="188"/>
        <v/>
      </c>
      <c r="BF413" s="27" t="str">
        <f t="shared" si="189"/>
        <v/>
      </c>
      <c r="BG413" s="27" t="str">
        <f t="shared" si="190"/>
        <v/>
      </c>
      <c r="BH413" s="27" t="str">
        <f t="shared" si="191"/>
        <v/>
      </c>
      <c r="BI413" s="27" t="str">
        <f t="shared" si="192"/>
        <v/>
      </c>
      <c r="BJ413" s="27" t="str">
        <f t="shared" si="193"/>
        <v/>
      </c>
      <c r="BK413" s="27" t="str">
        <f t="shared" si="194"/>
        <v/>
      </c>
      <c r="BL413" s="27" t="str">
        <f t="shared" si="195"/>
        <v/>
      </c>
      <c r="BM413" s="21" t="s">
        <v>3790</v>
      </c>
    </row>
    <row r="414" spans="1:65" ht="15">
      <c r="A414" s="25" t="str">
        <f>IFERROR(INDEX('Hun Demand'!W:W,MATCH(O414,'Hun Demand'!A:A,0)),"")</f>
        <v/>
      </c>
      <c r="B414" s="25" t="str">
        <f>IFERROR(INDEX('Hun Demand'!V:V,MATCH(O414,'Hun Demand'!A:A,0)),"")</f>
        <v/>
      </c>
      <c r="C414" s="25" t="str">
        <f>IFERROR(INDEX('Hun Demand'!U:U,MATCH(O414,'Hun Demand'!A:A,0)),"")</f>
        <v/>
      </c>
      <c r="D414" s="25" t="str">
        <f>IFERROR(INDEX('Hun Demand'!T:T,MATCH(O414,'Hun Demand'!A:A,0)),"")</f>
        <v/>
      </c>
      <c r="E414" s="25" t="str">
        <f>IFERROR(INDEX('Hun Demand'!S:S,MATCH(O414,'Hun Demand'!A:A,0)),"")</f>
        <v/>
      </c>
      <c r="F414" s="25" t="str">
        <f>IFERROR(INDEX('Hun Demand'!R:R,MATCH(O414,'Hun Demand'!A:A,0)),"")</f>
        <v/>
      </c>
      <c r="G414" s="25">
        <f>IFERROR(INDEX('Aub Demand'!W:W,MATCH(O414,'Aub Demand'!A:A,0)),"")</f>
        <v>0</v>
      </c>
      <c r="H414" s="25">
        <f>IFERROR(INDEX('Aub Demand'!V:V,MATCH(O414,'Aub Demand'!A:A,0)),"")</f>
        <v>0</v>
      </c>
      <c r="I414" s="25">
        <f>IFERROR(INDEX('Aub Demand'!U:U,MATCH(O414,'Aub Demand'!A:A,0)),"")</f>
        <v>0</v>
      </c>
      <c r="J414" s="25">
        <f>IFERROR(INDEX('Aub Demand'!T:T,MATCH(O414,'Aub Demand'!A:A,0)),"")</f>
        <v>8</v>
      </c>
      <c r="K414" s="25">
        <f>IFERROR(INDEX('Aub Demand'!S:S,MATCH(O414,'Aub Demand'!A:A,0)),"")</f>
        <v>0</v>
      </c>
      <c r="L414" s="25">
        <f>IFERROR(INDEX('Aub Demand'!R:R,MATCH(O414,'Aub Demand'!A:A,0)),"")</f>
        <v>0</v>
      </c>
      <c r="O414" s="27" t="s">
        <v>699</v>
      </c>
      <c r="P414" s="27" t="str">
        <f>IFERROR(INDEX('Aub Demand'!B:B,MATCH($O414,'Aub Demand'!$A:$A,0)),"")</f>
        <v>QUARRY</v>
      </c>
      <c r="Q414" s="27" t="str">
        <f>IFERROR(INDEX('Aub Demand'!C:C,MATCH($O414,'Aub Demand'!$A:$A,0)),"")</f>
        <v>ARAUC</v>
      </c>
      <c r="R414" s="52">
        <f>IFERROR(IF(AR415=AR414,INDEX('Aub Demand'!K:K,MATCH($O414,'Aub Demand'!$A:$A,0))-IF(AN414="",0,AN414)+AP415,INDEX('Aub Demand'!K:K,MATCH($O414,'Aub Demand'!$A:$A,0))-IF(AN414="",0,AN414)),"")</f>
        <v>203</v>
      </c>
      <c r="S414" s="53">
        <f t="shared" si="168"/>
        <v>290</v>
      </c>
      <c r="T414" s="52" t="str">
        <f t="shared" si="169"/>
        <v/>
      </c>
      <c r="U414" s="52">
        <f>IFERROR(IF(AR415=AR414,INDEX('Aub Demand'!Q:Q,MATCH($O414,'Aub Demand'!$A:$A,0))-IF(AN414="",0,AN414)+AP415,INDEX('Aub Demand'!Q:Q,MATCH($O414,'Aub Demand'!$A:$A,0))-IF(AN414="",0,AN414)),"")</f>
        <v>203</v>
      </c>
      <c r="V414" s="53">
        <f t="shared" si="170"/>
        <v>290</v>
      </c>
      <c r="W414" s="52" t="str">
        <f t="shared" si="171"/>
        <v/>
      </c>
      <c r="X414" s="52">
        <f>IFERROR(IF(AND(AR415=AR414,AM414&lt;&gt;""),INDEX('Aub Demand'!Q:Q,MATCH($O414,'Aub Demand'!$A:$A,0))-IF(AN414="",0,AN414)+AP415+AD414+AL414,IF(AR415=AR414,INDEX('Aub Demand'!Q:Q,MATCH($O414,'Aub Demand'!$A:$A,0))-IF(AN414="",0,AN414)+AP415+AD414,IF(AM414&lt;&gt;"",INDEX('Aub Demand'!Q:Q,MATCH($O414,'Aub Demand'!$A:$A,0))-IF(AN414="",0,AN414)+AD414+AL414,INDEX('Aub Demand'!Q:Q,MATCH($O414,'Aub Demand'!$A:$A,0))-IF(AN414="",0,AN414)+AD414))),"")</f>
        <v>203</v>
      </c>
      <c r="Y414" s="53">
        <f t="shared" si="172"/>
        <v>290</v>
      </c>
      <c r="Z414" s="52">
        <f>IF(L414="","",INDEX('Aub Demand'!H:H,MATCH($O414,'Aub Demand'!$A:$A,0)))</f>
        <v>3</v>
      </c>
      <c r="AA414" s="52" t="str">
        <f t="shared" si="173"/>
        <v>-spike-</v>
      </c>
      <c r="AB414" s="52">
        <f>IFERROR(INDEX('Aub Demand'!L:L,MATCH($O414,'Aub Demand'!$A:$A,0)),"")</f>
        <v>0</v>
      </c>
      <c r="AC414" s="52">
        <f>IFERROR(IF(O414="","",SUMIFS('CPL Mats'!F:F,'CPL Mats'!Q:Q,AR414,'CPL Mats'!S:S,AS414)),"")</f>
        <v>0</v>
      </c>
      <c r="AF414" s="25" t="str">
        <f>IF(SUMIFS('Supp Consol'!S:S,'Supp Consol'!Y:Y,"Releasable",'Supp Consol'!A:A,O414)=0,"",SUMIFS('Supp Consol'!S:S,'Supp Consol'!Y:Y,"Releasable",'Supp Consol'!A:A,O414))</f>
        <v/>
      </c>
      <c r="AG414" s="25" t="str">
        <f>IFERROR(INDEX('Hun Demand'!Q:Q,MATCH(O414,'Hun Demand'!A:A,0)),"")</f>
        <v/>
      </c>
      <c r="AH414" s="25" t="str">
        <f>IFERROR(INDEX('Hun Demand'!H:H,MATCH($O414,'Hun Demand'!$A:$A,0)),"")</f>
        <v/>
      </c>
      <c r="AI414" s="25" t="str">
        <f>IF(SUMIFS('Supp Consol'!AA:AA,'Supp Consol'!Z:Z,"Expires this month",'Supp Consol'!A:A,O414)=0,"",SUMIFS('Supp Consol'!AA:AA,'Supp Consol'!Z:Z,"Expires this month",'Supp Consol'!A:A,O414))</f>
        <v/>
      </c>
      <c r="AJ414" s="25" t="str">
        <f>IF(SUMIFS('Supp Consol'!AA:AA,'Supp Consol'!Z:Z,"Expired Previous Months",'Supp Consol'!A:A,O414)=0,"",SUMIFS('Supp Consol'!AA:AA,'Supp Consol'!Z:Z,"Expired Previous Months",'Supp Consol'!A:A,O414))</f>
        <v/>
      </c>
      <c r="AK414" s="25" t="str">
        <f>IFERROR(INDEX('Hun Release Current'!B:B,MATCH(O414,'Hun Release Current'!A:A,0)),"")</f>
        <v/>
      </c>
      <c r="AL414" s="25" t="str">
        <f>IF(SUMIF('Prev Aub'!A:A,O414,'Prev Aub'!B:B)=0,"",SUMIF('Prev Aub'!A:A,O414,'Prev Aub'!B:B))</f>
        <v/>
      </c>
      <c r="AN414" s="25" t="s">
        <v>3790</v>
      </c>
      <c r="AO414" s="25" t="s">
        <v>3790</v>
      </c>
      <c r="AP414" s="25">
        <f t="shared" si="174"/>
        <v>0</v>
      </c>
      <c r="AQ414" s="151" t="str">
        <f>IF(SUMIFS('Supp Consol'!S:S,'Supp Consol'!A:A,O414,'Supp Consol'!I:I,"PENDING")=0,"",SUMIFS('Supp Consol'!S:S,'Supp Consol'!A:A,O414,'Supp Consol'!I:I,"PENDING"))</f>
        <v/>
      </c>
      <c r="AR414" s="27" t="str">
        <f t="shared" si="175"/>
        <v>FB252</v>
      </c>
      <c r="AS414" s="27" t="str">
        <f t="shared" si="176"/>
        <v>50</v>
      </c>
      <c r="AT414" s="27" t="str">
        <f t="shared" si="177"/>
        <v/>
      </c>
      <c r="AU414" s="27" t="str">
        <f t="shared" si="178"/>
        <v/>
      </c>
      <c r="AV414" s="27" t="str">
        <f t="shared" si="179"/>
        <v/>
      </c>
      <c r="AW414" s="27" t="str">
        <f t="shared" si="180"/>
        <v/>
      </c>
      <c r="AX414" s="27" t="str">
        <f t="shared" si="181"/>
        <v/>
      </c>
      <c r="AY414" s="27" t="str">
        <f t="shared" si="182"/>
        <v/>
      </c>
      <c r="AZ414" s="27" t="str">
        <f t="shared" si="183"/>
        <v/>
      </c>
      <c r="BA414" s="27" t="str">
        <f t="shared" si="184"/>
        <v/>
      </c>
      <c r="BB414" s="27" t="str">
        <f t="shared" si="185"/>
        <v/>
      </c>
      <c r="BC414" s="27" t="str">
        <f t="shared" si="186"/>
        <v/>
      </c>
      <c r="BD414" s="27" t="str">
        <f t="shared" si="187"/>
        <v/>
      </c>
      <c r="BE414" s="27" t="str">
        <f t="shared" si="188"/>
        <v/>
      </c>
      <c r="BF414" s="27" t="str">
        <f t="shared" si="189"/>
        <v/>
      </c>
      <c r="BG414" s="27" t="str">
        <f t="shared" si="190"/>
        <v/>
      </c>
      <c r="BH414" s="27" t="str">
        <f t="shared" si="191"/>
        <v/>
      </c>
      <c r="BI414" s="27" t="str">
        <f t="shared" si="192"/>
        <v/>
      </c>
      <c r="BJ414" s="27" t="str">
        <f t="shared" si="193"/>
        <v/>
      </c>
      <c r="BK414" s="27" t="str">
        <f t="shared" si="194"/>
        <v/>
      </c>
      <c r="BL414" s="27" t="str">
        <f t="shared" si="195"/>
        <v/>
      </c>
      <c r="BM414" s="21" t="s">
        <v>5581</v>
      </c>
    </row>
    <row r="415" spans="1:65" ht="15">
      <c r="A415" s="25" t="str">
        <f>IFERROR(INDEX('Hun Demand'!W:W,MATCH(O415,'Hun Demand'!A:A,0)),"")</f>
        <v/>
      </c>
      <c r="B415" s="25" t="str">
        <f>IFERROR(INDEX('Hun Demand'!V:V,MATCH(O415,'Hun Demand'!A:A,0)),"")</f>
        <v/>
      </c>
      <c r="C415" s="25" t="str">
        <f>IFERROR(INDEX('Hun Demand'!U:U,MATCH(O415,'Hun Demand'!A:A,0)),"")</f>
        <v/>
      </c>
      <c r="D415" s="25" t="str">
        <f>IFERROR(INDEX('Hun Demand'!T:T,MATCH(O415,'Hun Demand'!A:A,0)),"")</f>
        <v/>
      </c>
      <c r="E415" s="25" t="str">
        <f>IFERROR(INDEX('Hun Demand'!S:S,MATCH(O415,'Hun Demand'!A:A,0)),"")</f>
        <v/>
      </c>
      <c r="F415" s="25" t="str">
        <f>IFERROR(INDEX('Hun Demand'!R:R,MATCH(O415,'Hun Demand'!A:A,0)),"")</f>
        <v/>
      </c>
      <c r="G415" s="25">
        <f>IFERROR(INDEX('Aub Demand'!W:W,MATCH(O415,'Aub Demand'!A:A,0)),"")</f>
        <v>0</v>
      </c>
      <c r="H415" s="25">
        <f>IFERROR(INDEX('Aub Demand'!V:V,MATCH(O415,'Aub Demand'!A:A,0)),"")</f>
        <v>0</v>
      </c>
      <c r="I415" s="25">
        <f>IFERROR(INDEX('Aub Demand'!U:U,MATCH(O415,'Aub Demand'!A:A,0)),"")</f>
        <v>0</v>
      </c>
      <c r="J415" s="25">
        <f>IFERROR(INDEX('Aub Demand'!T:T,MATCH(O415,'Aub Demand'!A:A,0)),"")</f>
        <v>0</v>
      </c>
      <c r="K415" s="25">
        <f>IFERROR(INDEX('Aub Demand'!S:S,MATCH(O415,'Aub Demand'!A:A,0)),"")</f>
        <v>0</v>
      </c>
      <c r="L415" s="25">
        <f>IFERROR(INDEX('Aub Demand'!R:R,MATCH(O415,'Aub Demand'!A:A,0)),"")</f>
        <v>0</v>
      </c>
      <c r="O415" s="27" t="s">
        <v>701</v>
      </c>
      <c r="P415" s="27" t="str">
        <f>IFERROR(INDEX('Aub Demand'!B:B,MATCH($O415,'Aub Demand'!$A:$A,0)),"")</f>
        <v>QUARRY</v>
      </c>
      <c r="Q415" s="27" t="str">
        <f>IFERROR(INDEX('Aub Demand'!C:C,MATCH($O415,'Aub Demand'!$A:$A,0)),"")</f>
        <v>ARAUC</v>
      </c>
      <c r="R415" s="52">
        <f>IFERROR(IF(AR416=AR415,INDEX('Aub Demand'!K:K,MATCH($O415,'Aub Demand'!$A:$A,0))-IF(AN415="",0,AN415)+AP416,INDEX('Aub Demand'!K:K,MATCH($O415,'Aub Demand'!$A:$A,0))-IF(AN415="",0,AN415)),"")</f>
        <v>184</v>
      </c>
      <c r="S415" s="53" t="str">
        <f t="shared" si="168"/>
        <v>n/a</v>
      </c>
      <c r="T415" s="52" t="str">
        <f t="shared" si="169"/>
        <v/>
      </c>
      <c r="U415" s="52">
        <f>IFERROR(IF(AR416=AR415,INDEX('Aub Demand'!Q:Q,MATCH($O415,'Aub Demand'!$A:$A,0))-IF(AN415="",0,AN415)+AP416,INDEX('Aub Demand'!Q:Q,MATCH($O415,'Aub Demand'!$A:$A,0))-IF(AN415="",0,AN415)),"")</f>
        <v>184</v>
      </c>
      <c r="V415" s="53" t="str">
        <f t="shared" si="170"/>
        <v>n/a</v>
      </c>
      <c r="W415" s="52" t="str">
        <f t="shared" si="171"/>
        <v/>
      </c>
      <c r="X415" s="52">
        <f>IFERROR(IF(AND(AR416=AR415,AM415&lt;&gt;""),INDEX('Aub Demand'!Q:Q,MATCH($O415,'Aub Demand'!$A:$A,0))-IF(AN415="",0,AN415)+AP416+AD415+AL415,IF(AR416=AR415,INDEX('Aub Demand'!Q:Q,MATCH($O415,'Aub Demand'!$A:$A,0))-IF(AN415="",0,AN415)+AP416+AD415,IF(AM415&lt;&gt;"",INDEX('Aub Demand'!Q:Q,MATCH($O415,'Aub Demand'!$A:$A,0))-IF(AN415="",0,AN415)+AD415+AL415,INDEX('Aub Demand'!Q:Q,MATCH($O415,'Aub Demand'!$A:$A,0))-IF(AN415="",0,AN415)+AD415))),"")</f>
        <v>184</v>
      </c>
      <c r="Y415" s="53" t="str">
        <f t="shared" si="172"/>
        <v>n/a</v>
      </c>
      <c r="Z415" s="52">
        <f>IF(L415="","",INDEX('Aub Demand'!H:H,MATCH($O415,'Aub Demand'!$A:$A,0)))</f>
        <v>0</v>
      </c>
      <c r="AA415" s="52" t="str">
        <f t="shared" si="173"/>
        <v>-spike-</v>
      </c>
      <c r="AB415" s="52">
        <f>IFERROR(INDEX('Aub Demand'!L:L,MATCH($O415,'Aub Demand'!$A:$A,0)),"")</f>
        <v>0</v>
      </c>
      <c r="AC415" s="52">
        <f>IFERROR(IF(O415="","",SUMIFS('CPL Mats'!F:F,'CPL Mats'!Q:Q,AR415,'CPL Mats'!S:S,AS415)),"")</f>
        <v>0</v>
      </c>
      <c r="AF415" s="25" t="str">
        <f>IF(SUMIFS('Supp Consol'!S:S,'Supp Consol'!Y:Y,"Releasable",'Supp Consol'!A:A,O415)=0,"",SUMIFS('Supp Consol'!S:S,'Supp Consol'!Y:Y,"Releasable",'Supp Consol'!A:A,O415))</f>
        <v/>
      </c>
      <c r="AG415" s="25" t="str">
        <f>IFERROR(INDEX('Hun Demand'!Q:Q,MATCH(O415,'Hun Demand'!A:A,0)),"")</f>
        <v/>
      </c>
      <c r="AH415" s="25" t="str">
        <f>IFERROR(INDEX('Hun Demand'!H:H,MATCH($O415,'Hun Demand'!$A:$A,0)),"")</f>
        <v/>
      </c>
      <c r="AI415" s="25" t="str">
        <f>IF(SUMIFS('Supp Consol'!AA:AA,'Supp Consol'!Z:Z,"Expires this month",'Supp Consol'!A:A,O415)=0,"",SUMIFS('Supp Consol'!AA:AA,'Supp Consol'!Z:Z,"Expires this month",'Supp Consol'!A:A,O415))</f>
        <v/>
      </c>
      <c r="AJ415" s="25" t="str">
        <f>IF(SUMIFS('Supp Consol'!AA:AA,'Supp Consol'!Z:Z,"Expired Previous Months",'Supp Consol'!A:A,O415)=0,"",SUMIFS('Supp Consol'!AA:AA,'Supp Consol'!Z:Z,"Expired Previous Months",'Supp Consol'!A:A,O415))</f>
        <v/>
      </c>
      <c r="AK415" s="25" t="str">
        <f>IFERROR(INDEX('Hun Release Current'!B:B,MATCH(O415,'Hun Release Current'!A:A,0)),"")</f>
        <v/>
      </c>
      <c r="AL415" s="25" t="str">
        <f>IF(SUMIF('Prev Aub'!A:A,O415,'Prev Aub'!B:B)=0,"",SUMIF('Prev Aub'!A:A,O415,'Prev Aub'!B:B))</f>
        <v/>
      </c>
      <c r="AN415" s="25" t="s">
        <v>3790</v>
      </c>
      <c r="AO415" s="25" t="s">
        <v>3790</v>
      </c>
      <c r="AP415" s="25">
        <f t="shared" si="174"/>
        <v>0</v>
      </c>
      <c r="AQ415" s="151" t="str">
        <f>IF(SUMIFS('Supp Consol'!S:S,'Supp Consol'!A:A,O415,'Supp Consol'!I:I,"PENDING")=0,"",SUMIFS('Supp Consol'!S:S,'Supp Consol'!A:A,O415,'Supp Consol'!I:I,"PENDING"))</f>
        <v/>
      </c>
      <c r="AR415" s="27" t="str">
        <f t="shared" si="175"/>
        <v>FB252</v>
      </c>
      <c r="AS415" s="27" t="str">
        <f t="shared" si="176"/>
        <v>62</v>
      </c>
      <c r="AT415" s="27" t="str">
        <f t="shared" si="177"/>
        <v/>
      </c>
      <c r="AU415" s="27" t="str">
        <f t="shared" si="178"/>
        <v/>
      </c>
      <c r="AV415" s="27" t="str">
        <f t="shared" si="179"/>
        <v/>
      </c>
      <c r="AW415" s="27" t="str">
        <f t="shared" si="180"/>
        <v/>
      </c>
      <c r="AX415" s="27" t="str">
        <f t="shared" si="181"/>
        <v/>
      </c>
      <c r="AY415" s="27" t="str">
        <f t="shared" si="182"/>
        <v/>
      </c>
      <c r="AZ415" s="27" t="str">
        <f t="shared" si="183"/>
        <v/>
      </c>
      <c r="BA415" s="27" t="str">
        <f t="shared" si="184"/>
        <v/>
      </c>
      <c r="BB415" s="27" t="str">
        <f t="shared" si="185"/>
        <v/>
      </c>
      <c r="BC415" s="27" t="str">
        <f t="shared" si="186"/>
        <v/>
      </c>
      <c r="BD415" s="27" t="str">
        <f t="shared" si="187"/>
        <v/>
      </c>
      <c r="BE415" s="27" t="str">
        <f t="shared" si="188"/>
        <v/>
      </c>
      <c r="BF415" s="27" t="str">
        <f t="shared" si="189"/>
        <v/>
      </c>
      <c r="BG415" s="27" t="str">
        <f t="shared" si="190"/>
        <v/>
      </c>
      <c r="BH415" s="27" t="str">
        <f t="shared" si="191"/>
        <v/>
      </c>
      <c r="BI415" s="27" t="str">
        <f t="shared" si="192"/>
        <v/>
      </c>
      <c r="BJ415" s="27" t="str">
        <f t="shared" si="193"/>
        <v/>
      </c>
      <c r="BK415" s="27" t="str">
        <f t="shared" si="194"/>
        <v/>
      </c>
      <c r="BL415" s="27" t="str">
        <f t="shared" si="195"/>
        <v/>
      </c>
      <c r="BM415" s="21" t="s">
        <v>5581</v>
      </c>
    </row>
    <row r="416" spans="1:65" ht="15">
      <c r="A416" s="25" t="str">
        <f>IFERROR(INDEX('Hun Demand'!W:W,MATCH(O416,'Hun Demand'!A:A,0)),"")</f>
        <v/>
      </c>
      <c r="B416" s="25" t="str">
        <f>IFERROR(INDEX('Hun Demand'!V:V,MATCH(O416,'Hun Demand'!A:A,0)),"")</f>
        <v/>
      </c>
      <c r="C416" s="25" t="str">
        <f>IFERROR(INDEX('Hun Demand'!U:U,MATCH(O416,'Hun Demand'!A:A,0)),"")</f>
        <v/>
      </c>
      <c r="D416" s="25" t="str">
        <f>IFERROR(INDEX('Hun Demand'!T:T,MATCH(O416,'Hun Demand'!A:A,0)),"")</f>
        <v/>
      </c>
      <c r="E416" s="25" t="str">
        <f>IFERROR(INDEX('Hun Demand'!S:S,MATCH(O416,'Hun Demand'!A:A,0)),"")</f>
        <v/>
      </c>
      <c r="F416" s="25" t="str">
        <f>IFERROR(INDEX('Hun Demand'!R:R,MATCH(O416,'Hun Demand'!A:A,0)),"")</f>
        <v/>
      </c>
      <c r="G416" s="25">
        <f>IFERROR(INDEX('Aub Demand'!W:W,MATCH(O416,'Aub Demand'!A:A,0)),"")</f>
        <v>0</v>
      </c>
      <c r="H416" s="25">
        <f>IFERROR(INDEX('Aub Demand'!V:V,MATCH(O416,'Aub Demand'!A:A,0)),"")</f>
        <v>0</v>
      </c>
      <c r="I416" s="25">
        <f>IFERROR(INDEX('Aub Demand'!U:U,MATCH(O416,'Aub Demand'!A:A,0)),"")</f>
        <v>0</v>
      </c>
      <c r="J416" s="25">
        <f>IFERROR(INDEX('Aub Demand'!T:T,MATCH(O416,'Aub Demand'!A:A,0)),"")</f>
        <v>0</v>
      </c>
      <c r="K416" s="25">
        <f>IFERROR(INDEX('Aub Demand'!S:S,MATCH(O416,'Aub Demand'!A:A,0)),"")</f>
        <v>0</v>
      </c>
      <c r="L416" s="25">
        <f>IFERROR(INDEX('Aub Demand'!R:R,MATCH(O416,'Aub Demand'!A:A,0)),"")</f>
        <v>0</v>
      </c>
      <c r="O416" s="27" t="s">
        <v>702</v>
      </c>
      <c r="P416" s="27" t="str">
        <f>IFERROR(INDEX('Aub Demand'!B:B,MATCH($O416,'Aub Demand'!$A:$A,0)),"")</f>
        <v>ADOBE</v>
      </c>
      <c r="Q416" s="27" t="str">
        <f>IFERROR(INDEX('Aub Demand'!C:C,MATCH($O416,'Aub Demand'!$A:$A,0)),"")</f>
        <v>ARAUC</v>
      </c>
      <c r="R416" s="52">
        <f>IFERROR(IF(AR417=AR416,INDEX('Aub Demand'!K:K,MATCH($O416,'Aub Demand'!$A:$A,0))-IF(AN416="",0,AN416)+AP417,INDEX('Aub Demand'!K:K,MATCH($O416,'Aub Demand'!$A:$A,0))-IF(AN416="",0,AN416)),"")</f>
        <v>220</v>
      </c>
      <c r="S416" s="53" t="str">
        <f t="shared" si="168"/>
        <v>n/a</v>
      </c>
      <c r="T416" s="52" t="str">
        <f t="shared" si="169"/>
        <v/>
      </c>
      <c r="U416" s="52">
        <f>IFERROR(IF(AR417=AR416,INDEX('Aub Demand'!Q:Q,MATCH($O416,'Aub Demand'!$A:$A,0))-IF(AN416="",0,AN416)+AP417,INDEX('Aub Demand'!Q:Q,MATCH($O416,'Aub Demand'!$A:$A,0))-IF(AN416="",0,AN416)),"")</f>
        <v>220</v>
      </c>
      <c r="V416" s="53" t="str">
        <f t="shared" si="170"/>
        <v>n/a</v>
      </c>
      <c r="W416" s="52" t="str">
        <f t="shared" si="171"/>
        <v/>
      </c>
      <c r="X416" s="52">
        <f>IFERROR(IF(AND(AR417=AR416,AM416&lt;&gt;""),INDEX('Aub Demand'!Q:Q,MATCH($O416,'Aub Demand'!$A:$A,0))-IF(AN416="",0,AN416)+AP417+AD416+AL416,IF(AR417=AR416,INDEX('Aub Demand'!Q:Q,MATCH($O416,'Aub Demand'!$A:$A,0))-IF(AN416="",0,AN416)+AP417+AD416,IF(AM416&lt;&gt;"",INDEX('Aub Demand'!Q:Q,MATCH($O416,'Aub Demand'!$A:$A,0))-IF(AN416="",0,AN416)+AD416+AL416,INDEX('Aub Demand'!Q:Q,MATCH($O416,'Aub Demand'!$A:$A,0))-IF(AN416="",0,AN416)+AD416))),"")</f>
        <v>220</v>
      </c>
      <c r="Y416" s="53" t="str">
        <f t="shared" si="172"/>
        <v>n/a</v>
      </c>
      <c r="Z416" s="52">
        <f>IF(L416="","",INDEX('Aub Demand'!H:H,MATCH($O416,'Aub Demand'!$A:$A,0)))</f>
        <v>0</v>
      </c>
      <c r="AA416" s="52" t="str">
        <f t="shared" si="173"/>
        <v>-spike-</v>
      </c>
      <c r="AB416" s="52">
        <f>IFERROR(INDEX('Aub Demand'!L:L,MATCH($O416,'Aub Demand'!$A:$A,0)),"")</f>
        <v>0</v>
      </c>
      <c r="AC416" s="52">
        <f>IFERROR(IF(O416="","",SUMIFS('CPL Mats'!F:F,'CPL Mats'!Q:Q,AR416,'CPL Mats'!S:S,AS416)),"")</f>
        <v>0</v>
      </c>
      <c r="AF416" s="25" t="str">
        <f>IF(SUMIFS('Supp Consol'!S:S,'Supp Consol'!Y:Y,"Releasable",'Supp Consol'!A:A,O416)=0,"",SUMIFS('Supp Consol'!S:S,'Supp Consol'!Y:Y,"Releasable",'Supp Consol'!A:A,O416))</f>
        <v/>
      </c>
      <c r="AG416" s="25" t="str">
        <f>IFERROR(INDEX('Hun Demand'!Q:Q,MATCH(O416,'Hun Demand'!A:A,0)),"")</f>
        <v/>
      </c>
      <c r="AH416" s="25" t="str">
        <f>IFERROR(INDEX('Hun Demand'!H:H,MATCH($O416,'Hun Demand'!$A:$A,0)),"")</f>
        <v/>
      </c>
      <c r="AI416" s="25" t="str">
        <f>IF(SUMIFS('Supp Consol'!AA:AA,'Supp Consol'!Z:Z,"Expires this month",'Supp Consol'!A:A,O416)=0,"",SUMIFS('Supp Consol'!AA:AA,'Supp Consol'!Z:Z,"Expires this month",'Supp Consol'!A:A,O416))</f>
        <v/>
      </c>
      <c r="AJ416" s="25" t="str">
        <f>IF(SUMIFS('Supp Consol'!AA:AA,'Supp Consol'!Z:Z,"Expired Previous Months",'Supp Consol'!A:A,O416)=0,"",SUMIFS('Supp Consol'!AA:AA,'Supp Consol'!Z:Z,"Expired Previous Months",'Supp Consol'!A:A,O416))</f>
        <v/>
      </c>
      <c r="AK416" s="25" t="str">
        <f>IFERROR(INDEX('Hun Release Current'!B:B,MATCH(O416,'Hun Release Current'!A:A,0)),"")</f>
        <v/>
      </c>
      <c r="AL416" s="25" t="str">
        <f>IF(SUMIF('Prev Aub'!A:A,O416,'Prev Aub'!B:B)=0,"",SUMIF('Prev Aub'!A:A,O416,'Prev Aub'!B:B))</f>
        <v/>
      </c>
      <c r="AN416" s="25" t="s">
        <v>3790</v>
      </c>
      <c r="AO416" s="25" t="s">
        <v>3790</v>
      </c>
      <c r="AP416" s="25">
        <f t="shared" si="174"/>
        <v>0</v>
      </c>
      <c r="AQ416" s="151" t="str">
        <f>IF(SUMIFS('Supp Consol'!S:S,'Supp Consol'!A:A,O416,'Supp Consol'!I:I,"PENDING")=0,"",SUMIFS('Supp Consol'!S:S,'Supp Consol'!A:A,O416,'Supp Consol'!I:I,"PENDING"))</f>
        <v/>
      </c>
      <c r="AR416" s="27" t="str">
        <f t="shared" si="175"/>
        <v>FB253</v>
      </c>
      <c r="AS416" s="27" t="str">
        <f t="shared" si="176"/>
        <v>50</v>
      </c>
      <c r="AT416" s="27" t="str">
        <f t="shared" si="177"/>
        <v/>
      </c>
      <c r="AU416" s="27" t="str">
        <f t="shared" si="178"/>
        <v/>
      </c>
      <c r="AV416" s="27" t="str">
        <f t="shared" si="179"/>
        <v/>
      </c>
      <c r="AW416" s="27" t="str">
        <f t="shared" si="180"/>
        <v/>
      </c>
      <c r="AX416" s="27" t="str">
        <f t="shared" si="181"/>
        <v/>
      </c>
      <c r="AY416" s="27" t="str">
        <f t="shared" si="182"/>
        <v/>
      </c>
      <c r="AZ416" s="27" t="str">
        <f t="shared" si="183"/>
        <v/>
      </c>
      <c r="BA416" s="27" t="str">
        <f t="shared" si="184"/>
        <v/>
      </c>
      <c r="BB416" s="27" t="str">
        <f t="shared" si="185"/>
        <v/>
      </c>
      <c r="BC416" s="27" t="str">
        <f t="shared" si="186"/>
        <v/>
      </c>
      <c r="BD416" s="27" t="str">
        <f t="shared" si="187"/>
        <v/>
      </c>
      <c r="BE416" s="27" t="str">
        <f t="shared" si="188"/>
        <v/>
      </c>
      <c r="BF416" s="27" t="str">
        <f t="shared" si="189"/>
        <v/>
      </c>
      <c r="BG416" s="27" t="str">
        <f t="shared" si="190"/>
        <v/>
      </c>
      <c r="BH416" s="27" t="str">
        <f t="shared" si="191"/>
        <v/>
      </c>
      <c r="BI416" s="27" t="str">
        <f t="shared" si="192"/>
        <v/>
      </c>
      <c r="BJ416" s="27" t="str">
        <f t="shared" si="193"/>
        <v/>
      </c>
      <c r="BK416" s="27" t="str">
        <f t="shared" si="194"/>
        <v/>
      </c>
      <c r="BL416" s="27" t="str">
        <f t="shared" si="195"/>
        <v/>
      </c>
      <c r="BM416" s="21" t="s">
        <v>5581</v>
      </c>
    </row>
    <row r="417" spans="1:65" ht="15">
      <c r="A417" s="25" t="str">
        <f>IFERROR(INDEX('Hun Demand'!W:W,MATCH(O417,'Hun Demand'!A:A,0)),"")</f>
        <v/>
      </c>
      <c r="B417" s="25" t="str">
        <f>IFERROR(INDEX('Hun Demand'!V:V,MATCH(O417,'Hun Demand'!A:A,0)),"")</f>
        <v/>
      </c>
      <c r="C417" s="25" t="str">
        <f>IFERROR(INDEX('Hun Demand'!U:U,MATCH(O417,'Hun Demand'!A:A,0)),"")</f>
        <v/>
      </c>
      <c r="D417" s="25" t="str">
        <f>IFERROR(INDEX('Hun Demand'!T:T,MATCH(O417,'Hun Demand'!A:A,0)),"")</f>
        <v/>
      </c>
      <c r="E417" s="25" t="str">
        <f>IFERROR(INDEX('Hun Demand'!S:S,MATCH(O417,'Hun Demand'!A:A,0)),"")</f>
        <v/>
      </c>
      <c r="F417" s="25" t="str">
        <f>IFERROR(INDEX('Hun Demand'!R:R,MATCH(O417,'Hun Demand'!A:A,0)),"")</f>
        <v/>
      </c>
      <c r="G417" s="25">
        <f>IFERROR(INDEX('Aub Demand'!W:W,MATCH(O417,'Aub Demand'!A:A,0)),"")</f>
        <v>0</v>
      </c>
      <c r="H417" s="25">
        <f>IFERROR(INDEX('Aub Demand'!V:V,MATCH(O417,'Aub Demand'!A:A,0)),"")</f>
        <v>0</v>
      </c>
      <c r="I417" s="25">
        <f>IFERROR(INDEX('Aub Demand'!U:U,MATCH(O417,'Aub Demand'!A:A,0)),"")</f>
        <v>0</v>
      </c>
      <c r="J417" s="25">
        <f>IFERROR(INDEX('Aub Demand'!T:T,MATCH(O417,'Aub Demand'!A:A,0)),"")</f>
        <v>0</v>
      </c>
      <c r="K417" s="25">
        <f>IFERROR(INDEX('Aub Demand'!S:S,MATCH(O417,'Aub Demand'!A:A,0)),"")</f>
        <v>0</v>
      </c>
      <c r="L417" s="25">
        <f>IFERROR(INDEX('Aub Demand'!R:R,MATCH(O417,'Aub Demand'!A:A,0)),"")</f>
        <v>0</v>
      </c>
      <c r="O417" s="27" t="s">
        <v>704</v>
      </c>
      <c r="P417" s="27" t="str">
        <f>IFERROR(INDEX('Aub Demand'!B:B,MATCH($O417,'Aub Demand'!$A:$A,0)),"")</f>
        <v>ADOBE</v>
      </c>
      <c r="Q417" s="27" t="str">
        <f>IFERROR(INDEX('Aub Demand'!C:C,MATCH($O417,'Aub Demand'!$A:$A,0)),"")</f>
        <v>ARAUC</v>
      </c>
      <c r="R417" s="52">
        <f>IFERROR(IF(AR418=AR417,INDEX('Aub Demand'!K:K,MATCH($O417,'Aub Demand'!$A:$A,0))-IF(AN417="",0,AN417)+AP418,INDEX('Aub Demand'!K:K,MATCH($O417,'Aub Demand'!$A:$A,0))-IF(AN417="",0,AN417)),"")</f>
        <v>184</v>
      </c>
      <c r="S417" s="53" t="str">
        <f t="shared" si="168"/>
        <v>n/a</v>
      </c>
      <c r="T417" s="52" t="str">
        <f t="shared" si="169"/>
        <v/>
      </c>
      <c r="U417" s="52">
        <f>IFERROR(IF(AR418=AR417,INDEX('Aub Demand'!Q:Q,MATCH($O417,'Aub Demand'!$A:$A,0))-IF(AN417="",0,AN417)+AP418,INDEX('Aub Demand'!Q:Q,MATCH($O417,'Aub Demand'!$A:$A,0))-IF(AN417="",0,AN417)),"")</f>
        <v>184</v>
      </c>
      <c r="V417" s="53" t="str">
        <f t="shared" si="170"/>
        <v>n/a</v>
      </c>
      <c r="W417" s="52" t="str">
        <f t="shared" si="171"/>
        <v/>
      </c>
      <c r="X417" s="52">
        <f>IFERROR(IF(AND(AR418=AR417,AM417&lt;&gt;""),INDEX('Aub Demand'!Q:Q,MATCH($O417,'Aub Demand'!$A:$A,0))-IF(AN417="",0,AN417)+AP418+AD417+AL417,IF(AR418=AR417,INDEX('Aub Demand'!Q:Q,MATCH($O417,'Aub Demand'!$A:$A,0))-IF(AN417="",0,AN417)+AP418+AD417,IF(AM417&lt;&gt;"",INDEX('Aub Demand'!Q:Q,MATCH($O417,'Aub Demand'!$A:$A,0))-IF(AN417="",0,AN417)+AD417+AL417,INDEX('Aub Demand'!Q:Q,MATCH($O417,'Aub Demand'!$A:$A,0))-IF(AN417="",0,AN417)+AD417))),"")</f>
        <v>184</v>
      </c>
      <c r="Y417" s="53" t="str">
        <f t="shared" si="172"/>
        <v>n/a</v>
      </c>
      <c r="Z417" s="52">
        <f>IF(L417="","",INDEX('Aub Demand'!H:H,MATCH($O417,'Aub Demand'!$A:$A,0)))</f>
        <v>0</v>
      </c>
      <c r="AA417" s="52" t="str">
        <f t="shared" si="173"/>
        <v>-spike-</v>
      </c>
      <c r="AB417" s="52">
        <f>IFERROR(INDEX('Aub Demand'!L:L,MATCH($O417,'Aub Demand'!$A:$A,0)),"")</f>
        <v>0</v>
      </c>
      <c r="AC417" s="52">
        <f>IFERROR(IF(O417="","",SUMIFS('CPL Mats'!F:F,'CPL Mats'!Q:Q,AR417,'CPL Mats'!S:S,AS417)),"")</f>
        <v>0</v>
      </c>
      <c r="AF417" s="25" t="str">
        <f>IF(SUMIFS('Supp Consol'!S:S,'Supp Consol'!Y:Y,"Releasable",'Supp Consol'!A:A,O417)=0,"",SUMIFS('Supp Consol'!S:S,'Supp Consol'!Y:Y,"Releasable",'Supp Consol'!A:A,O417))</f>
        <v/>
      </c>
      <c r="AG417" s="25" t="str">
        <f>IFERROR(INDEX('Hun Demand'!Q:Q,MATCH(O417,'Hun Demand'!A:A,0)),"")</f>
        <v/>
      </c>
      <c r="AH417" s="25" t="str">
        <f>IFERROR(INDEX('Hun Demand'!H:H,MATCH($O417,'Hun Demand'!$A:$A,0)),"")</f>
        <v/>
      </c>
      <c r="AI417" s="25" t="str">
        <f>IF(SUMIFS('Supp Consol'!AA:AA,'Supp Consol'!Z:Z,"Expires this month",'Supp Consol'!A:A,O417)=0,"",SUMIFS('Supp Consol'!AA:AA,'Supp Consol'!Z:Z,"Expires this month",'Supp Consol'!A:A,O417))</f>
        <v/>
      </c>
      <c r="AJ417" s="25" t="str">
        <f>IF(SUMIFS('Supp Consol'!AA:AA,'Supp Consol'!Z:Z,"Expired Previous Months",'Supp Consol'!A:A,O417)=0,"",SUMIFS('Supp Consol'!AA:AA,'Supp Consol'!Z:Z,"Expired Previous Months",'Supp Consol'!A:A,O417))</f>
        <v/>
      </c>
      <c r="AK417" s="25" t="str">
        <f>IFERROR(INDEX('Hun Release Current'!B:B,MATCH(O417,'Hun Release Current'!A:A,0)),"")</f>
        <v/>
      </c>
      <c r="AL417" s="25" t="str">
        <f>IF(SUMIF('Prev Aub'!A:A,O417,'Prev Aub'!B:B)=0,"",SUMIF('Prev Aub'!A:A,O417,'Prev Aub'!B:B))</f>
        <v/>
      </c>
      <c r="AN417" s="25" t="s">
        <v>3790</v>
      </c>
      <c r="AO417" s="25" t="s">
        <v>3790</v>
      </c>
      <c r="AP417" s="25">
        <f t="shared" si="174"/>
        <v>0</v>
      </c>
      <c r="AQ417" s="151" t="str">
        <f>IF(SUMIFS('Supp Consol'!S:S,'Supp Consol'!A:A,O417,'Supp Consol'!I:I,"PENDING")=0,"",SUMIFS('Supp Consol'!S:S,'Supp Consol'!A:A,O417,'Supp Consol'!I:I,"PENDING"))</f>
        <v/>
      </c>
      <c r="AR417" s="27" t="str">
        <f t="shared" si="175"/>
        <v>FB253</v>
      </c>
      <c r="AS417" s="27" t="str">
        <f t="shared" si="176"/>
        <v>62</v>
      </c>
      <c r="AT417" s="27" t="str">
        <f t="shared" si="177"/>
        <v/>
      </c>
      <c r="AU417" s="27" t="str">
        <f t="shared" si="178"/>
        <v/>
      </c>
      <c r="AV417" s="27" t="str">
        <f t="shared" si="179"/>
        <v/>
      </c>
      <c r="AW417" s="27" t="str">
        <f t="shared" si="180"/>
        <v/>
      </c>
      <c r="AX417" s="27" t="str">
        <f t="shared" si="181"/>
        <v/>
      </c>
      <c r="AY417" s="27" t="str">
        <f t="shared" si="182"/>
        <v/>
      </c>
      <c r="AZ417" s="27" t="str">
        <f t="shared" si="183"/>
        <v/>
      </c>
      <c r="BA417" s="27" t="str">
        <f t="shared" si="184"/>
        <v/>
      </c>
      <c r="BB417" s="27" t="str">
        <f t="shared" si="185"/>
        <v/>
      </c>
      <c r="BC417" s="27" t="str">
        <f t="shared" si="186"/>
        <v/>
      </c>
      <c r="BD417" s="27" t="str">
        <f t="shared" si="187"/>
        <v/>
      </c>
      <c r="BE417" s="27" t="str">
        <f t="shared" si="188"/>
        <v/>
      </c>
      <c r="BF417" s="27" t="str">
        <f t="shared" si="189"/>
        <v/>
      </c>
      <c r="BG417" s="27" t="str">
        <f t="shared" si="190"/>
        <v/>
      </c>
      <c r="BH417" s="27" t="str">
        <f t="shared" si="191"/>
        <v/>
      </c>
      <c r="BI417" s="27" t="str">
        <f t="shared" si="192"/>
        <v/>
      </c>
      <c r="BJ417" s="27" t="str">
        <f t="shared" si="193"/>
        <v/>
      </c>
      <c r="BK417" s="27" t="str">
        <f t="shared" si="194"/>
        <v/>
      </c>
      <c r="BL417" s="27" t="str">
        <f t="shared" si="195"/>
        <v/>
      </c>
      <c r="BM417" s="21" t="s">
        <v>5581</v>
      </c>
    </row>
    <row r="418" spans="1:65" ht="15">
      <c r="A418" s="25" t="str">
        <f>IFERROR(INDEX('Hun Demand'!W:W,MATCH(O418,'Hun Demand'!A:A,0)),"")</f>
        <v/>
      </c>
      <c r="B418" s="25" t="str">
        <f>IFERROR(INDEX('Hun Demand'!V:V,MATCH(O418,'Hun Demand'!A:A,0)),"")</f>
        <v/>
      </c>
      <c r="C418" s="25" t="str">
        <f>IFERROR(INDEX('Hun Demand'!U:U,MATCH(O418,'Hun Demand'!A:A,0)),"")</f>
        <v/>
      </c>
      <c r="D418" s="25" t="str">
        <f>IFERROR(INDEX('Hun Demand'!T:T,MATCH(O418,'Hun Demand'!A:A,0)),"")</f>
        <v/>
      </c>
      <c r="E418" s="25" t="str">
        <f>IFERROR(INDEX('Hun Demand'!S:S,MATCH(O418,'Hun Demand'!A:A,0)),"")</f>
        <v/>
      </c>
      <c r="F418" s="25" t="str">
        <f>IFERROR(INDEX('Hun Demand'!R:R,MATCH(O418,'Hun Demand'!A:A,0)),"")</f>
        <v/>
      </c>
      <c r="G418" s="25">
        <f>IFERROR(INDEX('Aub Demand'!W:W,MATCH(O418,'Aub Demand'!A:A,0)),"")</f>
        <v>0</v>
      </c>
      <c r="H418" s="25">
        <f>IFERROR(INDEX('Aub Demand'!V:V,MATCH(O418,'Aub Demand'!A:A,0)),"")</f>
        <v>0</v>
      </c>
      <c r="I418" s="25">
        <f>IFERROR(INDEX('Aub Demand'!U:U,MATCH(O418,'Aub Demand'!A:A,0)),"")</f>
        <v>0</v>
      </c>
      <c r="J418" s="25">
        <f>IFERROR(INDEX('Aub Demand'!T:T,MATCH(O418,'Aub Demand'!A:A,0)),"")</f>
        <v>0</v>
      </c>
      <c r="K418" s="25">
        <f>IFERROR(INDEX('Aub Demand'!S:S,MATCH(O418,'Aub Demand'!A:A,0)),"")</f>
        <v>0</v>
      </c>
      <c r="L418" s="25">
        <f>IFERROR(INDEX('Aub Demand'!R:R,MATCH(O418,'Aub Demand'!A:A,0)),"")</f>
        <v>0</v>
      </c>
      <c r="O418" s="27" t="s">
        <v>705</v>
      </c>
      <c r="P418" s="27" t="str">
        <f>IFERROR(INDEX('Aub Demand'!B:B,MATCH($O418,'Aub Demand'!$A:$A,0)),"")</f>
        <v>WILLOW</v>
      </c>
      <c r="Q418" s="27" t="str">
        <f>IFERROR(INDEX('Aub Demand'!C:C,MATCH($O418,'Aub Demand'!$A:$A,0)),"")</f>
        <v>ARAUC</v>
      </c>
      <c r="R418" s="52">
        <f>IFERROR(IF(AR419=AR418,INDEX('Aub Demand'!K:K,MATCH($O418,'Aub Demand'!$A:$A,0))-IF(AN418="",0,AN418)+AP419,INDEX('Aub Demand'!K:K,MATCH($O418,'Aub Demand'!$A:$A,0))-IF(AN418="",0,AN418)),"")</f>
        <v>207</v>
      </c>
      <c r="S418" s="53" t="str">
        <f t="shared" si="168"/>
        <v>n/a</v>
      </c>
      <c r="T418" s="52" t="str">
        <f t="shared" si="169"/>
        <v/>
      </c>
      <c r="U418" s="52">
        <f>IFERROR(IF(AR419=AR418,INDEX('Aub Demand'!Q:Q,MATCH($O418,'Aub Demand'!$A:$A,0))-IF(AN418="",0,AN418)+AP419,INDEX('Aub Demand'!Q:Q,MATCH($O418,'Aub Demand'!$A:$A,0))-IF(AN418="",0,AN418)),"")</f>
        <v>202</v>
      </c>
      <c r="V418" s="53" t="str">
        <f t="shared" si="170"/>
        <v>n/a</v>
      </c>
      <c r="W418" s="52" t="str">
        <f t="shared" si="171"/>
        <v/>
      </c>
      <c r="X418" s="52">
        <f>IFERROR(IF(AND(AR419=AR418,AM418&lt;&gt;""),INDEX('Aub Demand'!Q:Q,MATCH($O418,'Aub Demand'!$A:$A,0))-IF(AN418="",0,AN418)+AP419+AD418+AL418,IF(AR419=AR418,INDEX('Aub Demand'!Q:Q,MATCH($O418,'Aub Demand'!$A:$A,0))-IF(AN418="",0,AN418)+AP419+AD418,IF(AM418&lt;&gt;"",INDEX('Aub Demand'!Q:Q,MATCH($O418,'Aub Demand'!$A:$A,0))-IF(AN418="",0,AN418)+AD418+AL418,INDEX('Aub Demand'!Q:Q,MATCH($O418,'Aub Demand'!$A:$A,0))-IF(AN418="",0,AN418)+AD418))),"")</f>
        <v>202</v>
      </c>
      <c r="Y418" s="53" t="str">
        <f t="shared" si="172"/>
        <v>n/a</v>
      </c>
      <c r="Z418" s="52">
        <f>IF(L418="","",INDEX('Aub Demand'!H:H,MATCH($O418,'Aub Demand'!$A:$A,0)))</f>
        <v>0</v>
      </c>
      <c r="AA418" s="52" t="str">
        <f t="shared" si="173"/>
        <v>-spike-</v>
      </c>
      <c r="AB418" s="52">
        <f>IFERROR(INDEX('Aub Demand'!L:L,MATCH($O418,'Aub Demand'!$A:$A,0)),"")</f>
        <v>4</v>
      </c>
      <c r="AC418" s="52">
        <f>IFERROR(IF(O418="","",SUMIFS('CPL Mats'!F:F,'CPL Mats'!Q:Q,AR418,'CPL Mats'!S:S,AS418)),"")</f>
        <v>0</v>
      </c>
      <c r="AF418" s="25" t="str">
        <f>IF(SUMIFS('Supp Consol'!S:S,'Supp Consol'!Y:Y,"Releasable",'Supp Consol'!A:A,O418)=0,"",SUMIFS('Supp Consol'!S:S,'Supp Consol'!Y:Y,"Releasable",'Supp Consol'!A:A,O418))</f>
        <v/>
      </c>
      <c r="AG418" s="25" t="str">
        <f>IFERROR(INDEX('Hun Demand'!Q:Q,MATCH(O418,'Hun Demand'!A:A,0)),"")</f>
        <v/>
      </c>
      <c r="AH418" s="25" t="str">
        <f>IFERROR(INDEX('Hun Demand'!H:H,MATCH($O418,'Hun Demand'!$A:$A,0)),"")</f>
        <v/>
      </c>
      <c r="AI418" s="25" t="str">
        <f>IF(SUMIFS('Supp Consol'!AA:AA,'Supp Consol'!Z:Z,"Expires this month",'Supp Consol'!A:A,O418)=0,"",SUMIFS('Supp Consol'!AA:AA,'Supp Consol'!Z:Z,"Expires this month",'Supp Consol'!A:A,O418))</f>
        <v/>
      </c>
      <c r="AJ418" s="25" t="str">
        <f>IF(SUMIFS('Supp Consol'!AA:AA,'Supp Consol'!Z:Z,"Expired Previous Months",'Supp Consol'!A:A,O418)=0,"",SUMIFS('Supp Consol'!AA:AA,'Supp Consol'!Z:Z,"Expired Previous Months",'Supp Consol'!A:A,O418))</f>
        <v/>
      </c>
      <c r="AK418" s="25" t="str">
        <f>IFERROR(INDEX('Hun Release Current'!B:B,MATCH(O418,'Hun Release Current'!A:A,0)),"")</f>
        <v/>
      </c>
      <c r="AL418" s="25" t="str">
        <f>IF(SUMIF('Prev Aub'!A:A,O418,'Prev Aub'!B:B)=0,"",SUMIF('Prev Aub'!A:A,O418,'Prev Aub'!B:B))</f>
        <v/>
      </c>
      <c r="AN418" s="25" t="s">
        <v>3790</v>
      </c>
      <c r="AO418" s="25" t="s">
        <v>3790</v>
      </c>
      <c r="AP418" s="25">
        <f t="shared" si="174"/>
        <v>0</v>
      </c>
      <c r="AQ418" s="151" t="str">
        <f>IF(SUMIFS('Supp Consol'!S:S,'Supp Consol'!A:A,O418,'Supp Consol'!I:I,"PENDING")=0,"",SUMIFS('Supp Consol'!S:S,'Supp Consol'!A:A,O418,'Supp Consol'!I:I,"PENDING"))</f>
        <v/>
      </c>
      <c r="AR418" s="27" t="str">
        <f t="shared" si="175"/>
        <v>FB255</v>
      </c>
      <c r="AS418" s="27" t="str">
        <f t="shared" si="176"/>
        <v>50</v>
      </c>
      <c r="AT418" s="27" t="str">
        <f t="shared" si="177"/>
        <v/>
      </c>
      <c r="AU418" s="27" t="str">
        <f t="shared" si="178"/>
        <v/>
      </c>
      <c r="AV418" s="27" t="str">
        <f t="shared" si="179"/>
        <v/>
      </c>
      <c r="AW418" s="27" t="str">
        <f t="shared" si="180"/>
        <v/>
      </c>
      <c r="AX418" s="27" t="str">
        <f t="shared" si="181"/>
        <v/>
      </c>
      <c r="AY418" s="27" t="str">
        <f t="shared" si="182"/>
        <v/>
      </c>
      <c r="AZ418" s="27" t="str">
        <f t="shared" si="183"/>
        <v/>
      </c>
      <c r="BA418" s="27" t="str">
        <f t="shared" si="184"/>
        <v/>
      </c>
      <c r="BB418" s="27" t="str">
        <f t="shared" si="185"/>
        <v/>
      </c>
      <c r="BC418" s="27" t="str">
        <f t="shared" si="186"/>
        <v/>
      </c>
      <c r="BD418" s="27" t="str">
        <f t="shared" si="187"/>
        <v/>
      </c>
      <c r="BE418" s="27" t="str">
        <f t="shared" si="188"/>
        <v/>
      </c>
      <c r="BF418" s="27" t="str">
        <f t="shared" si="189"/>
        <v/>
      </c>
      <c r="BG418" s="27" t="str">
        <f t="shared" si="190"/>
        <v/>
      </c>
      <c r="BH418" s="27" t="str">
        <f t="shared" si="191"/>
        <v/>
      </c>
      <c r="BI418" s="27" t="str">
        <f t="shared" si="192"/>
        <v/>
      </c>
      <c r="BJ418" s="27" t="str">
        <f t="shared" si="193"/>
        <v/>
      </c>
      <c r="BK418" s="27" t="str">
        <f t="shared" si="194"/>
        <v/>
      </c>
      <c r="BL418" s="27" t="str">
        <f t="shared" si="195"/>
        <v/>
      </c>
      <c r="BM418" s="21" t="s">
        <v>5581</v>
      </c>
    </row>
    <row r="419" spans="1:65" ht="15">
      <c r="A419" s="25" t="str">
        <f>IFERROR(INDEX('Hun Demand'!W:W,MATCH(O419,'Hun Demand'!A:A,0)),"")</f>
        <v/>
      </c>
      <c r="B419" s="25" t="str">
        <f>IFERROR(INDEX('Hun Demand'!V:V,MATCH(O419,'Hun Demand'!A:A,0)),"")</f>
        <v/>
      </c>
      <c r="C419" s="25" t="str">
        <f>IFERROR(INDEX('Hun Demand'!U:U,MATCH(O419,'Hun Demand'!A:A,0)),"")</f>
        <v/>
      </c>
      <c r="D419" s="25" t="str">
        <f>IFERROR(INDEX('Hun Demand'!T:T,MATCH(O419,'Hun Demand'!A:A,0)),"")</f>
        <v/>
      </c>
      <c r="E419" s="25" t="str">
        <f>IFERROR(INDEX('Hun Demand'!S:S,MATCH(O419,'Hun Demand'!A:A,0)),"")</f>
        <v/>
      </c>
      <c r="F419" s="25" t="str">
        <f>IFERROR(INDEX('Hun Demand'!R:R,MATCH(O419,'Hun Demand'!A:A,0)),"")</f>
        <v/>
      </c>
      <c r="G419" s="25">
        <f>IFERROR(INDEX('Aub Demand'!W:W,MATCH(O419,'Aub Demand'!A:A,0)),"")</f>
        <v>0</v>
      </c>
      <c r="H419" s="25">
        <f>IFERROR(INDEX('Aub Demand'!V:V,MATCH(O419,'Aub Demand'!A:A,0)),"")</f>
        <v>0</v>
      </c>
      <c r="I419" s="25">
        <f>IFERROR(INDEX('Aub Demand'!U:U,MATCH(O419,'Aub Demand'!A:A,0)),"")</f>
        <v>0</v>
      </c>
      <c r="J419" s="25">
        <f>IFERROR(INDEX('Aub Demand'!T:T,MATCH(O419,'Aub Demand'!A:A,0)),"")</f>
        <v>0</v>
      </c>
      <c r="K419" s="25">
        <f>IFERROR(INDEX('Aub Demand'!S:S,MATCH(O419,'Aub Demand'!A:A,0)),"")</f>
        <v>0</v>
      </c>
      <c r="L419" s="25">
        <f>IFERROR(INDEX('Aub Demand'!R:R,MATCH(O419,'Aub Demand'!A:A,0)),"")</f>
        <v>0</v>
      </c>
      <c r="O419" s="27" t="s">
        <v>707</v>
      </c>
      <c r="P419" s="27" t="str">
        <f>IFERROR(INDEX('Aub Demand'!B:B,MATCH($O419,'Aub Demand'!$A:$A,0)),"")</f>
        <v>WILLOW</v>
      </c>
      <c r="Q419" s="27" t="str">
        <f>IFERROR(INDEX('Aub Demand'!C:C,MATCH($O419,'Aub Demand'!$A:$A,0)),"")</f>
        <v>ARAUC</v>
      </c>
      <c r="R419" s="52">
        <f>IFERROR(IF(AR420=AR419,INDEX('Aub Demand'!K:K,MATCH($O419,'Aub Demand'!$A:$A,0))-IF(AN419="",0,AN419)+AP420,INDEX('Aub Demand'!K:K,MATCH($O419,'Aub Demand'!$A:$A,0))-IF(AN419="",0,AN419)),"")</f>
        <v>187</v>
      </c>
      <c r="S419" s="53" t="str">
        <f t="shared" si="168"/>
        <v>n/a</v>
      </c>
      <c r="T419" s="52" t="str">
        <f t="shared" si="169"/>
        <v/>
      </c>
      <c r="U419" s="52">
        <f>IFERROR(IF(AR420=AR419,INDEX('Aub Demand'!Q:Q,MATCH($O419,'Aub Demand'!$A:$A,0))-IF(AN419="",0,AN419)+AP420,INDEX('Aub Demand'!Q:Q,MATCH($O419,'Aub Demand'!$A:$A,0))-IF(AN419="",0,AN419)),"")</f>
        <v>173</v>
      </c>
      <c r="V419" s="53" t="str">
        <f t="shared" si="170"/>
        <v>n/a</v>
      </c>
      <c r="W419" s="52" t="str">
        <f t="shared" si="171"/>
        <v/>
      </c>
      <c r="X419" s="52">
        <f>IFERROR(IF(AND(AR420=AR419,AM419&lt;&gt;""),INDEX('Aub Demand'!Q:Q,MATCH($O419,'Aub Demand'!$A:$A,0))-IF(AN419="",0,AN419)+AP420+AD419+AL419,IF(AR420=AR419,INDEX('Aub Demand'!Q:Q,MATCH($O419,'Aub Demand'!$A:$A,0))-IF(AN419="",0,AN419)+AP420+AD419,IF(AM419&lt;&gt;"",INDEX('Aub Demand'!Q:Q,MATCH($O419,'Aub Demand'!$A:$A,0))-IF(AN419="",0,AN419)+AD419+AL419,INDEX('Aub Demand'!Q:Q,MATCH($O419,'Aub Demand'!$A:$A,0))-IF(AN419="",0,AN419)+AD419))),"")</f>
        <v>173</v>
      </c>
      <c r="Y419" s="53" t="str">
        <f t="shared" si="172"/>
        <v>n/a</v>
      </c>
      <c r="Z419" s="52">
        <f>IF(L419="","",INDEX('Aub Demand'!H:H,MATCH($O419,'Aub Demand'!$A:$A,0)))</f>
        <v>0</v>
      </c>
      <c r="AA419" s="52" t="str">
        <f t="shared" si="173"/>
        <v>-spike-</v>
      </c>
      <c r="AB419" s="52">
        <f>IFERROR(INDEX('Aub Demand'!L:L,MATCH($O419,'Aub Demand'!$A:$A,0)),"")</f>
        <v>0</v>
      </c>
      <c r="AC419" s="52">
        <f>IFERROR(IF(O419="","",SUMIFS('CPL Mats'!F:F,'CPL Mats'!Q:Q,AR419,'CPL Mats'!S:S,AS419)),"")</f>
        <v>0</v>
      </c>
      <c r="AF419" s="25" t="str">
        <f>IF(SUMIFS('Supp Consol'!S:S,'Supp Consol'!Y:Y,"Releasable",'Supp Consol'!A:A,O419)=0,"",SUMIFS('Supp Consol'!S:S,'Supp Consol'!Y:Y,"Releasable",'Supp Consol'!A:A,O419))</f>
        <v/>
      </c>
      <c r="AG419" s="25" t="str">
        <f>IFERROR(INDEX('Hun Demand'!Q:Q,MATCH(O419,'Hun Demand'!A:A,0)),"")</f>
        <v/>
      </c>
      <c r="AH419" s="25" t="str">
        <f>IFERROR(INDEX('Hun Demand'!H:H,MATCH($O419,'Hun Demand'!$A:$A,0)),"")</f>
        <v/>
      </c>
      <c r="AI419" s="25" t="str">
        <f>IF(SUMIFS('Supp Consol'!AA:AA,'Supp Consol'!Z:Z,"Expires this month",'Supp Consol'!A:A,O419)=0,"",SUMIFS('Supp Consol'!AA:AA,'Supp Consol'!Z:Z,"Expires this month",'Supp Consol'!A:A,O419))</f>
        <v/>
      </c>
      <c r="AJ419" s="25" t="str">
        <f>IF(SUMIFS('Supp Consol'!AA:AA,'Supp Consol'!Z:Z,"Expired Previous Months",'Supp Consol'!A:A,O419)=0,"",SUMIFS('Supp Consol'!AA:AA,'Supp Consol'!Z:Z,"Expired Previous Months",'Supp Consol'!A:A,O419))</f>
        <v/>
      </c>
      <c r="AK419" s="25" t="str">
        <f>IFERROR(INDEX('Hun Release Current'!B:B,MATCH(O419,'Hun Release Current'!A:A,0)),"")</f>
        <v/>
      </c>
      <c r="AL419" s="25" t="str">
        <f>IF(SUMIF('Prev Aub'!A:A,O419,'Prev Aub'!B:B)=0,"",SUMIF('Prev Aub'!A:A,O419,'Prev Aub'!B:B))</f>
        <v/>
      </c>
      <c r="AN419" s="25" t="s">
        <v>3790</v>
      </c>
      <c r="AO419" s="25" t="s">
        <v>3790</v>
      </c>
      <c r="AP419" s="25">
        <f t="shared" si="174"/>
        <v>0</v>
      </c>
      <c r="AQ419" s="151" t="str">
        <f>IF(SUMIFS('Supp Consol'!S:S,'Supp Consol'!A:A,O419,'Supp Consol'!I:I,"PENDING")=0,"",SUMIFS('Supp Consol'!S:S,'Supp Consol'!A:A,O419,'Supp Consol'!I:I,"PENDING"))</f>
        <v/>
      </c>
      <c r="AR419" s="27" t="str">
        <f t="shared" si="175"/>
        <v>FB255</v>
      </c>
      <c r="AS419" s="27" t="str">
        <f t="shared" si="176"/>
        <v>62</v>
      </c>
      <c r="AT419" s="27" t="str">
        <f t="shared" si="177"/>
        <v/>
      </c>
      <c r="AU419" s="27" t="str">
        <f t="shared" si="178"/>
        <v/>
      </c>
      <c r="AV419" s="27" t="str">
        <f t="shared" si="179"/>
        <v/>
      </c>
      <c r="AW419" s="27" t="str">
        <f t="shared" si="180"/>
        <v/>
      </c>
      <c r="AX419" s="27" t="str">
        <f t="shared" si="181"/>
        <v/>
      </c>
      <c r="AY419" s="27" t="str">
        <f t="shared" si="182"/>
        <v/>
      </c>
      <c r="AZ419" s="27" t="str">
        <f t="shared" si="183"/>
        <v/>
      </c>
      <c r="BA419" s="27" t="str">
        <f t="shared" si="184"/>
        <v/>
      </c>
      <c r="BB419" s="27" t="str">
        <f t="shared" si="185"/>
        <v/>
      </c>
      <c r="BC419" s="27" t="str">
        <f t="shared" si="186"/>
        <v/>
      </c>
      <c r="BD419" s="27" t="str">
        <f t="shared" si="187"/>
        <v/>
      </c>
      <c r="BE419" s="27" t="str">
        <f t="shared" si="188"/>
        <v/>
      </c>
      <c r="BF419" s="27" t="str">
        <f t="shared" si="189"/>
        <v/>
      </c>
      <c r="BG419" s="27" t="str">
        <f t="shared" si="190"/>
        <v/>
      </c>
      <c r="BH419" s="27" t="str">
        <f t="shared" si="191"/>
        <v/>
      </c>
      <c r="BI419" s="27" t="str">
        <f t="shared" si="192"/>
        <v/>
      </c>
      <c r="BJ419" s="27" t="str">
        <f t="shared" si="193"/>
        <v/>
      </c>
      <c r="BK419" s="27" t="str">
        <f t="shared" si="194"/>
        <v/>
      </c>
      <c r="BL419" s="27" t="str">
        <f t="shared" si="195"/>
        <v/>
      </c>
      <c r="BM419" s="21" t="s">
        <v>5581</v>
      </c>
    </row>
    <row r="420" spans="1:65" ht="15">
      <c r="A420" s="25" t="str">
        <f>IFERROR(INDEX('Hun Demand'!W:W,MATCH(O420,'Hun Demand'!A:A,0)),"")</f>
        <v/>
      </c>
      <c r="B420" s="25" t="str">
        <f>IFERROR(INDEX('Hun Demand'!V:V,MATCH(O420,'Hun Demand'!A:A,0)),"")</f>
        <v/>
      </c>
      <c r="C420" s="25" t="str">
        <f>IFERROR(INDEX('Hun Demand'!U:U,MATCH(O420,'Hun Demand'!A:A,0)),"")</f>
        <v/>
      </c>
      <c r="D420" s="25" t="str">
        <f>IFERROR(INDEX('Hun Demand'!T:T,MATCH(O420,'Hun Demand'!A:A,0)),"")</f>
        <v/>
      </c>
      <c r="E420" s="25" t="str">
        <f>IFERROR(INDEX('Hun Demand'!S:S,MATCH(O420,'Hun Demand'!A:A,0)),"")</f>
        <v/>
      </c>
      <c r="F420" s="25" t="str">
        <f>IFERROR(INDEX('Hun Demand'!R:R,MATCH(O420,'Hun Demand'!A:A,0)),"")</f>
        <v/>
      </c>
      <c r="G420" s="25">
        <f>IFERROR(INDEX('Aub Demand'!W:W,MATCH(O420,'Aub Demand'!A:A,0)),"")</f>
        <v>0</v>
      </c>
      <c r="H420" s="25">
        <f>IFERROR(INDEX('Aub Demand'!V:V,MATCH(O420,'Aub Demand'!A:A,0)),"")</f>
        <v>0</v>
      </c>
      <c r="I420" s="25">
        <f>IFERROR(INDEX('Aub Demand'!U:U,MATCH(O420,'Aub Demand'!A:A,0)),"")</f>
        <v>0</v>
      </c>
      <c r="J420" s="25">
        <f>IFERROR(INDEX('Aub Demand'!T:T,MATCH(O420,'Aub Demand'!A:A,0)),"")</f>
        <v>0</v>
      </c>
      <c r="K420" s="25">
        <f>IFERROR(INDEX('Aub Demand'!S:S,MATCH(O420,'Aub Demand'!A:A,0)),"")</f>
        <v>0</v>
      </c>
      <c r="L420" s="25">
        <f>IFERROR(INDEX('Aub Demand'!R:R,MATCH(O420,'Aub Demand'!A:A,0)),"")</f>
        <v>0</v>
      </c>
      <c r="O420" s="27" t="s">
        <v>708</v>
      </c>
      <c r="P420" s="27" t="str">
        <f>IFERROR(INDEX('Aub Demand'!B:B,MATCH($O420,'Aub Demand'!$A:$A,0)),"")</f>
        <v>BARTLETT PEARWOOD</v>
      </c>
      <c r="Q420" s="27" t="str">
        <f>IFERROR(INDEX('Aub Demand'!C:C,MATCH($O420,'Aub Demand'!$A:$A,0)),"")</f>
        <v>ARAUC</v>
      </c>
      <c r="R420" s="52">
        <f>IFERROR(IF(AR421=AR420,INDEX('Aub Demand'!K:K,MATCH($O420,'Aub Demand'!$A:$A,0))-IF(AN420="",0,AN420)+AP421,INDEX('Aub Demand'!K:K,MATCH($O420,'Aub Demand'!$A:$A,0))-IF(AN420="",0,AN420)),"")</f>
        <v>423</v>
      </c>
      <c r="S420" s="53" t="str">
        <f t="shared" si="168"/>
        <v>n/a</v>
      </c>
      <c r="T420" s="52" t="str">
        <f t="shared" si="169"/>
        <v/>
      </c>
      <c r="U420" s="52">
        <f>IFERROR(IF(AR421=AR420,INDEX('Aub Demand'!Q:Q,MATCH($O420,'Aub Demand'!$A:$A,0))-IF(AN420="",0,AN420)+AP421,INDEX('Aub Demand'!Q:Q,MATCH($O420,'Aub Demand'!$A:$A,0))-IF(AN420="",0,AN420)),"")</f>
        <v>423</v>
      </c>
      <c r="V420" s="53" t="str">
        <f t="shared" si="170"/>
        <v>n/a</v>
      </c>
      <c r="W420" s="52" t="str">
        <f t="shared" si="171"/>
        <v/>
      </c>
      <c r="X420" s="52">
        <f>IFERROR(IF(AND(AR421=AR420,AM420&lt;&gt;""),INDEX('Aub Demand'!Q:Q,MATCH($O420,'Aub Demand'!$A:$A,0))-IF(AN420="",0,AN420)+AP421+AD420+AL420,IF(AR421=AR420,INDEX('Aub Demand'!Q:Q,MATCH($O420,'Aub Demand'!$A:$A,0))-IF(AN420="",0,AN420)+AP421+AD420,IF(AM420&lt;&gt;"",INDEX('Aub Demand'!Q:Q,MATCH($O420,'Aub Demand'!$A:$A,0))-IF(AN420="",0,AN420)+AD420+AL420,INDEX('Aub Demand'!Q:Q,MATCH($O420,'Aub Demand'!$A:$A,0))-IF(AN420="",0,AN420)+AD420))),"")</f>
        <v>423</v>
      </c>
      <c r="Y420" s="53" t="str">
        <f t="shared" si="172"/>
        <v>n/a</v>
      </c>
      <c r="Z420" s="52">
        <f>IF(L420="","",INDEX('Aub Demand'!H:H,MATCH($O420,'Aub Demand'!$A:$A,0)))</f>
        <v>0</v>
      </c>
      <c r="AA420" s="52" t="str">
        <f t="shared" si="173"/>
        <v>-spike-</v>
      </c>
      <c r="AB420" s="52">
        <f>IFERROR(INDEX('Aub Demand'!L:L,MATCH($O420,'Aub Demand'!$A:$A,0)),"")</f>
        <v>0</v>
      </c>
      <c r="AC420" s="52">
        <f>IFERROR(IF(O420="","",SUMIFS('CPL Mats'!F:F,'CPL Mats'!Q:Q,AR420,'CPL Mats'!S:S,AS420)),"")</f>
        <v>0</v>
      </c>
      <c r="AF420" s="25" t="str">
        <f>IF(SUMIFS('Supp Consol'!S:S,'Supp Consol'!Y:Y,"Releasable",'Supp Consol'!A:A,O420)=0,"",SUMIFS('Supp Consol'!S:S,'Supp Consol'!Y:Y,"Releasable",'Supp Consol'!A:A,O420))</f>
        <v/>
      </c>
      <c r="AG420" s="25" t="str">
        <f>IFERROR(INDEX('Hun Demand'!Q:Q,MATCH(O420,'Hun Demand'!A:A,0)),"")</f>
        <v/>
      </c>
      <c r="AH420" s="25" t="str">
        <f>IFERROR(INDEX('Hun Demand'!H:H,MATCH($O420,'Hun Demand'!$A:$A,0)),"")</f>
        <v/>
      </c>
      <c r="AI420" s="25" t="str">
        <f>IF(SUMIFS('Supp Consol'!AA:AA,'Supp Consol'!Z:Z,"Expires this month",'Supp Consol'!A:A,O420)=0,"",SUMIFS('Supp Consol'!AA:AA,'Supp Consol'!Z:Z,"Expires this month",'Supp Consol'!A:A,O420))</f>
        <v/>
      </c>
      <c r="AJ420" s="25" t="str">
        <f>IF(SUMIFS('Supp Consol'!AA:AA,'Supp Consol'!Z:Z,"Expired Previous Months",'Supp Consol'!A:A,O420)=0,"",SUMIFS('Supp Consol'!AA:AA,'Supp Consol'!Z:Z,"Expired Previous Months",'Supp Consol'!A:A,O420))</f>
        <v/>
      </c>
      <c r="AK420" s="25" t="str">
        <f>IFERROR(INDEX('Hun Release Current'!B:B,MATCH(O420,'Hun Release Current'!A:A,0)),"")</f>
        <v/>
      </c>
      <c r="AL420" s="25" t="str">
        <f>IF(SUMIF('Prev Aub'!A:A,O420,'Prev Aub'!B:B)=0,"",SUMIF('Prev Aub'!A:A,O420,'Prev Aub'!B:B))</f>
        <v/>
      </c>
      <c r="AN420" s="25" t="s">
        <v>3790</v>
      </c>
      <c r="AO420" s="25" t="s">
        <v>3790</v>
      </c>
      <c r="AP420" s="25">
        <f t="shared" si="174"/>
        <v>0</v>
      </c>
      <c r="AQ420" s="151" t="str">
        <f>IF(SUMIFS('Supp Consol'!S:S,'Supp Consol'!A:A,O420,'Supp Consol'!I:I,"PENDING")=0,"",SUMIFS('Supp Consol'!S:S,'Supp Consol'!A:A,O420,'Supp Consol'!I:I,"PENDING"))</f>
        <v/>
      </c>
      <c r="AR420" s="27" t="str">
        <f t="shared" si="175"/>
        <v>FB256</v>
      </c>
      <c r="AS420" s="27" t="str">
        <f t="shared" si="176"/>
        <v>62</v>
      </c>
      <c r="AT420" s="27" t="str">
        <f t="shared" si="177"/>
        <v/>
      </c>
      <c r="AU420" s="27" t="str">
        <f t="shared" si="178"/>
        <v/>
      </c>
      <c r="AV420" s="27" t="str">
        <f t="shared" si="179"/>
        <v/>
      </c>
      <c r="AW420" s="27" t="str">
        <f t="shared" si="180"/>
        <v/>
      </c>
      <c r="AX420" s="27" t="str">
        <f t="shared" si="181"/>
        <v/>
      </c>
      <c r="AY420" s="27" t="str">
        <f t="shared" si="182"/>
        <v/>
      </c>
      <c r="AZ420" s="27" t="str">
        <f t="shared" si="183"/>
        <v/>
      </c>
      <c r="BA420" s="27" t="str">
        <f t="shared" si="184"/>
        <v/>
      </c>
      <c r="BB420" s="27" t="str">
        <f t="shared" si="185"/>
        <v/>
      </c>
      <c r="BC420" s="27" t="str">
        <f t="shared" si="186"/>
        <v/>
      </c>
      <c r="BD420" s="27" t="str">
        <f t="shared" si="187"/>
        <v/>
      </c>
      <c r="BE420" s="27" t="str">
        <f t="shared" si="188"/>
        <v/>
      </c>
      <c r="BF420" s="27" t="str">
        <f t="shared" si="189"/>
        <v/>
      </c>
      <c r="BG420" s="27" t="str">
        <f t="shared" si="190"/>
        <v/>
      </c>
      <c r="BH420" s="27" t="str">
        <f t="shared" si="191"/>
        <v/>
      </c>
      <c r="BI420" s="27" t="str">
        <f t="shared" si="192"/>
        <v/>
      </c>
      <c r="BJ420" s="27" t="str">
        <f t="shared" si="193"/>
        <v/>
      </c>
      <c r="BK420" s="27" t="str">
        <f t="shared" si="194"/>
        <v/>
      </c>
      <c r="BL420" s="27" t="str">
        <f t="shared" si="195"/>
        <v/>
      </c>
      <c r="BM420" s="21" t="s">
        <v>3790</v>
      </c>
    </row>
    <row r="421" spans="1:65" ht="15">
      <c r="A421" s="25" t="str">
        <f>IFERROR(INDEX('Hun Demand'!W:W,MATCH(O421,'Hun Demand'!A:A,0)),"")</f>
        <v/>
      </c>
      <c r="B421" s="25" t="str">
        <f>IFERROR(INDEX('Hun Demand'!V:V,MATCH(O421,'Hun Demand'!A:A,0)),"")</f>
        <v/>
      </c>
      <c r="C421" s="25" t="str">
        <f>IFERROR(INDEX('Hun Demand'!U:U,MATCH(O421,'Hun Demand'!A:A,0)),"")</f>
        <v/>
      </c>
      <c r="D421" s="25" t="str">
        <f>IFERROR(INDEX('Hun Demand'!T:T,MATCH(O421,'Hun Demand'!A:A,0)),"")</f>
        <v/>
      </c>
      <c r="E421" s="25" t="str">
        <f>IFERROR(INDEX('Hun Demand'!S:S,MATCH(O421,'Hun Demand'!A:A,0)),"")</f>
        <v/>
      </c>
      <c r="F421" s="25" t="str">
        <f>IFERROR(INDEX('Hun Demand'!R:R,MATCH(O421,'Hun Demand'!A:A,0)),"")</f>
        <v/>
      </c>
      <c r="G421" s="25">
        <f>IFERROR(INDEX('Aub Demand'!W:W,MATCH(O421,'Aub Demand'!A:A,0)),"")</f>
        <v>0</v>
      </c>
      <c r="H421" s="25">
        <f>IFERROR(INDEX('Aub Demand'!V:V,MATCH(O421,'Aub Demand'!A:A,0)),"")</f>
        <v>14</v>
      </c>
      <c r="I421" s="25">
        <f>IFERROR(INDEX('Aub Demand'!U:U,MATCH(O421,'Aub Demand'!A:A,0)),"")</f>
        <v>0</v>
      </c>
      <c r="J421" s="25">
        <f>IFERROR(INDEX('Aub Demand'!T:T,MATCH(O421,'Aub Demand'!A:A,0)),"")</f>
        <v>0</v>
      </c>
      <c r="K421" s="25">
        <f>IFERROR(INDEX('Aub Demand'!S:S,MATCH(O421,'Aub Demand'!A:A,0)),"")</f>
        <v>0</v>
      </c>
      <c r="L421" s="25">
        <f>IFERROR(INDEX('Aub Demand'!R:R,MATCH(O421,'Aub Demand'!A:A,0)),"")</f>
        <v>0</v>
      </c>
      <c r="O421" s="27" t="s">
        <v>710</v>
      </c>
      <c r="P421" s="27" t="str">
        <f>IFERROR(INDEX('Aub Demand'!B:B,MATCH($O421,'Aub Demand'!$A:$A,0)),"")</f>
        <v>VERDE</v>
      </c>
      <c r="Q421" s="27" t="str">
        <f>IFERROR(INDEX('Aub Demand'!C:C,MATCH($O421,'Aub Demand'!$A:$A,0)),"")</f>
        <v>ARAUC</v>
      </c>
      <c r="R421" s="52">
        <f>IFERROR(IF(AR422=AR421,INDEX('Aub Demand'!K:K,MATCH($O421,'Aub Demand'!$A:$A,0))-IF(AN421="",0,AN421)+AP422,INDEX('Aub Demand'!K:K,MATCH($O421,'Aub Demand'!$A:$A,0))-IF(AN421="",0,AN421)),"")</f>
        <v>186</v>
      </c>
      <c r="S421" s="53" t="str">
        <f t="shared" si="168"/>
        <v>n/a</v>
      </c>
      <c r="T421" s="52" t="str">
        <f t="shared" si="169"/>
        <v/>
      </c>
      <c r="U421" s="52">
        <f>IFERROR(IF(AR422=AR421,INDEX('Aub Demand'!Q:Q,MATCH($O421,'Aub Demand'!$A:$A,0))-IF(AN421="",0,AN421)+AP422,INDEX('Aub Demand'!Q:Q,MATCH($O421,'Aub Demand'!$A:$A,0))-IF(AN421="",0,AN421)),"")</f>
        <v>186</v>
      </c>
      <c r="V421" s="53" t="str">
        <f t="shared" si="170"/>
        <v>n/a</v>
      </c>
      <c r="W421" s="52" t="str">
        <f t="shared" si="171"/>
        <v/>
      </c>
      <c r="X421" s="52">
        <f>IFERROR(IF(AND(AR422=AR421,AM421&lt;&gt;""),INDEX('Aub Demand'!Q:Q,MATCH($O421,'Aub Demand'!$A:$A,0))-IF(AN421="",0,AN421)+AP422+AD421+AL421,IF(AR422=AR421,INDEX('Aub Demand'!Q:Q,MATCH($O421,'Aub Demand'!$A:$A,0))-IF(AN421="",0,AN421)+AP422+AD421,IF(AM421&lt;&gt;"",INDEX('Aub Demand'!Q:Q,MATCH($O421,'Aub Demand'!$A:$A,0))-IF(AN421="",0,AN421)+AD421+AL421,INDEX('Aub Demand'!Q:Q,MATCH($O421,'Aub Demand'!$A:$A,0))-IF(AN421="",0,AN421)+AD421))),"")</f>
        <v>186</v>
      </c>
      <c r="Y421" s="53" t="str">
        <f t="shared" si="172"/>
        <v>n/a</v>
      </c>
      <c r="Z421" s="52">
        <f>IF(L421="","",INDEX('Aub Demand'!H:H,MATCH($O421,'Aub Demand'!$A:$A,0)))</f>
        <v>0</v>
      </c>
      <c r="AA421" s="52" t="str">
        <f t="shared" si="173"/>
        <v>-spike-</v>
      </c>
      <c r="AB421" s="52">
        <f>IFERROR(INDEX('Aub Demand'!L:L,MATCH($O421,'Aub Demand'!$A:$A,0)),"")</f>
        <v>3</v>
      </c>
      <c r="AC421" s="52">
        <f>IFERROR(IF(O421="","",SUMIFS('CPL Mats'!F:F,'CPL Mats'!Q:Q,AR421,'CPL Mats'!S:S,AS421)),"")</f>
        <v>0</v>
      </c>
      <c r="AF421" s="25" t="str">
        <f>IF(SUMIFS('Supp Consol'!S:S,'Supp Consol'!Y:Y,"Releasable",'Supp Consol'!A:A,O421)=0,"",SUMIFS('Supp Consol'!S:S,'Supp Consol'!Y:Y,"Releasable",'Supp Consol'!A:A,O421))</f>
        <v/>
      </c>
      <c r="AG421" s="25" t="str">
        <f>IFERROR(INDEX('Hun Demand'!Q:Q,MATCH(O421,'Hun Demand'!A:A,0)),"")</f>
        <v/>
      </c>
      <c r="AH421" s="25" t="str">
        <f>IFERROR(INDEX('Hun Demand'!H:H,MATCH($O421,'Hun Demand'!$A:$A,0)),"")</f>
        <v/>
      </c>
      <c r="AI421" s="25" t="str">
        <f>IF(SUMIFS('Supp Consol'!AA:AA,'Supp Consol'!Z:Z,"Expires this month",'Supp Consol'!A:A,O421)=0,"",SUMIFS('Supp Consol'!AA:AA,'Supp Consol'!Z:Z,"Expires this month",'Supp Consol'!A:A,O421))</f>
        <v/>
      </c>
      <c r="AJ421" s="25" t="str">
        <f>IF(SUMIFS('Supp Consol'!AA:AA,'Supp Consol'!Z:Z,"Expired Previous Months",'Supp Consol'!A:A,O421)=0,"",SUMIFS('Supp Consol'!AA:AA,'Supp Consol'!Z:Z,"Expired Previous Months",'Supp Consol'!A:A,O421))</f>
        <v/>
      </c>
      <c r="AK421" s="25" t="str">
        <f>IFERROR(INDEX('Hun Release Current'!B:B,MATCH(O421,'Hun Release Current'!A:A,0)),"")</f>
        <v/>
      </c>
      <c r="AL421" s="25" t="str">
        <f>IF(SUMIF('Prev Aub'!A:A,O421,'Prev Aub'!B:B)=0,"",SUMIF('Prev Aub'!A:A,O421,'Prev Aub'!B:B))</f>
        <v/>
      </c>
      <c r="AN421" s="25" t="s">
        <v>3790</v>
      </c>
      <c r="AO421" s="25" t="s">
        <v>3790</v>
      </c>
      <c r="AP421" s="25">
        <f t="shared" si="174"/>
        <v>0</v>
      </c>
      <c r="AQ421" s="151" t="str">
        <f>IF(SUMIFS('Supp Consol'!S:S,'Supp Consol'!A:A,O421,'Supp Consol'!I:I,"PENDING")=0,"",SUMIFS('Supp Consol'!S:S,'Supp Consol'!A:A,O421,'Supp Consol'!I:I,"PENDING"))</f>
        <v/>
      </c>
      <c r="AR421" s="27" t="str">
        <f t="shared" si="175"/>
        <v>FB257</v>
      </c>
      <c r="AS421" s="27" t="str">
        <f t="shared" si="176"/>
        <v>50</v>
      </c>
      <c r="AT421" s="27" t="str">
        <f t="shared" si="177"/>
        <v/>
      </c>
      <c r="AU421" s="27" t="str">
        <f t="shared" si="178"/>
        <v/>
      </c>
      <c r="AV421" s="27" t="str">
        <f t="shared" si="179"/>
        <v/>
      </c>
      <c r="AW421" s="27" t="str">
        <f t="shared" si="180"/>
        <v/>
      </c>
      <c r="AX421" s="27" t="str">
        <f t="shared" si="181"/>
        <v/>
      </c>
      <c r="AY421" s="27" t="str">
        <f t="shared" si="182"/>
        <v/>
      </c>
      <c r="AZ421" s="27" t="str">
        <f t="shared" si="183"/>
        <v/>
      </c>
      <c r="BA421" s="27" t="str">
        <f t="shared" si="184"/>
        <v/>
      </c>
      <c r="BB421" s="27" t="str">
        <f t="shared" si="185"/>
        <v/>
      </c>
      <c r="BC421" s="27" t="str">
        <f t="shared" si="186"/>
        <v/>
      </c>
      <c r="BD421" s="27" t="str">
        <f t="shared" si="187"/>
        <v/>
      </c>
      <c r="BE421" s="27" t="str">
        <f t="shared" si="188"/>
        <v/>
      </c>
      <c r="BF421" s="27" t="str">
        <f t="shared" si="189"/>
        <v/>
      </c>
      <c r="BG421" s="27" t="str">
        <f t="shared" si="190"/>
        <v/>
      </c>
      <c r="BH421" s="27" t="str">
        <f t="shared" si="191"/>
        <v/>
      </c>
      <c r="BI421" s="27" t="str">
        <f t="shared" si="192"/>
        <v/>
      </c>
      <c r="BJ421" s="27" t="str">
        <f t="shared" si="193"/>
        <v/>
      </c>
      <c r="BK421" s="27" t="str">
        <f t="shared" si="194"/>
        <v/>
      </c>
      <c r="BL421" s="27" t="str">
        <f t="shared" si="195"/>
        <v/>
      </c>
      <c r="BM421" s="21" t="s">
        <v>5581</v>
      </c>
    </row>
    <row r="422" spans="1:65" ht="15">
      <c r="A422" s="25" t="str">
        <f>IFERROR(INDEX('Hun Demand'!W:W,MATCH(O422,'Hun Demand'!A:A,0)),"")</f>
        <v/>
      </c>
      <c r="B422" s="25" t="str">
        <f>IFERROR(INDEX('Hun Demand'!V:V,MATCH(O422,'Hun Demand'!A:A,0)),"")</f>
        <v/>
      </c>
      <c r="C422" s="25" t="str">
        <f>IFERROR(INDEX('Hun Demand'!U:U,MATCH(O422,'Hun Demand'!A:A,0)),"")</f>
        <v/>
      </c>
      <c r="D422" s="25" t="str">
        <f>IFERROR(INDEX('Hun Demand'!T:T,MATCH(O422,'Hun Demand'!A:A,0)),"")</f>
        <v/>
      </c>
      <c r="E422" s="25" t="str">
        <f>IFERROR(INDEX('Hun Demand'!S:S,MATCH(O422,'Hun Demand'!A:A,0)),"")</f>
        <v/>
      </c>
      <c r="F422" s="25" t="str">
        <f>IFERROR(INDEX('Hun Demand'!R:R,MATCH(O422,'Hun Demand'!A:A,0)),"")</f>
        <v/>
      </c>
      <c r="G422" s="25">
        <f>IFERROR(INDEX('Aub Demand'!W:W,MATCH(O422,'Aub Demand'!A:A,0)),"")</f>
        <v>0</v>
      </c>
      <c r="H422" s="25">
        <f>IFERROR(INDEX('Aub Demand'!V:V,MATCH(O422,'Aub Demand'!A:A,0)),"")</f>
        <v>0</v>
      </c>
      <c r="I422" s="25">
        <f>IFERROR(INDEX('Aub Demand'!U:U,MATCH(O422,'Aub Demand'!A:A,0)),"")</f>
        <v>0</v>
      </c>
      <c r="J422" s="25">
        <f>IFERROR(INDEX('Aub Demand'!T:T,MATCH(O422,'Aub Demand'!A:A,0)),"")</f>
        <v>0</v>
      </c>
      <c r="K422" s="25">
        <f>IFERROR(INDEX('Aub Demand'!S:S,MATCH(O422,'Aub Demand'!A:A,0)),"")</f>
        <v>0</v>
      </c>
      <c r="L422" s="25">
        <f>IFERROR(INDEX('Aub Demand'!R:R,MATCH(O422,'Aub Demand'!A:A,0)),"")</f>
        <v>0</v>
      </c>
      <c r="O422" s="27" t="s">
        <v>712</v>
      </c>
      <c r="P422" s="27" t="str">
        <f>IFERROR(INDEX('Aub Demand'!B:B,MATCH($O422,'Aub Demand'!$A:$A,0)),"")</f>
        <v>VERDE</v>
      </c>
      <c r="Q422" s="27" t="str">
        <f>IFERROR(INDEX('Aub Demand'!C:C,MATCH($O422,'Aub Demand'!$A:$A,0)),"")</f>
        <v>ARAUC</v>
      </c>
      <c r="R422" s="52">
        <f>IFERROR(IF(AR423=AR422,INDEX('Aub Demand'!K:K,MATCH($O422,'Aub Demand'!$A:$A,0))-IF(AN422="",0,AN422)+AP423,INDEX('Aub Demand'!K:K,MATCH($O422,'Aub Demand'!$A:$A,0))-IF(AN422="",0,AN422)),"")</f>
        <v>212</v>
      </c>
      <c r="S422" s="53" t="str">
        <f t="shared" si="168"/>
        <v>n/a</v>
      </c>
      <c r="T422" s="52" t="str">
        <f t="shared" si="169"/>
        <v/>
      </c>
      <c r="U422" s="52">
        <f>IFERROR(IF(AR423=AR422,INDEX('Aub Demand'!Q:Q,MATCH($O422,'Aub Demand'!$A:$A,0))-IF(AN422="",0,AN422)+AP423,INDEX('Aub Demand'!Q:Q,MATCH($O422,'Aub Demand'!$A:$A,0))-IF(AN422="",0,AN422)),"")</f>
        <v>207</v>
      </c>
      <c r="V422" s="53" t="str">
        <f t="shared" si="170"/>
        <v>n/a</v>
      </c>
      <c r="W422" s="52" t="str">
        <f t="shared" si="171"/>
        <v/>
      </c>
      <c r="X422" s="52">
        <f>IFERROR(IF(AND(AR423=AR422,AM422&lt;&gt;""),INDEX('Aub Demand'!Q:Q,MATCH($O422,'Aub Demand'!$A:$A,0))-IF(AN422="",0,AN422)+AP423+AD422+AL422,IF(AR423=AR422,INDEX('Aub Demand'!Q:Q,MATCH($O422,'Aub Demand'!$A:$A,0))-IF(AN422="",0,AN422)+AP423+AD422,IF(AM422&lt;&gt;"",INDEX('Aub Demand'!Q:Q,MATCH($O422,'Aub Demand'!$A:$A,0))-IF(AN422="",0,AN422)+AD422+AL422,INDEX('Aub Demand'!Q:Q,MATCH($O422,'Aub Demand'!$A:$A,0))-IF(AN422="",0,AN422)+AD422))),"")</f>
        <v>207</v>
      </c>
      <c r="Y422" s="53" t="str">
        <f t="shared" si="172"/>
        <v>n/a</v>
      </c>
      <c r="Z422" s="52">
        <f>IF(L422="","",INDEX('Aub Demand'!H:H,MATCH($O422,'Aub Demand'!$A:$A,0)))</f>
        <v>0</v>
      </c>
      <c r="AA422" s="52" t="str">
        <f t="shared" si="173"/>
        <v>-spike-</v>
      </c>
      <c r="AB422" s="52">
        <f>IFERROR(INDEX('Aub Demand'!L:L,MATCH($O422,'Aub Demand'!$A:$A,0)),"")</f>
        <v>0</v>
      </c>
      <c r="AC422" s="52">
        <f>IFERROR(IF(O422="","",SUMIFS('CPL Mats'!F:F,'CPL Mats'!Q:Q,AR422,'CPL Mats'!S:S,AS422)),"")</f>
        <v>0</v>
      </c>
      <c r="AF422" s="25" t="str">
        <f>IF(SUMIFS('Supp Consol'!S:S,'Supp Consol'!Y:Y,"Releasable",'Supp Consol'!A:A,O422)=0,"",SUMIFS('Supp Consol'!S:S,'Supp Consol'!Y:Y,"Releasable",'Supp Consol'!A:A,O422))</f>
        <v/>
      </c>
      <c r="AG422" s="25" t="str">
        <f>IFERROR(INDEX('Hun Demand'!Q:Q,MATCH(O422,'Hun Demand'!A:A,0)),"")</f>
        <v/>
      </c>
      <c r="AH422" s="25" t="str">
        <f>IFERROR(INDEX('Hun Demand'!H:H,MATCH($O422,'Hun Demand'!$A:$A,0)),"")</f>
        <v/>
      </c>
      <c r="AI422" s="25" t="str">
        <f>IF(SUMIFS('Supp Consol'!AA:AA,'Supp Consol'!Z:Z,"Expires this month",'Supp Consol'!A:A,O422)=0,"",SUMIFS('Supp Consol'!AA:AA,'Supp Consol'!Z:Z,"Expires this month",'Supp Consol'!A:A,O422))</f>
        <v/>
      </c>
      <c r="AJ422" s="25" t="str">
        <f>IF(SUMIFS('Supp Consol'!AA:AA,'Supp Consol'!Z:Z,"Expired Previous Months",'Supp Consol'!A:A,O422)=0,"",SUMIFS('Supp Consol'!AA:AA,'Supp Consol'!Z:Z,"Expired Previous Months",'Supp Consol'!A:A,O422))</f>
        <v/>
      </c>
      <c r="AK422" s="25" t="str">
        <f>IFERROR(INDEX('Hun Release Current'!B:B,MATCH(O422,'Hun Release Current'!A:A,0)),"")</f>
        <v/>
      </c>
      <c r="AL422" s="25" t="str">
        <f>IF(SUMIF('Prev Aub'!A:A,O422,'Prev Aub'!B:B)=0,"",SUMIF('Prev Aub'!A:A,O422,'Prev Aub'!B:B))</f>
        <v/>
      </c>
      <c r="AN422" s="25" t="s">
        <v>3790</v>
      </c>
      <c r="AO422" s="25" t="s">
        <v>3790</v>
      </c>
      <c r="AP422" s="25">
        <f t="shared" si="174"/>
        <v>0</v>
      </c>
      <c r="AQ422" s="151" t="str">
        <f>IF(SUMIFS('Supp Consol'!S:S,'Supp Consol'!A:A,O422,'Supp Consol'!I:I,"PENDING")=0,"",SUMIFS('Supp Consol'!S:S,'Supp Consol'!A:A,O422,'Supp Consol'!I:I,"PENDING"))</f>
        <v/>
      </c>
      <c r="AR422" s="27" t="str">
        <f t="shared" si="175"/>
        <v>FB257</v>
      </c>
      <c r="AS422" s="27" t="str">
        <f t="shared" si="176"/>
        <v>62</v>
      </c>
      <c r="AT422" s="27" t="str">
        <f t="shared" si="177"/>
        <v/>
      </c>
      <c r="AU422" s="27" t="str">
        <f t="shared" si="178"/>
        <v/>
      </c>
      <c r="AV422" s="27" t="str">
        <f t="shared" si="179"/>
        <v/>
      </c>
      <c r="AW422" s="27" t="str">
        <f t="shared" si="180"/>
        <v/>
      </c>
      <c r="AX422" s="27" t="str">
        <f t="shared" si="181"/>
        <v/>
      </c>
      <c r="AY422" s="27" t="str">
        <f t="shared" si="182"/>
        <v/>
      </c>
      <c r="AZ422" s="27" t="str">
        <f t="shared" si="183"/>
        <v/>
      </c>
      <c r="BA422" s="27" t="str">
        <f t="shared" si="184"/>
        <v/>
      </c>
      <c r="BB422" s="27" t="str">
        <f t="shared" si="185"/>
        <v/>
      </c>
      <c r="BC422" s="27" t="str">
        <f t="shared" si="186"/>
        <v/>
      </c>
      <c r="BD422" s="27" t="str">
        <f t="shared" si="187"/>
        <v/>
      </c>
      <c r="BE422" s="27" t="str">
        <f t="shared" si="188"/>
        <v/>
      </c>
      <c r="BF422" s="27" t="str">
        <f t="shared" si="189"/>
        <v/>
      </c>
      <c r="BG422" s="27" t="str">
        <f t="shared" si="190"/>
        <v/>
      </c>
      <c r="BH422" s="27" t="str">
        <f t="shared" si="191"/>
        <v/>
      </c>
      <c r="BI422" s="27" t="str">
        <f t="shared" si="192"/>
        <v/>
      </c>
      <c r="BJ422" s="27" t="str">
        <f t="shared" si="193"/>
        <v/>
      </c>
      <c r="BK422" s="27" t="str">
        <f t="shared" si="194"/>
        <v/>
      </c>
      <c r="BL422" s="27" t="str">
        <f t="shared" si="195"/>
        <v/>
      </c>
      <c r="BM422" s="21" t="s">
        <v>5581</v>
      </c>
    </row>
    <row r="423" spans="1:65" ht="15">
      <c r="A423" s="25" t="str">
        <f>IFERROR(INDEX('Hun Demand'!W:W,MATCH(O423,'Hun Demand'!A:A,0)),"")</f>
        <v/>
      </c>
      <c r="B423" s="25" t="str">
        <f>IFERROR(INDEX('Hun Demand'!V:V,MATCH(O423,'Hun Demand'!A:A,0)),"")</f>
        <v/>
      </c>
      <c r="C423" s="25" t="str">
        <f>IFERROR(INDEX('Hun Demand'!U:U,MATCH(O423,'Hun Demand'!A:A,0)),"")</f>
        <v/>
      </c>
      <c r="D423" s="25" t="str">
        <f>IFERROR(INDEX('Hun Demand'!T:T,MATCH(O423,'Hun Demand'!A:A,0)),"")</f>
        <v/>
      </c>
      <c r="E423" s="25" t="str">
        <f>IFERROR(INDEX('Hun Demand'!S:S,MATCH(O423,'Hun Demand'!A:A,0)),"")</f>
        <v/>
      </c>
      <c r="F423" s="25" t="str">
        <f>IFERROR(INDEX('Hun Demand'!R:R,MATCH(O423,'Hun Demand'!A:A,0)),"")</f>
        <v/>
      </c>
      <c r="G423" s="25">
        <f>IFERROR(INDEX('Aub Demand'!W:W,MATCH(O423,'Aub Demand'!A:A,0)),"")</f>
        <v>0</v>
      </c>
      <c r="H423" s="25">
        <f>IFERROR(INDEX('Aub Demand'!V:V,MATCH(O423,'Aub Demand'!A:A,0)),"")</f>
        <v>0</v>
      </c>
      <c r="I423" s="25">
        <f>IFERROR(INDEX('Aub Demand'!U:U,MATCH(O423,'Aub Demand'!A:A,0)),"")</f>
        <v>0</v>
      </c>
      <c r="J423" s="25">
        <f>IFERROR(INDEX('Aub Demand'!T:T,MATCH(O423,'Aub Demand'!A:A,0)),"")</f>
        <v>0</v>
      </c>
      <c r="K423" s="25">
        <f>IFERROR(INDEX('Aub Demand'!S:S,MATCH(O423,'Aub Demand'!A:A,0)),"")</f>
        <v>0</v>
      </c>
      <c r="L423" s="25">
        <f>IFERROR(INDEX('Aub Demand'!R:R,MATCH(O423,'Aub Demand'!A:A,0)),"")</f>
        <v>0</v>
      </c>
      <c r="O423" s="27" t="s">
        <v>713</v>
      </c>
      <c r="P423" s="27" t="str">
        <f>IFERROR(INDEX('Aub Demand'!B:B,MATCH($O423,'Aub Demand'!$A:$A,0)),"")</f>
        <v>ROJA</v>
      </c>
      <c r="Q423" s="27" t="str">
        <f>IFERROR(INDEX('Aub Demand'!C:C,MATCH($O423,'Aub Demand'!$A:$A,0)),"")</f>
        <v>ARAUC</v>
      </c>
      <c r="R423" s="52">
        <f>IFERROR(IF(AR424=AR423,INDEX('Aub Demand'!K:K,MATCH($O423,'Aub Demand'!$A:$A,0))-IF(AN423="",0,AN423)+AP424,INDEX('Aub Demand'!K:K,MATCH($O423,'Aub Demand'!$A:$A,0))-IF(AN423="",0,AN423)),"")</f>
        <v>223</v>
      </c>
      <c r="S423" s="53" t="str">
        <f t="shared" si="168"/>
        <v>n/a</v>
      </c>
      <c r="T423" s="52" t="str">
        <f t="shared" si="169"/>
        <v/>
      </c>
      <c r="U423" s="52">
        <f>IFERROR(IF(AR424=AR423,INDEX('Aub Demand'!Q:Q,MATCH($O423,'Aub Demand'!$A:$A,0))-IF(AN423="",0,AN423)+AP424,INDEX('Aub Demand'!Q:Q,MATCH($O423,'Aub Demand'!$A:$A,0))-IF(AN423="",0,AN423)),"")</f>
        <v>223</v>
      </c>
      <c r="V423" s="53" t="str">
        <f t="shared" si="170"/>
        <v>n/a</v>
      </c>
      <c r="W423" s="52" t="str">
        <f t="shared" si="171"/>
        <v/>
      </c>
      <c r="X423" s="52">
        <f>IFERROR(IF(AND(AR424=AR423,AM423&lt;&gt;""),INDEX('Aub Demand'!Q:Q,MATCH($O423,'Aub Demand'!$A:$A,0))-IF(AN423="",0,AN423)+AP424+AD423+AL423,IF(AR424=AR423,INDEX('Aub Demand'!Q:Q,MATCH($O423,'Aub Demand'!$A:$A,0))-IF(AN423="",0,AN423)+AP424+AD423,IF(AM423&lt;&gt;"",INDEX('Aub Demand'!Q:Q,MATCH($O423,'Aub Demand'!$A:$A,0))-IF(AN423="",0,AN423)+AD423+AL423,INDEX('Aub Demand'!Q:Q,MATCH($O423,'Aub Demand'!$A:$A,0))-IF(AN423="",0,AN423)+AD423))),"")</f>
        <v>223</v>
      </c>
      <c r="Y423" s="53" t="str">
        <f t="shared" si="172"/>
        <v>n/a</v>
      </c>
      <c r="Z423" s="52">
        <f>IF(L423="","",INDEX('Aub Demand'!H:H,MATCH($O423,'Aub Demand'!$A:$A,0)))</f>
        <v>0</v>
      </c>
      <c r="AA423" s="52" t="str">
        <f t="shared" si="173"/>
        <v>-spike-</v>
      </c>
      <c r="AB423" s="52">
        <f>IFERROR(INDEX('Aub Demand'!L:L,MATCH($O423,'Aub Demand'!$A:$A,0)),"")</f>
        <v>3</v>
      </c>
      <c r="AC423" s="52">
        <f>IFERROR(IF(O423="","",SUMIFS('CPL Mats'!F:F,'CPL Mats'!Q:Q,AR423,'CPL Mats'!S:S,AS423)),"")</f>
        <v>0</v>
      </c>
      <c r="AF423" s="25" t="str">
        <f>IF(SUMIFS('Supp Consol'!S:S,'Supp Consol'!Y:Y,"Releasable",'Supp Consol'!A:A,O423)=0,"",SUMIFS('Supp Consol'!S:S,'Supp Consol'!Y:Y,"Releasable",'Supp Consol'!A:A,O423))</f>
        <v/>
      </c>
      <c r="AG423" s="25" t="str">
        <f>IFERROR(INDEX('Hun Demand'!Q:Q,MATCH(O423,'Hun Demand'!A:A,0)),"")</f>
        <v/>
      </c>
      <c r="AH423" s="25" t="str">
        <f>IFERROR(INDEX('Hun Demand'!H:H,MATCH($O423,'Hun Demand'!$A:$A,0)),"")</f>
        <v/>
      </c>
      <c r="AI423" s="25" t="str">
        <f>IF(SUMIFS('Supp Consol'!AA:AA,'Supp Consol'!Z:Z,"Expires this month",'Supp Consol'!A:A,O423)=0,"",SUMIFS('Supp Consol'!AA:AA,'Supp Consol'!Z:Z,"Expires this month",'Supp Consol'!A:A,O423))</f>
        <v/>
      </c>
      <c r="AJ423" s="25" t="str">
        <f>IF(SUMIFS('Supp Consol'!AA:AA,'Supp Consol'!Z:Z,"Expired Previous Months",'Supp Consol'!A:A,O423)=0,"",SUMIFS('Supp Consol'!AA:AA,'Supp Consol'!Z:Z,"Expired Previous Months",'Supp Consol'!A:A,O423))</f>
        <v/>
      </c>
      <c r="AK423" s="25" t="str">
        <f>IFERROR(INDEX('Hun Release Current'!B:B,MATCH(O423,'Hun Release Current'!A:A,0)),"")</f>
        <v/>
      </c>
      <c r="AL423" s="25" t="str">
        <f>IF(SUMIF('Prev Aub'!A:A,O423,'Prev Aub'!B:B)=0,"",SUMIF('Prev Aub'!A:A,O423,'Prev Aub'!B:B))</f>
        <v/>
      </c>
      <c r="AN423" s="25" t="s">
        <v>3790</v>
      </c>
      <c r="AO423" s="25" t="s">
        <v>3790</v>
      </c>
      <c r="AP423" s="25">
        <f t="shared" si="174"/>
        <v>0</v>
      </c>
      <c r="AQ423" s="151" t="str">
        <f>IF(SUMIFS('Supp Consol'!S:S,'Supp Consol'!A:A,O423,'Supp Consol'!I:I,"PENDING")=0,"",SUMIFS('Supp Consol'!S:S,'Supp Consol'!A:A,O423,'Supp Consol'!I:I,"PENDING"))</f>
        <v/>
      </c>
      <c r="AR423" s="27" t="str">
        <f t="shared" si="175"/>
        <v>FB258</v>
      </c>
      <c r="AS423" s="27" t="str">
        <f t="shared" si="176"/>
        <v>50</v>
      </c>
      <c r="AT423" s="27" t="str">
        <f t="shared" si="177"/>
        <v/>
      </c>
      <c r="AU423" s="27" t="str">
        <f t="shared" si="178"/>
        <v/>
      </c>
      <c r="AV423" s="27" t="str">
        <f t="shared" si="179"/>
        <v/>
      </c>
      <c r="AW423" s="27" t="str">
        <f t="shared" si="180"/>
        <v/>
      </c>
      <c r="AX423" s="27" t="str">
        <f t="shared" si="181"/>
        <v/>
      </c>
      <c r="AY423" s="27" t="str">
        <f t="shared" si="182"/>
        <v/>
      </c>
      <c r="AZ423" s="27" t="str">
        <f t="shared" si="183"/>
        <v/>
      </c>
      <c r="BA423" s="27" t="str">
        <f t="shared" si="184"/>
        <v/>
      </c>
      <c r="BB423" s="27" t="str">
        <f t="shared" si="185"/>
        <v/>
      </c>
      <c r="BC423" s="27" t="str">
        <f t="shared" si="186"/>
        <v/>
      </c>
      <c r="BD423" s="27" t="str">
        <f t="shared" si="187"/>
        <v/>
      </c>
      <c r="BE423" s="27" t="str">
        <f t="shared" si="188"/>
        <v/>
      </c>
      <c r="BF423" s="27" t="str">
        <f t="shared" si="189"/>
        <v/>
      </c>
      <c r="BG423" s="27" t="str">
        <f t="shared" si="190"/>
        <v/>
      </c>
      <c r="BH423" s="27" t="str">
        <f t="shared" si="191"/>
        <v/>
      </c>
      <c r="BI423" s="27" t="str">
        <f t="shared" si="192"/>
        <v/>
      </c>
      <c r="BJ423" s="27" t="str">
        <f t="shared" si="193"/>
        <v/>
      </c>
      <c r="BK423" s="27" t="str">
        <f t="shared" si="194"/>
        <v/>
      </c>
      <c r="BL423" s="27" t="str">
        <f t="shared" si="195"/>
        <v/>
      </c>
      <c r="BM423" s="21" t="s">
        <v>5581</v>
      </c>
    </row>
    <row r="424" spans="1:65" ht="15">
      <c r="A424" s="25" t="str">
        <f>IFERROR(INDEX('Hun Demand'!W:W,MATCH(O424,'Hun Demand'!A:A,0)),"")</f>
        <v/>
      </c>
      <c r="B424" s="25" t="str">
        <f>IFERROR(INDEX('Hun Demand'!V:V,MATCH(O424,'Hun Demand'!A:A,0)),"")</f>
        <v/>
      </c>
      <c r="C424" s="25" t="str">
        <f>IFERROR(INDEX('Hun Demand'!U:U,MATCH(O424,'Hun Demand'!A:A,0)),"")</f>
        <v/>
      </c>
      <c r="D424" s="25" t="str">
        <f>IFERROR(INDEX('Hun Demand'!T:T,MATCH(O424,'Hun Demand'!A:A,0)),"")</f>
        <v/>
      </c>
      <c r="E424" s="25" t="str">
        <f>IFERROR(INDEX('Hun Demand'!S:S,MATCH(O424,'Hun Demand'!A:A,0)),"")</f>
        <v/>
      </c>
      <c r="F424" s="25" t="str">
        <f>IFERROR(INDEX('Hun Demand'!R:R,MATCH(O424,'Hun Demand'!A:A,0)),"")</f>
        <v/>
      </c>
      <c r="G424" s="25">
        <f>IFERROR(INDEX('Aub Demand'!W:W,MATCH(O424,'Aub Demand'!A:A,0)),"")</f>
        <v>0</v>
      </c>
      <c r="H424" s="25">
        <f>IFERROR(INDEX('Aub Demand'!V:V,MATCH(O424,'Aub Demand'!A:A,0)),"")</f>
        <v>0</v>
      </c>
      <c r="I424" s="25">
        <f>IFERROR(INDEX('Aub Demand'!U:U,MATCH(O424,'Aub Demand'!A:A,0)),"")</f>
        <v>0</v>
      </c>
      <c r="J424" s="25">
        <f>IFERROR(INDEX('Aub Demand'!T:T,MATCH(O424,'Aub Demand'!A:A,0)),"")</f>
        <v>0</v>
      </c>
      <c r="K424" s="25">
        <f>IFERROR(INDEX('Aub Demand'!S:S,MATCH(O424,'Aub Demand'!A:A,0)),"")</f>
        <v>0</v>
      </c>
      <c r="L424" s="25">
        <f>IFERROR(INDEX('Aub Demand'!R:R,MATCH(O424,'Aub Demand'!A:A,0)),"")</f>
        <v>0</v>
      </c>
      <c r="O424" s="27" t="s">
        <v>715</v>
      </c>
      <c r="P424" s="27" t="str">
        <f>IFERROR(INDEX('Aub Demand'!B:B,MATCH($O424,'Aub Demand'!$A:$A,0)),"")</f>
        <v>ROJA</v>
      </c>
      <c r="Q424" s="27" t="str">
        <f>IFERROR(INDEX('Aub Demand'!C:C,MATCH($O424,'Aub Demand'!$A:$A,0)),"")</f>
        <v>ARAUC</v>
      </c>
      <c r="R424" s="52">
        <f>IFERROR(IF(AR425=AR424,INDEX('Aub Demand'!K:K,MATCH($O424,'Aub Demand'!$A:$A,0))-IF(AN424="",0,AN424)+AP425,INDEX('Aub Demand'!K:K,MATCH($O424,'Aub Demand'!$A:$A,0))-IF(AN424="",0,AN424)),"")</f>
        <v>198</v>
      </c>
      <c r="S424" s="53" t="str">
        <f t="shared" si="168"/>
        <v>n/a</v>
      </c>
      <c r="T424" s="52" t="str">
        <f t="shared" si="169"/>
        <v/>
      </c>
      <c r="U424" s="52">
        <f>IFERROR(IF(AR425=AR424,INDEX('Aub Demand'!Q:Q,MATCH($O424,'Aub Demand'!$A:$A,0))-IF(AN424="",0,AN424)+AP425,INDEX('Aub Demand'!Q:Q,MATCH($O424,'Aub Demand'!$A:$A,0))-IF(AN424="",0,AN424)),"")</f>
        <v>193</v>
      </c>
      <c r="V424" s="53" t="str">
        <f t="shared" si="170"/>
        <v>n/a</v>
      </c>
      <c r="W424" s="52" t="str">
        <f t="shared" si="171"/>
        <v/>
      </c>
      <c r="X424" s="52">
        <f>IFERROR(IF(AND(AR425=AR424,AM424&lt;&gt;""),INDEX('Aub Demand'!Q:Q,MATCH($O424,'Aub Demand'!$A:$A,0))-IF(AN424="",0,AN424)+AP425+AD424+AL424,IF(AR425=AR424,INDEX('Aub Demand'!Q:Q,MATCH($O424,'Aub Demand'!$A:$A,0))-IF(AN424="",0,AN424)+AP425+AD424,IF(AM424&lt;&gt;"",INDEX('Aub Demand'!Q:Q,MATCH($O424,'Aub Demand'!$A:$A,0))-IF(AN424="",0,AN424)+AD424+AL424,INDEX('Aub Demand'!Q:Q,MATCH($O424,'Aub Demand'!$A:$A,0))-IF(AN424="",0,AN424)+AD424))),"")</f>
        <v>193</v>
      </c>
      <c r="Y424" s="53" t="str">
        <f t="shared" si="172"/>
        <v>n/a</v>
      </c>
      <c r="Z424" s="52">
        <f>IF(L424="","",INDEX('Aub Demand'!H:H,MATCH($O424,'Aub Demand'!$A:$A,0)))</f>
        <v>0</v>
      </c>
      <c r="AA424" s="52" t="str">
        <f t="shared" si="173"/>
        <v>-spike-</v>
      </c>
      <c r="AB424" s="52">
        <f>IFERROR(INDEX('Aub Demand'!L:L,MATCH($O424,'Aub Demand'!$A:$A,0)),"")</f>
        <v>0</v>
      </c>
      <c r="AC424" s="52">
        <f>IFERROR(IF(O424="","",SUMIFS('CPL Mats'!F:F,'CPL Mats'!Q:Q,AR424,'CPL Mats'!S:S,AS424)),"")</f>
        <v>0</v>
      </c>
      <c r="AF424" s="25" t="str">
        <f>IF(SUMIFS('Supp Consol'!S:S,'Supp Consol'!Y:Y,"Releasable",'Supp Consol'!A:A,O424)=0,"",SUMIFS('Supp Consol'!S:S,'Supp Consol'!Y:Y,"Releasable",'Supp Consol'!A:A,O424))</f>
        <v/>
      </c>
      <c r="AG424" s="25" t="str">
        <f>IFERROR(INDEX('Hun Demand'!Q:Q,MATCH(O424,'Hun Demand'!A:A,0)),"")</f>
        <v/>
      </c>
      <c r="AH424" s="25" t="str">
        <f>IFERROR(INDEX('Hun Demand'!H:H,MATCH($O424,'Hun Demand'!$A:$A,0)),"")</f>
        <v/>
      </c>
      <c r="AI424" s="25" t="str">
        <f>IF(SUMIFS('Supp Consol'!AA:AA,'Supp Consol'!Z:Z,"Expires this month",'Supp Consol'!A:A,O424)=0,"",SUMIFS('Supp Consol'!AA:AA,'Supp Consol'!Z:Z,"Expires this month",'Supp Consol'!A:A,O424))</f>
        <v/>
      </c>
      <c r="AJ424" s="25" t="str">
        <f>IF(SUMIFS('Supp Consol'!AA:AA,'Supp Consol'!Z:Z,"Expired Previous Months",'Supp Consol'!A:A,O424)=0,"",SUMIFS('Supp Consol'!AA:AA,'Supp Consol'!Z:Z,"Expired Previous Months",'Supp Consol'!A:A,O424))</f>
        <v/>
      </c>
      <c r="AK424" s="25" t="str">
        <f>IFERROR(INDEX('Hun Release Current'!B:B,MATCH(O424,'Hun Release Current'!A:A,0)),"")</f>
        <v/>
      </c>
      <c r="AL424" s="25" t="str">
        <f>IF(SUMIF('Prev Aub'!A:A,O424,'Prev Aub'!B:B)=0,"",SUMIF('Prev Aub'!A:A,O424,'Prev Aub'!B:B))</f>
        <v/>
      </c>
      <c r="AN424" s="25" t="s">
        <v>3790</v>
      </c>
      <c r="AO424" s="25" t="s">
        <v>3790</v>
      </c>
      <c r="AP424" s="25">
        <f t="shared" si="174"/>
        <v>0</v>
      </c>
      <c r="AQ424" s="151" t="str">
        <f>IF(SUMIFS('Supp Consol'!S:S,'Supp Consol'!A:A,O424,'Supp Consol'!I:I,"PENDING")=0,"",SUMIFS('Supp Consol'!S:S,'Supp Consol'!A:A,O424,'Supp Consol'!I:I,"PENDING"))</f>
        <v/>
      </c>
      <c r="AR424" s="27" t="str">
        <f t="shared" si="175"/>
        <v>FB258</v>
      </c>
      <c r="AS424" s="27" t="str">
        <f t="shared" si="176"/>
        <v>62</v>
      </c>
      <c r="AT424" s="27" t="str">
        <f t="shared" si="177"/>
        <v/>
      </c>
      <c r="AU424" s="27" t="str">
        <f t="shared" si="178"/>
        <v/>
      </c>
      <c r="AV424" s="27" t="str">
        <f t="shared" si="179"/>
        <v/>
      </c>
      <c r="AW424" s="27" t="str">
        <f t="shared" si="180"/>
        <v/>
      </c>
      <c r="AX424" s="27" t="str">
        <f t="shared" si="181"/>
        <v/>
      </c>
      <c r="AY424" s="27" t="str">
        <f t="shared" si="182"/>
        <v/>
      </c>
      <c r="AZ424" s="27" t="str">
        <f t="shared" si="183"/>
        <v/>
      </c>
      <c r="BA424" s="27" t="str">
        <f t="shared" si="184"/>
        <v/>
      </c>
      <c r="BB424" s="27" t="str">
        <f t="shared" si="185"/>
        <v/>
      </c>
      <c r="BC424" s="27" t="str">
        <f t="shared" si="186"/>
        <v/>
      </c>
      <c r="BD424" s="27" t="str">
        <f t="shared" si="187"/>
        <v/>
      </c>
      <c r="BE424" s="27" t="str">
        <f t="shared" si="188"/>
        <v/>
      </c>
      <c r="BF424" s="27" t="str">
        <f t="shared" si="189"/>
        <v/>
      </c>
      <c r="BG424" s="27" t="str">
        <f t="shared" si="190"/>
        <v/>
      </c>
      <c r="BH424" s="27" t="str">
        <f t="shared" si="191"/>
        <v/>
      </c>
      <c r="BI424" s="27" t="str">
        <f t="shared" si="192"/>
        <v/>
      </c>
      <c r="BJ424" s="27" t="str">
        <f t="shared" si="193"/>
        <v/>
      </c>
      <c r="BK424" s="27" t="str">
        <f t="shared" si="194"/>
        <v/>
      </c>
      <c r="BL424" s="27" t="str">
        <f t="shared" si="195"/>
        <v/>
      </c>
      <c r="BM424" s="21" t="s">
        <v>5581</v>
      </c>
    </row>
    <row r="425" spans="1:65" ht="15">
      <c r="A425" s="25" t="str">
        <f>IFERROR(INDEX('Hun Demand'!W:W,MATCH(O425,'Hun Demand'!A:A,0)),"")</f>
        <v/>
      </c>
      <c r="B425" s="25" t="str">
        <f>IFERROR(INDEX('Hun Demand'!V:V,MATCH(O425,'Hun Demand'!A:A,0)),"")</f>
        <v/>
      </c>
      <c r="C425" s="25" t="str">
        <f>IFERROR(INDEX('Hun Demand'!U:U,MATCH(O425,'Hun Demand'!A:A,0)),"")</f>
        <v/>
      </c>
      <c r="D425" s="25" t="str">
        <f>IFERROR(INDEX('Hun Demand'!T:T,MATCH(O425,'Hun Demand'!A:A,0)),"")</f>
        <v/>
      </c>
      <c r="E425" s="25" t="str">
        <f>IFERROR(INDEX('Hun Demand'!S:S,MATCH(O425,'Hun Demand'!A:A,0)),"")</f>
        <v/>
      </c>
      <c r="F425" s="25" t="str">
        <f>IFERROR(INDEX('Hun Demand'!R:R,MATCH(O425,'Hun Demand'!A:A,0)),"")</f>
        <v/>
      </c>
      <c r="G425" s="25">
        <f>IFERROR(INDEX('Aub Demand'!W:W,MATCH(O425,'Aub Demand'!A:A,0)),"")</f>
        <v>0</v>
      </c>
      <c r="H425" s="25">
        <f>IFERROR(INDEX('Aub Demand'!V:V,MATCH(O425,'Aub Demand'!A:A,0)),"")</f>
        <v>0</v>
      </c>
      <c r="I425" s="25">
        <f>IFERROR(INDEX('Aub Demand'!U:U,MATCH(O425,'Aub Demand'!A:A,0)),"")</f>
        <v>0</v>
      </c>
      <c r="J425" s="25">
        <f>IFERROR(INDEX('Aub Demand'!T:T,MATCH(O425,'Aub Demand'!A:A,0)),"")</f>
        <v>0</v>
      </c>
      <c r="K425" s="25">
        <f>IFERROR(INDEX('Aub Demand'!S:S,MATCH(O425,'Aub Demand'!A:A,0)),"")</f>
        <v>0</v>
      </c>
      <c r="L425" s="25">
        <f>IFERROR(INDEX('Aub Demand'!R:R,MATCH(O425,'Aub Demand'!A:A,0)),"")</f>
        <v>0</v>
      </c>
      <c r="O425" s="27" t="s">
        <v>716</v>
      </c>
      <c r="P425" s="27" t="str">
        <f>IFERROR(INDEX('Aub Demand'!B:B,MATCH($O425,'Aub Demand'!$A:$A,0)),"")</f>
        <v>PORTLAND CHERRY</v>
      </c>
      <c r="Q425" s="27" t="str">
        <f>IFERROR(INDEX('Aub Demand'!C:C,MATCH($O425,'Aub Demand'!$A:$A,0)),"")</f>
        <v>ARAUC</v>
      </c>
      <c r="R425" s="52">
        <f>IFERROR(IF(AR426=AR425,INDEX('Aub Demand'!K:K,MATCH($O425,'Aub Demand'!$A:$A,0))-IF(AN425="",0,AN425)+AP426,INDEX('Aub Demand'!K:K,MATCH($O425,'Aub Demand'!$A:$A,0))-IF(AN425="",0,AN425)),"")</f>
        <v>239</v>
      </c>
      <c r="S425" s="53" t="str">
        <f t="shared" si="168"/>
        <v>n/a</v>
      </c>
      <c r="T425" s="52" t="str">
        <f t="shared" si="169"/>
        <v/>
      </c>
      <c r="U425" s="52">
        <f>IFERROR(IF(AR426=AR425,INDEX('Aub Demand'!Q:Q,MATCH($O425,'Aub Demand'!$A:$A,0))-IF(AN425="",0,AN425)+AP426,INDEX('Aub Demand'!Q:Q,MATCH($O425,'Aub Demand'!$A:$A,0))-IF(AN425="",0,AN425)),"")</f>
        <v>239</v>
      </c>
      <c r="V425" s="53" t="str">
        <f t="shared" si="170"/>
        <v>n/a</v>
      </c>
      <c r="W425" s="52" t="str">
        <f t="shared" si="171"/>
        <v/>
      </c>
      <c r="X425" s="52">
        <f>IFERROR(IF(AND(AR426=AR425,AM425&lt;&gt;""),INDEX('Aub Demand'!Q:Q,MATCH($O425,'Aub Demand'!$A:$A,0))-IF(AN425="",0,AN425)+AP426+AD425+AL425,IF(AR426=AR425,INDEX('Aub Demand'!Q:Q,MATCH($O425,'Aub Demand'!$A:$A,0))-IF(AN425="",0,AN425)+AP426+AD425,IF(AM425&lt;&gt;"",INDEX('Aub Demand'!Q:Q,MATCH($O425,'Aub Demand'!$A:$A,0))-IF(AN425="",0,AN425)+AD425+AL425,INDEX('Aub Demand'!Q:Q,MATCH($O425,'Aub Demand'!$A:$A,0))-IF(AN425="",0,AN425)+AD425))),"")</f>
        <v>239</v>
      </c>
      <c r="Y425" s="53" t="str">
        <f t="shared" si="172"/>
        <v>n/a</v>
      </c>
      <c r="Z425" s="52">
        <f>IF(L425="","",INDEX('Aub Demand'!H:H,MATCH($O425,'Aub Demand'!$A:$A,0)))</f>
        <v>0</v>
      </c>
      <c r="AA425" s="52" t="str">
        <f t="shared" si="173"/>
        <v>-spike-</v>
      </c>
      <c r="AB425" s="52">
        <f>IFERROR(INDEX('Aub Demand'!L:L,MATCH($O425,'Aub Demand'!$A:$A,0)),"")</f>
        <v>0</v>
      </c>
      <c r="AC425" s="52">
        <f>IFERROR(IF(O425="","",SUMIFS('CPL Mats'!F:F,'CPL Mats'!Q:Q,AR425,'CPL Mats'!S:S,AS425)),"")</f>
        <v>0</v>
      </c>
      <c r="AF425" s="25" t="str">
        <f>IF(SUMIFS('Supp Consol'!S:S,'Supp Consol'!Y:Y,"Releasable",'Supp Consol'!A:A,O425)=0,"",SUMIFS('Supp Consol'!S:S,'Supp Consol'!Y:Y,"Releasable",'Supp Consol'!A:A,O425))</f>
        <v/>
      </c>
      <c r="AG425" s="25" t="str">
        <f>IFERROR(INDEX('Hun Demand'!Q:Q,MATCH(O425,'Hun Demand'!A:A,0)),"")</f>
        <v/>
      </c>
      <c r="AH425" s="25" t="str">
        <f>IFERROR(INDEX('Hun Demand'!H:H,MATCH($O425,'Hun Demand'!$A:$A,0)),"")</f>
        <v/>
      </c>
      <c r="AI425" s="25" t="str">
        <f>IF(SUMIFS('Supp Consol'!AA:AA,'Supp Consol'!Z:Z,"Expires this month",'Supp Consol'!A:A,O425)=0,"",SUMIFS('Supp Consol'!AA:AA,'Supp Consol'!Z:Z,"Expires this month",'Supp Consol'!A:A,O425))</f>
        <v/>
      </c>
      <c r="AJ425" s="25" t="str">
        <f>IF(SUMIFS('Supp Consol'!AA:AA,'Supp Consol'!Z:Z,"Expired Previous Months",'Supp Consol'!A:A,O425)=0,"",SUMIFS('Supp Consol'!AA:AA,'Supp Consol'!Z:Z,"Expired Previous Months",'Supp Consol'!A:A,O425))</f>
        <v/>
      </c>
      <c r="AK425" s="25" t="str">
        <f>IFERROR(INDEX('Hun Release Current'!B:B,MATCH(O425,'Hun Release Current'!A:A,0)),"")</f>
        <v/>
      </c>
      <c r="AL425" s="25" t="str">
        <f>IF(SUMIF('Prev Aub'!A:A,O425,'Prev Aub'!B:B)=0,"",SUMIF('Prev Aub'!A:A,O425,'Prev Aub'!B:B))</f>
        <v/>
      </c>
      <c r="AN425" s="25" t="s">
        <v>3790</v>
      </c>
      <c r="AO425" s="25" t="s">
        <v>3790</v>
      </c>
      <c r="AP425" s="25">
        <f t="shared" si="174"/>
        <v>0</v>
      </c>
      <c r="AQ425" s="151" t="str">
        <f>IF(SUMIFS('Supp Consol'!S:S,'Supp Consol'!A:A,O425,'Supp Consol'!I:I,"PENDING")=0,"",SUMIFS('Supp Consol'!S:S,'Supp Consol'!A:A,O425,'Supp Consol'!I:I,"PENDING"))</f>
        <v/>
      </c>
      <c r="AR425" s="27" t="str">
        <f t="shared" si="175"/>
        <v>FB261</v>
      </c>
      <c r="AS425" s="27" t="str">
        <f t="shared" si="176"/>
        <v>50</v>
      </c>
      <c r="AT425" s="27" t="str">
        <f t="shared" si="177"/>
        <v/>
      </c>
      <c r="AU425" s="27" t="str">
        <f t="shared" si="178"/>
        <v/>
      </c>
      <c r="AV425" s="27" t="str">
        <f t="shared" si="179"/>
        <v/>
      </c>
      <c r="AW425" s="27" t="str">
        <f t="shared" si="180"/>
        <v/>
      </c>
      <c r="AX425" s="27" t="str">
        <f t="shared" si="181"/>
        <v/>
      </c>
      <c r="AY425" s="27" t="str">
        <f t="shared" si="182"/>
        <v/>
      </c>
      <c r="AZ425" s="27" t="str">
        <f t="shared" si="183"/>
        <v/>
      </c>
      <c r="BA425" s="27" t="str">
        <f t="shared" si="184"/>
        <v/>
      </c>
      <c r="BB425" s="27" t="str">
        <f t="shared" si="185"/>
        <v/>
      </c>
      <c r="BC425" s="27" t="str">
        <f t="shared" si="186"/>
        <v/>
      </c>
      <c r="BD425" s="27" t="str">
        <f t="shared" si="187"/>
        <v/>
      </c>
      <c r="BE425" s="27" t="str">
        <f t="shared" si="188"/>
        <v/>
      </c>
      <c r="BF425" s="27" t="str">
        <f t="shared" si="189"/>
        <v/>
      </c>
      <c r="BG425" s="27" t="str">
        <f t="shared" si="190"/>
        <v/>
      </c>
      <c r="BH425" s="27" t="str">
        <f t="shared" si="191"/>
        <v/>
      </c>
      <c r="BI425" s="27" t="str">
        <f t="shared" si="192"/>
        <v/>
      </c>
      <c r="BJ425" s="27" t="str">
        <f t="shared" si="193"/>
        <v/>
      </c>
      <c r="BK425" s="27" t="str">
        <f t="shared" si="194"/>
        <v/>
      </c>
      <c r="BL425" s="27" t="str">
        <f t="shared" si="195"/>
        <v/>
      </c>
      <c r="BM425" s="21" t="s">
        <v>3790</v>
      </c>
    </row>
    <row r="426" spans="1:65" ht="15">
      <c r="A426" s="25" t="str">
        <f>IFERROR(INDEX('Hun Demand'!W:W,MATCH(O426,'Hun Demand'!A:A,0)),"")</f>
        <v/>
      </c>
      <c r="B426" s="25" t="str">
        <f>IFERROR(INDEX('Hun Demand'!V:V,MATCH(O426,'Hun Demand'!A:A,0)),"")</f>
        <v/>
      </c>
      <c r="C426" s="25" t="str">
        <f>IFERROR(INDEX('Hun Demand'!U:U,MATCH(O426,'Hun Demand'!A:A,0)),"")</f>
        <v/>
      </c>
      <c r="D426" s="25" t="str">
        <f>IFERROR(INDEX('Hun Demand'!T:T,MATCH(O426,'Hun Demand'!A:A,0)),"")</f>
        <v/>
      </c>
      <c r="E426" s="25" t="str">
        <f>IFERROR(INDEX('Hun Demand'!S:S,MATCH(O426,'Hun Demand'!A:A,0)),"")</f>
        <v/>
      </c>
      <c r="F426" s="25" t="str">
        <f>IFERROR(INDEX('Hun Demand'!R:R,MATCH(O426,'Hun Demand'!A:A,0)),"")</f>
        <v/>
      </c>
      <c r="G426" s="25">
        <f>IFERROR(INDEX('Aub Demand'!W:W,MATCH(O426,'Aub Demand'!A:A,0)),"")</f>
        <v>0</v>
      </c>
      <c r="H426" s="25">
        <f>IFERROR(INDEX('Aub Demand'!V:V,MATCH(O426,'Aub Demand'!A:A,0)),"")</f>
        <v>0</v>
      </c>
      <c r="I426" s="25">
        <f>IFERROR(INDEX('Aub Demand'!U:U,MATCH(O426,'Aub Demand'!A:A,0)),"")</f>
        <v>0</v>
      </c>
      <c r="J426" s="25">
        <f>IFERROR(INDEX('Aub Demand'!T:T,MATCH(O426,'Aub Demand'!A:A,0)),"")</f>
        <v>0</v>
      </c>
      <c r="K426" s="25">
        <f>IFERROR(INDEX('Aub Demand'!S:S,MATCH(O426,'Aub Demand'!A:A,0)),"")</f>
        <v>0</v>
      </c>
      <c r="L426" s="25">
        <f>IFERROR(INDEX('Aub Demand'!R:R,MATCH(O426,'Aub Demand'!A:A,0)),"")</f>
        <v>0</v>
      </c>
      <c r="O426" s="27" t="s">
        <v>718</v>
      </c>
      <c r="P426" s="27" t="str">
        <f>IFERROR(INDEX('Aub Demand'!B:B,MATCH($O426,'Aub Demand'!$A:$A,0)),"")</f>
        <v>CABINET MAPLE</v>
      </c>
      <c r="Q426" s="27" t="str">
        <f>IFERROR(INDEX('Aub Demand'!C:C,MATCH($O426,'Aub Demand'!$A:$A,0)),"")</f>
        <v>ARAUC</v>
      </c>
      <c r="R426" s="52">
        <f>IFERROR(IF(AR427=AR426,INDEX('Aub Demand'!K:K,MATCH($O426,'Aub Demand'!$A:$A,0))-IF(AN426="",0,AN426)+AP427,INDEX('Aub Demand'!K:K,MATCH($O426,'Aub Demand'!$A:$A,0))-IF(AN426="",0,AN426)),"")</f>
        <v>281</v>
      </c>
      <c r="S426" s="53" t="str">
        <f t="shared" si="168"/>
        <v>n/a</v>
      </c>
      <c r="T426" s="52" t="str">
        <f t="shared" si="169"/>
        <v/>
      </c>
      <c r="U426" s="52">
        <f>IFERROR(IF(AR427=AR426,INDEX('Aub Demand'!Q:Q,MATCH($O426,'Aub Demand'!$A:$A,0))-IF(AN426="",0,AN426)+AP427,INDEX('Aub Demand'!Q:Q,MATCH($O426,'Aub Demand'!$A:$A,0))-IF(AN426="",0,AN426)),"")</f>
        <v>281</v>
      </c>
      <c r="V426" s="53" t="str">
        <f t="shared" si="170"/>
        <v>n/a</v>
      </c>
      <c r="W426" s="52" t="str">
        <f t="shared" si="171"/>
        <v/>
      </c>
      <c r="X426" s="52">
        <f>IFERROR(IF(AND(AR427=AR426,AM426&lt;&gt;""),INDEX('Aub Demand'!Q:Q,MATCH($O426,'Aub Demand'!$A:$A,0))-IF(AN426="",0,AN426)+AP427+AD426+AL426,IF(AR427=AR426,INDEX('Aub Demand'!Q:Q,MATCH($O426,'Aub Demand'!$A:$A,0))-IF(AN426="",0,AN426)+AP427+AD426,IF(AM426&lt;&gt;"",INDEX('Aub Demand'!Q:Q,MATCH($O426,'Aub Demand'!$A:$A,0))-IF(AN426="",0,AN426)+AD426+AL426,INDEX('Aub Demand'!Q:Q,MATCH($O426,'Aub Demand'!$A:$A,0))-IF(AN426="",0,AN426)+AD426))),"")</f>
        <v>281</v>
      </c>
      <c r="Y426" s="53" t="str">
        <f t="shared" si="172"/>
        <v>n/a</v>
      </c>
      <c r="Z426" s="52">
        <f>IF(L426="","",INDEX('Aub Demand'!H:H,MATCH($O426,'Aub Demand'!$A:$A,0)))</f>
        <v>0</v>
      </c>
      <c r="AA426" s="52" t="str">
        <f t="shared" si="173"/>
        <v>-spike-</v>
      </c>
      <c r="AB426" s="52">
        <f>IFERROR(INDEX('Aub Demand'!L:L,MATCH($O426,'Aub Demand'!$A:$A,0)),"")</f>
        <v>0</v>
      </c>
      <c r="AC426" s="52">
        <f>IFERROR(IF(O426="","",SUMIFS('CPL Mats'!F:F,'CPL Mats'!Q:Q,AR426,'CPL Mats'!S:S,AS426)),"")</f>
        <v>0</v>
      </c>
      <c r="AF426" s="25" t="str">
        <f>IF(SUMIFS('Supp Consol'!S:S,'Supp Consol'!Y:Y,"Releasable",'Supp Consol'!A:A,O426)=0,"",SUMIFS('Supp Consol'!S:S,'Supp Consol'!Y:Y,"Releasable",'Supp Consol'!A:A,O426))</f>
        <v/>
      </c>
      <c r="AG426" s="25" t="str">
        <f>IFERROR(INDEX('Hun Demand'!Q:Q,MATCH(O426,'Hun Demand'!A:A,0)),"")</f>
        <v/>
      </c>
      <c r="AH426" s="25" t="str">
        <f>IFERROR(INDEX('Hun Demand'!H:H,MATCH($O426,'Hun Demand'!$A:$A,0)),"")</f>
        <v/>
      </c>
      <c r="AI426" s="25" t="str">
        <f>IF(SUMIFS('Supp Consol'!AA:AA,'Supp Consol'!Z:Z,"Expires this month",'Supp Consol'!A:A,O426)=0,"",SUMIFS('Supp Consol'!AA:AA,'Supp Consol'!Z:Z,"Expires this month",'Supp Consol'!A:A,O426))</f>
        <v/>
      </c>
      <c r="AJ426" s="25" t="str">
        <f>IF(SUMIFS('Supp Consol'!AA:AA,'Supp Consol'!Z:Z,"Expired Previous Months",'Supp Consol'!A:A,O426)=0,"",SUMIFS('Supp Consol'!AA:AA,'Supp Consol'!Z:Z,"Expired Previous Months",'Supp Consol'!A:A,O426))</f>
        <v/>
      </c>
      <c r="AK426" s="25" t="str">
        <f>IFERROR(INDEX('Hun Release Current'!B:B,MATCH(O426,'Hun Release Current'!A:A,0)),"")</f>
        <v/>
      </c>
      <c r="AL426" s="25" t="str">
        <f>IF(SUMIF('Prev Aub'!A:A,O426,'Prev Aub'!B:B)=0,"",SUMIF('Prev Aub'!A:A,O426,'Prev Aub'!B:B))</f>
        <v/>
      </c>
      <c r="AN426" s="25" t="s">
        <v>3790</v>
      </c>
      <c r="AO426" s="25" t="s">
        <v>3790</v>
      </c>
      <c r="AP426" s="25">
        <f t="shared" si="174"/>
        <v>0</v>
      </c>
      <c r="AQ426" s="151" t="str">
        <f>IF(SUMIFS('Supp Consol'!S:S,'Supp Consol'!A:A,O426,'Supp Consol'!I:I,"PENDING")=0,"",SUMIFS('Supp Consol'!S:S,'Supp Consol'!A:A,O426,'Supp Consol'!I:I,"PENDING"))</f>
        <v/>
      </c>
      <c r="AR426" s="27" t="str">
        <f t="shared" si="175"/>
        <v>FB270</v>
      </c>
      <c r="AS426" s="27" t="str">
        <f t="shared" si="176"/>
        <v>62</v>
      </c>
      <c r="AT426" s="27" t="str">
        <f t="shared" si="177"/>
        <v/>
      </c>
      <c r="AU426" s="27" t="str">
        <f t="shared" si="178"/>
        <v/>
      </c>
      <c r="AV426" s="27" t="str">
        <f t="shared" si="179"/>
        <v/>
      </c>
      <c r="AW426" s="27" t="str">
        <f t="shared" si="180"/>
        <v/>
      </c>
      <c r="AX426" s="27" t="str">
        <f t="shared" si="181"/>
        <v/>
      </c>
      <c r="AY426" s="27" t="str">
        <f t="shared" si="182"/>
        <v/>
      </c>
      <c r="AZ426" s="27" t="str">
        <f t="shared" si="183"/>
        <v/>
      </c>
      <c r="BA426" s="27" t="str">
        <f t="shared" si="184"/>
        <v/>
      </c>
      <c r="BB426" s="27" t="str">
        <f t="shared" si="185"/>
        <v/>
      </c>
      <c r="BC426" s="27" t="str">
        <f t="shared" si="186"/>
        <v/>
      </c>
      <c r="BD426" s="27" t="str">
        <f t="shared" si="187"/>
        <v/>
      </c>
      <c r="BE426" s="27" t="str">
        <f t="shared" si="188"/>
        <v/>
      </c>
      <c r="BF426" s="27" t="str">
        <f t="shared" si="189"/>
        <v/>
      </c>
      <c r="BG426" s="27" t="str">
        <f t="shared" si="190"/>
        <v/>
      </c>
      <c r="BH426" s="27" t="str">
        <f t="shared" si="191"/>
        <v/>
      </c>
      <c r="BI426" s="27" t="str">
        <f t="shared" si="192"/>
        <v/>
      </c>
      <c r="BJ426" s="27" t="str">
        <f t="shared" si="193"/>
        <v/>
      </c>
      <c r="BK426" s="27" t="str">
        <f t="shared" si="194"/>
        <v/>
      </c>
      <c r="BL426" s="27" t="str">
        <f t="shared" si="195"/>
        <v/>
      </c>
      <c r="BM426" s="21" t="s">
        <v>3790</v>
      </c>
    </row>
    <row r="427" spans="1:65" ht="15">
      <c r="A427" s="25" t="str">
        <f>IFERROR(INDEX('Hun Demand'!W:W,MATCH(O427,'Hun Demand'!A:A,0)),"")</f>
        <v/>
      </c>
      <c r="B427" s="25" t="str">
        <f>IFERROR(INDEX('Hun Demand'!V:V,MATCH(O427,'Hun Demand'!A:A,0)),"")</f>
        <v/>
      </c>
      <c r="C427" s="25" t="str">
        <f>IFERROR(INDEX('Hun Demand'!U:U,MATCH(O427,'Hun Demand'!A:A,0)),"")</f>
        <v/>
      </c>
      <c r="D427" s="25" t="str">
        <f>IFERROR(INDEX('Hun Demand'!T:T,MATCH(O427,'Hun Demand'!A:A,0)),"")</f>
        <v/>
      </c>
      <c r="E427" s="25" t="str">
        <f>IFERROR(INDEX('Hun Demand'!S:S,MATCH(O427,'Hun Demand'!A:A,0)),"")</f>
        <v/>
      </c>
      <c r="F427" s="25" t="str">
        <f>IFERROR(INDEX('Hun Demand'!R:R,MATCH(O427,'Hun Demand'!A:A,0)),"")</f>
        <v/>
      </c>
      <c r="G427" s="25">
        <f>IFERROR(INDEX('Aub Demand'!W:W,MATCH(O427,'Aub Demand'!A:A,0)),"")</f>
        <v>0</v>
      </c>
      <c r="H427" s="25">
        <f>IFERROR(INDEX('Aub Demand'!V:V,MATCH(O427,'Aub Demand'!A:A,0)),"")</f>
        <v>0</v>
      </c>
      <c r="I427" s="25">
        <f>IFERROR(INDEX('Aub Demand'!U:U,MATCH(O427,'Aub Demand'!A:A,0)),"")</f>
        <v>0</v>
      </c>
      <c r="J427" s="25">
        <f>IFERROR(INDEX('Aub Demand'!T:T,MATCH(O427,'Aub Demand'!A:A,0)),"")</f>
        <v>0</v>
      </c>
      <c r="K427" s="25">
        <f>IFERROR(INDEX('Aub Demand'!S:S,MATCH(O427,'Aub Demand'!A:A,0)),"")</f>
        <v>0</v>
      </c>
      <c r="L427" s="25">
        <f>IFERROR(INDEX('Aub Demand'!R:R,MATCH(O427,'Aub Demand'!A:A,0)),"")</f>
        <v>0</v>
      </c>
      <c r="O427" s="27" t="s">
        <v>720</v>
      </c>
      <c r="P427" s="27" t="str">
        <f>IFERROR(INDEX('Aub Demand'!B:B,MATCH($O427,'Aub Demand'!$A:$A,0)),"")</f>
        <v>VANILLA STIX</v>
      </c>
      <c r="Q427" s="27" t="str">
        <f>IFERROR(INDEX('Aub Demand'!C:C,MATCH($O427,'Aub Demand'!$A:$A,0)),"")</f>
        <v>ARAUC</v>
      </c>
      <c r="R427" s="52">
        <f>IFERROR(IF(AR428=AR427,INDEX('Aub Demand'!K:K,MATCH($O427,'Aub Demand'!$A:$A,0))-IF(AN427="",0,AN427)+AP428,INDEX('Aub Demand'!K:K,MATCH($O427,'Aub Demand'!$A:$A,0))-IF(AN427="",0,AN427)),"")</f>
        <v>57</v>
      </c>
      <c r="S427" s="53" t="str">
        <f t="shared" si="168"/>
        <v>n/a</v>
      </c>
      <c r="T427" s="52" t="str">
        <f t="shared" si="169"/>
        <v/>
      </c>
      <c r="U427" s="52">
        <f>IFERROR(IF(AR428=AR427,INDEX('Aub Demand'!Q:Q,MATCH($O427,'Aub Demand'!$A:$A,0))-IF(AN427="",0,AN427)+AP428,INDEX('Aub Demand'!Q:Q,MATCH($O427,'Aub Demand'!$A:$A,0))-IF(AN427="",0,AN427)),"")</f>
        <v>57</v>
      </c>
      <c r="V427" s="53" t="str">
        <f t="shared" si="170"/>
        <v>n/a</v>
      </c>
      <c r="W427" s="52" t="str">
        <f t="shared" si="171"/>
        <v/>
      </c>
      <c r="X427" s="52">
        <f>IFERROR(IF(AND(AR428=AR427,AM427&lt;&gt;""),INDEX('Aub Demand'!Q:Q,MATCH($O427,'Aub Demand'!$A:$A,0))-IF(AN427="",0,AN427)+AP428+AD427+AL427,IF(AR428=AR427,INDEX('Aub Demand'!Q:Q,MATCH($O427,'Aub Demand'!$A:$A,0))-IF(AN427="",0,AN427)+AP428+AD427,IF(AM427&lt;&gt;"",INDEX('Aub Demand'!Q:Q,MATCH($O427,'Aub Demand'!$A:$A,0))-IF(AN427="",0,AN427)+AD427+AL427,INDEX('Aub Demand'!Q:Q,MATCH($O427,'Aub Demand'!$A:$A,0))-IF(AN427="",0,AN427)+AD427))),"")</f>
        <v>57</v>
      </c>
      <c r="Y427" s="53" t="str">
        <f t="shared" si="172"/>
        <v>n/a</v>
      </c>
      <c r="Z427" s="52">
        <f>IF(L427="","",INDEX('Aub Demand'!H:H,MATCH($O427,'Aub Demand'!$A:$A,0)))</f>
        <v>0</v>
      </c>
      <c r="AA427" s="52" t="str">
        <f t="shared" si="173"/>
        <v>-spike-</v>
      </c>
      <c r="AB427" s="52">
        <f>IFERROR(INDEX('Aub Demand'!L:L,MATCH($O427,'Aub Demand'!$A:$A,0)),"")</f>
        <v>0</v>
      </c>
      <c r="AC427" s="52">
        <f>IFERROR(IF(O427="","",SUMIFS('CPL Mats'!F:F,'CPL Mats'!Q:Q,AR427,'CPL Mats'!S:S,AS427)),"")</f>
        <v>0</v>
      </c>
      <c r="AF427" s="25" t="str">
        <f>IF(SUMIFS('Supp Consol'!S:S,'Supp Consol'!Y:Y,"Releasable",'Supp Consol'!A:A,O427)=0,"",SUMIFS('Supp Consol'!S:S,'Supp Consol'!Y:Y,"Releasable",'Supp Consol'!A:A,O427))</f>
        <v/>
      </c>
      <c r="AG427" s="25" t="str">
        <f>IFERROR(INDEX('Hun Demand'!Q:Q,MATCH(O427,'Hun Demand'!A:A,0)),"")</f>
        <v/>
      </c>
      <c r="AH427" s="25" t="str">
        <f>IFERROR(INDEX('Hun Demand'!H:H,MATCH($O427,'Hun Demand'!$A:$A,0)),"")</f>
        <v/>
      </c>
      <c r="AI427" s="25" t="str">
        <f>IF(SUMIFS('Supp Consol'!AA:AA,'Supp Consol'!Z:Z,"Expires this month",'Supp Consol'!A:A,O427)=0,"",SUMIFS('Supp Consol'!AA:AA,'Supp Consol'!Z:Z,"Expires this month",'Supp Consol'!A:A,O427))</f>
        <v/>
      </c>
      <c r="AJ427" s="25" t="str">
        <f>IF(SUMIFS('Supp Consol'!AA:AA,'Supp Consol'!Z:Z,"Expired Previous Months",'Supp Consol'!A:A,O427)=0,"",SUMIFS('Supp Consol'!AA:AA,'Supp Consol'!Z:Z,"Expired Previous Months",'Supp Consol'!A:A,O427))</f>
        <v/>
      </c>
      <c r="AK427" s="25" t="str">
        <f>IFERROR(INDEX('Hun Release Current'!B:B,MATCH(O427,'Hun Release Current'!A:A,0)),"")</f>
        <v/>
      </c>
      <c r="AL427" s="25" t="str">
        <f>IF(SUMIF('Prev Aub'!A:A,O427,'Prev Aub'!B:B)=0,"",SUMIF('Prev Aub'!A:A,O427,'Prev Aub'!B:B))</f>
        <v/>
      </c>
      <c r="AN427" s="25" t="s">
        <v>3790</v>
      </c>
      <c r="AO427" s="25" t="s">
        <v>3790</v>
      </c>
      <c r="AP427" s="25">
        <f t="shared" si="174"/>
        <v>0</v>
      </c>
      <c r="AQ427" s="151" t="str">
        <f>IF(SUMIFS('Supp Consol'!S:S,'Supp Consol'!A:A,O427,'Supp Consol'!I:I,"PENDING")=0,"",SUMIFS('Supp Consol'!S:S,'Supp Consol'!A:A,O427,'Supp Consol'!I:I,"PENDING"))</f>
        <v/>
      </c>
      <c r="AR427" s="27" t="str">
        <f t="shared" si="175"/>
        <v>FB294</v>
      </c>
      <c r="AS427" s="27" t="str">
        <f t="shared" si="176"/>
        <v>62</v>
      </c>
      <c r="AT427" s="27" t="str">
        <f t="shared" si="177"/>
        <v/>
      </c>
      <c r="AU427" s="27" t="str">
        <f t="shared" si="178"/>
        <v/>
      </c>
      <c r="AV427" s="27" t="str">
        <f t="shared" si="179"/>
        <v/>
      </c>
      <c r="AW427" s="27" t="str">
        <f t="shared" si="180"/>
        <v/>
      </c>
      <c r="AX427" s="27" t="str">
        <f t="shared" si="181"/>
        <v/>
      </c>
      <c r="AY427" s="27" t="str">
        <f t="shared" si="182"/>
        <v/>
      </c>
      <c r="AZ427" s="27" t="str">
        <f t="shared" si="183"/>
        <v/>
      </c>
      <c r="BA427" s="27" t="str">
        <f t="shared" si="184"/>
        <v/>
      </c>
      <c r="BB427" s="27" t="str">
        <f t="shared" si="185"/>
        <v/>
      </c>
      <c r="BC427" s="27" t="str">
        <f t="shared" si="186"/>
        <v/>
      </c>
      <c r="BD427" s="27" t="str">
        <f t="shared" si="187"/>
        <v/>
      </c>
      <c r="BE427" s="27" t="str">
        <f t="shared" si="188"/>
        <v/>
      </c>
      <c r="BF427" s="27" t="str">
        <f t="shared" si="189"/>
        <v/>
      </c>
      <c r="BG427" s="27" t="str">
        <f t="shared" si="190"/>
        <v/>
      </c>
      <c r="BH427" s="27" t="str">
        <f t="shared" si="191"/>
        <v/>
      </c>
      <c r="BI427" s="27" t="str">
        <f t="shared" si="192"/>
        <v/>
      </c>
      <c r="BJ427" s="27" t="str">
        <f t="shared" si="193"/>
        <v/>
      </c>
      <c r="BK427" s="27" t="str">
        <f t="shared" si="194"/>
        <v/>
      </c>
      <c r="BL427" s="27" t="str">
        <f t="shared" si="195"/>
        <v/>
      </c>
      <c r="BM427" s="21" t="s">
        <v>3790</v>
      </c>
    </row>
    <row r="428" spans="1:65" ht="15">
      <c r="A428" s="25" t="str">
        <f>IFERROR(INDEX('Hun Demand'!W:W,MATCH(O428,'Hun Demand'!A:A,0)),"")</f>
        <v/>
      </c>
      <c r="B428" s="25" t="str">
        <f>IFERROR(INDEX('Hun Demand'!V:V,MATCH(O428,'Hun Demand'!A:A,0)),"")</f>
        <v/>
      </c>
      <c r="C428" s="25" t="str">
        <f>IFERROR(INDEX('Hun Demand'!U:U,MATCH(O428,'Hun Demand'!A:A,0)),"")</f>
        <v/>
      </c>
      <c r="D428" s="25" t="str">
        <f>IFERROR(INDEX('Hun Demand'!T:T,MATCH(O428,'Hun Demand'!A:A,0)),"")</f>
        <v/>
      </c>
      <c r="E428" s="25" t="str">
        <f>IFERROR(INDEX('Hun Demand'!S:S,MATCH(O428,'Hun Demand'!A:A,0)),"")</f>
        <v/>
      </c>
      <c r="F428" s="25" t="str">
        <f>IFERROR(INDEX('Hun Demand'!R:R,MATCH(O428,'Hun Demand'!A:A,0)),"")</f>
        <v/>
      </c>
      <c r="G428" s="25">
        <f>IFERROR(INDEX('Aub Demand'!W:W,MATCH(O428,'Aub Demand'!A:A,0)),"")</f>
        <v>0</v>
      </c>
      <c r="H428" s="25">
        <f>IFERROR(INDEX('Aub Demand'!V:V,MATCH(O428,'Aub Demand'!A:A,0)),"")</f>
        <v>0</v>
      </c>
      <c r="I428" s="25">
        <f>IFERROR(INDEX('Aub Demand'!U:U,MATCH(O428,'Aub Demand'!A:A,0)),"")</f>
        <v>0</v>
      </c>
      <c r="J428" s="25">
        <f>IFERROR(INDEX('Aub Demand'!T:T,MATCH(O428,'Aub Demand'!A:A,0)),"")</f>
        <v>0</v>
      </c>
      <c r="K428" s="25">
        <f>IFERROR(INDEX('Aub Demand'!S:S,MATCH(O428,'Aub Demand'!A:A,0)),"")</f>
        <v>0</v>
      </c>
      <c r="L428" s="25">
        <f>IFERROR(INDEX('Aub Demand'!R:R,MATCH(O428,'Aub Demand'!A:A,0)),"")</f>
        <v>0</v>
      </c>
      <c r="O428" s="27" t="s">
        <v>722</v>
      </c>
      <c r="P428" s="27" t="str">
        <f>IFERROR(INDEX('Aub Demand'!B:B,MATCH($O428,'Aub Demand'!$A:$A,0)),"")</f>
        <v>MILLTOWN OAK</v>
      </c>
      <c r="Q428" s="27" t="str">
        <f>IFERROR(INDEX('Aub Demand'!C:C,MATCH($O428,'Aub Demand'!$A:$A,0)),"")</f>
        <v>ARAUC</v>
      </c>
      <c r="R428" s="52">
        <f>IFERROR(IF(AR429=AR428,INDEX('Aub Demand'!K:K,MATCH($O428,'Aub Demand'!$A:$A,0))-IF(AN428="",0,AN428)+AP429,INDEX('Aub Demand'!K:K,MATCH($O428,'Aub Demand'!$A:$A,0))-IF(AN428="",0,AN428)),"")</f>
        <v>158</v>
      </c>
      <c r="S428" s="53" t="str">
        <f t="shared" si="168"/>
        <v>n/a</v>
      </c>
      <c r="T428" s="52" t="str">
        <f t="shared" si="169"/>
        <v/>
      </c>
      <c r="U428" s="52">
        <f>IFERROR(IF(AR429=AR428,INDEX('Aub Demand'!Q:Q,MATCH($O428,'Aub Demand'!$A:$A,0))-IF(AN428="",0,AN428)+AP429,INDEX('Aub Demand'!Q:Q,MATCH($O428,'Aub Demand'!$A:$A,0))-IF(AN428="",0,AN428)),"")</f>
        <v>158</v>
      </c>
      <c r="V428" s="53" t="str">
        <f t="shared" si="170"/>
        <v>n/a</v>
      </c>
      <c r="W428" s="52" t="str">
        <f t="shared" si="171"/>
        <v/>
      </c>
      <c r="X428" s="52">
        <f>IFERROR(IF(AND(AR429=AR428,AM428&lt;&gt;""),INDEX('Aub Demand'!Q:Q,MATCH($O428,'Aub Demand'!$A:$A,0))-IF(AN428="",0,AN428)+AP429+AD428+AL428,IF(AR429=AR428,INDEX('Aub Demand'!Q:Q,MATCH($O428,'Aub Demand'!$A:$A,0))-IF(AN428="",0,AN428)+AP429+AD428,IF(AM428&lt;&gt;"",INDEX('Aub Demand'!Q:Q,MATCH($O428,'Aub Demand'!$A:$A,0))-IF(AN428="",0,AN428)+AD428+AL428,INDEX('Aub Demand'!Q:Q,MATCH($O428,'Aub Demand'!$A:$A,0))-IF(AN428="",0,AN428)+AD428))),"")</f>
        <v>158</v>
      </c>
      <c r="Y428" s="53" t="str">
        <f t="shared" si="172"/>
        <v>n/a</v>
      </c>
      <c r="Z428" s="52">
        <f>IF(L428="","",INDEX('Aub Demand'!H:H,MATCH($O428,'Aub Demand'!$A:$A,0)))</f>
        <v>0</v>
      </c>
      <c r="AA428" s="52" t="str">
        <f t="shared" si="173"/>
        <v>-spike-</v>
      </c>
      <c r="AB428" s="52">
        <f>IFERROR(INDEX('Aub Demand'!L:L,MATCH($O428,'Aub Demand'!$A:$A,0)),"")</f>
        <v>0</v>
      </c>
      <c r="AC428" s="52">
        <f>IFERROR(IF(O428="","",SUMIFS('CPL Mats'!F:F,'CPL Mats'!Q:Q,AR428,'CPL Mats'!S:S,AS428)),"")</f>
        <v>0</v>
      </c>
      <c r="AF428" s="25" t="str">
        <f>IF(SUMIFS('Supp Consol'!S:S,'Supp Consol'!Y:Y,"Releasable",'Supp Consol'!A:A,O428)=0,"",SUMIFS('Supp Consol'!S:S,'Supp Consol'!Y:Y,"Releasable",'Supp Consol'!A:A,O428))</f>
        <v/>
      </c>
      <c r="AG428" s="25" t="str">
        <f>IFERROR(INDEX('Hun Demand'!Q:Q,MATCH(O428,'Hun Demand'!A:A,0)),"")</f>
        <v/>
      </c>
      <c r="AH428" s="25" t="str">
        <f>IFERROR(INDEX('Hun Demand'!H:H,MATCH($O428,'Hun Demand'!$A:$A,0)),"")</f>
        <v/>
      </c>
      <c r="AI428" s="25" t="str">
        <f>IF(SUMIFS('Supp Consol'!AA:AA,'Supp Consol'!Z:Z,"Expires this month",'Supp Consol'!A:A,O428)=0,"",SUMIFS('Supp Consol'!AA:AA,'Supp Consol'!Z:Z,"Expires this month",'Supp Consol'!A:A,O428))</f>
        <v/>
      </c>
      <c r="AJ428" s="25" t="str">
        <f>IF(SUMIFS('Supp Consol'!AA:AA,'Supp Consol'!Z:Z,"Expired Previous Months",'Supp Consol'!A:A,O428)=0,"",SUMIFS('Supp Consol'!AA:AA,'Supp Consol'!Z:Z,"Expired Previous Months",'Supp Consol'!A:A,O428))</f>
        <v/>
      </c>
      <c r="AK428" s="25" t="str">
        <f>IFERROR(INDEX('Hun Release Current'!B:B,MATCH(O428,'Hun Release Current'!A:A,0)),"")</f>
        <v/>
      </c>
      <c r="AL428" s="25" t="str">
        <f>IF(SUMIF('Prev Aub'!A:A,O428,'Prev Aub'!B:B)=0,"",SUMIF('Prev Aub'!A:A,O428,'Prev Aub'!B:B))</f>
        <v/>
      </c>
      <c r="AN428" s="25" t="s">
        <v>3790</v>
      </c>
      <c r="AO428" s="25" t="s">
        <v>3790</v>
      </c>
      <c r="AP428" s="25">
        <f t="shared" si="174"/>
        <v>0</v>
      </c>
      <c r="AQ428" s="151" t="str">
        <f>IF(SUMIFS('Supp Consol'!S:S,'Supp Consol'!A:A,O428,'Supp Consol'!I:I,"PENDING")=0,"",SUMIFS('Supp Consol'!S:S,'Supp Consol'!A:A,O428,'Supp Consol'!I:I,"PENDING"))</f>
        <v/>
      </c>
      <c r="AR428" s="27" t="str">
        <f t="shared" si="175"/>
        <v>FB345</v>
      </c>
      <c r="AS428" s="27" t="str">
        <f t="shared" si="176"/>
        <v>62</v>
      </c>
      <c r="AT428" s="27" t="str">
        <f t="shared" si="177"/>
        <v/>
      </c>
      <c r="AU428" s="27" t="str">
        <f t="shared" si="178"/>
        <v/>
      </c>
      <c r="AV428" s="27" t="str">
        <f t="shared" si="179"/>
        <v/>
      </c>
      <c r="AW428" s="27" t="str">
        <f t="shared" si="180"/>
        <v/>
      </c>
      <c r="AX428" s="27" t="str">
        <f t="shared" si="181"/>
        <v/>
      </c>
      <c r="AY428" s="27" t="str">
        <f t="shared" si="182"/>
        <v/>
      </c>
      <c r="AZ428" s="27" t="str">
        <f t="shared" si="183"/>
        <v/>
      </c>
      <c r="BA428" s="27" t="str">
        <f t="shared" si="184"/>
        <v/>
      </c>
      <c r="BB428" s="27" t="str">
        <f t="shared" si="185"/>
        <v/>
      </c>
      <c r="BC428" s="27" t="str">
        <f t="shared" si="186"/>
        <v/>
      </c>
      <c r="BD428" s="27" t="str">
        <f t="shared" si="187"/>
        <v/>
      </c>
      <c r="BE428" s="27" t="str">
        <f t="shared" si="188"/>
        <v/>
      </c>
      <c r="BF428" s="27" t="str">
        <f t="shared" si="189"/>
        <v/>
      </c>
      <c r="BG428" s="27" t="str">
        <f t="shared" si="190"/>
        <v/>
      </c>
      <c r="BH428" s="27" t="str">
        <f t="shared" si="191"/>
        <v/>
      </c>
      <c r="BI428" s="27" t="str">
        <f t="shared" si="192"/>
        <v/>
      </c>
      <c r="BJ428" s="27" t="str">
        <f t="shared" si="193"/>
        <v/>
      </c>
      <c r="BK428" s="27" t="str">
        <f t="shared" si="194"/>
        <v/>
      </c>
      <c r="BL428" s="27" t="str">
        <f t="shared" si="195"/>
        <v/>
      </c>
      <c r="BM428" s="21" t="s">
        <v>3790</v>
      </c>
    </row>
    <row r="429" spans="1:65" ht="15">
      <c r="A429" s="25" t="str">
        <f>IFERROR(INDEX('Hun Demand'!W:W,MATCH(O429,'Hun Demand'!A:A,0)),"")</f>
        <v/>
      </c>
      <c r="B429" s="25" t="str">
        <f>IFERROR(INDEX('Hun Demand'!V:V,MATCH(O429,'Hun Demand'!A:A,0)),"")</f>
        <v/>
      </c>
      <c r="C429" s="25" t="str">
        <f>IFERROR(INDEX('Hun Demand'!U:U,MATCH(O429,'Hun Demand'!A:A,0)),"")</f>
        <v/>
      </c>
      <c r="D429" s="25" t="str">
        <f>IFERROR(INDEX('Hun Demand'!T:T,MATCH(O429,'Hun Demand'!A:A,0)),"")</f>
        <v/>
      </c>
      <c r="E429" s="25" t="str">
        <f>IFERROR(INDEX('Hun Demand'!S:S,MATCH(O429,'Hun Demand'!A:A,0)),"")</f>
        <v/>
      </c>
      <c r="F429" s="25" t="str">
        <f>IFERROR(INDEX('Hun Demand'!R:R,MATCH(O429,'Hun Demand'!A:A,0)),"")</f>
        <v/>
      </c>
      <c r="G429" s="25">
        <f>IFERROR(INDEX('Aub Demand'!W:W,MATCH(O429,'Aub Demand'!A:A,0)),"")</f>
        <v>0</v>
      </c>
      <c r="H429" s="25">
        <f>IFERROR(INDEX('Aub Demand'!V:V,MATCH(O429,'Aub Demand'!A:A,0)),"")</f>
        <v>0</v>
      </c>
      <c r="I429" s="25">
        <f>IFERROR(INDEX('Aub Demand'!U:U,MATCH(O429,'Aub Demand'!A:A,0)),"")</f>
        <v>0</v>
      </c>
      <c r="J429" s="25">
        <f>IFERROR(INDEX('Aub Demand'!T:T,MATCH(O429,'Aub Demand'!A:A,0)),"")</f>
        <v>0</v>
      </c>
      <c r="K429" s="25">
        <f>IFERROR(INDEX('Aub Demand'!S:S,MATCH(O429,'Aub Demand'!A:A,0)),"")</f>
        <v>0</v>
      </c>
      <c r="L429" s="25">
        <f>IFERROR(INDEX('Aub Demand'!R:R,MATCH(O429,'Aub Demand'!A:A,0)),"")</f>
        <v>0</v>
      </c>
      <c r="O429" s="27" t="s">
        <v>724</v>
      </c>
      <c r="P429" s="27" t="str">
        <f>IFERROR(INDEX('Aub Demand'!B:B,MATCH($O429,'Aub Demand'!$A:$A,0)),"")</f>
        <v>DRIFTWOOD</v>
      </c>
      <c r="Q429" s="27" t="str">
        <f>IFERROR(INDEX('Aub Demand'!C:C,MATCH($O429,'Aub Demand'!$A:$A,0)),"")</f>
        <v>ARAUC</v>
      </c>
      <c r="R429" s="52">
        <f>IFERROR(IF(AR430=AR429,INDEX('Aub Demand'!K:K,MATCH($O429,'Aub Demand'!$A:$A,0))-IF(AN429="",0,AN429)+AP430,INDEX('Aub Demand'!K:K,MATCH($O429,'Aub Demand'!$A:$A,0))-IF(AN429="",0,AN429)),"")</f>
        <v>94</v>
      </c>
      <c r="S429" s="53" t="str">
        <f t="shared" si="168"/>
        <v>n/a</v>
      </c>
      <c r="T429" s="52" t="str">
        <f t="shared" si="169"/>
        <v/>
      </c>
      <c r="U429" s="52">
        <f>IFERROR(IF(AR430=AR429,INDEX('Aub Demand'!Q:Q,MATCH($O429,'Aub Demand'!$A:$A,0))-IF(AN429="",0,AN429)+AP430,INDEX('Aub Demand'!Q:Q,MATCH($O429,'Aub Demand'!$A:$A,0))-IF(AN429="",0,AN429)),"")</f>
        <v>94</v>
      </c>
      <c r="V429" s="53" t="str">
        <f t="shared" si="170"/>
        <v>n/a</v>
      </c>
      <c r="W429" s="52" t="str">
        <f t="shared" si="171"/>
        <v/>
      </c>
      <c r="X429" s="52">
        <f>IFERROR(IF(AND(AR430=AR429,AM429&lt;&gt;""),INDEX('Aub Demand'!Q:Q,MATCH($O429,'Aub Demand'!$A:$A,0))-IF(AN429="",0,AN429)+AP430+AD429+AL429,IF(AR430=AR429,INDEX('Aub Demand'!Q:Q,MATCH($O429,'Aub Demand'!$A:$A,0))-IF(AN429="",0,AN429)+AP430+AD429,IF(AM429&lt;&gt;"",INDEX('Aub Demand'!Q:Q,MATCH($O429,'Aub Demand'!$A:$A,0))-IF(AN429="",0,AN429)+AD429+AL429,INDEX('Aub Demand'!Q:Q,MATCH($O429,'Aub Demand'!$A:$A,0))-IF(AN429="",0,AN429)+AD429))),"")</f>
        <v>94</v>
      </c>
      <c r="Y429" s="53" t="str">
        <f t="shared" si="172"/>
        <v>n/a</v>
      </c>
      <c r="Z429" s="52">
        <f>IF(L429="","",INDEX('Aub Demand'!H:H,MATCH($O429,'Aub Demand'!$A:$A,0)))</f>
        <v>0</v>
      </c>
      <c r="AA429" s="52" t="str">
        <f t="shared" si="173"/>
        <v>-spike-</v>
      </c>
      <c r="AB429" s="52">
        <f>IFERROR(INDEX('Aub Demand'!L:L,MATCH($O429,'Aub Demand'!$A:$A,0)),"")</f>
        <v>0</v>
      </c>
      <c r="AC429" s="52">
        <f>IFERROR(IF(O429="","",SUMIFS('CPL Mats'!F:F,'CPL Mats'!Q:Q,AR429,'CPL Mats'!S:S,AS429)),"")</f>
        <v>0</v>
      </c>
      <c r="AF429" s="25" t="str">
        <f>IF(SUMIFS('Supp Consol'!S:S,'Supp Consol'!Y:Y,"Releasable",'Supp Consol'!A:A,O429)=0,"",SUMIFS('Supp Consol'!S:S,'Supp Consol'!Y:Y,"Releasable",'Supp Consol'!A:A,O429))</f>
        <v/>
      </c>
      <c r="AG429" s="25" t="str">
        <f>IFERROR(INDEX('Hun Demand'!Q:Q,MATCH(O429,'Hun Demand'!A:A,0)),"")</f>
        <v/>
      </c>
      <c r="AH429" s="25" t="str">
        <f>IFERROR(INDEX('Hun Demand'!H:H,MATCH($O429,'Hun Demand'!$A:$A,0)),"")</f>
        <v/>
      </c>
      <c r="AI429" s="25" t="str">
        <f>IF(SUMIFS('Supp Consol'!AA:AA,'Supp Consol'!Z:Z,"Expires this month",'Supp Consol'!A:A,O429)=0,"",SUMIFS('Supp Consol'!AA:AA,'Supp Consol'!Z:Z,"Expires this month",'Supp Consol'!A:A,O429))</f>
        <v/>
      </c>
      <c r="AJ429" s="25" t="str">
        <f>IF(SUMIFS('Supp Consol'!AA:AA,'Supp Consol'!Z:Z,"Expired Previous Months",'Supp Consol'!A:A,O429)=0,"",SUMIFS('Supp Consol'!AA:AA,'Supp Consol'!Z:Z,"Expired Previous Months",'Supp Consol'!A:A,O429))</f>
        <v/>
      </c>
      <c r="AK429" s="25" t="str">
        <f>IFERROR(INDEX('Hun Release Current'!B:B,MATCH(O429,'Hun Release Current'!A:A,0)),"")</f>
        <v/>
      </c>
      <c r="AL429" s="25" t="str">
        <f>IF(SUMIF('Prev Aub'!A:A,O429,'Prev Aub'!B:B)=0,"",SUMIF('Prev Aub'!A:A,O429,'Prev Aub'!B:B))</f>
        <v/>
      </c>
      <c r="AN429" s="25" t="s">
        <v>3790</v>
      </c>
      <c r="AO429" s="25" t="s">
        <v>3790</v>
      </c>
      <c r="AP429" s="25">
        <f t="shared" si="174"/>
        <v>0</v>
      </c>
      <c r="AQ429" s="151" t="str">
        <f>IF(SUMIFS('Supp Consol'!S:S,'Supp Consol'!A:A,O429,'Supp Consol'!I:I,"PENDING")=0,"",SUMIFS('Supp Consol'!S:S,'Supp Consol'!A:A,O429,'Supp Consol'!I:I,"PENDING"))</f>
        <v/>
      </c>
      <c r="AR429" s="27" t="str">
        <f t="shared" si="175"/>
        <v>FB356</v>
      </c>
      <c r="AS429" s="27" t="str">
        <f t="shared" si="176"/>
        <v>62</v>
      </c>
      <c r="AT429" s="27" t="str">
        <f t="shared" si="177"/>
        <v/>
      </c>
      <c r="AU429" s="27" t="str">
        <f t="shared" si="178"/>
        <v/>
      </c>
      <c r="AV429" s="27" t="str">
        <f t="shared" si="179"/>
        <v/>
      </c>
      <c r="AW429" s="27" t="str">
        <f t="shared" si="180"/>
        <v/>
      </c>
      <c r="AX429" s="27" t="str">
        <f t="shared" si="181"/>
        <v/>
      </c>
      <c r="AY429" s="27" t="str">
        <f t="shared" si="182"/>
        <v/>
      </c>
      <c r="AZ429" s="27" t="str">
        <f t="shared" si="183"/>
        <v/>
      </c>
      <c r="BA429" s="27" t="str">
        <f t="shared" si="184"/>
        <v/>
      </c>
      <c r="BB429" s="27" t="str">
        <f t="shared" si="185"/>
        <v/>
      </c>
      <c r="BC429" s="27" t="str">
        <f t="shared" si="186"/>
        <v/>
      </c>
      <c r="BD429" s="27" t="str">
        <f t="shared" si="187"/>
        <v/>
      </c>
      <c r="BE429" s="27" t="str">
        <f t="shared" si="188"/>
        <v/>
      </c>
      <c r="BF429" s="27" t="str">
        <f t="shared" si="189"/>
        <v/>
      </c>
      <c r="BG429" s="27" t="str">
        <f t="shared" si="190"/>
        <v/>
      </c>
      <c r="BH429" s="27" t="str">
        <f t="shared" si="191"/>
        <v/>
      </c>
      <c r="BI429" s="27" t="str">
        <f t="shared" si="192"/>
        <v/>
      </c>
      <c r="BJ429" s="27" t="str">
        <f t="shared" si="193"/>
        <v/>
      </c>
      <c r="BK429" s="27" t="str">
        <f t="shared" si="194"/>
        <v/>
      </c>
      <c r="BL429" s="27" t="str">
        <f t="shared" si="195"/>
        <v/>
      </c>
      <c r="BM429" s="21" t="s">
        <v>3790</v>
      </c>
    </row>
    <row r="430" spans="1:65" ht="15">
      <c r="A430" s="25" t="str">
        <f>IFERROR(INDEX('Hun Demand'!W:W,MATCH(O430,'Hun Demand'!A:A,0)),"")</f>
        <v/>
      </c>
      <c r="B430" s="25" t="str">
        <f>IFERROR(INDEX('Hun Demand'!V:V,MATCH(O430,'Hun Demand'!A:A,0)),"")</f>
        <v/>
      </c>
      <c r="C430" s="25" t="str">
        <f>IFERROR(INDEX('Hun Demand'!U:U,MATCH(O430,'Hun Demand'!A:A,0)),"")</f>
        <v/>
      </c>
      <c r="D430" s="25" t="str">
        <f>IFERROR(INDEX('Hun Demand'!T:T,MATCH(O430,'Hun Demand'!A:A,0)),"")</f>
        <v/>
      </c>
      <c r="E430" s="25" t="str">
        <f>IFERROR(INDEX('Hun Demand'!S:S,MATCH(O430,'Hun Demand'!A:A,0)),"")</f>
        <v/>
      </c>
      <c r="F430" s="25" t="str">
        <f>IFERROR(INDEX('Hun Demand'!R:R,MATCH(O430,'Hun Demand'!A:A,0)),"")</f>
        <v/>
      </c>
      <c r="G430" s="25">
        <f>IFERROR(INDEX('Aub Demand'!W:W,MATCH(O430,'Aub Demand'!A:A,0)),"")</f>
        <v>0</v>
      </c>
      <c r="H430" s="25">
        <f>IFERROR(INDEX('Aub Demand'!V:V,MATCH(O430,'Aub Demand'!A:A,0)),"")</f>
        <v>0</v>
      </c>
      <c r="I430" s="25">
        <f>IFERROR(INDEX('Aub Demand'!U:U,MATCH(O430,'Aub Demand'!A:A,0)),"")</f>
        <v>0</v>
      </c>
      <c r="J430" s="25">
        <f>IFERROR(INDEX('Aub Demand'!T:T,MATCH(O430,'Aub Demand'!A:A,0)),"")</f>
        <v>0</v>
      </c>
      <c r="K430" s="25">
        <f>IFERROR(INDEX('Aub Demand'!S:S,MATCH(O430,'Aub Demand'!A:A,0)),"")</f>
        <v>0</v>
      </c>
      <c r="L430" s="25">
        <f>IFERROR(INDEX('Aub Demand'!R:R,MATCH(O430,'Aub Demand'!A:A,0)),"")</f>
        <v>0</v>
      </c>
      <c r="O430" s="27" t="s">
        <v>726</v>
      </c>
      <c r="P430" s="27" t="str">
        <f>IFERROR(INDEX('Aub Demand'!B:B,MATCH($O430,'Aub Demand'!$A:$A,0)),"")</f>
        <v>SANDALWOOD</v>
      </c>
      <c r="Q430" s="27" t="str">
        <f>IFERROR(INDEX('Aub Demand'!C:C,MATCH($O430,'Aub Demand'!$A:$A,0)),"")</f>
        <v>ARAUC</v>
      </c>
      <c r="R430" s="52">
        <f>IFERROR(IF(AR431=AR430,INDEX('Aub Demand'!K:K,MATCH($O430,'Aub Demand'!$A:$A,0))-IF(AN430="",0,AN430)+AP431,INDEX('Aub Demand'!K:K,MATCH($O430,'Aub Demand'!$A:$A,0))-IF(AN430="",0,AN430)),"")</f>
        <v>62</v>
      </c>
      <c r="S430" s="53" t="str">
        <f t="shared" si="168"/>
        <v>n/a</v>
      </c>
      <c r="T430" s="52" t="str">
        <f t="shared" si="169"/>
        <v/>
      </c>
      <c r="U430" s="52">
        <f>IFERROR(IF(AR431=AR430,INDEX('Aub Demand'!Q:Q,MATCH($O430,'Aub Demand'!$A:$A,0))-IF(AN430="",0,AN430)+AP431,INDEX('Aub Demand'!Q:Q,MATCH($O430,'Aub Demand'!$A:$A,0))-IF(AN430="",0,AN430)),"")</f>
        <v>62</v>
      </c>
      <c r="V430" s="53" t="str">
        <f t="shared" si="170"/>
        <v>n/a</v>
      </c>
      <c r="W430" s="52" t="str">
        <f t="shared" si="171"/>
        <v/>
      </c>
      <c r="X430" s="52">
        <f>IFERROR(IF(AND(AR431=AR430,AM430&lt;&gt;""),INDEX('Aub Demand'!Q:Q,MATCH($O430,'Aub Demand'!$A:$A,0))-IF(AN430="",0,AN430)+AP431+AD430+AL430,IF(AR431=AR430,INDEX('Aub Demand'!Q:Q,MATCH($O430,'Aub Demand'!$A:$A,0))-IF(AN430="",0,AN430)+AP431+AD430,IF(AM430&lt;&gt;"",INDEX('Aub Demand'!Q:Q,MATCH($O430,'Aub Demand'!$A:$A,0))-IF(AN430="",0,AN430)+AD430+AL430,INDEX('Aub Demand'!Q:Q,MATCH($O430,'Aub Demand'!$A:$A,0))-IF(AN430="",0,AN430)+AD430))),"")</f>
        <v>62</v>
      </c>
      <c r="Y430" s="53" t="str">
        <f t="shared" si="172"/>
        <v>n/a</v>
      </c>
      <c r="Z430" s="52">
        <f>IF(L430="","",INDEX('Aub Demand'!H:H,MATCH($O430,'Aub Demand'!$A:$A,0)))</f>
        <v>0</v>
      </c>
      <c r="AA430" s="52" t="str">
        <f t="shared" si="173"/>
        <v>-spike-</v>
      </c>
      <c r="AB430" s="52">
        <f>IFERROR(INDEX('Aub Demand'!L:L,MATCH($O430,'Aub Demand'!$A:$A,0)),"")</f>
        <v>0</v>
      </c>
      <c r="AC430" s="52">
        <f>IFERROR(IF(O430="","",SUMIFS('CPL Mats'!F:F,'CPL Mats'!Q:Q,AR430,'CPL Mats'!S:S,AS430)),"")</f>
        <v>0</v>
      </c>
      <c r="AF430" s="25" t="str">
        <f>IF(SUMIFS('Supp Consol'!S:S,'Supp Consol'!Y:Y,"Releasable",'Supp Consol'!A:A,O430)=0,"",SUMIFS('Supp Consol'!S:S,'Supp Consol'!Y:Y,"Releasable",'Supp Consol'!A:A,O430))</f>
        <v/>
      </c>
      <c r="AG430" s="25" t="str">
        <f>IFERROR(INDEX('Hun Demand'!Q:Q,MATCH(O430,'Hun Demand'!A:A,0)),"")</f>
        <v/>
      </c>
      <c r="AH430" s="25" t="str">
        <f>IFERROR(INDEX('Hun Demand'!H:H,MATCH($O430,'Hun Demand'!$A:$A,0)),"")</f>
        <v/>
      </c>
      <c r="AI430" s="25" t="str">
        <f>IF(SUMIFS('Supp Consol'!AA:AA,'Supp Consol'!Z:Z,"Expires this month",'Supp Consol'!A:A,O430)=0,"",SUMIFS('Supp Consol'!AA:AA,'Supp Consol'!Z:Z,"Expires this month",'Supp Consol'!A:A,O430))</f>
        <v/>
      </c>
      <c r="AJ430" s="25" t="str">
        <f>IF(SUMIFS('Supp Consol'!AA:AA,'Supp Consol'!Z:Z,"Expired Previous Months",'Supp Consol'!A:A,O430)=0,"",SUMIFS('Supp Consol'!AA:AA,'Supp Consol'!Z:Z,"Expired Previous Months",'Supp Consol'!A:A,O430))</f>
        <v/>
      </c>
      <c r="AK430" s="25" t="str">
        <f>IFERROR(INDEX('Hun Release Current'!B:B,MATCH(O430,'Hun Release Current'!A:A,0)),"")</f>
        <v/>
      </c>
      <c r="AL430" s="25" t="str">
        <f>IF(SUMIF('Prev Aub'!A:A,O430,'Prev Aub'!B:B)=0,"",SUMIF('Prev Aub'!A:A,O430,'Prev Aub'!B:B))</f>
        <v/>
      </c>
      <c r="AN430" s="25" t="s">
        <v>3790</v>
      </c>
      <c r="AO430" s="25" t="s">
        <v>3790</v>
      </c>
      <c r="AP430" s="25">
        <f t="shared" si="174"/>
        <v>0</v>
      </c>
      <c r="AQ430" s="151" t="str">
        <f>IF(SUMIFS('Supp Consol'!S:S,'Supp Consol'!A:A,O430,'Supp Consol'!I:I,"PENDING")=0,"",SUMIFS('Supp Consol'!S:S,'Supp Consol'!A:A,O430,'Supp Consol'!I:I,"PENDING"))</f>
        <v/>
      </c>
      <c r="AR430" s="27" t="str">
        <f t="shared" si="175"/>
        <v>FB357</v>
      </c>
      <c r="AS430" s="27" t="str">
        <f t="shared" si="176"/>
        <v>62</v>
      </c>
      <c r="AT430" s="27" t="str">
        <f t="shared" si="177"/>
        <v/>
      </c>
      <c r="AU430" s="27" t="str">
        <f t="shared" si="178"/>
        <v/>
      </c>
      <c r="AV430" s="27" t="str">
        <f t="shared" si="179"/>
        <v/>
      </c>
      <c r="AW430" s="27" t="str">
        <f t="shared" si="180"/>
        <v/>
      </c>
      <c r="AX430" s="27" t="str">
        <f t="shared" si="181"/>
        <v/>
      </c>
      <c r="AY430" s="27" t="str">
        <f t="shared" si="182"/>
        <v/>
      </c>
      <c r="AZ430" s="27" t="str">
        <f t="shared" si="183"/>
        <v/>
      </c>
      <c r="BA430" s="27" t="str">
        <f t="shared" si="184"/>
        <v/>
      </c>
      <c r="BB430" s="27" t="str">
        <f t="shared" si="185"/>
        <v/>
      </c>
      <c r="BC430" s="27" t="str">
        <f t="shared" si="186"/>
        <v/>
      </c>
      <c r="BD430" s="27" t="str">
        <f t="shared" si="187"/>
        <v/>
      </c>
      <c r="BE430" s="27" t="str">
        <f t="shared" si="188"/>
        <v/>
      </c>
      <c r="BF430" s="27" t="str">
        <f t="shared" si="189"/>
        <v/>
      </c>
      <c r="BG430" s="27" t="str">
        <f t="shared" si="190"/>
        <v/>
      </c>
      <c r="BH430" s="27" t="str">
        <f t="shared" si="191"/>
        <v/>
      </c>
      <c r="BI430" s="27" t="str">
        <f t="shared" si="192"/>
        <v/>
      </c>
      <c r="BJ430" s="27" t="str">
        <f t="shared" si="193"/>
        <v/>
      </c>
      <c r="BK430" s="27" t="str">
        <f t="shared" si="194"/>
        <v/>
      </c>
      <c r="BL430" s="27" t="str">
        <f t="shared" si="195"/>
        <v/>
      </c>
      <c r="BM430" s="21" t="s">
        <v>3790</v>
      </c>
    </row>
    <row r="431" spans="1:65" ht="15">
      <c r="A431" s="25" t="str">
        <f>IFERROR(INDEX('Hun Demand'!W:W,MATCH(O431,'Hun Demand'!A:A,0)),"")</f>
        <v/>
      </c>
      <c r="B431" s="25" t="str">
        <f>IFERROR(INDEX('Hun Demand'!V:V,MATCH(O431,'Hun Demand'!A:A,0)),"")</f>
        <v/>
      </c>
      <c r="C431" s="25" t="str">
        <f>IFERROR(INDEX('Hun Demand'!U:U,MATCH(O431,'Hun Demand'!A:A,0)),"")</f>
        <v/>
      </c>
      <c r="D431" s="25" t="str">
        <f>IFERROR(INDEX('Hun Demand'!T:T,MATCH(O431,'Hun Demand'!A:A,0)),"")</f>
        <v/>
      </c>
      <c r="E431" s="25" t="str">
        <f>IFERROR(INDEX('Hun Demand'!S:S,MATCH(O431,'Hun Demand'!A:A,0)),"")</f>
        <v/>
      </c>
      <c r="F431" s="25" t="str">
        <f>IFERROR(INDEX('Hun Demand'!R:R,MATCH(O431,'Hun Demand'!A:A,0)),"")</f>
        <v/>
      </c>
      <c r="G431" s="25">
        <f>IFERROR(INDEX('Aub Demand'!W:W,MATCH(O431,'Aub Demand'!A:A,0)),"")</f>
        <v>0</v>
      </c>
      <c r="H431" s="25">
        <f>IFERROR(INDEX('Aub Demand'!V:V,MATCH(O431,'Aub Demand'!A:A,0)),"")</f>
        <v>0</v>
      </c>
      <c r="I431" s="25">
        <f>IFERROR(INDEX('Aub Demand'!U:U,MATCH(O431,'Aub Demand'!A:A,0)),"")</f>
        <v>0</v>
      </c>
      <c r="J431" s="25">
        <f>IFERROR(INDEX('Aub Demand'!T:T,MATCH(O431,'Aub Demand'!A:A,0)),"")</f>
        <v>0</v>
      </c>
      <c r="K431" s="25">
        <f>IFERROR(INDEX('Aub Demand'!S:S,MATCH(O431,'Aub Demand'!A:A,0)),"")</f>
        <v>0</v>
      </c>
      <c r="L431" s="25">
        <f>IFERROR(INDEX('Aub Demand'!R:R,MATCH(O431,'Aub Demand'!A:A,0)),"")</f>
        <v>0</v>
      </c>
      <c r="O431" s="27" t="s">
        <v>728</v>
      </c>
      <c r="P431" s="27" t="str">
        <f>IFERROR(INDEX('Aub Demand'!B:B,MATCH($O431,'Aub Demand'!$A:$A,0)),"")</f>
        <v>PACAYA II</v>
      </c>
      <c r="Q431" s="27" t="str">
        <f>IFERROR(INDEX('Aub Demand'!C:C,MATCH($O431,'Aub Demand'!$A:$A,0)),"")</f>
        <v>ARAUC</v>
      </c>
      <c r="R431" s="52">
        <f>IFERROR(IF(AR432=AR431,INDEX('Aub Demand'!K:K,MATCH($O431,'Aub Demand'!$A:$A,0))-IF(AN431="",0,AN431)+AP432,INDEX('Aub Demand'!K:K,MATCH($O431,'Aub Demand'!$A:$A,0))-IF(AN431="",0,AN431)),"")</f>
        <v>141</v>
      </c>
      <c r="S431" s="53" t="str">
        <f t="shared" si="168"/>
        <v>n/a</v>
      </c>
      <c r="T431" s="52" t="str">
        <f t="shared" si="169"/>
        <v/>
      </c>
      <c r="U431" s="52">
        <f>IFERROR(IF(AR432=AR431,INDEX('Aub Demand'!Q:Q,MATCH($O431,'Aub Demand'!$A:$A,0))-IF(AN431="",0,AN431)+AP432,INDEX('Aub Demand'!Q:Q,MATCH($O431,'Aub Demand'!$A:$A,0))-IF(AN431="",0,AN431)),"")</f>
        <v>141</v>
      </c>
      <c r="V431" s="53" t="str">
        <f t="shared" si="170"/>
        <v>n/a</v>
      </c>
      <c r="W431" s="52" t="str">
        <f t="shared" si="171"/>
        <v/>
      </c>
      <c r="X431" s="52">
        <f>IFERROR(IF(AND(AR432=AR431,AM431&lt;&gt;""),INDEX('Aub Demand'!Q:Q,MATCH($O431,'Aub Demand'!$A:$A,0))-IF(AN431="",0,AN431)+AP432+AD431+AL431,IF(AR432=AR431,INDEX('Aub Demand'!Q:Q,MATCH($O431,'Aub Demand'!$A:$A,0))-IF(AN431="",0,AN431)+AP432+AD431,IF(AM431&lt;&gt;"",INDEX('Aub Demand'!Q:Q,MATCH($O431,'Aub Demand'!$A:$A,0))-IF(AN431="",0,AN431)+AD431+AL431,INDEX('Aub Demand'!Q:Q,MATCH($O431,'Aub Demand'!$A:$A,0))-IF(AN431="",0,AN431)+AD431))),"")</f>
        <v>141</v>
      </c>
      <c r="Y431" s="53" t="str">
        <f t="shared" si="172"/>
        <v>n/a</v>
      </c>
      <c r="Z431" s="52">
        <f>IF(L431="","",INDEX('Aub Demand'!H:H,MATCH($O431,'Aub Demand'!$A:$A,0)))</f>
        <v>0</v>
      </c>
      <c r="AA431" s="52" t="str">
        <f t="shared" si="173"/>
        <v>-spike-</v>
      </c>
      <c r="AB431" s="52">
        <f>IFERROR(INDEX('Aub Demand'!L:L,MATCH($O431,'Aub Demand'!$A:$A,0)),"")</f>
        <v>0</v>
      </c>
      <c r="AC431" s="52">
        <f>IFERROR(IF(O431="","",SUMIFS('CPL Mats'!F:F,'CPL Mats'!Q:Q,AR431,'CPL Mats'!S:S,AS431)),"")</f>
        <v>0</v>
      </c>
      <c r="AF431" s="25" t="str">
        <f>IF(SUMIFS('Supp Consol'!S:S,'Supp Consol'!Y:Y,"Releasable",'Supp Consol'!A:A,O431)=0,"",SUMIFS('Supp Consol'!S:S,'Supp Consol'!Y:Y,"Releasable",'Supp Consol'!A:A,O431))</f>
        <v/>
      </c>
      <c r="AG431" s="25" t="str">
        <f>IFERROR(INDEX('Hun Demand'!Q:Q,MATCH(O431,'Hun Demand'!A:A,0)),"")</f>
        <v/>
      </c>
      <c r="AH431" s="25" t="str">
        <f>IFERROR(INDEX('Hun Demand'!H:H,MATCH($O431,'Hun Demand'!$A:$A,0)),"")</f>
        <v/>
      </c>
      <c r="AI431" s="25" t="str">
        <f>IF(SUMIFS('Supp Consol'!AA:AA,'Supp Consol'!Z:Z,"Expires this month",'Supp Consol'!A:A,O431)=0,"",SUMIFS('Supp Consol'!AA:AA,'Supp Consol'!Z:Z,"Expires this month",'Supp Consol'!A:A,O431))</f>
        <v/>
      </c>
      <c r="AJ431" s="25" t="str">
        <f>IF(SUMIFS('Supp Consol'!AA:AA,'Supp Consol'!Z:Z,"Expired Previous Months",'Supp Consol'!A:A,O431)=0,"",SUMIFS('Supp Consol'!AA:AA,'Supp Consol'!Z:Z,"Expired Previous Months",'Supp Consol'!A:A,O431))</f>
        <v/>
      </c>
      <c r="AK431" s="25" t="str">
        <f>IFERROR(INDEX('Hun Release Current'!B:B,MATCH(O431,'Hun Release Current'!A:A,0)),"")</f>
        <v/>
      </c>
      <c r="AL431" s="25" t="str">
        <f>IF(SUMIF('Prev Aub'!A:A,O431,'Prev Aub'!B:B)=0,"",SUMIF('Prev Aub'!A:A,O431,'Prev Aub'!B:B))</f>
        <v/>
      </c>
      <c r="AN431" s="25" t="s">
        <v>3790</v>
      </c>
      <c r="AO431" s="25" t="s">
        <v>3790</v>
      </c>
      <c r="AP431" s="25">
        <f t="shared" si="174"/>
        <v>0</v>
      </c>
      <c r="AQ431" s="151" t="str">
        <f>IF(SUMIFS('Supp Consol'!S:S,'Supp Consol'!A:A,O431,'Supp Consol'!I:I,"PENDING")=0,"",SUMIFS('Supp Consol'!S:S,'Supp Consol'!A:A,O431,'Supp Consol'!I:I,"PENDING"))</f>
        <v/>
      </c>
      <c r="AR431" s="27" t="str">
        <f t="shared" si="175"/>
        <v>FB398</v>
      </c>
      <c r="AS431" s="27" t="str">
        <f t="shared" si="176"/>
        <v>62</v>
      </c>
      <c r="AT431" s="27" t="str">
        <f t="shared" si="177"/>
        <v/>
      </c>
      <c r="AU431" s="27" t="str">
        <f t="shared" si="178"/>
        <v/>
      </c>
      <c r="AV431" s="27" t="str">
        <f t="shared" si="179"/>
        <v/>
      </c>
      <c r="AW431" s="27" t="str">
        <f t="shared" si="180"/>
        <v/>
      </c>
      <c r="AX431" s="27" t="str">
        <f t="shared" si="181"/>
        <v/>
      </c>
      <c r="AY431" s="27" t="str">
        <f t="shared" si="182"/>
        <v/>
      </c>
      <c r="AZ431" s="27" t="str">
        <f t="shared" si="183"/>
        <v/>
      </c>
      <c r="BA431" s="27" t="str">
        <f t="shared" si="184"/>
        <v/>
      </c>
      <c r="BB431" s="27" t="str">
        <f t="shared" si="185"/>
        <v/>
      </c>
      <c r="BC431" s="27" t="str">
        <f t="shared" si="186"/>
        <v/>
      </c>
      <c r="BD431" s="27" t="str">
        <f t="shared" si="187"/>
        <v/>
      </c>
      <c r="BE431" s="27" t="str">
        <f t="shared" si="188"/>
        <v/>
      </c>
      <c r="BF431" s="27" t="str">
        <f t="shared" si="189"/>
        <v/>
      </c>
      <c r="BG431" s="27" t="str">
        <f t="shared" si="190"/>
        <v/>
      </c>
      <c r="BH431" s="27" t="str">
        <f t="shared" si="191"/>
        <v/>
      </c>
      <c r="BI431" s="27" t="str">
        <f t="shared" si="192"/>
        <v/>
      </c>
      <c r="BJ431" s="27" t="str">
        <f t="shared" si="193"/>
        <v/>
      </c>
      <c r="BK431" s="27" t="str">
        <f t="shared" si="194"/>
        <v/>
      </c>
      <c r="BL431" s="27" t="str">
        <f t="shared" si="195"/>
        <v/>
      </c>
      <c r="BM431" s="21" t="s">
        <v>3790</v>
      </c>
    </row>
    <row r="432" spans="1:65" ht="15">
      <c r="A432" s="25" t="str">
        <f>IFERROR(INDEX('Hun Demand'!W:W,MATCH(O432,'Hun Demand'!A:A,0)),"")</f>
        <v/>
      </c>
      <c r="B432" s="25" t="str">
        <f>IFERROR(INDEX('Hun Demand'!V:V,MATCH(O432,'Hun Demand'!A:A,0)),"")</f>
        <v/>
      </c>
      <c r="C432" s="25" t="str">
        <f>IFERROR(INDEX('Hun Demand'!U:U,MATCH(O432,'Hun Demand'!A:A,0)),"")</f>
        <v/>
      </c>
      <c r="D432" s="25" t="str">
        <f>IFERROR(INDEX('Hun Demand'!T:T,MATCH(O432,'Hun Demand'!A:A,0)),"")</f>
        <v/>
      </c>
      <c r="E432" s="25" t="str">
        <f>IFERROR(INDEX('Hun Demand'!S:S,MATCH(O432,'Hun Demand'!A:A,0)),"")</f>
        <v/>
      </c>
      <c r="F432" s="25" t="str">
        <f>IFERROR(INDEX('Hun Demand'!R:R,MATCH(O432,'Hun Demand'!A:A,0)),"")</f>
        <v/>
      </c>
      <c r="G432" s="25">
        <f>IFERROR(INDEX('Aub Demand'!W:W,MATCH(O432,'Aub Demand'!A:A,0)),"")</f>
        <v>0</v>
      </c>
      <c r="H432" s="25">
        <f>IFERROR(INDEX('Aub Demand'!V:V,MATCH(O432,'Aub Demand'!A:A,0)),"")</f>
        <v>0</v>
      </c>
      <c r="I432" s="25">
        <f>IFERROR(INDEX('Aub Demand'!U:U,MATCH(O432,'Aub Demand'!A:A,0)),"")</f>
        <v>0</v>
      </c>
      <c r="J432" s="25">
        <f>IFERROR(INDEX('Aub Demand'!T:T,MATCH(O432,'Aub Demand'!A:A,0)),"")</f>
        <v>0</v>
      </c>
      <c r="K432" s="25">
        <f>IFERROR(INDEX('Aub Demand'!S:S,MATCH(O432,'Aub Demand'!A:A,0)),"")</f>
        <v>0</v>
      </c>
      <c r="L432" s="25">
        <f>IFERROR(INDEX('Aub Demand'!R:R,MATCH(O432,'Aub Demand'!A:A,0)),"")</f>
        <v>0</v>
      </c>
      <c r="O432" s="27" t="s">
        <v>730</v>
      </c>
      <c r="P432" s="27" t="str">
        <f>IFERROR(INDEX('Aub Demand'!B:B,MATCH($O432,'Aub Demand'!$A:$A,0)),"")</f>
        <v>VICTORIAN WHITE</v>
      </c>
      <c r="Q432" s="27" t="str">
        <f>IFERROR(INDEX('Aub Demand'!C:C,MATCH($O432,'Aub Demand'!$A:$A,0)),"")</f>
        <v>ARAUC</v>
      </c>
      <c r="R432" s="52">
        <f>IFERROR(IF(AR433=AR432,INDEX('Aub Demand'!K:K,MATCH($O432,'Aub Demand'!$A:$A,0))-IF(AN432="",0,AN432)+AP433,INDEX('Aub Demand'!K:K,MATCH($O432,'Aub Demand'!$A:$A,0))-IF(AN432="",0,AN432)),"")</f>
        <v>76</v>
      </c>
      <c r="S432" s="53" t="str">
        <f t="shared" si="168"/>
        <v>n/a</v>
      </c>
      <c r="T432" s="52" t="str">
        <f t="shared" si="169"/>
        <v/>
      </c>
      <c r="U432" s="52">
        <f>IFERROR(IF(AR433=AR432,INDEX('Aub Demand'!Q:Q,MATCH($O432,'Aub Demand'!$A:$A,0))-IF(AN432="",0,AN432)+AP433,INDEX('Aub Demand'!Q:Q,MATCH($O432,'Aub Demand'!$A:$A,0))-IF(AN432="",0,AN432)),"")</f>
        <v>76</v>
      </c>
      <c r="V432" s="53" t="str">
        <f t="shared" si="170"/>
        <v>n/a</v>
      </c>
      <c r="W432" s="52" t="str">
        <f t="shared" si="171"/>
        <v/>
      </c>
      <c r="X432" s="52">
        <f>IFERROR(IF(AND(AR433=AR432,AM432&lt;&gt;""),INDEX('Aub Demand'!Q:Q,MATCH($O432,'Aub Demand'!$A:$A,0))-IF(AN432="",0,AN432)+AP433+AD432+AL432,IF(AR433=AR432,INDEX('Aub Demand'!Q:Q,MATCH($O432,'Aub Demand'!$A:$A,0))-IF(AN432="",0,AN432)+AP433+AD432,IF(AM432&lt;&gt;"",INDEX('Aub Demand'!Q:Q,MATCH($O432,'Aub Demand'!$A:$A,0))-IF(AN432="",0,AN432)+AD432+AL432,INDEX('Aub Demand'!Q:Q,MATCH($O432,'Aub Demand'!$A:$A,0))-IF(AN432="",0,AN432)+AD432))),"")</f>
        <v>76</v>
      </c>
      <c r="Y432" s="53" t="str">
        <f t="shared" si="172"/>
        <v>n/a</v>
      </c>
      <c r="Z432" s="52">
        <f>IF(L432="","",INDEX('Aub Demand'!H:H,MATCH($O432,'Aub Demand'!$A:$A,0)))</f>
        <v>0</v>
      </c>
      <c r="AA432" s="52" t="str">
        <f t="shared" si="173"/>
        <v>-spike-</v>
      </c>
      <c r="AB432" s="52">
        <f>IFERROR(INDEX('Aub Demand'!L:L,MATCH($O432,'Aub Demand'!$A:$A,0)),"")</f>
        <v>7</v>
      </c>
      <c r="AC432" s="52">
        <f>IFERROR(IF(O432="","",SUMIFS('CPL Mats'!F:F,'CPL Mats'!Q:Q,AR432,'CPL Mats'!S:S,AS432)),"")</f>
        <v>0</v>
      </c>
      <c r="AF432" s="25" t="str">
        <f>IF(SUMIFS('Supp Consol'!S:S,'Supp Consol'!Y:Y,"Releasable",'Supp Consol'!A:A,O432)=0,"",SUMIFS('Supp Consol'!S:S,'Supp Consol'!Y:Y,"Releasable",'Supp Consol'!A:A,O432))</f>
        <v/>
      </c>
      <c r="AG432" s="25" t="str">
        <f>IFERROR(INDEX('Hun Demand'!Q:Q,MATCH(O432,'Hun Demand'!A:A,0)),"")</f>
        <v/>
      </c>
      <c r="AH432" s="25" t="str">
        <f>IFERROR(INDEX('Hun Demand'!H:H,MATCH($O432,'Hun Demand'!$A:$A,0)),"")</f>
        <v/>
      </c>
      <c r="AI432" s="25" t="str">
        <f>IF(SUMIFS('Supp Consol'!AA:AA,'Supp Consol'!Z:Z,"Expires this month",'Supp Consol'!A:A,O432)=0,"",SUMIFS('Supp Consol'!AA:AA,'Supp Consol'!Z:Z,"Expires this month",'Supp Consol'!A:A,O432))</f>
        <v/>
      </c>
      <c r="AJ432" s="25" t="str">
        <f>IF(SUMIFS('Supp Consol'!AA:AA,'Supp Consol'!Z:Z,"Expired Previous Months",'Supp Consol'!A:A,O432)=0,"",SUMIFS('Supp Consol'!AA:AA,'Supp Consol'!Z:Z,"Expired Previous Months",'Supp Consol'!A:A,O432))</f>
        <v/>
      </c>
      <c r="AK432" s="25" t="str">
        <f>IFERROR(INDEX('Hun Release Current'!B:B,MATCH(O432,'Hun Release Current'!A:A,0)),"")</f>
        <v/>
      </c>
      <c r="AL432" s="25" t="str">
        <f>IF(SUMIF('Prev Aub'!A:A,O432,'Prev Aub'!B:B)=0,"",SUMIF('Prev Aub'!A:A,O432,'Prev Aub'!B:B))</f>
        <v/>
      </c>
      <c r="AN432" s="25" t="s">
        <v>3790</v>
      </c>
      <c r="AO432" s="25" t="s">
        <v>3790</v>
      </c>
      <c r="AP432" s="25">
        <f t="shared" si="174"/>
        <v>0</v>
      </c>
      <c r="AQ432" s="151" t="str">
        <f>IF(SUMIFS('Supp Consol'!S:S,'Supp Consol'!A:A,O432,'Supp Consol'!I:I,"PENDING")=0,"",SUMIFS('Supp Consol'!S:S,'Supp Consol'!A:A,O432,'Supp Consol'!I:I,"PENDING"))</f>
        <v/>
      </c>
      <c r="AR432" s="27" t="str">
        <f t="shared" si="175"/>
        <v>FB400</v>
      </c>
      <c r="AS432" s="27" t="str">
        <f t="shared" si="176"/>
        <v>50</v>
      </c>
      <c r="AT432" s="27" t="str">
        <f t="shared" si="177"/>
        <v/>
      </c>
      <c r="AU432" s="27" t="str">
        <f t="shared" si="178"/>
        <v/>
      </c>
      <c r="AV432" s="27" t="str">
        <f t="shared" si="179"/>
        <v/>
      </c>
      <c r="AW432" s="27" t="str">
        <f t="shared" si="180"/>
        <v/>
      </c>
      <c r="AX432" s="27" t="str">
        <f t="shared" si="181"/>
        <v/>
      </c>
      <c r="AY432" s="27" t="str">
        <f t="shared" si="182"/>
        <v/>
      </c>
      <c r="AZ432" s="27" t="str">
        <f t="shared" si="183"/>
        <v/>
      </c>
      <c r="BA432" s="27" t="str">
        <f t="shared" si="184"/>
        <v/>
      </c>
      <c r="BB432" s="27" t="str">
        <f t="shared" si="185"/>
        <v/>
      </c>
      <c r="BC432" s="27" t="str">
        <f t="shared" si="186"/>
        <v/>
      </c>
      <c r="BD432" s="27" t="str">
        <f t="shared" si="187"/>
        <v/>
      </c>
      <c r="BE432" s="27" t="str">
        <f t="shared" si="188"/>
        <v/>
      </c>
      <c r="BF432" s="27" t="str">
        <f t="shared" si="189"/>
        <v/>
      </c>
      <c r="BG432" s="27" t="str">
        <f t="shared" si="190"/>
        <v/>
      </c>
      <c r="BH432" s="27" t="str">
        <f t="shared" si="191"/>
        <v/>
      </c>
      <c r="BI432" s="27" t="str">
        <f t="shared" si="192"/>
        <v/>
      </c>
      <c r="BJ432" s="27" t="str">
        <f t="shared" si="193"/>
        <v/>
      </c>
      <c r="BK432" s="27" t="str">
        <f t="shared" si="194"/>
        <v/>
      </c>
      <c r="BL432" s="27" t="str">
        <f t="shared" si="195"/>
        <v/>
      </c>
      <c r="BM432" s="21" t="s">
        <v>3790</v>
      </c>
    </row>
    <row r="433" spans="1:65" ht="15">
      <c r="A433" s="25" t="str">
        <f>IFERROR(INDEX('Hun Demand'!W:W,MATCH(O433,'Hun Demand'!A:A,0)),"")</f>
        <v/>
      </c>
      <c r="B433" s="25" t="str">
        <f>IFERROR(INDEX('Hun Demand'!V:V,MATCH(O433,'Hun Demand'!A:A,0)),"")</f>
        <v/>
      </c>
      <c r="C433" s="25" t="str">
        <f>IFERROR(INDEX('Hun Demand'!U:U,MATCH(O433,'Hun Demand'!A:A,0)),"")</f>
        <v/>
      </c>
      <c r="D433" s="25" t="str">
        <f>IFERROR(INDEX('Hun Demand'!T:T,MATCH(O433,'Hun Demand'!A:A,0)),"")</f>
        <v/>
      </c>
      <c r="E433" s="25" t="str">
        <f>IFERROR(INDEX('Hun Demand'!S:S,MATCH(O433,'Hun Demand'!A:A,0)),"")</f>
        <v/>
      </c>
      <c r="F433" s="25" t="str">
        <f>IFERROR(INDEX('Hun Demand'!R:R,MATCH(O433,'Hun Demand'!A:A,0)),"")</f>
        <v/>
      </c>
      <c r="G433" s="25">
        <f>IFERROR(INDEX('Aub Demand'!W:W,MATCH(O433,'Aub Demand'!A:A,0)),"")</f>
        <v>0</v>
      </c>
      <c r="H433" s="25">
        <f>IFERROR(INDEX('Aub Demand'!V:V,MATCH(O433,'Aub Demand'!A:A,0)),"")</f>
        <v>0</v>
      </c>
      <c r="I433" s="25">
        <f>IFERROR(INDEX('Aub Demand'!U:U,MATCH(O433,'Aub Demand'!A:A,0)),"")</f>
        <v>0</v>
      </c>
      <c r="J433" s="25">
        <f>IFERROR(INDEX('Aub Demand'!T:T,MATCH(O433,'Aub Demand'!A:A,0)),"")</f>
        <v>0</v>
      </c>
      <c r="K433" s="25">
        <f>IFERROR(INDEX('Aub Demand'!S:S,MATCH(O433,'Aub Demand'!A:A,0)),"")</f>
        <v>0</v>
      </c>
      <c r="L433" s="25">
        <f>IFERROR(INDEX('Aub Demand'!R:R,MATCH(O433,'Aub Demand'!A:A,0)),"")</f>
        <v>0</v>
      </c>
      <c r="O433" s="27" t="s">
        <v>732</v>
      </c>
      <c r="P433" s="27" t="str">
        <f>IFERROR(INDEX('Aub Demand'!B:B,MATCH($O433,'Aub Demand'!$A:$A,0)),"")</f>
        <v>TRANQUIL CHERRY</v>
      </c>
      <c r="Q433" s="27" t="str">
        <f>IFERROR(INDEX('Aub Demand'!C:C,MATCH($O433,'Aub Demand'!$A:$A,0)),"")</f>
        <v>ARAUC</v>
      </c>
      <c r="R433" s="52">
        <f>IFERROR(IF(AR434=AR433,INDEX('Aub Demand'!K:K,MATCH($O433,'Aub Demand'!$A:$A,0))-IF(AN433="",0,AN433)+AP434,INDEX('Aub Demand'!K:K,MATCH($O433,'Aub Demand'!$A:$A,0))-IF(AN433="",0,AN433)),"")</f>
        <v>156</v>
      </c>
      <c r="S433" s="53" t="str">
        <f t="shared" si="168"/>
        <v>n/a</v>
      </c>
      <c r="T433" s="52" t="str">
        <f t="shared" si="169"/>
        <v/>
      </c>
      <c r="U433" s="52">
        <f>IFERROR(IF(AR434=AR433,INDEX('Aub Demand'!Q:Q,MATCH($O433,'Aub Demand'!$A:$A,0))-IF(AN433="",0,AN433)+AP434,INDEX('Aub Demand'!Q:Q,MATCH($O433,'Aub Demand'!$A:$A,0))-IF(AN433="",0,AN433)),"")</f>
        <v>156</v>
      </c>
      <c r="V433" s="53" t="str">
        <f t="shared" si="170"/>
        <v>n/a</v>
      </c>
      <c r="W433" s="52" t="str">
        <f t="shared" si="171"/>
        <v/>
      </c>
      <c r="X433" s="52">
        <f>IFERROR(IF(AND(AR434=AR433,AM433&lt;&gt;""),INDEX('Aub Demand'!Q:Q,MATCH($O433,'Aub Demand'!$A:$A,0))-IF(AN433="",0,AN433)+AP434+AD433+AL433,IF(AR434=AR433,INDEX('Aub Demand'!Q:Q,MATCH($O433,'Aub Demand'!$A:$A,0))-IF(AN433="",0,AN433)+AP434+AD433,IF(AM433&lt;&gt;"",INDEX('Aub Demand'!Q:Q,MATCH($O433,'Aub Demand'!$A:$A,0))-IF(AN433="",0,AN433)+AD433+AL433,INDEX('Aub Demand'!Q:Q,MATCH($O433,'Aub Demand'!$A:$A,0))-IF(AN433="",0,AN433)+AD433))),"")</f>
        <v>156</v>
      </c>
      <c r="Y433" s="53" t="str">
        <f t="shared" si="172"/>
        <v>n/a</v>
      </c>
      <c r="Z433" s="52">
        <f>IF(L433="","",INDEX('Aub Demand'!H:H,MATCH($O433,'Aub Demand'!$A:$A,0)))</f>
        <v>0</v>
      </c>
      <c r="AA433" s="52" t="str">
        <f t="shared" si="173"/>
        <v>-spike-</v>
      </c>
      <c r="AB433" s="52">
        <f>IFERROR(INDEX('Aub Demand'!L:L,MATCH($O433,'Aub Demand'!$A:$A,0)),"")</f>
        <v>0</v>
      </c>
      <c r="AC433" s="52">
        <f>IFERROR(IF(O433="","",SUMIFS('CPL Mats'!F:F,'CPL Mats'!Q:Q,AR433,'CPL Mats'!S:S,AS433)),"")</f>
        <v>0</v>
      </c>
      <c r="AF433" s="25" t="str">
        <f>IF(SUMIFS('Supp Consol'!S:S,'Supp Consol'!Y:Y,"Releasable",'Supp Consol'!A:A,O433)=0,"",SUMIFS('Supp Consol'!S:S,'Supp Consol'!Y:Y,"Releasable",'Supp Consol'!A:A,O433))</f>
        <v/>
      </c>
      <c r="AG433" s="25" t="str">
        <f>IFERROR(INDEX('Hun Demand'!Q:Q,MATCH(O433,'Hun Demand'!A:A,0)),"")</f>
        <v/>
      </c>
      <c r="AH433" s="25" t="str">
        <f>IFERROR(INDEX('Hun Demand'!H:H,MATCH($O433,'Hun Demand'!$A:$A,0)),"")</f>
        <v/>
      </c>
      <c r="AI433" s="25" t="str">
        <f>IF(SUMIFS('Supp Consol'!AA:AA,'Supp Consol'!Z:Z,"Expires this month",'Supp Consol'!A:A,O433)=0,"",SUMIFS('Supp Consol'!AA:AA,'Supp Consol'!Z:Z,"Expires this month",'Supp Consol'!A:A,O433))</f>
        <v/>
      </c>
      <c r="AJ433" s="25" t="str">
        <f>IF(SUMIFS('Supp Consol'!AA:AA,'Supp Consol'!Z:Z,"Expired Previous Months",'Supp Consol'!A:A,O433)=0,"",SUMIFS('Supp Consol'!AA:AA,'Supp Consol'!Z:Z,"Expired Previous Months",'Supp Consol'!A:A,O433))</f>
        <v/>
      </c>
      <c r="AK433" s="25" t="str">
        <f>IFERROR(INDEX('Hun Release Current'!B:B,MATCH(O433,'Hun Release Current'!A:A,0)),"")</f>
        <v/>
      </c>
      <c r="AL433" s="25" t="str">
        <f>IF(SUMIF('Prev Aub'!A:A,O433,'Prev Aub'!B:B)=0,"",SUMIF('Prev Aub'!A:A,O433,'Prev Aub'!B:B))</f>
        <v/>
      </c>
      <c r="AN433" s="25" t="s">
        <v>3790</v>
      </c>
      <c r="AO433" s="25" t="s">
        <v>3790</v>
      </c>
      <c r="AP433" s="25">
        <f t="shared" si="174"/>
        <v>0</v>
      </c>
      <c r="AQ433" s="151" t="str">
        <f>IF(SUMIFS('Supp Consol'!S:S,'Supp Consol'!A:A,O433,'Supp Consol'!I:I,"PENDING")=0,"",SUMIFS('Supp Consol'!S:S,'Supp Consol'!A:A,O433,'Supp Consol'!I:I,"PENDING"))</f>
        <v/>
      </c>
      <c r="AR433" s="27" t="str">
        <f t="shared" si="175"/>
        <v>FB414</v>
      </c>
      <c r="AS433" s="27" t="str">
        <f t="shared" si="176"/>
        <v>50</v>
      </c>
      <c r="AT433" s="27" t="str">
        <f t="shared" si="177"/>
        <v/>
      </c>
      <c r="AU433" s="27" t="str">
        <f t="shared" si="178"/>
        <v/>
      </c>
      <c r="AV433" s="27" t="str">
        <f t="shared" si="179"/>
        <v/>
      </c>
      <c r="AW433" s="27" t="str">
        <f t="shared" si="180"/>
        <v/>
      </c>
      <c r="AX433" s="27" t="str">
        <f t="shared" si="181"/>
        <v/>
      </c>
      <c r="AY433" s="27" t="str">
        <f t="shared" si="182"/>
        <v/>
      </c>
      <c r="AZ433" s="27" t="str">
        <f t="shared" si="183"/>
        <v/>
      </c>
      <c r="BA433" s="27" t="str">
        <f t="shared" si="184"/>
        <v/>
      </c>
      <c r="BB433" s="27" t="str">
        <f t="shared" si="185"/>
        <v/>
      </c>
      <c r="BC433" s="27" t="str">
        <f t="shared" si="186"/>
        <v/>
      </c>
      <c r="BD433" s="27" t="str">
        <f t="shared" si="187"/>
        <v/>
      </c>
      <c r="BE433" s="27" t="str">
        <f t="shared" si="188"/>
        <v/>
      </c>
      <c r="BF433" s="27" t="str">
        <f t="shared" si="189"/>
        <v/>
      </c>
      <c r="BG433" s="27" t="str">
        <f t="shared" si="190"/>
        <v/>
      </c>
      <c r="BH433" s="27" t="str">
        <f t="shared" si="191"/>
        <v/>
      </c>
      <c r="BI433" s="27" t="str">
        <f t="shared" si="192"/>
        <v/>
      </c>
      <c r="BJ433" s="27" t="str">
        <f t="shared" si="193"/>
        <v/>
      </c>
      <c r="BK433" s="27" t="str">
        <f t="shared" si="194"/>
        <v/>
      </c>
      <c r="BL433" s="27" t="str">
        <f t="shared" si="195"/>
        <v/>
      </c>
      <c r="BM433" s="21" t="s">
        <v>3790</v>
      </c>
    </row>
    <row r="434" spans="1:65" ht="15">
      <c r="A434" s="25" t="str">
        <f>IFERROR(INDEX('Hun Demand'!W:W,MATCH(O434,'Hun Demand'!A:A,0)),"")</f>
        <v/>
      </c>
      <c r="B434" s="25" t="str">
        <f>IFERROR(INDEX('Hun Demand'!V:V,MATCH(O434,'Hun Demand'!A:A,0)),"")</f>
        <v/>
      </c>
      <c r="C434" s="25" t="str">
        <f>IFERROR(INDEX('Hun Demand'!U:U,MATCH(O434,'Hun Demand'!A:A,0)),"")</f>
        <v/>
      </c>
      <c r="D434" s="25" t="str">
        <f>IFERROR(INDEX('Hun Demand'!T:T,MATCH(O434,'Hun Demand'!A:A,0)),"")</f>
        <v/>
      </c>
      <c r="E434" s="25" t="str">
        <f>IFERROR(INDEX('Hun Demand'!S:S,MATCH(O434,'Hun Demand'!A:A,0)),"")</f>
        <v/>
      </c>
      <c r="F434" s="25" t="str">
        <f>IFERROR(INDEX('Hun Demand'!R:R,MATCH(O434,'Hun Demand'!A:A,0)),"")</f>
        <v/>
      </c>
      <c r="G434" s="25">
        <f>IFERROR(INDEX('Aub Demand'!W:W,MATCH(O434,'Aub Demand'!A:A,0)),"")</f>
        <v>0</v>
      </c>
      <c r="H434" s="25">
        <f>IFERROR(INDEX('Aub Demand'!V:V,MATCH(O434,'Aub Demand'!A:A,0)),"")</f>
        <v>0</v>
      </c>
      <c r="I434" s="25">
        <f>IFERROR(INDEX('Aub Demand'!U:U,MATCH(O434,'Aub Demand'!A:A,0)),"")</f>
        <v>0</v>
      </c>
      <c r="J434" s="25">
        <f>IFERROR(INDEX('Aub Demand'!T:T,MATCH(O434,'Aub Demand'!A:A,0)),"")</f>
        <v>0</v>
      </c>
      <c r="K434" s="25">
        <f>IFERROR(INDEX('Aub Demand'!S:S,MATCH(O434,'Aub Demand'!A:A,0)),"")</f>
        <v>0</v>
      </c>
      <c r="L434" s="25">
        <f>IFERROR(INDEX('Aub Demand'!R:R,MATCH(O434,'Aub Demand'!A:A,0)),"")</f>
        <v>0</v>
      </c>
      <c r="O434" s="27" t="s">
        <v>734</v>
      </c>
      <c r="P434" s="27" t="str">
        <f>IFERROR(INDEX('Aub Demand'!B:B,MATCH($O434,'Aub Demand'!$A:$A,0)),"")</f>
        <v>SAND MAPLE</v>
      </c>
      <c r="Q434" s="27" t="str">
        <f>IFERROR(INDEX('Aub Demand'!C:C,MATCH($O434,'Aub Demand'!$A:$A,0)),"")</f>
        <v>ARAUC</v>
      </c>
      <c r="R434" s="52">
        <f>IFERROR(IF(AR435=AR434,INDEX('Aub Demand'!K:K,MATCH($O434,'Aub Demand'!$A:$A,0))-IF(AN434="",0,AN434)+AP435,INDEX('Aub Demand'!K:K,MATCH($O434,'Aub Demand'!$A:$A,0))-IF(AN434="",0,AN434)),"")</f>
        <v>203</v>
      </c>
      <c r="S434" s="53" t="str">
        <f t="shared" si="168"/>
        <v>n/a</v>
      </c>
      <c r="T434" s="52" t="str">
        <f t="shared" si="169"/>
        <v/>
      </c>
      <c r="U434" s="52">
        <f>IFERROR(IF(AR435=AR434,INDEX('Aub Demand'!Q:Q,MATCH($O434,'Aub Demand'!$A:$A,0))-IF(AN434="",0,AN434)+AP435,INDEX('Aub Demand'!Q:Q,MATCH($O434,'Aub Demand'!$A:$A,0))-IF(AN434="",0,AN434)),"")</f>
        <v>203</v>
      </c>
      <c r="V434" s="53" t="str">
        <f t="shared" si="170"/>
        <v>n/a</v>
      </c>
      <c r="W434" s="52" t="str">
        <f t="shared" si="171"/>
        <v/>
      </c>
      <c r="X434" s="52">
        <f>IFERROR(IF(AND(AR435=AR434,AM434&lt;&gt;""),INDEX('Aub Demand'!Q:Q,MATCH($O434,'Aub Demand'!$A:$A,0))-IF(AN434="",0,AN434)+AP435+AD434+AL434,IF(AR435=AR434,INDEX('Aub Demand'!Q:Q,MATCH($O434,'Aub Demand'!$A:$A,0))-IF(AN434="",0,AN434)+AP435+AD434,IF(AM434&lt;&gt;"",INDEX('Aub Demand'!Q:Q,MATCH($O434,'Aub Demand'!$A:$A,0))-IF(AN434="",0,AN434)+AD434+AL434,INDEX('Aub Demand'!Q:Q,MATCH($O434,'Aub Demand'!$A:$A,0))-IF(AN434="",0,AN434)+AD434))),"")</f>
        <v>203</v>
      </c>
      <c r="Y434" s="53" t="str">
        <f t="shared" si="172"/>
        <v>n/a</v>
      </c>
      <c r="Z434" s="52">
        <f>IF(L434="","",INDEX('Aub Demand'!H:H,MATCH($O434,'Aub Demand'!$A:$A,0)))</f>
        <v>0</v>
      </c>
      <c r="AA434" s="52" t="str">
        <f t="shared" si="173"/>
        <v>-spike-</v>
      </c>
      <c r="AB434" s="52">
        <f>IFERROR(INDEX('Aub Demand'!L:L,MATCH($O434,'Aub Demand'!$A:$A,0)),"")</f>
        <v>0</v>
      </c>
      <c r="AC434" s="52">
        <f>IFERROR(IF(O434="","",SUMIFS('CPL Mats'!F:F,'CPL Mats'!Q:Q,AR434,'CPL Mats'!S:S,AS434)),"")</f>
        <v>0</v>
      </c>
      <c r="AF434" s="25" t="str">
        <f>IF(SUMIFS('Supp Consol'!S:S,'Supp Consol'!Y:Y,"Releasable",'Supp Consol'!A:A,O434)=0,"",SUMIFS('Supp Consol'!S:S,'Supp Consol'!Y:Y,"Releasable",'Supp Consol'!A:A,O434))</f>
        <v/>
      </c>
      <c r="AG434" s="25" t="str">
        <f>IFERROR(INDEX('Hun Demand'!Q:Q,MATCH(O434,'Hun Demand'!A:A,0)),"")</f>
        <v/>
      </c>
      <c r="AH434" s="25" t="str">
        <f>IFERROR(INDEX('Hun Demand'!H:H,MATCH($O434,'Hun Demand'!$A:$A,0)),"")</f>
        <v/>
      </c>
      <c r="AI434" s="25" t="str">
        <f>IF(SUMIFS('Supp Consol'!AA:AA,'Supp Consol'!Z:Z,"Expires this month",'Supp Consol'!A:A,O434)=0,"",SUMIFS('Supp Consol'!AA:AA,'Supp Consol'!Z:Z,"Expires this month",'Supp Consol'!A:A,O434))</f>
        <v/>
      </c>
      <c r="AJ434" s="25" t="str">
        <f>IF(SUMIFS('Supp Consol'!AA:AA,'Supp Consol'!Z:Z,"Expired Previous Months",'Supp Consol'!A:A,O434)=0,"",SUMIFS('Supp Consol'!AA:AA,'Supp Consol'!Z:Z,"Expired Previous Months",'Supp Consol'!A:A,O434))</f>
        <v/>
      </c>
      <c r="AK434" s="25" t="str">
        <f>IFERROR(INDEX('Hun Release Current'!B:B,MATCH(O434,'Hun Release Current'!A:A,0)),"")</f>
        <v/>
      </c>
      <c r="AL434" s="25" t="str">
        <f>IF(SUMIF('Prev Aub'!A:A,O434,'Prev Aub'!B:B)=0,"",SUMIF('Prev Aub'!A:A,O434,'Prev Aub'!B:B))</f>
        <v/>
      </c>
      <c r="AN434" s="25" t="s">
        <v>3790</v>
      </c>
      <c r="AO434" s="25" t="s">
        <v>3790</v>
      </c>
      <c r="AP434" s="25">
        <f t="shared" si="174"/>
        <v>0</v>
      </c>
      <c r="AQ434" s="151" t="str">
        <f>IF(SUMIFS('Supp Consol'!S:S,'Supp Consol'!A:A,O434,'Supp Consol'!I:I,"PENDING")=0,"",SUMIFS('Supp Consol'!S:S,'Supp Consol'!A:A,O434,'Supp Consol'!I:I,"PENDING"))</f>
        <v/>
      </c>
      <c r="AR434" s="27" t="str">
        <f t="shared" si="175"/>
        <v>FB415</v>
      </c>
      <c r="AS434" s="27" t="str">
        <f t="shared" si="176"/>
        <v>50</v>
      </c>
      <c r="AT434" s="27" t="str">
        <f t="shared" si="177"/>
        <v/>
      </c>
      <c r="AU434" s="27" t="str">
        <f t="shared" si="178"/>
        <v/>
      </c>
      <c r="AV434" s="27" t="str">
        <f t="shared" si="179"/>
        <v/>
      </c>
      <c r="AW434" s="27" t="str">
        <f t="shared" si="180"/>
        <v/>
      </c>
      <c r="AX434" s="27" t="str">
        <f t="shared" si="181"/>
        <v/>
      </c>
      <c r="AY434" s="27" t="str">
        <f t="shared" si="182"/>
        <v/>
      </c>
      <c r="AZ434" s="27" t="str">
        <f t="shared" si="183"/>
        <v/>
      </c>
      <c r="BA434" s="27" t="str">
        <f t="shared" si="184"/>
        <v/>
      </c>
      <c r="BB434" s="27" t="str">
        <f t="shared" si="185"/>
        <v/>
      </c>
      <c r="BC434" s="27" t="str">
        <f t="shared" si="186"/>
        <v/>
      </c>
      <c r="BD434" s="27" t="str">
        <f t="shared" si="187"/>
        <v/>
      </c>
      <c r="BE434" s="27" t="str">
        <f t="shared" si="188"/>
        <v/>
      </c>
      <c r="BF434" s="27" t="str">
        <f t="shared" si="189"/>
        <v/>
      </c>
      <c r="BG434" s="27" t="str">
        <f t="shared" si="190"/>
        <v/>
      </c>
      <c r="BH434" s="27" t="str">
        <f t="shared" si="191"/>
        <v/>
      </c>
      <c r="BI434" s="27" t="str">
        <f t="shared" si="192"/>
        <v/>
      </c>
      <c r="BJ434" s="27" t="str">
        <f t="shared" si="193"/>
        <v/>
      </c>
      <c r="BK434" s="27" t="str">
        <f t="shared" si="194"/>
        <v/>
      </c>
      <c r="BL434" s="27" t="str">
        <f t="shared" si="195"/>
        <v/>
      </c>
      <c r="BM434" s="21" t="s">
        <v>3790</v>
      </c>
    </row>
    <row r="435" spans="1:65" ht="15">
      <c r="A435" s="25" t="str">
        <f>IFERROR(INDEX('Hun Demand'!W:W,MATCH(O435,'Hun Demand'!A:A,0)),"")</f>
        <v/>
      </c>
      <c r="B435" s="25" t="str">
        <f>IFERROR(INDEX('Hun Demand'!V:V,MATCH(O435,'Hun Demand'!A:A,0)),"")</f>
        <v/>
      </c>
      <c r="C435" s="25" t="str">
        <f>IFERROR(INDEX('Hun Demand'!U:U,MATCH(O435,'Hun Demand'!A:A,0)),"")</f>
        <v/>
      </c>
      <c r="D435" s="25" t="str">
        <f>IFERROR(INDEX('Hun Demand'!T:T,MATCH(O435,'Hun Demand'!A:A,0)),"")</f>
        <v/>
      </c>
      <c r="E435" s="25" t="str">
        <f>IFERROR(INDEX('Hun Demand'!S:S,MATCH(O435,'Hun Demand'!A:A,0)),"")</f>
        <v/>
      </c>
      <c r="F435" s="25" t="str">
        <f>IFERROR(INDEX('Hun Demand'!R:R,MATCH(O435,'Hun Demand'!A:A,0)),"")</f>
        <v/>
      </c>
      <c r="G435" s="25">
        <f>IFERROR(INDEX('Aub Demand'!W:W,MATCH(O435,'Aub Demand'!A:A,0)),"")</f>
        <v>0</v>
      </c>
      <c r="H435" s="25">
        <f>IFERROR(INDEX('Aub Demand'!V:V,MATCH(O435,'Aub Demand'!A:A,0)),"")</f>
        <v>0</v>
      </c>
      <c r="I435" s="25">
        <f>IFERROR(INDEX('Aub Demand'!U:U,MATCH(O435,'Aub Demand'!A:A,0)),"")</f>
        <v>0</v>
      </c>
      <c r="J435" s="25">
        <f>IFERROR(INDEX('Aub Demand'!T:T,MATCH(O435,'Aub Demand'!A:A,0)),"")</f>
        <v>0</v>
      </c>
      <c r="K435" s="25">
        <f>IFERROR(INDEX('Aub Demand'!S:S,MATCH(O435,'Aub Demand'!A:A,0)),"")</f>
        <v>0</v>
      </c>
      <c r="L435" s="25">
        <f>IFERROR(INDEX('Aub Demand'!R:R,MATCH(O435,'Aub Demand'!A:A,0)),"")</f>
        <v>0</v>
      </c>
      <c r="O435" s="27" t="s">
        <v>736</v>
      </c>
      <c r="P435" s="27" t="str">
        <f>IFERROR(INDEX('Aub Demand'!B:B,MATCH($O435,'Aub Demand'!$A:$A,0)),"")</f>
        <v>CENTURY WALNUT</v>
      </c>
      <c r="Q435" s="27" t="str">
        <f>IFERROR(INDEX('Aub Demand'!C:C,MATCH($O435,'Aub Demand'!$A:$A,0)),"")</f>
        <v>ARAUC</v>
      </c>
      <c r="R435" s="52">
        <f>IFERROR(IF(AR436=AR435,INDEX('Aub Demand'!K:K,MATCH($O435,'Aub Demand'!$A:$A,0))-IF(AN435="",0,AN435)+AP436,INDEX('Aub Demand'!K:K,MATCH($O435,'Aub Demand'!$A:$A,0))-IF(AN435="",0,AN435)),"")</f>
        <v>176</v>
      </c>
      <c r="S435" s="53" t="str">
        <f t="shared" si="168"/>
        <v>n/a</v>
      </c>
      <c r="T435" s="52" t="str">
        <f t="shared" si="169"/>
        <v/>
      </c>
      <c r="U435" s="52">
        <f>IFERROR(IF(AR436=AR435,INDEX('Aub Demand'!Q:Q,MATCH($O435,'Aub Demand'!$A:$A,0))-IF(AN435="",0,AN435)+AP436,INDEX('Aub Demand'!Q:Q,MATCH($O435,'Aub Demand'!$A:$A,0))-IF(AN435="",0,AN435)),"")</f>
        <v>176</v>
      </c>
      <c r="V435" s="53" t="str">
        <f t="shared" si="170"/>
        <v>n/a</v>
      </c>
      <c r="W435" s="52" t="str">
        <f t="shared" si="171"/>
        <v/>
      </c>
      <c r="X435" s="52">
        <f>IFERROR(IF(AND(AR436=AR435,AM435&lt;&gt;""),INDEX('Aub Demand'!Q:Q,MATCH($O435,'Aub Demand'!$A:$A,0))-IF(AN435="",0,AN435)+AP436+AD435+AL435,IF(AR436=AR435,INDEX('Aub Demand'!Q:Q,MATCH($O435,'Aub Demand'!$A:$A,0))-IF(AN435="",0,AN435)+AP436+AD435,IF(AM435&lt;&gt;"",INDEX('Aub Demand'!Q:Q,MATCH($O435,'Aub Demand'!$A:$A,0))-IF(AN435="",0,AN435)+AD435+AL435,INDEX('Aub Demand'!Q:Q,MATCH($O435,'Aub Demand'!$A:$A,0))-IF(AN435="",0,AN435)+AD435))),"")</f>
        <v>176</v>
      </c>
      <c r="Y435" s="53" t="str">
        <f t="shared" si="172"/>
        <v>n/a</v>
      </c>
      <c r="Z435" s="52">
        <f>IF(L435="","",INDEX('Aub Demand'!H:H,MATCH($O435,'Aub Demand'!$A:$A,0)))</f>
        <v>0</v>
      </c>
      <c r="AA435" s="52" t="str">
        <f t="shared" si="173"/>
        <v>-spike-</v>
      </c>
      <c r="AB435" s="52">
        <f>IFERROR(INDEX('Aub Demand'!L:L,MATCH($O435,'Aub Demand'!$A:$A,0)),"")</f>
        <v>0</v>
      </c>
      <c r="AC435" s="52">
        <f>IFERROR(IF(O435="","",SUMIFS('CPL Mats'!F:F,'CPL Mats'!Q:Q,AR435,'CPL Mats'!S:S,AS435)),"")</f>
        <v>0</v>
      </c>
      <c r="AF435" s="25" t="str">
        <f>IF(SUMIFS('Supp Consol'!S:S,'Supp Consol'!Y:Y,"Releasable",'Supp Consol'!A:A,O435)=0,"",SUMIFS('Supp Consol'!S:S,'Supp Consol'!Y:Y,"Releasable",'Supp Consol'!A:A,O435))</f>
        <v/>
      </c>
      <c r="AG435" s="25" t="str">
        <f>IFERROR(INDEX('Hun Demand'!Q:Q,MATCH(O435,'Hun Demand'!A:A,0)),"")</f>
        <v/>
      </c>
      <c r="AH435" s="25" t="str">
        <f>IFERROR(INDEX('Hun Demand'!H:H,MATCH($O435,'Hun Demand'!$A:$A,0)),"")</f>
        <v/>
      </c>
      <c r="AI435" s="25" t="str">
        <f>IF(SUMIFS('Supp Consol'!AA:AA,'Supp Consol'!Z:Z,"Expires this month",'Supp Consol'!A:A,O435)=0,"",SUMIFS('Supp Consol'!AA:AA,'Supp Consol'!Z:Z,"Expires this month",'Supp Consol'!A:A,O435))</f>
        <v/>
      </c>
      <c r="AJ435" s="25" t="str">
        <f>IF(SUMIFS('Supp Consol'!AA:AA,'Supp Consol'!Z:Z,"Expired Previous Months",'Supp Consol'!A:A,O435)=0,"",SUMIFS('Supp Consol'!AA:AA,'Supp Consol'!Z:Z,"Expired Previous Months",'Supp Consol'!A:A,O435))</f>
        <v/>
      </c>
      <c r="AK435" s="25" t="str">
        <f>IFERROR(INDEX('Hun Release Current'!B:B,MATCH(O435,'Hun Release Current'!A:A,0)),"")</f>
        <v/>
      </c>
      <c r="AL435" s="25" t="str">
        <f>IF(SUMIF('Prev Aub'!A:A,O435,'Prev Aub'!B:B)=0,"",SUMIF('Prev Aub'!A:A,O435,'Prev Aub'!B:B))</f>
        <v/>
      </c>
      <c r="AN435" s="25" t="s">
        <v>3790</v>
      </c>
      <c r="AO435" s="25" t="s">
        <v>3790</v>
      </c>
      <c r="AP435" s="25">
        <f t="shared" si="174"/>
        <v>0</v>
      </c>
      <c r="AQ435" s="151" t="str">
        <f>IF(SUMIFS('Supp Consol'!S:S,'Supp Consol'!A:A,O435,'Supp Consol'!I:I,"PENDING")=0,"",SUMIFS('Supp Consol'!S:S,'Supp Consol'!A:A,O435,'Supp Consol'!I:I,"PENDING"))</f>
        <v/>
      </c>
      <c r="AR435" s="27" t="str">
        <f t="shared" si="175"/>
        <v>FB416</v>
      </c>
      <c r="AS435" s="27" t="str">
        <f t="shared" si="176"/>
        <v>50</v>
      </c>
      <c r="AT435" s="27" t="str">
        <f t="shared" si="177"/>
        <v/>
      </c>
      <c r="AU435" s="27" t="str">
        <f t="shared" si="178"/>
        <v/>
      </c>
      <c r="AV435" s="27" t="str">
        <f t="shared" si="179"/>
        <v/>
      </c>
      <c r="AW435" s="27" t="str">
        <f t="shared" si="180"/>
        <v/>
      </c>
      <c r="AX435" s="27" t="str">
        <f t="shared" si="181"/>
        <v/>
      </c>
      <c r="AY435" s="27" t="str">
        <f t="shared" si="182"/>
        <v/>
      </c>
      <c r="AZ435" s="27" t="str">
        <f t="shared" si="183"/>
        <v/>
      </c>
      <c r="BA435" s="27" t="str">
        <f t="shared" si="184"/>
        <v/>
      </c>
      <c r="BB435" s="27" t="str">
        <f t="shared" si="185"/>
        <v/>
      </c>
      <c r="BC435" s="27" t="str">
        <f t="shared" si="186"/>
        <v/>
      </c>
      <c r="BD435" s="27" t="str">
        <f t="shared" si="187"/>
        <v/>
      </c>
      <c r="BE435" s="27" t="str">
        <f t="shared" si="188"/>
        <v/>
      </c>
      <c r="BF435" s="27" t="str">
        <f t="shared" si="189"/>
        <v/>
      </c>
      <c r="BG435" s="27" t="str">
        <f t="shared" si="190"/>
        <v/>
      </c>
      <c r="BH435" s="27" t="str">
        <f t="shared" si="191"/>
        <v/>
      </c>
      <c r="BI435" s="27" t="str">
        <f t="shared" si="192"/>
        <v/>
      </c>
      <c r="BJ435" s="27" t="str">
        <f t="shared" si="193"/>
        <v/>
      </c>
      <c r="BK435" s="27" t="str">
        <f t="shared" si="194"/>
        <v/>
      </c>
      <c r="BL435" s="27" t="str">
        <f t="shared" si="195"/>
        <v/>
      </c>
      <c r="BM435" s="21" t="s">
        <v>3790</v>
      </c>
    </row>
    <row r="436" spans="1:65" ht="15">
      <c r="A436" s="25" t="str">
        <f>IFERROR(INDEX('Hun Demand'!W:W,MATCH(O436,'Hun Demand'!A:A,0)),"")</f>
        <v/>
      </c>
      <c r="B436" s="25" t="str">
        <f>IFERROR(INDEX('Hun Demand'!V:V,MATCH(O436,'Hun Demand'!A:A,0)),"")</f>
        <v/>
      </c>
      <c r="C436" s="25" t="str">
        <f>IFERROR(INDEX('Hun Demand'!U:U,MATCH(O436,'Hun Demand'!A:A,0)),"")</f>
        <v/>
      </c>
      <c r="D436" s="25" t="str">
        <f>IFERROR(INDEX('Hun Demand'!T:T,MATCH(O436,'Hun Demand'!A:A,0)),"")</f>
        <v/>
      </c>
      <c r="E436" s="25" t="str">
        <f>IFERROR(INDEX('Hun Demand'!S:S,MATCH(O436,'Hun Demand'!A:A,0)),"")</f>
        <v/>
      </c>
      <c r="F436" s="25" t="str">
        <f>IFERROR(INDEX('Hun Demand'!R:R,MATCH(O436,'Hun Demand'!A:A,0)),"")</f>
        <v/>
      </c>
      <c r="G436" s="25">
        <f>IFERROR(INDEX('Aub Demand'!W:W,MATCH(O436,'Aub Demand'!A:A,0)),"")</f>
        <v>0</v>
      </c>
      <c r="H436" s="25">
        <f>IFERROR(INDEX('Aub Demand'!V:V,MATCH(O436,'Aub Demand'!A:A,0)),"")</f>
        <v>0</v>
      </c>
      <c r="I436" s="25">
        <f>IFERROR(INDEX('Aub Demand'!U:U,MATCH(O436,'Aub Demand'!A:A,0)),"")</f>
        <v>0</v>
      </c>
      <c r="J436" s="25">
        <f>IFERROR(INDEX('Aub Demand'!T:T,MATCH(O436,'Aub Demand'!A:A,0)),"")</f>
        <v>0</v>
      </c>
      <c r="K436" s="25">
        <f>IFERROR(INDEX('Aub Demand'!S:S,MATCH(O436,'Aub Demand'!A:A,0)),"")</f>
        <v>0</v>
      </c>
      <c r="L436" s="25">
        <f>IFERROR(INDEX('Aub Demand'!R:R,MATCH(O436,'Aub Demand'!A:A,0)),"")</f>
        <v>0</v>
      </c>
      <c r="O436" s="27" t="s">
        <v>738</v>
      </c>
      <c r="P436" s="27" t="str">
        <f>IFERROR(INDEX('Aub Demand'!B:B,MATCH($O436,'Aub Demand'!$A:$A,0)),"")</f>
        <v>LOFT RECLAMATION MAP</v>
      </c>
      <c r="Q436" s="27" t="str">
        <f>IFERROR(INDEX('Aub Demand'!C:C,MATCH($O436,'Aub Demand'!$A:$A,0)),"")</f>
        <v>ARAUC</v>
      </c>
      <c r="R436" s="52">
        <f>IFERROR(IF(AR437=AR436,INDEX('Aub Demand'!K:K,MATCH($O436,'Aub Demand'!$A:$A,0))-IF(AN436="",0,AN436)+AP437,INDEX('Aub Demand'!K:K,MATCH($O436,'Aub Demand'!$A:$A,0))-IF(AN436="",0,AN436)),"")</f>
        <v>131</v>
      </c>
      <c r="S436" s="53" t="str">
        <f t="shared" si="168"/>
        <v>n/a</v>
      </c>
      <c r="T436" s="52" t="str">
        <f t="shared" si="169"/>
        <v/>
      </c>
      <c r="U436" s="52">
        <f>IFERROR(IF(AR437=AR436,INDEX('Aub Demand'!Q:Q,MATCH($O436,'Aub Demand'!$A:$A,0))-IF(AN436="",0,AN436)+AP437,INDEX('Aub Demand'!Q:Q,MATCH($O436,'Aub Demand'!$A:$A,0))-IF(AN436="",0,AN436)),"")</f>
        <v>131</v>
      </c>
      <c r="V436" s="53" t="str">
        <f t="shared" si="170"/>
        <v>n/a</v>
      </c>
      <c r="W436" s="52" t="str">
        <f t="shared" si="171"/>
        <v/>
      </c>
      <c r="X436" s="52">
        <f>IFERROR(IF(AND(AR437=AR436,AM436&lt;&gt;""),INDEX('Aub Demand'!Q:Q,MATCH($O436,'Aub Demand'!$A:$A,0))-IF(AN436="",0,AN436)+AP437+AD436+AL436,IF(AR437=AR436,INDEX('Aub Demand'!Q:Q,MATCH($O436,'Aub Demand'!$A:$A,0))-IF(AN436="",0,AN436)+AP437+AD436,IF(AM436&lt;&gt;"",INDEX('Aub Demand'!Q:Q,MATCH($O436,'Aub Demand'!$A:$A,0))-IF(AN436="",0,AN436)+AD436+AL436,INDEX('Aub Demand'!Q:Q,MATCH($O436,'Aub Demand'!$A:$A,0))-IF(AN436="",0,AN436)+AD436))),"")</f>
        <v>131</v>
      </c>
      <c r="Y436" s="53" t="str">
        <f t="shared" si="172"/>
        <v>n/a</v>
      </c>
      <c r="Z436" s="52">
        <f>IF(L436="","",INDEX('Aub Demand'!H:H,MATCH($O436,'Aub Demand'!$A:$A,0)))</f>
        <v>0</v>
      </c>
      <c r="AA436" s="52" t="str">
        <f t="shared" si="173"/>
        <v>-spike-</v>
      </c>
      <c r="AB436" s="52">
        <f>IFERROR(INDEX('Aub Demand'!L:L,MATCH($O436,'Aub Demand'!$A:$A,0)),"")</f>
        <v>0</v>
      </c>
      <c r="AC436" s="52">
        <f>IFERROR(IF(O436="","",SUMIFS('CPL Mats'!F:F,'CPL Mats'!Q:Q,AR436,'CPL Mats'!S:S,AS436)),"")</f>
        <v>0</v>
      </c>
      <c r="AF436" s="25" t="str">
        <f>IF(SUMIFS('Supp Consol'!S:S,'Supp Consol'!Y:Y,"Releasable",'Supp Consol'!A:A,O436)=0,"",SUMIFS('Supp Consol'!S:S,'Supp Consol'!Y:Y,"Releasable",'Supp Consol'!A:A,O436))</f>
        <v/>
      </c>
      <c r="AG436" s="25" t="str">
        <f>IFERROR(INDEX('Hun Demand'!Q:Q,MATCH(O436,'Hun Demand'!A:A,0)),"")</f>
        <v/>
      </c>
      <c r="AH436" s="25" t="str">
        <f>IFERROR(INDEX('Hun Demand'!H:H,MATCH($O436,'Hun Demand'!$A:$A,0)),"")</f>
        <v/>
      </c>
      <c r="AI436" s="25" t="str">
        <f>IF(SUMIFS('Supp Consol'!AA:AA,'Supp Consol'!Z:Z,"Expires this month",'Supp Consol'!A:A,O436)=0,"",SUMIFS('Supp Consol'!AA:AA,'Supp Consol'!Z:Z,"Expires this month",'Supp Consol'!A:A,O436))</f>
        <v/>
      </c>
      <c r="AJ436" s="25" t="str">
        <f>IF(SUMIFS('Supp Consol'!AA:AA,'Supp Consol'!Z:Z,"Expired Previous Months",'Supp Consol'!A:A,O436)=0,"",SUMIFS('Supp Consol'!AA:AA,'Supp Consol'!Z:Z,"Expired Previous Months",'Supp Consol'!A:A,O436))</f>
        <v/>
      </c>
      <c r="AK436" s="25" t="str">
        <f>IFERROR(INDEX('Hun Release Current'!B:B,MATCH(O436,'Hun Release Current'!A:A,0)),"")</f>
        <v/>
      </c>
      <c r="AL436" s="25" t="str">
        <f>IF(SUMIF('Prev Aub'!A:A,O436,'Prev Aub'!B:B)=0,"",SUMIF('Prev Aub'!A:A,O436,'Prev Aub'!B:B))</f>
        <v/>
      </c>
      <c r="AN436" s="25" t="s">
        <v>3790</v>
      </c>
      <c r="AO436" s="25" t="s">
        <v>3790</v>
      </c>
      <c r="AP436" s="25">
        <f t="shared" si="174"/>
        <v>0</v>
      </c>
      <c r="AQ436" s="151" t="str">
        <f>IF(SUMIFS('Supp Consol'!S:S,'Supp Consol'!A:A,O436,'Supp Consol'!I:I,"PENDING")=0,"",SUMIFS('Supp Consol'!S:S,'Supp Consol'!A:A,O436,'Supp Consol'!I:I,"PENDING"))</f>
        <v/>
      </c>
      <c r="AR436" s="27" t="str">
        <f t="shared" si="175"/>
        <v>FB421</v>
      </c>
      <c r="AS436" s="27" t="str">
        <f t="shared" si="176"/>
        <v>62</v>
      </c>
      <c r="AT436" s="27" t="str">
        <f t="shared" si="177"/>
        <v/>
      </c>
      <c r="AU436" s="27" t="str">
        <f t="shared" si="178"/>
        <v/>
      </c>
      <c r="AV436" s="27" t="str">
        <f t="shared" si="179"/>
        <v/>
      </c>
      <c r="AW436" s="27" t="str">
        <f t="shared" si="180"/>
        <v/>
      </c>
      <c r="AX436" s="27" t="str">
        <f t="shared" si="181"/>
        <v/>
      </c>
      <c r="AY436" s="27" t="str">
        <f t="shared" si="182"/>
        <v/>
      </c>
      <c r="AZ436" s="27" t="str">
        <f t="shared" si="183"/>
        <v/>
      </c>
      <c r="BA436" s="27" t="str">
        <f t="shared" si="184"/>
        <v/>
      </c>
      <c r="BB436" s="27" t="str">
        <f t="shared" si="185"/>
        <v/>
      </c>
      <c r="BC436" s="27" t="str">
        <f t="shared" si="186"/>
        <v/>
      </c>
      <c r="BD436" s="27" t="str">
        <f t="shared" si="187"/>
        <v/>
      </c>
      <c r="BE436" s="27" t="str">
        <f t="shared" si="188"/>
        <v/>
      </c>
      <c r="BF436" s="27" t="str">
        <f t="shared" si="189"/>
        <v/>
      </c>
      <c r="BG436" s="27" t="str">
        <f t="shared" si="190"/>
        <v/>
      </c>
      <c r="BH436" s="27" t="str">
        <f t="shared" si="191"/>
        <v/>
      </c>
      <c r="BI436" s="27" t="str">
        <f t="shared" si="192"/>
        <v/>
      </c>
      <c r="BJ436" s="27" t="str">
        <f t="shared" si="193"/>
        <v/>
      </c>
      <c r="BK436" s="27" t="str">
        <f t="shared" si="194"/>
        <v/>
      </c>
      <c r="BL436" s="27" t="str">
        <f t="shared" si="195"/>
        <v/>
      </c>
      <c r="BM436" s="21" t="s">
        <v>3790</v>
      </c>
    </row>
    <row r="437" spans="1:65" ht="15">
      <c r="A437" s="25" t="str">
        <f>IFERROR(INDEX('Hun Demand'!W:W,MATCH(O437,'Hun Demand'!A:A,0)),"")</f>
        <v/>
      </c>
      <c r="B437" s="25" t="str">
        <f>IFERROR(INDEX('Hun Demand'!V:V,MATCH(O437,'Hun Demand'!A:A,0)),"")</f>
        <v/>
      </c>
      <c r="C437" s="25" t="str">
        <f>IFERROR(INDEX('Hun Demand'!U:U,MATCH(O437,'Hun Demand'!A:A,0)),"")</f>
        <v/>
      </c>
      <c r="D437" s="25" t="str">
        <f>IFERROR(INDEX('Hun Demand'!T:T,MATCH(O437,'Hun Demand'!A:A,0)),"")</f>
        <v/>
      </c>
      <c r="E437" s="25" t="str">
        <f>IFERROR(INDEX('Hun Demand'!S:S,MATCH(O437,'Hun Demand'!A:A,0)),"")</f>
        <v/>
      </c>
      <c r="F437" s="25" t="str">
        <f>IFERROR(INDEX('Hun Demand'!R:R,MATCH(O437,'Hun Demand'!A:A,0)),"")</f>
        <v/>
      </c>
      <c r="G437" s="25">
        <f>IFERROR(INDEX('Aub Demand'!W:W,MATCH(O437,'Aub Demand'!A:A,0)),"")</f>
        <v>0</v>
      </c>
      <c r="H437" s="25">
        <f>IFERROR(INDEX('Aub Demand'!V:V,MATCH(O437,'Aub Demand'!A:A,0)),"")</f>
        <v>0</v>
      </c>
      <c r="I437" s="25">
        <f>IFERROR(INDEX('Aub Demand'!U:U,MATCH(O437,'Aub Demand'!A:A,0)),"")</f>
        <v>0</v>
      </c>
      <c r="J437" s="25">
        <f>IFERROR(INDEX('Aub Demand'!T:T,MATCH(O437,'Aub Demand'!A:A,0)),"")</f>
        <v>0</v>
      </c>
      <c r="K437" s="25">
        <f>IFERROR(INDEX('Aub Demand'!S:S,MATCH(O437,'Aub Demand'!A:A,0)),"")</f>
        <v>0</v>
      </c>
      <c r="L437" s="25">
        <f>IFERROR(INDEX('Aub Demand'!R:R,MATCH(O437,'Aub Demand'!A:A,0)),"")</f>
        <v>0</v>
      </c>
      <c r="O437" s="27" t="s">
        <v>740</v>
      </c>
      <c r="P437" s="27" t="str">
        <f>IFERROR(INDEX('Aub Demand'!B:B,MATCH($O437,'Aub Demand'!$A:$A,0)),"")</f>
        <v>AUBURN CHERRY</v>
      </c>
      <c r="Q437" s="27" t="str">
        <f>IFERROR(INDEX('Aub Demand'!C:C,MATCH($O437,'Aub Demand'!$A:$A,0)),"")</f>
        <v>ARAUC</v>
      </c>
      <c r="R437" s="52">
        <f>IFERROR(IF(AR438=AR437,INDEX('Aub Demand'!K:K,MATCH($O437,'Aub Demand'!$A:$A,0))-IF(AN437="",0,AN437)+AP438,INDEX('Aub Demand'!K:K,MATCH($O437,'Aub Demand'!$A:$A,0))-IF(AN437="",0,AN437)),"")</f>
        <v>103</v>
      </c>
      <c r="S437" s="53" t="str">
        <f t="shared" si="168"/>
        <v>n/a</v>
      </c>
      <c r="T437" s="52" t="str">
        <f t="shared" si="169"/>
        <v/>
      </c>
      <c r="U437" s="52">
        <f>IFERROR(IF(AR438=AR437,INDEX('Aub Demand'!Q:Q,MATCH($O437,'Aub Demand'!$A:$A,0))-IF(AN437="",0,AN437)+AP438,INDEX('Aub Demand'!Q:Q,MATCH($O437,'Aub Demand'!$A:$A,0))-IF(AN437="",0,AN437)),"")</f>
        <v>103</v>
      </c>
      <c r="V437" s="53" t="str">
        <f t="shared" si="170"/>
        <v>n/a</v>
      </c>
      <c r="W437" s="52" t="str">
        <f t="shared" si="171"/>
        <v/>
      </c>
      <c r="X437" s="52">
        <f>IFERROR(IF(AND(AR438=AR437,AM437&lt;&gt;""),INDEX('Aub Demand'!Q:Q,MATCH($O437,'Aub Demand'!$A:$A,0))-IF(AN437="",0,AN437)+AP438+AD437+AL437,IF(AR438=AR437,INDEX('Aub Demand'!Q:Q,MATCH($O437,'Aub Demand'!$A:$A,0))-IF(AN437="",0,AN437)+AP438+AD437,IF(AM437&lt;&gt;"",INDEX('Aub Demand'!Q:Q,MATCH($O437,'Aub Demand'!$A:$A,0))-IF(AN437="",0,AN437)+AD437+AL437,INDEX('Aub Demand'!Q:Q,MATCH($O437,'Aub Demand'!$A:$A,0))-IF(AN437="",0,AN437)+AD437))),"")</f>
        <v>103</v>
      </c>
      <c r="Y437" s="53" t="str">
        <f t="shared" si="172"/>
        <v>n/a</v>
      </c>
      <c r="Z437" s="52">
        <f>IF(L437="","",INDEX('Aub Demand'!H:H,MATCH($O437,'Aub Demand'!$A:$A,0)))</f>
        <v>0</v>
      </c>
      <c r="AA437" s="52" t="str">
        <f t="shared" si="173"/>
        <v>-spike-</v>
      </c>
      <c r="AB437" s="52">
        <f>IFERROR(INDEX('Aub Demand'!L:L,MATCH($O437,'Aub Demand'!$A:$A,0)),"")</f>
        <v>0</v>
      </c>
      <c r="AC437" s="52">
        <f>IFERROR(IF(O437="","",SUMIFS('CPL Mats'!F:F,'CPL Mats'!Q:Q,AR437,'CPL Mats'!S:S,AS437)),"")</f>
        <v>0</v>
      </c>
      <c r="AF437" s="25" t="str">
        <f>IF(SUMIFS('Supp Consol'!S:S,'Supp Consol'!Y:Y,"Releasable",'Supp Consol'!A:A,O437)=0,"",SUMIFS('Supp Consol'!S:S,'Supp Consol'!Y:Y,"Releasable",'Supp Consol'!A:A,O437))</f>
        <v/>
      </c>
      <c r="AG437" s="25" t="str">
        <f>IFERROR(INDEX('Hun Demand'!Q:Q,MATCH(O437,'Hun Demand'!A:A,0)),"")</f>
        <v/>
      </c>
      <c r="AH437" s="25" t="str">
        <f>IFERROR(INDEX('Hun Demand'!H:H,MATCH($O437,'Hun Demand'!$A:$A,0)),"")</f>
        <v/>
      </c>
      <c r="AI437" s="25" t="str">
        <f>IF(SUMIFS('Supp Consol'!AA:AA,'Supp Consol'!Z:Z,"Expires this month",'Supp Consol'!A:A,O437)=0,"",SUMIFS('Supp Consol'!AA:AA,'Supp Consol'!Z:Z,"Expires this month",'Supp Consol'!A:A,O437))</f>
        <v/>
      </c>
      <c r="AJ437" s="25" t="str">
        <f>IF(SUMIFS('Supp Consol'!AA:AA,'Supp Consol'!Z:Z,"Expired Previous Months",'Supp Consol'!A:A,O437)=0,"",SUMIFS('Supp Consol'!AA:AA,'Supp Consol'!Z:Z,"Expired Previous Months",'Supp Consol'!A:A,O437))</f>
        <v/>
      </c>
      <c r="AK437" s="25" t="str">
        <f>IFERROR(INDEX('Hun Release Current'!B:B,MATCH(O437,'Hun Release Current'!A:A,0)),"")</f>
        <v/>
      </c>
      <c r="AL437" s="25" t="str">
        <f>IF(SUMIF('Prev Aub'!A:A,O437,'Prev Aub'!B:B)=0,"",SUMIF('Prev Aub'!A:A,O437,'Prev Aub'!B:B))</f>
        <v/>
      </c>
      <c r="AN437" s="25" t="s">
        <v>3790</v>
      </c>
      <c r="AO437" s="25" t="s">
        <v>3790</v>
      </c>
      <c r="AP437" s="25">
        <f t="shared" si="174"/>
        <v>0</v>
      </c>
      <c r="AQ437" s="151" t="str">
        <f>IF(SUMIFS('Supp Consol'!S:S,'Supp Consol'!A:A,O437,'Supp Consol'!I:I,"PENDING")=0,"",SUMIFS('Supp Consol'!S:S,'Supp Consol'!A:A,O437,'Supp Consol'!I:I,"PENDING"))</f>
        <v/>
      </c>
      <c r="AR437" s="27" t="str">
        <f t="shared" si="175"/>
        <v>FB428</v>
      </c>
      <c r="AS437" s="27" t="str">
        <f t="shared" si="176"/>
        <v>50</v>
      </c>
      <c r="AT437" s="27" t="str">
        <f t="shared" si="177"/>
        <v/>
      </c>
      <c r="AU437" s="27" t="str">
        <f t="shared" si="178"/>
        <v/>
      </c>
      <c r="AV437" s="27" t="str">
        <f t="shared" si="179"/>
        <v/>
      </c>
      <c r="AW437" s="27" t="str">
        <f t="shared" si="180"/>
        <v/>
      </c>
      <c r="AX437" s="27" t="str">
        <f t="shared" si="181"/>
        <v/>
      </c>
      <c r="AY437" s="27" t="str">
        <f t="shared" si="182"/>
        <v/>
      </c>
      <c r="AZ437" s="27" t="str">
        <f t="shared" si="183"/>
        <v/>
      </c>
      <c r="BA437" s="27" t="str">
        <f t="shared" si="184"/>
        <v/>
      </c>
      <c r="BB437" s="27" t="str">
        <f t="shared" si="185"/>
        <v/>
      </c>
      <c r="BC437" s="27" t="str">
        <f t="shared" si="186"/>
        <v/>
      </c>
      <c r="BD437" s="27" t="str">
        <f t="shared" si="187"/>
        <v/>
      </c>
      <c r="BE437" s="27" t="str">
        <f t="shared" si="188"/>
        <v/>
      </c>
      <c r="BF437" s="27" t="str">
        <f t="shared" si="189"/>
        <v/>
      </c>
      <c r="BG437" s="27" t="str">
        <f t="shared" si="190"/>
        <v/>
      </c>
      <c r="BH437" s="27" t="str">
        <f t="shared" si="191"/>
        <v/>
      </c>
      <c r="BI437" s="27" t="str">
        <f t="shared" si="192"/>
        <v/>
      </c>
      <c r="BJ437" s="27" t="str">
        <f t="shared" si="193"/>
        <v/>
      </c>
      <c r="BK437" s="27" t="str">
        <f t="shared" si="194"/>
        <v/>
      </c>
      <c r="BL437" s="27" t="str">
        <f t="shared" si="195"/>
        <v/>
      </c>
      <c r="BM437" s="21" t="s">
        <v>3790</v>
      </c>
    </row>
    <row r="438" spans="1:65" ht="15">
      <c r="A438" s="25" t="str">
        <f>IFERROR(INDEX('Hun Demand'!W:W,MATCH(O438,'Hun Demand'!A:A,0)),"")</f>
        <v/>
      </c>
      <c r="B438" s="25" t="str">
        <f>IFERROR(INDEX('Hun Demand'!V:V,MATCH(O438,'Hun Demand'!A:A,0)),"")</f>
        <v/>
      </c>
      <c r="C438" s="25" t="str">
        <f>IFERROR(INDEX('Hun Demand'!U:U,MATCH(O438,'Hun Demand'!A:A,0)),"")</f>
        <v/>
      </c>
      <c r="D438" s="25" t="str">
        <f>IFERROR(INDEX('Hun Demand'!T:T,MATCH(O438,'Hun Demand'!A:A,0)),"")</f>
        <v/>
      </c>
      <c r="E438" s="25" t="str">
        <f>IFERROR(INDEX('Hun Demand'!S:S,MATCH(O438,'Hun Demand'!A:A,0)),"")</f>
        <v/>
      </c>
      <c r="F438" s="25" t="str">
        <f>IFERROR(INDEX('Hun Demand'!R:R,MATCH(O438,'Hun Demand'!A:A,0)),"")</f>
        <v/>
      </c>
      <c r="G438" s="25">
        <f>IFERROR(INDEX('Aub Demand'!W:W,MATCH(O438,'Aub Demand'!A:A,0)),"")</f>
        <v>0</v>
      </c>
      <c r="H438" s="25">
        <f>IFERROR(INDEX('Aub Demand'!V:V,MATCH(O438,'Aub Demand'!A:A,0)),"")</f>
        <v>0</v>
      </c>
      <c r="I438" s="25">
        <f>IFERROR(INDEX('Aub Demand'!U:U,MATCH(O438,'Aub Demand'!A:A,0)),"")</f>
        <v>0</v>
      </c>
      <c r="J438" s="25">
        <f>IFERROR(INDEX('Aub Demand'!T:T,MATCH(O438,'Aub Demand'!A:A,0)),"")</f>
        <v>0</v>
      </c>
      <c r="K438" s="25">
        <f>IFERROR(INDEX('Aub Demand'!S:S,MATCH(O438,'Aub Demand'!A:A,0)),"")</f>
        <v>0</v>
      </c>
      <c r="L438" s="25">
        <f>IFERROR(INDEX('Aub Demand'!R:R,MATCH(O438,'Aub Demand'!A:A,0)),"")</f>
        <v>0</v>
      </c>
      <c r="O438" s="27" t="s">
        <v>742</v>
      </c>
      <c r="P438" s="27" t="str">
        <f>IFERROR(INDEX('Aub Demand'!B:B,MATCH($O438,'Aub Demand'!$A:$A,0)),"")</f>
        <v>SIENNA</v>
      </c>
      <c r="Q438" s="27" t="str">
        <f>IFERROR(INDEX('Aub Demand'!C:C,MATCH($O438,'Aub Demand'!$A:$A,0)),"")</f>
        <v>ARAUC</v>
      </c>
      <c r="R438" s="52">
        <f>IFERROR(IF(AR439=AR438,INDEX('Aub Demand'!K:K,MATCH($O438,'Aub Demand'!$A:$A,0))-IF(AN438="",0,AN438)+AP439,INDEX('Aub Demand'!K:K,MATCH($O438,'Aub Demand'!$A:$A,0))-IF(AN438="",0,AN438)),"")</f>
        <v>180</v>
      </c>
      <c r="S438" s="53" t="str">
        <f t="shared" si="168"/>
        <v>n/a</v>
      </c>
      <c r="T438" s="52" t="str">
        <f t="shared" si="169"/>
        <v/>
      </c>
      <c r="U438" s="52">
        <f>IFERROR(IF(AR439=AR438,INDEX('Aub Demand'!Q:Q,MATCH($O438,'Aub Demand'!$A:$A,0))-IF(AN438="",0,AN438)+AP439,INDEX('Aub Demand'!Q:Q,MATCH($O438,'Aub Demand'!$A:$A,0))-IF(AN438="",0,AN438)),"")</f>
        <v>180</v>
      </c>
      <c r="V438" s="53" t="str">
        <f t="shared" si="170"/>
        <v>n/a</v>
      </c>
      <c r="W438" s="52" t="str">
        <f t="shared" si="171"/>
        <v/>
      </c>
      <c r="X438" s="52">
        <f>IFERROR(IF(AND(AR439=AR438,AM438&lt;&gt;""),INDEX('Aub Demand'!Q:Q,MATCH($O438,'Aub Demand'!$A:$A,0))-IF(AN438="",0,AN438)+AP439+AD438+AL438,IF(AR439=AR438,INDEX('Aub Demand'!Q:Q,MATCH($O438,'Aub Demand'!$A:$A,0))-IF(AN438="",0,AN438)+AP439+AD438,IF(AM438&lt;&gt;"",INDEX('Aub Demand'!Q:Q,MATCH($O438,'Aub Demand'!$A:$A,0))-IF(AN438="",0,AN438)+AD438+AL438,INDEX('Aub Demand'!Q:Q,MATCH($O438,'Aub Demand'!$A:$A,0))-IF(AN438="",0,AN438)+AD438))),"")</f>
        <v>180</v>
      </c>
      <c r="Y438" s="53" t="str">
        <f t="shared" si="172"/>
        <v>n/a</v>
      </c>
      <c r="Z438" s="52">
        <f>IF(L438="","",INDEX('Aub Demand'!H:H,MATCH($O438,'Aub Demand'!$A:$A,0)))</f>
        <v>0</v>
      </c>
      <c r="AA438" s="52" t="str">
        <f t="shared" si="173"/>
        <v>-spike-</v>
      </c>
      <c r="AB438" s="52">
        <f>IFERROR(INDEX('Aub Demand'!L:L,MATCH($O438,'Aub Demand'!$A:$A,0)),"")</f>
        <v>0</v>
      </c>
      <c r="AC438" s="52">
        <f>IFERROR(IF(O438="","",SUMIFS('CPL Mats'!F:F,'CPL Mats'!Q:Q,AR438,'CPL Mats'!S:S,AS438)),"")</f>
        <v>0</v>
      </c>
      <c r="AF438" s="25" t="str">
        <f>IF(SUMIFS('Supp Consol'!S:S,'Supp Consol'!Y:Y,"Releasable",'Supp Consol'!A:A,O438)=0,"",SUMIFS('Supp Consol'!S:S,'Supp Consol'!Y:Y,"Releasable",'Supp Consol'!A:A,O438))</f>
        <v/>
      </c>
      <c r="AG438" s="25" t="str">
        <f>IFERROR(INDEX('Hun Demand'!Q:Q,MATCH(O438,'Hun Demand'!A:A,0)),"")</f>
        <v/>
      </c>
      <c r="AH438" s="25" t="str">
        <f>IFERROR(INDEX('Hun Demand'!H:H,MATCH($O438,'Hun Demand'!$A:$A,0)),"")</f>
        <v/>
      </c>
      <c r="AI438" s="25" t="str">
        <f>IF(SUMIFS('Supp Consol'!AA:AA,'Supp Consol'!Z:Z,"Expires this month",'Supp Consol'!A:A,O438)=0,"",SUMIFS('Supp Consol'!AA:AA,'Supp Consol'!Z:Z,"Expires this month",'Supp Consol'!A:A,O438))</f>
        <v/>
      </c>
      <c r="AJ438" s="25" t="str">
        <f>IF(SUMIFS('Supp Consol'!AA:AA,'Supp Consol'!Z:Z,"Expired Previous Months",'Supp Consol'!A:A,O438)=0,"",SUMIFS('Supp Consol'!AA:AA,'Supp Consol'!Z:Z,"Expired Previous Months",'Supp Consol'!A:A,O438))</f>
        <v/>
      </c>
      <c r="AK438" s="25" t="str">
        <f>IFERROR(INDEX('Hun Release Current'!B:B,MATCH(O438,'Hun Release Current'!A:A,0)),"")</f>
        <v/>
      </c>
      <c r="AL438" s="25" t="str">
        <f>IF(SUMIF('Prev Aub'!A:A,O438,'Prev Aub'!B:B)=0,"",SUMIF('Prev Aub'!A:A,O438,'Prev Aub'!B:B))</f>
        <v/>
      </c>
      <c r="AN438" s="25" t="s">
        <v>3790</v>
      </c>
      <c r="AO438" s="25" t="s">
        <v>3790</v>
      </c>
      <c r="AP438" s="25">
        <f t="shared" si="174"/>
        <v>0</v>
      </c>
      <c r="AQ438" s="151" t="str">
        <f>IF(SUMIFS('Supp Consol'!S:S,'Supp Consol'!A:A,O438,'Supp Consol'!I:I,"PENDING")=0,"",SUMIFS('Supp Consol'!S:S,'Supp Consol'!A:A,O438,'Supp Consol'!I:I,"PENDING"))</f>
        <v/>
      </c>
      <c r="AR438" s="27" t="str">
        <f t="shared" si="175"/>
        <v>FB430</v>
      </c>
      <c r="AS438" s="27" t="str">
        <f t="shared" si="176"/>
        <v>50</v>
      </c>
      <c r="AT438" s="27" t="str">
        <f t="shared" si="177"/>
        <v/>
      </c>
      <c r="AU438" s="27" t="str">
        <f t="shared" si="178"/>
        <v/>
      </c>
      <c r="AV438" s="27" t="str">
        <f t="shared" si="179"/>
        <v/>
      </c>
      <c r="AW438" s="27" t="str">
        <f t="shared" si="180"/>
        <v/>
      </c>
      <c r="AX438" s="27" t="str">
        <f t="shared" si="181"/>
        <v/>
      </c>
      <c r="AY438" s="27" t="str">
        <f t="shared" si="182"/>
        <v/>
      </c>
      <c r="AZ438" s="27" t="str">
        <f t="shared" si="183"/>
        <v/>
      </c>
      <c r="BA438" s="27" t="str">
        <f t="shared" si="184"/>
        <v/>
      </c>
      <c r="BB438" s="27" t="str">
        <f t="shared" si="185"/>
        <v/>
      </c>
      <c r="BC438" s="27" t="str">
        <f t="shared" si="186"/>
        <v/>
      </c>
      <c r="BD438" s="27" t="str">
        <f t="shared" si="187"/>
        <v/>
      </c>
      <c r="BE438" s="27" t="str">
        <f t="shared" si="188"/>
        <v/>
      </c>
      <c r="BF438" s="27" t="str">
        <f t="shared" si="189"/>
        <v/>
      </c>
      <c r="BG438" s="27" t="str">
        <f t="shared" si="190"/>
        <v/>
      </c>
      <c r="BH438" s="27" t="str">
        <f t="shared" si="191"/>
        <v/>
      </c>
      <c r="BI438" s="27" t="str">
        <f t="shared" si="192"/>
        <v/>
      </c>
      <c r="BJ438" s="27" t="str">
        <f t="shared" si="193"/>
        <v/>
      </c>
      <c r="BK438" s="27" t="str">
        <f t="shared" si="194"/>
        <v/>
      </c>
      <c r="BL438" s="27" t="str">
        <f t="shared" si="195"/>
        <v/>
      </c>
      <c r="BM438" s="21" t="s">
        <v>5581</v>
      </c>
    </row>
    <row r="439" spans="1:65" ht="15">
      <c r="A439" s="25" t="str">
        <f>IFERROR(INDEX('Hun Demand'!W:W,MATCH(O439,'Hun Demand'!A:A,0)),"")</f>
        <v/>
      </c>
      <c r="B439" s="25" t="str">
        <f>IFERROR(INDEX('Hun Demand'!V:V,MATCH(O439,'Hun Demand'!A:A,0)),"")</f>
        <v/>
      </c>
      <c r="C439" s="25" t="str">
        <f>IFERROR(INDEX('Hun Demand'!U:U,MATCH(O439,'Hun Demand'!A:A,0)),"")</f>
        <v/>
      </c>
      <c r="D439" s="25" t="str">
        <f>IFERROR(INDEX('Hun Demand'!T:T,MATCH(O439,'Hun Demand'!A:A,0)),"")</f>
        <v/>
      </c>
      <c r="E439" s="25" t="str">
        <f>IFERROR(INDEX('Hun Demand'!S:S,MATCH(O439,'Hun Demand'!A:A,0)),"")</f>
        <v/>
      </c>
      <c r="F439" s="25" t="str">
        <f>IFERROR(INDEX('Hun Demand'!R:R,MATCH(O439,'Hun Demand'!A:A,0)),"")</f>
        <v/>
      </c>
      <c r="G439" s="25">
        <f>IFERROR(INDEX('Aub Demand'!W:W,MATCH(O439,'Aub Demand'!A:A,0)),"")</f>
        <v>31</v>
      </c>
      <c r="H439" s="25">
        <f>IFERROR(INDEX('Aub Demand'!V:V,MATCH(O439,'Aub Demand'!A:A,0)),"")</f>
        <v>0</v>
      </c>
      <c r="I439" s="25">
        <f>IFERROR(INDEX('Aub Demand'!U:U,MATCH(O439,'Aub Demand'!A:A,0)),"")</f>
        <v>0</v>
      </c>
      <c r="J439" s="25">
        <f>IFERROR(INDEX('Aub Demand'!T:T,MATCH(O439,'Aub Demand'!A:A,0)),"")</f>
        <v>0</v>
      </c>
      <c r="K439" s="25">
        <f>IFERROR(INDEX('Aub Demand'!S:S,MATCH(O439,'Aub Demand'!A:A,0)),"")</f>
        <v>0</v>
      </c>
      <c r="L439" s="25">
        <f>IFERROR(INDEX('Aub Demand'!R:R,MATCH(O439,'Aub Demand'!A:A,0)),"")</f>
        <v>0</v>
      </c>
      <c r="O439" s="27" t="s">
        <v>744</v>
      </c>
      <c r="P439" s="27" t="str">
        <f>IFERROR(INDEX('Aub Demand'!B:B,MATCH($O439,'Aub Demand'!$A:$A,0)),"")</f>
        <v>SIENNA</v>
      </c>
      <c r="Q439" s="27" t="str">
        <f>IFERROR(INDEX('Aub Demand'!C:C,MATCH($O439,'Aub Demand'!$A:$A,0)),"")</f>
        <v>ARAUC</v>
      </c>
      <c r="R439" s="52">
        <f>IFERROR(IF(AR440=AR439,INDEX('Aub Demand'!K:K,MATCH($O439,'Aub Demand'!$A:$A,0))-IF(AN439="",0,AN439)+AP440,INDEX('Aub Demand'!K:K,MATCH($O439,'Aub Demand'!$A:$A,0))-IF(AN439="",0,AN439)),"")</f>
        <v>153</v>
      </c>
      <c r="S439" s="53" t="str">
        <f t="shared" si="168"/>
        <v>n/a</v>
      </c>
      <c r="T439" s="52" t="str">
        <f t="shared" si="169"/>
        <v/>
      </c>
      <c r="U439" s="52">
        <f>IFERROR(IF(AR440=AR439,INDEX('Aub Demand'!Q:Q,MATCH($O439,'Aub Demand'!$A:$A,0))-IF(AN439="",0,AN439)+AP440,INDEX('Aub Demand'!Q:Q,MATCH($O439,'Aub Demand'!$A:$A,0))-IF(AN439="",0,AN439)),"")</f>
        <v>153</v>
      </c>
      <c r="V439" s="53" t="str">
        <f t="shared" si="170"/>
        <v>n/a</v>
      </c>
      <c r="W439" s="52" t="str">
        <f t="shared" si="171"/>
        <v/>
      </c>
      <c r="X439" s="52">
        <f>IFERROR(IF(AND(AR440=AR439,AM439&lt;&gt;""),INDEX('Aub Demand'!Q:Q,MATCH($O439,'Aub Demand'!$A:$A,0))-IF(AN439="",0,AN439)+AP440+AD439+AL439,IF(AR440=AR439,INDEX('Aub Demand'!Q:Q,MATCH($O439,'Aub Demand'!$A:$A,0))-IF(AN439="",0,AN439)+AP440+AD439,IF(AM439&lt;&gt;"",INDEX('Aub Demand'!Q:Q,MATCH($O439,'Aub Demand'!$A:$A,0))-IF(AN439="",0,AN439)+AD439+AL439,INDEX('Aub Demand'!Q:Q,MATCH($O439,'Aub Demand'!$A:$A,0))-IF(AN439="",0,AN439)+AD439))),"")</f>
        <v>153</v>
      </c>
      <c r="Y439" s="53" t="str">
        <f t="shared" si="172"/>
        <v>n/a</v>
      </c>
      <c r="Z439" s="52">
        <f>IF(L439="","",INDEX('Aub Demand'!H:H,MATCH($O439,'Aub Demand'!$A:$A,0)))</f>
        <v>0</v>
      </c>
      <c r="AA439" s="52" t="str">
        <f t="shared" si="173"/>
        <v>-spike-</v>
      </c>
      <c r="AB439" s="52">
        <f>IFERROR(INDEX('Aub Demand'!L:L,MATCH($O439,'Aub Demand'!$A:$A,0)),"")</f>
        <v>0</v>
      </c>
      <c r="AC439" s="52">
        <f>IFERROR(IF(O439="","",SUMIFS('CPL Mats'!F:F,'CPL Mats'!Q:Q,AR439,'CPL Mats'!S:S,AS439)),"")</f>
        <v>0</v>
      </c>
      <c r="AF439" s="25" t="str">
        <f>IF(SUMIFS('Supp Consol'!S:S,'Supp Consol'!Y:Y,"Releasable",'Supp Consol'!A:A,O439)=0,"",SUMIFS('Supp Consol'!S:S,'Supp Consol'!Y:Y,"Releasable",'Supp Consol'!A:A,O439))</f>
        <v/>
      </c>
      <c r="AG439" s="25" t="str">
        <f>IFERROR(INDEX('Hun Demand'!Q:Q,MATCH(O439,'Hun Demand'!A:A,0)),"")</f>
        <v/>
      </c>
      <c r="AH439" s="25" t="str">
        <f>IFERROR(INDEX('Hun Demand'!H:H,MATCH($O439,'Hun Demand'!$A:$A,0)),"")</f>
        <v/>
      </c>
      <c r="AI439" s="25" t="str">
        <f>IF(SUMIFS('Supp Consol'!AA:AA,'Supp Consol'!Z:Z,"Expires this month",'Supp Consol'!A:A,O439)=0,"",SUMIFS('Supp Consol'!AA:AA,'Supp Consol'!Z:Z,"Expires this month",'Supp Consol'!A:A,O439))</f>
        <v/>
      </c>
      <c r="AJ439" s="25" t="str">
        <f>IF(SUMIFS('Supp Consol'!AA:AA,'Supp Consol'!Z:Z,"Expired Previous Months",'Supp Consol'!A:A,O439)=0,"",SUMIFS('Supp Consol'!AA:AA,'Supp Consol'!Z:Z,"Expired Previous Months",'Supp Consol'!A:A,O439))</f>
        <v/>
      </c>
      <c r="AK439" s="25" t="str">
        <f>IFERROR(INDEX('Hun Release Current'!B:B,MATCH(O439,'Hun Release Current'!A:A,0)),"")</f>
        <v/>
      </c>
      <c r="AL439" s="25" t="str">
        <f>IF(SUMIF('Prev Aub'!A:A,O439,'Prev Aub'!B:B)=0,"",SUMIF('Prev Aub'!A:A,O439,'Prev Aub'!B:B))</f>
        <v/>
      </c>
      <c r="AN439" s="25" t="s">
        <v>3790</v>
      </c>
      <c r="AO439" s="25" t="s">
        <v>3790</v>
      </c>
      <c r="AP439" s="25">
        <f t="shared" si="174"/>
        <v>0</v>
      </c>
      <c r="AQ439" s="151" t="str">
        <f>IF(SUMIFS('Supp Consol'!S:S,'Supp Consol'!A:A,O439,'Supp Consol'!I:I,"PENDING")=0,"",SUMIFS('Supp Consol'!S:S,'Supp Consol'!A:A,O439,'Supp Consol'!I:I,"PENDING"))</f>
        <v/>
      </c>
      <c r="AR439" s="27" t="str">
        <f t="shared" si="175"/>
        <v>FB430</v>
      </c>
      <c r="AS439" s="27" t="str">
        <f t="shared" si="176"/>
        <v>62</v>
      </c>
      <c r="AT439" s="27" t="str">
        <f t="shared" si="177"/>
        <v/>
      </c>
      <c r="AU439" s="27" t="str">
        <f t="shared" si="178"/>
        <v/>
      </c>
      <c r="AV439" s="27" t="str">
        <f t="shared" si="179"/>
        <v/>
      </c>
      <c r="AW439" s="27" t="str">
        <f t="shared" si="180"/>
        <v/>
      </c>
      <c r="AX439" s="27" t="str">
        <f t="shared" si="181"/>
        <v/>
      </c>
      <c r="AY439" s="27" t="str">
        <f t="shared" si="182"/>
        <v/>
      </c>
      <c r="AZ439" s="27" t="str">
        <f t="shared" si="183"/>
        <v/>
      </c>
      <c r="BA439" s="27" t="str">
        <f t="shared" si="184"/>
        <v/>
      </c>
      <c r="BB439" s="27" t="str">
        <f t="shared" si="185"/>
        <v/>
      </c>
      <c r="BC439" s="27" t="str">
        <f t="shared" si="186"/>
        <v/>
      </c>
      <c r="BD439" s="27" t="str">
        <f t="shared" si="187"/>
        <v/>
      </c>
      <c r="BE439" s="27" t="str">
        <f t="shared" si="188"/>
        <v/>
      </c>
      <c r="BF439" s="27" t="str">
        <f t="shared" si="189"/>
        <v/>
      </c>
      <c r="BG439" s="27" t="str">
        <f t="shared" si="190"/>
        <v/>
      </c>
      <c r="BH439" s="27" t="str">
        <f t="shared" si="191"/>
        <v/>
      </c>
      <c r="BI439" s="27" t="str">
        <f t="shared" si="192"/>
        <v/>
      </c>
      <c r="BJ439" s="27" t="str">
        <f t="shared" si="193"/>
        <v/>
      </c>
      <c r="BK439" s="27" t="str">
        <f t="shared" si="194"/>
        <v/>
      </c>
      <c r="BL439" s="27" t="str">
        <f t="shared" si="195"/>
        <v/>
      </c>
      <c r="BM439" s="21" t="s">
        <v>5581</v>
      </c>
    </row>
    <row r="440" spans="1:65" ht="15">
      <c r="A440" s="25" t="str">
        <f>IFERROR(INDEX('Hun Demand'!W:W,MATCH(O440,'Hun Demand'!A:A,0)),"")</f>
        <v/>
      </c>
      <c r="B440" s="25" t="str">
        <f>IFERROR(INDEX('Hun Demand'!V:V,MATCH(O440,'Hun Demand'!A:A,0)),"")</f>
        <v/>
      </c>
      <c r="C440" s="25" t="str">
        <f>IFERROR(INDEX('Hun Demand'!U:U,MATCH(O440,'Hun Demand'!A:A,0)),"")</f>
        <v/>
      </c>
      <c r="D440" s="25" t="str">
        <f>IFERROR(INDEX('Hun Demand'!T:T,MATCH(O440,'Hun Demand'!A:A,0)),"")</f>
        <v/>
      </c>
      <c r="E440" s="25" t="str">
        <f>IFERROR(INDEX('Hun Demand'!S:S,MATCH(O440,'Hun Demand'!A:A,0)),"")</f>
        <v/>
      </c>
      <c r="F440" s="25" t="str">
        <f>IFERROR(INDEX('Hun Demand'!R:R,MATCH(O440,'Hun Demand'!A:A,0)),"")</f>
        <v/>
      </c>
      <c r="G440" s="25">
        <f>IFERROR(INDEX('Aub Demand'!W:W,MATCH(O440,'Aub Demand'!A:A,0)),"")</f>
        <v>0</v>
      </c>
      <c r="H440" s="25">
        <f>IFERROR(INDEX('Aub Demand'!V:V,MATCH(O440,'Aub Demand'!A:A,0)),"")</f>
        <v>0</v>
      </c>
      <c r="I440" s="25">
        <f>IFERROR(INDEX('Aub Demand'!U:U,MATCH(O440,'Aub Demand'!A:A,0)),"")</f>
        <v>0</v>
      </c>
      <c r="J440" s="25">
        <f>IFERROR(INDEX('Aub Demand'!T:T,MATCH(O440,'Aub Demand'!A:A,0)),"")</f>
        <v>0</v>
      </c>
      <c r="K440" s="25">
        <f>IFERROR(INDEX('Aub Demand'!S:S,MATCH(O440,'Aub Demand'!A:A,0)),"")</f>
        <v>0</v>
      </c>
      <c r="L440" s="25">
        <f>IFERROR(INDEX('Aub Demand'!R:R,MATCH(O440,'Aub Demand'!A:A,0)),"")</f>
        <v>0</v>
      </c>
      <c r="O440" s="27" t="s">
        <v>745</v>
      </c>
      <c r="P440" s="27" t="str">
        <f>IFERROR(INDEX('Aub Demand'!B:B,MATCH($O440,'Aub Demand'!$A:$A,0)),"")</f>
        <v>UMBRA</v>
      </c>
      <c r="Q440" s="27" t="str">
        <f>IFERROR(INDEX('Aub Demand'!C:C,MATCH($O440,'Aub Demand'!$A:$A,0)),"")</f>
        <v>ARAUC</v>
      </c>
      <c r="R440" s="52">
        <f>IFERROR(IF(AR441=AR440,INDEX('Aub Demand'!K:K,MATCH($O440,'Aub Demand'!$A:$A,0))-IF(AN440="",0,AN440)+AP441,INDEX('Aub Demand'!K:K,MATCH($O440,'Aub Demand'!$A:$A,0))-IF(AN440="",0,AN440)),"")</f>
        <v>163</v>
      </c>
      <c r="S440" s="53" t="str">
        <f t="shared" si="168"/>
        <v>n/a</v>
      </c>
      <c r="T440" s="52" t="str">
        <f t="shared" si="169"/>
        <v/>
      </c>
      <c r="U440" s="52">
        <f>IFERROR(IF(AR441=AR440,INDEX('Aub Demand'!Q:Q,MATCH($O440,'Aub Demand'!$A:$A,0))-IF(AN440="",0,AN440)+AP441,INDEX('Aub Demand'!Q:Q,MATCH($O440,'Aub Demand'!$A:$A,0))-IF(AN440="",0,AN440)),"")</f>
        <v>163</v>
      </c>
      <c r="V440" s="53" t="str">
        <f t="shared" si="170"/>
        <v>n/a</v>
      </c>
      <c r="W440" s="52" t="str">
        <f t="shared" si="171"/>
        <v/>
      </c>
      <c r="X440" s="52">
        <f>IFERROR(IF(AND(AR441=AR440,AM440&lt;&gt;""),INDEX('Aub Demand'!Q:Q,MATCH($O440,'Aub Demand'!$A:$A,0))-IF(AN440="",0,AN440)+AP441+AD440+AL440,IF(AR441=AR440,INDEX('Aub Demand'!Q:Q,MATCH($O440,'Aub Demand'!$A:$A,0))-IF(AN440="",0,AN440)+AP441+AD440,IF(AM440&lt;&gt;"",INDEX('Aub Demand'!Q:Q,MATCH($O440,'Aub Demand'!$A:$A,0))-IF(AN440="",0,AN440)+AD440+AL440,INDEX('Aub Demand'!Q:Q,MATCH($O440,'Aub Demand'!$A:$A,0))-IF(AN440="",0,AN440)+AD440))),"")</f>
        <v>163</v>
      </c>
      <c r="Y440" s="53" t="str">
        <f t="shared" si="172"/>
        <v>n/a</v>
      </c>
      <c r="Z440" s="52">
        <f>IF(L440="","",INDEX('Aub Demand'!H:H,MATCH($O440,'Aub Demand'!$A:$A,0)))</f>
        <v>0</v>
      </c>
      <c r="AA440" s="52" t="str">
        <f t="shared" si="173"/>
        <v>-spike-</v>
      </c>
      <c r="AB440" s="52">
        <f>IFERROR(INDEX('Aub Demand'!L:L,MATCH($O440,'Aub Demand'!$A:$A,0)),"")</f>
        <v>0</v>
      </c>
      <c r="AC440" s="52">
        <f>IFERROR(IF(O440="","",SUMIFS('CPL Mats'!F:F,'CPL Mats'!Q:Q,AR440,'CPL Mats'!S:S,AS440)),"")</f>
        <v>0</v>
      </c>
      <c r="AF440" s="25" t="str">
        <f>IF(SUMIFS('Supp Consol'!S:S,'Supp Consol'!Y:Y,"Releasable",'Supp Consol'!A:A,O440)=0,"",SUMIFS('Supp Consol'!S:S,'Supp Consol'!Y:Y,"Releasable",'Supp Consol'!A:A,O440))</f>
        <v/>
      </c>
      <c r="AG440" s="25" t="str">
        <f>IFERROR(INDEX('Hun Demand'!Q:Q,MATCH(O440,'Hun Demand'!A:A,0)),"")</f>
        <v/>
      </c>
      <c r="AH440" s="25" t="str">
        <f>IFERROR(INDEX('Hun Demand'!H:H,MATCH($O440,'Hun Demand'!$A:$A,0)),"")</f>
        <v/>
      </c>
      <c r="AI440" s="25" t="str">
        <f>IF(SUMIFS('Supp Consol'!AA:AA,'Supp Consol'!Z:Z,"Expires this month",'Supp Consol'!A:A,O440)=0,"",SUMIFS('Supp Consol'!AA:AA,'Supp Consol'!Z:Z,"Expires this month",'Supp Consol'!A:A,O440))</f>
        <v/>
      </c>
      <c r="AJ440" s="25" t="str">
        <f>IF(SUMIFS('Supp Consol'!AA:AA,'Supp Consol'!Z:Z,"Expired Previous Months",'Supp Consol'!A:A,O440)=0,"",SUMIFS('Supp Consol'!AA:AA,'Supp Consol'!Z:Z,"Expired Previous Months",'Supp Consol'!A:A,O440))</f>
        <v/>
      </c>
      <c r="AK440" s="25" t="str">
        <f>IFERROR(INDEX('Hun Release Current'!B:B,MATCH(O440,'Hun Release Current'!A:A,0)),"")</f>
        <v/>
      </c>
      <c r="AL440" s="25" t="str">
        <f>IF(SUMIF('Prev Aub'!A:A,O440,'Prev Aub'!B:B)=0,"",SUMIF('Prev Aub'!A:A,O440,'Prev Aub'!B:B))</f>
        <v/>
      </c>
      <c r="AN440" s="25" t="s">
        <v>3790</v>
      </c>
      <c r="AO440" s="25" t="s">
        <v>3790</v>
      </c>
      <c r="AP440" s="25">
        <f t="shared" si="174"/>
        <v>0</v>
      </c>
      <c r="AQ440" s="151" t="str">
        <f>IF(SUMIFS('Supp Consol'!S:S,'Supp Consol'!A:A,O440,'Supp Consol'!I:I,"PENDING")=0,"",SUMIFS('Supp Consol'!S:S,'Supp Consol'!A:A,O440,'Supp Consol'!I:I,"PENDING"))</f>
        <v/>
      </c>
      <c r="AR440" s="27" t="str">
        <f t="shared" si="175"/>
        <v>FB431</v>
      </c>
      <c r="AS440" s="27" t="str">
        <f t="shared" si="176"/>
        <v>50</v>
      </c>
      <c r="AT440" s="27" t="str">
        <f t="shared" si="177"/>
        <v/>
      </c>
      <c r="AU440" s="27" t="str">
        <f t="shared" si="178"/>
        <v/>
      </c>
      <c r="AV440" s="27" t="str">
        <f t="shared" si="179"/>
        <v/>
      </c>
      <c r="AW440" s="27" t="str">
        <f t="shared" si="180"/>
        <v/>
      </c>
      <c r="AX440" s="27" t="str">
        <f t="shared" si="181"/>
        <v/>
      </c>
      <c r="AY440" s="27" t="str">
        <f t="shared" si="182"/>
        <v/>
      </c>
      <c r="AZ440" s="27" t="str">
        <f t="shared" si="183"/>
        <v/>
      </c>
      <c r="BA440" s="27" t="str">
        <f t="shared" si="184"/>
        <v/>
      </c>
      <c r="BB440" s="27" t="str">
        <f t="shared" si="185"/>
        <v/>
      </c>
      <c r="BC440" s="27" t="str">
        <f t="shared" si="186"/>
        <v/>
      </c>
      <c r="BD440" s="27" t="str">
        <f t="shared" si="187"/>
        <v/>
      </c>
      <c r="BE440" s="27" t="str">
        <f t="shared" si="188"/>
        <v/>
      </c>
      <c r="BF440" s="27" t="str">
        <f t="shared" si="189"/>
        <v/>
      </c>
      <c r="BG440" s="27" t="str">
        <f t="shared" si="190"/>
        <v/>
      </c>
      <c r="BH440" s="27" t="str">
        <f t="shared" si="191"/>
        <v/>
      </c>
      <c r="BI440" s="27" t="str">
        <f t="shared" si="192"/>
        <v/>
      </c>
      <c r="BJ440" s="27" t="str">
        <f t="shared" si="193"/>
        <v/>
      </c>
      <c r="BK440" s="27" t="str">
        <f t="shared" si="194"/>
        <v/>
      </c>
      <c r="BL440" s="27" t="str">
        <f t="shared" si="195"/>
        <v/>
      </c>
      <c r="BM440" s="21" t="s">
        <v>5581</v>
      </c>
    </row>
    <row r="441" spans="1:65" ht="15">
      <c r="A441" s="25" t="str">
        <f>IFERROR(INDEX('Hun Demand'!W:W,MATCH(O441,'Hun Demand'!A:A,0)),"")</f>
        <v/>
      </c>
      <c r="B441" s="25" t="str">
        <f>IFERROR(INDEX('Hun Demand'!V:V,MATCH(O441,'Hun Demand'!A:A,0)),"")</f>
        <v/>
      </c>
      <c r="C441" s="25" t="str">
        <f>IFERROR(INDEX('Hun Demand'!U:U,MATCH(O441,'Hun Demand'!A:A,0)),"")</f>
        <v/>
      </c>
      <c r="D441" s="25" t="str">
        <f>IFERROR(INDEX('Hun Demand'!T:T,MATCH(O441,'Hun Demand'!A:A,0)),"")</f>
        <v/>
      </c>
      <c r="E441" s="25" t="str">
        <f>IFERROR(INDEX('Hun Demand'!S:S,MATCH(O441,'Hun Demand'!A:A,0)),"")</f>
        <v/>
      </c>
      <c r="F441" s="25" t="str">
        <f>IFERROR(INDEX('Hun Demand'!R:R,MATCH(O441,'Hun Demand'!A:A,0)),"")</f>
        <v/>
      </c>
      <c r="G441" s="25">
        <f>IFERROR(INDEX('Aub Demand'!W:W,MATCH(O441,'Aub Demand'!A:A,0)),"")</f>
        <v>27</v>
      </c>
      <c r="H441" s="25">
        <f>IFERROR(INDEX('Aub Demand'!V:V,MATCH(O441,'Aub Demand'!A:A,0)),"")</f>
        <v>0</v>
      </c>
      <c r="I441" s="25">
        <f>IFERROR(INDEX('Aub Demand'!U:U,MATCH(O441,'Aub Demand'!A:A,0)),"")</f>
        <v>0</v>
      </c>
      <c r="J441" s="25">
        <f>IFERROR(INDEX('Aub Demand'!T:T,MATCH(O441,'Aub Demand'!A:A,0)),"")</f>
        <v>0</v>
      </c>
      <c r="K441" s="25">
        <f>IFERROR(INDEX('Aub Demand'!S:S,MATCH(O441,'Aub Demand'!A:A,0)),"")</f>
        <v>0</v>
      </c>
      <c r="L441" s="25">
        <f>IFERROR(INDEX('Aub Demand'!R:R,MATCH(O441,'Aub Demand'!A:A,0)),"")</f>
        <v>0</v>
      </c>
      <c r="O441" s="27" t="s">
        <v>747</v>
      </c>
      <c r="P441" s="27" t="str">
        <f>IFERROR(INDEX('Aub Demand'!B:B,MATCH($O441,'Aub Demand'!$A:$A,0)),"")</f>
        <v>UMBRA</v>
      </c>
      <c r="Q441" s="27" t="str">
        <f>IFERROR(INDEX('Aub Demand'!C:C,MATCH($O441,'Aub Demand'!$A:$A,0)),"")</f>
        <v>ARAUC</v>
      </c>
      <c r="R441" s="52">
        <f>IFERROR(IF(AR442=AR441,INDEX('Aub Demand'!K:K,MATCH($O441,'Aub Demand'!$A:$A,0))-IF(AN441="",0,AN441)+AP442,INDEX('Aub Demand'!K:K,MATCH($O441,'Aub Demand'!$A:$A,0))-IF(AN441="",0,AN441)),"")</f>
        <v>264</v>
      </c>
      <c r="S441" s="53" t="str">
        <f t="shared" si="168"/>
        <v>n/a</v>
      </c>
      <c r="T441" s="52" t="str">
        <f t="shared" si="169"/>
        <v/>
      </c>
      <c r="U441" s="52">
        <f>IFERROR(IF(AR442=AR441,INDEX('Aub Demand'!Q:Q,MATCH($O441,'Aub Demand'!$A:$A,0))-IF(AN441="",0,AN441)+AP442,INDEX('Aub Demand'!Q:Q,MATCH($O441,'Aub Demand'!$A:$A,0))-IF(AN441="",0,AN441)),"")</f>
        <v>264</v>
      </c>
      <c r="V441" s="53" t="str">
        <f t="shared" si="170"/>
        <v>n/a</v>
      </c>
      <c r="W441" s="52" t="str">
        <f t="shared" si="171"/>
        <v/>
      </c>
      <c r="X441" s="52">
        <f>IFERROR(IF(AND(AR442=AR441,AM441&lt;&gt;""),INDEX('Aub Demand'!Q:Q,MATCH($O441,'Aub Demand'!$A:$A,0))-IF(AN441="",0,AN441)+AP442+AD441+AL441,IF(AR442=AR441,INDEX('Aub Demand'!Q:Q,MATCH($O441,'Aub Demand'!$A:$A,0))-IF(AN441="",0,AN441)+AP442+AD441,IF(AM441&lt;&gt;"",INDEX('Aub Demand'!Q:Q,MATCH($O441,'Aub Demand'!$A:$A,0))-IF(AN441="",0,AN441)+AD441+AL441,INDEX('Aub Demand'!Q:Q,MATCH($O441,'Aub Demand'!$A:$A,0))-IF(AN441="",0,AN441)+AD441))),"")</f>
        <v>264</v>
      </c>
      <c r="Y441" s="53" t="str">
        <f t="shared" si="172"/>
        <v>n/a</v>
      </c>
      <c r="Z441" s="52">
        <f>IF(L441="","",INDEX('Aub Demand'!H:H,MATCH($O441,'Aub Demand'!$A:$A,0)))</f>
        <v>0</v>
      </c>
      <c r="AA441" s="52" t="str">
        <f t="shared" si="173"/>
        <v>-spike-</v>
      </c>
      <c r="AB441" s="52">
        <f>IFERROR(INDEX('Aub Demand'!L:L,MATCH($O441,'Aub Demand'!$A:$A,0)),"")</f>
        <v>0</v>
      </c>
      <c r="AC441" s="52">
        <f>IFERROR(IF(O441="","",SUMIFS('CPL Mats'!F:F,'CPL Mats'!Q:Q,AR441,'CPL Mats'!S:S,AS441)),"")</f>
        <v>0</v>
      </c>
      <c r="AF441" s="25" t="str">
        <f>IF(SUMIFS('Supp Consol'!S:S,'Supp Consol'!Y:Y,"Releasable",'Supp Consol'!A:A,O441)=0,"",SUMIFS('Supp Consol'!S:S,'Supp Consol'!Y:Y,"Releasable",'Supp Consol'!A:A,O441))</f>
        <v/>
      </c>
      <c r="AG441" s="25" t="str">
        <f>IFERROR(INDEX('Hun Demand'!Q:Q,MATCH(O441,'Hun Demand'!A:A,0)),"")</f>
        <v/>
      </c>
      <c r="AH441" s="25" t="str">
        <f>IFERROR(INDEX('Hun Demand'!H:H,MATCH($O441,'Hun Demand'!$A:$A,0)),"")</f>
        <v/>
      </c>
      <c r="AI441" s="25" t="str">
        <f>IF(SUMIFS('Supp Consol'!AA:AA,'Supp Consol'!Z:Z,"Expires this month",'Supp Consol'!A:A,O441)=0,"",SUMIFS('Supp Consol'!AA:AA,'Supp Consol'!Z:Z,"Expires this month",'Supp Consol'!A:A,O441))</f>
        <v/>
      </c>
      <c r="AJ441" s="25" t="str">
        <f>IF(SUMIFS('Supp Consol'!AA:AA,'Supp Consol'!Z:Z,"Expired Previous Months",'Supp Consol'!A:A,O441)=0,"",SUMIFS('Supp Consol'!AA:AA,'Supp Consol'!Z:Z,"Expired Previous Months",'Supp Consol'!A:A,O441))</f>
        <v/>
      </c>
      <c r="AK441" s="25" t="str">
        <f>IFERROR(INDEX('Hun Release Current'!B:B,MATCH(O441,'Hun Release Current'!A:A,0)),"")</f>
        <v/>
      </c>
      <c r="AL441" s="25" t="str">
        <f>IF(SUMIF('Prev Aub'!A:A,O441,'Prev Aub'!B:B)=0,"",SUMIF('Prev Aub'!A:A,O441,'Prev Aub'!B:B))</f>
        <v/>
      </c>
      <c r="AN441" s="25" t="s">
        <v>3790</v>
      </c>
      <c r="AO441" s="25" t="s">
        <v>3790</v>
      </c>
      <c r="AP441" s="25">
        <f t="shared" si="174"/>
        <v>0</v>
      </c>
      <c r="AQ441" s="151" t="str">
        <f>IF(SUMIFS('Supp Consol'!S:S,'Supp Consol'!A:A,O441,'Supp Consol'!I:I,"PENDING")=0,"",SUMIFS('Supp Consol'!S:S,'Supp Consol'!A:A,O441,'Supp Consol'!I:I,"PENDING"))</f>
        <v/>
      </c>
      <c r="AR441" s="27" t="str">
        <f t="shared" si="175"/>
        <v>FB431</v>
      </c>
      <c r="AS441" s="27" t="str">
        <f t="shared" si="176"/>
        <v>62</v>
      </c>
      <c r="AT441" s="27" t="str">
        <f t="shared" si="177"/>
        <v/>
      </c>
      <c r="AU441" s="27" t="str">
        <f t="shared" si="178"/>
        <v/>
      </c>
      <c r="AV441" s="27" t="str">
        <f t="shared" si="179"/>
        <v/>
      </c>
      <c r="AW441" s="27" t="str">
        <f t="shared" si="180"/>
        <v/>
      </c>
      <c r="AX441" s="27" t="str">
        <f t="shared" si="181"/>
        <v/>
      </c>
      <c r="AY441" s="27" t="str">
        <f t="shared" si="182"/>
        <v/>
      </c>
      <c r="AZ441" s="27" t="str">
        <f t="shared" si="183"/>
        <v/>
      </c>
      <c r="BA441" s="27" t="str">
        <f t="shared" si="184"/>
        <v/>
      </c>
      <c r="BB441" s="27" t="str">
        <f t="shared" si="185"/>
        <v/>
      </c>
      <c r="BC441" s="27" t="str">
        <f t="shared" si="186"/>
        <v/>
      </c>
      <c r="BD441" s="27" t="str">
        <f t="shared" si="187"/>
        <v/>
      </c>
      <c r="BE441" s="27" t="str">
        <f t="shared" si="188"/>
        <v/>
      </c>
      <c r="BF441" s="27" t="str">
        <f t="shared" si="189"/>
        <v/>
      </c>
      <c r="BG441" s="27" t="str">
        <f t="shared" si="190"/>
        <v/>
      </c>
      <c r="BH441" s="27" t="str">
        <f t="shared" si="191"/>
        <v/>
      </c>
      <c r="BI441" s="27" t="str">
        <f t="shared" si="192"/>
        <v/>
      </c>
      <c r="BJ441" s="27" t="str">
        <f t="shared" si="193"/>
        <v/>
      </c>
      <c r="BK441" s="27" t="str">
        <f t="shared" si="194"/>
        <v/>
      </c>
      <c r="BL441" s="27" t="str">
        <f t="shared" si="195"/>
        <v/>
      </c>
      <c r="BM441" s="21" t="s">
        <v>5581</v>
      </c>
    </row>
    <row r="442" spans="1:65" ht="15">
      <c r="A442" s="25" t="str">
        <f>IFERROR(INDEX('Hun Demand'!W:W,MATCH(O442,'Hun Demand'!A:A,0)),"")</f>
        <v/>
      </c>
      <c r="B442" s="25" t="str">
        <f>IFERROR(INDEX('Hun Demand'!V:V,MATCH(O442,'Hun Demand'!A:A,0)),"")</f>
        <v/>
      </c>
      <c r="C442" s="25" t="str">
        <f>IFERROR(INDEX('Hun Demand'!U:U,MATCH(O442,'Hun Demand'!A:A,0)),"")</f>
        <v/>
      </c>
      <c r="D442" s="25" t="str">
        <f>IFERROR(INDEX('Hun Demand'!T:T,MATCH(O442,'Hun Demand'!A:A,0)),"")</f>
        <v/>
      </c>
      <c r="E442" s="25" t="str">
        <f>IFERROR(INDEX('Hun Demand'!S:S,MATCH(O442,'Hun Demand'!A:A,0)),"")</f>
        <v/>
      </c>
      <c r="F442" s="25" t="str">
        <f>IFERROR(INDEX('Hun Demand'!R:R,MATCH(O442,'Hun Demand'!A:A,0)),"")</f>
        <v/>
      </c>
      <c r="G442" s="25">
        <f>IFERROR(INDEX('Aub Demand'!W:W,MATCH(O442,'Aub Demand'!A:A,0)),"")</f>
        <v>0</v>
      </c>
      <c r="H442" s="25">
        <f>IFERROR(INDEX('Aub Demand'!V:V,MATCH(O442,'Aub Demand'!A:A,0)),"")</f>
        <v>0</v>
      </c>
      <c r="I442" s="25">
        <f>IFERROR(INDEX('Aub Demand'!U:U,MATCH(O442,'Aub Demand'!A:A,0)),"")</f>
        <v>0</v>
      </c>
      <c r="J442" s="25">
        <f>IFERROR(INDEX('Aub Demand'!T:T,MATCH(O442,'Aub Demand'!A:A,0)),"")</f>
        <v>0</v>
      </c>
      <c r="K442" s="25">
        <f>IFERROR(INDEX('Aub Demand'!S:S,MATCH(O442,'Aub Demand'!A:A,0)),"")</f>
        <v>39</v>
      </c>
      <c r="L442" s="25">
        <f>IFERROR(INDEX('Aub Demand'!R:R,MATCH(O442,'Aub Demand'!A:A,0)),"")</f>
        <v>0</v>
      </c>
      <c r="O442" s="27" t="s">
        <v>748</v>
      </c>
      <c r="P442" s="27" t="str">
        <f>IFERROR(INDEX('Aub Demand'!B:B,MATCH($O442,'Aub Demand'!$A:$A,0)),"")</f>
        <v>ASHEN</v>
      </c>
      <c r="Q442" s="27" t="str">
        <f>IFERROR(INDEX('Aub Demand'!C:C,MATCH($O442,'Aub Demand'!$A:$A,0)),"")</f>
        <v>ARAUC</v>
      </c>
      <c r="R442" s="52">
        <f>IFERROR(IF(AR443=AR442,INDEX('Aub Demand'!K:K,MATCH($O442,'Aub Demand'!$A:$A,0))-IF(AN442="",0,AN442)+AP443,INDEX('Aub Demand'!K:K,MATCH($O442,'Aub Demand'!$A:$A,0))-IF(AN442="",0,AN442)),"")</f>
        <v>130</v>
      </c>
      <c r="S442" s="53">
        <f t="shared" si="168"/>
        <v>42.9</v>
      </c>
      <c r="T442" s="52" t="str">
        <f t="shared" si="169"/>
        <v/>
      </c>
      <c r="U442" s="52">
        <f>IFERROR(IF(AR443=AR442,INDEX('Aub Demand'!Q:Q,MATCH($O442,'Aub Demand'!$A:$A,0))-IF(AN442="",0,AN442)+AP443,INDEX('Aub Demand'!Q:Q,MATCH($O442,'Aub Demand'!$A:$A,0))-IF(AN442="",0,AN442)),"")</f>
        <v>130</v>
      </c>
      <c r="V442" s="53">
        <f t="shared" si="170"/>
        <v>42.9</v>
      </c>
      <c r="W442" s="52" t="str">
        <f t="shared" si="171"/>
        <v/>
      </c>
      <c r="X442" s="52">
        <f>IFERROR(IF(AND(AR443=AR442,AM442&lt;&gt;""),INDEX('Aub Demand'!Q:Q,MATCH($O442,'Aub Demand'!$A:$A,0))-IF(AN442="",0,AN442)+AP443+AD442+AL442,IF(AR443=AR442,INDEX('Aub Demand'!Q:Q,MATCH($O442,'Aub Demand'!$A:$A,0))-IF(AN442="",0,AN442)+AP443+AD442,IF(AM442&lt;&gt;"",INDEX('Aub Demand'!Q:Q,MATCH($O442,'Aub Demand'!$A:$A,0))-IF(AN442="",0,AN442)+AD442+AL442,INDEX('Aub Demand'!Q:Q,MATCH($O442,'Aub Demand'!$A:$A,0))-IF(AN442="",0,AN442)+AD442))),"")</f>
        <v>130</v>
      </c>
      <c r="Y442" s="53">
        <f t="shared" si="172"/>
        <v>42.9</v>
      </c>
      <c r="Z442" s="52">
        <f>IF(L442="","",INDEX('Aub Demand'!H:H,MATCH($O442,'Aub Demand'!$A:$A,0)))</f>
        <v>13</v>
      </c>
      <c r="AA442" s="52" t="str">
        <f t="shared" si="173"/>
        <v>-spike-</v>
      </c>
      <c r="AB442" s="52">
        <f>IFERROR(INDEX('Aub Demand'!L:L,MATCH($O442,'Aub Demand'!$A:$A,0)),"")</f>
        <v>0</v>
      </c>
      <c r="AC442" s="52">
        <f>IFERROR(IF(O442="","",SUMIFS('CPL Mats'!F:F,'CPL Mats'!Q:Q,AR442,'CPL Mats'!S:S,AS442)),"")</f>
        <v>0</v>
      </c>
      <c r="AF442" s="25" t="str">
        <f>IF(SUMIFS('Supp Consol'!S:S,'Supp Consol'!Y:Y,"Releasable",'Supp Consol'!A:A,O442)=0,"",SUMIFS('Supp Consol'!S:S,'Supp Consol'!Y:Y,"Releasable",'Supp Consol'!A:A,O442))</f>
        <v/>
      </c>
      <c r="AG442" s="25" t="str">
        <f>IFERROR(INDEX('Hun Demand'!Q:Q,MATCH(O442,'Hun Demand'!A:A,0)),"")</f>
        <v/>
      </c>
      <c r="AH442" s="25" t="str">
        <f>IFERROR(INDEX('Hun Demand'!H:H,MATCH($O442,'Hun Demand'!$A:$A,0)),"")</f>
        <v/>
      </c>
      <c r="AI442" s="25" t="str">
        <f>IF(SUMIFS('Supp Consol'!AA:AA,'Supp Consol'!Z:Z,"Expires this month",'Supp Consol'!A:A,O442)=0,"",SUMIFS('Supp Consol'!AA:AA,'Supp Consol'!Z:Z,"Expires this month",'Supp Consol'!A:A,O442))</f>
        <v/>
      </c>
      <c r="AJ442" s="25" t="str">
        <f>IF(SUMIFS('Supp Consol'!AA:AA,'Supp Consol'!Z:Z,"Expired Previous Months",'Supp Consol'!A:A,O442)=0,"",SUMIFS('Supp Consol'!AA:AA,'Supp Consol'!Z:Z,"Expired Previous Months",'Supp Consol'!A:A,O442))</f>
        <v/>
      </c>
      <c r="AK442" s="25" t="str">
        <f>IFERROR(INDEX('Hun Release Current'!B:B,MATCH(O442,'Hun Release Current'!A:A,0)),"")</f>
        <v/>
      </c>
      <c r="AL442" s="25" t="str">
        <f>IF(SUMIF('Prev Aub'!A:A,O442,'Prev Aub'!B:B)=0,"",SUMIF('Prev Aub'!A:A,O442,'Prev Aub'!B:B))</f>
        <v/>
      </c>
      <c r="AN442" s="25" t="s">
        <v>3790</v>
      </c>
      <c r="AO442" s="25" t="s">
        <v>3790</v>
      </c>
      <c r="AP442" s="25">
        <f t="shared" si="174"/>
        <v>0</v>
      </c>
      <c r="AQ442" s="151" t="str">
        <f>IF(SUMIFS('Supp Consol'!S:S,'Supp Consol'!A:A,O442,'Supp Consol'!I:I,"PENDING")=0,"",SUMIFS('Supp Consol'!S:S,'Supp Consol'!A:A,O442,'Supp Consol'!I:I,"PENDING"))</f>
        <v/>
      </c>
      <c r="AR442" s="27" t="str">
        <f t="shared" si="175"/>
        <v>FB432</v>
      </c>
      <c r="AS442" s="27" t="str">
        <f t="shared" si="176"/>
        <v>62</v>
      </c>
      <c r="AT442" s="27" t="str">
        <f t="shared" si="177"/>
        <v/>
      </c>
      <c r="AU442" s="27" t="str">
        <f t="shared" si="178"/>
        <v/>
      </c>
      <c r="AV442" s="27" t="str">
        <f t="shared" si="179"/>
        <v/>
      </c>
      <c r="AW442" s="27" t="str">
        <f t="shared" si="180"/>
        <v/>
      </c>
      <c r="AX442" s="27" t="str">
        <f t="shared" si="181"/>
        <v/>
      </c>
      <c r="AY442" s="27" t="str">
        <f t="shared" si="182"/>
        <v/>
      </c>
      <c r="AZ442" s="27" t="str">
        <f t="shared" si="183"/>
        <v/>
      </c>
      <c r="BA442" s="27" t="str">
        <f t="shared" si="184"/>
        <v/>
      </c>
      <c r="BB442" s="27" t="str">
        <f t="shared" si="185"/>
        <v/>
      </c>
      <c r="BC442" s="27" t="str">
        <f t="shared" si="186"/>
        <v/>
      </c>
      <c r="BD442" s="27" t="str">
        <f t="shared" si="187"/>
        <v/>
      </c>
      <c r="BE442" s="27" t="str">
        <f t="shared" si="188"/>
        <v/>
      </c>
      <c r="BF442" s="27" t="str">
        <f t="shared" si="189"/>
        <v/>
      </c>
      <c r="BG442" s="27" t="str">
        <f t="shared" si="190"/>
        <v/>
      </c>
      <c r="BH442" s="27" t="str">
        <f t="shared" si="191"/>
        <v/>
      </c>
      <c r="BI442" s="27" t="str">
        <f t="shared" si="192"/>
        <v/>
      </c>
      <c r="BJ442" s="27" t="str">
        <f t="shared" si="193"/>
        <v/>
      </c>
      <c r="BK442" s="27" t="str">
        <f t="shared" si="194"/>
        <v/>
      </c>
      <c r="BL442" s="27" t="str">
        <f t="shared" si="195"/>
        <v/>
      </c>
      <c r="BM442" s="21" t="s">
        <v>5581</v>
      </c>
    </row>
    <row r="443" spans="1:65" ht="15">
      <c r="A443" s="25" t="str">
        <f>IFERROR(INDEX('Hun Demand'!W:W,MATCH(O443,'Hun Demand'!A:A,0)),"")</f>
        <v/>
      </c>
      <c r="B443" s="25" t="str">
        <f>IFERROR(INDEX('Hun Demand'!V:V,MATCH(O443,'Hun Demand'!A:A,0)),"")</f>
        <v/>
      </c>
      <c r="C443" s="25" t="str">
        <f>IFERROR(INDEX('Hun Demand'!U:U,MATCH(O443,'Hun Demand'!A:A,0)),"")</f>
        <v/>
      </c>
      <c r="D443" s="25" t="str">
        <f>IFERROR(INDEX('Hun Demand'!T:T,MATCH(O443,'Hun Demand'!A:A,0)),"")</f>
        <v/>
      </c>
      <c r="E443" s="25" t="str">
        <f>IFERROR(INDEX('Hun Demand'!S:S,MATCH(O443,'Hun Demand'!A:A,0)),"")</f>
        <v/>
      </c>
      <c r="F443" s="25" t="str">
        <f>IFERROR(INDEX('Hun Demand'!R:R,MATCH(O443,'Hun Demand'!A:A,0)),"")</f>
        <v/>
      </c>
      <c r="G443" s="25">
        <f>IFERROR(INDEX('Aub Demand'!W:W,MATCH(O443,'Aub Demand'!A:A,0)),"")</f>
        <v>0</v>
      </c>
      <c r="H443" s="25">
        <f>IFERROR(INDEX('Aub Demand'!V:V,MATCH(O443,'Aub Demand'!A:A,0)),"")</f>
        <v>0</v>
      </c>
      <c r="I443" s="25">
        <f>IFERROR(INDEX('Aub Demand'!U:U,MATCH(O443,'Aub Demand'!A:A,0)),"")</f>
        <v>0</v>
      </c>
      <c r="J443" s="25">
        <f>IFERROR(INDEX('Aub Demand'!T:T,MATCH(O443,'Aub Demand'!A:A,0)),"")</f>
        <v>0</v>
      </c>
      <c r="K443" s="25">
        <f>IFERROR(INDEX('Aub Demand'!S:S,MATCH(O443,'Aub Demand'!A:A,0)),"")</f>
        <v>0</v>
      </c>
      <c r="L443" s="25">
        <f>IFERROR(INDEX('Aub Demand'!R:R,MATCH(O443,'Aub Demand'!A:A,0)),"")</f>
        <v>0</v>
      </c>
      <c r="O443" s="27" t="s">
        <v>750</v>
      </c>
      <c r="P443" s="27" t="str">
        <f>IFERROR(INDEX('Aub Demand'!B:B,MATCH($O443,'Aub Demand'!$A:$A,0)),"")</f>
        <v>GIBRALTER</v>
      </c>
      <c r="Q443" s="27" t="str">
        <f>IFERROR(INDEX('Aub Demand'!C:C,MATCH($O443,'Aub Demand'!$A:$A,0)),"")</f>
        <v>ARAUC</v>
      </c>
      <c r="R443" s="52">
        <f>IFERROR(IF(AR444=AR443,INDEX('Aub Demand'!K:K,MATCH($O443,'Aub Demand'!$A:$A,0))-IF(AN443="",0,AN443)+AP444,INDEX('Aub Demand'!K:K,MATCH($O443,'Aub Demand'!$A:$A,0))-IF(AN443="",0,AN443)),"")</f>
        <v>68</v>
      </c>
      <c r="S443" s="53" t="str">
        <f t="shared" si="168"/>
        <v>n/a</v>
      </c>
      <c r="T443" s="52" t="str">
        <f t="shared" si="169"/>
        <v/>
      </c>
      <c r="U443" s="52">
        <f>IFERROR(IF(AR444=AR443,INDEX('Aub Demand'!Q:Q,MATCH($O443,'Aub Demand'!$A:$A,0))-IF(AN443="",0,AN443)+AP444,INDEX('Aub Demand'!Q:Q,MATCH($O443,'Aub Demand'!$A:$A,0))-IF(AN443="",0,AN443)),"")</f>
        <v>68</v>
      </c>
      <c r="V443" s="53" t="str">
        <f t="shared" si="170"/>
        <v>n/a</v>
      </c>
      <c r="W443" s="52" t="str">
        <f t="shared" si="171"/>
        <v/>
      </c>
      <c r="X443" s="52">
        <f>IFERROR(IF(AND(AR444=AR443,AM443&lt;&gt;""),INDEX('Aub Demand'!Q:Q,MATCH($O443,'Aub Demand'!$A:$A,0))-IF(AN443="",0,AN443)+AP444+AD443+AL443,IF(AR444=AR443,INDEX('Aub Demand'!Q:Q,MATCH($O443,'Aub Demand'!$A:$A,0))-IF(AN443="",0,AN443)+AP444+AD443,IF(AM443&lt;&gt;"",INDEX('Aub Demand'!Q:Q,MATCH($O443,'Aub Demand'!$A:$A,0))-IF(AN443="",0,AN443)+AD443+AL443,INDEX('Aub Demand'!Q:Q,MATCH($O443,'Aub Demand'!$A:$A,0))-IF(AN443="",0,AN443)+AD443))),"")</f>
        <v>68</v>
      </c>
      <c r="Y443" s="53" t="str">
        <f t="shared" si="172"/>
        <v>n/a</v>
      </c>
      <c r="Z443" s="52">
        <f>IF(L443="","",INDEX('Aub Demand'!H:H,MATCH($O443,'Aub Demand'!$A:$A,0)))</f>
        <v>0</v>
      </c>
      <c r="AA443" s="52" t="str">
        <f t="shared" si="173"/>
        <v>-spike-</v>
      </c>
      <c r="AB443" s="52">
        <f>IFERROR(INDEX('Aub Demand'!L:L,MATCH($O443,'Aub Demand'!$A:$A,0)),"")</f>
        <v>0</v>
      </c>
      <c r="AC443" s="52">
        <f>IFERROR(IF(O443="","",SUMIFS('CPL Mats'!F:F,'CPL Mats'!Q:Q,AR443,'CPL Mats'!S:S,AS443)),"")</f>
        <v>0</v>
      </c>
      <c r="AF443" s="25" t="str">
        <f>IF(SUMIFS('Supp Consol'!S:S,'Supp Consol'!Y:Y,"Releasable",'Supp Consol'!A:A,O443)=0,"",SUMIFS('Supp Consol'!S:S,'Supp Consol'!Y:Y,"Releasable",'Supp Consol'!A:A,O443))</f>
        <v/>
      </c>
      <c r="AG443" s="25" t="str">
        <f>IFERROR(INDEX('Hun Demand'!Q:Q,MATCH(O443,'Hun Demand'!A:A,0)),"")</f>
        <v/>
      </c>
      <c r="AH443" s="25" t="str">
        <f>IFERROR(INDEX('Hun Demand'!H:H,MATCH($O443,'Hun Demand'!$A:$A,0)),"")</f>
        <v/>
      </c>
      <c r="AI443" s="25" t="str">
        <f>IF(SUMIFS('Supp Consol'!AA:AA,'Supp Consol'!Z:Z,"Expires this month",'Supp Consol'!A:A,O443)=0,"",SUMIFS('Supp Consol'!AA:AA,'Supp Consol'!Z:Z,"Expires this month",'Supp Consol'!A:A,O443))</f>
        <v/>
      </c>
      <c r="AJ443" s="25" t="str">
        <f>IF(SUMIFS('Supp Consol'!AA:AA,'Supp Consol'!Z:Z,"Expired Previous Months",'Supp Consol'!A:A,O443)=0,"",SUMIFS('Supp Consol'!AA:AA,'Supp Consol'!Z:Z,"Expired Previous Months",'Supp Consol'!A:A,O443))</f>
        <v/>
      </c>
      <c r="AK443" s="25" t="str">
        <f>IFERROR(INDEX('Hun Release Current'!B:B,MATCH(O443,'Hun Release Current'!A:A,0)),"")</f>
        <v/>
      </c>
      <c r="AL443" s="25" t="str">
        <f>IF(SUMIF('Prev Aub'!A:A,O443,'Prev Aub'!B:B)=0,"",SUMIF('Prev Aub'!A:A,O443,'Prev Aub'!B:B))</f>
        <v/>
      </c>
      <c r="AN443" s="25" t="s">
        <v>3790</v>
      </c>
      <c r="AO443" s="25" t="s">
        <v>3790</v>
      </c>
      <c r="AP443" s="25">
        <f t="shared" si="174"/>
        <v>0</v>
      </c>
      <c r="AQ443" s="151" t="str">
        <f>IF(SUMIFS('Supp Consol'!S:S,'Supp Consol'!A:A,O443,'Supp Consol'!I:I,"PENDING")=0,"",SUMIFS('Supp Consol'!S:S,'Supp Consol'!A:A,O443,'Supp Consol'!I:I,"PENDING"))</f>
        <v/>
      </c>
      <c r="AR443" s="27" t="str">
        <f t="shared" si="175"/>
        <v>FB434</v>
      </c>
      <c r="AS443" s="27" t="str">
        <f t="shared" si="176"/>
        <v>62</v>
      </c>
      <c r="AT443" s="27" t="str">
        <f t="shared" si="177"/>
        <v/>
      </c>
      <c r="AU443" s="27" t="str">
        <f t="shared" si="178"/>
        <v/>
      </c>
      <c r="AV443" s="27" t="str">
        <f t="shared" si="179"/>
        <v/>
      </c>
      <c r="AW443" s="27" t="str">
        <f t="shared" si="180"/>
        <v/>
      </c>
      <c r="AX443" s="27" t="str">
        <f t="shared" si="181"/>
        <v/>
      </c>
      <c r="AY443" s="27" t="str">
        <f t="shared" si="182"/>
        <v/>
      </c>
      <c r="AZ443" s="27" t="str">
        <f t="shared" si="183"/>
        <v/>
      </c>
      <c r="BA443" s="27" t="str">
        <f t="shared" si="184"/>
        <v/>
      </c>
      <c r="BB443" s="27" t="str">
        <f t="shared" si="185"/>
        <v/>
      </c>
      <c r="BC443" s="27" t="str">
        <f t="shared" si="186"/>
        <v/>
      </c>
      <c r="BD443" s="27" t="str">
        <f t="shared" si="187"/>
        <v/>
      </c>
      <c r="BE443" s="27" t="str">
        <f t="shared" si="188"/>
        <v/>
      </c>
      <c r="BF443" s="27" t="str">
        <f t="shared" si="189"/>
        <v/>
      </c>
      <c r="BG443" s="27" t="str">
        <f t="shared" si="190"/>
        <v/>
      </c>
      <c r="BH443" s="27" t="str">
        <f t="shared" si="191"/>
        <v/>
      </c>
      <c r="BI443" s="27" t="str">
        <f t="shared" si="192"/>
        <v/>
      </c>
      <c r="BJ443" s="27" t="str">
        <f t="shared" si="193"/>
        <v/>
      </c>
      <c r="BK443" s="27" t="str">
        <f t="shared" si="194"/>
        <v/>
      </c>
      <c r="BL443" s="27" t="str">
        <f t="shared" si="195"/>
        <v/>
      </c>
      <c r="BM443" s="21" t="s">
        <v>3790</v>
      </c>
    </row>
    <row r="444" spans="1:65" ht="15">
      <c r="A444" s="25" t="str">
        <f>IFERROR(INDEX('Hun Demand'!W:W,MATCH(O444,'Hun Demand'!A:A,0)),"")</f>
        <v/>
      </c>
      <c r="B444" s="25" t="str">
        <f>IFERROR(INDEX('Hun Demand'!V:V,MATCH(O444,'Hun Demand'!A:A,0)),"")</f>
        <v/>
      </c>
      <c r="C444" s="25" t="str">
        <f>IFERROR(INDEX('Hun Demand'!U:U,MATCH(O444,'Hun Demand'!A:A,0)),"")</f>
        <v/>
      </c>
      <c r="D444" s="25" t="str">
        <f>IFERROR(INDEX('Hun Demand'!T:T,MATCH(O444,'Hun Demand'!A:A,0)),"")</f>
        <v/>
      </c>
      <c r="E444" s="25" t="str">
        <f>IFERROR(INDEX('Hun Demand'!S:S,MATCH(O444,'Hun Demand'!A:A,0)),"")</f>
        <v/>
      </c>
      <c r="F444" s="25" t="str">
        <f>IFERROR(INDEX('Hun Demand'!R:R,MATCH(O444,'Hun Demand'!A:A,0)),"")</f>
        <v/>
      </c>
      <c r="G444" s="25">
        <f>IFERROR(INDEX('Aub Demand'!W:W,MATCH(O444,'Aub Demand'!A:A,0)),"")</f>
        <v>0</v>
      </c>
      <c r="H444" s="25">
        <f>IFERROR(INDEX('Aub Demand'!V:V,MATCH(O444,'Aub Demand'!A:A,0)),"")</f>
        <v>0</v>
      </c>
      <c r="I444" s="25">
        <f>IFERROR(INDEX('Aub Demand'!U:U,MATCH(O444,'Aub Demand'!A:A,0)),"")</f>
        <v>0</v>
      </c>
      <c r="J444" s="25">
        <f>IFERROR(INDEX('Aub Demand'!T:T,MATCH(O444,'Aub Demand'!A:A,0)),"")</f>
        <v>0</v>
      </c>
      <c r="K444" s="25">
        <f>IFERROR(INDEX('Aub Demand'!S:S,MATCH(O444,'Aub Demand'!A:A,0)),"")</f>
        <v>0</v>
      </c>
      <c r="L444" s="25">
        <f>IFERROR(INDEX('Aub Demand'!R:R,MATCH(O444,'Aub Demand'!A:A,0)),"")</f>
        <v>0</v>
      </c>
      <c r="O444" s="27" t="s">
        <v>752</v>
      </c>
      <c r="P444" s="27" t="str">
        <f>IFERROR(INDEX('Aub Demand'!B:B,MATCH($O444,'Aub Demand'!$A:$A,0)),"")</f>
        <v>KODIAK</v>
      </c>
      <c r="Q444" s="27" t="str">
        <f>IFERROR(INDEX('Aub Demand'!C:C,MATCH($O444,'Aub Demand'!$A:$A,0)),"")</f>
        <v>ARAUC</v>
      </c>
      <c r="R444" s="52">
        <f>IFERROR(IF(AR445=AR444,INDEX('Aub Demand'!K:K,MATCH($O444,'Aub Demand'!$A:$A,0))-IF(AN444="",0,AN444)+AP445,INDEX('Aub Demand'!K:K,MATCH($O444,'Aub Demand'!$A:$A,0))-IF(AN444="",0,AN444)),"")</f>
        <v>63</v>
      </c>
      <c r="S444" s="53" t="str">
        <f t="shared" si="168"/>
        <v>n/a</v>
      </c>
      <c r="T444" s="52" t="str">
        <f t="shared" si="169"/>
        <v/>
      </c>
      <c r="U444" s="52">
        <f>IFERROR(IF(AR445=AR444,INDEX('Aub Demand'!Q:Q,MATCH($O444,'Aub Demand'!$A:$A,0))-IF(AN444="",0,AN444)+AP445,INDEX('Aub Demand'!Q:Q,MATCH($O444,'Aub Demand'!$A:$A,0))-IF(AN444="",0,AN444)),"")</f>
        <v>63</v>
      </c>
      <c r="V444" s="53" t="str">
        <f t="shared" si="170"/>
        <v>n/a</v>
      </c>
      <c r="W444" s="52" t="str">
        <f t="shared" si="171"/>
        <v/>
      </c>
      <c r="X444" s="52">
        <f>IFERROR(IF(AND(AR445=AR444,AM444&lt;&gt;""),INDEX('Aub Demand'!Q:Q,MATCH($O444,'Aub Demand'!$A:$A,0))-IF(AN444="",0,AN444)+AP445+AD444+AL444,IF(AR445=AR444,INDEX('Aub Demand'!Q:Q,MATCH($O444,'Aub Demand'!$A:$A,0))-IF(AN444="",0,AN444)+AP445+AD444,IF(AM444&lt;&gt;"",INDEX('Aub Demand'!Q:Q,MATCH($O444,'Aub Demand'!$A:$A,0))-IF(AN444="",0,AN444)+AD444+AL444,INDEX('Aub Demand'!Q:Q,MATCH($O444,'Aub Demand'!$A:$A,0))-IF(AN444="",0,AN444)+AD444))),"")</f>
        <v>63</v>
      </c>
      <c r="Y444" s="53" t="str">
        <f t="shared" si="172"/>
        <v>n/a</v>
      </c>
      <c r="Z444" s="52">
        <f>IF(L444="","",INDEX('Aub Demand'!H:H,MATCH($O444,'Aub Demand'!$A:$A,0)))</f>
        <v>0</v>
      </c>
      <c r="AA444" s="52" t="str">
        <f t="shared" si="173"/>
        <v>-spike-</v>
      </c>
      <c r="AB444" s="52">
        <f>IFERROR(INDEX('Aub Demand'!L:L,MATCH($O444,'Aub Demand'!$A:$A,0)),"")</f>
        <v>0</v>
      </c>
      <c r="AC444" s="52">
        <f>IFERROR(IF(O444="","",SUMIFS('CPL Mats'!F:F,'CPL Mats'!Q:Q,AR444,'CPL Mats'!S:S,AS444)),"")</f>
        <v>0</v>
      </c>
      <c r="AF444" s="25" t="str">
        <f>IF(SUMIFS('Supp Consol'!S:S,'Supp Consol'!Y:Y,"Releasable",'Supp Consol'!A:A,O444)=0,"",SUMIFS('Supp Consol'!S:S,'Supp Consol'!Y:Y,"Releasable",'Supp Consol'!A:A,O444))</f>
        <v/>
      </c>
      <c r="AG444" s="25" t="str">
        <f>IFERROR(INDEX('Hun Demand'!Q:Q,MATCH(O444,'Hun Demand'!A:A,0)),"")</f>
        <v/>
      </c>
      <c r="AH444" s="25" t="str">
        <f>IFERROR(INDEX('Hun Demand'!H:H,MATCH($O444,'Hun Demand'!$A:$A,0)),"")</f>
        <v/>
      </c>
      <c r="AI444" s="25" t="str">
        <f>IF(SUMIFS('Supp Consol'!AA:AA,'Supp Consol'!Z:Z,"Expires this month",'Supp Consol'!A:A,O444)=0,"",SUMIFS('Supp Consol'!AA:AA,'Supp Consol'!Z:Z,"Expires this month",'Supp Consol'!A:A,O444))</f>
        <v/>
      </c>
      <c r="AJ444" s="25" t="str">
        <f>IF(SUMIFS('Supp Consol'!AA:AA,'Supp Consol'!Z:Z,"Expired Previous Months",'Supp Consol'!A:A,O444)=0,"",SUMIFS('Supp Consol'!AA:AA,'Supp Consol'!Z:Z,"Expired Previous Months",'Supp Consol'!A:A,O444))</f>
        <v/>
      </c>
      <c r="AK444" s="25" t="str">
        <f>IFERROR(INDEX('Hun Release Current'!B:B,MATCH(O444,'Hun Release Current'!A:A,0)),"")</f>
        <v/>
      </c>
      <c r="AL444" s="25" t="str">
        <f>IF(SUMIF('Prev Aub'!A:A,O444,'Prev Aub'!B:B)=0,"",SUMIF('Prev Aub'!A:A,O444,'Prev Aub'!B:B))</f>
        <v/>
      </c>
      <c r="AN444" s="25" t="s">
        <v>3790</v>
      </c>
      <c r="AO444" s="25" t="s">
        <v>3790</v>
      </c>
      <c r="AP444" s="25">
        <f t="shared" si="174"/>
        <v>0</v>
      </c>
      <c r="AQ444" s="151" t="str">
        <f>IF(SUMIFS('Supp Consol'!S:S,'Supp Consol'!A:A,O444,'Supp Consol'!I:I,"PENDING")=0,"",SUMIFS('Supp Consol'!S:S,'Supp Consol'!A:A,O444,'Supp Consol'!I:I,"PENDING"))</f>
        <v/>
      </c>
      <c r="AR444" s="27" t="str">
        <f t="shared" si="175"/>
        <v>FB436</v>
      </c>
      <c r="AS444" s="27" t="str">
        <f t="shared" si="176"/>
        <v>62</v>
      </c>
      <c r="AT444" s="27" t="str">
        <f t="shared" si="177"/>
        <v/>
      </c>
      <c r="AU444" s="27" t="str">
        <f t="shared" si="178"/>
        <v/>
      </c>
      <c r="AV444" s="27" t="str">
        <f t="shared" si="179"/>
        <v/>
      </c>
      <c r="AW444" s="27" t="str">
        <f t="shared" si="180"/>
        <v/>
      </c>
      <c r="AX444" s="27" t="str">
        <f t="shared" si="181"/>
        <v/>
      </c>
      <c r="AY444" s="27" t="str">
        <f t="shared" si="182"/>
        <v/>
      </c>
      <c r="AZ444" s="27" t="str">
        <f t="shared" si="183"/>
        <v/>
      </c>
      <c r="BA444" s="27" t="str">
        <f t="shared" si="184"/>
        <v/>
      </c>
      <c r="BB444" s="27" t="str">
        <f t="shared" si="185"/>
        <v/>
      </c>
      <c r="BC444" s="27" t="str">
        <f t="shared" si="186"/>
        <v/>
      </c>
      <c r="BD444" s="27" t="str">
        <f t="shared" si="187"/>
        <v/>
      </c>
      <c r="BE444" s="27" t="str">
        <f t="shared" si="188"/>
        <v/>
      </c>
      <c r="BF444" s="27" t="str">
        <f t="shared" si="189"/>
        <v/>
      </c>
      <c r="BG444" s="27" t="str">
        <f t="shared" si="190"/>
        <v/>
      </c>
      <c r="BH444" s="27" t="str">
        <f t="shared" si="191"/>
        <v/>
      </c>
      <c r="BI444" s="27" t="str">
        <f t="shared" si="192"/>
        <v/>
      </c>
      <c r="BJ444" s="27" t="str">
        <f t="shared" si="193"/>
        <v/>
      </c>
      <c r="BK444" s="27" t="str">
        <f t="shared" si="194"/>
        <v/>
      </c>
      <c r="BL444" s="27" t="str">
        <f t="shared" si="195"/>
        <v/>
      </c>
      <c r="BM444" s="21" t="s">
        <v>3790</v>
      </c>
    </row>
    <row r="445" spans="1:65" ht="15">
      <c r="A445" s="25" t="str">
        <f>IFERROR(INDEX('Hun Demand'!W:W,MATCH(O445,'Hun Demand'!A:A,0)),"")</f>
        <v/>
      </c>
      <c r="B445" s="25" t="str">
        <f>IFERROR(INDEX('Hun Demand'!V:V,MATCH(O445,'Hun Demand'!A:A,0)),"")</f>
        <v/>
      </c>
      <c r="C445" s="25" t="str">
        <f>IFERROR(INDEX('Hun Demand'!U:U,MATCH(O445,'Hun Demand'!A:A,0)),"")</f>
        <v/>
      </c>
      <c r="D445" s="25" t="str">
        <f>IFERROR(INDEX('Hun Demand'!T:T,MATCH(O445,'Hun Demand'!A:A,0)),"")</f>
        <v/>
      </c>
      <c r="E445" s="25" t="str">
        <f>IFERROR(INDEX('Hun Demand'!S:S,MATCH(O445,'Hun Demand'!A:A,0)),"")</f>
        <v/>
      </c>
      <c r="F445" s="25" t="str">
        <f>IFERROR(INDEX('Hun Demand'!R:R,MATCH(O445,'Hun Demand'!A:A,0)),"")</f>
        <v/>
      </c>
      <c r="G445" s="25">
        <f>IFERROR(INDEX('Aub Demand'!W:W,MATCH(O445,'Aub Demand'!A:A,0)),"")</f>
        <v>0</v>
      </c>
      <c r="H445" s="25">
        <f>IFERROR(INDEX('Aub Demand'!V:V,MATCH(O445,'Aub Demand'!A:A,0)),"")</f>
        <v>26</v>
      </c>
      <c r="I445" s="25">
        <f>IFERROR(INDEX('Aub Demand'!U:U,MATCH(O445,'Aub Demand'!A:A,0)),"")</f>
        <v>0</v>
      </c>
      <c r="J445" s="25">
        <f>IFERROR(INDEX('Aub Demand'!T:T,MATCH(O445,'Aub Demand'!A:A,0)),"")</f>
        <v>0</v>
      </c>
      <c r="K445" s="25">
        <f>IFERROR(INDEX('Aub Demand'!S:S,MATCH(O445,'Aub Demand'!A:A,0)),"")</f>
        <v>0</v>
      </c>
      <c r="L445" s="25">
        <f>IFERROR(INDEX('Aub Demand'!R:R,MATCH(O445,'Aub Demand'!A:A,0)),"")</f>
        <v>0</v>
      </c>
      <c r="O445" s="27" t="s">
        <v>754</v>
      </c>
      <c r="P445" s="27" t="str">
        <f>IFERROR(INDEX('Aub Demand'!B:B,MATCH($O445,'Aub Demand'!$A:$A,0)),"")</f>
        <v>PEWTER GRAY</v>
      </c>
      <c r="Q445" s="27" t="str">
        <f>IFERROR(INDEX('Aub Demand'!C:C,MATCH($O445,'Aub Demand'!$A:$A,0)),"")</f>
        <v>ARAUC</v>
      </c>
      <c r="R445" s="52">
        <f>IFERROR(IF(AR446=AR445,INDEX('Aub Demand'!K:K,MATCH($O445,'Aub Demand'!$A:$A,0))-IF(AN445="",0,AN445)+AP446,INDEX('Aub Demand'!K:K,MATCH($O445,'Aub Demand'!$A:$A,0))-IF(AN445="",0,AN445)),"")</f>
        <v>60</v>
      </c>
      <c r="S445" s="53" t="str">
        <f t="shared" si="168"/>
        <v>n/a</v>
      </c>
      <c r="T445" s="52" t="str">
        <f t="shared" si="169"/>
        <v/>
      </c>
      <c r="U445" s="52">
        <f>IFERROR(IF(AR446=AR445,INDEX('Aub Demand'!Q:Q,MATCH($O445,'Aub Demand'!$A:$A,0))-IF(AN445="",0,AN445)+AP446,INDEX('Aub Demand'!Q:Q,MATCH($O445,'Aub Demand'!$A:$A,0))-IF(AN445="",0,AN445)),"")</f>
        <v>60</v>
      </c>
      <c r="V445" s="53" t="str">
        <f t="shared" si="170"/>
        <v>n/a</v>
      </c>
      <c r="W445" s="52" t="str">
        <f t="shared" si="171"/>
        <v/>
      </c>
      <c r="X445" s="52">
        <f>IFERROR(IF(AND(AR446=AR445,AM445&lt;&gt;""),INDEX('Aub Demand'!Q:Q,MATCH($O445,'Aub Demand'!$A:$A,0))-IF(AN445="",0,AN445)+AP446+AD445+AL445,IF(AR446=AR445,INDEX('Aub Demand'!Q:Q,MATCH($O445,'Aub Demand'!$A:$A,0))-IF(AN445="",0,AN445)+AP446+AD445,IF(AM445&lt;&gt;"",INDEX('Aub Demand'!Q:Q,MATCH($O445,'Aub Demand'!$A:$A,0))-IF(AN445="",0,AN445)+AD445+AL445,INDEX('Aub Demand'!Q:Q,MATCH($O445,'Aub Demand'!$A:$A,0))-IF(AN445="",0,AN445)+AD445))),"")</f>
        <v>60</v>
      </c>
      <c r="Y445" s="53" t="str">
        <f t="shared" si="172"/>
        <v>n/a</v>
      </c>
      <c r="Z445" s="52">
        <f>IF(L445="","",INDEX('Aub Demand'!H:H,MATCH($O445,'Aub Demand'!$A:$A,0)))</f>
        <v>0</v>
      </c>
      <c r="AA445" s="52" t="str">
        <f t="shared" si="173"/>
        <v>-spike-</v>
      </c>
      <c r="AB445" s="52">
        <f>IFERROR(INDEX('Aub Demand'!L:L,MATCH($O445,'Aub Demand'!$A:$A,0)),"")</f>
        <v>4</v>
      </c>
      <c r="AC445" s="52">
        <f>IFERROR(IF(O445="","",SUMIFS('CPL Mats'!F:F,'CPL Mats'!Q:Q,AR445,'CPL Mats'!S:S,AS445)),"")</f>
        <v>0</v>
      </c>
      <c r="AF445" s="25" t="str">
        <f>IF(SUMIFS('Supp Consol'!S:S,'Supp Consol'!Y:Y,"Releasable",'Supp Consol'!A:A,O445)=0,"",SUMIFS('Supp Consol'!S:S,'Supp Consol'!Y:Y,"Releasable",'Supp Consol'!A:A,O445))</f>
        <v/>
      </c>
      <c r="AG445" s="25" t="str">
        <f>IFERROR(INDEX('Hun Demand'!Q:Q,MATCH(O445,'Hun Demand'!A:A,0)),"")</f>
        <v/>
      </c>
      <c r="AH445" s="25" t="str">
        <f>IFERROR(INDEX('Hun Demand'!H:H,MATCH($O445,'Hun Demand'!$A:$A,0)),"")</f>
        <v/>
      </c>
      <c r="AI445" s="25" t="str">
        <f>IF(SUMIFS('Supp Consol'!AA:AA,'Supp Consol'!Z:Z,"Expires this month",'Supp Consol'!A:A,O445)=0,"",SUMIFS('Supp Consol'!AA:AA,'Supp Consol'!Z:Z,"Expires this month",'Supp Consol'!A:A,O445))</f>
        <v/>
      </c>
      <c r="AJ445" s="25" t="str">
        <f>IF(SUMIFS('Supp Consol'!AA:AA,'Supp Consol'!Z:Z,"Expired Previous Months",'Supp Consol'!A:A,O445)=0,"",SUMIFS('Supp Consol'!AA:AA,'Supp Consol'!Z:Z,"Expired Previous Months",'Supp Consol'!A:A,O445))</f>
        <v/>
      </c>
      <c r="AK445" s="25" t="str">
        <f>IFERROR(INDEX('Hun Release Current'!B:B,MATCH(O445,'Hun Release Current'!A:A,0)),"")</f>
        <v/>
      </c>
      <c r="AL445" s="25" t="str">
        <f>IF(SUMIF('Prev Aub'!A:A,O445,'Prev Aub'!B:B)=0,"",SUMIF('Prev Aub'!A:A,O445,'Prev Aub'!B:B))</f>
        <v/>
      </c>
      <c r="AN445" s="25" t="s">
        <v>3790</v>
      </c>
      <c r="AO445" s="25" t="s">
        <v>3790</v>
      </c>
      <c r="AP445" s="25">
        <f t="shared" si="174"/>
        <v>0</v>
      </c>
      <c r="AQ445" s="151" t="str">
        <f>IF(SUMIFS('Supp Consol'!S:S,'Supp Consol'!A:A,O445,'Supp Consol'!I:I,"PENDING")=0,"",SUMIFS('Supp Consol'!S:S,'Supp Consol'!A:A,O445,'Supp Consol'!I:I,"PENDING"))</f>
        <v/>
      </c>
      <c r="AR445" s="27" t="str">
        <f t="shared" si="175"/>
        <v>FB437</v>
      </c>
      <c r="AS445" s="27" t="str">
        <f t="shared" si="176"/>
        <v>50</v>
      </c>
      <c r="AT445" s="27" t="str">
        <f t="shared" si="177"/>
        <v/>
      </c>
      <c r="AU445" s="27" t="str">
        <f t="shared" si="178"/>
        <v/>
      </c>
      <c r="AV445" s="27" t="str">
        <f t="shared" si="179"/>
        <v/>
      </c>
      <c r="AW445" s="27" t="str">
        <f t="shared" si="180"/>
        <v/>
      </c>
      <c r="AX445" s="27" t="str">
        <f t="shared" si="181"/>
        <v/>
      </c>
      <c r="AY445" s="27" t="str">
        <f t="shared" si="182"/>
        <v/>
      </c>
      <c r="AZ445" s="27" t="str">
        <f t="shared" si="183"/>
        <v/>
      </c>
      <c r="BA445" s="27" t="str">
        <f t="shared" si="184"/>
        <v/>
      </c>
      <c r="BB445" s="27" t="str">
        <f t="shared" si="185"/>
        <v/>
      </c>
      <c r="BC445" s="27" t="str">
        <f t="shared" si="186"/>
        <v/>
      </c>
      <c r="BD445" s="27" t="str">
        <f t="shared" si="187"/>
        <v/>
      </c>
      <c r="BE445" s="27" t="str">
        <f t="shared" si="188"/>
        <v/>
      </c>
      <c r="BF445" s="27" t="str">
        <f t="shared" si="189"/>
        <v/>
      </c>
      <c r="BG445" s="27" t="str">
        <f t="shared" si="190"/>
        <v/>
      </c>
      <c r="BH445" s="27" t="str">
        <f t="shared" si="191"/>
        <v/>
      </c>
      <c r="BI445" s="27" t="str">
        <f t="shared" si="192"/>
        <v/>
      </c>
      <c r="BJ445" s="27" t="str">
        <f t="shared" si="193"/>
        <v/>
      </c>
      <c r="BK445" s="27" t="str">
        <f t="shared" si="194"/>
        <v/>
      </c>
      <c r="BL445" s="27" t="str">
        <f t="shared" si="195"/>
        <v/>
      </c>
      <c r="BM445" s="21" t="s">
        <v>3790</v>
      </c>
    </row>
    <row r="446" spans="1:65" ht="15">
      <c r="A446" s="25" t="str">
        <f>IFERROR(INDEX('Hun Demand'!W:W,MATCH(O446,'Hun Demand'!A:A,0)),"")</f>
        <v/>
      </c>
      <c r="B446" s="25" t="str">
        <f>IFERROR(INDEX('Hun Demand'!V:V,MATCH(O446,'Hun Demand'!A:A,0)),"")</f>
        <v/>
      </c>
      <c r="C446" s="25" t="str">
        <f>IFERROR(INDEX('Hun Demand'!U:U,MATCH(O446,'Hun Demand'!A:A,0)),"")</f>
        <v/>
      </c>
      <c r="D446" s="25" t="str">
        <f>IFERROR(INDEX('Hun Demand'!T:T,MATCH(O446,'Hun Demand'!A:A,0)),"")</f>
        <v/>
      </c>
      <c r="E446" s="25" t="str">
        <f>IFERROR(INDEX('Hun Demand'!S:S,MATCH(O446,'Hun Demand'!A:A,0)),"")</f>
        <v/>
      </c>
      <c r="F446" s="25" t="str">
        <f>IFERROR(INDEX('Hun Demand'!R:R,MATCH(O446,'Hun Demand'!A:A,0)),"")</f>
        <v/>
      </c>
      <c r="G446" s="25">
        <f>IFERROR(INDEX('Aub Demand'!W:W,MATCH(O446,'Aub Demand'!A:A,0)),"")</f>
        <v>0</v>
      </c>
      <c r="H446" s="25">
        <f>IFERROR(INDEX('Aub Demand'!V:V,MATCH(O446,'Aub Demand'!A:A,0)),"")</f>
        <v>0</v>
      </c>
      <c r="I446" s="25">
        <f>IFERROR(INDEX('Aub Demand'!U:U,MATCH(O446,'Aub Demand'!A:A,0)),"")</f>
        <v>0</v>
      </c>
      <c r="J446" s="25">
        <f>IFERROR(INDEX('Aub Demand'!T:T,MATCH(O446,'Aub Demand'!A:A,0)),"")</f>
        <v>0</v>
      </c>
      <c r="K446" s="25">
        <f>IFERROR(INDEX('Aub Demand'!S:S,MATCH(O446,'Aub Demand'!A:A,0)),"")</f>
        <v>0</v>
      </c>
      <c r="L446" s="25">
        <f>IFERROR(INDEX('Aub Demand'!R:R,MATCH(O446,'Aub Demand'!A:A,0)),"")</f>
        <v>0</v>
      </c>
      <c r="O446" s="27" t="s">
        <v>756</v>
      </c>
      <c r="P446" s="27" t="str">
        <f>IFERROR(INDEX('Aub Demand'!B:B,MATCH($O446,'Aub Demand'!$A:$A,0)),"")</f>
        <v>OUTLANDIA</v>
      </c>
      <c r="Q446" s="27" t="str">
        <f>IFERROR(INDEX('Aub Demand'!C:C,MATCH($O446,'Aub Demand'!$A:$A,0)),"")</f>
        <v>ARAUC</v>
      </c>
      <c r="R446" s="52">
        <f>IFERROR(IF(AR447=AR446,INDEX('Aub Demand'!K:K,MATCH($O446,'Aub Demand'!$A:$A,0))-IF(AN446="",0,AN446)+AP447,INDEX('Aub Demand'!K:K,MATCH($O446,'Aub Demand'!$A:$A,0))-IF(AN446="",0,AN446)),"")</f>
        <v>362</v>
      </c>
      <c r="S446" s="53" t="str">
        <f t="shared" si="168"/>
        <v>n/a</v>
      </c>
      <c r="T446" s="52" t="str">
        <f t="shared" si="169"/>
        <v/>
      </c>
      <c r="U446" s="52">
        <f>IFERROR(IF(AR447=AR446,INDEX('Aub Demand'!Q:Q,MATCH($O446,'Aub Demand'!$A:$A,0))-IF(AN446="",0,AN446)+AP447,INDEX('Aub Demand'!Q:Q,MATCH($O446,'Aub Demand'!$A:$A,0))-IF(AN446="",0,AN446)),"")</f>
        <v>362</v>
      </c>
      <c r="V446" s="53" t="str">
        <f t="shared" si="170"/>
        <v>n/a</v>
      </c>
      <c r="W446" s="52" t="str">
        <f t="shared" si="171"/>
        <v/>
      </c>
      <c r="X446" s="52">
        <f>IFERROR(IF(AND(AR447=AR446,AM446&lt;&gt;""),INDEX('Aub Demand'!Q:Q,MATCH($O446,'Aub Demand'!$A:$A,0))-IF(AN446="",0,AN446)+AP447+AD446+AL446,IF(AR447=AR446,INDEX('Aub Demand'!Q:Q,MATCH($O446,'Aub Demand'!$A:$A,0))-IF(AN446="",0,AN446)+AP447+AD446,IF(AM446&lt;&gt;"",INDEX('Aub Demand'!Q:Q,MATCH($O446,'Aub Demand'!$A:$A,0))-IF(AN446="",0,AN446)+AD446+AL446,INDEX('Aub Demand'!Q:Q,MATCH($O446,'Aub Demand'!$A:$A,0))-IF(AN446="",0,AN446)+AD446))),"")</f>
        <v>362</v>
      </c>
      <c r="Y446" s="53" t="str">
        <f t="shared" si="172"/>
        <v>n/a</v>
      </c>
      <c r="Z446" s="52">
        <f>IF(L446="","",INDEX('Aub Demand'!H:H,MATCH($O446,'Aub Demand'!$A:$A,0)))</f>
        <v>0</v>
      </c>
      <c r="AA446" s="52" t="str">
        <f t="shared" si="173"/>
        <v>-spike-</v>
      </c>
      <c r="AB446" s="52">
        <f>IFERROR(INDEX('Aub Demand'!L:L,MATCH($O446,'Aub Demand'!$A:$A,0)),"")</f>
        <v>0</v>
      </c>
      <c r="AC446" s="52">
        <f>IFERROR(IF(O446="","",SUMIFS('CPL Mats'!F:F,'CPL Mats'!Q:Q,AR446,'CPL Mats'!S:S,AS446)),"")</f>
        <v>0</v>
      </c>
      <c r="AF446" s="25" t="str">
        <f>IF(SUMIFS('Supp Consol'!S:S,'Supp Consol'!Y:Y,"Releasable",'Supp Consol'!A:A,O446)=0,"",SUMIFS('Supp Consol'!S:S,'Supp Consol'!Y:Y,"Releasable",'Supp Consol'!A:A,O446))</f>
        <v/>
      </c>
      <c r="AG446" s="25" t="str">
        <f>IFERROR(INDEX('Hun Demand'!Q:Q,MATCH(O446,'Hun Demand'!A:A,0)),"")</f>
        <v/>
      </c>
      <c r="AH446" s="25" t="str">
        <f>IFERROR(INDEX('Hun Demand'!H:H,MATCH($O446,'Hun Demand'!$A:$A,0)),"")</f>
        <v/>
      </c>
      <c r="AI446" s="25" t="str">
        <f>IF(SUMIFS('Supp Consol'!AA:AA,'Supp Consol'!Z:Z,"Expires this month",'Supp Consol'!A:A,O446)=0,"",SUMIFS('Supp Consol'!AA:AA,'Supp Consol'!Z:Z,"Expires this month",'Supp Consol'!A:A,O446))</f>
        <v/>
      </c>
      <c r="AJ446" s="25" t="str">
        <f>IF(SUMIFS('Supp Consol'!AA:AA,'Supp Consol'!Z:Z,"Expired Previous Months",'Supp Consol'!A:A,O446)=0,"",SUMIFS('Supp Consol'!AA:AA,'Supp Consol'!Z:Z,"Expired Previous Months",'Supp Consol'!A:A,O446))</f>
        <v/>
      </c>
      <c r="AK446" s="25" t="str">
        <f>IFERROR(INDEX('Hun Release Current'!B:B,MATCH(O446,'Hun Release Current'!A:A,0)),"")</f>
        <v/>
      </c>
      <c r="AL446" s="25" t="str">
        <f>IF(SUMIF('Prev Aub'!A:A,O446,'Prev Aub'!B:B)=0,"",SUMIF('Prev Aub'!A:A,O446,'Prev Aub'!B:B))</f>
        <v/>
      </c>
      <c r="AN446" s="25" t="s">
        <v>3790</v>
      </c>
      <c r="AO446" s="25" t="s">
        <v>3790</v>
      </c>
      <c r="AP446" s="25">
        <f t="shared" si="174"/>
        <v>0</v>
      </c>
      <c r="AQ446" s="151" t="str">
        <f>IF(SUMIFS('Supp Consol'!S:S,'Supp Consol'!A:A,O446,'Supp Consol'!I:I,"PENDING")=0,"",SUMIFS('Supp Consol'!S:S,'Supp Consol'!A:A,O446,'Supp Consol'!I:I,"PENDING"))</f>
        <v/>
      </c>
      <c r="AR446" s="27" t="str">
        <f t="shared" si="175"/>
        <v>FB439</v>
      </c>
      <c r="AS446" s="27" t="str">
        <f t="shared" si="176"/>
        <v>50</v>
      </c>
      <c r="AT446" s="27" t="str">
        <f t="shared" si="177"/>
        <v/>
      </c>
      <c r="AU446" s="27" t="str">
        <f t="shared" si="178"/>
        <v/>
      </c>
      <c r="AV446" s="27" t="str">
        <f t="shared" si="179"/>
        <v/>
      </c>
      <c r="AW446" s="27" t="str">
        <f t="shared" si="180"/>
        <v/>
      </c>
      <c r="AX446" s="27" t="str">
        <f t="shared" si="181"/>
        <v/>
      </c>
      <c r="AY446" s="27" t="str">
        <f t="shared" si="182"/>
        <v/>
      </c>
      <c r="AZ446" s="27" t="str">
        <f t="shared" si="183"/>
        <v/>
      </c>
      <c r="BA446" s="27" t="str">
        <f t="shared" si="184"/>
        <v/>
      </c>
      <c r="BB446" s="27" t="str">
        <f t="shared" si="185"/>
        <v/>
      </c>
      <c r="BC446" s="27" t="str">
        <f t="shared" si="186"/>
        <v/>
      </c>
      <c r="BD446" s="27" t="str">
        <f t="shared" si="187"/>
        <v/>
      </c>
      <c r="BE446" s="27" t="str">
        <f t="shared" si="188"/>
        <v/>
      </c>
      <c r="BF446" s="27" t="str">
        <f t="shared" si="189"/>
        <v/>
      </c>
      <c r="BG446" s="27" t="str">
        <f t="shared" si="190"/>
        <v/>
      </c>
      <c r="BH446" s="27" t="str">
        <f t="shared" si="191"/>
        <v/>
      </c>
      <c r="BI446" s="27" t="str">
        <f t="shared" si="192"/>
        <v/>
      </c>
      <c r="BJ446" s="27" t="str">
        <f t="shared" si="193"/>
        <v/>
      </c>
      <c r="BK446" s="27" t="str">
        <f t="shared" si="194"/>
        <v/>
      </c>
      <c r="BL446" s="27" t="str">
        <f t="shared" si="195"/>
        <v/>
      </c>
      <c r="BM446" s="21" t="s">
        <v>5581</v>
      </c>
    </row>
    <row r="447" spans="1:65" ht="15">
      <c r="A447" s="25" t="str">
        <f>IFERROR(INDEX('Hun Demand'!W:W,MATCH(O447,'Hun Demand'!A:A,0)),"")</f>
        <v/>
      </c>
      <c r="B447" s="25" t="str">
        <f>IFERROR(INDEX('Hun Demand'!V:V,MATCH(O447,'Hun Demand'!A:A,0)),"")</f>
        <v/>
      </c>
      <c r="C447" s="25" t="str">
        <f>IFERROR(INDEX('Hun Demand'!U:U,MATCH(O447,'Hun Demand'!A:A,0)),"")</f>
        <v/>
      </c>
      <c r="D447" s="25" t="str">
        <f>IFERROR(INDEX('Hun Demand'!T:T,MATCH(O447,'Hun Demand'!A:A,0)),"")</f>
        <v/>
      </c>
      <c r="E447" s="25" t="str">
        <f>IFERROR(INDEX('Hun Demand'!S:S,MATCH(O447,'Hun Demand'!A:A,0)),"")</f>
        <v/>
      </c>
      <c r="F447" s="25" t="str">
        <f>IFERROR(INDEX('Hun Demand'!R:R,MATCH(O447,'Hun Demand'!A:A,0)),"")</f>
        <v/>
      </c>
      <c r="G447" s="25">
        <f>IFERROR(INDEX('Aub Demand'!W:W,MATCH(O447,'Aub Demand'!A:A,0)),"")</f>
        <v>0</v>
      </c>
      <c r="H447" s="25">
        <f>IFERROR(INDEX('Aub Demand'!V:V,MATCH(O447,'Aub Demand'!A:A,0)),"")</f>
        <v>0</v>
      </c>
      <c r="I447" s="25">
        <f>IFERROR(INDEX('Aub Demand'!U:U,MATCH(O447,'Aub Demand'!A:A,0)),"")</f>
        <v>0</v>
      </c>
      <c r="J447" s="25">
        <f>IFERROR(INDEX('Aub Demand'!T:T,MATCH(O447,'Aub Demand'!A:A,0)),"")</f>
        <v>0</v>
      </c>
      <c r="K447" s="25">
        <f>IFERROR(INDEX('Aub Demand'!S:S,MATCH(O447,'Aub Demand'!A:A,0)),"")</f>
        <v>0</v>
      </c>
      <c r="L447" s="25">
        <f>IFERROR(INDEX('Aub Demand'!R:R,MATCH(O447,'Aub Demand'!A:A,0)),"")</f>
        <v>0</v>
      </c>
      <c r="O447" s="27" t="s">
        <v>758</v>
      </c>
      <c r="P447" s="27" t="str">
        <f>IFERROR(INDEX('Aub Demand'!B:B,MATCH($O447,'Aub Demand'!$A:$A,0)),"")</f>
        <v>OUTLANDIA</v>
      </c>
      <c r="Q447" s="27" t="str">
        <f>IFERROR(INDEX('Aub Demand'!C:C,MATCH($O447,'Aub Demand'!$A:$A,0)),"")</f>
        <v>ARAUC</v>
      </c>
      <c r="R447" s="52">
        <f>IFERROR(IF(AR448=AR447,INDEX('Aub Demand'!K:K,MATCH($O447,'Aub Demand'!$A:$A,0))-IF(AN447="",0,AN447)+AP448,INDEX('Aub Demand'!K:K,MATCH($O447,'Aub Demand'!$A:$A,0))-IF(AN447="",0,AN447)),"")</f>
        <v>162</v>
      </c>
      <c r="S447" s="53" t="str">
        <f t="shared" si="168"/>
        <v>n/a</v>
      </c>
      <c r="T447" s="52" t="str">
        <f t="shared" si="169"/>
        <v/>
      </c>
      <c r="U447" s="52">
        <f>IFERROR(IF(AR448=AR447,INDEX('Aub Demand'!Q:Q,MATCH($O447,'Aub Demand'!$A:$A,0))-IF(AN447="",0,AN447)+AP448,INDEX('Aub Demand'!Q:Q,MATCH($O447,'Aub Demand'!$A:$A,0))-IF(AN447="",0,AN447)),"")</f>
        <v>162</v>
      </c>
      <c r="V447" s="53" t="str">
        <f t="shared" si="170"/>
        <v>n/a</v>
      </c>
      <c r="W447" s="52" t="str">
        <f t="shared" si="171"/>
        <v/>
      </c>
      <c r="X447" s="52">
        <f>IFERROR(IF(AND(AR448=AR447,AM447&lt;&gt;""),INDEX('Aub Demand'!Q:Q,MATCH($O447,'Aub Demand'!$A:$A,0))-IF(AN447="",0,AN447)+AP448+AD447+AL447,IF(AR448=AR447,INDEX('Aub Demand'!Q:Q,MATCH($O447,'Aub Demand'!$A:$A,0))-IF(AN447="",0,AN447)+AP448+AD447,IF(AM447&lt;&gt;"",INDEX('Aub Demand'!Q:Q,MATCH($O447,'Aub Demand'!$A:$A,0))-IF(AN447="",0,AN447)+AD447+AL447,INDEX('Aub Demand'!Q:Q,MATCH($O447,'Aub Demand'!$A:$A,0))-IF(AN447="",0,AN447)+AD447))),"")</f>
        <v>162</v>
      </c>
      <c r="Y447" s="53" t="str">
        <f t="shared" si="172"/>
        <v>n/a</v>
      </c>
      <c r="Z447" s="52">
        <f>IF(L447="","",INDEX('Aub Demand'!H:H,MATCH($O447,'Aub Demand'!$A:$A,0)))</f>
        <v>0</v>
      </c>
      <c r="AA447" s="52" t="str">
        <f t="shared" si="173"/>
        <v>-spike-</v>
      </c>
      <c r="AB447" s="52">
        <f>IFERROR(INDEX('Aub Demand'!L:L,MATCH($O447,'Aub Demand'!$A:$A,0)),"")</f>
        <v>0</v>
      </c>
      <c r="AC447" s="52">
        <f>IFERROR(IF(O447="","",SUMIFS('CPL Mats'!F:F,'CPL Mats'!Q:Q,AR447,'CPL Mats'!S:S,AS447)),"")</f>
        <v>0</v>
      </c>
      <c r="AF447" s="25" t="str">
        <f>IF(SUMIFS('Supp Consol'!S:S,'Supp Consol'!Y:Y,"Releasable",'Supp Consol'!A:A,O447)=0,"",SUMIFS('Supp Consol'!S:S,'Supp Consol'!Y:Y,"Releasable",'Supp Consol'!A:A,O447))</f>
        <v/>
      </c>
      <c r="AG447" s="25" t="str">
        <f>IFERROR(INDEX('Hun Demand'!Q:Q,MATCH(O447,'Hun Demand'!A:A,0)),"")</f>
        <v/>
      </c>
      <c r="AH447" s="25" t="str">
        <f>IFERROR(INDEX('Hun Demand'!H:H,MATCH($O447,'Hun Demand'!$A:$A,0)),"")</f>
        <v/>
      </c>
      <c r="AI447" s="25" t="str">
        <f>IF(SUMIFS('Supp Consol'!AA:AA,'Supp Consol'!Z:Z,"Expires this month",'Supp Consol'!A:A,O447)=0,"",SUMIFS('Supp Consol'!AA:AA,'Supp Consol'!Z:Z,"Expires this month",'Supp Consol'!A:A,O447))</f>
        <v/>
      </c>
      <c r="AJ447" s="25" t="str">
        <f>IF(SUMIFS('Supp Consol'!AA:AA,'Supp Consol'!Z:Z,"Expired Previous Months",'Supp Consol'!A:A,O447)=0,"",SUMIFS('Supp Consol'!AA:AA,'Supp Consol'!Z:Z,"Expired Previous Months",'Supp Consol'!A:A,O447))</f>
        <v/>
      </c>
      <c r="AK447" s="25" t="str">
        <f>IFERROR(INDEX('Hun Release Current'!B:B,MATCH(O447,'Hun Release Current'!A:A,0)),"")</f>
        <v/>
      </c>
      <c r="AL447" s="25" t="str">
        <f>IF(SUMIF('Prev Aub'!A:A,O447,'Prev Aub'!B:B)=0,"",SUMIF('Prev Aub'!A:A,O447,'Prev Aub'!B:B))</f>
        <v/>
      </c>
      <c r="AN447" s="25" t="s">
        <v>3790</v>
      </c>
      <c r="AO447" s="25" t="s">
        <v>3790</v>
      </c>
      <c r="AP447" s="25">
        <f t="shared" si="174"/>
        <v>0</v>
      </c>
      <c r="AQ447" s="151" t="str">
        <f>IF(SUMIFS('Supp Consol'!S:S,'Supp Consol'!A:A,O447,'Supp Consol'!I:I,"PENDING")=0,"",SUMIFS('Supp Consol'!S:S,'Supp Consol'!A:A,O447,'Supp Consol'!I:I,"PENDING"))</f>
        <v/>
      </c>
      <c r="AR447" s="27" t="str">
        <f t="shared" si="175"/>
        <v>FB439</v>
      </c>
      <c r="AS447" s="27" t="str">
        <f t="shared" si="176"/>
        <v>62</v>
      </c>
      <c r="AT447" s="27" t="str">
        <f t="shared" si="177"/>
        <v/>
      </c>
      <c r="AU447" s="27" t="str">
        <f t="shared" si="178"/>
        <v/>
      </c>
      <c r="AV447" s="27" t="str">
        <f t="shared" si="179"/>
        <v/>
      </c>
      <c r="AW447" s="27" t="str">
        <f t="shared" si="180"/>
        <v/>
      </c>
      <c r="AX447" s="27" t="str">
        <f t="shared" si="181"/>
        <v/>
      </c>
      <c r="AY447" s="27" t="str">
        <f t="shared" si="182"/>
        <v/>
      </c>
      <c r="AZ447" s="27" t="str">
        <f t="shared" si="183"/>
        <v/>
      </c>
      <c r="BA447" s="27" t="str">
        <f t="shared" si="184"/>
        <v/>
      </c>
      <c r="BB447" s="27" t="str">
        <f t="shared" si="185"/>
        <v/>
      </c>
      <c r="BC447" s="27" t="str">
        <f t="shared" si="186"/>
        <v/>
      </c>
      <c r="BD447" s="27" t="str">
        <f t="shared" si="187"/>
        <v/>
      </c>
      <c r="BE447" s="27" t="str">
        <f t="shared" si="188"/>
        <v/>
      </c>
      <c r="BF447" s="27" t="str">
        <f t="shared" si="189"/>
        <v/>
      </c>
      <c r="BG447" s="27" t="str">
        <f t="shared" si="190"/>
        <v/>
      </c>
      <c r="BH447" s="27" t="str">
        <f t="shared" si="191"/>
        <v/>
      </c>
      <c r="BI447" s="27" t="str">
        <f t="shared" si="192"/>
        <v/>
      </c>
      <c r="BJ447" s="27" t="str">
        <f t="shared" si="193"/>
        <v/>
      </c>
      <c r="BK447" s="27" t="str">
        <f t="shared" si="194"/>
        <v/>
      </c>
      <c r="BL447" s="27" t="str">
        <f t="shared" si="195"/>
        <v/>
      </c>
      <c r="BM447" s="21" t="s">
        <v>5581</v>
      </c>
    </row>
    <row r="448" spans="1:65" ht="15">
      <c r="A448" s="25" t="str">
        <f>IFERROR(INDEX('Hun Demand'!W:W,MATCH(O448,'Hun Demand'!A:A,0)),"")</f>
        <v/>
      </c>
      <c r="B448" s="25" t="str">
        <f>IFERROR(INDEX('Hun Demand'!V:V,MATCH(O448,'Hun Demand'!A:A,0)),"")</f>
        <v/>
      </c>
      <c r="C448" s="25" t="str">
        <f>IFERROR(INDEX('Hun Demand'!U:U,MATCH(O448,'Hun Demand'!A:A,0)),"")</f>
        <v/>
      </c>
      <c r="D448" s="25" t="str">
        <f>IFERROR(INDEX('Hun Demand'!T:T,MATCH(O448,'Hun Demand'!A:A,0)),"")</f>
        <v/>
      </c>
      <c r="E448" s="25" t="str">
        <f>IFERROR(INDEX('Hun Demand'!S:S,MATCH(O448,'Hun Demand'!A:A,0)),"")</f>
        <v/>
      </c>
      <c r="F448" s="25" t="str">
        <f>IFERROR(INDEX('Hun Demand'!R:R,MATCH(O448,'Hun Demand'!A:A,0)),"")</f>
        <v/>
      </c>
      <c r="G448" s="25">
        <f>IFERROR(INDEX('Aub Demand'!W:W,MATCH(O448,'Aub Demand'!A:A,0)),"")</f>
        <v>0</v>
      </c>
      <c r="H448" s="25">
        <f>IFERROR(INDEX('Aub Demand'!V:V,MATCH(O448,'Aub Demand'!A:A,0)),"")</f>
        <v>0</v>
      </c>
      <c r="I448" s="25">
        <f>IFERROR(INDEX('Aub Demand'!U:U,MATCH(O448,'Aub Demand'!A:A,0)),"")</f>
        <v>0</v>
      </c>
      <c r="J448" s="25">
        <f>IFERROR(INDEX('Aub Demand'!T:T,MATCH(O448,'Aub Demand'!A:A,0)),"")</f>
        <v>0</v>
      </c>
      <c r="K448" s="25">
        <f>IFERROR(INDEX('Aub Demand'!S:S,MATCH(O448,'Aub Demand'!A:A,0)),"")</f>
        <v>0</v>
      </c>
      <c r="L448" s="25">
        <f>IFERROR(INDEX('Aub Demand'!R:R,MATCH(O448,'Aub Demand'!A:A,0)),"")</f>
        <v>0</v>
      </c>
      <c r="O448" s="27" t="s">
        <v>759</v>
      </c>
      <c r="P448" s="27" t="str">
        <f>IFERROR(INDEX('Aub Demand'!B:B,MATCH($O448,'Aub Demand'!$A:$A,0)),"")</f>
        <v>CHIQUE</v>
      </c>
      <c r="Q448" s="27" t="str">
        <f>IFERROR(INDEX('Aub Demand'!C:C,MATCH($O448,'Aub Demand'!$A:$A,0)),"")</f>
        <v>ARAUC</v>
      </c>
      <c r="R448" s="52">
        <f>IFERROR(IF(AR449=AR448,INDEX('Aub Demand'!K:K,MATCH($O448,'Aub Demand'!$A:$A,0))-IF(AN448="",0,AN448)+AP449,INDEX('Aub Demand'!K:K,MATCH($O448,'Aub Demand'!$A:$A,0))-IF(AN448="",0,AN448)),"")</f>
        <v>212</v>
      </c>
      <c r="S448" s="53" t="str">
        <f t="shared" si="168"/>
        <v>n/a</v>
      </c>
      <c r="T448" s="52" t="str">
        <f t="shared" si="169"/>
        <v/>
      </c>
      <c r="U448" s="52">
        <f>IFERROR(IF(AR449=AR448,INDEX('Aub Demand'!Q:Q,MATCH($O448,'Aub Demand'!$A:$A,0))-IF(AN448="",0,AN448)+AP449,INDEX('Aub Demand'!Q:Q,MATCH($O448,'Aub Demand'!$A:$A,0))-IF(AN448="",0,AN448)),"")</f>
        <v>207</v>
      </c>
      <c r="V448" s="53" t="str">
        <f t="shared" si="170"/>
        <v>n/a</v>
      </c>
      <c r="W448" s="52" t="str">
        <f t="shared" si="171"/>
        <v/>
      </c>
      <c r="X448" s="52">
        <f>IFERROR(IF(AND(AR449=AR448,AM448&lt;&gt;""),INDEX('Aub Demand'!Q:Q,MATCH($O448,'Aub Demand'!$A:$A,0))-IF(AN448="",0,AN448)+AP449+AD448+AL448,IF(AR449=AR448,INDEX('Aub Demand'!Q:Q,MATCH($O448,'Aub Demand'!$A:$A,0))-IF(AN448="",0,AN448)+AP449+AD448,IF(AM448&lt;&gt;"",INDEX('Aub Demand'!Q:Q,MATCH($O448,'Aub Demand'!$A:$A,0))-IF(AN448="",0,AN448)+AD448+AL448,INDEX('Aub Demand'!Q:Q,MATCH($O448,'Aub Demand'!$A:$A,0))-IF(AN448="",0,AN448)+AD448))),"")</f>
        <v>207</v>
      </c>
      <c r="Y448" s="53" t="str">
        <f t="shared" si="172"/>
        <v>n/a</v>
      </c>
      <c r="Z448" s="52">
        <f>IF(L448="","",INDEX('Aub Demand'!H:H,MATCH($O448,'Aub Demand'!$A:$A,0)))</f>
        <v>0</v>
      </c>
      <c r="AA448" s="52" t="str">
        <f t="shared" si="173"/>
        <v>-spike-</v>
      </c>
      <c r="AB448" s="52">
        <f>IFERROR(INDEX('Aub Demand'!L:L,MATCH($O448,'Aub Demand'!$A:$A,0)),"")</f>
        <v>18</v>
      </c>
      <c r="AC448" s="52">
        <f>IFERROR(IF(O448="","",SUMIFS('CPL Mats'!F:F,'CPL Mats'!Q:Q,AR448,'CPL Mats'!S:S,AS448)),"")</f>
        <v>0</v>
      </c>
      <c r="AF448" s="25" t="str">
        <f>IF(SUMIFS('Supp Consol'!S:S,'Supp Consol'!Y:Y,"Releasable",'Supp Consol'!A:A,O448)=0,"",SUMIFS('Supp Consol'!S:S,'Supp Consol'!Y:Y,"Releasable",'Supp Consol'!A:A,O448))</f>
        <v/>
      </c>
      <c r="AG448" s="25" t="str">
        <f>IFERROR(INDEX('Hun Demand'!Q:Q,MATCH(O448,'Hun Demand'!A:A,0)),"")</f>
        <v/>
      </c>
      <c r="AH448" s="25" t="str">
        <f>IFERROR(INDEX('Hun Demand'!H:H,MATCH($O448,'Hun Demand'!$A:$A,0)),"")</f>
        <v/>
      </c>
      <c r="AI448" s="25" t="str">
        <f>IF(SUMIFS('Supp Consol'!AA:AA,'Supp Consol'!Z:Z,"Expires this month",'Supp Consol'!A:A,O448)=0,"",SUMIFS('Supp Consol'!AA:AA,'Supp Consol'!Z:Z,"Expires this month",'Supp Consol'!A:A,O448))</f>
        <v/>
      </c>
      <c r="AJ448" s="25" t="str">
        <f>IF(SUMIFS('Supp Consol'!AA:AA,'Supp Consol'!Z:Z,"Expired Previous Months",'Supp Consol'!A:A,O448)=0,"",SUMIFS('Supp Consol'!AA:AA,'Supp Consol'!Z:Z,"Expired Previous Months",'Supp Consol'!A:A,O448))</f>
        <v/>
      </c>
      <c r="AK448" s="25" t="str">
        <f>IFERROR(INDEX('Hun Release Current'!B:B,MATCH(O448,'Hun Release Current'!A:A,0)),"")</f>
        <v/>
      </c>
      <c r="AL448" s="25" t="str">
        <f>IF(SUMIF('Prev Aub'!A:A,O448,'Prev Aub'!B:B)=0,"",SUMIF('Prev Aub'!A:A,O448,'Prev Aub'!B:B))</f>
        <v/>
      </c>
      <c r="AN448" s="25" t="s">
        <v>3790</v>
      </c>
      <c r="AO448" s="25" t="s">
        <v>3790</v>
      </c>
      <c r="AP448" s="25">
        <f t="shared" si="174"/>
        <v>0</v>
      </c>
      <c r="AQ448" s="151" t="str">
        <f>IF(SUMIFS('Supp Consol'!S:S,'Supp Consol'!A:A,O448,'Supp Consol'!I:I,"PENDING")=0,"",SUMIFS('Supp Consol'!S:S,'Supp Consol'!A:A,O448,'Supp Consol'!I:I,"PENDING"))</f>
        <v/>
      </c>
      <c r="AR448" s="27" t="str">
        <f t="shared" si="175"/>
        <v>FB442</v>
      </c>
      <c r="AS448" s="27" t="str">
        <f t="shared" si="176"/>
        <v>50</v>
      </c>
      <c r="AT448" s="27" t="str">
        <f t="shared" si="177"/>
        <v/>
      </c>
      <c r="AU448" s="27" t="str">
        <f t="shared" si="178"/>
        <v/>
      </c>
      <c r="AV448" s="27" t="str">
        <f t="shared" si="179"/>
        <v/>
      </c>
      <c r="AW448" s="27" t="str">
        <f t="shared" si="180"/>
        <v/>
      </c>
      <c r="AX448" s="27" t="str">
        <f t="shared" si="181"/>
        <v/>
      </c>
      <c r="AY448" s="27" t="str">
        <f t="shared" si="182"/>
        <v/>
      </c>
      <c r="AZ448" s="27" t="str">
        <f t="shared" si="183"/>
        <v/>
      </c>
      <c r="BA448" s="27" t="str">
        <f t="shared" si="184"/>
        <v/>
      </c>
      <c r="BB448" s="27" t="str">
        <f t="shared" si="185"/>
        <v/>
      </c>
      <c r="BC448" s="27" t="str">
        <f t="shared" si="186"/>
        <v/>
      </c>
      <c r="BD448" s="27" t="str">
        <f t="shared" si="187"/>
        <v/>
      </c>
      <c r="BE448" s="27" t="str">
        <f t="shared" si="188"/>
        <v/>
      </c>
      <c r="BF448" s="27" t="str">
        <f t="shared" si="189"/>
        <v/>
      </c>
      <c r="BG448" s="27" t="str">
        <f t="shared" si="190"/>
        <v/>
      </c>
      <c r="BH448" s="27" t="str">
        <f t="shared" si="191"/>
        <v/>
      </c>
      <c r="BI448" s="27" t="str">
        <f t="shared" si="192"/>
        <v/>
      </c>
      <c r="BJ448" s="27" t="str">
        <f t="shared" si="193"/>
        <v/>
      </c>
      <c r="BK448" s="27" t="str">
        <f t="shared" si="194"/>
        <v/>
      </c>
      <c r="BL448" s="27" t="str">
        <f t="shared" si="195"/>
        <v/>
      </c>
      <c r="BM448" s="21" t="s">
        <v>5581</v>
      </c>
    </row>
    <row r="449" spans="1:65" ht="15">
      <c r="A449" s="25" t="str">
        <f>IFERROR(INDEX('Hun Demand'!W:W,MATCH(O449,'Hun Demand'!A:A,0)),"")</f>
        <v/>
      </c>
      <c r="B449" s="25" t="str">
        <f>IFERROR(INDEX('Hun Demand'!V:V,MATCH(O449,'Hun Demand'!A:A,0)),"")</f>
        <v/>
      </c>
      <c r="C449" s="25" t="str">
        <f>IFERROR(INDEX('Hun Demand'!U:U,MATCH(O449,'Hun Demand'!A:A,0)),"")</f>
        <v/>
      </c>
      <c r="D449" s="25" t="str">
        <f>IFERROR(INDEX('Hun Demand'!T:T,MATCH(O449,'Hun Demand'!A:A,0)),"")</f>
        <v/>
      </c>
      <c r="E449" s="25" t="str">
        <f>IFERROR(INDEX('Hun Demand'!S:S,MATCH(O449,'Hun Demand'!A:A,0)),"")</f>
        <v/>
      </c>
      <c r="F449" s="25" t="str">
        <f>IFERROR(INDEX('Hun Demand'!R:R,MATCH(O449,'Hun Demand'!A:A,0)),"")</f>
        <v/>
      </c>
      <c r="G449" s="25">
        <f>IFERROR(INDEX('Aub Demand'!W:W,MATCH(O449,'Aub Demand'!A:A,0)),"")</f>
        <v>0</v>
      </c>
      <c r="H449" s="25">
        <f>IFERROR(INDEX('Aub Demand'!V:V,MATCH(O449,'Aub Demand'!A:A,0)),"")</f>
        <v>0</v>
      </c>
      <c r="I449" s="25">
        <f>IFERROR(INDEX('Aub Demand'!U:U,MATCH(O449,'Aub Demand'!A:A,0)),"")</f>
        <v>39</v>
      </c>
      <c r="J449" s="25">
        <f>IFERROR(INDEX('Aub Demand'!T:T,MATCH(O449,'Aub Demand'!A:A,0)),"")</f>
        <v>0</v>
      </c>
      <c r="K449" s="25">
        <f>IFERROR(INDEX('Aub Demand'!S:S,MATCH(O449,'Aub Demand'!A:A,0)),"")</f>
        <v>0</v>
      </c>
      <c r="L449" s="25">
        <f>IFERROR(INDEX('Aub Demand'!R:R,MATCH(O449,'Aub Demand'!A:A,0)),"")</f>
        <v>0</v>
      </c>
      <c r="O449" s="27" t="s">
        <v>761</v>
      </c>
      <c r="P449" s="27" t="str">
        <f>IFERROR(INDEX('Aub Demand'!B:B,MATCH($O449,'Aub Demand'!$A:$A,0)),"")</f>
        <v>CHIQUE</v>
      </c>
      <c r="Q449" s="27" t="str">
        <f>IFERROR(INDEX('Aub Demand'!C:C,MATCH($O449,'Aub Demand'!$A:$A,0)),"")</f>
        <v>ARAUC</v>
      </c>
      <c r="R449" s="52">
        <f>IFERROR(IF(AR450=AR449,INDEX('Aub Demand'!K:K,MATCH($O449,'Aub Demand'!$A:$A,0))-IF(AN449="",0,AN449)+AP450,INDEX('Aub Demand'!K:K,MATCH($O449,'Aub Demand'!$A:$A,0))-IF(AN449="",0,AN449)),"")</f>
        <v>40</v>
      </c>
      <c r="S449" s="53">
        <f t="shared" si="168"/>
        <v>13.2</v>
      </c>
      <c r="T449" s="52" t="str">
        <f t="shared" si="169"/>
        <v/>
      </c>
      <c r="U449" s="52">
        <f>IFERROR(IF(AR450=AR449,INDEX('Aub Demand'!Q:Q,MATCH($O449,'Aub Demand'!$A:$A,0))-IF(AN449="",0,AN449)+AP450,INDEX('Aub Demand'!Q:Q,MATCH($O449,'Aub Demand'!$A:$A,0))-IF(AN449="",0,AN449)),"")</f>
        <v>30</v>
      </c>
      <c r="V449" s="53">
        <f t="shared" si="170"/>
        <v>9.9</v>
      </c>
      <c r="W449" s="52" t="str">
        <f t="shared" si="171"/>
        <v/>
      </c>
      <c r="X449" s="52">
        <f>IFERROR(IF(AND(AR450=AR449,AM449&lt;&gt;""),INDEX('Aub Demand'!Q:Q,MATCH($O449,'Aub Demand'!$A:$A,0))-IF(AN449="",0,AN449)+AP450+AD449+AL449,IF(AR450=AR449,INDEX('Aub Demand'!Q:Q,MATCH($O449,'Aub Demand'!$A:$A,0))-IF(AN449="",0,AN449)+AP450+AD449,IF(AM449&lt;&gt;"",INDEX('Aub Demand'!Q:Q,MATCH($O449,'Aub Demand'!$A:$A,0))-IF(AN449="",0,AN449)+AD449+AL449,INDEX('Aub Demand'!Q:Q,MATCH($O449,'Aub Demand'!$A:$A,0))-IF(AN449="",0,AN449)+AD449))),"")</f>
        <v>30</v>
      </c>
      <c r="Y449" s="53">
        <f t="shared" si="172"/>
        <v>9.9</v>
      </c>
      <c r="Z449" s="52">
        <f>IF(L449="","",INDEX('Aub Demand'!H:H,MATCH($O449,'Aub Demand'!$A:$A,0)))</f>
        <v>13</v>
      </c>
      <c r="AA449" s="52" t="str">
        <f t="shared" si="173"/>
        <v>-spike-</v>
      </c>
      <c r="AB449" s="52">
        <f>IFERROR(INDEX('Aub Demand'!L:L,MATCH($O449,'Aub Demand'!$A:$A,0)),"")</f>
        <v>0</v>
      </c>
      <c r="AC449" s="52">
        <f>IFERROR(IF(O449="","",SUMIFS('CPL Mats'!F:F,'CPL Mats'!Q:Q,AR449,'CPL Mats'!S:S,AS449)),"")</f>
        <v>0</v>
      </c>
      <c r="AF449" s="25" t="str">
        <f>IF(SUMIFS('Supp Consol'!S:S,'Supp Consol'!Y:Y,"Releasable",'Supp Consol'!A:A,O449)=0,"",SUMIFS('Supp Consol'!S:S,'Supp Consol'!Y:Y,"Releasable",'Supp Consol'!A:A,O449))</f>
        <v/>
      </c>
      <c r="AG449" s="25" t="str">
        <f>IFERROR(INDEX('Hun Demand'!Q:Q,MATCH(O449,'Hun Demand'!A:A,0)),"")</f>
        <v/>
      </c>
      <c r="AH449" s="25" t="str">
        <f>IFERROR(INDEX('Hun Demand'!H:H,MATCH($O449,'Hun Demand'!$A:$A,0)),"")</f>
        <v/>
      </c>
      <c r="AI449" s="25" t="str">
        <f>IF(SUMIFS('Supp Consol'!AA:AA,'Supp Consol'!Z:Z,"Expires this month",'Supp Consol'!A:A,O449)=0,"",SUMIFS('Supp Consol'!AA:AA,'Supp Consol'!Z:Z,"Expires this month",'Supp Consol'!A:A,O449))</f>
        <v/>
      </c>
      <c r="AJ449" s="25" t="str">
        <f>IF(SUMIFS('Supp Consol'!AA:AA,'Supp Consol'!Z:Z,"Expired Previous Months",'Supp Consol'!A:A,O449)=0,"",SUMIFS('Supp Consol'!AA:AA,'Supp Consol'!Z:Z,"Expired Previous Months",'Supp Consol'!A:A,O449))</f>
        <v/>
      </c>
      <c r="AK449" s="25" t="str">
        <f>IFERROR(INDEX('Hun Release Current'!B:B,MATCH(O449,'Hun Release Current'!A:A,0)),"")</f>
        <v/>
      </c>
      <c r="AL449" s="25" t="str">
        <f>IF(SUMIF('Prev Aub'!A:A,O449,'Prev Aub'!B:B)=0,"",SUMIF('Prev Aub'!A:A,O449,'Prev Aub'!B:B))</f>
        <v/>
      </c>
      <c r="AN449" s="25" t="s">
        <v>3790</v>
      </c>
      <c r="AO449" s="25" t="s">
        <v>3790</v>
      </c>
      <c r="AP449" s="25">
        <f t="shared" si="174"/>
        <v>0</v>
      </c>
      <c r="AQ449" s="151" t="str">
        <f>IF(SUMIFS('Supp Consol'!S:S,'Supp Consol'!A:A,O449,'Supp Consol'!I:I,"PENDING")=0,"",SUMIFS('Supp Consol'!S:S,'Supp Consol'!A:A,O449,'Supp Consol'!I:I,"PENDING"))</f>
        <v/>
      </c>
      <c r="AR449" s="27" t="str">
        <f t="shared" si="175"/>
        <v>FB442</v>
      </c>
      <c r="AS449" s="27" t="str">
        <f t="shared" si="176"/>
        <v>62</v>
      </c>
      <c r="AT449" s="27" t="str">
        <f t="shared" si="177"/>
        <v/>
      </c>
      <c r="AU449" s="27" t="str">
        <f t="shared" si="178"/>
        <v/>
      </c>
      <c r="AV449" s="27" t="str">
        <f t="shared" si="179"/>
        <v/>
      </c>
      <c r="AW449" s="27" t="str">
        <f t="shared" si="180"/>
        <v/>
      </c>
      <c r="AX449" s="27" t="str">
        <f t="shared" si="181"/>
        <v/>
      </c>
      <c r="AY449" s="27" t="str">
        <f t="shared" si="182"/>
        <v/>
      </c>
      <c r="AZ449" s="27" t="str">
        <f t="shared" si="183"/>
        <v/>
      </c>
      <c r="BA449" s="27" t="str">
        <f t="shared" si="184"/>
        <v/>
      </c>
      <c r="BB449" s="27" t="str">
        <f t="shared" si="185"/>
        <v/>
      </c>
      <c r="BC449" s="27" t="str">
        <f t="shared" si="186"/>
        <v/>
      </c>
      <c r="BD449" s="27" t="str">
        <f t="shared" si="187"/>
        <v/>
      </c>
      <c r="BE449" s="27" t="str">
        <f t="shared" si="188"/>
        <v/>
      </c>
      <c r="BF449" s="27" t="str">
        <f t="shared" si="189"/>
        <v/>
      </c>
      <c r="BG449" s="27" t="str">
        <f t="shared" si="190"/>
        <v/>
      </c>
      <c r="BH449" s="27" t="str">
        <f t="shared" si="191"/>
        <v/>
      </c>
      <c r="BI449" s="27" t="str">
        <f t="shared" si="192"/>
        <v/>
      </c>
      <c r="BJ449" s="27" t="str">
        <f t="shared" si="193"/>
        <v/>
      </c>
      <c r="BK449" s="27" t="str">
        <f t="shared" si="194"/>
        <v/>
      </c>
      <c r="BL449" s="27" t="str">
        <f t="shared" si="195"/>
        <v/>
      </c>
      <c r="BM449" s="21" t="s">
        <v>5581</v>
      </c>
    </row>
    <row r="450" spans="1:65" ht="15">
      <c r="A450" s="25" t="str">
        <f>IFERROR(INDEX('Hun Demand'!W:W,MATCH(O450,'Hun Demand'!A:A,0)),"")</f>
        <v/>
      </c>
      <c r="B450" s="25" t="str">
        <f>IFERROR(INDEX('Hun Demand'!V:V,MATCH(O450,'Hun Demand'!A:A,0)),"")</f>
        <v/>
      </c>
      <c r="C450" s="25" t="str">
        <f>IFERROR(INDEX('Hun Demand'!U:U,MATCH(O450,'Hun Demand'!A:A,0)),"")</f>
        <v/>
      </c>
      <c r="D450" s="25" t="str">
        <f>IFERROR(INDEX('Hun Demand'!T:T,MATCH(O450,'Hun Demand'!A:A,0)),"")</f>
        <v/>
      </c>
      <c r="E450" s="25" t="str">
        <f>IFERROR(INDEX('Hun Demand'!S:S,MATCH(O450,'Hun Demand'!A:A,0)),"")</f>
        <v/>
      </c>
      <c r="F450" s="25" t="str">
        <f>IFERROR(INDEX('Hun Demand'!R:R,MATCH(O450,'Hun Demand'!A:A,0)),"")</f>
        <v/>
      </c>
      <c r="G450" s="25">
        <f>IFERROR(INDEX('Aub Demand'!W:W,MATCH(O450,'Aub Demand'!A:A,0)),"")</f>
        <v>0</v>
      </c>
      <c r="H450" s="25">
        <f>IFERROR(INDEX('Aub Demand'!V:V,MATCH(O450,'Aub Demand'!A:A,0)),"")</f>
        <v>0</v>
      </c>
      <c r="I450" s="25">
        <f>IFERROR(INDEX('Aub Demand'!U:U,MATCH(O450,'Aub Demand'!A:A,0)),"")</f>
        <v>0</v>
      </c>
      <c r="J450" s="25">
        <f>IFERROR(INDEX('Aub Demand'!T:T,MATCH(O450,'Aub Demand'!A:A,0)),"")</f>
        <v>0</v>
      </c>
      <c r="K450" s="25">
        <f>IFERROR(INDEX('Aub Demand'!S:S,MATCH(O450,'Aub Demand'!A:A,0)),"")</f>
        <v>0</v>
      </c>
      <c r="L450" s="25">
        <f>IFERROR(INDEX('Aub Demand'!R:R,MATCH(O450,'Aub Demand'!A:A,0)),"")</f>
        <v>0</v>
      </c>
      <c r="O450" s="27" t="s">
        <v>762</v>
      </c>
      <c r="P450" s="27" t="str">
        <f>IFERROR(INDEX('Aub Demand'!B:B,MATCH($O450,'Aub Demand'!$A:$A,0)),"")</f>
        <v>LUXENT</v>
      </c>
      <c r="Q450" s="27" t="str">
        <f>IFERROR(INDEX('Aub Demand'!C:C,MATCH($O450,'Aub Demand'!$A:$A,0)),"")</f>
        <v>ARAUC</v>
      </c>
      <c r="R450" s="52">
        <f>IFERROR(IF(AR451=AR450,INDEX('Aub Demand'!K:K,MATCH($O450,'Aub Demand'!$A:$A,0))-IF(AN450="",0,AN450)+AP451,INDEX('Aub Demand'!K:K,MATCH($O450,'Aub Demand'!$A:$A,0))-IF(AN450="",0,AN450)),"")</f>
        <v>399</v>
      </c>
      <c r="S450" s="53" t="str">
        <f t="shared" si="168"/>
        <v>n/a</v>
      </c>
      <c r="T450" s="52" t="str">
        <f t="shared" si="169"/>
        <v/>
      </c>
      <c r="U450" s="52">
        <f>IFERROR(IF(AR451=AR450,INDEX('Aub Demand'!Q:Q,MATCH($O450,'Aub Demand'!$A:$A,0))-IF(AN450="",0,AN450)+AP451,INDEX('Aub Demand'!Q:Q,MATCH($O450,'Aub Demand'!$A:$A,0))-IF(AN450="",0,AN450)),"")</f>
        <v>399</v>
      </c>
      <c r="V450" s="53" t="str">
        <f t="shared" si="170"/>
        <v>n/a</v>
      </c>
      <c r="W450" s="52" t="str">
        <f t="shared" si="171"/>
        <v/>
      </c>
      <c r="X450" s="52">
        <f>IFERROR(IF(AND(AR451=AR450,AM450&lt;&gt;""),INDEX('Aub Demand'!Q:Q,MATCH($O450,'Aub Demand'!$A:$A,0))-IF(AN450="",0,AN450)+AP451+AD450+AL450,IF(AR451=AR450,INDEX('Aub Demand'!Q:Q,MATCH($O450,'Aub Demand'!$A:$A,0))-IF(AN450="",0,AN450)+AP451+AD450,IF(AM450&lt;&gt;"",INDEX('Aub Demand'!Q:Q,MATCH($O450,'Aub Demand'!$A:$A,0))-IF(AN450="",0,AN450)+AD450+AL450,INDEX('Aub Demand'!Q:Q,MATCH($O450,'Aub Demand'!$A:$A,0))-IF(AN450="",0,AN450)+AD450))),"")</f>
        <v>399</v>
      </c>
      <c r="Y450" s="53" t="str">
        <f t="shared" si="172"/>
        <v>n/a</v>
      </c>
      <c r="Z450" s="52">
        <f>IF(L450="","",INDEX('Aub Demand'!H:H,MATCH($O450,'Aub Demand'!$A:$A,0)))</f>
        <v>0</v>
      </c>
      <c r="AA450" s="52" t="str">
        <f t="shared" si="173"/>
        <v>-spike-</v>
      </c>
      <c r="AB450" s="52">
        <f>IFERROR(INDEX('Aub Demand'!L:L,MATCH($O450,'Aub Demand'!$A:$A,0)),"")</f>
        <v>0</v>
      </c>
      <c r="AC450" s="52">
        <f>IFERROR(IF(O450="","",SUMIFS('CPL Mats'!F:F,'CPL Mats'!Q:Q,AR450,'CPL Mats'!S:S,AS450)),"")</f>
        <v>0</v>
      </c>
      <c r="AF450" s="25" t="str">
        <f>IF(SUMIFS('Supp Consol'!S:S,'Supp Consol'!Y:Y,"Releasable",'Supp Consol'!A:A,O450)=0,"",SUMIFS('Supp Consol'!S:S,'Supp Consol'!Y:Y,"Releasable",'Supp Consol'!A:A,O450))</f>
        <v/>
      </c>
      <c r="AG450" s="25" t="str">
        <f>IFERROR(INDEX('Hun Demand'!Q:Q,MATCH(O450,'Hun Demand'!A:A,0)),"")</f>
        <v/>
      </c>
      <c r="AH450" s="25" t="str">
        <f>IFERROR(INDEX('Hun Demand'!H:H,MATCH($O450,'Hun Demand'!$A:$A,0)),"")</f>
        <v/>
      </c>
      <c r="AI450" s="25" t="str">
        <f>IF(SUMIFS('Supp Consol'!AA:AA,'Supp Consol'!Z:Z,"Expires this month",'Supp Consol'!A:A,O450)=0,"",SUMIFS('Supp Consol'!AA:AA,'Supp Consol'!Z:Z,"Expires this month",'Supp Consol'!A:A,O450))</f>
        <v/>
      </c>
      <c r="AJ450" s="25" t="str">
        <f>IF(SUMIFS('Supp Consol'!AA:AA,'Supp Consol'!Z:Z,"Expired Previous Months",'Supp Consol'!A:A,O450)=0,"",SUMIFS('Supp Consol'!AA:AA,'Supp Consol'!Z:Z,"Expired Previous Months",'Supp Consol'!A:A,O450))</f>
        <v/>
      </c>
      <c r="AK450" s="25" t="str">
        <f>IFERROR(INDEX('Hun Release Current'!B:B,MATCH(O450,'Hun Release Current'!A:A,0)),"")</f>
        <v/>
      </c>
      <c r="AL450" s="25" t="str">
        <f>IF(SUMIF('Prev Aub'!A:A,O450,'Prev Aub'!B:B)=0,"",SUMIF('Prev Aub'!A:A,O450,'Prev Aub'!B:B))</f>
        <v/>
      </c>
      <c r="AN450" s="25" t="s">
        <v>3790</v>
      </c>
      <c r="AO450" s="25" t="s">
        <v>3790</v>
      </c>
      <c r="AP450" s="25">
        <f t="shared" si="174"/>
        <v>0</v>
      </c>
      <c r="AQ450" s="151" t="str">
        <f>IF(SUMIFS('Supp Consol'!S:S,'Supp Consol'!A:A,O450,'Supp Consol'!I:I,"PENDING")=0,"",SUMIFS('Supp Consol'!S:S,'Supp Consol'!A:A,O450,'Supp Consol'!I:I,"PENDING"))</f>
        <v/>
      </c>
      <c r="AR450" s="27" t="str">
        <f t="shared" si="175"/>
        <v>FB443</v>
      </c>
      <c r="AS450" s="27" t="str">
        <f t="shared" si="176"/>
        <v>50</v>
      </c>
      <c r="AT450" s="27" t="str">
        <f t="shared" si="177"/>
        <v/>
      </c>
      <c r="AU450" s="27" t="str">
        <f t="shared" si="178"/>
        <v/>
      </c>
      <c r="AV450" s="27" t="str">
        <f t="shared" si="179"/>
        <v/>
      </c>
      <c r="AW450" s="27" t="str">
        <f t="shared" si="180"/>
        <v/>
      </c>
      <c r="AX450" s="27" t="str">
        <f t="shared" si="181"/>
        <v/>
      </c>
      <c r="AY450" s="27" t="str">
        <f t="shared" si="182"/>
        <v/>
      </c>
      <c r="AZ450" s="27" t="str">
        <f t="shared" si="183"/>
        <v/>
      </c>
      <c r="BA450" s="27" t="str">
        <f t="shared" si="184"/>
        <v/>
      </c>
      <c r="BB450" s="27" t="str">
        <f t="shared" si="185"/>
        <v/>
      </c>
      <c r="BC450" s="27" t="str">
        <f t="shared" si="186"/>
        <v/>
      </c>
      <c r="BD450" s="27" t="str">
        <f t="shared" si="187"/>
        <v/>
      </c>
      <c r="BE450" s="27" t="str">
        <f t="shared" si="188"/>
        <v/>
      </c>
      <c r="BF450" s="27" t="str">
        <f t="shared" si="189"/>
        <v/>
      </c>
      <c r="BG450" s="27" t="str">
        <f t="shared" si="190"/>
        <v/>
      </c>
      <c r="BH450" s="27" t="str">
        <f t="shared" si="191"/>
        <v/>
      </c>
      <c r="BI450" s="27" t="str">
        <f t="shared" si="192"/>
        <v/>
      </c>
      <c r="BJ450" s="27" t="str">
        <f t="shared" si="193"/>
        <v/>
      </c>
      <c r="BK450" s="27" t="str">
        <f t="shared" si="194"/>
        <v/>
      </c>
      <c r="BL450" s="27" t="str">
        <f t="shared" si="195"/>
        <v/>
      </c>
      <c r="BM450" s="21" t="s">
        <v>5581</v>
      </c>
    </row>
    <row r="451" spans="1:65" ht="15">
      <c r="A451" s="25" t="str">
        <f>IFERROR(INDEX('Hun Demand'!W:W,MATCH(O451,'Hun Demand'!A:A,0)),"")</f>
        <v/>
      </c>
      <c r="B451" s="25" t="str">
        <f>IFERROR(INDEX('Hun Demand'!V:V,MATCH(O451,'Hun Demand'!A:A,0)),"")</f>
        <v/>
      </c>
      <c r="C451" s="25" t="str">
        <f>IFERROR(INDEX('Hun Demand'!U:U,MATCH(O451,'Hun Demand'!A:A,0)),"")</f>
        <v/>
      </c>
      <c r="D451" s="25" t="str">
        <f>IFERROR(INDEX('Hun Demand'!T:T,MATCH(O451,'Hun Demand'!A:A,0)),"")</f>
        <v/>
      </c>
      <c r="E451" s="25" t="str">
        <f>IFERROR(INDEX('Hun Demand'!S:S,MATCH(O451,'Hun Demand'!A:A,0)),"")</f>
        <v/>
      </c>
      <c r="F451" s="25" t="str">
        <f>IFERROR(INDEX('Hun Demand'!R:R,MATCH(O451,'Hun Demand'!A:A,0)),"")</f>
        <v/>
      </c>
      <c r="G451" s="25">
        <f>IFERROR(INDEX('Aub Demand'!W:W,MATCH(O451,'Aub Demand'!A:A,0)),"")</f>
        <v>0</v>
      </c>
      <c r="H451" s="25">
        <f>IFERROR(INDEX('Aub Demand'!V:V,MATCH(O451,'Aub Demand'!A:A,0)),"")</f>
        <v>0</v>
      </c>
      <c r="I451" s="25">
        <f>IFERROR(INDEX('Aub Demand'!U:U,MATCH(O451,'Aub Demand'!A:A,0)),"")</f>
        <v>0</v>
      </c>
      <c r="J451" s="25">
        <f>IFERROR(INDEX('Aub Demand'!T:T,MATCH(O451,'Aub Demand'!A:A,0)),"")</f>
        <v>0</v>
      </c>
      <c r="K451" s="25">
        <f>IFERROR(INDEX('Aub Demand'!S:S,MATCH(O451,'Aub Demand'!A:A,0)),"")</f>
        <v>0</v>
      </c>
      <c r="L451" s="25">
        <f>IFERROR(INDEX('Aub Demand'!R:R,MATCH(O451,'Aub Demand'!A:A,0)),"")</f>
        <v>0</v>
      </c>
      <c r="O451" s="27" t="s">
        <v>764</v>
      </c>
      <c r="P451" s="27" t="str">
        <f>IFERROR(INDEX('Aub Demand'!B:B,MATCH($O451,'Aub Demand'!$A:$A,0)),"")</f>
        <v>LUXENT</v>
      </c>
      <c r="Q451" s="27" t="str">
        <f>IFERROR(INDEX('Aub Demand'!C:C,MATCH($O451,'Aub Demand'!$A:$A,0)),"")</f>
        <v>ARAUC</v>
      </c>
      <c r="R451" s="52">
        <f>IFERROR(IF(AR452=AR451,INDEX('Aub Demand'!K:K,MATCH($O451,'Aub Demand'!$A:$A,0))-IF(AN451="",0,AN451)+AP452,INDEX('Aub Demand'!K:K,MATCH($O451,'Aub Demand'!$A:$A,0))-IF(AN451="",0,AN451)),"")</f>
        <v>273</v>
      </c>
      <c r="S451" s="53" t="str">
        <f t="shared" ref="S451:S514" si="196">IFERROR(IF(O451="","",ROUND(R451/((Z451/30)*7),1)),"n/a")</f>
        <v>n/a</v>
      </c>
      <c r="T451" s="52" t="str">
        <f t="shared" ref="T451:T514" si="197">IFERROR(IF(S451&lt;3.1,IF(AA451="spike",(3-S451)*(Z451/4),(3-S451)*(AA451/4)),""),"")</f>
        <v/>
      </c>
      <c r="U451" s="52">
        <f>IFERROR(IF(AR452=AR451,INDEX('Aub Demand'!Q:Q,MATCH($O451,'Aub Demand'!$A:$A,0))-IF(AN451="",0,AN451)+AP452,INDEX('Aub Demand'!Q:Q,MATCH($O451,'Aub Demand'!$A:$A,0))-IF(AN451="",0,AN451)),"")</f>
        <v>273</v>
      </c>
      <c r="V451" s="53" t="str">
        <f t="shared" ref="V451:V514" si="198">IFERROR(IF(O451="","",ROUND(U451/((Z451/30)*7),1)),"n/a")</f>
        <v>n/a</v>
      </c>
      <c r="W451" s="52" t="str">
        <f t="shared" ref="W451:W514" si="199">IF(IFERROR(IF(V451&lt;3.1,IF(AA451="spike",(3-V451)*(Z451/4),(3-V451)*(AA451/4)),""),"")&lt;0,0,IFERROR(IF(V451&lt;3.1,IF(AA451="spike",(3-V451)*(Z451/4),(3-V451)*(AA451/4)),""),""))</f>
        <v/>
      </c>
      <c r="X451" s="52">
        <f>IFERROR(IF(AND(AR452=AR451,AM451&lt;&gt;""),INDEX('Aub Demand'!Q:Q,MATCH($O451,'Aub Demand'!$A:$A,0))-IF(AN451="",0,AN451)+AP452+AD451+AL451,IF(AR452=AR451,INDEX('Aub Demand'!Q:Q,MATCH($O451,'Aub Demand'!$A:$A,0))-IF(AN451="",0,AN451)+AP452+AD451,IF(AM451&lt;&gt;"",INDEX('Aub Demand'!Q:Q,MATCH($O451,'Aub Demand'!$A:$A,0))-IF(AN451="",0,AN451)+AD451+AL451,INDEX('Aub Demand'!Q:Q,MATCH($O451,'Aub Demand'!$A:$A,0))-IF(AN451="",0,AN451)+AD451))),"")</f>
        <v>273</v>
      </c>
      <c r="Y451" s="53" t="str">
        <f t="shared" ref="Y451:Y514" si="200">IFERROR(IF(O451="","",ROUND(X451/((Z451/30)*7),1)),"n/a")</f>
        <v>n/a</v>
      </c>
      <c r="Z451" s="52">
        <f>IF(L451="","",INDEX('Aub Demand'!H:H,MATCH($O451,'Aub Demand'!$A:$A,0)))</f>
        <v>0</v>
      </c>
      <c r="AA451" s="52" t="str">
        <f t="shared" ref="AA451:AA514" si="201">IF(L451="","",IF(LARGE(I451:L451,2)=0,"-spike-",AVERAGE(LARGE(I451:L451,1),LARGE(I451:L451,2))))</f>
        <v>-spike-</v>
      </c>
      <c r="AB451" s="52">
        <f>IFERROR(INDEX('Aub Demand'!L:L,MATCH($O451,'Aub Demand'!$A:$A,0)),"")</f>
        <v>29</v>
      </c>
      <c r="AC451" s="52">
        <f>IFERROR(IF(O451="","",SUMIFS('CPL Mats'!F:F,'CPL Mats'!Q:Q,AR451,'CPL Mats'!S:S,AS451)),"")</f>
        <v>0</v>
      </c>
      <c r="AF451" s="25" t="str">
        <f>IF(SUMIFS('Supp Consol'!S:S,'Supp Consol'!Y:Y,"Releasable",'Supp Consol'!A:A,O451)=0,"",SUMIFS('Supp Consol'!S:S,'Supp Consol'!Y:Y,"Releasable",'Supp Consol'!A:A,O451))</f>
        <v/>
      </c>
      <c r="AG451" s="25" t="str">
        <f>IFERROR(INDEX('Hun Demand'!Q:Q,MATCH(O451,'Hun Demand'!A:A,0)),"")</f>
        <v/>
      </c>
      <c r="AH451" s="25" t="str">
        <f>IFERROR(INDEX('Hun Demand'!H:H,MATCH($O451,'Hun Demand'!$A:$A,0)),"")</f>
        <v/>
      </c>
      <c r="AI451" s="25" t="str">
        <f>IF(SUMIFS('Supp Consol'!AA:AA,'Supp Consol'!Z:Z,"Expires this month",'Supp Consol'!A:A,O451)=0,"",SUMIFS('Supp Consol'!AA:AA,'Supp Consol'!Z:Z,"Expires this month",'Supp Consol'!A:A,O451))</f>
        <v/>
      </c>
      <c r="AJ451" s="25" t="str">
        <f>IF(SUMIFS('Supp Consol'!AA:AA,'Supp Consol'!Z:Z,"Expired Previous Months",'Supp Consol'!A:A,O451)=0,"",SUMIFS('Supp Consol'!AA:AA,'Supp Consol'!Z:Z,"Expired Previous Months",'Supp Consol'!A:A,O451))</f>
        <v/>
      </c>
      <c r="AK451" s="25" t="str">
        <f>IFERROR(INDEX('Hun Release Current'!B:B,MATCH(O451,'Hun Release Current'!A:A,0)),"")</f>
        <v/>
      </c>
      <c r="AL451" s="25" t="str">
        <f>IF(SUMIF('Prev Aub'!A:A,O451,'Prev Aub'!B:B)=0,"",SUMIF('Prev Aub'!A:A,O451,'Prev Aub'!B:B))</f>
        <v/>
      </c>
      <c r="AN451" s="25" t="s">
        <v>3790</v>
      </c>
      <c r="AO451" s="25" t="s">
        <v>3790</v>
      </c>
      <c r="AP451" s="25">
        <f t="shared" ref="AP451:AP514" si="202">IFERROR(IF(O451="","",IF(AN451="",0,VALUE(AN451)-(VALUE(AN451)*0.2))),"")</f>
        <v>0</v>
      </c>
      <c r="AQ451" s="151" t="str">
        <f>IF(SUMIFS('Supp Consol'!S:S,'Supp Consol'!A:A,O451,'Supp Consol'!I:I,"PENDING")=0,"",SUMIFS('Supp Consol'!S:S,'Supp Consol'!A:A,O451,'Supp Consol'!I:I,"PENDING"))</f>
        <v/>
      </c>
      <c r="AR451" s="27" t="str">
        <f t="shared" ref="AR451:AR514" si="203">MID(O451,4,5)</f>
        <v>FB443</v>
      </c>
      <c r="AS451" s="27" t="str">
        <f t="shared" ref="AS451:AS514" si="204">MID(O451,10,2)</f>
        <v>62</v>
      </c>
      <c r="AT451" s="27" t="str">
        <f t="shared" ref="AT451:AT514" si="205">IF(S451&lt;3.1,AR451,"")</f>
        <v/>
      </c>
      <c r="AU451" s="27" t="str">
        <f t="shared" ref="AU451:AU514" si="206">IF(Y451&lt;3.1,AR451,"")</f>
        <v/>
      </c>
      <c r="AV451" s="27" t="str">
        <f t="shared" ref="AV451:AV514" si="207">IF(AND(AA451="Spike",L451=0,K451=0,X451&gt;=0),"",IF(Y451&lt;3.1,AR451,""))</f>
        <v/>
      </c>
      <c r="AW451" s="27" t="str">
        <f t="shared" ref="AW451:AW514" si="208">IF(AI451=AL451,"",IF(OR(AI451&lt;&gt;"",AJ451&lt;&gt;""),AR451,""))</f>
        <v/>
      </c>
      <c r="AX451" s="27" t="str">
        <f t="shared" ref="AX451:AX514" si="209">IF(AF451&lt;&gt;"",AR451,"")</f>
        <v/>
      </c>
      <c r="AY451" s="27" t="str">
        <f t="shared" ref="AY451:AY514" si="210">IF(AND(AG451&lt;&gt;"",AG451&gt;AH451),AR451,"")</f>
        <v/>
      </c>
      <c r="AZ451" s="27" t="str">
        <f t="shared" ref="AZ451:AZ514" si="211">IFERROR(IF(O451="","",IF(ISERROR(MATCH(AR451,AX:AX,0)),"","Supp")),"")</f>
        <v/>
      </c>
      <c r="BA451" s="27" t="str">
        <f t="shared" ref="BA451:BA514" si="212">IFERROR(IF(O451="","",IF(ISERROR(MATCH(AR451,AY:AY,0)),"","Hun")),"")</f>
        <v/>
      </c>
      <c r="BB451" s="27" t="str">
        <f t="shared" ref="BB451:BB514" si="213">IFERROR(IF(O451="","",IF(ISERROR(MATCH(AR451,AT:AT,0)),"","Gross")),"")</f>
        <v/>
      </c>
      <c r="BC451" s="27" t="str">
        <f t="shared" ref="BC451:BC514" si="214">IFERROR(IF(O451="","",IF(ISERROR(MATCH(AR451,AU:AU,0)),"","Net")),"")</f>
        <v/>
      </c>
      <c r="BD451" s="27" t="str">
        <f t="shared" ref="BD451:BD514" si="215">IFERROR(IF(O451="","",IF(ISERROR(MATCH(AR451,AV:AV,0)),"","Net")),"")</f>
        <v/>
      </c>
      <c r="BE451" s="27" t="str">
        <f t="shared" ref="BE451:BE514" si="216">IFERROR(IF(O451="","",IF(ISERROR(MATCH(AR451,AW:AW,0)),"","Exp")),"")</f>
        <v/>
      </c>
      <c r="BF451" s="27" t="str">
        <f t="shared" ref="BF451:BF514" si="217">IFERROR(IF(O451="","",IF(AND(AZ451="Supp",BC451="Net"),"S+N","")),"")</f>
        <v/>
      </c>
      <c r="BG451" s="27" t="str">
        <f t="shared" ref="BG451:BG514" si="218">IFERROR(IF(O451="","",IF(OR(BE451&lt;&gt;"",BF451&lt;&gt;""),"S+NorE","")),"")</f>
        <v/>
      </c>
      <c r="BH451" s="27" t="str">
        <f t="shared" ref="BH451:BH514" si="219">IFERROR(IF(O451="","",IF(AND(BA451&lt;&gt;"",BC451&lt;&gt;""),"H+N","")),"")</f>
        <v/>
      </c>
      <c r="BI451" s="27" t="str">
        <f t="shared" ref="BI451:BI514" si="220">IFERROR(IF(O451="","",IF(AND(BA451&lt;&gt;"",BD451&lt;&gt;""),"H+Nex","")),"")</f>
        <v/>
      </c>
      <c r="BJ451" s="27" t="str">
        <f t="shared" ref="BJ451:BJ514" si="221">IF(OR(AZ451&lt;&gt;"",BA451&lt;&gt;""),"Supp or Hun","")</f>
        <v/>
      </c>
      <c r="BK451" s="27" t="str">
        <f t="shared" ref="BK451:BK514" si="222">IF(AND(BJ451&lt;&gt;"",BC451&lt;&gt;""),"Supp or Hun Need","")</f>
        <v/>
      </c>
      <c r="BL451" s="27" t="str">
        <f t="shared" ref="BL451:BL514" si="223">IF(OR(BK451&lt;&gt;"",BE451&lt;&gt;""),"SorHandNandE","")</f>
        <v/>
      </c>
      <c r="BM451" s="21" t="s">
        <v>5581</v>
      </c>
    </row>
    <row r="452" spans="1:65" ht="15">
      <c r="A452" s="25" t="str">
        <f>IFERROR(INDEX('Hun Demand'!W:W,MATCH(O452,'Hun Demand'!A:A,0)),"")</f>
        <v/>
      </c>
      <c r="B452" s="25" t="str">
        <f>IFERROR(INDEX('Hun Demand'!V:V,MATCH(O452,'Hun Demand'!A:A,0)),"")</f>
        <v/>
      </c>
      <c r="C452" s="25" t="str">
        <f>IFERROR(INDEX('Hun Demand'!U:U,MATCH(O452,'Hun Demand'!A:A,0)),"")</f>
        <v/>
      </c>
      <c r="D452" s="25" t="str">
        <f>IFERROR(INDEX('Hun Demand'!T:T,MATCH(O452,'Hun Demand'!A:A,0)),"")</f>
        <v/>
      </c>
      <c r="E452" s="25" t="str">
        <f>IFERROR(INDEX('Hun Demand'!S:S,MATCH(O452,'Hun Demand'!A:A,0)),"")</f>
        <v/>
      </c>
      <c r="F452" s="25" t="str">
        <f>IFERROR(INDEX('Hun Demand'!R:R,MATCH(O452,'Hun Demand'!A:A,0)),"")</f>
        <v/>
      </c>
      <c r="G452" s="25">
        <f>IFERROR(INDEX('Aub Demand'!W:W,MATCH(O452,'Aub Demand'!A:A,0)),"")</f>
        <v>25</v>
      </c>
      <c r="H452" s="25">
        <f>IFERROR(INDEX('Aub Demand'!V:V,MATCH(O452,'Aub Demand'!A:A,0)),"")</f>
        <v>0</v>
      </c>
      <c r="I452" s="25">
        <f>IFERROR(INDEX('Aub Demand'!U:U,MATCH(O452,'Aub Demand'!A:A,0)),"")</f>
        <v>12</v>
      </c>
      <c r="J452" s="25">
        <f>IFERROR(INDEX('Aub Demand'!T:T,MATCH(O452,'Aub Demand'!A:A,0)),"")</f>
        <v>0</v>
      </c>
      <c r="K452" s="25">
        <f>IFERROR(INDEX('Aub Demand'!S:S,MATCH(O452,'Aub Demand'!A:A,0)),"")</f>
        <v>0</v>
      </c>
      <c r="L452" s="25">
        <f>IFERROR(INDEX('Aub Demand'!R:R,MATCH(O452,'Aub Demand'!A:A,0)),"")</f>
        <v>0</v>
      </c>
      <c r="O452" s="27" t="s">
        <v>765</v>
      </c>
      <c r="P452" s="27" t="str">
        <f>IFERROR(INDEX('Aub Demand'!B:B,MATCH($O452,'Aub Demand'!$A:$A,0)),"")</f>
        <v>SAREK ASH</v>
      </c>
      <c r="Q452" s="27" t="str">
        <f>IFERROR(INDEX('Aub Demand'!C:C,MATCH($O452,'Aub Demand'!$A:$A,0)),"")</f>
        <v>ARAUC</v>
      </c>
      <c r="R452" s="52">
        <f>IFERROR(IF(AR453=AR452,INDEX('Aub Demand'!K:K,MATCH($O452,'Aub Demand'!$A:$A,0))-IF(AN452="",0,AN452)+AP453,INDEX('Aub Demand'!K:K,MATCH($O452,'Aub Demand'!$A:$A,0))-IF(AN452="",0,AN452)),"")</f>
        <v>310</v>
      </c>
      <c r="S452" s="53">
        <f t="shared" si="196"/>
        <v>332.1</v>
      </c>
      <c r="T452" s="52" t="str">
        <f t="shared" si="197"/>
        <v/>
      </c>
      <c r="U452" s="52">
        <f>IFERROR(IF(AR453=AR452,INDEX('Aub Demand'!Q:Q,MATCH($O452,'Aub Demand'!$A:$A,0))-IF(AN452="",0,AN452)+AP453,INDEX('Aub Demand'!Q:Q,MATCH($O452,'Aub Demand'!$A:$A,0))-IF(AN452="",0,AN452)),"")</f>
        <v>310</v>
      </c>
      <c r="V452" s="53">
        <f t="shared" si="198"/>
        <v>332.1</v>
      </c>
      <c r="W452" s="52" t="str">
        <f t="shared" si="199"/>
        <v/>
      </c>
      <c r="X452" s="52">
        <f>IFERROR(IF(AND(AR453=AR452,AM452&lt;&gt;""),INDEX('Aub Demand'!Q:Q,MATCH($O452,'Aub Demand'!$A:$A,0))-IF(AN452="",0,AN452)+AP453+AD452+AL452,IF(AR453=AR452,INDEX('Aub Demand'!Q:Q,MATCH($O452,'Aub Demand'!$A:$A,0))-IF(AN452="",0,AN452)+AP453+AD452,IF(AM452&lt;&gt;"",INDEX('Aub Demand'!Q:Q,MATCH($O452,'Aub Demand'!$A:$A,0))-IF(AN452="",0,AN452)+AD452+AL452,INDEX('Aub Demand'!Q:Q,MATCH($O452,'Aub Demand'!$A:$A,0))-IF(AN452="",0,AN452)+AD452))),"")</f>
        <v>310</v>
      </c>
      <c r="Y452" s="53">
        <f t="shared" si="200"/>
        <v>332.1</v>
      </c>
      <c r="Z452" s="52">
        <f>IF(L452="","",INDEX('Aub Demand'!H:H,MATCH($O452,'Aub Demand'!$A:$A,0)))</f>
        <v>4</v>
      </c>
      <c r="AA452" s="52" t="str">
        <f t="shared" si="201"/>
        <v>-spike-</v>
      </c>
      <c r="AB452" s="52">
        <f>IFERROR(INDEX('Aub Demand'!L:L,MATCH($O452,'Aub Demand'!$A:$A,0)),"")</f>
        <v>0</v>
      </c>
      <c r="AC452" s="52">
        <f>IFERROR(IF(O452="","",SUMIFS('CPL Mats'!F:F,'CPL Mats'!Q:Q,AR452,'CPL Mats'!S:S,AS452)),"")</f>
        <v>0</v>
      </c>
      <c r="AF452" s="25" t="str">
        <f>IF(SUMIFS('Supp Consol'!S:S,'Supp Consol'!Y:Y,"Releasable",'Supp Consol'!A:A,O452)=0,"",SUMIFS('Supp Consol'!S:S,'Supp Consol'!Y:Y,"Releasable",'Supp Consol'!A:A,O452))</f>
        <v/>
      </c>
      <c r="AG452" s="25" t="str">
        <f>IFERROR(INDEX('Hun Demand'!Q:Q,MATCH(O452,'Hun Demand'!A:A,0)),"")</f>
        <v/>
      </c>
      <c r="AH452" s="25" t="str">
        <f>IFERROR(INDEX('Hun Demand'!H:H,MATCH($O452,'Hun Demand'!$A:$A,0)),"")</f>
        <v/>
      </c>
      <c r="AI452" s="25" t="str">
        <f>IF(SUMIFS('Supp Consol'!AA:AA,'Supp Consol'!Z:Z,"Expires this month",'Supp Consol'!A:A,O452)=0,"",SUMIFS('Supp Consol'!AA:AA,'Supp Consol'!Z:Z,"Expires this month",'Supp Consol'!A:A,O452))</f>
        <v/>
      </c>
      <c r="AJ452" s="25" t="str">
        <f>IF(SUMIFS('Supp Consol'!AA:AA,'Supp Consol'!Z:Z,"Expired Previous Months",'Supp Consol'!A:A,O452)=0,"",SUMIFS('Supp Consol'!AA:AA,'Supp Consol'!Z:Z,"Expired Previous Months",'Supp Consol'!A:A,O452))</f>
        <v/>
      </c>
      <c r="AK452" s="25" t="str">
        <f>IFERROR(INDEX('Hun Release Current'!B:B,MATCH(O452,'Hun Release Current'!A:A,0)),"")</f>
        <v/>
      </c>
      <c r="AL452" s="25" t="str">
        <f>IF(SUMIF('Prev Aub'!A:A,O452,'Prev Aub'!B:B)=0,"",SUMIF('Prev Aub'!A:A,O452,'Prev Aub'!B:B))</f>
        <v/>
      </c>
      <c r="AN452" s="25" t="s">
        <v>3790</v>
      </c>
      <c r="AO452" s="25" t="s">
        <v>3790</v>
      </c>
      <c r="AP452" s="25">
        <f t="shared" si="202"/>
        <v>0</v>
      </c>
      <c r="AQ452" s="151" t="str">
        <f>IF(SUMIFS('Supp Consol'!S:S,'Supp Consol'!A:A,O452,'Supp Consol'!I:I,"PENDING")=0,"",SUMIFS('Supp Consol'!S:S,'Supp Consol'!A:A,O452,'Supp Consol'!I:I,"PENDING"))</f>
        <v/>
      </c>
      <c r="AR452" s="27" t="str">
        <f t="shared" si="203"/>
        <v>FB449</v>
      </c>
      <c r="AS452" s="27" t="str">
        <f t="shared" si="204"/>
        <v>50</v>
      </c>
      <c r="AT452" s="27" t="str">
        <f t="shared" si="205"/>
        <v/>
      </c>
      <c r="AU452" s="27" t="str">
        <f t="shared" si="206"/>
        <v/>
      </c>
      <c r="AV452" s="27" t="str">
        <f t="shared" si="207"/>
        <v/>
      </c>
      <c r="AW452" s="27" t="str">
        <f t="shared" si="208"/>
        <v/>
      </c>
      <c r="AX452" s="27" t="str">
        <f t="shared" si="209"/>
        <v/>
      </c>
      <c r="AY452" s="27" t="str">
        <f t="shared" si="210"/>
        <v/>
      </c>
      <c r="AZ452" s="27" t="str">
        <f t="shared" si="211"/>
        <v/>
      </c>
      <c r="BA452" s="27" t="str">
        <f t="shared" si="212"/>
        <v/>
      </c>
      <c r="BB452" s="27" t="str">
        <f t="shared" si="213"/>
        <v/>
      </c>
      <c r="BC452" s="27" t="str">
        <f t="shared" si="214"/>
        <v/>
      </c>
      <c r="BD452" s="27" t="str">
        <f t="shared" si="215"/>
        <v/>
      </c>
      <c r="BE452" s="27" t="str">
        <f t="shared" si="216"/>
        <v/>
      </c>
      <c r="BF452" s="27" t="str">
        <f t="shared" si="217"/>
        <v/>
      </c>
      <c r="BG452" s="27" t="str">
        <f t="shared" si="218"/>
        <v/>
      </c>
      <c r="BH452" s="27" t="str">
        <f t="shared" si="219"/>
        <v/>
      </c>
      <c r="BI452" s="27" t="str">
        <f t="shared" si="220"/>
        <v/>
      </c>
      <c r="BJ452" s="27" t="str">
        <f t="shared" si="221"/>
        <v/>
      </c>
      <c r="BK452" s="27" t="str">
        <f t="shared" si="222"/>
        <v/>
      </c>
      <c r="BL452" s="27" t="str">
        <f t="shared" si="223"/>
        <v/>
      </c>
      <c r="BM452" s="21" t="s">
        <v>5581</v>
      </c>
    </row>
    <row r="453" spans="1:65" ht="15">
      <c r="A453" s="25" t="str">
        <f>IFERROR(INDEX('Hun Demand'!W:W,MATCH(O453,'Hun Demand'!A:A,0)),"")</f>
        <v/>
      </c>
      <c r="B453" s="25" t="str">
        <f>IFERROR(INDEX('Hun Demand'!V:V,MATCH(O453,'Hun Demand'!A:A,0)),"")</f>
        <v/>
      </c>
      <c r="C453" s="25" t="str">
        <f>IFERROR(INDEX('Hun Demand'!U:U,MATCH(O453,'Hun Demand'!A:A,0)),"")</f>
        <v/>
      </c>
      <c r="D453" s="25" t="str">
        <f>IFERROR(INDEX('Hun Demand'!T:T,MATCH(O453,'Hun Demand'!A:A,0)),"")</f>
        <v/>
      </c>
      <c r="E453" s="25" t="str">
        <f>IFERROR(INDEX('Hun Demand'!S:S,MATCH(O453,'Hun Demand'!A:A,0)),"")</f>
        <v/>
      </c>
      <c r="F453" s="25" t="str">
        <f>IFERROR(INDEX('Hun Demand'!R:R,MATCH(O453,'Hun Demand'!A:A,0)),"")</f>
        <v/>
      </c>
      <c r="G453" s="25">
        <f>IFERROR(INDEX('Aub Demand'!W:W,MATCH(O453,'Aub Demand'!A:A,0)),"")</f>
        <v>0</v>
      </c>
      <c r="H453" s="25">
        <f>IFERROR(INDEX('Aub Demand'!V:V,MATCH(O453,'Aub Demand'!A:A,0)),"")</f>
        <v>0</v>
      </c>
      <c r="I453" s="25">
        <f>IFERROR(INDEX('Aub Demand'!U:U,MATCH(O453,'Aub Demand'!A:A,0)),"")</f>
        <v>0</v>
      </c>
      <c r="J453" s="25">
        <f>IFERROR(INDEX('Aub Demand'!T:T,MATCH(O453,'Aub Demand'!A:A,0)),"")</f>
        <v>0</v>
      </c>
      <c r="K453" s="25">
        <f>IFERROR(INDEX('Aub Demand'!S:S,MATCH(O453,'Aub Demand'!A:A,0)),"")</f>
        <v>0</v>
      </c>
      <c r="L453" s="25">
        <f>IFERROR(INDEX('Aub Demand'!R:R,MATCH(O453,'Aub Demand'!A:A,0)),"")</f>
        <v>0</v>
      </c>
      <c r="O453" s="27" t="s">
        <v>767</v>
      </c>
      <c r="P453" s="27" t="str">
        <f>IFERROR(INDEX('Aub Demand'!B:B,MATCH($O453,'Aub Demand'!$A:$A,0)),"")</f>
        <v>SAREK ASH</v>
      </c>
      <c r="Q453" s="27" t="str">
        <f>IFERROR(INDEX('Aub Demand'!C:C,MATCH($O453,'Aub Demand'!$A:$A,0)),"")</f>
        <v>ARAUC</v>
      </c>
      <c r="R453" s="52">
        <f>IFERROR(IF(AR454=AR453,INDEX('Aub Demand'!K:K,MATCH($O453,'Aub Demand'!$A:$A,0))-IF(AN453="",0,AN453)+AP454,INDEX('Aub Demand'!K:K,MATCH($O453,'Aub Demand'!$A:$A,0))-IF(AN453="",0,AN453)),"")</f>
        <v>44</v>
      </c>
      <c r="S453" s="53" t="str">
        <f t="shared" si="196"/>
        <v>n/a</v>
      </c>
      <c r="T453" s="52" t="str">
        <f t="shared" si="197"/>
        <v/>
      </c>
      <c r="U453" s="52">
        <f>IFERROR(IF(AR454=AR453,INDEX('Aub Demand'!Q:Q,MATCH($O453,'Aub Demand'!$A:$A,0))-IF(AN453="",0,AN453)+AP454,INDEX('Aub Demand'!Q:Q,MATCH($O453,'Aub Demand'!$A:$A,0))-IF(AN453="",0,AN453)),"")</f>
        <v>44</v>
      </c>
      <c r="V453" s="53" t="str">
        <f t="shared" si="198"/>
        <v>n/a</v>
      </c>
      <c r="W453" s="52" t="str">
        <f t="shared" si="199"/>
        <v/>
      </c>
      <c r="X453" s="52">
        <f>IFERROR(IF(AND(AR454=AR453,AM453&lt;&gt;""),INDEX('Aub Demand'!Q:Q,MATCH($O453,'Aub Demand'!$A:$A,0))-IF(AN453="",0,AN453)+AP454+AD453+AL453,IF(AR454=AR453,INDEX('Aub Demand'!Q:Q,MATCH($O453,'Aub Demand'!$A:$A,0))-IF(AN453="",0,AN453)+AP454+AD453,IF(AM453&lt;&gt;"",INDEX('Aub Demand'!Q:Q,MATCH($O453,'Aub Demand'!$A:$A,0))-IF(AN453="",0,AN453)+AD453+AL453,INDEX('Aub Demand'!Q:Q,MATCH($O453,'Aub Demand'!$A:$A,0))-IF(AN453="",0,AN453)+AD453))),"")</f>
        <v>44</v>
      </c>
      <c r="Y453" s="53" t="str">
        <f t="shared" si="200"/>
        <v>n/a</v>
      </c>
      <c r="Z453" s="52">
        <f>IF(L453="","",INDEX('Aub Demand'!H:H,MATCH($O453,'Aub Demand'!$A:$A,0)))</f>
        <v>0</v>
      </c>
      <c r="AA453" s="52" t="str">
        <f t="shared" si="201"/>
        <v>-spike-</v>
      </c>
      <c r="AB453" s="52">
        <f>IFERROR(INDEX('Aub Demand'!L:L,MATCH($O453,'Aub Demand'!$A:$A,0)),"")</f>
        <v>0</v>
      </c>
      <c r="AC453" s="52">
        <f>IFERROR(IF(O453="","",SUMIFS('CPL Mats'!F:F,'CPL Mats'!Q:Q,AR453,'CPL Mats'!S:S,AS453)),"")</f>
        <v>0</v>
      </c>
      <c r="AF453" s="25" t="str">
        <f>IF(SUMIFS('Supp Consol'!S:S,'Supp Consol'!Y:Y,"Releasable",'Supp Consol'!A:A,O453)=0,"",SUMIFS('Supp Consol'!S:S,'Supp Consol'!Y:Y,"Releasable",'Supp Consol'!A:A,O453))</f>
        <v/>
      </c>
      <c r="AG453" s="25" t="str">
        <f>IFERROR(INDEX('Hun Demand'!Q:Q,MATCH(O453,'Hun Demand'!A:A,0)),"")</f>
        <v/>
      </c>
      <c r="AH453" s="25" t="str">
        <f>IFERROR(INDEX('Hun Demand'!H:H,MATCH($O453,'Hun Demand'!$A:$A,0)),"")</f>
        <v/>
      </c>
      <c r="AI453" s="25" t="str">
        <f>IF(SUMIFS('Supp Consol'!AA:AA,'Supp Consol'!Z:Z,"Expires this month",'Supp Consol'!A:A,O453)=0,"",SUMIFS('Supp Consol'!AA:AA,'Supp Consol'!Z:Z,"Expires this month",'Supp Consol'!A:A,O453))</f>
        <v/>
      </c>
      <c r="AJ453" s="25" t="str">
        <f>IF(SUMIFS('Supp Consol'!AA:AA,'Supp Consol'!Z:Z,"Expired Previous Months",'Supp Consol'!A:A,O453)=0,"",SUMIFS('Supp Consol'!AA:AA,'Supp Consol'!Z:Z,"Expired Previous Months",'Supp Consol'!A:A,O453))</f>
        <v/>
      </c>
      <c r="AK453" s="25" t="str">
        <f>IFERROR(INDEX('Hun Release Current'!B:B,MATCH(O453,'Hun Release Current'!A:A,0)),"")</f>
        <v/>
      </c>
      <c r="AL453" s="25" t="str">
        <f>IF(SUMIF('Prev Aub'!A:A,O453,'Prev Aub'!B:B)=0,"",SUMIF('Prev Aub'!A:A,O453,'Prev Aub'!B:B))</f>
        <v/>
      </c>
      <c r="AN453" s="25" t="s">
        <v>3790</v>
      </c>
      <c r="AO453" s="25" t="s">
        <v>3790</v>
      </c>
      <c r="AP453" s="25">
        <f t="shared" si="202"/>
        <v>0</v>
      </c>
      <c r="AQ453" s="151" t="str">
        <f>IF(SUMIFS('Supp Consol'!S:S,'Supp Consol'!A:A,O453,'Supp Consol'!I:I,"PENDING")=0,"",SUMIFS('Supp Consol'!S:S,'Supp Consol'!A:A,O453,'Supp Consol'!I:I,"PENDING"))</f>
        <v/>
      </c>
      <c r="AR453" s="27" t="str">
        <f t="shared" si="203"/>
        <v>FB449</v>
      </c>
      <c r="AS453" s="27" t="str">
        <f t="shared" si="204"/>
        <v>62</v>
      </c>
      <c r="AT453" s="27" t="str">
        <f t="shared" si="205"/>
        <v/>
      </c>
      <c r="AU453" s="27" t="str">
        <f t="shared" si="206"/>
        <v/>
      </c>
      <c r="AV453" s="27" t="str">
        <f t="shared" si="207"/>
        <v/>
      </c>
      <c r="AW453" s="27" t="str">
        <f t="shared" si="208"/>
        <v/>
      </c>
      <c r="AX453" s="27" t="str">
        <f t="shared" si="209"/>
        <v/>
      </c>
      <c r="AY453" s="27" t="str">
        <f t="shared" si="210"/>
        <v/>
      </c>
      <c r="AZ453" s="27" t="str">
        <f t="shared" si="211"/>
        <v/>
      </c>
      <c r="BA453" s="27" t="str">
        <f t="shared" si="212"/>
        <v/>
      </c>
      <c r="BB453" s="27" t="str">
        <f t="shared" si="213"/>
        <v/>
      </c>
      <c r="BC453" s="27" t="str">
        <f t="shared" si="214"/>
        <v/>
      </c>
      <c r="BD453" s="27" t="str">
        <f t="shared" si="215"/>
        <v/>
      </c>
      <c r="BE453" s="27" t="str">
        <f t="shared" si="216"/>
        <v/>
      </c>
      <c r="BF453" s="27" t="str">
        <f t="shared" si="217"/>
        <v/>
      </c>
      <c r="BG453" s="27" t="str">
        <f t="shared" si="218"/>
        <v/>
      </c>
      <c r="BH453" s="27" t="str">
        <f t="shared" si="219"/>
        <v/>
      </c>
      <c r="BI453" s="27" t="str">
        <f t="shared" si="220"/>
        <v/>
      </c>
      <c r="BJ453" s="27" t="str">
        <f t="shared" si="221"/>
        <v/>
      </c>
      <c r="BK453" s="27" t="str">
        <f t="shared" si="222"/>
        <v/>
      </c>
      <c r="BL453" s="27" t="str">
        <f t="shared" si="223"/>
        <v/>
      </c>
      <c r="BM453" s="21" t="s">
        <v>5581</v>
      </c>
    </row>
    <row r="454" spans="1:65" ht="15">
      <c r="A454" s="25" t="str">
        <f>IFERROR(INDEX('Hun Demand'!W:W,MATCH(O454,'Hun Demand'!A:A,0)),"")</f>
        <v/>
      </c>
      <c r="B454" s="25" t="str">
        <f>IFERROR(INDEX('Hun Demand'!V:V,MATCH(O454,'Hun Demand'!A:A,0)),"")</f>
        <v/>
      </c>
      <c r="C454" s="25" t="str">
        <f>IFERROR(INDEX('Hun Demand'!U:U,MATCH(O454,'Hun Demand'!A:A,0)),"")</f>
        <v/>
      </c>
      <c r="D454" s="25" t="str">
        <f>IFERROR(INDEX('Hun Demand'!T:T,MATCH(O454,'Hun Demand'!A:A,0)),"")</f>
        <v/>
      </c>
      <c r="E454" s="25" t="str">
        <f>IFERROR(INDEX('Hun Demand'!S:S,MATCH(O454,'Hun Demand'!A:A,0)),"")</f>
        <v/>
      </c>
      <c r="F454" s="25" t="str">
        <f>IFERROR(INDEX('Hun Demand'!R:R,MATCH(O454,'Hun Demand'!A:A,0)),"")</f>
        <v/>
      </c>
      <c r="G454" s="25">
        <f>IFERROR(INDEX('Aub Demand'!W:W,MATCH(O454,'Aub Demand'!A:A,0)),"")</f>
        <v>0</v>
      </c>
      <c r="H454" s="25">
        <f>IFERROR(INDEX('Aub Demand'!V:V,MATCH(O454,'Aub Demand'!A:A,0)),"")</f>
        <v>0</v>
      </c>
      <c r="I454" s="25">
        <f>IFERROR(INDEX('Aub Demand'!U:U,MATCH(O454,'Aub Demand'!A:A,0)),"")</f>
        <v>0</v>
      </c>
      <c r="J454" s="25">
        <f>IFERROR(INDEX('Aub Demand'!T:T,MATCH(O454,'Aub Demand'!A:A,0)),"")</f>
        <v>0</v>
      </c>
      <c r="K454" s="25">
        <f>IFERROR(INDEX('Aub Demand'!S:S,MATCH(O454,'Aub Demand'!A:A,0)),"")</f>
        <v>0</v>
      </c>
      <c r="L454" s="25">
        <f>IFERROR(INDEX('Aub Demand'!R:R,MATCH(O454,'Aub Demand'!A:A,0)),"")</f>
        <v>0</v>
      </c>
      <c r="O454" s="27" t="s">
        <v>768</v>
      </c>
      <c r="P454" s="27" t="str">
        <f>IFERROR(INDEX('Aub Demand'!B:B,MATCH($O454,'Aub Demand'!$A:$A,0)),"")</f>
        <v>BERGEN ASH</v>
      </c>
      <c r="Q454" s="27" t="str">
        <f>IFERROR(INDEX('Aub Demand'!C:C,MATCH($O454,'Aub Demand'!$A:$A,0)),"")</f>
        <v>ARAUC</v>
      </c>
      <c r="R454" s="52">
        <f>IFERROR(IF(AR455=AR454,INDEX('Aub Demand'!K:K,MATCH($O454,'Aub Demand'!$A:$A,0))-IF(AN454="",0,AN454)+AP455,INDEX('Aub Demand'!K:K,MATCH($O454,'Aub Demand'!$A:$A,0))-IF(AN454="",0,AN454)),"")</f>
        <v>105</v>
      </c>
      <c r="S454" s="53" t="str">
        <f t="shared" si="196"/>
        <v>n/a</v>
      </c>
      <c r="T454" s="52" t="str">
        <f t="shared" si="197"/>
        <v/>
      </c>
      <c r="U454" s="52">
        <f>IFERROR(IF(AR455=AR454,INDEX('Aub Demand'!Q:Q,MATCH($O454,'Aub Demand'!$A:$A,0))-IF(AN454="",0,AN454)+AP455,INDEX('Aub Demand'!Q:Q,MATCH($O454,'Aub Demand'!$A:$A,0))-IF(AN454="",0,AN454)),"")</f>
        <v>105</v>
      </c>
      <c r="V454" s="53" t="str">
        <f t="shared" si="198"/>
        <v>n/a</v>
      </c>
      <c r="W454" s="52" t="str">
        <f t="shared" si="199"/>
        <v/>
      </c>
      <c r="X454" s="52">
        <f>IFERROR(IF(AND(AR455=AR454,AM454&lt;&gt;""),INDEX('Aub Demand'!Q:Q,MATCH($O454,'Aub Demand'!$A:$A,0))-IF(AN454="",0,AN454)+AP455+AD454+AL454,IF(AR455=AR454,INDEX('Aub Demand'!Q:Q,MATCH($O454,'Aub Demand'!$A:$A,0))-IF(AN454="",0,AN454)+AP455+AD454,IF(AM454&lt;&gt;"",INDEX('Aub Demand'!Q:Q,MATCH($O454,'Aub Demand'!$A:$A,0))-IF(AN454="",0,AN454)+AD454+AL454,INDEX('Aub Demand'!Q:Q,MATCH($O454,'Aub Demand'!$A:$A,0))-IF(AN454="",0,AN454)+AD454))),"")</f>
        <v>105</v>
      </c>
      <c r="Y454" s="53" t="str">
        <f t="shared" si="200"/>
        <v>n/a</v>
      </c>
      <c r="Z454" s="52">
        <f>IF(L454="","",INDEX('Aub Demand'!H:H,MATCH($O454,'Aub Demand'!$A:$A,0)))</f>
        <v>0</v>
      </c>
      <c r="AA454" s="52" t="str">
        <f t="shared" si="201"/>
        <v>-spike-</v>
      </c>
      <c r="AB454" s="52">
        <f>IFERROR(INDEX('Aub Demand'!L:L,MATCH($O454,'Aub Demand'!$A:$A,0)),"")</f>
        <v>0</v>
      </c>
      <c r="AC454" s="52">
        <f>IFERROR(IF(O454="","",SUMIFS('CPL Mats'!F:F,'CPL Mats'!Q:Q,AR454,'CPL Mats'!S:S,AS454)),"")</f>
        <v>0</v>
      </c>
      <c r="AF454" s="25" t="str">
        <f>IF(SUMIFS('Supp Consol'!S:S,'Supp Consol'!Y:Y,"Releasable",'Supp Consol'!A:A,O454)=0,"",SUMIFS('Supp Consol'!S:S,'Supp Consol'!Y:Y,"Releasable",'Supp Consol'!A:A,O454))</f>
        <v/>
      </c>
      <c r="AG454" s="25" t="str">
        <f>IFERROR(INDEX('Hun Demand'!Q:Q,MATCH(O454,'Hun Demand'!A:A,0)),"")</f>
        <v/>
      </c>
      <c r="AH454" s="25" t="str">
        <f>IFERROR(INDEX('Hun Demand'!H:H,MATCH($O454,'Hun Demand'!$A:$A,0)),"")</f>
        <v/>
      </c>
      <c r="AI454" s="25" t="str">
        <f>IF(SUMIFS('Supp Consol'!AA:AA,'Supp Consol'!Z:Z,"Expires this month",'Supp Consol'!A:A,O454)=0,"",SUMIFS('Supp Consol'!AA:AA,'Supp Consol'!Z:Z,"Expires this month",'Supp Consol'!A:A,O454))</f>
        <v/>
      </c>
      <c r="AJ454" s="25" t="str">
        <f>IF(SUMIFS('Supp Consol'!AA:AA,'Supp Consol'!Z:Z,"Expired Previous Months",'Supp Consol'!A:A,O454)=0,"",SUMIFS('Supp Consol'!AA:AA,'Supp Consol'!Z:Z,"Expired Previous Months",'Supp Consol'!A:A,O454))</f>
        <v/>
      </c>
      <c r="AK454" s="25" t="str">
        <f>IFERROR(INDEX('Hun Release Current'!B:B,MATCH(O454,'Hun Release Current'!A:A,0)),"")</f>
        <v/>
      </c>
      <c r="AL454" s="25" t="str">
        <f>IF(SUMIF('Prev Aub'!A:A,O454,'Prev Aub'!B:B)=0,"",SUMIF('Prev Aub'!A:A,O454,'Prev Aub'!B:B))</f>
        <v/>
      </c>
      <c r="AN454" s="25" t="s">
        <v>3790</v>
      </c>
      <c r="AO454" s="25" t="s">
        <v>3790</v>
      </c>
      <c r="AP454" s="25">
        <f t="shared" si="202"/>
        <v>0</v>
      </c>
      <c r="AQ454" s="151" t="str">
        <f>IF(SUMIFS('Supp Consol'!S:S,'Supp Consol'!A:A,O454,'Supp Consol'!I:I,"PENDING")=0,"",SUMIFS('Supp Consol'!S:S,'Supp Consol'!A:A,O454,'Supp Consol'!I:I,"PENDING"))</f>
        <v/>
      </c>
      <c r="AR454" s="27" t="str">
        <f t="shared" si="203"/>
        <v>FB450</v>
      </c>
      <c r="AS454" s="27" t="str">
        <f t="shared" si="204"/>
        <v>50</v>
      </c>
      <c r="AT454" s="27" t="str">
        <f t="shared" si="205"/>
        <v/>
      </c>
      <c r="AU454" s="27" t="str">
        <f t="shared" si="206"/>
        <v/>
      </c>
      <c r="AV454" s="27" t="str">
        <f t="shared" si="207"/>
        <v/>
      </c>
      <c r="AW454" s="27" t="str">
        <f t="shared" si="208"/>
        <v/>
      </c>
      <c r="AX454" s="27" t="str">
        <f t="shared" si="209"/>
        <v/>
      </c>
      <c r="AY454" s="27" t="str">
        <f t="shared" si="210"/>
        <v/>
      </c>
      <c r="AZ454" s="27" t="str">
        <f t="shared" si="211"/>
        <v/>
      </c>
      <c r="BA454" s="27" t="str">
        <f t="shared" si="212"/>
        <v/>
      </c>
      <c r="BB454" s="27" t="str">
        <f t="shared" si="213"/>
        <v>Gross</v>
      </c>
      <c r="BC454" s="27" t="str">
        <f t="shared" si="214"/>
        <v>Net</v>
      </c>
      <c r="BD454" s="27" t="str">
        <f t="shared" si="215"/>
        <v>Net</v>
      </c>
      <c r="BE454" s="27" t="str">
        <f t="shared" si="216"/>
        <v/>
      </c>
      <c r="BF454" s="27" t="str">
        <f t="shared" si="217"/>
        <v/>
      </c>
      <c r="BG454" s="27" t="str">
        <f t="shared" si="218"/>
        <v/>
      </c>
      <c r="BH454" s="27" t="str">
        <f t="shared" si="219"/>
        <v/>
      </c>
      <c r="BI454" s="27" t="str">
        <f t="shared" si="220"/>
        <v/>
      </c>
      <c r="BJ454" s="27" t="str">
        <f t="shared" si="221"/>
        <v/>
      </c>
      <c r="BK454" s="27" t="str">
        <f t="shared" si="222"/>
        <v/>
      </c>
      <c r="BL454" s="27" t="str">
        <f t="shared" si="223"/>
        <v/>
      </c>
      <c r="BM454" s="21" t="s">
        <v>5581</v>
      </c>
    </row>
    <row r="455" spans="1:65" ht="15">
      <c r="A455" s="25" t="str">
        <f>IFERROR(INDEX('Hun Demand'!W:W,MATCH(O455,'Hun Demand'!A:A,0)),"")</f>
        <v/>
      </c>
      <c r="B455" s="25" t="str">
        <f>IFERROR(INDEX('Hun Demand'!V:V,MATCH(O455,'Hun Demand'!A:A,0)),"")</f>
        <v/>
      </c>
      <c r="C455" s="25" t="str">
        <f>IFERROR(INDEX('Hun Demand'!U:U,MATCH(O455,'Hun Demand'!A:A,0)),"")</f>
        <v/>
      </c>
      <c r="D455" s="25" t="str">
        <f>IFERROR(INDEX('Hun Demand'!T:T,MATCH(O455,'Hun Demand'!A:A,0)),"")</f>
        <v/>
      </c>
      <c r="E455" s="25" t="str">
        <f>IFERROR(INDEX('Hun Demand'!S:S,MATCH(O455,'Hun Demand'!A:A,0)),"")</f>
        <v/>
      </c>
      <c r="F455" s="25" t="str">
        <f>IFERROR(INDEX('Hun Demand'!R:R,MATCH(O455,'Hun Demand'!A:A,0)),"")</f>
        <v/>
      </c>
      <c r="G455" s="25">
        <f>IFERROR(INDEX('Aub Demand'!W:W,MATCH(O455,'Aub Demand'!A:A,0)),"")</f>
        <v>67</v>
      </c>
      <c r="H455" s="25">
        <f>IFERROR(INDEX('Aub Demand'!V:V,MATCH(O455,'Aub Demand'!A:A,0)),"")</f>
        <v>0</v>
      </c>
      <c r="I455" s="25">
        <f>IFERROR(INDEX('Aub Demand'!U:U,MATCH(O455,'Aub Demand'!A:A,0)),"")</f>
        <v>0</v>
      </c>
      <c r="J455" s="25">
        <f>IFERROR(INDEX('Aub Demand'!T:T,MATCH(O455,'Aub Demand'!A:A,0)),"")</f>
        <v>0</v>
      </c>
      <c r="K455" s="25">
        <f>IFERROR(INDEX('Aub Demand'!S:S,MATCH(O455,'Aub Demand'!A:A,0)),"")</f>
        <v>60</v>
      </c>
      <c r="L455" s="25">
        <f>IFERROR(INDEX('Aub Demand'!R:R,MATCH(O455,'Aub Demand'!A:A,0)),"")</f>
        <v>0</v>
      </c>
      <c r="O455" s="27" t="s">
        <v>770</v>
      </c>
      <c r="P455" s="27" t="str">
        <f>IFERROR(INDEX('Aub Demand'!B:B,MATCH($O455,'Aub Demand'!$A:$A,0)),"")</f>
        <v>BERGEN ASH</v>
      </c>
      <c r="Q455" s="27" t="str">
        <f>IFERROR(INDEX('Aub Demand'!C:C,MATCH($O455,'Aub Demand'!$A:$A,0)),"")</f>
        <v>ARAUC</v>
      </c>
      <c r="R455" s="52">
        <f>IFERROR(IF(AR456=AR455,INDEX('Aub Demand'!K:K,MATCH($O455,'Aub Demand'!$A:$A,0))-IF(AN455="",0,AN455)+AP456,INDEX('Aub Demand'!K:K,MATCH($O455,'Aub Demand'!$A:$A,0))-IF(AN455="",0,AN455)),"")</f>
        <v>0</v>
      </c>
      <c r="S455" s="53">
        <f t="shared" si="196"/>
        <v>0</v>
      </c>
      <c r="T455" s="52" t="str">
        <f t="shared" si="197"/>
        <v/>
      </c>
      <c r="U455" s="52">
        <f>IFERROR(IF(AR456=AR455,INDEX('Aub Demand'!Q:Q,MATCH($O455,'Aub Demand'!$A:$A,0))-IF(AN455="",0,AN455)+AP456,INDEX('Aub Demand'!Q:Q,MATCH($O455,'Aub Demand'!$A:$A,0))-IF(AN455="",0,AN455)),"")</f>
        <v>0</v>
      </c>
      <c r="V455" s="53">
        <f t="shared" si="198"/>
        <v>0</v>
      </c>
      <c r="W455" s="52" t="str">
        <f t="shared" si="199"/>
        <v/>
      </c>
      <c r="X455" s="52">
        <f>IFERROR(IF(AND(AR456=AR455,AM455&lt;&gt;""),INDEX('Aub Demand'!Q:Q,MATCH($O455,'Aub Demand'!$A:$A,0))-IF(AN455="",0,AN455)+AP456+AD455+AL455,IF(AR456=AR455,INDEX('Aub Demand'!Q:Q,MATCH($O455,'Aub Demand'!$A:$A,0))-IF(AN455="",0,AN455)+AP456+AD455,IF(AM455&lt;&gt;"",INDEX('Aub Demand'!Q:Q,MATCH($O455,'Aub Demand'!$A:$A,0))-IF(AN455="",0,AN455)+AD455+AL455,INDEX('Aub Demand'!Q:Q,MATCH($O455,'Aub Demand'!$A:$A,0))-IF(AN455="",0,AN455)+AD455))),"")</f>
        <v>0</v>
      </c>
      <c r="Y455" s="53">
        <f t="shared" si="200"/>
        <v>0</v>
      </c>
      <c r="Z455" s="52">
        <f>IF(L455="","",INDEX('Aub Demand'!H:H,MATCH($O455,'Aub Demand'!$A:$A,0)))</f>
        <v>20</v>
      </c>
      <c r="AA455" s="52" t="str">
        <f t="shared" si="201"/>
        <v>-spike-</v>
      </c>
      <c r="AB455" s="52">
        <f>IFERROR(INDEX('Aub Demand'!L:L,MATCH($O455,'Aub Demand'!$A:$A,0)),"")</f>
        <v>7</v>
      </c>
      <c r="AC455" s="52">
        <f>IFERROR(IF(O455="","",SUMIFS('CPL Mats'!F:F,'CPL Mats'!Q:Q,AR455,'CPL Mats'!S:S,AS455)),"")</f>
        <v>0</v>
      </c>
      <c r="AF455" s="25" t="str">
        <f>IF(SUMIFS('Supp Consol'!S:S,'Supp Consol'!Y:Y,"Releasable",'Supp Consol'!A:A,O455)=0,"",SUMIFS('Supp Consol'!S:S,'Supp Consol'!Y:Y,"Releasable",'Supp Consol'!A:A,O455))</f>
        <v/>
      </c>
      <c r="AG455" s="25" t="str">
        <f>IFERROR(INDEX('Hun Demand'!Q:Q,MATCH(O455,'Hun Demand'!A:A,0)),"")</f>
        <v/>
      </c>
      <c r="AH455" s="25" t="str">
        <f>IFERROR(INDEX('Hun Demand'!H:H,MATCH($O455,'Hun Demand'!$A:$A,0)),"")</f>
        <v/>
      </c>
      <c r="AI455" s="25" t="str">
        <f>IF(SUMIFS('Supp Consol'!AA:AA,'Supp Consol'!Z:Z,"Expires this month",'Supp Consol'!A:A,O455)=0,"",SUMIFS('Supp Consol'!AA:AA,'Supp Consol'!Z:Z,"Expires this month",'Supp Consol'!A:A,O455))</f>
        <v/>
      </c>
      <c r="AJ455" s="25" t="str">
        <f>IF(SUMIFS('Supp Consol'!AA:AA,'Supp Consol'!Z:Z,"Expired Previous Months",'Supp Consol'!A:A,O455)=0,"",SUMIFS('Supp Consol'!AA:AA,'Supp Consol'!Z:Z,"Expired Previous Months",'Supp Consol'!A:A,O455))</f>
        <v/>
      </c>
      <c r="AK455" s="25" t="str">
        <f>IFERROR(INDEX('Hun Release Current'!B:B,MATCH(O455,'Hun Release Current'!A:A,0)),"")</f>
        <v/>
      </c>
      <c r="AL455" s="25" t="str">
        <f>IF(SUMIF('Prev Aub'!A:A,O455,'Prev Aub'!B:B)=0,"",SUMIF('Prev Aub'!A:A,O455,'Prev Aub'!B:B))</f>
        <v/>
      </c>
      <c r="AN455" s="25" t="s">
        <v>3790</v>
      </c>
      <c r="AO455" s="25" t="s">
        <v>3790</v>
      </c>
      <c r="AP455" s="25">
        <f t="shared" si="202"/>
        <v>0</v>
      </c>
      <c r="AQ455" s="151" t="str">
        <f>IF(SUMIFS('Supp Consol'!S:S,'Supp Consol'!A:A,O455,'Supp Consol'!I:I,"PENDING")=0,"",SUMIFS('Supp Consol'!S:S,'Supp Consol'!A:A,O455,'Supp Consol'!I:I,"PENDING"))</f>
        <v/>
      </c>
      <c r="AR455" s="27" t="str">
        <f t="shared" si="203"/>
        <v>FB450</v>
      </c>
      <c r="AS455" s="27" t="str">
        <f t="shared" si="204"/>
        <v>62</v>
      </c>
      <c r="AT455" s="27" t="str">
        <f t="shared" si="205"/>
        <v>FB450</v>
      </c>
      <c r="AU455" s="27" t="str">
        <f t="shared" si="206"/>
        <v>FB450</v>
      </c>
      <c r="AV455" s="27" t="str">
        <f t="shared" si="207"/>
        <v>FB450</v>
      </c>
      <c r="AW455" s="27" t="str">
        <f t="shared" si="208"/>
        <v/>
      </c>
      <c r="AX455" s="27" t="str">
        <f t="shared" si="209"/>
        <v/>
      </c>
      <c r="AY455" s="27" t="str">
        <f t="shared" si="210"/>
        <v/>
      </c>
      <c r="AZ455" s="27" t="str">
        <f t="shared" si="211"/>
        <v/>
      </c>
      <c r="BA455" s="27" t="str">
        <f t="shared" si="212"/>
        <v/>
      </c>
      <c r="BB455" s="27" t="str">
        <f t="shared" si="213"/>
        <v>Gross</v>
      </c>
      <c r="BC455" s="27" t="str">
        <f t="shared" si="214"/>
        <v>Net</v>
      </c>
      <c r="BD455" s="27" t="str">
        <f t="shared" si="215"/>
        <v>Net</v>
      </c>
      <c r="BE455" s="27" t="str">
        <f t="shared" si="216"/>
        <v/>
      </c>
      <c r="BF455" s="27" t="str">
        <f t="shared" si="217"/>
        <v/>
      </c>
      <c r="BG455" s="27" t="str">
        <f t="shared" si="218"/>
        <v/>
      </c>
      <c r="BH455" s="27" t="str">
        <f t="shared" si="219"/>
        <v/>
      </c>
      <c r="BI455" s="27" t="str">
        <f t="shared" si="220"/>
        <v/>
      </c>
      <c r="BJ455" s="27" t="str">
        <f t="shared" si="221"/>
        <v/>
      </c>
      <c r="BK455" s="27" t="str">
        <f t="shared" si="222"/>
        <v/>
      </c>
      <c r="BL455" s="27" t="str">
        <f t="shared" si="223"/>
        <v/>
      </c>
      <c r="BM455" s="21" t="s">
        <v>5581</v>
      </c>
    </row>
    <row r="456" spans="1:65" ht="15">
      <c r="A456" s="25" t="str">
        <f>IFERROR(INDEX('Hun Demand'!W:W,MATCH(O456,'Hun Demand'!A:A,0)),"")</f>
        <v/>
      </c>
      <c r="B456" s="25" t="str">
        <f>IFERROR(INDEX('Hun Demand'!V:V,MATCH(O456,'Hun Demand'!A:A,0)),"")</f>
        <v/>
      </c>
      <c r="C456" s="25" t="str">
        <f>IFERROR(INDEX('Hun Demand'!U:U,MATCH(O456,'Hun Demand'!A:A,0)),"")</f>
        <v/>
      </c>
      <c r="D456" s="25" t="str">
        <f>IFERROR(INDEX('Hun Demand'!T:T,MATCH(O456,'Hun Demand'!A:A,0)),"")</f>
        <v/>
      </c>
      <c r="E456" s="25" t="str">
        <f>IFERROR(INDEX('Hun Demand'!S:S,MATCH(O456,'Hun Demand'!A:A,0)),"")</f>
        <v/>
      </c>
      <c r="F456" s="25" t="str">
        <f>IFERROR(INDEX('Hun Demand'!R:R,MATCH(O456,'Hun Demand'!A:A,0)),"")</f>
        <v/>
      </c>
      <c r="G456" s="25">
        <f>IFERROR(INDEX('Aub Demand'!W:W,MATCH(O456,'Aub Demand'!A:A,0)),"")</f>
        <v>0</v>
      </c>
      <c r="H456" s="25">
        <f>IFERROR(INDEX('Aub Demand'!V:V,MATCH(O456,'Aub Demand'!A:A,0)),"")</f>
        <v>0</v>
      </c>
      <c r="I456" s="25">
        <f>IFERROR(INDEX('Aub Demand'!U:U,MATCH(O456,'Aub Demand'!A:A,0)),"")</f>
        <v>0</v>
      </c>
      <c r="J456" s="25">
        <f>IFERROR(INDEX('Aub Demand'!T:T,MATCH(O456,'Aub Demand'!A:A,0)),"")</f>
        <v>0</v>
      </c>
      <c r="K456" s="25">
        <f>IFERROR(INDEX('Aub Demand'!S:S,MATCH(O456,'Aub Demand'!A:A,0)),"")</f>
        <v>0</v>
      </c>
      <c r="L456" s="25">
        <f>IFERROR(INDEX('Aub Demand'!R:R,MATCH(O456,'Aub Demand'!A:A,0)),"")</f>
        <v>0</v>
      </c>
      <c r="O456" s="27" t="s">
        <v>771</v>
      </c>
      <c r="P456" s="27" t="str">
        <f>IFERROR(INDEX('Aub Demand'!B:B,MATCH($O456,'Aub Demand'!$A:$A,0)),"")</f>
        <v>NARVIK ASH</v>
      </c>
      <c r="Q456" s="27" t="str">
        <f>IFERROR(INDEX('Aub Demand'!C:C,MATCH($O456,'Aub Demand'!$A:$A,0)),"")</f>
        <v>ARAUC</v>
      </c>
      <c r="R456" s="52">
        <f>IFERROR(IF(AR457=AR456,INDEX('Aub Demand'!K:K,MATCH($O456,'Aub Demand'!$A:$A,0))-IF(AN456="",0,AN456)+AP457,INDEX('Aub Demand'!K:K,MATCH($O456,'Aub Demand'!$A:$A,0))-IF(AN456="",0,AN456)),"")</f>
        <v>232</v>
      </c>
      <c r="S456" s="53" t="str">
        <f t="shared" si="196"/>
        <v>n/a</v>
      </c>
      <c r="T456" s="52" t="str">
        <f t="shared" si="197"/>
        <v/>
      </c>
      <c r="U456" s="52">
        <f>IFERROR(IF(AR457=AR456,INDEX('Aub Demand'!Q:Q,MATCH($O456,'Aub Demand'!$A:$A,0))-IF(AN456="",0,AN456)+AP457,INDEX('Aub Demand'!Q:Q,MATCH($O456,'Aub Demand'!$A:$A,0))-IF(AN456="",0,AN456)),"")</f>
        <v>232</v>
      </c>
      <c r="V456" s="53" t="str">
        <f t="shared" si="198"/>
        <v>n/a</v>
      </c>
      <c r="W456" s="52" t="str">
        <f t="shared" si="199"/>
        <v/>
      </c>
      <c r="X456" s="52">
        <f>IFERROR(IF(AND(AR457=AR456,AM456&lt;&gt;""),INDEX('Aub Demand'!Q:Q,MATCH($O456,'Aub Demand'!$A:$A,0))-IF(AN456="",0,AN456)+AP457+AD456+AL456,IF(AR457=AR456,INDEX('Aub Demand'!Q:Q,MATCH($O456,'Aub Demand'!$A:$A,0))-IF(AN456="",0,AN456)+AP457+AD456,IF(AM456&lt;&gt;"",INDEX('Aub Demand'!Q:Q,MATCH($O456,'Aub Demand'!$A:$A,0))-IF(AN456="",0,AN456)+AD456+AL456,INDEX('Aub Demand'!Q:Q,MATCH($O456,'Aub Demand'!$A:$A,0))-IF(AN456="",0,AN456)+AD456))),"")</f>
        <v>232</v>
      </c>
      <c r="Y456" s="53" t="str">
        <f t="shared" si="200"/>
        <v>n/a</v>
      </c>
      <c r="Z456" s="52">
        <f>IF(L456="","",INDEX('Aub Demand'!H:H,MATCH($O456,'Aub Demand'!$A:$A,0)))</f>
        <v>0</v>
      </c>
      <c r="AA456" s="52" t="str">
        <f t="shared" si="201"/>
        <v>-spike-</v>
      </c>
      <c r="AB456" s="52">
        <f>IFERROR(INDEX('Aub Demand'!L:L,MATCH($O456,'Aub Demand'!$A:$A,0)),"")</f>
        <v>0</v>
      </c>
      <c r="AC456" s="52">
        <f>IFERROR(IF(O456="","",SUMIFS('CPL Mats'!F:F,'CPL Mats'!Q:Q,AR456,'CPL Mats'!S:S,AS456)),"")</f>
        <v>0</v>
      </c>
      <c r="AF456" s="25" t="str">
        <f>IF(SUMIFS('Supp Consol'!S:S,'Supp Consol'!Y:Y,"Releasable",'Supp Consol'!A:A,O456)=0,"",SUMIFS('Supp Consol'!S:S,'Supp Consol'!Y:Y,"Releasable",'Supp Consol'!A:A,O456))</f>
        <v/>
      </c>
      <c r="AG456" s="25" t="str">
        <f>IFERROR(INDEX('Hun Demand'!Q:Q,MATCH(O456,'Hun Demand'!A:A,0)),"")</f>
        <v/>
      </c>
      <c r="AH456" s="25" t="str">
        <f>IFERROR(INDEX('Hun Demand'!H:H,MATCH($O456,'Hun Demand'!$A:$A,0)),"")</f>
        <v/>
      </c>
      <c r="AI456" s="25" t="str">
        <f>IF(SUMIFS('Supp Consol'!AA:AA,'Supp Consol'!Z:Z,"Expires this month",'Supp Consol'!A:A,O456)=0,"",SUMIFS('Supp Consol'!AA:AA,'Supp Consol'!Z:Z,"Expires this month",'Supp Consol'!A:A,O456))</f>
        <v/>
      </c>
      <c r="AJ456" s="25" t="str">
        <f>IF(SUMIFS('Supp Consol'!AA:AA,'Supp Consol'!Z:Z,"Expired Previous Months",'Supp Consol'!A:A,O456)=0,"",SUMIFS('Supp Consol'!AA:AA,'Supp Consol'!Z:Z,"Expired Previous Months",'Supp Consol'!A:A,O456))</f>
        <v/>
      </c>
      <c r="AK456" s="25" t="str">
        <f>IFERROR(INDEX('Hun Release Current'!B:B,MATCH(O456,'Hun Release Current'!A:A,0)),"")</f>
        <v/>
      </c>
      <c r="AL456" s="25" t="str">
        <f>IF(SUMIF('Prev Aub'!A:A,O456,'Prev Aub'!B:B)=0,"",SUMIF('Prev Aub'!A:A,O456,'Prev Aub'!B:B))</f>
        <v/>
      </c>
      <c r="AN456" s="25" t="s">
        <v>3790</v>
      </c>
      <c r="AO456" s="25" t="s">
        <v>3790</v>
      </c>
      <c r="AP456" s="25">
        <f t="shared" si="202"/>
        <v>0</v>
      </c>
      <c r="AQ456" s="151" t="str">
        <f>IF(SUMIFS('Supp Consol'!S:S,'Supp Consol'!A:A,O456,'Supp Consol'!I:I,"PENDING")=0,"",SUMIFS('Supp Consol'!S:S,'Supp Consol'!A:A,O456,'Supp Consol'!I:I,"PENDING"))</f>
        <v/>
      </c>
      <c r="AR456" s="27" t="str">
        <f t="shared" si="203"/>
        <v>FB451</v>
      </c>
      <c r="AS456" s="27" t="str">
        <f t="shared" si="204"/>
        <v>50</v>
      </c>
      <c r="AT456" s="27" t="str">
        <f t="shared" si="205"/>
        <v/>
      </c>
      <c r="AU456" s="27" t="str">
        <f t="shared" si="206"/>
        <v/>
      </c>
      <c r="AV456" s="27" t="str">
        <f t="shared" si="207"/>
        <v/>
      </c>
      <c r="AW456" s="27" t="str">
        <f t="shared" si="208"/>
        <v/>
      </c>
      <c r="AX456" s="27" t="str">
        <f t="shared" si="209"/>
        <v/>
      </c>
      <c r="AY456" s="27" t="str">
        <f t="shared" si="210"/>
        <v/>
      </c>
      <c r="AZ456" s="27" t="str">
        <f t="shared" si="211"/>
        <v/>
      </c>
      <c r="BA456" s="27" t="str">
        <f t="shared" si="212"/>
        <v/>
      </c>
      <c r="BB456" s="27" t="str">
        <f t="shared" si="213"/>
        <v/>
      </c>
      <c r="BC456" s="27" t="str">
        <f t="shared" si="214"/>
        <v/>
      </c>
      <c r="BD456" s="27" t="str">
        <f t="shared" si="215"/>
        <v/>
      </c>
      <c r="BE456" s="27" t="str">
        <f t="shared" si="216"/>
        <v/>
      </c>
      <c r="BF456" s="27" t="str">
        <f t="shared" si="217"/>
        <v/>
      </c>
      <c r="BG456" s="27" t="str">
        <f t="shared" si="218"/>
        <v/>
      </c>
      <c r="BH456" s="27" t="str">
        <f t="shared" si="219"/>
        <v/>
      </c>
      <c r="BI456" s="27" t="str">
        <f t="shared" si="220"/>
        <v/>
      </c>
      <c r="BJ456" s="27" t="str">
        <f t="shared" si="221"/>
        <v/>
      </c>
      <c r="BK456" s="27" t="str">
        <f t="shared" si="222"/>
        <v/>
      </c>
      <c r="BL456" s="27" t="str">
        <f t="shared" si="223"/>
        <v/>
      </c>
      <c r="BM456" s="21" t="s">
        <v>5581</v>
      </c>
    </row>
    <row r="457" spans="1:65" ht="15">
      <c r="A457" s="25" t="str">
        <f>IFERROR(INDEX('Hun Demand'!W:W,MATCH(O457,'Hun Demand'!A:A,0)),"")</f>
        <v/>
      </c>
      <c r="B457" s="25" t="str">
        <f>IFERROR(INDEX('Hun Demand'!V:V,MATCH(O457,'Hun Demand'!A:A,0)),"")</f>
        <v/>
      </c>
      <c r="C457" s="25" t="str">
        <f>IFERROR(INDEX('Hun Demand'!U:U,MATCH(O457,'Hun Demand'!A:A,0)),"")</f>
        <v/>
      </c>
      <c r="D457" s="25" t="str">
        <f>IFERROR(INDEX('Hun Demand'!T:T,MATCH(O457,'Hun Demand'!A:A,0)),"")</f>
        <v/>
      </c>
      <c r="E457" s="25" t="str">
        <f>IFERROR(INDEX('Hun Demand'!S:S,MATCH(O457,'Hun Demand'!A:A,0)),"")</f>
        <v/>
      </c>
      <c r="F457" s="25" t="str">
        <f>IFERROR(INDEX('Hun Demand'!R:R,MATCH(O457,'Hun Demand'!A:A,0)),"")</f>
        <v/>
      </c>
      <c r="G457" s="25">
        <f>IFERROR(INDEX('Aub Demand'!W:W,MATCH(O457,'Aub Demand'!A:A,0)),"")</f>
        <v>0</v>
      </c>
      <c r="H457" s="25">
        <f>IFERROR(INDEX('Aub Demand'!V:V,MATCH(O457,'Aub Demand'!A:A,0)),"")</f>
        <v>0</v>
      </c>
      <c r="I457" s="25">
        <f>IFERROR(INDEX('Aub Demand'!U:U,MATCH(O457,'Aub Demand'!A:A,0)),"")</f>
        <v>43</v>
      </c>
      <c r="J457" s="25">
        <f>IFERROR(INDEX('Aub Demand'!T:T,MATCH(O457,'Aub Demand'!A:A,0)),"")</f>
        <v>0</v>
      </c>
      <c r="K457" s="25">
        <f>IFERROR(INDEX('Aub Demand'!S:S,MATCH(O457,'Aub Demand'!A:A,0)),"")</f>
        <v>0</v>
      </c>
      <c r="L457" s="25">
        <f>IFERROR(INDEX('Aub Demand'!R:R,MATCH(O457,'Aub Demand'!A:A,0)),"")</f>
        <v>0</v>
      </c>
      <c r="O457" s="27" t="s">
        <v>773</v>
      </c>
      <c r="P457" s="27" t="str">
        <f>IFERROR(INDEX('Aub Demand'!B:B,MATCH($O457,'Aub Demand'!$A:$A,0)),"")</f>
        <v>NARVIK ASH</v>
      </c>
      <c r="Q457" s="27" t="str">
        <f>IFERROR(INDEX('Aub Demand'!C:C,MATCH($O457,'Aub Demand'!$A:$A,0)),"")</f>
        <v>ARAUC</v>
      </c>
      <c r="R457" s="52">
        <f>IFERROR(IF(AR458=AR457,INDEX('Aub Demand'!K:K,MATCH($O457,'Aub Demand'!$A:$A,0))-IF(AN457="",0,AN457)+AP458,INDEX('Aub Demand'!K:K,MATCH($O457,'Aub Demand'!$A:$A,0))-IF(AN457="",0,AN457)),"")</f>
        <v>100</v>
      </c>
      <c r="S457" s="53">
        <f t="shared" si="196"/>
        <v>30.6</v>
      </c>
      <c r="T457" s="52" t="str">
        <f t="shared" si="197"/>
        <v/>
      </c>
      <c r="U457" s="52">
        <f>IFERROR(IF(AR458=AR457,INDEX('Aub Demand'!Q:Q,MATCH($O457,'Aub Demand'!$A:$A,0))-IF(AN457="",0,AN457)+AP458,INDEX('Aub Demand'!Q:Q,MATCH($O457,'Aub Demand'!$A:$A,0))-IF(AN457="",0,AN457)),"")</f>
        <v>100</v>
      </c>
      <c r="V457" s="53">
        <f t="shared" si="198"/>
        <v>30.6</v>
      </c>
      <c r="W457" s="52" t="str">
        <f t="shared" si="199"/>
        <v/>
      </c>
      <c r="X457" s="52">
        <f>IFERROR(IF(AND(AR458=AR457,AM457&lt;&gt;""),INDEX('Aub Demand'!Q:Q,MATCH($O457,'Aub Demand'!$A:$A,0))-IF(AN457="",0,AN457)+AP458+AD457+AL457,IF(AR458=AR457,INDEX('Aub Demand'!Q:Q,MATCH($O457,'Aub Demand'!$A:$A,0))-IF(AN457="",0,AN457)+AP458+AD457,IF(AM457&lt;&gt;"",INDEX('Aub Demand'!Q:Q,MATCH($O457,'Aub Demand'!$A:$A,0))-IF(AN457="",0,AN457)+AD457+AL457,INDEX('Aub Demand'!Q:Q,MATCH($O457,'Aub Demand'!$A:$A,0))-IF(AN457="",0,AN457)+AD457))),"")</f>
        <v>100</v>
      </c>
      <c r="Y457" s="53">
        <f t="shared" si="200"/>
        <v>30.6</v>
      </c>
      <c r="Z457" s="52">
        <f>IF(L457="","",INDEX('Aub Demand'!H:H,MATCH($O457,'Aub Demand'!$A:$A,0)))</f>
        <v>14</v>
      </c>
      <c r="AA457" s="52" t="str">
        <f t="shared" si="201"/>
        <v>-spike-</v>
      </c>
      <c r="AB457" s="52">
        <f>IFERROR(INDEX('Aub Demand'!L:L,MATCH($O457,'Aub Demand'!$A:$A,0)),"")</f>
        <v>0</v>
      </c>
      <c r="AC457" s="52">
        <f>IFERROR(IF(O457="","",SUMIFS('CPL Mats'!F:F,'CPL Mats'!Q:Q,AR457,'CPL Mats'!S:S,AS457)),"")</f>
        <v>0</v>
      </c>
      <c r="AF457" s="25" t="str">
        <f>IF(SUMIFS('Supp Consol'!S:S,'Supp Consol'!Y:Y,"Releasable",'Supp Consol'!A:A,O457)=0,"",SUMIFS('Supp Consol'!S:S,'Supp Consol'!Y:Y,"Releasable",'Supp Consol'!A:A,O457))</f>
        <v/>
      </c>
      <c r="AG457" s="25" t="str">
        <f>IFERROR(INDEX('Hun Demand'!Q:Q,MATCH(O457,'Hun Demand'!A:A,0)),"")</f>
        <v/>
      </c>
      <c r="AH457" s="25" t="str">
        <f>IFERROR(INDEX('Hun Demand'!H:H,MATCH($O457,'Hun Demand'!$A:$A,0)),"")</f>
        <v/>
      </c>
      <c r="AI457" s="25" t="str">
        <f>IF(SUMIFS('Supp Consol'!AA:AA,'Supp Consol'!Z:Z,"Expires this month",'Supp Consol'!A:A,O457)=0,"",SUMIFS('Supp Consol'!AA:AA,'Supp Consol'!Z:Z,"Expires this month",'Supp Consol'!A:A,O457))</f>
        <v/>
      </c>
      <c r="AJ457" s="25" t="str">
        <f>IF(SUMIFS('Supp Consol'!AA:AA,'Supp Consol'!Z:Z,"Expired Previous Months",'Supp Consol'!A:A,O457)=0,"",SUMIFS('Supp Consol'!AA:AA,'Supp Consol'!Z:Z,"Expired Previous Months",'Supp Consol'!A:A,O457))</f>
        <v/>
      </c>
      <c r="AK457" s="25" t="str">
        <f>IFERROR(INDEX('Hun Release Current'!B:B,MATCH(O457,'Hun Release Current'!A:A,0)),"")</f>
        <v/>
      </c>
      <c r="AL457" s="25" t="str">
        <f>IF(SUMIF('Prev Aub'!A:A,O457,'Prev Aub'!B:B)=0,"",SUMIF('Prev Aub'!A:A,O457,'Prev Aub'!B:B))</f>
        <v/>
      </c>
      <c r="AN457" s="25" t="s">
        <v>3790</v>
      </c>
      <c r="AO457" s="25" t="s">
        <v>3790</v>
      </c>
      <c r="AP457" s="25">
        <f t="shared" si="202"/>
        <v>0</v>
      </c>
      <c r="AQ457" s="151" t="str">
        <f>IF(SUMIFS('Supp Consol'!S:S,'Supp Consol'!A:A,O457,'Supp Consol'!I:I,"PENDING")=0,"",SUMIFS('Supp Consol'!S:S,'Supp Consol'!A:A,O457,'Supp Consol'!I:I,"PENDING"))</f>
        <v/>
      </c>
      <c r="AR457" s="27" t="str">
        <f t="shared" si="203"/>
        <v>FB451</v>
      </c>
      <c r="AS457" s="27" t="str">
        <f t="shared" si="204"/>
        <v>62</v>
      </c>
      <c r="AT457" s="27" t="str">
        <f t="shared" si="205"/>
        <v/>
      </c>
      <c r="AU457" s="27" t="str">
        <f t="shared" si="206"/>
        <v/>
      </c>
      <c r="AV457" s="27" t="str">
        <f t="shared" si="207"/>
        <v/>
      </c>
      <c r="AW457" s="27" t="str">
        <f t="shared" si="208"/>
        <v/>
      </c>
      <c r="AX457" s="27" t="str">
        <f t="shared" si="209"/>
        <v/>
      </c>
      <c r="AY457" s="27" t="str">
        <f t="shared" si="210"/>
        <v/>
      </c>
      <c r="AZ457" s="27" t="str">
        <f t="shared" si="211"/>
        <v/>
      </c>
      <c r="BA457" s="27" t="str">
        <f t="shared" si="212"/>
        <v/>
      </c>
      <c r="BB457" s="27" t="str">
        <f t="shared" si="213"/>
        <v/>
      </c>
      <c r="BC457" s="27" t="str">
        <f t="shared" si="214"/>
        <v/>
      </c>
      <c r="BD457" s="27" t="str">
        <f t="shared" si="215"/>
        <v/>
      </c>
      <c r="BE457" s="27" t="str">
        <f t="shared" si="216"/>
        <v/>
      </c>
      <c r="BF457" s="27" t="str">
        <f t="shared" si="217"/>
        <v/>
      </c>
      <c r="BG457" s="27" t="str">
        <f t="shared" si="218"/>
        <v/>
      </c>
      <c r="BH457" s="27" t="str">
        <f t="shared" si="219"/>
        <v/>
      </c>
      <c r="BI457" s="27" t="str">
        <f t="shared" si="220"/>
        <v/>
      </c>
      <c r="BJ457" s="27" t="str">
        <f t="shared" si="221"/>
        <v/>
      </c>
      <c r="BK457" s="27" t="str">
        <f t="shared" si="222"/>
        <v/>
      </c>
      <c r="BL457" s="27" t="str">
        <f t="shared" si="223"/>
        <v/>
      </c>
      <c r="BM457" s="21" t="s">
        <v>5581</v>
      </c>
    </row>
    <row r="458" spans="1:65" ht="15">
      <c r="A458" s="25" t="str">
        <f>IFERROR(INDEX('Hun Demand'!W:W,MATCH(O458,'Hun Demand'!A:A,0)),"")</f>
        <v/>
      </c>
      <c r="B458" s="25" t="str">
        <f>IFERROR(INDEX('Hun Demand'!V:V,MATCH(O458,'Hun Demand'!A:A,0)),"")</f>
        <v/>
      </c>
      <c r="C458" s="25" t="str">
        <f>IFERROR(INDEX('Hun Demand'!U:U,MATCH(O458,'Hun Demand'!A:A,0)),"")</f>
        <v/>
      </c>
      <c r="D458" s="25" t="str">
        <f>IFERROR(INDEX('Hun Demand'!T:T,MATCH(O458,'Hun Demand'!A:A,0)),"")</f>
        <v/>
      </c>
      <c r="E458" s="25" t="str">
        <f>IFERROR(INDEX('Hun Demand'!S:S,MATCH(O458,'Hun Demand'!A:A,0)),"")</f>
        <v/>
      </c>
      <c r="F458" s="25" t="str">
        <f>IFERROR(INDEX('Hun Demand'!R:R,MATCH(O458,'Hun Demand'!A:A,0)),"")</f>
        <v/>
      </c>
      <c r="G458" s="25">
        <f>IFERROR(INDEX('Aub Demand'!W:W,MATCH(O458,'Aub Demand'!A:A,0)),"")</f>
        <v>0</v>
      </c>
      <c r="H458" s="25">
        <f>IFERROR(INDEX('Aub Demand'!V:V,MATCH(O458,'Aub Demand'!A:A,0)),"")</f>
        <v>7</v>
      </c>
      <c r="I458" s="25">
        <f>IFERROR(INDEX('Aub Demand'!U:U,MATCH(O458,'Aub Demand'!A:A,0)),"")</f>
        <v>0</v>
      </c>
      <c r="J458" s="25">
        <f>IFERROR(INDEX('Aub Demand'!T:T,MATCH(O458,'Aub Demand'!A:A,0)),"")</f>
        <v>0</v>
      </c>
      <c r="K458" s="25">
        <f>IFERROR(INDEX('Aub Demand'!S:S,MATCH(O458,'Aub Demand'!A:A,0)),"")</f>
        <v>0</v>
      </c>
      <c r="L458" s="25">
        <f>IFERROR(INDEX('Aub Demand'!R:R,MATCH(O458,'Aub Demand'!A:A,0)),"")</f>
        <v>0</v>
      </c>
      <c r="O458" s="27" t="s">
        <v>774</v>
      </c>
      <c r="P458" s="27" t="str">
        <f>IFERROR(INDEX('Aub Demand'!B:B,MATCH($O458,'Aub Demand'!$A:$A,0)),"")</f>
        <v>KARUNA ASH</v>
      </c>
      <c r="Q458" s="27" t="str">
        <f>IFERROR(INDEX('Aub Demand'!C:C,MATCH($O458,'Aub Demand'!$A:$A,0)),"")</f>
        <v>ARAUC</v>
      </c>
      <c r="R458" s="52">
        <f>IFERROR(IF(AR459=AR458,INDEX('Aub Demand'!K:K,MATCH($O458,'Aub Demand'!$A:$A,0))-IF(AN458="",0,AN458)+AP459,INDEX('Aub Demand'!K:K,MATCH($O458,'Aub Demand'!$A:$A,0))-IF(AN458="",0,AN458)),"")</f>
        <v>263</v>
      </c>
      <c r="S458" s="53" t="str">
        <f t="shared" si="196"/>
        <v>n/a</v>
      </c>
      <c r="T458" s="52" t="str">
        <f t="shared" si="197"/>
        <v/>
      </c>
      <c r="U458" s="52">
        <f>IFERROR(IF(AR459=AR458,INDEX('Aub Demand'!Q:Q,MATCH($O458,'Aub Demand'!$A:$A,0))-IF(AN458="",0,AN458)+AP459,INDEX('Aub Demand'!Q:Q,MATCH($O458,'Aub Demand'!$A:$A,0))-IF(AN458="",0,AN458)),"")</f>
        <v>219</v>
      </c>
      <c r="V458" s="53" t="str">
        <f t="shared" si="198"/>
        <v>n/a</v>
      </c>
      <c r="W458" s="52" t="str">
        <f t="shared" si="199"/>
        <v/>
      </c>
      <c r="X458" s="52">
        <f>IFERROR(IF(AND(AR459=AR458,AM458&lt;&gt;""),INDEX('Aub Demand'!Q:Q,MATCH($O458,'Aub Demand'!$A:$A,0))-IF(AN458="",0,AN458)+AP459+AD458+AL458,IF(AR459=AR458,INDEX('Aub Demand'!Q:Q,MATCH($O458,'Aub Demand'!$A:$A,0))-IF(AN458="",0,AN458)+AP459+AD458,IF(AM458&lt;&gt;"",INDEX('Aub Demand'!Q:Q,MATCH($O458,'Aub Demand'!$A:$A,0))-IF(AN458="",0,AN458)+AD458+AL458,INDEX('Aub Demand'!Q:Q,MATCH($O458,'Aub Demand'!$A:$A,0))-IF(AN458="",0,AN458)+AD458))),"")</f>
        <v>219</v>
      </c>
      <c r="Y458" s="53" t="str">
        <f t="shared" si="200"/>
        <v>n/a</v>
      </c>
      <c r="Z458" s="52">
        <f>IF(L458="","",INDEX('Aub Demand'!H:H,MATCH($O458,'Aub Demand'!$A:$A,0)))</f>
        <v>0</v>
      </c>
      <c r="AA458" s="52" t="str">
        <f t="shared" si="201"/>
        <v>-spike-</v>
      </c>
      <c r="AB458" s="52">
        <f>IFERROR(INDEX('Aub Demand'!L:L,MATCH($O458,'Aub Demand'!$A:$A,0)),"")</f>
        <v>4</v>
      </c>
      <c r="AC458" s="52">
        <f>IFERROR(IF(O458="","",SUMIFS('CPL Mats'!F:F,'CPL Mats'!Q:Q,AR458,'CPL Mats'!S:S,AS458)),"")</f>
        <v>0</v>
      </c>
      <c r="AF458" s="25" t="str">
        <f>IF(SUMIFS('Supp Consol'!S:S,'Supp Consol'!Y:Y,"Releasable",'Supp Consol'!A:A,O458)=0,"",SUMIFS('Supp Consol'!S:S,'Supp Consol'!Y:Y,"Releasable",'Supp Consol'!A:A,O458))</f>
        <v/>
      </c>
      <c r="AG458" s="25" t="str">
        <f>IFERROR(INDEX('Hun Demand'!Q:Q,MATCH(O458,'Hun Demand'!A:A,0)),"")</f>
        <v/>
      </c>
      <c r="AH458" s="25" t="str">
        <f>IFERROR(INDEX('Hun Demand'!H:H,MATCH($O458,'Hun Demand'!$A:$A,0)),"")</f>
        <v/>
      </c>
      <c r="AI458" s="25" t="str">
        <f>IF(SUMIFS('Supp Consol'!AA:AA,'Supp Consol'!Z:Z,"Expires this month",'Supp Consol'!A:A,O458)=0,"",SUMIFS('Supp Consol'!AA:AA,'Supp Consol'!Z:Z,"Expires this month",'Supp Consol'!A:A,O458))</f>
        <v/>
      </c>
      <c r="AJ458" s="25" t="str">
        <f>IF(SUMIFS('Supp Consol'!AA:AA,'Supp Consol'!Z:Z,"Expired Previous Months",'Supp Consol'!A:A,O458)=0,"",SUMIFS('Supp Consol'!AA:AA,'Supp Consol'!Z:Z,"Expired Previous Months",'Supp Consol'!A:A,O458))</f>
        <v/>
      </c>
      <c r="AK458" s="25" t="str">
        <f>IFERROR(INDEX('Hun Release Current'!B:B,MATCH(O458,'Hun Release Current'!A:A,0)),"")</f>
        <v/>
      </c>
      <c r="AL458" s="25" t="str">
        <f>IF(SUMIF('Prev Aub'!A:A,O458,'Prev Aub'!B:B)=0,"",SUMIF('Prev Aub'!A:A,O458,'Prev Aub'!B:B))</f>
        <v/>
      </c>
      <c r="AN458" s="25" t="s">
        <v>3790</v>
      </c>
      <c r="AO458" s="25" t="s">
        <v>3790</v>
      </c>
      <c r="AP458" s="25">
        <f t="shared" si="202"/>
        <v>0</v>
      </c>
      <c r="AQ458" s="151" t="str">
        <f>IF(SUMIFS('Supp Consol'!S:S,'Supp Consol'!A:A,O458,'Supp Consol'!I:I,"PENDING")=0,"",SUMIFS('Supp Consol'!S:S,'Supp Consol'!A:A,O458,'Supp Consol'!I:I,"PENDING"))</f>
        <v/>
      </c>
      <c r="AR458" s="27" t="str">
        <f t="shared" si="203"/>
        <v>FB452</v>
      </c>
      <c r="AS458" s="27" t="str">
        <f t="shared" si="204"/>
        <v>50</v>
      </c>
      <c r="AT458" s="27" t="str">
        <f t="shared" si="205"/>
        <v/>
      </c>
      <c r="AU458" s="27" t="str">
        <f t="shared" si="206"/>
        <v/>
      </c>
      <c r="AV458" s="27" t="str">
        <f t="shared" si="207"/>
        <v/>
      </c>
      <c r="AW458" s="27" t="str">
        <f t="shared" si="208"/>
        <v/>
      </c>
      <c r="AX458" s="27" t="str">
        <f t="shared" si="209"/>
        <v/>
      </c>
      <c r="AY458" s="27" t="str">
        <f t="shared" si="210"/>
        <v/>
      </c>
      <c r="AZ458" s="27" t="str">
        <f t="shared" si="211"/>
        <v/>
      </c>
      <c r="BA458" s="27" t="str">
        <f t="shared" si="212"/>
        <v/>
      </c>
      <c r="BB458" s="27" t="str">
        <f t="shared" si="213"/>
        <v/>
      </c>
      <c r="BC458" s="27" t="str">
        <f t="shared" si="214"/>
        <v/>
      </c>
      <c r="BD458" s="27" t="str">
        <f t="shared" si="215"/>
        <v/>
      </c>
      <c r="BE458" s="27" t="str">
        <f t="shared" si="216"/>
        <v/>
      </c>
      <c r="BF458" s="27" t="str">
        <f t="shared" si="217"/>
        <v/>
      </c>
      <c r="BG458" s="27" t="str">
        <f t="shared" si="218"/>
        <v/>
      </c>
      <c r="BH458" s="27" t="str">
        <f t="shared" si="219"/>
        <v/>
      </c>
      <c r="BI458" s="27" t="str">
        <f t="shared" si="220"/>
        <v/>
      </c>
      <c r="BJ458" s="27" t="str">
        <f t="shared" si="221"/>
        <v/>
      </c>
      <c r="BK458" s="27" t="str">
        <f t="shared" si="222"/>
        <v/>
      </c>
      <c r="BL458" s="27" t="str">
        <f t="shared" si="223"/>
        <v/>
      </c>
      <c r="BM458" s="21" t="s">
        <v>5581</v>
      </c>
    </row>
    <row r="459" spans="1:65" ht="15">
      <c r="A459" s="25" t="str">
        <f>IFERROR(INDEX('Hun Demand'!W:W,MATCH(O459,'Hun Demand'!A:A,0)),"")</f>
        <v/>
      </c>
      <c r="B459" s="25" t="str">
        <f>IFERROR(INDEX('Hun Demand'!V:V,MATCH(O459,'Hun Demand'!A:A,0)),"")</f>
        <v/>
      </c>
      <c r="C459" s="25" t="str">
        <f>IFERROR(INDEX('Hun Demand'!U:U,MATCH(O459,'Hun Demand'!A:A,0)),"")</f>
        <v/>
      </c>
      <c r="D459" s="25" t="str">
        <f>IFERROR(INDEX('Hun Demand'!T:T,MATCH(O459,'Hun Demand'!A:A,0)),"")</f>
        <v/>
      </c>
      <c r="E459" s="25" t="str">
        <f>IFERROR(INDEX('Hun Demand'!S:S,MATCH(O459,'Hun Demand'!A:A,0)),"")</f>
        <v/>
      </c>
      <c r="F459" s="25" t="str">
        <f>IFERROR(INDEX('Hun Demand'!R:R,MATCH(O459,'Hun Demand'!A:A,0)),"")</f>
        <v/>
      </c>
      <c r="G459" s="25">
        <f>IFERROR(INDEX('Aub Demand'!W:W,MATCH(O459,'Aub Demand'!A:A,0)),"")</f>
        <v>0</v>
      </c>
      <c r="H459" s="25">
        <f>IFERROR(INDEX('Aub Demand'!V:V,MATCH(O459,'Aub Demand'!A:A,0)),"")</f>
        <v>52</v>
      </c>
      <c r="I459" s="25">
        <f>IFERROR(INDEX('Aub Demand'!U:U,MATCH(O459,'Aub Demand'!A:A,0)),"")</f>
        <v>0</v>
      </c>
      <c r="J459" s="25">
        <f>IFERROR(INDEX('Aub Demand'!T:T,MATCH(O459,'Aub Demand'!A:A,0)),"")</f>
        <v>0</v>
      </c>
      <c r="K459" s="25">
        <f>IFERROR(INDEX('Aub Demand'!S:S,MATCH(O459,'Aub Demand'!A:A,0)),"")</f>
        <v>0</v>
      </c>
      <c r="L459" s="25">
        <f>IFERROR(INDEX('Aub Demand'!R:R,MATCH(O459,'Aub Demand'!A:A,0)),"")</f>
        <v>0</v>
      </c>
      <c r="O459" s="27" t="s">
        <v>776</v>
      </c>
      <c r="P459" s="27" t="str">
        <f>IFERROR(INDEX('Aub Demand'!B:B,MATCH($O459,'Aub Demand'!$A:$A,0)),"")</f>
        <v>KARUNA ASH</v>
      </c>
      <c r="Q459" s="27" t="str">
        <f>IFERROR(INDEX('Aub Demand'!C:C,MATCH($O459,'Aub Demand'!$A:$A,0)),"")</f>
        <v>ARAUC</v>
      </c>
      <c r="R459" s="52">
        <f>IFERROR(IF(AR460=AR459,INDEX('Aub Demand'!K:K,MATCH($O459,'Aub Demand'!$A:$A,0))-IF(AN459="",0,AN459)+AP460,INDEX('Aub Demand'!K:K,MATCH($O459,'Aub Demand'!$A:$A,0))-IF(AN459="",0,AN459)),"")</f>
        <v>343</v>
      </c>
      <c r="S459" s="53" t="str">
        <f t="shared" si="196"/>
        <v>n/a</v>
      </c>
      <c r="T459" s="52" t="str">
        <f t="shared" si="197"/>
        <v/>
      </c>
      <c r="U459" s="52">
        <f>IFERROR(IF(AR460=AR459,INDEX('Aub Demand'!Q:Q,MATCH($O459,'Aub Demand'!$A:$A,0))-IF(AN459="",0,AN459)+AP460,INDEX('Aub Demand'!Q:Q,MATCH($O459,'Aub Demand'!$A:$A,0))-IF(AN459="",0,AN459)),"")</f>
        <v>319</v>
      </c>
      <c r="V459" s="53" t="str">
        <f t="shared" si="198"/>
        <v>n/a</v>
      </c>
      <c r="W459" s="52" t="str">
        <f t="shared" si="199"/>
        <v/>
      </c>
      <c r="X459" s="52">
        <f>IFERROR(IF(AND(AR460=AR459,AM459&lt;&gt;""),INDEX('Aub Demand'!Q:Q,MATCH($O459,'Aub Demand'!$A:$A,0))-IF(AN459="",0,AN459)+AP460+AD459+AL459,IF(AR460=AR459,INDEX('Aub Demand'!Q:Q,MATCH($O459,'Aub Demand'!$A:$A,0))-IF(AN459="",0,AN459)+AP460+AD459,IF(AM459&lt;&gt;"",INDEX('Aub Demand'!Q:Q,MATCH($O459,'Aub Demand'!$A:$A,0))-IF(AN459="",0,AN459)+AD459+AL459,INDEX('Aub Demand'!Q:Q,MATCH($O459,'Aub Demand'!$A:$A,0))-IF(AN459="",0,AN459)+AD459))),"")</f>
        <v>319</v>
      </c>
      <c r="Y459" s="53" t="str">
        <f t="shared" si="200"/>
        <v>n/a</v>
      </c>
      <c r="Z459" s="52">
        <f>IF(L459="","",INDEX('Aub Demand'!H:H,MATCH($O459,'Aub Demand'!$A:$A,0)))</f>
        <v>0</v>
      </c>
      <c r="AA459" s="52" t="str">
        <f t="shared" si="201"/>
        <v>-spike-</v>
      </c>
      <c r="AB459" s="52">
        <f>IFERROR(INDEX('Aub Demand'!L:L,MATCH($O459,'Aub Demand'!$A:$A,0)),"")</f>
        <v>5</v>
      </c>
      <c r="AC459" s="52">
        <f>IFERROR(IF(O459="","",SUMIFS('CPL Mats'!F:F,'CPL Mats'!Q:Q,AR459,'CPL Mats'!S:S,AS459)),"")</f>
        <v>0</v>
      </c>
      <c r="AF459" s="25" t="str">
        <f>IF(SUMIFS('Supp Consol'!S:S,'Supp Consol'!Y:Y,"Releasable",'Supp Consol'!A:A,O459)=0,"",SUMIFS('Supp Consol'!S:S,'Supp Consol'!Y:Y,"Releasable",'Supp Consol'!A:A,O459))</f>
        <v/>
      </c>
      <c r="AG459" s="25" t="str">
        <f>IFERROR(INDEX('Hun Demand'!Q:Q,MATCH(O459,'Hun Demand'!A:A,0)),"")</f>
        <v/>
      </c>
      <c r="AH459" s="25" t="str">
        <f>IFERROR(INDEX('Hun Demand'!H:H,MATCH($O459,'Hun Demand'!$A:$A,0)),"")</f>
        <v/>
      </c>
      <c r="AI459" s="25" t="str">
        <f>IF(SUMIFS('Supp Consol'!AA:AA,'Supp Consol'!Z:Z,"Expires this month",'Supp Consol'!A:A,O459)=0,"",SUMIFS('Supp Consol'!AA:AA,'Supp Consol'!Z:Z,"Expires this month",'Supp Consol'!A:A,O459))</f>
        <v/>
      </c>
      <c r="AJ459" s="25" t="str">
        <f>IF(SUMIFS('Supp Consol'!AA:AA,'Supp Consol'!Z:Z,"Expired Previous Months",'Supp Consol'!A:A,O459)=0,"",SUMIFS('Supp Consol'!AA:AA,'Supp Consol'!Z:Z,"Expired Previous Months",'Supp Consol'!A:A,O459))</f>
        <v/>
      </c>
      <c r="AK459" s="25" t="str">
        <f>IFERROR(INDEX('Hun Release Current'!B:B,MATCH(O459,'Hun Release Current'!A:A,0)),"")</f>
        <v/>
      </c>
      <c r="AL459" s="25" t="str">
        <f>IF(SUMIF('Prev Aub'!A:A,O459,'Prev Aub'!B:B)=0,"",SUMIF('Prev Aub'!A:A,O459,'Prev Aub'!B:B))</f>
        <v/>
      </c>
      <c r="AN459" s="25" t="s">
        <v>3790</v>
      </c>
      <c r="AO459" s="25" t="s">
        <v>3790</v>
      </c>
      <c r="AP459" s="25">
        <f t="shared" si="202"/>
        <v>0</v>
      </c>
      <c r="AQ459" s="151" t="str">
        <f>IF(SUMIFS('Supp Consol'!S:S,'Supp Consol'!A:A,O459,'Supp Consol'!I:I,"PENDING")=0,"",SUMIFS('Supp Consol'!S:S,'Supp Consol'!A:A,O459,'Supp Consol'!I:I,"PENDING"))</f>
        <v/>
      </c>
      <c r="AR459" s="27" t="str">
        <f t="shared" si="203"/>
        <v>FB452</v>
      </c>
      <c r="AS459" s="27" t="str">
        <f t="shared" si="204"/>
        <v>62</v>
      </c>
      <c r="AT459" s="27" t="str">
        <f t="shared" si="205"/>
        <v/>
      </c>
      <c r="AU459" s="27" t="str">
        <f t="shared" si="206"/>
        <v/>
      </c>
      <c r="AV459" s="27" t="str">
        <f t="shared" si="207"/>
        <v/>
      </c>
      <c r="AW459" s="27" t="str">
        <f t="shared" si="208"/>
        <v/>
      </c>
      <c r="AX459" s="27" t="str">
        <f t="shared" si="209"/>
        <v/>
      </c>
      <c r="AY459" s="27" t="str">
        <f t="shared" si="210"/>
        <v/>
      </c>
      <c r="AZ459" s="27" t="str">
        <f t="shared" si="211"/>
        <v/>
      </c>
      <c r="BA459" s="27" t="str">
        <f t="shared" si="212"/>
        <v/>
      </c>
      <c r="BB459" s="27" t="str">
        <f t="shared" si="213"/>
        <v/>
      </c>
      <c r="BC459" s="27" t="str">
        <f t="shared" si="214"/>
        <v/>
      </c>
      <c r="BD459" s="27" t="str">
        <f t="shared" si="215"/>
        <v/>
      </c>
      <c r="BE459" s="27" t="str">
        <f t="shared" si="216"/>
        <v/>
      </c>
      <c r="BF459" s="27" t="str">
        <f t="shared" si="217"/>
        <v/>
      </c>
      <c r="BG459" s="27" t="str">
        <f t="shared" si="218"/>
        <v/>
      </c>
      <c r="BH459" s="27" t="str">
        <f t="shared" si="219"/>
        <v/>
      </c>
      <c r="BI459" s="27" t="str">
        <f t="shared" si="220"/>
        <v/>
      </c>
      <c r="BJ459" s="27" t="str">
        <f t="shared" si="221"/>
        <v/>
      </c>
      <c r="BK459" s="27" t="str">
        <f t="shared" si="222"/>
        <v/>
      </c>
      <c r="BL459" s="27" t="str">
        <f t="shared" si="223"/>
        <v/>
      </c>
      <c r="BM459" s="21" t="s">
        <v>5581</v>
      </c>
    </row>
    <row r="460" spans="1:65" ht="15">
      <c r="A460" s="25" t="str">
        <f>IFERROR(INDEX('Hun Demand'!W:W,MATCH(O460,'Hun Demand'!A:A,0)),"")</f>
        <v/>
      </c>
      <c r="B460" s="25" t="str">
        <f>IFERROR(INDEX('Hun Demand'!V:V,MATCH(O460,'Hun Demand'!A:A,0)),"")</f>
        <v/>
      </c>
      <c r="C460" s="25" t="str">
        <f>IFERROR(INDEX('Hun Demand'!U:U,MATCH(O460,'Hun Demand'!A:A,0)),"")</f>
        <v/>
      </c>
      <c r="D460" s="25" t="str">
        <f>IFERROR(INDEX('Hun Demand'!T:T,MATCH(O460,'Hun Demand'!A:A,0)),"")</f>
        <v/>
      </c>
      <c r="E460" s="25" t="str">
        <f>IFERROR(INDEX('Hun Demand'!S:S,MATCH(O460,'Hun Demand'!A:A,0)),"")</f>
        <v/>
      </c>
      <c r="F460" s="25" t="str">
        <f>IFERROR(INDEX('Hun Demand'!R:R,MATCH(O460,'Hun Demand'!A:A,0)),"")</f>
        <v/>
      </c>
      <c r="G460" s="25">
        <f>IFERROR(INDEX('Aub Demand'!W:W,MATCH(O460,'Aub Demand'!A:A,0)),"")</f>
        <v>0</v>
      </c>
      <c r="H460" s="25">
        <f>IFERROR(INDEX('Aub Demand'!V:V,MATCH(O460,'Aub Demand'!A:A,0)),"")</f>
        <v>0</v>
      </c>
      <c r="I460" s="25">
        <f>IFERROR(INDEX('Aub Demand'!U:U,MATCH(O460,'Aub Demand'!A:A,0)),"")</f>
        <v>0</v>
      </c>
      <c r="J460" s="25">
        <f>IFERROR(INDEX('Aub Demand'!T:T,MATCH(O460,'Aub Demand'!A:A,0)),"")</f>
        <v>0</v>
      </c>
      <c r="K460" s="25">
        <f>IFERROR(INDEX('Aub Demand'!S:S,MATCH(O460,'Aub Demand'!A:A,0)),"")</f>
        <v>0</v>
      </c>
      <c r="L460" s="25">
        <f>IFERROR(INDEX('Aub Demand'!R:R,MATCH(O460,'Aub Demand'!A:A,0)),"")</f>
        <v>0</v>
      </c>
      <c r="O460" s="27" t="s">
        <v>777</v>
      </c>
      <c r="P460" s="27" t="str">
        <f>IFERROR(INDEX('Aub Demand'!B:B,MATCH($O460,'Aub Demand'!$A:$A,0)),"")</f>
        <v>MIST</v>
      </c>
      <c r="Q460" s="27" t="str">
        <f>IFERROR(INDEX('Aub Demand'!C:C,MATCH($O460,'Aub Demand'!$A:$A,0)),"")</f>
        <v>ARAUC</v>
      </c>
      <c r="R460" s="52">
        <f>IFERROR(IF(AR461=AR460,INDEX('Aub Demand'!K:K,MATCH($O460,'Aub Demand'!$A:$A,0))-IF(AN460="",0,AN460)+AP461,INDEX('Aub Demand'!K:K,MATCH($O460,'Aub Demand'!$A:$A,0))-IF(AN460="",0,AN460)),"")</f>
        <v>233</v>
      </c>
      <c r="S460" s="53" t="str">
        <f t="shared" si="196"/>
        <v>n/a</v>
      </c>
      <c r="T460" s="52" t="str">
        <f t="shared" si="197"/>
        <v/>
      </c>
      <c r="U460" s="52">
        <f>IFERROR(IF(AR461=AR460,INDEX('Aub Demand'!Q:Q,MATCH($O460,'Aub Demand'!$A:$A,0))-IF(AN460="",0,AN460)+AP461,INDEX('Aub Demand'!Q:Q,MATCH($O460,'Aub Demand'!$A:$A,0))-IF(AN460="",0,AN460)),"")</f>
        <v>233</v>
      </c>
      <c r="V460" s="53" t="str">
        <f t="shared" si="198"/>
        <v>n/a</v>
      </c>
      <c r="W460" s="52" t="str">
        <f t="shared" si="199"/>
        <v/>
      </c>
      <c r="X460" s="52">
        <f>IFERROR(IF(AND(AR461=AR460,AM460&lt;&gt;""),INDEX('Aub Demand'!Q:Q,MATCH($O460,'Aub Demand'!$A:$A,0))-IF(AN460="",0,AN460)+AP461+AD460+AL460,IF(AR461=AR460,INDEX('Aub Demand'!Q:Q,MATCH($O460,'Aub Demand'!$A:$A,0))-IF(AN460="",0,AN460)+AP461+AD460,IF(AM460&lt;&gt;"",INDEX('Aub Demand'!Q:Q,MATCH($O460,'Aub Demand'!$A:$A,0))-IF(AN460="",0,AN460)+AD460+AL460,INDEX('Aub Demand'!Q:Q,MATCH($O460,'Aub Demand'!$A:$A,0))-IF(AN460="",0,AN460)+AD460))),"")</f>
        <v>233</v>
      </c>
      <c r="Y460" s="53" t="str">
        <f t="shared" si="200"/>
        <v>n/a</v>
      </c>
      <c r="Z460" s="52">
        <f>IF(L460="","",INDEX('Aub Demand'!H:H,MATCH($O460,'Aub Demand'!$A:$A,0)))</f>
        <v>0</v>
      </c>
      <c r="AA460" s="52" t="str">
        <f t="shared" si="201"/>
        <v>-spike-</v>
      </c>
      <c r="AB460" s="52">
        <f>IFERROR(INDEX('Aub Demand'!L:L,MATCH($O460,'Aub Demand'!$A:$A,0)),"")</f>
        <v>3</v>
      </c>
      <c r="AC460" s="52">
        <f>IFERROR(IF(O460="","",SUMIFS('CPL Mats'!F:F,'CPL Mats'!Q:Q,AR460,'CPL Mats'!S:S,AS460)),"")</f>
        <v>0</v>
      </c>
      <c r="AF460" s="25" t="str">
        <f>IF(SUMIFS('Supp Consol'!S:S,'Supp Consol'!Y:Y,"Releasable",'Supp Consol'!A:A,O460)=0,"",SUMIFS('Supp Consol'!S:S,'Supp Consol'!Y:Y,"Releasable",'Supp Consol'!A:A,O460))</f>
        <v/>
      </c>
      <c r="AG460" s="25" t="str">
        <f>IFERROR(INDEX('Hun Demand'!Q:Q,MATCH(O460,'Hun Demand'!A:A,0)),"")</f>
        <v/>
      </c>
      <c r="AH460" s="25" t="str">
        <f>IFERROR(INDEX('Hun Demand'!H:H,MATCH($O460,'Hun Demand'!$A:$A,0)),"")</f>
        <v/>
      </c>
      <c r="AI460" s="25" t="str">
        <f>IF(SUMIFS('Supp Consol'!AA:AA,'Supp Consol'!Z:Z,"Expires this month",'Supp Consol'!A:A,O460)=0,"",SUMIFS('Supp Consol'!AA:AA,'Supp Consol'!Z:Z,"Expires this month",'Supp Consol'!A:A,O460))</f>
        <v/>
      </c>
      <c r="AJ460" s="25" t="str">
        <f>IF(SUMIFS('Supp Consol'!AA:AA,'Supp Consol'!Z:Z,"Expired Previous Months",'Supp Consol'!A:A,O460)=0,"",SUMIFS('Supp Consol'!AA:AA,'Supp Consol'!Z:Z,"Expired Previous Months",'Supp Consol'!A:A,O460))</f>
        <v/>
      </c>
      <c r="AK460" s="25" t="str">
        <f>IFERROR(INDEX('Hun Release Current'!B:B,MATCH(O460,'Hun Release Current'!A:A,0)),"")</f>
        <v/>
      </c>
      <c r="AL460" s="25" t="str">
        <f>IF(SUMIF('Prev Aub'!A:A,O460,'Prev Aub'!B:B)=0,"",SUMIF('Prev Aub'!A:A,O460,'Prev Aub'!B:B))</f>
        <v/>
      </c>
      <c r="AN460" s="25" t="s">
        <v>3790</v>
      </c>
      <c r="AO460" s="25" t="s">
        <v>3790</v>
      </c>
      <c r="AP460" s="25">
        <f t="shared" si="202"/>
        <v>0</v>
      </c>
      <c r="AQ460" s="151" t="str">
        <f>IF(SUMIFS('Supp Consol'!S:S,'Supp Consol'!A:A,O460,'Supp Consol'!I:I,"PENDING")=0,"",SUMIFS('Supp Consol'!S:S,'Supp Consol'!A:A,O460,'Supp Consol'!I:I,"PENDING"))</f>
        <v/>
      </c>
      <c r="AR460" s="27" t="str">
        <f t="shared" si="203"/>
        <v>FB456</v>
      </c>
      <c r="AS460" s="27" t="str">
        <f t="shared" si="204"/>
        <v>50</v>
      </c>
      <c r="AT460" s="27" t="str">
        <f t="shared" si="205"/>
        <v/>
      </c>
      <c r="AU460" s="27" t="str">
        <f t="shared" si="206"/>
        <v/>
      </c>
      <c r="AV460" s="27" t="str">
        <f t="shared" si="207"/>
        <v/>
      </c>
      <c r="AW460" s="27" t="str">
        <f t="shared" si="208"/>
        <v/>
      </c>
      <c r="AX460" s="27" t="str">
        <f t="shared" si="209"/>
        <v/>
      </c>
      <c r="AY460" s="27" t="str">
        <f t="shared" si="210"/>
        <v/>
      </c>
      <c r="AZ460" s="27" t="str">
        <f t="shared" si="211"/>
        <v/>
      </c>
      <c r="BA460" s="27" t="str">
        <f t="shared" si="212"/>
        <v/>
      </c>
      <c r="BB460" s="27" t="str">
        <f t="shared" si="213"/>
        <v/>
      </c>
      <c r="BC460" s="27" t="str">
        <f t="shared" si="214"/>
        <v/>
      </c>
      <c r="BD460" s="27" t="str">
        <f t="shared" si="215"/>
        <v/>
      </c>
      <c r="BE460" s="27" t="str">
        <f t="shared" si="216"/>
        <v/>
      </c>
      <c r="BF460" s="27" t="str">
        <f t="shared" si="217"/>
        <v/>
      </c>
      <c r="BG460" s="27" t="str">
        <f t="shared" si="218"/>
        <v/>
      </c>
      <c r="BH460" s="27" t="str">
        <f t="shared" si="219"/>
        <v/>
      </c>
      <c r="BI460" s="27" t="str">
        <f t="shared" si="220"/>
        <v/>
      </c>
      <c r="BJ460" s="27" t="str">
        <f t="shared" si="221"/>
        <v/>
      </c>
      <c r="BK460" s="27" t="str">
        <f t="shared" si="222"/>
        <v/>
      </c>
      <c r="BL460" s="27" t="str">
        <f t="shared" si="223"/>
        <v/>
      </c>
      <c r="BM460" s="21" t="s">
        <v>5581</v>
      </c>
    </row>
    <row r="461" spans="1:65" ht="15">
      <c r="A461" s="25" t="str">
        <f>IFERROR(INDEX('Hun Demand'!W:W,MATCH(O461,'Hun Demand'!A:A,0)),"")</f>
        <v/>
      </c>
      <c r="B461" s="25" t="str">
        <f>IFERROR(INDEX('Hun Demand'!V:V,MATCH(O461,'Hun Demand'!A:A,0)),"")</f>
        <v/>
      </c>
      <c r="C461" s="25" t="str">
        <f>IFERROR(INDEX('Hun Demand'!U:U,MATCH(O461,'Hun Demand'!A:A,0)),"")</f>
        <v/>
      </c>
      <c r="D461" s="25" t="str">
        <f>IFERROR(INDEX('Hun Demand'!T:T,MATCH(O461,'Hun Demand'!A:A,0)),"")</f>
        <v/>
      </c>
      <c r="E461" s="25" t="str">
        <f>IFERROR(INDEX('Hun Demand'!S:S,MATCH(O461,'Hun Demand'!A:A,0)),"")</f>
        <v/>
      </c>
      <c r="F461" s="25" t="str">
        <f>IFERROR(INDEX('Hun Demand'!R:R,MATCH(O461,'Hun Demand'!A:A,0)),"")</f>
        <v/>
      </c>
      <c r="G461" s="25">
        <f>IFERROR(INDEX('Aub Demand'!W:W,MATCH(O461,'Aub Demand'!A:A,0)),"")</f>
        <v>0</v>
      </c>
      <c r="H461" s="25">
        <f>IFERROR(INDEX('Aub Demand'!V:V,MATCH(O461,'Aub Demand'!A:A,0)),"")</f>
        <v>0</v>
      </c>
      <c r="I461" s="25">
        <f>IFERROR(INDEX('Aub Demand'!U:U,MATCH(O461,'Aub Demand'!A:A,0)),"")</f>
        <v>0</v>
      </c>
      <c r="J461" s="25">
        <f>IFERROR(INDEX('Aub Demand'!T:T,MATCH(O461,'Aub Demand'!A:A,0)),"")</f>
        <v>0</v>
      </c>
      <c r="K461" s="25">
        <f>IFERROR(INDEX('Aub Demand'!S:S,MATCH(O461,'Aub Demand'!A:A,0)),"")</f>
        <v>0</v>
      </c>
      <c r="L461" s="25">
        <f>IFERROR(INDEX('Aub Demand'!R:R,MATCH(O461,'Aub Demand'!A:A,0)),"")</f>
        <v>0</v>
      </c>
      <c r="O461" s="27" t="s">
        <v>6425</v>
      </c>
      <c r="P461" s="27" t="str">
        <f>IFERROR(INDEX('Aub Demand'!B:B,MATCH($O461,'Aub Demand'!$A:$A,0)),"")</f>
        <v>MIST</v>
      </c>
      <c r="Q461" s="27" t="str">
        <f>IFERROR(INDEX('Aub Demand'!C:C,MATCH($O461,'Aub Demand'!$A:$A,0)),"")</f>
        <v>ARAUC</v>
      </c>
      <c r="R461" s="52">
        <f>IFERROR(IF(AR462=AR461,INDEX('Aub Demand'!K:K,MATCH($O461,'Aub Demand'!$A:$A,0))-IF(AN461="",0,AN461)+AP462,INDEX('Aub Demand'!K:K,MATCH($O461,'Aub Demand'!$A:$A,0))-IF(AN461="",0,AN461)),"")</f>
        <v>0</v>
      </c>
      <c r="S461" s="53" t="str">
        <f t="shared" si="196"/>
        <v>n/a</v>
      </c>
      <c r="T461" s="52" t="str">
        <f t="shared" si="197"/>
        <v/>
      </c>
      <c r="U461" s="52">
        <f>IFERROR(IF(AR462=AR461,INDEX('Aub Demand'!Q:Q,MATCH($O461,'Aub Demand'!$A:$A,0))-IF(AN461="",0,AN461)+AP462,INDEX('Aub Demand'!Q:Q,MATCH($O461,'Aub Demand'!$A:$A,0))-IF(AN461="",0,AN461)),"")</f>
        <v>-5</v>
      </c>
      <c r="V461" s="53" t="str">
        <f t="shared" si="198"/>
        <v>n/a</v>
      </c>
      <c r="W461" s="52" t="str">
        <f t="shared" si="199"/>
        <v/>
      </c>
      <c r="X461" s="52">
        <f>IFERROR(IF(AND(AR462=AR461,AM461&lt;&gt;""),INDEX('Aub Demand'!Q:Q,MATCH($O461,'Aub Demand'!$A:$A,0))-IF(AN461="",0,AN461)+AP462+AD461+AL461,IF(AR462=AR461,INDEX('Aub Demand'!Q:Q,MATCH($O461,'Aub Demand'!$A:$A,0))-IF(AN461="",0,AN461)+AP462+AD461,IF(AM461&lt;&gt;"",INDEX('Aub Demand'!Q:Q,MATCH($O461,'Aub Demand'!$A:$A,0))-IF(AN461="",0,AN461)+AD461+AL461,INDEX('Aub Demand'!Q:Q,MATCH($O461,'Aub Demand'!$A:$A,0))-IF(AN461="",0,AN461)+AD461))),"")</f>
        <v>-5</v>
      </c>
      <c r="Y461" s="53" t="str">
        <f t="shared" si="200"/>
        <v>n/a</v>
      </c>
      <c r="Z461" s="52">
        <f>IF(L461="","",INDEX('Aub Demand'!H:H,MATCH($O461,'Aub Demand'!$A:$A,0)))</f>
        <v>0</v>
      </c>
      <c r="AA461" s="52" t="str">
        <f t="shared" si="201"/>
        <v>-spike-</v>
      </c>
      <c r="AB461" s="52">
        <f>IFERROR(INDEX('Aub Demand'!L:L,MATCH($O461,'Aub Demand'!$A:$A,0)),"")</f>
        <v>0</v>
      </c>
      <c r="AC461" s="52">
        <f>IFERROR(IF(O461="","",SUMIFS('CPL Mats'!F:F,'CPL Mats'!Q:Q,AR461,'CPL Mats'!S:S,AS461)),"")</f>
        <v>0</v>
      </c>
      <c r="AF461" s="25" t="str">
        <f>IF(SUMIFS('Supp Consol'!S:S,'Supp Consol'!Y:Y,"Releasable",'Supp Consol'!A:A,O461)=0,"",SUMIFS('Supp Consol'!S:S,'Supp Consol'!Y:Y,"Releasable",'Supp Consol'!A:A,O461))</f>
        <v/>
      </c>
      <c r="AG461" s="25" t="str">
        <f>IFERROR(INDEX('Hun Demand'!Q:Q,MATCH(O461,'Hun Demand'!A:A,0)),"")</f>
        <v/>
      </c>
      <c r="AH461" s="25" t="str">
        <f>IFERROR(INDEX('Hun Demand'!H:H,MATCH($O461,'Hun Demand'!$A:$A,0)),"")</f>
        <v/>
      </c>
      <c r="AI461" s="25" t="str">
        <f>IF(SUMIFS('Supp Consol'!AA:AA,'Supp Consol'!Z:Z,"Expires this month",'Supp Consol'!A:A,O461)=0,"",SUMIFS('Supp Consol'!AA:AA,'Supp Consol'!Z:Z,"Expires this month",'Supp Consol'!A:A,O461))</f>
        <v/>
      </c>
      <c r="AJ461" s="25" t="str">
        <f>IF(SUMIFS('Supp Consol'!AA:AA,'Supp Consol'!Z:Z,"Expired Previous Months",'Supp Consol'!A:A,O461)=0,"",SUMIFS('Supp Consol'!AA:AA,'Supp Consol'!Z:Z,"Expired Previous Months",'Supp Consol'!A:A,O461))</f>
        <v/>
      </c>
      <c r="AK461" s="25" t="str">
        <f>IFERROR(INDEX('Hun Release Current'!B:B,MATCH(O461,'Hun Release Current'!A:A,0)),"")</f>
        <v/>
      </c>
      <c r="AL461" s="25" t="str">
        <f>IF(SUMIF('Prev Aub'!A:A,O461,'Prev Aub'!B:B)=0,"",SUMIF('Prev Aub'!A:A,O461,'Prev Aub'!B:B))</f>
        <v/>
      </c>
      <c r="AN461" s="25" t="s">
        <v>3790</v>
      </c>
      <c r="AO461" s="25" t="s">
        <v>3790</v>
      </c>
      <c r="AP461" s="25">
        <f t="shared" si="202"/>
        <v>0</v>
      </c>
      <c r="AQ461" s="151" t="str">
        <f>IF(SUMIFS('Supp Consol'!S:S,'Supp Consol'!A:A,O461,'Supp Consol'!I:I,"PENDING")=0,"",SUMIFS('Supp Consol'!S:S,'Supp Consol'!A:A,O461,'Supp Consol'!I:I,"PENDING"))</f>
        <v/>
      </c>
      <c r="AR461" s="27" t="str">
        <f t="shared" si="203"/>
        <v>FB456</v>
      </c>
      <c r="AS461" s="27" t="str">
        <f t="shared" si="204"/>
        <v>62</v>
      </c>
      <c r="AT461" s="27" t="str">
        <f t="shared" si="205"/>
        <v/>
      </c>
      <c r="AU461" s="27" t="str">
        <f t="shared" si="206"/>
        <v/>
      </c>
      <c r="AV461" s="27" t="str">
        <f t="shared" si="207"/>
        <v/>
      </c>
      <c r="AW461" s="27" t="str">
        <f t="shared" si="208"/>
        <v/>
      </c>
      <c r="AX461" s="27" t="str">
        <f t="shared" si="209"/>
        <v/>
      </c>
      <c r="AY461" s="27" t="str">
        <f t="shared" si="210"/>
        <v/>
      </c>
      <c r="AZ461" s="27" t="str">
        <f t="shared" si="211"/>
        <v/>
      </c>
      <c r="BA461" s="27" t="str">
        <f t="shared" si="212"/>
        <v/>
      </c>
      <c r="BB461" s="27" t="str">
        <f t="shared" si="213"/>
        <v/>
      </c>
      <c r="BC461" s="27" t="str">
        <f t="shared" si="214"/>
        <v/>
      </c>
      <c r="BD461" s="27" t="str">
        <f t="shared" si="215"/>
        <v/>
      </c>
      <c r="BE461" s="27" t="str">
        <f t="shared" si="216"/>
        <v/>
      </c>
      <c r="BF461" s="27" t="str">
        <f t="shared" si="217"/>
        <v/>
      </c>
      <c r="BG461" s="27" t="str">
        <f t="shared" si="218"/>
        <v/>
      </c>
      <c r="BH461" s="27" t="str">
        <f t="shared" si="219"/>
        <v/>
      </c>
      <c r="BI461" s="27" t="str">
        <f t="shared" si="220"/>
        <v/>
      </c>
      <c r="BJ461" s="27" t="str">
        <f t="shared" si="221"/>
        <v/>
      </c>
      <c r="BK461" s="27" t="str">
        <f t="shared" si="222"/>
        <v/>
      </c>
      <c r="BL461" s="27" t="str">
        <f t="shared" si="223"/>
        <v/>
      </c>
      <c r="BM461" s="21" t="s">
        <v>3790</v>
      </c>
    </row>
    <row r="462" spans="1:65" ht="15">
      <c r="A462" s="25" t="str">
        <f>IFERROR(INDEX('Hun Demand'!W:W,MATCH(O462,'Hun Demand'!A:A,0)),"")</f>
        <v/>
      </c>
      <c r="B462" s="25" t="str">
        <f>IFERROR(INDEX('Hun Demand'!V:V,MATCH(O462,'Hun Demand'!A:A,0)),"")</f>
        <v/>
      </c>
      <c r="C462" s="25" t="str">
        <f>IFERROR(INDEX('Hun Demand'!U:U,MATCH(O462,'Hun Demand'!A:A,0)),"")</f>
        <v/>
      </c>
      <c r="D462" s="25" t="str">
        <f>IFERROR(INDEX('Hun Demand'!T:T,MATCH(O462,'Hun Demand'!A:A,0)),"")</f>
        <v/>
      </c>
      <c r="E462" s="25" t="str">
        <f>IFERROR(INDEX('Hun Demand'!S:S,MATCH(O462,'Hun Demand'!A:A,0)),"")</f>
        <v/>
      </c>
      <c r="F462" s="25" t="str">
        <f>IFERROR(INDEX('Hun Demand'!R:R,MATCH(O462,'Hun Demand'!A:A,0)),"")</f>
        <v/>
      </c>
      <c r="G462" s="25">
        <f>IFERROR(INDEX('Aub Demand'!W:W,MATCH(O462,'Aub Demand'!A:A,0)),"")</f>
        <v>0</v>
      </c>
      <c r="H462" s="25">
        <f>IFERROR(INDEX('Aub Demand'!V:V,MATCH(O462,'Aub Demand'!A:A,0)),"")</f>
        <v>0</v>
      </c>
      <c r="I462" s="25">
        <f>IFERROR(INDEX('Aub Demand'!U:U,MATCH(O462,'Aub Demand'!A:A,0)),"")</f>
        <v>0</v>
      </c>
      <c r="J462" s="25">
        <f>IFERROR(INDEX('Aub Demand'!T:T,MATCH(O462,'Aub Demand'!A:A,0)),"")</f>
        <v>0</v>
      </c>
      <c r="K462" s="25">
        <f>IFERROR(INDEX('Aub Demand'!S:S,MATCH(O462,'Aub Demand'!A:A,0)),"")</f>
        <v>0</v>
      </c>
      <c r="L462" s="25">
        <f>IFERROR(INDEX('Aub Demand'!R:R,MATCH(O462,'Aub Demand'!A:A,0)),"")</f>
        <v>0</v>
      </c>
      <c r="O462" s="27" t="s">
        <v>779</v>
      </c>
      <c r="P462" s="27" t="str">
        <f>IFERROR(INDEX('Aub Demand'!B:B,MATCH($O462,'Aub Demand'!$A:$A,0)),"")</f>
        <v>PRESTEN ASH</v>
      </c>
      <c r="Q462" s="27" t="str">
        <f>IFERROR(INDEX('Aub Demand'!C:C,MATCH($O462,'Aub Demand'!$A:$A,0)),"")</f>
        <v>ARAUC</v>
      </c>
      <c r="R462" s="52">
        <f>IFERROR(IF(AR463=AR462,INDEX('Aub Demand'!K:K,MATCH($O462,'Aub Demand'!$A:$A,0))-IF(AN462="",0,AN462)+AP463,INDEX('Aub Demand'!K:K,MATCH($O462,'Aub Demand'!$A:$A,0))-IF(AN462="",0,AN462)),"")</f>
        <v>82</v>
      </c>
      <c r="S462" s="53" t="str">
        <f t="shared" si="196"/>
        <v>n/a</v>
      </c>
      <c r="T462" s="52" t="str">
        <f t="shared" si="197"/>
        <v/>
      </c>
      <c r="U462" s="52">
        <f>IFERROR(IF(AR463=AR462,INDEX('Aub Demand'!Q:Q,MATCH($O462,'Aub Demand'!$A:$A,0))-IF(AN462="",0,AN462)+AP463,INDEX('Aub Demand'!Q:Q,MATCH($O462,'Aub Demand'!$A:$A,0))-IF(AN462="",0,AN462)),"")</f>
        <v>82</v>
      </c>
      <c r="V462" s="53" t="str">
        <f t="shared" si="198"/>
        <v>n/a</v>
      </c>
      <c r="W462" s="52" t="str">
        <f t="shared" si="199"/>
        <v/>
      </c>
      <c r="X462" s="52">
        <f>IFERROR(IF(AND(AR463=AR462,AM462&lt;&gt;""),INDEX('Aub Demand'!Q:Q,MATCH($O462,'Aub Demand'!$A:$A,0))-IF(AN462="",0,AN462)+AP463+AD462+AL462,IF(AR463=AR462,INDEX('Aub Demand'!Q:Q,MATCH($O462,'Aub Demand'!$A:$A,0))-IF(AN462="",0,AN462)+AP463+AD462,IF(AM462&lt;&gt;"",INDEX('Aub Demand'!Q:Q,MATCH($O462,'Aub Demand'!$A:$A,0))-IF(AN462="",0,AN462)+AD462+AL462,INDEX('Aub Demand'!Q:Q,MATCH($O462,'Aub Demand'!$A:$A,0))-IF(AN462="",0,AN462)+AD462))),"")</f>
        <v>82</v>
      </c>
      <c r="Y462" s="53" t="str">
        <f t="shared" si="200"/>
        <v>n/a</v>
      </c>
      <c r="Z462" s="52">
        <f>IF(L462="","",INDEX('Aub Demand'!H:H,MATCH($O462,'Aub Demand'!$A:$A,0)))</f>
        <v>0</v>
      </c>
      <c r="AA462" s="52" t="str">
        <f t="shared" si="201"/>
        <v>-spike-</v>
      </c>
      <c r="AB462" s="52">
        <f>IFERROR(INDEX('Aub Demand'!L:L,MATCH($O462,'Aub Demand'!$A:$A,0)),"")</f>
        <v>0</v>
      </c>
      <c r="AC462" s="52">
        <f>IFERROR(IF(O462="","",SUMIFS('CPL Mats'!F:F,'CPL Mats'!Q:Q,AR462,'CPL Mats'!S:S,AS462)),"")</f>
        <v>0</v>
      </c>
      <c r="AF462" s="25" t="str">
        <f>IF(SUMIFS('Supp Consol'!S:S,'Supp Consol'!Y:Y,"Releasable",'Supp Consol'!A:A,O462)=0,"",SUMIFS('Supp Consol'!S:S,'Supp Consol'!Y:Y,"Releasable",'Supp Consol'!A:A,O462))</f>
        <v/>
      </c>
      <c r="AG462" s="25" t="str">
        <f>IFERROR(INDEX('Hun Demand'!Q:Q,MATCH(O462,'Hun Demand'!A:A,0)),"")</f>
        <v/>
      </c>
      <c r="AH462" s="25" t="str">
        <f>IFERROR(INDEX('Hun Demand'!H:H,MATCH($O462,'Hun Demand'!$A:$A,0)),"")</f>
        <v/>
      </c>
      <c r="AI462" s="25" t="str">
        <f>IF(SUMIFS('Supp Consol'!AA:AA,'Supp Consol'!Z:Z,"Expires this month",'Supp Consol'!A:A,O462)=0,"",SUMIFS('Supp Consol'!AA:AA,'Supp Consol'!Z:Z,"Expires this month",'Supp Consol'!A:A,O462))</f>
        <v/>
      </c>
      <c r="AJ462" s="25" t="str">
        <f>IF(SUMIFS('Supp Consol'!AA:AA,'Supp Consol'!Z:Z,"Expired Previous Months",'Supp Consol'!A:A,O462)=0,"",SUMIFS('Supp Consol'!AA:AA,'Supp Consol'!Z:Z,"Expired Previous Months",'Supp Consol'!A:A,O462))</f>
        <v/>
      </c>
      <c r="AK462" s="25" t="str">
        <f>IFERROR(INDEX('Hun Release Current'!B:B,MATCH(O462,'Hun Release Current'!A:A,0)),"")</f>
        <v/>
      </c>
      <c r="AL462" s="25" t="str">
        <f>IF(SUMIF('Prev Aub'!A:A,O462,'Prev Aub'!B:B)=0,"",SUMIF('Prev Aub'!A:A,O462,'Prev Aub'!B:B))</f>
        <v/>
      </c>
      <c r="AN462" s="25" t="s">
        <v>3790</v>
      </c>
      <c r="AO462" s="25" t="s">
        <v>3790</v>
      </c>
      <c r="AP462" s="25">
        <f t="shared" si="202"/>
        <v>0</v>
      </c>
      <c r="AQ462" s="151" t="str">
        <f>IF(SUMIFS('Supp Consol'!S:S,'Supp Consol'!A:A,O462,'Supp Consol'!I:I,"PENDING")=0,"",SUMIFS('Supp Consol'!S:S,'Supp Consol'!A:A,O462,'Supp Consol'!I:I,"PENDING"))</f>
        <v/>
      </c>
      <c r="AR462" s="27" t="str">
        <f t="shared" si="203"/>
        <v>FB458</v>
      </c>
      <c r="AS462" s="27" t="str">
        <f t="shared" si="204"/>
        <v>50</v>
      </c>
      <c r="AT462" s="27" t="str">
        <f t="shared" si="205"/>
        <v/>
      </c>
      <c r="AU462" s="27" t="str">
        <f t="shared" si="206"/>
        <v/>
      </c>
      <c r="AV462" s="27" t="str">
        <f t="shared" si="207"/>
        <v/>
      </c>
      <c r="AW462" s="27" t="str">
        <f t="shared" si="208"/>
        <v/>
      </c>
      <c r="AX462" s="27" t="str">
        <f t="shared" si="209"/>
        <v/>
      </c>
      <c r="AY462" s="27" t="str">
        <f t="shared" si="210"/>
        <v/>
      </c>
      <c r="AZ462" s="27" t="str">
        <f t="shared" si="211"/>
        <v/>
      </c>
      <c r="BA462" s="27" t="str">
        <f t="shared" si="212"/>
        <v/>
      </c>
      <c r="BB462" s="27" t="str">
        <f t="shared" si="213"/>
        <v/>
      </c>
      <c r="BC462" s="27" t="str">
        <f t="shared" si="214"/>
        <v/>
      </c>
      <c r="BD462" s="27" t="str">
        <f t="shared" si="215"/>
        <v/>
      </c>
      <c r="BE462" s="27" t="str">
        <f t="shared" si="216"/>
        <v/>
      </c>
      <c r="BF462" s="27" t="str">
        <f t="shared" si="217"/>
        <v/>
      </c>
      <c r="BG462" s="27" t="str">
        <f t="shared" si="218"/>
        <v/>
      </c>
      <c r="BH462" s="27" t="str">
        <f t="shared" si="219"/>
        <v/>
      </c>
      <c r="BI462" s="27" t="str">
        <f t="shared" si="220"/>
        <v/>
      </c>
      <c r="BJ462" s="27" t="str">
        <f t="shared" si="221"/>
        <v/>
      </c>
      <c r="BK462" s="27" t="str">
        <f t="shared" si="222"/>
        <v/>
      </c>
      <c r="BL462" s="27" t="str">
        <f t="shared" si="223"/>
        <v/>
      </c>
      <c r="BM462" s="21" t="s">
        <v>5581</v>
      </c>
    </row>
    <row r="463" spans="1:65" ht="15">
      <c r="A463" s="25" t="str">
        <f>IFERROR(INDEX('Hun Demand'!W:W,MATCH(O463,'Hun Demand'!A:A,0)),"")</f>
        <v/>
      </c>
      <c r="B463" s="25" t="str">
        <f>IFERROR(INDEX('Hun Demand'!V:V,MATCH(O463,'Hun Demand'!A:A,0)),"")</f>
        <v/>
      </c>
      <c r="C463" s="25" t="str">
        <f>IFERROR(INDEX('Hun Demand'!U:U,MATCH(O463,'Hun Demand'!A:A,0)),"")</f>
        <v/>
      </c>
      <c r="D463" s="25" t="str">
        <f>IFERROR(INDEX('Hun Demand'!T:T,MATCH(O463,'Hun Demand'!A:A,0)),"")</f>
        <v/>
      </c>
      <c r="E463" s="25" t="str">
        <f>IFERROR(INDEX('Hun Demand'!S:S,MATCH(O463,'Hun Demand'!A:A,0)),"")</f>
        <v/>
      </c>
      <c r="F463" s="25" t="str">
        <f>IFERROR(INDEX('Hun Demand'!R:R,MATCH(O463,'Hun Demand'!A:A,0)),"")</f>
        <v/>
      </c>
      <c r="G463" s="25">
        <f>IFERROR(INDEX('Aub Demand'!W:W,MATCH(O463,'Aub Demand'!A:A,0)),"")</f>
        <v>28</v>
      </c>
      <c r="H463" s="25">
        <f>IFERROR(INDEX('Aub Demand'!V:V,MATCH(O463,'Aub Demand'!A:A,0)),"")</f>
        <v>0</v>
      </c>
      <c r="I463" s="25">
        <f>IFERROR(INDEX('Aub Demand'!U:U,MATCH(O463,'Aub Demand'!A:A,0)),"")</f>
        <v>0</v>
      </c>
      <c r="J463" s="25">
        <f>IFERROR(INDEX('Aub Demand'!T:T,MATCH(O463,'Aub Demand'!A:A,0)),"")</f>
        <v>0</v>
      </c>
      <c r="K463" s="25">
        <f>IFERROR(INDEX('Aub Demand'!S:S,MATCH(O463,'Aub Demand'!A:A,0)),"")</f>
        <v>0</v>
      </c>
      <c r="L463" s="25">
        <f>IFERROR(INDEX('Aub Demand'!R:R,MATCH(O463,'Aub Demand'!A:A,0)),"")</f>
        <v>0</v>
      </c>
      <c r="O463" s="27" t="s">
        <v>781</v>
      </c>
      <c r="P463" s="27" t="str">
        <f>IFERROR(INDEX('Aub Demand'!B:B,MATCH($O463,'Aub Demand'!$A:$A,0)),"")</f>
        <v>PRESTEN ASH</v>
      </c>
      <c r="Q463" s="27" t="str">
        <f>IFERROR(INDEX('Aub Demand'!C:C,MATCH($O463,'Aub Demand'!$A:$A,0)),"")</f>
        <v>ARAUC</v>
      </c>
      <c r="R463" s="52">
        <f>IFERROR(IF(AR464=AR463,INDEX('Aub Demand'!K:K,MATCH($O463,'Aub Demand'!$A:$A,0))-IF(AN463="",0,AN463)+AP464,INDEX('Aub Demand'!K:K,MATCH($O463,'Aub Demand'!$A:$A,0))-IF(AN463="",0,AN463)),"")</f>
        <v>160</v>
      </c>
      <c r="S463" s="53" t="str">
        <f t="shared" si="196"/>
        <v>n/a</v>
      </c>
      <c r="T463" s="52" t="str">
        <f t="shared" si="197"/>
        <v/>
      </c>
      <c r="U463" s="52">
        <f>IFERROR(IF(AR464=AR463,INDEX('Aub Demand'!Q:Q,MATCH($O463,'Aub Demand'!$A:$A,0))-IF(AN463="",0,AN463)+AP464,INDEX('Aub Demand'!Q:Q,MATCH($O463,'Aub Demand'!$A:$A,0))-IF(AN463="",0,AN463)),"")</f>
        <v>160</v>
      </c>
      <c r="V463" s="53" t="str">
        <f t="shared" si="198"/>
        <v>n/a</v>
      </c>
      <c r="W463" s="52" t="str">
        <f t="shared" si="199"/>
        <v/>
      </c>
      <c r="X463" s="52">
        <f>IFERROR(IF(AND(AR464=AR463,AM463&lt;&gt;""),INDEX('Aub Demand'!Q:Q,MATCH($O463,'Aub Demand'!$A:$A,0))-IF(AN463="",0,AN463)+AP464+AD463+AL463,IF(AR464=AR463,INDEX('Aub Demand'!Q:Q,MATCH($O463,'Aub Demand'!$A:$A,0))-IF(AN463="",0,AN463)+AP464+AD463,IF(AM463&lt;&gt;"",INDEX('Aub Demand'!Q:Q,MATCH($O463,'Aub Demand'!$A:$A,0))-IF(AN463="",0,AN463)+AD463+AL463,INDEX('Aub Demand'!Q:Q,MATCH($O463,'Aub Demand'!$A:$A,0))-IF(AN463="",0,AN463)+AD463))),"")</f>
        <v>160</v>
      </c>
      <c r="Y463" s="53" t="str">
        <f t="shared" si="200"/>
        <v>n/a</v>
      </c>
      <c r="Z463" s="52">
        <f>IF(L463="","",INDEX('Aub Demand'!H:H,MATCH($O463,'Aub Demand'!$A:$A,0)))</f>
        <v>0</v>
      </c>
      <c r="AA463" s="52" t="str">
        <f t="shared" si="201"/>
        <v>-spike-</v>
      </c>
      <c r="AB463" s="52">
        <f>IFERROR(INDEX('Aub Demand'!L:L,MATCH($O463,'Aub Demand'!$A:$A,0)),"")</f>
        <v>0</v>
      </c>
      <c r="AC463" s="52">
        <f>IFERROR(IF(O463="","",SUMIFS('CPL Mats'!F:F,'CPL Mats'!Q:Q,AR463,'CPL Mats'!S:S,AS463)),"")</f>
        <v>0</v>
      </c>
      <c r="AF463" s="25" t="str">
        <f>IF(SUMIFS('Supp Consol'!S:S,'Supp Consol'!Y:Y,"Releasable",'Supp Consol'!A:A,O463)=0,"",SUMIFS('Supp Consol'!S:S,'Supp Consol'!Y:Y,"Releasable",'Supp Consol'!A:A,O463))</f>
        <v/>
      </c>
      <c r="AG463" s="25" t="str">
        <f>IFERROR(INDEX('Hun Demand'!Q:Q,MATCH(O463,'Hun Demand'!A:A,0)),"")</f>
        <v/>
      </c>
      <c r="AH463" s="25" t="str">
        <f>IFERROR(INDEX('Hun Demand'!H:H,MATCH($O463,'Hun Demand'!$A:$A,0)),"")</f>
        <v/>
      </c>
      <c r="AI463" s="25" t="str">
        <f>IF(SUMIFS('Supp Consol'!AA:AA,'Supp Consol'!Z:Z,"Expires this month",'Supp Consol'!A:A,O463)=0,"",SUMIFS('Supp Consol'!AA:AA,'Supp Consol'!Z:Z,"Expires this month",'Supp Consol'!A:A,O463))</f>
        <v/>
      </c>
      <c r="AJ463" s="25" t="str">
        <f>IF(SUMIFS('Supp Consol'!AA:AA,'Supp Consol'!Z:Z,"Expired Previous Months",'Supp Consol'!A:A,O463)=0,"",SUMIFS('Supp Consol'!AA:AA,'Supp Consol'!Z:Z,"Expired Previous Months",'Supp Consol'!A:A,O463))</f>
        <v/>
      </c>
      <c r="AK463" s="25" t="str">
        <f>IFERROR(INDEX('Hun Release Current'!B:B,MATCH(O463,'Hun Release Current'!A:A,0)),"")</f>
        <v/>
      </c>
      <c r="AL463" s="25" t="str">
        <f>IF(SUMIF('Prev Aub'!A:A,O463,'Prev Aub'!B:B)=0,"",SUMIF('Prev Aub'!A:A,O463,'Prev Aub'!B:B))</f>
        <v/>
      </c>
      <c r="AN463" s="25" t="s">
        <v>3790</v>
      </c>
      <c r="AO463" s="25" t="s">
        <v>3790</v>
      </c>
      <c r="AP463" s="25">
        <f t="shared" si="202"/>
        <v>0</v>
      </c>
      <c r="AQ463" s="151" t="str">
        <f>IF(SUMIFS('Supp Consol'!S:S,'Supp Consol'!A:A,O463,'Supp Consol'!I:I,"PENDING")=0,"",SUMIFS('Supp Consol'!S:S,'Supp Consol'!A:A,O463,'Supp Consol'!I:I,"PENDING"))</f>
        <v/>
      </c>
      <c r="AR463" s="27" t="str">
        <f t="shared" si="203"/>
        <v>FB458</v>
      </c>
      <c r="AS463" s="27" t="str">
        <f t="shared" si="204"/>
        <v>62</v>
      </c>
      <c r="AT463" s="27" t="str">
        <f t="shared" si="205"/>
        <v/>
      </c>
      <c r="AU463" s="27" t="str">
        <f t="shared" si="206"/>
        <v/>
      </c>
      <c r="AV463" s="27" t="str">
        <f t="shared" si="207"/>
        <v/>
      </c>
      <c r="AW463" s="27" t="str">
        <f t="shared" si="208"/>
        <v/>
      </c>
      <c r="AX463" s="27" t="str">
        <f t="shared" si="209"/>
        <v/>
      </c>
      <c r="AY463" s="27" t="str">
        <f t="shared" si="210"/>
        <v/>
      </c>
      <c r="AZ463" s="27" t="str">
        <f t="shared" si="211"/>
        <v/>
      </c>
      <c r="BA463" s="27" t="str">
        <f t="shared" si="212"/>
        <v/>
      </c>
      <c r="BB463" s="27" t="str">
        <f t="shared" si="213"/>
        <v/>
      </c>
      <c r="BC463" s="27" t="str">
        <f t="shared" si="214"/>
        <v/>
      </c>
      <c r="BD463" s="27" t="str">
        <f t="shared" si="215"/>
        <v/>
      </c>
      <c r="BE463" s="27" t="str">
        <f t="shared" si="216"/>
        <v/>
      </c>
      <c r="BF463" s="27" t="str">
        <f t="shared" si="217"/>
        <v/>
      </c>
      <c r="BG463" s="27" t="str">
        <f t="shared" si="218"/>
        <v/>
      </c>
      <c r="BH463" s="27" t="str">
        <f t="shared" si="219"/>
        <v/>
      </c>
      <c r="BI463" s="27" t="str">
        <f t="shared" si="220"/>
        <v/>
      </c>
      <c r="BJ463" s="27" t="str">
        <f t="shared" si="221"/>
        <v/>
      </c>
      <c r="BK463" s="27" t="str">
        <f t="shared" si="222"/>
        <v/>
      </c>
      <c r="BL463" s="27" t="str">
        <f t="shared" si="223"/>
        <v/>
      </c>
      <c r="BM463" s="21" t="s">
        <v>5581</v>
      </c>
    </row>
    <row r="464" spans="1:65" ht="15">
      <c r="A464" s="25" t="str">
        <f>IFERROR(INDEX('Hun Demand'!W:W,MATCH(O464,'Hun Demand'!A:A,0)),"")</f>
        <v/>
      </c>
      <c r="B464" s="25" t="str">
        <f>IFERROR(INDEX('Hun Demand'!V:V,MATCH(O464,'Hun Demand'!A:A,0)),"")</f>
        <v/>
      </c>
      <c r="C464" s="25" t="str">
        <f>IFERROR(INDEX('Hun Demand'!U:U,MATCH(O464,'Hun Demand'!A:A,0)),"")</f>
        <v/>
      </c>
      <c r="D464" s="25" t="str">
        <f>IFERROR(INDEX('Hun Demand'!T:T,MATCH(O464,'Hun Demand'!A:A,0)),"")</f>
        <v/>
      </c>
      <c r="E464" s="25" t="str">
        <f>IFERROR(INDEX('Hun Demand'!S:S,MATCH(O464,'Hun Demand'!A:A,0)),"")</f>
        <v/>
      </c>
      <c r="F464" s="25" t="str">
        <f>IFERROR(INDEX('Hun Demand'!R:R,MATCH(O464,'Hun Demand'!A:A,0)),"")</f>
        <v/>
      </c>
      <c r="G464" s="25">
        <f>IFERROR(INDEX('Aub Demand'!W:W,MATCH(O464,'Aub Demand'!A:A,0)),"")</f>
        <v>0</v>
      </c>
      <c r="H464" s="25">
        <f>IFERROR(INDEX('Aub Demand'!V:V,MATCH(O464,'Aub Demand'!A:A,0)),"")</f>
        <v>0</v>
      </c>
      <c r="I464" s="25">
        <f>IFERROR(INDEX('Aub Demand'!U:U,MATCH(O464,'Aub Demand'!A:A,0)),"")</f>
        <v>0</v>
      </c>
      <c r="J464" s="25">
        <f>IFERROR(INDEX('Aub Demand'!T:T,MATCH(O464,'Aub Demand'!A:A,0)),"")</f>
        <v>0</v>
      </c>
      <c r="K464" s="25">
        <f>IFERROR(INDEX('Aub Demand'!S:S,MATCH(O464,'Aub Demand'!A:A,0)),"")</f>
        <v>0</v>
      </c>
      <c r="L464" s="25">
        <f>IFERROR(INDEX('Aub Demand'!R:R,MATCH(O464,'Aub Demand'!A:A,0)),"")</f>
        <v>0</v>
      </c>
      <c r="O464" s="27" t="s">
        <v>782</v>
      </c>
      <c r="P464" s="27" t="str">
        <f>IFERROR(INDEX('Aub Demand'!B:B,MATCH($O464,'Aub Demand'!$A:$A,0)),"")</f>
        <v>ROUGE VALLEY PEAR</v>
      </c>
      <c r="Q464" s="27" t="str">
        <f>IFERROR(INDEX('Aub Demand'!C:C,MATCH($O464,'Aub Demand'!$A:$A,0)),"")</f>
        <v>ARAUC</v>
      </c>
      <c r="R464" s="52">
        <f>IFERROR(IF(AR465=AR464,INDEX('Aub Demand'!K:K,MATCH($O464,'Aub Demand'!$A:$A,0))-IF(AN464="",0,AN464)+AP465,INDEX('Aub Demand'!K:K,MATCH($O464,'Aub Demand'!$A:$A,0))-IF(AN464="",0,AN464)),"")</f>
        <v>249</v>
      </c>
      <c r="S464" s="53" t="str">
        <f t="shared" si="196"/>
        <v>n/a</v>
      </c>
      <c r="T464" s="52" t="str">
        <f t="shared" si="197"/>
        <v/>
      </c>
      <c r="U464" s="52">
        <f>IFERROR(IF(AR465=AR464,INDEX('Aub Demand'!Q:Q,MATCH($O464,'Aub Demand'!$A:$A,0))-IF(AN464="",0,AN464)+AP465,INDEX('Aub Demand'!Q:Q,MATCH($O464,'Aub Demand'!$A:$A,0))-IF(AN464="",0,AN464)),"")</f>
        <v>249</v>
      </c>
      <c r="V464" s="53" t="str">
        <f t="shared" si="198"/>
        <v>n/a</v>
      </c>
      <c r="W464" s="52" t="str">
        <f t="shared" si="199"/>
        <v/>
      </c>
      <c r="X464" s="52">
        <f>IFERROR(IF(AND(AR465=AR464,AM464&lt;&gt;""),INDEX('Aub Demand'!Q:Q,MATCH($O464,'Aub Demand'!$A:$A,0))-IF(AN464="",0,AN464)+AP465+AD464+AL464,IF(AR465=AR464,INDEX('Aub Demand'!Q:Q,MATCH($O464,'Aub Demand'!$A:$A,0))-IF(AN464="",0,AN464)+AP465+AD464,IF(AM464&lt;&gt;"",INDEX('Aub Demand'!Q:Q,MATCH($O464,'Aub Demand'!$A:$A,0))-IF(AN464="",0,AN464)+AD464+AL464,INDEX('Aub Demand'!Q:Q,MATCH($O464,'Aub Demand'!$A:$A,0))-IF(AN464="",0,AN464)+AD464))),"")</f>
        <v>249</v>
      </c>
      <c r="Y464" s="53" t="str">
        <f t="shared" si="200"/>
        <v>n/a</v>
      </c>
      <c r="Z464" s="52">
        <f>IF(L464="","",INDEX('Aub Demand'!H:H,MATCH($O464,'Aub Demand'!$A:$A,0)))</f>
        <v>0</v>
      </c>
      <c r="AA464" s="52" t="str">
        <f t="shared" si="201"/>
        <v>-spike-</v>
      </c>
      <c r="AB464" s="52">
        <f>IFERROR(INDEX('Aub Demand'!L:L,MATCH($O464,'Aub Demand'!$A:$A,0)),"")</f>
        <v>3</v>
      </c>
      <c r="AC464" s="52">
        <f>IFERROR(IF(O464="","",SUMIFS('CPL Mats'!F:F,'CPL Mats'!Q:Q,AR464,'CPL Mats'!S:S,AS464)),"")</f>
        <v>0</v>
      </c>
      <c r="AF464" s="25" t="str">
        <f>IF(SUMIFS('Supp Consol'!S:S,'Supp Consol'!Y:Y,"Releasable",'Supp Consol'!A:A,O464)=0,"",SUMIFS('Supp Consol'!S:S,'Supp Consol'!Y:Y,"Releasable",'Supp Consol'!A:A,O464))</f>
        <v/>
      </c>
      <c r="AG464" s="25" t="str">
        <f>IFERROR(INDEX('Hun Demand'!Q:Q,MATCH(O464,'Hun Demand'!A:A,0)),"")</f>
        <v/>
      </c>
      <c r="AH464" s="25" t="str">
        <f>IFERROR(INDEX('Hun Demand'!H:H,MATCH($O464,'Hun Demand'!$A:$A,0)),"")</f>
        <v/>
      </c>
      <c r="AI464" s="25" t="str">
        <f>IF(SUMIFS('Supp Consol'!AA:AA,'Supp Consol'!Z:Z,"Expires this month",'Supp Consol'!A:A,O464)=0,"",SUMIFS('Supp Consol'!AA:AA,'Supp Consol'!Z:Z,"Expires this month",'Supp Consol'!A:A,O464))</f>
        <v/>
      </c>
      <c r="AJ464" s="25" t="str">
        <f>IF(SUMIFS('Supp Consol'!AA:AA,'Supp Consol'!Z:Z,"Expired Previous Months",'Supp Consol'!A:A,O464)=0,"",SUMIFS('Supp Consol'!AA:AA,'Supp Consol'!Z:Z,"Expired Previous Months",'Supp Consol'!A:A,O464))</f>
        <v/>
      </c>
      <c r="AK464" s="25" t="str">
        <f>IFERROR(INDEX('Hun Release Current'!B:B,MATCH(O464,'Hun Release Current'!A:A,0)),"")</f>
        <v/>
      </c>
      <c r="AL464" s="25" t="str">
        <f>IF(SUMIF('Prev Aub'!A:A,O464,'Prev Aub'!B:B)=0,"",SUMIF('Prev Aub'!A:A,O464,'Prev Aub'!B:B))</f>
        <v/>
      </c>
      <c r="AN464" s="25" t="s">
        <v>3790</v>
      </c>
      <c r="AO464" s="25" t="s">
        <v>3790</v>
      </c>
      <c r="AP464" s="25">
        <f t="shared" si="202"/>
        <v>0</v>
      </c>
      <c r="AQ464" s="151" t="str">
        <f>IF(SUMIFS('Supp Consol'!S:S,'Supp Consol'!A:A,O464,'Supp Consol'!I:I,"PENDING")=0,"",SUMIFS('Supp Consol'!S:S,'Supp Consol'!A:A,O464,'Supp Consol'!I:I,"PENDING"))</f>
        <v/>
      </c>
      <c r="AR464" s="27" t="str">
        <f t="shared" si="203"/>
        <v>FB466</v>
      </c>
      <c r="AS464" s="27" t="str">
        <f t="shared" si="204"/>
        <v>50</v>
      </c>
      <c r="AT464" s="27" t="str">
        <f t="shared" si="205"/>
        <v/>
      </c>
      <c r="AU464" s="27" t="str">
        <f t="shared" si="206"/>
        <v/>
      </c>
      <c r="AV464" s="27" t="str">
        <f t="shared" si="207"/>
        <v/>
      </c>
      <c r="AW464" s="27" t="str">
        <f t="shared" si="208"/>
        <v/>
      </c>
      <c r="AX464" s="27" t="str">
        <f t="shared" si="209"/>
        <v/>
      </c>
      <c r="AY464" s="27" t="str">
        <f t="shared" si="210"/>
        <v/>
      </c>
      <c r="AZ464" s="27" t="str">
        <f t="shared" si="211"/>
        <v/>
      </c>
      <c r="BA464" s="27" t="str">
        <f t="shared" si="212"/>
        <v/>
      </c>
      <c r="BB464" s="27" t="str">
        <f t="shared" si="213"/>
        <v/>
      </c>
      <c r="BC464" s="27" t="str">
        <f t="shared" si="214"/>
        <v/>
      </c>
      <c r="BD464" s="27" t="str">
        <f t="shared" si="215"/>
        <v/>
      </c>
      <c r="BE464" s="27" t="str">
        <f t="shared" si="216"/>
        <v/>
      </c>
      <c r="BF464" s="27" t="str">
        <f t="shared" si="217"/>
        <v/>
      </c>
      <c r="BG464" s="27" t="str">
        <f t="shared" si="218"/>
        <v/>
      </c>
      <c r="BH464" s="27" t="str">
        <f t="shared" si="219"/>
        <v/>
      </c>
      <c r="BI464" s="27" t="str">
        <f t="shared" si="220"/>
        <v/>
      </c>
      <c r="BJ464" s="27" t="str">
        <f t="shared" si="221"/>
        <v/>
      </c>
      <c r="BK464" s="27" t="str">
        <f t="shared" si="222"/>
        <v/>
      </c>
      <c r="BL464" s="27" t="str">
        <f t="shared" si="223"/>
        <v/>
      </c>
      <c r="BM464" s="21" t="s">
        <v>5581</v>
      </c>
    </row>
    <row r="465" spans="1:65" ht="15">
      <c r="A465" s="25" t="str">
        <f>IFERROR(INDEX('Hun Demand'!W:W,MATCH(O465,'Hun Demand'!A:A,0)),"")</f>
        <v/>
      </c>
      <c r="B465" s="25" t="str">
        <f>IFERROR(INDEX('Hun Demand'!V:V,MATCH(O465,'Hun Demand'!A:A,0)),"")</f>
        <v/>
      </c>
      <c r="C465" s="25" t="str">
        <f>IFERROR(INDEX('Hun Demand'!U:U,MATCH(O465,'Hun Demand'!A:A,0)),"")</f>
        <v/>
      </c>
      <c r="D465" s="25" t="str">
        <f>IFERROR(INDEX('Hun Demand'!T:T,MATCH(O465,'Hun Demand'!A:A,0)),"")</f>
        <v/>
      </c>
      <c r="E465" s="25" t="str">
        <f>IFERROR(INDEX('Hun Demand'!S:S,MATCH(O465,'Hun Demand'!A:A,0)),"")</f>
        <v/>
      </c>
      <c r="F465" s="25" t="str">
        <f>IFERROR(INDEX('Hun Demand'!R:R,MATCH(O465,'Hun Demand'!A:A,0)),"")</f>
        <v/>
      </c>
      <c r="G465" s="25">
        <f>IFERROR(INDEX('Aub Demand'!W:W,MATCH(O465,'Aub Demand'!A:A,0)),"")</f>
        <v>0</v>
      </c>
      <c r="H465" s="25">
        <f>IFERROR(INDEX('Aub Demand'!V:V,MATCH(O465,'Aub Demand'!A:A,0)),"")</f>
        <v>0</v>
      </c>
      <c r="I465" s="25">
        <f>IFERROR(INDEX('Aub Demand'!U:U,MATCH(O465,'Aub Demand'!A:A,0)),"")</f>
        <v>0</v>
      </c>
      <c r="J465" s="25">
        <f>IFERROR(INDEX('Aub Demand'!T:T,MATCH(O465,'Aub Demand'!A:A,0)),"")</f>
        <v>0</v>
      </c>
      <c r="K465" s="25">
        <f>IFERROR(INDEX('Aub Demand'!S:S,MATCH(O465,'Aub Demand'!A:A,0)),"")</f>
        <v>0</v>
      </c>
      <c r="L465" s="25">
        <f>IFERROR(INDEX('Aub Demand'!R:R,MATCH(O465,'Aub Demand'!A:A,0)),"")</f>
        <v>0</v>
      </c>
      <c r="O465" s="27" t="s">
        <v>784</v>
      </c>
      <c r="P465" s="27" t="str">
        <f>IFERROR(INDEX('Aub Demand'!B:B,MATCH($O465,'Aub Demand'!$A:$A,0)),"")</f>
        <v>ROGUE VALLEY PEAR</v>
      </c>
      <c r="Q465" s="27" t="str">
        <f>IFERROR(INDEX('Aub Demand'!C:C,MATCH($O465,'Aub Demand'!$A:$A,0)),"")</f>
        <v>ARAUC</v>
      </c>
      <c r="R465" s="52">
        <f>IFERROR(IF(AR466=AR465,INDEX('Aub Demand'!K:K,MATCH($O465,'Aub Demand'!$A:$A,0))-IF(AN465="",0,AN465)+AP466,INDEX('Aub Demand'!K:K,MATCH($O465,'Aub Demand'!$A:$A,0))-IF(AN465="",0,AN465)),"")</f>
        <v>207</v>
      </c>
      <c r="S465" s="53" t="str">
        <f t="shared" si="196"/>
        <v>n/a</v>
      </c>
      <c r="T465" s="52" t="str">
        <f t="shared" si="197"/>
        <v/>
      </c>
      <c r="U465" s="52">
        <f>IFERROR(IF(AR466=AR465,INDEX('Aub Demand'!Q:Q,MATCH($O465,'Aub Demand'!$A:$A,0))-IF(AN465="",0,AN465)+AP466,INDEX('Aub Demand'!Q:Q,MATCH($O465,'Aub Demand'!$A:$A,0))-IF(AN465="",0,AN465)),"")</f>
        <v>196</v>
      </c>
      <c r="V465" s="53" t="str">
        <f t="shared" si="198"/>
        <v>n/a</v>
      </c>
      <c r="W465" s="52" t="str">
        <f t="shared" si="199"/>
        <v/>
      </c>
      <c r="X465" s="52">
        <f>IFERROR(IF(AND(AR466=AR465,AM465&lt;&gt;""),INDEX('Aub Demand'!Q:Q,MATCH($O465,'Aub Demand'!$A:$A,0))-IF(AN465="",0,AN465)+AP466+AD465+AL465,IF(AR466=AR465,INDEX('Aub Demand'!Q:Q,MATCH($O465,'Aub Demand'!$A:$A,0))-IF(AN465="",0,AN465)+AP466+AD465,IF(AM465&lt;&gt;"",INDEX('Aub Demand'!Q:Q,MATCH($O465,'Aub Demand'!$A:$A,0))-IF(AN465="",0,AN465)+AD465+AL465,INDEX('Aub Demand'!Q:Q,MATCH($O465,'Aub Demand'!$A:$A,0))-IF(AN465="",0,AN465)+AD465))),"")</f>
        <v>196</v>
      </c>
      <c r="Y465" s="53" t="str">
        <f t="shared" si="200"/>
        <v>n/a</v>
      </c>
      <c r="Z465" s="52">
        <f>IF(L465="","",INDEX('Aub Demand'!H:H,MATCH($O465,'Aub Demand'!$A:$A,0)))</f>
        <v>0</v>
      </c>
      <c r="AA465" s="52" t="str">
        <f t="shared" si="201"/>
        <v>-spike-</v>
      </c>
      <c r="AB465" s="52">
        <f>IFERROR(INDEX('Aub Demand'!L:L,MATCH($O465,'Aub Demand'!$A:$A,0)),"")</f>
        <v>0</v>
      </c>
      <c r="AC465" s="52">
        <f>IFERROR(IF(O465="","",SUMIFS('CPL Mats'!F:F,'CPL Mats'!Q:Q,AR465,'CPL Mats'!S:S,AS465)),"")</f>
        <v>0</v>
      </c>
      <c r="AF465" s="25" t="str">
        <f>IF(SUMIFS('Supp Consol'!S:S,'Supp Consol'!Y:Y,"Releasable",'Supp Consol'!A:A,O465)=0,"",SUMIFS('Supp Consol'!S:S,'Supp Consol'!Y:Y,"Releasable",'Supp Consol'!A:A,O465))</f>
        <v/>
      </c>
      <c r="AG465" s="25" t="str">
        <f>IFERROR(INDEX('Hun Demand'!Q:Q,MATCH(O465,'Hun Demand'!A:A,0)),"")</f>
        <v/>
      </c>
      <c r="AH465" s="25" t="str">
        <f>IFERROR(INDEX('Hun Demand'!H:H,MATCH($O465,'Hun Demand'!$A:$A,0)),"")</f>
        <v/>
      </c>
      <c r="AI465" s="25" t="str">
        <f>IF(SUMIFS('Supp Consol'!AA:AA,'Supp Consol'!Z:Z,"Expires this month",'Supp Consol'!A:A,O465)=0,"",SUMIFS('Supp Consol'!AA:AA,'Supp Consol'!Z:Z,"Expires this month",'Supp Consol'!A:A,O465))</f>
        <v/>
      </c>
      <c r="AJ465" s="25" t="str">
        <f>IF(SUMIFS('Supp Consol'!AA:AA,'Supp Consol'!Z:Z,"Expired Previous Months",'Supp Consol'!A:A,O465)=0,"",SUMIFS('Supp Consol'!AA:AA,'Supp Consol'!Z:Z,"Expired Previous Months",'Supp Consol'!A:A,O465))</f>
        <v/>
      </c>
      <c r="AK465" s="25" t="str">
        <f>IFERROR(INDEX('Hun Release Current'!B:B,MATCH(O465,'Hun Release Current'!A:A,0)),"")</f>
        <v/>
      </c>
      <c r="AL465" s="25" t="str">
        <f>IF(SUMIF('Prev Aub'!A:A,O465,'Prev Aub'!B:B)=0,"",SUMIF('Prev Aub'!A:A,O465,'Prev Aub'!B:B))</f>
        <v/>
      </c>
      <c r="AN465" s="25" t="s">
        <v>3790</v>
      </c>
      <c r="AO465" s="25" t="s">
        <v>3790</v>
      </c>
      <c r="AP465" s="25">
        <f t="shared" si="202"/>
        <v>0</v>
      </c>
      <c r="AQ465" s="151" t="str">
        <f>IF(SUMIFS('Supp Consol'!S:S,'Supp Consol'!A:A,O465,'Supp Consol'!I:I,"PENDING")=0,"",SUMIFS('Supp Consol'!S:S,'Supp Consol'!A:A,O465,'Supp Consol'!I:I,"PENDING"))</f>
        <v/>
      </c>
      <c r="AR465" s="27" t="str">
        <f t="shared" si="203"/>
        <v>FB466</v>
      </c>
      <c r="AS465" s="27" t="str">
        <f t="shared" si="204"/>
        <v>62</v>
      </c>
      <c r="AT465" s="27" t="str">
        <f t="shared" si="205"/>
        <v/>
      </c>
      <c r="AU465" s="27" t="str">
        <f t="shared" si="206"/>
        <v/>
      </c>
      <c r="AV465" s="27" t="str">
        <f t="shared" si="207"/>
        <v/>
      </c>
      <c r="AW465" s="27" t="str">
        <f t="shared" si="208"/>
        <v/>
      </c>
      <c r="AX465" s="27" t="str">
        <f t="shared" si="209"/>
        <v/>
      </c>
      <c r="AY465" s="27" t="str">
        <f t="shared" si="210"/>
        <v/>
      </c>
      <c r="AZ465" s="27" t="str">
        <f t="shared" si="211"/>
        <v/>
      </c>
      <c r="BA465" s="27" t="str">
        <f t="shared" si="212"/>
        <v/>
      </c>
      <c r="BB465" s="27" t="str">
        <f t="shared" si="213"/>
        <v/>
      </c>
      <c r="BC465" s="27" t="str">
        <f t="shared" si="214"/>
        <v/>
      </c>
      <c r="BD465" s="27" t="str">
        <f t="shared" si="215"/>
        <v/>
      </c>
      <c r="BE465" s="27" t="str">
        <f t="shared" si="216"/>
        <v/>
      </c>
      <c r="BF465" s="27" t="str">
        <f t="shared" si="217"/>
        <v/>
      </c>
      <c r="BG465" s="27" t="str">
        <f t="shared" si="218"/>
        <v/>
      </c>
      <c r="BH465" s="27" t="str">
        <f t="shared" si="219"/>
        <v/>
      </c>
      <c r="BI465" s="27" t="str">
        <f t="shared" si="220"/>
        <v/>
      </c>
      <c r="BJ465" s="27" t="str">
        <f t="shared" si="221"/>
        <v/>
      </c>
      <c r="BK465" s="27" t="str">
        <f t="shared" si="222"/>
        <v/>
      </c>
      <c r="BL465" s="27" t="str">
        <f t="shared" si="223"/>
        <v/>
      </c>
      <c r="BM465" s="21" t="s">
        <v>5581</v>
      </c>
    </row>
    <row r="466" spans="1:65" ht="15">
      <c r="A466" s="25" t="str">
        <f>IFERROR(INDEX('Hun Demand'!W:W,MATCH(O466,'Hun Demand'!A:A,0)),"")</f>
        <v/>
      </c>
      <c r="B466" s="25" t="str">
        <f>IFERROR(INDEX('Hun Demand'!V:V,MATCH(O466,'Hun Demand'!A:A,0)),"")</f>
        <v/>
      </c>
      <c r="C466" s="25" t="str">
        <f>IFERROR(INDEX('Hun Demand'!U:U,MATCH(O466,'Hun Demand'!A:A,0)),"")</f>
        <v/>
      </c>
      <c r="D466" s="25" t="str">
        <f>IFERROR(INDEX('Hun Demand'!T:T,MATCH(O466,'Hun Demand'!A:A,0)),"")</f>
        <v/>
      </c>
      <c r="E466" s="25" t="str">
        <f>IFERROR(INDEX('Hun Demand'!S:S,MATCH(O466,'Hun Demand'!A:A,0)),"")</f>
        <v/>
      </c>
      <c r="F466" s="25" t="str">
        <f>IFERROR(INDEX('Hun Demand'!R:R,MATCH(O466,'Hun Demand'!A:A,0)),"")</f>
        <v/>
      </c>
      <c r="G466" s="25">
        <f>IFERROR(INDEX('Aub Demand'!W:W,MATCH(O466,'Aub Demand'!A:A,0)),"")</f>
        <v>0</v>
      </c>
      <c r="H466" s="25">
        <f>IFERROR(INDEX('Aub Demand'!V:V,MATCH(O466,'Aub Demand'!A:A,0)),"")</f>
        <v>0</v>
      </c>
      <c r="I466" s="25">
        <f>IFERROR(INDEX('Aub Demand'!U:U,MATCH(O466,'Aub Demand'!A:A,0)),"")</f>
        <v>0</v>
      </c>
      <c r="J466" s="25">
        <f>IFERROR(INDEX('Aub Demand'!T:T,MATCH(O466,'Aub Demand'!A:A,0)),"")</f>
        <v>0</v>
      </c>
      <c r="K466" s="25">
        <f>IFERROR(INDEX('Aub Demand'!S:S,MATCH(O466,'Aub Demand'!A:A,0)),"")</f>
        <v>0</v>
      </c>
      <c r="L466" s="25">
        <f>IFERROR(INDEX('Aub Demand'!R:R,MATCH(O466,'Aub Demand'!A:A,0)),"")</f>
        <v>0</v>
      </c>
      <c r="O466" s="27" t="s">
        <v>786</v>
      </c>
      <c r="P466" s="27" t="str">
        <f>IFERROR(INDEX('Aub Demand'!B:B,MATCH($O466,'Aub Demand'!$A:$A,0)),"")</f>
        <v>EVEREST LINEN</v>
      </c>
      <c r="Q466" s="27" t="str">
        <f>IFERROR(INDEX('Aub Demand'!C:C,MATCH($O466,'Aub Demand'!$A:$A,0)),"")</f>
        <v>ARAUC</v>
      </c>
      <c r="R466" s="52">
        <f>IFERROR(IF(AR467=AR466,INDEX('Aub Demand'!K:K,MATCH($O466,'Aub Demand'!$A:$A,0))-IF(AN466="",0,AN466)+AP467,INDEX('Aub Demand'!K:K,MATCH($O466,'Aub Demand'!$A:$A,0))-IF(AN466="",0,AN466)),"")</f>
        <v>129</v>
      </c>
      <c r="S466" s="53" t="str">
        <f t="shared" si="196"/>
        <v>n/a</v>
      </c>
      <c r="T466" s="52" t="str">
        <f t="shared" si="197"/>
        <v/>
      </c>
      <c r="U466" s="52">
        <f>IFERROR(IF(AR467=AR466,INDEX('Aub Demand'!Q:Q,MATCH($O466,'Aub Demand'!$A:$A,0))-IF(AN466="",0,AN466)+AP467,INDEX('Aub Demand'!Q:Q,MATCH($O466,'Aub Demand'!$A:$A,0))-IF(AN466="",0,AN466)),"")</f>
        <v>129</v>
      </c>
      <c r="V466" s="53" t="str">
        <f t="shared" si="198"/>
        <v>n/a</v>
      </c>
      <c r="W466" s="52" t="str">
        <f t="shared" si="199"/>
        <v/>
      </c>
      <c r="X466" s="52">
        <f>IFERROR(IF(AND(AR467=AR466,AM466&lt;&gt;""),INDEX('Aub Demand'!Q:Q,MATCH($O466,'Aub Demand'!$A:$A,0))-IF(AN466="",0,AN466)+AP467+AD466+AL466,IF(AR467=AR466,INDEX('Aub Demand'!Q:Q,MATCH($O466,'Aub Demand'!$A:$A,0))-IF(AN466="",0,AN466)+AP467+AD466,IF(AM466&lt;&gt;"",INDEX('Aub Demand'!Q:Q,MATCH($O466,'Aub Demand'!$A:$A,0))-IF(AN466="",0,AN466)+AD466+AL466,INDEX('Aub Demand'!Q:Q,MATCH($O466,'Aub Demand'!$A:$A,0))-IF(AN466="",0,AN466)+AD466))),"")</f>
        <v>129</v>
      </c>
      <c r="Y466" s="53" t="str">
        <f t="shared" si="200"/>
        <v>n/a</v>
      </c>
      <c r="Z466" s="52">
        <f>IF(L466="","",INDEX('Aub Demand'!H:H,MATCH($O466,'Aub Demand'!$A:$A,0)))</f>
        <v>0</v>
      </c>
      <c r="AA466" s="52" t="str">
        <f t="shared" si="201"/>
        <v>-spike-</v>
      </c>
      <c r="AB466" s="52">
        <f>IFERROR(INDEX('Aub Demand'!L:L,MATCH($O466,'Aub Demand'!$A:$A,0)),"")</f>
        <v>5</v>
      </c>
      <c r="AC466" s="52">
        <f>IFERROR(IF(O466="","",SUMIFS('CPL Mats'!F:F,'CPL Mats'!Q:Q,AR466,'CPL Mats'!S:S,AS466)),"")</f>
        <v>0</v>
      </c>
      <c r="AF466" s="25" t="str">
        <f>IF(SUMIFS('Supp Consol'!S:S,'Supp Consol'!Y:Y,"Releasable",'Supp Consol'!A:A,O466)=0,"",SUMIFS('Supp Consol'!S:S,'Supp Consol'!Y:Y,"Releasable",'Supp Consol'!A:A,O466))</f>
        <v/>
      </c>
      <c r="AG466" s="25" t="str">
        <f>IFERROR(INDEX('Hun Demand'!Q:Q,MATCH(O466,'Hun Demand'!A:A,0)),"")</f>
        <v/>
      </c>
      <c r="AH466" s="25" t="str">
        <f>IFERROR(INDEX('Hun Demand'!H:H,MATCH($O466,'Hun Demand'!$A:$A,0)),"")</f>
        <v/>
      </c>
      <c r="AI466" s="25" t="str">
        <f>IF(SUMIFS('Supp Consol'!AA:AA,'Supp Consol'!Z:Z,"Expires this month",'Supp Consol'!A:A,O466)=0,"",SUMIFS('Supp Consol'!AA:AA,'Supp Consol'!Z:Z,"Expires this month",'Supp Consol'!A:A,O466))</f>
        <v/>
      </c>
      <c r="AJ466" s="25" t="str">
        <f>IF(SUMIFS('Supp Consol'!AA:AA,'Supp Consol'!Z:Z,"Expired Previous Months",'Supp Consol'!A:A,O466)=0,"",SUMIFS('Supp Consol'!AA:AA,'Supp Consol'!Z:Z,"Expired Previous Months",'Supp Consol'!A:A,O466))</f>
        <v/>
      </c>
      <c r="AK466" s="25" t="str">
        <f>IFERROR(INDEX('Hun Release Current'!B:B,MATCH(O466,'Hun Release Current'!A:A,0)),"")</f>
        <v/>
      </c>
      <c r="AL466" s="25" t="str">
        <f>IF(SUMIF('Prev Aub'!A:A,O466,'Prev Aub'!B:B)=0,"",SUMIF('Prev Aub'!A:A,O466,'Prev Aub'!B:B))</f>
        <v/>
      </c>
      <c r="AN466" s="25" t="s">
        <v>3790</v>
      </c>
      <c r="AO466" s="25" t="s">
        <v>3790</v>
      </c>
      <c r="AP466" s="25">
        <f t="shared" si="202"/>
        <v>0</v>
      </c>
      <c r="AQ466" s="151" t="str">
        <f>IF(SUMIFS('Supp Consol'!S:S,'Supp Consol'!A:A,O466,'Supp Consol'!I:I,"PENDING")=0,"",SUMIFS('Supp Consol'!S:S,'Supp Consol'!A:A,O466,'Supp Consol'!I:I,"PENDING"))</f>
        <v/>
      </c>
      <c r="AR466" s="27" t="str">
        <f t="shared" si="203"/>
        <v>FB536</v>
      </c>
      <c r="AS466" s="27" t="str">
        <f t="shared" si="204"/>
        <v>62</v>
      </c>
      <c r="AT466" s="27" t="str">
        <f t="shared" si="205"/>
        <v/>
      </c>
      <c r="AU466" s="27" t="str">
        <f t="shared" si="206"/>
        <v/>
      </c>
      <c r="AV466" s="27" t="str">
        <f t="shared" si="207"/>
        <v/>
      </c>
      <c r="AW466" s="27" t="str">
        <f t="shared" si="208"/>
        <v/>
      </c>
      <c r="AX466" s="27" t="str">
        <f t="shared" si="209"/>
        <v/>
      </c>
      <c r="AY466" s="27" t="str">
        <f t="shared" si="210"/>
        <v/>
      </c>
      <c r="AZ466" s="27" t="str">
        <f t="shared" si="211"/>
        <v/>
      </c>
      <c r="BA466" s="27" t="str">
        <f t="shared" si="212"/>
        <v/>
      </c>
      <c r="BB466" s="27" t="str">
        <f t="shared" si="213"/>
        <v/>
      </c>
      <c r="BC466" s="27" t="str">
        <f t="shared" si="214"/>
        <v/>
      </c>
      <c r="BD466" s="27" t="str">
        <f t="shared" si="215"/>
        <v/>
      </c>
      <c r="BE466" s="27" t="str">
        <f t="shared" si="216"/>
        <v/>
      </c>
      <c r="BF466" s="27" t="str">
        <f t="shared" si="217"/>
        <v/>
      </c>
      <c r="BG466" s="27" t="str">
        <f t="shared" si="218"/>
        <v/>
      </c>
      <c r="BH466" s="27" t="str">
        <f t="shared" si="219"/>
        <v/>
      </c>
      <c r="BI466" s="27" t="str">
        <f t="shared" si="220"/>
        <v/>
      </c>
      <c r="BJ466" s="27" t="str">
        <f t="shared" si="221"/>
        <v/>
      </c>
      <c r="BK466" s="27" t="str">
        <f t="shared" si="222"/>
        <v/>
      </c>
      <c r="BL466" s="27" t="str">
        <f t="shared" si="223"/>
        <v/>
      </c>
      <c r="BM466" s="21" t="s">
        <v>5581</v>
      </c>
    </row>
    <row r="467" spans="1:65" ht="15">
      <c r="A467" s="25" t="str">
        <f>IFERROR(INDEX('Hun Demand'!W:W,MATCH(O467,'Hun Demand'!A:A,0)),"")</f>
        <v/>
      </c>
      <c r="B467" s="25" t="str">
        <f>IFERROR(INDEX('Hun Demand'!V:V,MATCH(O467,'Hun Demand'!A:A,0)),"")</f>
        <v/>
      </c>
      <c r="C467" s="25" t="str">
        <f>IFERROR(INDEX('Hun Demand'!U:U,MATCH(O467,'Hun Demand'!A:A,0)),"")</f>
        <v/>
      </c>
      <c r="D467" s="25" t="str">
        <f>IFERROR(INDEX('Hun Demand'!T:T,MATCH(O467,'Hun Demand'!A:A,0)),"")</f>
        <v/>
      </c>
      <c r="E467" s="25" t="str">
        <f>IFERROR(INDEX('Hun Demand'!S:S,MATCH(O467,'Hun Demand'!A:A,0)),"")</f>
        <v/>
      </c>
      <c r="F467" s="25" t="str">
        <f>IFERROR(INDEX('Hun Demand'!R:R,MATCH(O467,'Hun Demand'!A:A,0)),"")</f>
        <v/>
      </c>
      <c r="G467" s="25">
        <f>IFERROR(INDEX('Aub Demand'!W:W,MATCH(O467,'Aub Demand'!A:A,0)),"")</f>
        <v>0</v>
      </c>
      <c r="H467" s="25">
        <f>IFERROR(INDEX('Aub Demand'!V:V,MATCH(O467,'Aub Demand'!A:A,0)),"")</f>
        <v>0</v>
      </c>
      <c r="I467" s="25">
        <f>IFERROR(INDEX('Aub Demand'!U:U,MATCH(O467,'Aub Demand'!A:A,0)),"")</f>
        <v>0</v>
      </c>
      <c r="J467" s="25">
        <f>IFERROR(INDEX('Aub Demand'!T:T,MATCH(O467,'Aub Demand'!A:A,0)),"")</f>
        <v>0</v>
      </c>
      <c r="K467" s="25">
        <f>IFERROR(INDEX('Aub Demand'!S:S,MATCH(O467,'Aub Demand'!A:A,0)),"")</f>
        <v>0</v>
      </c>
      <c r="L467" s="25">
        <f>IFERROR(INDEX('Aub Demand'!R:R,MATCH(O467,'Aub Demand'!A:A,0)),"")</f>
        <v>0</v>
      </c>
      <c r="O467" s="27" t="s">
        <v>788</v>
      </c>
      <c r="P467" s="27" t="str">
        <f>IFERROR(INDEX('Aub Demand'!B:B,MATCH($O467,'Aub Demand'!$A:$A,0)),"")</f>
        <v>RASTER</v>
      </c>
      <c r="Q467" s="27" t="str">
        <f>IFERROR(INDEX('Aub Demand'!C:C,MATCH($O467,'Aub Demand'!$A:$A,0)),"")</f>
        <v>ARAUC</v>
      </c>
      <c r="R467" s="52">
        <f>IFERROR(IF(AR468=AR467,INDEX('Aub Demand'!K:K,MATCH($O467,'Aub Demand'!$A:$A,0))-IF(AN467="",0,AN467)+AP468,INDEX('Aub Demand'!K:K,MATCH($O467,'Aub Demand'!$A:$A,0))-IF(AN467="",0,AN467)),"")</f>
        <v>98</v>
      </c>
      <c r="S467" s="53" t="str">
        <f t="shared" si="196"/>
        <v>n/a</v>
      </c>
      <c r="T467" s="52" t="str">
        <f t="shared" si="197"/>
        <v/>
      </c>
      <c r="U467" s="52">
        <f>IFERROR(IF(AR468=AR467,INDEX('Aub Demand'!Q:Q,MATCH($O467,'Aub Demand'!$A:$A,0))-IF(AN467="",0,AN467)+AP468,INDEX('Aub Demand'!Q:Q,MATCH($O467,'Aub Demand'!$A:$A,0))-IF(AN467="",0,AN467)),"")</f>
        <v>98</v>
      </c>
      <c r="V467" s="53" t="str">
        <f t="shared" si="198"/>
        <v>n/a</v>
      </c>
      <c r="W467" s="52" t="str">
        <f t="shared" si="199"/>
        <v/>
      </c>
      <c r="X467" s="52">
        <f>IFERROR(IF(AND(AR468=AR467,AM467&lt;&gt;""),INDEX('Aub Demand'!Q:Q,MATCH($O467,'Aub Demand'!$A:$A,0))-IF(AN467="",0,AN467)+AP468+AD467+AL467,IF(AR468=AR467,INDEX('Aub Demand'!Q:Q,MATCH($O467,'Aub Demand'!$A:$A,0))-IF(AN467="",0,AN467)+AP468+AD467,IF(AM467&lt;&gt;"",INDEX('Aub Demand'!Q:Q,MATCH($O467,'Aub Demand'!$A:$A,0))-IF(AN467="",0,AN467)+AD467+AL467,INDEX('Aub Demand'!Q:Q,MATCH($O467,'Aub Demand'!$A:$A,0))-IF(AN467="",0,AN467)+AD467))),"")</f>
        <v>98</v>
      </c>
      <c r="Y467" s="53" t="str">
        <f t="shared" si="200"/>
        <v>n/a</v>
      </c>
      <c r="Z467" s="52">
        <f>IF(L467="","",INDEX('Aub Demand'!H:H,MATCH($O467,'Aub Demand'!$A:$A,0)))</f>
        <v>0</v>
      </c>
      <c r="AA467" s="52" t="str">
        <f t="shared" si="201"/>
        <v>-spike-</v>
      </c>
      <c r="AB467" s="52">
        <f>IFERROR(INDEX('Aub Demand'!L:L,MATCH($O467,'Aub Demand'!$A:$A,0)),"")</f>
        <v>0</v>
      </c>
      <c r="AC467" s="52">
        <f>IFERROR(IF(O467="","",SUMIFS('CPL Mats'!F:F,'CPL Mats'!Q:Q,AR467,'CPL Mats'!S:S,AS467)),"")</f>
        <v>0</v>
      </c>
      <c r="AF467" s="25" t="str">
        <f>IF(SUMIFS('Supp Consol'!S:S,'Supp Consol'!Y:Y,"Releasable",'Supp Consol'!A:A,O467)=0,"",SUMIFS('Supp Consol'!S:S,'Supp Consol'!Y:Y,"Releasable",'Supp Consol'!A:A,O467))</f>
        <v/>
      </c>
      <c r="AG467" s="25" t="str">
        <f>IFERROR(INDEX('Hun Demand'!Q:Q,MATCH(O467,'Hun Demand'!A:A,0)),"")</f>
        <v/>
      </c>
      <c r="AH467" s="25" t="str">
        <f>IFERROR(INDEX('Hun Demand'!H:H,MATCH($O467,'Hun Demand'!$A:$A,0)),"")</f>
        <v/>
      </c>
      <c r="AI467" s="25" t="str">
        <f>IF(SUMIFS('Supp Consol'!AA:AA,'Supp Consol'!Z:Z,"Expires this month",'Supp Consol'!A:A,O467)=0,"",SUMIFS('Supp Consol'!AA:AA,'Supp Consol'!Z:Z,"Expires this month",'Supp Consol'!A:A,O467))</f>
        <v/>
      </c>
      <c r="AJ467" s="25" t="str">
        <f>IF(SUMIFS('Supp Consol'!AA:AA,'Supp Consol'!Z:Z,"Expired Previous Months",'Supp Consol'!A:A,O467)=0,"",SUMIFS('Supp Consol'!AA:AA,'Supp Consol'!Z:Z,"Expired Previous Months",'Supp Consol'!A:A,O467))</f>
        <v/>
      </c>
      <c r="AK467" s="25" t="str">
        <f>IFERROR(INDEX('Hun Release Current'!B:B,MATCH(O467,'Hun Release Current'!A:A,0)),"")</f>
        <v/>
      </c>
      <c r="AL467" s="25" t="str">
        <f>IF(SUMIF('Prev Aub'!A:A,O467,'Prev Aub'!B:B)=0,"",SUMIF('Prev Aub'!A:A,O467,'Prev Aub'!B:B))</f>
        <v/>
      </c>
      <c r="AN467" s="25" t="s">
        <v>3790</v>
      </c>
      <c r="AO467" s="25" t="s">
        <v>3790</v>
      </c>
      <c r="AP467" s="25">
        <f t="shared" si="202"/>
        <v>0</v>
      </c>
      <c r="AQ467" s="151" t="str">
        <f>IF(SUMIFS('Supp Consol'!S:S,'Supp Consol'!A:A,O467,'Supp Consol'!I:I,"PENDING")=0,"",SUMIFS('Supp Consol'!S:S,'Supp Consol'!A:A,O467,'Supp Consol'!I:I,"PENDING"))</f>
        <v/>
      </c>
      <c r="AR467" s="27" t="str">
        <f t="shared" si="203"/>
        <v>FB601</v>
      </c>
      <c r="AS467" s="27" t="str">
        <f t="shared" si="204"/>
        <v>62</v>
      </c>
      <c r="AT467" s="27" t="str">
        <f t="shared" si="205"/>
        <v/>
      </c>
      <c r="AU467" s="27" t="str">
        <f t="shared" si="206"/>
        <v/>
      </c>
      <c r="AV467" s="27" t="str">
        <f t="shared" si="207"/>
        <v/>
      </c>
      <c r="AW467" s="27" t="str">
        <f t="shared" si="208"/>
        <v/>
      </c>
      <c r="AX467" s="27" t="str">
        <f t="shared" si="209"/>
        <v/>
      </c>
      <c r="AY467" s="27" t="str">
        <f t="shared" si="210"/>
        <v/>
      </c>
      <c r="AZ467" s="27" t="str">
        <f t="shared" si="211"/>
        <v/>
      </c>
      <c r="BA467" s="27" t="str">
        <f t="shared" si="212"/>
        <v/>
      </c>
      <c r="BB467" s="27" t="str">
        <f t="shared" si="213"/>
        <v/>
      </c>
      <c r="BC467" s="27" t="str">
        <f t="shared" si="214"/>
        <v/>
      </c>
      <c r="BD467" s="27" t="str">
        <f t="shared" si="215"/>
        <v/>
      </c>
      <c r="BE467" s="27" t="str">
        <f t="shared" si="216"/>
        <v/>
      </c>
      <c r="BF467" s="27" t="str">
        <f t="shared" si="217"/>
        <v/>
      </c>
      <c r="BG467" s="27" t="str">
        <f t="shared" si="218"/>
        <v/>
      </c>
      <c r="BH467" s="27" t="str">
        <f t="shared" si="219"/>
        <v/>
      </c>
      <c r="BI467" s="27" t="str">
        <f t="shared" si="220"/>
        <v/>
      </c>
      <c r="BJ467" s="27" t="str">
        <f t="shared" si="221"/>
        <v/>
      </c>
      <c r="BK467" s="27" t="str">
        <f t="shared" si="222"/>
        <v/>
      </c>
      <c r="BL467" s="27" t="str">
        <f t="shared" si="223"/>
        <v/>
      </c>
      <c r="BM467" s="21" t="s">
        <v>3790</v>
      </c>
    </row>
    <row r="468" spans="1:65" ht="15">
      <c r="A468" s="25" t="str">
        <f>IFERROR(INDEX('Hun Demand'!W:W,MATCH(O468,'Hun Demand'!A:A,0)),"")</f>
        <v/>
      </c>
      <c r="B468" s="25" t="str">
        <f>IFERROR(INDEX('Hun Demand'!V:V,MATCH(O468,'Hun Demand'!A:A,0)),"")</f>
        <v/>
      </c>
      <c r="C468" s="25" t="str">
        <f>IFERROR(INDEX('Hun Demand'!U:U,MATCH(O468,'Hun Demand'!A:A,0)),"")</f>
        <v/>
      </c>
      <c r="D468" s="25" t="str">
        <f>IFERROR(INDEX('Hun Demand'!T:T,MATCH(O468,'Hun Demand'!A:A,0)),"")</f>
        <v/>
      </c>
      <c r="E468" s="25" t="str">
        <f>IFERROR(INDEX('Hun Demand'!S:S,MATCH(O468,'Hun Demand'!A:A,0)),"")</f>
        <v/>
      </c>
      <c r="F468" s="25" t="str">
        <f>IFERROR(INDEX('Hun Demand'!R:R,MATCH(O468,'Hun Demand'!A:A,0)),"")</f>
        <v/>
      </c>
      <c r="G468" s="25">
        <f>IFERROR(INDEX('Aub Demand'!W:W,MATCH(O468,'Aub Demand'!A:A,0)),"")</f>
        <v>0</v>
      </c>
      <c r="H468" s="25">
        <f>IFERROR(INDEX('Aub Demand'!V:V,MATCH(O468,'Aub Demand'!A:A,0)),"")</f>
        <v>0</v>
      </c>
      <c r="I468" s="25">
        <f>IFERROR(INDEX('Aub Demand'!U:U,MATCH(O468,'Aub Demand'!A:A,0)),"")</f>
        <v>0</v>
      </c>
      <c r="J468" s="25">
        <f>IFERROR(INDEX('Aub Demand'!T:T,MATCH(O468,'Aub Demand'!A:A,0)),"")</f>
        <v>0</v>
      </c>
      <c r="K468" s="25">
        <f>IFERROR(INDEX('Aub Demand'!S:S,MATCH(O468,'Aub Demand'!A:A,0)),"")</f>
        <v>0</v>
      </c>
      <c r="L468" s="25">
        <f>IFERROR(INDEX('Aub Demand'!R:R,MATCH(O468,'Aub Demand'!A:A,0)),"")</f>
        <v>0</v>
      </c>
      <c r="O468" s="27" t="s">
        <v>790</v>
      </c>
      <c r="P468" s="27" t="str">
        <f>IFERROR(INDEX('Aub Demand'!B:B,MATCH($O468,'Aub Demand'!$A:$A,0)),"")</f>
        <v>ALABASTER</v>
      </c>
      <c r="Q468" s="27" t="str">
        <f>IFERROR(INDEX('Aub Demand'!C:C,MATCH($O468,'Aub Demand'!$A:$A,0)),"")</f>
        <v>ARAUC</v>
      </c>
      <c r="R468" s="52">
        <f>IFERROR(IF(AR469=AR468,INDEX('Aub Demand'!K:K,MATCH($O468,'Aub Demand'!$A:$A,0))-IF(AN468="",0,AN468)+AP469,INDEX('Aub Demand'!K:K,MATCH($O468,'Aub Demand'!$A:$A,0))-IF(AN468="",0,AN468)),"")</f>
        <v>128</v>
      </c>
      <c r="S468" s="53" t="str">
        <f t="shared" si="196"/>
        <v>n/a</v>
      </c>
      <c r="T468" s="52" t="str">
        <f t="shared" si="197"/>
        <v/>
      </c>
      <c r="U468" s="52">
        <f>IFERROR(IF(AR469=AR468,INDEX('Aub Demand'!Q:Q,MATCH($O468,'Aub Demand'!$A:$A,0))-IF(AN468="",0,AN468)+AP469,INDEX('Aub Demand'!Q:Q,MATCH($O468,'Aub Demand'!$A:$A,0))-IF(AN468="",0,AN468)),"")</f>
        <v>128</v>
      </c>
      <c r="V468" s="53" t="str">
        <f t="shared" si="198"/>
        <v>n/a</v>
      </c>
      <c r="W468" s="52" t="str">
        <f t="shared" si="199"/>
        <v/>
      </c>
      <c r="X468" s="52">
        <f>IFERROR(IF(AND(AR469=AR468,AM468&lt;&gt;""),INDEX('Aub Demand'!Q:Q,MATCH($O468,'Aub Demand'!$A:$A,0))-IF(AN468="",0,AN468)+AP469+AD468+AL468,IF(AR469=AR468,INDEX('Aub Demand'!Q:Q,MATCH($O468,'Aub Demand'!$A:$A,0))-IF(AN468="",0,AN468)+AP469+AD468,IF(AM468&lt;&gt;"",INDEX('Aub Demand'!Q:Q,MATCH($O468,'Aub Demand'!$A:$A,0))-IF(AN468="",0,AN468)+AD468+AL468,INDEX('Aub Demand'!Q:Q,MATCH($O468,'Aub Demand'!$A:$A,0))-IF(AN468="",0,AN468)+AD468))),"")</f>
        <v>128</v>
      </c>
      <c r="Y468" s="53" t="str">
        <f t="shared" si="200"/>
        <v>n/a</v>
      </c>
      <c r="Z468" s="52">
        <f>IF(L468="","",INDEX('Aub Demand'!H:H,MATCH($O468,'Aub Demand'!$A:$A,0)))</f>
        <v>0</v>
      </c>
      <c r="AA468" s="52" t="str">
        <f t="shared" si="201"/>
        <v>-spike-</v>
      </c>
      <c r="AB468" s="52">
        <f>IFERROR(INDEX('Aub Demand'!L:L,MATCH($O468,'Aub Demand'!$A:$A,0)),"")</f>
        <v>0</v>
      </c>
      <c r="AC468" s="52">
        <f>IFERROR(IF(O468="","",SUMIFS('CPL Mats'!F:F,'CPL Mats'!Q:Q,AR468,'CPL Mats'!S:S,AS468)),"")</f>
        <v>0</v>
      </c>
      <c r="AF468" s="25" t="str">
        <f>IF(SUMIFS('Supp Consol'!S:S,'Supp Consol'!Y:Y,"Releasable",'Supp Consol'!A:A,O468)=0,"",SUMIFS('Supp Consol'!S:S,'Supp Consol'!Y:Y,"Releasable",'Supp Consol'!A:A,O468))</f>
        <v/>
      </c>
      <c r="AG468" s="25" t="str">
        <f>IFERROR(INDEX('Hun Demand'!Q:Q,MATCH(O468,'Hun Demand'!A:A,0)),"")</f>
        <v/>
      </c>
      <c r="AH468" s="25" t="str">
        <f>IFERROR(INDEX('Hun Demand'!H:H,MATCH($O468,'Hun Demand'!$A:$A,0)),"")</f>
        <v/>
      </c>
      <c r="AI468" s="25" t="str">
        <f>IF(SUMIFS('Supp Consol'!AA:AA,'Supp Consol'!Z:Z,"Expires this month",'Supp Consol'!A:A,O468)=0,"",SUMIFS('Supp Consol'!AA:AA,'Supp Consol'!Z:Z,"Expires this month",'Supp Consol'!A:A,O468))</f>
        <v/>
      </c>
      <c r="AJ468" s="25" t="str">
        <f>IF(SUMIFS('Supp Consol'!AA:AA,'Supp Consol'!Z:Z,"Expired Previous Months",'Supp Consol'!A:A,O468)=0,"",SUMIFS('Supp Consol'!AA:AA,'Supp Consol'!Z:Z,"Expired Previous Months",'Supp Consol'!A:A,O468))</f>
        <v/>
      </c>
      <c r="AK468" s="25" t="str">
        <f>IFERROR(INDEX('Hun Release Current'!B:B,MATCH(O468,'Hun Release Current'!A:A,0)),"")</f>
        <v/>
      </c>
      <c r="AL468" s="25" t="str">
        <f>IF(SUMIF('Prev Aub'!A:A,O468,'Prev Aub'!B:B)=0,"",SUMIF('Prev Aub'!A:A,O468,'Prev Aub'!B:B))</f>
        <v/>
      </c>
      <c r="AN468" s="25" t="s">
        <v>3790</v>
      </c>
      <c r="AO468" s="25" t="s">
        <v>3790</v>
      </c>
      <c r="AP468" s="25">
        <f t="shared" si="202"/>
        <v>0</v>
      </c>
      <c r="AQ468" s="151" t="str">
        <f>IF(SUMIFS('Supp Consol'!S:S,'Supp Consol'!A:A,O468,'Supp Consol'!I:I,"PENDING")=0,"",SUMIFS('Supp Consol'!S:S,'Supp Consol'!A:A,O468,'Supp Consol'!I:I,"PENDING"))</f>
        <v/>
      </c>
      <c r="AR468" s="27" t="str">
        <f t="shared" si="203"/>
        <v>FB900</v>
      </c>
      <c r="AS468" s="27" t="str">
        <f t="shared" si="204"/>
        <v>62</v>
      </c>
      <c r="AT468" s="27" t="str">
        <f t="shared" si="205"/>
        <v/>
      </c>
      <c r="AU468" s="27" t="str">
        <f t="shared" si="206"/>
        <v/>
      </c>
      <c r="AV468" s="27" t="str">
        <f t="shared" si="207"/>
        <v/>
      </c>
      <c r="AW468" s="27" t="str">
        <f t="shared" si="208"/>
        <v/>
      </c>
      <c r="AX468" s="27" t="str">
        <f t="shared" si="209"/>
        <v/>
      </c>
      <c r="AY468" s="27" t="str">
        <f t="shared" si="210"/>
        <v/>
      </c>
      <c r="AZ468" s="27" t="str">
        <f t="shared" si="211"/>
        <v/>
      </c>
      <c r="BA468" s="27" t="str">
        <f t="shared" si="212"/>
        <v/>
      </c>
      <c r="BB468" s="27" t="str">
        <f t="shared" si="213"/>
        <v/>
      </c>
      <c r="BC468" s="27" t="str">
        <f t="shared" si="214"/>
        <v/>
      </c>
      <c r="BD468" s="27" t="str">
        <f t="shared" si="215"/>
        <v/>
      </c>
      <c r="BE468" s="27" t="str">
        <f t="shared" si="216"/>
        <v/>
      </c>
      <c r="BF468" s="27" t="str">
        <f t="shared" si="217"/>
        <v/>
      </c>
      <c r="BG468" s="27" t="str">
        <f t="shared" si="218"/>
        <v/>
      </c>
      <c r="BH468" s="27" t="str">
        <f t="shared" si="219"/>
        <v/>
      </c>
      <c r="BI468" s="27" t="str">
        <f t="shared" si="220"/>
        <v/>
      </c>
      <c r="BJ468" s="27" t="str">
        <f t="shared" si="221"/>
        <v/>
      </c>
      <c r="BK468" s="27" t="str">
        <f t="shared" si="222"/>
        <v/>
      </c>
      <c r="BL468" s="27" t="str">
        <f t="shared" si="223"/>
        <v/>
      </c>
      <c r="BM468" s="21" t="s">
        <v>3790</v>
      </c>
    </row>
    <row r="469" spans="1:65" ht="15">
      <c r="A469" s="25" t="str">
        <f>IFERROR(INDEX('Hun Demand'!W:W,MATCH(O469,'Hun Demand'!A:A,0)),"")</f>
        <v/>
      </c>
      <c r="B469" s="25" t="str">
        <f>IFERROR(INDEX('Hun Demand'!V:V,MATCH(O469,'Hun Demand'!A:A,0)),"")</f>
        <v/>
      </c>
      <c r="C469" s="25" t="str">
        <f>IFERROR(INDEX('Hun Demand'!U:U,MATCH(O469,'Hun Demand'!A:A,0)),"")</f>
        <v/>
      </c>
      <c r="D469" s="25" t="str">
        <f>IFERROR(INDEX('Hun Demand'!T:T,MATCH(O469,'Hun Demand'!A:A,0)),"")</f>
        <v/>
      </c>
      <c r="E469" s="25" t="str">
        <f>IFERROR(INDEX('Hun Demand'!S:S,MATCH(O469,'Hun Demand'!A:A,0)),"")</f>
        <v/>
      </c>
      <c r="F469" s="25" t="str">
        <f>IFERROR(INDEX('Hun Demand'!R:R,MATCH(O469,'Hun Demand'!A:A,0)),"")</f>
        <v/>
      </c>
      <c r="G469" s="25">
        <f>IFERROR(INDEX('Aub Demand'!W:W,MATCH(O469,'Aub Demand'!A:A,0)),"")</f>
        <v>108</v>
      </c>
      <c r="H469" s="25">
        <f>IFERROR(INDEX('Aub Demand'!V:V,MATCH(O469,'Aub Demand'!A:A,0)),"")</f>
        <v>0</v>
      </c>
      <c r="I469" s="25">
        <f>IFERROR(INDEX('Aub Demand'!U:U,MATCH(O469,'Aub Demand'!A:A,0)),"")</f>
        <v>0</v>
      </c>
      <c r="J469" s="25">
        <f>IFERROR(INDEX('Aub Demand'!T:T,MATCH(O469,'Aub Demand'!A:A,0)),"")</f>
        <v>0</v>
      </c>
      <c r="K469" s="25">
        <f>IFERROR(INDEX('Aub Demand'!S:S,MATCH(O469,'Aub Demand'!A:A,0)),"")</f>
        <v>0</v>
      </c>
      <c r="L469" s="25">
        <f>IFERROR(INDEX('Aub Demand'!R:R,MATCH(O469,'Aub Demand'!A:A,0)),"")</f>
        <v>0</v>
      </c>
      <c r="O469" s="27" t="s">
        <v>2156</v>
      </c>
      <c r="P469" s="27" t="str">
        <f>IFERROR(INDEX('Aub Demand'!B:B,MATCH($O469,'Aub Demand'!$A:$A,0)),"")</f>
        <v>COPPER FUSION II</v>
      </c>
      <c r="Q469" s="27" t="str">
        <f>IFERROR(INDEX('Aub Demand'!C:C,MATCH($O469,'Aub Demand'!$A:$A,0)),"")</f>
        <v>INTER</v>
      </c>
      <c r="R469" s="52">
        <f>IFERROR(IF(AR470=AR469,INDEX('Aub Demand'!K:K,MATCH($O469,'Aub Demand'!$A:$A,0))-IF(AN469="",0,AN469)+AP470,INDEX('Aub Demand'!K:K,MATCH($O469,'Aub Demand'!$A:$A,0))-IF(AN469="",0,AN469)),"")</f>
        <v>1248</v>
      </c>
      <c r="S469" s="53" t="str">
        <f t="shared" si="196"/>
        <v>n/a</v>
      </c>
      <c r="T469" s="52" t="str">
        <f t="shared" si="197"/>
        <v/>
      </c>
      <c r="U469" s="52">
        <f>IFERROR(IF(AR470=AR469,INDEX('Aub Demand'!Q:Q,MATCH($O469,'Aub Demand'!$A:$A,0))-IF(AN469="",0,AN469)+AP470,INDEX('Aub Demand'!Q:Q,MATCH($O469,'Aub Demand'!$A:$A,0))-IF(AN469="",0,AN469)),"")</f>
        <v>1234</v>
      </c>
      <c r="V469" s="53" t="str">
        <f t="shared" si="198"/>
        <v>n/a</v>
      </c>
      <c r="W469" s="52" t="str">
        <f t="shared" si="199"/>
        <v/>
      </c>
      <c r="X469" s="52">
        <f>IFERROR(IF(AND(AR470=AR469,AM469&lt;&gt;""),INDEX('Aub Demand'!Q:Q,MATCH($O469,'Aub Demand'!$A:$A,0))-IF(AN469="",0,AN469)+AP470+AD469+AL469,IF(AR470=AR469,INDEX('Aub Demand'!Q:Q,MATCH($O469,'Aub Demand'!$A:$A,0))-IF(AN469="",0,AN469)+AP470+AD469,IF(AM469&lt;&gt;"",INDEX('Aub Demand'!Q:Q,MATCH($O469,'Aub Demand'!$A:$A,0))-IF(AN469="",0,AN469)+AD469+AL469,INDEX('Aub Demand'!Q:Q,MATCH($O469,'Aub Demand'!$A:$A,0))-IF(AN469="",0,AN469)+AD469))),"")</f>
        <v>1234</v>
      </c>
      <c r="Y469" s="53" t="str">
        <f t="shared" si="200"/>
        <v>n/a</v>
      </c>
      <c r="Z469" s="52">
        <f>IF(L469="","",INDEX('Aub Demand'!H:H,MATCH($O469,'Aub Demand'!$A:$A,0)))</f>
        <v>0</v>
      </c>
      <c r="AA469" s="52" t="str">
        <f t="shared" si="201"/>
        <v>-spike-</v>
      </c>
      <c r="AB469" s="52">
        <f>IFERROR(INDEX('Aub Demand'!L:L,MATCH($O469,'Aub Demand'!$A:$A,0)),"")</f>
        <v>67</v>
      </c>
      <c r="AC469" s="52">
        <f>IFERROR(IF(O469="","",SUMIFS('CPL Mats'!F:F,'CPL Mats'!Q:Q,AR469,'CPL Mats'!S:S,AS469)),"")</f>
        <v>0</v>
      </c>
      <c r="AF469" s="25" t="str">
        <f>IF(SUMIFS('Supp Consol'!S:S,'Supp Consol'!Y:Y,"Releasable",'Supp Consol'!A:A,O469)=0,"",SUMIFS('Supp Consol'!S:S,'Supp Consol'!Y:Y,"Releasable",'Supp Consol'!A:A,O469))</f>
        <v/>
      </c>
      <c r="AG469" s="25" t="str">
        <f>IFERROR(INDEX('Hun Demand'!Q:Q,MATCH(O469,'Hun Demand'!A:A,0)),"")</f>
        <v/>
      </c>
      <c r="AH469" s="25" t="str">
        <f>IFERROR(INDEX('Hun Demand'!H:H,MATCH($O469,'Hun Demand'!$A:$A,0)),"")</f>
        <v/>
      </c>
      <c r="AI469" s="25" t="str">
        <f>IF(SUMIFS('Supp Consol'!AA:AA,'Supp Consol'!Z:Z,"Expires this month",'Supp Consol'!A:A,O469)=0,"",SUMIFS('Supp Consol'!AA:AA,'Supp Consol'!Z:Z,"Expires this month",'Supp Consol'!A:A,O469))</f>
        <v/>
      </c>
      <c r="AJ469" s="25" t="str">
        <f>IF(SUMIFS('Supp Consol'!AA:AA,'Supp Consol'!Z:Z,"Expired Previous Months",'Supp Consol'!A:A,O469)=0,"",SUMIFS('Supp Consol'!AA:AA,'Supp Consol'!Z:Z,"Expired Previous Months",'Supp Consol'!A:A,O469))</f>
        <v/>
      </c>
      <c r="AK469" s="25" t="str">
        <f>IFERROR(INDEX('Hun Release Current'!B:B,MATCH(O469,'Hun Release Current'!A:A,0)),"")</f>
        <v/>
      </c>
      <c r="AL469" s="25" t="str">
        <f>IF(SUMIF('Prev Aub'!A:A,O469,'Prev Aub'!B:B)=0,"",SUMIF('Prev Aub'!A:A,O469,'Prev Aub'!B:B))</f>
        <v/>
      </c>
      <c r="AN469" s="25" t="s">
        <v>3790</v>
      </c>
      <c r="AO469" s="25" t="s">
        <v>3790</v>
      </c>
      <c r="AP469" s="25">
        <f t="shared" si="202"/>
        <v>0</v>
      </c>
      <c r="AQ469" s="151" t="str">
        <f>IF(SUMIFS('Supp Consol'!S:S,'Supp Consol'!A:A,O469,'Supp Consol'!I:I,"PENDING")=0,"",SUMIFS('Supp Consol'!S:S,'Supp Consol'!A:A,O469,'Supp Consol'!I:I,"PENDING"))</f>
        <v/>
      </c>
      <c r="AR469" s="27" t="str">
        <f t="shared" si="203"/>
        <v>FN102</v>
      </c>
      <c r="AS469" s="27" t="str">
        <f t="shared" si="204"/>
        <v>50</v>
      </c>
      <c r="AT469" s="27" t="str">
        <f t="shared" si="205"/>
        <v/>
      </c>
      <c r="AU469" s="27" t="str">
        <f t="shared" si="206"/>
        <v/>
      </c>
      <c r="AV469" s="27" t="str">
        <f t="shared" si="207"/>
        <v/>
      </c>
      <c r="AW469" s="27" t="str">
        <f t="shared" si="208"/>
        <v/>
      </c>
      <c r="AX469" s="27" t="str">
        <f t="shared" si="209"/>
        <v/>
      </c>
      <c r="AY469" s="27" t="str">
        <f t="shared" si="210"/>
        <v/>
      </c>
      <c r="AZ469" s="27" t="str">
        <f t="shared" si="211"/>
        <v/>
      </c>
      <c r="BA469" s="27" t="str">
        <f t="shared" si="212"/>
        <v/>
      </c>
      <c r="BB469" s="27" t="str">
        <f t="shared" si="213"/>
        <v/>
      </c>
      <c r="BC469" s="27" t="str">
        <f t="shared" si="214"/>
        <v/>
      </c>
      <c r="BD469" s="27" t="str">
        <f t="shared" si="215"/>
        <v/>
      </c>
      <c r="BE469" s="27" t="str">
        <f t="shared" si="216"/>
        <v/>
      </c>
      <c r="BF469" s="27" t="str">
        <f t="shared" si="217"/>
        <v/>
      </c>
      <c r="BG469" s="27" t="str">
        <f t="shared" si="218"/>
        <v/>
      </c>
      <c r="BH469" s="27" t="str">
        <f t="shared" si="219"/>
        <v/>
      </c>
      <c r="BI469" s="27" t="str">
        <f t="shared" si="220"/>
        <v/>
      </c>
      <c r="BJ469" s="27" t="str">
        <f t="shared" si="221"/>
        <v/>
      </c>
      <c r="BK469" s="27" t="str">
        <f t="shared" si="222"/>
        <v/>
      </c>
      <c r="BL469" s="27" t="str">
        <f t="shared" si="223"/>
        <v/>
      </c>
      <c r="BM469" s="21" t="s">
        <v>5581</v>
      </c>
    </row>
    <row r="470" spans="1:65" ht="15">
      <c r="A470" s="25" t="str">
        <f>IFERROR(INDEX('Hun Demand'!W:W,MATCH(O470,'Hun Demand'!A:A,0)),"")</f>
        <v/>
      </c>
      <c r="B470" s="25" t="str">
        <f>IFERROR(INDEX('Hun Demand'!V:V,MATCH(O470,'Hun Demand'!A:A,0)),"")</f>
        <v/>
      </c>
      <c r="C470" s="25" t="str">
        <f>IFERROR(INDEX('Hun Demand'!U:U,MATCH(O470,'Hun Demand'!A:A,0)),"")</f>
        <v/>
      </c>
      <c r="D470" s="25" t="str">
        <f>IFERROR(INDEX('Hun Demand'!T:T,MATCH(O470,'Hun Demand'!A:A,0)),"")</f>
        <v/>
      </c>
      <c r="E470" s="25" t="str">
        <f>IFERROR(INDEX('Hun Demand'!S:S,MATCH(O470,'Hun Demand'!A:A,0)),"")</f>
        <v/>
      </c>
      <c r="F470" s="25" t="str">
        <f>IFERROR(INDEX('Hun Demand'!R:R,MATCH(O470,'Hun Demand'!A:A,0)),"")</f>
        <v/>
      </c>
      <c r="G470" s="25">
        <f>IFERROR(INDEX('Aub Demand'!W:W,MATCH(O470,'Aub Demand'!A:A,0)),"")</f>
        <v>0</v>
      </c>
      <c r="H470" s="25">
        <f>IFERROR(INDEX('Aub Demand'!V:V,MATCH(O470,'Aub Demand'!A:A,0)),"")</f>
        <v>40</v>
      </c>
      <c r="I470" s="25">
        <f>IFERROR(INDEX('Aub Demand'!U:U,MATCH(O470,'Aub Demand'!A:A,0)),"")</f>
        <v>0</v>
      </c>
      <c r="J470" s="25">
        <f>IFERROR(INDEX('Aub Demand'!T:T,MATCH(O470,'Aub Demand'!A:A,0)),"")</f>
        <v>0</v>
      </c>
      <c r="K470" s="25">
        <f>IFERROR(INDEX('Aub Demand'!S:S,MATCH(O470,'Aub Demand'!A:A,0)),"")</f>
        <v>100</v>
      </c>
      <c r="L470" s="25">
        <f>IFERROR(INDEX('Aub Demand'!R:R,MATCH(O470,'Aub Demand'!A:A,0)),"")</f>
        <v>0</v>
      </c>
      <c r="O470" s="27" t="s">
        <v>2159</v>
      </c>
      <c r="P470" s="27" t="str">
        <f>IFERROR(INDEX('Aub Demand'!B:B,MATCH($O470,'Aub Demand'!$A:$A,0)),"")</f>
        <v>COPPER FUSION II</v>
      </c>
      <c r="Q470" s="27" t="str">
        <f>IFERROR(INDEX('Aub Demand'!C:C,MATCH($O470,'Aub Demand'!$A:$A,0)),"")</f>
        <v>INTER</v>
      </c>
      <c r="R470" s="52">
        <f>IFERROR(IF(AR471=AR470,INDEX('Aub Demand'!K:K,MATCH($O470,'Aub Demand'!$A:$A,0))-IF(AN470="",0,AN470)+AP471,INDEX('Aub Demand'!K:K,MATCH($O470,'Aub Demand'!$A:$A,0))-IF(AN470="",0,AN470)),"")</f>
        <v>2694</v>
      </c>
      <c r="S470" s="53">
        <f t="shared" si="196"/>
        <v>349.9</v>
      </c>
      <c r="T470" s="52" t="str">
        <f t="shared" si="197"/>
        <v/>
      </c>
      <c r="U470" s="52">
        <f>IFERROR(IF(AR471=AR470,INDEX('Aub Demand'!Q:Q,MATCH($O470,'Aub Demand'!$A:$A,0))-IF(AN470="",0,AN470)+AP471,INDEX('Aub Demand'!Q:Q,MATCH($O470,'Aub Demand'!$A:$A,0))-IF(AN470="",0,AN470)),"")</f>
        <v>2667</v>
      </c>
      <c r="V470" s="53">
        <f t="shared" si="198"/>
        <v>346.4</v>
      </c>
      <c r="W470" s="52" t="str">
        <f t="shared" si="199"/>
        <v/>
      </c>
      <c r="X470" s="52">
        <f>IFERROR(IF(AND(AR471=AR470,AM470&lt;&gt;""),INDEX('Aub Demand'!Q:Q,MATCH($O470,'Aub Demand'!$A:$A,0))-IF(AN470="",0,AN470)+AP471+AD470+AL470,IF(AR471=AR470,INDEX('Aub Demand'!Q:Q,MATCH($O470,'Aub Demand'!$A:$A,0))-IF(AN470="",0,AN470)+AP471+AD470,IF(AM470&lt;&gt;"",INDEX('Aub Demand'!Q:Q,MATCH($O470,'Aub Demand'!$A:$A,0))-IF(AN470="",0,AN470)+AD470+AL470,INDEX('Aub Demand'!Q:Q,MATCH($O470,'Aub Demand'!$A:$A,0))-IF(AN470="",0,AN470)+AD470))),"")</f>
        <v>2667</v>
      </c>
      <c r="Y470" s="53">
        <f t="shared" si="200"/>
        <v>346.4</v>
      </c>
      <c r="Z470" s="52">
        <f>IF(L470="","",INDEX('Aub Demand'!H:H,MATCH($O470,'Aub Demand'!$A:$A,0)))</f>
        <v>33</v>
      </c>
      <c r="AA470" s="52" t="str">
        <f t="shared" si="201"/>
        <v>-spike-</v>
      </c>
      <c r="AB470" s="52">
        <f>IFERROR(INDEX('Aub Demand'!L:L,MATCH($O470,'Aub Demand'!$A:$A,0)),"")</f>
        <v>31</v>
      </c>
      <c r="AC470" s="52">
        <f>IFERROR(IF(O470="","",SUMIFS('CPL Mats'!F:F,'CPL Mats'!Q:Q,AR470,'CPL Mats'!S:S,AS470)),"")</f>
        <v>0</v>
      </c>
      <c r="AF470" s="25" t="str">
        <f>IF(SUMIFS('Supp Consol'!S:S,'Supp Consol'!Y:Y,"Releasable",'Supp Consol'!A:A,O470)=0,"",SUMIFS('Supp Consol'!S:S,'Supp Consol'!Y:Y,"Releasable",'Supp Consol'!A:A,O470))</f>
        <v/>
      </c>
      <c r="AG470" s="25" t="str">
        <f>IFERROR(INDEX('Hun Demand'!Q:Q,MATCH(O470,'Hun Demand'!A:A,0)),"")</f>
        <v/>
      </c>
      <c r="AH470" s="25" t="str">
        <f>IFERROR(INDEX('Hun Demand'!H:H,MATCH($O470,'Hun Demand'!$A:$A,0)),"")</f>
        <v/>
      </c>
      <c r="AI470" s="25" t="str">
        <f>IF(SUMIFS('Supp Consol'!AA:AA,'Supp Consol'!Z:Z,"Expires this month",'Supp Consol'!A:A,O470)=0,"",SUMIFS('Supp Consol'!AA:AA,'Supp Consol'!Z:Z,"Expires this month",'Supp Consol'!A:A,O470))</f>
        <v/>
      </c>
      <c r="AJ470" s="25" t="str">
        <f>IF(SUMIFS('Supp Consol'!AA:AA,'Supp Consol'!Z:Z,"Expired Previous Months",'Supp Consol'!A:A,O470)=0,"",SUMIFS('Supp Consol'!AA:AA,'Supp Consol'!Z:Z,"Expired Previous Months",'Supp Consol'!A:A,O470))</f>
        <v/>
      </c>
      <c r="AK470" s="25" t="str">
        <f>IFERROR(INDEX('Hun Release Current'!B:B,MATCH(O470,'Hun Release Current'!A:A,0)),"")</f>
        <v/>
      </c>
      <c r="AL470" s="25" t="str">
        <f>IF(SUMIF('Prev Aub'!A:A,O470,'Prev Aub'!B:B)=0,"",SUMIF('Prev Aub'!A:A,O470,'Prev Aub'!B:B))</f>
        <v/>
      </c>
      <c r="AN470" s="25" t="s">
        <v>3790</v>
      </c>
      <c r="AO470" s="25" t="s">
        <v>3790</v>
      </c>
      <c r="AP470" s="25">
        <f t="shared" si="202"/>
        <v>0</v>
      </c>
      <c r="AQ470" s="151" t="str">
        <f>IF(SUMIFS('Supp Consol'!S:S,'Supp Consol'!A:A,O470,'Supp Consol'!I:I,"PENDING")=0,"",SUMIFS('Supp Consol'!S:S,'Supp Consol'!A:A,O470,'Supp Consol'!I:I,"PENDING"))</f>
        <v/>
      </c>
      <c r="AR470" s="27" t="str">
        <f t="shared" si="203"/>
        <v>FN102</v>
      </c>
      <c r="AS470" s="27" t="str">
        <f t="shared" si="204"/>
        <v>62</v>
      </c>
      <c r="AT470" s="27" t="str">
        <f t="shared" si="205"/>
        <v/>
      </c>
      <c r="AU470" s="27" t="str">
        <f t="shared" si="206"/>
        <v/>
      </c>
      <c r="AV470" s="27" t="str">
        <f t="shared" si="207"/>
        <v/>
      </c>
      <c r="AW470" s="27" t="str">
        <f t="shared" si="208"/>
        <v/>
      </c>
      <c r="AX470" s="27" t="str">
        <f t="shared" si="209"/>
        <v/>
      </c>
      <c r="AY470" s="27" t="str">
        <f t="shared" si="210"/>
        <v/>
      </c>
      <c r="AZ470" s="27" t="str">
        <f t="shared" si="211"/>
        <v/>
      </c>
      <c r="BA470" s="27" t="str">
        <f t="shared" si="212"/>
        <v/>
      </c>
      <c r="BB470" s="27" t="str">
        <f t="shared" si="213"/>
        <v/>
      </c>
      <c r="BC470" s="27" t="str">
        <f t="shared" si="214"/>
        <v/>
      </c>
      <c r="BD470" s="27" t="str">
        <f t="shared" si="215"/>
        <v/>
      </c>
      <c r="BE470" s="27" t="str">
        <f t="shared" si="216"/>
        <v/>
      </c>
      <c r="BF470" s="27" t="str">
        <f t="shared" si="217"/>
        <v/>
      </c>
      <c r="BG470" s="27" t="str">
        <f t="shared" si="218"/>
        <v/>
      </c>
      <c r="BH470" s="27" t="str">
        <f t="shared" si="219"/>
        <v/>
      </c>
      <c r="BI470" s="27" t="str">
        <f t="shared" si="220"/>
        <v/>
      </c>
      <c r="BJ470" s="27" t="str">
        <f t="shared" si="221"/>
        <v/>
      </c>
      <c r="BK470" s="27" t="str">
        <f t="shared" si="222"/>
        <v/>
      </c>
      <c r="BL470" s="27" t="str">
        <f t="shared" si="223"/>
        <v/>
      </c>
      <c r="BM470" s="21" t="s">
        <v>5581</v>
      </c>
    </row>
    <row r="471" spans="1:65" ht="15">
      <c r="A471" s="25" t="str">
        <f>IFERROR(INDEX('Hun Demand'!W:W,MATCH(O471,'Hun Demand'!A:A,0)),"")</f>
        <v/>
      </c>
      <c r="B471" s="25" t="str">
        <f>IFERROR(INDEX('Hun Demand'!V:V,MATCH(O471,'Hun Demand'!A:A,0)),"")</f>
        <v/>
      </c>
      <c r="C471" s="25" t="str">
        <f>IFERROR(INDEX('Hun Demand'!U:U,MATCH(O471,'Hun Demand'!A:A,0)),"")</f>
        <v/>
      </c>
      <c r="D471" s="25" t="str">
        <f>IFERROR(INDEX('Hun Demand'!T:T,MATCH(O471,'Hun Demand'!A:A,0)),"")</f>
        <v/>
      </c>
      <c r="E471" s="25" t="str">
        <f>IFERROR(INDEX('Hun Demand'!S:S,MATCH(O471,'Hun Demand'!A:A,0)),"")</f>
        <v/>
      </c>
      <c r="F471" s="25" t="str">
        <f>IFERROR(INDEX('Hun Demand'!R:R,MATCH(O471,'Hun Demand'!A:A,0)),"")</f>
        <v/>
      </c>
      <c r="G471" s="25">
        <f>IFERROR(INDEX('Aub Demand'!W:W,MATCH(O471,'Aub Demand'!A:A,0)),"")</f>
        <v>0</v>
      </c>
      <c r="H471" s="25">
        <f>IFERROR(INDEX('Aub Demand'!V:V,MATCH(O471,'Aub Demand'!A:A,0)),"")</f>
        <v>0</v>
      </c>
      <c r="I471" s="25">
        <f>IFERROR(INDEX('Aub Demand'!U:U,MATCH(O471,'Aub Demand'!A:A,0)),"")</f>
        <v>0</v>
      </c>
      <c r="J471" s="25">
        <f>IFERROR(INDEX('Aub Demand'!T:T,MATCH(O471,'Aub Demand'!A:A,0)),"")</f>
        <v>0</v>
      </c>
      <c r="K471" s="25">
        <f>IFERROR(INDEX('Aub Demand'!S:S,MATCH(O471,'Aub Demand'!A:A,0)),"")</f>
        <v>0</v>
      </c>
      <c r="L471" s="25">
        <f>IFERROR(INDEX('Aub Demand'!R:R,MATCH(O471,'Aub Demand'!A:A,0)),"")</f>
        <v>0</v>
      </c>
      <c r="O471" s="27" t="s">
        <v>2162</v>
      </c>
      <c r="P471" s="27" t="str">
        <f>IFERROR(INDEX('Aub Demand'!B:B,MATCH($O471,'Aub Demand'!$A:$A,0)),"")</f>
        <v>CHARCOAL FUSION 60"</v>
      </c>
      <c r="Q471" s="27" t="str">
        <f>IFERROR(INDEX('Aub Demand'!C:C,MATCH($O471,'Aub Demand'!$A:$A,0)),"")</f>
        <v>INTER</v>
      </c>
      <c r="R471" s="52">
        <f>IFERROR(IF(AR472=AR471,INDEX('Aub Demand'!K:K,MATCH($O471,'Aub Demand'!$A:$A,0))-IF(AN471="",0,AN471)+AP472,INDEX('Aub Demand'!K:K,MATCH($O471,'Aub Demand'!$A:$A,0))-IF(AN471="",0,AN471)),"")</f>
        <v>1010</v>
      </c>
      <c r="S471" s="53" t="str">
        <f t="shared" si="196"/>
        <v>n/a</v>
      </c>
      <c r="T471" s="52" t="str">
        <f t="shared" si="197"/>
        <v/>
      </c>
      <c r="U471" s="52">
        <f>IFERROR(IF(AR472=AR471,INDEX('Aub Demand'!Q:Q,MATCH($O471,'Aub Demand'!$A:$A,0))-IF(AN471="",0,AN471)+AP472,INDEX('Aub Demand'!Q:Q,MATCH($O471,'Aub Demand'!$A:$A,0))-IF(AN471="",0,AN471)),"")</f>
        <v>1010</v>
      </c>
      <c r="V471" s="53" t="str">
        <f t="shared" si="198"/>
        <v>n/a</v>
      </c>
      <c r="W471" s="52" t="str">
        <f t="shared" si="199"/>
        <v/>
      </c>
      <c r="X471" s="52">
        <f>IFERROR(IF(AND(AR472=AR471,AM471&lt;&gt;""),INDEX('Aub Demand'!Q:Q,MATCH($O471,'Aub Demand'!$A:$A,0))-IF(AN471="",0,AN471)+AP472+AD471+AL471,IF(AR472=AR471,INDEX('Aub Demand'!Q:Q,MATCH($O471,'Aub Demand'!$A:$A,0))-IF(AN471="",0,AN471)+AP472+AD471,IF(AM471&lt;&gt;"",INDEX('Aub Demand'!Q:Q,MATCH($O471,'Aub Demand'!$A:$A,0))-IF(AN471="",0,AN471)+AD471+AL471,INDEX('Aub Demand'!Q:Q,MATCH($O471,'Aub Demand'!$A:$A,0))-IF(AN471="",0,AN471)+AD471))),"")</f>
        <v>1010</v>
      </c>
      <c r="Y471" s="53" t="str">
        <f t="shared" si="200"/>
        <v>n/a</v>
      </c>
      <c r="Z471" s="52">
        <f>IF(L471="","",INDEX('Aub Demand'!H:H,MATCH($O471,'Aub Demand'!$A:$A,0)))</f>
        <v>0</v>
      </c>
      <c r="AA471" s="52" t="str">
        <f t="shared" si="201"/>
        <v>-spike-</v>
      </c>
      <c r="AB471" s="52">
        <f>IFERROR(INDEX('Aub Demand'!L:L,MATCH($O471,'Aub Demand'!$A:$A,0)),"")</f>
        <v>24</v>
      </c>
      <c r="AC471" s="52">
        <f>IFERROR(IF(O471="","",SUMIFS('CPL Mats'!F:F,'CPL Mats'!Q:Q,AR471,'CPL Mats'!S:S,AS471)),"")</f>
        <v>0</v>
      </c>
      <c r="AF471" s="25" t="str">
        <f>IF(SUMIFS('Supp Consol'!S:S,'Supp Consol'!Y:Y,"Releasable",'Supp Consol'!A:A,O471)=0,"",SUMIFS('Supp Consol'!S:S,'Supp Consol'!Y:Y,"Releasable",'Supp Consol'!A:A,O471))</f>
        <v/>
      </c>
      <c r="AG471" s="25" t="str">
        <f>IFERROR(INDEX('Hun Demand'!Q:Q,MATCH(O471,'Hun Demand'!A:A,0)),"")</f>
        <v/>
      </c>
      <c r="AH471" s="25" t="str">
        <f>IFERROR(INDEX('Hun Demand'!H:H,MATCH($O471,'Hun Demand'!$A:$A,0)),"")</f>
        <v/>
      </c>
      <c r="AI471" s="25" t="str">
        <f>IF(SUMIFS('Supp Consol'!AA:AA,'Supp Consol'!Z:Z,"Expires this month",'Supp Consol'!A:A,O471)=0,"",SUMIFS('Supp Consol'!AA:AA,'Supp Consol'!Z:Z,"Expires this month",'Supp Consol'!A:A,O471))</f>
        <v/>
      </c>
      <c r="AJ471" s="25" t="str">
        <f>IF(SUMIFS('Supp Consol'!AA:AA,'Supp Consol'!Z:Z,"Expired Previous Months",'Supp Consol'!A:A,O471)=0,"",SUMIFS('Supp Consol'!AA:AA,'Supp Consol'!Z:Z,"Expired Previous Months",'Supp Consol'!A:A,O471))</f>
        <v/>
      </c>
      <c r="AK471" s="25" t="str">
        <f>IFERROR(INDEX('Hun Release Current'!B:B,MATCH(O471,'Hun Release Current'!A:A,0)),"")</f>
        <v/>
      </c>
      <c r="AL471" s="25" t="str">
        <f>IF(SUMIF('Prev Aub'!A:A,O471,'Prev Aub'!B:B)=0,"",SUMIF('Prev Aub'!A:A,O471,'Prev Aub'!B:B))</f>
        <v/>
      </c>
      <c r="AN471" s="25" t="s">
        <v>3790</v>
      </c>
      <c r="AO471" s="25" t="s">
        <v>3790</v>
      </c>
      <c r="AP471" s="25">
        <f t="shared" si="202"/>
        <v>0</v>
      </c>
      <c r="AQ471" s="151" t="str">
        <f>IF(SUMIFS('Supp Consol'!S:S,'Supp Consol'!A:A,O471,'Supp Consol'!I:I,"PENDING")=0,"",SUMIFS('Supp Consol'!S:S,'Supp Consol'!A:A,O471,'Supp Consol'!I:I,"PENDING"))</f>
        <v/>
      </c>
      <c r="AR471" s="27" t="str">
        <f t="shared" si="203"/>
        <v>FN601</v>
      </c>
      <c r="AS471" s="27" t="str">
        <f t="shared" si="204"/>
        <v>62</v>
      </c>
      <c r="AT471" s="27" t="str">
        <f t="shared" si="205"/>
        <v/>
      </c>
      <c r="AU471" s="27" t="str">
        <f t="shared" si="206"/>
        <v/>
      </c>
      <c r="AV471" s="27" t="str">
        <f t="shared" si="207"/>
        <v/>
      </c>
      <c r="AW471" s="27" t="str">
        <f t="shared" si="208"/>
        <v/>
      </c>
      <c r="AX471" s="27" t="str">
        <f t="shared" si="209"/>
        <v/>
      </c>
      <c r="AY471" s="27" t="str">
        <f t="shared" si="210"/>
        <v/>
      </c>
      <c r="AZ471" s="27" t="str">
        <f t="shared" si="211"/>
        <v/>
      </c>
      <c r="BA471" s="27" t="str">
        <f t="shared" si="212"/>
        <v/>
      </c>
      <c r="BB471" s="27" t="str">
        <f t="shared" si="213"/>
        <v/>
      </c>
      <c r="BC471" s="27" t="str">
        <f t="shared" si="214"/>
        <v/>
      </c>
      <c r="BD471" s="27" t="str">
        <f t="shared" si="215"/>
        <v/>
      </c>
      <c r="BE471" s="27" t="str">
        <f t="shared" si="216"/>
        <v/>
      </c>
      <c r="BF471" s="27" t="str">
        <f t="shared" si="217"/>
        <v/>
      </c>
      <c r="BG471" s="27" t="str">
        <f t="shared" si="218"/>
        <v/>
      </c>
      <c r="BH471" s="27" t="str">
        <f t="shared" si="219"/>
        <v/>
      </c>
      <c r="BI471" s="27" t="str">
        <f t="shared" si="220"/>
        <v/>
      </c>
      <c r="BJ471" s="27" t="str">
        <f t="shared" si="221"/>
        <v/>
      </c>
      <c r="BK471" s="27" t="str">
        <f t="shared" si="222"/>
        <v/>
      </c>
      <c r="BL471" s="27" t="str">
        <f t="shared" si="223"/>
        <v/>
      </c>
      <c r="BM471" s="21" t="s">
        <v>5581</v>
      </c>
    </row>
    <row r="472" spans="1:65" ht="15">
      <c r="A472" s="25" t="str">
        <f>IFERROR(INDEX('Hun Demand'!W:W,MATCH(O472,'Hun Demand'!A:A,0)),"")</f>
        <v/>
      </c>
      <c r="B472" s="25" t="str">
        <f>IFERROR(INDEX('Hun Demand'!V:V,MATCH(O472,'Hun Demand'!A:A,0)),"")</f>
        <v/>
      </c>
      <c r="C472" s="25" t="str">
        <f>IFERROR(INDEX('Hun Demand'!U:U,MATCH(O472,'Hun Demand'!A:A,0)),"")</f>
        <v/>
      </c>
      <c r="D472" s="25" t="str">
        <f>IFERROR(INDEX('Hun Demand'!T:T,MATCH(O472,'Hun Demand'!A:A,0)),"")</f>
        <v/>
      </c>
      <c r="E472" s="25" t="str">
        <f>IFERROR(INDEX('Hun Demand'!S:S,MATCH(O472,'Hun Demand'!A:A,0)),"")</f>
        <v/>
      </c>
      <c r="F472" s="25" t="str">
        <f>IFERROR(INDEX('Hun Demand'!R:R,MATCH(O472,'Hun Demand'!A:A,0)),"")</f>
        <v/>
      </c>
      <c r="G472" s="25">
        <f>IFERROR(INDEX('Aub Demand'!W:W,MATCH(O472,'Aub Demand'!A:A,0)),"")</f>
        <v>2076</v>
      </c>
      <c r="H472" s="25">
        <f>IFERROR(INDEX('Aub Demand'!V:V,MATCH(O472,'Aub Demand'!A:A,0)),"")</f>
        <v>0</v>
      </c>
      <c r="I472" s="25">
        <f>IFERROR(INDEX('Aub Demand'!U:U,MATCH(O472,'Aub Demand'!A:A,0)),"")</f>
        <v>2079</v>
      </c>
      <c r="J472" s="25">
        <f>IFERROR(INDEX('Aub Demand'!T:T,MATCH(O472,'Aub Demand'!A:A,0)),"")</f>
        <v>0</v>
      </c>
      <c r="K472" s="25">
        <f>IFERROR(INDEX('Aub Demand'!S:S,MATCH(O472,'Aub Demand'!A:A,0)),"")</f>
        <v>0</v>
      </c>
      <c r="L472" s="25">
        <f>IFERROR(INDEX('Aub Demand'!R:R,MATCH(O472,'Aub Demand'!A:A,0)),"")</f>
        <v>0</v>
      </c>
      <c r="O472" s="27" t="s">
        <v>792</v>
      </c>
      <c r="P472" s="27" t="str">
        <f>IFERROR(INDEX('Aub Demand'!B:B,MATCH($O472,'Aub Demand'!$A:$A,0)),"")</f>
        <v>FIREPLI 125#</v>
      </c>
      <c r="Q472" s="27" t="str">
        <f>IFERROR(INDEX('Aub Demand'!C:C,MATCH($O472,'Aub Demand'!$A:$A,0)),"")</f>
        <v>TECHN</v>
      </c>
      <c r="R472" s="52">
        <f>IFERROR(IF(AR473=AR472,INDEX('Aub Demand'!K:K,MATCH($O472,'Aub Demand'!$A:$A,0))-IF(AN472="",0,AN472)+AP473,INDEX('Aub Demand'!K:K,MATCH($O472,'Aub Demand'!$A:$A,0))-IF(AN472="",0,AN472)),"")</f>
        <v>5220</v>
      </c>
      <c r="S472" s="53">
        <f t="shared" si="196"/>
        <v>32.299999999999997</v>
      </c>
      <c r="T472" s="52" t="str">
        <f t="shared" si="197"/>
        <v/>
      </c>
      <c r="U472" s="52">
        <f>IFERROR(IF(AR473=AR472,INDEX('Aub Demand'!Q:Q,MATCH($O472,'Aub Demand'!$A:$A,0))-IF(AN472="",0,AN472)+AP473,INDEX('Aub Demand'!Q:Q,MATCH($O472,'Aub Demand'!$A:$A,0))-IF(AN472="",0,AN472)),"")</f>
        <v>1572</v>
      </c>
      <c r="V472" s="53">
        <f t="shared" si="198"/>
        <v>9.6999999999999993</v>
      </c>
      <c r="W472" s="52" t="str">
        <f t="shared" si="199"/>
        <v/>
      </c>
      <c r="X472" s="52">
        <f>IFERROR(IF(AND(AR473=AR472,AM472&lt;&gt;""),INDEX('Aub Demand'!Q:Q,MATCH($O472,'Aub Demand'!$A:$A,0))-IF(AN472="",0,AN472)+AP473+AD472+AL472,IF(AR473=AR472,INDEX('Aub Demand'!Q:Q,MATCH($O472,'Aub Demand'!$A:$A,0))-IF(AN472="",0,AN472)+AP473+AD472,IF(AM472&lt;&gt;"",INDEX('Aub Demand'!Q:Q,MATCH($O472,'Aub Demand'!$A:$A,0))-IF(AN472="",0,AN472)+AD472+AL472,INDEX('Aub Demand'!Q:Q,MATCH($O472,'Aub Demand'!$A:$A,0))-IF(AN472="",0,AN472)+AD472))),"")</f>
        <v>1572</v>
      </c>
      <c r="Y472" s="53">
        <f t="shared" si="200"/>
        <v>9.6999999999999993</v>
      </c>
      <c r="Z472" s="52">
        <f>IF(L472="","",INDEX('Aub Demand'!H:H,MATCH($O472,'Aub Demand'!$A:$A,0)))</f>
        <v>693</v>
      </c>
      <c r="AA472" s="52" t="str">
        <f t="shared" si="201"/>
        <v>-spike-</v>
      </c>
      <c r="AB472" s="52">
        <f>IFERROR(INDEX('Aub Demand'!L:L,MATCH($O472,'Aub Demand'!$A:$A,0)),"")</f>
        <v>1544</v>
      </c>
      <c r="AC472" s="52">
        <f>IFERROR(IF(O472="","",SUMIFS('CPL Mats'!F:F,'CPL Mats'!Q:Q,AR472,'CPL Mats'!S:S,AS472)),"")</f>
        <v>0</v>
      </c>
      <c r="AF472" s="25" t="str">
        <f>IF(SUMIFS('Supp Consol'!S:S,'Supp Consol'!Y:Y,"Releasable",'Supp Consol'!A:A,O472)=0,"",SUMIFS('Supp Consol'!S:S,'Supp Consol'!Y:Y,"Releasable",'Supp Consol'!A:A,O472))</f>
        <v/>
      </c>
      <c r="AG472" s="25" t="str">
        <f>IFERROR(INDEX('Hun Demand'!Q:Q,MATCH(O472,'Hun Demand'!A:A,0)),"")</f>
        <v/>
      </c>
      <c r="AH472" s="25" t="str">
        <f>IFERROR(INDEX('Hun Demand'!H:H,MATCH($O472,'Hun Demand'!$A:$A,0)),"")</f>
        <v/>
      </c>
      <c r="AI472" s="25" t="str">
        <f>IF(SUMIFS('Supp Consol'!AA:AA,'Supp Consol'!Z:Z,"Expires this month",'Supp Consol'!A:A,O472)=0,"",SUMIFS('Supp Consol'!AA:AA,'Supp Consol'!Z:Z,"Expires this month",'Supp Consol'!A:A,O472))</f>
        <v/>
      </c>
      <c r="AJ472" s="25" t="str">
        <f>IF(SUMIFS('Supp Consol'!AA:AA,'Supp Consol'!Z:Z,"Expired Previous Months",'Supp Consol'!A:A,O472)=0,"",SUMIFS('Supp Consol'!AA:AA,'Supp Consol'!Z:Z,"Expired Previous Months",'Supp Consol'!A:A,O472))</f>
        <v/>
      </c>
      <c r="AK472" s="25" t="str">
        <f>IFERROR(INDEX('Hun Release Current'!B:B,MATCH(O472,'Hun Release Current'!A:A,0)),"")</f>
        <v/>
      </c>
      <c r="AL472" s="25" t="str">
        <f>IF(SUMIF('Prev Aub'!A:A,O472,'Prev Aub'!B:B)=0,"",SUMIF('Prev Aub'!A:A,O472,'Prev Aub'!B:B))</f>
        <v/>
      </c>
      <c r="AN472" s="25" t="s">
        <v>3790</v>
      </c>
      <c r="AO472" s="25" t="s">
        <v>3790</v>
      </c>
      <c r="AP472" s="25">
        <f t="shared" si="202"/>
        <v>0</v>
      </c>
      <c r="AQ472" s="151" t="str">
        <f>IF(SUMIFS('Supp Consol'!S:S,'Supp Consol'!A:A,O472,'Supp Consol'!I:I,"PENDING")=0,"",SUMIFS('Supp Consol'!S:S,'Supp Consol'!A:A,O472,'Supp Consol'!I:I,"PENDING"))</f>
        <v/>
      </c>
      <c r="AR472" s="27" t="str">
        <f t="shared" si="203"/>
        <v>FR115</v>
      </c>
      <c r="AS472" s="27" t="str">
        <f t="shared" si="204"/>
        <v>37</v>
      </c>
      <c r="AT472" s="27" t="str">
        <f t="shared" si="205"/>
        <v/>
      </c>
      <c r="AU472" s="27" t="str">
        <f t="shared" si="206"/>
        <v/>
      </c>
      <c r="AV472" s="27" t="str">
        <f t="shared" si="207"/>
        <v/>
      </c>
      <c r="AW472" s="27" t="str">
        <f t="shared" si="208"/>
        <v/>
      </c>
      <c r="AX472" s="27" t="str">
        <f t="shared" si="209"/>
        <v/>
      </c>
      <c r="AY472" s="27" t="str">
        <f t="shared" si="210"/>
        <v/>
      </c>
      <c r="AZ472" s="27" t="str">
        <f t="shared" si="211"/>
        <v>Supp</v>
      </c>
      <c r="BA472" s="27" t="str">
        <f t="shared" si="212"/>
        <v/>
      </c>
      <c r="BB472" s="27" t="str">
        <f t="shared" si="213"/>
        <v/>
      </c>
      <c r="BC472" s="27" t="str">
        <f t="shared" si="214"/>
        <v>Net</v>
      </c>
      <c r="BD472" s="27" t="str">
        <f t="shared" si="215"/>
        <v>Net</v>
      </c>
      <c r="BE472" s="27" t="str">
        <f t="shared" si="216"/>
        <v/>
      </c>
      <c r="BF472" s="27" t="str">
        <f t="shared" si="217"/>
        <v>S+N</v>
      </c>
      <c r="BG472" s="27" t="str">
        <f t="shared" si="218"/>
        <v>S+NorE</v>
      </c>
      <c r="BH472" s="27" t="str">
        <f t="shared" si="219"/>
        <v/>
      </c>
      <c r="BI472" s="27" t="str">
        <f t="shared" si="220"/>
        <v/>
      </c>
      <c r="BJ472" s="27" t="str">
        <f t="shared" si="221"/>
        <v>Supp or Hun</v>
      </c>
      <c r="BK472" s="27" t="str">
        <f t="shared" si="222"/>
        <v>Supp or Hun Need</v>
      </c>
      <c r="BL472" s="27" t="str">
        <f t="shared" si="223"/>
        <v>SorHandNandE</v>
      </c>
      <c r="BM472" s="21" t="s">
        <v>5581</v>
      </c>
    </row>
    <row r="473" spans="1:65" ht="15">
      <c r="A473" s="25" t="str">
        <f>IFERROR(INDEX('Hun Demand'!W:W,MATCH(O473,'Hun Demand'!A:A,0)),"")</f>
        <v/>
      </c>
      <c r="B473" s="25" t="str">
        <f>IFERROR(INDEX('Hun Demand'!V:V,MATCH(O473,'Hun Demand'!A:A,0)),"")</f>
        <v/>
      </c>
      <c r="C473" s="25" t="str">
        <f>IFERROR(INDEX('Hun Demand'!U:U,MATCH(O473,'Hun Demand'!A:A,0)),"")</f>
        <v/>
      </c>
      <c r="D473" s="25" t="str">
        <f>IFERROR(INDEX('Hun Demand'!T:T,MATCH(O473,'Hun Demand'!A:A,0)),"")</f>
        <v/>
      </c>
      <c r="E473" s="25" t="str">
        <f>IFERROR(INDEX('Hun Demand'!S:S,MATCH(O473,'Hun Demand'!A:A,0)),"")</f>
        <v/>
      </c>
      <c r="F473" s="25" t="str">
        <f>IFERROR(INDEX('Hun Demand'!R:R,MATCH(O473,'Hun Demand'!A:A,0)),"")</f>
        <v/>
      </c>
      <c r="G473" s="25">
        <f>IFERROR(INDEX('Aub Demand'!W:W,MATCH(O473,'Aub Demand'!A:A,0)),"")</f>
        <v>31061</v>
      </c>
      <c r="H473" s="25">
        <f>IFERROR(INDEX('Aub Demand'!V:V,MATCH(O473,'Aub Demand'!A:A,0)),"")</f>
        <v>29318</v>
      </c>
      <c r="I473" s="25">
        <f>IFERROR(INDEX('Aub Demand'!U:U,MATCH(O473,'Aub Demand'!A:A,0)),"")</f>
        <v>69235</v>
      </c>
      <c r="J473" s="25">
        <f>IFERROR(INDEX('Aub Demand'!T:T,MATCH(O473,'Aub Demand'!A:A,0)),"")</f>
        <v>28752</v>
      </c>
      <c r="K473" s="25">
        <f>IFERROR(INDEX('Aub Demand'!S:S,MATCH(O473,'Aub Demand'!A:A,0)),"")</f>
        <v>10898</v>
      </c>
      <c r="L473" s="25">
        <f>IFERROR(INDEX('Aub Demand'!R:R,MATCH(O473,'Aub Demand'!A:A,0)),"")</f>
        <v>0</v>
      </c>
      <c r="O473" s="27" t="s">
        <v>795</v>
      </c>
      <c r="P473" s="27" t="str">
        <f>IFERROR(INDEX('Aub Demand'!B:B,MATCH($O473,'Aub Demand'!$A:$A,0)),"")</f>
        <v>FIREPLI 125#</v>
      </c>
      <c r="Q473" s="27" t="str">
        <f>IFERROR(INDEX('Aub Demand'!C:C,MATCH($O473,'Aub Demand'!$A:$A,0)),"")</f>
        <v>TECHN</v>
      </c>
      <c r="R473" s="52">
        <f>IFERROR(IF(AR474=AR473,INDEX('Aub Demand'!K:K,MATCH($O473,'Aub Demand'!$A:$A,0))-IF(AN473="",0,AN473)+AP474,INDEX('Aub Demand'!K:K,MATCH($O473,'Aub Demand'!$A:$A,0))-IF(AN473="",0,AN473)),"")</f>
        <v>41423</v>
      </c>
      <c r="S473" s="53">
        <f t="shared" si="196"/>
        <v>4.9000000000000004</v>
      </c>
      <c r="T473" s="52" t="str">
        <f t="shared" si="197"/>
        <v/>
      </c>
      <c r="U473" s="52">
        <f>IFERROR(IF(AR474=AR473,INDEX('Aub Demand'!Q:Q,MATCH($O473,'Aub Demand'!$A:$A,0))-IF(AN473="",0,AN473)+AP474,INDEX('Aub Demand'!Q:Q,MATCH($O473,'Aub Demand'!$A:$A,0))-IF(AN473="",0,AN473)),"")</f>
        <v>7685</v>
      </c>
      <c r="V473" s="53">
        <f t="shared" si="198"/>
        <v>0.9</v>
      </c>
      <c r="W473" s="52">
        <f t="shared" si="199"/>
        <v>25721.587500000001</v>
      </c>
      <c r="X473" s="52">
        <f>IFERROR(IF(AND(AR474=AR473,AM473&lt;&gt;""),INDEX('Aub Demand'!Q:Q,MATCH($O473,'Aub Demand'!$A:$A,0))-IF(AN473="",0,AN473)+AP474+AD473+AL473,IF(AR474=AR473,INDEX('Aub Demand'!Q:Q,MATCH($O473,'Aub Demand'!$A:$A,0))-IF(AN473="",0,AN473)+AP474+AD473,IF(AM473&lt;&gt;"",INDEX('Aub Demand'!Q:Q,MATCH($O473,'Aub Demand'!$A:$A,0))-IF(AN473="",0,AN473)+AD473+AL473,INDEX('Aub Demand'!Q:Q,MATCH($O473,'Aub Demand'!$A:$A,0))-IF(AN473="",0,AN473)+AD473))),"")</f>
        <v>19685</v>
      </c>
      <c r="Y473" s="53">
        <f t="shared" si="200"/>
        <v>2.2999999999999998</v>
      </c>
      <c r="Z473" s="52">
        <f>IF(L473="","",INDEX('Aub Demand'!H:H,MATCH($O473,'Aub Demand'!$A:$A,0)))</f>
        <v>36295</v>
      </c>
      <c r="AA473" s="52">
        <f t="shared" si="201"/>
        <v>48993.5</v>
      </c>
      <c r="AB473" s="52">
        <f>IFERROR(INDEX('Aub Demand'!L:L,MATCH($O473,'Aub Demand'!$A:$A,0)),"")</f>
        <v>27074</v>
      </c>
      <c r="AC473" s="52">
        <f>IFERROR(IF(O473="","",SUMIFS('CPL Mats'!F:F,'CPL Mats'!Q:Q,AR473,'CPL Mats'!S:S,AS473)),"")</f>
        <v>0</v>
      </c>
      <c r="AD473" s="25">
        <v>12000</v>
      </c>
      <c r="AE473" s="52" t="s">
        <v>5583</v>
      </c>
      <c r="AF473" s="25">
        <f>IF(SUMIFS('Supp Consol'!S:S,'Supp Consol'!Y:Y,"Releasable",'Supp Consol'!A:A,O473)=0,"",SUMIFS('Supp Consol'!S:S,'Supp Consol'!Y:Y,"Releasable",'Supp Consol'!A:A,O473))</f>
        <v>65782</v>
      </c>
      <c r="AG473" s="25" t="str">
        <f>IFERROR(INDEX('Hun Demand'!Q:Q,MATCH(O473,'Hun Demand'!A:A,0)),"")</f>
        <v/>
      </c>
      <c r="AH473" s="25" t="str">
        <f>IFERROR(INDEX('Hun Demand'!H:H,MATCH($O473,'Hun Demand'!$A:$A,0)),"")</f>
        <v/>
      </c>
      <c r="AI473" s="25" t="str">
        <f>IF(SUMIFS('Supp Consol'!AA:AA,'Supp Consol'!Z:Z,"Expires this month",'Supp Consol'!A:A,O473)=0,"",SUMIFS('Supp Consol'!AA:AA,'Supp Consol'!Z:Z,"Expires this month",'Supp Consol'!A:A,O473))</f>
        <v/>
      </c>
      <c r="AJ473" s="25" t="str">
        <f>IF(SUMIFS('Supp Consol'!AA:AA,'Supp Consol'!Z:Z,"Expired Previous Months",'Supp Consol'!A:A,O473)=0,"",SUMIFS('Supp Consol'!AA:AA,'Supp Consol'!Z:Z,"Expired Previous Months",'Supp Consol'!A:A,O473))</f>
        <v/>
      </c>
      <c r="AK473" s="25" t="str">
        <f>IFERROR(INDEX('Hun Release Current'!B:B,MATCH(O473,'Hun Release Current'!A:A,0)),"")</f>
        <v/>
      </c>
      <c r="AL473" s="25" t="str">
        <f>IF(SUMIF('Prev Aub'!A:A,O473,'Prev Aub'!B:B)=0,"",SUMIF('Prev Aub'!A:A,O473,'Prev Aub'!B:B))</f>
        <v/>
      </c>
      <c r="AN473" s="25" t="s">
        <v>3790</v>
      </c>
      <c r="AO473" s="25" t="s">
        <v>3790</v>
      </c>
      <c r="AP473" s="25">
        <f t="shared" si="202"/>
        <v>0</v>
      </c>
      <c r="AQ473" s="151" t="str">
        <f>IF(SUMIFS('Supp Consol'!S:S,'Supp Consol'!A:A,O473,'Supp Consol'!I:I,"PENDING")=0,"",SUMIFS('Supp Consol'!S:S,'Supp Consol'!A:A,O473,'Supp Consol'!I:I,"PENDING"))</f>
        <v/>
      </c>
      <c r="AR473" s="27" t="str">
        <f t="shared" si="203"/>
        <v>FR115</v>
      </c>
      <c r="AS473" s="27" t="str">
        <f t="shared" si="204"/>
        <v>50</v>
      </c>
      <c r="AT473" s="27" t="str">
        <f t="shared" si="205"/>
        <v/>
      </c>
      <c r="AU473" s="27" t="str">
        <f t="shared" si="206"/>
        <v>FR115</v>
      </c>
      <c r="AV473" s="27" t="str">
        <f t="shared" si="207"/>
        <v>FR115</v>
      </c>
      <c r="AW473" s="27" t="str">
        <f t="shared" si="208"/>
        <v/>
      </c>
      <c r="AX473" s="27" t="str">
        <f t="shared" si="209"/>
        <v>FR115</v>
      </c>
      <c r="AY473" s="27" t="str">
        <f t="shared" si="210"/>
        <v/>
      </c>
      <c r="AZ473" s="27" t="str">
        <f t="shared" si="211"/>
        <v>Supp</v>
      </c>
      <c r="BA473" s="27" t="str">
        <f t="shared" si="212"/>
        <v/>
      </c>
      <c r="BB473" s="27" t="str">
        <f t="shared" si="213"/>
        <v/>
      </c>
      <c r="BC473" s="27" t="str">
        <f t="shared" si="214"/>
        <v>Net</v>
      </c>
      <c r="BD473" s="27" t="str">
        <f t="shared" si="215"/>
        <v>Net</v>
      </c>
      <c r="BE473" s="27" t="str">
        <f t="shared" si="216"/>
        <v/>
      </c>
      <c r="BF473" s="27" t="str">
        <f t="shared" si="217"/>
        <v>S+N</v>
      </c>
      <c r="BG473" s="27" t="str">
        <f t="shared" si="218"/>
        <v>S+NorE</v>
      </c>
      <c r="BH473" s="27" t="str">
        <f t="shared" si="219"/>
        <v/>
      </c>
      <c r="BI473" s="27" t="str">
        <f t="shared" si="220"/>
        <v/>
      </c>
      <c r="BJ473" s="27" t="str">
        <f t="shared" si="221"/>
        <v>Supp or Hun</v>
      </c>
      <c r="BK473" s="27" t="str">
        <f t="shared" si="222"/>
        <v>Supp or Hun Need</v>
      </c>
      <c r="BL473" s="27" t="str">
        <f t="shared" si="223"/>
        <v>SorHandNandE</v>
      </c>
      <c r="BM473" s="21" t="s">
        <v>5581</v>
      </c>
    </row>
    <row r="474" spans="1:65" ht="15">
      <c r="A474" s="25" t="str">
        <f>IFERROR(INDEX('Hun Demand'!W:W,MATCH(O474,'Hun Demand'!A:A,0)),"")</f>
        <v/>
      </c>
      <c r="B474" s="25" t="str">
        <f>IFERROR(INDEX('Hun Demand'!V:V,MATCH(O474,'Hun Demand'!A:A,0)),"")</f>
        <v/>
      </c>
      <c r="C474" s="25" t="str">
        <f>IFERROR(INDEX('Hun Demand'!U:U,MATCH(O474,'Hun Demand'!A:A,0)),"")</f>
        <v/>
      </c>
      <c r="D474" s="25" t="str">
        <f>IFERROR(INDEX('Hun Demand'!T:T,MATCH(O474,'Hun Demand'!A:A,0)),"")</f>
        <v/>
      </c>
      <c r="E474" s="25" t="str">
        <f>IFERROR(INDEX('Hun Demand'!S:S,MATCH(O474,'Hun Demand'!A:A,0)),"")</f>
        <v/>
      </c>
      <c r="F474" s="25" t="str">
        <f>IFERROR(INDEX('Hun Demand'!R:R,MATCH(O474,'Hun Demand'!A:A,0)),"")</f>
        <v/>
      </c>
      <c r="G474" s="25">
        <f>IFERROR(INDEX('Aub Demand'!W:W,MATCH(O474,'Aub Demand'!A:A,0)),"")</f>
        <v>3362</v>
      </c>
      <c r="H474" s="25">
        <f>IFERROR(INDEX('Aub Demand'!V:V,MATCH(O474,'Aub Demand'!A:A,0)),"")</f>
        <v>15090</v>
      </c>
      <c r="I474" s="25">
        <f>IFERROR(INDEX('Aub Demand'!U:U,MATCH(O474,'Aub Demand'!A:A,0)),"")</f>
        <v>11291</v>
      </c>
      <c r="J474" s="25">
        <f>IFERROR(INDEX('Aub Demand'!T:T,MATCH(O474,'Aub Demand'!A:A,0)),"")</f>
        <v>6927</v>
      </c>
      <c r="K474" s="25">
        <f>IFERROR(INDEX('Aub Demand'!S:S,MATCH(O474,'Aub Demand'!A:A,0)),"")</f>
        <v>3419</v>
      </c>
      <c r="L474" s="25">
        <f>IFERROR(INDEX('Aub Demand'!R:R,MATCH(O474,'Aub Demand'!A:A,0)),"")</f>
        <v>0</v>
      </c>
      <c r="O474" s="27" t="s">
        <v>796</v>
      </c>
      <c r="P474" s="27" t="str">
        <f>IFERROR(INDEX('Aub Demand'!B:B,MATCH($O474,'Aub Demand'!$A:$A,0)),"")</f>
        <v>FIREPLI 125#</v>
      </c>
      <c r="Q474" s="27" t="str">
        <f>IFERROR(INDEX('Aub Demand'!C:C,MATCH($O474,'Aub Demand'!$A:$A,0)),"")</f>
        <v>TECHN</v>
      </c>
      <c r="R474" s="52">
        <f>IFERROR(IF(AR475=AR474,INDEX('Aub Demand'!K:K,MATCH($O474,'Aub Demand'!$A:$A,0))-IF(AN474="",0,AN474)+AP475,INDEX('Aub Demand'!K:K,MATCH($O474,'Aub Demand'!$A:$A,0))-IF(AN474="",0,AN474)),"")</f>
        <v>11883</v>
      </c>
      <c r="S474" s="53">
        <f t="shared" si="196"/>
        <v>7.1</v>
      </c>
      <c r="T474" s="52" t="str">
        <f t="shared" si="197"/>
        <v/>
      </c>
      <c r="U474" s="52">
        <f>IFERROR(IF(AR475=AR474,INDEX('Aub Demand'!Q:Q,MATCH($O474,'Aub Demand'!$A:$A,0))-IF(AN474="",0,AN474)+AP475,INDEX('Aub Demand'!Q:Q,MATCH($O474,'Aub Demand'!$A:$A,0))-IF(AN474="",0,AN474)),"")</f>
        <v>4502</v>
      </c>
      <c r="V474" s="53">
        <f t="shared" si="198"/>
        <v>2.7</v>
      </c>
      <c r="W474" s="52">
        <f t="shared" si="199"/>
        <v>683.17499999999961</v>
      </c>
      <c r="X474" s="52">
        <f>IFERROR(IF(AND(AR475=AR474,AM474&lt;&gt;""),INDEX('Aub Demand'!Q:Q,MATCH($O474,'Aub Demand'!$A:$A,0))-IF(AN474="",0,AN474)+AP475+AD474+AL474,IF(AR475=AR474,INDEX('Aub Demand'!Q:Q,MATCH($O474,'Aub Demand'!$A:$A,0))-IF(AN474="",0,AN474)+AP475+AD474,IF(AM474&lt;&gt;"",INDEX('Aub Demand'!Q:Q,MATCH($O474,'Aub Demand'!$A:$A,0))-IF(AN474="",0,AN474)+AD474+AL474,INDEX('Aub Demand'!Q:Q,MATCH($O474,'Aub Demand'!$A:$A,0))-IF(AN474="",0,AN474)+AD474))),"")</f>
        <v>5502</v>
      </c>
      <c r="Y474" s="53">
        <f t="shared" si="200"/>
        <v>3.3</v>
      </c>
      <c r="Z474" s="52">
        <f>IF(L474="","",INDEX('Aub Demand'!H:H,MATCH($O474,'Aub Demand'!$A:$A,0)))</f>
        <v>7212</v>
      </c>
      <c r="AA474" s="52">
        <f t="shared" si="201"/>
        <v>9109</v>
      </c>
      <c r="AB474" s="52">
        <f>IFERROR(INDEX('Aub Demand'!L:L,MATCH($O474,'Aub Demand'!$A:$A,0)),"")</f>
        <v>6309</v>
      </c>
      <c r="AC474" s="52">
        <f>IFERROR(IF(O474="","",SUMIFS('CPL Mats'!F:F,'CPL Mats'!Q:Q,AR474,'CPL Mats'!S:S,AS474)),"")</f>
        <v>0</v>
      </c>
      <c r="AD474" s="25">
        <v>1000</v>
      </c>
      <c r="AE474" s="52" t="s">
        <v>5583</v>
      </c>
      <c r="AF474" s="25">
        <f>IF(SUMIFS('Supp Consol'!S:S,'Supp Consol'!Y:Y,"Releasable",'Supp Consol'!A:A,O474)=0,"",SUMIFS('Supp Consol'!S:S,'Supp Consol'!Y:Y,"Releasable",'Supp Consol'!A:A,O474))</f>
        <v>17304</v>
      </c>
      <c r="AG474" s="25" t="str">
        <f>IFERROR(INDEX('Hun Demand'!Q:Q,MATCH(O474,'Hun Demand'!A:A,0)),"")</f>
        <v/>
      </c>
      <c r="AH474" s="25" t="str">
        <f>IFERROR(INDEX('Hun Demand'!H:H,MATCH($O474,'Hun Demand'!$A:$A,0)),"")</f>
        <v/>
      </c>
      <c r="AI474" s="25" t="str">
        <f>IF(SUMIFS('Supp Consol'!AA:AA,'Supp Consol'!Z:Z,"Expires this month",'Supp Consol'!A:A,O474)=0,"",SUMIFS('Supp Consol'!AA:AA,'Supp Consol'!Z:Z,"Expires this month",'Supp Consol'!A:A,O474))</f>
        <v/>
      </c>
      <c r="AJ474" s="25" t="str">
        <f>IF(SUMIFS('Supp Consol'!AA:AA,'Supp Consol'!Z:Z,"Expired Previous Months",'Supp Consol'!A:A,O474)=0,"",SUMIFS('Supp Consol'!AA:AA,'Supp Consol'!Z:Z,"Expired Previous Months",'Supp Consol'!A:A,O474))</f>
        <v/>
      </c>
      <c r="AK474" s="25" t="str">
        <f>IFERROR(INDEX('Hun Release Current'!B:B,MATCH(O474,'Hun Release Current'!A:A,0)),"")</f>
        <v/>
      </c>
      <c r="AL474" s="25" t="str">
        <f>IF(SUMIF('Prev Aub'!A:A,O474,'Prev Aub'!B:B)=0,"",SUMIF('Prev Aub'!A:A,O474,'Prev Aub'!B:B))</f>
        <v/>
      </c>
      <c r="AN474" s="25" t="s">
        <v>3790</v>
      </c>
      <c r="AO474" s="25" t="s">
        <v>3790</v>
      </c>
      <c r="AP474" s="25">
        <f t="shared" si="202"/>
        <v>0</v>
      </c>
      <c r="AQ474" s="151" t="str">
        <f>IF(SUMIFS('Supp Consol'!S:S,'Supp Consol'!A:A,O474,'Supp Consol'!I:I,"PENDING")=0,"",SUMIFS('Supp Consol'!S:S,'Supp Consol'!A:A,O474,'Supp Consol'!I:I,"PENDING"))</f>
        <v/>
      </c>
      <c r="AR474" s="27" t="str">
        <f t="shared" si="203"/>
        <v>FR115</v>
      </c>
      <c r="AS474" s="27" t="str">
        <f t="shared" si="204"/>
        <v>62</v>
      </c>
      <c r="AT474" s="27" t="str">
        <f t="shared" si="205"/>
        <v/>
      </c>
      <c r="AU474" s="27" t="str">
        <f t="shared" si="206"/>
        <v/>
      </c>
      <c r="AV474" s="27" t="str">
        <f t="shared" si="207"/>
        <v/>
      </c>
      <c r="AW474" s="27" t="str">
        <f t="shared" si="208"/>
        <v/>
      </c>
      <c r="AX474" s="27" t="str">
        <f t="shared" si="209"/>
        <v>FR115</v>
      </c>
      <c r="AY474" s="27" t="str">
        <f t="shared" si="210"/>
        <v/>
      </c>
      <c r="AZ474" s="27" t="str">
        <f t="shared" si="211"/>
        <v>Supp</v>
      </c>
      <c r="BA474" s="27" t="str">
        <f t="shared" si="212"/>
        <v/>
      </c>
      <c r="BB474" s="27" t="str">
        <f t="shared" si="213"/>
        <v/>
      </c>
      <c r="BC474" s="27" t="str">
        <f t="shared" si="214"/>
        <v>Net</v>
      </c>
      <c r="BD474" s="27" t="str">
        <f t="shared" si="215"/>
        <v>Net</v>
      </c>
      <c r="BE474" s="27" t="str">
        <f t="shared" si="216"/>
        <v/>
      </c>
      <c r="BF474" s="27" t="str">
        <f t="shared" si="217"/>
        <v>S+N</v>
      </c>
      <c r="BG474" s="27" t="str">
        <f t="shared" si="218"/>
        <v>S+NorE</v>
      </c>
      <c r="BH474" s="27" t="str">
        <f t="shared" si="219"/>
        <v/>
      </c>
      <c r="BI474" s="27" t="str">
        <f t="shared" si="220"/>
        <v/>
      </c>
      <c r="BJ474" s="27" t="str">
        <f t="shared" si="221"/>
        <v>Supp or Hun</v>
      </c>
      <c r="BK474" s="27" t="str">
        <f t="shared" si="222"/>
        <v>Supp or Hun Need</v>
      </c>
      <c r="BL474" s="27" t="str">
        <f t="shared" si="223"/>
        <v>SorHandNandE</v>
      </c>
      <c r="BM474" s="21" t="s">
        <v>5581</v>
      </c>
    </row>
    <row r="475" spans="1:65" ht="15">
      <c r="A475" s="25" t="str">
        <f>IFERROR(INDEX('Hun Demand'!W:W,MATCH(O475,'Hun Demand'!A:A,0)),"")</f>
        <v/>
      </c>
      <c r="B475" s="25" t="str">
        <f>IFERROR(INDEX('Hun Demand'!V:V,MATCH(O475,'Hun Demand'!A:A,0)),"")</f>
        <v/>
      </c>
      <c r="C475" s="25" t="str">
        <f>IFERROR(INDEX('Hun Demand'!U:U,MATCH(O475,'Hun Demand'!A:A,0)),"")</f>
        <v/>
      </c>
      <c r="D475" s="25" t="str">
        <f>IFERROR(INDEX('Hun Demand'!T:T,MATCH(O475,'Hun Demand'!A:A,0)),"")</f>
        <v/>
      </c>
      <c r="E475" s="25" t="str">
        <f>IFERROR(INDEX('Hun Demand'!S:S,MATCH(O475,'Hun Demand'!A:A,0)),"")</f>
        <v/>
      </c>
      <c r="F475" s="25" t="str">
        <f>IFERROR(INDEX('Hun Demand'!R:R,MATCH(O475,'Hun Demand'!A:A,0)),"")</f>
        <v/>
      </c>
      <c r="G475" s="25">
        <f>IFERROR(INDEX('Aub Demand'!W:W,MATCH(O475,'Aub Demand'!A:A,0)),"")</f>
        <v>54</v>
      </c>
      <c r="H475" s="25">
        <f>IFERROR(INDEX('Aub Demand'!V:V,MATCH(O475,'Aub Demand'!A:A,0)),"")</f>
        <v>0</v>
      </c>
      <c r="I475" s="25">
        <f>IFERROR(INDEX('Aub Demand'!U:U,MATCH(O475,'Aub Demand'!A:A,0)),"")</f>
        <v>0</v>
      </c>
      <c r="J475" s="25">
        <f>IFERROR(INDEX('Aub Demand'!T:T,MATCH(O475,'Aub Demand'!A:A,0)),"")</f>
        <v>0</v>
      </c>
      <c r="K475" s="25">
        <f>IFERROR(INDEX('Aub Demand'!S:S,MATCH(O475,'Aub Demand'!A:A,0)),"")</f>
        <v>59</v>
      </c>
      <c r="L475" s="25">
        <f>IFERROR(INDEX('Aub Demand'!R:R,MATCH(O475,'Aub Demand'!A:A,0)),"")</f>
        <v>0</v>
      </c>
      <c r="O475" s="27" t="s">
        <v>2164</v>
      </c>
      <c r="P475" s="27" t="str">
        <f>IFERROR(INDEX('Aub Demand'!B:B,MATCH($O475,'Aub Demand'!$A:$A,0)),"")</f>
        <v>CANYON FISSURE 50"</v>
      </c>
      <c r="Q475" s="27" t="str">
        <f>IFERROR(INDEX('Aub Demand'!C:C,MATCH($O475,'Aub Demand'!$A:$A,0)),"")</f>
        <v>DNP A</v>
      </c>
      <c r="R475" s="52">
        <f>IFERROR(IF(AR476=AR475,INDEX('Aub Demand'!K:K,MATCH($O475,'Aub Demand'!$A:$A,0))-IF(AN475="",0,AN475)+AP476,INDEX('Aub Demand'!K:K,MATCH($O475,'Aub Demand'!$A:$A,0))-IF(AN475="",0,AN475)),"")</f>
        <v>36</v>
      </c>
      <c r="S475" s="53">
        <f t="shared" si="196"/>
        <v>7.7</v>
      </c>
      <c r="T475" s="52" t="str">
        <f t="shared" si="197"/>
        <v/>
      </c>
      <c r="U475" s="52">
        <f>IFERROR(IF(AR476=AR475,INDEX('Aub Demand'!Q:Q,MATCH($O475,'Aub Demand'!$A:$A,0))-IF(AN475="",0,AN475)+AP476,INDEX('Aub Demand'!Q:Q,MATCH($O475,'Aub Demand'!$A:$A,0))-IF(AN475="",0,AN475)),"")</f>
        <v>36</v>
      </c>
      <c r="V475" s="53">
        <f t="shared" si="198"/>
        <v>7.7</v>
      </c>
      <c r="W475" s="52" t="str">
        <f t="shared" si="199"/>
        <v/>
      </c>
      <c r="X475" s="52">
        <f>IFERROR(IF(AND(AR476=AR475,AM475&lt;&gt;""),INDEX('Aub Demand'!Q:Q,MATCH($O475,'Aub Demand'!$A:$A,0))-IF(AN475="",0,AN475)+AP476+AD475+AL475,IF(AR476=AR475,INDEX('Aub Demand'!Q:Q,MATCH($O475,'Aub Demand'!$A:$A,0))-IF(AN475="",0,AN475)+AP476+AD475,IF(AM475&lt;&gt;"",INDEX('Aub Demand'!Q:Q,MATCH($O475,'Aub Demand'!$A:$A,0))-IF(AN475="",0,AN475)+AD475+AL475,INDEX('Aub Demand'!Q:Q,MATCH($O475,'Aub Demand'!$A:$A,0))-IF(AN475="",0,AN475)+AD475))),"")</f>
        <v>36</v>
      </c>
      <c r="Y475" s="53">
        <f t="shared" si="200"/>
        <v>7.7</v>
      </c>
      <c r="Z475" s="52">
        <f>IF(L475="","",INDEX('Aub Demand'!H:H,MATCH($O475,'Aub Demand'!$A:$A,0)))</f>
        <v>20</v>
      </c>
      <c r="AA475" s="52" t="str">
        <f t="shared" si="201"/>
        <v>-spike-</v>
      </c>
      <c r="AB475" s="52">
        <f>IFERROR(INDEX('Aub Demand'!L:L,MATCH($O475,'Aub Demand'!$A:$A,0)),"")</f>
        <v>2</v>
      </c>
      <c r="AC475" s="52">
        <f>IFERROR(IF(O475="","",SUMIFS('CPL Mats'!F:F,'CPL Mats'!Q:Q,AR475,'CPL Mats'!S:S,AS475)),"")</f>
        <v>0</v>
      </c>
      <c r="AF475" s="25" t="str">
        <f>IF(SUMIFS('Supp Consol'!S:S,'Supp Consol'!Y:Y,"Releasable",'Supp Consol'!A:A,O475)=0,"",SUMIFS('Supp Consol'!S:S,'Supp Consol'!Y:Y,"Releasable",'Supp Consol'!A:A,O475))</f>
        <v/>
      </c>
      <c r="AG475" s="25" t="str">
        <f>IFERROR(INDEX('Hun Demand'!Q:Q,MATCH(O475,'Hun Demand'!A:A,0)),"")</f>
        <v/>
      </c>
      <c r="AH475" s="25" t="str">
        <f>IFERROR(INDEX('Hun Demand'!H:H,MATCH($O475,'Hun Demand'!$A:$A,0)),"")</f>
        <v/>
      </c>
      <c r="AI475" s="25" t="str">
        <f>IF(SUMIFS('Supp Consol'!AA:AA,'Supp Consol'!Z:Z,"Expires this month",'Supp Consol'!A:A,O475)=0,"",SUMIFS('Supp Consol'!AA:AA,'Supp Consol'!Z:Z,"Expires this month",'Supp Consol'!A:A,O475))</f>
        <v/>
      </c>
      <c r="AJ475" s="25" t="str">
        <f>IF(SUMIFS('Supp Consol'!AA:AA,'Supp Consol'!Z:Z,"Expired Previous Months",'Supp Consol'!A:A,O475)=0,"",SUMIFS('Supp Consol'!AA:AA,'Supp Consol'!Z:Z,"Expired Previous Months",'Supp Consol'!A:A,O475))</f>
        <v/>
      </c>
      <c r="AK475" s="25" t="str">
        <f>IFERROR(INDEX('Hun Release Current'!B:B,MATCH(O475,'Hun Release Current'!A:A,0)),"")</f>
        <v/>
      </c>
      <c r="AL475" s="25" t="str">
        <f>IF(SUMIF('Prev Aub'!A:A,O475,'Prev Aub'!B:B)=0,"",SUMIF('Prev Aub'!A:A,O475,'Prev Aub'!B:B))</f>
        <v/>
      </c>
      <c r="AN475" s="25" t="s">
        <v>3790</v>
      </c>
      <c r="AO475" s="25" t="s">
        <v>3790</v>
      </c>
      <c r="AP475" s="25">
        <f t="shared" si="202"/>
        <v>0</v>
      </c>
      <c r="AQ475" s="151" t="str">
        <f>IF(SUMIFS('Supp Consol'!S:S,'Supp Consol'!A:A,O475,'Supp Consol'!I:I,"PENDING")=0,"",SUMIFS('Supp Consol'!S:S,'Supp Consol'!A:A,O475,'Supp Consol'!I:I,"PENDING"))</f>
        <v/>
      </c>
      <c r="AR475" s="27" t="str">
        <f t="shared" si="203"/>
        <v>FS201</v>
      </c>
      <c r="AS475" s="27" t="str">
        <f t="shared" si="204"/>
        <v>50</v>
      </c>
      <c r="AT475" s="27" t="str">
        <f t="shared" si="205"/>
        <v/>
      </c>
      <c r="AU475" s="27" t="str">
        <f t="shared" si="206"/>
        <v/>
      </c>
      <c r="AV475" s="27" t="str">
        <f t="shared" si="207"/>
        <v/>
      </c>
      <c r="AW475" s="27" t="str">
        <f t="shared" si="208"/>
        <v/>
      </c>
      <c r="AX475" s="27" t="str">
        <f t="shared" si="209"/>
        <v/>
      </c>
      <c r="AY475" s="27" t="str">
        <f t="shared" si="210"/>
        <v/>
      </c>
      <c r="AZ475" s="27" t="str">
        <f t="shared" si="211"/>
        <v/>
      </c>
      <c r="BA475" s="27" t="str">
        <f t="shared" si="212"/>
        <v/>
      </c>
      <c r="BB475" s="27" t="str">
        <f t="shared" si="213"/>
        <v/>
      </c>
      <c r="BC475" s="27" t="str">
        <f t="shared" si="214"/>
        <v/>
      </c>
      <c r="BD475" s="27" t="str">
        <f t="shared" si="215"/>
        <v/>
      </c>
      <c r="BE475" s="27" t="str">
        <f t="shared" si="216"/>
        <v/>
      </c>
      <c r="BF475" s="27" t="str">
        <f t="shared" si="217"/>
        <v/>
      </c>
      <c r="BG475" s="27" t="str">
        <f t="shared" si="218"/>
        <v/>
      </c>
      <c r="BH475" s="27" t="str">
        <f t="shared" si="219"/>
        <v/>
      </c>
      <c r="BI475" s="27" t="str">
        <f t="shared" si="220"/>
        <v/>
      </c>
      <c r="BJ475" s="27" t="str">
        <f t="shared" si="221"/>
        <v/>
      </c>
      <c r="BK475" s="27" t="str">
        <f t="shared" si="222"/>
        <v/>
      </c>
      <c r="BL475" s="27" t="str">
        <f t="shared" si="223"/>
        <v/>
      </c>
      <c r="BM475" s="21" t="s">
        <v>5581</v>
      </c>
    </row>
    <row r="476" spans="1:65" ht="15">
      <c r="A476" s="25" t="str">
        <f>IFERROR(INDEX('Hun Demand'!W:W,MATCH(O476,'Hun Demand'!A:A,0)),"")</f>
        <v/>
      </c>
      <c r="B476" s="25" t="str">
        <f>IFERROR(INDEX('Hun Demand'!V:V,MATCH(O476,'Hun Demand'!A:A,0)),"")</f>
        <v/>
      </c>
      <c r="C476" s="25" t="str">
        <f>IFERROR(INDEX('Hun Demand'!U:U,MATCH(O476,'Hun Demand'!A:A,0)),"")</f>
        <v/>
      </c>
      <c r="D476" s="25" t="str">
        <f>IFERROR(INDEX('Hun Demand'!T:T,MATCH(O476,'Hun Demand'!A:A,0)),"")</f>
        <v/>
      </c>
      <c r="E476" s="25" t="str">
        <f>IFERROR(INDEX('Hun Demand'!S:S,MATCH(O476,'Hun Demand'!A:A,0)),"")</f>
        <v/>
      </c>
      <c r="F476" s="25" t="str">
        <f>IFERROR(INDEX('Hun Demand'!R:R,MATCH(O476,'Hun Demand'!A:A,0)),"")</f>
        <v/>
      </c>
      <c r="G476" s="25">
        <f>IFERROR(INDEX('Aub Demand'!W:W,MATCH(O476,'Aub Demand'!A:A,0)),"")</f>
        <v>0</v>
      </c>
      <c r="H476" s="25">
        <f>IFERROR(INDEX('Aub Demand'!V:V,MATCH(O476,'Aub Demand'!A:A,0)),"")</f>
        <v>0</v>
      </c>
      <c r="I476" s="25">
        <f>IFERROR(INDEX('Aub Demand'!U:U,MATCH(O476,'Aub Demand'!A:A,0)),"")</f>
        <v>17</v>
      </c>
      <c r="J476" s="25">
        <f>IFERROR(INDEX('Aub Demand'!T:T,MATCH(O476,'Aub Demand'!A:A,0)),"")</f>
        <v>0</v>
      </c>
      <c r="K476" s="25">
        <f>IFERROR(INDEX('Aub Demand'!S:S,MATCH(O476,'Aub Demand'!A:A,0)),"")</f>
        <v>0</v>
      </c>
      <c r="L476" s="25">
        <f>IFERROR(INDEX('Aub Demand'!R:R,MATCH(O476,'Aub Demand'!A:A,0)),"")</f>
        <v>0</v>
      </c>
      <c r="O476" s="27" t="s">
        <v>2167</v>
      </c>
      <c r="P476" s="27" t="str">
        <f>IFERROR(INDEX('Aub Demand'!B:B,MATCH($O476,'Aub Demand'!$A:$A,0)),"")</f>
        <v>CANYON FISSURE 60"</v>
      </c>
      <c r="Q476" s="27" t="str">
        <f>IFERROR(INDEX('Aub Demand'!C:C,MATCH($O476,'Aub Demand'!$A:$A,0)),"")</f>
        <v>DNP A</v>
      </c>
      <c r="R476" s="52">
        <f>IFERROR(IF(AR477=AR476,INDEX('Aub Demand'!K:K,MATCH($O476,'Aub Demand'!$A:$A,0))-IF(AN476="",0,AN476)+AP477,INDEX('Aub Demand'!K:K,MATCH($O476,'Aub Demand'!$A:$A,0))-IF(AN476="",0,AN476)),"")</f>
        <v>2049</v>
      </c>
      <c r="S476" s="53">
        <f t="shared" si="196"/>
        <v>1463.6</v>
      </c>
      <c r="T476" s="52" t="str">
        <f t="shared" si="197"/>
        <v/>
      </c>
      <c r="U476" s="52">
        <f>IFERROR(IF(AR477=AR476,INDEX('Aub Demand'!Q:Q,MATCH($O476,'Aub Demand'!$A:$A,0))-IF(AN476="",0,AN476)+AP477,INDEX('Aub Demand'!Q:Q,MATCH($O476,'Aub Demand'!$A:$A,0))-IF(AN476="",0,AN476)),"")</f>
        <v>2049</v>
      </c>
      <c r="V476" s="53">
        <f t="shared" si="198"/>
        <v>1463.6</v>
      </c>
      <c r="W476" s="52" t="str">
        <f t="shared" si="199"/>
        <v/>
      </c>
      <c r="X476" s="52">
        <f>IFERROR(IF(AND(AR477=AR476,AM476&lt;&gt;""),INDEX('Aub Demand'!Q:Q,MATCH($O476,'Aub Demand'!$A:$A,0))-IF(AN476="",0,AN476)+AP477+AD476+AL476,IF(AR477=AR476,INDEX('Aub Demand'!Q:Q,MATCH($O476,'Aub Demand'!$A:$A,0))-IF(AN476="",0,AN476)+AP477+AD476,IF(AM476&lt;&gt;"",INDEX('Aub Demand'!Q:Q,MATCH($O476,'Aub Demand'!$A:$A,0))-IF(AN476="",0,AN476)+AD476+AL476,INDEX('Aub Demand'!Q:Q,MATCH($O476,'Aub Demand'!$A:$A,0))-IF(AN476="",0,AN476)+AD476))),"")</f>
        <v>2049</v>
      </c>
      <c r="Y476" s="53">
        <f t="shared" si="200"/>
        <v>1463.6</v>
      </c>
      <c r="Z476" s="52">
        <f>IF(L476="","",INDEX('Aub Demand'!H:H,MATCH($O476,'Aub Demand'!$A:$A,0)))</f>
        <v>6</v>
      </c>
      <c r="AA476" s="52" t="str">
        <f t="shared" si="201"/>
        <v>-spike-</v>
      </c>
      <c r="AB476" s="52">
        <f>IFERROR(INDEX('Aub Demand'!L:L,MATCH($O476,'Aub Demand'!$A:$A,0)),"")</f>
        <v>0</v>
      </c>
      <c r="AC476" s="52">
        <f>IFERROR(IF(O476="","",SUMIFS('CPL Mats'!F:F,'CPL Mats'!Q:Q,AR476,'CPL Mats'!S:S,AS476)),"")</f>
        <v>0</v>
      </c>
      <c r="AF476" s="25" t="str">
        <f>IF(SUMIFS('Supp Consol'!S:S,'Supp Consol'!Y:Y,"Releasable",'Supp Consol'!A:A,O476)=0,"",SUMIFS('Supp Consol'!S:S,'Supp Consol'!Y:Y,"Releasable",'Supp Consol'!A:A,O476))</f>
        <v/>
      </c>
      <c r="AG476" s="25" t="str">
        <f>IFERROR(INDEX('Hun Demand'!Q:Q,MATCH(O476,'Hun Demand'!A:A,0)),"")</f>
        <v/>
      </c>
      <c r="AH476" s="25" t="str">
        <f>IFERROR(INDEX('Hun Demand'!H:H,MATCH($O476,'Hun Demand'!$A:$A,0)),"")</f>
        <v/>
      </c>
      <c r="AI476" s="25" t="str">
        <f>IF(SUMIFS('Supp Consol'!AA:AA,'Supp Consol'!Z:Z,"Expires this month",'Supp Consol'!A:A,O476)=0,"",SUMIFS('Supp Consol'!AA:AA,'Supp Consol'!Z:Z,"Expires this month",'Supp Consol'!A:A,O476))</f>
        <v/>
      </c>
      <c r="AJ476" s="25" t="str">
        <f>IF(SUMIFS('Supp Consol'!AA:AA,'Supp Consol'!Z:Z,"Expired Previous Months",'Supp Consol'!A:A,O476)=0,"",SUMIFS('Supp Consol'!AA:AA,'Supp Consol'!Z:Z,"Expired Previous Months",'Supp Consol'!A:A,O476))</f>
        <v/>
      </c>
      <c r="AK476" s="25" t="str">
        <f>IFERROR(INDEX('Hun Release Current'!B:B,MATCH(O476,'Hun Release Current'!A:A,0)),"")</f>
        <v/>
      </c>
      <c r="AL476" s="25" t="str">
        <f>IF(SUMIF('Prev Aub'!A:A,O476,'Prev Aub'!B:B)=0,"",SUMIF('Prev Aub'!A:A,O476,'Prev Aub'!B:B))</f>
        <v/>
      </c>
      <c r="AN476" s="25" t="s">
        <v>3790</v>
      </c>
      <c r="AO476" s="25" t="s">
        <v>3790</v>
      </c>
      <c r="AP476" s="25">
        <f t="shared" si="202"/>
        <v>0</v>
      </c>
      <c r="AQ476" s="151" t="str">
        <f>IF(SUMIFS('Supp Consol'!S:S,'Supp Consol'!A:A,O476,'Supp Consol'!I:I,"PENDING")=0,"",SUMIFS('Supp Consol'!S:S,'Supp Consol'!A:A,O476,'Supp Consol'!I:I,"PENDING"))</f>
        <v/>
      </c>
      <c r="AR476" s="27" t="str">
        <f t="shared" si="203"/>
        <v>FS201</v>
      </c>
      <c r="AS476" s="27" t="str">
        <f t="shared" si="204"/>
        <v>62</v>
      </c>
      <c r="AT476" s="27" t="str">
        <f t="shared" si="205"/>
        <v/>
      </c>
      <c r="AU476" s="27" t="str">
        <f t="shared" si="206"/>
        <v/>
      </c>
      <c r="AV476" s="27" t="str">
        <f t="shared" si="207"/>
        <v/>
      </c>
      <c r="AW476" s="27" t="str">
        <f t="shared" si="208"/>
        <v/>
      </c>
      <c r="AX476" s="27" t="str">
        <f t="shared" si="209"/>
        <v/>
      </c>
      <c r="AY476" s="27" t="str">
        <f t="shared" si="210"/>
        <v/>
      </c>
      <c r="AZ476" s="27" t="str">
        <f t="shared" si="211"/>
        <v/>
      </c>
      <c r="BA476" s="27" t="str">
        <f t="shared" si="212"/>
        <v/>
      </c>
      <c r="BB476" s="27" t="str">
        <f t="shared" si="213"/>
        <v/>
      </c>
      <c r="BC476" s="27" t="str">
        <f t="shared" si="214"/>
        <v/>
      </c>
      <c r="BD476" s="27" t="str">
        <f t="shared" si="215"/>
        <v/>
      </c>
      <c r="BE476" s="27" t="str">
        <f t="shared" si="216"/>
        <v/>
      </c>
      <c r="BF476" s="27" t="str">
        <f t="shared" si="217"/>
        <v/>
      </c>
      <c r="BG476" s="27" t="str">
        <f t="shared" si="218"/>
        <v/>
      </c>
      <c r="BH476" s="27" t="str">
        <f t="shared" si="219"/>
        <v/>
      </c>
      <c r="BI476" s="27" t="str">
        <f t="shared" si="220"/>
        <v/>
      </c>
      <c r="BJ476" s="27" t="str">
        <f t="shared" si="221"/>
        <v/>
      </c>
      <c r="BK476" s="27" t="str">
        <f t="shared" si="222"/>
        <v/>
      </c>
      <c r="BL476" s="27" t="str">
        <f t="shared" si="223"/>
        <v/>
      </c>
      <c r="BM476" s="21" t="s">
        <v>5581</v>
      </c>
    </row>
    <row r="477" spans="1:65" ht="15">
      <c r="A477" s="25" t="str">
        <f>IFERROR(INDEX('Hun Demand'!W:W,MATCH(O477,'Hun Demand'!A:A,0)),"")</f>
        <v/>
      </c>
      <c r="B477" s="25" t="str">
        <f>IFERROR(INDEX('Hun Demand'!V:V,MATCH(O477,'Hun Demand'!A:A,0)),"")</f>
        <v/>
      </c>
      <c r="C477" s="25" t="str">
        <f>IFERROR(INDEX('Hun Demand'!U:U,MATCH(O477,'Hun Demand'!A:A,0)),"")</f>
        <v/>
      </c>
      <c r="D477" s="25" t="str">
        <f>IFERROR(INDEX('Hun Demand'!T:T,MATCH(O477,'Hun Demand'!A:A,0)),"")</f>
        <v/>
      </c>
      <c r="E477" s="25" t="str">
        <f>IFERROR(INDEX('Hun Demand'!S:S,MATCH(O477,'Hun Demand'!A:A,0)),"")</f>
        <v/>
      </c>
      <c r="F477" s="25" t="str">
        <f>IFERROR(INDEX('Hun Demand'!R:R,MATCH(O477,'Hun Demand'!A:A,0)),"")</f>
        <v/>
      </c>
      <c r="G477" s="25">
        <f>IFERROR(INDEX('Aub Demand'!W:W,MATCH(O477,'Aub Demand'!A:A,0)),"")</f>
        <v>0</v>
      </c>
      <c r="H477" s="25">
        <f>IFERROR(INDEX('Aub Demand'!V:V,MATCH(O477,'Aub Demand'!A:A,0)),"")</f>
        <v>0</v>
      </c>
      <c r="I477" s="25">
        <f>IFERROR(INDEX('Aub Demand'!U:U,MATCH(O477,'Aub Demand'!A:A,0)),"")</f>
        <v>0</v>
      </c>
      <c r="J477" s="25">
        <f>IFERROR(INDEX('Aub Demand'!T:T,MATCH(O477,'Aub Demand'!A:A,0)),"")</f>
        <v>0</v>
      </c>
      <c r="K477" s="25">
        <f>IFERROR(INDEX('Aub Demand'!S:S,MATCH(O477,'Aub Demand'!A:A,0)),"")</f>
        <v>0</v>
      </c>
      <c r="L477" s="25">
        <f>IFERROR(INDEX('Aub Demand'!R:R,MATCH(O477,'Aub Demand'!A:A,0)),"")</f>
        <v>0</v>
      </c>
      <c r="O477" s="27" t="s">
        <v>2169</v>
      </c>
      <c r="P477" s="27" t="str">
        <f>IFERROR(INDEX('Aub Demand'!B:B,MATCH($O477,'Aub Demand'!$A:$A,0)),"")</f>
        <v>ALPINE FISSURE 60"</v>
      </c>
      <c r="Q477" s="27" t="str">
        <f>IFERROR(INDEX('Aub Demand'!C:C,MATCH($O477,'Aub Demand'!$A:$A,0)),"")</f>
        <v>DNP A</v>
      </c>
      <c r="R477" s="52">
        <f>IFERROR(IF(AR478=AR477,INDEX('Aub Demand'!K:K,MATCH($O477,'Aub Demand'!$A:$A,0))-IF(AN477="",0,AN477)+AP478,INDEX('Aub Demand'!K:K,MATCH($O477,'Aub Demand'!$A:$A,0))-IF(AN477="",0,AN477)),"")</f>
        <v>4700</v>
      </c>
      <c r="S477" s="53" t="str">
        <f t="shared" si="196"/>
        <v>n/a</v>
      </c>
      <c r="T477" s="52" t="str">
        <f t="shared" si="197"/>
        <v/>
      </c>
      <c r="U477" s="52">
        <f>IFERROR(IF(AR478=AR477,INDEX('Aub Demand'!Q:Q,MATCH($O477,'Aub Demand'!$A:$A,0))-IF(AN477="",0,AN477)+AP478,INDEX('Aub Demand'!Q:Q,MATCH($O477,'Aub Demand'!$A:$A,0))-IF(AN477="",0,AN477)),"")</f>
        <v>4700</v>
      </c>
      <c r="V477" s="53" t="str">
        <f t="shared" si="198"/>
        <v>n/a</v>
      </c>
      <c r="W477" s="52" t="str">
        <f t="shared" si="199"/>
        <v/>
      </c>
      <c r="X477" s="52">
        <f>IFERROR(IF(AND(AR478=AR477,AM477&lt;&gt;""),INDEX('Aub Demand'!Q:Q,MATCH($O477,'Aub Demand'!$A:$A,0))-IF(AN477="",0,AN477)+AP478+AD477+AL477,IF(AR478=AR477,INDEX('Aub Demand'!Q:Q,MATCH($O477,'Aub Demand'!$A:$A,0))-IF(AN477="",0,AN477)+AP478+AD477,IF(AM477&lt;&gt;"",INDEX('Aub Demand'!Q:Q,MATCH($O477,'Aub Demand'!$A:$A,0))-IF(AN477="",0,AN477)+AD477+AL477,INDEX('Aub Demand'!Q:Q,MATCH($O477,'Aub Demand'!$A:$A,0))-IF(AN477="",0,AN477)+AD477))),"")</f>
        <v>4700</v>
      </c>
      <c r="Y477" s="53" t="str">
        <f t="shared" si="200"/>
        <v>n/a</v>
      </c>
      <c r="Z477" s="52">
        <f>IF(L477="","",INDEX('Aub Demand'!H:H,MATCH($O477,'Aub Demand'!$A:$A,0)))</f>
        <v>0</v>
      </c>
      <c r="AA477" s="52" t="str">
        <f t="shared" si="201"/>
        <v>-spike-</v>
      </c>
      <c r="AB477" s="52">
        <f>IFERROR(INDEX('Aub Demand'!L:L,MATCH($O477,'Aub Demand'!$A:$A,0)),"")</f>
        <v>0</v>
      </c>
      <c r="AC477" s="52">
        <f>IFERROR(IF(O477="","",SUMIFS('CPL Mats'!F:F,'CPL Mats'!Q:Q,AR477,'CPL Mats'!S:S,AS477)),"")</f>
        <v>0</v>
      </c>
      <c r="AF477" s="25" t="str">
        <f>IF(SUMIFS('Supp Consol'!S:S,'Supp Consol'!Y:Y,"Releasable",'Supp Consol'!A:A,O477)=0,"",SUMIFS('Supp Consol'!S:S,'Supp Consol'!Y:Y,"Releasable",'Supp Consol'!A:A,O477))</f>
        <v/>
      </c>
      <c r="AG477" s="25" t="str">
        <f>IFERROR(INDEX('Hun Demand'!Q:Q,MATCH(O477,'Hun Demand'!A:A,0)),"")</f>
        <v/>
      </c>
      <c r="AH477" s="25" t="str">
        <f>IFERROR(INDEX('Hun Demand'!H:H,MATCH($O477,'Hun Demand'!$A:$A,0)),"")</f>
        <v/>
      </c>
      <c r="AI477" s="25" t="str">
        <f>IF(SUMIFS('Supp Consol'!AA:AA,'Supp Consol'!Z:Z,"Expires this month",'Supp Consol'!A:A,O477)=0,"",SUMIFS('Supp Consol'!AA:AA,'Supp Consol'!Z:Z,"Expires this month",'Supp Consol'!A:A,O477))</f>
        <v/>
      </c>
      <c r="AJ477" s="25" t="str">
        <f>IF(SUMIFS('Supp Consol'!AA:AA,'Supp Consol'!Z:Z,"Expired Previous Months",'Supp Consol'!A:A,O477)=0,"",SUMIFS('Supp Consol'!AA:AA,'Supp Consol'!Z:Z,"Expired Previous Months",'Supp Consol'!A:A,O477))</f>
        <v/>
      </c>
      <c r="AK477" s="25" t="str">
        <f>IFERROR(INDEX('Hun Release Current'!B:B,MATCH(O477,'Hun Release Current'!A:A,0)),"")</f>
        <v/>
      </c>
      <c r="AL477" s="25" t="str">
        <f>IF(SUMIF('Prev Aub'!A:A,O477,'Prev Aub'!B:B)=0,"",SUMIF('Prev Aub'!A:A,O477,'Prev Aub'!B:B))</f>
        <v/>
      </c>
      <c r="AN477" s="25" t="s">
        <v>3790</v>
      </c>
      <c r="AO477" s="25" t="s">
        <v>3790</v>
      </c>
      <c r="AP477" s="25">
        <f t="shared" si="202"/>
        <v>0</v>
      </c>
      <c r="AQ477" s="151" t="str">
        <f>IF(SUMIFS('Supp Consol'!S:S,'Supp Consol'!A:A,O477,'Supp Consol'!I:I,"PENDING")=0,"",SUMIFS('Supp Consol'!S:S,'Supp Consol'!A:A,O477,'Supp Consol'!I:I,"PENDING"))</f>
        <v/>
      </c>
      <c r="AR477" s="27" t="str">
        <f t="shared" si="203"/>
        <v>FS501</v>
      </c>
      <c r="AS477" s="27" t="str">
        <f t="shared" si="204"/>
        <v>62</v>
      </c>
      <c r="AT477" s="27" t="str">
        <f t="shared" si="205"/>
        <v/>
      </c>
      <c r="AU477" s="27" t="str">
        <f t="shared" si="206"/>
        <v/>
      </c>
      <c r="AV477" s="27" t="str">
        <f t="shared" si="207"/>
        <v/>
      </c>
      <c r="AW477" s="27" t="str">
        <f t="shared" si="208"/>
        <v/>
      </c>
      <c r="AX477" s="27" t="str">
        <f t="shared" si="209"/>
        <v/>
      </c>
      <c r="AY477" s="27" t="str">
        <f t="shared" si="210"/>
        <v/>
      </c>
      <c r="AZ477" s="27" t="str">
        <f t="shared" si="211"/>
        <v/>
      </c>
      <c r="BA477" s="27" t="str">
        <f t="shared" si="212"/>
        <v/>
      </c>
      <c r="BB477" s="27" t="str">
        <f t="shared" si="213"/>
        <v/>
      </c>
      <c r="BC477" s="27" t="str">
        <f t="shared" si="214"/>
        <v/>
      </c>
      <c r="BD477" s="27" t="str">
        <f t="shared" si="215"/>
        <v/>
      </c>
      <c r="BE477" s="27" t="str">
        <f t="shared" si="216"/>
        <v/>
      </c>
      <c r="BF477" s="27" t="str">
        <f t="shared" si="217"/>
        <v/>
      </c>
      <c r="BG477" s="27" t="str">
        <f t="shared" si="218"/>
        <v/>
      </c>
      <c r="BH477" s="27" t="str">
        <f t="shared" si="219"/>
        <v/>
      </c>
      <c r="BI477" s="27" t="str">
        <f t="shared" si="220"/>
        <v/>
      </c>
      <c r="BJ477" s="27" t="str">
        <f t="shared" si="221"/>
        <v/>
      </c>
      <c r="BK477" s="27" t="str">
        <f t="shared" si="222"/>
        <v/>
      </c>
      <c r="BL477" s="27" t="str">
        <f t="shared" si="223"/>
        <v/>
      </c>
      <c r="BM477" s="21" t="s">
        <v>3790</v>
      </c>
    </row>
    <row r="478" spans="1:65" ht="15">
      <c r="A478" s="25">
        <f>IFERROR(INDEX('Hun Demand'!W:W,MATCH(O478,'Hun Demand'!A:A,0)),"")</f>
        <v>0</v>
      </c>
      <c r="B478" s="25">
        <f>IFERROR(INDEX('Hun Demand'!V:V,MATCH(O478,'Hun Demand'!A:A,0)),"")</f>
        <v>0</v>
      </c>
      <c r="C478" s="25">
        <f>IFERROR(INDEX('Hun Demand'!U:U,MATCH(O478,'Hun Demand'!A:A,0)),"")</f>
        <v>0</v>
      </c>
      <c r="D478" s="25">
        <f>IFERROR(INDEX('Hun Demand'!T:T,MATCH(O478,'Hun Demand'!A:A,0)),"")</f>
        <v>0</v>
      </c>
      <c r="E478" s="25">
        <f>IFERROR(INDEX('Hun Demand'!S:S,MATCH(O478,'Hun Demand'!A:A,0)),"")</f>
        <v>495</v>
      </c>
      <c r="F478" s="25">
        <f>IFERROR(INDEX('Hun Demand'!R:R,MATCH(O478,'Hun Demand'!A:A,0)),"")</f>
        <v>0</v>
      </c>
      <c r="G478" s="25">
        <f>IFERROR(INDEX('Aub Demand'!W:W,MATCH(O478,'Aub Demand'!A:A,0)),"")</f>
        <v>74</v>
      </c>
      <c r="H478" s="25">
        <f>IFERROR(INDEX('Aub Demand'!V:V,MATCH(O478,'Aub Demand'!A:A,0)),"")</f>
        <v>0</v>
      </c>
      <c r="I478" s="25">
        <f>IFERROR(INDEX('Aub Demand'!U:U,MATCH(O478,'Aub Demand'!A:A,0)),"")</f>
        <v>0</v>
      </c>
      <c r="J478" s="25">
        <f>IFERROR(INDEX('Aub Demand'!T:T,MATCH(O478,'Aub Demand'!A:A,0)),"")</f>
        <v>8</v>
      </c>
      <c r="K478" s="25">
        <f>IFERROR(INDEX('Aub Demand'!S:S,MATCH(O478,'Aub Demand'!A:A,0)),"")</f>
        <v>42</v>
      </c>
      <c r="L478" s="25">
        <f>IFERROR(INDEX('Aub Demand'!R:R,MATCH(O478,'Aub Demand'!A:A,0)),"")</f>
        <v>0</v>
      </c>
      <c r="O478" s="27" t="s">
        <v>2172</v>
      </c>
      <c r="P478" s="27" t="str">
        <f>IFERROR(INDEX('Aub Demand'!B:B,MATCH($O478,'Aub Demand'!$A:$A,0)),"")</f>
        <v>RUSH</v>
      </c>
      <c r="Q478" s="27" t="str">
        <f>IFERROR(INDEX('Aub Demand'!C:C,MATCH($O478,'Aub Demand'!$A:$A,0)),"")</f>
        <v>PANOL</v>
      </c>
      <c r="R478" s="52">
        <f>IFERROR(IF(AR479=AR478,INDEX('Aub Demand'!K:K,MATCH($O478,'Aub Demand'!$A:$A,0))-IF(AN478="",0,AN478)+AP479,INDEX('Aub Demand'!K:K,MATCH($O478,'Aub Demand'!$A:$A,0))-IF(AN478="",0,AN478)),"")</f>
        <v>0</v>
      </c>
      <c r="S478" s="53">
        <f t="shared" si="196"/>
        <v>0</v>
      </c>
      <c r="T478" s="52">
        <f t="shared" si="197"/>
        <v>18.75</v>
      </c>
      <c r="U478" s="52">
        <f>IFERROR(IF(AR479=AR478,INDEX('Aub Demand'!Q:Q,MATCH($O478,'Aub Demand'!$A:$A,0))-IF(AN478="",0,AN478)+AP479,INDEX('Aub Demand'!Q:Q,MATCH($O478,'Aub Demand'!$A:$A,0))-IF(AN478="",0,AN478)),"")</f>
        <v>-1</v>
      </c>
      <c r="V478" s="53">
        <f t="shared" si="198"/>
        <v>-0.3</v>
      </c>
      <c r="W478" s="52">
        <f t="shared" si="199"/>
        <v>20.625</v>
      </c>
      <c r="X478" s="52">
        <f>IFERROR(IF(AND(AR479=AR478,AM478&lt;&gt;""),INDEX('Aub Demand'!Q:Q,MATCH($O478,'Aub Demand'!$A:$A,0))-IF(AN478="",0,AN478)+AP479+AD478+AL478,IF(AR479=AR478,INDEX('Aub Demand'!Q:Q,MATCH($O478,'Aub Demand'!$A:$A,0))-IF(AN478="",0,AN478)+AP479+AD478,IF(AM478&lt;&gt;"",INDEX('Aub Demand'!Q:Q,MATCH($O478,'Aub Demand'!$A:$A,0))-IF(AN478="",0,AN478)+AD478+AL478,INDEX('Aub Demand'!Q:Q,MATCH($O478,'Aub Demand'!$A:$A,0))-IF(AN478="",0,AN478)+AD478))),"")</f>
        <v>-1</v>
      </c>
      <c r="Y478" s="53">
        <f t="shared" si="200"/>
        <v>-0.3</v>
      </c>
      <c r="Z478" s="52">
        <f>IF(L478="","",INDEX('Aub Demand'!H:H,MATCH($O478,'Aub Demand'!$A:$A,0)))</f>
        <v>17</v>
      </c>
      <c r="AA478" s="52">
        <f t="shared" si="201"/>
        <v>25</v>
      </c>
      <c r="AB478" s="52">
        <f>IFERROR(INDEX('Aub Demand'!L:L,MATCH($O478,'Aub Demand'!$A:$A,0)),"")</f>
        <v>34</v>
      </c>
      <c r="AC478" s="52">
        <f>IFERROR(IF(O478="","",SUMIFS('CPL Mats'!F:F,'CPL Mats'!Q:Q,AR478,'CPL Mats'!S:S,AS478)),"")</f>
        <v>0</v>
      </c>
      <c r="AF478" s="25" t="str">
        <f>IF(SUMIFS('Supp Consol'!S:S,'Supp Consol'!Y:Y,"Releasable",'Supp Consol'!A:A,O478)=0,"",SUMIFS('Supp Consol'!S:S,'Supp Consol'!Y:Y,"Releasable",'Supp Consol'!A:A,O478))</f>
        <v/>
      </c>
      <c r="AG478" s="25">
        <f>IFERROR(INDEX('Hun Demand'!Q:Q,MATCH(O478,'Hun Demand'!A:A,0)),"")</f>
        <v>0</v>
      </c>
      <c r="AH478" s="25">
        <f>IFERROR(INDEX('Hun Demand'!H:H,MATCH($O478,'Hun Demand'!$A:$A,0)),"")</f>
        <v>165</v>
      </c>
      <c r="AI478" s="25" t="str">
        <f>IF(SUMIFS('Supp Consol'!AA:AA,'Supp Consol'!Z:Z,"Expires this month",'Supp Consol'!A:A,O478)=0,"",SUMIFS('Supp Consol'!AA:AA,'Supp Consol'!Z:Z,"Expires this month",'Supp Consol'!A:A,O478))</f>
        <v/>
      </c>
      <c r="AJ478" s="25" t="str">
        <f>IF(SUMIFS('Supp Consol'!AA:AA,'Supp Consol'!Z:Z,"Expired Previous Months",'Supp Consol'!A:A,O478)=0,"",SUMIFS('Supp Consol'!AA:AA,'Supp Consol'!Z:Z,"Expired Previous Months",'Supp Consol'!A:A,O478))</f>
        <v/>
      </c>
      <c r="AK478" s="25" t="str">
        <f>IFERROR(INDEX('Hun Release Current'!B:B,MATCH(O478,'Hun Release Current'!A:A,0)),"")</f>
        <v/>
      </c>
      <c r="AL478" s="25" t="str">
        <f>IF(SUMIF('Prev Aub'!A:A,O478,'Prev Aub'!B:B)=0,"",SUMIF('Prev Aub'!A:A,O478,'Prev Aub'!B:B))</f>
        <v/>
      </c>
      <c r="AN478" s="25" t="s">
        <v>3790</v>
      </c>
      <c r="AO478" s="25" t="s">
        <v>3790</v>
      </c>
      <c r="AP478" s="25">
        <f t="shared" si="202"/>
        <v>0</v>
      </c>
      <c r="AQ478" s="151" t="str">
        <f>IF(SUMIFS('Supp Consol'!S:S,'Supp Consol'!A:A,O478,'Supp Consol'!I:I,"PENDING")=0,"",SUMIFS('Supp Consol'!S:S,'Supp Consol'!A:A,O478,'Supp Consol'!I:I,"PENDING"))</f>
        <v/>
      </c>
      <c r="AR478" s="27" t="str">
        <f t="shared" si="203"/>
        <v>FS601</v>
      </c>
      <c r="AS478" s="27" t="str">
        <f t="shared" si="204"/>
        <v>50</v>
      </c>
      <c r="AT478" s="27" t="str">
        <f t="shared" si="205"/>
        <v>FS601</v>
      </c>
      <c r="AU478" s="27" t="str">
        <f t="shared" si="206"/>
        <v>FS601</v>
      </c>
      <c r="AV478" s="27" t="str">
        <f t="shared" si="207"/>
        <v>FS601</v>
      </c>
      <c r="AW478" s="27" t="str">
        <f t="shared" si="208"/>
        <v/>
      </c>
      <c r="AX478" s="27" t="str">
        <f t="shared" si="209"/>
        <v/>
      </c>
      <c r="AY478" s="27" t="str">
        <f t="shared" si="210"/>
        <v/>
      </c>
      <c r="AZ478" s="27" t="str">
        <f t="shared" si="211"/>
        <v/>
      </c>
      <c r="BA478" s="27" t="str">
        <f t="shared" si="212"/>
        <v/>
      </c>
      <c r="BB478" s="27" t="str">
        <f t="shared" si="213"/>
        <v>Gross</v>
      </c>
      <c r="BC478" s="27" t="str">
        <f t="shared" si="214"/>
        <v>Net</v>
      </c>
      <c r="BD478" s="27" t="str">
        <f t="shared" si="215"/>
        <v>Net</v>
      </c>
      <c r="BE478" s="27" t="str">
        <f t="shared" si="216"/>
        <v/>
      </c>
      <c r="BF478" s="27" t="str">
        <f t="shared" si="217"/>
        <v/>
      </c>
      <c r="BG478" s="27" t="str">
        <f t="shared" si="218"/>
        <v/>
      </c>
      <c r="BH478" s="27" t="str">
        <f t="shared" si="219"/>
        <v/>
      </c>
      <c r="BI478" s="27" t="str">
        <f t="shared" si="220"/>
        <v/>
      </c>
      <c r="BJ478" s="27" t="str">
        <f t="shared" si="221"/>
        <v/>
      </c>
      <c r="BK478" s="27" t="str">
        <f t="shared" si="222"/>
        <v/>
      </c>
      <c r="BL478" s="27" t="str">
        <f t="shared" si="223"/>
        <v/>
      </c>
      <c r="BM478" s="21" t="s">
        <v>5581</v>
      </c>
    </row>
    <row r="479" spans="1:65" ht="15">
      <c r="A479" s="25" t="str">
        <f>IFERROR(INDEX('Hun Demand'!W:W,MATCH(O479,'Hun Demand'!A:A,0)),"")</f>
        <v/>
      </c>
      <c r="B479" s="25" t="str">
        <f>IFERROR(INDEX('Hun Demand'!V:V,MATCH(O479,'Hun Demand'!A:A,0)),"")</f>
        <v/>
      </c>
      <c r="C479" s="25" t="str">
        <f>IFERROR(INDEX('Hun Demand'!U:U,MATCH(O479,'Hun Demand'!A:A,0)),"")</f>
        <v/>
      </c>
      <c r="D479" s="25" t="str">
        <f>IFERROR(INDEX('Hun Demand'!T:T,MATCH(O479,'Hun Demand'!A:A,0)),"")</f>
        <v/>
      </c>
      <c r="E479" s="25" t="str">
        <f>IFERROR(INDEX('Hun Demand'!S:S,MATCH(O479,'Hun Demand'!A:A,0)),"")</f>
        <v/>
      </c>
      <c r="F479" s="25" t="str">
        <f>IFERROR(INDEX('Hun Demand'!R:R,MATCH(O479,'Hun Demand'!A:A,0)),"")</f>
        <v/>
      </c>
      <c r="G479" s="25">
        <f>IFERROR(INDEX('Aub Demand'!W:W,MATCH(O479,'Aub Demand'!A:A,0)),"")</f>
        <v>0</v>
      </c>
      <c r="H479" s="25">
        <f>IFERROR(INDEX('Aub Demand'!V:V,MATCH(O479,'Aub Demand'!A:A,0)),"")</f>
        <v>0</v>
      </c>
      <c r="I479" s="25">
        <f>IFERROR(INDEX('Aub Demand'!U:U,MATCH(O479,'Aub Demand'!A:A,0)),"")</f>
        <v>0</v>
      </c>
      <c r="J479" s="25">
        <f>IFERROR(INDEX('Aub Demand'!T:T,MATCH(O479,'Aub Demand'!A:A,0)),"")</f>
        <v>27</v>
      </c>
      <c r="K479" s="25">
        <f>IFERROR(INDEX('Aub Demand'!S:S,MATCH(O479,'Aub Demand'!A:A,0)),"")</f>
        <v>25</v>
      </c>
      <c r="L479" s="25">
        <f>IFERROR(INDEX('Aub Demand'!R:R,MATCH(O479,'Aub Demand'!A:A,0)),"")</f>
        <v>0</v>
      </c>
      <c r="O479" s="27" t="s">
        <v>2175</v>
      </c>
      <c r="P479" s="27" t="str">
        <f>IFERROR(INDEX('Aub Demand'!B:B,MATCH($O479,'Aub Demand'!$A:$A,0)),"")</f>
        <v>RUSH</v>
      </c>
      <c r="Q479" s="27" t="str">
        <f>IFERROR(INDEX('Aub Demand'!C:C,MATCH($O479,'Aub Demand'!$A:$A,0)),"")</f>
        <v>TOPPA</v>
      </c>
      <c r="R479" s="52">
        <f>IFERROR(IF(AR480=AR479,INDEX('Aub Demand'!K:K,MATCH($O479,'Aub Demand'!$A:$A,0))-IF(AN479="",0,AN479)+AP480,INDEX('Aub Demand'!K:K,MATCH($O479,'Aub Demand'!$A:$A,0))-IF(AN479="",0,AN479)),"")</f>
        <v>791</v>
      </c>
      <c r="S479" s="53">
        <f t="shared" si="196"/>
        <v>199.4</v>
      </c>
      <c r="T479" s="52" t="str">
        <f t="shared" si="197"/>
        <v/>
      </c>
      <c r="U479" s="52">
        <f>IFERROR(IF(AR480=AR479,INDEX('Aub Demand'!Q:Q,MATCH($O479,'Aub Demand'!$A:$A,0))-IF(AN479="",0,AN479)+AP480,INDEX('Aub Demand'!Q:Q,MATCH($O479,'Aub Demand'!$A:$A,0))-IF(AN479="",0,AN479)),"")</f>
        <v>756</v>
      </c>
      <c r="V479" s="53">
        <f t="shared" si="198"/>
        <v>190.6</v>
      </c>
      <c r="W479" s="52" t="str">
        <f t="shared" si="199"/>
        <v/>
      </c>
      <c r="X479" s="52">
        <f>IFERROR(IF(AND(AR480=AR479,AM479&lt;&gt;""),INDEX('Aub Demand'!Q:Q,MATCH($O479,'Aub Demand'!$A:$A,0))-IF(AN479="",0,AN479)+AP480+AD479+AL479,IF(AR480=AR479,INDEX('Aub Demand'!Q:Q,MATCH($O479,'Aub Demand'!$A:$A,0))-IF(AN479="",0,AN479)+AP480+AD479,IF(AM479&lt;&gt;"",INDEX('Aub Demand'!Q:Q,MATCH($O479,'Aub Demand'!$A:$A,0))-IF(AN479="",0,AN479)+AD479+AL479,INDEX('Aub Demand'!Q:Q,MATCH($O479,'Aub Demand'!$A:$A,0))-IF(AN479="",0,AN479)+AD479))),"")</f>
        <v>756</v>
      </c>
      <c r="Y479" s="53">
        <f t="shared" si="200"/>
        <v>190.6</v>
      </c>
      <c r="Z479" s="52">
        <f>IF(L479="","",INDEX('Aub Demand'!H:H,MATCH($O479,'Aub Demand'!$A:$A,0)))</f>
        <v>17</v>
      </c>
      <c r="AA479" s="52">
        <f t="shared" si="201"/>
        <v>26</v>
      </c>
      <c r="AB479" s="52">
        <f>IFERROR(INDEX('Aub Demand'!L:L,MATCH($O479,'Aub Demand'!$A:$A,0)),"")</f>
        <v>6</v>
      </c>
      <c r="AC479" s="52">
        <f>IFERROR(IF(O479="","",SUMIFS('CPL Mats'!F:F,'CPL Mats'!Q:Q,AR479,'CPL Mats'!S:S,AS479)),"")</f>
        <v>0</v>
      </c>
      <c r="AF479" s="25" t="str">
        <f>IF(SUMIFS('Supp Consol'!S:S,'Supp Consol'!Y:Y,"Releasable",'Supp Consol'!A:A,O479)=0,"",SUMIFS('Supp Consol'!S:S,'Supp Consol'!Y:Y,"Releasable",'Supp Consol'!A:A,O479))</f>
        <v/>
      </c>
      <c r="AG479" s="25" t="str">
        <f>IFERROR(INDEX('Hun Demand'!Q:Q,MATCH(O479,'Hun Demand'!A:A,0)),"")</f>
        <v/>
      </c>
      <c r="AH479" s="25" t="str">
        <f>IFERROR(INDEX('Hun Demand'!H:H,MATCH($O479,'Hun Demand'!$A:$A,0)),"")</f>
        <v/>
      </c>
      <c r="AI479" s="25" t="str">
        <f>IF(SUMIFS('Supp Consol'!AA:AA,'Supp Consol'!Z:Z,"Expires this month",'Supp Consol'!A:A,O479)=0,"",SUMIFS('Supp Consol'!AA:AA,'Supp Consol'!Z:Z,"Expires this month",'Supp Consol'!A:A,O479))</f>
        <v/>
      </c>
      <c r="AJ479" s="25" t="str">
        <f>IF(SUMIFS('Supp Consol'!AA:AA,'Supp Consol'!Z:Z,"Expired Previous Months",'Supp Consol'!A:A,O479)=0,"",SUMIFS('Supp Consol'!AA:AA,'Supp Consol'!Z:Z,"Expired Previous Months",'Supp Consol'!A:A,O479))</f>
        <v/>
      </c>
      <c r="AK479" s="25" t="str">
        <f>IFERROR(INDEX('Hun Release Current'!B:B,MATCH(O479,'Hun Release Current'!A:A,0)),"")</f>
        <v/>
      </c>
      <c r="AL479" s="25" t="str">
        <f>IF(SUMIF('Prev Aub'!A:A,O479,'Prev Aub'!B:B)=0,"",SUMIF('Prev Aub'!A:A,O479,'Prev Aub'!B:B))</f>
        <v/>
      </c>
      <c r="AN479" s="25" t="s">
        <v>3790</v>
      </c>
      <c r="AO479" s="25" t="s">
        <v>3790</v>
      </c>
      <c r="AP479" s="25">
        <f t="shared" si="202"/>
        <v>0</v>
      </c>
      <c r="AQ479" s="151" t="str">
        <f>IF(SUMIFS('Supp Consol'!S:S,'Supp Consol'!A:A,O479,'Supp Consol'!I:I,"PENDING")=0,"",SUMIFS('Supp Consol'!S:S,'Supp Consol'!A:A,O479,'Supp Consol'!I:I,"PENDING"))</f>
        <v/>
      </c>
      <c r="AR479" s="27" t="str">
        <f t="shared" si="203"/>
        <v>FS601</v>
      </c>
      <c r="AS479" s="27" t="str">
        <f t="shared" si="204"/>
        <v>62</v>
      </c>
      <c r="AT479" s="27" t="str">
        <f t="shared" si="205"/>
        <v/>
      </c>
      <c r="AU479" s="27" t="str">
        <f t="shared" si="206"/>
        <v/>
      </c>
      <c r="AV479" s="27" t="str">
        <f t="shared" si="207"/>
        <v/>
      </c>
      <c r="AW479" s="27" t="str">
        <f t="shared" si="208"/>
        <v/>
      </c>
      <c r="AX479" s="27" t="str">
        <f t="shared" si="209"/>
        <v/>
      </c>
      <c r="AY479" s="27" t="str">
        <f t="shared" si="210"/>
        <v/>
      </c>
      <c r="AZ479" s="27" t="str">
        <f t="shared" si="211"/>
        <v/>
      </c>
      <c r="BA479" s="27" t="str">
        <f t="shared" si="212"/>
        <v/>
      </c>
      <c r="BB479" s="27" t="str">
        <f t="shared" si="213"/>
        <v>Gross</v>
      </c>
      <c r="BC479" s="27" t="str">
        <f t="shared" si="214"/>
        <v>Net</v>
      </c>
      <c r="BD479" s="27" t="str">
        <f t="shared" si="215"/>
        <v>Net</v>
      </c>
      <c r="BE479" s="27" t="str">
        <f t="shared" si="216"/>
        <v/>
      </c>
      <c r="BF479" s="27" t="str">
        <f t="shared" si="217"/>
        <v/>
      </c>
      <c r="BG479" s="27" t="str">
        <f t="shared" si="218"/>
        <v/>
      </c>
      <c r="BH479" s="27" t="str">
        <f t="shared" si="219"/>
        <v/>
      </c>
      <c r="BI479" s="27" t="str">
        <f t="shared" si="220"/>
        <v/>
      </c>
      <c r="BJ479" s="27" t="str">
        <f t="shared" si="221"/>
        <v/>
      </c>
      <c r="BK479" s="27" t="str">
        <f t="shared" si="222"/>
        <v/>
      </c>
      <c r="BL479" s="27" t="str">
        <f t="shared" si="223"/>
        <v/>
      </c>
      <c r="BM479" s="21" t="s">
        <v>5581</v>
      </c>
    </row>
    <row r="480" spans="1:65" ht="15">
      <c r="A480" s="25" t="str">
        <f>IFERROR(INDEX('Hun Demand'!W:W,MATCH(O480,'Hun Demand'!A:A,0)),"")</f>
        <v/>
      </c>
      <c r="B480" s="25" t="str">
        <f>IFERROR(INDEX('Hun Demand'!V:V,MATCH(O480,'Hun Demand'!A:A,0)),"")</f>
        <v/>
      </c>
      <c r="C480" s="25" t="str">
        <f>IFERROR(INDEX('Hun Demand'!U:U,MATCH(O480,'Hun Demand'!A:A,0)),"")</f>
        <v/>
      </c>
      <c r="D480" s="25" t="str">
        <f>IFERROR(INDEX('Hun Demand'!T:T,MATCH(O480,'Hun Demand'!A:A,0)),"")</f>
        <v/>
      </c>
      <c r="E480" s="25" t="str">
        <f>IFERROR(INDEX('Hun Demand'!S:S,MATCH(O480,'Hun Demand'!A:A,0)),"")</f>
        <v/>
      </c>
      <c r="F480" s="25" t="str">
        <f>IFERROR(INDEX('Hun Demand'!R:R,MATCH(O480,'Hun Demand'!A:A,0)),"")</f>
        <v/>
      </c>
      <c r="G480" s="25">
        <f>IFERROR(INDEX('Aub Demand'!W:W,MATCH(O480,'Aub Demand'!A:A,0)),"")</f>
        <v>0</v>
      </c>
      <c r="H480" s="25">
        <f>IFERROR(INDEX('Aub Demand'!V:V,MATCH(O480,'Aub Demand'!A:A,0)),"")</f>
        <v>0</v>
      </c>
      <c r="I480" s="25">
        <f>IFERROR(INDEX('Aub Demand'!U:U,MATCH(O480,'Aub Demand'!A:A,0)),"")</f>
        <v>0</v>
      </c>
      <c r="J480" s="25">
        <f>IFERROR(INDEX('Aub Demand'!T:T,MATCH(O480,'Aub Demand'!A:A,0)),"")</f>
        <v>0</v>
      </c>
      <c r="K480" s="25">
        <f>IFERROR(INDEX('Aub Demand'!S:S,MATCH(O480,'Aub Demand'!A:A,0)),"")</f>
        <v>0</v>
      </c>
      <c r="L480" s="25">
        <f>IFERROR(INDEX('Aub Demand'!R:R,MATCH(O480,'Aub Demand'!A:A,0)),"")</f>
        <v>0</v>
      </c>
      <c r="O480" s="27" t="s">
        <v>2176</v>
      </c>
      <c r="P480" s="27" t="str">
        <f>IFERROR(INDEX('Aub Demand'!B:B,MATCH($O480,'Aub Demand'!$A:$A,0)),"")</f>
        <v>BEIGE GRAPHITE</v>
      </c>
      <c r="Q480" s="27" t="str">
        <f>IFERROR(INDEX('Aub Demand'!C:C,MATCH($O480,'Aub Demand'!$A:$A,0)),"")</f>
        <v>ONYX</v>
      </c>
      <c r="R480" s="52">
        <f>IFERROR(IF(AR481=AR480,INDEX('Aub Demand'!K:K,MATCH($O480,'Aub Demand'!$A:$A,0))-IF(AN480="",0,AN480)+AP481,INDEX('Aub Demand'!K:K,MATCH($O480,'Aub Demand'!$A:$A,0))-IF(AN480="",0,AN480)),"")</f>
        <v>2311</v>
      </c>
      <c r="S480" s="53" t="str">
        <f t="shared" si="196"/>
        <v>n/a</v>
      </c>
      <c r="T480" s="52" t="str">
        <f t="shared" si="197"/>
        <v/>
      </c>
      <c r="U480" s="52">
        <f>IFERROR(IF(AR481=AR480,INDEX('Aub Demand'!Q:Q,MATCH($O480,'Aub Demand'!$A:$A,0))-IF(AN480="",0,AN480)+AP481,INDEX('Aub Demand'!Q:Q,MATCH($O480,'Aub Demand'!$A:$A,0))-IF(AN480="",0,AN480)),"")</f>
        <v>2311</v>
      </c>
      <c r="V480" s="53" t="str">
        <f t="shared" si="198"/>
        <v>n/a</v>
      </c>
      <c r="W480" s="52" t="str">
        <f t="shared" si="199"/>
        <v/>
      </c>
      <c r="X480" s="52">
        <f>IFERROR(IF(AND(AR481=AR480,AM480&lt;&gt;""),INDEX('Aub Demand'!Q:Q,MATCH($O480,'Aub Demand'!$A:$A,0))-IF(AN480="",0,AN480)+AP481+AD480+AL480,IF(AR481=AR480,INDEX('Aub Demand'!Q:Q,MATCH($O480,'Aub Demand'!$A:$A,0))-IF(AN480="",0,AN480)+AP481+AD480,IF(AM480&lt;&gt;"",INDEX('Aub Demand'!Q:Q,MATCH($O480,'Aub Demand'!$A:$A,0))-IF(AN480="",0,AN480)+AD480+AL480,INDEX('Aub Demand'!Q:Q,MATCH($O480,'Aub Demand'!$A:$A,0))-IF(AN480="",0,AN480)+AD480))),"")</f>
        <v>2311</v>
      </c>
      <c r="Y480" s="53" t="str">
        <f t="shared" si="200"/>
        <v>n/a</v>
      </c>
      <c r="Z480" s="52">
        <f>IF(L480="","",INDEX('Aub Demand'!H:H,MATCH($O480,'Aub Demand'!$A:$A,0)))</f>
        <v>0</v>
      </c>
      <c r="AA480" s="52" t="str">
        <f t="shared" si="201"/>
        <v>-spike-</v>
      </c>
      <c r="AB480" s="52">
        <f>IFERROR(INDEX('Aub Demand'!L:L,MATCH($O480,'Aub Demand'!$A:$A,0)),"")</f>
        <v>0</v>
      </c>
      <c r="AC480" s="52">
        <f>IFERROR(IF(O480="","",SUMIFS('CPL Mats'!F:F,'CPL Mats'!Q:Q,AR480,'CPL Mats'!S:S,AS480)),"")</f>
        <v>0</v>
      </c>
      <c r="AF480" s="25" t="str">
        <f>IF(SUMIFS('Supp Consol'!S:S,'Supp Consol'!Y:Y,"Releasable",'Supp Consol'!A:A,O480)=0,"",SUMIFS('Supp Consol'!S:S,'Supp Consol'!Y:Y,"Releasable",'Supp Consol'!A:A,O480))</f>
        <v/>
      </c>
      <c r="AG480" s="25" t="str">
        <f>IFERROR(INDEX('Hun Demand'!Q:Q,MATCH(O480,'Hun Demand'!A:A,0)),"")</f>
        <v/>
      </c>
      <c r="AH480" s="25" t="str">
        <f>IFERROR(INDEX('Hun Demand'!H:H,MATCH($O480,'Hun Demand'!$A:$A,0)),"")</f>
        <v/>
      </c>
      <c r="AI480" s="25" t="str">
        <f>IF(SUMIFS('Supp Consol'!AA:AA,'Supp Consol'!Z:Z,"Expires this month",'Supp Consol'!A:A,O480)=0,"",SUMIFS('Supp Consol'!AA:AA,'Supp Consol'!Z:Z,"Expires this month",'Supp Consol'!A:A,O480))</f>
        <v/>
      </c>
      <c r="AJ480" s="25" t="str">
        <f>IF(SUMIFS('Supp Consol'!AA:AA,'Supp Consol'!Z:Z,"Expired Previous Months",'Supp Consol'!A:A,O480)=0,"",SUMIFS('Supp Consol'!AA:AA,'Supp Consol'!Z:Z,"Expired Previous Months",'Supp Consol'!A:A,O480))</f>
        <v/>
      </c>
      <c r="AK480" s="25" t="str">
        <f>IFERROR(INDEX('Hun Release Current'!B:B,MATCH(O480,'Hun Release Current'!A:A,0)),"")</f>
        <v/>
      </c>
      <c r="AL480" s="25" t="str">
        <f>IF(SUMIF('Prev Aub'!A:A,O480,'Prev Aub'!B:B)=0,"",SUMIF('Prev Aub'!A:A,O480,'Prev Aub'!B:B))</f>
        <v/>
      </c>
      <c r="AN480" s="25" t="s">
        <v>3790</v>
      </c>
      <c r="AO480" s="25" t="s">
        <v>3790</v>
      </c>
      <c r="AP480" s="25">
        <f t="shared" si="202"/>
        <v>0</v>
      </c>
      <c r="AQ480" s="151" t="str">
        <f>IF(SUMIFS('Supp Consol'!S:S,'Supp Consol'!A:A,O480,'Supp Consol'!I:I,"PENDING")=0,"",SUMIFS('Supp Consol'!S:S,'Supp Consol'!A:A,O480,'Supp Consol'!I:I,"PENDING"))</f>
        <v/>
      </c>
      <c r="AR480" s="27" t="str">
        <f t="shared" si="203"/>
        <v>GA201</v>
      </c>
      <c r="AS480" s="27" t="str">
        <f t="shared" si="204"/>
        <v>50</v>
      </c>
      <c r="AT480" s="27" t="str">
        <f t="shared" si="205"/>
        <v/>
      </c>
      <c r="AU480" s="27" t="str">
        <f t="shared" si="206"/>
        <v/>
      </c>
      <c r="AV480" s="27" t="str">
        <f t="shared" si="207"/>
        <v/>
      </c>
      <c r="AW480" s="27" t="str">
        <f t="shared" si="208"/>
        <v/>
      </c>
      <c r="AX480" s="27" t="str">
        <f t="shared" si="209"/>
        <v/>
      </c>
      <c r="AY480" s="27" t="str">
        <f t="shared" si="210"/>
        <v/>
      </c>
      <c r="AZ480" s="27" t="str">
        <f t="shared" si="211"/>
        <v/>
      </c>
      <c r="BA480" s="27" t="str">
        <f t="shared" si="212"/>
        <v/>
      </c>
      <c r="BB480" s="27" t="str">
        <f t="shared" si="213"/>
        <v/>
      </c>
      <c r="BC480" s="27" t="str">
        <f t="shared" si="214"/>
        <v/>
      </c>
      <c r="BD480" s="27" t="str">
        <f t="shared" si="215"/>
        <v/>
      </c>
      <c r="BE480" s="27" t="str">
        <f t="shared" si="216"/>
        <v/>
      </c>
      <c r="BF480" s="27" t="str">
        <f t="shared" si="217"/>
        <v/>
      </c>
      <c r="BG480" s="27" t="str">
        <f t="shared" si="218"/>
        <v/>
      </c>
      <c r="BH480" s="27" t="str">
        <f t="shared" si="219"/>
        <v/>
      </c>
      <c r="BI480" s="27" t="str">
        <f t="shared" si="220"/>
        <v/>
      </c>
      <c r="BJ480" s="27" t="str">
        <f t="shared" si="221"/>
        <v/>
      </c>
      <c r="BK480" s="27" t="str">
        <f t="shared" si="222"/>
        <v/>
      </c>
      <c r="BL480" s="27" t="str">
        <f t="shared" si="223"/>
        <v/>
      </c>
      <c r="BM480" s="21" t="s">
        <v>5581</v>
      </c>
    </row>
    <row r="481" spans="1:65" ht="15">
      <c r="A481" s="25" t="str">
        <f>IFERROR(INDEX('Hun Demand'!W:W,MATCH(O481,'Hun Demand'!A:A,0)),"")</f>
        <v/>
      </c>
      <c r="B481" s="25" t="str">
        <f>IFERROR(INDEX('Hun Demand'!V:V,MATCH(O481,'Hun Demand'!A:A,0)),"")</f>
        <v/>
      </c>
      <c r="C481" s="25" t="str">
        <f>IFERROR(INDEX('Hun Demand'!U:U,MATCH(O481,'Hun Demand'!A:A,0)),"")</f>
        <v/>
      </c>
      <c r="D481" s="25" t="str">
        <f>IFERROR(INDEX('Hun Demand'!T:T,MATCH(O481,'Hun Demand'!A:A,0)),"")</f>
        <v/>
      </c>
      <c r="E481" s="25" t="str">
        <f>IFERROR(INDEX('Hun Demand'!S:S,MATCH(O481,'Hun Demand'!A:A,0)),"")</f>
        <v/>
      </c>
      <c r="F481" s="25" t="str">
        <f>IFERROR(INDEX('Hun Demand'!R:R,MATCH(O481,'Hun Demand'!A:A,0)),"")</f>
        <v/>
      </c>
      <c r="G481" s="25">
        <f>IFERROR(INDEX('Aub Demand'!W:W,MATCH(O481,'Aub Demand'!A:A,0)),"")</f>
        <v>0</v>
      </c>
      <c r="H481" s="25">
        <f>IFERROR(INDEX('Aub Demand'!V:V,MATCH(O481,'Aub Demand'!A:A,0)),"")</f>
        <v>0</v>
      </c>
      <c r="I481" s="25">
        <f>IFERROR(INDEX('Aub Demand'!U:U,MATCH(O481,'Aub Demand'!A:A,0)),"")</f>
        <v>0</v>
      </c>
      <c r="J481" s="25">
        <f>IFERROR(INDEX('Aub Demand'!T:T,MATCH(O481,'Aub Demand'!A:A,0)),"")</f>
        <v>0</v>
      </c>
      <c r="K481" s="25">
        <f>IFERROR(INDEX('Aub Demand'!S:S,MATCH(O481,'Aub Demand'!A:A,0)),"")</f>
        <v>0</v>
      </c>
      <c r="L481" s="25">
        <f>IFERROR(INDEX('Aub Demand'!R:R,MATCH(O481,'Aub Demand'!A:A,0)),"")</f>
        <v>0</v>
      </c>
      <c r="O481" s="27" t="s">
        <v>2179</v>
      </c>
      <c r="P481" s="27" t="str">
        <f>IFERROR(INDEX('Aub Demand'!B:B,MATCH($O481,'Aub Demand'!$A:$A,0)),"")</f>
        <v>GRAY GRAPHITE</v>
      </c>
      <c r="Q481" s="27" t="str">
        <f>IFERROR(INDEX('Aub Demand'!C:C,MATCH($O481,'Aub Demand'!$A:$A,0)),"")</f>
        <v>ONYX</v>
      </c>
      <c r="R481" s="52">
        <f>IFERROR(IF(AR482=AR481,INDEX('Aub Demand'!K:K,MATCH($O481,'Aub Demand'!$A:$A,0))-IF(AN481="",0,AN481)+AP482,INDEX('Aub Demand'!K:K,MATCH($O481,'Aub Demand'!$A:$A,0))-IF(AN481="",0,AN481)),"")</f>
        <v>1633</v>
      </c>
      <c r="S481" s="53" t="str">
        <f t="shared" si="196"/>
        <v>n/a</v>
      </c>
      <c r="T481" s="52" t="str">
        <f t="shared" si="197"/>
        <v/>
      </c>
      <c r="U481" s="52">
        <f>IFERROR(IF(AR482=AR481,INDEX('Aub Demand'!Q:Q,MATCH($O481,'Aub Demand'!$A:$A,0))-IF(AN481="",0,AN481)+AP482,INDEX('Aub Demand'!Q:Q,MATCH($O481,'Aub Demand'!$A:$A,0))-IF(AN481="",0,AN481)),"")</f>
        <v>1621</v>
      </c>
      <c r="V481" s="53" t="str">
        <f t="shared" si="198"/>
        <v>n/a</v>
      </c>
      <c r="W481" s="52" t="str">
        <f t="shared" si="199"/>
        <v/>
      </c>
      <c r="X481" s="52">
        <f>IFERROR(IF(AND(AR482=AR481,AM481&lt;&gt;""),INDEX('Aub Demand'!Q:Q,MATCH($O481,'Aub Demand'!$A:$A,0))-IF(AN481="",0,AN481)+AP482+AD481+AL481,IF(AR482=AR481,INDEX('Aub Demand'!Q:Q,MATCH($O481,'Aub Demand'!$A:$A,0))-IF(AN481="",0,AN481)+AP482+AD481,IF(AM481&lt;&gt;"",INDEX('Aub Demand'!Q:Q,MATCH($O481,'Aub Demand'!$A:$A,0))-IF(AN481="",0,AN481)+AD481+AL481,INDEX('Aub Demand'!Q:Q,MATCH($O481,'Aub Demand'!$A:$A,0))-IF(AN481="",0,AN481)+AD481))),"")</f>
        <v>1621</v>
      </c>
      <c r="Y481" s="53" t="str">
        <f t="shared" si="200"/>
        <v>n/a</v>
      </c>
      <c r="Z481" s="52">
        <f>IF(L481="","",INDEX('Aub Demand'!H:H,MATCH($O481,'Aub Demand'!$A:$A,0)))</f>
        <v>0</v>
      </c>
      <c r="AA481" s="52" t="str">
        <f t="shared" si="201"/>
        <v>-spike-</v>
      </c>
      <c r="AB481" s="52">
        <f>IFERROR(INDEX('Aub Demand'!L:L,MATCH($O481,'Aub Demand'!$A:$A,0)),"")</f>
        <v>596</v>
      </c>
      <c r="AC481" s="52">
        <f>IFERROR(IF(O481="","",SUMIFS('CPL Mats'!F:F,'CPL Mats'!Q:Q,AR481,'CPL Mats'!S:S,AS481)),"")</f>
        <v>0</v>
      </c>
      <c r="AF481" s="25" t="str">
        <f>IF(SUMIFS('Supp Consol'!S:S,'Supp Consol'!Y:Y,"Releasable",'Supp Consol'!A:A,O481)=0,"",SUMIFS('Supp Consol'!S:S,'Supp Consol'!Y:Y,"Releasable",'Supp Consol'!A:A,O481))</f>
        <v/>
      </c>
      <c r="AG481" s="25" t="str">
        <f>IFERROR(INDEX('Hun Demand'!Q:Q,MATCH(O481,'Hun Demand'!A:A,0)),"")</f>
        <v/>
      </c>
      <c r="AH481" s="25" t="str">
        <f>IFERROR(INDEX('Hun Demand'!H:H,MATCH($O481,'Hun Demand'!$A:$A,0)),"")</f>
        <v/>
      </c>
      <c r="AI481" s="25" t="str">
        <f>IF(SUMIFS('Supp Consol'!AA:AA,'Supp Consol'!Z:Z,"Expires this month",'Supp Consol'!A:A,O481)=0,"",SUMIFS('Supp Consol'!AA:AA,'Supp Consol'!Z:Z,"Expires this month",'Supp Consol'!A:A,O481))</f>
        <v/>
      </c>
      <c r="AJ481" s="25" t="str">
        <f>IF(SUMIFS('Supp Consol'!AA:AA,'Supp Consol'!Z:Z,"Expired Previous Months",'Supp Consol'!A:A,O481)=0,"",SUMIFS('Supp Consol'!AA:AA,'Supp Consol'!Z:Z,"Expired Previous Months",'Supp Consol'!A:A,O481))</f>
        <v/>
      </c>
      <c r="AK481" s="25" t="str">
        <f>IFERROR(INDEX('Hun Release Current'!B:B,MATCH(O481,'Hun Release Current'!A:A,0)),"")</f>
        <v/>
      </c>
      <c r="AL481" s="25" t="str">
        <f>IF(SUMIF('Prev Aub'!A:A,O481,'Prev Aub'!B:B)=0,"",SUMIF('Prev Aub'!A:A,O481,'Prev Aub'!B:B))</f>
        <v/>
      </c>
      <c r="AN481" s="25" t="s">
        <v>3790</v>
      </c>
      <c r="AO481" s="25" t="s">
        <v>3790</v>
      </c>
      <c r="AP481" s="25">
        <f t="shared" si="202"/>
        <v>0</v>
      </c>
      <c r="AQ481" s="151" t="str">
        <f>IF(SUMIFS('Supp Consol'!S:S,'Supp Consol'!A:A,O481,'Supp Consol'!I:I,"PENDING")=0,"",SUMIFS('Supp Consol'!S:S,'Supp Consol'!A:A,O481,'Supp Consol'!I:I,"PENDING"))</f>
        <v/>
      </c>
      <c r="AR481" s="27" t="str">
        <f t="shared" si="203"/>
        <v>GA601</v>
      </c>
      <c r="AS481" s="27" t="str">
        <f t="shared" si="204"/>
        <v>50</v>
      </c>
      <c r="AT481" s="27" t="str">
        <f t="shared" si="205"/>
        <v/>
      </c>
      <c r="AU481" s="27" t="str">
        <f t="shared" si="206"/>
        <v/>
      </c>
      <c r="AV481" s="27" t="str">
        <f t="shared" si="207"/>
        <v/>
      </c>
      <c r="AW481" s="27" t="str">
        <f t="shared" si="208"/>
        <v/>
      </c>
      <c r="AX481" s="27" t="str">
        <f t="shared" si="209"/>
        <v/>
      </c>
      <c r="AY481" s="27" t="str">
        <f t="shared" si="210"/>
        <v/>
      </c>
      <c r="AZ481" s="27" t="str">
        <f t="shared" si="211"/>
        <v/>
      </c>
      <c r="BA481" s="27" t="str">
        <f t="shared" si="212"/>
        <v/>
      </c>
      <c r="BB481" s="27" t="str">
        <f t="shared" si="213"/>
        <v/>
      </c>
      <c r="BC481" s="27" t="str">
        <f t="shared" si="214"/>
        <v/>
      </c>
      <c r="BD481" s="27" t="str">
        <f t="shared" si="215"/>
        <v/>
      </c>
      <c r="BE481" s="27" t="str">
        <f t="shared" si="216"/>
        <v/>
      </c>
      <c r="BF481" s="27" t="str">
        <f t="shared" si="217"/>
        <v/>
      </c>
      <c r="BG481" s="27" t="str">
        <f t="shared" si="218"/>
        <v/>
      </c>
      <c r="BH481" s="27" t="str">
        <f t="shared" si="219"/>
        <v/>
      </c>
      <c r="BI481" s="27" t="str">
        <f t="shared" si="220"/>
        <v/>
      </c>
      <c r="BJ481" s="27" t="str">
        <f t="shared" si="221"/>
        <v/>
      </c>
      <c r="BK481" s="27" t="str">
        <f t="shared" si="222"/>
        <v/>
      </c>
      <c r="BL481" s="27" t="str">
        <f t="shared" si="223"/>
        <v/>
      </c>
      <c r="BM481" s="21" t="s">
        <v>5581</v>
      </c>
    </row>
    <row r="482" spans="1:65" ht="15">
      <c r="A482" s="25" t="str">
        <f>IFERROR(INDEX('Hun Demand'!W:W,MATCH(O482,'Hun Demand'!A:A,0)),"")</f>
        <v/>
      </c>
      <c r="B482" s="25" t="str">
        <f>IFERROR(INDEX('Hun Demand'!V:V,MATCH(O482,'Hun Demand'!A:A,0)),"")</f>
        <v/>
      </c>
      <c r="C482" s="25" t="str">
        <f>IFERROR(INDEX('Hun Demand'!U:U,MATCH(O482,'Hun Demand'!A:A,0)),"")</f>
        <v/>
      </c>
      <c r="D482" s="25" t="str">
        <f>IFERROR(INDEX('Hun Demand'!T:T,MATCH(O482,'Hun Demand'!A:A,0)),"")</f>
        <v/>
      </c>
      <c r="E482" s="25" t="str">
        <f>IFERROR(INDEX('Hun Demand'!S:S,MATCH(O482,'Hun Demand'!A:A,0)),"")</f>
        <v/>
      </c>
      <c r="F482" s="25" t="str">
        <f>IFERROR(INDEX('Hun Demand'!R:R,MATCH(O482,'Hun Demand'!A:A,0)),"")</f>
        <v/>
      </c>
      <c r="G482" s="25">
        <f>IFERROR(INDEX('Aub Demand'!W:W,MATCH(O482,'Aub Demand'!A:A,0)),"")</f>
        <v>0</v>
      </c>
      <c r="H482" s="25">
        <f>IFERROR(INDEX('Aub Demand'!V:V,MATCH(O482,'Aub Demand'!A:A,0)),"")</f>
        <v>0</v>
      </c>
      <c r="I482" s="25">
        <f>IFERROR(INDEX('Aub Demand'!U:U,MATCH(O482,'Aub Demand'!A:A,0)),"")</f>
        <v>0</v>
      </c>
      <c r="J482" s="25">
        <f>IFERROR(INDEX('Aub Demand'!T:T,MATCH(O482,'Aub Demand'!A:A,0)),"")</f>
        <v>0</v>
      </c>
      <c r="K482" s="25">
        <f>IFERROR(INDEX('Aub Demand'!S:S,MATCH(O482,'Aub Demand'!A:A,0)),"")</f>
        <v>0</v>
      </c>
      <c r="L482" s="25">
        <f>IFERROR(INDEX('Aub Demand'!R:R,MATCH(O482,'Aub Demand'!A:A,0)),"")</f>
        <v>0</v>
      </c>
      <c r="O482" s="27" t="s">
        <v>818</v>
      </c>
      <c r="P482" s="27" t="str">
        <f>IFERROR(INDEX('Aub Demand'!B:B,MATCH($O482,'Aub Demand'!$A:$A,0)),"")</f>
        <v>WOVEN GLASS # RAT 19</v>
      </c>
      <c r="Q482" s="27">
        <f>IFERROR(INDEX('Aub Demand'!C:C,MATCH($O482,'Aub Demand'!$A:$A,0)),"")</f>
        <v>0</v>
      </c>
      <c r="R482" s="52">
        <f>IFERROR(IF(AR483=AR482,INDEX('Aub Demand'!K:K,MATCH($O482,'Aub Demand'!$A:$A,0))-IF(AN482="",0,AN482)+AP483,INDEX('Aub Demand'!K:K,MATCH($O482,'Aub Demand'!$A:$A,0))-IF(AN482="",0,AN482)),"")</f>
        <v>2453</v>
      </c>
      <c r="S482" s="53" t="str">
        <f t="shared" si="196"/>
        <v>n/a</v>
      </c>
      <c r="T482" s="52" t="str">
        <f t="shared" si="197"/>
        <v/>
      </c>
      <c r="U482" s="52">
        <f>IFERROR(IF(AR483=AR482,INDEX('Aub Demand'!Q:Q,MATCH($O482,'Aub Demand'!$A:$A,0))-IF(AN482="",0,AN482)+AP483,INDEX('Aub Demand'!Q:Q,MATCH($O482,'Aub Demand'!$A:$A,0))-IF(AN482="",0,AN482)),"")</f>
        <v>1989</v>
      </c>
      <c r="V482" s="53" t="str">
        <f t="shared" si="198"/>
        <v>n/a</v>
      </c>
      <c r="W482" s="52" t="str">
        <f t="shared" si="199"/>
        <v/>
      </c>
      <c r="X482" s="52">
        <f>IFERROR(IF(AND(AR483=AR482,AM482&lt;&gt;""),INDEX('Aub Demand'!Q:Q,MATCH($O482,'Aub Demand'!$A:$A,0))-IF(AN482="",0,AN482)+AP483+AD482+AL482,IF(AR483=AR482,INDEX('Aub Demand'!Q:Q,MATCH($O482,'Aub Demand'!$A:$A,0))-IF(AN482="",0,AN482)+AP483+AD482,IF(AM482&lt;&gt;"",INDEX('Aub Demand'!Q:Q,MATCH($O482,'Aub Demand'!$A:$A,0))-IF(AN482="",0,AN482)+AD482+AL482,INDEX('Aub Demand'!Q:Q,MATCH($O482,'Aub Demand'!$A:$A,0))-IF(AN482="",0,AN482)+AD482))),"")</f>
        <v>1989</v>
      </c>
      <c r="Y482" s="53" t="str">
        <f t="shared" si="200"/>
        <v>n/a</v>
      </c>
      <c r="Z482" s="52">
        <f>IF(L482="","",INDEX('Aub Demand'!H:H,MATCH($O482,'Aub Demand'!$A:$A,0)))</f>
        <v>0</v>
      </c>
      <c r="AA482" s="52" t="str">
        <f t="shared" si="201"/>
        <v>-spike-</v>
      </c>
      <c r="AB482" s="52">
        <f>IFERROR(INDEX('Aub Demand'!L:L,MATCH($O482,'Aub Demand'!$A:$A,0)),"")</f>
        <v>222</v>
      </c>
      <c r="AC482" s="52">
        <f>IFERROR(IF(O482="","",SUMIFS('CPL Mats'!F:F,'CPL Mats'!Q:Q,AR482,'CPL Mats'!S:S,AS482)),"")</f>
        <v>0</v>
      </c>
      <c r="AF482" s="25" t="str">
        <f>IF(SUMIFS('Supp Consol'!S:S,'Supp Consol'!Y:Y,"Releasable",'Supp Consol'!A:A,O482)=0,"",SUMIFS('Supp Consol'!S:S,'Supp Consol'!Y:Y,"Releasable",'Supp Consol'!A:A,O482))</f>
        <v/>
      </c>
      <c r="AG482" s="25" t="str">
        <f>IFERROR(INDEX('Hun Demand'!Q:Q,MATCH(O482,'Hun Demand'!A:A,0)),"")</f>
        <v/>
      </c>
      <c r="AH482" s="25" t="str">
        <f>IFERROR(INDEX('Hun Demand'!H:H,MATCH($O482,'Hun Demand'!$A:$A,0)),"")</f>
        <v/>
      </c>
      <c r="AI482" s="25" t="str">
        <f>IF(SUMIFS('Supp Consol'!AA:AA,'Supp Consol'!Z:Z,"Expires this month",'Supp Consol'!A:A,O482)=0,"",SUMIFS('Supp Consol'!AA:AA,'Supp Consol'!Z:Z,"Expires this month",'Supp Consol'!A:A,O482))</f>
        <v/>
      </c>
      <c r="AJ482" s="25" t="str">
        <f>IF(SUMIFS('Supp Consol'!AA:AA,'Supp Consol'!Z:Z,"Expired Previous Months",'Supp Consol'!A:A,O482)=0,"",SUMIFS('Supp Consol'!AA:AA,'Supp Consol'!Z:Z,"Expired Previous Months",'Supp Consol'!A:A,O482))</f>
        <v/>
      </c>
      <c r="AK482" s="25" t="str">
        <f>IFERROR(INDEX('Hun Release Current'!B:B,MATCH(O482,'Hun Release Current'!A:A,0)),"")</f>
        <v/>
      </c>
      <c r="AL482" s="25" t="str">
        <f>IF(SUMIF('Prev Aub'!A:A,O482,'Prev Aub'!B:B)=0,"",SUMIF('Prev Aub'!A:A,O482,'Prev Aub'!B:B))</f>
        <v/>
      </c>
      <c r="AN482" s="25" t="s">
        <v>3790</v>
      </c>
      <c r="AO482" s="25" t="s">
        <v>3790</v>
      </c>
      <c r="AP482" s="25">
        <f t="shared" si="202"/>
        <v>0</v>
      </c>
      <c r="AQ482" s="151" t="str">
        <f>IF(SUMIFS('Supp Consol'!S:S,'Supp Consol'!A:A,O482,'Supp Consol'!I:I,"PENDING")=0,"",SUMIFS('Supp Consol'!S:S,'Supp Consol'!A:A,O482,'Supp Consol'!I:I,"PENDING"))</f>
        <v/>
      </c>
      <c r="AR482" s="27" t="str">
        <f t="shared" si="203"/>
        <v>GC012</v>
      </c>
      <c r="AS482" s="27" t="str">
        <f t="shared" si="204"/>
        <v>38</v>
      </c>
      <c r="AT482" s="27" t="str">
        <f t="shared" si="205"/>
        <v/>
      </c>
      <c r="AU482" s="27" t="str">
        <f t="shared" si="206"/>
        <v/>
      </c>
      <c r="AV482" s="27" t="str">
        <f t="shared" si="207"/>
        <v/>
      </c>
      <c r="AW482" s="27" t="str">
        <f t="shared" si="208"/>
        <v/>
      </c>
      <c r="AX482" s="27" t="str">
        <f t="shared" si="209"/>
        <v/>
      </c>
      <c r="AY482" s="27" t="str">
        <f t="shared" si="210"/>
        <v/>
      </c>
      <c r="AZ482" s="27" t="str">
        <f t="shared" si="211"/>
        <v/>
      </c>
      <c r="BA482" s="27" t="str">
        <f t="shared" si="212"/>
        <v/>
      </c>
      <c r="BB482" s="27" t="str">
        <f t="shared" si="213"/>
        <v>Gross</v>
      </c>
      <c r="BC482" s="27" t="str">
        <f t="shared" si="214"/>
        <v>Net</v>
      </c>
      <c r="BD482" s="27" t="str">
        <f t="shared" si="215"/>
        <v>Net</v>
      </c>
      <c r="BE482" s="27" t="str">
        <f t="shared" si="216"/>
        <v/>
      </c>
      <c r="BF482" s="27" t="str">
        <f t="shared" si="217"/>
        <v/>
      </c>
      <c r="BG482" s="27" t="str">
        <f t="shared" si="218"/>
        <v/>
      </c>
      <c r="BH482" s="27" t="str">
        <f t="shared" si="219"/>
        <v/>
      </c>
      <c r="BI482" s="27" t="str">
        <f t="shared" si="220"/>
        <v/>
      </c>
      <c r="BJ482" s="27" t="str">
        <f t="shared" si="221"/>
        <v/>
      </c>
      <c r="BK482" s="27" t="str">
        <f t="shared" si="222"/>
        <v/>
      </c>
      <c r="BL482" s="27" t="str">
        <f t="shared" si="223"/>
        <v/>
      </c>
      <c r="BM482" s="21" t="s">
        <v>3790</v>
      </c>
    </row>
    <row r="483" spans="1:65" ht="15">
      <c r="A483" s="25" t="str">
        <f>IFERROR(INDEX('Hun Demand'!W:W,MATCH(O483,'Hun Demand'!A:A,0)),"")</f>
        <v/>
      </c>
      <c r="B483" s="25" t="str">
        <f>IFERROR(INDEX('Hun Demand'!V:V,MATCH(O483,'Hun Demand'!A:A,0)),"")</f>
        <v/>
      </c>
      <c r="C483" s="25" t="str">
        <f>IFERROR(INDEX('Hun Demand'!U:U,MATCH(O483,'Hun Demand'!A:A,0)),"")</f>
        <v/>
      </c>
      <c r="D483" s="25" t="str">
        <f>IFERROR(INDEX('Hun Demand'!T:T,MATCH(O483,'Hun Demand'!A:A,0)),"")</f>
        <v/>
      </c>
      <c r="E483" s="25" t="str">
        <f>IFERROR(INDEX('Hun Demand'!S:S,MATCH(O483,'Hun Demand'!A:A,0)),"")</f>
        <v/>
      </c>
      <c r="F483" s="25" t="str">
        <f>IFERROR(INDEX('Hun Demand'!R:R,MATCH(O483,'Hun Demand'!A:A,0)),"")</f>
        <v/>
      </c>
      <c r="G483" s="25">
        <f>IFERROR(INDEX('Aub Demand'!W:W,MATCH(O483,'Aub Demand'!A:A,0)),"")</f>
        <v>0</v>
      </c>
      <c r="H483" s="25">
        <f>IFERROR(INDEX('Aub Demand'!V:V,MATCH(O483,'Aub Demand'!A:A,0)),"")</f>
        <v>7385</v>
      </c>
      <c r="I483" s="25">
        <f>IFERROR(INDEX('Aub Demand'!U:U,MATCH(O483,'Aub Demand'!A:A,0)),"")</f>
        <v>8302</v>
      </c>
      <c r="J483" s="25">
        <f>IFERROR(INDEX('Aub Demand'!T:T,MATCH(O483,'Aub Demand'!A:A,0)),"")</f>
        <v>3525</v>
      </c>
      <c r="K483" s="25">
        <f>IFERROR(INDEX('Aub Demand'!S:S,MATCH(O483,'Aub Demand'!A:A,0)),"")</f>
        <v>6677</v>
      </c>
      <c r="L483" s="25">
        <f>IFERROR(INDEX('Aub Demand'!R:R,MATCH(O483,'Aub Demand'!A:A,0)),"")</f>
        <v>0</v>
      </c>
      <c r="O483" s="27" t="s">
        <v>820</v>
      </c>
      <c r="P483" s="27" t="str">
        <f>IFERROR(INDEX('Aub Demand'!B:B,MATCH($O483,'Aub Demand'!$A:$A,0)),"")</f>
        <v>WOVEN GLASS # RAT 19</v>
      </c>
      <c r="Q483" s="27" t="str">
        <f>IFERROR(INDEX('Aub Demand'!C:C,MATCH($O483,'Aub Demand'!$A:$A,0)),"")</f>
        <v>CURRE</v>
      </c>
      <c r="R483" s="52">
        <f>IFERROR(IF(AR484=AR483,INDEX('Aub Demand'!K:K,MATCH($O483,'Aub Demand'!$A:$A,0))-IF(AN483="",0,AN483)+AP484,INDEX('Aub Demand'!K:K,MATCH($O483,'Aub Demand'!$A:$A,0))-IF(AN483="",0,AN483)),"")</f>
        <v>10567</v>
      </c>
      <c r="S483" s="53">
        <f t="shared" si="196"/>
        <v>7.3</v>
      </c>
      <c r="T483" s="52" t="str">
        <f t="shared" si="197"/>
        <v/>
      </c>
      <c r="U483" s="52">
        <f>IFERROR(IF(AR484=AR483,INDEX('Aub Demand'!Q:Q,MATCH($O483,'Aub Demand'!$A:$A,0))-IF(AN483="",0,AN483)+AP484,INDEX('Aub Demand'!Q:Q,MATCH($O483,'Aub Demand'!$A:$A,0))-IF(AN483="",0,AN483)),"")</f>
        <v>465</v>
      </c>
      <c r="V483" s="53">
        <f t="shared" si="198"/>
        <v>0.3</v>
      </c>
      <c r="W483" s="52">
        <f t="shared" si="199"/>
        <v>5055.4125000000004</v>
      </c>
      <c r="X483" s="52">
        <f>IFERROR(IF(AND(AR484=AR483,AM483&lt;&gt;""),INDEX('Aub Demand'!Q:Q,MATCH($O483,'Aub Demand'!$A:$A,0))-IF(AN483="",0,AN483)+AP484+AD483+AL483,IF(AR484=AR483,INDEX('Aub Demand'!Q:Q,MATCH($O483,'Aub Demand'!$A:$A,0))-IF(AN483="",0,AN483)+AP484+AD483,IF(AM483&lt;&gt;"",INDEX('Aub Demand'!Q:Q,MATCH($O483,'Aub Demand'!$A:$A,0))-IF(AN483="",0,AN483)+AD483+AL483,INDEX('Aub Demand'!Q:Q,MATCH($O483,'Aub Demand'!$A:$A,0))-IF(AN483="",0,AN483)+AD483))),"")</f>
        <v>465</v>
      </c>
      <c r="Y483" s="53">
        <f t="shared" si="200"/>
        <v>0.3</v>
      </c>
      <c r="Z483" s="52">
        <f>IF(L483="","",INDEX('Aub Demand'!H:H,MATCH($O483,'Aub Demand'!$A:$A,0)))</f>
        <v>6168</v>
      </c>
      <c r="AA483" s="52">
        <f t="shared" si="201"/>
        <v>7489.5</v>
      </c>
      <c r="AB483" s="52">
        <f>IFERROR(INDEX('Aub Demand'!L:L,MATCH($O483,'Aub Demand'!$A:$A,0)),"")</f>
        <v>4758</v>
      </c>
      <c r="AC483" s="52">
        <f>IFERROR(IF(O483="","",SUMIFS('CPL Mats'!F:F,'CPL Mats'!Q:Q,AR483,'CPL Mats'!S:S,AS483)),"")</f>
        <v>0</v>
      </c>
      <c r="AF483" s="25" t="str">
        <f>IF(SUMIFS('Supp Consol'!S:S,'Supp Consol'!Y:Y,"Releasable",'Supp Consol'!A:A,O483)=0,"",SUMIFS('Supp Consol'!S:S,'Supp Consol'!Y:Y,"Releasable",'Supp Consol'!A:A,O483))</f>
        <v/>
      </c>
      <c r="AG483" s="25" t="str">
        <f>IFERROR(INDEX('Hun Demand'!Q:Q,MATCH(O483,'Hun Demand'!A:A,0)),"")</f>
        <v/>
      </c>
      <c r="AH483" s="25" t="str">
        <f>IFERROR(INDEX('Hun Demand'!H:H,MATCH($O483,'Hun Demand'!$A:$A,0)),"")</f>
        <v/>
      </c>
      <c r="AI483" s="25" t="str">
        <f>IF(SUMIFS('Supp Consol'!AA:AA,'Supp Consol'!Z:Z,"Expires this month",'Supp Consol'!A:A,O483)=0,"",SUMIFS('Supp Consol'!AA:AA,'Supp Consol'!Z:Z,"Expires this month",'Supp Consol'!A:A,O483))</f>
        <v/>
      </c>
      <c r="AJ483" s="25" t="str">
        <f>IF(SUMIFS('Supp Consol'!AA:AA,'Supp Consol'!Z:Z,"Expired Previous Months",'Supp Consol'!A:A,O483)=0,"",SUMIFS('Supp Consol'!AA:AA,'Supp Consol'!Z:Z,"Expired Previous Months",'Supp Consol'!A:A,O483))</f>
        <v/>
      </c>
      <c r="AK483" s="25" t="str">
        <f>IFERROR(INDEX('Hun Release Current'!B:B,MATCH(O483,'Hun Release Current'!A:A,0)),"")</f>
        <v/>
      </c>
      <c r="AL483" s="25" t="str">
        <f>IF(SUMIF('Prev Aub'!A:A,O483,'Prev Aub'!B:B)=0,"",SUMIF('Prev Aub'!A:A,O483,'Prev Aub'!B:B))</f>
        <v/>
      </c>
      <c r="AN483" s="25" t="s">
        <v>3790</v>
      </c>
      <c r="AO483" s="25" t="s">
        <v>3790</v>
      </c>
      <c r="AP483" s="25">
        <f t="shared" si="202"/>
        <v>0</v>
      </c>
      <c r="AQ483" s="151" t="str">
        <f>IF(SUMIFS('Supp Consol'!S:S,'Supp Consol'!A:A,O483,'Supp Consol'!I:I,"PENDING")=0,"",SUMIFS('Supp Consol'!S:S,'Supp Consol'!A:A,O483,'Supp Consol'!I:I,"PENDING"))</f>
        <v/>
      </c>
      <c r="AR483" s="27" t="str">
        <f t="shared" si="203"/>
        <v>GC012</v>
      </c>
      <c r="AS483" s="27" t="str">
        <f t="shared" si="204"/>
        <v>50</v>
      </c>
      <c r="AT483" s="27" t="str">
        <f t="shared" si="205"/>
        <v/>
      </c>
      <c r="AU483" s="27" t="str">
        <f t="shared" si="206"/>
        <v>GC012</v>
      </c>
      <c r="AV483" s="27" t="str">
        <f t="shared" si="207"/>
        <v>GC012</v>
      </c>
      <c r="AW483" s="27" t="str">
        <f t="shared" si="208"/>
        <v/>
      </c>
      <c r="AX483" s="27" t="str">
        <f t="shared" si="209"/>
        <v/>
      </c>
      <c r="AY483" s="27" t="str">
        <f t="shared" si="210"/>
        <v/>
      </c>
      <c r="AZ483" s="27" t="str">
        <f t="shared" si="211"/>
        <v/>
      </c>
      <c r="BA483" s="27" t="str">
        <f t="shared" si="212"/>
        <v/>
      </c>
      <c r="BB483" s="27" t="str">
        <f t="shared" si="213"/>
        <v>Gross</v>
      </c>
      <c r="BC483" s="27" t="str">
        <f t="shared" si="214"/>
        <v>Net</v>
      </c>
      <c r="BD483" s="27" t="str">
        <f t="shared" si="215"/>
        <v>Net</v>
      </c>
      <c r="BE483" s="27" t="str">
        <f t="shared" si="216"/>
        <v/>
      </c>
      <c r="BF483" s="27" t="str">
        <f t="shared" si="217"/>
        <v/>
      </c>
      <c r="BG483" s="27" t="str">
        <f t="shared" si="218"/>
        <v/>
      </c>
      <c r="BH483" s="27" t="str">
        <f t="shared" si="219"/>
        <v/>
      </c>
      <c r="BI483" s="27" t="str">
        <f t="shared" si="220"/>
        <v/>
      </c>
      <c r="BJ483" s="27" t="str">
        <f t="shared" si="221"/>
        <v/>
      </c>
      <c r="BK483" s="27" t="str">
        <f t="shared" si="222"/>
        <v/>
      </c>
      <c r="BL483" s="27" t="str">
        <f t="shared" si="223"/>
        <v/>
      </c>
      <c r="BM483" s="21" t="s">
        <v>3790</v>
      </c>
    </row>
    <row r="484" spans="1:65" ht="15">
      <c r="A484" s="25" t="str">
        <f>IFERROR(INDEX('Hun Demand'!W:W,MATCH(O484,'Hun Demand'!A:A,0)),"")</f>
        <v/>
      </c>
      <c r="B484" s="25" t="str">
        <f>IFERROR(INDEX('Hun Demand'!V:V,MATCH(O484,'Hun Demand'!A:A,0)),"")</f>
        <v/>
      </c>
      <c r="C484" s="25" t="str">
        <f>IFERROR(INDEX('Hun Demand'!U:U,MATCH(O484,'Hun Demand'!A:A,0)),"")</f>
        <v/>
      </c>
      <c r="D484" s="25" t="str">
        <f>IFERROR(INDEX('Hun Demand'!T:T,MATCH(O484,'Hun Demand'!A:A,0)),"")</f>
        <v/>
      </c>
      <c r="E484" s="25" t="str">
        <f>IFERROR(INDEX('Hun Demand'!S:S,MATCH(O484,'Hun Demand'!A:A,0)),"")</f>
        <v/>
      </c>
      <c r="F484" s="25" t="str">
        <f>IFERROR(INDEX('Hun Demand'!R:R,MATCH(O484,'Hun Demand'!A:A,0)),"")</f>
        <v/>
      </c>
      <c r="G484" s="25">
        <f>IFERROR(INDEX('Aub Demand'!W:W,MATCH(O484,'Aub Demand'!A:A,0)),"")</f>
        <v>0</v>
      </c>
      <c r="H484" s="25">
        <f>IFERROR(INDEX('Aub Demand'!V:V,MATCH(O484,'Aub Demand'!A:A,0)),"")</f>
        <v>1627</v>
      </c>
      <c r="I484" s="25">
        <f>IFERROR(INDEX('Aub Demand'!U:U,MATCH(O484,'Aub Demand'!A:A,0)),"")</f>
        <v>0</v>
      </c>
      <c r="J484" s="25">
        <f>IFERROR(INDEX('Aub Demand'!T:T,MATCH(O484,'Aub Demand'!A:A,0)),"")</f>
        <v>1143</v>
      </c>
      <c r="K484" s="25">
        <f>IFERROR(INDEX('Aub Demand'!S:S,MATCH(O484,'Aub Demand'!A:A,0)),"")</f>
        <v>4299</v>
      </c>
      <c r="L484" s="25">
        <f>IFERROR(INDEX('Aub Demand'!R:R,MATCH(O484,'Aub Demand'!A:A,0)),"")</f>
        <v>0</v>
      </c>
      <c r="O484" s="27" t="s">
        <v>825</v>
      </c>
      <c r="P484" s="27" t="str">
        <f>IFERROR(INDEX('Aub Demand'!B:B,MATCH($O484,'Aub Demand'!$A:$A,0)),"")</f>
        <v>WOVEN GLASS # RAT 19</v>
      </c>
      <c r="Q484" s="27" t="str">
        <f>IFERROR(INDEX('Aub Demand'!C:C,MATCH($O484,'Aub Demand'!$A:$A,0)),"")</f>
        <v>BGF I</v>
      </c>
      <c r="R484" s="52">
        <f>IFERROR(IF(AR485=AR484,INDEX('Aub Demand'!K:K,MATCH($O484,'Aub Demand'!$A:$A,0))-IF(AN484="",0,AN484)+AP485,INDEX('Aub Demand'!K:K,MATCH($O484,'Aub Demand'!$A:$A,0))-IF(AN484="",0,AN484)),"")</f>
        <v>0</v>
      </c>
      <c r="S484" s="53">
        <f t="shared" si="196"/>
        <v>0</v>
      </c>
      <c r="T484" s="52">
        <f t="shared" si="197"/>
        <v>2040.75</v>
      </c>
      <c r="U484" s="52">
        <f>IFERROR(IF(AR485=AR484,INDEX('Aub Demand'!Q:Q,MATCH($O484,'Aub Demand'!$A:$A,0))-IF(AN484="",0,AN484)+AP485,INDEX('Aub Demand'!Q:Q,MATCH($O484,'Aub Demand'!$A:$A,0))-IF(AN484="",0,AN484)),"")</f>
        <v>-4823</v>
      </c>
      <c r="V484" s="53">
        <f t="shared" si="198"/>
        <v>-11.4</v>
      </c>
      <c r="W484" s="52">
        <f t="shared" si="199"/>
        <v>9795.6</v>
      </c>
      <c r="X484" s="52">
        <f>IFERROR(IF(AND(AR485=AR484,AM484&lt;&gt;""),INDEX('Aub Demand'!Q:Q,MATCH($O484,'Aub Demand'!$A:$A,0))-IF(AN484="",0,AN484)+AP485+AD484+AL484,IF(AR485=AR484,INDEX('Aub Demand'!Q:Q,MATCH($O484,'Aub Demand'!$A:$A,0))-IF(AN484="",0,AN484)+AP485+AD484,IF(AM484&lt;&gt;"",INDEX('Aub Demand'!Q:Q,MATCH($O484,'Aub Demand'!$A:$A,0))-IF(AN484="",0,AN484)+AD484+AL484,INDEX('Aub Demand'!Q:Q,MATCH($O484,'Aub Demand'!$A:$A,0))-IF(AN484="",0,AN484)+AD484))),"")</f>
        <v>-4823</v>
      </c>
      <c r="Y484" s="53">
        <f t="shared" si="200"/>
        <v>-11.4</v>
      </c>
      <c r="Z484" s="52">
        <f>IF(L484="","",INDEX('Aub Demand'!H:H,MATCH($O484,'Aub Demand'!$A:$A,0)))</f>
        <v>1814</v>
      </c>
      <c r="AA484" s="52">
        <f t="shared" si="201"/>
        <v>2721</v>
      </c>
      <c r="AB484" s="52">
        <f>IFERROR(INDEX('Aub Demand'!L:L,MATCH($O484,'Aub Demand'!$A:$A,0)),"")</f>
        <v>3646</v>
      </c>
      <c r="AC484" s="52">
        <f>IFERROR(IF(O484="","",SUMIFS('CPL Mats'!F:F,'CPL Mats'!Q:Q,AR484,'CPL Mats'!S:S,AS484)),"")</f>
        <v>0</v>
      </c>
      <c r="AF484" s="25" t="str">
        <f>IF(SUMIFS('Supp Consol'!S:S,'Supp Consol'!Y:Y,"Releasable",'Supp Consol'!A:A,O484)=0,"",SUMIFS('Supp Consol'!S:S,'Supp Consol'!Y:Y,"Releasable",'Supp Consol'!A:A,O484))</f>
        <v/>
      </c>
      <c r="AG484" s="25" t="str">
        <f>IFERROR(INDEX('Hun Demand'!Q:Q,MATCH(O484,'Hun Demand'!A:A,0)),"")</f>
        <v/>
      </c>
      <c r="AH484" s="25" t="str">
        <f>IFERROR(INDEX('Hun Demand'!H:H,MATCH($O484,'Hun Demand'!$A:$A,0)),"")</f>
        <v/>
      </c>
      <c r="AI484" s="25" t="str">
        <f>IF(SUMIFS('Supp Consol'!AA:AA,'Supp Consol'!Z:Z,"Expires this month",'Supp Consol'!A:A,O484)=0,"",SUMIFS('Supp Consol'!AA:AA,'Supp Consol'!Z:Z,"Expires this month",'Supp Consol'!A:A,O484))</f>
        <v/>
      </c>
      <c r="AJ484" s="25" t="str">
        <f>IF(SUMIFS('Supp Consol'!AA:AA,'Supp Consol'!Z:Z,"Expired Previous Months",'Supp Consol'!A:A,O484)=0,"",SUMIFS('Supp Consol'!AA:AA,'Supp Consol'!Z:Z,"Expired Previous Months",'Supp Consol'!A:A,O484))</f>
        <v/>
      </c>
      <c r="AK484" s="25" t="str">
        <f>IFERROR(INDEX('Hun Release Current'!B:B,MATCH(O484,'Hun Release Current'!A:A,0)),"")</f>
        <v/>
      </c>
      <c r="AL484" s="25" t="str">
        <f>IF(SUMIF('Prev Aub'!A:A,O484,'Prev Aub'!B:B)=0,"",SUMIF('Prev Aub'!A:A,O484,'Prev Aub'!B:B))</f>
        <v/>
      </c>
      <c r="AN484" s="25" t="s">
        <v>3790</v>
      </c>
      <c r="AO484" s="25" t="s">
        <v>3790</v>
      </c>
      <c r="AP484" s="25">
        <f t="shared" si="202"/>
        <v>0</v>
      </c>
      <c r="AQ484" s="151" t="str">
        <f>IF(SUMIFS('Supp Consol'!S:S,'Supp Consol'!A:A,O484,'Supp Consol'!I:I,"PENDING")=0,"",SUMIFS('Supp Consol'!S:S,'Supp Consol'!A:A,O484,'Supp Consol'!I:I,"PENDING"))</f>
        <v/>
      </c>
      <c r="AR484" s="27" t="str">
        <f t="shared" si="203"/>
        <v>GC012</v>
      </c>
      <c r="AS484" s="27" t="str">
        <f t="shared" si="204"/>
        <v>62</v>
      </c>
      <c r="AT484" s="27" t="str">
        <f t="shared" si="205"/>
        <v>GC012</v>
      </c>
      <c r="AU484" s="27" t="str">
        <f t="shared" si="206"/>
        <v>GC012</v>
      </c>
      <c r="AV484" s="27" t="str">
        <f t="shared" si="207"/>
        <v>GC012</v>
      </c>
      <c r="AW484" s="27" t="str">
        <f t="shared" si="208"/>
        <v/>
      </c>
      <c r="AX484" s="27" t="str">
        <f t="shared" si="209"/>
        <v/>
      </c>
      <c r="AY484" s="27" t="str">
        <f t="shared" si="210"/>
        <v/>
      </c>
      <c r="AZ484" s="27" t="str">
        <f t="shared" si="211"/>
        <v/>
      </c>
      <c r="BA484" s="27" t="str">
        <f t="shared" si="212"/>
        <v/>
      </c>
      <c r="BB484" s="27" t="str">
        <f t="shared" si="213"/>
        <v>Gross</v>
      </c>
      <c r="BC484" s="27" t="str">
        <f t="shared" si="214"/>
        <v>Net</v>
      </c>
      <c r="BD484" s="27" t="str">
        <f t="shared" si="215"/>
        <v>Net</v>
      </c>
      <c r="BE484" s="27" t="str">
        <f t="shared" si="216"/>
        <v/>
      </c>
      <c r="BF484" s="27" t="str">
        <f t="shared" si="217"/>
        <v/>
      </c>
      <c r="BG484" s="27" t="str">
        <f t="shared" si="218"/>
        <v/>
      </c>
      <c r="BH484" s="27" t="str">
        <f t="shared" si="219"/>
        <v/>
      </c>
      <c r="BI484" s="27" t="str">
        <f t="shared" si="220"/>
        <v/>
      </c>
      <c r="BJ484" s="27" t="str">
        <f t="shared" si="221"/>
        <v/>
      </c>
      <c r="BK484" s="27" t="str">
        <f t="shared" si="222"/>
        <v/>
      </c>
      <c r="BL484" s="27" t="str">
        <f t="shared" si="223"/>
        <v/>
      </c>
      <c r="BM484" s="21" t="s">
        <v>3790</v>
      </c>
    </row>
    <row r="485" spans="1:65" ht="15">
      <c r="A485" s="25" t="str">
        <f>IFERROR(INDEX('Hun Demand'!W:W,MATCH(O485,'Hun Demand'!A:A,0)),"")</f>
        <v/>
      </c>
      <c r="B485" s="25" t="str">
        <f>IFERROR(INDEX('Hun Demand'!V:V,MATCH(O485,'Hun Demand'!A:A,0)),"")</f>
        <v/>
      </c>
      <c r="C485" s="25" t="str">
        <f>IFERROR(INDEX('Hun Demand'!U:U,MATCH(O485,'Hun Demand'!A:A,0)),"")</f>
        <v/>
      </c>
      <c r="D485" s="25" t="str">
        <f>IFERROR(INDEX('Hun Demand'!T:T,MATCH(O485,'Hun Demand'!A:A,0)),"")</f>
        <v/>
      </c>
      <c r="E485" s="25" t="str">
        <f>IFERROR(INDEX('Hun Demand'!S:S,MATCH(O485,'Hun Demand'!A:A,0)),"")</f>
        <v/>
      </c>
      <c r="F485" s="25" t="str">
        <f>IFERROR(INDEX('Hun Demand'!R:R,MATCH(O485,'Hun Demand'!A:A,0)),"")</f>
        <v/>
      </c>
      <c r="G485" s="25">
        <f>IFERROR(INDEX('Aub Demand'!W:W,MATCH(O485,'Aub Demand'!A:A,0)),"")</f>
        <v>0</v>
      </c>
      <c r="H485" s="25">
        <f>IFERROR(INDEX('Aub Demand'!V:V,MATCH(O485,'Aub Demand'!A:A,0)),"")</f>
        <v>0</v>
      </c>
      <c r="I485" s="25">
        <f>IFERROR(INDEX('Aub Demand'!U:U,MATCH(O485,'Aub Demand'!A:A,0)),"")</f>
        <v>0</v>
      </c>
      <c r="J485" s="25">
        <f>IFERROR(INDEX('Aub Demand'!T:T,MATCH(O485,'Aub Demand'!A:A,0)),"")</f>
        <v>0</v>
      </c>
      <c r="K485" s="25">
        <f>IFERROR(INDEX('Aub Demand'!S:S,MATCH(O485,'Aub Demand'!A:A,0)),"")</f>
        <v>0</v>
      </c>
      <c r="L485" s="25">
        <f>IFERROR(INDEX('Aub Demand'!R:R,MATCH(O485,'Aub Demand'!A:A,0)),"")</f>
        <v>0</v>
      </c>
      <c r="O485" s="27" t="s">
        <v>2183</v>
      </c>
      <c r="P485" s="27" t="str">
        <f>IFERROR(INDEX('Aub Demand'!B:B,MATCH($O485,'Aub Demand'!$A:$A,0)),"")</f>
        <v>GLACIER II 62"</v>
      </c>
      <c r="Q485" s="27" t="str">
        <f>IFERROR(INDEX('Aub Demand'!C:C,MATCH($O485,'Aub Demand'!$A:$A,0)),"")</f>
        <v>SUDDE</v>
      </c>
      <c r="R485" s="52">
        <f>IFERROR(IF(AR486=AR485,INDEX('Aub Demand'!K:K,MATCH($O485,'Aub Demand'!$A:$A,0))-IF(AN485="",0,AN485)+AP486,INDEX('Aub Demand'!K:K,MATCH($O485,'Aub Demand'!$A:$A,0))-IF(AN485="",0,AN485)),"")</f>
        <v>2230</v>
      </c>
      <c r="S485" s="53" t="str">
        <f t="shared" si="196"/>
        <v>n/a</v>
      </c>
      <c r="T485" s="52" t="str">
        <f t="shared" si="197"/>
        <v/>
      </c>
      <c r="U485" s="52">
        <f>IFERROR(IF(AR486=AR485,INDEX('Aub Demand'!Q:Q,MATCH($O485,'Aub Demand'!$A:$A,0))-IF(AN485="",0,AN485)+AP486,INDEX('Aub Demand'!Q:Q,MATCH($O485,'Aub Demand'!$A:$A,0))-IF(AN485="",0,AN485)),"")</f>
        <v>2230</v>
      </c>
      <c r="V485" s="53" t="str">
        <f t="shared" si="198"/>
        <v>n/a</v>
      </c>
      <c r="W485" s="52" t="str">
        <f t="shared" si="199"/>
        <v/>
      </c>
      <c r="X485" s="52">
        <f>IFERROR(IF(AND(AR486=AR485,AM485&lt;&gt;""),INDEX('Aub Demand'!Q:Q,MATCH($O485,'Aub Demand'!$A:$A,0))-IF(AN485="",0,AN485)+AP486+AD485+AL485,IF(AR486=AR485,INDEX('Aub Demand'!Q:Q,MATCH($O485,'Aub Demand'!$A:$A,0))-IF(AN485="",0,AN485)+AP486+AD485,IF(AM485&lt;&gt;"",INDEX('Aub Demand'!Q:Q,MATCH($O485,'Aub Demand'!$A:$A,0))-IF(AN485="",0,AN485)+AD485+AL485,INDEX('Aub Demand'!Q:Q,MATCH($O485,'Aub Demand'!$A:$A,0))-IF(AN485="",0,AN485)+AD485))),"")</f>
        <v>2230</v>
      </c>
      <c r="Y485" s="53" t="str">
        <f t="shared" si="200"/>
        <v>n/a</v>
      </c>
      <c r="Z485" s="52">
        <f>IF(L485="","",INDEX('Aub Demand'!H:H,MATCH($O485,'Aub Demand'!$A:$A,0)))</f>
        <v>0</v>
      </c>
      <c r="AA485" s="52" t="str">
        <f t="shared" si="201"/>
        <v>-spike-</v>
      </c>
      <c r="AB485" s="52">
        <f>IFERROR(INDEX('Aub Demand'!L:L,MATCH($O485,'Aub Demand'!$A:$A,0)),"")</f>
        <v>0</v>
      </c>
      <c r="AC485" s="52">
        <f>IFERROR(IF(O485="","",SUMIFS('CPL Mats'!F:F,'CPL Mats'!Q:Q,AR485,'CPL Mats'!S:S,AS485)),"")</f>
        <v>0</v>
      </c>
      <c r="AF485" s="25" t="str">
        <f>IF(SUMIFS('Supp Consol'!S:S,'Supp Consol'!Y:Y,"Releasable",'Supp Consol'!A:A,O485)=0,"",SUMIFS('Supp Consol'!S:S,'Supp Consol'!Y:Y,"Releasable",'Supp Consol'!A:A,O485))</f>
        <v/>
      </c>
      <c r="AG485" s="25" t="str">
        <f>IFERROR(INDEX('Hun Demand'!Q:Q,MATCH(O485,'Hun Demand'!A:A,0)),"")</f>
        <v/>
      </c>
      <c r="AH485" s="25" t="str">
        <f>IFERROR(INDEX('Hun Demand'!H:H,MATCH($O485,'Hun Demand'!$A:$A,0)),"")</f>
        <v/>
      </c>
      <c r="AI485" s="25" t="str">
        <f>IF(SUMIFS('Supp Consol'!AA:AA,'Supp Consol'!Z:Z,"Expires this month",'Supp Consol'!A:A,O485)=0,"",SUMIFS('Supp Consol'!AA:AA,'Supp Consol'!Z:Z,"Expires this month",'Supp Consol'!A:A,O485))</f>
        <v/>
      </c>
      <c r="AJ485" s="25" t="str">
        <f>IF(SUMIFS('Supp Consol'!AA:AA,'Supp Consol'!Z:Z,"Expired Previous Months",'Supp Consol'!A:A,O485)=0,"",SUMIFS('Supp Consol'!AA:AA,'Supp Consol'!Z:Z,"Expired Previous Months",'Supp Consol'!A:A,O485))</f>
        <v/>
      </c>
      <c r="AK485" s="25" t="str">
        <f>IFERROR(INDEX('Hun Release Current'!B:B,MATCH(O485,'Hun Release Current'!A:A,0)),"")</f>
        <v/>
      </c>
      <c r="AL485" s="25" t="str">
        <f>IF(SUMIF('Prev Aub'!A:A,O485,'Prev Aub'!B:B)=0,"",SUMIF('Prev Aub'!A:A,O485,'Prev Aub'!B:B))</f>
        <v/>
      </c>
      <c r="AN485" s="25" t="s">
        <v>3790</v>
      </c>
      <c r="AO485" s="25" t="s">
        <v>3790</v>
      </c>
      <c r="AP485" s="25">
        <f t="shared" si="202"/>
        <v>0</v>
      </c>
      <c r="AQ485" s="151" t="str">
        <f>IF(SUMIFS('Supp Consol'!S:S,'Supp Consol'!A:A,O485,'Supp Consol'!I:I,"PENDING")=0,"",SUMIFS('Supp Consol'!S:S,'Supp Consol'!A:A,O485,'Supp Consol'!I:I,"PENDING"))</f>
        <v/>
      </c>
      <c r="AR485" s="27" t="str">
        <f t="shared" si="203"/>
        <v>GC702</v>
      </c>
      <c r="AS485" s="27" t="str">
        <f t="shared" si="204"/>
        <v>62</v>
      </c>
      <c r="AT485" s="27" t="str">
        <f t="shared" si="205"/>
        <v/>
      </c>
      <c r="AU485" s="27" t="str">
        <f t="shared" si="206"/>
        <v/>
      </c>
      <c r="AV485" s="27" t="str">
        <f t="shared" si="207"/>
        <v/>
      </c>
      <c r="AW485" s="27" t="str">
        <f t="shared" si="208"/>
        <v/>
      </c>
      <c r="AX485" s="27" t="str">
        <f t="shared" si="209"/>
        <v/>
      </c>
      <c r="AY485" s="27" t="str">
        <f t="shared" si="210"/>
        <v/>
      </c>
      <c r="AZ485" s="27" t="str">
        <f t="shared" si="211"/>
        <v/>
      </c>
      <c r="BA485" s="27" t="str">
        <f t="shared" si="212"/>
        <v/>
      </c>
      <c r="BB485" s="27" t="str">
        <f t="shared" si="213"/>
        <v/>
      </c>
      <c r="BC485" s="27" t="str">
        <f t="shared" si="214"/>
        <v/>
      </c>
      <c r="BD485" s="27" t="str">
        <f t="shared" si="215"/>
        <v/>
      </c>
      <c r="BE485" s="27" t="str">
        <f t="shared" si="216"/>
        <v/>
      </c>
      <c r="BF485" s="27" t="str">
        <f t="shared" si="217"/>
        <v/>
      </c>
      <c r="BG485" s="27" t="str">
        <f t="shared" si="218"/>
        <v/>
      </c>
      <c r="BH485" s="27" t="str">
        <f t="shared" si="219"/>
        <v/>
      </c>
      <c r="BI485" s="27" t="str">
        <f t="shared" si="220"/>
        <v/>
      </c>
      <c r="BJ485" s="27" t="str">
        <f t="shared" si="221"/>
        <v/>
      </c>
      <c r="BK485" s="27" t="str">
        <f t="shared" si="222"/>
        <v/>
      </c>
      <c r="BL485" s="27" t="str">
        <f t="shared" si="223"/>
        <v/>
      </c>
      <c r="BM485" s="21" t="s">
        <v>3790</v>
      </c>
    </row>
    <row r="486" spans="1:65" ht="15">
      <c r="A486" s="25" t="str">
        <f>IFERROR(INDEX('Hun Demand'!W:W,MATCH(O486,'Hun Demand'!A:A,0)),"")</f>
        <v/>
      </c>
      <c r="B486" s="25" t="str">
        <f>IFERROR(INDEX('Hun Demand'!V:V,MATCH(O486,'Hun Demand'!A:A,0)),"")</f>
        <v/>
      </c>
      <c r="C486" s="25" t="str">
        <f>IFERROR(INDEX('Hun Demand'!U:U,MATCH(O486,'Hun Demand'!A:A,0)),"")</f>
        <v/>
      </c>
      <c r="D486" s="25" t="str">
        <f>IFERROR(INDEX('Hun Demand'!T:T,MATCH(O486,'Hun Demand'!A:A,0)),"")</f>
        <v/>
      </c>
      <c r="E486" s="25" t="str">
        <f>IFERROR(INDEX('Hun Demand'!S:S,MATCH(O486,'Hun Demand'!A:A,0)),"")</f>
        <v/>
      </c>
      <c r="F486" s="25" t="str">
        <f>IFERROR(INDEX('Hun Demand'!R:R,MATCH(O486,'Hun Demand'!A:A,0)),"")</f>
        <v/>
      </c>
      <c r="G486" s="25">
        <f>IFERROR(INDEX('Aub Demand'!W:W,MATCH(O486,'Aub Demand'!A:A,0)),"")</f>
        <v>85</v>
      </c>
      <c r="H486" s="25">
        <f>IFERROR(INDEX('Aub Demand'!V:V,MATCH(O486,'Aub Demand'!A:A,0)),"")</f>
        <v>41</v>
      </c>
      <c r="I486" s="25">
        <f>IFERROR(INDEX('Aub Demand'!U:U,MATCH(O486,'Aub Demand'!A:A,0)),"")</f>
        <v>31</v>
      </c>
      <c r="J486" s="25">
        <f>IFERROR(INDEX('Aub Demand'!T:T,MATCH(O486,'Aub Demand'!A:A,0)),"")</f>
        <v>37</v>
      </c>
      <c r="K486" s="25">
        <f>IFERROR(INDEX('Aub Demand'!S:S,MATCH(O486,'Aub Demand'!A:A,0)),"")</f>
        <v>6</v>
      </c>
      <c r="L486" s="25">
        <f>IFERROR(INDEX('Aub Demand'!R:R,MATCH(O486,'Aub Demand'!A:A,0)),"")</f>
        <v>0</v>
      </c>
      <c r="O486" s="27" t="s">
        <v>2187</v>
      </c>
      <c r="P486" s="27" t="str">
        <f>IFERROR(INDEX('Aub Demand'!B:B,MATCH($O486,'Aub Demand'!$A:$A,0)),"")</f>
        <v>WOODSTOCK GRANITE 62</v>
      </c>
      <c r="Q486" s="27" t="str">
        <f>IFERROR(INDEX('Aub Demand'!C:C,MATCH($O486,'Aub Demand'!$A:$A,0)),"")</f>
        <v>SUDDE</v>
      </c>
      <c r="R486" s="52">
        <f>IFERROR(IF(AR487=AR486,INDEX('Aub Demand'!K:K,MATCH($O486,'Aub Demand'!$A:$A,0))-IF(AN486="",0,AN486)+AP487,INDEX('Aub Demand'!K:K,MATCH($O486,'Aub Demand'!$A:$A,0))-IF(AN486="",0,AN486)),"")</f>
        <v>412</v>
      </c>
      <c r="S486" s="53">
        <f t="shared" si="196"/>
        <v>70.599999999999994</v>
      </c>
      <c r="T486" s="52" t="str">
        <f t="shared" si="197"/>
        <v/>
      </c>
      <c r="U486" s="52">
        <f>IFERROR(IF(AR487=AR486,INDEX('Aub Demand'!Q:Q,MATCH($O486,'Aub Demand'!$A:$A,0))-IF(AN486="",0,AN486)+AP487,INDEX('Aub Demand'!Q:Q,MATCH($O486,'Aub Demand'!$A:$A,0))-IF(AN486="",0,AN486)),"")</f>
        <v>412</v>
      </c>
      <c r="V486" s="53">
        <f t="shared" si="198"/>
        <v>70.599999999999994</v>
      </c>
      <c r="W486" s="52" t="str">
        <f t="shared" si="199"/>
        <v/>
      </c>
      <c r="X486" s="52">
        <f>IFERROR(IF(AND(AR487=AR486,AM486&lt;&gt;""),INDEX('Aub Demand'!Q:Q,MATCH($O486,'Aub Demand'!$A:$A,0))-IF(AN486="",0,AN486)+AP487+AD486+AL486,IF(AR487=AR486,INDEX('Aub Demand'!Q:Q,MATCH($O486,'Aub Demand'!$A:$A,0))-IF(AN486="",0,AN486)+AP487+AD486,IF(AM486&lt;&gt;"",INDEX('Aub Demand'!Q:Q,MATCH($O486,'Aub Demand'!$A:$A,0))-IF(AN486="",0,AN486)+AD486+AL486,INDEX('Aub Demand'!Q:Q,MATCH($O486,'Aub Demand'!$A:$A,0))-IF(AN486="",0,AN486)+AD486))),"")</f>
        <v>412</v>
      </c>
      <c r="Y486" s="53">
        <f t="shared" si="200"/>
        <v>70.599999999999994</v>
      </c>
      <c r="Z486" s="52">
        <f>IF(L486="","",INDEX('Aub Demand'!H:H,MATCH($O486,'Aub Demand'!$A:$A,0)))</f>
        <v>25</v>
      </c>
      <c r="AA486" s="52">
        <f t="shared" si="201"/>
        <v>34</v>
      </c>
      <c r="AB486" s="52">
        <f>IFERROR(INDEX('Aub Demand'!L:L,MATCH($O486,'Aub Demand'!$A:$A,0)),"")</f>
        <v>4</v>
      </c>
      <c r="AC486" s="52">
        <f>IFERROR(IF(O486="","",SUMIFS('CPL Mats'!F:F,'CPL Mats'!Q:Q,AR486,'CPL Mats'!S:S,AS486)),"")</f>
        <v>0</v>
      </c>
      <c r="AF486" s="25">
        <f>IF(SUMIFS('Supp Consol'!S:S,'Supp Consol'!Y:Y,"Releasable",'Supp Consol'!A:A,O486)=0,"",SUMIFS('Supp Consol'!S:S,'Supp Consol'!Y:Y,"Releasable",'Supp Consol'!A:A,O486))</f>
        <v>2585</v>
      </c>
      <c r="AG486" s="25" t="str">
        <f>IFERROR(INDEX('Hun Demand'!Q:Q,MATCH(O486,'Hun Demand'!A:A,0)),"")</f>
        <v/>
      </c>
      <c r="AH486" s="25" t="str">
        <f>IFERROR(INDEX('Hun Demand'!H:H,MATCH($O486,'Hun Demand'!$A:$A,0)),"")</f>
        <v/>
      </c>
      <c r="AI486" s="25" t="str">
        <f>IF(SUMIFS('Supp Consol'!AA:AA,'Supp Consol'!Z:Z,"Expires this month",'Supp Consol'!A:A,O486)=0,"",SUMIFS('Supp Consol'!AA:AA,'Supp Consol'!Z:Z,"Expires this month",'Supp Consol'!A:A,O486))</f>
        <v/>
      </c>
      <c r="AJ486" s="25" t="str">
        <f>IF(SUMIFS('Supp Consol'!AA:AA,'Supp Consol'!Z:Z,"Expired Previous Months",'Supp Consol'!A:A,O486)=0,"",SUMIFS('Supp Consol'!AA:AA,'Supp Consol'!Z:Z,"Expired Previous Months",'Supp Consol'!A:A,O486))</f>
        <v/>
      </c>
      <c r="AK486" s="25" t="str">
        <f>IFERROR(INDEX('Hun Release Current'!B:B,MATCH(O486,'Hun Release Current'!A:A,0)),"")</f>
        <v/>
      </c>
      <c r="AL486" s="25" t="str">
        <f>IF(SUMIF('Prev Aub'!A:A,O486,'Prev Aub'!B:B)=0,"",SUMIF('Prev Aub'!A:A,O486,'Prev Aub'!B:B))</f>
        <v/>
      </c>
      <c r="AN486" s="25" t="s">
        <v>3790</v>
      </c>
      <c r="AO486" s="25" t="s">
        <v>3790</v>
      </c>
      <c r="AP486" s="25">
        <f t="shared" si="202"/>
        <v>0</v>
      </c>
      <c r="AQ486" s="151" t="str">
        <f>IF(SUMIFS('Supp Consol'!S:S,'Supp Consol'!A:A,O486,'Supp Consol'!I:I,"PENDING")=0,"",SUMIFS('Supp Consol'!S:S,'Supp Consol'!A:A,O486,'Supp Consol'!I:I,"PENDING"))</f>
        <v/>
      </c>
      <c r="AR486" s="27" t="str">
        <f t="shared" si="203"/>
        <v>GR204</v>
      </c>
      <c r="AS486" s="27" t="str">
        <f t="shared" si="204"/>
        <v>62</v>
      </c>
      <c r="AT486" s="27" t="str">
        <f t="shared" si="205"/>
        <v/>
      </c>
      <c r="AU486" s="27" t="str">
        <f t="shared" si="206"/>
        <v/>
      </c>
      <c r="AV486" s="27" t="str">
        <f t="shared" si="207"/>
        <v/>
      </c>
      <c r="AW486" s="27" t="str">
        <f t="shared" si="208"/>
        <v/>
      </c>
      <c r="AX486" s="27" t="str">
        <f t="shared" si="209"/>
        <v>GR204</v>
      </c>
      <c r="AY486" s="27" t="str">
        <f t="shared" si="210"/>
        <v/>
      </c>
      <c r="AZ486" s="27" t="str">
        <f t="shared" si="211"/>
        <v>Supp</v>
      </c>
      <c r="BA486" s="27" t="str">
        <f t="shared" si="212"/>
        <v/>
      </c>
      <c r="BB486" s="27" t="str">
        <f t="shared" si="213"/>
        <v/>
      </c>
      <c r="BC486" s="27" t="str">
        <f t="shared" si="214"/>
        <v/>
      </c>
      <c r="BD486" s="27" t="str">
        <f t="shared" si="215"/>
        <v/>
      </c>
      <c r="BE486" s="27" t="str">
        <f t="shared" si="216"/>
        <v/>
      </c>
      <c r="BF486" s="27" t="str">
        <f t="shared" si="217"/>
        <v/>
      </c>
      <c r="BG486" s="27" t="str">
        <f t="shared" si="218"/>
        <v/>
      </c>
      <c r="BH486" s="27" t="str">
        <f t="shared" si="219"/>
        <v/>
      </c>
      <c r="BI486" s="27" t="str">
        <f t="shared" si="220"/>
        <v/>
      </c>
      <c r="BJ486" s="27" t="str">
        <f t="shared" si="221"/>
        <v>Supp or Hun</v>
      </c>
      <c r="BK486" s="27" t="str">
        <f t="shared" si="222"/>
        <v/>
      </c>
      <c r="BL486" s="27" t="str">
        <f t="shared" si="223"/>
        <v/>
      </c>
      <c r="BM486" s="21" t="s">
        <v>5581</v>
      </c>
    </row>
    <row r="487" spans="1:65" ht="15">
      <c r="A487" s="25" t="str">
        <f>IFERROR(INDEX('Hun Demand'!W:W,MATCH(O487,'Hun Demand'!A:A,0)),"")</f>
        <v/>
      </c>
      <c r="B487" s="25" t="str">
        <f>IFERROR(INDEX('Hun Demand'!V:V,MATCH(O487,'Hun Demand'!A:A,0)),"")</f>
        <v/>
      </c>
      <c r="C487" s="25" t="str">
        <f>IFERROR(INDEX('Hun Demand'!U:U,MATCH(O487,'Hun Demand'!A:A,0)),"")</f>
        <v/>
      </c>
      <c r="D487" s="25" t="str">
        <f>IFERROR(INDEX('Hun Demand'!T:T,MATCH(O487,'Hun Demand'!A:A,0)),"")</f>
        <v/>
      </c>
      <c r="E487" s="25" t="str">
        <f>IFERROR(INDEX('Hun Demand'!S:S,MATCH(O487,'Hun Demand'!A:A,0)),"")</f>
        <v/>
      </c>
      <c r="F487" s="25" t="str">
        <f>IFERROR(INDEX('Hun Demand'!R:R,MATCH(O487,'Hun Demand'!A:A,0)),"")</f>
        <v/>
      </c>
      <c r="G487" s="25">
        <f>IFERROR(INDEX('Aub Demand'!W:W,MATCH(O487,'Aub Demand'!A:A,0)),"")</f>
        <v>0</v>
      </c>
      <c r="H487" s="25">
        <f>IFERROR(INDEX('Aub Demand'!V:V,MATCH(O487,'Aub Demand'!A:A,0)),"")</f>
        <v>0</v>
      </c>
      <c r="I487" s="25">
        <f>IFERROR(INDEX('Aub Demand'!U:U,MATCH(O487,'Aub Demand'!A:A,0)),"")</f>
        <v>9</v>
      </c>
      <c r="J487" s="25">
        <f>IFERROR(INDEX('Aub Demand'!T:T,MATCH(O487,'Aub Demand'!A:A,0)),"")</f>
        <v>10</v>
      </c>
      <c r="K487" s="25">
        <f>IFERROR(INDEX('Aub Demand'!S:S,MATCH(O487,'Aub Demand'!A:A,0)),"")</f>
        <v>0</v>
      </c>
      <c r="L487" s="25">
        <f>IFERROR(INDEX('Aub Demand'!R:R,MATCH(O487,'Aub Demand'!A:A,0)),"")</f>
        <v>9</v>
      </c>
      <c r="O487" s="27" t="s">
        <v>2189</v>
      </c>
      <c r="P487" s="27" t="str">
        <f>IFERROR(INDEX('Aub Demand'!B:B,MATCH($O487,'Aub Demand'!$A:$A,0)),"")</f>
        <v>MADURA GOLD GRANITE</v>
      </c>
      <c r="Q487" s="27" t="str">
        <f>IFERROR(INDEX('Aub Demand'!C:C,MATCH($O487,'Aub Demand'!$A:$A,0)),"")</f>
        <v>SUDDE</v>
      </c>
      <c r="R487" s="52">
        <f>IFERROR(IF(AR488=AR487,INDEX('Aub Demand'!K:K,MATCH($O487,'Aub Demand'!$A:$A,0))-IF(AN487="",0,AN487)+AP488,INDEX('Aub Demand'!K:K,MATCH($O487,'Aub Demand'!$A:$A,0))-IF(AN487="",0,AN487)),"")</f>
        <v>0</v>
      </c>
      <c r="S487" s="53">
        <f t="shared" si="196"/>
        <v>0</v>
      </c>
      <c r="T487" s="52">
        <f t="shared" si="197"/>
        <v>7.125</v>
      </c>
      <c r="U487" s="52">
        <f>IFERROR(IF(AR488=AR487,INDEX('Aub Demand'!Q:Q,MATCH($O487,'Aub Demand'!$A:$A,0))-IF(AN487="",0,AN487)+AP488,INDEX('Aub Demand'!Q:Q,MATCH($O487,'Aub Demand'!$A:$A,0))-IF(AN487="",0,AN487)),"")</f>
        <v>-22</v>
      </c>
      <c r="V487" s="53">
        <f t="shared" si="198"/>
        <v>-15.7</v>
      </c>
      <c r="W487" s="52">
        <f t="shared" si="199"/>
        <v>44.412500000000001</v>
      </c>
      <c r="X487" s="52">
        <f>IFERROR(IF(AND(AR488=AR487,AM487&lt;&gt;""),INDEX('Aub Demand'!Q:Q,MATCH($O487,'Aub Demand'!$A:$A,0))-IF(AN487="",0,AN487)+AP488+AD487+AL487,IF(AR488=AR487,INDEX('Aub Demand'!Q:Q,MATCH($O487,'Aub Demand'!$A:$A,0))-IF(AN487="",0,AN487)+AP488+AD487,IF(AM487&lt;&gt;"",INDEX('Aub Demand'!Q:Q,MATCH($O487,'Aub Demand'!$A:$A,0))-IF(AN487="",0,AN487)+AD487+AL487,INDEX('Aub Demand'!Q:Q,MATCH($O487,'Aub Demand'!$A:$A,0))-IF(AN487="",0,AN487)+AD487))),"")</f>
        <v>-22</v>
      </c>
      <c r="Y487" s="53">
        <f t="shared" si="200"/>
        <v>-15.7</v>
      </c>
      <c r="Z487" s="52">
        <f>IF(L487="","",INDEX('Aub Demand'!H:H,MATCH($O487,'Aub Demand'!$A:$A,0)))</f>
        <v>6</v>
      </c>
      <c r="AA487" s="52">
        <f t="shared" si="201"/>
        <v>9.5</v>
      </c>
      <c r="AB487" s="52">
        <f>IFERROR(INDEX('Aub Demand'!L:L,MATCH($O487,'Aub Demand'!$A:$A,0)),"")</f>
        <v>1</v>
      </c>
      <c r="AC487" s="52">
        <f>IFERROR(IF(O487="","",SUMIFS('CPL Mats'!F:F,'CPL Mats'!Q:Q,AR487,'CPL Mats'!S:S,AS487)),"")</f>
        <v>0</v>
      </c>
      <c r="AF487" s="25" t="str">
        <f>IF(SUMIFS('Supp Consol'!S:S,'Supp Consol'!Y:Y,"Releasable",'Supp Consol'!A:A,O487)=0,"",SUMIFS('Supp Consol'!S:S,'Supp Consol'!Y:Y,"Releasable",'Supp Consol'!A:A,O487))</f>
        <v/>
      </c>
      <c r="AG487" s="25" t="str">
        <f>IFERROR(INDEX('Hun Demand'!Q:Q,MATCH(O487,'Hun Demand'!A:A,0)),"")</f>
        <v/>
      </c>
      <c r="AH487" s="25" t="str">
        <f>IFERROR(INDEX('Hun Demand'!H:H,MATCH($O487,'Hun Demand'!$A:$A,0)),"")</f>
        <v/>
      </c>
      <c r="AI487" s="25" t="str">
        <f>IF(SUMIFS('Supp Consol'!AA:AA,'Supp Consol'!Z:Z,"Expires this month",'Supp Consol'!A:A,O487)=0,"",SUMIFS('Supp Consol'!AA:AA,'Supp Consol'!Z:Z,"Expires this month",'Supp Consol'!A:A,O487))</f>
        <v/>
      </c>
      <c r="AJ487" s="25" t="str">
        <f>IF(SUMIFS('Supp Consol'!AA:AA,'Supp Consol'!Z:Z,"Expired Previous Months",'Supp Consol'!A:A,O487)=0,"",SUMIFS('Supp Consol'!AA:AA,'Supp Consol'!Z:Z,"Expired Previous Months",'Supp Consol'!A:A,O487))</f>
        <v/>
      </c>
      <c r="AK487" s="25" t="str">
        <f>IFERROR(INDEX('Hun Release Current'!B:B,MATCH(O487,'Hun Release Current'!A:A,0)),"")</f>
        <v/>
      </c>
      <c r="AL487" s="25" t="str">
        <f>IF(SUMIF('Prev Aub'!A:A,O487,'Prev Aub'!B:B)=0,"",SUMIF('Prev Aub'!A:A,O487,'Prev Aub'!B:B))</f>
        <v/>
      </c>
      <c r="AN487" s="25" t="s">
        <v>3790</v>
      </c>
      <c r="AO487" s="25" t="s">
        <v>3790</v>
      </c>
      <c r="AP487" s="25">
        <f t="shared" si="202"/>
        <v>0</v>
      </c>
      <c r="AQ487" s="151" t="str">
        <f>IF(SUMIFS('Supp Consol'!S:S,'Supp Consol'!A:A,O487,'Supp Consol'!I:I,"PENDING")=0,"",SUMIFS('Supp Consol'!S:S,'Supp Consol'!A:A,O487,'Supp Consol'!I:I,"PENDING"))</f>
        <v/>
      </c>
      <c r="AR487" s="27" t="str">
        <f t="shared" si="203"/>
        <v>GR401</v>
      </c>
      <c r="AS487" s="27" t="str">
        <f t="shared" si="204"/>
        <v>50</v>
      </c>
      <c r="AT487" s="27" t="str">
        <f t="shared" si="205"/>
        <v>GR401</v>
      </c>
      <c r="AU487" s="27" t="str">
        <f t="shared" si="206"/>
        <v>GR401</v>
      </c>
      <c r="AV487" s="27" t="str">
        <f t="shared" si="207"/>
        <v>GR401</v>
      </c>
      <c r="AW487" s="27" t="str">
        <f t="shared" si="208"/>
        <v/>
      </c>
      <c r="AX487" s="27" t="str">
        <f t="shared" si="209"/>
        <v/>
      </c>
      <c r="AY487" s="27" t="str">
        <f t="shared" si="210"/>
        <v/>
      </c>
      <c r="AZ487" s="27" t="str">
        <f t="shared" si="211"/>
        <v/>
      </c>
      <c r="BA487" s="27" t="str">
        <f t="shared" si="212"/>
        <v/>
      </c>
      <c r="BB487" s="27" t="str">
        <f t="shared" si="213"/>
        <v>Gross</v>
      </c>
      <c r="BC487" s="27" t="str">
        <f t="shared" si="214"/>
        <v>Net</v>
      </c>
      <c r="BD487" s="27" t="str">
        <f t="shared" si="215"/>
        <v>Net</v>
      </c>
      <c r="BE487" s="27" t="str">
        <f t="shared" si="216"/>
        <v/>
      </c>
      <c r="BF487" s="27" t="str">
        <f t="shared" si="217"/>
        <v/>
      </c>
      <c r="BG487" s="27" t="str">
        <f t="shared" si="218"/>
        <v/>
      </c>
      <c r="BH487" s="27" t="str">
        <f t="shared" si="219"/>
        <v/>
      </c>
      <c r="BI487" s="27" t="str">
        <f t="shared" si="220"/>
        <v/>
      </c>
      <c r="BJ487" s="27" t="str">
        <f t="shared" si="221"/>
        <v/>
      </c>
      <c r="BK487" s="27" t="str">
        <f t="shared" si="222"/>
        <v/>
      </c>
      <c r="BL487" s="27" t="str">
        <f t="shared" si="223"/>
        <v/>
      </c>
      <c r="BM487" s="21" t="s">
        <v>5581</v>
      </c>
    </row>
    <row r="488" spans="1:65" ht="15">
      <c r="A488" s="25" t="str">
        <f>IFERROR(INDEX('Hun Demand'!W:W,MATCH(O488,'Hun Demand'!A:A,0)),"")</f>
        <v/>
      </c>
      <c r="B488" s="25" t="str">
        <f>IFERROR(INDEX('Hun Demand'!V:V,MATCH(O488,'Hun Demand'!A:A,0)),"")</f>
        <v/>
      </c>
      <c r="C488" s="25" t="str">
        <f>IFERROR(INDEX('Hun Demand'!U:U,MATCH(O488,'Hun Demand'!A:A,0)),"")</f>
        <v/>
      </c>
      <c r="D488" s="25" t="str">
        <f>IFERROR(INDEX('Hun Demand'!T:T,MATCH(O488,'Hun Demand'!A:A,0)),"")</f>
        <v/>
      </c>
      <c r="E488" s="25" t="str">
        <f>IFERROR(INDEX('Hun Demand'!S:S,MATCH(O488,'Hun Demand'!A:A,0)),"")</f>
        <v/>
      </c>
      <c r="F488" s="25" t="str">
        <f>IFERROR(INDEX('Hun Demand'!R:R,MATCH(O488,'Hun Demand'!A:A,0)),"")</f>
        <v/>
      </c>
      <c r="G488" s="25">
        <f>IFERROR(INDEX('Aub Demand'!W:W,MATCH(O488,'Aub Demand'!A:A,0)),"")</f>
        <v>3</v>
      </c>
      <c r="H488" s="25">
        <f>IFERROR(INDEX('Aub Demand'!V:V,MATCH(O488,'Aub Demand'!A:A,0)),"")</f>
        <v>10</v>
      </c>
      <c r="I488" s="25">
        <f>IFERROR(INDEX('Aub Demand'!U:U,MATCH(O488,'Aub Demand'!A:A,0)),"")</f>
        <v>14</v>
      </c>
      <c r="J488" s="25">
        <f>IFERROR(INDEX('Aub Demand'!T:T,MATCH(O488,'Aub Demand'!A:A,0)),"")</f>
        <v>14</v>
      </c>
      <c r="K488" s="25">
        <f>IFERROR(INDEX('Aub Demand'!S:S,MATCH(O488,'Aub Demand'!A:A,0)),"")</f>
        <v>17</v>
      </c>
      <c r="L488" s="25">
        <f>IFERROR(INDEX('Aub Demand'!R:R,MATCH(O488,'Aub Demand'!A:A,0)),"")</f>
        <v>0</v>
      </c>
      <c r="O488" s="27" t="s">
        <v>2192</v>
      </c>
      <c r="P488" s="27" t="str">
        <f>IFERROR(INDEX('Aub Demand'!B:B,MATCH($O488,'Aub Demand'!$A:$A,0)),"")</f>
        <v>MADURA GOLD GRANITE</v>
      </c>
      <c r="Q488" s="27" t="str">
        <f>IFERROR(INDEX('Aub Demand'!C:C,MATCH($O488,'Aub Demand'!$A:$A,0)),"")</f>
        <v>SUDDE</v>
      </c>
      <c r="R488" s="52">
        <f>IFERROR(IF(AR489=AR488,INDEX('Aub Demand'!K:K,MATCH($O488,'Aub Demand'!$A:$A,0))-IF(AN488="",0,AN488)+AP489,INDEX('Aub Demand'!K:K,MATCH($O488,'Aub Demand'!$A:$A,0))-IF(AN488="",0,AN488)),"")</f>
        <v>564</v>
      </c>
      <c r="S488" s="53">
        <f t="shared" si="196"/>
        <v>161.1</v>
      </c>
      <c r="T488" s="52" t="str">
        <f t="shared" si="197"/>
        <v/>
      </c>
      <c r="U488" s="52">
        <f>IFERROR(IF(AR489=AR488,INDEX('Aub Demand'!Q:Q,MATCH($O488,'Aub Demand'!$A:$A,0))-IF(AN488="",0,AN488)+AP489,INDEX('Aub Demand'!Q:Q,MATCH($O488,'Aub Demand'!$A:$A,0))-IF(AN488="",0,AN488)),"")</f>
        <v>542</v>
      </c>
      <c r="V488" s="53">
        <f t="shared" si="198"/>
        <v>154.9</v>
      </c>
      <c r="W488" s="52" t="str">
        <f t="shared" si="199"/>
        <v/>
      </c>
      <c r="X488" s="52">
        <f>IFERROR(IF(AND(AR489=AR488,AM488&lt;&gt;""),INDEX('Aub Demand'!Q:Q,MATCH($O488,'Aub Demand'!$A:$A,0))-IF(AN488="",0,AN488)+AP489+AD488+AL488,IF(AR489=AR488,INDEX('Aub Demand'!Q:Q,MATCH($O488,'Aub Demand'!$A:$A,0))-IF(AN488="",0,AN488)+AP489+AD488,IF(AM488&lt;&gt;"",INDEX('Aub Demand'!Q:Q,MATCH($O488,'Aub Demand'!$A:$A,0))-IF(AN488="",0,AN488)+AD488+AL488,INDEX('Aub Demand'!Q:Q,MATCH($O488,'Aub Demand'!$A:$A,0))-IF(AN488="",0,AN488)+AD488))),"")</f>
        <v>542</v>
      </c>
      <c r="Y488" s="53">
        <f t="shared" si="200"/>
        <v>154.9</v>
      </c>
      <c r="Z488" s="52">
        <f>IF(L488="","",INDEX('Aub Demand'!H:H,MATCH($O488,'Aub Demand'!$A:$A,0)))</f>
        <v>15</v>
      </c>
      <c r="AA488" s="52">
        <f t="shared" si="201"/>
        <v>15.5</v>
      </c>
      <c r="AB488" s="52">
        <f>IFERROR(INDEX('Aub Demand'!L:L,MATCH($O488,'Aub Demand'!$A:$A,0)),"")</f>
        <v>0</v>
      </c>
      <c r="AC488" s="52">
        <f>IFERROR(IF(O488="","",SUMIFS('CPL Mats'!F:F,'CPL Mats'!Q:Q,AR488,'CPL Mats'!S:S,AS488)),"")</f>
        <v>0</v>
      </c>
      <c r="AF488" s="25" t="str">
        <f>IF(SUMIFS('Supp Consol'!S:S,'Supp Consol'!Y:Y,"Releasable",'Supp Consol'!A:A,O488)=0,"",SUMIFS('Supp Consol'!S:S,'Supp Consol'!Y:Y,"Releasable",'Supp Consol'!A:A,O488))</f>
        <v/>
      </c>
      <c r="AG488" s="25" t="str">
        <f>IFERROR(INDEX('Hun Demand'!Q:Q,MATCH(O488,'Hun Demand'!A:A,0)),"")</f>
        <v/>
      </c>
      <c r="AH488" s="25" t="str">
        <f>IFERROR(INDEX('Hun Demand'!H:H,MATCH($O488,'Hun Demand'!$A:$A,0)),"")</f>
        <v/>
      </c>
      <c r="AI488" s="25" t="str">
        <f>IF(SUMIFS('Supp Consol'!AA:AA,'Supp Consol'!Z:Z,"Expires this month",'Supp Consol'!A:A,O488)=0,"",SUMIFS('Supp Consol'!AA:AA,'Supp Consol'!Z:Z,"Expires this month",'Supp Consol'!A:A,O488))</f>
        <v/>
      </c>
      <c r="AJ488" s="25" t="str">
        <f>IF(SUMIFS('Supp Consol'!AA:AA,'Supp Consol'!Z:Z,"Expired Previous Months",'Supp Consol'!A:A,O488)=0,"",SUMIFS('Supp Consol'!AA:AA,'Supp Consol'!Z:Z,"Expired Previous Months",'Supp Consol'!A:A,O488))</f>
        <v/>
      </c>
      <c r="AK488" s="25" t="str">
        <f>IFERROR(INDEX('Hun Release Current'!B:B,MATCH(O488,'Hun Release Current'!A:A,0)),"")</f>
        <v/>
      </c>
      <c r="AL488" s="25" t="str">
        <f>IF(SUMIF('Prev Aub'!A:A,O488,'Prev Aub'!B:B)=0,"",SUMIF('Prev Aub'!A:A,O488,'Prev Aub'!B:B))</f>
        <v/>
      </c>
      <c r="AN488" s="25" t="s">
        <v>3790</v>
      </c>
      <c r="AO488" s="25" t="s">
        <v>3790</v>
      </c>
      <c r="AP488" s="25">
        <f t="shared" si="202"/>
        <v>0</v>
      </c>
      <c r="AQ488" s="151" t="str">
        <f>IF(SUMIFS('Supp Consol'!S:S,'Supp Consol'!A:A,O488,'Supp Consol'!I:I,"PENDING")=0,"",SUMIFS('Supp Consol'!S:S,'Supp Consol'!A:A,O488,'Supp Consol'!I:I,"PENDING"))</f>
        <v/>
      </c>
      <c r="AR488" s="27" t="str">
        <f t="shared" si="203"/>
        <v>GR401</v>
      </c>
      <c r="AS488" s="27" t="str">
        <f t="shared" si="204"/>
        <v>62</v>
      </c>
      <c r="AT488" s="27" t="str">
        <f t="shared" si="205"/>
        <v/>
      </c>
      <c r="AU488" s="27" t="str">
        <f t="shared" si="206"/>
        <v/>
      </c>
      <c r="AV488" s="27" t="str">
        <f t="shared" si="207"/>
        <v/>
      </c>
      <c r="AW488" s="27" t="str">
        <f t="shared" si="208"/>
        <v/>
      </c>
      <c r="AX488" s="27" t="str">
        <f t="shared" si="209"/>
        <v/>
      </c>
      <c r="AY488" s="27" t="str">
        <f t="shared" si="210"/>
        <v/>
      </c>
      <c r="AZ488" s="27" t="str">
        <f t="shared" si="211"/>
        <v/>
      </c>
      <c r="BA488" s="27" t="str">
        <f t="shared" si="212"/>
        <v/>
      </c>
      <c r="BB488" s="27" t="str">
        <f t="shared" si="213"/>
        <v>Gross</v>
      </c>
      <c r="BC488" s="27" t="str">
        <f t="shared" si="214"/>
        <v>Net</v>
      </c>
      <c r="BD488" s="27" t="str">
        <f t="shared" si="215"/>
        <v>Net</v>
      </c>
      <c r="BE488" s="27" t="str">
        <f t="shared" si="216"/>
        <v/>
      </c>
      <c r="BF488" s="27" t="str">
        <f t="shared" si="217"/>
        <v/>
      </c>
      <c r="BG488" s="27" t="str">
        <f t="shared" si="218"/>
        <v/>
      </c>
      <c r="BH488" s="27" t="str">
        <f t="shared" si="219"/>
        <v/>
      </c>
      <c r="BI488" s="27" t="str">
        <f t="shared" si="220"/>
        <v/>
      </c>
      <c r="BJ488" s="27" t="str">
        <f t="shared" si="221"/>
        <v/>
      </c>
      <c r="BK488" s="27" t="str">
        <f t="shared" si="222"/>
        <v/>
      </c>
      <c r="BL488" s="27" t="str">
        <f t="shared" si="223"/>
        <v/>
      </c>
      <c r="BM488" s="21" t="s">
        <v>5581</v>
      </c>
    </row>
    <row r="489" spans="1:65" ht="15">
      <c r="A489" s="25" t="str">
        <f>IFERROR(INDEX('Hun Demand'!W:W,MATCH(O489,'Hun Demand'!A:A,0)),"")</f>
        <v/>
      </c>
      <c r="B489" s="25" t="str">
        <f>IFERROR(INDEX('Hun Demand'!V:V,MATCH(O489,'Hun Demand'!A:A,0)),"")</f>
        <v/>
      </c>
      <c r="C489" s="25" t="str">
        <f>IFERROR(INDEX('Hun Demand'!U:U,MATCH(O489,'Hun Demand'!A:A,0)),"")</f>
        <v/>
      </c>
      <c r="D489" s="25" t="str">
        <f>IFERROR(INDEX('Hun Demand'!T:T,MATCH(O489,'Hun Demand'!A:A,0)),"")</f>
        <v/>
      </c>
      <c r="E489" s="25" t="str">
        <f>IFERROR(INDEX('Hun Demand'!S:S,MATCH(O489,'Hun Demand'!A:A,0)),"")</f>
        <v/>
      </c>
      <c r="F489" s="25" t="str">
        <f>IFERROR(INDEX('Hun Demand'!R:R,MATCH(O489,'Hun Demand'!A:A,0)),"")</f>
        <v/>
      </c>
      <c r="G489" s="25">
        <f>IFERROR(INDEX('Aub Demand'!W:W,MATCH(O489,'Aub Demand'!A:A,0)),"")</f>
        <v>0</v>
      </c>
      <c r="H489" s="25">
        <f>IFERROR(INDEX('Aub Demand'!V:V,MATCH(O489,'Aub Demand'!A:A,0)),"")</f>
        <v>0</v>
      </c>
      <c r="I489" s="25">
        <f>IFERROR(INDEX('Aub Demand'!U:U,MATCH(O489,'Aub Demand'!A:A,0)),"")</f>
        <v>0</v>
      </c>
      <c r="J489" s="25">
        <f>IFERROR(INDEX('Aub Demand'!T:T,MATCH(O489,'Aub Demand'!A:A,0)),"")</f>
        <v>0</v>
      </c>
      <c r="K489" s="25">
        <f>IFERROR(INDEX('Aub Demand'!S:S,MATCH(O489,'Aub Demand'!A:A,0)),"")</f>
        <v>0</v>
      </c>
      <c r="L489" s="25">
        <f>IFERROR(INDEX('Aub Demand'!R:R,MATCH(O489,'Aub Demand'!A:A,0)),"")</f>
        <v>0</v>
      </c>
      <c r="O489" s="27" t="s">
        <v>2193</v>
      </c>
      <c r="P489" s="27" t="str">
        <f>IFERROR(INDEX('Aub Demand'!B:B,MATCH($O489,'Aub Demand'!$A:$A,0)),"")</f>
        <v>W GRAY GRANITE</v>
      </c>
      <c r="Q489" s="27" t="str">
        <f>IFERROR(INDEX('Aub Demand'!C:C,MATCH($O489,'Aub Demand'!$A:$A,0)),"")</f>
        <v>TOPPA</v>
      </c>
      <c r="R489" s="52">
        <f>IFERROR(IF(AR490=AR489,INDEX('Aub Demand'!K:K,MATCH($O489,'Aub Demand'!$A:$A,0))-IF(AN489="",0,AN489)+AP490,INDEX('Aub Demand'!K:K,MATCH($O489,'Aub Demand'!$A:$A,0))-IF(AN489="",0,AN489)),"")</f>
        <v>0</v>
      </c>
      <c r="S489" s="53" t="str">
        <f t="shared" si="196"/>
        <v>n/a</v>
      </c>
      <c r="T489" s="52" t="str">
        <f t="shared" si="197"/>
        <v/>
      </c>
      <c r="U489" s="52">
        <f>IFERROR(IF(AR490=AR489,INDEX('Aub Demand'!Q:Q,MATCH($O489,'Aub Demand'!$A:$A,0))-IF(AN489="",0,AN489)+AP490,INDEX('Aub Demand'!Q:Q,MATCH($O489,'Aub Demand'!$A:$A,0))-IF(AN489="",0,AN489)),"")</f>
        <v>-405</v>
      </c>
      <c r="V489" s="53" t="str">
        <f t="shared" si="198"/>
        <v>n/a</v>
      </c>
      <c r="W489" s="52" t="str">
        <f t="shared" si="199"/>
        <v/>
      </c>
      <c r="X489" s="52">
        <f>IFERROR(IF(AND(AR490=AR489,AM489&lt;&gt;""),INDEX('Aub Demand'!Q:Q,MATCH($O489,'Aub Demand'!$A:$A,0))-IF(AN489="",0,AN489)+AP490+AD489+AL489,IF(AR490=AR489,INDEX('Aub Demand'!Q:Q,MATCH($O489,'Aub Demand'!$A:$A,0))-IF(AN489="",0,AN489)+AP490+AD489,IF(AM489&lt;&gt;"",INDEX('Aub Demand'!Q:Q,MATCH($O489,'Aub Demand'!$A:$A,0))-IF(AN489="",0,AN489)+AD489+AL489,INDEX('Aub Demand'!Q:Q,MATCH($O489,'Aub Demand'!$A:$A,0))-IF(AN489="",0,AN489)+AD489))),"")</f>
        <v>95</v>
      </c>
      <c r="Y489" s="53" t="str">
        <f t="shared" si="200"/>
        <v>n/a</v>
      </c>
      <c r="Z489" s="52">
        <f>IF(L489="","",INDEX('Aub Demand'!H:H,MATCH($O489,'Aub Demand'!$A:$A,0)))</f>
        <v>0</v>
      </c>
      <c r="AA489" s="52" t="str">
        <f t="shared" si="201"/>
        <v>-spike-</v>
      </c>
      <c r="AB489" s="52">
        <f>IFERROR(INDEX('Aub Demand'!L:L,MATCH($O489,'Aub Demand'!$A:$A,0)),"")</f>
        <v>0</v>
      </c>
      <c r="AC489" s="52">
        <f>IFERROR(IF(O489="","",SUMIFS('CPL Mats'!F:F,'CPL Mats'!Q:Q,AR489,'CPL Mats'!S:S,AS489)),"")</f>
        <v>0</v>
      </c>
      <c r="AD489" s="25">
        <v>500</v>
      </c>
      <c r="AE489" s="52" t="s">
        <v>5583</v>
      </c>
      <c r="AF489" s="25" t="str">
        <f>IF(SUMIFS('Supp Consol'!S:S,'Supp Consol'!Y:Y,"Releasable",'Supp Consol'!A:A,O489)=0,"",SUMIFS('Supp Consol'!S:S,'Supp Consol'!Y:Y,"Releasable",'Supp Consol'!A:A,O489))</f>
        <v/>
      </c>
      <c r="AG489" s="25" t="str">
        <f>IFERROR(INDEX('Hun Demand'!Q:Q,MATCH(O489,'Hun Demand'!A:A,0)),"")</f>
        <v/>
      </c>
      <c r="AH489" s="25" t="str">
        <f>IFERROR(INDEX('Hun Demand'!H:H,MATCH($O489,'Hun Demand'!$A:$A,0)),"")</f>
        <v/>
      </c>
      <c r="AI489" s="25" t="str">
        <f>IF(SUMIFS('Supp Consol'!AA:AA,'Supp Consol'!Z:Z,"Expires this month",'Supp Consol'!A:A,O489)=0,"",SUMIFS('Supp Consol'!AA:AA,'Supp Consol'!Z:Z,"Expires this month",'Supp Consol'!A:A,O489))</f>
        <v/>
      </c>
      <c r="AJ489" s="25" t="str">
        <f>IF(SUMIFS('Supp Consol'!AA:AA,'Supp Consol'!Z:Z,"Expired Previous Months",'Supp Consol'!A:A,O489)=0,"",SUMIFS('Supp Consol'!AA:AA,'Supp Consol'!Z:Z,"Expired Previous Months",'Supp Consol'!A:A,O489))</f>
        <v/>
      </c>
      <c r="AK489" s="25" t="str">
        <f>IFERROR(INDEX('Hun Release Current'!B:B,MATCH(O489,'Hun Release Current'!A:A,0)),"")</f>
        <v/>
      </c>
      <c r="AL489" s="25" t="str">
        <f>IF(SUMIF('Prev Aub'!A:A,O489,'Prev Aub'!B:B)=0,"",SUMIF('Prev Aub'!A:A,O489,'Prev Aub'!B:B))</f>
        <v/>
      </c>
      <c r="AN489" s="25" t="s">
        <v>3790</v>
      </c>
      <c r="AO489" s="25" t="s">
        <v>3790</v>
      </c>
      <c r="AP489" s="25">
        <f t="shared" si="202"/>
        <v>0</v>
      </c>
      <c r="AQ489" s="151" t="str">
        <f>IF(SUMIFS('Supp Consol'!S:S,'Supp Consol'!A:A,O489,'Supp Consol'!I:I,"PENDING")=0,"",SUMIFS('Supp Consol'!S:S,'Supp Consol'!A:A,O489,'Supp Consol'!I:I,"PENDING"))</f>
        <v/>
      </c>
      <c r="AR489" s="27" t="str">
        <f t="shared" si="203"/>
        <v>H5102</v>
      </c>
      <c r="AS489" s="27" t="str">
        <f t="shared" si="204"/>
        <v>50</v>
      </c>
      <c r="AT489" s="27" t="str">
        <f t="shared" si="205"/>
        <v/>
      </c>
      <c r="AU489" s="27" t="str">
        <f t="shared" si="206"/>
        <v/>
      </c>
      <c r="AV489" s="27" t="str">
        <f t="shared" si="207"/>
        <v/>
      </c>
      <c r="AW489" s="27" t="str">
        <f t="shared" si="208"/>
        <v/>
      </c>
      <c r="AX489" s="27" t="str">
        <f t="shared" si="209"/>
        <v/>
      </c>
      <c r="AY489" s="27" t="str">
        <f t="shared" si="210"/>
        <v/>
      </c>
      <c r="AZ489" s="27" t="str">
        <f t="shared" si="211"/>
        <v/>
      </c>
      <c r="BA489" s="27" t="str">
        <f t="shared" si="212"/>
        <v/>
      </c>
      <c r="BB489" s="27" t="str">
        <f t="shared" si="213"/>
        <v/>
      </c>
      <c r="BC489" s="27" t="str">
        <f t="shared" si="214"/>
        <v/>
      </c>
      <c r="BD489" s="27" t="str">
        <f t="shared" si="215"/>
        <v/>
      </c>
      <c r="BE489" s="27" t="str">
        <f t="shared" si="216"/>
        <v/>
      </c>
      <c r="BF489" s="27" t="str">
        <f t="shared" si="217"/>
        <v/>
      </c>
      <c r="BG489" s="27" t="str">
        <f t="shared" si="218"/>
        <v/>
      </c>
      <c r="BH489" s="27" t="str">
        <f t="shared" si="219"/>
        <v/>
      </c>
      <c r="BI489" s="27" t="str">
        <f t="shared" si="220"/>
        <v/>
      </c>
      <c r="BJ489" s="27" t="str">
        <f t="shared" si="221"/>
        <v/>
      </c>
      <c r="BK489" s="27" t="str">
        <f t="shared" si="222"/>
        <v/>
      </c>
      <c r="BL489" s="27" t="str">
        <f t="shared" si="223"/>
        <v/>
      </c>
      <c r="BM489" s="21" t="s">
        <v>5581</v>
      </c>
    </row>
    <row r="490" spans="1:65" ht="15">
      <c r="A490" s="25" t="str">
        <f>IFERROR(INDEX('Hun Demand'!W:W,MATCH(O490,'Hun Demand'!A:A,0)),"")</f>
        <v/>
      </c>
      <c r="B490" s="25" t="str">
        <f>IFERROR(INDEX('Hun Demand'!V:V,MATCH(O490,'Hun Demand'!A:A,0)),"")</f>
        <v/>
      </c>
      <c r="C490" s="25" t="str">
        <f>IFERROR(INDEX('Hun Demand'!U:U,MATCH(O490,'Hun Demand'!A:A,0)),"")</f>
        <v/>
      </c>
      <c r="D490" s="25" t="str">
        <f>IFERROR(INDEX('Hun Demand'!T:T,MATCH(O490,'Hun Demand'!A:A,0)),"")</f>
        <v/>
      </c>
      <c r="E490" s="25" t="str">
        <f>IFERROR(INDEX('Hun Demand'!S:S,MATCH(O490,'Hun Demand'!A:A,0)),"")</f>
        <v/>
      </c>
      <c r="F490" s="25" t="str">
        <f>IFERROR(INDEX('Hun Demand'!R:R,MATCH(O490,'Hun Demand'!A:A,0)),"")</f>
        <v/>
      </c>
      <c r="G490" s="25">
        <f>IFERROR(INDEX('Aub Demand'!W:W,MATCH(O490,'Aub Demand'!A:A,0)),"")</f>
        <v>194</v>
      </c>
      <c r="H490" s="25">
        <f>IFERROR(INDEX('Aub Demand'!V:V,MATCH(O490,'Aub Demand'!A:A,0)),"")</f>
        <v>128</v>
      </c>
      <c r="I490" s="25">
        <f>IFERROR(INDEX('Aub Demand'!U:U,MATCH(O490,'Aub Demand'!A:A,0)),"")</f>
        <v>0</v>
      </c>
      <c r="J490" s="25">
        <f>IFERROR(INDEX('Aub Demand'!T:T,MATCH(O490,'Aub Demand'!A:A,0)),"")</f>
        <v>0</v>
      </c>
      <c r="K490" s="25">
        <f>IFERROR(INDEX('Aub Demand'!S:S,MATCH(O490,'Aub Demand'!A:A,0)),"")</f>
        <v>0</v>
      </c>
      <c r="L490" s="25">
        <f>IFERROR(INDEX('Aub Demand'!R:R,MATCH(O490,'Aub Demand'!A:A,0)),"")</f>
        <v>0</v>
      </c>
      <c r="O490" s="27" t="s">
        <v>2196</v>
      </c>
      <c r="P490" s="27" t="str">
        <f>IFERROR(INDEX('Aub Demand'!B:B,MATCH($O490,'Aub Demand'!$A:$A,0)),"")</f>
        <v>W GRAY GRANITE</v>
      </c>
      <c r="Q490" s="27" t="str">
        <f>IFERROR(INDEX('Aub Demand'!C:C,MATCH($O490,'Aub Demand'!$A:$A,0)),"")</f>
        <v>TOPPA</v>
      </c>
      <c r="R490" s="52">
        <f>IFERROR(IF(AR491=AR490,INDEX('Aub Demand'!K:K,MATCH($O490,'Aub Demand'!$A:$A,0))-IF(AN490="",0,AN490)+AP491,INDEX('Aub Demand'!K:K,MATCH($O490,'Aub Demand'!$A:$A,0))-IF(AN490="",0,AN490)),"")</f>
        <v>0</v>
      </c>
      <c r="S490" s="53" t="str">
        <f t="shared" si="196"/>
        <v>n/a</v>
      </c>
      <c r="T490" s="52" t="str">
        <f t="shared" si="197"/>
        <v/>
      </c>
      <c r="U490" s="52">
        <f>IFERROR(IF(AR491=AR490,INDEX('Aub Demand'!Q:Q,MATCH($O490,'Aub Demand'!$A:$A,0))-IF(AN490="",0,AN490)+AP491,INDEX('Aub Demand'!Q:Q,MATCH($O490,'Aub Demand'!$A:$A,0))-IF(AN490="",0,AN490)),"")</f>
        <v>-675</v>
      </c>
      <c r="V490" s="53" t="str">
        <f t="shared" si="198"/>
        <v>n/a</v>
      </c>
      <c r="W490" s="52" t="str">
        <f t="shared" si="199"/>
        <v/>
      </c>
      <c r="X490" s="52">
        <f>IFERROR(IF(AND(AR491=AR490,AM490&lt;&gt;""),INDEX('Aub Demand'!Q:Q,MATCH($O490,'Aub Demand'!$A:$A,0))-IF(AN490="",0,AN490)+AP491+AD490+AL490,IF(AR491=AR490,INDEX('Aub Demand'!Q:Q,MATCH($O490,'Aub Demand'!$A:$A,0))-IF(AN490="",0,AN490)+AP491+AD490,IF(AM490&lt;&gt;"",INDEX('Aub Demand'!Q:Q,MATCH($O490,'Aub Demand'!$A:$A,0))-IF(AN490="",0,AN490)+AD490+AL490,INDEX('Aub Demand'!Q:Q,MATCH($O490,'Aub Demand'!$A:$A,0))-IF(AN490="",0,AN490)+AD490))),"")</f>
        <v>325</v>
      </c>
      <c r="Y490" s="53" t="str">
        <f t="shared" si="200"/>
        <v>n/a</v>
      </c>
      <c r="Z490" s="52">
        <f>IF(L490="","",INDEX('Aub Demand'!H:H,MATCH($O490,'Aub Demand'!$A:$A,0)))</f>
        <v>0</v>
      </c>
      <c r="AA490" s="52" t="str">
        <f t="shared" si="201"/>
        <v>-spike-</v>
      </c>
      <c r="AB490" s="52">
        <f>IFERROR(INDEX('Aub Demand'!L:L,MATCH($O490,'Aub Demand'!$A:$A,0)),"")</f>
        <v>7</v>
      </c>
      <c r="AC490" s="52">
        <f>IFERROR(IF(O490="","",SUMIFS('CPL Mats'!F:F,'CPL Mats'!Q:Q,AR490,'CPL Mats'!S:S,AS490)),"")</f>
        <v>0</v>
      </c>
      <c r="AD490" s="25">
        <v>1000</v>
      </c>
      <c r="AE490" s="52" t="s">
        <v>5583</v>
      </c>
      <c r="AF490" s="25" t="str">
        <f>IF(SUMIFS('Supp Consol'!S:S,'Supp Consol'!Y:Y,"Releasable",'Supp Consol'!A:A,O490)=0,"",SUMIFS('Supp Consol'!S:S,'Supp Consol'!Y:Y,"Releasable",'Supp Consol'!A:A,O490))</f>
        <v/>
      </c>
      <c r="AG490" s="25" t="str">
        <f>IFERROR(INDEX('Hun Demand'!Q:Q,MATCH(O490,'Hun Demand'!A:A,0)),"")</f>
        <v/>
      </c>
      <c r="AH490" s="25" t="str">
        <f>IFERROR(INDEX('Hun Demand'!H:H,MATCH($O490,'Hun Demand'!$A:$A,0)),"")</f>
        <v/>
      </c>
      <c r="AI490" s="25" t="str">
        <f>IF(SUMIFS('Supp Consol'!AA:AA,'Supp Consol'!Z:Z,"Expires this month",'Supp Consol'!A:A,O490)=0,"",SUMIFS('Supp Consol'!AA:AA,'Supp Consol'!Z:Z,"Expires this month",'Supp Consol'!A:A,O490))</f>
        <v/>
      </c>
      <c r="AJ490" s="25" t="str">
        <f>IF(SUMIFS('Supp Consol'!AA:AA,'Supp Consol'!Z:Z,"Expired Previous Months",'Supp Consol'!A:A,O490)=0,"",SUMIFS('Supp Consol'!AA:AA,'Supp Consol'!Z:Z,"Expired Previous Months",'Supp Consol'!A:A,O490))</f>
        <v/>
      </c>
      <c r="AK490" s="25" t="str">
        <f>IFERROR(INDEX('Hun Release Current'!B:B,MATCH(O490,'Hun Release Current'!A:A,0)),"")</f>
        <v/>
      </c>
      <c r="AL490" s="25" t="str">
        <f>IF(SUMIF('Prev Aub'!A:A,O490,'Prev Aub'!B:B)=0,"",SUMIF('Prev Aub'!A:A,O490,'Prev Aub'!B:B))</f>
        <v/>
      </c>
      <c r="AN490" s="25" t="s">
        <v>3790</v>
      </c>
      <c r="AO490" s="25" t="s">
        <v>3790</v>
      </c>
      <c r="AP490" s="25">
        <f t="shared" si="202"/>
        <v>0</v>
      </c>
      <c r="AQ490" s="151" t="str">
        <f>IF(SUMIFS('Supp Consol'!S:S,'Supp Consol'!A:A,O490,'Supp Consol'!I:I,"PENDING")=0,"",SUMIFS('Supp Consol'!S:S,'Supp Consol'!A:A,O490,'Supp Consol'!I:I,"PENDING"))</f>
        <v/>
      </c>
      <c r="AR490" s="27" t="str">
        <f t="shared" si="203"/>
        <v>H5102</v>
      </c>
      <c r="AS490" s="27" t="str">
        <f t="shared" si="204"/>
        <v>62</v>
      </c>
      <c r="AT490" s="27" t="str">
        <f t="shared" si="205"/>
        <v/>
      </c>
      <c r="AU490" s="27" t="str">
        <f t="shared" si="206"/>
        <v/>
      </c>
      <c r="AV490" s="27" t="str">
        <f t="shared" si="207"/>
        <v/>
      </c>
      <c r="AW490" s="27" t="str">
        <f t="shared" si="208"/>
        <v/>
      </c>
      <c r="AX490" s="27" t="str">
        <f t="shared" si="209"/>
        <v/>
      </c>
      <c r="AY490" s="27" t="str">
        <f t="shared" si="210"/>
        <v/>
      </c>
      <c r="AZ490" s="27" t="str">
        <f t="shared" si="211"/>
        <v/>
      </c>
      <c r="BA490" s="27" t="str">
        <f t="shared" si="212"/>
        <v/>
      </c>
      <c r="BB490" s="27" t="str">
        <f t="shared" si="213"/>
        <v/>
      </c>
      <c r="BC490" s="27" t="str">
        <f t="shared" si="214"/>
        <v/>
      </c>
      <c r="BD490" s="27" t="str">
        <f t="shared" si="215"/>
        <v/>
      </c>
      <c r="BE490" s="27" t="str">
        <f t="shared" si="216"/>
        <v/>
      </c>
      <c r="BF490" s="27" t="str">
        <f t="shared" si="217"/>
        <v/>
      </c>
      <c r="BG490" s="27" t="str">
        <f t="shared" si="218"/>
        <v/>
      </c>
      <c r="BH490" s="27" t="str">
        <f t="shared" si="219"/>
        <v/>
      </c>
      <c r="BI490" s="27" t="str">
        <f t="shared" si="220"/>
        <v/>
      </c>
      <c r="BJ490" s="27" t="str">
        <f t="shared" si="221"/>
        <v/>
      </c>
      <c r="BK490" s="27" t="str">
        <f t="shared" si="222"/>
        <v/>
      </c>
      <c r="BL490" s="27" t="str">
        <f t="shared" si="223"/>
        <v/>
      </c>
      <c r="BM490" s="21" t="s">
        <v>5581</v>
      </c>
    </row>
    <row r="491" spans="1:65" ht="15">
      <c r="A491" s="25" t="str">
        <f>IFERROR(INDEX('Hun Demand'!W:W,MATCH(O491,'Hun Demand'!A:A,0)),"")</f>
        <v/>
      </c>
      <c r="B491" s="25" t="str">
        <f>IFERROR(INDEX('Hun Demand'!V:V,MATCH(O491,'Hun Demand'!A:A,0)),"")</f>
        <v/>
      </c>
      <c r="C491" s="25" t="str">
        <f>IFERROR(INDEX('Hun Demand'!U:U,MATCH(O491,'Hun Demand'!A:A,0)),"")</f>
        <v/>
      </c>
      <c r="D491" s="25" t="str">
        <f>IFERROR(INDEX('Hun Demand'!T:T,MATCH(O491,'Hun Demand'!A:A,0)),"")</f>
        <v/>
      </c>
      <c r="E491" s="25" t="str">
        <f>IFERROR(INDEX('Hun Demand'!S:S,MATCH(O491,'Hun Demand'!A:A,0)),"")</f>
        <v/>
      </c>
      <c r="F491" s="25" t="str">
        <f>IFERROR(INDEX('Hun Demand'!R:R,MATCH(O491,'Hun Demand'!A:A,0)),"")</f>
        <v/>
      </c>
      <c r="G491" s="25">
        <f>IFERROR(INDEX('Aub Demand'!W:W,MATCH(O491,'Aub Demand'!A:A,0)),"")</f>
        <v>0</v>
      </c>
      <c r="H491" s="25">
        <f>IFERROR(INDEX('Aub Demand'!V:V,MATCH(O491,'Aub Demand'!A:A,0)),"")</f>
        <v>0</v>
      </c>
      <c r="I491" s="25">
        <f>IFERROR(INDEX('Aub Demand'!U:U,MATCH(O491,'Aub Demand'!A:A,0)),"")</f>
        <v>0</v>
      </c>
      <c r="J491" s="25">
        <f>IFERROR(INDEX('Aub Demand'!T:T,MATCH(O491,'Aub Demand'!A:A,0)),"")</f>
        <v>0</v>
      </c>
      <c r="K491" s="25">
        <f>IFERROR(INDEX('Aub Demand'!S:S,MATCH(O491,'Aub Demand'!A:A,0)),"")</f>
        <v>0</v>
      </c>
      <c r="L491" s="25">
        <f>IFERROR(INDEX('Aub Demand'!R:R,MATCH(O491,'Aub Demand'!A:A,0)),"")</f>
        <v>0</v>
      </c>
      <c r="O491" s="27" t="s">
        <v>2197</v>
      </c>
      <c r="P491" s="27" t="str">
        <f>IFERROR(INDEX('Aub Demand'!B:B,MATCH($O491,'Aub Demand'!$A:$A,0)),"")</f>
        <v>WHITE GRANITE</v>
      </c>
      <c r="Q491" s="27" t="str">
        <f>IFERROR(INDEX('Aub Demand'!C:C,MATCH($O491,'Aub Demand'!$A:$A,0)),"")</f>
        <v>TOPPA</v>
      </c>
      <c r="R491" s="52">
        <f>IFERROR(IF(AR492=AR491,INDEX('Aub Demand'!K:K,MATCH($O491,'Aub Demand'!$A:$A,0))-IF(AN491="",0,AN491)+AP492,INDEX('Aub Demand'!K:K,MATCH($O491,'Aub Demand'!$A:$A,0))-IF(AN491="",0,AN491)),"")</f>
        <v>5445</v>
      </c>
      <c r="S491" s="53" t="str">
        <f t="shared" si="196"/>
        <v>n/a</v>
      </c>
      <c r="T491" s="52" t="str">
        <f t="shared" si="197"/>
        <v/>
      </c>
      <c r="U491" s="52">
        <f>IFERROR(IF(AR492=AR491,INDEX('Aub Demand'!Q:Q,MATCH($O491,'Aub Demand'!$A:$A,0))-IF(AN491="",0,AN491)+AP492,INDEX('Aub Demand'!Q:Q,MATCH($O491,'Aub Demand'!$A:$A,0))-IF(AN491="",0,AN491)),"")</f>
        <v>5445</v>
      </c>
      <c r="V491" s="53" t="str">
        <f t="shared" si="198"/>
        <v>n/a</v>
      </c>
      <c r="W491" s="52" t="str">
        <f t="shared" si="199"/>
        <v/>
      </c>
      <c r="X491" s="52">
        <f>IFERROR(IF(AND(AR492=AR491,AM491&lt;&gt;""),INDEX('Aub Demand'!Q:Q,MATCH($O491,'Aub Demand'!$A:$A,0))-IF(AN491="",0,AN491)+AP492+AD491+AL491,IF(AR492=AR491,INDEX('Aub Demand'!Q:Q,MATCH($O491,'Aub Demand'!$A:$A,0))-IF(AN491="",0,AN491)+AP492+AD491,IF(AM491&lt;&gt;"",INDEX('Aub Demand'!Q:Q,MATCH($O491,'Aub Demand'!$A:$A,0))-IF(AN491="",0,AN491)+AD491+AL491,INDEX('Aub Demand'!Q:Q,MATCH($O491,'Aub Demand'!$A:$A,0))-IF(AN491="",0,AN491)+AD491))),"")</f>
        <v>5445</v>
      </c>
      <c r="Y491" s="53" t="str">
        <f t="shared" si="200"/>
        <v>n/a</v>
      </c>
      <c r="Z491" s="52">
        <f>IF(L491="","",INDEX('Aub Demand'!H:H,MATCH($O491,'Aub Demand'!$A:$A,0)))</f>
        <v>0</v>
      </c>
      <c r="AA491" s="52" t="str">
        <f t="shared" si="201"/>
        <v>-spike-</v>
      </c>
      <c r="AB491" s="52">
        <f>IFERROR(INDEX('Aub Demand'!L:L,MATCH($O491,'Aub Demand'!$A:$A,0)),"")</f>
        <v>0</v>
      </c>
      <c r="AC491" s="52">
        <f>IFERROR(IF(O491="","",SUMIFS('CPL Mats'!F:F,'CPL Mats'!Q:Q,AR491,'CPL Mats'!S:S,AS491)),"")</f>
        <v>0</v>
      </c>
      <c r="AF491" s="25" t="str">
        <f>IF(SUMIFS('Supp Consol'!S:S,'Supp Consol'!Y:Y,"Releasable",'Supp Consol'!A:A,O491)=0,"",SUMIFS('Supp Consol'!S:S,'Supp Consol'!Y:Y,"Releasable",'Supp Consol'!A:A,O491))</f>
        <v/>
      </c>
      <c r="AG491" s="25" t="str">
        <f>IFERROR(INDEX('Hun Demand'!Q:Q,MATCH(O491,'Hun Demand'!A:A,0)),"")</f>
        <v/>
      </c>
      <c r="AH491" s="25" t="str">
        <f>IFERROR(INDEX('Hun Demand'!H:H,MATCH($O491,'Hun Demand'!$A:$A,0)),"")</f>
        <v/>
      </c>
      <c r="AI491" s="25" t="str">
        <f>IF(SUMIFS('Supp Consol'!AA:AA,'Supp Consol'!Z:Z,"Expires this month",'Supp Consol'!A:A,O491)=0,"",SUMIFS('Supp Consol'!AA:AA,'Supp Consol'!Z:Z,"Expires this month",'Supp Consol'!A:A,O491))</f>
        <v/>
      </c>
      <c r="AJ491" s="25" t="str">
        <f>IF(SUMIFS('Supp Consol'!AA:AA,'Supp Consol'!Z:Z,"Expired Previous Months",'Supp Consol'!A:A,O491)=0,"",SUMIFS('Supp Consol'!AA:AA,'Supp Consol'!Z:Z,"Expired Previous Months",'Supp Consol'!A:A,O491))</f>
        <v/>
      </c>
      <c r="AK491" s="25" t="str">
        <f>IFERROR(INDEX('Hun Release Current'!B:B,MATCH(O491,'Hun Release Current'!A:A,0)),"")</f>
        <v/>
      </c>
      <c r="AL491" s="25" t="str">
        <f>IF(SUMIF('Prev Aub'!A:A,O491,'Prev Aub'!B:B)=0,"",SUMIF('Prev Aub'!A:A,O491,'Prev Aub'!B:B))</f>
        <v/>
      </c>
      <c r="AN491" s="25" t="s">
        <v>3790</v>
      </c>
      <c r="AO491" s="25" t="s">
        <v>3790</v>
      </c>
      <c r="AP491" s="25">
        <f t="shared" si="202"/>
        <v>0</v>
      </c>
      <c r="AQ491" s="151" t="str">
        <f>IF(SUMIFS('Supp Consol'!S:S,'Supp Consol'!A:A,O491,'Supp Consol'!I:I,"PENDING")=0,"",SUMIFS('Supp Consol'!S:S,'Supp Consol'!A:A,O491,'Supp Consol'!I:I,"PENDING"))</f>
        <v/>
      </c>
      <c r="AR491" s="27" t="str">
        <f t="shared" si="203"/>
        <v>H5189</v>
      </c>
      <c r="AS491" s="27" t="str">
        <f t="shared" si="204"/>
        <v>50</v>
      </c>
      <c r="AT491" s="27" t="str">
        <f t="shared" si="205"/>
        <v/>
      </c>
      <c r="AU491" s="27" t="str">
        <f t="shared" si="206"/>
        <v/>
      </c>
      <c r="AV491" s="27" t="str">
        <f t="shared" si="207"/>
        <v/>
      </c>
      <c r="AW491" s="27" t="str">
        <f t="shared" si="208"/>
        <v/>
      </c>
      <c r="AX491" s="27" t="str">
        <f t="shared" si="209"/>
        <v/>
      </c>
      <c r="AY491" s="27" t="str">
        <f t="shared" si="210"/>
        <v/>
      </c>
      <c r="AZ491" s="27" t="str">
        <f t="shared" si="211"/>
        <v/>
      </c>
      <c r="BA491" s="27" t="str">
        <f t="shared" si="212"/>
        <v/>
      </c>
      <c r="BB491" s="27" t="str">
        <f t="shared" si="213"/>
        <v/>
      </c>
      <c r="BC491" s="27" t="str">
        <f t="shared" si="214"/>
        <v/>
      </c>
      <c r="BD491" s="27" t="str">
        <f t="shared" si="215"/>
        <v/>
      </c>
      <c r="BE491" s="27" t="str">
        <f t="shared" si="216"/>
        <v/>
      </c>
      <c r="BF491" s="27" t="str">
        <f t="shared" si="217"/>
        <v/>
      </c>
      <c r="BG491" s="27" t="str">
        <f t="shared" si="218"/>
        <v/>
      </c>
      <c r="BH491" s="27" t="str">
        <f t="shared" si="219"/>
        <v/>
      </c>
      <c r="BI491" s="27" t="str">
        <f t="shared" si="220"/>
        <v/>
      </c>
      <c r="BJ491" s="27" t="str">
        <f t="shared" si="221"/>
        <v/>
      </c>
      <c r="BK491" s="27" t="str">
        <f t="shared" si="222"/>
        <v/>
      </c>
      <c r="BL491" s="27" t="str">
        <f t="shared" si="223"/>
        <v/>
      </c>
      <c r="BM491" s="21" t="s">
        <v>5581</v>
      </c>
    </row>
    <row r="492" spans="1:65" ht="15">
      <c r="A492" s="25" t="str">
        <f>IFERROR(INDEX('Hun Demand'!W:W,MATCH(O492,'Hun Demand'!A:A,0)),"")</f>
        <v/>
      </c>
      <c r="B492" s="25" t="str">
        <f>IFERROR(INDEX('Hun Demand'!V:V,MATCH(O492,'Hun Demand'!A:A,0)),"")</f>
        <v/>
      </c>
      <c r="C492" s="25" t="str">
        <f>IFERROR(INDEX('Hun Demand'!U:U,MATCH(O492,'Hun Demand'!A:A,0)),"")</f>
        <v/>
      </c>
      <c r="D492" s="25" t="str">
        <f>IFERROR(INDEX('Hun Demand'!T:T,MATCH(O492,'Hun Demand'!A:A,0)),"")</f>
        <v/>
      </c>
      <c r="E492" s="25" t="str">
        <f>IFERROR(INDEX('Hun Demand'!S:S,MATCH(O492,'Hun Demand'!A:A,0)),"")</f>
        <v/>
      </c>
      <c r="F492" s="25" t="str">
        <f>IFERROR(INDEX('Hun Demand'!R:R,MATCH(O492,'Hun Demand'!A:A,0)),"")</f>
        <v/>
      </c>
      <c r="G492" s="25">
        <f>IFERROR(INDEX('Aub Demand'!W:W,MATCH(O492,'Aub Demand'!A:A,0)),"")</f>
        <v>0</v>
      </c>
      <c r="H492" s="25">
        <f>IFERROR(INDEX('Aub Demand'!V:V,MATCH(O492,'Aub Demand'!A:A,0)),"")</f>
        <v>0</v>
      </c>
      <c r="I492" s="25">
        <f>IFERROR(INDEX('Aub Demand'!U:U,MATCH(O492,'Aub Demand'!A:A,0)),"")</f>
        <v>0</v>
      </c>
      <c r="J492" s="25">
        <f>IFERROR(INDEX('Aub Demand'!T:T,MATCH(O492,'Aub Demand'!A:A,0)),"")</f>
        <v>0</v>
      </c>
      <c r="K492" s="25">
        <f>IFERROR(INDEX('Aub Demand'!S:S,MATCH(O492,'Aub Demand'!A:A,0)),"")</f>
        <v>0</v>
      </c>
      <c r="L492" s="25">
        <f>IFERROR(INDEX('Aub Demand'!R:R,MATCH(O492,'Aub Demand'!A:A,0)),"")</f>
        <v>0</v>
      </c>
      <c r="O492" s="27" t="s">
        <v>2200</v>
      </c>
      <c r="P492" s="27" t="str">
        <f>IFERROR(INDEX('Aub Demand'!B:B,MATCH($O492,'Aub Demand'!$A:$A,0)),"")</f>
        <v>WHITE GRANITE</v>
      </c>
      <c r="Q492" s="27" t="str">
        <f>IFERROR(INDEX('Aub Demand'!C:C,MATCH($O492,'Aub Demand'!$A:$A,0)),"")</f>
        <v>TOPPA</v>
      </c>
      <c r="R492" s="52">
        <f>IFERROR(IF(AR493=AR492,INDEX('Aub Demand'!K:K,MATCH($O492,'Aub Demand'!$A:$A,0))-IF(AN492="",0,AN492)+AP493,INDEX('Aub Demand'!K:K,MATCH($O492,'Aub Demand'!$A:$A,0))-IF(AN492="",0,AN492)),"")</f>
        <v>1379</v>
      </c>
      <c r="S492" s="53" t="str">
        <f t="shared" si="196"/>
        <v>n/a</v>
      </c>
      <c r="T492" s="52" t="str">
        <f t="shared" si="197"/>
        <v/>
      </c>
      <c r="U492" s="52">
        <f>IFERROR(IF(AR493=AR492,INDEX('Aub Demand'!Q:Q,MATCH($O492,'Aub Demand'!$A:$A,0))-IF(AN492="",0,AN492)+AP493,INDEX('Aub Demand'!Q:Q,MATCH($O492,'Aub Demand'!$A:$A,0))-IF(AN492="",0,AN492)),"")</f>
        <v>1379</v>
      </c>
      <c r="V492" s="53" t="str">
        <f t="shared" si="198"/>
        <v>n/a</v>
      </c>
      <c r="W492" s="52" t="str">
        <f t="shared" si="199"/>
        <v/>
      </c>
      <c r="X492" s="52">
        <f>IFERROR(IF(AND(AR493=AR492,AM492&lt;&gt;""),INDEX('Aub Demand'!Q:Q,MATCH($O492,'Aub Demand'!$A:$A,0))-IF(AN492="",0,AN492)+AP493+AD492+AL492,IF(AR493=AR492,INDEX('Aub Demand'!Q:Q,MATCH($O492,'Aub Demand'!$A:$A,0))-IF(AN492="",0,AN492)+AP493+AD492,IF(AM492&lt;&gt;"",INDEX('Aub Demand'!Q:Q,MATCH($O492,'Aub Demand'!$A:$A,0))-IF(AN492="",0,AN492)+AD492+AL492,INDEX('Aub Demand'!Q:Q,MATCH($O492,'Aub Demand'!$A:$A,0))-IF(AN492="",0,AN492)+AD492))),"")</f>
        <v>1379</v>
      </c>
      <c r="Y492" s="53" t="str">
        <f t="shared" si="200"/>
        <v>n/a</v>
      </c>
      <c r="Z492" s="52">
        <f>IF(L492="","",INDEX('Aub Demand'!H:H,MATCH($O492,'Aub Demand'!$A:$A,0)))</f>
        <v>0</v>
      </c>
      <c r="AA492" s="52" t="str">
        <f t="shared" si="201"/>
        <v>-spike-</v>
      </c>
      <c r="AB492" s="52">
        <f>IFERROR(INDEX('Aub Demand'!L:L,MATCH($O492,'Aub Demand'!$A:$A,0)),"")</f>
        <v>0</v>
      </c>
      <c r="AC492" s="52">
        <f>IFERROR(IF(O492="","",SUMIFS('CPL Mats'!F:F,'CPL Mats'!Q:Q,AR492,'CPL Mats'!S:S,AS492)),"")</f>
        <v>0</v>
      </c>
      <c r="AF492" s="25" t="str">
        <f>IF(SUMIFS('Supp Consol'!S:S,'Supp Consol'!Y:Y,"Releasable",'Supp Consol'!A:A,O492)=0,"",SUMIFS('Supp Consol'!S:S,'Supp Consol'!Y:Y,"Releasable",'Supp Consol'!A:A,O492))</f>
        <v/>
      </c>
      <c r="AG492" s="25" t="str">
        <f>IFERROR(INDEX('Hun Demand'!Q:Q,MATCH(O492,'Hun Demand'!A:A,0)),"")</f>
        <v/>
      </c>
      <c r="AH492" s="25" t="str">
        <f>IFERROR(INDEX('Hun Demand'!H:H,MATCH($O492,'Hun Demand'!$A:$A,0)),"")</f>
        <v/>
      </c>
      <c r="AI492" s="25" t="str">
        <f>IF(SUMIFS('Supp Consol'!AA:AA,'Supp Consol'!Z:Z,"Expires this month",'Supp Consol'!A:A,O492)=0,"",SUMIFS('Supp Consol'!AA:AA,'Supp Consol'!Z:Z,"Expires this month",'Supp Consol'!A:A,O492))</f>
        <v/>
      </c>
      <c r="AJ492" s="25" t="str">
        <f>IF(SUMIFS('Supp Consol'!AA:AA,'Supp Consol'!Z:Z,"Expired Previous Months",'Supp Consol'!A:A,O492)=0,"",SUMIFS('Supp Consol'!AA:AA,'Supp Consol'!Z:Z,"Expired Previous Months",'Supp Consol'!A:A,O492))</f>
        <v/>
      </c>
      <c r="AK492" s="25" t="str">
        <f>IFERROR(INDEX('Hun Release Current'!B:B,MATCH(O492,'Hun Release Current'!A:A,0)),"")</f>
        <v/>
      </c>
      <c r="AL492" s="25" t="str">
        <f>IF(SUMIF('Prev Aub'!A:A,O492,'Prev Aub'!B:B)=0,"",SUMIF('Prev Aub'!A:A,O492,'Prev Aub'!B:B))</f>
        <v/>
      </c>
      <c r="AN492" s="25" t="s">
        <v>3790</v>
      </c>
      <c r="AO492" s="25" t="s">
        <v>3790</v>
      </c>
      <c r="AP492" s="25">
        <f t="shared" si="202"/>
        <v>0</v>
      </c>
      <c r="AQ492" s="151" t="str">
        <f>IF(SUMIFS('Supp Consol'!S:S,'Supp Consol'!A:A,O492,'Supp Consol'!I:I,"PENDING")=0,"",SUMIFS('Supp Consol'!S:S,'Supp Consol'!A:A,O492,'Supp Consol'!I:I,"PENDING"))</f>
        <v/>
      </c>
      <c r="AR492" s="27" t="str">
        <f t="shared" si="203"/>
        <v>H5189</v>
      </c>
      <c r="AS492" s="27" t="str">
        <f t="shared" si="204"/>
        <v>62</v>
      </c>
      <c r="AT492" s="27" t="str">
        <f t="shared" si="205"/>
        <v/>
      </c>
      <c r="AU492" s="27" t="str">
        <f t="shared" si="206"/>
        <v/>
      </c>
      <c r="AV492" s="27" t="str">
        <f t="shared" si="207"/>
        <v/>
      </c>
      <c r="AW492" s="27" t="str">
        <f t="shared" si="208"/>
        <v/>
      </c>
      <c r="AX492" s="27" t="str">
        <f t="shared" si="209"/>
        <v/>
      </c>
      <c r="AY492" s="27" t="str">
        <f t="shared" si="210"/>
        <v/>
      </c>
      <c r="AZ492" s="27" t="str">
        <f t="shared" si="211"/>
        <v/>
      </c>
      <c r="BA492" s="27" t="str">
        <f t="shared" si="212"/>
        <v/>
      </c>
      <c r="BB492" s="27" t="str">
        <f t="shared" si="213"/>
        <v/>
      </c>
      <c r="BC492" s="27" t="str">
        <f t="shared" si="214"/>
        <v/>
      </c>
      <c r="BD492" s="27" t="str">
        <f t="shared" si="215"/>
        <v/>
      </c>
      <c r="BE492" s="27" t="str">
        <f t="shared" si="216"/>
        <v/>
      </c>
      <c r="BF492" s="27" t="str">
        <f t="shared" si="217"/>
        <v/>
      </c>
      <c r="BG492" s="27" t="str">
        <f t="shared" si="218"/>
        <v/>
      </c>
      <c r="BH492" s="27" t="str">
        <f t="shared" si="219"/>
        <v/>
      </c>
      <c r="BI492" s="27" t="str">
        <f t="shared" si="220"/>
        <v/>
      </c>
      <c r="BJ492" s="27" t="str">
        <f t="shared" si="221"/>
        <v/>
      </c>
      <c r="BK492" s="27" t="str">
        <f t="shared" si="222"/>
        <v/>
      </c>
      <c r="BL492" s="27" t="str">
        <f t="shared" si="223"/>
        <v/>
      </c>
      <c r="BM492" s="21" t="s">
        <v>5581</v>
      </c>
    </row>
    <row r="493" spans="1:65" ht="15">
      <c r="A493" s="25" t="str">
        <f>IFERROR(INDEX('Hun Demand'!W:W,MATCH(O493,'Hun Demand'!A:A,0)),"")</f>
        <v/>
      </c>
      <c r="B493" s="25" t="str">
        <f>IFERROR(INDEX('Hun Demand'!V:V,MATCH(O493,'Hun Demand'!A:A,0)),"")</f>
        <v/>
      </c>
      <c r="C493" s="25" t="str">
        <f>IFERROR(INDEX('Hun Demand'!U:U,MATCH(O493,'Hun Demand'!A:A,0)),"")</f>
        <v/>
      </c>
      <c r="D493" s="25" t="str">
        <f>IFERROR(INDEX('Hun Demand'!T:T,MATCH(O493,'Hun Demand'!A:A,0)),"")</f>
        <v/>
      </c>
      <c r="E493" s="25" t="str">
        <f>IFERROR(INDEX('Hun Demand'!S:S,MATCH(O493,'Hun Demand'!A:A,0)),"")</f>
        <v/>
      </c>
      <c r="F493" s="25" t="str">
        <f>IFERROR(INDEX('Hun Demand'!R:R,MATCH(O493,'Hun Demand'!A:A,0)),"")</f>
        <v/>
      </c>
      <c r="G493" s="25">
        <f>IFERROR(INDEX('Aub Demand'!W:W,MATCH(O493,'Aub Demand'!A:A,0)),"")</f>
        <v>1598</v>
      </c>
      <c r="H493" s="25">
        <f>IFERROR(INDEX('Aub Demand'!V:V,MATCH(O493,'Aub Demand'!A:A,0)),"")</f>
        <v>901</v>
      </c>
      <c r="I493" s="25">
        <f>IFERROR(INDEX('Aub Demand'!U:U,MATCH(O493,'Aub Demand'!A:A,0)),"")</f>
        <v>1076</v>
      </c>
      <c r="J493" s="25">
        <f>IFERROR(INDEX('Aub Demand'!T:T,MATCH(O493,'Aub Demand'!A:A,0)),"")</f>
        <v>583</v>
      </c>
      <c r="K493" s="25">
        <f>IFERROR(INDEX('Aub Demand'!S:S,MATCH(O493,'Aub Demand'!A:A,0)),"")</f>
        <v>480</v>
      </c>
      <c r="L493" s="25">
        <f>IFERROR(INDEX('Aub Demand'!R:R,MATCH(O493,'Aub Demand'!A:A,0)),"")</f>
        <v>150</v>
      </c>
      <c r="O493" s="27" t="s">
        <v>2201</v>
      </c>
      <c r="P493" s="27" t="str">
        <f>IFERROR(INDEX('Aub Demand'!B:B,MATCH($O493,'Aub Demand'!$A:$A,0)),"")</f>
        <v>AMF BUTCHER BLOCK</v>
      </c>
      <c r="Q493" s="27" t="str">
        <f>IFERROR(INDEX('Aub Demand'!C:C,MATCH($O493,'Aub Demand'!$A:$A,0)),"")</f>
        <v>INTER</v>
      </c>
      <c r="R493" s="52">
        <f>IFERROR(IF(AR494=AR493,INDEX('Aub Demand'!K:K,MATCH($O493,'Aub Demand'!$A:$A,0))-IF(AN493="",0,AN493)+AP494,INDEX('Aub Demand'!K:K,MATCH($O493,'Aub Demand'!$A:$A,0))-IF(AN493="",0,AN493)),"")</f>
        <v>1340</v>
      </c>
      <c r="S493" s="53">
        <f t="shared" si="196"/>
        <v>8.1</v>
      </c>
      <c r="T493" s="52" t="str">
        <f t="shared" si="197"/>
        <v/>
      </c>
      <c r="U493" s="52">
        <f>IFERROR(IF(AR494=AR493,INDEX('Aub Demand'!Q:Q,MATCH($O493,'Aub Demand'!$A:$A,0))-IF(AN493="",0,AN493)+AP494,INDEX('Aub Demand'!Q:Q,MATCH($O493,'Aub Demand'!$A:$A,0))-IF(AN493="",0,AN493)),"")</f>
        <v>287</v>
      </c>
      <c r="V493" s="53">
        <f t="shared" si="198"/>
        <v>1.7</v>
      </c>
      <c r="W493" s="52">
        <f t="shared" si="199"/>
        <v>269.58750000000003</v>
      </c>
      <c r="X493" s="52">
        <f>IFERROR(IF(AND(AR494=AR493,AM493&lt;&gt;""),INDEX('Aub Demand'!Q:Q,MATCH($O493,'Aub Demand'!$A:$A,0))-IF(AN493="",0,AN493)+AP494+AD493+AL493,IF(AR494=AR493,INDEX('Aub Demand'!Q:Q,MATCH($O493,'Aub Demand'!$A:$A,0))-IF(AN493="",0,AN493)+AP494+AD493,IF(AM493&lt;&gt;"",INDEX('Aub Demand'!Q:Q,MATCH($O493,'Aub Demand'!$A:$A,0))-IF(AN493="",0,AN493)+AD493+AL493,INDEX('Aub Demand'!Q:Q,MATCH($O493,'Aub Demand'!$A:$A,0))-IF(AN493="",0,AN493)+AD493))),"")</f>
        <v>787</v>
      </c>
      <c r="Y493" s="53">
        <f t="shared" si="200"/>
        <v>4.7</v>
      </c>
      <c r="Z493" s="52">
        <f>IF(L493="","",INDEX('Aub Demand'!H:H,MATCH($O493,'Aub Demand'!$A:$A,0)))</f>
        <v>713</v>
      </c>
      <c r="AA493" s="52">
        <f t="shared" si="201"/>
        <v>829.5</v>
      </c>
      <c r="AB493" s="52">
        <f>IFERROR(INDEX('Aub Demand'!L:L,MATCH($O493,'Aub Demand'!$A:$A,0)),"")</f>
        <v>725</v>
      </c>
      <c r="AC493" s="52">
        <f>IFERROR(IF(O493="","",SUMIFS('CPL Mats'!F:F,'CPL Mats'!Q:Q,AR493,'CPL Mats'!S:S,AS493)),"")</f>
        <v>0</v>
      </c>
      <c r="AF493" s="25">
        <f>IF(SUMIFS('Supp Consol'!S:S,'Supp Consol'!Y:Y,"Releasable",'Supp Consol'!A:A,O493)=0,"",SUMIFS('Supp Consol'!S:S,'Supp Consol'!Y:Y,"Releasable",'Supp Consol'!A:A,O493))</f>
        <v>1972</v>
      </c>
      <c r="AG493" s="25" t="str">
        <f>IFERROR(INDEX('Hun Demand'!Q:Q,MATCH(O493,'Hun Demand'!A:A,0)),"")</f>
        <v/>
      </c>
      <c r="AH493" s="25" t="str">
        <f>IFERROR(INDEX('Hun Demand'!H:H,MATCH($O493,'Hun Demand'!$A:$A,0)),"")</f>
        <v/>
      </c>
      <c r="AI493" s="25" t="str">
        <f>IF(SUMIFS('Supp Consol'!AA:AA,'Supp Consol'!Z:Z,"Expires this month",'Supp Consol'!A:A,O493)=0,"",SUMIFS('Supp Consol'!AA:AA,'Supp Consol'!Z:Z,"Expires this month",'Supp Consol'!A:A,O493))</f>
        <v/>
      </c>
      <c r="AJ493" s="25" t="str">
        <f>IF(SUMIFS('Supp Consol'!AA:AA,'Supp Consol'!Z:Z,"Expired Previous Months",'Supp Consol'!A:A,O493)=0,"",SUMIFS('Supp Consol'!AA:AA,'Supp Consol'!Z:Z,"Expired Previous Months",'Supp Consol'!A:A,O493))</f>
        <v/>
      </c>
      <c r="AK493" s="25" t="str">
        <f>IFERROR(INDEX('Hun Release Current'!B:B,MATCH(O493,'Hun Release Current'!A:A,0)),"")</f>
        <v/>
      </c>
      <c r="AL493" s="25">
        <f>IF(SUMIF('Prev Aub'!A:A,O493,'Prev Aub'!B:B)=0,"",SUMIF('Prev Aub'!A:A,O493,'Prev Aub'!B:B))</f>
        <v>500</v>
      </c>
      <c r="AM493" s="52" t="s">
        <v>3891</v>
      </c>
      <c r="AN493" s="25" t="s">
        <v>3790</v>
      </c>
      <c r="AO493" s="25" t="s">
        <v>3790</v>
      </c>
      <c r="AP493" s="25">
        <f t="shared" si="202"/>
        <v>0</v>
      </c>
      <c r="AQ493" s="151" t="str">
        <f>IF(SUMIFS('Supp Consol'!S:S,'Supp Consol'!A:A,O493,'Supp Consol'!I:I,"PENDING")=0,"",SUMIFS('Supp Consol'!S:S,'Supp Consol'!A:A,O493,'Supp Consol'!I:I,"PENDING"))</f>
        <v/>
      </c>
      <c r="AR493" s="27" t="str">
        <f t="shared" si="203"/>
        <v>HA009</v>
      </c>
      <c r="AS493" s="27" t="str">
        <f t="shared" si="204"/>
        <v>43</v>
      </c>
      <c r="AT493" s="27" t="str">
        <f t="shared" si="205"/>
        <v/>
      </c>
      <c r="AU493" s="27" t="str">
        <f t="shared" si="206"/>
        <v/>
      </c>
      <c r="AV493" s="27" t="str">
        <f t="shared" si="207"/>
        <v/>
      </c>
      <c r="AW493" s="27" t="str">
        <f t="shared" si="208"/>
        <v/>
      </c>
      <c r="AX493" s="27" t="str">
        <f t="shared" si="209"/>
        <v>HA009</v>
      </c>
      <c r="AY493" s="27" t="str">
        <f t="shared" si="210"/>
        <v/>
      </c>
      <c r="AZ493" s="27" t="str">
        <f t="shared" si="211"/>
        <v>Supp</v>
      </c>
      <c r="BA493" s="27" t="str">
        <f t="shared" si="212"/>
        <v/>
      </c>
      <c r="BB493" s="27" t="str">
        <f t="shared" si="213"/>
        <v/>
      </c>
      <c r="BC493" s="27" t="str">
        <f t="shared" si="214"/>
        <v/>
      </c>
      <c r="BD493" s="27" t="str">
        <f t="shared" si="215"/>
        <v/>
      </c>
      <c r="BE493" s="27" t="str">
        <f t="shared" si="216"/>
        <v/>
      </c>
      <c r="BF493" s="27" t="str">
        <f t="shared" si="217"/>
        <v/>
      </c>
      <c r="BG493" s="27" t="str">
        <f t="shared" si="218"/>
        <v/>
      </c>
      <c r="BH493" s="27" t="str">
        <f t="shared" si="219"/>
        <v/>
      </c>
      <c r="BI493" s="27" t="str">
        <f t="shared" si="220"/>
        <v/>
      </c>
      <c r="BJ493" s="27" t="str">
        <f t="shared" si="221"/>
        <v>Supp or Hun</v>
      </c>
      <c r="BK493" s="27" t="str">
        <f t="shared" si="222"/>
        <v/>
      </c>
      <c r="BL493" s="27" t="str">
        <f t="shared" si="223"/>
        <v/>
      </c>
      <c r="BM493" s="21" t="s">
        <v>5581</v>
      </c>
    </row>
    <row r="494" spans="1:65" ht="15">
      <c r="A494" s="25" t="str">
        <f>IFERROR(INDEX('Hun Demand'!W:W,MATCH(O494,'Hun Demand'!A:A,0)),"")</f>
        <v/>
      </c>
      <c r="B494" s="25" t="str">
        <f>IFERROR(INDEX('Hun Demand'!V:V,MATCH(O494,'Hun Demand'!A:A,0)),"")</f>
        <v/>
      </c>
      <c r="C494" s="25" t="str">
        <f>IFERROR(INDEX('Hun Demand'!U:U,MATCH(O494,'Hun Demand'!A:A,0)),"")</f>
        <v/>
      </c>
      <c r="D494" s="25" t="str">
        <f>IFERROR(INDEX('Hun Demand'!T:T,MATCH(O494,'Hun Demand'!A:A,0)),"")</f>
        <v/>
      </c>
      <c r="E494" s="25" t="str">
        <f>IFERROR(INDEX('Hun Demand'!S:S,MATCH(O494,'Hun Demand'!A:A,0)),"")</f>
        <v/>
      </c>
      <c r="F494" s="25" t="str">
        <f>IFERROR(INDEX('Hun Demand'!R:R,MATCH(O494,'Hun Demand'!A:A,0)),"")</f>
        <v/>
      </c>
      <c r="G494" s="25">
        <f>IFERROR(INDEX('Aub Demand'!W:W,MATCH(O494,'Aub Demand'!A:A,0)),"")</f>
        <v>22</v>
      </c>
      <c r="H494" s="25">
        <f>IFERROR(INDEX('Aub Demand'!V:V,MATCH(O494,'Aub Demand'!A:A,0)),"")</f>
        <v>10</v>
      </c>
      <c r="I494" s="25">
        <f>IFERROR(INDEX('Aub Demand'!U:U,MATCH(O494,'Aub Demand'!A:A,0)),"")</f>
        <v>0</v>
      </c>
      <c r="J494" s="25">
        <f>IFERROR(INDEX('Aub Demand'!T:T,MATCH(O494,'Aub Demand'!A:A,0)),"")</f>
        <v>0</v>
      </c>
      <c r="K494" s="25">
        <f>IFERROR(INDEX('Aub Demand'!S:S,MATCH(O494,'Aub Demand'!A:A,0)),"")</f>
        <v>0</v>
      </c>
      <c r="L494" s="25">
        <f>IFERROR(INDEX('Aub Demand'!R:R,MATCH(O494,'Aub Demand'!A:A,0)),"")</f>
        <v>0</v>
      </c>
      <c r="O494" s="27" t="s">
        <v>2204</v>
      </c>
      <c r="P494" s="27" t="str">
        <f>IFERROR(INDEX('Aub Demand'!B:B,MATCH($O494,'Aub Demand'!$A:$A,0)),"")</f>
        <v>CLOUD SPECKTRUM</v>
      </c>
      <c r="Q494" s="27" t="str">
        <f>IFERROR(INDEX('Aub Demand'!C:C,MATCH($O494,'Aub Demand'!$A:$A,0)),"")</f>
        <v>INTER</v>
      </c>
      <c r="R494" s="52">
        <f>IFERROR(IF(AR495=AR494,INDEX('Aub Demand'!K:K,MATCH($O494,'Aub Demand'!$A:$A,0))-IF(AN494="",0,AN494)+AP495,INDEX('Aub Demand'!K:K,MATCH($O494,'Aub Demand'!$A:$A,0))-IF(AN494="",0,AN494)),"")</f>
        <v>2196</v>
      </c>
      <c r="S494" s="53" t="str">
        <f t="shared" si="196"/>
        <v>n/a</v>
      </c>
      <c r="T494" s="52" t="str">
        <f t="shared" si="197"/>
        <v/>
      </c>
      <c r="U494" s="52">
        <f>IFERROR(IF(AR495=AR494,INDEX('Aub Demand'!Q:Q,MATCH($O494,'Aub Demand'!$A:$A,0))-IF(AN494="",0,AN494)+AP495,INDEX('Aub Demand'!Q:Q,MATCH($O494,'Aub Demand'!$A:$A,0))-IF(AN494="",0,AN494)),"")</f>
        <v>2196</v>
      </c>
      <c r="V494" s="53" t="str">
        <f t="shared" si="198"/>
        <v>n/a</v>
      </c>
      <c r="W494" s="52" t="str">
        <f t="shared" si="199"/>
        <v/>
      </c>
      <c r="X494" s="52">
        <f>IFERROR(IF(AND(AR495=AR494,AM494&lt;&gt;""),INDEX('Aub Demand'!Q:Q,MATCH($O494,'Aub Demand'!$A:$A,0))-IF(AN494="",0,AN494)+AP495+AD494+AL494,IF(AR495=AR494,INDEX('Aub Demand'!Q:Q,MATCH($O494,'Aub Demand'!$A:$A,0))-IF(AN494="",0,AN494)+AP495+AD494,IF(AM494&lt;&gt;"",INDEX('Aub Demand'!Q:Q,MATCH($O494,'Aub Demand'!$A:$A,0))-IF(AN494="",0,AN494)+AD494+AL494,INDEX('Aub Demand'!Q:Q,MATCH($O494,'Aub Demand'!$A:$A,0))-IF(AN494="",0,AN494)+AD494))),"")</f>
        <v>2196</v>
      </c>
      <c r="Y494" s="53" t="str">
        <f t="shared" si="200"/>
        <v>n/a</v>
      </c>
      <c r="Z494" s="52">
        <f>IF(L494="","",INDEX('Aub Demand'!H:H,MATCH($O494,'Aub Demand'!$A:$A,0)))</f>
        <v>0</v>
      </c>
      <c r="AA494" s="52" t="str">
        <f t="shared" si="201"/>
        <v>-spike-</v>
      </c>
      <c r="AB494" s="52">
        <f>IFERROR(INDEX('Aub Demand'!L:L,MATCH($O494,'Aub Demand'!$A:$A,0)),"")</f>
        <v>23</v>
      </c>
      <c r="AC494" s="52">
        <f>IFERROR(IF(O494="","",SUMIFS('CPL Mats'!F:F,'CPL Mats'!Q:Q,AR494,'CPL Mats'!S:S,AS494)),"")</f>
        <v>0</v>
      </c>
      <c r="AF494" s="25" t="str">
        <f>IF(SUMIFS('Supp Consol'!S:S,'Supp Consol'!Y:Y,"Releasable",'Supp Consol'!A:A,O494)=0,"",SUMIFS('Supp Consol'!S:S,'Supp Consol'!Y:Y,"Releasable",'Supp Consol'!A:A,O494))</f>
        <v/>
      </c>
      <c r="AG494" s="25" t="str">
        <f>IFERROR(INDEX('Hun Demand'!Q:Q,MATCH(O494,'Hun Demand'!A:A,0)),"")</f>
        <v/>
      </c>
      <c r="AH494" s="25" t="str">
        <f>IFERROR(INDEX('Hun Demand'!H:H,MATCH($O494,'Hun Demand'!$A:$A,0)),"")</f>
        <v/>
      </c>
      <c r="AI494" s="25" t="str">
        <f>IF(SUMIFS('Supp Consol'!AA:AA,'Supp Consol'!Z:Z,"Expires this month",'Supp Consol'!A:A,O494)=0,"",SUMIFS('Supp Consol'!AA:AA,'Supp Consol'!Z:Z,"Expires this month",'Supp Consol'!A:A,O494))</f>
        <v/>
      </c>
      <c r="AJ494" s="25" t="str">
        <f>IF(SUMIFS('Supp Consol'!AA:AA,'Supp Consol'!Z:Z,"Expired Previous Months",'Supp Consol'!A:A,O494)=0,"",SUMIFS('Supp Consol'!AA:AA,'Supp Consol'!Z:Z,"Expired Previous Months",'Supp Consol'!A:A,O494))</f>
        <v/>
      </c>
      <c r="AK494" s="25" t="str">
        <f>IFERROR(INDEX('Hun Release Current'!B:B,MATCH(O494,'Hun Release Current'!A:A,0)),"")</f>
        <v/>
      </c>
      <c r="AL494" s="25" t="str">
        <f>IF(SUMIF('Prev Aub'!A:A,O494,'Prev Aub'!B:B)=0,"",SUMIF('Prev Aub'!A:A,O494,'Prev Aub'!B:B))</f>
        <v/>
      </c>
      <c r="AN494" s="25" t="s">
        <v>3790</v>
      </c>
      <c r="AO494" s="25" t="s">
        <v>3790</v>
      </c>
      <c r="AP494" s="25">
        <f t="shared" si="202"/>
        <v>0</v>
      </c>
      <c r="AQ494" s="151" t="str">
        <f>IF(SUMIFS('Supp Consol'!S:S,'Supp Consol'!A:A,O494,'Supp Consol'!I:I,"PENDING")=0,"",SUMIFS('Supp Consol'!S:S,'Supp Consol'!A:A,O494,'Supp Consol'!I:I,"PENDING"))</f>
        <v/>
      </c>
      <c r="AR494" s="27" t="str">
        <f t="shared" si="203"/>
        <v>HA032</v>
      </c>
      <c r="AS494" s="27" t="str">
        <f t="shared" si="204"/>
        <v>50</v>
      </c>
      <c r="AT494" s="27" t="str">
        <f t="shared" si="205"/>
        <v/>
      </c>
      <c r="AU494" s="27" t="str">
        <f t="shared" si="206"/>
        <v/>
      </c>
      <c r="AV494" s="27" t="str">
        <f t="shared" si="207"/>
        <v/>
      </c>
      <c r="AW494" s="27" t="str">
        <f t="shared" si="208"/>
        <v/>
      </c>
      <c r="AX494" s="27" t="str">
        <f t="shared" si="209"/>
        <v/>
      </c>
      <c r="AY494" s="27" t="str">
        <f t="shared" si="210"/>
        <v/>
      </c>
      <c r="AZ494" s="27" t="str">
        <f t="shared" si="211"/>
        <v/>
      </c>
      <c r="BA494" s="27" t="str">
        <f t="shared" si="212"/>
        <v/>
      </c>
      <c r="BB494" s="27" t="str">
        <f t="shared" si="213"/>
        <v/>
      </c>
      <c r="BC494" s="27" t="str">
        <f t="shared" si="214"/>
        <v/>
      </c>
      <c r="BD494" s="27" t="str">
        <f t="shared" si="215"/>
        <v/>
      </c>
      <c r="BE494" s="27" t="str">
        <f t="shared" si="216"/>
        <v/>
      </c>
      <c r="BF494" s="27" t="str">
        <f t="shared" si="217"/>
        <v/>
      </c>
      <c r="BG494" s="27" t="str">
        <f t="shared" si="218"/>
        <v/>
      </c>
      <c r="BH494" s="27" t="str">
        <f t="shared" si="219"/>
        <v/>
      </c>
      <c r="BI494" s="27" t="str">
        <f t="shared" si="220"/>
        <v/>
      </c>
      <c r="BJ494" s="27" t="str">
        <f t="shared" si="221"/>
        <v/>
      </c>
      <c r="BK494" s="27" t="str">
        <f t="shared" si="222"/>
        <v/>
      </c>
      <c r="BL494" s="27" t="str">
        <f t="shared" si="223"/>
        <v/>
      </c>
      <c r="BM494" s="21" t="s">
        <v>5581</v>
      </c>
    </row>
    <row r="495" spans="1:65" ht="15">
      <c r="A495" s="25" t="str">
        <f>IFERROR(INDEX('Hun Demand'!W:W,MATCH(O495,'Hun Demand'!A:A,0)),"")</f>
        <v/>
      </c>
      <c r="B495" s="25" t="str">
        <f>IFERROR(INDEX('Hun Demand'!V:V,MATCH(O495,'Hun Demand'!A:A,0)),"")</f>
        <v/>
      </c>
      <c r="C495" s="25" t="str">
        <f>IFERROR(INDEX('Hun Demand'!U:U,MATCH(O495,'Hun Demand'!A:A,0)),"")</f>
        <v/>
      </c>
      <c r="D495" s="25" t="str">
        <f>IFERROR(INDEX('Hun Demand'!T:T,MATCH(O495,'Hun Demand'!A:A,0)),"")</f>
        <v/>
      </c>
      <c r="E495" s="25" t="str">
        <f>IFERROR(INDEX('Hun Demand'!S:S,MATCH(O495,'Hun Demand'!A:A,0)),"")</f>
        <v/>
      </c>
      <c r="F495" s="25" t="str">
        <f>IFERROR(INDEX('Hun Demand'!R:R,MATCH(O495,'Hun Demand'!A:A,0)),"")</f>
        <v/>
      </c>
      <c r="G495" s="25">
        <f>IFERROR(INDEX('Aub Demand'!W:W,MATCH(O495,'Aub Demand'!A:A,0)),"")</f>
        <v>80</v>
      </c>
      <c r="H495" s="25">
        <f>IFERROR(INDEX('Aub Demand'!V:V,MATCH(O495,'Aub Demand'!A:A,0)),"")</f>
        <v>101</v>
      </c>
      <c r="I495" s="25">
        <f>IFERROR(INDEX('Aub Demand'!U:U,MATCH(O495,'Aub Demand'!A:A,0)),"")</f>
        <v>59</v>
      </c>
      <c r="J495" s="25">
        <f>IFERROR(INDEX('Aub Demand'!T:T,MATCH(O495,'Aub Demand'!A:A,0)),"")</f>
        <v>25</v>
      </c>
      <c r="K495" s="25">
        <f>IFERROR(INDEX('Aub Demand'!S:S,MATCH(O495,'Aub Demand'!A:A,0)),"")</f>
        <v>0</v>
      </c>
      <c r="L495" s="25">
        <f>IFERROR(INDEX('Aub Demand'!R:R,MATCH(O495,'Aub Demand'!A:A,0)),"")</f>
        <v>0</v>
      </c>
      <c r="O495" s="27" t="s">
        <v>2207</v>
      </c>
      <c r="P495" s="27" t="str">
        <f>IFERROR(INDEX('Aub Demand'!B:B,MATCH($O495,'Aub Demand'!$A:$A,0)),"")</f>
        <v>BLUE SHIMMER HAUTELI</v>
      </c>
      <c r="Q495" s="27" t="str">
        <f>IFERROR(INDEX('Aub Demand'!C:C,MATCH($O495,'Aub Demand'!$A:$A,0)),"")</f>
        <v>AHLST</v>
      </c>
      <c r="R495" s="52">
        <f>IFERROR(IF(AR496=AR495,INDEX('Aub Demand'!K:K,MATCH($O495,'Aub Demand'!$A:$A,0))-IF(AN495="",0,AN495)+AP496,INDEX('Aub Demand'!K:K,MATCH($O495,'Aub Demand'!$A:$A,0))-IF(AN495="",0,AN495)),"")</f>
        <v>0</v>
      </c>
      <c r="S495" s="53">
        <f t="shared" si="196"/>
        <v>0</v>
      </c>
      <c r="T495" s="52">
        <f t="shared" si="197"/>
        <v>31.5</v>
      </c>
      <c r="U495" s="52">
        <f>IFERROR(IF(AR496=AR495,INDEX('Aub Demand'!Q:Q,MATCH($O495,'Aub Demand'!$A:$A,0))-IF(AN495="",0,AN495)+AP496,INDEX('Aub Demand'!Q:Q,MATCH($O495,'Aub Demand'!$A:$A,0))-IF(AN495="",0,AN495)),"")</f>
        <v>-2</v>
      </c>
      <c r="V495" s="53">
        <f t="shared" si="198"/>
        <v>-0.3</v>
      </c>
      <c r="W495" s="52">
        <f t="shared" si="199"/>
        <v>34.65</v>
      </c>
      <c r="X495" s="52">
        <f>IFERROR(IF(AND(AR496=AR495,AM495&lt;&gt;""),INDEX('Aub Demand'!Q:Q,MATCH($O495,'Aub Demand'!$A:$A,0))-IF(AN495="",0,AN495)+AP496+AD495+AL495,IF(AR496=AR495,INDEX('Aub Demand'!Q:Q,MATCH($O495,'Aub Demand'!$A:$A,0))-IF(AN495="",0,AN495)+AP496+AD495,IF(AM495&lt;&gt;"",INDEX('Aub Demand'!Q:Q,MATCH($O495,'Aub Demand'!$A:$A,0))-IF(AN495="",0,AN495)+AD495+AL495,INDEX('Aub Demand'!Q:Q,MATCH($O495,'Aub Demand'!$A:$A,0))-IF(AN495="",0,AN495)+AD495))),"")</f>
        <v>-2</v>
      </c>
      <c r="Y495" s="53">
        <f t="shared" si="200"/>
        <v>-0.3</v>
      </c>
      <c r="Z495" s="52">
        <f>IF(L495="","",INDEX('Aub Demand'!H:H,MATCH($O495,'Aub Demand'!$A:$A,0)))</f>
        <v>28</v>
      </c>
      <c r="AA495" s="52">
        <f t="shared" si="201"/>
        <v>42</v>
      </c>
      <c r="AB495" s="52">
        <f>IFERROR(INDEX('Aub Demand'!L:L,MATCH($O495,'Aub Demand'!$A:$A,0)),"")</f>
        <v>88</v>
      </c>
      <c r="AC495" s="52">
        <f>IFERROR(IF(O495="","",SUMIFS('CPL Mats'!F:F,'CPL Mats'!Q:Q,AR495,'CPL Mats'!S:S,AS495)),"")</f>
        <v>0</v>
      </c>
      <c r="AF495" s="25" t="str">
        <f>IF(SUMIFS('Supp Consol'!S:S,'Supp Consol'!Y:Y,"Releasable",'Supp Consol'!A:A,O495)=0,"",SUMIFS('Supp Consol'!S:S,'Supp Consol'!Y:Y,"Releasable",'Supp Consol'!A:A,O495))</f>
        <v/>
      </c>
      <c r="AG495" s="25" t="str">
        <f>IFERROR(INDEX('Hun Demand'!Q:Q,MATCH(O495,'Hun Demand'!A:A,0)),"")</f>
        <v/>
      </c>
      <c r="AH495" s="25" t="str">
        <f>IFERROR(INDEX('Hun Demand'!H:H,MATCH($O495,'Hun Demand'!$A:$A,0)),"")</f>
        <v/>
      </c>
      <c r="AI495" s="25" t="str">
        <f>IF(SUMIFS('Supp Consol'!AA:AA,'Supp Consol'!Z:Z,"Expires this month",'Supp Consol'!A:A,O495)=0,"",SUMIFS('Supp Consol'!AA:AA,'Supp Consol'!Z:Z,"Expires this month",'Supp Consol'!A:A,O495))</f>
        <v/>
      </c>
      <c r="AJ495" s="25" t="str">
        <f>IF(SUMIFS('Supp Consol'!AA:AA,'Supp Consol'!Z:Z,"Expired Previous Months",'Supp Consol'!A:A,O495)=0,"",SUMIFS('Supp Consol'!AA:AA,'Supp Consol'!Z:Z,"Expired Previous Months",'Supp Consol'!A:A,O495))</f>
        <v/>
      </c>
      <c r="AK495" s="25" t="str">
        <f>IFERROR(INDEX('Hun Release Current'!B:B,MATCH(O495,'Hun Release Current'!A:A,0)),"")</f>
        <v/>
      </c>
      <c r="AL495" s="25" t="str">
        <f>IF(SUMIF('Prev Aub'!A:A,O495,'Prev Aub'!B:B)=0,"",SUMIF('Prev Aub'!A:A,O495,'Prev Aub'!B:B))</f>
        <v/>
      </c>
      <c r="AN495" s="25" t="s">
        <v>3790</v>
      </c>
      <c r="AO495" s="25" t="s">
        <v>3790</v>
      </c>
      <c r="AP495" s="25">
        <f t="shared" si="202"/>
        <v>0</v>
      </c>
      <c r="AQ495" s="151" t="str">
        <f>IF(SUMIFS('Supp Consol'!S:S,'Supp Consol'!A:A,O495,'Supp Consol'!I:I,"PENDING")=0,"",SUMIFS('Supp Consol'!S:S,'Supp Consol'!A:A,O495,'Supp Consol'!I:I,"PENDING"))</f>
        <v/>
      </c>
      <c r="AR495" s="27" t="str">
        <f t="shared" si="203"/>
        <v>HLB01</v>
      </c>
      <c r="AS495" s="27" t="str">
        <f t="shared" si="204"/>
        <v>50</v>
      </c>
      <c r="AT495" s="27" t="str">
        <f t="shared" si="205"/>
        <v>HLB01</v>
      </c>
      <c r="AU495" s="27" t="str">
        <f t="shared" si="206"/>
        <v>HLB01</v>
      </c>
      <c r="AV495" s="27" t="str">
        <f t="shared" si="207"/>
        <v>HLB01</v>
      </c>
      <c r="AW495" s="27" t="str">
        <f t="shared" si="208"/>
        <v/>
      </c>
      <c r="AX495" s="27" t="str">
        <f t="shared" si="209"/>
        <v/>
      </c>
      <c r="AY495" s="27" t="str">
        <f t="shared" si="210"/>
        <v/>
      </c>
      <c r="AZ495" s="27" t="str">
        <f t="shared" si="211"/>
        <v/>
      </c>
      <c r="BA495" s="27" t="str">
        <f t="shared" si="212"/>
        <v/>
      </c>
      <c r="BB495" s="27" t="str">
        <f t="shared" si="213"/>
        <v>Gross</v>
      </c>
      <c r="BC495" s="27" t="str">
        <f t="shared" si="214"/>
        <v>Net</v>
      </c>
      <c r="BD495" s="27" t="str">
        <f t="shared" si="215"/>
        <v>Net</v>
      </c>
      <c r="BE495" s="27" t="str">
        <f t="shared" si="216"/>
        <v/>
      </c>
      <c r="BF495" s="27" t="str">
        <f t="shared" si="217"/>
        <v/>
      </c>
      <c r="BG495" s="27" t="str">
        <f t="shared" si="218"/>
        <v/>
      </c>
      <c r="BH495" s="27" t="str">
        <f t="shared" si="219"/>
        <v/>
      </c>
      <c r="BI495" s="27" t="str">
        <f t="shared" si="220"/>
        <v/>
      </c>
      <c r="BJ495" s="27" t="str">
        <f t="shared" si="221"/>
        <v/>
      </c>
      <c r="BK495" s="27" t="str">
        <f t="shared" si="222"/>
        <v/>
      </c>
      <c r="BL495" s="27" t="str">
        <f t="shared" si="223"/>
        <v/>
      </c>
      <c r="BM495" s="21" t="s">
        <v>5581</v>
      </c>
    </row>
    <row r="496" spans="1:65" ht="15">
      <c r="A496" s="25" t="str">
        <f>IFERROR(INDEX('Hun Demand'!W:W,MATCH(O496,'Hun Demand'!A:A,0)),"")</f>
        <v/>
      </c>
      <c r="B496" s="25" t="str">
        <f>IFERROR(INDEX('Hun Demand'!V:V,MATCH(O496,'Hun Demand'!A:A,0)),"")</f>
        <v/>
      </c>
      <c r="C496" s="25" t="str">
        <f>IFERROR(INDEX('Hun Demand'!U:U,MATCH(O496,'Hun Demand'!A:A,0)),"")</f>
        <v/>
      </c>
      <c r="D496" s="25" t="str">
        <f>IFERROR(INDEX('Hun Demand'!T:T,MATCH(O496,'Hun Demand'!A:A,0)),"")</f>
        <v/>
      </c>
      <c r="E496" s="25" t="str">
        <f>IFERROR(INDEX('Hun Demand'!S:S,MATCH(O496,'Hun Demand'!A:A,0)),"")</f>
        <v/>
      </c>
      <c r="F496" s="25" t="str">
        <f>IFERROR(INDEX('Hun Demand'!R:R,MATCH(O496,'Hun Demand'!A:A,0)),"")</f>
        <v/>
      </c>
      <c r="G496" s="25">
        <f>IFERROR(INDEX('Aub Demand'!W:W,MATCH(O496,'Aub Demand'!A:A,0)),"")</f>
        <v>64</v>
      </c>
      <c r="H496" s="25">
        <f>IFERROR(INDEX('Aub Demand'!V:V,MATCH(O496,'Aub Demand'!A:A,0)),"")</f>
        <v>0</v>
      </c>
      <c r="I496" s="25">
        <f>IFERROR(INDEX('Aub Demand'!U:U,MATCH(O496,'Aub Demand'!A:A,0)),"")</f>
        <v>0</v>
      </c>
      <c r="J496" s="25">
        <f>IFERROR(INDEX('Aub Demand'!T:T,MATCH(O496,'Aub Demand'!A:A,0)),"")</f>
        <v>0</v>
      </c>
      <c r="K496" s="25">
        <f>IFERROR(INDEX('Aub Demand'!S:S,MATCH(O496,'Aub Demand'!A:A,0)),"")</f>
        <v>0</v>
      </c>
      <c r="L496" s="25">
        <f>IFERROR(INDEX('Aub Demand'!R:R,MATCH(O496,'Aub Demand'!A:A,0)),"")</f>
        <v>0</v>
      </c>
      <c r="O496" s="27" t="s">
        <v>2209</v>
      </c>
      <c r="P496" s="27" t="str">
        <f>IFERROR(INDEX('Aub Demand'!B:B,MATCH($O496,'Aub Demand'!$A:$A,0)),"")</f>
        <v>BLUE SHIMMER HAUTELI</v>
      </c>
      <c r="Q496" s="27" t="str">
        <f>IFERROR(INDEX('Aub Demand'!C:C,MATCH($O496,'Aub Demand'!$A:$A,0)),"")</f>
        <v>AHLST</v>
      </c>
      <c r="R496" s="52">
        <f>IFERROR(IF(AR497=AR496,INDEX('Aub Demand'!K:K,MATCH($O496,'Aub Demand'!$A:$A,0))-IF(AN496="",0,AN496)+AP497,INDEX('Aub Demand'!K:K,MATCH($O496,'Aub Demand'!$A:$A,0))-IF(AN496="",0,AN496)),"")</f>
        <v>2336</v>
      </c>
      <c r="S496" s="53" t="str">
        <f t="shared" si="196"/>
        <v>n/a</v>
      </c>
      <c r="T496" s="52" t="str">
        <f t="shared" si="197"/>
        <v/>
      </c>
      <c r="U496" s="52">
        <f>IFERROR(IF(AR497=AR496,INDEX('Aub Demand'!Q:Q,MATCH($O496,'Aub Demand'!$A:$A,0))-IF(AN496="",0,AN496)+AP497,INDEX('Aub Demand'!Q:Q,MATCH($O496,'Aub Demand'!$A:$A,0))-IF(AN496="",0,AN496)),"")</f>
        <v>2336</v>
      </c>
      <c r="V496" s="53" t="str">
        <f t="shared" si="198"/>
        <v>n/a</v>
      </c>
      <c r="W496" s="52" t="str">
        <f t="shared" si="199"/>
        <v/>
      </c>
      <c r="X496" s="52">
        <f>IFERROR(IF(AND(AR497=AR496,AM496&lt;&gt;""),INDEX('Aub Demand'!Q:Q,MATCH($O496,'Aub Demand'!$A:$A,0))-IF(AN496="",0,AN496)+AP497+AD496+AL496,IF(AR497=AR496,INDEX('Aub Demand'!Q:Q,MATCH($O496,'Aub Demand'!$A:$A,0))-IF(AN496="",0,AN496)+AP497+AD496,IF(AM496&lt;&gt;"",INDEX('Aub Demand'!Q:Q,MATCH($O496,'Aub Demand'!$A:$A,0))-IF(AN496="",0,AN496)+AD496+AL496,INDEX('Aub Demand'!Q:Q,MATCH($O496,'Aub Demand'!$A:$A,0))-IF(AN496="",0,AN496)+AD496))),"")</f>
        <v>2336</v>
      </c>
      <c r="Y496" s="53" t="str">
        <f t="shared" si="200"/>
        <v>n/a</v>
      </c>
      <c r="Z496" s="52">
        <f>IF(L496="","",INDEX('Aub Demand'!H:H,MATCH($O496,'Aub Demand'!$A:$A,0)))</f>
        <v>0</v>
      </c>
      <c r="AA496" s="52" t="str">
        <f t="shared" si="201"/>
        <v>-spike-</v>
      </c>
      <c r="AB496" s="52">
        <f>IFERROR(INDEX('Aub Demand'!L:L,MATCH($O496,'Aub Demand'!$A:$A,0)),"")</f>
        <v>0</v>
      </c>
      <c r="AC496" s="52">
        <f>IFERROR(IF(O496="","",SUMIFS('CPL Mats'!F:F,'CPL Mats'!Q:Q,AR496,'CPL Mats'!S:S,AS496)),"")</f>
        <v>0</v>
      </c>
      <c r="AF496" s="25" t="str">
        <f>IF(SUMIFS('Supp Consol'!S:S,'Supp Consol'!Y:Y,"Releasable",'Supp Consol'!A:A,O496)=0,"",SUMIFS('Supp Consol'!S:S,'Supp Consol'!Y:Y,"Releasable",'Supp Consol'!A:A,O496))</f>
        <v/>
      </c>
      <c r="AG496" s="25" t="str">
        <f>IFERROR(INDEX('Hun Demand'!Q:Q,MATCH(O496,'Hun Demand'!A:A,0)),"")</f>
        <v/>
      </c>
      <c r="AH496" s="25" t="str">
        <f>IFERROR(INDEX('Hun Demand'!H:H,MATCH($O496,'Hun Demand'!$A:$A,0)),"")</f>
        <v/>
      </c>
      <c r="AI496" s="25" t="str">
        <f>IF(SUMIFS('Supp Consol'!AA:AA,'Supp Consol'!Z:Z,"Expires this month",'Supp Consol'!A:A,O496)=0,"",SUMIFS('Supp Consol'!AA:AA,'Supp Consol'!Z:Z,"Expires this month",'Supp Consol'!A:A,O496))</f>
        <v/>
      </c>
      <c r="AJ496" s="25" t="str">
        <f>IF(SUMIFS('Supp Consol'!AA:AA,'Supp Consol'!Z:Z,"Expired Previous Months",'Supp Consol'!A:A,O496)=0,"",SUMIFS('Supp Consol'!AA:AA,'Supp Consol'!Z:Z,"Expired Previous Months",'Supp Consol'!A:A,O496))</f>
        <v/>
      </c>
      <c r="AK496" s="25" t="str">
        <f>IFERROR(INDEX('Hun Release Current'!B:B,MATCH(O496,'Hun Release Current'!A:A,0)),"")</f>
        <v/>
      </c>
      <c r="AL496" s="25" t="str">
        <f>IF(SUMIF('Prev Aub'!A:A,O496,'Prev Aub'!B:B)=0,"",SUMIF('Prev Aub'!A:A,O496,'Prev Aub'!B:B))</f>
        <v/>
      </c>
      <c r="AN496" s="25" t="s">
        <v>3790</v>
      </c>
      <c r="AO496" s="25" t="s">
        <v>3790</v>
      </c>
      <c r="AP496" s="25">
        <f t="shared" si="202"/>
        <v>0</v>
      </c>
      <c r="AQ496" s="151" t="str">
        <f>IF(SUMIFS('Supp Consol'!S:S,'Supp Consol'!A:A,O496,'Supp Consol'!I:I,"PENDING")=0,"",SUMIFS('Supp Consol'!S:S,'Supp Consol'!A:A,O496,'Supp Consol'!I:I,"PENDING"))</f>
        <v/>
      </c>
      <c r="AR496" s="27" t="str">
        <f t="shared" si="203"/>
        <v>HLB01</v>
      </c>
      <c r="AS496" s="27" t="str">
        <f t="shared" si="204"/>
        <v>62</v>
      </c>
      <c r="AT496" s="27" t="str">
        <f t="shared" si="205"/>
        <v/>
      </c>
      <c r="AU496" s="27" t="str">
        <f t="shared" si="206"/>
        <v/>
      </c>
      <c r="AV496" s="27" t="str">
        <f t="shared" si="207"/>
        <v/>
      </c>
      <c r="AW496" s="27" t="str">
        <f t="shared" si="208"/>
        <v/>
      </c>
      <c r="AX496" s="27" t="str">
        <f t="shared" si="209"/>
        <v/>
      </c>
      <c r="AY496" s="27" t="str">
        <f t="shared" si="210"/>
        <v/>
      </c>
      <c r="AZ496" s="27" t="str">
        <f t="shared" si="211"/>
        <v/>
      </c>
      <c r="BA496" s="27" t="str">
        <f t="shared" si="212"/>
        <v/>
      </c>
      <c r="BB496" s="27" t="str">
        <f t="shared" si="213"/>
        <v>Gross</v>
      </c>
      <c r="BC496" s="27" t="str">
        <f t="shared" si="214"/>
        <v>Net</v>
      </c>
      <c r="BD496" s="27" t="str">
        <f t="shared" si="215"/>
        <v>Net</v>
      </c>
      <c r="BE496" s="27" t="str">
        <f t="shared" si="216"/>
        <v/>
      </c>
      <c r="BF496" s="27" t="str">
        <f t="shared" si="217"/>
        <v/>
      </c>
      <c r="BG496" s="27" t="str">
        <f t="shared" si="218"/>
        <v/>
      </c>
      <c r="BH496" s="27" t="str">
        <f t="shared" si="219"/>
        <v/>
      </c>
      <c r="BI496" s="27" t="str">
        <f t="shared" si="220"/>
        <v/>
      </c>
      <c r="BJ496" s="27" t="str">
        <f t="shared" si="221"/>
        <v/>
      </c>
      <c r="BK496" s="27" t="str">
        <f t="shared" si="222"/>
        <v/>
      </c>
      <c r="BL496" s="27" t="str">
        <f t="shared" si="223"/>
        <v/>
      </c>
      <c r="BM496" s="21" t="s">
        <v>5581</v>
      </c>
    </row>
    <row r="497" spans="1:65" ht="15">
      <c r="A497" s="25">
        <f>IFERROR(INDEX('Hun Demand'!W:W,MATCH(O497,'Hun Demand'!A:A,0)),"")</f>
        <v>0</v>
      </c>
      <c r="B497" s="25">
        <f>IFERROR(INDEX('Hun Demand'!V:V,MATCH(O497,'Hun Demand'!A:A,0)),"")</f>
        <v>0</v>
      </c>
      <c r="C497" s="25">
        <f>IFERROR(INDEX('Hun Demand'!U:U,MATCH(O497,'Hun Demand'!A:A,0)),"")</f>
        <v>0</v>
      </c>
      <c r="D497" s="25">
        <f>IFERROR(INDEX('Hun Demand'!T:T,MATCH(O497,'Hun Demand'!A:A,0)),"")</f>
        <v>0</v>
      </c>
      <c r="E497" s="25">
        <f>IFERROR(INDEX('Hun Demand'!S:S,MATCH(O497,'Hun Demand'!A:A,0)),"")</f>
        <v>250</v>
      </c>
      <c r="F497" s="25">
        <f>IFERROR(INDEX('Hun Demand'!R:R,MATCH(O497,'Hun Demand'!A:A,0)),"")</f>
        <v>0</v>
      </c>
      <c r="G497" s="25">
        <f>IFERROR(INDEX('Aub Demand'!W:W,MATCH(O497,'Aub Demand'!A:A,0)),"")</f>
        <v>646</v>
      </c>
      <c r="H497" s="25">
        <f>IFERROR(INDEX('Aub Demand'!V:V,MATCH(O497,'Aub Demand'!A:A,0)),"")</f>
        <v>0</v>
      </c>
      <c r="I497" s="25">
        <f>IFERROR(INDEX('Aub Demand'!U:U,MATCH(O497,'Aub Demand'!A:A,0)),"")</f>
        <v>0</v>
      </c>
      <c r="J497" s="25">
        <f>IFERROR(INDEX('Aub Demand'!T:T,MATCH(O497,'Aub Demand'!A:A,0)),"")</f>
        <v>173</v>
      </c>
      <c r="K497" s="25">
        <f>IFERROR(INDEX('Aub Demand'!S:S,MATCH(O497,'Aub Demand'!A:A,0)),"")</f>
        <v>67</v>
      </c>
      <c r="L497" s="25">
        <f>IFERROR(INDEX('Aub Demand'!R:R,MATCH(O497,'Aub Demand'!A:A,0)),"")</f>
        <v>0</v>
      </c>
      <c r="O497" s="27" t="s">
        <v>2210</v>
      </c>
      <c r="P497" s="27" t="str">
        <f>IFERROR(INDEX('Aub Demand'!B:B,MATCH($O497,'Aub Demand'!$A:$A,0)),"")</f>
        <v>BASIC BLACK HAUTELIN</v>
      </c>
      <c r="Q497" s="27" t="str">
        <f>IFERROR(INDEX('Aub Demand'!C:C,MATCH($O497,'Aub Demand'!$A:$A,0)),"")</f>
        <v>AHLST</v>
      </c>
      <c r="R497" s="52">
        <f>IFERROR(IF(AR498=AR497,INDEX('Aub Demand'!K:K,MATCH($O497,'Aub Demand'!$A:$A,0))-IF(AN497="",0,AN497)+AP498,INDEX('Aub Demand'!K:K,MATCH($O497,'Aub Demand'!$A:$A,0))-IF(AN497="",0,AN497)),"")</f>
        <v>372</v>
      </c>
      <c r="S497" s="53">
        <f t="shared" si="196"/>
        <v>19.899999999999999</v>
      </c>
      <c r="T497" s="52" t="str">
        <f t="shared" si="197"/>
        <v/>
      </c>
      <c r="U497" s="52">
        <f>IFERROR(IF(AR498=AR497,INDEX('Aub Demand'!Q:Q,MATCH($O497,'Aub Demand'!$A:$A,0))-IF(AN497="",0,AN497)+AP498,INDEX('Aub Demand'!Q:Q,MATCH($O497,'Aub Demand'!$A:$A,0))-IF(AN497="",0,AN497)),"")</f>
        <v>372</v>
      </c>
      <c r="V497" s="53">
        <f t="shared" si="198"/>
        <v>19.899999999999999</v>
      </c>
      <c r="W497" s="52" t="str">
        <f t="shared" si="199"/>
        <v/>
      </c>
      <c r="X497" s="52">
        <f>IFERROR(IF(AND(AR498=AR497,AM497&lt;&gt;""),INDEX('Aub Demand'!Q:Q,MATCH($O497,'Aub Demand'!$A:$A,0))-IF(AN497="",0,AN497)+AP498+AD497+AL497,IF(AR498=AR497,INDEX('Aub Demand'!Q:Q,MATCH($O497,'Aub Demand'!$A:$A,0))-IF(AN497="",0,AN497)+AP498+AD497,IF(AM497&lt;&gt;"",INDEX('Aub Demand'!Q:Q,MATCH($O497,'Aub Demand'!$A:$A,0))-IF(AN497="",0,AN497)+AD497+AL497,INDEX('Aub Demand'!Q:Q,MATCH($O497,'Aub Demand'!$A:$A,0))-IF(AN497="",0,AN497)+AD497))),"")</f>
        <v>372</v>
      </c>
      <c r="Y497" s="53">
        <f t="shared" si="200"/>
        <v>19.899999999999999</v>
      </c>
      <c r="Z497" s="52">
        <f>IF(L497="","",INDEX('Aub Demand'!H:H,MATCH($O497,'Aub Demand'!$A:$A,0)))</f>
        <v>80</v>
      </c>
      <c r="AA497" s="52">
        <f t="shared" si="201"/>
        <v>120</v>
      </c>
      <c r="AB497" s="52">
        <f>IFERROR(INDEX('Aub Demand'!L:L,MATCH($O497,'Aub Demand'!$A:$A,0)),"")</f>
        <v>51</v>
      </c>
      <c r="AC497" s="52">
        <f>IFERROR(IF(O497="","",SUMIFS('CPL Mats'!F:F,'CPL Mats'!Q:Q,AR497,'CPL Mats'!S:S,AS497)),"")</f>
        <v>0</v>
      </c>
      <c r="AF497" s="25">
        <f>IF(SUMIFS('Supp Consol'!S:S,'Supp Consol'!Y:Y,"Releasable",'Supp Consol'!A:A,O497)=0,"",SUMIFS('Supp Consol'!S:S,'Supp Consol'!Y:Y,"Releasable",'Supp Consol'!A:A,O497))</f>
        <v>1490</v>
      </c>
      <c r="AG497" s="25">
        <f>IFERROR(INDEX('Hun Demand'!Q:Q,MATCH(O497,'Hun Demand'!A:A,0)),"")</f>
        <v>246</v>
      </c>
      <c r="AH497" s="25">
        <f>IFERROR(INDEX('Hun Demand'!H:H,MATCH($O497,'Hun Demand'!$A:$A,0)),"")</f>
        <v>83</v>
      </c>
      <c r="AI497" s="25" t="str">
        <f>IF(SUMIFS('Supp Consol'!AA:AA,'Supp Consol'!Z:Z,"Expires this month",'Supp Consol'!A:A,O497)=0,"",SUMIFS('Supp Consol'!AA:AA,'Supp Consol'!Z:Z,"Expires this month",'Supp Consol'!A:A,O497))</f>
        <v/>
      </c>
      <c r="AJ497" s="25" t="str">
        <f>IF(SUMIFS('Supp Consol'!AA:AA,'Supp Consol'!Z:Z,"Expired Previous Months",'Supp Consol'!A:A,O497)=0,"",SUMIFS('Supp Consol'!AA:AA,'Supp Consol'!Z:Z,"Expired Previous Months",'Supp Consol'!A:A,O497))</f>
        <v/>
      </c>
      <c r="AK497" s="25" t="str">
        <f>IFERROR(INDEX('Hun Release Current'!B:B,MATCH(O497,'Hun Release Current'!A:A,0)),"")</f>
        <v/>
      </c>
      <c r="AL497" s="25" t="str">
        <f>IF(SUMIF('Prev Aub'!A:A,O497,'Prev Aub'!B:B)=0,"",SUMIF('Prev Aub'!A:A,O497,'Prev Aub'!B:B))</f>
        <v/>
      </c>
      <c r="AN497" s="25" t="s">
        <v>3790</v>
      </c>
      <c r="AO497" s="25" t="s">
        <v>3790</v>
      </c>
      <c r="AP497" s="25">
        <f t="shared" si="202"/>
        <v>0</v>
      </c>
      <c r="AQ497" s="151" t="str">
        <f>IF(SUMIFS('Supp Consol'!S:S,'Supp Consol'!A:A,O497,'Supp Consol'!I:I,"PENDING")=0,"",SUMIFS('Supp Consol'!S:S,'Supp Consol'!A:A,O497,'Supp Consol'!I:I,"PENDING"))</f>
        <v/>
      </c>
      <c r="AR497" s="27" t="str">
        <f t="shared" si="203"/>
        <v>HLT01</v>
      </c>
      <c r="AS497" s="27" t="str">
        <f t="shared" si="204"/>
        <v>50</v>
      </c>
      <c r="AT497" s="27" t="str">
        <f t="shared" si="205"/>
        <v/>
      </c>
      <c r="AU497" s="27" t="str">
        <f t="shared" si="206"/>
        <v/>
      </c>
      <c r="AV497" s="27" t="str">
        <f t="shared" si="207"/>
        <v/>
      </c>
      <c r="AW497" s="27" t="str">
        <f t="shared" si="208"/>
        <v/>
      </c>
      <c r="AX497" s="27" t="str">
        <f t="shared" si="209"/>
        <v>HLT01</v>
      </c>
      <c r="AY497" s="27" t="str">
        <f t="shared" si="210"/>
        <v>HLT01</v>
      </c>
      <c r="AZ497" s="27" t="str">
        <f t="shared" si="211"/>
        <v>Supp</v>
      </c>
      <c r="BA497" s="27" t="str">
        <f t="shared" si="212"/>
        <v>Hun</v>
      </c>
      <c r="BB497" s="27" t="str">
        <f t="shared" si="213"/>
        <v/>
      </c>
      <c r="BC497" s="27" t="str">
        <f t="shared" si="214"/>
        <v/>
      </c>
      <c r="BD497" s="27" t="str">
        <f t="shared" si="215"/>
        <v/>
      </c>
      <c r="BE497" s="27" t="str">
        <f t="shared" si="216"/>
        <v/>
      </c>
      <c r="BF497" s="27" t="str">
        <f t="shared" si="217"/>
        <v/>
      </c>
      <c r="BG497" s="27" t="str">
        <f t="shared" si="218"/>
        <v/>
      </c>
      <c r="BH497" s="27" t="str">
        <f t="shared" si="219"/>
        <v/>
      </c>
      <c r="BI497" s="27" t="str">
        <f t="shared" si="220"/>
        <v/>
      </c>
      <c r="BJ497" s="27" t="str">
        <f t="shared" si="221"/>
        <v>Supp or Hun</v>
      </c>
      <c r="BK497" s="27" t="str">
        <f t="shared" si="222"/>
        <v/>
      </c>
      <c r="BL497" s="27" t="str">
        <f t="shared" si="223"/>
        <v/>
      </c>
      <c r="BM497" s="21" t="s">
        <v>5581</v>
      </c>
    </row>
    <row r="498" spans="1:65" ht="15">
      <c r="A498" s="25" t="str">
        <f>IFERROR(INDEX('Hun Demand'!W:W,MATCH(O498,'Hun Demand'!A:A,0)),"")</f>
        <v/>
      </c>
      <c r="B498" s="25" t="str">
        <f>IFERROR(INDEX('Hun Demand'!V:V,MATCH(O498,'Hun Demand'!A:A,0)),"")</f>
        <v/>
      </c>
      <c r="C498" s="25" t="str">
        <f>IFERROR(INDEX('Hun Demand'!U:U,MATCH(O498,'Hun Demand'!A:A,0)),"")</f>
        <v/>
      </c>
      <c r="D498" s="25" t="str">
        <f>IFERROR(INDEX('Hun Demand'!T:T,MATCH(O498,'Hun Demand'!A:A,0)),"")</f>
        <v/>
      </c>
      <c r="E498" s="25" t="str">
        <f>IFERROR(INDEX('Hun Demand'!S:S,MATCH(O498,'Hun Demand'!A:A,0)),"")</f>
        <v/>
      </c>
      <c r="F498" s="25" t="str">
        <f>IFERROR(INDEX('Hun Demand'!R:R,MATCH(O498,'Hun Demand'!A:A,0)),"")</f>
        <v/>
      </c>
      <c r="G498" s="25">
        <f>IFERROR(INDEX('Aub Demand'!W:W,MATCH(O498,'Aub Demand'!A:A,0)),"")</f>
        <v>66</v>
      </c>
      <c r="H498" s="25">
        <f>IFERROR(INDEX('Aub Demand'!V:V,MATCH(O498,'Aub Demand'!A:A,0)),"")</f>
        <v>0</v>
      </c>
      <c r="I498" s="25">
        <f>IFERROR(INDEX('Aub Demand'!U:U,MATCH(O498,'Aub Demand'!A:A,0)),"")</f>
        <v>0</v>
      </c>
      <c r="J498" s="25">
        <f>IFERROR(INDEX('Aub Demand'!T:T,MATCH(O498,'Aub Demand'!A:A,0)),"")</f>
        <v>0</v>
      </c>
      <c r="K498" s="25">
        <f>IFERROR(INDEX('Aub Demand'!S:S,MATCH(O498,'Aub Demand'!A:A,0)),"")</f>
        <v>0</v>
      </c>
      <c r="L498" s="25">
        <f>IFERROR(INDEX('Aub Demand'!R:R,MATCH(O498,'Aub Demand'!A:A,0)),"")</f>
        <v>0</v>
      </c>
      <c r="O498" s="27" t="s">
        <v>2213</v>
      </c>
      <c r="P498" s="27" t="str">
        <f>IFERROR(INDEX('Aub Demand'!B:B,MATCH($O498,'Aub Demand'!$A:$A,0)),"")</f>
        <v>BASIC BLACK HAUTELIN</v>
      </c>
      <c r="Q498" s="27" t="str">
        <f>IFERROR(INDEX('Aub Demand'!C:C,MATCH($O498,'Aub Demand'!$A:$A,0)),"")</f>
        <v>AHLST</v>
      </c>
      <c r="R498" s="52">
        <f>IFERROR(IF(AR499=AR498,INDEX('Aub Demand'!K:K,MATCH($O498,'Aub Demand'!$A:$A,0))-IF(AN498="",0,AN498)+AP499,INDEX('Aub Demand'!K:K,MATCH($O498,'Aub Demand'!$A:$A,0))-IF(AN498="",0,AN498)),"")</f>
        <v>897</v>
      </c>
      <c r="S498" s="53" t="str">
        <f t="shared" si="196"/>
        <v>n/a</v>
      </c>
      <c r="T498" s="52" t="str">
        <f t="shared" si="197"/>
        <v/>
      </c>
      <c r="U498" s="52">
        <f>IFERROR(IF(AR499=AR498,INDEX('Aub Demand'!Q:Q,MATCH($O498,'Aub Demand'!$A:$A,0))-IF(AN498="",0,AN498)+AP499,INDEX('Aub Demand'!Q:Q,MATCH($O498,'Aub Demand'!$A:$A,0))-IF(AN498="",0,AN498)),"")</f>
        <v>897</v>
      </c>
      <c r="V498" s="53" t="str">
        <f t="shared" si="198"/>
        <v>n/a</v>
      </c>
      <c r="W498" s="52" t="str">
        <f t="shared" si="199"/>
        <v/>
      </c>
      <c r="X498" s="52">
        <f>IFERROR(IF(AND(AR499=AR498,AM498&lt;&gt;""),INDEX('Aub Demand'!Q:Q,MATCH($O498,'Aub Demand'!$A:$A,0))-IF(AN498="",0,AN498)+AP499+AD498+AL498,IF(AR499=AR498,INDEX('Aub Demand'!Q:Q,MATCH($O498,'Aub Demand'!$A:$A,0))-IF(AN498="",0,AN498)+AP499+AD498,IF(AM498&lt;&gt;"",INDEX('Aub Demand'!Q:Q,MATCH($O498,'Aub Demand'!$A:$A,0))-IF(AN498="",0,AN498)+AD498+AL498,INDEX('Aub Demand'!Q:Q,MATCH($O498,'Aub Demand'!$A:$A,0))-IF(AN498="",0,AN498)+AD498))),"")</f>
        <v>897</v>
      </c>
      <c r="Y498" s="53" t="str">
        <f t="shared" si="200"/>
        <v>n/a</v>
      </c>
      <c r="Z498" s="52">
        <f>IF(L498="","",INDEX('Aub Demand'!H:H,MATCH($O498,'Aub Demand'!$A:$A,0)))</f>
        <v>0</v>
      </c>
      <c r="AA498" s="52" t="str">
        <f t="shared" si="201"/>
        <v>-spike-</v>
      </c>
      <c r="AB498" s="52">
        <f>IFERROR(INDEX('Aub Demand'!L:L,MATCH($O498,'Aub Demand'!$A:$A,0)),"")</f>
        <v>0</v>
      </c>
      <c r="AC498" s="52">
        <f>IFERROR(IF(O498="","",SUMIFS('CPL Mats'!F:F,'CPL Mats'!Q:Q,AR498,'CPL Mats'!S:S,AS498)),"")</f>
        <v>0</v>
      </c>
      <c r="AF498" s="25">
        <f>IF(SUMIFS('Supp Consol'!S:S,'Supp Consol'!Y:Y,"Releasable",'Supp Consol'!A:A,O498)=0,"",SUMIFS('Supp Consol'!S:S,'Supp Consol'!Y:Y,"Releasable",'Supp Consol'!A:A,O498))</f>
        <v>1175</v>
      </c>
      <c r="AG498" s="25" t="str">
        <f>IFERROR(INDEX('Hun Demand'!Q:Q,MATCH(O498,'Hun Demand'!A:A,0)),"")</f>
        <v/>
      </c>
      <c r="AH498" s="25" t="str">
        <f>IFERROR(INDEX('Hun Demand'!H:H,MATCH($O498,'Hun Demand'!$A:$A,0)),"")</f>
        <v/>
      </c>
      <c r="AI498" s="25" t="str">
        <f>IF(SUMIFS('Supp Consol'!AA:AA,'Supp Consol'!Z:Z,"Expires this month",'Supp Consol'!A:A,O498)=0,"",SUMIFS('Supp Consol'!AA:AA,'Supp Consol'!Z:Z,"Expires this month",'Supp Consol'!A:A,O498))</f>
        <v/>
      </c>
      <c r="AJ498" s="25" t="str">
        <f>IF(SUMIFS('Supp Consol'!AA:AA,'Supp Consol'!Z:Z,"Expired Previous Months",'Supp Consol'!A:A,O498)=0,"",SUMIFS('Supp Consol'!AA:AA,'Supp Consol'!Z:Z,"Expired Previous Months",'Supp Consol'!A:A,O498))</f>
        <v/>
      </c>
      <c r="AK498" s="25" t="str">
        <f>IFERROR(INDEX('Hun Release Current'!B:B,MATCH(O498,'Hun Release Current'!A:A,0)),"")</f>
        <v/>
      </c>
      <c r="AL498" s="25" t="str">
        <f>IF(SUMIF('Prev Aub'!A:A,O498,'Prev Aub'!B:B)=0,"",SUMIF('Prev Aub'!A:A,O498,'Prev Aub'!B:B))</f>
        <v/>
      </c>
      <c r="AN498" s="25" t="s">
        <v>3790</v>
      </c>
      <c r="AO498" s="25" t="s">
        <v>3790</v>
      </c>
      <c r="AP498" s="25">
        <f t="shared" si="202"/>
        <v>0</v>
      </c>
      <c r="AQ498" s="151" t="str">
        <f>IF(SUMIFS('Supp Consol'!S:S,'Supp Consol'!A:A,O498,'Supp Consol'!I:I,"PENDING")=0,"",SUMIFS('Supp Consol'!S:S,'Supp Consol'!A:A,O498,'Supp Consol'!I:I,"PENDING"))</f>
        <v/>
      </c>
      <c r="AR498" s="27" t="str">
        <f t="shared" si="203"/>
        <v>HLT01</v>
      </c>
      <c r="AS498" s="27" t="str">
        <f t="shared" si="204"/>
        <v>62</v>
      </c>
      <c r="AT498" s="27" t="str">
        <f t="shared" si="205"/>
        <v/>
      </c>
      <c r="AU498" s="27" t="str">
        <f t="shared" si="206"/>
        <v/>
      </c>
      <c r="AV498" s="27" t="str">
        <f t="shared" si="207"/>
        <v/>
      </c>
      <c r="AW498" s="27" t="str">
        <f t="shared" si="208"/>
        <v/>
      </c>
      <c r="AX498" s="27" t="str">
        <f t="shared" si="209"/>
        <v>HLT01</v>
      </c>
      <c r="AY498" s="27" t="str">
        <f t="shared" si="210"/>
        <v/>
      </c>
      <c r="AZ498" s="27" t="str">
        <f t="shared" si="211"/>
        <v>Supp</v>
      </c>
      <c r="BA498" s="27" t="str">
        <f t="shared" si="212"/>
        <v>Hun</v>
      </c>
      <c r="BB498" s="27" t="str">
        <f t="shared" si="213"/>
        <v/>
      </c>
      <c r="BC498" s="27" t="str">
        <f t="shared" si="214"/>
        <v/>
      </c>
      <c r="BD498" s="27" t="str">
        <f t="shared" si="215"/>
        <v/>
      </c>
      <c r="BE498" s="27" t="str">
        <f t="shared" si="216"/>
        <v/>
      </c>
      <c r="BF498" s="27" t="str">
        <f t="shared" si="217"/>
        <v/>
      </c>
      <c r="BG498" s="27" t="str">
        <f t="shared" si="218"/>
        <v/>
      </c>
      <c r="BH498" s="27" t="str">
        <f t="shared" si="219"/>
        <v/>
      </c>
      <c r="BI498" s="27" t="str">
        <f t="shared" si="220"/>
        <v/>
      </c>
      <c r="BJ498" s="27" t="str">
        <f t="shared" si="221"/>
        <v>Supp or Hun</v>
      </c>
      <c r="BK498" s="27" t="str">
        <f t="shared" si="222"/>
        <v/>
      </c>
      <c r="BL498" s="27" t="str">
        <f t="shared" si="223"/>
        <v/>
      </c>
      <c r="BM498" s="21" t="s">
        <v>5581</v>
      </c>
    </row>
    <row r="499" spans="1:65" ht="15">
      <c r="A499" s="25" t="str">
        <f>IFERROR(INDEX('Hun Demand'!W:W,MATCH(O499,'Hun Demand'!A:A,0)),"")</f>
        <v/>
      </c>
      <c r="B499" s="25" t="str">
        <f>IFERROR(INDEX('Hun Demand'!V:V,MATCH(O499,'Hun Demand'!A:A,0)),"")</f>
        <v/>
      </c>
      <c r="C499" s="25" t="str">
        <f>IFERROR(INDEX('Hun Demand'!U:U,MATCH(O499,'Hun Demand'!A:A,0)),"")</f>
        <v/>
      </c>
      <c r="D499" s="25" t="str">
        <f>IFERROR(INDEX('Hun Demand'!T:T,MATCH(O499,'Hun Demand'!A:A,0)),"")</f>
        <v/>
      </c>
      <c r="E499" s="25" t="str">
        <f>IFERROR(INDEX('Hun Demand'!S:S,MATCH(O499,'Hun Demand'!A:A,0)),"")</f>
        <v/>
      </c>
      <c r="F499" s="25" t="str">
        <f>IFERROR(INDEX('Hun Demand'!R:R,MATCH(O499,'Hun Demand'!A:A,0)),"")</f>
        <v/>
      </c>
      <c r="G499" s="25">
        <f>IFERROR(INDEX('Aub Demand'!W:W,MATCH(O499,'Aub Demand'!A:A,0)),"")</f>
        <v>156</v>
      </c>
      <c r="H499" s="25">
        <f>IFERROR(INDEX('Aub Demand'!V:V,MATCH(O499,'Aub Demand'!A:A,0)),"")</f>
        <v>123</v>
      </c>
      <c r="I499" s="25">
        <f>IFERROR(INDEX('Aub Demand'!U:U,MATCH(O499,'Aub Demand'!A:A,0)),"")</f>
        <v>350</v>
      </c>
      <c r="J499" s="25">
        <f>IFERROR(INDEX('Aub Demand'!T:T,MATCH(O499,'Aub Demand'!A:A,0)),"")</f>
        <v>0</v>
      </c>
      <c r="K499" s="25">
        <f>IFERROR(INDEX('Aub Demand'!S:S,MATCH(O499,'Aub Demand'!A:A,0)),"")</f>
        <v>160</v>
      </c>
      <c r="L499" s="25">
        <f>IFERROR(INDEX('Aub Demand'!R:R,MATCH(O499,'Aub Demand'!A:A,0)),"")</f>
        <v>0</v>
      </c>
      <c r="O499" s="27" t="s">
        <v>2214</v>
      </c>
      <c r="P499" s="27" t="str">
        <f>IFERROR(INDEX('Aub Demand'!B:B,MATCH($O499,'Aub Demand'!$A:$A,0)),"")</f>
        <v>SILVERLINE HAUTELINK</v>
      </c>
      <c r="Q499" s="27" t="str">
        <f>IFERROR(INDEX('Aub Demand'!C:C,MATCH($O499,'Aub Demand'!$A:$A,0)),"")</f>
        <v>AHLST</v>
      </c>
      <c r="R499" s="52">
        <f>IFERROR(IF(AR500=AR499,INDEX('Aub Demand'!K:K,MATCH($O499,'Aub Demand'!$A:$A,0))-IF(AN499="",0,AN499)+AP500,INDEX('Aub Demand'!K:K,MATCH($O499,'Aub Demand'!$A:$A,0))-IF(AN499="",0,AN499)),"")</f>
        <v>0</v>
      </c>
      <c r="S499" s="53">
        <f t="shared" si="196"/>
        <v>0</v>
      </c>
      <c r="T499" s="52">
        <f t="shared" si="197"/>
        <v>191.25</v>
      </c>
      <c r="U499" s="52">
        <f>IFERROR(IF(AR500=AR499,INDEX('Aub Demand'!Q:Q,MATCH($O499,'Aub Demand'!$A:$A,0))-IF(AN499="",0,AN499)+AP500,INDEX('Aub Demand'!Q:Q,MATCH($O499,'Aub Demand'!$A:$A,0))-IF(AN499="",0,AN499)),"")</f>
        <v>-211</v>
      </c>
      <c r="V499" s="53">
        <f t="shared" si="198"/>
        <v>-5.3</v>
      </c>
      <c r="W499" s="52">
        <f t="shared" si="199"/>
        <v>529.125</v>
      </c>
      <c r="X499" s="52">
        <f>IFERROR(IF(AND(AR500=AR499,AM499&lt;&gt;""),INDEX('Aub Demand'!Q:Q,MATCH($O499,'Aub Demand'!$A:$A,0))-IF(AN499="",0,AN499)+AP500+AD499+AL499,IF(AR500=AR499,INDEX('Aub Demand'!Q:Q,MATCH($O499,'Aub Demand'!$A:$A,0))-IF(AN499="",0,AN499)+AP500+AD499,IF(AM499&lt;&gt;"",INDEX('Aub Demand'!Q:Q,MATCH($O499,'Aub Demand'!$A:$A,0))-IF(AN499="",0,AN499)+AD499+AL499,INDEX('Aub Demand'!Q:Q,MATCH($O499,'Aub Demand'!$A:$A,0))-IF(AN499="",0,AN499)+AD499))),"")</f>
        <v>-211</v>
      </c>
      <c r="Y499" s="53">
        <f t="shared" si="200"/>
        <v>-5.3</v>
      </c>
      <c r="Z499" s="52">
        <f>IF(L499="","",INDEX('Aub Demand'!H:H,MATCH($O499,'Aub Demand'!$A:$A,0)))</f>
        <v>170</v>
      </c>
      <c r="AA499" s="52">
        <f t="shared" si="201"/>
        <v>255</v>
      </c>
      <c r="AB499" s="52">
        <f>IFERROR(INDEX('Aub Demand'!L:L,MATCH($O499,'Aub Demand'!$A:$A,0)),"")</f>
        <v>188</v>
      </c>
      <c r="AC499" s="52">
        <f>IFERROR(IF(O499="","",SUMIFS('CPL Mats'!F:F,'CPL Mats'!Q:Q,AR499,'CPL Mats'!S:S,AS499)),"")</f>
        <v>0</v>
      </c>
      <c r="AF499" s="25" t="str">
        <f>IF(SUMIFS('Supp Consol'!S:S,'Supp Consol'!Y:Y,"Releasable",'Supp Consol'!A:A,O499)=0,"",SUMIFS('Supp Consol'!S:S,'Supp Consol'!Y:Y,"Releasable",'Supp Consol'!A:A,O499))</f>
        <v/>
      </c>
      <c r="AG499" s="25" t="str">
        <f>IFERROR(INDEX('Hun Demand'!Q:Q,MATCH(O499,'Hun Demand'!A:A,0)),"")</f>
        <v/>
      </c>
      <c r="AH499" s="25" t="str">
        <f>IFERROR(INDEX('Hun Demand'!H:H,MATCH($O499,'Hun Demand'!$A:$A,0)),"")</f>
        <v/>
      </c>
      <c r="AI499" s="25" t="str">
        <f>IF(SUMIFS('Supp Consol'!AA:AA,'Supp Consol'!Z:Z,"Expires this month",'Supp Consol'!A:A,O499)=0,"",SUMIFS('Supp Consol'!AA:AA,'Supp Consol'!Z:Z,"Expires this month",'Supp Consol'!A:A,O499))</f>
        <v/>
      </c>
      <c r="AJ499" s="25" t="str">
        <f>IF(SUMIFS('Supp Consol'!AA:AA,'Supp Consol'!Z:Z,"Expired Previous Months",'Supp Consol'!A:A,O499)=0,"",SUMIFS('Supp Consol'!AA:AA,'Supp Consol'!Z:Z,"Expired Previous Months",'Supp Consol'!A:A,O499))</f>
        <v/>
      </c>
      <c r="AK499" s="25" t="str">
        <f>IFERROR(INDEX('Hun Release Current'!B:B,MATCH(O499,'Hun Release Current'!A:A,0)),"")</f>
        <v/>
      </c>
      <c r="AL499" s="25" t="str">
        <f>IF(SUMIF('Prev Aub'!A:A,O499,'Prev Aub'!B:B)=0,"",SUMIF('Prev Aub'!A:A,O499,'Prev Aub'!B:B))</f>
        <v/>
      </c>
      <c r="AN499" s="25" t="s">
        <v>3790</v>
      </c>
      <c r="AO499" s="25" t="s">
        <v>3790</v>
      </c>
      <c r="AP499" s="25">
        <f t="shared" si="202"/>
        <v>0</v>
      </c>
      <c r="AQ499" s="151" t="str">
        <f>IF(SUMIFS('Supp Consol'!S:S,'Supp Consol'!A:A,O499,'Supp Consol'!I:I,"PENDING")=0,"",SUMIFS('Supp Consol'!S:S,'Supp Consol'!A:A,O499,'Supp Consol'!I:I,"PENDING"))</f>
        <v/>
      </c>
      <c r="AR499" s="27" t="str">
        <f t="shared" si="203"/>
        <v>HLT04</v>
      </c>
      <c r="AS499" s="27" t="str">
        <f t="shared" si="204"/>
        <v>50</v>
      </c>
      <c r="AT499" s="27" t="str">
        <f t="shared" si="205"/>
        <v>HLT04</v>
      </c>
      <c r="AU499" s="27" t="str">
        <f t="shared" si="206"/>
        <v>HLT04</v>
      </c>
      <c r="AV499" s="27" t="str">
        <f t="shared" si="207"/>
        <v>HLT04</v>
      </c>
      <c r="AW499" s="27" t="str">
        <f t="shared" si="208"/>
        <v/>
      </c>
      <c r="AX499" s="27" t="str">
        <f t="shared" si="209"/>
        <v/>
      </c>
      <c r="AY499" s="27" t="str">
        <f t="shared" si="210"/>
        <v/>
      </c>
      <c r="AZ499" s="27" t="str">
        <f t="shared" si="211"/>
        <v/>
      </c>
      <c r="BA499" s="27" t="str">
        <f t="shared" si="212"/>
        <v/>
      </c>
      <c r="BB499" s="27" t="str">
        <f t="shared" si="213"/>
        <v>Gross</v>
      </c>
      <c r="BC499" s="27" t="str">
        <f t="shared" si="214"/>
        <v>Net</v>
      </c>
      <c r="BD499" s="27" t="str">
        <f t="shared" si="215"/>
        <v>Net</v>
      </c>
      <c r="BE499" s="27" t="str">
        <f t="shared" si="216"/>
        <v/>
      </c>
      <c r="BF499" s="27" t="str">
        <f t="shared" si="217"/>
        <v/>
      </c>
      <c r="BG499" s="27" t="str">
        <f t="shared" si="218"/>
        <v/>
      </c>
      <c r="BH499" s="27" t="str">
        <f t="shared" si="219"/>
        <v/>
      </c>
      <c r="BI499" s="27" t="str">
        <f t="shared" si="220"/>
        <v/>
      </c>
      <c r="BJ499" s="27" t="str">
        <f t="shared" si="221"/>
        <v/>
      </c>
      <c r="BK499" s="27" t="str">
        <f t="shared" si="222"/>
        <v/>
      </c>
      <c r="BL499" s="27" t="str">
        <f t="shared" si="223"/>
        <v/>
      </c>
      <c r="BM499" s="21" t="s">
        <v>5581</v>
      </c>
    </row>
    <row r="500" spans="1:65" ht="15">
      <c r="A500" s="25" t="str">
        <f>IFERROR(INDEX('Hun Demand'!W:W,MATCH(O500,'Hun Demand'!A:A,0)),"")</f>
        <v/>
      </c>
      <c r="B500" s="25" t="str">
        <f>IFERROR(INDEX('Hun Demand'!V:V,MATCH(O500,'Hun Demand'!A:A,0)),"")</f>
        <v/>
      </c>
      <c r="C500" s="25" t="str">
        <f>IFERROR(INDEX('Hun Demand'!U:U,MATCH(O500,'Hun Demand'!A:A,0)),"")</f>
        <v/>
      </c>
      <c r="D500" s="25" t="str">
        <f>IFERROR(INDEX('Hun Demand'!T:T,MATCH(O500,'Hun Demand'!A:A,0)),"")</f>
        <v/>
      </c>
      <c r="E500" s="25" t="str">
        <f>IFERROR(INDEX('Hun Demand'!S:S,MATCH(O500,'Hun Demand'!A:A,0)),"")</f>
        <v/>
      </c>
      <c r="F500" s="25" t="str">
        <f>IFERROR(INDEX('Hun Demand'!R:R,MATCH(O500,'Hun Demand'!A:A,0)),"")</f>
        <v/>
      </c>
      <c r="G500" s="25">
        <f>IFERROR(INDEX('Aub Demand'!W:W,MATCH(O500,'Aub Demand'!A:A,0)),"")</f>
        <v>146</v>
      </c>
      <c r="H500" s="25">
        <f>IFERROR(INDEX('Aub Demand'!V:V,MATCH(O500,'Aub Demand'!A:A,0)),"")</f>
        <v>46</v>
      </c>
      <c r="I500" s="25">
        <f>IFERROR(INDEX('Aub Demand'!U:U,MATCH(O500,'Aub Demand'!A:A,0)),"")</f>
        <v>132</v>
      </c>
      <c r="J500" s="25">
        <f>IFERROR(INDEX('Aub Demand'!T:T,MATCH(O500,'Aub Demand'!A:A,0)),"")</f>
        <v>52</v>
      </c>
      <c r="K500" s="25">
        <f>IFERROR(INDEX('Aub Demand'!S:S,MATCH(O500,'Aub Demand'!A:A,0)),"")</f>
        <v>36</v>
      </c>
      <c r="L500" s="25">
        <f>IFERROR(INDEX('Aub Demand'!R:R,MATCH(O500,'Aub Demand'!A:A,0)),"")</f>
        <v>0</v>
      </c>
      <c r="O500" s="27" t="s">
        <v>2217</v>
      </c>
      <c r="P500" s="27" t="str">
        <f>IFERROR(INDEX('Aub Demand'!B:B,MATCH($O500,'Aub Demand'!$A:$A,0)),"")</f>
        <v>SILVERLINE HAUTELINK</v>
      </c>
      <c r="Q500" s="27" t="str">
        <f>IFERROR(INDEX('Aub Demand'!C:C,MATCH($O500,'Aub Demand'!$A:$A,0)),"")</f>
        <v>AHLST</v>
      </c>
      <c r="R500" s="52">
        <f>IFERROR(IF(AR501=AR500,INDEX('Aub Demand'!K:K,MATCH($O500,'Aub Demand'!$A:$A,0))-IF(AN500="",0,AN500)+AP501,INDEX('Aub Demand'!K:K,MATCH($O500,'Aub Demand'!$A:$A,0))-IF(AN500="",0,AN500)),"")</f>
        <v>0</v>
      </c>
      <c r="S500" s="53">
        <f t="shared" si="196"/>
        <v>0</v>
      </c>
      <c r="T500" s="52">
        <f t="shared" si="197"/>
        <v>69</v>
      </c>
      <c r="U500" s="52">
        <f>IFERROR(IF(AR501=AR500,INDEX('Aub Demand'!Q:Q,MATCH($O500,'Aub Demand'!$A:$A,0))-IF(AN500="",0,AN500)+AP501,INDEX('Aub Demand'!Q:Q,MATCH($O500,'Aub Demand'!$A:$A,0))-IF(AN500="",0,AN500)),"")</f>
        <v>0</v>
      </c>
      <c r="V500" s="53">
        <f t="shared" si="198"/>
        <v>0</v>
      </c>
      <c r="W500" s="52">
        <f t="shared" si="199"/>
        <v>69</v>
      </c>
      <c r="X500" s="52">
        <f>IFERROR(IF(AND(AR501=AR500,AM500&lt;&gt;""),INDEX('Aub Demand'!Q:Q,MATCH($O500,'Aub Demand'!$A:$A,0))-IF(AN500="",0,AN500)+AP501+AD500+AL500,IF(AR501=AR500,INDEX('Aub Demand'!Q:Q,MATCH($O500,'Aub Demand'!$A:$A,0))-IF(AN500="",0,AN500)+AP501+AD500,IF(AM500&lt;&gt;"",INDEX('Aub Demand'!Q:Q,MATCH($O500,'Aub Demand'!$A:$A,0))-IF(AN500="",0,AN500)+AD500+AL500,INDEX('Aub Demand'!Q:Q,MATCH($O500,'Aub Demand'!$A:$A,0))-IF(AN500="",0,AN500)+AD500))),"")</f>
        <v>0</v>
      </c>
      <c r="Y500" s="53">
        <f t="shared" si="200"/>
        <v>0</v>
      </c>
      <c r="Z500" s="52">
        <f>IF(L500="","",INDEX('Aub Demand'!H:H,MATCH($O500,'Aub Demand'!$A:$A,0)))</f>
        <v>73</v>
      </c>
      <c r="AA500" s="52">
        <f t="shared" si="201"/>
        <v>92</v>
      </c>
      <c r="AB500" s="52">
        <f>IFERROR(INDEX('Aub Demand'!L:L,MATCH($O500,'Aub Demand'!$A:$A,0)),"")</f>
        <v>18</v>
      </c>
      <c r="AC500" s="52">
        <f>IFERROR(IF(O500="","",SUMIFS('CPL Mats'!F:F,'CPL Mats'!Q:Q,AR500,'CPL Mats'!S:S,AS500)),"")</f>
        <v>0</v>
      </c>
      <c r="AF500" s="25" t="str">
        <f>IF(SUMIFS('Supp Consol'!S:S,'Supp Consol'!Y:Y,"Releasable",'Supp Consol'!A:A,O500)=0,"",SUMIFS('Supp Consol'!S:S,'Supp Consol'!Y:Y,"Releasable",'Supp Consol'!A:A,O500))</f>
        <v/>
      </c>
      <c r="AG500" s="25" t="str">
        <f>IFERROR(INDEX('Hun Demand'!Q:Q,MATCH(O500,'Hun Demand'!A:A,0)),"")</f>
        <v/>
      </c>
      <c r="AH500" s="25" t="str">
        <f>IFERROR(INDEX('Hun Demand'!H:H,MATCH($O500,'Hun Demand'!$A:$A,0)),"")</f>
        <v/>
      </c>
      <c r="AI500" s="25" t="str">
        <f>IF(SUMIFS('Supp Consol'!AA:AA,'Supp Consol'!Z:Z,"Expires this month",'Supp Consol'!A:A,O500)=0,"",SUMIFS('Supp Consol'!AA:AA,'Supp Consol'!Z:Z,"Expires this month",'Supp Consol'!A:A,O500))</f>
        <v/>
      </c>
      <c r="AJ500" s="25" t="str">
        <f>IF(SUMIFS('Supp Consol'!AA:AA,'Supp Consol'!Z:Z,"Expired Previous Months",'Supp Consol'!A:A,O500)=0,"",SUMIFS('Supp Consol'!AA:AA,'Supp Consol'!Z:Z,"Expired Previous Months",'Supp Consol'!A:A,O500))</f>
        <v/>
      </c>
      <c r="AK500" s="25" t="str">
        <f>IFERROR(INDEX('Hun Release Current'!B:B,MATCH(O500,'Hun Release Current'!A:A,0)),"")</f>
        <v/>
      </c>
      <c r="AL500" s="25" t="str">
        <f>IF(SUMIF('Prev Aub'!A:A,O500,'Prev Aub'!B:B)=0,"",SUMIF('Prev Aub'!A:A,O500,'Prev Aub'!B:B))</f>
        <v/>
      </c>
      <c r="AN500" s="25" t="s">
        <v>3790</v>
      </c>
      <c r="AO500" s="25" t="s">
        <v>3790</v>
      </c>
      <c r="AP500" s="25">
        <f t="shared" si="202"/>
        <v>0</v>
      </c>
      <c r="AQ500" s="151" t="str">
        <f>IF(SUMIFS('Supp Consol'!S:S,'Supp Consol'!A:A,O500,'Supp Consol'!I:I,"PENDING")=0,"",SUMIFS('Supp Consol'!S:S,'Supp Consol'!A:A,O500,'Supp Consol'!I:I,"PENDING"))</f>
        <v/>
      </c>
      <c r="AR500" s="27" t="str">
        <f t="shared" si="203"/>
        <v>HLT04</v>
      </c>
      <c r="AS500" s="27" t="str">
        <f t="shared" si="204"/>
        <v>62</v>
      </c>
      <c r="AT500" s="27" t="str">
        <f t="shared" si="205"/>
        <v>HLT04</v>
      </c>
      <c r="AU500" s="27" t="str">
        <f t="shared" si="206"/>
        <v>HLT04</v>
      </c>
      <c r="AV500" s="27" t="str">
        <f t="shared" si="207"/>
        <v>HLT04</v>
      </c>
      <c r="AW500" s="27" t="str">
        <f t="shared" si="208"/>
        <v/>
      </c>
      <c r="AX500" s="27" t="str">
        <f t="shared" si="209"/>
        <v/>
      </c>
      <c r="AY500" s="27" t="str">
        <f t="shared" si="210"/>
        <v/>
      </c>
      <c r="AZ500" s="27" t="str">
        <f t="shared" si="211"/>
        <v/>
      </c>
      <c r="BA500" s="27" t="str">
        <f t="shared" si="212"/>
        <v/>
      </c>
      <c r="BB500" s="27" t="str">
        <f t="shared" si="213"/>
        <v>Gross</v>
      </c>
      <c r="BC500" s="27" t="str">
        <f t="shared" si="214"/>
        <v>Net</v>
      </c>
      <c r="BD500" s="27" t="str">
        <f t="shared" si="215"/>
        <v>Net</v>
      </c>
      <c r="BE500" s="27" t="str">
        <f t="shared" si="216"/>
        <v/>
      </c>
      <c r="BF500" s="27" t="str">
        <f t="shared" si="217"/>
        <v/>
      </c>
      <c r="BG500" s="27" t="str">
        <f t="shared" si="218"/>
        <v/>
      </c>
      <c r="BH500" s="27" t="str">
        <f t="shared" si="219"/>
        <v/>
      </c>
      <c r="BI500" s="27" t="str">
        <f t="shared" si="220"/>
        <v/>
      </c>
      <c r="BJ500" s="27" t="str">
        <f t="shared" si="221"/>
        <v/>
      </c>
      <c r="BK500" s="27" t="str">
        <f t="shared" si="222"/>
        <v/>
      </c>
      <c r="BL500" s="27" t="str">
        <f t="shared" si="223"/>
        <v/>
      </c>
      <c r="BM500" s="21" t="s">
        <v>5581</v>
      </c>
    </row>
    <row r="501" spans="1:65" ht="15">
      <c r="A501" s="25">
        <f>IFERROR(INDEX('Hun Demand'!W:W,MATCH(O501,'Hun Demand'!A:A,0)),"")</f>
        <v>681</v>
      </c>
      <c r="B501" s="25">
        <f>IFERROR(INDEX('Hun Demand'!V:V,MATCH(O501,'Hun Demand'!A:A,0)),"")</f>
        <v>1933</v>
      </c>
      <c r="C501" s="25">
        <f>IFERROR(INDEX('Hun Demand'!U:U,MATCH(O501,'Hun Demand'!A:A,0)),"")</f>
        <v>898</v>
      </c>
      <c r="D501" s="25">
        <f>IFERROR(INDEX('Hun Demand'!T:T,MATCH(O501,'Hun Demand'!A:A,0)),"")</f>
        <v>360</v>
      </c>
      <c r="E501" s="25">
        <f>IFERROR(INDEX('Hun Demand'!S:S,MATCH(O501,'Hun Demand'!A:A,0)),"")</f>
        <v>462</v>
      </c>
      <c r="F501" s="25">
        <f>IFERROR(INDEX('Hun Demand'!R:R,MATCH(O501,'Hun Demand'!A:A,0)),"")</f>
        <v>0</v>
      </c>
      <c r="G501" s="25">
        <f>IFERROR(INDEX('Aub Demand'!W:W,MATCH(O501,'Aub Demand'!A:A,0)),"")</f>
        <v>0</v>
      </c>
      <c r="H501" s="25">
        <f>IFERROR(INDEX('Aub Demand'!V:V,MATCH(O501,'Aub Demand'!A:A,0)),"")</f>
        <v>0</v>
      </c>
      <c r="I501" s="25">
        <f>IFERROR(INDEX('Aub Demand'!U:U,MATCH(O501,'Aub Demand'!A:A,0)),"")</f>
        <v>0</v>
      </c>
      <c r="J501" s="25">
        <f>IFERROR(INDEX('Aub Demand'!T:T,MATCH(O501,'Aub Demand'!A:A,0)),"")</f>
        <v>0</v>
      </c>
      <c r="K501" s="25">
        <f>IFERROR(INDEX('Aub Demand'!S:S,MATCH(O501,'Aub Demand'!A:A,0)),"")</f>
        <v>0</v>
      </c>
      <c r="L501" s="25">
        <f>IFERROR(INDEX('Aub Demand'!R:R,MATCH(O501,'Aub Demand'!A:A,0)),"")</f>
        <v>0</v>
      </c>
      <c r="O501" s="27" t="s">
        <v>827</v>
      </c>
      <c r="P501" s="27" t="str">
        <f>IFERROR(INDEX('Aub Demand'!B:B,MATCH($O501,'Aub Demand'!$A:$A,0)),"")</f>
        <v>NAT ALMOND BACKER</v>
      </c>
      <c r="Q501" s="27" t="str">
        <f>IFERROR(INDEX('Aub Demand'!C:C,MATCH($O501,'Aub Demand'!$A:$A,0)),"")</f>
        <v>TECHN</v>
      </c>
      <c r="R501" s="52">
        <f>IFERROR(IF(AR502=AR501,INDEX('Aub Demand'!K:K,MATCH($O501,'Aub Demand'!$A:$A,0))-IF(AN501="",0,AN501)+AP502,INDEX('Aub Demand'!K:K,MATCH($O501,'Aub Demand'!$A:$A,0))-IF(AN501="",0,AN501)),"")</f>
        <v>178</v>
      </c>
      <c r="S501" s="53" t="str">
        <f t="shared" si="196"/>
        <v>n/a</v>
      </c>
      <c r="T501" s="52" t="str">
        <f t="shared" si="197"/>
        <v/>
      </c>
      <c r="U501" s="52">
        <f>IFERROR(IF(AR502=AR501,INDEX('Aub Demand'!Q:Q,MATCH($O501,'Aub Demand'!$A:$A,0))-IF(AN501="",0,AN501)+AP502,INDEX('Aub Demand'!Q:Q,MATCH($O501,'Aub Demand'!$A:$A,0))-IF(AN501="",0,AN501)),"")</f>
        <v>178</v>
      </c>
      <c r="V501" s="53" t="str">
        <f t="shared" si="198"/>
        <v>n/a</v>
      </c>
      <c r="W501" s="52" t="str">
        <f t="shared" si="199"/>
        <v/>
      </c>
      <c r="X501" s="52">
        <f>IFERROR(IF(AND(AR502=AR501,AM501&lt;&gt;""),INDEX('Aub Demand'!Q:Q,MATCH($O501,'Aub Demand'!$A:$A,0))-IF(AN501="",0,AN501)+AP502+AD501+AL501,IF(AR502=AR501,INDEX('Aub Demand'!Q:Q,MATCH($O501,'Aub Demand'!$A:$A,0))-IF(AN501="",0,AN501)+AP502+AD501,IF(AM501&lt;&gt;"",INDEX('Aub Demand'!Q:Q,MATCH($O501,'Aub Demand'!$A:$A,0))-IF(AN501="",0,AN501)+AD501+AL501,INDEX('Aub Demand'!Q:Q,MATCH($O501,'Aub Demand'!$A:$A,0))-IF(AN501="",0,AN501)+AD501))),"")</f>
        <v>178</v>
      </c>
      <c r="Y501" s="53" t="str">
        <f t="shared" si="200"/>
        <v>n/a</v>
      </c>
      <c r="Z501" s="52">
        <f>IF(L501="","",INDEX('Aub Demand'!H:H,MATCH($O501,'Aub Demand'!$A:$A,0)))</f>
        <v>0</v>
      </c>
      <c r="AA501" s="52" t="str">
        <f t="shared" si="201"/>
        <v>-spike-</v>
      </c>
      <c r="AB501" s="52">
        <f>IFERROR(INDEX('Aub Demand'!L:L,MATCH($O501,'Aub Demand'!$A:$A,0)),"")</f>
        <v>0</v>
      </c>
      <c r="AC501" s="52">
        <f>IFERROR(IF(O501="","",SUMIFS('CPL Mats'!F:F,'CPL Mats'!Q:Q,AR501,'CPL Mats'!S:S,AS501)),"")</f>
        <v>0</v>
      </c>
      <c r="AF501" s="25">
        <f>IF(SUMIFS('Supp Consol'!S:S,'Supp Consol'!Y:Y,"Releasable",'Supp Consol'!A:A,O501)=0,"",SUMIFS('Supp Consol'!S:S,'Supp Consol'!Y:Y,"Releasable",'Supp Consol'!A:A,O501))</f>
        <v>23521</v>
      </c>
      <c r="AG501" s="25">
        <f>IFERROR(INDEX('Hun Demand'!Q:Q,MATCH(O501,'Hun Demand'!A:A,0)),"")</f>
        <v>8158</v>
      </c>
      <c r="AH501" s="25">
        <f>IFERROR(INDEX('Hun Demand'!H:H,MATCH($O501,'Hun Demand'!$A:$A,0)),"")</f>
        <v>573</v>
      </c>
      <c r="AI501" s="25">
        <f>IF(SUMIFS('Supp Consol'!AA:AA,'Supp Consol'!Z:Z,"Expires this month",'Supp Consol'!A:A,O501)=0,"",SUMIFS('Supp Consol'!AA:AA,'Supp Consol'!Z:Z,"Expires this month",'Supp Consol'!A:A,O501))</f>
        <v>23521</v>
      </c>
      <c r="AJ501" s="25" t="str">
        <f>IF(SUMIFS('Supp Consol'!AA:AA,'Supp Consol'!Z:Z,"Expired Previous Months",'Supp Consol'!A:A,O501)=0,"",SUMIFS('Supp Consol'!AA:AA,'Supp Consol'!Z:Z,"Expired Previous Months",'Supp Consol'!A:A,O501))</f>
        <v/>
      </c>
      <c r="AK501" s="25" t="str">
        <f>IFERROR(INDEX('Hun Release Current'!B:B,MATCH(O501,'Hun Release Current'!A:A,0)),"")</f>
        <v/>
      </c>
      <c r="AL501" s="25" t="str">
        <f>IF(SUMIF('Prev Aub'!A:A,O501,'Prev Aub'!B:B)=0,"",SUMIF('Prev Aub'!A:A,O501,'Prev Aub'!B:B))</f>
        <v/>
      </c>
      <c r="AN501" s="25" t="s">
        <v>3790</v>
      </c>
      <c r="AO501" s="25" t="s">
        <v>3790</v>
      </c>
      <c r="AP501" s="25">
        <f t="shared" si="202"/>
        <v>0</v>
      </c>
      <c r="AQ501" s="151" t="str">
        <f>IF(SUMIFS('Supp Consol'!S:S,'Supp Consol'!A:A,O501,'Supp Consol'!I:I,"PENDING")=0,"",SUMIFS('Supp Consol'!S:S,'Supp Consol'!A:A,O501,'Supp Consol'!I:I,"PENDING"))</f>
        <v/>
      </c>
      <c r="AR501" s="27" t="str">
        <f t="shared" si="203"/>
        <v>HP020</v>
      </c>
      <c r="AS501" s="27" t="str">
        <f t="shared" si="204"/>
        <v>50</v>
      </c>
      <c r="AT501" s="27" t="str">
        <f t="shared" si="205"/>
        <v/>
      </c>
      <c r="AU501" s="27" t="str">
        <f t="shared" si="206"/>
        <v/>
      </c>
      <c r="AV501" s="27" t="str">
        <f t="shared" si="207"/>
        <v/>
      </c>
      <c r="AW501" s="27" t="str">
        <f t="shared" si="208"/>
        <v>HP020</v>
      </c>
      <c r="AX501" s="27" t="str">
        <f t="shared" si="209"/>
        <v>HP020</v>
      </c>
      <c r="AY501" s="27" t="str">
        <f t="shared" si="210"/>
        <v>HP020</v>
      </c>
      <c r="AZ501" s="27" t="str">
        <f t="shared" si="211"/>
        <v>Supp</v>
      </c>
      <c r="BA501" s="27" t="str">
        <f t="shared" si="212"/>
        <v>Hun</v>
      </c>
      <c r="BB501" s="27" t="str">
        <f t="shared" si="213"/>
        <v/>
      </c>
      <c r="BC501" s="27" t="str">
        <f t="shared" si="214"/>
        <v/>
      </c>
      <c r="BD501" s="27" t="str">
        <f t="shared" si="215"/>
        <v/>
      </c>
      <c r="BE501" s="27" t="str">
        <f t="shared" si="216"/>
        <v>Exp</v>
      </c>
      <c r="BF501" s="27" t="str">
        <f t="shared" si="217"/>
        <v/>
      </c>
      <c r="BG501" s="27" t="str">
        <f t="shared" si="218"/>
        <v>S+NorE</v>
      </c>
      <c r="BH501" s="27" t="str">
        <f t="shared" si="219"/>
        <v/>
      </c>
      <c r="BI501" s="27" t="str">
        <f t="shared" si="220"/>
        <v/>
      </c>
      <c r="BJ501" s="27" t="str">
        <f t="shared" si="221"/>
        <v>Supp or Hun</v>
      </c>
      <c r="BK501" s="27" t="str">
        <f t="shared" si="222"/>
        <v/>
      </c>
      <c r="BL501" s="27" t="str">
        <f t="shared" si="223"/>
        <v>SorHandNandE</v>
      </c>
      <c r="BM501" s="21" t="s">
        <v>5582</v>
      </c>
    </row>
    <row r="502" spans="1:65" ht="15">
      <c r="A502" s="25">
        <f>IFERROR(INDEX('Hun Demand'!W:W,MATCH(O502,'Hun Demand'!A:A,0)),"")</f>
        <v>669</v>
      </c>
      <c r="B502" s="25">
        <f>IFERROR(INDEX('Hun Demand'!V:V,MATCH(O502,'Hun Demand'!A:A,0)),"")</f>
        <v>284</v>
      </c>
      <c r="C502" s="25">
        <f>IFERROR(INDEX('Hun Demand'!U:U,MATCH(O502,'Hun Demand'!A:A,0)),"")</f>
        <v>0</v>
      </c>
      <c r="D502" s="25">
        <f>IFERROR(INDEX('Hun Demand'!T:T,MATCH(O502,'Hun Demand'!A:A,0)),"")</f>
        <v>0</v>
      </c>
      <c r="E502" s="25">
        <f>IFERROR(INDEX('Hun Demand'!S:S,MATCH(O502,'Hun Demand'!A:A,0)),"")</f>
        <v>0</v>
      </c>
      <c r="F502" s="25">
        <f>IFERROR(INDEX('Hun Demand'!R:R,MATCH(O502,'Hun Demand'!A:A,0)),"")</f>
        <v>0</v>
      </c>
      <c r="G502" s="25">
        <f>IFERROR(INDEX('Aub Demand'!W:W,MATCH(O502,'Aub Demand'!A:A,0)),"")</f>
        <v>0</v>
      </c>
      <c r="H502" s="25">
        <f>IFERROR(INDEX('Aub Demand'!V:V,MATCH(O502,'Aub Demand'!A:A,0)),"")</f>
        <v>0</v>
      </c>
      <c r="I502" s="25">
        <f>IFERROR(INDEX('Aub Demand'!U:U,MATCH(O502,'Aub Demand'!A:A,0)),"")</f>
        <v>0</v>
      </c>
      <c r="J502" s="25">
        <f>IFERROR(INDEX('Aub Demand'!T:T,MATCH(O502,'Aub Demand'!A:A,0)),"")</f>
        <v>0</v>
      </c>
      <c r="K502" s="25">
        <f>IFERROR(INDEX('Aub Demand'!S:S,MATCH(O502,'Aub Demand'!A:A,0)),"")</f>
        <v>0</v>
      </c>
      <c r="L502" s="25">
        <f>IFERROR(INDEX('Aub Demand'!R:R,MATCH(O502,'Aub Demand'!A:A,0)),"")</f>
        <v>0</v>
      </c>
      <c r="O502" s="27" t="s">
        <v>830</v>
      </c>
      <c r="P502" s="27" t="str">
        <f>IFERROR(INDEX('Aub Demand'!B:B,MATCH($O502,'Aub Demand'!$A:$A,0)),"")</f>
        <v>NAT ALMOND BACKER</v>
      </c>
      <c r="Q502" s="27" t="str">
        <f>IFERROR(INDEX('Aub Demand'!C:C,MATCH($O502,'Aub Demand'!$A:$A,0)),"")</f>
        <v>TECHN</v>
      </c>
      <c r="R502" s="52">
        <f>IFERROR(IF(AR503=AR502,INDEX('Aub Demand'!K:K,MATCH($O502,'Aub Demand'!$A:$A,0))-IF(AN502="",0,AN502)+AP503,INDEX('Aub Demand'!K:K,MATCH($O502,'Aub Demand'!$A:$A,0))-IF(AN502="",0,AN502)),"")</f>
        <v>564</v>
      </c>
      <c r="S502" s="53" t="str">
        <f t="shared" si="196"/>
        <v>n/a</v>
      </c>
      <c r="T502" s="52" t="str">
        <f t="shared" si="197"/>
        <v/>
      </c>
      <c r="U502" s="52">
        <f>IFERROR(IF(AR503=AR502,INDEX('Aub Demand'!Q:Q,MATCH($O502,'Aub Demand'!$A:$A,0))-IF(AN502="",0,AN502)+AP503,INDEX('Aub Demand'!Q:Q,MATCH($O502,'Aub Demand'!$A:$A,0))-IF(AN502="",0,AN502)),"")</f>
        <v>564</v>
      </c>
      <c r="V502" s="53" t="str">
        <f t="shared" si="198"/>
        <v>n/a</v>
      </c>
      <c r="W502" s="52" t="str">
        <f t="shared" si="199"/>
        <v/>
      </c>
      <c r="X502" s="52">
        <f>IFERROR(IF(AND(AR503=AR502,AM502&lt;&gt;""),INDEX('Aub Demand'!Q:Q,MATCH($O502,'Aub Demand'!$A:$A,0))-IF(AN502="",0,AN502)+AP503+AD502+AL502,IF(AR503=AR502,INDEX('Aub Demand'!Q:Q,MATCH($O502,'Aub Demand'!$A:$A,0))-IF(AN502="",0,AN502)+AP503+AD502,IF(AM502&lt;&gt;"",INDEX('Aub Demand'!Q:Q,MATCH($O502,'Aub Demand'!$A:$A,0))-IF(AN502="",0,AN502)+AD502+AL502,INDEX('Aub Demand'!Q:Q,MATCH($O502,'Aub Demand'!$A:$A,0))-IF(AN502="",0,AN502)+AD502))),"")</f>
        <v>564</v>
      </c>
      <c r="Y502" s="53" t="str">
        <f t="shared" si="200"/>
        <v>n/a</v>
      </c>
      <c r="Z502" s="52">
        <f>IF(L502="","",INDEX('Aub Demand'!H:H,MATCH($O502,'Aub Demand'!$A:$A,0)))</f>
        <v>0</v>
      </c>
      <c r="AA502" s="52" t="str">
        <f t="shared" si="201"/>
        <v>-spike-</v>
      </c>
      <c r="AB502" s="52">
        <f>IFERROR(INDEX('Aub Demand'!L:L,MATCH($O502,'Aub Demand'!$A:$A,0)),"")</f>
        <v>0</v>
      </c>
      <c r="AC502" s="52">
        <f>IFERROR(IF(O502="","",SUMIFS('CPL Mats'!F:F,'CPL Mats'!Q:Q,AR502,'CPL Mats'!S:S,AS502)),"")</f>
        <v>0</v>
      </c>
      <c r="AF502" s="25">
        <f>IF(SUMIFS('Supp Consol'!S:S,'Supp Consol'!Y:Y,"Releasable",'Supp Consol'!A:A,O502)=0,"",SUMIFS('Supp Consol'!S:S,'Supp Consol'!Y:Y,"Releasable",'Supp Consol'!A:A,O502))</f>
        <v>8913</v>
      </c>
      <c r="AG502" s="25">
        <f>IFERROR(INDEX('Hun Demand'!Q:Q,MATCH(O502,'Hun Demand'!A:A,0)),"")</f>
        <v>5729</v>
      </c>
      <c r="AH502" s="25">
        <f>IFERROR(INDEX('Hun Demand'!H:H,MATCH($O502,'Hun Demand'!$A:$A,0)),"")</f>
        <v>0</v>
      </c>
      <c r="AI502" s="25">
        <f>IF(SUMIFS('Supp Consol'!AA:AA,'Supp Consol'!Z:Z,"Expires this month",'Supp Consol'!A:A,O502)=0,"",SUMIFS('Supp Consol'!AA:AA,'Supp Consol'!Z:Z,"Expires this month",'Supp Consol'!A:A,O502))</f>
        <v>8913</v>
      </c>
      <c r="AJ502" s="25" t="str">
        <f>IF(SUMIFS('Supp Consol'!AA:AA,'Supp Consol'!Z:Z,"Expired Previous Months",'Supp Consol'!A:A,O502)=0,"",SUMIFS('Supp Consol'!AA:AA,'Supp Consol'!Z:Z,"Expired Previous Months",'Supp Consol'!A:A,O502))</f>
        <v/>
      </c>
      <c r="AK502" s="25" t="str">
        <f>IFERROR(INDEX('Hun Release Current'!B:B,MATCH(O502,'Hun Release Current'!A:A,0)),"")</f>
        <v/>
      </c>
      <c r="AL502" s="25" t="str">
        <f>IF(SUMIF('Prev Aub'!A:A,O502,'Prev Aub'!B:B)=0,"",SUMIF('Prev Aub'!A:A,O502,'Prev Aub'!B:B))</f>
        <v/>
      </c>
      <c r="AN502" s="25" t="s">
        <v>3790</v>
      </c>
      <c r="AO502" s="25" t="s">
        <v>3790</v>
      </c>
      <c r="AP502" s="25">
        <f t="shared" si="202"/>
        <v>0</v>
      </c>
      <c r="AQ502" s="151" t="str">
        <f>IF(SUMIFS('Supp Consol'!S:S,'Supp Consol'!A:A,O502,'Supp Consol'!I:I,"PENDING")=0,"",SUMIFS('Supp Consol'!S:S,'Supp Consol'!A:A,O502,'Supp Consol'!I:I,"PENDING"))</f>
        <v/>
      </c>
      <c r="AR502" s="27" t="str">
        <f t="shared" si="203"/>
        <v>HP020</v>
      </c>
      <c r="AS502" s="27" t="str">
        <f t="shared" si="204"/>
        <v>62</v>
      </c>
      <c r="AT502" s="27" t="str">
        <f t="shared" si="205"/>
        <v/>
      </c>
      <c r="AU502" s="27" t="str">
        <f t="shared" si="206"/>
        <v/>
      </c>
      <c r="AV502" s="27" t="str">
        <f t="shared" si="207"/>
        <v/>
      </c>
      <c r="AW502" s="27" t="str">
        <f t="shared" si="208"/>
        <v>HP020</v>
      </c>
      <c r="AX502" s="27" t="str">
        <f t="shared" si="209"/>
        <v>HP020</v>
      </c>
      <c r="AY502" s="27" t="str">
        <f t="shared" si="210"/>
        <v>HP020</v>
      </c>
      <c r="AZ502" s="27" t="str">
        <f t="shared" si="211"/>
        <v>Supp</v>
      </c>
      <c r="BA502" s="27" t="str">
        <f t="shared" si="212"/>
        <v>Hun</v>
      </c>
      <c r="BB502" s="27" t="str">
        <f t="shared" si="213"/>
        <v/>
      </c>
      <c r="BC502" s="27" t="str">
        <f t="shared" si="214"/>
        <v/>
      </c>
      <c r="BD502" s="27" t="str">
        <f t="shared" si="215"/>
        <v/>
      </c>
      <c r="BE502" s="27" t="str">
        <f t="shared" si="216"/>
        <v>Exp</v>
      </c>
      <c r="BF502" s="27" t="str">
        <f t="shared" si="217"/>
        <v/>
      </c>
      <c r="BG502" s="27" t="str">
        <f t="shared" si="218"/>
        <v>S+NorE</v>
      </c>
      <c r="BH502" s="27" t="str">
        <f t="shared" si="219"/>
        <v/>
      </c>
      <c r="BI502" s="27" t="str">
        <f t="shared" si="220"/>
        <v/>
      </c>
      <c r="BJ502" s="27" t="str">
        <f t="shared" si="221"/>
        <v>Supp or Hun</v>
      </c>
      <c r="BK502" s="27" t="str">
        <f t="shared" si="222"/>
        <v/>
      </c>
      <c r="BL502" s="27" t="str">
        <f t="shared" si="223"/>
        <v>SorHandNandE</v>
      </c>
      <c r="BM502" s="21" t="s">
        <v>5582</v>
      </c>
    </row>
    <row r="503" spans="1:65" ht="15">
      <c r="A503" s="25">
        <f>IFERROR(INDEX('Hun Demand'!W:W,MATCH(O503,'Hun Demand'!A:A,0)),"")</f>
        <v>183</v>
      </c>
      <c r="B503" s="25">
        <f>IFERROR(INDEX('Hun Demand'!V:V,MATCH(O503,'Hun Demand'!A:A,0)),"")</f>
        <v>0</v>
      </c>
      <c r="C503" s="25">
        <f>IFERROR(INDEX('Hun Demand'!U:U,MATCH(O503,'Hun Demand'!A:A,0)),"")</f>
        <v>0</v>
      </c>
      <c r="D503" s="25">
        <f>IFERROR(INDEX('Hun Demand'!T:T,MATCH(O503,'Hun Demand'!A:A,0)),"")</f>
        <v>0</v>
      </c>
      <c r="E503" s="25">
        <f>IFERROR(INDEX('Hun Demand'!S:S,MATCH(O503,'Hun Demand'!A:A,0)),"")</f>
        <v>0</v>
      </c>
      <c r="F503" s="25">
        <f>IFERROR(INDEX('Hun Demand'!R:R,MATCH(O503,'Hun Demand'!A:A,0)),"")</f>
        <v>0</v>
      </c>
      <c r="G503" s="25">
        <f>IFERROR(INDEX('Aub Demand'!W:W,MATCH(O503,'Aub Demand'!A:A,0)),"")</f>
        <v>0</v>
      </c>
      <c r="H503" s="25">
        <f>IFERROR(INDEX('Aub Demand'!V:V,MATCH(O503,'Aub Demand'!A:A,0)),"")</f>
        <v>0</v>
      </c>
      <c r="I503" s="25">
        <f>IFERROR(INDEX('Aub Demand'!U:U,MATCH(O503,'Aub Demand'!A:A,0)),"")</f>
        <v>0</v>
      </c>
      <c r="J503" s="25">
        <f>IFERROR(INDEX('Aub Demand'!T:T,MATCH(O503,'Aub Demand'!A:A,0)),"")</f>
        <v>0</v>
      </c>
      <c r="K503" s="25">
        <f>IFERROR(INDEX('Aub Demand'!S:S,MATCH(O503,'Aub Demand'!A:A,0)),"")</f>
        <v>0</v>
      </c>
      <c r="L503" s="25">
        <f>IFERROR(INDEX('Aub Demand'!R:R,MATCH(O503,'Aub Demand'!A:A,0)),"")</f>
        <v>0</v>
      </c>
      <c r="O503" s="27" t="s">
        <v>831</v>
      </c>
      <c r="P503" s="27" t="str">
        <f>IFERROR(INDEX('Aub Demand'!B:B,MATCH($O503,'Aub Demand'!$A:$A,0)),"")</f>
        <v>HP ENGLISH OAK</v>
      </c>
      <c r="Q503" s="27" t="str">
        <f>IFERROR(INDEX('Aub Demand'!C:C,MATCH($O503,'Aub Demand'!$A:$A,0)),"")</f>
        <v>SUDDE</v>
      </c>
      <c r="R503" s="52">
        <f>IFERROR(IF(AR504=AR503,INDEX('Aub Demand'!K:K,MATCH($O503,'Aub Demand'!$A:$A,0))-IF(AN503="",0,AN503)+AP504,INDEX('Aub Demand'!K:K,MATCH($O503,'Aub Demand'!$A:$A,0))-IF(AN503="",0,AN503)),"")</f>
        <v>674</v>
      </c>
      <c r="S503" s="53" t="str">
        <f t="shared" si="196"/>
        <v>n/a</v>
      </c>
      <c r="T503" s="52" t="str">
        <f t="shared" si="197"/>
        <v/>
      </c>
      <c r="U503" s="52">
        <f>IFERROR(IF(AR504=AR503,INDEX('Aub Demand'!Q:Q,MATCH($O503,'Aub Demand'!$A:$A,0))-IF(AN503="",0,AN503)+AP504,INDEX('Aub Demand'!Q:Q,MATCH($O503,'Aub Demand'!$A:$A,0))-IF(AN503="",0,AN503)),"")</f>
        <v>635</v>
      </c>
      <c r="V503" s="53" t="str">
        <f t="shared" si="198"/>
        <v>n/a</v>
      </c>
      <c r="W503" s="52" t="str">
        <f t="shared" si="199"/>
        <v/>
      </c>
      <c r="X503" s="52">
        <f>IFERROR(IF(AND(AR504=AR503,AM503&lt;&gt;""),INDEX('Aub Demand'!Q:Q,MATCH($O503,'Aub Demand'!$A:$A,0))-IF(AN503="",0,AN503)+AP504+AD503+AL503,IF(AR504=AR503,INDEX('Aub Demand'!Q:Q,MATCH($O503,'Aub Demand'!$A:$A,0))-IF(AN503="",0,AN503)+AP504+AD503,IF(AM503&lt;&gt;"",INDEX('Aub Demand'!Q:Q,MATCH($O503,'Aub Demand'!$A:$A,0))-IF(AN503="",0,AN503)+AD503+AL503,INDEX('Aub Demand'!Q:Q,MATCH($O503,'Aub Demand'!$A:$A,0))-IF(AN503="",0,AN503)+AD503))),"")</f>
        <v>635</v>
      </c>
      <c r="Y503" s="53" t="str">
        <f t="shared" si="200"/>
        <v>n/a</v>
      </c>
      <c r="Z503" s="52">
        <f>IF(L503="","",INDEX('Aub Demand'!H:H,MATCH($O503,'Aub Demand'!$A:$A,0)))</f>
        <v>0</v>
      </c>
      <c r="AA503" s="52" t="str">
        <f t="shared" si="201"/>
        <v>-spike-</v>
      </c>
      <c r="AB503" s="52">
        <f>IFERROR(INDEX('Aub Demand'!L:L,MATCH($O503,'Aub Demand'!$A:$A,0)),"")</f>
        <v>22</v>
      </c>
      <c r="AC503" s="52">
        <f>IFERROR(IF(O503="","",SUMIFS('CPL Mats'!F:F,'CPL Mats'!Q:Q,AR503,'CPL Mats'!S:S,AS503)),"")</f>
        <v>0</v>
      </c>
      <c r="AF503" s="25" t="str">
        <f>IF(SUMIFS('Supp Consol'!S:S,'Supp Consol'!Y:Y,"Releasable",'Supp Consol'!A:A,O503)=0,"",SUMIFS('Supp Consol'!S:S,'Supp Consol'!Y:Y,"Releasable",'Supp Consol'!A:A,O503))</f>
        <v/>
      </c>
      <c r="AG503" s="25">
        <f>IFERROR(INDEX('Hun Demand'!Q:Q,MATCH(O503,'Hun Demand'!A:A,0)),"")</f>
        <v>1280</v>
      </c>
      <c r="AH503" s="25">
        <f>IFERROR(INDEX('Hun Demand'!H:H,MATCH($O503,'Hun Demand'!$A:$A,0)),"")</f>
        <v>0</v>
      </c>
      <c r="AI503" s="25" t="str">
        <f>IF(SUMIFS('Supp Consol'!AA:AA,'Supp Consol'!Z:Z,"Expires this month",'Supp Consol'!A:A,O503)=0,"",SUMIFS('Supp Consol'!AA:AA,'Supp Consol'!Z:Z,"Expires this month",'Supp Consol'!A:A,O503))</f>
        <v/>
      </c>
      <c r="AJ503" s="25" t="str">
        <f>IF(SUMIFS('Supp Consol'!AA:AA,'Supp Consol'!Z:Z,"Expired Previous Months",'Supp Consol'!A:A,O503)=0,"",SUMIFS('Supp Consol'!AA:AA,'Supp Consol'!Z:Z,"Expired Previous Months",'Supp Consol'!A:A,O503))</f>
        <v/>
      </c>
      <c r="AK503" s="25" t="str">
        <f>IFERROR(INDEX('Hun Release Current'!B:B,MATCH(O503,'Hun Release Current'!A:A,0)),"")</f>
        <v/>
      </c>
      <c r="AL503" s="25" t="str">
        <f>IF(SUMIF('Prev Aub'!A:A,O503,'Prev Aub'!B:B)=0,"",SUMIF('Prev Aub'!A:A,O503,'Prev Aub'!B:B))</f>
        <v/>
      </c>
      <c r="AN503" s="25" t="s">
        <v>3790</v>
      </c>
      <c r="AO503" s="25" t="s">
        <v>3790</v>
      </c>
      <c r="AP503" s="25">
        <f t="shared" si="202"/>
        <v>0</v>
      </c>
      <c r="AQ503" s="151" t="str">
        <f>IF(SUMIFS('Supp Consol'!S:S,'Supp Consol'!A:A,O503,'Supp Consol'!I:I,"PENDING")=0,"",SUMIFS('Supp Consol'!S:S,'Supp Consol'!A:A,O503,'Supp Consol'!I:I,"PENDING"))</f>
        <v/>
      </c>
      <c r="AR503" s="27" t="str">
        <f t="shared" si="203"/>
        <v>HP119</v>
      </c>
      <c r="AS503" s="27" t="str">
        <f t="shared" si="204"/>
        <v>50</v>
      </c>
      <c r="AT503" s="27" t="str">
        <f t="shared" si="205"/>
        <v/>
      </c>
      <c r="AU503" s="27" t="str">
        <f t="shared" si="206"/>
        <v/>
      </c>
      <c r="AV503" s="27" t="str">
        <f t="shared" si="207"/>
        <v/>
      </c>
      <c r="AW503" s="27" t="str">
        <f t="shared" si="208"/>
        <v/>
      </c>
      <c r="AX503" s="27" t="str">
        <f t="shared" si="209"/>
        <v/>
      </c>
      <c r="AY503" s="27" t="str">
        <f t="shared" si="210"/>
        <v>HP119</v>
      </c>
      <c r="AZ503" s="27" t="str">
        <f t="shared" si="211"/>
        <v/>
      </c>
      <c r="BA503" s="27" t="str">
        <f t="shared" si="212"/>
        <v>Hun</v>
      </c>
      <c r="BB503" s="27" t="str">
        <f t="shared" si="213"/>
        <v/>
      </c>
      <c r="BC503" s="27" t="str">
        <f t="shared" si="214"/>
        <v/>
      </c>
      <c r="BD503" s="27" t="str">
        <f t="shared" si="215"/>
        <v/>
      </c>
      <c r="BE503" s="27" t="str">
        <f t="shared" si="216"/>
        <v/>
      </c>
      <c r="BF503" s="27" t="str">
        <f t="shared" si="217"/>
        <v/>
      </c>
      <c r="BG503" s="27" t="str">
        <f t="shared" si="218"/>
        <v/>
      </c>
      <c r="BH503" s="27" t="str">
        <f t="shared" si="219"/>
        <v/>
      </c>
      <c r="BI503" s="27" t="str">
        <f t="shared" si="220"/>
        <v/>
      </c>
      <c r="BJ503" s="27" t="str">
        <f t="shared" si="221"/>
        <v>Supp or Hun</v>
      </c>
      <c r="BK503" s="27" t="str">
        <f t="shared" si="222"/>
        <v/>
      </c>
      <c r="BL503" s="27" t="str">
        <f t="shared" si="223"/>
        <v/>
      </c>
      <c r="BM503" s="21" t="s">
        <v>5582</v>
      </c>
    </row>
    <row r="504" spans="1:65" ht="15">
      <c r="A504" s="25">
        <f>IFERROR(INDEX('Hun Demand'!W:W,MATCH(O504,'Hun Demand'!A:A,0)),"")</f>
        <v>0</v>
      </c>
      <c r="B504" s="25">
        <f>IFERROR(INDEX('Hun Demand'!V:V,MATCH(O504,'Hun Demand'!A:A,0)),"")</f>
        <v>0</v>
      </c>
      <c r="C504" s="25">
        <f>IFERROR(INDEX('Hun Demand'!U:U,MATCH(O504,'Hun Demand'!A:A,0)),"")</f>
        <v>0</v>
      </c>
      <c r="D504" s="25">
        <f>IFERROR(INDEX('Hun Demand'!T:T,MATCH(O504,'Hun Demand'!A:A,0)),"")</f>
        <v>0</v>
      </c>
      <c r="E504" s="25">
        <f>IFERROR(INDEX('Hun Demand'!S:S,MATCH(O504,'Hun Demand'!A:A,0)),"")</f>
        <v>0</v>
      </c>
      <c r="F504" s="25">
        <f>IFERROR(INDEX('Hun Demand'!R:R,MATCH(O504,'Hun Demand'!A:A,0)),"")</f>
        <v>0</v>
      </c>
      <c r="G504" s="25">
        <f>IFERROR(INDEX('Aub Demand'!W:W,MATCH(O504,'Aub Demand'!A:A,0)),"")</f>
        <v>14</v>
      </c>
      <c r="H504" s="25">
        <f>IFERROR(INDEX('Aub Demand'!V:V,MATCH(O504,'Aub Demand'!A:A,0)),"")</f>
        <v>0</v>
      </c>
      <c r="I504" s="25">
        <f>IFERROR(INDEX('Aub Demand'!U:U,MATCH(O504,'Aub Demand'!A:A,0)),"")</f>
        <v>0</v>
      </c>
      <c r="J504" s="25">
        <f>IFERROR(INDEX('Aub Demand'!T:T,MATCH(O504,'Aub Demand'!A:A,0)),"")</f>
        <v>0</v>
      </c>
      <c r="K504" s="25">
        <f>IFERROR(INDEX('Aub Demand'!S:S,MATCH(O504,'Aub Demand'!A:A,0)),"")</f>
        <v>0</v>
      </c>
      <c r="L504" s="25">
        <f>IFERROR(INDEX('Aub Demand'!R:R,MATCH(O504,'Aub Demand'!A:A,0)),"")</f>
        <v>0</v>
      </c>
      <c r="O504" s="27" t="s">
        <v>834</v>
      </c>
      <c r="P504" s="27" t="str">
        <f>IFERROR(INDEX('Aub Demand'!B:B,MATCH($O504,'Aub Demand'!$A:$A,0)),"")</f>
        <v>HP ENGLISH OAK</v>
      </c>
      <c r="Q504" s="27" t="str">
        <f>IFERROR(INDEX('Aub Demand'!C:C,MATCH($O504,'Aub Demand'!$A:$A,0)),"")</f>
        <v>SUDDE</v>
      </c>
      <c r="R504" s="52">
        <f>IFERROR(IF(AR505=AR504,INDEX('Aub Demand'!K:K,MATCH($O504,'Aub Demand'!$A:$A,0))-IF(AN504="",0,AN504)+AP505,INDEX('Aub Demand'!K:K,MATCH($O504,'Aub Demand'!$A:$A,0))-IF(AN504="",0,AN504)),"")</f>
        <v>558</v>
      </c>
      <c r="S504" s="53" t="str">
        <f t="shared" si="196"/>
        <v>n/a</v>
      </c>
      <c r="T504" s="52" t="str">
        <f t="shared" si="197"/>
        <v/>
      </c>
      <c r="U504" s="52">
        <f>IFERROR(IF(AR505=AR504,INDEX('Aub Demand'!Q:Q,MATCH($O504,'Aub Demand'!$A:$A,0))-IF(AN504="",0,AN504)+AP505,INDEX('Aub Demand'!Q:Q,MATCH($O504,'Aub Demand'!$A:$A,0))-IF(AN504="",0,AN504)),"")</f>
        <v>558</v>
      </c>
      <c r="V504" s="53" t="str">
        <f t="shared" si="198"/>
        <v>n/a</v>
      </c>
      <c r="W504" s="52" t="str">
        <f t="shared" si="199"/>
        <v/>
      </c>
      <c r="X504" s="52">
        <f>IFERROR(IF(AND(AR505=AR504,AM504&lt;&gt;""),INDEX('Aub Demand'!Q:Q,MATCH($O504,'Aub Demand'!$A:$A,0))-IF(AN504="",0,AN504)+AP505+AD504+AL504,IF(AR505=AR504,INDEX('Aub Demand'!Q:Q,MATCH($O504,'Aub Demand'!$A:$A,0))-IF(AN504="",0,AN504)+AP505+AD504,IF(AM504&lt;&gt;"",INDEX('Aub Demand'!Q:Q,MATCH($O504,'Aub Demand'!$A:$A,0))-IF(AN504="",0,AN504)+AD504+AL504,INDEX('Aub Demand'!Q:Q,MATCH($O504,'Aub Demand'!$A:$A,0))-IF(AN504="",0,AN504)+AD504))),"")</f>
        <v>558</v>
      </c>
      <c r="Y504" s="53" t="str">
        <f t="shared" si="200"/>
        <v>n/a</v>
      </c>
      <c r="Z504" s="52">
        <f>IF(L504="","",INDEX('Aub Demand'!H:H,MATCH($O504,'Aub Demand'!$A:$A,0)))</f>
        <v>0</v>
      </c>
      <c r="AA504" s="52" t="str">
        <f t="shared" si="201"/>
        <v>-spike-</v>
      </c>
      <c r="AB504" s="52">
        <f>IFERROR(INDEX('Aub Demand'!L:L,MATCH($O504,'Aub Demand'!$A:$A,0)),"")</f>
        <v>0</v>
      </c>
      <c r="AC504" s="52">
        <f>IFERROR(IF(O504="","",SUMIFS('CPL Mats'!F:F,'CPL Mats'!Q:Q,AR504,'CPL Mats'!S:S,AS504)),"")</f>
        <v>0</v>
      </c>
      <c r="AF504" s="25" t="str">
        <f>IF(SUMIFS('Supp Consol'!S:S,'Supp Consol'!Y:Y,"Releasable",'Supp Consol'!A:A,O504)=0,"",SUMIFS('Supp Consol'!S:S,'Supp Consol'!Y:Y,"Releasable",'Supp Consol'!A:A,O504))</f>
        <v/>
      </c>
      <c r="AG504" s="25">
        <f>IFERROR(INDEX('Hun Demand'!Q:Q,MATCH(O504,'Hun Demand'!A:A,0)),"")</f>
        <v>2049</v>
      </c>
      <c r="AH504" s="25">
        <f>IFERROR(INDEX('Hun Demand'!H:H,MATCH($O504,'Hun Demand'!$A:$A,0)),"")</f>
        <v>0</v>
      </c>
      <c r="AI504" s="25" t="str">
        <f>IF(SUMIFS('Supp Consol'!AA:AA,'Supp Consol'!Z:Z,"Expires this month",'Supp Consol'!A:A,O504)=0,"",SUMIFS('Supp Consol'!AA:AA,'Supp Consol'!Z:Z,"Expires this month",'Supp Consol'!A:A,O504))</f>
        <v/>
      </c>
      <c r="AJ504" s="25" t="str">
        <f>IF(SUMIFS('Supp Consol'!AA:AA,'Supp Consol'!Z:Z,"Expired Previous Months",'Supp Consol'!A:A,O504)=0,"",SUMIFS('Supp Consol'!AA:AA,'Supp Consol'!Z:Z,"Expired Previous Months",'Supp Consol'!A:A,O504))</f>
        <v/>
      </c>
      <c r="AK504" s="25" t="str">
        <f>IFERROR(INDEX('Hun Release Current'!B:B,MATCH(O504,'Hun Release Current'!A:A,0)),"")</f>
        <v/>
      </c>
      <c r="AL504" s="25" t="str">
        <f>IF(SUMIF('Prev Aub'!A:A,O504,'Prev Aub'!B:B)=0,"",SUMIF('Prev Aub'!A:A,O504,'Prev Aub'!B:B))</f>
        <v/>
      </c>
      <c r="AN504" s="25" t="s">
        <v>3790</v>
      </c>
      <c r="AO504" s="25" t="s">
        <v>3790</v>
      </c>
      <c r="AP504" s="25">
        <f t="shared" si="202"/>
        <v>0</v>
      </c>
      <c r="AQ504" s="151" t="str">
        <f>IF(SUMIFS('Supp Consol'!S:S,'Supp Consol'!A:A,O504,'Supp Consol'!I:I,"PENDING")=0,"",SUMIFS('Supp Consol'!S:S,'Supp Consol'!A:A,O504,'Supp Consol'!I:I,"PENDING"))</f>
        <v/>
      </c>
      <c r="AR504" s="27" t="str">
        <f t="shared" si="203"/>
        <v>HP119</v>
      </c>
      <c r="AS504" s="27" t="str">
        <f t="shared" si="204"/>
        <v>62</v>
      </c>
      <c r="AT504" s="27" t="str">
        <f t="shared" si="205"/>
        <v/>
      </c>
      <c r="AU504" s="27" t="str">
        <f t="shared" si="206"/>
        <v/>
      </c>
      <c r="AV504" s="27" t="str">
        <f t="shared" si="207"/>
        <v/>
      </c>
      <c r="AW504" s="27" t="str">
        <f t="shared" si="208"/>
        <v/>
      </c>
      <c r="AX504" s="27" t="str">
        <f t="shared" si="209"/>
        <v/>
      </c>
      <c r="AY504" s="27" t="str">
        <f t="shared" si="210"/>
        <v>HP119</v>
      </c>
      <c r="AZ504" s="27" t="str">
        <f t="shared" si="211"/>
        <v/>
      </c>
      <c r="BA504" s="27" t="str">
        <f t="shared" si="212"/>
        <v>Hun</v>
      </c>
      <c r="BB504" s="27" t="str">
        <f t="shared" si="213"/>
        <v/>
      </c>
      <c r="BC504" s="27" t="str">
        <f t="shared" si="214"/>
        <v/>
      </c>
      <c r="BD504" s="27" t="str">
        <f t="shared" si="215"/>
        <v/>
      </c>
      <c r="BE504" s="27" t="str">
        <f t="shared" si="216"/>
        <v/>
      </c>
      <c r="BF504" s="27" t="str">
        <f t="shared" si="217"/>
        <v/>
      </c>
      <c r="BG504" s="27" t="str">
        <f t="shared" si="218"/>
        <v/>
      </c>
      <c r="BH504" s="27" t="str">
        <f t="shared" si="219"/>
        <v/>
      </c>
      <c r="BI504" s="27" t="str">
        <f t="shared" si="220"/>
        <v/>
      </c>
      <c r="BJ504" s="27" t="str">
        <f t="shared" si="221"/>
        <v>Supp or Hun</v>
      </c>
      <c r="BK504" s="27" t="str">
        <f t="shared" si="222"/>
        <v/>
      </c>
      <c r="BL504" s="27" t="str">
        <f t="shared" si="223"/>
        <v/>
      </c>
      <c r="BM504" s="21" t="s">
        <v>5582</v>
      </c>
    </row>
    <row r="505" spans="1:65" ht="15">
      <c r="A505" s="25">
        <f>IFERROR(INDEX('Hun Demand'!W:W,MATCH(O505,'Hun Demand'!A:A,0)),"")</f>
        <v>0</v>
      </c>
      <c r="B505" s="25">
        <f>IFERROR(INDEX('Hun Demand'!V:V,MATCH(O505,'Hun Demand'!A:A,0)),"")</f>
        <v>66</v>
      </c>
      <c r="C505" s="25">
        <f>IFERROR(INDEX('Hun Demand'!U:U,MATCH(O505,'Hun Demand'!A:A,0)),"")</f>
        <v>332</v>
      </c>
      <c r="D505" s="25">
        <f>IFERROR(INDEX('Hun Demand'!T:T,MATCH(O505,'Hun Demand'!A:A,0)),"")</f>
        <v>0</v>
      </c>
      <c r="E505" s="25">
        <f>IFERROR(INDEX('Hun Demand'!S:S,MATCH(O505,'Hun Demand'!A:A,0)),"")</f>
        <v>0</v>
      </c>
      <c r="F505" s="25">
        <f>IFERROR(INDEX('Hun Demand'!R:R,MATCH(O505,'Hun Demand'!A:A,0)),"")</f>
        <v>0</v>
      </c>
      <c r="G505" s="25">
        <f>IFERROR(INDEX('Aub Demand'!W:W,MATCH(O505,'Aub Demand'!A:A,0)),"")</f>
        <v>0</v>
      </c>
      <c r="H505" s="25">
        <f>IFERROR(INDEX('Aub Demand'!V:V,MATCH(O505,'Aub Demand'!A:A,0)),"")</f>
        <v>0</v>
      </c>
      <c r="I505" s="25">
        <f>IFERROR(INDEX('Aub Demand'!U:U,MATCH(O505,'Aub Demand'!A:A,0)),"")</f>
        <v>18</v>
      </c>
      <c r="J505" s="25">
        <f>IFERROR(INDEX('Aub Demand'!T:T,MATCH(O505,'Aub Demand'!A:A,0)),"")</f>
        <v>0</v>
      </c>
      <c r="K505" s="25">
        <f>IFERROR(INDEX('Aub Demand'!S:S,MATCH(O505,'Aub Demand'!A:A,0)),"")</f>
        <v>111</v>
      </c>
      <c r="L505" s="25">
        <f>IFERROR(INDEX('Aub Demand'!R:R,MATCH(O505,'Aub Demand'!A:A,0)),"")</f>
        <v>0</v>
      </c>
      <c r="O505" s="27" t="s">
        <v>835</v>
      </c>
      <c r="P505" s="27" t="str">
        <f>IFERROR(INDEX('Aub Demand'!B:B,MATCH($O505,'Aub Demand'!$A:$A,0)),"")</f>
        <v>RIVIERA MAPLE</v>
      </c>
      <c r="Q505" s="27" t="str">
        <f>IFERROR(INDEX('Aub Demand'!C:C,MATCH($O505,'Aub Demand'!$A:$A,0)),"")</f>
        <v>INTER</v>
      </c>
      <c r="R505" s="52">
        <f>IFERROR(IF(AR506=AR505,INDEX('Aub Demand'!K:K,MATCH($O505,'Aub Demand'!$A:$A,0))-IF(AN505="",0,AN505)+AP506,INDEX('Aub Demand'!K:K,MATCH($O505,'Aub Demand'!$A:$A,0))-IF(AN505="",0,AN505)),"")</f>
        <v>434</v>
      </c>
      <c r="S505" s="53">
        <f t="shared" si="196"/>
        <v>43.3</v>
      </c>
      <c r="T505" s="52" t="str">
        <f t="shared" si="197"/>
        <v/>
      </c>
      <c r="U505" s="52">
        <f>IFERROR(IF(AR506=AR505,INDEX('Aub Demand'!Q:Q,MATCH($O505,'Aub Demand'!$A:$A,0))-IF(AN505="",0,AN505)+AP506,INDEX('Aub Demand'!Q:Q,MATCH($O505,'Aub Demand'!$A:$A,0))-IF(AN505="",0,AN505)),"")</f>
        <v>434</v>
      </c>
      <c r="V505" s="53">
        <f t="shared" si="198"/>
        <v>43.3</v>
      </c>
      <c r="W505" s="52" t="str">
        <f t="shared" si="199"/>
        <v/>
      </c>
      <c r="X505" s="52">
        <f>IFERROR(IF(AND(AR506=AR505,AM505&lt;&gt;""),INDEX('Aub Demand'!Q:Q,MATCH($O505,'Aub Demand'!$A:$A,0))-IF(AN505="",0,AN505)+AP506+AD505+AL505,IF(AR506=AR505,INDEX('Aub Demand'!Q:Q,MATCH($O505,'Aub Demand'!$A:$A,0))-IF(AN505="",0,AN505)+AP506+AD505,IF(AM505&lt;&gt;"",INDEX('Aub Demand'!Q:Q,MATCH($O505,'Aub Demand'!$A:$A,0))-IF(AN505="",0,AN505)+AD505+AL505,INDEX('Aub Demand'!Q:Q,MATCH($O505,'Aub Demand'!$A:$A,0))-IF(AN505="",0,AN505)+AD505))),"")</f>
        <v>434</v>
      </c>
      <c r="Y505" s="53">
        <f t="shared" si="200"/>
        <v>43.3</v>
      </c>
      <c r="Z505" s="52">
        <f>IF(L505="","",INDEX('Aub Demand'!H:H,MATCH($O505,'Aub Demand'!$A:$A,0)))</f>
        <v>43</v>
      </c>
      <c r="AA505" s="52">
        <f t="shared" si="201"/>
        <v>64.5</v>
      </c>
      <c r="AB505" s="52">
        <f>IFERROR(INDEX('Aub Demand'!L:L,MATCH($O505,'Aub Demand'!$A:$A,0)),"")</f>
        <v>0</v>
      </c>
      <c r="AC505" s="52">
        <f>IFERROR(IF(O505="","",SUMIFS('CPL Mats'!F:F,'CPL Mats'!Q:Q,AR505,'CPL Mats'!S:S,AS505)),"")</f>
        <v>0</v>
      </c>
      <c r="AF505" s="25" t="str">
        <f>IF(SUMIFS('Supp Consol'!S:S,'Supp Consol'!Y:Y,"Releasable",'Supp Consol'!A:A,O505)=0,"",SUMIFS('Supp Consol'!S:S,'Supp Consol'!Y:Y,"Releasable",'Supp Consol'!A:A,O505))</f>
        <v/>
      </c>
      <c r="AG505" s="25">
        <f>IFERROR(INDEX('Hun Demand'!Q:Q,MATCH(O505,'Hun Demand'!A:A,0)),"")</f>
        <v>218</v>
      </c>
      <c r="AH505" s="25">
        <f>IFERROR(INDEX('Hun Demand'!H:H,MATCH($O505,'Hun Demand'!$A:$A,0)),"")</f>
        <v>111</v>
      </c>
      <c r="AI505" s="25" t="str">
        <f>IF(SUMIFS('Supp Consol'!AA:AA,'Supp Consol'!Z:Z,"Expires this month",'Supp Consol'!A:A,O505)=0,"",SUMIFS('Supp Consol'!AA:AA,'Supp Consol'!Z:Z,"Expires this month",'Supp Consol'!A:A,O505))</f>
        <v/>
      </c>
      <c r="AJ505" s="25" t="str">
        <f>IF(SUMIFS('Supp Consol'!AA:AA,'Supp Consol'!Z:Z,"Expired Previous Months",'Supp Consol'!A:A,O505)=0,"",SUMIFS('Supp Consol'!AA:AA,'Supp Consol'!Z:Z,"Expired Previous Months",'Supp Consol'!A:A,O505))</f>
        <v/>
      </c>
      <c r="AK505" s="25" t="str">
        <f>IFERROR(INDEX('Hun Release Current'!B:B,MATCH(O505,'Hun Release Current'!A:A,0)),"")</f>
        <v/>
      </c>
      <c r="AL505" s="25" t="str">
        <f>IF(SUMIF('Prev Aub'!A:A,O505,'Prev Aub'!B:B)=0,"",SUMIF('Prev Aub'!A:A,O505,'Prev Aub'!B:B))</f>
        <v/>
      </c>
      <c r="AN505" s="25" t="s">
        <v>3790</v>
      </c>
      <c r="AO505" s="25" t="s">
        <v>3790</v>
      </c>
      <c r="AP505" s="25">
        <f t="shared" si="202"/>
        <v>0</v>
      </c>
      <c r="AQ505" s="151" t="str">
        <f>IF(SUMIFS('Supp Consol'!S:S,'Supp Consol'!A:A,O505,'Supp Consol'!I:I,"PENDING")=0,"",SUMIFS('Supp Consol'!S:S,'Supp Consol'!A:A,O505,'Supp Consol'!I:I,"PENDING"))</f>
        <v/>
      </c>
      <c r="AR505" s="27" t="str">
        <f t="shared" si="203"/>
        <v>HP140</v>
      </c>
      <c r="AS505" s="27" t="str">
        <f t="shared" si="204"/>
        <v>50</v>
      </c>
      <c r="AT505" s="27" t="str">
        <f t="shared" si="205"/>
        <v/>
      </c>
      <c r="AU505" s="27" t="str">
        <f t="shared" si="206"/>
        <v/>
      </c>
      <c r="AV505" s="27" t="str">
        <f t="shared" si="207"/>
        <v/>
      </c>
      <c r="AW505" s="27" t="str">
        <f t="shared" si="208"/>
        <v/>
      </c>
      <c r="AX505" s="27" t="str">
        <f t="shared" si="209"/>
        <v/>
      </c>
      <c r="AY505" s="27" t="str">
        <f t="shared" si="210"/>
        <v>HP140</v>
      </c>
      <c r="AZ505" s="27" t="str">
        <f t="shared" si="211"/>
        <v/>
      </c>
      <c r="BA505" s="27" t="str">
        <f t="shared" si="212"/>
        <v>Hun</v>
      </c>
      <c r="BB505" s="27" t="str">
        <f t="shared" si="213"/>
        <v/>
      </c>
      <c r="BC505" s="27" t="str">
        <f t="shared" si="214"/>
        <v/>
      </c>
      <c r="BD505" s="27" t="str">
        <f t="shared" si="215"/>
        <v/>
      </c>
      <c r="BE505" s="27" t="str">
        <f t="shared" si="216"/>
        <v/>
      </c>
      <c r="BF505" s="27" t="str">
        <f t="shared" si="217"/>
        <v/>
      </c>
      <c r="BG505" s="27" t="str">
        <f t="shared" si="218"/>
        <v/>
      </c>
      <c r="BH505" s="27" t="str">
        <f t="shared" si="219"/>
        <v/>
      </c>
      <c r="BI505" s="27" t="str">
        <f t="shared" si="220"/>
        <v/>
      </c>
      <c r="BJ505" s="27" t="str">
        <f t="shared" si="221"/>
        <v>Supp or Hun</v>
      </c>
      <c r="BK505" s="27" t="str">
        <f t="shared" si="222"/>
        <v/>
      </c>
      <c r="BL505" s="27" t="str">
        <f t="shared" si="223"/>
        <v/>
      </c>
      <c r="BM505" s="21" t="s">
        <v>5582</v>
      </c>
    </row>
    <row r="506" spans="1:65" ht="15">
      <c r="A506" s="25">
        <f>IFERROR(INDEX('Hun Demand'!W:W,MATCH(O506,'Hun Demand'!A:A,0)),"")</f>
        <v>591</v>
      </c>
      <c r="B506" s="25">
        <f>IFERROR(INDEX('Hun Demand'!V:V,MATCH(O506,'Hun Demand'!A:A,0)),"")</f>
        <v>1324</v>
      </c>
      <c r="C506" s="25">
        <f>IFERROR(INDEX('Hun Demand'!U:U,MATCH(O506,'Hun Demand'!A:A,0)),"")</f>
        <v>1114</v>
      </c>
      <c r="D506" s="25">
        <f>IFERROR(INDEX('Hun Demand'!T:T,MATCH(O506,'Hun Demand'!A:A,0)),"")</f>
        <v>639</v>
      </c>
      <c r="E506" s="25">
        <f>IFERROR(INDEX('Hun Demand'!S:S,MATCH(O506,'Hun Demand'!A:A,0)),"")</f>
        <v>652</v>
      </c>
      <c r="F506" s="25">
        <f>IFERROR(INDEX('Hun Demand'!R:R,MATCH(O506,'Hun Demand'!A:A,0)),"")</f>
        <v>0</v>
      </c>
      <c r="G506" s="25">
        <f>IFERROR(INDEX('Aub Demand'!W:W,MATCH(O506,'Aub Demand'!A:A,0)),"")</f>
        <v>16</v>
      </c>
      <c r="H506" s="25">
        <f>IFERROR(INDEX('Aub Demand'!V:V,MATCH(O506,'Aub Demand'!A:A,0)),"")</f>
        <v>0</v>
      </c>
      <c r="I506" s="25">
        <f>IFERROR(INDEX('Aub Demand'!U:U,MATCH(O506,'Aub Demand'!A:A,0)),"")</f>
        <v>51</v>
      </c>
      <c r="J506" s="25">
        <f>IFERROR(INDEX('Aub Demand'!T:T,MATCH(O506,'Aub Demand'!A:A,0)),"")</f>
        <v>0</v>
      </c>
      <c r="K506" s="25">
        <f>IFERROR(INDEX('Aub Demand'!S:S,MATCH(O506,'Aub Demand'!A:A,0)),"")</f>
        <v>0</v>
      </c>
      <c r="L506" s="25">
        <f>IFERROR(INDEX('Aub Demand'!R:R,MATCH(O506,'Aub Demand'!A:A,0)),"")</f>
        <v>0</v>
      </c>
      <c r="O506" s="27" t="s">
        <v>837</v>
      </c>
      <c r="P506" s="27" t="str">
        <f>IFERROR(INDEX('Aub Demand'!B:B,MATCH($O506,'Aub Demand'!$A:$A,0)),"")</f>
        <v>RIVIERA MAPLE</v>
      </c>
      <c r="Q506" s="27" t="str">
        <f>IFERROR(INDEX('Aub Demand'!C:C,MATCH($O506,'Aub Demand'!$A:$A,0)),"")</f>
        <v>INTER</v>
      </c>
      <c r="R506" s="52">
        <f>IFERROR(IF(AR507=AR506,INDEX('Aub Demand'!K:K,MATCH($O506,'Aub Demand'!$A:$A,0))-IF(AN506="",0,AN506)+AP507,INDEX('Aub Demand'!K:K,MATCH($O506,'Aub Demand'!$A:$A,0))-IF(AN506="",0,AN506)),"")</f>
        <v>1140</v>
      </c>
      <c r="S506" s="53">
        <f t="shared" si="196"/>
        <v>287.39999999999998</v>
      </c>
      <c r="T506" s="52" t="str">
        <f t="shared" si="197"/>
        <v/>
      </c>
      <c r="U506" s="52">
        <f>IFERROR(IF(AR507=AR506,INDEX('Aub Demand'!Q:Q,MATCH($O506,'Aub Demand'!$A:$A,0))-IF(AN506="",0,AN506)+AP507,INDEX('Aub Demand'!Q:Q,MATCH($O506,'Aub Demand'!$A:$A,0))-IF(AN506="",0,AN506)),"")</f>
        <v>1140</v>
      </c>
      <c r="V506" s="53">
        <f t="shared" si="198"/>
        <v>287.39999999999998</v>
      </c>
      <c r="W506" s="52" t="str">
        <f t="shared" si="199"/>
        <v/>
      </c>
      <c r="X506" s="52">
        <f>IFERROR(IF(AND(AR507=AR506,AM506&lt;&gt;""),INDEX('Aub Demand'!Q:Q,MATCH($O506,'Aub Demand'!$A:$A,0))-IF(AN506="",0,AN506)+AP507+AD506+AL506,IF(AR507=AR506,INDEX('Aub Demand'!Q:Q,MATCH($O506,'Aub Demand'!$A:$A,0))-IF(AN506="",0,AN506)+AP507+AD506,IF(AM506&lt;&gt;"",INDEX('Aub Demand'!Q:Q,MATCH($O506,'Aub Demand'!$A:$A,0))-IF(AN506="",0,AN506)+AD506+AL506,INDEX('Aub Demand'!Q:Q,MATCH($O506,'Aub Demand'!$A:$A,0))-IF(AN506="",0,AN506)+AD506))),"")</f>
        <v>1140</v>
      </c>
      <c r="Y506" s="53">
        <f t="shared" si="200"/>
        <v>287.39999999999998</v>
      </c>
      <c r="Z506" s="52">
        <f>IF(L506="","",INDEX('Aub Demand'!H:H,MATCH($O506,'Aub Demand'!$A:$A,0)))</f>
        <v>17</v>
      </c>
      <c r="AA506" s="52" t="str">
        <f t="shared" si="201"/>
        <v>-spike-</v>
      </c>
      <c r="AB506" s="52">
        <f>IFERROR(INDEX('Aub Demand'!L:L,MATCH($O506,'Aub Demand'!$A:$A,0)),"")</f>
        <v>32</v>
      </c>
      <c r="AC506" s="52">
        <f>IFERROR(IF(O506="","",SUMIFS('CPL Mats'!F:F,'CPL Mats'!Q:Q,AR506,'CPL Mats'!S:S,AS506)),"")</f>
        <v>0</v>
      </c>
      <c r="AF506" s="25" t="str">
        <f>IF(SUMIFS('Supp Consol'!S:S,'Supp Consol'!Y:Y,"Releasable",'Supp Consol'!A:A,O506)=0,"",SUMIFS('Supp Consol'!S:S,'Supp Consol'!Y:Y,"Releasable",'Supp Consol'!A:A,O506))</f>
        <v/>
      </c>
      <c r="AG506" s="25">
        <f>IFERROR(INDEX('Hun Demand'!Q:Q,MATCH(O506,'Hun Demand'!A:A,0)),"")</f>
        <v>3812</v>
      </c>
      <c r="AH506" s="25">
        <f>IFERROR(INDEX('Hun Demand'!H:H,MATCH($O506,'Hun Demand'!$A:$A,0)),"")</f>
        <v>802</v>
      </c>
      <c r="AI506" s="25" t="str">
        <f>IF(SUMIFS('Supp Consol'!AA:AA,'Supp Consol'!Z:Z,"Expires this month",'Supp Consol'!A:A,O506)=0,"",SUMIFS('Supp Consol'!AA:AA,'Supp Consol'!Z:Z,"Expires this month",'Supp Consol'!A:A,O506))</f>
        <v/>
      </c>
      <c r="AJ506" s="25" t="str">
        <f>IF(SUMIFS('Supp Consol'!AA:AA,'Supp Consol'!Z:Z,"Expired Previous Months",'Supp Consol'!A:A,O506)=0,"",SUMIFS('Supp Consol'!AA:AA,'Supp Consol'!Z:Z,"Expired Previous Months",'Supp Consol'!A:A,O506))</f>
        <v/>
      </c>
      <c r="AK506" s="25" t="str">
        <f>IFERROR(INDEX('Hun Release Current'!B:B,MATCH(O506,'Hun Release Current'!A:A,0)),"")</f>
        <v/>
      </c>
      <c r="AL506" s="25" t="str">
        <f>IF(SUMIF('Prev Aub'!A:A,O506,'Prev Aub'!B:B)=0,"",SUMIF('Prev Aub'!A:A,O506,'Prev Aub'!B:B))</f>
        <v/>
      </c>
      <c r="AN506" s="25" t="s">
        <v>3790</v>
      </c>
      <c r="AO506" s="25" t="s">
        <v>3790</v>
      </c>
      <c r="AP506" s="25">
        <f t="shared" si="202"/>
        <v>0</v>
      </c>
      <c r="AQ506" s="151" t="str">
        <f>IF(SUMIFS('Supp Consol'!S:S,'Supp Consol'!A:A,O506,'Supp Consol'!I:I,"PENDING")=0,"",SUMIFS('Supp Consol'!S:S,'Supp Consol'!A:A,O506,'Supp Consol'!I:I,"PENDING"))</f>
        <v/>
      </c>
      <c r="AR506" s="27" t="str">
        <f t="shared" si="203"/>
        <v>HP140</v>
      </c>
      <c r="AS506" s="27" t="str">
        <f t="shared" si="204"/>
        <v>62</v>
      </c>
      <c r="AT506" s="27" t="str">
        <f t="shared" si="205"/>
        <v/>
      </c>
      <c r="AU506" s="27" t="str">
        <f t="shared" si="206"/>
        <v/>
      </c>
      <c r="AV506" s="27" t="str">
        <f t="shared" si="207"/>
        <v/>
      </c>
      <c r="AW506" s="27" t="str">
        <f t="shared" si="208"/>
        <v/>
      </c>
      <c r="AX506" s="27" t="str">
        <f t="shared" si="209"/>
        <v/>
      </c>
      <c r="AY506" s="27" t="str">
        <f t="shared" si="210"/>
        <v>HP140</v>
      </c>
      <c r="AZ506" s="27" t="str">
        <f t="shared" si="211"/>
        <v/>
      </c>
      <c r="BA506" s="27" t="str">
        <f t="shared" si="212"/>
        <v>Hun</v>
      </c>
      <c r="BB506" s="27" t="str">
        <f t="shared" si="213"/>
        <v/>
      </c>
      <c r="BC506" s="27" t="str">
        <f t="shared" si="214"/>
        <v/>
      </c>
      <c r="BD506" s="27" t="str">
        <f t="shared" si="215"/>
        <v/>
      </c>
      <c r="BE506" s="27" t="str">
        <f t="shared" si="216"/>
        <v/>
      </c>
      <c r="BF506" s="27" t="str">
        <f t="shared" si="217"/>
        <v/>
      </c>
      <c r="BG506" s="27" t="str">
        <f t="shared" si="218"/>
        <v/>
      </c>
      <c r="BH506" s="27" t="str">
        <f t="shared" si="219"/>
        <v/>
      </c>
      <c r="BI506" s="27" t="str">
        <f t="shared" si="220"/>
        <v/>
      </c>
      <c r="BJ506" s="27" t="str">
        <f t="shared" si="221"/>
        <v>Supp or Hun</v>
      </c>
      <c r="BK506" s="27" t="str">
        <f t="shared" si="222"/>
        <v/>
      </c>
      <c r="BL506" s="27" t="str">
        <f t="shared" si="223"/>
        <v/>
      </c>
      <c r="BM506" s="21" t="s">
        <v>5582</v>
      </c>
    </row>
    <row r="507" spans="1:65" ht="15">
      <c r="A507" s="25">
        <f>IFERROR(INDEX('Hun Demand'!W:W,MATCH(O507,'Hun Demand'!A:A,0)),"")</f>
        <v>0</v>
      </c>
      <c r="B507" s="25">
        <f>IFERROR(INDEX('Hun Demand'!V:V,MATCH(O507,'Hun Demand'!A:A,0)),"")</f>
        <v>0</v>
      </c>
      <c r="C507" s="25">
        <f>IFERROR(INDEX('Hun Demand'!U:U,MATCH(O507,'Hun Demand'!A:A,0)),"")</f>
        <v>164</v>
      </c>
      <c r="D507" s="25">
        <f>IFERROR(INDEX('Hun Demand'!T:T,MATCH(O507,'Hun Demand'!A:A,0)),"")</f>
        <v>0</v>
      </c>
      <c r="E507" s="25">
        <f>IFERROR(INDEX('Hun Demand'!S:S,MATCH(O507,'Hun Demand'!A:A,0)),"")</f>
        <v>0</v>
      </c>
      <c r="F507" s="25">
        <f>IFERROR(INDEX('Hun Demand'!R:R,MATCH(O507,'Hun Demand'!A:A,0)),"")</f>
        <v>0</v>
      </c>
      <c r="G507" s="25">
        <f>IFERROR(INDEX('Aub Demand'!W:W,MATCH(O507,'Aub Demand'!A:A,0)),"")</f>
        <v>0</v>
      </c>
      <c r="H507" s="25">
        <f>IFERROR(INDEX('Aub Demand'!V:V,MATCH(O507,'Aub Demand'!A:A,0)),"")</f>
        <v>0</v>
      </c>
      <c r="I507" s="25">
        <f>IFERROR(INDEX('Aub Demand'!U:U,MATCH(O507,'Aub Demand'!A:A,0)),"")</f>
        <v>11</v>
      </c>
      <c r="J507" s="25">
        <f>IFERROR(INDEX('Aub Demand'!T:T,MATCH(O507,'Aub Demand'!A:A,0)),"")</f>
        <v>27</v>
      </c>
      <c r="K507" s="25">
        <f>IFERROR(INDEX('Aub Demand'!S:S,MATCH(O507,'Aub Demand'!A:A,0)),"")</f>
        <v>0</v>
      </c>
      <c r="L507" s="25">
        <f>IFERROR(INDEX('Aub Demand'!R:R,MATCH(O507,'Aub Demand'!A:A,0)),"")</f>
        <v>0</v>
      </c>
      <c r="O507" s="27" t="s">
        <v>838</v>
      </c>
      <c r="P507" s="27" t="str">
        <f>IFERROR(INDEX('Aub Demand'!B:B,MATCH($O507,'Aub Demand'!$A:$A,0)),"")</f>
        <v>WILD CHERRY</v>
      </c>
      <c r="Q507" s="27" t="str">
        <f>IFERROR(INDEX('Aub Demand'!C:C,MATCH($O507,'Aub Demand'!$A:$A,0)),"")</f>
        <v>AHLST</v>
      </c>
      <c r="R507" s="52">
        <f>IFERROR(IF(AR508=AR507,INDEX('Aub Demand'!K:K,MATCH($O507,'Aub Demand'!$A:$A,0))-IF(AN507="",0,AN507)+AP508,INDEX('Aub Demand'!K:K,MATCH($O507,'Aub Demand'!$A:$A,0))-IF(AN507="",0,AN507)),"")</f>
        <v>450</v>
      </c>
      <c r="S507" s="53">
        <f t="shared" si="196"/>
        <v>148.4</v>
      </c>
      <c r="T507" s="52" t="str">
        <f t="shared" si="197"/>
        <v/>
      </c>
      <c r="U507" s="52">
        <f>IFERROR(IF(AR508=AR507,INDEX('Aub Demand'!Q:Q,MATCH($O507,'Aub Demand'!$A:$A,0))-IF(AN507="",0,AN507)+AP508,INDEX('Aub Demand'!Q:Q,MATCH($O507,'Aub Demand'!$A:$A,0))-IF(AN507="",0,AN507)),"")</f>
        <v>450</v>
      </c>
      <c r="V507" s="53">
        <f t="shared" si="198"/>
        <v>148.4</v>
      </c>
      <c r="W507" s="52" t="str">
        <f t="shared" si="199"/>
        <v/>
      </c>
      <c r="X507" s="52">
        <f>IFERROR(IF(AND(AR508=AR507,AM507&lt;&gt;""),INDEX('Aub Demand'!Q:Q,MATCH($O507,'Aub Demand'!$A:$A,0))-IF(AN507="",0,AN507)+AP508+AD507+AL507,IF(AR508=AR507,INDEX('Aub Demand'!Q:Q,MATCH($O507,'Aub Demand'!$A:$A,0))-IF(AN507="",0,AN507)+AP508+AD507,IF(AM507&lt;&gt;"",INDEX('Aub Demand'!Q:Q,MATCH($O507,'Aub Demand'!$A:$A,0))-IF(AN507="",0,AN507)+AD507+AL507,INDEX('Aub Demand'!Q:Q,MATCH($O507,'Aub Demand'!$A:$A,0))-IF(AN507="",0,AN507)+AD507))),"")</f>
        <v>450</v>
      </c>
      <c r="Y507" s="53">
        <f t="shared" si="200"/>
        <v>148.4</v>
      </c>
      <c r="Z507" s="52">
        <f>IF(L507="","",INDEX('Aub Demand'!H:H,MATCH($O507,'Aub Demand'!$A:$A,0)))</f>
        <v>13</v>
      </c>
      <c r="AA507" s="52">
        <f t="shared" si="201"/>
        <v>19</v>
      </c>
      <c r="AB507" s="52">
        <f>IFERROR(INDEX('Aub Demand'!L:L,MATCH($O507,'Aub Demand'!$A:$A,0)),"")</f>
        <v>0</v>
      </c>
      <c r="AC507" s="52">
        <f>IFERROR(IF(O507="","",SUMIFS('CPL Mats'!F:F,'CPL Mats'!Q:Q,AR507,'CPL Mats'!S:S,AS507)),"")</f>
        <v>0</v>
      </c>
      <c r="AF507" s="25" t="str">
        <f>IF(SUMIFS('Supp Consol'!S:S,'Supp Consol'!Y:Y,"Releasable",'Supp Consol'!A:A,O507)=0,"",SUMIFS('Supp Consol'!S:S,'Supp Consol'!Y:Y,"Releasable",'Supp Consol'!A:A,O507))</f>
        <v/>
      </c>
      <c r="AG507" s="25">
        <f>IFERROR(INDEX('Hun Demand'!Q:Q,MATCH(O507,'Hun Demand'!A:A,0)),"")</f>
        <v>6658</v>
      </c>
      <c r="AH507" s="25">
        <f>IFERROR(INDEX('Hun Demand'!H:H,MATCH($O507,'Hun Demand'!$A:$A,0)),"")</f>
        <v>55</v>
      </c>
      <c r="AI507" s="25" t="str">
        <f>IF(SUMIFS('Supp Consol'!AA:AA,'Supp Consol'!Z:Z,"Expires this month",'Supp Consol'!A:A,O507)=0,"",SUMIFS('Supp Consol'!AA:AA,'Supp Consol'!Z:Z,"Expires this month",'Supp Consol'!A:A,O507))</f>
        <v/>
      </c>
      <c r="AJ507" s="25" t="str">
        <f>IF(SUMIFS('Supp Consol'!AA:AA,'Supp Consol'!Z:Z,"Expired Previous Months",'Supp Consol'!A:A,O507)=0,"",SUMIFS('Supp Consol'!AA:AA,'Supp Consol'!Z:Z,"Expired Previous Months",'Supp Consol'!A:A,O507))</f>
        <v/>
      </c>
      <c r="AK507" s="25" t="str">
        <f>IFERROR(INDEX('Hun Release Current'!B:B,MATCH(O507,'Hun Release Current'!A:A,0)),"")</f>
        <v/>
      </c>
      <c r="AL507" s="25" t="str">
        <f>IF(SUMIF('Prev Aub'!A:A,O507,'Prev Aub'!B:B)=0,"",SUMIF('Prev Aub'!A:A,O507,'Prev Aub'!B:B))</f>
        <v/>
      </c>
      <c r="AN507" s="25" t="s">
        <v>3790</v>
      </c>
      <c r="AO507" s="25" t="s">
        <v>3790</v>
      </c>
      <c r="AP507" s="25">
        <f t="shared" si="202"/>
        <v>0</v>
      </c>
      <c r="AQ507" s="151" t="str">
        <f>IF(SUMIFS('Supp Consol'!S:S,'Supp Consol'!A:A,O507,'Supp Consol'!I:I,"PENDING")=0,"",SUMIFS('Supp Consol'!S:S,'Supp Consol'!A:A,O507,'Supp Consol'!I:I,"PENDING"))</f>
        <v/>
      </c>
      <c r="AR507" s="27" t="str">
        <f t="shared" si="203"/>
        <v>HP144</v>
      </c>
      <c r="AS507" s="27" t="str">
        <f t="shared" si="204"/>
        <v>50</v>
      </c>
      <c r="AT507" s="27" t="str">
        <f t="shared" si="205"/>
        <v/>
      </c>
      <c r="AU507" s="27" t="str">
        <f t="shared" si="206"/>
        <v/>
      </c>
      <c r="AV507" s="27" t="str">
        <f t="shared" si="207"/>
        <v/>
      </c>
      <c r="AW507" s="27" t="str">
        <f t="shared" si="208"/>
        <v/>
      </c>
      <c r="AX507" s="27" t="str">
        <f t="shared" si="209"/>
        <v/>
      </c>
      <c r="AY507" s="27" t="str">
        <f t="shared" si="210"/>
        <v>HP144</v>
      </c>
      <c r="AZ507" s="27" t="str">
        <f t="shared" si="211"/>
        <v/>
      </c>
      <c r="BA507" s="27" t="str">
        <f t="shared" si="212"/>
        <v>Hun</v>
      </c>
      <c r="BB507" s="27" t="str">
        <f t="shared" si="213"/>
        <v/>
      </c>
      <c r="BC507" s="27" t="str">
        <f t="shared" si="214"/>
        <v/>
      </c>
      <c r="BD507" s="27" t="str">
        <f t="shared" si="215"/>
        <v/>
      </c>
      <c r="BE507" s="27" t="str">
        <f t="shared" si="216"/>
        <v/>
      </c>
      <c r="BF507" s="27" t="str">
        <f t="shared" si="217"/>
        <v/>
      </c>
      <c r="BG507" s="27" t="str">
        <f t="shared" si="218"/>
        <v/>
      </c>
      <c r="BH507" s="27" t="str">
        <f t="shared" si="219"/>
        <v/>
      </c>
      <c r="BI507" s="27" t="str">
        <f t="shared" si="220"/>
        <v/>
      </c>
      <c r="BJ507" s="27" t="str">
        <f t="shared" si="221"/>
        <v>Supp or Hun</v>
      </c>
      <c r="BK507" s="27" t="str">
        <f t="shared" si="222"/>
        <v/>
      </c>
      <c r="BL507" s="27" t="str">
        <f t="shared" si="223"/>
        <v/>
      </c>
      <c r="BM507" s="21" t="s">
        <v>5582</v>
      </c>
    </row>
    <row r="508" spans="1:65" ht="15">
      <c r="A508" s="25">
        <f>IFERROR(INDEX('Hun Demand'!W:W,MATCH(O508,'Hun Demand'!A:A,0)),"")</f>
        <v>668</v>
      </c>
      <c r="B508" s="25">
        <f>IFERROR(INDEX('Hun Demand'!V:V,MATCH(O508,'Hun Demand'!A:A,0)),"")</f>
        <v>0</v>
      </c>
      <c r="C508" s="25">
        <f>IFERROR(INDEX('Hun Demand'!U:U,MATCH(O508,'Hun Demand'!A:A,0)),"")</f>
        <v>0</v>
      </c>
      <c r="D508" s="25">
        <f>IFERROR(INDEX('Hun Demand'!T:T,MATCH(O508,'Hun Demand'!A:A,0)),"")</f>
        <v>0</v>
      </c>
      <c r="E508" s="25">
        <f>IFERROR(INDEX('Hun Demand'!S:S,MATCH(O508,'Hun Demand'!A:A,0)),"")</f>
        <v>0</v>
      </c>
      <c r="F508" s="25">
        <f>IFERROR(INDEX('Hun Demand'!R:R,MATCH(O508,'Hun Demand'!A:A,0)),"")</f>
        <v>0</v>
      </c>
      <c r="G508" s="25">
        <f>IFERROR(INDEX('Aub Demand'!W:W,MATCH(O508,'Aub Demand'!A:A,0)),"")</f>
        <v>0</v>
      </c>
      <c r="H508" s="25">
        <f>IFERROR(INDEX('Aub Demand'!V:V,MATCH(O508,'Aub Demand'!A:A,0)),"")</f>
        <v>48</v>
      </c>
      <c r="I508" s="25">
        <f>IFERROR(INDEX('Aub Demand'!U:U,MATCH(O508,'Aub Demand'!A:A,0)),"")</f>
        <v>44</v>
      </c>
      <c r="J508" s="25">
        <f>IFERROR(INDEX('Aub Demand'!T:T,MATCH(O508,'Aub Demand'!A:A,0)),"")</f>
        <v>46</v>
      </c>
      <c r="K508" s="25">
        <f>IFERROR(INDEX('Aub Demand'!S:S,MATCH(O508,'Aub Demand'!A:A,0)),"")</f>
        <v>0</v>
      </c>
      <c r="L508" s="25">
        <f>IFERROR(INDEX('Aub Demand'!R:R,MATCH(O508,'Aub Demand'!A:A,0)),"")</f>
        <v>0</v>
      </c>
      <c r="O508" s="27" t="s">
        <v>840</v>
      </c>
      <c r="P508" s="27" t="str">
        <f>IFERROR(INDEX('Aub Demand'!B:B,MATCH($O508,'Aub Demand'!$A:$A,0)),"")</f>
        <v>WILD CHERRY</v>
      </c>
      <c r="Q508" s="27" t="str">
        <f>IFERROR(INDEX('Aub Demand'!C:C,MATCH($O508,'Aub Demand'!$A:$A,0)),"")</f>
        <v>AHLST</v>
      </c>
      <c r="R508" s="52">
        <f>IFERROR(IF(AR509=AR508,INDEX('Aub Demand'!K:K,MATCH($O508,'Aub Demand'!$A:$A,0))-IF(AN508="",0,AN508)+AP509,INDEX('Aub Demand'!K:K,MATCH($O508,'Aub Demand'!$A:$A,0))-IF(AN508="",0,AN508)),"")</f>
        <v>357</v>
      </c>
      <c r="S508" s="53">
        <f t="shared" si="196"/>
        <v>51</v>
      </c>
      <c r="T508" s="52" t="str">
        <f t="shared" si="197"/>
        <v/>
      </c>
      <c r="U508" s="52">
        <f>IFERROR(IF(AR509=AR508,INDEX('Aub Demand'!Q:Q,MATCH($O508,'Aub Demand'!$A:$A,0))-IF(AN508="",0,AN508)+AP509,INDEX('Aub Demand'!Q:Q,MATCH($O508,'Aub Demand'!$A:$A,0))-IF(AN508="",0,AN508)),"")</f>
        <v>357</v>
      </c>
      <c r="V508" s="53">
        <f t="shared" si="198"/>
        <v>51</v>
      </c>
      <c r="W508" s="52" t="str">
        <f t="shared" si="199"/>
        <v/>
      </c>
      <c r="X508" s="52">
        <f>IFERROR(IF(AND(AR509=AR508,AM508&lt;&gt;""),INDEX('Aub Demand'!Q:Q,MATCH($O508,'Aub Demand'!$A:$A,0))-IF(AN508="",0,AN508)+AP509+AD508+AL508,IF(AR509=AR508,INDEX('Aub Demand'!Q:Q,MATCH($O508,'Aub Demand'!$A:$A,0))-IF(AN508="",0,AN508)+AP509+AD508,IF(AM508&lt;&gt;"",INDEX('Aub Demand'!Q:Q,MATCH($O508,'Aub Demand'!$A:$A,0))-IF(AN508="",0,AN508)+AD508+AL508,INDEX('Aub Demand'!Q:Q,MATCH($O508,'Aub Demand'!$A:$A,0))-IF(AN508="",0,AN508)+AD508))),"")</f>
        <v>357</v>
      </c>
      <c r="Y508" s="53">
        <f t="shared" si="200"/>
        <v>51</v>
      </c>
      <c r="Z508" s="52">
        <f>IF(L508="","",INDEX('Aub Demand'!H:H,MATCH($O508,'Aub Demand'!$A:$A,0)))</f>
        <v>30</v>
      </c>
      <c r="AA508" s="52">
        <f t="shared" si="201"/>
        <v>45</v>
      </c>
      <c r="AB508" s="52">
        <f>IFERROR(INDEX('Aub Demand'!L:L,MATCH($O508,'Aub Demand'!$A:$A,0)),"")</f>
        <v>12</v>
      </c>
      <c r="AC508" s="52">
        <f>IFERROR(IF(O508="","",SUMIFS('CPL Mats'!F:F,'CPL Mats'!Q:Q,AR508,'CPL Mats'!S:S,AS508)),"")</f>
        <v>0</v>
      </c>
      <c r="AF508" s="25" t="str">
        <f>IF(SUMIFS('Supp Consol'!S:S,'Supp Consol'!Y:Y,"Releasable",'Supp Consol'!A:A,O508)=0,"",SUMIFS('Supp Consol'!S:S,'Supp Consol'!Y:Y,"Releasable",'Supp Consol'!A:A,O508))</f>
        <v/>
      </c>
      <c r="AG508" s="25">
        <f>IFERROR(INDEX('Hun Demand'!Q:Q,MATCH(O508,'Hun Demand'!A:A,0)),"")</f>
        <v>1654</v>
      </c>
      <c r="AH508" s="25">
        <f>IFERROR(INDEX('Hun Demand'!H:H,MATCH($O508,'Hun Demand'!$A:$A,0)),"")</f>
        <v>0</v>
      </c>
      <c r="AI508" s="25" t="str">
        <f>IF(SUMIFS('Supp Consol'!AA:AA,'Supp Consol'!Z:Z,"Expires this month",'Supp Consol'!A:A,O508)=0,"",SUMIFS('Supp Consol'!AA:AA,'Supp Consol'!Z:Z,"Expires this month",'Supp Consol'!A:A,O508))</f>
        <v/>
      </c>
      <c r="AJ508" s="25" t="str">
        <f>IF(SUMIFS('Supp Consol'!AA:AA,'Supp Consol'!Z:Z,"Expired Previous Months",'Supp Consol'!A:A,O508)=0,"",SUMIFS('Supp Consol'!AA:AA,'Supp Consol'!Z:Z,"Expired Previous Months",'Supp Consol'!A:A,O508))</f>
        <v/>
      </c>
      <c r="AK508" s="25" t="str">
        <f>IFERROR(INDEX('Hun Release Current'!B:B,MATCH(O508,'Hun Release Current'!A:A,0)),"")</f>
        <v/>
      </c>
      <c r="AL508" s="25" t="str">
        <f>IF(SUMIF('Prev Aub'!A:A,O508,'Prev Aub'!B:B)=0,"",SUMIF('Prev Aub'!A:A,O508,'Prev Aub'!B:B))</f>
        <v/>
      </c>
      <c r="AN508" s="25" t="s">
        <v>3790</v>
      </c>
      <c r="AO508" s="25" t="s">
        <v>3790</v>
      </c>
      <c r="AP508" s="25">
        <f t="shared" si="202"/>
        <v>0</v>
      </c>
      <c r="AQ508" s="151" t="str">
        <f>IF(SUMIFS('Supp Consol'!S:S,'Supp Consol'!A:A,O508,'Supp Consol'!I:I,"PENDING")=0,"",SUMIFS('Supp Consol'!S:S,'Supp Consol'!A:A,O508,'Supp Consol'!I:I,"PENDING"))</f>
        <v/>
      </c>
      <c r="AR508" s="27" t="str">
        <f t="shared" si="203"/>
        <v>HP144</v>
      </c>
      <c r="AS508" s="27" t="str">
        <f t="shared" si="204"/>
        <v>62</v>
      </c>
      <c r="AT508" s="27" t="str">
        <f t="shared" si="205"/>
        <v/>
      </c>
      <c r="AU508" s="27" t="str">
        <f t="shared" si="206"/>
        <v/>
      </c>
      <c r="AV508" s="27" t="str">
        <f t="shared" si="207"/>
        <v/>
      </c>
      <c r="AW508" s="27" t="str">
        <f t="shared" si="208"/>
        <v/>
      </c>
      <c r="AX508" s="27" t="str">
        <f t="shared" si="209"/>
        <v/>
      </c>
      <c r="AY508" s="27" t="str">
        <f t="shared" si="210"/>
        <v>HP144</v>
      </c>
      <c r="AZ508" s="27" t="str">
        <f t="shared" si="211"/>
        <v/>
      </c>
      <c r="BA508" s="27" t="str">
        <f t="shared" si="212"/>
        <v>Hun</v>
      </c>
      <c r="BB508" s="27" t="str">
        <f t="shared" si="213"/>
        <v/>
      </c>
      <c r="BC508" s="27" t="str">
        <f t="shared" si="214"/>
        <v/>
      </c>
      <c r="BD508" s="27" t="str">
        <f t="shared" si="215"/>
        <v/>
      </c>
      <c r="BE508" s="27" t="str">
        <f t="shared" si="216"/>
        <v/>
      </c>
      <c r="BF508" s="27" t="str">
        <f t="shared" si="217"/>
        <v/>
      </c>
      <c r="BG508" s="27" t="str">
        <f t="shared" si="218"/>
        <v/>
      </c>
      <c r="BH508" s="27" t="str">
        <f t="shared" si="219"/>
        <v/>
      </c>
      <c r="BI508" s="27" t="str">
        <f t="shared" si="220"/>
        <v/>
      </c>
      <c r="BJ508" s="27" t="str">
        <f t="shared" si="221"/>
        <v>Supp or Hun</v>
      </c>
      <c r="BK508" s="27" t="str">
        <f t="shared" si="222"/>
        <v/>
      </c>
      <c r="BL508" s="27" t="str">
        <f t="shared" si="223"/>
        <v/>
      </c>
      <c r="BM508" s="21" t="s">
        <v>5582</v>
      </c>
    </row>
    <row r="509" spans="1:65" ht="15">
      <c r="A509" s="25">
        <f>IFERROR(INDEX('Hun Demand'!W:W,MATCH(O509,'Hun Demand'!A:A,0)),"")</f>
        <v>82</v>
      </c>
      <c r="B509" s="25">
        <f>IFERROR(INDEX('Hun Demand'!V:V,MATCH(O509,'Hun Demand'!A:A,0)),"")</f>
        <v>0</v>
      </c>
      <c r="C509" s="25">
        <f>IFERROR(INDEX('Hun Demand'!U:U,MATCH(O509,'Hun Demand'!A:A,0)),"")</f>
        <v>0</v>
      </c>
      <c r="D509" s="25">
        <f>IFERROR(INDEX('Hun Demand'!T:T,MATCH(O509,'Hun Demand'!A:A,0)),"")</f>
        <v>354</v>
      </c>
      <c r="E509" s="25">
        <f>IFERROR(INDEX('Hun Demand'!S:S,MATCH(O509,'Hun Demand'!A:A,0)),"")</f>
        <v>168</v>
      </c>
      <c r="F509" s="25">
        <f>IFERROR(INDEX('Hun Demand'!R:R,MATCH(O509,'Hun Demand'!A:A,0)),"")</f>
        <v>0</v>
      </c>
      <c r="G509" s="25">
        <f>IFERROR(INDEX('Aub Demand'!W:W,MATCH(O509,'Aub Demand'!A:A,0)),"")</f>
        <v>0</v>
      </c>
      <c r="H509" s="25">
        <f>IFERROR(INDEX('Aub Demand'!V:V,MATCH(O509,'Aub Demand'!A:A,0)),"")</f>
        <v>9</v>
      </c>
      <c r="I509" s="25">
        <f>IFERROR(INDEX('Aub Demand'!U:U,MATCH(O509,'Aub Demand'!A:A,0)),"")</f>
        <v>31</v>
      </c>
      <c r="J509" s="25">
        <f>IFERROR(INDEX('Aub Demand'!T:T,MATCH(O509,'Aub Demand'!A:A,0)),"")</f>
        <v>0</v>
      </c>
      <c r="K509" s="25">
        <f>IFERROR(INDEX('Aub Demand'!S:S,MATCH(O509,'Aub Demand'!A:A,0)),"")</f>
        <v>32</v>
      </c>
      <c r="L509" s="25">
        <f>IFERROR(INDEX('Aub Demand'!R:R,MATCH(O509,'Aub Demand'!A:A,0)),"")</f>
        <v>0</v>
      </c>
      <c r="O509" s="27" t="s">
        <v>841</v>
      </c>
      <c r="P509" s="27" t="str">
        <f>IFERROR(INDEX('Aub Demand'!B:B,MATCH($O509,'Aub Demand'!$A:$A,0)),"")</f>
        <v>GRAND CHERRY</v>
      </c>
      <c r="Q509" s="27" t="str">
        <f>IFERROR(INDEX('Aub Demand'!C:C,MATCH($O509,'Aub Demand'!$A:$A,0)),"")</f>
        <v>INTER</v>
      </c>
      <c r="R509" s="52">
        <f>IFERROR(IF(AR510=AR509,INDEX('Aub Demand'!K:K,MATCH($O509,'Aub Demand'!$A:$A,0))-IF(AN509="",0,AN509)+AP510,INDEX('Aub Demand'!K:K,MATCH($O509,'Aub Demand'!$A:$A,0))-IF(AN509="",0,AN509)),"")</f>
        <v>858</v>
      </c>
      <c r="S509" s="53">
        <f t="shared" si="196"/>
        <v>175.1</v>
      </c>
      <c r="T509" s="52" t="str">
        <f t="shared" si="197"/>
        <v/>
      </c>
      <c r="U509" s="52">
        <f>IFERROR(IF(AR510=AR509,INDEX('Aub Demand'!Q:Q,MATCH($O509,'Aub Demand'!$A:$A,0))-IF(AN509="",0,AN509)+AP510,INDEX('Aub Demand'!Q:Q,MATCH($O509,'Aub Demand'!$A:$A,0))-IF(AN509="",0,AN509)),"")</f>
        <v>840</v>
      </c>
      <c r="V509" s="53">
        <f t="shared" si="198"/>
        <v>171.4</v>
      </c>
      <c r="W509" s="52" t="str">
        <f t="shared" si="199"/>
        <v/>
      </c>
      <c r="X509" s="52">
        <f>IFERROR(IF(AND(AR510=AR509,AM509&lt;&gt;""),INDEX('Aub Demand'!Q:Q,MATCH($O509,'Aub Demand'!$A:$A,0))-IF(AN509="",0,AN509)+AP510+AD509+AL509,IF(AR510=AR509,INDEX('Aub Demand'!Q:Q,MATCH($O509,'Aub Demand'!$A:$A,0))-IF(AN509="",0,AN509)+AP510+AD509,IF(AM509&lt;&gt;"",INDEX('Aub Demand'!Q:Q,MATCH($O509,'Aub Demand'!$A:$A,0))-IF(AN509="",0,AN509)+AD509+AL509,INDEX('Aub Demand'!Q:Q,MATCH($O509,'Aub Demand'!$A:$A,0))-IF(AN509="",0,AN509)+AD509))),"")</f>
        <v>840</v>
      </c>
      <c r="Y509" s="53">
        <f t="shared" si="200"/>
        <v>171.4</v>
      </c>
      <c r="Z509" s="52">
        <f>IF(L509="","",INDEX('Aub Demand'!H:H,MATCH($O509,'Aub Demand'!$A:$A,0)))</f>
        <v>21</v>
      </c>
      <c r="AA509" s="52">
        <f t="shared" si="201"/>
        <v>31.5</v>
      </c>
      <c r="AB509" s="52">
        <f>IFERROR(INDEX('Aub Demand'!L:L,MATCH($O509,'Aub Demand'!$A:$A,0)),"")</f>
        <v>54</v>
      </c>
      <c r="AC509" s="52">
        <f>IFERROR(IF(O509="","",SUMIFS('CPL Mats'!F:F,'CPL Mats'!Q:Q,AR509,'CPL Mats'!S:S,AS509)),"")</f>
        <v>0</v>
      </c>
      <c r="AF509" s="25">
        <f>IF(SUMIFS('Supp Consol'!S:S,'Supp Consol'!Y:Y,"Releasable",'Supp Consol'!A:A,O509)=0,"",SUMIFS('Supp Consol'!S:S,'Supp Consol'!Y:Y,"Releasable",'Supp Consol'!A:A,O509))</f>
        <v>1538</v>
      </c>
      <c r="AG509" s="25">
        <f>IFERROR(INDEX('Hun Demand'!Q:Q,MATCH(O509,'Hun Demand'!A:A,0)),"")</f>
        <v>620</v>
      </c>
      <c r="AH509" s="25">
        <f>IFERROR(INDEX('Hun Demand'!H:H,MATCH($O509,'Hun Demand'!$A:$A,0)),"")</f>
        <v>174</v>
      </c>
      <c r="AI509" s="25">
        <f>IF(SUMIFS('Supp Consol'!AA:AA,'Supp Consol'!Z:Z,"Expires this month",'Supp Consol'!A:A,O509)=0,"",SUMIFS('Supp Consol'!AA:AA,'Supp Consol'!Z:Z,"Expires this month",'Supp Consol'!A:A,O509))</f>
        <v>1538</v>
      </c>
      <c r="AJ509" s="25" t="str">
        <f>IF(SUMIFS('Supp Consol'!AA:AA,'Supp Consol'!Z:Z,"Expired Previous Months",'Supp Consol'!A:A,O509)=0,"",SUMIFS('Supp Consol'!AA:AA,'Supp Consol'!Z:Z,"Expired Previous Months",'Supp Consol'!A:A,O509))</f>
        <v/>
      </c>
      <c r="AK509" s="25" t="str">
        <f>IFERROR(INDEX('Hun Release Current'!B:B,MATCH(O509,'Hun Release Current'!A:A,0)),"")</f>
        <v/>
      </c>
      <c r="AL509" s="25" t="str">
        <f>IF(SUMIF('Prev Aub'!A:A,O509,'Prev Aub'!B:B)=0,"",SUMIF('Prev Aub'!A:A,O509,'Prev Aub'!B:B))</f>
        <v/>
      </c>
      <c r="AN509" s="25" t="s">
        <v>3790</v>
      </c>
      <c r="AO509" s="25" t="s">
        <v>3790</v>
      </c>
      <c r="AP509" s="25">
        <f t="shared" si="202"/>
        <v>0</v>
      </c>
      <c r="AQ509" s="151" t="str">
        <f>IF(SUMIFS('Supp Consol'!S:S,'Supp Consol'!A:A,O509,'Supp Consol'!I:I,"PENDING")=0,"",SUMIFS('Supp Consol'!S:S,'Supp Consol'!A:A,O509,'Supp Consol'!I:I,"PENDING"))</f>
        <v/>
      </c>
      <c r="AR509" s="27" t="str">
        <f t="shared" si="203"/>
        <v>HP156</v>
      </c>
      <c r="AS509" s="27" t="str">
        <f t="shared" si="204"/>
        <v>50</v>
      </c>
      <c r="AT509" s="27" t="str">
        <f t="shared" si="205"/>
        <v/>
      </c>
      <c r="AU509" s="27" t="str">
        <f t="shared" si="206"/>
        <v/>
      </c>
      <c r="AV509" s="27" t="str">
        <f t="shared" si="207"/>
        <v/>
      </c>
      <c r="AW509" s="27" t="str">
        <f t="shared" si="208"/>
        <v>HP156</v>
      </c>
      <c r="AX509" s="27" t="str">
        <f t="shared" si="209"/>
        <v>HP156</v>
      </c>
      <c r="AY509" s="27" t="str">
        <f t="shared" si="210"/>
        <v>HP156</v>
      </c>
      <c r="AZ509" s="27" t="str">
        <f t="shared" si="211"/>
        <v>Supp</v>
      </c>
      <c r="BA509" s="27" t="str">
        <f t="shared" si="212"/>
        <v>Hun</v>
      </c>
      <c r="BB509" s="27" t="str">
        <f t="shared" si="213"/>
        <v/>
      </c>
      <c r="BC509" s="27" t="str">
        <f t="shared" si="214"/>
        <v/>
      </c>
      <c r="BD509" s="27" t="str">
        <f t="shared" si="215"/>
        <v/>
      </c>
      <c r="BE509" s="27" t="str">
        <f t="shared" si="216"/>
        <v>Exp</v>
      </c>
      <c r="BF509" s="27" t="str">
        <f t="shared" si="217"/>
        <v/>
      </c>
      <c r="BG509" s="27" t="str">
        <f t="shared" si="218"/>
        <v>S+NorE</v>
      </c>
      <c r="BH509" s="27" t="str">
        <f t="shared" si="219"/>
        <v/>
      </c>
      <c r="BI509" s="27" t="str">
        <f t="shared" si="220"/>
        <v/>
      </c>
      <c r="BJ509" s="27" t="str">
        <f t="shared" si="221"/>
        <v>Supp or Hun</v>
      </c>
      <c r="BK509" s="27" t="str">
        <f t="shared" si="222"/>
        <v/>
      </c>
      <c r="BL509" s="27" t="str">
        <f t="shared" si="223"/>
        <v>SorHandNandE</v>
      </c>
      <c r="BM509" s="21" t="s">
        <v>5582</v>
      </c>
    </row>
    <row r="510" spans="1:65" ht="15">
      <c r="A510" s="25">
        <f>IFERROR(INDEX('Hun Demand'!W:W,MATCH(O510,'Hun Demand'!A:A,0)),"")</f>
        <v>1200</v>
      </c>
      <c r="B510" s="25">
        <f>IFERROR(INDEX('Hun Demand'!V:V,MATCH(O510,'Hun Demand'!A:A,0)),"")</f>
        <v>169</v>
      </c>
      <c r="C510" s="25">
        <f>IFERROR(INDEX('Hun Demand'!U:U,MATCH(O510,'Hun Demand'!A:A,0)),"")</f>
        <v>0</v>
      </c>
      <c r="D510" s="25">
        <f>IFERROR(INDEX('Hun Demand'!T:T,MATCH(O510,'Hun Demand'!A:A,0)),"")</f>
        <v>0</v>
      </c>
      <c r="E510" s="25">
        <f>IFERROR(INDEX('Hun Demand'!S:S,MATCH(O510,'Hun Demand'!A:A,0)),"")</f>
        <v>0</v>
      </c>
      <c r="F510" s="25">
        <f>IFERROR(INDEX('Hun Demand'!R:R,MATCH(O510,'Hun Demand'!A:A,0)),"")</f>
        <v>0</v>
      </c>
      <c r="G510" s="25">
        <f>IFERROR(INDEX('Aub Demand'!W:W,MATCH(O510,'Aub Demand'!A:A,0)),"")</f>
        <v>0</v>
      </c>
      <c r="H510" s="25">
        <f>IFERROR(INDEX('Aub Demand'!V:V,MATCH(O510,'Aub Demand'!A:A,0)),"")</f>
        <v>15</v>
      </c>
      <c r="I510" s="25">
        <f>IFERROR(INDEX('Aub Demand'!U:U,MATCH(O510,'Aub Demand'!A:A,0)),"")</f>
        <v>0</v>
      </c>
      <c r="J510" s="25">
        <f>IFERROR(INDEX('Aub Demand'!T:T,MATCH(O510,'Aub Demand'!A:A,0)),"")</f>
        <v>0</v>
      </c>
      <c r="K510" s="25">
        <f>IFERROR(INDEX('Aub Demand'!S:S,MATCH(O510,'Aub Demand'!A:A,0)),"")</f>
        <v>0</v>
      </c>
      <c r="L510" s="25">
        <f>IFERROR(INDEX('Aub Demand'!R:R,MATCH(O510,'Aub Demand'!A:A,0)),"")</f>
        <v>0</v>
      </c>
      <c r="O510" s="27" t="s">
        <v>844</v>
      </c>
      <c r="P510" s="27" t="str">
        <f>IFERROR(INDEX('Aub Demand'!B:B,MATCH($O510,'Aub Demand'!$A:$A,0)),"")</f>
        <v>GRAND CHERRY</v>
      </c>
      <c r="Q510" s="27" t="str">
        <f>IFERROR(INDEX('Aub Demand'!C:C,MATCH($O510,'Aub Demand'!$A:$A,0)),"")</f>
        <v>INTER</v>
      </c>
      <c r="R510" s="52">
        <f>IFERROR(IF(AR511=AR510,INDEX('Aub Demand'!K:K,MATCH($O510,'Aub Demand'!$A:$A,0))-IF(AN510="",0,AN510)+AP511,INDEX('Aub Demand'!K:K,MATCH($O510,'Aub Demand'!$A:$A,0))-IF(AN510="",0,AN510)),"")</f>
        <v>651</v>
      </c>
      <c r="S510" s="53" t="str">
        <f t="shared" si="196"/>
        <v>n/a</v>
      </c>
      <c r="T510" s="52" t="str">
        <f t="shared" si="197"/>
        <v/>
      </c>
      <c r="U510" s="52">
        <f>IFERROR(IF(AR511=AR510,INDEX('Aub Demand'!Q:Q,MATCH($O510,'Aub Demand'!$A:$A,0))-IF(AN510="",0,AN510)+AP511,INDEX('Aub Demand'!Q:Q,MATCH($O510,'Aub Demand'!$A:$A,0))-IF(AN510="",0,AN510)),"")</f>
        <v>651</v>
      </c>
      <c r="V510" s="53" t="str">
        <f t="shared" si="198"/>
        <v>n/a</v>
      </c>
      <c r="W510" s="52" t="str">
        <f t="shared" si="199"/>
        <v/>
      </c>
      <c r="X510" s="52">
        <f>IFERROR(IF(AND(AR511=AR510,AM510&lt;&gt;""),INDEX('Aub Demand'!Q:Q,MATCH($O510,'Aub Demand'!$A:$A,0))-IF(AN510="",0,AN510)+AP511+AD510+AL510,IF(AR511=AR510,INDEX('Aub Demand'!Q:Q,MATCH($O510,'Aub Demand'!$A:$A,0))-IF(AN510="",0,AN510)+AP511+AD510,IF(AM510&lt;&gt;"",INDEX('Aub Demand'!Q:Q,MATCH($O510,'Aub Demand'!$A:$A,0))-IF(AN510="",0,AN510)+AD510+AL510,INDEX('Aub Demand'!Q:Q,MATCH($O510,'Aub Demand'!$A:$A,0))-IF(AN510="",0,AN510)+AD510))),"")</f>
        <v>651</v>
      </c>
      <c r="Y510" s="53" t="str">
        <f t="shared" si="200"/>
        <v>n/a</v>
      </c>
      <c r="Z510" s="52">
        <f>IF(L510="","",INDEX('Aub Demand'!H:H,MATCH($O510,'Aub Demand'!$A:$A,0)))</f>
        <v>0</v>
      </c>
      <c r="AA510" s="52" t="str">
        <f t="shared" si="201"/>
        <v>-spike-</v>
      </c>
      <c r="AB510" s="52">
        <f>IFERROR(INDEX('Aub Demand'!L:L,MATCH($O510,'Aub Demand'!$A:$A,0)),"")</f>
        <v>15</v>
      </c>
      <c r="AC510" s="52">
        <f>IFERROR(IF(O510="","",SUMIFS('CPL Mats'!F:F,'CPL Mats'!Q:Q,AR510,'CPL Mats'!S:S,AS510)),"")</f>
        <v>0</v>
      </c>
      <c r="AF510" s="25">
        <f>IF(SUMIFS('Supp Consol'!S:S,'Supp Consol'!Y:Y,"Releasable",'Supp Consol'!A:A,O510)=0,"",SUMIFS('Supp Consol'!S:S,'Supp Consol'!Y:Y,"Releasable",'Supp Consol'!A:A,O510))</f>
        <v>1817</v>
      </c>
      <c r="AG510" s="25">
        <f>IFERROR(INDEX('Hun Demand'!Q:Q,MATCH(O510,'Hun Demand'!A:A,0)),"")</f>
        <v>829</v>
      </c>
      <c r="AH510" s="25">
        <f>IFERROR(INDEX('Hun Demand'!H:H,MATCH($O510,'Hun Demand'!$A:$A,0)),"")</f>
        <v>0</v>
      </c>
      <c r="AI510" s="25">
        <f>IF(SUMIFS('Supp Consol'!AA:AA,'Supp Consol'!Z:Z,"Expires this month",'Supp Consol'!A:A,O510)=0,"",SUMIFS('Supp Consol'!AA:AA,'Supp Consol'!Z:Z,"Expires this month",'Supp Consol'!A:A,O510))</f>
        <v>1817</v>
      </c>
      <c r="AJ510" s="25" t="str">
        <f>IF(SUMIFS('Supp Consol'!AA:AA,'Supp Consol'!Z:Z,"Expired Previous Months",'Supp Consol'!A:A,O510)=0,"",SUMIFS('Supp Consol'!AA:AA,'Supp Consol'!Z:Z,"Expired Previous Months",'Supp Consol'!A:A,O510))</f>
        <v/>
      </c>
      <c r="AK510" s="25" t="str">
        <f>IFERROR(INDEX('Hun Release Current'!B:B,MATCH(O510,'Hun Release Current'!A:A,0)),"")</f>
        <v/>
      </c>
      <c r="AL510" s="25" t="str">
        <f>IF(SUMIF('Prev Aub'!A:A,O510,'Prev Aub'!B:B)=0,"",SUMIF('Prev Aub'!A:A,O510,'Prev Aub'!B:B))</f>
        <v/>
      </c>
      <c r="AN510" s="25" t="s">
        <v>3790</v>
      </c>
      <c r="AO510" s="25" t="s">
        <v>3790</v>
      </c>
      <c r="AP510" s="25">
        <f t="shared" si="202"/>
        <v>0</v>
      </c>
      <c r="AQ510" s="151" t="str">
        <f>IF(SUMIFS('Supp Consol'!S:S,'Supp Consol'!A:A,O510,'Supp Consol'!I:I,"PENDING")=0,"",SUMIFS('Supp Consol'!S:S,'Supp Consol'!A:A,O510,'Supp Consol'!I:I,"PENDING"))</f>
        <v/>
      </c>
      <c r="AR510" s="27" t="str">
        <f t="shared" si="203"/>
        <v>HP156</v>
      </c>
      <c r="AS510" s="27" t="str">
        <f t="shared" si="204"/>
        <v>62</v>
      </c>
      <c r="AT510" s="27" t="str">
        <f t="shared" si="205"/>
        <v/>
      </c>
      <c r="AU510" s="27" t="str">
        <f t="shared" si="206"/>
        <v/>
      </c>
      <c r="AV510" s="27" t="str">
        <f t="shared" si="207"/>
        <v/>
      </c>
      <c r="AW510" s="27" t="str">
        <f t="shared" si="208"/>
        <v>HP156</v>
      </c>
      <c r="AX510" s="27" t="str">
        <f t="shared" si="209"/>
        <v>HP156</v>
      </c>
      <c r="AY510" s="27" t="str">
        <f t="shared" si="210"/>
        <v>HP156</v>
      </c>
      <c r="AZ510" s="27" t="str">
        <f t="shared" si="211"/>
        <v>Supp</v>
      </c>
      <c r="BA510" s="27" t="str">
        <f t="shared" si="212"/>
        <v>Hun</v>
      </c>
      <c r="BB510" s="27" t="str">
        <f t="shared" si="213"/>
        <v/>
      </c>
      <c r="BC510" s="27" t="str">
        <f t="shared" si="214"/>
        <v/>
      </c>
      <c r="BD510" s="27" t="str">
        <f t="shared" si="215"/>
        <v/>
      </c>
      <c r="BE510" s="27" t="str">
        <f t="shared" si="216"/>
        <v>Exp</v>
      </c>
      <c r="BF510" s="27" t="str">
        <f t="shared" si="217"/>
        <v/>
      </c>
      <c r="BG510" s="27" t="str">
        <f t="shared" si="218"/>
        <v>S+NorE</v>
      </c>
      <c r="BH510" s="27" t="str">
        <f t="shared" si="219"/>
        <v/>
      </c>
      <c r="BI510" s="27" t="str">
        <f t="shared" si="220"/>
        <v/>
      </c>
      <c r="BJ510" s="27" t="str">
        <f t="shared" si="221"/>
        <v>Supp or Hun</v>
      </c>
      <c r="BK510" s="27" t="str">
        <f t="shared" si="222"/>
        <v/>
      </c>
      <c r="BL510" s="27" t="str">
        <f t="shared" si="223"/>
        <v>SorHandNandE</v>
      </c>
      <c r="BM510" s="21" t="s">
        <v>5582</v>
      </c>
    </row>
    <row r="511" spans="1:65" ht="15">
      <c r="A511" s="25">
        <f>IFERROR(INDEX('Hun Demand'!W:W,MATCH(O511,'Hun Demand'!A:A,0)),"")</f>
        <v>112</v>
      </c>
      <c r="B511" s="25">
        <f>IFERROR(INDEX('Hun Demand'!V:V,MATCH(O511,'Hun Demand'!A:A,0)),"")</f>
        <v>130</v>
      </c>
      <c r="C511" s="25">
        <f>IFERROR(INDEX('Hun Demand'!U:U,MATCH(O511,'Hun Demand'!A:A,0)),"")</f>
        <v>0</v>
      </c>
      <c r="D511" s="25">
        <f>IFERROR(INDEX('Hun Demand'!T:T,MATCH(O511,'Hun Demand'!A:A,0)),"")</f>
        <v>0</v>
      </c>
      <c r="E511" s="25">
        <f>IFERROR(INDEX('Hun Demand'!S:S,MATCH(O511,'Hun Demand'!A:A,0)),"")</f>
        <v>290</v>
      </c>
      <c r="F511" s="25">
        <f>IFERROR(INDEX('Hun Demand'!R:R,MATCH(O511,'Hun Demand'!A:A,0)),"")</f>
        <v>0</v>
      </c>
      <c r="G511" s="25">
        <f>IFERROR(INDEX('Aub Demand'!W:W,MATCH(O511,'Aub Demand'!A:A,0)),"")</f>
        <v>0</v>
      </c>
      <c r="H511" s="25">
        <f>IFERROR(INDEX('Aub Demand'!V:V,MATCH(O511,'Aub Demand'!A:A,0)),"")</f>
        <v>0</v>
      </c>
      <c r="I511" s="25">
        <f>IFERROR(INDEX('Aub Demand'!U:U,MATCH(O511,'Aub Demand'!A:A,0)),"")</f>
        <v>0</v>
      </c>
      <c r="J511" s="25">
        <f>IFERROR(INDEX('Aub Demand'!T:T,MATCH(O511,'Aub Demand'!A:A,0)),"")</f>
        <v>12</v>
      </c>
      <c r="K511" s="25">
        <f>IFERROR(INDEX('Aub Demand'!S:S,MATCH(O511,'Aub Demand'!A:A,0)),"")</f>
        <v>0</v>
      </c>
      <c r="L511" s="25">
        <f>IFERROR(INDEX('Aub Demand'!R:R,MATCH(O511,'Aub Demand'!A:A,0)),"")</f>
        <v>0</v>
      </c>
      <c r="O511" s="27" t="s">
        <v>845</v>
      </c>
      <c r="P511" s="27" t="str">
        <f>IFERROR(INDEX('Aub Demand'!B:B,MATCH($O511,'Aub Demand'!$A:$A,0)),"")</f>
        <v>CAPTIVA MAPLE</v>
      </c>
      <c r="Q511" s="27" t="str">
        <f>IFERROR(INDEX('Aub Demand'!C:C,MATCH($O511,'Aub Demand'!$A:$A,0)),"")</f>
        <v>TOPPA</v>
      </c>
      <c r="R511" s="52">
        <f>IFERROR(IF(AR512=AR511,INDEX('Aub Demand'!K:K,MATCH($O511,'Aub Demand'!$A:$A,0))-IF(AN511="",0,AN511)+AP512,INDEX('Aub Demand'!K:K,MATCH($O511,'Aub Demand'!$A:$A,0))-IF(AN511="",0,AN511)),"")</f>
        <v>472</v>
      </c>
      <c r="S511" s="53">
        <f t="shared" si="196"/>
        <v>505.7</v>
      </c>
      <c r="T511" s="52" t="str">
        <f t="shared" si="197"/>
        <v/>
      </c>
      <c r="U511" s="52">
        <f>IFERROR(IF(AR512=AR511,INDEX('Aub Demand'!Q:Q,MATCH($O511,'Aub Demand'!$A:$A,0))-IF(AN511="",0,AN511)+AP512,INDEX('Aub Demand'!Q:Q,MATCH($O511,'Aub Demand'!$A:$A,0))-IF(AN511="",0,AN511)),"")</f>
        <v>472</v>
      </c>
      <c r="V511" s="53">
        <f t="shared" si="198"/>
        <v>505.7</v>
      </c>
      <c r="W511" s="52" t="str">
        <f t="shared" si="199"/>
        <v/>
      </c>
      <c r="X511" s="52">
        <f>IFERROR(IF(AND(AR512=AR511,AM511&lt;&gt;""),INDEX('Aub Demand'!Q:Q,MATCH($O511,'Aub Demand'!$A:$A,0))-IF(AN511="",0,AN511)+AP512+AD511+AL511,IF(AR512=AR511,INDEX('Aub Demand'!Q:Q,MATCH($O511,'Aub Demand'!$A:$A,0))-IF(AN511="",0,AN511)+AP512+AD511,IF(AM511&lt;&gt;"",INDEX('Aub Demand'!Q:Q,MATCH($O511,'Aub Demand'!$A:$A,0))-IF(AN511="",0,AN511)+AD511+AL511,INDEX('Aub Demand'!Q:Q,MATCH($O511,'Aub Demand'!$A:$A,0))-IF(AN511="",0,AN511)+AD511))),"")</f>
        <v>472</v>
      </c>
      <c r="Y511" s="53">
        <f t="shared" si="200"/>
        <v>505.7</v>
      </c>
      <c r="Z511" s="52">
        <f>IF(L511="","",INDEX('Aub Demand'!H:H,MATCH($O511,'Aub Demand'!$A:$A,0)))</f>
        <v>4</v>
      </c>
      <c r="AA511" s="52" t="str">
        <f t="shared" si="201"/>
        <v>-spike-</v>
      </c>
      <c r="AB511" s="52">
        <f>IFERROR(INDEX('Aub Demand'!L:L,MATCH($O511,'Aub Demand'!$A:$A,0)),"")</f>
        <v>0</v>
      </c>
      <c r="AC511" s="52">
        <f>IFERROR(IF(O511="","",SUMIFS('CPL Mats'!F:F,'CPL Mats'!Q:Q,AR511,'CPL Mats'!S:S,AS511)),"")</f>
        <v>0</v>
      </c>
      <c r="AF511" s="25" t="str">
        <f>IF(SUMIFS('Supp Consol'!S:S,'Supp Consol'!Y:Y,"Releasable",'Supp Consol'!A:A,O511)=0,"",SUMIFS('Supp Consol'!S:S,'Supp Consol'!Y:Y,"Releasable",'Supp Consol'!A:A,O511))</f>
        <v/>
      </c>
      <c r="AG511" s="25">
        <f>IFERROR(INDEX('Hun Demand'!Q:Q,MATCH(O511,'Hun Demand'!A:A,0)),"")</f>
        <v>813</v>
      </c>
      <c r="AH511" s="25">
        <f>IFERROR(INDEX('Hun Demand'!H:H,MATCH($O511,'Hun Demand'!$A:$A,0)),"")</f>
        <v>97</v>
      </c>
      <c r="AI511" s="25" t="str">
        <f>IF(SUMIFS('Supp Consol'!AA:AA,'Supp Consol'!Z:Z,"Expires this month",'Supp Consol'!A:A,O511)=0,"",SUMIFS('Supp Consol'!AA:AA,'Supp Consol'!Z:Z,"Expires this month",'Supp Consol'!A:A,O511))</f>
        <v/>
      </c>
      <c r="AJ511" s="25" t="str">
        <f>IF(SUMIFS('Supp Consol'!AA:AA,'Supp Consol'!Z:Z,"Expired Previous Months",'Supp Consol'!A:A,O511)=0,"",SUMIFS('Supp Consol'!AA:AA,'Supp Consol'!Z:Z,"Expired Previous Months",'Supp Consol'!A:A,O511))</f>
        <v/>
      </c>
      <c r="AK511" s="25" t="str">
        <f>IFERROR(INDEX('Hun Release Current'!B:B,MATCH(O511,'Hun Release Current'!A:A,0)),"")</f>
        <v/>
      </c>
      <c r="AL511" s="25" t="str">
        <f>IF(SUMIF('Prev Aub'!A:A,O511,'Prev Aub'!B:B)=0,"",SUMIF('Prev Aub'!A:A,O511,'Prev Aub'!B:B))</f>
        <v/>
      </c>
      <c r="AN511" s="25" t="s">
        <v>3790</v>
      </c>
      <c r="AO511" s="25" t="s">
        <v>3790</v>
      </c>
      <c r="AP511" s="25">
        <f t="shared" si="202"/>
        <v>0</v>
      </c>
      <c r="AQ511" s="151" t="str">
        <f>IF(SUMIFS('Supp Consol'!S:S,'Supp Consol'!A:A,O511,'Supp Consol'!I:I,"PENDING")=0,"",SUMIFS('Supp Consol'!S:S,'Supp Consol'!A:A,O511,'Supp Consol'!I:I,"PENDING"))</f>
        <v/>
      </c>
      <c r="AR511" s="27" t="str">
        <f t="shared" si="203"/>
        <v>HP158</v>
      </c>
      <c r="AS511" s="27" t="str">
        <f t="shared" si="204"/>
        <v>50</v>
      </c>
      <c r="AT511" s="27" t="str">
        <f t="shared" si="205"/>
        <v/>
      </c>
      <c r="AU511" s="27" t="str">
        <f t="shared" si="206"/>
        <v/>
      </c>
      <c r="AV511" s="27" t="str">
        <f t="shared" si="207"/>
        <v/>
      </c>
      <c r="AW511" s="27" t="str">
        <f t="shared" si="208"/>
        <v/>
      </c>
      <c r="AX511" s="27" t="str">
        <f t="shared" si="209"/>
        <v/>
      </c>
      <c r="AY511" s="27" t="str">
        <f t="shared" si="210"/>
        <v>HP158</v>
      </c>
      <c r="AZ511" s="27" t="str">
        <f t="shared" si="211"/>
        <v/>
      </c>
      <c r="BA511" s="27" t="str">
        <f t="shared" si="212"/>
        <v>Hun</v>
      </c>
      <c r="BB511" s="27" t="str">
        <f t="shared" si="213"/>
        <v/>
      </c>
      <c r="BC511" s="27" t="str">
        <f t="shared" si="214"/>
        <v/>
      </c>
      <c r="BD511" s="27" t="str">
        <f t="shared" si="215"/>
        <v/>
      </c>
      <c r="BE511" s="27" t="str">
        <f t="shared" si="216"/>
        <v/>
      </c>
      <c r="BF511" s="27" t="str">
        <f t="shared" si="217"/>
        <v/>
      </c>
      <c r="BG511" s="27" t="str">
        <f t="shared" si="218"/>
        <v/>
      </c>
      <c r="BH511" s="27" t="str">
        <f t="shared" si="219"/>
        <v/>
      </c>
      <c r="BI511" s="27" t="str">
        <f t="shared" si="220"/>
        <v/>
      </c>
      <c r="BJ511" s="27" t="str">
        <f t="shared" si="221"/>
        <v>Supp or Hun</v>
      </c>
      <c r="BK511" s="27" t="str">
        <f t="shared" si="222"/>
        <v/>
      </c>
      <c r="BL511" s="27" t="str">
        <f t="shared" si="223"/>
        <v/>
      </c>
      <c r="BM511" s="21" t="s">
        <v>5582</v>
      </c>
    </row>
    <row r="512" spans="1:65" ht="15">
      <c r="A512" s="25">
        <f>IFERROR(INDEX('Hun Demand'!W:W,MATCH(O512,'Hun Demand'!A:A,0)),"")</f>
        <v>0</v>
      </c>
      <c r="B512" s="25">
        <f>IFERROR(INDEX('Hun Demand'!V:V,MATCH(O512,'Hun Demand'!A:A,0)),"")</f>
        <v>0</v>
      </c>
      <c r="C512" s="25">
        <f>IFERROR(INDEX('Hun Demand'!U:U,MATCH(O512,'Hun Demand'!A:A,0)),"")</f>
        <v>0</v>
      </c>
      <c r="D512" s="25">
        <f>IFERROR(INDEX('Hun Demand'!T:T,MATCH(O512,'Hun Demand'!A:A,0)),"")</f>
        <v>0</v>
      </c>
      <c r="E512" s="25">
        <f>IFERROR(INDEX('Hun Demand'!S:S,MATCH(O512,'Hun Demand'!A:A,0)),"")</f>
        <v>0</v>
      </c>
      <c r="F512" s="25">
        <f>IFERROR(INDEX('Hun Demand'!R:R,MATCH(O512,'Hun Demand'!A:A,0)),"")</f>
        <v>0</v>
      </c>
      <c r="G512" s="25">
        <f>IFERROR(INDEX('Aub Demand'!W:W,MATCH(O512,'Aub Demand'!A:A,0)),"")</f>
        <v>0</v>
      </c>
      <c r="H512" s="25">
        <f>IFERROR(INDEX('Aub Demand'!V:V,MATCH(O512,'Aub Demand'!A:A,0)),"")</f>
        <v>0</v>
      </c>
      <c r="I512" s="25">
        <f>IFERROR(INDEX('Aub Demand'!U:U,MATCH(O512,'Aub Demand'!A:A,0)),"")</f>
        <v>0</v>
      </c>
      <c r="J512" s="25">
        <f>IFERROR(INDEX('Aub Demand'!T:T,MATCH(O512,'Aub Demand'!A:A,0)),"")</f>
        <v>0</v>
      </c>
      <c r="K512" s="25">
        <f>IFERROR(INDEX('Aub Demand'!S:S,MATCH(O512,'Aub Demand'!A:A,0)),"")</f>
        <v>0</v>
      </c>
      <c r="L512" s="25">
        <f>IFERROR(INDEX('Aub Demand'!R:R,MATCH(O512,'Aub Demand'!A:A,0)),"")</f>
        <v>0</v>
      </c>
      <c r="O512" s="27" t="s">
        <v>847</v>
      </c>
      <c r="P512" s="27" t="str">
        <f>IFERROR(INDEX('Aub Demand'!B:B,MATCH($O512,'Aub Demand'!$A:$A,0)),"")</f>
        <v>LATTE MAPLE</v>
      </c>
      <c r="Q512" s="27" t="str">
        <f>IFERROR(INDEX('Aub Demand'!C:C,MATCH($O512,'Aub Demand'!$A:$A,0)),"")</f>
        <v>INTER</v>
      </c>
      <c r="R512" s="52">
        <f>IFERROR(IF(AR513=AR512,INDEX('Aub Demand'!K:K,MATCH($O512,'Aub Demand'!$A:$A,0))-IF(AN512="",0,AN512)+AP513,INDEX('Aub Demand'!K:K,MATCH($O512,'Aub Demand'!$A:$A,0))-IF(AN512="",0,AN512)),"")</f>
        <v>181</v>
      </c>
      <c r="S512" s="53" t="str">
        <f t="shared" si="196"/>
        <v>n/a</v>
      </c>
      <c r="T512" s="52" t="str">
        <f t="shared" si="197"/>
        <v/>
      </c>
      <c r="U512" s="52">
        <f>IFERROR(IF(AR513=AR512,INDEX('Aub Demand'!Q:Q,MATCH($O512,'Aub Demand'!$A:$A,0))-IF(AN512="",0,AN512)+AP513,INDEX('Aub Demand'!Q:Q,MATCH($O512,'Aub Demand'!$A:$A,0))-IF(AN512="",0,AN512)),"")</f>
        <v>181</v>
      </c>
      <c r="V512" s="53" t="str">
        <f t="shared" si="198"/>
        <v>n/a</v>
      </c>
      <c r="W512" s="52" t="str">
        <f t="shared" si="199"/>
        <v/>
      </c>
      <c r="X512" s="52">
        <f>IFERROR(IF(AND(AR513=AR512,AM512&lt;&gt;""),INDEX('Aub Demand'!Q:Q,MATCH($O512,'Aub Demand'!$A:$A,0))-IF(AN512="",0,AN512)+AP513+AD512+AL512,IF(AR513=AR512,INDEX('Aub Demand'!Q:Q,MATCH($O512,'Aub Demand'!$A:$A,0))-IF(AN512="",0,AN512)+AP513+AD512,IF(AM512&lt;&gt;"",INDEX('Aub Demand'!Q:Q,MATCH($O512,'Aub Demand'!$A:$A,0))-IF(AN512="",0,AN512)+AD512+AL512,INDEX('Aub Demand'!Q:Q,MATCH($O512,'Aub Demand'!$A:$A,0))-IF(AN512="",0,AN512)+AD512))),"")</f>
        <v>181</v>
      </c>
      <c r="Y512" s="53" t="str">
        <f t="shared" si="200"/>
        <v>n/a</v>
      </c>
      <c r="Z512" s="52">
        <f>IF(L512="","",INDEX('Aub Demand'!H:H,MATCH($O512,'Aub Demand'!$A:$A,0)))</f>
        <v>0</v>
      </c>
      <c r="AA512" s="52" t="str">
        <f t="shared" si="201"/>
        <v>-spike-</v>
      </c>
      <c r="AB512" s="52">
        <f>IFERROR(INDEX('Aub Demand'!L:L,MATCH($O512,'Aub Demand'!$A:$A,0)),"")</f>
        <v>8</v>
      </c>
      <c r="AC512" s="52">
        <f>IFERROR(IF(O512="","",SUMIFS('CPL Mats'!F:F,'CPL Mats'!Q:Q,AR512,'CPL Mats'!S:S,AS512)),"")</f>
        <v>0</v>
      </c>
      <c r="AF512" s="25" t="str">
        <f>IF(SUMIFS('Supp Consol'!S:S,'Supp Consol'!Y:Y,"Releasable",'Supp Consol'!A:A,O512)=0,"",SUMIFS('Supp Consol'!S:S,'Supp Consol'!Y:Y,"Releasable",'Supp Consol'!A:A,O512))</f>
        <v/>
      </c>
      <c r="AG512" s="25">
        <f>IFERROR(INDEX('Hun Demand'!Q:Q,MATCH(O512,'Hun Demand'!A:A,0)),"")</f>
        <v>1592</v>
      </c>
      <c r="AH512" s="25">
        <f>IFERROR(INDEX('Hun Demand'!H:H,MATCH($O512,'Hun Demand'!$A:$A,0)),"")</f>
        <v>0</v>
      </c>
      <c r="AI512" s="25" t="str">
        <f>IF(SUMIFS('Supp Consol'!AA:AA,'Supp Consol'!Z:Z,"Expires this month",'Supp Consol'!A:A,O512)=0,"",SUMIFS('Supp Consol'!AA:AA,'Supp Consol'!Z:Z,"Expires this month",'Supp Consol'!A:A,O512))</f>
        <v/>
      </c>
      <c r="AJ512" s="25" t="str">
        <f>IF(SUMIFS('Supp Consol'!AA:AA,'Supp Consol'!Z:Z,"Expired Previous Months",'Supp Consol'!A:A,O512)=0,"",SUMIFS('Supp Consol'!AA:AA,'Supp Consol'!Z:Z,"Expired Previous Months",'Supp Consol'!A:A,O512))</f>
        <v/>
      </c>
      <c r="AK512" s="25" t="str">
        <f>IFERROR(INDEX('Hun Release Current'!B:B,MATCH(O512,'Hun Release Current'!A:A,0)),"")</f>
        <v/>
      </c>
      <c r="AL512" s="25" t="str">
        <f>IF(SUMIF('Prev Aub'!A:A,O512,'Prev Aub'!B:B)=0,"",SUMIF('Prev Aub'!A:A,O512,'Prev Aub'!B:B))</f>
        <v/>
      </c>
      <c r="AN512" s="25" t="s">
        <v>3790</v>
      </c>
      <c r="AO512" s="25" t="s">
        <v>3790</v>
      </c>
      <c r="AP512" s="25">
        <f t="shared" si="202"/>
        <v>0</v>
      </c>
      <c r="AQ512" s="151" t="str">
        <f>IF(SUMIFS('Supp Consol'!S:S,'Supp Consol'!A:A,O512,'Supp Consol'!I:I,"PENDING")=0,"",SUMIFS('Supp Consol'!S:S,'Supp Consol'!A:A,O512,'Supp Consol'!I:I,"PENDING"))</f>
        <v/>
      </c>
      <c r="AR512" s="27" t="str">
        <f t="shared" si="203"/>
        <v>HP168</v>
      </c>
      <c r="AS512" s="27" t="str">
        <f t="shared" si="204"/>
        <v>50</v>
      </c>
      <c r="AT512" s="27" t="str">
        <f t="shared" si="205"/>
        <v/>
      </c>
      <c r="AU512" s="27" t="str">
        <f t="shared" si="206"/>
        <v/>
      </c>
      <c r="AV512" s="27" t="str">
        <f t="shared" si="207"/>
        <v/>
      </c>
      <c r="AW512" s="27" t="str">
        <f t="shared" si="208"/>
        <v/>
      </c>
      <c r="AX512" s="27" t="str">
        <f t="shared" si="209"/>
        <v/>
      </c>
      <c r="AY512" s="27" t="str">
        <f t="shared" si="210"/>
        <v>HP168</v>
      </c>
      <c r="AZ512" s="27" t="str">
        <f t="shared" si="211"/>
        <v/>
      </c>
      <c r="BA512" s="27" t="str">
        <f t="shared" si="212"/>
        <v>Hun</v>
      </c>
      <c r="BB512" s="27" t="str">
        <f t="shared" si="213"/>
        <v/>
      </c>
      <c r="BC512" s="27" t="str">
        <f t="shared" si="214"/>
        <v/>
      </c>
      <c r="BD512" s="27" t="str">
        <f t="shared" si="215"/>
        <v/>
      </c>
      <c r="BE512" s="27" t="str">
        <f t="shared" si="216"/>
        <v/>
      </c>
      <c r="BF512" s="27" t="str">
        <f t="shared" si="217"/>
        <v/>
      </c>
      <c r="BG512" s="27" t="str">
        <f t="shared" si="218"/>
        <v/>
      </c>
      <c r="BH512" s="27" t="str">
        <f t="shared" si="219"/>
        <v/>
      </c>
      <c r="BI512" s="27" t="str">
        <f t="shared" si="220"/>
        <v/>
      </c>
      <c r="BJ512" s="27" t="str">
        <f t="shared" si="221"/>
        <v>Supp or Hun</v>
      </c>
      <c r="BK512" s="27" t="str">
        <f t="shared" si="222"/>
        <v/>
      </c>
      <c r="BL512" s="27" t="str">
        <f t="shared" si="223"/>
        <v/>
      </c>
      <c r="BM512" s="21" t="s">
        <v>3790</v>
      </c>
    </row>
    <row r="513" spans="1:65" ht="15">
      <c r="A513" s="25">
        <f>IFERROR(INDEX('Hun Demand'!W:W,MATCH(O513,'Hun Demand'!A:A,0)),"")</f>
        <v>431</v>
      </c>
      <c r="B513" s="25">
        <f>IFERROR(INDEX('Hun Demand'!V:V,MATCH(O513,'Hun Demand'!A:A,0)),"")</f>
        <v>248</v>
      </c>
      <c r="C513" s="25">
        <f>IFERROR(INDEX('Hun Demand'!U:U,MATCH(O513,'Hun Demand'!A:A,0)),"")</f>
        <v>308</v>
      </c>
      <c r="D513" s="25">
        <f>IFERROR(INDEX('Hun Demand'!T:T,MATCH(O513,'Hun Demand'!A:A,0)),"")</f>
        <v>0</v>
      </c>
      <c r="E513" s="25">
        <f>IFERROR(INDEX('Hun Demand'!S:S,MATCH(O513,'Hun Demand'!A:A,0)),"")</f>
        <v>350</v>
      </c>
      <c r="F513" s="25">
        <f>IFERROR(INDEX('Hun Demand'!R:R,MATCH(O513,'Hun Demand'!A:A,0)),"")</f>
        <v>0</v>
      </c>
      <c r="G513" s="25">
        <f>IFERROR(INDEX('Aub Demand'!W:W,MATCH(O513,'Aub Demand'!A:A,0)),"")</f>
        <v>126</v>
      </c>
      <c r="H513" s="25">
        <f>IFERROR(INDEX('Aub Demand'!V:V,MATCH(O513,'Aub Demand'!A:A,0)),"")</f>
        <v>27</v>
      </c>
      <c r="I513" s="25">
        <f>IFERROR(INDEX('Aub Demand'!U:U,MATCH(O513,'Aub Demand'!A:A,0)),"")</f>
        <v>57</v>
      </c>
      <c r="J513" s="25">
        <f>IFERROR(INDEX('Aub Demand'!T:T,MATCH(O513,'Aub Demand'!A:A,0)),"")</f>
        <v>61</v>
      </c>
      <c r="K513" s="25">
        <f>IFERROR(INDEX('Aub Demand'!S:S,MATCH(O513,'Aub Demand'!A:A,0)),"")</f>
        <v>45</v>
      </c>
      <c r="L513" s="25">
        <f>IFERROR(INDEX('Aub Demand'!R:R,MATCH(O513,'Aub Demand'!A:A,0)),"")</f>
        <v>0</v>
      </c>
      <c r="O513" s="27" t="s">
        <v>850</v>
      </c>
      <c r="P513" s="27" t="str">
        <f>IFERROR(INDEX('Aub Demand'!B:B,MATCH($O513,'Aub Demand'!$A:$A,0)),"")</f>
        <v>HP GUNSTOCK WALNUT</v>
      </c>
      <c r="Q513" s="27" t="str">
        <f>IFERROR(INDEX('Aub Demand'!C:C,MATCH($O513,'Aub Demand'!$A:$A,0)),"")</f>
        <v>AHLST</v>
      </c>
      <c r="R513" s="52">
        <f>IFERROR(IF(AR514=AR513,INDEX('Aub Demand'!K:K,MATCH($O513,'Aub Demand'!$A:$A,0))-IF(AN513="",0,AN513)+AP514,INDEX('Aub Demand'!K:K,MATCH($O513,'Aub Demand'!$A:$A,0))-IF(AN513="",0,AN513)),"")</f>
        <v>135</v>
      </c>
      <c r="S513" s="53">
        <f t="shared" si="196"/>
        <v>10.7</v>
      </c>
      <c r="T513" s="52" t="str">
        <f t="shared" si="197"/>
        <v/>
      </c>
      <c r="U513" s="52">
        <f>IFERROR(IF(AR514=AR513,INDEX('Aub Demand'!Q:Q,MATCH($O513,'Aub Demand'!$A:$A,0))-IF(AN513="",0,AN513)+AP514,INDEX('Aub Demand'!Q:Q,MATCH($O513,'Aub Demand'!$A:$A,0))-IF(AN513="",0,AN513)),"")</f>
        <v>135</v>
      </c>
      <c r="V513" s="53">
        <f t="shared" si="198"/>
        <v>10.7</v>
      </c>
      <c r="W513" s="52" t="str">
        <f t="shared" si="199"/>
        <v/>
      </c>
      <c r="X513" s="52">
        <f>IFERROR(IF(AND(AR514=AR513,AM513&lt;&gt;""),INDEX('Aub Demand'!Q:Q,MATCH($O513,'Aub Demand'!$A:$A,0))-IF(AN513="",0,AN513)+AP514+AD513+AL513,IF(AR514=AR513,INDEX('Aub Demand'!Q:Q,MATCH($O513,'Aub Demand'!$A:$A,0))-IF(AN513="",0,AN513)+AP514+AD513,IF(AM513&lt;&gt;"",INDEX('Aub Demand'!Q:Q,MATCH($O513,'Aub Demand'!$A:$A,0))-IF(AN513="",0,AN513)+AD513+AL513,INDEX('Aub Demand'!Q:Q,MATCH($O513,'Aub Demand'!$A:$A,0))-IF(AN513="",0,AN513)+AD513))),"")</f>
        <v>135</v>
      </c>
      <c r="Y513" s="53">
        <f t="shared" si="200"/>
        <v>10.7</v>
      </c>
      <c r="Z513" s="52">
        <f>IF(L513="","",INDEX('Aub Demand'!H:H,MATCH($O513,'Aub Demand'!$A:$A,0)))</f>
        <v>54</v>
      </c>
      <c r="AA513" s="52">
        <f t="shared" si="201"/>
        <v>59</v>
      </c>
      <c r="AB513" s="52">
        <f>IFERROR(INDEX('Aub Demand'!L:L,MATCH($O513,'Aub Demand'!$A:$A,0)),"")</f>
        <v>13</v>
      </c>
      <c r="AC513" s="52">
        <f>IFERROR(IF(O513="","",SUMIFS('CPL Mats'!F:F,'CPL Mats'!Q:Q,AR513,'CPL Mats'!S:S,AS513)),"")</f>
        <v>0</v>
      </c>
      <c r="AF513" s="25">
        <f>IF(SUMIFS('Supp Consol'!S:S,'Supp Consol'!Y:Y,"Releasable",'Supp Consol'!A:A,O513)=0,"",SUMIFS('Supp Consol'!S:S,'Supp Consol'!Y:Y,"Releasable",'Supp Consol'!A:A,O513))</f>
        <v>3521</v>
      </c>
      <c r="AG513" s="25">
        <f>IFERROR(INDEX('Hun Demand'!Q:Q,MATCH(O513,'Hun Demand'!A:A,0)),"")</f>
        <v>0</v>
      </c>
      <c r="AH513" s="25">
        <f>IFERROR(INDEX('Hun Demand'!H:H,MATCH($O513,'Hun Demand'!$A:$A,0)),"")</f>
        <v>219</v>
      </c>
      <c r="AI513" s="25" t="str">
        <f>IF(SUMIFS('Supp Consol'!AA:AA,'Supp Consol'!Z:Z,"Expires this month",'Supp Consol'!A:A,O513)=0,"",SUMIFS('Supp Consol'!AA:AA,'Supp Consol'!Z:Z,"Expires this month",'Supp Consol'!A:A,O513))</f>
        <v/>
      </c>
      <c r="AJ513" s="25" t="str">
        <f>IF(SUMIFS('Supp Consol'!AA:AA,'Supp Consol'!Z:Z,"Expired Previous Months",'Supp Consol'!A:A,O513)=0,"",SUMIFS('Supp Consol'!AA:AA,'Supp Consol'!Z:Z,"Expired Previous Months",'Supp Consol'!A:A,O513))</f>
        <v/>
      </c>
      <c r="AK513" s="25" t="str">
        <f>IFERROR(INDEX('Hun Release Current'!B:B,MATCH(O513,'Hun Release Current'!A:A,0)),"")</f>
        <v/>
      </c>
      <c r="AL513" s="25" t="str">
        <f>IF(SUMIF('Prev Aub'!A:A,O513,'Prev Aub'!B:B)=0,"",SUMIF('Prev Aub'!A:A,O513,'Prev Aub'!B:B))</f>
        <v/>
      </c>
      <c r="AN513" s="25" t="s">
        <v>3790</v>
      </c>
      <c r="AO513" s="25" t="s">
        <v>3790</v>
      </c>
      <c r="AP513" s="25">
        <f t="shared" si="202"/>
        <v>0</v>
      </c>
      <c r="AQ513" s="151" t="str">
        <f>IF(SUMIFS('Supp Consol'!S:S,'Supp Consol'!A:A,O513,'Supp Consol'!I:I,"PENDING")=0,"",SUMIFS('Supp Consol'!S:S,'Supp Consol'!A:A,O513,'Supp Consol'!I:I,"PENDING"))</f>
        <v/>
      </c>
      <c r="AR513" s="27" t="str">
        <f t="shared" si="203"/>
        <v>HP190</v>
      </c>
      <c r="AS513" s="27" t="str">
        <f t="shared" si="204"/>
        <v>50</v>
      </c>
      <c r="AT513" s="27" t="str">
        <f t="shared" si="205"/>
        <v/>
      </c>
      <c r="AU513" s="27" t="str">
        <f t="shared" si="206"/>
        <v/>
      </c>
      <c r="AV513" s="27" t="str">
        <f t="shared" si="207"/>
        <v/>
      </c>
      <c r="AW513" s="27" t="str">
        <f t="shared" si="208"/>
        <v/>
      </c>
      <c r="AX513" s="27" t="str">
        <f t="shared" si="209"/>
        <v>HP190</v>
      </c>
      <c r="AY513" s="27" t="str">
        <f t="shared" si="210"/>
        <v/>
      </c>
      <c r="AZ513" s="27" t="str">
        <f t="shared" si="211"/>
        <v>Supp</v>
      </c>
      <c r="BA513" s="27" t="str">
        <f t="shared" si="212"/>
        <v>Hun</v>
      </c>
      <c r="BB513" s="27" t="str">
        <f t="shared" si="213"/>
        <v/>
      </c>
      <c r="BC513" s="27" t="str">
        <f t="shared" si="214"/>
        <v/>
      </c>
      <c r="BD513" s="27" t="str">
        <f t="shared" si="215"/>
        <v/>
      </c>
      <c r="BE513" s="27" t="str">
        <f t="shared" si="216"/>
        <v/>
      </c>
      <c r="BF513" s="27" t="str">
        <f t="shared" si="217"/>
        <v/>
      </c>
      <c r="BG513" s="27" t="str">
        <f t="shared" si="218"/>
        <v/>
      </c>
      <c r="BH513" s="27" t="str">
        <f t="shared" si="219"/>
        <v/>
      </c>
      <c r="BI513" s="27" t="str">
        <f t="shared" si="220"/>
        <v/>
      </c>
      <c r="BJ513" s="27" t="str">
        <f t="shared" si="221"/>
        <v>Supp or Hun</v>
      </c>
      <c r="BK513" s="27" t="str">
        <f t="shared" si="222"/>
        <v/>
      </c>
      <c r="BL513" s="27" t="str">
        <f t="shared" si="223"/>
        <v/>
      </c>
      <c r="BM513" s="21" t="s">
        <v>5582</v>
      </c>
    </row>
    <row r="514" spans="1:65" ht="15">
      <c r="A514" s="25">
        <f>IFERROR(INDEX('Hun Demand'!W:W,MATCH(O514,'Hun Demand'!A:A,0)),"")</f>
        <v>789</v>
      </c>
      <c r="B514" s="25">
        <f>IFERROR(INDEX('Hun Demand'!V:V,MATCH(O514,'Hun Demand'!A:A,0)),"")</f>
        <v>0</v>
      </c>
      <c r="C514" s="25">
        <f>IFERROR(INDEX('Hun Demand'!U:U,MATCH(O514,'Hun Demand'!A:A,0)),"")</f>
        <v>0</v>
      </c>
      <c r="D514" s="25">
        <f>IFERROR(INDEX('Hun Demand'!T:T,MATCH(O514,'Hun Demand'!A:A,0)),"")</f>
        <v>0</v>
      </c>
      <c r="E514" s="25">
        <f>IFERROR(INDEX('Hun Demand'!S:S,MATCH(O514,'Hun Demand'!A:A,0)),"")</f>
        <v>0</v>
      </c>
      <c r="F514" s="25">
        <f>IFERROR(INDEX('Hun Demand'!R:R,MATCH(O514,'Hun Demand'!A:A,0)),"")</f>
        <v>0</v>
      </c>
      <c r="G514" s="25">
        <f>IFERROR(INDEX('Aub Demand'!W:W,MATCH(O514,'Aub Demand'!A:A,0)),"")</f>
        <v>438</v>
      </c>
      <c r="H514" s="25">
        <f>IFERROR(INDEX('Aub Demand'!V:V,MATCH(O514,'Aub Demand'!A:A,0)),"")</f>
        <v>0</v>
      </c>
      <c r="I514" s="25">
        <f>IFERROR(INDEX('Aub Demand'!U:U,MATCH(O514,'Aub Demand'!A:A,0)),"")</f>
        <v>166</v>
      </c>
      <c r="J514" s="25">
        <f>IFERROR(INDEX('Aub Demand'!T:T,MATCH(O514,'Aub Demand'!A:A,0)),"")</f>
        <v>0</v>
      </c>
      <c r="K514" s="25">
        <f>IFERROR(INDEX('Aub Demand'!S:S,MATCH(O514,'Aub Demand'!A:A,0)),"")</f>
        <v>0</v>
      </c>
      <c r="L514" s="25">
        <f>IFERROR(INDEX('Aub Demand'!R:R,MATCH(O514,'Aub Demand'!A:A,0)),"")</f>
        <v>0</v>
      </c>
      <c r="O514" s="27" t="s">
        <v>852</v>
      </c>
      <c r="P514" s="27" t="str">
        <f>IFERROR(INDEX('Aub Demand'!B:B,MATCH($O514,'Aub Demand'!$A:$A,0)),"")</f>
        <v>HP GUNSTOCK WALNUT</v>
      </c>
      <c r="Q514" s="27" t="str">
        <f>IFERROR(INDEX('Aub Demand'!C:C,MATCH($O514,'Aub Demand'!$A:$A,0)),"")</f>
        <v>AHLST</v>
      </c>
      <c r="R514" s="52">
        <f>IFERROR(IF(AR515=AR514,INDEX('Aub Demand'!K:K,MATCH($O514,'Aub Demand'!$A:$A,0))-IF(AN514="",0,AN514)+AP515,INDEX('Aub Demand'!K:K,MATCH($O514,'Aub Demand'!$A:$A,0))-IF(AN514="",0,AN514)),"")</f>
        <v>1088</v>
      </c>
      <c r="S514" s="53">
        <f t="shared" si="196"/>
        <v>84.8</v>
      </c>
      <c r="T514" s="52" t="str">
        <f t="shared" si="197"/>
        <v/>
      </c>
      <c r="U514" s="52">
        <f>IFERROR(IF(AR515=AR514,INDEX('Aub Demand'!Q:Q,MATCH($O514,'Aub Demand'!$A:$A,0))-IF(AN514="",0,AN514)+AP515,INDEX('Aub Demand'!Q:Q,MATCH($O514,'Aub Demand'!$A:$A,0))-IF(AN514="",0,AN514)),"")</f>
        <v>1088</v>
      </c>
      <c r="V514" s="53">
        <f t="shared" si="198"/>
        <v>84.8</v>
      </c>
      <c r="W514" s="52" t="str">
        <f t="shared" si="199"/>
        <v/>
      </c>
      <c r="X514" s="52">
        <f>IFERROR(IF(AND(AR515=AR514,AM514&lt;&gt;""),INDEX('Aub Demand'!Q:Q,MATCH($O514,'Aub Demand'!$A:$A,0))-IF(AN514="",0,AN514)+AP515+AD514+AL514,IF(AR515=AR514,INDEX('Aub Demand'!Q:Q,MATCH($O514,'Aub Demand'!$A:$A,0))-IF(AN514="",0,AN514)+AP515+AD514,IF(AM514&lt;&gt;"",INDEX('Aub Demand'!Q:Q,MATCH($O514,'Aub Demand'!$A:$A,0))-IF(AN514="",0,AN514)+AD514+AL514,INDEX('Aub Demand'!Q:Q,MATCH($O514,'Aub Demand'!$A:$A,0))-IF(AN514="",0,AN514)+AD514))),"")</f>
        <v>1088</v>
      </c>
      <c r="Y514" s="53">
        <f t="shared" si="200"/>
        <v>84.8</v>
      </c>
      <c r="Z514" s="52">
        <f>IF(L514="","",INDEX('Aub Demand'!H:H,MATCH($O514,'Aub Demand'!$A:$A,0)))</f>
        <v>55</v>
      </c>
      <c r="AA514" s="52" t="str">
        <f t="shared" si="201"/>
        <v>-spike-</v>
      </c>
      <c r="AB514" s="52">
        <f>IFERROR(INDEX('Aub Demand'!L:L,MATCH($O514,'Aub Demand'!$A:$A,0)),"")</f>
        <v>74</v>
      </c>
      <c r="AC514" s="52">
        <f>IFERROR(IF(O514="","",SUMIFS('CPL Mats'!F:F,'CPL Mats'!Q:Q,AR514,'CPL Mats'!S:S,AS514)),"")</f>
        <v>0</v>
      </c>
      <c r="AF514" s="25">
        <f>IF(SUMIFS('Supp Consol'!S:S,'Supp Consol'!Y:Y,"Releasable",'Supp Consol'!A:A,O514)=0,"",SUMIFS('Supp Consol'!S:S,'Supp Consol'!Y:Y,"Releasable",'Supp Consol'!A:A,O514))</f>
        <v>2359</v>
      </c>
      <c r="AG514" s="25">
        <f>IFERROR(INDEX('Hun Demand'!Q:Q,MATCH(O514,'Hun Demand'!A:A,0)),"")</f>
        <v>3712</v>
      </c>
      <c r="AH514" s="25">
        <f>IFERROR(INDEX('Hun Demand'!H:H,MATCH($O514,'Hun Demand'!$A:$A,0)),"")</f>
        <v>0</v>
      </c>
      <c r="AI514" s="25" t="str">
        <f>IF(SUMIFS('Supp Consol'!AA:AA,'Supp Consol'!Z:Z,"Expires this month",'Supp Consol'!A:A,O514)=0,"",SUMIFS('Supp Consol'!AA:AA,'Supp Consol'!Z:Z,"Expires this month",'Supp Consol'!A:A,O514))</f>
        <v/>
      </c>
      <c r="AJ514" s="25" t="str">
        <f>IF(SUMIFS('Supp Consol'!AA:AA,'Supp Consol'!Z:Z,"Expired Previous Months",'Supp Consol'!A:A,O514)=0,"",SUMIFS('Supp Consol'!AA:AA,'Supp Consol'!Z:Z,"Expired Previous Months",'Supp Consol'!A:A,O514))</f>
        <v/>
      </c>
      <c r="AK514" s="25" t="str">
        <f>IFERROR(INDEX('Hun Release Current'!B:B,MATCH(O514,'Hun Release Current'!A:A,0)),"")</f>
        <v/>
      </c>
      <c r="AL514" s="25" t="str">
        <f>IF(SUMIF('Prev Aub'!A:A,O514,'Prev Aub'!B:B)=0,"",SUMIF('Prev Aub'!A:A,O514,'Prev Aub'!B:B))</f>
        <v/>
      </c>
      <c r="AN514" s="25" t="s">
        <v>3790</v>
      </c>
      <c r="AO514" s="25" t="s">
        <v>3790</v>
      </c>
      <c r="AP514" s="25">
        <f t="shared" si="202"/>
        <v>0</v>
      </c>
      <c r="AQ514" s="151" t="str">
        <f>IF(SUMIFS('Supp Consol'!S:S,'Supp Consol'!A:A,O514,'Supp Consol'!I:I,"PENDING")=0,"",SUMIFS('Supp Consol'!S:S,'Supp Consol'!A:A,O514,'Supp Consol'!I:I,"PENDING"))</f>
        <v/>
      </c>
      <c r="AR514" s="27" t="str">
        <f t="shared" si="203"/>
        <v>HP190</v>
      </c>
      <c r="AS514" s="27" t="str">
        <f t="shared" si="204"/>
        <v>62</v>
      </c>
      <c r="AT514" s="27" t="str">
        <f t="shared" si="205"/>
        <v/>
      </c>
      <c r="AU514" s="27" t="str">
        <f t="shared" si="206"/>
        <v/>
      </c>
      <c r="AV514" s="27" t="str">
        <f t="shared" si="207"/>
        <v/>
      </c>
      <c r="AW514" s="27" t="str">
        <f t="shared" si="208"/>
        <v/>
      </c>
      <c r="AX514" s="27" t="str">
        <f t="shared" si="209"/>
        <v>HP190</v>
      </c>
      <c r="AY514" s="27" t="str">
        <f t="shared" si="210"/>
        <v>HP190</v>
      </c>
      <c r="AZ514" s="27" t="str">
        <f t="shared" si="211"/>
        <v>Supp</v>
      </c>
      <c r="BA514" s="27" t="str">
        <f t="shared" si="212"/>
        <v>Hun</v>
      </c>
      <c r="BB514" s="27" t="str">
        <f t="shared" si="213"/>
        <v/>
      </c>
      <c r="BC514" s="27" t="str">
        <f t="shared" si="214"/>
        <v/>
      </c>
      <c r="BD514" s="27" t="str">
        <f t="shared" si="215"/>
        <v/>
      </c>
      <c r="BE514" s="27" t="str">
        <f t="shared" si="216"/>
        <v/>
      </c>
      <c r="BF514" s="27" t="str">
        <f t="shared" si="217"/>
        <v/>
      </c>
      <c r="BG514" s="27" t="str">
        <f t="shared" si="218"/>
        <v/>
      </c>
      <c r="BH514" s="27" t="str">
        <f t="shared" si="219"/>
        <v/>
      </c>
      <c r="BI514" s="27" t="str">
        <f t="shared" si="220"/>
        <v/>
      </c>
      <c r="BJ514" s="27" t="str">
        <f t="shared" si="221"/>
        <v>Supp or Hun</v>
      </c>
      <c r="BK514" s="27" t="str">
        <f t="shared" si="222"/>
        <v/>
      </c>
      <c r="BL514" s="27" t="str">
        <f t="shared" si="223"/>
        <v/>
      </c>
      <c r="BM514" s="21" t="s">
        <v>5582</v>
      </c>
    </row>
    <row r="515" spans="1:65" ht="15">
      <c r="A515" s="25">
        <f>IFERROR(INDEX('Hun Demand'!W:W,MATCH(O515,'Hun Demand'!A:A,0)),"")</f>
        <v>0</v>
      </c>
      <c r="B515" s="25">
        <f>IFERROR(INDEX('Hun Demand'!V:V,MATCH(O515,'Hun Demand'!A:A,0)),"")</f>
        <v>0</v>
      </c>
      <c r="C515" s="25">
        <f>IFERROR(INDEX('Hun Demand'!U:U,MATCH(O515,'Hun Demand'!A:A,0)),"")</f>
        <v>0</v>
      </c>
      <c r="D515" s="25">
        <f>IFERROR(INDEX('Hun Demand'!T:T,MATCH(O515,'Hun Demand'!A:A,0)),"")</f>
        <v>0</v>
      </c>
      <c r="E515" s="25">
        <f>IFERROR(INDEX('Hun Demand'!S:S,MATCH(O515,'Hun Demand'!A:A,0)),"")</f>
        <v>0</v>
      </c>
      <c r="F515" s="25">
        <f>IFERROR(INDEX('Hun Demand'!R:R,MATCH(O515,'Hun Demand'!A:A,0)),"")</f>
        <v>0</v>
      </c>
      <c r="G515" s="25">
        <f>IFERROR(INDEX('Aub Demand'!W:W,MATCH(O515,'Aub Demand'!A:A,0)),"")</f>
        <v>0</v>
      </c>
      <c r="H515" s="25">
        <f>IFERROR(INDEX('Aub Demand'!V:V,MATCH(O515,'Aub Demand'!A:A,0)),"")</f>
        <v>0</v>
      </c>
      <c r="I515" s="25">
        <f>IFERROR(INDEX('Aub Demand'!U:U,MATCH(O515,'Aub Demand'!A:A,0)),"")</f>
        <v>0</v>
      </c>
      <c r="J515" s="25">
        <f>IFERROR(INDEX('Aub Demand'!T:T,MATCH(O515,'Aub Demand'!A:A,0)),"")</f>
        <v>0</v>
      </c>
      <c r="K515" s="25">
        <f>IFERROR(INDEX('Aub Demand'!S:S,MATCH(O515,'Aub Demand'!A:A,0)),"")</f>
        <v>0</v>
      </c>
      <c r="L515" s="25">
        <f>IFERROR(INDEX('Aub Demand'!R:R,MATCH(O515,'Aub Demand'!A:A,0)),"")</f>
        <v>0</v>
      </c>
      <c r="O515" s="27" t="s">
        <v>3333</v>
      </c>
      <c r="P515" s="27" t="str">
        <f>IFERROR(INDEX('Aub Demand'!B:B,MATCH($O515,'Aub Demand'!$A:$A,0)),"")</f>
        <v>VICTORY WALNUT</v>
      </c>
      <c r="Q515" s="27">
        <f>IFERROR(INDEX('Aub Demand'!C:C,MATCH($O515,'Aub Demand'!$A:$A,0)),"")</f>
        <v>0</v>
      </c>
      <c r="R515" s="52">
        <f>IFERROR(IF(AR516=AR515,INDEX('Aub Demand'!K:K,MATCH($O515,'Aub Demand'!$A:$A,0))-IF(AN515="",0,AN515)+AP516,INDEX('Aub Demand'!K:K,MATCH($O515,'Aub Demand'!$A:$A,0))-IF(AN515="",0,AN515)),"")</f>
        <v>32</v>
      </c>
      <c r="S515" s="53" t="str">
        <f t="shared" ref="S515:S578" si="224">IFERROR(IF(O515="","",ROUND(R515/((Z515/30)*7),1)),"n/a")</f>
        <v>n/a</v>
      </c>
      <c r="T515" s="52" t="str">
        <f t="shared" ref="T515:T578" si="225">IFERROR(IF(S515&lt;3.1,IF(AA515="spike",(3-S515)*(Z515/4),(3-S515)*(AA515/4)),""),"")</f>
        <v/>
      </c>
      <c r="U515" s="52">
        <f>IFERROR(IF(AR516=AR515,INDEX('Aub Demand'!Q:Q,MATCH($O515,'Aub Demand'!$A:$A,0))-IF(AN515="",0,AN515)+AP516,INDEX('Aub Demand'!Q:Q,MATCH($O515,'Aub Demand'!$A:$A,0))-IF(AN515="",0,AN515)),"")</f>
        <v>32</v>
      </c>
      <c r="V515" s="53" t="str">
        <f t="shared" ref="V515:V578" si="226">IFERROR(IF(O515="","",ROUND(U515/((Z515/30)*7),1)),"n/a")</f>
        <v>n/a</v>
      </c>
      <c r="W515" s="52" t="str">
        <f t="shared" ref="W515:W578" si="227">IF(IFERROR(IF(V515&lt;3.1,IF(AA515="spike",(3-V515)*(Z515/4),(3-V515)*(AA515/4)),""),"")&lt;0,0,IFERROR(IF(V515&lt;3.1,IF(AA515="spike",(3-V515)*(Z515/4),(3-V515)*(AA515/4)),""),""))</f>
        <v/>
      </c>
      <c r="X515" s="52">
        <f>IFERROR(IF(AND(AR516=AR515,AM515&lt;&gt;""),INDEX('Aub Demand'!Q:Q,MATCH($O515,'Aub Demand'!$A:$A,0))-IF(AN515="",0,AN515)+AP516+AD515+AL515,IF(AR516=AR515,INDEX('Aub Demand'!Q:Q,MATCH($O515,'Aub Demand'!$A:$A,0))-IF(AN515="",0,AN515)+AP516+AD515,IF(AM515&lt;&gt;"",INDEX('Aub Demand'!Q:Q,MATCH($O515,'Aub Demand'!$A:$A,0))-IF(AN515="",0,AN515)+AD515+AL515,INDEX('Aub Demand'!Q:Q,MATCH($O515,'Aub Demand'!$A:$A,0))-IF(AN515="",0,AN515)+AD515))),"")</f>
        <v>32</v>
      </c>
      <c r="Y515" s="53" t="str">
        <f t="shared" ref="Y515:Y578" si="228">IFERROR(IF(O515="","",ROUND(X515/((Z515/30)*7),1)),"n/a")</f>
        <v>n/a</v>
      </c>
      <c r="Z515" s="52">
        <f>IF(L515="","",INDEX('Aub Demand'!H:H,MATCH($O515,'Aub Demand'!$A:$A,0)))</f>
        <v>0</v>
      </c>
      <c r="AA515" s="52" t="str">
        <f t="shared" ref="AA515:AA578" si="229">IF(L515="","",IF(LARGE(I515:L515,2)=0,"-spike-",AVERAGE(LARGE(I515:L515,1),LARGE(I515:L515,2))))</f>
        <v>-spike-</v>
      </c>
      <c r="AB515" s="52">
        <f>IFERROR(INDEX('Aub Demand'!L:L,MATCH($O515,'Aub Demand'!$A:$A,0)),"")</f>
        <v>0</v>
      </c>
      <c r="AC515" s="52">
        <f>IFERROR(IF(O515="","",SUMIFS('CPL Mats'!F:F,'CPL Mats'!Q:Q,AR515,'CPL Mats'!S:S,AS515)),"")</f>
        <v>0</v>
      </c>
      <c r="AF515" s="25" t="str">
        <f>IF(SUMIFS('Supp Consol'!S:S,'Supp Consol'!Y:Y,"Releasable",'Supp Consol'!A:A,O515)=0,"",SUMIFS('Supp Consol'!S:S,'Supp Consol'!Y:Y,"Releasable",'Supp Consol'!A:A,O515))</f>
        <v/>
      </c>
      <c r="AG515" s="25">
        <f>IFERROR(INDEX('Hun Demand'!Q:Q,MATCH(O515,'Hun Demand'!A:A,0)),"")</f>
        <v>756</v>
      </c>
      <c r="AH515" s="25">
        <f>IFERROR(INDEX('Hun Demand'!H:H,MATCH($O515,'Hun Demand'!$A:$A,0)),"")</f>
        <v>0</v>
      </c>
      <c r="AI515" s="25" t="str">
        <f>IF(SUMIFS('Supp Consol'!AA:AA,'Supp Consol'!Z:Z,"Expires this month",'Supp Consol'!A:A,O515)=0,"",SUMIFS('Supp Consol'!AA:AA,'Supp Consol'!Z:Z,"Expires this month",'Supp Consol'!A:A,O515))</f>
        <v/>
      </c>
      <c r="AJ515" s="25" t="str">
        <f>IF(SUMIFS('Supp Consol'!AA:AA,'Supp Consol'!Z:Z,"Expired Previous Months",'Supp Consol'!A:A,O515)=0,"",SUMIFS('Supp Consol'!AA:AA,'Supp Consol'!Z:Z,"Expired Previous Months",'Supp Consol'!A:A,O515))</f>
        <v/>
      </c>
      <c r="AK515" s="25" t="str">
        <f>IFERROR(INDEX('Hun Release Current'!B:B,MATCH(O515,'Hun Release Current'!A:A,0)),"")</f>
        <v/>
      </c>
      <c r="AL515" s="25" t="str">
        <f>IF(SUMIF('Prev Aub'!A:A,O515,'Prev Aub'!B:B)=0,"",SUMIF('Prev Aub'!A:A,O515,'Prev Aub'!B:B))</f>
        <v/>
      </c>
      <c r="AN515" s="25" t="s">
        <v>3790</v>
      </c>
      <c r="AO515" s="25" t="s">
        <v>3790</v>
      </c>
      <c r="AP515" s="25">
        <f t="shared" ref="AP515:AP578" si="230">IFERROR(IF(O515="","",IF(AN515="",0,VALUE(AN515)-(VALUE(AN515)*0.2))),"")</f>
        <v>0</v>
      </c>
      <c r="AQ515" s="151" t="str">
        <f>IF(SUMIFS('Supp Consol'!S:S,'Supp Consol'!A:A,O515,'Supp Consol'!I:I,"PENDING")=0,"",SUMIFS('Supp Consol'!S:S,'Supp Consol'!A:A,O515,'Supp Consol'!I:I,"PENDING"))</f>
        <v/>
      </c>
      <c r="AR515" s="27" t="str">
        <f t="shared" ref="AR515:AR578" si="231">MID(O515,4,5)</f>
        <v>HP191</v>
      </c>
      <c r="AS515" s="27" t="str">
        <f t="shared" ref="AS515:AS578" si="232">MID(O515,10,2)</f>
        <v>62</v>
      </c>
      <c r="AT515" s="27" t="str">
        <f t="shared" ref="AT515:AT578" si="233">IF(S515&lt;3.1,AR515,"")</f>
        <v/>
      </c>
      <c r="AU515" s="27" t="str">
        <f t="shared" ref="AU515:AU578" si="234">IF(Y515&lt;3.1,AR515,"")</f>
        <v/>
      </c>
      <c r="AV515" s="27" t="str">
        <f t="shared" ref="AV515:AV578" si="235">IF(AND(AA515="Spike",L515=0,K515=0,X515&gt;=0),"",IF(Y515&lt;3.1,AR515,""))</f>
        <v/>
      </c>
      <c r="AW515" s="27" t="str">
        <f t="shared" ref="AW515:AW578" si="236">IF(AI515=AL515,"",IF(OR(AI515&lt;&gt;"",AJ515&lt;&gt;""),AR515,""))</f>
        <v/>
      </c>
      <c r="AX515" s="27" t="str">
        <f t="shared" ref="AX515:AX578" si="237">IF(AF515&lt;&gt;"",AR515,"")</f>
        <v/>
      </c>
      <c r="AY515" s="27" t="str">
        <f t="shared" ref="AY515:AY578" si="238">IF(AND(AG515&lt;&gt;"",AG515&gt;AH515),AR515,"")</f>
        <v>HP191</v>
      </c>
      <c r="AZ515" s="27" t="str">
        <f t="shared" ref="AZ515:AZ578" si="239">IFERROR(IF(O515="","",IF(ISERROR(MATCH(AR515,AX:AX,0)),"","Supp")),"")</f>
        <v/>
      </c>
      <c r="BA515" s="27" t="str">
        <f t="shared" ref="BA515:BA578" si="240">IFERROR(IF(O515="","",IF(ISERROR(MATCH(AR515,AY:AY,0)),"","Hun")),"")</f>
        <v>Hun</v>
      </c>
      <c r="BB515" s="27" t="str">
        <f t="shared" ref="BB515:BB578" si="241">IFERROR(IF(O515="","",IF(ISERROR(MATCH(AR515,AT:AT,0)),"","Gross")),"")</f>
        <v/>
      </c>
      <c r="BC515" s="27" t="str">
        <f t="shared" ref="BC515:BC578" si="242">IFERROR(IF(O515="","",IF(ISERROR(MATCH(AR515,AU:AU,0)),"","Net")),"")</f>
        <v/>
      </c>
      <c r="BD515" s="27" t="str">
        <f t="shared" ref="BD515:BD578" si="243">IFERROR(IF(O515="","",IF(ISERROR(MATCH(AR515,AV:AV,0)),"","Net")),"")</f>
        <v/>
      </c>
      <c r="BE515" s="27" t="str">
        <f t="shared" ref="BE515:BE578" si="244">IFERROR(IF(O515="","",IF(ISERROR(MATCH(AR515,AW:AW,0)),"","Exp")),"")</f>
        <v/>
      </c>
      <c r="BF515" s="27" t="str">
        <f t="shared" ref="BF515:BF578" si="245">IFERROR(IF(O515="","",IF(AND(AZ515="Supp",BC515="Net"),"S+N","")),"")</f>
        <v/>
      </c>
      <c r="BG515" s="27" t="str">
        <f t="shared" ref="BG515:BG578" si="246">IFERROR(IF(O515="","",IF(OR(BE515&lt;&gt;"",BF515&lt;&gt;""),"S+NorE","")),"")</f>
        <v/>
      </c>
      <c r="BH515" s="27" t="str">
        <f t="shared" ref="BH515:BH578" si="247">IFERROR(IF(O515="","",IF(AND(BA515&lt;&gt;"",BC515&lt;&gt;""),"H+N","")),"")</f>
        <v/>
      </c>
      <c r="BI515" s="27" t="str">
        <f t="shared" ref="BI515:BI578" si="248">IFERROR(IF(O515="","",IF(AND(BA515&lt;&gt;"",BD515&lt;&gt;""),"H+Nex","")),"")</f>
        <v/>
      </c>
      <c r="BJ515" s="27" t="str">
        <f t="shared" ref="BJ515:BJ578" si="249">IF(OR(AZ515&lt;&gt;"",BA515&lt;&gt;""),"Supp or Hun","")</f>
        <v>Supp or Hun</v>
      </c>
      <c r="BK515" s="27" t="str">
        <f t="shared" ref="BK515:BK578" si="250">IF(AND(BJ515&lt;&gt;"",BC515&lt;&gt;""),"Supp or Hun Need","")</f>
        <v/>
      </c>
      <c r="BL515" s="27" t="str">
        <f t="shared" ref="BL515:BL578" si="251">IF(OR(BK515&lt;&gt;"",BE515&lt;&gt;""),"SorHandNandE","")</f>
        <v/>
      </c>
      <c r="BM515" s="21" t="s">
        <v>5582</v>
      </c>
    </row>
    <row r="516" spans="1:65" ht="15">
      <c r="A516" s="25">
        <f>IFERROR(INDEX('Hun Demand'!W:W,MATCH(O516,'Hun Demand'!A:A,0)),"")</f>
        <v>505</v>
      </c>
      <c r="B516" s="25">
        <f>IFERROR(INDEX('Hun Demand'!V:V,MATCH(O516,'Hun Demand'!A:A,0)),"")</f>
        <v>132</v>
      </c>
      <c r="C516" s="25">
        <f>IFERROR(INDEX('Hun Demand'!U:U,MATCH(O516,'Hun Demand'!A:A,0)),"")</f>
        <v>0</v>
      </c>
      <c r="D516" s="25">
        <f>IFERROR(INDEX('Hun Demand'!T:T,MATCH(O516,'Hun Demand'!A:A,0)),"")</f>
        <v>0</v>
      </c>
      <c r="E516" s="25">
        <f>IFERROR(INDEX('Hun Demand'!S:S,MATCH(O516,'Hun Demand'!A:A,0)),"")</f>
        <v>201</v>
      </c>
      <c r="F516" s="25">
        <f>IFERROR(INDEX('Hun Demand'!R:R,MATCH(O516,'Hun Demand'!A:A,0)),"")</f>
        <v>0</v>
      </c>
      <c r="G516" s="25">
        <f>IFERROR(INDEX('Aub Demand'!W:W,MATCH(O516,'Aub Demand'!A:A,0)),"")</f>
        <v>0</v>
      </c>
      <c r="H516" s="25">
        <f>IFERROR(INDEX('Aub Demand'!V:V,MATCH(O516,'Aub Demand'!A:A,0)),"")</f>
        <v>0</v>
      </c>
      <c r="I516" s="25">
        <f>IFERROR(INDEX('Aub Demand'!U:U,MATCH(O516,'Aub Demand'!A:A,0)),"")</f>
        <v>930</v>
      </c>
      <c r="J516" s="25">
        <f>IFERROR(INDEX('Aub Demand'!T:T,MATCH(O516,'Aub Demand'!A:A,0)),"")</f>
        <v>0</v>
      </c>
      <c r="K516" s="25">
        <f>IFERROR(INDEX('Aub Demand'!S:S,MATCH(O516,'Aub Demand'!A:A,0)),"")</f>
        <v>177</v>
      </c>
      <c r="L516" s="25">
        <f>IFERROR(INDEX('Aub Demand'!R:R,MATCH(O516,'Aub Demand'!A:A,0)),"")</f>
        <v>0</v>
      </c>
      <c r="O516" s="27" t="s">
        <v>853</v>
      </c>
      <c r="P516" s="27" t="str">
        <f>IFERROR(INDEX('Aub Demand'!B:B,MATCH($O516,'Aub Demand'!$A:$A,0)),"")</f>
        <v>SELECT WALNUT</v>
      </c>
      <c r="Q516" s="27" t="str">
        <f>IFERROR(INDEX('Aub Demand'!C:C,MATCH($O516,'Aub Demand'!$A:$A,0)),"")</f>
        <v>INTER</v>
      </c>
      <c r="R516" s="52">
        <f>IFERROR(IF(AR517=AR516,INDEX('Aub Demand'!K:K,MATCH($O516,'Aub Demand'!$A:$A,0))-IF(AN516="",0,AN516)+AP517,INDEX('Aub Demand'!K:K,MATCH($O516,'Aub Demand'!$A:$A,0))-IF(AN516="",0,AN516)),"")</f>
        <v>384</v>
      </c>
      <c r="S516" s="53">
        <f t="shared" si="224"/>
        <v>4.5</v>
      </c>
      <c r="T516" s="52" t="str">
        <f t="shared" si="225"/>
        <v/>
      </c>
      <c r="U516" s="52">
        <f>IFERROR(IF(AR517=AR516,INDEX('Aub Demand'!Q:Q,MATCH($O516,'Aub Demand'!$A:$A,0))-IF(AN516="",0,AN516)+AP517,INDEX('Aub Demand'!Q:Q,MATCH($O516,'Aub Demand'!$A:$A,0))-IF(AN516="",0,AN516)),"")</f>
        <v>383</v>
      </c>
      <c r="V516" s="53">
        <f t="shared" si="226"/>
        <v>4.4000000000000004</v>
      </c>
      <c r="W516" s="52" t="str">
        <f t="shared" si="227"/>
        <v/>
      </c>
      <c r="X516" s="52">
        <f>IFERROR(IF(AND(AR517=AR516,AM516&lt;&gt;""),INDEX('Aub Demand'!Q:Q,MATCH($O516,'Aub Demand'!$A:$A,0))-IF(AN516="",0,AN516)+AP517+AD516+AL516,IF(AR517=AR516,INDEX('Aub Demand'!Q:Q,MATCH($O516,'Aub Demand'!$A:$A,0))-IF(AN516="",0,AN516)+AP517+AD516,IF(AM516&lt;&gt;"",INDEX('Aub Demand'!Q:Q,MATCH($O516,'Aub Demand'!$A:$A,0))-IF(AN516="",0,AN516)+AD516+AL516,INDEX('Aub Demand'!Q:Q,MATCH($O516,'Aub Demand'!$A:$A,0))-IF(AN516="",0,AN516)+AD516))),"")</f>
        <v>383</v>
      </c>
      <c r="Y516" s="53">
        <f t="shared" si="228"/>
        <v>4.4000000000000004</v>
      </c>
      <c r="Z516" s="52">
        <f>IF(L516="","",INDEX('Aub Demand'!H:H,MATCH($O516,'Aub Demand'!$A:$A,0)))</f>
        <v>369</v>
      </c>
      <c r="AA516" s="52">
        <f t="shared" si="229"/>
        <v>553.5</v>
      </c>
      <c r="AB516" s="52">
        <f>IFERROR(INDEX('Aub Demand'!L:L,MATCH($O516,'Aub Demand'!$A:$A,0)),"")</f>
        <v>5</v>
      </c>
      <c r="AC516" s="52">
        <f>IFERROR(IF(O516="","",SUMIFS('CPL Mats'!F:F,'CPL Mats'!Q:Q,AR516,'CPL Mats'!S:S,AS516)),"")</f>
        <v>0</v>
      </c>
      <c r="AF516" s="25" t="str">
        <f>IF(SUMIFS('Supp Consol'!S:S,'Supp Consol'!Y:Y,"Releasable",'Supp Consol'!A:A,O516)=0,"",SUMIFS('Supp Consol'!S:S,'Supp Consol'!Y:Y,"Releasable",'Supp Consol'!A:A,O516))</f>
        <v/>
      </c>
      <c r="AG516" s="25">
        <f>IFERROR(INDEX('Hun Demand'!Q:Q,MATCH(O516,'Hun Demand'!A:A,0)),"")</f>
        <v>949</v>
      </c>
      <c r="AH516" s="25">
        <f>IFERROR(INDEX('Hun Demand'!H:H,MATCH($O516,'Hun Demand'!$A:$A,0)),"")</f>
        <v>67</v>
      </c>
      <c r="AI516" s="25" t="str">
        <f>IF(SUMIFS('Supp Consol'!AA:AA,'Supp Consol'!Z:Z,"Expires this month",'Supp Consol'!A:A,O516)=0,"",SUMIFS('Supp Consol'!AA:AA,'Supp Consol'!Z:Z,"Expires this month",'Supp Consol'!A:A,O516))</f>
        <v/>
      </c>
      <c r="AJ516" s="25" t="str">
        <f>IF(SUMIFS('Supp Consol'!AA:AA,'Supp Consol'!Z:Z,"Expired Previous Months",'Supp Consol'!A:A,O516)=0,"",SUMIFS('Supp Consol'!AA:AA,'Supp Consol'!Z:Z,"Expired Previous Months",'Supp Consol'!A:A,O516))</f>
        <v/>
      </c>
      <c r="AK516" s="25" t="str">
        <f>IFERROR(INDEX('Hun Release Current'!B:B,MATCH(O516,'Hun Release Current'!A:A,0)),"")</f>
        <v/>
      </c>
      <c r="AL516" s="25" t="str">
        <f>IF(SUMIF('Prev Aub'!A:A,O516,'Prev Aub'!B:B)=0,"",SUMIF('Prev Aub'!A:A,O516,'Prev Aub'!B:B))</f>
        <v/>
      </c>
      <c r="AN516" s="25" t="s">
        <v>3790</v>
      </c>
      <c r="AO516" s="25" t="s">
        <v>3790</v>
      </c>
      <c r="AP516" s="25">
        <f t="shared" si="230"/>
        <v>0</v>
      </c>
      <c r="AQ516" s="151" t="str">
        <f>IF(SUMIFS('Supp Consol'!S:S,'Supp Consol'!A:A,O516,'Supp Consol'!I:I,"PENDING")=0,"",SUMIFS('Supp Consol'!S:S,'Supp Consol'!A:A,O516,'Supp Consol'!I:I,"PENDING"))</f>
        <v/>
      </c>
      <c r="AR516" s="27" t="str">
        <f t="shared" si="231"/>
        <v>HP194</v>
      </c>
      <c r="AS516" s="27" t="str">
        <f t="shared" si="232"/>
        <v>50</v>
      </c>
      <c r="AT516" s="27" t="str">
        <f t="shared" si="233"/>
        <v/>
      </c>
      <c r="AU516" s="27" t="str">
        <f t="shared" si="234"/>
        <v/>
      </c>
      <c r="AV516" s="27" t="str">
        <f t="shared" si="235"/>
        <v/>
      </c>
      <c r="AW516" s="27" t="str">
        <f t="shared" si="236"/>
        <v/>
      </c>
      <c r="AX516" s="27" t="str">
        <f t="shared" si="237"/>
        <v/>
      </c>
      <c r="AY516" s="27" t="str">
        <f t="shared" si="238"/>
        <v>HP194</v>
      </c>
      <c r="AZ516" s="27" t="str">
        <f t="shared" si="239"/>
        <v/>
      </c>
      <c r="BA516" s="27" t="str">
        <f t="shared" si="240"/>
        <v>Hun</v>
      </c>
      <c r="BB516" s="27" t="str">
        <f t="shared" si="241"/>
        <v/>
      </c>
      <c r="BC516" s="27" t="str">
        <f t="shared" si="242"/>
        <v/>
      </c>
      <c r="BD516" s="27" t="str">
        <f t="shared" si="243"/>
        <v/>
      </c>
      <c r="BE516" s="27" t="str">
        <f t="shared" si="244"/>
        <v/>
      </c>
      <c r="BF516" s="27" t="str">
        <f t="shared" si="245"/>
        <v/>
      </c>
      <c r="BG516" s="27" t="str">
        <f t="shared" si="246"/>
        <v/>
      </c>
      <c r="BH516" s="27" t="str">
        <f t="shared" si="247"/>
        <v/>
      </c>
      <c r="BI516" s="27" t="str">
        <f t="shared" si="248"/>
        <v/>
      </c>
      <c r="BJ516" s="27" t="str">
        <f t="shared" si="249"/>
        <v>Supp or Hun</v>
      </c>
      <c r="BK516" s="27" t="str">
        <f t="shared" si="250"/>
        <v/>
      </c>
      <c r="BL516" s="27" t="str">
        <f t="shared" si="251"/>
        <v/>
      </c>
      <c r="BM516" s="21" t="s">
        <v>5582</v>
      </c>
    </row>
    <row r="517" spans="1:65" ht="15">
      <c r="A517" s="25">
        <f>IFERROR(INDEX('Hun Demand'!W:W,MATCH(O517,'Hun Demand'!A:A,0)),"")</f>
        <v>0</v>
      </c>
      <c r="B517" s="25">
        <f>IFERROR(INDEX('Hun Demand'!V:V,MATCH(O517,'Hun Demand'!A:A,0)),"")</f>
        <v>0</v>
      </c>
      <c r="C517" s="25">
        <f>IFERROR(INDEX('Hun Demand'!U:U,MATCH(O517,'Hun Demand'!A:A,0)),"")</f>
        <v>0</v>
      </c>
      <c r="D517" s="25">
        <f>IFERROR(INDEX('Hun Demand'!T:T,MATCH(O517,'Hun Demand'!A:A,0)),"")</f>
        <v>0</v>
      </c>
      <c r="E517" s="25">
        <f>IFERROR(INDEX('Hun Demand'!S:S,MATCH(O517,'Hun Demand'!A:A,0)),"")</f>
        <v>591</v>
      </c>
      <c r="F517" s="25">
        <f>IFERROR(INDEX('Hun Demand'!R:R,MATCH(O517,'Hun Demand'!A:A,0)),"")</f>
        <v>0</v>
      </c>
      <c r="G517" s="25">
        <f>IFERROR(INDEX('Aub Demand'!W:W,MATCH(O517,'Aub Demand'!A:A,0)),"")</f>
        <v>0</v>
      </c>
      <c r="H517" s="25">
        <f>IFERROR(INDEX('Aub Demand'!V:V,MATCH(O517,'Aub Demand'!A:A,0)),"")</f>
        <v>0</v>
      </c>
      <c r="I517" s="25">
        <f>IFERROR(INDEX('Aub Demand'!U:U,MATCH(O517,'Aub Demand'!A:A,0)),"")</f>
        <v>0</v>
      </c>
      <c r="J517" s="25">
        <f>IFERROR(INDEX('Aub Demand'!T:T,MATCH(O517,'Aub Demand'!A:A,0)),"")</f>
        <v>0</v>
      </c>
      <c r="K517" s="25">
        <f>IFERROR(INDEX('Aub Demand'!S:S,MATCH(O517,'Aub Demand'!A:A,0)),"")</f>
        <v>958</v>
      </c>
      <c r="L517" s="25">
        <f>IFERROR(INDEX('Aub Demand'!R:R,MATCH(O517,'Aub Demand'!A:A,0)),"")</f>
        <v>706</v>
      </c>
      <c r="O517" s="27" t="s">
        <v>855</v>
      </c>
      <c r="P517" s="27" t="str">
        <f>IFERROR(INDEX('Aub Demand'!B:B,MATCH($O517,'Aub Demand'!$A:$A,0)),"")</f>
        <v>SELECT WALNUT</v>
      </c>
      <c r="Q517" s="27" t="str">
        <f>IFERROR(INDEX('Aub Demand'!C:C,MATCH($O517,'Aub Demand'!$A:$A,0)),"")</f>
        <v>INTER</v>
      </c>
      <c r="R517" s="52">
        <f>IFERROR(IF(AR518=AR517,INDEX('Aub Demand'!K:K,MATCH($O517,'Aub Demand'!$A:$A,0))-IF(AN517="",0,AN517)+AP518,INDEX('Aub Demand'!K:K,MATCH($O517,'Aub Demand'!$A:$A,0))-IF(AN517="",0,AN517)),"")</f>
        <v>2174</v>
      </c>
      <c r="S517" s="53">
        <f t="shared" si="224"/>
        <v>29.2</v>
      </c>
      <c r="T517" s="52" t="str">
        <f t="shared" si="225"/>
        <v/>
      </c>
      <c r="U517" s="52">
        <f>IFERROR(IF(AR518=AR517,INDEX('Aub Demand'!Q:Q,MATCH($O517,'Aub Demand'!$A:$A,0))-IF(AN517="",0,AN517)+AP518,INDEX('Aub Demand'!Q:Q,MATCH($O517,'Aub Demand'!$A:$A,0))-IF(AN517="",0,AN517)),"")</f>
        <v>2174</v>
      </c>
      <c r="V517" s="53">
        <f t="shared" si="226"/>
        <v>29.2</v>
      </c>
      <c r="W517" s="52" t="str">
        <f t="shared" si="227"/>
        <v/>
      </c>
      <c r="X517" s="52">
        <f>IFERROR(IF(AND(AR518=AR517,AM517&lt;&gt;""),INDEX('Aub Demand'!Q:Q,MATCH($O517,'Aub Demand'!$A:$A,0))-IF(AN517="",0,AN517)+AP518+AD517+AL517,IF(AR518=AR517,INDEX('Aub Demand'!Q:Q,MATCH($O517,'Aub Demand'!$A:$A,0))-IF(AN517="",0,AN517)+AP518+AD517,IF(AM517&lt;&gt;"",INDEX('Aub Demand'!Q:Q,MATCH($O517,'Aub Demand'!$A:$A,0))-IF(AN517="",0,AN517)+AD517+AL517,INDEX('Aub Demand'!Q:Q,MATCH($O517,'Aub Demand'!$A:$A,0))-IF(AN517="",0,AN517)+AD517))),"")</f>
        <v>2174</v>
      </c>
      <c r="Y517" s="53">
        <f t="shared" si="228"/>
        <v>29.2</v>
      </c>
      <c r="Z517" s="52">
        <f>IF(L517="","",INDEX('Aub Demand'!H:H,MATCH($O517,'Aub Demand'!$A:$A,0)))</f>
        <v>319</v>
      </c>
      <c r="AA517" s="52">
        <f t="shared" si="229"/>
        <v>832</v>
      </c>
      <c r="AB517" s="52">
        <f>IFERROR(INDEX('Aub Demand'!L:L,MATCH($O517,'Aub Demand'!$A:$A,0)),"")</f>
        <v>0</v>
      </c>
      <c r="AC517" s="52">
        <f>IFERROR(IF(O517="","",SUMIFS('CPL Mats'!F:F,'CPL Mats'!Q:Q,AR517,'CPL Mats'!S:S,AS517)),"")</f>
        <v>0</v>
      </c>
      <c r="AF517" s="25" t="str">
        <f>IF(SUMIFS('Supp Consol'!S:S,'Supp Consol'!Y:Y,"Releasable",'Supp Consol'!A:A,O517)=0,"",SUMIFS('Supp Consol'!S:S,'Supp Consol'!Y:Y,"Releasable",'Supp Consol'!A:A,O517))</f>
        <v/>
      </c>
      <c r="AG517" s="25">
        <f>IFERROR(INDEX('Hun Demand'!Q:Q,MATCH(O517,'Hun Demand'!A:A,0)),"")</f>
        <v>-750</v>
      </c>
      <c r="AH517" s="25">
        <f>IFERROR(INDEX('Hun Demand'!H:H,MATCH($O517,'Hun Demand'!$A:$A,0)),"")</f>
        <v>197</v>
      </c>
      <c r="AI517" s="25" t="str">
        <f>IF(SUMIFS('Supp Consol'!AA:AA,'Supp Consol'!Z:Z,"Expires this month",'Supp Consol'!A:A,O517)=0,"",SUMIFS('Supp Consol'!AA:AA,'Supp Consol'!Z:Z,"Expires this month",'Supp Consol'!A:A,O517))</f>
        <v/>
      </c>
      <c r="AJ517" s="25" t="str">
        <f>IF(SUMIFS('Supp Consol'!AA:AA,'Supp Consol'!Z:Z,"Expired Previous Months",'Supp Consol'!A:A,O517)=0,"",SUMIFS('Supp Consol'!AA:AA,'Supp Consol'!Z:Z,"Expired Previous Months",'Supp Consol'!A:A,O517))</f>
        <v/>
      </c>
      <c r="AK517" s="25" t="str">
        <f>IFERROR(INDEX('Hun Release Current'!B:B,MATCH(O517,'Hun Release Current'!A:A,0)),"")</f>
        <v/>
      </c>
      <c r="AL517" s="25" t="str">
        <f>IF(SUMIF('Prev Aub'!A:A,O517,'Prev Aub'!B:B)=0,"",SUMIF('Prev Aub'!A:A,O517,'Prev Aub'!B:B))</f>
        <v/>
      </c>
      <c r="AN517" s="25" t="s">
        <v>3790</v>
      </c>
      <c r="AO517" s="25" t="s">
        <v>3790</v>
      </c>
      <c r="AP517" s="25">
        <f t="shared" si="230"/>
        <v>0</v>
      </c>
      <c r="AQ517" s="151" t="str">
        <f>IF(SUMIFS('Supp Consol'!S:S,'Supp Consol'!A:A,O517,'Supp Consol'!I:I,"PENDING")=0,"",SUMIFS('Supp Consol'!S:S,'Supp Consol'!A:A,O517,'Supp Consol'!I:I,"PENDING"))</f>
        <v/>
      </c>
      <c r="AR517" s="27" t="str">
        <f t="shared" si="231"/>
        <v>HP194</v>
      </c>
      <c r="AS517" s="27" t="str">
        <f t="shared" si="232"/>
        <v>62</v>
      </c>
      <c r="AT517" s="27" t="str">
        <f t="shared" si="233"/>
        <v/>
      </c>
      <c r="AU517" s="27" t="str">
        <f t="shared" si="234"/>
        <v/>
      </c>
      <c r="AV517" s="27" t="str">
        <f t="shared" si="235"/>
        <v/>
      </c>
      <c r="AW517" s="27" t="str">
        <f t="shared" si="236"/>
        <v/>
      </c>
      <c r="AX517" s="27" t="str">
        <f t="shared" si="237"/>
        <v/>
      </c>
      <c r="AY517" s="27" t="str">
        <f t="shared" si="238"/>
        <v/>
      </c>
      <c r="AZ517" s="27" t="str">
        <f t="shared" si="239"/>
        <v/>
      </c>
      <c r="BA517" s="27" t="str">
        <f t="shared" si="240"/>
        <v>Hun</v>
      </c>
      <c r="BB517" s="27" t="str">
        <f t="shared" si="241"/>
        <v/>
      </c>
      <c r="BC517" s="27" t="str">
        <f t="shared" si="242"/>
        <v/>
      </c>
      <c r="BD517" s="27" t="str">
        <f t="shared" si="243"/>
        <v/>
      </c>
      <c r="BE517" s="27" t="str">
        <f t="shared" si="244"/>
        <v/>
      </c>
      <c r="BF517" s="27" t="str">
        <f t="shared" si="245"/>
        <v/>
      </c>
      <c r="BG517" s="27" t="str">
        <f t="shared" si="246"/>
        <v/>
      </c>
      <c r="BH517" s="27" t="str">
        <f t="shared" si="247"/>
        <v/>
      </c>
      <c r="BI517" s="27" t="str">
        <f t="shared" si="248"/>
        <v/>
      </c>
      <c r="BJ517" s="27" t="str">
        <f t="shared" si="249"/>
        <v>Supp or Hun</v>
      </c>
      <c r="BK517" s="27" t="str">
        <f t="shared" si="250"/>
        <v/>
      </c>
      <c r="BL517" s="27" t="str">
        <f t="shared" si="251"/>
        <v/>
      </c>
      <c r="BM517" s="21" t="s">
        <v>5582</v>
      </c>
    </row>
    <row r="518" spans="1:65" ht="15">
      <c r="A518" s="25" t="str">
        <f>IFERROR(INDEX('Hun Demand'!W:W,MATCH(O518,'Hun Demand'!A:A,0)),"")</f>
        <v/>
      </c>
      <c r="B518" s="25" t="str">
        <f>IFERROR(INDEX('Hun Demand'!V:V,MATCH(O518,'Hun Demand'!A:A,0)),"")</f>
        <v/>
      </c>
      <c r="C518" s="25" t="str">
        <f>IFERROR(INDEX('Hun Demand'!U:U,MATCH(O518,'Hun Demand'!A:A,0)),"")</f>
        <v/>
      </c>
      <c r="D518" s="25" t="str">
        <f>IFERROR(INDEX('Hun Demand'!T:T,MATCH(O518,'Hun Demand'!A:A,0)),"")</f>
        <v/>
      </c>
      <c r="E518" s="25" t="str">
        <f>IFERROR(INDEX('Hun Demand'!S:S,MATCH(O518,'Hun Demand'!A:A,0)),"")</f>
        <v/>
      </c>
      <c r="F518" s="25" t="str">
        <f>IFERROR(INDEX('Hun Demand'!R:R,MATCH(O518,'Hun Demand'!A:A,0)),"")</f>
        <v/>
      </c>
      <c r="G518" s="25">
        <f>IFERROR(INDEX('Aub Demand'!W:W,MATCH(O518,'Aub Demand'!A:A,0)),"")</f>
        <v>78</v>
      </c>
      <c r="H518" s="25">
        <f>IFERROR(INDEX('Aub Demand'!V:V,MATCH(O518,'Aub Demand'!A:A,0)),"")</f>
        <v>0</v>
      </c>
      <c r="I518" s="25">
        <f>IFERROR(INDEX('Aub Demand'!U:U,MATCH(O518,'Aub Demand'!A:A,0)),"")</f>
        <v>58</v>
      </c>
      <c r="J518" s="25">
        <f>IFERROR(INDEX('Aub Demand'!T:T,MATCH(O518,'Aub Demand'!A:A,0)),"")</f>
        <v>0</v>
      </c>
      <c r="K518" s="25">
        <f>IFERROR(INDEX('Aub Demand'!S:S,MATCH(O518,'Aub Demand'!A:A,0)),"")</f>
        <v>34</v>
      </c>
      <c r="L518" s="25">
        <f>IFERROR(INDEX('Aub Demand'!R:R,MATCH(O518,'Aub Demand'!A:A,0)),"")</f>
        <v>0</v>
      </c>
      <c r="O518" s="27" t="s">
        <v>856</v>
      </c>
      <c r="P518" s="27" t="str">
        <f>IFERROR(INDEX('Aub Demand'!B:B,MATCH($O518,'Aub Demand'!$A:$A,0)),"")</f>
        <v>OFS MOCHA WALNUT</v>
      </c>
      <c r="Q518" s="27" t="str">
        <f>IFERROR(INDEX('Aub Demand'!C:C,MATCH($O518,'Aub Demand'!$A:$A,0)),"")</f>
        <v>INTER</v>
      </c>
      <c r="R518" s="52">
        <f>IFERROR(IF(AR519=AR518,INDEX('Aub Demand'!K:K,MATCH($O518,'Aub Demand'!$A:$A,0))-IF(AN518="",0,AN518)+AP519,INDEX('Aub Demand'!K:K,MATCH($O518,'Aub Demand'!$A:$A,0))-IF(AN518="",0,AN518)),"")</f>
        <v>0</v>
      </c>
      <c r="S518" s="53">
        <f t="shared" si="224"/>
        <v>0</v>
      </c>
      <c r="T518" s="52">
        <f t="shared" si="225"/>
        <v>34.5</v>
      </c>
      <c r="U518" s="52">
        <f>IFERROR(IF(AR519=AR518,INDEX('Aub Demand'!Q:Q,MATCH($O518,'Aub Demand'!$A:$A,0))-IF(AN518="",0,AN518)+AP519,INDEX('Aub Demand'!Q:Q,MATCH($O518,'Aub Demand'!$A:$A,0))-IF(AN518="",0,AN518)),"")</f>
        <v>-12</v>
      </c>
      <c r="V518" s="53">
        <f t="shared" si="226"/>
        <v>-1.7</v>
      </c>
      <c r="W518" s="52">
        <f t="shared" si="227"/>
        <v>54.050000000000004</v>
      </c>
      <c r="X518" s="52">
        <f>IFERROR(IF(AND(AR519=AR518,AM518&lt;&gt;""),INDEX('Aub Demand'!Q:Q,MATCH($O518,'Aub Demand'!$A:$A,0))-IF(AN518="",0,AN518)+AP519+AD518+AL518,IF(AR519=AR518,INDEX('Aub Demand'!Q:Q,MATCH($O518,'Aub Demand'!$A:$A,0))-IF(AN518="",0,AN518)+AP519+AD518,IF(AM518&lt;&gt;"",INDEX('Aub Demand'!Q:Q,MATCH($O518,'Aub Demand'!$A:$A,0))-IF(AN518="",0,AN518)+AD518+AL518,INDEX('Aub Demand'!Q:Q,MATCH($O518,'Aub Demand'!$A:$A,0))-IF(AN518="",0,AN518)+AD518))),"")</f>
        <v>-12</v>
      </c>
      <c r="Y518" s="53">
        <f t="shared" si="228"/>
        <v>-1.7</v>
      </c>
      <c r="Z518" s="52">
        <f>IF(L518="","",INDEX('Aub Demand'!H:H,MATCH($O518,'Aub Demand'!$A:$A,0)))</f>
        <v>31</v>
      </c>
      <c r="AA518" s="52">
        <f t="shared" si="229"/>
        <v>46</v>
      </c>
      <c r="AB518" s="52">
        <f>IFERROR(INDEX('Aub Demand'!L:L,MATCH($O518,'Aub Demand'!$A:$A,0)),"")</f>
        <v>10</v>
      </c>
      <c r="AC518" s="52">
        <f>IFERROR(IF(O518="","",SUMIFS('CPL Mats'!F:F,'CPL Mats'!Q:Q,AR518,'CPL Mats'!S:S,AS518)),"")</f>
        <v>0</v>
      </c>
      <c r="AF518" s="25" t="str">
        <f>IF(SUMIFS('Supp Consol'!S:S,'Supp Consol'!Y:Y,"Releasable",'Supp Consol'!A:A,O518)=0,"",SUMIFS('Supp Consol'!S:S,'Supp Consol'!Y:Y,"Releasable",'Supp Consol'!A:A,O518))</f>
        <v/>
      </c>
      <c r="AG518" s="25" t="str">
        <f>IFERROR(INDEX('Hun Demand'!Q:Q,MATCH(O518,'Hun Demand'!A:A,0)),"")</f>
        <v/>
      </c>
      <c r="AH518" s="25" t="str">
        <f>IFERROR(INDEX('Hun Demand'!H:H,MATCH($O518,'Hun Demand'!$A:$A,0)),"")</f>
        <v/>
      </c>
      <c r="AI518" s="25" t="str">
        <f>IF(SUMIFS('Supp Consol'!AA:AA,'Supp Consol'!Z:Z,"Expires this month",'Supp Consol'!A:A,O518)=0,"",SUMIFS('Supp Consol'!AA:AA,'Supp Consol'!Z:Z,"Expires this month",'Supp Consol'!A:A,O518))</f>
        <v/>
      </c>
      <c r="AJ518" s="25" t="str">
        <f>IF(SUMIFS('Supp Consol'!AA:AA,'Supp Consol'!Z:Z,"Expired Previous Months",'Supp Consol'!A:A,O518)=0,"",SUMIFS('Supp Consol'!AA:AA,'Supp Consol'!Z:Z,"Expired Previous Months",'Supp Consol'!A:A,O518))</f>
        <v/>
      </c>
      <c r="AK518" s="25" t="str">
        <f>IFERROR(INDEX('Hun Release Current'!B:B,MATCH(O518,'Hun Release Current'!A:A,0)),"")</f>
        <v/>
      </c>
      <c r="AL518" s="25" t="str">
        <f>IF(SUMIF('Prev Aub'!A:A,O518,'Prev Aub'!B:B)=0,"",SUMIF('Prev Aub'!A:A,O518,'Prev Aub'!B:B))</f>
        <v/>
      </c>
      <c r="AN518" s="25" t="s">
        <v>3790</v>
      </c>
      <c r="AO518" s="25" t="s">
        <v>3790</v>
      </c>
      <c r="AP518" s="25">
        <f t="shared" si="230"/>
        <v>0</v>
      </c>
      <c r="AQ518" s="151" t="str">
        <f>IF(SUMIFS('Supp Consol'!S:S,'Supp Consol'!A:A,O518,'Supp Consol'!I:I,"PENDING")=0,"",SUMIFS('Supp Consol'!S:S,'Supp Consol'!A:A,O518,'Supp Consol'!I:I,"PENDING"))</f>
        <v/>
      </c>
      <c r="AR518" s="27" t="str">
        <f t="shared" si="231"/>
        <v>HP207</v>
      </c>
      <c r="AS518" s="27" t="str">
        <f t="shared" si="232"/>
        <v>50</v>
      </c>
      <c r="AT518" s="27" t="str">
        <f t="shared" si="233"/>
        <v>HP207</v>
      </c>
      <c r="AU518" s="27" t="str">
        <f t="shared" si="234"/>
        <v>HP207</v>
      </c>
      <c r="AV518" s="27" t="str">
        <f t="shared" si="235"/>
        <v>HP207</v>
      </c>
      <c r="AW518" s="27" t="str">
        <f t="shared" si="236"/>
        <v/>
      </c>
      <c r="AX518" s="27" t="str">
        <f t="shared" si="237"/>
        <v/>
      </c>
      <c r="AY518" s="27" t="str">
        <f t="shared" si="238"/>
        <v/>
      </c>
      <c r="AZ518" s="27" t="str">
        <f t="shared" si="239"/>
        <v/>
      </c>
      <c r="BA518" s="27" t="str">
        <f t="shared" si="240"/>
        <v/>
      </c>
      <c r="BB518" s="27" t="str">
        <f t="shared" si="241"/>
        <v>Gross</v>
      </c>
      <c r="BC518" s="27" t="str">
        <f t="shared" si="242"/>
        <v>Net</v>
      </c>
      <c r="BD518" s="27" t="str">
        <f t="shared" si="243"/>
        <v>Net</v>
      </c>
      <c r="BE518" s="27" t="str">
        <f t="shared" si="244"/>
        <v/>
      </c>
      <c r="BF518" s="27" t="str">
        <f t="shared" si="245"/>
        <v/>
      </c>
      <c r="BG518" s="27" t="str">
        <f t="shared" si="246"/>
        <v/>
      </c>
      <c r="BH518" s="27" t="str">
        <f t="shared" si="247"/>
        <v/>
      </c>
      <c r="BI518" s="27" t="str">
        <f t="shared" si="248"/>
        <v/>
      </c>
      <c r="BJ518" s="27" t="str">
        <f t="shared" si="249"/>
        <v/>
      </c>
      <c r="BK518" s="27" t="str">
        <f t="shared" si="250"/>
        <v/>
      </c>
      <c r="BL518" s="27" t="str">
        <f t="shared" si="251"/>
        <v/>
      </c>
      <c r="BM518" s="21" t="s">
        <v>5582</v>
      </c>
    </row>
    <row r="519" spans="1:65" ht="15">
      <c r="A519" s="25" t="str">
        <f>IFERROR(INDEX('Hun Demand'!W:W,MATCH(O519,'Hun Demand'!A:A,0)),"")</f>
        <v/>
      </c>
      <c r="B519" s="25" t="str">
        <f>IFERROR(INDEX('Hun Demand'!V:V,MATCH(O519,'Hun Demand'!A:A,0)),"")</f>
        <v/>
      </c>
      <c r="C519" s="25" t="str">
        <f>IFERROR(INDEX('Hun Demand'!U:U,MATCH(O519,'Hun Demand'!A:A,0)),"")</f>
        <v/>
      </c>
      <c r="D519" s="25" t="str">
        <f>IFERROR(INDEX('Hun Demand'!T:T,MATCH(O519,'Hun Demand'!A:A,0)),"")</f>
        <v/>
      </c>
      <c r="E519" s="25" t="str">
        <f>IFERROR(INDEX('Hun Demand'!S:S,MATCH(O519,'Hun Demand'!A:A,0)),"")</f>
        <v/>
      </c>
      <c r="F519" s="25" t="str">
        <f>IFERROR(INDEX('Hun Demand'!R:R,MATCH(O519,'Hun Demand'!A:A,0)),"")</f>
        <v/>
      </c>
      <c r="G519" s="25">
        <f>IFERROR(INDEX('Aub Demand'!W:W,MATCH(O519,'Aub Demand'!A:A,0)),"")</f>
        <v>0</v>
      </c>
      <c r="H519" s="25">
        <f>IFERROR(INDEX('Aub Demand'!V:V,MATCH(O519,'Aub Demand'!A:A,0)),"")</f>
        <v>0</v>
      </c>
      <c r="I519" s="25">
        <f>IFERROR(INDEX('Aub Demand'!U:U,MATCH(O519,'Aub Demand'!A:A,0)),"")</f>
        <v>0</v>
      </c>
      <c r="J519" s="25">
        <f>IFERROR(INDEX('Aub Demand'!T:T,MATCH(O519,'Aub Demand'!A:A,0)),"")</f>
        <v>0</v>
      </c>
      <c r="K519" s="25">
        <f>IFERROR(INDEX('Aub Demand'!S:S,MATCH(O519,'Aub Demand'!A:A,0)),"")</f>
        <v>137</v>
      </c>
      <c r="L519" s="25">
        <f>IFERROR(INDEX('Aub Demand'!R:R,MATCH(O519,'Aub Demand'!A:A,0)),"")</f>
        <v>0</v>
      </c>
      <c r="O519" s="27" t="s">
        <v>858</v>
      </c>
      <c r="P519" s="27" t="str">
        <f>IFERROR(INDEX('Aub Demand'!B:B,MATCH($O519,'Aub Demand'!$A:$A,0)),"")</f>
        <v>OFS MOCHA WALNUT</v>
      </c>
      <c r="Q519" s="27" t="str">
        <f>IFERROR(INDEX('Aub Demand'!C:C,MATCH($O519,'Aub Demand'!$A:$A,0)),"")</f>
        <v>INTER</v>
      </c>
      <c r="R519" s="52">
        <f>IFERROR(IF(AR520=AR519,INDEX('Aub Demand'!K:K,MATCH($O519,'Aub Demand'!$A:$A,0))-IF(AN519="",0,AN519)+AP520,INDEX('Aub Demand'!K:K,MATCH($O519,'Aub Demand'!$A:$A,0))-IF(AN519="",0,AN519)),"")</f>
        <v>113</v>
      </c>
      <c r="S519" s="53">
        <f t="shared" si="224"/>
        <v>10.5</v>
      </c>
      <c r="T519" s="52" t="str">
        <f t="shared" si="225"/>
        <v/>
      </c>
      <c r="U519" s="52">
        <f>IFERROR(IF(AR520=AR519,INDEX('Aub Demand'!Q:Q,MATCH($O519,'Aub Demand'!$A:$A,0))-IF(AN519="",0,AN519)+AP520,INDEX('Aub Demand'!Q:Q,MATCH($O519,'Aub Demand'!$A:$A,0))-IF(AN519="",0,AN519)),"")</f>
        <v>113</v>
      </c>
      <c r="V519" s="53">
        <f t="shared" si="226"/>
        <v>10.5</v>
      </c>
      <c r="W519" s="52" t="str">
        <f t="shared" si="227"/>
        <v/>
      </c>
      <c r="X519" s="52">
        <f>IFERROR(IF(AND(AR520=AR519,AM519&lt;&gt;""),INDEX('Aub Demand'!Q:Q,MATCH($O519,'Aub Demand'!$A:$A,0))-IF(AN519="",0,AN519)+AP520+AD519+AL519,IF(AR520=AR519,INDEX('Aub Demand'!Q:Q,MATCH($O519,'Aub Demand'!$A:$A,0))-IF(AN519="",0,AN519)+AP520+AD519,IF(AM519&lt;&gt;"",INDEX('Aub Demand'!Q:Q,MATCH($O519,'Aub Demand'!$A:$A,0))-IF(AN519="",0,AN519)+AD519+AL519,INDEX('Aub Demand'!Q:Q,MATCH($O519,'Aub Demand'!$A:$A,0))-IF(AN519="",0,AN519)+AD519))),"")</f>
        <v>113</v>
      </c>
      <c r="Y519" s="53">
        <f t="shared" si="228"/>
        <v>10.5</v>
      </c>
      <c r="Z519" s="52">
        <f>IF(L519="","",INDEX('Aub Demand'!H:H,MATCH($O519,'Aub Demand'!$A:$A,0)))</f>
        <v>46</v>
      </c>
      <c r="AA519" s="52" t="str">
        <f t="shared" si="229"/>
        <v>-spike-</v>
      </c>
      <c r="AB519" s="52">
        <f>IFERROR(INDEX('Aub Demand'!L:L,MATCH($O519,'Aub Demand'!$A:$A,0)),"")</f>
        <v>15</v>
      </c>
      <c r="AC519" s="52">
        <f>IFERROR(IF(O519="","",SUMIFS('CPL Mats'!F:F,'CPL Mats'!Q:Q,AR519,'CPL Mats'!S:S,AS519)),"")</f>
        <v>0</v>
      </c>
      <c r="AF519" s="25" t="str">
        <f>IF(SUMIFS('Supp Consol'!S:S,'Supp Consol'!Y:Y,"Releasable",'Supp Consol'!A:A,O519)=0,"",SUMIFS('Supp Consol'!S:S,'Supp Consol'!Y:Y,"Releasable",'Supp Consol'!A:A,O519))</f>
        <v/>
      </c>
      <c r="AG519" s="25" t="str">
        <f>IFERROR(INDEX('Hun Demand'!Q:Q,MATCH(O519,'Hun Demand'!A:A,0)),"")</f>
        <v/>
      </c>
      <c r="AH519" s="25" t="str">
        <f>IFERROR(INDEX('Hun Demand'!H:H,MATCH($O519,'Hun Demand'!$A:$A,0)),"")</f>
        <v/>
      </c>
      <c r="AI519" s="25" t="str">
        <f>IF(SUMIFS('Supp Consol'!AA:AA,'Supp Consol'!Z:Z,"Expires this month",'Supp Consol'!A:A,O519)=0,"",SUMIFS('Supp Consol'!AA:AA,'Supp Consol'!Z:Z,"Expires this month",'Supp Consol'!A:A,O519))</f>
        <v/>
      </c>
      <c r="AJ519" s="25" t="str">
        <f>IF(SUMIFS('Supp Consol'!AA:AA,'Supp Consol'!Z:Z,"Expired Previous Months",'Supp Consol'!A:A,O519)=0,"",SUMIFS('Supp Consol'!AA:AA,'Supp Consol'!Z:Z,"Expired Previous Months",'Supp Consol'!A:A,O519))</f>
        <v/>
      </c>
      <c r="AK519" s="25" t="str">
        <f>IFERROR(INDEX('Hun Release Current'!B:B,MATCH(O519,'Hun Release Current'!A:A,0)),"")</f>
        <v/>
      </c>
      <c r="AL519" s="25" t="str">
        <f>IF(SUMIF('Prev Aub'!A:A,O519,'Prev Aub'!B:B)=0,"",SUMIF('Prev Aub'!A:A,O519,'Prev Aub'!B:B))</f>
        <v/>
      </c>
      <c r="AN519" s="25" t="s">
        <v>3790</v>
      </c>
      <c r="AO519" s="25" t="s">
        <v>3790</v>
      </c>
      <c r="AP519" s="25">
        <f t="shared" si="230"/>
        <v>0</v>
      </c>
      <c r="AQ519" s="151" t="str">
        <f>IF(SUMIFS('Supp Consol'!S:S,'Supp Consol'!A:A,O519,'Supp Consol'!I:I,"PENDING")=0,"",SUMIFS('Supp Consol'!S:S,'Supp Consol'!A:A,O519,'Supp Consol'!I:I,"PENDING"))</f>
        <v/>
      </c>
      <c r="AR519" s="27" t="str">
        <f t="shared" si="231"/>
        <v>HP207</v>
      </c>
      <c r="AS519" s="27" t="str">
        <f t="shared" si="232"/>
        <v>62</v>
      </c>
      <c r="AT519" s="27" t="str">
        <f t="shared" si="233"/>
        <v/>
      </c>
      <c r="AU519" s="27" t="str">
        <f t="shared" si="234"/>
        <v/>
      </c>
      <c r="AV519" s="27" t="str">
        <f t="shared" si="235"/>
        <v/>
      </c>
      <c r="AW519" s="27" t="str">
        <f t="shared" si="236"/>
        <v/>
      </c>
      <c r="AX519" s="27" t="str">
        <f t="shared" si="237"/>
        <v/>
      </c>
      <c r="AY519" s="27" t="str">
        <f t="shared" si="238"/>
        <v/>
      </c>
      <c r="AZ519" s="27" t="str">
        <f t="shared" si="239"/>
        <v/>
      </c>
      <c r="BA519" s="27" t="str">
        <f t="shared" si="240"/>
        <v/>
      </c>
      <c r="BB519" s="27" t="str">
        <f t="shared" si="241"/>
        <v>Gross</v>
      </c>
      <c r="BC519" s="27" t="str">
        <f t="shared" si="242"/>
        <v>Net</v>
      </c>
      <c r="BD519" s="27" t="str">
        <f t="shared" si="243"/>
        <v>Net</v>
      </c>
      <c r="BE519" s="27" t="str">
        <f t="shared" si="244"/>
        <v/>
      </c>
      <c r="BF519" s="27" t="str">
        <f t="shared" si="245"/>
        <v/>
      </c>
      <c r="BG519" s="27" t="str">
        <f t="shared" si="246"/>
        <v/>
      </c>
      <c r="BH519" s="27" t="str">
        <f t="shared" si="247"/>
        <v/>
      </c>
      <c r="BI519" s="27" t="str">
        <f t="shared" si="248"/>
        <v/>
      </c>
      <c r="BJ519" s="27" t="str">
        <f t="shared" si="249"/>
        <v/>
      </c>
      <c r="BK519" s="27" t="str">
        <f t="shared" si="250"/>
        <v/>
      </c>
      <c r="BL519" s="27" t="str">
        <f t="shared" si="251"/>
        <v/>
      </c>
      <c r="BM519" s="21" t="s">
        <v>5582</v>
      </c>
    </row>
    <row r="520" spans="1:65" ht="15">
      <c r="A520" s="25" t="str">
        <f>IFERROR(INDEX('Hun Demand'!W:W,MATCH(O520,'Hun Demand'!A:A,0)),"")</f>
        <v/>
      </c>
      <c r="B520" s="25" t="str">
        <f>IFERROR(INDEX('Hun Demand'!V:V,MATCH(O520,'Hun Demand'!A:A,0)),"")</f>
        <v/>
      </c>
      <c r="C520" s="25" t="str">
        <f>IFERROR(INDEX('Hun Demand'!U:U,MATCH(O520,'Hun Demand'!A:A,0)),"")</f>
        <v/>
      </c>
      <c r="D520" s="25" t="str">
        <f>IFERROR(INDEX('Hun Demand'!T:T,MATCH(O520,'Hun Demand'!A:A,0)),"")</f>
        <v/>
      </c>
      <c r="E520" s="25" t="str">
        <f>IFERROR(INDEX('Hun Demand'!S:S,MATCH(O520,'Hun Demand'!A:A,0)),"")</f>
        <v/>
      </c>
      <c r="F520" s="25" t="str">
        <f>IFERROR(INDEX('Hun Demand'!R:R,MATCH(O520,'Hun Demand'!A:A,0)),"")</f>
        <v/>
      </c>
      <c r="G520" s="25">
        <f>IFERROR(INDEX('Aub Demand'!W:W,MATCH(O520,'Aub Demand'!A:A,0)),"")</f>
        <v>44</v>
      </c>
      <c r="H520" s="25">
        <f>IFERROR(INDEX('Aub Demand'!V:V,MATCH(O520,'Aub Demand'!A:A,0)),"")</f>
        <v>0</v>
      </c>
      <c r="I520" s="25">
        <f>IFERROR(INDEX('Aub Demand'!U:U,MATCH(O520,'Aub Demand'!A:A,0)),"")</f>
        <v>0</v>
      </c>
      <c r="J520" s="25">
        <f>IFERROR(INDEX('Aub Demand'!T:T,MATCH(O520,'Aub Demand'!A:A,0)),"")</f>
        <v>39</v>
      </c>
      <c r="K520" s="25">
        <f>IFERROR(INDEX('Aub Demand'!S:S,MATCH(O520,'Aub Demand'!A:A,0)),"")</f>
        <v>65</v>
      </c>
      <c r="L520" s="25">
        <f>IFERROR(INDEX('Aub Demand'!R:R,MATCH(O520,'Aub Demand'!A:A,0)),"")</f>
        <v>0</v>
      </c>
      <c r="O520" s="27" t="s">
        <v>860</v>
      </c>
      <c r="P520" s="27" t="str">
        <f>IFERROR(INDEX('Aub Demand'!B:B,MATCH($O520,'Aub Demand'!$A:$A,0)),"")</f>
        <v>OFS LIGHT MAPLE</v>
      </c>
      <c r="Q520" s="27" t="str">
        <f>IFERROR(INDEX('Aub Demand'!C:C,MATCH($O520,'Aub Demand'!$A:$A,0)),"")</f>
        <v>INTER</v>
      </c>
      <c r="R520" s="52">
        <f>IFERROR(IF(AR521=AR520,INDEX('Aub Demand'!K:K,MATCH($O520,'Aub Demand'!$A:$A,0))-IF(AN520="",0,AN520)+AP521,INDEX('Aub Demand'!K:K,MATCH($O520,'Aub Demand'!$A:$A,0))-IF(AN520="",0,AN520)),"")</f>
        <v>390</v>
      </c>
      <c r="S520" s="53">
        <f t="shared" si="224"/>
        <v>47.8</v>
      </c>
      <c r="T520" s="52" t="str">
        <f t="shared" si="225"/>
        <v/>
      </c>
      <c r="U520" s="52">
        <f>IFERROR(IF(AR521=AR520,INDEX('Aub Demand'!Q:Q,MATCH($O520,'Aub Demand'!$A:$A,0))-IF(AN520="",0,AN520)+AP521,INDEX('Aub Demand'!Q:Q,MATCH($O520,'Aub Demand'!$A:$A,0))-IF(AN520="",0,AN520)),"")</f>
        <v>390</v>
      </c>
      <c r="V520" s="53">
        <f t="shared" si="226"/>
        <v>47.8</v>
      </c>
      <c r="W520" s="52" t="str">
        <f t="shared" si="227"/>
        <v/>
      </c>
      <c r="X520" s="52">
        <f>IFERROR(IF(AND(AR521=AR520,AM520&lt;&gt;""),INDEX('Aub Demand'!Q:Q,MATCH($O520,'Aub Demand'!$A:$A,0))-IF(AN520="",0,AN520)+AP521+AD520+AL520,IF(AR521=AR520,INDEX('Aub Demand'!Q:Q,MATCH($O520,'Aub Demand'!$A:$A,0))-IF(AN520="",0,AN520)+AP521+AD520,IF(AM520&lt;&gt;"",INDEX('Aub Demand'!Q:Q,MATCH($O520,'Aub Demand'!$A:$A,0))-IF(AN520="",0,AN520)+AD520+AL520,INDEX('Aub Demand'!Q:Q,MATCH($O520,'Aub Demand'!$A:$A,0))-IF(AN520="",0,AN520)+AD520))),"")</f>
        <v>390</v>
      </c>
      <c r="Y520" s="53">
        <f t="shared" si="228"/>
        <v>47.8</v>
      </c>
      <c r="Z520" s="52">
        <f>IF(L520="","",INDEX('Aub Demand'!H:H,MATCH($O520,'Aub Demand'!$A:$A,0)))</f>
        <v>35</v>
      </c>
      <c r="AA520" s="52">
        <f t="shared" si="229"/>
        <v>52</v>
      </c>
      <c r="AB520" s="52">
        <f>IFERROR(INDEX('Aub Demand'!L:L,MATCH($O520,'Aub Demand'!$A:$A,0)),"")</f>
        <v>12</v>
      </c>
      <c r="AC520" s="52">
        <f>IFERROR(IF(O520="","",SUMIFS('CPL Mats'!F:F,'CPL Mats'!Q:Q,AR520,'CPL Mats'!S:S,AS520)),"")</f>
        <v>0</v>
      </c>
      <c r="AF520" s="25" t="str">
        <f>IF(SUMIFS('Supp Consol'!S:S,'Supp Consol'!Y:Y,"Releasable",'Supp Consol'!A:A,O520)=0,"",SUMIFS('Supp Consol'!S:S,'Supp Consol'!Y:Y,"Releasable",'Supp Consol'!A:A,O520))</f>
        <v/>
      </c>
      <c r="AG520" s="25" t="str">
        <f>IFERROR(INDEX('Hun Demand'!Q:Q,MATCH(O520,'Hun Demand'!A:A,0)),"")</f>
        <v/>
      </c>
      <c r="AH520" s="25" t="str">
        <f>IFERROR(INDEX('Hun Demand'!H:H,MATCH($O520,'Hun Demand'!$A:$A,0)),"")</f>
        <v/>
      </c>
      <c r="AI520" s="25" t="str">
        <f>IF(SUMIFS('Supp Consol'!AA:AA,'Supp Consol'!Z:Z,"Expires this month",'Supp Consol'!A:A,O520)=0,"",SUMIFS('Supp Consol'!AA:AA,'Supp Consol'!Z:Z,"Expires this month",'Supp Consol'!A:A,O520))</f>
        <v/>
      </c>
      <c r="AJ520" s="25" t="str">
        <f>IF(SUMIFS('Supp Consol'!AA:AA,'Supp Consol'!Z:Z,"Expired Previous Months",'Supp Consol'!A:A,O520)=0,"",SUMIFS('Supp Consol'!AA:AA,'Supp Consol'!Z:Z,"Expired Previous Months",'Supp Consol'!A:A,O520))</f>
        <v/>
      </c>
      <c r="AK520" s="25" t="str">
        <f>IFERROR(INDEX('Hun Release Current'!B:B,MATCH(O520,'Hun Release Current'!A:A,0)),"")</f>
        <v/>
      </c>
      <c r="AL520" s="25" t="str">
        <f>IF(SUMIF('Prev Aub'!A:A,O520,'Prev Aub'!B:B)=0,"",SUMIF('Prev Aub'!A:A,O520,'Prev Aub'!B:B))</f>
        <v/>
      </c>
      <c r="AN520" s="25" t="s">
        <v>3790</v>
      </c>
      <c r="AO520" s="25" t="s">
        <v>3790</v>
      </c>
      <c r="AP520" s="25">
        <f t="shared" si="230"/>
        <v>0</v>
      </c>
      <c r="AQ520" s="151" t="str">
        <f>IF(SUMIFS('Supp Consol'!S:S,'Supp Consol'!A:A,O520,'Supp Consol'!I:I,"PENDING")=0,"",SUMIFS('Supp Consol'!S:S,'Supp Consol'!A:A,O520,'Supp Consol'!I:I,"PENDING"))</f>
        <v/>
      </c>
      <c r="AR520" s="27" t="str">
        <f t="shared" si="231"/>
        <v>HP215</v>
      </c>
      <c r="AS520" s="27" t="str">
        <f t="shared" si="232"/>
        <v>62</v>
      </c>
      <c r="AT520" s="27" t="str">
        <f t="shared" si="233"/>
        <v/>
      </c>
      <c r="AU520" s="27" t="str">
        <f t="shared" si="234"/>
        <v/>
      </c>
      <c r="AV520" s="27" t="str">
        <f t="shared" si="235"/>
        <v/>
      </c>
      <c r="AW520" s="27" t="str">
        <f t="shared" si="236"/>
        <v/>
      </c>
      <c r="AX520" s="27" t="str">
        <f t="shared" si="237"/>
        <v/>
      </c>
      <c r="AY520" s="27" t="str">
        <f t="shared" si="238"/>
        <v/>
      </c>
      <c r="AZ520" s="27" t="str">
        <f t="shared" si="239"/>
        <v/>
      </c>
      <c r="BA520" s="27" t="str">
        <f t="shared" si="240"/>
        <v/>
      </c>
      <c r="BB520" s="27" t="str">
        <f t="shared" si="241"/>
        <v/>
      </c>
      <c r="BC520" s="27" t="str">
        <f t="shared" si="242"/>
        <v/>
      </c>
      <c r="BD520" s="27" t="str">
        <f t="shared" si="243"/>
        <v/>
      </c>
      <c r="BE520" s="27" t="str">
        <f t="shared" si="244"/>
        <v/>
      </c>
      <c r="BF520" s="27" t="str">
        <f t="shared" si="245"/>
        <v/>
      </c>
      <c r="BG520" s="27" t="str">
        <f t="shared" si="246"/>
        <v/>
      </c>
      <c r="BH520" s="27" t="str">
        <f t="shared" si="247"/>
        <v/>
      </c>
      <c r="BI520" s="27" t="str">
        <f t="shared" si="248"/>
        <v/>
      </c>
      <c r="BJ520" s="27" t="str">
        <f t="shared" si="249"/>
        <v/>
      </c>
      <c r="BK520" s="27" t="str">
        <f t="shared" si="250"/>
        <v/>
      </c>
      <c r="BL520" s="27" t="str">
        <f t="shared" si="251"/>
        <v/>
      </c>
      <c r="BM520" s="21" t="s">
        <v>5582</v>
      </c>
    </row>
    <row r="521" spans="1:65" ht="15">
      <c r="A521" s="25" t="str">
        <f>IFERROR(INDEX('Hun Demand'!W:W,MATCH(O521,'Hun Demand'!A:A,0)),"")</f>
        <v/>
      </c>
      <c r="B521" s="25" t="str">
        <f>IFERROR(INDEX('Hun Demand'!V:V,MATCH(O521,'Hun Demand'!A:A,0)),"")</f>
        <v/>
      </c>
      <c r="C521" s="25" t="str">
        <f>IFERROR(INDEX('Hun Demand'!U:U,MATCH(O521,'Hun Demand'!A:A,0)),"")</f>
        <v/>
      </c>
      <c r="D521" s="25" t="str">
        <f>IFERROR(INDEX('Hun Demand'!T:T,MATCH(O521,'Hun Demand'!A:A,0)),"")</f>
        <v/>
      </c>
      <c r="E521" s="25" t="str">
        <f>IFERROR(INDEX('Hun Demand'!S:S,MATCH(O521,'Hun Demand'!A:A,0)),"")</f>
        <v/>
      </c>
      <c r="F521" s="25" t="str">
        <f>IFERROR(INDEX('Hun Demand'!R:R,MATCH(O521,'Hun Demand'!A:A,0)),"")</f>
        <v/>
      </c>
      <c r="G521" s="25">
        <f>IFERROR(INDEX('Aub Demand'!W:W,MATCH(O521,'Aub Demand'!A:A,0)),"")</f>
        <v>0</v>
      </c>
      <c r="H521" s="25">
        <f>IFERROR(INDEX('Aub Demand'!V:V,MATCH(O521,'Aub Demand'!A:A,0)),"")</f>
        <v>0</v>
      </c>
      <c r="I521" s="25">
        <f>IFERROR(INDEX('Aub Demand'!U:U,MATCH(O521,'Aub Demand'!A:A,0)),"")</f>
        <v>85</v>
      </c>
      <c r="J521" s="25">
        <f>IFERROR(INDEX('Aub Demand'!T:T,MATCH(O521,'Aub Demand'!A:A,0)),"")</f>
        <v>61</v>
      </c>
      <c r="K521" s="25">
        <f>IFERROR(INDEX('Aub Demand'!S:S,MATCH(O521,'Aub Demand'!A:A,0)),"")</f>
        <v>0</v>
      </c>
      <c r="L521" s="25">
        <f>IFERROR(INDEX('Aub Demand'!R:R,MATCH(O521,'Aub Demand'!A:A,0)),"")</f>
        <v>0</v>
      </c>
      <c r="O521" s="27" t="s">
        <v>5352</v>
      </c>
      <c r="P521" s="27" t="str">
        <f>IFERROR(INDEX('Aub Demand'!B:B,MATCH($O521,'Aub Demand'!$A:$A,0)),"")</f>
        <v>OFS VINTAGE MAHOGANY</v>
      </c>
      <c r="Q521" s="27" t="str">
        <f>IFERROR(INDEX('Aub Demand'!C:C,MATCH($O521,'Aub Demand'!$A:$A,0)),"")</f>
        <v>INTER</v>
      </c>
      <c r="R521" s="52">
        <f>IFERROR(IF(AR522=AR521,INDEX('Aub Demand'!K:K,MATCH($O521,'Aub Demand'!$A:$A,0))-IF(AN521="",0,AN521)+AP522,INDEX('Aub Demand'!K:K,MATCH($O521,'Aub Demand'!$A:$A,0))-IF(AN521="",0,AN521)),"")</f>
        <v>0</v>
      </c>
      <c r="S521" s="53">
        <f t="shared" si="224"/>
        <v>0</v>
      </c>
      <c r="T521" s="52">
        <f t="shared" si="225"/>
        <v>54.75</v>
      </c>
      <c r="U521" s="52">
        <f>IFERROR(IF(AR522=AR521,INDEX('Aub Demand'!Q:Q,MATCH($O521,'Aub Demand'!$A:$A,0))-IF(AN521="",0,AN521)+AP522,INDEX('Aub Demand'!Q:Q,MATCH($O521,'Aub Demand'!$A:$A,0))-IF(AN521="",0,AN521)),"")</f>
        <v>0</v>
      </c>
      <c r="V521" s="53">
        <f t="shared" si="226"/>
        <v>0</v>
      </c>
      <c r="W521" s="52">
        <f t="shared" si="227"/>
        <v>54.75</v>
      </c>
      <c r="X521" s="52">
        <f>IFERROR(IF(AND(AR522=AR521,AM521&lt;&gt;""),INDEX('Aub Demand'!Q:Q,MATCH($O521,'Aub Demand'!$A:$A,0))-IF(AN521="",0,AN521)+AP522+AD521+AL521,IF(AR522=AR521,INDEX('Aub Demand'!Q:Q,MATCH($O521,'Aub Demand'!$A:$A,0))-IF(AN521="",0,AN521)+AP522+AD521,IF(AM521&lt;&gt;"",INDEX('Aub Demand'!Q:Q,MATCH($O521,'Aub Demand'!$A:$A,0))-IF(AN521="",0,AN521)+AD521+AL521,INDEX('Aub Demand'!Q:Q,MATCH($O521,'Aub Demand'!$A:$A,0))-IF(AN521="",0,AN521)+AD521))),"")</f>
        <v>0</v>
      </c>
      <c r="Y521" s="53">
        <f t="shared" si="228"/>
        <v>0</v>
      </c>
      <c r="Z521" s="52">
        <f>IF(L521="","",INDEX('Aub Demand'!H:H,MATCH($O521,'Aub Demand'!$A:$A,0)))</f>
        <v>49</v>
      </c>
      <c r="AA521" s="52">
        <f t="shared" si="229"/>
        <v>73</v>
      </c>
      <c r="AB521" s="52">
        <f>IFERROR(INDEX('Aub Demand'!L:L,MATCH($O521,'Aub Demand'!$A:$A,0)),"")</f>
        <v>0</v>
      </c>
      <c r="AC521" s="52">
        <f>IFERROR(IF(O521="","",SUMIFS('CPL Mats'!F:F,'CPL Mats'!Q:Q,AR521,'CPL Mats'!S:S,AS521)),"")</f>
        <v>0</v>
      </c>
      <c r="AF521" s="25" t="str">
        <f>IF(SUMIFS('Supp Consol'!S:S,'Supp Consol'!Y:Y,"Releasable",'Supp Consol'!A:A,O521)=0,"",SUMIFS('Supp Consol'!S:S,'Supp Consol'!Y:Y,"Releasable",'Supp Consol'!A:A,O521))</f>
        <v/>
      </c>
      <c r="AG521" s="25" t="str">
        <f>IFERROR(INDEX('Hun Demand'!Q:Q,MATCH(O521,'Hun Demand'!A:A,0)),"")</f>
        <v/>
      </c>
      <c r="AH521" s="25" t="str">
        <f>IFERROR(INDEX('Hun Demand'!H:H,MATCH($O521,'Hun Demand'!$A:$A,0)),"")</f>
        <v/>
      </c>
      <c r="AI521" s="25" t="str">
        <f>IF(SUMIFS('Supp Consol'!AA:AA,'Supp Consol'!Z:Z,"Expires this month",'Supp Consol'!A:A,O521)=0,"",SUMIFS('Supp Consol'!AA:AA,'Supp Consol'!Z:Z,"Expires this month",'Supp Consol'!A:A,O521))</f>
        <v/>
      </c>
      <c r="AJ521" s="25" t="str">
        <f>IF(SUMIFS('Supp Consol'!AA:AA,'Supp Consol'!Z:Z,"Expired Previous Months",'Supp Consol'!A:A,O521)=0,"",SUMIFS('Supp Consol'!AA:AA,'Supp Consol'!Z:Z,"Expired Previous Months",'Supp Consol'!A:A,O521))</f>
        <v/>
      </c>
      <c r="AK521" s="25" t="str">
        <f>IFERROR(INDEX('Hun Release Current'!B:B,MATCH(O521,'Hun Release Current'!A:A,0)),"")</f>
        <v/>
      </c>
      <c r="AL521" s="25" t="str">
        <f>IF(SUMIF('Prev Aub'!A:A,O521,'Prev Aub'!B:B)=0,"",SUMIF('Prev Aub'!A:A,O521,'Prev Aub'!B:B))</f>
        <v/>
      </c>
      <c r="AN521" s="25" t="s">
        <v>3790</v>
      </c>
      <c r="AO521" s="25" t="s">
        <v>3790</v>
      </c>
      <c r="AP521" s="25">
        <f t="shared" si="230"/>
        <v>0</v>
      </c>
      <c r="AQ521" s="151" t="str">
        <f>IF(SUMIFS('Supp Consol'!S:S,'Supp Consol'!A:A,O521,'Supp Consol'!I:I,"PENDING")=0,"",SUMIFS('Supp Consol'!S:S,'Supp Consol'!A:A,O521,'Supp Consol'!I:I,"PENDING"))</f>
        <v/>
      </c>
      <c r="AR521" s="27" t="str">
        <f t="shared" si="231"/>
        <v>HP218</v>
      </c>
      <c r="AS521" s="27" t="str">
        <f t="shared" si="232"/>
        <v>50</v>
      </c>
      <c r="AT521" s="27" t="str">
        <f t="shared" si="233"/>
        <v>HP218</v>
      </c>
      <c r="AU521" s="27" t="str">
        <f t="shared" si="234"/>
        <v>HP218</v>
      </c>
      <c r="AV521" s="27" t="str">
        <f t="shared" si="235"/>
        <v>HP218</v>
      </c>
      <c r="AW521" s="27" t="str">
        <f t="shared" si="236"/>
        <v/>
      </c>
      <c r="AX521" s="27" t="str">
        <f t="shared" si="237"/>
        <v/>
      </c>
      <c r="AY521" s="27" t="str">
        <f t="shared" si="238"/>
        <v/>
      </c>
      <c r="AZ521" s="27" t="str">
        <f t="shared" si="239"/>
        <v/>
      </c>
      <c r="BA521" s="27" t="str">
        <f t="shared" si="240"/>
        <v/>
      </c>
      <c r="BB521" s="27" t="str">
        <f t="shared" si="241"/>
        <v>Gross</v>
      </c>
      <c r="BC521" s="27" t="str">
        <f t="shared" si="242"/>
        <v>Net</v>
      </c>
      <c r="BD521" s="27" t="str">
        <f t="shared" si="243"/>
        <v>Net</v>
      </c>
      <c r="BE521" s="27" t="str">
        <f t="shared" si="244"/>
        <v/>
      </c>
      <c r="BF521" s="27" t="str">
        <f t="shared" si="245"/>
        <v/>
      </c>
      <c r="BG521" s="27" t="str">
        <f t="shared" si="246"/>
        <v/>
      </c>
      <c r="BH521" s="27" t="str">
        <f t="shared" si="247"/>
        <v/>
      </c>
      <c r="BI521" s="27" t="str">
        <f t="shared" si="248"/>
        <v/>
      </c>
      <c r="BJ521" s="27" t="str">
        <f t="shared" si="249"/>
        <v/>
      </c>
      <c r="BK521" s="27" t="str">
        <f t="shared" si="250"/>
        <v/>
      </c>
      <c r="BL521" s="27" t="str">
        <f t="shared" si="251"/>
        <v/>
      </c>
      <c r="BM521" s="21" t="s">
        <v>5582</v>
      </c>
    </row>
    <row r="522" spans="1:65" ht="15">
      <c r="A522" s="25" t="str">
        <f>IFERROR(INDEX('Hun Demand'!W:W,MATCH(O522,'Hun Demand'!A:A,0)),"")</f>
        <v/>
      </c>
      <c r="B522" s="25" t="str">
        <f>IFERROR(INDEX('Hun Demand'!V:V,MATCH(O522,'Hun Demand'!A:A,0)),"")</f>
        <v/>
      </c>
      <c r="C522" s="25" t="str">
        <f>IFERROR(INDEX('Hun Demand'!U:U,MATCH(O522,'Hun Demand'!A:A,0)),"")</f>
        <v/>
      </c>
      <c r="D522" s="25" t="str">
        <f>IFERROR(INDEX('Hun Demand'!T:T,MATCH(O522,'Hun Demand'!A:A,0)),"")</f>
        <v/>
      </c>
      <c r="E522" s="25" t="str">
        <f>IFERROR(INDEX('Hun Demand'!S:S,MATCH(O522,'Hun Demand'!A:A,0)),"")</f>
        <v/>
      </c>
      <c r="F522" s="25" t="str">
        <f>IFERROR(INDEX('Hun Demand'!R:R,MATCH(O522,'Hun Demand'!A:A,0)),"")</f>
        <v/>
      </c>
      <c r="G522" s="25">
        <f>IFERROR(INDEX('Aub Demand'!W:W,MATCH(O522,'Aub Demand'!A:A,0)),"")</f>
        <v>0</v>
      </c>
      <c r="H522" s="25">
        <f>IFERROR(INDEX('Aub Demand'!V:V,MATCH(O522,'Aub Demand'!A:A,0)),"")</f>
        <v>0</v>
      </c>
      <c r="I522" s="25">
        <f>IFERROR(INDEX('Aub Demand'!U:U,MATCH(O522,'Aub Demand'!A:A,0)),"")</f>
        <v>0</v>
      </c>
      <c r="J522" s="25">
        <f>IFERROR(INDEX('Aub Demand'!T:T,MATCH(O522,'Aub Demand'!A:A,0)),"")</f>
        <v>100</v>
      </c>
      <c r="K522" s="25">
        <f>IFERROR(INDEX('Aub Demand'!S:S,MATCH(O522,'Aub Demand'!A:A,0)),"")</f>
        <v>123</v>
      </c>
      <c r="L522" s="25">
        <f>IFERROR(INDEX('Aub Demand'!R:R,MATCH(O522,'Aub Demand'!A:A,0)),"")</f>
        <v>0</v>
      </c>
      <c r="O522" s="27" t="s">
        <v>862</v>
      </c>
      <c r="P522" s="27" t="str">
        <f>IFERROR(INDEX('Aub Demand'!B:B,MATCH($O522,'Aub Demand'!$A:$A,0)),"")</f>
        <v>OFS VINTAGE MAHOGANY</v>
      </c>
      <c r="Q522" s="27" t="str">
        <f>IFERROR(INDEX('Aub Demand'!C:C,MATCH($O522,'Aub Demand'!$A:$A,0)),"")</f>
        <v>INTER</v>
      </c>
      <c r="R522" s="52">
        <f>IFERROR(IF(AR523=AR522,INDEX('Aub Demand'!K:K,MATCH($O522,'Aub Demand'!$A:$A,0))-IF(AN522="",0,AN522)+AP523,INDEX('Aub Demand'!K:K,MATCH($O522,'Aub Demand'!$A:$A,0))-IF(AN522="",0,AN522)),"")</f>
        <v>0</v>
      </c>
      <c r="S522" s="53">
        <f t="shared" si="224"/>
        <v>0</v>
      </c>
      <c r="T522" s="52">
        <f t="shared" si="225"/>
        <v>83.625</v>
      </c>
      <c r="U522" s="52">
        <f>IFERROR(IF(AR523=AR522,INDEX('Aub Demand'!Q:Q,MATCH($O522,'Aub Demand'!$A:$A,0))-IF(AN522="",0,AN522)+AP523,INDEX('Aub Demand'!Q:Q,MATCH($O522,'Aub Demand'!$A:$A,0))-IF(AN522="",0,AN522)),"")</f>
        <v>0</v>
      </c>
      <c r="V522" s="53">
        <f t="shared" si="226"/>
        <v>0</v>
      </c>
      <c r="W522" s="52">
        <f t="shared" si="227"/>
        <v>83.625</v>
      </c>
      <c r="X522" s="52">
        <f>IFERROR(IF(AND(AR523=AR522,AM522&lt;&gt;""),INDEX('Aub Demand'!Q:Q,MATCH($O522,'Aub Demand'!$A:$A,0))-IF(AN522="",0,AN522)+AP523+AD522+AL522,IF(AR523=AR522,INDEX('Aub Demand'!Q:Q,MATCH($O522,'Aub Demand'!$A:$A,0))-IF(AN522="",0,AN522)+AP523+AD522,IF(AM522&lt;&gt;"",INDEX('Aub Demand'!Q:Q,MATCH($O522,'Aub Demand'!$A:$A,0))-IF(AN522="",0,AN522)+AD522+AL522,INDEX('Aub Demand'!Q:Q,MATCH($O522,'Aub Demand'!$A:$A,0))-IF(AN522="",0,AN522)+AD522))),"")</f>
        <v>0</v>
      </c>
      <c r="Y522" s="53">
        <f t="shared" si="228"/>
        <v>0</v>
      </c>
      <c r="Z522" s="52">
        <f>IF(L522="","",INDEX('Aub Demand'!H:H,MATCH($O522,'Aub Demand'!$A:$A,0)))</f>
        <v>74</v>
      </c>
      <c r="AA522" s="52">
        <f t="shared" si="229"/>
        <v>111.5</v>
      </c>
      <c r="AB522" s="52">
        <f>IFERROR(INDEX('Aub Demand'!L:L,MATCH($O522,'Aub Demand'!$A:$A,0)),"")</f>
        <v>17</v>
      </c>
      <c r="AC522" s="52">
        <f>IFERROR(IF(O522="","",SUMIFS('CPL Mats'!F:F,'CPL Mats'!Q:Q,AR522,'CPL Mats'!S:S,AS522)),"")</f>
        <v>0</v>
      </c>
      <c r="AF522" s="25" t="str">
        <f>IF(SUMIFS('Supp Consol'!S:S,'Supp Consol'!Y:Y,"Releasable",'Supp Consol'!A:A,O522)=0,"",SUMIFS('Supp Consol'!S:S,'Supp Consol'!Y:Y,"Releasable",'Supp Consol'!A:A,O522))</f>
        <v/>
      </c>
      <c r="AG522" s="25" t="str">
        <f>IFERROR(INDEX('Hun Demand'!Q:Q,MATCH(O522,'Hun Demand'!A:A,0)),"")</f>
        <v/>
      </c>
      <c r="AH522" s="25" t="str">
        <f>IFERROR(INDEX('Hun Demand'!H:H,MATCH($O522,'Hun Demand'!$A:$A,0)),"")</f>
        <v/>
      </c>
      <c r="AI522" s="25" t="str">
        <f>IF(SUMIFS('Supp Consol'!AA:AA,'Supp Consol'!Z:Z,"Expires this month",'Supp Consol'!A:A,O522)=0,"",SUMIFS('Supp Consol'!AA:AA,'Supp Consol'!Z:Z,"Expires this month",'Supp Consol'!A:A,O522))</f>
        <v/>
      </c>
      <c r="AJ522" s="25" t="str">
        <f>IF(SUMIFS('Supp Consol'!AA:AA,'Supp Consol'!Z:Z,"Expired Previous Months",'Supp Consol'!A:A,O522)=0,"",SUMIFS('Supp Consol'!AA:AA,'Supp Consol'!Z:Z,"Expired Previous Months",'Supp Consol'!A:A,O522))</f>
        <v/>
      </c>
      <c r="AK522" s="25" t="str">
        <f>IFERROR(INDEX('Hun Release Current'!B:B,MATCH(O522,'Hun Release Current'!A:A,0)),"")</f>
        <v/>
      </c>
      <c r="AL522" s="25" t="str">
        <f>IF(SUMIF('Prev Aub'!A:A,O522,'Prev Aub'!B:B)=0,"",SUMIF('Prev Aub'!A:A,O522,'Prev Aub'!B:B))</f>
        <v/>
      </c>
      <c r="AN522" s="25" t="s">
        <v>3790</v>
      </c>
      <c r="AO522" s="25" t="s">
        <v>3790</v>
      </c>
      <c r="AP522" s="25">
        <f t="shared" si="230"/>
        <v>0</v>
      </c>
      <c r="AQ522" s="151" t="str">
        <f>IF(SUMIFS('Supp Consol'!S:S,'Supp Consol'!A:A,O522,'Supp Consol'!I:I,"PENDING")=0,"",SUMIFS('Supp Consol'!S:S,'Supp Consol'!A:A,O522,'Supp Consol'!I:I,"PENDING"))</f>
        <v/>
      </c>
      <c r="AR522" s="27" t="str">
        <f t="shared" si="231"/>
        <v>HP218</v>
      </c>
      <c r="AS522" s="27" t="str">
        <f t="shared" si="232"/>
        <v>62</v>
      </c>
      <c r="AT522" s="27" t="str">
        <f t="shared" si="233"/>
        <v>HP218</v>
      </c>
      <c r="AU522" s="27" t="str">
        <f t="shared" si="234"/>
        <v>HP218</v>
      </c>
      <c r="AV522" s="27" t="str">
        <f t="shared" si="235"/>
        <v>HP218</v>
      </c>
      <c r="AW522" s="27" t="str">
        <f t="shared" si="236"/>
        <v/>
      </c>
      <c r="AX522" s="27" t="str">
        <f t="shared" si="237"/>
        <v/>
      </c>
      <c r="AY522" s="27" t="str">
        <f t="shared" si="238"/>
        <v/>
      </c>
      <c r="AZ522" s="27" t="str">
        <f t="shared" si="239"/>
        <v/>
      </c>
      <c r="BA522" s="27" t="str">
        <f t="shared" si="240"/>
        <v/>
      </c>
      <c r="BB522" s="27" t="str">
        <f t="shared" si="241"/>
        <v>Gross</v>
      </c>
      <c r="BC522" s="27" t="str">
        <f t="shared" si="242"/>
        <v>Net</v>
      </c>
      <c r="BD522" s="27" t="str">
        <f t="shared" si="243"/>
        <v>Net</v>
      </c>
      <c r="BE522" s="27" t="str">
        <f t="shared" si="244"/>
        <v/>
      </c>
      <c r="BF522" s="27" t="str">
        <f t="shared" si="245"/>
        <v/>
      </c>
      <c r="BG522" s="27" t="str">
        <f t="shared" si="246"/>
        <v/>
      </c>
      <c r="BH522" s="27" t="str">
        <f t="shared" si="247"/>
        <v/>
      </c>
      <c r="BI522" s="27" t="str">
        <f t="shared" si="248"/>
        <v/>
      </c>
      <c r="BJ522" s="27" t="str">
        <f t="shared" si="249"/>
        <v/>
      </c>
      <c r="BK522" s="27" t="str">
        <f t="shared" si="250"/>
        <v/>
      </c>
      <c r="BL522" s="27" t="str">
        <f t="shared" si="251"/>
        <v/>
      </c>
      <c r="BM522" s="21" t="s">
        <v>5582</v>
      </c>
    </row>
    <row r="523" spans="1:65" ht="15">
      <c r="A523" s="25" t="str">
        <f>IFERROR(INDEX('Hun Demand'!W:W,MATCH(O523,'Hun Demand'!A:A,0)),"")</f>
        <v/>
      </c>
      <c r="B523" s="25" t="str">
        <f>IFERROR(INDEX('Hun Demand'!V:V,MATCH(O523,'Hun Demand'!A:A,0)),"")</f>
        <v/>
      </c>
      <c r="C523" s="25" t="str">
        <f>IFERROR(INDEX('Hun Demand'!U:U,MATCH(O523,'Hun Demand'!A:A,0)),"")</f>
        <v/>
      </c>
      <c r="D523" s="25" t="str">
        <f>IFERROR(INDEX('Hun Demand'!T:T,MATCH(O523,'Hun Demand'!A:A,0)),"")</f>
        <v/>
      </c>
      <c r="E523" s="25" t="str">
        <f>IFERROR(INDEX('Hun Demand'!S:S,MATCH(O523,'Hun Demand'!A:A,0)),"")</f>
        <v/>
      </c>
      <c r="F523" s="25" t="str">
        <f>IFERROR(INDEX('Hun Demand'!R:R,MATCH(O523,'Hun Demand'!A:A,0)),"")</f>
        <v/>
      </c>
      <c r="G523" s="25">
        <f>IFERROR(INDEX('Aub Demand'!W:W,MATCH(O523,'Aub Demand'!A:A,0)),"")</f>
        <v>97</v>
      </c>
      <c r="H523" s="25">
        <f>IFERROR(INDEX('Aub Demand'!V:V,MATCH(O523,'Aub Demand'!A:A,0)),"")</f>
        <v>0</v>
      </c>
      <c r="I523" s="25">
        <f>IFERROR(INDEX('Aub Demand'!U:U,MATCH(O523,'Aub Demand'!A:A,0)),"")</f>
        <v>60</v>
      </c>
      <c r="J523" s="25">
        <f>IFERROR(INDEX('Aub Demand'!T:T,MATCH(O523,'Aub Demand'!A:A,0)),"")</f>
        <v>0</v>
      </c>
      <c r="K523" s="25">
        <f>IFERROR(INDEX('Aub Demand'!S:S,MATCH(O523,'Aub Demand'!A:A,0)),"")</f>
        <v>64</v>
      </c>
      <c r="L523" s="25">
        <f>IFERROR(INDEX('Aub Demand'!R:R,MATCH(O523,'Aub Demand'!A:A,0)),"")</f>
        <v>0</v>
      </c>
      <c r="O523" s="27" t="s">
        <v>864</v>
      </c>
      <c r="P523" s="27" t="str">
        <f>IFERROR(INDEX('Aub Demand'!B:B,MATCH($O523,'Aub Demand'!$A:$A,0)),"")</f>
        <v>OFS LIGHT CHERRY</v>
      </c>
      <c r="Q523" s="27" t="str">
        <f>IFERROR(INDEX('Aub Demand'!C:C,MATCH($O523,'Aub Demand'!$A:$A,0)),"")</f>
        <v>SUDDE</v>
      </c>
      <c r="R523" s="52">
        <f>IFERROR(IF(AR524=AR523,INDEX('Aub Demand'!K:K,MATCH($O523,'Aub Demand'!$A:$A,0))-IF(AN523="",0,AN523)+AP524,INDEX('Aub Demand'!K:K,MATCH($O523,'Aub Demand'!$A:$A,0))-IF(AN523="",0,AN523)),"")</f>
        <v>0</v>
      </c>
      <c r="S523" s="53">
        <f t="shared" si="224"/>
        <v>0</v>
      </c>
      <c r="T523" s="52">
        <f t="shared" si="225"/>
        <v>46.5</v>
      </c>
      <c r="U523" s="52">
        <f>IFERROR(IF(AR524=AR523,INDEX('Aub Demand'!Q:Q,MATCH($O523,'Aub Demand'!$A:$A,0))-IF(AN523="",0,AN523)+AP524,INDEX('Aub Demand'!Q:Q,MATCH($O523,'Aub Demand'!$A:$A,0))-IF(AN523="",0,AN523)),"")</f>
        <v>-10</v>
      </c>
      <c r="V523" s="53">
        <f t="shared" si="226"/>
        <v>-1</v>
      </c>
      <c r="W523" s="52">
        <f t="shared" si="227"/>
        <v>62</v>
      </c>
      <c r="X523" s="52">
        <f>IFERROR(IF(AND(AR524=AR523,AM523&lt;&gt;""),INDEX('Aub Demand'!Q:Q,MATCH($O523,'Aub Demand'!$A:$A,0))-IF(AN523="",0,AN523)+AP524+AD523+AL523,IF(AR524=AR523,INDEX('Aub Demand'!Q:Q,MATCH($O523,'Aub Demand'!$A:$A,0))-IF(AN523="",0,AN523)+AP524+AD523,IF(AM523&lt;&gt;"",INDEX('Aub Demand'!Q:Q,MATCH($O523,'Aub Demand'!$A:$A,0))-IF(AN523="",0,AN523)+AD523+AL523,INDEX('Aub Demand'!Q:Q,MATCH($O523,'Aub Demand'!$A:$A,0))-IF(AN523="",0,AN523)+AD523))),"")</f>
        <v>-10</v>
      </c>
      <c r="Y523" s="53">
        <f t="shared" si="228"/>
        <v>-1</v>
      </c>
      <c r="Z523" s="52">
        <f>IF(L523="","",INDEX('Aub Demand'!H:H,MATCH($O523,'Aub Demand'!$A:$A,0)))</f>
        <v>41</v>
      </c>
      <c r="AA523" s="52">
        <f t="shared" si="229"/>
        <v>62</v>
      </c>
      <c r="AB523" s="52">
        <f>IFERROR(INDEX('Aub Demand'!L:L,MATCH($O523,'Aub Demand'!$A:$A,0)),"")</f>
        <v>0</v>
      </c>
      <c r="AC523" s="52">
        <f>IFERROR(IF(O523="","",SUMIFS('CPL Mats'!F:F,'CPL Mats'!Q:Q,AR523,'CPL Mats'!S:S,AS523)),"")</f>
        <v>0</v>
      </c>
      <c r="AF523" s="25" t="str">
        <f>IF(SUMIFS('Supp Consol'!S:S,'Supp Consol'!Y:Y,"Releasable",'Supp Consol'!A:A,O523)=0,"",SUMIFS('Supp Consol'!S:S,'Supp Consol'!Y:Y,"Releasable",'Supp Consol'!A:A,O523))</f>
        <v/>
      </c>
      <c r="AG523" s="25" t="str">
        <f>IFERROR(INDEX('Hun Demand'!Q:Q,MATCH(O523,'Hun Demand'!A:A,0)),"")</f>
        <v/>
      </c>
      <c r="AH523" s="25" t="str">
        <f>IFERROR(INDEX('Hun Demand'!H:H,MATCH($O523,'Hun Demand'!$A:$A,0)),"")</f>
        <v/>
      </c>
      <c r="AI523" s="25" t="str">
        <f>IF(SUMIFS('Supp Consol'!AA:AA,'Supp Consol'!Z:Z,"Expires this month",'Supp Consol'!A:A,O523)=0,"",SUMIFS('Supp Consol'!AA:AA,'Supp Consol'!Z:Z,"Expires this month",'Supp Consol'!A:A,O523))</f>
        <v/>
      </c>
      <c r="AJ523" s="25" t="str">
        <f>IF(SUMIFS('Supp Consol'!AA:AA,'Supp Consol'!Z:Z,"Expired Previous Months",'Supp Consol'!A:A,O523)=0,"",SUMIFS('Supp Consol'!AA:AA,'Supp Consol'!Z:Z,"Expired Previous Months",'Supp Consol'!A:A,O523))</f>
        <v/>
      </c>
      <c r="AK523" s="25" t="str">
        <f>IFERROR(INDEX('Hun Release Current'!B:B,MATCH(O523,'Hun Release Current'!A:A,0)),"")</f>
        <v/>
      </c>
      <c r="AL523" s="25" t="str">
        <f>IF(SUMIF('Prev Aub'!A:A,O523,'Prev Aub'!B:B)=0,"",SUMIF('Prev Aub'!A:A,O523,'Prev Aub'!B:B))</f>
        <v/>
      </c>
      <c r="AN523" s="25" t="s">
        <v>3790</v>
      </c>
      <c r="AO523" s="25" t="s">
        <v>3790</v>
      </c>
      <c r="AP523" s="25">
        <f t="shared" si="230"/>
        <v>0</v>
      </c>
      <c r="AQ523" s="151" t="str">
        <f>IF(SUMIFS('Supp Consol'!S:S,'Supp Consol'!A:A,O523,'Supp Consol'!I:I,"PENDING")=0,"",SUMIFS('Supp Consol'!S:S,'Supp Consol'!A:A,O523,'Supp Consol'!I:I,"PENDING"))</f>
        <v/>
      </c>
      <c r="AR523" s="27" t="str">
        <f t="shared" si="231"/>
        <v>HP223</v>
      </c>
      <c r="AS523" s="27" t="str">
        <f t="shared" si="232"/>
        <v>50</v>
      </c>
      <c r="AT523" s="27" t="str">
        <f t="shared" si="233"/>
        <v>HP223</v>
      </c>
      <c r="AU523" s="27" t="str">
        <f t="shared" si="234"/>
        <v>HP223</v>
      </c>
      <c r="AV523" s="27" t="str">
        <f t="shared" si="235"/>
        <v>HP223</v>
      </c>
      <c r="AW523" s="27" t="str">
        <f t="shared" si="236"/>
        <v/>
      </c>
      <c r="AX523" s="27" t="str">
        <f t="shared" si="237"/>
        <v/>
      </c>
      <c r="AY523" s="27" t="str">
        <f t="shared" si="238"/>
        <v/>
      </c>
      <c r="AZ523" s="27" t="str">
        <f t="shared" si="239"/>
        <v/>
      </c>
      <c r="BA523" s="27" t="str">
        <f t="shared" si="240"/>
        <v/>
      </c>
      <c r="BB523" s="27" t="str">
        <f t="shared" si="241"/>
        <v>Gross</v>
      </c>
      <c r="BC523" s="27" t="str">
        <f t="shared" si="242"/>
        <v>Net</v>
      </c>
      <c r="BD523" s="27" t="str">
        <f t="shared" si="243"/>
        <v>Net</v>
      </c>
      <c r="BE523" s="27" t="str">
        <f t="shared" si="244"/>
        <v/>
      </c>
      <c r="BF523" s="27" t="str">
        <f t="shared" si="245"/>
        <v/>
      </c>
      <c r="BG523" s="27" t="str">
        <f t="shared" si="246"/>
        <v/>
      </c>
      <c r="BH523" s="27" t="str">
        <f t="shared" si="247"/>
        <v/>
      </c>
      <c r="BI523" s="27" t="str">
        <f t="shared" si="248"/>
        <v/>
      </c>
      <c r="BJ523" s="27" t="str">
        <f t="shared" si="249"/>
        <v/>
      </c>
      <c r="BK523" s="27" t="str">
        <f t="shared" si="250"/>
        <v/>
      </c>
      <c r="BL523" s="27" t="str">
        <f t="shared" si="251"/>
        <v/>
      </c>
      <c r="BM523" s="21" t="s">
        <v>5581</v>
      </c>
    </row>
    <row r="524" spans="1:65" ht="15">
      <c r="A524" s="25" t="str">
        <f>IFERROR(INDEX('Hun Demand'!W:W,MATCH(O524,'Hun Demand'!A:A,0)),"")</f>
        <v/>
      </c>
      <c r="B524" s="25" t="str">
        <f>IFERROR(INDEX('Hun Demand'!V:V,MATCH(O524,'Hun Demand'!A:A,0)),"")</f>
        <v/>
      </c>
      <c r="C524" s="25" t="str">
        <f>IFERROR(INDEX('Hun Demand'!U:U,MATCH(O524,'Hun Demand'!A:A,0)),"")</f>
        <v/>
      </c>
      <c r="D524" s="25" t="str">
        <f>IFERROR(INDEX('Hun Demand'!T:T,MATCH(O524,'Hun Demand'!A:A,0)),"")</f>
        <v/>
      </c>
      <c r="E524" s="25" t="str">
        <f>IFERROR(INDEX('Hun Demand'!S:S,MATCH(O524,'Hun Demand'!A:A,0)),"")</f>
        <v/>
      </c>
      <c r="F524" s="25" t="str">
        <f>IFERROR(INDEX('Hun Demand'!R:R,MATCH(O524,'Hun Demand'!A:A,0)),"")</f>
        <v/>
      </c>
      <c r="G524" s="25">
        <f>IFERROR(INDEX('Aub Demand'!W:W,MATCH(O524,'Aub Demand'!A:A,0)),"")</f>
        <v>0</v>
      </c>
      <c r="H524" s="25">
        <f>IFERROR(INDEX('Aub Demand'!V:V,MATCH(O524,'Aub Demand'!A:A,0)),"")</f>
        <v>0</v>
      </c>
      <c r="I524" s="25">
        <f>IFERROR(INDEX('Aub Demand'!U:U,MATCH(O524,'Aub Demand'!A:A,0)),"")</f>
        <v>0</v>
      </c>
      <c r="J524" s="25">
        <f>IFERROR(INDEX('Aub Demand'!T:T,MATCH(O524,'Aub Demand'!A:A,0)),"")</f>
        <v>0</v>
      </c>
      <c r="K524" s="25">
        <f>IFERROR(INDEX('Aub Demand'!S:S,MATCH(O524,'Aub Demand'!A:A,0)),"")</f>
        <v>177</v>
      </c>
      <c r="L524" s="25">
        <f>IFERROR(INDEX('Aub Demand'!R:R,MATCH(O524,'Aub Demand'!A:A,0)),"")</f>
        <v>0</v>
      </c>
      <c r="O524" s="27" t="s">
        <v>866</v>
      </c>
      <c r="P524" s="27" t="str">
        <f>IFERROR(INDEX('Aub Demand'!B:B,MATCH($O524,'Aub Demand'!$A:$A,0)),"")</f>
        <v>OFS LIGHT CHERRY</v>
      </c>
      <c r="Q524" s="27" t="str">
        <f>IFERROR(INDEX('Aub Demand'!C:C,MATCH($O524,'Aub Demand'!$A:$A,0)),"")</f>
        <v>SUDDE</v>
      </c>
      <c r="R524" s="52">
        <f>IFERROR(IF(AR525=AR524,INDEX('Aub Demand'!K:K,MATCH($O524,'Aub Demand'!$A:$A,0))-IF(AN524="",0,AN524)+AP525,INDEX('Aub Demand'!K:K,MATCH($O524,'Aub Demand'!$A:$A,0))-IF(AN524="",0,AN524)),"")</f>
        <v>2355</v>
      </c>
      <c r="S524" s="53">
        <f t="shared" si="224"/>
        <v>171.1</v>
      </c>
      <c r="T524" s="52" t="str">
        <f t="shared" si="225"/>
        <v/>
      </c>
      <c r="U524" s="52">
        <f>IFERROR(IF(AR525=AR524,INDEX('Aub Demand'!Q:Q,MATCH($O524,'Aub Demand'!$A:$A,0))-IF(AN524="",0,AN524)+AP525,INDEX('Aub Demand'!Q:Q,MATCH($O524,'Aub Demand'!$A:$A,0))-IF(AN524="",0,AN524)),"")</f>
        <v>2355</v>
      </c>
      <c r="V524" s="53">
        <f t="shared" si="226"/>
        <v>171.1</v>
      </c>
      <c r="W524" s="52" t="str">
        <f t="shared" si="227"/>
        <v/>
      </c>
      <c r="X524" s="52">
        <f>IFERROR(IF(AND(AR525=AR524,AM524&lt;&gt;""),INDEX('Aub Demand'!Q:Q,MATCH($O524,'Aub Demand'!$A:$A,0))-IF(AN524="",0,AN524)+AP525+AD524+AL524,IF(AR525=AR524,INDEX('Aub Demand'!Q:Q,MATCH($O524,'Aub Demand'!$A:$A,0))-IF(AN524="",0,AN524)+AP525+AD524,IF(AM524&lt;&gt;"",INDEX('Aub Demand'!Q:Q,MATCH($O524,'Aub Demand'!$A:$A,0))-IF(AN524="",0,AN524)+AD524+AL524,INDEX('Aub Demand'!Q:Q,MATCH($O524,'Aub Demand'!$A:$A,0))-IF(AN524="",0,AN524)+AD524))),"")</f>
        <v>2355</v>
      </c>
      <c r="Y524" s="53">
        <f t="shared" si="228"/>
        <v>171.1</v>
      </c>
      <c r="Z524" s="52">
        <f>IF(L524="","",INDEX('Aub Demand'!H:H,MATCH($O524,'Aub Demand'!$A:$A,0)))</f>
        <v>59</v>
      </c>
      <c r="AA524" s="52" t="str">
        <f t="shared" si="229"/>
        <v>-spike-</v>
      </c>
      <c r="AB524" s="52">
        <f>IFERROR(INDEX('Aub Demand'!L:L,MATCH($O524,'Aub Demand'!$A:$A,0)),"")</f>
        <v>1</v>
      </c>
      <c r="AC524" s="52">
        <f>IFERROR(IF(O524="","",SUMIFS('CPL Mats'!F:F,'CPL Mats'!Q:Q,AR524,'CPL Mats'!S:S,AS524)),"")</f>
        <v>0</v>
      </c>
      <c r="AF524" s="25" t="str">
        <f>IF(SUMIFS('Supp Consol'!S:S,'Supp Consol'!Y:Y,"Releasable",'Supp Consol'!A:A,O524)=0,"",SUMIFS('Supp Consol'!S:S,'Supp Consol'!Y:Y,"Releasable",'Supp Consol'!A:A,O524))</f>
        <v/>
      </c>
      <c r="AG524" s="25" t="str">
        <f>IFERROR(INDEX('Hun Demand'!Q:Q,MATCH(O524,'Hun Demand'!A:A,0)),"")</f>
        <v/>
      </c>
      <c r="AH524" s="25" t="str">
        <f>IFERROR(INDEX('Hun Demand'!H:H,MATCH($O524,'Hun Demand'!$A:$A,0)),"")</f>
        <v/>
      </c>
      <c r="AI524" s="25" t="str">
        <f>IF(SUMIFS('Supp Consol'!AA:AA,'Supp Consol'!Z:Z,"Expires this month",'Supp Consol'!A:A,O524)=0,"",SUMIFS('Supp Consol'!AA:AA,'Supp Consol'!Z:Z,"Expires this month",'Supp Consol'!A:A,O524))</f>
        <v/>
      </c>
      <c r="AJ524" s="25" t="str">
        <f>IF(SUMIFS('Supp Consol'!AA:AA,'Supp Consol'!Z:Z,"Expired Previous Months",'Supp Consol'!A:A,O524)=0,"",SUMIFS('Supp Consol'!AA:AA,'Supp Consol'!Z:Z,"Expired Previous Months",'Supp Consol'!A:A,O524))</f>
        <v/>
      </c>
      <c r="AK524" s="25" t="str">
        <f>IFERROR(INDEX('Hun Release Current'!B:B,MATCH(O524,'Hun Release Current'!A:A,0)),"")</f>
        <v/>
      </c>
      <c r="AL524" s="25" t="str">
        <f>IF(SUMIF('Prev Aub'!A:A,O524,'Prev Aub'!B:B)=0,"",SUMIF('Prev Aub'!A:A,O524,'Prev Aub'!B:B))</f>
        <v/>
      </c>
      <c r="AN524" s="25" t="s">
        <v>3790</v>
      </c>
      <c r="AO524" s="25" t="s">
        <v>3790</v>
      </c>
      <c r="AP524" s="25">
        <f t="shared" si="230"/>
        <v>0</v>
      </c>
      <c r="AQ524" s="151" t="str">
        <f>IF(SUMIFS('Supp Consol'!S:S,'Supp Consol'!A:A,O524,'Supp Consol'!I:I,"PENDING")=0,"",SUMIFS('Supp Consol'!S:S,'Supp Consol'!A:A,O524,'Supp Consol'!I:I,"PENDING"))</f>
        <v/>
      </c>
      <c r="AR524" s="27" t="str">
        <f t="shared" si="231"/>
        <v>HP223</v>
      </c>
      <c r="AS524" s="27" t="str">
        <f t="shared" si="232"/>
        <v>62</v>
      </c>
      <c r="AT524" s="27" t="str">
        <f t="shared" si="233"/>
        <v/>
      </c>
      <c r="AU524" s="27" t="str">
        <f t="shared" si="234"/>
        <v/>
      </c>
      <c r="AV524" s="27" t="str">
        <f t="shared" si="235"/>
        <v/>
      </c>
      <c r="AW524" s="27" t="str">
        <f t="shared" si="236"/>
        <v/>
      </c>
      <c r="AX524" s="27" t="str">
        <f t="shared" si="237"/>
        <v/>
      </c>
      <c r="AY524" s="27" t="str">
        <f t="shared" si="238"/>
        <v/>
      </c>
      <c r="AZ524" s="27" t="str">
        <f t="shared" si="239"/>
        <v/>
      </c>
      <c r="BA524" s="27" t="str">
        <f t="shared" si="240"/>
        <v/>
      </c>
      <c r="BB524" s="27" t="str">
        <f t="shared" si="241"/>
        <v>Gross</v>
      </c>
      <c r="BC524" s="27" t="str">
        <f t="shared" si="242"/>
        <v>Net</v>
      </c>
      <c r="BD524" s="27" t="str">
        <f t="shared" si="243"/>
        <v>Net</v>
      </c>
      <c r="BE524" s="27" t="str">
        <f t="shared" si="244"/>
        <v/>
      </c>
      <c r="BF524" s="27" t="str">
        <f t="shared" si="245"/>
        <v/>
      </c>
      <c r="BG524" s="27" t="str">
        <f t="shared" si="246"/>
        <v/>
      </c>
      <c r="BH524" s="27" t="str">
        <f t="shared" si="247"/>
        <v/>
      </c>
      <c r="BI524" s="27" t="str">
        <f t="shared" si="248"/>
        <v/>
      </c>
      <c r="BJ524" s="27" t="str">
        <f t="shared" si="249"/>
        <v/>
      </c>
      <c r="BK524" s="27" t="str">
        <f t="shared" si="250"/>
        <v/>
      </c>
      <c r="BL524" s="27" t="str">
        <f t="shared" si="251"/>
        <v/>
      </c>
      <c r="BM524" s="21" t="s">
        <v>5581</v>
      </c>
    </row>
    <row r="525" spans="1:65" ht="15">
      <c r="A525" s="25">
        <f>IFERROR(INDEX('Hun Demand'!W:W,MATCH(O525,'Hun Demand'!A:A,0)),"")</f>
        <v>8680</v>
      </c>
      <c r="B525" s="25">
        <f>IFERROR(INDEX('Hun Demand'!V:V,MATCH(O525,'Hun Demand'!A:A,0)),"")</f>
        <v>11570</v>
      </c>
      <c r="C525" s="25">
        <f>IFERROR(INDEX('Hun Demand'!U:U,MATCH(O525,'Hun Demand'!A:A,0)),"")</f>
        <v>8822</v>
      </c>
      <c r="D525" s="25">
        <f>IFERROR(INDEX('Hun Demand'!T:T,MATCH(O525,'Hun Demand'!A:A,0)),"")</f>
        <v>7269</v>
      </c>
      <c r="E525" s="25">
        <f>IFERROR(INDEX('Hun Demand'!S:S,MATCH(O525,'Hun Demand'!A:A,0)),"")</f>
        <v>13785</v>
      </c>
      <c r="F525" s="25">
        <f>IFERROR(INDEX('Hun Demand'!R:R,MATCH(O525,'Hun Demand'!A:A,0)),"")</f>
        <v>949</v>
      </c>
      <c r="G525" s="25">
        <f>IFERROR(INDEX('Aub Demand'!W:W,MATCH(O525,'Aub Demand'!A:A,0)),"")</f>
        <v>90</v>
      </c>
      <c r="H525" s="25">
        <f>IFERROR(INDEX('Aub Demand'!V:V,MATCH(O525,'Aub Demand'!A:A,0)),"")</f>
        <v>0</v>
      </c>
      <c r="I525" s="25">
        <f>IFERROR(INDEX('Aub Demand'!U:U,MATCH(O525,'Aub Demand'!A:A,0)),"")</f>
        <v>0</v>
      </c>
      <c r="J525" s="25">
        <f>IFERROR(INDEX('Aub Demand'!T:T,MATCH(O525,'Aub Demand'!A:A,0)),"")</f>
        <v>46</v>
      </c>
      <c r="K525" s="25">
        <f>IFERROR(INDEX('Aub Demand'!S:S,MATCH(O525,'Aub Demand'!A:A,0)),"")</f>
        <v>237</v>
      </c>
      <c r="L525" s="25">
        <f>IFERROR(INDEX('Aub Demand'!R:R,MATCH(O525,'Aub Demand'!A:A,0)),"")</f>
        <v>0</v>
      </c>
      <c r="O525" s="27" t="s">
        <v>867</v>
      </c>
      <c r="P525" s="27" t="str">
        <f>IFERROR(INDEX('Aub Demand'!B:B,MATCH($O525,'Aub Demand'!$A:$A,0)),"")</f>
        <v>COUNTRY MAPLE</v>
      </c>
      <c r="Q525" s="27" t="str">
        <f>IFERROR(INDEX('Aub Demand'!C:C,MATCH($O525,'Aub Demand'!$A:$A,0)),"")</f>
        <v>INTER</v>
      </c>
      <c r="R525" s="52">
        <f>IFERROR(IF(AR526=AR525,INDEX('Aub Demand'!K:K,MATCH($O525,'Aub Demand'!$A:$A,0))-IF(AN525="",0,AN525)+AP526,INDEX('Aub Demand'!K:K,MATCH($O525,'Aub Demand'!$A:$A,0))-IF(AN525="",0,AN525)),"")</f>
        <v>203</v>
      </c>
      <c r="S525" s="53">
        <f t="shared" si="224"/>
        <v>9.3000000000000007</v>
      </c>
      <c r="T525" s="52" t="str">
        <f t="shared" si="225"/>
        <v/>
      </c>
      <c r="U525" s="52">
        <f>IFERROR(IF(AR526=AR525,INDEX('Aub Demand'!Q:Q,MATCH($O525,'Aub Demand'!$A:$A,0))-IF(AN525="",0,AN525)+AP526,INDEX('Aub Demand'!Q:Q,MATCH($O525,'Aub Demand'!$A:$A,0))-IF(AN525="",0,AN525)),"")</f>
        <v>113</v>
      </c>
      <c r="V525" s="53">
        <f t="shared" si="226"/>
        <v>5.2</v>
      </c>
      <c r="W525" s="52" t="str">
        <f t="shared" si="227"/>
        <v/>
      </c>
      <c r="X525" s="52">
        <f>IFERROR(IF(AND(AR526=AR525,AM525&lt;&gt;""),INDEX('Aub Demand'!Q:Q,MATCH($O525,'Aub Demand'!$A:$A,0))-IF(AN525="",0,AN525)+AP526+AD525+AL525,IF(AR526=AR525,INDEX('Aub Demand'!Q:Q,MATCH($O525,'Aub Demand'!$A:$A,0))-IF(AN525="",0,AN525)+AP526+AD525,IF(AM525&lt;&gt;"",INDEX('Aub Demand'!Q:Q,MATCH($O525,'Aub Demand'!$A:$A,0))-IF(AN525="",0,AN525)+AD525+AL525,INDEX('Aub Demand'!Q:Q,MATCH($O525,'Aub Demand'!$A:$A,0))-IF(AN525="",0,AN525)+AD525))),"")</f>
        <v>113</v>
      </c>
      <c r="Y525" s="53">
        <f t="shared" si="228"/>
        <v>5.2</v>
      </c>
      <c r="Z525" s="52">
        <f>IF(L525="","",INDEX('Aub Demand'!H:H,MATCH($O525,'Aub Demand'!$A:$A,0)))</f>
        <v>94</v>
      </c>
      <c r="AA525" s="52">
        <f t="shared" si="229"/>
        <v>141.5</v>
      </c>
      <c r="AB525" s="52">
        <f>IFERROR(INDEX('Aub Demand'!L:L,MATCH($O525,'Aub Demand'!$A:$A,0)),"")</f>
        <v>218</v>
      </c>
      <c r="AC525" s="52">
        <f>IFERROR(IF(O525="","",SUMIFS('CPL Mats'!F:F,'CPL Mats'!Q:Q,AR525,'CPL Mats'!S:S,AS525)),"")</f>
        <v>0</v>
      </c>
      <c r="AF525" s="25">
        <f>IF(SUMIFS('Supp Consol'!S:S,'Supp Consol'!Y:Y,"Releasable",'Supp Consol'!A:A,O525)=0,"",SUMIFS('Supp Consol'!S:S,'Supp Consol'!Y:Y,"Releasable",'Supp Consol'!A:A,O525))</f>
        <v>14884</v>
      </c>
      <c r="AG525" s="25">
        <f>IFERROR(INDEX('Hun Demand'!Q:Q,MATCH(O525,'Hun Demand'!A:A,0)),"")</f>
        <v>1476</v>
      </c>
      <c r="AH525" s="25">
        <f>IFERROR(INDEX('Hun Demand'!H:H,MATCH($O525,'Hun Demand'!$A:$A,0)),"")</f>
        <v>9959</v>
      </c>
      <c r="AI525" s="25">
        <f>IF(SUMIFS('Supp Consol'!AA:AA,'Supp Consol'!Z:Z,"Expires this month",'Supp Consol'!A:A,O525)=0,"",SUMIFS('Supp Consol'!AA:AA,'Supp Consol'!Z:Z,"Expires this month",'Supp Consol'!A:A,O525))</f>
        <v>14884</v>
      </c>
      <c r="AJ525" s="25" t="str">
        <f>IF(SUMIFS('Supp Consol'!AA:AA,'Supp Consol'!Z:Z,"Expired Previous Months",'Supp Consol'!A:A,O525)=0,"",SUMIFS('Supp Consol'!AA:AA,'Supp Consol'!Z:Z,"Expired Previous Months",'Supp Consol'!A:A,O525))</f>
        <v/>
      </c>
      <c r="AK525" s="25" t="str">
        <f>IFERROR(INDEX('Hun Release Current'!B:B,MATCH(O525,'Hun Release Current'!A:A,0)),"")</f>
        <v/>
      </c>
      <c r="AL525" s="25" t="str">
        <f>IF(SUMIF('Prev Aub'!A:A,O525,'Prev Aub'!B:B)=0,"",SUMIF('Prev Aub'!A:A,O525,'Prev Aub'!B:B))</f>
        <v/>
      </c>
      <c r="AN525" s="25" t="s">
        <v>3790</v>
      </c>
      <c r="AO525" s="25" t="s">
        <v>3790</v>
      </c>
      <c r="AP525" s="25">
        <f t="shared" si="230"/>
        <v>0</v>
      </c>
      <c r="AQ525" s="151" t="str">
        <f>IF(SUMIFS('Supp Consol'!S:S,'Supp Consol'!A:A,O525,'Supp Consol'!I:I,"PENDING")=0,"",SUMIFS('Supp Consol'!S:S,'Supp Consol'!A:A,O525,'Supp Consol'!I:I,"PENDING"))</f>
        <v/>
      </c>
      <c r="AR525" s="27" t="str">
        <f t="shared" si="231"/>
        <v>HP256</v>
      </c>
      <c r="AS525" s="27" t="str">
        <f t="shared" si="232"/>
        <v>50</v>
      </c>
      <c r="AT525" s="27" t="str">
        <f t="shared" si="233"/>
        <v/>
      </c>
      <c r="AU525" s="27" t="str">
        <f t="shared" si="234"/>
        <v/>
      </c>
      <c r="AV525" s="27" t="str">
        <f t="shared" si="235"/>
        <v/>
      </c>
      <c r="AW525" s="27" t="str">
        <f t="shared" si="236"/>
        <v>HP256</v>
      </c>
      <c r="AX525" s="27" t="str">
        <f t="shared" si="237"/>
        <v>HP256</v>
      </c>
      <c r="AY525" s="27" t="str">
        <f t="shared" si="238"/>
        <v/>
      </c>
      <c r="AZ525" s="27" t="str">
        <f t="shared" si="239"/>
        <v>Supp</v>
      </c>
      <c r="BA525" s="27" t="str">
        <f t="shared" si="240"/>
        <v>Hun</v>
      </c>
      <c r="BB525" s="27" t="str">
        <f t="shared" si="241"/>
        <v/>
      </c>
      <c r="BC525" s="27" t="str">
        <f t="shared" si="242"/>
        <v/>
      </c>
      <c r="BD525" s="27" t="str">
        <f t="shared" si="243"/>
        <v/>
      </c>
      <c r="BE525" s="27" t="str">
        <f t="shared" si="244"/>
        <v>Exp</v>
      </c>
      <c r="BF525" s="27" t="str">
        <f t="shared" si="245"/>
        <v/>
      </c>
      <c r="BG525" s="27" t="str">
        <f t="shared" si="246"/>
        <v>S+NorE</v>
      </c>
      <c r="BH525" s="27" t="str">
        <f t="shared" si="247"/>
        <v/>
      </c>
      <c r="BI525" s="27" t="str">
        <f t="shared" si="248"/>
        <v/>
      </c>
      <c r="BJ525" s="27" t="str">
        <f t="shared" si="249"/>
        <v>Supp or Hun</v>
      </c>
      <c r="BK525" s="27" t="str">
        <f t="shared" si="250"/>
        <v/>
      </c>
      <c r="BL525" s="27" t="str">
        <f t="shared" si="251"/>
        <v>SorHandNandE</v>
      </c>
      <c r="BM525" s="21" t="s">
        <v>5582</v>
      </c>
    </row>
    <row r="526" spans="1:65" ht="15">
      <c r="A526" s="25">
        <f>IFERROR(INDEX('Hun Demand'!W:W,MATCH(O526,'Hun Demand'!A:A,0)),"")</f>
        <v>1026</v>
      </c>
      <c r="B526" s="25">
        <f>IFERROR(INDEX('Hun Demand'!V:V,MATCH(O526,'Hun Demand'!A:A,0)),"")</f>
        <v>1237</v>
      </c>
      <c r="C526" s="25">
        <f>IFERROR(INDEX('Hun Demand'!U:U,MATCH(O526,'Hun Demand'!A:A,0)),"")</f>
        <v>422</v>
      </c>
      <c r="D526" s="25">
        <f>IFERROR(INDEX('Hun Demand'!T:T,MATCH(O526,'Hun Demand'!A:A,0)),"")</f>
        <v>404</v>
      </c>
      <c r="E526" s="25">
        <f>IFERROR(INDEX('Hun Demand'!S:S,MATCH(O526,'Hun Demand'!A:A,0)),"")</f>
        <v>763</v>
      </c>
      <c r="F526" s="25">
        <f>IFERROR(INDEX('Hun Demand'!R:R,MATCH(O526,'Hun Demand'!A:A,0)),"")</f>
        <v>305</v>
      </c>
      <c r="G526" s="25">
        <f>IFERROR(INDEX('Aub Demand'!W:W,MATCH(O526,'Aub Demand'!A:A,0)),"")</f>
        <v>18</v>
      </c>
      <c r="H526" s="25">
        <f>IFERROR(INDEX('Aub Demand'!V:V,MATCH(O526,'Aub Demand'!A:A,0)),"")</f>
        <v>0</v>
      </c>
      <c r="I526" s="25">
        <f>IFERROR(INDEX('Aub Demand'!U:U,MATCH(O526,'Aub Demand'!A:A,0)),"")</f>
        <v>8</v>
      </c>
      <c r="J526" s="25">
        <f>IFERROR(INDEX('Aub Demand'!T:T,MATCH(O526,'Aub Demand'!A:A,0)),"")</f>
        <v>0</v>
      </c>
      <c r="K526" s="25">
        <f>IFERROR(INDEX('Aub Demand'!S:S,MATCH(O526,'Aub Demand'!A:A,0)),"")</f>
        <v>172</v>
      </c>
      <c r="L526" s="25">
        <f>IFERROR(INDEX('Aub Demand'!R:R,MATCH(O526,'Aub Demand'!A:A,0)),"")</f>
        <v>0</v>
      </c>
      <c r="O526" s="27" t="s">
        <v>870</v>
      </c>
      <c r="P526" s="27" t="str">
        <f>IFERROR(INDEX('Aub Demand'!B:B,MATCH($O526,'Aub Demand'!$A:$A,0)),"")</f>
        <v>COUNTRY MAPLE</v>
      </c>
      <c r="Q526" s="27" t="str">
        <f>IFERROR(INDEX('Aub Demand'!C:C,MATCH($O526,'Aub Demand'!$A:$A,0)),"")</f>
        <v>INTER</v>
      </c>
      <c r="R526" s="52">
        <f>IFERROR(IF(AR527=AR526,INDEX('Aub Demand'!K:K,MATCH($O526,'Aub Demand'!$A:$A,0))-IF(AN526="",0,AN526)+AP527,INDEX('Aub Demand'!K:K,MATCH($O526,'Aub Demand'!$A:$A,0))-IF(AN526="",0,AN526)),"")</f>
        <v>705</v>
      </c>
      <c r="S526" s="53">
        <f t="shared" si="224"/>
        <v>50.4</v>
      </c>
      <c r="T526" s="52" t="str">
        <f t="shared" si="225"/>
        <v/>
      </c>
      <c r="U526" s="52">
        <f>IFERROR(IF(AR527=AR526,INDEX('Aub Demand'!Q:Q,MATCH($O526,'Aub Demand'!$A:$A,0))-IF(AN526="",0,AN526)+AP527,INDEX('Aub Demand'!Q:Q,MATCH($O526,'Aub Demand'!$A:$A,0))-IF(AN526="",0,AN526)),"")</f>
        <v>705</v>
      </c>
      <c r="V526" s="53">
        <f t="shared" si="226"/>
        <v>50.4</v>
      </c>
      <c r="W526" s="52" t="str">
        <f t="shared" si="227"/>
        <v/>
      </c>
      <c r="X526" s="52">
        <f>IFERROR(IF(AND(AR527=AR526,AM526&lt;&gt;""),INDEX('Aub Demand'!Q:Q,MATCH($O526,'Aub Demand'!$A:$A,0))-IF(AN526="",0,AN526)+AP527+AD526+AL526,IF(AR527=AR526,INDEX('Aub Demand'!Q:Q,MATCH($O526,'Aub Demand'!$A:$A,0))-IF(AN526="",0,AN526)+AP527+AD526,IF(AM526&lt;&gt;"",INDEX('Aub Demand'!Q:Q,MATCH($O526,'Aub Demand'!$A:$A,0))-IF(AN526="",0,AN526)+AD526+AL526,INDEX('Aub Demand'!Q:Q,MATCH($O526,'Aub Demand'!$A:$A,0))-IF(AN526="",0,AN526)+AD526))),"")</f>
        <v>705</v>
      </c>
      <c r="Y526" s="53">
        <f t="shared" si="228"/>
        <v>50.4</v>
      </c>
      <c r="Z526" s="52">
        <f>IF(L526="","",INDEX('Aub Demand'!H:H,MATCH($O526,'Aub Demand'!$A:$A,0)))</f>
        <v>60</v>
      </c>
      <c r="AA526" s="52">
        <f t="shared" si="229"/>
        <v>90</v>
      </c>
      <c r="AB526" s="52">
        <f>IFERROR(INDEX('Aub Demand'!L:L,MATCH($O526,'Aub Demand'!$A:$A,0)),"")</f>
        <v>151</v>
      </c>
      <c r="AC526" s="52">
        <f>IFERROR(IF(O526="","",SUMIFS('CPL Mats'!F:F,'CPL Mats'!Q:Q,AR526,'CPL Mats'!S:S,AS526)),"")</f>
        <v>0</v>
      </c>
      <c r="AF526" s="25" t="str">
        <f>IF(SUMIFS('Supp Consol'!S:S,'Supp Consol'!Y:Y,"Releasable",'Supp Consol'!A:A,O526)=0,"",SUMIFS('Supp Consol'!S:S,'Supp Consol'!Y:Y,"Releasable",'Supp Consol'!A:A,O526))</f>
        <v/>
      </c>
      <c r="AG526" s="25">
        <f>IFERROR(INDEX('Hun Demand'!Q:Q,MATCH(O526,'Hun Demand'!A:A,0)),"")</f>
        <v>5818</v>
      </c>
      <c r="AH526" s="25">
        <f>IFERROR(INDEX('Hun Demand'!H:H,MATCH($O526,'Hun Demand'!$A:$A,0)),"")</f>
        <v>530</v>
      </c>
      <c r="AI526" s="25" t="str">
        <f>IF(SUMIFS('Supp Consol'!AA:AA,'Supp Consol'!Z:Z,"Expires this month",'Supp Consol'!A:A,O526)=0,"",SUMIFS('Supp Consol'!AA:AA,'Supp Consol'!Z:Z,"Expires this month",'Supp Consol'!A:A,O526))</f>
        <v/>
      </c>
      <c r="AJ526" s="25" t="str">
        <f>IF(SUMIFS('Supp Consol'!AA:AA,'Supp Consol'!Z:Z,"Expired Previous Months",'Supp Consol'!A:A,O526)=0,"",SUMIFS('Supp Consol'!AA:AA,'Supp Consol'!Z:Z,"Expired Previous Months",'Supp Consol'!A:A,O526))</f>
        <v/>
      </c>
      <c r="AK526" s="25" t="str">
        <f>IFERROR(INDEX('Hun Release Current'!B:B,MATCH(O526,'Hun Release Current'!A:A,0)),"")</f>
        <v/>
      </c>
      <c r="AL526" s="25" t="str">
        <f>IF(SUMIF('Prev Aub'!A:A,O526,'Prev Aub'!B:B)=0,"",SUMIF('Prev Aub'!A:A,O526,'Prev Aub'!B:B))</f>
        <v/>
      </c>
      <c r="AN526" s="25" t="s">
        <v>3790</v>
      </c>
      <c r="AO526" s="25" t="s">
        <v>3790</v>
      </c>
      <c r="AP526" s="25">
        <f t="shared" si="230"/>
        <v>0</v>
      </c>
      <c r="AQ526" s="151" t="str">
        <f>IF(SUMIFS('Supp Consol'!S:S,'Supp Consol'!A:A,O526,'Supp Consol'!I:I,"PENDING")=0,"",SUMIFS('Supp Consol'!S:S,'Supp Consol'!A:A,O526,'Supp Consol'!I:I,"PENDING"))</f>
        <v/>
      </c>
      <c r="AR526" s="27" t="str">
        <f t="shared" si="231"/>
        <v>HP256</v>
      </c>
      <c r="AS526" s="27" t="str">
        <f t="shared" si="232"/>
        <v>62</v>
      </c>
      <c r="AT526" s="27" t="str">
        <f t="shared" si="233"/>
        <v/>
      </c>
      <c r="AU526" s="27" t="str">
        <f t="shared" si="234"/>
        <v/>
      </c>
      <c r="AV526" s="27" t="str">
        <f t="shared" si="235"/>
        <v/>
      </c>
      <c r="AW526" s="27" t="str">
        <f t="shared" si="236"/>
        <v/>
      </c>
      <c r="AX526" s="27" t="str">
        <f t="shared" si="237"/>
        <v/>
      </c>
      <c r="AY526" s="27" t="str">
        <f t="shared" si="238"/>
        <v>HP256</v>
      </c>
      <c r="AZ526" s="27" t="str">
        <f t="shared" si="239"/>
        <v>Supp</v>
      </c>
      <c r="BA526" s="27" t="str">
        <f t="shared" si="240"/>
        <v>Hun</v>
      </c>
      <c r="BB526" s="27" t="str">
        <f t="shared" si="241"/>
        <v/>
      </c>
      <c r="BC526" s="27" t="str">
        <f t="shared" si="242"/>
        <v/>
      </c>
      <c r="BD526" s="27" t="str">
        <f t="shared" si="243"/>
        <v/>
      </c>
      <c r="BE526" s="27" t="str">
        <f t="shared" si="244"/>
        <v>Exp</v>
      </c>
      <c r="BF526" s="27" t="str">
        <f t="shared" si="245"/>
        <v/>
      </c>
      <c r="BG526" s="27" t="str">
        <f t="shared" si="246"/>
        <v>S+NorE</v>
      </c>
      <c r="BH526" s="27" t="str">
        <f t="shared" si="247"/>
        <v/>
      </c>
      <c r="BI526" s="27" t="str">
        <f t="shared" si="248"/>
        <v/>
      </c>
      <c r="BJ526" s="27" t="str">
        <f t="shared" si="249"/>
        <v>Supp or Hun</v>
      </c>
      <c r="BK526" s="27" t="str">
        <f t="shared" si="250"/>
        <v/>
      </c>
      <c r="BL526" s="27" t="str">
        <f t="shared" si="251"/>
        <v>SorHandNandE</v>
      </c>
      <c r="BM526" s="21" t="s">
        <v>5582</v>
      </c>
    </row>
    <row r="527" spans="1:65" ht="15">
      <c r="A527" s="25">
        <f>IFERROR(INDEX('Hun Demand'!W:W,MATCH(O527,'Hun Demand'!A:A,0)),"")</f>
        <v>2040</v>
      </c>
      <c r="B527" s="25">
        <f>IFERROR(INDEX('Hun Demand'!V:V,MATCH(O527,'Hun Demand'!A:A,0)),"")</f>
        <v>0</v>
      </c>
      <c r="C527" s="25">
        <f>IFERROR(INDEX('Hun Demand'!U:U,MATCH(O527,'Hun Demand'!A:A,0)),"")</f>
        <v>715</v>
      </c>
      <c r="D527" s="25">
        <f>IFERROR(INDEX('Hun Demand'!T:T,MATCH(O527,'Hun Demand'!A:A,0)),"")</f>
        <v>0</v>
      </c>
      <c r="E527" s="25">
        <f>IFERROR(INDEX('Hun Demand'!S:S,MATCH(O527,'Hun Demand'!A:A,0)),"")</f>
        <v>558</v>
      </c>
      <c r="F527" s="25">
        <f>IFERROR(INDEX('Hun Demand'!R:R,MATCH(O527,'Hun Demand'!A:A,0)),"")</f>
        <v>0</v>
      </c>
      <c r="G527" s="25">
        <f>IFERROR(INDEX('Aub Demand'!W:W,MATCH(O527,'Aub Demand'!A:A,0)),"")</f>
        <v>786</v>
      </c>
      <c r="H527" s="25">
        <f>IFERROR(INDEX('Aub Demand'!V:V,MATCH(O527,'Aub Demand'!A:A,0)),"")</f>
        <v>183</v>
      </c>
      <c r="I527" s="25">
        <f>IFERROR(INDEX('Aub Demand'!U:U,MATCH(O527,'Aub Demand'!A:A,0)),"")</f>
        <v>175</v>
      </c>
      <c r="J527" s="25">
        <f>IFERROR(INDEX('Aub Demand'!T:T,MATCH(O527,'Aub Demand'!A:A,0)),"")</f>
        <v>161</v>
      </c>
      <c r="K527" s="25">
        <f>IFERROR(INDEX('Aub Demand'!S:S,MATCH(O527,'Aub Demand'!A:A,0)),"")</f>
        <v>0</v>
      </c>
      <c r="L527" s="25">
        <f>IFERROR(INDEX('Aub Demand'!R:R,MATCH(O527,'Aub Demand'!A:A,0)),"")</f>
        <v>0</v>
      </c>
      <c r="O527" s="27" t="s">
        <v>871</v>
      </c>
      <c r="P527" s="27" t="str">
        <f>IFERROR(INDEX('Aub Demand'!B:B,MATCH($O527,'Aub Demand'!$A:$A,0)),"")</f>
        <v>FUSION MAPLE</v>
      </c>
      <c r="Q527" s="27" t="str">
        <f>IFERROR(INDEX('Aub Demand'!C:C,MATCH($O527,'Aub Demand'!$A:$A,0)),"")</f>
        <v>TOPPA</v>
      </c>
      <c r="R527" s="52">
        <f>IFERROR(IF(AR528=AR527,INDEX('Aub Demand'!K:K,MATCH($O527,'Aub Demand'!$A:$A,0))-IF(AN527="",0,AN527)+AP528,INDEX('Aub Demand'!K:K,MATCH($O527,'Aub Demand'!$A:$A,0))-IF(AN527="",0,AN527)),"")</f>
        <v>2056</v>
      </c>
      <c r="S527" s="53">
        <f t="shared" si="224"/>
        <v>78.7</v>
      </c>
      <c r="T527" s="52" t="str">
        <f t="shared" si="225"/>
        <v/>
      </c>
      <c r="U527" s="52">
        <f>IFERROR(IF(AR528=AR527,INDEX('Aub Demand'!Q:Q,MATCH($O527,'Aub Demand'!$A:$A,0))-IF(AN527="",0,AN527)+AP528,INDEX('Aub Demand'!Q:Q,MATCH($O527,'Aub Demand'!$A:$A,0))-IF(AN527="",0,AN527)),"")</f>
        <v>1665</v>
      </c>
      <c r="V527" s="53">
        <f t="shared" si="226"/>
        <v>63.7</v>
      </c>
      <c r="W527" s="52" t="str">
        <f t="shared" si="227"/>
        <v/>
      </c>
      <c r="X527" s="52">
        <f>IFERROR(IF(AND(AR528=AR527,AM527&lt;&gt;""),INDEX('Aub Demand'!Q:Q,MATCH($O527,'Aub Demand'!$A:$A,0))-IF(AN527="",0,AN527)+AP528+AD527+AL527,IF(AR528=AR527,INDEX('Aub Demand'!Q:Q,MATCH($O527,'Aub Demand'!$A:$A,0))-IF(AN527="",0,AN527)+AP528+AD527,IF(AM527&lt;&gt;"",INDEX('Aub Demand'!Q:Q,MATCH($O527,'Aub Demand'!$A:$A,0))-IF(AN527="",0,AN527)+AD527+AL527,INDEX('Aub Demand'!Q:Q,MATCH($O527,'Aub Demand'!$A:$A,0))-IF(AN527="",0,AN527)+AD527))),"")</f>
        <v>1665</v>
      </c>
      <c r="Y527" s="53">
        <f t="shared" si="228"/>
        <v>63.7</v>
      </c>
      <c r="Z527" s="52">
        <f>IF(L527="","",INDEX('Aub Demand'!H:H,MATCH($O527,'Aub Demand'!$A:$A,0)))</f>
        <v>112</v>
      </c>
      <c r="AA527" s="52">
        <f t="shared" si="229"/>
        <v>168</v>
      </c>
      <c r="AB527" s="52">
        <f>IFERROR(INDEX('Aub Demand'!L:L,MATCH($O527,'Aub Demand'!$A:$A,0)),"")</f>
        <v>82</v>
      </c>
      <c r="AC527" s="52">
        <f>IFERROR(IF(O527="","",SUMIFS('CPL Mats'!F:F,'CPL Mats'!Q:Q,AR527,'CPL Mats'!S:S,AS527)),"")</f>
        <v>0</v>
      </c>
      <c r="AF527" s="25" t="str">
        <f>IF(SUMIFS('Supp Consol'!S:S,'Supp Consol'!Y:Y,"Releasable",'Supp Consol'!A:A,O527)=0,"",SUMIFS('Supp Consol'!S:S,'Supp Consol'!Y:Y,"Releasable",'Supp Consol'!A:A,O527))</f>
        <v/>
      </c>
      <c r="AG527" s="25">
        <f>IFERROR(INDEX('Hun Demand'!Q:Q,MATCH(O527,'Hun Demand'!A:A,0)),"")</f>
        <v>10834</v>
      </c>
      <c r="AH527" s="25">
        <f>IFERROR(INDEX('Hun Demand'!H:H,MATCH($O527,'Hun Demand'!$A:$A,0)),"")</f>
        <v>424</v>
      </c>
      <c r="AI527" s="25" t="str">
        <f>IF(SUMIFS('Supp Consol'!AA:AA,'Supp Consol'!Z:Z,"Expires this month",'Supp Consol'!A:A,O527)=0,"",SUMIFS('Supp Consol'!AA:AA,'Supp Consol'!Z:Z,"Expires this month",'Supp Consol'!A:A,O527))</f>
        <v/>
      </c>
      <c r="AJ527" s="25" t="str">
        <f>IF(SUMIFS('Supp Consol'!AA:AA,'Supp Consol'!Z:Z,"Expired Previous Months",'Supp Consol'!A:A,O527)=0,"",SUMIFS('Supp Consol'!AA:AA,'Supp Consol'!Z:Z,"Expired Previous Months",'Supp Consol'!A:A,O527))</f>
        <v/>
      </c>
      <c r="AK527" s="25" t="str">
        <f>IFERROR(INDEX('Hun Release Current'!B:B,MATCH(O527,'Hun Release Current'!A:A,0)),"")</f>
        <v/>
      </c>
      <c r="AL527" s="25" t="str">
        <f>IF(SUMIF('Prev Aub'!A:A,O527,'Prev Aub'!B:B)=0,"",SUMIF('Prev Aub'!A:A,O527,'Prev Aub'!B:B))</f>
        <v/>
      </c>
      <c r="AN527" s="25" t="s">
        <v>3790</v>
      </c>
      <c r="AO527" s="25" t="s">
        <v>3790</v>
      </c>
      <c r="AP527" s="25">
        <f t="shared" si="230"/>
        <v>0</v>
      </c>
      <c r="AQ527" s="151" t="str">
        <f>IF(SUMIFS('Supp Consol'!S:S,'Supp Consol'!A:A,O527,'Supp Consol'!I:I,"PENDING")=0,"",SUMIFS('Supp Consol'!S:S,'Supp Consol'!A:A,O527,'Supp Consol'!I:I,"PENDING"))</f>
        <v/>
      </c>
      <c r="AR527" s="27" t="str">
        <f t="shared" si="231"/>
        <v>HP268</v>
      </c>
      <c r="AS527" s="27" t="str">
        <f t="shared" si="232"/>
        <v>50</v>
      </c>
      <c r="AT527" s="27" t="str">
        <f t="shared" si="233"/>
        <v/>
      </c>
      <c r="AU527" s="27" t="str">
        <f t="shared" si="234"/>
        <v/>
      </c>
      <c r="AV527" s="27" t="str">
        <f t="shared" si="235"/>
        <v/>
      </c>
      <c r="AW527" s="27" t="str">
        <f t="shared" si="236"/>
        <v/>
      </c>
      <c r="AX527" s="27" t="str">
        <f t="shared" si="237"/>
        <v/>
      </c>
      <c r="AY527" s="27" t="str">
        <f t="shared" si="238"/>
        <v>HP268</v>
      </c>
      <c r="AZ527" s="27" t="str">
        <f t="shared" si="239"/>
        <v/>
      </c>
      <c r="BA527" s="27" t="str">
        <f t="shared" si="240"/>
        <v>Hun</v>
      </c>
      <c r="BB527" s="27" t="str">
        <f t="shared" si="241"/>
        <v/>
      </c>
      <c r="BC527" s="27" t="str">
        <f t="shared" si="242"/>
        <v/>
      </c>
      <c r="BD527" s="27" t="str">
        <f t="shared" si="243"/>
        <v/>
      </c>
      <c r="BE527" s="27" t="str">
        <f t="shared" si="244"/>
        <v/>
      </c>
      <c r="BF527" s="27" t="str">
        <f t="shared" si="245"/>
        <v/>
      </c>
      <c r="BG527" s="27" t="str">
        <f t="shared" si="246"/>
        <v/>
      </c>
      <c r="BH527" s="27" t="str">
        <f t="shared" si="247"/>
        <v/>
      </c>
      <c r="BI527" s="27" t="str">
        <f t="shared" si="248"/>
        <v/>
      </c>
      <c r="BJ527" s="27" t="str">
        <f t="shared" si="249"/>
        <v>Supp or Hun</v>
      </c>
      <c r="BK527" s="27" t="str">
        <f t="shared" si="250"/>
        <v/>
      </c>
      <c r="BL527" s="27" t="str">
        <f t="shared" si="251"/>
        <v/>
      </c>
      <c r="BM527" s="21" t="s">
        <v>5582</v>
      </c>
    </row>
    <row r="528" spans="1:65" ht="15">
      <c r="A528" s="25">
        <f>IFERROR(INDEX('Hun Demand'!W:W,MATCH(O528,'Hun Demand'!A:A,0)),"")</f>
        <v>520</v>
      </c>
      <c r="B528" s="25">
        <f>IFERROR(INDEX('Hun Demand'!V:V,MATCH(O528,'Hun Demand'!A:A,0)),"")</f>
        <v>0</v>
      </c>
      <c r="C528" s="25">
        <f>IFERROR(INDEX('Hun Demand'!U:U,MATCH(O528,'Hun Demand'!A:A,0)),"")</f>
        <v>360</v>
      </c>
      <c r="D528" s="25">
        <f>IFERROR(INDEX('Hun Demand'!T:T,MATCH(O528,'Hun Demand'!A:A,0)),"")</f>
        <v>0</v>
      </c>
      <c r="E528" s="25">
        <f>IFERROR(INDEX('Hun Demand'!S:S,MATCH(O528,'Hun Demand'!A:A,0)),"")</f>
        <v>0</v>
      </c>
      <c r="F528" s="25">
        <f>IFERROR(INDEX('Hun Demand'!R:R,MATCH(O528,'Hun Demand'!A:A,0)),"")</f>
        <v>0</v>
      </c>
      <c r="G528" s="25">
        <f>IFERROR(INDEX('Aub Demand'!W:W,MATCH(O528,'Aub Demand'!A:A,0)),"")</f>
        <v>427</v>
      </c>
      <c r="H528" s="25">
        <f>IFERROR(INDEX('Aub Demand'!V:V,MATCH(O528,'Aub Demand'!A:A,0)),"")</f>
        <v>0</v>
      </c>
      <c r="I528" s="25">
        <f>IFERROR(INDEX('Aub Demand'!U:U,MATCH(O528,'Aub Demand'!A:A,0)),"")</f>
        <v>267</v>
      </c>
      <c r="J528" s="25">
        <f>IFERROR(INDEX('Aub Demand'!T:T,MATCH(O528,'Aub Demand'!A:A,0)),"")</f>
        <v>629</v>
      </c>
      <c r="K528" s="25">
        <f>IFERROR(INDEX('Aub Demand'!S:S,MATCH(O528,'Aub Demand'!A:A,0)),"")</f>
        <v>479</v>
      </c>
      <c r="L528" s="25">
        <f>IFERROR(INDEX('Aub Demand'!R:R,MATCH(O528,'Aub Demand'!A:A,0)),"")</f>
        <v>0</v>
      </c>
      <c r="O528" s="27" t="s">
        <v>874</v>
      </c>
      <c r="P528" s="27" t="str">
        <f>IFERROR(INDEX('Aub Demand'!B:B,MATCH($O528,'Aub Demand'!$A:$A,0)),"")</f>
        <v>FUSION MAPLE</v>
      </c>
      <c r="Q528" s="27" t="str">
        <f>IFERROR(INDEX('Aub Demand'!C:C,MATCH($O528,'Aub Demand'!$A:$A,0)),"")</f>
        <v>TOPPA</v>
      </c>
      <c r="R528" s="52">
        <f>IFERROR(IF(AR529=AR528,INDEX('Aub Demand'!K:K,MATCH($O528,'Aub Demand'!$A:$A,0))-IF(AN528="",0,AN528)+AP529,INDEX('Aub Demand'!K:K,MATCH($O528,'Aub Demand'!$A:$A,0))-IF(AN528="",0,AN528)),"")</f>
        <v>694</v>
      </c>
      <c r="S528" s="53">
        <f t="shared" si="224"/>
        <v>6.5</v>
      </c>
      <c r="T528" s="52" t="str">
        <f t="shared" si="225"/>
        <v/>
      </c>
      <c r="U528" s="52">
        <f>IFERROR(IF(AR529=AR528,INDEX('Aub Demand'!Q:Q,MATCH($O528,'Aub Demand'!$A:$A,0))-IF(AN528="",0,AN528)+AP529,INDEX('Aub Demand'!Q:Q,MATCH($O528,'Aub Demand'!$A:$A,0))-IF(AN528="",0,AN528)),"")</f>
        <v>638</v>
      </c>
      <c r="V528" s="53">
        <f t="shared" si="226"/>
        <v>6</v>
      </c>
      <c r="W528" s="52" t="str">
        <f t="shared" si="227"/>
        <v/>
      </c>
      <c r="X528" s="52">
        <f>IFERROR(IF(AND(AR529=AR528,AM528&lt;&gt;""),INDEX('Aub Demand'!Q:Q,MATCH($O528,'Aub Demand'!$A:$A,0))-IF(AN528="",0,AN528)+AP529+AD528+AL528,IF(AR529=AR528,INDEX('Aub Demand'!Q:Q,MATCH($O528,'Aub Demand'!$A:$A,0))-IF(AN528="",0,AN528)+AP529+AD528,IF(AM528&lt;&gt;"",INDEX('Aub Demand'!Q:Q,MATCH($O528,'Aub Demand'!$A:$A,0))-IF(AN528="",0,AN528)+AD528+AL528,INDEX('Aub Demand'!Q:Q,MATCH($O528,'Aub Demand'!$A:$A,0))-IF(AN528="",0,AN528)+AD528))),"")</f>
        <v>638</v>
      </c>
      <c r="Y528" s="53">
        <f t="shared" si="228"/>
        <v>6</v>
      </c>
      <c r="Z528" s="52">
        <f>IF(L528="","",INDEX('Aub Demand'!H:H,MATCH($O528,'Aub Demand'!$A:$A,0)))</f>
        <v>458</v>
      </c>
      <c r="AA528" s="52">
        <f t="shared" si="229"/>
        <v>554</v>
      </c>
      <c r="AB528" s="52">
        <f>IFERROR(INDEX('Aub Demand'!L:L,MATCH($O528,'Aub Demand'!$A:$A,0)),"")</f>
        <v>468</v>
      </c>
      <c r="AC528" s="52">
        <f>IFERROR(IF(O528="","",SUMIFS('CPL Mats'!F:F,'CPL Mats'!Q:Q,AR528,'CPL Mats'!S:S,AS528)),"")</f>
        <v>0</v>
      </c>
      <c r="AF528" s="25" t="str">
        <f>IF(SUMIFS('Supp Consol'!S:S,'Supp Consol'!Y:Y,"Releasable",'Supp Consol'!A:A,O528)=0,"",SUMIFS('Supp Consol'!S:S,'Supp Consol'!Y:Y,"Releasable",'Supp Consol'!A:A,O528))</f>
        <v/>
      </c>
      <c r="AG528" s="25">
        <f>IFERROR(INDEX('Hun Demand'!Q:Q,MATCH(O528,'Hun Demand'!A:A,0)),"")</f>
        <v>9364</v>
      </c>
      <c r="AH528" s="25">
        <f>IFERROR(INDEX('Hun Demand'!H:H,MATCH($O528,'Hun Demand'!$A:$A,0)),"")</f>
        <v>120</v>
      </c>
      <c r="AI528" s="25" t="str">
        <f>IF(SUMIFS('Supp Consol'!AA:AA,'Supp Consol'!Z:Z,"Expires this month",'Supp Consol'!A:A,O528)=0,"",SUMIFS('Supp Consol'!AA:AA,'Supp Consol'!Z:Z,"Expires this month",'Supp Consol'!A:A,O528))</f>
        <v/>
      </c>
      <c r="AJ528" s="25" t="str">
        <f>IF(SUMIFS('Supp Consol'!AA:AA,'Supp Consol'!Z:Z,"Expired Previous Months",'Supp Consol'!A:A,O528)=0,"",SUMIFS('Supp Consol'!AA:AA,'Supp Consol'!Z:Z,"Expired Previous Months",'Supp Consol'!A:A,O528))</f>
        <v/>
      </c>
      <c r="AK528" s="25" t="str">
        <f>IFERROR(INDEX('Hun Release Current'!B:B,MATCH(O528,'Hun Release Current'!A:A,0)),"")</f>
        <v/>
      </c>
      <c r="AL528" s="25" t="str">
        <f>IF(SUMIF('Prev Aub'!A:A,O528,'Prev Aub'!B:B)=0,"",SUMIF('Prev Aub'!A:A,O528,'Prev Aub'!B:B))</f>
        <v/>
      </c>
      <c r="AN528" s="25" t="s">
        <v>3790</v>
      </c>
      <c r="AO528" s="25" t="s">
        <v>3790</v>
      </c>
      <c r="AP528" s="25">
        <f t="shared" si="230"/>
        <v>0</v>
      </c>
      <c r="AQ528" s="151" t="str">
        <f>IF(SUMIFS('Supp Consol'!S:S,'Supp Consol'!A:A,O528,'Supp Consol'!I:I,"PENDING")=0,"",SUMIFS('Supp Consol'!S:S,'Supp Consol'!A:A,O528,'Supp Consol'!I:I,"PENDING"))</f>
        <v/>
      </c>
      <c r="AR528" s="27" t="str">
        <f t="shared" si="231"/>
        <v>HP268</v>
      </c>
      <c r="AS528" s="27" t="str">
        <f t="shared" si="232"/>
        <v>62</v>
      </c>
      <c r="AT528" s="27" t="str">
        <f t="shared" si="233"/>
        <v/>
      </c>
      <c r="AU528" s="27" t="str">
        <f t="shared" si="234"/>
        <v/>
      </c>
      <c r="AV528" s="27" t="str">
        <f t="shared" si="235"/>
        <v/>
      </c>
      <c r="AW528" s="27" t="str">
        <f t="shared" si="236"/>
        <v/>
      </c>
      <c r="AX528" s="27" t="str">
        <f t="shared" si="237"/>
        <v/>
      </c>
      <c r="AY528" s="27" t="str">
        <f t="shared" si="238"/>
        <v>HP268</v>
      </c>
      <c r="AZ528" s="27" t="str">
        <f t="shared" si="239"/>
        <v/>
      </c>
      <c r="BA528" s="27" t="str">
        <f t="shared" si="240"/>
        <v>Hun</v>
      </c>
      <c r="BB528" s="27" t="str">
        <f t="shared" si="241"/>
        <v/>
      </c>
      <c r="BC528" s="27" t="str">
        <f t="shared" si="242"/>
        <v/>
      </c>
      <c r="BD528" s="27" t="str">
        <f t="shared" si="243"/>
        <v/>
      </c>
      <c r="BE528" s="27" t="str">
        <f t="shared" si="244"/>
        <v/>
      </c>
      <c r="BF528" s="27" t="str">
        <f t="shared" si="245"/>
        <v/>
      </c>
      <c r="BG528" s="27" t="str">
        <f t="shared" si="246"/>
        <v/>
      </c>
      <c r="BH528" s="27" t="str">
        <f t="shared" si="247"/>
        <v/>
      </c>
      <c r="BI528" s="27" t="str">
        <f t="shared" si="248"/>
        <v/>
      </c>
      <c r="BJ528" s="27" t="str">
        <f t="shared" si="249"/>
        <v>Supp or Hun</v>
      </c>
      <c r="BK528" s="27" t="str">
        <f t="shared" si="250"/>
        <v/>
      </c>
      <c r="BL528" s="27" t="str">
        <f t="shared" si="251"/>
        <v/>
      </c>
      <c r="BM528" s="21" t="s">
        <v>5582</v>
      </c>
    </row>
    <row r="529" spans="1:65" ht="15">
      <c r="A529" s="25">
        <f>IFERROR(INDEX('Hun Demand'!W:W,MATCH(O529,'Hun Demand'!A:A,0)),"")</f>
        <v>170</v>
      </c>
      <c r="B529" s="25">
        <f>IFERROR(INDEX('Hun Demand'!V:V,MATCH(O529,'Hun Demand'!A:A,0)),"")</f>
        <v>0</v>
      </c>
      <c r="C529" s="25">
        <f>IFERROR(INDEX('Hun Demand'!U:U,MATCH(O529,'Hun Demand'!A:A,0)),"")</f>
        <v>0</v>
      </c>
      <c r="D529" s="25">
        <f>IFERROR(INDEX('Hun Demand'!T:T,MATCH(O529,'Hun Demand'!A:A,0)),"")</f>
        <v>142</v>
      </c>
      <c r="E529" s="25">
        <f>IFERROR(INDEX('Hun Demand'!S:S,MATCH(O529,'Hun Demand'!A:A,0)),"")</f>
        <v>150</v>
      </c>
      <c r="F529" s="25">
        <f>IFERROR(INDEX('Hun Demand'!R:R,MATCH(O529,'Hun Demand'!A:A,0)),"")</f>
        <v>0</v>
      </c>
      <c r="G529" s="25">
        <f>IFERROR(INDEX('Aub Demand'!W:W,MATCH(O529,'Aub Demand'!A:A,0)),"")</f>
        <v>117</v>
      </c>
      <c r="H529" s="25">
        <f>IFERROR(INDEX('Aub Demand'!V:V,MATCH(O529,'Aub Demand'!A:A,0)),"")</f>
        <v>0</v>
      </c>
      <c r="I529" s="25">
        <f>IFERROR(INDEX('Aub Demand'!U:U,MATCH(O529,'Aub Demand'!A:A,0)),"")</f>
        <v>1</v>
      </c>
      <c r="J529" s="25">
        <f>IFERROR(INDEX('Aub Demand'!T:T,MATCH(O529,'Aub Demand'!A:A,0)),"")</f>
        <v>0</v>
      </c>
      <c r="K529" s="25">
        <f>IFERROR(INDEX('Aub Demand'!S:S,MATCH(O529,'Aub Demand'!A:A,0)),"")</f>
        <v>36</v>
      </c>
      <c r="L529" s="25">
        <f>IFERROR(INDEX('Aub Demand'!R:R,MATCH(O529,'Aub Demand'!A:A,0)),"")</f>
        <v>0</v>
      </c>
      <c r="O529" s="27" t="s">
        <v>875</v>
      </c>
      <c r="P529" s="27" t="str">
        <f>IFERROR(INDEX('Aub Demand'!B:B,MATCH($O529,'Aub Demand'!$A:$A,0)),"")</f>
        <v>WANDERER</v>
      </c>
      <c r="Q529" s="27" t="str">
        <f>IFERROR(INDEX('Aub Demand'!C:C,MATCH($O529,'Aub Demand'!$A:$A,0)),"")</f>
        <v>INTER</v>
      </c>
      <c r="R529" s="52">
        <f>IFERROR(IF(AR530=AR529,INDEX('Aub Demand'!K:K,MATCH($O529,'Aub Demand'!$A:$A,0))-IF(AN529="",0,AN529)+AP530,INDEX('Aub Demand'!K:K,MATCH($O529,'Aub Demand'!$A:$A,0))-IF(AN529="",0,AN529)),"")</f>
        <v>824</v>
      </c>
      <c r="S529" s="53">
        <f t="shared" si="224"/>
        <v>294.3</v>
      </c>
      <c r="T529" s="52" t="str">
        <f t="shared" si="225"/>
        <v/>
      </c>
      <c r="U529" s="52">
        <f>IFERROR(IF(AR530=AR529,INDEX('Aub Demand'!Q:Q,MATCH($O529,'Aub Demand'!$A:$A,0))-IF(AN529="",0,AN529)+AP530,INDEX('Aub Demand'!Q:Q,MATCH($O529,'Aub Demand'!$A:$A,0))-IF(AN529="",0,AN529)),"")</f>
        <v>824</v>
      </c>
      <c r="V529" s="53">
        <f t="shared" si="226"/>
        <v>294.3</v>
      </c>
      <c r="W529" s="52" t="str">
        <f t="shared" si="227"/>
        <v/>
      </c>
      <c r="X529" s="52">
        <f>IFERROR(IF(AND(AR530=AR529,AM529&lt;&gt;""),INDEX('Aub Demand'!Q:Q,MATCH($O529,'Aub Demand'!$A:$A,0))-IF(AN529="",0,AN529)+AP530+AD529+AL529,IF(AR530=AR529,INDEX('Aub Demand'!Q:Q,MATCH($O529,'Aub Demand'!$A:$A,0))-IF(AN529="",0,AN529)+AP530+AD529,IF(AM529&lt;&gt;"",INDEX('Aub Demand'!Q:Q,MATCH($O529,'Aub Demand'!$A:$A,0))-IF(AN529="",0,AN529)+AD529+AL529,INDEX('Aub Demand'!Q:Q,MATCH($O529,'Aub Demand'!$A:$A,0))-IF(AN529="",0,AN529)+AD529))),"")</f>
        <v>824</v>
      </c>
      <c r="Y529" s="53">
        <f t="shared" si="228"/>
        <v>294.3</v>
      </c>
      <c r="Z529" s="52">
        <f>IF(L529="","",INDEX('Aub Demand'!H:H,MATCH($O529,'Aub Demand'!$A:$A,0)))</f>
        <v>12</v>
      </c>
      <c r="AA529" s="52">
        <f t="shared" si="229"/>
        <v>18.5</v>
      </c>
      <c r="AB529" s="52">
        <f>IFERROR(INDEX('Aub Demand'!L:L,MATCH($O529,'Aub Demand'!$A:$A,0)),"")</f>
        <v>110</v>
      </c>
      <c r="AC529" s="52">
        <f>IFERROR(IF(O529="","",SUMIFS('CPL Mats'!F:F,'CPL Mats'!Q:Q,AR529,'CPL Mats'!S:S,AS529)),"")</f>
        <v>0</v>
      </c>
      <c r="AF529" s="25" t="str">
        <f>IF(SUMIFS('Supp Consol'!S:S,'Supp Consol'!Y:Y,"Releasable",'Supp Consol'!A:A,O529)=0,"",SUMIFS('Supp Consol'!S:S,'Supp Consol'!Y:Y,"Releasable",'Supp Consol'!A:A,O529))</f>
        <v/>
      </c>
      <c r="AG529" s="25">
        <f>IFERROR(INDEX('Hun Demand'!Q:Q,MATCH(O529,'Hun Demand'!A:A,0)),"")</f>
        <v>2064</v>
      </c>
      <c r="AH529" s="25">
        <f>IFERROR(INDEX('Hun Demand'!H:H,MATCH($O529,'Hun Demand'!$A:$A,0)),"")</f>
        <v>97</v>
      </c>
      <c r="AI529" s="25" t="str">
        <f>IF(SUMIFS('Supp Consol'!AA:AA,'Supp Consol'!Z:Z,"Expires this month",'Supp Consol'!A:A,O529)=0,"",SUMIFS('Supp Consol'!AA:AA,'Supp Consol'!Z:Z,"Expires this month",'Supp Consol'!A:A,O529))</f>
        <v/>
      </c>
      <c r="AJ529" s="25" t="str">
        <f>IF(SUMIFS('Supp Consol'!AA:AA,'Supp Consol'!Z:Z,"Expired Previous Months",'Supp Consol'!A:A,O529)=0,"",SUMIFS('Supp Consol'!AA:AA,'Supp Consol'!Z:Z,"Expired Previous Months",'Supp Consol'!A:A,O529))</f>
        <v/>
      </c>
      <c r="AK529" s="25" t="str">
        <f>IFERROR(INDEX('Hun Release Current'!B:B,MATCH(O529,'Hun Release Current'!A:A,0)),"")</f>
        <v/>
      </c>
      <c r="AL529" s="25" t="str">
        <f>IF(SUMIF('Prev Aub'!A:A,O529,'Prev Aub'!B:B)=0,"",SUMIF('Prev Aub'!A:A,O529,'Prev Aub'!B:B))</f>
        <v/>
      </c>
      <c r="AN529" s="25" t="s">
        <v>3790</v>
      </c>
      <c r="AO529" s="25" t="s">
        <v>3790</v>
      </c>
      <c r="AP529" s="25">
        <f t="shared" si="230"/>
        <v>0</v>
      </c>
      <c r="AQ529" s="151" t="str">
        <f>IF(SUMIFS('Supp Consol'!S:S,'Supp Consol'!A:A,O529,'Supp Consol'!I:I,"PENDING")=0,"",SUMIFS('Supp Consol'!S:S,'Supp Consol'!A:A,O529,'Supp Consol'!I:I,"PENDING"))</f>
        <v/>
      </c>
      <c r="AR529" s="27" t="str">
        <f t="shared" si="231"/>
        <v>HP272</v>
      </c>
      <c r="AS529" s="27" t="str">
        <f t="shared" si="232"/>
        <v>50</v>
      </c>
      <c r="AT529" s="27" t="str">
        <f t="shared" si="233"/>
        <v/>
      </c>
      <c r="AU529" s="27" t="str">
        <f t="shared" si="234"/>
        <v/>
      </c>
      <c r="AV529" s="27" t="str">
        <f t="shared" si="235"/>
        <v/>
      </c>
      <c r="AW529" s="27" t="str">
        <f t="shared" si="236"/>
        <v/>
      </c>
      <c r="AX529" s="27" t="str">
        <f t="shared" si="237"/>
        <v/>
      </c>
      <c r="AY529" s="27" t="str">
        <f t="shared" si="238"/>
        <v>HP272</v>
      </c>
      <c r="AZ529" s="27" t="str">
        <f t="shared" si="239"/>
        <v/>
      </c>
      <c r="BA529" s="27" t="str">
        <f t="shared" si="240"/>
        <v>Hun</v>
      </c>
      <c r="BB529" s="27" t="str">
        <f t="shared" si="241"/>
        <v/>
      </c>
      <c r="BC529" s="27" t="str">
        <f t="shared" si="242"/>
        <v/>
      </c>
      <c r="BD529" s="27" t="str">
        <f t="shared" si="243"/>
        <v/>
      </c>
      <c r="BE529" s="27" t="str">
        <f t="shared" si="244"/>
        <v/>
      </c>
      <c r="BF529" s="27" t="str">
        <f t="shared" si="245"/>
        <v/>
      </c>
      <c r="BG529" s="27" t="str">
        <f t="shared" si="246"/>
        <v/>
      </c>
      <c r="BH529" s="27" t="str">
        <f t="shared" si="247"/>
        <v/>
      </c>
      <c r="BI529" s="27" t="str">
        <f t="shared" si="248"/>
        <v/>
      </c>
      <c r="BJ529" s="27" t="str">
        <f t="shared" si="249"/>
        <v>Supp or Hun</v>
      </c>
      <c r="BK529" s="27" t="str">
        <f t="shared" si="250"/>
        <v/>
      </c>
      <c r="BL529" s="27" t="str">
        <f t="shared" si="251"/>
        <v/>
      </c>
      <c r="BM529" s="21" t="s">
        <v>5582</v>
      </c>
    </row>
    <row r="530" spans="1:65" ht="15">
      <c r="A530" s="25">
        <f>IFERROR(INDEX('Hun Demand'!W:W,MATCH(O530,'Hun Demand'!A:A,0)),"")</f>
        <v>0</v>
      </c>
      <c r="B530" s="25">
        <f>IFERROR(INDEX('Hun Demand'!V:V,MATCH(O530,'Hun Demand'!A:A,0)),"")</f>
        <v>0</v>
      </c>
      <c r="C530" s="25">
        <f>IFERROR(INDEX('Hun Demand'!U:U,MATCH(O530,'Hun Demand'!A:A,0)),"")</f>
        <v>0</v>
      </c>
      <c r="D530" s="25">
        <f>IFERROR(INDEX('Hun Demand'!T:T,MATCH(O530,'Hun Demand'!A:A,0)),"")</f>
        <v>0</v>
      </c>
      <c r="E530" s="25">
        <f>IFERROR(INDEX('Hun Demand'!S:S,MATCH(O530,'Hun Demand'!A:A,0)),"")</f>
        <v>0</v>
      </c>
      <c r="F530" s="25">
        <f>IFERROR(INDEX('Hun Demand'!R:R,MATCH(O530,'Hun Demand'!A:A,0)),"")</f>
        <v>0</v>
      </c>
      <c r="G530" s="25">
        <f>IFERROR(INDEX('Aub Demand'!W:W,MATCH(O530,'Aub Demand'!A:A,0)),"")</f>
        <v>0</v>
      </c>
      <c r="H530" s="25">
        <f>IFERROR(INDEX('Aub Demand'!V:V,MATCH(O530,'Aub Demand'!A:A,0)),"")</f>
        <v>0</v>
      </c>
      <c r="I530" s="25">
        <f>IFERROR(INDEX('Aub Demand'!U:U,MATCH(O530,'Aub Demand'!A:A,0)),"")</f>
        <v>0</v>
      </c>
      <c r="J530" s="25">
        <f>IFERROR(INDEX('Aub Demand'!T:T,MATCH(O530,'Aub Demand'!A:A,0)),"")</f>
        <v>0</v>
      </c>
      <c r="K530" s="25">
        <f>IFERROR(INDEX('Aub Demand'!S:S,MATCH(O530,'Aub Demand'!A:A,0)),"")</f>
        <v>0</v>
      </c>
      <c r="L530" s="25">
        <f>IFERROR(INDEX('Aub Demand'!R:R,MATCH(O530,'Aub Demand'!A:A,0)),"")</f>
        <v>0</v>
      </c>
      <c r="O530" s="27" t="s">
        <v>878</v>
      </c>
      <c r="P530" s="27" t="str">
        <f>IFERROR(INDEX('Aub Demand'!B:B,MATCH($O530,'Aub Demand'!$A:$A,0)),"")</f>
        <v>WANDERER</v>
      </c>
      <c r="Q530" s="27" t="str">
        <f>IFERROR(INDEX('Aub Demand'!C:C,MATCH($O530,'Aub Demand'!$A:$A,0)),"")</f>
        <v>INTER</v>
      </c>
      <c r="R530" s="52">
        <f>IFERROR(IF(AR531=AR530,INDEX('Aub Demand'!K:K,MATCH($O530,'Aub Demand'!$A:$A,0))-IF(AN530="",0,AN530)+AP531,INDEX('Aub Demand'!K:K,MATCH($O530,'Aub Demand'!$A:$A,0))-IF(AN530="",0,AN530)),"")</f>
        <v>185</v>
      </c>
      <c r="S530" s="53" t="str">
        <f t="shared" si="224"/>
        <v>n/a</v>
      </c>
      <c r="T530" s="52" t="str">
        <f t="shared" si="225"/>
        <v/>
      </c>
      <c r="U530" s="52">
        <f>IFERROR(IF(AR531=AR530,INDEX('Aub Demand'!Q:Q,MATCH($O530,'Aub Demand'!$A:$A,0))-IF(AN530="",0,AN530)+AP531,INDEX('Aub Demand'!Q:Q,MATCH($O530,'Aub Demand'!$A:$A,0))-IF(AN530="",0,AN530)),"")</f>
        <v>185</v>
      </c>
      <c r="V530" s="53" t="str">
        <f t="shared" si="226"/>
        <v>n/a</v>
      </c>
      <c r="W530" s="52" t="str">
        <f t="shared" si="227"/>
        <v/>
      </c>
      <c r="X530" s="52">
        <f>IFERROR(IF(AND(AR531=AR530,AM530&lt;&gt;""),INDEX('Aub Demand'!Q:Q,MATCH($O530,'Aub Demand'!$A:$A,0))-IF(AN530="",0,AN530)+AP531+AD530+AL530,IF(AR531=AR530,INDEX('Aub Demand'!Q:Q,MATCH($O530,'Aub Demand'!$A:$A,0))-IF(AN530="",0,AN530)+AP531+AD530,IF(AM530&lt;&gt;"",INDEX('Aub Demand'!Q:Q,MATCH($O530,'Aub Demand'!$A:$A,0))-IF(AN530="",0,AN530)+AD530+AL530,INDEX('Aub Demand'!Q:Q,MATCH($O530,'Aub Demand'!$A:$A,0))-IF(AN530="",0,AN530)+AD530))),"")</f>
        <v>185</v>
      </c>
      <c r="Y530" s="53" t="str">
        <f t="shared" si="228"/>
        <v>n/a</v>
      </c>
      <c r="Z530" s="52">
        <f>IF(L530="","",INDEX('Aub Demand'!H:H,MATCH($O530,'Aub Demand'!$A:$A,0)))</f>
        <v>0</v>
      </c>
      <c r="AA530" s="52" t="str">
        <f t="shared" si="229"/>
        <v>-spike-</v>
      </c>
      <c r="AB530" s="52">
        <f>IFERROR(INDEX('Aub Demand'!L:L,MATCH($O530,'Aub Demand'!$A:$A,0)),"")</f>
        <v>624</v>
      </c>
      <c r="AC530" s="52">
        <f>IFERROR(IF(O530="","",SUMIFS('CPL Mats'!F:F,'CPL Mats'!Q:Q,AR530,'CPL Mats'!S:S,AS530)),"")</f>
        <v>0</v>
      </c>
      <c r="AF530" s="25" t="str">
        <f>IF(SUMIFS('Supp Consol'!S:S,'Supp Consol'!Y:Y,"Releasable",'Supp Consol'!A:A,O530)=0,"",SUMIFS('Supp Consol'!S:S,'Supp Consol'!Y:Y,"Releasable",'Supp Consol'!A:A,O530))</f>
        <v/>
      </c>
      <c r="AG530" s="25">
        <f>IFERROR(INDEX('Hun Demand'!Q:Q,MATCH(O530,'Hun Demand'!A:A,0)),"")</f>
        <v>3570</v>
      </c>
      <c r="AH530" s="25">
        <f>IFERROR(INDEX('Hun Demand'!H:H,MATCH($O530,'Hun Demand'!$A:$A,0)),"")</f>
        <v>0</v>
      </c>
      <c r="AI530" s="25" t="str">
        <f>IF(SUMIFS('Supp Consol'!AA:AA,'Supp Consol'!Z:Z,"Expires this month",'Supp Consol'!A:A,O530)=0,"",SUMIFS('Supp Consol'!AA:AA,'Supp Consol'!Z:Z,"Expires this month",'Supp Consol'!A:A,O530))</f>
        <v/>
      </c>
      <c r="AJ530" s="25" t="str">
        <f>IF(SUMIFS('Supp Consol'!AA:AA,'Supp Consol'!Z:Z,"Expired Previous Months",'Supp Consol'!A:A,O530)=0,"",SUMIFS('Supp Consol'!AA:AA,'Supp Consol'!Z:Z,"Expired Previous Months",'Supp Consol'!A:A,O530))</f>
        <v/>
      </c>
      <c r="AK530" s="25" t="str">
        <f>IFERROR(INDEX('Hun Release Current'!B:B,MATCH(O530,'Hun Release Current'!A:A,0)),"")</f>
        <v/>
      </c>
      <c r="AL530" s="25" t="str">
        <f>IF(SUMIF('Prev Aub'!A:A,O530,'Prev Aub'!B:B)=0,"",SUMIF('Prev Aub'!A:A,O530,'Prev Aub'!B:B))</f>
        <v/>
      </c>
      <c r="AN530" s="25" t="s">
        <v>3790</v>
      </c>
      <c r="AO530" s="25" t="s">
        <v>3790</v>
      </c>
      <c r="AP530" s="25">
        <f t="shared" si="230"/>
        <v>0</v>
      </c>
      <c r="AQ530" s="151" t="str">
        <f>IF(SUMIFS('Supp Consol'!S:S,'Supp Consol'!A:A,O530,'Supp Consol'!I:I,"PENDING")=0,"",SUMIFS('Supp Consol'!S:S,'Supp Consol'!A:A,O530,'Supp Consol'!I:I,"PENDING"))</f>
        <v/>
      </c>
      <c r="AR530" s="27" t="str">
        <f t="shared" si="231"/>
        <v>HP272</v>
      </c>
      <c r="AS530" s="27" t="str">
        <f t="shared" si="232"/>
        <v>62</v>
      </c>
      <c r="AT530" s="27" t="str">
        <f t="shared" si="233"/>
        <v/>
      </c>
      <c r="AU530" s="27" t="str">
        <f t="shared" si="234"/>
        <v/>
      </c>
      <c r="AV530" s="27" t="str">
        <f t="shared" si="235"/>
        <v/>
      </c>
      <c r="AW530" s="27" t="str">
        <f t="shared" si="236"/>
        <v/>
      </c>
      <c r="AX530" s="27" t="str">
        <f t="shared" si="237"/>
        <v/>
      </c>
      <c r="AY530" s="27" t="str">
        <f t="shared" si="238"/>
        <v>HP272</v>
      </c>
      <c r="AZ530" s="27" t="str">
        <f t="shared" si="239"/>
        <v/>
      </c>
      <c r="BA530" s="27" t="str">
        <f t="shared" si="240"/>
        <v>Hun</v>
      </c>
      <c r="BB530" s="27" t="str">
        <f t="shared" si="241"/>
        <v/>
      </c>
      <c r="BC530" s="27" t="str">
        <f t="shared" si="242"/>
        <v/>
      </c>
      <c r="BD530" s="27" t="str">
        <f t="shared" si="243"/>
        <v/>
      </c>
      <c r="BE530" s="27" t="str">
        <f t="shared" si="244"/>
        <v/>
      </c>
      <c r="BF530" s="27" t="str">
        <f t="shared" si="245"/>
        <v/>
      </c>
      <c r="BG530" s="27" t="str">
        <f t="shared" si="246"/>
        <v/>
      </c>
      <c r="BH530" s="27" t="str">
        <f t="shared" si="247"/>
        <v/>
      </c>
      <c r="BI530" s="27" t="str">
        <f t="shared" si="248"/>
        <v/>
      </c>
      <c r="BJ530" s="27" t="str">
        <f t="shared" si="249"/>
        <v>Supp or Hun</v>
      </c>
      <c r="BK530" s="27" t="str">
        <f t="shared" si="250"/>
        <v/>
      </c>
      <c r="BL530" s="27" t="str">
        <f t="shared" si="251"/>
        <v/>
      </c>
      <c r="BM530" s="21" t="s">
        <v>5582</v>
      </c>
    </row>
    <row r="531" spans="1:65" ht="15">
      <c r="A531" s="25" t="str">
        <f>IFERROR(INDEX('Hun Demand'!W:W,MATCH(O531,'Hun Demand'!A:A,0)),"")</f>
        <v/>
      </c>
      <c r="B531" s="25" t="str">
        <f>IFERROR(INDEX('Hun Demand'!V:V,MATCH(O531,'Hun Demand'!A:A,0)),"")</f>
        <v/>
      </c>
      <c r="C531" s="25" t="str">
        <f>IFERROR(INDEX('Hun Demand'!U:U,MATCH(O531,'Hun Demand'!A:A,0)),"")</f>
        <v/>
      </c>
      <c r="D531" s="25" t="str">
        <f>IFERROR(INDEX('Hun Demand'!T:T,MATCH(O531,'Hun Demand'!A:A,0)),"")</f>
        <v/>
      </c>
      <c r="E531" s="25" t="str">
        <f>IFERROR(INDEX('Hun Demand'!S:S,MATCH(O531,'Hun Demand'!A:A,0)),"")</f>
        <v/>
      </c>
      <c r="F531" s="25" t="str">
        <f>IFERROR(INDEX('Hun Demand'!R:R,MATCH(O531,'Hun Demand'!A:A,0)),"")</f>
        <v/>
      </c>
      <c r="G531" s="25">
        <f>IFERROR(INDEX('Aub Demand'!W:W,MATCH(O531,'Aub Demand'!A:A,0)),"")</f>
        <v>0</v>
      </c>
      <c r="H531" s="25">
        <f>IFERROR(INDEX('Aub Demand'!V:V,MATCH(O531,'Aub Demand'!A:A,0)),"")</f>
        <v>0</v>
      </c>
      <c r="I531" s="25">
        <f>IFERROR(INDEX('Aub Demand'!U:U,MATCH(O531,'Aub Demand'!A:A,0)),"")</f>
        <v>0</v>
      </c>
      <c r="J531" s="25">
        <f>IFERROR(INDEX('Aub Demand'!T:T,MATCH(O531,'Aub Demand'!A:A,0)),"")</f>
        <v>0</v>
      </c>
      <c r="K531" s="25">
        <f>IFERROR(INDEX('Aub Demand'!S:S,MATCH(O531,'Aub Demand'!A:A,0)),"")</f>
        <v>16</v>
      </c>
      <c r="L531" s="25">
        <f>IFERROR(INDEX('Aub Demand'!R:R,MATCH(O531,'Aub Demand'!A:A,0)),"")</f>
        <v>0</v>
      </c>
      <c r="O531" s="27" t="s">
        <v>6179</v>
      </c>
      <c r="P531" s="27" t="str">
        <f>IFERROR(INDEX('Aub Demand'!B:B,MATCH($O531,'Aub Demand'!$A:$A,0)),"")</f>
        <v>MAHOGANY CLOVE</v>
      </c>
      <c r="Q531" s="27" t="str">
        <f>IFERROR(INDEX('Aub Demand'!C:C,MATCH($O531,'Aub Demand'!$A:$A,0)),"")</f>
        <v>INTER</v>
      </c>
      <c r="R531" s="52">
        <f>IFERROR(IF(AR532=AR531,INDEX('Aub Demand'!K:K,MATCH($O531,'Aub Demand'!$A:$A,0))-IF(AN531="",0,AN531)+AP532,INDEX('Aub Demand'!K:K,MATCH($O531,'Aub Demand'!$A:$A,0))-IF(AN531="",0,AN531)),"")</f>
        <v>0</v>
      </c>
      <c r="S531" s="53">
        <f t="shared" si="224"/>
        <v>0</v>
      </c>
      <c r="T531" s="52" t="str">
        <f t="shared" si="225"/>
        <v/>
      </c>
      <c r="U531" s="52">
        <f>IFERROR(IF(AR532=AR531,INDEX('Aub Demand'!Q:Q,MATCH($O531,'Aub Demand'!$A:$A,0))-IF(AN531="",0,AN531)+AP532,INDEX('Aub Demand'!Q:Q,MATCH($O531,'Aub Demand'!$A:$A,0))-IF(AN531="",0,AN531)),"")</f>
        <v>0</v>
      </c>
      <c r="V531" s="53">
        <f t="shared" si="226"/>
        <v>0</v>
      </c>
      <c r="W531" s="52" t="str">
        <f t="shared" si="227"/>
        <v/>
      </c>
      <c r="X531" s="52">
        <f>IFERROR(IF(AND(AR532=AR531,AM531&lt;&gt;""),INDEX('Aub Demand'!Q:Q,MATCH($O531,'Aub Demand'!$A:$A,0))-IF(AN531="",0,AN531)+AP532+AD531+AL531,IF(AR532=AR531,INDEX('Aub Demand'!Q:Q,MATCH($O531,'Aub Demand'!$A:$A,0))-IF(AN531="",0,AN531)+AP532+AD531,IF(AM531&lt;&gt;"",INDEX('Aub Demand'!Q:Q,MATCH($O531,'Aub Demand'!$A:$A,0))-IF(AN531="",0,AN531)+AD531+AL531,INDEX('Aub Demand'!Q:Q,MATCH($O531,'Aub Demand'!$A:$A,0))-IF(AN531="",0,AN531)+AD531))),"")</f>
        <v>0</v>
      </c>
      <c r="Y531" s="53">
        <f t="shared" si="228"/>
        <v>0</v>
      </c>
      <c r="Z531" s="52">
        <f>IF(L531="","",INDEX('Aub Demand'!H:H,MATCH($O531,'Aub Demand'!$A:$A,0)))</f>
        <v>5</v>
      </c>
      <c r="AA531" s="52" t="str">
        <f t="shared" si="229"/>
        <v>-spike-</v>
      </c>
      <c r="AB531" s="52">
        <f>IFERROR(INDEX('Aub Demand'!L:L,MATCH($O531,'Aub Demand'!$A:$A,0)),"")</f>
        <v>2</v>
      </c>
      <c r="AC531" s="52">
        <f>IFERROR(IF(O531="","",SUMIFS('CPL Mats'!F:F,'CPL Mats'!Q:Q,AR531,'CPL Mats'!S:S,AS531)),"")</f>
        <v>0</v>
      </c>
      <c r="AF531" s="25" t="str">
        <f>IF(SUMIFS('Supp Consol'!S:S,'Supp Consol'!Y:Y,"Releasable",'Supp Consol'!A:A,O531)=0,"",SUMIFS('Supp Consol'!S:S,'Supp Consol'!Y:Y,"Releasable",'Supp Consol'!A:A,O531))</f>
        <v/>
      </c>
      <c r="AG531" s="25" t="str">
        <f>IFERROR(INDEX('Hun Demand'!Q:Q,MATCH(O531,'Hun Demand'!A:A,0)),"")</f>
        <v/>
      </c>
      <c r="AH531" s="25" t="str">
        <f>IFERROR(INDEX('Hun Demand'!H:H,MATCH($O531,'Hun Demand'!$A:$A,0)),"")</f>
        <v/>
      </c>
      <c r="AI531" s="25" t="str">
        <f>IF(SUMIFS('Supp Consol'!AA:AA,'Supp Consol'!Z:Z,"Expires this month",'Supp Consol'!A:A,O531)=0,"",SUMIFS('Supp Consol'!AA:AA,'Supp Consol'!Z:Z,"Expires this month",'Supp Consol'!A:A,O531))</f>
        <v/>
      </c>
      <c r="AJ531" s="25" t="str">
        <f>IF(SUMIFS('Supp Consol'!AA:AA,'Supp Consol'!Z:Z,"Expired Previous Months",'Supp Consol'!A:A,O531)=0,"",SUMIFS('Supp Consol'!AA:AA,'Supp Consol'!Z:Z,"Expired Previous Months",'Supp Consol'!A:A,O531))</f>
        <v/>
      </c>
      <c r="AK531" s="25" t="str">
        <f>IFERROR(INDEX('Hun Release Current'!B:B,MATCH(O531,'Hun Release Current'!A:A,0)),"")</f>
        <v/>
      </c>
      <c r="AL531" s="25" t="str">
        <f>IF(SUMIF('Prev Aub'!A:A,O531,'Prev Aub'!B:B)=0,"",SUMIF('Prev Aub'!A:A,O531,'Prev Aub'!B:B))</f>
        <v/>
      </c>
      <c r="AN531" s="25" t="s">
        <v>3790</v>
      </c>
      <c r="AO531" s="25" t="s">
        <v>3790</v>
      </c>
      <c r="AP531" s="25">
        <f t="shared" si="230"/>
        <v>0</v>
      </c>
      <c r="AQ531" s="151" t="str">
        <f>IF(SUMIFS('Supp Consol'!S:S,'Supp Consol'!A:A,O531,'Supp Consol'!I:I,"PENDING")=0,"",SUMIFS('Supp Consol'!S:S,'Supp Consol'!A:A,O531,'Supp Consol'!I:I,"PENDING"))</f>
        <v/>
      </c>
      <c r="AR531" s="27" t="str">
        <f t="shared" si="231"/>
        <v>HP273</v>
      </c>
      <c r="AS531" s="27" t="str">
        <f t="shared" si="232"/>
        <v>50</v>
      </c>
      <c r="AT531" s="27" t="str">
        <f t="shared" si="233"/>
        <v>HP273</v>
      </c>
      <c r="AU531" s="27" t="str">
        <f t="shared" si="234"/>
        <v>HP273</v>
      </c>
      <c r="AV531" s="27" t="str">
        <f t="shared" si="235"/>
        <v>HP273</v>
      </c>
      <c r="AW531" s="27" t="str">
        <f t="shared" si="236"/>
        <v/>
      </c>
      <c r="AX531" s="27" t="str">
        <f t="shared" si="237"/>
        <v/>
      </c>
      <c r="AY531" s="27" t="str">
        <f t="shared" si="238"/>
        <v/>
      </c>
      <c r="AZ531" s="27" t="str">
        <f t="shared" si="239"/>
        <v/>
      </c>
      <c r="BA531" s="27" t="str">
        <f t="shared" si="240"/>
        <v>Hun</v>
      </c>
      <c r="BB531" s="27" t="str">
        <f t="shared" si="241"/>
        <v>Gross</v>
      </c>
      <c r="BC531" s="27" t="str">
        <f t="shared" si="242"/>
        <v>Net</v>
      </c>
      <c r="BD531" s="27" t="str">
        <f t="shared" si="243"/>
        <v>Net</v>
      </c>
      <c r="BE531" s="27" t="str">
        <f t="shared" si="244"/>
        <v/>
      </c>
      <c r="BF531" s="27" t="str">
        <f t="shared" si="245"/>
        <v/>
      </c>
      <c r="BG531" s="27" t="str">
        <f t="shared" si="246"/>
        <v/>
      </c>
      <c r="BH531" s="27" t="str">
        <f t="shared" si="247"/>
        <v>H+N</v>
      </c>
      <c r="BI531" s="27" t="str">
        <f t="shared" si="248"/>
        <v>H+Nex</v>
      </c>
      <c r="BJ531" s="27" t="str">
        <f t="shared" si="249"/>
        <v>Supp or Hun</v>
      </c>
      <c r="BK531" s="27" t="str">
        <f t="shared" si="250"/>
        <v>Supp or Hun Need</v>
      </c>
      <c r="BL531" s="27" t="str">
        <f t="shared" si="251"/>
        <v>SorHandNandE</v>
      </c>
      <c r="BM531" s="21" t="s">
        <v>3790</v>
      </c>
    </row>
    <row r="532" spans="1:65" ht="15">
      <c r="A532" s="25">
        <f>IFERROR(INDEX('Hun Demand'!W:W,MATCH(O532,'Hun Demand'!A:A,0)),"")</f>
        <v>0</v>
      </c>
      <c r="B532" s="25">
        <f>IFERROR(INDEX('Hun Demand'!V:V,MATCH(O532,'Hun Demand'!A:A,0)),"")</f>
        <v>0</v>
      </c>
      <c r="C532" s="25">
        <f>IFERROR(INDEX('Hun Demand'!U:U,MATCH(O532,'Hun Demand'!A:A,0)),"")</f>
        <v>0</v>
      </c>
      <c r="D532" s="25">
        <f>IFERROR(INDEX('Hun Demand'!T:T,MATCH(O532,'Hun Demand'!A:A,0)),"")</f>
        <v>0</v>
      </c>
      <c r="E532" s="25">
        <f>IFERROR(INDEX('Hun Demand'!S:S,MATCH(O532,'Hun Demand'!A:A,0)),"")</f>
        <v>0</v>
      </c>
      <c r="F532" s="25">
        <f>IFERROR(INDEX('Hun Demand'!R:R,MATCH(O532,'Hun Demand'!A:A,0)),"")</f>
        <v>0</v>
      </c>
      <c r="G532" s="25">
        <f>IFERROR(INDEX('Aub Demand'!W:W,MATCH(O532,'Aub Demand'!A:A,0)),"")</f>
        <v>0</v>
      </c>
      <c r="H532" s="25">
        <f>IFERROR(INDEX('Aub Demand'!V:V,MATCH(O532,'Aub Demand'!A:A,0)),"")</f>
        <v>0</v>
      </c>
      <c r="I532" s="25">
        <f>IFERROR(INDEX('Aub Demand'!U:U,MATCH(O532,'Aub Demand'!A:A,0)),"")</f>
        <v>0</v>
      </c>
      <c r="J532" s="25">
        <f>IFERROR(INDEX('Aub Demand'!T:T,MATCH(O532,'Aub Demand'!A:A,0)),"")</f>
        <v>57</v>
      </c>
      <c r="K532" s="25">
        <f>IFERROR(INDEX('Aub Demand'!S:S,MATCH(O532,'Aub Demand'!A:A,0)),"")</f>
        <v>0</v>
      </c>
      <c r="L532" s="25">
        <f>IFERROR(INDEX('Aub Demand'!R:R,MATCH(O532,'Aub Demand'!A:A,0)),"")</f>
        <v>0</v>
      </c>
      <c r="O532" s="27" t="s">
        <v>880</v>
      </c>
      <c r="P532" s="27" t="str">
        <f>IFERROR(INDEX('Aub Demand'!B:B,MATCH($O532,'Aub Demand'!$A:$A,0)),"")</f>
        <v>MAHOGANY CLOVE</v>
      </c>
      <c r="Q532" s="27" t="str">
        <f>IFERROR(INDEX('Aub Demand'!C:C,MATCH($O532,'Aub Demand'!$A:$A,0)),"")</f>
        <v>INTER</v>
      </c>
      <c r="R532" s="52">
        <f>IFERROR(IF(AR533=AR532,INDEX('Aub Demand'!K:K,MATCH($O532,'Aub Demand'!$A:$A,0))-IF(AN532="",0,AN532)+AP533,INDEX('Aub Demand'!K:K,MATCH($O532,'Aub Demand'!$A:$A,0))-IF(AN532="",0,AN532)),"")</f>
        <v>833</v>
      </c>
      <c r="S532" s="53">
        <f t="shared" si="224"/>
        <v>187.9</v>
      </c>
      <c r="T532" s="52" t="str">
        <f t="shared" si="225"/>
        <v/>
      </c>
      <c r="U532" s="52">
        <f>IFERROR(IF(AR533=AR532,INDEX('Aub Demand'!Q:Q,MATCH($O532,'Aub Demand'!$A:$A,0))-IF(AN532="",0,AN532)+AP533,INDEX('Aub Demand'!Q:Q,MATCH($O532,'Aub Demand'!$A:$A,0))-IF(AN532="",0,AN532)),"")</f>
        <v>833</v>
      </c>
      <c r="V532" s="53">
        <f t="shared" si="226"/>
        <v>187.9</v>
      </c>
      <c r="W532" s="52" t="str">
        <f t="shared" si="227"/>
        <v/>
      </c>
      <c r="X532" s="52">
        <f>IFERROR(IF(AND(AR533=AR532,AM532&lt;&gt;""),INDEX('Aub Demand'!Q:Q,MATCH($O532,'Aub Demand'!$A:$A,0))-IF(AN532="",0,AN532)+AP533+AD532+AL532,IF(AR533=AR532,INDEX('Aub Demand'!Q:Q,MATCH($O532,'Aub Demand'!$A:$A,0))-IF(AN532="",0,AN532)+AP533+AD532,IF(AM532&lt;&gt;"",INDEX('Aub Demand'!Q:Q,MATCH($O532,'Aub Demand'!$A:$A,0))-IF(AN532="",0,AN532)+AD532+AL532,INDEX('Aub Demand'!Q:Q,MATCH($O532,'Aub Demand'!$A:$A,0))-IF(AN532="",0,AN532)+AD532))),"")</f>
        <v>833</v>
      </c>
      <c r="Y532" s="53">
        <f t="shared" si="228"/>
        <v>187.9</v>
      </c>
      <c r="Z532" s="52">
        <f>IF(L532="","",INDEX('Aub Demand'!H:H,MATCH($O532,'Aub Demand'!$A:$A,0)))</f>
        <v>19</v>
      </c>
      <c r="AA532" s="52" t="str">
        <f t="shared" si="229"/>
        <v>-spike-</v>
      </c>
      <c r="AB532" s="52">
        <f>IFERROR(INDEX('Aub Demand'!L:L,MATCH($O532,'Aub Demand'!$A:$A,0)),"")</f>
        <v>31</v>
      </c>
      <c r="AC532" s="52">
        <f>IFERROR(IF(O532="","",SUMIFS('CPL Mats'!F:F,'CPL Mats'!Q:Q,AR532,'CPL Mats'!S:S,AS532)),"")</f>
        <v>0</v>
      </c>
      <c r="AF532" s="25" t="str">
        <f>IF(SUMIFS('Supp Consol'!S:S,'Supp Consol'!Y:Y,"Releasable",'Supp Consol'!A:A,O532)=0,"",SUMIFS('Supp Consol'!S:S,'Supp Consol'!Y:Y,"Releasable",'Supp Consol'!A:A,O532))</f>
        <v/>
      </c>
      <c r="AG532" s="25">
        <f>IFERROR(INDEX('Hun Demand'!Q:Q,MATCH(O532,'Hun Demand'!A:A,0)),"")</f>
        <v>328</v>
      </c>
      <c r="AH532" s="25">
        <f>IFERROR(INDEX('Hun Demand'!H:H,MATCH($O532,'Hun Demand'!$A:$A,0)),"")</f>
        <v>0</v>
      </c>
      <c r="AI532" s="25" t="str">
        <f>IF(SUMIFS('Supp Consol'!AA:AA,'Supp Consol'!Z:Z,"Expires this month",'Supp Consol'!A:A,O532)=0,"",SUMIFS('Supp Consol'!AA:AA,'Supp Consol'!Z:Z,"Expires this month",'Supp Consol'!A:A,O532))</f>
        <v/>
      </c>
      <c r="AJ532" s="25" t="str">
        <f>IF(SUMIFS('Supp Consol'!AA:AA,'Supp Consol'!Z:Z,"Expired Previous Months",'Supp Consol'!A:A,O532)=0,"",SUMIFS('Supp Consol'!AA:AA,'Supp Consol'!Z:Z,"Expired Previous Months",'Supp Consol'!A:A,O532))</f>
        <v/>
      </c>
      <c r="AK532" s="25" t="str">
        <f>IFERROR(INDEX('Hun Release Current'!B:B,MATCH(O532,'Hun Release Current'!A:A,0)),"")</f>
        <v/>
      </c>
      <c r="AL532" s="25" t="str">
        <f>IF(SUMIF('Prev Aub'!A:A,O532,'Prev Aub'!B:B)=0,"",SUMIF('Prev Aub'!A:A,O532,'Prev Aub'!B:B))</f>
        <v/>
      </c>
      <c r="AN532" s="25" t="s">
        <v>3790</v>
      </c>
      <c r="AO532" s="25" t="s">
        <v>3790</v>
      </c>
      <c r="AP532" s="25">
        <f t="shared" si="230"/>
        <v>0</v>
      </c>
      <c r="AQ532" s="151" t="str">
        <f>IF(SUMIFS('Supp Consol'!S:S,'Supp Consol'!A:A,O532,'Supp Consol'!I:I,"PENDING")=0,"",SUMIFS('Supp Consol'!S:S,'Supp Consol'!A:A,O532,'Supp Consol'!I:I,"PENDING"))</f>
        <v/>
      </c>
      <c r="AR532" s="27" t="str">
        <f t="shared" si="231"/>
        <v>HP273</v>
      </c>
      <c r="AS532" s="27" t="str">
        <f t="shared" si="232"/>
        <v>62</v>
      </c>
      <c r="AT532" s="27" t="str">
        <f t="shared" si="233"/>
        <v/>
      </c>
      <c r="AU532" s="27" t="str">
        <f t="shared" si="234"/>
        <v/>
      </c>
      <c r="AV532" s="27" t="str">
        <f t="shared" si="235"/>
        <v/>
      </c>
      <c r="AW532" s="27" t="str">
        <f t="shared" si="236"/>
        <v/>
      </c>
      <c r="AX532" s="27" t="str">
        <f t="shared" si="237"/>
        <v/>
      </c>
      <c r="AY532" s="27" t="str">
        <f t="shared" si="238"/>
        <v>HP273</v>
      </c>
      <c r="AZ532" s="27" t="str">
        <f t="shared" si="239"/>
        <v/>
      </c>
      <c r="BA532" s="27" t="str">
        <f t="shared" si="240"/>
        <v>Hun</v>
      </c>
      <c r="BB532" s="27" t="str">
        <f t="shared" si="241"/>
        <v>Gross</v>
      </c>
      <c r="BC532" s="27" t="str">
        <f t="shared" si="242"/>
        <v>Net</v>
      </c>
      <c r="BD532" s="27" t="str">
        <f t="shared" si="243"/>
        <v>Net</v>
      </c>
      <c r="BE532" s="27" t="str">
        <f t="shared" si="244"/>
        <v/>
      </c>
      <c r="BF532" s="27" t="str">
        <f t="shared" si="245"/>
        <v/>
      </c>
      <c r="BG532" s="27" t="str">
        <f t="shared" si="246"/>
        <v/>
      </c>
      <c r="BH532" s="27" t="str">
        <f t="shared" si="247"/>
        <v>H+N</v>
      </c>
      <c r="BI532" s="27" t="str">
        <f t="shared" si="248"/>
        <v>H+Nex</v>
      </c>
      <c r="BJ532" s="27" t="str">
        <f t="shared" si="249"/>
        <v>Supp or Hun</v>
      </c>
      <c r="BK532" s="27" t="str">
        <f t="shared" si="250"/>
        <v>Supp or Hun Need</v>
      </c>
      <c r="BL532" s="27" t="str">
        <f t="shared" si="251"/>
        <v>SorHandNandE</v>
      </c>
      <c r="BM532" s="21" t="s">
        <v>5582</v>
      </c>
    </row>
    <row r="533" spans="1:65" ht="15">
      <c r="A533" s="25" t="str">
        <f>IFERROR(INDEX('Hun Demand'!W:W,MATCH(O533,'Hun Demand'!A:A,0)),"")</f>
        <v/>
      </c>
      <c r="B533" s="25" t="str">
        <f>IFERROR(INDEX('Hun Demand'!V:V,MATCH(O533,'Hun Demand'!A:A,0)),"")</f>
        <v/>
      </c>
      <c r="C533" s="25" t="str">
        <f>IFERROR(INDEX('Hun Demand'!U:U,MATCH(O533,'Hun Demand'!A:A,0)),"")</f>
        <v/>
      </c>
      <c r="D533" s="25" t="str">
        <f>IFERROR(INDEX('Hun Demand'!T:T,MATCH(O533,'Hun Demand'!A:A,0)),"")</f>
        <v/>
      </c>
      <c r="E533" s="25" t="str">
        <f>IFERROR(INDEX('Hun Demand'!S:S,MATCH(O533,'Hun Demand'!A:A,0)),"")</f>
        <v/>
      </c>
      <c r="F533" s="25" t="str">
        <f>IFERROR(INDEX('Hun Demand'!R:R,MATCH(O533,'Hun Demand'!A:A,0)),"")</f>
        <v/>
      </c>
      <c r="G533" s="25">
        <f>IFERROR(INDEX('Aub Demand'!W:W,MATCH(O533,'Aub Demand'!A:A,0)),"")</f>
        <v>0</v>
      </c>
      <c r="H533" s="25">
        <f>IFERROR(INDEX('Aub Demand'!V:V,MATCH(O533,'Aub Demand'!A:A,0)),"")</f>
        <v>0</v>
      </c>
      <c r="I533" s="25">
        <f>IFERROR(INDEX('Aub Demand'!U:U,MATCH(O533,'Aub Demand'!A:A,0)),"")</f>
        <v>0</v>
      </c>
      <c r="J533" s="25">
        <f>IFERROR(INDEX('Aub Demand'!T:T,MATCH(O533,'Aub Demand'!A:A,0)),"")</f>
        <v>0</v>
      </c>
      <c r="K533" s="25">
        <f>IFERROR(INDEX('Aub Demand'!S:S,MATCH(O533,'Aub Demand'!A:A,0)),"")</f>
        <v>0</v>
      </c>
      <c r="L533" s="25">
        <f>IFERROR(INDEX('Aub Demand'!R:R,MATCH(O533,'Aub Demand'!A:A,0)),"")</f>
        <v>0</v>
      </c>
      <c r="O533" s="27" t="s">
        <v>881</v>
      </c>
      <c r="P533" s="27" t="str">
        <f>IFERROR(INDEX('Aub Demand'!B:B,MATCH($O533,'Aub Demand'!$A:$A,0)),"")</f>
        <v>CORRETTO CHERRY</v>
      </c>
      <c r="Q533" s="27" t="str">
        <f>IFERROR(INDEX('Aub Demand'!C:C,MATCH($O533,'Aub Demand'!$A:$A,0)),"")</f>
        <v>SUDDE</v>
      </c>
      <c r="R533" s="52">
        <f>IFERROR(IF(AR534=AR533,INDEX('Aub Demand'!K:K,MATCH($O533,'Aub Demand'!$A:$A,0))-IF(AN533="",0,AN533)+AP534,INDEX('Aub Demand'!K:K,MATCH($O533,'Aub Demand'!$A:$A,0))-IF(AN533="",0,AN533)),"")</f>
        <v>2023</v>
      </c>
      <c r="S533" s="53" t="str">
        <f t="shared" si="224"/>
        <v>n/a</v>
      </c>
      <c r="T533" s="52" t="str">
        <f t="shared" si="225"/>
        <v/>
      </c>
      <c r="U533" s="52">
        <f>IFERROR(IF(AR534=AR533,INDEX('Aub Demand'!Q:Q,MATCH($O533,'Aub Demand'!$A:$A,0))-IF(AN533="",0,AN533)+AP534,INDEX('Aub Demand'!Q:Q,MATCH($O533,'Aub Demand'!$A:$A,0))-IF(AN533="",0,AN533)),"")</f>
        <v>2023</v>
      </c>
      <c r="V533" s="53" t="str">
        <f t="shared" si="226"/>
        <v>n/a</v>
      </c>
      <c r="W533" s="52" t="str">
        <f t="shared" si="227"/>
        <v/>
      </c>
      <c r="X533" s="52">
        <f>IFERROR(IF(AND(AR534=AR533,AM533&lt;&gt;""),INDEX('Aub Demand'!Q:Q,MATCH($O533,'Aub Demand'!$A:$A,0))-IF(AN533="",0,AN533)+AP534+AD533+AL533,IF(AR534=AR533,INDEX('Aub Demand'!Q:Q,MATCH($O533,'Aub Demand'!$A:$A,0))-IF(AN533="",0,AN533)+AP534+AD533,IF(AM533&lt;&gt;"",INDEX('Aub Demand'!Q:Q,MATCH($O533,'Aub Demand'!$A:$A,0))-IF(AN533="",0,AN533)+AD533+AL533,INDEX('Aub Demand'!Q:Q,MATCH($O533,'Aub Demand'!$A:$A,0))-IF(AN533="",0,AN533)+AD533))),"")</f>
        <v>2023</v>
      </c>
      <c r="Y533" s="53" t="str">
        <f t="shared" si="228"/>
        <v>n/a</v>
      </c>
      <c r="Z533" s="52">
        <f>IF(L533="","",INDEX('Aub Demand'!H:H,MATCH($O533,'Aub Demand'!$A:$A,0)))</f>
        <v>0</v>
      </c>
      <c r="AA533" s="52" t="str">
        <f t="shared" si="229"/>
        <v>-spike-</v>
      </c>
      <c r="AB533" s="52">
        <f>IFERROR(INDEX('Aub Demand'!L:L,MATCH($O533,'Aub Demand'!$A:$A,0)),"")</f>
        <v>5</v>
      </c>
      <c r="AC533" s="52">
        <f>IFERROR(IF(O533="","",SUMIFS('CPL Mats'!F:F,'CPL Mats'!Q:Q,AR533,'CPL Mats'!S:S,AS533)),"")</f>
        <v>0</v>
      </c>
      <c r="AF533" s="25" t="str">
        <f>IF(SUMIFS('Supp Consol'!S:S,'Supp Consol'!Y:Y,"Releasable",'Supp Consol'!A:A,O533)=0,"",SUMIFS('Supp Consol'!S:S,'Supp Consol'!Y:Y,"Releasable",'Supp Consol'!A:A,O533))</f>
        <v/>
      </c>
      <c r="AG533" s="25" t="str">
        <f>IFERROR(INDEX('Hun Demand'!Q:Q,MATCH(O533,'Hun Demand'!A:A,0)),"")</f>
        <v/>
      </c>
      <c r="AH533" s="25" t="str">
        <f>IFERROR(INDEX('Hun Demand'!H:H,MATCH($O533,'Hun Demand'!$A:$A,0)),"")</f>
        <v/>
      </c>
      <c r="AI533" s="25" t="str">
        <f>IF(SUMIFS('Supp Consol'!AA:AA,'Supp Consol'!Z:Z,"Expires this month",'Supp Consol'!A:A,O533)=0,"",SUMIFS('Supp Consol'!AA:AA,'Supp Consol'!Z:Z,"Expires this month",'Supp Consol'!A:A,O533))</f>
        <v/>
      </c>
      <c r="AJ533" s="25" t="str">
        <f>IF(SUMIFS('Supp Consol'!AA:AA,'Supp Consol'!Z:Z,"Expired Previous Months",'Supp Consol'!A:A,O533)=0,"",SUMIFS('Supp Consol'!AA:AA,'Supp Consol'!Z:Z,"Expired Previous Months",'Supp Consol'!A:A,O533))</f>
        <v/>
      </c>
      <c r="AK533" s="25" t="str">
        <f>IFERROR(INDEX('Hun Release Current'!B:B,MATCH(O533,'Hun Release Current'!A:A,0)),"")</f>
        <v/>
      </c>
      <c r="AL533" s="25" t="str">
        <f>IF(SUMIF('Prev Aub'!A:A,O533,'Prev Aub'!B:B)=0,"",SUMIF('Prev Aub'!A:A,O533,'Prev Aub'!B:B))</f>
        <v/>
      </c>
      <c r="AN533" s="25" t="s">
        <v>3790</v>
      </c>
      <c r="AO533" s="25" t="s">
        <v>3790</v>
      </c>
      <c r="AP533" s="25">
        <f t="shared" si="230"/>
        <v>0</v>
      </c>
      <c r="AQ533" s="151" t="str">
        <f>IF(SUMIFS('Supp Consol'!S:S,'Supp Consol'!A:A,O533,'Supp Consol'!I:I,"PENDING")=0,"",SUMIFS('Supp Consol'!S:S,'Supp Consol'!A:A,O533,'Supp Consol'!I:I,"PENDING"))</f>
        <v/>
      </c>
      <c r="AR533" s="27" t="str">
        <f t="shared" si="231"/>
        <v>HP288</v>
      </c>
      <c r="AS533" s="27" t="str">
        <f t="shared" si="232"/>
        <v>50</v>
      </c>
      <c r="AT533" s="27" t="str">
        <f t="shared" si="233"/>
        <v/>
      </c>
      <c r="AU533" s="27" t="str">
        <f t="shared" si="234"/>
        <v/>
      </c>
      <c r="AV533" s="27" t="str">
        <f t="shared" si="235"/>
        <v/>
      </c>
      <c r="AW533" s="27" t="str">
        <f t="shared" si="236"/>
        <v/>
      </c>
      <c r="AX533" s="27" t="str">
        <f t="shared" si="237"/>
        <v/>
      </c>
      <c r="AY533" s="27" t="str">
        <f t="shared" si="238"/>
        <v/>
      </c>
      <c r="AZ533" s="27" t="str">
        <f t="shared" si="239"/>
        <v/>
      </c>
      <c r="BA533" s="27" t="str">
        <f t="shared" si="240"/>
        <v>Hun</v>
      </c>
      <c r="BB533" s="27" t="str">
        <f t="shared" si="241"/>
        <v/>
      </c>
      <c r="BC533" s="27" t="str">
        <f t="shared" si="242"/>
        <v/>
      </c>
      <c r="BD533" s="27" t="str">
        <f t="shared" si="243"/>
        <v/>
      </c>
      <c r="BE533" s="27" t="str">
        <f t="shared" si="244"/>
        <v/>
      </c>
      <c r="BF533" s="27" t="str">
        <f t="shared" si="245"/>
        <v/>
      </c>
      <c r="BG533" s="27" t="str">
        <f t="shared" si="246"/>
        <v/>
      </c>
      <c r="BH533" s="27" t="str">
        <f t="shared" si="247"/>
        <v/>
      </c>
      <c r="BI533" s="27" t="str">
        <f t="shared" si="248"/>
        <v/>
      </c>
      <c r="BJ533" s="27" t="str">
        <f t="shared" si="249"/>
        <v>Supp or Hun</v>
      </c>
      <c r="BK533" s="27" t="str">
        <f t="shared" si="250"/>
        <v/>
      </c>
      <c r="BL533" s="27" t="str">
        <f t="shared" si="251"/>
        <v/>
      </c>
      <c r="BM533" s="21" t="s">
        <v>5582</v>
      </c>
    </row>
    <row r="534" spans="1:65" ht="15">
      <c r="A534" s="25">
        <f>IFERROR(INDEX('Hun Demand'!W:W,MATCH(O534,'Hun Demand'!A:A,0)),"")</f>
        <v>0</v>
      </c>
      <c r="B534" s="25">
        <f>IFERROR(INDEX('Hun Demand'!V:V,MATCH(O534,'Hun Demand'!A:A,0)),"")</f>
        <v>0</v>
      </c>
      <c r="C534" s="25">
        <f>IFERROR(INDEX('Hun Demand'!U:U,MATCH(O534,'Hun Demand'!A:A,0)),"")</f>
        <v>0</v>
      </c>
      <c r="D534" s="25">
        <f>IFERROR(INDEX('Hun Demand'!T:T,MATCH(O534,'Hun Demand'!A:A,0)),"")</f>
        <v>0</v>
      </c>
      <c r="E534" s="25">
        <f>IFERROR(INDEX('Hun Demand'!S:S,MATCH(O534,'Hun Demand'!A:A,0)),"")</f>
        <v>0</v>
      </c>
      <c r="F534" s="25">
        <f>IFERROR(INDEX('Hun Demand'!R:R,MATCH(O534,'Hun Demand'!A:A,0)),"")</f>
        <v>0</v>
      </c>
      <c r="G534" s="25">
        <f>IFERROR(INDEX('Aub Demand'!W:W,MATCH(O534,'Aub Demand'!A:A,0)),"")</f>
        <v>0</v>
      </c>
      <c r="H534" s="25">
        <f>IFERROR(INDEX('Aub Demand'!V:V,MATCH(O534,'Aub Demand'!A:A,0)),"")</f>
        <v>0</v>
      </c>
      <c r="I534" s="25">
        <f>IFERROR(INDEX('Aub Demand'!U:U,MATCH(O534,'Aub Demand'!A:A,0)),"")</f>
        <v>0</v>
      </c>
      <c r="J534" s="25">
        <f>IFERROR(INDEX('Aub Demand'!T:T,MATCH(O534,'Aub Demand'!A:A,0)),"")</f>
        <v>0</v>
      </c>
      <c r="K534" s="25">
        <f>IFERROR(INDEX('Aub Demand'!S:S,MATCH(O534,'Aub Demand'!A:A,0)),"")</f>
        <v>0</v>
      </c>
      <c r="L534" s="25">
        <f>IFERROR(INDEX('Aub Demand'!R:R,MATCH(O534,'Aub Demand'!A:A,0)),"")</f>
        <v>0</v>
      </c>
      <c r="O534" s="27" t="s">
        <v>884</v>
      </c>
      <c r="P534" s="27" t="str">
        <f>IFERROR(INDEX('Aub Demand'!B:B,MATCH($O534,'Aub Demand'!$A:$A,0)),"")</f>
        <v>CORRETTO CHERRY</v>
      </c>
      <c r="Q534" s="27" t="str">
        <f>IFERROR(INDEX('Aub Demand'!C:C,MATCH($O534,'Aub Demand'!$A:$A,0)),"")</f>
        <v>SUDDE</v>
      </c>
      <c r="R534" s="52">
        <f>IFERROR(IF(AR535=AR534,INDEX('Aub Demand'!K:K,MATCH($O534,'Aub Demand'!$A:$A,0))-IF(AN534="",0,AN534)+AP535,INDEX('Aub Demand'!K:K,MATCH($O534,'Aub Demand'!$A:$A,0))-IF(AN534="",0,AN534)),"")</f>
        <v>525</v>
      </c>
      <c r="S534" s="53" t="str">
        <f t="shared" si="224"/>
        <v>n/a</v>
      </c>
      <c r="T534" s="52" t="str">
        <f t="shared" si="225"/>
        <v/>
      </c>
      <c r="U534" s="52">
        <f>IFERROR(IF(AR535=AR534,INDEX('Aub Demand'!Q:Q,MATCH($O534,'Aub Demand'!$A:$A,0))-IF(AN534="",0,AN534)+AP535,INDEX('Aub Demand'!Q:Q,MATCH($O534,'Aub Demand'!$A:$A,0))-IF(AN534="",0,AN534)),"")</f>
        <v>525</v>
      </c>
      <c r="V534" s="53" t="str">
        <f t="shared" si="226"/>
        <v>n/a</v>
      </c>
      <c r="W534" s="52" t="str">
        <f t="shared" si="227"/>
        <v/>
      </c>
      <c r="X534" s="52">
        <f>IFERROR(IF(AND(AR535=AR534,AM534&lt;&gt;""),INDEX('Aub Demand'!Q:Q,MATCH($O534,'Aub Demand'!$A:$A,0))-IF(AN534="",0,AN534)+AP535+AD534+AL534,IF(AR535=AR534,INDEX('Aub Demand'!Q:Q,MATCH($O534,'Aub Demand'!$A:$A,0))-IF(AN534="",0,AN534)+AP535+AD534,IF(AM534&lt;&gt;"",INDEX('Aub Demand'!Q:Q,MATCH($O534,'Aub Demand'!$A:$A,0))-IF(AN534="",0,AN534)+AD534+AL534,INDEX('Aub Demand'!Q:Q,MATCH($O534,'Aub Demand'!$A:$A,0))-IF(AN534="",0,AN534)+AD534))),"")</f>
        <v>525</v>
      </c>
      <c r="Y534" s="53" t="str">
        <f t="shared" si="228"/>
        <v>n/a</v>
      </c>
      <c r="Z534" s="52">
        <f>IF(L534="","",INDEX('Aub Demand'!H:H,MATCH($O534,'Aub Demand'!$A:$A,0)))</f>
        <v>0</v>
      </c>
      <c r="AA534" s="52" t="str">
        <f t="shared" si="229"/>
        <v>-spike-</v>
      </c>
      <c r="AB534" s="52">
        <f>IFERROR(INDEX('Aub Demand'!L:L,MATCH($O534,'Aub Demand'!$A:$A,0)),"")</f>
        <v>0</v>
      </c>
      <c r="AC534" s="52">
        <f>IFERROR(IF(O534="","",SUMIFS('CPL Mats'!F:F,'CPL Mats'!Q:Q,AR534,'CPL Mats'!S:S,AS534)),"")</f>
        <v>0</v>
      </c>
      <c r="AF534" s="25" t="str">
        <f>IF(SUMIFS('Supp Consol'!S:S,'Supp Consol'!Y:Y,"Releasable",'Supp Consol'!A:A,O534)=0,"",SUMIFS('Supp Consol'!S:S,'Supp Consol'!Y:Y,"Releasable",'Supp Consol'!A:A,O534))</f>
        <v/>
      </c>
      <c r="AG534" s="25">
        <f>IFERROR(INDEX('Hun Demand'!Q:Q,MATCH(O534,'Hun Demand'!A:A,0)),"")</f>
        <v>2345</v>
      </c>
      <c r="AH534" s="25">
        <f>IFERROR(INDEX('Hun Demand'!H:H,MATCH($O534,'Hun Demand'!$A:$A,0)),"")</f>
        <v>0</v>
      </c>
      <c r="AI534" s="25" t="str">
        <f>IF(SUMIFS('Supp Consol'!AA:AA,'Supp Consol'!Z:Z,"Expires this month",'Supp Consol'!A:A,O534)=0,"",SUMIFS('Supp Consol'!AA:AA,'Supp Consol'!Z:Z,"Expires this month",'Supp Consol'!A:A,O534))</f>
        <v/>
      </c>
      <c r="AJ534" s="25" t="str">
        <f>IF(SUMIFS('Supp Consol'!AA:AA,'Supp Consol'!Z:Z,"Expired Previous Months",'Supp Consol'!A:A,O534)=0,"",SUMIFS('Supp Consol'!AA:AA,'Supp Consol'!Z:Z,"Expired Previous Months",'Supp Consol'!A:A,O534))</f>
        <v/>
      </c>
      <c r="AK534" s="25" t="str">
        <f>IFERROR(INDEX('Hun Release Current'!B:B,MATCH(O534,'Hun Release Current'!A:A,0)),"")</f>
        <v/>
      </c>
      <c r="AL534" s="25" t="str">
        <f>IF(SUMIF('Prev Aub'!A:A,O534,'Prev Aub'!B:B)=0,"",SUMIF('Prev Aub'!A:A,O534,'Prev Aub'!B:B))</f>
        <v/>
      </c>
      <c r="AN534" s="25" t="s">
        <v>3790</v>
      </c>
      <c r="AO534" s="25" t="s">
        <v>3790</v>
      </c>
      <c r="AP534" s="25">
        <f t="shared" si="230"/>
        <v>0</v>
      </c>
      <c r="AQ534" s="151" t="str">
        <f>IF(SUMIFS('Supp Consol'!S:S,'Supp Consol'!A:A,O534,'Supp Consol'!I:I,"PENDING")=0,"",SUMIFS('Supp Consol'!S:S,'Supp Consol'!A:A,O534,'Supp Consol'!I:I,"PENDING"))</f>
        <v/>
      </c>
      <c r="AR534" s="27" t="str">
        <f t="shared" si="231"/>
        <v>HP288</v>
      </c>
      <c r="AS534" s="27" t="str">
        <f t="shared" si="232"/>
        <v>62</v>
      </c>
      <c r="AT534" s="27" t="str">
        <f t="shared" si="233"/>
        <v/>
      </c>
      <c r="AU534" s="27" t="str">
        <f t="shared" si="234"/>
        <v/>
      </c>
      <c r="AV534" s="27" t="str">
        <f t="shared" si="235"/>
        <v/>
      </c>
      <c r="AW534" s="27" t="str">
        <f t="shared" si="236"/>
        <v/>
      </c>
      <c r="AX534" s="27" t="str">
        <f t="shared" si="237"/>
        <v/>
      </c>
      <c r="AY534" s="27" t="str">
        <f t="shared" si="238"/>
        <v>HP288</v>
      </c>
      <c r="AZ534" s="27" t="str">
        <f t="shared" si="239"/>
        <v/>
      </c>
      <c r="BA534" s="27" t="str">
        <f t="shared" si="240"/>
        <v>Hun</v>
      </c>
      <c r="BB534" s="27" t="str">
        <f t="shared" si="241"/>
        <v/>
      </c>
      <c r="BC534" s="27" t="str">
        <f t="shared" si="242"/>
        <v/>
      </c>
      <c r="BD534" s="27" t="str">
        <f t="shared" si="243"/>
        <v/>
      </c>
      <c r="BE534" s="27" t="str">
        <f t="shared" si="244"/>
        <v/>
      </c>
      <c r="BF534" s="27" t="str">
        <f t="shared" si="245"/>
        <v/>
      </c>
      <c r="BG534" s="27" t="str">
        <f t="shared" si="246"/>
        <v/>
      </c>
      <c r="BH534" s="27" t="str">
        <f t="shared" si="247"/>
        <v/>
      </c>
      <c r="BI534" s="27" t="str">
        <f t="shared" si="248"/>
        <v/>
      </c>
      <c r="BJ534" s="27" t="str">
        <f t="shared" si="249"/>
        <v>Supp or Hun</v>
      </c>
      <c r="BK534" s="27" t="str">
        <f t="shared" si="250"/>
        <v/>
      </c>
      <c r="BL534" s="27" t="str">
        <f t="shared" si="251"/>
        <v/>
      </c>
      <c r="BM534" s="21" t="s">
        <v>5582</v>
      </c>
    </row>
    <row r="535" spans="1:65" ht="15">
      <c r="A535" s="25">
        <f>IFERROR(INDEX('Hun Demand'!W:W,MATCH(O535,'Hun Demand'!A:A,0)),"")</f>
        <v>0</v>
      </c>
      <c r="B535" s="25">
        <f>IFERROR(INDEX('Hun Demand'!V:V,MATCH(O535,'Hun Demand'!A:A,0)),"")</f>
        <v>0</v>
      </c>
      <c r="C535" s="25">
        <f>IFERROR(INDEX('Hun Demand'!U:U,MATCH(O535,'Hun Demand'!A:A,0)),"")</f>
        <v>0</v>
      </c>
      <c r="D535" s="25">
        <f>IFERROR(INDEX('Hun Demand'!T:T,MATCH(O535,'Hun Demand'!A:A,0)),"")</f>
        <v>0</v>
      </c>
      <c r="E535" s="25">
        <f>IFERROR(INDEX('Hun Demand'!S:S,MATCH(O535,'Hun Demand'!A:A,0)),"")</f>
        <v>0</v>
      </c>
      <c r="F535" s="25">
        <f>IFERROR(INDEX('Hun Demand'!R:R,MATCH(O535,'Hun Demand'!A:A,0)),"")</f>
        <v>0</v>
      </c>
      <c r="G535" s="25">
        <f>IFERROR(INDEX('Aub Demand'!W:W,MATCH(O535,'Aub Demand'!A:A,0)),"")</f>
        <v>62</v>
      </c>
      <c r="H535" s="25">
        <f>IFERROR(INDEX('Aub Demand'!V:V,MATCH(O535,'Aub Demand'!A:A,0)),"")</f>
        <v>0</v>
      </c>
      <c r="I535" s="25">
        <f>IFERROR(INDEX('Aub Demand'!U:U,MATCH(O535,'Aub Demand'!A:A,0)),"")</f>
        <v>18</v>
      </c>
      <c r="J535" s="25">
        <f>IFERROR(INDEX('Aub Demand'!T:T,MATCH(O535,'Aub Demand'!A:A,0)),"")</f>
        <v>0</v>
      </c>
      <c r="K535" s="25">
        <f>IFERROR(INDEX('Aub Demand'!S:S,MATCH(O535,'Aub Demand'!A:A,0)),"")</f>
        <v>0</v>
      </c>
      <c r="L535" s="25">
        <f>IFERROR(INDEX('Aub Demand'!R:R,MATCH(O535,'Aub Demand'!A:A,0)),"")</f>
        <v>0</v>
      </c>
      <c r="O535" s="27" t="s">
        <v>885</v>
      </c>
      <c r="P535" s="27" t="str">
        <f>IFERROR(INDEX('Aub Demand'!B:B,MATCH($O535,'Aub Demand'!$A:$A,0)),"")</f>
        <v>VIENNA CHERRY</v>
      </c>
      <c r="Q535" s="27" t="str">
        <f>IFERROR(INDEX('Aub Demand'!C:C,MATCH($O535,'Aub Demand'!$A:$A,0)),"")</f>
        <v>SUDDE</v>
      </c>
      <c r="R535" s="52">
        <f>IFERROR(IF(AR536=AR535,INDEX('Aub Demand'!K:K,MATCH($O535,'Aub Demand'!$A:$A,0))-IF(AN535="",0,AN535)+AP536,INDEX('Aub Demand'!K:K,MATCH($O535,'Aub Demand'!$A:$A,0))-IF(AN535="",0,AN535)),"")</f>
        <v>436</v>
      </c>
      <c r="S535" s="53">
        <f t="shared" si="224"/>
        <v>311.39999999999998</v>
      </c>
      <c r="T535" s="52" t="str">
        <f t="shared" si="225"/>
        <v/>
      </c>
      <c r="U535" s="52">
        <f>IFERROR(IF(AR536=AR535,INDEX('Aub Demand'!Q:Q,MATCH($O535,'Aub Demand'!$A:$A,0))-IF(AN535="",0,AN535)+AP536,INDEX('Aub Demand'!Q:Q,MATCH($O535,'Aub Demand'!$A:$A,0))-IF(AN535="",0,AN535)),"")</f>
        <v>436</v>
      </c>
      <c r="V535" s="53">
        <f t="shared" si="226"/>
        <v>311.39999999999998</v>
      </c>
      <c r="W535" s="52" t="str">
        <f t="shared" si="227"/>
        <v/>
      </c>
      <c r="X535" s="52">
        <f>IFERROR(IF(AND(AR536=AR535,AM535&lt;&gt;""),INDEX('Aub Demand'!Q:Q,MATCH($O535,'Aub Demand'!$A:$A,0))-IF(AN535="",0,AN535)+AP536+AD535+AL535,IF(AR536=AR535,INDEX('Aub Demand'!Q:Q,MATCH($O535,'Aub Demand'!$A:$A,0))-IF(AN535="",0,AN535)+AP536+AD535,IF(AM535&lt;&gt;"",INDEX('Aub Demand'!Q:Q,MATCH($O535,'Aub Demand'!$A:$A,0))-IF(AN535="",0,AN535)+AD535+AL535,INDEX('Aub Demand'!Q:Q,MATCH($O535,'Aub Demand'!$A:$A,0))-IF(AN535="",0,AN535)+AD535))),"")</f>
        <v>436</v>
      </c>
      <c r="Y535" s="53">
        <f t="shared" si="228"/>
        <v>311.39999999999998</v>
      </c>
      <c r="Z535" s="52">
        <f>IF(L535="","",INDEX('Aub Demand'!H:H,MATCH($O535,'Aub Demand'!$A:$A,0)))</f>
        <v>6</v>
      </c>
      <c r="AA535" s="52" t="str">
        <f t="shared" si="229"/>
        <v>-spike-</v>
      </c>
      <c r="AB535" s="52">
        <f>IFERROR(INDEX('Aub Demand'!L:L,MATCH($O535,'Aub Demand'!$A:$A,0)),"")</f>
        <v>0</v>
      </c>
      <c r="AC535" s="52">
        <f>IFERROR(IF(O535="","",SUMIFS('CPL Mats'!F:F,'CPL Mats'!Q:Q,AR535,'CPL Mats'!S:S,AS535)),"")</f>
        <v>0</v>
      </c>
      <c r="AF535" s="25" t="str">
        <f>IF(SUMIFS('Supp Consol'!S:S,'Supp Consol'!Y:Y,"Releasable",'Supp Consol'!A:A,O535)=0,"",SUMIFS('Supp Consol'!S:S,'Supp Consol'!Y:Y,"Releasable",'Supp Consol'!A:A,O535))</f>
        <v/>
      </c>
      <c r="AG535" s="25">
        <f>IFERROR(INDEX('Hun Demand'!Q:Q,MATCH(O535,'Hun Demand'!A:A,0)),"")</f>
        <v>1293</v>
      </c>
      <c r="AH535" s="25">
        <f>IFERROR(INDEX('Hun Demand'!H:H,MATCH($O535,'Hun Demand'!$A:$A,0)),"")</f>
        <v>0</v>
      </c>
      <c r="AI535" s="25" t="str">
        <f>IF(SUMIFS('Supp Consol'!AA:AA,'Supp Consol'!Z:Z,"Expires this month",'Supp Consol'!A:A,O535)=0,"",SUMIFS('Supp Consol'!AA:AA,'Supp Consol'!Z:Z,"Expires this month",'Supp Consol'!A:A,O535))</f>
        <v/>
      </c>
      <c r="AJ535" s="25" t="str">
        <f>IF(SUMIFS('Supp Consol'!AA:AA,'Supp Consol'!Z:Z,"Expired Previous Months",'Supp Consol'!A:A,O535)=0,"",SUMIFS('Supp Consol'!AA:AA,'Supp Consol'!Z:Z,"Expired Previous Months",'Supp Consol'!A:A,O535))</f>
        <v/>
      </c>
      <c r="AK535" s="25" t="str">
        <f>IFERROR(INDEX('Hun Release Current'!B:B,MATCH(O535,'Hun Release Current'!A:A,0)),"")</f>
        <v/>
      </c>
      <c r="AL535" s="25" t="str">
        <f>IF(SUMIF('Prev Aub'!A:A,O535,'Prev Aub'!B:B)=0,"",SUMIF('Prev Aub'!A:A,O535,'Prev Aub'!B:B))</f>
        <v/>
      </c>
      <c r="AN535" s="25" t="s">
        <v>3790</v>
      </c>
      <c r="AO535" s="25" t="s">
        <v>3790</v>
      </c>
      <c r="AP535" s="25">
        <f t="shared" si="230"/>
        <v>0</v>
      </c>
      <c r="AQ535" s="151" t="str">
        <f>IF(SUMIFS('Supp Consol'!S:S,'Supp Consol'!A:A,O535,'Supp Consol'!I:I,"PENDING")=0,"",SUMIFS('Supp Consol'!S:S,'Supp Consol'!A:A,O535,'Supp Consol'!I:I,"PENDING"))</f>
        <v/>
      </c>
      <c r="AR535" s="27" t="str">
        <f t="shared" si="231"/>
        <v>HP289</v>
      </c>
      <c r="AS535" s="27" t="str">
        <f t="shared" si="232"/>
        <v>62</v>
      </c>
      <c r="AT535" s="27" t="str">
        <f t="shared" si="233"/>
        <v/>
      </c>
      <c r="AU535" s="27" t="str">
        <f t="shared" si="234"/>
        <v/>
      </c>
      <c r="AV535" s="27" t="str">
        <f t="shared" si="235"/>
        <v/>
      </c>
      <c r="AW535" s="27" t="str">
        <f t="shared" si="236"/>
        <v/>
      </c>
      <c r="AX535" s="27" t="str">
        <f t="shared" si="237"/>
        <v/>
      </c>
      <c r="AY535" s="27" t="str">
        <f t="shared" si="238"/>
        <v>HP289</v>
      </c>
      <c r="AZ535" s="27" t="str">
        <f t="shared" si="239"/>
        <v/>
      </c>
      <c r="BA535" s="27" t="str">
        <f t="shared" si="240"/>
        <v>Hun</v>
      </c>
      <c r="BB535" s="27" t="str">
        <f t="shared" si="241"/>
        <v/>
      </c>
      <c r="BC535" s="27" t="str">
        <f t="shared" si="242"/>
        <v/>
      </c>
      <c r="BD535" s="27" t="str">
        <f t="shared" si="243"/>
        <v/>
      </c>
      <c r="BE535" s="27" t="str">
        <f t="shared" si="244"/>
        <v/>
      </c>
      <c r="BF535" s="27" t="str">
        <f t="shared" si="245"/>
        <v/>
      </c>
      <c r="BG535" s="27" t="str">
        <f t="shared" si="246"/>
        <v/>
      </c>
      <c r="BH535" s="27" t="str">
        <f t="shared" si="247"/>
        <v/>
      </c>
      <c r="BI535" s="27" t="str">
        <f t="shared" si="248"/>
        <v/>
      </c>
      <c r="BJ535" s="27" t="str">
        <f t="shared" si="249"/>
        <v>Supp or Hun</v>
      </c>
      <c r="BK535" s="27" t="str">
        <f t="shared" si="250"/>
        <v/>
      </c>
      <c r="BL535" s="27" t="str">
        <f t="shared" si="251"/>
        <v/>
      </c>
      <c r="BM535" s="21" t="s">
        <v>5582</v>
      </c>
    </row>
    <row r="536" spans="1:65" ht="15">
      <c r="A536" s="25">
        <f>IFERROR(INDEX('Hun Demand'!W:W,MATCH(O536,'Hun Demand'!A:A,0)),"")</f>
        <v>1390</v>
      </c>
      <c r="B536" s="25">
        <f>IFERROR(INDEX('Hun Demand'!V:V,MATCH(O536,'Hun Demand'!A:A,0)),"")</f>
        <v>577</v>
      </c>
      <c r="C536" s="25">
        <f>IFERROR(INDEX('Hun Demand'!U:U,MATCH(O536,'Hun Demand'!A:A,0)),"")</f>
        <v>628</v>
      </c>
      <c r="D536" s="25">
        <f>IFERROR(INDEX('Hun Demand'!T:T,MATCH(O536,'Hun Demand'!A:A,0)),"")</f>
        <v>0</v>
      </c>
      <c r="E536" s="25">
        <f>IFERROR(INDEX('Hun Demand'!S:S,MATCH(O536,'Hun Demand'!A:A,0)),"")</f>
        <v>654</v>
      </c>
      <c r="F536" s="25">
        <f>IFERROR(INDEX('Hun Demand'!R:R,MATCH(O536,'Hun Demand'!A:A,0)),"")</f>
        <v>0</v>
      </c>
      <c r="G536" s="25">
        <f>IFERROR(INDEX('Aub Demand'!W:W,MATCH(O536,'Aub Demand'!A:A,0)),"")</f>
        <v>0</v>
      </c>
      <c r="H536" s="25">
        <f>IFERROR(INDEX('Aub Demand'!V:V,MATCH(O536,'Aub Demand'!A:A,0)),"")</f>
        <v>0</v>
      </c>
      <c r="I536" s="25">
        <f>IFERROR(INDEX('Aub Demand'!U:U,MATCH(O536,'Aub Demand'!A:A,0)),"")</f>
        <v>0</v>
      </c>
      <c r="J536" s="25">
        <f>IFERROR(INDEX('Aub Demand'!T:T,MATCH(O536,'Aub Demand'!A:A,0)),"")</f>
        <v>0</v>
      </c>
      <c r="K536" s="25">
        <f>IFERROR(INDEX('Aub Demand'!S:S,MATCH(O536,'Aub Demand'!A:A,0)),"")</f>
        <v>36</v>
      </c>
      <c r="L536" s="25">
        <f>IFERROR(INDEX('Aub Demand'!R:R,MATCH(O536,'Aub Demand'!A:A,0)),"")</f>
        <v>0</v>
      </c>
      <c r="O536" s="27" t="s">
        <v>887</v>
      </c>
      <c r="P536" s="27" t="str">
        <f>IFERROR(INDEX('Aub Demand'!B:B,MATCH($O536,'Aub Demand'!$A:$A,0)),"")</f>
        <v>HP HARDROCK MAPLE</v>
      </c>
      <c r="Q536" s="27" t="str">
        <f>IFERROR(INDEX('Aub Demand'!C:C,MATCH($O536,'Aub Demand'!$A:$A,0)),"")</f>
        <v>INTER</v>
      </c>
      <c r="R536" s="52">
        <f>IFERROR(IF(AR537=AR536,INDEX('Aub Demand'!K:K,MATCH($O536,'Aub Demand'!$A:$A,0))-IF(AN536="",0,AN536)+AP537,INDEX('Aub Demand'!K:K,MATCH($O536,'Aub Demand'!$A:$A,0))-IF(AN536="",0,AN536)),"")</f>
        <v>904</v>
      </c>
      <c r="S536" s="53">
        <f t="shared" si="224"/>
        <v>322.89999999999998</v>
      </c>
      <c r="T536" s="52" t="str">
        <f t="shared" si="225"/>
        <v/>
      </c>
      <c r="U536" s="52">
        <f>IFERROR(IF(AR537=AR536,INDEX('Aub Demand'!Q:Q,MATCH($O536,'Aub Demand'!$A:$A,0))-IF(AN536="",0,AN536)+AP537,INDEX('Aub Demand'!Q:Q,MATCH($O536,'Aub Demand'!$A:$A,0))-IF(AN536="",0,AN536)),"")</f>
        <v>892</v>
      </c>
      <c r="V536" s="53">
        <f t="shared" si="226"/>
        <v>318.60000000000002</v>
      </c>
      <c r="W536" s="52" t="str">
        <f t="shared" si="227"/>
        <v/>
      </c>
      <c r="X536" s="52">
        <f>IFERROR(IF(AND(AR537=AR536,AM536&lt;&gt;""),INDEX('Aub Demand'!Q:Q,MATCH($O536,'Aub Demand'!$A:$A,0))-IF(AN536="",0,AN536)+AP537+AD536+AL536,IF(AR537=AR536,INDEX('Aub Demand'!Q:Q,MATCH($O536,'Aub Demand'!$A:$A,0))-IF(AN536="",0,AN536)+AP537+AD536,IF(AM536&lt;&gt;"",INDEX('Aub Demand'!Q:Q,MATCH($O536,'Aub Demand'!$A:$A,0))-IF(AN536="",0,AN536)+AD536+AL536,INDEX('Aub Demand'!Q:Q,MATCH($O536,'Aub Demand'!$A:$A,0))-IF(AN536="",0,AN536)+AD536))),"")</f>
        <v>892</v>
      </c>
      <c r="Y536" s="53">
        <f t="shared" si="228"/>
        <v>318.60000000000002</v>
      </c>
      <c r="Z536" s="52">
        <f>IF(L536="","",INDEX('Aub Demand'!H:H,MATCH($O536,'Aub Demand'!$A:$A,0)))</f>
        <v>12</v>
      </c>
      <c r="AA536" s="52" t="str">
        <f t="shared" si="229"/>
        <v>-spike-</v>
      </c>
      <c r="AB536" s="52">
        <f>IFERROR(INDEX('Aub Demand'!L:L,MATCH($O536,'Aub Demand'!$A:$A,0)),"")</f>
        <v>0</v>
      </c>
      <c r="AC536" s="52">
        <f>IFERROR(IF(O536="","",SUMIFS('CPL Mats'!F:F,'CPL Mats'!Q:Q,AR536,'CPL Mats'!S:S,AS536)),"")</f>
        <v>0</v>
      </c>
      <c r="AF536" s="25" t="str">
        <f>IF(SUMIFS('Supp Consol'!S:S,'Supp Consol'!Y:Y,"Releasable",'Supp Consol'!A:A,O536)=0,"",SUMIFS('Supp Consol'!S:S,'Supp Consol'!Y:Y,"Releasable",'Supp Consol'!A:A,O536))</f>
        <v/>
      </c>
      <c r="AG536" s="25">
        <f>IFERROR(INDEX('Hun Demand'!Q:Q,MATCH(O536,'Hun Demand'!A:A,0)),"")</f>
        <v>1529</v>
      </c>
      <c r="AH536" s="25">
        <f>IFERROR(INDEX('Hun Demand'!H:H,MATCH($O536,'Hun Demand'!$A:$A,0)),"")</f>
        <v>427</v>
      </c>
      <c r="AI536" s="25" t="str">
        <f>IF(SUMIFS('Supp Consol'!AA:AA,'Supp Consol'!Z:Z,"Expires this month",'Supp Consol'!A:A,O536)=0,"",SUMIFS('Supp Consol'!AA:AA,'Supp Consol'!Z:Z,"Expires this month",'Supp Consol'!A:A,O536))</f>
        <v/>
      </c>
      <c r="AJ536" s="25" t="str">
        <f>IF(SUMIFS('Supp Consol'!AA:AA,'Supp Consol'!Z:Z,"Expired Previous Months",'Supp Consol'!A:A,O536)=0,"",SUMIFS('Supp Consol'!AA:AA,'Supp Consol'!Z:Z,"Expired Previous Months",'Supp Consol'!A:A,O536))</f>
        <v/>
      </c>
      <c r="AK536" s="25" t="str">
        <f>IFERROR(INDEX('Hun Release Current'!B:B,MATCH(O536,'Hun Release Current'!A:A,0)),"")</f>
        <v/>
      </c>
      <c r="AL536" s="25" t="str">
        <f>IF(SUMIF('Prev Aub'!A:A,O536,'Prev Aub'!B:B)=0,"",SUMIF('Prev Aub'!A:A,O536,'Prev Aub'!B:B))</f>
        <v/>
      </c>
      <c r="AN536" s="25" t="s">
        <v>3790</v>
      </c>
      <c r="AO536" s="25" t="s">
        <v>3790</v>
      </c>
      <c r="AP536" s="25">
        <f t="shared" si="230"/>
        <v>0</v>
      </c>
      <c r="AQ536" s="151" t="str">
        <f>IF(SUMIFS('Supp Consol'!S:S,'Supp Consol'!A:A,O536,'Supp Consol'!I:I,"PENDING")=0,"",SUMIFS('Supp Consol'!S:S,'Supp Consol'!A:A,O536,'Supp Consol'!I:I,"PENDING"))</f>
        <v/>
      </c>
      <c r="AR536" s="27" t="str">
        <f t="shared" si="231"/>
        <v>HP290</v>
      </c>
      <c r="AS536" s="27" t="str">
        <f t="shared" si="232"/>
        <v>50</v>
      </c>
      <c r="AT536" s="27" t="str">
        <f t="shared" si="233"/>
        <v/>
      </c>
      <c r="AU536" s="27" t="str">
        <f t="shared" si="234"/>
        <v/>
      </c>
      <c r="AV536" s="27" t="str">
        <f t="shared" si="235"/>
        <v/>
      </c>
      <c r="AW536" s="27" t="str">
        <f t="shared" si="236"/>
        <v/>
      </c>
      <c r="AX536" s="27" t="str">
        <f t="shared" si="237"/>
        <v/>
      </c>
      <c r="AY536" s="27" t="str">
        <f t="shared" si="238"/>
        <v>HP290</v>
      </c>
      <c r="AZ536" s="27" t="str">
        <f t="shared" si="239"/>
        <v>Supp</v>
      </c>
      <c r="BA536" s="27" t="str">
        <f t="shared" si="240"/>
        <v>Hun</v>
      </c>
      <c r="BB536" s="27" t="str">
        <f t="shared" si="241"/>
        <v/>
      </c>
      <c r="BC536" s="27" t="str">
        <f t="shared" si="242"/>
        <v/>
      </c>
      <c r="BD536" s="27" t="str">
        <f t="shared" si="243"/>
        <v/>
      </c>
      <c r="BE536" s="27" t="str">
        <f t="shared" si="244"/>
        <v/>
      </c>
      <c r="BF536" s="27" t="str">
        <f t="shared" si="245"/>
        <v/>
      </c>
      <c r="BG536" s="27" t="str">
        <f t="shared" si="246"/>
        <v/>
      </c>
      <c r="BH536" s="27" t="str">
        <f t="shared" si="247"/>
        <v/>
      </c>
      <c r="BI536" s="27" t="str">
        <f t="shared" si="248"/>
        <v/>
      </c>
      <c r="BJ536" s="27" t="str">
        <f t="shared" si="249"/>
        <v>Supp or Hun</v>
      </c>
      <c r="BK536" s="27" t="str">
        <f t="shared" si="250"/>
        <v/>
      </c>
      <c r="BL536" s="27" t="str">
        <f t="shared" si="251"/>
        <v/>
      </c>
      <c r="BM536" s="21" t="s">
        <v>5582</v>
      </c>
    </row>
    <row r="537" spans="1:65" ht="15">
      <c r="A537" s="25">
        <f>IFERROR(INDEX('Hun Demand'!W:W,MATCH(O537,'Hun Demand'!A:A,0)),"")</f>
        <v>698</v>
      </c>
      <c r="B537" s="25">
        <f>IFERROR(INDEX('Hun Demand'!V:V,MATCH(O537,'Hun Demand'!A:A,0)),"")</f>
        <v>275</v>
      </c>
      <c r="C537" s="25">
        <f>IFERROR(INDEX('Hun Demand'!U:U,MATCH(O537,'Hun Demand'!A:A,0)),"")</f>
        <v>0</v>
      </c>
      <c r="D537" s="25">
        <f>IFERROR(INDEX('Hun Demand'!T:T,MATCH(O537,'Hun Demand'!A:A,0)),"")</f>
        <v>0</v>
      </c>
      <c r="E537" s="25">
        <f>IFERROR(INDEX('Hun Demand'!S:S,MATCH(O537,'Hun Demand'!A:A,0)),"")</f>
        <v>0</v>
      </c>
      <c r="F537" s="25">
        <f>IFERROR(INDEX('Hun Demand'!R:R,MATCH(O537,'Hun Demand'!A:A,0)),"")</f>
        <v>0</v>
      </c>
      <c r="G537" s="25">
        <f>IFERROR(INDEX('Aub Demand'!W:W,MATCH(O537,'Aub Demand'!A:A,0)),"")</f>
        <v>900</v>
      </c>
      <c r="H537" s="25">
        <f>IFERROR(INDEX('Aub Demand'!V:V,MATCH(O537,'Aub Demand'!A:A,0)),"")</f>
        <v>0</v>
      </c>
      <c r="I537" s="25">
        <f>IFERROR(INDEX('Aub Demand'!U:U,MATCH(O537,'Aub Demand'!A:A,0)),"")</f>
        <v>0</v>
      </c>
      <c r="J537" s="25">
        <f>IFERROR(INDEX('Aub Demand'!T:T,MATCH(O537,'Aub Demand'!A:A,0)),"")</f>
        <v>0</v>
      </c>
      <c r="K537" s="25">
        <f>IFERROR(INDEX('Aub Demand'!S:S,MATCH(O537,'Aub Demand'!A:A,0)),"")</f>
        <v>0</v>
      </c>
      <c r="L537" s="25">
        <f>IFERROR(INDEX('Aub Demand'!R:R,MATCH(O537,'Aub Demand'!A:A,0)),"")</f>
        <v>0</v>
      </c>
      <c r="O537" s="27" t="s">
        <v>890</v>
      </c>
      <c r="P537" s="27" t="str">
        <f>IFERROR(INDEX('Aub Demand'!B:B,MATCH($O537,'Aub Demand'!$A:$A,0)),"")</f>
        <v>HP HARDROCK MAPLE</v>
      </c>
      <c r="Q537" s="27" t="str">
        <f>IFERROR(INDEX('Aub Demand'!C:C,MATCH($O537,'Aub Demand'!$A:$A,0)),"")</f>
        <v>INTER</v>
      </c>
      <c r="R537" s="52">
        <f>IFERROR(IF(AR538=AR537,INDEX('Aub Demand'!K:K,MATCH($O537,'Aub Demand'!$A:$A,0))-IF(AN537="",0,AN537)+AP538,INDEX('Aub Demand'!K:K,MATCH($O537,'Aub Demand'!$A:$A,0))-IF(AN537="",0,AN537)),"")</f>
        <v>558</v>
      </c>
      <c r="S537" s="53" t="str">
        <f t="shared" si="224"/>
        <v>n/a</v>
      </c>
      <c r="T537" s="52" t="str">
        <f t="shared" si="225"/>
        <v/>
      </c>
      <c r="U537" s="52">
        <f>IFERROR(IF(AR538=AR537,INDEX('Aub Demand'!Q:Q,MATCH($O537,'Aub Demand'!$A:$A,0))-IF(AN537="",0,AN537)+AP538,INDEX('Aub Demand'!Q:Q,MATCH($O537,'Aub Demand'!$A:$A,0))-IF(AN537="",0,AN537)),"")</f>
        <v>558</v>
      </c>
      <c r="V537" s="53" t="str">
        <f t="shared" si="226"/>
        <v>n/a</v>
      </c>
      <c r="W537" s="52" t="str">
        <f t="shared" si="227"/>
        <v/>
      </c>
      <c r="X537" s="52">
        <f>IFERROR(IF(AND(AR538=AR537,AM537&lt;&gt;""),INDEX('Aub Demand'!Q:Q,MATCH($O537,'Aub Demand'!$A:$A,0))-IF(AN537="",0,AN537)+AP538+AD537+AL537,IF(AR538=AR537,INDEX('Aub Demand'!Q:Q,MATCH($O537,'Aub Demand'!$A:$A,0))-IF(AN537="",0,AN537)+AP538+AD537,IF(AM537&lt;&gt;"",INDEX('Aub Demand'!Q:Q,MATCH($O537,'Aub Demand'!$A:$A,0))-IF(AN537="",0,AN537)+AD537+AL537,INDEX('Aub Demand'!Q:Q,MATCH($O537,'Aub Demand'!$A:$A,0))-IF(AN537="",0,AN537)+AD537))),"")</f>
        <v>558</v>
      </c>
      <c r="Y537" s="53" t="str">
        <f t="shared" si="228"/>
        <v>n/a</v>
      </c>
      <c r="Z537" s="52">
        <f>IF(L537="","",INDEX('Aub Demand'!H:H,MATCH($O537,'Aub Demand'!$A:$A,0)))</f>
        <v>0</v>
      </c>
      <c r="AA537" s="52" t="str">
        <f t="shared" si="229"/>
        <v>-spike-</v>
      </c>
      <c r="AB537" s="52">
        <f>IFERROR(INDEX('Aub Demand'!L:L,MATCH($O537,'Aub Demand'!$A:$A,0)),"")</f>
        <v>0</v>
      </c>
      <c r="AC537" s="52">
        <f>IFERROR(IF(O537="","",SUMIFS('CPL Mats'!F:F,'CPL Mats'!Q:Q,AR537,'CPL Mats'!S:S,AS537)),"")</f>
        <v>0</v>
      </c>
      <c r="AF537" s="25">
        <f>IF(SUMIFS('Supp Consol'!S:S,'Supp Consol'!Y:Y,"Releasable",'Supp Consol'!A:A,O537)=0,"",SUMIFS('Supp Consol'!S:S,'Supp Consol'!Y:Y,"Releasable",'Supp Consol'!A:A,O537))</f>
        <v>1514</v>
      </c>
      <c r="AG537" s="25">
        <f>IFERROR(INDEX('Hun Demand'!Q:Q,MATCH(O537,'Hun Demand'!A:A,0)),"")</f>
        <v>1524</v>
      </c>
      <c r="AH537" s="25">
        <f>IFERROR(INDEX('Hun Demand'!H:H,MATCH($O537,'Hun Demand'!$A:$A,0)),"")</f>
        <v>0</v>
      </c>
      <c r="AI537" s="25" t="str">
        <f>IF(SUMIFS('Supp Consol'!AA:AA,'Supp Consol'!Z:Z,"Expires this month",'Supp Consol'!A:A,O537)=0,"",SUMIFS('Supp Consol'!AA:AA,'Supp Consol'!Z:Z,"Expires this month",'Supp Consol'!A:A,O537))</f>
        <v/>
      </c>
      <c r="AJ537" s="25" t="str">
        <f>IF(SUMIFS('Supp Consol'!AA:AA,'Supp Consol'!Z:Z,"Expired Previous Months",'Supp Consol'!A:A,O537)=0,"",SUMIFS('Supp Consol'!AA:AA,'Supp Consol'!Z:Z,"Expired Previous Months",'Supp Consol'!A:A,O537))</f>
        <v/>
      </c>
      <c r="AK537" s="25" t="str">
        <f>IFERROR(INDEX('Hun Release Current'!B:B,MATCH(O537,'Hun Release Current'!A:A,0)),"")</f>
        <v/>
      </c>
      <c r="AL537" s="25" t="str">
        <f>IF(SUMIF('Prev Aub'!A:A,O537,'Prev Aub'!B:B)=0,"",SUMIF('Prev Aub'!A:A,O537,'Prev Aub'!B:B))</f>
        <v/>
      </c>
      <c r="AN537" s="25" t="s">
        <v>3790</v>
      </c>
      <c r="AO537" s="25" t="s">
        <v>3790</v>
      </c>
      <c r="AP537" s="25">
        <f t="shared" si="230"/>
        <v>0</v>
      </c>
      <c r="AQ537" s="151" t="str">
        <f>IF(SUMIFS('Supp Consol'!S:S,'Supp Consol'!A:A,O537,'Supp Consol'!I:I,"PENDING")=0,"",SUMIFS('Supp Consol'!S:S,'Supp Consol'!A:A,O537,'Supp Consol'!I:I,"PENDING"))</f>
        <v/>
      </c>
      <c r="AR537" s="27" t="str">
        <f t="shared" si="231"/>
        <v>HP290</v>
      </c>
      <c r="AS537" s="27" t="str">
        <f t="shared" si="232"/>
        <v>62</v>
      </c>
      <c r="AT537" s="27" t="str">
        <f t="shared" si="233"/>
        <v/>
      </c>
      <c r="AU537" s="27" t="str">
        <f t="shared" si="234"/>
        <v/>
      </c>
      <c r="AV537" s="27" t="str">
        <f t="shared" si="235"/>
        <v/>
      </c>
      <c r="AW537" s="27" t="str">
        <f t="shared" si="236"/>
        <v/>
      </c>
      <c r="AX537" s="27" t="str">
        <f t="shared" si="237"/>
        <v>HP290</v>
      </c>
      <c r="AY537" s="27" t="str">
        <f t="shared" si="238"/>
        <v>HP290</v>
      </c>
      <c r="AZ537" s="27" t="str">
        <f t="shared" si="239"/>
        <v>Supp</v>
      </c>
      <c r="BA537" s="27" t="str">
        <f t="shared" si="240"/>
        <v>Hun</v>
      </c>
      <c r="BB537" s="27" t="str">
        <f t="shared" si="241"/>
        <v/>
      </c>
      <c r="BC537" s="27" t="str">
        <f t="shared" si="242"/>
        <v/>
      </c>
      <c r="BD537" s="27" t="str">
        <f t="shared" si="243"/>
        <v/>
      </c>
      <c r="BE537" s="27" t="str">
        <f t="shared" si="244"/>
        <v/>
      </c>
      <c r="BF537" s="27" t="str">
        <f t="shared" si="245"/>
        <v/>
      </c>
      <c r="BG537" s="27" t="str">
        <f t="shared" si="246"/>
        <v/>
      </c>
      <c r="BH537" s="27" t="str">
        <f t="shared" si="247"/>
        <v/>
      </c>
      <c r="BI537" s="27" t="str">
        <f t="shared" si="248"/>
        <v/>
      </c>
      <c r="BJ537" s="27" t="str">
        <f t="shared" si="249"/>
        <v>Supp or Hun</v>
      </c>
      <c r="BK537" s="27" t="str">
        <f t="shared" si="250"/>
        <v/>
      </c>
      <c r="BL537" s="27" t="str">
        <f t="shared" si="251"/>
        <v/>
      </c>
      <c r="BM537" s="21" t="s">
        <v>5582</v>
      </c>
    </row>
    <row r="538" spans="1:65" ht="15">
      <c r="A538" s="25">
        <f>IFERROR(INDEX('Hun Demand'!W:W,MATCH(O538,'Hun Demand'!A:A,0)),"")</f>
        <v>0</v>
      </c>
      <c r="B538" s="25">
        <f>IFERROR(INDEX('Hun Demand'!V:V,MATCH(O538,'Hun Demand'!A:A,0)),"")</f>
        <v>218</v>
      </c>
      <c r="C538" s="25">
        <f>IFERROR(INDEX('Hun Demand'!U:U,MATCH(O538,'Hun Demand'!A:A,0)),"")</f>
        <v>0</v>
      </c>
      <c r="D538" s="25">
        <f>IFERROR(INDEX('Hun Demand'!T:T,MATCH(O538,'Hun Demand'!A:A,0)),"")</f>
        <v>0</v>
      </c>
      <c r="E538" s="25">
        <f>IFERROR(INDEX('Hun Demand'!S:S,MATCH(O538,'Hun Demand'!A:A,0)),"")</f>
        <v>0</v>
      </c>
      <c r="F538" s="25">
        <f>IFERROR(INDEX('Hun Demand'!R:R,MATCH(O538,'Hun Demand'!A:A,0)),"")</f>
        <v>0</v>
      </c>
      <c r="G538" s="25">
        <f>IFERROR(INDEX('Aub Demand'!W:W,MATCH(O538,'Aub Demand'!A:A,0)),"")</f>
        <v>0</v>
      </c>
      <c r="H538" s="25">
        <f>IFERROR(INDEX('Aub Demand'!V:V,MATCH(O538,'Aub Demand'!A:A,0)),"")</f>
        <v>0</v>
      </c>
      <c r="I538" s="25">
        <f>IFERROR(INDEX('Aub Demand'!U:U,MATCH(O538,'Aub Demand'!A:A,0)),"")</f>
        <v>0</v>
      </c>
      <c r="J538" s="25">
        <f>IFERROR(INDEX('Aub Demand'!T:T,MATCH(O538,'Aub Demand'!A:A,0)),"")</f>
        <v>0</v>
      </c>
      <c r="K538" s="25">
        <f>IFERROR(INDEX('Aub Demand'!S:S,MATCH(O538,'Aub Demand'!A:A,0)),"")</f>
        <v>0</v>
      </c>
      <c r="L538" s="25">
        <f>IFERROR(INDEX('Aub Demand'!R:R,MATCH(O538,'Aub Demand'!A:A,0)),"")</f>
        <v>0</v>
      </c>
      <c r="O538" s="27" t="s">
        <v>891</v>
      </c>
      <c r="P538" s="27" t="str">
        <f>IFERROR(INDEX('Aub Demand'!B:B,MATCH($O538,'Aub Demand'!$A:$A,0)),"")</f>
        <v>EVENING SHADE</v>
      </c>
      <c r="Q538" s="27" t="str">
        <f>IFERROR(INDEX('Aub Demand'!C:C,MATCH($O538,'Aub Demand'!$A:$A,0)),"")</f>
        <v>INTER</v>
      </c>
      <c r="R538" s="52">
        <f>IFERROR(IF(AR539=AR538,INDEX('Aub Demand'!K:K,MATCH($O538,'Aub Demand'!$A:$A,0))-IF(AN538="",0,AN538)+AP539,INDEX('Aub Demand'!K:K,MATCH($O538,'Aub Demand'!$A:$A,0))-IF(AN538="",0,AN538)),"")</f>
        <v>133</v>
      </c>
      <c r="S538" s="53" t="str">
        <f t="shared" si="224"/>
        <v>n/a</v>
      </c>
      <c r="T538" s="52" t="str">
        <f t="shared" si="225"/>
        <v/>
      </c>
      <c r="U538" s="52">
        <f>IFERROR(IF(AR539=AR538,INDEX('Aub Demand'!Q:Q,MATCH($O538,'Aub Demand'!$A:$A,0))-IF(AN538="",0,AN538)+AP539,INDEX('Aub Demand'!Q:Q,MATCH($O538,'Aub Demand'!$A:$A,0))-IF(AN538="",0,AN538)),"")</f>
        <v>133</v>
      </c>
      <c r="V538" s="53" t="str">
        <f t="shared" si="226"/>
        <v>n/a</v>
      </c>
      <c r="W538" s="52" t="str">
        <f t="shared" si="227"/>
        <v/>
      </c>
      <c r="X538" s="52">
        <f>IFERROR(IF(AND(AR539=AR538,AM538&lt;&gt;""),INDEX('Aub Demand'!Q:Q,MATCH($O538,'Aub Demand'!$A:$A,0))-IF(AN538="",0,AN538)+AP539+AD538+AL538,IF(AR539=AR538,INDEX('Aub Demand'!Q:Q,MATCH($O538,'Aub Demand'!$A:$A,0))-IF(AN538="",0,AN538)+AP539+AD538,IF(AM538&lt;&gt;"",INDEX('Aub Demand'!Q:Q,MATCH($O538,'Aub Demand'!$A:$A,0))-IF(AN538="",0,AN538)+AD538+AL538,INDEX('Aub Demand'!Q:Q,MATCH($O538,'Aub Demand'!$A:$A,0))-IF(AN538="",0,AN538)+AD538))),"")</f>
        <v>133</v>
      </c>
      <c r="Y538" s="53" t="str">
        <f t="shared" si="228"/>
        <v>n/a</v>
      </c>
      <c r="Z538" s="52">
        <f>IF(L538="","",INDEX('Aub Demand'!H:H,MATCH($O538,'Aub Demand'!$A:$A,0)))</f>
        <v>0</v>
      </c>
      <c r="AA538" s="52" t="str">
        <f t="shared" si="229"/>
        <v>-spike-</v>
      </c>
      <c r="AB538" s="52">
        <f>IFERROR(INDEX('Aub Demand'!L:L,MATCH($O538,'Aub Demand'!$A:$A,0)),"")</f>
        <v>5</v>
      </c>
      <c r="AC538" s="52">
        <f>IFERROR(IF(O538="","",SUMIFS('CPL Mats'!F:F,'CPL Mats'!Q:Q,AR538,'CPL Mats'!S:S,AS538)),"")</f>
        <v>0</v>
      </c>
      <c r="AF538" s="25" t="str">
        <f>IF(SUMIFS('Supp Consol'!S:S,'Supp Consol'!Y:Y,"Releasable",'Supp Consol'!A:A,O538)=0,"",SUMIFS('Supp Consol'!S:S,'Supp Consol'!Y:Y,"Releasable",'Supp Consol'!A:A,O538))</f>
        <v/>
      </c>
      <c r="AG538" s="25">
        <f>IFERROR(INDEX('Hun Demand'!Q:Q,MATCH(O538,'Hun Demand'!A:A,0)),"")</f>
        <v>374</v>
      </c>
      <c r="AH538" s="25">
        <f>IFERROR(INDEX('Hun Demand'!H:H,MATCH($O538,'Hun Demand'!$A:$A,0)),"")</f>
        <v>0</v>
      </c>
      <c r="AI538" s="25" t="str">
        <f>IF(SUMIFS('Supp Consol'!AA:AA,'Supp Consol'!Z:Z,"Expires this month",'Supp Consol'!A:A,O538)=0,"",SUMIFS('Supp Consol'!AA:AA,'Supp Consol'!Z:Z,"Expires this month",'Supp Consol'!A:A,O538))</f>
        <v/>
      </c>
      <c r="AJ538" s="25" t="str">
        <f>IF(SUMIFS('Supp Consol'!AA:AA,'Supp Consol'!Z:Z,"Expired Previous Months",'Supp Consol'!A:A,O538)=0,"",SUMIFS('Supp Consol'!AA:AA,'Supp Consol'!Z:Z,"Expired Previous Months",'Supp Consol'!A:A,O538))</f>
        <v/>
      </c>
      <c r="AK538" s="25" t="str">
        <f>IFERROR(INDEX('Hun Release Current'!B:B,MATCH(O538,'Hun Release Current'!A:A,0)),"")</f>
        <v/>
      </c>
      <c r="AL538" s="25" t="str">
        <f>IF(SUMIF('Prev Aub'!A:A,O538,'Prev Aub'!B:B)=0,"",SUMIF('Prev Aub'!A:A,O538,'Prev Aub'!B:B))</f>
        <v/>
      </c>
      <c r="AN538" s="25" t="s">
        <v>3790</v>
      </c>
      <c r="AO538" s="25" t="s">
        <v>3790</v>
      </c>
      <c r="AP538" s="25">
        <f t="shared" si="230"/>
        <v>0</v>
      </c>
      <c r="AQ538" s="151" t="str">
        <f>IF(SUMIFS('Supp Consol'!S:S,'Supp Consol'!A:A,O538,'Supp Consol'!I:I,"PENDING")=0,"",SUMIFS('Supp Consol'!S:S,'Supp Consol'!A:A,O538,'Supp Consol'!I:I,"PENDING"))</f>
        <v/>
      </c>
      <c r="AR538" s="27" t="str">
        <f t="shared" si="231"/>
        <v>HP295</v>
      </c>
      <c r="AS538" s="27" t="str">
        <f t="shared" si="232"/>
        <v>50</v>
      </c>
      <c r="AT538" s="27" t="str">
        <f t="shared" si="233"/>
        <v/>
      </c>
      <c r="AU538" s="27" t="str">
        <f t="shared" si="234"/>
        <v/>
      </c>
      <c r="AV538" s="27" t="str">
        <f t="shared" si="235"/>
        <v/>
      </c>
      <c r="AW538" s="27" t="str">
        <f t="shared" si="236"/>
        <v/>
      </c>
      <c r="AX538" s="27" t="str">
        <f t="shared" si="237"/>
        <v/>
      </c>
      <c r="AY538" s="27" t="str">
        <f t="shared" si="238"/>
        <v>HP295</v>
      </c>
      <c r="AZ538" s="27" t="str">
        <f t="shared" si="239"/>
        <v/>
      </c>
      <c r="BA538" s="27" t="str">
        <f t="shared" si="240"/>
        <v>Hun</v>
      </c>
      <c r="BB538" s="27" t="str">
        <f t="shared" si="241"/>
        <v/>
      </c>
      <c r="BC538" s="27" t="str">
        <f t="shared" si="242"/>
        <v/>
      </c>
      <c r="BD538" s="27" t="str">
        <f t="shared" si="243"/>
        <v/>
      </c>
      <c r="BE538" s="27" t="str">
        <f t="shared" si="244"/>
        <v/>
      </c>
      <c r="BF538" s="27" t="str">
        <f t="shared" si="245"/>
        <v/>
      </c>
      <c r="BG538" s="27" t="str">
        <f t="shared" si="246"/>
        <v/>
      </c>
      <c r="BH538" s="27" t="str">
        <f t="shared" si="247"/>
        <v/>
      </c>
      <c r="BI538" s="27" t="str">
        <f t="shared" si="248"/>
        <v/>
      </c>
      <c r="BJ538" s="27" t="str">
        <f t="shared" si="249"/>
        <v>Supp or Hun</v>
      </c>
      <c r="BK538" s="27" t="str">
        <f t="shared" si="250"/>
        <v/>
      </c>
      <c r="BL538" s="27" t="str">
        <f t="shared" si="251"/>
        <v/>
      </c>
      <c r="BM538" s="21" t="s">
        <v>5582</v>
      </c>
    </row>
    <row r="539" spans="1:65" ht="15">
      <c r="A539" s="25" t="str">
        <f>IFERROR(INDEX('Hun Demand'!W:W,MATCH(O539,'Hun Demand'!A:A,0)),"")</f>
        <v/>
      </c>
      <c r="B539" s="25" t="str">
        <f>IFERROR(INDEX('Hun Demand'!V:V,MATCH(O539,'Hun Demand'!A:A,0)),"")</f>
        <v/>
      </c>
      <c r="C539" s="25" t="str">
        <f>IFERROR(INDEX('Hun Demand'!U:U,MATCH(O539,'Hun Demand'!A:A,0)),"")</f>
        <v/>
      </c>
      <c r="D539" s="25" t="str">
        <f>IFERROR(INDEX('Hun Demand'!T:T,MATCH(O539,'Hun Demand'!A:A,0)),"")</f>
        <v/>
      </c>
      <c r="E539" s="25" t="str">
        <f>IFERROR(INDEX('Hun Demand'!S:S,MATCH(O539,'Hun Demand'!A:A,0)),"")</f>
        <v/>
      </c>
      <c r="F539" s="25" t="str">
        <f>IFERROR(INDEX('Hun Demand'!R:R,MATCH(O539,'Hun Demand'!A:A,0)),"")</f>
        <v/>
      </c>
      <c r="G539" s="25">
        <f>IFERROR(INDEX('Aub Demand'!W:W,MATCH(O539,'Aub Demand'!A:A,0)),"")</f>
        <v>745</v>
      </c>
      <c r="H539" s="25">
        <f>IFERROR(INDEX('Aub Demand'!V:V,MATCH(O539,'Aub Demand'!A:A,0)),"")</f>
        <v>0</v>
      </c>
      <c r="I539" s="25">
        <f>IFERROR(INDEX('Aub Demand'!U:U,MATCH(O539,'Aub Demand'!A:A,0)),"")</f>
        <v>0</v>
      </c>
      <c r="J539" s="25">
        <f>IFERROR(INDEX('Aub Demand'!T:T,MATCH(O539,'Aub Demand'!A:A,0)),"")</f>
        <v>0</v>
      </c>
      <c r="K539" s="25">
        <f>IFERROR(INDEX('Aub Demand'!S:S,MATCH(O539,'Aub Demand'!A:A,0)),"")</f>
        <v>0</v>
      </c>
      <c r="L539" s="25">
        <f>IFERROR(INDEX('Aub Demand'!R:R,MATCH(O539,'Aub Demand'!A:A,0)),"")</f>
        <v>0</v>
      </c>
      <c r="O539" s="27" t="s">
        <v>894</v>
      </c>
      <c r="P539" s="27" t="str">
        <f>IFERROR(INDEX('Aub Demand'!B:B,MATCH($O539,'Aub Demand'!$A:$A,0)),"")</f>
        <v>EVENING SHADE</v>
      </c>
      <c r="Q539" s="27" t="str">
        <f>IFERROR(INDEX('Aub Demand'!C:C,MATCH($O539,'Aub Demand'!$A:$A,0)),"")</f>
        <v>INTER</v>
      </c>
      <c r="R539" s="52">
        <f>IFERROR(IF(AR540=AR539,INDEX('Aub Demand'!K:K,MATCH($O539,'Aub Demand'!$A:$A,0))-IF(AN539="",0,AN539)+AP540,INDEX('Aub Demand'!K:K,MATCH($O539,'Aub Demand'!$A:$A,0))-IF(AN539="",0,AN539)),"")</f>
        <v>1244</v>
      </c>
      <c r="S539" s="53" t="str">
        <f t="shared" si="224"/>
        <v>n/a</v>
      </c>
      <c r="T539" s="52" t="str">
        <f t="shared" si="225"/>
        <v/>
      </c>
      <c r="U539" s="52">
        <f>IFERROR(IF(AR540=AR539,INDEX('Aub Demand'!Q:Q,MATCH($O539,'Aub Demand'!$A:$A,0))-IF(AN539="",0,AN539)+AP540,INDEX('Aub Demand'!Q:Q,MATCH($O539,'Aub Demand'!$A:$A,0))-IF(AN539="",0,AN539)),"")</f>
        <v>1244</v>
      </c>
      <c r="V539" s="53" t="str">
        <f t="shared" si="226"/>
        <v>n/a</v>
      </c>
      <c r="W539" s="52" t="str">
        <f t="shared" si="227"/>
        <v/>
      </c>
      <c r="X539" s="52">
        <f>IFERROR(IF(AND(AR540=AR539,AM539&lt;&gt;""),INDEX('Aub Demand'!Q:Q,MATCH($O539,'Aub Demand'!$A:$A,0))-IF(AN539="",0,AN539)+AP540+AD539+AL539,IF(AR540=AR539,INDEX('Aub Demand'!Q:Q,MATCH($O539,'Aub Demand'!$A:$A,0))-IF(AN539="",0,AN539)+AP540+AD539,IF(AM539&lt;&gt;"",INDEX('Aub Demand'!Q:Q,MATCH($O539,'Aub Demand'!$A:$A,0))-IF(AN539="",0,AN539)+AD539+AL539,INDEX('Aub Demand'!Q:Q,MATCH($O539,'Aub Demand'!$A:$A,0))-IF(AN539="",0,AN539)+AD539))),"")</f>
        <v>1244</v>
      </c>
      <c r="Y539" s="53" t="str">
        <f t="shared" si="228"/>
        <v>n/a</v>
      </c>
      <c r="Z539" s="52">
        <f>IF(L539="","",INDEX('Aub Demand'!H:H,MATCH($O539,'Aub Demand'!$A:$A,0)))</f>
        <v>0</v>
      </c>
      <c r="AA539" s="52" t="str">
        <f t="shared" si="229"/>
        <v>-spike-</v>
      </c>
      <c r="AB539" s="52">
        <f>IFERROR(INDEX('Aub Demand'!L:L,MATCH($O539,'Aub Demand'!$A:$A,0)),"")</f>
        <v>0</v>
      </c>
      <c r="AC539" s="52">
        <f>IFERROR(IF(O539="","",SUMIFS('CPL Mats'!F:F,'CPL Mats'!Q:Q,AR539,'CPL Mats'!S:S,AS539)),"")</f>
        <v>0</v>
      </c>
      <c r="AF539" s="25" t="str">
        <f>IF(SUMIFS('Supp Consol'!S:S,'Supp Consol'!Y:Y,"Releasable",'Supp Consol'!A:A,O539)=0,"",SUMIFS('Supp Consol'!S:S,'Supp Consol'!Y:Y,"Releasable",'Supp Consol'!A:A,O539))</f>
        <v/>
      </c>
      <c r="AG539" s="25" t="str">
        <f>IFERROR(INDEX('Hun Demand'!Q:Q,MATCH(O539,'Hun Demand'!A:A,0)),"")</f>
        <v/>
      </c>
      <c r="AH539" s="25" t="str">
        <f>IFERROR(INDEX('Hun Demand'!H:H,MATCH($O539,'Hun Demand'!$A:$A,0)),"")</f>
        <v/>
      </c>
      <c r="AI539" s="25" t="str">
        <f>IF(SUMIFS('Supp Consol'!AA:AA,'Supp Consol'!Z:Z,"Expires this month",'Supp Consol'!A:A,O539)=0,"",SUMIFS('Supp Consol'!AA:AA,'Supp Consol'!Z:Z,"Expires this month",'Supp Consol'!A:A,O539))</f>
        <v/>
      </c>
      <c r="AJ539" s="25" t="str">
        <f>IF(SUMIFS('Supp Consol'!AA:AA,'Supp Consol'!Z:Z,"Expired Previous Months",'Supp Consol'!A:A,O539)=0,"",SUMIFS('Supp Consol'!AA:AA,'Supp Consol'!Z:Z,"Expired Previous Months",'Supp Consol'!A:A,O539))</f>
        <v/>
      </c>
      <c r="AK539" s="25" t="str">
        <f>IFERROR(INDEX('Hun Release Current'!B:B,MATCH(O539,'Hun Release Current'!A:A,0)),"")</f>
        <v/>
      </c>
      <c r="AL539" s="25" t="str">
        <f>IF(SUMIF('Prev Aub'!A:A,O539,'Prev Aub'!B:B)=0,"",SUMIF('Prev Aub'!A:A,O539,'Prev Aub'!B:B))</f>
        <v/>
      </c>
      <c r="AN539" s="25" t="s">
        <v>3790</v>
      </c>
      <c r="AO539" s="25" t="s">
        <v>3790</v>
      </c>
      <c r="AP539" s="25">
        <f t="shared" si="230"/>
        <v>0</v>
      </c>
      <c r="AQ539" s="151" t="str">
        <f>IF(SUMIFS('Supp Consol'!S:S,'Supp Consol'!A:A,O539,'Supp Consol'!I:I,"PENDING")=0,"",SUMIFS('Supp Consol'!S:S,'Supp Consol'!A:A,O539,'Supp Consol'!I:I,"PENDING"))</f>
        <v/>
      </c>
      <c r="AR539" s="27" t="str">
        <f t="shared" si="231"/>
        <v>HP295</v>
      </c>
      <c r="AS539" s="27" t="str">
        <f t="shared" si="232"/>
        <v>62</v>
      </c>
      <c r="AT539" s="27" t="str">
        <f t="shared" si="233"/>
        <v/>
      </c>
      <c r="AU539" s="27" t="str">
        <f t="shared" si="234"/>
        <v/>
      </c>
      <c r="AV539" s="27" t="str">
        <f t="shared" si="235"/>
        <v/>
      </c>
      <c r="AW539" s="27" t="str">
        <f t="shared" si="236"/>
        <v/>
      </c>
      <c r="AX539" s="27" t="str">
        <f t="shared" si="237"/>
        <v/>
      </c>
      <c r="AY539" s="27" t="str">
        <f t="shared" si="238"/>
        <v/>
      </c>
      <c r="AZ539" s="27" t="str">
        <f t="shared" si="239"/>
        <v/>
      </c>
      <c r="BA539" s="27" t="str">
        <f t="shared" si="240"/>
        <v>Hun</v>
      </c>
      <c r="BB539" s="27" t="str">
        <f t="shared" si="241"/>
        <v/>
      </c>
      <c r="BC539" s="27" t="str">
        <f t="shared" si="242"/>
        <v/>
      </c>
      <c r="BD539" s="27" t="str">
        <f t="shared" si="243"/>
        <v/>
      </c>
      <c r="BE539" s="27" t="str">
        <f t="shared" si="244"/>
        <v/>
      </c>
      <c r="BF539" s="27" t="str">
        <f t="shared" si="245"/>
        <v/>
      </c>
      <c r="BG539" s="27" t="str">
        <f t="shared" si="246"/>
        <v/>
      </c>
      <c r="BH539" s="27" t="str">
        <f t="shared" si="247"/>
        <v/>
      </c>
      <c r="BI539" s="27" t="str">
        <f t="shared" si="248"/>
        <v/>
      </c>
      <c r="BJ539" s="27" t="str">
        <f t="shared" si="249"/>
        <v>Supp or Hun</v>
      </c>
      <c r="BK539" s="27" t="str">
        <f t="shared" si="250"/>
        <v/>
      </c>
      <c r="BL539" s="27" t="str">
        <f t="shared" si="251"/>
        <v/>
      </c>
      <c r="BM539" s="21" t="s">
        <v>5582</v>
      </c>
    </row>
    <row r="540" spans="1:65" ht="15">
      <c r="A540" s="25">
        <f>IFERROR(INDEX('Hun Demand'!W:W,MATCH(O540,'Hun Demand'!A:A,0)),"")</f>
        <v>0</v>
      </c>
      <c r="B540" s="25">
        <f>IFERROR(INDEX('Hun Demand'!V:V,MATCH(O540,'Hun Demand'!A:A,0)),"")</f>
        <v>177</v>
      </c>
      <c r="C540" s="25">
        <f>IFERROR(INDEX('Hun Demand'!U:U,MATCH(O540,'Hun Demand'!A:A,0)),"")</f>
        <v>0</v>
      </c>
      <c r="D540" s="25">
        <f>IFERROR(INDEX('Hun Demand'!T:T,MATCH(O540,'Hun Demand'!A:A,0)),"")</f>
        <v>0</v>
      </c>
      <c r="E540" s="25">
        <f>IFERROR(INDEX('Hun Demand'!S:S,MATCH(O540,'Hun Demand'!A:A,0)),"")</f>
        <v>0</v>
      </c>
      <c r="F540" s="25">
        <f>IFERROR(INDEX('Hun Demand'!R:R,MATCH(O540,'Hun Demand'!A:A,0)),"")</f>
        <v>0</v>
      </c>
      <c r="G540" s="25">
        <f>IFERROR(INDEX('Aub Demand'!W:W,MATCH(O540,'Aub Demand'!A:A,0)),"")</f>
        <v>0</v>
      </c>
      <c r="H540" s="25">
        <f>IFERROR(INDEX('Aub Demand'!V:V,MATCH(O540,'Aub Demand'!A:A,0)),"")</f>
        <v>0</v>
      </c>
      <c r="I540" s="25">
        <f>IFERROR(INDEX('Aub Demand'!U:U,MATCH(O540,'Aub Demand'!A:A,0)),"")</f>
        <v>6</v>
      </c>
      <c r="J540" s="25">
        <f>IFERROR(INDEX('Aub Demand'!T:T,MATCH(O540,'Aub Demand'!A:A,0)),"")</f>
        <v>0</v>
      </c>
      <c r="K540" s="25">
        <f>IFERROR(INDEX('Aub Demand'!S:S,MATCH(O540,'Aub Demand'!A:A,0)),"")</f>
        <v>0</v>
      </c>
      <c r="L540" s="25">
        <f>IFERROR(INDEX('Aub Demand'!R:R,MATCH(O540,'Aub Demand'!A:A,0)),"")</f>
        <v>0</v>
      </c>
      <c r="O540" s="27" t="s">
        <v>896</v>
      </c>
      <c r="P540" s="27" t="str">
        <f>IFERROR(INDEX('Aub Demand'!B:B,MATCH($O540,'Aub Demand'!$A:$A,0)),"")</f>
        <v>SECOND LIGHT</v>
      </c>
      <c r="Q540" s="27" t="str">
        <f>IFERROR(INDEX('Aub Demand'!C:C,MATCH($O540,'Aub Demand'!$A:$A,0)),"")</f>
        <v>INTER</v>
      </c>
      <c r="R540" s="52">
        <f>IFERROR(IF(AR541=AR540,INDEX('Aub Demand'!K:K,MATCH($O540,'Aub Demand'!$A:$A,0))-IF(AN540="",0,AN540)+AP541,INDEX('Aub Demand'!K:K,MATCH($O540,'Aub Demand'!$A:$A,0))-IF(AN540="",0,AN540)),"")</f>
        <v>171</v>
      </c>
      <c r="S540" s="53">
        <f t="shared" si="224"/>
        <v>366.4</v>
      </c>
      <c r="T540" s="52" t="str">
        <f t="shared" si="225"/>
        <v/>
      </c>
      <c r="U540" s="52">
        <f>IFERROR(IF(AR541=AR540,INDEX('Aub Demand'!Q:Q,MATCH($O540,'Aub Demand'!$A:$A,0))-IF(AN540="",0,AN540)+AP541,INDEX('Aub Demand'!Q:Q,MATCH($O540,'Aub Demand'!$A:$A,0))-IF(AN540="",0,AN540)),"")</f>
        <v>171</v>
      </c>
      <c r="V540" s="53">
        <f t="shared" si="226"/>
        <v>366.4</v>
      </c>
      <c r="W540" s="52" t="str">
        <f t="shared" si="227"/>
        <v/>
      </c>
      <c r="X540" s="52">
        <f>IFERROR(IF(AND(AR541=AR540,AM540&lt;&gt;""),INDEX('Aub Demand'!Q:Q,MATCH($O540,'Aub Demand'!$A:$A,0))-IF(AN540="",0,AN540)+AP541+AD540+AL540,IF(AR541=AR540,INDEX('Aub Demand'!Q:Q,MATCH($O540,'Aub Demand'!$A:$A,0))-IF(AN540="",0,AN540)+AP541+AD540,IF(AM540&lt;&gt;"",INDEX('Aub Demand'!Q:Q,MATCH($O540,'Aub Demand'!$A:$A,0))-IF(AN540="",0,AN540)+AD540+AL540,INDEX('Aub Demand'!Q:Q,MATCH($O540,'Aub Demand'!$A:$A,0))-IF(AN540="",0,AN540)+AD540))),"")</f>
        <v>171</v>
      </c>
      <c r="Y540" s="53">
        <f t="shared" si="228"/>
        <v>366.4</v>
      </c>
      <c r="Z540" s="52">
        <f>IF(L540="","",INDEX('Aub Demand'!H:H,MATCH($O540,'Aub Demand'!$A:$A,0)))</f>
        <v>2</v>
      </c>
      <c r="AA540" s="52" t="str">
        <f t="shared" si="229"/>
        <v>-spike-</v>
      </c>
      <c r="AB540" s="52">
        <f>IFERROR(INDEX('Aub Demand'!L:L,MATCH($O540,'Aub Demand'!$A:$A,0)),"")</f>
        <v>0</v>
      </c>
      <c r="AC540" s="52">
        <f>IFERROR(IF(O540="","",SUMIFS('CPL Mats'!F:F,'CPL Mats'!Q:Q,AR540,'CPL Mats'!S:S,AS540)),"")</f>
        <v>0</v>
      </c>
      <c r="AF540" s="25" t="str">
        <f>IF(SUMIFS('Supp Consol'!S:S,'Supp Consol'!Y:Y,"Releasable",'Supp Consol'!A:A,O540)=0,"",SUMIFS('Supp Consol'!S:S,'Supp Consol'!Y:Y,"Releasable",'Supp Consol'!A:A,O540))</f>
        <v/>
      </c>
      <c r="AG540" s="25">
        <f>IFERROR(INDEX('Hun Demand'!Q:Q,MATCH(O540,'Hun Demand'!A:A,0)),"")</f>
        <v>663</v>
      </c>
      <c r="AH540" s="25">
        <f>IFERROR(INDEX('Hun Demand'!H:H,MATCH($O540,'Hun Demand'!$A:$A,0)),"")</f>
        <v>0</v>
      </c>
      <c r="AI540" s="25" t="str">
        <f>IF(SUMIFS('Supp Consol'!AA:AA,'Supp Consol'!Z:Z,"Expires this month",'Supp Consol'!A:A,O540)=0,"",SUMIFS('Supp Consol'!AA:AA,'Supp Consol'!Z:Z,"Expires this month",'Supp Consol'!A:A,O540))</f>
        <v/>
      </c>
      <c r="AJ540" s="25" t="str">
        <f>IF(SUMIFS('Supp Consol'!AA:AA,'Supp Consol'!Z:Z,"Expired Previous Months",'Supp Consol'!A:A,O540)=0,"",SUMIFS('Supp Consol'!AA:AA,'Supp Consol'!Z:Z,"Expired Previous Months",'Supp Consol'!A:A,O540))</f>
        <v/>
      </c>
      <c r="AK540" s="25" t="str">
        <f>IFERROR(INDEX('Hun Release Current'!B:B,MATCH(O540,'Hun Release Current'!A:A,0)),"")</f>
        <v/>
      </c>
      <c r="AL540" s="25" t="str">
        <f>IF(SUMIF('Prev Aub'!A:A,O540,'Prev Aub'!B:B)=0,"",SUMIF('Prev Aub'!A:A,O540,'Prev Aub'!B:B))</f>
        <v/>
      </c>
      <c r="AN540" s="25" t="s">
        <v>3790</v>
      </c>
      <c r="AO540" s="25" t="s">
        <v>3790</v>
      </c>
      <c r="AP540" s="25">
        <f t="shared" si="230"/>
        <v>0</v>
      </c>
      <c r="AQ540" s="151" t="str">
        <f>IF(SUMIFS('Supp Consol'!S:S,'Supp Consol'!A:A,O540,'Supp Consol'!I:I,"PENDING")=0,"",SUMIFS('Supp Consol'!S:S,'Supp Consol'!A:A,O540,'Supp Consol'!I:I,"PENDING"))</f>
        <v/>
      </c>
      <c r="AR540" s="27" t="str">
        <f t="shared" si="231"/>
        <v>HP302</v>
      </c>
      <c r="AS540" s="27" t="str">
        <f t="shared" si="232"/>
        <v>50</v>
      </c>
      <c r="AT540" s="27" t="str">
        <f t="shared" si="233"/>
        <v/>
      </c>
      <c r="AU540" s="27" t="str">
        <f t="shared" si="234"/>
        <v/>
      </c>
      <c r="AV540" s="27" t="str">
        <f t="shared" si="235"/>
        <v/>
      </c>
      <c r="AW540" s="27" t="str">
        <f t="shared" si="236"/>
        <v/>
      </c>
      <c r="AX540" s="27" t="str">
        <f t="shared" si="237"/>
        <v/>
      </c>
      <c r="AY540" s="27" t="str">
        <f t="shared" si="238"/>
        <v>HP302</v>
      </c>
      <c r="AZ540" s="27" t="str">
        <f t="shared" si="239"/>
        <v/>
      </c>
      <c r="BA540" s="27" t="str">
        <f t="shared" si="240"/>
        <v>Hun</v>
      </c>
      <c r="BB540" s="27" t="str">
        <f t="shared" si="241"/>
        <v/>
      </c>
      <c r="BC540" s="27" t="str">
        <f t="shared" si="242"/>
        <v/>
      </c>
      <c r="BD540" s="27" t="str">
        <f t="shared" si="243"/>
        <v/>
      </c>
      <c r="BE540" s="27" t="str">
        <f t="shared" si="244"/>
        <v/>
      </c>
      <c r="BF540" s="27" t="str">
        <f t="shared" si="245"/>
        <v/>
      </c>
      <c r="BG540" s="27" t="str">
        <f t="shared" si="246"/>
        <v/>
      </c>
      <c r="BH540" s="27" t="str">
        <f t="shared" si="247"/>
        <v/>
      </c>
      <c r="BI540" s="27" t="str">
        <f t="shared" si="248"/>
        <v/>
      </c>
      <c r="BJ540" s="27" t="str">
        <f t="shared" si="249"/>
        <v>Supp or Hun</v>
      </c>
      <c r="BK540" s="27" t="str">
        <f t="shared" si="250"/>
        <v/>
      </c>
      <c r="BL540" s="27" t="str">
        <f t="shared" si="251"/>
        <v/>
      </c>
      <c r="BM540" s="21" t="s">
        <v>5582</v>
      </c>
    </row>
    <row r="541" spans="1:65" ht="15">
      <c r="A541" s="25">
        <f>IFERROR(INDEX('Hun Demand'!W:W,MATCH(O541,'Hun Demand'!A:A,0)),"")</f>
        <v>0</v>
      </c>
      <c r="B541" s="25">
        <f>IFERROR(INDEX('Hun Demand'!V:V,MATCH(O541,'Hun Demand'!A:A,0)),"")</f>
        <v>100</v>
      </c>
      <c r="C541" s="25">
        <f>IFERROR(INDEX('Hun Demand'!U:U,MATCH(O541,'Hun Demand'!A:A,0)),"")</f>
        <v>0</v>
      </c>
      <c r="D541" s="25">
        <f>IFERROR(INDEX('Hun Demand'!T:T,MATCH(O541,'Hun Demand'!A:A,0)),"")</f>
        <v>114</v>
      </c>
      <c r="E541" s="25">
        <f>IFERROR(INDEX('Hun Demand'!S:S,MATCH(O541,'Hun Demand'!A:A,0)),"")</f>
        <v>0</v>
      </c>
      <c r="F541" s="25">
        <f>IFERROR(INDEX('Hun Demand'!R:R,MATCH(O541,'Hun Demand'!A:A,0)),"")</f>
        <v>0</v>
      </c>
      <c r="G541" s="25">
        <f>IFERROR(INDEX('Aub Demand'!W:W,MATCH(O541,'Aub Demand'!A:A,0)),"")</f>
        <v>0</v>
      </c>
      <c r="H541" s="25">
        <f>IFERROR(INDEX('Aub Demand'!V:V,MATCH(O541,'Aub Demand'!A:A,0)),"")</f>
        <v>0</v>
      </c>
      <c r="I541" s="25">
        <f>IFERROR(INDEX('Aub Demand'!U:U,MATCH(O541,'Aub Demand'!A:A,0)),"")</f>
        <v>0</v>
      </c>
      <c r="J541" s="25">
        <f>IFERROR(INDEX('Aub Demand'!T:T,MATCH(O541,'Aub Demand'!A:A,0)),"")</f>
        <v>0</v>
      </c>
      <c r="K541" s="25">
        <f>IFERROR(INDEX('Aub Demand'!S:S,MATCH(O541,'Aub Demand'!A:A,0)),"")</f>
        <v>16</v>
      </c>
      <c r="L541" s="25">
        <f>IFERROR(INDEX('Aub Demand'!R:R,MATCH(O541,'Aub Demand'!A:A,0)),"")</f>
        <v>0</v>
      </c>
      <c r="O541" s="27" t="s">
        <v>898</v>
      </c>
      <c r="P541" s="27" t="str">
        <f>IFERROR(INDEX('Aub Demand'!B:B,MATCH($O541,'Aub Demand'!$A:$A,0)),"")</f>
        <v>BRAZILIAN WALNUT</v>
      </c>
      <c r="Q541" s="27" t="str">
        <f>IFERROR(INDEX('Aub Demand'!C:C,MATCH($O541,'Aub Demand'!$A:$A,0)),"")</f>
        <v>INTER</v>
      </c>
      <c r="R541" s="52">
        <f>IFERROR(IF(AR542=AR541,INDEX('Aub Demand'!K:K,MATCH($O541,'Aub Demand'!$A:$A,0))-IF(AN541="",0,AN541)+AP542,INDEX('Aub Demand'!K:K,MATCH($O541,'Aub Demand'!$A:$A,0))-IF(AN541="",0,AN541)),"")</f>
        <v>0</v>
      </c>
      <c r="S541" s="53">
        <f t="shared" si="224"/>
        <v>0</v>
      </c>
      <c r="T541" s="52" t="str">
        <f t="shared" si="225"/>
        <v/>
      </c>
      <c r="U541" s="52">
        <f>IFERROR(IF(AR542=AR541,INDEX('Aub Demand'!Q:Q,MATCH($O541,'Aub Demand'!$A:$A,0))-IF(AN541="",0,AN541)+AP542,INDEX('Aub Demand'!Q:Q,MATCH($O541,'Aub Demand'!$A:$A,0))-IF(AN541="",0,AN541)),"")</f>
        <v>-21</v>
      </c>
      <c r="V541" s="53">
        <f t="shared" si="226"/>
        <v>-18</v>
      </c>
      <c r="W541" s="52" t="str">
        <f t="shared" si="227"/>
        <v/>
      </c>
      <c r="X541" s="52">
        <f>IFERROR(IF(AND(AR542=AR541,AM541&lt;&gt;""),INDEX('Aub Demand'!Q:Q,MATCH($O541,'Aub Demand'!$A:$A,0))-IF(AN541="",0,AN541)+AP542+AD541+AL541,IF(AR542=AR541,INDEX('Aub Demand'!Q:Q,MATCH($O541,'Aub Demand'!$A:$A,0))-IF(AN541="",0,AN541)+AP542+AD541,IF(AM541&lt;&gt;"",INDEX('Aub Demand'!Q:Q,MATCH($O541,'Aub Demand'!$A:$A,0))-IF(AN541="",0,AN541)+AD541+AL541,INDEX('Aub Demand'!Q:Q,MATCH($O541,'Aub Demand'!$A:$A,0))-IF(AN541="",0,AN541)+AD541))),"")</f>
        <v>-21</v>
      </c>
      <c r="Y541" s="53">
        <f t="shared" si="228"/>
        <v>-18</v>
      </c>
      <c r="Z541" s="52">
        <f>IF(L541="","",INDEX('Aub Demand'!H:H,MATCH($O541,'Aub Demand'!$A:$A,0)))</f>
        <v>5</v>
      </c>
      <c r="AA541" s="52" t="str">
        <f t="shared" si="229"/>
        <v>-spike-</v>
      </c>
      <c r="AB541" s="52">
        <f>IFERROR(INDEX('Aub Demand'!L:L,MATCH($O541,'Aub Demand'!$A:$A,0)),"")</f>
        <v>0</v>
      </c>
      <c r="AC541" s="52">
        <f>IFERROR(IF(O541="","",SUMIFS('CPL Mats'!F:F,'CPL Mats'!Q:Q,AR541,'CPL Mats'!S:S,AS541)),"")</f>
        <v>0</v>
      </c>
      <c r="AF541" s="25" t="str">
        <f>IF(SUMIFS('Supp Consol'!S:S,'Supp Consol'!Y:Y,"Releasable",'Supp Consol'!A:A,O541)=0,"",SUMIFS('Supp Consol'!S:S,'Supp Consol'!Y:Y,"Releasable",'Supp Consol'!A:A,O541))</f>
        <v/>
      </c>
      <c r="AG541" s="25">
        <f>IFERROR(INDEX('Hun Demand'!Q:Q,MATCH(O541,'Hun Demand'!A:A,0)),"")</f>
        <v>463</v>
      </c>
      <c r="AH541" s="25">
        <f>IFERROR(INDEX('Hun Demand'!H:H,MATCH($O541,'Hun Demand'!$A:$A,0)),"")</f>
        <v>38</v>
      </c>
      <c r="AI541" s="25" t="str">
        <f>IF(SUMIFS('Supp Consol'!AA:AA,'Supp Consol'!Z:Z,"Expires this month",'Supp Consol'!A:A,O541)=0,"",SUMIFS('Supp Consol'!AA:AA,'Supp Consol'!Z:Z,"Expires this month",'Supp Consol'!A:A,O541))</f>
        <v/>
      </c>
      <c r="AJ541" s="25" t="str">
        <f>IF(SUMIFS('Supp Consol'!AA:AA,'Supp Consol'!Z:Z,"Expired Previous Months",'Supp Consol'!A:A,O541)=0,"",SUMIFS('Supp Consol'!AA:AA,'Supp Consol'!Z:Z,"Expired Previous Months",'Supp Consol'!A:A,O541))</f>
        <v/>
      </c>
      <c r="AK541" s="25" t="str">
        <f>IFERROR(INDEX('Hun Release Current'!B:B,MATCH(O541,'Hun Release Current'!A:A,0)),"")</f>
        <v/>
      </c>
      <c r="AL541" s="25" t="str">
        <f>IF(SUMIF('Prev Aub'!A:A,O541,'Prev Aub'!B:B)=0,"",SUMIF('Prev Aub'!A:A,O541,'Prev Aub'!B:B))</f>
        <v/>
      </c>
      <c r="AN541" s="25" t="s">
        <v>3790</v>
      </c>
      <c r="AO541" s="25" t="s">
        <v>3790</v>
      </c>
      <c r="AP541" s="25">
        <f t="shared" si="230"/>
        <v>0</v>
      </c>
      <c r="AQ541" s="151" t="str">
        <f>IF(SUMIFS('Supp Consol'!S:S,'Supp Consol'!A:A,O541,'Supp Consol'!I:I,"PENDING")=0,"",SUMIFS('Supp Consol'!S:S,'Supp Consol'!A:A,O541,'Supp Consol'!I:I,"PENDING"))</f>
        <v/>
      </c>
      <c r="AR541" s="27" t="str">
        <f t="shared" si="231"/>
        <v>HP313</v>
      </c>
      <c r="AS541" s="27" t="str">
        <f t="shared" si="232"/>
        <v>50</v>
      </c>
      <c r="AT541" s="27" t="str">
        <f t="shared" si="233"/>
        <v>HP313</v>
      </c>
      <c r="AU541" s="27" t="str">
        <f t="shared" si="234"/>
        <v>HP313</v>
      </c>
      <c r="AV541" s="27" t="str">
        <f t="shared" si="235"/>
        <v>HP313</v>
      </c>
      <c r="AW541" s="27" t="str">
        <f t="shared" si="236"/>
        <v/>
      </c>
      <c r="AX541" s="27" t="str">
        <f t="shared" si="237"/>
        <v/>
      </c>
      <c r="AY541" s="27" t="str">
        <f t="shared" si="238"/>
        <v>HP313</v>
      </c>
      <c r="AZ541" s="27" t="str">
        <f t="shared" si="239"/>
        <v/>
      </c>
      <c r="BA541" s="27" t="str">
        <f t="shared" si="240"/>
        <v>Hun</v>
      </c>
      <c r="BB541" s="27" t="str">
        <f t="shared" si="241"/>
        <v>Gross</v>
      </c>
      <c r="BC541" s="27" t="str">
        <f t="shared" si="242"/>
        <v>Net</v>
      </c>
      <c r="BD541" s="27" t="str">
        <f t="shared" si="243"/>
        <v>Net</v>
      </c>
      <c r="BE541" s="27" t="str">
        <f t="shared" si="244"/>
        <v/>
      </c>
      <c r="BF541" s="27" t="str">
        <f t="shared" si="245"/>
        <v/>
      </c>
      <c r="BG541" s="27" t="str">
        <f t="shared" si="246"/>
        <v/>
      </c>
      <c r="BH541" s="27" t="str">
        <f t="shared" si="247"/>
        <v>H+N</v>
      </c>
      <c r="BI541" s="27" t="str">
        <f t="shared" si="248"/>
        <v>H+Nex</v>
      </c>
      <c r="BJ541" s="27" t="str">
        <f t="shared" si="249"/>
        <v>Supp or Hun</v>
      </c>
      <c r="BK541" s="27" t="str">
        <f t="shared" si="250"/>
        <v>Supp or Hun Need</v>
      </c>
      <c r="BL541" s="27" t="str">
        <f t="shared" si="251"/>
        <v>SorHandNandE</v>
      </c>
      <c r="BM541" s="21" t="s">
        <v>3790</v>
      </c>
    </row>
    <row r="542" spans="1:65" ht="15">
      <c r="A542" s="25">
        <f>IFERROR(INDEX('Hun Demand'!W:W,MATCH(O542,'Hun Demand'!A:A,0)),"")</f>
        <v>852</v>
      </c>
      <c r="B542" s="25">
        <f>IFERROR(INDEX('Hun Demand'!V:V,MATCH(O542,'Hun Demand'!A:A,0)),"")</f>
        <v>105</v>
      </c>
      <c r="C542" s="25">
        <f>IFERROR(INDEX('Hun Demand'!U:U,MATCH(O542,'Hun Demand'!A:A,0)),"")</f>
        <v>0</v>
      </c>
      <c r="D542" s="25">
        <f>IFERROR(INDEX('Hun Demand'!T:T,MATCH(O542,'Hun Demand'!A:A,0)),"")</f>
        <v>364</v>
      </c>
      <c r="E542" s="25">
        <f>IFERROR(INDEX('Hun Demand'!S:S,MATCH(O542,'Hun Demand'!A:A,0)),"")</f>
        <v>0</v>
      </c>
      <c r="F542" s="25">
        <f>IFERROR(INDEX('Hun Demand'!R:R,MATCH(O542,'Hun Demand'!A:A,0)),"")</f>
        <v>0</v>
      </c>
      <c r="G542" s="25">
        <f>IFERROR(INDEX('Aub Demand'!W:W,MATCH(O542,'Aub Demand'!A:A,0)),"")</f>
        <v>1322</v>
      </c>
      <c r="H542" s="25">
        <f>IFERROR(INDEX('Aub Demand'!V:V,MATCH(O542,'Aub Demand'!A:A,0)),"")</f>
        <v>4</v>
      </c>
      <c r="I542" s="25">
        <f>IFERROR(INDEX('Aub Demand'!U:U,MATCH(O542,'Aub Demand'!A:A,0)),"")</f>
        <v>88</v>
      </c>
      <c r="J542" s="25">
        <f>IFERROR(INDEX('Aub Demand'!T:T,MATCH(O542,'Aub Demand'!A:A,0)),"")</f>
        <v>92</v>
      </c>
      <c r="K542" s="25">
        <f>IFERROR(INDEX('Aub Demand'!S:S,MATCH(O542,'Aub Demand'!A:A,0)),"")</f>
        <v>0</v>
      </c>
      <c r="L542" s="25">
        <f>IFERROR(INDEX('Aub Demand'!R:R,MATCH(O542,'Aub Demand'!A:A,0)),"")</f>
        <v>0</v>
      </c>
      <c r="O542" s="27" t="s">
        <v>901</v>
      </c>
      <c r="P542" s="27" t="str">
        <f>IFERROR(INDEX('Aub Demand'!B:B,MATCH($O542,'Aub Demand'!$A:$A,0)),"")</f>
        <v>BRAZILIAN WALNUT</v>
      </c>
      <c r="Q542" s="27" t="str">
        <f>IFERROR(INDEX('Aub Demand'!C:C,MATCH($O542,'Aub Demand'!$A:$A,0)),"")</f>
        <v>INTER</v>
      </c>
      <c r="R542" s="52">
        <f>IFERROR(IF(AR543=AR542,INDEX('Aub Demand'!K:K,MATCH($O542,'Aub Demand'!$A:$A,0))-IF(AN542="",0,AN542)+AP543,INDEX('Aub Demand'!K:K,MATCH($O542,'Aub Demand'!$A:$A,0))-IF(AN542="",0,AN542)),"")</f>
        <v>6747</v>
      </c>
      <c r="S542" s="53">
        <f t="shared" si="224"/>
        <v>481.9</v>
      </c>
      <c r="T542" s="52" t="str">
        <f t="shared" si="225"/>
        <v/>
      </c>
      <c r="U542" s="52">
        <f>IFERROR(IF(AR543=AR542,INDEX('Aub Demand'!Q:Q,MATCH($O542,'Aub Demand'!$A:$A,0))-IF(AN542="",0,AN542)+AP543,INDEX('Aub Demand'!Q:Q,MATCH($O542,'Aub Demand'!$A:$A,0))-IF(AN542="",0,AN542)),"")</f>
        <v>6747</v>
      </c>
      <c r="V542" s="53">
        <f t="shared" si="226"/>
        <v>481.9</v>
      </c>
      <c r="W542" s="52" t="str">
        <f t="shared" si="227"/>
        <v/>
      </c>
      <c r="X542" s="52">
        <f>IFERROR(IF(AND(AR543=AR542,AM542&lt;&gt;""),INDEX('Aub Demand'!Q:Q,MATCH($O542,'Aub Demand'!$A:$A,0))-IF(AN542="",0,AN542)+AP543+AD542+AL542,IF(AR543=AR542,INDEX('Aub Demand'!Q:Q,MATCH($O542,'Aub Demand'!$A:$A,0))-IF(AN542="",0,AN542)+AP543+AD542,IF(AM542&lt;&gt;"",INDEX('Aub Demand'!Q:Q,MATCH($O542,'Aub Demand'!$A:$A,0))-IF(AN542="",0,AN542)+AD542+AL542,INDEX('Aub Demand'!Q:Q,MATCH($O542,'Aub Demand'!$A:$A,0))-IF(AN542="",0,AN542)+AD542))),"")</f>
        <v>6747</v>
      </c>
      <c r="Y542" s="53">
        <f t="shared" si="228"/>
        <v>481.9</v>
      </c>
      <c r="Z542" s="52">
        <f>IF(L542="","",INDEX('Aub Demand'!H:H,MATCH($O542,'Aub Demand'!$A:$A,0)))</f>
        <v>60</v>
      </c>
      <c r="AA542" s="52">
        <f t="shared" si="229"/>
        <v>90</v>
      </c>
      <c r="AB542" s="52">
        <f>IFERROR(INDEX('Aub Demand'!L:L,MATCH($O542,'Aub Demand'!$A:$A,0)),"")</f>
        <v>36</v>
      </c>
      <c r="AC542" s="52">
        <f>IFERROR(IF(O542="","",SUMIFS('CPL Mats'!F:F,'CPL Mats'!Q:Q,AR542,'CPL Mats'!S:S,AS542)),"")</f>
        <v>0</v>
      </c>
      <c r="AF542" s="25" t="str">
        <f>IF(SUMIFS('Supp Consol'!S:S,'Supp Consol'!Y:Y,"Releasable",'Supp Consol'!A:A,O542)=0,"",SUMIFS('Supp Consol'!S:S,'Supp Consol'!Y:Y,"Releasable",'Supp Consol'!A:A,O542))</f>
        <v/>
      </c>
      <c r="AG542" s="25">
        <f>IFERROR(INDEX('Hun Demand'!Q:Q,MATCH(O542,'Hun Demand'!A:A,0)),"")</f>
        <v>1262</v>
      </c>
      <c r="AH542" s="25">
        <f>IFERROR(INDEX('Hun Demand'!H:H,MATCH($O542,'Hun Demand'!$A:$A,0)),"")</f>
        <v>121</v>
      </c>
      <c r="AI542" s="25" t="str">
        <f>IF(SUMIFS('Supp Consol'!AA:AA,'Supp Consol'!Z:Z,"Expires this month",'Supp Consol'!A:A,O542)=0,"",SUMIFS('Supp Consol'!AA:AA,'Supp Consol'!Z:Z,"Expires this month",'Supp Consol'!A:A,O542))</f>
        <v/>
      </c>
      <c r="AJ542" s="25" t="str">
        <f>IF(SUMIFS('Supp Consol'!AA:AA,'Supp Consol'!Z:Z,"Expired Previous Months",'Supp Consol'!A:A,O542)=0,"",SUMIFS('Supp Consol'!AA:AA,'Supp Consol'!Z:Z,"Expired Previous Months",'Supp Consol'!A:A,O542))</f>
        <v/>
      </c>
      <c r="AK542" s="25" t="str">
        <f>IFERROR(INDEX('Hun Release Current'!B:B,MATCH(O542,'Hun Release Current'!A:A,0)),"")</f>
        <v/>
      </c>
      <c r="AL542" s="25" t="str">
        <f>IF(SUMIF('Prev Aub'!A:A,O542,'Prev Aub'!B:B)=0,"",SUMIF('Prev Aub'!A:A,O542,'Prev Aub'!B:B))</f>
        <v/>
      </c>
      <c r="AN542" s="25" t="s">
        <v>3790</v>
      </c>
      <c r="AO542" s="25" t="s">
        <v>3790</v>
      </c>
      <c r="AP542" s="25">
        <f t="shared" si="230"/>
        <v>0</v>
      </c>
      <c r="AQ542" s="151" t="str">
        <f>IF(SUMIFS('Supp Consol'!S:S,'Supp Consol'!A:A,O542,'Supp Consol'!I:I,"PENDING")=0,"",SUMIFS('Supp Consol'!S:S,'Supp Consol'!A:A,O542,'Supp Consol'!I:I,"PENDING"))</f>
        <v/>
      </c>
      <c r="AR542" s="27" t="str">
        <f t="shared" si="231"/>
        <v>HP313</v>
      </c>
      <c r="AS542" s="27" t="str">
        <f t="shared" si="232"/>
        <v>62</v>
      </c>
      <c r="AT542" s="27" t="str">
        <f t="shared" si="233"/>
        <v/>
      </c>
      <c r="AU542" s="27" t="str">
        <f t="shared" si="234"/>
        <v/>
      </c>
      <c r="AV542" s="27" t="str">
        <f t="shared" si="235"/>
        <v/>
      </c>
      <c r="AW542" s="27" t="str">
        <f t="shared" si="236"/>
        <v/>
      </c>
      <c r="AX542" s="27" t="str">
        <f t="shared" si="237"/>
        <v/>
      </c>
      <c r="AY542" s="27" t="str">
        <f t="shared" si="238"/>
        <v>HP313</v>
      </c>
      <c r="AZ542" s="27" t="str">
        <f t="shared" si="239"/>
        <v/>
      </c>
      <c r="BA542" s="27" t="str">
        <f t="shared" si="240"/>
        <v>Hun</v>
      </c>
      <c r="BB542" s="27" t="str">
        <f t="shared" si="241"/>
        <v>Gross</v>
      </c>
      <c r="BC542" s="27" t="str">
        <f t="shared" si="242"/>
        <v>Net</v>
      </c>
      <c r="BD542" s="27" t="str">
        <f t="shared" si="243"/>
        <v>Net</v>
      </c>
      <c r="BE542" s="27" t="str">
        <f t="shared" si="244"/>
        <v/>
      </c>
      <c r="BF542" s="27" t="str">
        <f t="shared" si="245"/>
        <v/>
      </c>
      <c r="BG542" s="27" t="str">
        <f t="shared" si="246"/>
        <v/>
      </c>
      <c r="BH542" s="27" t="str">
        <f t="shared" si="247"/>
        <v>H+N</v>
      </c>
      <c r="BI542" s="27" t="str">
        <f t="shared" si="248"/>
        <v>H+Nex</v>
      </c>
      <c r="BJ542" s="27" t="str">
        <f t="shared" si="249"/>
        <v>Supp or Hun</v>
      </c>
      <c r="BK542" s="27" t="str">
        <f t="shared" si="250"/>
        <v>Supp or Hun Need</v>
      </c>
      <c r="BL542" s="27" t="str">
        <f t="shared" si="251"/>
        <v>SorHandNandE</v>
      </c>
      <c r="BM542" s="21" t="s">
        <v>5582</v>
      </c>
    </row>
    <row r="543" spans="1:65" ht="15">
      <c r="A543" s="25">
        <f>IFERROR(INDEX('Hun Demand'!W:W,MATCH(O543,'Hun Demand'!A:A,0)),"")</f>
        <v>0</v>
      </c>
      <c r="B543" s="25">
        <f>IFERROR(INDEX('Hun Demand'!V:V,MATCH(O543,'Hun Demand'!A:A,0)),"")</f>
        <v>440</v>
      </c>
      <c r="C543" s="25">
        <f>IFERROR(INDEX('Hun Demand'!U:U,MATCH(O543,'Hun Demand'!A:A,0)),"")</f>
        <v>-67</v>
      </c>
      <c r="D543" s="25">
        <f>IFERROR(INDEX('Hun Demand'!T:T,MATCH(O543,'Hun Demand'!A:A,0)),"")</f>
        <v>0</v>
      </c>
      <c r="E543" s="25">
        <f>IFERROR(INDEX('Hun Demand'!S:S,MATCH(O543,'Hun Demand'!A:A,0)),"")</f>
        <v>0</v>
      </c>
      <c r="F543" s="25">
        <f>IFERROR(INDEX('Hun Demand'!R:R,MATCH(O543,'Hun Demand'!A:A,0)),"")</f>
        <v>0</v>
      </c>
      <c r="G543" s="25">
        <f>IFERROR(INDEX('Aub Demand'!W:W,MATCH(O543,'Aub Demand'!A:A,0)),"")</f>
        <v>216</v>
      </c>
      <c r="H543" s="25">
        <f>IFERROR(INDEX('Aub Demand'!V:V,MATCH(O543,'Aub Demand'!A:A,0)),"")</f>
        <v>0</v>
      </c>
      <c r="I543" s="25">
        <f>IFERROR(INDEX('Aub Demand'!U:U,MATCH(O543,'Aub Demand'!A:A,0)),"")</f>
        <v>0</v>
      </c>
      <c r="J543" s="25">
        <f>IFERROR(INDEX('Aub Demand'!T:T,MATCH(O543,'Aub Demand'!A:A,0)),"")</f>
        <v>0</v>
      </c>
      <c r="K543" s="25">
        <f>IFERROR(INDEX('Aub Demand'!S:S,MATCH(O543,'Aub Demand'!A:A,0)),"")</f>
        <v>57</v>
      </c>
      <c r="L543" s="25">
        <f>IFERROR(INDEX('Aub Demand'!R:R,MATCH(O543,'Aub Demand'!A:A,0)),"")</f>
        <v>0</v>
      </c>
      <c r="O543" s="27" t="s">
        <v>902</v>
      </c>
      <c r="P543" s="27" t="str">
        <f>IFERROR(INDEX('Aub Demand'!B:B,MATCH($O543,'Aub Demand'!$A:$A,0)),"")</f>
        <v>SUNSET</v>
      </c>
      <c r="Q543" s="27" t="str">
        <f>IFERROR(INDEX('Aub Demand'!C:C,MATCH($O543,'Aub Demand'!$A:$A,0)),"")</f>
        <v>SUDDE</v>
      </c>
      <c r="R543" s="52">
        <f>IFERROR(IF(AR544=AR543,INDEX('Aub Demand'!K:K,MATCH($O543,'Aub Demand'!$A:$A,0))-IF(AN543="",0,AN543)+AP544,INDEX('Aub Demand'!K:K,MATCH($O543,'Aub Demand'!$A:$A,0))-IF(AN543="",0,AN543)),"")</f>
        <v>630</v>
      </c>
      <c r="S543" s="53">
        <f t="shared" si="224"/>
        <v>142.1</v>
      </c>
      <c r="T543" s="52" t="str">
        <f t="shared" si="225"/>
        <v/>
      </c>
      <c r="U543" s="52">
        <f>IFERROR(IF(AR544=AR543,INDEX('Aub Demand'!Q:Q,MATCH($O543,'Aub Demand'!$A:$A,0))-IF(AN543="",0,AN543)+AP544,INDEX('Aub Demand'!Q:Q,MATCH($O543,'Aub Demand'!$A:$A,0))-IF(AN543="",0,AN543)),"")</f>
        <v>584</v>
      </c>
      <c r="V543" s="53">
        <f t="shared" si="226"/>
        <v>131.69999999999999</v>
      </c>
      <c r="W543" s="52" t="str">
        <f t="shared" si="227"/>
        <v/>
      </c>
      <c r="X543" s="52">
        <f>IFERROR(IF(AND(AR544=AR543,AM543&lt;&gt;""),INDEX('Aub Demand'!Q:Q,MATCH($O543,'Aub Demand'!$A:$A,0))-IF(AN543="",0,AN543)+AP544+AD543+AL543,IF(AR544=AR543,INDEX('Aub Demand'!Q:Q,MATCH($O543,'Aub Demand'!$A:$A,0))-IF(AN543="",0,AN543)+AP544+AD543,IF(AM543&lt;&gt;"",INDEX('Aub Demand'!Q:Q,MATCH($O543,'Aub Demand'!$A:$A,0))-IF(AN543="",0,AN543)+AD543+AL543,INDEX('Aub Demand'!Q:Q,MATCH($O543,'Aub Demand'!$A:$A,0))-IF(AN543="",0,AN543)+AD543))),"")</f>
        <v>584</v>
      </c>
      <c r="Y543" s="53">
        <f t="shared" si="228"/>
        <v>131.69999999999999</v>
      </c>
      <c r="Z543" s="52">
        <f>IF(L543="","",INDEX('Aub Demand'!H:H,MATCH($O543,'Aub Demand'!$A:$A,0)))</f>
        <v>19</v>
      </c>
      <c r="AA543" s="52" t="str">
        <f t="shared" si="229"/>
        <v>-spike-</v>
      </c>
      <c r="AB543" s="52">
        <f>IFERROR(INDEX('Aub Demand'!L:L,MATCH($O543,'Aub Demand'!$A:$A,0)),"")</f>
        <v>28</v>
      </c>
      <c r="AC543" s="52">
        <f>IFERROR(IF(O543="","",SUMIFS('CPL Mats'!F:F,'CPL Mats'!Q:Q,AR543,'CPL Mats'!S:S,AS543)),"")</f>
        <v>0</v>
      </c>
      <c r="AF543" s="25">
        <f>IF(SUMIFS('Supp Consol'!S:S,'Supp Consol'!Y:Y,"Releasable",'Supp Consol'!A:A,O543)=0,"",SUMIFS('Supp Consol'!S:S,'Supp Consol'!Y:Y,"Releasable",'Supp Consol'!A:A,O543))</f>
        <v>804</v>
      </c>
      <c r="AG543" s="25">
        <f>IFERROR(INDEX('Hun Demand'!Q:Q,MATCH(O543,'Hun Demand'!A:A,0)),"")</f>
        <v>1267</v>
      </c>
      <c r="AH543" s="25">
        <f>IFERROR(INDEX('Hun Demand'!H:H,MATCH($O543,'Hun Demand'!$A:$A,0)),"")</f>
        <v>-22</v>
      </c>
      <c r="AI543" s="25">
        <f>IF(SUMIFS('Supp Consol'!AA:AA,'Supp Consol'!Z:Z,"Expires this month",'Supp Consol'!A:A,O543)=0,"",SUMIFS('Supp Consol'!AA:AA,'Supp Consol'!Z:Z,"Expires this month",'Supp Consol'!A:A,O543))</f>
        <v>804</v>
      </c>
      <c r="AJ543" s="25" t="str">
        <f>IF(SUMIFS('Supp Consol'!AA:AA,'Supp Consol'!Z:Z,"Expired Previous Months",'Supp Consol'!A:A,O543)=0,"",SUMIFS('Supp Consol'!AA:AA,'Supp Consol'!Z:Z,"Expired Previous Months",'Supp Consol'!A:A,O543))</f>
        <v/>
      </c>
      <c r="AK543" s="25" t="str">
        <f>IFERROR(INDEX('Hun Release Current'!B:B,MATCH(O543,'Hun Release Current'!A:A,0)),"")</f>
        <v/>
      </c>
      <c r="AL543" s="25" t="str">
        <f>IF(SUMIF('Prev Aub'!A:A,O543,'Prev Aub'!B:B)=0,"",SUMIF('Prev Aub'!A:A,O543,'Prev Aub'!B:B))</f>
        <v/>
      </c>
      <c r="AN543" s="25" t="s">
        <v>3790</v>
      </c>
      <c r="AO543" s="25" t="s">
        <v>3790</v>
      </c>
      <c r="AP543" s="25">
        <f t="shared" si="230"/>
        <v>0</v>
      </c>
      <c r="AQ543" s="151" t="str">
        <f>IF(SUMIFS('Supp Consol'!S:S,'Supp Consol'!A:A,O543,'Supp Consol'!I:I,"PENDING")=0,"",SUMIFS('Supp Consol'!S:S,'Supp Consol'!A:A,O543,'Supp Consol'!I:I,"PENDING"))</f>
        <v/>
      </c>
      <c r="AR543" s="27" t="str">
        <f t="shared" si="231"/>
        <v>HP336</v>
      </c>
      <c r="AS543" s="27" t="str">
        <f t="shared" si="232"/>
        <v>50</v>
      </c>
      <c r="AT543" s="27" t="str">
        <f t="shared" si="233"/>
        <v/>
      </c>
      <c r="AU543" s="27" t="str">
        <f t="shared" si="234"/>
        <v/>
      </c>
      <c r="AV543" s="27" t="str">
        <f t="shared" si="235"/>
        <v/>
      </c>
      <c r="AW543" s="27" t="str">
        <f t="shared" si="236"/>
        <v>HP336</v>
      </c>
      <c r="AX543" s="27" t="str">
        <f t="shared" si="237"/>
        <v>HP336</v>
      </c>
      <c r="AY543" s="27" t="str">
        <f t="shared" si="238"/>
        <v>HP336</v>
      </c>
      <c r="AZ543" s="27" t="str">
        <f t="shared" si="239"/>
        <v>Supp</v>
      </c>
      <c r="BA543" s="27" t="str">
        <f t="shared" si="240"/>
        <v>Hun</v>
      </c>
      <c r="BB543" s="27" t="str">
        <f t="shared" si="241"/>
        <v/>
      </c>
      <c r="BC543" s="27" t="str">
        <f t="shared" si="242"/>
        <v/>
      </c>
      <c r="BD543" s="27" t="str">
        <f t="shared" si="243"/>
        <v/>
      </c>
      <c r="BE543" s="27" t="str">
        <f t="shared" si="244"/>
        <v>Exp</v>
      </c>
      <c r="BF543" s="27" t="str">
        <f t="shared" si="245"/>
        <v/>
      </c>
      <c r="BG543" s="27" t="str">
        <f t="shared" si="246"/>
        <v>S+NorE</v>
      </c>
      <c r="BH543" s="27" t="str">
        <f t="shared" si="247"/>
        <v/>
      </c>
      <c r="BI543" s="27" t="str">
        <f t="shared" si="248"/>
        <v/>
      </c>
      <c r="BJ543" s="27" t="str">
        <f t="shared" si="249"/>
        <v>Supp or Hun</v>
      </c>
      <c r="BK543" s="27" t="str">
        <f t="shared" si="250"/>
        <v/>
      </c>
      <c r="BL543" s="27" t="str">
        <f t="shared" si="251"/>
        <v>SorHandNandE</v>
      </c>
      <c r="BM543" s="21" t="s">
        <v>5582</v>
      </c>
    </row>
    <row r="544" spans="1:65" ht="15">
      <c r="A544" s="25">
        <f>IFERROR(INDEX('Hun Demand'!W:W,MATCH(O544,'Hun Demand'!A:A,0)),"")</f>
        <v>1276</v>
      </c>
      <c r="B544" s="25">
        <f>IFERROR(INDEX('Hun Demand'!V:V,MATCH(O544,'Hun Demand'!A:A,0)),"")</f>
        <v>1144</v>
      </c>
      <c r="C544" s="25">
        <f>IFERROR(INDEX('Hun Demand'!U:U,MATCH(O544,'Hun Demand'!A:A,0)),"")</f>
        <v>0</v>
      </c>
      <c r="D544" s="25">
        <f>IFERROR(INDEX('Hun Demand'!T:T,MATCH(O544,'Hun Demand'!A:A,0)),"")</f>
        <v>276</v>
      </c>
      <c r="E544" s="25">
        <f>IFERROR(INDEX('Hun Demand'!S:S,MATCH(O544,'Hun Demand'!A:A,0)),"")</f>
        <v>428</v>
      </c>
      <c r="F544" s="25">
        <f>IFERROR(INDEX('Hun Demand'!R:R,MATCH(O544,'Hun Demand'!A:A,0)),"")</f>
        <v>0</v>
      </c>
      <c r="G544" s="25">
        <f>IFERROR(INDEX('Aub Demand'!W:W,MATCH(O544,'Aub Demand'!A:A,0)),"")</f>
        <v>22</v>
      </c>
      <c r="H544" s="25">
        <f>IFERROR(INDEX('Aub Demand'!V:V,MATCH(O544,'Aub Demand'!A:A,0)),"")</f>
        <v>23</v>
      </c>
      <c r="I544" s="25">
        <f>IFERROR(INDEX('Aub Demand'!U:U,MATCH(O544,'Aub Demand'!A:A,0)),"")</f>
        <v>73</v>
      </c>
      <c r="J544" s="25">
        <f>IFERROR(INDEX('Aub Demand'!T:T,MATCH(O544,'Aub Demand'!A:A,0)),"")</f>
        <v>17</v>
      </c>
      <c r="K544" s="25">
        <f>IFERROR(INDEX('Aub Demand'!S:S,MATCH(O544,'Aub Demand'!A:A,0)),"")</f>
        <v>20</v>
      </c>
      <c r="L544" s="25">
        <f>IFERROR(INDEX('Aub Demand'!R:R,MATCH(O544,'Aub Demand'!A:A,0)),"")</f>
        <v>0</v>
      </c>
      <c r="O544" s="27" t="s">
        <v>905</v>
      </c>
      <c r="P544" s="27" t="str">
        <f>IFERROR(INDEX('Aub Demand'!B:B,MATCH($O544,'Aub Demand'!$A:$A,0)),"")</f>
        <v>SUNSET</v>
      </c>
      <c r="Q544" s="27" t="str">
        <f>IFERROR(INDEX('Aub Demand'!C:C,MATCH($O544,'Aub Demand'!$A:$A,0)),"")</f>
        <v>SUDDE</v>
      </c>
      <c r="R544" s="52">
        <f>IFERROR(IF(AR545=AR544,INDEX('Aub Demand'!K:K,MATCH($O544,'Aub Demand'!$A:$A,0))-IF(AN544="",0,AN544)+AP545,INDEX('Aub Demand'!K:K,MATCH($O544,'Aub Demand'!$A:$A,0))-IF(AN544="",0,AN544)),"")</f>
        <v>740</v>
      </c>
      <c r="S544" s="53">
        <f t="shared" si="224"/>
        <v>85.7</v>
      </c>
      <c r="T544" s="52" t="str">
        <f t="shared" si="225"/>
        <v/>
      </c>
      <c r="U544" s="52">
        <f>IFERROR(IF(AR545=AR544,INDEX('Aub Demand'!Q:Q,MATCH($O544,'Aub Demand'!$A:$A,0))-IF(AN544="",0,AN544)+AP545,INDEX('Aub Demand'!Q:Q,MATCH($O544,'Aub Demand'!$A:$A,0))-IF(AN544="",0,AN544)),"")</f>
        <v>705</v>
      </c>
      <c r="V544" s="53">
        <f t="shared" si="226"/>
        <v>81.7</v>
      </c>
      <c r="W544" s="52" t="str">
        <f t="shared" si="227"/>
        <v/>
      </c>
      <c r="X544" s="52">
        <f>IFERROR(IF(AND(AR545=AR544,AM544&lt;&gt;""),INDEX('Aub Demand'!Q:Q,MATCH($O544,'Aub Demand'!$A:$A,0))-IF(AN544="",0,AN544)+AP545+AD544+AL544,IF(AR545=AR544,INDEX('Aub Demand'!Q:Q,MATCH($O544,'Aub Demand'!$A:$A,0))-IF(AN544="",0,AN544)+AP545+AD544,IF(AM544&lt;&gt;"",INDEX('Aub Demand'!Q:Q,MATCH($O544,'Aub Demand'!$A:$A,0))-IF(AN544="",0,AN544)+AD544+AL544,INDEX('Aub Demand'!Q:Q,MATCH($O544,'Aub Demand'!$A:$A,0))-IF(AN544="",0,AN544)+AD544))),"")</f>
        <v>705</v>
      </c>
      <c r="Y544" s="53">
        <f t="shared" si="228"/>
        <v>81.7</v>
      </c>
      <c r="Z544" s="52">
        <f>IF(L544="","",INDEX('Aub Demand'!H:H,MATCH($O544,'Aub Demand'!$A:$A,0)))</f>
        <v>37</v>
      </c>
      <c r="AA544" s="52">
        <f t="shared" si="229"/>
        <v>46.5</v>
      </c>
      <c r="AB544" s="52">
        <f>IFERROR(INDEX('Aub Demand'!L:L,MATCH($O544,'Aub Demand'!$A:$A,0)),"")</f>
        <v>9</v>
      </c>
      <c r="AC544" s="52">
        <f>IFERROR(IF(O544="","",SUMIFS('CPL Mats'!F:F,'CPL Mats'!Q:Q,AR544,'CPL Mats'!S:S,AS544)),"")</f>
        <v>0</v>
      </c>
      <c r="AF544" s="25" t="str">
        <f>IF(SUMIFS('Supp Consol'!S:S,'Supp Consol'!Y:Y,"Releasable",'Supp Consol'!A:A,O544)=0,"",SUMIFS('Supp Consol'!S:S,'Supp Consol'!Y:Y,"Releasable",'Supp Consol'!A:A,O544))</f>
        <v/>
      </c>
      <c r="AG544" s="25">
        <f>IFERROR(INDEX('Hun Demand'!Q:Q,MATCH(O544,'Hun Demand'!A:A,0)),"")</f>
        <v>0</v>
      </c>
      <c r="AH544" s="25">
        <f>IFERROR(INDEX('Hun Demand'!H:H,MATCH($O544,'Hun Demand'!$A:$A,0)),"")</f>
        <v>235</v>
      </c>
      <c r="AI544" s="25" t="str">
        <f>IF(SUMIFS('Supp Consol'!AA:AA,'Supp Consol'!Z:Z,"Expires this month",'Supp Consol'!A:A,O544)=0,"",SUMIFS('Supp Consol'!AA:AA,'Supp Consol'!Z:Z,"Expires this month",'Supp Consol'!A:A,O544))</f>
        <v/>
      </c>
      <c r="AJ544" s="25" t="str">
        <f>IF(SUMIFS('Supp Consol'!AA:AA,'Supp Consol'!Z:Z,"Expired Previous Months",'Supp Consol'!A:A,O544)=0,"",SUMIFS('Supp Consol'!AA:AA,'Supp Consol'!Z:Z,"Expired Previous Months",'Supp Consol'!A:A,O544))</f>
        <v/>
      </c>
      <c r="AK544" s="25">
        <f>IFERROR(INDEX('Hun Release Current'!B:B,MATCH(O544,'Hun Release Current'!A:A,0)),"")</f>
        <v>1757</v>
      </c>
      <c r="AL544" s="25" t="str">
        <f>IF(SUMIF('Prev Aub'!A:A,O544,'Prev Aub'!B:B)=0,"",SUMIF('Prev Aub'!A:A,O544,'Prev Aub'!B:B))</f>
        <v/>
      </c>
      <c r="AN544" s="25" t="s">
        <v>3790</v>
      </c>
      <c r="AO544" s="25" t="s">
        <v>3790</v>
      </c>
      <c r="AP544" s="25">
        <f t="shared" si="230"/>
        <v>0</v>
      </c>
      <c r="AQ544" s="151" t="str">
        <f>IF(SUMIFS('Supp Consol'!S:S,'Supp Consol'!A:A,O544,'Supp Consol'!I:I,"PENDING")=0,"",SUMIFS('Supp Consol'!S:S,'Supp Consol'!A:A,O544,'Supp Consol'!I:I,"PENDING"))</f>
        <v/>
      </c>
      <c r="AR544" s="27" t="str">
        <f t="shared" si="231"/>
        <v>HP336</v>
      </c>
      <c r="AS544" s="27" t="str">
        <f t="shared" si="232"/>
        <v>62</v>
      </c>
      <c r="AT544" s="27" t="str">
        <f t="shared" si="233"/>
        <v/>
      </c>
      <c r="AU544" s="27" t="str">
        <f t="shared" si="234"/>
        <v/>
      </c>
      <c r="AV544" s="27" t="str">
        <f t="shared" si="235"/>
        <v/>
      </c>
      <c r="AW544" s="27" t="str">
        <f t="shared" si="236"/>
        <v/>
      </c>
      <c r="AX544" s="27" t="str">
        <f t="shared" si="237"/>
        <v/>
      </c>
      <c r="AY544" s="27" t="str">
        <f t="shared" si="238"/>
        <v/>
      </c>
      <c r="AZ544" s="27" t="str">
        <f t="shared" si="239"/>
        <v>Supp</v>
      </c>
      <c r="BA544" s="27" t="str">
        <f t="shared" si="240"/>
        <v>Hun</v>
      </c>
      <c r="BB544" s="27" t="str">
        <f t="shared" si="241"/>
        <v/>
      </c>
      <c r="BC544" s="27" t="str">
        <f t="shared" si="242"/>
        <v/>
      </c>
      <c r="BD544" s="27" t="str">
        <f t="shared" si="243"/>
        <v/>
      </c>
      <c r="BE544" s="27" t="str">
        <f t="shared" si="244"/>
        <v>Exp</v>
      </c>
      <c r="BF544" s="27" t="str">
        <f t="shared" si="245"/>
        <v/>
      </c>
      <c r="BG544" s="27" t="str">
        <f t="shared" si="246"/>
        <v>S+NorE</v>
      </c>
      <c r="BH544" s="27" t="str">
        <f t="shared" si="247"/>
        <v/>
      </c>
      <c r="BI544" s="27" t="str">
        <f t="shared" si="248"/>
        <v/>
      </c>
      <c r="BJ544" s="27" t="str">
        <f t="shared" si="249"/>
        <v>Supp or Hun</v>
      </c>
      <c r="BK544" s="27" t="str">
        <f t="shared" si="250"/>
        <v/>
      </c>
      <c r="BL544" s="27" t="str">
        <f t="shared" si="251"/>
        <v>SorHandNandE</v>
      </c>
      <c r="BM544" s="21" t="s">
        <v>5582</v>
      </c>
    </row>
    <row r="545" spans="1:65" ht="15">
      <c r="A545" s="25" t="str">
        <f>IFERROR(INDEX('Hun Demand'!W:W,MATCH(O545,'Hun Demand'!A:A,0)),"")</f>
        <v/>
      </c>
      <c r="B545" s="25" t="str">
        <f>IFERROR(INDEX('Hun Demand'!V:V,MATCH(O545,'Hun Demand'!A:A,0)),"")</f>
        <v/>
      </c>
      <c r="C545" s="25" t="str">
        <f>IFERROR(INDEX('Hun Demand'!U:U,MATCH(O545,'Hun Demand'!A:A,0)),"")</f>
        <v/>
      </c>
      <c r="D545" s="25" t="str">
        <f>IFERROR(INDEX('Hun Demand'!T:T,MATCH(O545,'Hun Demand'!A:A,0)),"")</f>
        <v/>
      </c>
      <c r="E545" s="25" t="str">
        <f>IFERROR(INDEX('Hun Demand'!S:S,MATCH(O545,'Hun Demand'!A:A,0)),"")</f>
        <v/>
      </c>
      <c r="F545" s="25" t="str">
        <f>IFERROR(INDEX('Hun Demand'!R:R,MATCH(O545,'Hun Demand'!A:A,0)),"")</f>
        <v/>
      </c>
      <c r="G545" s="25">
        <f>IFERROR(INDEX('Aub Demand'!W:W,MATCH(O545,'Aub Demand'!A:A,0)),"")</f>
        <v>0</v>
      </c>
      <c r="H545" s="25">
        <f>IFERROR(INDEX('Aub Demand'!V:V,MATCH(O545,'Aub Demand'!A:A,0)),"")</f>
        <v>0</v>
      </c>
      <c r="I545" s="25">
        <f>IFERROR(INDEX('Aub Demand'!U:U,MATCH(O545,'Aub Demand'!A:A,0)),"")</f>
        <v>0</v>
      </c>
      <c r="J545" s="25">
        <f>IFERROR(INDEX('Aub Demand'!T:T,MATCH(O545,'Aub Demand'!A:A,0)),"")</f>
        <v>0</v>
      </c>
      <c r="K545" s="25">
        <f>IFERROR(INDEX('Aub Demand'!S:S,MATCH(O545,'Aub Demand'!A:A,0)),"")</f>
        <v>0</v>
      </c>
      <c r="L545" s="25">
        <f>IFERROR(INDEX('Aub Demand'!R:R,MATCH(O545,'Aub Demand'!A:A,0)),"")</f>
        <v>0</v>
      </c>
      <c r="O545" s="27" t="s">
        <v>906</v>
      </c>
      <c r="P545" s="27" t="str">
        <f>IFERROR(INDEX('Aub Demand'!B:B,MATCH($O545,'Aub Demand'!$A:$A,0)),"")</f>
        <v>SUNRISE</v>
      </c>
      <c r="Q545" s="27" t="str">
        <f>IFERROR(INDEX('Aub Demand'!C:C,MATCH($O545,'Aub Demand'!$A:$A,0)),"")</f>
        <v>SCHAT</v>
      </c>
      <c r="R545" s="52">
        <f>IFERROR(IF(AR546=AR545,INDEX('Aub Demand'!K:K,MATCH($O545,'Aub Demand'!$A:$A,0))-IF(AN545="",0,AN545)+AP546,INDEX('Aub Demand'!K:K,MATCH($O545,'Aub Demand'!$A:$A,0))-IF(AN545="",0,AN545)),"")</f>
        <v>5149</v>
      </c>
      <c r="S545" s="53" t="str">
        <f t="shared" si="224"/>
        <v>n/a</v>
      </c>
      <c r="T545" s="52" t="str">
        <f t="shared" si="225"/>
        <v/>
      </c>
      <c r="U545" s="52">
        <f>IFERROR(IF(AR546=AR545,INDEX('Aub Demand'!Q:Q,MATCH($O545,'Aub Demand'!$A:$A,0))-IF(AN545="",0,AN545)+AP546,INDEX('Aub Demand'!Q:Q,MATCH($O545,'Aub Demand'!$A:$A,0))-IF(AN545="",0,AN545)),"")</f>
        <v>5149</v>
      </c>
      <c r="V545" s="53" t="str">
        <f t="shared" si="226"/>
        <v>n/a</v>
      </c>
      <c r="W545" s="52" t="str">
        <f t="shared" si="227"/>
        <v/>
      </c>
      <c r="X545" s="52">
        <f>IFERROR(IF(AND(AR546=AR545,AM545&lt;&gt;""),INDEX('Aub Demand'!Q:Q,MATCH($O545,'Aub Demand'!$A:$A,0))-IF(AN545="",0,AN545)+AP546+AD545+AL545,IF(AR546=AR545,INDEX('Aub Demand'!Q:Q,MATCH($O545,'Aub Demand'!$A:$A,0))-IF(AN545="",0,AN545)+AP546+AD545,IF(AM545&lt;&gt;"",INDEX('Aub Demand'!Q:Q,MATCH($O545,'Aub Demand'!$A:$A,0))-IF(AN545="",0,AN545)+AD545+AL545,INDEX('Aub Demand'!Q:Q,MATCH($O545,'Aub Demand'!$A:$A,0))-IF(AN545="",0,AN545)+AD545))),"")</f>
        <v>5149</v>
      </c>
      <c r="Y545" s="53" t="str">
        <f t="shared" si="228"/>
        <v>n/a</v>
      </c>
      <c r="Z545" s="52">
        <f>IF(L545="","",INDEX('Aub Demand'!H:H,MATCH($O545,'Aub Demand'!$A:$A,0)))</f>
        <v>0</v>
      </c>
      <c r="AA545" s="52" t="str">
        <f t="shared" si="229"/>
        <v>-spike-</v>
      </c>
      <c r="AB545" s="52">
        <f>IFERROR(INDEX('Aub Demand'!L:L,MATCH($O545,'Aub Demand'!$A:$A,0)),"")</f>
        <v>0</v>
      </c>
      <c r="AC545" s="52">
        <f>IFERROR(IF(O545="","",SUMIFS('CPL Mats'!F:F,'CPL Mats'!Q:Q,AR545,'CPL Mats'!S:S,AS545)),"")</f>
        <v>0</v>
      </c>
      <c r="AF545" s="25" t="str">
        <f>IF(SUMIFS('Supp Consol'!S:S,'Supp Consol'!Y:Y,"Releasable",'Supp Consol'!A:A,O545)=0,"",SUMIFS('Supp Consol'!S:S,'Supp Consol'!Y:Y,"Releasable",'Supp Consol'!A:A,O545))</f>
        <v/>
      </c>
      <c r="AG545" s="25" t="str">
        <f>IFERROR(INDEX('Hun Demand'!Q:Q,MATCH(O545,'Hun Demand'!A:A,0)),"")</f>
        <v/>
      </c>
      <c r="AH545" s="25" t="str">
        <f>IFERROR(INDEX('Hun Demand'!H:H,MATCH($O545,'Hun Demand'!$A:$A,0)),"")</f>
        <v/>
      </c>
      <c r="AI545" s="25" t="str">
        <f>IF(SUMIFS('Supp Consol'!AA:AA,'Supp Consol'!Z:Z,"Expires this month",'Supp Consol'!A:A,O545)=0,"",SUMIFS('Supp Consol'!AA:AA,'Supp Consol'!Z:Z,"Expires this month",'Supp Consol'!A:A,O545))</f>
        <v/>
      </c>
      <c r="AJ545" s="25" t="str">
        <f>IF(SUMIFS('Supp Consol'!AA:AA,'Supp Consol'!Z:Z,"Expired Previous Months",'Supp Consol'!A:A,O545)=0,"",SUMIFS('Supp Consol'!AA:AA,'Supp Consol'!Z:Z,"Expired Previous Months",'Supp Consol'!A:A,O545))</f>
        <v/>
      </c>
      <c r="AK545" s="25" t="str">
        <f>IFERROR(INDEX('Hun Release Current'!B:B,MATCH(O545,'Hun Release Current'!A:A,0)),"")</f>
        <v/>
      </c>
      <c r="AL545" s="25" t="str">
        <f>IF(SUMIF('Prev Aub'!A:A,O545,'Prev Aub'!B:B)=0,"",SUMIF('Prev Aub'!A:A,O545,'Prev Aub'!B:B))</f>
        <v/>
      </c>
      <c r="AN545" s="25" t="s">
        <v>3790</v>
      </c>
      <c r="AO545" s="25" t="s">
        <v>3790</v>
      </c>
      <c r="AP545" s="25">
        <f t="shared" si="230"/>
        <v>0</v>
      </c>
      <c r="AQ545" s="151" t="str">
        <f>IF(SUMIFS('Supp Consol'!S:S,'Supp Consol'!A:A,O545,'Supp Consol'!I:I,"PENDING")=0,"",SUMIFS('Supp Consol'!S:S,'Supp Consol'!A:A,O545,'Supp Consol'!I:I,"PENDING"))</f>
        <v/>
      </c>
      <c r="AR545" s="27" t="str">
        <f t="shared" si="231"/>
        <v>HP338</v>
      </c>
      <c r="AS545" s="27" t="str">
        <f t="shared" si="232"/>
        <v>50</v>
      </c>
      <c r="AT545" s="27" t="str">
        <f t="shared" si="233"/>
        <v/>
      </c>
      <c r="AU545" s="27" t="str">
        <f t="shared" si="234"/>
        <v/>
      </c>
      <c r="AV545" s="27" t="str">
        <f t="shared" si="235"/>
        <v/>
      </c>
      <c r="AW545" s="27" t="str">
        <f t="shared" si="236"/>
        <v/>
      </c>
      <c r="AX545" s="27" t="str">
        <f t="shared" si="237"/>
        <v/>
      </c>
      <c r="AY545" s="27" t="str">
        <f t="shared" si="238"/>
        <v/>
      </c>
      <c r="AZ545" s="27" t="str">
        <f t="shared" si="239"/>
        <v/>
      </c>
      <c r="BA545" s="27" t="str">
        <f t="shared" si="240"/>
        <v>Hun</v>
      </c>
      <c r="BB545" s="27" t="str">
        <f t="shared" si="241"/>
        <v/>
      </c>
      <c r="BC545" s="27" t="str">
        <f t="shared" si="242"/>
        <v/>
      </c>
      <c r="BD545" s="27" t="str">
        <f t="shared" si="243"/>
        <v/>
      </c>
      <c r="BE545" s="27" t="str">
        <f t="shared" si="244"/>
        <v/>
      </c>
      <c r="BF545" s="27" t="str">
        <f t="shared" si="245"/>
        <v/>
      </c>
      <c r="BG545" s="27" t="str">
        <f t="shared" si="246"/>
        <v/>
      </c>
      <c r="BH545" s="27" t="str">
        <f t="shared" si="247"/>
        <v/>
      </c>
      <c r="BI545" s="27" t="str">
        <f t="shared" si="248"/>
        <v/>
      </c>
      <c r="BJ545" s="27" t="str">
        <f t="shared" si="249"/>
        <v>Supp or Hun</v>
      </c>
      <c r="BK545" s="27" t="str">
        <f t="shared" si="250"/>
        <v/>
      </c>
      <c r="BL545" s="27" t="str">
        <f t="shared" si="251"/>
        <v/>
      </c>
      <c r="BM545" s="21" t="s">
        <v>5582</v>
      </c>
    </row>
    <row r="546" spans="1:65" ht="15">
      <c r="A546" s="25">
        <f>IFERROR(INDEX('Hun Demand'!W:W,MATCH(O546,'Hun Demand'!A:A,0)),"")</f>
        <v>0</v>
      </c>
      <c r="B546" s="25">
        <f>IFERROR(INDEX('Hun Demand'!V:V,MATCH(O546,'Hun Demand'!A:A,0)),"")</f>
        <v>0</v>
      </c>
      <c r="C546" s="25">
        <f>IFERROR(INDEX('Hun Demand'!U:U,MATCH(O546,'Hun Demand'!A:A,0)),"")</f>
        <v>0</v>
      </c>
      <c r="D546" s="25">
        <f>IFERROR(INDEX('Hun Demand'!T:T,MATCH(O546,'Hun Demand'!A:A,0)),"")</f>
        <v>0</v>
      </c>
      <c r="E546" s="25">
        <f>IFERROR(INDEX('Hun Demand'!S:S,MATCH(O546,'Hun Demand'!A:A,0)),"")</f>
        <v>0</v>
      </c>
      <c r="F546" s="25">
        <f>IFERROR(INDEX('Hun Demand'!R:R,MATCH(O546,'Hun Demand'!A:A,0)),"")</f>
        <v>0</v>
      </c>
      <c r="G546" s="25">
        <f>IFERROR(INDEX('Aub Demand'!W:W,MATCH(O546,'Aub Demand'!A:A,0)),"")</f>
        <v>0</v>
      </c>
      <c r="H546" s="25">
        <f>IFERROR(INDEX('Aub Demand'!V:V,MATCH(O546,'Aub Demand'!A:A,0)),"")</f>
        <v>0</v>
      </c>
      <c r="I546" s="25">
        <f>IFERROR(INDEX('Aub Demand'!U:U,MATCH(O546,'Aub Demand'!A:A,0)),"")</f>
        <v>0</v>
      </c>
      <c r="J546" s="25">
        <f>IFERROR(INDEX('Aub Demand'!T:T,MATCH(O546,'Aub Demand'!A:A,0)),"")</f>
        <v>0</v>
      </c>
      <c r="K546" s="25">
        <f>IFERROR(INDEX('Aub Demand'!S:S,MATCH(O546,'Aub Demand'!A:A,0)),"")</f>
        <v>0</v>
      </c>
      <c r="L546" s="25">
        <f>IFERROR(INDEX('Aub Demand'!R:R,MATCH(O546,'Aub Demand'!A:A,0)),"")</f>
        <v>0</v>
      </c>
      <c r="O546" s="27" t="s">
        <v>909</v>
      </c>
      <c r="P546" s="27" t="str">
        <f>IFERROR(INDEX('Aub Demand'!B:B,MATCH($O546,'Aub Demand'!$A:$A,0)),"")</f>
        <v>SUNRISE</v>
      </c>
      <c r="Q546" s="27" t="str">
        <f>IFERROR(INDEX('Aub Demand'!C:C,MATCH($O546,'Aub Demand'!$A:$A,0)),"")</f>
        <v>SCHAT</v>
      </c>
      <c r="R546" s="52">
        <f>IFERROR(IF(AR547=AR546,INDEX('Aub Demand'!K:K,MATCH($O546,'Aub Demand'!$A:$A,0))-IF(AN546="",0,AN546)+AP547,INDEX('Aub Demand'!K:K,MATCH($O546,'Aub Demand'!$A:$A,0))-IF(AN546="",0,AN546)),"")</f>
        <v>477</v>
      </c>
      <c r="S546" s="53" t="str">
        <f t="shared" si="224"/>
        <v>n/a</v>
      </c>
      <c r="T546" s="52" t="str">
        <f t="shared" si="225"/>
        <v/>
      </c>
      <c r="U546" s="52">
        <f>IFERROR(IF(AR547=AR546,INDEX('Aub Demand'!Q:Q,MATCH($O546,'Aub Demand'!$A:$A,0))-IF(AN546="",0,AN546)+AP547,INDEX('Aub Demand'!Q:Q,MATCH($O546,'Aub Demand'!$A:$A,0))-IF(AN546="",0,AN546)),"")</f>
        <v>477</v>
      </c>
      <c r="V546" s="53" t="str">
        <f t="shared" si="226"/>
        <v>n/a</v>
      </c>
      <c r="W546" s="52" t="str">
        <f t="shared" si="227"/>
        <v/>
      </c>
      <c r="X546" s="52">
        <f>IFERROR(IF(AND(AR547=AR546,AM546&lt;&gt;""),INDEX('Aub Demand'!Q:Q,MATCH($O546,'Aub Demand'!$A:$A,0))-IF(AN546="",0,AN546)+AP547+AD546+AL546,IF(AR547=AR546,INDEX('Aub Demand'!Q:Q,MATCH($O546,'Aub Demand'!$A:$A,0))-IF(AN546="",0,AN546)+AP547+AD546,IF(AM546&lt;&gt;"",INDEX('Aub Demand'!Q:Q,MATCH($O546,'Aub Demand'!$A:$A,0))-IF(AN546="",0,AN546)+AD546+AL546,INDEX('Aub Demand'!Q:Q,MATCH($O546,'Aub Demand'!$A:$A,0))-IF(AN546="",0,AN546)+AD546))),"")</f>
        <v>477</v>
      </c>
      <c r="Y546" s="53" t="str">
        <f t="shared" si="228"/>
        <v>n/a</v>
      </c>
      <c r="Z546" s="52">
        <f>IF(L546="","",INDEX('Aub Demand'!H:H,MATCH($O546,'Aub Demand'!$A:$A,0)))</f>
        <v>0</v>
      </c>
      <c r="AA546" s="52" t="str">
        <f t="shared" si="229"/>
        <v>-spike-</v>
      </c>
      <c r="AB546" s="52">
        <f>IFERROR(INDEX('Aub Demand'!L:L,MATCH($O546,'Aub Demand'!$A:$A,0)),"")</f>
        <v>0</v>
      </c>
      <c r="AC546" s="52">
        <f>IFERROR(IF(O546="","",SUMIFS('CPL Mats'!F:F,'CPL Mats'!Q:Q,AR546,'CPL Mats'!S:S,AS546)),"")</f>
        <v>0</v>
      </c>
      <c r="AF546" s="25" t="str">
        <f>IF(SUMIFS('Supp Consol'!S:S,'Supp Consol'!Y:Y,"Releasable",'Supp Consol'!A:A,O546)=0,"",SUMIFS('Supp Consol'!S:S,'Supp Consol'!Y:Y,"Releasable",'Supp Consol'!A:A,O546))</f>
        <v/>
      </c>
      <c r="AG546" s="25">
        <f>IFERROR(INDEX('Hun Demand'!Q:Q,MATCH(O546,'Hun Demand'!A:A,0)),"")</f>
        <v>552</v>
      </c>
      <c r="AH546" s="25">
        <f>IFERROR(INDEX('Hun Demand'!H:H,MATCH($O546,'Hun Demand'!$A:$A,0)),"")</f>
        <v>0</v>
      </c>
      <c r="AI546" s="25" t="str">
        <f>IF(SUMIFS('Supp Consol'!AA:AA,'Supp Consol'!Z:Z,"Expires this month",'Supp Consol'!A:A,O546)=0,"",SUMIFS('Supp Consol'!AA:AA,'Supp Consol'!Z:Z,"Expires this month",'Supp Consol'!A:A,O546))</f>
        <v/>
      </c>
      <c r="AJ546" s="25" t="str">
        <f>IF(SUMIFS('Supp Consol'!AA:AA,'Supp Consol'!Z:Z,"Expired Previous Months",'Supp Consol'!A:A,O546)=0,"",SUMIFS('Supp Consol'!AA:AA,'Supp Consol'!Z:Z,"Expired Previous Months",'Supp Consol'!A:A,O546))</f>
        <v/>
      </c>
      <c r="AK546" s="25" t="str">
        <f>IFERROR(INDEX('Hun Release Current'!B:B,MATCH(O546,'Hun Release Current'!A:A,0)),"")</f>
        <v/>
      </c>
      <c r="AL546" s="25" t="str">
        <f>IF(SUMIF('Prev Aub'!A:A,O546,'Prev Aub'!B:B)=0,"",SUMIF('Prev Aub'!A:A,O546,'Prev Aub'!B:B))</f>
        <v/>
      </c>
      <c r="AN546" s="25" t="s">
        <v>3790</v>
      </c>
      <c r="AO546" s="25" t="s">
        <v>3790</v>
      </c>
      <c r="AP546" s="25">
        <f t="shared" si="230"/>
        <v>0</v>
      </c>
      <c r="AQ546" s="151" t="str">
        <f>IF(SUMIFS('Supp Consol'!S:S,'Supp Consol'!A:A,O546,'Supp Consol'!I:I,"PENDING")=0,"",SUMIFS('Supp Consol'!S:S,'Supp Consol'!A:A,O546,'Supp Consol'!I:I,"PENDING"))</f>
        <v/>
      </c>
      <c r="AR546" s="27" t="str">
        <f t="shared" si="231"/>
        <v>HP338</v>
      </c>
      <c r="AS546" s="27" t="str">
        <f t="shared" si="232"/>
        <v>62</v>
      </c>
      <c r="AT546" s="27" t="str">
        <f t="shared" si="233"/>
        <v/>
      </c>
      <c r="AU546" s="27" t="str">
        <f t="shared" si="234"/>
        <v/>
      </c>
      <c r="AV546" s="27" t="str">
        <f t="shared" si="235"/>
        <v/>
      </c>
      <c r="AW546" s="27" t="str">
        <f t="shared" si="236"/>
        <v/>
      </c>
      <c r="AX546" s="27" t="str">
        <f t="shared" si="237"/>
        <v/>
      </c>
      <c r="AY546" s="27" t="str">
        <f t="shared" si="238"/>
        <v>HP338</v>
      </c>
      <c r="AZ546" s="27" t="str">
        <f t="shared" si="239"/>
        <v/>
      </c>
      <c r="BA546" s="27" t="str">
        <f t="shared" si="240"/>
        <v>Hun</v>
      </c>
      <c r="BB546" s="27" t="str">
        <f t="shared" si="241"/>
        <v/>
      </c>
      <c r="BC546" s="27" t="str">
        <f t="shared" si="242"/>
        <v/>
      </c>
      <c r="BD546" s="27" t="str">
        <f t="shared" si="243"/>
        <v/>
      </c>
      <c r="BE546" s="27" t="str">
        <f t="shared" si="244"/>
        <v/>
      </c>
      <c r="BF546" s="27" t="str">
        <f t="shared" si="245"/>
        <v/>
      </c>
      <c r="BG546" s="27" t="str">
        <f t="shared" si="246"/>
        <v/>
      </c>
      <c r="BH546" s="27" t="str">
        <f t="shared" si="247"/>
        <v/>
      </c>
      <c r="BI546" s="27" t="str">
        <f t="shared" si="248"/>
        <v/>
      </c>
      <c r="BJ546" s="27" t="str">
        <f t="shared" si="249"/>
        <v>Supp or Hun</v>
      </c>
      <c r="BK546" s="27" t="str">
        <f t="shared" si="250"/>
        <v/>
      </c>
      <c r="BL546" s="27" t="str">
        <f t="shared" si="251"/>
        <v/>
      </c>
      <c r="BM546" s="21" t="s">
        <v>5582</v>
      </c>
    </row>
    <row r="547" spans="1:65" ht="15">
      <c r="A547" s="25">
        <f>IFERROR(INDEX('Hun Demand'!W:W,MATCH(O547,'Hun Demand'!A:A,0)),"")</f>
        <v>716</v>
      </c>
      <c r="B547" s="25">
        <f>IFERROR(INDEX('Hun Demand'!V:V,MATCH(O547,'Hun Demand'!A:A,0)),"")</f>
        <v>243</v>
      </c>
      <c r="C547" s="25">
        <f>IFERROR(INDEX('Hun Demand'!U:U,MATCH(O547,'Hun Demand'!A:A,0)),"")</f>
        <v>0</v>
      </c>
      <c r="D547" s="25">
        <f>IFERROR(INDEX('Hun Demand'!T:T,MATCH(O547,'Hun Demand'!A:A,0)),"")</f>
        <v>0</v>
      </c>
      <c r="E547" s="25">
        <f>IFERROR(INDEX('Hun Demand'!S:S,MATCH(O547,'Hun Demand'!A:A,0)),"")</f>
        <v>210</v>
      </c>
      <c r="F547" s="25">
        <f>IFERROR(INDEX('Hun Demand'!R:R,MATCH(O547,'Hun Demand'!A:A,0)),"")</f>
        <v>0</v>
      </c>
      <c r="G547" s="25">
        <f>IFERROR(INDEX('Aub Demand'!W:W,MATCH(O547,'Aub Demand'!A:A,0)),"")</f>
        <v>103</v>
      </c>
      <c r="H547" s="25">
        <f>IFERROR(INDEX('Aub Demand'!V:V,MATCH(O547,'Aub Demand'!A:A,0)),"")</f>
        <v>0</v>
      </c>
      <c r="I547" s="25">
        <f>IFERROR(INDEX('Aub Demand'!U:U,MATCH(O547,'Aub Demand'!A:A,0)),"")</f>
        <v>26</v>
      </c>
      <c r="J547" s="25">
        <f>IFERROR(INDEX('Aub Demand'!T:T,MATCH(O547,'Aub Demand'!A:A,0)),"")</f>
        <v>64</v>
      </c>
      <c r="K547" s="25">
        <f>IFERROR(INDEX('Aub Demand'!S:S,MATCH(O547,'Aub Demand'!A:A,0)),"")</f>
        <v>0</v>
      </c>
      <c r="L547" s="25">
        <f>IFERROR(INDEX('Aub Demand'!R:R,MATCH(O547,'Aub Demand'!A:A,0)),"")</f>
        <v>0</v>
      </c>
      <c r="O547" s="27" t="s">
        <v>910</v>
      </c>
      <c r="P547" s="27" t="str">
        <f>IFERROR(INDEX('Aub Demand'!B:B,MATCH($O547,'Aub Demand'!$A:$A,0)),"")</f>
        <v>BROWN PEARWOOD</v>
      </c>
      <c r="Q547" s="27" t="str">
        <f>IFERROR(INDEX('Aub Demand'!C:C,MATCH($O547,'Aub Demand'!$A:$A,0)),"")</f>
        <v>INTER</v>
      </c>
      <c r="R547" s="52">
        <f>IFERROR(IF(AR548=AR547,INDEX('Aub Demand'!K:K,MATCH($O547,'Aub Demand'!$A:$A,0))-IF(AN547="",0,AN547)+AP548,INDEX('Aub Demand'!K:K,MATCH($O547,'Aub Demand'!$A:$A,0))-IF(AN547="",0,AN547)),"")</f>
        <v>313</v>
      </c>
      <c r="S547" s="53">
        <f t="shared" si="224"/>
        <v>44.7</v>
      </c>
      <c r="T547" s="52" t="str">
        <f t="shared" si="225"/>
        <v/>
      </c>
      <c r="U547" s="52">
        <f>IFERROR(IF(AR548=AR547,INDEX('Aub Demand'!Q:Q,MATCH($O547,'Aub Demand'!$A:$A,0))-IF(AN547="",0,AN547)+AP548,INDEX('Aub Demand'!Q:Q,MATCH($O547,'Aub Demand'!$A:$A,0))-IF(AN547="",0,AN547)),"")</f>
        <v>308</v>
      </c>
      <c r="V547" s="53">
        <f t="shared" si="226"/>
        <v>44</v>
      </c>
      <c r="W547" s="52" t="str">
        <f t="shared" si="227"/>
        <v/>
      </c>
      <c r="X547" s="52">
        <f>IFERROR(IF(AND(AR548=AR547,AM547&lt;&gt;""),INDEX('Aub Demand'!Q:Q,MATCH($O547,'Aub Demand'!$A:$A,0))-IF(AN547="",0,AN547)+AP548+AD547+AL547,IF(AR548=AR547,INDEX('Aub Demand'!Q:Q,MATCH($O547,'Aub Demand'!$A:$A,0))-IF(AN547="",0,AN547)+AP548+AD547,IF(AM547&lt;&gt;"",INDEX('Aub Demand'!Q:Q,MATCH($O547,'Aub Demand'!$A:$A,0))-IF(AN547="",0,AN547)+AD547+AL547,INDEX('Aub Demand'!Q:Q,MATCH($O547,'Aub Demand'!$A:$A,0))-IF(AN547="",0,AN547)+AD547))),"")</f>
        <v>308</v>
      </c>
      <c r="Y547" s="53">
        <f t="shared" si="228"/>
        <v>44</v>
      </c>
      <c r="Z547" s="52">
        <f>IF(L547="","",INDEX('Aub Demand'!H:H,MATCH($O547,'Aub Demand'!$A:$A,0)))</f>
        <v>30</v>
      </c>
      <c r="AA547" s="52">
        <f t="shared" si="229"/>
        <v>45</v>
      </c>
      <c r="AB547" s="52">
        <f>IFERROR(INDEX('Aub Demand'!L:L,MATCH($O547,'Aub Demand'!$A:$A,0)),"")</f>
        <v>49</v>
      </c>
      <c r="AC547" s="52">
        <f>IFERROR(IF(O547="","",SUMIFS('CPL Mats'!F:F,'CPL Mats'!Q:Q,AR547,'CPL Mats'!S:S,AS547)),"")</f>
        <v>0</v>
      </c>
      <c r="AF547" s="25" t="str">
        <f>IF(SUMIFS('Supp Consol'!S:S,'Supp Consol'!Y:Y,"Releasable",'Supp Consol'!A:A,O547)=0,"",SUMIFS('Supp Consol'!S:S,'Supp Consol'!Y:Y,"Releasable",'Supp Consol'!A:A,O547))</f>
        <v/>
      </c>
      <c r="AG547" s="25">
        <f>IFERROR(INDEX('Hun Demand'!Q:Q,MATCH(O547,'Hun Demand'!A:A,0)),"")</f>
        <v>1586</v>
      </c>
      <c r="AH547" s="25">
        <f>IFERROR(INDEX('Hun Demand'!H:H,MATCH($O547,'Hun Demand'!$A:$A,0)),"")</f>
        <v>70</v>
      </c>
      <c r="AI547" s="25" t="str">
        <f>IF(SUMIFS('Supp Consol'!AA:AA,'Supp Consol'!Z:Z,"Expires this month",'Supp Consol'!A:A,O547)=0,"",SUMIFS('Supp Consol'!AA:AA,'Supp Consol'!Z:Z,"Expires this month",'Supp Consol'!A:A,O547))</f>
        <v/>
      </c>
      <c r="AJ547" s="25" t="str">
        <f>IF(SUMIFS('Supp Consol'!AA:AA,'Supp Consol'!Z:Z,"Expired Previous Months",'Supp Consol'!A:A,O547)=0,"",SUMIFS('Supp Consol'!AA:AA,'Supp Consol'!Z:Z,"Expired Previous Months",'Supp Consol'!A:A,O547))</f>
        <v/>
      </c>
      <c r="AK547" s="25" t="str">
        <f>IFERROR(INDEX('Hun Release Current'!B:B,MATCH(O547,'Hun Release Current'!A:A,0)),"")</f>
        <v/>
      </c>
      <c r="AL547" s="25" t="str">
        <f>IF(SUMIF('Prev Aub'!A:A,O547,'Prev Aub'!B:B)=0,"",SUMIF('Prev Aub'!A:A,O547,'Prev Aub'!B:B))</f>
        <v/>
      </c>
      <c r="AN547" s="25" t="s">
        <v>3790</v>
      </c>
      <c r="AO547" s="25" t="s">
        <v>3790</v>
      </c>
      <c r="AP547" s="25">
        <f t="shared" si="230"/>
        <v>0</v>
      </c>
      <c r="AQ547" s="151" t="str">
        <f>IF(SUMIFS('Supp Consol'!S:S,'Supp Consol'!A:A,O547,'Supp Consol'!I:I,"PENDING")=0,"",SUMIFS('Supp Consol'!S:S,'Supp Consol'!A:A,O547,'Supp Consol'!I:I,"PENDING"))</f>
        <v/>
      </c>
      <c r="AR547" s="27" t="str">
        <f t="shared" si="231"/>
        <v>HP340</v>
      </c>
      <c r="AS547" s="27" t="str">
        <f t="shared" si="232"/>
        <v>50</v>
      </c>
      <c r="AT547" s="27" t="str">
        <f t="shared" si="233"/>
        <v/>
      </c>
      <c r="AU547" s="27" t="str">
        <f t="shared" si="234"/>
        <v/>
      </c>
      <c r="AV547" s="27" t="str">
        <f t="shared" si="235"/>
        <v/>
      </c>
      <c r="AW547" s="27" t="str">
        <f t="shared" si="236"/>
        <v/>
      </c>
      <c r="AX547" s="27" t="str">
        <f t="shared" si="237"/>
        <v/>
      </c>
      <c r="AY547" s="27" t="str">
        <f t="shared" si="238"/>
        <v>HP340</v>
      </c>
      <c r="AZ547" s="27" t="str">
        <f t="shared" si="239"/>
        <v/>
      </c>
      <c r="BA547" s="27" t="str">
        <f t="shared" si="240"/>
        <v>Hun</v>
      </c>
      <c r="BB547" s="27" t="str">
        <f t="shared" si="241"/>
        <v/>
      </c>
      <c r="BC547" s="27" t="str">
        <f t="shared" si="242"/>
        <v/>
      </c>
      <c r="BD547" s="27" t="str">
        <f t="shared" si="243"/>
        <v/>
      </c>
      <c r="BE547" s="27" t="str">
        <f t="shared" si="244"/>
        <v/>
      </c>
      <c r="BF547" s="27" t="str">
        <f t="shared" si="245"/>
        <v/>
      </c>
      <c r="BG547" s="27" t="str">
        <f t="shared" si="246"/>
        <v/>
      </c>
      <c r="BH547" s="27" t="str">
        <f t="shared" si="247"/>
        <v/>
      </c>
      <c r="BI547" s="27" t="str">
        <f t="shared" si="248"/>
        <v/>
      </c>
      <c r="BJ547" s="27" t="str">
        <f t="shared" si="249"/>
        <v>Supp or Hun</v>
      </c>
      <c r="BK547" s="27" t="str">
        <f t="shared" si="250"/>
        <v/>
      </c>
      <c r="BL547" s="27" t="str">
        <f t="shared" si="251"/>
        <v/>
      </c>
      <c r="BM547" s="21" t="s">
        <v>5582</v>
      </c>
    </row>
    <row r="548" spans="1:65" ht="15">
      <c r="A548" s="25">
        <f>IFERROR(INDEX('Hun Demand'!W:W,MATCH(O548,'Hun Demand'!A:A,0)),"")</f>
        <v>676</v>
      </c>
      <c r="B548" s="25">
        <f>IFERROR(INDEX('Hun Demand'!V:V,MATCH(O548,'Hun Demand'!A:A,0)),"")</f>
        <v>578</v>
      </c>
      <c r="C548" s="25">
        <f>IFERROR(INDEX('Hun Demand'!U:U,MATCH(O548,'Hun Demand'!A:A,0)),"")</f>
        <v>184</v>
      </c>
      <c r="D548" s="25">
        <f>IFERROR(INDEX('Hun Demand'!T:T,MATCH(O548,'Hun Demand'!A:A,0)),"")</f>
        <v>160</v>
      </c>
      <c r="E548" s="25">
        <f>IFERROR(INDEX('Hun Demand'!S:S,MATCH(O548,'Hun Demand'!A:A,0)),"")</f>
        <v>0</v>
      </c>
      <c r="F548" s="25">
        <f>IFERROR(INDEX('Hun Demand'!R:R,MATCH(O548,'Hun Demand'!A:A,0)),"")</f>
        <v>0</v>
      </c>
      <c r="G548" s="25">
        <f>IFERROR(INDEX('Aub Demand'!W:W,MATCH(O548,'Aub Demand'!A:A,0)),"")</f>
        <v>28</v>
      </c>
      <c r="H548" s="25">
        <f>IFERROR(INDEX('Aub Demand'!V:V,MATCH(O548,'Aub Demand'!A:A,0)),"")</f>
        <v>38</v>
      </c>
      <c r="I548" s="25">
        <f>IFERROR(INDEX('Aub Demand'!U:U,MATCH(O548,'Aub Demand'!A:A,0)),"")</f>
        <v>0</v>
      </c>
      <c r="J548" s="25">
        <f>IFERROR(INDEX('Aub Demand'!T:T,MATCH(O548,'Aub Demand'!A:A,0)),"")</f>
        <v>665</v>
      </c>
      <c r="K548" s="25">
        <f>IFERROR(INDEX('Aub Demand'!S:S,MATCH(O548,'Aub Demand'!A:A,0)),"")</f>
        <v>0</v>
      </c>
      <c r="L548" s="25">
        <f>IFERROR(INDEX('Aub Demand'!R:R,MATCH(O548,'Aub Demand'!A:A,0)),"")</f>
        <v>0</v>
      </c>
      <c r="O548" s="27" t="s">
        <v>913</v>
      </c>
      <c r="P548" s="27" t="str">
        <f>IFERROR(INDEX('Aub Demand'!B:B,MATCH($O548,'Aub Demand'!$A:$A,0)),"")</f>
        <v>BROWN PEARWOOD</v>
      </c>
      <c r="Q548" s="27" t="str">
        <f>IFERROR(INDEX('Aub Demand'!C:C,MATCH($O548,'Aub Demand'!$A:$A,0)),"")</f>
        <v>INTER</v>
      </c>
      <c r="R548" s="52">
        <f>IFERROR(IF(AR549=AR548,INDEX('Aub Demand'!K:K,MATCH($O548,'Aub Demand'!$A:$A,0))-IF(AN548="",0,AN548)+AP549,INDEX('Aub Demand'!K:K,MATCH($O548,'Aub Demand'!$A:$A,0))-IF(AN548="",0,AN548)),"")</f>
        <v>758</v>
      </c>
      <c r="S548" s="53">
        <f t="shared" si="224"/>
        <v>14.6</v>
      </c>
      <c r="T548" s="52" t="str">
        <f t="shared" si="225"/>
        <v/>
      </c>
      <c r="U548" s="52">
        <f>IFERROR(IF(AR549=AR548,INDEX('Aub Demand'!Q:Q,MATCH($O548,'Aub Demand'!$A:$A,0))-IF(AN548="",0,AN548)+AP549,INDEX('Aub Demand'!Q:Q,MATCH($O548,'Aub Demand'!$A:$A,0))-IF(AN548="",0,AN548)),"")</f>
        <v>758</v>
      </c>
      <c r="V548" s="53">
        <f t="shared" si="226"/>
        <v>14.6</v>
      </c>
      <c r="W548" s="52" t="str">
        <f t="shared" si="227"/>
        <v/>
      </c>
      <c r="X548" s="52">
        <f>IFERROR(IF(AND(AR549=AR548,AM548&lt;&gt;""),INDEX('Aub Demand'!Q:Q,MATCH($O548,'Aub Demand'!$A:$A,0))-IF(AN548="",0,AN548)+AP549+AD548+AL548,IF(AR549=AR548,INDEX('Aub Demand'!Q:Q,MATCH($O548,'Aub Demand'!$A:$A,0))-IF(AN548="",0,AN548)+AP549+AD548,IF(AM548&lt;&gt;"",INDEX('Aub Demand'!Q:Q,MATCH($O548,'Aub Demand'!$A:$A,0))-IF(AN548="",0,AN548)+AD548+AL548,INDEX('Aub Demand'!Q:Q,MATCH($O548,'Aub Demand'!$A:$A,0))-IF(AN548="",0,AN548)+AD548))),"")</f>
        <v>758</v>
      </c>
      <c r="Y548" s="53">
        <f t="shared" si="228"/>
        <v>14.6</v>
      </c>
      <c r="Z548" s="52">
        <f>IF(L548="","",INDEX('Aub Demand'!H:H,MATCH($O548,'Aub Demand'!$A:$A,0)))</f>
        <v>222</v>
      </c>
      <c r="AA548" s="52" t="str">
        <f t="shared" si="229"/>
        <v>-spike-</v>
      </c>
      <c r="AB548" s="52">
        <f>IFERROR(INDEX('Aub Demand'!L:L,MATCH($O548,'Aub Demand'!$A:$A,0)),"")</f>
        <v>12</v>
      </c>
      <c r="AC548" s="52">
        <f>IFERROR(IF(O548="","",SUMIFS('CPL Mats'!F:F,'CPL Mats'!Q:Q,AR548,'CPL Mats'!S:S,AS548)),"")</f>
        <v>0</v>
      </c>
      <c r="AF548" s="25" t="str">
        <f>IF(SUMIFS('Supp Consol'!S:S,'Supp Consol'!Y:Y,"Releasable",'Supp Consol'!A:A,O548)=0,"",SUMIFS('Supp Consol'!S:S,'Supp Consol'!Y:Y,"Releasable",'Supp Consol'!A:A,O548))</f>
        <v/>
      </c>
      <c r="AG548" s="25">
        <f>IFERROR(INDEX('Hun Demand'!Q:Q,MATCH(O548,'Hun Demand'!A:A,0)),"")</f>
        <v>505</v>
      </c>
      <c r="AH548" s="25">
        <f>IFERROR(INDEX('Hun Demand'!H:H,MATCH($O548,'Hun Demand'!$A:$A,0)),"")</f>
        <v>115</v>
      </c>
      <c r="AI548" s="25" t="str">
        <f>IF(SUMIFS('Supp Consol'!AA:AA,'Supp Consol'!Z:Z,"Expires this month",'Supp Consol'!A:A,O548)=0,"",SUMIFS('Supp Consol'!AA:AA,'Supp Consol'!Z:Z,"Expires this month",'Supp Consol'!A:A,O548))</f>
        <v/>
      </c>
      <c r="AJ548" s="25" t="str">
        <f>IF(SUMIFS('Supp Consol'!AA:AA,'Supp Consol'!Z:Z,"Expired Previous Months",'Supp Consol'!A:A,O548)=0,"",SUMIFS('Supp Consol'!AA:AA,'Supp Consol'!Z:Z,"Expired Previous Months",'Supp Consol'!A:A,O548))</f>
        <v/>
      </c>
      <c r="AK548" s="25" t="str">
        <f>IFERROR(INDEX('Hun Release Current'!B:B,MATCH(O548,'Hun Release Current'!A:A,0)),"")</f>
        <v/>
      </c>
      <c r="AL548" s="25" t="str">
        <f>IF(SUMIF('Prev Aub'!A:A,O548,'Prev Aub'!B:B)=0,"",SUMIF('Prev Aub'!A:A,O548,'Prev Aub'!B:B))</f>
        <v/>
      </c>
      <c r="AN548" s="25" t="s">
        <v>3790</v>
      </c>
      <c r="AO548" s="25" t="s">
        <v>3790</v>
      </c>
      <c r="AP548" s="25">
        <f t="shared" si="230"/>
        <v>0</v>
      </c>
      <c r="AQ548" s="151" t="str">
        <f>IF(SUMIFS('Supp Consol'!S:S,'Supp Consol'!A:A,O548,'Supp Consol'!I:I,"PENDING")=0,"",SUMIFS('Supp Consol'!S:S,'Supp Consol'!A:A,O548,'Supp Consol'!I:I,"PENDING"))</f>
        <v/>
      </c>
      <c r="AR548" s="27" t="str">
        <f t="shared" si="231"/>
        <v>HP340</v>
      </c>
      <c r="AS548" s="27" t="str">
        <f t="shared" si="232"/>
        <v>62</v>
      </c>
      <c r="AT548" s="27" t="str">
        <f t="shared" si="233"/>
        <v/>
      </c>
      <c r="AU548" s="27" t="str">
        <f t="shared" si="234"/>
        <v/>
      </c>
      <c r="AV548" s="27" t="str">
        <f t="shared" si="235"/>
        <v/>
      </c>
      <c r="AW548" s="27" t="str">
        <f t="shared" si="236"/>
        <v/>
      </c>
      <c r="AX548" s="27" t="str">
        <f t="shared" si="237"/>
        <v/>
      </c>
      <c r="AY548" s="27" t="str">
        <f t="shared" si="238"/>
        <v>HP340</v>
      </c>
      <c r="AZ548" s="27" t="str">
        <f t="shared" si="239"/>
        <v/>
      </c>
      <c r="BA548" s="27" t="str">
        <f t="shared" si="240"/>
        <v>Hun</v>
      </c>
      <c r="BB548" s="27" t="str">
        <f t="shared" si="241"/>
        <v/>
      </c>
      <c r="BC548" s="27" t="str">
        <f t="shared" si="242"/>
        <v/>
      </c>
      <c r="BD548" s="27" t="str">
        <f t="shared" si="243"/>
        <v/>
      </c>
      <c r="BE548" s="27" t="str">
        <f t="shared" si="244"/>
        <v/>
      </c>
      <c r="BF548" s="27" t="str">
        <f t="shared" si="245"/>
        <v/>
      </c>
      <c r="BG548" s="27" t="str">
        <f t="shared" si="246"/>
        <v/>
      </c>
      <c r="BH548" s="27" t="str">
        <f t="shared" si="247"/>
        <v/>
      </c>
      <c r="BI548" s="27" t="str">
        <f t="shared" si="248"/>
        <v/>
      </c>
      <c r="BJ548" s="27" t="str">
        <f t="shared" si="249"/>
        <v>Supp or Hun</v>
      </c>
      <c r="BK548" s="27" t="str">
        <f t="shared" si="250"/>
        <v/>
      </c>
      <c r="BL548" s="27" t="str">
        <f t="shared" si="251"/>
        <v/>
      </c>
      <c r="BM548" s="21" t="s">
        <v>5582</v>
      </c>
    </row>
    <row r="549" spans="1:65" ht="15">
      <c r="A549" s="25">
        <f>IFERROR(INDEX('Hun Demand'!W:W,MATCH(O549,'Hun Demand'!A:A,0)),"")</f>
        <v>252</v>
      </c>
      <c r="B549" s="25">
        <f>IFERROR(INDEX('Hun Demand'!V:V,MATCH(O549,'Hun Demand'!A:A,0)),"")</f>
        <v>0</v>
      </c>
      <c r="C549" s="25">
        <f>IFERROR(INDEX('Hun Demand'!U:U,MATCH(O549,'Hun Demand'!A:A,0)),"")</f>
        <v>276</v>
      </c>
      <c r="D549" s="25">
        <f>IFERROR(INDEX('Hun Demand'!T:T,MATCH(O549,'Hun Demand'!A:A,0)),"")</f>
        <v>0</v>
      </c>
      <c r="E549" s="25">
        <f>IFERROR(INDEX('Hun Demand'!S:S,MATCH(O549,'Hun Demand'!A:A,0)),"")</f>
        <v>0</v>
      </c>
      <c r="F549" s="25">
        <f>IFERROR(INDEX('Hun Demand'!R:R,MATCH(O549,'Hun Demand'!A:A,0)),"")</f>
        <v>0</v>
      </c>
      <c r="G549" s="25">
        <f>IFERROR(INDEX('Aub Demand'!W:W,MATCH(O549,'Aub Demand'!A:A,0)),"")</f>
        <v>0</v>
      </c>
      <c r="H549" s="25">
        <f>IFERROR(INDEX('Aub Demand'!V:V,MATCH(O549,'Aub Demand'!A:A,0)),"")</f>
        <v>0</v>
      </c>
      <c r="I549" s="25">
        <f>IFERROR(INDEX('Aub Demand'!U:U,MATCH(O549,'Aub Demand'!A:A,0)),"")</f>
        <v>0</v>
      </c>
      <c r="J549" s="25">
        <f>IFERROR(INDEX('Aub Demand'!T:T,MATCH(O549,'Aub Demand'!A:A,0)),"")</f>
        <v>0</v>
      </c>
      <c r="K549" s="25">
        <f>IFERROR(INDEX('Aub Demand'!S:S,MATCH(O549,'Aub Demand'!A:A,0)),"")</f>
        <v>0</v>
      </c>
      <c r="L549" s="25">
        <f>IFERROR(INDEX('Aub Demand'!R:R,MATCH(O549,'Aub Demand'!A:A,0)),"")</f>
        <v>0</v>
      </c>
      <c r="O549" s="27" t="s">
        <v>914</v>
      </c>
      <c r="P549" s="27" t="str">
        <f>IFERROR(INDEX('Aub Demand'!B:B,MATCH($O549,'Aub Demand'!$A:$A,0)),"")</f>
        <v>MOCHA CHERRY</v>
      </c>
      <c r="Q549" s="27" t="str">
        <f>IFERROR(INDEX('Aub Demand'!C:C,MATCH($O549,'Aub Demand'!$A:$A,0)),"")</f>
        <v>SUDDE</v>
      </c>
      <c r="R549" s="52">
        <f>IFERROR(IF(AR550=AR549,INDEX('Aub Demand'!K:K,MATCH($O549,'Aub Demand'!$A:$A,0))-IF(AN549="",0,AN549)+AP550,INDEX('Aub Demand'!K:K,MATCH($O549,'Aub Demand'!$A:$A,0))-IF(AN549="",0,AN549)),"")</f>
        <v>207</v>
      </c>
      <c r="S549" s="53" t="str">
        <f t="shared" si="224"/>
        <v>n/a</v>
      </c>
      <c r="T549" s="52" t="str">
        <f t="shared" si="225"/>
        <v/>
      </c>
      <c r="U549" s="52">
        <f>IFERROR(IF(AR550=AR549,INDEX('Aub Demand'!Q:Q,MATCH($O549,'Aub Demand'!$A:$A,0))-IF(AN549="",0,AN549)+AP550,INDEX('Aub Demand'!Q:Q,MATCH($O549,'Aub Demand'!$A:$A,0))-IF(AN549="",0,AN549)),"")</f>
        <v>207</v>
      </c>
      <c r="V549" s="53" t="str">
        <f t="shared" si="226"/>
        <v>n/a</v>
      </c>
      <c r="W549" s="52" t="str">
        <f t="shared" si="227"/>
        <v/>
      </c>
      <c r="X549" s="52">
        <f>IFERROR(IF(AND(AR550=AR549,AM549&lt;&gt;""),INDEX('Aub Demand'!Q:Q,MATCH($O549,'Aub Demand'!$A:$A,0))-IF(AN549="",0,AN549)+AP550+AD549+AL549,IF(AR550=AR549,INDEX('Aub Demand'!Q:Q,MATCH($O549,'Aub Demand'!$A:$A,0))-IF(AN549="",0,AN549)+AP550+AD549,IF(AM549&lt;&gt;"",INDEX('Aub Demand'!Q:Q,MATCH($O549,'Aub Demand'!$A:$A,0))-IF(AN549="",0,AN549)+AD549+AL549,INDEX('Aub Demand'!Q:Q,MATCH($O549,'Aub Demand'!$A:$A,0))-IF(AN549="",0,AN549)+AD549))),"")</f>
        <v>207</v>
      </c>
      <c r="Y549" s="53" t="str">
        <f t="shared" si="228"/>
        <v>n/a</v>
      </c>
      <c r="Z549" s="52">
        <f>IF(L549="","",INDEX('Aub Demand'!H:H,MATCH($O549,'Aub Demand'!$A:$A,0)))</f>
        <v>0</v>
      </c>
      <c r="AA549" s="52" t="str">
        <f t="shared" si="229"/>
        <v>-spike-</v>
      </c>
      <c r="AB549" s="52">
        <f>IFERROR(INDEX('Aub Demand'!L:L,MATCH($O549,'Aub Demand'!$A:$A,0)),"")</f>
        <v>17</v>
      </c>
      <c r="AC549" s="52">
        <f>IFERROR(IF(O549="","",SUMIFS('CPL Mats'!F:F,'CPL Mats'!Q:Q,AR549,'CPL Mats'!S:S,AS549)),"")</f>
        <v>0</v>
      </c>
      <c r="AF549" s="25" t="str">
        <f>IF(SUMIFS('Supp Consol'!S:S,'Supp Consol'!Y:Y,"Releasable",'Supp Consol'!A:A,O549)=0,"",SUMIFS('Supp Consol'!S:S,'Supp Consol'!Y:Y,"Releasable",'Supp Consol'!A:A,O549))</f>
        <v/>
      </c>
      <c r="AG549" s="25">
        <f>IFERROR(INDEX('Hun Demand'!Q:Q,MATCH(O549,'Hun Demand'!A:A,0)),"")</f>
        <v>1255</v>
      </c>
      <c r="AH549" s="25">
        <f>IFERROR(INDEX('Hun Demand'!H:H,MATCH($O549,'Hun Demand'!$A:$A,0)),"")</f>
        <v>92</v>
      </c>
      <c r="AI549" s="25" t="str">
        <f>IF(SUMIFS('Supp Consol'!AA:AA,'Supp Consol'!Z:Z,"Expires this month",'Supp Consol'!A:A,O549)=0,"",SUMIFS('Supp Consol'!AA:AA,'Supp Consol'!Z:Z,"Expires this month",'Supp Consol'!A:A,O549))</f>
        <v/>
      </c>
      <c r="AJ549" s="25" t="str">
        <f>IF(SUMIFS('Supp Consol'!AA:AA,'Supp Consol'!Z:Z,"Expired Previous Months",'Supp Consol'!A:A,O549)=0,"",SUMIFS('Supp Consol'!AA:AA,'Supp Consol'!Z:Z,"Expired Previous Months",'Supp Consol'!A:A,O549))</f>
        <v/>
      </c>
      <c r="AK549" s="25" t="str">
        <f>IFERROR(INDEX('Hun Release Current'!B:B,MATCH(O549,'Hun Release Current'!A:A,0)),"")</f>
        <v/>
      </c>
      <c r="AL549" s="25" t="str">
        <f>IF(SUMIF('Prev Aub'!A:A,O549,'Prev Aub'!B:B)=0,"",SUMIF('Prev Aub'!A:A,O549,'Prev Aub'!B:B))</f>
        <v/>
      </c>
      <c r="AN549" s="25" t="s">
        <v>3790</v>
      </c>
      <c r="AO549" s="25" t="s">
        <v>3790</v>
      </c>
      <c r="AP549" s="25">
        <f t="shared" si="230"/>
        <v>0</v>
      </c>
      <c r="AQ549" s="151" t="str">
        <f>IF(SUMIFS('Supp Consol'!S:S,'Supp Consol'!A:A,O549,'Supp Consol'!I:I,"PENDING")=0,"",SUMIFS('Supp Consol'!S:S,'Supp Consol'!A:A,O549,'Supp Consol'!I:I,"PENDING"))</f>
        <v/>
      </c>
      <c r="AR549" s="27" t="str">
        <f t="shared" si="231"/>
        <v>HP341</v>
      </c>
      <c r="AS549" s="27" t="str">
        <f t="shared" si="232"/>
        <v>50</v>
      </c>
      <c r="AT549" s="27" t="str">
        <f t="shared" si="233"/>
        <v/>
      </c>
      <c r="AU549" s="27" t="str">
        <f t="shared" si="234"/>
        <v/>
      </c>
      <c r="AV549" s="27" t="str">
        <f t="shared" si="235"/>
        <v/>
      </c>
      <c r="AW549" s="27" t="str">
        <f t="shared" si="236"/>
        <v/>
      </c>
      <c r="AX549" s="27" t="str">
        <f t="shared" si="237"/>
        <v/>
      </c>
      <c r="AY549" s="27" t="str">
        <f t="shared" si="238"/>
        <v>HP341</v>
      </c>
      <c r="AZ549" s="27" t="str">
        <f t="shared" si="239"/>
        <v/>
      </c>
      <c r="BA549" s="27" t="str">
        <f t="shared" si="240"/>
        <v>Hun</v>
      </c>
      <c r="BB549" s="27" t="str">
        <f t="shared" si="241"/>
        <v/>
      </c>
      <c r="BC549" s="27" t="str">
        <f t="shared" si="242"/>
        <v/>
      </c>
      <c r="BD549" s="27" t="str">
        <f t="shared" si="243"/>
        <v/>
      </c>
      <c r="BE549" s="27" t="str">
        <f t="shared" si="244"/>
        <v/>
      </c>
      <c r="BF549" s="27" t="str">
        <f t="shared" si="245"/>
        <v/>
      </c>
      <c r="BG549" s="27" t="str">
        <f t="shared" si="246"/>
        <v/>
      </c>
      <c r="BH549" s="27" t="str">
        <f t="shared" si="247"/>
        <v/>
      </c>
      <c r="BI549" s="27" t="str">
        <f t="shared" si="248"/>
        <v/>
      </c>
      <c r="BJ549" s="27" t="str">
        <f t="shared" si="249"/>
        <v>Supp or Hun</v>
      </c>
      <c r="BK549" s="27" t="str">
        <f t="shared" si="250"/>
        <v/>
      </c>
      <c r="BL549" s="27" t="str">
        <f t="shared" si="251"/>
        <v/>
      </c>
      <c r="BM549" s="21" t="s">
        <v>5582</v>
      </c>
    </row>
    <row r="550" spans="1:65" ht="15">
      <c r="A550" s="25">
        <f>IFERROR(INDEX('Hun Demand'!W:W,MATCH(O550,'Hun Demand'!A:A,0)),"")</f>
        <v>0</v>
      </c>
      <c r="B550" s="25">
        <f>IFERROR(INDEX('Hun Demand'!V:V,MATCH(O550,'Hun Demand'!A:A,0)),"")</f>
        <v>100</v>
      </c>
      <c r="C550" s="25">
        <f>IFERROR(INDEX('Hun Demand'!U:U,MATCH(O550,'Hun Demand'!A:A,0)),"")</f>
        <v>198</v>
      </c>
      <c r="D550" s="25">
        <f>IFERROR(INDEX('Hun Demand'!T:T,MATCH(O550,'Hun Demand'!A:A,0)),"")</f>
        <v>0</v>
      </c>
      <c r="E550" s="25">
        <f>IFERROR(INDEX('Hun Demand'!S:S,MATCH(O550,'Hun Demand'!A:A,0)),"")</f>
        <v>0</v>
      </c>
      <c r="F550" s="25">
        <f>IFERROR(INDEX('Hun Demand'!R:R,MATCH(O550,'Hun Demand'!A:A,0)),"")</f>
        <v>0</v>
      </c>
      <c r="G550" s="25">
        <f>IFERROR(INDEX('Aub Demand'!W:W,MATCH(O550,'Aub Demand'!A:A,0)),"")</f>
        <v>0</v>
      </c>
      <c r="H550" s="25">
        <f>IFERROR(INDEX('Aub Demand'!V:V,MATCH(O550,'Aub Demand'!A:A,0)),"")</f>
        <v>0</v>
      </c>
      <c r="I550" s="25">
        <f>IFERROR(INDEX('Aub Demand'!U:U,MATCH(O550,'Aub Demand'!A:A,0)),"")</f>
        <v>0</v>
      </c>
      <c r="J550" s="25">
        <f>IFERROR(INDEX('Aub Demand'!T:T,MATCH(O550,'Aub Demand'!A:A,0)),"")</f>
        <v>0</v>
      </c>
      <c r="K550" s="25">
        <f>IFERROR(INDEX('Aub Demand'!S:S,MATCH(O550,'Aub Demand'!A:A,0)),"")</f>
        <v>0</v>
      </c>
      <c r="L550" s="25">
        <f>IFERROR(INDEX('Aub Demand'!R:R,MATCH(O550,'Aub Demand'!A:A,0)),"")</f>
        <v>0</v>
      </c>
      <c r="O550" s="27" t="s">
        <v>916</v>
      </c>
      <c r="P550" s="27" t="str">
        <f>IFERROR(INDEX('Aub Demand'!B:B,MATCH($O550,'Aub Demand'!$A:$A,0)),"")</f>
        <v>MOCHA CHERRY</v>
      </c>
      <c r="Q550" s="27" t="str">
        <f>IFERROR(INDEX('Aub Demand'!C:C,MATCH($O550,'Aub Demand'!$A:$A,0)),"")</f>
        <v>SUDDE</v>
      </c>
      <c r="R550" s="52">
        <f>IFERROR(IF(AR551=AR550,INDEX('Aub Demand'!K:K,MATCH($O550,'Aub Demand'!$A:$A,0))-IF(AN550="",0,AN550)+AP551,INDEX('Aub Demand'!K:K,MATCH($O550,'Aub Demand'!$A:$A,0))-IF(AN550="",0,AN550)),"")</f>
        <v>393</v>
      </c>
      <c r="S550" s="53" t="str">
        <f t="shared" si="224"/>
        <v>n/a</v>
      </c>
      <c r="T550" s="52" t="str">
        <f t="shared" si="225"/>
        <v/>
      </c>
      <c r="U550" s="52">
        <f>IFERROR(IF(AR551=AR550,INDEX('Aub Demand'!Q:Q,MATCH($O550,'Aub Demand'!$A:$A,0))-IF(AN550="",0,AN550)+AP551,INDEX('Aub Demand'!Q:Q,MATCH($O550,'Aub Demand'!$A:$A,0))-IF(AN550="",0,AN550)),"")</f>
        <v>393</v>
      </c>
      <c r="V550" s="53" t="str">
        <f t="shared" si="226"/>
        <v>n/a</v>
      </c>
      <c r="W550" s="52" t="str">
        <f t="shared" si="227"/>
        <v/>
      </c>
      <c r="X550" s="52">
        <f>IFERROR(IF(AND(AR551=AR550,AM550&lt;&gt;""),INDEX('Aub Demand'!Q:Q,MATCH($O550,'Aub Demand'!$A:$A,0))-IF(AN550="",0,AN550)+AP551+AD550+AL550,IF(AR551=AR550,INDEX('Aub Demand'!Q:Q,MATCH($O550,'Aub Demand'!$A:$A,0))-IF(AN550="",0,AN550)+AP551+AD550,IF(AM550&lt;&gt;"",INDEX('Aub Demand'!Q:Q,MATCH($O550,'Aub Demand'!$A:$A,0))-IF(AN550="",0,AN550)+AD550+AL550,INDEX('Aub Demand'!Q:Q,MATCH($O550,'Aub Demand'!$A:$A,0))-IF(AN550="",0,AN550)+AD550))),"")</f>
        <v>393</v>
      </c>
      <c r="Y550" s="53" t="str">
        <f t="shared" si="228"/>
        <v>n/a</v>
      </c>
      <c r="Z550" s="52">
        <f>IF(L550="","",INDEX('Aub Demand'!H:H,MATCH($O550,'Aub Demand'!$A:$A,0)))</f>
        <v>0</v>
      </c>
      <c r="AA550" s="52" t="str">
        <f t="shared" si="229"/>
        <v>-spike-</v>
      </c>
      <c r="AB550" s="52">
        <f>IFERROR(INDEX('Aub Demand'!L:L,MATCH($O550,'Aub Demand'!$A:$A,0)),"")</f>
        <v>0</v>
      </c>
      <c r="AC550" s="52">
        <f>IFERROR(IF(O550="","",SUMIFS('CPL Mats'!F:F,'CPL Mats'!Q:Q,AR550,'CPL Mats'!S:S,AS550)),"")</f>
        <v>0</v>
      </c>
      <c r="AF550" s="25" t="str">
        <f>IF(SUMIFS('Supp Consol'!S:S,'Supp Consol'!Y:Y,"Releasable",'Supp Consol'!A:A,O550)=0,"",SUMIFS('Supp Consol'!S:S,'Supp Consol'!Y:Y,"Releasable",'Supp Consol'!A:A,O550))</f>
        <v/>
      </c>
      <c r="AG550" s="25">
        <f>IFERROR(INDEX('Hun Demand'!Q:Q,MATCH(O550,'Hun Demand'!A:A,0)),"")</f>
        <v>1766</v>
      </c>
      <c r="AH550" s="25">
        <f>IFERROR(INDEX('Hun Demand'!H:H,MATCH($O550,'Hun Demand'!$A:$A,0)),"")</f>
        <v>66</v>
      </c>
      <c r="AI550" s="25" t="str">
        <f>IF(SUMIFS('Supp Consol'!AA:AA,'Supp Consol'!Z:Z,"Expires this month",'Supp Consol'!A:A,O550)=0,"",SUMIFS('Supp Consol'!AA:AA,'Supp Consol'!Z:Z,"Expires this month",'Supp Consol'!A:A,O550))</f>
        <v/>
      </c>
      <c r="AJ550" s="25" t="str">
        <f>IF(SUMIFS('Supp Consol'!AA:AA,'Supp Consol'!Z:Z,"Expired Previous Months",'Supp Consol'!A:A,O550)=0,"",SUMIFS('Supp Consol'!AA:AA,'Supp Consol'!Z:Z,"Expired Previous Months",'Supp Consol'!A:A,O550))</f>
        <v/>
      </c>
      <c r="AK550" s="25" t="str">
        <f>IFERROR(INDEX('Hun Release Current'!B:B,MATCH(O550,'Hun Release Current'!A:A,0)),"")</f>
        <v/>
      </c>
      <c r="AL550" s="25" t="str">
        <f>IF(SUMIF('Prev Aub'!A:A,O550,'Prev Aub'!B:B)=0,"",SUMIF('Prev Aub'!A:A,O550,'Prev Aub'!B:B))</f>
        <v/>
      </c>
      <c r="AN550" s="25" t="s">
        <v>3790</v>
      </c>
      <c r="AO550" s="25" t="s">
        <v>3790</v>
      </c>
      <c r="AP550" s="25">
        <f t="shared" si="230"/>
        <v>0</v>
      </c>
      <c r="AQ550" s="151" t="str">
        <f>IF(SUMIFS('Supp Consol'!S:S,'Supp Consol'!A:A,O550,'Supp Consol'!I:I,"PENDING")=0,"",SUMIFS('Supp Consol'!S:S,'Supp Consol'!A:A,O550,'Supp Consol'!I:I,"PENDING"))</f>
        <v/>
      </c>
      <c r="AR550" s="27" t="str">
        <f t="shared" si="231"/>
        <v>HP341</v>
      </c>
      <c r="AS550" s="27" t="str">
        <f t="shared" si="232"/>
        <v>62</v>
      </c>
      <c r="AT550" s="27" t="str">
        <f t="shared" si="233"/>
        <v/>
      </c>
      <c r="AU550" s="27" t="str">
        <f t="shared" si="234"/>
        <v/>
      </c>
      <c r="AV550" s="27" t="str">
        <f t="shared" si="235"/>
        <v/>
      </c>
      <c r="AW550" s="27" t="str">
        <f t="shared" si="236"/>
        <v/>
      </c>
      <c r="AX550" s="27" t="str">
        <f t="shared" si="237"/>
        <v/>
      </c>
      <c r="AY550" s="27" t="str">
        <f t="shared" si="238"/>
        <v>HP341</v>
      </c>
      <c r="AZ550" s="27" t="str">
        <f t="shared" si="239"/>
        <v/>
      </c>
      <c r="BA550" s="27" t="str">
        <f t="shared" si="240"/>
        <v>Hun</v>
      </c>
      <c r="BB550" s="27" t="str">
        <f t="shared" si="241"/>
        <v/>
      </c>
      <c r="BC550" s="27" t="str">
        <f t="shared" si="242"/>
        <v/>
      </c>
      <c r="BD550" s="27" t="str">
        <f t="shared" si="243"/>
        <v/>
      </c>
      <c r="BE550" s="27" t="str">
        <f t="shared" si="244"/>
        <v/>
      </c>
      <c r="BF550" s="27" t="str">
        <f t="shared" si="245"/>
        <v/>
      </c>
      <c r="BG550" s="27" t="str">
        <f t="shared" si="246"/>
        <v/>
      </c>
      <c r="BH550" s="27" t="str">
        <f t="shared" si="247"/>
        <v/>
      </c>
      <c r="BI550" s="27" t="str">
        <f t="shared" si="248"/>
        <v/>
      </c>
      <c r="BJ550" s="27" t="str">
        <f t="shared" si="249"/>
        <v>Supp or Hun</v>
      </c>
      <c r="BK550" s="27" t="str">
        <f t="shared" si="250"/>
        <v/>
      </c>
      <c r="BL550" s="27" t="str">
        <f t="shared" si="251"/>
        <v/>
      </c>
      <c r="BM550" s="21" t="s">
        <v>5582</v>
      </c>
    </row>
    <row r="551" spans="1:65" ht="15">
      <c r="A551" s="25" t="str">
        <f>IFERROR(INDEX('Hun Demand'!W:W,MATCH(O551,'Hun Demand'!A:A,0)),"")</f>
        <v/>
      </c>
      <c r="B551" s="25" t="str">
        <f>IFERROR(INDEX('Hun Demand'!V:V,MATCH(O551,'Hun Demand'!A:A,0)),"")</f>
        <v/>
      </c>
      <c r="C551" s="25" t="str">
        <f>IFERROR(INDEX('Hun Demand'!U:U,MATCH(O551,'Hun Demand'!A:A,0)),"")</f>
        <v/>
      </c>
      <c r="D551" s="25" t="str">
        <f>IFERROR(INDEX('Hun Demand'!T:T,MATCH(O551,'Hun Demand'!A:A,0)),"")</f>
        <v/>
      </c>
      <c r="E551" s="25" t="str">
        <f>IFERROR(INDEX('Hun Demand'!S:S,MATCH(O551,'Hun Demand'!A:A,0)),"")</f>
        <v/>
      </c>
      <c r="F551" s="25" t="str">
        <f>IFERROR(INDEX('Hun Demand'!R:R,MATCH(O551,'Hun Demand'!A:A,0)),"")</f>
        <v/>
      </c>
      <c r="G551" s="25">
        <f>IFERROR(INDEX('Aub Demand'!W:W,MATCH(O551,'Aub Demand'!A:A,0)),"")</f>
        <v>0</v>
      </c>
      <c r="H551" s="25">
        <f>IFERROR(INDEX('Aub Demand'!V:V,MATCH(O551,'Aub Demand'!A:A,0)),"")</f>
        <v>0</v>
      </c>
      <c r="I551" s="25">
        <f>IFERROR(INDEX('Aub Demand'!U:U,MATCH(O551,'Aub Demand'!A:A,0)),"")</f>
        <v>0</v>
      </c>
      <c r="J551" s="25">
        <f>IFERROR(INDEX('Aub Demand'!T:T,MATCH(O551,'Aub Demand'!A:A,0)),"")</f>
        <v>0</v>
      </c>
      <c r="K551" s="25">
        <f>IFERROR(INDEX('Aub Demand'!S:S,MATCH(O551,'Aub Demand'!A:A,0)),"")</f>
        <v>0</v>
      </c>
      <c r="L551" s="25">
        <f>IFERROR(INDEX('Aub Demand'!R:R,MATCH(O551,'Aub Demand'!A:A,0)),"")</f>
        <v>0</v>
      </c>
      <c r="O551" s="27" t="s">
        <v>3335</v>
      </c>
      <c r="P551" s="27" t="str">
        <f>IFERROR(INDEX('Aub Demand'!B:B,MATCH($O551,'Aub Demand'!$A:$A,0)),"")</f>
        <v>NATURAL AVANTI WOOD</v>
      </c>
      <c r="Q551" s="27">
        <f>IFERROR(INDEX('Aub Demand'!C:C,MATCH($O551,'Aub Demand'!$A:$A,0)),"")</f>
        <v>0</v>
      </c>
      <c r="R551" s="52">
        <f>IFERROR(IF(AR552=AR551,INDEX('Aub Demand'!K:K,MATCH($O551,'Aub Demand'!$A:$A,0))-IF(AN551="",0,AN551)+AP552,INDEX('Aub Demand'!K:K,MATCH($O551,'Aub Demand'!$A:$A,0))-IF(AN551="",0,AN551)),"")</f>
        <v>158</v>
      </c>
      <c r="S551" s="53" t="str">
        <f t="shared" si="224"/>
        <v>n/a</v>
      </c>
      <c r="T551" s="52" t="str">
        <f t="shared" si="225"/>
        <v/>
      </c>
      <c r="U551" s="52">
        <f>IFERROR(IF(AR552=AR551,INDEX('Aub Demand'!Q:Q,MATCH($O551,'Aub Demand'!$A:$A,0))-IF(AN551="",0,AN551)+AP552,INDEX('Aub Demand'!Q:Q,MATCH($O551,'Aub Demand'!$A:$A,0))-IF(AN551="",0,AN551)),"")</f>
        <v>158</v>
      </c>
      <c r="V551" s="53" t="str">
        <f t="shared" si="226"/>
        <v>n/a</v>
      </c>
      <c r="W551" s="52" t="str">
        <f t="shared" si="227"/>
        <v/>
      </c>
      <c r="X551" s="52">
        <f>IFERROR(IF(AND(AR552=AR551,AM551&lt;&gt;""),INDEX('Aub Demand'!Q:Q,MATCH($O551,'Aub Demand'!$A:$A,0))-IF(AN551="",0,AN551)+AP552+AD551+AL551,IF(AR552=AR551,INDEX('Aub Demand'!Q:Q,MATCH($O551,'Aub Demand'!$A:$A,0))-IF(AN551="",0,AN551)+AP552+AD551,IF(AM551&lt;&gt;"",INDEX('Aub Demand'!Q:Q,MATCH($O551,'Aub Demand'!$A:$A,0))-IF(AN551="",0,AN551)+AD551+AL551,INDEX('Aub Demand'!Q:Q,MATCH($O551,'Aub Demand'!$A:$A,0))-IF(AN551="",0,AN551)+AD551))),"")</f>
        <v>158</v>
      </c>
      <c r="Y551" s="53" t="str">
        <f t="shared" si="228"/>
        <v>n/a</v>
      </c>
      <c r="Z551" s="52">
        <f>IF(L551="","",INDEX('Aub Demand'!H:H,MATCH($O551,'Aub Demand'!$A:$A,0)))</f>
        <v>0</v>
      </c>
      <c r="AA551" s="52" t="str">
        <f t="shared" si="229"/>
        <v>-spike-</v>
      </c>
      <c r="AB551" s="52">
        <f>IFERROR(INDEX('Aub Demand'!L:L,MATCH($O551,'Aub Demand'!$A:$A,0)),"")</f>
        <v>0</v>
      </c>
      <c r="AC551" s="52">
        <f>IFERROR(IF(O551="","",SUMIFS('CPL Mats'!F:F,'CPL Mats'!Q:Q,AR551,'CPL Mats'!S:S,AS551)),"")</f>
        <v>0</v>
      </c>
      <c r="AF551" s="25" t="str">
        <f>IF(SUMIFS('Supp Consol'!S:S,'Supp Consol'!Y:Y,"Releasable",'Supp Consol'!A:A,O551)=0,"",SUMIFS('Supp Consol'!S:S,'Supp Consol'!Y:Y,"Releasable",'Supp Consol'!A:A,O551))</f>
        <v/>
      </c>
      <c r="AG551" s="25" t="str">
        <f>IFERROR(INDEX('Hun Demand'!Q:Q,MATCH(O551,'Hun Demand'!A:A,0)),"")</f>
        <v/>
      </c>
      <c r="AH551" s="25" t="str">
        <f>IFERROR(INDEX('Hun Demand'!H:H,MATCH($O551,'Hun Demand'!$A:$A,0)),"")</f>
        <v/>
      </c>
      <c r="AI551" s="25" t="str">
        <f>IF(SUMIFS('Supp Consol'!AA:AA,'Supp Consol'!Z:Z,"Expires this month",'Supp Consol'!A:A,O551)=0,"",SUMIFS('Supp Consol'!AA:AA,'Supp Consol'!Z:Z,"Expires this month",'Supp Consol'!A:A,O551))</f>
        <v/>
      </c>
      <c r="AJ551" s="25" t="str">
        <f>IF(SUMIFS('Supp Consol'!AA:AA,'Supp Consol'!Z:Z,"Expired Previous Months",'Supp Consol'!A:A,O551)=0,"",SUMIFS('Supp Consol'!AA:AA,'Supp Consol'!Z:Z,"Expired Previous Months",'Supp Consol'!A:A,O551))</f>
        <v/>
      </c>
      <c r="AK551" s="25" t="str">
        <f>IFERROR(INDEX('Hun Release Current'!B:B,MATCH(O551,'Hun Release Current'!A:A,0)),"")</f>
        <v/>
      </c>
      <c r="AL551" s="25" t="str">
        <f>IF(SUMIF('Prev Aub'!A:A,O551,'Prev Aub'!B:B)=0,"",SUMIF('Prev Aub'!A:A,O551,'Prev Aub'!B:B))</f>
        <v/>
      </c>
      <c r="AN551" s="25" t="s">
        <v>3790</v>
      </c>
      <c r="AO551" s="25" t="s">
        <v>3790</v>
      </c>
      <c r="AP551" s="25">
        <f t="shared" si="230"/>
        <v>0</v>
      </c>
      <c r="AQ551" s="151" t="str">
        <f>IF(SUMIFS('Supp Consol'!S:S,'Supp Consol'!A:A,O551,'Supp Consol'!I:I,"PENDING")=0,"",SUMIFS('Supp Consol'!S:S,'Supp Consol'!A:A,O551,'Supp Consol'!I:I,"PENDING"))</f>
        <v/>
      </c>
      <c r="AR551" s="27" t="str">
        <f t="shared" si="231"/>
        <v>HP355</v>
      </c>
      <c r="AS551" s="27" t="str">
        <f t="shared" si="232"/>
        <v>50</v>
      </c>
      <c r="AT551" s="27" t="str">
        <f t="shared" si="233"/>
        <v/>
      </c>
      <c r="AU551" s="27" t="str">
        <f t="shared" si="234"/>
        <v/>
      </c>
      <c r="AV551" s="27" t="str">
        <f t="shared" si="235"/>
        <v/>
      </c>
      <c r="AW551" s="27" t="str">
        <f t="shared" si="236"/>
        <v/>
      </c>
      <c r="AX551" s="27" t="str">
        <f t="shared" si="237"/>
        <v/>
      </c>
      <c r="AY551" s="27" t="str">
        <f t="shared" si="238"/>
        <v/>
      </c>
      <c r="AZ551" s="27" t="str">
        <f t="shared" si="239"/>
        <v/>
      </c>
      <c r="BA551" s="27" t="str">
        <f t="shared" si="240"/>
        <v/>
      </c>
      <c r="BB551" s="27" t="str">
        <f t="shared" si="241"/>
        <v/>
      </c>
      <c r="BC551" s="27" t="str">
        <f t="shared" si="242"/>
        <v/>
      </c>
      <c r="BD551" s="27" t="str">
        <f t="shared" si="243"/>
        <v/>
      </c>
      <c r="BE551" s="27" t="str">
        <f t="shared" si="244"/>
        <v/>
      </c>
      <c r="BF551" s="27" t="str">
        <f t="shared" si="245"/>
        <v/>
      </c>
      <c r="BG551" s="27" t="str">
        <f t="shared" si="246"/>
        <v/>
      </c>
      <c r="BH551" s="27" t="str">
        <f t="shared" si="247"/>
        <v/>
      </c>
      <c r="BI551" s="27" t="str">
        <f t="shared" si="248"/>
        <v/>
      </c>
      <c r="BJ551" s="27" t="str">
        <f t="shared" si="249"/>
        <v/>
      </c>
      <c r="BK551" s="27" t="str">
        <f t="shared" si="250"/>
        <v/>
      </c>
      <c r="BL551" s="27" t="str">
        <f t="shared" si="251"/>
        <v/>
      </c>
      <c r="BM551" s="21" t="s">
        <v>5582</v>
      </c>
    </row>
    <row r="552" spans="1:65" ht="15">
      <c r="A552" s="25">
        <f>IFERROR(INDEX('Hun Demand'!W:W,MATCH(O552,'Hun Demand'!A:A,0)),"")</f>
        <v>0</v>
      </c>
      <c r="B552" s="25">
        <f>IFERROR(INDEX('Hun Demand'!V:V,MATCH(O552,'Hun Demand'!A:A,0)),"")</f>
        <v>91</v>
      </c>
      <c r="C552" s="25">
        <f>IFERROR(INDEX('Hun Demand'!U:U,MATCH(O552,'Hun Demand'!A:A,0)),"")</f>
        <v>0</v>
      </c>
      <c r="D552" s="25">
        <f>IFERROR(INDEX('Hun Demand'!T:T,MATCH(O552,'Hun Demand'!A:A,0)),"")</f>
        <v>114</v>
      </c>
      <c r="E552" s="25">
        <f>IFERROR(INDEX('Hun Demand'!S:S,MATCH(O552,'Hun Demand'!A:A,0)),"")</f>
        <v>0</v>
      </c>
      <c r="F552" s="25">
        <f>IFERROR(INDEX('Hun Demand'!R:R,MATCH(O552,'Hun Demand'!A:A,0)),"")</f>
        <v>0</v>
      </c>
      <c r="G552" s="25">
        <f>IFERROR(INDEX('Aub Demand'!W:W,MATCH(O552,'Aub Demand'!A:A,0)),"")</f>
        <v>0</v>
      </c>
      <c r="H552" s="25">
        <f>IFERROR(INDEX('Aub Demand'!V:V,MATCH(O552,'Aub Demand'!A:A,0)),"")</f>
        <v>48</v>
      </c>
      <c r="I552" s="25">
        <f>IFERROR(INDEX('Aub Demand'!U:U,MATCH(O552,'Aub Demand'!A:A,0)),"")</f>
        <v>0</v>
      </c>
      <c r="J552" s="25">
        <f>IFERROR(INDEX('Aub Demand'!T:T,MATCH(O552,'Aub Demand'!A:A,0)),"")</f>
        <v>0</v>
      </c>
      <c r="K552" s="25">
        <f>IFERROR(INDEX('Aub Demand'!S:S,MATCH(O552,'Aub Demand'!A:A,0)),"")</f>
        <v>13</v>
      </c>
      <c r="L552" s="25">
        <f>IFERROR(INDEX('Aub Demand'!R:R,MATCH(O552,'Aub Demand'!A:A,0)),"")</f>
        <v>0</v>
      </c>
      <c r="O552" s="27" t="s">
        <v>917</v>
      </c>
      <c r="P552" s="27" t="str">
        <f>IFERROR(INDEX('Aub Demand'!B:B,MATCH($O552,'Aub Demand'!$A:$A,0)),"")</f>
        <v>HONEY AVANTI WOOD</v>
      </c>
      <c r="Q552" s="27" t="str">
        <f>IFERROR(INDEX('Aub Demand'!C:C,MATCH($O552,'Aub Demand'!$A:$A,0)),"")</f>
        <v>INTER</v>
      </c>
      <c r="R552" s="52">
        <f>IFERROR(IF(AR553=AR552,INDEX('Aub Demand'!K:K,MATCH($O552,'Aub Demand'!$A:$A,0))-IF(AN552="",0,AN552)+AP553,INDEX('Aub Demand'!K:K,MATCH($O552,'Aub Demand'!$A:$A,0))-IF(AN552="",0,AN552)),"")</f>
        <v>1139</v>
      </c>
      <c r="S552" s="53">
        <f t="shared" si="224"/>
        <v>1220.4000000000001</v>
      </c>
      <c r="T552" s="52" t="str">
        <f t="shared" si="225"/>
        <v/>
      </c>
      <c r="U552" s="52">
        <f>IFERROR(IF(AR553=AR552,INDEX('Aub Demand'!Q:Q,MATCH($O552,'Aub Demand'!$A:$A,0))-IF(AN552="",0,AN552)+AP553,INDEX('Aub Demand'!Q:Q,MATCH($O552,'Aub Demand'!$A:$A,0))-IF(AN552="",0,AN552)),"")</f>
        <v>1139</v>
      </c>
      <c r="V552" s="53">
        <f t="shared" si="226"/>
        <v>1220.4000000000001</v>
      </c>
      <c r="W552" s="52" t="str">
        <f t="shared" si="227"/>
        <v/>
      </c>
      <c r="X552" s="52">
        <f>IFERROR(IF(AND(AR553=AR552,AM552&lt;&gt;""),INDEX('Aub Demand'!Q:Q,MATCH($O552,'Aub Demand'!$A:$A,0))-IF(AN552="",0,AN552)+AP553+AD552+AL552,IF(AR553=AR552,INDEX('Aub Demand'!Q:Q,MATCH($O552,'Aub Demand'!$A:$A,0))-IF(AN552="",0,AN552)+AP553+AD552,IF(AM552&lt;&gt;"",INDEX('Aub Demand'!Q:Q,MATCH($O552,'Aub Demand'!$A:$A,0))-IF(AN552="",0,AN552)+AD552+AL552,INDEX('Aub Demand'!Q:Q,MATCH($O552,'Aub Demand'!$A:$A,0))-IF(AN552="",0,AN552)+AD552))),"")</f>
        <v>1139</v>
      </c>
      <c r="Y552" s="53">
        <f t="shared" si="228"/>
        <v>1220.4000000000001</v>
      </c>
      <c r="Z552" s="52">
        <f>IF(L552="","",INDEX('Aub Demand'!H:H,MATCH($O552,'Aub Demand'!$A:$A,0)))</f>
        <v>4</v>
      </c>
      <c r="AA552" s="52" t="str">
        <f t="shared" si="229"/>
        <v>-spike-</v>
      </c>
      <c r="AB552" s="52">
        <f>IFERROR(INDEX('Aub Demand'!L:L,MATCH($O552,'Aub Demand'!$A:$A,0)),"")</f>
        <v>0</v>
      </c>
      <c r="AC552" s="52">
        <f>IFERROR(IF(O552="","",SUMIFS('CPL Mats'!F:F,'CPL Mats'!Q:Q,AR552,'CPL Mats'!S:S,AS552)),"")</f>
        <v>0</v>
      </c>
      <c r="AF552" s="25" t="str">
        <f>IF(SUMIFS('Supp Consol'!S:S,'Supp Consol'!Y:Y,"Releasable",'Supp Consol'!A:A,O552)=0,"",SUMIFS('Supp Consol'!S:S,'Supp Consol'!Y:Y,"Releasable",'Supp Consol'!A:A,O552))</f>
        <v/>
      </c>
      <c r="AG552" s="25">
        <f>IFERROR(INDEX('Hun Demand'!Q:Q,MATCH(O552,'Hun Demand'!A:A,0)),"")</f>
        <v>590</v>
      </c>
      <c r="AH552" s="25">
        <f>IFERROR(INDEX('Hun Demand'!H:H,MATCH($O552,'Hun Demand'!$A:$A,0)),"")</f>
        <v>38</v>
      </c>
      <c r="AI552" s="25" t="str">
        <f>IF(SUMIFS('Supp Consol'!AA:AA,'Supp Consol'!Z:Z,"Expires this month",'Supp Consol'!A:A,O552)=0,"",SUMIFS('Supp Consol'!AA:AA,'Supp Consol'!Z:Z,"Expires this month",'Supp Consol'!A:A,O552))</f>
        <v/>
      </c>
      <c r="AJ552" s="25" t="str">
        <f>IF(SUMIFS('Supp Consol'!AA:AA,'Supp Consol'!Z:Z,"Expired Previous Months",'Supp Consol'!A:A,O552)=0,"",SUMIFS('Supp Consol'!AA:AA,'Supp Consol'!Z:Z,"Expired Previous Months",'Supp Consol'!A:A,O552))</f>
        <v/>
      </c>
      <c r="AK552" s="25" t="str">
        <f>IFERROR(INDEX('Hun Release Current'!B:B,MATCH(O552,'Hun Release Current'!A:A,0)),"")</f>
        <v/>
      </c>
      <c r="AL552" s="25" t="str">
        <f>IF(SUMIF('Prev Aub'!A:A,O552,'Prev Aub'!B:B)=0,"",SUMIF('Prev Aub'!A:A,O552,'Prev Aub'!B:B))</f>
        <v/>
      </c>
      <c r="AN552" s="25" t="s">
        <v>3790</v>
      </c>
      <c r="AO552" s="25" t="s">
        <v>3790</v>
      </c>
      <c r="AP552" s="25">
        <f t="shared" si="230"/>
        <v>0</v>
      </c>
      <c r="AQ552" s="151" t="str">
        <f>IF(SUMIFS('Supp Consol'!S:S,'Supp Consol'!A:A,O552,'Supp Consol'!I:I,"PENDING")=0,"",SUMIFS('Supp Consol'!S:S,'Supp Consol'!A:A,O552,'Supp Consol'!I:I,"PENDING"))</f>
        <v/>
      </c>
      <c r="AR552" s="27" t="str">
        <f t="shared" si="231"/>
        <v>HP356</v>
      </c>
      <c r="AS552" s="27" t="str">
        <f t="shared" si="232"/>
        <v>50</v>
      </c>
      <c r="AT552" s="27" t="str">
        <f t="shared" si="233"/>
        <v/>
      </c>
      <c r="AU552" s="27" t="str">
        <f t="shared" si="234"/>
        <v/>
      </c>
      <c r="AV552" s="27" t="str">
        <f t="shared" si="235"/>
        <v/>
      </c>
      <c r="AW552" s="27" t="str">
        <f t="shared" si="236"/>
        <v/>
      </c>
      <c r="AX552" s="27" t="str">
        <f t="shared" si="237"/>
        <v/>
      </c>
      <c r="AY552" s="27" t="str">
        <f t="shared" si="238"/>
        <v>HP356</v>
      </c>
      <c r="AZ552" s="27" t="str">
        <f t="shared" si="239"/>
        <v/>
      </c>
      <c r="BA552" s="27" t="str">
        <f t="shared" si="240"/>
        <v>Hun</v>
      </c>
      <c r="BB552" s="27" t="str">
        <f t="shared" si="241"/>
        <v/>
      </c>
      <c r="BC552" s="27" t="str">
        <f t="shared" si="242"/>
        <v/>
      </c>
      <c r="BD552" s="27" t="str">
        <f t="shared" si="243"/>
        <v/>
      </c>
      <c r="BE552" s="27" t="str">
        <f t="shared" si="244"/>
        <v/>
      </c>
      <c r="BF552" s="27" t="str">
        <f t="shared" si="245"/>
        <v/>
      </c>
      <c r="BG552" s="27" t="str">
        <f t="shared" si="246"/>
        <v/>
      </c>
      <c r="BH552" s="27" t="str">
        <f t="shared" si="247"/>
        <v/>
      </c>
      <c r="BI552" s="27" t="str">
        <f t="shared" si="248"/>
        <v/>
      </c>
      <c r="BJ552" s="27" t="str">
        <f t="shared" si="249"/>
        <v>Supp or Hun</v>
      </c>
      <c r="BK552" s="27" t="str">
        <f t="shared" si="250"/>
        <v/>
      </c>
      <c r="BL552" s="27" t="str">
        <f t="shared" si="251"/>
        <v/>
      </c>
      <c r="BM552" s="21" t="s">
        <v>5582</v>
      </c>
    </row>
    <row r="553" spans="1:65" ht="15">
      <c r="A553" s="25">
        <f>IFERROR(INDEX('Hun Demand'!W:W,MATCH(O553,'Hun Demand'!A:A,0)),"")</f>
        <v>800</v>
      </c>
      <c r="B553" s="25">
        <f>IFERROR(INDEX('Hun Demand'!V:V,MATCH(O553,'Hun Demand'!A:A,0)),"")</f>
        <v>181</v>
      </c>
      <c r="C553" s="25">
        <f>IFERROR(INDEX('Hun Demand'!U:U,MATCH(O553,'Hun Demand'!A:A,0)),"")</f>
        <v>181</v>
      </c>
      <c r="D553" s="25">
        <f>IFERROR(INDEX('Hun Demand'!T:T,MATCH(O553,'Hun Demand'!A:A,0)),"")</f>
        <v>945</v>
      </c>
      <c r="E553" s="25">
        <f>IFERROR(INDEX('Hun Demand'!S:S,MATCH(O553,'Hun Demand'!A:A,0)),"")</f>
        <v>0</v>
      </c>
      <c r="F553" s="25">
        <f>IFERROR(INDEX('Hun Demand'!R:R,MATCH(O553,'Hun Demand'!A:A,0)),"")</f>
        <v>518</v>
      </c>
      <c r="G553" s="25">
        <f>IFERROR(INDEX('Aub Demand'!W:W,MATCH(O553,'Aub Demand'!A:A,0)),"")</f>
        <v>0</v>
      </c>
      <c r="H553" s="25">
        <f>IFERROR(INDEX('Aub Demand'!V:V,MATCH(O553,'Aub Demand'!A:A,0)),"")</f>
        <v>50</v>
      </c>
      <c r="I553" s="25">
        <f>IFERROR(INDEX('Aub Demand'!U:U,MATCH(O553,'Aub Demand'!A:A,0)),"")</f>
        <v>30</v>
      </c>
      <c r="J553" s="25">
        <f>IFERROR(INDEX('Aub Demand'!T:T,MATCH(O553,'Aub Demand'!A:A,0)),"")</f>
        <v>0</v>
      </c>
      <c r="K553" s="25">
        <f>IFERROR(INDEX('Aub Demand'!S:S,MATCH(O553,'Aub Demand'!A:A,0)),"")</f>
        <v>0</v>
      </c>
      <c r="L553" s="25">
        <f>IFERROR(INDEX('Aub Demand'!R:R,MATCH(O553,'Aub Demand'!A:A,0)),"")</f>
        <v>0</v>
      </c>
      <c r="O553" s="27" t="s">
        <v>919</v>
      </c>
      <c r="P553" s="27" t="str">
        <f>IFERROR(INDEX('Aub Demand'!B:B,MATCH($O553,'Aub Demand'!$A:$A,0)),"")</f>
        <v>HONEY AVANTI WOOD</v>
      </c>
      <c r="Q553" s="27" t="str">
        <f>IFERROR(INDEX('Aub Demand'!C:C,MATCH($O553,'Aub Demand'!$A:$A,0)),"")</f>
        <v>INTER</v>
      </c>
      <c r="R553" s="52">
        <f>IFERROR(IF(AR554=AR553,INDEX('Aub Demand'!K:K,MATCH($O553,'Aub Demand'!$A:$A,0))-IF(AN553="",0,AN553)+AP554,INDEX('Aub Demand'!K:K,MATCH($O553,'Aub Demand'!$A:$A,0))-IF(AN553="",0,AN553)),"")</f>
        <v>920</v>
      </c>
      <c r="S553" s="53">
        <f t="shared" si="224"/>
        <v>394.3</v>
      </c>
      <c r="T553" s="52" t="str">
        <f t="shared" si="225"/>
        <v/>
      </c>
      <c r="U553" s="52">
        <f>IFERROR(IF(AR554=AR553,INDEX('Aub Demand'!Q:Q,MATCH($O553,'Aub Demand'!$A:$A,0))-IF(AN553="",0,AN553)+AP554,INDEX('Aub Demand'!Q:Q,MATCH($O553,'Aub Demand'!$A:$A,0))-IF(AN553="",0,AN553)),"")</f>
        <v>920</v>
      </c>
      <c r="V553" s="53">
        <f t="shared" si="226"/>
        <v>394.3</v>
      </c>
      <c r="W553" s="52" t="str">
        <f t="shared" si="227"/>
        <v/>
      </c>
      <c r="X553" s="52">
        <f>IFERROR(IF(AND(AR554=AR553,AM553&lt;&gt;""),INDEX('Aub Demand'!Q:Q,MATCH($O553,'Aub Demand'!$A:$A,0))-IF(AN553="",0,AN553)+AP554+AD553+AL553,IF(AR554=AR553,INDEX('Aub Demand'!Q:Q,MATCH($O553,'Aub Demand'!$A:$A,0))-IF(AN553="",0,AN553)+AP554+AD553,IF(AM553&lt;&gt;"",INDEX('Aub Demand'!Q:Q,MATCH($O553,'Aub Demand'!$A:$A,0))-IF(AN553="",0,AN553)+AD553+AL553,INDEX('Aub Demand'!Q:Q,MATCH($O553,'Aub Demand'!$A:$A,0))-IF(AN553="",0,AN553)+AD553))),"")</f>
        <v>920</v>
      </c>
      <c r="Y553" s="53">
        <f t="shared" si="228"/>
        <v>394.3</v>
      </c>
      <c r="Z553" s="52">
        <f>IF(L553="","",INDEX('Aub Demand'!H:H,MATCH($O553,'Aub Demand'!$A:$A,0)))</f>
        <v>10</v>
      </c>
      <c r="AA553" s="52" t="str">
        <f t="shared" si="229"/>
        <v>-spike-</v>
      </c>
      <c r="AB553" s="52">
        <f>IFERROR(INDEX('Aub Demand'!L:L,MATCH($O553,'Aub Demand'!$A:$A,0)),"")</f>
        <v>11</v>
      </c>
      <c r="AC553" s="52">
        <f>IFERROR(IF(O553="","",SUMIFS('CPL Mats'!F:F,'CPL Mats'!Q:Q,AR553,'CPL Mats'!S:S,AS553)),"")</f>
        <v>0</v>
      </c>
      <c r="AF553" s="25" t="str">
        <f>IF(SUMIFS('Supp Consol'!S:S,'Supp Consol'!Y:Y,"Releasable",'Supp Consol'!A:A,O553)=0,"",SUMIFS('Supp Consol'!S:S,'Supp Consol'!Y:Y,"Releasable",'Supp Consol'!A:A,O553))</f>
        <v/>
      </c>
      <c r="AG553" s="25">
        <f>IFERROR(INDEX('Hun Demand'!Q:Q,MATCH(O553,'Hun Demand'!A:A,0)),"")</f>
        <v>6424</v>
      </c>
      <c r="AH553" s="25">
        <f>IFERROR(INDEX('Hun Demand'!H:H,MATCH($O553,'Hun Demand'!$A:$A,0)),"")</f>
        <v>375</v>
      </c>
      <c r="AI553" s="25" t="str">
        <f>IF(SUMIFS('Supp Consol'!AA:AA,'Supp Consol'!Z:Z,"Expires this month",'Supp Consol'!A:A,O553)=0,"",SUMIFS('Supp Consol'!AA:AA,'Supp Consol'!Z:Z,"Expires this month",'Supp Consol'!A:A,O553))</f>
        <v/>
      </c>
      <c r="AJ553" s="25" t="str">
        <f>IF(SUMIFS('Supp Consol'!AA:AA,'Supp Consol'!Z:Z,"Expired Previous Months",'Supp Consol'!A:A,O553)=0,"",SUMIFS('Supp Consol'!AA:AA,'Supp Consol'!Z:Z,"Expired Previous Months",'Supp Consol'!A:A,O553))</f>
        <v/>
      </c>
      <c r="AK553" s="25" t="str">
        <f>IFERROR(INDEX('Hun Release Current'!B:B,MATCH(O553,'Hun Release Current'!A:A,0)),"")</f>
        <v/>
      </c>
      <c r="AL553" s="25" t="str">
        <f>IF(SUMIF('Prev Aub'!A:A,O553,'Prev Aub'!B:B)=0,"",SUMIF('Prev Aub'!A:A,O553,'Prev Aub'!B:B))</f>
        <v/>
      </c>
      <c r="AN553" s="25" t="s">
        <v>3790</v>
      </c>
      <c r="AO553" s="25" t="s">
        <v>3790</v>
      </c>
      <c r="AP553" s="25">
        <f t="shared" si="230"/>
        <v>0</v>
      </c>
      <c r="AQ553" s="151" t="str">
        <f>IF(SUMIFS('Supp Consol'!S:S,'Supp Consol'!A:A,O553,'Supp Consol'!I:I,"PENDING")=0,"",SUMIFS('Supp Consol'!S:S,'Supp Consol'!A:A,O553,'Supp Consol'!I:I,"PENDING"))</f>
        <v/>
      </c>
      <c r="AR553" s="27" t="str">
        <f t="shared" si="231"/>
        <v>HP356</v>
      </c>
      <c r="AS553" s="27" t="str">
        <f t="shared" si="232"/>
        <v>62</v>
      </c>
      <c r="AT553" s="27" t="str">
        <f t="shared" si="233"/>
        <v/>
      </c>
      <c r="AU553" s="27" t="str">
        <f t="shared" si="234"/>
        <v/>
      </c>
      <c r="AV553" s="27" t="str">
        <f t="shared" si="235"/>
        <v/>
      </c>
      <c r="AW553" s="27" t="str">
        <f t="shared" si="236"/>
        <v/>
      </c>
      <c r="AX553" s="27" t="str">
        <f t="shared" si="237"/>
        <v/>
      </c>
      <c r="AY553" s="27" t="str">
        <f t="shared" si="238"/>
        <v>HP356</v>
      </c>
      <c r="AZ553" s="27" t="str">
        <f t="shared" si="239"/>
        <v/>
      </c>
      <c r="BA553" s="27" t="str">
        <f t="shared" si="240"/>
        <v>Hun</v>
      </c>
      <c r="BB553" s="27" t="str">
        <f t="shared" si="241"/>
        <v/>
      </c>
      <c r="BC553" s="27" t="str">
        <f t="shared" si="242"/>
        <v/>
      </c>
      <c r="BD553" s="27" t="str">
        <f t="shared" si="243"/>
        <v/>
      </c>
      <c r="BE553" s="27" t="str">
        <f t="shared" si="244"/>
        <v/>
      </c>
      <c r="BF553" s="27" t="str">
        <f t="shared" si="245"/>
        <v/>
      </c>
      <c r="BG553" s="27" t="str">
        <f t="shared" si="246"/>
        <v/>
      </c>
      <c r="BH553" s="27" t="str">
        <f t="shared" si="247"/>
        <v/>
      </c>
      <c r="BI553" s="27" t="str">
        <f t="shared" si="248"/>
        <v/>
      </c>
      <c r="BJ553" s="27" t="str">
        <f t="shared" si="249"/>
        <v>Supp or Hun</v>
      </c>
      <c r="BK553" s="27" t="str">
        <f t="shared" si="250"/>
        <v/>
      </c>
      <c r="BL553" s="27" t="str">
        <f t="shared" si="251"/>
        <v/>
      </c>
      <c r="BM553" s="21" t="s">
        <v>5582</v>
      </c>
    </row>
    <row r="554" spans="1:65" ht="15">
      <c r="A554" s="25">
        <f>IFERROR(INDEX('Hun Demand'!W:W,MATCH(O554,'Hun Demand'!A:A,0)),"")</f>
        <v>230</v>
      </c>
      <c r="B554" s="25">
        <f>IFERROR(INDEX('Hun Demand'!V:V,MATCH(O554,'Hun Demand'!A:A,0)),"")</f>
        <v>0</v>
      </c>
      <c r="C554" s="25">
        <f>IFERROR(INDEX('Hun Demand'!U:U,MATCH(O554,'Hun Demand'!A:A,0)),"")</f>
        <v>0</v>
      </c>
      <c r="D554" s="25">
        <f>IFERROR(INDEX('Hun Demand'!T:T,MATCH(O554,'Hun Demand'!A:A,0)),"")</f>
        <v>0</v>
      </c>
      <c r="E554" s="25">
        <f>IFERROR(INDEX('Hun Demand'!S:S,MATCH(O554,'Hun Demand'!A:A,0)),"")</f>
        <v>0</v>
      </c>
      <c r="F554" s="25">
        <f>IFERROR(INDEX('Hun Demand'!R:R,MATCH(O554,'Hun Demand'!A:A,0)),"")</f>
        <v>0</v>
      </c>
      <c r="G554" s="25">
        <f>IFERROR(INDEX('Aub Demand'!W:W,MATCH(O554,'Aub Demand'!A:A,0)),"")</f>
        <v>0</v>
      </c>
      <c r="H554" s="25">
        <f>IFERROR(INDEX('Aub Demand'!V:V,MATCH(O554,'Aub Demand'!A:A,0)),"")</f>
        <v>0</v>
      </c>
      <c r="I554" s="25">
        <f>IFERROR(INDEX('Aub Demand'!U:U,MATCH(O554,'Aub Demand'!A:A,0)),"")</f>
        <v>0</v>
      </c>
      <c r="J554" s="25">
        <f>IFERROR(INDEX('Aub Demand'!T:T,MATCH(O554,'Aub Demand'!A:A,0)),"")</f>
        <v>0</v>
      </c>
      <c r="K554" s="25">
        <f>IFERROR(INDEX('Aub Demand'!S:S,MATCH(O554,'Aub Demand'!A:A,0)),"")</f>
        <v>23</v>
      </c>
      <c r="L554" s="25">
        <f>IFERROR(INDEX('Aub Demand'!R:R,MATCH(O554,'Aub Demand'!A:A,0)),"")</f>
        <v>0</v>
      </c>
      <c r="O554" s="27" t="s">
        <v>920</v>
      </c>
      <c r="P554" s="27" t="str">
        <f>IFERROR(INDEX('Aub Demand'!B:B,MATCH($O554,'Aub Demand'!$A:$A,0)),"")</f>
        <v>CHERRY AVANTI WOOD</v>
      </c>
      <c r="Q554" s="27" t="str">
        <f>IFERROR(INDEX('Aub Demand'!C:C,MATCH($O554,'Aub Demand'!$A:$A,0)),"")</f>
        <v>INTER</v>
      </c>
      <c r="R554" s="52">
        <f>IFERROR(IF(AR555=AR554,INDEX('Aub Demand'!K:K,MATCH($O554,'Aub Demand'!$A:$A,0))-IF(AN554="",0,AN554)+AP555,INDEX('Aub Demand'!K:K,MATCH($O554,'Aub Demand'!$A:$A,0))-IF(AN554="",0,AN554)),"")</f>
        <v>0</v>
      </c>
      <c r="S554" s="53">
        <f t="shared" si="224"/>
        <v>0</v>
      </c>
      <c r="T554" s="52" t="str">
        <f t="shared" si="225"/>
        <v/>
      </c>
      <c r="U554" s="52">
        <f>IFERROR(IF(AR555=AR554,INDEX('Aub Demand'!Q:Q,MATCH($O554,'Aub Demand'!$A:$A,0))-IF(AN554="",0,AN554)+AP555,INDEX('Aub Demand'!Q:Q,MATCH($O554,'Aub Demand'!$A:$A,0))-IF(AN554="",0,AN554)),"")</f>
        <v>-7</v>
      </c>
      <c r="V554" s="53">
        <f t="shared" si="226"/>
        <v>-3.8</v>
      </c>
      <c r="W554" s="52" t="str">
        <f t="shared" si="227"/>
        <v/>
      </c>
      <c r="X554" s="52">
        <f>IFERROR(IF(AND(AR555=AR554,AM554&lt;&gt;""),INDEX('Aub Demand'!Q:Q,MATCH($O554,'Aub Demand'!$A:$A,0))-IF(AN554="",0,AN554)+AP555+AD554+AL554,IF(AR555=AR554,INDEX('Aub Demand'!Q:Q,MATCH($O554,'Aub Demand'!$A:$A,0))-IF(AN554="",0,AN554)+AP555+AD554,IF(AM554&lt;&gt;"",INDEX('Aub Demand'!Q:Q,MATCH($O554,'Aub Demand'!$A:$A,0))-IF(AN554="",0,AN554)+AD554+AL554,INDEX('Aub Demand'!Q:Q,MATCH($O554,'Aub Demand'!$A:$A,0))-IF(AN554="",0,AN554)+AD554))),"")</f>
        <v>-7</v>
      </c>
      <c r="Y554" s="53">
        <f t="shared" si="228"/>
        <v>-3.8</v>
      </c>
      <c r="Z554" s="52">
        <f>IF(L554="","",INDEX('Aub Demand'!H:H,MATCH($O554,'Aub Demand'!$A:$A,0)))</f>
        <v>8</v>
      </c>
      <c r="AA554" s="52" t="str">
        <f t="shared" si="229"/>
        <v>-spike-</v>
      </c>
      <c r="AB554" s="52">
        <f>IFERROR(INDEX('Aub Demand'!L:L,MATCH($O554,'Aub Demand'!$A:$A,0)),"")</f>
        <v>0</v>
      </c>
      <c r="AC554" s="52">
        <f>IFERROR(IF(O554="","",SUMIFS('CPL Mats'!F:F,'CPL Mats'!Q:Q,AR554,'CPL Mats'!S:S,AS554)),"")</f>
        <v>0</v>
      </c>
      <c r="AF554" s="25" t="str">
        <f>IF(SUMIFS('Supp Consol'!S:S,'Supp Consol'!Y:Y,"Releasable",'Supp Consol'!A:A,O554)=0,"",SUMIFS('Supp Consol'!S:S,'Supp Consol'!Y:Y,"Releasable",'Supp Consol'!A:A,O554))</f>
        <v/>
      </c>
      <c r="AG554" s="25">
        <f>IFERROR(INDEX('Hun Demand'!Q:Q,MATCH(O554,'Hun Demand'!A:A,0)),"")</f>
        <v>603</v>
      </c>
      <c r="AH554" s="25">
        <f>IFERROR(INDEX('Hun Demand'!H:H,MATCH($O554,'Hun Demand'!$A:$A,0)),"")</f>
        <v>0</v>
      </c>
      <c r="AI554" s="25" t="str">
        <f>IF(SUMIFS('Supp Consol'!AA:AA,'Supp Consol'!Z:Z,"Expires this month",'Supp Consol'!A:A,O554)=0,"",SUMIFS('Supp Consol'!AA:AA,'Supp Consol'!Z:Z,"Expires this month",'Supp Consol'!A:A,O554))</f>
        <v/>
      </c>
      <c r="AJ554" s="25" t="str">
        <f>IF(SUMIFS('Supp Consol'!AA:AA,'Supp Consol'!Z:Z,"Expired Previous Months",'Supp Consol'!A:A,O554)=0,"",SUMIFS('Supp Consol'!AA:AA,'Supp Consol'!Z:Z,"Expired Previous Months",'Supp Consol'!A:A,O554))</f>
        <v/>
      </c>
      <c r="AK554" s="25" t="str">
        <f>IFERROR(INDEX('Hun Release Current'!B:B,MATCH(O554,'Hun Release Current'!A:A,0)),"")</f>
        <v/>
      </c>
      <c r="AL554" s="25" t="str">
        <f>IF(SUMIF('Prev Aub'!A:A,O554,'Prev Aub'!B:B)=0,"",SUMIF('Prev Aub'!A:A,O554,'Prev Aub'!B:B))</f>
        <v/>
      </c>
      <c r="AN554" s="25" t="s">
        <v>3790</v>
      </c>
      <c r="AO554" s="25" t="s">
        <v>3790</v>
      </c>
      <c r="AP554" s="25">
        <f t="shared" si="230"/>
        <v>0</v>
      </c>
      <c r="AQ554" s="151" t="str">
        <f>IF(SUMIFS('Supp Consol'!S:S,'Supp Consol'!A:A,O554,'Supp Consol'!I:I,"PENDING")=0,"",SUMIFS('Supp Consol'!S:S,'Supp Consol'!A:A,O554,'Supp Consol'!I:I,"PENDING"))</f>
        <v/>
      </c>
      <c r="AR554" s="27" t="str">
        <f t="shared" si="231"/>
        <v>HP357</v>
      </c>
      <c r="AS554" s="27" t="str">
        <f t="shared" si="232"/>
        <v>50</v>
      </c>
      <c r="AT554" s="27" t="str">
        <f t="shared" si="233"/>
        <v>HP357</v>
      </c>
      <c r="AU554" s="27" t="str">
        <f t="shared" si="234"/>
        <v>HP357</v>
      </c>
      <c r="AV554" s="27" t="str">
        <f t="shared" si="235"/>
        <v>HP357</v>
      </c>
      <c r="AW554" s="27" t="str">
        <f t="shared" si="236"/>
        <v/>
      </c>
      <c r="AX554" s="27" t="str">
        <f t="shared" si="237"/>
        <v/>
      </c>
      <c r="AY554" s="27" t="str">
        <f t="shared" si="238"/>
        <v>HP357</v>
      </c>
      <c r="AZ554" s="27" t="str">
        <f t="shared" si="239"/>
        <v/>
      </c>
      <c r="BA554" s="27" t="str">
        <f t="shared" si="240"/>
        <v>Hun</v>
      </c>
      <c r="BB554" s="27" t="str">
        <f t="shared" si="241"/>
        <v>Gross</v>
      </c>
      <c r="BC554" s="27" t="str">
        <f t="shared" si="242"/>
        <v>Net</v>
      </c>
      <c r="BD554" s="27" t="str">
        <f t="shared" si="243"/>
        <v>Net</v>
      </c>
      <c r="BE554" s="27" t="str">
        <f t="shared" si="244"/>
        <v/>
      </c>
      <c r="BF554" s="27" t="str">
        <f t="shared" si="245"/>
        <v/>
      </c>
      <c r="BG554" s="27" t="str">
        <f t="shared" si="246"/>
        <v/>
      </c>
      <c r="BH554" s="27" t="str">
        <f t="shared" si="247"/>
        <v>H+N</v>
      </c>
      <c r="BI554" s="27" t="str">
        <f t="shared" si="248"/>
        <v>H+Nex</v>
      </c>
      <c r="BJ554" s="27" t="str">
        <f t="shared" si="249"/>
        <v>Supp or Hun</v>
      </c>
      <c r="BK554" s="27" t="str">
        <f t="shared" si="250"/>
        <v>Supp or Hun Need</v>
      </c>
      <c r="BL554" s="27" t="str">
        <f t="shared" si="251"/>
        <v>SorHandNandE</v>
      </c>
      <c r="BM554" s="21" t="s">
        <v>3790</v>
      </c>
    </row>
    <row r="555" spans="1:65" ht="15">
      <c r="A555" s="25">
        <f>IFERROR(INDEX('Hun Demand'!W:W,MATCH(O555,'Hun Demand'!A:A,0)),"")</f>
        <v>290</v>
      </c>
      <c r="B555" s="25">
        <f>IFERROR(INDEX('Hun Demand'!V:V,MATCH(O555,'Hun Demand'!A:A,0)),"")</f>
        <v>276</v>
      </c>
      <c r="C555" s="25">
        <f>IFERROR(INDEX('Hun Demand'!U:U,MATCH(O555,'Hun Demand'!A:A,0)),"")</f>
        <v>344</v>
      </c>
      <c r="D555" s="25">
        <f>IFERROR(INDEX('Hun Demand'!T:T,MATCH(O555,'Hun Demand'!A:A,0)),"")</f>
        <v>599</v>
      </c>
      <c r="E555" s="25">
        <f>IFERROR(INDEX('Hun Demand'!S:S,MATCH(O555,'Hun Demand'!A:A,0)),"")</f>
        <v>708</v>
      </c>
      <c r="F555" s="25">
        <f>IFERROR(INDEX('Hun Demand'!R:R,MATCH(O555,'Hun Demand'!A:A,0)),"")</f>
        <v>0</v>
      </c>
      <c r="G555" s="25">
        <f>IFERROR(INDEX('Aub Demand'!W:W,MATCH(O555,'Aub Demand'!A:A,0)),"")</f>
        <v>0</v>
      </c>
      <c r="H555" s="25">
        <f>IFERROR(INDEX('Aub Demand'!V:V,MATCH(O555,'Aub Demand'!A:A,0)),"")</f>
        <v>0</v>
      </c>
      <c r="I555" s="25">
        <f>IFERROR(INDEX('Aub Demand'!U:U,MATCH(O555,'Aub Demand'!A:A,0)),"")</f>
        <v>15</v>
      </c>
      <c r="J555" s="25">
        <f>IFERROR(INDEX('Aub Demand'!T:T,MATCH(O555,'Aub Demand'!A:A,0)),"")</f>
        <v>46</v>
      </c>
      <c r="K555" s="25">
        <f>IFERROR(INDEX('Aub Demand'!S:S,MATCH(O555,'Aub Demand'!A:A,0)),"")</f>
        <v>92</v>
      </c>
      <c r="L555" s="25">
        <f>IFERROR(INDEX('Aub Demand'!R:R,MATCH(O555,'Aub Demand'!A:A,0)),"")</f>
        <v>0</v>
      </c>
      <c r="O555" s="27" t="s">
        <v>922</v>
      </c>
      <c r="P555" s="27" t="str">
        <f>IFERROR(INDEX('Aub Demand'!B:B,MATCH($O555,'Aub Demand'!$A:$A,0)),"")</f>
        <v>CHERRY AVANTI WOOD</v>
      </c>
      <c r="Q555" s="27" t="str">
        <f>IFERROR(INDEX('Aub Demand'!C:C,MATCH($O555,'Aub Demand'!$A:$A,0)),"")</f>
        <v>INTER</v>
      </c>
      <c r="R555" s="52">
        <f>IFERROR(IF(AR556=AR555,INDEX('Aub Demand'!K:K,MATCH($O555,'Aub Demand'!$A:$A,0))-IF(AN555="",0,AN555)+AP556,INDEX('Aub Demand'!K:K,MATCH($O555,'Aub Demand'!$A:$A,0))-IF(AN555="",0,AN555)),"")</f>
        <v>857</v>
      </c>
      <c r="S555" s="53">
        <f t="shared" si="224"/>
        <v>72</v>
      </c>
      <c r="T555" s="52" t="str">
        <f t="shared" si="225"/>
        <v/>
      </c>
      <c r="U555" s="52">
        <f>IFERROR(IF(AR556=AR555,INDEX('Aub Demand'!Q:Q,MATCH($O555,'Aub Demand'!$A:$A,0))-IF(AN555="",0,AN555)+AP556,INDEX('Aub Demand'!Q:Q,MATCH($O555,'Aub Demand'!$A:$A,0))-IF(AN555="",0,AN555)),"")</f>
        <v>857</v>
      </c>
      <c r="V555" s="53">
        <f t="shared" si="226"/>
        <v>72</v>
      </c>
      <c r="W555" s="52" t="str">
        <f t="shared" si="227"/>
        <v/>
      </c>
      <c r="X555" s="52">
        <f>IFERROR(IF(AND(AR556=AR555,AM555&lt;&gt;""),INDEX('Aub Demand'!Q:Q,MATCH($O555,'Aub Demand'!$A:$A,0))-IF(AN555="",0,AN555)+AP556+AD555+AL555,IF(AR556=AR555,INDEX('Aub Demand'!Q:Q,MATCH($O555,'Aub Demand'!$A:$A,0))-IF(AN555="",0,AN555)+AP556+AD555,IF(AM555&lt;&gt;"",INDEX('Aub Demand'!Q:Q,MATCH($O555,'Aub Demand'!$A:$A,0))-IF(AN555="",0,AN555)+AD555+AL555,INDEX('Aub Demand'!Q:Q,MATCH($O555,'Aub Demand'!$A:$A,0))-IF(AN555="",0,AN555)+AD555))),"")</f>
        <v>857</v>
      </c>
      <c r="Y555" s="53">
        <f t="shared" si="228"/>
        <v>72</v>
      </c>
      <c r="Z555" s="52">
        <f>IF(L555="","",INDEX('Aub Demand'!H:H,MATCH($O555,'Aub Demand'!$A:$A,0)))</f>
        <v>51</v>
      </c>
      <c r="AA555" s="52">
        <f t="shared" si="229"/>
        <v>69</v>
      </c>
      <c r="AB555" s="52">
        <f>IFERROR(INDEX('Aub Demand'!L:L,MATCH($O555,'Aub Demand'!$A:$A,0)),"")</f>
        <v>39</v>
      </c>
      <c r="AC555" s="52">
        <f>IFERROR(IF(O555="","",SUMIFS('CPL Mats'!F:F,'CPL Mats'!Q:Q,AR555,'CPL Mats'!S:S,AS555)),"")</f>
        <v>0</v>
      </c>
      <c r="AF555" s="25" t="str">
        <f>IF(SUMIFS('Supp Consol'!S:S,'Supp Consol'!Y:Y,"Releasable",'Supp Consol'!A:A,O555)=0,"",SUMIFS('Supp Consol'!S:S,'Supp Consol'!Y:Y,"Releasable",'Supp Consol'!A:A,O555))</f>
        <v/>
      </c>
      <c r="AG555" s="25">
        <f>IFERROR(INDEX('Hun Demand'!Q:Q,MATCH(O555,'Hun Demand'!A:A,0)),"")</f>
        <v>4074</v>
      </c>
      <c r="AH555" s="25">
        <f>IFERROR(INDEX('Hun Demand'!H:H,MATCH($O555,'Hun Demand'!$A:$A,0)),"")</f>
        <v>550</v>
      </c>
      <c r="AI555" s="25" t="str">
        <f>IF(SUMIFS('Supp Consol'!AA:AA,'Supp Consol'!Z:Z,"Expires this month",'Supp Consol'!A:A,O555)=0,"",SUMIFS('Supp Consol'!AA:AA,'Supp Consol'!Z:Z,"Expires this month",'Supp Consol'!A:A,O555))</f>
        <v/>
      </c>
      <c r="AJ555" s="25" t="str">
        <f>IF(SUMIFS('Supp Consol'!AA:AA,'Supp Consol'!Z:Z,"Expired Previous Months",'Supp Consol'!A:A,O555)=0,"",SUMIFS('Supp Consol'!AA:AA,'Supp Consol'!Z:Z,"Expired Previous Months",'Supp Consol'!A:A,O555))</f>
        <v/>
      </c>
      <c r="AK555" s="25" t="str">
        <f>IFERROR(INDEX('Hun Release Current'!B:B,MATCH(O555,'Hun Release Current'!A:A,0)),"")</f>
        <v/>
      </c>
      <c r="AL555" s="25" t="str">
        <f>IF(SUMIF('Prev Aub'!A:A,O555,'Prev Aub'!B:B)=0,"",SUMIF('Prev Aub'!A:A,O555,'Prev Aub'!B:B))</f>
        <v/>
      </c>
      <c r="AN555" s="25" t="s">
        <v>3790</v>
      </c>
      <c r="AO555" s="25" t="s">
        <v>3790</v>
      </c>
      <c r="AP555" s="25">
        <f t="shared" si="230"/>
        <v>0</v>
      </c>
      <c r="AQ555" s="151" t="str">
        <f>IF(SUMIFS('Supp Consol'!S:S,'Supp Consol'!A:A,O555,'Supp Consol'!I:I,"PENDING")=0,"",SUMIFS('Supp Consol'!S:S,'Supp Consol'!A:A,O555,'Supp Consol'!I:I,"PENDING"))</f>
        <v/>
      </c>
      <c r="AR555" s="27" t="str">
        <f t="shared" si="231"/>
        <v>HP357</v>
      </c>
      <c r="AS555" s="27" t="str">
        <f t="shared" si="232"/>
        <v>62</v>
      </c>
      <c r="AT555" s="27" t="str">
        <f t="shared" si="233"/>
        <v/>
      </c>
      <c r="AU555" s="27" t="str">
        <f t="shared" si="234"/>
        <v/>
      </c>
      <c r="AV555" s="27" t="str">
        <f t="shared" si="235"/>
        <v/>
      </c>
      <c r="AW555" s="27" t="str">
        <f t="shared" si="236"/>
        <v/>
      </c>
      <c r="AX555" s="27" t="str">
        <f t="shared" si="237"/>
        <v/>
      </c>
      <c r="AY555" s="27" t="str">
        <f t="shared" si="238"/>
        <v>HP357</v>
      </c>
      <c r="AZ555" s="27" t="str">
        <f t="shared" si="239"/>
        <v/>
      </c>
      <c r="BA555" s="27" t="str">
        <f t="shared" si="240"/>
        <v>Hun</v>
      </c>
      <c r="BB555" s="27" t="str">
        <f t="shared" si="241"/>
        <v>Gross</v>
      </c>
      <c r="BC555" s="27" t="str">
        <f t="shared" si="242"/>
        <v>Net</v>
      </c>
      <c r="BD555" s="27" t="str">
        <f t="shared" si="243"/>
        <v>Net</v>
      </c>
      <c r="BE555" s="27" t="str">
        <f t="shared" si="244"/>
        <v/>
      </c>
      <c r="BF555" s="27" t="str">
        <f t="shared" si="245"/>
        <v/>
      </c>
      <c r="BG555" s="27" t="str">
        <f t="shared" si="246"/>
        <v/>
      </c>
      <c r="BH555" s="27" t="str">
        <f t="shared" si="247"/>
        <v>H+N</v>
      </c>
      <c r="BI555" s="27" t="str">
        <f t="shared" si="248"/>
        <v>H+Nex</v>
      </c>
      <c r="BJ555" s="27" t="str">
        <f t="shared" si="249"/>
        <v>Supp or Hun</v>
      </c>
      <c r="BK555" s="27" t="str">
        <f t="shared" si="250"/>
        <v>Supp or Hun Need</v>
      </c>
      <c r="BL555" s="27" t="str">
        <f t="shared" si="251"/>
        <v>SorHandNandE</v>
      </c>
      <c r="BM555" s="21" t="s">
        <v>5582</v>
      </c>
    </row>
    <row r="556" spans="1:65" ht="15">
      <c r="A556" s="25" t="str">
        <f>IFERROR(INDEX('Hun Demand'!W:W,MATCH(O556,'Hun Demand'!A:A,0)),"")</f>
        <v/>
      </c>
      <c r="B556" s="25" t="str">
        <f>IFERROR(INDEX('Hun Demand'!V:V,MATCH(O556,'Hun Demand'!A:A,0)),"")</f>
        <v/>
      </c>
      <c r="C556" s="25" t="str">
        <f>IFERROR(INDEX('Hun Demand'!U:U,MATCH(O556,'Hun Demand'!A:A,0)),"")</f>
        <v/>
      </c>
      <c r="D556" s="25" t="str">
        <f>IFERROR(INDEX('Hun Demand'!T:T,MATCH(O556,'Hun Demand'!A:A,0)),"")</f>
        <v/>
      </c>
      <c r="E556" s="25" t="str">
        <f>IFERROR(INDEX('Hun Demand'!S:S,MATCH(O556,'Hun Demand'!A:A,0)),"")</f>
        <v/>
      </c>
      <c r="F556" s="25" t="str">
        <f>IFERROR(INDEX('Hun Demand'!R:R,MATCH(O556,'Hun Demand'!A:A,0)),"")</f>
        <v/>
      </c>
      <c r="G556" s="25">
        <f>IFERROR(INDEX('Aub Demand'!W:W,MATCH(O556,'Aub Demand'!A:A,0)),"")</f>
        <v>0</v>
      </c>
      <c r="H556" s="25">
        <f>IFERROR(INDEX('Aub Demand'!V:V,MATCH(O556,'Aub Demand'!A:A,0)),"")</f>
        <v>0</v>
      </c>
      <c r="I556" s="25">
        <f>IFERROR(INDEX('Aub Demand'!U:U,MATCH(O556,'Aub Demand'!A:A,0)),"")</f>
        <v>0</v>
      </c>
      <c r="J556" s="25">
        <f>IFERROR(INDEX('Aub Demand'!T:T,MATCH(O556,'Aub Demand'!A:A,0)),"")</f>
        <v>0</v>
      </c>
      <c r="K556" s="25">
        <f>IFERROR(INDEX('Aub Demand'!S:S,MATCH(O556,'Aub Demand'!A:A,0)),"")</f>
        <v>0</v>
      </c>
      <c r="L556" s="25">
        <f>IFERROR(INDEX('Aub Demand'!R:R,MATCH(O556,'Aub Demand'!A:A,0)),"")</f>
        <v>0</v>
      </c>
      <c r="O556" s="27" t="s">
        <v>923</v>
      </c>
      <c r="P556" s="27" t="str">
        <f>IFERROR(INDEX('Aub Demand'!B:B,MATCH($O556,'Aub Demand'!$A:$A,0)),"")</f>
        <v>MAPLE AVANTI WOOD</v>
      </c>
      <c r="Q556" s="27" t="str">
        <f>IFERROR(INDEX('Aub Demand'!C:C,MATCH($O556,'Aub Demand'!$A:$A,0)),"")</f>
        <v>INTER</v>
      </c>
      <c r="R556" s="52">
        <f>IFERROR(IF(AR557=AR556,INDEX('Aub Demand'!K:K,MATCH($O556,'Aub Demand'!$A:$A,0))-IF(AN556="",0,AN556)+AP557,INDEX('Aub Demand'!K:K,MATCH($O556,'Aub Demand'!$A:$A,0))-IF(AN556="",0,AN556)),"")</f>
        <v>280</v>
      </c>
      <c r="S556" s="53" t="str">
        <f t="shared" si="224"/>
        <v>n/a</v>
      </c>
      <c r="T556" s="52" t="str">
        <f t="shared" si="225"/>
        <v/>
      </c>
      <c r="U556" s="52">
        <f>IFERROR(IF(AR557=AR556,INDEX('Aub Demand'!Q:Q,MATCH($O556,'Aub Demand'!$A:$A,0))-IF(AN556="",0,AN556)+AP557,INDEX('Aub Demand'!Q:Q,MATCH($O556,'Aub Demand'!$A:$A,0))-IF(AN556="",0,AN556)),"")</f>
        <v>280</v>
      </c>
      <c r="V556" s="53" t="str">
        <f t="shared" si="226"/>
        <v>n/a</v>
      </c>
      <c r="W556" s="52" t="str">
        <f t="shared" si="227"/>
        <v/>
      </c>
      <c r="X556" s="52">
        <f>IFERROR(IF(AND(AR557=AR556,AM556&lt;&gt;""),INDEX('Aub Demand'!Q:Q,MATCH($O556,'Aub Demand'!$A:$A,0))-IF(AN556="",0,AN556)+AP557+AD556+AL556,IF(AR557=AR556,INDEX('Aub Demand'!Q:Q,MATCH($O556,'Aub Demand'!$A:$A,0))-IF(AN556="",0,AN556)+AP557+AD556,IF(AM556&lt;&gt;"",INDEX('Aub Demand'!Q:Q,MATCH($O556,'Aub Demand'!$A:$A,0))-IF(AN556="",0,AN556)+AD556+AL556,INDEX('Aub Demand'!Q:Q,MATCH($O556,'Aub Demand'!$A:$A,0))-IF(AN556="",0,AN556)+AD556))),"")</f>
        <v>280</v>
      </c>
      <c r="Y556" s="53" t="str">
        <f t="shared" si="228"/>
        <v>n/a</v>
      </c>
      <c r="Z556" s="52">
        <f>IF(L556="","",INDEX('Aub Demand'!H:H,MATCH($O556,'Aub Demand'!$A:$A,0)))</f>
        <v>0</v>
      </c>
      <c r="AA556" s="52" t="str">
        <f t="shared" si="229"/>
        <v>-spike-</v>
      </c>
      <c r="AB556" s="52">
        <f>IFERROR(INDEX('Aub Demand'!L:L,MATCH($O556,'Aub Demand'!$A:$A,0)),"")</f>
        <v>0</v>
      </c>
      <c r="AC556" s="52">
        <f>IFERROR(IF(O556="","",SUMIFS('CPL Mats'!F:F,'CPL Mats'!Q:Q,AR556,'CPL Mats'!S:S,AS556)),"")</f>
        <v>0</v>
      </c>
      <c r="AF556" s="25" t="str">
        <f>IF(SUMIFS('Supp Consol'!S:S,'Supp Consol'!Y:Y,"Releasable",'Supp Consol'!A:A,O556)=0,"",SUMIFS('Supp Consol'!S:S,'Supp Consol'!Y:Y,"Releasable",'Supp Consol'!A:A,O556))</f>
        <v/>
      </c>
      <c r="AG556" s="25" t="str">
        <f>IFERROR(INDEX('Hun Demand'!Q:Q,MATCH(O556,'Hun Demand'!A:A,0)),"")</f>
        <v/>
      </c>
      <c r="AH556" s="25" t="str">
        <f>IFERROR(INDEX('Hun Demand'!H:H,MATCH($O556,'Hun Demand'!$A:$A,0)),"")</f>
        <v/>
      </c>
      <c r="AI556" s="25" t="str">
        <f>IF(SUMIFS('Supp Consol'!AA:AA,'Supp Consol'!Z:Z,"Expires this month",'Supp Consol'!A:A,O556)=0,"",SUMIFS('Supp Consol'!AA:AA,'Supp Consol'!Z:Z,"Expires this month",'Supp Consol'!A:A,O556))</f>
        <v/>
      </c>
      <c r="AJ556" s="25" t="str">
        <f>IF(SUMIFS('Supp Consol'!AA:AA,'Supp Consol'!Z:Z,"Expired Previous Months",'Supp Consol'!A:A,O556)=0,"",SUMIFS('Supp Consol'!AA:AA,'Supp Consol'!Z:Z,"Expired Previous Months",'Supp Consol'!A:A,O556))</f>
        <v/>
      </c>
      <c r="AK556" s="25" t="str">
        <f>IFERROR(INDEX('Hun Release Current'!B:B,MATCH(O556,'Hun Release Current'!A:A,0)),"")</f>
        <v/>
      </c>
      <c r="AL556" s="25" t="str">
        <f>IF(SUMIF('Prev Aub'!A:A,O556,'Prev Aub'!B:B)=0,"",SUMIF('Prev Aub'!A:A,O556,'Prev Aub'!B:B))</f>
        <v/>
      </c>
      <c r="AN556" s="25" t="s">
        <v>3790</v>
      </c>
      <c r="AO556" s="25" t="s">
        <v>3790</v>
      </c>
      <c r="AP556" s="25">
        <f t="shared" si="230"/>
        <v>0</v>
      </c>
      <c r="AQ556" s="151" t="str">
        <f>IF(SUMIFS('Supp Consol'!S:S,'Supp Consol'!A:A,O556,'Supp Consol'!I:I,"PENDING")=0,"",SUMIFS('Supp Consol'!S:S,'Supp Consol'!A:A,O556,'Supp Consol'!I:I,"PENDING"))</f>
        <v/>
      </c>
      <c r="AR556" s="27" t="str">
        <f t="shared" si="231"/>
        <v>HP358</v>
      </c>
      <c r="AS556" s="27" t="str">
        <f t="shared" si="232"/>
        <v>50</v>
      </c>
      <c r="AT556" s="27" t="str">
        <f t="shared" si="233"/>
        <v/>
      </c>
      <c r="AU556" s="27" t="str">
        <f t="shared" si="234"/>
        <v/>
      </c>
      <c r="AV556" s="27" t="str">
        <f t="shared" si="235"/>
        <v/>
      </c>
      <c r="AW556" s="27" t="str">
        <f t="shared" si="236"/>
        <v/>
      </c>
      <c r="AX556" s="27" t="str">
        <f t="shared" si="237"/>
        <v/>
      </c>
      <c r="AY556" s="27" t="str">
        <f t="shared" si="238"/>
        <v/>
      </c>
      <c r="AZ556" s="27" t="str">
        <f t="shared" si="239"/>
        <v/>
      </c>
      <c r="BA556" s="27" t="str">
        <f t="shared" si="240"/>
        <v/>
      </c>
      <c r="BB556" s="27" t="str">
        <f t="shared" si="241"/>
        <v/>
      </c>
      <c r="BC556" s="27" t="str">
        <f t="shared" si="242"/>
        <v/>
      </c>
      <c r="BD556" s="27" t="str">
        <f t="shared" si="243"/>
        <v/>
      </c>
      <c r="BE556" s="27" t="str">
        <f t="shared" si="244"/>
        <v/>
      </c>
      <c r="BF556" s="27" t="str">
        <f t="shared" si="245"/>
        <v/>
      </c>
      <c r="BG556" s="27" t="str">
        <f t="shared" si="246"/>
        <v/>
      </c>
      <c r="BH556" s="27" t="str">
        <f t="shared" si="247"/>
        <v/>
      </c>
      <c r="BI556" s="27" t="str">
        <f t="shared" si="248"/>
        <v/>
      </c>
      <c r="BJ556" s="27" t="str">
        <f t="shared" si="249"/>
        <v/>
      </c>
      <c r="BK556" s="27" t="str">
        <f t="shared" si="250"/>
        <v/>
      </c>
      <c r="BL556" s="27" t="str">
        <f t="shared" si="251"/>
        <v/>
      </c>
      <c r="BM556" s="21" t="s">
        <v>3790</v>
      </c>
    </row>
    <row r="557" spans="1:65" ht="15">
      <c r="A557" s="25">
        <f>IFERROR(INDEX('Hun Demand'!W:W,MATCH(O557,'Hun Demand'!A:A,0)),"")</f>
        <v>0</v>
      </c>
      <c r="B557" s="25">
        <f>IFERROR(INDEX('Hun Demand'!V:V,MATCH(O557,'Hun Demand'!A:A,0)),"")</f>
        <v>0</v>
      </c>
      <c r="C557" s="25">
        <f>IFERROR(INDEX('Hun Demand'!U:U,MATCH(O557,'Hun Demand'!A:A,0)),"")</f>
        <v>0</v>
      </c>
      <c r="D557" s="25">
        <f>IFERROR(INDEX('Hun Demand'!T:T,MATCH(O557,'Hun Demand'!A:A,0)),"")</f>
        <v>0</v>
      </c>
      <c r="E557" s="25">
        <f>IFERROR(INDEX('Hun Demand'!S:S,MATCH(O557,'Hun Demand'!A:A,0)),"")</f>
        <v>0</v>
      </c>
      <c r="F557" s="25">
        <f>IFERROR(INDEX('Hun Demand'!R:R,MATCH(O557,'Hun Demand'!A:A,0)),"")</f>
        <v>0</v>
      </c>
      <c r="G557" s="25">
        <f>IFERROR(INDEX('Aub Demand'!W:W,MATCH(O557,'Aub Demand'!A:A,0)),"")</f>
        <v>52</v>
      </c>
      <c r="H557" s="25">
        <f>IFERROR(INDEX('Aub Demand'!V:V,MATCH(O557,'Aub Demand'!A:A,0)),"")</f>
        <v>0</v>
      </c>
      <c r="I557" s="25">
        <f>IFERROR(INDEX('Aub Demand'!U:U,MATCH(O557,'Aub Demand'!A:A,0)),"")</f>
        <v>39</v>
      </c>
      <c r="J557" s="25">
        <f>IFERROR(INDEX('Aub Demand'!T:T,MATCH(O557,'Aub Demand'!A:A,0)),"")</f>
        <v>59</v>
      </c>
      <c r="K557" s="25">
        <f>IFERROR(INDEX('Aub Demand'!S:S,MATCH(O557,'Aub Demand'!A:A,0)),"")</f>
        <v>0</v>
      </c>
      <c r="L557" s="25">
        <f>IFERROR(INDEX('Aub Demand'!R:R,MATCH(O557,'Aub Demand'!A:A,0)),"")</f>
        <v>0</v>
      </c>
      <c r="O557" s="27" t="s">
        <v>926</v>
      </c>
      <c r="P557" s="27" t="str">
        <f>IFERROR(INDEX('Aub Demand'!B:B,MATCH($O557,'Aub Demand'!$A:$A,0)),"")</f>
        <v>THUNDERSTORM</v>
      </c>
      <c r="Q557" s="27" t="str">
        <f>IFERROR(INDEX('Aub Demand'!C:C,MATCH($O557,'Aub Demand'!$A:$A,0)),"")</f>
        <v>INTER</v>
      </c>
      <c r="R557" s="52">
        <f>IFERROR(IF(AR558=AR557,INDEX('Aub Demand'!K:K,MATCH($O557,'Aub Demand'!$A:$A,0))-IF(AN557="",0,AN557)+AP558,INDEX('Aub Demand'!K:K,MATCH($O557,'Aub Demand'!$A:$A,0))-IF(AN557="",0,AN557)),"")</f>
        <v>0</v>
      </c>
      <c r="S557" s="53">
        <f t="shared" si="224"/>
        <v>0</v>
      </c>
      <c r="T557" s="52">
        <f t="shared" si="225"/>
        <v>36.75</v>
      </c>
      <c r="U557" s="52">
        <f>IFERROR(IF(AR558=AR557,INDEX('Aub Demand'!Q:Q,MATCH($O557,'Aub Demand'!$A:$A,0))-IF(AN557="",0,AN557)+AP558,INDEX('Aub Demand'!Q:Q,MATCH($O557,'Aub Demand'!$A:$A,0))-IF(AN557="",0,AN557)),"")</f>
        <v>-34</v>
      </c>
      <c r="V557" s="53">
        <f t="shared" si="226"/>
        <v>-4.4000000000000004</v>
      </c>
      <c r="W557" s="52">
        <f t="shared" si="227"/>
        <v>90.65</v>
      </c>
      <c r="X557" s="52">
        <f>IFERROR(IF(AND(AR558=AR557,AM557&lt;&gt;""),INDEX('Aub Demand'!Q:Q,MATCH($O557,'Aub Demand'!$A:$A,0))-IF(AN557="",0,AN557)+AP558+AD557+AL557,IF(AR558=AR557,INDEX('Aub Demand'!Q:Q,MATCH($O557,'Aub Demand'!$A:$A,0))-IF(AN557="",0,AN557)+AP558+AD557,IF(AM557&lt;&gt;"",INDEX('Aub Demand'!Q:Q,MATCH($O557,'Aub Demand'!$A:$A,0))-IF(AN557="",0,AN557)+AD557+AL557,INDEX('Aub Demand'!Q:Q,MATCH($O557,'Aub Demand'!$A:$A,0))-IF(AN557="",0,AN557)+AD557))),"")</f>
        <v>-34</v>
      </c>
      <c r="Y557" s="53">
        <f t="shared" si="228"/>
        <v>-4.4000000000000004</v>
      </c>
      <c r="Z557" s="52">
        <f>IF(L557="","",INDEX('Aub Demand'!H:H,MATCH($O557,'Aub Demand'!$A:$A,0)))</f>
        <v>33</v>
      </c>
      <c r="AA557" s="52">
        <f t="shared" si="229"/>
        <v>49</v>
      </c>
      <c r="AB557" s="52">
        <f>IFERROR(INDEX('Aub Demand'!L:L,MATCH($O557,'Aub Demand'!$A:$A,0)),"")</f>
        <v>30</v>
      </c>
      <c r="AC557" s="52">
        <f>IFERROR(IF(O557="","",SUMIFS('CPL Mats'!F:F,'CPL Mats'!Q:Q,AR557,'CPL Mats'!S:S,AS557)),"")</f>
        <v>0</v>
      </c>
      <c r="AF557" s="25" t="str">
        <f>IF(SUMIFS('Supp Consol'!S:S,'Supp Consol'!Y:Y,"Releasable",'Supp Consol'!A:A,O557)=0,"",SUMIFS('Supp Consol'!S:S,'Supp Consol'!Y:Y,"Releasable",'Supp Consol'!A:A,O557))</f>
        <v/>
      </c>
      <c r="AG557" s="25">
        <f>IFERROR(INDEX('Hun Demand'!Q:Q,MATCH(O557,'Hun Demand'!A:A,0)),"")</f>
        <v>1237</v>
      </c>
      <c r="AH557" s="25">
        <f>IFERROR(INDEX('Hun Demand'!H:H,MATCH($O557,'Hun Demand'!$A:$A,0)),"")</f>
        <v>0</v>
      </c>
      <c r="AI557" s="25" t="str">
        <f>IF(SUMIFS('Supp Consol'!AA:AA,'Supp Consol'!Z:Z,"Expires this month",'Supp Consol'!A:A,O557)=0,"",SUMIFS('Supp Consol'!AA:AA,'Supp Consol'!Z:Z,"Expires this month",'Supp Consol'!A:A,O557))</f>
        <v/>
      </c>
      <c r="AJ557" s="25" t="str">
        <f>IF(SUMIFS('Supp Consol'!AA:AA,'Supp Consol'!Z:Z,"Expired Previous Months",'Supp Consol'!A:A,O557)=0,"",SUMIFS('Supp Consol'!AA:AA,'Supp Consol'!Z:Z,"Expired Previous Months",'Supp Consol'!A:A,O557))</f>
        <v/>
      </c>
      <c r="AK557" s="25" t="str">
        <f>IFERROR(INDEX('Hun Release Current'!B:B,MATCH(O557,'Hun Release Current'!A:A,0)),"")</f>
        <v/>
      </c>
      <c r="AL557" s="25" t="str">
        <f>IF(SUMIF('Prev Aub'!A:A,O557,'Prev Aub'!B:B)=0,"",SUMIF('Prev Aub'!A:A,O557,'Prev Aub'!B:B))</f>
        <v/>
      </c>
      <c r="AN557" s="25" t="s">
        <v>3790</v>
      </c>
      <c r="AO557" s="25" t="s">
        <v>3790</v>
      </c>
      <c r="AP557" s="25">
        <f t="shared" si="230"/>
        <v>0</v>
      </c>
      <c r="AQ557" s="151" t="str">
        <f>IF(SUMIFS('Supp Consol'!S:S,'Supp Consol'!A:A,O557,'Supp Consol'!I:I,"PENDING")=0,"",SUMIFS('Supp Consol'!S:S,'Supp Consol'!A:A,O557,'Supp Consol'!I:I,"PENDING"))</f>
        <v/>
      </c>
      <c r="AR557" s="27" t="str">
        <f t="shared" si="231"/>
        <v>HP359</v>
      </c>
      <c r="AS557" s="27" t="str">
        <f t="shared" si="232"/>
        <v>50</v>
      </c>
      <c r="AT557" s="27" t="str">
        <f t="shared" si="233"/>
        <v>HP359</v>
      </c>
      <c r="AU557" s="27" t="str">
        <f t="shared" si="234"/>
        <v>HP359</v>
      </c>
      <c r="AV557" s="27" t="str">
        <f t="shared" si="235"/>
        <v>HP359</v>
      </c>
      <c r="AW557" s="27" t="str">
        <f t="shared" si="236"/>
        <v/>
      </c>
      <c r="AX557" s="27" t="str">
        <f t="shared" si="237"/>
        <v/>
      </c>
      <c r="AY557" s="27" t="str">
        <f t="shared" si="238"/>
        <v>HP359</v>
      </c>
      <c r="AZ557" s="27" t="str">
        <f t="shared" si="239"/>
        <v/>
      </c>
      <c r="BA557" s="27" t="str">
        <f t="shared" si="240"/>
        <v>Hun</v>
      </c>
      <c r="BB557" s="27" t="str">
        <f t="shared" si="241"/>
        <v>Gross</v>
      </c>
      <c r="BC557" s="27" t="str">
        <f t="shared" si="242"/>
        <v>Net</v>
      </c>
      <c r="BD557" s="27" t="str">
        <f t="shared" si="243"/>
        <v>Net</v>
      </c>
      <c r="BE557" s="27" t="str">
        <f t="shared" si="244"/>
        <v/>
      </c>
      <c r="BF557" s="27" t="str">
        <f t="shared" si="245"/>
        <v/>
      </c>
      <c r="BG557" s="27" t="str">
        <f t="shared" si="246"/>
        <v/>
      </c>
      <c r="BH557" s="27" t="str">
        <f t="shared" si="247"/>
        <v>H+N</v>
      </c>
      <c r="BI557" s="27" t="str">
        <f t="shared" si="248"/>
        <v>H+Nex</v>
      </c>
      <c r="BJ557" s="27" t="str">
        <f t="shared" si="249"/>
        <v>Supp or Hun</v>
      </c>
      <c r="BK557" s="27" t="str">
        <f t="shared" si="250"/>
        <v>Supp or Hun Need</v>
      </c>
      <c r="BL557" s="27" t="str">
        <f t="shared" si="251"/>
        <v>SorHandNandE</v>
      </c>
      <c r="BM557" s="21" t="s">
        <v>5582</v>
      </c>
    </row>
    <row r="558" spans="1:65" ht="15">
      <c r="A558" s="25">
        <f>IFERROR(INDEX('Hun Demand'!W:W,MATCH(O558,'Hun Demand'!A:A,0)),"")</f>
        <v>314</v>
      </c>
      <c r="B558" s="25">
        <f>IFERROR(INDEX('Hun Demand'!V:V,MATCH(O558,'Hun Demand'!A:A,0)),"")</f>
        <v>146</v>
      </c>
      <c r="C558" s="25">
        <f>IFERROR(INDEX('Hun Demand'!U:U,MATCH(O558,'Hun Demand'!A:A,0)),"")</f>
        <v>0</v>
      </c>
      <c r="D558" s="25">
        <f>IFERROR(INDEX('Hun Demand'!T:T,MATCH(O558,'Hun Demand'!A:A,0)),"")</f>
        <v>0</v>
      </c>
      <c r="E558" s="25">
        <f>IFERROR(INDEX('Hun Demand'!S:S,MATCH(O558,'Hun Demand'!A:A,0)),"")</f>
        <v>0</v>
      </c>
      <c r="F558" s="25">
        <f>IFERROR(INDEX('Hun Demand'!R:R,MATCH(O558,'Hun Demand'!A:A,0)),"")</f>
        <v>0</v>
      </c>
      <c r="G558" s="25">
        <f>IFERROR(INDEX('Aub Demand'!W:W,MATCH(O558,'Aub Demand'!A:A,0)),"")</f>
        <v>0</v>
      </c>
      <c r="H558" s="25">
        <f>IFERROR(INDEX('Aub Demand'!V:V,MATCH(O558,'Aub Demand'!A:A,0)),"")</f>
        <v>0</v>
      </c>
      <c r="I558" s="25">
        <f>IFERROR(INDEX('Aub Demand'!U:U,MATCH(O558,'Aub Demand'!A:A,0)),"")</f>
        <v>0</v>
      </c>
      <c r="J558" s="25">
        <f>IFERROR(INDEX('Aub Demand'!T:T,MATCH(O558,'Aub Demand'!A:A,0)),"")</f>
        <v>0</v>
      </c>
      <c r="K558" s="25">
        <f>IFERROR(INDEX('Aub Demand'!S:S,MATCH(O558,'Aub Demand'!A:A,0)),"")</f>
        <v>35</v>
      </c>
      <c r="L558" s="25">
        <f>IFERROR(INDEX('Aub Demand'!R:R,MATCH(O558,'Aub Demand'!A:A,0)),"")</f>
        <v>0</v>
      </c>
      <c r="O558" s="27" t="s">
        <v>928</v>
      </c>
      <c r="P558" s="27" t="str">
        <f>IFERROR(INDEX('Aub Demand'!B:B,MATCH($O558,'Aub Demand'!$A:$A,0)),"")</f>
        <v>THUNDERSTORM</v>
      </c>
      <c r="Q558" s="27" t="str">
        <f>IFERROR(INDEX('Aub Demand'!C:C,MATCH($O558,'Aub Demand'!$A:$A,0)),"")</f>
        <v>INTER</v>
      </c>
      <c r="R558" s="52">
        <f>IFERROR(IF(AR559=AR558,INDEX('Aub Demand'!K:K,MATCH($O558,'Aub Demand'!$A:$A,0))-IF(AN558="",0,AN558)+AP559,INDEX('Aub Demand'!K:K,MATCH($O558,'Aub Demand'!$A:$A,0))-IF(AN558="",0,AN558)),"")</f>
        <v>516</v>
      </c>
      <c r="S558" s="53">
        <f t="shared" si="224"/>
        <v>184.3</v>
      </c>
      <c r="T558" s="52" t="str">
        <f t="shared" si="225"/>
        <v/>
      </c>
      <c r="U558" s="52">
        <f>IFERROR(IF(AR559=AR558,INDEX('Aub Demand'!Q:Q,MATCH($O558,'Aub Demand'!$A:$A,0))-IF(AN558="",0,AN558)+AP559,INDEX('Aub Demand'!Q:Q,MATCH($O558,'Aub Demand'!$A:$A,0))-IF(AN558="",0,AN558)),"")</f>
        <v>516</v>
      </c>
      <c r="V558" s="53">
        <f t="shared" si="226"/>
        <v>184.3</v>
      </c>
      <c r="W558" s="52" t="str">
        <f t="shared" si="227"/>
        <v/>
      </c>
      <c r="X558" s="52">
        <f>IFERROR(IF(AND(AR559=AR558,AM558&lt;&gt;""),INDEX('Aub Demand'!Q:Q,MATCH($O558,'Aub Demand'!$A:$A,0))-IF(AN558="",0,AN558)+AP559+AD558+AL558,IF(AR559=AR558,INDEX('Aub Demand'!Q:Q,MATCH($O558,'Aub Demand'!$A:$A,0))-IF(AN558="",0,AN558)+AP559+AD558,IF(AM558&lt;&gt;"",INDEX('Aub Demand'!Q:Q,MATCH($O558,'Aub Demand'!$A:$A,0))-IF(AN558="",0,AN558)+AD558+AL558,INDEX('Aub Demand'!Q:Q,MATCH($O558,'Aub Demand'!$A:$A,0))-IF(AN558="",0,AN558)+AD558))),"")</f>
        <v>516</v>
      </c>
      <c r="Y558" s="53">
        <f t="shared" si="228"/>
        <v>184.3</v>
      </c>
      <c r="Z558" s="52">
        <f>IF(L558="","",INDEX('Aub Demand'!H:H,MATCH($O558,'Aub Demand'!$A:$A,0)))</f>
        <v>12</v>
      </c>
      <c r="AA558" s="52" t="str">
        <f t="shared" si="229"/>
        <v>-spike-</v>
      </c>
      <c r="AB558" s="52">
        <f>IFERROR(INDEX('Aub Demand'!L:L,MATCH($O558,'Aub Demand'!$A:$A,0)),"")</f>
        <v>4</v>
      </c>
      <c r="AC558" s="52">
        <f>IFERROR(IF(O558="","",SUMIFS('CPL Mats'!F:F,'CPL Mats'!Q:Q,AR558,'CPL Mats'!S:S,AS558)),"")</f>
        <v>0</v>
      </c>
      <c r="AF558" s="25" t="str">
        <f>IF(SUMIFS('Supp Consol'!S:S,'Supp Consol'!Y:Y,"Releasable",'Supp Consol'!A:A,O558)=0,"",SUMIFS('Supp Consol'!S:S,'Supp Consol'!Y:Y,"Releasable",'Supp Consol'!A:A,O558))</f>
        <v/>
      </c>
      <c r="AG558" s="25">
        <f>IFERROR(INDEX('Hun Demand'!Q:Q,MATCH(O558,'Hun Demand'!A:A,0)),"")</f>
        <v>714</v>
      </c>
      <c r="AH558" s="25">
        <f>IFERROR(INDEX('Hun Demand'!H:H,MATCH($O558,'Hun Demand'!$A:$A,0)),"")</f>
        <v>0</v>
      </c>
      <c r="AI558" s="25" t="str">
        <f>IF(SUMIFS('Supp Consol'!AA:AA,'Supp Consol'!Z:Z,"Expires this month",'Supp Consol'!A:A,O558)=0,"",SUMIFS('Supp Consol'!AA:AA,'Supp Consol'!Z:Z,"Expires this month",'Supp Consol'!A:A,O558))</f>
        <v/>
      </c>
      <c r="AJ558" s="25" t="str">
        <f>IF(SUMIFS('Supp Consol'!AA:AA,'Supp Consol'!Z:Z,"Expired Previous Months",'Supp Consol'!A:A,O558)=0,"",SUMIFS('Supp Consol'!AA:AA,'Supp Consol'!Z:Z,"Expired Previous Months",'Supp Consol'!A:A,O558))</f>
        <v/>
      </c>
      <c r="AK558" s="25" t="str">
        <f>IFERROR(INDEX('Hun Release Current'!B:B,MATCH(O558,'Hun Release Current'!A:A,0)),"")</f>
        <v/>
      </c>
      <c r="AL558" s="25" t="str">
        <f>IF(SUMIF('Prev Aub'!A:A,O558,'Prev Aub'!B:B)=0,"",SUMIF('Prev Aub'!A:A,O558,'Prev Aub'!B:B))</f>
        <v/>
      </c>
      <c r="AN558" s="25" t="s">
        <v>3790</v>
      </c>
      <c r="AO558" s="25" t="s">
        <v>3790</v>
      </c>
      <c r="AP558" s="25">
        <f t="shared" si="230"/>
        <v>0</v>
      </c>
      <c r="AQ558" s="151" t="str">
        <f>IF(SUMIFS('Supp Consol'!S:S,'Supp Consol'!A:A,O558,'Supp Consol'!I:I,"PENDING")=0,"",SUMIFS('Supp Consol'!S:S,'Supp Consol'!A:A,O558,'Supp Consol'!I:I,"PENDING"))</f>
        <v/>
      </c>
      <c r="AR558" s="27" t="str">
        <f t="shared" si="231"/>
        <v>HP359</v>
      </c>
      <c r="AS558" s="27" t="str">
        <f t="shared" si="232"/>
        <v>62</v>
      </c>
      <c r="AT558" s="27" t="str">
        <f t="shared" si="233"/>
        <v/>
      </c>
      <c r="AU558" s="27" t="str">
        <f t="shared" si="234"/>
        <v/>
      </c>
      <c r="AV558" s="27" t="str">
        <f t="shared" si="235"/>
        <v/>
      </c>
      <c r="AW558" s="27" t="str">
        <f t="shared" si="236"/>
        <v/>
      </c>
      <c r="AX558" s="27" t="str">
        <f t="shared" si="237"/>
        <v/>
      </c>
      <c r="AY558" s="27" t="str">
        <f t="shared" si="238"/>
        <v>HP359</v>
      </c>
      <c r="AZ558" s="27" t="str">
        <f t="shared" si="239"/>
        <v/>
      </c>
      <c r="BA558" s="27" t="str">
        <f t="shared" si="240"/>
        <v>Hun</v>
      </c>
      <c r="BB558" s="27" t="str">
        <f t="shared" si="241"/>
        <v>Gross</v>
      </c>
      <c r="BC558" s="27" t="str">
        <f t="shared" si="242"/>
        <v>Net</v>
      </c>
      <c r="BD558" s="27" t="str">
        <f t="shared" si="243"/>
        <v>Net</v>
      </c>
      <c r="BE558" s="27" t="str">
        <f t="shared" si="244"/>
        <v/>
      </c>
      <c r="BF558" s="27" t="str">
        <f t="shared" si="245"/>
        <v/>
      </c>
      <c r="BG558" s="27" t="str">
        <f t="shared" si="246"/>
        <v/>
      </c>
      <c r="BH558" s="27" t="str">
        <f t="shared" si="247"/>
        <v>H+N</v>
      </c>
      <c r="BI558" s="27" t="str">
        <f t="shared" si="248"/>
        <v>H+Nex</v>
      </c>
      <c r="BJ558" s="27" t="str">
        <f t="shared" si="249"/>
        <v>Supp or Hun</v>
      </c>
      <c r="BK558" s="27" t="str">
        <f t="shared" si="250"/>
        <v>Supp or Hun Need</v>
      </c>
      <c r="BL558" s="27" t="str">
        <f t="shared" si="251"/>
        <v>SorHandNandE</v>
      </c>
      <c r="BM558" s="21" t="s">
        <v>5582</v>
      </c>
    </row>
    <row r="559" spans="1:65" ht="15">
      <c r="A559" s="25">
        <f>IFERROR(INDEX('Hun Demand'!W:W,MATCH(O559,'Hun Demand'!A:A,0)),"")</f>
        <v>0</v>
      </c>
      <c r="B559" s="25">
        <f>IFERROR(INDEX('Hun Demand'!V:V,MATCH(O559,'Hun Demand'!A:A,0)),"")</f>
        <v>593</v>
      </c>
      <c r="C559" s="25">
        <f>IFERROR(INDEX('Hun Demand'!U:U,MATCH(O559,'Hun Demand'!A:A,0)),"")</f>
        <v>0</v>
      </c>
      <c r="D559" s="25">
        <f>IFERROR(INDEX('Hun Demand'!T:T,MATCH(O559,'Hun Demand'!A:A,0)),"")</f>
        <v>0</v>
      </c>
      <c r="E559" s="25">
        <f>IFERROR(INDEX('Hun Demand'!S:S,MATCH(O559,'Hun Demand'!A:A,0)),"")</f>
        <v>0</v>
      </c>
      <c r="F559" s="25">
        <f>IFERROR(INDEX('Hun Demand'!R:R,MATCH(O559,'Hun Demand'!A:A,0)),"")</f>
        <v>0</v>
      </c>
      <c r="G559" s="25">
        <f>IFERROR(INDEX('Aub Demand'!W:W,MATCH(O559,'Aub Demand'!A:A,0)),"")</f>
        <v>0</v>
      </c>
      <c r="H559" s="25">
        <f>IFERROR(INDEX('Aub Demand'!V:V,MATCH(O559,'Aub Demand'!A:A,0)),"")</f>
        <v>255</v>
      </c>
      <c r="I559" s="25">
        <f>IFERROR(INDEX('Aub Demand'!U:U,MATCH(O559,'Aub Demand'!A:A,0)),"")</f>
        <v>134</v>
      </c>
      <c r="J559" s="25">
        <f>IFERROR(INDEX('Aub Demand'!T:T,MATCH(O559,'Aub Demand'!A:A,0)),"")</f>
        <v>0</v>
      </c>
      <c r="K559" s="25">
        <f>IFERROR(INDEX('Aub Demand'!S:S,MATCH(O559,'Aub Demand'!A:A,0)),"")</f>
        <v>53</v>
      </c>
      <c r="L559" s="25">
        <f>IFERROR(INDEX('Aub Demand'!R:R,MATCH(O559,'Aub Demand'!A:A,0)),"")</f>
        <v>0</v>
      </c>
      <c r="O559" s="27" t="s">
        <v>929</v>
      </c>
      <c r="P559" s="27" t="str">
        <f>IFERROR(INDEX('Aub Demand'!B:B,MATCH($O559,'Aub Demand'!$A:$A,0)),"")</f>
        <v>AFTERNOON SHOWERS</v>
      </c>
      <c r="Q559" s="27" t="str">
        <f>IFERROR(INDEX('Aub Demand'!C:C,MATCH($O559,'Aub Demand'!$A:$A,0)),"")</f>
        <v>SUDDE</v>
      </c>
      <c r="R559" s="52">
        <f>IFERROR(IF(AR560=AR559,INDEX('Aub Demand'!K:K,MATCH($O559,'Aub Demand'!$A:$A,0))-IF(AN559="",0,AN559)+AP560,INDEX('Aub Demand'!K:K,MATCH($O559,'Aub Demand'!$A:$A,0))-IF(AN559="",0,AN559)),"")</f>
        <v>406</v>
      </c>
      <c r="S559" s="53">
        <f t="shared" si="224"/>
        <v>28.1</v>
      </c>
      <c r="T559" s="52" t="str">
        <f t="shared" si="225"/>
        <v/>
      </c>
      <c r="U559" s="52">
        <f>IFERROR(IF(AR560=AR559,INDEX('Aub Demand'!Q:Q,MATCH($O559,'Aub Demand'!$A:$A,0))-IF(AN559="",0,AN559)+AP560,INDEX('Aub Demand'!Q:Q,MATCH($O559,'Aub Demand'!$A:$A,0))-IF(AN559="",0,AN559)),"")</f>
        <v>351</v>
      </c>
      <c r="V559" s="53">
        <f t="shared" si="226"/>
        <v>24.3</v>
      </c>
      <c r="W559" s="52" t="str">
        <f t="shared" si="227"/>
        <v/>
      </c>
      <c r="X559" s="52">
        <f>IFERROR(IF(AND(AR560=AR559,AM559&lt;&gt;""),INDEX('Aub Demand'!Q:Q,MATCH($O559,'Aub Demand'!$A:$A,0))-IF(AN559="",0,AN559)+AP560+AD559+AL559,IF(AR560=AR559,INDEX('Aub Demand'!Q:Q,MATCH($O559,'Aub Demand'!$A:$A,0))-IF(AN559="",0,AN559)+AP560+AD559,IF(AM559&lt;&gt;"",INDEX('Aub Demand'!Q:Q,MATCH($O559,'Aub Demand'!$A:$A,0))-IF(AN559="",0,AN559)+AD559+AL559,INDEX('Aub Demand'!Q:Q,MATCH($O559,'Aub Demand'!$A:$A,0))-IF(AN559="",0,AN559)+AD559))),"")</f>
        <v>351</v>
      </c>
      <c r="Y559" s="53">
        <f t="shared" si="228"/>
        <v>24.3</v>
      </c>
      <c r="Z559" s="52">
        <f>IF(L559="","",INDEX('Aub Demand'!H:H,MATCH($O559,'Aub Demand'!$A:$A,0)))</f>
        <v>62</v>
      </c>
      <c r="AA559" s="52">
        <f t="shared" si="229"/>
        <v>93.5</v>
      </c>
      <c r="AB559" s="52">
        <f>IFERROR(INDEX('Aub Demand'!L:L,MATCH($O559,'Aub Demand'!$A:$A,0)),"")</f>
        <v>7</v>
      </c>
      <c r="AC559" s="52">
        <f>IFERROR(IF(O559="","",SUMIFS('CPL Mats'!F:F,'CPL Mats'!Q:Q,AR559,'CPL Mats'!S:S,AS559)),"")</f>
        <v>0</v>
      </c>
      <c r="AF559" s="25" t="str">
        <f>IF(SUMIFS('Supp Consol'!S:S,'Supp Consol'!Y:Y,"Releasable",'Supp Consol'!A:A,O559)=0,"",SUMIFS('Supp Consol'!S:S,'Supp Consol'!Y:Y,"Releasable",'Supp Consol'!A:A,O559))</f>
        <v/>
      </c>
      <c r="AG559" s="25">
        <f>IFERROR(INDEX('Hun Demand'!Q:Q,MATCH(O559,'Hun Demand'!A:A,0)),"")</f>
        <v>1396</v>
      </c>
      <c r="AH559" s="25">
        <f>IFERROR(INDEX('Hun Demand'!H:H,MATCH($O559,'Hun Demand'!$A:$A,0)),"")</f>
        <v>0</v>
      </c>
      <c r="AI559" s="25" t="str">
        <f>IF(SUMIFS('Supp Consol'!AA:AA,'Supp Consol'!Z:Z,"Expires this month",'Supp Consol'!A:A,O559)=0,"",SUMIFS('Supp Consol'!AA:AA,'Supp Consol'!Z:Z,"Expires this month",'Supp Consol'!A:A,O559))</f>
        <v/>
      </c>
      <c r="AJ559" s="25" t="str">
        <f>IF(SUMIFS('Supp Consol'!AA:AA,'Supp Consol'!Z:Z,"Expired Previous Months",'Supp Consol'!A:A,O559)=0,"",SUMIFS('Supp Consol'!AA:AA,'Supp Consol'!Z:Z,"Expired Previous Months",'Supp Consol'!A:A,O559))</f>
        <v/>
      </c>
      <c r="AK559" s="25" t="str">
        <f>IFERROR(INDEX('Hun Release Current'!B:B,MATCH(O559,'Hun Release Current'!A:A,0)),"")</f>
        <v/>
      </c>
      <c r="AL559" s="25" t="str">
        <f>IF(SUMIF('Prev Aub'!A:A,O559,'Prev Aub'!B:B)=0,"",SUMIF('Prev Aub'!A:A,O559,'Prev Aub'!B:B))</f>
        <v/>
      </c>
      <c r="AN559" s="25" t="s">
        <v>3790</v>
      </c>
      <c r="AO559" s="25" t="s">
        <v>3790</v>
      </c>
      <c r="AP559" s="25">
        <f t="shared" si="230"/>
        <v>0</v>
      </c>
      <c r="AQ559" s="151" t="str">
        <f>IF(SUMIFS('Supp Consol'!S:S,'Supp Consol'!A:A,O559,'Supp Consol'!I:I,"PENDING")=0,"",SUMIFS('Supp Consol'!S:S,'Supp Consol'!A:A,O559,'Supp Consol'!I:I,"PENDING"))</f>
        <v/>
      </c>
      <c r="AR559" s="27" t="str">
        <f t="shared" si="231"/>
        <v>HP360</v>
      </c>
      <c r="AS559" s="27" t="str">
        <f t="shared" si="232"/>
        <v>50</v>
      </c>
      <c r="AT559" s="27" t="str">
        <f t="shared" si="233"/>
        <v/>
      </c>
      <c r="AU559" s="27" t="str">
        <f t="shared" si="234"/>
        <v/>
      </c>
      <c r="AV559" s="27" t="str">
        <f t="shared" si="235"/>
        <v/>
      </c>
      <c r="AW559" s="27" t="str">
        <f t="shared" si="236"/>
        <v/>
      </c>
      <c r="AX559" s="27" t="str">
        <f t="shared" si="237"/>
        <v/>
      </c>
      <c r="AY559" s="27" t="str">
        <f t="shared" si="238"/>
        <v>HP360</v>
      </c>
      <c r="AZ559" s="27" t="str">
        <f t="shared" si="239"/>
        <v/>
      </c>
      <c r="BA559" s="27" t="str">
        <f t="shared" si="240"/>
        <v>Hun</v>
      </c>
      <c r="BB559" s="27" t="str">
        <f t="shared" si="241"/>
        <v/>
      </c>
      <c r="BC559" s="27" t="str">
        <f t="shared" si="242"/>
        <v/>
      </c>
      <c r="BD559" s="27" t="str">
        <f t="shared" si="243"/>
        <v/>
      </c>
      <c r="BE559" s="27" t="str">
        <f t="shared" si="244"/>
        <v/>
      </c>
      <c r="BF559" s="27" t="str">
        <f t="shared" si="245"/>
        <v/>
      </c>
      <c r="BG559" s="27" t="str">
        <f t="shared" si="246"/>
        <v/>
      </c>
      <c r="BH559" s="27" t="str">
        <f t="shared" si="247"/>
        <v/>
      </c>
      <c r="BI559" s="27" t="str">
        <f t="shared" si="248"/>
        <v/>
      </c>
      <c r="BJ559" s="27" t="str">
        <f t="shared" si="249"/>
        <v>Supp or Hun</v>
      </c>
      <c r="BK559" s="27" t="str">
        <f t="shared" si="250"/>
        <v/>
      </c>
      <c r="BL559" s="27" t="str">
        <f t="shared" si="251"/>
        <v/>
      </c>
      <c r="BM559" s="21" t="s">
        <v>5582</v>
      </c>
    </row>
    <row r="560" spans="1:65" ht="15">
      <c r="A560" s="25">
        <f>IFERROR(INDEX('Hun Demand'!W:W,MATCH(O560,'Hun Demand'!A:A,0)),"")</f>
        <v>0</v>
      </c>
      <c r="B560" s="25">
        <f>IFERROR(INDEX('Hun Demand'!V:V,MATCH(O560,'Hun Demand'!A:A,0)),"")</f>
        <v>0</v>
      </c>
      <c r="C560" s="25">
        <f>IFERROR(INDEX('Hun Demand'!U:U,MATCH(O560,'Hun Demand'!A:A,0)),"")</f>
        <v>0</v>
      </c>
      <c r="D560" s="25">
        <f>IFERROR(INDEX('Hun Demand'!T:T,MATCH(O560,'Hun Demand'!A:A,0)),"")</f>
        <v>0</v>
      </c>
      <c r="E560" s="25">
        <f>IFERROR(INDEX('Hun Demand'!S:S,MATCH(O560,'Hun Demand'!A:A,0)),"")</f>
        <v>0</v>
      </c>
      <c r="F560" s="25">
        <f>IFERROR(INDEX('Hun Demand'!R:R,MATCH(O560,'Hun Demand'!A:A,0)),"")</f>
        <v>0</v>
      </c>
      <c r="G560" s="25">
        <f>IFERROR(INDEX('Aub Demand'!W:W,MATCH(O560,'Aub Demand'!A:A,0)),"")</f>
        <v>0</v>
      </c>
      <c r="H560" s="25">
        <f>IFERROR(INDEX('Aub Demand'!V:V,MATCH(O560,'Aub Demand'!A:A,0)),"")</f>
        <v>0</v>
      </c>
      <c r="I560" s="25">
        <f>IFERROR(INDEX('Aub Demand'!U:U,MATCH(O560,'Aub Demand'!A:A,0)),"")</f>
        <v>0</v>
      </c>
      <c r="J560" s="25">
        <f>IFERROR(INDEX('Aub Demand'!T:T,MATCH(O560,'Aub Demand'!A:A,0)),"")</f>
        <v>0</v>
      </c>
      <c r="K560" s="25">
        <f>IFERROR(INDEX('Aub Demand'!S:S,MATCH(O560,'Aub Demand'!A:A,0)),"")</f>
        <v>69</v>
      </c>
      <c r="L560" s="25">
        <f>IFERROR(INDEX('Aub Demand'!R:R,MATCH(O560,'Aub Demand'!A:A,0)),"")</f>
        <v>0</v>
      </c>
      <c r="O560" s="27" t="s">
        <v>931</v>
      </c>
      <c r="P560" s="27" t="str">
        <f>IFERROR(INDEX('Aub Demand'!B:B,MATCH($O560,'Aub Demand'!$A:$A,0)),"")</f>
        <v>AFTERNOON SHOWERS</v>
      </c>
      <c r="Q560" s="27" t="str">
        <f>IFERROR(INDEX('Aub Demand'!C:C,MATCH($O560,'Aub Demand'!$A:$A,0)),"")</f>
        <v>SUDDE</v>
      </c>
      <c r="R560" s="52">
        <f>IFERROR(IF(AR561=AR560,INDEX('Aub Demand'!K:K,MATCH($O560,'Aub Demand'!$A:$A,0))-IF(AN560="",0,AN560)+AP561,INDEX('Aub Demand'!K:K,MATCH($O560,'Aub Demand'!$A:$A,0))-IF(AN560="",0,AN560)),"")</f>
        <v>60</v>
      </c>
      <c r="S560" s="53">
        <f t="shared" si="224"/>
        <v>11.2</v>
      </c>
      <c r="T560" s="52" t="str">
        <f t="shared" si="225"/>
        <v/>
      </c>
      <c r="U560" s="52">
        <f>IFERROR(IF(AR561=AR560,INDEX('Aub Demand'!Q:Q,MATCH($O560,'Aub Demand'!$A:$A,0))-IF(AN560="",0,AN560)+AP561,INDEX('Aub Demand'!Q:Q,MATCH($O560,'Aub Demand'!$A:$A,0))-IF(AN560="",0,AN560)),"")</f>
        <v>25</v>
      </c>
      <c r="V560" s="53">
        <f t="shared" si="226"/>
        <v>4.7</v>
      </c>
      <c r="W560" s="52" t="str">
        <f t="shared" si="227"/>
        <v/>
      </c>
      <c r="X560" s="52">
        <f>IFERROR(IF(AND(AR561=AR560,AM560&lt;&gt;""),INDEX('Aub Demand'!Q:Q,MATCH($O560,'Aub Demand'!$A:$A,0))-IF(AN560="",0,AN560)+AP561+AD560+AL560,IF(AR561=AR560,INDEX('Aub Demand'!Q:Q,MATCH($O560,'Aub Demand'!$A:$A,0))-IF(AN560="",0,AN560)+AP561+AD560,IF(AM560&lt;&gt;"",INDEX('Aub Demand'!Q:Q,MATCH($O560,'Aub Demand'!$A:$A,0))-IF(AN560="",0,AN560)+AD560+AL560,INDEX('Aub Demand'!Q:Q,MATCH($O560,'Aub Demand'!$A:$A,0))-IF(AN560="",0,AN560)+AD560))),"")</f>
        <v>25</v>
      </c>
      <c r="Y560" s="53">
        <f t="shared" si="228"/>
        <v>4.7</v>
      </c>
      <c r="Z560" s="52">
        <f>IF(L560="","",INDEX('Aub Demand'!H:H,MATCH($O560,'Aub Demand'!$A:$A,0)))</f>
        <v>23</v>
      </c>
      <c r="AA560" s="52" t="str">
        <f t="shared" si="229"/>
        <v>-spike-</v>
      </c>
      <c r="AB560" s="52">
        <f>IFERROR(INDEX('Aub Demand'!L:L,MATCH($O560,'Aub Demand'!$A:$A,0)),"")</f>
        <v>42</v>
      </c>
      <c r="AC560" s="52">
        <f>IFERROR(IF(O560="","",SUMIFS('CPL Mats'!F:F,'CPL Mats'!Q:Q,AR560,'CPL Mats'!S:S,AS560)),"")</f>
        <v>0</v>
      </c>
      <c r="AF560" s="25" t="str">
        <f>IF(SUMIFS('Supp Consol'!S:S,'Supp Consol'!Y:Y,"Releasable",'Supp Consol'!A:A,O560)=0,"",SUMIFS('Supp Consol'!S:S,'Supp Consol'!Y:Y,"Releasable",'Supp Consol'!A:A,O560))</f>
        <v/>
      </c>
      <c r="AG560" s="25">
        <f>IFERROR(INDEX('Hun Demand'!Q:Q,MATCH(O560,'Hun Demand'!A:A,0)),"")</f>
        <v>535</v>
      </c>
      <c r="AH560" s="25">
        <f>IFERROR(INDEX('Hun Demand'!H:H,MATCH($O560,'Hun Demand'!$A:$A,0)),"")</f>
        <v>0</v>
      </c>
      <c r="AI560" s="25" t="str">
        <f>IF(SUMIFS('Supp Consol'!AA:AA,'Supp Consol'!Z:Z,"Expires this month",'Supp Consol'!A:A,O560)=0,"",SUMIFS('Supp Consol'!AA:AA,'Supp Consol'!Z:Z,"Expires this month",'Supp Consol'!A:A,O560))</f>
        <v/>
      </c>
      <c r="AJ560" s="25" t="str">
        <f>IF(SUMIFS('Supp Consol'!AA:AA,'Supp Consol'!Z:Z,"Expired Previous Months",'Supp Consol'!A:A,O560)=0,"",SUMIFS('Supp Consol'!AA:AA,'Supp Consol'!Z:Z,"Expired Previous Months",'Supp Consol'!A:A,O560))</f>
        <v/>
      </c>
      <c r="AK560" s="25" t="str">
        <f>IFERROR(INDEX('Hun Release Current'!B:B,MATCH(O560,'Hun Release Current'!A:A,0)),"")</f>
        <v/>
      </c>
      <c r="AL560" s="25" t="str">
        <f>IF(SUMIF('Prev Aub'!A:A,O560,'Prev Aub'!B:B)=0,"",SUMIF('Prev Aub'!A:A,O560,'Prev Aub'!B:B))</f>
        <v/>
      </c>
      <c r="AN560" s="25" t="s">
        <v>3790</v>
      </c>
      <c r="AO560" s="25" t="s">
        <v>3790</v>
      </c>
      <c r="AP560" s="25">
        <f t="shared" si="230"/>
        <v>0</v>
      </c>
      <c r="AQ560" s="151" t="str">
        <f>IF(SUMIFS('Supp Consol'!S:S,'Supp Consol'!A:A,O560,'Supp Consol'!I:I,"PENDING")=0,"",SUMIFS('Supp Consol'!S:S,'Supp Consol'!A:A,O560,'Supp Consol'!I:I,"PENDING"))</f>
        <v/>
      </c>
      <c r="AR560" s="27" t="str">
        <f t="shared" si="231"/>
        <v>HP360</v>
      </c>
      <c r="AS560" s="27" t="str">
        <f t="shared" si="232"/>
        <v>62</v>
      </c>
      <c r="AT560" s="27" t="str">
        <f t="shared" si="233"/>
        <v/>
      </c>
      <c r="AU560" s="27" t="str">
        <f t="shared" si="234"/>
        <v/>
      </c>
      <c r="AV560" s="27" t="str">
        <f t="shared" si="235"/>
        <v/>
      </c>
      <c r="AW560" s="27" t="str">
        <f t="shared" si="236"/>
        <v/>
      </c>
      <c r="AX560" s="27" t="str">
        <f t="shared" si="237"/>
        <v/>
      </c>
      <c r="AY560" s="27" t="str">
        <f t="shared" si="238"/>
        <v>HP360</v>
      </c>
      <c r="AZ560" s="27" t="str">
        <f t="shared" si="239"/>
        <v/>
      </c>
      <c r="BA560" s="27" t="str">
        <f t="shared" si="240"/>
        <v>Hun</v>
      </c>
      <c r="BB560" s="27" t="str">
        <f t="shared" si="241"/>
        <v/>
      </c>
      <c r="BC560" s="27" t="str">
        <f t="shared" si="242"/>
        <v/>
      </c>
      <c r="BD560" s="27" t="str">
        <f t="shared" si="243"/>
        <v/>
      </c>
      <c r="BE560" s="27" t="str">
        <f t="shared" si="244"/>
        <v/>
      </c>
      <c r="BF560" s="27" t="str">
        <f t="shared" si="245"/>
        <v/>
      </c>
      <c r="BG560" s="27" t="str">
        <f t="shared" si="246"/>
        <v/>
      </c>
      <c r="BH560" s="27" t="str">
        <f t="shared" si="247"/>
        <v/>
      </c>
      <c r="BI560" s="27" t="str">
        <f t="shared" si="248"/>
        <v/>
      </c>
      <c r="BJ560" s="27" t="str">
        <f t="shared" si="249"/>
        <v>Supp or Hun</v>
      </c>
      <c r="BK560" s="27" t="str">
        <f t="shared" si="250"/>
        <v/>
      </c>
      <c r="BL560" s="27" t="str">
        <f t="shared" si="251"/>
        <v/>
      </c>
      <c r="BM560" s="21" t="s">
        <v>5582</v>
      </c>
    </row>
    <row r="561" spans="1:65" ht="15">
      <c r="A561" s="25">
        <f>IFERROR(INDEX('Hun Demand'!W:W,MATCH(O561,'Hun Demand'!A:A,0)),"")</f>
        <v>402</v>
      </c>
      <c r="B561" s="25">
        <f>IFERROR(INDEX('Hun Demand'!V:V,MATCH(O561,'Hun Demand'!A:A,0)),"")</f>
        <v>0</v>
      </c>
      <c r="C561" s="25">
        <f>IFERROR(INDEX('Hun Demand'!U:U,MATCH(O561,'Hun Demand'!A:A,0)),"")</f>
        <v>0</v>
      </c>
      <c r="D561" s="25">
        <f>IFERROR(INDEX('Hun Demand'!T:T,MATCH(O561,'Hun Demand'!A:A,0)),"")</f>
        <v>0</v>
      </c>
      <c r="E561" s="25">
        <f>IFERROR(INDEX('Hun Demand'!S:S,MATCH(O561,'Hun Demand'!A:A,0)),"")</f>
        <v>0</v>
      </c>
      <c r="F561" s="25">
        <f>IFERROR(INDEX('Hun Demand'!R:R,MATCH(O561,'Hun Demand'!A:A,0)),"")</f>
        <v>0</v>
      </c>
      <c r="G561" s="25">
        <f>IFERROR(INDEX('Aub Demand'!W:W,MATCH(O561,'Aub Demand'!A:A,0)),"")</f>
        <v>0</v>
      </c>
      <c r="H561" s="25">
        <f>IFERROR(INDEX('Aub Demand'!V:V,MATCH(O561,'Aub Demand'!A:A,0)),"")</f>
        <v>0</v>
      </c>
      <c r="I561" s="25">
        <f>IFERROR(INDEX('Aub Demand'!U:U,MATCH(O561,'Aub Demand'!A:A,0)),"")</f>
        <v>56</v>
      </c>
      <c r="J561" s="25">
        <f>IFERROR(INDEX('Aub Demand'!T:T,MATCH(O561,'Aub Demand'!A:A,0)),"")</f>
        <v>24</v>
      </c>
      <c r="K561" s="25">
        <f>IFERROR(INDEX('Aub Demand'!S:S,MATCH(O561,'Aub Demand'!A:A,0)),"")</f>
        <v>21</v>
      </c>
      <c r="L561" s="25">
        <f>IFERROR(INDEX('Aub Demand'!R:R,MATCH(O561,'Aub Demand'!A:A,0)),"")</f>
        <v>0</v>
      </c>
      <c r="O561" s="27" t="s">
        <v>932</v>
      </c>
      <c r="P561" s="27" t="str">
        <f>IFERROR(INDEX('Aub Demand'!B:B,MATCH($O561,'Aub Demand'!$A:$A,0)),"")</f>
        <v>MAHOGANY IMPRESSION</v>
      </c>
      <c r="Q561" s="27" t="str">
        <f>IFERROR(INDEX('Aub Demand'!C:C,MATCH($O561,'Aub Demand'!$A:$A,0)),"")</f>
        <v>INTER</v>
      </c>
      <c r="R561" s="52">
        <f>IFERROR(IF(AR562=AR561,INDEX('Aub Demand'!K:K,MATCH($O561,'Aub Demand'!$A:$A,0))-IF(AN561="",0,AN561)+AP562,INDEX('Aub Demand'!K:K,MATCH($O561,'Aub Demand'!$A:$A,0))-IF(AN561="",0,AN561)),"")</f>
        <v>226</v>
      </c>
      <c r="S561" s="53">
        <f t="shared" si="224"/>
        <v>28.5</v>
      </c>
      <c r="T561" s="52" t="str">
        <f t="shared" si="225"/>
        <v/>
      </c>
      <c r="U561" s="52">
        <f>IFERROR(IF(AR562=AR561,INDEX('Aub Demand'!Q:Q,MATCH($O561,'Aub Demand'!$A:$A,0))-IF(AN561="",0,AN561)+AP562,INDEX('Aub Demand'!Q:Q,MATCH($O561,'Aub Demand'!$A:$A,0))-IF(AN561="",0,AN561)),"")</f>
        <v>222</v>
      </c>
      <c r="V561" s="53">
        <f t="shared" si="226"/>
        <v>28</v>
      </c>
      <c r="W561" s="52" t="str">
        <f t="shared" si="227"/>
        <v/>
      </c>
      <c r="X561" s="52">
        <f>IFERROR(IF(AND(AR562=AR561,AM561&lt;&gt;""),INDEX('Aub Demand'!Q:Q,MATCH($O561,'Aub Demand'!$A:$A,0))-IF(AN561="",0,AN561)+AP562+AD561+AL561,IF(AR562=AR561,INDEX('Aub Demand'!Q:Q,MATCH($O561,'Aub Demand'!$A:$A,0))-IF(AN561="",0,AN561)+AP562+AD561,IF(AM561&lt;&gt;"",INDEX('Aub Demand'!Q:Q,MATCH($O561,'Aub Demand'!$A:$A,0))-IF(AN561="",0,AN561)+AD561+AL561,INDEX('Aub Demand'!Q:Q,MATCH($O561,'Aub Demand'!$A:$A,0))-IF(AN561="",0,AN561)+AD561))),"")</f>
        <v>222</v>
      </c>
      <c r="Y561" s="53">
        <f t="shared" si="228"/>
        <v>28</v>
      </c>
      <c r="Z561" s="52">
        <f>IF(L561="","",INDEX('Aub Demand'!H:H,MATCH($O561,'Aub Demand'!$A:$A,0)))</f>
        <v>34</v>
      </c>
      <c r="AA561" s="52">
        <f t="shared" si="229"/>
        <v>40</v>
      </c>
      <c r="AB561" s="52">
        <f>IFERROR(INDEX('Aub Demand'!L:L,MATCH($O561,'Aub Demand'!$A:$A,0)),"")</f>
        <v>3</v>
      </c>
      <c r="AC561" s="52">
        <f>IFERROR(IF(O561="","",SUMIFS('CPL Mats'!F:F,'CPL Mats'!Q:Q,AR561,'CPL Mats'!S:S,AS561)),"")</f>
        <v>0</v>
      </c>
      <c r="AF561" s="25" t="str">
        <f>IF(SUMIFS('Supp Consol'!S:S,'Supp Consol'!Y:Y,"Releasable",'Supp Consol'!A:A,O561)=0,"",SUMIFS('Supp Consol'!S:S,'Supp Consol'!Y:Y,"Releasable",'Supp Consol'!A:A,O561))</f>
        <v/>
      </c>
      <c r="AG561" s="25">
        <f>IFERROR(INDEX('Hun Demand'!Q:Q,MATCH(O561,'Hun Demand'!A:A,0)),"")</f>
        <v>222</v>
      </c>
      <c r="AH561" s="25">
        <f>IFERROR(INDEX('Hun Demand'!H:H,MATCH($O561,'Hun Demand'!$A:$A,0)),"")</f>
        <v>0</v>
      </c>
      <c r="AI561" s="25" t="str">
        <f>IF(SUMIFS('Supp Consol'!AA:AA,'Supp Consol'!Z:Z,"Expires this month",'Supp Consol'!A:A,O561)=0,"",SUMIFS('Supp Consol'!AA:AA,'Supp Consol'!Z:Z,"Expires this month",'Supp Consol'!A:A,O561))</f>
        <v/>
      </c>
      <c r="AJ561" s="25" t="str">
        <f>IF(SUMIFS('Supp Consol'!AA:AA,'Supp Consol'!Z:Z,"Expired Previous Months",'Supp Consol'!A:A,O561)=0,"",SUMIFS('Supp Consol'!AA:AA,'Supp Consol'!Z:Z,"Expired Previous Months",'Supp Consol'!A:A,O561))</f>
        <v/>
      </c>
      <c r="AK561" s="25" t="str">
        <f>IFERROR(INDEX('Hun Release Current'!B:B,MATCH(O561,'Hun Release Current'!A:A,0)),"")</f>
        <v/>
      </c>
      <c r="AL561" s="25" t="str">
        <f>IF(SUMIF('Prev Aub'!A:A,O561,'Prev Aub'!B:B)=0,"",SUMIF('Prev Aub'!A:A,O561,'Prev Aub'!B:B))</f>
        <v/>
      </c>
      <c r="AN561" s="25" t="s">
        <v>3790</v>
      </c>
      <c r="AO561" s="25" t="s">
        <v>3790</v>
      </c>
      <c r="AP561" s="25">
        <f t="shared" si="230"/>
        <v>0</v>
      </c>
      <c r="AQ561" s="151" t="str">
        <f>IF(SUMIFS('Supp Consol'!S:S,'Supp Consol'!A:A,O561,'Supp Consol'!I:I,"PENDING")=0,"",SUMIFS('Supp Consol'!S:S,'Supp Consol'!A:A,O561,'Supp Consol'!I:I,"PENDING"))</f>
        <v/>
      </c>
      <c r="AR561" s="27" t="str">
        <f t="shared" si="231"/>
        <v>HP365</v>
      </c>
      <c r="AS561" s="27" t="str">
        <f t="shared" si="232"/>
        <v>50</v>
      </c>
      <c r="AT561" s="27" t="str">
        <f t="shared" si="233"/>
        <v/>
      </c>
      <c r="AU561" s="27" t="str">
        <f t="shared" si="234"/>
        <v/>
      </c>
      <c r="AV561" s="27" t="str">
        <f t="shared" si="235"/>
        <v/>
      </c>
      <c r="AW561" s="27" t="str">
        <f t="shared" si="236"/>
        <v/>
      </c>
      <c r="AX561" s="27" t="str">
        <f t="shared" si="237"/>
        <v/>
      </c>
      <c r="AY561" s="27" t="str">
        <f t="shared" si="238"/>
        <v>HP365</v>
      </c>
      <c r="AZ561" s="27" t="str">
        <f t="shared" si="239"/>
        <v/>
      </c>
      <c r="BA561" s="27" t="str">
        <f t="shared" si="240"/>
        <v>Hun</v>
      </c>
      <c r="BB561" s="27" t="str">
        <f t="shared" si="241"/>
        <v/>
      </c>
      <c r="BC561" s="27" t="str">
        <f t="shared" si="242"/>
        <v/>
      </c>
      <c r="BD561" s="27" t="str">
        <f t="shared" si="243"/>
        <v/>
      </c>
      <c r="BE561" s="27" t="str">
        <f t="shared" si="244"/>
        <v/>
      </c>
      <c r="BF561" s="27" t="str">
        <f t="shared" si="245"/>
        <v/>
      </c>
      <c r="BG561" s="27" t="str">
        <f t="shared" si="246"/>
        <v/>
      </c>
      <c r="BH561" s="27" t="str">
        <f t="shared" si="247"/>
        <v/>
      </c>
      <c r="BI561" s="27" t="str">
        <f t="shared" si="248"/>
        <v/>
      </c>
      <c r="BJ561" s="27" t="str">
        <f t="shared" si="249"/>
        <v>Supp or Hun</v>
      </c>
      <c r="BK561" s="27" t="str">
        <f t="shared" si="250"/>
        <v/>
      </c>
      <c r="BL561" s="27" t="str">
        <f t="shared" si="251"/>
        <v/>
      </c>
      <c r="BM561" s="21" t="s">
        <v>5582</v>
      </c>
    </row>
    <row r="562" spans="1:65" ht="15">
      <c r="A562" s="25">
        <f>IFERROR(INDEX('Hun Demand'!W:W,MATCH(O562,'Hun Demand'!A:A,0)),"")</f>
        <v>230</v>
      </c>
      <c r="B562" s="25">
        <f>IFERROR(INDEX('Hun Demand'!V:V,MATCH(O562,'Hun Demand'!A:A,0)),"")</f>
        <v>0</v>
      </c>
      <c r="C562" s="25">
        <f>IFERROR(INDEX('Hun Demand'!U:U,MATCH(O562,'Hun Demand'!A:A,0)),"")</f>
        <v>0</v>
      </c>
      <c r="D562" s="25">
        <f>IFERROR(INDEX('Hun Demand'!T:T,MATCH(O562,'Hun Demand'!A:A,0)),"")</f>
        <v>0</v>
      </c>
      <c r="E562" s="25">
        <f>IFERROR(INDEX('Hun Demand'!S:S,MATCH(O562,'Hun Demand'!A:A,0)),"")</f>
        <v>370</v>
      </c>
      <c r="F562" s="25">
        <f>IFERROR(INDEX('Hun Demand'!R:R,MATCH(O562,'Hun Demand'!A:A,0)),"")</f>
        <v>0</v>
      </c>
      <c r="G562" s="25">
        <f>IFERROR(INDEX('Aub Demand'!W:W,MATCH(O562,'Aub Demand'!A:A,0)),"")</f>
        <v>0</v>
      </c>
      <c r="H562" s="25">
        <f>IFERROR(INDEX('Aub Demand'!V:V,MATCH(O562,'Aub Demand'!A:A,0)),"")</f>
        <v>0</v>
      </c>
      <c r="I562" s="25">
        <f>IFERROR(INDEX('Aub Demand'!U:U,MATCH(O562,'Aub Demand'!A:A,0)),"")</f>
        <v>70</v>
      </c>
      <c r="J562" s="25">
        <f>IFERROR(INDEX('Aub Demand'!T:T,MATCH(O562,'Aub Demand'!A:A,0)),"")</f>
        <v>13</v>
      </c>
      <c r="K562" s="25">
        <f>IFERROR(INDEX('Aub Demand'!S:S,MATCH(O562,'Aub Demand'!A:A,0)),"")</f>
        <v>0</v>
      </c>
      <c r="L562" s="25">
        <f>IFERROR(INDEX('Aub Demand'!R:R,MATCH(O562,'Aub Demand'!A:A,0)),"")</f>
        <v>0</v>
      </c>
      <c r="O562" s="27" t="s">
        <v>934</v>
      </c>
      <c r="P562" s="27" t="str">
        <f>IFERROR(INDEX('Aub Demand'!B:B,MATCH($O562,'Aub Demand'!$A:$A,0)),"")</f>
        <v>MAHOGANY IMPRESSION</v>
      </c>
      <c r="Q562" s="27" t="str">
        <f>IFERROR(INDEX('Aub Demand'!C:C,MATCH($O562,'Aub Demand'!$A:$A,0)),"")</f>
        <v>INTER</v>
      </c>
      <c r="R562" s="52">
        <f>IFERROR(IF(AR563=AR562,INDEX('Aub Demand'!K:K,MATCH($O562,'Aub Demand'!$A:$A,0))-IF(AN562="",0,AN562)+AP563,INDEX('Aub Demand'!K:K,MATCH($O562,'Aub Demand'!$A:$A,0))-IF(AN562="",0,AN562)),"")</f>
        <v>398</v>
      </c>
      <c r="S562" s="53">
        <f t="shared" si="224"/>
        <v>60.9</v>
      </c>
      <c r="T562" s="52" t="str">
        <f t="shared" si="225"/>
        <v/>
      </c>
      <c r="U562" s="52">
        <f>IFERROR(IF(AR563=AR562,INDEX('Aub Demand'!Q:Q,MATCH($O562,'Aub Demand'!$A:$A,0))-IF(AN562="",0,AN562)+AP563,INDEX('Aub Demand'!Q:Q,MATCH($O562,'Aub Demand'!$A:$A,0))-IF(AN562="",0,AN562)),"")</f>
        <v>398</v>
      </c>
      <c r="V562" s="53">
        <f t="shared" si="226"/>
        <v>60.9</v>
      </c>
      <c r="W562" s="52" t="str">
        <f t="shared" si="227"/>
        <v/>
      </c>
      <c r="X562" s="52">
        <f>IFERROR(IF(AND(AR563=AR562,AM562&lt;&gt;""),INDEX('Aub Demand'!Q:Q,MATCH($O562,'Aub Demand'!$A:$A,0))-IF(AN562="",0,AN562)+AP563+AD562+AL562,IF(AR563=AR562,INDEX('Aub Demand'!Q:Q,MATCH($O562,'Aub Demand'!$A:$A,0))-IF(AN562="",0,AN562)+AP563+AD562,IF(AM562&lt;&gt;"",INDEX('Aub Demand'!Q:Q,MATCH($O562,'Aub Demand'!$A:$A,0))-IF(AN562="",0,AN562)+AD562+AL562,INDEX('Aub Demand'!Q:Q,MATCH($O562,'Aub Demand'!$A:$A,0))-IF(AN562="",0,AN562)+AD562))),"")</f>
        <v>398</v>
      </c>
      <c r="Y562" s="53">
        <f t="shared" si="228"/>
        <v>60.9</v>
      </c>
      <c r="Z562" s="52">
        <f>IF(L562="","",INDEX('Aub Demand'!H:H,MATCH($O562,'Aub Demand'!$A:$A,0)))</f>
        <v>28</v>
      </c>
      <c r="AA562" s="52">
        <f t="shared" si="229"/>
        <v>41.5</v>
      </c>
      <c r="AB562" s="52">
        <f>IFERROR(INDEX('Aub Demand'!L:L,MATCH($O562,'Aub Demand'!$A:$A,0)),"")</f>
        <v>0</v>
      </c>
      <c r="AC562" s="52">
        <f>IFERROR(IF(O562="","",SUMIFS('CPL Mats'!F:F,'CPL Mats'!Q:Q,AR562,'CPL Mats'!S:S,AS562)),"")</f>
        <v>0</v>
      </c>
      <c r="AF562" s="25" t="str">
        <f>IF(SUMIFS('Supp Consol'!S:S,'Supp Consol'!Y:Y,"Releasable",'Supp Consol'!A:A,O562)=0,"",SUMIFS('Supp Consol'!S:S,'Supp Consol'!Y:Y,"Releasable",'Supp Consol'!A:A,O562))</f>
        <v/>
      </c>
      <c r="AG562" s="25">
        <f>IFERROR(INDEX('Hun Demand'!Q:Q,MATCH(O562,'Hun Demand'!A:A,0)),"")</f>
        <v>2416</v>
      </c>
      <c r="AH562" s="25">
        <f>IFERROR(INDEX('Hun Demand'!H:H,MATCH($O562,'Hun Demand'!$A:$A,0)),"")</f>
        <v>123</v>
      </c>
      <c r="AI562" s="25" t="str">
        <f>IF(SUMIFS('Supp Consol'!AA:AA,'Supp Consol'!Z:Z,"Expires this month",'Supp Consol'!A:A,O562)=0,"",SUMIFS('Supp Consol'!AA:AA,'Supp Consol'!Z:Z,"Expires this month",'Supp Consol'!A:A,O562))</f>
        <v/>
      </c>
      <c r="AJ562" s="25" t="str">
        <f>IF(SUMIFS('Supp Consol'!AA:AA,'Supp Consol'!Z:Z,"Expired Previous Months",'Supp Consol'!A:A,O562)=0,"",SUMIFS('Supp Consol'!AA:AA,'Supp Consol'!Z:Z,"Expired Previous Months",'Supp Consol'!A:A,O562))</f>
        <v/>
      </c>
      <c r="AK562" s="25" t="str">
        <f>IFERROR(INDEX('Hun Release Current'!B:B,MATCH(O562,'Hun Release Current'!A:A,0)),"")</f>
        <v/>
      </c>
      <c r="AL562" s="25" t="str">
        <f>IF(SUMIF('Prev Aub'!A:A,O562,'Prev Aub'!B:B)=0,"",SUMIF('Prev Aub'!A:A,O562,'Prev Aub'!B:B))</f>
        <v/>
      </c>
      <c r="AN562" s="25" t="s">
        <v>3790</v>
      </c>
      <c r="AO562" s="25" t="s">
        <v>3790</v>
      </c>
      <c r="AP562" s="25">
        <f t="shared" si="230"/>
        <v>0</v>
      </c>
      <c r="AQ562" s="151" t="str">
        <f>IF(SUMIFS('Supp Consol'!S:S,'Supp Consol'!A:A,O562,'Supp Consol'!I:I,"PENDING")=0,"",SUMIFS('Supp Consol'!S:S,'Supp Consol'!A:A,O562,'Supp Consol'!I:I,"PENDING"))</f>
        <v/>
      </c>
      <c r="AR562" s="27" t="str">
        <f t="shared" si="231"/>
        <v>HP365</v>
      </c>
      <c r="AS562" s="27" t="str">
        <f t="shared" si="232"/>
        <v>62</v>
      </c>
      <c r="AT562" s="27" t="str">
        <f t="shared" si="233"/>
        <v/>
      </c>
      <c r="AU562" s="27" t="str">
        <f t="shared" si="234"/>
        <v/>
      </c>
      <c r="AV562" s="27" t="str">
        <f t="shared" si="235"/>
        <v/>
      </c>
      <c r="AW562" s="27" t="str">
        <f t="shared" si="236"/>
        <v/>
      </c>
      <c r="AX562" s="27" t="str">
        <f t="shared" si="237"/>
        <v/>
      </c>
      <c r="AY562" s="27" t="str">
        <f t="shared" si="238"/>
        <v>HP365</v>
      </c>
      <c r="AZ562" s="27" t="str">
        <f t="shared" si="239"/>
        <v/>
      </c>
      <c r="BA562" s="27" t="str">
        <f t="shared" si="240"/>
        <v>Hun</v>
      </c>
      <c r="BB562" s="27" t="str">
        <f t="shared" si="241"/>
        <v/>
      </c>
      <c r="BC562" s="27" t="str">
        <f t="shared" si="242"/>
        <v/>
      </c>
      <c r="BD562" s="27" t="str">
        <f t="shared" si="243"/>
        <v/>
      </c>
      <c r="BE562" s="27" t="str">
        <f t="shared" si="244"/>
        <v/>
      </c>
      <c r="BF562" s="27" t="str">
        <f t="shared" si="245"/>
        <v/>
      </c>
      <c r="BG562" s="27" t="str">
        <f t="shared" si="246"/>
        <v/>
      </c>
      <c r="BH562" s="27" t="str">
        <f t="shared" si="247"/>
        <v/>
      </c>
      <c r="BI562" s="27" t="str">
        <f t="shared" si="248"/>
        <v/>
      </c>
      <c r="BJ562" s="27" t="str">
        <f t="shared" si="249"/>
        <v>Supp or Hun</v>
      </c>
      <c r="BK562" s="27" t="str">
        <f t="shared" si="250"/>
        <v/>
      </c>
      <c r="BL562" s="27" t="str">
        <f t="shared" si="251"/>
        <v/>
      </c>
      <c r="BM562" s="21" t="s">
        <v>5582</v>
      </c>
    </row>
    <row r="563" spans="1:65" ht="15">
      <c r="A563" s="25" t="str">
        <f>IFERROR(INDEX('Hun Demand'!W:W,MATCH(O563,'Hun Demand'!A:A,0)),"")</f>
        <v/>
      </c>
      <c r="B563" s="25" t="str">
        <f>IFERROR(INDEX('Hun Demand'!V:V,MATCH(O563,'Hun Demand'!A:A,0)),"")</f>
        <v/>
      </c>
      <c r="C563" s="25" t="str">
        <f>IFERROR(INDEX('Hun Demand'!U:U,MATCH(O563,'Hun Demand'!A:A,0)),"")</f>
        <v/>
      </c>
      <c r="D563" s="25" t="str">
        <f>IFERROR(INDEX('Hun Demand'!T:T,MATCH(O563,'Hun Demand'!A:A,0)),"")</f>
        <v/>
      </c>
      <c r="E563" s="25" t="str">
        <f>IFERROR(INDEX('Hun Demand'!S:S,MATCH(O563,'Hun Demand'!A:A,0)),"")</f>
        <v/>
      </c>
      <c r="F563" s="25" t="str">
        <f>IFERROR(INDEX('Hun Demand'!R:R,MATCH(O563,'Hun Demand'!A:A,0)),"")</f>
        <v/>
      </c>
      <c r="G563" s="25">
        <f>IFERROR(INDEX('Aub Demand'!W:W,MATCH(O563,'Aub Demand'!A:A,0)),"")</f>
        <v>0</v>
      </c>
      <c r="H563" s="25">
        <f>IFERROR(INDEX('Aub Demand'!V:V,MATCH(O563,'Aub Demand'!A:A,0)),"")</f>
        <v>0</v>
      </c>
      <c r="I563" s="25">
        <f>IFERROR(INDEX('Aub Demand'!U:U,MATCH(O563,'Aub Demand'!A:A,0)),"")</f>
        <v>0</v>
      </c>
      <c r="J563" s="25">
        <f>IFERROR(INDEX('Aub Demand'!T:T,MATCH(O563,'Aub Demand'!A:A,0)),"")</f>
        <v>0</v>
      </c>
      <c r="K563" s="25">
        <f>IFERROR(INDEX('Aub Demand'!S:S,MATCH(O563,'Aub Demand'!A:A,0)),"")</f>
        <v>20</v>
      </c>
      <c r="L563" s="25">
        <f>IFERROR(INDEX('Aub Demand'!R:R,MATCH(O563,'Aub Demand'!A:A,0)),"")</f>
        <v>0</v>
      </c>
      <c r="O563" s="27" t="s">
        <v>935</v>
      </c>
      <c r="P563" s="27" t="str">
        <f>IFERROR(INDEX('Aub Demand'!B:B,MATCH($O563,'Aub Demand'!$A:$A,0)),"")</f>
        <v>NOBLE MAHOGANY</v>
      </c>
      <c r="Q563" s="27" t="str">
        <f>IFERROR(INDEX('Aub Demand'!C:C,MATCH($O563,'Aub Demand'!$A:$A,0)),"")</f>
        <v>INTER</v>
      </c>
      <c r="R563" s="52">
        <f>IFERROR(IF(AR564=AR563,INDEX('Aub Demand'!K:K,MATCH($O563,'Aub Demand'!$A:$A,0))-IF(AN563="",0,AN563)+AP564,INDEX('Aub Demand'!K:K,MATCH($O563,'Aub Demand'!$A:$A,0))-IF(AN563="",0,AN563)),"")</f>
        <v>20</v>
      </c>
      <c r="S563" s="53">
        <f t="shared" si="224"/>
        <v>12.2</v>
      </c>
      <c r="T563" s="52" t="str">
        <f t="shared" si="225"/>
        <v/>
      </c>
      <c r="U563" s="52">
        <f>IFERROR(IF(AR564=AR563,INDEX('Aub Demand'!Q:Q,MATCH($O563,'Aub Demand'!$A:$A,0))-IF(AN563="",0,AN563)+AP564,INDEX('Aub Demand'!Q:Q,MATCH($O563,'Aub Demand'!$A:$A,0))-IF(AN563="",0,AN563)),"")</f>
        <v>19</v>
      </c>
      <c r="V563" s="53">
        <f t="shared" si="226"/>
        <v>11.6</v>
      </c>
      <c r="W563" s="52" t="str">
        <f t="shared" si="227"/>
        <v/>
      </c>
      <c r="X563" s="52">
        <f>IFERROR(IF(AND(AR564=AR563,AM563&lt;&gt;""),INDEX('Aub Demand'!Q:Q,MATCH($O563,'Aub Demand'!$A:$A,0))-IF(AN563="",0,AN563)+AP564+AD563+AL563,IF(AR564=AR563,INDEX('Aub Demand'!Q:Q,MATCH($O563,'Aub Demand'!$A:$A,0))-IF(AN563="",0,AN563)+AP564+AD563,IF(AM563&lt;&gt;"",INDEX('Aub Demand'!Q:Q,MATCH($O563,'Aub Demand'!$A:$A,0))-IF(AN563="",0,AN563)+AD563+AL563,INDEX('Aub Demand'!Q:Q,MATCH($O563,'Aub Demand'!$A:$A,0))-IF(AN563="",0,AN563)+AD563))),"")</f>
        <v>19</v>
      </c>
      <c r="Y563" s="53">
        <f t="shared" si="228"/>
        <v>11.6</v>
      </c>
      <c r="Z563" s="52">
        <f>IF(L563="","",INDEX('Aub Demand'!H:H,MATCH($O563,'Aub Demand'!$A:$A,0)))</f>
        <v>7</v>
      </c>
      <c r="AA563" s="52" t="str">
        <f t="shared" si="229"/>
        <v>-spike-</v>
      </c>
      <c r="AB563" s="52">
        <f>IFERROR(INDEX('Aub Demand'!L:L,MATCH($O563,'Aub Demand'!$A:$A,0)),"")</f>
        <v>2</v>
      </c>
      <c r="AC563" s="52">
        <f>IFERROR(IF(O563="","",SUMIFS('CPL Mats'!F:F,'CPL Mats'!Q:Q,AR563,'CPL Mats'!S:S,AS563)),"")</f>
        <v>0</v>
      </c>
      <c r="AF563" s="25">
        <f>IF(SUMIFS('Supp Consol'!S:S,'Supp Consol'!Y:Y,"Releasable",'Supp Consol'!A:A,O563)=0,"",SUMIFS('Supp Consol'!S:S,'Supp Consol'!Y:Y,"Releasable",'Supp Consol'!A:A,O563))</f>
        <v>1251</v>
      </c>
      <c r="AG563" s="25" t="str">
        <f>IFERROR(INDEX('Hun Demand'!Q:Q,MATCH(O563,'Hun Demand'!A:A,0)),"")</f>
        <v/>
      </c>
      <c r="AH563" s="25" t="str">
        <f>IFERROR(INDEX('Hun Demand'!H:H,MATCH($O563,'Hun Demand'!$A:$A,0)),"")</f>
        <v/>
      </c>
      <c r="AI563" s="25" t="str">
        <f>IF(SUMIFS('Supp Consol'!AA:AA,'Supp Consol'!Z:Z,"Expires this month",'Supp Consol'!A:A,O563)=0,"",SUMIFS('Supp Consol'!AA:AA,'Supp Consol'!Z:Z,"Expires this month",'Supp Consol'!A:A,O563))</f>
        <v/>
      </c>
      <c r="AJ563" s="25" t="str">
        <f>IF(SUMIFS('Supp Consol'!AA:AA,'Supp Consol'!Z:Z,"Expired Previous Months",'Supp Consol'!A:A,O563)=0,"",SUMIFS('Supp Consol'!AA:AA,'Supp Consol'!Z:Z,"Expired Previous Months",'Supp Consol'!A:A,O563))</f>
        <v/>
      </c>
      <c r="AK563" s="25" t="str">
        <f>IFERROR(INDEX('Hun Release Current'!B:B,MATCH(O563,'Hun Release Current'!A:A,0)),"")</f>
        <v/>
      </c>
      <c r="AL563" s="25" t="str">
        <f>IF(SUMIF('Prev Aub'!A:A,O563,'Prev Aub'!B:B)=0,"",SUMIF('Prev Aub'!A:A,O563,'Prev Aub'!B:B))</f>
        <v/>
      </c>
      <c r="AN563" s="25" t="s">
        <v>3790</v>
      </c>
      <c r="AO563" s="25" t="s">
        <v>3790</v>
      </c>
      <c r="AP563" s="25">
        <f t="shared" si="230"/>
        <v>0</v>
      </c>
      <c r="AQ563" s="151" t="str">
        <f>IF(SUMIFS('Supp Consol'!S:S,'Supp Consol'!A:A,O563,'Supp Consol'!I:I,"PENDING")=0,"",SUMIFS('Supp Consol'!S:S,'Supp Consol'!A:A,O563,'Supp Consol'!I:I,"PENDING"))</f>
        <v/>
      </c>
      <c r="AR563" s="27" t="str">
        <f t="shared" si="231"/>
        <v>HP370</v>
      </c>
      <c r="AS563" s="27" t="str">
        <f t="shared" si="232"/>
        <v>50</v>
      </c>
      <c r="AT563" s="27" t="str">
        <f t="shared" si="233"/>
        <v/>
      </c>
      <c r="AU563" s="27" t="str">
        <f t="shared" si="234"/>
        <v/>
      </c>
      <c r="AV563" s="27" t="str">
        <f t="shared" si="235"/>
        <v/>
      </c>
      <c r="AW563" s="27" t="str">
        <f t="shared" si="236"/>
        <v/>
      </c>
      <c r="AX563" s="27" t="str">
        <f t="shared" si="237"/>
        <v>HP370</v>
      </c>
      <c r="AY563" s="27" t="str">
        <f t="shared" si="238"/>
        <v/>
      </c>
      <c r="AZ563" s="27" t="str">
        <f t="shared" si="239"/>
        <v>Supp</v>
      </c>
      <c r="BA563" s="27" t="str">
        <f t="shared" si="240"/>
        <v>Hun</v>
      </c>
      <c r="BB563" s="27" t="str">
        <f t="shared" si="241"/>
        <v/>
      </c>
      <c r="BC563" s="27" t="str">
        <f t="shared" si="242"/>
        <v/>
      </c>
      <c r="BD563" s="27" t="str">
        <f t="shared" si="243"/>
        <v/>
      </c>
      <c r="BE563" s="27" t="str">
        <f t="shared" si="244"/>
        <v/>
      </c>
      <c r="BF563" s="27" t="str">
        <f t="shared" si="245"/>
        <v/>
      </c>
      <c r="BG563" s="27" t="str">
        <f t="shared" si="246"/>
        <v/>
      </c>
      <c r="BH563" s="27" t="str">
        <f t="shared" si="247"/>
        <v/>
      </c>
      <c r="BI563" s="27" t="str">
        <f t="shared" si="248"/>
        <v/>
      </c>
      <c r="BJ563" s="27" t="str">
        <f t="shared" si="249"/>
        <v>Supp or Hun</v>
      </c>
      <c r="BK563" s="27" t="str">
        <f t="shared" si="250"/>
        <v/>
      </c>
      <c r="BL563" s="27" t="str">
        <f t="shared" si="251"/>
        <v/>
      </c>
      <c r="BM563" s="21" t="s">
        <v>3790</v>
      </c>
    </row>
    <row r="564" spans="1:65" ht="15">
      <c r="A564" s="25">
        <f>IFERROR(INDEX('Hun Demand'!W:W,MATCH(O564,'Hun Demand'!A:A,0)),"")</f>
        <v>443</v>
      </c>
      <c r="B564" s="25">
        <f>IFERROR(INDEX('Hun Demand'!V:V,MATCH(O564,'Hun Demand'!A:A,0)),"")</f>
        <v>0</v>
      </c>
      <c r="C564" s="25">
        <f>IFERROR(INDEX('Hun Demand'!U:U,MATCH(O564,'Hun Demand'!A:A,0)),"")</f>
        <v>0</v>
      </c>
      <c r="D564" s="25">
        <f>IFERROR(INDEX('Hun Demand'!T:T,MATCH(O564,'Hun Demand'!A:A,0)),"")</f>
        <v>140</v>
      </c>
      <c r="E564" s="25">
        <f>IFERROR(INDEX('Hun Demand'!S:S,MATCH(O564,'Hun Demand'!A:A,0)),"")</f>
        <v>0</v>
      </c>
      <c r="F564" s="25">
        <f>IFERROR(INDEX('Hun Demand'!R:R,MATCH(O564,'Hun Demand'!A:A,0)),"")</f>
        <v>0</v>
      </c>
      <c r="G564" s="25">
        <f>IFERROR(INDEX('Aub Demand'!W:W,MATCH(O564,'Aub Demand'!A:A,0)),"")</f>
        <v>18</v>
      </c>
      <c r="H564" s="25">
        <f>IFERROR(INDEX('Aub Demand'!V:V,MATCH(O564,'Aub Demand'!A:A,0)),"")</f>
        <v>0</v>
      </c>
      <c r="I564" s="25">
        <f>IFERROR(INDEX('Aub Demand'!U:U,MATCH(O564,'Aub Demand'!A:A,0)),"")</f>
        <v>0</v>
      </c>
      <c r="J564" s="25">
        <f>IFERROR(INDEX('Aub Demand'!T:T,MATCH(O564,'Aub Demand'!A:A,0)),"")</f>
        <v>0</v>
      </c>
      <c r="K564" s="25">
        <f>IFERROR(INDEX('Aub Demand'!S:S,MATCH(O564,'Aub Demand'!A:A,0)),"")</f>
        <v>51</v>
      </c>
      <c r="L564" s="25">
        <f>IFERROR(INDEX('Aub Demand'!R:R,MATCH(O564,'Aub Demand'!A:A,0)),"")</f>
        <v>0</v>
      </c>
      <c r="O564" s="27" t="s">
        <v>937</v>
      </c>
      <c r="P564" s="27" t="str">
        <f>IFERROR(INDEX('Aub Demand'!B:B,MATCH($O564,'Aub Demand'!$A:$A,0)),"")</f>
        <v>NOBLE MAHOGANY</v>
      </c>
      <c r="Q564" s="27" t="str">
        <f>IFERROR(INDEX('Aub Demand'!C:C,MATCH($O564,'Aub Demand'!$A:$A,0)),"")</f>
        <v>INTER</v>
      </c>
      <c r="R564" s="52">
        <f>IFERROR(IF(AR565=AR564,INDEX('Aub Demand'!K:K,MATCH($O564,'Aub Demand'!$A:$A,0))-IF(AN564="",0,AN564)+AP565,INDEX('Aub Demand'!K:K,MATCH($O564,'Aub Demand'!$A:$A,0))-IF(AN564="",0,AN564)),"")</f>
        <v>54</v>
      </c>
      <c r="S564" s="53">
        <f t="shared" si="224"/>
        <v>13.6</v>
      </c>
      <c r="T564" s="52" t="str">
        <f t="shared" si="225"/>
        <v/>
      </c>
      <c r="U564" s="52">
        <f>IFERROR(IF(AR565=AR564,INDEX('Aub Demand'!Q:Q,MATCH($O564,'Aub Demand'!$A:$A,0))-IF(AN564="",0,AN564)+AP565,INDEX('Aub Demand'!Q:Q,MATCH($O564,'Aub Demand'!$A:$A,0))-IF(AN564="",0,AN564)),"")</f>
        <v>54</v>
      </c>
      <c r="V564" s="53">
        <f t="shared" si="226"/>
        <v>13.6</v>
      </c>
      <c r="W564" s="52" t="str">
        <f t="shared" si="227"/>
        <v/>
      </c>
      <c r="X564" s="52">
        <f>IFERROR(IF(AND(AR565=AR564,AM564&lt;&gt;""),INDEX('Aub Demand'!Q:Q,MATCH($O564,'Aub Demand'!$A:$A,0))-IF(AN564="",0,AN564)+AP565+AD564+AL564,IF(AR565=AR564,INDEX('Aub Demand'!Q:Q,MATCH($O564,'Aub Demand'!$A:$A,0))-IF(AN564="",0,AN564)+AP565+AD564,IF(AM564&lt;&gt;"",INDEX('Aub Demand'!Q:Q,MATCH($O564,'Aub Demand'!$A:$A,0))-IF(AN564="",0,AN564)+AD564+AL564,INDEX('Aub Demand'!Q:Q,MATCH($O564,'Aub Demand'!$A:$A,0))-IF(AN564="",0,AN564)+AD564))),"")</f>
        <v>54</v>
      </c>
      <c r="Y564" s="53">
        <f t="shared" si="228"/>
        <v>13.6</v>
      </c>
      <c r="Z564" s="52">
        <f>IF(L564="","",INDEX('Aub Demand'!H:H,MATCH($O564,'Aub Demand'!$A:$A,0)))</f>
        <v>17</v>
      </c>
      <c r="AA564" s="52" t="str">
        <f t="shared" si="229"/>
        <v>-spike-</v>
      </c>
      <c r="AB564" s="52">
        <f>IFERROR(INDEX('Aub Demand'!L:L,MATCH($O564,'Aub Demand'!$A:$A,0)),"")</f>
        <v>1</v>
      </c>
      <c r="AC564" s="52">
        <f>IFERROR(IF(O564="","",SUMIFS('CPL Mats'!F:F,'CPL Mats'!Q:Q,AR564,'CPL Mats'!S:S,AS564)),"")</f>
        <v>0</v>
      </c>
      <c r="AF564" s="25">
        <f>IF(SUMIFS('Supp Consol'!S:S,'Supp Consol'!Y:Y,"Releasable",'Supp Consol'!A:A,O564)=0,"",SUMIFS('Supp Consol'!S:S,'Supp Consol'!Y:Y,"Releasable",'Supp Consol'!A:A,O564))</f>
        <v>1691</v>
      </c>
      <c r="AG564" s="25">
        <f>IFERROR(INDEX('Hun Demand'!Q:Q,MATCH(O564,'Hun Demand'!A:A,0)),"")</f>
        <v>552</v>
      </c>
      <c r="AH564" s="25">
        <f>IFERROR(INDEX('Hun Demand'!H:H,MATCH($O564,'Hun Demand'!$A:$A,0)),"")</f>
        <v>47</v>
      </c>
      <c r="AI564" s="25" t="str">
        <f>IF(SUMIFS('Supp Consol'!AA:AA,'Supp Consol'!Z:Z,"Expires this month",'Supp Consol'!A:A,O564)=0,"",SUMIFS('Supp Consol'!AA:AA,'Supp Consol'!Z:Z,"Expires this month",'Supp Consol'!A:A,O564))</f>
        <v/>
      </c>
      <c r="AJ564" s="25" t="str">
        <f>IF(SUMIFS('Supp Consol'!AA:AA,'Supp Consol'!Z:Z,"Expired Previous Months",'Supp Consol'!A:A,O564)=0,"",SUMIFS('Supp Consol'!AA:AA,'Supp Consol'!Z:Z,"Expired Previous Months",'Supp Consol'!A:A,O564))</f>
        <v/>
      </c>
      <c r="AK564" s="25" t="str">
        <f>IFERROR(INDEX('Hun Release Current'!B:B,MATCH(O564,'Hun Release Current'!A:A,0)),"")</f>
        <v/>
      </c>
      <c r="AL564" s="25" t="str">
        <f>IF(SUMIF('Prev Aub'!A:A,O564,'Prev Aub'!B:B)=0,"",SUMIF('Prev Aub'!A:A,O564,'Prev Aub'!B:B))</f>
        <v/>
      </c>
      <c r="AN564" s="25">
        <v>25</v>
      </c>
      <c r="AO564" s="25" t="s">
        <v>3790</v>
      </c>
      <c r="AP564" s="25">
        <f t="shared" si="230"/>
        <v>20</v>
      </c>
      <c r="AQ564" s="151" t="str">
        <f>IF(SUMIFS('Supp Consol'!S:S,'Supp Consol'!A:A,O564,'Supp Consol'!I:I,"PENDING")=0,"",SUMIFS('Supp Consol'!S:S,'Supp Consol'!A:A,O564,'Supp Consol'!I:I,"PENDING"))</f>
        <v/>
      </c>
      <c r="AR564" s="27" t="str">
        <f t="shared" si="231"/>
        <v>HP370</v>
      </c>
      <c r="AS564" s="27" t="str">
        <f t="shared" si="232"/>
        <v>62</v>
      </c>
      <c r="AT564" s="27" t="str">
        <f t="shared" si="233"/>
        <v/>
      </c>
      <c r="AU564" s="27" t="str">
        <f t="shared" si="234"/>
        <v/>
      </c>
      <c r="AV564" s="27" t="str">
        <f t="shared" si="235"/>
        <v/>
      </c>
      <c r="AW564" s="27" t="str">
        <f t="shared" si="236"/>
        <v/>
      </c>
      <c r="AX564" s="27" t="str">
        <f t="shared" si="237"/>
        <v>HP370</v>
      </c>
      <c r="AY564" s="27" t="str">
        <f t="shared" si="238"/>
        <v>HP370</v>
      </c>
      <c r="AZ564" s="27" t="str">
        <f t="shared" si="239"/>
        <v>Supp</v>
      </c>
      <c r="BA564" s="27" t="str">
        <f t="shared" si="240"/>
        <v>Hun</v>
      </c>
      <c r="BB564" s="27" t="str">
        <f t="shared" si="241"/>
        <v/>
      </c>
      <c r="BC564" s="27" t="str">
        <f t="shared" si="242"/>
        <v/>
      </c>
      <c r="BD564" s="27" t="str">
        <f t="shared" si="243"/>
        <v/>
      </c>
      <c r="BE564" s="27" t="str">
        <f t="shared" si="244"/>
        <v/>
      </c>
      <c r="BF564" s="27" t="str">
        <f t="shared" si="245"/>
        <v/>
      </c>
      <c r="BG564" s="27" t="str">
        <f t="shared" si="246"/>
        <v/>
      </c>
      <c r="BH564" s="27" t="str">
        <f t="shared" si="247"/>
        <v/>
      </c>
      <c r="BI564" s="27" t="str">
        <f t="shared" si="248"/>
        <v/>
      </c>
      <c r="BJ564" s="27" t="str">
        <f t="shared" si="249"/>
        <v>Supp or Hun</v>
      </c>
      <c r="BK564" s="27" t="str">
        <f t="shared" si="250"/>
        <v/>
      </c>
      <c r="BL564" s="27" t="str">
        <f t="shared" si="251"/>
        <v/>
      </c>
      <c r="BM564" s="21" t="s">
        <v>5582</v>
      </c>
    </row>
    <row r="565" spans="1:65" ht="15">
      <c r="A565" s="25">
        <f>IFERROR(INDEX('Hun Demand'!W:W,MATCH(O565,'Hun Demand'!A:A,0)),"")</f>
        <v>336</v>
      </c>
      <c r="B565" s="25">
        <f>IFERROR(INDEX('Hun Demand'!V:V,MATCH(O565,'Hun Demand'!A:A,0)),"")</f>
        <v>360</v>
      </c>
      <c r="C565" s="25">
        <f>IFERROR(INDEX('Hun Demand'!U:U,MATCH(O565,'Hun Demand'!A:A,0)),"")</f>
        <v>250</v>
      </c>
      <c r="D565" s="25">
        <f>IFERROR(INDEX('Hun Demand'!T:T,MATCH(O565,'Hun Demand'!A:A,0)),"")</f>
        <v>84</v>
      </c>
      <c r="E565" s="25">
        <f>IFERROR(INDEX('Hun Demand'!S:S,MATCH(O565,'Hun Demand'!A:A,0)),"")</f>
        <v>916</v>
      </c>
      <c r="F565" s="25">
        <f>IFERROR(INDEX('Hun Demand'!R:R,MATCH(O565,'Hun Demand'!A:A,0)),"")</f>
        <v>0</v>
      </c>
      <c r="G565" s="25">
        <f>IFERROR(INDEX('Aub Demand'!W:W,MATCH(O565,'Aub Demand'!A:A,0)),"")</f>
        <v>0</v>
      </c>
      <c r="H565" s="25">
        <f>IFERROR(INDEX('Aub Demand'!V:V,MATCH(O565,'Aub Demand'!A:A,0)),"")</f>
        <v>0</v>
      </c>
      <c r="I565" s="25">
        <f>IFERROR(INDEX('Aub Demand'!U:U,MATCH(O565,'Aub Demand'!A:A,0)),"")</f>
        <v>0</v>
      </c>
      <c r="J565" s="25">
        <f>IFERROR(INDEX('Aub Demand'!T:T,MATCH(O565,'Aub Demand'!A:A,0)),"")</f>
        <v>0</v>
      </c>
      <c r="K565" s="25">
        <f>IFERROR(INDEX('Aub Demand'!S:S,MATCH(O565,'Aub Demand'!A:A,0)),"")</f>
        <v>258</v>
      </c>
      <c r="L565" s="25">
        <f>IFERROR(INDEX('Aub Demand'!R:R,MATCH(O565,'Aub Demand'!A:A,0)),"")</f>
        <v>0</v>
      </c>
      <c r="O565" s="27" t="s">
        <v>938</v>
      </c>
      <c r="P565" s="27" t="str">
        <f>IFERROR(INDEX('Aub Demand'!B:B,MATCH($O565,'Aub Demand'!$A:$A,0)),"")</f>
        <v>HP MAHOGANY</v>
      </c>
      <c r="Q565" s="27" t="str">
        <f>IFERROR(INDEX('Aub Demand'!C:C,MATCH($O565,'Aub Demand'!$A:$A,0)),"")</f>
        <v>DNP A</v>
      </c>
      <c r="R565" s="52">
        <f>IFERROR(IF(AR566=AR565,INDEX('Aub Demand'!K:K,MATCH($O565,'Aub Demand'!$A:$A,0))-IF(AN565="",0,AN565)+AP566,INDEX('Aub Demand'!K:K,MATCH($O565,'Aub Demand'!$A:$A,0))-IF(AN565="",0,AN565)),"")</f>
        <v>242</v>
      </c>
      <c r="S565" s="53">
        <f t="shared" si="224"/>
        <v>12.1</v>
      </c>
      <c r="T565" s="52" t="str">
        <f t="shared" si="225"/>
        <v/>
      </c>
      <c r="U565" s="52">
        <f>IFERROR(IF(AR566=AR565,INDEX('Aub Demand'!Q:Q,MATCH($O565,'Aub Demand'!$A:$A,0))-IF(AN565="",0,AN565)+AP566,INDEX('Aub Demand'!Q:Q,MATCH($O565,'Aub Demand'!$A:$A,0))-IF(AN565="",0,AN565)),"")</f>
        <v>242</v>
      </c>
      <c r="V565" s="53">
        <f t="shared" si="226"/>
        <v>12.1</v>
      </c>
      <c r="W565" s="52" t="str">
        <f t="shared" si="227"/>
        <v/>
      </c>
      <c r="X565" s="52">
        <f>IFERROR(IF(AND(AR566=AR565,AM565&lt;&gt;""),INDEX('Aub Demand'!Q:Q,MATCH($O565,'Aub Demand'!$A:$A,0))-IF(AN565="",0,AN565)+AP566+AD565+AL565,IF(AR566=AR565,INDEX('Aub Demand'!Q:Q,MATCH($O565,'Aub Demand'!$A:$A,0))-IF(AN565="",0,AN565)+AP566+AD565,IF(AM565&lt;&gt;"",INDEX('Aub Demand'!Q:Q,MATCH($O565,'Aub Demand'!$A:$A,0))-IF(AN565="",0,AN565)+AD565+AL565,INDEX('Aub Demand'!Q:Q,MATCH($O565,'Aub Demand'!$A:$A,0))-IF(AN565="",0,AN565)+AD565))),"")</f>
        <v>242</v>
      </c>
      <c r="Y565" s="53">
        <f t="shared" si="228"/>
        <v>12.1</v>
      </c>
      <c r="Z565" s="52">
        <f>IF(L565="","",INDEX('Aub Demand'!H:H,MATCH($O565,'Aub Demand'!$A:$A,0)))</f>
        <v>86</v>
      </c>
      <c r="AA565" s="52" t="str">
        <f t="shared" si="229"/>
        <v>-spike-</v>
      </c>
      <c r="AB565" s="52">
        <f>IFERROR(INDEX('Aub Demand'!L:L,MATCH($O565,'Aub Demand'!$A:$A,0)),"")</f>
        <v>30</v>
      </c>
      <c r="AC565" s="52">
        <f>IFERROR(IF(O565="","",SUMIFS('CPL Mats'!F:F,'CPL Mats'!Q:Q,AR565,'CPL Mats'!S:S,AS565)),"")</f>
        <v>0</v>
      </c>
      <c r="AF565" s="25">
        <f>IF(SUMIFS('Supp Consol'!S:S,'Supp Consol'!Y:Y,"Releasable",'Supp Consol'!A:A,O565)=0,"",SUMIFS('Supp Consol'!S:S,'Supp Consol'!Y:Y,"Releasable",'Supp Consol'!A:A,O565))</f>
        <v>10448</v>
      </c>
      <c r="AG565" s="25">
        <f>IFERROR(INDEX('Hun Demand'!Q:Q,MATCH(O565,'Hun Demand'!A:A,0)),"")</f>
        <v>3628</v>
      </c>
      <c r="AH565" s="25">
        <f>IFERROR(INDEX('Hun Demand'!H:H,MATCH($O565,'Hun Demand'!$A:$A,0)),"")</f>
        <v>417</v>
      </c>
      <c r="AI565" s="25" t="str">
        <f>IF(SUMIFS('Supp Consol'!AA:AA,'Supp Consol'!Z:Z,"Expires this month",'Supp Consol'!A:A,O565)=0,"",SUMIFS('Supp Consol'!AA:AA,'Supp Consol'!Z:Z,"Expires this month",'Supp Consol'!A:A,O565))</f>
        <v/>
      </c>
      <c r="AJ565" s="25" t="str">
        <f>IF(SUMIFS('Supp Consol'!AA:AA,'Supp Consol'!Z:Z,"Expired Previous Months",'Supp Consol'!A:A,O565)=0,"",SUMIFS('Supp Consol'!AA:AA,'Supp Consol'!Z:Z,"Expired Previous Months",'Supp Consol'!A:A,O565))</f>
        <v/>
      </c>
      <c r="AK565" s="25" t="str">
        <f>IFERROR(INDEX('Hun Release Current'!B:B,MATCH(O565,'Hun Release Current'!A:A,0)),"")</f>
        <v/>
      </c>
      <c r="AL565" s="25" t="str">
        <f>IF(SUMIF('Prev Aub'!A:A,O565,'Prev Aub'!B:B)=0,"",SUMIF('Prev Aub'!A:A,O565,'Prev Aub'!B:B))</f>
        <v/>
      </c>
      <c r="AN565" s="25" t="s">
        <v>3790</v>
      </c>
      <c r="AO565" s="25" t="s">
        <v>3790</v>
      </c>
      <c r="AP565" s="25">
        <f t="shared" si="230"/>
        <v>0</v>
      </c>
      <c r="AQ565" s="151" t="str">
        <f>IF(SUMIFS('Supp Consol'!S:S,'Supp Consol'!A:A,O565,'Supp Consol'!I:I,"PENDING")=0,"",SUMIFS('Supp Consol'!S:S,'Supp Consol'!A:A,O565,'Supp Consol'!I:I,"PENDING"))</f>
        <v/>
      </c>
      <c r="AR565" s="27" t="str">
        <f t="shared" si="231"/>
        <v>HP372</v>
      </c>
      <c r="AS565" s="27" t="str">
        <f t="shared" si="232"/>
        <v>50</v>
      </c>
      <c r="AT565" s="27" t="str">
        <f t="shared" si="233"/>
        <v/>
      </c>
      <c r="AU565" s="27" t="str">
        <f t="shared" si="234"/>
        <v/>
      </c>
      <c r="AV565" s="27" t="str">
        <f t="shared" si="235"/>
        <v/>
      </c>
      <c r="AW565" s="27" t="str">
        <f t="shared" si="236"/>
        <v/>
      </c>
      <c r="AX565" s="27" t="str">
        <f t="shared" si="237"/>
        <v>HP372</v>
      </c>
      <c r="AY565" s="27" t="str">
        <f t="shared" si="238"/>
        <v>HP372</v>
      </c>
      <c r="AZ565" s="27" t="str">
        <f t="shared" si="239"/>
        <v>Supp</v>
      </c>
      <c r="BA565" s="27" t="str">
        <f t="shared" si="240"/>
        <v>Hun</v>
      </c>
      <c r="BB565" s="27" t="str">
        <f t="shared" si="241"/>
        <v/>
      </c>
      <c r="BC565" s="27" t="str">
        <f t="shared" si="242"/>
        <v/>
      </c>
      <c r="BD565" s="27" t="str">
        <f t="shared" si="243"/>
        <v/>
      </c>
      <c r="BE565" s="27" t="str">
        <f t="shared" si="244"/>
        <v/>
      </c>
      <c r="BF565" s="27" t="str">
        <f t="shared" si="245"/>
        <v/>
      </c>
      <c r="BG565" s="27" t="str">
        <f t="shared" si="246"/>
        <v/>
      </c>
      <c r="BH565" s="27" t="str">
        <f t="shared" si="247"/>
        <v/>
      </c>
      <c r="BI565" s="27" t="str">
        <f t="shared" si="248"/>
        <v/>
      </c>
      <c r="BJ565" s="27" t="str">
        <f t="shared" si="249"/>
        <v>Supp or Hun</v>
      </c>
      <c r="BK565" s="27" t="str">
        <f t="shared" si="250"/>
        <v/>
      </c>
      <c r="BL565" s="27" t="str">
        <f t="shared" si="251"/>
        <v/>
      </c>
      <c r="BM565" s="21" t="s">
        <v>5582</v>
      </c>
    </row>
    <row r="566" spans="1:65" ht="15">
      <c r="A566" s="25">
        <f>IFERROR(INDEX('Hun Demand'!W:W,MATCH(O566,'Hun Demand'!A:A,0)),"")</f>
        <v>0</v>
      </c>
      <c r="B566" s="25">
        <f>IFERROR(INDEX('Hun Demand'!V:V,MATCH(O566,'Hun Demand'!A:A,0)),"")</f>
        <v>0</v>
      </c>
      <c r="C566" s="25">
        <f>IFERROR(INDEX('Hun Demand'!U:U,MATCH(O566,'Hun Demand'!A:A,0)),"")</f>
        <v>0</v>
      </c>
      <c r="D566" s="25">
        <f>IFERROR(INDEX('Hun Demand'!T:T,MATCH(O566,'Hun Demand'!A:A,0)),"")</f>
        <v>0</v>
      </c>
      <c r="E566" s="25">
        <f>IFERROR(INDEX('Hun Demand'!S:S,MATCH(O566,'Hun Demand'!A:A,0)),"")</f>
        <v>820</v>
      </c>
      <c r="F566" s="25">
        <f>IFERROR(INDEX('Hun Demand'!R:R,MATCH(O566,'Hun Demand'!A:A,0)),"")</f>
        <v>0</v>
      </c>
      <c r="G566" s="25">
        <f>IFERROR(INDEX('Aub Demand'!W:W,MATCH(O566,'Aub Demand'!A:A,0)),"")</f>
        <v>0</v>
      </c>
      <c r="H566" s="25">
        <f>IFERROR(INDEX('Aub Demand'!V:V,MATCH(O566,'Aub Demand'!A:A,0)),"")</f>
        <v>0</v>
      </c>
      <c r="I566" s="25">
        <f>IFERROR(INDEX('Aub Demand'!U:U,MATCH(O566,'Aub Demand'!A:A,0)),"")</f>
        <v>0</v>
      </c>
      <c r="J566" s="25">
        <f>IFERROR(INDEX('Aub Demand'!T:T,MATCH(O566,'Aub Demand'!A:A,0)),"")</f>
        <v>0</v>
      </c>
      <c r="K566" s="25">
        <f>IFERROR(INDEX('Aub Demand'!S:S,MATCH(O566,'Aub Demand'!A:A,0)),"")</f>
        <v>276</v>
      </c>
      <c r="L566" s="25">
        <f>IFERROR(INDEX('Aub Demand'!R:R,MATCH(O566,'Aub Demand'!A:A,0)),"")</f>
        <v>0</v>
      </c>
      <c r="O566" s="27" t="s">
        <v>941</v>
      </c>
      <c r="P566" s="27" t="str">
        <f>IFERROR(INDEX('Aub Demand'!B:B,MATCH($O566,'Aub Demand'!$A:$A,0)),"")</f>
        <v>HP MAHOGANY</v>
      </c>
      <c r="Q566" s="27" t="str">
        <f>IFERROR(INDEX('Aub Demand'!C:C,MATCH($O566,'Aub Demand'!$A:$A,0)),"")</f>
        <v>DNP A</v>
      </c>
      <c r="R566" s="52">
        <f>IFERROR(IF(AR567=AR566,INDEX('Aub Demand'!K:K,MATCH($O566,'Aub Demand'!$A:$A,0))-IF(AN566="",0,AN566)+AP567,INDEX('Aub Demand'!K:K,MATCH($O566,'Aub Demand'!$A:$A,0))-IF(AN566="",0,AN566)),"")</f>
        <v>962</v>
      </c>
      <c r="S566" s="53">
        <f t="shared" si="224"/>
        <v>44.8</v>
      </c>
      <c r="T566" s="52" t="str">
        <f t="shared" si="225"/>
        <v/>
      </c>
      <c r="U566" s="52">
        <f>IFERROR(IF(AR567=AR566,INDEX('Aub Demand'!Q:Q,MATCH($O566,'Aub Demand'!$A:$A,0))-IF(AN566="",0,AN566)+AP567,INDEX('Aub Demand'!Q:Q,MATCH($O566,'Aub Demand'!$A:$A,0))-IF(AN566="",0,AN566)),"")</f>
        <v>962</v>
      </c>
      <c r="V566" s="53">
        <f t="shared" si="226"/>
        <v>44.8</v>
      </c>
      <c r="W566" s="52" t="str">
        <f t="shared" si="227"/>
        <v/>
      </c>
      <c r="X566" s="52">
        <f>IFERROR(IF(AND(AR567=AR566,AM566&lt;&gt;""),INDEX('Aub Demand'!Q:Q,MATCH($O566,'Aub Demand'!$A:$A,0))-IF(AN566="",0,AN566)+AP567+AD566+AL566,IF(AR567=AR566,INDEX('Aub Demand'!Q:Q,MATCH($O566,'Aub Demand'!$A:$A,0))-IF(AN566="",0,AN566)+AP567+AD566,IF(AM566&lt;&gt;"",INDEX('Aub Demand'!Q:Q,MATCH($O566,'Aub Demand'!$A:$A,0))-IF(AN566="",0,AN566)+AD566+AL566,INDEX('Aub Demand'!Q:Q,MATCH($O566,'Aub Demand'!$A:$A,0))-IF(AN566="",0,AN566)+AD566))),"")</f>
        <v>962</v>
      </c>
      <c r="Y566" s="53">
        <f t="shared" si="228"/>
        <v>44.8</v>
      </c>
      <c r="Z566" s="52">
        <f>IF(L566="","",INDEX('Aub Demand'!H:H,MATCH($O566,'Aub Demand'!$A:$A,0)))</f>
        <v>92</v>
      </c>
      <c r="AA566" s="52" t="str">
        <f t="shared" si="229"/>
        <v>-spike-</v>
      </c>
      <c r="AB566" s="52">
        <f>IFERROR(INDEX('Aub Demand'!L:L,MATCH($O566,'Aub Demand'!$A:$A,0)),"")</f>
        <v>35</v>
      </c>
      <c r="AC566" s="52">
        <f>IFERROR(IF(O566="","",SUMIFS('CPL Mats'!F:F,'CPL Mats'!Q:Q,AR566,'CPL Mats'!S:S,AS566)),"")</f>
        <v>0</v>
      </c>
      <c r="AF566" s="25" t="str">
        <f>IF(SUMIFS('Supp Consol'!S:S,'Supp Consol'!Y:Y,"Releasable",'Supp Consol'!A:A,O566)=0,"",SUMIFS('Supp Consol'!S:S,'Supp Consol'!Y:Y,"Releasable",'Supp Consol'!A:A,O566))</f>
        <v/>
      </c>
      <c r="AG566" s="25">
        <f>IFERROR(INDEX('Hun Demand'!Q:Q,MATCH(O566,'Hun Demand'!A:A,0)),"")</f>
        <v>1158</v>
      </c>
      <c r="AH566" s="25">
        <f>IFERROR(INDEX('Hun Demand'!H:H,MATCH($O566,'Hun Demand'!$A:$A,0)),"")</f>
        <v>273</v>
      </c>
      <c r="AI566" s="25" t="str">
        <f>IF(SUMIFS('Supp Consol'!AA:AA,'Supp Consol'!Z:Z,"Expires this month",'Supp Consol'!A:A,O566)=0,"",SUMIFS('Supp Consol'!AA:AA,'Supp Consol'!Z:Z,"Expires this month",'Supp Consol'!A:A,O566))</f>
        <v/>
      </c>
      <c r="AJ566" s="25" t="str">
        <f>IF(SUMIFS('Supp Consol'!AA:AA,'Supp Consol'!Z:Z,"Expired Previous Months",'Supp Consol'!A:A,O566)=0,"",SUMIFS('Supp Consol'!AA:AA,'Supp Consol'!Z:Z,"Expired Previous Months",'Supp Consol'!A:A,O566))</f>
        <v/>
      </c>
      <c r="AK566" s="25" t="str">
        <f>IFERROR(INDEX('Hun Release Current'!B:B,MATCH(O566,'Hun Release Current'!A:A,0)),"")</f>
        <v/>
      </c>
      <c r="AL566" s="25" t="str">
        <f>IF(SUMIF('Prev Aub'!A:A,O566,'Prev Aub'!B:B)=0,"",SUMIF('Prev Aub'!A:A,O566,'Prev Aub'!B:B))</f>
        <v/>
      </c>
      <c r="AN566" s="25" t="s">
        <v>3790</v>
      </c>
      <c r="AO566" s="25" t="s">
        <v>3790</v>
      </c>
      <c r="AP566" s="25">
        <f t="shared" si="230"/>
        <v>0</v>
      </c>
      <c r="AQ566" s="151" t="str">
        <f>IF(SUMIFS('Supp Consol'!S:S,'Supp Consol'!A:A,O566,'Supp Consol'!I:I,"PENDING")=0,"",SUMIFS('Supp Consol'!S:S,'Supp Consol'!A:A,O566,'Supp Consol'!I:I,"PENDING"))</f>
        <v/>
      </c>
      <c r="AR566" s="27" t="str">
        <f t="shared" si="231"/>
        <v>HP372</v>
      </c>
      <c r="AS566" s="27" t="str">
        <f t="shared" si="232"/>
        <v>62</v>
      </c>
      <c r="AT566" s="27" t="str">
        <f t="shared" si="233"/>
        <v/>
      </c>
      <c r="AU566" s="27" t="str">
        <f t="shared" si="234"/>
        <v/>
      </c>
      <c r="AV566" s="27" t="str">
        <f t="shared" si="235"/>
        <v/>
      </c>
      <c r="AW566" s="27" t="str">
        <f t="shared" si="236"/>
        <v/>
      </c>
      <c r="AX566" s="27" t="str">
        <f t="shared" si="237"/>
        <v/>
      </c>
      <c r="AY566" s="27" t="str">
        <f t="shared" si="238"/>
        <v>HP372</v>
      </c>
      <c r="AZ566" s="27" t="str">
        <f t="shared" si="239"/>
        <v>Supp</v>
      </c>
      <c r="BA566" s="27" t="str">
        <f t="shared" si="240"/>
        <v>Hun</v>
      </c>
      <c r="BB566" s="27" t="str">
        <f t="shared" si="241"/>
        <v/>
      </c>
      <c r="BC566" s="27" t="str">
        <f t="shared" si="242"/>
        <v/>
      </c>
      <c r="BD566" s="27" t="str">
        <f t="shared" si="243"/>
        <v/>
      </c>
      <c r="BE566" s="27" t="str">
        <f t="shared" si="244"/>
        <v/>
      </c>
      <c r="BF566" s="27" t="str">
        <f t="shared" si="245"/>
        <v/>
      </c>
      <c r="BG566" s="27" t="str">
        <f t="shared" si="246"/>
        <v/>
      </c>
      <c r="BH566" s="27" t="str">
        <f t="shared" si="247"/>
        <v/>
      </c>
      <c r="BI566" s="27" t="str">
        <f t="shared" si="248"/>
        <v/>
      </c>
      <c r="BJ566" s="27" t="str">
        <f t="shared" si="249"/>
        <v>Supp or Hun</v>
      </c>
      <c r="BK566" s="27" t="str">
        <f t="shared" si="250"/>
        <v/>
      </c>
      <c r="BL566" s="27" t="str">
        <f t="shared" si="251"/>
        <v/>
      </c>
      <c r="BM566" s="21" t="s">
        <v>5582</v>
      </c>
    </row>
    <row r="567" spans="1:65" ht="15">
      <c r="A567" s="25">
        <f>IFERROR(INDEX('Hun Demand'!W:W,MATCH(O567,'Hun Demand'!A:A,0)),"")</f>
        <v>691</v>
      </c>
      <c r="B567" s="25">
        <f>IFERROR(INDEX('Hun Demand'!V:V,MATCH(O567,'Hun Demand'!A:A,0)),"")</f>
        <v>1144</v>
      </c>
      <c r="C567" s="25">
        <f>IFERROR(INDEX('Hun Demand'!U:U,MATCH(O567,'Hun Demand'!A:A,0)),"")</f>
        <v>154</v>
      </c>
      <c r="D567" s="25">
        <f>IFERROR(INDEX('Hun Demand'!T:T,MATCH(O567,'Hun Demand'!A:A,0)),"")</f>
        <v>305</v>
      </c>
      <c r="E567" s="25">
        <f>IFERROR(INDEX('Hun Demand'!S:S,MATCH(O567,'Hun Demand'!A:A,0)),"")</f>
        <v>304</v>
      </c>
      <c r="F567" s="25">
        <f>IFERROR(INDEX('Hun Demand'!R:R,MATCH(O567,'Hun Demand'!A:A,0)),"")</f>
        <v>0</v>
      </c>
      <c r="G567" s="25">
        <f>IFERROR(INDEX('Aub Demand'!W:W,MATCH(O567,'Aub Demand'!A:A,0)),"")</f>
        <v>0</v>
      </c>
      <c r="H567" s="25">
        <f>IFERROR(INDEX('Aub Demand'!V:V,MATCH(O567,'Aub Demand'!A:A,0)),"")</f>
        <v>0</v>
      </c>
      <c r="I567" s="25">
        <f>IFERROR(INDEX('Aub Demand'!U:U,MATCH(O567,'Aub Demand'!A:A,0)),"")</f>
        <v>105</v>
      </c>
      <c r="J567" s="25">
        <f>IFERROR(INDEX('Aub Demand'!T:T,MATCH(O567,'Aub Demand'!A:A,0)),"")</f>
        <v>113</v>
      </c>
      <c r="K567" s="25">
        <f>IFERROR(INDEX('Aub Demand'!S:S,MATCH(O567,'Aub Demand'!A:A,0)),"")</f>
        <v>19</v>
      </c>
      <c r="L567" s="25">
        <f>IFERROR(INDEX('Aub Demand'!R:R,MATCH(O567,'Aub Demand'!A:A,0)),"")</f>
        <v>0</v>
      </c>
      <c r="O567" s="27" t="s">
        <v>942</v>
      </c>
      <c r="P567" s="27" t="str">
        <f>IFERROR(INDEX('Aub Demand'!B:B,MATCH($O567,'Aub Demand'!$A:$A,0)),"")</f>
        <v>CASTLE OAK II</v>
      </c>
      <c r="Q567" s="27" t="str">
        <f>IFERROR(INDEX('Aub Demand'!C:C,MATCH($O567,'Aub Demand'!$A:$A,0)),"")</f>
        <v>DNP A</v>
      </c>
      <c r="R567" s="52">
        <f>IFERROR(IF(AR568=AR567,INDEX('Aub Demand'!K:K,MATCH($O567,'Aub Demand'!$A:$A,0))-IF(AN567="",0,AN567)+AP568,INDEX('Aub Demand'!K:K,MATCH($O567,'Aub Demand'!$A:$A,0))-IF(AN567="",0,AN567)),"")</f>
        <v>132</v>
      </c>
      <c r="S567" s="53">
        <f t="shared" si="224"/>
        <v>7.2</v>
      </c>
      <c r="T567" s="52" t="str">
        <f t="shared" si="225"/>
        <v/>
      </c>
      <c r="U567" s="52">
        <f>IFERROR(IF(AR568=AR567,INDEX('Aub Demand'!Q:Q,MATCH($O567,'Aub Demand'!$A:$A,0))-IF(AN567="",0,AN567)+AP568,INDEX('Aub Demand'!Q:Q,MATCH($O567,'Aub Demand'!$A:$A,0))-IF(AN567="",0,AN567)),"")</f>
        <v>124</v>
      </c>
      <c r="V567" s="53">
        <f t="shared" si="226"/>
        <v>6.7</v>
      </c>
      <c r="W567" s="52" t="str">
        <f t="shared" si="227"/>
        <v/>
      </c>
      <c r="X567" s="52">
        <f>IFERROR(IF(AND(AR568=AR567,AM567&lt;&gt;""),INDEX('Aub Demand'!Q:Q,MATCH($O567,'Aub Demand'!$A:$A,0))-IF(AN567="",0,AN567)+AP568+AD567+AL567,IF(AR568=AR567,INDEX('Aub Demand'!Q:Q,MATCH($O567,'Aub Demand'!$A:$A,0))-IF(AN567="",0,AN567)+AP568+AD567,IF(AM567&lt;&gt;"",INDEX('Aub Demand'!Q:Q,MATCH($O567,'Aub Demand'!$A:$A,0))-IF(AN567="",0,AN567)+AD567+AL567,INDEX('Aub Demand'!Q:Q,MATCH($O567,'Aub Demand'!$A:$A,0))-IF(AN567="",0,AN567)+AD567))),"")</f>
        <v>124</v>
      </c>
      <c r="Y567" s="53">
        <f t="shared" si="228"/>
        <v>6.7</v>
      </c>
      <c r="Z567" s="52">
        <f>IF(L567="","",INDEX('Aub Demand'!H:H,MATCH($O567,'Aub Demand'!$A:$A,0)))</f>
        <v>79</v>
      </c>
      <c r="AA567" s="52">
        <f t="shared" si="229"/>
        <v>109</v>
      </c>
      <c r="AB567" s="52">
        <f>IFERROR(INDEX('Aub Demand'!L:L,MATCH($O567,'Aub Demand'!$A:$A,0)),"")</f>
        <v>0</v>
      </c>
      <c r="AC567" s="52">
        <f>IFERROR(IF(O567="","",SUMIFS('CPL Mats'!F:F,'CPL Mats'!Q:Q,AR567,'CPL Mats'!S:S,AS567)),"")</f>
        <v>0</v>
      </c>
      <c r="AF567" s="25">
        <f>IF(SUMIFS('Supp Consol'!S:S,'Supp Consol'!Y:Y,"Releasable",'Supp Consol'!A:A,O567)=0,"",SUMIFS('Supp Consol'!S:S,'Supp Consol'!Y:Y,"Releasable",'Supp Consol'!A:A,O567))</f>
        <v>1021</v>
      </c>
      <c r="AG567" s="25">
        <f>IFERROR(INDEX('Hun Demand'!Q:Q,MATCH(O567,'Hun Demand'!A:A,0)),"")</f>
        <v>1093</v>
      </c>
      <c r="AH567" s="25">
        <f>IFERROR(INDEX('Hun Demand'!H:H,MATCH($O567,'Hun Demand'!$A:$A,0)),"")</f>
        <v>254</v>
      </c>
      <c r="AI567" s="25">
        <f>IF(SUMIFS('Supp Consol'!AA:AA,'Supp Consol'!Z:Z,"Expires this month",'Supp Consol'!A:A,O567)=0,"",SUMIFS('Supp Consol'!AA:AA,'Supp Consol'!Z:Z,"Expires this month",'Supp Consol'!A:A,O567))</f>
        <v>1000</v>
      </c>
      <c r="AJ567" s="25" t="str">
        <f>IF(SUMIFS('Supp Consol'!AA:AA,'Supp Consol'!Z:Z,"Expired Previous Months",'Supp Consol'!A:A,O567)=0,"",SUMIFS('Supp Consol'!AA:AA,'Supp Consol'!Z:Z,"Expired Previous Months",'Supp Consol'!A:A,O567))</f>
        <v/>
      </c>
      <c r="AK567" s="25" t="str">
        <f>IFERROR(INDEX('Hun Release Current'!B:B,MATCH(O567,'Hun Release Current'!A:A,0)),"")</f>
        <v/>
      </c>
      <c r="AL567" s="25" t="str">
        <f>IF(SUMIF('Prev Aub'!A:A,O567,'Prev Aub'!B:B)=0,"",SUMIF('Prev Aub'!A:A,O567,'Prev Aub'!B:B))</f>
        <v/>
      </c>
      <c r="AN567" s="25" t="s">
        <v>3790</v>
      </c>
      <c r="AO567" s="25" t="s">
        <v>3790</v>
      </c>
      <c r="AP567" s="25">
        <f t="shared" si="230"/>
        <v>0</v>
      </c>
      <c r="AQ567" s="151" t="str">
        <f>IF(SUMIFS('Supp Consol'!S:S,'Supp Consol'!A:A,O567,'Supp Consol'!I:I,"PENDING")=0,"",SUMIFS('Supp Consol'!S:S,'Supp Consol'!A:A,O567,'Supp Consol'!I:I,"PENDING"))</f>
        <v/>
      </c>
      <c r="AR567" s="27" t="str">
        <f t="shared" si="231"/>
        <v>HP375</v>
      </c>
      <c r="AS567" s="27" t="str">
        <f t="shared" si="232"/>
        <v>50</v>
      </c>
      <c r="AT567" s="27" t="str">
        <f t="shared" si="233"/>
        <v/>
      </c>
      <c r="AU567" s="27" t="str">
        <f t="shared" si="234"/>
        <v/>
      </c>
      <c r="AV567" s="27" t="str">
        <f t="shared" si="235"/>
        <v/>
      </c>
      <c r="AW567" s="27" t="str">
        <f t="shared" si="236"/>
        <v>HP375</v>
      </c>
      <c r="AX567" s="27" t="str">
        <f t="shared" si="237"/>
        <v>HP375</v>
      </c>
      <c r="AY567" s="27" t="str">
        <f t="shared" si="238"/>
        <v>HP375</v>
      </c>
      <c r="AZ567" s="27" t="str">
        <f t="shared" si="239"/>
        <v>Supp</v>
      </c>
      <c r="BA567" s="27" t="str">
        <f t="shared" si="240"/>
        <v>Hun</v>
      </c>
      <c r="BB567" s="27" t="str">
        <f t="shared" si="241"/>
        <v/>
      </c>
      <c r="BC567" s="27" t="str">
        <f t="shared" si="242"/>
        <v/>
      </c>
      <c r="BD567" s="27" t="str">
        <f t="shared" si="243"/>
        <v/>
      </c>
      <c r="BE567" s="27" t="str">
        <f t="shared" si="244"/>
        <v>Exp</v>
      </c>
      <c r="BF567" s="27" t="str">
        <f t="shared" si="245"/>
        <v/>
      </c>
      <c r="BG567" s="27" t="str">
        <f t="shared" si="246"/>
        <v>S+NorE</v>
      </c>
      <c r="BH567" s="27" t="str">
        <f t="shared" si="247"/>
        <v/>
      </c>
      <c r="BI567" s="27" t="str">
        <f t="shared" si="248"/>
        <v/>
      </c>
      <c r="BJ567" s="27" t="str">
        <f t="shared" si="249"/>
        <v>Supp or Hun</v>
      </c>
      <c r="BK567" s="27" t="str">
        <f t="shared" si="250"/>
        <v/>
      </c>
      <c r="BL567" s="27" t="str">
        <f t="shared" si="251"/>
        <v>SorHandNandE</v>
      </c>
      <c r="BM567" s="21" t="s">
        <v>5582</v>
      </c>
    </row>
    <row r="568" spans="1:65" ht="15">
      <c r="A568" s="25" t="str">
        <f>IFERROR(INDEX('Hun Demand'!W:W,MATCH(O568,'Hun Demand'!A:A,0)),"")</f>
        <v/>
      </c>
      <c r="B568" s="25" t="str">
        <f>IFERROR(INDEX('Hun Demand'!V:V,MATCH(O568,'Hun Demand'!A:A,0)),"")</f>
        <v/>
      </c>
      <c r="C568" s="25" t="str">
        <f>IFERROR(INDEX('Hun Demand'!U:U,MATCH(O568,'Hun Demand'!A:A,0)),"")</f>
        <v/>
      </c>
      <c r="D568" s="25" t="str">
        <f>IFERROR(INDEX('Hun Demand'!T:T,MATCH(O568,'Hun Demand'!A:A,0)),"")</f>
        <v/>
      </c>
      <c r="E568" s="25" t="str">
        <f>IFERROR(INDEX('Hun Demand'!S:S,MATCH(O568,'Hun Demand'!A:A,0)),"")</f>
        <v/>
      </c>
      <c r="F568" s="25" t="str">
        <f>IFERROR(INDEX('Hun Demand'!R:R,MATCH(O568,'Hun Demand'!A:A,0)),"")</f>
        <v/>
      </c>
      <c r="G568" s="25">
        <f>IFERROR(INDEX('Aub Demand'!W:W,MATCH(O568,'Aub Demand'!A:A,0)),"")</f>
        <v>0</v>
      </c>
      <c r="H568" s="25">
        <f>IFERROR(INDEX('Aub Demand'!V:V,MATCH(O568,'Aub Demand'!A:A,0)),"")</f>
        <v>0</v>
      </c>
      <c r="I568" s="25">
        <f>IFERROR(INDEX('Aub Demand'!U:U,MATCH(O568,'Aub Demand'!A:A,0)),"")</f>
        <v>0</v>
      </c>
      <c r="J568" s="25">
        <f>IFERROR(INDEX('Aub Demand'!T:T,MATCH(O568,'Aub Demand'!A:A,0)),"")</f>
        <v>0</v>
      </c>
      <c r="K568" s="25">
        <f>IFERROR(INDEX('Aub Demand'!S:S,MATCH(O568,'Aub Demand'!A:A,0)),"")</f>
        <v>0</v>
      </c>
      <c r="L568" s="25">
        <f>IFERROR(INDEX('Aub Demand'!R:R,MATCH(O568,'Aub Demand'!A:A,0)),"")</f>
        <v>0</v>
      </c>
      <c r="O568" s="27" t="s">
        <v>944</v>
      </c>
      <c r="P568" s="27" t="str">
        <f>IFERROR(INDEX('Aub Demand'!B:B,MATCH($O568,'Aub Demand'!$A:$A,0)),"")</f>
        <v>CABINET OAK</v>
      </c>
      <c r="Q568" s="27" t="str">
        <f>IFERROR(INDEX('Aub Demand'!C:C,MATCH($O568,'Aub Demand'!$A:$A,0)),"")</f>
        <v>INTER</v>
      </c>
      <c r="R568" s="52">
        <f>IFERROR(IF(AR569=AR568,INDEX('Aub Demand'!K:K,MATCH($O568,'Aub Demand'!$A:$A,0))-IF(AN568="",0,AN568)+AP569,INDEX('Aub Demand'!K:K,MATCH($O568,'Aub Demand'!$A:$A,0))-IF(AN568="",0,AN568)),"")</f>
        <v>35</v>
      </c>
      <c r="S568" s="53" t="str">
        <f t="shared" si="224"/>
        <v>n/a</v>
      </c>
      <c r="T568" s="52" t="str">
        <f t="shared" si="225"/>
        <v/>
      </c>
      <c r="U568" s="52">
        <f>IFERROR(IF(AR569=AR568,INDEX('Aub Demand'!Q:Q,MATCH($O568,'Aub Demand'!$A:$A,0))-IF(AN568="",0,AN568)+AP569,INDEX('Aub Demand'!Q:Q,MATCH($O568,'Aub Demand'!$A:$A,0))-IF(AN568="",0,AN568)),"")</f>
        <v>35</v>
      </c>
      <c r="V568" s="53" t="str">
        <f t="shared" si="226"/>
        <v>n/a</v>
      </c>
      <c r="W568" s="52" t="str">
        <f t="shared" si="227"/>
        <v/>
      </c>
      <c r="X568" s="52">
        <f>IFERROR(IF(AND(AR569=AR568,AM568&lt;&gt;""),INDEX('Aub Demand'!Q:Q,MATCH($O568,'Aub Demand'!$A:$A,0))-IF(AN568="",0,AN568)+AP569+AD568+AL568,IF(AR569=AR568,INDEX('Aub Demand'!Q:Q,MATCH($O568,'Aub Demand'!$A:$A,0))-IF(AN568="",0,AN568)+AP569+AD568,IF(AM568&lt;&gt;"",INDEX('Aub Demand'!Q:Q,MATCH($O568,'Aub Demand'!$A:$A,0))-IF(AN568="",0,AN568)+AD568+AL568,INDEX('Aub Demand'!Q:Q,MATCH($O568,'Aub Demand'!$A:$A,0))-IF(AN568="",0,AN568)+AD568))),"")</f>
        <v>35</v>
      </c>
      <c r="Y568" s="53" t="str">
        <f t="shared" si="228"/>
        <v>n/a</v>
      </c>
      <c r="Z568" s="52">
        <f>IF(L568="","",INDEX('Aub Demand'!H:H,MATCH($O568,'Aub Demand'!$A:$A,0)))</f>
        <v>0</v>
      </c>
      <c r="AA568" s="52" t="str">
        <f t="shared" si="229"/>
        <v>-spike-</v>
      </c>
      <c r="AB568" s="52">
        <f>IFERROR(INDEX('Aub Demand'!L:L,MATCH($O568,'Aub Demand'!$A:$A,0)),"")</f>
        <v>12</v>
      </c>
      <c r="AC568" s="52">
        <f>IFERROR(IF(O568="","",SUMIFS('CPL Mats'!F:F,'CPL Mats'!Q:Q,AR568,'CPL Mats'!S:S,AS568)),"")</f>
        <v>0</v>
      </c>
      <c r="AF568" s="25" t="str">
        <f>IF(SUMIFS('Supp Consol'!S:S,'Supp Consol'!Y:Y,"Releasable",'Supp Consol'!A:A,O568)=0,"",SUMIFS('Supp Consol'!S:S,'Supp Consol'!Y:Y,"Releasable",'Supp Consol'!A:A,O568))</f>
        <v/>
      </c>
      <c r="AG568" s="25" t="str">
        <f>IFERROR(INDEX('Hun Demand'!Q:Q,MATCH(O568,'Hun Demand'!A:A,0)),"")</f>
        <v/>
      </c>
      <c r="AH568" s="25" t="str">
        <f>IFERROR(INDEX('Hun Demand'!H:H,MATCH($O568,'Hun Demand'!$A:$A,0)),"")</f>
        <v/>
      </c>
      <c r="AI568" s="25" t="str">
        <f>IF(SUMIFS('Supp Consol'!AA:AA,'Supp Consol'!Z:Z,"Expires this month",'Supp Consol'!A:A,O568)=0,"",SUMIFS('Supp Consol'!AA:AA,'Supp Consol'!Z:Z,"Expires this month",'Supp Consol'!A:A,O568))</f>
        <v/>
      </c>
      <c r="AJ568" s="25" t="str">
        <f>IF(SUMIFS('Supp Consol'!AA:AA,'Supp Consol'!Z:Z,"Expired Previous Months",'Supp Consol'!A:A,O568)=0,"",SUMIFS('Supp Consol'!AA:AA,'Supp Consol'!Z:Z,"Expired Previous Months",'Supp Consol'!A:A,O568))</f>
        <v/>
      </c>
      <c r="AK568" s="25" t="str">
        <f>IFERROR(INDEX('Hun Release Current'!B:B,MATCH(O568,'Hun Release Current'!A:A,0)),"")</f>
        <v/>
      </c>
      <c r="AL568" s="25" t="str">
        <f>IF(SUMIF('Prev Aub'!A:A,O568,'Prev Aub'!B:B)=0,"",SUMIF('Prev Aub'!A:A,O568,'Prev Aub'!B:B))</f>
        <v/>
      </c>
      <c r="AN568" s="25" t="s">
        <v>3790</v>
      </c>
      <c r="AO568" s="25" t="s">
        <v>3790</v>
      </c>
      <c r="AP568" s="25">
        <f t="shared" si="230"/>
        <v>0</v>
      </c>
      <c r="AQ568" s="151" t="str">
        <f>IF(SUMIFS('Supp Consol'!S:S,'Supp Consol'!A:A,O568,'Supp Consol'!I:I,"PENDING")=0,"",SUMIFS('Supp Consol'!S:S,'Supp Consol'!A:A,O568,'Supp Consol'!I:I,"PENDING"))</f>
        <v/>
      </c>
      <c r="AR568" s="27" t="str">
        <f t="shared" si="231"/>
        <v>HP383</v>
      </c>
      <c r="AS568" s="27" t="str">
        <f t="shared" si="232"/>
        <v>50</v>
      </c>
      <c r="AT568" s="27" t="str">
        <f t="shared" si="233"/>
        <v/>
      </c>
      <c r="AU568" s="27" t="str">
        <f t="shared" si="234"/>
        <v/>
      </c>
      <c r="AV568" s="27" t="str">
        <f t="shared" si="235"/>
        <v/>
      </c>
      <c r="AW568" s="27" t="str">
        <f t="shared" si="236"/>
        <v/>
      </c>
      <c r="AX568" s="27" t="str">
        <f t="shared" si="237"/>
        <v/>
      </c>
      <c r="AY568" s="27" t="str">
        <f t="shared" si="238"/>
        <v/>
      </c>
      <c r="AZ568" s="27" t="str">
        <f t="shared" si="239"/>
        <v/>
      </c>
      <c r="BA568" s="27" t="str">
        <f t="shared" si="240"/>
        <v/>
      </c>
      <c r="BB568" s="27" t="str">
        <f t="shared" si="241"/>
        <v/>
      </c>
      <c r="BC568" s="27" t="str">
        <f t="shared" si="242"/>
        <v/>
      </c>
      <c r="BD568" s="27" t="str">
        <f t="shared" si="243"/>
        <v/>
      </c>
      <c r="BE568" s="27" t="str">
        <f t="shared" si="244"/>
        <v/>
      </c>
      <c r="BF568" s="27" t="str">
        <f t="shared" si="245"/>
        <v/>
      </c>
      <c r="BG568" s="27" t="str">
        <f t="shared" si="246"/>
        <v/>
      </c>
      <c r="BH568" s="27" t="str">
        <f t="shared" si="247"/>
        <v/>
      </c>
      <c r="BI568" s="27" t="str">
        <f t="shared" si="248"/>
        <v/>
      </c>
      <c r="BJ568" s="27" t="str">
        <f t="shared" si="249"/>
        <v/>
      </c>
      <c r="BK568" s="27" t="str">
        <f t="shared" si="250"/>
        <v/>
      </c>
      <c r="BL568" s="27" t="str">
        <f t="shared" si="251"/>
        <v/>
      </c>
      <c r="BM568" s="21" t="s">
        <v>3790</v>
      </c>
    </row>
    <row r="569" spans="1:65" ht="15">
      <c r="A569" s="25">
        <f>IFERROR(INDEX('Hun Demand'!W:W,MATCH(O569,'Hun Demand'!A:A,0)),"")</f>
        <v>116</v>
      </c>
      <c r="B569" s="25">
        <f>IFERROR(INDEX('Hun Demand'!V:V,MATCH(O569,'Hun Demand'!A:A,0)),"")</f>
        <v>0</v>
      </c>
      <c r="C569" s="25">
        <f>IFERROR(INDEX('Hun Demand'!U:U,MATCH(O569,'Hun Demand'!A:A,0)),"")</f>
        <v>0</v>
      </c>
      <c r="D569" s="25">
        <f>IFERROR(INDEX('Hun Demand'!T:T,MATCH(O569,'Hun Demand'!A:A,0)),"")</f>
        <v>166</v>
      </c>
      <c r="E569" s="25">
        <f>IFERROR(INDEX('Hun Demand'!S:S,MATCH(O569,'Hun Demand'!A:A,0)),"")</f>
        <v>0</v>
      </c>
      <c r="F569" s="25">
        <f>IFERROR(INDEX('Hun Demand'!R:R,MATCH(O569,'Hun Demand'!A:A,0)),"")</f>
        <v>134</v>
      </c>
      <c r="G569" s="25">
        <f>IFERROR(INDEX('Aub Demand'!W:W,MATCH(O569,'Aub Demand'!A:A,0)),"")</f>
        <v>0</v>
      </c>
      <c r="H569" s="25">
        <f>IFERROR(INDEX('Aub Demand'!V:V,MATCH(O569,'Aub Demand'!A:A,0)),"")</f>
        <v>0</v>
      </c>
      <c r="I569" s="25">
        <f>IFERROR(INDEX('Aub Demand'!U:U,MATCH(O569,'Aub Demand'!A:A,0)),"")</f>
        <v>0</v>
      </c>
      <c r="J569" s="25">
        <f>IFERROR(INDEX('Aub Demand'!T:T,MATCH(O569,'Aub Demand'!A:A,0)),"")</f>
        <v>0</v>
      </c>
      <c r="K569" s="25">
        <f>IFERROR(INDEX('Aub Demand'!S:S,MATCH(O569,'Aub Demand'!A:A,0)),"")</f>
        <v>0</v>
      </c>
      <c r="L569" s="25">
        <f>IFERROR(INDEX('Aub Demand'!R:R,MATCH(O569,'Aub Demand'!A:A,0)),"")</f>
        <v>0</v>
      </c>
      <c r="O569" s="27" t="s">
        <v>947</v>
      </c>
      <c r="P569" s="27" t="str">
        <f>IFERROR(INDEX('Aub Demand'!B:B,MATCH($O569,'Aub Demand'!$A:$A,0)),"")</f>
        <v>HP NATURAL OAK</v>
      </c>
      <c r="Q569" s="27" t="str">
        <f>IFERROR(INDEX('Aub Demand'!C:C,MATCH($O569,'Aub Demand'!$A:$A,0)),"")</f>
        <v>TOPPA</v>
      </c>
      <c r="R569" s="52">
        <f>IFERROR(IF(AR570=AR569,INDEX('Aub Demand'!K:K,MATCH($O569,'Aub Demand'!$A:$A,0))-IF(AN569="",0,AN569)+AP570,INDEX('Aub Demand'!K:K,MATCH($O569,'Aub Demand'!$A:$A,0))-IF(AN569="",0,AN569)),"")</f>
        <v>42</v>
      </c>
      <c r="S569" s="53" t="str">
        <f t="shared" si="224"/>
        <v>n/a</v>
      </c>
      <c r="T569" s="52" t="str">
        <f t="shared" si="225"/>
        <v/>
      </c>
      <c r="U569" s="52">
        <f>IFERROR(IF(AR570=AR569,INDEX('Aub Demand'!Q:Q,MATCH($O569,'Aub Demand'!$A:$A,0))-IF(AN569="",0,AN569)+AP570,INDEX('Aub Demand'!Q:Q,MATCH($O569,'Aub Demand'!$A:$A,0))-IF(AN569="",0,AN569)),"")</f>
        <v>42</v>
      </c>
      <c r="V569" s="53" t="str">
        <f t="shared" si="226"/>
        <v>n/a</v>
      </c>
      <c r="W569" s="52" t="str">
        <f t="shared" si="227"/>
        <v/>
      </c>
      <c r="X569" s="52">
        <f>IFERROR(IF(AND(AR570=AR569,AM569&lt;&gt;""),INDEX('Aub Demand'!Q:Q,MATCH($O569,'Aub Demand'!$A:$A,0))-IF(AN569="",0,AN569)+AP570+AD569+AL569,IF(AR570=AR569,INDEX('Aub Demand'!Q:Q,MATCH($O569,'Aub Demand'!$A:$A,0))-IF(AN569="",0,AN569)+AP570+AD569,IF(AM569&lt;&gt;"",INDEX('Aub Demand'!Q:Q,MATCH($O569,'Aub Demand'!$A:$A,0))-IF(AN569="",0,AN569)+AD569+AL569,INDEX('Aub Demand'!Q:Q,MATCH($O569,'Aub Demand'!$A:$A,0))-IF(AN569="",0,AN569)+AD569))),"")</f>
        <v>42</v>
      </c>
      <c r="Y569" s="53" t="str">
        <f t="shared" si="228"/>
        <v>n/a</v>
      </c>
      <c r="Z569" s="52">
        <f>IF(L569="","",INDEX('Aub Demand'!H:H,MATCH($O569,'Aub Demand'!$A:$A,0)))</f>
        <v>0</v>
      </c>
      <c r="AA569" s="52" t="str">
        <f t="shared" si="229"/>
        <v>-spike-</v>
      </c>
      <c r="AB569" s="52">
        <f>IFERROR(INDEX('Aub Demand'!L:L,MATCH($O569,'Aub Demand'!$A:$A,0)),"")</f>
        <v>0</v>
      </c>
      <c r="AC569" s="52">
        <f>IFERROR(IF(O569="","",SUMIFS('CPL Mats'!F:F,'CPL Mats'!Q:Q,AR569,'CPL Mats'!S:S,AS569)),"")</f>
        <v>0</v>
      </c>
      <c r="AF569" s="25" t="str">
        <f>IF(SUMIFS('Supp Consol'!S:S,'Supp Consol'!Y:Y,"Releasable",'Supp Consol'!A:A,O569)=0,"",SUMIFS('Supp Consol'!S:S,'Supp Consol'!Y:Y,"Releasable",'Supp Consol'!A:A,O569))</f>
        <v/>
      </c>
      <c r="AG569" s="25">
        <f>IFERROR(INDEX('Hun Demand'!Q:Q,MATCH(O569,'Hun Demand'!A:A,0)),"")</f>
        <v>-164</v>
      </c>
      <c r="AH569" s="25">
        <f>IFERROR(INDEX('Hun Demand'!H:H,MATCH($O569,'Hun Demand'!$A:$A,0)),"")</f>
        <v>55</v>
      </c>
      <c r="AI569" s="25" t="str">
        <f>IF(SUMIFS('Supp Consol'!AA:AA,'Supp Consol'!Z:Z,"Expires this month",'Supp Consol'!A:A,O569)=0,"",SUMIFS('Supp Consol'!AA:AA,'Supp Consol'!Z:Z,"Expires this month",'Supp Consol'!A:A,O569))</f>
        <v/>
      </c>
      <c r="AJ569" s="25" t="str">
        <f>IF(SUMIFS('Supp Consol'!AA:AA,'Supp Consol'!Z:Z,"Expired Previous Months",'Supp Consol'!A:A,O569)=0,"",SUMIFS('Supp Consol'!AA:AA,'Supp Consol'!Z:Z,"Expired Previous Months",'Supp Consol'!A:A,O569))</f>
        <v/>
      </c>
      <c r="AK569" s="25" t="str">
        <f>IFERROR(INDEX('Hun Release Current'!B:B,MATCH(O569,'Hun Release Current'!A:A,0)),"")</f>
        <v/>
      </c>
      <c r="AL569" s="25" t="str">
        <f>IF(SUMIF('Prev Aub'!A:A,O569,'Prev Aub'!B:B)=0,"",SUMIF('Prev Aub'!A:A,O569,'Prev Aub'!B:B))</f>
        <v/>
      </c>
      <c r="AN569" s="25" t="s">
        <v>3790</v>
      </c>
      <c r="AO569" s="25" t="s">
        <v>3790</v>
      </c>
      <c r="AP569" s="25">
        <f t="shared" si="230"/>
        <v>0</v>
      </c>
      <c r="AQ569" s="151" t="str">
        <f>IF(SUMIFS('Supp Consol'!S:S,'Supp Consol'!A:A,O569,'Supp Consol'!I:I,"PENDING")=0,"",SUMIFS('Supp Consol'!S:S,'Supp Consol'!A:A,O569,'Supp Consol'!I:I,"PENDING"))</f>
        <v/>
      </c>
      <c r="AR569" s="27" t="str">
        <f t="shared" si="231"/>
        <v>HP391</v>
      </c>
      <c r="AS569" s="27" t="str">
        <f t="shared" si="232"/>
        <v>50</v>
      </c>
      <c r="AT569" s="27" t="str">
        <f t="shared" si="233"/>
        <v/>
      </c>
      <c r="AU569" s="27" t="str">
        <f t="shared" si="234"/>
        <v/>
      </c>
      <c r="AV569" s="27" t="str">
        <f t="shared" si="235"/>
        <v/>
      </c>
      <c r="AW569" s="27" t="str">
        <f t="shared" si="236"/>
        <v/>
      </c>
      <c r="AX569" s="27" t="str">
        <f t="shared" si="237"/>
        <v/>
      </c>
      <c r="AY569" s="27" t="str">
        <f t="shared" si="238"/>
        <v/>
      </c>
      <c r="AZ569" s="27" t="str">
        <f t="shared" si="239"/>
        <v/>
      </c>
      <c r="BA569" s="27" t="str">
        <f t="shared" si="240"/>
        <v>Hun</v>
      </c>
      <c r="BB569" s="27" t="str">
        <f t="shared" si="241"/>
        <v/>
      </c>
      <c r="BC569" s="27" t="str">
        <f t="shared" si="242"/>
        <v/>
      </c>
      <c r="BD569" s="27" t="str">
        <f t="shared" si="243"/>
        <v/>
      </c>
      <c r="BE569" s="27" t="str">
        <f t="shared" si="244"/>
        <v/>
      </c>
      <c r="BF569" s="27" t="str">
        <f t="shared" si="245"/>
        <v/>
      </c>
      <c r="BG569" s="27" t="str">
        <f t="shared" si="246"/>
        <v/>
      </c>
      <c r="BH569" s="27" t="str">
        <f t="shared" si="247"/>
        <v/>
      </c>
      <c r="BI569" s="27" t="str">
        <f t="shared" si="248"/>
        <v/>
      </c>
      <c r="BJ569" s="27" t="str">
        <f t="shared" si="249"/>
        <v>Supp or Hun</v>
      </c>
      <c r="BK569" s="27" t="str">
        <f t="shared" si="250"/>
        <v/>
      </c>
      <c r="BL569" s="27" t="str">
        <f t="shared" si="251"/>
        <v/>
      </c>
      <c r="BM569" s="21" t="s">
        <v>5582</v>
      </c>
    </row>
    <row r="570" spans="1:65" ht="15">
      <c r="A570" s="25">
        <f>IFERROR(INDEX('Hun Demand'!W:W,MATCH(O570,'Hun Demand'!A:A,0)),"")</f>
        <v>0</v>
      </c>
      <c r="B570" s="25">
        <f>IFERROR(INDEX('Hun Demand'!V:V,MATCH(O570,'Hun Demand'!A:A,0)),"")</f>
        <v>169</v>
      </c>
      <c r="C570" s="25">
        <f>IFERROR(INDEX('Hun Demand'!U:U,MATCH(O570,'Hun Demand'!A:A,0)),"")</f>
        <v>0</v>
      </c>
      <c r="D570" s="25">
        <f>IFERROR(INDEX('Hun Demand'!T:T,MATCH(O570,'Hun Demand'!A:A,0)),"")</f>
        <v>0</v>
      </c>
      <c r="E570" s="25">
        <f>IFERROR(INDEX('Hun Demand'!S:S,MATCH(O570,'Hun Demand'!A:A,0)),"")</f>
        <v>0</v>
      </c>
      <c r="F570" s="25">
        <f>IFERROR(INDEX('Hun Demand'!R:R,MATCH(O570,'Hun Demand'!A:A,0)),"")</f>
        <v>0</v>
      </c>
      <c r="G570" s="25">
        <f>IFERROR(INDEX('Aub Demand'!W:W,MATCH(O570,'Aub Demand'!A:A,0)),"")</f>
        <v>0</v>
      </c>
      <c r="H570" s="25">
        <f>IFERROR(INDEX('Aub Demand'!V:V,MATCH(O570,'Aub Demand'!A:A,0)),"")</f>
        <v>0</v>
      </c>
      <c r="I570" s="25">
        <f>IFERROR(INDEX('Aub Demand'!U:U,MATCH(O570,'Aub Demand'!A:A,0)),"")</f>
        <v>0</v>
      </c>
      <c r="J570" s="25">
        <f>IFERROR(INDEX('Aub Demand'!T:T,MATCH(O570,'Aub Demand'!A:A,0)),"")</f>
        <v>0</v>
      </c>
      <c r="K570" s="25">
        <f>IFERROR(INDEX('Aub Demand'!S:S,MATCH(O570,'Aub Demand'!A:A,0)),"")</f>
        <v>0</v>
      </c>
      <c r="L570" s="25">
        <f>IFERROR(INDEX('Aub Demand'!R:R,MATCH(O570,'Aub Demand'!A:A,0)),"")</f>
        <v>0</v>
      </c>
      <c r="O570" s="27" t="s">
        <v>950</v>
      </c>
      <c r="P570" s="27" t="str">
        <f>IFERROR(INDEX('Aub Demand'!B:B,MATCH($O570,'Aub Demand'!$A:$A,0)),"")</f>
        <v>HP NATURAL OAK</v>
      </c>
      <c r="Q570" s="27" t="str">
        <f>IFERROR(INDEX('Aub Demand'!C:C,MATCH($O570,'Aub Demand'!$A:$A,0)),"")</f>
        <v>TOPPA</v>
      </c>
      <c r="R570" s="52">
        <f>IFERROR(IF(AR571=AR570,INDEX('Aub Demand'!K:K,MATCH($O570,'Aub Demand'!$A:$A,0))-IF(AN570="",0,AN570)+AP571,INDEX('Aub Demand'!K:K,MATCH($O570,'Aub Demand'!$A:$A,0))-IF(AN570="",0,AN570)),"")</f>
        <v>81</v>
      </c>
      <c r="S570" s="53" t="str">
        <f t="shared" si="224"/>
        <v>n/a</v>
      </c>
      <c r="T570" s="52" t="str">
        <f t="shared" si="225"/>
        <v/>
      </c>
      <c r="U570" s="52">
        <f>IFERROR(IF(AR571=AR570,INDEX('Aub Demand'!Q:Q,MATCH($O570,'Aub Demand'!$A:$A,0))-IF(AN570="",0,AN570)+AP571,INDEX('Aub Demand'!Q:Q,MATCH($O570,'Aub Demand'!$A:$A,0))-IF(AN570="",0,AN570)),"")</f>
        <v>81</v>
      </c>
      <c r="V570" s="53" t="str">
        <f t="shared" si="226"/>
        <v>n/a</v>
      </c>
      <c r="W570" s="52" t="str">
        <f t="shared" si="227"/>
        <v/>
      </c>
      <c r="X570" s="52">
        <f>IFERROR(IF(AND(AR571=AR570,AM570&lt;&gt;""),INDEX('Aub Demand'!Q:Q,MATCH($O570,'Aub Demand'!$A:$A,0))-IF(AN570="",0,AN570)+AP571+AD570+AL570,IF(AR571=AR570,INDEX('Aub Demand'!Q:Q,MATCH($O570,'Aub Demand'!$A:$A,0))-IF(AN570="",0,AN570)+AP571+AD570,IF(AM570&lt;&gt;"",INDEX('Aub Demand'!Q:Q,MATCH($O570,'Aub Demand'!$A:$A,0))-IF(AN570="",0,AN570)+AD570+AL570,INDEX('Aub Demand'!Q:Q,MATCH($O570,'Aub Demand'!$A:$A,0))-IF(AN570="",0,AN570)+AD570))),"")</f>
        <v>81</v>
      </c>
      <c r="Y570" s="53" t="str">
        <f t="shared" si="228"/>
        <v>n/a</v>
      </c>
      <c r="Z570" s="52">
        <f>IF(L570="","",INDEX('Aub Demand'!H:H,MATCH($O570,'Aub Demand'!$A:$A,0)))</f>
        <v>0</v>
      </c>
      <c r="AA570" s="52" t="str">
        <f t="shared" si="229"/>
        <v>-spike-</v>
      </c>
      <c r="AB570" s="52">
        <f>IFERROR(INDEX('Aub Demand'!L:L,MATCH($O570,'Aub Demand'!$A:$A,0)),"")</f>
        <v>0</v>
      </c>
      <c r="AC570" s="52">
        <f>IFERROR(IF(O570="","",SUMIFS('CPL Mats'!F:F,'CPL Mats'!Q:Q,AR570,'CPL Mats'!S:S,AS570)),"")</f>
        <v>0</v>
      </c>
      <c r="AF570" s="25" t="str">
        <f>IF(SUMIFS('Supp Consol'!S:S,'Supp Consol'!Y:Y,"Releasable",'Supp Consol'!A:A,O570)=0,"",SUMIFS('Supp Consol'!S:S,'Supp Consol'!Y:Y,"Releasable",'Supp Consol'!A:A,O570))</f>
        <v/>
      </c>
      <c r="AG570" s="25">
        <f>IFERROR(INDEX('Hun Demand'!Q:Q,MATCH(O570,'Hun Demand'!A:A,0)),"")</f>
        <v>730</v>
      </c>
      <c r="AH570" s="25">
        <f>IFERROR(INDEX('Hun Demand'!H:H,MATCH($O570,'Hun Demand'!$A:$A,0)),"")</f>
        <v>0</v>
      </c>
      <c r="AI570" s="25" t="str">
        <f>IF(SUMIFS('Supp Consol'!AA:AA,'Supp Consol'!Z:Z,"Expires this month",'Supp Consol'!A:A,O570)=0,"",SUMIFS('Supp Consol'!AA:AA,'Supp Consol'!Z:Z,"Expires this month",'Supp Consol'!A:A,O570))</f>
        <v/>
      </c>
      <c r="AJ570" s="25" t="str">
        <f>IF(SUMIFS('Supp Consol'!AA:AA,'Supp Consol'!Z:Z,"Expired Previous Months",'Supp Consol'!A:A,O570)=0,"",SUMIFS('Supp Consol'!AA:AA,'Supp Consol'!Z:Z,"Expired Previous Months",'Supp Consol'!A:A,O570))</f>
        <v/>
      </c>
      <c r="AK570" s="25" t="str">
        <f>IFERROR(INDEX('Hun Release Current'!B:B,MATCH(O570,'Hun Release Current'!A:A,0)),"")</f>
        <v/>
      </c>
      <c r="AL570" s="25" t="str">
        <f>IF(SUMIF('Prev Aub'!A:A,O570,'Prev Aub'!B:B)=0,"",SUMIF('Prev Aub'!A:A,O570,'Prev Aub'!B:B))</f>
        <v/>
      </c>
      <c r="AN570" s="25" t="s">
        <v>3790</v>
      </c>
      <c r="AO570" s="25" t="s">
        <v>3790</v>
      </c>
      <c r="AP570" s="25">
        <f t="shared" si="230"/>
        <v>0</v>
      </c>
      <c r="AQ570" s="151" t="str">
        <f>IF(SUMIFS('Supp Consol'!S:S,'Supp Consol'!A:A,O570,'Supp Consol'!I:I,"PENDING")=0,"",SUMIFS('Supp Consol'!S:S,'Supp Consol'!A:A,O570,'Supp Consol'!I:I,"PENDING"))</f>
        <v/>
      </c>
      <c r="AR570" s="27" t="str">
        <f t="shared" si="231"/>
        <v>HP391</v>
      </c>
      <c r="AS570" s="27" t="str">
        <f t="shared" si="232"/>
        <v>62</v>
      </c>
      <c r="AT570" s="27" t="str">
        <f t="shared" si="233"/>
        <v/>
      </c>
      <c r="AU570" s="27" t="str">
        <f t="shared" si="234"/>
        <v/>
      </c>
      <c r="AV570" s="27" t="str">
        <f t="shared" si="235"/>
        <v/>
      </c>
      <c r="AW570" s="27" t="str">
        <f t="shared" si="236"/>
        <v/>
      </c>
      <c r="AX570" s="27" t="str">
        <f t="shared" si="237"/>
        <v/>
      </c>
      <c r="AY570" s="27" t="str">
        <f t="shared" si="238"/>
        <v>HP391</v>
      </c>
      <c r="AZ570" s="27" t="str">
        <f t="shared" si="239"/>
        <v/>
      </c>
      <c r="BA570" s="27" t="str">
        <f t="shared" si="240"/>
        <v>Hun</v>
      </c>
      <c r="BB570" s="27" t="str">
        <f t="shared" si="241"/>
        <v/>
      </c>
      <c r="BC570" s="27" t="str">
        <f t="shared" si="242"/>
        <v/>
      </c>
      <c r="BD570" s="27" t="str">
        <f t="shared" si="243"/>
        <v/>
      </c>
      <c r="BE570" s="27" t="str">
        <f t="shared" si="244"/>
        <v/>
      </c>
      <c r="BF570" s="27" t="str">
        <f t="shared" si="245"/>
        <v/>
      </c>
      <c r="BG570" s="27" t="str">
        <f t="shared" si="246"/>
        <v/>
      </c>
      <c r="BH570" s="27" t="str">
        <f t="shared" si="247"/>
        <v/>
      </c>
      <c r="BI570" s="27" t="str">
        <f t="shared" si="248"/>
        <v/>
      </c>
      <c r="BJ570" s="27" t="str">
        <f t="shared" si="249"/>
        <v>Supp or Hun</v>
      </c>
      <c r="BK570" s="27" t="str">
        <f t="shared" si="250"/>
        <v/>
      </c>
      <c r="BL570" s="27" t="str">
        <f t="shared" si="251"/>
        <v/>
      </c>
      <c r="BM570" s="21" t="s">
        <v>5582</v>
      </c>
    </row>
    <row r="571" spans="1:65" ht="15">
      <c r="A571" s="25">
        <f>IFERROR(INDEX('Hun Demand'!W:W,MATCH(O571,'Hun Demand'!A:A,0)),"")</f>
        <v>507</v>
      </c>
      <c r="B571" s="25">
        <f>IFERROR(INDEX('Hun Demand'!V:V,MATCH(O571,'Hun Demand'!A:A,0)),"")</f>
        <v>0</v>
      </c>
      <c r="C571" s="25">
        <f>IFERROR(INDEX('Hun Demand'!U:U,MATCH(O571,'Hun Demand'!A:A,0)),"")</f>
        <v>0</v>
      </c>
      <c r="D571" s="25">
        <f>IFERROR(INDEX('Hun Demand'!T:T,MATCH(O571,'Hun Demand'!A:A,0)),"")</f>
        <v>322</v>
      </c>
      <c r="E571" s="25">
        <f>IFERROR(INDEX('Hun Demand'!S:S,MATCH(O571,'Hun Demand'!A:A,0)),"")</f>
        <v>0</v>
      </c>
      <c r="F571" s="25">
        <f>IFERROR(INDEX('Hun Demand'!R:R,MATCH(O571,'Hun Demand'!A:A,0)),"")</f>
        <v>114</v>
      </c>
      <c r="G571" s="25">
        <f>IFERROR(INDEX('Aub Demand'!W:W,MATCH(O571,'Aub Demand'!A:A,0)),"")</f>
        <v>384</v>
      </c>
      <c r="H571" s="25">
        <f>IFERROR(INDEX('Aub Demand'!V:V,MATCH(O571,'Aub Demand'!A:A,0)),"")</f>
        <v>0</v>
      </c>
      <c r="I571" s="25">
        <f>IFERROR(INDEX('Aub Demand'!U:U,MATCH(O571,'Aub Demand'!A:A,0)),"")</f>
        <v>171</v>
      </c>
      <c r="J571" s="25">
        <f>IFERROR(INDEX('Aub Demand'!T:T,MATCH(O571,'Aub Demand'!A:A,0)),"")</f>
        <v>0</v>
      </c>
      <c r="K571" s="25">
        <f>IFERROR(INDEX('Aub Demand'!S:S,MATCH(O571,'Aub Demand'!A:A,0)),"")</f>
        <v>0</v>
      </c>
      <c r="L571" s="25">
        <f>IFERROR(INDEX('Aub Demand'!R:R,MATCH(O571,'Aub Demand'!A:A,0)),"")</f>
        <v>0</v>
      </c>
      <c r="O571" s="27" t="s">
        <v>951</v>
      </c>
      <c r="P571" s="27" t="str">
        <f>IFERROR(INDEX('Aub Demand'!B:B,MATCH($O571,'Aub Demand'!$A:$A,0)),"")</f>
        <v>CORPORATE WALNUT</v>
      </c>
      <c r="Q571" s="27" t="str">
        <f>IFERROR(INDEX('Aub Demand'!C:C,MATCH($O571,'Aub Demand'!$A:$A,0)),"")</f>
        <v>INTER</v>
      </c>
      <c r="R571" s="52">
        <f>IFERROR(IF(AR572=AR571,INDEX('Aub Demand'!K:K,MATCH($O571,'Aub Demand'!$A:$A,0))-IF(AN571="",0,AN571)+AP572,INDEX('Aub Demand'!K:K,MATCH($O571,'Aub Demand'!$A:$A,0))-IF(AN571="",0,AN571)),"")</f>
        <v>789</v>
      </c>
      <c r="S571" s="53">
        <f t="shared" si="224"/>
        <v>59.3</v>
      </c>
      <c r="T571" s="52" t="str">
        <f t="shared" si="225"/>
        <v/>
      </c>
      <c r="U571" s="52">
        <f>IFERROR(IF(AR572=AR571,INDEX('Aub Demand'!Q:Q,MATCH($O571,'Aub Demand'!$A:$A,0))-IF(AN571="",0,AN571)+AP572,INDEX('Aub Demand'!Q:Q,MATCH($O571,'Aub Demand'!$A:$A,0))-IF(AN571="",0,AN571)),"")</f>
        <v>787</v>
      </c>
      <c r="V571" s="53">
        <f t="shared" si="226"/>
        <v>59.2</v>
      </c>
      <c r="W571" s="52" t="str">
        <f t="shared" si="227"/>
        <v/>
      </c>
      <c r="X571" s="52">
        <f>IFERROR(IF(AND(AR572=AR571,AM571&lt;&gt;""),INDEX('Aub Demand'!Q:Q,MATCH($O571,'Aub Demand'!$A:$A,0))-IF(AN571="",0,AN571)+AP572+AD571+AL571,IF(AR572=AR571,INDEX('Aub Demand'!Q:Q,MATCH($O571,'Aub Demand'!$A:$A,0))-IF(AN571="",0,AN571)+AP572+AD571,IF(AM571&lt;&gt;"",INDEX('Aub Demand'!Q:Q,MATCH($O571,'Aub Demand'!$A:$A,0))-IF(AN571="",0,AN571)+AD571+AL571,INDEX('Aub Demand'!Q:Q,MATCH($O571,'Aub Demand'!$A:$A,0))-IF(AN571="",0,AN571)+AD571))),"")</f>
        <v>787</v>
      </c>
      <c r="Y571" s="53">
        <f t="shared" si="228"/>
        <v>59.2</v>
      </c>
      <c r="Z571" s="52">
        <f>IF(L571="","",INDEX('Aub Demand'!H:H,MATCH($O571,'Aub Demand'!$A:$A,0)))</f>
        <v>57</v>
      </c>
      <c r="AA571" s="52" t="str">
        <f t="shared" si="229"/>
        <v>-spike-</v>
      </c>
      <c r="AB571" s="52">
        <f>IFERROR(INDEX('Aub Demand'!L:L,MATCH($O571,'Aub Demand'!$A:$A,0)),"")</f>
        <v>33</v>
      </c>
      <c r="AC571" s="52">
        <f>IFERROR(IF(O571="","",SUMIFS('CPL Mats'!F:F,'CPL Mats'!Q:Q,AR571,'CPL Mats'!S:S,AS571)),"")</f>
        <v>0</v>
      </c>
      <c r="AF571" s="25">
        <f>IF(SUMIFS('Supp Consol'!S:S,'Supp Consol'!Y:Y,"Releasable",'Supp Consol'!A:A,O571)=0,"",SUMIFS('Supp Consol'!S:S,'Supp Consol'!Y:Y,"Releasable",'Supp Consol'!A:A,O571))</f>
        <v>673</v>
      </c>
      <c r="AG571" s="25">
        <f>IFERROR(INDEX('Hun Demand'!Q:Q,MATCH(O571,'Hun Demand'!A:A,0)),"")</f>
        <v>1572</v>
      </c>
      <c r="AH571" s="25">
        <f>IFERROR(INDEX('Hun Demand'!H:H,MATCH($O571,'Hun Demand'!$A:$A,0)),"")</f>
        <v>107</v>
      </c>
      <c r="AI571" s="25" t="str">
        <f>IF(SUMIFS('Supp Consol'!AA:AA,'Supp Consol'!Z:Z,"Expires this month",'Supp Consol'!A:A,O571)=0,"",SUMIFS('Supp Consol'!AA:AA,'Supp Consol'!Z:Z,"Expires this month",'Supp Consol'!A:A,O571))</f>
        <v/>
      </c>
      <c r="AJ571" s="25" t="str">
        <f>IF(SUMIFS('Supp Consol'!AA:AA,'Supp Consol'!Z:Z,"Expired Previous Months",'Supp Consol'!A:A,O571)=0,"",SUMIFS('Supp Consol'!AA:AA,'Supp Consol'!Z:Z,"Expired Previous Months",'Supp Consol'!A:A,O571))</f>
        <v/>
      </c>
      <c r="AK571" s="25" t="str">
        <f>IFERROR(INDEX('Hun Release Current'!B:B,MATCH(O571,'Hun Release Current'!A:A,0)),"")</f>
        <v/>
      </c>
      <c r="AL571" s="25" t="str">
        <f>IF(SUMIF('Prev Aub'!A:A,O571,'Prev Aub'!B:B)=0,"",SUMIF('Prev Aub'!A:A,O571,'Prev Aub'!B:B))</f>
        <v/>
      </c>
      <c r="AN571" s="25" t="s">
        <v>3790</v>
      </c>
      <c r="AO571" s="25" t="s">
        <v>3790</v>
      </c>
      <c r="AP571" s="25">
        <f t="shared" si="230"/>
        <v>0</v>
      </c>
      <c r="AQ571" s="151" t="str">
        <f>IF(SUMIFS('Supp Consol'!S:S,'Supp Consol'!A:A,O571,'Supp Consol'!I:I,"PENDING")=0,"",SUMIFS('Supp Consol'!S:S,'Supp Consol'!A:A,O571,'Supp Consol'!I:I,"PENDING"))</f>
        <v/>
      </c>
      <c r="AR571" s="27" t="str">
        <f t="shared" si="231"/>
        <v>HP393</v>
      </c>
      <c r="AS571" s="27" t="str">
        <f t="shared" si="232"/>
        <v>50</v>
      </c>
      <c r="AT571" s="27" t="str">
        <f t="shared" si="233"/>
        <v/>
      </c>
      <c r="AU571" s="27" t="str">
        <f t="shared" si="234"/>
        <v/>
      </c>
      <c r="AV571" s="27" t="str">
        <f t="shared" si="235"/>
        <v/>
      </c>
      <c r="AW571" s="27" t="str">
        <f t="shared" si="236"/>
        <v/>
      </c>
      <c r="AX571" s="27" t="str">
        <f t="shared" si="237"/>
        <v>HP393</v>
      </c>
      <c r="AY571" s="27" t="str">
        <f t="shared" si="238"/>
        <v>HP393</v>
      </c>
      <c r="AZ571" s="27" t="str">
        <f t="shared" si="239"/>
        <v>Supp</v>
      </c>
      <c r="BA571" s="27" t="str">
        <f t="shared" si="240"/>
        <v>Hun</v>
      </c>
      <c r="BB571" s="27" t="str">
        <f t="shared" si="241"/>
        <v/>
      </c>
      <c r="BC571" s="27" t="str">
        <f t="shared" si="242"/>
        <v/>
      </c>
      <c r="BD571" s="27" t="str">
        <f t="shared" si="243"/>
        <v/>
      </c>
      <c r="BE571" s="27" t="str">
        <f t="shared" si="244"/>
        <v/>
      </c>
      <c r="BF571" s="27" t="str">
        <f t="shared" si="245"/>
        <v/>
      </c>
      <c r="BG571" s="27" t="str">
        <f t="shared" si="246"/>
        <v/>
      </c>
      <c r="BH571" s="27" t="str">
        <f t="shared" si="247"/>
        <v/>
      </c>
      <c r="BI571" s="27" t="str">
        <f t="shared" si="248"/>
        <v/>
      </c>
      <c r="BJ571" s="27" t="str">
        <f t="shared" si="249"/>
        <v>Supp or Hun</v>
      </c>
      <c r="BK571" s="27" t="str">
        <f t="shared" si="250"/>
        <v/>
      </c>
      <c r="BL571" s="27" t="str">
        <f t="shared" si="251"/>
        <v/>
      </c>
      <c r="BM571" s="21" t="s">
        <v>5582</v>
      </c>
    </row>
    <row r="572" spans="1:65" ht="15">
      <c r="A572" s="25">
        <f>IFERROR(INDEX('Hun Demand'!W:W,MATCH(O572,'Hun Demand'!A:A,0)),"")</f>
        <v>181</v>
      </c>
      <c r="B572" s="25">
        <f>IFERROR(INDEX('Hun Demand'!V:V,MATCH(O572,'Hun Demand'!A:A,0)),"")</f>
        <v>910</v>
      </c>
      <c r="C572" s="25">
        <f>IFERROR(INDEX('Hun Demand'!U:U,MATCH(O572,'Hun Demand'!A:A,0)),"")</f>
        <v>330</v>
      </c>
      <c r="D572" s="25">
        <f>IFERROR(INDEX('Hun Demand'!T:T,MATCH(O572,'Hun Demand'!A:A,0)),"")</f>
        <v>0</v>
      </c>
      <c r="E572" s="25">
        <f>IFERROR(INDEX('Hun Demand'!S:S,MATCH(O572,'Hun Demand'!A:A,0)),"")</f>
        <v>342</v>
      </c>
      <c r="F572" s="25">
        <f>IFERROR(INDEX('Hun Demand'!R:R,MATCH(O572,'Hun Demand'!A:A,0)),"")</f>
        <v>249</v>
      </c>
      <c r="G572" s="25">
        <f>IFERROR(INDEX('Aub Demand'!W:W,MATCH(O572,'Aub Demand'!A:A,0)),"")</f>
        <v>51</v>
      </c>
      <c r="H572" s="25">
        <f>IFERROR(INDEX('Aub Demand'!V:V,MATCH(O572,'Aub Demand'!A:A,0)),"")</f>
        <v>18</v>
      </c>
      <c r="I572" s="25">
        <f>IFERROR(INDEX('Aub Demand'!U:U,MATCH(O572,'Aub Demand'!A:A,0)),"")</f>
        <v>0</v>
      </c>
      <c r="J572" s="25">
        <f>IFERROR(INDEX('Aub Demand'!T:T,MATCH(O572,'Aub Demand'!A:A,0)),"")</f>
        <v>0</v>
      </c>
      <c r="K572" s="25">
        <f>IFERROR(INDEX('Aub Demand'!S:S,MATCH(O572,'Aub Demand'!A:A,0)),"")</f>
        <v>71</v>
      </c>
      <c r="L572" s="25">
        <f>IFERROR(INDEX('Aub Demand'!R:R,MATCH(O572,'Aub Demand'!A:A,0)),"")</f>
        <v>0</v>
      </c>
      <c r="O572" s="27" t="s">
        <v>953</v>
      </c>
      <c r="P572" s="27" t="str">
        <f>IFERROR(INDEX('Aub Demand'!B:B,MATCH($O572,'Aub Demand'!$A:$A,0)),"")</f>
        <v>CORPORATE WALNUT</v>
      </c>
      <c r="Q572" s="27" t="str">
        <f>IFERROR(INDEX('Aub Demand'!C:C,MATCH($O572,'Aub Demand'!$A:$A,0)),"")</f>
        <v>INTER</v>
      </c>
      <c r="R572" s="52">
        <f>IFERROR(IF(AR573=AR572,INDEX('Aub Demand'!K:K,MATCH($O572,'Aub Demand'!$A:$A,0))-IF(AN572="",0,AN572)+AP573,INDEX('Aub Demand'!K:K,MATCH($O572,'Aub Demand'!$A:$A,0))-IF(AN572="",0,AN572)),"")</f>
        <v>288</v>
      </c>
      <c r="S572" s="53">
        <f t="shared" si="224"/>
        <v>51.4</v>
      </c>
      <c r="T572" s="52" t="str">
        <f t="shared" si="225"/>
        <v/>
      </c>
      <c r="U572" s="52">
        <f>IFERROR(IF(AR573=AR572,INDEX('Aub Demand'!Q:Q,MATCH($O572,'Aub Demand'!$A:$A,0))-IF(AN572="",0,AN572)+AP573,INDEX('Aub Demand'!Q:Q,MATCH($O572,'Aub Demand'!$A:$A,0))-IF(AN572="",0,AN572)),"")</f>
        <v>260</v>
      </c>
      <c r="V572" s="53">
        <f t="shared" si="226"/>
        <v>46.4</v>
      </c>
      <c r="W572" s="52" t="str">
        <f t="shared" si="227"/>
        <v/>
      </c>
      <c r="X572" s="52">
        <f>IFERROR(IF(AND(AR573=AR572,AM572&lt;&gt;""),INDEX('Aub Demand'!Q:Q,MATCH($O572,'Aub Demand'!$A:$A,0))-IF(AN572="",0,AN572)+AP573+AD572+AL572,IF(AR573=AR572,INDEX('Aub Demand'!Q:Q,MATCH($O572,'Aub Demand'!$A:$A,0))-IF(AN572="",0,AN572)+AP573+AD572,IF(AM572&lt;&gt;"",INDEX('Aub Demand'!Q:Q,MATCH($O572,'Aub Demand'!$A:$A,0))-IF(AN572="",0,AN572)+AD572+AL572,INDEX('Aub Demand'!Q:Q,MATCH($O572,'Aub Demand'!$A:$A,0))-IF(AN572="",0,AN572)+AD572))),"")</f>
        <v>260</v>
      </c>
      <c r="Y572" s="53">
        <f t="shared" si="228"/>
        <v>46.4</v>
      </c>
      <c r="Z572" s="52">
        <f>IF(L572="","",INDEX('Aub Demand'!H:H,MATCH($O572,'Aub Demand'!$A:$A,0)))</f>
        <v>24</v>
      </c>
      <c r="AA572" s="52" t="str">
        <f t="shared" si="229"/>
        <v>-spike-</v>
      </c>
      <c r="AB572" s="52">
        <f>IFERROR(INDEX('Aub Demand'!L:L,MATCH($O572,'Aub Demand'!$A:$A,0)),"")</f>
        <v>35</v>
      </c>
      <c r="AC572" s="52">
        <f>IFERROR(IF(O572="","",SUMIFS('CPL Mats'!F:F,'CPL Mats'!Q:Q,AR572,'CPL Mats'!S:S,AS572)),"")</f>
        <v>0</v>
      </c>
      <c r="AF572" s="25" t="str">
        <f>IF(SUMIFS('Supp Consol'!S:S,'Supp Consol'!Y:Y,"Releasable",'Supp Consol'!A:A,O572)=0,"",SUMIFS('Supp Consol'!S:S,'Supp Consol'!Y:Y,"Releasable",'Supp Consol'!A:A,O572))</f>
        <v/>
      </c>
      <c r="AG572" s="25">
        <f>IFERROR(INDEX('Hun Demand'!Q:Q,MATCH(O572,'Hun Demand'!A:A,0)),"")</f>
        <v>1717</v>
      </c>
      <c r="AH572" s="25">
        <f>IFERROR(INDEX('Hun Demand'!H:H,MATCH($O572,'Hun Demand'!$A:$A,0)),"")</f>
        <v>224</v>
      </c>
      <c r="AI572" s="25" t="str">
        <f>IF(SUMIFS('Supp Consol'!AA:AA,'Supp Consol'!Z:Z,"Expires this month",'Supp Consol'!A:A,O572)=0,"",SUMIFS('Supp Consol'!AA:AA,'Supp Consol'!Z:Z,"Expires this month",'Supp Consol'!A:A,O572))</f>
        <v/>
      </c>
      <c r="AJ572" s="25" t="str">
        <f>IF(SUMIFS('Supp Consol'!AA:AA,'Supp Consol'!Z:Z,"Expired Previous Months",'Supp Consol'!A:A,O572)=0,"",SUMIFS('Supp Consol'!AA:AA,'Supp Consol'!Z:Z,"Expired Previous Months",'Supp Consol'!A:A,O572))</f>
        <v/>
      </c>
      <c r="AK572" s="25" t="str">
        <f>IFERROR(INDEX('Hun Release Current'!B:B,MATCH(O572,'Hun Release Current'!A:A,0)),"")</f>
        <v/>
      </c>
      <c r="AL572" s="25" t="str">
        <f>IF(SUMIF('Prev Aub'!A:A,O572,'Prev Aub'!B:B)=0,"",SUMIF('Prev Aub'!A:A,O572,'Prev Aub'!B:B))</f>
        <v/>
      </c>
      <c r="AN572" s="25" t="s">
        <v>3790</v>
      </c>
      <c r="AO572" s="25" t="s">
        <v>3790</v>
      </c>
      <c r="AP572" s="25">
        <f t="shared" si="230"/>
        <v>0</v>
      </c>
      <c r="AQ572" s="151" t="str">
        <f>IF(SUMIFS('Supp Consol'!S:S,'Supp Consol'!A:A,O572,'Supp Consol'!I:I,"PENDING")=0,"",SUMIFS('Supp Consol'!S:S,'Supp Consol'!A:A,O572,'Supp Consol'!I:I,"PENDING"))</f>
        <v/>
      </c>
      <c r="AR572" s="27" t="str">
        <f t="shared" si="231"/>
        <v>HP393</v>
      </c>
      <c r="AS572" s="27" t="str">
        <f t="shared" si="232"/>
        <v>62</v>
      </c>
      <c r="AT572" s="27" t="str">
        <f t="shared" si="233"/>
        <v/>
      </c>
      <c r="AU572" s="27" t="str">
        <f t="shared" si="234"/>
        <v/>
      </c>
      <c r="AV572" s="27" t="str">
        <f t="shared" si="235"/>
        <v/>
      </c>
      <c r="AW572" s="27" t="str">
        <f t="shared" si="236"/>
        <v/>
      </c>
      <c r="AX572" s="27" t="str">
        <f t="shared" si="237"/>
        <v/>
      </c>
      <c r="AY572" s="27" t="str">
        <f t="shared" si="238"/>
        <v>HP393</v>
      </c>
      <c r="AZ572" s="27" t="str">
        <f t="shared" si="239"/>
        <v>Supp</v>
      </c>
      <c r="BA572" s="27" t="str">
        <f t="shared" si="240"/>
        <v>Hun</v>
      </c>
      <c r="BB572" s="27" t="str">
        <f t="shared" si="241"/>
        <v/>
      </c>
      <c r="BC572" s="27" t="str">
        <f t="shared" si="242"/>
        <v/>
      </c>
      <c r="BD572" s="27" t="str">
        <f t="shared" si="243"/>
        <v/>
      </c>
      <c r="BE572" s="27" t="str">
        <f t="shared" si="244"/>
        <v/>
      </c>
      <c r="BF572" s="27" t="str">
        <f t="shared" si="245"/>
        <v/>
      </c>
      <c r="BG572" s="27" t="str">
        <f t="shared" si="246"/>
        <v/>
      </c>
      <c r="BH572" s="27" t="str">
        <f t="shared" si="247"/>
        <v/>
      </c>
      <c r="BI572" s="27" t="str">
        <f t="shared" si="248"/>
        <v/>
      </c>
      <c r="BJ572" s="27" t="str">
        <f t="shared" si="249"/>
        <v>Supp or Hun</v>
      </c>
      <c r="BK572" s="27" t="str">
        <f t="shared" si="250"/>
        <v/>
      </c>
      <c r="BL572" s="27" t="str">
        <f t="shared" si="251"/>
        <v/>
      </c>
      <c r="BM572" s="21" t="s">
        <v>5582</v>
      </c>
    </row>
    <row r="573" spans="1:65" ht="15">
      <c r="A573" s="25">
        <f>IFERROR(INDEX('Hun Demand'!W:W,MATCH(O573,'Hun Demand'!A:A,0)),"")</f>
        <v>268</v>
      </c>
      <c r="B573" s="25">
        <f>IFERROR(INDEX('Hun Demand'!V:V,MATCH(O573,'Hun Demand'!A:A,0)),"")</f>
        <v>0</v>
      </c>
      <c r="C573" s="25">
        <f>IFERROR(INDEX('Hun Demand'!U:U,MATCH(O573,'Hun Demand'!A:A,0)),"")</f>
        <v>112</v>
      </c>
      <c r="D573" s="25">
        <f>IFERROR(INDEX('Hun Demand'!T:T,MATCH(O573,'Hun Demand'!A:A,0)),"")</f>
        <v>0</v>
      </c>
      <c r="E573" s="25">
        <f>IFERROR(INDEX('Hun Demand'!S:S,MATCH(O573,'Hun Demand'!A:A,0)),"")</f>
        <v>0</v>
      </c>
      <c r="F573" s="25">
        <f>IFERROR(INDEX('Hun Demand'!R:R,MATCH(O573,'Hun Demand'!A:A,0)),"")</f>
        <v>0</v>
      </c>
      <c r="G573" s="25">
        <f>IFERROR(INDEX('Aub Demand'!W:W,MATCH(O573,'Aub Demand'!A:A,0)),"")</f>
        <v>0</v>
      </c>
      <c r="H573" s="25">
        <f>IFERROR(INDEX('Aub Demand'!V:V,MATCH(O573,'Aub Demand'!A:A,0)),"")</f>
        <v>0</v>
      </c>
      <c r="I573" s="25">
        <f>IFERROR(INDEX('Aub Demand'!U:U,MATCH(O573,'Aub Demand'!A:A,0)),"")</f>
        <v>0</v>
      </c>
      <c r="J573" s="25">
        <f>IFERROR(INDEX('Aub Demand'!T:T,MATCH(O573,'Aub Demand'!A:A,0)),"")</f>
        <v>0</v>
      </c>
      <c r="K573" s="25">
        <f>IFERROR(INDEX('Aub Demand'!S:S,MATCH(O573,'Aub Demand'!A:A,0)),"")</f>
        <v>0</v>
      </c>
      <c r="L573" s="25">
        <f>IFERROR(INDEX('Aub Demand'!R:R,MATCH(O573,'Aub Demand'!A:A,0)),"")</f>
        <v>0</v>
      </c>
      <c r="O573" s="27" t="s">
        <v>954</v>
      </c>
      <c r="P573" s="27" t="str">
        <f>IFERROR(INDEX('Aub Demand'!B:B,MATCH($O573,'Aub Demand'!$A:$A,0)),"")</f>
        <v>SMOKE GRAY (SOLID)</v>
      </c>
      <c r="Q573" s="27" t="str">
        <f>IFERROR(INDEX('Aub Demand'!C:C,MATCH($O573,'Aub Demand'!$A:$A,0)),"")</f>
        <v>TECHN</v>
      </c>
      <c r="R573" s="52">
        <f>IFERROR(IF(AR574=AR573,INDEX('Aub Demand'!K:K,MATCH($O573,'Aub Demand'!$A:$A,0))-IF(AN573="",0,AN573)+AP574,INDEX('Aub Demand'!K:K,MATCH($O573,'Aub Demand'!$A:$A,0))-IF(AN573="",0,AN573)),"")</f>
        <v>553</v>
      </c>
      <c r="S573" s="53" t="str">
        <f t="shared" si="224"/>
        <v>n/a</v>
      </c>
      <c r="T573" s="52" t="str">
        <f t="shared" si="225"/>
        <v/>
      </c>
      <c r="U573" s="52">
        <f>IFERROR(IF(AR574=AR573,INDEX('Aub Demand'!Q:Q,MATCH($O573,'Aub Demand'!$A:$A,0))-IF(AN573="",0,AN573)+AP574,INDEX('Aub Demand'!Q:Q,MATCH($O573,'Aub Demand'!$A:$A,0))-IF(AN573="",0,AN573)),"")</f>
        <v>553</v>
      </c>
      <c r="V573" s="53" t="str">
        <f t="shared" si="226"/>
        <v>n/a</v>
      </c>
      <c r="W573" s="52" t="str">
        <f t="shared" si="227"/>
        <v/>
      </c>
      <c r="X573" s="52">
        <f>IFERROR(IF(AND(AR574=AR573,AM573&lt;&gt;""),INDEX('Aub Demand'!Q:Q,MATCH($O573,'Aub Demand'!$A:$A,0))-IF(AN573="",0,AN573)+AP574+AD573+AL573,IF(AR574=AR573,INDEX('Aub Demand'!Q:Q,MATCH($O573,'Aub Demand'!$A:$A,0))-IF(AN573="",0,AN573)+AP574+AD573,IF(AM573&lt;&gt;"",INDEX('Aub Demand'!Q:Q,MATCH($O573,'Aub Demand'!$A:$A,0))-IF(AN573="",0,AN573)+AD573+AL573,INDEX('Aub Demand'!Q:Q,MATCH($O573,'Aub Demand'!$A:$A,0))-IF(AN573="",0,AN573)+AD573))),"")</f>
        <v>553</v>
      </c>
      <c r="Y573" s="53" t="str">
        <f t="shared" si="228"/>
        <v>n/a</v>
      </c>
      <c r="Z573" s="52">
        <f>IF(L573="","",INDEX('Aub Demand'!H:H,MATCH($O573,'Aub Demand'!$A:$A,0)))</f>
        <v>0</v>
      </c>
      <c r="AA573" s="52" t="str">
        <f t="shared" si="229"/>
        <v>-spike-</v>
      </c>
      <c r="AB573" s="52">
        <f>IFERROR(INDEX('Aub Demand'!L:L,MATCH($O573,'Aub Demand'!$A:$A,0)),"")</f>
        <v>10</v>
      </c>
      <c r="AC573" s="52">
        <f>IFERROR(IF(O573="","",SUMIFS('CPL Mats'!F:F,'CPL Mats'!Q:Q,AR573,'CPL Mats'!S:S,AS573)),"")</f>
        <v>0</v>
      </c>
      <c r="AF573" s="25" t="str">
        <f>IF(SUMIFS('Supp Consol'!S:S,'Supp Consol'!Y:Y,"Releasable",'Supp Consol'!A:A,O573)=0,"",SUMIFS('Supp Consol'!S:S,'Supp Consol'!Y:Y,"Releasable",'Supp Consol'!A:A,O573))</f>
        <v/>
      </c>
      <c r="AG573" s="25">
        <f>IFERROR(INDEX('Hun Demand'!Q:Q,MATCH(O573,'Hun Demand'!A:A,0)),"")</f>
        <v>0</v>
      </c>
      <c r="AH573" s="25">
        <f>IFERROR(INDEX('Hun Demand'!H:H,MATCH($O573,'Hun Demand'!$A:$A,0)),"")</f>
        <v>37</v>
      </c>
      <c r="AI573" s="25" t="str">
        <f>IF(SUMIFS('Supp Consol'!AA:AA,'Supp Consol'!Z:Z,"Expires this month",'Supp Consol'!A:A,O573)=0,"",SUMIFS('Supp Consol'!AA:AA,'Supp Consol'!Z:Z,"Expires this month",'Supp Consol'!A:A,O573))</f>
        <v/>
      </c>
      <c r="AJ573" s="25" t="str">
        <f>IF(SUMIFS('Supp Consol'!AA:AA,'Supp Consol'!Z:Z,"Expired Previous Months",'Supp Consol'!A:A,O573)=0,"",SUMIFS('Supp Consol'!AA:AA,'Supp Consol'!Z:Z,"Expired Previous Months",'Supp Consol'!A:A,O573))</f>
        <v/>
      </c>
      <c r="AK573" s="25" t="str">
        <f>IFERROR(INDEX('Hun Release Current'!B:B,MATCH(O573,'Hun Release Current'!A:A,0)),"")</f>
        <v/>
      </c>
      <c r="AL573" s="25" t="str">
        <f>IF(SUMIF('Prev Aub'!A:A,O573,'Prev Aub'!B:B)=0,"",SUMIF('Prev Aub'!A:A,O573,'Prev Aub'!B:B))</f>
        <v/>
      </c>
      <c r="AN573" s="25" t="s">
        <v>3790</v>
      </c>
      <c r="AO573" s="25" t="s">
        <v>3790</v>
      </c>
      <c r="AP573" s="25">
        <f t="shared" si="230"/>
        <v>0</v>
      </c>
      <c r="AQ573" s="151" t="str">
        <f>IF(SUMIFS('Supp Consol'!S:S,'Supp Consol'!A:A,O573,'Supp Consol'!I:I,"PENDING")=0,"",SUMIFS('Supp Consol'!S:S,'Supp Consol'!A:A,O573,'Supp Consol'!I:I,"PENDING"))</f>
        <v/>
      </c>
      <c r="AR573" s="27" t="str">
        <f t="shared" si="231"/>
        <v>HP409</v>
      </c>
      <c r="AS573" s="27" t="str">
        <f t="shared" si="232"/>
        <v>50</v>
      </c>
      <c r="AT573" s="27" t="str">
        <f t="shared" si="233"/>
        <v/>
      </c>
      <c r="AU573" s="27" t="str">
        <f t="shared" si="234"/>
        <v/>
      </c>
      <c r="AV573" s="27" t="str">
        <f t="shared" si="235"/>
        <v/>
      </c>
      <c r="AW573" s="27" t="str">
        <f t="shared" si="236"/>
        <v/>
      </c>
      <c r="AX573" s="27" t="str">
        <f t="shared" si="237"/>
        <v/>
      </c>
      <c r="AY573" s="27" t="str">
        <f t="shared" si="238"/>
        <v/>
      </c>
      <c r="AZ573" s="27" t="str">
        <f t="shared" si="239"/>
        <v/>
      </c>
      <c r="BA573" s="27" t="str">
        <f t="shared" si="240"/>
        <v>Hun</v>
      </c>
      <c r="BB573" s="27" t="str">
        <f t="shared" si="241"/>
        <v/>
      </c>
      <c r="BC573" s="27" t="str">
        <f t="shared" si="242"/>
        <v/>
      </c>
      <c r="BD573" s="27" t="str">
        <f t="shared" si="243"/>
        <v/>
      </c>
      <c r="BE573" s="27" t="str">
        <f t="shared" si="244"/>
        <v/>
      </c>
      <c r="BF573" s="27" t="str">
        <f t="shared" si="245"/>
        <v/>
      </c>
      <c r="BG573" s="27" t="str">
        <f t="shared" si="246"/>
        <v/>
      </c>
      <c r="BH573" s="27" t="str">
        <f t="shared" si="247"/>
        <v/>
      </c>
      <c r="BI573" s="27" t="str">
        <f t="shared" si="248"/>
        <v/>
      </c>
      <c r="BJ573" s="27" t="str">
        <f t="shared" si="249"/>
        <v>Supp or Hun</v>
      </c>
      <c r="BK573" s="27" t="str">
        <f t="shared" si="250"/>
        <v/>
      </c>
      <c r="BL573" s="27" t="str">
        <f t="shared" si="251"/>
        <v/>
      </c>
      <c r="BM573" s="21" t="s">
        <v>5582</v>
      </c>
    </row>
    <row r="574" spans="1:65" ht="15">
      <c r="A574" s="25">
        <f>IFERROR(INDEX('Hun Demand'!W:W,MATCH(O574,'Hun Demand'!A:A,0)),"")</f>
        <v>0</v>
      </c>
      <c r="B574" s="25">
        <f>IFERROR(INDEX('Hun Demand'!V:V,MATCH(O574,'Hun Demand'!A:A,0)),"")</f>
        <v>0</v>
      </c>
      <c r="C574" s="25">
        <f>IFERROR(INDEX('Hun Demand'!U:U,MATCH(O574,'Hun Demand'!A:A,0)),"")</f>
        <v>0</v>
      </c>
      <c r="D574" s="25">
        <f>IFERROR(INDEX('Hun Demand'!T:T,MATCH(O574,'Hun Demand'!A:A,0)),"")</f>
        <v>0</v>
      </c>
      <c r="E574" s="25">
        <f>IFERROR(INDEX('Hun Demand'!S:S,MATCH(O574,'Hun Demand'!A:A,0)),"")</f>
        <v>0</v>
      </c>
      <c r="F574" s="25">
        <f>IFERROR(INDEX('Hun Demand'!R:R,MATCH(O574,'Hun Demand'!A:A,0)),"")</f>
        <v>0</v>
      </c>
      <c r="G574" s="25">
        <f>IFERROR(INDEX('Aub Demand'!W:W,MATCH(O574,'Aub Demand'!A:A,0)),"")</f>
        <v>0</v>
      </c>
      <c r="H574" s="25">
        <f>IFERROR(INDEX('Aub Demand'!V:V,MATCH(O574,'Aub Demand'!A:A,0)),"")</f>
        <v>0</v>
      </c>
      <c r="I574" s="25">
        <f>IFERROR(INDEX('Aub Demand'!U:U,MATCH(O574,'Aub Demand'!A:A,0)),"")</f>
        <v>0</v>
      </c>
      <c r="J574" s="25">
        <f>IFERROR(INDEX('Aub Demand'!T:T,MATCH(O574,'Aub Demand'!A:A,0)),"")</f>
        <v>0</v>
      </c>
      <c r="K574" s="25">
        <f>IFERROR(INDEX('Aub Demand'!S:S,MATCH(O574,'Aub Demand'!A:A,0)),"")</f>
        <v>0</v>
      </c>
      <c r="L574" s="25">
        <f>IFERROR(INDEX('Aub Demand'!R:R,MATCH(O574,'Aub Demand'!A:A,0)),"")</f>
        <v>0</v>
      </c>
      <c r="O574" s="27" t="s">
        <v>957</v>
      </c>
      <c r="P574" s="27" t="str">
        <f>IFERROR(INDEX('Aub Demand'!B:B,MATCH($O574,'Aub Demand'!$A:$A,0)),"")</f>
        <v>SMOKE GRAY (SOLID)</v>
      </c>
      <c r="Q574" s="27" t="str">
        <f>IFERROR(INDEX('Aub Demand'!C:C,MATCH($O574,'Aub Demand'!$A:$A,0)),"")</f>
        <v>TECHN</v>
      </c>
      <c r="R574" s="52">
        <f>IFERROR(IF(AR575=AR574,INDEX('Aub Demand'!K:K,MATCH($O574,'Aub Demand'!$A:$A,0))-IF(AN574="",0,AN574)+AP575,INDEX('Aub Demand'!K:K,MATCH($O574,'Aub Demand'!$A:$A,0))-IF(AN574="",0,AN574)),"")</f>
        <v>171</v>
      </c>
      <c r="S574" s="53" t="str">
        <f t="shared" si="224"/>
        <v>n/a</v>
      </c>
      <c r="T574" s="52" t="str">
        <f t="shared" si="225"/>
        <v/>
      </c>
      <c r="U574" s="52">
        <f>IFERROR(IF(AR575=AR574,INDEX('Aub Demand'!Q:Q,MATCH($O574,'Aub Demand'!$A:$A,0))-IF(AN574="",0,AN574)+AP575,INDEX('Aub Demand'!Q:Q,MATCH($O574,'Aub Demand'!$A:$A,0))-IF(AN574="",0,AN574)),"")</f>
        <v>171</v>
      </c>
      <c r="V574" s="53" t="str">
        <f t="shared" si="226"/>
        <v>n/a</v>
      </c>
      <c r="W574" s="52" t="str">
        <f t="shared" si="227"/>
        <v/>
      </c>
      <c r="X574" s="52">
        <f>IFERROR(IF(AND(AR575=AR574,AM574&lt;&gt;""),INDEX('Aub Demand'!Q:Q,MATCH($O574,'Aub Demand'!$A:$A,0))-IF(AN574="",0,AN574)+AP575+AD574+AL574,IF(AR575=AR574,INDEX('Aub Demand'!Q:Q,MATCH($O574,'Aub Demand'!$A:$A,0))-IF(AN574="",0,AN574)+AP575+AD574,IF(AM574&lt;&gt;"",INDEX('Aub Demand'!Q:Q,MATCH($O574,'Aub Demand'!$A:$A,0))-IF(AN574="",0,AN574)+AD574+AL574,INDEX('Aub Demand'!Q:Q,MATCH($O574,'Aub Demand'!$A:$A,0))-IF(AN574="",0,AN574)+AD574))),"")</f>
        <v>171</v>
      </c>
      <c r="Y574" s="53" t="str">
        <f t="shared" si="228"/>
        <v>n/a</v>
      </c>
      <c r="Z574" s="52">
        <f>IF(L574="","",INDEX('Aub Demand'!H:H,MATCH($O574,'Aub Demand'!$A:$A,0)))</f>
        <v>0</v>
      </c>
      <c r="AA574" s="52" t="str">
        <f t="shared" si="229"/>
        <v>-spike-</v>
      </c>
      <c r="AB574" s="52">
        <f>IFERROR(INDEX('Aub Demand'!L:L,MATCH($O574,'Aub Demand'!$A:$A,0)),"")</f>
        <v>0</v>
      </c>
      <c r="AC574" s="52">
        <f>IFERROR(IF(O574="","",SUMIFS('CPL Mats'!F:F,'CPL Mats'!Q:Q,AR574,'CPL Mats'!S:S,AS574)),"")</f>
        <v>0</v>
      </c>
      <c r="AF574" s="25" t="str">
        <f>IF(SUMIFS('Supp Consol'!S:S,'Supp Consol'!Y:Y,"Releasable",'Supp Consol'!A:A,O574)=0,"",SUMIFS('Supp Consol'!S:S,'Supp Consol'!Y:Y,"Releasable",'Supp Consol'!A:A,O574))</f>
        <v/>
      </c>
      <c r="AG574" s="25">
        <f>IFERROR(INDEX('Hun Demand'!Q:Q,MATCH(O574,'Hun Demand'!A:A,0)),"")</f>
        <v>708</v>
      </c>
      <c r="AH574" s="25">
        <f>IFERROR(INDEX('Hun Demand'!H:H,MATCH($O574,'Hun Demand'!$A:$A,0)),"")</f>
        <v>0</v>
      </c>
      <c r="AI574" s="25" t="str">
        <f>IF(SUMIFS('Supp Consol'!AA:AA,'Supp Consol'!Z:Z,"Expires this month",'Supp Consol'!A:A,O574)=0,"",SUMIFS('Supp Consol'!AA:AA,'Supp Consol'!Z:Z,"Expires this month",'Supp Consol'!A:A,O574))</f>
        <v/>
      </c>
      <c r="AJ574" s="25" t="str">
        <f>IF(SUMIFS('Supp Consol'!AA:AA,'Supp Consol'!Z:Z,"Expired Previous Months",'Supp Consol'!A:A,O574)=0,"",SUMIFS('Supp Consol'!AA:AA,'Supp Consol'!Z:Z,"Expired Previous Months",'Supp Consol'!A:A,O574))</f>
        <v/>
      </c>
      <c r="AK574" s="25" t="str">
        <f>IFERROR(INDEX('Hun Release Current'!B:B,MATCH(O574,'Hun Release Current'!A:A,0)),"")</f>
        <v/>
      </c>
      <c r="AL574" s="25" t="str">
        <f>IF(SUMIF('Prev Aub'!A:A,O574,'Prev Aub'!B:B)=0,"",SUMIF('Prev Aub'!A:A,O574,'Prev Aub'!B:B))</f>
        <v/>
      </c>
      <c r="AN574" s="25" t="s">
        <v>3790</v>
      </c>
      <c r="AO574" s="25" t="s">
        <v>3790</v>
      </c>
      <c r="AP574" s="25">
        <f t="shared" si="230"/>
        <v>0</v>
      </c>
      <c r="AQ574" s="151" t="str">
        <f>IF(SUMIFS('Supp Consol'!S:S,'Supp Consol'!A:A,O574,'Supp Consol'!I:I,"PENDING")=0,"",SUMIFS('Supp Consol'!S:S,'Supp Consol'!A:A,O574,'Supp Consol'!I:I,"PENDING"))</f>
        <v/>
      </c>
      <c r="AR574" s="27" t="str">
        <f t="shared" si="231"/>
        <v>HP409</v>
      </c>
      <c r="AS574" s="27" t="str">
        <f t="shared" si="232"/>
        <v>62</v>
      </c>
      <c r="AT574" s="27" t="str">
        <f t="shared" si="233"/>
        <v/>
      </c>
      <c r="AU574" s="27" t="str">
        <f t="shared" si="234"/>
        <v/>
      </c>
      <c r="AV574" s="27" t="str">
        <f t="shared" si="235"/>
        <v/>
      </c>
      <c r="AW574" s="27" t="str">
        <f t="shared" si="236"/>
        <v/>
      </c>
      <c r="AX574" s="27" t="str">
        <f t="shared" si="237"/>
        <v/>
      </c>
      <c r="AY574" s="27" t="str">
        <f t="shared" si="238"/>
        <v>HP409</v>
      </c>
      <c r="AZ574" s="27" t="str">
        <f t="shared" si="239"/>
        <v/>
      </c>
      <c r="BA574" s="27" t="str">
        <f t="shared" si="240"/>
        <v>Hun</v>
      </c>
      <c r="BB574" s="27" t="str">
        <f t="shared" si="241"/>
        <v/>
      </c>
      <c r="BC574" s="27" t="str">
        <f t="shared" si="242"/>
        <v/>
      </c>
      <c r="BD574" s="27" t="str">
        <f t="shared" si="243"/>
        <v/>
      </c>
      <c r="BE574" s="27" t="str">
        <f t="shared" si="244"/>
        <v/>
      </c>
      <c r="BF574" s="27" t="str">
        <f t="shared" si="245"/>
        <v/>
      </c>
      <c r="BG574" s="27" t="str">
        <f t="shared" si="246"/>
        <v/>
      </c>
      <c r="BH574" s="27" t="str">
        <f t="shared" si="247"/>
        <v/>
      </c>
      <c r="BI574" s="27" t="str">
        <f t="shared" si="248"/>
        <v/>
      </c>
      <c r="BJ574" s="27" t="str">
        <f t="shared" si="249"/>
        <v>Supp or Hun</v>
      </c>
      <c r="BK574" s="27" t="str">
        <f t="shared" si="250"/>
        <v/>
      </c>
      <c r="BL574" s="27" t="str">
        <f t="shared" si="251"/>
        <v/>
      </c>
      <c r="BM574" s="21" t="s">
        <v>5582</v>
      </c>
    </row>
    <row r="575" spans="1:65" ht="15">
      <c r="A575" s="25">
        <f>IFERROR(INDEX('Hun Demand'!W:W,MATCH(O575,'Hun Demand'!A:A,0)),"")</f>
        <v>200</v>
      </c>
      <c r="B575" s="25">
        <f>IFERROR(INDEX('Hun Demand'!V:V,MATCH(O575,'Hun Demand'!A:A,0)),"")</f>
        <v>0</v>
      </c>
      <c r="C575" s="25">
        <f>IFERROR(INDEX('Hun Demand'!U:U,MATCH(O575,'Hun Demand'!A:A,0)),"")</f>
        <v>0</v>
      </c>
      <c r="D575" s="25">
        <f>IFERROR(INDEX('Hun Demand'!T:T,MATCH(O575,'Hun Demand'!A:A,0)),"")</f>
        <v>0</v>
      </c>
      <c r="E575" s="25">
        <f>IFERROR(INDEX('Hun Demand'!S:S,MATCH(O575,'Hun Demand'!A:A,0)),"")</f>
        <v>0</v>
      </c>
      <c r="F575" s="25">
        <f>IFERROR(INDEX('Hun Demand'!R:R,MATCH(O575,'Hun Demand'!A:A,0)),"")</f>
        <v>0</v>
      </c>
      <c r="G575" s="25">
        <f>IFERROR(INDEX('Aub Demand'!W:W,MATCH(O575,'Aub Demand'!A:A,0)),"")</f>
        <v>0</v>
      </c>
      <c r="H575" s="25">
        <f>IFERROR(INDEX('Aub Demand'!V:V,MATCH(O575,'Aub Demand'!A:A,0)),"")</f>
        <v>0</v>
      </c>
      <c r="I575" s="25">
        <f>IFERROR(INDEX('Aub Demand'!U:U,MATCH(O575,'Aub Demand'!A:A,0)),"")</f>
        <v>0</v>
      </c>
      <c r="J575" s="25">
        <f>IFERROR(INDEX('Aub Demand'!T:T,MATCH(O575,'Aub Demand'!A:A,0)),"")</f>
        <v>0</v>
      </c>
      <c r="K575" s="25">
        <f>IFERROR(INDEX('Aub Demand'!S:S,MATCH(O575,'Aub Demand'!A:A,0)),"")</f>
        <v>0</v>
      </c>
      <c r="L575" s="25">
        <f>IFERROR(INDEX('Aub Demand'!R:R,MATCH(O575,'Aub Demand'!A:A,0)),"")</f>
        <v>0</v>
      </c>
      <c r="O575" s="27" t="s">
        <v>958</v>
      </c>
      <c r="P575" s="27" t="str">
        <f>IFERROR(INDEX('Aub Demand'!B:B,MATCH($O575,'Aub Demand'!$A:$A,0)),"")</f>
        <v>SNOW WHITE</v>
      </c>
      <c r="Q575" s="27" t="str">
        <f>IFERROR(INDEX('Aub Demand'!C:C,MATCH($O575,'Aub Demand'!$A:$A,0)),"")</f>
        <v>ONYX</v>
      </c>
      <c r="R575" s="52">
        <f>IFERROR(IF(AR576=AR575,INDEX('Aub Demand'!K:K,MATCH($O575,'Aub Demand'!$A:$A,0))-IF(AN575="",0,AN575)+AP576,INDEX('Aub Demand'!K:K,MATCH($O575,'Aub Demand'!$A:$A,0))-IF(AN575="",0,AN575)),"")</f>
        <v>197</v>
      </c>
      <c r="S575" s="53" t="str">
        <f t="shared" si="224"/>
        <v>n/a</v>
      </c>
      <c r="T575" s="52" t="str">
        <f t="shared" si="225"/>
        <v/>
      </c>
      <c r="U575" s="52">
        <f>IFERROR(IF(AR576=AR575,INDEX('Aub Demand'!Q:Q,MATCH($O575,'Aub Demand'!$A:$A,0))-IF(AN575="",0,AN575)+AP576,INDEX('Aub Demand'!Q:Q,MATCH($O575,'Aub Demand'!$A:$A,0))-IF(AN575="",0,AN575)),"")</f>
        <v>197</v>
      </c>
      <c r="V575" s="53" t="str">
        <f t="shared" si="226"/>
        <v>n/a</v>
      </c>
      <c r="W575" s="52" t="str">
        <f t="shared" si="227"/>
        <v/>
      </c>
      <c r="X575" s="52">
        <f>IFERROR(IF(AND(AR576=AR575,AM575&lt;&gt;""),INDEX('Aub Demand'!Q:Q,MATCH($O575,'Aub Demand'!$A:$A,0))-IF(AN575="",0,AN575)+AP576+AD575+AL575,IF(AR576=AR575,INDEX('Aub Demand'!Q:Q,MATCH($O575,'Aub Demand'!$A:$A,0))-IF(AN575="",0,AN575)+AP576+AD575,IF(AM575&lt;&gt;"",INDEX('Aub Demand'!Q:Q,MATCH($O575,'Aub Demand'!$A:$A,0))-IF(AN575="",0,AN575)+AD575+AL575,INDEX('Aub Demand'!Q:Q,MATCH($O575,'Aub Demand'!$A:$A,0))-IF(AN575="",0,AN575)+AD575))),"")</f>
        <v>197</v>
      </c>
      <c r="Y575" s="53" t="str">
        <f t="shared" si="228"/>
        <v>n/a</v>
      </c>
      <c r="Z575" s="52">
        <f>IF(L575="","",INDEX('Aub Demand'!H:H,MATCH($O575,'Aub Demand'!$A:$A,0)))</f>
        <v>0</v>
      </c>
      <c r="AA575" s="52" t="str">
        <f t="shared" si="229"/>
        <v>-spike-</v>
      </c>
      <c r="AB575" s="52">
        <f>IFERROR(INDEX('Aub Demand'!L:L,MATCH($O575,'Aub Demand'!$A:$A,0)),"")</f>
        <v>0</v>
      </c>
      <c r="AC575" s="52">
        <f>IFERROR(IF(O575="","",SUMIFS('CPL Mats'!F:F,'CPL Mats'!Q:Q,AR575,'CPL Mats'!S:S,AS575)),"")</f>
        <v>0</v>
      </c>
      <c r="AF575" s="25" t="str">
        <f>IF(SUMIFS('Supp Consol'!S:S,'Supp Consol'!Y:Y,"Releasable",'Supp Consol'!A:A,O575)=0,"",SUMIFS('Supp Consol'!S:S,'Supp Consol'!Y:Y,"Releasable",'Supp Consol'!A:A,O575))</f>
        <v/>
      </c>
      <c r="AG575" s="25">
        <f>IFERROR(INDEX('Hun Demand'!Q:Q,MATCH(O575,'Hun Demand'!A:A,0)),"")</f>
        <v>760</v>
      </c>
      <c r="AH575" s="25">
        <f>IFERROR(INDEX('Hun Demand'!H:H,MATCH($O575,'Hun Demand'!$A:$A,0)),"")</f>
        <v>0</v>
      </c>
      <c r="AI575" s="25" t="str">
        <f>IF(SUMIFS('Supp Consol'!AA:AA,'Supp Consol'!Z:Z,"Expires this month",'Supp Consol'!A:A,O575)=0,"",SUMIFS('Supp Consol'!AA:AA,'Supp Consol'!Z:Z,"Expires this month",'Supp Consol'!A:A,O575))</f>
        <v/>
      </c>
      <c r="AJ575" s="25" t="str">
        <f>IF(SUMIFS('Supp Consol'!AA:AA,'Supp Consol'!Z:Z,"Expired Previous Months",'Supp Consol'!A:A,O575)=0,"",SUMIFS('Supp Consol'!AA:AA,'Supp Consol'!Z:Z,"Expired Previous Months",'Supp Consol'!A:A,O575))</f>
        <v/>
      </c>
      <c r="AK575" s="25" t="str">
        <f>IFERROR(INDEX('Hun Release Current'!B:B,MATCH(O575,'Hun Release Current'!A:A,0)),"")</f>
        <v/>
      </c>
      <c r="AL575" s="25" t="str">
        <f>IF(SUMIF('Prev Aub'!A:A,O575,'Prev Aub'!B:B)=0,"",SUMIF('Prev Aub'!A:A,O575,'Prev Aub'!B:B))</f>
        <v/>
      </c>
      <c r="AN575" s="25" t="s">
        <v>3790</v>
      </c>
      <c r="AO575" s="25" t="s">
        <v>3790</v>
      </c>
      <c r="AP575" s="25">
        <f t="shared" si="230"/>
        <v>0</v>
      </c>
      <c r="AQ575" s="151" t="str">
        <f>IF(SUMIFS('Supp Consol'!S:S,'Supp Consol'!A:A,O575,'Supp Consol'!I:I,"PENDING")=0,"",SUMIFS('Supp Consol'!S:S,'Supp Consol'!A:A,O575,'Supp Consol'!I:I,"PENDING"))</f>
        <v/>
      </c>
      <c r="AR575" s="27" t="str">
        <f t="shared" si="231"/>
        <v>HP417</v>
      </c>
      <c r="AS575" s="27" t="str">
        <f t="shared" si="232"/>
        <v>50</v>
      </c>
      <c r="AT575" s="27" t="str">
        <f t="shared" si="233"/>
        <v/>
      </c>
      <c r="AU575" s="27" t="str">
        <f t="shared" si="234"/>
        <v/>
      </c>
      <c r="AV575" s="27" t="str">
        <f t="shared" si="235"/>
        <v/>
      </c>
      <c r="AW575" s="27" t="str">
        <f t="shared" si="236"/>
        <v/>
      </c>
      <c r="AX575" s="27" t="str">
        <f t="shared" si="237"/>
        <v/>
      </c>
      <c r="AY575" s="27" t="str">
        <f t="shared" si="238"/>
        <v>HP417</v>
      </c>
      <c r="AZ575" s="27" t="str">
        <f t="shared" si="239"/>
        <v/>
      </c>
      <c r="BA575" s="27" t="str">
        <f t="shared" si="240"/>
        <v>Hun</v>
      </c>
      <c r="BB575" s="27" t="str">
        <f t="shared" si="241"/>
        <v/>
      </c>
      <c r="BC575" s="27" t="str">
        <f t="shared" si="242"/>
        <v/>
      </c>
      <c r="BD575" s="27" t="str">
        <f t="shared" si="243"/>
        <v/>
      </c>
      <c r="BE575" s="27" t="str">
        <f t="shared" si="244"/>
        <v/>
      </c>
      <c r="BF575" s="27" t="str">
        <f t="shared" si="245"/>
        <v/>
      </c>
      <c r="BG575" s="27" t="str">
        <f t="shared" si="246"/>
        <v/>
      </c>
      <c r="BH575" s="27" t="str">
        <f t="shared" si="247"/>
        <v/>
      </c>
      <c r="BI575" s="27" t="str">
        <f t="shared" si="248"/>
        <v/>
      </c>
      <c r="BJ575" s="27" t="str">
        <f t="shared" si="249"/>
        <v>Supp or Hun</v>
      </c>
      <c r="BK575" s="27" t="str">
        <f t="shared" si="250"/>
        <v/>
      </c>
      <c r="BL575" s="27" t="str">
        <f t="shared" si="251"/>
        <v/>
      </c>
      <c r="BM575" s="21" t="s">
        <v>5582</v>
      </c>
    </row>
    <row r="576" spans="1:65" ht="15">
      <c r="A576" s="25">
        <f>IFERROR(INDEX('Hun Demand'!W:W,MATCH(O576,'Hun Demand'!A:A,0)),"")</f>
        <v>0</v>
      </c>
      <c r="B576" s="25">
        <f>IFERROR(INDEX('Hun Demand'!V:V,MATCH(O576,'Hun Demand'!A:A,0)),"")</f>
        <v>0</v>
      </c>
      <c r="C576" s="25">
        <f>IFERROR(INDEX('Hun Demand'!U:U,MATCH(O576,'Hun Demand'!A:A,0)),"")</f>
        <v>0</v>
      </c>
      <c r="D576" s="25">
        <f>IFERROR(INDEX('Hun Demand'!T:T,MATCH(O576,'Hun Demand'!A:A,0)),"")</f>
        <v>0</v>
      </c>
      <c r="E576" s="25">
        <f>IFERROR(INDEX('Hun Demand'!S:S,MATCH(O576,'Hun Demand'!A:A,0)),"")</f>
        <v>0</v>
      </c>
      <c r="F576" s="25">
        <f>IFERROR(INDEX('Hun Demand'!R:R,MATCH(O576,'Hun Demand'!A:A,0)),"")</f>
        <v>0</v>
      </c>
      <c r="G576" s="25">
        <f>IFERROR(INDEX('Aub Demand'!W:W,MATCH(O576,'Aub Demand'!A:A,0)),"")</f>
        <v>0</v>
      </c>
      <c r="H576" s="25">
        <f>IFERROR(INDEX('Aub Demand'!V:V,MATCH(O576,'Aub Demand'!A:A,0)),"")</f>
        <v>0</v>
      </c>
      <c r="I576" s="25">
        <f>IFERROR(INDEX('Aub Demand'!U:U,MATCH(O576,'Aub Demand'!A:A,0)),"")</f>
        <v>0</v>
      </c>
      <c r="J576" s="25">
        <f>IFERROR(INDEX('Aub Demand'!T:T,MATCH(O576,'Aub Demand'!A:A,0)),"")</f>
        <v>0</v>
      </c>
      <c r="K576" s="25">
        <f>IFERROR(INDEX('Aub Demand'!S:S,MATCH(O576,'Aub Demand'!A:A,0)),"")</f>
        <v>0</v>
      </c>
      <c r="L576" s="25">
        <f>IFERROR(INDEX('Aub Demand'!R:R,MATCH(O576,'Aub Demand'!A:A,0)),"")</f>
        <v>0</v>
      </c>
      <c r="O576" s="27" t="s">
        <v>960</v>
      </c>
      <c r="P576" s="27" t="str">
        <f>IFERROR(INDEX('Aub Demand'!B:B,MATCH($O576,'Aub Demand'!$A:$A,0)),"")</f>
        <v>SNOW WHITE</v>
      </c>
      <c r="Q576" s="27" t="str">
        <f>IFERROR(INDEX('Aub Demand'!C:C,MATCH($O576,'Aub Demand'!$A:$A,0)),"")</f>
        <v>ONYX</v>
      </c>
      <c r="R576" s="52">
        <f>IFERROR(IF(AR577=AR576,INDEX('Aub Demand'!K:K,MATCH($O576,'Aub Demand'!$A:$A,0))-IF(AN576="",0,AN576)+AP577,INDEX('Aub Demand'!K:K,MATCH($O576,'Aub Demand'!$A:$A,0))-IF(AN576="",0,AN576)),"")</f>
        <v>112</v>
      </c>
      <c r="S576" s="53" t="str">
        <f t="shared" si="224"/>
        <v>n/a</v>
      </c>
      <c r="T576" s="52" t="str">
        <f t="shared" si="225"/>
        <v/>
      </c>
      <c r="U576" s="52">
        <f>IFERROR(IF(AR577=AR576,INDEX('Aub Demand'!Q:Q,MATCH($O576,'Aub Demand'!$A:$A,0))-IF(AN576="",0,AN576)+AP577,INDEX('Aub Demand'!Q:Q,MATCH($O576,'Aub Demand'!$A:$A,0))-IF(AN576="",0,AN576)),"")</f>
        <v>112</v>
      </c>
      <c r="V576" s="53" t="str">
        <f t="shared" si="226"/>
        <v>n/a</v>
      </c>
      <c r="W576" s="52" t="str">
        <f t="shared" si="227"/>
        <v/>
      </c>
      <c r="X576" s="52">
        <f>IFERROR(IF(AND(AR577=AR576,AM576&lt;&gt;""),INDEX('Aub Demand'!Q:Q,MATCH($O576,'Aub Demand'!$A:$A,0))-IF(AN576="",0,AN576)+AP577+AD576+AL576,IF(AR577=AR576,INDEX('Aub Demand'!Q:Q,MATCH($O576,'Aub Demand'!$A:$A,0))-IF(AN576="",0,AN576)+AP577+AD576,IF(AM576&lt;&gt;"",INDEX('Aub Demand'!Q:Q,MATCH($O576,'Aub Demand'!$A:$A,0))-IF(AN576="",0,AN576)+AD576+AL576,INDEX('Aub Demand'!Q:Q,MATCH($O576,'Aub Demand'!$A:$A,0))-IF(AN576="",0,AN576)+AD576))),"")</f>
        <v>112</v>
      </c>
      <c r="Y576" s="53" t="str">
        <f t="shared" si="228"/>
        <v>n/a</v>
      </c>
      <c r="Z576" s="52">
        <f>IF(L576="","",INDEX('Aub Demand'!H:H,MATCH($O576,'Aub Demand'!$A:$A,0)))</f>
        <v>0</v>
      </c>
      <c r="AA576" s="52" t="str">
        <f t="shared" si="229"/>
        <v>-spike-</v>
      </c>
      <c r="AB576" s="52">
        <f>IFERROR(INDEX('Aub Demand'!L:L,MATCH($O576,'Aub Demand'!$A:$A,0)),"")</f>
        <v>0</v>
      </c>
      <c r="AC576" s="52">
        <f>IFERROR(IF(O576="","",SUMIFS('CPL Mats'!F:F,'CPL Mats'!Q:Q,AR576,'CPL Mats'!S:S,AS576)),"")</f>
        <v>0</v>
      </c>
      <c r="AF576" s="25" t="str">
        <f>IF(SUMIFS('Supp Consol'!S:S,'Supp Consol'!Y:Y,"Releasable",'Supp Consol'!A:A,O576)=0,"",SUMIFS('Supp Consol'!S:S,'Supp Consol'!Y:Y,"Releasable",'Supp Consol'!A:A,O576))</f>
        <v/>
      </c>
      <c r="AG576" s="25">
        <f>IFERROR(INDEX('Hun Demand'!Q:Q,MATCH(O576,'Hun Demand'!A:A,0)),"")</f>
        <v>1145</v>
      </c>
      <c r="AH576" s="25">
        <f>IFERROR(INDEX('Hun Demand'!H:H,MATCH($O576,'Hun Demand'!$A:$A,0)),"")</f>
        <v>0</v>
      </c>
      <c r="AI576" s="25" t="str">
        <f>IF(SUMIFS('Supp Consol'!AA:AA,'Supp Consol'!Z:Z,"Expires this month",'Supp Consol'!A:A,O576)=0,"",SUMIFS('Supp Consol'!AA:AA,'Supp Consol'!Z:Z,"Expires this month",'Supp Consol'!A:A,O576))</f>
        <v/>
      </c>
      <c r="AJ576" s="25" t="str">
        <f>IF(SUMIFS('Supp Consol'!AA:AA,'Supp Consol'!Z:Z,"Expired Previous Months",'Supp Consol'!A:A,O576)=0,"",SUMIFS('Supp Consol'!AA:AA,'Supp Consol'!Z:Z,"Expired Previous Months",'Supp Consol'!A:A,O576))</f>
        <v/>
      </c>
      <c r="AK576" s="25" t="str">
        <f>IFERROR(INDEX('Hun Release Current'!B:B,MATCH(O576,'Hun Release Current'!A:A,0)),"")</f>
        <v/>
      </c>
      <c r="AL576" s="25" t="str">
        <f>IF(SUMIF('Prev Aub'!A:A,O576,'Prev Aub'!B:B)=0,"",SUMIF('Prev Aub'!A:A,O576,'Prev Aub'!B:B))</f>
        <v/>
      </c>
      <c r="AN576" s="25" t="s">
        <v>3790</v>
      </c>
      <c r="AO576" s="25" t="s">
        <v>3790</v>
      </c>
      <c r="AP576" s="25">
        <f t="shared" si="230"/>
        <v>0</v>
      </c>
      <c r="AQ576" s="151" t="str">
        <f>IF(SUMIFS('Supp Consol'!S:S,'Supp Consol'!A:A,O576,'Supp Consol'!I:I,"PENDING")=0,"",SUMIFS('Supp Consol'!S:S,'Supp Consol'!A:A,O576,'Supp Consol'!I:I,"PENDING"))</f>
        <v/>
      </c>
      <c r="AR576" s="27" t="str">
        <f t="shared" si="231"/>
        <v>HP417</v>
      </c>
      <c r="AS576" s="27" t="str">
        <f t="shared" si="232"/>
        <v>62</v>
      </c>
      <c r="AT576" s="27" t="str">
        <f t="shared" si="233"/>
        <v/>
      </c>
      <c r="AU576" s="27" t="str">
        <f t="shared" si="234"/>
        <v/>
      </c>
      <c r="AV576" s="27" t="str">
        <f t="shared" si="235"/>
        <v/>
      </c>
      <c r="AW576" s="27" t="str">
        <f t="shared" si="236"/>
        <v/>
      </c>
      <c r="AX576" s="27" t="str">
        <f t="shared" si="237"/>
        <v/>
      </c>
      <c r="AY576" s="27" t="str">
        <f t="shared" si="238"/>
        <v>HP417</v>
      </c>
      <c r="AZ576" s="27" t="str">
        <f t="shared" si="239"/>
        <v/>
      </c>
      <c r="BA576" s="27" t="str">
        <f t="shared" si="240"/>
        <v>Hun</v>
      </c>
      <c r="BB576" s="27" t="str">
        <f t="shared" si="241"/>
        <v/>
      </c>
      <c r="BC576" s="27" t="str">
        <f t="shared" si="242"/>
        <v/>
      </c>
      <c r="BD576" s="27" t="str">
        <f t="shared" si="243"/>
        <v/>
      </c>
      <c r="BE576" s="27" t="str">
        <f t="shared" si="244"/>
        <v/>
      </c>
      <c r="BF576" s="27" t="str">
        <f t="shared" si="245"/>
        <v/>
      </c>
      <c r="BG576" s="27" t="str">
        <f t="shared" si="246"/>
        <v/>
      </c>
      <c r="BH576" s="27" t="str">
        <f t="shared" si="247"/>
        <v/>
      </c>
      <c r="BI576" s="27" t="str">
        <f t="shared" si="248"/>
        <v/>
      </c>
      <c r="BJ576" s="27" t="str">
        <f t="shared" si="249"/>
        <v>Supp or Hun</v>
      </c>
      <c r="BK576" s="27" t="str">
        <f t="shared" si="250"/>
        <v/>
      </c>
      <c r="BL576" s="27" t="str">
        <f t="shared" si="251"/>
        <v/>
      </c>
      <c r="BM576" s="21" t="s">
        <v>5582</v>
      </c>
    </row>
    <row r="577" spans="1:65" ht="15">
      <c r="A577" s="25">
        <f>IFERROR(INDEX('Hun Demand'!W:W,MATCH(O577,'Hun Demand'!A:A,0)),"")</f>
        <v>228</v>
      </c>
      <c r="B577" s="25">
        <f>IFERROR(INDEX('Hun Demand'!V:V,MATCH(O577,'Hun Demand'!A:A,0)),"")</f>
        <v>229</v>
      </c>
      <c r="C577" s="25">
        <f>IFERROR(INDEX('Hun Demand'!U:U,MATCH(O577,'Hun Demand'!A:A,0)),"")</f>
        <v>654</v>
      </c>
      <c r="D577" s="25">
        <f>IFERROR(INDEX('Hun Demand'!T:T,MATCH(O577,'Hun Demand'!A:A,0)),"")</f>
        <v>0</v>
      </c>
      <c r="E577" s="25">
        <f>IFERROR(INDEX('Hun Demand'!S:S,MATCH(O577,'Hun Demand'!A:A,0)),"")</f>
        <v>0</v>
      </c>
      <c r="F577" s="25">
        <f>IFERROR(INDEX('Hun Demand'!R:R,MATCH(O577,'Hun Demand'!A:A,0)),"")</f>
        <v>0</v>
      </c>
      <c r="G577" s="25">
        <f>IFERROR(INDEX('Aub Demand'!W:W,MATCH(O577,'Aub Demand'!A:A,0)),"")</f>
        <v>0</v>
      </c>
      <c r="H577" s="25">
        <f>IFERROR(INDEX('Aub Demand'!V:V,MATCH(O577,'Aub Demand'!A:A,0)),"")</f>
        <v>134</v>
      </c>
      <c r="I577" s="25">
        <f>IFERROR(INDEX('Aub Demand'!U:U,MATCH(O577,'Aub Demand'!A:A,0)),"")</f>
        <v>16</v>
      </c>
      <c r="J577" s="25">
        <f>IFERROR(INDEX('Aub Demand'!T:T,MATCH(O577,'Aub Demand'!A:A,0)),"")</f>
        <v>0</v>
      </c>
      <c r="K577" s="25">
        <f>IFERROR(INDEX('Aub Demand'!S:S,MATCH(O577,'Aub Demand'!A:A,0)),"")</f>
        <v>0</v>
      </c>
      <c r="L577" s="25">
        <f>IFERROR(INDEX('Aub Demand'!R:R,MATCH(O577,'Aub Demand'!A:A,0)),"")</f>
        <v>0</v>
      </c>
      <c r="O577" s="27" t="s">
        <v>961</v>
      </c>
      <c r="P577" s="27" t="str">
        <f>IFERROR(INDEX('Aub Demand'!B:B,MATCH($O577,'Aub Demand'!$A:$A,0)),"")</f>
        <v>HAYDEN GRAY (SOLID)</v>
      </c>
      <c r="Q577" s="27" t="str">
        <f>IFERROR(INDEX('Aub Demand'!C:C,MATCH($O577,'Aub Demand'!$A:$A,0)),"")</f>
        <v>ONYX</v>
      </c>
      <c r="R577" s="52">
        <f>IFERROR(IF(AR578=AR577,INDEX('Aub Demand'!K:K,MATCH($O577,'Aub Demand'!$A:$A,0))-IF(AN577="",0,AN577)+AP578,INDEX('Aub Demand'!K:K,MATCH($O577,'Aub Demand'!$A:$A,0))-IF(AN577="",0,AN577)),"")</f>
        <v>948</v>
      </c>
      <c r="S577" s="53">
        <f t="shared" si="224"/>
        <v>812.6</v>
      </c>
      <c r="T577" s="52" t="str">
        <f t="shared" si="225"/>
        <v/>
      </c>
      <c r="U577" s="52">
        <f>IFERROR(IF(AR578=AR577,INDEX('Aub Demand'!Q:Q,MATCH($O577,'Aub Demand'!$A:$A,0))-IF(AN577="",0,AN577)+AP578,INDEX('Aub Demand'!Q:Q,MATCH($O577,'Aub Demand'!$A:$A,0))-IF(AN577="",0,AN577)),"")</f>
        <v>948</v>
      </c>
      <c r="V577" s="53">
        <f t="shared" si="226"/>
        <v>812.6</v>
      </c>
      <c r="W577" s="52" t="str">
        <f t="shared" si="227"/>
        <v/>
      </c>
      <c r="X577" s="52">
        <f>IFERROR(IF(AND(AR578=AR577,AM577&lt;&gt;""),INDEX('Aub Demand'!Q:Q,MATCH($O577,'Aub Demand'!$A:$A,0))-IF(AN577="",0,AN577)+AP578+AD577+AL577,IF(AR578=AR577,INDEX('Aub Demand'!Q:Q,MATCH($O577,'Aub Demand'!$A:$A,0))-IF(AN577="",0,AN577)+AP578+AD577,IF(AM577&lt;&gt;"",INDEX('Aub Demand'!Q:Q,MATCH($O577,'Aub Demand'!$A:$A,0))-IF(AN577="",0,AN577)+AD577+AL577,INDEX('Aub Demand'!Q:Q,MATCH($O577,'Aub Demand'!$A:$A,0))-IF(AN577="",0,AN577)+AD577))),"")</f>
        <v>948</v>
      </c>
      <c r="Y577" s="53">
        <f t="shared" si="228"/>
        <v>812.6</v>
      </c>
      <c r="Z577" s="52">
        <f>IF(L577="","",INDEX('Aub Demand'!H:H,MATCH($O577,'Aub Demand'!$A:$A,0)))</f>
        <v>5</v>
      </c>
      <c r="AA577" s="52" t="str">
        <f t="shared" si="229"/>
        <v>-spike-</v>
      </c>
      <c r="AB577" s="52">
        <f>IFERROR(INDEX('Aub Demand'!L:L,MATCH($O577,'Aub Demand'!$A:$A,0)),"")</f>
        <v>15</v>
      </c>
      <c r="AC577" s="52">
        <f>IFERROR(IF(O577="","",SUMIFS('CPL Mats'!F:F,'CPL Mats'!Q:Q,AR577,'CPL Mats'!S:S,AS577)),"")</f>
        <v>0</v>
      </c>
      <c r="AF577" s="25" t="str">
        <f>IF(SUMIFS('Supp Consol'!S:S,'Supp Consol'!Y:Y,"Releasable",'Supp Consol'!A:A,O577)=0,"",SUMIFS('Supp Consol'!S:S,'Supp Consol'!Y:Y,"Releasable",'Supp Consol'!A:A,O577))</f>
        <v/>
      </c>
      <c r="AG577" s="25">
        <f>IFERROR(INDEX('Hun Demand'!Q:Q,MATCH(O577,'Hun Demand'!A:A,0)),"")</f>
        <v>1677</v>
      </c>
      <c r="AH577" s="25">
        <f>IFERROR(INDEX('Hun Demand'!H:H,MATCH($O577,'Hun Demand'!$A:$A,0)),"")</f>
        <v>218</v>
      </c>
      <c r="AI577" s="25" t="str">
        <f>IF(SUMIFS('Supp Consol'!AA:AA,'Supp Consol'!Z:Z,"Expires this month",'Supp Consol'!A:A,O577)=0,"",SUMIFS('Supp Consol'!AA:AA,'Supp Consol'!Z:Z,"Expires this month",'Supp Consol'!A:A,O577))</f>
        <v/>
      </c>
      <c r="AJ577" s="25" t="str">
        <f>IF(SUMIFS('Supp Consol'!AA:AA,'Supp Consol'!Z:Z,"Expired Previous Months",'Supp Consol'!A:A,O577)=0,"",SUMIFS('Supp Consol'!AA:AA,'Supp Consol'!Z:Z,"Expired Previous Months",'Supp Consol'!A:A,O577))</f>
        <v/>
      </c>
      <c r="AK577" s="25" t="str">
        <f>IFERROR(INDEX('Hun Release Current'!B:B,MATCH(O577,'Hun Release Current'!A:A,0)),"")</f>
        <v/>
      </c>
      <c r="AL577" s="25" t="str">
        <f>IF(SUMIF('Prev Aub'!A:A,O577,'Prev Aub'!B:B)=0,"",SUMIF('Prev Aub'!A:A,O577,'Prev Aub'!B:B))</f>
        <v/>
      </c>
      <c r="AN577" s="25" t="s">
        <v>3790</v>
      </c>
      <c r="AO577" s="25" t="s">
        <v>3790</v>
      </c>
      <c r="AP577" s="25">
        <f t="shared" si="230"/>
        <v>0</v>
      </c>
      <c r="AQ577" s="151" t="str">
        <f>IF(SUMIFS('Supp Consol'!S:S,'Supp Consol'!A:A,O577,'Supp Consol'!I:I,"PENDING")=0,"",SUMIFS('Supp Consol'!S:S,'Supp Consol'!A:A,O577,'Supp Consol'!I:I,"PENDING"))</f>
        <v/>
      </c>
      <c r="AR577" s="27" t="str">
        <f t="shared" si="231"/>
        <v>HP427</v>
      </c>
      <c r="AS577" s="27" t="str">
        <f t="shared" si="232"/>
        <v>62</v>
      </c>
      <c r="AT577" s="27" t="str">
        <f t="shared" si="233"/>
        <v/>
      </c>
      <c r="AU577" s="27" t="str">
        <f t="shared" si="234"/>
        <v/>
      </c>
      <c r="AV577" s="27" t="str">
        <f t="shared" si="235"/>
        <v/>
      </c>
      <c r="AW577" s="27" t="str">
        <f t="shared" si="236"/>
        <v/>
      </c>
      <c r="AX577" s="27" t="str">
        <f t="shared" si="237"/>
        <v/>
      </c>
      <c r="AY577" s="27" t="str">
        <f t="shared" si="238"/>
        <v>HP427</v>
      </c>
      <c r="AZ577" s="27" t="str">
        <f t="shared" si="239"/>
        <v/>
      </c>
      <c r="BA577" s="27" t="str">
        <f t="shared" si="240"/>
        <v>Hun</v>
      </c>
      <c r="BB577" s="27" t="str">
        <f t="shared" si="241"/>
        <v/>
      </c>
      <c r="BC577" s="27" t="str">
        <f t="shared" si="242"/>
        <v/>
      </c>
      <c r="BD577" s="27" t="str">
        <f t="shared" si="243"/>
        <v/>
      </c>
      <c r="BE577" s="27" t="str">
        <f t="shared" si="244"/>
        <v/>
      </c>
      <c r="BF577" s="27" t="str">
        <f t="shared" si="245"/>
        <v/>
      </c>
      <c r="BG577" s="27" t="str">
        <f t="shared" si="246"/>
        <v/>
      </c>
      <c r="BH577" s="27" t="str">
        <f t="shared" si="247"/>
        <v/>
      </c>
      <c r="BI577" s="27" t="str">
        <f t="shared" si="248"/>
        <v/>
      </c>
      <c r="BJ577" s="27" t="str">
        <f t="shared" si="249"/>
        <v>Supp or Hun</v>
      </c>
      <c r="BK577" s="27" t="str">
        <f t="shared" si="250"/>
        <v/>
      </c>
      <c r="BL577" s="27" t="str">
        <f t="shared" si="251"/>
        <v/>
      </c>
      <c r="BM577" s="21" t="s">
        <v>5582</v>
      </c>
    </row>
    <row r="578" spans="1:65" ht="15">
      <c r="A578" s="25">
        <f>IFERROR(INDEX('Hun Demand'!W:W,MATCH(O578,'Hun Demand'!A:A,0)),"")</f>
        <v>428</v>
      </c>
      <c r="B578" s="25">
        <f>IFERROR(INDEX('Hun Demand'!V:V,MATCH(O578,'Hun Demand'!A:A,0)),"")</f>
        <v>476</v>
      </c>
      <c r="C578" s="25">
        <f>IFERROR(INDEX('Hun Demand'!U:U,MATCH(O578,'Hun Demand'!A:A,0)),"")</f>
        <v>405</v>
      </c>
      <c r="D578" s="25">
        <f>IFERROR(INDEX('Hun Demand'!T:T,MATCH(O578,'Hun Demand'!A:A,0)),"")</f>
        <v>318</v>
      </c>
      <c r="E578" s="25">
        <f>IFERROR(INDEX('Hun Demand'!S:S,MATCH(O578,'Hun Demand'!A:A,0)),"")</f>
        <v>150</v>
      </c>
      <c r="F578" s="25">
        <f>IFERROR(INDEX('Hun Demand'!R:R,MATCH(O578,'Hun Demand'!A:A,0)),"")</f>
        <v>0</v>
      </c>
      <c r="G578" s="25">
        <f>IFERROR(INDEX('Aub Demand'!W:W,MATCH(O578,'Aub Demand'!A:A,0)),"")</f>
        <v>0</v>
      </c>
      <c r="H578" s="25">
        <f>IFERROR(INDEX('Aub Demand'!V:V,MATCH(O578,'Aub Demand'!A:A,0)),"")</f>
        <v>32</v>
      </c>
      <c r="I578" s="25">
        <f>IFERROR(INDEX('Aub Demand'!U:U,MATCH(O578,'Aub Demand'!A:A,0)),"")</f>
        <v>0</v>
      </c>
      <c r="J578" s="25">
        <f>IFERROR(INDEX('Aub Demand'!T:T,MATCH(O578,'Aub Demand'!A:A,0)),"")</f>
        <v>61</v>
      </c>
      <c r="K578" s="25">
        <f>IFERROR(INDEX('Aub Demand'!S:S,MATCH(O578,'Aub Demand'!A:A,0)),"")</f>
        <v>0</v>
      </c>
      <c r="L578" s="25">
        <f>IFERROR(INDEX('Aub Demand'!R:R,MATCH(O578,'Aub Demand'!A:A,0)),"")</f>
        <v>0</v>
      </c>
      <c r="O578" s="27" t="s">
        <v>963</v>
      </c>
      <c r="P578" s="27" t="str">
        <f>IFERROR(INDEX('Aub Demand'!B:B,MATCH($O578,'Aub Demand'!$A:$A,0)),"")</f>
        <v>WILLOW GRAY</v>
      </c>
      <c r="Q578" s="27" t="str">
        <f>IFERROR(INDEX('Aub Demand'!C:C,MATCH($O578,'Aub Demand'!$A:$A,0)),"")</f>
        <v>TECHN</v>
      </c>
      <c r="R578" s="52">
        <f>IFERROR(IF(AR579=AR578,INDEX('Aub Demand'!K:K,MATCH($O578,'Aub Demand'!$A:$A,0))-IF(AN578="",0,AN578)+AP579,INDEX('Aub Demand'!K:K,MATCH($O578,'Aub Demand'!$A:$A,0))-IF(AN578="",0,AN578)),"")</f>
        <v>599</v>
      </c>
      <c r="S578" s="53">
        <f t="shared" si="224"/>
        <v>128.4</v>
      </c>
      <c r="T578" s="52" t="str">
        <f t="shared" si="225"/>
        <v/>
      </c>
      <c r="U578" s="52">
        <f>IFERROR(IF(AR579=AR578,INDEX('Aub Demand'!Q:Q,MATCH($O578,'Aub Demand'!$A:$A,0))-IF(AN578="",0,AN578)+AP579,INDEX('Aub Demand'!Q:Q,MATCH($O578,'Aub Demand'!$A:$A,0))-IF(AN578="",0,AN578)),"")</f>
        <v>599</v>
      </c>
      <c r="V578" s="53">
        <f t="shared" si="226"/>
        <v>128.4</v>
      </c>
      <c r="W578" s="52" t="str">
        <f t="shared" si="227"/>
        <v/>
      </c>
      <c r="X578" s="52">
        <f>IFERROR(IF(AND(AR579=AR578,AM578&lt;&gt;""),INDEX('Aub Demand'!Q:Q,MATCH($O578,'Aub Demand'!$A:$A,0))-IF(AN578="",0,AN578)+AP579+AD578+AL578,IF(AR579=AR578,INDEX('Aub Demand'!Q:Q,MATCH($O578,'Aub Demand'!$A:$A,0))-IF(AN578="",0,AN578)+AP579+AD578,IF(AM578&lt;&gt;"",INDEX('Aub Demand'!Q:Q,MATCH($O578,'Aub Demand'!$A:$A,0))-IF(AN578="",0,AN578)+AD578+AL578,INDEX('Aub Demand'!Q:Q,MATCH($O578,'Aub Demand'!$A:$A,0))-IF(AN578="",0,AN578)+AD578))),"")</f>
        <v>599</v>
      </c>
      <c r="Y578" s="53">
        <f t="shared" si="228"/>
        <v>128.4</v>
      </c>
      <c r="Z578" s="52">
        <f>IF(L578="","",INDEX('Aub Demand'!H:H,MATCH($O578,'Aub Demand'!$A:$A,0)))</f>
        <v>20</v>
      </c>
      <c r="AA578" s="52" t="str">
        <f t="shared" si="229"/>
        <v>-spike-</v>
      </c>
      <c r="AB578" s="52">
        <f>IFERROR(INDEX('Aub Demand'!L:L,MATCH($O578,'Aub Demand'!$A:$A,0)),"")</f>
        <v>14</v>
      </c>
      <c r="AC578" s="52">
        <f>IFERROR(IF(O578="","",SUMIFS('CPL Mats'!F:F,'CPL Mats'!Q:Q,AR578,'CPL Mats'!S:S,AS578)),"")</f>
        <v>0</v>
      </c>
      <c r="AF578" s="25" t="str">
        <f>IF(SUMIFS('Supp Consol'!S:S,'Supp Consol'!Y:Y,"Releasable",'Supp Consol'!A:A,O578)=0,"",SUMIFS('Supp Consol'!S:S,'Supp Consol'!Y:Y,"Releasable",'Supp Consol'!A:A,O578))</f>
        <v/>
      </c>
      <c r="AG578" s="25">
        <f>IFERROR(INDEX('Hun Demand'!Q:Q,MATCH(O578,'Hun Demand'!A:A,0)),"")</f>
        <v>5122</v>
      </c>
      <c r="AH578" s="25">
        <f>IFERROR(INDEX('Hun Demand'!H:H,MATCH($O578,'Hun Demand'!$A:$A,0)),"")</f>
        <v>291</v>
      </c>
      <c r="AI578" s="25" t="str">
        <f>IF(SUMIFS('Supp Consol'!AA:AA,'Supp Consol'!Z:Z,"Expires this month",'Supp Consol'!A:A,O578)=0,"",SUMIFS('Supp Consol'!AA:AA,'Supp Consol'!Z:Z,"Expires this month",'Supp Consol'!A:A,O578))</f>
        <v/>
      </c>
      <c r="AJ578" s="25" t="str">
        <f>IF(SUMIFS('Supp Consol'!AA:AA,'Supp Consol'!Z:Z,"Expired Previous Months",'Supp Consol'!A:A,O578)=0,"",SUMIFS('Supp Consol'!AA:AA,'Supp Consol'!Z:Z,"Expired Previous Months",'Supp Consol'!A:A,O578))</f>
        <v/>
      </c>
      <c r="AK578" s="25" t="str">
        <f>IFERROR(INDEX('Hun Release Current'!B:B,MATCH(O578,'Hun Release Current'!A:A,0)),"")</f>
        <v/>
      </c>
      <c r="AL578" s="25" t="str">
        <f>IF(SUMIF('Prev Aub'!A:A,O578,'Prev Aub'!B:B)=0,"",SUMIF('Prev Aub'!A:A,O578,'Prev Aub'!B:B))</f>
        <v/>
      </c>
      <c r="AN578" s="25" t="s">
        <v>3790</v>
      </c>
      <c r="AO578" s="25" t="s">
        <v>3790</v>
      </c>
      <c r="AP578" s="25">
        <f t="shared" si="230"/>
        <v>0</v>
      </c>
      <c r="AQ578" s="151" t="str">
        <f>IF(SUMIFS('Supp Consol'!S:S,'Supp Consol'!A:A,O578,'Supp Consol'!I:I,"PENDING")=0,"",SUMIFS('Supp Consol'!S:S,'Supp Consol'!A:A,O578,'Supp Consol'!I:I,"PENDING"))</f>
        <v/>
      </c>
      <c r="AR578" s="27" t="str">
        <f t="shared" si="231"/>
        <v>HP431</v>
      </c>
      <c r="AS578" s="27" t="str">
        <f t="shared" si="232"/>
        <v>50</v>
      </c>
      <c r="AT578" s="27" t="str">
        <f t="shared" si="233"/>
        <v/>
      </c>
      <c r="AU578" s="27" t="str">
        <f t="shared" si="234"/>
        <v/>
      </c>
      <c r="AV578" s="27" t="str">
        <f t="shared" si="235"/>
        <v/>
      </c>
      <c r="AW578" s="27" t="str">
        <f t="shared" si="236"/>
        <v/>
      </c>
      <c r="AX578" s="27" t="str">
        <f t="shared" si="237"/>
        <v/>
      </c>
      <c r="AY578" s="27" t="str">
        <f t="shared" si="238"/>
        <v>HP431</v>
      </c>
      <c r="AZ578" s="27" t="str">
        <f t="shared" si="239"/>
        <v/>
      </c>
      <c r="BA578" s="27" t="str">
        <f t="shared" si="240"/>
        <v>Hun</v>
      </c>
      <c r="BB578" s="27" t="str">
        <f t="shared" si="241"/>
        <v/>
      </c>
      <c r="BC578" s="27" t="str">
        <f t="shared" si="242"/>
        <v/>
      </c>
      <c r="BD578" s="27" t="str">
        <f t="shared" si="243"/>
        <v/>
      </c>
      <c r="BE578" s="27" t="str">
        <f t="shared" si="244"/>
        <v/>
      </c>
      <c r="BF578" s="27" t="str">
        <f t="shared" si="245"/>
        <v/>
      </c>
      <c r="BG578" s="27" t="str">
        <f t="shared" si="246"/>
        <v/>
      </c>
      <c r="BH578" s="27" t="str">
        <f t="shared" si="247"/>
        <v/>
      </c>
      <c r="BI578" s="27" t="str">
        <f t="shared" si="248"/>
        <v/>
      </c>
      <c r="BJ578" s="27" t="str">
        <f t="shared" si="249"/>
        <v>Supp or Hun</v>
      </c>
      <c r="BK578" s="27" t="str">
        <f t="shared" si="250"/>
        <v/>
      </c>
      <c r="BL578" s="27" t="str">
        <f t="shared" si="251"/>
        <v/>
      </c>
      <c r="BM578" s="21" t="s">
        <v>5582</v>
      </c>
    </row>
    <row r="579" spans="1:65" ht="15">
      <c r="A579" s="25">
        <f>IFERROR(INDEX('Hun Demand'!W:W,MATCH(O579,'Hun Demand'!A:A,0)),"")</f>
        <v>0</v>
      </c>
      <c r="B579" s="25">
        <f>IFERROR(INDEX('Hun Demand'!V:V,MATCH(O579,'Hun Demand'!A:A,0)),"")</f>
        <v>414</v>
      </c>
      <c r="C579" s="25">
        <f>IFERROR(INDEX('Hun Demand'!U:U,MATCH(O579,'Hun Demand'!A:A,0)),"")</f>
        <v>505</v>
      </c>
      <c r="D579" s="25">
        <f>IFERROR(INDEX('Hun Demand'!T:T,MATCH(O579,'Hun Demand'!A:A,0)),"")</f>
        <v>0</v>
      </c>
      <c r="E579" s="25">
        <f>IFERROR(INDEX('Hun Demand'!S:S,MATCH(O579,'Hun Demand'!A:A,0)),"")</f>
        <v>0</v>
      </c>
      <c r="F579" s="25">
        <f>IFERROR(INDEX('Hun Demand'!R:R,MATCH(O579,'Hun Demand'!A:A,0)),"")</f>
        <v>0</v>
      </c>
      <c r="G579" s="25">
        <f>IFERROR(INDEX('Aub Demand'!W:W,MATCH(O579,'Aub Demand'!A:A,0)),"")</f>
        <v>0</v>
      </c>
      <c r="H579" s="25">
        <f>IFERROR(INDEX('Aub Demand'!V:V,MATCH(O579,'Aub Demand'!A:A,0)),"")</f>
        <v>51</v>
      </c>
      <c r="I579" s="25">
        <f>IFERROR(INDEX('Aub Demand'!U:U,MATCH(O579,'Aub Demand'!A:A,0)),"")</f>
        <v>0</v>
      </c>
      <c r="J579" s="25">
        <f>IFERROR(INDEX('Aub Demand'!T:T,MATCH(O579,'Aub Demand'!A:A,0)),"")</f>
        <v>0</v>
      </c>
      <c r="K579" s="25">
        <f>IFERROR(INDEX('Aub Demand'!S:S,MATCH(O579,'Aub Demand'!A:A,0)),"")</f>
        <v>20</v>
      </c>
      <c r="L579" s="25">
        <f>IFERROR(INDEX('Aub Demand'!R:R,MATCH(O579,'Aub Demand'!A:A,0)),"")</f>
        <v>0</v>
      </c>
      <c r="O579" s="27" t="s">
        <v>966</v>
      </c>
      <c r="P579" s="27" t="str">
        <f>IFERROR(INDEX('Aub Demand'!B:B,MATCH($O579,'Aub Demand'!$A:$A,0)),"")</f>
        <v>WILLOW GRAY</v>
      </c>
      <c r="Q579" s="27" t="str">
        <f>IFERROR(INDEX('Aub Demand'!C:C,MATCH($O579,'Aub Demand'!$A:$A,0)),"")</f>
        <v>ONYX</v>
      </c>
      <c r="R579" s="52">
        <f>IFERROR(IF(AR580=AR579,INDEX('Aub Demand'!K:K,MATCH($O579,'Aub Demand'!$A:$A,0))-IF(AN579="",0,AN579)+AP580,INDEX('Aub Demand'!K:K,MATCH($O579,'Aub Demand'!$A:$A,0))-IF(AN579="",0,AN579)),"")</f>
        <v>486</v>
      </c>
      <c r="S579" s="53">
        <f t="shared" ref="S579:S642" si="252">IFERROR(IF(O579="","",ROUND(R579/((Z579/30)*7),1)),"n/a")</f>
        <v>297.60000000000002</v>
      </c>
      <c r="T579" s="52" t="str">
        <f t="shared" ref="T579:T642" si="253">IFERROR(IF(S579&lt;3.1,IF(AA579="spike",(3-S579)*(Z579/4),(3-S579)*(AA579/4)),""),"")</f>
        <v/>
      </c>
      <c r="U579" s="52">
        <f>IFERROR(IF(AR580=AR579,INDEX('Aub Demand'!Q:Q,MATCH($O579,'Aub Demand'!$A:$A,0))-IF(AN579="",0,AN579)+AP580,INDEX('Aub Demand'!Q:Q,MATCH($O579,'Aub Demand'!$A:$A,0))-IF(AN579="",0,AN579)),"")</f>
        <v>485</v>
      </c>
      <c r="V579" s="53">
        <f t="shared" ref="V579:V642" si="254">IFERROR(IF(O579="","",ROUND(U579/((Z579/30)*7),1)),"n/a")</f>
        <v>296.89999999999998</v>
      </c>
      <c r="W579" s="52" t="str">
        <f t="shared" ref="W579:W642" si="255">IF(IFERROR(IF(V579&lt;3.1,IF(AA579="spike",(3-V579)*(Z579/4),(3-V579)*(AA579/4)),""),"")&lt;0,0,IFERROR(IF(V579&lt;3.1,IF(AA579="spike",(3-V579)*(Z579/4),(3-V579)*(AA579/4)),""),""))</f>
        <v/>
      </c>
      <c r="X579" s="52">
        <f>IFERROR(IF(AND(AR580=AR579,AM579&lt;&gt;""),INDEX('Aub Demand'!Q:Q,MATCH($O579,'Aub Demand'!$A:$A,0))-IF(AN579="",0,AN579)+AP580+AD579+AL579,IF(AR580=AR579,INDEX('Aub Demand'!Q:Q,MATCH($O579,'Aub Demand'!$A:$A,0))-IF(AN579="",0,AN579)+AP580+AD579,IF(AM579&lt;&gt;"",INDEX('Aub Demand'!Q:Q,MATCH($O579,'Aub Demand'!$A:$A,0))-IF(AN579="",0,AN579)+AD579+AL579,INDEX('Aub Demand'!Q:Q,MATCH($O579,'Aub Demand'!$A:$A,0))-IF(AN579="",0,AN579)+AD579))),"")</f>
        <v>485</v>
      </c>
      <c r="Y579" s="53">
        <f t="shared" ref="Y579:Y642" si="256">IFERROR(IF(O579="","",ROUND(X579/((Z579/30)*7),1)),"n/a")</f>
        <v>296.89999999999998</v>
      </c>
      <c r="Z579" s="52">
        <f>IF(L579="","",INDEX('Aub Demand'!H:H,MATCH($O579,'Aub Demand'!$A:$A,0)))</f>
        <v>7</v>
      </c>
      <c r="AA579" s="52" t="str">
        <f t="shared" ref="AA579:AA642" si="257">IF(L579="","",IF(LARGE(I579:L579,2)=0,"-spike-",AVERAGE(LARGE(I579:L579,1),LARGE(I579:L579,2))))</f>
        <v>-spike-</v>
      </c>
      <c r="AB579" s="52">
        <f>IFERROR(INDEX('Aub Demand'!L:L,MATCH($O579,'Aub Demand'!$A:$A,0)),"")</f>
        <v>8</v>
      </c>
      <c r="AC579" s="52">
        <f>IFERROR(IF(O579="","",SUMIFS('CPL Mats'!F:F,'CPL Mats'!Q:Q,AR579,'CPL Mats'!S:S,AS579)),"")</f>
        <v>0</v>
      </c>
      <c r="AF579" s="25" t="str">
        <f>IF(SUMIFS('Supp Consol'!S:S,'Supp Consol'!Y:Y,"Releasable",'Supp Consol'!A:A,O579)=0,"",SUMIFS('Supp Consol'!S:S,'Supp Consol'!Y:Y,"Releasable",'Supp Consol'!A:A,O579))</f>
        <v/>
      </c>
      <c r="AG579" s="25">
        <f>IFERROR(INDEX('Hun Demand'!Q:Q,MATCH(O579,'Hun Demand'!A:A,0)),"")</f>
        <v>1045</v>
      </c>
      <c r="AH579" s="25">
        <f>IFERROR(INDEX('Hun Demand'!H:H,MATCH($O579,'Hun Demand'!$A:$A,0)),"")</f>
        <v>168</v>
      </c>
      <c r="AI579" s="25" t="str">
        <f>IF(SUMIFS('Supp Consol'!AA:AA,'Supp Consol'!Z:Z,"Expires this month",'Supp Consol'!A:A,O579)=0,"",SUMIFS('Supp Consol'!AA:AA,'Supp Consol'!Z:Z,"Expires this month",'Supp Consol'!A:A,O579))</f>
        <v/>
      </c>
      <c r="AJ579" s="25" t="str">
        <f>IF(SUMIFS('Supp Consol'!AA:AA,'Supp Consol'!Z:Z,"Expired Previous Months",'Supp Consol'!A:A,O579)=0,"",SUMIFS('Supp Consol'!AA:AA,'Supp Consol'!Z:Z,"Expired Previous Months",'Supp Consol'!A:A,O579))</f>
        <v/>
      </c>
      <c r="AK579" s="25" t="str">
        <f>IFERROR(INDEX('Hun Release Current'!B:B,MATCH(O579,'Hun Release Current'!A:A,0)),"")</f>
        <v/>
      </c>
      <c r="AL579" s="25" t="str">
        <f>IF(SUMIF('Prev Aub'!A:A,O579,'Prev Aub'!B:B)=0,"",SUMIF('Prev Aub'!A:A,O579,'Prev Aub'!B:B))</f>
        <v/>
      </c>
      <c r="AN579" s="25" t="s">
        <v>3790</v>
      </c>
      <c r="AO579" s="25" t="s">
        <v>3790</v>
      </c>
      <c r="AP579" s="25">
        <f t="shared" ref="AP579:AP642" si="258">IFERROR(IF(O579="","",IF(AN579="",0,VALUE(AN579)-(VALUE(AN579)*0.2))),"")</f>
        <v>0</v>
      </c>
      <c r="AQ579" s="151" t="str">
        <f>IF(SUMIFS('Supp Consol'!S:S,'Supp Consol'!A:A,O579,'Supp Consol'!I:I,"PENDING")=0,"",SUMIFS('Supp Consol'!S:S,'Supp Consol'!A:A,O579,'Supp Consol'!I:I,"PENDING"))</f>
        <v/>
      </c>
      <c r="AR579" s="27" t="str">
        <f t="shared" ref="AR579:AR642" si="259">MID(O579,4,5)</f>
        <v>HP431</v>
      </c>
      <c r="AS579" s="27" t="str">
        <f t="shared" ref="AS579:AS642" si="260">MID(O579,10,2)</f>
        <v>62</v>
      </c>
      <c r="AT579" s="27" t="str">
        <f t="shared" ref="AT579:AT642" si="261">IF(S579&lt;3.1,AR579,"")</f>
        <v/>
      </c>
      <c r="AU579" s="27" t="str">
        <f t="shared" ref="AU579:AU642" si="262">IF(Y579&lt;3.1,AR579,"")</f>
        <v/>
      </c>
      <c r="AV579" s="27" t="str">
        <f t="shared" ref="AV579:AV642" si="263">IF(AND(AA579="Spike",L579=0,K579=0,X579&gt;=0),"",IF(Y579&lt;3.1,AR579,""))</f>
        <v/>
      </c>
      <c r="AW579" s="27" t="str">
        <f t="shared" ref="AW579:AW642" si="264">IF(AI579=AL579,"",IF(OR(AI579&lt;&gt;"",AJ579&lt;&gt;""),AR579,""))</f>
        <v/>
      </c>
      <c r="AX579" s="27" t="str">
        <f t="shared" ref="AX579:AX642" si="265">IF(AF579&lt;&gt;"",AR579,"")</f>
        <v/>
      </c>
      <c r="AY579" s="27" t="str">
        <f t="shared" ref="AY579:AY642" si="266">IF(AND(AG579&lt;&gt;"",AG579&gt;AH579),AR579,"")</f>
        <v>HP431</v>
      </c>
      <c r="AZ579" s="27" t="str">
        <f t="shared" ref="AZ579:AZ642" si="267">IFERROR(IF(O579="","",IF(ISERROR(MATCH(AR579,AX:AX,0)),"","Supp")),"")</f>
        <v/>
      </c>
      <c r="BA579" s="27" t="str">
        <f t="shared" ref="BA579:BA642" si="268">IFERROR(IF(O579="","",IF(ISERROR(MATCH(AR579,AY:AY,0)),"","Hun")),"")</f>
        <v>Hun</v>
      </c>
      <c r="BB579" s="27" t="str">
        <f t="shared" ref="BB579:BB642" si="269">IFERROR(IF(O579="","",IF(ISERROR(MATCH(AR579,AT:AT,0)),"","Gross")),"")</f>
        <v/>
      </c>
      <c r="BC579" s="27" t="str">
        <f t="shared" ref="BC579:BC642" si="270">IFERROR(IF(O579="","",IF(ISERROR(MATCH(AR579,AU:AU,0)),"","Net")),"")</f>
        <v/>
      </c>
      <c r="BD579" s="27" t="str">
        <f t="shared" ref="BD579:BD642" si="271">IFERROR(IF(O579="","",IF(ISERROR(MATCH(AR579,AV:AV,0)),"","Net")),"")</f>
        <v/>
      </c>
      <c r="BE579" s="27" t="str">
        <f t="shared" ref="BE579:BE642" si="272">IFERROR(IF(O579="","",IF(ISERROR(MATCH(AR579,AW:AW,0)),"","Exp")),"")</f>
        <v/>
      </c>
      <c r="BF579" s="27" t="str">
        <f t="shared" ref="BF579:BF642" si="273">IFERROR(IF(O579="","",IF(AND(AZ579="Supp",BC579="Net"),"S+N","")),"")</f>
        <v/>
      </c>
      <c r="BG579" s="27" t="str">
        <f t="shared" ref="BG579:BG642" si="274">IFERROR(IF(O579="","",IF(OR(BE579&lt;&gt;"",BF579&lt;&gt;""),"S+NorE","")),"")</f>
        <v/>
      </c>
      <c r="BH579" s="27" t="str">
        <f t="shared" ref="BH579:BH642" si="275">IFERROR(IF(O579="","",IF(AND(BA579&lt;&gt;"",BC579&lt;&gt;""),"H+N","")),"")</f>
        <v/>
      </c>
      <c r="BI579" s="27" t="str">
        <f t="shared" ref="BI579:BI642" si="276">IFERROR(IF(O579="","",IF(AND(BA579&lt;&gt;"",BD579&lt;&gt;""),"H+Nex","")),"")</f>
        <v/>
      </c>
      <c r="BJ579" s="27" t="str">
        <f t="shared" ref="BJ579:BJ642" si="277">IF(OR(AZ579&lt;&gt;"",BA579&lt;&gt;""),"Supp or Hun","")</f>
        <v>Supp or Hun</v>
      </c>
      <c r="BK579" s="27" t="str">
        <f t="shared" ref="BK579:BK642" si="278">IF(AND(BJ579&lt;&gt;"",BC579&lt;&gt;""),"Supp or Hun Need","")</f>
        <v/>
      </c>
      <c r="BL579" s="27" t="str">
        <f t="shared" ref="BL579:BL642" si="279">IF(OR(BK579&lt;&gt;"",BE579&lt;&gt;""),"SorHandNandE","")</f>
        <v/>
      </c>
      <c r="BM579" s="21" t="s">
        <v>5582</v>
      </c>
    </row>
    <row r="580" spans="1:65" ht="15">
      <c r="A580" s="25">
        <f>IFERROR(INDEX('Hun Demand'!W:W,MATCH(O580,'Hun Demand'!A:A,0)),"")</f>
        <v>0</v>
      </c>
      <c r="B580" s="25">
        <f>IFERROR(INDEX('Hun Demand'!V:V,MATCH(O580,'Hun Demand'!A:A,0)),"")</f>
        <v>0</v>
      </c>
      <c r="C580" s="25">
        <f>IFERROR(INDEX('Hun Demand'!U:U,MATCH(O580,'Hun Demand'!A:A,0)),"")</f>
        <v>0</v>
      </c>
      <c r="D580" s="25">
        <f>IFERROR(INDEX('Hun Demand'!T:T,MATCH(O580,'Hun Demand'!A:A,0)),"")</f>
        <v>0</v>
      </c>
      <c r="E580" s="25">
        <f>IFERROR(INDEX('Hun Demand'!S:S,MATCH(O580,'Hun Demand'!A:A,0)),"")</f>
        <v>0</v>
      </c>
      <c r="F580" s="25">
        <f>IFERROR(INDEX('Hun Demand'!R:R,MATCH(O580,'Hun Demand'!A:A,0)),"")</f>
        <v>0</v>
      </c>
      <c r="G580" s="25">
        <f>IFERROR(INDEX('Aub Demand'!W:W,MATCH(O580,'Aub Demand'!A:A,0)),"")</f>
        <v>0</v>
      </c>
      <c r="H580" s="25">
        <f>IFERROR(INDEX('Aub Demand'!V:V,MATCH(O580,'Aub Demand'!A:A,0)),"")</f>
        <v>0</v>
      </c>
      <c r="I580" s="25">
        <f>IFERROR(INDEX('Aub Demand'!U:U,MATCH(O580,'Aub Demand'!A:A,0)),"")</f>
        <v>0</v>
      </c>
      <c r="J580" s="25">
        <f>IFERROR(INDEX('Aub Demand'!T:T,MATCH(O580,'Aub Demand'!A:A,0)),"")</f>
        <v>0</v>
      </c>
      <c r="K580" s="25">
        <f>IFERROR(INDEX('Aub Demand'!S:S,MATCH(O580,'Aub Demand'!A:A,0)),"")</f>
        <v>0</v>
      </c>
      <c r="L580" s="25">
        <f>IFERROR(INDEX('Aub Demand'!R:R,MATCH(O580,'Aub Demand'!A:A,0)),"")</f>
        <v>0</v>
      </c>
      <c r="O580" s="27" t="s">
        <v>968</v>
      </c>
      <c r="P580" s="27" t="str">
        <f>IFERROR(INDEX('Aub Demand'!B:B,MATCH($O580,'Aub Demand'!$A:$A,0)),"")</f>
        <v>HP ALMOND</v>
      </c>
      <c r="Q580" s="27" t="str">
        <f>IFERROR(INDEX('Aub Demand'!C:C,MATCH($O580,'Aub Demand'!$A:$A,0)),"")</f>
        <v>TECHN</v>
      </c>
      <c r="R580" s="52">
        <f>IFERROR(IF(AR581=AR580,INDEX('Aub Demand'!K:K,MATCH($O580,'Aub Demand'!$A:$A,0))-IF(AN580="",0,AN580)+AP581,INDEX('Aub Demand'!K:K,MATCH($O580,'Aub Demand'!$A:$A,0))-IF(AN580="",0,AN580)),"")</f>
        <v>793</v>
      </c>
      <c r="S580" s="53" t="str">
        <f t="shared" si="252"/>
        <v>n/a</v>
      </c>
      <c r="T580" s="52" t="str">
        <f t="shared" si="253"/>
        <v/>
      </c>
      <c r="U580" s="52">
        <f>IFERROR(IF(AR581=AR580,INDEX('Aub Demand'!Q:Q,MATCH($O580,'Aub Demand'!$A:$A,0))-IF(AN580="",0,AN580)+AP581,INDEX('Aub Demand'!Q:Q,MATCH($O580,'Aub Demand'!$A:$A,0))-IF(AN580="",0,AN580)),"")</f>
        <v>793</v>
      </c>
      <c r="V580" s="53" t="str">
        <f t="shared" si="254"/>
        <v>n/a</v>
      </c>
      <c r="W580" s="52" t="str">
        <f t="shared" si="255"/>
        <v/>
      </c>
      <c r="X580" s="52">
        <f>IFERROR(IF(AND(AR581=AR580,AM580&lt;&gt;""),INDEX('Aub Demand'!Q:Q,MATCH($O580,'Aub Demand'!$A:$A,0))-IF(AN580="",0,AN580)+AP581+AD580+AL580,IF(AR581=AR580,INDEX('Aub Demand'!Q:Q,MATCH($O580,'Aub Demand'!$A:$A,0))-IF(AN580="",0,AN580)+AP581+AD580,IF(AM580&lt;&gt;"",INDEX('Aub Demand'!Q:Q,MATCH($O580,'Aub Demand'!$A:$A,0))-IF(AN580="",0,AN580)+AD580+AL580,INDEX('Aub Demand'!Q:Q,MATCH($O580,'Aub Demand'!$A:$A,0))-IF(AN580="",0,AN580)+AD580))),"")</f>
        <v>793</v>
      </c>
      <c r="Y580" s="53" t="str">
        <f t="shared" si="256"/>
        <v>n/a</v>
      </c>
      <c r="Z580" s="52">
        <f>IF(L580="","",INDEX('Aub Demand'!H:H,MATCH($O580,'Aub Demand'!$A:$A,0)))</f>
        <v>0</v>
      </c>
      <c r="AA580" s="52" t="str">
        <f t="shared" si="257"/>
        <v>-spike-</v>
      </c>
      <c r="AB580" s="52">
        <f>IFERROR(INDEX('Aub Demand'!L:L,MATCH($O580,'Aub Demand'!$A:$A,0)),"")</f>
        <v>0</v>
      </c>
      <c r="AC580" s="52">
        <f>IFERROR(IF(O580="","",SUMIFS('CPL Mats'!F:F,'CPL Mats'!Q:Q,AR580,'CPL Mats'!S:S,AS580)),"")</f>
        <v>0</v>
      </c>
      <c r="AF580" s="25" t="str">
        <f>IF(SUMIFS('Supp Consol'!S:S,'Supp Consol'!Y:Y,"Releasable",'Supp Consol'!A:A,O580)=0,"",SUMIFS('Supp Consol'!S:S,'Supp Consol'!Y:Y,"Releasable",'Supp Consol'!A:A,O580))</f>
        <v/>
      </c>
      <c r="AG580" s="25">
        <f>IFERROR(INDEX('Hun Demand'!Q:Q,MATCH(O580,'Hun Demand'!A:A,0)),"")</f>
        <v>2507</v>
      </c>
      <c r="AH580" s="25">
        <f>IFERROR(INDEX('Hun Demand'!H:H,MATCH($O580,'Hun Demand'!$A:$A,0)),"")</f>
        <v>0</v>
      </c>
      <c r="AI580" s="25" t="str">
        <f>IF(SUMIFS('Supp Consol'!AA:AA,'Supp Consol'!Z:Z,"Expires this month",'Supp Consol'!A:A,O580)=0,"",SUMIFS('Supp Consol'!AA:AA,'Supp Consol'!Z:Z,"Expires this month",'Supp Consol'!A:A,O580))</f>
        <v/>
      </c>
      <c r="AJ580" s="25" t="str">
        <f>IF(SUMIFS('Supp Consol'!AA:AA,'Supp Consol'!Z:Z,"Expired Previous Months",'Supp Consol'!A:A,O580)=0,"",SUMIFS('Supp Consol'!AA:AA,'Supp Consol'!Z:Z,"Expired Previous Months",'Supp Consol'!A:A,O580))</f>
        <v/>
      </c>
      <c r="AK580" s="25" t="str">
        <f>IFERROR(INDEX('Hun Release Current'!B:B,MATCH(O580,'Hun Release Current'!A:A,0)),"")</f>
        <v/>
      </c>
      <c r="AL580" s="25" t="str">
        <f>IF(SUMIF('Prev Aub'!A:A,O580,'Prev Aub'!B:B)=0,"",SUMIF('Prev Aub'!A:A,O580,'Prev Aub'!B:B))</f>
        <v/>
      </c>
      <c r="AN580" s="25" t="s">
        <v>3790</v>
      </c>
      <c r="AO580" s="25" t="s">
        <v>3790</v>
      </c>
      <c r="AP580" s="25">
        <f t="shared" si="258"/>
        <v>0</v>
      </c>
      <c r="AQ580" s="151" t="str">
        <f>IF(SUMIFS('Supp Consol'!S:S,'Supp Consol'!A:A,O580,'Supp Consol'!I:I,"PENDING")=0,"",SUMIFS('Supp Consol'!S:S,'Supp Consol'!A:A,O580,'Supp Consol'!I:I,"PENDING"))</f>
        <v/>
      </c>
      <c r="AR580" s="27" t="str">
        <f t="shared" si="259"/>
        <v>HP445</v>
      </c>
      <c r="AS580" s="27" t="str">
        <f t="shared" si="260"/>
        <v>50</v>
      </c>
      <c r="AT580" s="27" t="str">
        <f t="shared" si="261"/>
        <v/>
      </c>
      <c r="AU580" s="27" t="str">
        <f t="shared" si="262"/>
        <v/>
      </c>
      <c r="AV580" s="27" t="str">
        <f t="shared" si="263"/>
        <v/>
      </c>
      <c r="AW580" s="27" t="str">
        <f t="shared" si="264"/>
        <v/>
      </c>
      <c r="AX580" s="27" t="str">
        <f t="shared" si="265"/>
        <v/>
      </c>
      <c r="AY580" s="27" t="str">
        <f t="shared" si="266"/>
        <v>HP445</v>
      </c>
      <c r="AZ580" s="27" t="str">
        <f t="shared" si="267"/>
        <v/>
      </c>
      <c r="BA580" s="27" t="str">
        <f t="shared" si="268"/>
        <v>Hun</v>
      </c>
      <c r="BB580" s="27" t="str">
        <f t="shared" si="269"/>
        <v/>
      </c>
      <c r="BC580" s="27" t="str">
        <f t="shared" si="270"/>
        <v/>
      </c>
      <c r="BD580" s="27" t="str">
        <f t="shared" si="271"/>
        <v/>
      </c>
      <c r="BE580" s="27" t="str">
        <f t="shared" si="272"/>
        <v/>
      </c>
      <c r="BF580" s="27" t="str">
        <f t="shared" si="273"/>
        <v/>
      </c>
      <c r="BG580" s="27" t="str">
        <f t="shared" si="274"/>
        <v/>
      </c>
      <c r="BH580" s="27" t="str">
        <f t="shared" si="275"/>
        <v/>
      </c>
      <c r="BI580" s="27" t="str">
        <f t="shared" si="276"/>
        <v/>
      </c>
      <c r="BJ580" s="27" t="str">
        <f t="shared" si="277"/>
        <v>Supp or Hun</v>
      </c>
      <c r="BK580" s="27" t="str">
        <f t="shared" si="278"/>
        <v/>
      </c>
      <c r="BL580" s="27" t="str">
        <f t="shared" si="279"/>
        <v/>
      </c>
      <c r="BM580" s="21" t="s">
        <v>3790</v>
      </c>
    </row>
    <row r="581" spans="1:65" ht="15">
      <c r="A581" s="25">
        <f>IFERROR(INDEX('Hun Demand'!W:W,MATCH(O581,'Hun Demand'!A:A,0)),"")</f>
        <v>0</v>
      </c>
      <c r="B581" s="25">
        <f>IFERROR(INDEX('Hun Demand'!V:V,MATCH(O581,'Hun Demand'!A:A,0)),"")</f>
        <v>0</v>
      </c>
      <c r="C581" s="25">
        <f>IFERROR(INDEX('Hun Demand'!U:U,MATCH(O581,'Hun Demand'!A:A,0)),"")</f>
        <v>0</v>
      </c>
      <c r="D581" s="25">
        <f>IFERROR(INDEX('Hun Demand'!T:T,MATCH(O581,'Hun Demand'!A:A,0)),"")</f>
        <v>0</v>
      </c>
      <c r="E581" s="25">
        <f>IFERROR(INDEX('Hun Demand'!S:S,MATCH(O581,'Hun Demand'!A:A,0)),"")</f>
        <v>0</v>
      </c>
      <c r="F581" s="25">
        <f>IFERROR(INDEX('Hun Demand'!R:R,MATCH(O581,'Hun Demand'!A:A,0)),"")</f>
        <v>0</v>
      </c>
      <c r="G581" s="25">
        <f>IFERROR(INDEX('Aub Demand'!W:W,MATCH(O581,'Aub Demand'!A:A,0)),"")</f>
        <v>0</v>
      </c>
      <c r="H581" s="25">
        <f>IFERROR(INDEX('Aub Demand'!V:V,MATCH(O581,'Aub Demand'!A:A,0)),"")</f>
        <v>0</v>
      </c>
      <c r="I581" s="25">
        <f>IFERROR(INDEX('Aub Demand'!U:U,MATCH(O581,'Aub Demand'!A:A,0)),"")</f>
        <v>0</v>
      </c>
      <c r="J581" s="25">
        <f>IFERROR(INDEX('Aub Demand'!T:T,MATCH(O581,'Aub Demand'!A:A,0)),"")</f>
        <v>0</v>
      </c>
      <c r="K581" s="25">
        <f>IFERROR(INDEX('Aub Demand'!S:S,MATCH(O581,'Aub Demand'!A:A,0)),"")</f>
        <v>0</v>
      </c>
      <c r="L581" s="25">
        <f>IFERROR(INDEX('Aub Demand'!R:R,MATCH(O581,'Aub Demand'!A:A,0)),"")</f>
        <v>0</v>
      </c>
      <c r="O581" s="27" t="s">
        <v>970</v>
      </c>
      <c r="P581" s="27" t="str">
        <f>IFERROR(INDEX('Aub Demand'!B:B,MATCH($O581,'Aub Demand'!$A:$A,0)),"")</f>
        <v>HP ALMOND</v>
      </c>
      <c r="Q581" s="27" t="str">
        <f>IFERROR(INDEX('Aub Demand'!C:C,MATCH($O581,'Aub Demand'!$A:$A,0)),"")</f>
        <v>TECHN</v>
      </c>
      <c r="R581" s="52">
        <f>IFERROR(IF(AR582=AR581,INDEX('Aub Demand'!K:K,MATCH($O581,'Aub Demand'!$A:$A,0))-IF(AN581="",0,AN581)+AP582,INDEX('Aub Demand'!K:K,MATCH($O581,'Aub Demand'!$A:$A,0))-IF(AN581="",0,AN581)),"")</f>
        <v>62</v>
      </c>
      <c r="S581" s="53" t="str">
        <f t="shared" si="252"/>
        <v>n/a</v>
      </c>
      <c r="T581" s="52" t="str">
        <f t="shared" si="253"/>
        <v/>
      </c>
      <c r="U581" s="52">
        <f>IFERROR(IF(AR582=AR581,INDEX('Aub Demand'!Q:Q,MATCH($O581,'Aub Demand'!$A:$A,0))-IF(AN581="",0,AN581)+AP582,INDEX('Aub Demand'!Q:Q,MATCH($O581,'Aub Demand'!$A:$A,0))-IF(AN581="",0,AN581)),"")</f>
        <v>62</v>
      </c>
      <c r="V581" s="53" t="str">
        <f t="shared" si="254"/>
        <v>n/a</v>
      </c>
      <c r="W581" s="52" t="str">
        <f t="shared" si="255"/>
        <v/>
      </c>
      <c r="X581" s="52">
        <f>IFERROR(IF(AND(AR582=AR581,AM581&lt;&gt;""),INDEX('Aub Demand'!Q:Q,MATCH($O581,'Aub Demand'!$A:$A,0))-IF(AN581="",0,AN581)+AP582+AD581+AL581,IF(AR582=AR581,INDEX('Aub Demand'!Q:Q,MATCH($O581,'Aub Demand'!$A:$A,0))-IF(AN581="",0,AN581)+AP582+AD581,IF(AM581&lt;&gt;"",INDEX('Aub Demand'!Q:Q,MATCH($O581,'Aub Demand'!$A:$A,0))-IF(AN581="",0,AN581)+AD581+AL581,INDEX('Aub Demand'!Q:Q,MATCH($O581,'Aub Demand'!$A:$A,0))-IF(AN581="",0,AN581)+AD581))),"")</f>
        <v>62</v>
      </c>
      <c r="Y581" s="53" t="str">
        <f t="shared" si="256"/>
        <v>n/a</v>
      </c>
      <c r="Z581" s="52">
        <f>IF(L581="","",INDEX('Aub Demand'!H:H,MATCH($O581,'Aub Demand'!$A:$A,0)))</f>
        <v>0</v>
      </c>
      <c r="AA581" s="52" t="str">
        <f t="shared" si="257"/>
        <v>-spike-</v>
      </c>
      <c r="AB581" s="52">
        <f>IFERROR(INDEX('Aub Demand'!L:L,MATCH($O581,'Aub Demand'!$A:$A,0)),"")</f>
        <v>0</v>
      </c>
      <c r="AC581" s="52">
        <f>IFERROR(IF(O581="","",SUMIFS('CPL Mats'!F:F,'CPL Mats'!Q:Q,AR581,'CPL Mats'!S:S,AS581)),"")</f>
        <v>0</v>
      </c>
      <c r="AF581" s="25" t="str">
        <f>IF(SUMIFS('Supp Consol'!S:S,'Supp Consol'!Y:Y,"Releasable",'Supp Consol'!A:A,O581)=0,"",SUMIFS('Supp Consol'!S:S,'Supp Consol'!Y:Y,"Releasable",'Supp Consol'!A:A,O581))</f>
        <v/>
      </c>
      <c r="AG581" s="25">
        <f>IFERROR(INDEX('Hun Demand'!Q:Q,MATCH(O581,'Hun Demand'!A:A,0)),"")</f>
        <v>1414</v>
      </c>
      <c r="AH581" s="25">
        <f>IFERROR(INDEX('Hun Demand'!H:H,MATCH($O581,'Hun Demand'!$A:$A,0)),"")</f>
        <v>0</v>
      </c>
      <c r="AI581" s="25" t="str">
        <f>IF(SUMIFS('Supp Consol'!AA:AA,'Supp Consol'!Z:Z,"Expires this month",'Supp Consol'!A:A,O581)=0,"",SUMIFS('Supp Consol'!AA:AA,'Supp Consol'!Z:Z,"Expires this month",'Supp Consol'!A:A,O581))</f>
        <v/>
      </c>
      <c r="AJ581" s="25" t="str">
        <f>IF(SUMIFS('Supp Consol'!AA:AA,'Supp Consol'!Z:Z,"Expired Previous Months",'Supp Consol'!A:A,O581)=0,"",SUMIFS('Supp Consol'!AA:AA,'Supp Consol'!Z:Z,"Expired Previous Months",'Supp Consol'!A:A,O581))</f>
        <v/>
      </c>
      <c r="AK581" s="25" t="str">
        <f>IFERROR(INDEX('Hun Release Current'!B:B,MATCH(O581,'Hun Release Current'!A:A,0)),"")</f>
        <v/>
      </c>
      <c r="AL581" s="25" t="str">
        <f>IF(SUMIF('Prev Aub'!A:A,O581,'Prev Aub'!B:B)=0,"",SUMIF('Prev Aub'!A:A,O581,'Prev Aub'!B:B))</f>
        <v/>
      </c>
      <c r="AN581" s="25" t="s">
        <v>3790</v>
      </c>
      <c r="AO581" s="25" t="s">
        <v>3790</v>
      </c>
      <c r="AP581" s="25">
        <f t="shared" si="258"/>
        <v>0</v>
      </c>
      <c r="AQ581" s="151" t="str">
        <f>IF(SUMIFS('Supp Consol'!S:S,'Supp Consol'!A:A,O581,'Supp Consol'!I:I,"PENDING")=0,"",SUMIFS('Supp Consol'!S:S,'Supp Consol'!A:A,O581,'Supp Consol'!I:I,"PENDING"))</f>
        <v/>
      </c>
      <c r="AR581" s="27" t="str">
        <f t="shared" si="259"/>
        <v>HP445</v>
      </c>
      <c r="AS581" s="27" t="str">
        <f t="shared" si="260"/>
        <v>62</v>
      </c>
      <c r="AT581" s="27" t="str">
        <f t="shared" si="261"/>
        <v/>
      </c>
      <c r="AU581" s="27" t="str">
        <f t="shared" si="262"/>
        <v/>
      </c>
      <c r="AV581" s="27" t="str">
        <f t="shared" si="263"/>
        <v/>
      </c>
      <c r="AW581" s="27" t="str">
        <f t="shared" si="264"/>
        <v/>
      </c>
      <c r="AX581" s="27" t="str">
        <f t="shared" si="265"/>
        <v/>
      </c>
      <c r="AY581" s="27" t="str">
        <f t="shared" si="266"/>
        <v>HP445</v>
      </c>
      <c r="AZ581" s="27" t="str">
        <f t="shared" si="267"/>
        <v/>
      </c>
      <c r="BA581" s="27" t="str">
        <f t="shared" si="268"/>
        <v>Hun</v>
      </c>
      <c r="BB581" s="27" t="str">
        <f t="shared" si="269"/>
        <v/>
      </c>
      <c r="BC581" s="27" t="str">
        <f t="shared" si="270"/>
        <v/>
      </c>
      <c r="BD581" s="27" t="str">
        <f t="shared" si="271"/>
        <v/>
      </c>
      <c r="BE581" s="27" t="str">
        <f t="shared" si="272"/>
        <v/>
      </c>
      <c r="BF581" s="27" t="str">
        <f t="shared" si="273"/>
        <v/>
      </c>
      <c r="BG581" s="27" t="str">
        <f t="shared" si="274"/>
        <v/>
      </c>
      <c r="BH581" s="27" t="str">
        <f t="shared" si="275"/>
        <v/>
      </c>
      <c r="BI581" s="27" t="str">
        <f t="shared" si="276"/>
        <v/>
      </c>
      <c r="BJ581" s="27" t="str">
        <f t="shared" si="277"/>
        <v>Supp or Hun</v>
      </c>
      <c r="BK581" s="27" t="str">
        <f t="shared" si="278"/>
        <v/>
      </c>
      <c r="BL581" s="27" t="str">
        <f t="shared" si="279"/>
        <v/>
      </c>
      <c r="BM581" s="21" t="s">
        <v>3790</v>
      </c>
    </row>
    <row r="582" spans="1:65" ht="15">
      <c r="A582" s="25">
        <f>IFERROR(INDEX('Hun Demand'!W:W,MATCH(O582,'Hun Demand'!A:A,0)),"")</f>
        <v>0</v>
      </c>
      <c r="B582" s="25">
        <f>IFERROR(INDEX('Hun Demand'!V:V,MATCH(O582,'Hun Demand'!A:A,0)),"")</f>
        <v>0</v>
      </c>
      <c r="C582" s="25">
        <f>IFERROR(INDEX('Hun Demand'!U:U,MATCH(O582,'Hun Demand'!A:A,0)),"")</f>
        <v>355</v>
      </c>
      <c r="D582" s="25">
        <f>IFERROR(INDEX('Hun Demand'!T:T,MATCH(O582,'Hun Demand'!A:A,0)),"")</f>
        <v>0</v>
      </c>
      <c r="E582" s="25">
        <f>IFERROR(INDEX('Hun Demand'!S:S,MATCH(O582,'Hun Demand'!A:A,0)),"")</f>
        <v>0</v>
      </c>
      <c r="F582" s="25">
        <f>IFERROR(INDEX('Hun Demand'!R:R,MATCH(O582,'Hun Demand'!A:A,0)),"")</f>
        <v>0</v>
      </c>
      <c r="G582" s="25">
        <f>IFERROR(INDEX('Aub Demand'!W:W,MATCH(O582,'Aub Demand'!A:A,0)),"")</f>
        <v>0</v>
      </c>
      <c r="H582" s="25">
        <f>IFERROR(INDEX('Aub Demand'!V:V,MATCH(O582,'Aub Demand'!A:A,0)),"")</f>
        <v>0</v>
      </c>
      <c r="I582" s="25">
        <f>IFERROR(INDEX('Aub Demand'!U:U,MATCH(O582,'Aub Demand'!A:A,0)),"")</f>
        <v>0</v>
      </c>
      <c r="J582" s="25">
        <f>IFERROR(INDEX('Aub Demand'!T:T,MATCH(O582,'Aub Demand'!A:A,0)),"")</f>
        <v>31</v>
      </c>
      <c r="K582" s="25">
        <f>IFERROR(INDEX('Aub Demand'!S:S,MATCH(O582,'Aub Demand'!A:A,0)),"")</f>
        <v>63</v>
      </c>
      <c r="L582" s="25">
        <f>IFERROR(INDEX('Aub Demand'!R:R,MATCH(O582,'Aub Demand'!A:A,0)),"")</f>
        <v>0</v>
      </c>
      <c r="O582" s="27" t="s">
        <v>971</v>
      </c>
      <c r="P582" s="27" t="str">
        <f>IFERROR(INDEX('Aub Demand'!B:B,MATCH($O582,'Aub Demand'!$A:$A,0)),"")</f>
        <v>PEPPERDUST (SOLID)</v>
      </c>
      <c r="Q582" s="27" t="str">
        <f>IFERROR(INDEX('Aub Demand'!C:C,MATCH($O582,'Aub Demand'!$A:$A,0)),"")</f>
        <v>AHLST</v>
      </c>
      <c r="R582" s="52">
        <f>IFERROR(IF(AR583=AR582,INDEX('Aub Demand'!K:K,MATCH($O582,'Aub Demand'!$A:$A,0))-IF(AN582="",0,AN582)+AP583,INDEX('Aub Demand'!K:K,MATCH($O582,'Aub Demand'!$A:$A,0))-IF(AN582="",0,AN582)),"")</f>
        <v>727</v>
      </c>
      <c r="S582" s="53">
        <f t="shared" si="252"/>
        <v>100.5</v>
      </c>
      <c r="T582" s="52" t="str">
        <f t="shared" si="253"/>
        <v/>
      </c>
      <c r="U582" s="52">
        <f>IFERROR(IF(AR583=AR582,INDEX('Aub Demand'!Q:Q,MATCH($O582,'Aub Demand'!$A:$A,0))-IF(AN582="",0,AN582)+AP583,INDEX('Aub Demand'!Q:Q,MATCH($O582,'Aub Demand'!$A:$A,0))-IF(AN582="",0,AN582)),"")</f>
        <v>719</v>
      </c>
      <c r="V582" s="53">
        <f t="shared" si="254"/>
        <v>99.4</v>
      </c>
      <c r="W582" s="52" t="str">
        <f t="shared" si="255"/>
        <v/>
      </c>
      <c r="X582" s="52">
        <f>IFERROR(IF(AND(AR583=AR582,AM582&lt;&gt;""),INDEX('Aub Demand'!Q:Q,MATCH($O582,'Aub Demand'!$A:$A,0))-IF(AN582="",0,AN582)+AP583+AD582+AL582,IF(AR583=AR582,INDEX('Aub Demand'!Q:Q,MATCH($O582,'Aub Demand'!$A:$A,0))-IF(AN582="",0,AN582)+AP583+AD582,IF(AM582&lt;&gt;"",INDEX('Aub Demand'!Q:Q,MATCH($O582,'Aub Demand'!$A:$A,0))-IF(AN582="",0,AN582)+AD582+AL582,INDEX('Aub Demand'!Q:Q,MATCH($O582,'Aub Demand'!$A:$A,0))-IF(AN582="",0,AN582)+AD582))),"")</f>
        <v>719</v>
      </c>
      <c r="Y582" s="53">
        <f t="shared" si="256"/>
        <v>99.4</v>
      </c>
      <c r="Z582" s="52">
        <f>IF(L582="","",INDEX('Aub Demand'!H:H,MATCH($O582,'Aub Demand'!$A:$A,0)))</f>
        <v>31</v>
      </c>
      <c r="AA582" s="52">
        <f t="shared" si="257"/>
        <v>47</v>
      </c>
      <c r="AB582" s="52">
        <f>IFERROR(INDEX('Aub Demand'!L:L,MATCH($O582,'Aub Demand'!$A:$A,0)),"")</f>
        <v>11</v>
      </c>
      <c r="AC582" s="52">
        <f>IFERROR(IF(O582="","",SUMIFS('CPL Mats'!F:F,'CPL Mats'!Q:Q,AR582,'CPL Mats'!S:S,AS582)),"")</f>
        <v>0</v>
      </c>
      <c r="AF582" s="25">
        <f>IF(SUMIFS('Supp Consol'!S:S,'Supp Consol'!Y:Y,"Releasable",'Supp Consol'!A:A,O582)=0,"",SUMIFS('Supp Consol'!S:S,'Supp Consol'!Y:Y,"Releasable",'Supp Consol'!A:A,O582))</f>
        <v>4068</v>
      </c>
      <c r="AG582" s="25">
        <f>IFERROR(INDEX('Hun Demand'!Q:Q,MATCH(O582,'Hun Demand'!A:A,0)),"")</f>
        <v>1862</v>
      </c>
      <c r="AH582" s="25">
        <f>IFERROR(INDEX('Hun Demand'!H:H,MATCH($O582,'Hun Demand'!$A:$A,0)),"")</f>
        <v>118</v>
      </c>
      <c r="AI582" s="25">
        <f>IF(SUMIFS('Supp Consol'!AA:AA,'Supp Consol'!Z:Z,"Expires this month",'Supp Consol'!A:A,O582)=0,"",SUMIFS('Supp Consol'!AA:AA,'Supp Consol'!Z:Z,"Expires this month",'Supp Consol'!A:A,O582))</f>
        <v>4068</v>
      </c>
      <c r="AJ582" s="25" t="str">
        <f>IF(SUMIFS('Supp Consol'!AA:AA,'Supp Consol'!Z:Z,"Expired Previous Months",'Supp Consol'!A:A,O582)=0,"",SUMIFS('Supp Consol'!AA:AA,'Supp Consol'!Z:Z,"Expired Previous Months",'Supp Consol'!A:A,O582))</f>
        <v/>
      </c>
      <c r="AK582" s="25" t="str">
        <f>IFERROR(INDEX('Hun Release Current'!B:B,MATCH(O582,'Hun Release Current'!A:A,0)),"")</f>
        <v/>
      </c>
      <c r="AL582" s="25" t="str">
        <f>IF(SUMIF('Prev Aub'!A:A,O582,'Prev Aub'!B:B)=0,"",SUMIF('Prev Aub'!A:A,O582,'Prev Aub'!B:B))</f>
        <v/>
      </c>
      <c r="AN582" s="25" t="s">
        <v>3790</v>
      </c>
      <c r="AO582" s="25" t="s">
        <v>3790</v>
      </c>
      <c r="AP582" s="25">
        <f t="shared" si="258"/>
        <v>0</v>
      </c>
      <c r="AQ582" s="151" t="str">
        <f>IF(SUMIFS('Supp Consol'!S:S,'Supp Consol'!A:A,O582,'Supp Consol'!I:I,"PENDING")=0,"",SUMIFS('Supp Consol'!S:S,'Supp Consol'!A:A,O582,'Supp Consol'!I:I,"PENDING"))</f>
        <v/>
      </c>
      <c r="AR582" s="27" t="str">
        <f t="shared" si="259"/>
        <v>HP451</v>
      </c>
      <c r="AS582" s="27" t="str">
        <f t="shared" si="260"/>
        <v>50</v>
      </c>
      <c r="AT582" s="27" t="str">
        <f t="shared" si="261"/>
        <v/>
      </c>
      <c r="AU582" s="27" t="str">
        <f t="shared" si="262"/>
        <v/>
      </c>
      <c r="AV582" s="27" t="str">
        <f t="shared" si="263"/>
        <v/>
      </c>
      <c r="AW582" s="27" t="str">
        <f t="shared" si="264"/>
        <v>HP451</v>
      </c>
      <c r="AX582" s="27" t="str">
        <f t="shared" si="265"/>
        <v>HP451</v>
      </c>
      <c r="AY582" s="27" t="str">
        <f t="shared" si="266"/>
        <v>HP451</v>
      </c>
      <c r="AZ582" s="27" t="str">
        <f t="shared" si="267"/>
        <v>Supp</v>
      </c>
      <c r="BA582" s="27" t="str">
        <f t="shared" si="268"/>
        <v>Hun</v>
      </c>
      <c r="BB582" s="27" t="str">
        <f t="shared" si="269"/>
        <v/>
      </c>
      <c r="BC582" s="27" t="str">
        <f t="shared" si="270"/>
        <v/>
      </c>
      <c r="BD582" s="27" t="str">
        <f t="shared" si="271"/>
        <v/>
      </c>
      <c r="BE582" s="27" t="str">
        <f t="shared" si="272"/>
        <v>Exp</v>
      </c>
      <c r="BF582" s="27" t="str">
        <f t="shared" si="273"/>
        <v/>
      </c>
      <c r="BG582" s="27" t="str">
        <f t="shared" si="274"/>
        <v>S+NorE</v>
      </c>
      <c r="BH582" s="27" t="str">
        <f t="shared" si="275"/>
        <v/>
      </c>
      <c r="BI582" s="27" t="str">
        <f t="shared" si="276"/>
        <v/>
      </c>
      <c r="BJ582" s="27" t="str">
        <f t="shared" si="277"/>
        <v>Supp or Hun</v>
      </c>
      <c r="BK582" s="27" t="str">
        <f t="shared" si="278"/>
        <v/>
      </c>
      <c r="BL582" s="27" t="str">
        <f t="shared" si="279"/>
        <v>SorHandNandE</v>
      </c>
      <c r="BM582" s="21" t="s">
        <v>5582</v>
      </c>
    </row>
    <row r="583" spans="1:65" ht="15">
      <c r="A583" s="25" t="str">
        <f>IFERROR(INDEX('Hun Demand'!W:W,MATCH(O583,'Hun Demand'!A:A,0)),"")</f>
        <v/>
      </c>
      <c r="B583" s="25" t="str">
        <f>IFERROR(INDEX('Hun Demand'!V:V,MATCH(O583,'Hun Demand'!A:A,0)),"")</f>
        <v/>
      </c>
      <c r="C583" s="25" t="str">
        <f>IFERROR(INDEX('Hun Demand'!U:U,MATCH(O583,'Hun Demand'!A:A,0)),"")</f>
        <v/>
      </c>
      <c r="D583" s="25" t="str">
        <f>IFERROR(INDEX('Hun Demand'!T:T,MATCH(O583,'Hun Demand'!A:A,0)),"")</f>
        <v/>
      </c>
      <c r="E583" s="25" t="str">
        <f>IFERROR(INDEX('Hun Demand'!S:S,MATCH(O583,'Hun Demand'!A:A,0)),"")</f>
        <v/>
      </c>
      <c r="F583" s="25" t="str">
        <f>IFERROR(INDEX('Hun Demand'!R:R,MATCH(O583,'Hun Demand'!A:A,0)),"")</f>
        <v/>
      </c>
      <c r="G583" s="25">
        <f>IFERROR(INDEX('Aub Demand'!W:W,MATCH(O583,'Aub Demand'!A:A,0)),"")</f>
        <v>0</v>
      </c>
      <c r="H583" s="25">
        <f>IFERROR(INDEX('Aub Demand'!V:V,MATCH(O583,'Aub Demand'!A:A,0)),"")</f>
        <v>0</v>
      </c>
      <c r="I583" s="25">
        <f>IFERROR(INDEX('Aub Demand'!U:U,MATCH(O583,'Aub Demand'!A:A,0)),"")</f>
        <v>0</v>
      </c>
      <c r="J583" s="25">
        <f>IFERROR(INDEX('Aub Demand'!T:T,MATCH(O583,'Aub Demand'!A:A,0)),"")</f>
        <v>0</v>
      </c>
      <c r="K583" s="25">
        <f>IFERROR(INDEX('Aub Demand'!S:S,MATCH(O583,'Aub Demand'!A:A,0)),"")</f>
        <v>0</v>
      </c>
      <c r="L583" s="25">
        <f>IFERROR(INDEX('Aub Demand'!R:R,MATCH(O583,'Aub Demand'!A:A,0)),"")</f>
        <v>0</v>
      </c>
      <c r="O583" s="27" t="s">
        <v>973</v>
      </c>
      <c r="P583" s="27" t="str">
        <f>IFERROR(INDEX('Aub Demand'!B:B,MATCH($O583,'Aub Demand'!$A:$A,0)),"")</f>
        <v>PEPPERDUST (SOLID)</v>
      </c>
      <c r="Q583" s="27" t="str">
        <f>IFERROR(INDEX('Aub Demand'!C:C,MATCH($O583,'Aub Demand'!$A:$A,0)),"")</f>
        <v>AHLST</v>
      </c>
      <c r="R583" s="52">
        <f>IFERROR(IF(AR584=AR583,INDEX('Aub Demand'!K:K,MATCH($O583,'Aub Demand'!$A:$A,0))-IF(AN583="",0,AN583)+AP584,INDEX('Aub Demand'!K:K,MATCH($O583,'Aub Demand'!$A:$A,0))-IF(AN583="",0,AN583)),"")</f>
        <v>1493</v>
      </c>
      <c r="S583" s="53" t="str">
        <f t="shared" si="252"/>
        <v>n/a</v>
      </c>
      <c r="T583" s="52" t="str">
        <f t="shared" si="253"/>
        <v/>
      </c>
      <c r="U583" s="52">
        <f>IFERROR(IF(AR584=AR583,INDEX('Aub Demand'!Q:Q,MATCH($O583,'Aub Demand'!$A:$A,0))-IF(AN583="",0,AN583)+AP584,INDEX('Aub Demand'!Q:Q,MATCH($O583,'Aub Demand'!$A:$A,0))-IF(AN583="",0,AN583)),"")</f>
        <v>1471</v>
      </c>
      <c r="V583" s="53" t="str">
        <f t="shared" si="254"/>
        <v>n/a</v>
      </c>
      <c r="W583" s="52" t="str">
        <f t="shared" si="255"/>
        <v/>
      </c>
      <c r="X583" s="52">
        <f>IFERROR(IF(AND(AR584=AR583,AM583&lt;&gt;""),INDEX('Aub Demand'!Q:Q,MATCH($O583,'Aub Demand'!$A:$A,0))-IF(AN583="",0,AN583)+AP584+AD583+AL583,IF(AR584=AR583,INDEX('Aub Demand'!Q:Q,MATCH($O583,'Aub Demand'!$A:$A,0))-IF(AN583="",0,AN583)+AP584+AD583,IF(AM583&lt;&gt;"",INDEX('Aub Demand'!Q:Q,MATCH($O583,'Aub Demand'!$A:$A,0))-IF(AN583="",0,AN583)+AD583+AL583,INDEX('Aub Demand'!Q:Q,MATCH($O583,'Aub Demand'!$A:$A,0))-IF(AN583="",0,AN583)+AD583))),"")</f>
        <v>1471</v>
      </c>
      <c r="Y583" s="53" t="str">
        <f t="shared" si="256"/>
        <v>n/a</v>
      </c>
      <c r="Z583" s="52">
        <f>IF(L583="","",INDEX('Aub Demand'!H:H,MATCH($O583,'Aub Demand'!$A:$A,0)))</f>
        <v>0</v>
      </c>
      <c r="AA583" s="52" t="str">
        <f t="shared" si="257"/>
        <v>-spike-</v>
      </c>
      <c r="AB583" s="52">
        <f>IFERROR(INDEX('Aub Demand'!L:L,MATCH($O583,'Aub Demand'!$A:$A,0)),"")</f>
        <v>12</v>
      </c>
      <c r="AC583" s="52">
        <f>IFERROR(IF(O583="","",SUMIFS('CPL Mats'!F:F,'CPL Mats'!Q:Q,AR583,'CPL Mats'!S:S,AS583)),"")</f>
        <v>0</v>
      </c>
      <c r="AF583" s="25" t="str">
        <f>IF(SUMIFS('Supp Consol'!S:S,'Supp Consol'!Y:Y,"Releasable",'Supp Consol'!A:A,O583)=0,"",SUMIFS('Supp Consol'!S:S,'Supp Consol'!Y:Y,"Releasable",'Supp Consol'!A:A,O583))</f>
        <v/>
      </c>
      <c r="AG583" s="25" t="str">
        <f>IFERROR(INDEX('Hun Demand'!Q:Q,MATCH(O583,'Hun Demand'!A:A,0)),"")</f>
        <v/>
      </c>
      <c r="AH583" s="25" t="str">
        <f>IFERROR(INDEX('Hun Demand'!H:H,MATCH($O583,'Hun Demand'!$A:$A,0)),"")</f>
        <v/>
      </c>
      <c r="AI583" s="25" t="str">
        <f>IF(SUMIFS('Supp Consol'!AA:AA,'Supp Consol'!Z:Z,"Expires this month",'Supp Consol'!A:A,O583)=0,"",SUMIFS('Supp Consol'!AA:AA,'Supp Consol'!Z:Z,"Expires this month",'Supp Consol'!A:A,O583))</f>
        <v/>
      </c>
      <c r="AJ583" s="25" t="str">
        <f>IF(SUMIFS('Supp Consol'!AA:AA,'Supp Consol'!Z:Z,"Expired Previous Months",'Supp Consol'!A:A,O583)=0,"",SUMIFS('Supp Consol'!AA:AA,'Supp Consol'!Z:Z,"Expired Previous Months",'Supp Consol'!A:A,O583))</f>
        <v/>
      </c>
      <c r="AK583" s="25" t="str">
        <f>IFERROR(INDEX('Hun Release Current'!B:B,MATCH(O583,'Hun Release Current'!A:A,0)),"")</f>
        <v/>
      </c>
      <c r="AL583" s="25" t="str">
        <f>IF(SUMIF('Prev Aub'!A:A,O583,'Prev Aub'!B:B)=0,"",SUMIF('Prev Aub'!A:A,O583,'Prev Aub'!B:B))</f>
        <v/>
      </c>
      <c r="AN583" s="25" t="s">
        <v>3790</v>
      </c>
      <c r="AO583" s="25" t="s">
        <v>3790</v>
      </c>
      <c r="AP583" s="25">
        <f t="shared" si="258"/>
        <v>0</v>
      </c>
      <c r="AQ583" s="151" t="str">
        <f>IF(SUMIFS('Supp Consol'!S:S,'Supp Consol'!A:A,O583,'Supp Consol'!I:I,"PENDING")=0,"",SUMIFS('Supp Consol'!S:S,'Supp Consol'!A:A,O583,'Supp Consol'!I:I,"PENDING"))</f>
        <v/>
      </c>
      <c r="AR583" s="27" t="str">
        <f t="shared" si="259"/>
        <v>HP451</v>
      </c>
      <c r="AS583" s="27" t="str">
        <f t="shared" si="260"/>
        <v>62</v>
      </c>
      <c r="AT583" s="27" t="str">
        <f t="shared" si="261"/>
        <v/>
      </c>
      <c r="AU583" s="27" t="str">
        <f t="shared" si="262"/>
        <v/>
      </c>
      <c r="AV583" s="27" t="str">
        <f t="shared" si="263"/>
        <v/>
      </c>
      <c r="AW583" s="27" t="str">
        <f t="shared" si="264"/>
        <v/>
      </c>
      <c r="AX583" s="27" t="str">
        <f t="shared" si="265"/>
        <v/>
      </c>
      <c r="AY583" s="27" t="str">
        <f t="shared" si="266"/>
        <v/>
      </c>
      <c r="AZ583" s="27" t="str">
        <f t="shared" si="267"/>
        <v>Supp</v>
      </c>
      <c r="BA583" s="27" t="str">
        <f t="shared" si="268"/>
        <v>Hun</v>
      </c>
      <c r="BB583" s="27" t="str">
        <f t="shared" si="269"/>
        <v/>
      </c>
      <c r="BC583" s="27" t="str">
        <f t="shared" si="270"/>
        <v/>
      </c>
      <c r="BD583" s="27" t="str">
        <f t="shared" si="271"/>
        <v/>
      </c>
      <c r="BE583" s="27" t="str">
        <f t="shared" si="272"/>
        <v>Exp</v>
      </c>
      <c r="BF583" s="27" t="str">
        <f t="shared" si="273"/>
        <v/>
      </c>
      <c r="BG583" s="27" t="str">
        <f t="shared" si="274"/>
        <v>S+NorE</v>
      </c>
      <c r="BH583" s="27" t="str">
        <f t="shared" si="275"/>
        <v/>
      </c>
      <c r="BI583" s="27" t="str">
        <f t="shared" si="276"/>
        <v/>
      </c>
      <c r="BJ583" s="27" t="str">
        <f t="shared" si="277"/>
        <v>Supp or Hun</v>
      </c>
      <c r="BK583" s="27" t="str">
        <f t="shared" si="278"/>
        <v/>
      </c>
      <c r="BL583" s="27" t="str">
        <f t="shared" si="279"/>
        <v>SorHandNandE</v>
      </c>
      <c r="BM583" s="21" t="s">
        <v>5582</v>
      </c>
    </row>
    <row r="584" spans="1:65" ht="15">
      <c r="A584" s="25">
        <f>IFERROR(INDEX('Hun Demand'!W:W,MATCH(O584,'Hun Demand'!A:A,0)),"")</f>
        <v>1129</v>
      </c>
      <c r="B584" s="25">
        <f>IFERROR(INDEX('Hun Demand'!V:V,MATCH(O584,'Hun Demand'!A:A,0)),"")</f>
        <v>414</v>
      </c>
      <c r="C584" s="25">
        <f>IFERROR(INDEX('Hun Demand'!U:U,MATCH(O584,'Hun Demand'!A:A,0)),"")</f>
        <v>0</v>
      </c>
      <c r="D584" s="25">
        <f>IFERROR(INDEX('Hun Demand'!T:T,MATCH(O584,'Hun Demand'!A:A,0)),"")</f>
        <v>190</v>
      </c>
      <c r="E584" s="25">
        <f>IFERROR(INDEX('Hun Demand'!S:S,MATCH(O584,'Hun Demand'!A:A,0)),"")</f>
        <v>0</v>
      </c>
      <c r="F584" s="25">
        <f>IFERROR(INDEX('Hun Demand'!R:R,MATCH(O584,'Hun Demand'!A:A,0)),"")</f>
        <v>0</v>
      </c>
      <c r="G584" s="25">
        <f>IFERROR(INDEX('Aub Demand'!W:W,MATCH(O584,'Aub Demand'!A:A,0)),"")</f>
        <v>0</v>
      </c>
      <c r="H584" s="25">
        <f>IFERROR(INDEX('Aub Demand'!V:V,MATCH(O584,'Aub Demand'!A:A,0)),"")</f>
        <v>0</v>
      </c>
      <c r="I584" s="25">
        <f>IFERROR(INDEX('Aub Demand'!U:U,MATCH(O584,'Aub Demand'!A:A,0)),"")</f>
        <v>0</v>
      </c>
      <c r="J584" s="25">
        <f>IFERROR(INDEX('Aub Demand'!T:T,MATCH(O584,'Aub Demand'!A:A,0)),"")</f>
        <v>0</v>
      </c>
      <c r="K584" s="25">
        <f>IFERROR(INDEX('Aub Demand'!S:S,MATCH(O584,'Aub Demand'!A:A,0)),"")</f>
        <v>0</v>
      </c>
      <c r="L584" s="25">
        <f>IFERROR(INDEX('Aub Demand'!R:R,MATCH(O584,'Aub Demand'!A:A,0)),"")</f>
        <v>0</v>
      </c>
      <c r="O584" s="27" t="s">
        <v>974</v>
      </c>
      <c r="P584" s="27" t="str">
        <f>IFERROR(INDEX('Aub Demand'!B:B,MATCH($O584,'Aub Demand'!$A:$A,0)),"")</f>
        <v>ANTIQUE WHITE (SOLID</v>
      </c>
      <c r="Q584" s="27" t="str">
        <f>IFERROR(INDEX('Aub Demand'!C:C,MATCH($O584,'Aub Demand'!$A:$A,0)),"")</f>
        <v>ONYX</v>
      </c>
      <c r="R584" s="52">
        <f>IFERROR(IF(AR585=AR584,INDEX('Aub Demand'!K:K,MATCH($O584,'Aub Demand'!$A:$A,0))-IF(AN584="",0,AN584)+AP585,INDEX('Aub Demand'!K:K,MATCH($O584,'Aub Demand'!$A:$A,0))-IF(AN584="",0,AN584)),"")</f>
        <v>228</v>
      </c>
      <c r="S584" s="53" t="str">
        <f t="shared" si="252"/>
        <v>n/a</v>
      </c>
      <c r="T584" s="52" t="str">
        <f t="shared" si="253"/>
        <v/>
      </c>
      <c r="U584" s="52">
        <f>IFERROR(IF(AR585=AR584,INDEX('Aub Demand'!Q:Q,MATCH($O584,'Aub Demand'!$A:$A,0))-IF(AN584="",0,AN584)+AP585,INDEX('Aub Demand'!Q:Q,MATCH($O584,'Aub Demand'!$A:$A,0))-IF(AN584="",0,AN584)),"")</f>
        <v>228</v>
      </c>
      <c r="V584" s="53" t="str">
        <f t="shared" si="254"/>
        <v>n/a</v>
      </c>
      <c r="W584" s="52" t="str">
        <f t="shared" si="255"/>
        <v/>
      </c>
      <c r="X584" s="52">
        <f>IFERROR(IF(AND(AR585=AR584,AM584&lt;&gt;""),INDEX('Aub Demand'!Q:Q,MATCH($O584,'Aub Demand'!$A:$A,0))-IF(AN584="",0,AN584)+AP585+AD584+AL584,IF(AR585=AR584,INDEX('Aub Demand'!Q:Q,MATCH($O584,'Aub Demand'!$A:$A,0))-IF(AN584="",0,AN584)+AP585+AD584,IF(AM584&lt;&gt;"",INDEX('Aub Demand'!Q:Q,MATCH($O584,'Aub Demand'!$A:$A,0))-IF(AN584="",0,AN584)+AD584+AL584,INDEX('Aub Demand'!Q:Q,MATCH($O584,'Aub Demand'!$A:$A,0))-IF(AN584="",0,AN584)+AD584))),"")</f>
        <v>228</v>
      </c>
      <c r="Y584" s="53" t="str">
        <f t="shared" si="256"/>
        <v>n/a</v>
      </c>
      <c r="Z584" s="52">
        <f>IF(L584="","",INDEX('Aub Demand'!H:H,MATCH($O584,'Aub Demand'!$A:$A,0)))</f>
        <v>0</v>
      </c>
      <c r="AA584" s="52" t="str">
        <f t="shared" si="257"/>
        <v>-spike-</v>
      </c>
      <c r="AB584" s="52">
        <f>IFERROR(INDEX('Aub Demand'!L:L,MATCH($O584,'Aub Demand'!$A:$A,0)),"")</f>
        <v>0</v>
      </c>
      <c r="AC584" s="52">
        <f>IFERROR(IF(O584="","",SUMIFS('CPL Mats'!F:F,'CPL Mats'!Q:Q,AR584,'CPL Mats'!S:S,AS584)),"")</f>
        <v>0</v>
      </c>
      <c r="AF584" s="25" t="str">
        <f>IF(SUMIFS('Supp Consol'!S:S,'Supp Consol'!Y:Y,"Releasable",'Supp Consol'!A:A,O584)=0,"",SUMIFS('Supp Consol'!S:S,'Supp Consol'!Y:Y,"Releasable",'Supp Consol'!A:A,O584))</f>
        <v/>
      </c>
      <c r="AG584" s="25">
        <f>IFERROR(INDEX('Hun Demand'!Q:Q,MATCH(O584,'Hun Demand'!A:A,0)),"")</f>
        <v>1063</v>
      </c>
      <c r="AH584" s="25">
        <f>IFERROR(INDEX('Hun Demand'!H:H,MATCH($O584,'Hun Demand'!$A:$A,0)),"")</f>
        <v>63</v>
      </c>
      <c r="AI584" s="25" t="str">
        <f>IF(SUMIFS('Supp Consol'!AA:AA,'Supp Consol'!Z:Z,"Expires this month",'Supp Consol'!A:A,O584)=0,"",SUMIFS('Supp Consol'!AA:AA,'Supp Consol'!Z:Z,"Expires this month",'Supp Consol'!A:A,O584))</f>
        <v/>
      </c>
      <c r="AJ584" s="25" t="str">
        <f>IF(SUMIFS('Supp Consol'!AA:AA,'Supp Consol'!Z:Z,"Expired Previous Months",'Supp Consol'!A:A,O584)=0,"",SUMIFS('Supp Consol'!AA:AA,'Supp Consol'!Z:Z,"Expired Previous Months",'Supp Consol'!A:A,O584))</f>
        <v/>
      </c>
      <c r="AK584" s="25" t="str">
        <f>IFERROR(INDEX('Hun Release Current'!B:B,MATCH(O584,'Hun Release Current'!A:A,0)),"")</f>
        <v/>
      </c>
      <c r="AL584" s="25" t="str">
        <f>IF(SUMIF('Prev Aub'!A:A,O584,'Prev Aub'!B:B)=0,"",SUMIF('Prev Aub'!A:A,O584,'Prev Aub'!B:B))</f>
        <v/>
      </c>
      <c r="AN584" s="25" t="s">
        <v>3790</v>
      </c>
      <c r="AO584" s="25" t="s">
        <v>3790</v>
      </c>
      <c r="AP584" s="25">
        <f t="shared" si="258"/>
        <v>0</v>
      </c>
      <c r="AQ584" s="151" t="str">
        <f>IF(SUMIFS('Supp Consol'!S:S,'Supp Consol'!A:A,O584,'Supp Consol'!I:I,"PENDING")=0,"",SUMIFS('Supp Consol'!S:S,'Supp Consol'!A:A,O584,'Supp Consol'!I:I,"PENDING"))</f>
        <v/>
      </c>
      <c r="AR584" s="27" t="str">
        <f t="shared" si="259"/>
        <v>HP463</v>
      </c>
      <c r="AS584" s="27" t="str">
        <f t="shared" si="260"/>
        <v>50</v>
      </c>
      <c r="AT584" s="27" t="str">
        <f t="shared" si="261"/>
        <v/>
      </c>
      <c r="AU584" s="27" t="str">
        <f t="shared" si="262"/>
        <v/>
      </c>
      <c r="AV584" s="27" t="str">
        <f t="shared" si="263"/>
        <v/>
      </c>
      <c r="AW584" s="27" t="str">
        <f t="shared" si="264"/>
        <v/>
      </c>
      <c r="AX584" s="27" t="str">
        <f t="shared" si="265"/>
        <v/>
      </c>
      <c r="AY584" s="27" t="str">
        <f t="shared" si="266"/>
        <v>HP463</v>
      </c>
      <c r="AZ584" s="27" t="str">
        <f t="shared" si="267"/>
        <v/>
      </c>
      <c r="BA584" s="27" t="str">
        <f t="shared" si="268"/>
        <v>Hun</v>
      </c>
      <c r="BB584" s="27" t="str">
        <f t="shared" si="269"/>
        <v/>
      </c>
      <c r="BC584" s="27" t="str">
        <f t="shared" si="270"/>
        <v/>
      </c>
      <c r="BD584" s="27" t="str">
        <f t="shared" si="271"/>
        <v/>
      </c>
      <c r="BE584" s="27" t="str">
        <f t="shared" si="272"/>
        <v/>
      </c>
      <c r="BF584" s="27" t="str">
        <f t="shared" si="273"/>
        <v/>
      </c>
      <c r="BG584" s="27" t="str">
        <f t="shared" si="274"/>
        <v/>
      </c>
      <c r="BH584" s="27" t="str">
        <f t="shared" si="275"/>
        <v/>
      </c>
      <c r="BI584" s="27" t="str">
        <f t="shared" si="276"/>
        <v/>
      </c>
      <c r="BJ584" s="27" t="str">
        <f t="shared" si="277"/>
        <v>Supp or Hun</v>
      </c>
      <c r="BK584" s="27" t="str">
        <f t="shared" si="278"/>
        <v/>
      </c>
      <c r="BL584" s="27" t="str">
        <f t="shared" si="279"/>
        <v/>
      </c>
      <c r="BM584" s="21" t="s">
        <v>5582</v>
      </c>
    </row>
    <row r="585" spans="1:65" ht="15">
      <c r="A585" s="25">
        <f>IFERROR(INDEX('Hun Demand'!W:W,MATCH(O585,'Hun Demand'!A:A,0)),"")</f>
        <v>255</v>
      </c>
      <c r="B585" s="25">
        <f>IFERROR(INDEX('Hun Demand'!V:V,MATCH(O585,'Hun Demand'!A:A,0)),"")</f>
        <v>0</v>
      </c>
      <c r="C585" s="25">
        <f>IFERROR(INDEX('Hun Demand'!U:U,MATCH(O585,'Hun Demand'!A:A,0)),"")</f>
        <v>0</v>
      </c>
      <c r="D585" s="25">
        <f>IFERROR(INDEX('Hun Demand'!T:T,MATCH(O585,'Hun Demand'!A:A,0)),"")</f>
        <v>0</v>
      </c>
      <c r="E585" s="25">
        <f>IFERROR(INDEX('Hun Demand'!S:S,MATCH(O585,'Hun Demand'!A:A,0)),"")</f>
        <v>326</v>
      </c>
      <c r="F585" s="25">
        <f>IFERROR(INDEX('Hun Demand'!R:R,MATCH(O585,'Hun Demand'!A:A,0)),"")</f>
        <v>0</v>
      </c>
      <c r="G585" s="25">
        <f>IFERROR(INDEX('Aub Demand'!W:W,MATCH(O585,'Aub Demand'!A:A,0)),"")</f>
        <v>0</v>
      </c>
      <c r="H585" s="25">
        <f>IFERROR(INDEX('Aub Demand'!V:V,MATCH(O585,'Aub Demand'!A:A,0)),"")</f>
        <v>0</v>
      </c>
      <c r="I585" s="25">
        <f>IFERROR(INDEX('Aub Demand'!U:U,MATCH(O585,'Aub Demand'!A:A,0)),"")</f>
        <v>0</v>
      </c>
      <c r="J585" s="25">
        <f>IFERROR(INDEX('Aub Demand'!T:T,MATCH(O585,'Aub Demand'!A:A,0)),"")</f>
        <v>0</v>
      </c>
      <c r="K585" s="25">
        <f>IFERROR(INDEX('Aub Demand'!S:S,MATCH(O585,'Aub Demand'!A:A,0)),"")</f>
        <v>0</v>
      </c>
      <c r="L585" s="25">
        <f>IFERROR(INDEX('Aub Demand'!R:R,MATCH(O585,'Aub Demand'!A:A,0)),"")</f>
        <v>0</v>
      </c>
      <c r="O585" s="27" t="s">
        <v>977</v>
      </c>
      <c r="P585" s="27" t="str">
        <f>IFERROR(INDEX('Aub Demand'!B:B,MATCH($O585,'Aub Demand'!$A:$A,0)),"")</f>
        <v>ANTIQUE WHITE (SOLID</v>
      </c>
      <c r="Q585" s="27" t="str">
        <f>IFERROR(INDEX('Aub Demand'!C:C,MATCH($O585,'Aub Demand'!$A:$A,0)),"")</f>
        <v>ONYX</v>
      </c>
      <c r="R585" s="52">
        <f>IFERROR(IF(AR586=AR585,INDEX('Aub Demand'!K:K,MATCH($O585,'Aub Demand'!$A:$A,0))-IF(AN585="",0,AN585)+AP586,INDEX('Aub Demand'!K:K,MATCH($O585,'Aub Demand'!$A:$A,0))-IF(AN585="",0,AN585)),"")</f>
        <v>743</v>
      </c>
      <c r="S585" s="53" t="str">
        <f t="shared" si="252"/>
        <v>n/a</v>
      </c>
      <c r="T585" s="52" t="str">
        <f t="shared" si="253"/>
        <v/>
      </c>
      <c r="U585" s="52">
        <f>IFERROR(IF(AR586=AR585,INDEX('Aub Demand'!Q:Q,MATCH($O585,'Aub Demand'!$A:$A,0))-IF(AN585="",0,AN585)+AP586,INDEX('Aub Demand'!Q:Q,MATCH($O585,'Aub Demand'!$A:$A,0))-IF(AN585="",0,AN585)),"")</f>
        <v>743</v>
      </c>
      <c r="V585" s="53" t="str">
        <f t="shared" si="254"/>
        <v>n/a</v>
      </c>
      <c r="W585" s="52" t="str">
        <f t="shared" si="255"/>
        <v/>
      </c>
      <c r="X585" s="52">
        <f>IFERROR(IF(AND(AR586=AR585,AM585&lt;&gt;""),INDEX('Aub Demand'!Q:Q,MATCH($O585,'Aub Demand'!$A:$A,0))-IF(AN585="",0,AN585)+AP586+AD585+AL585,IF(AR586=AR585,INDEX('Aub Demand'!Q:Q,MATCH($O585,'Aub Demand'!$A:$A,0))-IF(AN585="",0,AN585)+AP586+AD585,IF(AM585&lt;&gt;"",INDEX('Aub Demand'!Q:Q,MATCH($O585,'Aub Demand'!$A:$A,0))-IF(AN585="",0,AN585)+AD585+AL585,INDEX('Aub Demand'!Q:Q,MATCH($O585,'Aub Demand'!$A:$A,0))-IF(AN585="",0,AN585)+AD585))),"")</f>
        <v>743</v>
      </c>
      <c r="Y585" s="53" t="str">
        <f t="shared" si="256"/>
        <v>n/a</v>
      </c>
      <c r="Z585" s="52">
        <f>IF(L585="","",INDEX('Aub Demand'!H:H,MATCH($O585,'Aub Demand'!$A:$A,0)))</f>
        <v>0</v>
      </c>
      <c r="AA585" s="52" t="str">
        <f t="shared" si="257"/>
        <v>-spike-</v>
      </c>
      <c r="AB585" s="52">
        <f>IFERROR(INDEX('Aub Demand'!L:L,MATCH($O585,'Aub Demand'!$A:$A,0)),"")</f>
        <v>0</v>
      </c>
      <c r="AC585" s="52">
        <f>IFERROR(IF(O585="","",SUMIFS('CPL Mats'!F:F,'CPL Mats'!Q:Q,AR585,'CPL Mats'!S:S,AS585)),"")</f>
        <v>0</v>
      </c>
      <c r="AF585" s="25" t="str">
        <f>IF(SUMIFS('Supp Consol'!S:S,'Supp Consol'!Y:Y,"Releasable",'Supp Consol'!A:A,O585)=0,"",SUMIFS('Supp Consol'!S:S,'Supp Consol'!Y:Y,"Releasable",'Supp Consol'!A:A,O585))</f>
        <v/>
      </c>
      <c r="AG585" s="25">
        <f>IFERROR(INDEX('Hun Demand'!Q:Q,MATCH(O585,'Hun Demand'!A:A,0)),"")</f>
        <v>837</v>
      </c>
      <c r="AH585" s="25">
        <f>IFERROR(INDEX('Hun Demand'!H:H,MATCH($O585,'Hun Demand'!$A:$A,0)),"")</f>
        <v>109</v>
      </c>
      <c r="AI585" s="25" t="str">
        <f>IF(SUMIFS('Supp Consol'!AA:AA,'Supp Consol'!Z:Z,"Expires this month",'Supp Consol'!A:A,O585)=0,"",SUMIFS('Supp Consol'!AA:AA,'Supp Consol'!Z:Z,"Expires this month",'Supp Consol'!A:A,O585))</f>
        <v/>
      </c>
      <c r="AJ585" s="25" t="str">
        <f>IF(SUMIFS('Supp Consol'!AA:AA,'Supp Consol'!Z:Z,"Expired Previous Months",'Supp Consol'!A:A,O585)=0,"",SUMIFS('Supp Consol'!AA:AA,'Supp Consol'!Z:Z,"Expired Previous Months",'Supp Consol'!A:A,O585))</f>
        <v/>
      </c>
      <c r="AK585" s="25" t="str">
        <f>IFERROR(INDEX('Hun Release Current'!B:B,MATCH(O585,'Hun Release Current'!A:A,0)),"")</f>
        <v/>
      </c>
      <c r="AL585" s="25" t="str">
        <f>IF(SUMIF('Prev Aub'!A:A,O585,'Prev Aub'!B:B)=0,"",SUMIF('Prev Aub'!A:A,O585,'Prev Aub'!B:B))</f>
        <v/>
      </c>
      <c r="AN585" s="25" t="s">
        <v>3790</v>
      </c>
      <c r="AO585" s="25" t="s">
        <v>3790</v>
      </c>
      <c r="AP585" s="25">
        <f t="shared" si="258"/>
        <v>0</v>
      </c>
      <c r="AQ585" s="151" t="str">
        <f>IF(SUMIFS('Supp Consol'!S:S,'Supp Consol'!A:A,O585,'Supp Consol'!I:I,"PENDING")=0,"",SUMIFS('Supp Consol'!S:S,'Supp Consol'!A:A,O585,'Supp Consol'!I:I,"PENDING"))</f>
        <v/>
      </c>
      <c r="AR585" s="27" t="str">
        <f t="shared" si="259"/>
        <v>HP463</v>
      </c>
      <c r="AS585" s="27" t="str">
        <f t="shared" si="260"/>
        <v>62</v>
      </c>
      <c r="AT585" s="27" t="str">
        <f t="shared" si="261"/>
        <v/>
      </c>
      <c r="AU585" s="27" t="str">
        <f t="shared" si="262"/>
        <v/>
      </c>
      <c r="AV585" s="27" t="str">
        <f t="shared" si="263"/>
        <v/>
      </c>
      <c r="AW585" s="27" t="str">
        <f t="shared" si="264"/>
        <v/>
      </c>
      <c r="AX585" s="27" t="str">
        <f t="shared" si="265"/>
        <v/>
      </c>
      <c r="AY585" s="27" t="str">
        <f t="shared" si="266"/>
        <v>HP463</v>
      </c>
      <c r="AZ585" s="27" t="str">
        <f t="shared" si="267"/>
        <v/>
      </c>
      <c r="BA585" s="27" t="str">
        <f t="shared" si="268"/>
        <v>Hun</v>
      </c>
      <c r="BB585" s="27" t="str">
        <f t="shared" si="269"/>
        <v/>
      </c>
      <c r="BC585" s="27" t="str">
        <f t="shared" si="270"/>
        <v/>
      </c>
      <c r="BD585" s="27" t="str">
        <f t="shared" si="271"/>
        <v/>
      </c>
      <c r="BE585" s="27" t="str">
        <f t="shared" si="272"/>
        <v/>
      </c>
      <c r="BF585" s="27" t="str">
        <f t="shared" si="273"/>
        <v/>
      </c>
      <c r="BG585" s="27" t="str">
        <f t="shared" si="274"/>
        <v/>
      </c>
      <c r="BH585" s="27" t="str">
        <f t="shared" si="275"/>
        <v/>
      </c>
      <c r="BI585" s="27" t="str">
        <f t="shared" si="276"/>
        <v/>
      </c>
      <c r="BJ585" s="27" t="str">
        <f t="shared" si="277"/>
        <v>Supp or Hun</v>
      </c>
      <c r="BK585" s="27" t="str">
        <f t="shared" si="278"/>
        <v/>
      </c>
      <c r="BL585" s="27" t="str">
        <f t="shared" si="279"/>
        <v/>
      </c>
      <c r="BM585" s="21" t="s">
        <v>5582</v>
      </c>
    </row>
    <row r="586" spans="1:65" ht="15">
      <c r="A586" s="25" t="str">
        <f>IFERROR(INDEX('Hun Demand'!W:W,MATCH(O586,'Hun Demand'!A:A,0)),"")</f>
        <v/>
      </c>
      <c r="B586" s="25" t="str">
        <f>IFERROR(INDEX('Hun Demand'!V:V,MATCH(O586,'Hun Demand'!A:A,0)),"")</f>
        <v/>
      </c>
      <c r="C586" s="25" t="str">
        <f>IFERROR(INDEX('Hun Demand'!U:U,MATCH(O586,'Hun Demand'!A:A,0)),"")</f>
        <v/>
      </c>
      <c r="D586" s="25" t="str">
        <f>IFERROR(INDEX('Hun Demand'!T:T,MATCH(O586,'Hun Demand'!A:A,0)),"")</f>
        <v/>
      </c>
      <c r="E586" s="25" t="str">
        <f>IFERROR(INDEX('Hun Demand'!S:S,MATCH(O586,'Hun Demand'!A:A,0)),"")</f>
        <v/>
      </c>
      <c r="F586" s="25" t="str">
        <f>IFERROR(INDEX('Hun Demand'!R:R,MATCH(O586,'Hun Demand'!A:A,0)),"")</f>
        <v/>
      </c>
      <c r="G586" s="25">
        <f>IFERROR(INDEX('Aub Demand'!W:W,MATCH(O586,'Aub Demand'!A:A,0)),"")</f>
        <v>0</v>
      </c>
      <c r="H586" s="25">
        <f>IFERROR(INDEX('Aub Demand'!V:V,MATCH(O586,'Aub Demand'!A:A,0)),"")</f>
        <v>0</v>
      </c>
      <c r="I586" s="25">
        <f>IFERROR(INDEX('Aub Demand'!U:U,MATCH(O586,'Aub Demand'!A:A,0)),"")</f>
        <v>0</v>
      </c>
      <c r="J586" s="25">
        <f>IFERROR(INDEX('Aub Demand'!T:T,MATCH(O586,'Aub Demand'!A:A,0)),"")</f>
        <v>0</v>
      </c>
      <c r="K586" s="25">
        <f>IFERROR(INDEX('Aub Demand'!S:S,MATCH(O586,'Aub Demand'!A:A,0)),"")</f>
        <v>0</v>
      </c>
      <c r="L586" s="25">
        <f>IFERROR(INDEX('Aub Demand'!R:R,MATCH(O586,'Aub Demand'!A:A,0)),"")</f>
        <v>0</v>
      </c>
      <c r="O586" s="27" t="s">
        <v>979</v>
      </c>
      <c r="P586" s="27" t="str">
        <f>IFERROR(INDEX('Aub Demand'!B:B,MATCH($O586,'Aub Demand'!$A:$A,0)),"")</f>
        <v>LPL NUBIAN BROWN</v>
      </c>
      <c r="Q586" s="27" t="str">
        <f>IFERROR(INDEX('Aub Demand'!C:C,MATCH($O586,'Aub Demand'!$A:$A,0)),"")</f>
        <v>ONYX</v>
      </c>
      <c r="R586" s="52">
        <f>IFERROR(IF(AR587=AR586,INDEX('Aub Demand'!K:K,MATCH($O586,'Aub Demand'!$A:$A,0))-IF(AN586="",0,AN586)+AP587,INDEX('Aub Demand'!K:K,MATCH($O586,'Aub Demand'!$A:$A,0))-IF(AN586="",0,AN586)),"")</f>
        <v>341</v>
      </c>
      <c r="S586" s="53" t="str">
        <f t="shared" si="252"/>
        <v>n/a</v>
      </c>
      <c r="T586" s="52" t="str">
        <f t="shared" si="253"/>
        <v/>
      </c>
      <c r="U586" s="52">
        <f>IFERROR(IF(AR587=AR586,INDEX('Aub Demand'!Q:Q,MATCH($O586,'Aub Demand'!$A:$A,0))-IF(AN586="",0,AN586)+AP587,INDEX('Aub Demand'!Q:Q,MATCH($O586,'Aub Demand'!$A:$A,0))-IF(AN586="",0,AN586)),"")</f>
        <v>341</v>
      </c>
      <c r="V586" s="53" t="str">
        <f t="shared" si="254"/>
        <v>n/a</v>
      </c>
      <c r="W586" s="52" t="str">
        <f t="shared" si="255"/>
        <v/>
      </c>
      <c r="X586" s="52">
        <f>IFERROR(IF(AND(AR587=AR586,AM586&lt;&gt;""),INDEX('Aub Demand'!Q:Q,MATCH($O586,'Aub Demand'!$A:$A,0))-IF(AN586="",0,AN586)+AP587+AD586+AL586,IF(AR587=AR586,INDEX('Aub Demand'!Q:Q,MATCH($O586,'Aub Demand'!$A:$A,0))-IF(AN586="",0,AN586)+AP587+AD586,IF(AM586&lt;&gt;"",INDEX('Aub Demand'!Q:Q,MATCH($O586,'Aub Demand'!$A:$A,0))-IF(AN586="",0,AN586)+AD586+AL586,INDEX('Aub Demand'!Q:Q,MATCH($O586,'Aub Demand'!$A:$A,0))-IF(AN586="",0,AN586)+AD586))),"")</f>
        <v>341</v>
      </c>
      <c r="Y586" s="53" t="str">
        <f t="shared" si="256"/>
        <v>n/a</v>
      </c>
      <c r="Z586" s="52">
        <f>IF(L586="","",INDEX('Aub Demand'!H:H,MATCH($O586,'Aub Demand'!$A:$A,0)))</f>
        <v>0</v>
      </c>
      <c r="AA586" s="52" t="str">
        <f t="shared" si="257"/>
        <v>-spike-</v>
      </c>
      <c r="AB586" s="52">
        <f>IFERROR(INDEX('Aub Demand'!L:L,MATCH($O586,'Aub Demand'!$A:$A,0)),"")</f>
        <v>0</v>
      </c>
      <c r="AC586" s="52">
        <f>IFERROR(IF(O586="","",SUMIFS('CPL Mats'!F:F,'CPL Mats'!Q:Q,AR586,'CPL Mats'!S:S,AS586)),"")</f>
        <v>0</v>
      </c>
      <c r="AF586" s="25" t="str">
        <f>IF(SUMIFS('Supp Consol'!S:S,'Supp Consol'!Y:Y,"Releasable",'Supp Consol'!A:A,O586)=0,"",SUMIFS('Supp Consol'!S:S,'Supp Consol'!Y:Y,"Releasable",'Supp Consol'!A:A,O586))</f>
        <v/>
      </c>
      <c r="AG586" s="25" t="str">
        <f>IFERROR(INDEX('Hun Demand'!Q:Q,MATCH(O586,'Hun Demand'!A:A,0)),"")</f>
        <v/>
      </c>
      <c r="AH586" s="25" t="str">
        <f>IFERROR(INDEX('Hun Demand'!H:H,MATCH($O586,'Hun Demand'!$A:$A,0)),"")</f>
        <v/>
      </c>
      <c r="AI586" s="25" t="str">
        <f>IF(SUMIFS('Supp Consol'!AA:AA,'Supp Consol'!Z:Z,"Expires this month",'Supp Consol'!A:A,O586)=0,"",SUMIFS('Supp Consol'!AA:AA,'Supp Consol'!Z:Z,"Expires this month",'Supp Consol'!A:A,O586))</f>
        <v/>
      </c>
      <c r="AJ586" s="25" t="str">
        <f>IF(SUMIFS('Supp Consol'!AA:AA,'Supp Consol'!Z:Z,"Expired Previous Months",'Supp Consol'!A:A,O586)=0,"",SUMIFS('Supp Consol'!AA:AA,'Supp Consol'!Z:Z,"Expired Previous Months",'Supp Consol'!A:A,O586))</f>
        <v/>
      </c>
      <c r="AK586" s="25" t="str">
        <f>IFERROR(INDEX('Hun Release Current'!B:B,MATCH(O586,'Hun Release Current'!A:A,0)),"")</f>
        <v/>
      </c>
      <c r="AL586" s="25" t="str">
        <f>IF(SUMIF('Prev Aub'!A:A,O586,'Prev Aub'!B:B)=0,"",SUMIF('Prev Aub'!A:A,O586,'Prev Aub'!B:B))</f>
        <v/>
      </c>
      <c r="AN586" s="25" t="s">
        <v>3790</v>
      </c>
      <c r="AO586" s="25" t="s">
        <v>3790</v>
      </c>
      <c r="AP586" s="25">
        <f t="shared" si="258"/>
        <v>0</v>
      </c>
      <c r="AQ586" s="151" t="str">
        <f>IF(SUMIFS('Supp Consol'!S:S,'Supp Consol'!A:A,O586,'Supp Consol'!I:I,"PENDING")=0,"",SUMIFS('Supp Consol'!S:S,'Supp Consol'!A:A,O586,'Supp Consol'!I:I,"PENDING"))</f>
        <v/>
      </c>
      <c r="AR586" s="27" t="str">
        <f t="shared" si="259"/>
        <v>HP473</v>
      </c>
      <c r="AS586" s="27" t="str">
        <f t="shared" si="260"/>
        <v>62</v>
      </c>
      <c r="AT586" s="27" t="str">
        <f t="shared" si="261"/>
        <v/>
      </c>
      <c r="AU586" s="27" t="str">
        <f t="shared" si="262"/>
        <v/>
      </c>
      <c r="AV586" s="27" t="str">
        <f t="shared" si="263"/>
        <v/>
      </c>
      <c r="AW586" s="27" t="str">
        <f t="shared" si="264"/>
        <v/>
      </c>
      <c r="AX586" s="27" t="str">
        <f t="shared" si="265"/>
        <v/>
      </c>
      <c r="AY586" s="27" t="str">
        <f t="shared" si="266"/>
        <v/>
      </c>
      <c r="AZ586" s="27" t="str">
        <f t="shared" si="267"/>
        <v/>
      </c>
      <c r="BA586" s="27" t="str">
        <f t="shared" si="268"/>
        <v/>
      </c>
      <c r="BB586" s="27" t="str">
        <f t="shared" si="269"/>
        <v/>
      </c>
      <c r="BC586" s="27" t="str">
        <f t="shared" si="270"/>
        <v/>
      </c>
      <c r="BD586" s="27" t="str">
        <f t="shared" si="271"/>
        <v/>
      </c>
      <c r="BE586" s="27" t="str">
        <f t="shared" si="272"/>
        <v/>
      </c>
      <c r="BF586" s="27" t="str">
        <f t="shared" si="273"/>
        <v/>
      </c>
      <c r="BG586" s="27" t="str">
        <f t="shared" si="274"/>
        <v/>
      </c>
      <c r="BH586" s="27" t="str">
        <f t="shared" si="275"/>
        <v/>
      </c>
      <c r="BI586" s="27" t="str">
        <f t="shared" si="276"/>
        <v/>
      </c>
      <c r="BJ586" s="27" t="str">
        <f t="shared" si="277"/>
        <v/>
      </c>
      <c r="BK586" s="27" t="str">
        <f t="shared" si="278"/>
        <v/>
      </c>
      <c r="BL586" s="27" t="str">
        <f t="shared" si="279"/>
        <v/>
      </c>
      <c r="BM586" s="21" t="s">
        <v>5582</v>
      </c>
    </row>
    <row r="587" spans="1:65" ht="15">
      <c r="A587" s="25">
        <f>IFERROR(INDEX('Hun Demand'!W:W,MATCH(O587,'Hun Demand'!A:A,0)),"")</f>
        <v>746</v>
      </c>
      <c r="B587" s="25">
        <f>IFERROR(INDEX('Hun Demand'!V:V,MATCH(O587,'Hun Demand'!A:A,0)),"")</f>
        <v>0</v>
      </c>
      <c r="C587" s="25">
        <f>IFERROR(INDEX('Hun Demand'!U:U,MATCH(O587,'Hun Demand'!A:A,0)),"")</f>
        <v>236</v>
      </c>
      <c r="D587" s="25">
        <f>IFERROR(INDEX('Hun Demand'!T:T,MATCH(O587,'Hun Demand'!A:A,0)),"")</f>
        <v>0</v>
      </c>
      <c r="E587" s="25">
        <f>IFERROR(INDEX('Hun Demand'!S:S,MATCH(O587,'Hun Demand'!A:A,0)),"")</f>
        <v>0</v>
      </c>
      <c r="F587" s="25">
        <f>IFERROR(INDEX('Hun Demand'!R:R,MATCH(O587,'Hun Demand'!A:A,0)),"")</f>
        <v>0</v>
      </c>
      <c r="G587" s="25">
        <f>IFERROR(INDEX('Aub Demand'!W:W,MATCH(O587,'Aub Demand'!A:A,0)),"")</f>
        <v>0</v>
      </c>
      <c r="H587" s="25">
        <f>IFERROR(INDEX('Aub Demand'!V:V,MATCH(O587,'Aub Demand'!A:A,0)),"")</f>
        <v>0</v>
      </c>
      <c r="I587" s="25">
        <f>IFERROR(INDEX('Aub Demand'!U:U,MATCH(O587,'Aub Demand'!A:A,0)),"")</f>
        <v>11</v>
      </c>
      <c r="J587" s="25">
        <f>IFERROR(INDEX('Aub Demand'!T:T,MATCH(O587,'Aub Demand'!A:A,0)),"")</f>
        <v>69</v>
      </c>
      <c r="K587" s="25">
        <f>IFERROR(INDEX('Aub Demand'!S:S,MATCH(O587,'Aub Demand'!A:A,0)),"")</f>
        <v>0</v>
      </c>
      <c r="L587" s="25">
        <f>IFERROR(INDEX('Aub Demand'!R:R,MATCH(O587,'Aub Demand'!A:A,0)),"")</f>
        <v>0</v>
      </c>
      <c r="O587" s="27" t="s">
        <v>982</v>
      </c>
      <c r="P587" s="27" t="str">
        <f>IFERROR(INDEX('Aub Demand'!B:B,MATCH($O587,'Aub Demand'!$A:$A,0)),"")</f>
        <v>HP PUMICE (SOLID)</v>
      </c>
      <c r="Q587" s="27" t="str">
        <f>IFERROR(INDEX('Aub Demand'!C:C,MATCH($O587,'Aub Demand'!$A:$A,0)),"")</f>
        <v>TECHN</v>
      </c>
      <c r="R587" s="52">
        <f>IFERROR(IF(AR588=AR587,INDEX('Aub Demand'!K:K,MATCH($O587,'Aub Demand'!$A:$A,0))-IF(AN587="",0,AN587)+AP588,INDEX('Aub Demand'!K:K,MATCH($O587,'Aub Demand'!$A:$A,0))-IF(AN587="",0,AN587)),"")</f>
        <v>741</v>
      </c>
      <c r="S587" s="53">
        <f t="shared" si="252"/>
        <v>117.6</v>
      </c>
      <c r="T587" s="52" t="str">
        <f t="shared" si="253"/>
        <v/>
      </c>
      <c r="U587" s="52">
        <f>IFERROR(IF(AR588=AR587,INDEX('Aub Demand'!Q:Q,MATCH($O587,'Aub Demand'!$A:$A,0))-IF(AN587="",0,AN587)+AP588,INDEX('Aub Demand'!Q:Q,MATCH($O587,'Aub Demand'!$A:$A,0))-IF(AN587="",0,AN587)),"")</f>
        <v>720</v>
      </c>
      <c r="V587" s="53">
        <f t="shared" si="254"/>
        <v>114.3</v>
      </c>
      <c r="W587" s="52" t="str">
        <f t="shared" si="255"/>
        <v/>
      </c>
      <c r="X587" s="52">
        <f>IFERROR(IF(AND(AR588=AR587,AM587&lt;&gt;""),INDEX('Aub Demand'!Q:Q,MATCH($O587,'Aub Demand'!$A:$A,0))-IF(AN587="",0,AN587)+AP588+AD587+AL587,IF(AR588=AR587,INDEX('Aub Demand'!Q:Q,MATCH($O587,'Aub Demand'!$A:$A,0))-IF(AN587="",0,AN587)+AP588+AD587,IF(AM587&lt;&gt;"",INDEX('Aub Demand'!Q:Q,MATCH($O587,'Aub Demand'!$A:$A,0))-IF(AN587="",0,AN587)+AD587+AL587,INDEX('Aub Demand'!Q:Q,MATCH($O587,'Aub Demand'!$A:$A,0))-IF(AN587="",0,AN587)+AD587))),"")</f>
        <v>720</v>
      </c>
      <c r="Y587" s="53">
        <f t="shared" si="256"/>
        <v>114.3</v>
      </c>
      <c r="Z587" s="52">
        <f>IF(L587="","",INDEX('Aub Demand'!H:H,MATCH($O587,'Aub Demand'!$A:$A,0)))</f>
        <v>27</v>
      </c>
      <c r="AA587" s="52">
        <f t="shared" si="257"/>
        <v>40</v>
      </c>
      <c r="AB587" s="52">
        <f>IFERROR(INDEX('Aub Demand'!L:L,MATCH($O587,'Aub Demand'!$A:$A,0)),"")</f>
        <v>29</v>
      </c>
      <c r="AC587" s="52">
        <f>IFERROR(IF(O587="","",SUMIFS('CPL Mats'!F:F,'CPL Mats'!Q:Q,AR587,'CPL Mats'!S:S,AS587)),"")</f>
        <v>0</v>
      </c>
      <c r="AF587" s="25" t="str">
        <f>IF(SUMIFS('Supp Consol'!S:S,'Supp Consol'!Y:Y,"Releasable",'Supp Consol'!A:A,O587)=0,"",SUMIFS('Supp Consol'!S:S,'Supp Consol'!Y:Y,"Releasable",'Supp Consol'!A:A,O587))</f>
        <v/>
      </c>
      <c r="AG587" s="25">
        <f>IFERROR(INDEX('Hun Demand'!Q:Q,MATCH(O587,'Hun Demand'!A:A,0)),"")</f>
        <v>928</v>
      </c>
      <c r="AH587" s="25">
        <f>IFERROR(INDEX('Hun Demand'!H:H,MATCH($O587,'Hun Demand'!$A:$A,0)),"")</f>
        <v>79</v>
      </c>
      <c r="AI587" s="25" t="str">
        <f>IF(SUMIFS('Supp Consol'!AA:AA,'Supp Consol'!Z:Z,"Expires this month",'Supp Consol'!A:A,O587)=0,"",SUMIFS('Supp Consol'!AA:AA,'Supp Consol'!Z:Z,"Expires this month",'Supp Consol'!A:A,O587))</f>
        <v/>
      </c>
      <c r="AJ587" s="25" t="str">
        <f>IF(SUMIFS('Supp Consol'!AA:AA,'Supp Consol'!Z:Z,"Expired Previous Months",'Supp Consol'!A:A,O587)=0,"",SUMIFS('Supp Consol'!AA:AA,'Supp Consol'!Z:Z,"Expired Previous Months",'Supp Consol'!A:A,O587))</f>
        <v/>
      </c>
      <c r="AK587" s="25" t="str">
        <f>IFERROR(INDEX('Hun Release Current'!B:B,MATCH(O587,'Hun Release Current'!A:A,0)),"")</f>
        <v/>
      </c>
      <c r="AL587" s="25" t="str">
        <f>IF(SUMIF('Prev Aub'!A:A,O587,'Prev Aub'!B:B)=0,"",SUMIF('Prev Aub'!A:A,O587,'Prev Aub'!B:B))</f>
        <v/>
      </c>
      <c r="AN587" s="25" t="s">
        <v>3790</v>
      </c>
      <c r="AO587" s="25" t="s">
        <v>3790</v>
      </c>
      <c r="AP587" s="25">
        <f t="shared" si="258"/>
        <v>0</v>
      </c>
      <c r="AQ587" s="151" t="str">
        <f>IF(SUMIFS('Supp Consol'!S:S,'Supp Consol'!A:A,O587,'Supp Consol'!I:I,"PENDING")=0,"",SUMIFS('Supp Consol'!S:S,'Supp Consol'!A:A,O587,'Supp Consol'!I:I,"PENDING"))</f>
        <v/>
      </c>
      <c r="AR587" s="27" t="str">
        <f t="shared" si="259"/>
        <v>HP491</v>
      </c>
      <c r="AS587" s="27" t="str">
        <f t="shared" si="260"/>
        <v>50</v>
      </c>
      <c r="AT587" s="27" t="str">
        <f t="shared" si="261"/>
        <v/>
      </c>
      <c r="AU587" s="27" t="str">
        <f t="shared" si="262"/>
        <v/>
      </c>
      <c r="AV587" s="27" t="str">
        <f t="shared" si="263"/>
        <v/>
      </c>
      <c r="AW587" s="27" t="str">
        <f t="shared" si="264"/>
        <v/>
      </c>
      <c r="AX587" s="27" t="str">
        <f t="shared" si="265"/>
        <v/>
      </c>
      <c r="AY587" s="27" t="str">
        <f t="shared" si="266"/>
        <v>HP491</v>
      </c>
      <c r="AZ587" s="27" t="str">
        <f t="shared" si="267"/>
        <v/>
      </c>
      <c r="BA587" s="27" t="str">
        <f t="shared" si="268"/>
        <v>Hun</v>
      </c>
      <c r="BB587" s="27" t="str">
        <f t="shared" si="269"/>
        <v/>
      </c>
      <c r="BC587" s="27" t="str">
        <f t="shared" si="270"/>
        <v/>
      </c>
      <c r="BD587" s="27" t="str">
        <f t="shared" si="271"/>
        <v/>
      </c>
      <c r="BE587" s="27" t="str">
        <f t="shared" si="272"/>
        <v/>
      </c>
      <c r="BF587" s="27" t="str">
        <f t="shared" si="273"/>
        <v/>
      </c>
      <c r="BG587" s="27" t="str">
        <f t="shared" si="274"/>
        <v/>
      </c>
      <c r="BH587" s="27" t="str">
        <f t="shared" si="275"/>
        <v/>
      </c>
      <c r="BI587" s="27" t="str">
        <f t="shared" si="276"/>
        <v/>
      </c>
      <c r="BJ587" s="27" t="str">
        <f t="shared" si="277"/>
        <v>Supp or Hun</v>
      </c>
      <c r="BK587" s="27" t="str">
        <f t="shared" si="278"/>
        <v/>
      </c>
      <c r="BL587" s="27" t="str">
        <f t="shared" si="279"/>
        <v/>
      </c>
      <c r="BM587" s="21" t="s">
        <v>5582</v>
      </c>
    </row>
    <row r="588" spans="1:65" ht="15">
      <c r="A588" s="25">
        <f>IFERROR(INDEX('Hun Demand'!W:W,MATCH(O588,'Hun Demand'!A:A,0)),"")</f>
        <v>0</v>
      </c>
      <c r="B588" s="25">
        <f>IFERROR(INDEX('Hun Demand'!V:V,MATCH(O588,'Hun Demand'!A:A,0)),"")</f>
        <v>0</v>
      </c>
      <c r="C588" s="25">
        <f>IFERROR(INDEX('Hun Demand'!U:U,MATCH(O588,'Hun Demand'!A:A,0)),"")</f>
        <v>228</v>
      </c>
      <c r="D588" s="25">
        <f>IFERROR(INDEX('Hun Demand'!T:T,MATCH(O588,'Hun Demand'!A:A,0)),"")</f>
        <v>0</v>
      </c>
      <c r="E588" s="25">
        <f>IFERROR(INDEX('Hun Demand'!S:S,MATCH(O588,'Hun Demand'!A:A,0)),"")</f>
        <v>0</v>
      </c>
      <c r="F588" s="25">
        <f>IFERROR(INDEX('Hun Demand'!R:R,MATCH(O588,'Hun Demand'!A:A,0)),"")</f>
        <v>0</v>
      </c>
      <c r="G588" s="25">
        <f>IFERROR(INDEX('Aub Demand'!W:W,MATCH(O588,'Aub Demand'!A:A,0)),"")</f>
        <v>0</v>
      </c>
      <c r="H588" s="25">
        <f>IFERROR(INDEX('Aub Demand'!V:V,MATCH(O588,'Aub Demand'!A:A,0)),"")</f>
        <v>0</v>
      </c>
      <c r="I588" s="25">
        <f>IFERROR(INDEX('Aub Demand'!U:U,MATCH(O588,'Aub Demand'!A:A,0)),"")</f>
        <v>0</v>
      </c>
      <c r="J588" s="25">
        <f>IFERROR(INDEX('Aub Demand'!T:T,MATCH(O588,'Aub Demand'!A:A,0)),"")</f>
        <v>0</v>
      </c>
      <c r="K588" s="25">
        <f>IFERROR(INDEX('Aub Demand'!S:S,MATCH(O588,'Aub Demand'!A:A,0)),"")</f>
        <v>0</v>
      </c>
      <c r="L588" s="25">
        <f>IFERROR(INDEX('Aub Demand'!R:R,MATCH(O588,'Aub Demand'!A:A,0)),"")</f>
        <v>0</v>
      </c>
      <c r="O588" s="27" t="s">
        <v>985</v>
      </c>
      <c r="P588" s="27" t="str">
        <f>IFERROR(INDEX('Aub Demand'!B:B,MATCH($O588,'Aub Demand'!$A:$A,0)),"")</f>
        <v>HP OYSTER GRAY (SOLI</v>
      </c>
      <c r="Q588" s="27" t="str">
        <f>IFERROR(INDEX('Aub Demand'!C:C,MATCH($O588,'Aub Demand'!$A:$A,0)),"")</f>
        <v>ONYX</v>
      </c>
      <c r="R588" s="52">
        <f>IFERROR(IF(AR589=AR588,INDEX('Aub Demand'!K:K,MATCH($O588,'Aub Demand'!$A:$A,0))-IF(AN588="",0,AN588)+AP589,INDEX('Aub Demand'!K:K,MATCH($O588,'Aub Demand'!$A:$A,0))-IF(AN588="",0,AN588)),"")</f>
        <v>4219</v>
      </c>
      <c r="S588" s="53" t="str">
        <f t="shared" si="252"/>
        <v>n/a</v>
      </c>
      <c r="T588" s="52" t="str">
        <f t="shared" si="253"/>
        <v/>
      </c>
      <c r="U588" s="52">
        <f>IFERROR(IF(AR589=AR588,INDEX('Aub Demand'!Q:Q,MATCH($O588,'Aub Demand'!$A:$A,0))-IF(AN588="",0,AN588)+AP589,INDEX('Aub Demand'!Q:Q,MATCH($O588,'Aub Demand'!$A:$A,0))-IF(AN588="",0,AN588)),"")</f>
        <v>4219</v>
      </c>
      <c r="V588" s="53" t="str">
        <f t="shared" si="254"/>
        <v>n/a</v>
      </c>
      <c r="W588" s="52" t="str">
        <f t="shared" si="255"/>
        <v/>
      </c>
      <c r="X588" s="52">
        <f>IFERROR(IF(AND(AR589=AR588,AM588&lt;&gt;""),INDEX('Aub Demand'!Q:Q,MATCH($O588,'Aub Demand'!$A:$A,0))-IF(AN588="",0,AN588)+AP589+AD588+AL588,IF(AR589=AR588,INDEX('Aub Demand'!Q:Q,MATCH($O588,'Aub Demand'!$A:$A,0))-IF(AN588="",0,AN588)+AP589+AD588,IF(AM588&lt;&gt;"",INDEX('Aub Demand'!Q:Q,MATCH($O588,'Aub Demand'!$A:$A,0))-IF(AN588="",0,AN588)+AD588+AL588,INDEX('Aub Demand'!Q:Q,MATCH($O588,'Aub Demand'!$A:$A,0))-IF(AN588="",0,AN588)+AD588))),"")</f>
        <v>4219</v>
      </c>
      <c r="Y588" s="53" t="str">
        <f t="shared" si="256"/>
        <v>n/a</v>
      </c>
      <c r="Z588" s="52">
        <f>IF(L588="","",INDEX('Aub Demand'!H:H,MATCH($O588,'Aub Demand'!$A:$A,0)))</f>
        <v>0</v>
      </c>
      <c r="AA588" s="52" t="str">
        <f t="shared" si="257"/>
        <v>-spike-</v>
      </c>
      <c r="AB588" s="52">
        <f>IFERROR(INDEX('Aub Demand'!L:L,MATCH($O588,'Aub Demand'!$A:$A,0)),"")</f>
        <v>0</v>
      </c>
      <c r="AC588" s="52">
        <f>IFERROR(IF(O588="","",SUMIFS('CPL Mats'!F:F,'CPL Mats'!Q:Q,AR588,'CPL Mats'!S:S,AS588)),"")</f>
        <v>0</v>
      </c>
      <c r="AF588" s="25" t="str">
        <f>IF(SUMIFS('Supp Consol'!S:S,'Supp Consol'!Y:Y,"Releasable",'Supp Consol'!A:A,O588)=0,"",SUMIFS('Supp Consol'!S:S,'Supp Consol'!Y:Y,"Releasable",'Supp Consol'!A:A,O588))</f>
        <v/>
      </c>
      <c r="AG588" s="25">
        <f>IFERROR(INDEX('Hun Demand'!Q:Q,MATCH(O588,'Hun Demand'!A:A,0)),"")</f>
        <v>0</v>
      </c>
      <c r="AH588" s="25">
        <f>IFERROR(INDEX('Hun Demand'!H:H,MATCH($O588,'Hun Demand'!$A:$A,0)),"")</f>
        <v>76</v>
      </c>
      <c r="AI588" s="25" t="str">
        <f>IF(SUMIFS('Supp Consol'!AA:AA,'Supp Consol'!Z:Z,"Expires this month",'Supp Consol'!A:A,O588)=0,"",SUMIFS('Supp Consol'!AA:AA,'Supp Consol'!Z:Z,"Expires this month",'Supp Consol'!A:A,O588))</f>
        <v/>
      </c>
      <c r="AJ588" s="25" t="str">
        <f>IF(SUMIFS('Supp Consol'!AA:AA,'Supp Consol'!Z:Z,"Expired Previous Months",'Supp Consol'!A:A,O588)=0,"",SUMIFS('Supp Consol'!AA:AA,'Supp Consol'!Z:Z,"Expired Previous Months",'Supp Consol'!A:A,O588))</f>
        <v/>
      </c>
      <c r="AK588" s="25" t="str">
        <f>IFERROR(INDEX('Hun Release Current'!B:B,MATCH(O588,'Hun Release Current'!A:A,0)),"")</f>
        <v/>
      </c>
      <c r="AL588" s="25" t="str">
        <f>IF(SUMIF('Prev Aub'!A:A,O588,'Prev Aub'!B:B)=0,"",SUMIF('Prev Aub'!A:A,O588,'Prev Aub'!B:B))</f>
        <v/>
      </c>
      <c r="AN588" s="25" t="s">
        <v>3790</v>
      </c>
      <c r="AO588" s="25" t="s">
        <v>3790</v>
      </c>
      <c r="AP588" s="25">
        <f t="shared" si="258"/>
        <v>0</v>
      </c>
      <c r="AQ588" s="151" t="str">
        <f>IF(SUMIFS('Supp Consol'!S:S,'Supp Consol'!A:A,O588,'Supp Consol'!I:I,"PENDING")=0,"",SUMIFS('Supp Consol'!S:S,'Supp Consol'!A:A,O588,'Supp Consol'!I:I,"PENDING"))</f>
        <v/>
      </c>
      <c r="AR588" s="27" t="str">
        <f t="shared" si="259"/>
        <v>HP495</v>
      </c>
      <c r="AS588" s="27" t="str">
        <f t="shared" si="260"/>
        <v>50</v>
      </c>
      <c r="AT588" s="27" t="str">
        <f t="shared" si="261"/>
        <v/>
      </c>
      <c r="AU588" s="27" t="str">
        <f t="shared" si="262"/>
        <v/>
      </c>
      <c r="AV588" s="27" t="str">
        <f t="shared" si="263"/>
        <v/>
      </c>
      <c r="AW588" s="27" t="str">
        <f t="shared" si="264"/>
        <v/>
      </c>
      <c r="AX588" s="27" t="str">
        <f t="shared" si="265"/>
        <v/>
      </c>
      <c r="AY588" s="27" t="str">
        <f t="shared" si="266"/>
        <v/>
      </c>
      <c r="AZ588" s="27" t="str">
        <f t="shared" si="267"/>
        <v/>
      </c>
      <c r="BA588" s="27" t="str">
        <f t="shared" si="268"/>
        <v>Hun</v>
      </c>
      <c r="BB588" s="27" t="str">
        <f t="shared" si="269"/>
        <v/>
      </c>
      <c r="BC588" s="27" t="str">
        <f t="shared" si="270"/>
        <v/>
      </c>
      <c r="BD588" s="27" t="str">
        <f t="shared" si="271"/>
        <v/>
      </c>
      <c r="BE588" s="27" t="str">
        <f t="shared" si="272"/>
        <v/>
      </c>
      <c r="BF588" s="27" t="str">
        <f t="shared" si="273"/>
        <v/>
      </c>
      <c r="BG588" s="27" t="str">
        <f t="shared" si="274"/>
        <v/>
      </c>
      <c r="BH588" s="27" t="str">
        <f t="shared" si="275"/>
        <v/>
      </c>
      <c r="BI588" s="27" t="str">
        <f t="shared" si="276"/>
        <v/>
      </c>
      <c r="BJ588" s="27" t="str">
        <f t="shared" si="277"/>
        <v>Supp or Hun</v>
      </c>
      <c r="BK588" s="27" t="str">
        <f t="shared" si="278"/>
        <v/>
      </c>
      <c r="BL588" s="27" t="str">
        <f t="shared" si="279"/>
        <v/>
      </c>
      <c r="BM588" s="21" t="s">
        <v>5582</v>
      </c>
    </row>
    <row r="589" spans="1:65" ht="15">
      <c r="A589" s="25">
        <f>IFERROR(INDEX('Hun Demand'!W:W,MATCH(O589,'Hun Demand'!A:A,0)),"")</f>
        <v>110</v>
      </c>
      <c r="B589" s="25">
        <f>IFERROR(INDEX('Hun Demand'!V:V,MATCH(O589,'Hun Demand'!A:A,0)),"")</f>
        <v>145</v>
      </c>
      <c r="C589" s="25">
        <f>IFERROR(INDEX('Hun Demand'!U:U,MATCH(O589,'Hun Demand'!A:A,0)),"")</f>
        <v>0</v>
      </c>
      <c r="D589" s="25">
        <f>IFERROR(INDEX('Hun Demand'!T:T,MATCH(O589,'Hun Demand'!A:A,0)),"")</f>
        <v>0</v>
      </c>
      <c r="E589" s="25">
        <f>IFERROR(INDEX('Hun Demand'!S:S,MATCH(O589,'Hun Demand'!A:A,0)),"")</f>
        <v>0</v>
      </c>
      <c r="F589" s="25">
        <f>IFERROR(INDEX('Hun Demand'!R:R,MATCH(O589,'Hun Demand'!A:A,0)),"")</f>
        <v>0</v>
      </c>
      <c r="G589" s="25">
        <f>IFERROR(INDEX('Aub Demand'!W:W,MATCH(O589,'Aub Demand'!A:A,0)),"")</f>
        <v>0</v>
      </c>
      <c r="H589" s="25">
        <f>IFERROR(INDEX('Aub Demand'!V:V,MATCH(O589,'Aub Demand'!A:A,0)),"")</f>
        <v>0</v>
      </c>
      <c r="I589" s="25">
        <f>IFERROR(INDEX('Aub Demand'!U:U,MATCH(O589,'Aub Demand'!A:A,0)),"")</f>
        <v>0</v>
      </c>
      <c r="J589" s="25">
        <f>IFERROR(INDEX('Aub Demand'!T:T,MATCH(O589,'Aub Demand'!A:A,0)),"")</f>
        <v>0</v>
      </c>
      <c r="K589" s="25">
        <f>IFERROR(INDEX('Aub Demand'!S:S,MATCH(O589,'Aub Demand'!A:A,0)),"")</f>
        <v>0</v>
      </c>
      <c r="L589" s="25">
        <f>IFERROR(INDEX('Aub Demand'!R:R,MATCH(O589,'Aub Demand'!A:A,0)),"")</f>
        <v>0</v>
      </c>
      <c r="O589" s="27" t="s">
        <v>988</v>
      </c>
      <c r="P589" s="27" t="str">
        <f>IFERROR(INDEX('Aub Demand'!B:B,MATCH($O589,'Aub Demand'!$A:$A,0)),"")</f>
        <v>HP OYSTER GRAY (SOLI</v>
      </c>
      <c r="Q589" s="27" t="str">
        <f>IFERROR(INDEX('Aub Demand'!C:C,MATCH($O589,'Aub Demand'!$A:$A,0)),"")</f>
        <v>ONYX</v>
      </c>
      <c r="R589" s="52">
        <f>IFERROR(IF(AR590=AR589,INDEX('Aub Demand'!K:K,MATCH($O589,'Aub Demand'!$A:$A,0))-IF(AN589="",0,AN589)+AP590,INDEX('Aub Demand'!K:K,MATCH($O589,'Aub Demand'!$A:$A,0))-IF(AN589="",0,AN589)),"")</f>
        <v>894</v>
      </c>
      <c r="S589" s="53" t="str">
        <f t="shared" si="252"/>
        <v>n/a</v>
      </c>
      <c r="T589" s="52" t="str">
        <f t="shared" si="253"/>
        <v/>
      </c>
      <c r="U589" s="52">
        <f>IFERROR(IF(AR590=AR589,INDEX('Aub Demand'!Q:Q,MATCH($O589,'Aub Demand'!$A:$A,0))-IF(AN589="",0,AN589)+AP590,INDEX('Aub Demand'!Q:Q,MATCH($O589,'Aub Demand'!$A:$A,0))-IF(AN589="",0,AN589)),"")</f>
        <v>894</v>
      </c>
      <c r="V589" s="53" t="str">
        <f t="shared" si="254"/>
        <v>n/a</v>
      </c>
      <c r="W589" s="52" t="str">
        <f t="shared" si="255"/>
        <v/>
      </c>
      <c r="X589" s="52">
        <f>IFERROR(IF(AND(AR590=AR589,AM589&lt;&gt;""),INDEX('Aub Demand'!Q:Q,MATCH($O589,'Aub Demand'!$A:$A,0))-IF(AN589="",0,AN589)+AP590+AD589+AL589,IF(AR590=AR589,INDEX('Aub Demand'!Q:Q,MATCH($O589,'Aub Demand'!$A:$A,0))-IF(AN589="",0,AN589)+AP590+AD589,IF(AM589&lt;&gt;"",INDEX('Aub Demand'!Q:Q,MATCH($O589,'Aub Demand'!$A:$A,0))-IF(AN589="",0,AN589)+AD589+AL589,INDEX('Aub Demand'!Q:Q,MATCH($O589,'Aub Demand'!$A:$A,0))-IF(AN589="",0,AN589)+AD589))),"")</f>
        <v>894</v>
      </c>
      <c r="Y589" s="53" t="str">
        <f t="shared" si="256"/>
        <v>n/a</v>
      </c>
      <c r="Z589" s="52">
        <f>IF(L589="","",INDEX('Aub Demand'!H:H,MATCH($O589,'Aub Demand'!$A:$A,0)))</f>
        <v>0</v>
      </c>
      <c r="AA589" s="52" t="str">
        <f t="shared" si="257"/>
        <v>-spike-</v>
      </c>
      <c r="AB589" s="52">
        <f>IFERROR(INDEX('Aub Demand'!L:L,MATCH($O589,'Aub Demand'!$A:$A,0)),"")</f>
        <v>0</v>
      </c>
      <c r="AC589" s="52">
        <f>IFERROR(IF(O589="","",SUMIFS('CPL Mats'!F:F,'CPL Mats'!Q:Q,AR589,'CPL Mats'!S:S,AS589)),"")</f>
        <v>0</v>
      </c>
      <c r="AF589" s="25" t="str">
        <f>IF(SUMIFS('Supp Consol'!S:S,'Supp Consol'!Y:Y,"Releasable",'Supp Consol'!A:A,O589)=0,"",SUMIFS('Supp Consol'!S:S,'Supp Consol'!Y:Y,"Releasable",'Supp Consol'!A:A,O589))</f>
        <v/>
      </c>
      <c r="AG589" s="25">
        <f>IFERROR(INDEX('Hun Demand'!Q:Q,MATCH(O589,'Hun Demand'!A:A,0)),"")</f>
        <v>466</v>
      </c>
      <c r="AH589" s="25">
        <f>IFERROR(INDEX('Hun Demand'!H:H,MATCH($O589,'Hun Demand'!$A:$A,0)),"")</f>
        <v>0</v>
      </c>
      <c r="AI589" s="25" t="str">
        <f>IF(SUMIFS('Supp Consol'!AA:AA,'Supp Consol'!Z:Z,"Expires this month",'Supp Consol'!A:A,O589)=0,"",SUMIFS('Supp Consol'!AA:AA,'Supp Consol'!Z:Z,"Expires this month",'Supp Consol'!A:A,O589))</f>
        <v/>
      </c>
      <c r="AJ589" s="25" t="str">
        <f>IF(SUMIFS('Supp Consol'!AA:AA,'Supp Consol'!Z:Z,"Expired Previous Months",'Supp Consol'!A:A,O589)=0,"",SUMIFS('Supp Consol'!AA:AA,'Supp Consol'!Z:Z,"Expired Previous Months",'Supp Consol'!A:A,O589))</f>
        <v/>
      </c>
      <c r="AK589" s="25" t="str">
        <f>IFERROR(INDEX('Hun Release Current'!B:B,MATCH(O589,'Hun Release Current'!A:A,0)),"")</f>
        <v/>
      </c>
      <c r="AL589" s="25" t="str">
        <f>IF(SUMIF('Prev Aub'!A:A,O589,'Prev Aub'!B:B)=0,"",SUMIF('Prev Aub'!A:A,O589,'Prev Aub'!B:B))</f>
        <v/>
      </c>
      <c r="AN589" s="25" t="s">
        <v>3790</v>
      </c>
      <c r="AO589" s="25" t="s">
        <v>3790</v>
      </c>
      <c r="AP589" s="25">
        <f t="shared" si="258"/>
        <v>0</v>
      </c>
      <c r="AQ589" s="151" t="str">
        <f>IF(SUMIFS('Supp Consol'!S:S,'Supp Consol'!A:A,O589,'Supp Consol'!I:I,"PENDING")=0,"",SUMIFS('Supp Consol'!S:S,'Supp Consol'!A:A,O589,'Supp Consol'!I:I,"PENDING"))</f>
        <v/>
      </c>
      <c r="AR589" s="27" t="str">
        <f t="shared" si="259"/>
        <v>HP495</v>
      </c>
      <c r="AS589" s="27" t="str">
        <f t="shared" si="260"/>
        <v>62</v>
      </c>
      <c r="AT589" s="27" t="str">
        <f t="shared" si="261"/>
        <v/>
      </c>
      <c r="AU589" s="27" t="str">
        <f t="shared" si="262"/>
        <v/>
      </c>
      <c r="AV589" s="27" t="str">
        <f t="shared" si="263"/>
        <v/>
      </c>
      <c r="AW589" s="27" t="str">
        <f t="shared" si="264"/>
        <v/>
      </c>
      <c r="AX589" s="27" t="str">
        <f t="shared" si="265"/>
        <v/>
      </c>
      <c r="AY589" s="27" t="str">
        <f t="shared" si="266"/>
        <v>HP495</v>
      </c>
      <c r="AZ589" s="27" t="str">
        <f t="shared" si="267"/>
        <v/>
      </c>
      <c r="BA589" s="27" t="str">
        <f t="shared" si="268"/>
        <v>Hun</v>
      </c>
      <c r="BB589" s="27" t="str">
        <f t="shared" si="269"/>
        <v/>
      </c>
      <c r="BC589" s="27" t="str">
        <f t="shared" si="270"/>
        <v/>
      </c>
      <c r="BD589" s="27" t="str">
        <f t="shared" si="271"/>
        <v/>
      </c>
      <c r="BE589" s="27" t="str">
        <f t="shared" si="272"/>
        <v/>
      </c>
      <c r="BF589" s="27" t="str">
        <f t="shared" si="273"/>
        <v/>
      </c>
      <c r="BG589" s="27" t="str">
        <f t="shared" si="274"/>
        <v/>
      </c>
      <c r="BH589" s="27" t="str">
        <f t="shared" si="275"/>
        <v/>
      </c>
      <c r="BI589" s="27" t="str">
        <f t="shared" si="276"/>
        <v/>
      </c>
      <c r="BJ589" s="27" t="str">
        <f t="shared" si="277"/>
        <v>Supp or Hun</v>
      </c>
      <c r="BK589" s="27" t="str">
        <f t="shared" si="278"/>
        <v/>
      </c>
      <c r="BL589" s="27" t="str">
        <f t="shared" si="279"/>
        <v/>
      </c>
      <c r="BM589" s="21" t="s">
        <v>5582</v>
      </c>
    </row>
    <row r="590" spans="1:65" ht="15">
      <c r="A590" s="25">
        <f>IFERROR(INDEX('Hun Demand'!W:W,MATCH(O590,'Hun Demand'!A:A,0)),"")</f>
        <v>1512</v>
      </c>
      <c r="B590" s="25">
        <f>IFERROR(INDEX('Hun Demand'!V:V,MATCH(O590,'Hun Demand'!A:A,0)),"")</f>
        <v>5159</v>
      </c>
      <c r="C590" s="25">
        <f>IFERROR(INDEX('Hun Demand'!U:U,MATCH(O590,'Hun Demand'!A:A,0)),"")</f>
        <v>1822</v>
      </c>
      <c r="D590" s="25">
        <f>IFERROR(INDEX('Hun Demand'!T:T,MATCH(O590,'Hun Demand'!A:A,0)),"")</f>
        <v>1070</v>
      </c>
      <c r="E590" s="25">
        <f>IFERROR(INDEX('Hun Demand'!S:S,MATCH(O590,'Hun Demand'!A:A,0)),"")</f>
        <v>1080</v>
      </c>
      <c r="F590" s="25">
        <f>IFERROR(INDEX('Hun Demand'!R:R,MATCH(O590,'Hun Demand'!A:A,0)),"")</f>
        <v>0</v>
      </c>
      <c r="G590" s="25">
        <f>IFERROR(INDEX('Aub Demand'!W:W,MATCH(O590,'Aub Demand'!A:A,0)),"")</f>
        <v>67</v>
      </c>
      <c r="H590" s="25">
        <f>IFERROR(INDEX('Aub Demand'!V:V,MATCH(O590,'Aub Demand'!A:A,0)),"")</f>
        <v>0</v>
      </c>
      <c r="I590" s="25">
        <f>IFERROR(INDEX('Aub Demand'!U:U,MATCH(O590,'Aub Demand'!A:A,0)),"")</f>
        <v>0</v>
      </c>
      <c r="J590" s="25">
        <f>IFERROR(INDEX('Aub Demand'!T:T,MATCH(O590,'Aub Demand'!A:A,0)),"")</f>
        <v>0</v>
      </c>
      <c r="K590" s="25">
        <f>IFERROR(INDEX('Aub Demand'!S:S,MATCH(O590,'Aub Demand'!A:A,0)),"")</f>
        <v>0</v>
      </c>
      <c r="L590" s="25">
        <f>IFERROR(INDEX('Aub Demand'!R:R,MATCH(O590,'Aub Demand'!A:A,0)),"")</f>
        <v>0</v>
      </c>
      <c r="O590" s="27" t="s">
        <v>989</v>
      </c>
      <c r="P590" s="27" t="str">
        <f>IFERROR(INDEX('Aub Demand'!B:B,MATCH($O590,'Aub Demand'!$A:$A,0)),"")</f>
        <v>CUSTOM GRAY</v>
      </c>
      <c r="Q590" s="27" t="str">
        <f>IFERROR(INDEX('Aub Demand'!C:C,MATCH($O590,'Aub Demand'!$A:$A,0)),"")</f>
        <v>CARTI</v>
      </c>
      <c r="R590" s="52">
        <f>IFERROR(IF(AR591=AR590,INDEX('Aub Demand'!K:K,MATCH($O590,'Aub Demand'!$A:$A,0))-IF(AN590="",0,AN590)+AP591,INDEX('Aub Demand'!K:K,MATCH($O590,'Aub Demand'!$A:$A,0))-IF(AN590="",0,AN590)),"")</f>
        <v>3705</v>
      </c>
      <c r="S590" s="53" t="str">
        <f t="shared" si="252"/>
        <v>n/a</v>
      </c>
      <c r="T590" s="52" t="str">
        <f t="shared" si="253"/>
        <v/>
      </c>
      <c r="U590" s="52">
        <f>IFERROR(IF(AR591=AR590,INDEX('Aub Demand'!Q:Q,MATCH($O590,'Aub Demand'!$A:$A,0))-IF(AN590="",0,AN590)+AP591,INDEX('Aub Demand'!Q:Q,MATCH($O590,'Aub Demand'!$A:$A,0))-IF(AN590="",0,AN590)),"")</f>
        <v>3693</v>
      </c>
      <c r="V590" s="53" t="str">
        <f t="shared" si="254"/>
        <v>n/a</v>
      </c>
      <c r="W590" s="52" t="str">
        <f t="shared" si="255"/>
        <v/>
      </c>
      <c r="X590" s="52">
        <f>IFERROR(IF(AND(AR591=AR590,AM590&lt;&gt;""),INDEX('Aub Demand'!Q:Q,MATCH($O590,'Aub Demand'!$A:$A,0))-IF(AN590="",0,AN590)+AP591+AD590+AL590,IF(AR591=AR590,INDEX('Aub Demand'!Q:Q,MATCH($O590,'Aub Demand'!$A:$A,0))-IF(AN590="",0,AN590)+AP591+AD590,IF(AM590&lt;&gt;"",INDEX('Aub Demand'!Q:Q,MATCH($O590,'Aub Demand'!$A:$A,0))-IF(AN590="",0,AN590)+AD590+AL590,INDEX('Aub Demand'!Q:Q,MATCH($O590,'Aub Demand'!$A:$A,0))-IF(AN590="",0,AN590)+AD590))),"")</f>
        <v>3693</v>
      </c>
      <c r="Y590" s="53" t="str">
        <f t="shared" si="256"/>
        <v>n/a</v>
      </c>
      <c r="Z590" s="52">
        <f>IF(L590="","",INDEX('Aub Demand'!H:H,MATCH($O590,'Aub Demand'!$A:$A,0)))</f>
        <v>0</v>
      </c>
      <c r="AA590" s="52" t="str">
        <f t="shared" si="257"/>
        <v>-spike-</v>
      </c>
      <c r="AB590" s="52">
        <f>IFERROR(INDEX('Aub Demand'!L:L,MATCH($O590,'Aub Demand'!$A:$A,0)),"")</f>
        <v>0</v>
      </c>
      <c r="AC590" s="52">
        <f>IFERROR(IF(O590="","",SUMIFS('CPL Mats'!F:F,'CPL Mats'!Q:Q,AR590,'CPL Mats'!S:S,AS590)),"")</f>
        <v>0</v>
      </c>
      <c r="AF590" s="25">
        <f>IF(SUMIFS('Supp Consol'!S:S,'Supp Consol'!Y:Y,"Releasable",'Supp Consol'!A:A,O590)=0,"",SUMIFS('Supp Consol'!S:S,'Supp Consol'!Y:Y,"Releasable",'Supp Consol'!A:A,O590))</f>
        <v>2757</v>
      </c>
      <c r="AG590" s="25">
        <f>IFERROR(INDEX('Hun Demand'!Q:Q,MATCH(O590,'Hun Demand'!A:A,0)),"")</f>
        <v>6011</v>
      </c>
      <c r="AH590" s="25">
        <f>IFERROR(INDEX('Hun Demand'!H:H,MATCH($O590,'Hun Demand'!$A:$A,0)),"")</f>
        <v>1324</v>
      </c>
      <c r="AI590" s="25" t="str">
        <f>IF(SUMIFS('Supp Consol'!AA:AA,'Supp Consol'!Z:Z,"Expires this month",'Supp Consol'!A:A,O590)=0,"",SUMIFS('Supp Consol'!AA:AA,'Supp Consol'!Z:Z,"Expires this month",'Supp Consol'!A:A,O590))</f>
        <v/>
      </c>
      <c r="AJ590" s="25" t="str">
        <f>IF(SUMIFS('Supp Consol'!AA:AA,'Supp Consol'!Z:Z,"Expired Previous Months",'Supp Consol'!A:A,O590)=0,"",SUMIFS('Supp Consol'!AA:AA,'Supp Consol'!Z:Z,"Expired Previous Months",'Supp Consol'!A:A,O590))</f>
        <v/>
      </c>
      <c r="AK590" s="25" t="str">
        <f>IFERROR(INDEX('Hun Release Current'!B:B,MATCH(O590,'Hun Release Current'!A:A,0)),"")</f>
        <v/>
      </c>
      <c r="AL590" s="25" t="str">
        <f>IF(SUMIF('Prev Aub'!A:A,O590,'Prev Aub'!B:B)=0,"",SUMIF('Prev Aub'!A:A,O590,'Prev Aub'!B:B))</f>
        <v/>
      </c>
      <c r="AN590" s="25" t="s">
        <v>3790</v>
      </c>
      <c r="AO590" s="25" t="s">
        <v>3790</v>
      </c>
      <c r="AP590" s="25">
        <f t="shared" si="258"/>
        <v>0</v>
      </c>
      <c r="AQ590" s="151" t="str">
        <f>IF(SUMIFS('Supp Consol'!S:S,'Supp Consol'!A:A,O590,'Supp Consol'!I:I,"PENDING")=0,"",SUMIFS('Supp Consol'!S:S,'Supp Consol'!A:A,O590,'Supp Consol'!I:I,"PENDING"))</f>
        <v/>
      </c>
      <c r="AR590" s="27" t="str">
        <f t="shared" si="259"/>
        <v>HP548</v>
      </c>
      <c r="AS590" s="27" t="str">
        <f t="shared" si="260"/>
        <v>50</v>
      </c>
      <c r="AT590" s="27" t="str">
        <f t="shared" si="261"/>
        <v/>
      </c>
      <c r="AU590" s="27" t="str">
        <f t="shared" si="262"/>
        <v/>
      </c>
      <c r="AV590" s="27" t="str">
        <f t="shared" si="263"/>
        <v/>
      </c>
      <c r="AW590" s="27" t="str">
        <f t="shared" si="264"/>
        <v/>
      </c>
      <c r="AX590" s="27" t="str">
        <f t="shared" si="265"/>
        <v>HP548</v>
      </c>
      <c r="AY590" s="27" t="str">
        <f t="shared" si="266"/>
        <v>HP548</v>
      </c>
      <c r="AZ590" s="27" t="str">
        <f t="shared" si="267"/>
        <v>Supp</v>
      </c>
      <c r="BA590" s="27" t="str">
        <f t="shared" si="268"/>
        <v>Hun</v>
      </c>
      <c r="BB590" s="27" t="str">
        <f t="shared" si="269"/>
        <v/>
      </c>
      <c r="BC590" s="27" t="str">
        <f t="shared" si="270"/>
        <v/>
      </c>
      <c r="BD590" s="27" t="str">
        <f t="shared" si="271"/>
        <v/>
      </c>
      <c r="BE590" s="27" t="str">
        <f t="shared" si="272"/>
        <v/>
      </c>
      <c r="BF590" s="27" t="str">
        <f t="shared" si="273"/>
        <v/>
      </c>
      <c r="BG590" s="27" t="str">
        <f t="shared" si="274"/>
        <v/>
      </c>
      <c r="BH590" s="27" t="str">
        <f t="shared" si="275"/>
        <v/>
      </c>
      <c r="BI590" s="27" t="str">
        <f t="shared" si="276"/>
        <v/>
      </c>
      <c r="BJ590" s="27" t="str">
        <f t="shared" si="277"/>
        <v>Supp or Hun</v>
      </c>
      <c r="BK590" s="27" t="str">
        <f t="shared" si="278"/>
        <v/>
      </c>
      <c r="BL590" s="27" t="str">
        <f t="shared" si="279"/>
        <v/>
      </c>
      <c r="BM590" s="21" t="s">
        <v>5582</v>
      </c>
    </row>
    <row r="591" spans="1:65" ht="15">
      <c r="A591" s="25">
        <f>IFERROR(INDEX('Hun Demand'!W:W,MATCH(O591,'Hun Demand'!A:A,0)),"")</f>
        <v>409</v>
      </c>
      <c r="B591" s="25">
        <f>IFERROR(INDEX('Hun Demand'!V:V,MATCH(O591,'Hun Demand'!A:A,0)),"")</f>
        <v>1627</v>
      </c>
      <c r="C591" s="25">
        <f>IFERROR(INDEX('Hun Demand'!U:U,MATCH(O591,'Hun Demand'!A:A,0)),"")</f>
        <v>1777</v>
      </c>
      <c r="D591" s="25">
        <f>IFERROR(INDEX('Hun Demand'!T:T,MATCH(O591,'Hun Demand'!A:A,0)),"")</f>
        <v>320</v>
      </c>
      <c r="E591" s="25">
        <f>IFERROR(INDEX('Hun Demand'!S:S,MATCH(O591,'Hun Demand'!A:A,0)),"")</f>
        <v>850</v>
      </c>
      <c r="F591" s="25">
        <f>IFERROR(INDEX('Hun Demand'!R:R,MATCH(O591,'Hun Demand'!A:A,0)),"")</f>
        <v>0</v>
      </c>
      <c r="G591" s="25">
        <f>IFERROR(INDEX('Aub Demand'!W:W,MATCH(O591,'Aub Demand'!A:A,0)),"")</f>
        <v>0</v>
      </c>
      <c r="H591" s="25">
        <f>IFERROR(INDEX('Aub Demand'!V:V,MATCH(O591,'Aub Demand'!A:A,0)),"")</f>
        <v>45</v>
      </c>
      <c r="I591" s="25">
        <f>IFERROR(INDEX('Aub Demand'!U:U,MATCH(O591,'Aub Demand'!A:A,0)),"")</f>
        <v>0</v>
      </c>
      <c r="J591" s="25">
        <f>IFERROR(INDEX('Aub Demand'!T:T,MATCH(O591,'Aub Demand'!A:A,0)),"")</f>
        <v>0</v>
      </c>
      <c r="K591" s="25">
        <f>IFERROR(INDEX('Aub Demand'!S:S,MATCH(O591,'Aub Demand'!A:A,0)),"")</f>
        <v>0</v>
      </c>
      <c r="L591" s="25">
        <f>IFERROR(INDEX('Aub Demand'!R:R,MATCH(O591,'Aub Demand'!A:A,0)),"")</f>
        <v>0</v>
      </c>
      <c r="O591" s="27" t="s">
        <v>993</v>
      </c>
      <c r="P591" s="27" t="str">
        <f>IFERROR(INDEX('Aub Demand'!B:B,MATCH($O591,'Aub Demand'!$A:$A,0)),"")</f>
        <v>CUSTOM GRAY</v>
      </c>
      <c r="Q591" s="27" t="str">
        <f>IFERROR(INDEX('Aub Demand'!C:C,MATCH($O591,'Aub Demand'!$A:$A,0)),"")</f>
        <v>CARTI</v>
      </c>
      <c r="R591" s="52">
        <f>IFERROR(IF(AR592=AR591,INDEX('Aub Demand'!K:K,MATCH($O591,'Aub Demand'!$A:$A,0))-IF(AN591="",0,AN591)+AP592,INDEX('Aub Demand'!K:K,MATCH($O591,'Aub Demand'!$A:$A,0))-IF(AN591="",0,AN591)),"")</f>
        <v>333</v>
      </c>
      <c r="S591" s="53" t="str">
        <f t="shared" si="252"/>
        <v>n/a</v>
      </c>
      <c r="T591" s="52" t="str">
        <f t="shared" si="253"/>
        <v/>
      </c>
      <c r="U591" s="52">
        <f>IFERROR(IF(AR592=AR591,INDEX('Aub Demand'!Q:Q,MATCH($O591,'Aub Demand'!$A:$A,0))-IF(AN591="",0,AN591)+AP592,INDEX('Aub Demand'!Q:Q,MATCH($O591,'Aub Demand'!$A:$A,0))-IF(AN591="",0,AN591)),"")</f>
        <v>333</v>
      </c>
      <c r="V591" s="53" t="str">
        <f t="shared" si="254"/>
        <v>n/a</v>
      </c>
      <c r="W591" s="52" t="str">
        <f t="shared" si="255"/>
        <v/>
      </c>
      <c r="X591" s="52">
        <f>IFERROR(IF(AND(AR592=AR591,AM591&lt;&gt;""),INDEX('Aub Demand'!Q:Q,MATCH($O591,'Aub Demand'!$A:$A,0))-IF(AN591="",0,AN591)+AP592+AD591+AL591,IF(AR592=AR591,INDEX('Aub Demand'!Q:Q,MATCH($O591,'Aub Demand'!$A:$A,0))-IF(AN591="",0,AN591)+AP592+AD591,IF(AM591&lt;&gt;"",INDEX('Aub Demand'!Q:Q,MATCH($O591,'Aub Demand'!$A:$A,0))-IF(AN591="",0,AN591)+AD591+AL591,INDEX('Aub Demand'!Q:Q,MATCH($O591,'Aub Demand'!$A:$A,0))-IF(AN591="",0,AN591)+AD591))),"")</f>
        <v>333</v>
      </c>
      <c r="Y591" s="53" t="str">
        <f t="shared" si="256"/>
        <v>n/a</v>
      </c>
      <c r="Z591" s="52">
        <f>IF(L591="","",INDEX('Aub Demand'!H:H,MATCH($O591,'Aub Demand'!$A:$A,0)))</f>
        <v>0</v>
      </c>
      <c r="AA591" s="52" t="str">
        <f t="shared" si="257"/>
        <v>-spike-</v>
      </c>
      <c r="AB591" s="52">
        <f>IFERROR(INDEX('Aub Demand'!L:L,MATCH($O591,'Aub Demand'!$A:$A,0)),"")</f>
        <v>4</v>
      </c>
      <c r="AC591" s="52">
        <f>IFERROR(IF(O591="","",SUMIFS('CPL Mats'!F:F,'CPL Mats'!Q:Q,AR591,'CPL Mats'!S:S,AS591)),"")</f>
        <v>0</v>
      </c>
      <c r="AF591" s="25">
        <f>IF(SUMIFS('Supp Consol'!S:S,'Supp Consol'!Y:Y,"Releasable",'Supp Consol'!A:A,O591)=0,"",SUMIFS('Supp Consol'!S:S,'Supp Consol'!Y:Y,"Releasable",'Supp Consol'!A:A,O591))</f>
        <v>11265</v>
      </c>
      <c r="AG591" s="25">
        <f>IFERROR(INDEX('Hun Demand'!Q:Q,MATCH(O591,'Hun Demand'!A:A,0)),"")</f>
        <v>4202</v>
      </c>
      <c r="AH591" s="25">
        <f>IFERROR(INDEX('Hun Demand'!H:H,MATCH($O591,'Hun Demand'!$A:$A,0)),"")</f>
        <v>982</v>
      </c>
      <c r="AI591" s="25" t="str">
        <f>IF(SUMIFS('Supp Consol'!AA:AA,'Supp Consol'!Z:Z,"Expires this month",'Supp Consol'!A:A,O591)=0,"",SUMIFS('Supp Consol'!AA:AA,'Supp Consol'!Z:Z,"Expires this month",'Supp Consol'!A:A,O591))</f>
        <v/>
      </c>
      <c r="AJ591" s="25" t="str">
        <f>IF(SUMIFS('Supp Consol'!AA:AA,'Supp Consol'!Z:Z,"Expired Previous Months",'Supp Consol'!A:A,O591)=0,"",SUMIFS('Supp Consol'!AA:AA,'Supp Consol'!Z:Z,"Expired Previous Months",'Supp Consol'!A:A,O591))</f>
        <v/>
      </c>
      <c r="AK591" s="25" t="str">
        <f>IFERROR(INDEX('Hun Release Current'!B:B,MATCH(O591,'Hun Release Current'!A:A,0)),"")</f>
        <v/>
      </c>
      <c r="AL591" s="25" t="str">
        <f>IF(SUMIF('Prev Aub'!A:A,O591,'Prev Aub'!B:B)=0,"",SUMIF('Prev Aub'!A:A,O591,'Prev Aub'!B:B))</f>
        <v/>
      </c>
      <c r="AN591" s="25" t="s">
        <v>3790</v>
      </c>
      <c r="AO591" s="25" t="s">
        <v>3790</v>
      </c>
      <c r="AP591" s="25">
        <f t="shared" si="258"/>
        <v>0</v>
      </c>
      <c r="AQ591" s="151" t="str">
        <f>IF(SUMIFS('Supp Consol'!S:S,'Supp Consol'!A:A,O591,'Supp Consol'!I:I,"PENDING")=0,"",SUMIFS('Supp Consol'!S:S,'Supp Consol'!A:A,O591,'Supp Consol'!I:I,"PENDING"))</f>
        <v/>
      </c>
      <c r="AR591" s="27" t="str">
        <f t="shared" si="259"/>
        <v>HP548</v>
      </c>
      <c r="AS591" s="27" t="str">
        <f t="shared" si="260"/>
        <v>62</v>
      </c>
      <c r="AT591" s="27" t="str">
        <f t="shared" si="261"/>
        <v/>
      </c>
      <c r="AU591" s="27" t="str">
        <f t="shared" si="262"/>
        <v/>
      </c>
      <c r="AV591" s="27" t="str">
        <f t="shared" si="263"/>
        <v/>
      </c>
      <c r="AW591" s="27" t="str">
        <f t="shared" si="264"/>
        <v/>
      </c>
      <c r="AX591" s="27" t="str">
        <f t="shared" si="265"/>
        <v>HP548</v>
      </c>
      <c r="AY591" s="27" t="str">
        <f t="shared" si="266"/>
        <v>HP548</v>
      </c>
      <c r="AZ591" s="27" t="str">
        <f t="shared" si="267"/>
        <v>Supp</v>
      </c>
      <c r="BA591" s="27" t="str">
        <f t="shared" si="268"/>
        <v>Hun</v>
      </c>
      <c r="BB591" s="27" t="str">
        <f t="shared" si="269"/>
        <v/>
      </c>
      <c r="BC591" s="27" t="str">
        <f t="shared" si="270"/>
        <v/>
      </c>
      <c r="BD591" s="27" t="str">
        <f t="shared" si="271"/>
        <v/>
      </c>
      <c r="BE591" s="27" t="str">
        <f t="shared" si="272"/>
        <v/>
      </c>
      <c r="BF591" s="27" t="str">
        <f t="shared" si="273"/>
        <v/>
      </c>
      <c r="BG591" s="27" t="str">
        <f t="shared" si="274"/>
        <v/>
      </c>
      <c r="BH591" s="27" t="str">
        <f t="shared" si="275"/>
        <v/>
      </c>
      <c r="BI591" s="27" t="str">
        <f t="shared" si="276"/>
        <v/>
      </c>
      <c r="BJ591" s="27" t="str">
        <f t="shared" si="277"/>
        <v>Supp or Hun</v>
      </c>
      <c r="BK591" s="27" t="str">
        <f t="shared" si="278"/>
        <v/>
      </c>
      <c r="BL591" s="27" t="str">
        <f t="shared" si="279"/>
        <v/>
      </c>
      <c r="BM591" s="21" t="s">
        <v>5582</v>
      </c>
    </row>
    <row r="592" spans="1:65" ht="15">
      <c r="A592" s="25">
        <f>IFERROR(INDEX('Hun Demand'!W:W,MATCH(O592,'Hun Demand'!A:A,0)),"")</f>
        <v>1338</v>
      </c>
      <c r="B592" s="25">
        <f>IFERROR(INDEX('Hun Demand'!V:V,MATCH(O592,'Hun Demand'!A:A,0)),"")</f>
        <v>1748</v>
      </c>
      <c r="C592" s="25">
        <f>IFERROR(INDEX('Hun Demand'!U:U,MATCH(O592,'Hun Demand'!A:A,0)),"")</f>
        <v>1408</v>
      </c>
      <c r="D592" s="25">
        <f>IFERROR(INDEX('Hun Demand'!T:T,MATCH(O592,'Hun Demand'!A:A,0)),"")</f>
        <v>408</v>
      </c>
      <c r="E592" s="25">
        <f>IFERROR(INDEX('Hun Demand'!S:S,MATCH(O592,'Hun Demand'!A:A,0)),"")</f>
        <v>1461</v>
      </c>
      <c r="F592" s="25">
        <f>IFERROR(INDEX('Hun Demand'!R:R,MATCH(O592,'Hun Demand'!A:A,0)),"")</f>
        <v>0</v>
      </c>
      <c r="G592" s="25">
        <f>IFERROR(INDEX('Aub Demand'!W:W,MATCH(O592,'Aub Demand'!A:A,0)),"")</f>
        <v>0</v>
      </c>
      <c r="H592" s="25">
        <f>IFERROR(INDEX('Aub Demand'!V:V,MATCH(O592,'Aub Demand'!A:A,0)),"")</f>
        <v>0</v>
      </c>
      <c r="I592" s="25">
        <f>IFERROR(INDEX('Aub Demand'!U:U,MATCH(O592,'Aub Demand'!A:A,0)),"")</f>
        <v>0</v>
      </c>
      <c r="J592" s="25">
        <f>IFERROR(INDEX('Aub Demand'!T:T,MATCH(O592,'Aub Demand'!A:A,0)),"")</f>
        <v>0</v>
      </c>
      <c r="K592" s="25">
        <f>IFERROR(INDEX('Aub Demand'!S:S,MATCH(O592,'Aub Demand'!A:A,0)),"")</f>
        <v>0</v>
      </c>
      <c r="L592" s="25">
        <f>IFERROR(INDEX('Aub Demand'!R:R,MATCH(O592,'Aub Demand'!A:A,0)),"")</f>
        <v>0</v>
      </c>
      <c r="O592" s="27" t="s">
        <v>994</v>
      </c>
      <c r="P592" s="27" t="str">
        <f>IFERROR(INDEX('Aub Demand'!B:B,MATCH($O592,'Aub Demand'!$A:$A,0)),"")</f>
        <v>FOG GRAY (SOLID)</v>
      </c>
      <c r="Q592" s="27" t="str">
        <f>IFERROR(INDEX('Aub Demand'!C:C,MATCH($O592,'Aub Demand'!$A:$A,0)),"")</f>
        <v>AHLST</v>
      </c>
      <c r="R592" s="52">
        <f>IFERROR(IF(AR593=AR592,INDEX('Aub Demand'!K:K,MATCH($O592,'Aub Demand'!$A:$A,0))-IF(AN592="",0,AN592)+AP593,INDEX('Aub Demand'!K:K,MATCH($O592,'Aub Demand'!$A:$A,0))-IF(AN592="",0,AN592)),"")</f>
        <v>2740</v>
      </c>
      <c r="S592" s="53" t="str">
        <f t="shared" si="252"/>
        <v>n/a</v>
      </c>
      <c r="T592" s="52" t="str">
        <f t="shared" si="253"/>
        <v/>
      </c>
      <c r="U592" s="52">
        <f>IFERROR(IF(AR593=AR592,INDEX('Aub Demand'!Q:Q,MATCH($O592,'Aub Demand'!$A:$A,0))-IF(AN592="",0,AN592)+AP593,INDEX('Aub Demand'!Q:Q,MATCH($O592,'Aub Demand'!$A:$A,0))-IF(AN592="",0,AN592)),"")</f>
        <v>2740</v>
      </c>
      <c r="V592" s="53" t="str">
        <f t="shared" si="254"/>
        <v>n/a</v>
      </c>
      <c r="W592" s="52" t="str">
        <f t="shared" si="255"/>
        <v/>
      </c>
      <c r="X592" s="52">
        <f>IFERROR(IF(AND(AR593=AR592,AM592&lt;&gt;""),INDEX('Aub Demand'!Q:Q,MATCH($O592,'Aub Demand'!$A:$A,0))-IF(AN592="",0,AN592)+AP593+AD592+AL592,IF(AR593=AR592,INDEX('Aub Demand'!Q:Q,MATCH($O592,'Aub Demand'!$A:$A,0))-IF(AN592="",0,AN592)+AP593+AD592,IF(AM592&lt;&gt;"",INDEX('Aub Demand'!Q:Q,MATCH($O592,'Aub Demand'!$A:$A,0))-IF(AN592="",0,AN592)+AD592+AL592,INDEX('Aub Demand'!Q:Q,MATCH($O592,'Aub Demand'!$A:$A,0))-IF(AN592="",0,AN592)+AD592))),"")</f>
        <v>2740</v>
      </c>
      <c r="Y592" s="53" t="str">
        <f t="shared" si="256"/>
        <v>n/a</v>
      </c>
      <c r="Z592" s="52">
        <f>IF(L592="","",INDEX('Aub Demand'!H:H,MATCH($O592,'Aub Demand'!$A:$A,0)))</f>
        <v>0</v>
      </c>
      <c r="AA592" s="52" t="str">
        <f t="shared" si="257"/>
        <v>-spike-</v>
      </c>
      <c r="AB592" s="52">
        <f>IFERROR(INDEX('Aub Demand'!L:L,MATCH($O592,'Aub Demand'!$A:$A,0)),"")</f>
        <v>15</v>
      </c>
      <c r="AC592" s="52">
        <f>IFERROR(IF(O592="","",SUMIFS('CPL Mats'!F:F,'CPL Mats'!Q:Q,AR592,'CPL Mats'!S:S,AS592)),"")</f>
        <v>0</v>
      </c>
      <c r="AF592" s="25">
        <f>IF(SUMIFS('Supp Consol'!S:S,'Supp Consol'!Y:Y,"Releasable",'Supp Consol'!A:A,O592)=0,"",SUMIFS('Supp Consol'!S:S,'Supp Consol'!Y:Y,"Releasable",'Supp Consol'!A:A,O592))</f>
        <v>16224</v>
      </c>
      <c r="AG592" s="25">
        <f>IFERROR(INDEX('Hun Demand'!Q:Q,MATCH(O592,'Hun Demand'!A:A,0)),"")</f>
        <v>7777</v>
      </c>
      <c r="AH592" s="25">
        <f>IFERROR(INDEX('Hun Demand'!H:H,MATCH($O592,'Hun Demand'!$A:$A,0)),"")</f>
        <v>1092</v>
      </c>
      <c r="AI592" s="25" t="str">
        <f>IF(SUMIFS('Supp Consol'!AA:AA,'Supp Consol'!Z:Z,"Expires this month",'Supp Consol'!A:A,O592)=0,"",SUMIFS('Supp Consol'!AA:AA,'Supp Consol'!Z:Z,"Expires this month",'Supp Consol'!A:A,O592))</f>
        <v/>
      </c>
      <c r="AJ592" s="25" t="str">
        <f>IF(SUMIFS('Supp Consol'!AA:AA,'Supp Consol'!Z:Z,"Expired Previous Months",'Supp Consol'!A:A,O592)=0,"",SUMIFS('Supp Consol'!AA:AA,'Supp Consol'!Z:Z,"Expired Previous Months",'Supp Consol'!A:A,O592))</f>
        <v/>
      </c>
      <c r="AK592" s="25" t="str">
        <f>IFERROR(INDEX('Hun Release Current'!B:B,MATCH(O592,'Hun Release Current'!A:A,0)),"")</f>
        <v/>
      </c>
      <c r="AL592" s="25" t="str">
        <f>IF(SUMIF('Prev Aub'!A:A,O592,'Prev Aub'!B:B)=0,"",SUMIF('Prev Aub'!A:A,O592,'Prev Aub'!B:B))</f>
        <v/>
      </c>
      <c r="AN592" s="25" t="s">
        <v>3790</v>
      </c>
      <c r="AO592" s="25" t="s">
        <v>3790</v>
      </c>
      <c r="AP592" s="25">
        <f t="shared" si="258"/>
        <v>0</v>
      </c>
      <c r="AQ592" s="151" t="str">
        <f>IF(SUMIFS('Supp Consol'!S:S,'Supp Consol'!A:A,O592,'Supp Consol'!I:I,"PENDING")=0,"",SUMIFS('Supp Consol'!S:S,'Supp Consol'!A:A,O592,'Supp Consol'!I:I,"PENDING"))</f>
        <v/>
      </c>
      <c r="AR592" s="27" t="str">
        <f t="shared" si="259"/>
        <v>HP551</v>
      </c>
      <c r="AS592" s="27" t="str">
        <f t="shared" si="260"/>
        <v>50</v>
      </c>
      <c r="AT592" s="27" t="str">
        <f t="shared" si="261"/>
        <v/>
      </c>
      <c r="AU592" s="27" t="str">
        <f t="shared" si="262"/>
        <v/>
      </c>
      <c r="AV592" s="27" t="str">
        <f t="shared" si="263"/>
        <v/>
      </c>
      <c r="AW592" s="27" t="str">
        <f t="shared" si="264"/>
        <v/>
      </c>
      <c r="AX592" s="27" t="str">
        <f t="shared" si="265"/>
        <v>HP551</v>
      </c>
      <c r="AY592" s="27" t="str">
        <f t="shared" si="266"/>
        <v>HP551</v>
      </c>
      <c r="AZ592" s="27" t="str">
        <f t="shared" si="267"/>
        <v>Supp</v>
      </c>
      <c r="BA592" s="27" t="str">
        <f t="shared" si="268"/>
        <v>Hun</v>
      </c>
      <c r="BB592" s="27" t="str">
        <f t="shared" si="269"/>
        <v/>
      </c>
      <c r="BC592" s="27" t="str">
        <f t="shared" si="270"/>
        <v/>
      </c>
      <c r="BD592" s="27" t="str">
        <f t="shared" si="271"/>
        <v/>
      </c>
      <c r="BE592" s="27" t="str">
        <f t="shared" si="272"/>
        <v/>
      </c>
      <c r="BF592" s="27" t="str">
        <f t="shared" si="273"/>
        <v/>
      </c>
      <c r="BG592" s="27" t="str">
        <f t="shared" si="274"/>
        <v/>
      </c>
      <c r="BH592" s="27" t="str">
        <f t="shared" si="275"/>
        <v/>
      </c>
      <c r="BI592" s="27" t="str">
        <f t="shared" si="276"/>
        <v/>
      </c>
      <c r="BJ592" s="27" t="str">
        <f t="shared" si="277"/>
        <v>Supp or Hun</v>
      </c>
      <c r="BK592" s="27" t="str">
        <f t="shared" si="278"/>
        <v/>
      </c>
      <c r="BL592" s="27" t="str">
        <f t="shared" si="279"/>
        <v/>
      </c>
      <c r="BM592" s="21" t="s">
        <v>5582</v>
      </c>
    </row>
    <row r="593" spans="1:65" ht="15">
      <c r="A593" s="25">
        <f>IFERROR(INDEX('Hun Demand'!W:W,MATCH(O593,'Hun Demand'!A:A,0)),"")</f>
        <v>632</v>
      </c>
      <c r="B593" s="25">
        <f>IFERROR(INDEX('Hun Demand'!V:V,MATCH(O593,'Hun Demand'!A:A,0)),"")</f>
        <v>352</v>
      </c>
      <c r="C593" s="25">
        <f>IFERROR(INDEX('Hun Demand'!U:U,MATCH(O593,'Hun Demand'!A:A,0)),"")</f>
        <v>0</v>
      </c>
      <c r="D593" s="25">
        <f>IFERROR(INDEX('Hun Demand'!T:T,MATCH(O593,'Hun Demand'!A:A,0)),"")</f>
        <v>0</v>
      </c>
      <c r="E593" s="25">
        <f>IFERROR(INDEX('Hun Demand'!S:S,MATCH(O593,'Hun Demand'!A:A,0)),"")</f>
        <v>685</v>
      </c>
      <c r="F593" s="25">
        <f>IFERROR(INDEX('Hun Demand'!R:R,MATCH(O593,'Hun Demand'!A:A,0)),"")</f>
        <v>0</v>
      </c>
      <c r="G593" s="25">
        <f>IFERROR(INDEX('Aub Demand'!W:W,MATCH(O593,'Aub Demand'!A:A,0)),"")</f>
        <v>0</v>
      </c>
      <c r="H593" s="25">
        <f>IFERROR(INDEX('Aub Demand'!V:V,MATCH(O593,'Aub Demand'!A:A,0)),"")</f>
        <v>0</v>
      </c>
      <c r="I593" s="25">
        <f>IFERROR(INDEX('Aub Demand'!U:U,MATCH(O593,'Aub Demand'!A:A,0)),"")</f>
        <v>0</v>
      </c>
      <c r="J593" s="25">
        <f>IFERROR(INDEX('Aub Demand'!T:T,MATCH(O593,'Aub Demand'!A:A,0)),"")</f>
        <v>0</v>
      </c>
      <c r="K593" s="25">
        <f>IFERROR(INDEX('Aub Demand'!S:S,MATCH(O593,'Aub Demand'!A:A,0)),"")</f>
        <v>85</v>
      </c>
      <c r="L593" s="25">
        <f>IFERROR(INDEX('Aub Demand'!R:R,MATCH(O593,'Aub Demand'!A:A,0)),"")</f>
        <v>0</v>
      </c>
      <c r="O593" s="27" t="s">
        <v>997</v>
      </c>
      <c r="P593" s="27" t="str">
        <f>IFERROR(INDEX('Aub Demand'!B:B,MATCH($O593,'Aub Demand'!$A:$A,0)),"")</f>
        <v>FOG GRAY (SOLID)</v>
      </c>
      <c r="Q593" s="27" t="str">
        <f>IFERROR(INDEX('Aub Demand'!C:C,MATCH($O593,'Aub Demand'!$A:$A,0)),"")</f>
        <v>AHLST</v>
      </c>
      <c r="R593" s="52">
        <f>IFERROR(IF(AR594=AR593,INDEX('Aub Demand'!K:K,MATCH($O593,'Aub Demand'!$A:$A,0))-IF(AN593="",0,AN593)+AP594,INDEX('Aub Demand'!K:K,MATCH($O593,'Aub Demand'!$A:$A,0))-IF(AN593="",0,AN593)),"")</f>
        <v>1227</v>
      </c>
      <c r="S593" s="53">
        <f t="shared" si="252"/>
        <v>187.8</v>
      </c>
      <c r="T593" s="52" t="str">
        <f t="shared" si="253"/>
        <v/>
      </c>
      <c r="U593" s="52">
        <f>IFERROR(IF(AR594=AR593,INDEX('Aub Demand'!Q:Q,MATCH($O593,'Aub Demand'!$A:$A,0))-IF(AN593="",0,AN593)+AP594,INDEX('Aub Demand'!Q:Q,MATCH($O593,'Aub Demand'!$A:$A,0))-IF(AN593="",0,AN593)),"")</f>
        <v>1227</v>
      </c>
      <c r="V593" s="53">
        <f t="shared" si="254"/>
        <v>187.8</v>
      </c>
      <c r="W593" s="52" t="str">
        <f t="shared" si="255"/>
        <v/>
      </c>
      <c r="X593" s="52">
        <f>IFERROR(IF(AND(AR594=AR593,AM593&lt;&gt;""),INDEX('Aub Demand'!Q:Q,MATCH($O593,'Aub Demand'!$A:$A,0))-IF(AN593="",0,AN593)+AP594+AD593+AL593,IF(AR594=AR593,INDEX('Aub Demand'!Q:Q,MATCH($O593,'Aub Demand'!$A:$A,0))-IF(AN593="",0,AN593)+AP594+AD593,IF(AM593&lt;&gt;"",INDEX('Aub Demand'!Q:Q,MATCH($O593,'Aub Demand'!$A:$A,0))-IF(AN593="",0,AN593)+AD593+AL593,INDEX('Aub Demand'!Q:Q,MATCH($O593,'Aub Demand'!$A:$A,0))-IF(AN593="",0,AN593)+AD593))),"")</f>
        <v>1227</v>
      </c>
      <c r="Y593" s="53">
        <f t="shared" si="256"/>
        <v>187.8</v>
      </c>
      <c r="Z593" s="52">
        <f>IF(L593="","",INDEX('Aub Demand'!H:H,MATCH($O593,'Aub Demand'!$A:$A,0)))</f>
        <v>28</v>
      </c>
      <c r="AA593" s="52" t="str">
        <f t="shared" si="257"/>
        <v>-spike-</v>
      </c>
      <c r="AB593" s="52">
        <f>IFERROR(INDEX('Aub Demand'!L:L,MATCH($O593,'Aub Demand'!$A:$A,0)),"")</f>
        <v>15</v>
      </c>
      <c r="AC593" s="52">
        <f>IFERROR(IF(O593="","",SUMIFS('CPL Mats'!F:F,'CPL Mats'!Q:Q,AR593,'CPL Mats'!S:S,AS593)),"")</f>
        <v>0</v>
      </c>
      <c r="AF593" s="25">
        <f>IF(SUMIFS('Supp Consol'!S:S,'Supp Consol'!Y:Y,"Releasable",'Supp Consol'!A:A,O593)=0,"",SUMIFS('Supp Consol'!S:S,'Supp Consol'!Y:Y,"Releasable",'Supp Consol'!A:A,O593))</f>
        <v>2654</v>
      </c>
      <c r="AG593" s="25">
        <f>IFERROR(INDEX('Hun Demand'!Q:Q,MATCH(O593,'Hun Demand'!A:A,0)),"")</f>
        <v>1969</v>
      </c>
      <c r="AH593" s="25">
        <f>IFERROR(INDEX('Hun Demand'!H:H,MATCH($O593,'Hun Demand'!$A:$A,0)),"")</f>
        <v>228</v>
      </c>
      <c r="AI593" s="25" t="str">
        <f>IF(SUMIFS('Supp Consol'!AA:AA,'Supp Consol'!Z:Z,"Expires this month",'Supp Consol'!A:A,O593)=0,"",SUMIFS('Supp Consol'!AA:AA,'Supp Consol'!Z:Z,"Expires this month",'Supp Consol'!A:A,O593))</f>
        <v/>
      </c>
      <c r="AJ593" s="25" t="str">
        <f>IF(SUMIFS('Supp Consol'!AA:AA,'Supp Consol'!Z:Z,"Expired Previous Months",'Supp Consol'!A:A,O593)=0,"",SUMIFS('Supp Consol'!AA:AA,'Supp Consol'!Z:Z,"Expired Previous Months",'Supp Consol'!A:A,O593))</f>
        <v/>
      </c>
      <c r="AK593" s="25" t="str">
        <f>IFERROR(INDEX('Hun Release Current'!B:B,MATCH(O593,'Hun Release Current'!A:A,0)),"")</f>
        <v/>
      </c>
      <c r="AL593" s="25" t="str">
        <f>IF(SUMIF('Prev Aub'!A:A,O593,'Prev Aub'!B:B)=0,"",SUMIF('Prev Aub'!A:A,O593,'Prev Aub'!B:B))</f>
        <v/>
      </c>
      <c r="AN593" s="25" t="s">
        <v>3790</v>
      </c>
      <c r="AO593" s="25" t="s">
        <v>3790</v>
      </c>
      <c r="AP593" s="25">
        <f t="shared" si="258"/>
        <v>0</v>
      </c>
      <c r="AQ593" s="151" t="str">
        <f>IF(SUMIFS('Supp Consol'!S:S,'Supp Consol'!A:A,O593,'Supp Consol'!I:I,"PENDING")=0,"",SUMIFS('Supp Consol'!S:S,'Supp Consol'!A:A,O593,'Supp Consol'!I:I,"PENDING"))</f>
        <v/>
      </c>
      <c r="AR593" s="27" t="str">
        <f t="shared" si="259"/>
        <v>HP551</v>
      </c>
      <c r="AS593" s="27" t="str">
        <f t="shared" si="260"/>
        <v>62</v>
      </c>
      <c r="AT593" s="27" t="str">
        <f t="shared" si="261"/>
        <v/>
      </c>
      <c r="AU593" s="27" t="str">
        <f t="shared" si="262"/>
        <v/>
      </c>
      <c r="AV593" s="27" t="str">
        <f t="shared" si="263"/>
        <v/>
      </c>
      <c r="AW593" s="27" t="str">
        <f t="shared" si="264"/>
        <v/>
      </c>
      <c r="AX593" s="27" t="str">
        <f t="shared" si="265"/>
        <v>HP551</v>
      </c>
      <c r="AY593" s="27" t="str">
        <f t="shared" si="266"/>
        <v>HP551</v>
      </c>
      <c r="AZ593" s="27" t="str">
        <f t="shared" si="267"/>
        <v>Supp</v>
      </c>
      <c r="BA593" s="27" t="str">
        <f t="shared" si="268"/>
        <v>Hun</v>
      </c>
      <c r="BB593" s="27" t="str">
        <f t="shared" si="269"/>
        <v/>
      </c>
      <c r="BC593" s="27" t="str">
        <f t="shared" si="270"/>
        <v/>
      </c>
      <c r="BD593" s="27" t="str">
        <f t="shared" si="271"/>
        <v/>
      </c>
      <c r="BE593" s="27" t="str">
        <f t="shared" si="272"/>
        <v/>
      </c>
      <c r="BF593" s="27" t="str">
        <f t="shared" si="273"/>
        <v/>
      </c>
      <c r="BG593" s="27" t="str">
        <f t="shared" si="274"/>
        <v/>
      </c>
      <c r="BH593" s="27" t="str">
        <f t="shared" si="275"/>
        <v/>
      </c>
      <c r="BI593" s="27" t="str">
        <f t="shared" si="276"/>
        <v/>
      </c>
      <c r="BJ593" s="27" t="str">
        <f t="shared" si="277"/>
        <v>Supp or Hun</v>
      </c>
      <c r="BK593" s="27" t="str">
        <f t="shared" si="278"/>
        <v/>
      </c>
      <c r="BL593" s="27" t="str">
        <f t="shared" si="279"/>
        <v/>
      </c>
      <c r="BM593" s="21" t="s">
        <v>5582</v>
      </c>
    </row>
    <row r="594" spans="1:65" ht="15">
      <c r="A594" s="25">
        <f>IFERROR(INDEX('Hun Demand'!W:W,MATCH(O594,'Hun Demand'!A:A,0)),"")</f>
        <v>164</v>
      </c>
      <c r="B594" s="25">
        <f>IFERROR(INDEX('Hun Demand'!V:V,MATCH(O594,'Hun Demand'!A:A,0)),"")</f>
        <v>1552</v>
      </c>
      <c r="C594" s="25">
        <f>IFERROR(INDEX('Hun Demand'!U:U,MATCH(O594,'Hun Demand'!A:A,0)),"")</f>
        <v>0</v>
      </c>
      <c r="D594" s="25">
        <f>IFERROR(INDEX('Hun Demand'!T:T,MATCH(O594,'Hun Demand'!A:A,0)),"")</f>
        <v>0</v>
      </c>
      <c r="E594" s="25">
        <f>IFERROR(INDEX('Hun Demand'!S:S,MATCH(O594,'Hun Demand'!A:A,0)),"")</f>
        <v>697</v>
      </c>
      <c r="F594" s="25">
        <f>IFERROR(INDEX('Hun Demand'!R:R,MATCH(O594,'Hun Demand'!A:A,0)),"")</f>
        <v>0</v>
      </c>
      <c r="G594" s="25">
        <f>IFERROR(INDEX('Aub Demand'!W:W,MATCH(O594,'Aub Demand'!A:A,0)),"")</f>
        <v>0</v>
      </c>
      <c r="H594" s="25">
        <f>IFERROR(INDEX('Aub Demand'!V:V,MATCH(O594,'Aub Demand'!A:A,0)),"")</f>
        <v>0</v>
      </c>
      <c r="I594" s="25">
        <f>IFERROR(INDEX('Aub Demand'!U:U,MATCH(O594,'Aub Demand'!A:A,0)),"")</f>
        <v>0</v>
      </c>
      <c r="J594" s="25">
        <f>IFERROR(INDEX('Aub Demand'!T:T,MATCH(O594,'Aub Demand'!A:A,0)),"")</f>
        <v>0</v>
      </c>
      <c r="K594" s="25">
        <f>IFERROR(INDEX('Aub Demand'!S:S,MATCH(O594,'Aub Demand'!A:A,0)),"")</f>
        <v>0</v>
      </c>
      <c r="L594" s="25">
        <f>IFERROR(INDEX('Aub Demand'!R:R,MATCH(O594,'Aub Demand'!A:A,0)),"")</f>
        <v>0</v>
      </c>
      <c r="O594" s="27" t="s">
        <v>999</v>
      </c>
      <c r="P594" s="27" t="str">
        <f>IFERROR(INDEX('Aub Demand'!B:B,MATCH($O594,'Aub Demand'!$A:$A,0)),"")</f>
        <v>INTERNATIONAL WHITE</v>
      </c>
      <c r="Q594" s="27" t="str">
        <f>IFERROR(INDEX('Aub Demand'!C:C,MATCH($O594,'Aub Demand'!$A:$A,0)),"")</f>
        <v>AHLST</v>
      </c>
      <c r="R594" s="52">
        <f>IFERROR(IF(AR595=AR594,INDEX('Aub Demand'!K:K,MATCH($O594,'Aub Demand'!$A:$A,0))-IF(AN594="",0,AN594)+AP595,INDEX('Aub Demand'!K:K,MATCH($O594,'Aub Demand'!$A:$A,0))-IF(AN594="",0,AN594)),"")</f>
        <v>544</v>
      </c>
      <c r="S594" s="53" t="str">
        <f t="shared" si="252"/>
        <v>n/a</v>
      </c>
      <c r="T594" s="52" t="str">
        <f t="shared" si="253"/>
        <v/>
      </c>
      <c r="U594" s="52">
        <f>IFERROR(IF(AR595=AR594,INDEX('Aub Demand'!Q:Q,MATCH($O594,'Aub Demand'!$A:$A,0))-IF(AN594="",0,AN594)+AP595,INDEX('Aub Demand'!Q:Q,MATCH($O594,'Aub Demand'!$A:$A,0))-IF(AN594="",0,AN594)),"")</f>
        <v>544</v>
      </c>
      <c r="V594" s="53" t="str">
        <f t="shared" si="254"/>
        <v>n/a</v>
      </c>
      <c r="W594" s="52" t="str">
        <f t="shared" si="255"/>
        <v/>
      </c>
      <c r="X594" s="52">
        <f>IFERROR(IF(AND(AR595=AR594,AM594&lt;&gt;""),INDEX('Aub Demand'!Q:Q,MATCH($O594,'Aub Demand'!$A:$A,0))-IF(AN594="",0,AN594)+AP595+AD594+AL594,IF(AR595=AR594,INDEX('Aub Demand'!Q:Q,MATCH($O594,'Aub Demand'!$A:$A,0))-IF(AN594="",0,AN594)+AP595+AD594,IF(AM594&lt;&gt;"",INDEX('Aub Demand'!Q:Q,MATCH($O594,'Aub Demand'!$A:$A,0))-IF(AN594="",0,AN594)+AD594+AL594,INDEX('Aub Demand'!Q:Q,MATCH($O594,'Aub Demand'!$A:$A,0))-IF(AN594="",0,AN594)+AD594))),"")</f>
        <v>544</v>
      </c>
      <c r="Y594" s="53" t="str">
        <f t="shared" si="256"/>
        <v>n/a</v>
      </c>
      <c r="Z594" s="52">
        <f>IF(L594="","",INDEX('Aub Demand'!H:H,MATCH($O594,'Aub Demand'!$A:$A,0)))</f>
        <v>0</v>
      </c>
      <c r="AA594" s="52" t="str">
        <f t="shared" si="257"/>
        <v>-spike-</v>
      </c>
      <c r="AB594" s="52">
        <f>IFERROR(INDEX('Aub Demand'!L:L,MATCH($O594,'Aub Demand'!$A:$A,0)),"")</f>
        <v>0</v>
      </c>
      <c r="AC594" s="52">
        <f>IFERROR(IF(O594="","",SUMIFS('CPL Mats'!F:F,'CPL Mats'!Q:Q,AR594,'CPL Mats'!S:S,AS594)),"")</f>
        <v>0</v>
      </c>
      <c r="AF594" s="25" t="str">
        <f>IF(SUMIFS('Supp Consol'!S:S,'Supp Consol'!Y:Y,"Releasable",'Supp Consol'!A:A,O594)=0,"",SUMIFS('Supp Consol'!S:S,'Supp Consol'!Y:Y,"Releasable",'Supp Consol'!A:A,O594))</f>
        <v/>
      </c>
      <c r="AG594" s="25">
        <f>IFERROR(INDEX('Hun Demand'!Q:Q,MATCH(O594,'Hun Demand'!A:A,0)),"")</f>
        <v>8728</v>
      </c>
      <c r="AH594" s="25">
        <f>IFERROR(INDEX('Hun Demand'!H:H,MATCH($O594,'Hun Demand'!$A:$A,0)),"")</f>
        <v>232</v>
      </c>
      <c r="AI594" s="25" t="str">
        <f>IF(SUMIFS('Supp Consol'!AA:AA,'Supp Consol'!Z:Z,"Expires this month",'Supp Consol'!A:A,O594)=0,"",SUMIFS('Supp Consol'!AA:AA,'Supp Consol'!Z:Z,"Expires this month",'Supp Consol'!A:A,O594))</f>
        <v/>
      </c>
      <c r="AJ594" s="25" t="str">
        <f>IF(SUMIFS('Supp Consol'!AA:AA,'Supp Consol'!Z:Z,"Expired Previous Months",'Supp Consol'!A:A,O594)=0,"",SUMIFS('Supp Consol'!AA:AA,'Supp Consol'!Z:Z,"Expired Previous Months",'Supp Consol'!A:A,O594))</f>
        <v/>
      </c>
      <c r="AK594" s="25" t="str">
        <f>IFERROR(INDEX('Hun Release Current'!B:B,MATCH(O594,'Hun Release Current'!A:A,0)),"")</f>
        <v/>
      </c>
      <c r="AL594" s="25" t="str">
        <f>IF(SUMIF('Prev Aub'!A:A,O594,'Prev Aub'!B:B)=0,"",SUMIF('Prev Aub'!A:A,O594,'Prev Aub'!B:B))</f>
        <v/>
      </c>
      <c r="AN594" s="25" t="s">
        <v>3790</v>
      </c>
      <c r="AO594" s="25" t="s">
        <v>3790</v>
      </c>
      <c r="AP594" s="25">
        <f t="shared" si="258"/>
        <v>0</v>
      </c>
      <c r="AQ594" s="151" t="str">
        <f>IF(SUMIFS('Supp Consol'!S:S,'Supp Consol'!A:A,O594,'Supp Consol'!I:I,"PENDING")=0,"",SUMIFS('Supp Consol'!S:S,'Supp Consol'!A:A,O594,'Supp Consol'!I:I,"PENDING"))</f>
        <v/>
      </c>
      <c r="AR594" s="27" t="str">
        <f t="shared" si="259"/>
        <v>HP557</v>
      </c>
      <c r="AS594" s="27" t="str">
        <f t="shared" si="260"/>
        <v>50</v>
      </c>
      <c r="AT594" s="27" t="str">
        <f t="shared" si="261"/>
        <v/>
      </c>
      <c r="AU594" s="27" t="str">
        <f t="shared" si="262"/>
        <v/>
      </c>
      <c r="AV594" s="27" t="str">
        <f t="shared" si="263"/>
        <v/>
      </c>
      <c r="AW594" s="27" t="str">
        <f t="shared" si="264"/>
        <v/>
      </c>
      <c r="AX594" s="27" t="str">
        <f t="shared" si="265"/>
        <v/>
      </c>
      <c r="AY594" s="27" t="str">
        <f t="shared" si="266"/>
        <v>HP557</v>
      </c>
      <c r="AZ594" s="27" t="str">
        <f t="shared" si="267"/>
        <v/>
      </c>
      <c r="BA594" s="27" t="str">
        <f t="shared" si="268"/>
        <v>Hun</v>
      </c>
      <c r="BB594" s="27" t="str">
        <f t="shared" si="269"/>
        <v/>
      </c>
      <c r="BC594" s="27" t="str">
        <f t="shared" si="270"/>
        <v/>
      </c>
      <c r="BD594" s="27" t="str">
        <f t="shared" si="271"/>
        <v/>
      </c>
      <c r="BE594" s="27" t="str">
        <f t="shared" si="272"/>
        <v/>
      </c>
      <c r="BF594" s="27" t="str">
        <f t="shared" si="273"/>
        <v/>
      </c>
      <c r="BG594" s="27" t="str">
        <f t="shared" si="274"/>
        <v/>
      </c>
      <c r="BH594" s="27" t="str">
        <f t="shared" si="275"/>
        <v/>
      </c>
      <c r="BI594" s="27" t="str">
        <f t="shared" si="276"/>
        <v/>
      </c>
      <c r="BJ594" s="27" t="str">
        <f t="shared" si="277"/>
        <v>Supp or Hun</v>
      </c>
      <c r="BK594" s="27" t="str">
        <f t="shared" si="278"/>
        <v/>
      </c>
      <c r="BL594" s="27" t="str">
        <f t="shared" si="279"/>
        <v/>
      </c>
      <c r="BM594" s="21" t="s">
        <v>5582</v>
      </c>
    </row>
    <row r="595" spans="1:65" ht="15">
      <c r="A595" s="25">
        <f>IFERROR(INDEX('Hun Demand'!W:W,MATCH(O595,'Hun Demand'!A:A,0)),"")</f>
        <v>193</v>
      </c>
      <c r="B595" s="25">
        <f>IFERROR(INDEX('Hun Demand'!V:V,MATCH(O595,'Hun Demand'!A:A,0)),"")</f>
        <v>222</v>
      </c>
      <c r="C595" s="25">
        <f>IFERROR(INDEX('Hun Demand'!U:U,MATCH(O595,'Hun Demand'!A:A,0)),"")</f>
        <v>326</v>
      </c>
      <c r="D595" s="25">
        <f>IFERROR(INDEX('Hun Demand'!T:T,MATCH(O595,'Hun Demand'!A:A,0)),"")</f>
        <v>0</v>
      </c>
      <c r="E595" s="25">
        <f>IFERROR(INDEX('Hun Demand'!S:S,MATCH(O595,'Hun Demand'!A:A,0)),"")</f>
        <v>0</v>
      </c>
      <c r="F595" s="25">
        <f>IFERROR(INDEX('Hun Demand'!R:R,MATCH(O595,'Hun Demand'!A:A,0)),"")</f>
        <v>0</v>
      </c>
      <c r="G595" s="25">
        <f>IFERROR(INDEX('Aub Demand'!W:W,MATCH(O595,'Aub Demand'!A:A,0)),"")</f>
        <v>0</v>
      </c>
      <c r="H595" s="25">
        <f>IFERROR(INDEX('Aub Demand'!V:V,MATCH(O595,'Aub Demand'!A:A,0)),"")</f>
        <v>0</v>
      </c>
      <c r="I595" s="25">
        <f>IFERROR(INDEX('Aub Demand'!U:U,MATCH(O595,'Aub Demand'!A:A,0)),"")</f>
        <v>0</v>
      </c>
      <c r="J595" s="25">
        <f>IFERROR(INDEX('Aub Demand'!T:T,MATCH(O595,'Aub Demand'!A:A,0)),"")</f>
        <v>0</v>
      </c>
      <c r="K595" s="25">
        <f>IFERROR(INDEX('Aub Demand'!S:S,MATCH(O595,'Aub Demand'!A:A,0)),"")</f>
        <v>41</v>
      </c>
      <c r="L595" s="25">
        <f>IFERROR(INDEX('Aub Demand'!R:R,MATCH(O595,'Aub Demand'!A:A,0)),"")</f>
        <v>0</v>
      </c>
      <c r="O595" s="27" t="s">
        <v>1001</v>
      </c>
      <c r="P595" s="27" t="str">
        <f>IFERROR(INDEX('Aub Demand'!B:B,MATCH($O595,'Aub Demand'!$A:$A,0)),"")</f>
        <v>INTERNATIONAL WHITE</v>
      </c>
      <c r="Q595" s="27" t="str">
        <f>IFERROR(INDEX('Aub Demand'!C:C,MATCH($O595,'Aub Demand'!$A:$A,0)),"")</f>
        <v>AHLST</v>
      </c>
      <c r="R595" s="52">
        <f>IFERROR(IF(AR596=AR595,INDEX('Aub Demand'!K:K,MATCH($O595,'Aub Demand'!$A:$A,0))-IF(AN595="",0,AN595)+AP596,INDEX('Aub Demand'!K:K,MATCH($O595,'Aub Demand'!$A:$A,0))-IF(AN595="",0,AN595)),"")</f>
        <v>654</v>
      </c>
      <c r="S595" s="53">
        <f t="shared" si="252"/>
        <v>200.2</v>
      </c>
      <c r="T595" s="52" t="str">
        <f t="shared" si="253"/>
        <v/>
      </c>
      <c r="U595" s="52">
        <f>IFERROR(IF(AR596=AR595,INDEX('Aub Demand'!Q:Q,MATCH($O595,'Aub Demand'!$A:$A,0))-IF(AN595="",0,AN595)+AP596,INDEX('Aub Demand'!Q:Q,MATCH($O595,'Aub Demand'!$A:$A,0))-IF(AN595="",0,AN595)),"")</f>
        <v>654</v>
      </c>
      <c r="V595" s="53">
        <f t="shared" si="254"/>
        <v>200.2</v>
      </c>
      <c r="W595" s="52" t="str">
        <f t="shared" si="255"/>
        <v/>
      </c>
      <c r="X595" s="52">
        <f>IFERROR(IF(AND(AR596=AR595,AM595&lt;&gt;""),INDEX('Aub Demand'!Q:Q,MATCH($O595,'Aub Demand'!$A:$A,0))-IF(AN595="",0,AN595)+AP596+AD595+AL595,IF(AR596=AR595,INDEX('Aub Demand'!Q:Q,MATCH($O595,'Aub Demand'!$A:$A,0))-IF(AN595="",0,AN595)+AP596+AD595,IF(AM595&lt;&gt;"",INDEX('Aub Demand'!Q:Q,MATCH($O595,'Aub Demand'!$A:$A,0))-IF(AN595="",0,AN595)+AD595+AL595,INDEX('Aub Demand'!Q:Q,MATCH($O595,'Aub Demand'!$A:$A,0))-IF(AN595="",0,AN595)+AD595))),"")</f>
        <v>654</v>
      </c>
      <c r="Y595" s="53">
        <f t="shared" si="256"/>
        <v>200.2</v>
      </c>
      <c r="Z595" s="52">
        <f>IF(L595="","",INDEX('Aub Demand'!H:H,MATCH($O595,'Aub Demand'!$A:$A,0)))</f>
        <v>14</v>
      </c>
      <c r="AA595" s="52" t="str">
        <f t="shared" si="257"/>
        <v>-spike-</v>
      </c>
      <c r="AB595" s="52">
        <f>IFERROR(INDEX('Aub Demand'!L:L,MATCH($O595,'Aub Demand'!$A:$A,0)),"")</f>
        <v>30</v>
      </c>
      <c r="AC595" s="52">
        <f>IFERROR(IF(O595="","",SUMIFS('CPL Mats'!F:F,'CPL Mats'!Q:Q,AR595,'CPL Mats'!S:S,AS595)),"")</f>
        <v>0</v>
      </c>
      <c r="AF595" s="25" t="str">
        <f>IF(SUMIFS('Supp Consol'!S:S,'Supp Consol'!Y:Y,"Releasable",'Supp Consol'!A:A,O595)=0,"",SUMIFS('Supp Consol'!S:S,'Supp Consol'!Y:Y,"Releasable",'Supp Consol'!A:A,O595))</f>
        <v/>
      </c>
      <c r="AG595" s="25">
        <f>IFERROR(INDEX('Hun Demand'!Q:Q,MATCH(O595,'Hun Demand'!A:A,0)),"")</f>
        <v>2827</v>
      </c>
      <c r="AH595" s="25">
        <f>IFERROR(INDEX('Hun Demand'!H:H,MATCH($O595,'Hun Demand'!$A:$A,0)),"")</f>
        <v>109</v>
      </c>
      <c r="AI595" s="25" t="str">
        <f>IF(SUMIFS('Supp Consol'!AA:AA,'Supp Consol'!Z:Z,"Expires this month",'Supp Consol'!A:A,O595)=0,"",SUMIFS('Supp Consol'!AA:AA,'Supp Consol'!Z:Z,"Expires this month",'Supp Consol'!A:A,O595))</f>
        <v/>
      </c>
      <c r="AJ595" s="25" t="str">
        <f>IF(SUMIFS('Supp Consol'!AA:AA,'Supp Consol'!Z:Z,"Expired Previous Months",'Supp Consol'!A:A,O595)=0,"",SUMIFS('Supp Consol'!AA:AA,'Supp Consol'!Z:Z,"Expired Previous Months",'Supp Consol'!A:A,O595))</f>
        <v/>
      </c>
      <c r="AK595" s="25" t="str">
        <f>IFERROR(INDEX('Hun Release Current'!B:B,MATCH(O595,'Hun Release Current'!A:A,0)),"")</f>
        <v/>
      </c>
      <c r="AL595" s="25" t="str">
        <f>IF(SUMIF('Prev Aub'!A:A,O595,'Prev Aub'!B:B)=0,"",SUMIF('Prev Aub'!A:A,O595,'Prev Aub'!B:B))</f>
        <v/>
      </c>
      <c r="AN595" s="25" t="s">
        <v>3790</v>
      </c>
      <c r="AO595" s="25" t="s">
        <v>3790</v>
      </c>
      <c r="AP595" s="25">
        <f t="shared" si="258"/>
        <v>0</v>
      </c>
      <c r="AQ595" s="151" t="str">
        <f>IF(SUMIFS('Supp Consol'!S:S,'Supp Consol'!A:A,O595,'Supp Consol'!I:I,"PENDING")=0,"",SUMIFS('Supp Consol'!S:S,'Supp Consol'!A:A,O595,'Supp Consol'!I:I,"PENDING"))</f>
        <v/>
      </c>
      <c r="AR595" s="27" t="str">
        <f t="shared" si="259"/>
        <v>HP557</v>
      </c>
      <c r="AS595" s="27" t="str">
        <f t="shared" si="260"/>
        <v>62</v>
      </c>
      <c r="AT595" s="27" t="str">
        <f t="shared" si="261"/>
        <v/>
      </c>
      <c r="AU595" s="27" t="str">
        <f t="shared" si="262"/>
        <v/>
      </c>
      <c r="AV595" s="27" t="str">
        <f t="shared" si="263"/>
        <v/>
      </c>
      <c r="AW595" s="27" t="str">
        <f t="shared" si="264"/>
        <v/>
      </c>
      <c r="AX595" s="27" t="str">
        <f t="shared" si="265"/>
        <v/>
      </c>
      <c r="AY595" s="27" t="str">
        <f t="shared" si="266"/>
        <v>HP557</v>
      </c>
      <c r="AZ595" s="27" t="str">
        <f t="shared" si="267"/>
        <v/>
      </c>
      <c r="BA595" s="27" t="str">
        <f t="shared" si="268"/>
        <v>Hun</v>
      </c>
      <c r="BB595" s="27" t="str">
        <f t="shared" si="269"/>
        <v/>
      </c>
      <c r="BC595" s="27" t="str">
        <f t="shared" si="270"/>
        <v/>
      </c>
      <c r="BD595" s="27" t="str">
        <f t="shared" si="271"/>
        <v/>
      </c>
      <c r="BE595" s="27" t="str">
        <f t="shared" si="272"/>
        <v/>
      </c>
      <c r="BF595" s="27" t="str">
        <f t="shared" si="273"/>
        <v/>
      </c>
      <c r="BG595" s="27" t="str">
        <f t="shared" si="274"/>
        <v/>
      </c>
      <c r="BH595" s="27" t="str">
        <f t="shared" si="275"/>
        <v/>
      </c>
      <c r="BI595" s="27" t="str">
        <f t="shared" si="276"/>
        <v/>
      </c>
      <c r="BJ595" s="27" t="str">
        <f t="shared" si="277"/>
        <v>Supp or Hun</v>
      </c>
      <c r="BK595" s="27" t="str">
        <f t="shared" si="278"/>
        <v/>
      </c>
      <c r="BL595" s="27" t="str">
        <f t="shared" si="279"/>
        <v/>
      </c>
      <c r="BM595" s="21" t="s">
        <v>5582</v>
      </c>
    </row>
    <row r="596" spans="1:65" ht="15">
      <c r="A596" s="25">
        <f>IFERROR(INDEX('Hun Demand'!W:W,MATCH(O596,'Hun Demand'!A:A,0)),"")</f>
        <v>200</v>
      </c>
      <c r="B596" s="25">
        <f>IFERROR(INDEX('Hun Demand'!V:V,MATCH(O596,'Hun Demand'!A:A,0)),"")</f>
        <v>1093</v>
      </c>
      <c r="C596" s="25">
        <f>IFERROR(INDEX('Hun Demand'!U:U,MATCH(O596,'Hun Demand'!A:A,0)),"")</f>
        <v>0</v>
      </c>
      <c r="D596" s="25">
        <f>IFERROR(INDEX('Hun Demand'!T:T,MATCH(O596,'Hun Demand'!A:A,0)),"")</f>
        <v>693</v>
      </c>
      <c r="E596" s="25">
        <f>IFERROR(INDEX('Hun Demand'!S:S,MATCH(O596,'Hun Demand'!A:A,0)),"")</f>
        <v>522</v>
      </c>
      <c r="F596" s="25">
        <f>IFERROR(INDEX('Hun Demand'!R:R,MATCH(O596,'Hun Demand'!A:A,0)),"")</f>
        <v>0</v>
      </c>
      <c r="G596" s="25">
        <f>IFERROR(INDEX('Aub Demand'!W:W,MATCH(O596,'Aub Demand'!A:A,0)),"")</f>
        <v>0</v>
      </c>
      <c r="H596" s="25">
        <f>IFERROR(INDEX('Aub Demand'!V:V,MATCH(O596,'Aub Demand'!A:A,0)),"")</f>
        <v>2394</v>
      </c>
      <c r="I596" s="25">
        <f>IFERROR(INDEX('Aub Demand'!U:U,MATCH(O596,'Aub Demand'!A:A,0)),"")</f>
        <v>0</v>
      </c>
      <c r="J596" s="25">
        <f>IFERROR(INDEX('Aub Demand'!T:T,MATCH(O596,'Aub Demand'!A:A,0)),"")</f>
        <v>0</v>
      </c>
      <c r="K596" s="25">
        <f>IFERROR(INDEX('Aub Demand'!S:S,MATCH(O596,'Aub Demand'!A:A,0)),"")</f>
        <v>2344</v>
      </c>
      <c r="L596" s="25">
        <f>IFERROR(INDEX('Aub Demand'!R:R,MATCH(O596,'Aub Demand'!A:A,0)),"")</f>
        <v>0</v>
      </c>
      <c r="O596" s="27" t="s">
        <v>1005</v>
      </c>
      <c r="P596" s="27" t="str">
        <f>IFERROR(INDEX('Aub Demand'!B:B,MATCH($O596,'Aub Demand'!$A:$A,0)),"")</f>
        <v>ANTHRACITE (SOLID)</v>
      </c>
      <c r="Q596" s="27" t="str">
        <f>IFERROR(INDEX('Aub Demand'!C:C,MATCH($O596,'Aub Demand'!$A:$A,0)),"")</f>
        <v>TECHN</v>
      </c>
      <c r="R596" s="52">
        <f>IFERROR(IF(AR597=AR596,INDEX('Aub Demand'!K:K,MATCH($O596,'Aub Demand'!$A:$A,0))-IF(AN596="",0,AN596)+AP597,INDEX('Aub Demand'!K:K,MATCH($O596,'Aub Demand'!$A:$A,0))-IF(AN596="",0,AN596)),"")</f>
        <v>19360</v>
      </c>
      <c r="S596" s="53">
        <f t="shared" si="252"/>
        <v>106.2</v>
      </c>
      <c r="T596" s="52" t="str">
        <f t="shared" si="253"/>
        <v/>
      </c>
      <c r="U596" s="52">
        <f>IFERROR(IF(AR597=AR596,INDEX('Aub Demand'!Q:Q,MATCH($O596,'Aub Demand'!$A:$A,0))-IF(AN596="",0,AN596)+AP597,INDEX('Aub Demand'!Q:Q,MATCH($O596,'Aub Demand'!$A:$A,0))-IF(AN596="",0,AN596)),"")</f>
        <v>19360</v>
      </c>
      <c r="V596" s="53">
        <f t="shared" si="254"/>
        <v>106.2</v>
      </c>
      <c r="W596" s="52" t="str">
        <f t="shared" si="255"/>
        <v/>
      </c>
      <c r="X596" s="52">
        <f>IFERROR(IF(AND(AR597=AR596,AM596&lt;&gt;""),INDEX('Aub Demand'!Q:Q,MATCH($O596,'Aub Demand'!$A:$A,0))-IF(AN596="",0,AN596)+AP597+AD596+AL596,IF(AR597=AR596,INDEX('Aub Demand'!Q:Q,MATCH($O596,'Aub Demand'!$A:$A,0))-IF(AN596="",0,AN596)+AP597+AD596,IF(AM596&lt;&gt;"",INDEX('Aub Demand'!Q:Q,MATCH($O596,'Aub Demand'!$A:$A,0))-IF(AN596="",0,AN596)+AD596+AL596,INDEX('Aub Demand'!Q:Q,MATCH($O596,'Aub Demand'!$A:$A,0))-IF(AN596="",0,AN596)+AD596))),"")</f>
        <v>19360</v>
      </c>
      <c r="Y596" s="53">
        <f t="shared" si="256"/>
        <v>106.2</v>
      </c>
      <c r="Z596" s="52">
        <f>IF(L596="","",INDEX('Aub Demand'!H:H,MATCH($O596,'Aub Demand'!$A:$A,0)))</f>
        <v>781</v>
      </c>
      <c r="AA596" s="52" t="str">
        <f t="shared" si="257"/>
        <v>-spike-</v>
      </c>
      <c r="AB596" s="52">
        <f>IFERROR(INDEX('Aub Demand'!L:L,MATCH($O596,'Aub Demand'!$A:$A,0)),"")</f>
        <v>0</v>
      </c>
      <c r="AC596" s="52">
        <f>IFERROR(IF(O596="","",SUMIFS('CPL Mats'!F:F,'CPL Mats'!Q:Q,AR596,'CPL Mats'!S:S,AS596)),"")</f>
        <v>0</v>
      </c>
      <c r="AF596" s="25" t="str">
        <f>IF(SUMIFS('Supp Consol'!S:S,'Supp Consol'!Y:Y,"Releasable",'Supp Consol'!A:A,O596)=0,"",SUMIFS('Supp Consol'!S:S,'Supp Consol'!Y:Y,"Releasable",'Supp Consol'!A:A,O596))</f>
        <v/>
      </c>
      <c r="AG596" s="25">
        <f>IFERROR(INDEX('Hun Demand'!Q:Q,MATCH(O596,'Hun Demand'!A:A,0)),"")</f>
        <v>300</v>
      </c>
      <c r="AH596" s="25">
        <f>IFERROR(INDEX('Hun Demand'!H:H,MATCH($O596,'Hun Demand'!$A:$A,0)),"")</f>
        <v>405</v>
      </c>
      <c r="AI596" s="25" t="str">
        <f>IF(SUMIFS('Supp Consol'!AA:AA,'Supp Consol'!Z:Z,"Expires this month",'Supp Consol'!A:A,O596)=0,"",SUMIFS('Supp Consol'!AA:AA,'Supp Consol'!Z:Z,"Expires this month",'Supp Consol'!A:A,O596))</f>
        <v/>
      </c>
      <c r="AJ596" s="25" t="str">
        <f>IF(SUMIFS('Supp Consol'!AA:AA,'Supp Consol'!Z:Z,"Expired Previous Months",'Supp Consol'!A:A,O596)=0,"",SUMIFS('Supp Consol'!AA:AA,'Supp Consol'!Z:Z,"Expired Previous Months",'Supp Consol'!A:A,O596))</f>
        <v/>
      </c>
      <c r="AK596" s="25" t="str">
        <f>IFERROR(INDEX('Hun Release Current'!B:B,MATCH(O596,'Hun Release Current'!A:A,0)),"")</f>
        <v/>
      </c>
      <c r="AL596" s="25" t="str">
        <f>IF(SUMIF('Prev Aub'!A:A,O596,'Prev Aub'!B:B)=0,"",SUMIF('Prev Aub'!A:A,O596,'Prev Aub'!B:B))</f>
        <v/>
      </c>
      <c r="AN596" s="25" t="s">
        <v>3790</v>
      </c>
      <c r="AO596" s="25" t="s">
        <v>3790</v>
      </c>
      <c r="AP596" s="25">
        <f t="shared" si="258"/>
        <v>0</v>
      </c>
      <c r="AQ596" s="151" t="str">
        <f>IF(SUMIFS('Supp Consol'!S:S,'Supp Consol'!A:A,O596,'Supp Consol'!I:I,"PENDING")=0,"",SUMIFS('Supp Consol'!S:S,'Supp Consol'!A:A,O596,'Supp Consol'!I:I,"PENDING"))</f>
        <v/>
      </c>
      <c r="AR596" s="27" t="str">
        <f t="shared" si="259"/>
        <v>HP563</v>
      </c>
      <c r="AS596" s="27" t="str">
        <f t="shared" si="260"/>
        <v>62</v>
      </c>
      <c r="AT596" s="27" t="str">
        <f t="shared" si="261"/>
        <v/>
      </c>
      <c r="AU596" s="27" t="str">
        <f t="shared" si="262"/>
        <v/>
      </c>
      <c r="AV596" s="27" t="str">
        <f t="shared" si="263"/>
        <v/>
      </c>
      <c r="AW596" s="27" t="str">
        <f t="shared" si="264"/>
        <v/>
      </c>
      <c r="AX596" s="27" t="str">
        <f t="shared" si="265"/>
        <v/>
      </c>
      <c r="AY596" s="27" t="str">
        <f t="shared" si="266"/>
        <v/>
      </c>
      <c r="AZ596" s="27" t="str">
        <f t="shared" si="267"/>
        <v/>
      </c>
      <c r="BA596" s="27" t="str">
        <f t="shared" si="268"/>
        <v/>
      </c>
      <c r="BB596" s="27" t="str">
        <f t="shared" si="269"/>
        <v/>
      </c>
      <c r="BC596" s="27" t="str">
        <f t="shared" si="270"/>
        <v/>
      </c>
      <c r="BD596" s="27" t="str">
        <f t="shared" si="271"/>
        <v/>
      </c>
      <c r="BE596" s="27" t="str">
        <f t="shared" si="272"/>
        <v/>
      </c>
      <c r="BF596" s="27" t="str">
        <f t="shared" si="273"/>
        <v/>
      </c>
      <c r="BG596" s="27" t="str">
        <f t="shared" si="274"/>
        <v/>
      </c>
      <c r="BH596" s="27" t="str">
        <f t="shared" si="275"/>
        <v/>
      </c>
      <c r="BI596" s="27" t="str">
        <f t="shared" si="276"/>
        <v/>
      </c>
      <c r="BJ596" s="27" t="str">
        <f t="shared" si="277"/>
        <v/>
      </c>
      <c r="BK596" s="27" t="str">
        <f t="shared" si="278"/>
        <v/>
      </c>
      <c r="BL596" s="27" t="str">
        <f t="shared" si="279"/>
        <v/>
      </c>
      <c r="BM596" s="21" t="s">
        <v>5582</v>
      </c>
    </row>
    <row r="597" spans="1:65" ht="15">
      <c r="A597" s="25">
        <f>IFERROR(INDEX('Hun Demand'!W:W,MATCH(O597,'Hun Demand'!A:A,0)),"")</f>
        <v>1276</v>
      </c>
      <c r="B597" s="25">
        <f>IFERROR(INDEX('Hun Demand'!V:V,MATCH(O597,'Hun Demand'!A:A,0)),"")</f>
        <v>1955</v>
      </c>
      <c r="C597" s="25">
        <f>IFERROR(INDEX('Hun Demand'!U:U,MATCH(O597,'Hun Demand'!A:A,0)),"")</f>
        <v>1757</v>
      </c>
      <c r="D597" s="25">
        <f>IFERROR(INDEX('Hun Demand'!T:T,MATCH(O597,'Hun Demand'!A:A,0)),"")</f>
        <v>855</v>
      </c>
      <c r="E597" s="25">
        <f>IFERROR(INDEX('Hun Demand'!S:S,MATCH(O597,'Hun Demand'!A:A,0)),"")</f>
        <v>2339</v>
      </c>
      <c r="F597" s="25">
        <f>IFERROR(INDEX('Hun Demand'!R:R,MATCH(O597,'Hun Demand'!A:A,0)),"")</f>
        <v>0</v>
      </c>
      <c r="G597" s="25">
        <f>IFERROR(INDEX('Aub Demand'!W:W,MATCH(O597,'Aub Demand'!A:A,0)),"")</f>
        <v>202</v>
      </c>
      <c r="H597" s="25">
        <f>IFERROR(INDEX('Aub Demand'!V:V,MATCH(O597,'Aub Demand'!A:A,0)),"")</f>
        <v>292</v>
      </c>
      <c r="I597" s="25">
        <f>IFERROR(INDEX('Aub Demand'!U:U,MATCH(O597,'Aub Demand'!A:A,0)),"")</f>
        <v>0</v>
      </c>
      <c r="J597" s="25">
        <f>IFERROR(INDEX('Aub Demand'!T:T,MATCH(O597,'Aub Demand'!A:A,0)),"")</f>
        <v>148</v>
      </c>
      <c r="K597" s="25">
        <f>IFERROR(INDEX('Aub Demand'!S:S,MATCH(O597,'Aub Demand'!A:A,0)),"")</f>
        <v>478</v>
      </c>
      <c r="L597" s="25">
        <f>IFERROR(INDEX('Aub Demand'!R:R,MATCH(O597,'Aub Demand'!A:A,0)),"")</f>
        <v>0</v>
      </c>
      <c r="O597" s="27" t="s">
        <v>1006</v>
      </c>
      <c r="P597" s="27" t="str">
        <f>IFERROR(INDEX('Aub Demand'!B:B,MATCH($O597,'Aub Demand'!$A:$A,0)),"")</f>
        <v>STORM GRAY (SOLID)</v>
      </c>
      <c r="Q597" s="27" t="str">
        <f>IFERROR(INDEX('Aub Demand'!C:C,MATCH($O597,'Aub Demand'!$A:$A,0)),"")</f>
        <v>PANOL</v>
      </c>
      <c r="R597" s="52">
        <f>IFERROR(IF(AR598=AR597,INDEX('Aub Demand'!K:K,MATCH($O597,'Aub Demand'!$A:$A,0))-IF(AN597="",0,AN597)+AP598,INDEX('Aub Demand'!K:K,MATCH($O597,'Aub Demand'!$A:$A,0))-IF(AN597="",0,AN597)),"")</f>
        <v>0</v>
      </c>
      <c r="S597" s="53">
        <f t="shared" si="252"/>
        <v>0</v>
      </c>
      <c r="T597" s="52">
        <f t="shared" si="253"/>
        <v>234.75</v>
      </c>
      <c r="U597" s="52">
        <f>IFERROR(IF(AR598=AR597,INDEX('Aub Demand'!Q:Q,MATCH($O597,'Aub Demand'!$A:$A,0))-IF(AN597="",0,AN597)+AP598,INDEX('Aub Demand'!Q:Q,MATCH($O597,'Aub Demand'!$A:$A,0))-IF(AN597="",0,AN597)),"")</f>
        <v>-151</v>
      </c>
      <c r="V597" s="53">
        <f t="shared" si="254"/>
        <v>-3.1</v>
      </c>
      <c r="W597" s="52">
        <f t="shared" si="255"/>
        <v>477.32499999999999</v>
      </c>
      <c r="X597" s="52">
        <f>IFERROR(IF(AND(AR598=AR597,AM597&lt;&gt;""),INDEX('Aub Demand'!Q:Q,MATCH($O597,'Aub Demand'!$A:$A,0))-IF(AN597="",0,AN597)+AP598+AD597+AL597,IF(AR598=AR597,INDEX('Aub Demand'!Q:Q,MATCH($O597,'Aub Demand'!$A:$A,0))-IF(AN597="",0,AN597)+AP598+AD597,IF(AM597&lt;&gt;"",INDEX('Aub Demand'!Q:Q,MATCH($O597,'Aub Demand'!$A:$A,0))-IF(AN597="",0,AN597)+AD597+AL597,INDEX('Aub Demand'!Q:Q,MATCH($O597,'Aub Demand'!$A:$A,0))-IF(AN597="",0,AN597)+AD597))),"")</f>
        <v>-151</v>
      </c>
      <c r="Y597" s="53">
        <f t="shared" si="256"/>
        <v>-3.1</v>
      </c>
      <c r="Z597" s="52">
        <f>IF(L597="","",INDEX('Aub Demand'!H:H,MATCH($O597,'Aub Demand'!$A:$A,0)))</f>
        <v>209</v>
      </c>
      <c r="AA597" s="52">
        <f t="shared" si="257"/>
        <v>313</v>
      </c>
      <c r="AB597" s="52">
        <f>IFERROR(INDEX('Aub Demand'!L:L,MATCH($O597,'Aub Demand'!$A:$A,0)),"")</f>
        <v>376</v>
      </c>
      <c r="AC597" s="52">
        <f>IFERROR(IF(O597="","",SUMIFS('CPL Mats'!F:F,'CPL Mats'!Q:Q,AR597,'CPL Mats'!S:S,AS597)),"")</f>
        <v>0</v>
      </c>
      <c r="AF597" s="25" t="str">
        <f>IF(SUMIFS('Supp Consol'!S:S,'Supp Consol'!Y:Y,"Releasable",'Supp Consol'!A:A,O597)=0,"",SUMIFS('Supp Consol'!S:S,'Supp Consol'!Y:Y,"Releasable",'Supp Consol'!A:A,O597))</f>
        <v/>
      </c>
      <c r="AG597" s="25">
        <f>IFERROR(INDEX('Hun Demand'!Q:Q,MATCH(O597,'Hun Demand'!A:A,0)),"")</f>
        <v>42552</v>
      </c>
      <c r="AH597" s="25">
        <f>IFERROR(INDEX('Hun Demand'!H:H,MATCH($O597,'Hun Demand'!$A:$A,0)),"")</f>
        <v>1650</v>
      </c>
      <c r="AI597" s="25" t="str">
        <f>IF(SUMIFS('Supp Consol'!AA:AA,'Supp Consol'!Z:Z,"Expires this month",'Supp Consol'!A:A,O597)=0,"",SUMIFS('Supp Consol'!AA:AA,'Supp Consol'!Z:Z,"Expires this month",'Supp Consol'!A:A,O597))</f>
        <v/>
      </c>
      <c r="AJ597" s="25" t="str">
        <f>IF(SUMIFS('Supp Consol'!AA:AA,'Supp Consol'!Z:Z,"Expired Previous Months",'Supp Consol'!A:A,O597)=0,"",SUMIFS('Supp Consol'!AA:AA,'Supp Consol'!Z:Z,"Expired Previous Months",'Supp Consol'!A:A,O597))</f>
        <v/>
      </c>
      <c r="AK597" s="25" t="str">
        <f>IFERROR(INDEX('Hun Release Current'!B:B,MATCH(O597,'Hun Release Current'!A:A,0)),"")</f>
        <v/>
      </c>
      <c r="AL597" s="25" t="str">
        <f>IF(SUMIF('Prev Aub'!A:A,O597,'Prev Aub'!B:B)=0,"",SUMIF('Prev Aub'!A:A,O597,'Prev Aub'!B:B))</f>
        <v/>
      </c>
      <c r="AN597" s="25" t="s">
        <v>3790</v>
      </c>
      <c r="AO597" s="25" t="s">
        <v>3790</v>
      </c>
      <c r="AP597" s="25">
        <f t="shared" si="258"/>
        <v>0</v>
      </c>
      <c r="AQ597" s="151" t="str">
        <f>IF(SUMIFS('Supp Consol'!S:S,'Supp Consol'!A:A,O597,'Supp Consol'!I:I,"PENDING")=0,"",SUMIFS('Supp Consol'!S:S,'Supp Consol'!A:A,O597,'Supp Consol'!I:I,"PENDING"))</f>
        <v/>
      </c>
      <c r="AR597" s="27" t="str">
        <f t="shared" si="259"/>
        <v>HP565</v>
      </c>
      <c r="AS597" s="27" t="str">
        <f t="shared" si="260"/>
        <v>50</v>
      </c>
      <c r="AT597" s="27" t="str">
        <f t="shared" si="261"/>
        <v>HP565</v>
      </c>
      <c r="AU597" s="27" t="str">
        <f t="shared" si="262"/>
        <v>HP565</v>
      </c>
      <c r="AV597" s="27" t="str">
        <f t="shared" si="263"/>
        <v>HP565</v>
      </c>
      <c r="AW597" s="27" t="str">
        <f t="shared" si="264"/>
        <v/>
      </c>
      <c r="AX597" s="27" t="str">
        <f t="shared" si="265"/>
        <v/>
      </c>
      <c r="AY597" s="27" t="str">
        <f t="shared" si="266"/>
        <v>HP565</v>
      </c>
      <c r="AZ597" s="27" t="str">
        <f t="shared" si="267"/>
        <v/>
      </c>
      <c r="BA597" s="27" t="str">
        <f t="shared" si="268"/>
        <v>Hun</v>
      </c>
      <c r="BB597" s="27" t="str">
        <f t="shared" si="269"/>
        <v>Gross</v>
      </c>
      <c r="BC597" s="27" t="str">
        <f t="shared" si="270"/>
        <v>Net</v>
      </c>
      <c r="BD597" s="27" t="str">
        <f t="shared" si="271"/>
        <v>Net</v>
      </c>
      <c r="BE597" s="27" t="str">
        <f t="shared" si="272"/>
        <v/>
      </c>
      <c r="BF597" s="27" t="str">
        <f t="shared" si="273"/>
        <v/>
      </c>
      <c r="BG597" s="27" t="str">
        <f t="shared" si="274"/>
        <v/>
      </c>
      <c r="BH597" s="27" t="str">
        <f t="shared" si="275"/>
        <v>H+N</v>
      </c>
      <c r="BI597" s="27" t="str">
        <f t="shared" si="276"/>
        <v>H+Nex</v>
      </c>
      <c r="BJ597" s="27" t="str">
        <f t="shared" si="277"/>
        <v>Supp or Hun</v>
      </c>
      <c r="BK597" s="27" t="str">
        <f t="shared" si="278"/>
        <v>Supp or Hun Need</v>
      </c>
      <c r="BL597" s="27" t="str">
        <f t="shared" si="279"/>
        <v>SorHandNandE</v>
      </c>
      <c r="BM597" s="21" t="s">
        <v>5582</v>
      </c>
    </row>
    <row r="598" spans="1:65" ht="15">
      <c r="A598" s="25">
        <f>IFERROR(INDEX('Hun Demand'!W:W,MATCH(O598,'Hun Demand'!A:A,0)),"")</f>
        <v>960</v>
      </c>
      <c r="B598" s="25">
        <f>IFERROR(INDEX('Hun Demand'!V:V,MATCH(O598,'Hun Demand'!A:A,0)),"")</f>
        <v>1825</v>
      </c>
      <c r="C598" s="25">
        <f>IFERROR(INDEX('Hun Demand'!U:U,MATCH(O598,'Hun Demand'!A:A,0)),"")</f>
        <v>1581</v>
      </c>
      <c r="D598" s="25">
        <f>IFERROR(INDEX('Hun Demand'!T:T,MATCH(O598,'Hun Demand'!A:A,0)),"")</f>
        <v>262</v>
      </c>
      <c r="E598" s="25">
        <f>IFERROR(INDEX('Hun Demand'!S:S,MATCH(O598,'Hun Demand'!A:A,0)),"")</f>
        <v>2086</v>
      </c>
      <c r="F598" s="25">
        <f>IFERROR(INDEX('Hun Demand'!R:R,MATCH(O598,'Hun Demand'!A:A,0)),"")</f>
        <v>0</v>
      </c>
      <c r="G598" s="25">
        <f>IFERROR(INDEX('Aub Demand'!W:W,MATCH(O598,'Aub Demand'!A:A,0)),"")</f>
        <v>156</v>
      </c>
      <c r="H598" s="25">
        <f>IFERROR(INDEX('Aub Demand'!V:V,MATCH(O598,'Aub Demand'!A:A,0)),"")</f>
        <v>339</v>
      </c>
      <c r="I598" s="25">
        <f>IFERROR(INDEX('Aub Demand'!U:U,MATCH(O598,'Aub Demand'!A:A,0)),"")</f>
        <v>0</v>
      </c>
      <c r="J598" s="25">
        <f>IFERROR(INDEX('Aub Demand'!T:T,MATCH(O598,'Aub Demand'!A:A,0)),"")</f>
        <v>130</v>
      </c>
      <c r="K598" s="25">
        <f>IFERROR(INDEX('Aub Demand'!S:S,MATCH(O598,'Aub Demand'!A:A,0)),"")</f>
        <v>0</v>
      </c>
      <c r="L598" s="25">
        <f>IFERROR(INDEX('Aub Demand'!R:R,MATCH(O598,'Aub Demand'!A:A,0)),"")</f>
        <v>0</v>
      </c>
      <c r="O598" s="27" t="s">
        <v>1009</v>
      </c>
      <c r="P598" s="27" t="str">
        <f>IFERROR(INDEX('Aub Demand'!B:B,MATCH($O598,'Aub Demand'!$A:$A,0)),"")</f>
        <v>STORM GRAY (SOLID)</v>
      </c>
      <c r="Q598" s="27" t="str">
        <f>IFERROR(INDEX('Aub Demand'!C:C,MATCH($O598,'Aub Demand'!$A:$A,0)),"")</f>
        <v>CARTI</v>
      </c>
      <c r="R598" s="52">
        <f>IFERROR(IF(AR599=AR598,INDEX('Aub Demand'!K:K,MATCH($O598,'Aub Demand'!$A:$A,0))-IF(AN598="",0,AN598)+AP599,INDEX('Aub Demand'!K:K,MATCH($O598,'Aub Demand'!$A:$A,0))-IF(AN598="",0,AN598)),"")</f>
        <v>426</v>
      </c>
      <c r="S598" s="53">
        <f t="shared" si="252"/>
        <v>42.5</v>
      </c>
      <c r="T598" s="52" t="str">
        <f t="shared" si="253"/>
        <v/>
      </c>
      <c r="U598" s="52">
        <f>IFERROR(IF(AR599=AR598,INDEX('Aub Demand'!Q:Q,MATCH($O598,'Aub Demand'!$A:$A,0))-IF(AN598="",0,AN598)+AP599,INDEX('Aub Demand'!Q:Q,MATCH($O598,'Aub Demand'!$A:$A,0))-IF(AN598="",0,AN598)),"")</f>
        <v>366</v>
      </c>
      <c r="V598" s="53">
        <f t="shared" si="254"/>
        <v>36.5</v>
      </c>
      <c r="W598" s="52" t="str">
        <f t="shared" si="255"/>
        <v/>
      </c>
      <c r="X598" s="52">
        <f>IFERROR(IF(AND(AR599=AR598,AM598&lt;&gt;""),INDEX('Aub Demand'!Q:Q,MATCH($O598,'Aub Demand'!$A:$A,0))-IF(AN598="",0,AN598)+AP599+AD598+AL598,IF(AR599=AR598,INDEX('Aub Demand'!Q:Q,MATCH($O598,'Aub Demand'!$A:$A,0))-IF(AN598="",0,AN598)+AP599+AD598,IF(AM598&lt;&gt;"",INDEX('Aub Demand'!Q:Q,MATCH($O598,'Aub Demand'!$A:$A,0))-IF(AN598="",0,AN598)+AD598+AL598,INDEX('Aub Demand'!Q:Q,MATCH($O598,'Aub Demand'!$A:$A,0))-IF(AN598="",0,AN598)+AD598))),"")</f>
        <v>366</v>
      </c>
      <c r="Y598" s="53">
        <f t="shared" si="256"/>
        <v>36.5</v>
      </c>
      <c r="Z598" s="52">
        <f>IF(L598="","",INDEX('Aub Demand'!H:H,MATCH($O598,'Aub Demand'!$A:$A,0)))</f>
        <v>43</v>
      </c>
      <c r="AA598" s="52" t="str">
        <f t="shared" si="257"/>
        <v>-spike-</v>
      </c>
      <c r="AB598" s="52">
        <f>IFERROR(INDEX('Aub Demand'!L:L,MATCH($O598,'Aub Demand'!$A:$A,0)),"")</f>
        <v>120</v>
      </c>
      <c r="AC598" s="52">
        <f>IFERROR(IF(O598="","",SUMIFS('CPL Mats'!F:F,'CPL Mats'!Q:Q,AR598,'CPL Mats'!S:S,AS598)),"")</f>
        <v>0</v>
      </c>
      <c r="AF598" s="25" t="str">
        <f>IF(SUMIFS('Supp Consol'!S:S,'Supp Consol'!Y:Y,"Releasable",'Supp Consol'!A:A,O598)=0,"",SUMIFS('Supp Consol'!S:S,'Supp Consol'!Y:Y,"Releasable",'Supp Consol'!A:A,O598))</f>
        <v/>
      </c>
      <c r="AG598" s="25">
        <f>IFERROR(INDEX('Hun Demand'!Q:Q,MATCH(O598,'Hun Demand'!A:A,0)),"")</f>
        <v>4997</v>
      </c>
      <c r="AH598" s="25">
        <f>IFERROR(INDEX('Hun Demand'!H:H,MATCH($O598,'Hun Demand'!$A:$A,0)),"")</f>
        <v>1310</v>
      </c>
      <c r="AI598" s="25" t="str">
        <f>IF(SUMIFS('Supp Consol'!AA:AA,'Supp Consol'!Z:Z,"Expires this month",'Supp Consol'!A:A,O598)=0,"",SUMIFS('Supp Consol'!AA:AA,'Supp Consol'!Z:Z,"Expires this month",'Supp Consol'!A:A,O598))</f>
        <v/>
      </c>
      <c r="AJ598" s="25" t="str">
        <f>IF(SUMIFS('Supp Consol'!AA:AA,'Supp Consol'!Z:Z,"Expired Previous Months",'Supp Consol'!A:A,O598)=0,"",SUMIFS('Supp Consol'!AA:AA,'Supp Consol'!Z:Z,"Expired Previous Months",'Supp Consol'!A:A,O598))</f>
        <v/>
      </c>
      <c r="AK598" s="25" t="str">
        <f>IFERROR(INDEX('Hun Release Current'!B:B,MATCH(O598,'Hun Release Current'!A:A,0)),"")</f>
        <v/>
      </c>
      <c r="AL598" s="25" t="str">
        <f>IF(SUMIF('Prev Aub'!A:A,O598,'Prev Aub'!B:B)=0,"",SUMIF('Prev Aub'!A:A,O598,'Prev Aub'!B:B))</f>
        <v/>
      </c>
      <c r="AN598" s="25" t="s">
        <v>3790</v>
      </c>
      <c r="AO598" s="25" t="s">
        <v>3790</v>
      </c>
      <c r="AP598" s="25">
        <f t="shared" si="258"/>
        <v>0</v>
      </c>
      <c r="AQ598" s="151" t="str">
        <f>IF(SUMIFS('Supp Consol'!S:S,'Supp Consol'!A:A,O598,'Supp Consol'!I:I,"PENDING")=0,"",SUMIFS('Supp Consol'!S:S,'Supp Consol'!A:A,O598,'Supp Consol'!I:I,"PENDING"))</f>
        <v/>
      </c>
      <c r="AR598" s="27" t="str">
        <f t="shared" si="259"/>
        <v>HP565</v>
      </c>
      <c r="AS598" s="27" t="str">
        <f t="shared" si="260"/>
        <v>62</v>
      </c>
      <c r="AT598" s="27" t="str">
        <f t="shared" si="261"/>
        <v/>
      </c>
      <c r="AU598" s="27" t="str">
        <f t="shared" si="262"/>
        <v/>
      </c>
      <c r="AV598" s="27" t="str">
        <f t="shared" si="263"/>
        <v/>
      </c>
      <c r="AW598" s="27" t="str">
        <f t="shared" si="264"/>
        <v/>
      </c>
      <c r="AX598" s="27" t="str">
        <f t="shared" si="265"/>
        <v/>
      </c>
      <c r="AY598" s="27" t="str">
        <f t="shared" si="266"/>
        <v>HP565</v>
      </c>
      <c r="AZ598" s="27" t="str">
        <f t="shared" si="267"/>
        <v/>
      </c>
      <c r="BA598" s="27" t="str">
        <f t="shared" si="268"/>
        <v>Hun</v>
      </c>
      <c r="BB598" s="27" t="str">
        <f t="shared" si="269"/>
        <v>Gross</v>
      </c>
      <c r="BC598" s="27" t="str">
        <f t="shared" si="270"/>
        <v>Net</v>
      </c>
      <c r="BD598" s="27" t="str">
        <f t="shared" si="271"/>
        <v>Net</v>
      </c>
      <c r="BE598" s="27" t="str">
        <f t="shared" si="272"/>
        <v/>
      </c>
      <c r="BF598" s="27" t="str">
        <f t="shared" si="273"/>
        <v/>
      </c>
      <c r="BG598" s="27" t="str">
        <f t="shared" si="274"/>
        <v/>
      </c>
      <c r="BH598" s="27" t="str">
        <f t="shared" si="275"/>
        <v>H+N</v>
      </c>
      <c r="BI598" s="27" t="str">
        <f t="shared" si="276"/>
        <v>H+Nex</v>
      </c>
      <c r="BJ598" s="27" t="str">
        <f t="shared" si="277"/>
        <v>Supp or Hun</v>
      </c>
      <c r="BK598" s="27" t="str">
        <f t="shared" si="278"/>
        <v>Supp or Hun Need</v>
      </c>
      <c r="BL598" s="27" t="str">
        <f t="shared" si="279"/>
        <v>SorHandNandE</v>
      </c>
      <c r="BM598" s="21" t="s">
        <v>5582</v>
      </c>
    </row>
    <row r="599" spans="1:65" ht="15">
      <c r="A599" s="25">
        <f>IFERROR(INDEX('Hun Demand'!W:W,MATCH(O599,'Hun Demand'!A:A,0)),"")</f>
        <v>232</v>
      </c>
      <c r="B599" s="25">
        <f>IFERROR(INDEX('Hun Demand'!V:V,MATCH(O599,'Hun Demand'!A:A,0)),"")</f>
        <v>474</v>
      </c>
      <c r="C599" s="25">
        <f>IFERROR(INDEX('Hun Demand'!U:U,MATCH(O599,'Hun Demand'!A:A,0)),"")</f>
        <v>643</v>
      </c>
      <c r="D599" s="25">
        <f>IFERROR(INDEX('Hun Demand'!T:T,MATCH(O599,'Hun Demand'!A:A,0)),"")</f>
        <v>227</v>
      </c>
      <c r="E599" s="25">
        <f>IFERROR(INDEX('Hun Demand'!S:S,MATCH(O599,'Hun Demand'!A:A,0)),"")</f>
        <v>278</v>
      </c>
      <c r="F599" s="25">
        <f>IFERROR(INDEX('Hun Demand'!R:R,MATCH(O599,'Hun Demand'!A:A,0)),"")</f>
        <v>208</v>
      </c>
      <c r="G599" s="25">
        <f>IFERROR(INDEX('Aub Demand'!W:W,MATCH(O599,'Aub Demand'!A:A,0)),"")</f>
        <v>0</v>
      </c>
      <c r="H599" s="25">
        <f>IFERROR(INDEX('Aub Demand'!V:V,MATCH(O599,'Aub Demand'!A:A,0)),"")</f>
        <v>0</v>
      </c>
      <c r="I599" s="25">
        <f>IFERROR(INDEX('Aub Demand'!U:U,MATCH(O599,'Aub Demand'!A:A,0)),"")</f>
        <v>0</v>
      </c>
      <c r="J599" s="25">
        <f>IFERROR(INDEX('Aub Demand'!T:T,MATCH(O599,'Aub Demand'!A:A,0)),"")</f>
        <v>0</v>
      </c>
      <c r="K599" s="25">
        <f>IFERROR(INDEX('Aub Demand'!S:S,MATCH(O599,'Aub Demand'!A:A,0)),"")</f>
        <v>0</v>
      </c>
      <c r="L599" s="25">
        <f>IFERROR(INDEX('Aub Demand'!R:R,MATCH(O599,'Aub Demand'!A:A,0)),"")</f>
        <v>0</v>
      </c>
      <c r="O599" s="27" t="s">
        <v>3908</v>
      </c>
      <c r="P599" s="27" t="str">
        <f>IFERROR(INDEX('Aub Demand'!B:B,MATCH($O599,'Aub Demand'!$A:$A,0)),"")</f>
        <v>SURF (SOLID)</v>
      </c>
      <c r="Q599" s="27" t="str">
        <f>IFERROR(INDEX('Aub Demand'!C:C,MATCH($O599,'Aub Demand'!$A:$A,0)),"")</f>
        <v>TECHN</v>
      </c>
      <c r="R599" s="52">
        <f>IFERROR(IF(AR600=AR599,INDEX('Aub Demand'!K:K,MATCH($O599,'Aub Demand'!$A:$A,0))-IF(AN599="",0,AN599)+AP600,INDEX('Aub Demand'!K:K,MATCH($O599,'Aub Demand'!$A:$A,0))-IF(AN599="",0,AN599)),"")</f>
        <v>979</v>
      </c>
      <c r="S599" s="53" t="str">
        <f t="shared" si="252"/>
        <v>n/a</v>
      </c>
      <c r="T599" s="52" t="str">
        <f t="shared" si="253"/>
        <v/>
      </c>
      <c r="U599" s="52">
        <f>IFERROR(IF(AR600=AR599,INDEX('Aub Demand'!Q:Q,MATCH($O599,'Aub Demand'!$A:$A,0))-IF(AN599="",0,AN599)+AP600,INDEX('Aub Demand'!Q:Q,MATCH($O599,'Aub Demand'!$A:$A,0))-IF(AN599="",0,AN599)),"")</f>
        <v>979</v>
      </c>
      <c r="V599" s="53" t="str">
        <f t="shared" si="254"/>
        <v>n/a</v>
      </c>
      <c r="W599" s="52" t="str">
        <f t="shared" si="255"/>
        <v/>
      </c>
      <c r="X599" s="52">
        <f>IFERROR(IF(AND(AR600=AR599,AM599&lt;&gt;""),INDEX('Aub Demand'!Q:Q,MATCH($O599,'Aub Demand'!$A:$A,0))-IF(AN599="",0,AN599)+AP600+AD599+AL599,IF(AR600=AR599,INDEX('Aub Demand'!Q:Q,MATCH($O599,'Aub Demand'!$A:$A,0))-IF(AN599="",0,AN599)+AP600+AD599,IF(AM599&lt;&gt;"",INDEX('Aub Demand'!Q:Q,MATCH($O599,'Aub Demand'!$A:$A,0))-IF(AN599="",0,AN599)+AD599+AL599,INDEX('Aub Demand'!Q:Q,MATCH($O599,'Aub Demand'!$A:$A,0))-IF(AN599="",0,AN599)+AD599))),"")</f>
        <v>979</v>
      </c>
      <c r="Y599" s="53" t="str">
        <f t="shared" si="256"/>
        <v>n/a</v>
      </c>
      <c r="Z599" s="52">
        <f>IF(L599="","",INDEX('Aub Demand'!H:H,MATCH($O599,'Aub Demand'!$A:$A,0)))</f>
        <v>0</v>
      </c>
      <c r="AA599" s="52" t="str">
        <f t="shared" si="257"/>
        <v>-spike-</v>
      </c>
      <c r="AB599" s="52">
        <f>IFERROR(INDEX('Aub Demand'!L:L,MATCH($O599,'Aub Demand'!$A:$A,0)),"")</f>
        <v>9</v>
      </c>
      <c r="AC599" s="52">
        <f>IFERROR(IF(O599="","",SUMIFS('CPL Mats'!F:F,'CPL Mats'!Q:Q,AR599,'CPL Mats'!S:S,AS599)),"")</f>
        <v>0</v>
      </c>
      <c r="AF599" s="25" t="str">
        <f>IF(SUMIFS('Supp Consol'!S:S,'Supp Consol'!Y:Y,"Releasable",'Supp Consol'!A:A,O599)=0,"",SUMIFS('Supp Consol'!S:S,'Supp Consol'!Y:Y,"Releasable",'Supp Consol'!A:A,O599))</f>
        <v/>
      </c>
      <c r="AG599" s="25">
        <f>IFERROR(INDEX('Hun Demand'!Q:Q,MATCH(O599,'Hun Demand'!A:A,0)),"")</f>
        <v>-67</v>
      </c>
      <c r="AH599" s="25">
        <f>IFERROR(INDEX('Hun Demand'!H:H,MATCH($O599,'Hun Demand'!$A:$A,0)),"")</f>
        <v>383</v>
      </c>
      <c r="AI599" s="25" t="str">
        <f>IF(SUMIFS('Supp Consol'!AA:AA,'Supp Consol'!Z:Z,"Expires this month",'Supp Consol'!A:A,O599)=0,"",SUMIFS('Supp Consol'!AA:AA,'Supp Consol'!Z:Z,"Expires this month",'Supp Consol'!A:A,O599))</f>
        <v/>
      </c>
      <c r="AJ599" s="25" t="str">
        <f>IF(SUMIFS('Supp Consol'!AA:AA,'Supp Consol'!Z:Z,"Expired Previous Months",'Supp Consol'!A:A,O599)=0,"",SUMIFS('Supp Consol'!AA:AA,'Supp Consol'!Z:Z,"Expired Previous Months",'Supp Consol'!A:A,O599))</f>
        <v/>
      </c>
      <c r="AK599" s="25" t="str">
        <f>IFERROR(INDEX('Hun Release Current'!B:B,MATCH(O599,'Hun Release Current'!A:A,0)),"")</f>
        <v/>
      </c>
      <c r="AL599" s="25" t="str">
        <f>IF(SUMIF('Prev Aub'!A:A,O599,'Prev Aub'!B:B)=0,"",SUMIF('Prev Aub'!A:A,O599,'Prev Aub'!B:B))</f>
        <v/>
      </c>
      <c r="AN599" s="25" t="s">
        <v>3790</v>
      </c>
      <c r="AO599" s="25" t="s">
        <v>3790</v>
      </c>
      <c r="AP599" s="25">
        <f t="shared" si="258"/>
        <v>0</v>
      </c>
      <c r="AQ599" s="151" t="str">
        <f>IF(SUMIFS('Supp Consol'!S:S,'Supp Consol'!A:A,O599,'Supp Consol'!I:I,"PENDING")=0,"",SUMIFS('Supp Consol'!S:S,'Supp Consol'!A:A,O599,'Supp Consol'!I:I,"PENDING"))</f>
        <v/>
      </c>
      <c r="AR599" s="27" t="str">
        <f t="shared" si="259"/>
        <v>HP568</v>
      </c>
      <c r="AS599" s="27" t="str">
        <f t="shared" si="260"/>
        <v>50</v>
      </c>
      <c r="AT599" s="27" t="str">
        <f t="shared" si="261"/>
        <v/>
      </c>
      <c r="AU599" s="27" t="str">
        <f t="shared" si="262"/>
        <v/>
      </c>
      <c r="AV599" s="27" t="str">
        <f t="shared" si="263"/>
        <v/>
      </c>
      <c r="AW599" s="27" t="str">
        <f t="shared" si="264"/>
        <v/>
      </c>
      <c r="AX599" s="27" t="str">
        <f t="shared" si="265"/>
        <v/>
      </c>
      <c r="AY599" s="27" t="str">
        <f t="shared" si="266"/>
        <v/>
      </c>
      <c r="AZ599" s="27" t="str">
        <f t="shared" si="267"/>
        <v/>
      </c>
      <c r="BA599" s="27" t="str">
        <f t="shared" si="268"/>
        <v>Hun</v>
      </c>
      <c r="BB599" s="27" t="str">
        <f t="shared" si="269"/>
        <v/>
      </c>
      <c r="BC599" s="27" t="str">
        <f t="shared" si="270"/>
        <v/>
      </c>
      <c r="BD599" s="27" t="str">
        <f t="shared" si="271"/>
        <v/>
      </c>
      <c r="BE599" s="27" t="str">
        <f t="shared" si="272"/>
        <v/>
      </c>
      <c r="BF599" s="27" t="str">
        <f t="shared" si="273"/>
        <v/>
      </c>
      <c r="BG599" s="27" t="str">
        <f t="shared" si="274"/>
        <v/>
      </c>
      <c r="BH599" s="27" t="str">
        <f t="shared" si="275"/>
        <v/>
      </c>
      <c r="BI599" s="27" t="str">
        <f t="shared" si="276"/>
        <v/>
      </c>
      <c r="BJ599" s="27" t="str">
        <f t="shared" si="277"/>
        <v>Supp or Hun</v>
      </c>
      <c r="BK599" s="27" t="str">
        <f t="shared" si="278"/>
        <v/>
      </c>
      <c r="BL599" s="27" t="str">
        <f t="shared" si="279"/>
        <v/>
      </c>
      <c r="BM599" s="21" t="s">
        <v>3790</v>
      </c>
    </row>
    <row r="600" spans="1:65" ht="15">
      <c r="A600" s="25">
        <f>IFERROR(INDEX('Hun Demand'!W:W,MATCH(O600,'Hun Demand'!A:A,0)),"")</f>
        <v>0</v>
      </c>
      <c r="B600" s="25">
        <f>IFERROR(INDEX('Hun Demand'!V:V,MATCH(O600,'Hun Demand'!A:A,0)),"")</f>
        <v>0</v>
      </c>
      <c r="C600" s="25">
        <f>IFERROR(INDEX('Hun Demand'!U:U,MATCH(O600,'Hun Demand'!A:A,0)),"")</f>
        <v>0</v>
      </c>
      <c r="D600" s="25">
        <f>IFERROR(INDEX('Hun Demand'!T:T,MATCH(O600,'Hun Demand'!A:A,0)),"")</f>
        <v>0</v>
      </c>
      <c r="E600" s="25">
        <f>IFERROR(INDEX('Hun Demand'!S:S,MATCH(O600,'Hun Demand'!A:A,0)),"")</f>
        <v>0</v>
      </c>
      <c r="F600" s="25">
        <f>IFERROR(INDEX('Hun Demand'!R:R,MATCH(O600,'Hun Demand'!A:A,0)),"")</f>
        <v>0</v>
      </c>
      <c r="G600" s="25">
        <f>IFERROR(INDEX('Aub Demand'!W:W,MATCH(O600,'Aub Demand'!A:A,0)),"")</f>
        <v>0</v>
      </c>
      <c r="H600" s="25">
        <f>IFERROR(INDEX('Aub Demand'!V:V,MATCH(O600,'Aub Demand'!A:A,0)),"")</f>
        <v>0</v>
      </c>
      <c r="I600" s="25">
        <f>IFERROR(INDEX('Aub Demand'!U:U,MATCH(O600,'Aub Demand'!A:A,0)),"")</f>
        <v>0</v>
      </c>
      <c r="J600" s="25">
        <f>IFERROR(INDEX('Aub Demand'!T:T,MATCH(O600,'Aub Demand'!A:A,0)),"")</f>
        <v>0</v>
      </c>
      <c r="K600" s="25">
        <f>IFERROR(INDEX('Aub Demand'!S:S,MATCH(O600,'Aub Demand'!A:A,0)),"")</f>
        <v>0</v>
      </c>
      <c r="L600" s="25">
        <f>IFERROR(INDEX('Aub Demand'!R:R,MATCH(O600,'Aub Demand'!A:A,0)),"")</f>
        <v>0</v>
      </c>
      <c r="O600" s="27" t="s">
        <v>1010</v>
      </c>
      <c r="P600" s="27" t="str">
        <f>IFERROR(INDEX('Aub Demand'!B:B,MATCH($O600,'Aub Demand'!$A:$A,0)),"")</f>
        <v>SURF (SOLID)</v>
      </c>
      <c r="Q600" s="27" t="str">
        <f>IFERROR(INDEX('Aub Demand'!C:C,MATCH($O600,'Aub Demand'!$A:$A,0)),"")</f>
        <v>TECHN</v>
      </c>
      <c r="R600" s="52">
        <f>IFERROR(IF(AR601=AR600,INDEX('Aub Demand'!K:K,MATCH($O600,'Aub Demand'!$A:$A,0))-IF(AN600="",0,AN600)+AP601,INDEX('Aub Demand'!K:K,MATCH($O600,'Aub Demand'!$A:$A,0))-IF(AN600="",0,AN600)),"")</f>
        <v>1197</v>
      </c>
      <c r="S600" s="53" t="str">
        <f t="shared" si="252"/>
        <v>n/a</v>
      </c>
      <c r="T600" s="52" t="str">
        <f t="shared" si="253"/>
        <v/>
      </c>
      <c r="U600" s="52">
        <f>IFERROR(IF(AR601=AR600,INDEX('Aub Demand'!Q:Q,MATCH($O600,'Aub Demand'!$A:$A,0))-IF(AN600="",0,AN600)+AP601,INDEX('Aub Demand'!Q:Q,MATCH($O600,'Aub Demand'!$A:$A,0))-IF(AN600="",0,AN600)),"")</f>
        <v>1197</v>
      </c>
      <c r="V600" s="53" t="str">
        <f t="shared" si="254"/>
        <v>n/a</v>
      </c>
      <c r="W600" s="52" t="str">
        <f t="shared" si="255"/>
        <v/>
      </c>
      <c r="X600" s="52">
        <f>IFERROR(IF(AND(AR601=AR600,AM600&lt;&gt;""),INDEX('Aub Demand'!Q:Q,MATCH($O600,'Aub Demand'!$A:$A,0))-IF(AN600="",0,AN600)+AP601+AD600+AL600,IF(AR601=AR600,INDEX('Aub Demand'!Q:Q,MATCH($O600,'Aub Demand'!$A:$A,0))-IF(AN600="",0,AN600)+AP601+AD600,IF(AM600&lt;&gt;"",INDEX('Aub Demand'!Q:Q,MATCH($O600,'Aub Demand'!$A:$A,0))-IF(AN600="",0,AN600)+AD600+AL600,INDEX('Aub Demand'!Q:Q,MATCH($O600,'Aub Demand'!$A:$A,0))-IF(AN600="",0,AN600)+AD600))),"")</f>
        <v>1197</v>
      </c>
      <c r="Y600" s="53" t="str">
        <f t="shared" si="256"/>
        <v>n/a</v>
      </c>
      <c r="Z600" s="52">
        <f>IF(L600="","",INDEX('Aub Demand'!H:H,MATCH($O600,'Aub Demand'!$A:$A,0)))</f>
        <v>0</v>
      </c>
      <c r="AA600" s="52" t="str">
        <f t="shared" si="257"/>
        <v>-spike-</v>
      </c>
      <c r="AB600" s="52">
        <f>IFERROR(INDEX('Aub Demand'!L:L,MATCH($O600,'Aub Demand'!$A:$A,0)),"")</f>
        <v>33</v>
      </c>
      <c r="AC600" s="52">
        <f>IFERROR(IF(O600="","",SUMIFS('CPL Mats'!F:F,'CPL Mats'!Q:Q,AR600,'CPL Mats'!S:S,AS600)),"")</f>
        <v>0</v>
      </c>
      <c r="AF600" s="25" t="str">
        <f>IF(SUMIFS('Supp Consol'!S:S,'Supp Consol'!Y:Y,"Releasable",'Supp Consol'!A:A,O600)=0,"",SUMIFS('Supp Consol'!S:S,'Supp Consol'!Y:Y,"Releasable",'Supp Consol'!A:A,O600))</f>
        <v/>
      </c>
      <c r="AG600" s="25">
        <f>IFERROR(INDEX('Hun Demand'!Q:Q,MATCH(O600,'Hun Demand'!A:A,0)),"")</f>
        <v>416</v>
      </c>
      <c r="AH600" s="25">
        <f>IFERROR(INDEX('Hun Demand'!H:H,MATCH($O600,'Hun Demand'!$A:$A,0)),"")</f>
        <v>0</v>
      </c>
      <c r="AI600" s="25" t="str">
        <f>IF(SUMIFS('Supp Consol'!AA:AA,'Supp Consol'!Z:Z,"Expires this month",'Supp Consol'!A:A,O600)=0,"",SUMIFS('Supp Consol'!AA:AA,'Supp Consol'!Z:Z,"Expires this month",'Supp Consol'!A:A,O600))</f>
        <v/>
      </c>
      <c r="AJ600" s="25" t="str">
        <f>IF(SUMIFS('Supp Consol'!AA:AA,'Supp Consol'!Z:Z,"Expired Previous Months",'Supp Consol'!A:A,O600)=0,"",SUMIFS('Supp Consol'!AA:AA,'Supp Consol'!Z:Z,"Expired Previous Months",'Supp Consol'!A:A,O600))</f>
        <v/>
      </c>
      <c r="AK600" s="25" t="str">
        <f>IFERROR(INDEX('Hun Release Current'!B:B,MATCH(O600,'Hun Release Current'!A:A,0)),"")</f>
        <v/>
      </c>
      <c r="AL600" s="25" t="str">
        <f>IF(SUMIF('Prev Aub'!A:A,O600,'Prev Aub'!B:B)=0,"",SUMIF('Prev Aub'!A:A,O600,'Prev Aub'!B:B))</f>
        <v/>
      </c>
      <c r="AN600" s="25" t="s">
        <v>3790</v>
      </c>
      <c r="AO600" s="25" t="s">
        <v>3790</v>
      </c>
      <c r="AP600" s="25">
        <f t="shared" si="258"/>
        <v>0</v>
      </c>
      <c r="AQ600" s="151" t="str">
        <f>IF(SUMIFS('Supp Consol'!S:S,'Supp Consol'!A:A,O600,'Supp Consol'!I:I,"PENDING")=0,"",SUMIFS('Supp Consol'!S:S,'Supp Consol'!A:A,O600,'Supp Consol'!I:I,"PENDING"))</f>
        <v/>
      </c>
      <c r="AR600" s="27" t="str">
        <f t="shared" si="259"/>
        <v>HP568</v>
      </c>
      <c r="AS600" s="27" t="str">
        <f t="shared" si="260"/>
        <v>62</v>
      </c>
      <c r="AT600" s="27" t="str">
        <f t="shared" si="261"/>
        <v/>
      </c>
      <c r="AU600" s="27" t="str">
        <f t="shared" si="262"/>
        <v/>
      </c>
      <c r="AV600" s="27" t="str">
        <f t="shared" si="263"/>
        <v/>
      </c>
      <c r="AW600" s="27" t="str">
        <f t="shared" si="264"/>
        <v/>
      </c>
      <c r="AX600" s="27" t="str">
        <f t="shared" si="265"/>
        <v/>
      </c>
      <c r="AY600" s="27" t="str">
        <f t="shared" si="266"/>
        <v>HP568</v>
      </c>
      <c r="AZ600" s="27" t="str">
        <f t="shared" si="267"/>
        <v/>
      </c>
      <c r="BA600" s="27" t="str">
        <f t="shared" si="268"/>
        <v>Hun</v>
      </c>
      <c r="BB600" s="27" t="str">
        <f t="shared" si="269"/>
        <v/>
      </c>
      <c r="BC600" s="27" t="str">
        <f t="shared" si="270"/>
        <v/>
      </c>
      <c r="BD600" s="27" t="str">
        <f t="shared" si="271"/>
        <v/>
      </c>
      <c r="BE600" s="27" t="str">
        <f t="shared" si="272"/>
        <v/>
      </c>
      <c r="BF600" s="27" t="str">
        <f t="shared" si="273"/>
        <v/>
      </c>
      <c r="BG600" s="27" t="str">
        <f t="shared" si="274"/>
        <v/>
      </c>
      <c r="BH600" s="27" t="str">
        <f t="shared" si="275"/>
        <v/>
      </c>
      <c r="BI600" s="27" t="str">
        <f t="shared" si="276"/>
        <v/>
      </c>
      <c r="BJ600" s="27" t="str">
        <f t="shared" si="277"/>
        <v>Supp or Hun</v>
      </c>
      <c r="BK600" s="27" t="str">
        <f t="shared" si="278"/>
        <v/>
      </c>
      <c r="BL600" s="27" t="str">
        <f t="shared" si="279"/>
        <v/>
      </c>
      <c r="BM600" s="21" t="s">
        <v>5582</v>
      </c>
    </row>
    <row r="601" spans="1:65" ht="15">
      <c r="A601" s="25">
        <f>IFERROR(INDEX('Hun Demand'!W:W,MATCH(O601,'Hun Demand'!A:A,0)),"")</f>
        <v>0</v>
      </c>
      <c r="B601" s="25">
        <f>IFERROR(INDEX('Hun Demand'!V:V,MATCH(O601,'Hun Demand'!A:A,0)),"")</f>
        <v>0</v>
      </c>
      <c r="C601" s="25">
        <f>IFERROR(INDEX('Hun Demand'!U:U,MATCH(O601,'Hun Demand'!A:A,0)),"")</f>
        <v>248</v>
      </c>
      <c r="D601" s="25">
        <f>IFERROR(INDEX('Hun Demand'!T:T,MATCH(O601,'Hun Demand'!A:A,0)),"")</f>
        <v>0</v>
      </c>
      <c r="E601" s="25">
        <f>IFERROR(INDEX('Hun Demand'!S:S,MATCH(O601,'Hun Demand'!A:A,0)),"")</f>
        <v>0</v>
      </c>
      <c r="F601" s="25">
        <f>IFERROR(INDEX('Hun Demand'!R:R,MATCH(O601,'Hun Demand'!A:A,0)),"")</f>
        <v>0</v>
      </c>
      <c r="G601" s="25">
        <f>IFERROR(INDEX('Aub Demand'!W:W,MATCH(O601,'Aub Demand'!A:A,0)),"")</f>
        <v>0</v>
      </c>
      <c r="H601" s="25">
        <f>IFERROR(INDEX('Aub Demand'!V:V,MATCH(O601,'Aub Demand'!A:A,0)),"")</f>
        <v>0</v>
      </c>
      <c r="I601" s="25">
        <f>IFERROR(INDEX('Aub Demand'!U:U,MATCH(O601,'Aub Demand'!A:A,0)),"")</f>
        <v>0</v>
      </c>
      <c r="J601" s="25">
        <f>IFERROR(INDEX('Aub Demand'!T:T,MATCH(O601,'Aub Demand'!A:A,0)),"")</f>
        <v>0</v>
      </c>
      <c r="K601" s="25">
        <f>IFERROR(INDEX('Aub Demand'!S:S,MATCH(O601,'Aub Demand'!A:A,0)),"")</f>
        <v>0</v>
      </c>
      <c r="L601" s="25">
        <f>IFERROR(INDEX('Aub Demand'!R:R,MATCH(O601,'Aub Demand'!A:A,0)),"")</f>
        <v>0</v>
      </c>
      <c r="O601" s="27" t="s">
        <v>1012</v>
      </c>
      <c r="P601" s="27" t="str">
        <f>IFERROR(INDEX('Aub Demand'!B:B,MATCH($O601,'Aub Demand'!$A:$A,0)),"")</f>
        <v>BIRCH (SOLID)</v>
      </c>
      <c r="Q601" s="27" t="str">
        <f>IFERROR(INDEX('Aub Demand'!C:C,MATCH($O601,'Aub Demand'!$A:$A,0)),"")</f>
        <v>ONYX</v>
      </c>
      <c r="R601" s="52">
        <f>IFERROR(IF(AR602=AR601,INDEX('Aub Demand'!K:K,MATCH($O601,'Aub Demand'!$A:$A,0))-IF(AN601="",0,AN601)+AP602,INDEX('Aub Demand'!K:K,MATCH($O601,'Aub Demand'!$A:$A,0))-IF(AN601="",0,AN601)),"")</f>
        <v>386</v>
      </c>
      <c r="S601" s="53" t="str">
        <f t="shared" si="252"/>
        <v>n/a</v>
      </c>
      <c r="T601" s="52" t="str">
        <f t="shared" si="253"/>
        <v/>
      </c>
      <c r="U601" s="52">
        <f>IFERROR(IF(AR602=AR601,INDEX('Aub Demand'!Q:Q,MATCH($O601,'Aub Demand'!$A:$A,0))-IF(AN601="",0,AN601)+AP602,INDEX('Aub Demand'!Q:Q,MATCH($O601,'Aub Demand'!$A:$A,0))-IF(AN601="",0,AN601)),"")</f>
        <v>386</v>
      </c>
      <c r="V601" s="53" t="str">
        <f t="shared" si="254"/>
        <v>n/a</v>
      </c>
      <c r="W601" s="52" t="str">
        <f t="shared" si="255"/>
        <v/>
      </c>
      <c r="X601" s="52">
        <f>IFERROR(IF(AND(AR602=AR601,AM601&lt;&gt;""),INDEX('Aub Demand'!Q:Q,MATCH($O601,'Aub Demand'!$A:$A,0))-IF(AN601="",0,AN601)+AP602+AD601+AL601,IF(AR602=AR601,INDEX('Aub Demand'!Q:Q,MATCH($O601,'Aub Demand'!$A:$A,0))-IF(AN601="",0,AN601)+AP602+AD601,IF(AM601&lt;&gt;"",INDEX('Aub Demand'!Q:Q,MATCH($O601,'Aub Demand'!$A:$A,0))-IF(AN601="",0,AN601)+AD601+AL601,INDEX('Aub Demand'!Q:Q,MATCH($O601,'Aub Demand'!$A:$A,0))-IF(AN601="",0,AN601)+AD601))),"")</f>
        <v>386</v>
      </c>
      <c r="Y601" s="53" t="str">
        <f t="shared" si="256"/>
        <v>n/a</v>
      </c>
      <c r="Z601" s="52">
        <f>IF(L601="","",INDEX('Aub Demand'!H:H,MATCH($O601,'Aub Demand'!$A:$A,0)))</f>
        <v>0</v>
      </c>
      <c r="AA601" s="52" t="str">
        <f t="shared" si="257"/>
        <v>-spike-</v>
      </c>
      <c r="AB601" s="52">
        <f>IFERROR(INDEX('Aub Demand'!L:L,MATCH($O601,'Aub Demand'!$A:$A,0)),"")</f>
        <v>0</v>
      </c>
      <c r="AC601" s="52">
        <f>IFERROR(IF(O601="","",SUMIFS('CPL Mats'!F:F,'CPL Mats'!Q:Q,AR601,'CPL Mats'!S:S,AS601)),"")</f>
        <v>0</v>
      </c>
      <c r="AF601" s="25" t="str">
        <f>IF(SUMIFS('Supp Consol'!S:S,'Supp Consol'!Y:Y,"Releasable",'Supp Consol'!A:A,O601)=0,"",SUMIFS('Supp Consol'!S:S,'Supp Consol'!Y:Y,"Releasable",'Supp Consol'!A:A,O601))</f>
        <v/>
      </c>
      <c r="AG601" s="25">
        <f>IFERROR(INDEX('Hun Demand'!Q:Q,MATCH(O601,'Hun Demand'!A:A,0)),"")</f>
        <v>236</v>
      </c>
      <c r="AH601" s="25">
        <f>IFERROR(INDEX('Hun Demand'!H:H,MATCH($O601,'Hun Demand'!$A:$A,0)),"")</f>
        <v>83</v>
      </c>
      <c r="AI601" s="25" t="str">
        <f>IF(SUMIFS('Supp Consol'!AA:AA,'Supp Consol'!Z:Z,"Expires this month",'Supp Consol'!A:A,O601)=0,"",SUMIFS('Supp Consol'!AA:AA,'Supp Consol'!Z:Z,"Expires this month",'Supp Consol'!A:A,O601))</f>
        <v/>
      </c>
      <c r="AJ601" s="25" t="str">
        <f>IF(SUMIFS('Supp Consol'!AA:AA,'Supp Consol'!Z:Z,"Expired Previous Months",'Supp Consol'!A:A,O601)=0,"",SUMIFS('Supp Consol'!AA:AA,'Supp Consol'!Z:Z,"Expired Previous Months",'Supp Consol'!A:A,O601))</f>
        <v/>
      </c>
      <c r="AK601" s="25" t="str">
        <f>IFERROR(INDEX('Hun Release Current'!B:B,MATCH(O601,'Hun Release Current'!A:A,0)),"")</f>
        <v/>
      </c>
      <c r="AL601" s="25" t="str">
        <f>IF(SUMIF('Prev Aub'!A:A,O601,'Prev Aub'!B:B)=0,"",SUMIF('Prev Aub'!A:A,O601,'Prev Aub'!B:B))</f>
        <v/>
      </c>
      <c r="AN601" s="25" t="s">
        <v>3790</v>
      </c>
      <c r="AO601" s="25" t="s">
        <v>3790</v>
      </c>
      <c r="AP601" s="25">
        <f t="shared" si="258"/>
        <v>0</v>
      </c>
      <c r="AQ601" s="151" t="str">
        <f>IF(SUMIFS('Supp Consol'!S:S,'Supp Consol'!A:A,O601,'Supp Consol'!I:I,"PENDING")=0,"",SUMIFS('Supp Consol'!S:S,'Supp Consol'!A:A,O601,'Supp Consol'!I:I,"PENDING"))</f>
        <v/>
      </c>
      <c r="AR601" s="27" t="str">
        <f t="shared" si="259"/>
        <v>HP569</v>
      </c>
      <c r="AS601" s="27" t="str">
        <f t="shared" si="260"/>
        <v>50</v>
      </c>
      <c r="AT601" s="27" t="str">
        <f t="shared" si="261"/>
        <v/>
      </c>
      <c r="AU601" s="27" t="str">
        <f t="shared" si="262"/>
        <v/>
      </c>
      <c r="AV601" s="27" t="str">
        <f t="shared" si="263"/>
        <v/>
      </c>
      <c r="AW601" s="27" t="str">
        <f t="shared" si="264"/>
        <v/>
      </c>
      <c r="AX601" s="27" t="str">
        <f t="shared" si="265"/>
        <v/>
      </c>
      <c r="AY601" s="27" t="str">
        <f t="shared" si="266"/>
        <v>HP569</v>
      </c>
      <c r="AZ601" s="27" t="str">
        <f t="shared" si="267"/>
        <v/>
      </c>
      <c r="BA601" s="27" t="str">
        <f t="shared" si="268"/>
        <v>Hun</v>
      </c>
      <c r="BB601" s="27" t="str">
        <f t="shared" si="269"/>
        <v/>
      </c>
      <c r="BC601" s="27" t="str">
        <f t="shared" si="270"/>
        <v/>
      </c>
      <c r="BD601" s="27" t="str">
        <f t="shared" si="271"/>
        <v/>
      </c>
      <c r="BE601" s="27" t="str">
        <f t="shared" si="272"/>
        <v/>
      </c>
      <c r="BF601" s="27" t="str">
        <f t="shared" si="273"/>
        <v/>
      </c>
      <c r="BG601" s="27" t="str">
        <f t="shared" si="274"/>
        <v/>
      </c>
      <c r="BH601" s="27" t="str">
        <f t="shared" si="275"/>
        <v/>
      </c>
      <c r="BI601" s="27" t="str">
        <f t="shared" si="276"/>
        <v/>
      </c>
      <c r="BJ601" s="27" t="str">
        <f t="shared" si="277"/>
        <v>Supp or Hun</v>
      </c>
      <c r="BK601" s="27" t="str">
        <f t="shared" si="278"/>
        <v/>
      </c>
      <c r="BL601" s="27" t="str">
        <f t="shared" si="279"/>
        <v/>
      </c>
      <c r="BM601" s="21" t="s">
        <v>5582</v>
      </c>
    </row>
    <row r="602" spans="1:65" ht="15">
      <c r="A602" s="25">
        <f>IFERROR(INDEX('Hun Demand'!W:W,MATCH(O602,'Hun Demand'!A:A,0)),"")</f>
        <v>0</v>
      </c>
      <c r="B602" s="25">
        <f>IFERROR(INDEX('Hun Demand'!V:V,MATCH(O602,'Hun Demand'!A:A,0)),"")</f>
        <v>566</v>
      </c>
      <c r="C602" s="25">
        <f>IFERROR(INDEX('Hun Demand'!U:U,MATCH(O602,'Hun Demand'!A:A,0)),"")</f>
        <v>146</v>
      </c>
      <c r="D602" s="25">
        <f>IFERROR(INDEX('Hun Demand'!T:T,MATCH(O602,'Hun Demand'!A:A,0)),"")</f>
        <v>146</v>
      </c>
      <c r="E602" s="25">
        <f>IFERROR(INDEX('Hun Demand'!S:S,MATCH(O602,'Hun Demand'!A:A,0)),"")</f>
        <v>0</v>
      </c>
      <c r="F602" s="25">
        <f>IFERROR(INDEX('Hun Demand'!R:R,MATCH(O602,'Hun Demand'!A:A,0)),"")</f>
        <v>0</v>
      </c>
      <c r="G602" s="25">
        <f>IFERROR(INDEX('Aub Demand'!W:W,MATCH(O602,'Aub Demand'!A:A,0)),"")</f>
        <v>0</v>
      </c>
      <c r="H602" s="25">
        <f>IFERROR(INDEX('Aub Demand'!V:V,MATCH(O602,'Aub Demand'!A:A,0)),"")</f>
        <v>0</v>
      </c>
      <c r="I602" s="25">
        <f>IFERROR(INDEX('Aub Demand'!U:U,MATCH(O602,'Aub Demand'!A:A,0)),"")</f>
        <v>0</v>
      </c>
      <c r="J602" s="25">
        <f>IFERROR(INDEX('Aub Demand'!T:T,MATCH(O602,'Aub Demand'!A:A,0)),"")</f>
        <v>0</v>
      </c>
      <c r="K602" s="25">
        <f>IFERROR(INDEX('Aub Demand'!S:S,MATCH(O602,'Aub Demand'!A:A,0)),"")</f>
        <v>0</v>
      </c>
      <c r="L602" s="25">
        <f>IFERROR(INDEX('Aub Demand'!R:R,MATCH(O602,'Aub Demand'!A:A,0)),"")</f>
        <v>0</v>
      </c>
      <c r="O602" s="27" t="s">
        <v>1014</v>
      </c>
      <c r="P602" s="27" t="str">
        <f>IFERROR(INDEX('Aub Demand'!B:B,MATCH($O602,'Aub Demand'!$A:$A,0)),"")</f>
        <v>PRISM YELLOW (SOLID)</v>
      </c>
      <c r="Q602" s="27" t="str">
        <f>IFERROR(INDEX('Aub Demand'!C:C,MATCH($O602,'Aub Demand'!$A:$A,0)),"")</f>
        <v>ONYX</v>
      </c>
      <c r="R602" s="52">
        <f>IFERROR(IF(AR603=AR602,INDEX('Aub Demand'!K:K,MATCH($O602,'Aub Demand'!$A:$A,0))-IF(AN602="",0,AN602)+AP603,INDEX('Aub Demand'!K:K,MATCH($O602,'Aub Demand'!$A:$A,0))-IF(AN602="",0,AN602)),"")</f>
        <v>1222</v>
      </c>
      <c r="S602" s="53" t="str">
        <f t="shared" si="252"/>
        <v>n/a</v>
      </c>
      <c r="T602" s="52" t="str">
        <f t="shared" si="253"/>
        <v/>
      </c>
      <c r="U602" s="52">
        <f>IFERROR(IF(AR603=AR602,INDEX('Aub Demand'!Q:Q,MATCH($O602,'Aub Demand'!$A:$A,0))-IF(AN602="",0,AN602)+AP603,INDEX('Aub Demand'!Q:Q,MATCH($O602,'Aub Demand'!$A:$A,0))-IF(AN602="",0,AN602)),"")</f>
        <v>1222</v>
      </c>
      <c r="V602" s="53" t="str">
        <f t="shared" si="254"/>
        <v>n/a</v>
      </c>
      <c r="W602" s="52" t="str">
        <f t="shared" si="255"/>
        <v/>
      </c>
      <c r="X602" s="52">
        <f>IFERROR(IF(AND(AR603=AR602,AM602&lt;&gt;""),INDEX('Aub Demand'!Q:Q,MATCH($O602,'Aub Demand'!$A:$A,0))-IF(AN602="",0,AN602)+AP603+AD602+AL602,IF(AR603=AR602,INDEX('Aub Demand'!Q:Q,MATCH($O602,'Aub Demand'!$A:$A,0))-IF(AN602="",0,AN602)+AP603+AD602,IF(AM602&lt;&gt;"",INDEX('Aub Demand'!Q:Q,MATCH($O602,'Aub Demand'!$A:$A,0))-IF(AN602="",0,AN602)+AD602+AL602,INDEX('Aub Demand'!Q:Q,MATCH($O602,'Aub Demand'!$A:$A,0))-IF(AN602="",0,AN602)+AD602))),"")</f>
        <v>1222</v>
      </c>
      <c r="Y602" s="53" t="str">
        <f t="shared" si="256"/>
        <v>n/a</v>
      </c>
      <c r="Z602" s="52">
        <f>IF(L602="","",INDEX('Aub Demand'!H:H,MATCH($O602,'Aub Demand'!$A:$A,0)))</f>
        <v>0</v>
      </c>
      <c r="AA602" s="52" t="str">
        <f t="shared" si="257"/>
        <v>-spike-</v>
      </c>
      <c r="AB602" s="52">
        <f>IFERROR(INDEX('Aub Demand'!L:L,MATCH($O602,'Aub Demand'!$A:$A,0)),"")</f>
        <v>24</v>
      </c>
      <c r="AC602" s="52">
        <f>IFERROR(IF(O602="","",SUMIFS('CPL Mats'!F:F,'CPL Mats'!Q:Q,AR602,'CPL Mats'!S:S,AS602)),"")</f>
        <v>0</v>
      </c>
      <c r="AF602" s="25" t="str">
        <f>IF(SUMIFS('Supp Consol'!S:S,'Supp Consol'!Y:Y,"Releasable",'Supp Consol'!A:A,O602)=0,"",SUMIFS('Supp Consol'!S:S,'Supp Consol'!Y:Y,"Releasable",'Supp Consol'!A:A,O602))</f>
        <v/>
      </c>
      <c r="AG602" s="25">
        <f>IFERROR(INDEX('Hun Demand'!Q:Q,MATCH(O602,'Hun Demand'!A:A,0)),"")</f>
        <v>1021</v>
      </c>
      <c r="AH602" s="25">
        <f>IFERROR(INDEX('Hun Demand'!H:H,MATCH($O602,'Hun Demand'!$A:$A,0)),"")</f>
        <v>97</v>
      </c>
      <c r="AI602" s="25" t="str">
        <f>IF(SUMIFS('Supp Consol'!AA:AA,'Supp Consol'!Z:Z,"Expires this month",'Supp Consol'!A:A,O602)=0,"",SUMIFS('Supp Consol'!AA:AA,'Supp Consol'!Z:Z,"Expires this month",'Supp Consol'!A:A,O602))</f>
        <v/>
      </c>
      <c r="AJ602" s="25" t="str">
        <f>IF(SUMIFS('Supp Consol'!AA:AA,'Supp Consol'!Z:Z,"Expired Previous Months",'Supp Consol'!A:A,O602)=0,"",SUMIFS('Supp Consol'!AA:AA,'Supp Consol'!Z:Z,"Expired Previous Months",'Supp Consol'!A:A,O602))</f>
        <v/>
      </c>
      <c r="AK602" s="25" t="str">
        <f>IFERROR(INDEX('Hun Release Current'!B:B,MATCH(O602,'Hun Release Current'!A:A,0)),"")</f>
        <v/>
      </c>
      <c r="AL602" s="25" t="str">
        <f>IF(SUMIF('Prev Aub'!A:A,O602,'Prev Aub'!B:B)=0,"",SUMIF('Prev Aub'!A:A,O602,'Prev Aub'!B:B))</f>
        <v/>
      </c>
      <c r="AN602" s="25" t="s">
        <v>3790</v>
      </c>
      <c r="AO602" s="25" t="s">
        <v>3790</v>
      </c>
      <c r="AP602" s="25">
        <f t="shared" si="258"/>
        <v>0</v>
      </c>
      <c r="AQ602" s="151" t="str">
        <f>IF(SUMIFS('Supp Consol'!S:S,'Supp Consol'!A:A,O602,'Supp Consol'!I:I,"PENDING")=0,"",SUMIFS('Supp Consol'!S:S,'Supp Consol'!A:A,O602,'Supp Consol'!I:I,"PENDING"))</f>
        <v/>
      </c>
      <c r="AR602" s="27" t="str">
        <f t="shared" si="259"/>
        <v>HP596</v>
      </c>
      <c r="AS602" s="27" t="str">
        <f t="shared" si="260"/>
        <v>50</v>
      </c>
      <c r="AT602" s="27" t="str">
        <f t="shared" si="261"/>
        <v/>
      </c>
      <c r="AU602" s="27" t="str">
        <f t="shared" si="262"/>
        <v/>
      </c>
      <c r="AV602" s="27" t="str">
        <f t="shared" si="263"/>
        <v/>
      </c>
      <c r="AW602" s="27" t="str">
        <f t="shared" si="264"/>
        <v/>
      </c>
      <c r="AX602" s="27" t="str">
        <f t="shared" si="265"/>
        <v/>
      </c>
      <c r="AY602" s="27" t="str">
        <f t="shared" si="266"/>
        <v>HP596</v>
      </c>
      <c r="AZ602" s="27" t="str">
        <f t="shared" si="267"/>
        <v/>
      </c>
      <c r="BA602" s="27" t="str">
        <f t="shared" si="268"/>
        <v>Hun</v>
      </c>
      <c r="BB602" s="27" t="str">
        <f t="shared" si="269"/>
        <v/>
      </c>
      <c r="BC602" s="27" t="str">
        <f t="shared" si="270"/>
        <v/>
      </c>
      <c r="BD602" s="27" t="str">
        <f t="shared" si="271"/>
        <v/>
      </c>
      <c r="BE602" s="27" t="str">
        <f t="shared" si="272"/>
        <v/>
      </c>
      <c r="BF602" s="27" t="str">
        <f t="shared" si="273"/>
        <v/>
      </c>
      <c r="BG602" s="27" t="str">
        <f t="shared" si="274"/>
        <v/>
      </c>
      <c r="BH602" s="27" t="str">
        <f t="shared" si="275"/>
        <v/>
      </c>
      <c r="BI602" s="27" t="str">
        <f t="shared" si="276"/>
        <v/>
      </c>
      <c r="BJ602" s="27" t="str">
        <f t="shared" si="277"/>
        <v>Supp or Hun</v>
      </c>
      <c r="BK602" s="27" t="str">
        <f t="shared" si="278"/>
        <v/>
      </c>
      <c r="BL602" s="27" t="str">
        <f t="shared" si="279"/>
        <v/>
      </c>
      <c r="BM602" s="21" t="s">
        <v>5582</v>
      </c>
    </row>
    <row r="603" spans="1:65" ht="15">
      <c r="A603" s="25">
        <f>IFERROR(INDEX('Hun Demand'!W:W,MATCH(O603,'Hun Demand'!A:A,0)),"")</f>
        <v>0</v>
      </c>
      <c r="B603" s="25">
        <f>IFERROR(INDEX('Hun Demand'!V:V,MATCH(O603,'Hun Demand'!A:A,0)),"")</f>
        <v>0</v>
      </c>
      <c r="C603" s="25">
        <f>IFERROR(INDEX('Hun Demand'!U:U,MATCH(O603,'Hun Demand'!A:A,0)),"")</f>
        <v>256</v>
      </c>
      <c r="D603" s="25">
        <f>IFERROR(INDEX('Hun Demand'!T:T,MATCH(O603,'Hun Demand'!A:A,0)),"")</f>
        <v>0</v>
      </c>
      <c r="E603" s="25">
        <f>IFERROR(INDEX('Hun Demand'!S:S,MATCH(O603,'Hun Demand'!A:A,0)),"")</f>
        <v>0</v>
      </c>
      <c r="F603" s="25">
        <f>IFERROR(INDEX('Hun Demand'!R:R,MATCH(O603,'Hun Demand'!A:A,0)),"")</f>
        <v>0</v>
      </c>
      <c r="G603" s="25">
        <f>IFERROR(INDEX('Aub Demand'!W:W,MATCH(O603,'Aub Demand'!A:A,0)),"")</f>
        <v>0</v>
      </c>
      <c r="H603" s="25">
        <f>IFERROR(INDEX('Aub Demand'!V:V,MATCH(O603,'Aub Demand'!A:A,0)),"")</f>
        <v>0</v>
      </c>
      <c r="I603" s="25">
        <f>IFERROR(INDEX('Aub Demand'!U:U,MATCH(O603,'Aub Demand'!A:A,0)),"")</f>
        <v>0</v>
      </c>
      <c r="J603" s="25">
        <f>IFERROR(INDEX('Aub Demand'!T:T,MATCH(O603,'Aub Demand'!A:A,0)),"")</f>
        <v>0</v>
      </c>
      <c r="K603" s="25">
        <f>IFERROR(INDEX('Aub Demand'!S:S,MATCH(O603,'Aub Demand'!A:A,0)),"")</f>
        <v>0</v>
      </c>
      <c r="L603" s="25">
        <f>IFERROR(INDEX('Aub Demand'!R:R,MATCH(O603,'Aub Demand'!A:A,0)),"")</f>
        <v>0</v>
      </c>
      <c r="O603" s="27" t="s">
        <v>1017</v>
      </c>
      <c r="P603" s="27" t="str">
        <f>IFERROR(INDEX('Aub Demand'!B:B,MATCH($O603,'Aub Demand'!$A:$A,0)),"")</f>
        <v>PRISM RED (SOLID)</v>
      </c>
      <c r="Q603" s="27" t="str">
        <f>IFERROR(INDEX('Aub Demand'!C:C,MATCH($O603,'Aub Demand'!$A:$A,0)),"")</f>
        <v>AHLST</v>
      </c>
      <c r="R603" s="52">
        <f>IFERROR(IF(AR604=AR603,INDEX('Aub Demand'!K:K,MATCH($O603,'Aub Demand'!$A:$A,0))-IF(AN603="",0,AN603)+AP604,INDEX('Aub Demand'!K:K,MATCH($O603,'Aub Demand'!$A:$A,0))-IF(AN603="",0,AN603)),"")</f>
        <v>29</v>
      </c>
      <c r="S603" s="53" t="str">
        <f t="shared" si="252"/>
        <v>n/a</v>
      </c>
      <c r="T603" s="52" t="str">
        <f t="shared" si="253"/>
        <v/>
      </c>
      <c r="U603" s="52">
        <f>IFERROR(IF(AR604=AR603,INDEX('Aub Demand'!Q:Q,MATCH($O603,'Aub Demand'!$A:$A,0))-IF(AN603="",0,AN603)+AP604,INDEX('Aub Demand'!Q:Q,MATCH($O603,'Aub Demand'!$A:$A,0))-IF(AN603="",0,AN603)),"")</f>
        <v>29</v>
      </c>
      <c r="V603" s="53" t="str">
        <f t="shared" si="254"/>
        <v>n/a</v>
      </c>
      <c r="W603" s="52" t="str">
        <f t="shared" si="255"/>
        <v/>
      </c>
      <c r="X603" s="52">
        <f>IFERROR(IF(AND(AR604=AR603,AM603&lt;&gt;""),INDEX('Aub Demand'!Q:Q,MATCH($O603,'Aub Demand'!$A:$A,0))-IF(AN603="",0,AN603)+AP604+AD603+AL603,IF(AR604=AR603,INDEX('Aub Demand'!Q:Q,MATCH($O603,'Aub Demand'!$A:$A,0))-IF(AN603="",0,AN603)+AP604+AD603,IF(AM603&lt;&gt;"",INDEX('Aub Demand'!Q:Q,MATCH($O603,'Aub Demand'!$A:$A,0))-IF(AN603="",0,AN603)+AD603+AL603,INDEX('Aub Demand'!Q:Q,MATCH($O603,'Aub Demand'!$A:$A,0))-IF(AN603="",0,AN603)+AD603))),"")</f>
        <v>29</v>
      </c>
      <c r="Y603" s="53" t="str">
        <f t="shared" si="256"/>
        <v>n/a</v>
      </c>
      <c r="Z603" s="52">
        <f>IF(L603="","",INDEX('Aub Demand'!H:H,MATCH($O603,'Aub Demand'!$A:$A,0)))</f>
        <v>0</v>
      </c>
      <c r="AA603" s="52" t="str">
        <f t="shared" si="257"/>
        <v>-spike-</v>
      </c>
      <c r="AB603" s="52">
        <f>IFERROR(INDEX('Aub Demand'!L:L,MATCH($O603,'Aub Demand'!$A:$A,0)),"")</f>
        <v>0</v>
      </c>
      <c r="AC603" s="52">
        <f>IFERROR(IF(O603="","",SUMIFS('CPL Mats'!F:F,'CPL Mats'!Q:Q,AR603,'CPL Mats'!S:S,AS603)),"")</f>
        <v>0</v>
      </c>
      <c r="AF603" s="25" t="str">
        <f>IF(SUMIFS('Supp Consol'!S:S,'Supp Consol'!Y:Y,"Releasable",'Supp Consol'!A:A,O603)=0,"",SUMIFS('Supp Consol'!S:S,'Supp Consol'!Y:Y,"Releasable",'Supp Consol'!A:A,O603))</f>
        <v/>
      </c>
      <c r="AG603" s="25">
        <f>IFERROR(INDEX('Hun Demand'!Q:Q,MATCH(O603,'Hun Demand'!A:A,0)),"")</f>
        <v>778</v>
      </c>
      <c r="AH603" s="25">
        <f>IFERROR(INDEX('Hun Demand'!H:H,MATCH($O603,'Hun Demand'!$A:$A,0)),"")</f>
        <v>85</v>
      </c>
      <c r="AI603" s="25" t="str">
        <f>IF(SUMIFS('Supp Consol'!AA:AA,'Supp Consol'!Z:Z,"Expires this month",'Supp Consol'!A:A,O603)=0,"",SUMIFS('Supp Consol'!AA:AA,'Supp Consol'!Z:Z,"Expires this month",'Supp Consol'!A:A,O603))</f>
        <v/>
      </c>
      <c r="AJ603" s="25" t="str">
        <f>IF(SUMIFS('Supp Consol'!AA:AA,'Supp Consol'!Z:Z,"Expired Previous Months",'Supp Consol'!A:A,O603)=0,"",SUMIFS('Supp Consol'!AA:AA,'Supp Consol'!Z:Z,"Expired Previous Months",'Supp Consol'!A:A,O603))</f>
        <v/>
      </c>
      <c r="AK603" s="25" t="str">
        <f>IFERROR(INDEX('Hun Release Current'!B:B,MATCH(O603,'Hun Release Current'!A:A,0)),"")</f>
        <v/>
      </c>
      <c r="AL603" s="25" t="str">
        <f>IF(SUMIF('Prev Aub'!A:A,O603,'Prev Aub'!B:B)=0,"",SUMIF('Prev Aub'!A:A,O603,'Prev Aub'!B:B))</f>
        <v/>
      </c>
      <c r="AN603" s="25" t="s">
        <v>3790</v>
      </c>
      <c r="AO603" s="25" t="s">
        <v>3790</v>
      </c>
      <c r="AP603" s="25">
        <f t="shared" si="258"/>
        <v>0</v>
      </c>
      <c r="AQ603" s="151" t="str">
        <f>IF(SUMIFS('Supp Consol'!S:S,'Supp Consol'!A:A,O603,'Supp Consol'!I:I,"PENDING")=0,"",SUMIFS('Supp Consol'!S:S,'Supp Consol'!A:A,O603,'Supp Consol'!I:I,"PENDING"))</f>
        <v/>
      </c>
      <c r="AR603" s="27" t="str">
        <f t="shared" si="259"/>
        <v>HP597</v>
      </c>
      <c r="AS603" s="27" t="str">
        <f t="shared" si="260"/>
        <v>62</v>
      </c>
      <c r="AT603" s="27" t="str">
        <f t="shared" si="261"/>
        <v/>
      </c>
      <c r="AU603" s="27" t="str">
        <f t="shared" si="262"/>
        <v/>
      </c>
      <c r="AV603" s="27" t="str">
        <f t="shared" si="263"/>
        <v/>
      </c>
      <c r="AW603" s="27" t="str">
        <f t="shared" si="264"/>
        <v/>
      </c>
      <c r="AX603" s="27" t="str">
        <f t="shared" si="265"/>
        <v/>
      </c>
      <c r="AY603" s="27" t="str">
        <f t="shared" si="266"/>
        <v>HP597</v>
      </c>
      <c r="AZ603" s="27" t="str">
        <f t="shared" si="267"/>
        <v/>
      </c>
      <c r="BA603" s="27" t="str">
        <f t="shared" si="268"/>
        <v>Hun</v>
      </c>
      <c r="BB603" s="27" t="str">
        <f t="shared" si="269"/>
        <v/>
      </c>
      <c r="BC603" s="27" t="str">
        <f t="shared" si="270"/>
        <v/>
      </c>
      <c r="BD603" s="27" t="str">
        <f t="shared" si="271"/>
        <v/>
      </c>
      <c r="BE603" s="27" t="str">
        <f t="shared" si="272"/>
        <v/>
      </c>
      <c r="BF603" s="27" t="str">
        <f t="shared" si="273"/>
        <v/>
      </c>
      <c r="BG603" s="27" t="str">
        <f t="shared" si="274"/>
        <v/>
      </c>
      <c r="BH603" s="27" t="str">
        <f t="shared" si="275"/>
        <v/>
      </c>
      <c r="BI603" s="27" t="str">
        <f t="shared" si="276"/>
        <v/>
      </c>
      <c r="BJ603" s="27" t="str">
        <f t="shared" si="277"/>
        <v>Supp or Hun</v>
      </c>
      <c r="BK603" s="27" t="str">
        <f t="shared" si="278"/>
        <v/>
      </c>
      <c r="BL603" s="27" t="str">
        <f t="shared" si="279"/>
        <v/>
      </c>
      <c r="BM603" s="21" t="s">
        <v>5582</v>
      </c>
    </row>
    <row r="604" spans="1:65" ht="15">
      <c r="A604" s="25">
        <f>IFERROR(INDEX('Hun Demand'!W:W,MATCH(O604,'Hun Demand'!A:A,0)),"")</f>
        <v>723</v>
      </c>
      <c r="B604" s="25">
        <f>IFERROR(INDEX('Hun Demand'!V:V,MATCH(O604,'Hun Demand'!A:A,0)),"")</f>
        <v>0</v>
      </c>
      <c r="C604" s="25">
        <f>IFERROR(INDEX('Hun Demand'!U:U,MATCH(O604,'Hun Demand'!A:A,0)),"")</f>
        <v>1036</v>
      </c>
      <c r="D604" s="25">
        <f>IFERROR(INDEX('Hun Demand'!T:T,MATCH(O604,'Hun Demand'!A:A,0)),"")</f>
        <v>0</v>
      </c>
      <c r="E604" s="25">
        <f>IFERROR(INDEX('Hun Demand'!S:S,MATCH(O604,'Hun Demand'!A:A,0)),"")</f>
        <v>255</v>
      </c>
      <c r="F604" s="25">
        <f>IFERROR(INDEX('Hun Demand'!R:R,MATCH(O604,'Hun Demand'!A:A,0)),"")</f>
        <v>0</v>
      </c>
      <c r="G604" s="25">
        <f>IFERROR(INDEX('Aub Demand'!W:W,MATCH(O604,'Aub Demand'!A:A,0)),"")</f>
        <v>0</v>
      </c>
      <c r="H604" s="25">
        <f>IFERROR(INDEX('Aub Demand'!V:V,MATCH(O604,'Aub Demand'!A:A,0)),"")</f>
        <v>0</v>
      </c>
      <c r="I604" s="25">
        <f>IFERROR(INDEX('Aub Demand'!U:U,MATCH(O604,'Aub Demand'!A:A,0)),"")</f>
        <v>0</v>
      </c>
      <c r="J604" s="25">
        <f>IFERROR(INDEX('Aub Demand'!T:T,MATCH(O604,'Aub Demand'!A:A,0)),"")</f>
        <v>0</v>
      </c>
      <c r="K604" s="25">
        <f>IFERROR(INDEX('Aub Demand'!S:S,MATCH(O604,'Aub Demand'!A:A,0)),"")</f>
        <v>0</v>
      </c>
      <c r="L604" s="25">
        <f>IFERROR(INDEX('Aub Demand'!R:R,MATCH(O604,'Aub Demand'!A:A,0)),"")</f>
        <v>0</v>
      </c>
      <c r="O604" s="27" t="s">
        <v>1023</v>
      </c>
      <c r="P604" s="27" t="str">
        <f>IFERROR(INDEX('Aub Demand'!B:B,MATCH($O604,'Aub Demand'!$A:$A,0)),"")</f>
        <v>PRISM BLUE</v>
      </c>
      <c r="Q604" s="27" t="str">
        <f>IFERROR(INDEX('Aub Demand'!C:C,MATCH($O604,'Aub Demand'!$A:$A,0)),"")</f>
        <v>ONYX</v>
      </c>
      <c r="R604" s="52">
        <f>IFERROR(IF(AR605=AR604,INDEX('Aub Demand'!K:K,MATCH($O604,'Aub Demand'!$A:$A,0))-IF(AN604="",0,AN604)+AP605,INDEX('Aub Demand'!K:K,MATCH($O604,'Aub Demand'!$A:$A,0))-IF(AN604="",0,AN604)),"")</f>
        <v>715</v>
      </c>
      <c r="S604" s="53" t="str">
        <f t="shared" si="252"/>
        <v>n/a</v>
      </c>
      <c r="T604" s="52" t="str">
        <f t="shared" si="253"/>
        <v/>
      </c>
      <c r="U604" s="52">
        <f>IFERROR(IF(AR605=AR604,INDEX('Aub Demand'!Q:Q,MATCH($O604,'Aub Demand'!$A:$A,0))-IF(AN604="",0,AN604)+AP605,INDEX('Aub Demand'!Q:Q,MATCH($O604,'Aub Demand'!$A:$A,0))-IF(AN604="",0,AN604)),"")</f>
        <v>715</v>
      </c>
      <c r="V604" s="53" t="str">
        <f t="shared" si="254"/>
        <v>n/a</v>
      </c>
      <c r="W604" s="52" t="str">
        <f t="shared" si="255"/>
        <v/>
      </c>
      <c r="X604" s="52">
        <f>IFERROR(IF(AND(AR605=AR604,AM604&lt;&gt;""),INDEX('Aub Demand'!Q:Q,MATCH($O604,'Aub Demand'!$A:$A,0))-IF(AN604="",0,AN604)+AP605+AD604+AL604,IF(AR605=AR604,INDEX('Aub Demand'!Q:Q,MATCH($O604,'Aub Demand'!$A:$A,0))-IF(AN604="",0,AN604)+AP605+AD604,IF(AM604&lt;&gt;"",INDEX('Aub Demand'!Q:Q,MATCH($O604,'Aub Demand'!$A:$A,0))-IF(AN604="",0,AN604)+AD604+AL604,INDEX('Aub Demand'!Q:Q,MATCH($O604,'Aub Demand'!$A:$A,0))-IF(AN604="",0,AN604)+AD604))),"")</f>
        <v>715</v>
      </c>
      <c r="Y604" s="53" t="str">
        <f t="shared" si="256"/>
        <v>n/a</v>
      </c>
      <c r="Z604" s="52">
        <f>IF(L604="","",INDEX('Aub Demand'!H:H,MATCH($O604,'Aub Demand'!$A:$A,0)))</f>
        <v>0</v>
      </c>
      <c r="AA604" s="52" t="str">
        <f t="shared" si="257"/>
        <v>-spike-</v>
      </c>
      <c r="AB604" s="52">
        <f>IFERROR(INDEX('Aub Demand'!L:L,MATCH($O604,'Aub Demand'!$A:$A,0)),"")</f>
        <v>0</v>
      </c>
      <c r="AC604" s="52">
        <f>IFERROR(IF(O604="","",SUMIFS('CPL Mats'!F:F,'CPL Mats'!Q:Q,AR604,'CPL Mats'!S:S,AS604)),"")</f>
        <v>0</v>
      </c>
      <c r="AF604" s="25" t="str">
        <f>IF(SUMIFS('Supp Consol'!S:S,'Supp Consol'!Y:Y,"Releasable",'Supp Consol'!A:A,O604)=0,"",SUMIFS('Supp Consol'!S:S,'Supp Consol'!Y:Y,"Releasable",'Supp Consol'!A:A,O604))</f>
        <v/>
      </c>
      <c r="AG604" s="25">
        <f>IFERROR(INDEX('Hun Demand'!Q:Q,MATCH(O604,'Hun Demand'!A:A,0)),"")</f>
        <v>3559</v>
      </c>
      <c r="AH604" s="25">
        <f>IFERROR(INDEX('Hun Demand'!H:H,MATCH($O604,'Hun Demand'!$A:$A,0)),"")</f>
        <v>430</v>
      </c>
      <c r="AI604" s="25" t="str">
        <f>IF(SUMIFS('Supp Consol'!AA:AA,'Supp Consol'!Z:Z,"Expires this month",'Supp Consol'!A:A,O604)=0,"",SUMIFS('Supp Consol'!AA:AA,'Supp Consol'!Z:Z,"Expires this month",'Supp Consol'!A:A,O604))</f>
        <v/>
      </c>
      <c r="AJ604" s="25" t="str">
        <f>IF(SUMIFS('Supp Consol'!AA:AA,'Supp Consol'!Z:Z,"Expired Previous Months",'Supp Consol'!A:A,O604)=0,"",SUMIFS('Supp Consol'!AA:AA,'Supp Consol'!Z:Z,"Expired Previous Months",'Supp Consol'!A:A,O604))</f>
        <v/>
      </c>
      <c r="AK604" s="25" t="str">
        <f>IFERROR(INDEX('Hun Release Current'!B:B,MATCH(O604,'Hun Release Current'!A:A,0)),"")</f>
        <v/>
      </c>
      <c r="AL604" s="25" t="str">
        <f>IF(SUMIF('Prev Aub'!A:A,O604,'Prev Aub'!B:B)=0,"",SUMIF('Prev Aub'!A:A,O604,'Prev Aub'!B:B))</f>
        <v/>
      </c>
      <c r="AN604" s="25">
        <v>25</v>
      </c>
      <c r="AO604" s="25" t="s">
        <v>3891</v>
      </c>
      <c r="AP604" s="25">
        <f t="shared" si="258"/>
        <v>20</v>
      </c>
      <c r="AQ604" s="151" t="str">
        <f>IF(SUMIFS('Supp Consol'!S:S,'Supp Consol'!A:A,O604,'Supp Consol'!I:I,"PENDING")=0,"",SUMIFS('Supp Consol'!S:S,'Supp Consol'!A:A,O604,'Supp Consol'!I:I,"PENDING"))</f>
        <v/>
      </c>
      <c r="AR604" s="27" t="str">
        <f t="shared" si="259"/>
        <v>HP599</v>
      </c>
      <c r="AS604" s="27" t="str">
        <f t="shared" si="260"/>
        <v>62</v>
      </c>
      <c r="AT604" s="27" t="str">
        <f t="shared" si="261"/>
        <v/>
      </c>
      <c r="AU604" s="27" t="str">
        <f t="shared" si="262"/>
        <v/>
      </c>
      <c r="AV604" s="27" t="str">
        <f t="shared" si="263"/>
        <v/>
      </c>
      <c r="AW604" s="27" t="str">
        <f t="shared" si="264"/>
        <v/>
      </c>
      <c r="AX604" s="27" t="str">
        <f t="shared" si="265"/>
        <v/>
      </c>
      <c r="AY604" s="27" t="str">
        <f t="shared" si="266"/>
        <v>HP599</v>
      </c>
      <c r="AZ604" s="27" t="str">
        <f t="shared" si="267"/>
        <v/>
      </c>
      <c r="BA604" s="27" t="str">
        <f t="shared" si="268"/>
        <v>Hun</v>
      </c>
      <c r="BB604" s="27" t="str">
        <f t="shared" si="269"/>
        <v/>
      </c>
      <c r="BC604" s="27" t="str">
        <f t="shared" si="270"/>
        <v/>
      </c>
      <c r="BD604" s="27" t="str">
        <f t="shared" si="271"/>
        <v/>
      </c>
      <c r="BE604" s="27" t="str">
        <f t="shared" si="272"/>
        <v/>
      </c>
      <c r="BF604" s="27" t="str">
        <f t="shared" si="273"/>
        <v/>
      </c>
      <c r="BG604" s="27" t="str">
        <f t="shared" si="274"/>
        <v/>
      </c>
      <c r="BH604" s="27" t="str">
        <f t="shared" si="275"/>
        <v/>
      </c>
      <c r="BI604" s="27" t="str">
        <f t="shared" si="276"/>
        <v/>
      </c>
      <c r="BJ604" s="27" t="str">
        <f t="shared" si="277"/>
        <v>Supp or Hun</v>
      </c>
      <c r="BK604" s="27" t="str">
        <f t="shared" si="278"/>
        <v/>
      </c>
      <c r="BL604" s="27" t="str">
        <f t="shared" si="279"/>
        <v/>
      </c>
      <c r="BM604" s="21" t="s">
        <v>5582</v>
      </c>
    </row>
    <row r="605" spans="1:65" ht="15">
      <c r="A605" s="25">
        <f>IFERROR(INDEX('Hun Demand'!W:W,MATCH(O605,'Hun Demand'!A:A,0)),"")</f>
        <v>0</v>
      </c>
      <c r="B605" s="25">
        <f>IFERROR(INDEX('Hun Demand'!V:V,MATCH(O605,'Hun Demand'!A:A,0)),"")</f>
        <v>0</v>
      </c>
      <c r="C605" s="25">
        <f>IFERROR(INDEX('Hun Demand'!U:U,MATCH(O605,'Hun Demand'!A:A,0)),"")</f>
        <v>0</v>
      </c>
      <c r="D605" s="25">
        <f>IFERROR(INDEX('Hun Demand'!T:T,MATCH(O605,'Hun Demand'!A:A,0)),"")</f>
        <v>0</v>
      </c>
      <c r="E605" s="25">
        <f>IFERROR(INDEX('Hun Demand'!S:S,MATCH(O605,'Hun Demand'!A:A,0)),"")</f>
        <v>0</v>
      </c>
      <c r="F605" s="25">
        <f>IFERROR(INDEX('Hun Demand'!R:R,MATCH(O605,'Hun Demand'!A:A,0)),"")</f>
        <v>0</v>
      </c>
      <c r="G605" s="25">
        <f>IFERROR(INDEX('Aub Demand'!W:W,MATCH(O605,'Aub Demand'!A:A,0)),"")</f>
        <v>0</v>
      </c>
      <c r="H605" s="25">
        <f>IFERROR(INDEX('Aub Demand'!V:V,MATCH(O605,'Aub Demand'!A:A,0)),"")</f>
        <v>0</v>
      </c>
      <c r="I605" s="25">
        <f>IFERROR(INDEX('Aub Demand'!U:U,MATCH(O605,'Aub Demand'!A:A,0)),"")</f>
        <v>0</v>
      </c>
      <c r="J605" s="25">
        <f>IFERROR(INDEX('Aub Demand'!T:T,MATCH(O605,'Aub Demand'!A:A,0)),"")</f>
        <v>0</v>
      </c>
      <c r="K605" s="25">
        <f>IFERROR(INDEX('Aub Demand'!S:S,MATCH(O605,'Aub Demand'!A:A,0)),"")</f>
        <v>0</v>
      </c>
      <c r="L605" s="25">
        <f>IFERROR(INDEX('Aub Demand'!R:R,MATCH(O605,'Aub Demand'!A:A,0)),"")</f>
        <v>0</v>
      </c>
      <c r="O605" s="27" t="s">
        <v>1025</v>
      </c>
      <c r="P605" s="27" t="str">
        <f>IFERROR(INDEX('Aub Demand'!B:B,MATCH($O605,'Aub Demand'!$A:$A,0)),"")</f>
        <v>MOUNTAINSIDE MAPLE</v>
      </c>
      <c r="Q605" s="27" t="str">
        <f>IFERROR(INDEX('Aub Demand'!C:C,MATCH($O605,'Aub Demand'!$A:$A,0)),"")</f>
        <v>LAMIG</v>
      </c>
      <c r="R605" s="52">
        <f>IFERROR(IF(AR606=AR605,INDEX('Aub Demand'!K:K,MATCH($O605,'Aub Demand'!$A:$A,0))-IF(AN605="",0,AN605)+AP606,INDEX('Aub Demand'!K:K,MATCH($O605,'Aub Demand'!$A:$A,0))-IF(AN605="",0,AN605)),"")</f>
        <v>2419</v>
      </c>
      <c r="S605" s="53" t="str">
        <f t="shared" si="252"/>
        <v>n/a</v>
      </c>
      <c r="T605" s="52" t="str">
        <f t="shared" si="253"/>
        <v/>
      </c>
      <c r="U605" s="52">
        <f>IFERROR(IF(AR606=AR605,INDEX('Aub Demand'!Q:Q,MATCH($O605,'Aub Demand'!$A:$A,0))-IF(AN605="",0,AN605)+AP606,INDEX('Aub Demand'!Q:Q,MATCH($O605,'Aub Demand'!$A:$A,0))-IF(AN605="",0,AN605)),"")</f>
        <v>2419</v>
      </c>
      <c r="V605" s="53" t="str">
        <f t="shared" si="254"/>
        <v>n/a</v>
      </c>
      <c r="W605" s="52" t="str">
        <f t="shared" si="255"/>
        <v/>
      </c>
      <c r="X605" s="52">
        <f>IFERROR(IF(AND(AR606=AR605,AM605&lt;&gt;""),INDEX('Aub Demand'!Q:Q,MATCH($O605,'Aub Demand'!$A:$A,0))-IF(AN605="",0,AN605)+AP606+AD605+AL605,IF(AR606=AR605,INDEX('Aub Demand'!Q:Q,MATCH($O605,'Aub Demand'!$A:$A,0))-IF(AN605="",0,AN605)+AP606+AD605,IF(AM605&lt;&gt;"",INDEX('Aub Demand'!Q:Q,MATCH($O605,'Aub Demand'!$A:$A,0))-IF(AN605="",0,AN605)+AD605+AL605,INDEX('Aub Demand'!Q:Q,MATCH($O605,'Aub Demand'!$A:$A,0))-IF(AN605="",0,AN605)+AD605))),"")</f>
        <v>2419</v>
      </c>
      <c r="Y605" s="53" t="str">
        <f t="shared" si="256"/>
        <v>n/a</v>
      </c>
      <c r="Z605" s="52">
        <f>IF(L605="","",INDEX('Aub Demand'!H:H,MATCH($O605,'Aub Demand'!$A:$A,0)))</f>
        <v>0</v>
      </c>
      <c r="AA605" s="52" t="str">
        <f t="shared" si="257"/>
        <v>-spike-</v>
      </c>
      <c r="AB605" s="52">
        <f>IFERROR(INDEX('Aub Demand'!L:L,MATCH($O605,'Aub Demand'!$A:$A,0)),"")</f>
        <v>0</v>
      </c>
      <c r="AC605" s="52">
        <f>IFERROR(IF(O605="","",SUMIFS('CPL Mats'!F:F,'CPL Mats'!Q:Q,AR605,'CPL Mats'!S:S,AS605)),"")</f>
        <v>0</v>
      </c>
      <c r="AF605" s="25" t="str">
        <f>IF(SUMIFS('Supp Consol'!S:S,'Supp Consol'!Y:Y,"Releasable",'Supp Consol'!A:A,O605)=0,"",SUMIFS('Supp Consol'!S:S,'Supp Consol'!Y:Y,"Releasable",'Supp Consol'!A:A,O605))</f>
        <v/>
      </c>
      <c r="AG605" s="25">
        <f>IFERROR(INDEX('Hun Demand'!Q:Q,MATCH(O605,'Hun Demand'!A:A,0)),"")</f>
        <v>3210</v>
      </c>
      <c r="AH605" s="25">
        <f>IFERROR(INDEX('Hun Demand'!H:H,MATCH($O605,'Hun Demand'!$A:$A,0)),"")</f>
        <v>0</v>
      </c>
      <c r="AI605" s="25" t="str">
        <f>IF(SUMIFS('Supp Consol'!AA:AA,'Supp Consol'!Z:Z,"Expires this month",'Supp Consol'!A:A,O605)=0,"",SUMIFS('Supp Consol'!AA:AA,'Supp Consol'!Z:Z,"Expires this month",'Supp Consol'!A:A,O605))</f>
        <v/>
      </c>
      <c r="AJ605" s="25" t="str">
        <f>IF(SUMIFS('Supp Consol'!AA:AA,'Supp Consol'!Z:Z,"Expired Previous Months",'Supp Consol'!A:A,O605)=0,"",SUMIFS('Supp Consol'!AA:AA,'Supp Consol'!Z:Z,"Expired Previous Months",'Supp Consol'!A:A,O605))</f>
        <v/>
      </c>
      <c r="AK605" s="25" t="str">
        <f>IFERROR(INDEX('Hun Release Current'!B:B,MATCH(O605,'Hun Release Current'!A:A,0)),"")</f>
        <v/>
      </c>
      <c r="AL605" s="25" t="str">
        <f>IF(SUMIF('Prev Aub'!A:A,O605,'Prev Aub'!B:B)=0,"",SUMIF('Prev Aub'!A:A,O605,'Prev Aub'!B:B))</f>
        <v/>
      </c>
      <c r="AN605" s="25" t="s">
        <v>3790</v>
      </c>
      <c r="AO605" s="25" t="s">
        <v>3790</v>
      </c>
      <c r="AP605" s="25">
        <f t="shared" si="258"/>
        <v>0</v>
      </c>
      <c r="AQ605" s="151" t="str">
        <f>IF(SUMIFS('Supp Consol'!S:S,'Supp Consol'!A:A,O605,'Supp Consol'!I:I,"PENDING")=0,"",SUMIFS('Supp Consol'!S:S,'Supp Consol'!A:A,O605,'Supp Consol'!I:I,"PENDING"))</f>
        <v/>
      </c>
      <c r="AR605" s="27" t="str">
        <f t="shared" si="259"/>
        <v>HP681</v>
      </c>
      <c r="AS605" s="27" t="str">
        <f t="shared" si="260"/>
        <v>50</v>
      </c>
      <c r="AT605" s="27" t="str">
        <f t="shared" si="261"/>
        <v/>
      </c>
      <c r="AU605" s="27" t="str">
        <f t="shared" si="262"/>
        <v/>
      </c>
      <c r="AV605" s="27" t="str">
        <f t="shared" si="263"/>
        <v/>
      </c>
      <c r="AW605" s="27" t="str">
        <f t="shared" si="264"/>
        <v/>
      </c>
      <c r="AX605" s="27" t="str">
        <f t="shared" si="265"/>
        <v/>
      </c>
      <c r="AY605" s="27" t="str">
        <f t="shared" si="266"/>
        <v>HP681</v>
      </c>
      <c r="AZ605" s="27" t="str">
        <f t="shared" si="267"/>
        <v/>
      </c>
      <c r="BA605" s="27" t="str">
        <f t="shared" si="268"/>
        <v>Hun</v>
      </c>
      <c r="BB605" s="27" t="str">
        <f t="shared" si="269"/>
        <v/>
      </c>
      <c r="BC605" s="27" t="str">
        <f t="shared" si="270"/>
        <v/>
      </c>
      <c r="BD605" s="27" t="str">
        <f t="shared" si="271"/>
        <v/>
      </c>
      <c r="BE605" s="27" t="str">
        <f t="shared" si="272"/>
        <v/>
      </c>
      <c r="BF605" s="27" t="str">
        <f t="shared" si="273"/>
        <v/>
      </c>
      <c r="BG605" s="27" t="str">
        <f t="shared" si="274"/>
        <v/>
      </c>
      <c r="BH605" s="27" t="str">
        <f t="shared" si="275"/>
        <v/>
      </c>
      <c r="BI605" s="27" t="str">
        <f t="shared" si="276"/>
        <v/>
      </c>
      <c r="BJ605" s="27" t="str">
        <f t="shared" si="277"/>
        <v>Supp or Hun</v>
      </c>
      <c r="BK605" s="27" t="str">
        <f t="shared" si="278"/>
        <v/>
      </c>
      <c r="BL605" s="27" t="str">
        <f t="shared" si="279"/>
        <v/>
      </c>
      <c r="BM605" s="21" t="s">
        <v>5582</v>
      </c>
    </row>
    <row r="606" spans="1:65" ht="15">
      <c r="A606" s="25">
        <f>IFERROR(INDEX('Hun Demand'!W:W,MATCH(O606,'Hun Demand'!A:A,0)),"")</f>
        <v>0</v>
      </c>
      <c r="B606" s="25">
        <f>IFERROR(INDEX('Hun Demand'!V:V,MATCH(O606,'Hun Demand'!A:A,0)),"")</f>
        <v>0</v>
      </c>
      <c r="C606" s="25">
        <f>IFERROR(INDEX('Hun Demand'!U:U,MATCH(O606,'Hun Demand'!A:A,0)),"")</f>
        <v>0</v>
      </c>
      <c r="D606" s="25">
        <f>IFERROR(INDEX('Hun Demand'!T:T,MATCH(O606,'Hun Demand'!A:A,0)),"")</f>
        <v>0</v>
      </c>
      <c r="E606" s="25">
        <f>IFERROR(INDEX('Hun Demand'!S:S,MATCH(O606,'Hun Demand'!A:A,0)),"")</f>
        <v>0</v>
      </c>
      <c r="F606" s="25">
        <f>IFERROR(INDEX('Hun Demand'!R:R,MATCH(O606,'Hun Demand'!A:A,0)),"")</f>
        <v>0</v>
      </c>
      <c r="G606" s="25">
        <f>IFERROR(INDEX('Aub Demand'!W:W,MATCH(O606,'Aub Demand'!A:A,0)),"")</f>
        <v>0</v>
      </c>
      <c r="H606" s="25">
        <f>IFERROR(INDEX('Aub Demand'!V:V,MATCH(O606,'Aub Demand'!A:A,0)),"")</f>
        <v>0</v>
      </c>
      <c r="I606" s="25">
        <f>IFERROR(INDEX('Aub Demand'!U:U,MATCH(O606,'Aub Demand'!A:A,0)),"")</f>
        <v>0</v>
      </c>
      <c r="J606" s="25">
        <f>IFERROR(INDEX('Aub Demand'!T:T,MATCH(O606,'Aub Demand'!A:A,0)),"")</f>
        <v>0</v>
      </c>
      <c r="K606" s="25">
        <f>IFERROR(INDEX('Aub Demand'!S:S,MATCH(O606,'Aub Demand'!A:A,0)),"")</f>
        <v>0</v>
      </c>
      <c r="L606" s="25">
        <f>IFERROR(INDEX('Aub Demand'!R:R,MATCH(O606,'Aub Demand'!A:A,0)),"")</f>
        <v>0</v>
      </c>
      <c r="O606" s="27" t="s">
        <v>1029</v>
      </c>
      <c r="P606" s="27" t="str">
        <f>IFERROR(INDEX('Aub Demand'!B:B,MATCH($O606,'Aub Demand'!$A:$A,0)),"")</f>
        <v>MOUNTAINSIDE MAPLE</v>
      </c>
      <c r="Q606" s="27" t="str">
        <f>IFERROR(INDEX('Aub Demand'!C:C,MATCH($O606,'Aub Demand'!$A:$A,0)),"")</f>
        <v>LAMIG</v>
      </c>
      <c r="R606" s="52">
        <f>IFERROR(IF(AR607=AR606,INDEX('Aub Demand'!K:K,MATCH($O606,'Aub Demand'!$A:$A,0))-IF(AN606="",0,AN606)+AP607,INDEX('Aub Demand'!K:K,MATCH($O606,'Aub Demand'!$A:$A,0))-IF(AN606="",0,AN606)),"")</f>
        <v>436</v>
      </c>
      <c r="S606" s="53" t="str">
        <f t="shared" si="252"/>
        <v>n/a</v>
      </c>
      <c r="T606" s="52" t="str">
        <f t="shared" si="253"/>
        <v/>
      </c>
      <c r="U606" s="52">
        <f>IFERROR(IF(AR607=AR606,INDEX('Aub Demand'!Q:Q,MATCH($O606,'Aub Demand'!$A:$A,0))-IF(AN606="",0,AN606)+AP607,INDEX('Aub Demand'!Q:Q,MATCH($O606,'Aub Demand'!$A:$A,0))-IF(AN606="",0,AN606)),"")</f>
        <v>436</v>
      </c>
      <c r="V606" s="53" t="str">
        <f t="shared" si="254"/>
        <v>n/a</v>
      </c>
      <c r="W606" s="52" t="str">
        <f t="shared" si="255"/>
        <v/>
      </c>
      <c r="X606" s="52">
        <f>IFERROR(IF(AND(AR607=AR606,AM606&lt;&gt;""),INDEX('Aub Demand'!Q:Q,MATCH($O606,'Aub Demand'!$A:$A,0))-IF(AN606="",0,AN606)+AP607+AD606+AL606,IF(AR607=AR606,INDEX('Aub Demand'!Q:Q,MATCH($O606,'Aub Demand'!$A:$A,0))-IF(AN606="",0,AN606)+AP607+AD606,IF(AM606&lt;&gt;"",INDEX('Aub Demand'!Q:Q,MATCH($O606,'Aub Demand'!$A:$A,0))-IF(AN606="",0,AN606)+AD606+AL606,INDEX('Aub Demand'!Q:Q,MATCH($O606,'Aub Demand'!$A:$A,0))-IF(AN606="",0,AN606)+AD606))),"")</f>
        <v>436</v>
      </c>
      <c r="Y606" s="53" t="str">
        <f t="shared" si="256"/>
        <v>n/a</v>
      </c>
      <c r="Z606" s="52">
        <f>IF(L606="","",INDEX('Aub Demand'!H:H,MATCH($O606,'Aub Demand'!$A:$A,0)))</f>
        <v>0</v>
      </c>
      <c r="AA606" s="52" t="str">
        <f t="shared" si="257"/>
        <v>-spike-</v>
      </c>
      <c r="AB606" s="52">
        <f>IFERROR(INDEX('Aub Demand'!L:L,MATCH($O606,'Aub Demand'!$A:$A,0)),"")</f>
        <v>0</v>
      </c>
      <c r="AC606" s="52">
        <f>IFERROR(IF(O606="","",SUMIFS('CPL Mats'!F:F,'CPL Mats'!Q:Q,AR606,'CPL Mats'!S:S,AS606)),"")</f>
        <v>0</v>
      </c>
      <c r="AF606" s="25" t="str">
        <f>IF(SUMIFS('Supp Consol'!S:S,'Supp Consol'!Y:Y,"Releasable",'Supp Consol'!A:A,O606)=0,"",SUMIFS('Supp Consol'!S:S,'Supp Consol'!Y:Y,"Releasable",'Supp Consol'!A:A,O606))</f>
        <v/>
      </c>
      <c r="AG606" s="25">
        <f>IFERROR(INDEX('Hun Demand'!Q:Q,MATCH(O606,'Hun Demand'!A:A,0)),"")</f>
        <v>2769</v>
      </c>
      <c r="AH606" s="25">
        <f>IFERROR(INDEX('Hun Demand'!H:H,MATCH($O606,'Hun Demand'!$A:$A,0)),"")</f>
        <v>0</v>
      </c>
      <c r="AI606" s="25" t="str">
        <f>IF(SUMIFS('Supp Consol'!AA:AA,'Supp Consol'!Z:Z,"Expires this month",'Supp Consol'!A:A,O606)=0,"",SUMIFS('Supp Consol'!AA:AA,'Supp Consol'!Z:Z,"Expires this month",'Supp Consol'!A:A,O606))</f>
        <v/>
      </c>
      <c r="AJ606" s="25" t="str">
        <f>IF(SUMIFS('Supp Consol'!AA:AA,'Supp Consol'!Z:Z,"Expired Previous Months",'Supp Consol'!A:A,O606)=0,"",SUMIFS('Supp Consol'!AA:AA,'Supp Consol'!Z:Z,"Expired Previous Months",'Supp Consol'!A:A,O606))</f>
        <v/>
      </c>
      <c r="AK606" s="25" t="str">
        <f>IFERROR(INDEX('Hun Release Current'!B:B,MATCH(O606,'Hun Release Current'!A:A,0)),"")</f>
        <v/>
      </c>
      <c r="AL606" s="25" t="str">
        <f>IF(SUMIF('Prev Aub'!A:A,O606,'Prev Aub'!B:B)=0,"",SUMIF('Prev Aub'!A:A,O606,'Prev Aub'!B:B))</f>
        <v/>
      </c>
      <c r="AN606" s="25" t="s">
        <v>3790</v>
      </c>
      <c r="AO606" s="25" t="s">
        <v>3790</v>
      </c>
      <c r="AP606" s="25">
        <f t="shared" si="258"/>
        <v>0</v>
      </c>
      <c r="AQ606" s="151" t="str">
        <f>IF(SUMIFS('Supp Consol'!S:S,'Supp Consol'!A:A,O606,'Supp Consol'!I:I,"PENDING")=0,"",SUMIFS('Supp Consol'!S:S,'Supp Consol'!A:A,O606,'Supp Consol'!I:I,"PENDING"))</f>
        <v/>
      </c>
      <c r="AR606" s="27" t="str">
        <f t="shared" si="259"/>
        <v>HP681</v>
      </c>
      <c r="AS606" s="27" t="str">
        <f t="shared" si="260"/>
        <v>62</v>
      </c>
      <c r="AT606" s="27" t="str">
        <f t="shared" si="261"/>
        <v/>
      </c>
      <c r="AU606" s="27" t="str">
        <f t="shared" si="262"/>
        <v/>
      </c>
      <c r="AV606" s="27" t="str">
        <f t="shared" si="263"/>
        <v/>
      </c>
      <c r="AW606" s="27" t="str">
        <f t="shared" si="264"/>
        <v/>
      </c>
      <c r="AX606" s="27" t="str">
        <f t="shared" si="265"/>
        <v/>
      </c>
      <c r="AY606" s="27" t="str">
        <f t="shared" si="266"/>
        <v>HP681</v>
      </c>
      <c r="AZ606" s="27" t="str">
        <f t="shared" si="267"/>
        <v/>
      </c>
      <c r="BA606" s="27" t="str">
        <f t="shared" si="268"/>
        <v>Hun</v>
      </c>
      <c r="BB606" s="27" t="str">
        <f t="shared" si="269"/>
        <v/>
      </c>
      <c r="BC606" s="27" t="str">
        <f t="shared" si="270"/>
        <v/>
      </c>
      <c r="BD606" s="27" t="str">
        <f t="shared" si="271"/>
        <v/>
      </c>
      <c r="BE606" s="27" t="str">
        <f t="shared" si="272"/>
        <v/>
      </c>
      <c r="BF606" s="27" t="str">
        <f t="shared" si="273"/>
        <v/>
      </c>
      <c r="BG606" s="27" t="str">
        <f t="shared" si="274"/>
        <v/>
      </c>
      <c r="BH606" s="27" t="str">
        <f t="shared" si="275"/>
        <v/>
      </c>
      <c r="BI606" s="27" t="str">
        <f t="shared" si="276"/>
        <v/>
      </c>
      <c r="BJ606" s="27" t="str">
        <f t="shared" si="277"/>
        <v>Supp or Hun</v>
      </c>
      <c r="BK606" s="27" t="str">
        <f t="shared" si="278"/>
        <v/>
      </c>
      <c r="BL606" s="27" t="str">
        <f t="shared" si="279"/>
        <v/>
      </c>
      <c r="BM606" s="21" t="s">
        <v>5582</v>
      </c>
    </row>
    <row r="607" spans="1:65" ht="15">
      <c r="A607" s="25">
        <f>IFERROR(INDEX('Hun Demand'!W:W,MATCH(O607,'Hun Demand'!A:A,0)),"")</f>
        <v>0</v>
      </c>
      <c r="B607" s="25">
        <f>IFERROR(INDEX('Hun Demand'!V:V,MATCH(O607,'Hun Demand'!A:A,0)),"")</f>
        <v>0</v>
      </c>
      <c r="C607" s="25">
        <f>IFERROR(INDEX('Hun Demand'!U:U,MATCH(O607,'Hun Demand'!A:A,0)),"")</f>
        <v>0</v>
      </c>
      <c r="D607" s="25">
        <f>IFERROR(INDEX('Hun Demand'!T:T,MATCH(O607,'Hun Demand'!A:A,0)),"")</f>
        <v>0</v>
      </c>
      <c r="E607" s="25">
        <f>IFERROR(INDEX('Hun Demand'!S:S,MATCH(O607,'Hun Demand'!A:A,0)),"")</f>
        <v>104</v>
      </c>
      <c r="F607" s="25">
        <f>IFERROR(INDEX('Hun Demand'!R:R,MATCH(O607,'Hun Demand'!A:A,0)),"")</f>
        <v>0</v>
      </c>
      <c r="G607" s="25">
        <f>IFERROR(INDEX('Aub Demand'!W:W,MATCH(O607,'Aub Demand'!A:A,0)),"")</f>
        <v>0</v>
      </c>
      <c r="H607" s="25">
        <f>IFERROR(INDEX('Aub Demand'!V:V,MATCH(O607,'Aub Demand'!A:A,0)),"")</f>
        <v>0</v>
      </c>
      <c r="I607" s="25">
        <f>IFERROR(INDEX('Aub Demand'!U:U,MATCH(O607,'Aub Demand'!A:A,0)),"")</f>
        <v>0</v>
      </c>
      <c r="J607" s="25">
        <f>IFERROR(INDEX('Aub Demand'!T:T,MATCH(O607,'Aub Demand'!A:A,0)),"")</f>
        <v>0</v>
      </c>
      <c r="K607" s="25">
        <f>IFERROR(INDEX('Aub Demand'!S:S,MATCH(O607,'Aub Demand'!A:A,0)),"")</f>
        <v>0</v>
      </c>
      <c r="L607" s="25">
        <f>IFERROR(INDEX('Aub Demand'!R:R,MATCH(O607,'Aub Demand'!A:A,0)),"")</f>
        <v>0</v>
      </c>
      <c r="O607" s="27" t="s">
        <v>1030</v>
      </c>
      <c r="P607" s="27" t="str">
        <f>IFERROR(INDEX('Aub Demand'!B:B,MATCH($O607,'Aub Demand'!$A:$A,0)),"")</f>
        <v>TOWNSHIP MAPLE</v>
      </c>
      <c r="Q607" s="27" t="str">
        <f>IFERROR(INDEX('Aub Demand'!C:C,MATCH($O607,'Aub Demand'!$A:$A,0)),"")</f>
        <v>LAMIG</v>
      </c>
      <c r="R607" s="52">
        <f>IFERROR(IF(AR608=AR607,INDEX('Aub Demand'!K:K,MATCH($O607,'Aub Demand'!$A:$A,0))-IF(AN607="",0,AN607)+AP608,INDEX('Aub Demand'!K:K,MATCH($O607,'Aub Demand'!$A:$A,0))-IF(AN607="",0,AN607)),"")</f>
        <v>544</v>
      </c>
      <c r="S607" s="53" t="str">
        <f t="shared" si="252"/>
        <v>n/a</v>
      </c>
      <c r="T607" s="52" t="str">
        <f t="shared" si="253"/>
        <v/>
      </c>
      <c r="U607" s="52">
        <f>IFERROR(IF(AR608=AR607,INDEX('Aub Demand'!Q:Q,MATCH($O607,'Aub Demand'!$A:$A,0))-IF(AN607="",0,AN607)+AP608,INDEX('Aub Demand'!Q:Q,MATCH($O607,'Aub Demand'!$A:$A,0))-IF(AN607="",0,AN607)),"")</f>
        <v>544</v>
      </c>
      <c r="V607" s="53" t="str">
        <f t="shared" si="254"/>
        <v>n/a</v>
      </c>
      <c r="W607" s="52" t="str">
        <f t="shared" si="255"/>
        <v/>
      </c>
      <c r="X607" s="52">
        <f>IFERROR(IF(AND(AR608=AR607,AM607&lt;&gt;""),INDEX('Aub Demand'!Q:Q,MATCH($O607,'Aub Demand'!$A:$A,0))-IF(AN607="",0,AN607)+AP608+AD607+AL607,IF(AR608=AR607,INDEX('Aub Demand'!Q:Q,MATCH($O607,'Aub Demand'!$A:$A,0))-IF(AN607="",0,AN607)+AP608+AD607,IF(AM607&lt;&gt;"",INDEX('Aub Demand'!Q:Q,MATCH($O607,'Aub Demand'!$A:$A,0))-IF(AN607="",0,AN607)+AD607+AL607,INDEX('Aub Demand'!Q:Q,MATCH($O607,'Aub Demand'!$A:$A,0))-IF(AN607="",0,AN607)+AD607))),"")</f>
        <v>544</v>
      </c>
      <c r="Y607" s="53" t="str">
        <f t="shared" si="256"/>
        <v>n/a</v>
      </c>
      <c r="Z607" s="52">
        <f>IF(L607="","",INDEX('Aub Demand'!H:H,MATCH($O607,'Aub Demand'!$A:$A,0)))</f>
        <v>0</v>
      </c>
      <c r="AA607" s="52" t="str">
        <f t="shared" si="257"/>
        <v>-spike-</v>
      </c>
      <c r="AB607" s="52">
        <f>IFERROR(INDEX('Aub Demand'!L:L,MATCH($O607,'Aub Demand'!$A:$A,0)),"")</f>
        <v>8</v>
      </c>
      <c r="AC607" s="52">
        <f>IFERROR(IF(O607="","",SUMIFS('CPL Mats'!F:F,'CPL Mats'!Q:Q,AR607,'CPL Mats'!S:S,AS607)),"")</f>
        <v>0</v>
      </c>
      <c r="AF607" s="25" t="str">
        <f>IF(SUMIFS('Supp Consol'!S:S,'Supp Consol'!Y:Y,"Releasable",'Supp Consol'!A:A,O607)=0,"",SUMIFS('Supp Consol'!S:S,'Supp Consol'!Y:Y,"Releasable",'Supp Consol'!A:A,O607))</f>
        <v/>
      </c>
      <c r="AG607" s="25">
        <f>IFERROR(INDEX('Hun Demand'!Q:Q,MATCH(O607,'Hun Demand'!A:A,0)),"")</f>
        <v>376</v>
      </c>
      <c r="AH607" s="25">
        <f>IFERROR(INDEX('Hun Demand'!H:H,MATCH($O607,'Hun Demand'!$A:$A,0)),"")</f>
        <v>35</v>
      </c>
      <c r="AI607" s="25" t="str">
        <f>IF(SUMIFS('Supp Consol'!AA:AA,'Supp Consol'!Z:Z,"Expires this month",'Supp Consol'!A:A,O607)=0,"",SUMIFS('Supp Consol'!AA:AA,'Supp Consol'!Z:Z,"Expires this month",'Supp Consol'!A:A,O607))</f>
        <v/>
      </c>
      <c r="AJ607" s="25" t="str">
        <f>IF(SUMIFS('Supp Consol'!AA:AA,'Supp Consol'!Z:Z,"Expired Previous Months",'Supp Consol'!A:A,O607)=0,"",SUMIFS('Supp Consol'!AA:AA,'Supp Consol'!Z:Z,"Expired Previous Months",'Supp Consol'!A:A,O607))</f>
        <v/>
      </c>
      <c r="AK607" s="25" t="str">
        <f>IFERROR(INDEX('Hun Release Current'!B:B,MATCH(O607,'Hun Release Current'!A:A,0)),"")</f>
        <v/>
      </c>
      <c r="AL607" s="25" t="str">
        <f>IF(SUMIF('Prev Aub'!A:A,O607,'Prev Aub'!B:B)=0,"",SUMIF('Prev Aub'!A:A,O607,'Prev Aub'!B:B))</f>
        <v/>
      </c>
      <c r="AN607" s="25" t="s">
        <v>3790</v>
      </c>
      <c r="AO607" s="25" t="s">
        <v>3790</v>
      </c>
      <c r="AP607" s="25">
        <f t="shared" si="258"/>
        <v>0</v>
      </c>
      <c r="AQ607" s="151" t="str">
        <f>IF(SUMIFS('Supp Consol'!S:S,'Supp Consol'!A:A,O607,'Supp Consol'!I:I,"PENDING")=0,"",SUMIFS('Supp Consol'!S:S,'Supp Consol'!A:A,O607,'Supp Consol'!I:I,"PENDING"))</f>
        <v/>
      </c>
      <c r="AR607" s="27" t="str">
        <f t="shared" si="259"/>
        <v>HP682</v>
      </c>
      <c r="AS607" s="27" t="str">
        <f t="shared" si="260"/>
        <v>50</v>
      </c>
      <c r="AT607" s="27" t="str">
        <f t="shared" si="261"/>
        <v/>
      </c>
      <c r="AU607" s="27" t="str">
        <f t="shared" si="262"/>
        <v/>
      </c>
      <c r="AV607" s="27" t="str">
        <f t="shared" si="263"/>
        <v/>
      </c>
      <c r="AW607" s="27" t="str">
        <f t="shared" si="264"/>
        <v/>
      </c>
      <c r="AX607" s="27" t="str">
        <f t="shared" si="265"/>
        <v/>
      </c>
      <c r="AY607" s="27" t="str">
        <f t="shared" si="266"/>
        <v>HP682</v>
      </c>
      <c r="AZ607" s="27" t="str">
        <f t="shared" si="267"/>
        <v/>
      </c>
      <c r="BA607" s="27" t="str">
        <f t="shared" si="268"/>
        <v>Hun</v>
      </c>
      <c r="BB607" s="27" t="str">
        <f t="shared" si="269"/>
        <v/>
      </c>
      <c r="BC607" s="27" t="str">
        <f t="shared" si="270"/>
        <v/>
      </c>
      <c r="BD607" s="27" t="str">
        <f t="shared" si="271"/>
        <v/>
      </c>
      <c r="BE607" s="27" t="str">
        <f t="shared" si="272"/>
        <v/>
      </c>
      <c r="BF607" s="27" t="str">
        <f t="shared" si="273"/>
        <v/>
      </c>
      <c r="BG607" s="27" t="str">
        <f t="shared" si="274"/>
        <v/>
      </c>
      <c r="BH607" s="27" t="str">
        <f t="shared" si="275"/>
        <v/>
      </c>
      <c r="BI607" s="27" t="str">
        <f t="shared" si="276"/>
        <v/>
      </c>
      <c r="BJ607" s="27" t="str">
        <f t="shared" si="277"/>
        <v>Supp or Hun</v>
      </c>
      <c r="BK607" s="27" t="str">
        <f t="shared" si="278"/>
        <v/>
      </c>
      <c r="BL607" s="27" t="str">
        <f t="shared" si="279"/>
        <v/>
      </c>
      <c r="BM607" s="21" t="s">
        <v>3790</v>
      </c>
    </row>
    <row r="608" spans="1:65" ht="15">
      <c r="A608" s="25">
        <f>IFERROR(INDEX('Hun Demand'!W:W,MATCH(O608,'Hun Demand'!A:A,0)),"")</f>
        <v>0</v>
      </c>
      <c r="B608" s="25">
        <f>IFERROR(INDEX('Hun Demand'!V:V,MATCH(O608,'Hun Demand'!A:A,0)),"")</f>
        <v>0</v>
      </c>
      <c r="C608" s="25">
        <f>IFERROR(INDEX('Hun Demand'!U:U,MATCH(O608,'Hun Demand'!A:A,0)),"")</f>
        <v>0</v>
      </c>
      <c r="D608" s="25">
        <f>IFERROR(INDEX('Hun Demand'!T:T,MATCH(O608,'Hun Demand'!A:A,0)),"")</f>
        <v>0</v>
      </c>
      <c r="E608" s="25">
        <f>IFERROR(INDEX('Hun Demand'!S:S,MATCH(O608,'Hun Demand'!A:A,0)),"")</f>
        <v>0</v>
      </c>
      <c r="F608" s="25">
        <f>IFERROR(INDEX('Hun Demand'!R:R,MATCH(O608,'Hun Demand'!A:A,0)),"")</f>
        <v>0</v>
      </c>
      <c r="G608" s="25">
        <f>IFERROR(INDEX('Aub Demand'!W:W,MATCH(O608,'Aub Demand'!A:A,0)),"")</f>
        <v>0</v>
      </c>
      <c r="H608" s="25">
        <f>IFERROR(INDEX('Aub Demand'!V:V,MATCH(O608,'Aub Demand'!A:A,0)),"")</f>
        <v>0</v>
      </c>
      <c r="I608" s="25">
        <f>IFERROR(INDEX('Aub Demand'!U:U,MATCH(O608,'Aub Demand'!A:A,0)),"")</f>
        <v>0</v>
      </c>
      <c r="J608" s="25">
        <f>IFERROR(INDEX('Aub Demand'!T:T,MATCH(O608,'Aub Demand'!A:A,0)),"")</f>
        <v>0</v>
      </c>
      <c r="K608" s="25">
        <f>IFERROR(INDEX('Aub Demand'!S:S,MATCH(O608,'Aub Demand'!A:A,0)),"")</f>
        <v>0</v>
      </c>
      <c r="L608" s="25">
        <f>IFERROR(INDEX('Aub Demand'!R:R,MATCH(O608,'Aub Demand'!A:A,0)),"")</f>
        <v>0</v>
      </c>
      <c r="O608" s="27" t="s">
        <v>1033</v>
      </c>
      <c r="P608" s="27" t="str">
        <f>IFERROR(INDEX('Aub Demand'!B:B,MATCH($O608,'Aub Demand'!$A:$A,0)),"")</f>
        <v>TOWNSHIP MAPLE</v>
      </c>
      <c r="Q608" s="27" t="str">
        <f>IFERROR(INDEX('Aub Demand'!C:C,MATCH($O608,'Aub Demand'!$A:$A,0)),"")</f>
        <v>LAMIG</v>
      </c>
      <c r="R608" s="52">
        <f>IFERROR(IF(AR609=AR608,INDEX('Aub Demand'!K:K,MATCH($O608,'Aub Demand'!$A:$A,0))-IF(AN608="",0,AN608)+AP609,INDEX('Aub Demand'!K:K,MATCH($O608,'Aub Demand'!$A:$A,0))-IF(AN608="",0,AN608)),"")</f>
        <v>1467</v>
      </c>
      <c r="S608" s="53" t="str">
        <f t="shared" si="252"/>
        <v>n/a</v>
      </c>
      <c r="T608" s="52" t="str">
        <f t="shared" si="253"/>
        <v/>
      </c>
      <c r="U608" s="52">
        <f>IFERROR(IF(AR609=AR608,INDEX('Aub Demand'!Q:Q,MATCH($O608,'Aub Demand'!$A:$A,0))-IF(AN608="",0,AN608)+AP609,INDEX('Aub Demand'!Q:Q,MATCH($O608,'Aub Demand'!$A:$A,0))-IF(AN608="",0,AN608)),"")</f>
        <v>1467</v>
      </c>
      <c r="V608" s="53" t="str">
        <f t="shared" si="254"/>
        <v>n/a</v>
      </c>
      <c r="W608" s="52" t="str">
        <f t="shared" si="255"/>
        <v/>
      </c>
      <c r="X608" s="52">
        <f>IFERROR(IF(AND(AR609=AR608,AM608&lt;&gt;""),INDEX('Aub Demand'!Q:Q,MATCH($O608,'Aub Demand'!$A:$A,0))-IF(AN608="",0,AN608)+AP609+AD608+AL608,IF(AR609=AR608,INDEX('Aub Demand'!Q:Q,MATCH($O608,'Aub Demand'!$A:$A,0))-IF(AN608="",0,AN608)+AP609+AD608,IF(AM608&lt;&gt;"",INDEX('Aub Demand'!Q:Q,MATCH($O608,'Aub Demand'!$A:$A,0))-IF(AN608="",0,AN608)+AD608+AL608,INDEX('Aub Demand'!Q:Q,MATCH($O608,'Aub Demand'!$A:$A,0))-IF(AN608="",0,AN608)+AD608))),"")</f>
        <v>1467</v>
      </c>
      <c r="Y608" s="53" t="str">
        <f t="shared" si="256"/>
        <v>n/a</v>
      </c>
      <c r="Z608" s="52">
        <f>IF(L608="","",INDEX('Aub Demand'!H:H,MATCH($O608,'Aub Demand'!$A:$A,0)))</f>
        <v>0</v>
      </c>
      <c r="AA608" s="52" t="str">
        <f t="shared" si="257"/>
        <v>-spike-</v>
      </c>
      <c r="AB608" s="52">
        <f>IFERROR(INDEX('Aub Demand'!L:L,MATCH($O608,'Aub Demand'!$A:$A,0)),"")</f>
        <v>0</v>
      </c>
      <c r="AC608" s="52">
        <f>IFERROR(IF(O608="","",SUMIFS('CPL Mats'!F:F,'CPL Mats'!Q:Q,AR608,'CPL Mats'!S:S,AS608)),"")</f>
        <v>0</v>
      </c>
      <c r="AF608" s="25" t="str">
        <f>IF(SUMIFS('Supp Consol'!S:S,'Supp Consol'!Y:Y,"Releasable",'Supp Consol'!A:A,O608)=0,"",SUMIFS('Supp Consol'!S:S,'Supp Consol'!Y:Y,"Releasable",'Supp Consol'!A:A,O608))</f>
        <v/>
      </c>
      <c r="AG608" s="25">
        <f>IFERROR(INDEX('Hun Demand'!Q:Q,MATCH(O608,'Hun Demand'!A:A,0)),"")</f>
        <v>2995</v>
      </c>
      <c r="AH608" s="25">
        <f>IFERROR(INDEX('Hun Demand'!H:H,MATCH($O608,'Hun Demand'!$A:$A,0)),"")</f>
        <v>0</v>
      </c>
      <c r="AI608" s="25" t="str">
        <f>IF(SUMIFS('Supp Consol'!AA:AA,'Supp Consol'!Z:Z,"Expires this month",'Supp Consol'!A:A,O608)=0,"",SUMIFS('Supp Consol'!AA:AA,'Supp Consol'!Z:Z,"Expires this month",'Supp Consol'!A:A,O608))</f>
        <v/>
      </c>
      <c r="AJ608" s="25" t="str">
        <f>IF(SUMIFS('Supp Consol'!AA:AA,'Supp Consol'!Z:Z,"Expired Previous Months",'Supp Consol'!A:A,O608)=0,"",SUMIFS('Supp Consol'!AA:AA,'Supp Consol'!Z:Z,"Expired Previous Months",'Supp Consol'!A:A,O608))</f>
        <v/>
      </c>
      <c r="AK608" s="25" t="str">
        <f>IFERROR(INDEX('Hun Release Current'!B:B,MATCH(O608,'Hun Release Current'!A:A,0)),"")</f>
        <v/>
      </c>
      <c r="AL608" s="25" t="str">
        <f>IF(SUMIF('Prev Aub'!A:A,O608,'Prev Aub'!B:B)=0,"",SUMIF('Prev Aub'!A:A,O608,'Prev Aub'!B:B))</f>
        <v/>
      </c>
      <c r="AN608" s="25" t="s">
        <v>3790</v>
      </c>
      <c r="AO608" s="25" t="s">
        <v>3790</v>
      </c>
      <c r="AP608" s="25">
        <f t="shared" si="258"/>
        <v>0</v>
      </c>
      <c r="AQ608" s="151" t="str">
        <f>IF(SUMIFS('Supp Consol'!S:S,'Supp Consol'!A:A,O608,'Supp Consol'!I:I,"PENDING")=0,"",SUMIFS('Supp Consol'!S:S,'Supp Consol'!A:A,O608,'Supp Consol'!I:I,"PENDING"))</f>
        <v/>
      </c>
      <c r="AR608" s="27" t="str">
        <f t="shared" si="259"/>
        <v>HP682</v>
      </c>
      <c r="AS608" s="27" t="str">
        <f t="shared" si="260"/>
        <v>62</v>
      </c>
      <c r="AT608" s="27" t="str">
        <f t="shared" si="261"/>
        <v/>
      </c>
      <c r="AU608" s="27" t="str">
        <f t="shared" si="262"/>
        <v/>
      </c>
      <c r="AV608" s="27" t="str">
        <f t="shared" si="263"/>
        <v/>
      </c>
      <c r="AW608" s="27" t="str">
        <f t="shared" si="264"/>
        <v/>
      </c>
      <c r="AX608" s="27" t="str">
        <f t="shared" si="265"/>
        <v/>
      </c>
      <c r="AY608" s="27" t="str">
        <f t="shared" si="266"/>
        <v>HP682</v>
      </c>
      <c r="AZ608" s="27" t="str">
        <f t="shared" si="267"/>
        <v/>
      </c>
      <c r="BA608" s="27" t="str">
        <f t="shared" si="268"/>
        <v>Hun</v>
      </c>
      <c r="BB608" s="27" t="str">
        <f t="shared" si="269"/>
        <v/>
      </c>
      <c r="BC608" s="27" t="str">
        <f t="shared" si="270"/>
        <v/>
      </c>
      <c r="BD608" s="27" t="str">
        <f t="shared" si="271"/>
        <v/>
      </c>
      <c r="BE608" s="27" t="str">
        <f t="shared" si="272"/>
        <v/>
      </c>
      <c r="BF608" s="27" t="str">
        <f t="shared" si="273"/>
        <v/>
      </c>
      <c r="BG608" s="27" t="str">
        <f t="shared" si="274"/>
        <v/>
      </c>
      <c r="BH608" s="27" t="str">
        <f t="shared" si="275"/>
        <v/>
      </c>
      <c r="BI608" s="27" t="str">
        <f t="shared" si="276"/>
        <v/>
      </c>
      <c r="BJ608" s="27" t="str">
        <f t="shared" si="277"/>
        <v>Supp or Hun</v>
      </c>
      <c r="BK608" s="27" t="str">
        <f t="shared" si="278"/>
        <v/>
      </c>
      <c r="BL608" s="27" t="str">
        <f t="shared" si="279"/>
        <v/>
      </c>
      <c r="BM608" s="21" t="s">
        <v>3790</v>
      </c>
    </row>
    <row r="609" spans="1:65" ht="15">
      <c r="A609" s="25">
        <f>IFERROR(INDEX('Hun Demand'!W:W,MATCH(O609,'Hun Demand'!A:A,0)),"")</f>
        <v>0</v>
      </c>
      <c r="B609" s="25">
        <f>IFERROR(INDEX('Hun Demand'!V:V,MATCH(O609,'Hun Demand'!A:A,0)),"")</f>
        <v>0</v>
      </c>
      <c r="C609" s="25">
        <f>IFERROR(INDEX('Hun Demand'!U:U,MATCH(O609,'Hun Demand'!A:A,0)),"")</f>
        <v>0</v>
      </c>
      <c r="D609" s="25">
        <f>IFERROR(INDEX('Hun Demand'!T:T,MATCH(O609,'Hun Demand'!A:A,0)),"")</f>
        <v>92</v>
      </c>
      <c r="E609" s="25">
        <f>IFERROR(INDEX('Hun Demand'!S:S,MATCH(O609,'Hun Demand'!A:A,0)),"")</f>
        <v>0</v>
      </c>
      <c r="F609" s="25">
        <f>IFERROR(INDEX('Hun Demand'!R:R,MATCH(O609,'Hun Demand'!A:A,0)),"")</f>
        <v>0</v>
      </c>
      <c r="G609" s="25">
        <f>IFERROR(INDEX('Aub Demand'!W:W,MATCH(O609,'Aub Demand'!A:A,0)),"")</f>
        <v>0</v>
      </c>
      <c r="H609" s="25">
        <f>IFERROR(INDEX('Aub Demand'!V:V,MATCH(O609,'Aub Demand'!A:A,0)),"")</f>
        <v>34</v>
      </c>
      <c r="I609" s="25">
        <f>IFERROR(INDEX('Aub Demand'!U:U,MATCH(O609,'Aub Demand'!A:A,0)),"")</f>
        <v>0</v>
      </c>
      <c r="J609" s="25">
        <f>IFERROR(INDEX('Aub Demand'!T:T,MATCH(O609,'Aub Demand'!A:A,0)),"")</f>
        <v>0</v>
      </c>
      <c r="K609" s="25">
        <f>IFERROR(INDEX('Aub Demand'!S:S,MATCH(O609,'Aub Demand'!A:A,0)),"")</f>
        <v>0</v>
      </c>
      <c r="L609" s="25">
        <f>IFERROR(INDEX('Aub Demand'!R:R,MATCH(O609,'Aub Demand'!A:A,0)),"")</f>
        <v>0</v>
      </c>
      <c r="O609" s="27" t="s">
        <v>1035</v>
      </c>
      <c r="P609" s="27" t="str">
        <f>IFERROR(INDEX('Aub Demand'!B:B,MATCH($O609,'Aub Demand'!$A:$A,0)),"")</f>
        <v>GLEN CHERRY</v>
      </c>
      <c r="Q609" s="27" t="str">
        <f>IFERROR(INDEX('Aub Demand'!C:C,MATCH($O609,'Aub Demand'!$A:$A,0)),"")</f>
        <v>SCHAT</v>
      </c>
      <c r="R609" s="52">
        <f>IFERROR(IF(AR610=AR609,INDEX('Aub Demand'!K:K,MATCH($O609,'Aub Demand'!$A:$A,0))-IF(AN609="",0,AN609)+AP610,INDEX('Aub Demand'!K:K,MATCH($O609,'Aub Demand'!$A:$A,0))-IF(AN609="",0,AN609)),"")</f>
        <v>1439</v>
      </c>
      <c r="S609" s="53" t="str">
        <f t="shared" si="252"/>
        <v>n/a</v>
      </c>
      <c r="T609" s="52" t="str">
        <f t="shared" si="253"/>
        <v/>
      </c>
      <c r="U609" s="52">
        <f>IFERROR(IF(AR610=AR609,INDEX('Aub Demand'!Q:Q,MATCH($O609,'Aub Demand'!$A:$A,0))-IF(AN609="",0,AN609)+AP610,INDEX('Aub Demand'!Q:Q,MATCH($O609,'Aub Demand'!$A:$A,0))-IF(AN609="",0,AN609)),"")</f>
        <v>1439</v>
      </c>
      <c r="V609" s="53" t="str">
        <f t="shared" si="254"/>
        <v>n/a</v>
      </c>
      <c r="W609" s="52" t="str">
        <f t="shared" si="255"/>
        <v/>
      </c>
      <c r="X609" s="52">
        <f>IFERROR(IF(AND(AR610=AR609,AM609&lt;&gt;""),INDEX('Aub Demand'!Q:Q,MATCH($O609,'Aub Demand'!$A:$A,0))-IF(AN609="",0,AN609)+AP610+AD609+AL609,IF(AR610=AR609,INDEX('Aub Demand'!Q:Q,MATCH($O609,'Aub Demand'!$A:$A,0))-IF(AN609="",0,AN609)+AP610+AD609,IF(AM609&lt;&gt;"",INDEX('Aub Demand'!Q:Q,MATCH($O609,'Aub Demand'!$A:$A,0))-IF(AN609="",0,AN609)+AD609+AL609,INDEX('Aub Demand'!Q:Q,MATCH($O609,'Aub Demand'!$A:$A,0))-IF(AN609="",0,AN609)+AD609))),"")</f>
        <v>1439</v>
      </c>
      <c r="Y609" s="53" t="str">
        <f t="shared" si="256"/>
        <v>n/a</v>
      </c>
      <c r="Z609" s="52">
        <f>IF(L609="","",INDEX('Aub Demand'!H:H,MATCH($O609,'Aub Demand'!$A:$A,0)))</f>
        <v>0</v>
      </c>
      <c r="AA609" s="52" t="str">
        <f t="shared" si="257"/>
        <v>-spike-</v>
      </c>
      <c r="AB609" s="52">
        <f>IFERROR(INDEX('Aub Demand'!L:L,MATCH($O609,'Aub Demand'!$A:$A,0)),"")</f>
        <v>13</v>
      </c>
      <c r="AC609" s="52">
        <f>IFERROR(IF(O609="","",SUMIFS('CPL Mats'!F:F,'CPL Mats'!Q:Q,AR609,'CPL Mats'!S:S,AS609)),"")</f>
        <v>0</v>
      </c>
      <c r="AF609" s="25" t="str">
        <f>IF(SUMIFS('Supp Consol'!S:S,'Supp Consol'!Y:Y,"Releasable",'Supp Consol'!A:A,O609)=0,"",SUMIFS('Supp Consol'!S:S,'Supp Consol'!Y:Y,"Releasable",'Supp Consol'!A:A,O609))</f>
        <v/>
      </c>
      <c r="AG609" s="25">
        <f>IFERROR(INDEX('Hun Demand'!Q:Q,MATCH(O609,'Hun Demand'!A:A,0)),"")</f>
        <v>0</v>
      </c>
      <c r="AH609" s="25">
        <f>IFERROR(INDEX('Hun Demand'!H:H,MATCH($O609,'Hun Demand'!$A:$A,0)),"")</f>
        <v>31</v>
      </c>
      <c r="AI609" s="25" t="str">
        <f>IF(SUMIFS('Supp Consol'!AA:AA,'Supp Consol'!Z:Z,"Expires this month",'Supp Consol'!A:A,O609)=0,"",SUMIFS('Supp Consol'!AA:AA,'Supp Consol'!Z:Z,"Expires this month",'Supp Consol'!A:A,O609))</f>
        <v/>
      </c>
      <c r="AJ609" s="25" t="str">
        <f>IF(SUMIFS('Supp Consol'!AA:AA,'Supp Consol'!Z:Z,"Expired Previous Months",'Supp Consol'!A:A,O609)=0,"",SUMIFS('Supp Consol'!AA:AA,'Supp Consol'!Z:Z,"Expired Previous Months",'Supp Consol'!A:A,O609))</f>
        <v/>
      </c>
      <c r="AK609" s="25" t="str">
        <f>IFERROR(INDEX('Hun Release Current'!B:B,MATCH(O609,'Hun Release Current'!A:A,0)),"")</f>
        <v/>
      </c>
      <c r="AL609" s="25" t="str">
        <f>IF(SUMIF('Prev Aub'!A:A,O609,'Prev Aub'!B:B)=0,"",SUMIF('Prev Aub'!A:A,O609,'Prev Aub'!B:B))</f>
        <v/>
      </c>
      <c r="AN609" s="25" t="s">
        <v>3790</v>
      </c>
      <c r="AO609" s="25" t="s">
        <v>3790</v>
      </c>
      <c r="AP609" s="25">
        <f t="shared" si="258"/>
        <v>0</v>
      </c>
      <c r="AQ609" s="151" t="str">
        <f>IF(SUMIFS('Supp Consol'!S:S,'Supp Consol'!A:A,O609,'Supp Consol'!I:I,"PENDING")=0,"",SUMIFS('Supp Consol'!S:S,'Supp Consol'!A:A,O609,'Supp Consol'!I:I,"PENDING"))</f>
        <v/>
      </c>
      <c r="AR609" s="27" t="str">
        <f t="shared" si="259"/>
        <v>HP683</v>
      </c>
      <c r="AS609" s="27" t="str">
        <f t="shared" si="260"/>
        <v>50</v>
      </c>
      <c r="AT609" s="27" t="str">
        <f t="shared" si="261"/>
        <v/>
      </c>
      <c r="AU609" s="27" t="str">
        <f t="shared" si="262"/>
        <v/>
      </c>
      <c r="AV609" s="27" t="str">
        <f t="shared" si="263"/>
        <v/>
      </c>
      <c r="AW609" s="27" t="str">
        <f t="shared" si="264"/>
        <v/>
      </c>
      <c r="AX609" s="27" t="str">
        <f t="shared" si="265"/>
        <v/>
      </c>
      <c r="AY609" s="27" t="str">
        <f t="shared" si="266"/>
        <v/>
      </c>
      <c r="AZ609" s="27" t="str">
        <f t="shared" si="267"/>
        <v/>
      </c>
      <c r="BA609" s="27" t="str">
        <f t="shared" si="268"/>
        <v>Hun</v>
      </c>
      <c r="BB609" s="27" t="str">
        <f t="shared" si="269"/>
        <v/>
      </c>
      <c r="BC609" s="27" t="str">
        <f t="shared" si="270"/>
        <v/>
      </c>
      <c r="BD609" s="27" t="str">
        <f t="shared" si="271"/>
        <v/>
      </c>
      <c r="BE609" s="27" t="str">
        <f t="shared" si="272"/>
        <v/>
      </c>
      <c r="BF609" s="27" t="str">
        <f t="shared" si="273"/>
        <v/>
      </c>
      <c r="BG609" s="27" t="str">
        <f t="shared" si="274"/>
        <v/>
      </c>
      <c r="BH609" s="27" t="str">
        <f t="shared" si="275"/>
        <v/>
      </c>
      <c r="BI609" s="27" t="str">
        <f t="shared" si="276"/>
        <v/>
      </c>
      <c r="BJ609" s="27" t="str">
        <f t="shared" si="277"/>
        <v>Supp or Hun</v>
      </c>
      <c r="BK609" s="27" t="str">
        <f t="shared" si="278"/>
        <v/>
      </c>
      <c r="BL609" s="27" t="str">
        <f t="shared" si="279"/>
        <v/>
      </c>
      <c r="BM609" s="21" t="s">
        <v>5582</v>
      </c>
    </row>
    <row r="610" spans="1:65" ht="15">
      <c r="A610" s="25">
        <f>IFERROR(INDEX('Hun Demand'!W:W,MATCH(O610,'Hun Demand'!A:A,0)),"")</f>
        <v>0</v>
      </c>
      <c r="B610" s="25">
        <f>IFERROR(INDEX('Hun Demand'!V:V,MATCH(O610,'Hun Demand'!A:A,0)),"")</f>
        <v>0</v>
      </c>
      <c r="C610" s="25">
        <f>IFERROR(INDEX('Hun Demand'!U:U,MATCH(O610,'Hun Demand'!A:A,0)),"")</f>
        <v>0</v>
      </c>
      <c r="D610" s="25">
        <f>IFERROR(INDEX('Hun Demand'!T:T,MATCH(O610,'Hun Demand'!A:A,0)),"")</f>
        <v>396</v>
      </c>
      <c r="E610" s="25">
        <f>IFERROR(INDEX('Hun Demand'!S:S,MATCH(O610,'Hun Demand'!A:A,0)),"")</f>
        <v>0</v>
      </c>
      <c r="F610" s="25">
        <f>IFERROR(INDEX('Hun Demand'!R:R,MATCH(O610,'Hun Demand'!A:A,0)),"")</f>
        <v>0</v>
      </c>
      <c r="G610" s="25">
        <f>IFERROR(INDEX('Aub Demand'!W:W,MATCH(O610,'Aub Demand'!A:A,0)),"")</f>
        <v>0</v>
      </c>
      <c r="H610" s="25">
        <f>IFERROR(INDEX('Aub Demand'!V:V,MATCH(O610,'Aub Demand'!A:A,0)),"")</f>
        <v>0</v>
      </c>
      <c r="I610" s="25">
        <f>IFERROR(INDEX('Aub Demand'!U:U,MATCH(O610,'Aub Demand'!A:A,0)),"")</f>
        <v>0</v>
      </c>
      <c r="J610" s="25">
        <f>IFERROR(INDEX('Aub Demand'!T:T,MATCH(O610,'Aub Demand'!A:A,0)),"")</f>
        <v>0</v>
      </c>
      <c r="K610" s="25">
        <f>IFERROR(INDEX('Aub Demand'!S:S,MATCH(O610,'Aub Demand'!A:A,0)),"")</f>
        <v>0</v>
      </c>
      <c r="L610" s="25">
        <f>IFERROR(INDEX('Aub Demand'!R:R,MATCH(O610,'Aub Demand'!A:A,0)),"")</f>
        <v>0</v>
      </c>
      <c r="O610" s="27" t="s">
        <v>1038</v>
      </c>
      <c r="P610" s="27" t="str">
        <f>IFERROR(INDEX('Aub Demand'!B:B,MATCH($O610,'Aub Demand'!$A:$A,0)),"")</f>
        <v>GLEN CHERRY</v>
      </c>
      <c r="Q610" s="27" t="str">
        <f>IFERROR(INDEX('Aub Demand'!C:C,MATCH($O610,'Aub Demand'!$A:$A,0)),"")</f>
        <v>SCHAT</v>
      </c>
      <c r="R610" s="52">
        <f>IFERROR(IF(AR611=AR610,INDEX('Aub Demand'!K:K,MATCH($O610,'Aub Demand'!$A:$A,0))-IF(AN610="",0,AN610)+AP611,INDEX('Aub Demand'!K:K,MATCH($O610,'Aub Demand'!$A:$A,0))-IF(AN610="",0,AN610)),"")</f>
        <v>2202</v>
      </c>
      <c r="S610" s="53" t="str">
        <f t="shared" si="252"/>
        <v>n/a</v>
      </c>
      <c r="T610" s="52" t="str">
        <f t="shared" si="253"/>
        <v/>
      </c>
      <c r="U610" s="52">
        <f>IFERROR(IF(AR611=AR610,INDEX('Aub Demand'!Q:Q,MATCH($O610,'Aub Demand'!$A:$A,0))-IF(AN610="",0,AN610)+AP611,INDEX('Aub Demand'!Q:Q,MATCH($O610,'Aub Demand'!$A:$A,0))-IF(AN610="",0,AN610)),"")</f>
        <v>2202</v>
      </c>
      <c r="V610" s="53" t="str">
        <f t="shared" si="254"/>
        <v>n/a</v>
      </c>
      <c r="W610" s="52" t="str">
        <f t="shared" si="255"/>
        <v/>
      </c>
      <c r="X610" s="52">
        <f>IFERROR(IF(AND(AR611=AR610,AM610&lt;&gt;""),INDEX('Aub Demand'!Q:Q,MATCH($O610,'Aub Demand'!$A:$A,0))-IF(AN610="",0,AN610)+AP611+AD610+AL610,IF(AR611=AR610,INDEX('Aub Demand'!Q:Q,MATCH($O610,'Aub Demand'!$A:$A,0))-IF(AN610="",0,AN610)+AP611+AD610,IF(AM610&lt;&gt;"",INDEX('Aub Demand'!Q:Q,MATCH($O610,'Aub Demand'!$A:$A,0))-IF(AN610="",0,AN610)+AD610+AL610,INDEX('Aub Demand'!Q:Q,MATCH($O610,'Aub Demand'!$A:$A,0))-IF(AN610="",0,AN610)+AD610))),"")</f>
        <v>2202</v>
      </c>
      <c r="Y610" s="53" t="str">
        <f t="shared" si="256"/>
        <v>n/a</v>
      </c>
      <c r="Z610" s="52">
        <f>IF(L610="","",INDEX('Aub Demand'!H:H,MATCH($O610,'Aub Demand'!$A:$A,0)))</f>
        <v>0</v>
      </c>
      <c r="AA610" s="52" t="str">
        <f t="shared" si="257"/>
        <v>-spike-</v>
      </c>
      <c r="AB610" s="52">
        <f>IFERROR(INDEX('Aub Demand'!L:L,MATCH($O610,'Aub Demand'!$A:$A,0)),"")</f>
        <v>0</v>
      </c>
      <c r="AC610" s="52">
        <f>IFERROR(IF(O610="","",SUMIFS('CPL Mats'!F:F,'CPL Mats'!Q:Q,AR610,'CPL Mats'!S:S,AS610)),"")</f>
        <v>0</v>
      </c>
      <c r="AF610" s="25" t="str">
        <f>IF(SUMIFS('Supp Consol'!S:S,'Supp Consol'!Y:Y,"Releasable",'Supp Consol'!A:A,O610)=0,"",SUMIFS('Supp Consol'!S:S,'Supp Consol'!Y:Y,"Releasable",'Supp Consol'!A:A,O610))</f>
        <v/>
      </c>
      <c r="AG610" s="25">
        <f>IFERROR(INDEX('Hun Demand'!Q:Q,MATCH(O610,'Hun Demand'!A:A,0)),"")</f>
        <v>289</v>
      </c>
      <c r="AH610" s="25">
        <f>IFERROR(INDEX('Hun Demand'!H:H,MATCH($O610,'Hun Demand'!$A:$A,0)),"")</f>
        <v>132</v>
      </c>
      <c r="AI610" s="25" t="str">
        <f>IF(SUMIFS('Supp Consol'!AA:AA,'Supp Consol'!Z:Z,"Expires this month",'Supp Consol'!A:A,O610)=0,"",SUMIFS('Supp Consol'!AA:AA,'Supp Consol'!Z:Z,"Expires this month",'Supp Consol'!A:A,O610))</f>
        <v/>
      </c>
      <c r="AJ610" s="25" t="str">
        <f>IF(SUMIFS('Supp Consol'!AA:AA,'Supp Consol'!Z:Z,"Expired Previous Months",'Supp Consol'!A:A,O610)=0,"",SUMIFS('Supp Consol'!AA:AA,'Supp Consol'!Z:Z,"Expired Previous Months",'Supp Consol'!A:A,O610))</f>
        <v/>
      </c>
      <c r="AK610" s="25" t="str">
        <f>IFERROR(INDEX('Hun Release Current'!B:B,MATCH(O610,'Hun Release Current'!A:A,0)),"")</f>
        <v/>
      </c>
      <c r="AL610" s="25" t="str">
        <f>IF(SUMIF('Prev Aub'!A:A,O610,'Prev Aub'!B:B)=0,"",SUMIF('Prev Aub'!A:A,O610,'Prev Aub'!B:B))</f>
        <v/>
      </c>
      <c r="AN610" s="25" t="s">
        <v>3790</v>
      </c>
      <c r="AO610" s="25" t="s">
        <v>3790</v>
      </c>
      <c r="AP610" s="25">
        <f t="shared" si="258"/>
        <v>0</v>
      </c>
      <c r="AQ610" s="151" t="str">
        <f>IF(SUMIFS('Supp Consol'!S:S,'Supp Consol'!A:A,O610,'Supp Consol'!I:I,"PENDING")=0,"",SUMIFS('Supp Consol'!S:S,'Supp Consol'!A:A,O610,'Supp Consol'!I:I,"PENDING"))</f>
        <v/>
      </c>
      <c r="AR610" s="27" t="str">
        <f t="shared" si="259"/>
        <v>HP683</v>
      </c>
      <c r="AS610" s="27" t="str">
        <f t="shared" si="260"/>
        <v>62</v>
      </c>
      <c r="AT610" s="27" t="str">
        <f t="shared" si="261"/>
        <v/>
      </c>
      <c r="AU610" s="27" t="str">
        <f t="shared" si="262"/>
        <v/>
      </c>
      <c r="AV610" s="27" t="str">
        <f t="shared" si="263"/>
        <v/>
      </c>
      <c r="AW610" s="27" t="str">
        <f t="shared" si="264"/>
        <v/>
      </c>
      <c r="AX610" s="27" t="str">
        <f t="shared" si="265"/>
        <v/>
      </c>
      <c r="AY610" s="27" t="str">
        <f t="shared" si="266"/>
        <v>HP683</v>
      </c>
      <c r="AZ610" s="27" t="str">
        <f t="shared" si="267"/>
        <v/>
      </c>
      <c r="BA610" s="27" t="str">
        <f t="shared" si="268"/>
        <v>Hun</v>
      </c>
      <c r="BB610" s="27" t="str">
        <f t="shared" si="269"/>
        <v/>
      </c>
      <c r="BC610" s="27" t="str">
        <f t="shared" si="270"/>
        <v/>
      </c>
      <c r="BD610" s="27" t="str">
        <f t="shared" si="271"/>
        <v/>
      </c>
      <c r="BE610" s="27" t="str">
        <f t="shared" si="272"/>
        <v/>
      </c>
      <c r="BF610" s="27" t="str">
        <f t="shared" si="273"/>
        <v/>
      </c>
      <c r="BG610" s="27" t="str">
        <f t="shared" si="274"/>
        <v/>
      </c>
      <c r="BH610" s="27" t="str">
        <f t="shared" si="275"/>
        <v/>
      </c>
      <c r="BI610" s="27" t="str">
        <f t="shared" si="276"/>
        <v/>
      </c>
      <c r="BJ610" s="27" t="str">
        <f t="shared" si="277"/>
        <v>Supp or Hun</v>
      </c>
      <c r="BK610" s="27" t="str">
        <f t="shared" si="278"/>
        <v/>
      </c>
      <c r="BL610" s="27" t="str">
        <f t="shared" si="279"/>
        <v/>
      </c>
      <c r="BM610" s="21" t="s">
        <v>5582</v>
      </c>
    </row>
    <row r="611" spans="1:65" ht="15">
      <c r="A611" s="25">
        <f>IFERROR(INDEX('Hun Demand'!W:W,MATCH(O611,'Hun Demand'!A:A,0)),"")</f>
        <v>0</v>
      </c>
      <c r="B611" s="25">
        <f>IFERROR(INDEX('Hun Demand'!V:V,MATCH(O611,'Hun Demand'!A:A,0)),"")</f>
        <v>0</v>
      </c>
      <c r="C611" s="25">
        <f>IFERROR(INDEX('Hun Demand'!U:U,MATCH(O611,'Hun Demand'!A:A,0)),"")</f>
        <v>0</v>
      </c>
      <c r="D611" s="25">
        <f>IFERROR(INDEX('Hun Demand'!T:T,MATCH(O611,'Hun Demand'!A:A,0)),"")</f>
        <v>0</v>
      </c>
      <c r="E611" s="25">
        <f>IFERROR(INDEX('Hun Demand'!S:S,MATCH(O611,'Hun Demand'!A:A,0)),"")</f>
        <v>0</v>
      </c>
      <c r="F611" s="25">
        <f>IFERROR(INDEX('Hun Demand'!R:R,MATCH(O611,'Hun Demand'!A:A,0)),"")</f>
        <v>0</v>
      </c>
      <c r="G611" s="25">
        <f>IFERROR(INDEX('Aub Demand'!W:W,MATCH(O611,'Aub Demand'!A:A,0)),"")</f>
        <v>0</v>
      </c>
      <c r="H611" s="25">
        <f>IFERROR(INDEX('Aub Demand'!V:V,MATCH(O611,'Aub Demand'!A:A,0)),"")</f>
        <v>0</v>
      </c>
      <c r="I611" s="25">
        <f>IFERROR(INDEX('Aub Demand'!U:U,MATCH(O611,'Aub Demand'!A:A,0)),"")</f>
        <v>0</v>
      </c>
      <c r="J611" s="25">
        <f>IFERROR(INDEX('Aub Demand'!T:T,MATCH(O611,'Aub Demand'!A:A,0)),"")</f>
        <v>0</v>
      </c>
      <c r="K611" s="25">
        <f>IFERROR(INDEX('Aub Demand'!S:S,MATCH(O611,'Aub Demand'!A:A,0)),"")</f>
        <v>0</v>
      </c>
      <c r="L611" s="25">
        <f>IFERROR(INDEX('Aub Demand'!R:R,MATCH(O611,'Aub Demand'!A:A,0)),"")</f>
        <v>0</v>
      </c>
      <c r="O611" s="27" t="s">
        <v>1039</v>
      </c>
      <c r="P611" s="27" t="str">
        <f>IFERROR(INDEX('Aub Demand'!B:B,MATCH($O611,'Aub Demand'!$A:$A,0)),"")</f>
        <v>FIELD CHERRY</v>
      </c>
      <c r="Q611" s="27" t="str">
        <f>IFERROR(INDEX('Aub Demand'!C:C,MATCH($O611,'Aub Demand'!$A:$A,0)),"")</f>
        <v>SCHAT</v>
      </c>
      <c r="R611" s="52">
        <f>IFERROR(IF(AR612=AR611,INDEX('Aub Demand'!K:K,MATCH($O611,'Aub Demand'!$A:$A,0))-IF(AN611="",0,AN611)+AP612,INDEX('Aub Demand'!K:K,MATCH($O611,'Aub Demand'!$A:$A,0))-IF(AN611="",0,AN611)),"")</f>
        <v>2401</v>
      </c>
      <c r="S611" s="53" t="str">
        <f t="shared" si="252"/>
        <v>n/a</v>
      </c>
      <c r="T611" s="52" t="str">
        <f t="shared" si="253"/>
        <v/>
      </c>
      <c r="U611" s="52">
        <f>IFERROR(IF(AR612=AR611,INDEX('Aub Demand'!Q:Q,MATCH($O611,'Aub Demand'!$A:$A,0))-IF(AN611="",0,AN611)+AP612,INDEX('Aub Demand'!Q:Q,MATCH($O611,'Aub Demand'!$A:$A,0))-IF(AN611="",0,AN611)),"")</f>
        <v>2401</v>
      </c>
      <c r="V611" s="53" t="str">
        <f t="shared" si="254"/>
        <v>n/a</v>
      </c>
      <c r="W611" s="52" t="str">
        <f t="shared" si="255"/>
        <v/>
      </c>
      <c r="X611" s="52">
        <f>IFERROR(IF(AND(AR612=AR611,AM611&lt;&gt;""),INDEX('Aub Demand'!Q:Q,MATCH($O611,'Aub Demand'!$A:$A,0))-IF(AN611="",0,AN611)+AP612+AD611+AL611,IF(AR612=AR611,INDEX('Aub Demand'!Q:Q,MATCH($O611,'Aub Demand'!$A:$A,0))-IF(AN611="",0,AN611)+AP612+AD611,IF(AM611&lt;&gt;"",INDEX('Aub Demand'!Q:Q,MATCH($O611,'Aub Demand'!$A:$A,0))-IF(AN611="",0,AN611)+AD611+AL611,INDEX('Aub Demand'!Q:Q,MATCH($O611,'Aub Demand'!$A:$A,0))-IF(AN611="",0,AN611)+AD611))),"")</f>
        <v>2401</v>
      </c>
      <c r="Y611" s="53" t="str">
        <f t="shared" si="256"/>
        <v>n/a</v>
      </c>
      <c r="Z611" s="52">
        <f>IF(L611="","",INDEX('Aub Demand'!H:H,MATCH($O611,'Aub Demand'!$A:$A,0)))</f>
        <v>0</v>
      </c>
      <c r="AA611" s="52" t="str">
        <f t="shared" si="257"/>
        <v>-spike-</v>
      </c>
      <c r="AB611" s="52">
        <f>IFERROR(INDEX('Aub Demand'!L:L,MATCH($O611,'Aub Demand'!$A:$A,0)),"")</f>
        <v>23</v>
      </c>
      <c r="AC611" s="52">
        <f>IFERROR(IF(O611="","",SUMIFS('CPL Mats'!F:F,'CPL Mats'!Q:Q,AR611,'CPL Mats'!S:S,AS611)),"")</f>
        <v>0</v>
      </c>
      <c r="AF611" s="25" t="str">
        <f>IF(SUMIFS('Supp Consol'!S:S,'Supp Consol'!Y:Y,"Releasable",'Supp Consol'!A:A,O611)=0,"",SUMIFS('Supp Consol'!S:S,'Supp Consol'!Y:Y,"Releasable",'Supp Consol'!A:A,O611))</f>
        <v/>
      </c>
      <c r="AG611" s="25">
        <f>IFERROR(INDEX('Hun Demand'!Q:Q,MATCH(O611,'Hun Demand'!A:A,0)),"")</f>
        <v>646</v>
      </c>
      <c r="AH611" s="25">
        <f>IFERROR(INDEX('Hun Demand'!H:H,MATCH($O611,'Hun Demand'!$A:$A,0)),"")</f>
        <v>0</v>
      </c>
      <c r="AI611" s="25" t="str">
        <f>IF(SUMIFS('Supp Consol'!AA:AA,'Supp Consol'!Z:Z,"Expires this month",'Supp Consol'!A:A,O611)=0,"",SUMIFS('Supp Consol'!AA:AA,'Supp Consol'!Z:Z,"Expires this month",'Supp Consol'!A:A,O611))</f>
        <v/>
      </c>
      <c r="AJ611" s="25" t="str">
        <f>IF(SUMIFS('Supp Consol'!AA:AA,'Supp Consol'!Z:Z,"Expired Previous Months",'Supp Consol'!A:A,O611)=0,"",SUMIFS('Supp Consol'!AA:AA,'Supp Consol'!Z:Z,"Expired Previous Months",'Supp Consol'!A:A,O611))</f>
        <v/>
      </c>
      <c r="AK611" s="25" t="str">
        <f>IFERROR(INDEX('Hun Release Current'!B:B,MATCH(O611,'Hun Release Current'!A:A,0)),"")</f>
        <v/>
      </c>
      <c r="AL611" s="25" t="str">
        <f>IF(SUMIF('Prev Aub'!A:A,O611,'Prev Aub'!B:B)=0,"",SUMIF('Prev Aub'!A:A,O611,'Prev Aub'!B:B))</f>
        <v/>
      </c>
      <c r="AN611" s="25" t="s">
        <v>3790</v>
      </c>
      <c r="AO611" s="25" t="s">
        <v>3790</v>
      </c>
      <c r="AP611" s="25">
        <f t="shared" si="258"/>
        <v>0</v>
      </c>
      <c r="AQ611" s="151" t="str">
        <f>IF(SUMIFS('Supp Consol'!S:S,'Supp Consol'!A:A,O611,'Supp Consol'!I:I,"PENDING")=0,"",SUMIFS('Supp Consol'!S:S,'Supp Consol'!A:A,O611,'Supp Consol'!I:I,"PENDING"))</f>
        <v/>
      </c>
      <c r="AR611" s="27" t="str">
        <f t="shared" si="259"/>
        <v>HP684</v>
      </c>
      <c r="AS611" s="27" t="str">
        <f t="shared" si="260"/>
        <v>50</v>
      </c>
      <c r="AT611" s="27" t="str">
        <f t="shared" si="261"/>
        <v/>
      </c>
      <c r="AU611" s="27" t="str">
        <f t="shared" si="262"/>
        <v/>
      </c>
      <c r="AV611" s="27" t="str">
        <f t="shared" si="263"/>
        <v/>
      </c>
      <c r="AW611" s="27" t="str">
        <f t="shared" si="264"/>
        <v/>
      </c>
      <c r="AX611" s="27" t="str">
        <f t="shared" si="265"/>
        <v/>
      </c>
      <c r="AY611" s="27" t="str">
        <f t="shared" si="266"/>
        <v>HP684</v>
      </c>
      <c r="AZ611" s="27" t="str">
        <f t="shared" si="267"/>
        <v/>
      </c>
      <c r="BA611" s="27" t="str">
        <f t="shared" si="268"/>
        <v>Hun</v>
      </c>
      <c r="BB611" s="27" t="str">
        <f t="shared" si="269"/>
        <v/>
      </c>
      <c r="BC611" s="27" t="str">
        <f t="shared" si="270"/>
        <v/>
      </c>
      <c r="BD611" s="27" t="str">
        <f t="shared" si="271"/>
        <v/>
      </c>
      <c r="BE611" s="27" t="str">
        <f t="shared" si="272"/>
        <v/>
      </c>
      <c r="BF611" s="27" t="str">
        <f t="shared" si="273"/>
        <v/>
      </c>
      <c r="BG611" s="27" t="str">
        <f t="shared" si="274"/>
        <v/>
      </c>
      <c r="BH611" s="27" t="str">
        <f t="shared" si="275"/>
        <v/>
      </c>
      <c r="BI611" s="27" t="str">
        <f t="shared" si="276"/>
        <v/>
      </c>
      <c r="BJ611" s="27" t="str">
        <f t="shared" si="277"/>
        <v>Supp or Hun</v>
      </c>
      <c r="BK611" s="27" t="str">
        <f t="shared" si="278"/>
        <v/>
      </c>
      <c r="BL611" s="27" t="str">
        <f t="shared" si="279"/>
        <v/>
      </c>
      <c r="BM611" s="21" t="s">
        <v>5582</v>
      </c>
    </row>
    <row r="612" spans="1:65" ht="15">
      <c r="A612" s="25" t="str">
        <f>IFERROR(INDEX('Hun Demand'!W:W,MATCH(O612,'Hun Demand'!A:A,0)),"")</f>
        <v/>
      </c>
      <c r="B612" s="25" t="str">
        <f>IFERROR(INDEX('Hun Demand'!V:V,MATCH(O612,'Hun Demand'!A:A,0)),"")</f>
        <v/>
      </c>
      <c r="C612" s="25" t="str">
        <f>IFERROR(INDEX('Hun Demand'!U:U,MATCH(O612,'Hun Demand'!A:A,0)),"")</f>
        <v/>
      </c>
      <c r="D612" s="25" t="str">
        <f>IFERROR(INDEX('Hun Demand'!T:T,MATCH(O612,'Hun Demand'!A:A,0)),"")</f>
        <v/>
      </c>
      <c r="E612" s="25" t="str">
        <f>IFERROR(INDEX('Hun Demand'!S:S,MATCH(O612,'Hun Demand'!A:A,0)),"")</f>
        <v/>
      </c>
      <c r="F612" s="25" t="str">
        <f>IFERROR(INDEX('Hun Demand'!R:R,MATCH(O612,'Hun Demand'!A:A,0)),"")</f>
        <v/>
      </c>
      <c r="G612" s="25">
        <f>IFERROR(INDEX('Aub Demand'!W:W,MATCH(O612,'Aub Demand'!A:A,0)),"")</f>
        <v>0</v>
      </c>
      <c r="H612" s="25">
        <f>IFERROR(INDEX('Aub Demand'!V:V,MATCH(O612,'Aub Demand'!A:A,0)),"")</f>
        <v>16</v>
      </c>
      <c r="I612" s="25">
        <f>IFERROR(INDEX('Aub Demand'!U:U,MATCH(O612,'Aub Demand'!A:A,0)),"")</f>
        <v>0</v>
      </c>
      <c r="J612" s="25">
        <f>IFERROR(INDEX('Aub Demand'!T:T,MATCH(O612,'Aub Demand'!A:A,0)),"")</f>
        <v>20</v>
      </c>
      <c r="K612" s="25">
        <f>IFERROR(INDEX('Aub Demand'!S:S,MATCH(O612,'Aub Demand'!A:A,0)),"")</f>
        <v>0</v>
      </c>
      <c r="L612" s="25">
        <f>IFERROR(INDEX('Aub Demand'!R:R,MATCH(O612,'Aub Demand'!A:A,0)),"")</f>
        <v>0</v>
      </c>
      <c r="O612" s="27" t="s">
        <v>1041</v>
      </c>
      <c r="P612" s="27" t="str">
        <f>IFERROR(INDEX('Aub Demand'!B:B,MATCH($O612,'Aub Demand'!$A:$A,0)),"")</f>
        <v>FIELD CHERRY</v>
      </c>
      <c r="Q612" s="27" t="str">
        <f>IFERROR(INDEX('Aub Demand'!C:C,MATCH($O612,'Aub Demand'!$A:$A,0)),"")</f>
        <v>SCHAT</v>
      </c>
      <c r="R612" s="52">
        <f>IFERROR(IF(AR613=AR612,INDEX('Aub Demand'!K:K,MATCH($O612,'Aub Demand'!$A:$A,0))-IF(AN612="",0,AN612)+AP613,INDEX('Aub Demand'!K:K,MATCH($O612,'Aub Demand'!$A:$A,0))-IF(AN612="",0,AN612)),"")</f>
        <v>2267</v>
      </c>
      <c r="S612" s="53">
        <f t="shared" si="252"/>
        <v>1388</v>
      </c>
      <c r="T612" s="52" t="str">
        <f t="shared" si="253"/>
        <v/>
      </c>
      <c r="U612" s="52">
        <f>IFERROR(IF(AR613=AR612,INDEX('Aub Demand'!Q:Q,MATCH($O612,'Aub Demand'!$A:$A,0))-IF(AN612="",0,AN612)+AP613,INDEX('Aub Demand'!Q:Q,MATCH($O612,'Aub Demand'!$A:$A,0))-IF(AN612="",0,AN612)),"")</f>
        <v>2267</v>
      </c>
      <c r="V612" s="53">
        <f t="shared" si="254"/>
        <v>1388</v>
      </c>
      <c r="W612" s="52" t="str">
        <f t="shared" si="255"/>
        <v/>
      </c>
      <c r="X612" s="52">
        <f>IFERROR(IF(AND(AR613=AR612,AM612&lt;&gt;""),INDEX('Aub Demand'!Q:Q,MATCH($O612,'Aub Demand'!$A:$A,0))-IF(AN612="",0,AN612)+AP613+AD612+AL612,IF(AR613=AR612,INDEX('Aub Demand'!Q:Q,MATCH($O612,'Aub Demand'!$A:$A,0))-IF(AN612="",0,AN612)+AP613+AD612,IF(AM612&lt;&gt;"",INDEX('Aub Demand'!Q:Q,MATCH($O612,'Aub Demand'!$A:$A,0))-IF(AN612="",0,AN612)+AD612+AL612,INDEX('Aub Demand'!Q:Q,MATCH($O612,'Aub Demand'!$A:$A,0))-IF(AN612="",0,AN612)+AD612))),"")</f>
        <v>2267</v>
      </c>
      <c r="Y612" s="53">
        <f t="shared" si="256"/>
        <v>1388</v>
      </c>
      <c r="Z612" s="52">
        <f>IF(L612="","",INDEX('Aub Demand'!H:H,MATCH($O612,'Aub Demand'!$A:$A,0)))</f>
        <v>7</v>
      </c>
      <c r="AA612" s="52" t="str">
        <f t="shared" si="257"/>
        <v>-spike-</v>
      </c>
      <c r="AB612" s="52">
        <f>IFERROR(INDEX('Aub Demand'!L:L,MATCH($O612,'Aub Demand'!$A:$A,0)),"")</f>
        <v>0</v>
      </c>
      <c r="AC612" s="52">
        <f>IFERROR(IF(O612="","",SUMIFS('CPL Mats'!F:F,'CPL Mats'!Q:Q,AR612,'CPL Mats'!S:S,AS612)),"")</f>
        <v>0</v>
      </c>
      <c r="AF612" s="25" t="str">
        <f>IF(SUMIFS('Supp Consol'!S:S,'Supp Consol'!Y:Y,"Releasable",'Supp Consol'!A:A,O612)=0,"",SUMIFS('Supp Consol'!S:S,'Supp Consol'!Y:Y,"Releasable",'Supp Consol'!A:A,O612))</f>
        <v/>
      </c>
      <c r="AG612" s="25" t="str">
        <f>IFERROR(INDEX('Hun Demand'!Q:Q,MATCH(O612,'Hun Demand'!A:A,0)),"")</f>
        <v/>
      </c>
      <c r="AH612" s="25" t="str">
        <f>IFERROR(INDEX('Hun Demand'!H:H,MATCH($O612,'Hun Demand'!$A:$A,0)),"")</f>
        <v/>
      </c>
      <c r="AI612" s="25" t="str">
        <f>IF(SUMIFS('Supp Consol'!AA:AA,'Supp Consol'!Z:Z,"Expires this month",'Supp Consol'!A:A,O612)=0,"",SUMIFS('Supp Consol'!AA:AA,'Supp Consol'!Z:Z,"Expires this month",'Supp Consol'!A:A,O612))</f>
        <v/>
      </c>
      <c r="AJ612" s="25" t="str">
        <f>IF(SUMIFS('Supp Consol'!AA:AA,'Supp Consol'!Z:Z,"Expired Previous Months",'Supp Consol'!A:A,O612)=0,"",SUMIFS('Supp Consol'!AA:AA,'Supp Consol'!Z:Z,"Expired Previous Months",'Supp Consol'!A:A,O612))</f>
        <v/>
      </c>
      <c r="AK612" s="25" t="str">
        <f>IFERROR(INDEX('Hun Release Current'!B:B,MATCH(O612,'Hun Release Current'!A:A,0)),"")</f>
        <v/>
      </c>
      <c r="AL612" s="25" t="str">
        <f>IF(SUMIF('Prev Aub'!A:A,O612,'Prev Aub'!B:B)=0,"",SUMIF('Prev Aub'!A:A,O612,'Prev Aub'!B:B))</f>
        <v/>
      </c>
      <c r="AN612" s="25" t="s">
        <v>3790</v>
      </c>
      <c r="AO612" s="25" t="s">
        <v>3790</v>
      </c>
      <c r="AP612" s="25">
        <f t="shared" si="258"/>
        <v>0</v>
      </c>
      <c r="AQ612" s="151" t="str">
        <f>IF(SUMIFS('Supp Consol'!S:S,'Supp Consol'!A:A,O612,'Supp Consol'!I:I,"PENDING")=0,"",SUMIFS('Supp Consol'!S:S,'Supp Consol'!A:A,O612,'Supp Consol'!I:I,"PENDING"))</f>
        <v/>
      </c>
      <c r="AR612" s="27" t="str">
        <f t="shared" si="259"/>
        <v>HP684</v>
      </c>
      <c r="AS612" s="27" t="str">
        <f t="shared" si="260"/>
        <v>62</v>
      </c>
      <c r="AT612" s="27" t="str">
        <f t="shared" si="261"/>
        <v/>
      </c>
      <c r="AU612" s="27" t="str">
        <f t="shared" si="262"/>
        <v/>
      </c>
      <c r="AV612" s="27" t="str">
        <f t="shared" si="263"/>
        <v/>
      </c>
      <c r="AW612" s="27" t="str">
        <f t="shared" si="264"/>
        <v/>
      </c>
      <c r="AX612" s="27" t="str">
        <f t="shared" si="265"/>
        <v/>
      </c>
      <c r="AY612" s="27" t="str">
        <f t="shared" si="266"/>
        <v/>
      </c>
      <c r="AZ612" s="27" t="str">
        <f t="shared" si="267"/>
        <v/>
      </c>
      <c r="BA612" s="27" t="str">
        <f t="shared" si="268"/>
        <v>Hun</v>
      </c>
      <c r="BB612" s="27" t="str">
        <f t="shared" si="269"/>
        <v/>
      </c>
      <c r="BC612" s="27" t="str">
        <f t="shared" si="270"/>
        <v/>
      </c>
      <c r="BD612" s="27" t="str">
        <f t="shared" si="271"/>
        <v/>
      </c>
      <c r="BE612" s="27" t="str">
        <f t="shared" si="272"/>
        <v/>
      </c>
      <c r="BF612" s="27" t="str">
        <f t="shared" si="273"/>
        <v/>
      </c>
      <c r="BG612" s="27" t="str">
        <f t="shared" si="274"/>
        <v/>
      </c>
      <c r="BH612" s="27" t="str">
        <f t="shared" si="275"/>
        <v/>
      </c>
      <c r="BI612" s="27" t="str">
        <f t="shared" si="276"/>
        <v/>
      </c>
      <c r="BJ612" s="27" t="str">
        <f t="shared" si="277"/>
        <v>Supp or Hun</v>
      </c>
      <c r="BK612" s="27" t="str">
        <f t="shared" si="278"/>
        <v/>
      </c>
      <c r="BL612" s="27" t="str">
        <f t="shared" si="279"/>
        <v/>
      </c>
      <c r="BM612" s="21" t="s">
        <v>5582</v>
      </c>
    </row>
    <row r="613" spans="1:65" ht="15">
      <c r="A613" s="25" t="str">
        <f>IFERROR(INDEX('Hun Demand'!W:W,MATCH(O613,'Hun Demand'!A:A,0)),"")</f>
        <v/>
      </c>
      <c r="B613" s="25" t="str">
        <f>IFERROR(INDEX('Hun Demand'!V:V,MATCH(O613,'Hun Demand'!A:A,0)),"")</f>
        <v/>
      </c>
      <c r="C613" s="25" t="str">
        <f>IFERROR(INDEX('Hun Demand'!U:U,MATCH(O613,'Hun Demand'!A:A,0)),"")</f>
        <v/>
      </c>
      <c r="D613" s="25" t="str">
        <f>IFERROR(INDEX('Hun Demand'!T:T,MATCH(O613,'Hun Demand'!A:A,0)),"")</f>
        <v/>
      </c>
      <c r="E613" s="25" t="str">
        <f>IFERROR(INDEX('Hun Demand'!S:S,MATCH(O613,'Hun Demand'!A:A,0)),"")</f>
        <v/>
      </c>
      <c r="F613" s="25" t="str">
        <f>IFERROR(INDEX('Hun Demand'!R:R,MATCH(O613,'Hun Demand'!A:A,0)),"")</f>
        <v/>
      </c>
      <c r="G613" s="25">
        <f>IFERROR(INDEX('Aub Demand'!W:W,MATCH(O613,'Aub Demand'!A:A,0)),"")</f>
        <v>0</v>
      </c>
      <c r="H613" s="25">
        <f>IFERROR(INDEX('Aub Demand'!V:V,MATCH(O613,'Aub Demand'!A:A,0)),"")</f>
        <v>0</v>
      </c>
      <c r="I613" s="25">
        <f>IFERROR(INDEX('Aub Demand'!U:U,MATCH(O613,'Aub Demand'!A:A,0)),"")</f>
        <v>0</v>
      </c>
      <c r="J613" s="25">
        <f>IFERROR(INDEX('Aub Demand'!T:T,MATCH(O613,'Aub Demand'!A:A,0)),"")</f>
        <v>0</v>
      </c>
      <c r="K613" s="25">
        <f>IFERROR(INDEX('Aub Demand'!S:S,MATCH(O613,'Aub Demand'!A:A,0)),"")</f>
        <v>0</v>
      </c>
      <c r="L613" s="25">
        <f>IFERROR(INDEX('Aub Demand'!R:R,MATCH(O613,'Aub Demand'!A:A,0)),"")</f>
        <v>0</v>
      </c>
      <c r="O613" s="27" t="s">
        <v>1042</v>
      </c>
      <c r="P613" s="27" t="str">
        <f>IFERROR(INDEX('Aub Demand'!B:B,MATCH($O613,'Aub Demand'!$A:$A,0)),"")</f>
        <v>WOODLAND BIRCH</v>
      </c>
      <c r="Q613" s="27" t="str">
        <f>IFERROR(INDEX('Aub Demand'!C:C,MATCH($O613,'Aub Demand'!$A:$A,0)),"")</f>
        <v>SCHAT</v>
      </c>
      <c r="R613" s="52">
        <f>IFERROR(IF(AR614=AR613,INDEX('Aub Demand'!K:K,MATCH($O613,'Aub Demand'!$A:$A,0))-IF(AN613="",0,AN613)+AP614,INDEX('Aub Demand'!K:K,MATCH($O613,'Aub Demand'!$A:$A,0))-IF(AN613="",0,AN613)),"")</f>
        <v>473</v>
      </c>
      <c r="S613" s="53" t="str">
        <f t="shared" si="252"/>
        <v>n/a</v>
      </c>
      <c r="T613" s="52" t="str">
        <f t="shared" si="253"/>
        <v/>
      </c>
      <c r="U613" s="52">
        <f>IFERROR(IF(AR614=AR613,INDEX('Aub Demand'!Q:Q,MATCH($O613,'Aub Demand'!$A:$A,0))-IF(AN613="",0,AN613)+AP614,INDEX('Aub Demand'!Q:Q,MATCH($O613,'Aub Demand'!$A:$A,0))-IF(AN613="",0,AN613)),"")</f>
        <v>473</v>
      </c>
      <c r="V613" s="53" t="str">
        <f t="shared" si="254"/>
        <v>n/a</v>
      </c>
      <c r="W613" s="52" t="str">
        <f t="shared" si="255"/>
        <v/>
      </c>
      <c r="X613" s="52">
        <f>IFERROR(IF(AND(AR614=AR613,AM613&lt;&gt;""),INDEX('Aub Demand'!Q:Q,MATCH($O613,'Aub Demand'!$A:$A,0))-IF(AN613="",0,AN613)+AP614+AD613+AL613,IF(AR614=AR613,INDEX('Aub Demand'!Q:Q,MATCH($O613,'Aub Demand'!$A:$A,0))-IF(AN613="",0,AN613)+AP614+AD613,IF(AM613&lt;&gt;"",INDEX('Aub Demand'!Q:Q,MATCH($O613,'Aub Demand'!$A:$A,0))-IF(AN613="",0,AN613)+AD613+AL613,INDEX('Aub Demand'!Q:Q,MATCH($O613,'Aub Demand'!$A:$A,0))-IF(AN613="",0,AN613)+AD613))),"")</f>
        <v>473</v>
      </c>
      <c r="Y613" s="53" t="str">
        <f t="shared" si="256"/>
        <v>n/a</v>
      </c>
      <c r="Z613" s="52">
        <f>IF(L613="","",INDEX('Aub Demand'!H:H,MATCH($O613,'Aub Demand'!$A:$A,0)))</f>
        <v>0</v>
      </c>
      <c r="AA613" s="52" t="str">
        <f t="shared" si="257"/>
        <v>-spike-</v>
      </c>
      <c r="AB613" s="52">
        <f>IFERROR(INDEX('Aub Demand'!L:L,MATCH($O613,'Aub Demand'!$A:$A,0)),"")</f>
        <v>0</v>
      </c>
      <c r="AC613" s="52">
        <f>IFERROR(IF(O613="","",SUMIFS('CPL Mats'!F:F,'CPL Mats'!Q:Q,AR613,'CPL Mats'!S:S,AS613)),"")</f>
        <v>0</v>
      </c>
      <c r="AF613" s="25" t="str">
        <f>IF(SUMIFS('Supp Consol'!S:S,'Supp Consol'!Y:Y,"Releasable",'Supp Consol'!A:A,O613)=0,"",SUMIFS('Supp Consol'!S:S,'Supp Consol'!Y:Y,"Releasable",'Supp Consol'!A:A,O613))</f>
        <v/>
      </c>
      <c r="AG613" s="25" t="str">
        <f>IFERROR(INDEX('Hun Demand'!Q:Q,MATCH(O613,'Hun Demand'!A:A,0)),"")</f>
        <v/>
      </c>
      <c r="AH613" s="25" t="str">
        <f>IFERROR(INDEX('Hun Demand'!H:H,MATCH($O613,'Hun Demand'!$A:$A,0)),"")</f>
        <v/>
      </c>
      <c r="AI613" s="25" t="str">
        <f>IF(SUMIFS('Supp Consol'!AA:AA,'Supp Consol'!Z:Z,"Expires this month",'Supp Consol'!A:A,O613)=0,"",SUMIFS('Supp Consol'!AA:AA,'Supp Consol'!Z:Z,"Expires this month",'Supp Consol'!A:A,O613))</f>
        <v/>
      </c>
      <c r="AJ613" s="25" t="str">
        <f>IF(SUMIFS('Supp Consol'!AA:AA,'Supp Consol'!Z:Z,"Expired Previous Months",'Supp Consol'!A:A,O613)=0,"",SUMIFS('Supp Consol'!AA:AA,'Supp Consol'!Z:Z,"Expired Previous Months",'Supp Consol'!A:A,O613))</f>
        <v/>
      </c>
      <c r="AK613" s="25" t="str">
        <f>IFERROR(INDEX('Hun Release Current'!B:B,MATCH(O613,'Hun Release Current'!A:A,0)),"")</f>
        <v/>
      </c>
      <c r="AL613" s="25" t="str">
        <f>IF(SUMIF('Prev Aub'!A:A,O613,'Prev Aub'!B:B)=0,"",SUMIF('Prev Aub'!A:A,O613,'Prev Aub'!B:B))</f>
        <v/>
      </c>
      <c r="AN613" s="25" t="s">
        <v>3790</v>
      </c>
      <c r="AO613" s="25" t="s">
        <v>3790</v>
      </c>
      <c r="AP613" s="25">
        <f t="shared" si="258"/>
        <v>0</v>
      </c>
      <c r="AQ613" s="151" t="str">
        <f>IF(SUMIFS('Supp Consol'!S:S,'Supp Consol'!A:A,O613,'Supp Consol'!I:I,"PENDING")=0,"",SUMIFS('Supp Consol'!S:S,'Supp Consol'!A:A,O613,'Supp Consol'!I:I,"PENDING"))</f>
        <v/>
      </c>
      <c r="AR613" s="27" t="str">
        <f t="shared" si="259"/>
        <v>HP686</v>
      </c>
      <c r="AS613" s="27" t="str">
        <f t="shared" si="260"/>
        <v>50</v>
      </c>
      <c r="AT613" s="27" t="str">
        <f t="shared" si="261"/>
        <v/>
      </c>
      <c r="AU613" s="27" t="str">
        <f t="shared" si="262"/>
        <v/>
      </c>
      <c r="AV613" s="27" t="str">
        <f t="shared" si="263"/>
        <v/>
      </c>
      <c r="AW613" s="27" t="str">
        <f t="shared" si="264"/>
        <v/>
      </c>
      <c r="AX613" s="27" t="str">
        <f t="shared" si="265"/>
        <v/>
      </c>
      <c r="AY613" s="27" t="str">
        <f t="shared" si="266"/>
        <v/>
      </c>
      <c r="AZ613" s="27" t="str">
        <f t="shared" si="267"/>
        <v/>
      </c>
      <c r="BA613" s="27" t="str">
        <f t="shared" si="268"/>
        <v/>
      </c>
      <c r="BB613" s="27" t="str">
        <f t="shared" si="269"/>
        <v/>
      </c>
      <c r="BC613" s="27" t="str">
        <f t="shared" si="270"/>
        <v/>
      </c>
      <c r="BD613" s="27" t="str">
        <f t="shared" si="271"/>
        <v/>
      </c>
      <c r="BE613" s="27" t="str">
        <f t="shared" si="272"/>
        <v/>
      </c>
      <c r="BF613" s="27" t="str">
        <f t="shared" si="273"/>
        <v/>
      </c>
      <c r="BG613" s="27" t="str">
        <f t="shared" si="274"/>
        <v/>
      </c>
      <c r="BH613" s="27" t="str">
        <f t="shared" si="275"/>
        <v/>
      </c>
      <c r="BI613" s="27" t="str">
        <f t="shared" si="276"/>
        <v/>
      </c>
      <c r="BJ613" s="27" t="str">
        <f t="shared" si="277"/>
        <v/>
      </c>
      <c r="BK613" s="27" t="str">
        <f t="shared" si="278"/>
        <v/>
      </c>
      <c r="BL613" s="27" t="str">
        <f t="shared" si="279"/>
        <v/>
      </c>
      <c r="BM613" s="21" t="s">
        <v>3790</v>
      </c>
    </row>
    <row r="614" spans="1:65" ht="15">
      <c r="A614" s="25">
        <f>IFERROR(INDEX('Hun Demand'!W:W,MATCH(O614,'Hun Demand'!A:A,0)),"")</f>
        <v>380</v>
      </c>
      <c r="B614" s="25">
        <f>IFERROR(INDEX('Hun Demand'!V:V,MATCH(O614,'Hun Demand'!A:A,0)),"")</f>
        <v>90</v>
      </c>
      <c r="C614" s="25">
        <f>IFERROR(INDEX('Hun Demand'!U:U,MATCH(O614,'Hun Demand'!A:A,0)),"")</f>
        <v>0</v>
      </c>
      <c r="D614" s="25">
        <f>IFERROR(INDEX('Hun Demand'!T:T,MATCH(O614,'Hun Demand'!A:A,0)),"")</f>
        <v>0</v>
      </c>
      <c r="E614" s="25">
        <f>IFERROR(INDEX('Hun Demand'!S:S,MATCH(O614,'Hun Demand'!A:A,0)),"")</f>
        <v>0</v>
      </c>
      <c r="F614" s="25">
        <f>IFERROR(INDEX('Hun Demand'!R:R,MATCH(O614,'Hun Demand'!A:A,0)),"")</f>
        <v>0</v>
      </c>
      <c r="G614" s="25">
        <f>IFERROR(INDEX('Aub Demand'!W:W,MATCH(O614,'Aub Demand'!A:A,0)),"")</f>
        <v>0</v>
      </c>
      <c r="H614" s="25">
        <f>IFERROR(INDEX('Aub Demand'!V:V,MATCH(O614,'Aub Demand'!A:A,0)),"")</f>
        <v>16</v>
      </c>
      <c r="I614" s="25">
        <f>IFERROR(INDEX('Aub Demand'!U:U,MATCH(O614,'Aub Demand'!A:A,0)),"")</f>
        <v>33</v>
      </c>
      <c r="J614" s="25">
        <f>IFERROR(INDEX('Aub Demand'!T:T,MATCH(O614,'Aub Demand'!A:A,0)),"")</f>
        <v>0</v>
      </c>
      <c r="K614" s="25">
        <f>IFERROR(INDEX('Aub Demand'!S:S,MATCH(O614,'Aub Demand'!A:A,0)),"")</f>
        <v>0</v>
      </c>
      <c r="L614" s="25">
        <f>IFERROR(INDEX('Aub Demand'!R:R,MATCH(O614,'Aub Demand'!A:A,0)),"")</f>
        <v>0</v>
      </c>
      <c r="O614" s="27" t="s">
        <v>1047</v>
      </c>
      <c r="P614" s="27" t="str">
        <f>IFERROR(INDEX('Aub Demand'!B:B,MATCH($O614,'Aub Demand'!$A:$A,0)),"")</f>
        <v>GROVE MYRTLE</v>
      </c>
      <c r="Q614" s="27" t="str">
        <f>IFERROR(INDEX('Aub Demand'!C:C,MATCH($O614,'Aub Demand'!$A:$A,0)),"")</f>
        <v>SUDDE</v>
      </c>
      <c r="R614" s="52">
        <f>IFERROR(IF(AR615=AR614,INDEX('Aub Demand'!K:K,MATCH($O614,'Aub Demand'!$A:$A,0))-IF(AN614="",0,AN614)+AP615,INDEX('Aub Demand'!K:K,MATCH($O614,'Aub Demand'!$A:$A,0))-IF(AN614="",0,AN614)),"")</f>
        <v>25</v>
      </c>
      <c r="S614" s="53">
        <f t="shared" si="252"/>
        <v>9.6999999999999993</v>
      </c>
      <c r="T614" s="52" t="str">
        <f t="shared" si="253"/>
        <v/>
      </c>
      <c r="U614" s="52">
        <f>IFERROR(IF(AR615=AR614,INDEX('Aub Demand'!Q:Q,MATCH($O614,'Aub Demand'!$A:$A,0))-IF(AN614="",0,AN614)+AP615,INDEX('Aub Demand'!Q:Q,MATCH($O614,'Aub Demand'!$A:$A,0))-IF(AN614="",0,AN614)),"")</f>
        <v>25</v>
      </c>
      <c r="V614" s="53">
        <f t="shared" si="254"/>
        <v>9.6999999999999993</v>
      </c>
      <c r="W614" s="52" t="str">
        <f t="shared" si="255"/>
        <v/>
      </c>
      <c r="X614" s="52">
        <f>IFERROR(IF(AND(AR615=AR614,AM614&lt;&gt;""),INDEX('Aub Demand'!Q:Q,MATCH($O614,'Aub Demand'!$A:$A,0))-IF(AN614="",0,AN614)+AP615+AD614+AL614,IF(AR615=AR614,INDEX('Aub Demand'!Q:Q,MATCH($O614,'Aub Demand'!$A:$A,0))-IF(AN614="",0,AN614)+AP615+AD614,IF(AM614&lt;&gt;"",INDEX('Aub Demand'!Q:Q,MATCH($O614,'Aub Demand'!$A:$A,0))-IF(AN614="",0,AN614)+AD614+AL614,INDEX('Aub Demand'!Q:Q,MATCH($O614,'Aub Demand'!$A:$A,0))-IF(AN614="",0,AN614)+AD614))),"")</f>
        <v>25</v>
      </c>
      <c r="Y614" s="53">
        <f t="shared" si="256"/>
        <v>9.6999999999999993</v>
      </c>
      <c r="Z614" s="52">
        <f>IF(L614="","",INDEX('Aub Demand'!H:H,MATCH($O614,'Aub Demand'!$A:$A,0)))</f>
        <v>11</v>
      </c>
      <c r="AA614" s="52" t="str">
        <f t="shared" si="257"/>
        <v>-spike-</v>
      </c>
      <c r="AB614" s="52">
        <f>IFERROR(INDEX('Aub Demand'!L:L,MATCH($O614,'Aub Demand'!$A:$A,0)),"")</f>
        <v>10</v>
      </c>
      <c r="AC614" s="52">
        <f>IFERROR(IF(O614="","",SUMIFS('CPL Mats'!F:F,'CPL Mats'!Q:Q,AR614,'CPL Mats'!S:S,AS614)),"")</f>
        <v>0</v>
      </c>
      <c r="AF614" s="25">
        <f>IF(SUMIFS('Supp Consol'!S:S,'Supp Consol'!Y:Y,"Releasable",'Supp Consol'!A:A,O614)=0,"",SUMIFS('Supp Consol'!S:S,'Supp Consol'!Y:Y,"Releasable",'Supp Consol'!A:A,O614))</f>
        <v>1145</v>
      </c>
      <c r="AG614" s="25">
        <f>IFERROR(INDEX('Hun Demand'!Q:Q,MATCH(O614,'Hun Demand'!A:A,0)),"")</f>
        <v>574</v>
      </c>
      <c r="AH614" s="25">
        <f>IFERROR(INDEX('Hun Demand'!H:H,MATCH($O614,'Hun Demand'!$A:$A,0)),"")</f>
        <v>0</v>
      </c>
      <c r="AI614" s="25" t="str">
        <f>IF(SUMIFS('Supp Consol'!AA:AA,'Supp Consol'!Z:Z,"Expires this month",'Supp Consol'!A:A,O614)=0,"",SUMIFS('Supp Consol'!AA:AA,'Supp Consol'!Z:Z,"Expires this month",'Supp Consol'!A:A,O614))</f>
        <v/>
      </c>
      <c r="AJ614" s="25" t="str">
        <f>IF(SUMIFS('Supp Consol'!AA:AA,'Supp Consol'!Z:Z,"Expired Previous Months",'Supp Consol'!A:A,O614)=0,"",SUMIFS('Supp Consol'!AA:AA,'Supp Consol'!Z:Z,"Expired Previous Months",'Supp Consol'!A:A,O614))</f>
        <v/>
      </c>
      <c r="AK614" s="25" t="str">
        <f>IFERROR(INDEX('Hun Release Current'!B:B,MATCH(O614,'Hun Release Current'!A:A,0)),"")</f>
        <v/>
      </c>
      <c r="AL614" s="25" t="str">
        <f>IF(SUMIF('Prev Aub'!A:A,O614,'Prev Aub'!B:B)=0,"",SUMIF('Prev Aub'!A:A,O614,'Prev Aub'!B:B))</f>
        <v/>
      </c>
      <c r="AN614" s="25">
        <v>25</v>
      </c>
      <c r="AO614" s="25" t="s">
        <v>3891</v>
      </c>
      <c r="AP614" s="25">
        <f t="shared" si="258"/>
        <v>20</v>
      </c>
      <c r="AQ614" s="151" t="str">
        <f>IF(SUMIFS('Supp Consol'!S:S,'Supp Consol'!A:A,O614,'Supp Consol'!I:I,"PENDING")=0,"",SUMIFS('Supp Consol'!S:S,'Supp Consol'!A:A,O614,'Supp Consol'!I:I,"PENDING"))</f>
        <v/>
      </c>
      <c r="AR614" s="27" t="str">
        <f t="shared" si="259"/>
        <v>HP687</v>
      </c>
      <c r="AS614" s="27" t="str">
        <f t="shared" si="260"/>
        <v>62</v>
      </c>
      <c r="AT614" s="27" t="str">
        <f t="shared" si="261"/>
        <v/>
      </c>
      <c r="AU614" s="27" t="str">
        <f t="shared" si="262"/>
        <v/>
      </c>
      <c r="AV614" s="27" t="str">
        <f t="shared" si="263"/>
        <v/>
      </c>
      <c r="AW614" s="27" t="str">
        <f t="shared" si="264"/>
        <v/>
      </c>
      <c r="AX614" s="27" t="str">
        <f t="shared" si="265"/>
        <v>HP687</v>
      </c>
      <c r="AY614" s="27" t="str">
        <f t="shared" si="266"/>
        <v>HP687</v>
      </c>
      <c r="AZ614" s="27" t="str">
        <f t="shared" si="267"/>
        <v>Supp</v>
      </c>
      <c r="BA614" s="27" t="str">
        <f t="shared" si="268"/>
        <v>Hun</v>
      </c>
      <c r="BB614" s="27" t="str">
        <f t="shared" si="269"/>
        <v/>
      </c>
      <c r="BC614" s="27" t="str">
        <f t="shared" si="270"/>
        <v/>
      </c>
      <c r="BD614" s="27" t="str">
        <f t="shared" si="271"/>
        <v/>
      </c>
      <c r="BE614" s="27" t="str">
        <f t="shared" si="272"/>
        <v/>
      </c>
      <c r="BF614" s="27" t="str">
        <f t="shared" si="273"/>
        <v/>
      </c>
      <c r="BG614" s="27" t="str">
        <f t="shared" si="274"/>
        <v/>
      </c>
      <c r="BH614" s="27" t="str">
        <f t="shared" si="275"/>
        <v/>
      </c>
      <c r="BI614" s="27" t="str">
        <f t="shared" si="276"/>
        <v/>
      </c>
      <c r="BJ614" s="27" t="str">
        <f t="shared" si="277"/>
        <v>Supp or Hun</v>
      </c>
      <c r="BK614" s="27" t="str">
        <f t="shared" si="278"/>
        <v/>
      </c>
      <c r="BL614" s="27" t="str">
        <f t="shared" si="279"/>
        <v/>
      </c>
      <c r="BM614" s="21" t="s">
        <v>5582</v>
      </c>
    </row>
    <row r="615" spans="1:65" ht="15">
      <c r="A615" s="25">
        <f>IFERROR(INDEX('Hun Demand'!W:W,MATCH(O615,'Hun Demand'!A:A,0)),"")</f>
        <v>0</v>
      </c>
      <c r="B615" s="25">
        <f>IFERROR(INDEX('Hun Demand'!V:V,MATCH(O615,'Hun Demand'!A:A,0)),"")</f>
        <v>0</v>
      </c>
      <c r="C615" s="25">
        <f>IFERROR(INDEX('Hun Demand'!U:U,MATCH(O615,'Hun Demand'!A:A,0)),"")</f>
        <v>0</v>
      </c>
      <c r="D615" s="25">
        <f>IFERROR(INDEX('Hun Demand'!T:T,MATCH(O615,'Hun Demand'!A:A,0)),"")</f>
        <v>0</v>
      </c>
      <c r="E615" s="25">
        <f>IFERROR(INDEX('Hun Demand'!S:S,MATCH(O615,'Hun Demand'!A:A,0)),"")</f>
        <v>0</v>
      </c>
      <c r="F615" s="25">
        <f>IFERROR(INDEX('Hun Demand'!R:R,MATCH(O615,'Hun Demand'!A:A,0)),"")</f>
        <v>0</v>
      </c>
      <c r="G615" s="25">
        <f>IFERROR(INDEX('Aub Demand'!W:W,MATCH(O615,'Aub Demand'!A:A,0)),"")</f>
        <v>0</v>
      </c>
      <c r="H615" s="25">
        <f>IFERROR(INDEX('Aub Demand'!V:V,MATCH(O615,'Aub Demand'!A:A,0)),"")</f>
        <v>0</v>
      </c>
      <c r="I615" s="25">
        <f>IFERROR(INDEX('Aub Demand'!U:U,MATCH(O615,'Aub Demand'!A:A,0)),"")</f>
        <v>36</v>
      </c>
      <c r="J615" s="25">
        <f>IFERROR(INDEX('Aub Demand'!T:T,MATCH(O615,'Aub Demand'!A:A,0)),"")</f>
        <v>0</v>
      </c>
      <c r="K615" s="25">
        <f>IFERROR(INDEX('Aub Demand'!S:S,MATCH(O615,'Aub Demand'!A:A,0)),"")</f>
        <v>0</v>
      </c>
      <c r="L615" s="25">
        <f>IFERROR(INDEX('Aub Demand'!R:R,MATCH(O615,'Aub Demand'!A:A,0)),"")</f>
        <v>0</v>
      </c>
      <c r="O615" s="27" t="s">
        <v>1049</v>
      </c>
      <c r="P615" s="27" t="str">
        <f>IFERROR(INDEX('Aub Demand'!B:B,MATCH($O615,'Aub Demand'!$A:$A,0)),"")</f>
        <v>ARBOR MYRTLE</v>
      </c>
      <c r="Q615" s="27" t="str">
        <f>IFERROR(INDEX('Aub Demand'!C:C,MATCH($O615,'Aub Demand'!$A:$A,0)),"")</f>
        <v>SUDDE</v>
      </c>
      <c r="R615" s="52">
        <f>IFERROR(IF(AR616=AR615,INDEX('Aub Demand'!K:K,MATCH($O615,'Aub Demand'!$A:$A,0))-IF(AN615="",0,AN615)+AP616,INDEX('Aub Demand'!K:K,MATCH($O615,'Aub Demand'!$A:$A,0))-IF(AN615="",0,AN615)),"")</f>
        <v>199</v>
      </c>
      <c r="S615" s="53">
        <f t="shared" si="252"/>
        <v>71.099999999999994</v>
      </c>
      <c r="T615" s="52" t="str">
        <f t="shared" si="253"/>
        <v/>
      </c>
      <c r="U615" s="52">
        <f>IFERROR(IF(AR616=AR615,INDEX('Aub Demand'!Q:Q,MATCH($O615,'Aub Demand'!$A:$A,0))-IF(AN615="",0,AN615)+AP616,INDEX('Aub Demand'!Q:Q,MATCH($O615,'Aub Demand'!$A:$A,0))-IF(AN615="",0,AN615)),"")</f>
        <v>199</v>
      </c>
      <c r="V615" s="53">
        <f t="shared" si="254"/>
        <v>71.099999999999994</v>
      </c>
      <c r="W615" s="52" t="str">
        <f t="shared" si="255"/>
        <v/>
      </c>
      <c r="X615" s="52">
        <f>IFERROR(IF(AND(AR616=AR615,AM615&lt;&gt;""),INDEX('Aub Demand'!Q:Q,MATCH($O615,'Aub Demand'!$A:$A,0))-IF(AN615="",0,AN615)+AP616+AD615+AL615,IF(AR616=AR615,INDEX('Aub Demand'!Q:Q,MATCH($O615,'Aub Demand'!$A:$A,0))-IF(AN615="",0,AN615)+AP616+AD615,IF(AM615&lt;&gt;"",INDEX('Aub Demand'!Q:Q,MATCH($O615,'Aub Demand'!$A:$A,0))-IF(AN615="",0,AN615)+AD615+AL615,INDEX('Aub Demand'!Q:Q,MATCH($O615,'Aub Demand'!$A:$A,0))-IF(AN615="",0,AN615)+AD615))),"")</f>
        <v>199</v>
      </c>
      <c r="Y615" s="53">
        <f t="shared" si="256"/>
        <v>71.099999999999994</v>
      </c>
      <c r="Z615" s="52">
        <f>IF(L615="","",INDEX('Aub Demand'!H:H,MATCH($O615,'Aub Demand'!$A:$A,0)))</f>
        <v>12</v>
      </c>
      <c r="AA615" s="52" t="str">
        <f t="shared" si="257"/>
        <v>-spike-</v>
      </c>
      <c r="AB615" s="52">
        <f>IFERROR(INDEX('Aub Demand'!L:L,MATCH($O615,'Aub Demand'!$A:$A,0)),"")</f>
        <v>0</v>
      </c>
      <c r="AC615" s="52">
        <f>IFERROR(IF(O615="","",SUMIFS('CPL Mats'!F:F,'CPL Mats'!Q:Q,AR615,'CPL Mats'!S:S,AS615)),"")</f>
        <v>0</v>
      </c>
      <c r="AF615" s="25" t="str">
        <f>IF(SUMIFS('Supp Consol'!S:S,'Supp Consol'!Y:Y,"Releasable",'Supp Consol'!A:A,O615)=0,"",SUMIFS('Supp Consol'!S:S,'Supp Consol'!Y:Y,"Releasable",'Supp Consol'!A:A,O615))</f>
        <v/>
      </c>
      <c r="AG615" s="25">
        <f>IFERROR(INDEX('Hun Demand'!Q:Q,MATCH(O615,'Hun Demand'!A:A,0)),"")</f>
        <v>1250</v>
      </c>
      <c r="AH615" s="25">
        <f>IFERROR(INDEX('Hun Demand'!H:H,MATCH($O615,'Hun Demand'!$A:$A,0)),"")</f>
        <v>0</v>
      </c>
      <c r="AI615" s="25" t="str">
        <f>IF(SUMIFS('Supp Consol'!AA:AA,'Supp Consol'!Z:Z,"Expires this month",'Supp Consol'!A:A,O615)=0,"",SUMIFS('Supp Consol'!AA:AA,'Supp Consol'!Z:Z,"Expires this month",'Supp Consol'!A:A,O615))</f>
        <v/>
      </c>
      <c r="AJ615" s="25" t="str">
        <f>IF(SUMIFS('Supp Consol'!AA:AA,'Supp Consol'!Z:Z,"Expired Previous Months",'Supp Consol'!A:A,O615)=0,"",SUMIFS('Supp Consol'!AA:AA,'Supp Consol'!Z:Z,"Expired Previous Months",'Supp Consol'!A:A,O615))</f>
        <v/>
      </c>
      <c r="AK615" s="25" t="str">
        <f>IFERROR(INDEX('Hun Release Current'!B:B,MATCH(O615,'Hun Release Current'!A:A,0)),"")</f>
        <v/>
      </c>
      <c r="AL615" s="25" t="str">
        <f>IF(SUMIF('Prev Aub'!A:A,O615,'Prev Aub'!B:B)=0,"",SUMIF('Prev Aub'!A:A,O615,'Prev Aub'!B:B))</f>
        <v/>
      </c>
      <c r="AN615" s="25" t="s">
        <v>3790</v>
      </c>
      <c r="AO615" s="25" t="s">
        <v>3790</v>
      </c>
      <c r="AP615" s="25">
        <f t="shared" si="258"/>
        <v>0</v>
      </c>
      <c r="AQ615" s="151" t="str">
        <f>IF(SUMIFS('Supp Consol'!S:S,'Supp Consol'!A:A,O615,'Supp Consol'!I:I,"PENDING")=0,"",SUMIFS('Supp Consol'!S:S,'Supp Consol'!A:A,O615,'Supp Consol'!I:I,"PENDING"))</f>
        <v/>
      </c>
      <c r="AR615" s="27" t="str">
        <f t="shared" si="259"/>
        <v>HP688</v>
      </c>
      <c r="AS615" s="27" t="str">
        <f t="shared" si="260"/>
        <v>50</v>
      </c>
      <c r="AT615" s="27" t="str">
        <f t="shared" si="261"/>
        <v/>
      </c>
      <c r="AU615" s="27" t="str">
        <f t="shared" si="262"/>
        <v/>
      </c>
      <c r="AV615" s="27" t="str">
        <f t="shared" si="263"/>
        <v/>
      </c>
      <c r="AW615" s="27" t="str">
        <f t="shared" si="264"/>
        <v/>
      </c>
      <c r="AX615" s="27" t="str">
        <f t="shared" si="265"/>
        <v/>
      </c>
      <c r="AY615" s="27" t="str">
        <f t="shared" si="266"/>
        <v>HP688</v>
      </c>
      <c r="AZ615" s="27" t="str">
        <f t="shared" si="267"/>
        <v/>
      </c>
      <c r="BA615" s="27" t="str">
        <f t="shared" si="268"/>
        <v>Hun</v>
      </c>
      <c r="BB615" s="27" t="str">
        <f t="shared" si="269"/>
        <v/>
      </c>
      <c r="BC615" s="27" t="str">
        <f t="shared" si="270"/>
        <v/>
      </c>
      <c r="BD615" s="27" t="str">
        <f t="shared" si="271"/>
        <v/>
      </c>
      <c r="BE615" s="27" t="str">
        <f t="shared" si="272"/>
        <v/>
      </c>
      <c r="BF615" s="27" t="str">
        <f t="shared" si="273"/>
        <v/>
      </c>
      <c r="BG615" s="27" t="str">
        <f t="shared" si="274"/>
        <v/>
      </c>
      <c r="BH615" s="27" t="str">
        <f t="shared" si="275"/>
        <v/>
      </c>
      <c r="BI615" s="27" t="str">
        <f t="shared" si="276"/>
        <v/>
      </c>
      <c r="BJ615" s="27" t="str">
        <f t="shared" si="277"/>
        <v>Supp or Hun</v>
      </c>
      <c r="BK615" s="27" t="str">
        <f t="shared" si="278"/>
        <v/>
      </c>
      <c r="BL615" s="27" t="str">
        <f t="shared" si="279"/>
        <v/>
      </c>
      <c r="BM615" s="21" t="s">
        <v>5582</v>
      </c>
    </row>
    <row r="616" spans="1:65" ht="15">
      <c r="A616" s="25">
        <f>IFERROR(INDEX('Hun Demand'!W:W,MATCH(O616,'Hun Demand'!A:A,0)),"")</f>
        <v>0</v>
      </c>
      <c r="B616" s="25">
        <f>IFERROR(INDEX('Hun Demand'!V:V,MATCH(O616,'Hun Demand'!A:A,0)),"")</f>
        <v>0</v>
      </c>
      <c r="C616" s="25">
        <f>IFERROR(INDEX('Hun Demand'!U:U,MATCH(O616,'Hun Demand'!A:A,0)),"")</f>
        <v>0</v>
      </c>
      <c r="D616" s="25">
        <f>IFERROR(INDEX('Hun Demand'!T:T,MATCH(O616,'Hun Demand'!A:A,0)),"")</f>
        <v>0</v>
      </c>
      <c r="E616" s="25">
        <f>IFERROR(INDEX('Hun Demand'!S:S,MATCH(O616,'Hun Demand'!A:A,0)),"")</f>
        <v>0</v>
      </c>
      <c r="F616" s="25">
        <f>IFERROR(INDEX('Hun Demand'!R:R,MATCH(O616,'Hun Demand'!A:A,0)),"")</f>
        <v>0</v>
      </c>
      <c r="G616" s="25">
        <f>IFERROR(INDEX('Aub Demand'!W:W,MATCH(O616,'Aub Demand'!A:A,0)),"")</f>
        <v>0</v>
      </c>
      <c r="H616" s="25">
        <f>IFERROR(INDEX('Aub Demand'!V:V,MATCH(O616,'Aub Demand'!A:A,0)),"")</f>
        <v>0</v>
      </c>
      <c r="I616" s="25">
        <f>IFERROR(INDEX('Aub Demand'!U:U,MATCH(O616,'Aub Demand'!A:A,0)),"")</f>
        <v>0</v>
      </c>
      <c r="J616" s="25">
        <f>IFERROR(INDEX('Aub Demand'!T:T,MATCH(O616,'Aub Demand'!A:A,0)),"")</f>
        <v>0</v>
      </c>
      <c r="K616" s="25">
        <f>IFERROR(INDEX('Aub Demand'!S:S,MATCH(O616,'Aub Demand'!A:A,0)),"")</f>
        <v>0</v>
      </c>
      <c r="L616" s="25">
        <f>IFERROR(INDEX('Aub Demand'!R:R,MATCH(O616,'Aub Demand'!A:A,0)),"")</f>
        <v>0</v>
      </c>
      <c r="O616" s="27" t="s">
        <v>1052</v>
      </c>
      <c r="P616" s="27" t="str">
        <f>IFERROR(INDEX('Aub Demand'!B:B,MATCH($O616,'Aub Demand'!$A:$A,0)),"")</f>
        <v>ARBOR MYRTLE</v>
      </c>
      <c r="Q616" s="27" t="str">
        <f>IFERROR(INDEX('Aub Demand'!C:C,MATCH($O616,'Aub Demand'!$A:$A,0)),"")</f>
        <v>SUDDE</v>
      </c>
      <c r="R616" s="52">
        <f>IFERROR(IF(AR617=AR616,INDEX('Aub Demand'!K:K,MATCH($O616,'Aub Demand'!$A:$A,0))-IF(AN616="",0,AN616)+AP617,INDEX('Aub Demand'!K:K,MATCH($O616,'Aub Demand'!$A:$A,0))-IF(AN616="",0,AN616)),"")</f>
        <v>926</v>
      </c>
      <c r="S616" s="53" t="str">
        <f t="shared" si="252"/>
        <v>n/a</v>
      </c>
      <c r="T616" s="52" t="str">
        <f t="shared" si="253"/>
        <v/>
      </c>
      <c r="U616" s="52">
        <f>IFERROR(IF(AR617=AR616,INDEX('Aub Demand'!Q:Q,MATCH($O616,'Aub Demand'!$A:$A,0))-IF(AN616="",0,AN616)+AP617,INDEX('Aub Demand'!Q:Q,MATCH($O616,'Aub Demand'!$A:$A,0))-IF(AN616="",0,AN616)),"")</f>
        <v>926</v>
      </c>
      <c r="V616" s="53" t="str">
        <f t="shared" si="254"/>
        <v>n/a</v>
      </c>
      <c r="W616" s="52" t="str">
        <f t="shared" si="255"/>
        <v/>
      </c>
      <c r="X616" s="52">
        <f>IFERROR(IF(AND(AR617=AR616,AM616&lt;&gt;""),INDEX('Aub Demand'!Q:Q,MATCH($O616,'Aub Demand'!$A:$A,0))-IF(AN616="",0,AN616)+AP617+AD616+AL616,IF(AR617=AR616,INDEX('Aub Demand'!Q:Q,MATCH($O616,'Aub Demand'!$A:$A,0))-IF(AN616="",0,AN616)+AP617+AD616,IF(AM616&lt;&gt;"",INDEX('Aub Demand'!Q:Q,MATCH($O616,'Aub Demand'!$A:$A,0))-IF(AN616="",0,AN616)+AD616+AL616,INDEX('Aub Demand'!Q:Q,MATCH($O616,'Aub Demand'!$A:$A,0))-IF(AN616="",0,AN616)+AD616))),"")</f>
        <v>926</v>
      </c>
      <c r="Y616" s="53" t="str">
        <f t="shared" si="256"/>
        <v>n/a</v>
      </c>
      <c r="Z616" s="52">
        <f>IF(L616="","",INDEX('Aub Demand'!H:H,MATCH($O616,'Aub Demand'!$A:$A,0)))</f>
        <v>0</v>
      </c>
      <c r="AA616" s="52" t="str">
        <f t="shared" si="257"/>
        <v>-spike-</v>
      </c>
      <c r="AB616" s="52">
        <f>IFERROR(INDEX('Aub Demand'!L:L,MATCH($O616,'Aub Demand'!$A:$A,0)),"")</f>
        <v>13</v>
      </c>
      <c r="AC616" s="52">
        <f>IFERROR(IF(O616="","",SUMIFS('CPL Mats'!F:F,'CPL Mats'!Q:Q,AR616,'CPL Mats'!S:S,AS616)),"")</f>
        <v>0</v>
      </c>
      <c r="AF616" s="25" t="str">
        <f>IF(SUMIFS('Supp Consol'!S:S,'Supp Consol'!Y:Y,"Releasable",'Supp Consol'!A:A,O616)=0,"",SUMIFS('Supp Consol'!S:S,'Supp Consol'!Y:Y,"Releasable",'Supp Consol'!A:A,O616))</f>
        <v/>
      </c>
      <c r="AG616" s="25">
        <f>IFERROR(INDEX('Hun Demand'!Q:Q,MATCH(O616,'Hun Demand'!A:A,0)),"")</f>
        <v>163</v>
      </c>
      <c r="AH616" s="25">
        <f>IFERROR(INDEX('Hun Demand'!H:H,MATCH($O616,'Hun Demand'!$A:$A,0)),"")</f>
        <v>0</v>
      </c>
      <c r="AI616" s="25" t="str">
        <f>IF(SUMIFS('Supp Consol'!AA:AA,'Supp Consol'!Z:Z,"Expires this month",'Supp Consol'!A:A,O616)=0,"",SUMIFS('Supp Consol'!AA:AA,'Supp Consol'!Z:Z,"Expires this month",'Supp Consol'!A:A,O616))</f>
        <v/>
      </c>
      <c r="AJ616" s="25" t="str">
        <f>IF(SUMIFS('Supp Consol'!AA:AA,'Supp Consol'!Z:Z,"Expired Previous Months",'Supp Consol'!A:A,O616)=0,"",SUMIFS('Supp Consol'!AA:AA,'Supp Consol'!Z:Z,"Expired Previous Months",'Supp Consol'!A:A,O616))</f>
        <v/>
      </c>
      <c r="AK616" s="25" t="str">
        <f>IFERROR(INDEX('Hun Release Current'!B:B,MATCH(O616,'Hun Release Current'!A:A,0)),"")</f>
        <v/>
      </c>
      <c r="AL616" s="25" t="str">
        <f>IF(SUMIF('Prev Aub'!A:A,O616,'Prev Aub'!B:B)=0,"",SUMIF('Prev Aub'!A:A,O616,'Prev Aub'!B:B))</f>
        <v/>
      </c>
      <c r="AN616" s="25" t="s">
        <v>3790</v>
      </c>
      <c r="AO616" s="25" t="s">
        <v>3790</v>
      </c>
      <c r="AP616" s="25">
        <f t="shared" si="258"/>
        <v>0</v>
      </c>
      <c r="AQ616" s="151" t="str">
        <f>IF(SUMIFS('Supp Consol'!S:S,'Supp Consol'!A:A,O616,'Supp Consol'!I:I,"PENDING")=0,"",SUMIFS('Supp Consol'!S:S,'Supp Consol'!A:A,O616,'Supp Consol'!I:I,"PENDING"))</f>
        <v/>
      </c>
      <c r="AR616" s="27" t="str">
        <f t="shared" si="259"/>
        <v>HP688</v>
      </c>
      <c r="AS616" s="27" t="str">
        <f t="shared" si="260"/>
        <v>62</v>
      </c>
      <c r="AT616" s="27" t="str">
        <f t="shared" si="261"/>
        <v/>
      </c>
      <c r="AU616" s="27" t="str">
        <f t="shared" si="262"/>
        <v/>
      </c>
      <c r="AV616" s="27" t="str">
        <f t="shared" si="263"/>
        <v/>
      </c>
      <c r="AW616" s="27" t="str">
        <f t="shared" si="264"/>
        <v/>
      </c>
      <c r="AX616" s="27" t="str">
        <f t="shared" si="265"/>
        <v/>
      </c>
      <c r="AY616" s="27" t="str">
        <f t="shared" si="266"/>
        <v>HP688</v>
      </c>
      <c r="AZ616" s="27" t="str">
        <f t="shared" si="267"/>
        <v/>
      </c>
      <c r="BA616" s="27" t="str">
        <f t="shared" si="268"/>
        <v>Hun</v>
      </c>
      <c r="BB616" s="27" t="str">
        <f t="shared" si="269"/>
        <v/>
      </c>
      <c r="BC616" s="27" t="str">
        <f t="shared" si="270"/>
        <v/>
      </c>
      <c r="BD616" s="27" t="str">
        <f t="shared" si="271"/>
        <v/>
      </c>
      <c r="BE616" s="27" t="str">
        <f t="shared" si="272"/>
        <v/>
      </c>
      <c r="BF616" s="27" t="str">
        <f t="shared" si="273"/>
        <v/>
      </c>
      <c r="BG616" s="27" t="str">
        <f t="shared" si="274"/>
        <v/>
      </c>
      <c r="BH616" s="27" t="str">
        <f t="shared" si="275"/>
        <v/>
      </c>
      <c r="BI616" s="27" t="str">
        <f t="shared" si="276"/>
        <v/>
      </c>
      <c r="BJ616" s="27" t="str">
        <f t="shared" si="277"/>
        <v>Supp or Hun</v>
      </c>
      <c r="BK616" s="27" t="str">
        <f t="shared" si="278"/>
        <v/>
      </c>
      <c r="BL616" s="27" t="str">
        <f t="shared" si="279"/>
        <v/>
      </c>
      <c r="BM616" s="21" t="s">
        <v>5582</v>
      </c>
    </row>
    <row r="617" spans="1:65" ht="15">
      <c r="A617" s="25">
        <f>IFERROR(INDEX('Hun Demand'!W:W,MATCH(O617,'Hun Demand'!A:A,0)),"")</f>
        <v>0</v>
      </c>
      <c r="B617" s="25">
        <f>IFERROR(INDEX('Hun Demand'!V:V,MATCH(O617,'Hun Demand'!A:A,0)),"")</f>
        <v>0</v>
      </c>
      <c r="C617" s="25">
        <f>IFERROR(INDEX('Hun Demand'!U:U,MATCH(O617,'Hun Demand'!A:A,0)),"")</f>
        <v>0</v>
      </c>
      <c r="D617" s="25">
        <f>IFERROR(INDEX('Hun Demand'!T:T,MATCH(O617,'Hun Demand'!A:A,0)),"")</f>
        <v>0</v>
      </c>
      <c r="E617" s="25">
        <f>IFERROR(INDEX('Hun Demand'!S:S,MATCH(O617,'Hun Demand'!A:A,0)),"")</f>
        <v>0</v>
      </c>
      <c r="F617" s="25">
        <f>IFERROR(INDEX('Hun Demand'!R:R,MATCH(O617,'Hun Demand'!A:A,0)),"")</f>
        <v>0</v>
      </c>
      <c r="G617" s="25">
        <f>IFERROR(INDEX('Aub Demand'!W:W,MATCH(O617,'Aub Demand'!A:A,0)),"")</f>
        <v>101</v>
      </c>
      <c r="H617" s="25">
        <f>IFERROR(INDEX('Aub Demand'!V:V,MATCH(O617,'Aub Demand'!A:A,0)),"")</f>
        <v>10</v>
      </c>
      <c r="I617" s="25">
        <f>IFERROR(INDEX('Aub Demand'!U:U,MATCH(O617,'Aub Demand'!A:A,0)),"")</f>
        <v>0</v>
      </c>
      <c r="J617" s="25">
        <f>IFERROR(INDEX('Aub Demand'!T:T,MATCH(O617,'Aub Demand'!A:A,0)),"")</f>
        <v>69</v>
      </c>
      <c r="K617" s="25">
        <f>IFERROR(INDEX('Aub Demand'!S:S,MATCH(O617,'Aub Demand'!A:A,0)),"")</f>
        <v>0</v>
      </c>
      <c r="L617" s="25">
        <f>IFERROR(INDEX('Aub Demand'!R:R,MATCH(O617,'Aub Demand'!A:A,0)),"")</f>
        <v>0</v>
      </c>
      <c r="O617" s="27" t="s">
        <v>1053</v>
      </c>
      <c r="P617" s="27" t="str">
        <f>IFERROR(INDEX('Aub Demand'!B:B,MATCH($O617,'Aub Demand'!$A:$A,0)),"")</f>
        <v>BACKWOODS SYCAMORE</v>
      </c>
      <c r="Q617" s="27" t="str">
        <f>IFERROR(INDEX('Aub Demand'!C:C,MATCH($O617,'Aub Demand'!$A:$A,0)),"")</f>
        <v>SUDDE</v>
      </c>
      <c r="R617" s="52">
        <f>IFERROR(IF(AR618=AR617,INDEX('Aub Demand'!K:K,MATCH($O617,'Aub Demand'!$A:$A,0))-IF(AN617="",0,AN617)+AP618,INDEX('Aub Demand'!K:K,MATCH($O617,'Aub Demand'!$A:$A,0))-IF(AN617="",0,AN617)),"")</f>
        <v>106</v>
      </c>
      <c r="S617" s="53">
        <f t="shared" si="252"/>
        <v>19.8</v>
      </c>
      <c r="T617" s="52" t="str">
        <f t="shared" si="253"/>
        <v/>
      </c>
      <c r="U617" s="52">
        <f>IFERROR(IF(AR618=AR617,INDEX('Aub Demand'!Q:Q,MATCH($O617,'Aub Demand'!$A:$A,0))-IF(AN617="",0,AN617)+AP618,INDEX('Aub Demand'!Q:Q,MATCH($O617,'Aub Demand'!$A:$A,0))-IF(AN617="",0,AN617)),"")</f>
        <v>100</v>
      </c>
      <c r="V617" s="53">
        <f t="shared" si="254"/>
        <v>18.600000000000001</v>
      </c>
      <c r="W617" s="52" t="str">
        <f t="shared" si="255"/>
        <v/>
      </c>
      <c r="X617" s="52">
        <f>IFERROR(IF(AND(AR618=AR617,AM617&lt;&gt;""),INDEX('Aub Demand'!Q:Q,MATCH($O617,'Aub Demand'!$A:$A,0))-IF(AN617="",0,AN617)+AP618+AD617+AL617,IF(AR618=AR617,INDEX('Aub Demand'!Q:Q,MATCH($O617,'Aub Demand'!$A:$A,0))-IF(AN617="",0,AN617)+AP618+AD617,IF(AM617&lt;&gt;"",INDEX('Aub Demand'!Q:Q,MATCH($O617,'Aub Demand'!$A:$A,0))-IF(AN617="",0,AN617)+AD617+AL617,INDEX('Aub Demand'!Q:Q,MATCH($O617,'Aub Demand'!$A:$A,0))-IF(AN617="",0,AN617)+AD617))),"")</f>
        <v>100</v>
      </c>
      <c r="Y617" s="53">
        <f t="shared" si="256"/>
        <v>18.600000000000001</v>
      </c>
      <c r="Z617" s="52">
        <f>IF(L617="","",INDEX('Aub Demand'!H:H,MATCH($O617,'Aub Demand'!$A:$A,0)))</f>
        <v>23</v>
      </c>
      <c r="AA617" s="52" t="str">
        <f t="shared" si="257"/>
        <v>-spike-</v>
      </c>
      <c r="AB617" s="52">
        <f>IFERROR(INDEX('Aub Demand'!L:L,MATCH($O617,'Aub Demand'!$A:$A,0)),"")</f>
        <v>39</v>
      </c>
      <c r="AC617" s="52">
        <f>IFERROR(IF(O617="","",SUMIFS('CPL Mats'!F:F,'CPL Mats'!Q:Q,AR617,'CPL Mats'!S:S,AS617)),"")</f>
        <v>0</v>
      </c>
      <c r="AF617" s="25" t="str">
        <f>IF(SUMIFS('Supp Consol'!S:S,'Supp Consol'!Y:Y,"Releasable",'Supp Consol'!A:A,O617)=0,"",SUMIFS('Supp Consol'!S:S,'Supp Consol'!Y:Y,"Releasable",'Supp Consol'!A:A,O617))</f>
        <v/>
      </c>
      <c r="AG617" s="25">
        <f>IFERROR(INDEX('Hun Demand'!Q:Q,MATCH(O617,'Hun Demand'!A:A,0)),"")</f>
        <v>1990</v>
      </c>
      <c r="AH617" s="25">
        <f>IFERROR(INDEX('Hun Demand'!H:H,MATCH($O617,'Hun Demand'!$A:$A,0)),"")</f>
        <v>0</v>
      </c>
      <c r="AI617" s="25" t="str">
        <f>IF(SUMIFS('Supp Consol'!AA:AA,'Supp Consol'!Z:Z,"Expires this month",'Supp Consol'!A:A,O617)=0,"",SUMIFS('Supp Consol'!AA:AA,'Supp Consol'!Z:Z,"Expires this month",'Supp Consol'!A:A,O617))</f>
        <v/>
      </c>
      <c r="AJ617" s="25" t="str">
        <f>IF(SUMIFS('Supp Consol'!AA:AA,'Supp Consol'!Z:Z,"Expired Previous Months",'Supp Consol'!A:A,O617)=0,"",SUMIFS('Supp Consol'!AA:AA,'Supp Consol'!Z:Z,"Expired Previous Months",'Supp Consol'!A:A,O617))</f>
        <v/>
      </c>
      <c r="AK617" s="25" t="str">
        <f>IFERROR(INDEX('Hun Release Current'!B:B,MATCH(O617,'Hun Release Current'!A:A,0)),"")</f>
        <v/>
      </c>
      <c r="AL617" s="25" t="str">
        <f>IF(SUMIF('Prev Aub'!A:A,O617,'Prev Aub'!B:B)=0,"",SUMIF('Prev Aub'!A:A,O617,'Prev Aub'!B:B))</f>
        <v/>
      </c>
      <c r="AN617" s="25" t="s">
        <v>3790</v>
      </c>
      <c r="AO617" s="25" t="s">
        <v>3790</v>
      </c>
      <c r="AP617" s="25">
        <f t="shared" si="258"/>
        <v>0</v>
      </c>
      <c r="AQ617" s="151" t="str">
        <f>IF(SUMIFS('Supp Consol'!S:S,'Supp Consol'!A:A,O617,'Supp Consol'!I:I,"PENDING")=0,"",SUMIFS('Supp Consol'!S:S,'Supp Consol'!A:A,O617,'Supp Consol'!I:I,"PENDING"))</f>
        <v/>
      </c>
      <c r="AR617" s="27" t="str">
        <f t="shared" si="259"/>
        <v>HP689</v>
      </c>
      <c r="AS617" s="27" t="str">
        <f t="shared" si="260"/>
        <v>50</v>
      </c>
      <c r="AT617" s="27" t="str">
        <f t="shared" si="261"/>
        <v/>
      </c>
      <c r="AU617" s="27" t="str">
        <f t="shared" si="262"/>
        <v/>
      </c>
      <c r="AV617" s="27" t="str">
        <f t="shared" si="263"/>
        <v/>
      </c>
      <c r="AW617" s="27" t="str">
        <f t="shared" si="264"/>
        <v/>
      </c>
      <c r="AX617" s="27" t="str">
        <f t="shared" si="265"/>
        <v/>
      </c>
      <c r="AY617" s="27" t="str">
        <f t="shared" si="266"/>
        <v>HP689</v>
      </c>
      <c r="AZ617" s="27" t="str">
        <f t="shared" si="267"/>
        <v>Supp</v>
      </c>
      <c r="BA617" s="27" t="str">
        <f t="shared" si="268"/>
        <v>Hun</v>
      </c>
      <c r="BB617" s="27" t="str">
        <f t="shared" si="269"/>
        <v/>
      </c>
      <c r="BC617" s="27" t="str">
        <f t="shared" si="270"/>
        <v/>
      </c>
      <c r="BD617" s="27" t="str">
        <f t="shared" si="271"/>
        <v/>
      </c>
      <c r="BE617" s="27" t="str">
        <f t="shared" si="272"/>
        <v/>
      </c>
      <c r="BF617" s="27" t="str">
        <f t="shared" si="273"/>
        <v/>
      </c>
      <c r="BG617" s="27" t="str">
        <f t="shared" si="274"/>
        <v/>
      </c>
      <c r="BH617" s="27" t="str">
        <f t="shared" si="275"/>
        <v/>
      </c>
      <c r="BI617" s="27" t="str">
        <f t="shared" si="276"/>
        <v/>
      </c>
      <c r="BJ617" s="27" t="str">
        <f t="shared" si="277"/>
        <v>Supp or Hun</v>
      </c>
      <c r="BK617" s="27" t="str">
        <f t="shared" si="278"/>
        <v/>
      </c>
      <c r="BL617" s="27" t="str">
        <f t="shared" si="279"/>
        <v/>
      </c>
      <c r="BM617" s="21" t="s">
        <v>5582</v>
      </c>
    </row>
    <row r="618" spans="1:65" ht="15">
      <c r="A618" s="25" t="str">
        <f>IFERROR(INDEX('Hun Demand'!W:W,MATCH(O618,'Hun Demand'!A:A,0)),"")</f>
        <v/>
      </c>
      <c r="B618" s="25" t="str">
        <f>IFERROR(INDEX('Hun Demand'!V:V,MATCH(O618,'Hun Demand'!A:A,0)),"")</f>
        <v/>
      </c>
      <c r="C618" s="25" t="str">
        <f>IFERROR(INDEX('Hun Demand'!U:U,MATCH(O618,'Hun Demand'!A:A,0)),"")</f>
        <v/>
      </c>
      <c r="D618" s="25" t="str">
        <f>IFERROR(INDEX('Hun Demand'!T:T,MATCH(O618,'Hun Demand'!A:A,0)),"")</f>
        <v/>
      </c>
      <c r="E618" s="25" t="str">
        <f>IFERROR(INDEX('Hun Demand'!S:S,MATCH(O618,'Hun Demand'!A:A,0)),"")</f>
        <v/>
      </c>
      <c r="F618" s="25" t="str">
        <f>IFERROR(INDEX('Hun Demand'!R:R,MATCH(O618,'Hun Demand'!A:A,0)),"")</f>
        <v/>
      </c>
      <c r="G618" s="25">
        <f>IFERROR(INDEX('Aub Demand'!W:W,MATCH(O618,'Aub Demand'!A:A,0)),"")</f>
        <v>62</v>
      </c>
      <c r="H618" s="25">
        <f>IFERROR(INDEX('Aub Demand'!V:V,MATCH(O618,'Aub Demand'!A:A,0)),"")</f>
        <v>82</v>
      </c>
      <c r="I618" s="25">
        <f>IFERROR(INDEX('Aub Demand'!U:U,MATCH(O618,'Aub Demand'!A:A,0)),"")</f>
        <v>0</v>
      </c>
      <c r="J618" s="25">
        <f>IFERROR(INDEX('Aub Demand'!T:T,MATCH(O618,'Aub Demand'!A:A,0)),"")</f>
        <v>80</v>
      </c>
      <c r="K618" s="25">
        <f>IFERROR(INDEX('Aub Demand'!S:S,MATCH(O618,'Aub Demand'!A:A,0)),"")</f>
        <v>45</v>
      </c>
      <c r="L618" s="25">
        <f>IFERROR(INDEX('Aub Demand'!R:R,MATCH(O618,'Aub Demand'!A:A,0)),"")</f>
        <v>0</v>
      </c>
      <c r="O618" s="27" t="s">
        <v>1055</v>
      </c>
      <c r="P618" s="27" t="str">
        <f>IFERROR(INDEX('Aub Demand'!B:B,MATCH($O618,'Aub Demand'!$A:$A,0)),"")</f>
        <v>BACKWOODS SYCAMORE</v>
      </c>
      <c r="Q618" s="27" t="str">
        <f>IFERROR(INDEX('Aub Demand'!C:C,MATCH($O618,'Aub Demand'!$A:$A,0)),"")</f>
        <v>SUDDE</v>
      </c>
      <c r="R618" s="52">
        <f>IFERROR(IF(AR619=AR618,INDEX('Aub Demand'!K:K,MATCH($O618,'Aub Demand'!$A:$A,0))-IF(AN618="",0,AN618)+AP619,INDEX('Aub Demand'!K:K,MATCH($O618,'Aub Demand'!$A:$A,0))-IF(AN618="",0,AN618)),"")</f>
        <v>518</v>
      </c>
      <c r="S618" s="53">
        <f t="shared" si="252"/>
        <v>52.9</v>
      </c>
      <c r="T618" s="52" t="str">
        <f t="shared" si="253"/>
        <v/>
      </c>
      <c r="U618" s="52">
        <f>IFERROR(IF(AR619=AR618,INDEX('Aub Demand'!Q:Q,MATCH($O618,'Aub Demand'!$A:$A,0))-IF(AN618="",0,AN618)+AP619,INDEX('Aub Demand'!Q:Q,MATCH($O618,'Aub Demand'!$A:$A,0))-IF(AN618="",0,AN618)),"")</f>
        <v>513</v>
      </c>
      <c r="V618" s="53">
        <f t="shared" si="254"/>
        <v>52.3</v>
      </c>
      <c r="W618" s="52" t="str">
        <f t="shared" si="255"/>
        <v/>
      </c>
      <c r="X618" s="52">
        <f>IFERROR(IF(AND(AR619=AR618,AM618&lt;&gt;""),INDEX('Aub Demand'!Q:Q,MATCH($O618,'Aub Demand'!$A:$A,0))-IF(AN618="",0,AN618)+AP619+AD618+AL618,IF(AR619=AR618,INDEX('Aub Demand'!Q:Q,MATCH($O618,'Aub Demand'!$A:$A,0))-IF(AN618="",0,AN618)+AP619+AD618,IF(AM618&lt;&gt;"",INDEX('Aub Demand'!Q:Q,MATCH($O618,'Aub Demand'!$A:$A,0))-IF(AN618="",0,AN618)+AD618+AL618,INDEX('Aub Demand'!Q:Q,MATCH($O618,'Aub Demand'!$A:$A,0))-IF(AN618="",0,AN618)+AD618))),"")</f>
        <v>513</v>
      </c>
      <c r="Y618" s="53">
        <f t="shared" si="256"/>
        <v>52.3</v>
      </c>
      <c r="Z618" s="52">
        <f>IF(L618="","",INDEX('Aub Demand'!H:H,MATCH($O618,'Aub Demand'!$A:$A,0)))</f>
        <v>42</v>
      </c>
      <c r="AA618" s="52">
        <f t="shared" si="257"/>
        <v>62.5</v>
      </c>
      <c r="AB618" s="52">
        <f>IFERROR(INDEX('Aub Demand'!L:L,MATCH($O618,'Aub Demand'!$A:$A,0)),"")</f>
        <v>12</v>
      </c>
      <c r="AC618" s="52">
        <f>IFERROR(IF(O618="","",SUMIFS('CPL Mats'!F:F,'CPL Mats'!Q:Q,AR618,'CPL Mats'!S:S,AS618)),"")</f>
        <v>0</v>
      </c>
      <c r="AF618" s="25">
        <f>IF(SUMIFS('Supp Consol'!S:S,'Supp Consol'!Y:Y,"Releasable",'Supp Consol'!A:A,O618)=0,"",SUMIFS('Supp Consol'!S:S,'Supp Consol'!Y:Y,"Releasable",'Supp Consol'!A:A,O618))</f>
        <v>1599</v>
      </c>
      <c r="AG618" s="25" t="str">
        <f>IFERROR(INDEX('Hun Demand'!Q:Q,MATCH(O618,'Hun Demand'!A:A,0)),"")</f>
        <v/>
      </c>
      <c r="AH618" s="25" t="str">
        <f>IFERROR(INDEX('Hun Demand'!H:H,MATCH($O618,'Hun Demand'!$A:$A,0)),"")</f>
        <v/>
      </c>
      <c r="AI618" s="25" t="str">
        <f>IF(SUMIFS('Supp Consol'!AA:AA,'Supp Consol'!Z:Z,"Expires this month",'Supp Consol'!A:A,O618)=0,"",SUMIFS('Supp Consol'!AA:AA,'Supp Consol'!Z:Z,"Expires this month",'Supp Consol'!A:A,O618))</f>
        <v/>
      </c>
      <c r="AJ618" s="25" t="str">
        <f>IF(SUMIFS('Supp Consol'!AA:AA,'Supp Consol'!Z:Z,"Expired Previous Months",'Supp Consol'!A:A,O618)=0,"",SUMIFS('Supp Consol'!AA:AA,'Supp Consol'!Z:Z,"Expired Previous Months",'Supp Consol'!A:A,O618))</f>
        <v/>
      </c>
      <c r="AK618" s="25" t="str">
        <f>IFERROR(INDEX('Hun Release Current'!B:B,MATCH(O618,'Hun Release Current'!A:A,0)),"")</f>
        <v/>
      </c>
      <c r="AL618" s="25" t="str">
        <f>IF(SUMIF('Prev Aub'!A:A,O618,'Prev Aub'!B:B)=0,"",SUMIF('Prev Aub'!A:A,O618,'Prev Aub'!B:B))</f>
        <v/>
      </c>
      <c r="AN618" s="25" t="s">
        <v>3790</v>
      </c>
      <c r="AO618" s="25" t="s">
        <v>3790</v>
      </c>
      <c r="AP618" s="25">
        <f t="shared" si="258"/>
        <v>0</v>
      </c>
      <c r="AQ618" s="151" t="str">
        <f>IF(SUMIFS('Supp Consol'!S:S,'Supp Consol'!A:A,O618,'Supp Consol'!I:I,"PENDING")=0,"",SUMIFS('Supp Consol'!S:S,'Supp Consol'!A:A,O618,'Supp Consol'!I:I,"PENDING"))</f>
        <v/>
      </c>
      <c r="AR618" s="27" t="str">
        <f t="shared" si="259"/>
        <v>HP689</v>
      </c>
      <c r="AS618" s="27" t="str">
        <f t="shared" si="260"/>
        <v>62</v>
      </c>
      <c r="AT618" s="27" t="str">
        <f t="shared" si="261"/>
        <v/>
      </c>
      <c r="AU618" s="27" t="str">
        <f t="shared" si="262"/>
        <v/>
      </c>
      <c r="AV618" s="27" t="str">
        <f t="shared" si="263"/>
        <v/>
      </c>
      <c r="AW618" s="27" t="str">
        <f t="shared" si="264"/>
        <v/>
      </c>
      <c r="AX618" s="27" t="str">
        <f t="shared" si="265"/>
        <v>HP689</v>
      </c>
      <c r="AY618" s="27" t="str">
        <f t="shared" si="266"/>
        <v/>
      </c>
      <c r="AZ618" s="27" t="str">
        <f t="shared" si="267"/>
        <v>Supp</v>
      </c>
      <c r="BA618" s="27" t="str">
        <f t="shared" si="268"/>
        <v>Hun</v>
      </c>
      <c r="BB618" s="27" t="str">
        <f t="shared" si="269"/>
        <v/>
      </c>
      <c r="BC618" s="27" t="str">
        <f t="shared" si="270"/>
        <v/>
      </c>
      <c r="BD618" s="27" t="str">
        <f t="shared" si="271"/>
        <v/>
      </c>
      <c r="BE618" s="27" t="str">
        <f t="shared" si="272"/>
        <v/>
      </c>
      <c r="BF618" s="27" t="str">
        <f t="shared" si="273"/>
        <v/>
      </c>
      <c r="BG618" s="27" t="str">
        <f t="shared" si="274"/>
        <v/>
      </c>
      <c r="BH618" s="27" t="str">
        <f t="shared" si="275"/>
        <v/>
      </c>
      <c r="BI618" s="27" t="str">
        <f t="shared" si="276"/>
        <v/>
      </c>
      <c r="BJ618" s="27" t="str">
        <f t="shared" si="277"/>
        <v>Supp or Hun</v>
      </c>
      <c r="BK618" s="27" t="str">
        <f t="shared" si="278"/>
        <v/>
      </c>
      <c r="BL618" s="27" t="str">
        <f t="shared" si="279"/>
        <v/>
      </c>
      <c r="BM618" s="21" t="s">
        <v>5582</v>
      </c>
    </row>
    <row r="619" spans="1:65" ht="15">
      <c r="A619" s="25">
        <f>IFERROR(INDEX('Hun Demand'!W:W,MATCH(O619,'Hun Demand'!A:A,0)),"")</f>
        <v>0</v>
      </c>
      <c r="B619" s="25">
        <f>IFERROR(INDEX('Hun Demand'!V:V,MATCH(O619,'Hun Demand'!A:A,0)),"")</f>
        <v>249</v>
      </c>
      <c r="C619" s="25">
        <f>IFERROR(INDEX('Hun Demand'!U:U,MATCH(O619,'Hun Demand'!A:A,0)),"")</f>
        <v>0</v>
      </c>
      <c r="D619" s="25">
        <f>IFERROR(INDEX('Hun Demand'!T:T,MATCH(O619,'Hun Demand'!A:A,0)),"")</f>
        <v>0</v>
      </c>
      <c r="E619" s="25">
        <f>IFERROR(INDEX('Hun Demand'!S:S,MATCH(O619,'Hun Demand'!A:A,0)),"")</f>
        <v>260</v>
      </c>
      <c r="F619" s="25">
        <f>IFERROR(INDEX('Hun Demand'!R:R,MATCH(O619,'Hun Demand'!A:A,0)),"")</f>
        <v>0</v>
      </c>
      <c r="G619" s="25">
        <f>IFERROR(INDEX('Aub Demand'!W:W,MATCH(O619,'Aub Demand'!A:A,0)),"")</f>
        <v>0</v>
      </c>
      <c r="H619" s="25">
        <f>IFERROR(INDEX('Aub Demand'!V:V,MATCH(O619,'Aub Demand'!A:A,0)),"")</f>
        <v>0</v>
      </c>
      <c r="I619" s="25">
        <f>IFERROR(INDEX('Aub Demand'!U:U,MATCH(O619,'Aub Demand'!A:A,0)),"")</f>
        <v>0</v>
      </c>
      <c r="J619" s="25">
        <f>IFERROR(INDEX('Aub Demand'!T:T,MATCH(O619,'Aub Demand'!A:A,0)),"")</f>
        <v>0</v>
      </c>
      <c r="K619" s="25">
        <f>IFERROR(INDEX('Aub Demand'!S:S,MATCH(O619,'Aub Demand'!A:A,0)),"")</f>
        <v>0</v>
      </c>
      <c r="L619" s="25">
        <f>IFERROR(INDEX('Aub Demand'!R:R,MATCH(O619,'Aub Demand'!A:A,0)),"")</f>
        <v>0</v>
      </c>
      <c r="O619" s="27" t="s">
        <v>1056</v>
      </c>
      <c r="P619" s="27" t="str">
        <f>IFERROR(INDEX('Aub Demand'!B:B,MATCH($O619,'Aub Demand'!$A:$A,0)),"")</f>
        <v>EDGEWOOD SYCAMORE</v>
      </c>
      <c r="Q619" s="27" t="str">
        <f>IFERROR(INDEX('Aub Demand'!C:C,MATCH($O619,'Aub Demand'!$A:$A,0)),"")</f>
        <v>SUDDE</v>
      </c>
      <c r="R619" s="52">
        <f>IFERROR(IF(AR620=AR619,INDEX('Aub Demand'!K:K,MATCH($O619,'Aub Demand'!$A:$A,0))-IF(AN619="",0,AN619)+AP620,INDEX('Aub Demand'!K:K,MATCH($O619,'Aub Demand'!$A:$A,0))-IF(AN619="",0,AN619)),"")</f>
        <v>1420</v>
      </c>
      <c r="S619" s="53" t="str">
        <f t="shared" si="252"/>
        <v>n/a</v>
      </c>
      <c r="T619" s="52" t="str">
        <f t="shared" si="253"/>
        <v/>
      </c>
      <c r="U619" s="52">
        <f>IFERROR(IF(AR620=AR619,INDEX('Aub Demand'!Q:Q,MATCH($O619,'Aub Demand'!$A:$A,0))-IF(AN619="",0,AN619)+AP620,INDEX('Aub Demand'!Q:Q,MATCH($O619,'Aub Demand'!$A:$A,0))-IF(AN619="",0,AN619)),"")</f>
        <v>1420</v>
      </c>
      <c r="V619" s="53" t="str">
        <f t="shared" si="254"/>
        <v>n/a</v>
      </c>
      <c r="W619" s="52" t="str">
        <f t="shared" si="255"/>
        <v/>
      </c>
      <c r="X619" s="52">
        <f>IFERROR(IF(AND(AR620=AR619,AM619&lt;&gt;""),INDEX('Aub Demand'!Q:Q,MATCH($O619,'Aub Demand'!$A:$A,0))-IF(AN619="",0,AN619)+AP620+AD619+AL619,IF(AR620=AR619,INDEX('Aub Demand'!Q:Q,MATCH($O619,'Aub Demand'!$A:$A,0))-IF(AN619="",0,AN619)+AP620+AD619,IF(AM619&lt;&gt;"",INDEX('Aub Demand'!Q:Q,MATCH($O619,'Aub Demand'!$A:$A,0))-IF(AN619="",0,AN619)+AD619+AL619,INDEX('Aub Demand'!Q:Q,MATCH($O619,'Aub Demand'!$A:$A,0))-IF(AN619="",0,AN619)+AD619))),"")</f>
        <v>1420</v>
      </c>
      <c r="Y619" s="53" t="str">
        <f t="shared" si="256"/>
        <v>n/a</v>
      </c>
      <c r="Z619" s="52">
        <f>IF(L619="","",INDEX('Aub Demand'!H:H,MATCH($O619,'Aub Demand'!$A:$A,0)))</f>
        <v>0</v>
      </c>
      <c r="AA619" s="52" t="str">
        <f t="shared" si="257"/>
        <v>-spike-</v>
      </c>
      <c r="AB619" s="52">
        <f>IFERROR(INDEX('Aub Demand'!L:L,MATCH($O619,'Aub Demand'!$A:$A,0)),"")</f>
        <v>2</v>
      </c>
      <c r="AC619" s="52">
        <f>IFERROR(IF(O619="","",SUMIFS('CPL Mats'!F:F,'CPL Mats'!Q:Q,AR619,'CPL Mats'!S:S,AS619)),"")</f>
        <v>0</v>
      </c>
      <c r="AF619" s="25" t="str">
        <f>IF(SUMIFS('Supp Consol'!S:S,'Supp Consol'!Y:Y,"Releasable",'Supp Consol'!A:A,O619)=0,"",SUMIFS('Supp Consol'!S:S,'Supp Consol'!Y:Y,"Releasable",'Supp Consol'!A:A,O619))</f>
        <v/>
      </c>
      <c r="AG619" s="25">
        <f>IFERROR(INDEX('Hun Demand'!Q:Q,MATCH(O619,'Hun Demand'!A:A,0)),"")</f>
        <v>0</v>
      </c>
      <c r="AH619" s="25">
        <f>IFERROR(INDEX('Hun Demand'!H:H,MATCH($O619,'Hun Demand'!$A:$A,0)),"")</f>
        <v>87</v>
      </c>
      <c r="AI619" s="25" t="str">
        <f>IF(SUMIFS('Supp Consol'!AA:AA,'Supp Consol'!Z:Z,"Expires this month",'Supp Consol'!A:A,O619)=0,"",SUMIFS('Supp Consol'!AA:AA,'Supp Consol'!Z:Z,"Expires this month",'Supp Consol'!A:A,O619))</f>
        <v/>
      </c>
      <c r="AJ619" s="25" t="str">
        <f>IF(SUMIFS('Supp Consol'!AA:AA,'Supp Consol'!Z:Z,"Expired Previous Months",'Supp Consol'!A:A,O619)=0,"",SUMIFS('Supp Consol'!AA:AA,'Supp Consol'!Z:Z,"Expired Previous Months",'Supp Consol'!A:A,O619))</f>
        <v/>
      </c>
      <c r="AK619" s="25" t="str">
        <f>IFERROR(INDEX('Hun Release Current'!B:B,MATCH(O619,'Hun Release Current'!A:A,0)),"")</f>
        <v/>
      </c>
      <c r="AL619" s="25" t="str">
        <f>IF(SUMIF('Prev Aub'!A:A,O619,'Prev Aub'!B:B)=0,"",SUMIF('Prev Aub'!A:A,O619,'Prev Aub'!B:B))</f>
        <v/>
      </c>
      <c r="AN619" s="25" t="s">
        <v>3790</v>
      </c>
      <c r="AO619" s="25" t="s">
        <v>3790</v>
      </c>
      <c r="AP619" s="25">
        <f t="shared" si="258"/>
        <v>0</v>
      </c>
      <c r="AQ619" s="151" t="str">
        <f>IF(SUMIFS('Supp Consol'!S:S,'Supp Consol'!A:A,O619,'Supp Consol'!I:I,"PENDING")=0,"",SUMIFS('Supp Consol'!S:S,'Supp Consol'!A:A,O619,'Supp Consol'!I:I,"PENDING"))</f>
        <v/>
      </c>
      <c r="AR619" s="27" t="str">
        <f t="shared" si="259"/>
        <v>HP690</v>
      </c>
      <c r="AS619" s="27" t="str">
        <f t="shared" si="260"/>
        <v>50</v>
      </c>
      <c r="AT619" s="27" t="str">
        <f t="shared" si="261"/>
        <v/>
      </c>
      <c r="AU619" s="27" t="str">
        <f t="shared" si="262"/>
        <v/>
      </c>
      <c r="AV619" s="27" t="str">
        <f t="shared" si="263"/>
        <v/>
      </c>
      <c r="AW619" s="27" t="str">
        <f t="shared" si="264"/>
        <v/>
      </c>
      <c r="AX619" s="27" t="str">
        <f t="shared" si="265"/>
        <v/>
      </c>
      <c r="AY619" s="27" t="str">
        <f t="shared" si="266"/>
        <v/>
      </c>
      <c r="AZ619" s="27" t="str">
        <f t="shared" si="267"/>
        <v/>
      </c>
      <c r="BA619" s="27" t="str">
        <f t="shared" si="268"/>
        <v/>
      </c>
      <c r="BB619" s="27" t="str">
        <f t="shared" si="269"/>
        <v/>
      </c>
      <c r="BC619" s="27" t="str">
        <f t="shared" si="270"/>
        <v/>
      </c>
      <c r="BD619" s="27" t="str">
        <f t="shared" si="271"/>
        <v/>
      </c>
      <c r="BE619" s="27" t="str">
        <f t="shared" si="272"/>
        <v/>
      </c>
      <c r="BF619" s="27" t="str">
        <f t="shared" si="273"/>
        <v/>
      </c>
      <c r="BG619" s="27" t="str">
        <f t="shared" si="274"/>
        <v/>
      </c>
      <c r="BH619" s="27" t="str">
        <f t="shared" si="275"/>
        <v/>
      </c>
      <c r="BI619" s="27" t="str">
        <f t="shared" si="276"/>
        <v/>
      </c>
      <c r="BJ619" s="27" t="str">
        <f t="shared" si="277"/>
        <v/>
      </c>
      <c r="BK619" s="27" t="str">
        <f t="shared" si="278"/>
        <v/>
      </c>
      <c r="BL619" s="27" t="str">
        <f t="shared" si="279"/>
        <v/>
      </c>
      <c r="BM619" s="21" t="s">
        <v>5582</v>
      </c>
    </row>
    <row r="620" spans="1:65" ht="15">
      <c r="A620" s="25" t="str">
        <f>IFERROR(INDEX('Hun Demand'!W:W,MATCH(O620,'Hun Demand'!A:A,0)),"")</f>
        <v/>
      </c>
      <c r="B620" s="25" t="str">
        <f>IFERROR(INDEX('Hun Demand'!V:V,MATCH(O620,'Hun Demand'!A:A,0)),"")</f>
        <v/>
      </c>
      <c r="C620" s="25" t="str">
        <f>IFERROR(INDEX('Hun Demand'!U:U,MATCH(O620,'Hun Demand'!A:A,0)),"")</f>
        <v/>
      </c>
      <c r="D620" s="25" t="str">
        <f>IFERROR(INDEX('Hun Demand'!T:T,MATCH(O620,'Hun Demand'!A:A,0)),"")</f>
        <v/>
      </c>
      <c r="E620" s="25" t="str">
        <f>IFERROR(INDEX('Hun Demand'!S:S,MATCH(O620,'Hun Demand'!A:A,0)),"")</f>
        <v/>
      </c>
      <c r="F620" s="25" t="str">
        <f>IFERROR(INDEX('Hun Demand'!R:R,MATCH(O620,'Hun Demand'!A:A,0)),"")</f>
        <v/>
      </c>
      <c r="G620" s="25">
        <f>IFERROR(INDEX('Aub Demand'!W:W,MATCH(O620,'Aub Demand'!A:A,0)),"")</f>
        <v>0</v>
      </c>
      <c r="H620" s="25">
        <f>IFERROR(INDEX('Aub Demand'!V:V,MATCH(O620,'Aub Demand'!A:A,0)),"")</f>
        <v>0</v>
      </c>
      <c r="I620" s="25">
        <f>IFERROR(INDEX('Aub Demand'!U:U,MATCH(O620,'Aub Demand'!A:A,0)),"")</f>
        <v>0</v>
      </c>
      <c r="J620" s="25">
        <f>IFERROR(INDEX('Aub Demand'!T:T,MATCH(O620,'Aub Demand'!A:A,0)),"")</f>
        <v>0</v>
      </c>
      <c r="K620" s="25">
        <f>IFERROR(INDEX('Aub Demand'!S:S,MATCH(O620,'Aub Demand'!A:A,0)),"")</f>
        <v>0</v>
      </c>
      <c r="L620" s="25">
        <f>IFERROR(INDEX('Aub Demand'!R:R,MATCH(O620,'Aub Demand'!A:A,0)),"")</f>
        <v>0</v>
      </c>
      <c r="O620" s="27" t="s">
        <v>1058</v>
      </c>
      <c r="P620" s="27" t="str">
        <f>IFERROR(INDEX('Aub Demand'!B:B,MATCH($O620,'Aub Demand'!$A:$A,0)),"")</f>
        <v>CHAMPAGNE ASH</v>
      </c>
      <c r="Q620" s="27" t="str">
        <f>IFERROR(INDEX('Aub Demand'!C:C,MATCH($O620,'Aub Demand'!$A:$A,0)),"")</f>
        <v>TOPPA</v>
      </c>
      <c r="R620" s="52">
        <f>IFERROR(IF(AR621=AR620,INDEX('Aub Demand'!K:K,MATCH($O620,'Aub Demand'!$A:$A,0))-IF(AN620="",0,AN620)+AP621,INDEX('Aub Demand'!K:K,MATCH($O620,'Aub Demand'!$A:$A,0))-IF(AN620="",0,AN620)),"")</f>
        <v>493</v>
      </c>
      <c r="S620" s="53" t="str">
        <f t="shared" si="252"/>
        <v>n/a</v>
      </c>
      <c r="T620" s="52" t="str">
        <f t="shared" si="253"/>
        <v/>
      </c>
      <c r="U620" s="52">
        <f>IFERROR(IF(AR621=AR620,INDEX('Aub Demand'!Q:Q,MATCH($O620,'Aub Demand'!$A:$A,0))-IF(AN620="",0,AN620)+AP621,INDEX('Aub Demand'!Q:Q,MATCH($O620,'Aub Demand'!$A:$A,0))-IF(AN620="",0,AN620)),"")</f>
        <v>493</v>
      </c>
      <c r="V620" s="53" t="str">
        <f t="shared" si="254"/>
        <v>n/a</v>
      </c>
      <c r="W620" s="52" t="str">
        <f t="shared" si="255"/>
        <v/>
      </c>
      <c r="X620" s="52">
        <f>IFERROR(IF(AND(AR621=AR620,AM620&lt;&gt;""),INDEX('Aub Demand'!Q:Q,MATCH($O620,'Aub Demand'!$A:$A,0))-IF(AN620="",0,AN620)+AP621+AD620+AL620,IF(AR621=AR620,INDEX('Aub Demand'!Q:Q,MATCH($O620,'Aub Demand'!$A:$A,0))-IF(AN620="",0,AN620)+AP621+AD620,IF(AM620&lt;&gt;"",INDEX('Aub Demand'!Q:Q,MATCH($O620,'Aub Demand'!$A:$A,0))-IF(AN620="",0,AN620)+AD620+AL620,INDEX('Aub Demand'!Q:Q,MATCH($O620,'Aub Demand'!$A:$A,0))-IF(AN620="",0,AN620)+AD620))),"")</f>
        <v>493</v>
      </c>
      <c r="Y620" s="53" t="str">
        <f t="shared" si="256"/>
        <v>n/a</v>
      </c>
      <c r="Z620" s="52">
        <f>IF(L620="","",INDEX('Aub Demand'!H:H,MATCH($O620,'Aub Demand'!$A:$A,0)))</f>
        <v>0</v>
      </c>
      <c r="AA620" s="52" t="str">
        <f t="shared" si="257"/>
        <v>-spike-</v>
      </c>
      <c r="AB620" s="52">
        <f>IFERROR(INDEX('Aub Demand'!L:L,MATCH($O620,'Aub Demand'!$A:$A,0)),"")</f>
        <v>0</v>
      </c>
      <c r="AC620" s="52">
        <f>IFERROR(IF(O620="","",SUMIFS('CPL Mats'!F:F,'CPL Mats'!Q:Q,AR620,'CPL Mats'!S:S,AS620)),"")</f>
        <v>0</v>
      </c>
      <c r="AF620" s="25" t="str">
        <f>IF(SUMIFS('Supp Consol'!S:S,'Supp Consol'!Y:Y,"Releasable",'Supp Consol'!A:A,O620)=0,"",SUMIFS('Supp Consol'!S:S,'Supp Consol'!Y:Y,"Releasable",'Supp Consol'!A:A,O620))</f>
        <v/>
      </c>
      <c r="AG620" s="25" t="str">
        <f>IFERROR(INDEX('Hun Demand'!Q:Q,MATCH(O620,'Hun Demand'!A:A,0)),"")</f>
        <v/>
      </c>
      <c r="AH620" s="25" t="str">
        <f>IFERROR(INDEX('Hun Demand'!H:H,MATCH($O620,'Hun Demand'!$A:$A,0)),"")</f>
        <v/>
      </c>
      <c r="AI620" s="25" t="str">
        <f>IF(SUMIFS('Supp Consol'!AA:AA,'Supp Consol'!Z:Z,"Expires this month",'Supp Consol'!A:A,O620)=0,"",SUMIFS('Supp Consol'!AA:AA,'Supp Consol'!Z:Z,"Expires this month",'Supp Consol'!A:A,O620))</f>
        <v/>
      </c>
      <c r="AJ620" s="25" t="str">
        <f>IF(SUMIFS('Supp Consol'!AA:AA,'Supp Consol'!Z:Z,"Expired Previous Months",'Supp Consol'!A:A,O620)=0,"",SUMIFS('Supp Consol'!AA:AA,'Supp Consol'!Z:Z,"Expired Previous Months",'Supp Consol'!A:A,O620))</f>
        <v/>
      </c>
      <c r="AK620" s="25" t="str">
        <f>IFERROR(INDEX('Hun Release Current'!B:B,MATCH(O620,'Hun Release Current'!A:A,0)),"")</f>
        <v/>
      </c>
      <c r="AL620" s="25" t="str">
        <f>IF(SUMIF('Prev Aub'!A:A,O620,'Prev Aub'!B:B)=0,"",SUMIF('Prev Aub'!A:A,O620,'Prev Aub'!B:B))</f>
        <v/>
      </c>
      <c r="AN620" s="25" t="s">
        <v>3790</v>
      </c>
      <c r="AO620" s="25" t="s">
        <v>3790</v>
      </c>
      <c r="AP620" s="25">
        <f t="shared" si="258"/>
        <v>0</v>
      </c>
      <c r="AQ620" s="151" t="str">
        <f>IF(SUMIFS('Supp Consol'!S:S,'Supp Consol'!A:A,O620,'Supp Consol'!I:I,"PENDING")=0,"",SUMIFS('Supp Consol'!S:S,'Supp Consol'!A:A,O620,'Supp Consol'!I:I,"PENDING"))</f>
        <v/>
      </c>
      <c r="AR620" s="27" t="str">
        <f t="shared" si="259"/>
        <v>HP707</v>
      </c>
      <c r="AS620" s="27" t="str">
        <f t="shared" si="260"/>
        <v>50</v>
      </c>
      <c r="AT620" s="27" t="str">
        <f t="shared" si="261"/>
        <v/>
      </c>
      <c r="AU620" s="27" t="str">
        <f t="shared" si="262"/>
        <v/>
      </c>
      <c r="AV620" s="27" t="str">
        <f t="shared" si="263"/>
        <v/>
      </c>
      <c r="AW620" s="27" t="str">
        <f t="shared" si="264"/>
        <v/>
      </c>
      <c r="AX620" s="27" t="str">
        <f t="shared" si="265"/>
        <v/>
      </c>
      <c r="AY620" s="27" t="str">
        <f t="shared" si="266"/>
        <v/>
      </c>
      <c r="AZ620" s="27" t="str">
        <f t="shared" si="267"/>
        <v/>
      </c>
      <c r="BA620" s="27" t="str">
        <f t="shared" si="268"/>
        <v/>
      </c>
      <c r="BB620" s="27" t="str">
        <f t="shared" si="269"/>
        <v/>
      </c>
      <c r="BC620" s="27" t="str">
        <f t="shared" si="270"/>
        <v/>
      </c>
      <c r="BD620" s="27" t="str">
        <f t="shared" si="271"/>
        <v/>
      </c>
      <c r="BE620" s="27" t="str">
        <f t="shared" si="272"/>
        <v/>
      </c>
      <c r="BF620" s="27" t="str">
        <f t="shared" si="273"/>
        <v/>
      </c>
      <c r="BG620" s="27" t="str">
        <f t="shared" si="274"/>
        <v/>
      </c>
      <c r="BH620" s="27" t="str">
        <f t="shared" si="275"/>
        <v/>
      </c>
      <c r="BI620" s="27" t="str">
        <f t="shared" si="276"/>
        <v/>
      </c>
      <c r="BJ620" s="27" t="str">
        <f t="shared" si="277"/>
        <v/>
      </c>
      <c r="BK620" s="27" t="str">
        <f t="shared" si="278"/>
        <v/>
      </c>
      <c r="BL620" s="27" t="str">
        <f t="shared" si="279"/>
        <v/>
      </c>
      <c r="BM620" s="21" t="s">
        <v>3790</v>
      </c>
    </row>
    <row r="621" spans="1:65" ht="15">
      <c r="A621" s="25">
        <f>IFERROR(INDEX('Hun Demand'!W:W,MATCH(O621,'Hun Demand'!A:A,0)),"")</f>
        <v>102</v>
      </c>
      <c r="B621" s="25">
        <f>IFERROR(INDEX('Hun Demand'!V:V,MATCH(O621,'Hun Demand'!A:A,0)),"")</f>
        <v>0</v>
      </c>
      <c r="C621" s="25">
        <f>IFERROR(INDEX('Hun Demand'!U:U,MATCH(O621,'Hun Demand'!A:A,0)),"")</f>
        <v>142</v>
      </c>
      <c r="D621" s="25">
        <f>IFERROR(INDEX('Hun Demand'!T:T,MATCH(O621,'Hun Demand'!A:A,0)),"")</f>
        <v>0</v>
      </c>
      <c r="E621" s="25">
        <f>IFERROR(INDEX('Hun Demand'!S:S,MATCH(O621,'Hun Demand'!A:A,0)),"")</f>
        <v>0</v>
      </c>
      <c r="F621" s="25">
        <f>IFERROR(INDEX('Hun Demand'!R:R,MATCH(O621,'Hun Demand'!A:A,0)),"")</f>
        <v>0</v>
      </c>
      <c r="G621" s="25">
        <f>IFERROR(INDEX('Aub Demand'!W:W,MATCH(O621,'Aub Demand'!A:A,0)),"")</f>
        <v>0</v>
      </c>
      <c r="H621" s="25">
        <f>IFERROR(INDEX('Aub Demand'!V:V,MATCH(O621,'Aub Demand'!A:A,0)),"")</f>
        <v>60</v>
      </c>
      <c r="I621" s="25">
        <f>IFERROR(INDEX('Aub Demand'!U:U,MATCH(O621,'Aub Demand'!A:A,0)),"")</f>
        <v>0</v>
      </c>
      <c r="J621" s="25">
        <f>IFERROR(INDEX('Aub Demand'!T:T,MATCH(O621,'Aub Demand'!A:A,0)),"")</f>
        <v>0</v>
      </c>
      <c r="K621" s="25">
        <f>IFERROR(INDEX('Aub Demand'!S:S,MATCH(O621,'Aub Demand'!A:A,0)),"")</f>
        <v>0</v>
      </c>
      <c r="L621" s="25">
        <f>IFERROR(INDEX('Aub Demand'!R:R,MATCH(O621,'Aub Demand'!A:A,0)),"")</f>
        <v>0</v>
      </c>
      <c r="O621" s="27" t="s">
        <v>1061</v>
      </c>
      <c r="P621" s="27" t="str">
        <f>IFERROR(INDEX('Aub Demand'!B:B,MATCH($O621,'Aub Demand'!$A:$A,0)),"")</f>
        <v>BRUSHED COBALT</v>
      </c>
      <c r="Q621" s="27" t="str">
        <f>IFERROR(INDEX('Aub Demand'!C:C,MATCH($O621,'Aub Demand'!$A:$A,0)),"")</f>
        <v>INTER</v>
      </c>
      <c r="R621" s="52">
        <f>IFERROR(IF(AR622=AR621,INDEX('Aub Demand'!K:K,MATCH($O621,'Aub Demand'!$A:$A,0))-IF(AN621="",0,AN621)+AP622,INDEX('Aub Demand'!K:K,MATCH($O621,'Aub Demand'!$A:$A,0))-IF(AN621="",0,AN621)),"")</f>
        <v>347</v>
      </c>
      <c r="S621" s="53" t="str">
        <f t="shared" si="252"/>
        <v>n/a</v>
      </c>
      <c r="T621" s="52" t="str">
        <f t="shared" si="253"/>
        <v/>
      </c>
      <c r="U621" s="52">
        <f>IFERROR(IF(AR622=AR621,INDEX('Aub Demand'!Q:Q,MATCH($O621,'Aub Demand'!$A:$A,0))-IF(AN621="",0,AN621)+AP622,INDEX('Aub Demand'!Q:Q,MATCH($O621,'Aub Demand'!$A:$A,0))-IF(AN621="",0,AN621)),"")</f>
        <v>347</v>
      </c>
      <c r="V621" s="53" t="str">
        <f t="shared" si="254"/>
        <v>n/a</v>
      </c>
      <c r="W621" s="52" t="str">
        <f t="shared" si="255"/>
        <v/>
      </c>
      <c r="X621" s="52">
        <f>IFERROR(IF(AND(AR622=AR621,AM621&lt;&gt;""),INDEX('Aub Demand'!Q:Q,MATCH($O621,'Aub Demand'!$A:$A,0))-IF(AN621="",0,AN621)+AP622+AD621+AL621,IF(AR622=AR621,INDEX('Aub Demand'!Q:Q,MATCH($O621,'Aub Demand'!$A:$A,0))-IF(AN621="",0,AN621)+AP622+AD621,IF(AM621&lt;&gt;"",INDEX('Aub Demand'!Q:Q,MATCH($O621,'Aub Demand'!$A:$A,0))-IF(AN621="",0,AN621)+AD621+AL621,INDEX('Aub Demand'!Q:Q,MATCH($O621,'Aub Demand'!$A:$A,0))-IF(AN621="",0,AN621)+AD621))),"")</f>
        <v>347</v>
      </c>
      <c r="Y621" s="53" t="str">
        <f t="shared" si="256"/>
        <v>n/a</v>
      </c>
      <c r="Z621" s="52">
        <f>IF(L621="","",INDEX('Aub Demand'!H:H,MATCH($O621,'Aub Demand'!$A:$A,0)))</f>
        <v>0</v>
      </c>
      <c r="AA621" s="52" t="str">
        <f t="shared" si="257"/>
        <v>-spike-</v>
      </c>
      <c r="AB621" s="52">
        <f>IFERROR(INDEX('Aub Demand'!L:L,MATCH($O621,'Aub Demand'!$A:$A,0)),"")</f>
        <v>22</v>
      </c>
      <c r="AC621" s="52">
        <f>IFERROR(IF(O621="","",SUMIFS('CPL Mats'!F:F,'CPL Mats'!Q:Q,AR621,'CPL Mats'!S:S,AS621)),"")</f>
        <v>0</v>
      </c>
      <c r="AF621" s="25" t="str">
        <f>IF(SUMIFS('Supp Consol'!S:S,'Supp Consol'!Y:Y,"Releasable",'Supp Consol'!A:A,O621)=0,"",SUMIFS('Supp Consol'!S:S,'Supp Consol'!Y:Y,"Releasable",'Supp Consol'!A:A,O621))</f>
        <v/>
      </c>
      <c r="AG621" s="25">
        <f>IFERROR(INDEX('Hun Demand'!Q:Q,MATCH(O621,'Hun Demand'!A:A,0)),"")</f>
        <v>1320</v>
      </c>
      <c r="AH621" s="25">
        <f>IFERROR(INDEX('Hun Demand'!H:H,MATCH($O621,'Hun Demand'!$A:$A,0)),"")</f>
        <v>47</v>
      </c>
      <c r="AI621" s="25" t="str">
        <f>IF(SUMIFS('Supp Consol'!AA:AA,'Supp Consol'!Z:Z,"Expires this month",'Supp Consol'!A:A,O621)=0,"",SUMIFS('Supp Consol'!AA:AA,'Supp Consol'!Z:Z,"Expires this month",'Supp Consol'!A:A,O621))</f>
        <v/>
      </c>
      <c r="AJ621" s="25" t="str">
        <f>IF(SUMIFS('Supp Consol'!AA:AA,'Supp Consol'!Z:Z,"Expired Previous Months",'Supp Consol'!A:A,O621)=0,"",SUMIFS('Supp Consol'!AA:AA,'Supp Consol'!Z:Z,"Expired Previous Months",'Supp Consol'!A:A,O621))</f>
        <v/>
      </c>
      <c r="AK621" s="25" t="str">
        <f>IFERROR(INDEX('Hun Release Current'!B:B,MATCH(O621,'Hun Release Current'!A:A,0)),"")</f>
        <v/>
      </c>
      <c r="AL621" s="25" t="str">
        <f>IF(SUMIF('Prev Aub'!A:A,O621,'Prev Aub'!B:B)=0,"",SUMIF('Prev Aub'!A:A,O621,'Prev Aub'!B:B))</f>
        <v/>
      </c>
      <c r="AN621" s="25" t="s">
        <v>3790</v>
      </c>
      <c r="AO621" s="25" t="s">
        <v>3790</v>
      </c>
      <c r="AP621" s="25">
        <f t="shared" si="258"/>
        <v>0</v>
      </c>
      <c r="AQ621" s="151" t="str">
        <f>IF(SUMIFS('Supp Consol'!S:S,'Supp Consol'!A:A,O621,'Supp Consol'!I:I,"PENDING")=0,"",SUMIFS('Supp Consol'!S:S,'Supp Consol'!A:A,O621,'Supp Consol'!I:I,"PENDING"))</f>
        <v/>
      </c>
      <c r="AR621" s="27" t="str">
        <f t="shared" si="259"/>
        <v>HP767</v>
      </c>
      <c r="AS621" s="27" t="str">
        <f t="shared" si="260"/>
        <v>50</v>
      </c>
      <c r="AT621" s="27" t="str">
        <f t="shared" si="261"/>
        <v/>
      </c>
      <c r="AU621" s="27" t="str">
        <f t="shared" si="262"/>
        <v/>
      </c>
      <c r="AV621" s="27" t="str">
        <f t="shared" si="263"/>
        <v/>
      </c>
      <c r="AW621" s="27" t="str">
        <f t="shared" si="264"/>
        <v/>
      </c>
      <c r="AX621" s="27" t="str">
        <f t="shared" si="265"/>
        <v/>
      </c>
      <c r="AY621" s="27" t="str">
        <f t="shared" si="266"/>
        <v>HP767</v>
      </c>
      <c r="AZ621" s="27" t="str">
        <f t="shared" si="267"/>
        <v/>
      </c>
      <c r="BA621" s="27" t="str">
        <f t="shared" si="268"/>
        <v>Hun</v>
      </c>
      <c r="BB621" s="27" t="str">
        <f t="shared" si="269"/>
        <v/>
      </c>
      <c r="BC621" s="27" t="str">
        <f t="shared" si="270"/>
        <v>Net</v>
      </c>
      <c r="BD621" s="27" t="str">
        <f t="shared" si="271"/>
        <v>Net</v>
      </c>
      <c r="BE621" s="27" t="str">
        <f t="shared" si="272"/>
        <v/>
      </c>
      <c r="BF621" s="27" t="str">
        <f t="shared" si="273"/>
        <v/>
      </c>
      <c r="BG621" s="27" t="str">
        <f t="shared" si="274"/>
        <v/>
      </c>
      <c r="BH621" s="27" t="str">
        <f t="shared" si="275"/>
        <v>H+N</v>
      </c>
      <c r="BI621" s="27" t="str">
        <f t="shared" si="276"/>
        <v>H+Nex</v>
      </c>
      <c r="BJ621" s="27" t="str">
        <f t="shared" si="277"/>
        <v>Supp or Hun</v>
      </c>
      <c r="BK621" s="27" t="str">
        <f t="shared" si="278"/>
        <v>Supp or Hun Need</v>
      </c>
      <c r="BL621" s="27" t="str">
        <f t="shared" si="279"/>
        <v>SorHandNandE</v>
      </c>
      <c r="BM621" s="21" t="s">
        <v>5582</v>
      </c>
    </row>
    <row r="622" spans="1:65" ht="15">
      <c r="A622" s="25">
        <f>IFERROR(INDEX('Hun Demand'!W:W,MATCH(O622,'Hun Demand'!A:A,0)),"")</f>
        <v>535</v>
      </c>
      <c r="B622" s="25">
        <f>IFERROR(INDEX('Hun Demand'!V:V,MATCH(O622,'Hun Demand'!A:A,0)),"")</f>
        <v>441</v>
      </c>
      <c r="C622" s="25">
        <f>IFERROR(INDEX('Hun Demand'!U:U,MATCH(O622,'Hun Demand'!A:A,0)),"")</f>
        <v>214</v>
      </c>
      <c r="D622" s="25">
        <f>IFERROR(INDEX('Hun Demand'!T:T,MATCH(O622,'Hun Demand'!A:A,0)),"")</f>
        <v>94</v>
      </c>
      <c r="E622" s="25">
        <f>IFERROR(INDEX('Hun Demand'!S:S,MATCH(O622,'Hun Demand'!A:A,0)),"")</f>
        <v>1182</v>
      </c>
      <c r="F622" s="25">
        <f>IFERROR(INDEX('Hun Demand'!R:R,MATCH(O622,'Hun Demand'!A:A,0)),"")</f>
        <v>0</v>
      </c>
      <c r="G622" s="25">
        <f>IFERROR(INDEX('Aub Demand'!W:W,MATCH(O622,'Aub Demand'!A:A,0)),"")</f>
        <v>37</v>
      </c>
      <c r="H622" s="25">
        <f>IFERROR(INDEX('Aub Demand'!V:V,MATCH(O622,'Aub Demand'!A:A,0)),"")</f>
        <v>0</v>
      </c>
      <c r="I622" s="25">
        <f>IFERROR(INDEX('Aub Demand'!U:U,MATCH(O622,'Aub Demand'!A:A,0)),"")</f>
        <v>0</v>
      </c>
      <c r="J622" s="25">
        <f>IFERROR(INDEX('Aub Demand'!T:T,MATCH(O622,'Aub Demand'!A:A,0)),"")</f>
        <v>56</v>
      </c>
      <c r="K622" s="25">
        <f>IFERROR(INDEX('Aub Demand'!S:S,MATCH(O622,'Aub Demand'!A:A,0)),"")</f>
        <v>95</v>
      </c>
      <c r="L622" s="25">
        <f>IFERROR(INDEX('Aub Demand'!R:R,MATCH(O622,'Aub Demand'!A:A,0)),"")</f>
        <v>0</v>
      </c>
      <c r="O622" s="27" t="s">
        <v>1064</v>
      </c>
      <c r="P622" s="27" t="str">
        <f>IFERROR(INDEX('Aub Demand'!B:B,MATCH($O622,'Aub Demand'!$A:$A,0)),"")</f>
        <v>BRUSHED COBALT</v>
      </c>
      <c r="Q622" s="27" t="str">
        <f>IFERROR(INDEX('Aub Demand'!C:C,MATCH($O622,'Aub Demand'!$A:$A,0)),"")</f>
        <v>INTER</v>
      </c>
      <c r="R622" s="52">
        <f>IFERROR(IF(AR623=AR622,INDEX('Aub Demand'!K:K,MATCH($O622,'Aub Demand'!$A:$A,0))-IF(AN622="",0,AN622)+AP623,INDEX('Aub Demand'!K:K,MATCH($O622,'Aub Demand'!$A:$A,0))-IF(AN622="",0,AN622)),"")</f>
        <v>69</v>
      </c>
      <c r="S622" s="53">
        <f t="shared" si="252"/>
        <v>5.9</v>
      </c>
      <c r="T622" s="52" t="str">
        <f t="shared" si="253"/>
        <v/>
      </c>
      <c r="U622" s="52">
        <f>IFERROR(IF(AR623=AR622,INDEX('Aub Demand'!Q:Q,MATCH($O622,'Aub Demand'!$A:$A,0))-IF(AN622="",0,AN622)+AP623,INDEX('Aub Demand'!Q:Q,MATCH($O622,'Aub Demand'!$A:$A,0))-IF(AN622="",0,AN622)),"")</f>
        <v>34</v>
      </c>
      <c r="V622" s="53">
        <f t="shared" si="254"/>
        <v>2.9</v>
      </c>
      <c r="W622" s="52">
        <f t="shared" si="255"/>
        <v>1.8875000000000017</v>
      </c>
      <c r="X622" s="52">
        <f>IFERROR(IF(AND(AR623=AR622,AM622&lt;&gt;""),INDEX('Aub Demand'!Q:Q,MATCH($O622,'Aub Demand'!$A:$A,0))-IF(AN622="",0,AN622)+AP623+AD622+AL622,IF(AR623=AR622,INDEX('Aub Demand'!Q:Q,MATCH($O622,'Aub Demand'!$A:$A,0))-IF(AN622="",0,AN622)+AP623+AD622,IF(AM622&lt;&gt;"",INDEX('Aub Demand'!Q:Q,MATCH($O622,'Aub Demand'!$A:$A,0))-IF(AN622="",0,AN622)+AD622+AL622,INDEX('Aub Demand'!Q:Q,MATCH($O622,'Aub Demand'!$A:$A,0))-IF(AN622="",0,AN622)+AD622))),"")</f>
        <v>34</v>
      </c>
      <c r="Y622" s="53">
        <f t="shared" si="256"/>
        <v>2.9</v>
      </c>
      <c r="Z622" s="52">
        <f>IF(L622="","",INDEX('Aub Demand'!H:H,MATCH($O622,'Aub Demand'!$A:$A,0)))</f>
        <v>50</v>
      </c>
      <c r="AA622" s="52">
        <f t="shared" si="257"/>
        <v>75.5</v>
      </c>
      <c r="AB622" s="52">
        <f>IFERROR(INDEX('Aub Demand'!L:L,MATCH($O622,'Aub Demand'!$A:$A,0)),"")</f>
        <v>0</v>
      </c>
      <c r="AC622" s="52">
        <f>IFERROR(IF(O622="","",SUMIFS('CPL Mats'!F:F,'CPL Mats'!Q:Q,AR622,'CPL Mats'!S:S,AS622)),"")</f>
        <v>0</v>
      </c>
      <c r="AF622" s="25" t="str">
        <f>IF(SUMIFS('Supp Consol'!S:S,'Supp Consol'!Y:Y,"Releasable",'Supp Consol'!A:A,O622)=0,"",SUMIFS('Supp Consol'!S:S,'Supp Consol'!Y:Y,"Releasable",'Supp Consol'!A:A,O622))</f>
        <v/>
      </c>
      <c r="AG622" s="25">
        <f>IFERROR(INDEX('Hun Demand'!Q:Q,MATCH(O622,'Hun Demand'!A:A,0)),"")</f>
        <v>5085</v>
      </c>
      <c r="AH622" s="25">
        <f>IFERROR(INDEX('Hun Demand'!H:H,MATCH($O622,'Hun Demand'!$A:$A,0)),"")</f>
        <v>497</v>
      </c>
      <c r="AI622" s="25" t="str">
        <f>IF(SUMIFS('Supp Consol'!AA:AA,'Supp Consol'!Z:Z,"Expires this month",'Supp Consol'!A:A,O622)=0,"",SUMIFS('Supp Consol'!AA:AA,'Supp Consol'!Z:Z,"Expires this month",'Supp Consol'!A:A,O622))</f>
        <v/>
      </c>
      <c r="AJ622" s="25" t="str">
        <f>IF(SUMIFS('Supp Consol'!AA:AA,'Supp Consol'!Z:Z,"Expired Previous Months",'Supp Consol'!A:A,O622)=0,"",SUMIFS('Supp Consol'!AA:AA,'Supp Consol'!Z:Z,"Expired Previous Months",'Supp Consol'!A:A,O622))</f>
        <v/>
      </c>
      <c r="AK622" s="25" t="str">
        <f>IFERROR(INDEX('Hun Release Current'!B:B,MATCH(O622,'Hun Release Current'!A:A,0)),"")</f>
        <v/>
      </c>
      <c r="AL622" s="25" t="str">
        <f>IF(SUMIF('Prev Aub'!A:A,O622,'Prev Aub'!B:B)=0,"",SUMIF('Prev Aub'!A:A,O622,'Prev Aub'!B:B))</f>
        <v/>
      </c>
      <c r="AN622" s="25" t="s">
        <v>3790</v>
      </c>
      <c r="AO622" s="25" t="s">
        <v>3790</v>
      </c>
      <c r="AP622" s="25">
        <f t="shared" si="258"/>
        <v>0</v>
      </c>
      <c r="AQ622" s="151" t="str">
        <f>IF(SUMIFS('Supp Consol'!S:S,'Supp Consol'!A:A,O622,'Supp Consol'!I:I,"PENDING")=0,"",SUMIFS('Supp Consol'!S:S,'Supp Consol'!A:A,O622,'Supp Consol'!I:I,"PENDING"))</f>
        <v/>
      </c>
      <c r="AR622" s="27" t="str">
        <f t="shared" si="259"/>
        <v>HP767</v>
      </c>
      <c r="AS622" s="27" t="str">
        <f t="shared" si="260"/>
        <v>62</v>
      </c>
      <c r="AT622" s="27" t="str">
        <f t="shared" si="261"/>
        <v/>
      </c>
      <c r="AU622" s="27" t="str">
        <f t="shared" si="262"/>
        <v>HP767</v>
      </c>
      <c r="AV622" s="27" t="str">
        <f t="shared" si="263"/>
        <v>HP767</v>
      </c>
      <c r="AW622" s="27" t="str">
        <f t="shared" si="264"/>
        <v/>
      </c>
      <c r="AX622" s="27" t="str">
        <f t="shared" si="265"/>
        <v/>
      </c>
      <c r="AY622" s="27" t="str">
        <f t="shared" si="266"/>
        <v>HP767</v>
      </c>
      <c r="AZ622" s="27" t="str">
        <f t="shared" si="267"/>
        <v/>
      </c>
      <c r="BA622" s="27" t="str">
        <f t="shared" si="268"/>
        <v>Hun</v>
      </c>
      <c r="BB622" s="27" t="str">
        <f t="shared" si="269"/>
        <v/>
      </c>
      <c r="BC622" s="27" t="str">
        <f t="shared" si="270"/>
        <v>Net</v>
      </c>
      <c r="BD622" s="27" t="str">
        <f t="shared" si="271"/>
        <v>Net</v>
      </c>
      <c r="BE622" s="27" t="str">
        <f t="shared" si="272"/>
        <v/>
      </c>
      <c r="BF622" s="27" t="str">
        <f t="shared" si="273"/>
        <v/>
      </c>
      <c r="BG622" s="27" t="str">
        <f t="shared" si="274"/>
        <v/>
      </c>
      <c r="BH622" s="27" t="str">
        <f t="shared" si="275"/>
        <v>H+N</v>
      </c>
      <c r="BI622" s="27" t="str">
        <f t="shared" si="276"/>
        <v>H+Nex</v>
      </c>
      <c r="BJ622" s="27" t="str">
        <f t="shared" si="277"/>
        <v>Supp or Hun</v>
      </c>
      <c r="BK622" s="27" t="str">
        <f t="shared" si="278"/>
        <v>Supp or Hun Need</v>
      </c>
      <c r="BL622" s="27" t="str">
        <f t="shared" si="279"/>
        <v>SorHandNandE</v>
      </c>
      <c r="BM622" s="21" t="s">
        <v>5582</v>
      </c>
    </row>
    <row r="623" spans="1:65" ht="15">
      <c r="A623" s="25" t="str">
        <f>IFERROR(INDEX('Hun Demand'!W:W,MATCH(O623,'Hun Demand'!A:A,0)),"")</f>
        <v/>
      </c>
      <c r="B623" s="25" t="str">
        <f>IFERROR(INDEX('Hun Demand'!V:V,MATCH(O623,'Hun Demand'!A:A,0)),"")</f>
        <v/>
      </c>
      <c r="C623" s="25" t="str">
        <f>IFERROR(INDEX('Hun Demand'!U:U,MATCH(O623,'Hun Demand'!A:A,0)),"")</f>
        <v/>
      </c>
      <c r="D623" s="25" t="str">
        <f>IFERROR(INDEX('Hun Demand'!T:T,MATCH(O623,'Hun Demand'!A:A,0)),"")</f>
        <v/>
      </c>
      <c r="E623" s="25" t="str">
        <f>IFERROR(INDEX('Hun Demand'!S:S,MATCH(O623,'Hun Demand'!A:A,0)),"")</f>
        <v/>
      </c>
      <c r="F623" s="25" t="str">
        <f>IFERROR(INDEX('Hun Demand'!R:R,MATCH(O623,'Hun Demand'!A:A,0)),"")</f>
        <v/>
      </c>
      <c r="G623" s="25">
        <f>IFERROR(INDEX('Aub Demand'!W:W,MATCH(O623,'Aub Demand'!A:A,0)),"")</f>
        <v>0</v>
      </c>
      <c r="H623" s="25">
        <f>IFERROR(INDEX('Aub Demand'!V:V,MATCH(O623,'Aub Demand'!A:A,0)),"")</f>
        <v>0</v>
      </c>
      <c r="I623" s="25">
        <f>IFERROR(INDEX('Aub Demand'!U:U,MATCH(O623,'Aub Demand'!A:A,0)),"")</f>
        <v>0</v>
      </c>
      <c r="J623" s="25">
        <f>IFERROR(INDEX('Aub Demand'!T:T,MATCH(O623,'Aub Demand'!A:A,0)),"")</f>
        <v>0</v>
      </c>
      <c r="K623" s="25">
        <f>IFERROR(INDEX('Aub Demand'!S:S,MATCH(O623,'Aub Demand'!A:A,0)),"")</f>
        <v>16</v>
      </c>
      <c r="L623" s="25">
        <f>IFERROR(INDEX('Aub Demand'!R:R,MATCH(O623,'Aub Demand'!A:A,0)),"")</f>
        <v>0</v>
      </c>
      <c r="O623" s="27" t="s">
        <v>1065</v>
      </c>
      <c r="P623" s="27" t="str">
        <f>IFERROR(INDEX('Aub Demand'!B:B,MATCH($O623,'Aub Demand'!$A:$A,0)),"")</f>
        <v>TIGER WALNUT</v>
      </c>
      <c r="Q623" s="27" t="str">
        <f>IFERROR(INDEX('Aub Demand'!C:C,MATCH($O623,'Aub Demand'!$A:$A,0)),"")</f>
        <v>INTER</v>
      </c>
      <c r="R623" s="52">
        <f>IFERROR(IF(AR624=AR623,INDEX('Aub Demand'!K:K,MATCH($O623,'Aub Demand'!$A:$A,0))-IF(AN623="",0,AN623)+AP624,INDEX('Aub Demand'!K:K,MATCH($O623,'Aub Demand'!$A:$A,0))-IF(AN623="",0,AN623)),"")</f>
        <v>311</v>
      </c>
      <c r="S623" s="53">
        <f t="shared" si="252"/>
        <v>266.60000000000002</v>
      </c>
      <c r="T623" s="52" t="str">
        <f t="shared" si="253"/>
        <v/>
      </c>
      <c r="U623" s="52">
        <f>IFERROR(IF(AR624=AR623,INDEX('Aub Demand'!Q:Q,MATCH($O623,'Aub Demand'!$A:$A,0))-IF(AN623="",0,AN623)+AP624,INDEX('Aub Demand'!Q:Q,MATCH($O623,'Aub Demand'!$A:$A,0))-IF(AN623="",0,AN623)),"")</f>
        <v>297</v>
      </c>
      <c r="V623" s="53">
        <f t="shared" si="254"/>
        <v>254.6</v>
      </c>
      <c r="W623" s="52" t="str">
        <f t="shared" si="255"/>
        <v/>
      </c>
      <c r="X623" s="52">
        <f>IFERROR(IF(AND(AR624=AR623,AM623&lt;&gt;""),INDEX('Aub Demand'!Q:Q,MATCH($O623,'Aub Demand'!$A:$A,0))-IF(AN623="",0,AN623)+AP624+AD623+AL623,IF(AR624=AR623,INDEX('Aub Demand'!Q:Q,MATCH($O623,'Aub Demand'!$A:$A,0))-IF(AN623="",0,AN623)+AP624+AD623,IF(AM623&lt;&gt;"",INDEX('Aub Demand'!Q:Q,MATCH($O623,'Aub Demand'!$A:$A,0))-IF(AN623="",0,AN623)+AD623+AL623,INDEX('Aub Demand'!Q:Q,MATCH($O623,'Aub Demand'!$A:$A,0))-IF(AN623="",0,AN623)+AD623))),"")</f>
        <v>297</v>
      </c>
      <c r="Y623" s="53">
        <f t="shared" si="256"/>
        <v>254.6</v>
      </c>
      <c r="Z623" s="52">
        <f>IF(L623="","",INDEX('Aub Demand'!H:H,MATCH($O623,'Aub Demand'!$A:$A,0)))</f>
        <v>5</v>
      </c>
      <c r="AA623" s="52" t="str">
        <f t="shared" si="257"/>
        <v>-spike-</v>
      </c>
      <c r="AB623" s="52">
        <f>IFERROR(INDEX('Aub Demand'!L:L,MATCH($O623,'Aub Demand'!$A:$A,0)),"")</f>
        <v>0</v>
      </c>
      <c r="AC623" s="52">
        <f>IFERROR(IF(O623="","",SUMIFS('CPL Mats'!F:F,'CPL Mats'!Q:Q,AR623,'CPL Mats'!S:S,AS623)),"")</f>
        <v>0</v>
      </c>
      <c r="AF623" s="25" t="str">
        <f>IF(SUMIFS('Supp Consol'!S:S,'Supp Consol'!Y:Y,"Releasable",'Supp Consol'!A:A,O623)=0,"",SUMIFS('Supp Consol'!S:S,'Supp Consol'!Y:Y,"Releasable",'Supp Consol'!A:A,O623))</f>
        <v/>
      </c>
      <c r="AG623" s="25" t="str">
        <f>IFERROR(INDEX('Hun Demand'!Q:Q,MATCH(O623,'Hun Demand'!A:A,0)),"")</f>
        <v/>
      </c>
      <c r="AH623" s="25" t="str">
        <f>IFERROR(INDEX('Hun Demand'!H:H,MATCH($O623,'Hun Demand'!$A:$A,0)),"")</f>
        <v/>
      </c>
      <c r="AI623" s="25" t="str">
        <f>IF(SUMIFS('Supp Consol'!AA:AA,'Supp Consol'!Z:Z,"Expires this month",'Supp Consol'!A:A,O623)=0,"",SUMIFS('Supp Consol'!AA:AA,'Supp Consol'!Z:Z,"Expires this month",'Supp Consol'!A:A,O623))</f>
        <v/>
      </c>
      <c r="AJ623" s="25" t="str">
        <f>IF(SUMIFS('Supp Consol'!AA:AA,'Supp Consol'!Z:Z,"Expired Previous Months",'Supp Consol'!A:A,O623)=0,"",SUMIFS('Supp Consol'!AA:AA,'Supp Consol'!Z:Z,"Expired Previous Months",'Supp Consol'!A:A,O623))</f>
        <v/>
      </c>
      <c r="AK623" s="25" t="str">
        <f>IFERROR(INDEX('Hun Release Current'!B:B,MATCH(O623,'Hun Release Current'!A:A,0)),"")</f>
        <v/>
      </c>
      <c r="AL623" s="25" t="str">
        <f>IF(SUMIF('Prev Aub'!A:A,O623,'Prev Aub'!B:B)=0,"",SUMIF('Prev Aub'!A:A,O623,'Prev Aub'!B:B))</f>
        <v/>
      </c>
      <c r="AN623" s="25" t="s">
        <v>3790</v>
      </c>
      <c r="AO623" s="25" t="s">
        <v>3790</v>
      </c>
      <c r="AP623" s="25">
        <f t="shared" si="258"/>
        <v>0</v>
      </c>
      <c r="AQ623" s="151" t="str">
        <f>IF(SUMIFS('Supp Consol'!S:S,'Supp Consol'!A:A,O623,'Supp Consol'!I:I,"PENDING")=0,"",SUMIFS('Supp Consol'!S:S,'Supp Consol'!A:A,O623,'Supp Consol'!I:I,"PENDING"))</f>
        <v/>
      </c>
      <c r="AR623" s="27" t="str">
        <f t="shared" si="259"/>
        <v>HP819</v>
      </c>
      <c r="AS623" s="27" t="str">
        <f t="shared" si="260"/>
        <v>50</v>
      </c>
      <c r="AT623" s="27" t="str">
        <f t="shared" si="261"/>
        <v/>
      </c>
      <c r="AU623" s="27" t="str">
        <f t="shared" si="262"/>
        <v/>
      </c>
      <c r="AV623" s="27" t="str">
        <f t="shared" si="263"/>
        <v/>
      </c>
      <c r="AW623" s="27" t="str">
        <f t="shared" si="264"/>
        <v/>
      </c>
      <c r="AX623" s="27" t="str">
        <f t="shared" si="265"/>
        <v/>
      </c>
      <c r="AY623" s="27" t="str">
        <f t="shared" si="266"/>
        <v/>
      </c>
      <c r="AZ623" s="27" t="str">
        <f t="shared" si="267"/>
        <v/>
      </c>
      <c r="BA623" s="27" t="str">
        <f t="shared" si="268"/>
        <v>Hun</v>
      </c>
      <c r="BB623" s="27" t="str">
        <f t="shared" si="269"/>
        <v/>
      </c>
      <c r="BC623" s="27" t="str">
        <f t="shared" si="270"/>
        <v/>
      </c>
      <c r="BD623" s="27" t="str">
        <f t="shared" si="271"/>
        <v/>
      </c>
      <c r="BE623" s="27" t="str">
        <f t="shared" si="272"/>
        <v/>
      </c>
      <c r="BF623" s="27" t="str">
        <f t="shared" si="273"/>
        <v/>
      </c>
      <c r="BG623" s="27" t="str">
        <f t="shared" si="274"/>
        <v/>
      </c>
      <c r="BH623" s="27" t="str">
        <f t="shared" si="275"/>
        <v/>
      </c>
      <c r="BI623" s="27" t="str">
        <f t="shared" si="276"/>
        <v/>
      </c>
      <c r="BJ623" s="27" t="str">
        <f t="shared" si="277"/>
        <v>Supp or Hun</v>
      </c>
      <c r="BK623" s="27" t="str">
        <f t="shared" si="278"/>
        <v/>
      </c>
      <c r="BL623" s="27" t="str">
        <f t="shared" si="279"/>
        <v/>
      </c>
      <c r="BM623" s="21" t="s">
        <v>5582</v>
      </c>
    </row>
    <row r="624" spans="1:65" ht="15">
      <c r="A624" s="25">
        <f>IFERROR(INDEX('Hun Demand'!W:W,MATCH(O624,'Hun Demand'!A:A,0)),"")</f>
        <v>554</v>
      </c>
      <c r="B624" s="25">
        <f>IFERROR(INDEX('Hun Demand'!V:V,MATCH(O624,'Hun Demand'!A:A,0)),"")</f>
        <v>300</v>
      </c>
      <c r="C624" s="25">
        <f>IFERROR(INDEX('Hun Demand'!U:U,MATCH(O624,'Hun Demand'!A:A,0)),"")</f>
        <v>0</v>
      </c>
      <c r="D624" s="25">
        <f>IFERROR(INDEX('Hun Demand'!T:T,MATCH(O624,'Hun Demand'!A:A,0)),"")</f>
        <v>0</v>
      </c>
      <c r="E624" s="25">
        <f>IFERROR(INDEX('Hun Demand'!S:S,MATCH(O624,'Hun Demand'!A:A,0)),"")</f>
        <v>0</v>
      </c>
      <c r="F624" s="25">
        <f>IFERROR(INDEX('Hun Demand'!R:R,MATCH(O624,'Hun Demand'!A:A,0)),"")</f>
        <v>0</v>
      </c>
      <c r="G624" s="25">
        <f>IFERROR(INDEX('Aub Demand'!W:W,MATCH(O624,'Aub Demand'!A:A,0)),"")</f>
        <v>119</v>
      </c>
      <c r="H624" s="25">
        <f>IFERROR(INDEX('Aub Demand'!V:V,MATCH(O624,'Aub Demand'!A:A,0)),"")</f>
        <v>0</v>
      </c>
      <c r="I624" s="25">
        <f>IFERROR(INDEX('Aub Demand'!U:U,MATCH(O624,'Aub Demand'!A:A,0)),"")</f>
        <v>0</v>
      </c>
      <c r="J624" s="25">
        <f>IFERROR(INDEX('Aub Demand'!T:T,MATCH(O624,'Aub Demand'!A:A,0)),"")</f>
        <v>53</v>
      </c>
      <c r="K624" s="25">
        <f>IFERROR(INDEX('Aub Demand'!S:S,MATCH(O624,'Aub Demand'!A:A,0)),"")</f>
        <v>19</v>
      </c>
      <c r="L624" s="25">
        <f>IFERROR(INDEX('Aub Demand'!R:R,MATCH(O624,'Aub Demand'!A:A,0)),"")</f>
        <v>0</v>
      </c>
      <c r="O624" s="27" t="s">
        <v>1067</v>
      </c>
      <c r="P624" s="27" t="str">
        <f>IFERROR(INDEX('Aub Demand'!B:B,MATCH($O624,'Aub Demand'!$A:$A,0)),"")</f>
        <v>TIGER WALNUT</v>
      </c>
      <c r="Q624" s="27" t="str">
        <f>IFERROR(INDEX('Aub Demand'!C:C,MATCH($O624,'Aub Demand'!$A:$A,0)),"")</f>
        <v>INTER</v>
      </c>
      <c r="R624" s="52">
        <f>IFERROR(IF(AR625=AR624,INDEX('Aub Demand'!K:K,MATCH($O624,'Aub Demand'!$A:$A,0))-IF(AN624="",0,AN624)+AP625,INDEX('Aub Demand'!K:K,MATCH($O624,'Aub Demand'!$A:$A,0))-IF(AN624="",0,AN624)),"")</f>
        <v>102</v>
      </c>
      <c r="S624" s="53">
        <f t="shared" si="252"/>
        <v>18.2</v>
      </c>
      <c r="T624" s="52" t="str">
        <f t="shared" si="253"/>
        <v/>
      </c>
      <c r="U624" s="52">
        <f>IFERROR(IF(AR625=AR624,INDEX('Aub Demand'!Q:Q,MATCH($O624,'Aub Demand'!$A:$A,0))-IF(AN624="",0,AN624)+AP625,INDEX('Aub Demand'!Q:Q,MATCH($O624,'Aub Demand'!$A:$A,0))-IF(AN624="",0,AN624)),"")</f>
        <v>89</v>
      </c>
      <c r="V624" s="53">
        <f t="shared" si="254"/>
        <v>15.9</v>
      </c>
      <c r="W624" s="52" t="str">
        <f t="shared" si="255"/>
        <v/>
      </c>
      <c r="X624" s="52">
        <f>IFERROR(IF(AND(AR625=AR624,AM624&lt;&gt;""),INDEX('Aub Demand'!Q:Q,MATCH($O624,'Aub Demand'!$A:$A,0))-IF(AN624="",0,AN624)+AP625+AD624+AL624,IF(AR625=AR624,INDEX('Aub Demand'!Q:Q,MATCH($O624,'Aub Demand'!$A:$A,0))-IF(AN624="",0,AN624)+AP625+AD624,IF(AM624&lt;&gt;"",INDEX('Aub Demand'!Q:Q,MATCH($O624,'Aub Demand'!$A:$A,0))-IF(AN624="",0,AN624)+AD624+AL624,INDEX('Aub Demand'!Q:Q,MATCH($O624,'Aub Demand'!$A:$A,0))-IF(AN624="",0,AN624)+AD624))),"")</f>
        <v>89</v>
      </c>
      <c r="Y624" s="53">
        <f t="shared" si="256"/>
        <v>15.9</v>
      </c>
      <c r="Z624" s="52">
        <f>IF(L624="","",INDEX('Aub Demand'!H:H,MATCH($O624,'Aub Demand'!$A:$A,0)))</f>
        <v>24</v>
      </c>
      <c r="AA624" s="52">
        <f t="shared" si="257"/>
        <v>36</v>
      </c>
      <c r="AB624" s="52">
        <f>IFERROR(INDEX('Aub Demand'!L:L,MATCH($O624,'Aub Demand'!$A:$A,0)),"")</f>
        <v>17</v>
      </c>
      <c r="AC624" s="52">
        <f>IFERROR(IF(O624="","",SUMIFS('CPL Mats'!F:F,'CPL Mats'!Q:Q,AR624,'CPL Mats'!S:S,AS624)),"")</f>
        <v>0</v>
      </c>
      <c r="AF624" s="25" t="str">
        <f>IF(SUMIFS('Supp Consol'!S:S,'Supp Consol'!Y:Y,"Releasable",'Supp Consol'!A:A,O624)=0,"",SUMIFS('Supp Consol'!S:S,'Supp Consol'!Y:Y,"Releasable",'Supp Consol'!A:A,O624))</f>
        <v/>
      </c>
      <c r="AG624" s="25">
        <f>IFERROR(INDEX('Hun Demand'!Q:Q,MATCH(O624,'Hun Demand'!A:A,0)),"")</f>
        <v>203</v>
      </c>
      <c r="AH624" s="25">
        <f>IFERROR(INDEX('Hun Demand'!H:H,MATCH($O624,'Hun Demand'!$A:$A,0)),"")</f>
        <v>0</v>
      </c>
      <c r="AI624" s="25" t="str">
        <f>IF(SUMIFS('Supp Consol'!AA:AA,'Supp Consol'!Z:Z,"Expires this month",'Supp Consol'!A:A,O624)=0,"",SUMIFS('Supp Consol'!AA:AA,'Supp Consol'!Z:Z,"Expires this month",'Supp Consol'!A:A,O624))</f>
        <v/>
      </c>
      <c r="AJ624" s="25" t="str">
        <f>IF(SUMIFS('Supp Consol'!AA:AA,'Supp Consol'!Z:Z,"Expired Previous Months",'Supp Consol'!A:A,O624)=0,"",SUMIFS('Supp Consol'!AA:AA,'Supp Consol'!Z:Z,"Expired Previous Months",'Supp Consol'!A:A,O624))</f>
        <v/>
      </c>
      <c r="AK624" s="25" t="str">
        <f>IFERROR(INDEX('Hun Release Current'!B:B,MATCH(O624,'Hun Release Current'!A:A,0)),"")</f>
        <v/>
      </c>
      <c r="AL624" s="25" t="str">
        <f>IF(SUMIF('Prev Aub'!A:A,O624,'Prev Aub'!B:B)=0,"",SUMIF('Prev Aub'!A:A,O624,'Prev Aub'!B:B))</f>
        <v/>
      </c>
      <c r="AN624" s="25" t="s">
        <v>3790</v>
      </c>
      <c r="AO624" s="25" t="s">
        <v>3790</v>
      </c>
      <c r="AP624" s="25">
        <f t="shared" si="258"/>
        <v>0</v>
      </c>
      <c r="AQ624" s="151" t="str">
        <f>IF(SUMIFS('Supp Consol'!S:S,'Supp Consol'!A:A,O624,'Supp Consol'!I:I,"PENDING")=0,"",SUMIFS('Supp Consol'!S:S,'Supp Consol'!A:A,O624,'Supp Consol'!I:I,"PENDING"))</f>
        <v/>
      </c>
      <c r="AR624" s="27" t="str">
        <f t="shared" si="259"/>
        <v>HP819</v>
      </c>
      <c r="AS624" s="27" t="str">
        <f t="shared" si="260"/>
        <v>62</v>
      </c>
      <c r="AT624" s="27" t="str">
        <f t="shared" si="261"/>
        <v/>
      </c>
      <c r="AU624" s="27" t="str">
        <f t="shared" si="262"/>
        <v/>
      </c>
      <c r="AV624" s="27" t="str">
        <f t="shared" si="263"/>
        <v/>
      </c>
      <c r="AW624" s="27" t="str">
        <f t="shared" si="264"/>
        <v/>
      </c>
      <c r="AX624" s="27" t="str">
        <f t="shared" si="265"/>
        <v/>
      </c>
      <c r="AY624" s="27" t="str">
        <f t="shared" si="266"/>
        <v>HP819</v>
      </c>
      <c r="AZ624" s="27" t="str">
        <f t="shared" si="267"/>
        <v/>
      </c>
      <c r="BA624" s="27" t="str">
        <f t="shared" si="268"/>
        <v>Hun</v>
      </c>
      <c r="BB624" s="27" t="str">
        <f t="shared" si="269"/>
        <v/>
      </c>
      <c r="BC624" s="27" t="str">
        <f t="shared" si="270"/>
        <v/>
      </c>
      <c r="BD624" s="27" t="str">
        <f t="shared" si="271"/>
        <v/>
      </c>
      <c r="BE624" s="27" t="str">
        <f t="shared" si="272"/>
        <v/>
      </c>
      <c r="BF624" s="27" t="str">
        <f t="shared" si="273"/>
        <v/>
      </c>
      <c r="BG624" s="27" t="str">
        <f t="shared" si="274"/>
        <v/>
      </c>
      <c r="BH624" s="27" t="str">
        <f t="shared" si="275"/>
        <v/>
      </c>
      <c r="BI624" s="27" t="str">
        <f t="shared" si="276"/>
        <v/>
      </c>
      <c r="BJ624" s="27" t="str">
        <f t="shared" si="277"/>
        <v>Supp or Hun</v>
      </c>
      <c r="BK624" s="27" t="str">
        <f t="shared" si="278"/>
        <v/>
      </c>
      <c r="BL624" s="27" t="str">
        <f t="shared" si="279"/>
        <v/>
      </c>
      <c r="BM624" s="21" t="s">
        <v>5582</v>
      </c>
    </row>
    <row r="625" spans="1:65" ht="15">
      <c r="A625" s="25">
        <f>IFERROR(INDEX('Hun Demand'!W:W,MATCH(O625,'Hun Demand'!A:A,0)),"")</f>
        <v>0</v>
      </c>
      <c r="B625" s="25">
        <f>IFERROR(INDEX('Hun Demand'!V:V,MATCH(O625,'Hun Demand'!A:A,0)),"")</f>
        <v>0</v>
      </c>
      <c r="C625" s="25">
        <f>IFERROR(INDEX('Hun Demand'!U:U,MATCH(O625,'Hun Demand'!A:A,0)),"")</f>
        <v>0</v>
      </c>
      <c r="D625" s="25">
        <f>IFERROR(INDEX('Hun Demand'!T:T,MATCH(O625,'Hun Demand'!A:A,0)),"")</f>
        <v>0</v>
      </c>
      <c r="E625" s="25">
        <f>IFERROR(INDEX('Hun Demand'!S:S,MATCH(O625,'Hun Demand'!A:A,0)),"")</f>
        <v>0</v>
      </c>
      <c r="F625" s="25">
        <f>IFERROR(INDEX('Hun Demand'!R:R,MATCH(O625,'Hun Demand'!A:A,0)),"")</f>
        <v>0</v>
      </c>
      <c r="G625" s="25">
        <f>IFERROR(INDEX('Aub Demand'!W:W,MATCH(O625,'Aub Demand'!A:A,0)),"")</f>
        <v>0</v>
      </c>
      <c r="H625" s="25">
        <f>IFERROR(INDEX('Aub Demand'!V:V,MATCH(O625,'Aub Demand'!A:A,0)),"")</f>
        <v>0</v>
      </c>
      <c r="I625" s="25">
        <f>IFERROR(INDEX('Aub Demand'!U:U,MATCH(O625,'Aub Demand'!A:A,0)),"")</f>
        <v>0</v>
      </c>
      <c r="J625" s="25">
        <f>IFERROR(INDEX('Aub Demand'!T:T,MATCH(O625,'Aub Demand'!A:A,0)),"")</f>
        <v>0</v>
      </c>
      <c r="K625" s="25">
        <f>IFERROR(INDEX('Aub Demand'!S:S,MATCH(O625,'Aub Demand'!A:A,0)),"")</f>
        <v>0</v>
      </c>
      <c r="L625" s="25">
        <f>IFERROR(INDEX('Aub Demand'!R:R,MATCH(O625,'Aub Demand'!A:A,0)),"")</f>
        <v>0</v>
      </c>
      <c r="O625" s="27" t="s">
        <v>3337</v>
      </c>
      <c r="P625" s="27" t="str">
        <f>IFERROR(INDEX('Aub Demand'!B:B,MATCH($O625,'Aub Demand'!$A:$A,0)),"")</f>
        <v>TIGER MAPLE</v>
      </c>
      <c r="Q625" s="27">
        <f>IFERROR(INDEX('Aub Demand'!C:C,MATCH($O625,'Aub Demand'!$A:$A,0)),"")</f>
        <v>0</v>
      </c>
      <c r="R625" s="52">
        <f>IFERROR(IF(AR626=AR625,INDEX('Aub Demand'!K:K,MATCH($O625,'Aub Demand'!$A:$A,0))-IF(AN625="",0,AN625)+AP626,INDEX('Aub Demand'!K:K,MATCH($O625,'Aub Demand'!$A:$A,0))-IF(AN625="",0,AN625)),"")</f>
        <v>750</v>
      </c>
      <c r="S625" s="53" t="str">
        <f t="shared" si="252"/>
        <v>n/a</v>
      </c>
      <c r="T625" s="52" t="str">
        <f t="shared" si="253"/>
        <v/>
      </c>
      <c r="U625" s="52">
        <f>IFERROR(IF(AR626=AR625,INDEX('Aub Demand'!Q:Q,MATCH($O625,'Aub Demand'!$A:$A,0))-IF(AN625="",0,AN625)+AP626,INDEX('Aub Demand'!Q:Q,MATCH($O625,'Aub Demand'!$A:$A,0))-IF(AN625="",0,AN625)),"")</f>
        <v>750</v>
      </c>
      <c r="V625" s="53" t="str">
        <f t="shared" si="254"/>
        <v>n/a</v>
      </c>
      <c r="W625" s="52" t="str">
        <f t="shared" si="255"/>
        <v/>
      </c>
      <c r="X625" s="52">
        <f>IFERROR(IF(AND(AR626=AR625,AM625&lt;&gt;""),INDEX('Aub Demand'!Q:Q,MATCH($O625,'Aub Demand'!$A:$A,0))-IF(AN625="",0,AN625)+AP626+AD625+AL625,IF(AR626=AR625,INDEX('Aub Demand'!Q:Q,MATCH($O625,'Aub Demand'!$A:$A,0))-IF(AN625="",0,AN625)+AP626+AD625,IF(AM625&lt;&gt;"",INDEX('Aub Demand'!Q:Q,MATCH($O625,'Aub Demand'!$A:$A,0))-IF(AN625="",0,AN625)+AD625+AL625,INDEX('Aub Demand'!Q:Q,MATCH($O625,'Aub Demand'!$A:$A,0))-IF(AN625="",0,AN625)+AD625))),"")</f>
        <v>750</v>
      </c>
      <c r="Y625" s="53" t="str">
        <f t="shared" si="256"/>
        <v>n/a</v>
      </c>
      <c r="Z625" s="52">
        <f>IF(L625="","",INDEX('Aub Demand'!H:H,MATCH($O625,'Aub Demand'!$A:$A,0)))</f>
        <v>0</v>
      </c>
      <c r="AA625" s="52" t="str">
        <f t="shared" si="257"/>
        <v>-spike-</v>
      </c>
      <c r="AB625" s="52">
        <f>IFERROR(INDEX('Aub Demand'!L:L,MATCH($O625,'Aub Demand'!$A:$A,0)),"")</f>
        <v>0</v>
      </c>
      <c r="AC625" s="52">
        <f>IFERROR(IF(O625="","",SUMIFS('CPL Mats'!F:F,'CPL Mats'!Q:Q,AR625,'CPL Mats'!S:S,AS625)),"")</f>
        <v>0</v>
      </c>
      <c r="AF625" s="25" t="str">
        <f>IF(SUMIFS('Supp Consol'!S:S,'Supp Consol'!Y:Y,"Releasable",'Supp Consol'!A:A,O625)=0,"",SUMIFS('Supp Consol'!S:S,'Supp Consol'!Y:Y,"Releasable",'Supp Consol'!A:A,O625))</f>
        <v/>
      </c>
      <c r="AG625" s="25">
        <f>IFERROR(INDEX('Hun Demand'!Q:Q,MATCH(O625,'Hun Demand'!A:A,0)),"")</f>
        <v>2813</v>
      </c>
      <c r="AH625" s="25">
        <f>IFERROR(INDEX('Hun Demand'!H:H,MATCH($O625,'Hun Demand'!$A:$A,0)),"")</f>
        <v>0</v>
      </c>
      <c r="AI625" s="25" t="str">
        <f>IF(SUMIFS('Supp Consol'!AA:AA,'Supp Consol'!Z:Z,"Expires this month",'Supp Consol'!A:A,O625)=0,"",SUMIFS('Supp Consol'!AA:AA,'Supp Consol'!Z:Z,"Expires this month",'Supp Consol'!A:A,O625))</f>
        <v/>
      </c>
      <c r="AJ625" s="25" t="str">
        <f>IF(SUMIFS('Supp Consol'!AA:AA,'Supp Consol'!Z:Z,"Expired Previous Months",'Supp Consol'!A:A,O625)=0,"",SUMIFS('Supp Consol'!AA:AA,'Supp Consol'!Z:Z,"Expired Previous Months",'Supp Consol'!A:A,O625))</f>
        <v/>
      </c>
      <c r="AK625" s="25" t="str">
        <f>IFERROR(INDEX('Hun Release Current'!B:B,MATCH(O625,'Hun Release Current'!A:A,0)),"")</f>
        <v/>
      </c>
      <c r="AL625" s="25" t="str">
        <f>IF(SUMIF('Prev Aub'!A:A,O625,'Prev Aub'!B:B)=0,"",SUMIF('Prev Aub'!A:A,O625,'Prev Aub'!B:B))</f>
        <v/>
      </c>
      <c r="AN625" s="25" t="s">
        <v>3790</v>
      </c>
      <c r="AO625" s="25" t="s">
        <v>3790</v>
      </c>
      <c r="AP625" s="25">
        <f t="shared" si="258"/>
        <v>0</v>
      </c>
      <c r="AQ625" s="151" t="str">
        <f>IF(SUMIFS('Supp Consol'!S:S,'Supp Consol'!A:A,O625,'Supp Consol'!I:I,"PENDING")=0,"",SUMIFS('Supp Consol'!S:S,'Supp Consol'!A:A,O625,'Supp Consol'!I:I,"PENDING"))</f>
        <v/>
      </c>
      <c r="AR625" s="27" t="str">
        <f t="shared" si="259"/>
        <v>HP820</v>
      </c>
      <c r="AS625" s="27" t="str">
        <f t="shared" si="260"/>
        <v>62</v>
      </c>
      <c r="AT625" s="27" t="str">
        <f t="shared" si="261"/>
        <v/>
      </c>
      <c r="AU625" s="27" t="str">
        <f t="shared" si="262"/>
        <v/>
      </c>
      <c r="AV625" s="27" t="str">
        <f t="shared" si="263"/>
        <v/>
      </c>
      <c r="AW625" s="27" t="str">
        <f t="shared" si="264"/>
        <v/>
      </c>
      <c r="AX625" s="27" t="str">
        <f t="shared" si="265"/>
        <v/>
      </c>
      <c r="AY625" s="27" t="str">
        <f t="shared" si="266"/>
        <v>HP820</v>
      </c>
      <c r="AZ625" s="27" t="str">
        <f t="shared" si="267"/>
        <v/>
      </c>
      <c r="BA625" s="27" t="str">
        <f t="shared" si="268"/>
        <v>Hun</v>
      </c>
      <c r="BB625" s="27" t="str">
        <f t="shared" si="269"/>
        <v/>
      </c>
      <c r="BC625" s="27" t="str">
        <f t="shared" si="270"/>
        <v/>
      </c>
      <c r="BD625" s="27" t="str">
        <f t="shared" si="271"/>
        <v/>
      </c>
      <c r="BE625" s="27" t="str">
        <f t="shared" si="272"/>
        <v/>
      </c>
      <c r="BF625" s="27" t="str">
        <f t="shared" si="273"/>
        <v/>
      </c>
      <c r="BG625" s="27" t="str">
        <f t="shared" si="274"/>
        <v/>
      </c>
      <c r="BH625" s="27" t="str">
        <f t="shared" si="275"/>
        <v/>
      </c>
      <c r="BI625" s="27" t="str">
        <f t="shared" si="276"/>
        <v/>
      </c>
      <c r="BJ625" s="27" t="str">
        <f t="shared" si="277"/>
        <v>Supp or Hun</v>
      </c>
      <c r="BK625" s="27" t="str">
        <f t="shared" si="278"/>
        <v/>
      </c>
      <c r="BL625" s="27" t="str">
        <f t="shared" si="279"/>
        <v/>
      </c>
      <c r="BM625" s="21" t="s">
        <v>5582</v>
      </c>
    </row>
    <row r="626" spans="1:65" ht="15">
      <c r="A626" s="25">
        <f>IFERROR(INDEX('Hun Demand'!W:W,MATCH(O626,'Hun Demand'!A:A,0)),"")</f>
        <v>181</v>
      </c>
      <c r="B626" s="25">
        <f>IFERROR(INDEX('Hun Demand'!V:V,MATCH(O626,'Hun Demand'!A:A,0)),"")</f>
        <v>304</v>
      </c>
      <c r="C626" s="25">
        <f>IFERROR(INDEX('Hun Demand'!U:U,MATCH(O626,'Hun Demand'!A:A,0)),"")</f>
        <v>1202</v>
      </c>
      <c r="D626" s="25">
        <f>IFERROR(INDEX('Hun Demand'!T:T,MATCH(O626,'Hun Demand'!A:A,0)),"")</f>
        <v>0</v>
      </c>
      <c r="E626" s="25">
        <f>IFERROR(INDEX('Hun Demand'!S:S,MATCH(O626,'Hun Demand'!A:A,0)),"")</f>
        <v>562</v>
      </c>
      <c r="F626" s="25">
        <f>IFERROR(INDEX('Hun Demand'!R:R,MATCH(O626,'Hun Demand'!A:A,0)),"")</f>
        <v>0</v>
      </c>
      <c r="G626" s="25">
        <f>IFERROR(INDEX('Aub Demand'!W:W,MATCH(O626,'Aub Demand'!A:A,0)),"")</f>
        <v>0</v>
      </c>
      <c r="H626" s="25">
        <f>IFERROR(INDEX('Aub Demand'!V:V,MATCH(O626,'Aub Demand'!A:A,0)),"")</f>
        <v>0</v>
      </c>
      <c r="I626" s="25">
        <f>IFERROR(INDEX('Aub Demand'!U:U,MATCH(O626,'Aub Demand'!A:A,0)),"")</f>
        <v>0</v>
      </c>
      <c r="J626" s="25">
        <f>IFERROR(INDEX('Aub Demand'!T:T,MATCH(O626,'Aub Demand'!A:A,0)),"")</f>
        <v>0</v>
      </c>
      <c r="K626" s="25">
        <f>IFERROR(INDEX('Aub Demand'!S:S,MATCH(O626,'Aub Demand'!A:A,0)),"")</f>
        <v>28</v>
      </c>
      <c r="L626" s="25">
        <f>IFERROR(INDEX('Aub Demand'!R:R,MATCH(O626,'Aub Demand'!A:A,0)),"")</f>
        <v>0</v>
      </c>
      <c r="O626" s="27" t="s">
        <v>1069</v>
      </c>
      <c r="P626" s="27" t="str">
        <f>IFERROR(INDEX('Aub Demand'!B:B,MATCH($O626,'Aub Demand'!$A:$A,0)),"")</f>
        <v>TIGER FRUITWOOD</v>
      </c>
      <c r="Q626" s="27" t="str">
        <f>IFERROR(INDEX('Aub Demand'!C:C,MATCH($O626,'Aub Demand'!$A:$A,0)),"")</f>
        <v>INTER</v>
      </c>
      <c r="R626" s="52">
        <f>IFERROR(IF(AR627=AR626,INDEX('Aub Demand'!K:K,MATCH($O626,'Aub Demand'!$A:$A,0))-IF(AN626="",0,AN626)+AP627,INDEX('Aub Demand'!K:K,MATCH($O626,'Aub Demand'!$A:$A,0))-IF(AN626="",0,AN626)),"")</f>
        <v>679</v>
      </c>
      <c r="S626" s="53">
        <f t="shared" si="252"/>
        <v>323.3</v>
      </c>
      <c r="T626" s="52" t="str">
        <f t="shared" si="253"/>
        <v/>
      </c>
      <c r="U626" s="52">
        <f>IFERROR(IF(AR627=AR626,INDEX('Aub Demand'!Q:Q,MATCH($O626,'Aub Demand'!$A:$A,0))-IF(AN626="",0,AN626)+AP627,INDEX('Aub Demand'!Q:Q,MATCH($O626,'Aub Demand'!$A:$A,0))-IF(AN626="",0,AN626)),"")</f>
        <v>646</v>
      </c>
      <c r="V626" s="53">
        <f t="shared" si="254"/>
        <v>307.60000000000002</v>
      </c>
      <c r="W626" s="52" t="str">
        <f t="shared" si="255"/>
        <v/>
      </c>
      <c r="X626" s="52">
        <f>IFERROR(IF(AND(AR627=AR626,AM626&lt;&gt;""),INDEX('Aub Demand'!Q:Q,MATCH($O626,'Aub Demand'!$A:$A,0))-IF(AN626="",0,AN626)+AP627+AD626+AL626,IF(AR627=AR626,INDEX('Aub Demand'!Q:Q,MATCH($O626,'Aub Demand'!$A:$A,0))-IF(AN626="",0,AN626)+AP627+AD626,IF(AM626&lt;&gt;"",INDEX('Aub Demand'!Q:Q,MATCH($O626,'Aub Demand'!$A:$A,0))-IF(AN626="",0,AN626)+AD626+AL626,INDEX('Aub Demand'!Q:Q,MATCH($O626,'Aub Demand'!$A:$A,0))-IF(AN626="",0,AN626)+AD626))),"")</f>
        <v>646</v>
      </c>
      <c r="Y626" s="53">
        <f t="shared" si="256"/>
        <v>307.60000000000002</v>
      </c>
      <c r="Z626" s="52">
        <f>IF(L626="","",INDEX('Aub Demand'!H:H,MATCH($O626,'Aub Demand'!$A:$A,0)))</f>
        <v>9</v>
      </c>
      <c r="AA626" s="52" t="str">
        <f t="shared" si="257"/>
        <v>-spike-</v>
      </c>
      <c r="AB626" s="52">
        <f>IFERROR(INDEX('Aub Demand'!L:L,MATCH($O626,'Aub Demand'!$A:$A,0)),"")</f>
        <v>102</v>
      </c>
      <c r="AC626" s="52">
        <f>IFERROR(IF(O626="","",SUMIFS('CPL Mats'!F:F,'CPL Mats'!Q:Q,AR626,'CPL Mats'!S:S,AS626)),"")</f>
        <v>0</v>
      </c>
      <c r="AF626" s="25" t="str">
        <f>IF(SUMIFS('Supp Consol'!S:S,'Supp Consol'!Y:Y,"Releasable",'Supp Consol'!A:A,O626)=0,"",SUMIFS('Supp Consol'!S:S,'Supp Consol'!Y:Y,"Releasable",'Supp Consol'!A:A,O626))</f>
        <v/>
      </c>
      <c r="AG626" s="25">
        <f>IFERROR(INDEX('Hun Demand'!Q:Q,MATCH(O626,'Hun Demand'!A:A,0)),"")</f>
        <v>-56</v>
      </c>
      <c r="AH626" s="25">
        <f>IFERROR(INDEX('Hun Demand'!H:H,MATCH($O626,'Hun Demand'!$A:$A,0)),"")</f>
        <v>588</v>
      </c>
      <c r="AI626" s="25" t="str">
        <f>IF(SUMIFS('Supp Consol'!AA:AA,'Supp Consol'!Z:Z,"Expires this month",'Supp Consol'!A:A,O626)=0,"",SUMIFS('Supp Consol'!AA:AA,'Supp Consol'!Z:Z,"Expires this month",'Supp Consol'!A:A,O626))</f>
        <v/>
      </c>
      <c r="AJ626" s="25" t="str">
        <f>IF(SUMIFS('Supp Consol'!AA:AA,'Supp Consol'!Z:Z,"Expired Previous Months",'Supp Consol'!A:A,O626)=0,"",SUMIFS('Supp Consol'!AA:AA,'Supp Consol'!Z:Z,"Expired Previous Months",'Supp Consol'!A:A,O626))</f>
        <v/>
      </c>
      <c r="AK626" s="25" t="str">
        <f>IFERROR(INDEX('Hun Release Current'!B:B,MATCH(O626,'Hun Release Current'!A:A,0)),"")</f>
        <v/>
      </c>
      <c r="AL626" s="25" t="str">
        <f>IF(SUMIF('Prev Aub'!A:A,O626,'Prev Aub'!B:B)=0,"",SUMIF('Prev Aub'!A:A,O626,'Prev Aub'!B:B))</f>
        <v/>
      </c>
      <c r="AN626" s="25" t="s">
        <v>3790</v>
      </c>
      <c r="AO626" s="25" t="s">
        <v>3790</v>
      </c>
      <c r="AP626" s="25">
        <f t="shared" si="258"/>
        <v>0</v>
      </c>
      <c r="AQ626" s="151" t="str">
        <f>IF(SUMIFS('Supp Consol'!S:S,'Supp Consol'!A:A,O626,'Supp Consol'!I:I,"PENDING")=0,"",SUMIFS('Supp Consol'!S:S,'Supp Consol'!A:A,O626,'Supp Consol'!I:I,"PENDING"))</f>
        <v/>
      </c>
      <c r="AR626" s="27" t="str">
        <f t="shared" si="259"/>
        <v>HP821</v>
      </c>
      <c r="AS626" s="27" t="str">
        <f t="shared" si="260"/>
        <v>62</v>
      </c>
      <c r="AT626" s="27" t="str">
        <f t="shared" si="261"/>
        <v/>
      </c>
      <c r="AU626" s="27" t="str">
        <f t="shared" si="262"/>
        <v/>
      </c>
      <c r="AV626" s="27" t="str">
        <f t="shared" si="263"/>
        <v/>
      </c>
      <c r="AW626" s="27" t="str">
        <f t="shared" si="264"/>
        <v/>
      </c>
      <c r="AX626" s="27" t="str">
        <f t="shared" si="265"/>
        <v/>
      </c>
      <c r="AY626" s="27" t="str">
        <f t="shared" si="266"/>
        <v/>
      </c>
      <c r="AZ626" s="27" t="str">
        <f t="shared" si="267"/>
        <v/>
      </c>
      <c r="BA626" s="27" t="str">
        <f t="shared" si="268"/>
        <v/>
      </c>
      <c r="BB626" s="27" t="str">
        <f t="shared" si="269"/>
        <v/>
      </c>
      <c r="BC626" s="27" t="str">
        <f t="shared" si="270"/>
        <v/>
      </c>
      <c r="BD626" s="27" t="str">
        <f t="shared" si="271"/>
        <v/>
      </c>
      <c r="BE626" s="27" t="str">
        <f t="shared" si="272"/>
        <v/>
      </c>
      <c r="BF626" s="27" t="str">
        <f t="shared" si="273"/>
        <v/>
      </c>
      <c r="BG626" s="27" t="str">
        <f t="shared" si="274"/>
        <v/>
      </c>
      <c r="BH626" s="27" t="str">
        <f t="shared" si="275"/>
        <v/>
      </c>
      <c r="BI626" s="27" t="str">
        <f t="shared" si="276"/>
        <v/>
      </c>
      <c r="BJ626" s="27" t="str">
        <f t="shared" si="277"/>
        <v/>
      </c>
      <c r="BK626" s="27" t="str">
        <f t="shared" si="278"/>
        <v/>
      </c>
      <c r="BL626" s="27" t="str">
        <f t="shared" si="279"/>
        <v/>
      </c>
      <c r="BM626" s="21" t="s">
        <v>3790</v>
      </c>
    </row>
    <row r="627" spans="1:65" ht="15">
      <c r="A627" s="25">
        <f>IFERROR(INDEX('Hun Demand'!W:W,MATCH(O627,'Hun Demand'!A:A,0)),"")</f>
        <v>0</v>
      </c>
      <c r="B627" s="25">
        <f>IFERROR(INDEX('Hun Demand'!V:V,MATCH(O627,'Hun Demand'!A:A,0)),"")</f>
        <v>0</v>
      </c>
      <c r="C627" s="25">
        <f>IFERROR(INDEX('Hun Demand'!U:U,MATCH(O627,'Hun Demand'!A:A,0)),"")</f>
        <v>0</v>
      </c>
      <c r="D627" s="25">
        <f>IFERROR(INDEX('Hun Demand'!T:T,MATCH(O627,'Hun Demand'!A:A,0)),"")</f>
        <v>0</v>
      </c>
      <c r="E627" s="25">
        <f>IFERROR(INDEX('Hun Demand'!S:S,MATCH(O627,'Hun Demand'!A:A,0)),"")</f>
        <v>0</v>
      </c>
      <c r="F627" s="25">
        <f>IFERROR(INDEX('Hun Demand'!R:R,MATCH(O627,'Hun Demand'!A:A,0)),"")</f>
        <v>0</v>
      </c>
      <c r="G627" s="25">
        <f>IFERROR(INDEX('Aub Demand'!W:W,MATCH(O627,'Aub Demand'!A:A,0)),"")</f>
        <v>0</v>
      </c>
      <c r="H627" s="25">
        <f>IFERROR(INDEX('Aub Demand'!V:V,MATCH(O627,'Aub Demand'!A:A,0)),"")</f>
        <v>0</v>
      </c>
      <c r="I627" s="25">
        <f>IFERROR(INDEX('Aub Demand'!U:U,MATCH(O627,'Aub Demand'!A:A,0)),"")</f>
        <v>0</v>
      </c>
      <c r="J627" s="25">
        <f>IFERROR(INDEX('Aub Demand'!T:T,MATCH(O627,'Aub Demand'!A:A,0)),"")</f>
        <v>0</v>
      </c>
      <c r="K627" s="25">
        <f>IFERROR(INDEX('Aub Demand'!S:S,MATCH(O627,'Aub Demand'!A:A,0)),"")</f>
        <v>0</v>
      </c>
      <c r="L627" s="25">
        <f>IFERROR(INDEX('Aub Demand'!R:R,MATCH(O627,'Aub Demand'!A:A,0)),"")</f>
        <v>0</v>
      </c>
      <c r="O627" s="27" t="s">
        <v>3339</v>
      </c>
      <c r="P627" s="27" t="str">
        <f>IFERROR(INDEX('Aub Demand'!B:B,MATCH($O627,'Aub Demand'!$A:$A,0)),"")</f>
        <v>MG TIGER MAHOGANY</v>
      </c>
      <c r="Q627" s="27">
        <f>IFERROR(INDEX('Aub Demand'!C:C,MATCH($O627,'Aub Demand'!$A:$A,0)),"")</f>
        <v>0</v>
      </c>
      <c r="R627" s="52">
        <f>IFERROR(IF(AR628=AR627,INDEX('Aub Demand'!K:K,MATCH($O627,'Aub Demand'!$A:$A,0))-IF(AN627="",0,AN627)+AP628,INDEX('Aub Demand'!K:K,MATCH($O627,'Aub Demand'!$A:$A,0))-IF(AN627="",0,AN627)),"")</f>
        <v>51</v>
      </c>
      <c r="S627" s="53" t="str">
        <f t="shared" si="252"/>
        <v>n/a</v>
      </c>
      <c r="T627" s="52" t="str">
        <f t="shared" si="253"/>
        <v/>
      </c>
      <c r="U627" s="52">
        <f>IFERROR(IF(AR628=AR627,INDEX('Aub Demand'!Q:Q,MATCH($O627,'Aub Demand'!$A:$A,0))-IF(AN627="",0,AN627)+AP628,INDEX('Aub Demand'!Q:Q,MATCH($O627,'Aub Demand'!$A:$A,0))-IF(AN627="",0,AN627)),"")</f>
        <v>51</v>
      </c>
      <c r="V627" s="53" t="str">
        <f t="shared" si="254"/>
        <v>n/a</v>
      </c>
      <c r="W627" s="52" t="str">
        <f t="shared" si="255"/>
        <v/>
      </c>
      <c r="X627" s="52">
        <f>IFERROR(IF(AND(AR628=AR627,AM627&lt;&gt;""),INDEX('Aub Demand'!Q:Q,MATCH($O627,'Aub Demand'!$A:$A,0))-IF(AN627="",0,AN627)+AP628+AD627+AL627,IF(AR628=AR627,INDEX('Aub Demand'!Q:Q,MATCH($O627,'Aub Demand'!$A:$A,0))-IF(AN627="",0,AN627)+AP628+AD627,IF(AM627&lt;&gt;"",INDEX('Aub Demand'!Q:Q,MATCH($O627,'Aub Demand'!$A:$A,0))-IF(AN627="",0,AN627)+AD627+AL627,INDEX('Aub Demand'!Q:Q,MATCH($O627,'Aub Demand'!$A:$A,0))-IF(AN627="",0,AN627)+AD627))),"")</f>
        <v>51</v>
      </c>
      <c r="Y627" s="53" t="str">
        <f t="shared" si="256"/>
        <v>n/a</v>
      </c>
      <c r="Z627" s="52">
        <f>IF(L627="","",INDEX('Aub Demand'!H:H,MATCH($O627,'Aub Demand'!$A:$A,0)))</f>
        <v>0</v>
      </c>
      <c r="AA627" s="52" t="str">
        <f t="shared" si="257"/>
        <v>-spike-</v>
      </c>
      <c r="AB627" s="52">
        <f>IFERROR(INDEX('Aub Demand'!L:L,MATCH($O627,'Aub Demand'!$A:$A,0)),"")</f>
        <v>0</v>
      </c>
      <c r="AC627" s="52">
        <f>IFERROR(IF(O627="","",SUMIFS('CPL Mats'!F:F,'CPL Mats'!Q:Q,AR627,'CPL Mats'!S:S,AS627)),"")</f>
        <v>0</v>
      </c>
      <c r="AF627" s="25" t="str">
        <f>IF(SUMIFS('Supp Consol'!S:S,'Supp Consol'!Y:Y,"Releasable",'Supp Consol'!A:A,O627)=0,"",SUMIFS('Supp Consol'!S:S,'Supp Consol'!Y:Y,"Releasable",'Supp Consol'!A:A,O627))</f>
        <v/>
      </c>
      <c r="AG627" s="25">
        <f>IFERROR(INDEX('Hun Demand'!Q:Q,MATCH(O627,'Hun Demand'!A:A,0)),"")</f>
        <v>2768</v>
      </c>
      <c r="AH627" s="25">
        <f>IFERROR(INDEX('Hun Demand'!H:H,MATCH($O627,'Hun Demand'!$A:$A,0)),"")</f>
        <v>0</v>
      </c>
      <c r="AI627" s="25" t="str">
        <f>IF(SUMIFS('Supp Consol'!AA:AA,'Supp Consol'!Z:Z,"Expires this month",'Supp Consol'!A:A,O627)=0,"",SUMIFS('Supp Consol'!AA:AA,'Supp Consol'!Z:Z,"Expires this month",'Supp Consol'!A:A,O627))</f>
        <v/>
      </c>
      <c r="AJ627" s="25" t="str">
        <f>IF(SUMIFS('Supp Consol'!AA:AA,'Supp Consol'!Z:Z,"Expired Previous Months",'Supp Consol'!A:A,O627)=0,"",SUMIFS('Supp Consol'!AA:AA,'Supp Consol'!Z:Z,"Expired Previous Months",'Supp Consol'!A:A,O627))</f>
        <v/>
      </c>
      <c r="AK627" s="25" t="str">
        <f>IFERROR(INDEX('Hun Release Current'!B:B,MATCH(O627,'Hun Release Current'!A:A,0)),"")</f>
        <v/>
      </c>
      <c r="AL627" s="25" t="str">
        <f>IF(SUMIF('Prev Aub'!A:A,O627,'Prev Aub'!B:B)=0,"",SUMIF('Prev Aub'!A:A,O627,'Prev Aub'!B:B))</f>
        <v/>
      </c>
      <c r="AN627" s="25" t="s">
        <v>3790</v>
      </c>
      <c r="AO627" s="25" t="s">
        <v>3790</v>
      </c>
      <c r="AP627" s="25">
        <f t="shared" si="258"/>
        <v>0</v>
      </c>
      <c r="AQ627" s="151" t="str">
        <f>IF(SUMIFS('Supp Consol'!S:S,'Supp Consol'!A:A,O627,'Supp Consol'!I:I,"PENDING")=0,"",SUMIFS('Supp Consol'!S:S,'Supp Consol'!A:A,O627,'Supp Consol'!I:I,"PENDING"))</f>
        <v/>
      </c>
      <c r="AR627" s="27" t="str">
        <f t="shared" si="259"/>
        <v>HP822</v>
      </c>
      <c r="AS627" s="27" t="str">
        <f t="shared" si="260"/>
        <v>62</v>
      </c>
      <c r="AT627" s="27" t="str">
        <f t="shared" si="261"/>
        <v/>
      </c>
      <c r="AU627" s="27" t="str">
        <f t="shared" si="262"/>
        <v/>
      </c>
      <c r="AV627" s="27" t="str">
        <f t="shared" si="263"/>
        <v/>
      </c>
      <c r="AW627" s="27" t="str">
        <f t="shared" si="264"/>
        <v/>
      </c>
      <c r="AX627" s="27" t="str">
        <f t="shared" si="265"/>
        <v/>
      </c>
      <c r="AY627" s="27" t="str">
        <f t="shared" si="266"/>
        <v>HP822</v>
      </c>
      <c r="AZ627" s="27" t="str">
        <f t="shared" si="267"/>
        <v/>
      </c>
      <c r="BA627" s="27" t="str">
        <f t="shared" si="268"/>
        <v>Hun</v>
      </c>
      <c r="BB627" s="27" t="str">
        <f t="shared" si="269"/>
        <v/>
      </c>
      <c r="BC627" s="27" t="str">
        <f t="shared" si="270"/>
        <v/>
      </c>
      <c r="BD627" s="27" t="str">
        <f t="shared" si="271"/>
        <v/>
      </c>
      <c r="BE627" s="27" t="str">
        <f t="shared" si="272"/>
        <v/>
      </c>
      <c r="BF627" s="27" t="str">
        <f t="shared" si="273"/>
        <v/>
      </c>
      <c r="BG627" s="27" t="str">
        <f t="shared" si="274"/>
        <v/>
      </c>
      <c r="BH627" s="27" t="str">
        <f t="shared" si="275"/>
        <v/>
      </c>
      <c r="BI627" s="27" t="str">
        <f t="shared" si="276"/>
        <v/>
      </c>
      <c r="BJ627" s="27" t="str">
        <f t="shared" si="277"/>
        <v>Supp or Hun</v>
      </c>
      <c r="BK627" s="27" t="str">
        <f t="shared" si="278"/>
        <v/>
      </c>
      <c r="BL627" s="27" t="str">
        <f t="shared" si="279"/>
        <v/>
      </c>
      <c r="BM627" s="21" t="s">
        <v>5582</v>
      </c>
    </row>
    <row r="628" spans="1:65" ht="15">
      <c r="A628" s="25" t="str">
        <f>IFERROR(INDEX('Hun Demand'!W:W,MATCH(O628,'Hun Demand'!A:A,0)),"")</f>
        <v/>
      </c>
      <c r="B628" s="25" t="str">
        <f>IFERROR(INDEX('Hun Demand'!V:V,MATCH(O628,'Hun Demand'!A:A,0)),"")</f>
        <v/>
      </c>
      <c r="C628" s="25" t="str">
        <f>IFERROR(INDEX('Hun Demand'!U:U,MATCH(O628,'Hun Demand'!A:A,0)),"")</f>
        <v/>
      </c>
      <c r="D628" s="25" t="str">
        <f>IFERROR(INDEX('Hun Demand'!T:T,MATCH(O628,'Hun Demand'!A:A,0)),"")</f>
        <v/>
      </c>
      <c r="E628" s="25" t="str">
        <f>IFERROR(INDEX('Hun Demand'!S:S,MATCH(O628,'Hun Demand'!A:A,0)),"")</f>
        <v/>
      </c>
      <c r="F628" s="25" t="str">
        <f>IFERROR(INDEX('Hun Demand'!R:R,MATCH(O628,'Hun Demand'!A:A,0)),"")</f>
        <v/>
      </c>
      <c r="G628" s="25">
        <f>IFERROR(INDEX('Aub Demand'!W:W,MATCH(O628,'Aub Demand'!A:A,0)),"")</f>
        <v>0</v>
      </c>
      <c r="H628" s="25">
        <f>IFERROR(INDEX('Aub Demand'!V:V,MATCH(O628,'Aub Demand'!A:A,0)),"")</f>
        <v>0</v>
      </c>
      <c r="I628" s="25">
        <f>IFERROR(INDEX('Aub Demand'!U:U,MATCH(O628,'Aub Demand'!A:A,0)),"")</f>
        <v>0</v>
      </c>
      <c r="J628" s="25">
        <f>IFERROR(INDEX('Aub Demand'!T:T,MATCH(O628,'Aub Demand'!A:A,0)),"")</f>
        <v>0</v>
      </c>
      <c r="K628" s="25">
        <f>IFERROR(INDEX('Aub Demand'!S:S,MATCH(O628,'Aub Demand'!A:A,0)),"")</f>
        <v>0</v>
      </c>
      <c r="L628" s="25">
        <f>IFERROR(INDEX('Aub Demand'!R:R,MATCH(O628,'Aub Demand'!A:A,0)),"")</f>
        <v>0</v>
      </c>
      <c r="O628" s="27" t="s">
        <v>1072</v>
      </c>
      <c r="P628" s="27" t="str">
        <f>IFERROR(INDEX('Aub Demand'!B:B,MATCH($O628,'Aub Demand'!$A:$A,0)),"")</f>
        <v>BEIGE GRANITE</v>
      </c>
      <c r="Q628" s="27" t="str">
        <f>IFERROR(INDEX('Aub Demand'!C:C,MATCH($O628,'Aub Demand'!$A:$A,0)),"")</f>
        <v>INTER</v>
      </c>
      <c r="R628" s="52">
        <f>IFERROR(IF(AR629=AR628,INDEX('Aub Demand'!K:K,MATCH($O628,'Aub Demand'!$A:$A,0))-IF(AN628="",0,AN628)+AP629,INDEX('Aub Demand'!K:K,MATCH($O628,'Aub Demand'!$A:$A,0))-IF(AN628="",0,AN628)),"")</f>
        <v>114</v>
      </c>
      <c r="S628" s="53" t="str">
        <f t="shared" si="252"/>
        <v>n/a</v>
      </c>
      <c r="T628" s="52" t="str">
        <f t="shared" si="253"/>
        <v/>
      </c>
      <c r="U628" s="52">
        <f>IFERROR(IF(AR629=AR628,INDEX('Aub Demand'!Q:Q,MATCH($O628,'Aub Demand'!$A:$A,0))-IF(AN628="",0,AN628)+AP629,INDEX('Aub Demand'!Q:Q,MATCH($O628,'Aub Demand'!$A:$A,0))-IF(AN628="",0,AN628)),"")</f>
        <v>114</v>
      </c>
      <c r="V628" s="53" t="str">
        <f t="shared" si="254"/>
        <v>n/a</v>
      </c>
      <c r="W628" s="52" t="str">
        <f t="shared" si="255"/>
        <v/>
      </c>
      <c r="X628" s="52">
        <f>IFERROR(IF(AND(AR629=AR628,AM628&lt;&gt;""),INDEX('Aub Demand'!Q:Q,MATCH($O628,'Aub Demand'!$A:$A,0))-IF(AN628="",0,AN628)+AP629+AD628+AL628,IF(AR629=AR628,INDEX('Aub Demand'!Q:Q,MATCH($O628,'Aub Demand'!$A:$A,0))-IF(AN628="",0,AN628)+AP629+AD628,IF(AM628&lt;&gt;"",INDEX('Aub Demand'!Q:Q,MATCH($O628,'Aub Demand'!$A:$A,0))-IF(AN628="",0,AN628)+AD628+AL628,INDEX('Aub Demand'!Q:Q,MATCH($O628,'Aub Demand'!$A:$A,0))-IF(AN628="",0,AN628)+AD628))),"")</f>
        <v>114</v>
      </c>
      <c r="Y628" s="53" t="str">
        <f t="shared" si="256"/>
        <v>n/a</v>
      </c>
      <c r="Z628" s="52">
        <f>IF(L628="","",INDEX('Aub Demand'!H:H,MATCH($O628,'Aub Demand'!$A:$A,0)))</f>
        <v>0</v>
      </c>
      <c r="AA628" s="52" t="str">
        <f t="shared" si="257"/>
        <v>-spike-</v>
      </c>
      <c r="AB628" s="52">
        <f>IFERROR(INDEX('Aub Demand'!L:L,MATCH($O628,'Aub Demand'!$A:$A,0)),"")</f>
        <v>4</v>
      </c>
      <c r="AC628" s="52">
        <f>IFERROR(IF(O628="","",SUMIFS('CPL Mats'!F:F,'CPL Mats'!Q:Q,AR628,'CPL Mats'!S:S,AS628)),"")</f>
        <v>0</v>
      </c>
      <c r="AF628" s="25" t="str">
        <f>IF(SUMIFS('Supp Consol'!S:S,'Supp Consol'!Y:Y,"Releasable",'Supp Consol'!A:A,O628)=0,"",SUMIFS('Supp Consol'!S:S,'Supp Consol'!Y:Y,"Releasable",'Supp Consol'!A:A,O628))</f>
        <v/>
      </c>
      <c r="AG628" s="25" t="str">
        <f>IFERROR(INDEX('Hun Demand'!Q:Q,MATCH(O628,'Hun Demand'!A:A,0)),"")</f>
        <v/>
      </c>
      <c r="AH628" s="25" t="str">
        <f>IFERROR(INDEX('Hun Demand'!H:H,MATCH($O628,'Hun Demand'!$A:$A,0)),"")</f>
        <v/>
      </c>
      <c r="AI628" s="25" t="str">
        <f>IF(SUMIFS('Supp Consol'!AA:AA,'Supp Consol'!Z:Z,"Expires this month",'Supp Consol'!A:A,O628)=0,"",SUMIFS('Supp Consol'!AA:AA,'Supp Consol'!Z:Z,"Expires this month",'Supp Consol'!A:A,O628))</f>
        <v/>
      </c>
      <c r="AJ628" s="25" t="str">
        <f>IF(SUMIFS('Supp Consol'!AA:AA,'Supp Consol'!Z:Z,"Expired Previous Months",'Supp Consol'!A:A,O628)=0,"",SUMIFS('Supp Consol'!AA:AA,'Supp Consol'!Z:Z,"Expired Previous Months",'Supp Consol'!A:A,O628))</f>
        <v/>
      </c>
      <c r="AK628" s="25" t="str">
        <f>IFERROR(INDEX('Hun Release Current'!B:B,MATCH(O628,'Hun Release Current'!A:A,0)),"")</f>
        <v/>
      </c>
      <c r="AL628" s="25" t="str">
        <f>IF(SUMIF('Prev Aub'!A:A,O628,'Prev Aub'!B:B)=0,"",SUMIF('Prev Aub'!A:A,O628,'Prev Aub'!B:B))</f>
        <v/>
      </c>
      <c r="AN628" s="25" t="s">
        <v>3790</v>
      </c>
      <c r="AO628" s="25" t="s">
        <v>3790</v>
      </c>
      <c r="AP628" s="25">
        <f t="shared" si="258"/>
        <v>0</v>
      </c>
      <c r="AQ628" s="151" t="str">
        <f>IF(SUMIFS('Supp Consol'!S:S,'Supp Consol'!A:A,O628,'Supp Consol'!I:I,"PENDING")=0,"",SUMIFS('Supp Consol'!S:S,'Supp Consol'!A:A,O628,'Supp Consol'!I:I,"PENDING"))</f>
        <v/>
      </c>
      <c r="AR628" s="27" t="str">
        <f t="shared" si="259"/>
        <v>HP898</v>
      </c>
      <c r="AS628" s="27" t="str">
        <f t="shared" si="260"/>
        <v>50</v>
      </c>
      <c r="AT628" s="27" t="str">
        <f t="shared" si="261"/>
        <v/>
      </c>
      <c r="AU628" s="27" t="str">
        <f t="shared" si="262"/>
        <v/>
      </c>
      <c r="AV628" s="27" t="str">
        <f t="shared" si="263"/>
        <v/>
      </c>
      <c r="AW628" s="27" t="str">
        <f t="shared" si="264"/>
        <v/>
      </c>
      <c r="AX628" s="27" t="str">
        <f t="shared" si="265"/>
        <v/>
      </c>
      <c r="AY628" s="27" t="str">
        <f t="shared" si="266"/>
        <v/>
      </c>
      <c r="AZ628" s="27" t="str">
        <f t="shared" si="267"/>
        <v/>
      </c>
      <c r="BA628" s="27" t="str">
        <f t="shared" si="268"/>
        <v>Hun</v>
      </c>
      <c r="BB628" s="27" t="str">
        <f t="shared" si="269"/>
        <v/>
      </c>
      <c r="BC628" s="27" t="str">
        <f t="shared" si="270"/>
        <v/>
      </c>
      <c r="BD628" s="27" t="str">
        <f t="shared" si="271"/>
        <v/>
      </c>
      <c r="BE628" s="27" t="str">
        <f t="shared" si="272"/>
        <v/>
      </c>
      <c r="BF628" s="27" t="str">
        <f t="shared" si="273"/>
        <v/>
      </c>
      <c r="BG628" s="27" t="str">
        <f t="shared" si="274"/>
        <v/>
      </c>
      <c r="BH628" s="27" t="str">
        <f t="shared" si="275"/>
        <v/>
      </c>
      <c r="BI628" s="27" t="str">
        <f t="shared" si="276"/>
        <v/>
      </c>
      <c r="BJ628" s="27" t="str">
        <f t="shared" si="277"/>
        <v>Supp or Hun</v>
      </c>
      <c r="BK628" s="27" t="str">
        <f t="shared" si="278"/>
        <v/>
      </c>
      <c r="BL628" s="27" t="str">
        <f t="shared" si="279"/>
        <v/>
      </c>
      <c r="BM628" s="21" t="s">
        <v>5582</v>
      </c>
    </row>
    <row r="629" spans="1:65" ht="15">
      <c r="A629" s="25">
        <f>IFERROR(INDEX('Hun Demand'!W:W,MATCH(O629,'Hun Demand'!A:A,0)),"")</f>
        <v>0</v>
      </c>
      <c r="B629" s="25">
        <f>IFERROR(INDEX('Hun Demand'!V:V,MATCH(O629,'Hun Demand'!A:A,0)),"")</f>
        <v>0</v>
      </c>
      <c r="C629" s="25">
        <f>IFERROR(INDEX('Hun Demand'!U:U,MATCH(O629,'Hun Demand'!A:A,0)),"")</f>
        <v>0</v>
      </c>
      <c r="D629" s="25">
        <f>IFERROR(INDEX('Hun Demand'!T:T,MATCH(O629,'Hun Demand'!A:A,0)),"")</f>
        <v>0</v>
      </c>
      <c r="E629" s="25">
        <f>IFERROR(INDEX('Hun Demand'!S:S,MATCH(O629,'Hun Demand'!A:A,0)),"")</f>
        <v>0</v>
      </c>
      <c r="F629" s="25">
        <f>IFERROR(INDEX('Hun Demand'!R:R,MATCH(O629,'Hun Demand'!A:A,0)),"")</f>
        <v>0</v>
      </c>
      <c r="G629" s="25">
        <f>IFERROR(INDEX('Aub Demand'!W:W,MATCH(O629,'Aub Demand'!A:A,0)),"")</f>
        <v>0</v>
      </c>
      <c r="H629" s="25">
        <f>IFERROR(INDEX('Aub Demand'!V:V,MATCH(O629,'Aub Demand'!A:A,0)),"")</f>
        <v>0</v>
      </c>
      <c r="I629" s="25">
        <f>IFERROR(INDEX('Aub Demand'!U:U,MATCH(O629,'Aub Demand'!A:A,0)),"")</f>
        <v>0</v>
      </c>
      <c r="J629" s="25">
        <f>IFERROR(INDEX('Aub Demand'!T:T,MATCH(O629,'Aub Demand'!A:A,0)),"")</f>
        <v>0</v>
      </c>
      <c r="K629" s="25">
        <f>IFERROR(INDEX('Aub Demand'!S:S,MATCH(O629,'Aub Demand'!A:A,0)),"")</f>
        <v>0</v>
      </c>
      <c r="L629" s="25">
        <f>IFERROR(INDEX('Aub Demand'!R:R,MATCH(O629,'Aub Demand'!A:A,0)),"")</f>
        <v>0</v>
      </c>
      <c r="O629" s="27" t="s">
        <v>1074</v>
      </c>
      <c r="P629" s="27" t="str">
        <f>IFERROR(INDEX('Aub Demand'!B:B,MATCH($O629,'Aub Demand'!$A:$A,0)),"")</f>
        <v>BEIGE GRANITE</v>
      </c>
      <c r="Q629" s="27" t="str">
        <f>IFERROR(INDEX('Aub Demand'!C:C,MATCH($O629,'Aub Demand'!$A:$A,0)),"")</f>
        <v>INTER</v>
      </c>
      <c r="R629" s="52">
        <f>IFERROR(IF(AR630=AR629,INDEX('Aub Demand'!K:K,MATCH($O629,'Aub Demand'!$A:$A,0))-IF(AN629="",0,AN629)+AP630,INDEX('Aub Demand'!K:K,MATCH($O629,'Aub Demand'!$A:$A,0))-IF(AN629="",0,AN629)),"")</f>
        <v>757</v>
      </c>
      <c r="S629" s="53" t="str">
        <f t="shared" si="252"/>
        <v>n/a</v>
      </c>
      <c r="T629" s="52" t="str">
        <f t="shared" si="253"/>
        <v/>
      </c>
      <c r="U629" s="52">
        <f>IFERROR(IF(AR630=AR629,INDEX('Aub Demand'!Q:Q,MATCH($O629,'Aub Demand'!$A:$A,0))-IF(AN629="",0,AN629)+AP630,INDEX('Aub Demand'!Q:Q,MATCH($O629,'Aub Demand'!$A:$A,0))-IF(AN629="",0,AN629)),"")</f>
        <v>757</v>
      </c>
      <c r="V629" s="53" t="str">
        <f t="shared" si="254"/>
        <v>n/a</v>
      </c>
      <c r="W629" s="52" t="str">
        <f t="shared" si="255"/>
        <v/>
      </c>
      <c r="X629" s="52">
        <f>IFERROR(IF(AND(AR630=AR629,AM629&lt;&gt;""),INDEX('Aub Demand'!Q:Q,MATCH($O629,'Aub Demand'!$A:$A,0))-IF(AN629="",0,AN629)+AP630+AD629+AL629,IF(AR630=AR629,INDEX('Aub Demand'!Q:Q,MATCH($O629,'Aub Demand'!$A:$A,0))-IF(AN629="",0,AN629)+AP630+AD629,IF(AM629&lt;&gt;"",INDEX('Aub Demand'!Q:Q,MATCH($O629,'Aub Demand'!$A:$A,0))-IF(AN629="",0,AN629)+AD629+AL629,INDEX('Aub Demand'!Q:Q,MATCH($O629,'Aub Demand'!$A:$A,0))-IF(AN629="",0,AN629)+AD629))),"")</f>
        <v>757</v>
      </c>
      <c r="Y629" s="53" t="str">
        <f t="shared" si="256"/>
        <v>n/a</v>
      </c>
      <c r="Z629" s="52">
        <f>IF(L629="","",INDEX('Aub Demand'!H:H,MATCH($O629,'Aub Demand'!$A:$A,0)))</f>
        <v>0</v>
      </c>
      <c r="AA629" s="52" t="str">
        <f t="shared" si="257"/>
        <v>-spike-</v>
      </c>
      <c r="AB629" s="52">
        <f>IFERROR(INDEX('Aub Demand'!L:L,MATCH($O629,'Aub Demand'!$A:$A,0)),"")</f>
        <v>0</v>
      </c>
      <c r="AC629" s="52">
        <f>IFERROR(IF(O629="","",SUMIFS('CPL Mats'!F:F,'CPL Mats'!Q:Q,AR629,'CPL Mats'!S:S,AS629)),"")</f>
        <v>0</v>
      </c>
      <c r="AF629" s="25" t="str">
        <f>IF(SUMIFS('Supp Consol'!S:S,'Supp Consol'!Y:Y,"Releasable",'Supp Consol'!A:A,O629)=0,"",SUMIFS('Supp Consol'!S:S,'Supp Consol'!Y:Y,"Releasable",'Supp Consol'!A:A,O629))</f>
        <v/>
      </c>
      <c r="AG629" s="25">
        <f>IFERROR(INDEX('Hun Demand'!Q:Q,MATCH(O629,'Hun Demand'!A:A,0)),"")</f>
        <v>473</v>
      </c>
      <c r="AH629" s="25">
        <f>IFERROR(INDEX('Hun Demand'!H:H,MATCH($O629,'Hun Demand'!$A:$A,0)),"")</f>
        <v>0</v>
      </c>
      <c r="AI629" s="25" t="str">
        <f>IF(SUMIFS('Supp Consol'!AA:AA,'Supp Consol'!Z:Z,"Expires this month",'Supp Consol'!A:A,O629)=0,"",SUMIFS('Supp Consol'!AA:AA,'Supp Consol'!Z:Z,"Expires this month",'Supp Consol'!A:A,O629))</f>
        <v/>
      </c>
      <c r="AJ629" s="25" t="str">
        <f>IF(SUMIFS('Supp Consol'!AA:AA,'Supp Consol'!Z:Z,"Expired Previous Months",'Supp Consol'!A:A,O629)=0,"",SUMIFS('Supp Consol'!AA:AA,'Supp Consol'!Z:Z,"Expired Previous Months",'Supp Consol'!A:A,O629))</f>
        <v/>
      </c>
      <c r="AK629" s="25" t="str">
        <f>IFERROR(INDEX('Hun Release Current'!B:B,MATCH(O629,'Hun Release Current'!A:A,0)),"")</f>
        <v/>
      </c>
      <c r="AL629" s="25" t="str">
        <f>IF(SUMIF('Prev Aub'!A:A,O629,'Prev Aub'!B:B)=0,"",SUMIF('Prev Aub'!A:A,O629,'Prev Aub'!B:B))</f>
        <v/>
      </c>
      <c r="AN629" s="25" t="s">
        <v>3790</v>
      </c>
      <c r="AO629" s="25" t="s">
        <v>3790</v>
      </c>
      <c r="AP629" s="25">
        <f t="shared" si="258"/>
        <v>0</v>
      </c>
      <c r="AQ629" s="151" t="str">
        <f>IF(SUMIFS('Supp Consol'!S:S,'Supp Consol'!A:A,O629,'Supp Consol'!I:I,"PENDING")=0,"",SUMIFS('Supp Consol'!S:S,'Supp Consol'!A:A,O629,'Supp Consol'!I:I,"PENDING"))</f>
        <v/>
      </c>
      <c r="AR629" s="27" t="str">
        <f t="shared" si="259"/>
        <v>HP898</v>
      </c>
      <c r="AS629" s="27" t="str">
        <f t="shared" si="260"/>
        <v>62</v>
      </c>
      <c r="AT629" s="27" t="str">
        <f t="shared" si="261"/>
        <v/>
      </c>
      <c r="AU629" s="27" t="str">
        <f t="shared" si="262"/>
        <v/>
      </c>
      <c r="AV629" s="27" t="str">
        <f t="shared" si="263"/>
        <v/>
      </c>
      <c r="AW629" s="27" t="str">
        <f t="shared" si="264"/>
        <v/>
      </c>
      <c r="AX629" s="27" t="str">
        <f t="shared" si="265"/>
        <v/>
      </c>
      <c r="AY629" s="27" t="str">
        <f t="shared" si="266"/>
        <v>HP898</v>
      </c>
      <c r="AZ629" s="27" t="str">
        <f t="shared" si="267"/>
        <v/>
      </c>
      <c r="BA629" s="27" t="str">
        <f t="shared" si="268"/>
        <v>Hun</v>
      </c>
      <c r="BB629" s="27" t="str">
        <f t="shared" si="269"/>
        <v/>
      </c>
      <c r="BC629" s="27" t="str">
        <f t="shared" si="270"/>
        <v/>
      </c>
      <c r="BD629" s="27" t="str">
        <f t="shared" si="271"/>
        <v/>
      </c>
      <c r="BE629" s="27" t="str">
        <f t="shared" si="272"/>
        <v/>
      </c>
      <c r="BF629" s="27" t="str">
        <f t="shared" si="273"/>
        <v/>
      </c>
      <c r="BG629" s="27" t="str">
        <f t="shared" si="274"/>
        <v/>
      </c>
      <c r="BH629" s="27" t="str">
        <f t="shared" si="275"/>
        <v/>
      </c>
      <c r="BI629" s="27" t="str">
        <f t="shared" si="276"/>
        <v/>
      </c>
      <c r="BJ629" s="27" t="str">
        <f t="shared" si="277"/>
        <v>Supp or Hun</v>
      </c>
      <c r="BK629" s="27" t="str">
        <f t="shared" si="278"/>
        <v/>
      </c>
      <c r="BL629" s="27" t="str">
        <f t="shared" si="279"/>
        <v/>
      </c>
      <c r="BM629" s="21" t="s">
        <v>5582</v>
      </c>
    </row>
    <row r="630" spans="1:65" ht="15">
      <c r="A630" s="25" t="str">
        <f>IFERROR(INDEX('Hun Demand'!W:W,MATCH(O630,'Hun Demand'!A:A,0)),"")</f>
        <v/>
      </c>
      <c r="B630" s="25" t="str">
        <f>IFERROR(INDEX('Hun Demand'!V:V,MATCH(O630,'Hun Demand'!A:A,0)),"")</f>
        <v/>
      </c>
      <c r="C630" s="25" t="str">
        <f>IFERROR(INDEX('Hun Demand'!U:U,MATCH(O630,'Hun Demand'!A:A,0)),"")</f>
        <v/>
      </c>
      <c r="D630" s="25" t="str">
        <f>IFERROR(INDEX('Hun Demand'!T:T,MATCH(O630,'Hun Demand'!A:A,0)),"")</f>
        <v/>
      </c>
      <c r="E630" s="25" t="str">
        <f>IFERROR(INDEX('Hun Demand'!S:S,MATCH(O630,'Hun Demand'!A:A,0)),"")</f>
        <v/>
      </c>
      <c r="F630" s="25" t="str">
        <f>IFERROR(INDEX('Hun Demand'!R:R,MATCH(O630,'Hun Demand'!A:A,0)),"")</f>
        <v/>
      </c>
      <c r="G630" s="25">
        <f>IFERROR(INDEX('Aub Demand'!W:W,MATCH(O630,'Aub Demand'!A:A,0)),"")</f>
        <v>0</v>
      </c>
      <c r="H630" s="25">
        <f>IFERROR(INDEX('Aub Demand'!V:V,MATCH(O630,'Aub Demand'!A:A,0)),"")</f>
        <v>0</v>
      </c>
      <c r="I630" s="25">
        <f>IFERROR(INDEX('Aub Demand'!U:U,MATCH(O630,'Aub Demand'!A:A,0)),"")</f>
        <v>0</v>
      </c>
      <c r="J630" s="25">
        <f>IFERROR(INDEX('Aub Demand'!T:T,MATCH(O630,'Aub Demand'!A:A,0)),"")</f>
        <v>0</v>
      </c>
      <c r="K630" s="25">
        <f>IFERROR(INDEX('Aub Demand'!S:S,MATCH(O630,'Aub Demand'!A:A,0)),"")</f>
        <v>0</v>
      </c>
      <c r="L630" s="25">
        <f>IFERROR(INDEX('Aub Demand'!R:R,MATCH(O630,'Aub Demand'!A:A,0)),"")</f>
        <v>0</v>
      </c>
      <c r="O630" s="27" t="s">
        <v>1077</v>
      </c>
      <c r="P630" s="27" t="str">
        <f>IFERROR(INDEX('Aub Demand'!B:B,MATCH($O630,'Aub Demand'!$A:$A,0)),"")</f>
        <v>CO-FEDERAL OAK (PERD</v>
      </c>
      <c r="Q630" s="27">
        <f>IFERROR(INDEX('Aub Demand'!C:C,MATCH($O630,'Aub Demand'!$A:$A,0)),"")</f>
        <v>0</v>
      </c>
      <c r="R630" s="52">
        <f>IFERROR(IF(AR631=AR630,INDEX('Aub Demand'!K:K,MATCH($O630,'Aub Demand'!$A:$A,0))-IF(AN630="",0,AN630)+AP631,INDEX('Aub Demand'!K:K,MATCH($O630,'Aub Demand'!$A:$A,0))-IF(AN630="",0,AN630)),"")</f>
        <v>3351</v>
      </c>
      <c r="S630" s="53" t="str">
        <f t="shared" si="252"/>
        <v>n/a</v>
      </c>
      <c r="T630" s="52" t="str">
        <f t="shared" si="253"/>
        <v/>
      </c>
      <c r="U630" s="52">
        <f>IFERROR(IF(AR631=AR630,INDEX('Aub Demand'!Q:Q,MATCH($O630,'Aub Demand'!$A:$A,0))-IF(AN630="",0,AN630)+AP631,INDEX('Aub Demand'!Q:Q,MATCH($O630,'Aub Demand'!$A:$A,0))-IF(AN630="",0,AN630)),"")</f>
        <v>3351</v>
      </c>
      <c r="V630" s="53" t="str">
        <f t="shared" si="254"/>
        <v>n/a</v>
      </c>
      <c r="W630" s="52" t="str">
        <f t="shared" si="255"/>
        <v/>
      </c>
      <c r="X630" s="52">
        <f>IFERROR(IF(AND(AR631=AR630,AM630&lt;&gt;""),INDEX('Aub Demand'!Q:Q,MATCH($O630,'Aub Demand'!$A:$A,0))-IF(AN630="",0,AN630)+AP631+AD630+AL630,IF(AR631=AR630,INDEX('Aub Demand'!Q:Q,MATCH($O630,'Aub Demand'!$A:$A,0))-IF(AN630="",0,AN630)+AP631+AD630,IF(AM630&lt;&gt;"",INDEX('Aub Demand'!Q:Q,MATCH($O630,'Aub Demand'!$A:$A,0))-IF(AN630="",0,AN630)+AD630+AL630,INDEX('Aub Demand'!Q:Q,MATCH($O630,'Aub Demand'!$A:$A,0))-IF(AN630="",0,AN630)+AD630))),"")</f>
        <v>3351</v>
      </c>
      <c r="Y630" s="53" t="str">
        <f t="shared" si="256"/>
        <v>n/a</v>
      </c>
      <c r="Z630" s="52">
        <f>IF(L630="","",INDEX('Aub Demand'!H:H,MATCH($O630,'Aub Demand'!$A:$A,0)))</f>
        <v>0</v>
      </c>
      <c r="AA630" s="52" t="str">
        <f t="shared" si="257"/>
        <v>-spike-</v>
      </c>
      <c r="AB630" s="52">
        <f>IFERROR(INDEX('Aub Demand'!L:L,MATCH($O630,'Aub Demand'!$A:$A,0)),"")</f>
        <v>23</v>
      </c>
      <c r="AC630" s="52">
        <f>IFERROR(IF(O630="","",SUMIFS('CPL Mats'!F:F,'CPL Mats'!Q:Q,AR630,'CPL Mats'!S:S,AS630)),"")</f>
        <v>0</v>
      </c>
      <c r="AF630" s="25" t="str">
        <f>IF(SUMIFS('Supp Consol'!S:S,'Supp Consol'!Y:Y,"Releasable",'Supp Consol'!A:A,O630)=0,"",SUMIFS('Supp Consol'!S:S,'Supp Consol'!Y:Y,"Releasable",'Supp Consol'!A:A,O630))</f>
        <v/>
      </c>
      <c r="AG630" s="25" t="str">
        <f>IFERROR(INDEX('Hun Demand'!Q:Q,MATCH(O630,'Hun Demand'!A:A,0)),"")</f>
        <v/>
      </c>
      <c r="AH630" s="25" t="str">
        <f>IFERROR(INDEX('Hun Demand'!H:H,MATCH($O630,'Hun Demand'!$A:$A,0)),"")</f>
        <v/>
      </c>
      <c r="AI630" s="25" t="str">
        <f>IF(SUMIFS('Supp Consol'!AA:AA,'Supp Consol'!Z:Z,"Expires this month",'Supp Consol'!A:A,O630)=0,"",SUMIFS('Supp Consol'!AA:AA,'Supp Consol'!Z:Z,"Expires this month",'Supp Consol'!A:A,O630))</f>
        <v/>
      </c>
      <c r="AJ630" s="25" t="str">
        <f>IF(SUMIFS('Supp Consol'!AA:AA,'Supp Consol'!Z:Z,"Expired Previous Months",'Supp Consol'!A:A,O630)=0,"",SUMIFS('Supp Consol'!AA:AA,'Supp Consol'!Z:Z,"Expired Previous Months",'Supp Consol'!A:A,O630))</f>
        <v/>
      </c>
      <c r="AK630" s="25" t="str">
        <f>IFERROR(INDEX('Hun Release Current'!B:B,MATCH(O630,'Hun Release Current'!A:A,0)),"")</f>
        <v/>
      </c>
      <c r="AL630" s="25" t="str">
        <f>IF(SUMIF('Prev Aub'!A:A,O630,'Prev Aub'!B:B)=0,"",SUMIF('Prev Aub'!A:A,O630,'Prev Aub'!B:B))</f>
        <v/>
      </c>
      <c r="AN630" s="25" t="s">
        <v>3790</v>
      </c>
      <c r="AO630" s="25" t="s">
        <v>3790</v>
      </c>
      <c r="AP630" s="25">
        <f t="shared" si="258"/>
        <v>0</v>
      </c>
      <c r="AQ630" s="151" t="str">
        <f>IF(SUMIFS('Supp Consol'!S:S,'Supp Consol'!A:A,O630,'Supp Consol'!I:I,"PENDING")=0,"",SUMIFS('Supp Consol'!S:S,'Supp Consol'!A:A,O630,'Supp Consol'!I:I,"PENDING"))</f>
        <v/>
      </c>
      <c r="AR630" s="27" t="str">
        <f t="shared" si="259"/>
        <v>K2014</v>
      </c>
      <c r="AS630" s="27" t="str">
        <f t="shared" si="260"/>
        <v>60</v>
      </c>
      <c r="AT630" s="27" t="str">
        <f t="shared" si="261"/>
        <v/>
      </c>
      <c r="AU630" s="27" t="str">
        <f t="shared" si="262"/>
        <v/>
      </c>
      <c r="AV630" s="27" t="str">
        <f t="shared" si="263"/>
        <v/>
      </c>
      <c r="AW630" s="27" t="str">
        <f t="shared" si="264"/>
        <v/>
      </c>
      <c r="AX630" s="27" t="str">
        <f t="shared" si="265"/>
        <v/>
      </c>
      <c r="AY630" s="27" t="str">
        <f t="shared" si="266"/>
        <v/>
      </c>
      <c r="AZ630" s="27" t="str">
        <f t="shared" si="267"/>
        <v/>
      </c>
      <c r="BA630" s="27" t="str">
        <f t="shared" si="268"/>
        <v/>
      </c>
      <c r="BB630" s="27" t="str">
        <f t="shared" si="269"/>
        <v/>
      </c>
      <c r="BC630" s="27" t="str">
        <f t="shared" si="270"/>
        <v/>
      </c>
      <c r="BD630" s="27" t="str">
        <f t="shared" si="271"/>
        <v/>
      </c>
      <c r="BE630" s="27" t="str">
        <f t="shared" si="272"/>
        <v/>
      </c>
      <c r="BF630" s="27" t="str">
        <f t="shared" si="273"/>
        <v/>
      </c>
      <c r="BG630" s="27" t="str">
        <f t="shared" si="274"/>
        <v/>
      </c>
      <c r="BH630" s="27" t="str">
        <f t="shared" si="275"/>
        <v/>
      </c>
      <c r="BI630" s="27" t="str">
        <f t="shared" si="276"/>
        <v/>
      </c>
      <c r="BJ630" s="27" t="str">
        <f t="shared" si="277"/>
        <v/>
      </c>
      <c r="BK630" s="27" t="str">
        <f t="shared" si="278"/>
        <v/>
      </c>
      <c r="BL630" s="27" t="str">
        <f t="shared" si="279"/>
        <v/>
      </c>
      <c r="BM630" s="21" t="s">
        <v>3790</v>
      </c>
    </row>
    <row r="631" spans="1:65" ht="15">
      <c r="A631" s="25" t="str">
        <f>IFERROR(INDEX('Hun Demand'!W:W,MATCH(O631,'Hun Demand'!A:A,0)),"")</f>
        <v/>
      </c>
      <c r="B631" s="25" t="str">
        <f>IFERROR(INDEX('Hun Demand'!V:V,MATCH(O631,'Hun Demand'!A:A,0)),"")</f>
        <v/>
      </c>
      <c r="C631" s="25" t="str">
        <f>IFERROR(INDEX('Hun Demand'!U:U,MATCH(O631,'Hun Demand'!A:A,0)),"")</f>
        <v/>
      </c>
      <c r="D631" s="25" t="str">
        <f>IFERROR(INDEX('Hun Demand'!T:T,MATCH(O631,'Hun Demand'!A:A,0)),"")</f>
        <v/>
      </c>
      <c r="E631" s="25" t="str">
        <f>IFERROR(INDEX('Hun Demand'!S:S,MATCH(O631,'Hun Demand'!A:A,0)),"")</f>
        <v/>
      </c>
      <c r="F631" s="25" t="str">
        <f>IFERROR(INDEX('Hun Demand'!R:R,MATCH(O631,'Hun Demand'!A:A,0)),"")</f>
        <v/>
      </c>
      <c r="G631" s="25">
        <f>IFERROR(INDEX('Aub Demand'!W:W,MATCH(O631,'Aub Demand'!A:A,0)),"")</f>
        <v>0</v>
      </c>
      <c r="H631" s="25">
        <f>IFERROR(INDEX('Aub Demand'!V:V,MATCH(O631,'Aub Demand'!A:A,0)),"")</f>
        <v>0</v>
      </c>
      <c r="I631" s="25">
        <f>IFERROR(INDEX('Aub Demand'!U:U,MATCH(O631,'Aub Demand'!A:A,0)),"")</f>
        <v>0</v>
      </c>
      <c r="J631" s="25">
        <f>IFERROR(INDEX('Aub Demand'!T:T,MATCH(O631,'Aub Demand'!A:A,0)),"")</f>
        <v>16</v>
      </c>
      <c r="K631" s="25">
        <f>IFERROR(INDEX('Aub Demand'!S:S,MATCH(O631,'Aub Demand'!A:A,0)),"")</f>
        <v>6</v>
      </c>
      <c r="L631" s="25">
        <f>IFERROR(INDEX('Aub Demand'!R:R,MATCH(O631,'Aub Demand'!A:A,0)),"")</f>
        <v>0</v>
      </c>
      <c r="O631" s="27" t="s">
        <v>5951</v>
      </c>
      <c r="P631" s="27" t="str">
        <f>IFERROR(INDEX('Aub Demand'!B:B,MATCH($O631,'Aub Demand'!$A:$A,0)),"")</f>
        <v>CO-BOREAL ALLURE</v>
      </c>
      <c r="Q631" s="27">
        <f>IFERROR(INDEX('Aub Demand'!C:C,MATCH($O631,'Aub Demand'!$A:$A,0)),"")</f>
        <v>0</v>
      </c>
      <c r="R631" s="52">
        <f>IFERROR(IF(AR632=AR631,INDEX('Aub Demand'!K:K,MATCH($O631,'Aub Demand'!$A:$A,0))-IF(AN631="",0,AN631)+AP632,INDEX('Aub Demand'!K:K,MATCH($O631,'Aub Demand'!$A:$A,0))-IF(AN631="",0,AN631)),"")</f>
        <v>0</v>
      </c>
      <c r="S631" s="53">
        <f t="shared" si="252"/>
        <v>0</v>
      </c>
      <c r="T631" s="52">
        <f t="shared" si="253"/>
        <v>8.25</v>
      </c>
      <c r="U631" s="52">
        <f>IFERROR(IF(AR632=AR631,INDEX('Aub Demand'!Q:Q,MATCH($O631,'Aub Demand'!$A:$A,0))-IF(AN631="",0,AN631)+AP632,INDEX('Aub Demand'!Q:Q,MATCH($O631,'Aub Demand'!$A:$A,0))-IF(AN631="",0,AN631)),"")</f>
        <v>0</v>
      </c>
      <c r="V631" s="53">
        <f t="shared" si="254"/>
        <v>0</v>
      </c>
      <c r="W631" s="52">
        <f t="shared" si="255"/>
        <v>8.25</v>
      </c>
      <c r="X631" s="52">
        <f>IFERROR(IF(AND(AR632=AR631,AM631&lt;&gt;""),INDEX('Aub Demand'!Q:Q,MATCH($O631,'Aub Demand'!$A:$A,0))-IF(AN631="",0,AN631)+AP632+AD631+AL631,IF(AR632=AR631,INDEX('Aub Demand'!Q:Q,MATCH($O631,'Aub Demand'!$A:$A,0))-IF(AN631="",0,AN631)+AP632+AD631,IF(AM631&lt;&gt;"",INDEX('Aub Demand'!Q:Q,MATCH($O631,'Aub Demand'!$A:$A,0))-IF(AN631="",0,AN631)+AD631+AL631,INDEX('Aub Demand'!Q:Q,MATCH($O631,'Aub Demand'!$A:$A,0))-IF(AN631="",0,AN631)+AD631))),"")</f>
        <v>0</v>
      </c>
      <c r="Y631" s="53">
        <f t="shared" si="256"/>
        <v>0</v>
      </c>
      <c r="Z631" s="52">
        <f>IF(L631="","",INDEX('Aub Demand'!H:H,MATCH($O631,'Aub Demand'!$A:$A,0)))</f>
        <v>7</v>
      </c>
      <c r="AA631" s="52">
        <f t="shared" si="257"/>
        <v>11</v>
      </c>
      <c r="AB631" s="52">
        <f>IFERROR(INDEX('Aub Demand'!L:L,MATCH($O631,'Aub Demand'!$A:$A,0)),"")</f>
        <v>2</v>
      </c>
      <c r="AC631" s="52">
        <f>IFERROR(IF(O631="","",SUMIFS('CPL Mats'!F:F,'CPL Mats'!Q:Q,AR631,'CPL Mats'!S:S,AS631)),"")</f>
        <v>0</v>
      </c>
      <c r="AF631" s="25" t="str">
        <f>IF(SUMIFS('Supp Consol'!S:S,'Supp Consol'!Y:Y,"Releasable",'Supp Consol'!A:A,O631)=0,"",SUMIFS('Supp Consol'!S:S,'Supp Consol'!Y:Y,"Releasable",'Supp Consol'!A:A,O631))</f>
        <v/>
      </c>
      <c r="AG631" s="25" t="str">
        <f>IFERROR(INDEX('Hun Demand'!Q:Q,MATCH(O631,'Hun Demand'!A:A,0)),"")</f>
        <v/>
      </c>
      <c r="AH631" s="25" t="str">
        <f>IFERROR(INDEX('Hun Demand'!H:H,MATCH($O631,'Hun Demand'!$A:$A,0)),"")</f>
        <v/>
      </c>
      <c r="AI631" s="25" t="str">
        <f>IF(SUMIFS('Supp Consol'!AA:AA,'Supp Consol'!Z:Z,"Expires this month",'Supp Consol'!A:A,O631)=0,"",SUMIFS('Supp Consol'!AA:AA,'Supp Consol'!Z:Z,"Expires this month",'Supp Consol'!A:A,O631))</f>
        <v/>
      </c>
      <c r="AJ631" s="25" t="str">
        <f>IF(SUMIFS('Supp Consol'!AA:AA,'Supp Consol'!Z:Z,"Expired Previous Months",'Supp Consol'!A:A,O631)=0,"",SUMIFS('Supp Consol'!AA:AA,'Supp Consol'!Z:Z,"Expired Previous Months",'Supp Consol'!A:A,O631))</f>
        <v/>
      </c>
      <c r="AK631" s="25" t="str">
        <f>IFERROR(INDEX('Hun Release Current'!B:B,MATCH(O631,'Hun Release Current'!A:A,0)),"")</f>
        <v/>
      </c>
      <c r="AL631" s="25" t="str">
        <f>IF(SUMIF('Prev Aub'!A:A,O631,'Prev Aub'!B:B)=0,"",SUMIF('Prev Aub'!A:A,O631,'Prev Aub'!B:B))</f>
        <v/>
      </c>
      <c r="AN631" s="25" t="s">
        <v>3790</v>
      </c>
      <c r="AO631" s="25" t="s">
        <v>3790</v>
      </c>
      <c r="AP631" s="25">
        <f t="shared" si="258"/>
        <v>0</v>
      </c>
      <c r="AQ631" s="151" t="str">
        <f>IF(SUMIFS('Supp Consol'!S:S,'Supp Consol'!A:A,O631,'Supp Consol'!I:I,"PENDING")=0,"",SUMIFS('Supp Consol'!S:S,'Supp Consol'!A:A,O631,'Supp Consol'!I:I,"PENDING"))</f>
        <v/>
      </c>
      <c r="AR631" s="27" t="str">
        <f t="shared" si="259"/>
        <v>K2016</v>
      </c>
      <c r="AS631" s="27" t="str">
        <f t="shared" si="260"/>
        <v>50</v>
      </c>
      <c r="AT631" s="27" t="str">
        <f t="shared" si="261"/>
        <v>K2016</v>
      </c>
      <c r="AU631" s="27" t="str">
        <f t="shared" si="262"/>
        <v>K2016</v>
      </c>
      <c r="AV631" s="27" t="str">
        <f t="shared" si="263"/>
        <v>K2016</v>
      </c>
      <c r="AW631" s="27" t="str">
        <f t="shared" si="264"/>
        <v/>
      </c>
      <c r="AX631" s="27" t="str">
        <f t="shared" si="265"/>
        <v/>
      </c>
      <c r="AY631" s="27" t="str">
        <f t="shared" si="266"/>
        <v/>
      </c>
      <c r="AZ631" s="27" t="str">
        <f t="shared" si="267"/>
        <v/>
      </c>
      <c r="BA631" s="27" t="str">
        <f t="shared" si="268"/>
        <v/>
      </c>
      <c r="BB631" s="27" t="str">
        <f t="shared" si="269"/>
        <v>Gross</v>
      </c>
      <c r="BC631" s="27" t="str">
        <f t="shared" si="270"/>
        <v>Net</v>
      </c>
      <c r="BD631" s="27" t="str">
        <f t="shared" si="271"/>
        <v>Net</v>
      </c>
      <c r="BE631" s="27" t="str">
        <f t="shared" si="272"/>
        <v/>
      </c>
      <c r="BF631" s="27" t="str">
        <f t="shared" si="273"/>
        <v/>
      </c>
      <c r="BG631" s="27" t="str">
        <f t="shared" si="274"/>
        <v/>
      </c>
      <c r="BH631" s="27" t="str">
        <f t="shared" si="275"/>
        <v/>
      </c>
      <c r="BI631" s="27" t="str">
        <f t="shared" si="276"/>
        <v/>
      </c>
      <c r="BJ631" s="27" t="str">
        <f t="shared" si="277"/>
        <v/>
      </c>
      <c r="BK631" s="27" t="str">
        <f t="shared" si="278"/>
        <v/>
      </c>
      <c r="BL631" s="27" t="str">
        <f t="shared" si="279"/>
        <v/>
      </c>
      <c r="BM631" s="21" t="s">
        <v>3790</v>
      </c>
    </row>
    <row r="632" spans="1:65" ht="15">
      <c r="A632" s="25" t="str">
        <f>IFERROR(INDEX('Hun Demand'!W:W,MATCH(O632,'Hun Demand'!A:A,0)),"")</f>
        <v/>
      </c>
      <c r="B632" s="25" t="str">
        <f>IFERROR(INDEX('Hun Demand'!V:V,MATCH(O632,'Hun Demand'!A:A,0)),"")</f>
        <v/>
      </c>
      <c r="C632" s="25" t="str">
        <f>IFERROR(INDEX('Hun Demand'!U:U,MATCH(O632,'Hun Demand'!A:A,0)),"")</f>
        <v/>
      </c>
      <c r="D632" s="25" t="str">
        <f>IFERROR(INDEX('Hun Demand'!T:T,MATCH(O632,'Hun Demand'!A:A,0)),"")</f>
        <v/>
      </c>
      <c r="E632" s="25" t="str">
        <f>IFERROR(INDEX('Hun Demand'!S:S,MATCH(O632,'Hun Demand'!A:A,0)),"")</f>
        <v/>
      </c>
      <c r="F632" s="25" t="str">
        <f>IFERROR(INDEX('Hun Demand'!R:R,MATCH(O632,'Hun Demand'!A:A,0)),"")</f>
        <v/>
      </c>
      <c r="G632" s="25">
        <f>IFERROR(INDEX('Aub Demand'!W:W,MATCH(O632,'Aub Demand'!A:A,0)),"")</f>
        <v>6</v>
      </c>
      <c r="H632" s="25">
        <f>IFERROR(INDEX('Aub Demand'!V:V,MATCH(O632,'Aub Demand'!A:A,0)),"")</f>
        <v>0</v>
      </c>
      <c r="I632" s="25">
        <f>IFERROR(INDEX('Aub Demand'!U:U,MATCH(O632,'Aub Demand'!A:A,0)),"")</f>
        <v>1</v>
      </c>
      <c r="J632" s="25">
        <f>IFERROR(INDEX('Aub Demand'!T:T,MATCH(O632,'Aub Demand'!A:A,0)),"")</f>
        <v>6</v>
      </c>
      <c r="K632" s="25">
        <f>IFERROR(INDEX('Aub Demand'!S:S,MATCH(O632,'Aub Demand'!A:A,0)),"")</f>
        <v>0</v>
      </c>
      <c r="L632" s="25">
        <f>IFERROR(INDEX('Aub Demand'!R:R,MATCH(O632,'Aub Demand'!A:A,0)),"")</f>
        <v>0</v>
      </c>
      <c r="O632" s="27" t="s">
        <v>3341</v>
      </c>
      <c r="P632" s="27" t="str">
        <f>IFERROR(INDEX('Aub Demand'!B:B,MATCH($O632,'Aub Demand'!$A:$A,0)),"")</f>
        <v>CO-BOREAL ALLURE</v>
      </c>
      <c r="Q632" s="27">
        <f>IFERROR(INDEX('Aub Demand'!C:C,MATCH($O632,'Aub Demand'!$A:$A,0)),"")</f>
        <v>0</v>
      </c>
      <c r="R632" s="52">
        <f>IFERROR(IF(AR633=AR632,INDEX('Aub Demand'!K:K,MATCH($O632,'Aub Demand'!$A:$A,0))-IF(AN632="",0,AN632)+AP633,INDEX('Aub Demand'!K:K,MATCH($O632,'Aub Demand'!$A:$A,0))-IF(AN632="",0,AN632)),"")</f>
        <v>555</v>
      </c>
      <c r="S632" s="53">
        <f t="shared" si="252"/>
        <v>1189.3</v>
      </c>
      <c r="T632" s="52" t="str">
        <f t="shared" si="253"/>
        <v/>
      </c>
      <c r="U632" s="52">
        <f>IFERROR(IF(AR633=AR632,INDEX('Aub Demand'!Q:Q,MATCH($O632,'Aub Demand'!$A:$A,0))-IF(AN632="",0,AN632)+AP633,INDEX('Aub Demand'!Q:Q,MATCH($O632,'Aub Demand'!$A:$A,0))-IF(AN632="",0,AN632)),"")</f>
        <v>555</v>
      </c>
      <c r="V632" s="53">
        <f t="shared" si="254"/>
        <v>1189.3</v>
      </c>
      <c r="W632" s="52" t="str">
        <f t="shared" si="255"/>
        <v/>
      </c>
      <c r="X632" s="52">
        <f>IFERROR(IF(AND(AR633=AR632,AM632&lt;&gt;""),INDEX('Aub Demand'!Q:Q,MATCH($O632,'Aub Demand'!$A:$A,0))-IF(AN632="",0,AN632)+AP633+AD632+AL632,IF(AR633=AR632,INDEX('Aub Demand'!Q:Q,MATCH($O632,'Aub Demand'!$A:$A,0))-IF(AN632="",0,AN632)+AP633+AD632,IF(AM632&lt;&gt;"",INDEX('Aub Demand'!Q:Q,MATCH($O632,'Aub Demand'!$A:$A,0))-IF(AN632="",0,AN632)+AD632+AL632,INDEX('Aub Demand'!Q:Q,MATCH($O632,'Aub Demand'!$A:$A,0))-IF(AN632="",0,AN632)+AD632))),"")</f>
        <v>555</v>
      </c>
      <c r="Y632" s="53">
        <f t="shared" si="256"/>
        <v>1189.3</v>
      </c>
      <c r="Z632" s="52">
        <f>IF(L632="","",INDEX('Aub Demand'!H:H,MATCH($O632,'Aub Demand'!$A:$A,0)))</f>
        <v>2</v>
      </c>
      <c r="AA632" s="52">
        <f t="shared" si="257"/>
        <v>3.5</v>
      </c>
      <c r="AB632" s="52">
        <f>IFERROR(INDEX('Aub Demand'!L:L,MATCH($O632,'Aub Demand'!$A:$A,0)),"")</f>
        <v>0</v>
      </c>
      <c r="AC632" s="52">
        <f>IFERROR(IF(O632="","",SUMIFS('CPL Mats'!F:F,'CPL Mats'!Q:Q,AR632,'CPL Mats'!S:S,AS632)),"")</f>
        <v>0</v>
      </c>
      <c r="AF632" s="25" t="str">
        <f>IF(SUMIFS('Supp Consol'!S:S,'Supp Consol'!Y:Y,"Releasable",'Supp Consol'!A:A,O632)=0,"",SUMIFS('Supp Consol'!S:S,'Supp Consol'!Y:Y,"Releasable",'Supp Consol'!A:A,O632))</f>
        <v/>
      </c>
      <c r="AG632" s="25" t="str">
        <f>IFERROR(INDEX('Hun Demand'!Q:Q,MATCH(O632,'Hun Demand'!A:A,0)),"")</f>
        <v/>
      </c>
      <c r="AH632" s="25" t="str">
        <f>IFERROR(INDEX('Hun Demand'!H:H,MATCH($O632,'Hun Demand'!$A:$A,0)),"")</f>
        <v/>
      </c>
      <c r="AI632" s="25" t="str">
        <f>IF(SUMIFS('Supp Consol'!AA:AA,'Supp Consol'!Z:Z,"Expires this month",'Supp Consol'!A:A,O632)=0,"",SUMIFS('Supp Consol'!AA:AA,'Supp Consol'!Z:Z,"Expires this month",'Supp Consol'!A:A,O632))</f>
        <v/>
      </c>
      <c r="AJ632" s="25" t="str">
        <f>IF(SUMIFS('Supp Consol'!AA:AA,'Supp Consol'!Z:Z,"Expired Previous Months",'Supp Consol'!A:A,O632)=0,"",SUMIFS('Supp Consol'!AA:AA,'Supp Consol'!Z:Z,"Expired Previous Months",'Supp Consol'!A:A,O632))</f>
        <v/>
      </c>
      <c r="AK632" s="25" t="str">
        <f>IFERROR(INDEX('Hun Release Current'!B:B,MATCH(O632,'Hun Release Current'!A:A,0)),"")</f>
        <v/>
      </c>
      <c r="AL632" s="25" t="str">
        <f>IF(SUMIF('Prev Aub'!A:A,O632,'Prev Aub'!B:B)=0,"",SUMIF('Prev Aub'!A:A,O632,'Prev Aub'!B:B))</f>
        <v/>
      </c>
      <c r="AN632" s="25" t="s">
        <v>3790</v>
      </c>
      <c r="AO632" s="25" t="s">
        <v>3790</v>
      </c>
      <c r="AP632" s="25">
        <f t="shared" si="258"/>
        <v>0</v>
      </c>
      <c r="AQ632" s="151" t="str">
        <f>IF(SUMIFS('Supp Consol'!S:S,'Supp Consol'!A:A,O632,'Supp Consol'!I:I,"PENDING")=0,"",SUMIFS('Supp Consol'!S:S,'Supp Consol'!A:A,O632,'Supp Consol'!I:I,"PENDING"))</f>
        <v/>
      </c>
      <c r="AR632" s="27" t="str">
        <f t="shared" si="259"/>
        <v>K2016</v>
      </c>
      <c r="AS632" s="27" t="str">
        <f t="shared" si="260"/>
        <v>62</v>
      </c>
      <c r="AT632" s="27" t="str">
        <f t="shared" si="261"/>
        <v/>
      </c>
      <c r="AU632" s="27" t="str">
        <f t="shared" si="262"/>
        <v/>
      </c>
      <c r="AV632" s="27" t="str">
        <f t="shared" si="263"/>
        <v/>
      </c>
      <c r="AW632" s="27" t="str">
        <f t="shared" si="264"/>
        <v/>
      </c>
      <c r="AX632" s="27" t="str">
        <f t="shared" si="265"/>
        <v/>
      </c>
      <c r="AY632" s="27" t="str">
        <f t="shared" si="266"/>
        <v/>
      </c>
      <c r="AZ632" s="27" t="str">
        <f t="shared" si="267"/>
        <v/>
      </c>
      <c r="BA632" s="27" t="str">
        <f t="shared" si="268"/>
        <v/>
      </c>
      <c r="BB632" s="27" t="str">
        <f t="shared" si="269"/>
        <v>Gross</v>
      </c>
      <c r="BC632" s="27" t="str">
        <f t="shared" si="270"/>
        <v>Net</v>
      </c>
      <c r="BD632" s="27" t="str">
        <f t="shared" si="271"/>
        <v>Net</v>
      </c>
      <c r="BE632" s="27" t="str">
        <f t="shared" si="272"/>
        <v/>
      </c>
      <c r="BF632" s="27" t="str">
        <f t="shared" si="273"/>
        <v/>
      </c>
      <c r="BG632" s="27" t="str">
        <f t="shared" si="274"/>
        <v/>
      </c>
      <c r="BH632" s="27" t="str">
        <f t="shared" si="275"/>
        <v/>
      </c>
      <c r="BI632" s="27" t="str">
        <f t="shared" si="276"/>
        <v/>
      </c>
      <c r="BJ632" s="27" t="str">
        <f t="shared" si="277"/>
        <v/>
      </c>
      <c r="BK632" s="27" t="str">
        <f t="shared" si="278"/>
        <v/>
      </c>
      <c r="BL632" s="27" t="str">
        <f t="shared" si="279"/>
        <v/>
      </c>
      <c r="BM632" s="21" t="s">
        <v>5582</v>
      </c>
    </row>
    <row r="633" spans="1:65" ht="15">
      <c r="A633" s="25" t="str">
        <f>IFERROR(INDEX('Hun Demand'!W:W,MATCH(O633,'Hun Demand'!A:A,0)),"")</f>
        <v/>
      </c>
      <c r="B633" s="25" t="str">
        <f>IFERROR(INDEX('Hun Demand'!V:V,MATCH(O633,'Hun Demand'!A:A,0)),"")</f>
        <v/>
      </c>
      <c r="C633" s="25" t="str">
        <f>IFERROR(INDEX('Hun Demand'!U:U,MATCH(O633,'Hun Demand'!A:A,0)),"")</f>
        <v/>
      </c>
      <c r="D633" s="25" t="str">
        <f>IFERROR(INDEX('Hun Demand'!T:T,MATCH(O633,'Hun Demand'!A:A,0)),"")</f>
        <v/>
      </c>
      <c r="E633" s="25" t="str">
        <f>IFERROR(INDEX('Hun Demand'!S:S,MATCH(O633,'Hun Demand'!A:A,0)),"")</f>
        <v/>
      </c>
      <c r="F633" s="25" t="str">
        <f>IFERROR(INDEX('Hun Demand'!R:R,MATCH(O633,'Hun Demand'!A:A,0)),"")</f>
        <v/>
      </c>
      <c r="G633" s="25">
        <f>IFERROR(INDEX('Aub Demand'!W:W,MATCH(O633,'Aub Demand'!A:A,0)),"")</f>
        <v>0</v>
      </c>
      <c r="H633" s="25">
        <f>IFERROR(INDEX('Aub Demand'!V:V,MATCH(O633,'Aub Demand'!A:A,0)),"")</f>
        <v>0</v>
      </c>
      <c r="I633" s="25">
        <f>IFERROR(INDEX('Aub Demand'!U:U,MATCH(O633,'Aub Demand'!A:A,0)),"")</f>
        <v>0</v>
      </c>
      <c r="J633" s="25">
        <f>IFERROR(INDEX('Aub Demand'!T:T,MATCH(O633,'Aub Demand'!A:A,0)),"")</f>
        <v>0</v>
      </c>
      <c r="K633" s="25">
        <f>IFERROR(INDEX('Aub Demand'!S:S,MATCH(O633,'Aub Demand'!A:A,0)),"")</f>
        <v>26</v>
      </c>
      <c r="L633" s="25">
        <f>IFERROR(INDEX('Aub Demand'!R:R,MATCH(O633,'Aub Demand'!A:A,0)),"")</f>
        <v>0</v>
      </c>
      <c r="O633" s="27" t="s">
        <v>6180</v>
      </c>
      <c r="P633" s="27" t="str">
        <f>IFERROR(INDEX('Aub Demand'!B:B,MATCH($O633,'Aub Demand'!$A:$A,0)),"")</f>
        <v>CO-VENETIAN ALLURE</v>
      </c>
      <c r="Q633" s="27" t="str">
        <f>IFERROR(INDEX('Aub Demand'!C:C,MATCH($O633,'Aub Demand'!$A:$A,0)),"")</f>
        <v>INTER</v>
      </c>
      <c r="R633" s="52">
        <f>IFERROR(IF(AR634=AR633,INDEX('Aub Demand'!K:K,MATCH($O633,'Aub Demand'!$A:$A,0))-IF(AN633="",0,AN633)+AP634,INDEX('Aub Demand'!K:K,MATCH($O633,'Aub Demand'!$A:$A,0))-IF(AN633="",0,AN633)),"")</f>
        <v>0</v>
      </c>
      <c r="S633" s="53">
        <f t="shared" si="252"/>
        <v>0</v>
      </c>
      <c r="T633" s="52" t="str">
        <f t="shared" si="253"/>
        <v/>
      </c>
      <c r="U633" s="52">
        <f>IFERROR(IF(AR634=AR633,INDEX('Aub Demand'!Q:Q,MATCH($O633,'Aub Demand'!$A:$A,0))-IF(AN633="",0,AN633)+AP634,INDEX('Aub Demand'!Q:Q,MATCH($O633,'Aub Demand'!$A:$A,0))-IF(AN633="",0,AN633)),"")</f>
        <v>0</v>
      </c>
      <c r="V633" s="53">
        <f t="shared" si="254"/>
        <v>0</v>
      </c>
      <c r="W633" s="52" t="str">
        <f t="shared" si="255"/>
        <v/>
      </c>
      <c r="X633" s="52">
        <f>IFERROR(IF(AND(AR634=AR633,AM633&lt;&gt;""),INDEX('Aub Demand'!Q:Q,MATCH($O633,'Aub Demand'!$A:$A,0))-IF(AN633="",0,AN633)+AP634+AD633+AL633,IF(AR634=AR633,INDEX('Aub Demand'!Q:Q,MATCH($O633,'Aub Demand'!$A:$A,0))-IF(AN633="",0,AN633)+AP634+AD633,IF(AM633&lt;&gt;"",INDEX('Aub Demand'!Q:Q,MATCH($O633,'Aub Demand'!$A:$A,0))-IF(AN633="",0,AN633)+AD633+AL633,INDEX('Aub Demand'!Q:Q,MATCH($O633,'Aub Demand'!$A:$A,0))-IF(AN633="",0,AN633)+AD633))),"")</f>
        <v>0</v>
      </c>
      <c r="Y633" s="53">
        <f t="shared" si="256"/>
        <v>0</v>
      </c>
      <c r="Z633" s="52">
        <f>IF(L633="","",INDEX('Aub Demand'!H:H,MATCH($O633,'Aub Demand'!$A:$A,0)))</f>
        <v>9</v>
      </c>
      <c r="AA633" s="52" t="str">
        <f t="shared" si="257"/>
        <v>-spike-</v>
      </c>
      <c r="AB633" s="52">
        <f>IFERROR(INDEX('Aub Demand'!L:L,MATCH($O633,'Aub Demand'!$A:$A,0)),"")</f>
        <v>3</v>
      </c>
      <c r="AC633" s="52">
        <f>IFERROR(IF(O633="","",SUMIFS('CPL Mats'!F:F,'CPL Mats'!Q:Q,AR633,'CPL Mats'!S:S,AS633)),"")</f>
        <v>0</v>
      </c>
      <c r="AF633" s="25" t="str">
        <f>IF(SUMIFS('Supp Consol'!S:S,'Supp Consol'!Y:Y,"Releasable",'Supp Consol'!A:A,O633)=0,"",SUMIFS('Supp Consol'!S:S,'Supp Consol'!Y:Y,"Releasable",'Supp Consol'!A:A,O633))</f>
        <v/>
      </c>
      <c r="AG633" s="25" t="str">
        <f>IFERROR(INDEX('Hun Demand'!Q:Q,MATCH(O633,'Hun Demand'!A:A,0)),"")</f>
        <v/>
      </c>
      <c r="AH633" s="25" t="str">
        <f>IFERROR(INDEX('Hun Demand'!H:H,MATCH($O633,'Hun Demand'!$A:$A,0)),"")</f>
        <v/>
      </c>
      <c r="AI633" s="25" t="str">
        <f>IF(SUMIFS('Supp Consol'!AA:AA,'Supp Consol'!Z:Z,"Expires this month",'Supp Consol'!A:A,O633)=0,"",SUMIFS('Supp Consol'!AA:AA,'Supp Consol'!Z:Z,"Expires this month",'Supp Consol'!A:A,O633))</f>
        <v/>
      </c>
      <c r="AJ633" s="25" t="str">
        <f>IF(SUMIFS('Supp Consol'!AA:AA,'Supp Consol'!Z:Z,"Expired Previous Months",'Supp Consol'!A:A,O633)=0,"",SUMIFS('Supp Consol'!AA:AA,'Supp Consol'!Z:Z,"Expired Previous Months",'Supp Consol'!A:A,O633))</f>
        <v/>
      </c>
      <c r="AK633" s="25" t="str">
        <f>IFERROR(INDEX('Hun Release Current'!B:B,MATCH(O633,'Hun Release Current'!A:A,0)),"")</f>
        <v/>
      </c>
      <c r="AL633" s="25" t="str">
        <f>IF(SUMIF('Prev Aub'!A:A,O633,'Prev Aub'!B:B)=0,"",SUMIF('Prev Aub'!A:A,O633,'Prev Aub'!B:B))</f>
        <v/>
      </c>
      <c r="AN633" s="25" t="s">
        <v>3790</v>
      </c>
      <c r="AO633" s="25" t="s">
        <v>3790</v>
      </c>
      <c r="AP633" s="25">
        <f t="shared" si="258"/>
        <v>0</v>
      </c>
      <c r="AQ633" s="151" t="str">
        <f>IF(SUMIFS('Supp Consol'!S:S,'Supp Consol'!A:A,O633,'Supp Consol'!I:I,"PENDING")=0,"",SUMIFS('Supp Consol'!S:S,'Supp Consol'!A:A,O633,'Supp Consol'!I:I,"PENDING"))</f>
        <v/>
      </c>
      <c r="AR633" s="27" t="str">
        <f t="shared" si="259"/>
        <v>K2019</v>
      </c>
      <c r="AS633" s="27" t="str">
        <f t="shared" si="260"/>
        <v>50</v>
      </c>
      <c r="AT633" s="27" t="str">
        <f t="shared" si="261"/>
        <v>K2019</v>
      </c>
      <c r="AU633" s="27" t="str">
        <f t="shared" si="262"/>
        <v>K2019</v>
      </c>
      <c r="AV633" s="27" t="str">
        <f t="shared" si="263"/>
        <v>K2019</v>
      </c>
      <c r="AW633" s="27" t="str">
        <f t="shared" si="264"/>
        <v/>
      </c>
      <c r="AX633" s="27" t="str">
        <f t="shared" si="265"/>
        <v/>
      </c>
      <c r="AY633" s="27" t="str">
        <f t="shared" si="266"/>
        <v/>
      </c>
      <c r="AZ633" s="27" t="str">
        <f t="shared" si="267"/>
        <v/>
      </c>
      <c r="BA633" s="27" t="str">
        <f t="shared" si="268"/>
        <v/>
      </c>
      <c r="BB633" s="27" t="str">
        <f t="shared" si="269"/>
        <v>Gross</v>
      </c>
      <c r="BC633" s="27" t="str">
        <f t="shared" si="270"/>
        <v>Net</v>
      </c>
      <c r="BD633" s="27" t="str">
        <f t="shared" si="271"/>
        <v>Net</v>
      </c>
      <c r="BE633" s="27" t="str">
        <f t="shared" si="272"/>
        <v/>
      </c>
      <c r="BF633" s="27" t="str">
        <f t="shared" si="273"/>
        <v/>
      </c>
      <c r="BG633" s="27" t="str">
        <f t="shared" si="274"/>
        <v/>
      </c>
      <c r="BH633" s="27" t="str">
        <f t="shared" si="275"/>
        <v/>
      </c>
      <c r="BI633" s="27" t="str">
        <f t="shared" si="276"/>
        <v/>
      </c>
      <c r="BJ633" s="27" t="str">
        <f t="shared" si="277"/>
        <v/>
      </c>
      <c r="BK633" s="27" t="str">
        <f t="shared" si="278"/>
        <v/>
      </c>
      <c r="BL633" s="27" t="str">
        <f t="shared" si="279"/>
        <v/>
      </c>
      <c r="BM633" s="21" t="s">
        <v>3790</v>
      </c>
    </row>
    <row r="634" spans="1:65" ht="15">
      <c r="A634" s="25" t="str">
        <f>IFERROR(INDEX('Hun Demand'!W:W,MATCH(O634,'Hun Demand'!A:A,0)),"")</f>
        <v/>
      </c>
      <c r="B634" s="25" t="str">
        <f>IFERROR(INDEX('Hun Demand'!V:V,MATCH(O634,'Hun Demand'!A:A,0)),"")</f>
        <v/>
      </c>
      <c r="C634" s="25" t="str">
        <f>IFERROR(INDEX('Hun Demand'!U:U,MATCH(O634,'Hun Demand'!A:A,0)),"")</f>
        <v/>
      </c>
      <c r="D634" s="25" t="str">
        <f>IFERROR(INDEX('Hun Demand'!T:T,MATCH(O634,'Hun Demand'!A:A,0)),"")</f>
        <v/>
      </c>
      <c r="E634" s="25" t="str">
        <f>IFERROR(INDEX('Hun Demand'!S:S,MATCH(O634,'Hun Demand'!A:A,0)),"")</f>
        <v/>
      </c>
      <c r="F634" s="25" t="str">
        <f>IFERROR(INDEX('Hun Demand'!R:R,MATCH(O634,'Hun Demand'!A:A,0)),"")</f>
        <v/>
      </c>
      <c r="G634" s="25">
        <f>IFERROR(INDEX('Aub Demand'!W:W,MATCH(O634,'Aub Demand'!A:A,0)),"")</f>
        <v>0</v>
      </c>
      <c r="H634" s="25">
        <f>IFERROR(INDEX('Aub Demand'!V:V,MATCH(O634,'Aub Demand'!A:A,0)),"")</f>
        <v>0</v>
      </c>
      <c r="I634" s="25">
        <f>IFERROR(INDEX('Aub Demand'!U:U,MATCH(O634,'Aub Demand'!A:A,0)),"")</f>
        <v>0</v>
      </c>
      <c r="J634" s="25">
        <f>IFERROR(INDEX('Aub Demand'!T:T,MATCH(O634,'Aub Demand'!A:A,0)),"")</f>
        <v>0</v>
      </c>
      <c r="K634" s="25">
        <f>IFERROR(INDEX('Aub Demand'!S:S,MATCH(O634,'Aub Demand'!A:A,0)),"")</f>
        <v>16</v>
      </c>
      <c r="L634" s="25">
        <f>IFERROR(INDEX('Aub Demand'!R:R,MATCH(O634,'Aub Demand'!A:A,0)),"")</f>
        <v>0</v>
      </c>
      <c r="O634" s="27" t="s">
        <v>1080</v>
      </c>
      <c r="P634" s="27" t="str">
        <f>IFERROR(INDEX('Aub Demand'!B:B,MATCH($O634,'Aub Demand'!$A:$A,0)),"")</f>
        <v>CO-VENETIAN ALLURE</v>
      </c>
      <c r="Q634" s="27" t="str">
        <f>IFERROR(INDEX('Aub Demand'!C:C,MATCH($O634,'Aub Demand'!$A:$A,0)),"")</f>
        <v>INTER</v>
      </c>
      <c r="R634" s="52">
        <f>IFERROR(IF(AR635=AR634,INDEX('Aub Demand'!K:K,MATCH($O634,'Aub Demand'!$A:$A,0))-IF(AN634="",0,AN634)+AP635,INDEX('Aub Demand'!K:K,MATCH($O634,'Aub Demand'!$A:$A,0))-IF(AN634="",0,AN634)),"")</f>
        <v>395</v>
      </c>
      <c r="S634" s="53">
        <f t="shared" si="252"/>
        <v>338.6</v>
      </c>
      <c r="T634" s="52" t="str">
        <f t="shared" si="253"/>
        <v/>
      </c>
      <c r="U634" s="52">
        <f>IFERROR(IF(AR635=AR634,INDEX('Aub Demand'!Q:Q,MATCH($O634,'Aub Demand'!$A:$A,0))-IF(AN634="",0,AN634)+AP635,INDEX('Aub Demand'!Q:Q,MATCH($O634,'Aub Demand'!$A:$A,0))-IF(AN634="",0,AN634)),"")</f>
        <v>391</v>
      </c>
      <c r="V634" s="53">
        <f t="shared" si="254"/>
        <v>335.1</v>
      </c>
      <c r="W634" s="52" t="str">
        <f t="shared" si="255"/>
        <v/>
      </c>
      <c r="X634" s="52">
        <f>IFERROR(IF(AND(AR635=AR634,AM634&lt;&gt;""),INDEX('Aub Demand'!Q:Q,MATCH($O634,'Aub Demand'!$A:$A,0))-IF(AN634="",0,AN634)+AP635+AD634+AL634,IF(AR635=AR634,INDEX('Aub Demand'!Q:Q,MATCH($O634,'Aub Demand'!$A:$A,0))-IF(AN634="",0,AN634)+AP635+AD634,IF(AM634&lt;&gt;"",INDEX('Aub Demand'!Q:Q,MATCH($O634,'Aub Demand'!$A:$A,0))-IF(AN634="",0,AN634)+AD634+AL634,INDEX('Aub Demand'!Q:Q,MATCH($O634,'Aub Demand'!$A:$A,0))-IF(AN634="",0,AN634)+AD634))),"")</f>
        <v>391</v>
      </c>
      <c r="Y634" s="53">
        <f t="shared" si="256"/>
        <v>335.1</v>
      </c>
      <c r="Z634" s="52">
        <f>IF(L634="","",INDEX('Aub Demand'!H:H,MATCH($O634,'Aub Demand'!$A:$A,0)))</f>
        <v>5</v>
      </c>
      <c r="AA634" s="52" t="str">
        <f t="shared" si="257"/>
        <v>-spike-</v>
      </c>
      <c r="AB634" s="52">
        <f>IFERROR(INDEX('Aub Demand'!L:L,MATCH($O634,'Aub Demand'!$A:$A,0)),"")</f>
        <v>0</v>
      </c>
      <c r="AC634" s="52">
        <f>IFERROR(IF(O634="","",SUMIFS('CPL Mats'!F:F,'CPL Mats'!Q:Q,AR634,'CPL Mats'!S:S,AS634)),"")</f>
        <v>0</v>
      </c>
      <c r="AF634" s="25" t="str">
        <f>IF(SUMIFS('Supp Consol'!S:S,'Supp Consol'!Y:Y,"Releasable",'Supp Consol'!A:A,O634)=0,"",SUMIFS('Supp Consol'!S:S,'Supp Consol'!Y:Y,"Releasable",'Supp Consol'!A:A,O634))</f>
        <v/>
      </c>
      <c r="AG634" s="25" t="str">
        <f>IFERROR(INDEX('Hun Demand'!Q:Q,MATCH(O634,'Hun Demand'!A:A,0)),"")</f>
        <v/>
      </c>
      <c r="AH634" s="25" t="str">
        <f>IFERROR(INDEX('Hun Demand'!H:H,MATCH($O634,'Hun Demand'!$A:$A,0)),"")</f>
        <v/>
      </c>
      <c r="AI634" s="25" t="str">
        <f>IF(SUMIFS('Supp Consol'!AA:AA,'Supp Consol'!Z:Z,"Expires this month",'Supp Consol'!A:A,O634)=0,"",SUMIFS('Supp Consol'!AA:AA,'Supp Consol'!Z:Z,"Expires this month",'Supp Consol'!A:A,O634))</f>
        <v/>
      </c>
      <c r="AJ634" s="25" t="str">
        <f>IF(SUMIFS('Supp Consol'!AA:AA,'Supp Consol'!Z:Z,"Expired Previous Months",'Supp Consol'!A:A,O634)=0,"",SUMIFS('Supp Consol'!AA:AA,'Supp Consol'!Z:Z,"Expired Previous Months",'Supp Consol'!A:A,O634))</f>
        <v/>
      </c>
      <c r="AK634" s="25" t="str">
        <f>IFERROR(INDEX('Hun Release Current'!B:B,MATCH(O634,'Hun Release Current'!A:A,0)),"")</f>
        <v/>
      </c>
      <c r="AL634" s="25" t="str">
        <f>IF(SUMIF('Prev Aub'!A:A,O634,'Prev Aub'!B:B)=0,"",SUMIF('Prev Aub'!A:A,O634,'Prev Aub'!B:B))</f>
        <v/>
      </c>
      <c r="AN634" s="25" t="s">
        <v>3790</v>
      </c>
      <c r="AO634" s="25" t="s">
        <v>3790</v>
      </c>
      <c r="AP634" s="25">
        <f t="shared" si="258"/>
        <v>0</v>
      </c>
      <c r="AQ634" s="151" t="str">
        <f>IF(SUMIFS('Supp Consol'!S:S,'Supp Consol'!A:A,O634,'Supp Consol'!I:I,"PENDING")=0,"",SUMIFS('Supp Consol'!S:S,'Supp Consol'!A:A,O634,'Supp Consol'!I:I,"PENDING"))</f>
        <v/>
      </c>
      <c r="AR634" s="27" t="str">
        <f t="shared" si="259"/>
        <v>K2019</v>
      </c>
      <c r="AS634" s="27" t="str">
        <f t="shared" si="260"/>
        <v>62</v>
      </c>
      <c r="AT634" s="27" t="str">
        <f t="shared" si="261"/>
        <v/>
      </c>
      <c r="AU634" s="27" t="str">
        <f t="shared" si="262"/>
        <v/>
      </c>
      <c r="AV634" s="27" t="str">
        <f t="shared" si="263"/>
        <v/>
      </c>
      <c r="AW634" s="27" t="str">
        <f t="shared" si="264"/>
        <v/>
      </c>
      <c r="AX634" s="27" t="str">
        <f t="shared" si="265"/>
        <v/>
      </c>
      <c r="AY634" s="27" t="str">
        <f t="shared" si="266"/>
        <v/>
      </c>
      <c r="AZ634" s="27" t="str">
        <f t="shared" si="267"/>
        <v/>
      </c>
      <c r="BA634" s="27" t="str">
        <f t="shared" si="268"/>
        <v/>
      </c>
      <c r="BB634" s="27" t="str">
        <f t="shared" si="269"/>
        <v>Gross</v>
      </c>
      <c r="BC634" s="27" t="str">
        <f t="shared" si="270"/>
        <v>Net</v>
      </c>
      <c r="BD634" s="27" t="str">
        <f t="shared" si="271"/>
        <v>Net</v>
      </c>
      <c r="BE634" s="27" t="str">
        <f t="shared" si="272"/>
        <v/>
      </c>
      <c r="BF634" s="27" t="str">
        <f t="shared" si="273"/>
        <v/>
      </c>
      <c r="BG634" s="27" t="str">
        <f t="shared" si="274"/>
        <v/>
      </c>
      <c r="BH634" s="27" t="str">
        <f t="shared" si="275"/>
        <v/>
      </c>
      <c r="BI634" s="27" t="str">
        <f t="shared" si="276"/>
        <v/>
      </c>
      <c r="BJ634" s="27" t="str">
        <f t="shared" si="277"/>
        <v/>
      </c>
      <c r="BK634" s="27" t="str">
        <f t="shared" si="278"/>
        <v/>
      </c>
      <c r="BL634" s="27" t="str">
        <f t="shared" si="279"/>
        <v/>
      </c>
      <c r="BM634" s="21" t="s">
        <v>5581</v>
      </c>
    </row>
    <row r="635" spans="1:65" ht="15">
      <c r="A635" s="25" t="str">
        <f>IFERROR(INDEX('Hun Demand'!W:W,MATCH(O635,'Hun Demand'!A:A,0)),"")</f>
        <v/>
      </c>
      <c r="B635" s="25" t="str">
        <f>IFERROR(INDEX('Hun Demand'!V:V,MATCH(O635,'Hun Demand'!A:A,0)),"")</f>
        <v/>
      </c>
      <c r="C635" s="25" t="str">
        <f>IFERROR(INDEX('Hun Demand'!U:U,MATCH(O635,'Hun Demand'!A:A,0)),"")</f>
        <v/>
      </c>
      <c r="D635" s="25" t="str">
        <f>IFERROR(INDEX('Hun Demand'!T:T,MATCH(O635,'Hun Demand'!A:A,0)),"")</f>
        <v/>
      </c>
      <c r="E635" s="25" t="str">
        <f>IFERROR(INDEX('Hun Demand'!S:S,MATCH(O635,'Hun Demand'!A:A,0)),"")</f>
        <v/>
      </c>
      <c r="F635" s="25" t="str">
        <f>IFERROR(INDEX('Hun Demand'!R:R,MATCH(O635,'Hun Demand'!A:A,0)),"")</f>
        <v/>
      </c>
      <c r="G635" s="25">
        <f>IFERROR(INDEX('Aub Demand'!W:W,MATCH(O635,'Aub Demand'!A:A,0)),"")</f>
        <v>131</v>
      </c>
      <c r="H635" s="25">
        <f>IFERROR(INDEX('Aub Demand'!V:V,MATCH(O635,'Aub Demand'!A:A,0)),"")</f>
        <v>0</v>
      </c>
      <c r="I635" s="25">
        <f>IFERROR(INDEX('Aub Demand'!U:U,MATCH(O635,'Aub Demand'!A:A,0)),"")</f>
        <v>53</v>
      </c>
      <c r="J635" s="25">
        <f>IFERROR(INDEX('Aub Demand'!T:T,MATCH(O635,'Aub Demand'!A:A,0)),"")</f>
        <v>0</v>
      </c>
      <c r="K635" s="25">
        <f>IFERROR(INDEX('Aub Demand'!S:S,MATCH(O635,'Aub Demand'!A:A,0)),"")</f>
        <v>0</v>
      </c>
      <c r="L635" s="25">
        <f>IFERROR(INDEX('Aub Demand'!R:R,MATCH(O635,'Aub Demand'!A:A,0)),"")</f>
        <v>0</v>
      </c>
      <c r="O635" s="27" t="s">
        <v>1082</v>
      </c>
      <c r="P635" s="27" t="str">
        <f>IFERROR(INDEX('Aub Demand'!B:B,MATCH($O635,'Aub Demand'!$A:$A,0)),"")</f>
        <v>CO-VINTAGE MAHOGANY</v>
      </c>
      <c r="Q635" s="27" t="str">
        <f>IFERROR(INDEX('Aub Demand'!C:C,MATCH($O635,'Aub Demand'!$A:$A,0)),"")</f>
        <v>INTER</v>
      </c>
      <c r="R635" s="52">
        <f>IFERROR(IF(AR636=AR635,INDEX('Aub Demand'!K:K,MATCH($O635,'Aub Demand'!$A:$A,0))-IF(AN635="",0,AN635)+AP636,INDEX('Aub Demand'!K:K,MATCH($O635,'Aub Demand'!$A:$A,0))-IF(AN635="",0,AN635)),"")</f>
        <v>0</v>
      </c>
      <c r="S635" s="53">
        <f t="shared" si="252"/>
        <v>0</v>
      </c>
      <c r="T635" s="52" t="str">
        <f t="shared" si="253"/>
        <v/>
      </c>
      <c r="U635" s="52">
        <f>IFERROR(IF(AR636=AR635,INDEX('Aub Demand'!Q:Q,MATCH($O635,'Aub Demand'!$A:$A,0))-IF(AN635="",0,AN635)+AP636,INDEX('Aub Demand'!Q:Q,MATCH($O635,'Aub Demand'!$A:$A,0))-IF(AN635="",0,AN635)),"")</f>
        <v>0</v>
      </c>
      <c r="V635" s="53">
        <f t="shared" si="254"/>
        <v>0</v>
      </c>
      <c r="W635" s="52" t="str">
        <f t="shared" si="255"/>
        <v/>
      </c>
      <c r="X635" s="52">
        <f>IFERROR(IF(AND(AR636=AR635,AM635&lt;&gt;""),INDEX('Aub Demand'!Q:Q,MATCH($O635,'Aub Demand'!$A:$A,0))-IF(AN635="",0,AN635)+AP636+AD635+AL635,IF(AR636=AR635,INDEX('Aub Demand'!Q:Q,MATCH($O635,'Aub Demand'!$A:$A,0))-IF(AN635="",0,AN635)+AP636+AD635,IF(AM635&lt;&gt;"",INDEX('Aub Demand'!Q:Q,MATCH($O635,'Aub Demand'!$A:$A,0))-IF(AN635="",0,AN635)+AD635+AL635,INDEX('Aub Demand'!Q:Q,MATCH($O635,'Aub Demand'!$A:$A,0))-IF(AN635="",0,AN635)+AD635))),"")</f>
        <v>0</v>
      </c>
      <c r="Y635" s="53">
        <f t="shared" si="256"/>
        <v>0</v>
      </c>
      <c r="Z635" s="52">
        <f>IF(L635="","",INDEX('Aub Demand'!H:H,MATCH($O635,'Aub Demand'!$A:$A,0)))</f>
        <v>18</v>
      </c>
      <c r="AA635" s="52" t="str">
        <f t="shared" si="257"/>
        <v>-spike-</v>
      </c>
      <c r="AB635" s="52">
        <f>IFERROR(INDEX('Aub Demand'!L:L,MATCH($O635,'Aub Demand'!$A:$A,0)),"")</f>
        <v>14</v>
      </c>
      <c r="AC635" s="52">
        <f>IFERROR(IF(O635="","",SUMIFS('CPL Mats'!F:F,'CPL Mats'!Q:Q,AR635,'CPL Mats'!S:S,AS635)),"")</f>
        <v>0</v>
      </c>
      <c r="AF635" s="25" t="str">
        <f>IF(SUMIFS('Supp Consol'!S:S,'Supp Consol'!Y:Y,"Releasable",'Supp Consol'!A:A,O635)=0,"",SUMIFS('Supp Consol'!S:S,'Supp Consol'!Y:Y,"Releasable",'Supp Consol'!A:A,O635))</f>
        <v/>
      </c>
      <c r="AG635" s="25" t="str">
        <f>IFERROR(INDEX('Hun Demand'!Q:Q,MATCH(O635,'Hun Demand'!A:A,0)),"")</f>
        <v/>
      </c>
      <c r="AH635" s="25" t="str">
        <f>IFERROR(INDEX('Hun Demand'!H:H,MATCH($O635,'Hun Demand'!$A:$A,0)),"")</f>
        <v/>
      </c>
      <c r="AI635" s="25" t="str">
        <f>IF(SUMIFS('Supp Consol'!AA:AA,'Supp Consol'!Z:Z,"Expires this month",'Supp Consol'!A:A,O635)=0,"",SUMIFS('Supp Consol'!AA:AA,'Supp Consol'!Z:Z,"Expires this month",'Supp Consol'!A:A,O635))</f>
        <v/>
      </c>
      <c r="AJ635" s="25" t="str">
        <f>IF(SUMIFS('Supp Consol'!AA:AA,'Supp Consol'!Z:Z,"Expired Previous Months",'Supp Consol'!A:A,O635)=0,"",SUMIFS('Supp Consol'!AA:AA,'Supp Consol'!Z:Z,"Expired Previous Months",'Supp Consol'!A:A,O635))</f>
        <v/>
      </c>
      <c r="AK635" s="25" t="str">
        <f>IFERROR(INDEX('Hun Release Current'!B:B,MATCH(O635,'Hun Release Current'!A:A,0)),"")</f>
        <v/>
      </c>
      <c r="AL635" s="25" t="str">
        <f>IF(SUMIF('Prev Aub'!A:A,O635,'Prev Aub'!B:B)=0,"",SUMIF('Prev Aub'!A:A,O635,'Prev Aub'!B:B))</f>
        <v/>
      </c>
      <c r="AN635" s="25" t="s">
        <v>3790</v>
      </c>
      <c r="AO635" s="25" t="s">
        <v>3790</v>
      </c>
      <c r="AP635" s="25">
        <f t="shared" si="258"/>
        <v>0</v>
      </c>
      <c r="AQ635" s="151" t="str">
        <f>IF(SUMIFS('Supp Consol'!S:S,'Supp Consol'!A:A,O635,'Supp Consol'!I:I,"PENDING")=0,"",SUMIFS('Supp Consol'!S:S,'Supp Consol'!A:A,O635,'Supp Consol'!I:I,"PENDING"))</f>
        <v/>
      </c>
      <c r="AR635" s="27" t="str">
        <f t="shared" si="259"/>
        <v>K2023</v>
      </c>
      <c r="AS635" s="27" t="str">
        <f t="shared" si="260"/>
        <v>50</v>
      </c>
      <c r="AT635" s="27" t="str">
        <f t="shared" si="261"/>
        <v>K2023</v>
      </c>
      <c r="AU635" s="27" t="str">
        <f t="shared" si="262"/>
        <v>K2023</v>
      </c>
      <c r="AV635" s="27" t="str">
        <f t="shared" si="263"/>
        <v>K2023</v>
      </c>
      <c r="AW635" s="27" t="str">
        <f t="shared" si="264"/>
        <v/>
      </c>
      <c r="AX635" s="27" t="str">
        <f t="shared" si="265"/>
        <v/>
      </c>
      <c r="AY635" s="27" t="str">
        <f t="shared" si="266"/>
        <v/>
      </c>
      <c r="AZ635" s="27" t="str">
        <f t="shared" si="267"/>
        <v/>
      </c>
      <c r="BA635" s="27" t="str">
        <f t="shared" si="268"/>
        <v/>
      </c>
      <c r="BB635" s="27" t="str">
        <f t="shared" si="269"/>
        <v>Gross</v>
      </c>
      <c r="BC635" s="27" t="str">
        <f t="shared" si="270"/>
        <v>Net</v>
      </c>
      <c r="BD635" s="27" t="str">
        <f t="shared" si="271"/>
        <v>Net</v>
      </c>
      <c r="BE635" s="27" t="str">
        <f t="shared" si="272"/>
        <v/>
      </c>
      <c r="BF635" s="27" t="str">
        <f t="shared" si="273"/>
        <v/>
      </c>
      <c r="BG635" s="27" t="str">
        <f t="shared" si="274"/>
        <v/>
      </c>
      <c r="BH635" s="27" t="str">
        <f t="shared" si="275"/>
        <v/>
      </c>
      <c r="BI635" s="27" t="str">
        <f t="shared" si="276"/>
        <v/>
      </c>
      <c r="BJ635" s="27" t="str">
        <f t="shared" si="277"/>
        <v/>
      </c>
      <c r="BK635" s="27" t="str">
        <f t="shared" si="278"/>
        <v/>
      </c>
      <c r="BL635" s="27" t="str">
        <f t="shared" si="279"/>
        <v/>
      </c>
      <c r="BM635" s="21" t="s">
        <v>5581</v>
      </c>
    </row>
    <row r="636" spans="1:65" ht="15">
      <c r="A636" s="25" t="str">
        <f>IFERROR(INDEX('Hun Demand'!W:W,MATCH(O636,'Hun Demand'!A:A,0)),"")</f>
        <v/>
      </c>
      <c r="B636" s="25" t="str">
        <f>IFERROR(INDEX('Hun Demand'!V:V,MATCH(O636,'Hun Demand'!A:A,0)),"")</f>
        <v/>
      </c>
      <c r="C636" s="25" t="str">
        <f>IFERROR(INDEX('Hun Demand'!U:U,MATCH(O636,'Hun Demand'!A:A,0)),"")</f>
        <v/>
      </c>
      <c r="D636" s="25" t="str">
        <f>IFERROR(INDEX('Hun Demand'!T:T,MATCH(O636,'Hun Demand'!A:A,0)),"")</f>
        <v/>
      </c>
      <c r="E636" s="25" t="str">
        <f>IFERROR(INDEX('Hun Demand'!S:S,MATCH(O636,'Hun Demand'!A:A,0)),"")</f>
        <v/>
      </c>
      <c r="F636" s="25" t="str">
        <f>IFERROR(INDEX('Hun Demand'!R:R,MATCH(O636,'Hun Demand'!A:A,0)),"")</f>
        <v/>
      </c>
      <c r="G636" s="25">
        <f>IFERROR(INDEX('Aub Demand'!W:W,MATCH(O636,'Aub Demand'!A:A,0)),"")</f>
        <v>0</v>
      </c>
      <c r="H636" s="25">
        <f>IFERROR(INDEX('Aub Demand'!V:V,MATCH(O636,'Aub Demand'!A:A,0)),"")</f>
        <v>0</v>
      </c>
      <c r="I636" s="25">
        <f>IFERROR(INDEX('Aub Demand'!U:U,MATCH(O636,'Aub Demand'!A:A,0)),"")</f>
        <v>0</v>
      </c>
      <c r="J636" s="25">
        <f>IFERROR(INDEX('Aub Demand'!T:T,MATCH(O636,'Aub Demand'!A:A,0)),"")</f>
        <v>0</v>
      </c>
      <c r="K636" s="25">
        <f>IFERROR(INDEX('Aub Demand'!S:S,MATCH(O636,'Aub Demand'!A:A,0)),"")</f>
        <v>275</v>
      </c>
      <c r="L636" s="25">
        <f>IFERROR(INDEX('Aub Demand'!R:R,MATCH(O636,'Aub Demand'!A:A,0)),"")</f>
        <v>0</v>
      </c>
      <c r="O636" s="27" t="s">
        <v>1087</v>
      </c>
      <c r="P636" s="27" t="str">
        <f>IFERROR(INDEX('Aub Demand'!B:B,MATCH($O636,'Aub Demand'!$A:$A,0)),"")</f>
        <v>WHITE BACKER (ONYX)</v>
      </c>
      <c r="Q636" s="27">
        <f>IFERROR(INDEX('Aub Demand'!C:C,MATCH($O636,'Aub Demand'!$A:$A,0)),"")</f>
        <v>0</v>
      </c>
      <c r="R636" s="52">
        <f>IFERROR(IF(AR637=AR636,INDEX('Aub Demand'!K:K,MATCH($O636,'Aub Demand'!$A:$A,0))-IF(AN636="",0,AN636)+AP637,INDEX('Aub Demand'!K:K,MATCH($O636,'Aub Demand'!$A:$A,0))-IF(AN636="",0,AN636)),"")</f>
        <v>1975</v>
      </c>
      <c r="S636" s="53">
        <f t="shared" si="252"/>
        <v>92</v>
      </c>
      <c r="T636" s="52" t="str">
        <f t="shared" si="253"/>
        <v/>
      </c>
      <c r="U636" s="52">
        <f>IFERROR(IF(AR637=AR636,INDEX('Aub Demand'!Q:Q,MATCH($O636,'Aub Demand'!$A:$A,0))-IF(AN636="",0,AN636)+AP637,INDEX('Aub Demand'!Q:Q,MATCH($O636,'Aub Demand'!$A:$A,0))-IF(AN636="",0,AN636)),"")</f>
        <v>1975</v>
      </c>
      <c r="V636" s="53">
        <f t="shared" si="254"/>
        <v>92</v>
      </c>
      <c r="W636" s="52" t="str">
        <f t="shared" si="255"/>
        <v/>
      </c>
      <c r="X636" s="52">
        <f>IFERROR(IF(AND(AR637=AR636,AM636&lt;&gt;""),INDEX('Aub Demand'!Q:Q,MATCH($O636,'Aub Demand'!$A:$A,0))-IF(AN636="",0,AN636)+AP637+AD636+AL636,IF(AR637=AR636,INDEX('Aub Demand'!Q:Q,MATCH($O636,'Aub Demand'!$A:$A,0))-IF(AN636="",0,AN636)+AP637+AD636,IF(AM636&lt;&gt;"",INDEX('Aub Demand'!Q:Q,MATCH($O636,'Aub Demand'!$A:$A,0))-IF(AN636="",0,AN636)+AD636+AL636,INDEX('Aub Demand'!Q:Q,MATCH($O636,'Aub Demand'!$A:$A,0))-IF(AN636="",0,AN636)+AD636))),"")</f>
        <v>1975</v>
      </c>
      <c r="Y636" s="53">
        <f t="shared" si="256"/>
        <v>92</v>
      </c>
      <c r="Z636" s="52">
        <f>IF(L636="","",INDEX('Aub Demand'!H:H,MATCH($O636,'Aub Demand'!$A:$A,0)))</f>
        <v>92</v>
      </c>
      <c r="AA636" s="52" t="str">
        <f t="shared" si="257"/>
        <v>-spike-</v>
      </c>
      <c r="AB636" s="52">
        <f>IFERROR(INDEX('Aub Demand'!L:L,MATCH($O636,'Aub Demand'!$A:$A,0)),"")</f>
        <v>0</v>
      </c>
      <c r="AC636" s="52">
        <f>IFERROR(IF(O636="","",SUMIFS('CPL Mats'!F:F,'CPL Mats'!Q:Q,AR636,'CPL Mats'!S:S,AS636)),"")</f>
        <v>0</v>
      </c>
      <c r="AF636" s="25" t="str">
        <f>IF(SUMIFS('Supp Consol'!S:S,'Supp Consol'!Y:Y,"Releasable",'Supp Consol'!A:A,O636)=0,"",SUMIFS('Supp Consol'!S:S,'Supp Consol'!Y:Y,"Releasable",'Supp Consol'!A:A,O636))</f>
        <v/>
      </c>
      <c r="AG636" s="25" t="str">
        <f>IFERROR(INDEX('Hun Demand'!Q:Q,MATCH(O636,'Hun Demand'!A:A,0)),"")</f>
        <v/>
      </c>
      <c r="AH636" s="25" t="str">
        <f>IFERROR(INDEX('Hun Demand'!H:H,MATCH($O636,'Hun Demand'!$A:$A,0)),"")</f>
        <v/>
      </c>
      <c r="AI636" s="25" t="str">
        <f>IF(SUMIFS('Supp Consol'!AA:AA,'Supp Consol'!Z:Z,"Expires this month",'Supp Consol'!A:A,O636)=0,"",SUMIFS('Supp Consol'!AA:AA,'Supp Consol'!Z:Z,"Expires this month",'Supp Consol'!A:A,O636))</f>
        <v/>
      </c>
      <c r="AJ636" s="25" t="str">
        <f>IF(SUMIFS('Supp Consol'!AA:AA,'Supp Consol'!Z:Z,"Expired Previous Months",'Supp Consol'!A:A,O636)=0,"",SUMIFS('Supp Consol'!AA:AA,'Supp Consol'!Z:Z,"Expired Previous Months",'Supp Consol'!A:A,O636))</f>
        <v/>
      </c>
      <c r="AK636" s="25" t="str">
        <f>IFERROR(INDEX('Hun Release Current'!B:B,MATCH(O636,'Hun Release Current'!A:A,0)),"")</f>
        <v/>
      </c>
      <c r="AL636" s="25" t="str">
        <f>IF(SUMIF('Prev Aub'!A:A,O636,'Prev Aub'!B:B)=0,"",SUMIF('Prev Aub'!A:A,O636,'Prev Aub'!B:B))</f>
        <v/>
      </c>
      <c r="AN636" s="25" t="s">
        <v>3790</v>
      </c>
      <c r="AO636" s="25" t="s">
        <v>3790</v>
      </c>
      <c r="AP636" s="25">
        <f t="shared" si="258"/>
        <v>0</v>
      </c>
      <c r="AQ636" s="151" t="str">
        <f>IF(SUMIFS('Supp Consol'!S:S,'Supp Consol'!A:A,O636,'Supp Consol'!I:I,"PENDING")=0,"",SUMIFS('Supp Consol'!S:S,'Supp Consol'!A:A,O636,'Supp Consol'!I:I,"PENDING"))</f>
        <v/>
      </c>
      <c r="AR636" s="27" t="str">
        <f t="shared" si="259"/>
        <v>K2037</v>
      </c>
      <c r="AS636" s="27" t="str">
        <f t="shared" si="260"/>
        <v>50</v>
      </c>
      <c r="AT636" s="27" t="str">
        <f t="shared" si="261"/>
        <v/>
      </c>
      <c r="AU636" s="27" t="str">
        <f t="shared" si="262"/>
        <v/>
      </c>
      <c r="AV636" s="27" t="str">
        <f t="shared" si="263"/>
        <v/>
      </c>
      <c r="AW636" s="27" t="str">
        <f t="shared" si="264"/>
        <v/>
      </c>
      <c r="AX636" s="27" t="str">
        <f t="shared" si="265"/>
        <v/>
      </c>
      <c r="AY636" s="27" t="str">
        <f t="shared" si="266"/>
        <v/>
      </c>
      <c r="AZ636" s="27" t="str">
        <f t="shared" si="267"/>
        <v/>
      </c>
      <c r="BA636" s="27" t="str">
        <f t="shared" si="268"/>
        <v/>
      </c>
      <c r="BB636" s="27" t="str">
        <f t="shared" si="269"/>
        <v/>
      </c>
      <c r="BC636" s="27" t="str">
        <f t="shared" si="270"/>
        <v/>
      </c>
      <c r="BD636" s="27" t="str">
        <f t="shared" si="271"/>
        <v/>
      </c>
      <c r="BE636" s="27" t="str">
        <f t="shared" si="272"/>
        <v/>
      </c>
      <c r="BF636" s="27" t="str">
        <f t="shared" si="273"/>
        <v/>
      </c>
      <c r="BG636" s="27" t="str">
        <f t="shared" si="274"/>
        <v/>
      </c>
      <c r="BH636" s="27" t="str">
        <f t="shared" si="275"/>
        <v/>
      </c>
      <c r="BI636" s="27" t="str">
        <f t="shared" si="276"/>
        <v/>
      </c>
      <c r="BJ636" s="27" t="str">
        <f t="shared" si="277"/>
        <v/>
      </c>
      <c r="BK636" s="27" t="str">
        <f t="shared" si="278"/>
        <v/>
      </c>
      <c r="BL636" s="27" t="str">
        <f t="shared" si="279"/>
        <v/>
      </c>
      <c r="BM636" s="21" t="s">
        <v>3790</v>
      </c>
    </row>
    <row r="637" spans="1:65" ht="15">
      <c r="A637" s="25" t="str">
        <f>IFERROR(INDEX('Hun Demand'!W:W,MATCH(O637,'Hun Demand'!A:A,0)),"")</f>
        <v/>
      </c>
      <c r="B637" s="25" t="str">
        <f>IFERROR(INDEX('Hun Demand'!V:V,MATCH(O637,'Hun Demand'!A:A,0)),"")</f>
        <v/>
      </c>
      <c r="C637" s="25" t="str">
        <f>IFERROR(INDEX('Hun Demand'!U:U,MATCH(O637,'Hun Demand'!A:A,0)),"")</f>
        <v/>
      </c>
      <c r="D637" s="25" t="str">
        <f>IFERROR(INDEX('Hun Demand'!T:T,MATCH(O637,'Hun Demand'!A:A,0)),"")</f>
        <v/>
      </c>
      <c r="E637" s="25" t="str">
        <f>IFERROR(INDEX('Hun Demand'!S:S,MATCH(O637,'Hun Demand'!A:A,0)),"")</f>
        <v/>
      </c>
      <c r="F637" s="25" t="str">
        <f>IFERROR(INDEX('Hun Demand'!R:R,MATCH(O637,'Hun Demand'!A:A,0)),"")</f>
        <v/>
      </c>
      <c r="G637" s="25">
        <f>IFERROR(INDEX('Aub Demand'!W:W,MATCH(O637,'Aub Demand'!A:A,0)),"")</f>
        <v>0</v>
      </c>
      <c r="H637" s="25">
        <f>IFERROR(INDEX('Aub Demand'!V:V,MATCH(O637,'Aub Demand'!A:A,0)),"")</f>
        <v>24</v>
      </c>
      <c r="I637" s="25">
        <f>IFERROR(INDEX('Aub Demand'!U:U,MATCH(O637,'Aub Demand'!A:A,0)),"")</f>
        <v>15</v>
      </c>
      <c r="J637" s="25">
        <f>IFERROR(INDEX('Aub Demand'!T:T,MATCH(O637,'Aub Demand'!A:A,0)),"")</f>
        <v>0</v>
      </c>
      <c r="K637" s="25">
        <f>IFERROR(INDEX('Aub Demand'!S:S,MATCH(O637,'Aub Demand'!A:A,0)),"")</f>
        <v>0</v>
      </c>
      <c r="L637" s="25">
        <f>IFERROR(INDEX('Aub Demand'!R:R,MATCH(O637,'Aub Demand'!A:A,0)),"")</f>
        <v>0</v>
      </c>
      <c r="O637" s="27" t="s">
        <v>1089</v>
      </c>
      <c r="P637" s="27" t="str">
        <f>IFERROR(INDEX('Aub Demand'!B:B,MATCH($O637,'Aub Demand'!$A:$A,0)),"")</f>
        <v>SAGE (OLD SV720 FOR</v>
      </c>
      <c r="Q637" s="27" t="str">
        <f>IFERROR(INDEX('Aub Demand'!C:C,MATCH($O637,'Aub Demand'!$A:$A,0)),"")</f>
        <v>ONYX</v>
      </c>
      <c r="R637" s="52">
        <f>IFERROR(IF(AR638=AR637,INDEX('Aub Demand'!K:K,MATCH($O637,'Aub Demand'!$A:$A,0))-IF(AN637="",0,AN637)+AP638,INDEX('Aub Demand'!K:K,MATCH($O637,'Aub Demand'!$A:$A,0))-IF(AN637="",0,AN637)),"")</f>
        <v>167</v>
      </c>
      <c r="S637" s="53">
        <f t="shared" si="252"/>
        <v>143.1</v>
      </c>
      <c r="T637" s="52" t="str">
        <f t="shared" si="253"/>
        <v/>
      </c>
      <c r="U637" s="52">
        <f>IFERROR(IF(AR638=AR637,INDEX('Aub Demand'!Q:Q,MATCH($O637,'Aub Demand'!$A:$A,0))-IF(AN637="",0,AN637)+AP638,INDEX('Aub Demand'!Q:Q,MATCH($O637,'Aub Demand'!$A:$A,0))-IF(AN637="",0,AN637)),"")</f>
        <v>167</v>
      </c>
      <c r="V637" s="53">
        <f t="shared" si="254"/>
        <v>143.1</v>
      </c>
      <c r="W637" s="52" t="str">
        <f t="shared" si="255"/>
        <v/>
      </c>
      <c r="X637" s="52">
        <f>IFERROR(IF(AND(AR638=AR637,AM637&lt;&gt;""),INDEX('Aub Demand'!Q:Q,MATCH($O637,'Aub Demand'!$A:$A,0))-IF(AN637="",0,AN637)+AP638+AD637+AL637,IF(AR638=AR637,INDEX('Aub Demand'!Q:Q,MATCH($O637,'Aub Demand'!$A:$A,0))-IF(AN637="",0,AN637)+AP638+AD637,IF(AM637&lt;&gt;"",INDEX('Aub Demand'!Q:Q,MATCH($O637,'Aub Demand'!$A:$A,0))-IF(AN637="",0,AN637)+AD637+AL637,INDEX('Aub Demand'!Q:Q,MATCH($O637,'Aub Demand'!$A:$A,0))-IF(AN637="",0,AN637)+AD637))),"")</f>
        <v>167</v>
      </c>
      <c r="Y637" s="53">
        <f t="shared" si="256"/>
        <v>143.1</v>
      </c>
      <c r="Z637" s="52">
        <f>IF(L637="","",INDEX('Aub Demand'!H:H,MATCH($O637,'Aub Demand'!$A:$A,0)))</f>
        <v>5</v>
      </c>
      <c r="AA637" s="52" t="str">
        <f t="shared" si="257"/>
        <v>-spike-</v>
      </c>
      <c r="AB637" s="52">
        <f>IFERROR(INDEX('Aub Demand'!L:L,MATCH($O637,'Aub Demand'!$A:$A,0)),"")</f>
        <v>14</v>
      </c>
      <c r="AC637" s="52">
        <f>IFERROR(IF(O637="","",SUMIFS('CPL Mats'!F:F,'CPL Mats'!Q:Q,AR637,'CPL Mats'!S:S,AS637)),"")</f>
        <v>0</v>
      </c>
      <c r="AF637" s="25" t="str">
        <f>IF(SUMIFS('Supp Consol'!S:S,'Supp Consol'!Y:Y,"Releasable",'Supp Consol'!A:A,O637)=0,"",SUMIFS('Supp Consol'!S:S,'Supp Consol'!Y:Y,"Releasable",'Supp Consol'!A:A,O637))</f>
        <v/>
      </c>
      <c r="AG637" s="25" t="str">
        <f>IFERROR(INDEX('Hun Demand'!Q:Q,MATCH(O637,'Hun Demand'!A:A,0)),"")</f>
        <v/>
      </c>
      <c r="AH637" s="25" t="str">
        <f>IFERROR(INDEX('Hun Demand'!H:H,MATCH($O637,'Hun Demand'!$A:$A,0)),"")</f>
        <v/>
      </c>
      <c r="AI637" s="25" t="str">
        <f>IF(SUMIFS('Supp Consol'!AA:AA,'Supp Consol'!Z:Z,"Expires this month",'Supp Consol'!A:A,O637)=0,"",SUMIFS('Supp Consol'!AA:AA,'Supp Consol'!Z:Z,"Expires this month",'Supp Consol'!A:A,O637))</f>
        <v/>
      </c>
      <c r="AJ637" s="25" t="str">
        <f>IF(SUMIFS('Supp Consol'!AA:AA,'Supp Consol'!Z:Z,"Expired Previous Months",'Supp Consol'!A:A,O637)=0,"",SUMIFS('Supp Consol'!AA:AA,'Supp Consol'!Z:Z,"Expired Previous Months",'Supp Consol'!A:A,O637))</f>
        <v/>
      </c>
      <c r="AK637" s="25" t="str">
        <f>IFERROR(INDEX('Hun Release Current'!B:B,MATCH(O637,'Hun Release Current'!A:A,0)),"")</f>
        <v/>
      </c>
      <c r="AL637" s="25" t="str">
        <f>IF(SUMIF('Prev Aub'!A:A,O637,'Prev Aub'!B:B)=0,"",SUMIF('Prev Aub'!A:A,O637,'Prev Aub'!B:B))</f>
        <v/>
      </c>
      <c r="AN637" s="25" t="s">
        <v>3790</v>
      </c>
      <c r="AO637" s="25" t="s">
        <v>3790</v>
      </c>
      <c r="AP637" s="25">
        <f t="shared" si="258"/>
        <v>0</v>
      </c>
      <c r="AQ637" s="151" t="str">
        <f>IF(SUMIFS('Supp Consol'!S:S,'Supp Consol'!A:A,O637,'Supp Consol'!I:I,"PENDING")=0,"",SUMIFS('Supp Consol'!S:S,'Supp Consol'!A:A,O637,'Supp Consol'!I:I,"PENDING"))</f>
        <v/>
      </c>
      <c r="AR637" s="27" t="str">
        <f t="shared" si="259"/>
        <v>K2038</v>
      </c>
      <c r="AS637" s="27" t="str">
        <f t="shared" si="260"/>
        <v>50</v>
      </c>
      <c r="AT637" s="27" t="str">
        <f t="shared" si="261"/>
        <v/>
      </c>
      <c r="AU637" s="27" t="str">
        <f t="shared" si="262"/>
        <v/>
      </c>
      <c r="AV637" s="27" t="str">
        <f t="shared" si="263"/>
        <v/>
      </c>
      <c r="AW637" s="27" t="str">
        <f t="shared" si="264"/>
        <v/>
      </c>
      <c r="AX637" s="27" t="str">
        <f t="shared" si="265"/>
        <v/>
      </c>
      <c r="AY637" s="27" t="str">
        <f t="shared" si="266"/>
        <v/>
      </c>
      <c r="AZ637" s="27" t="str">
        <f t="shared" si="267"/>
        <v/>
      </c>
      <c r="BA637" s="27" t="str">
        <f t="shared" si="268"/>
        <v/>
      </c>
      <c r="BB637" s="27" t="str">
        <f t="shared" si="269"/>
        <v/>
      </c>
      <c r="BC637" s="27" t="str">
        <f t="shared" si="270"/>
        <v/>
      </c>
      <c r="BD637" s="27" t="str">
        <f t="shared" si="271"/>
        <v/>
      </c>
      <c r="BE637" s="27" t="str">
        <f t="shared" si="272"/>
        <v/>
      </c>
      <c r="BF637" s="27" t="str">
        <f t="shared" si="273"/>
        <v/>
      </c>
      <c r="BG637" s="27" t="str">
        <f t="shared" si="274"/>
        <v/>
      </c>
      <c r="BH637" s="27" t="str">
        <f t="shared" si="275"/>
        <v/>
      </c>
      <c r="BI637" s="27" t="str">
        <f t="shared" si="276"/>
        <v/>
      </c>
      <c r="BJ637" s="27" t="str">
        <f t="shared" si="277"/>
        <v/>
      </c>
      <c r="BK637" s="27" t="str">
        <f t="shared" si="278"/>
        <v/>
      </c>
      <c r="BL637" s="27" t="str">
        <f t="shared" si="279"/>
        <v/>
      </c>
      <c r="BM637" s="21" t="s">
        <v>5581</v>
      </c>
    </row>
    <row r="638" spans="1:65" ht="15">
      <c r="A638" s="25" t="str">
        <f>IFERROR(INDEX('Hun Demand'!W:W,MATCH(O638,'Hun Demand'!A:A,0)),"")</f>
        <v/>
      </c>
      <c r="B638" s="25" t="str">
        <f>IFERROR(INDEX('Hun Demand'!V:V,MATCH(O638,'Hun Demand'!A:A,0)),"")</f>
        <v/>
      </c>
      <c r="C638" s="25" t="str">
        <f>IFERROR(INDEX('Hun Demand'!U:U,MATCH(O638,'Hun Demand'!A:A,0)),"")</f>
        <v/>
      </c>
      <c r="D638" s="25" t="str">
        <f>IFERROR(INDEX('Hun Demand'!T:T,MATCH(O638,'Hun Demand'!A:A,0)),"")</f>
        <v/>
      </c>
      <c r="E638" s="25" t="str">
        <f>IFERROR(INDEX('Hun Demand'!S:S,MATCH(O638,'Hun Demand'!A:A,0)),"")</f>
        <v/>
      </c>
      <c r="F638" s="25" t="str">
        <f>IFERROR(INDEX('Hun Demand'!R:R,MATCH(O638,'Hun Demand'!A:A,0)),"")</f>
        <v/>
      </c>
      <c r="G638" s="25">
        <f>IFERROR(INDEX('Aub Demand'!W:W,MATCH(O638,'Aub Demand'!A:A,0)),"")</f>
        <v>0</v>
      </c>
      <c r="H638" s="25">
        <f>IFERROR(INDEX('Aub Demand'!V:V,MATCH(O638,'Aub Demand'!A:A,0)),"")</f>
        <v>20</v>
      </c>
      <c r="I638" s="25">
        <f>IFERROR(INDEX('Aub Demand'!U:U,MATCH(O638,'Aub Demand'!A:A,0)),"")</f>
        <v>283</v>
      </c>
      <c r="J638" s="25">
        <f>IFERROR(INDEX('Aub Demand'!T:T,MATCH(O638,'Aub Demand'!A:A,0)),"")</f>
        <v>86</v>
      </c>
      <c r="K638" s="25">
        <f>IFERROR(INDEX('Aub Demand'!S:S,MATCH(O638,'Aub Demand'!A:A,0)),"")</f>
        <v>0</v>
      </c>
      <c r="L638" s="25">
        <f>IFERROR(INDEX('Aub Demand'!R:R,MATCH(O638,'Aub Demand'!A:A,0)),"")</f>
        <v>0</v>
      </c>
      <c r="O638" s="27" t="s">
        <v>2218</v>
      </c>
      <c r="P638" s="27" t="str">
        <f>IFERROR(INDEX('Aub Demand'!B:B,MATCH($O638,'Aub Demand'!$A:$A,0)),"")</f>
        <v>GOTHAM METRO</v>
      </c>
      <c r="Q638" s="27" t="str">
        <f>IFERROR(INDEX('Aub Demand'!C:C,MATCH($O638,'Aub Demand'!$A:$A,0)),"")</f>
        <v>TOPPA</v>
      </c>
      <c r="R638" s="52">
        <f>IFERROR(IF(AR639=AR638,INDEX('Aub Demand'!K:K,MATCH($O638,'Aub Demand'!$A:$A,0))-IF(AN638="",0,AN638)+AP639,INDEX('Aub Demand'!K:K,MATCH($O638,'Aub Demand'!$A:$A,0))-IF(AN638="",0,AN638)),"")</f>
        <v>281</v>
      </c>
      <c r="S638" s="53">
        <f t="shared" si="252"/>
        <v>9.8000000000000007</v>
      </c>
      <c r="T638" s="52" t="str">
        <f t="shared" si="253"/>
        <v/>
      </c>
      <c r="U638" s="52">
        <f>IFERROR(IF(AR639=AR638,INDEX('Aub Demand'!Q:Q,MATCH($O638,'Aub Demand'!$A:$A,0))-IF(AN638="",0,AN638)+AP639,INDEX('Aub Demand'!Q:Q,MATCH($O638,'Aub Demand'!$A:$A,0))-IF(AN638="",0,AN638)),"")</f>
        <v>169</v>
      </c>
      <c r="V638" s="53">
        <f t="shared" si="254"/>
        <v>5.9</v>
      </c>
      <c r="W638" s="52" t="str">
        <f t="shared" si="255"/>
        <v/>
      </c>
      <c r="X638" s="52">
        <f>IFERROR(IF(AND(AR639=AR638,AM638&lt;&gt;""),INDEX('Aub Demand'!Q:Q,MATCH($O638,'Aub Demand'!$A:$A,0))-IF(AN638="",0,AN638)+AP639+AD638+AL638,IF(AR639=AR638,INDEX('Aub Demand'!Q:Q,MATCH($O638,'Aub Demand'!$A:$A,0))-IF(AN638="",0,AN638)+AP639+AD638,IF(AM638&lt;&gt;"",INDEX('Aub Demand'!Q:Q,MATCH($O638,'Aub Demand'!$A:$A,0))-IF(AN638="",0,AN638)+AD638+AL638,INDEX('Aub Demand'!Q:Q,MATCH($O638,'Aub Demand'!$A:$A,0))-IF(AN638="",0,AN638)+AD638))),"")</f>
        <v>169</v>
      </c>
      <c r="Y638" s="53">
        <f t="shared" si="256"/>
        <v>5.9</v>
      </c>
      <c r="Z638" s="52">
        <f>IF(L638="","",INDEX('Aub Demand'!H:H,MATCH($O638,'Aub Demand'!$A:$A,0)))</f>
        <v>123</v>
      </c>
      <c r="AA638" s="52">
        <f t="shared" si="257"/>
        <v>184.5</v>
      </c>
      <c r="AB638" s="52">
        <f>IFERROR(INDEX('Aub Demand'!L:L,MATCH($O638,'Aub Demand'!$A:$A,0)),"")</f>
        <v>49</v>
      </c>
      <c r="AC638" s="52">
        <f>IFERROR(IF(O638="","",SUMIFS('CPL Mats'!F:F,'CPL Mats'!Q:Q,AR638,'CPL Mats'!S:S,AS638)),"")</f>
        <v>0</v>
      </c>
      <c r="AF638" s="25" t="str">
        <f>IF(SUMIFS('Supp Consol'!S:S,'Supp Consol'!Y:Y,"Releasable",'Supp Consol'!A:A,O638)=0,"",SUMIFS('Supp Consol'!S:S,'Supp Consol'!Y:Y,"Releasable",'Supp Consol'!A:A,O638))</f>
        <v/>
      </c>
      <c r="AG638" s="25" t="str">
        <f>IFERROR(INDEX('Hun Demand'!Q:Q,MATCH(O638,'Hun Demand'!A:A,0)),"")</f>
        <v/>
      </c>
      <c r="AH638" s="25" t="str">
        <f>IFERROR(INDEX('Hun Demand'!H:H,MATCH($O638,'Hun Demand'!$A:$A,0)),"")</f>
        <v/>
      </c>
      <c r="AI638" s="25" t="str">
        <f>IF(SUMIFS('Supp Consol'!AA:AA,'Supp Consol'!Z:Z,"Expires this month",'Supp Consol'!A:A,O638)=0,"",SUMIFS('Supp Consol'!AA:AA,'Supp Consol'!Z:Z,"Expires this month",'Supp Consol'!A:A,O638))</f>
        <v/>
      </c>
      <c r="AJ638" s="25" t="str">
        <f>IF(SUMIFS('Supp Consol'!AA:AA,'Supp Consol'!Z:Z,"Expired Previous Months",'Supp Consol'!A:A,O638)=0,"",SUMIFS('Supp Consol'!AA:AA,'Supp Consol'!Z:Z,"Expired Previous Months",'Supp Consol'!A:A,O638))</f>
        <v/>
      </c>
      <c r="AK638" s="25" t="str">
        <f>IFERROR(INDEX('Hun Release Current'!B:B,MATCH(O638,'Hun Release Current'!A:A,0)),"")</f>
        <v/>
      </c>
      <c r="AL638" s="25" t="str">
        <f>IF(SUMIF('Prev Aub'!A:A,O638,'Prev Aub'!B:B)=0,"",SUMIF('Prev Aub'!A:A,O638,'Prev Aub'!B:B))</f>
        <v/>
      </c>
      <c r="AN638" s="25" t="s">
        <v>3790</v>
      </c>
      <c r="AO638" s="25" t="s">
        <v>3790</v>
      </c>
      <c r="AP638" s="25">
        <f t="shared" si="258"/>
        <v>0</v>
      </c>
      <c r="AQ638" s="151" t="str">
        <f>IF(SUMIFS('Supp Consol'!S:S,'Supp Consol'!A:A,O638,'Supp Consol'!I:I,"PENDING")=0,"",SUMIFS('Supp Consol'!S:S,'Supp Consol'!A:A,O638,'Supp Consol'!I:I,"PENDING"))</f>
        <v/>
      </c>
      <c r="AR638" s="27" t="str">
        <f t="shared" si="259"/>
        <v>K3000</v>
      </c>
      <c r="AS638" s="27" t="str">
        <f t="shared" si="260"/>
        <v>50</v>
      </c>
      <c r="AT638" s="27" t="str">
        <f t="shared" si="261"/>
        <v/>
      </c>
      <c r="AU638" s="27" t="str">
        <f t="shared" si="262"/>
        <v/>
      </c>
      <c r="AV638" s="27" t="str">
        <f t="shared" si="263"/>
        <v/>
      </c>
      <c r="AW638" s="27" t="str">
        <f t="shared" si="264"/>
        <v/>
      </c>
      <c r="AX638" s="27" t="str">
        <f t="shared" si="265"/>
        <v/>
      </c>
      <c r="AY638" s="27" t="str">
        <f t="shared" si="266"/>
        <v/>
      </c>
      <c r="AZ638" s="27" t="str">
        <f t="shared" si="267"/>
        <v/>
      </c>
      <c r="BA638" s="27" t="str">
        <f t="shared" si="268"/>
        <v/>
      </c>
      <c r="BB638" s="27" t="str">
        <f t="shared" si="269"/>
        <v/>
      </c>
      <c r="BC638" s="27" t="str">
        <f t="shared" si="270"/>
        <v/>
      </c>
      <c r="BD638" s="27" t="str">
        <f t="shared" si="271"/>
        <v/>
      </c>
      <c r="BE638" s="27" t="str">
        <f t="shared" si="272"/>
        <v/>
      </c>
      <c r="BF638" s="27" t="str">
        <f t="shared" si="273"/>
        <v/>
      </c>
      <c r="BG638" s="27" t="str">
        <f t="shared" si="274"/>
        <v/>
      </c>
      <c r="BH638" s="27" t="str">
        <f t="shared" si="275"/>
        <v/>
      </c>
      <c r="BI638" s="27" t="str">
        <f t="shared" si="276"/>
        <v/>
      </c>
      <c r="BJ638" s="27" t="str">
        <f t="shared" si="277"/>
        <v/>
      </c>
      <c r="BK638" s="27" t="str">
        <f t="shared" si="278"/>
        <v/>
      </c>
      <c r="BL638" s="27" t="str">
        <f t="shared" si="279"/>
        <v/>
      </c>
      <c r="BM638" s="21" t="s">
        <v>5581</v>
      </c>
    </row>
    <row r="639" spans="1:65" ht="15">
      <c r="A639" s="25" t="str">
        <f>IFERROR(INDEX('Hun Demand'!W:W,MATCH(O639,'Hun Demand'!A:A,0)),"")</f>
        <v/>
      </c>
      <c r="B639" s="25" t="str">
        <f>IFERROR(INDEX('Hun Demand'!V:V,MATCH(O639,'Hun Demand'!A:A,0)),"")</f>
        <v/>
      </c>
      <c r="C639" s="25" t="str">
        <f>IFERROR(INDEX('Hun Demand'!U:U,MATCH(O639,'Hun Demand'!A:A,0)),"")</f>
        <v/>
      </c>
      <c r="D639" s="25" t="str">
        <f>IFERROR(INDEX('Hun Demand'!T:T,MATCH(O639,'Hun Demand'!A:A,0)),"")</f>
        <v/>
      </c>
      <c r="E639" s="25" t="str">
        <f>IFERROR(INDEX('Hun Demand'!S:S,MATCH(O639,'Hun Demand'!A:A,0)),"")</f>
        <v/>
      </c>
      <c r="F639" s="25" t="str">
        <f>IFERROR(INDEX('Hun Demand'!R:R,MATCH(O639,'Hun Demand'!A:A,0)),"")</f>
        <v/>
      </c>
      <c r="G639" s="25">
        <f>IFERROR(INDEX('Aub Demand'!W:W,MATCH(O639,'Aub Demand'!A:A,0)),"")</f>
        <v>212</v>
      </c>
      <c r="H639" s="25">
        <f>IFERROR(INDEX('Aub Demand'!V:V,MATCH(O639,'Aub Demand'!A:A,0)),"")</f>
        <v>157</v>
      </c>
      <c r="I639" s="25">
        <f>IFERROR(INDEX('Aub Demand'!U:U,MATCH(O639,'Aub Demand'!A:A,0)),"")</f>
        <v>299</v>
      </c>
      <c r="J639" s="25">
        <f>IFERROR(INDEX('Aub Demand'!T:T,MATCH(O639,'Aub Demand'!A:A,0)),"")</f>
        <v>0</v>
      </c>
      <c r="K639" s="25">
        <f>IFERROR(INDEX('Aub Demand'!S:S,MATCH(O639,'Aub Demand'!A:A,0)),"")</f>
        <v>263</v>
      </c>
      <c r="L639" s="25">
        <f>IFERROR(INDEX('Aub Demand'!R:R,MATCH(O639,'Aub Demand'!A:A,0)),"")</f>
        <v>0</v>
      </c>
      <c r="O639" s="27" t="s">
        <v>2221</v>
      </c>
      <c r="P639" s="27" t="str">
        <f>IFERROR(INDEX('Aub Demand'!B:B,MATCH($O639,'Aub Demand'!$A:$A,0)),"")</f>
        <v>GOTHAM METRO</v>
      </c>
      <c r="Q639" s="27" t="str">
        <f>IFERROR(INDEX('Aub Demand'!C:C,MATCH($O639,'Aub Demand'!$A:$A,0)),"")</f>
        <v>TOPPA</v>
      </c>
      <c r="R639" s="52">
        <f>IFERROR(IF(AR640=AR639,INDEX('Aub Demand'!K:K,MATCH($O639,'Aub Demand'!$A:$A,0))-IF(AN639="",0,AN639)+AP640,INDEX('Aub Demand'!K:K,MATCH($O639,'Aub Demand'!$A:$A,0))-IF(AN639="",0,AN639)),"")</f>
        <v>333</v>
      </c>
      <c r="S639" s="53">
        <f t="shared" si="252"/>
        <v>7.6</v>
      </c>
      <c r="T639" s="52" t="str">
        <f t="shared" si="253"/>
        <v/>
      </c>
      <c r="U639" s="52">
        <f>IFERROR(IF(AR640=AR639,INDEX('Aub Demand'!Q:Q,MATCH($O639,'Aub Demand'!$A:$A,0))-IF(AN639="",0,AN639)+AP640,INDEX('Aub Demand'!Q:Q,MATCH($O639,'Aub Demand'!$A:$A,0))-IF(AN639="",0,AN639)),"")</f>
        <v>247</v>
      </c>
      <c r="V639" s="53">
        <f t="shared" si="254"/>
        <v>5.7</v>
      </c>
      <c r="W639" s="52" t="str">
        <f t="shared" si="255"/>
        <v/>
      </c>
      <c r="X639" s="52">
        <f>IFERROR(IF(AND(AR640=AR639,AM639&lt;&gt;""),INDEX('Aub Demand'!Q:Q,MATCH($O639,'Aub Demand'!$A:$A,0))-IF(AN639="",0,AN639)+AP640+AD639+AL639,IF(AR640=AR639,INDEX('Aub Demand'!Q:Q,MATCH($O639,'Aub Demand'!$A:$A,0))-IF(AN639="",0,AN639)+AP640+AD639,IF(AM639&lt;&gt;"",INDEX('Aub Demand'!Q:Q,MATCH($O639,'Aub Demand'!$A:$A,0))-IF(AN639="",0,AN639)+AD639+AL639,INDEX('Aub Demand'!Q:Q,MATCH($O639,'Aub Demand'!$A:$A,0))-IF(AN639="",0,AN639)+AD639))),"")</f>
        <v>247</v>
      </c>
      <c r="Y639" s="53">
        <f t="shared" si="256"/>
        <v>5.7</v>
      </c>
      <c r="Z639" s="52">
        <f>IF(L639="","",INDEX('Aub Demand'!H:H,MATCH($O639,'Aub Demand'!$A:$A,0)))</f>
        <v>187</v>
      </c>
      <c r="AA639" s="52">
        <f t="shared" si="257"/>
        <v>281</v>
      </c>
      <c r="AB639" s="52">
        <f>IFERROR(INDEX('Aub Demand'!L:L,MATCH($O639,'Aub Demand'!$A:$A,0)),"")</f>
        <v>144</v>
      </c>
      <c r="AC639" s="52">
        <f>IFERROR(IF(O639="","",SUMIFS('CPL Mats'!F:F,'CPL Mats'!Q:Q,AR639,'CPL Mats'!S:S,AS639)),"")</f>
        <v>0</v>
      </c>
      <c r="AF639" s="25" t="str">
        <f>IF(SUMIFS('Supp Consol'!S:S,'Supp Consol'!Y:Y,"Releasable",'Supp Consol'!A:A,O639)=0,"",SUMIFS('Supp Consol'!S:S,'Supp Consol'!Y:Y,"Releasable",'Supp Consol'!A:A,O639))</f>
        <v/>
      </c>
      <c r="AG639" s="25" t="str">
        <f>IFERROR(INDEX('Hun Demand'!Q:Q,MATCH(O639,'Hun Demand'!A:A,0)),"")</f>
        <v/>
      </c>
      <c r="AH639" s="25" t="str">
        <f>IFERROR(INDEX('Hun Demand'!H:H,MATCH($O639,'Hun Demand'!$A:$A,0)),"")</f>
        <v/>
      </c>
      <c r="AI639" s="25" t="str">
        <f>IF(SUMIFS('Supp Consol'!AA:AA,'Supp Consol'!Z:Z,"Expires this month",'Supp Consol'!A:A,O639)=0,"",SUMIFS('Supp Consol'!AA:AA,'Supp Consol'!Z:Z,"Expires this month",'Supp Consol'!A:A,O639))</f>
        <v/>
      </c>
      <c r="AJ639" s="25" t="str">
        <f>IF(SUMIFS('Supp Consol'!AA:AA,'Supp Consol'!Z:Z,"Expired Previous Months",'Supp Consol'!A:A,O639)=0,"",SUMIFS('Supp Consol'!AA:AA,'Supp Consol'!Z:Z,"Expired Previous Months",'Supp Consol'!A:A,O639))</f>
        <v/>
      </c>
      <c r="AK639" s="25" t="str">
        <f>IFERROR(INDEX('Hun Release Current'!B:B,MATCH(O639,'Hun Release Current'!A:A,0)),"")</f>
        <v/>
      </c>
      <c r="AL639" s="25" t="str">
        <f>IF(SUMIF('Prev Aub'!A:A,O639,'Prev Aub'!B:B)=0,"",SUMIF('Prev Aub'!A:A,O639,'Prev Aub'!B:B))</f>
        <v/>
      </c>
      <c r="AN639" s="25" t="s">
        <v>3790</v>
      </c>
      <c r="AO639" s="25" t="s">
        <v>3790</v>
      </c>
      <c r="AP639" s="25">
        <f t="shared" si="258"/>
        <v>0</v>
      </c>
      <c r="AQ639" s="151" t="str">
        <f>IF(SUMIFS('Supp Consol'!S:S,'Supp Consol'!A:A,O639,'Supp Consol'!I:I,"PENDING")=0,"",SUMIFS('Supp Consol'!S:S,'Supp Consol'!A:A,O639,'Supp Consol'!I:I,"PENDING"))</f>
        <v/>
      </c>
      <c r="AR639" s="27" t="str">
        <f t="shared" si="259"/>
        <v>K3000</v>
      </c>
      <c r="AS639" s="27" t="str">
        <f t="shared" si="260"/>
        <v>62</v>
      </c>
      <c r="AT639" s="27" t="str">
        <f t="shared" si="261"/>
        <v/>
      </c>
      <c r="AU639" s="27" t="str">
        <f t="shared" si="262"/>
        <v/>
      </c>
      <c r="AV639" s="27" t="str">
        <f t="shared" si="263"/>
        <v/>
      </c>
      <c r="AW639" s="27" t="str">
        <f t="shared" si="264"/>
        <v/>
      </c>
      <c r="AX639" s="27" t="str">
        <f t="shared" si="265"/>
        <v/>
      </c>
      <c r="AY639" s="27" t="str">
        <f t="shared" si="266"/>
        <v/>
      </c>
      <c r="AZ639" s="27" t="str">
        <f t="shared" si="267"/>
        <v/>
      </c>
      <c r="BA639" s="27" t="str">
        <f t="shared" si="268"/>
        <v/>
      </c>
      <c r="BB639" s="27" t="str">
        <f t="shared" si="269"/>
        <v/>
      </c>
      <c r="BC639" s="27" t="str">
        <f t="shared" si="270"/>
        <v/>
      </c>
      <c r="BD639" s="27" t="str">
        <f t="shared" si="271"/>
        <v/>
      </c>
      <c r="BE639" s="27" t="str">
        <f t="shared" si="272"/>
        <v/>
      </c>
      <c r="BF639" s="27" t="str">
        <f t="shared" si="273"/>
        <v/>
      </c>
      <c r="BG639" s="27" t="str">
        <f t="shared" si="274"/>
        <v/>
      </c>
      <c r="BH639" s="27" t="str">
        <f t="shared" si="275"/>
        <v/>
      </c>
      <c r="BI639" s="27" t="str">
        <f t="shared" si="276"/>
        <v/>
      </c>
      <c r="BJ639" s="27" t="str">
        <f t="shared" si="277"/>
        <v/>
      </c>
      <c r="BK639" s="27" t="str">
        <f t="shared" si="278"/>
        <v/>
      </c>
      <c r="BL639" s="27" t="str">
        <f t="shared" si="279"/>
        <v/>
      </c>
      <c r="BM639" s="21" t="s">
        <v>5581</v>
      </c>
    </row>
    <row r="640" spans="1:65" ht="15">
      <c r="A640" s="25" t="str">
        <f>IFERROR(INDEX('Hun Demand'!W:W,MATCH(O640,'Hun Demand'!A:A,0)),"")</f>
        <v/>
      </c>
      <c r="B640" s="25" t="str">
        <f>IFERROR(INDEX('Hun Demand'!V:V,MATCH(O640,'Hun Demand'!A:A,0)),"")</f>
        <v/>
      </c>
      <c r="C640" s="25" t="str">
        <f>IFERROR(INDEX('Hun Demand'!U:U,MATCH(O640,'Hun Demand'!A:A,0)),"")</f>
        <v/>
      </c>
      <c r="D640" s="25" t="str">
        <f>IFERROR(INDEX('Hun Demand'!T:T,MATCH(O640,'Hun Demand'!A:A,0)),"")</f>
        <v/>
      </c>
      <c r="E640" s="25" t="str">
        <f>IFERROR(INDEX('Hun Demand'!S:S,MATCH(O640,'Hun Demand'!A:A,0)),"")</f>
        <v/>
      </c>
      <c r="F640" s="25" t="str">
        <f>IFERROR(INDEX('Hun Demand'!R:R,MATCH(O640,'Hun Demand'!A:A,0)),"")</f>
        <v/>
      </c>
      <c r="G640" s="25">
        <f>IFERROR(INDEX('Aub Demand'!W:W,MATCH(O640,'Aub Demand'!A:A,0)),"")</f>
        <v>0</v>
      </c>
      <c r="H640" s="25">
        <f>IFERROR(INDEX('Aub Demand'!V:V,MATCH(O640,'Aub Demand'!A:A,0)),"")</f>
        <v>0</v>
      </c>
      <c r="I640" s="25">
        <f>IFERROR(INDEX('Aub Demand'!U:U,MATCH(O640,'Aub Demand'!A:A,0)),"")</f>
        <v>0</v>
      </c>
      <c r="J640" s="25">
        <f>IFERROR(INDEX('Aub Demand'!T:T,MATCH(O640,'Aub Demand'!A:A,0)),"")</f>
        <v>0</v>
      </c>
      <c r="K640" s="25">
        <f>IFERROR(INDEX('Aub Demand'!S:S,MATCH(O640,'Aub Demand'!A:A,0)),"")</f>
        <v>0</v>
      </c>
      <c r="L640" s="25">
        <f>IFERROR(INDEX('Aub Demand'!R:R,MATCH(O640,'Aub Demand'!A:A,0)),"")</f>
        <v>0</v>
      </c>
      <c r="O640" s="27" t="s">
        <v>1091</v>
      </c>
      <c r="P640" s="27" t="str">
        <f>IFERROR(INDEX('Aub Demand'!B:B,MATCH($O640,'Aub Demand'!$A:$A,0)),"")</f>
        <v>APPALACHIAN CHERRY</v>
      </c>
      <c r="Q640" s="27" t="str">
        <f>IFERROR(INDEX('Aub Demand'!C:C,MATCH($O640,'Aub Demand'!$A:$A,0)),"")</f>
        <v>INTER</v>
      </c>
      <c r="R640" s="52">
        <f>IFERROR(IF(AR641=AR640,INDEX('Aub Demand'!K:K,MATCH($O640,'Aub Demand'!$A:$A,0))-IF(AN640="",0,AN640)+AP641,INDEX('Aub Demand'!K:K,MATCH($O640,'Aub Demand'!$A:$A,0))-IF(AN640="",0,AN640)),"")</f>
        <v>181</v>
      </c>
      <c r="S640" s="53" t="str">
        <f t="shared" si="252"/>
        <v>n/a</v>
      </c>
      <c r="T640" s="52" t="str">
        <f t="shared" si="253"/>
        <v/>
      </c>
      <c r="U640" s="52">
        <f>IFERROR(IF(AR641=AR640,INDEX('Aub Demand'!Q:Q,MATCH($O640,'Aub Demand'!$A:$A,0))-IF(AN640="",0,AN640)+AP641,INDEX('Aub Demand'!Q:Q,MATCH($O640,'Aub Demand'!$A:$A,0))-IF(AN640="",0,AN640)),"")</f>
        <v>181</v>
      </c>
      <c r="V640" s="53" t="str">
        <f t="shared" si="254"/>
        <v>n/a</v>
      </c>
      <c r="W640" s="52" t="str">
        <f t="shared" si="255"/>
        <v/>
      </c>
      <c r="X640" s="52">
        <f>IFERROR(IF(AND(AR641=AR640,AM640&lt;&gt;""),INDEX('Aub Demand'!Q:Q,MATCH($O640,'Aub Demand'!$A:$A,0))-IF(AN640="",0,AN640)+AP641+AD640+AL640,IF(AR641=AR640,INDEX('Aub Demand'!Q:Q,MATCH($O640,'Aub Demand'!$A:$A,0))-IF(AN640="",0,AN640)+AP641+AD640,IF(AM640&lt;&gt;"",INDEX('Aub Demand'!Q:Q,MATCH($O640,'Aub Demand'!$A:$A,0))-IF(AN640="",0,AN640)+AD640+AL640,INDEX('Aub Demand'!Q:Q,MATCH($O640,'Aub Demand'!$A:$A,0))-IF(AN640="",0,AN640)+AD640))),"")</f>
        <v>181</v>
      </c>
      <c r="Y640" s="53" t="str">
        <f t="shared" si="256"/>
        <v>n/a</v>
      </c>
      <c r="Z640" s="52">
        <f>IF(L640="","",INDEX('Aub Demand'!H:H,MATCH($O640,'Aub Demand'!$A:$A,0)))</f>
        <v>0</v>
      </c>
      <c r="AA640" s="52" t="str">
        <f t="shared" si="257"/>
        <v>-spike-</v>
      </c>
      <c r="AB640" s="52">
        <f>IFERROR(INDEX('Aub Demand'!L:L,MATCH($O640,'Aub Demand'!$A:$A,0)),"")</f>
        <v>0</v>
      </c>
      <c r="AC640" s="52">
        <f>IFERROR(IF(O640="","",SUMIFS('CPL Mats'!F:F,'CPL Mats'!Q:Q,AR640,'CPL Mats'!S:S,AS640)),"")</f>
        <v>0</v>
      </c>
      <c r="AF640" s="25" t="str">
        <f>IF(SUMIFS('Supp Consol'!S:S,'Supp Consol'!Y:Y,"Releasable",'Supp Consol'!A:A,O640)=0,"",SUMIFS('Supp Consol'!S:S,'Supp Consol'!Y:Y,"Releasable",'Supp Consol'!A:A,O640))</f>
        <v/>
      </c>
      <c r="AG640" s="25" t="str">
        <f>IFERROR(INDEX('Hun Demand'!Q:Q,MATCH(O640,'Hun Demand'!A:A,0)),"")</f>
        <v/>
      </c>
      <c r="AH640" s="25" t="str">
        <f>IFERROR(INDEX('Hun Demand'!H:H,MATCH($O640,'Hun Demand'!$A:$A,0)),"")</f>
        <v/>
      </c>
      <c r="AI640" s="25" t="str">
        <f>IF(SUMIFS('Supp Consol'!AA:AA,'Supp Consol'!Z:Z,"Expires this month",'Supp Consol'!A:A,O640)=0,"",SUMIFS('Supp Consol'!AA:AA,'Supp Consol'!Z:Z,"Expires this month",'Supp Consol'!A:A,O640))</f>
        <v/>
      </c>
      <c r="AJ640" s="25" t="str">
        <f>IF(SUMIFS('Supp Consol'!AA:AA,'Supp Consol'!Z:Z,"Expired Previous Months",'Supp Consol'!A:A,O640)=0,"",SUMIFS('Supp Consol'!AA:AA,'Supp Consol'!Z:Z,"Expired Previous Months",'Supp Consol'!A:A,O640))</f>
        <v/>
      </c>
      <c r="AK640" s="25" t="str">
        <f>IFERROR(INDEX('Hun Release Current'!B:B,MATCH(O640,'Hun Release Current'!A:A,0)),"")</f>
        <v/>
      </c>
      <c r="AL640" s="25" t="str">
        <f>IF(SUMIF('Prev Aub'!A:A,O640,'Prev Aub'!B:B)=0,"",SUMIF('Prev Aub'!A:A,O640,'Prev Aub'!B:B))</f>
        <v/>
      </c>
      <c r="AN640" s="25" t="s">
        <v>3790</v>
      </c>
      <c r="AO640" s="25" t="s">
        <v>3790</v>
      </c>
      <c r="AP640" s="25">
        <f t="shared" si="258"/>
        <v>0</v>
      </c>
      <c r="AQ640" s="151" t="str">
        <f>IF(SUMIFS('Supp Consol'!S:S,'Supp Consol'!A:A,O640,'Supp Consol'!I:I,"PENDING")=0,"",SUMIFS('Supp Consol'!S:S,'Supp Consol'!A:A,O640,'Supp Consol'!I:I,"PENDING"))</f>
        <v/>
      </c>
      <c r="AR640" s="27" t="str">
        <f t="shared" si="259"/>
        <v>K8019</v>
      </c>
      <c r="AS640" s="27" t="str">
        <f t="shared" si="260"/>
        <v>62</v>
      </c>
      <c r="AT640" s="27" t="str">
        <f t="shared" si="261"/>
        <v/>
      </c>
      <c r="AU640" s="27" t="str">
        <f t="shared" si="262"/>
        <v/>
      </c>
      <c r="AV640" s="27" t="str">
        <f t="shared" si="263"/>
        <v/>
      </c>
      <c r="AW640" s="27" t="str">
        <f t="shared" si="264"/>
        <v/>
      </c>
      <c r="AX640" s="27" t="str">
        <f t="shared" si="265"/>
        <v/>
      </c>
      <c r="AY640" s="27" t="str">
        <f t="shared" si="266"/>
        <v/>
      </c>
      <c r="AZ640" s="27" t="str">
        <f t="shared" si="267"/>
        <v/>
      </c>
      <c r="BA640" s="27" t="str">
        <f t="shared" si="268"/>
        <v/>
      </c>
      <c r="BB640" s="27" t="str">
        <f t="shared" si="269"/>
        <v/>
      </c>
      <c r="BC640" s="27" t="str">
        <f t="shared" si="270"/>
        <v/>
      </c>
      <c r="BD640" s="27" t="str">
        <f t="shared" si="271"/>
        <v/>
      </c>
      <c r="BE640" s="27" t="str">
        <f t="shared" si="272"/>
        <v/>
      </c>
      <c r="BF640" s="27" t="str">
        <f t="shared" si="273"/>
        <v/>
      </c>
      <c r="BG640" s="27" t="str">
        <f t="shared" si="274"/>
        <v/>
      </c>
      <c r="BH640" s="27" t="str">
        <f t="shared" si="275"/>
        <v/>
      </c>
      <c r="BI640" s="27" t="str">
        <f t="shared" si="276"/>
        <v/>
      </c>
      <c r="BJ640" s="27" t="str">
        <f t="shared" si="277"/>
        <v/>
      </c>
      <c r="BK640" s="27" t="str">
        <f t="shared" si="278"/>
        <v/>
      </c>
      <c r="BL640" s="27" t="str">
        <f t="shared" si="279"/>
        <v/>
      </c>
      <c r="BM640" s="21" t="s">
        <v>5582</v>
      </c>
    </row>
    <row r="641" spans="1:65" ht="15">
      <c r="A641" s="25" t="str">
        <f>IFERROR(INDEX('Hun Demand'!W:W,MATCH(O641,'Hun Demand'!A:A,0)),"")</f>
        <v/>
      </c>
      <c r="B641" s="25" t="str">
        <f>IFERROR(INDEX('Hun Demand'!V:V,MATCH(O641,'Hun Demand'!A:A,0)),"")</f>
        <v/>
      </c>
      <c r="C641" s="25" t="str">
        <f>IFERROR(INDEX('Hun Demand'!U:U,MATCH(O641,'Hun Demand'!A:A,0)),"")</f>
        <v/>
      </c>
      <c r="D641" s="25" t="str">
        <f>IFERROR(INDEX('Hun Demand'!T:T,MATCH(O641,'Hun Demand'!A:A,0)),"")</f>
        <v/>
      </c>
      <c r="E641" s="25" t="str">
        <f>IFERROR(INDEX('Hun Demand'!S:S,MATCH(O641,'Hun Demand'!A:A,0)),"")</f>
        <v/>
      </c>
      <c r="F641" s="25" t="str">
        <f>IFERROR(INDEX('Hun Demand'!R:R,MATCH(O641,'Hun Demand'!A:A,0)),"")</f>
        <v/>
      </c>
      <c r="G641" s="25">
        <f>IFERROR(INDEX('Aub Demand'!W:W,MATCH(O641,'Aub Demand'!A:A,0)),"")</f>
        <v>0</v>
      </c>
      <c r="H641" s="25">
        <f>IFERROR(INDEX('Aub Demand'!V:V,MATCH(O641,'Aub Demand'!A:A,0)),"")</f>
        <v>1</v>
      </c>
      <c r="I641" s="25">
        <f>IFERROR(INDEX('Aub Demand'!U:U,MATCH(O641,'Aub Demand'!A:A,0)),"")</f>
        <v>16</v>
      </c>
      <c r="J641" s="25">
        <f>IFERROR(INDEX('Aub Demand'!T:T,MATCH(O641,'Aub Demand'!A:A,0)),"")</f>
        <v>14</v>
      </c>
      <c r="K641" s="25">
        <f>IFERROR(INDEX('Aub Demand'!S:S,MATCH(O641,'Aub Demand'!A:A,0)),"")</f>
        <v>13</v>
      </c>
      <c r="L641" s="25">
        <f>IFERROR(INDEX('Aub Demand'!R:R,MATCH(O641,'Aub Demand'!A:A,0)),"")</f>
        <v>0</v>
      </c>
      <c r="O641" s="27" t="s">
        <v>2222</v>
      </c>
      <c r="P641" s="27" t="str">
        <f>IFERROR(INDEX('Aub Demand'!B:B,MATCH($O641,'Aub Demand'!$A:$A,0)),"")</f>
        <v>MARRAKESH EXPRESS 50</v>
      </c>
      <c r="Q641" s="27" t="str">
        <f>IFERROR(INDEX('Aub Demand'!C:C,MATCH($O641,'Aub Demand'!$A:$A,0)),"")</f>
        <v>DNP A</v>
      </c>
      <c r="R641" s="52">
        <f>IFERROR(IF(AR642=AR641,INDEX('Aub Demand'!K:K,MATCH($O641,'Aub Demand'!$A:$A,0))-IF(AN641="",0,AN641)+AP642,INDEX('Aub Demand'!K:K,MATCH($O641,'Aub Demand'!$A:$A,0))-IF(AN641="",0,AN641)),"")</f>
        <v>845</v>
      </c>
      <c r="S641" s="53">
        <f t="shared" si="252"/>
        <v>258.7</v>
      </c>
      <c r="T641" s="52" t="str">
        <f t="shared" si="253"/>
        <v/>
      </c>
      <c r="U641" s="52">
        <f>IFERROR(IF(AR642=AR641,INDEX('Aub Demand'!Q:Q,MATCH($O641,'Aub Demand'!$A:$A,0))-IF(AN641="",0,AN641)+AP642,INDEX('Aub Demand'!Q:Q,MATCH($O641,'Aub Demand'!$A:$A,0))-IF(AN641="",0,AN641)),"")</f>
        <v>845</v>
      </c>
      <c r="V641" s="53">
        <f t="shared" si="254"/>
        <v>258.7</v>
      </c>
      <c r="W641" s="52" t="str">
        <f t="shared" si="255"/>
        <v/>
      </c>
      <c r="X641" s="52">
        <f>IFERROR(IF(AND(AR642=AR641,AM641&lt;&gt;""),INDEX('Aub Demand'!Q:Q,MATCH($O641,'Aub Demand'!$A:$A,0))-IF(AN641="",0,AN641)+AP642+AD641+AL641,IF(AR642=AR641,INDEX('Aub Demand'!Q:Q,MATCH($O641,'Aub Demand'!$A:$A,0))-IF(AN641="",0,AN641)+AP642+AD641,IF(AM641&lt;&gt;"",INDEX('Aub Demand'!Q:Q,MATCH($O641,'Aub Demand'!$A:$A,0))-IF(AN641="",0,AN641)+AD641+AL641,INDEX('Aub Demand'!Q:Q,MATCH($O641,'Aub Demand'!$A:$A,0))-IF(AN641="",0,AN641)+AD641))),"")</f>
        <v>845</v>
      </c>
      <c r="Y641" s="53">
        <f t="shared" si="256"/>
        <v>258.7</v>
      </c>
      <c r="Z641" s="52">
        <f>IF(L641="","",INDEX('Aub Demand'!H:H,MATCH($O641,'Aub Demand'!$A:$A,0)))</f>
        <v>14</v>
      </c>
      <c r="AA641" s="52">
        <f t="shared" si="257"/>
        <v>15</v>
      </c>
      <c r="AB641" s="52">
        <f>IFERROR(INDEX('Aub Demand'!L:L,MATCH($O641,'Aub Demand'!$A:$A,0)),"")</f>
        <v>4</v>
      </c>
      <c r="AC641" s="52">
        <f>IFERROR(IF(O641="","",SUMIFS('CPL Mats'!F:F,'CPL Mats'!Q:Q,AR641,'CPL Mats'!S:S,AS641)),"")</f>
        <v>0</v>
      </c>
      <c r="AF641" s="25" t="str">
        <f>IF(SUMIFS('Supp Consol'!S:S,'Supp Consol'!Y:Y,"Releasable",'Supp Consol'!A:A,O641)=0,"",SUMIFS('Supp Consol'!S:S,'Supp Consol'!Y:Y,"Releasable",'Supp Consol'!A:A,O641))</f>
        <v/>
      </c>
      <c r="AG641" s="25" t="str">
        <f>IFERROR(INDEX('Hun Demand'!Q:Q,MATCH(O641,'Hun Demand'!A:A,0)),"")</f>
        <v/>
      </c>
      <c r="AH641" s="25" t="str">
        <f>IFERROR(INDEX('Hun Demand'!H:H,MATCH($O641,'Hun Demand'!$A:$A,0)),"")</f>
        <v/>
      </c>
      <c r="AI641" s="25" t="str">
        <f>IF(SUMIFS('Supp Consol'!AA:AA,'Supp Consol'!Z:Z,"Expires this month",'Supp Consol'!A:A,O641)=0,"",SUMIFS('Supp Consol'!AA:AA,'Supp Consol'!Z:Z,"Expires this month",'Supp Consol'!A:A,O641))</f>
        <v/>
      </c>
      <c r="AJ641" s="25" t="str">
        <f>IF(SUMIFS('Supp Consol'!AA:AA,'Supp Consol'!Z:Z,"Expired Previous Months",'Supp Consol'!A:A,O641)=0,"",SUMIFS('Supp Consol'!AA:AA,'Supp Consol'!Z:Z,"Expired Previous Months",'Supp Consol'!A:A,O641))</f>
        <v/>
      </c>
      <c r="AK641" s="25" t="str">
        <f>IFERROR(INDEX('Hun Release Current'!B:B,MATCH(O641,'Hun Release Current'!A:A,0)),"")</f>
        <v/>
      </c>
      <c r="AL641" s="25" t="str">
        <f>IF(SUMIF('Prev Aub'!A:A,O641,'Prev Aub'!B:B)=0,"",SUMIF('Prev Aub'!A:A,O641,'Prev Aub'!B:B))</f>
        <v/>
      </c>
      <c r="AN641" s="25" t="s">
        <v>3790</v>
      </c>
      <c r="AO641" s="25" t="s">
        <v>3790</v>
      </c>
      <c r="AP641" s="25">
        <f t="shared" si="258"/>
        <v>0</v>
      </c>
      <c r="AQ641" s="151" t="str">
        <f>IF(SUMIFS('Supp Consol'!S:S,'Supp Consol'!A:A,O641,'Supp Consol'!I:I,"PENDING")=0,"",SUMIFS('Supp Consol'!S:S,'Supp Consol'!A:A,O641,'Supp Consol'!I:I,"PENDING"))</f>
        <v/>
      </c>
      <c r="AR641" s="27" t="str">
        <f t="shared" si="259"/>
        <v>KH201</v>
      </c>
      <c r="AS641" s="27" t="str">
        <f t="shared" si="260"/>
        <v>50</v>
      </c>
      <c r="AT641" s="27" t="str">
        <f t="shared" si="261"/>
        <v/>
      </c>
      <c r="AU641" s="27" t="str">
        <f t="shared" si="262"/>
        <v/>
      </c>
      <c r="AV641" s="27" t="str">
        <f t="shared" si="263"/>
        <v/>
      </c>
      <c r="AW641" s="27" t="str">
        <f t="shared" si="264"/>
        <v/>
      </c>
      <c r="AX641" s="27" t="str">
        <f t="shared" si="265"/>
        <v/>
      </c>
      <c r="AY641" s="27" t="str">
        <f t="shared" si="266"/>
        <v/>
      </c>
      <c r="AZ641" s="27" t="str">
        <f t="shared" si="267"/>
        <v/>
      </c>
      <c r="BA641" s="27" t="str">
        <f t="shared" si="268"/>
        <v/>
      </c>
      <c r="BB641" s="27" t="str">
        <f t="shared" si="269"/>
        <v/>
      </c>
      <c r="BC641" s="27" t="str">
        <f t="shared" si="270"/>
        <v/>
      </c>
      <c r="BD641" s="27" t="str">
        <f t="shared" si="271"/>
        <v/>
      </c>
      <c r="BE641" s="27" t="str">
        <f t="shared" si="272"/>
        <v/>
      </c>
      <c r="BF641" s="27" t="str">
        <f t="shared" si="273"/>
        <v/>
      </c>
      <c r="BG641" s="27" t="str">
        <f t="shared" si="274"/>
        <v/>
      </c>
      <c r="BH641" s="27" t="str">
        <f t="shared" si="275"/>
        <v/>
      </c>
      <c r="BI641" s="27" t="str">
        <f t="shared" si="276"/>
        <v/>
      </c>
      <c r="BJ641" s="27" t="str">
        <f t="shared" si="277"/>
        <v/>
      </c>
      <c r="BK641" s="27" t="str">
        <f t="shared" si="278"/>
        <v/>
      </c>
      <c r="BL641" s="27" t="str">
        <f t="shared" si="279"/>
        <v/>
      </c>
      <c r="BM641" s="21" t="s">
        <v>5581</v>
      </c>
    </row>
    <row r="642" spans="1:65" ht="15">
      <c r="A642" s="25" t="str">
        <f>IFERROR(INDEX('Hun Demand'!W:W,MATCH(O642,'Hun Demand'!A:A,0)),"")</f>
        <v/>
      </c>
      <c r="B642" s="25" t="str">
        <f>IFERROR(INDEX('Hun Demand'!V:V,MATCH(O642,'Hun Demand'!A:A,0)),"")</f>
        <v/>
      </c>
      <c r="C642" s="25" t="str">
        <f>IFERROR(INDEX('Hun Demand'!U:U,MATCH(O642,'Hun Demand'!A:A,0)),"")</f>
        <v/>
      </c>
      <c r="D642" s="25" t="str">
        <f>IFERROR(INDEX('Hun Demand'!T:T,MATCH(O642,'Hun Demand'!A:A,0)),"")</f>
        <v/>
      </c>
      <c r="E642" s="25" t="str">
        <f>IFERROR(INDEX('Hun Demand'!S:S,MATCH(O642,'Hun Demand'!A:A,0)),"")</f>
        <v/>
      </c>
      <c r="F642" s="25" t="str">
        <f>IFERROR(INDEX('Hun Demand'!R:R,MATCH(O642,'Hun Demand'!A:A,0)),"")</f>
        <v/>
      </c>
      <c r="G642" s="25">
        <f>IFERROR(INDEX('Aub Demand'!W:W,MATCH(O642,'Aub Demand'!A:A,0)),"")</f>
        <v>31</v>
      </c>
      <c r="H642" s="25">
        <f>IFERROR(INDEX('Aub Demand'!V:V,MATCH(O642,'Aub Demand'!A:A,0)),"")</f>
        <v>0</v>
      </c>
      <c r="I642" s="25">
        <f>IFERROR(INDEX('Aub Demand'!U:U,MATCH(O642,'Aub Demand'!A:A,0)),"")</f>
        <v>0</v>
      </c>
      <c r="J642" s="25">
        <f>IFERROR(INDEX('Aub Demand'!T:T,MATCH(O642,'Aub Demand'!A:A,0)),"")</f>
        <v>0</v>
      </c>
      <c r="K642" s="25">
        <f>IFERROR(INDEX('Aub Demand'!S:S,MATCH(O642,'Aub Demand'!A:A,0)),"")</f>
        <v>8</v>
      </c>
      <c r="L642" s="25">
        <f>IFERROR(INDEX('Aub Demand'!R:R,MATCH(O642,'Aub Demand'!A:A,0)),"")</f>
        <v>0</v>
      </c>
      <c r="O642" s="27" t="s">
        <v>2224</v>
      </c>
      <c r="P642" s="27" t="str">
        <f>IFERROR(INDEX('Aub Demand'!B:B,MATCH($O642,'Aub Demand'!$A:$A,0)),"")</f>
        <v>MARRAKESH EXPRESS 60</v>
      </c>
      <c r="Q642" s="27" t="str">
        <f>IFERROR(INDEX('Aub Demand'!C:C,MATCH($O642,'Aub Demand'!$A:$A,0)),"")</f>
        <v>DNP A</v>
      </c>
      <c r="R642" s="52">
        <f>IFERROR(IF(AR643=AR642,INDEX('Aub Demand'!K:K,MATCH($O642,'Aub Demand'!$A:$A,0))-IF(AN642="",0,AN642)+AP643,INDEX('Aub Demand'!K:K,MATCH($O642,'Aub Demand'!$A:$A,0))-IF(AN642="",0,AN642)),"")</f>
        <v>1424</v>
      </c>
      <c r="S642" s="53">
        <f t="shared" si="252"/>
        <v>2034.3</v>
      </c>
      <c r="T642" s="52" t="str">
        <f t="shared" si="253"/>
        <v/>
      </c>
      <c r="U642" s="52">
        <f>IFERROR(IF(AR643=AR642,INDEX('Aub Demand'!Q:Q,MATCH($O642,'Aub Demand'!$A:$A,0))-IF(AN642="",0,AN642)+AP643,INDEX('Aub Demand'!Q:Q,MATCH($O642,'Aub Demand'!$A:$A,0))-IF(AN642="",0,AN642)),"")</f>
        <v>1424</v>
      </c>
      <c r="V642" s="53">
        <f t="shared" si="254"/>
        <v>2034.3</v>
      </c>
      <c r="W642" s="52" t="str">
        <f t="shared" si="255"/>
        <v/>
      </c>
      <c r="X642" s="52">
        <f>IFERROR(IF(AND(AR643=AR642,AM642&lt;&gt;""),INDEX('Aub Demand'!Q:Q,MATCH($O642,'Aub Demand'!$A:$A,0))-IF(AN642="",0,AN642)+AP643+AD642+AL642,IF(AR643=AR642,INDEX('Aub Demand'!Q:Q,MATCH($O642,'Aub Demand'!$A:$A,0))-IF(AN642="",0,AN642)+AP643+AD642,IF(AM642&lt;&gt;"",INDEX('Aub Demand'!Q:Q,MATCH($O642,'Aub Demand'!$A:$A,0))-IF(AN642="",0,AN642)+AD642+AL642,INDEX('Aub Demand'!Q:Q,MATCH($O642,'Aub Demand'!$A:$A,0))-IF(AN642="",0,AN642)+AD642))),"")</f>
        <v>1424</v>
      </c>
      <c r="Y642" s="53">
        <f t="shared" si="256"/>
        <v>2034.3</v>
      </c>
      <c r="Z642" s="52">
        <f>IF(L642="","",INDEX('Aub Demand'!H:H,MATCH($O642,'Aub Demand'!$A:$A,0)))</f>
        <v>3</v>
      </c>
      <c r="AA642" s="52" t="str">
        <f t="shared" si="257"/>
        <v>-spike-</v>
      </c>
      <c r="AB642" s="52">
        <f>IFERROR(INDEX('Aub Demand'!L:L,MATCH($O642,'Aub Demand'!$A:$A,0)),"")</f>
        <v>0</v>
      </c>
      <c r="AC642" s="52">
        <f>IFERROR(IF(O642="","",SUMIFS('CPL Mats'!F:F,'CPL Mats'!Q:Q,AR642,'CPL Mats'!S:S,AS642)),"")</f>
        <v>0</v>
      </c>
      <c r="AF642" s="25" t="str">
        <f>IF(SUMIFS('Supp Consol'!S:S,'Supp Consol'!Y:Y,"Releasable",'Supp Consol'!A:A,O642)=0,"",SUMIFS('Supp Consol'!S:S,'Supp Consol'!Y:Y,"Releasable",'Supp Consol'!A:A,O642))</f>
        <v/>
      </c>
      <c r="AG642" s="25" t="str">
        <f>IFERROR(INDEX('Hun Demand'!Q:Q,MATCH(O642,'Hun Demand'!A:A,0)),"")</f>
        <v/>
      </c>
      <c r="AH642" s="25" t="str">
        <f>IFERROR(INDEX('Hun Demand'!H:H,MATCH($O642,'Hun Demand'!$A:$A,0)),"")</f>
        <v/>
      </c>
      <c r="AI642" s="25" t="str">
        <f>IF(SUMIFS('Supp Consol'!AA:AA,'Supp Consol'!Z:Z,"Expires this month",'Supp Consol'!A:A,O642)=0,"",SUMIFS('Supp Consol'!AA:AA,'Supp Consol'!Z:Z,"Expires this month",'Supp Consol'!A:A,O642))</f>
        <v/>
      </c>
      <c r="AJ642" s="25" t="str">
        <f>IF(SUMIFS('Supp Consol'!AA:AA,'Supp Consol'!Z:Z,"Expired Previous Months",'Supp Consol'!A:A,O642)=0,"",SUMIFS('Supp Consol'!AA:AA,'Supp Consol'!Z:Z,"Expired Previous Months",'Supp Consol'!A:A,O642))</f>
        <v/>
      </c>
      <c r="AK642" s="25" t="str">
        <f>IFERROR(INDEX('Hun Release Current'!B:B,MATCH(O642,'Hun Release Current'!A:A,0)),"")</f>
        <v/>
      </c>
      <c r="AL642" s="25" t="str">
        <f>IF(SUMIF('Prev Aub'!A:A,O642,'Prev Aub'!B:B)=0,"",SUMIF('Prev Aub'!A:A,O642,'Prev Aub'!B:B))</f>
        <v/>
      </c>
      <c r="AN642" s="25" t="s">
        <v>3790</v>
      </c>
      <c r="AO642" s="25" t="s">
        <v>3790</v>
      </c>
      <c r="AP642" s="25">
        <f t="shared" si="258"/>
        <v>0</v>
      </c>
      <c r="AQ642" s="151" t="str">
        <f>IF(SUMIFS('Supp Consol'!S:S,'Supp Consol'!A:A,O642,'Supp Consol'!I:I,"PENDING")=0,"",SUMIFS('Supp Consol'!S:S,'Supp Consol'!A:A,O642,'Supp Consol'!I:I,"PENDING"))</f>
        <v/>
      </c>
      <c r="AR642" s="27" t="str">
        <f t="shared" si="259"/>
        <v>KH201</v>
      </c>
      <c r="AS642" s="27" t="str">
        <f t="shared" si="260"/>
        <v>62</v>
      </c>
      <c r="AT642" s="27" t="str">
        <f t="shared" si="261"/>
        <v/>
      </c>
      <c r="AU642" s="27" t="str">
        <f t="shared" si="262"/>
        <v/>
      </c>
      <c r="AV642" s="27" t="str">
        <f t="shared" si="263"/>
        <v/>
      </c>
      <c r="AW642" s="27" t="str">
        <f t="shared" si="264"/>
        <v/>
      </c>
      <c r="AX642" s="27" t="str">
        <f t="shared" si="265"/>
        <v/>
      </c>
      <c r="AY642" s="27" t="str">
        <f t="shared" si="266"/>
        <v/>
      </c>
      <c r="AZ642" s="27" t="str">
        <f t="shared" si="267"/>
        <v/>
      </c>
      <c r="BA642" s="27" t="str">
        <f t="shared" si="268"/>
        <v/>
      </c>
      <c r="BB642" s="27" t="str">
        <f t="shared" si="269"/>
        <v/>
      </c>
      <c r="BC642" s="27" t="str">
        <f t="shared" si="270"/>
        <v/>
      </c>
      <c r="BD642" s="27" t="str">
        <f t="shared" si="271"/>
        <v/>
      </c>
      <c r="BE642" s="27" t="str">
        <f t="shared" si="272"/>
        <v/>
      </c>
      <c r="BF642" s="27" t="str">
        <f t="shared" si="273"/>
        <v/>
      </c>
      <c r="BG642" s="27" t="str">
        <f t="shared" si="274"/>
        <v/>
      </c>
      <c r="BH642" s="27" t="str">
        <f t="shared" si="275"/>
        <v/>
      </c>
      <c r="BI642" s="27" t="str">
        <f t="shared" si="276"/>
        <v/>
      </c>
      <c r="BJ642" s="27" t="str">
        <f t="shared" si="277"/>
        <v/>
      </c>
      <c r="BK642" s="27" t="str">
        <f t="shared" si="278"/>
        <v/>
      </c>
      <c r="BL642" s="27" t="str">
        <f t="shared" si="279"/>
        <v/>
      </c>
      <c r="BM642" s="21" t="s">
        <v>5581</v>
      </c>
    </row>
    <row r="643" spans="1:65" ht="15">
      <c r="A643" s="25" t="str">
        <f>IFERROR(INDEX('Hun Demand'!W:W,MATCH(O643,'Hun Demand'!A:A,0)),"")</f>
        <v/>
      </c>
      <c r="B643" s="25" t="str">
        <f>IFERROR(INDEX('Hun Demand'!V:V,MATCH(O643,'Hun Demand'!A:A,0)),"")</f>
        <v/>
      </c>
      <c r="C643" s="25" t="str">
        <f>IFERROR(INDEX('Hun Demand'!U:U,MATCH(O643,'Hun Demand'!A:A,0)),"")</f>
        <v/>
      </c>
      <c r="D643" s="25" t="str">
        <f>IFERROR(INDEX('Hun Demand'!T:T,MATCH(O643,'Hun Demand'!A:A,0)),"")</f>
        <v/>
      </c>
      <c r="E643" s="25" t="str">
        <f>IFERROR(INDEX('Hun Demand'!S:S,MATCH(O643,'Hun Demand'!A:A,0)),"")</f>
        <v/>
      </c>
      <c r="F643" s="25" t="str">
        <f>IFERROR(INDEX('Hun Demand'!R:R,MATCH(O643,'Hun Demand'!A:A,0)),"")</f>
        <v/>
      </c>
      <c r="G643" s="25">
        <f>IFERROR(INDEX('Aub Demand'!W:W,MATCH(O643,'Aub Demand'!A:A,0)),"")</f>
        <v>0</v>
      </c>
      <c r="H643" s="25">
        <f>IFERROR(INDEX('Aub Demand'!V:V,MATCH(O643,'Aub Demand'!A:A,0)),"")</f>
        <v>0</v>
      </c>
      <c r="I643" s="25">
        <f>IFERROR(INDEX('Aub Demand'!U:U,MATCH(O643,'Aub Demand'!A:A,0)),"")</f>
        <v>0</v>
      </c>
      <c r="J643" s="25">
        <f>IFERROR(INDEX('Aub Demand'!T:T,MATCH(O643,'Aub Demand'!A:A,0)),"")</f>
        <v>275</v>
      </c>
      <c r="K643" s="25">
        <f>IFERROR(INDEX('Aub Demand'!S:S,MATCH(O643,'Aub Demand'!A:A,0)),"")</f>
        <v>7</v>
      </c>
      <c r="L643" s="25">
        <f>IFERROR(INDEX('Aub Demand'!R:R,MATCH(O643,'Aub Demand'!A:A,0)),"")</f>
        <v>0</v>
      </c>
      <c r="O643" s="27" t="s">
        <v>3343</v>
      </c>
      <c r="P643" s="27" t="str">
        <f>IFERROR(INDEX('Aub Demand'!B:B,MATCH($O643,'Aub Demand'!$A:$A,0)),"")</f>
        <v>HUDSON</v>
      </c>
      <c r="Q643" s="27">
        <f>IFERROR(INDEX('Aub Demand'!C:C,MATCH($O643,'Aub Demand'!$A:$A,0)),"")</f>
        <v>0</v>
      </c>
      <c r="R643" s="52">
        <f>IFERROR(IF(AR644=AR643,INDEX('Aub Demand'!K:K,MATCH($O643,'Aub Demand'!$A:$A,0))-IF(AN643="",0,AN643)+AP644,INDEX('Aub Demand'!K:K,MATCH($O643,'Aub Demand'!$A:$A,0))-IF(AN643="",0,AN643)),"")</f>
        <v>1604</v>
      </c>
      <c r="S643" s="53">
        <f t="shared" ref="S643:S706" si="280">IFERROR(IF(O643="","",ROUND(R643/((Z643/30)*7),1)),"n/a")</f>
        <v>73.099999999999994</v>
      </c>
      <c r="T643" s="52" t="str">
        <f t="shared" ref="T643:T706" si="281">IFERROR(IF(S643&lt;3.1,IF(AA643="spike",(3-S643)*(Z643/4),(3-S643)*(AA643/4)),""),"")</f>
        <v/>
      </c>
      <c r="U643" s="52">
        <f>IFERROR(IF(AR644=AR643,INDEX('Aub Demand'!Q:Q,MATCH($O643,'Aub Demand'!$A:$A,0))-IF(AN643="",0,AN643)+AP644,INDEX('Aub Demand'!Q:Q,MATCH($O643,'Aub Demand'!$A:$A,0))-IF(AN643="",0,AN643)),"")</f>
        <v>1604</v>
      </c>
      <c r="V643" s="53">
        <f t="shared" ref="V643:V706" si="282">IFERROR(IF(O643="","",ROUND(U643/((Z643/30)*7),1)),"n/a")</f>
        <v>73.099999999999994</v>
      </c>
      <c r="W643" s="52" t="str">
        <f t="shared" ref="W643:W706" si="283">IF(IFERROR(IF(V643&lt;3.1,IF(AA643="spike",(3-V643)*(Z643/4),(3-V643)*(AA643/4)),""),"")&lt;0,0,IFERROR(IF(V643&lt;3.1,IF(AA643="spike",(3-V643)*(Z643/4),(3-V643)*(AA643/4)),""),""))</f>
        <v/>
      </c>
      <c r="X643" s="52">
        <f>IFERROR(IF(AND(AR644=AR643,AM643&lt;&gt;""),INDEX('Aub Demand'!Q:Q,MATCH($O643,'Aub Demand'!$A:$A,0))-IF(AN643="",0,AN643)+AP644+AD643+AL643,IF(AR644=AR643,INDEX('Aub Demand'!Q:Q,MATCH($O643,'Aub Demand'!$A:$A,0))-IF(AN643="",0,AN643)+AP644+AD643,IF(AM643&lt;&gt;"",INDEX('Aub Demand'!Q:Q,MATCH($O643,'Aub Demand'!$A:$A,0))-IF(AN643="",0,AN643)+AD643+AL643,INDEX('Aub Demand'!Q:Q,MATCH($O643,'Aub Demand'!$A:$A,0))-IF(AN643="",0,AN643)+AD643))),"")</f>
        <v>1604</v>
      </c>
      <c r="Y643" s="53">
        <f t="shared" ref="Y643:Y706" si="284">IFERROR(IF(O643="","",ROUND(X643/((Z643/30)*7),1)),"n/a")</f>
        <v>73.099999999999994</v>
      </c>
      <c r="Z643" s="52">
        <f>IF(L643="","",INDEX('Aub Demand'!H:H,MATCH($O643,'Aub Demand'!$A:$A,0)))</f>
        <v>94</v>
      </c>
      <c r="AA643" s="52">
        <f t="shared" ref="AA643:AA706" si="285">IF(L643="","",IF(LARGE(I643:L643,2)=0,"-spike-",AVERAGE(LARGE(I643:L643,1),LARGE(I643:L643,2))))</f>
        <v>141</v>
      </c>
      <c r="AB643" s="52">
        <f>IFERROR(INDEX('Aub Demand'!L:L,MATCH($O643,'Aub Demand'!$A:$A,0)),"")</f>
        <v>0</v>
      </c>
      <c r="AC643" s="52">
        <f>IFERROR(IF(O643="","",SUMIFS('CPL Mats'!F:F,'CPL Mats'!Q:Q,AR643,'CPL Mats'!S:S,AS643)),"")</f>
        <v>0</v>
      </c>
      <c r="AF643" s="25" t="str">
        <f>IF(SUMIFS('Supp Consol'!S:S,'Supp Consol'!Y:Y,"Releasable",'Supp Consol'!A:A,O643)=0,"",SUMIFS('Supp Consol'!S:S,'Supp Consol'!Y:Y,"Releasable",'Supp Consol'!A:A,O643))</f>
        <v/>
      </c>
      <c r="AG643" s="25" t="str">
        <f>IFERROR(INDEX('Hun Demand'!Q:Q,MATCH(O643,'Hun Demand'!A:A,0)),"")</f>
        <v/>
      </c>
      <c r="AH643" s="25" t="str">
        <f>IFERROR(INDEX('Hun Demand'!H:H,MATCH($O643,'Hun Demand'!$A:$A,0)),"")</f>
        <v/>
      </c>
      <c r="AI643" s="25" t="str">
        <f>IF(SUMIFS('Supp Consol'!AA:AA,'Supp Consol'!Z:Z,"Expires this month",'Supp Consol'!A:A,O643)=0,"",SUMIFS('Supp Consol'!AA:AA,'Supp Consol'!Z:Z,"Expires this month",'Supp Consol'!A:A,O643))</f>
        <v/>
      </c>
      <c r="AJ643" s="25" t="str">
        <f>IF(SUMIFS('Supp Consol'!AA:AA,'Supp Consol'!Z:Z,"Expired Previous Months",'Supp Consol'!A:A,O643)=0,"",SUMIFS('Supp Consol'!AA:AA,'Supp Consol'!Z:Z,"Expired Previous Months",'Supp Consol'!A:A,O643))</f>
        <v/>
      </c>
      <c r="AK643" s="25" t="str">
        <f>IFERROR(INDEX('Hun Release Current'!B:B,MATCH(O643,'Hun Release Current'!A:A,0)),"")</f>
        <v/>
      </c>
      <c r="AL643" s="25" t="str">
        <f>IF(SUMIF('Prev Aub'!A:A,O643,'Prev Aub'!B:B)=0,"",SUMIF('Prev Aub'!A:A,O643,'Prev Aub'!B:B))</f>
        <v/>
      </c>
      <c r="AN643" s="25" t="s">
        <v>3790</v>
      </c>
      <c r="AO643" s="25" t="s">
        <v>3790</v>
      </c>
      <c r="AP643" s="25">
        <f t="shared" ref="AP643:AP706" si="286">IFERROR(IF(O643="","",IF(AN643="",0,VALUE(AN643)-(VALUE(AN643)*0.2))),"")</f>
        <v>0</v>
      </c>
      <c r="AQ643" s="151" t="str">
        <f>IF(SUMIFS('Supp Consol'!S:S,'Supp Consol'!A:A,O643,'Supp Consol'!I:I,"PENDING")=0,"",SUMIFS('Supp Consol'!S:S,'Supp Consol'!A:A,O643,'Supp Consol'!I:I,"PENDING"))</f>
        <v/>
      </c>
      <c r="AR643" s="27" t="str">
        <f t="shared" ref="AR643:AR706" si="287">MID(O643,4,5)</f>
        <v>KM001</v>
      </c>
      <c r="AS643" s="27" t="str">
        <f t="shared" ref="AS643:AS706" si="288">MID(O643,10,2)</f>
        <v>50</v>
      </c>
      <c r="AT643" s="27" t="str">
        <f t="shared" ref="AT643:AT706" si="289">IF(S643&lt;3.1,AR643,"")</f>
        <v/>
      </c>
      <c r="AU643" s="27" t="str">
        <f t="shared" ref="AU643:AU706" si="290">IF(Y643&lt;3.1,AR643,"")</f>
        <v/>
      </c>
      <c r="AV643" s="27" t="str">
        <f t="shared" ref="AV643:AV706" si="291">IF(AND(AA643="Spike",L643=0,K643=0,X643&gt;=0),"",IF(Y643&lt;3.1,AR643,""))</f>
        <v/>
      </c>
      <c r="AW643" s="27" t="str">
        <f t="shared" ref="AW643:AW706" si="292">IF(AI643=AL643,"",IF(OR(AI643&lt;&gt;"",AJ643&lt;&gt;""),AR643,""))</f>
        <v/>
      </c>
      <c r="AX643" s="27" t="str">
        <f t="shared" ref="AX643:AX706" si="293">IF(AF643&lt;&gt;"",AR643,"")</f>
        <v/>
      </c>
      <c r="AY643" s="27" t="str">
        <f t="shared" ref="AY643:AY706" si="294">IF(AND(AG643&lt;&gt;"",AG643&gt;AH643),AR643,"")</f>
        <v/>
      </c>
      <c r="AZ643" s="27" t="str">
        <f t="shared" ref="AZ643:AZ706" si="295">IFERROR(IF(O643="","",IF(ISERROR(MATCH(AR643,AX:AX,0)),"","Supp")),"")</f>
        <v/>
      </c>
      <c r="BA643" s="27" t="str">
        <f t="shared" ref="BA643:BA706" si="296">IFERROR(IF(O643="","",IF(ISERROR(MATCH(AR643,AY:AY,0)),"","Hun")),"")</f>
        <v/>
      </c>
      <c r="BB643" s="27" t="str">
        <f t="shared" ref="BB643:BB706" si="297">IFERROR(IF(O643="","",IF(ISERROR(MATCH(AR643,AT:AT,0)),"","Gross")),"")</f>
        <v/>
      </c>
      <c r="BC643" s="27" t="str">
        <f t="shared" ref="BC643:BC706" si="298">IFERROR(IF(O643="","",IF(ISERROR(MATCH(AR643,AU:AU,0)),"","Net")),"")</f>
        <v/>
      </c>
      <c r="BD643" s="27" t="str">
        <f t="shared" ref="BD643:BD706" si="299">IFERROR(IF(O643="","",IF(ISERROR(MATCH(AR643,AV:AV,0)),"","Net")),"")</f>
        <v/>
      </c>
      <c r="BE643" s="27" t="str">
        <f t="shared" ref="BE643:BE706" si="300">IFERROR(IF(O643="","",IF(ISERROR(MATCH(AR643,AW:AW,0)),"","Exp")),"")</f>
        <v/>
      </c>
      <c r="BF643" s="27" t="str">
        <f t="shared" ref="BF643:BF706" si="301">IFERROR(IF(O643="","",IF(AND(AZ643="Supp",BC643="Net"),"S+N","")),"")</f>
        <v/>
      </c>
      <c r="BG643" s="27" t="str">
        <f t="shared" ref="BG643:BG706" si="302">IFERROR(IF(O643="","",IF(OR(BE643&lt;&gt;"",BF643&lt;&gt;""),"S+NorE","")),"")</f>
        <v/>
      </c>
      <c r="BH643" s="27" t="str">
        <f t="shared" ref="BH643:BH706" si="303">IFERROR(IF(O643="","",IF(AND(BA643&lt;&gt;"",BC643&lt;&gt;""),"H+N","")),"")</f>
        <v/>
      </c>
      <c r="BI643" s="27" t="str">
        <f t="shared" ref="BI643:BI706" si="304">IFERROR(IF(O643="","",IF(AND(BA643&lt;&gt;"",BD643&lt;&gt;""),"H+Nex","")),"")</f>
        <v/>
      </c>
      <c r="BJ643" s="27" t="str">
        <f t="shared" ref="BJ643:BJ706" si="305">IF(OR(AZ643&lt;&gt;"",BA643&lt;&gt;""),"Supp or Hun","")</f>
        <v/>
      </c>
      <c r="BK643" s="27" t="str">
        <f t="shared" ref="BK643:BK706" si="306">IF(AND(BJ643&lt;&gt;"",BC643&lt;&gt;""),"Supp or Hun Need","")</f>
        <v/>
      </c>
      <c r="BL643" s="27" t="str">
        <f t="shared" ref="BL643:BL706" si="307">IF(OR(BK643&lt;&gt;"",BE643&lt;&gt;""),"SorHandNandE","")</f>
        <v/>
      </c>
      <c r="BM643" s="21" t="s">
        <v>5581</v>
      </c>
    </row>
    <row r="644" spans="1:65" ht="15">
      <c r="A644" s="25" t="str">
        <f>IFERROR(INDEX('Hun Demand'!W:W,MATCH(O644,'Hun Demand'!A:A,0)),"")</f>
        <v/>
      </c>
      <c r="B644" s="25" t="str">
        <f>IFERROR(INDEX('Hun Demand'!V:V,MATCH(O644,'Hun Demand'!A:A,0)),"")</f>
        <v/>
      </c>
      <c r="C644" s="25" t="str">
        <f>IFERROR(INDEX('Hun Demand'!U:U,MATCH(O644,'Hun Demand'!A:A,0)),"")</f>
        <v/>
      </c>
      <c r="D644" s="25" t="str">
        <f>IFERROR(INDEX('Hun Demand'!T:T,MATCH(O644,'Hun Demand'!A:A,0)),"")</f>
        <v/>
      </c>
      <c r="E644" s="25" t="str">
        <f>IFERROR(INDEX('Hun Demand'!S:S,MATCH(O644,'Hun Demand'!A:A,0)),"")</f>
        <v/>
      </c>
      <c r="F644" s="25" t="str">
        <f>IFERROR(INDEX('Hun Demand'!R:R,MATCH(O644,'Hun Demand'!A:A,0)),"")</f>
        <v/>
      </c>
      <c r="G644" s="25">
        <f>IFERROR(INDEX('Aub Demand'!W:W,MATCH(O644,'Aub Demand'!A:A,0)),"")</f>
        <v>0</v>
      </c>
      <c r="H644" s="25">
        <f>IFERROR(INDEX('Aub Demand'!V:V,MATCH(O644,'Aub Demand'!A:A,0)),"")</f>
        <v>0</v>
      </c>
      <c r="I644" s="25">
        <f>IFERROR(INDEX('Aub Demand'!U:U,MATCH(O644,'Aub Demand'!A:A,0)),"")</f>
        <v>99</v>
      </c>
      <c r="J644" s="25">
        <f>IFERROR(INDEX('Aub Demand'!T:T,MATCH(O644,'Aub Demand'!A:A,0)),"")</f>
        <v>62</v>
      </c>
      <c r="K644" s="25">
        <f>IFERROR(INDEX('Aub Demand'!S:S,MATCH(O644,'Aub Demand'!A:A,0)),"")</f>
        <v>116</v>
      </c>
      <c r="L644" s="25">
        <f>IFERROR(INDEX('Aub Demand'!R:R,MATCH(O644,'Aub Demand'!A:A,0)),"")</f>
        <v>0</v>
      </c>
      <c r="O644" s="27" t="s">
        <v>3345</v>
      </c>
      <c r="P644" s="27" t="str">
        <f>IFERROR(INDEX('Aub Demand'!B:B,MATCH($O644,'Aub Demand'!$A:$A,0)),"")</f>
        <v>TENINO WENGE</v>
      </c>
      <c r="Q644" s="27">
        <f>IFERROR(INDEX('Aub Demand'!C:C,MATCH($O644,'Aub Demand'!$A:$A,0)),"")</f>
        <v>0</v>
      </c>
      <c r="R644" s="52">
        <f>IFERROR(IF(AR645=AR644,INDEX('Aub Demand'!K:K,MATCH($O644,'Aub Demand'!$A:$A,0))-IF(AN644="",0,AN644)+AP645,INDEX('Aub Demand'!K:K,MATCH($O644,'Aub Demand'!$A:$A,0))-IF(AN644="",0,AN644)),"")</f>
        <v>1759</v>
      </c>
      <c r="S644" s="53">
        <f t="shared" si="280"/>
        <v>81.900000000000006</v>
      </c>
      <c r="T644" s="52" t="str">
        <f t="shared" si="281"/>
        <v/>
      </c>
      <c r="U644" s="52">
        <f>IFERROR(IF(AR645=AR644,INDEX('Aub Demand'!Q:Q,MATCH($O644,'Aub Demand'!$A:$A,0))-IF(AN644="",0,AN644)+AP645,INDEX('Aub Demand'!Q:Q,MATCH($O644,'Aub Demand'!$A:$A,0))-IF(AN644="",0,AN644)),"")</f>
        <v>1759</v>
      </c>
      <c r="V644" s="53">
        <f t="shared" si="282"/>
        <v>81.900000000000006</v>
      </c>
      <c r="W644" s="52" t="str">
        <f t="shared" si="283"/>
        <v/>
      </c>
      <c r="X644" s="52">
        <f>IFERROR(IF(AND(AR645=AR644,AM644&lt;&gt;""),INDEX('Aub Demand'!Q:Q,MATCH($O644,'Aub Demand'!$A:$A,0))-IF(AN644="",0,AN644)+AP645+AD644+AL644,IF(AR645=AR644,INDEX('Aub Demand'!Q:Q,MATCH($O644,'Aub Demand'!$A:$A,0))-IF(AN644="",0,AN644)+AP645+AD644,IF(AM644&lt;&gt;"",INDEX('Aub Demand'!Q:Q,MATCH($O644,'Aub Demand'!$A:$A,0))-IF(AN644="",0,AN644)+AD644+AL644,INDEX('Aub Demand'!Q:Q,MATCH($O644,'Aub Demand'!$A:$A,0))-IF(AN644="",0,AN644)+AD644))),"")</f>
        <v>1759</v>
      </c>
      <c r="Y644" s="53">
        <f t="shared" si="284"/>
        <v>81.900000000000006</v>
      </c>
      <c r="Z644" s="52">
        <f>IF(L644="","",INDEX('Aub Demand'!H:H,MATCH($O644,'Aub Demand'!$A:$A,0)))</f>
        <v>92</v>
      </c>
      <c r="AA644" s="52">
        <f t="shared" si="285"/>
        <v>107.5</v>
      </c>
      <c r="AB644" s="52">
        <f>IFERROR(INDEX('Aub Demand'!L:L,MATCH($O644,'Aub Demand'!$A:$A,0)),"")</f>
        <v>66</v>
      </c>
      <c r="AC644" s="52">
        <f>IFERROR(IF(O644="","",SUMIFS('CPL Mats'!F:F,'CPL Mats'!Q:Q,AR644,'CPL Mats'!S:S,AS644)),"")</f>
        <v>0</v>
      </c>
      <c r="AF644" s="25" t="str">
        <f>IF(SUMIFS('Supp Consol'!S:S,'Supp Consol'!Y:Y,"Releasable",'Supp Consol'!A:A,O644)=0,"",SUMIFS('Supp Consol'!S:S,'Supp Consol'!Y:Y,"Releasable",'Supp Consol'!A:A,O644))</f>
        <v/>
      </c>
      <c r="AG644" s="25" t="str">
        <f>IFERROR(INDEX('Hun Demand'!Q:Q,MATCH(O644,'Hun Demand'!A:A,0)),"")</f>
        <v/>
      </c>
      <c r="AH644" s="25" t="str">
        <f>IFERROR(INDEX('Hun Demand'!H:H,MATCH($O644,'Hun Demand'!$A:$A,0)),"")</f>
        <v/>
      </c>
      <c r="AI644" s="25" t="str">
        <f>IF(SUMIFS('Supp Consol'!AA:AA,'Supp Consol'!Z:Z,"Expires this month",'Supp Consol'!A:A,O644)=0,"",SUMIFS('Supp Consol'!AA:AA,'Supp Consol'!Z:Z,"Expires this month",'Supp Consol'!A:A,O644))</f>
        <v/>
      </c>
      <c r="AJ644" s="25" t="str">
        <f>IF(SUMIFS('Supp Consol'!AA:AA,'Supp Consol'!Z:Z,"Expired Previous Months",'Supp Consol'!A:A,O644)=0,"",SUMIFS('Supp Consol'!AA:AA,'Supp Consol'!Z:Z,"Expired Previous Months",'Supp Consol'!A:A,O644))</f>
        <v/>
      </c>
      <c r="AK644" s="25" t="str">
        <f>IFERROR(INDEX('Hun Release Current'!B:B,MATCH(O644,'Hun Release Current'!A:A,0)),"")</f>
        <v/>
      </c>
      <c r="AL644" s="25" t="str">
        <f>IF(SUMIF('Prev Aub'!A:A,O644,'Prev Aub'!B:B)=0,"",SUMIF('Prev Aub'!A:A,O644,'Prev Aub'!B:B))</f>
        <v/>
      </c>
      <c r="AN644" s="25" t="s">
        <v>3790</v>
      </c>
      <c r="AO644" s="25" t="s">
        <v>3790</v>
      </c>
      <c r="AP644" s="25">
        <f t="shared" si="286"/>
        <v>0</v>
      </c>
      <c r="AQ644" s="151" t="str">
        <f>IF(SUMIFS('Supp Consol'!S:S,'Supp Consol'!A:A,O644,'Supp Consol'!I:I,"PENDING")=0,"",SUMIFS('Supp Consol'!S:S,'Supp Consol'!A:A,O644,'Supp Consol'!I:I,"PENDING"))</f>
        <v/>
      </c>
      <c r="AR644" s="27" t="str">
        <f t="shared" si="287"/>
        <v>KM002</v>
      </c>
      <c r="AS644" s="27" t="str">
        <f t="shared" si="288"/>
        <v>50</v>
      </c>
      <c r="AT644" s="27" t="str">
        <f t="shared" si="289"/>
        <v/>
      </c>
      <c r="AU644" s="27" t="str">
        <f t="shared" si="290"/>
        <v/>
      </c>
      <c r="AV644" s="27" t="str">
        <f t="shared" si="291"/>
        <v/>
      </c>
      <c r="AW644" s="27" t="str">
        <f t="shared" si="292"/>
        <v/>
      </c>
      <c r="AX644" s="27" t="str">
        <f t="shared" si="293"/>
        <v/>
      </c>
      <c r="AY644" s="27" t="str">
        <f t="shared" si="294"/>
        <v/>
      </c>
      <c r="AZ644" s="27" t="str">
        <f t="shared" si="295"/>
        <v/>
      </c>
      <c r="BA644" s="27" t="str">
        <f t="shared" si="296"/>
        <v/>
      </c>
      <c r="BB644" s="27" t="str">
        <f t="shared" si="297"/>
        <v/>
      </c>
      <c r="BC644" s="27" t="str">
        <f t="shared" si="298"/>
        <v/>
      </c>
      <c r="BD644" s="27" t="str">
        <f t="shared" si="299"/>
        <v/>
      </c>
      <c r="BE644" s="27" t="str">
        <f t="shared" si="300"/>
        <v/>
      </c>
      <c r="BF644" s="27" t="str">
        <f t="shared" si="301"/>
        <v/>
      </c>
      <c r="BG644" s="27" t="str">
        <f t="shared" si="302"/>
        <v/>
      </c>
      <c r="BH644" s="27" t="str">
        <f t="shared" si="303"/>
        <v/>
      </c>
      <c r="BI644" s="27" t="str">
        <f t="shared" si="304"/>
        <v/>
      </c>
      <c r="BJ644" s="27" t="str">
        <f t="shared" si="305"/>
        <v/>
      </c>
      <c r="BK644" s="27" t="str">
        <f t="shared" si="306"/>
        <v/>
      </c>
      <c r="BL644" s="27" t="str">
        <f t="shared" si="307"/>
        <v/>
      </c>
      <c r="BM644" s="21" t="s">
        <v>5581</v>
      </c>
    </row>
    <row r="645" spans="1:65" ht="15">
      <c r="A645" s="25" t="str">
        <f>IFERROR(INDEX('Hun Demand'!W:W,MATCH(O645,'Hun Demand'!A:A,0)),"")</f>
        <v/>
      </c>
      <c r="B645" s="25" t="str">
        <f>IFERROR(INDEX('Hun Demand'!V:V,MATCH(O645,'Hun Demand'!A:A,0)),"")</f>
        <v/>
      </c>
      <c r="C645" s="25" t="str">
        <f>IFERROR(INDEX('Hun Demand'!U:U,MATCH(O645,'Hun Demand'!A:A,0)),"")</f>
        <v/>
      </c>
      <c r="D645" s="25" t="str">
        <f>IFERROR(INDEX('Hun Demand'!T:T,MATCH(O645,'Hun Demand'!A:A,0)),"")</f>
        <v/>
      </c>
      <c r="E645" s="25" t="str">
        <f>IFERROR(INDEX('Hun Demand'!S:S,MATCH(O645,'Hun Demand'!A:A,0)),"")</f>
        <v/>
      </c>
      <c r="F645" s="25" t="str">
        <f>IFERROR(INDEX('Hun Demand'!R:R,MATCH(O645,'Hun Demand'!A:A,0)),"")</f>
        <v/>
      </c>
      <c r="G645" s="25">
        <f>IFERROR(INDEX('Aub Demand'!W:W,MATCH(O645,'Aub Demand'!A:A,0)),"")</f>
        <v>0</v>
      </c>
      <c r="H645" s="25">
        <f>IFERROR(INDEX('Aub Demand'!V:V,MATCH(O645,'Aub Demand'!A:A,0)),"")</f>
        <v>0</v>
      </c>
      <c r="I645" s="25">
        <f>IFERROR(INDEX('Aub Demand'!U:U,MATCH(O645,'Aub Demand'!A:A,0)),"")</f>
        <v>250</v>
      </c>
      <c r="J645" s="25">
        <f>IFERROR(INDEX('Aub Demand'!T:T,MATCH(O645,'Aub Demand'!A:A,0)),"")</f>
        <v>0</v>
      </c>
      <c r="K645" s="25">
        <f>IFERROR(INDEX('Aub Demand'!S:S,MATCH(O645,'Aub Demand'!A:A,0)),"")</f>
        <v>0</v>
      </c>
      <c r="L645" s="25">
        <f>IFERROR(INDEX('Aub Demand'!R:R,MATCH(O645,'Aub Demand'!A:A,0)),"")</f>
        <v>0</v>
      </c>
      <c r="O645" s="27" t="s">
        <v>3347</v>
      </c>
      <c r="P645" s="27" t="str">
        <f>IFERROR(INDEX('Aub Demand'!B:B,MATCH($O645,'Aub Demand'!$A:$A,0)),"")</f>
        <v>TENINO OAK</v>
      </c>
      <c r="Q645" s="27">
        <f>IFERROR(INDEX('Aub Demand'!C:C,MATCH($O645,'Aub Demand'!$A:$A,0)),"")</f>
        <v>0</v>
      </c>
      <c r="R645" s="52">
        <f>IFERROR(IF(AR646=AR645,INDEX('Aub Demand'!K:K,MATCH($O645,'Aub Demand'!$A:$A,0))-IF(AN645="",0,AN645)+AP646,INDEX('Aub Demand'!K:K,MATCH($O645,'Aub Demand'!$A:$A,0))-IF(AN645="",0,AN645)),"")</f>
        <v>2420</v>
      </c>
      <c r="S645" s="53">
        <f t="shared" si="280"/>
        <v>125</v>
      </c>
      <c r="T645" s="52" t="str">
        <f t="shared" si="281"/>
        <v/>
      </c>
      <c r="U645" s="52">
        <f>IFERROR(IF(AR646=AR645,INDEX('Aub Demand'!Q:Q,MATCH($O645,'Aub Demand'!$A:$A,0))-IF(AN645="",0,AN645)+AP646,INDEX('Aub Demand'!Q:Q,MATCH($O645,'Aub Demand'!$A:$A,0))-IF(AN645="",0,AN645)),"")</f>
        <v>2420</v>
      </c>
      <c r="V645" s="53">
        <f t="shared" si="282"/>
        <v>125</v>
      </c>
      <c r="W645" s="52" t="str">
        <f t="shared" si="283"/>
        <v/>
      </c>
      <c r="X645" s="52">
        <f>IFERROR(IF(AND(AR646=AR645,AM645&lt;&gt;""),INDEX('Aub Demand'!Q:Q,MATCH($O645,'Aub Demand'!$A:$A,0))-IF(AN645="",0,AN645)+AP646+AD645+AL645,IF(AR646=AR645,INDEX('Aub Demand'!Q:Q,MATCH($O645,'Aub Demand'!$A:$A,0))-IF(AN645="",0,AN645)+AP646+AD645,IF(AM645&lt;&gt;"",INDEX('Aub Demand'!Q:Q,MATCH($O645,'Aub Demand'!$A:$A,0))-IF(AN645="",0,AN645)+AD645+AL645,INDEX('Aub Demand'!Q:Q,MATCH($O645,'Aub Demand'!$A:$A,0))-IF(AN645="",0,AN645)+AD645))),"")</f>
        <v>2420</v>
      </c>
      <c r="Y645" s="53">
        <f t="shared" si="284"/>
        <v>125</v>
      </c>
      <c r="Z645" s="52">
        <f>IF(L645="","",INDEX('Aub Demand'!H:H,MATCH($O645,'Aub Demand'!$A:$A,0)))</f>
        <v>83</v>
      </c>
      <c r="AA645" s="52" t="str">
        <f t="shared" si="285"/>
        <v>-spike-</v>
      </c>
      <c r="AB645" s="52">
        <f>IFERROR(INDEX('Aub Demand'!L:L,MATCH($O645,'Aub Demand'!$A:$A,0)),"")</f>
        <v>0</v>
      </c>
      <c r="AC645" s="52">
        <f>IFERROR(IF(O645="","",SUMIFS('CPL Mats'!F:F,'CPL Mats'!Q:Q,AR645,'CPL Mats'!S:S,AS645)),"")</f>
        <v>0</v>
      </c>
      <c r="AF645" s="25" t="str">
        <f>IF(SUMIFS('Supp Consol'!S:S,'Supp Consol'!Y:Y,"Releasable",'Supp Consol'!A:A,O645)=0,"",SUMIFS('Supp Consol'!S:S,'Supp Consol'!Y:Y,"Releasable",'Supp Consol'!A:A,O645))</f>
        <v/>
      </c>
      <c r="AG645" s="25" t="str">
        <f>IFERROR(INDEX('Hun Demand'!Q:Q,MATCH(O645,'Hun Demand'!A:A,0)),"")</f>
        <v/>
      </c>
      <c r="AH645" s="25" t="str">
        <f>IFERROR(INDEX('Hun Demand'!H:H,MATCH($O645,'Hun Demand'!$A:$A,0)),"")</f>
        <v/>
      </c>
      <c r="AI645" s="25" t="str">
        <f>IF(SUMIFS('Supp Consol'!AA:AA,'Supp Consol'!Z:Z,"Expires this month",'Supp Consol'!A:A,O645)=0,"",SUMIFS('Supp Consol'!AA:AA,'Supp Consol'!Z:Z,"Expires this month",'Supp Consol'!A:A,O645))</f>
        <v/>
      </c>
      <c r="AJ645" s="25" t="str">
        <f>IF(SUMIFS('Supp Consol'!AA:AA,'Supp Consol'!Z:Z,"Expired Previous Months",'Supp Consol'!A:A,O645)=0,"",SUMIFS('Supp Consol'!AA:AA,'Supp Consol'!Z:Z,"Expired Previous Months",'Supp Consol'!A:A,O645))</f>
        <v/>
      </c>
      <c r="AK645" s="25" t="str">
        <f>IFERROR(INDEX('Hun Release Current'!B:B,MATCH(O645,'Hun Release Current'!A:A,0)),"")</f>
        <v/>
      </c>
      <c r="AL645" s="25" t="str">
        <f>IF(SUMIF('Prev Aub'!A:A,O645,'Prev Aub'!B:B)=0,"",SUMIF('Prev Aub'!A:A,O645,'Prev Aub'!B:B))</f>
        <v/>
      </c>
      <c r="AN645" s="25" t="s">
        <v>3790</v>
      </c>
      <c r="AO645" s="25" t="s">
        <v>3790</v>
      </c>
      <c r="AP645" s="25">
        <f t="shared" si="286"/>
        <v>0</v>
      </c>
      <c r="AQ645" s="151" t="str">
        <f>IF(SUMIFS('Supp Consol'!S:S,'Supp Consol'!A:A,O645,'Supp Consol'!I:I,"PENDING")=0,"",SUMIFS('Supp Consol'!S:S,'Supp Consol'!A:A,O645,'Supp Consol'!I:I,"PENDING"))</f>
        <v/>
      </c>
      <c r="AR645" s="27" t="str">
        <f t="shared" si="287"/>
        <v>KM003</v>
      </c>
      <c r="AS645" s="27" t="str">
        <f t="shared" si="288"/>
        <v>50</v>
      </c>
      <c r="AT645" s="27" t="str">
        <f t="shared" si="289"/>
        <v/>
      </c>
      <c r="AU645" s="27" t="str">
        <f t="shared" si="290"/>
        <v/>
      </c>
      <c r="AV645" s="27" t="str">
        <f t="shared" si="291"/>
        <v/>
      </c>
      <c r="AW645" s="27" t="str">
        <f t="shared" si="292"/>
        <v/>
      </c>
      <c r="AX645" s="27" t="str">
        <f t="shared" si="293"/>
        <v/>
      </c>
      <c r="AY645" s="27" t="str">
        <f t="shared" si="294"/>
        <v/>
      </c>
      <c r="AZ645" s="27" t="str">
        <f t="shared" si="295"/>
        <v/>
      </c>
      <c r="BA645" s="27" t="str">
        <f t="shared" si="296"/>
        <v/>
      </c>
      <c r="BB645" s="27" t="str">
        <f t="shared" si="297"/>
        <v/>
      </c>
      <c r="BC645" s="27" t="str">
        <f t="shared" si="298"/>
        <v/>
      </c>
      <c r="BD645" s="27" t="str">
        <f t="shared" si="299"/>
        <v/>
      </c>
      <c r="BE645" s="27" t="str">
        <f t="shared" si="300"/>
        <v/>
      </c>
      <c r="BF645" s="27" t="str">
        <f t="shared" si="301"/>
        <v/>
      </c>
      <c r="BG645" s="27" t="str">
        <f t="shared" si="302"/>
        <v/>
      </c>
      <c r="BH645" s="27" t="str">
        <f t="shared" si="303"/>
        <v/>
      </c>
      <c r="BI645" s="27" t="str">
        <f t="shared" si="304"/>
        <v/>
      </c>
      <c r="BJ645" s="27" t="str">
        <f t="shared" si="305"/>
        <v/>
      </c>
      <c r="BK645" s="27" t="str">
        <f t="shared" si="306"/>
        <v/>
      </c>
      <c r="BL645" s="27" t="str">
        <f t="shared" si="307"/>
        <v/>
      </c>
      <c r="BM645" s="21" t="s">
        <v>5581</v>
      </c>
    </row>
    <row r="646" spans="1:65" ht="15">
      <c r="A646" s="25" t="str">
        <f>IFERROR(INDEX('Hun Demand'!W:W,MATCH(O646,'Hun Demand'!A:A,0)),"")</f>
        <v/>
      </c>
      <c r="B646" s="25" t="str">
        <f>IFERROR(INDEX('Hun Demand'!V:V,MATCH(O646,'Hun Demand'!A:A,0)),"")</f>
        <v/>
      </c>
      <c r="C646" s="25" t="str">
        <f>IFERROR(INDEX('Hun Demand'!U:U,MATCH(O646,'Hun Demand'!A:A,0)),"")</f>
        <v/>
      </c>
      <c r="D646" s="25" t="str">
        <f>IFERROR(INDEX('Hun Demand'!T:T,MATCH(O646,'Hun Demand'!A:A,0)),"")</f>
        <v/>
      </c>
      <c r="E646" s="25" t="str">
        <f>IFERROR(INDEX('Hun Demand'!S:S,MATCH(O646,'Hun Demand'!A:A,0)),"")</f>
        <v/>
      </c>
      <c r="F646" s="25" t="str">
        <f>IFERROR(INDEX('Hun Demand'!R:R,MATCH(O646,'Hun Demand'!A:A,0)),"")</f>
        <v/>
      </c>
      <c r="G646" s="25">
        <f>IFERROR(INDEX('Aub Demand'!W:W,MATCH(O646,'Aub Demand'!A:A,0)),"")</f>
        <v>0</v>
      </c>
      <c r="H646" s="25">
        <f>IFERROR(INDEX('Aub Demand'!V:V,MATCH(O646,'Aub Demand'!A:A,0)),"")</f>
        <v>0</v>
      </c>
      <c r="I646" s="25">
        <f>IFERROR(INDEX('Aub Demand'!U:U,MATCH(O646,'Aub Demand'!A:A,0)),"")</f>
        <v>0</v>
      </c>
      <c r="J646" s="25">
        <f>IFERROR(INDEX('Aub Demand'!T:T,MATCH(O646,'Aub Demand'!A:A,0)),"")</f>
        <v>167</v>
      </c>
      <c r="K646" s="25">
        <f>IFERROR(INDEX('Aub Demand'!S:S,MATCH(O646,'Aub Demand'!A:A,0)),"")</f>
        <v>0</v>
      </c>
      <c r="L646" s="25">
        <f>IFERROR(INDEX('Aub Demand'!R:R,MATCH(O646,'Aub Demand'!A:A,0)),"")</f>
        <v>0</v>
      </c>
      <c r="O646" s="27" t="s">
        <v>3349</v>
      </c>
      <c r="P646" s="27" t="str">
        <f>IFERROR(INDEX('Aub Demand'!B:B,MATCH($O646,'Aub Demand'!$A:$A,0)),"")</f>
        <v>TENINO GRAY</v>
      </c>
      <c r="Q646" s="27">
        <f>IFERROR(INDEX('Aub Demand'!C:C,MATCH($O646,'Aub Demand'!$A:$A,0)),"")</f>
        <v>0</v>
      </c>
      <c r="R646" s="52">
        <f>IFERROR(IF(AR647=AR646,INDEX('Aub Demand'!K:K,MATCH($O646,'Aub Demand'!$A:$A,0))-IF(AN646="",0,AN646)+AP647,INDEX('Aub Demand'!K:K,MATCH($O646,'Aub Demand'!$A:$A,0))-IF(AN646="",0,AN646)),"")</f>
        <v>2227</v>
      </c>
      <c r="S646" s="53">
        <f t="shared" si="280"/>
        <v>170.4</v>
      </c>
      <c r="T646" s="52" t="str">
        <f t="shared" si="281"/>
        <v/>
      </c>
      <c r="U646" s="52">
        <f>IFERROR(IF(AR647=AR646,INDEX('Aub Demand'!Q:Q,MATCH($O646,'Aub Demand'!$A:$A,0))-IF(AN646="",0,AN646)+AP647,INDEX('Aub Demand'!Q:Q,MATCH($O646,'Aub Demand'!$A:$A,0))-IF(AN646="",0,AN646)),"")</f>
        <v>2227</v>
      </c>
      <c r="V646" s="53">
        <f t="shared" si="282"/>
        <v>170.4</v>
      </c>
      <c r="W646" s="52" t="str">
        <f t="shared" si="283"/>
        <v/>
      </c>
      <c r="X646" s="52">
        <f>IFERROR(IF(AND(AR647=AR646,AM646&lt;&gt;""),INDEX('Aub Demand'!Q:Q,MATCH($O646,'Aub Demand'!$A:$A,0))-IF(AN646="",0,AN646)+AP647+AD646+AL646,IF(AR647=AR646,INDEX('Aub Demand'!Q:Q,MATCH($O646,'Aub Demand'!$A:$A,0))-IF(AN646="",0,AN646)+AP647+AD646,IF(AM646&lt;&gt;"",INDEX('Aub Demand'!Q:Q,MATCH($O646,'Aub Demand'!$A:$A,0))-IF(AN646="",0,AN646)+AD646+AL646,INDEX('Aub Demand'!Q:Q,MATCH($O646,'Aub Demand'!$A:$A,0))-IF(AN646="",0,AN646)+AD646))),"")</f>
        <v>2227</v>
      </c>
      <c r="Y646" s="53">
        <f t="shared" si="284"/>
        <v>170.4</v>
      </c>
      <c r="Z646" s="52">
        <f>IF(L646="","",INDEX('Aub Demand'!H:H,MATCH($O646,'Aub Demand'!$A:$A,0)))</f>
        <v>56</v>
      </c>
      <c r="AA646" s="52" t="str">
        <f t="shared" si="285"/>
        <v>-spike-</v>
      </c>
      <c r="AB646" s="52">
        <f>IFERROR(INDEX('Aub Demand'!L:L,MATCH($O646,'Aub Demand'!$A:$A,0)),"")</f>
        <v>0</v>
      </c>
      <c r="AC646" s="52">
        <f>IFERROR(IF(O646="","",SUMIFS('CPL Mats'!F:F,'CPL Mats'!Q:Q,AR646,'CPL Mats'!S:S,AS646)),"")</f>
        <v>0</v>
      </c>
      <c r="AF646" s="25" t="str">
        <f>IF(SUMIFS('Supp Consol'!S:S,'Supp Consol'!Y:Y,"Releasable",'Supp Consol'!A:A,O646)=0,"",SUMIFS('Supp Consol'!S:S,'Supp Consol'!Y:Y,"Releasable",'Supp Consol'!A:A,O646))</f>
        <v/>
      </c>
      <c r="AG646" s="25" t="str">
        <f>IFERROR(INDEX('Hun Demand'!Q:Q,MATCH(O646,'Hun Demand'!A:A,0)),"")</f>
        <v/>
      </c>
      <c r="AH646" s="25" t="str">
        <f>IFERROR(INDEX('Hun Demand'!H:H,MATCH($O646,'Hun Demand'!$A:$A,0)),"")</f>
        <v/>
      </c>
      <c r="AI646" s="25" t="str">
        <f>IF(SUMIFS('Supp Consol'!AA:AA,'Supp Consol'!Z:Z,"Expires this month",'Supp Consol'!A:A,O646)=0,"",SUMIFS('Supp Consol'!AA:AA,'Supp Consol'!Z:Z,"Expires this month",'Supp Consol'!A:A,O646))</f>
        <v/>
      </c>
      <c r="AJ646" s="25" t="str">
        <f>IF(SUMIFS('Supp Consol'!AA:AA,'Supp Consol'!Z:Z,"Expired Previous Months",'Supp Consol'!A:A,O646)=0,"",SUMIFS('Supp Consol'!AA:AA,'Supp Consol'!Z:Z,"Expired Previous Months",'Supp Consol'!A:A,O646))</f>
        <v/>
      </c>
      <c r="AK646" s="25" t="str">
        <f>IFERROR(INDEX('Hun Release Current'!B:B,MATCH(O646,'Hun Release Current'!A:A,0)),"")</f>
        <v/>
      </c>
      <c r="AL646" s="25" t="str">
        <f>IF(SUMIF('Prev Aub'!A:A,O646,'Prev Aub'!B:B)=0,"",SUMIF('Prev Aub'!A:A,O646,'Prev Aub'!B:B))</f>
        <v/>
      </c>
      <c r="AN646" s="25" t="s">
        <v>3790</v>
      </c>
      <c r="AO646" s="25" t="s">
        <v>3790</v>
      </c>
      <c r="AP646" s="25">
        <f t="shared" si="286"/>
        <v>0</v>
      </c>
      <c r="AQ646" s="151" t="str">
        <f>IF(SUMIFS('Supp Consol'!S:S,'Supp Consol'!A:A,O646,'Supp Consol'!I:I,"PENDING")=0,"",SUMIFS('Supp Consol'!S:S,'Supp Consol'!A:A,O646,'Supp Consol'!I:I,"PENDING"))</f>
        <v/>
      </c>
      <c r="AR646" s="27" t="str">
        <f t="shared" si="287"/>
        <v>KM004</v>
      </c>
      <c r="AS646" s="27" t="str">
        <f t="shared" si="288"/>
        <v>50</v>
      </c>
      <c r="AT646" s="27" t="str">
        <f t="shared" si="289"/>
        <v/>
      </c>
      <c r="AU646" s="27" t="str">
        <f t="shared" si="290"/>
        <v/>
      </c>
      <c r="AV646" s="27" t="str">
        <f t="shared" si="291"/>
        <v/>
      </c>
      <c r="AW646" s="27" t="str">
        <f t="shared" si="292"/>
        <v/>
      </c>
      <c r="AX646" s="27" t="str">
        <f t="shared" si="293"/>
        <v/>
      </c>
      <c r="AY646" s="27" t="str">
        <f t="shared" si="294"/>
        <v/>
      </c>
      <c r="AZ646" s="27" t="str">
        <f t="shared" si="295"/>
        <v/>
      </c>
      <c r="BA646" s="27" t="str">
        <f t="shared" si="296"/>
        <v/>
      </c>
      <c r="BB646" s="27" t="str">
        <f t="shared" si="297"/>
        <v/>
      </c>
      <c r="BC646" s="27" t="str">
        <f t="shared" si="298"/>
        <v/>
      </c>
      <c r="BD646" s="27" t="str">
        <f t="shared" si="299"/>
        <v/>
      </c>
      <c r="BE646" s="27" t="str">
        <f t="shared" si="300"/>
        <v/>
      </c>
      <c r="BF646" s="27" t="str">
        <f t="shared" si="301"/>
        <v/>
      </c>
      <c r="BG646" s="27" t="str">
        <f t="shared" si="302"/>
        <v/>
      </c>
      <c r="BH646" s="27" t="str">
        <f t="shared" si="303"/>
        <v/>
      </c>
      <c r="BI646" s="27" t="str">
        <f t="shared" si="304"/>
        <v/>
      </c>
      <c r="BJ646" s="27" t="str">
        <f t="shared" si="305"/>
        <v/>
      </c>
      <c r="BK646" s="27" t="str">
        <f t="shared" si="306"/>
        <v/>
      </c>
      <c r="BL646" s="27" t="str">
        <f t="shared" si="307"/>
        <v/>
      </c>
      <c r="BM646" s="21" t="s">
        <v>5581</v>
      </c>
    </row>
    <row r="647" spans="1:65" ht="15">
      <c r="A647" s="25" t="str">
        <f>IFERROR(INDEX('Hun Demand'!W:W,MATCH(O647,'Hun Demand'!A:A,0)),"")</f>
        <v/>
      </c>
      <c r="B647" s="25" t="str">
        <f>IFERROR(INDEX('Hun Demand'!V:V,MATCH(O647,'Hun Demand'!A:A,0)),"")</f>
        <v/>
      </c>
      <c r="C647" s="25" t="str">
        <f>IFERROR(INDEX('Hun Demand'!U:U,MATCH(O647,'Hun Demand'!A:A,0)),"")</f>
        <v/>
      </c>
      <c r="D647" s="25" t="str">
        <f>IFERROR(INDEX('Hun Demand'!T:T,MATCH(O647,'Hun Demand'!A:A,0)),"")</f>
        <v/>
      </c>
      <c r="E647" s="25" t="str">
        <f>IFERROR(INDEX('Hun Demand'!S:S,MATCH(O647,'Hun Demand'!A:A,0)),"")</f>
        <v/>
      </c>
      <c r="F647" s="25" t="str">
        <f>IFERROR(INDEX('Hun Demand'!R:R,MATCH(O647,'Hun Demand'!A:A,0)),"")</f>
        <v/>
      </c>
      <c r="G647" s="25">
        <f>IFERROR(INDEX('Aub Demand'!W:W,MATCH(O647,'Aub Demand'!A:A,0)),"")</f>
        <v>0</v>
      </c>
      <c r="H647" s="25">
        <f>IFERROR(INDEX('Aub Demand'!V:V,MATCH(O647,'Aub Demand'!A:A,0)),"")</f>
        <v>0</v>
      </c>
      <c r="I647" s="25">
        <f>IFERROR(INDEX('Aub Demand'!U:U,MATCH(O647,'Aub Demand'!A:A,0)),"")</f>
        <v>0</v>
      </c>
      <c r="J647" s="25">
        <f>IFERROR(INDEX('Aub Demand'!T:T,MATCH(O647,'Aub Demand'!A:A,0)),"")</f>
        <v>0</v>
      </c>
      <c r="K647" s="25">
        <f>IFERROR(INDEX('Aub Demand'!S:S,MATCH(O647,'Aub Demand'!A:A,0)),"")</f>
        <v>0</v>
      </c>
      <c r="L647" s="25">
        <f>IFERROR(INDEX('Aub Demand'!R:R,MATCH(O647,'Aub Demand'!A:A,0)),"")</f>
        <v>0</v>
      </c>
      <c r="O647" s="27" t="s">
        <v>3351</v>
      </c>
      <c r="P647" s="27" t="str">
        <f>IFERROR(INDEX('Aub Demand'!B:B,MATCH($O647,'Aub Demand'!$A:$A,0)),"")</f>
        <v>TENINO WALNUT</v>
      </c>
      <c r="Q647" s="27">
        <f>IFERROR(INDEX('Aub Demand'!C:C,MATCH($O647,'Aub Demand'!$A:$A,0)),"")</f>
        <v>0</v>
      </c>
      <c r="R647" s="52">
        <f>IFERROR(IF(AR648=AR647,INDEX('Aub Demand'!K:K,MATCH($O647,'Aub Demand'!$A:$A,0))-IF(AN647="",0,AN647)+AP648,INDEX('Aub Demand'!K:K,MATCH($O647,'Aub Demand'!$A:$A,0))-IF(AN647="",0,AN647)),"")</f>
        <v>1850</v>
      </c>
      <c r="S647" s="53" t="str">
        <f t="shared" si="280"/>
        <v>n/a</v>
      </c>
      <c r="T647" s="52" t="str">
        <f t="shared" si="281"/>
        <v/>
      </c>
      <c r="U647" s="52">
        <f>IFERROR(IF(AR648=AR647,INDEX('Aub Demand'!Q:Q,MATCH($O647,'Aub Demand'!$A:$A,0))-IF(AN647="",0,AN647)+AP648,INDEX('Aub Demand'!Q:Q,MATCH($O647,'Aub Demand'!$A:$A,0))-IF(AN647="",0,AN647)),"")</f>
        <v>1850</v>
      </c>
      <c r="V647" s="53" t="str">
        <f t="shared" si="282"/>
        <v>n/a</v>
      </c>
      <c r="W647" s="52" t="str">
        <f t="shared" si="283"/>
        <v/>
      </c>
      <c r="X647" s="52">
        <f>IFERROR(IF(AND(AR648=AR647,AM647&lt;&gt;""),INDEX('Aub Demand'!Q:Q,MATCH($O647,'Aub Demand'!$A:$A,0))-IF(AN647="",0,AN647)+AP648+AD647+AL647,IF(AR648=AR647,INDEX('Aub Demand'!Q:Q,MATCH($O647,'Aub Demand'!$A:$A,0))-IF(AN647="",0,AN647)+AP648+AD647,IF(AM647&lt;&gt;"",INDEX('Aub Demand'!Q:Q,MATCH($O647,'Aub Demand'!$A:$A,0))-IF(AN647="",0,AN647)+AD647+AL647,INDEX('Aub Demand'!Q:Q,MATCH($O647,'Aub Demand'!$A:$A,0))-IF(AN647="",0,AN647)+AD647))),"")</f>
        <v>1850</v>
      </c>
      <c r="Y647" s="53" t="str">
        <f t="shared" si="284"/>
        <v>n/a</v>
      </c>
      <c r="Z647" s="52">
        <f>IF(L647="","",INDEX('Aub Demand'!H:H,MATCH($O647,'Aub Demand'!$A:$A,0)))</f>
        <v>0</v>
      </c>
      <c r="AA647" s="52" t="str">
        <f t="shared" si="285"/>
        <v>-spike-</v>
      </c>
      <c r="AB647" s="52">
        <f>IFERROR(INDEX('Aub Demand'!L:L,MATCH($O647,'Aub Demand'!$A:$A,0)),"")</f>
        <v>15</v>
      </c>
      <c r="AC647" s="52">
        <f>IFERROR(IF(O647="","",SUMIFS('CPL Mats'!F:F,'CPL Mats'!Q:Q,AR647,'CPL Mats'!S:S,AS647)),"")</f>
        <v>0</v>
      </c>
      <c r="AF647" s="25" t="str">
        <f>IF(SUMIFS('Supp Consol'!S:S,'Supp Consol'!Y:Y,"Releasable",'Supp Consol'!A:A,O647)=0,"",SUMIFS('Supp Consol'!S:S,'Supp Consol'!Y:Y,"Releasable",'Supp Consol'!A:A,O647))</f>
        <v/>
      </c>
      <c r="AG647" s="25" t="str">
        <f>IFERROR(INDEX('Hun Demand'!Q:Q,MATCH(O647,'Hun Demand'!A:A,0)),"")</f>
        <v/>
      </c>
      <c r="AH647" s="25" t="str">
        <f>IFERROR(INDEX('Hun Demand'!H:H,MATCH($O647,'Hun Demand'!$A:$A,0)),"")</f>
        <v/>
      </c>
      <c r="AI647" s="25" t="str">
        <f>IF(SUMIFS('Supp Consol'!AA:AA,'Supp Consol'!Z:Z,"Expires this month",'Supp Consol'!A:A,O647)=0,"",SUMIFS('Supp Consol'!AA:AA,'Supp Consol'!Z:Z,"Expires this month",'Supp Consol'!A:A,O647))</f>
        <v/>
      </c>
      <c r="AJ647" s="25" t="str">
        <f>IF(SUMIFS('Supp Consol'!AA:AA,'Supp Consol'!Z:Z,"Expired Previous Months",'Supp Consol'!A:A,O647)=0,"",SUMIFS('Supp Consol'!AA:AA,'Supp Consol'!Z:Z,"Expired Previous Months",'Supp Consol'!A:A,O647))</f>
        <v/>
      </c>
      <c r="AK647" s="25" t="str">
        <f>IFERROR(INDEX('Hun Release Current'!B:B,MATCH(O647,'Hun Release Current'!A:A,0)),"")</f>
        <v/>
      </c>
      <c r="AL647" s="25" t="str">
        <f>IF(SUMIF('Prev Aub'!A:A,O647,'Prev Aub'!B:B)=0,"",SUMIF('Prev Aub'!A:A,O647,'Prev Aub'!B:B))</f>
        <v/>
      </c>
      <c r="AN647" s="25" t="s">
        <v>3790</v>
      </c>
      <c r="AO647" s="25" t="s">
        <v>3790</v>
      </c>
      <c r="AP647" s="25">
        <f t="shared" si="286"/>
        <v>0</v>
      </c>
      <c r="AQ647" s="151" t="str">
        <f>IF(SUMIFS('Supp Consol'!S:S,'Supp Consol'!A:A,O647,'Supp Consol'!I:I,"PENDING")=0,"",SUMIFS('Supp Consol'!S:S,'Supp Consol'!A:A,O647,'Supp Consol'!I:I,"PENDING"))</f>
        <v/>
      </c>
      <c r="AR647" s="27" t="str">
        <f t="shared" si="287"/>
        <v>KM005</v>
      </c>
      <c r="AS647" s="27" t="str">
        <f t="shared" si="288"/>
        <v>50</v>
      </c>
      <c r="AT647" s="27" t="str">
        <f t="shared" si="289"/>
        <v/>
      </c>
      <c r="AU647" s="27" t="str">
        <f t="shared" si="290"/>
        <v/>
      </c>
      <c r="AV647" s="27" t="str">
        <f t="shared" si="291"/>
        <v/>
      </c>
      <c r="AW647" s="27" t="str">
        <f t="shared" si="292"/>
        <v/>
      </c>
      <c r="AX647" s="27" t="str">
        <f t="shared" si="293"/>
        <v/>
      </c>
      <c r="AY647" s="27" t="str">
        <f t="shared" si="294"/>
        <v/>
      </c>
      <c r="AZ647" s="27" t="str">
        <f t="shared" si="295"/>
        <v/>
      </c>
      <c r="BA647" s="27" t="str">
        <f t="shared" si="296"/>
        <v/>
      </c>
      <c r="BB647" s="27" t="str">
        <f t="shared" si="297"/>
        <v/>
      </c>
      <c r="BC647" s="27" t="str">
        <f t="shared" si="298"/>
        <v/>
      </c>
      <c r="BD647" s="27" t="str">
        <f t="shared" si="299"/>
        <v/>
      </c>
      <c r="BE647" s="27" t="str">
        <f t="shared" si="300"/>
        <v/>
      </c>
      <c r="BF647" s="27" t="str">
        <f t="shared" si="301"/>
        <v/>
      </c>
      <c r="BG647" s="27" t="str">
        <f t="shared" si="302"/>
        <v/>
      </c>
      <c r="BH647" s="27" t="str">
        <f t="shared" si="303"/>
        <v/>
      </c>
      <c r="BI647" s="27" t="str">
        <f t="shared" si="304"/>
        <v/>
      </c>
      <c r="BJ647" s="27" t="str">
        <f t="shared" si="305"/>
        <v/>
      </c>
      <c r="BK647" s="27" t="str">
        <f t="shared" si="306"/>
        <v/>
      </c>
      <c r="BL647" s="27" t="str">
        <f t="shared" si="307"/>
        <v/>
      </c>
      <c r="BM647" s="21" t="s">
        <v>5581</v>
      </c>
    </row>
    <row r="648" spans="1:65" ht="15">
      <c r="A648" s="25" t="str">
        <f>IFERROR(INDEX('Hun Demand'!W:W,MATCH(O648,'Hun Demand'!A:A,0)),"")</f>
        <v/>
      </c>
      <c r="B648" s="25" t="str">
        <f>IFERROR(INDEX('Hun Demand'!V:V,MATCH(O648,'Hun Demand'!A:A,0)),"")</f>
        <v/>
      </c>
      <c r="C648" s="25" t="str">
        <f>IFERROR(INDEX('Hun Demand'!U:U,MATCH(O648,'Hun Demand'!A:A,0)),"")</f>
        <v/>
      </c>
      <c r="D648" s="25" t="str">
        <f>IFERROR(INDEX('Hun Demand'!T:T,MATCH(O648,'Hun Demand'!A:A,0)),"")</f>
        <v/>
      </c>
      <c r="E648" s="25" t="str">
        <f>IFERROR(INDEX('Hun Demand'!S:S,MATCH(O648,'Hun Demand'!A:A,0)),"")</f>
        <v/>
      </c>
      <c r="F648" s="25" t="str">
        <f>IFERROR(INDEX('Hun Demand'!R:R,MATCH(O648,'Hun Demand'!A:A,0)),"")</f>
        <v/>
      </c>
      <c r="G648" s="25">
        <f>IFERROR(INDEX('Aub Demand'!W:W,MATCH(O648,'Aub Demand'!A:A,0)),"")</f>
        <v>0</v>
      </c>
      <c r="H648" s="25">
        <f>IFERROR(INDEX('Aub Demand'!V:V,MATCH(O648,'Aub Demand'!A:A,0)),"")</f>
        <v>0</v>
      </c>
      <c r="I648" s="25">
        <f>IFERROR(INDEX('Aub Demand'!U:U,MATCH(O648,'Aub Demand'!A:A,0)),"")</f>
        <v>0</v>
      </c>
      <c r="J648" s="25">
        <f>IFERROR(INDEX('Aub Demand'!T:T,MATCH(O648,'Aub Demand'!A:A,0)),"")</f>
        <v>0</v>
      </c>
      <c r="K648" s="25">
        <f>IFERROR(INDEX('Aub Demand'!S:S,MATCH(O648,'Aub Demand'!A:A,0)),"")</f>
        <v>0</v>
      </c>
      <c r="L648" s="25">
        <f>IFERROR(INDEX('Aub Demand'!R:R,MATCH(O648,'Aub Demand'!A:A,0)),"")</f>
        <v>0</v>
      </c>
      <c r="O648" s="27" t="s">
        <v>3353</v>
      </c>
      <c r="P648" s="27" t="str">
        <f>IFERROR(INDEX('Aub Demand'!B:B,MATCH($O648,'Aub Demand'!$A:$A,0)),"")</f>
        <v>TENINO WALNUT</v>
      </c>
      <c r="Q648" s="27">
        <f>IFERROR(INDEX('Aub Demand'!C:C,MATCH($O648,'Aub Demand'!$A:$A,0)),"")</f>
        <v>0</v>
      </c>
      <c r="R648" s="52">
        <f>IFERROR(IF(AR649=AR648,INDEX('Aub Demand'!K:K,MATCH($O648,'Aub Demand'!$A:$A,0))-IF(AN648="",0,AN648)+AP649,INDEX('Aub Demand'!K:K,MATCH($O648,'Aub Demand'!$A:$A,0))-IF(AN648="",0,AN648)),"")</f>
        <v>190</v>
      </c>
      <c r="S648" s="53" t="str">
        <f t="shared" si="280"/>
        <v>n/a</v>
      </c>
      <c r="T648" s="52" t="str">
        <f t="shared" si="281"/>
        <v/>
      </c>
      <c r="U648" s="52">
        <f>IFERROR(IF(AR649=AR648,INDEX('Aub Demand'!Q:Q,MATCH($O648,'Aub Demand'!$A:$A,0))-IF(AN648="",0,AN648)+AP649,INDEX('Aub Demand'!Q:Q,MATCH($O648,'Aub Demand'!$A:$A,0))-IF(AN648="",0,AN648)),"")</f>
        <v>190</v>
      </c>
      <c r="V648" s="53" t="str">
        <f t="shared" si="282"/>
        <v>n/a</v>
      </c>
      <c r="W648" s="52" t="str">
        <f t="shared" si="283"/>
        <v/>
      </c>
      <c r="X648" s="52">
        <f>IFERROR(IF(AND(AR649=AR648,AM648&lt;&gt;""),INDEX('Aub Demand'!Q:Q,MATCH($O648,'Aub Demand'!$A:$A,0))-IF(AN648="",0,AN648)+AP649+AD648+AL648,IF(AR649=AR648,INDEX('Aub Demand'!Q:Q,MATCH($O648,'Aub Demand'!$A:$A,0))-IF(AN648="",0,AN648)+AP649+AD648,IF(AM648&lt;&gt;"",INDEX('Aub Demand'!Q:Q,MATCH($O648,'Aub Demand'!$A:$A,0))-IF(AN648="",0,AN648)+AD648+AL648,INDEX('Aub Demand'!Q:Q,MATCH($O648,'Aub Demand'!$A:$A,0))-IF(AN648="",0,AN648)+AD648))),"")</f>
        <v>190</v>
      </c>
      <c r="Y648" s="53" t="str">
        <f t="shared" si="284"/>
        <v>n/a</v>
      </c>
      <c r="Z648" s="52">
        <f>IF(L648="","",INDEX('Aub Demand'!H:H,MATCH($O648,'Aub Demand'!$A:$A,0)))</f>
        <v>0</v>
      </c>
      <c r="AA648" s="52" t="str">
        <f t="shared" si="285"/>
        <v>-spike-</v>
      </c>
      <c r="AB648" s="52">
        <f>IFERROR(INDEX('Aub Demand'!L:L,MATCH($O648,'Aub Demand'!$A:$A,0)),"")</f>
        <v>0</v>
      </c>
      <c r="AC648" s="52">
        <f>IFERROR(IF(O648="","",SUMIFS('CPL Mats'!F:F,'CPL Mats'!Q:Q,AR648,'CPL Mats'!S:S,AS648)),"")</f>
        <v>0</v>
      </c>
      <c r="AF648" s="25" t="str">
        <f>IF(SUMIFS('Supp Consol'!S:S,'Supp Consol'!Y:Y,"Releasable",'Supp Consol'!A:A,O648)=0,"",SUMIFS('Supp Consol'!S:S,'Supp Consol'!Y:Y,"Releasable",'Supp Consol'!A:A,O648))</f>
        <v/>
      </c>
      <c r="AG648" s="25" t="str">
        <f>IFERROR(INDEX('Hun Demand'!Q:Q,MATCH(O648,'Hun Demand'!A:A,0)),"")</f>
        <v/>
      </c>
      <c r="AH648" s="25" t="str">
        <f>IFERROR(INDEX('Hun Demand'!H:H,MATCH($O648,'Hun Demand'!$A:$A,0)),"")</f>
        <v/>
      </c>
      <c r="AI648" s="25" t="str">
        <f>IF(SUMIFS('Supp Consol'!AA:AA,'Supp Consol'!Z:Z,"Expires this month",'Supp Consol'!A:A,O648)=0,"",SUMIFS('Supp Consol'!AA:AA,'Supp Consol'!Z:Z,"Expires this month",'Supp Consol'!A:A,O648))</f>
        <v/>
      </c>
      <c r="AJ648" s="25" t="str">
        <f>IF(SUMIFS('Supp Consol'!AA:AA,'Supp Consol'!Z:Z,"Expired Previous Months",'Supp Consol'!A:A,O648)=0,"",SUMIFS('Supp Consol'!AA:AA,'Supp Consol'!Z:Z,"Expired Previous Months",'Supp Consol'!A:A,O648))</f>
        <v/>
      </c>
      <c r="AK648" s="25" t="str">
        <f>IFERROR(INDEX('Hun Release Current'!B:B,MATCH(O648,'Hun Release Current'!A:A,0)),"")</f>
        <v/>
      </c>
      <c r="AL648" s="25" t="str">
        <f>IF(SUMIF('Prev Aub'!A:A,O648,'Prev Aub'!B:B)=0,"",SUMIF('Prev Aub'!A:A,O648,'Prev Aub'!B:B))</f>
        <v/>
      </c>
      <c r="AN648" s="25" t="s">
        <v>3790</v>
      </c>
      <c r="AO648" s="25" t="s">
        <v>3790</v>
      </c>
      <c r="AP648" s="25">
        <f t="shared" si="286"/>
        <v>0</v>
      </c>
      <c r="AQ648" s="151" t="str">
        <f>IF(SUMIFS('Supp Consol'!S:S,'Supp Consol'!A:A,O648,'Supp Consol'!I:I,"PENDING")=0,"",SUMIFS('Supp Consol'!S:S,'Supp Consol'!A:A,O648,'Supp Consol'!I:I,"PENDING"))</f>
        <v/>
      </c>
      <c r="AR648" s="27" t="str">
        <f t="shared" si="287"/>
        <v>KM005</v>
      </c>
      <c r="AS648" s="27" t="str">
        <f t="shared" si="288"/>
        <v>62</v>
      </c>
      <c r="AT648" s="27" t="str">
        <f t="shared" si="289"/>
        <v/>
      </c>
      <c r="AU648" s="27" t="str">
        <f t="shared" si="290"/>
        <v/>
      </c>
      <c r="AV648" s="27" t="str">
        <f t="shared" si="291"/>
        <v/>
      </c>
      <c r="AW648" s="27" t="str">
        <f t="shared" si="292"/>
        <v/>
      </c>
      <c r="AX648" s="27" t="str">
        <f t="shared" si="293"/>
        <v/>
      </c>
      <c r="AY648" s="27" t="str">
        <f t="shared" si="294"/>
        <v/>
      </c>
      <c r="AZ648" s="27" t="str">
        <f t="shared" si="295"/>
        <v/>
      </c>
      <c r="BA648" s="27" t="str">
        <f t="shared" si="296"/>
        <v/>
      </c>
      <c r="BB648" s="27" t="str">
        <f t="shared" si="297"/>
        <v/>
      </c>
      <c r="BC648" s="27" t="str">
        <f t="shared" si="298"/>
        <v/>
      </c>
      <c r="BD648" s="27" t="str">
        <f t="shared" si="299"/>
        <v/>
      </c>
      <c r="BE648" s="27" t="str">
        <f t="shared" si="300"/>
        <v/>
      </c>
      <c r="BF648" s="27" t="str">
        <f t="shared" si="301"/>
        <v/>
      </c>
      <c r="BG648" s="27" t="str">
        <f t="shared" si="302"/>
        <v/>
      </c>
      <c r="BH648" s="27" t="str">
        <f t="shared" si="303"/>
        <v/>
      </c>
      <c r="BI648" s="27" t="str">
        <f t="shared" si="304"/>
        <v/>
      </c>
      <c r="BJ648" s="27" t="str">
        <f t="shared" si="305"/>
        <v/>
      </c>
      <c r="BK648" s="27" t="str">
        <f t="shared" si="306"/>
        <v/>
      </c>
      <c r="BL648" s="27" t="str">
        <f t="shared" si="307"/>
        <v/>
      </c>
      <c r="BM648" s="21" t="s">
        <v>5581</v>
      </c>
    </row>
    <row r="649" spans="1:65" ht="15">
      <c r="A649" s="25" t="str">
        <f>IFERROR(INDEX('Hun Demand'!W:W,MATCH(O649,'Hun Demand'!A:A,0)),"")</f>
        <v/>
      </c>
      <c r="B649" s="25" t="str">
        <f>IFERROR(INDEX('Hun Demand'!V:V,MATCH(O649,'Hun Demand'!A:A,0)),"")</f>
        <v/>
      </c>
      <c r="C649" s="25" t="str">
        <f>IFERROR(INDEX('Hun Demand'!U:U,MATCH(O649,'Hun Demand'!A:A,0)),"")</f>
        <v/>
      </c>
      <c r="D649" s="25" t="str">
        <f>IFERROR(INDEX('Hun Demand'!T:T,MATCH(O649,'Hun Demand'!A:A,0)),"")</f>
        <v/>
      </c>
      <c r="E649" s="25" t="str">
        <f>IFERROR(INDEX('Hun Demand'!S:S,MATCH(O649,'Hun Demand'!A:A,0)),"")</f>
        <v/>
      </c>
      <c r="F649" s="25" t="str">
        <f>IFERROR(INDEX('Hun Demand'!R:R,MATCH(O649,'Hun Demand'!A:A,0)),"")</f>
        <v/>
      </c>
      <c r="G649" s="25">
        <f>IFERROR(INDEX('Aub Demand'!W:W,MATCH(O649,'Aub Demand'!A:A,0)),"")</f>
        <v>0</v>
      </c>
      <c r="H649" s="25">
        <f>IFERROR(INDEX('Aub Demand'!V:V,MATCH(O649,'Aub Demand'!A:A,0)),"")</f>
        <v>0</v>
      </c>
      <c r="I649" s="25">
        <f>IFERROR(INDEX('Aub Demand'!U:U,MATCH(O649,'Aub Demand'!A:A,0)),"")</f>
        <v>0</v>
      </c>
      <c r="J649" s="25">
        <f>IFERROR(INDEX('Aub Demand'!T:T,MATCH(O649,'Aub Demand'!A:A,0)),"")</f>
        <v>0</v>
      </c>
      <c r="K649" s="25">
        <f>IFERROR(INDEX('Aub Demand'!S:S,MATCH(O649,'Aub Demand'!A:A,0)),"")</f>
        <v>0</v>
      </c>
      <c r="L649" s="25">
        <f>IFERROR(INDEX('Aub Demand'!R:R,MATCH(O649,'Aub Demand'!A:A,0)),"")</f>
        <v>0</v>
      </c>
      <c r="O649" s="27" t="s">
        <v>3354</v>
      </c>
      <c r="P649" s="27" t="str">
        <f>IFERROR(INDEX('Aub Demand'!B:B,MATCH($O649,'Aub Demand'!$A:$A,0)),"")</f>
        <v>EXPRESSO</v>
      </c>
      <c r="Q649" s="27">
        <f>IFERROR(INDEX('Aub Demand'!C:C,MATCH($O649,'Aub Demand'!$A:$A,0)),"")</f>
        <v>0</v>
      </c>
      <c r="R649" s="52">
        <f>IFERROR(IF(AR650=AR649,INDEX('Aub Demand'!K:K,MATCH($O649,'Aub Demand'!$A:$A,0))-IF(AN649="",0,AN649)+AP650,INDEX('Aub Demand'!K:K,MATCH($O649,'Aub Demand'!$A:$A,0))-IF(AN649="",0,AN649)),"")</f>
        <v>2300</v>
      </c>
      <c r="S649" s="53" t="str">
        <f t="shared" si="280"/>
        <v>n/a</v>
      </c>
      <c r="T649" s="52" t="str">
        <f t="shared" si="281"/>
        <v/>
      </c>
      <c r="U649" s="52">
        <f>IFERROR(IF(AR650=AR649,INDEX('Aub Demand'!Q:Q,MATCH($O649,'Aub Demand'!$A:$A,0))-IF(AN649="",0,AN649)+AP650,INDEX('Aub Demand'!Q:Q,MATCH($O649,'Aub Demand'!$A:$A,0))-IF(AN649="",0,AN649)),"")</f>
        <v>2300</v>
      </c>
      <c r="V649" s="53" t="str">
        <f t="shared" si="282"/>
        <v>n/a</v>
      </c>
      <c r="W649" s="52" t="str">
        <f t="shared" si="283"/>
        <v/>
      </c>
      <c r="X649" s="52">
        <f>IFERROR(IF(AND(AR650=AR649,AM649&lt;&gt;""),INDEX('Aub Demand'!Q:Q,MATCH($O649,'Aub Demand'!$A:$A,0))-IF(AN649="",0,AN649)+AP650+AD649+AL649,IF(AR650=AR649,INDEX('Aub Demand'!Q:Q,MATCH($O649,'Aub Demand'!$A:$A,0))-IF(AN649="",0,AN649)+AP650+AD649,IF(AM649&lt;&gt;"",INDEX('Aub Demand'!Q:Q,MATCH($O649,'Aub Demand'!$A:$A,0))-IF(AN649="",0,AN649)+AD649+AL649,INDEX('Aub Demand'!Q:Q,MATCH($O649,'Aub Demand'!$A:$A,0))-IF(AN649="",0,AN649)+AD649))),"")</f>
        <v>2300</v>
      </c>
      <c r="Y649" s="53" t="str">
        <f t="shared" si="284"/>
        <v>n/a</v>
      </c>
      <c r="Z649" s="52">
        <f>IF(L649="","",INDEX('Aub Demand'!H:H,MATCH($O649,'Aub Demand'!$A:$A,0)))</f>
        <v>0</v>
      </c>
      <c r="AA649" s="52" t="str">
        <f t="shared" si="285"/>
        <v>-spike-</v>
      </c>
      <c r="AB649" s="52">
        <f>IFERROR(INDEX('Aub Demand'!L:L,MATCH($O649,'Aub Demand'!$A:$A,0)),"")</f>
        <v>11</v>
      </c>
      <c r="AC649" s="52">
        <f>IFERROR(IF(O649="","",SUMIFS('CPL Mats'!F:F,'CPL Mats'!Q:Q,AR649,'CPL Mats'!S:S,AS649)),"")</f>
        <v>0</v>
      </c>
      <c r="AF649" s="25" t="str">
        <f>IF(SUMIFS('Supp Consol'!S:S,'Supp Consol'!Y:Y,"Releasable",'Supp Consol'!A:A,O649)=0,"",SUMIFS('Supp Consol'!S:S,'Supp Consol'!Y:Y,"Releasable",'Supp Consol'!A:A,O649))</f>
        <v/>
      </c>
      <c r="AG649" s="25" t="str">
        <f>IFERROR(INDEX('Hun Demand'!Q:Q,MATCH(O649,'Hun Demand'!A:A,0)),"")</f>
        <v/>
      </c>
      <c r="AH649" s="25" t="str">
        <f>IFERROR(INDEX('Hun Demand'!H:H,MATCH($O649,'Hun Demand'!$A:$A,0)),"")</f>
        <v/>
      </c>
      <c r="AI649" s="25" t="str">
        <f>IF(SUMIFS('Supp Consol'!AA:AA,'Supp Consol'!Z:Z,"Expires this month",'Supp Consol'!A:A,O649)=0,"",SUMIFS('Supp Consol'!AA:AA,'Supp Consol'!Z:Z,"Expires this month",'Supp Consol'!A:A,O649))</f>
        <v/>
      </c>
      <c r="AJ649" s="25" t="str">
        <f>IF(SUMIFS('Supp Consol'!AA:AA,'Supp Consol'!Z:Z,"Expired Previous Months",'Supp Consol'!A:A,O649)=0,"",SUMIFS('Supp Consol'!AA:AA,'Supp Consol'!Z:Z,"Expired Previous Months",'Supp Consol'!A:A,O649))</f>
        <v/>
      </c>
      <c r="AK649" s="25" t="str">
        <f>IFERROR(INDEX('Hun Release Current'!B:B,MATCH(O649,'Hun Release Current'!A:A,0)),"")</f>
        <v/>
      </c>
      <c r="AL649" s="25" t="str">
        <f>IF(SUMIF('Prev Aub'!A:A,O649,'Prev Aub'!B:B)=0,"",SUMIF('Prev Aub'!A:A,O649,'Prev Aub'!B:B))</f>
        <v/>
      </c>
      <c r="AN649" s="25" t="s">
        <v>3790</v>
      </c>
      <c r="AO649" s="25" t="s">
        <v>3790</v>
      </c>
      <c r="AP649" s="25">
        <f t="shared" si="286"/>
        <v>0</v>
      </c>
      <c r="AQ649" s="151" t="str">
        <f>IF(SUMIFS('Supp Consol'!S:S,'Supp Consol'!A:A,O649,'Supp Consol'!I:I,"PENDING")=0,"",SUMIFS('Supp Consol'!S:S,'Supp Consol'!A:A,O649,'Supp Consol'!I:I,"PENDING"))</f>
        <v/>
      </c>
      <c r="AR649" s="27" t="str">
        <f t="shared" si="287"/>
        <v>KM006</v>
      </c>
      <c r="AS649" s="27" t="str">
        <f t="shared" si="288"/>
        <v>50</v>
      </c>
      <c r="AT649" s="27" t="str">
        <f t="shared" si="289"/>
        <v/>
      </c>
      <c r="AU649" s="27" t="str">
        <f t="shared" si="290"/>
        <v/>
      </c>
      <c r="AV649" s="27" t="str">
        <f t="shared" si="291"/>
        <v/>
      </c>
      <c r="AW649" s="27" t="str">
        <f t="shared" si="292"/>
        <v/>
      </c>
      <c r="AX649" s="27" t="str">
        <f t="shared" si="293"/>
        <v/>
      </c>
      <c r="AY649" s="27" t="str">
        <f t="shared" si="294"/>
        <v/>
      </c>
      <c r="AZ649" s="27" t="str">
        <f t="shared" si="295"/>
        <v/>
      </c>
      <c r="BA649" s="27" t="str">
        <f t="shared" si="296"/>
        <v/>
      </c>
      <c r="BB649" s="27" t="str">
        <f t="shared" si="297"/>
        <v/>
      </c>
      <c r="BC649" s="27" t="str">
        <f t="shared" si="298"/>
        <v/>
      </c>
      <c r="BD649" s="27" t="str">
        <f t="shared" si="299"/>
        <v/>
      </c>
      <c r="BE649" s="27" t="str">
        <f t="shared" si="300"/>
        <v/>
      </c>
      <c r="BF649" s="27" t="str">
        <f t="shared" si="301"/>
        <v/>
      </c>
      <c r="BG649" s="27" t="str">
        <f t="shared" si="302"/>
        <v/>
      </c>
      <c r="BH649" s="27" t="str">
        <f t="shared" si="303"/>
        <v/>
      </c>
      <c r="BI649" s="27" t="str">
        <f t="shared" si="304"/>
        <v/>
      </c>
      <c r="BJ649" s="27" t="str">
        <f t="shared" si="305"/>
        <v/>
      </c>
      <c r="BK649" s="27" t="str">
        <f t="shared" si="306"/>
        <v/>
      </c>
      <c r="BL649" s="27" t="str">
        <f t="shared" si="307"/>
        <v/>
      </c>
      <c r="BM649" s="21" t="s">
        <v>5581</v>
      </c>
    </row>
    <row r="650" spans="1:65" ht="15">
      <c r="A650" s="25" t="str">
        <f>IFERROR(INDEX('Hun Demand'!W:W,MATCH(O650,'Hun Demand'!A:A,0)),"")</f>
        <v/>
      </c>
      <c r="B650" s="25" t="str">
        <f>IFERROR(INDEX('Hun Demand'!V:V,MATCH(O650,'Hun Demand'!A:A,0)),"")</f>
        <v/>
      </c>
      <c r="C650" s="25" t="str">
        <f>IFERROR(INDEX('Hun Demand'!U:U,MATCH(O650,'Hun Demand'!A:A,0)),"")</f>
        <v/>
      </c>
      <c r="D650" s="25" t="str">
        <f>IFERROR(INDEX('Hun Demand'!T:T,MATCH(O650,'Hun Demand'!A:A,0)),"")</f>
        <v/>
      </c>
      <c r="E650" s="25" t="str">
        <f>IFERROR(INDEX('Hun Demand'!S:S,MATCH(O650,'Hun Demand'!A:A,0)),"")</f>
        <v/>
      </c>
      <c r="F650" s="25" t="str">
        <f>IFERROR(INDEX('Hun Demand'!R:R,MATCH(O650,'Hun Demand'!A:A,0)),"")</f>
        <v/>
      </c>
      <c r="G650" s="25">
        <f>IFERROR(INDEX('Aub Demand'!W:W,MATCH(O650,'Aub Demand'!A:A,0)),"")</f>
        <v>1439</v>
      </c>
      <c r="H650" s="25">
        <f>IFERROR(INDEX('Aub Demand'!V:V,MATCH(O650,'Aub Demand'!A:A,0)),"")</f>
        <v>248</v>
      </c>
      <c r="I650" s="25">
        <f>IFERROR(INDEX('Aub Demand'!U:U,MATCH(O650,'Aub Demand'!A:A,0)),"")</f>
        <v>296</v>
      </c>
      <c r="J650" s="25">
        <f>IFERROR(INDEX('Aub Demand'!T:T,MATCH(O650,'Aub Demand'!A:A,0)),"")</f>
        <v>0</v>
      </c>
      <c r="K650" s="25">
        <f>IFERROR(INDEX('Aub Demand'!S:S,MATCH(O650,'Aub Demand'!A:A,0)),"")</f>
        <v>0</v>
      </c>
      <c r="L650" s="25">
        <f>IFERROR(INDEX('Aub Demand'!R:R,MATCH(O650,'Aub Demand'!A:A,0)),"")</f>
        <v>0</v>
      </c>
      <c r="O650" s="27" t="s">
        <v>2226</v>
      </c>
      <c r="P650" s="27" t="str">
        <f>IFERROR(INDEX('Aub Demand'!B:B,MATCH($O650,'Aub Demand'!$A:$A,0)),"")</f>
        <v>MG FIGURED KOA</v>
      </c>
      <c r="Q650" s="27" t="str">
        <f>IFERROR(INDEX('Aub Demand'!C:C,MATCH($O650,'Aub Demand'!$A:$A,0)),"")</f>
        <v>INTER</v>
      </c>
      <c r="R650" s="52">
        <f>IFERROR(IF(AR651=AR650,INDEX('Aub Demand'!K:K,MATCH($O650,'Aub Demand'!$A:$A,0))-IF(AN650="",0,AN650)+AP651,INDEX('Aub Demand'!K:K,MATCH($O650,'Aub Demand'!$A:$A,0))-IF(AN650="",0,AN650)),"")</f>
        <v>1060</v>
      </c>
      <c r="S650" s="53">
        <f t="shared" si="280"/>
        <v>45.9</v>
      </c>
      <c r="T650" s="52" t="str">
        <f t="shared" si="281"/>
        <v/>
      </c>
      <c r="U650" s="52">
        <f>IFERROR(IF(AR651=AR650,INDEX('Aub Demand'!Q:Q,MATCH($O650,'Aub Demand'!$A:$A,0))-IF(AN650="",0,AN650)+AP651,INDEX('Aub Demand'!Q:Q,MATCH($O650,'Aub Demand'!$A:$A,0))-IF(AN650="",0,AN650)),"")</f>
        <v>1060</v>
      </c>
      <c r="V650" s="53">
        <f t="shared" si="282"/>
        <v>45.9</v>
      </c>
      <c r="W650" s="52" t="str">
        <f t="shared" si="283"/>
        <v/>
      </c>
      <c r="X650" s="52">
        <f>IFERROR(IF(AND(AR651=AR650,AM650&lt;&gt;""),INDEX('Aub Demand'!Q:Q,MATCH($O650,'Aub Demand'!$A:$A,0))-IF(AN650="",0,AN650)+AP651+AD650+AL650,IF(AR651=AR650,INDEX('Aub Demand'!Q:Q,MATCH($O650,'Aub Demand'!$A:$A,0))-IF(AN650="",0,AN650)+AP651+AD650,IF(AM650&lt;&gt;"",INDEX('Aub Demand'!Q:Q,MATCH($O650,'Aub Demand'!$A:$A,0))-IF(AN650="",0,AN650)+AD650+AL650,INDEX('Aub Demand'!Q:Q,MATCH($O650,'Aub Demand'!$A:$A,0))-IF(AN650="",0,AN650)+AD650))),"")</f>
        <v>1060</v>
      </c>
      <c r="Y650" s="53">
        <f t="shared" si="284"/>
        <v>45.9</v>
      </c>
      <c r="Z650" s="52">
        <f>IF(L650="","",INDEX('Aub Demand'!H:H,MATCH($O650,'Aub Demand'!$A:$A,0)))</f>
        <v>99</v>
      </c>
      <c r="AA650" s="52" t="str">
        <f t="shared" si="285"/>
        <v>-spike-</v>
      </c>
      <c r="AB650" s="52">
        <f>IFERROR(INDEX('Aub Demand'!L:L,MATCH($O650,'Aub Demand'!$A:$A,0)),"")</f>
        <v>241</v>
      </c>
      <c r="AC650" s="52">
        <f>IFERROR(IF(O650="","",SUMIFS('CPL Mats'!F:F,'CPL Mats'!Q:Q,AR650,'CPL Mats'!S:S,AS650)),"")</f>
        <v>0</v>
      </c>
      <c r="AF650" s="25">
        <f>IF(SUMIFS('Supp Consol'!S:S,'Supp Consol'!Y:Y,"Releasable",'Supp Consol'!A:A,O650)=0,"",SUMIFS('Supp Consol'!S:S,'Supp Consol'!Y:Y,"Releasable",'Supp Consol'!A:A,O650))</f>
        <v>1439</v>
      </c>
      <c r="AG650" s="25" t="str">
        <f>IFERROR(INDEX('Hun Demand'!Q:Q,MATCH(O650,'Hun Demand'!A:A,0)),"")</f>
        <v/>
      </c>
      <c r="AH650" s="25" t="str">
        <f>IFERROR(INDEX('Hun Demand'!H:H,MATCH($O650,'Hun Demand'!$A:$A,0)),"")</f>
        <v/>
      </c>
      <c r="AI650" s="25" t="str">
        <f>IF(SUMIFS('Supp Consol'!AA:AA,'Supp Consol'!Z:Z,"Expires this month",'Supp Consol'!A:A,O650)=0,"",SUMIFS('Supp Consol'!AA:AA,'Supp Consol'!Z:Z,"Expires this month",'Supp Consol'!A:A,O650))</f>
        <v/>
      </c>
      <c r="AJ650" s="25" t="str">
        <f>IF(SUMIFS('Supp Consol'!AA:AA,'Supp Consol'!Z:Z,"Expired Previous Months",'Supp Consol'!A:A,O650)=0,"",SUMIFS('Supp Consol'!AA:AA,'Supp Consol'!Z:Z,"Expired Previous Months",'Supp Consol'!A:A,O650))</f>
        <v/>
      </c>
      <c r="AK650" s="25" t="str">
        <f>IFERROR(INDEX('Hun Release Current'!B:B,MATCH(O650,'Hun Release Current'!A:A,0)),"")</f>
        <v/>
      </c>
      <c r="AL650" s="25" t="str">
        <f>IF(SUMIF('Prev Aub'!A:A,O650,'Prev Aub'!B:B)=0,"",SUMIF('Prev Aub'!A:A,O650,'Prev Aub'!B:B))</f>
        <v/>
      </c>
      <c r="AN650" s="25" t="s">
        <v>3790</v>
      </c>
      <c r="AO650" s="25" t="s">
        <v>3790</v>
      </c>
      <c r="AP650" s="25">
        <f t="shared" si="286"/>
        <v>0</v>
      </c>
      <c r="AQ650" s="151" t="str">
        <f>IF(SUMIFS('Supp Consol'!S:S,'Supp Consol'!A:A,O650,'Supp Consol'!I:I,"PENDING")=0,"",SUMIFS('Supp Consol'!S:S,'Supp Consol'!A:A,O650,'Supp Consol'!I:I,"PENDING"))</f>
        <v/>
      </c>
      <c r="AR650" s="27" t="str">
        <f t="shared" si="287"/>
        <v>KM007</v>
      </c>
      <c r="AS650" s="27" t="str">
        <f t="shared" si="288"/>
        <v>62</v>
      </c>
      <c r="AT650" s="27" t="str">
        <f t="shared" si="289"/>
        <v/>
      </c>
      <c r="AU650" s="27" t="str">
        <f t="shared" si="290"/>
        <v/>
      </c>
      <c r="AV650" s="27" t="str">
        <f t="shared" si="291"/>
        <v/>
      </c>
      <c r="AW650" s="27" t="str">
        <f t="shared" si="292"/>
        <v/>
      </c>
      <c r="AX650" s="27" t="str">
        <f t="shared" si="293"/>
        <v>KM007</v>
      </c>
      <c r="AY650" s="27" t="str">
        <f t="shared" si="294"/>
        <v/>
      </c>
      <c r="AZ650" s="27" t="str">
        <f t="shared" si="295"/>
        <v>Supp</v>
      </c>
      <c r="BA650" s="27" t="str">
        <f t="shared" si="296"/>
        <v/>
      </c>
      <c r="BB650" s="27" t="str">
        <f t="shared" si="297"/>
        <v/>
      </c>
      <c r="BC650" s="27" t="str">
        <f t="shared" si="298"/>
        <v/>
      </c>
      <c r="BD650" s="27" t="str">
        <f t="shared" si="299"/>
        <v/>
      </c>
      <c r="BE650" s="27" t="str">
        <f t="shared" si="300"/>
        <v/>
      </c>
      <c r="BF650" s="27" t="str">
        <f t="shared" si="301"/>
        <v/>
      </c>
      <c r="BG650" s="27" t="str">
        <f t="shared" si="302"/>
        <v/>
      </c>
      <c r="BH650" s="27" t="str">
        <f t="shared" si="303"/>
        <v/>
      </c>
      <c r="BI650" s="27" t="str">
        <f t="shared" si="304"/>
        <v/>
      </c>
      <c r="BJ650" s="27" t="str">
        <f t="shared" si="305"/>
        <v>Supp or Hun</v>
      </c>
      <c r="BK650" s="27" t="str">
        <f t="shared" si="306"/>
        <v/>
      </c>
      <c r="BL650" s="27" t="str">
        <f t="shared" si="307"/>
        <v/>
      </c>
      <c r="BM650" s="21" t="s">
        <v>5581</v>
      </c>
    </row>
    <row r="651" spans="1:65" ht="15">
      <c r="A651" s="25" t="str">
        <f>IFERROR(INDEX('Hun Demand'!W:W,MATCH(O651,'Hun Demand'!A:A,0)),"")</f>
        <v/>
      </c>
      <c r="B651" s="25" t="str">
        <f>IFERROR(INDEX('Hun Demand'!V:V,MATCH(O651,'Hun Demand'!A:A,0)),"")</f>
        <v/>
      </c>
      <c r="C651" s="25" t="str">
        <f>IFERROR(INDEX('Hun Demand'!U:U,MATCH(O651,'Hun Demand'!A:A,0)),"")</f>
        <v/>
      </c>
      <c r="D651" s="25" t="str">
        <f>IFERROR(INDEX('Hun Demand'!T:T,MATCH(O651,'Hun Demand'!A:A,0)),"")</f>
        <v/>
      </c>
      <c r="E651" s="25" t="str">
        <f>IFERROR(INDEX('Hun Demand'!S:S,MATCH(O651,'Hun Demand'!A:A,0)),"")</f>
        <v/>
      </c>
      <c r="F651" s="25" t="str">
        <f>IFERROR(INDEX('Hun Demand'!R:R,MATCH(O651,'Hun Demand'!A:A,0)),"")</f>
        <v/>
      </c>
      <c r="G651" s="25">
        <f>IFERROR(INDEX('Aub Demand'!W:W,MATCH(O651,'Aub Demand'!A:A,0)),"")</f>
        <v>316</v>
      </c>
      <c r="H651" s="25">
        <f>IFERROR(INDEX('Aub Demand'!V:V,MATCH(O651,'Aub Demand'!A:A,0)),"")</f>
        <v>111</v>
      </c>
      <c r="I651" s="25">
        <f>IFERROR(INDEX('Aub Demand'!U:U,MATCH(O651,'Aub Demand'!A:A,0)),"")</f>
        <v>136</v>
      </c>
      <c r="J651" s="25">
        <f>IFERROR(INDEX('Aub Demand'!T:T,MATCH(O651,'Aub Demand'!A:A,0)),"")</f>
        <v>169</v>
      </c>
      <c r="K651" s="25">
        <f>IFERROR(INDEX('Aub Demand'!S:S,MATCH(O651,'Aub Demand'!A:A,0)),"")</f>
        <v>17</v>
      </c>
      <c r="L651" s="25">
        <f>IFERROR(INDEX('Aub Demand'!R:R,MATCH(O651,'Aub Demand'!A:A,0)),"")</f>
        <v>0</v>
      </c>
      <c r="O651" s="27" t="s">
        <v>1095</v>
      </c>
      <c r="P651" s="27" t="str">
        <f>IFERROR(INDEX('Aub Demand'!B:B,MATCH($O651,'Aub Demand'!$A:$A,0)),"")</f>
        <v>MG BRUNS SILVER W/LI</v>
      </c>
      <c r="Q651" s="27" t="str">
        <f>IFERROR(INDEX('Aub Demand'!C:C,MATCH($O651,'Aub Demand'!$A:$A,0)),"")</f>
        <v>INTER</v>
      </c>
      <c r="R651" s="52">
        <f>IFERROR(IF(AR652=AR651,INDEX('Aub Demand'!K:K,MATCH($O651,'Aub Demand'!$A:$A,0))-IF(AN651="",0,AN651)+AP652,INDEX('Aub Demand'!K:K,MATCH($O651,'Aub Demand'!$A:$A,0))-IF(AN651="",0,AN651)),"")</f>
        <v>546</v>
      </c>
      <c r="S651" s="53">
        <f t="shared" si="280"/>
        <v>21.9</v>
      </c>
      <c r="T651" s="52" t="str">
        <f t="shared" si="281"/>
        <v/>
      </c>
      <c r="U651" s="52">
        <f>IFERROR(IF(AR652=AR651,INDEX('Aub Demand'!Q:Q,MATCH($O651,'Aub Demand'!$A:$A,0))-IF(AN651="",0,AN651)+AP652,INDEX('Aub Demand'!Q:Q,MATCH($O651,'Aub Demand'!$A:$A,0))-IF(AN651="",0,AN651)),"")</f>
        <v>509</v>
      </c>
      <c r="V651" s="53">
        <f t="shared" si="282"/>
        <v>20.399999999999999</v>
      </c>
      <c r="W651" s="52" t="str">
        <f t="shared" si="283"/>
        <v/>
      </c>
      <c r="X651" s="52">
        <f>IFERROR(IF(AND(AR652=AR651,AM651&lt;&gt;""),INDEX('Aub Demand'!Q:Q,MATCH($O651,'Aub Demand'!$A:$A,0))-IF(AN651="",0,AN651)+AP652+AD651+AL651,IF(AR652=AR651,INDEX('Aub Demand'!Q:Q,MATCH($O651,'Aub Demand'!$A:$A,0))-IF(AN651="",0,AN651)+AP652+AD651,IF(AM651&lt;&gt;"",INDEX('Aub Demand'!Q:Q,MATCH($O651,'Aub Demand'!$A:$A,0))-IF(AN651="",0,AN651)+AD651+AL651,INDEX('Aub Demand'!Q:Q,MATCH($O651,'Aub Demand'!$A:$A,0))-IF(AN651="",0,AN651)+AD651))),"")</f>
        <v>509</v>
      </c>
      <c r="Y651" s="53">
        <f t="shared" si="284"/>
        <v>20.399999999999999</v>
      </c>
      <c r="Z651" s="52">
        <f>IF(L651="","",INDEX('Aub Demand'!H:H,MATCH($O651,'Aub Demand'!$A:$A,0)))</f>
        <v>107</v>
      </c>
      <c r="AA651" s="52">
        <f t="shared" si="285"/>
        <v>152.5</v>
      </c>
      <c r="AB651" s="52">
        <f>IFERROR(INDEX('Aub Demand'!L:L,MATCH($O651,'Aub Demand'!$A:$A,0)),"")</f>
        <v>128</v>
      </c>
      <c r="AC651" s="52">
        <f>IFERROR(IF(O651="","",SUMIFS('CPL Mats'!F:F,'CPL Mats'!Q:Q,AR651,'CPL Mats'!S:S,AS651)),"")</f>
        <v>0</v>
      </c>
      <c r="AF651" s="25">
        <f>IF(SUMIFS('Supp Consol'!S:S,'Supp Consol'!Y:Y,"Releasable",'Supp Consol'!A:A,O651)=0,"",SUMIFS('Supp Consol'!S:S,'Supp Consol'!Y:Y,"Releasable",'Supp Consol'!A:A,O651))</f>
        <v>1411</v>
      </c>
      <c r="AG651" s="25" t="str">
        <f>IFERROR(INDEX('Hun Demand'!Q:Q,MATCH(O651,'Hun Demand'!A:A,0)),"")</f>
        <v/>
      </c>
      <c r="AH651" s="25" t="str">
        <f>IFERROR(INDEX('Hun Demand'!H:H,MATCH($O651,'Hun Demand'!$A:$A,0)),"")</f>
        <v/>
      </c>
      <c r="AI651" s="25" t="str">
        <f>IF(SUMIFS('Supp Consol'!AA:AA,'Supp Consol'!Z:Z,"Expires this month",'Supp Consol'!A:A,O651)=0,"",SUMIFS('Supp Consol'!AA:AA,'Supp Consol'!Z:Z,"Expires this month",'Supp Consol'!A:A,O651))</f>
        <v/>
      </c>
      <c r="AJ651" s="25" t="str">
        <f>IF(SUMIFS('Supp Consol'!AA:AA,'Supp Consol'!Z:Z,"Expired Previous Months",'Supp Consol'!A:A,O651)=0,"",SUMIFS('Supp Consol'!AA:AA,'Supp Consol'!Z:Z,"Expired Previous Months",'Supp Consol'!A:A,O651))</f>
        <v/>
      </c>
      <c r="AK651" s="25" t="str">
        <f>IFERROR(INDEX('Hun Release Current'!B:B,MATCH(O651,'Hun Release Current'!A:A,0)),"")</f>
        <v/>
      </c>
      <c r="AL651" s="25" t="str">
        <f>IF(SUMIF('Prev Aub'!A:A,O651,'Prev Aub'!B:B)=0,"",SUMIF('Prev Aub'!A:A,O651,'Prev Aub'!B:B))</f>
        <v/>
      </c>
      <c r="AN651" s="25" t="s">
        <v>3790</v>
      </c>
      <c r="AO651" s="25" t="s">
        <v>3790</v>
      </c>
      <c r="AP651" s="25">
        <f t="shared" si="286"/>
        <v>0</v>
      </c>
      <c r="AQ651" s="151" t="str">
        <f>IF(SUMIFS('Supp Consol'!S:S,'Supp Consol'!A:A,O651,'Supp Consol'!I:I,"PENDING")=0,"",SUMIFS('Supp Consol'!S:S,'Supp Consol'!A:A,O651,'Supp Consol'!I:I,"PENDING"))</f>
        <v/>
      </c>
      <c r="AR651" s="27" t="str">
        <f t="shared" si="287"/>
        <v>KM009</v>
      </c>
      <c r="AS651" s="27" t="str">
        <f t="shared" si="288"/>
        <v>62</v>
      </c>
      <c r="AT651" s="27" t="str">
        <f t="shared" si="289"/>
        <v/>
      </c>
      <c r="AU651" s="27" t="str">
        <f t="shared" si="290"/>
        <v/>
      </c>
      <c r="AV651" s="27" t="str">
        <f t="shared" si="291"/>
        <v/>
      </c>
      <c r="AW651" s="27" t="str">
        <f t="shared" si="292"/>
        <v/>
      </c>
      <c r="AX651" s="27" t="str">
        <f t="shared" si="293"/>
        <v>KM009</v>
      </c>
      <c r="AY651" s="27" t="str">
        <f t="shared" si="294"/>
        <v/>
      </c>
      <c r="AZ651" s="27" t="str">
        <f t="shared" si="295"/>
        <v>Supp</v>
      </c>
      <c r="BA651" s="27" t="str">
        <f t="shared" si="296"/>
        <v/>
      </c>
      <c r="BB651" s="27" t="str">
        <f t="shared" si="297"/>
        <v/>
      </c>
      <c r="BC651" s="27" t="str">
        <f t="shared" si="298"/>
        <v/>
      </c>
      <c r="BD651" s="27" t="str">
        <f t="shared" si="299"/>
        <v/>
      </c>
      <c r="BE651" s="27" t="str">
        <f t="shared" si="300"/>
        <v/>
      </c>
      <c r="BF651" s="27" t="str">
        <f t="shared" si="301"/>
        <v/>
      </c>
      <c r="BG651" s="27" t="str">
        <f t="shared" si="302"/>
        <v/>
      </c>
      <c r="BH651" s="27" t="str">
        <f t="shared" si="303"/>
        <v/>
      </c>
      <c r="BI651" s="27" t="str">
        <f t="shared" si="304"/>
        <v/>
      </c>
      <c r="BJ651" s="27" t="str">
        <f t="shared" si="305"/>
        <v>Supp or Hun</v>
      </c>
      <c r="BK651" s="27" t="str">
        <f t="shared" si="306"/>
        <v/>
      </c>
      <c r="BL651" s="27" t="str">
        <f t="shared" si="307"/>
        <v/>
      </c>
      <c r="BM651" s="21" t="s">
        <v>5581</v>
      </c>
    </row>
    <row r="652" spans="1:65" ht="15">
      <c r="A652" s="25" t="str">
        <f>IFERROR(INDEX('Hun Demand'!W:W,MATCH(O652,'Hun Demand'!A:A,0)),"")</f>
        <v/>
      </c>
      <c r="B652" s="25" t="str">
        <f>IFERROR(INDEX('Hun Demand'!V:V,MATCH(O652,'Hun Demand'!A:A,0)),"")</f>
        <v/>
      </c>
      <c r="C652" s="25" t="str">
        <f>IFERROR(INDEX('Hun Demand'!U:U,MATCH(O652,'Hun Demand'!A:A,0)),"")</f>
        <v/>
      </c>
      <c r="D652" s="25" t="str">
        <f>IFERROR(INDEX('Hun Demand'!T:T,MATCH(O652,'Hun Demand'!A:A,0)),"")</f>
        <v/>
      </c>
      <c r="E652" s="25" t="str">
        <f>IFERROR(INDEX('Hun Demand'!S:S,MATCH(O652,'Hun Demand'!A:A,0)),"")</f>
        <v/>
      </c>
      <c r="F652" s="25" t="str">
        <f>IFERROR(INDEX('Hun Demand'!R:R,MATCH(O652,'Hun Demand'!A:A,0)),"")</f>
        <v/>
      </c>
      <c r="G652" s="25">
        <f>IFERROR(INDEX('Aub Demand'!W:W,MATCH(O652,'Aub Demand'!A:A,0)),"")</f>
        <v>0</v>
      </c>
      <c r="H652" s="25">
        <f>IFERROR(INDEX('Aub Demand'!V:V,MATCH(O652,'Aub Demand'!A:A,0)),"")</f>
        <v>0</v>
      </c>
      <c r="I652" s="25">
        <f>IFERROR(INDEX('Aub Demand'!U:U,MATCH(O652,'Aub Demand'!A:A,0)),"")</f>
        <v>0</v>
      </c>
      <c r="J652" s="25">
        <f>IFERROR(INDEX('Aub Demand'!T:T,MATCH(O652,'Aub Demand'!A:A,0)),"")</f>
        <v>0</v>
      </c>
      <c r="K652" s="25">
        <f>IFERROR(INDEX('Aub Demand'!S:S,MATCH(O652,'Aub Demand'!A:A,0)),"")</f>
        <v>0</v>
      </c>
      <c r="L652" s="25">
        <f>IFERROR(INDEX('Aub Demand'!R:R,MATCH(O652,'Aub Demand'!A:A,0)),"")</f>
        <v>0</v>
      </c>
      <c r="O652" s="27" t="s">
        <v>1097</v>
      </c>
      <c r="P652" s="27" t="str">
        <f>IFERROR(INDEX('Aub Demand'!B:B,MATCH($O652,'Aub Demand'!$A:$A,0)),"")</f>
        <v>MG BRUNS SILVER C/D</v>
      </c>
      <c r="Q652" s="27">
        <f>IFERROR(INDEX('Aub Demand'!C:C,MATCH($O652,'Aub Demand'!$A:$A,0)),"")</f>
        <v>0</v>
      </c>
      <c r="R652" s="52">
        <f>IFERROR(IF(AR653=AR652,INDEX('Aub Demand'!K:K,MATCH($O652,'Aub Demand'!$A:$A,0))-IF(AN652="",0,AN652)+AP653,INDEX('Aub Demand'!K:K,MATCH($O652,'Aub Demand'!$A:$A,0))-IF(AN652="",0,AN652)),"")</f>
        <v>158</v>
      </c>
      <c r="S652" s="53" t="str">
        <f t="shared" si="280"/>
        <v>n/a</v>
      </c>
      <c r="T652" s="52" t="str">
        <f t="shared" si="281"/>
        <v/>
      </c>
      <c r="U652" s="52">
        <f>IFERROR(IF(AR653=AR652,INDEX('Aub Demand'!Q:Q,MATCH($O652,'Aub Demand'!$A:$A,0))-IF(AN652="",0,AN652)+AP653,INDEX('Aub Demand'!Q:Q,MATCH($O652,'Aub Demand'!$A:$A,0))-IF(AN652="",0,AN652)),"")</f>
        <v>158</v>
      </c>
      <c r="V652" s="53" t="str">
        <f t="shared" si="282"/>
        <v>n/a</v>
      </c>
      <c r="W652" s="52" t="str">
        <f t="shared" si="283"/>
        <v/>
      </c>
      <c r="X652" s="52">
        <f>IFERROR(IF(AND(AR653=AR652,AM652&lt;&gt;""),INDEX('Aub Demand'!Q:Q,MATCH($O652,'Aub Demand'!$A:$A,0))-IF(AN652="",0,AN652)+AP653+AD652+AL652,IF(AR653=AR652,INDEX('Aub Demand'!Q:Q,MATCH($O652,'Aub Demand'!$A:$A,0))-IF(AN652="",0,AN652)+AP653+AD652,IF(AM652&lt;&gt;"",INDEX('Aub Demand'!Q:Q,MATCH($O652,'Aub Demand'!$A:$A,0))-IF(AN652="",0,AN652)+AD652+AL652,INDEX('Aub Demand'!Q:Q,MATCH($O652,'Aub Demand'!$A:$A,0))-IF(AN652="",0,AN652)+AD652))),"")</f>
        <v>158</v>
      </c>
      <c r="Y652" s="53" t="str">
        <f t="shared" si="284"/>
        <v>n/a</v>
      </c>
      <c r="Z652" s="52">
        <f>IF(L652="","",INDEX('Aub Demand'!H:H,MATCH($O652,'Aub Demand'!$A:$A,0)))</f>
        <v>0</v>
      </c>
      <c r="AA652" s="52" t="str">
        <f t="shared" si="285"/>
        <v>-spike-</v>
      </c>
      <c r="AB652" s="52">
        <f>IFERROR(INDEX('Aub Demand'!L:L,MATCH($O652,'Aub Demand'!$A:$A,0)),"")</f>
        <v>9</v>
      </c>
      <c r="AC652" s="52">
        <f>IFERROR(IF(O652="","",SUMIFS('CPL Mats'!F:F,'CPL Mats'!Q:Q,AR652,'CPL Mats'!S:S,AS652)),"")</f>
        <v>0</v>
      </c>
      <c r="AF652" s="25" t="str">
        <f>IF(SUMIFS('Supp Consol'!S:S,'Supp Consol'!Y:Y,"Releasable",'Supp Consol'!A:A,O652)=0,"",SUMIFS('Supp Consol'!S:S,'Supp Consol'!Y:Y,"Releasable",'Supp Consol'!A:A,O652))</f>
        <v/>
      </c>
      <c r="AG652" s="25" t="str">
        <f>IFERROR(INDEX('Hun Demand'!Q:Q,MATCH(O652,'Hun Demand'!A:A,0)),"")</f>
        <v/>
      </c>
      <c r="AH652" s="25" t="str">
        <f>IFERROR(INDEX('Hun Demand'!H:H,MATCH($O652,'Hun Demand'!$A:$A,0)),"")</f>
        <v/>
      </c>
      <c r="AI652" s="25" t="str">
        <f>IF(SUMIFS('Supp Consol'!AA:AA,'Supp Consol'!Z:Z,"Expires this month",'Supp Consol'!A:A,O652)=0,"",SUMIFS('Supp Consol'!AA:AA,'Supp Consol'!Z:Z,"Expires this month",'Supp Consol'!A:A,O652))</f>
        <v/>
      </c>
      <c r="AJ652" s="25" t="str">
        <f>IF(SUMIFS('Supp Consol'!AA:AA,'Supp Consol'!Z:Z,"Expired Previous Months",'Supp Consol'!A:A,O652)=0,"",SUMIFS('Supp Consol'!AA:AA,'Supp Consol'!Z:Z,"Expired Previous Months",'Supp Consol'!A:A,O652))</f>
        <v/>
      </c>
      <c r="AK652" s="25" t="str">
        <f>IFERROR(INDEX('Hun Release Current'!B:B,MATCH(O652,'Hun Release Current'!A:A,0)),"")</f>
        <v/>
      </c>
      <c r="AL652" s="25" t="str">
        <f>IF(SUMIF('Prev Aub'!A:A,O652,'Prev Aub'!B:B)=0,"",SUMIF('Prev Aub'!A:A,O652,'Prev Aub'!B:B))</f>
        <v/>
      </c>
      <c r="AN652" s="25" t="s">
        <v>3790</v>
      </c>
      <c r="AO652" s="25" t="s">
        <v>3790</v>
      </c>
      <c r="AP652" s="25">
        <f t="shared" si="286"/>
        <v>0</v>
      </c>
      <c r="AQ652" s="151" t="str">
        <f>IF(SUMIFS('Supp Consol'!S:S,'Supp Consol'!A:A,O652,'Supp Consol'!I:I,"PENDING")=0,"",SUMIFS('Supp Consol'!S:S,'Supp Consol'!A:A,O652,'Supp Consol'!I:I,"PENDING"))</f>
        <v/>
      </c>
      <c r="AR652" s="27" t="str">
        <f t="shared" si="287"/>
        <v>KM010</v>
      </c>
      <c r="AS652" s="27" t="str">
        <f t="shared" si="288"/>
        <v>50</v>
      </c>
      <c r="AT652" s="27" t="str">
        <f t="shared" si="289"/>
        <v/>
      </c>
      <c r="AU652" s="27" t="str">
        <f t="shared" si="290"/>
        <v/>
      </c>
      <c r="AV652" s="27" t="str">
        <f t="shared" si="291"/>
        <v/>
      </c>
      <c r="AW652" s="27" t="str">
        <f t="shared" si="292"/>
        <v/>
      </c>
      <c r="AX652" s="27" t="str">
        <f t="shared" si="293"/>
        <v/>
      </c>
      <c r="AY652" s="27" t="str">
        <f t="shared" si="294"/>
        <v/>
      </c>
      <c r="AZ652" s="27" t="str">
        <f t="shared" si="295"/>
        <v/>
      </c>
      <c r="BA652" s="27" t="str">
        <f t="shared" si="296"/>
        <v/>
      </c>
      <c r="BB652" s="27" t="str">
        <f t="shared" si="297"/>
        <v/>
      </c>
      <c r="BC652" s="27" t="str">
        <f t="shared" si="298"/>
        <v/>
      </c>
      <c r="BD652" s="27" t="str">
        <f t="shared" si="299"/>
        <v/>
      </c>
      <c r="BE652" s="27" t="str">
        <f t="shared" si="300"/>
        <v/>
      </c>
      <c r="BF652" s="27" t="str">
        <f t="shared" si="301"/>
        <v/>
      </c>
      <c r="BG652" s="27" t="str">
        <f t="shared" si="302"/>
        <v/>
      </c>
      <c r="BH652" s="27" t="str">
        <f t="shared" si="303"/>
        <v/>
      </c>
      <c r="BI652" s="27" t="str">
        <f t="shared" si="304"/>
        <v/>
      </c>
      <c r="BJ652" s="27" t="str">
        <f t="shared" si="305"/>
        <v/>
      </c>
      <c r="BK652" s="27" t="str">
        <f t="shared" si="306"/>
        <v/>
      </c>
      <c r="BL652" s="27" t="str">
        <f t="shared" si="307"/>
        <v/>
      </c>
      <c r="BM652" s="21" t="s">
        <v>5581</v>
      </c>
    </row>
    <row r="653" spans="1:65" ht="15">
      <c r="A653" s="25" t="str">
        <f>IFERROR(INDEX('Hun Demand'!W:W,MATCH(O653,'Hun Demand'!A:A,0)),"")</f>
        <v/>
      </c>
      <c r="B653" s="25" t="str">
        <f>IFERROR(INDEX('Hun Demand'!V:V,MATCH(O653,'Hun Demand'!A:A,0)),"")</f>
        <v/>
      </c>
      <c r="C653" s="25" t="str">
        <f>IFERROR(INDEX('Hun Demand'!U:U,MATCH(O653,'Hun Demand'!A:A,0)),"")</f>
        <v/>
      </c>
      <c r="D653" s="25" t="str">
        <f>IFERROR(INDEX('Hun Demand'!T:T,MATCH(O653,'Hun Demand'!A:A,0)),"")</f>
        <v/>
      </c>
      <c r="E653" s="25" t="str">
        <f>IFERROR(INDEX('Hun Demand'!S:S,MATCH(O653,'Hun Demand'!A:A,0)),"")</f>
        <v/>
      </c>
      <c r="F653" s="25" t="str">
        <f>IFERROR(INDEX('Hun Demand'!R:R,MATCH(O653,'Hun Demand'!A:A,0)),"")</f>
        <v/>
      </c>
      <c r="G653" s="25">
        <f>IFERROR(INDEX('Aub Demand'!W:W,MATCH(O653,'Aub Demand'!A:A,0)),"")</f>
        <v>0</v>
      </c>
      <c r="H653" s="25">
        <f>IFERROR(INDEX('Aub Demand'!V:V,MATCH(O653,'Aub Demand'!A:A,0)),"")</f>
        <v>0</v>
      </c>
      <c r="I653" s="25">
        <f>IFERROR(INDEX('Aub Demand'!U:U,MATCH(O653,'Aub Demand'!A:A,0)),"")</f>
        <v>0</v>
      </c>
      <c r="J653" s="25">
        <f>IFERROR(INDEX('Aub Demand'!T:T,MATCH(O653,'Aub Demand'!A:A,0)),"")</f>
        <v>0</v>
      </c>
      <c r="K653" s="25">
        <f>IFERROR(INDEX('Aub Demand'!S:S,MATCH(O653,'Aub Demand'!A:A,0)),"")</f>
        <v>0</v>
      </c>
      <c r="L653" s="25">
        <f>IFERROR(INDEX('Aub Demand'!R:R,MATCH(O653,'Aub Demand'!A:A,0)),"")</f>
        <v>0</v>
      </c>
      <c r="O653" s="27" t="s">
        <v>1099</v>
      </c>
      <c r="P653" s="27" t="str">
        <f>IFERROR(INDEX('Aub Demand'!B:B,MATCH($O653,'Aub Demand'!$A:$A,0)),"")</f>
        <v>MG BRUNS SILVER</v>
      </c>
      <c r="Q653" s="27" t="str">
        <f>IFERROR(INDEX('Aub Demand'!C:C,MATCH($O653,'Aub Demand'!$A:$A,0)),"")</f>
        <v>INTER</v>
      </c>
      <c r="R653" s="52">
        <f>IFERROR(IF(AR654=AR653,INDEX('Aub Demand'!K:K,MATCH($O653,'Aub Demand'!$A:$A,0))-IF(AN653="",0,AN653)+AP654,INDEX('Aub Demand'!K:K,MATCH($O653,'Aub Demand'!$A:$A,0))-IF(AN653="",0,AN653)),"")</f>
        <v>128</v>
      </c>
      <c r="S653" s="53" t="str">
        <f t="shared" si="280"/>
        <v>n/a</v>
      </c>
      <c r="T653" s="52" t="str">
        <f t="shared" si="281"/>
        <v/>
      </c>
      <c r="U653" s="52">
        <f>IFERROR(IF(AR654=AR653,INDEX('Aub Demand'!Q:Q,MATCH($O653,'Aub Demand'!$A:$A,0))-IF(AN653="",0,AN653)+AP654,INDEX('Aub Demand'!Q:Q,MATCH($O653,'Aub Demand'!$A:$A,0))-IF(AN653="",0,AN653)),"")</f>
        <v>128</v>
      </c>
      <c r="V653" s="53" t="str">
        <f t="shared" si="282"/>
        <v>n/a</v>
      </c>
      <c r="W653" s="52" t="str">
        <f t="shared" si="283"/>
        <v/>
      </c>
      <c r="X653" s="52">
        <f>IFERROR(IF(AND(AR654=AR653,AM653&lt;&gt;""),INDEX('Aub Demand'!Q:Q,MATCH($O653,'Aub Demand'!$A:$A,0))-IF(AN653="",0,AN653)+AP654+AD653+AL653,IF(AR654=AR653,INDEX('Aub Demand'!Q:Q,MATCH($O653,'Aub Demand'!$A:$A,0))-IF(AN653="",0,AN653)+AP654+AD653,IF(AM653&lt;&gt;"",INDEX('Aub Demand'!Q:Q,MATCH($O653,'Aub Demand'!$A:$A,0))-IF(AN653="",0,AN653)+AD653+AL653,INDEX('Aub Demand'!Q:Q,MATCH($O653,'Aub Demand'!$A:$A,0))-IF(AN653="",0,AN653)+AD653))),"")</f>
        <v>128</v>
      </c>
      <c r="Y653" s="53" t="str">
        <f t="shared" si="284"/>
        <v>n/a</v>
      </c>
      <c r="Z653" s="52">
        <f>IF(L653="","",INDEX('Aub Demand'!H:H,MATCH($O653,'Aub Demand'!$A:$A,0)))</f>
        <v>0</v>
      </c>
      <c r="AA653" s="52" t="str">
        <f t="shared" si="285"/>
        <v>-spike-</v>
      </c>
      <c r="AB653" s="52">
        <f>IFERROR(INDEX('Aub Demand'!L:L,MATCH($O653,'Aub Demand'!$A:$A,0)),"")</f>
        <v>0</v>
      </c>
      <c r="AC653" s="52">
        <f>IFERROR(IF(O653="","",SUMIFS('CPL Mats'!F:F,'CPL Mats'!Q:Q,AR653,'CPL Mats'!S:S,AS653)),"")</f>
        <v>0</v>
      </c>
      <c r="AF653" s="25" t="str">
        <f>IF(SUMIFS('Supp Consol'!S:S,'Supp Consol'!Y:Y,"Releasable",'Supp Consol'!A:A,O653)=0,"",SUMIFS('Supp Consol'!S:S,'Supp Consol'!Y:Y,"Releasable",'Supp Consol'!A:A,O653))</f>
        <v/>
      </c>
      <c r="AG653" s="25" t="str">
        <f>IFERROR(INDEX('Hun Demand'!Q:Q,MATCH(O653,'Hun Demand'!A:A,0)),"")</f>
        <v/>
      </c>
      <c r="AH653" s="25" t="str">
        <f>IFERROR(INDEX('Hun Demand'!H:H,MATCH($O653,'Hun Demand'!$A:$A,0)),"")</f>
        <v/>
      </c>
      <c r="AI653" s="25" t="str">
        <f>IF(SUMIFS('Supp Consol'!AA:AA,'Supp Consol'!Z:Z,"Expires this month",'Supp Consol'!A:A,O653)=0,"",SUMIFS('Supp Consol'!AA:AA,'Supp Consol'!Z:Z,"Expires this month",'Supp Consol'!A:A,O653))</f>
        <v/>
      </c>
      <c r="AJ653" s="25" t="str">
        <f>IF(SUMIFS('Supp Consol'!AA:AA,'Supp Consol'!Z:Z,"Expired Previous Months",'Supp Consol'!A:A,O653)=0,"",SUMIFS('Supp Consol'!AA:AA,'Supp Consol'!Z:Z,"Expired Previous Months",'Supp Consol'!A:A,O653))</f>
        <v/>
      </c>
      <c r="AK653" s="25" t="str">
        <f>IFERROR(INDEX('Hun Release Current'!B:B,MATCH(O653,'Hun Release Current'!A:A,0)),"")</f>
        <v/>
      </c>
      <c r="AL653" s="25" t="str">
        <f>IF(SUMIF('Prev Aub'!A:A,O653,'Prev Aub'!B:B)=0,"",SUMIF('Prev Aub'!A:A,O653,'Prev Aub'!B:B))</f>
        <v/>
      </c>
      <c r="AN653" s="25" t="s">
        <v>3790</v>
      </c>
      <c r="AO653" s="25" t="s">
        <v>3790</v>
      </c>
      <c r="AP653" s="25">
        <f t="shared" si="286"/>
        <v>0</v>
      </c>
      <c r="AQ653" s="151" t="str">
        <f>IF(SUMIFS('Supp Consol'!S:S,'Supp Consol'!A:A,O653,'Supp Consol'!I:I,"PENDING")=0,"",SUMIFS('Supp Consol'!S:S,'Supp Consol'!A:A,O653,'Supp Consol'!I:I,"PENDING"))</f>
        <v/>
      </c>
      <c r="AR653" s="27" t="str">
        <f t="shared" si="287"/>
        <v>KM010</v>
      </c>
      <c r="AS653" s="27" t="str">
        <f t="shared" si="288"/>
        <v>62</v>
      </c>
      <c r="AT653" s="27" t="str">
        <f t="shared" si="289"/>
        <v/>
      </c>
      <c r="AU653" s="27" t="str">
        <f t="shared" si="290"/>
        <v/>
      </c>
      <c r="AV653" s="27" t="str">
        <f t="shared" si="291"/>
        <v/>
      </c>
      <c r="AW653" s="27" t="str">
        <f t="shared" si="292"/>
        <v/>
      </c>
      <c r="AX653" s="27" t="str">
        <f t="shared" si="293"/>
        <v/>
      </c>
      <c r="AY653" s="27" t="str">
        <f t="shared" si="294"/>
        <v/>
      </c>
      <c r="AZ653" s="27" t="str">
        <f t="shared" si="295"/>
        <v/>
      </c>
      <c r="BA653" s="27" t="str">
        <f t="shared" si="296"/>
        <v/>
      </c>
      <c r="BB653" s="27" t="str">
        <f t="shared" si="297"/>
        <v/>
      </c>
      <c r="BC653" s="27" t="str">
        <f t="shared" si="298"/>
        <v/>
      </c>
      <c r="BD653" s="27" t="str">
        <f t="shared" si="299"/>
        <v/>
      </c>
      <c r="BE653" s="27" t="str">
        <f t="shared" si="300"/>
        <v/>
      </c>
      <c r="BF653" s="27" t="str">
        <f t="shared" si="301"/>
        <v/>
      </c>
      <c r="BG653" s="27" t="str">
        <f t="shared" si="302"/>
        <v/>
      </c>
      <c r="BH653" s="27" t="str">
        <f t="shared" si="303"/>
        <v/>
      </c>
      <c r="BI653" s="27" t="str">
        <f t="shared" si="304"/>
        <v/>
      </c>
      <c r="BJ653" s="27" t="str">
        <f t="shared" si="305"/>
        <v/>
      </c>
      <c r="BK653" s="27" t="str">
        <f t="shared" si="306"/>
        <v/>
      </c>
      <c r="BL653" s="27" t="str">
        <f t="shared" si="307"/>
        <v/>
      </c>
      <c r="BM653" s="21" t="s">
        <v>5581</v>
      </c>
    </row>
    <row r="654" spans="1:65" ht="15">
      <c r="A654" s="25" t="str">
        <f>IFERROR(INDEX('Hun Demand'!W:W,MATCH(O654,'Hun Demand'!A:A,0)),"")</f>
        <v/>
      </c>
      <c r="B654" s="25" t="str">
        <f>IFERROR(INDEX('Hun Demand'!V:V,MATCH(O654,'Hun Demand'!A:A,0)),"")</f>
        <v/>
      </c>
      <c r="C654" s="25" t="str">
        <f>IFERROR(INDEX('Hun Demand'!U:U,MATCH(O654,'Hun Demand'!A:A,0)),"")</f>
        <v/>
      </c>
      <c r="D654" s="25" t="str">
        <f>IFERROR(INDEX('Hun Demand'!T:T,MATCH(O654,'Hun Demand'!A:A,0)),"")</f>
        <v/>
      </c>
      <c r="E654" s="25" t="str">
        <f>IFERROR(INDEX('Hun Demand'!S:S,MATCH(O654,'Hun Demand'!A:A,0)),"")</f>
        <v/>
      </c>
      <c r="F654" s="25" t="str">
        <f>IFERROR(INDEX('Hun Demand'!R:R,MATCH(O654,'Hun Demand'!A:A,0)),"")</f>
        <v/>
      </c>
      <c r="G654" s="25">
        <f>IFERROR(INDEX('Aub Demand'!W:W,MATCH(O654,'Aub Demand'!A:A,0)),"")</f>
        <v>0</v>
      </c>
      <c r="H654" s="25">
        <f>IFERROR(INDEX('Aub Demand'!V:V,MATCH(O654,'Aub Demand'!A:A,0)),"")</f>
        <v>0</v>
      </c>
      <c r="I654" s="25">
        <f>IFERROR(INDEX('Aub Demand'!U:U,MATCH(O654,'Aub Demand'!A:A,0)),"")</f>
        <v>0</v>
      </c>
      <c r="J654" s="25">
        <f>IFERROR(INDEX('Aub Demand'!T:T,MATCH(O654,'Aub Demand'!A:A,0)),"")</f>
        <v>13</v>
      </c>
      <c r="K654" s="25">
        <f>IFERROR(INDEX('Aub Demand'!S:S,MATCH(O654,'Aub Demand'!A:A,0)),"")</f>
        <v>285</v>
      </c>
      <c r="L654" s="25">
        <f>IFERROR(INDEX('Aub Demand'!R:R,MATCH(O654,'Aub Demand'!A:A,0)),"")</f>
        <v>0</v>
      </c>
      <c r="O654" s="27" t="s">
        <v>3356</v>
      </c>
      <c r="P654" s="27" t="str">
        <f>IFERROR(INDEX('Aub Demand'!B:B,MATCH($O654,'Aub Demand'!$A:$A,0)),"")</f>
        <v>STEEL BAY</v>
      </c>
      <c r="Q654" s="27">
        <f>IFERROR(INDEX('Aub Demand'!C:C,MATCH($O654,'Aub Demand'!$A:$A,0)),"")</f>
        <v>0</v>
      </c>
      <c r="R654" s="52">
        <f>IFERROR(IF(AR655=AR654,INDEX('Aub Demand'!K:K,MATCH($O654,'Aub Demand'!$A:$A,0))-IF(AN654="",0,AN654)+AP655,INDEX('Aub Demand'!K:K,MATCH($O654,'Aub Demand'!$A:$A,0))-IF(AN654="",0,AN654)),"")</f>
        <v>0</v>
      </c>
      <c r="S654" s="53">
        <f t="shared" si="280"/>
        <v>0</v>
      </c>
      <c r="T654" s="52">
        <f t="shared" si="281"/>
        <v>111.75</v>
      </c>
      <c r="U654" s="52">
        <f>IFERROR(IF(AR655=AR654,INDEX('Aub Demand'!Q:Q,MATCH($O654,'Aub Demand'!$A:$A,0))-IF(AN654="",0,AN654)+AP655,INDEX('Aub Demand'!Q:Q,MATCH($O654,'Aub Demand'!$A:$A,0))-IF(AN654="",0,AN654)),"")</f>
        <v>0</v>
      </c>
      <c r="V654" s="53">
        <f t="shared" si="282"/>
        <v>0</v>
      </c>
      <c r="W654" s="52">
        <f t="shared" si="283"/>
        <v>111.75</v>
      </c>
      <c r="X654" s="52">
        <f>IFERROR(IF(AND(AR655=AR654,AM654&lt;&gt;""),INDEX('Aub Demand'!Q:Q,MATCH($O654,'Aub Demand'!$A:$A,0))-IF(AN654="",0,AN654)+AP655+AD654+AL654,IF(AR655=AR654,INDEX('Aub Demand'!Q:Q,MATCH($O654,'Aub Demand'!$A:$A,0))-IF(AN654="",0,AN654)+AP655+AD654,IF(AM654&lt;&gt;"",INDEX('Aub Demand'!Q:Q,MATCH($O654,'Aub Demand'!$A:$A,0))-IF(AN654="",0,AN654)+AD654+AL654,INDEX('Aub Demand'!Q:Q,MATCH($O654,'Aub Demand'!$A:$A,0))-IF(AN654="",0,AN654)+AD654))),"")</f>
        <v>0</v>
      </c>
      <c r="Y654" s="53">
        <f t="shared" si="284"/>
        <v>0</v>
      </c>
      <c r="Z654" s="52">
        <f>IF(L654="","",INDEX('Aub Demand'!H:H,MATCH($O654,'Aub Demand'!$A:$A,0)))</f>
        <v>99</v>
      </c>
      <c r="AA654" s="52">
        <f t="shared" si="285"/>
        <v>149</v>
      </c>
      <c r="AB654" s="52">
        <f>IFERROR(INDEX('Aub Demand'!L:L,MATCH($O654,'Aub Demand'!$A:$A,0)),"")</f>
        <v>0</v>
      </c>
      <c r="AC654" s="52">
        <f>IFERROR(IF(O654="","",SUMIFS('CPL Mats'!F:F,'CPL Mats'!Q:Q,AR654,'CPL Mats'!S:S,AS654)),"")</f>
        <v>0</v>
      </c>
      <c r="AF654" s="25" t="str">
        <f>IF(SUMIFS('Supp Consol'!S:S,'Supp Consol'!Y:Y,"Releasable",'Supp Consol'!A:A,O654)=0,"",SUMIFS('Supp Consol'!S:S,'Supp Consol'!Y:Y,"Releasable",'Supp Consol'!A:A,O654))</f>
        <v/>
      </c>
      <c r="AG654" s="25" t="str">
        <f>IFERROR(INDEX('Hun Demand'!Q:Q,MATCH(O654,'Hun Demand'!A:A,0)),"")</f>
        <v/>
      </c>
      <c r="AH654" s="25" t="str">
        <f>IFERROR(INDEX('Hun Demand'!H:H,MATCH($O654,'Hun Demand'!$A:$A,0)),"")</f>
        <v/>
      </c>
      <c r="AI654" s="25" t="str">
        <f>IF(SUMIFS('Supp Consol'!AA:AA,'Supp Consol'!Z:Z,"Expires this month",'Supp Consol'!A:A,O654)=0,"",SUMIFS('Supp Consol'!AA:AA,'Supp Consol'!Z:Z,"Expires this month",'Supp Consol'!A:A,O654))</f>
        <v/>
      </c>
      <c r="AJ654" s="25" t="str">
        <f>IF(SUMIFS('Supp Consol'!AA:AA,'Supp Consol'!Z:Z,"Expired Previous Months",'Supp Consol'!A:A,O654)=0,"",SUMIFS('Supp Consol'!AA:AA,'Supp Consol'!Z:Z,"Expired Previous Months",'Supp Consol'!A:A,O654))</f>
        <v/>
      </c>
      <c r="AK654" s="25" t="str">
        <f>IFERROR(INDEX('Hun Release Current'!B:B,MATCH(O654,'Hun Release Current'!A:A,0)),"")</f>
        <v/>
      </c>
      <c r="AL654" s="25" t="str">
        <f>IF(SUMIF('Prev Aub'!A:A,O654,'Prev Aub'!B:B)=0,"",SUMIF('Prev Aub'!A:A,O654,'Prev Aub'!B:B))</f>
        <v/>
      </c>
      <c r="AN654" s="25" t="s">
        <v>3790</v>
      </c>
      <c r="AO654" s="25" t="s">
        <v>3790</v>
      </c>
      <c r="AP654" s="25">
        <f t="shared" si="286"/>
        <v>0</v>
      </c>
      <c r="AQ654" s="151" t="str">
        <f>IF(SUMIFS('Supp Consol'!S:S,'Supp Consol'!A:A,O654,'Supp Consol'!I:I,"PENDING")=0,"",SUMIFS('Supp Consol'!S:S,'Supp Consol'!A:A,O654,'Supp Consol'!I:I,"PENDING"))</f>
        <v/>
      </c>
      <c r="AR654" s="27" t="str">
        <f t="shared" si="287"/>
        <v>KM018</v>
      </c>
      <c r="AS654" s="27" t="str">
        <f t="shared" si="288"/>
        <v>50</v>
      </c>
      <c r="AT654" s="27" t="str">
        <f t="shared" si="289"/>
        <v>KM018</v>
      </c>
      <c r="AU654" s="27" t="str">
        <f t="shared" si="290"/>
        <v>KM018</v>
      </c>
      <c r="AV654" s="27" t="str">
        <f t="shared" si="291"/>
        <v>KM018</v>
      </c>
      <c r="AW654" s="27" t="str">
        <f t="shared" si="292"/>
        <v/>
      </c>
      <c r="AX654" s="27" t="str">
        <f t="shared" si="293"/>
        <v/>
      </c>
      <c r="AY654" s="27" t="str">
        <f t="shared" si="294"/>
        <v/>
      </c>
      <c r="AZ654" s="27" t="str">
        <f t="shared" si="295"/>
        <v/>
      </c>
      <c r="BA654" s="27" t="str">
        <f t="shared" si="296"/>
        <v/>
      </c>
      <c r="BB654" s="27" t="str">
        <f t="shared" si="297"/>
        <v>Gross</v>
      </c>
      <c r="BC654" s="27" t="str">
        <f t="shared" si="298"/>
        <v>Net</v>
      </c>
      <c r="BD654" s="27" t="str">
        <f t="shared" si="299"/>
        <v>Net</v>
      </c>
      <c r="BE654" s="27" t="str">
        <f t="shared" si="300"/>
        <v/>
      </c>
      <c r="BF654" s="27" t="str">
        <f t="shared" si="301"/>
        <v/>
      </c>
      <c r="BG654" s="27" t="str">
        <f t="shared" si="302"/>
        <v/>
      </c>
      <c r="BH654" s="27" t="str">
        <f t="shared" si="303"/>
        <v/>
      </c>
      <c r="BI654" s="27" t="str">
        <f t="shared" si="304"/>
        <v/>
      </c>
      <c r="BJ654" s="27" t="str">
        <f t="shared" si="305"/>
        <v/>
      </c>
      <c r="BK654" s="27" t="str">
        <f t="shared" si="306"/>
        <v/>
      </c>
      <c r="BL654" s="27" t="str">
        <f t="shared" si="307"/>
        <v/>
      </c>
      <c r="BM654" s="21" t="s">
        <v>5581</v>
      </c>
    </row>
    <row r="655" spans="1:65" ht="15">
      <c r="A655" s="25" t="str">
        <f>IFERROR(INDEX('Hun Demand'!W:W,MATCH(O655,'Hun Demand'!A:A,0)),"")</f>
        <v/>
      </c>
      <c r="B655" s="25" t="str">
        <f>IFERROR(INDEX('Hun Demand'!V:V,MATCH(O655,'Hun Demand'!A:A,0)),"")</f>
        <v/>
      </c>
      <c r="C655" s="25" t="str">
        <f>IFERROR(INDEX('Hun Demand'!U:U,MATCH(O655,'Hun Demand'!A:A,0)),"")</f>
        <v/>
      </c>
      <c r="D655" s="25" t="str">
        <f>IFERROR(INDEX('Hun Demand'!T:T,MATCH(O655,'Hun Demand'!A:A,0)),"")</f>
        <v/>
      </c>
      <c r="E655" s="25" t="str">
        <f>IFERROR(INDEX('Hun Demand'!S:S,MATCH(O655,'Hun Demand'!A:A,0)),"")</f>
        <v/>
      </c>
      <c r="F655" s="25" t="str">
        <f>IFERROR(INDEX('Hun Demand'!R:R,MATCH(O655,'Hun Demand'!A:A,0)),"")</f>
        <v/>
      </c>
      <c r="G655" s="25">
        <f>IFERROR(INDEX('Aub Demand'!W:W,MATCH(O655,'Aub Demand'!A:A,0)),"")</f>
        <v>0</v>
      </c>
      <c r="H655" s="25">
        <f>IFERROR(INDEX('Aub Demand'!V:V,MATCH(O655,'Aub Demand'!A:A,0)),"")</f>
        <v>0</v>
      </c>
      <c r="I655" s="25">
        <f>IFERROR(INDEX('Aub Demand'!U:U,MATCH(O655,'Aub Demand'!A:A,0)),"")</f>
        <v>3</v>
      </c>
      <c r="J655" s="25">
        <f>IFERROR(INDEX('Aub Demand'!T:T,MATCH(O655,'Aub Demand'!A:A,0)),"")</f>
        <v>20</v>
      </c>
      <c r="K655" s="25">
        <f>IFERROR(INDEX('Aub Demand'!S:S,MATCH(O655,'Aub Demand'!A:A,0)),"")</f>
        <v>260</v>
      </c>
      <c r="L655" s="25">
        <f>IFERROR(INDEX('Aub Demand'!R:R,MATCH(O655,'Aub Demand'!A:A,0)),"")</f>
        <v>0</v>
      </c>
      <c r="O655" s="27" t="s">
        <v>3358</v>
      </c>
      <c r="P655" s="27" t="str">
        <f>IFERROR(INDEX('Aub Demand'!B:B,MATCH($O655,'Aub Demand'!$A:$A,0)),"")</f>
        <v>UNION PEAK</v>
      </c>
      <c r="Q655" s="27">
        <f>IFERROR(INDEX('Aub Demand'!C:C,MATCH($O655,'Aub Demand'!$A:$A,0)),"")</f>
        <v>0</v>
      </c>
      <c r="R655" s="52">
        <f>IFERROR(IF(AR656=AR655,INDEX('Aub Demand'!K:K,MATCH($O655,'Aub Demand'!$A:$A,0))-IF(AN655="",0,AN655)+AP656,INDEX('Aub Demand'!K:K,MATCH($O655,'Aub Demand'!$A:$A,0))-IF(AN655="",0,AN655)),"")</f>
        <v>0</v>
      </c>
      <c r="S655" s="53">
        <f t="shared" si="280"/>
        <v>0</v>
      </c>
      <c r="T655" s="52">
        <f t="shared" si="281"/>
        <v>105</v>
      </c>
      <c r="U655" s="52">
        <f>IFERROR(IF(AR656=AR655,INDEX('Aub Demand'!Q:Q,MATCH($O655,'Aub Demand'!$A:$A,0))-IF(AN655="",0,AN655)+AP656,INDEX('Aub Demand'!Q:Q,MATCH($O655,'Aub Demand'!$A:$A,0))-IF(AN655="",0,AN655)),"")</f>
        <v>0</v>
      </c>
      <c r="V655" s="53">
        <f t="shared" si="282"/>
        <v>0</v>
      </c>
      <c r="W655" s="52">
        <f t="shared" si="283"/>
        <v>105</v>
      </c>
      <c r="X655" s="52">
        <f>IFERROR(IF(AND(AR656=AR655,AM655&lt;&gt;""),INDEX('Aub Demand'!Q:Q,MATCH($O655,'Aub Demand'!$A:$A,0))-IF(AN655="",0,AN655)+AP656+AD655+AL655,IF(AR656=AR655,INDEX('Aub Demand'!Q:Q,MATCH($O655,'Aub Demand'!$A:$A,0))-IF(AN655="",0,AN655)+AP656+AD655,IF(AM655&lt;&gt;"",INDEX('Aub Demand'!Q:Q,MATCH($O655,'Aub Demand'!$A:$A,0))-IF(AN655="",0,AN655)+AD655+AL655,INDEX('Aub Demand'!Q:Q,MATCH($O655,'Aub Demand'!$A:$A,0))-IF(AN655="",0,AN655)+AD655))),"")</f>
        <v>0</v>
      </c>
      <c r="Y655" s="53">
        <f t="shared" si="284"/>
        <v>0</v>
      </c>
      <c r="Z655" s="52">
        <f>IF(L655="","",INDEX('Aub Demand'!H:H,MATCH($O655,'Aub Demand'!$A:$A,0)))</f>
        <v>94</v>
      </c>
      <c r="AA655" s="52">
        <f t="shared" si="285"/>
        <v>140</v>
      </c>
      <c r="AB655" s="52">
        <f>IFERROR(INDEX('Aub Demand'!L:L,MATCH($O655,'Aub Demand'!$A:$A,0)),"")</f>
        <v>0</v>
      </c>
      <c r="AC655" s="52">
        <f>IFERROR(IF(O655="","",SUMIFS('CPL Mats'!F:F,'CPL Mats'!Q:Q,AR655,'CPL Mats'!S:S,AS655)),"")</f>
        <v>0</v>
      </c>
      <c r="AF655" s="25" t="str">
        <f>IF(SUMIFS('Supp Consol'!S:S,'Supp Consol'!Y:Y,"Releasable",'Supp Consol'!A:A,O655)=0,"",SUMIFS('Supp Consol'!S:S,'Supp Consol'!Y:Y,"Releasable",'Supp Consol'!A:A,O655))</f>
        <v/>
      </c>
      <c r="AG655" s="25" t="str">
        <f>IFERROR(INDEX('Hun Demand'!Q:Q,MATCH(O655,'Hun Demand'!A:A,0)),"")</f>
        <v/>
      </c>
      <c r="AH655" s="25" t="str">
        <f>IFERROR(INDEX('Hun Demand'!H:H,MATCH($O655,'Hun Demand'!$A:$A,0)),"")</f>
        <v/>
      </c>
      <c r="AI655" s="25" t="str">
        <f>IF(SUMIFS('Supp Consol'!AA:AA,'Supp Consol'!Z:Z,"Expires this month",'Supp Consol'!A:A,O655)=0,"",SUMIFS('Supp Consol'!AA:AA,'Supp Consol'!Z:Z,"Expires this month",'Supp Consol'!A:A,O655))</f>
        <v/>
      </c>
      <c r="AJ655" s="25" t="str">
        <f>IF(SUMIFS('Supp Consol'!AA:AA,'Supp Consol'!Z:Z,"Expired Previous Months",'Supp Consol'!A:A,O655)=0,"",SUMIFS('Supp Consol'!AA:AA,'Supp Consol'!Z:Z,"Expired Previous Months",'Supp Consol'!A:A,O655))</f>
        <v/>
      </c>
      <c r="AK655" s="25" t="str">
        <f>IFERROR(INDEX('Hun Release Current'!B:B,MATCH(O655,'Hun Release Current'!A:A,0)),"")</f>
        <v/>
      </c>
      <c r="AL655" s="25" t="str">
        <f>IF(SUMIF('Prev Aub'!A:A,O655,'Prev Aub'!B:B)=0,"",SUMIF('Prev Aub'!A:A,O655,'Prev Aub'!B:B))</f>
        <v/>
      </c>
      <c r="AN655" s="25" t="s">
        <v>3790</v>
      </c>
      <c r="AO655" s="25" t="s">
        <v>3790</v>
      </c>
      <c r="AP655" s="25">
        <f t="shared" si="286"/>
        <v>0</v>
      </c>
      <c r="AQ655" s="151" t="str">
        <f>IF(SUMIFS('Supp Consol'!S:S,'Supp Consol'!A:A,O655,'Supp Consol'!I:I,"PENDING")=0,"",SUMIFS('Supp Consol'!S:S,'Supp Consol'!A:A,O655,'Supp Consol'!I:I,"PENDING"))</f>
        <v/>
      </c>
      <c r="AR655" s="27" t="str">
        <f t="shared" si="287"/>
        <v>KM019</v>
      </c>
      <c r="AS655" s="27" t="str">
        <f t="shared" si="288"/>
        <v>50</v>
      </c>
      <c r="AT655" s="27" t="str">
        <f t="shared" si="289"/>
        <v>KM019</v>
      </c>
      <c r="AU655" s="27" t="str">
        <f t="shared" si="290"/>
        <v>KM019</v>
      </c>
      <c r="AV655" s="27" t="str">
        <f t="shared" si="291"/>
        <v>KM019</v>
      </c>
      <c r="AW655" s="27" t="str">
        <f t="shared" si="292"/>
        <v/>
      </c>
      <c r="AX655" s="27" t="str">
        <f t="shared" si="293"/>
        <v/>
      </c>
      <c r="AY655" s="27" t="str">
        <f t="shared" si="294"/>
        <v/>
      </c>
      <c r="AZ655" s="27" t="str">
        <f t="shared" si="295"/>
        <v/>
      </c>
      <c r="BA655" s="27" t="str">
        <f t="shared" si="296"/>
        <v/>
      </c>
      <c r="BB655" s="27" t="str">
        <f t="shared" si="297"/>
        <v>Gross</v>
      </c>
      <c r="BC655" s="27" t="str">
        <f t="shared" si="298"/>
        <v>Net</v>
      </c>
      <c r="BD655" s="27" t="str">
        <f t="shared" si="299"/>
        <v>Net</v>
      </c>
      <c r="BE655" s="27" t="str">
        <f t="shared" si="300"/>
        <v/>
      </c>
      <c r="BF655" s="27" t="str">
        <f t="shared" si="301"/>
        <v/>
      </c>
      <c r="BG655" s="27" t="str">
        <f t="shared" si="302"/>
        <v/>
      </c>
      <c r="BH655" s="27" t="str">
        <f t="shared" si="303"/>
        <v/>
      </c>
      <c r="BI655" s="27" t="str">
        <f t="shared" si="304"/>
        <v/>
      </c>
      <c r="BJ655" s="27" t="str">
        <f t="shared" si="305"/>
        <v/>
      </c>
      <c r="BK655" s="27" t="str">
        <f t="shared" si="306"/>
        <v/>
      </c>
      <c r="BL655" s="27" t="str">
        <f t="shared" si="307"/>
        <v/>
      </c>
      <c r="BM655" s="21" t="s">
        <v>5581</v>
      </c>
    </row>
    <row r="656" spans="1:65" ht="15">
      <c r="A656" s="25" t="str">
        <f>IFERROR(INDEX('Hun Demand'!W:W,MATCH(O656,'Hun Demand'!A:A,0)),"")</f>
        <v/>
      </c>
      <c r="B656" s="25" t="str">
        <f>IFERROR(INDEX('Hun Demand'!V:V,MATCH(O656,'Hun Demand'!A:A,0)),"")</f>
        <v/>
      </c>
      <c r="C656" s="25" t="str">
        <f>IFERROR(INDEX('Hun Demand'!U:U,MATCH(O656,'Hun Demand'!A:A,0)),"")</f>
        <v/>
      </c>
      <c r="D656" s="25" t="str">
        <f>IFERROR(INDEX('Hun Demand'!T:T,MATCH(O656,'Hun Demand'!A:A,0)),"")</f>
        <v/>
      </c>
      <c r="E656" s="25" t="str">
        <f>IFERROR(INDEX('Hun Demand'!S:S,MATCH(O656,'Hun Demand'!A:A,0)),"")</f>
        <v/>
      </c>
      <c r="F656" s="25" t="str">
        <f>IFERROR(INDEX('Hun Demand'!R:R,MATCH(O656,'Hun Demand'!A:A,0)),"")</f>
        <v/>
      </c>
      <c r="G656" s="25">
        <f>IFERROR(INDEX('Aub Demand'!W:W,MATCH(O656,'Aub Demand'!A:A,0)),"")</f>
        <v>0</v>
      </c>
      <c r="H656" s="25">
        <f>IFERROR(INDEX('Aub Demand'!V:V,MATCH(O656,'Aub Demand'!A:A,0)),"")</f>
        <v>0</v>
      </c>
      <c r="I656" s="25">
        <f>IFERROR(INDEX('Aub Demand'!U:U,MATCH(O656,'Aub Demand'!A:A,0)),"")</f>
        <v>0</v>
      </c>
      <c r="J656" s="25">
        <f>IFERROR(INDEX('Aub Demand'!T:T,MATCH(O656,'Aub Demand'!A:A,0)),"")</f>
        <v>4</v>
      </c>
      <c r="K656" s="25">
        <f>IFERROR(INDEX('Aub Demand'!S:S,MATCH(O656,'Aub Demand'!A:A,0)),"")</f>
        <v>168</v>
      </c>
      <c r="L656" s="25">
        <f>IFERROR(INDEX('Aub Demand'!R:R,MATCH(O656,'Aub Demand'!A:A,0)),"")</f>
        <v>0</v>
      </c>
      <c r="O656" s="27" t="s">
        <v>3360</v>
      </c>
      <c r="P656" s="27" t="str">
        <f>IFERROR(INDEX('Aub Demand'!B:B,MATCH($O656,'Aub Demand'!$A:$A,0)),"")</f>
        <v>LODGEPOLE</v>
      </c>
      <c r="Q656" s="27">
        <f>IFERROR(INDEX('Aub Demand'!C:C,MATCH($O656,'Aub Demand'!$A:$A,0)),"")</f>
        <v>0</v>
      </c>
      <c r="R656" s="52">
        <f>IFERROR(IF(AR657=AR656,INDEX('Aub Demand'!K:K,MATCH($O656,'Aub Demand'!$A:$A,0))-IF(AN656="",0,AN656)+AP657,INDEX('Aub Demand'!K:K,MATCH($O656,'Aub Demand'!$A:$A,0))-IF(AN656="",0,AN656)),"")</f>
        <v>0</v>
      </c>
      <c r="S656" s="53">
        <f t="shared" si="280"/>
        <v>0</v>
      </c>
      <c r="T656" s="52">
        <f t="shared" si="281"/>
        <v>64.5</v>
      </c>
      <c r="U656" s="52">
        <f>IFERROR(IF(AR657=AR656,INDEX('Aub Demand'!Q:Q,MATCH($O656,'Aub Demand'!$A:$A,0))-IF(AN656="",0,AN656)+AP657,INDEX('Aub Demand'!Q:Q,MATCH($O656,'Aub Demand'!$A:$A,0))-IF(AN656="",0,AN656)),"")</f>
        <v>0</v>
      </c>
      <c r="V656" s="53">
        <f t="shared" si="282"/>
        <v>0</v>
      </c>
      <c r="W656" s="52">
        <f t="shared" si="283"/>
        <v>64.5</v>
      </c>
      <c r="X656" s="52">
        <f>IFERROR(IF(AND(AR657=AR656,AM656&lt;&gt;""),INDEX('Aub Demand'!Q:Q,MATCH($O656,'Aub Demand'!$A:$A,0))-IF(AN656="",0,AN656)+AP657+AD656+AL656,IF(AR657=AR656,INDEX('Aub Demand'!Q:Q,MATCH($O656,'Aub Demand'!$A:$A,0))-IF(AN656="",0,AN656)+AP657+AD656,IF(AM656&lt;&gt;"",INDEX('Aub Demand'!Q:Q,MATCH($O656,'Aub Demand'!$A:$A,0))-IF(AN656="",0,AN656)+AD656+AL656,INDEX('Aub Demand'!Q:Q,MATCH($O656,'Aub Demand'!$A:$A,0))-IF(AN656="",0,AN656)+AD656))),"")</f>
        <v>0</v>
      </c>
      <c r="Y656" s="53">
        <f t="shared" si="284"/>
        <v>0</v>
      </c>
      <c r="Z656" s="52">
        <f>IF(L656="","",INDEX('Aub Demand'!H:H,MATCH($O656,'Aub Demand'!$A:$A,0)))</f>
        <v>57</v>
      </c>
      <c r="AA656" s="52">
        <f t="shared" si="285"/>
        <v>86</v>
      </c>
      <c r="AB656" s="52">
        <f>IFERROR(INDEX('Aub Demand'!L:L,MATCH($O656,'Aub Demand'!$A:$A,0)),"")</f>
        <v>0</v>
      </c>
      <c r="AC656" s="52">
        <f>IFERROR(IF(O656="","",SUMIFS('CPL Mats'!F:F,'CPL Mats'!Q:Q,AR656,'CPL Mats'!S:S,AS656)),"")</f>
        <v>0</v>
      </c>
      <c r="AF656" s="25" t="str">
        <f>IF(SUMIFS('Supp Consol'!S:S,'Supp Consol'!Y:Y,"Releasable",'Supp Consol'!A:A,O656)=0,"",SUMIFS('Supp Consol'!S:S,'Supp Consol'!Y:Y,"Releasable",'Supp Consol'!A:A,O656))</f>
        <v/>
      </c>
      <c r="AG656" s="25" t="str">
        <f>IFERROR(INDEX('Hun Demand'!Q:Q,MATCH(O656,'Hun Demand'!A:A,0)),"")</f>
        <v/>
      </c>
      <c r="AH656" s="25" t="str">
        <f>IFERROR(INDEX('Hun Demand'!H:H,MATCH($O656,'Hun Demand'!$A:$A,0)),"")</f>
        <v/>
      </c>
      <c r="AI656" s="25" t="str">
        <f>IF(SUMIFS('Supp Consol'!AA:AA,'Supp Consol'!Z:Z,"Expires this month",'Supp Consol'!A:A,O656)=0,"",SUMIFS('Supp Consol'!AA:AA,'Supp Consol'!Z:Z,"Expires this month",'Supp Consol'!A:A,O656))</f>
        <v/>
      </c>
      <c r="AJ656" s="25" t="str">
        <f>IF(SUMIFS('Supp Consol'!AA:AA,'Supp Consol'!Z:Z,"Expired Previous Months",'Supp Consol'!A:A,O656)=0,"",SUMIFS('Supp Consol'!AA:AA,'Supp Consol'!Z:Z,"Expired Previous Months",'Supp Consol'!A:A,O656))</f>
        <v/>
      </c>
      <c r="AK656" s="25" t="str">
        <f>IFERROR(INDEX('Hun Release Current'!B:B,MATCH(O656,'Hun Release Current'!A:A,0)),"")</f>
        <v/>
      </c>
      <c r="AL656" s="25" t="str">
        <f>IF(SUMIF('Prev Aub'!A:A,O656,'Prev Aub'!B:B)=0,"",SUMIF('Prev Aub'!A:A,O656,'Prev Aub'!B:B))</f>
        <v/>
      </c>
      <c r="AN656" s="25" t="s">
        <v>3790</v>
      </c>
      <c r="AO656" s="25" t="s">
        <v>3790</v>
      </c>
      <c r="AP656" s="25">
        <f t="shared" si="286"/>
        <v>0</v>
      </c>
      <c r="AQ656" s="151" t="str">
        <f>IF(SUMIFS('Supp Consol'!S:S,'Supp Consol'!A:A,O656,'Supp Consol'!I:I,"PENDING")=0,"",SUMIFS('Supp Consol'!S:S,'Supp Consol'!A:A,O656,'Supp Consol'!I:I,"PENDING"))</f>
        <v/>
      </c>
      <c r="AR656" s="27" t="str">
        <f t="shared" si="287"/>
        <v>KM020</v>
      </c>
      <c r="AS656" s="27" t="str">
        <f t="shared" si="288"/>
        <v>50</v>
      </c>
      <c r="AT656" s="27" t="str">
        <f t="shared" si="289"/>
        <v>KM020</v>
      </c>
      <c r="AU656" s="27" t="str">
        <f t="shared" si="290"/>
        <v>KM020</v>
      </c>
      <c r="AV656" s="27" t="str">
        <f t="shared" si="291"/>
        <v>KM020</v>
      </c>
      <c r="AW656" s="27" t="str">
        <f t="shared" si="292"/>
        <v/>
      </c>
      <c r="AX656" s="27" t="str">
        <f t="shared" si="293"/>
        <v/>
      </c>
      <c r="AY656" s="27" t="str">
        <f t="shared" si="294"/>
        <v/>
      </c>
      <c r="AZ656" s="27" t="str">
        <f t="shared" si="295"/>
        <v/>
      </c>
      <c r="BA656" s="27" t="str">
        <f t="shared" si="296"/>
        <v/>
      </c>
      <c r="BB656" s="27" t="str">
        <f t="shared" si="297"/>
        <v>Gross</v>
      </c>
      <c r="BC656" s="27" t="str">
        <f t="shared" si="298"/>
        <v>Net</v>
      </c>
      <c r="BD656" s="27" t="str">
        <f t="shared" si="299"/>
        <v>Net</v>
      </c>
      <c r="BE656" s="27" t="str">
        <f t="shared" si="300"/>
        <v/>
      </c>
      <c r="BF656" s="27" t="str">
        <f t="shared" si="301"/>
        <v/>
      </c>
      <c r="BG656" s="27" t="str">
        <f t="shared" si="302"/>
        <v/>
      </c>
      <c r="BH656" s="27" t="str">
        <f t="shared" si="303"/>
        <v/>
      </c>
      <c r="BI656" s="27" t="str">
        <f t="shared" si="304"/>
        <v/>
      </c>
      <c r="BJ656" s="27" t="str">
        <f t="shared" si="305"/>
        <v/>
      </c>
      <c r="BK656" s="27" t="str">
        <f t="shared" si="306"/>
        <v/>
      </c>
      <c r="BL656" s="27" t="str">
        <f t="shared" si="307"/>
        <v/>
      </c>
      <c r="BM656" s="21" t="s">
        <v>5581</v>
      </c>
    </row>
    <row r="657" spans="1:65" ht="15">
      <c r="A657" s="25" t="str">
        <f>IFERROR(INDEX('Hun Demand'!W:W,MATCH(O657,'Hun Demand'!A:A,0)),"")</f>
        <v/>
      </c>
      <c r="B657" s="25" t="str">
        <f>IFERROR(INDEX('Hun Demand'!V:V,MATCH(O657,'Hun Demand'!A:A,0)),"")</f>
        <v/>
      </c>
      <c r="C657" s="25" t="str">
        <f>IFERROR(INDEX('Hun Demand'!U:U,MATCH(O657,'Hun Demand'!A:A,0)),"")</f>
        <v/>
      </c>
      <c r="D657" s="25" t="str">
        <f>IFERROR(INDEX('Hun Demand'!T:T,MATCH(O657,'Hun Demand'!A:A,0)),"")</f>
        <v/>
      </c>
      <c r="E657" s="25" t="str">
        <f>IFERROR(INDEX('Hun Demand'!S:S,MATCH(O657,'Hun Demand'!A:A,0)),"")</f>
        <v/>
      </c>
      <c r="F657" s="25" t="str">
        <f>IFERROR(INDEX('Hun Demand'!R:R,MATCH(O657,'Hun Demand'!A:A,0)),"")</f>
        <v/>
      </c>
      <c r="G657" s="25">
        <f>IFERROR(INDEX('Aub Demand'!W:W,MATCH(O657,'Aub Demand'!A:A,0)),"")</f>
        <v>0</v>
      </c>
      <c r="H657" s="25">
        <f>IFERROR(INDEX('Aub Demand'!V:V,MATCH(O657,'Aub Demand'!A:A,0)),"")</f>
        <v>0</v>
      </c>
      <c r="I657" s="25">
        <f>IFERROR(INDEX('Aub Demand'!U:U,MATCH(O657,'Aub Demand'!A:A,0)),"")</f>
        <v>0</v>
      </c>
      <c r="J657" s="25">
        <f>IFERROR(INDEX('Aub Demand'!T:T,MATCH(O657,'Aub Demand'!A:A,0)),"")</f>
        <v>7</v>
      </c>
      <c r="K657" s="25">
        <f>IFERROR(INDEX('Aub Demand'!S:S,MATCH(O657,'Aub Demand'!A:A,0)),"")</f>
        <v>296</v>
      </c>
      <c r="L657" s="25">
        <f>IFERROR(INDEX('Aub Demand'!R:R,MATCH(O657,'Aub Demand'!A:A,0)),"")</f>
        <v>0</v>
      </c>
      <c r="O657" s="27" t="s">
        <v>3362</v>
      </c>
      <c r="P657" s="27" t="str">
        <f>IFERROR(INDEX('Aub Demand'!B:B,MATCH($O657,'Aub Demand'!$A:$A,0)),"")</f>
        <v>DUTTON CREEK</v>
      </c>
      <c r="Q657" s="27">
        <f>IFERROR(INDEX('Aub Demand'!C:C,MATCH($O657,'Aub Demand'!$A:$A,0)),"")</f>
        <v>0</v>
      </c>
      <c r="R657" s="52">
        <f>IFERROR(IF(AR658=AR657,INDEX('Aub Demand'!K:K,MATCH($O657,'Aub Demand'!$A:$A,0))-IF(AN657="",0,AN657)+AP658,INDEX('Aub Demand'!K:K,MATCH($O657,'Aub Demand'!$A:$A,0))-IF(AN657="",0,AN657)),"")</f>
        <v>0</v>
      </c>
      <c r="S657" s="53">
        <f t="shared" si="280"/>
        <v>0</v>
      </c>
      <c r="T657" s="52">
        <f t="shared" si="281"/>
        <v>113.625</v>
      </c>
      <c r="U657" s="52">
        <f>IFERROR(IF(AR658=AR657,INDEX('Aub Demand'!Q:Q,MATCH($O657,'Aub Demand'!$A:$A,0))-IF(AN657="",0,AN657)+AP658,INDEX('Aub Demand'!Q:Q,MATCH($O657,'Aub Demand'!$A:$A,0))-IF(AN657="",0,AN657)),"")</f>
        <v>0</v>
      </c>
      <c r="V657" s="53">
        <f t="shared" si="282"/>
        <v>0</v>
      </c>
      <c r="W657" s="52">
        <f t="shared" si="283"/>
        <v>113.625</v>
      </c>
      <c r="X657" s="52">
        <f>IFERROR(IF(AND(AR658=AR657,AM657&lt;&gt;""),INDEX('Aub Demand'!Q:Q,MATCH($O657,'Aub Demand'!$A:$A,0))-IF(AN657="",0,AN657)+AP658+AD657+AL657,IF(AR658=AR657,INDEX('Aub Demand'!Q:Q,MATCH($O657,'Aub Demand'!$A:$A,0))-IF(AN657="",0,AN657)+AP658+AD657,IF(AM657&lt;&gt;"",INDEX('Aub Demand'!Q:Q,MATCH($O657,'Aub Demand'!$A:$A,0))-IF(AN657="",0,AN657)+AD657+AL657,INDEX('Aub Demand'!Q:Q,MATCH($O657,'Aub Demand'!$A:$A,0))-IF(AN657="",0,AN657)+AD657))),"")</f>
        <v>0</v>
      </c>
      <c r="Y657" s="53">
        <f t="shared" si="284"/>
        <v>0</v>
      </c>
      <c r="Z657" s="52">
        <f>IF(L657="","",INDEX('Aub Demand'!H:H,MATCH($O657,'Aub Demand'!$A:$A,0)))</f>
        <v>101</v>
      </c>
      <c r="AA657" s="52">
        <f t="shared" si="285"/>
        <v>151.5</v>
      </c>
      <c r="AB657" s="52">
        <f>IFERROR(INDEX('Aub Demand'!L:L,MATCH($O657,'Aub Demand'!$A:$A,0)),"")</f>
        <v>0</v>
      </c>
      <c r="AC657" s="52">
        <f>IFERROR(IF(O657="","",SUMIFS('CPL Mats'!F:F,'CPL Mats'!Q:Q,AR657,'CPL Mats'!S:S,AS657)),"")</f>
        <v>0</v>
      </c>
      <c r="AF657" s="25" t="str">
        <f>IF(SUMIFS('Supp Consol'!S:S,'Supp Consol'!Y:Y,"Releasable",'Supp Consol'!A:A,O657)=0,"",SUMIFS('Supp Consol'!S:S,'Supp Consol'!Y:Y,"Releasable",'Supp Consol'!A:A,O657))</f>
        <v/>
      </c>
      <c r="AG657" s="25" t="str">
        <f>IFERROR(INDEX('Hun Demand'!Q:Q,MATCH(O657,'Hun Demand'!A:A,0)),"")</f>
        <v/>
      </c>
      <c r="AH657" s="25" t="str">
        <f>IFERROR(INDEX('Hun Demand'!H:H,MATCH($O657,'Hun Demand'!$A:$A,0)),"")</f>
        <v/>
      </c>
      <c r="AI657" s="25" t="str">
        <f>IF(SUMIFS('Supp Consol'!AA:AA,'Supp Consol'!Z:Z,"Expires this month",'Supp Consol'!A:A,O657)=0,"",SUMIFS('Supp Consol'!AA:AA,'Supp Consol'!Z:Z,"Expires this month",'Supp Consol'!A:A,O657))</f>
        <v/>
      </c>
      <c r="AJ657" s="25" t="str">
        <f>IF(SUMIFS('Supp Consol'!AA:AA,'Supp Consol'!Z:Z,"Expired Previous Months",'Supp Consol'!A:A,O657)=0,"",SUMIFS('Supp Consol'!AA:AA,'Supp Consol'!Z:Z,"Expired Previous Months",'Supp Consol'!A:A,O657))</f>
        <v/>
      </c>
      <c r="AK657" s="25" t="str">
        <f>IFERROR(INDEX('Hun Release Current'!B:B,MATCH(O657,'Hun Release Current'!A:A,0)),"")</f>
        <v/>
      </c>
      <c r="AL657" s="25" t="str">
        <f>IF(SUMIF('Prev Aub'!A:A,O657,'Prev Aub'!B:B)=0,"",SUMIF('Prev Aub'!A:A,O657,'Prev Aub'!B:B))</f>
        <v/>
      </c>
      <c r="AN657" s="25" t="s">
        <v>3790</v>
      </c>
      <c r="AO657" s="25" t="s">
        <v>3790</v>
      </c>
      <c r="AP657" s="25">
        <f t="shared" si="286"/>
        <v>0</v>
      </c>
      <c r="AQ657" s="151" t="str">
        <f>IF(SUMIFS('Supp Consol'!S:S,'Supp Consol'!A:A,O657,'Supp Consol'!I:I,"PENDING")=0,"",SUMIFS('Supp Consol'!S:S,'Supp Consol'!A:A,O657,'Supp Consol'!I:I,"PENDING"))</f>
        <v/>
      </c>
      <c r="AR657" s="27" t="str">
        <f t="shared" si="287"/>
        <v>KM021</v>
      </c>
      <c r="AS657" s="27" t="str">
        <f t="shared" si="288"/>
        <v>50</v>
      </c>
      <c r="AT657" s="27" t="str">
        <f t="shared" si="289"/>
        <v>KM021</v>
      </c>
      <c r="AU657" s="27" t="str">
        <f t="shared" si="290"/>
        <v>KM021</v>
      </c>
      <c r="AV657" s="27" t="str">
        <f t="shared" si="291"/>
        <v>KM021</v>
      </c>
      <c r="AW657" s="27" t="str">
        <f t="shared" si="292"/>
        <v/>
      </c>
      <c r="AX657" s="27" t="str">
        <f t="shared" si="293"/>
        <v/>
      </c>
      <c r="AY657" s="27" t="str">
        <f t="shared" si="294"/>
        <v/>
      </c>
      <c r="AZ657" s="27" t="str">
        <f t="shared" si="295"/>
        <v/>
      </c>
      <c r="BA657" s="27" t="str">
        <f t="shared" si="296"/>
        <v/>
      </c>
      <c r="BB657" s="27" t="str">
        <f t="shared" si="297"/>
        <v>Gross</v>
      </c>
      <c r="BC657" s="27" t="str">
        <f t="shared" si="298"/>
        <v>Net</v>
      </c>
      <c r="BD657" s="27" t="str">
        <f t="shared" si="299"/>
        <v>Net</v>
      </c>
      <c r="BE657" s="27" t="str">
        <f t="shared" si="300"/>
        <v/>
      </c>
      <c r="BF657" s="27" t="str">
        <f t="shared" si="301"/>
        <v/>
      </c>
      <c r="BG657" s="27" t="str">
        <f t="shared" si="302"/>
        <v/>
      </c>
      <c r="BH657" s="27" t="str">
        <f t="shared" si="303"/>
        <v/>
      </c>
      <c r="BI657" s="27" t="str">
        <f t="shared" si="304"/>
        <v/>
      </c>
      <c r="BJ657" s="27" t="str">
        <f t="shared" si="305"/>
        <v/>
      </c>
      <c r="BK657" s="27" t="str">
        <f t="shared" si="306"/>
        <v/>
      </c>
      <c r="BL657" s="27" t="str">
        <f t="shared" si="307"/>
        <v/>
      </c>
      <c r="BM657" s="21" t="s">
        <v>5581</v>
      </c>
    </row>
    <row r="658" spans="1:65" ht="15">
      <c r="A658" s="25" t="str">
        <f>IFERROR(INDEX('Hun Demand'!W:W,MATCH(O658,'Hun Demand'!A:A,0)),"")</f>
        <v/>
      </c>
      <c r="B658" s="25" t="str">
        <f>IFERROR(INDEX('Hun Demand'!V:V,MATCH(O658,'Hun Demand'!A:A,0)),"")</f>
        <v/>
      </c>
      <c r="C658" s="25" t="str">
        <f>IFERROR(INDEX('Hun Demand'!U:U,MATCH(O658,'Hun Demand'!A:A,0)),"")</f>
        <v/>
      </c>
      <c r="D658" s="25" t="str">
        <f>IFERROR(INDEX('Hun Demand'!T:T,MATCH(O658,'Hun Demand'!A:A,0)),"")</f>
        <v/>
      </c>
      <c r="E658" s="25" t="str">
        <f>IFERROR(INDEX('Hun Demand'!S:S,MATCH(O658,'Hun Demand'!A:A,0)),"")</f>
        <v/>
      </c>
      <c r="F658" s="25" t="str">
        <f>IFERROR(INDEX('Hun Demand'!R:R,MATCH(O658,'Hun Demand'!A:A,0)),"")</f>
        <v/>
      </c>
      <c r="G658" s="25">
        <f>IFERROR(INDEX('Aub Demand'!W:W,MATCH(O658,'Aub Demand'!A:A,0)),"")</f>
        <v>0</v>
      </c>
      <c r="H658" s="25">
        <f>IFERROR(INDEX('Aub Demand'!V:V,MATCH(O658,'Aub Demand'!A:A,0)),"")</f>
        <v>0</v>
      </c>
      <c r="I658" s="25">
        <f>IFERROR(INDEX('Aub Demand'!U:U,MATCH(O658,'Aub Demand'!A:A,0)),"")</f>
        <v>0</v>
      </c>
      <c r="J658" s="25">
        <f>IFERROR(INDEX('Aub Demand'!T:T,MATCH(O658,'Aub Demand'!A:A,0)),"")</f>
        <v>4</v>
      </c>
      <c r="K658" s="25">
        <f>IFERROR(INDEX('Aub Demand'!S:S,MATCH(O658,'Aub Demand'!A:A,0)),"")</f>
        <v>284</v>
      </c>
      <c r="L658" s="25">
        <f>IFERROR(INDEX('Aub Demand'!R:R,MATCH(O658,'Aub Demand'!A:A,0)),"")</f>
        <v>0</v>
      </c>
      <c r="O658" s="27" t="s">
        <v>3364</v>
      </c>
      <c r="P658" s="27" t="str">
        <f>IFERROR(INDEX('Aub Demand'!B:B,MATCH($O658,'Aub Demand'!$A:$A,0)),"")</f>
        <v>PPI DRIFTWOOD</v>
      </c>
      <c r="Q658" s="27">
        <f>IFERROR(INDEX('Aub Demand'!C:C,MATCH($O658,'Aub Demand'!$A:$A,0)),"")</f>
        <v>0</v>
      </c>
      <c r="R658" s="52">
        <f>IFERROR(IF(AR659=AR658,INDEX('Aub Demand'!K:K,MATCH($O658,'Aub Demand'!$A:$A,0))-IF(AN658="",0,AN658)+AP659,INDEX('Aub Demand'!K:K,MATCH($O658,'Aub Demand'!$A:$A,0))-IF(AN658="",0,AN658)),"")</f>
        <v>0</v>
      </c>
      <c r="S658" s="53">
        <f t="shared" si="280"/>
        <v>0</v>
      </c>
      <c r="T658" s="52">
        <f t="shared" si="281"/>
        <v>108</v>
      </c>
      <c r="U658" s="52">
        <f>IFERROR(IF(AR659=AR658,INDEX('Aub Demand'!Q:Q,MATCH($O658,'Aub Demand'!$A:$A,0))-IF(AN658="",0,AN658)+AP659,INDEX('Aub Demand'!Q:Q,MATCH($O658,'Aub Demand'!$A:$A,0))-IF(AN658="",0,AN658)),"")</f>
        <v>0</v>
      </c>
      <c r="V658" s="53">
        <f t="shared" si="282"/>
        <v>0</v>
      </c>
      <c r="W658" s="52">
        <f t="shared" si="283"/>
        <v>108</v>
      </c>
      <c r="X658" s="52">
        <f>IFERROR(IF(AND(AR659=AR658,AM658&lt;&gt;""),INDEX('Aub Demand'!Q:Q,MATCH($O658,'Aub Demand'!$A:$A,0))-IF(AN658="",0,AN658)+AP659+AD658+AL658,IF(AR659=AR658,INDEX('Aub Demand'!Q:Q,MATCH($O658,'Aub Demand'!$A:$A,0))-IF(AN658="",0,AN658)+AP659+AD658,IF(AM658&lt;&gt;"",INDEX('Aub Demand'!Q:Q,MATCH($O658,'Aub Demand'!$A:$A,0))-IF(AN658="",0,AN658)+AD658+AL658,INDEX('Aub Demand'!Q:Q,MATCH($O658,'Aub Demand'!$A:$A,0))-IF(AN658="",0,AN658)+AD658))),"")</f>
        <v>0</v>
      </c>
      <c r="Y658" s="53">
        <f t="shared" si="284"/>
        <v>0</v>
      </c>
      <c r="Z658" s="52">
        <f>IF(L658="","",INDEX('Aub Demand'!H:H,MATCH($O658,'Aub Demand'!$A:$A,0)))</f>
        <v>96</v>
      </c>
      <c r="AA658" s="52">
        <f t="shared" si="285"/>
        <v>144</v>
      </c>
      <c r="AB658" s="52">
        <f>IFERROR(INDEX('Aub Demand'!L:L,MATCH($O658,'Aub Demand'!$A:$A,0)),"")</f>
        <v>0</v>
      </c>
      <c r="AC658" s="52">
        <f>IFERROR(IF(O658="","",SUMIFS('CPL Mats'!F:F,'CPL Mats'!Q:Q,AR658,'CPL Mats'!S:S,AS658)),"")</f>
        <v>0</v>
      </c>
      <c r="AF658" s="25" t="str">
        <f>IF(SUMIFS('Supp Consol'!S:S,'Supp Consol'!Y:Y,"Releasable",'Supp Consol'!A:A,O658)=0,"",SUMIFS('Supp Consol'!S:S,'Supp Consol'!Y:Y,"Releasable",'Supp Consol'!A:A,O658))</f>
        <v/>
      </c>
      <c r="AG658" s="25" t="str">
        <f>IFERROR(INDEX('Hun Demand'!Q:Q,MATCH(O658,'Hun Demand'!A:A,0)),"")</f>
        <v/>
      </c>
      <c r="AH658" s="25" t="str">
        <f>IFERROR(INDEX('Hun Demand'!H:H,MATCH($O658,'Hun Demand'!$A:$A,0)),"")</f>
        <v/>
      </c>
      <c r="AI658" s="25" t="str">
        <f>IF(SUMIFS('Supp Consol'!AA:AA,'Supp Consol'!Z:Z,"Expires this month",'Supp Consol'!A:A,O658)=0,"",SUMIFS('Supp Consol'!AA:AA,'Supp Consol'!Z:Z,"Expires this month",'Supp Consol'!A:A,O658))</f>
        <v/>
      </c>
      <c r="AJ658" s="25" t="str">
        <f>IF(SUMIFS('Supp Consol'!AA:AA,'Supp Consol'!Z:Z,"Expired Previous Months",'Supp Consol'!A:A,O658)=0,"",SUMIFS('Supp Consol'!AA:AA,'Supp Consol'!Z:Z,"Expired Previous Months",'Supp Consol'!A:A,O658))</f>
        <v/>
      </c>
      <c r="AK658" s="25" t="str">
        <f>IFERROR(INDEX('Hun Release Current'!B:B,MATCH(O658,'Hun Release Current'!A:A,0)),"")</f>
        <v/>
      </c>
      <c r="AL658" s="25" t="str">
        <f>IF(SUMIF('Prev Aub'!A:A,O658,'Prev Aub'!B:B)=0,"",SUMIF('Prev Aub'!A:A,O658,'Prev Aub'!B:B))</f>
        <v/>
      </c>
      <c r="AN658" s="25" t="s">
        <v>3790</v>
      </c>
      <c r="AO658" s="25" t="s">
        <v>3790</v>
      </c>
      <c r="AP658" s="25">
        <f t="shared" si="286"/>
        <v>0</v>
      </c>
      <c r="AQ658" s="151" t="str">
        <f>IF(SUMIFS('Supp Consol'!S:S,'Supp Consol'!A:A,O658,'Supp Consol'!I:I,"PENDING")=0,"",SUMIFS('Supp Consol'!S:S,'Supp Consol'!A:A,O658,'Supp Consol'!I:I,"PENDING"))</f>
        <v/>
      </c>
      <c r="AR658" s="27" t="str">
        <f t="shared" si="287"/>
        <v>KM022</v>
      </c>
      <c r="AS658" s="27" t="str">
        <f t="shared" si="288"/>
        <v>50</v>
      </c>
      <c r="AT658" s="27" t="str">
        <f t="shared" si="289"/>
        <v>KM022</v>
      </c>
      <c r="AU658" s="27" t="str">
        <f t="shared" si="290"/>
        <v>KM022</v>
      </c>
      <c r="AV658" s="27" t="str">
        <f t="shared" si="291"/>
        <v>KM022</v>
      </c>
      <c r="AW658" s="27" t="str">
        <f t="shared" si="292"/>
        <v/>
      </c>
      <c r="AX658" s="27" t="str">
        <f t="shared" si="293"/>
        <v/>
      </c>
      <c r="AY658" s="27" t="str">
        <f t="shared" si="294"/>
        <v/>
      </c>
      <c r="AZ658" s="27" t="str">
        <f t="shared" si="295"/>
        <v/>
      </c>
      <c r="BA658" s="27" t="str">
        <f t="shared" si="296"/>
        <v/>
      </c>
      <c r="BB658" s="27" t="str">
        <f t="shared" si="297"/>
        <v>Gross</v>
      </c>
      <c r="BC658" s="27" t="str">
        <f t="shared" si="298"/>
        <v>Net</v>
      </c>
      <c r="BD658" s="27" t="str">
        <f t="shared" si="299"/>
        <v>Net</v>
      </c>
      <c r="BE658" s="27" t="str">
        <f t="shared" si="300"/>
        <v/>
      </c>
      <c r="BF658" s="27" t="str">
        <f t="shared" si="301"/>
        <v/>
      </c>
      <c r="BG658" s="27" t="str">
        <f t="shared" si="302"/>
        <v/>
      </c>
      <c r="BH658" s="27" t="str">
        <f t="shared" si="303"/>
        <v/>
      </c>
      <c r="BI658" s="27" t="str">
        <f t="shared" si="304"/>
        <v/>
      </c>
      <c r="BJ658" s="27" t="str">
        <f t="shared" si="305"/>
        <v/>
      </c>
      <c r="BK658" s="27" t="str">
        <f t="shared" si="306"/>
        <v/>
      </c>
      <c r="BL658" s="27" t="str">
        <f t="shared" si="307"/>
        <v/>
      </c>
      <c r="BM658" s="21" t="s">
        <v>5581</v>
      </c>
    </row>
    <row r="659" spans="1:65" ht="15">
      <c r="A659" s="25" t="str">
        <f>IFERROR(INDEX('Hun Demand'!W:W,MATCH(O659,'Hun Demand'!A:A,0)),"")</f>
        <v/>
      </c>
      <c r="B659" s="25" t="str">
        <f>IFERROR(INDEX('Hun Demand'!V:V,MATCH(O659,'Hun Demand'!A:A,0)),"")</f>
        <v/>
      </c>
      <c r="C659" s="25" t="str">
        <f>IFERROR(INDEX('Hun Demand'!U:U,MATCH(O659,'Hun Demand'!A:A,0)),"")</f>
        <v/>
      </c>
      <c r="D659" s="25" t="str">
        <f>IFERROR(INDEX('Hun Demand'!T:T,MATCH(O659,'Hun Demand'!A:A,0)),"")</f>
        <v/>
      </c>
      <c r="E659" s="25" t="str">
        <f>IFERROR(INDEX('Hun Demand'!S:S,MATCH(O659,'Hun Demand'!A:A,0)),"")</f>
        <v/>
      </c>
      <c r="F659" s="25" t="str">
        <f>IFERROR(INDEX('Hun Demand'!R:R,MATCH(O659,'Hun Demand'!A:A,0)),"")</f>
        <v/>
      </c>
      <c r="G659" s="25">
        <f>IFERROR(INDEX('Aub Demand'!W:W,MATCH(O659,'Aub Demand'!A:A,0)),"")</f>
        <v>0</v>
      </c>
      <c r="H659" s="25">
        <f>IFERROR(INDEX('Aub Demand'!V:V,MATCH(O659,'Aub Demand'!A:A,0)),"")</f>
        <v>0</v>
      </c>
      <c r="I659" s="25">
        <f>IFERROR(INDEX('Aub Demand'!U:U,MATCH(O659,'Aub Demand'!A:A,0)),"")</f>
        <v>0</v>
      </c>
      <c r="J659" s="25">
        <f>IFERROR(INDEX('Aub Demand'!T:T,MATCH(O659,'Aub Demand'!A:A,0)),"")</f>
        <v>7</v>
      </c>
      <c r="K659" s="25">
        <f>IFERROR(INDEX('Aub Demand'!S:S,MATCH(O659,'Aub Demand'!A:A,0)),"")</f>
        <v>286</v>
      </c>
      <c r="L659" s="25">
        <f>IFERROR(INDEX('Aub Demand'!R:R,MATCH(O659,'Aub Demand'!A:A,0)),"")</f>
        <v>0</v>
      </c>
      <c r="O659" s="27" t="s">
        <v>3366</v>
      </c>
      <c r="P659" s="27" t="str">
        <f>IFERROR(INDEX('Aub Demand'!B:B,MATCH($O659,'Aub Demand'!$A:$A,0)),"")</f>
        <v>OVERLOOK</v>
      </c>
      <c r="Q659" s="27">
        <f>IFERROR(INDEX('Aub Demand'!C:C,MATCH($O659,'Aub Demand'!$A:$A,0)),"")</f>
        <v>0</v>
      </c>
      <c r="R659" s="52">
        <f>IFERROR(IF(AR660=AR659,INDEX('Aub Demand'!K:K,MATCH($O659,'Aub Demand'!$A:$A,0))-IF(AN659="",0,AN659)+AP660,INDEX('Aub Demand'!K:K,MATCH($O659,'Aub Demand'!$A:$A,0))-IF(AN659="",0,AN659)),"")</f>
        <v>0</v>
      </c>
      <c r="S659" s="53">
        <f t="shared" si="280"/>
        <v>0</v>
      </c>
      <c r="T659" s="52">
        <f t="shared" si="281"/>
        <v>109.875</v>
      </c>
      <c r="U659" s="52">
        <f>IFERROR(IF(AR660=AR659,INDEX('Aub Demand'!Q:Q,MATCH($O659,'Aub Demand'!$A:$A,0))-IF(AN659="",0,AN659)+AP660,INDEX('Aub Demand'!Q:Q,MATCH($O659,'Aub Demand'!$A:$A,0))-IF(AN659="",0,AN659)),"")</f>
        <v>0</v>
      </c>
      <c r="V659" s="53">
        <f t="shared" si="282"/>
        <v>0</v>
      </c>
      <c r="W659" s="52">
        <f t="shared" si="283"/>
        <v>109.875</v>
      </c>
      <c r="X659" s="52">
        <f>IFERROR(IF(AND(AR660=AR659,AM659&lt;&gt;""),INDEX('Aub Demand'!Q:Q,MATCH($O659,'Aub Demand'!$A:$A,0))-IF(AN659="",0,AN659)+AP660+AD659+AL659,IF(AR660=AR659,INDEX('Aub Demand'!Q:Q,MATCH($O659,'Aub Demand'!$A:$A,0))-IF(AN659="",0,AN659)+AP660+AD659,IF(AM659&lt;&gt;"",INDEX('Aub Demand'!Q:Q,MATCH($O659,'Aub Demand'!$A:$A,0))-IF(AN659="",0,AN659)+AD659+AL659,INDEX('Aub Demand'!Q:Q,MATCH($O659,'Aub Demand'!$A:$A,0))-IF(AN659="",0,AN659)+AD659))),"")</f>
        <v>0</v>
      </c>
      <c r="Y659" s="53">
        <f t="shared" si="284"/>
        <v>0</v>
      </c>
      <c r="Z659" s="52">
        <f>IF(L659="","",INDEX('Aub Demand'!H:H,MATCH($O659,'Aub Demand'!$A:$A,0)))</f>
        <v>98</v>
      </c>
      <c r="AA659" s="52">
        <f t="shared" si="285"/>
        <v>146.5</v>
      </c>
      <c r="AB659" s="52">
        <f>IFERROR(INDEX('Aub Demand'!L:L,MATCH($O659,'Aub Demand'!$A:$A,0)),"")</f>
        <v>0</v>
      </c>
      <c r="AC659" s="52">
        <f>IFERROR(IF(O659="","",SUMIFS('CPL Mats'!F:F,'CPL Mats'!Q:Q,AR659,'CPL Mats'!S:S,AS659)),"")</f>
        <v>0</v>
      </c>
      <c r="AF659" s="25" t="str">
        <f>IF(SUMIFS('Supp Consol'!S:S,'Supp Consol'!Y:Y,"Releasable",'Supp Consol'!A:A,O659)=0,"",SUMIFS('Supp Consol'!S:S,'Supp Consol'!Y:Y,"Releasable",'Supp Consol'!A:A,O659))</f>
        <v/>
      </c>
      <c r="AG659" s="25" t="str">
        <f>IFERROR(INDEX('Hun Demand'!Q:Q,MATCH(O659,'Hun Demand'!A:A,0)),"")</f>
        <v/>
      </c>
      <c r="AH659" s="25" t="str">
        <f>IFERROR(INDEX('Hun Demand'!H:H,MATCH($O659,'Hun Demand'!$A:$A,0)),"")</f>
        <v/>
      </c>
      <c r="AI659" s="25" t="str">
        <f>IF(SUMIFS('Supp Consol'!AA:AA,'Supp Consol'!Z:Z,"Expires this month",'Supp Consol'!A:A,O659)=0,"",SUMIFS('Supp Consol'!AA:AA,'Supp Consol'!Z:Z,"Expires this month",'Supp Consol'!A:A,O659))</f>
        <v/>
      </c>
      <c r="AJ659" s="25" t="str">
        <f>IF(SUMIFS('Supp Consol'!AA:AA,'Supp Consol'!Z:Z,"Expired Previous Months",'Supp Consol'!A:A,O659)=0,"",SUMIFS('Supp Consol'!AA:AA,'Supp Consol'!Z:Z,"Expired Previous Months",'Supp Consol'!A:A,O659))</f>
        <v/>
      </c>
      <c r="AK659" s="25" t="str">
        <f>IFERROR(INDEX('Hun Release Current'!B:B,MATCH(O659,'Hun Release Current'!A:A,0)),"")</f>
        <v/>
      </c>
      <c r="AL659" s="25" t="str">
        <f>IF(SUMIF('Prev Aub'!A:A,O659,'Prev Aub'!B:B)=0,"",SUMIF('Prev Aub'!A:A,O659,'Prev Aub'!B:B))</f>
        <v/>
      </c>
      <c r="AN659" s="25" t="s">
        <v>3790</v>
      </c>
      <c r="AO659" s="25" t="s">
        <v>3790</v>
      </c>
      <c r="AP659" s="25">
        <f t="shared" si="286"/>
        <v>0</v>
      </c>
      <c r="AQ659" s="151" t="str">
        <f>IF(SUMIFS('Supp Consol'!S:S,'Supp Consol'!A:A,O659,'Supp Consol'!I:I,"PENDING")=0,"",SUMIFS('Supp Consol'!S:S,'Supp Consol'!A:A,O659,'Supp Consol'!I:I,"PENDING"))</f>
        <v/>
      </c>
      <c r="AR659" s="27" t="str">
        <f t="shared" si="287"/>
        <v>KM023</v>
      </c>
      <c r="AS659" s="27" t="str">
        <f t="shared" si="288"/>
        <v>50</v>
      </c>
      <c r="AT659" s="27" t="str">
        <f t="shared" si="289"/>
        <v>KM023</v>
      </c>
      <c r="AU659" s="27" t="str">
        <f t="shared" si="290"/>
        <v>KM023</v>
      </c>
      <c r="AV659" s="27" t="str">
        <f t="shared" si="291"/>
        <v>KM023</v>
      </c>
      <c r="AW659" s="27" t="str">
        <f t="shared" si="292"/>
        <v/>
      </c>
      <c r="AX659" s="27" t="str">
        <f t="shared" si="293"/>
        <v/>
      </c>
      <c r="AY659" s="27" t="str">
        <f t="shared" si="294"/>
        <v/>
      </c>
      <c r="AZ659" s="27" t="str">
        <f t="shared" si="295"/>
        <v/>
      </c>
      <c r="BA659" s="27" t="str">
        <f t="shared" si="296"/>
        <v/>
      </c>
      <c r="BB659" s="27" t="str">
        <f t="shared" si="297"/>
        <v>Gross</v>
      </c>
      <c r="BC659" s="27" t="str">
        <f t="shared" si="298"/>
        <v>Net</v>
      </c>
      <c r="BD659" s="27" t="str">
        <f t="shared" si="299"/>
        <v>Net</v>
      </c>
      <c r="BE659" s="27" t="str">
        <f t="shared" si="300"/>
        <v/>
      </c>
      <c r="BF659" s="27" t="str">
        <f t="shared" si="301"/>
        <v/>
      </c>
      <c r="BG659" s="27" t="str">
        <f t="shared" si="302"/>
        <v/>
      </c>
      <c r="BH659" s="27" t="str">
        <f t="shared" si="303"/>
        <v/>
      </c>
      <c r="BI659" s="27" t="str">
        <f t="shared" si="304"/>
        <v/>
      </c>
      <c r="BJ659" s="27" t="str">
        <f t="shared" si="305"/>
        <v/>
      </c>
      <c r="BK659" s="27" t="str">
        <f t="shared" si="306"/>
        <v/>
      </c>
      <c r="BL659" s="27" t="str">
        <f t="shared" si="307"/>
        <v/>
      </c>
      <c r="BM659" s="21" t="s">
        <v>5581</v>
      </c>
    </row>
    <row r="660" spans="1:65" ht="15">
      <c r="A660" s="25" t="str">
        <f>IFERROR(INDEX('Hun Demand'!W:W,MATCH(O660,'Hun Demand'!A:A,0)),"")</f>
        <v/>
      </c>
      <c r="B660" s="25" t="str">
        <f>IFERROR(INDEX('Hun Demand'!V:V,MATCH(O660,'Hun Demand'!A:A,0)),"")</f>
        <v/>
      </c>
      <c r="C660" s="25" t="str">
        <f>IFERROR(INDEX('Hun Demand'!U:U,MATCH(O660,'Hun Demand'!A:A,0)),"")</f>
        <v/>
      </c>
      <c r="D660" s="25" t="str">
        <f>IFERROR(INDEX('Hun Demand'!T:T,MATCH(O660,'Hun Demand'!A:A,0)),"")</f>
        <v/>
      </c>
      <c r="E660" s="25" t="str">
        <f>IFERROR(INDEX('Hun Demand'!S:S,MATCH(O660,'Hun Demand'!A:A,0)),"")</f>
        <v/>
      </c>
      <c r="F660" s="25" t="str">
        <f>IFERROR(INDEX('Hun Demand'!R:R,MATCH(O660,'Hun Demand'!A:A,0)),"")</f>
        <v/>
      </c>
      <c r="G660" s="25">
        <f>IFERROR(INDEX('Aub Demand'!W:W,MATCH(O660,'Aub Demand'!A:A,0)),"")</f>
        <v>0</v>
      </c>
      <c r="H660" s="25">
        <f>IFERROR(INDEX('Aub Demand'!V:V,MATCH(O660,'Aub Demand'!A:A,0)),"")</f>
        <v>0</v>
      </c>
      <c r="I660" s="25">
        <f>IFERROR(INDEX('Aub Demand'!U:U,MATCH(O660,'Aub Demand'!A:A,0)),"")</f>
        <v>0</v>
      </c>
      <c r="J660" s="25">
        <f>IFERROR(INDEX('Aub Demand'!T:T,MATCH(O660,'Aub Demand'!A:A,0)),"")</f>
        <v>5</v>
      </c>
      <c r="K660" s="25">
        <f>IFERROR(INDEX('Aub Demand'!S:S,MATCH(O660,'Aub Demand'!A:A,0)),"")</f>
        <v>318</v>
      </c>
      <c r="L660" s="25">
        <f>IFERROR(INDEX('Aub Demand'!R:R,MATCH(O660,'Aub Demand'!A:A,0)),"")</f>
        <v>0</v>
      </c>
      <c r="O660" s="27" t="s">
        <v>3368</v>
      </c>
      <c r="P660" s="27" t="str">
        <f>IFERROR(INDEX('Aub Demand'!B:B,MATCH($O660,'Aub Demand'!$A:$A,0)),"")</f>
        <v>PHANTOM SHIP</v>
      </c>
      <c r="Q660" s="27">
        <f>IFERROR(INDEX('Aub Demand'!C:C,MATCH($O660,'Aub Demand'!$A:$A,0)),"")</f>
        <v>0</v>
      </c>
      <c r="R660" s="52">
        <f>IFERROR(IF(AR661=AR660,INDEX('Aub Demand'!K:K,MATCH($O660,'Aub Demand'!$A:$A,0))-IF(AN660="",0,AN660)+AP661,INDEX('Aub Demand'!K:K,MATCH($O660,'Aub Demand'!$A:$A,0))-IF(AN660="",0,AN660)),"")</f>
        <v>0</v>
      </c>
      <c r="S660" s="53">
        <f t="shared" si="280"/>
        <v>0</v>
      </c>
      <c r="T660" s="52">
        <f t="shared" si="281"/>
        <v>121.125</v>
      </c>
      <c r="U660" s="52">
        <f>IFERROR(IF(AR661=AR660,INDEX('Aub Demand'!Q:Q,MATCH($O660,'Aub Demand'!$A:$A,0))-IF(AN660="",0,AN660)+AP661,INDEX('Aub Demand'!Q:Q,MATCH($O660,'Aub Demand'!$A:$A,0))-IF(AN660="",0,AN660)),"")</f>
        <v>0</v>
      </c>
      <c r="V660" s="53">
        <f t="shared" si="282"/>
        <v>0</v>
      </c>
      <c r="W660" s="52">
        <f t="shared" si="283"/>
        <v>121.125</v>
      </c>
      <c r="X660" s="52">
        <f>IFERROR(IF(AND(AR661=AR660,AM660&lt;&gt;""),INDEX('Aub Demand'!Q:Q,MATCH($O660,'Aub Demand'!$A:$A,0))-IF(AN660="",0,AN660)+AP661+AD660+AL660,IF(AR661=AR660,INDEX('Aub Demand'!Q:Q,MATCH($O660,'Aub Demand'!$A:$A,0))-IF(AN660="",0,AN660)+AP661+AD660,IF(AM660&lt;&gt;"",INDEX('Aub Demand'!Q:Q,MATCH($O660,'Aub Demand'!$A:$A,0))-IF(AN660="",0,AN660)+AD660+AL660,INDEX('Aub Demand'!Q:Q,MATCH($O660,'Aub Demand'!$A:$A,0))-IF(AN660="",0,AN660)+AD660))),"")</f>
        <v>0</v>
      </c>
      <c r="Y660" s="53">
        <f t="shared" si="284"/>
        <v>0</v>
      </c>
      <c r="Z660" s="52">
        <f>IF(L660="","",INDEX('Aub Demand'!H:H,MATCH($O660,'Aub Demand'!$A:$A,0)))</f>
        <v>108</v>
      </c>
      <c r="AA660" s="52">
        <f t="shared" si="285"/>
        <v>161.5</v>
      </c>
      <c r="AB660" s="52">
        <f>IFERROR(INDEX('Aub Demand'!L:L,MATCH($O660,'Aub Demand'!$A:$A,0)),"")</f>
        <v>0</v>
      </c>
      <c r="AC660" s="52">
        <f>IFERROR(IF(O660="","",SUMIFS('CPL Mats'!F:F,'CPL Mats'!Q:Q,AR660,'CPL Mats'!S:S,AS660)),"")</f>
        <v>0</v>
      </c>
      <c r="AF660" s="25" t="str">
        <f>IF(SUMIFS('Supp Consol'!S:S,'Supp Consol'!Y:Y,"Releasable",'Supp Consol'!A:A,O660)=0,"",SUMIFS('Supp Consol'!S:S,'Supp Consol'!Y:Y,"Releasable",'Supp Consol'!A:A,O660))</f>
        <v/>
      </c>
      <c r="AG660" s="25" t="str">
        <f>IFERROR(INDEX('Hun Demand'!Q:Q,MATCH(O660,'Hun Demand'!A:A,0)),"")</f>
        <v/>
      </c>
      <c r="AH660" s="25" t="str">
        <f>IFERROR(INDEX('Hun Demand'!H:H,MATCH($O660,'Hun Demand'!$A:$A,0)),"")</f>
        <v/>
      </c>
      <c r="AI660" s="25" t="str">
        <f>IF(SUMIFS('Supp Consol'!AA:AA,'Supp Consol'!Z:Z,"Expires this month",'Supp Consol'!A:A,O660)=0,"",SUMIFS('Supp Consol'!AA:AA,'Supp Consol'!Z:Z,"Expires this month",'Supp Consol'!A:A,O660))</f>
        <v/>
      </c>
      <c r="AJ660" s="25" t="str">
        <f>IF(SUMIFS('Supp Consol'!AA:AA,'Supp Consol'!Z:Z,"Expired Previous Months",'Supp Consol'!A:A,O660)=0,"",SUMIFS('Supp Consol'!AA:AA,'Supp Consol'!Z:Z,"Expired Previous Months",'Supp Consol'!A:A,O660))</f>
        <v/>
      </c>
      <c r="AK660" s="25" t="str">
        <f>IFERROR(INDEX('Hun Release Current'!B:B,MATCH(O660,'Hun Release Current'!A:A,0)),"")</f>
        <v/>
      </c>
      <c r="AL660" s="25" t="str">
        <f>IF(SUMIF('Prev Aub'!A:A,O660,'Prev Aub'!B:B)=0,"",SUMIF('Prev Aub'!A:A,O660,'Prev Aub'!B:B))</f>
        <v/>
      </c>
      <c r="AN660" s="25" t="s">
        <v>3790</v>
      </c>
      <c r="AO660" s="25" t="s">
        <v>3790</v>
      </c>
      <c r="AP660" s="25">
        <f t="shared" si="286"/>
        <v>0</v>
      </c>
      <c r="AQ660" s="151" t="str">
        <f>IF(SUMIFS('Supp Consol'!S:S,'Supp Consol'!A:A,O660,'Supp Consol'!I:I,"PENDING")=0,"",SUMIFS('Supp Consol'!S:S,'Supp Consol'!A:A,O660,'Supp Consol'!I:I,"PENDING"))</f>
        <v/>
      </c>
      <c r="AR660" s="27" t="str">
        <f t="shared" si="287"/>
        <v>KM024</v>
      </c>
      <c r="AS660" s="27" t="str">
        <f t="shared" si="288"/>
        <v>50</v>
      </c>
      <c r="AT660" s="27" t="str">
        <f t="shared" si="289"/>
        <v>KM024</v>
      </c>
      <c r="AU660" s="27" t="str">
        <f t="shared" si="290"/>
        <v>KM024</v>
      </c>
      <c r="AV660" s="27" t="str">
        <f t="shared" si="291"/>
        <v>KM024</v>
      </c>
      <c r="AW660" s="27" t="str">
        <f t="shared" si="292"/>
        <v/>
      </c>
      <c r="AX660" s="27" t="str">
        <f t="shared" si="293"/>
        <v/>
      </c>
      <c r="AY660" s="27" t="str">
        <f t="shared" si="294"/>
        <v/>
      </c>
      <c r="AZ660" s="27" t="str">
        <f t="shared" si="295"/>
        <v/>
      </c>
      <c r="BA660" s="27" t="str">
        <f t="shared" si="296"/>
        <v/>
      </c>
      <c r="BB660" s="27" t="str">
        <f t="shared" si="297"/>
        <v>Gross</v>
      </c>
      <c r="BC660" s="27" t="str">
        <f t="shared" si="298"/>
        <v>Net</v>
      </c>
      <c r="BD660" s="27" t="str">
        <f t="shared" si="299"/>
        <v>Net</v>
      </c>
      <c r="BE660" s="27" t="str">
        <f t="shared" si="300"/>
        <v/>
      </c>
      <c r="BF660" s="27" t="str">
        <f t="shared" si="301"/>
        <v/>
      </c>
      <c r="BG660" s="27" t="str">
        <f t="shared" si="302"/>
        <v/>
      </c>
      <c r="BH660" s="27" t="str">
        <f t="shared" si="303"/>
        <v/>
      </c>
      <c r="BI660" s="27" t="str">
        <f t="shared" si="304"/>
        <v/>
      </c>
      <c r="BJ660" s="27" t="str">
        <f t="shared" si="305"/>
        <v/>
      </c>
      <c r="BK660" s="27" t="str">
        <f t="shared" si="306"/>
        <v/>
      </c>
      <c r="BL660" s="27" t="str">
        <f t="shared" si="307"/>
        <v/>
      </c>
      <c r="BM660" s="21" t="s">
        <v>5581</v>
      </c>
    </row>
    <row r="661" spans="1:65" ht="15">
      <c r="A661" s="25" t="str">
        <f>IFERROR(INDEX('Hun Demand'!W:W,MATCH(O661,'Hun Demand'!A:A,0)),"")</f>
        <v/>
      </c>
      <c r="B661" s="25" t="str">
        <f>IFERROR(INDEX('Hun Demand'!V:V,MATCH(O661,'Hun Demand'!A:A,0)),"")</f>
        <v/>
      </c>
      <c r="C661" s="25" t="str">
        <f>IFERROR(INDEX('Hun Demand'!U:U,MATCH(O661,'Hun Demand'!A:A,0)),"")</f>
        <v/>
      </c>
      <c r="D661" s="25" t="str">
        <f>IFERROR(INDEX('Hun Demand'!T:T,MATCH(O661,'Hun Demand'!A:A,0)),"")</f>
        <v/>
      </c>
      <c r="E661" s="25" t="str">
        <f>IFERROR(INDEX('Hun Demand'!S:S,MATCH(O661,'Hun Demand'!A:A,0)),"")</f>
        <v/>
      </c>
      <c r="F661" s="25" t="str">
        <f>IFERROR(INDEX('Hun Demand'!R:R,MATCH(O661,'Hun Demand'!A:A,0)),"")</f>
        <v/>
      </c>
      <c r="G661" s="25">
        <f>IFERROR(INDEX('Aub Demand'!W:W,MATCH(O661,'Aub Demand'!A:A,0)),"")</f>
        <v>0</v>
      </c>
      <c r="H661" s="25">
        <f>IFERROR(INDEX('Aub Demand'!V:V,MATCH(O661,'Aub Demand'!A:A,0)),"")</f>
        <v>0</v>
      </c>
      <c r="I661" s="25">
        <f>IFERROR(INDEX('Aub Demand'!U:U,MATCH(O661,'Aub Demand'!A:A,0)),"")</f>
        <v>0</v>
      </c>
      <c r="J661" s="25">
        <f>IFERROR(INDEX('Aub Demand'!T:T,MATCH(O661,'Aub Demand'!A:A,0)),"")</f>
        <v>8</v>
      </c>
      <c r="K661" s="25">
        <f>IFERROR(INDEX('Aub Demand'!S:S,MATCH(O661,'Aub Demand'!A:A,0)),"")</f>
        <v>290</v>
      </c>
      <c r="L661" s="25">
        <f>IFERROR(INDEX('Aub Demand'!R:R,MATCH(O661,'Aub Demand'!A:A,0)),"")</f>
        <v>0</v>
      </c>
      <c r="O661" s="27" t="s">
        <v>3370</v>
      </c>
      <c r="P661" s="27" t="str">
        <f>IFERROR(INDEX('Aub Demand'!B:B,MATCH($O661,'Aub Demand'!$A:$A,0)),"")</f>
        <v>MERRIAM</v>
      </c>
      <c r="Q661" s="27">
        <f>IFERROR(INDEX('Aub Demand'!C:C,MATCH($O661,'Aub Demand'!$A:$A,0)),"")</f>
        <v>0</v>
      </c>
      <c r="R661" s="52">
        <f>IFERROR(IF(AR662=AR661,INDEX('Aub Demand'!K:K,MATCH($O661,'Aub Demand'!$A:$A,0))-IF(AN661="",0,AN661)+AP662,INDEX('Aub Demand'!K:K,MATCH($O661,'Aub Demand'!$A:$A,0))-IF(AN661="",0,AN661)),"")</f>
        <v>0</v>
      </c>
      <c r="S661" s="53">
        <f t="shared" si="280"/>
        <v>0</v>
      </c>
      <c r="T661" s="52">
        <f t="shared" si="281"/>
        <v>111.75</v>
      </c>
      <c r="U661" s="52">
        <f>IFERROR(IF(AR662=AR661,INDEX('Aub Demand'!Q:Q,MATCH($O661,'Aub Demand'!$A:$A,0))-IF(AN661="",0,AN661)+AP662,INDEX('Aub Demand'!Q:Q,MATCH($O661,'Aub Demand'!$A:$A,0))-IF(AN661="",0,AN661)),"")</f>
        <v>0</v>
      </c>
      <c r="V661" s="53">
        <f t="shared" si="282"/>
        <v>0</v>
      </c>
      <c r="W661" s="52">
        <f t="shared" si="283"/>
        <v>111.75</v>
      </c>
      <c r="X661" s="52">
        <f>IFERROR(IF(AND(AR662=AR661,AM661&lt;&gt;""),INDEX('Aub Demand'!Q:Q,MATCH($O661,'Aub Demand'!$A:$A,0))-IF(AN661="",0,AN661)+AP662+AD661+AL661,IF(AR662=AR661,INDEX('Aub Demand'!Q:Q,MATCH($O661,'Aub Demand'!$A:$A,0))-IF(AN661="",0,AN661)+AP662+AD661,IF(AM661&lt;&gt;"",INDEX('Aub Demand'!Q:Q,MATCH($O661,'Aub Demand'!$A:$A,0))-IF(AN661="",0,AN661)+AD661+AL661,INDEX('Aub Demand'!Q:Q,MATCH($O661,'Aub Demand'!$A:$A,0))-IF(AN661="",0,AN661)+AD661))),"")</f>
        <v>0</v>
      </c>
      <c r="Y661" s="53">
        <f t="shared" si="284"/>
        <v>0</v>
      </c>
      <c r="Z661" s="52">
        <f>IF(L661="","",INDEX('Aub Demand'!H:H,MATCH($O661,'Aub Demand'!$A:$A,0)))</f>
        <v>99</v>
      </c>
      <c r="AA661" s="52">
        <f t="shared" si="285"/>
        <v>149</v>
      </c>
      <c r="AB661" s="52">
        <f>IFERROR(INDEX('Aub Demand'!L:L,MATCH($O661,'Aub Demand'!$A:$A,0)),"")</f>
        <v>0</v>
      </c>
      <c r="AC661" s="52">
        <f>IFERROR(IF(O661="","",SUMIFS('CPL Mats'!F:F,'CPL Mats'!Q:Q,AR661,'CPL Mats'!S:S,AS661)),"")</f>
        <v>0</v>
      </c>
      <c r="AF661" s="25" t="str">
        <f>IF(SUMIFS('Supp Consol'!S:S,'Supp Consol'!Y:Y,"Releasable",'Supp Consol'!A:A,O661)=0,"",SUMIFS('Supp Consol'!S:S,'Supp Consol'!Y:Y,"Releasable",'Supp Consol'!A:A,O661))</f>
        <v/>
      </c>
      <c r="AG661" s="25" t="str">
        <f>IFERROR(INDEX('Hun Demand'!Q:Q,MATCH(O661,'Hun Demand'!A:A,0)),"")</f>
        <v/>
      </c>
      <c r="AH661" s="25" t="str">
        <f>IFERROR(INDEX('Hun Demand'!H:H,MATCH($O661,'Hun Demand'!$A:$A,0)),"")</f>
        <v/>
      </c>
      <c r="AI661" s="25" t="str">
        <f>IF(SUMIFS('Supp Consol'!AA:AA,'Supp Consol'!Z:Z,"Expires this month",'Supp Consol'!A:A,O661)=0,"",SUMIFS('Supp Consol'!AA:AA,'Supp Consol'!Z:Z,"Expires this month",'Supp Consol'!A:A,O661))</f>
        <v/>
      </c>
      <c r="AJ661" s="25" t="str">
        <f>IF(SUMIFS('Supp Consol'!AA:AA,'Supp Consol'!Z:Z,"Expired Previous Months",'Supp Consol'!A:A,O661)=0,"",SUMIFS('Supp Consol'!AA:AA,'Supp Consol'!Z:Z,"Expired Previous Months",'Supp Consol'!A:A,O661))</f>
        <v/>
      </c>
      <c r="AK661" s="25" t="str">
        <f>IFERROR(INDEX('Hun Release Current'!B:B,MATCH(O661,'Hun Release Current'!A:A,0)),"")</f>
        <v/>
      </c>
      <c r="AL661" s="25" t="str">
        <f>IF(SUMIF('Prev Aub'!A:A,O661,'Prev Aub'!B:B)=0,"",SUMIF('Prev Aub'!A:A,O661,'Prev Aub'!B:B))</f>
        <v/>
      </c>
      <c r="AN661" s="25" t="s">
        <v>3790</v>
      </c>
      <c r="AO661" s="25" t="s">
        <v>3790</v>
      </c>
      <c r="AP661" s="25">
        <f t="shared" si="286"/>
        <v>0</v>
      </c>
      <c r="AQ661" s="151" t="str">
        <f>IF(SUMIFS('Supp Consol'!S:S,'Supp Consol'!A:A,O661,'Supp Consol'!I:I,"PENDING")=0,"",SUMIFS('Supp Consol'!S:S,'Supp Consol'!A:A,O661,'Supp Consol'!I:I,"PENDING"))</f>
        <v/>
      </c>
      <c r="AR661" s="27" t="str">
        <f t="shared" si="287"/>
        <v>KM025</v>
      </c>
      <c r="AS661" s="27" t="str">
        <f t="shared" si="288"/>
        <v>50</v>
      </c>
      <c r="AT661" s="27" t="str">
        <f t="shared" si="289"/>
        <v>KM025</v>
      </c>
      <c r="AU661" s="27" t="str">
        <f t="shared" si="290"/>
        <v>KM025</v>
      </c>
      <c r="AV661" s="27" t="str">
        <f t="shared" si="291"/>
        <v>KM025</v>
      </c>
      <c r="AW661" s="27" t="str">
        <f t="shared" si="292"/>
        <v/>
      </c>
      <c r="AX661" s="27" t="str">
        <f t="shared" si="293"/>
        <v/>
      </c>
      <c r="AY661" s="27" t="str">
        <f t="shared" si="294"/>
        <v/>
      </c>
      <c r="AZ661" s="27" t="str">
        <f t="shared" si="295"/>
        <v/>
      </c>
      <c r="BA661" s="27" t="str">
        <f t="shared" si="296"/>
        <v/>
      </c>
      <c r="BB661" s="27" t="str">
        <f t="shared" si="297"/>
        <v>Gross</v>
      </c>
      <c r="BC661" s="27" t="str">
        <f t="shared" si="298"/>
        <v>Net</v>
      </c>
      <c r="BD661" s="27" t="str">
        <f t="shared" si="299"/>
        <v>Net</v>
      </c>
      <c r="BE661" s="27" t="str">
        <f t="shared" si="300"/>
        <v/>
      </c>
      <c r="BF661" s="27" t="str">
        <f t="shared" si="301"/>
        <v/>
      </c>
      <c r="BG661" s="27" t="str">
        <f t="shared" si="302"/>
        <v/>
      </c>
      <c r="BH661" s="27" t="str">
        <f t="shared" si="303"/>
        <v/>
      </c>
      <c r="BI661" s="27" t="str">
        <f t="shared" si="304"/>
        <v/>
      </c>
      <c r="BJ661" s="27" t="str">
        <f t="shared" si="305"/>
        <v/>
      </c>
      <c r="BK661" s="27" t="str">
        <f t="shared" si="306"/>
        <v/>
      </c>
      <c r="BL661" s="27" t="str">
        <f t="shared" si="307"/>
        <v/>
      </c>
      <c r="BM661" s="21" t="s">
        <v>5581</v>
      </c>
    </row>
    <row r="662" spans="1:65" ht="15">
      <c r="A662" s="25" t="str">
        <f>IFERROR(INDEX('Hun Demand'!W:W,MATCH(O662,'Hun Demand'!A:A,0)),"")</f>
        <v/>
      </c>
      <c r="B662" s="25" t="str">
        <f>IFERROR(INDEX('Hun Demand'!V:V,MATCH(O662,'Hun Demand'!A:A,0)),"")</f>
        <v/>
      </c>
      <c r="C662" s="25" t="str">
        <f>IFERROR(INDEX('Hun Demand'!U:U,MATCH(O662,'Hun Demand'!A:A,0)),"")</f>
        <v/>
      </c>
      <c r="D662" s="25" t="str">
        <f>IFERROR(INDEX('Hun Demand'!T:T,MATCH(O662,'Hun Demand'!A:A,0)),"")</f>
        <v/>
      </c>
      <c r="E662" s="25" t="str">
        <f>IFERROR(INDEX('Hun Demand'!S:S,MATCH(O662,'Hun Demand'!A:A,0)),"")</f>
        <v/>
      </c>
      <c r="F662" s="25" t="str">
        <f>IFERROR(INDEX('Hun Demand'!R:R,MATCH(O662,'Hun Demand'!A:A,0)),"")</f>
        <v/>
      </c>
      <c r="G662" s="25">
        <f>IFERROR(INDEX('Aub Demand'!W:W,MATCH(O662,'Aub Demand'!A:A,0)),"")</f>
        <v>4</v>
      </c>
      <c r="H662" s="25">
        <f>IFERROR(INDEX('Aub Demand'!V:V,MATCH(O662,'Aub Demand'!A:A,0)),"")</f>
        <v>0</v>
      </c>
      <c r="I662" s="25">
        <f>IFERROR(INDEX('Aub Demand'!U:U,MATCH(O662,'Aub Demand'!A:A,0)),"")</f>
        <v>0</v>
      </c>
      <c r="J662" s="25">
        <f>IFERROR(INDEX('Aub Demand'!T:T,MATCH(O662,'Aub Demand'!A:A,0)),"")</f>
        <v>7</v>
      </c>
      <c r="K662" s="25">
        <f>IFERROR(INDEX('Aub Demand'!S:S,MATCH(O662,'Aub Demand'!A:A,0)),"")</f>
        <v>280</v>
      </c>
      <c r="L662" s="25">
        <f>IFERROR(INDEX('Aub Demand'!R:R,MATCH(O662,'Aub Demand'!A:A,0)),"")</f>
        <v>0</v>
      </c>
      <c r="O662" s="27" t="s">
        <v>3372</v>
      </c>
      <c r="P662" s="27" t="str">
        <f>IFERROR(INDEX('Aub Demand'!B:B,MATCH($O662,'Aub Demand'!$A:$A,0)),"")</f>
        <v>CLOUDCAP</v>
      </c>
      <c r="Q662" s="27">
        <f>IFERROR(INDEX('Aub Demand'!C:C,MATCH($O662,'Aub Demand'!$A:$A,0)),"")</f>
        <v>0</v>
      </c>
      <c r="R662" s="52">
        <f>IFERROR(IF(AR663=AR662,INDEX('Aub Demand'!K:K,MATCH($O662,'Aub Demand'!$A:$A,0))-IF(AN662="",0,AN662)+AP663,INDEX('Aub Demand'!K:K,MATCH($O662,'Aub Demand'!$A:$A,0))-IF(AN662="",0,AN662)),"")</f>
        <v>0</v>
      </c>
      <c r="S662" s="53">
        <f t="shared" si="280"/>
        <v>0</v>
      </c>
      <c r="T662" s="52">
        <f t="shared" si="281"/>
        <v>107.625</v>
      </c>
      <c r="U662" s="52">
        <f>IFERROR(IF(AR663=AR662,INDEX('Aub Demand'!Q:Q,MATCH($O662,'Aub Demand'!$A:$A,0))-IF(AN662="",0,AN662)+AP663,INDEX('Aub Demand'!Q:Q,MATCH($O662,'Aub Demand'!$A:$A,0))-IF(AN662="",0,AN662)),"")</f>
        <v>0</v>
      </c>
      <c r="V662" s="53">
        <f t="shared" si="282"/>
        <v>0</v>
      </c>
      <c r="W662" s="52">
        <f t="shared" si="283"/>
        <v>107.625</v>
      </c>
      <c r="X662" s="52">
        <f>IFERROR(IF(AND(AR663=AR662,AM662&lt;&gt;""),INDEX('Aub Demand'!Q:Q,MATCH($O662,'Aub Demand'!$A:$A,0))-IF(AN662="",0,AN662)+AP663+AD662+AL662,IF(AR663=AR662,INDEX('Aub Demand'!Q:Q,MATCH($O662,'Aub Demand'!$A:$A,0))-IF(AN662="",0,AN662)+AP663+AD662,IF(AM662&lt;&gt;"",INDEX('Aub Demand'!Q:Q,MATCH($O662,'Aub Demand'!$A:$A,0))-IF(AN662="",0,AN662)+AD662+AL662,INDEX('Aub Demand'!Q:Q,MATCH($O662,'Aub Demand'!$A:$A,0))-IF(AN662="",0,AN662)+AD662))),"")</f>
        <v>0</v>
      </c>
      <c r="Y662" s="53">
        <f t="shared" si="284"/>
        <v>0</v>
      </c>
      <c r="Z662" s="52">
        <f>IF(L662="","",INDEX('Aub Demand'!H:H,MATCH($O662,'Aub Demand'!$A:$A,0)))</f>
        <v>96</v>
      </c>
      <c r="AA662" s="52">
        <f t="shared" si="285"/>
        <v>143.5</v>
      </c>
      <c r="AB662" s="52">
        <f>IFERROR(INDEX('Aub Demand'!L:L,MATCH($O662,'Aub Demand'!$A:$A,0)),"")</f>
        <v>0</v>
      </c>
      <c r="AC662" s="52">
        <f>IFERROR(IF(O662="","",SUMIFS('CPL Mats'!F:F,'CPL Mats'!Q:Q,AR662,'CPL Mats'!S:S,AS662)),"")</f>
        <v>0</v>
      </c>
      <c r="AF662" s="25" t="str">
        <f>IF(SUMIFS('Supp Consol'!S:S,'Supp Consol'!Y:Y,"Releasable",'Supp Consol'!A:A,O662)=0,"",SUMIFS('Supp Consol'!S:S,'Supp Consol'!Y:Y,"Releasable",'Supp Consol'!A:A,O662))</f>
        <v/>
      </c>
      <c r="AG662" s="25" t="str">
        <f>IFERROR(INDEX('Hun Demand'!Q:Q,MATCH(O662,'Hun Demand'!A:A,0)),"")</f>
        <v/>
      </c>
      <c r="AH662" s="25" t="str">
        <f>IFERROR(INDEX('Hun Demand'!H:H,MATCH($O662,'Hun Demand'!$A:$A,0)),"")</f>
        <v/>
      </c>
      <c r="AI662" s="25" t="str">
        <f>IF(SUMIFS('Supp Consol'!AA:AA,'Supp Consol'!Z:Z,"Expires this month",'Supp Consol'!A:A,O662)=0,"",SUMIFS('Supp Consol'!AA:AA,'Supp Consol'!Z:Z,"Expires this month",'Supp Consol'!A:A,O662))</f>
        <v/>
      </c>
      <c r="AJ662" s="25" t="str">
        <f>IF(SUMIFS('Supp Consol'!AA:AA,'Supp Consol'!Z:Z,"Expired Previous Months",'Supp Consol'!A:A,O662)=0,"",SUMIFS('Supp Consol'!AA:AA,'Supp Consol'!Z:Z,"Expired Previous Months",'Supp Consol'!A:A,O662))</f>
        <v/>
      </c>
      <c r="AK662" s="25" t="str">
        <f>IFERROR(INDEX('Hun Release Current'!B:B,MATCH(O662,'Hun Release Current'!A:A,0)),"")</f>
        <v/>
      </c>
      <c r="AL662" s="25" t="str">
        <f>IF(SUMIF('Prev Aub'!A:A,O662,'Prev Aub'!B:B)=0,"",SUMIF('Prev Aub'!A:A,O662,'Prev Aub'!B:B))</f>
        <v/>
      </c>
      <c r="AN662" s="25" t="s">
        <v>3790</v>
      </c>
      <c r="AO662" s="25" t="s">
        <v>3790</v>
      </c>
      <c r="AP662" s="25">
        <f t="shared" si="286"/>
        <v>0</v>
      </c>
      <c r="AQ662" s="151" t="str">
        <f>IF(SUMIFS('Supp Consol'!S:S,'Supp Consol'!A:A,O662,'Supp Consol'!I:I,"PENDING")=0,"",SUMIFS('Supp Consol'!S:S,'Supp Consol'!A:A,O662,'Supp Consol'!I:I,"PENDING"))</f>
        <v/>
      </c>
      <c r="AR662" s="27" t="str">
        <f t="shared" si="287"/>
        <v>KM026</v>
      </c>
      <c r="AS662" s="27" t="str">
        <f t="shared" si="288"/>
        <v>50</v>
      </c>
      <c r="AT662" s="27" t="str">
        <f t="shared" si="289"/>
        <v>KM026</v>
      </c>
      <c r="AU662" s="27" t="str">
        <f t="shared" si="290"/>
        <v>KM026</v>
      </c>
      <c r="AV662" s="27" t="str">
        <f t="shared" si="291"/>
        <v>KM026</v>
      </c>
      <c r="AW662" s="27" t="str">
        <f t="shared" si="292"/>
        <v/>
      </c>
      <c r="AX662" s="27" t="str">
        <f t="shared" si="293"/>
        <v/>
      </c>
      <c r="AY662" s="27" t="str">
        <f t="shared" si="294"/>
        <v/>
      </c>
      <c r="AZ662" s="27" t="str">
        <f t="shared" si="295"/>
        <v/>
      </c>
      <c r="BA662" s="27" t="str">
        <f t="shared" si="296"/>
        <v/>
      </c>
      <c r="BB662" s="27" t="str">
        <f t="shared" si="297"/>
        <v>Gross</v>
      </c>
      <c r="BC662" s="27" t="str">
        <f t="shared" si="298"/>
        <v>Net</v>
      </c>
      <c r="BD662" s="27" t="str">
        <f t="shared" si="299"/>
        <v>Net</v>
      </c>
      <c r="BE662" s="27" t="str">
        <f t="shared" si="300"/>
        <v/>
      </c>
      <c r="BF662" s="27" t="str">
        <f t="shared" si="301"/>
        <v/>
      </c>
      <c r="BG662" s="27" t="str">
        <f t="shared" si="302"/>
        <v/>
      </c>
      <c r="BH662" s="27" t="str">
        <f t="shared" si="303"/>
        <v/>
      </c>
      <c r="BI662" s="27" t="str">
        <f t="shared" si="304"/>
        <v/>
      </c>
      <c r="BJ662" s="27" t="str">
        <f t="shared" si="305"/>
        <v/>
      </c>
      <c r="BK662" s="27" t="str">
        <f t="shared" si="306"/>
        <v/>
      </c>
      <c r="BL662" s="27" t="str">
        <f t="shared" si="307"/>
        <v/>
      </c>
      <c r="BM662" s="21" t="s">
        <v>5581</v>
      </c>
    </row>
    <row r="663" spans="1:65" ht="15">
      <c r="A663" s="25" t="str">
        <f>IFERROR(INDEX('Hun Demand'!W:W,MATCH(O663,'Hun Demand'!A:A,0)),"")</f>
        <v/>
      </c>
      <c r="B663" s="25" t="str">
        <f>IFERROR(INDEX('Hun Demand'!V:V,MATCH(O663,'Hun Demand'!A:A,0)),"")</f>
        <v/>
      </c>
      <c r="C663" s="25" t="str">
        <f>IFERROR(INDEX('Hun Demand'!U:U,MATCH(O663,'Hun Demand'!A:A,0)),"")</f>
        <v/>
      </c>
      <c r="D663" s="25" t="str">
        <f>IFERROR(INDEX('Hun Demand'!T:T,MATCH(O663,'Hun Demand'!A:A,0)),"")</f>
        <v/>
      </c>
      <c r="E663" s="25" t="str">
        <f>IFERROR(INDEX('Hun Demand'!S:S,MATCH(O663,'Hun Demand'!A:A,0)),"")</f>
        <v/>
      </c>
      <c r="F663" s="25" t="str">
        <f>IFERROR(INDEX('Hun Demand'!R:R,MATCH(O663,'Hun Demand'!A:A,0)),"")</f>
        <v/>
      </c>
      <c r="G663" s="25">
        <f>IFERROR(INDEX('Aub Demand'!W:W,MATCH(O663,'Aub Demand'!A:A,0)),"")</f>
        <v>0</v>
      </c>
      <c r="H663" s="25">
        <f>IFERROR(INDEX('Aub Demand'!V:V,MATCH(O663,'Aub Demand'!A:A,0)),"")</f>
        <v>289</v>
      </c>
      <c r="I663" s="25">
        <f>IFERROR(INDEX('Aub Demand'!U:U,MATCH(O663,'Aub Demand'!A:A,0)),"")</f>
        <v>819</v>
      </c>
      <c r="J663" s="25">
        <f>IFERROR(INDEX('Aub Demand'!T:T,MATCH(O663,'Aub Demand'!A:A,0)),"")</f>
        <v>0</v>
      </c>
      <c r="K663" s="25">
        <f>IFERROR(INDEX('Aub Demand'!S:S,MATCH(O663,'Aub Demand'!A:A,0)),"")</f>
        <v>286</v>
      </c>
      <c r="L663" s="25">
        <f>IFERROR(INDEX('Aub Demand'!R:R,MATCH(O663,'Aub Demand'!A:A,0)),"")</f>
        <v>0</v>
      </c>
      <c r="O663" s="27" t="s">
        <v>2231</v>
      </c>
      <c r="P663" s="27" t="str">
        <f>IFERROR(INDEX('Aub Demand'!B:B,MATCH($O663,'Aub Demand'!$A:$A,0)),"")</f>
        <v>FIGURED MAHOGANY</v>
      </c>
      <c r="Q663" s="27" t="str">
        <f>IFERROR(INDEX('Aub Demand'!C:C,MATCH($O663,'Aub Demand'!$A:$A,0)),"")</f>
        <v>INTER</v>
      </c>
      <c r="R663" s="52">
        <f>IFERROR(IF(AR664=AR663,INDEX('Aub Demand'!K:K,MATCH($O663,'Aub Demand'!$A:$A,0))-IF(AN663="",0,AN663)+AP664,INDEX('Aub Demand'!K:K,MATCH($O663,'Aub Demand'!$A:$A,0))-IF(AN663="",0,AN663)),"")</f>
        <v>1569</v>
      </c>
      <c r="S663" s="53">
        <f t="shared" si="280"/>
        <v>18.3</v>
      </c>
      <c r="T663" s="52" t="str">
        <f t="shared" si="281"/>
        <v/>
      </c>
      <c r="U663" s="52">
        <f>IFERROR(IF(AR664=AR663,INDEX('Aub Demand'!Q:Q,MATCH($O663,'Aub Demand'!$A:$A,0))-IF(AN663="",0,AN663)+AP664,INDEX('Aub Demand'!Q:Q,MATCH($O663,'Aub Demand'!$A:$A,0))-IF(AN663="",0,AN663)),"")</f>
        <v>1569</v>
      </c>
      <c r="V663" s="53">
        <f t="shared" si="282"/>
        <v>18.3</v>
      </c>
      <c r="W663" s="52" t="str">
        <f t="shared" si="283"/>
        <v/>
      </c>
      <c r="X663" s="52">
        <f>IFERROR(IF(AND(AR664=AR663,AM663&lt;&gt;""),INDEX('Aub Demand'!Q:Q,MATCH($O663,'Aub Demand'!$A:$A,0))-IF(AN663="",0,AN663)+AP664+AD663+AL663,IF(AR664=AR663,INDEX('Aub Demand'!Q:Q,MATCH($O663,'Aub Demand'!$A:$A,0))-IF(AN663="",0,AN663)+AP664+AD663,IF(AM663&lt;&gt;"",INDEX('Aub Demand'!Q:Q,MATCH($O663,'Aub Demand'!$A:$A,0))-IF(AN663="",0,AN663)+AD663+AL663,INDEX('Aub Demand'!Q:Q,MATCH($O663,'Aub Demand'!$A:$A,0))-IF(AN663="",0,AN663)+AD663))),"")</f>
        <v>1569</v>
      </c>
      <c r="Y663" s="53">
        <f t="shared" si="284"/>
        <v>18.3</v>
      </c>
      <c r="Z663" s="52">
        <f>IF(L663="","",INDEX('Aub Demand'!H:H,MATCH($O663,'Aub Demand'!$A:$A,0)))</f>
        <v>368</v>
      </c>
      <c r="AA663" s="52">
        <f t="shared" si="285"/>
        <v>552.5</v>
      </c>
      <c r="AB663" s="52">
        <f>IFERROR(INDEX('Aub Demand'!L:L,MATCH($O663,'Aub Demand'!$A:$A,0)),"")</f>
        <v>259</v>
      </c>
      <c r="AC663" s="52">
        <f>IFERROR(IF(O663="","",SUMIFS('CPL Mats'!F:F,'CPL Mats'!Q:Q,AR663,'CPL Mats'!S:S,AS663)),"")</f>
        <v>0</v>
      </c>
      <c r="AF663" s="25" t="str">
        <f>IF(SUMIFS('Supp Consol'!S:S,'Supp Consol'!Y:Y,"Releasable",'Supp Consol'!A:A,O663)=0,"",SUMIFS('Supp Consol'!S:S,'Supp Consol'!Y:Y,"Releasable",'Supp Consol'!A:A,O663))</f>
        <v/>
      </c>
      <c r="AG663" s="25" t="str">
        <f>IFERROR(INDEX('Hun Demand'!Q:Q,MATCH(O663,'Hun Demand'!A:A,0)),"")</f>
        <v/>
      </c>
      <c r="AH663" s="25" t="str">
        <f>IFERROR(INDEX('Hun Demand'!H:H,MATCH($O663,'Hun Demand'!$A:$A,0)),"")</f>
        <v/>
      </c>
      <c r="AI663" s="25" t="str">
        <f>IF(SUMIFS('Supp Consol'!AA:AA,'Supp Consol'!Z:Z,"Expires this month",'Supp Consol'!A:A,O663)=0,"",SUMIFS('Supp Consol'!AA:AA,'Supp Consol'!Z:Z,"Expires this month",'Supp Consol'!A:A,O663))</f>
        <v/>
      </c>
      <c r="AJ663" s="25" t="str">
        <f>IF(SUMIFS('Supp Consol'!AA:AA,'Supp Consol'!Z:Z,"Expired Previous Months",'Supp Consol'!A:A,O663)=0,"",SUMIFS('Supp Consol'!AA:AA,'Supp Consol'!Z:Z,"Expired Previous Months",'Supp Consol'!A:A,O663))</f>
        <v/>
      </c>
      <c r="AK663" s="25" t="str">
        <f>IFERROR(INDEX('Hun Release Current'!B:B,MATCH(O663,'Hun Release Current'!A:A,0)),"")</f>
        <v/>
      </c>
      <c r="AL663" s="25" t="str">
        <f>IF(SUMIF('Prev Aub'!A:A,O663,'Prev Aub'!B:B)=0,"",SUMIF('Prev Aub'!A:A,O663,'Prev Aub'!B:B))</f>
        <v/>
      </c>
      <c r="AN663" s="25" t="s">
        <v>3790</v>
      </c>
      <c r="AO663" s="25" t="s">
        <v>3790</v>
      </c>
      <c r="AP663" s="25">
        <f t="shared" si="286"/>
        <v>0</v>
      </c>
      <c r="AQ663" s="151" t="str">
        <f>IF(SUMIFS('Supp Consol'!S:S,'Supp Consol'!A:A,O663,'Supp Consol'!I:I,"PENDING")=0,"",SUMIFS('Supp Consol'!S:S,'Supp Consol'!A:A,O663,'Supp Consol'!I:I,"PENDING"))</f>
        <v/>
      </c>
      <c r="AR663" s="27" t="str">
        <f t="shared" si="287"/>
        <v>KM027</v>
      </c>
      <c r="AS663" s="27" t="str">
        <f t="shared" si="288"/>
        <v>62</v>
      </c>
      <c r="AT663" s="27" t="str">
        <f t="shared" si="289"/>
        <v/>
      </c>
      <c r="AU663" s="27" t="str">
        <f t="shared" si="290"/>
        <v/>
      </c>
      <c r="AV663" s="27" t="str">
        <f t="shared" si="291"/>
        <v/>
      </c>
      <c r="AW663" s="27" t="str">
        <f t="shared" si="292"/>
        <v/>
      </c>
      <c r="AX663" s="27" t="str">
        <f t="shared" si="293"/>
        <v/>
      </c>
      <c r="AY663" s="27" t="str">
        <f t="shared" si="294"/>
        <v/>
      </c>
      <c r="AZ663" s="27" t="str">
        <f t="shared" si="295"/>
        <v/>
      </c>
      <c r="BA663" s="27" t="str">
        <f t="shared" si="296"/>
        <v/>
      </c>
      <c r="BB663" s="27" t="str">
        <f t="shared" si="297"/>
        <v/>
      </c>
      <c r="BC663" s="27" t="str">
        <f t="shared" si="298"/>
        <v/>
      </c>
      <c r="BD663" s="27" t="str">
        <f t="shared" si="299"/>
        <v/>
      </c>
      <c r="BE663" s="27" t="str">
        <f t="shared" si="300"/>
        <v/>
      </c>
      <c r="BF663" s="27" t="str">
        <f t="shared" si="301"/>
        <v/>
      </c>
      <c r="BG663" s="27" t="str">
        <f t="shared" si="302"/>
        <v/>
      </c>
      <c r="BH663" s="27" t="str">
        <f t="shared" si="303"/>
        <v/>
      </c>
      <c r="BI663" s="27" t="str">
        <f t="shared" si="304"/>
        <v/>
      </c>
      <c r="BJ663" s="27" t="str">
        <f t="shared" si="305"/>
        <v/>
      </c>
      <c r="BK663" s="27" t="str">
        <f t="shared" si="306"/>
        <v/>
      </c>
      <c r="BL663" s="27" t="str">
        <f t="shared" si="307"/>
        <v/>
      </c>
      <c r="BM663" s="21" t="s">
        <v>5581</v>
      </c>
    </row>
    <row r="664" spans="1:65" ht="15">
      <c r="A664" s="25" t="str">
        <f>IFERROR(INDEX('Hun Demand'!W:W,MATCH(O664,'Hun Demand'!A:A,0)),"")</f>
        <v/>
      </c>
      <c r="B664" s="25" t="str">
        <f>IFERROR(INDEX('Hun Demand'!V:V,MATCH(O664,'Hun Demand'!A:A,0)),"")</f>
        <v/>
      </c>
      <c r="C664" s="25" t="str">
        <f>IFERROR(INDEX('Hun Demand'!U:U,MATCH(O664,'Hun Demand'!A:A,0)),"")</f>
        <v/>
      </c>
      <c r="D664" s="25" t="str">
        <f>IFERROR(INDEX('Hun Demand'!T:T,MATCH(O664,'Hun Demand'!A:A,0)),"")</f>
        <v/>
      </c>
      <c r="E664" s="25" t="str">
        <f>IFERROR(INDEX('Hun Demand'!S:S,MATCH(O664,'Hun Demand'!A:A,0)),"")</f>
        <v/>
      </c>
      <c r="F664" s="25" t="str">
        <f>IFERROR(INDEX('Hun Demand'!R:R,MATCH(O664,'Hun Demand'!A:A,0)),"")</f>
        <v/>
      </c>
      <c r="G664" s="25">
        <f>IFERROR(INDEX('Aub Demand'!W:W,MATCH(O664,'Aub Demand'!A:A,0)),"")</f>
        <v>0</v>
      </c>
      <c r="H664" s="25">
        <f>IFERROR(INDEX('Aub Demand'!V:V,MATCH(O664,'Aub Demand'!A:A,0)),"")</f>
        <v>0</v>
      </c>
      <c r="I664" s="25">
        <f>IFERROR(INDEX('Aub Demand'!U:U,MATCH(O664,'Aub Demand'!A:A,0)),"")</f>
        <v>701</v>
      </c>
      <c r="J664" s="25">
        <f>IFERROR(INDEX('Aub Demand'!T:T,MATCH(O664,'Aub Demand'!A:A,0)),"")</f>
        <v>0</v>
      </c>
      <c r="K664" s="25">
        <f>IFERROR(INDEX('Aub Demand'!S:S,MATCH(O664,'Aub Demand'!A:A,0)),"")</f>
        <v>0</v>
      </c>
      <c r="L664" s="25">
        <f>IFERROR(INDEX('Aub Demand'!R:R,MATCH(O664,'Aub Demand'!A:A,0)),"")</f>
        <v>0</v>
      </c>
      <c r="O664" s="27" t="s">
        <v>2232</v>
      </c>
      <c r="P664" s="27" t="str">
        <f>IFERROR(INDEX('Aub Demand'!B:B,MATCH($O664,'Aub Demand'!$A:$A,0)),"")</f>
        <v>FIGURED ROSEWOOD</v>
      </c>
      <c r="Q664" s="27" t="str">
        <f>IFERROR(INDEX('Aub Demand'!C:C,MATCH($O664,'Aub Demand'!$A:$A,0)),"")</f>
        <v>INTER</v>
      </c>
      <c r="R664" s="52">
        <f>IFERROR(IF(AR665=AR664,INDEX('Aub Demand'!K:K,MATCH($O664,'Aub Demand'!$A:$A,0))-IF(AN664="",0,AN664)+AP665,INDEX('Aub Demand'!K:K,MATCH($O664,'Aub Demand'!$A:$A,0))-IF(AN664="",0,AN664)),"")</f>
        <v>1099</v>
      </c>
      <c r="S664" s="53">
        <f t="shared" si="280"/>
        <v>20.100000000000001</v>
      </c>
      <c r="T664" s="52" t="str">
        <f t="shared" si="281"/>
        <v/>
      </c>
      <c r="U664" s="52">
        <f>IFERROR(IF(AR665=AR664,INDEX('Aub Demand'!Q:Q,MATCH($O664,'Aub Demand'!$A:$A,0))-IF(AN664="",0,AN664)+AP665,INDEX('Aub Demand'!Q:Q,MATCH($O664,'Aub Demand'!$A:$A,0))-IF(AN664="",0,AN664)),"")</f>
        <v>1099</v>
      </c>
      <c r="V664" s="53">
        <f t="shared" si="282"/>
        <v>20.100000000000001</v>
      </c>
      <c r="W664" s="52" t="str">
        <f t="shared" si="283"/>
        <v/>
      </c>
      <c r="X664" s="52">
        <f>IFERROR(IF(AND(AR665=AR664,AM664&lt;&gt;""),INDEX('Aub Demand'!Q:Q,MATCH($O664,'Aub Demand'!$A:$A,0))-IF(AN664="",0,AN664)+AP665+AD664+AL664,IF(AR665=AR664,INDEX('Aub Demand'!Q:Q,MATCH($O664,'Aub Demand'!$A:$A,0))-IF(AN664="",0,AN664)+AP665+AD664,IF(AM664&lt;&gt;"",INDEX('Aub Demand'!Q:Q,MATCH($O664,'Aub Demand'!$A:$A,0))-IF(AN664="",0,AN664)+AD664+AL664,INDEX('Aub Demand'!Q:Q,MATCH($O664,'Aub Demand'!$A:$A,0))-IF(AN664="",0,AN664)+AD664))),"")</f>
        <v>1099</v>
      </c>
      <c r="Y664" s="53">
        <f t="shared" si="284"/>
        <v>20.100000000000001</v>
      </c>
      <c r="Z664" s="52">
        <f>IF(L664="","",INDEX('Aub Demand'!H:H,MATCH($O664,'Aub Demand'!$A:$A,0)))</f>
        <v>234</v>
      </c>
      <c r="AA664" s="52" t="str">
        <f t="shared" si="285"/>
        <v>-spike-</v>
      </c>
      <c r="AB664" s="52">
        <f>IFERROR(INDEX('Aub Demand'!L:L,MATCH($O664,'Aub Demand'!$A:$A,0)),"")</f>
        <v>90</v>
      </c>
      <c r="AC664" s="52">
        <f>IFERROR(IF(O664="","",SUMIFS('CPL Mats'!F:F,'CPL Mats'!Q:Q,AR664,'CPL Mats'!S:S,AS664)),"")</f>
        <v>0</v>
      </c>
      <c r="AF664" s="25" t="str">
        <f>IF(SUMIFS('Supp Consol'!S:S,'Supp Consol'!Y:Y,"Releasable",'Supp Consol'!A:A,O664)=0,"",SUMIFS('Supp Consol'!S:S,'Supp Consol'!Y:Y,"Releasable",'Supp Consol'!A:A,O664))</f>
        <v/>
      </c>
      <c r="AG664" s="25" t="str">
        <f>IFERROR(INDEX('Hun Demand'!Q:Q,MATCH(O664,'Hun Demand'!A:A,0)),"")</f>
        <v/>
      </c>
      <c r="AH664" s="25" t="str">
        <f>IFERROR(INDEX('Hun Demand'!H:H,MATCH($O664,'Hun Demand'!$A:$A,0)),"")</f>
        <v/>
      </c>
      <c r="AI664" s="25" t="str">
        <f>IF(SUMIFS('Supp Consol'!AA:AA,'Supp Consol'!Z:Z,"Expires this month",'Supp Consol'!A:A,O664)=0,"",SUMIFS('Supp Consol'!AA:AA,'Supp Consol'!Z:Z,"Expires this month",'Supp Consol'!A:A,O664))</f>
        <v/>
      </c>
      <c r="AJ664" s="25" t="str">
        <f>IF(SUMIFS('Supp Consol'!AA:AA,'Supp Consol'!Z:Z,"Expired Previous Months",'Supp Consol'!A:A,O664)=0,"",SUMIFS('Supp Consol'!AA:AA,'Supp Consol'!Z:Z,"Expired Previous Months",'Supp Consol'!A:A,O664))</f>
        <v/>
      </c>
      <c r="AK664" s="25" t="str">
        <f>IFERROR(INDEX('Hun Release Current'!B:B,MATCH(O664,'Hun Release Current'!A:A,0)),"")</f>
        <v/>
      </c>
      <c r="AL664" s="25" t="str">
        <f>IF(SUMIF('Prev Aub'!A:A,O664,'Prev Aub'!B:B)=0,"",SUMIF('Prev Aub'!A:A,O664,'Prev Aub'!B:B))</f>
        <v/>
      </c>
      <c r="AN664" s="25" t="s">
        <v>3790</v>
      </c>
      <c r="AO664" s="25" t="s">
        <v>3790</v>
      </c>
      <c r="AP664" s="25">
        <f t="shared" si="286"/>
        <v>0</v>
      </c>
      <c r="AQ664" s="151" t="str">
        <f>IF(SUMIFS('Supp Consol'!S:S,'Supp Consol'!A:A,O664,'Supp Consol'!I:I,"PENDING")=0,"",SUMIFS('Supp Consol'!S:S,'Supp Consol'!A:A,O664,'Supp Consol'!I:I,"PENDING"))</f>
        <v/>
      </c>
      <c r="AR664" s="27" t="str">
        <f t="shared" si="287"/>
        <v>KM028</v>
      </c>
      <c r="AS664" s="27" t="str">
        <f t="shared" si="288"/>
        <v>62</v>
      </c>
      <c r="AT664" s="27" t="str">
        <f t="shared" si="289"/>
        <v/>
      </c>
      <c r="AU664" s="27" t="str">
        <f t="shared" si="290"/>
        <v/>
      </c>
      <c r="AV664" s="27" t="str">
        <f t="shared" si="291"/>
        <v/>
      </c>
      <c r="AW664" s="27" t="str">
        <f t="shared" si="292"/>
        <v/>
      </c>
      <c r="AX664" s="27" t="str">
        <f t="shared" si="293"/>
        <v/>
      </c>
      <c r="AY664" s="27" t="str">
        <f t="shared" si="294"/>
        <v/>
      </c>
      <c r="AZ664" s="27" t="str">
        <f t="shared" si="295"/>
        <v/>
      </c>
      <c r="BA664" s="27" t="str">
        <f t="shared" si="296"/>
        <v/>
      </c>
      <c r="BB664" s="27" t="str">
        <f t="shared" si="297"/>
        <v/>
      </c>
      <c r="BC664" s="27" t="str">
        <f t="shared" si="298"/>
        <v/>
      </c>
      <c r="BD664" s="27" t="str">
        <f t="shared" si="299"/>
        <v/>
      </c>
      <c r="BE664" s="27" t="str">
        <f t="shared" si="300"/>
        <v/>
      </c>
      <c r="BF664" s="27" t="str">
        <f t="shared" si="301"/>
        <v/>
      </c>
      <c r="BG664" s="27" t="str">
        <f t="shared" si="302"/>
        <v/>
      </c>
      <c r="BH664" s="27" t="str">
        <f t="shared" si="303"/>
        <v/>
      </c>
      <c r="BI664" s="27" t="str">
        <f t="shared" si="304"/>
        <v/>
      </c>
      <c r="BJ664" s="27" t="str">
        <f t="shared" si="305"/>
        <v/>
      </c>
      <c r="BK664" s="27" t="str">
        <f t="shared" si="306"/>
        <v/>
      </c>
      <c r="BL664" s="27" t="str">
        <f t="shared" si="307"/>
        <v/>
      </c>
      <c r="BM664" s="21" t="s">
        <v>5581</v>
      </c>
    </row>
    <row r="665" spans="1:65" ht="15">
      <c r="A665" s="25" t="str">
        <f>IFERROR(INDEX('Hun Demand'!W:W,MATCH(O665,'Hun Demand'!A:A,0)),"")</f>
        <v/>
      </c>
      <c r="B665" s="25" t="str">
        <f>IFERROR(INDEX('Hun Demand'!V:V,MATCH(O665,'Hun Demand'!A:A,0)),"")</f>
        <v/>
      </c>
      <c r="C665" s="25" t="str">
        <f>IFERROR(INDEX('Hun Demand'!U:U,MATCH(O665,'Hun Demand'!A:A,0)),"")</f>
        <v/>
      </c>
      <c r="D665" s="25" t="str">
        <f>IFERROR(INDEX('Hun Demand'!T:T,MATCH(O665,'Hun Demand'!A:A,0)),"")</f>
        <v/>
      </c>
      <c r="E665" s="25" t="str">
        <f>IFERROR(INDEX('Hun Demand'!S:S,MATCH(O665,'Hun Demand'!A:A,0)),"")</f>
        <v/>
      </c>
      <c r="F665" s="25" t="str">
        <f>IFERROR(INDEX('Hun Demand'!R:R,MATCH(O665,'Hun Demand'!A:A,0)),"")</f>
        <v/>
      </c>
      <c r="G665" s="25">
        <f>IFERROR(INDEX('Aub Demand'!W:W,MATCH(O665,'Aub Demand'!A:A,0)),"")</f>
        <v>0</v>
      </c>
      <c r="H665" s="25">
        <f>IFERROR(INDEX('Aub Demand'!V:V,MATCH(O665,'Aub Demand'!A:A,0)),"")</f>
        <v>0</v>
      </c>
      <c r="I665" s="25">
        <f>IFERROR(INDEX('Aub Demand'!U:U,MATCH(O665,'Aub Demand'!A:A,0)),"")</f>
        <v>0</v>
      </c>
      <c r="J665" s="25">
        <f>IFERROR(INDEX('Aub Demand'!T:T,MATCH(O665,'Aub Demand'!A:A,0)),"")</f>
        <v>0</v>
      </c>
      <c r="K665" s="25">
        <f>IFERROR(INDEX('Aub Demand'!S:S,MATCH(O665,'Aub Demand'!A:A,0)),"")</f>
        <v>0</v>
      </c>
      <c r="L665" s="25">
        <f>IFERROR(INDEX('Aub Demand'!R:R,MATCH(O665,'Aub Demand'!A:A,0)),"")</f>
        <v>0</v>
      </c>
      <c r="O665" s="27" t="s">
        <v>3374</v>
      </c>
      <c r="P665" s="27" t="str">
        <f>IFERROR(INDEX('Aub Demand'!B:B,MATCH($O665,'Aub Demand'!$A:$A,0)),"")</f>
        <v>TEETER GREEN</v>
      </c>
      <c r="Q665" s="27">
        <f>IFERROR(INDEX('Aub Demand'!C:C,MATCH($O665,'Aub Demand'!$A:$A,0)),"")</f>
        <v>0</v>
      </c>
      <c r="R665" s="52">
        <f>IFERROR(IF(AR666=AR665,INDEX('Aub Demand'!K:K,MATCH($O665,'Aub Demand'!$A:$A,0))-IF(AN665="",0,AN665)+AP666,INDEX('Aub Demand'!K:K,MATCH($O665,'Aub Demand'!$A:$A,0))-IF(AN665="",0,AN665)),"")</f>
        <v>858</v>
      </c>
      <c r="S665" s="53" t="str">
        <f t="shared" si="280"/>
        <v>n/a</v>
      </c>
      <c r="T665" s="52" t="str">
        <f t="shared" si="281"/>
        <v/>
      </c>
      <c r="U665" s="52">
        <f>IFERROR(IF(AR666=AR665,INDEX('Aub Demand'!Q:Q,MATCH($O665,'Aub Demand'!$A:$A,0))-IF(AN665="",0,AN665)+AP666,INDEX('Aub Demand'!Q:Q,MATCH($O665,'Aub Demand'!$A:$A,0))-IF(AN665="",0,AN665)),"")</f>
        <v>858</v>
      </c>
      <c r="V665" s="53" t="str">
        <f t="shared" si="282"/>
        <v>n/a</v>
      </c>
      <c r="W665" s="52" t="str">
        <f t="shared" si="283"/>
        <v/>
      </c>
      <c r="X665" s="52">
        <f>IFERROR(IF(AND(AR666=AR665,AM665&lt;&gt;""),INDEX('Aub Demand'!Q:Q,MATCH($O665,'Aub Demand'!$A:$A,0))-IF(AN665="",0,AN665)+AP666+AD665+AL665,IF(AR666=AR665,INDEX('Aub Demand'!Q:Q,MATCH($O665,'Aub Demand'!$A:$A,0))-IF(AN665="",0,AN665)+AP666+AD665,IF(AM665&lt;&gt;"",INDEX('Aub Demand'!Q:Q,MATCH($O665,'Aub Demand'!$A:$A,0))-IF(AN665="",0,AN665)+AD665+AL665,INDEX('Aub Demand'!Q:Q,MATCH($O665,'Aub Demand'!$A:$A,0))-IF(AN665="",0,AN665)+AD665))),"")</f>
        <v>858</v>
      </c>
      <c r="Y665" s="53" t="str">
        <f t="shared" si="284"/>
        <v>n/a</v>
      </c>
      <c r="Z665" s="52">
        <f>IF(L665="","",INDEX('Aub Demand'!H:H,MATCH($O665,'Aub Demand'!$A:$A,0)))</f>
        <v>0</v>
      </c>
      <c r="AA665" s="52" t="str">
        <f t="shared" si="285"/>
        <v>-spike-</v>
      </c>
      <c r="AB665" s="52">
        <f>IFERROR(INDEX('Aub Demand'!L:L,MATCH($O665,'Aub Demand'!$A:$A,0)),"")</f>
        <v>90</v>
      </c>
      <c r="AC665" s="52">
        <f>IFERROR(IF(O665="","",SUMIFS('CPL Mats'!F:F,'CPL Mats'!Q:Q,AR665,'CPL Mats'!S:S,AS665)),"")</f>
        <v>0</v>
      </c>
      <c r="AF665" s="25" t="str">
        <f>IF(SUMIFS('Supp Consol'!S:S,'Supp Consol'!Y:Y,"Releasable",'Supp Consol'!A:A,O665)=0,"",SUMIFS('Supp Consol'!S:S,'Supp Consol'!Y:Y,"Releasable",'Supp Consol'!A:A,O665))</f>
        <v/>
      </c>
      <c r="AG665" s="25" t="str">
        <f>IFERROR(INDEX('Hun Demand'!Q:Q,MATCH(O665,'Hun Demand'!A:A,0)),"")</f>
        <v/>
      </c>
      <c r="AH665" s="25" t="str">
        <f>IFERROR(INDEX('Hun Demand'!H:H,MATCH($O665,'Hun Demand'!$A:$A,0)),"")</f>
        <v/>
      </c>
      <c r="AI665" s="25" t="str">
        <f>IF(SUMIFS('Supp Consol'!AA:AA,'Supp Consol'!Z:Z,"Expires this month",'Supp Consol'!A:A,O665)=0,"",SUMIFS('Supp Consol'!AA:AA,'Supp Consol'!Z:Z,"Expires this month",'Supp Consol'!A:A,O665))</f>
        <v/>
      </c>
      <c r="AJ665" s="25" t="str">
        <f>IF(SUMIFS('Supp Consol'!AA:AA,'Supp Consol'!Z:Z,"Expired Previous Months",'Supp Consol'!A:A,O665)=0,"",SUMIFS('Supp Consol'!AA:AA,'Supp Consol'!Z:Z,"Expired Previous Months",'Supp Consol'!A:A,O665))</f>
        <v/>
      </c>
      <c r="AK665" s="25" t="str">
        <f>IFERROR(INDEX('Hun Release Current'!B:B,MATCH(O665,'Hun Release Current'!A:A,0)),"")</f>
        <v/>
      </c>
      <c r="AL665" s="25" t="str">
        <f>IF(SUMIF('Prev Aub'!A:A,O665,'Prev Aub'!B:B)=0,"",SUMIF('Prev Aub'!A:A,O665,'Prev Aub'!B:B))</f>
        <v/>
      </c>
      <c r="AN665" s="25" t="s">
        <v>3790</v>
      </c>
      <c r="AO665" s="25" t="s">
        <v>3790</v>
      </c>
      <c r="AP665" s="25">
        <f t="shared" si="286"/>
        <v>0</v>
      </c>
      <c r="AQ665" s="151" t="str">
        <f>IF(SUMIFS('Supp Consol'!S:S,'Supp Consol'!A:A,O665,'Supp Consol'!I:I,"PENDING")=0,"",SUMIFS('Supp Consol'!S:S,'Supp Consol'!A:A,O665,'Supp Consol'!I:I,"PENDING"))</f>
        <v/>
      </c>
      <c r="AR665" s="27" t="str">
        <f t="shared" si="287"/>
        <v>KM031</v>
      </c>
      <c r="AS665" s="27" t="str">
        <f t="shared" si="288"/>
        <v>50</v>
      </c>
      <c r="AT665" s="27" t="str">
        <f t="shared" si="289"/>
        <v/>
      </c>
      <c r="AU665" s="27" t="str">
        <f t="shared" si="290"/>
        <v/>
      </c>
      <c r="AV665" s="27" t="str">
        <f t="shared" si="291"/>
        <v/>
      </c>
      <c r="AW665" s="27" t="str">
        <f t="shared" si="292"/>
        <v/>
      </c>
      <c r="AX665" s="27" t="str">
        <f t="shared" si="293"/>
        <v/>
      </c>
      <c r="AY665" s="27" t="str">
        <f t="shared" si="294"/>
        <v/>
      </c>
      <c r="AZ665" s="27" t="str">
        <f t="shared" si="295"/>
        <v/>
      </c>
      <c r="BA665" s="27" t="str">
        <f t="shared" si="296"/>
        <v/>
      </c>
      <c r="BB665" s="27" t="str">
        <f t="shared" si="297"/>
        <v/>
      </c>
      <c r="BC665" s="27" t="str">
        <f t="shared" si="298"/>
        <v/>
      </c>
      <c r="BD665" s="27" t="str">
        <f t="shared" si="299"/>
        <v/>
      </c>
      <c r="BE665" s="27" t="str">
        <f t="shared" si="300"/>
        <v/>
      </c>
      <c r="BF665" s="27" t="str">
        <f t="shared" si="301"/>
        <v/>
      </c>
      <c r="BG665" s="27" t="str">
        <f t="shared" si="302"/>
        <v/>
      </c>
      <c r="BH665" s="27" t="str">
        <f t="shared" si="303"/>
        <v/>
      </c>
      <c r="BI665" s="27" t="str">
        <f t="shared" si="304"/>
        <v/>
      </c>
      <c r="BJ665" s="27" t="str">
        <f t="shared" si="305"/>
        <v/>
      </c>
      <c r="BK665" s="27" t="str">
        <f t="shared" si="306"/>
        <v/>
      </c>
      <c r="BL665" s="27" t="str">
        <f t="shared" si="307"/>
        <v/>
      </c>
      <c r="BM665" s="21" t="s">
        <v>5581</v>
      </c>
    </row>
    <row r="666" spans="1:65" ht="15">
      <c r="A666" s="25">
        <f>IFERROR(INDEX('Hun Demand'!W:W,MATCH(O666,'Hun Demand'!A:A,0)),"")</f>
        <v>148</v>
      </c>
      <c r="B666" s="25">
        <f>IFERROR(INDEX('Hun Demand'!V:V,MATCH(O666,'Hun Demand'!A:A,0)),"")</f>
        <v>152</v>
      </c>
      <c r="C666" s="25">
        <f>IFERROR(INDEX('Hun Demand'!U:U,MATCH(O666,'Hun Demand'!A:A,0)),"")</f>
        <v>342</v>
      </c>
      <c r="D666" s="25">
        <f>IFERROR(INDEX('Hun Demand'!T:T,MATCH(O666,'Hun Demand'!A:A,0)),"")</f>
        <v>0</v>
      </c>
      <c r="E666" s="25">
        <f>IFERROR(INDEX('Hun Demand'!S:S,MATCH(O666,'Hun Demand'!A:A,0)),"")</f>
        <v>208</v>
      </c>
      <c r="F666" s="25">
        <f>IFERROR(INDEX('Hun Demand'!R:R,MATCH(O666,'Hun Demand'!A:A,0)),"")</f>
        <v>220</v>
      </c>
      <c r="G666" s="25">
        <f>IFERROR(INDEX('Aub Demand'!W:W,MATCH(O666,'Aub Demand'!A:A,0)),"")</f>
        <v>0</v>
      </c>
      <c r="H666" s="25">
        <f>IFERROR(INDEX('Aub Demand'!V:V,MATCH(O666,'Aub Demand'!A:A,0)),"")</f>
        <v>0</v>
      </c>
      <c r="I666" s="25">
        <f>IFERROR(INDEX('Aub Demand'!U:U,MATCH(O666,'Aub Demand'!A:A,0)),"")</f>
        <v>0</v>
      </c>
      <c r="J666" s="25">
        <f>IFERROR(INDEX('Aub Demand'!T:T,MATCH(O666,'Aub Demand'!A:A,0)),"")</f>
        <v>0</v>
      </c>
      <c r="K666" s="25">
        <f>IFERROR(INDEX('Aub Demand'!S:S,MATCH(O666,'Aub Demand'!A:A,0)),"")</f>
        <v>0</v>
      </c>
      <c r="L666" s="25">
        <f>IFERROR(INDEX('Aub Demand'!R:R,MATCH(O666,'Aub Demand'!A:A,0)),"")</f>
        <v>0</v>
      </c>
      <c r="O666" s="27" t="s">
        <v>1101</v>
      </c>
      <c r="P666" s="27" t="str">
        <f>IFERROR(INDEX('Aub Demand'!B:B,MATCH($O666,'Aub Demand'!$A:$A,0)),"")</f>
        <v>MG BUSH MODERN HICKO</v>
      </c>
      <c r="Q666" s="27" t="str">
        <f>IFERROR(INDEX('Aub Demand'!C:C,MATCH($O666,'Aub Demand'!$A:$A,0)),"")</f>
        <v>SCHAT</v>
      </c>
      <c r="R666" s="52">
        <f>IFERROR(IF(AR667=AR666,INDEX('Aub Demand'!K:K,MATCH($O666,'Aub Demand'!$A:$A,0))-IF(AN666="",0,AN666)+AP667,INDEX('Aub Demand'!K:K,MATCH($O666,'Aub Demand'!$A:$A,0))-IF(AN666="",0,AN666)),"")</f>
        <v>5521</v>
      </c>
      <c r="S666" s="53" t="str">
        <f t="shared" si="280"/>
        <v>n/a</v>
      </c>
      <c r="T666" s="52" t="str">
        <f t="shared" si="281"/>
        <v/>
      </c>
      <c r="U666" s="52">
        <f>IFERROR(IF(AR667=AR666,INDEX('Aub Demand'!Q:Q,MATCH($O666,'Aub Demand'!$A:$A,0))-IF(AN666="",0,AN666)+AP667,INDEX('Aub Demand'!Q:Q,MATCH($O666,'Aub Demand'!$A:$A,0))-IF(AN666="",0,AN666)),"")</f>
        <v>5521</v>
      </c>
      <c r="V666" s="53" t="str">
        <f t="shared" si="282"/>
        <v>n/a</v>
      </c>
      <c r="W666" s="52" t="str">
        <f t="shared" si="283"/>
        <v/>
      </c>
      <c r="X666" s="52">
        <f>IFERROR(IF(AND(AR667=AR666,AM666&lt;&gt;""),INDEX('Aub Demand'!Q:Q,MATCH($O666,'Aub Demand'!$A:$A,0))-IF(AN666="",0,AN666)+AP667+AD666+AL666,IF(AR667=AR666,INDEX('Aub Demand'!Q:Q,MATCH($O666,'Aub Demand'!$A:$A,0))-IF(AN666="",0,AN666)+AP667+AD666,IF(AM666&lt;&gt;"",INDEX('Aub Demand'!Q:Q,MATCH($O666,'Aub Demand'!$A:$A,0))-IF(AN666="",0,AN666)+AD666+AL666,INDEX('Aub Demand'!Q:Q,MATCH($O666,'Aub Demand'!$A:$A,0))-IF(AN666="",0,AN666)+AD666))),"")</f>
        <v>5521</v>
      </c>
      <c r="Y666" s="53" t="str">
        <f t="shared" si="284"/>
        <v>n/a</v>
      </c>
      <c r="Z666" s="52">
        <f>IF(L666="","",INDEX('Aub Demand'!H:H,MATCH($O666,'Aub Demand'!$A:$A,0)))</f>
        <v>0</v>
      </c>
      <c r="AA666" s="52" t="str">
        <f t="shared" si="285"/>
        <v>-spike-</v>
      </c>
      <c r="AB666" s="52">
        <f>IFERROR(INDEX('Aub Demand'!L:L,MATCH($O666,'Aub Demand'!$A:$A,0)),"")</f>
        <v>0</v>
      </c>
      <c r="AC666" s="52">
        <f>IFERROR(IF(O666="","",SUMIFS('CPL Mats'!F:F,'CPL Mats'!Q:Q,AR666,'CPL Mats'!S:S,AS666)),"")</f>
        <v>0</v>
      </c>
      <c r="AF666" s="25" t="str">
        <f>IF(SUMIFS('Supp Consol'!S:S,'Supp Consol'!Y:Y,"Releasable",'Supp Consol'!A:A,O666)=0,"",SUMIFS('Supp Consol'!S:S,'Supp Consol'!Y:Y,"Releasable",'Supp Consol'!A:A,O666))</f>
        <v/>
      </c>
      <c r="AG666" s="25">
        <f>IFERROR(INDEX('Hun Demand'!Q:Q,MATCH(O666,'Hun Demand'!A:A,0)),"")</f>
        <v>106</v>
      </c>
      <c r="AH666" s="25">
        <f>IFERROR(INDEX('Hun Demand'!H:H,MATCH($O666,'Hun Demand'!$A:$A,0)),"")</f>
        <v>183</v>
      </c>
      <c r="AI666" s="25" t="str">
        <f>IF(SUMIFS('Supp Consol'!AA:AA,'Supp Consol'!Z:Z,"Expires this month",'Supp Consol'!A:A,O666)=0,"",SUMIFS('Supp Consol'!AA:AA,'Supp Consol'!Z:Z,"Expires this month",'Supp Consol'!A:A,O666))</f>
        <v/>
      </c>
      <c r="AJ666" s="25" t="str">
        <f>IF(SUMIFS('Supp Consol'!AA:AA,'Supp Consol'!Z:Z,"Expired Previous Months",'Supp Consol'!A:A,O666)=0,"",SUMIFS('Supp Consol'!AA:AA,'Supp Consol'!Z:Z,"Expired Previous Months",'Supp Consol'!A:A,O666))</f>
        <v/>
      </c>
      <c r="AK666" s="25" t="str">
        <f>IFERROR(INDEX('Hun Release Current'!B:B,MATCH(O666,'Hun Release Current'!A:A,0)),"")</f>
        <v/>
      </c>
      <c r="AL666" s="25" t="str">
        <f>IF(SUMIF('Prev Aub'!A:A,O666,'Prev Aub'!B:B)=0,"",SUMIF('Prev Aub'!A:A,O666,'Prev Aub'!B:B))</f>
        <v/>
      </c>
      <c r="AN666" s="25" t="s">
        <v>3790</v>
      </c>
      <c r="AO666" s="25" t="s">
        <v>3790</v>
      </c>
      <c r="AP666" s="25">
        <f t="shared" si="286"/>
        <v>0</v>
      </c>
      <c r="AQ666" s="151" t="str">
        <f>IF(SUMIFS('Supp Consol'!S:S,'Supp Consol'!A:A,O666,'Supp Consol'!I:I,"PENDING")=0,"",SUMIFS('Supp Consol'!S:S,'Supp Consol'!A:A,O666,'Supp Consol'!I:I,"PENDING"))</f>
        <v/>
      </c>
      <c r="AR666" s="27" t="str">
        <f t="shared" si="287"/>
        <v>KM036</v>
      </c>
      <c r="AS666" s="27" t="str">
        <f t="shared" si="288"/>
        <v>62</v>
      </c>
      <c r="AT666" s="27" t="str">
        <f t="shared" si="289"/>
        <v/>
      </c>
      <c r="AU666" s="27" t="str">
        <f t="shared" si="290"/>
        <v/>
      </c>
      <c r="AV666" s="27" t="str">
        <f t="shared" si="291"/>
        <v/>
      </c>
      <c r="AW666" s="27" t="str">
        <f t="shared" si="292"/>
        <v/>
      </c>
      <c r="AX666" s="27" t="str">
        <f t="shared" si="293"/>
        <v/>
      </c>
      <c r="AY666" s="27" t="str">
        <f t="shared" si="294"/>
        <v/>
      </c>
      <c r="AZ666" s="27" t="str">
        <f t="shared" si="295"/>
        <v/>
      </c>
      <c r="BA666" s="27" t="str">
        <f t="shared" si="296"/>
        <v/>
      </c>
      <c r="BB666" s="27" t="str">
        <f t="shared" si="297"/>
        <v/>
      </c>
      <c r="BC666" s="27" t="str">
        <f t="shared" si="298"/>
        <v/>
      </c>
      <c r="BD666" s="27" t="str">
        <f t="shared" si="299"/>
        <v/>
      </c>
      <c r="BE666" s="27" t="str">
        <f t="shared" si="300"/>
        <v/>
      </c>
      <c r="BF666" s="27" t="str">
        <f t="shared" si="301"/>
        <v/>
      </c>
      <c r="BG666" s="27" t="str">
        <f t="shared" si="302"/>
        <v/>
      </c>
      <c r="BH666" s="27" t="str">
        <f t="shared" si="303"/>
        <v/>
      </c>
      <c r="BI666" s="27" t="str">
        <f t="shared" si="304"/>
        <v/>
      </c>
      <c r="BJ666" s="27" t="str">
        <f t="shared" si="305"/>
        <v/>
      </c>
      <c r="BK666" s="27" t="str">
        <f t="shared" si="306"/>
        <v/>
      </c>
      <c r="BL666" s="27" t="str">
        <f t="shared" si="307"/>
        <v/>
      </c>
      <c r="BM666" s="21" t="s">
        <v>5582</v>
      </c>
    </row>
    <row r="667" spans="1:65" ht="15">
      <c r="A667" s="25" t="str">
        <f>IFERROR(INDEX('Hun Demand'!W:W,MATCH(O667,'Hun Demand'!A:A,0)),"")</f>
        <v/>
      </c>
      <c r="B667" s="25" t="str">
        <f>IFERROR(INDEX('Hun Demand'!V:V,MATCH(O667,'Hun Demand'!A:A,0)),"")</f>
        <v/>
      </c>
      <c r="C667" s="25" t="str">
        <f>IFERROR(INDEX('Hun Demand'!U:U,MATCH(O667,'Hun Demand'!A:A,0)),"")</f>
        <v/>
      </c>
      <c r="D667" s="25" t="str">
        <f>IFERROR(INDEX('Hun Demand'!T:T,MATCH(O667,'Hun Demand'!A:A,0)),"")</f>
        <v/>
      </c>
      <c r="E667" s="25" t="str">
        <f>IFERROR(INDEX('Hun Demand'!S:S,MATCH(O667,'Hun Demand'!A:A,0)),"")</f>
        <v/>
      </c>
      <c r="F667" s="25" t="str">
        <f>IFERROR(INDEX('Hun Demand'!R:R,MATCH(O667,'Hun Demand'!A:A,0)),"")</f>
        <v/>
      </c>
      <c r="G667" s="25">
        <f>IFERROR(INDEX('Aub Demand'!W:W,MATCH(O667,'Aub Demand'!A:A,0)),"")</f>
        <v>0</v>
      </c>
      <c r="H667" s="25">
        <f>IFERROR(INDEX('Aub Demand'!V:V,MATCH(O667,'Aub Demand'!A:A,0)),"")</f>
        <v>0</v>
      </c>
      <c r="I667" s="25">
        <f>IFERROR(INDEX('Aub Demand'!U:U,MATCH(O667,'Aub Demand'!A:A,0)),"")</f>
        <v>0</v>
      </c>
      <c r="J667" s="25">
        <f>IFERROR(INDEX('Aub Demand'!T:T,MATCH(O667,'Aub Demand'!A:A,0)),"")</f>
        <v>0</v>
      </c>
      <c r="K667" s="25">
        <f>IFERROR(INDEX('Aub Demand'!S:S,MATCH(O667,'Aub Demand'!A:A,0)),"")</f>
        <v>0</v>
      </c>
      <c r="L667" s="25">
        <f>IFERROR(INDEX('Aub Demand'!R:R,MATCH(O667,'Aub Demand'!A:A,0)),"")</f>
        <v>0</v>
      </c>
      <c r="O667" s="27" t="s">
        <v>1103</v>
      </c>
      <c r="P667" s="27" t="str">
        <f>IFERROR(INDEX('Aub Demand'!B:B,MATCH($O667,'Aub Demand'!$A:$A,0)),"")</f>
        <v>MG URBAN MARBLE</v>
      </c>
      <c r="Q667" s="27" t="str">
        <f>IFERROR(INDEX('Aub Demand'!C:C,MATCH($O667,'Aub Demand'!$A:$A,0)),"")</f>
        <v>INTER</v>
      </c>
      <c r="R667" s="52">
        <f>IFERROR(IF(AR668=AR667,INDEX('Aub Demand'!K:K,MATCH($O667,'Aub Demand'!$A:$A,0))-IF(AN667="",0,AN667)+AP668,INDEX('Aub Demand'!K:K,MATCH($O667,'Aub Demand'!$A:$A,0))-IF(AN667="",0,AN667)),"")</f>
        <v>1881</v>
      </c>
      <c r="S667" s="53" t="str">
        <f t="shared" si="280"/>
        <v>n/a</v>
      </c>
      <c r="T667" s="52" t="str">
        <f t="shared" si="281"/>
        <v/>
      </c>
      <c r="U667" s="52">
        <f>IFERROR(IF(AR668=AR667,INDEX('Aub Demand'!Q:Q,MATCH($O667,'Aub Demand'!$A:$A,0))-IF(AN667="",0,AN667)+AP668,INDEX('Aub Demand'!Q:Q,MATCH($O667,'Aub Demand'!$A:$A,0))-IF(AN667="",0,AN667)),"")</f>
        <v>1881</v>
      </c>
      <c r="V667" s="53" t="str">
        <f t="shared" si="282"/>
        <v>n/a</v>
      </c>
      <c r="W667" s="52" t="str">
        <f t="shared" si="283"/>
        <v/>
      </c>
      <c r="X667" s="52">
        <f>IFERROR(IF(AND(AR668=AR667,AM667&lt;&gt;""),INDEX('Aub Demand'!Q:Q,MATCH($O667,'Aub Demand'!$A:$A,0))-IF(AN667="",0,AN667)+AP668+AD667+AL667,IF(AR668=AR667,INDEX('Aub Demand'!Q:Q,MATCH($O667,'Aub Demand'!$A:$A,0))-IF(AN667="",0,AN667)+AP668+AD667,IF(AM667&lt;&gt;"",INDEX('Aub Demand'!Q:Q,MATCH($O667,'Aub Demand'!$A:$A,0))-IF(AN667="",0,AN667)+AD667+AL667,INDEX('Aub Demand'!Q:Q,MATCH($O667,'Aub Demand'!$A:$A,0))-IF(AN667="",0,AN667)+AD667))),"")</f>
        <v>1881</v>
      </c>
      <c r="Y667" s="53" t="str">
        <f t="shared" si="284"/>
        <v>n/a</v>
      </c>
      <c r="Z667" s="52">
        <f>IF(L667="","",INDEX('Aub Demand'!H:H,MATCH($O667,'Aub Demand'!$A:$A,0)))</f>
        <v>0</v>
      </c>
      <c r="AA667" s="52" t="str">
        <f t="shared" si="285"/>
        <v>-spike-</v>
      </c>
      <c r="AB667" s="52">
        <f>IFERROR(INDEX('Aub Demand'!L:L,MATCH($O667,'Aub Demand'!$A:$A,0)),"")</f>
        <v>0</v>
      </c>
      <c r="AC667" s="52">
        <f>IFERROR(IF(O667="","",SUMIFS('CPL Mats'!F:F,'CPL Mats'!Q:Q,AR667,'CPL Mats'!S:S,AS667)),"")</f>
        <v>0</v>
      </c>
      <c r="AF667" s="25" t="str">
        <f>IF(SUMIFS('Supp Consol'!S:S,'Supp Consol'!Y:Y,"Releasable",'Supp Consol'!A:A,O667)=0,"",SUMIFS('Supp Consol'!S:S,'Supp Consol'!Y:Y,"Releasable",'Supp Consol'!A:A,O667))</f>
        <v/>
      </c>
      <c r="AG667" s="25" t="str">
        <f>IFERROR(INDEX('Hun Demand'!Q:Q,MATCH(O667,'Hun Demand'!A:A,0)),"")</f>
        <v/>
      </c>
      <c r="AH667" s="25" t="str">
        <f>IFERROR(INDEX('Hun Demand'!H:H,MATCH($O667,'Hun Demand'!$A:$A,0)),"")</f>
        <v/>
      </c>
      <c r="AI667" s="25" t="str">
        <f>IF(SUMIFS('Supp Consol'!AA:AA,'Supp Consol'!Z:Z,"Expires this month",'Supp Consol'!A:A,O667)=0,"",SUMIFS('Supp Consol'!AA:AA,'Supp Consol'!Z:Z,"Expires this month",'Supp Consol'!A:A,O667))</f>
        <v/>
      </c>
      <c r="AJ667" s="25" t="str">
        <f>IF(SUMIFS('Supp Consol'!AA:AA,'Supp Consol'!Z:Z,"Expired Previous Months",'Supp Consol'!A:A,O667)=0,"",SUMIFS('Supp Consol'!AA:AA,'Supp Consol'!Z:Z,"Expired Previous Months",'Supp Consol'!A:A,O667))</f>
        <v/>
      </c>
      <c r="AK667" s="25" t="str">
        <f>IFERROR(INDEX('Hun Release Current'!B:B,MATCH(O667,'Hun Release Current'!A:A,0)),"")</f>
        <v/>
      </c>
      <c r="AL667" s="25" t="str">
        <f>IF(SUMIF('Prev Aub'!A:A,O667,'Prev Aub'!B:B)=0,"",SUMIF('Prev Aub'!A:A,O667,'Prev Aub'!B:B))</f>
        <v/>
      </c>
      <c r="AN667" s="25" t="s">
        <v>3790</v>
      </c>
      <c r="AO667" s="25" t="s">
        <v>3790</v>
      </c>
      <c r="AP667" s="25">
        <f t="shared" si="286"/>
        <v>0</v>
      </c>
      <c r="AQ667" s="151" t="str">
        <f>IF(SUMIFS('Supp Consol'!S:S,'Supp Consol'!A:A,O667,'Supp Consol'!I:I,"PENDING")=0,"",SUMIFS('Supp Consol'!S:S,'Supp Consol'!A:A,O667,'Supp Consol'!I:I,"PENDING"))</f>
        <v/>
      </c>
      <c r="AR667" s="27" t="str">
        <f t="shared" si="287"/>
        <v>KM038</v>
      </c>
      <c r="AS667" s="27" t="str">
        <f t="shared" si="288"/>
        <v>50</v>
      </c>
      <c r="AT667" s="27" t="str">
        <f t="shared" si="289"/>
        <v/>
      </c>
      <c r="AU667" s="27" t="str">
        <f t="shared" si="290"/>
        <v/>
      </c>
      <c r="AV667" s="27" t="str">
        <f t="shared" si="291"/>
        <v/>
      </c>
      <c r="AW667" s="27" t="str">
        <f t="shared" si="292"/>
        <v/>
      </c>
      <c r="AX667" s="27" t="str">
        <f t="shared" si="293"/>
        <v/>
      </c>
      <c r="AY667" s="27" t="str">
        <f t="shared" si="294"/>
        <v/>
      </c>
      <c r="AZ667" s="27" t="str">
        <f t="shared" si="295"/>
        <v/>
      </c>
      <c r="BA667" s="27" t="str">
        <f t="shared" si="296"/>
        <v/>
      </c>
      <c r="BB667" s="27" t="str">
        <f t="shared" si="297"/>
        <v>Gross</v>
      </c>
      <c r="BC667" s="27" t="str">
        <f t="shared" si="298"/>
        <v>Net</v>
      </c>
      <c r="BD667" s="27" t="str">
        <f t="shared" si="299"/>
        <v>Net</v>
      </c>
      <c r="BE667" s="27" t="str">
        <f t="shared" si="300"/>
        <v/>
      </c>
      <c r="BF667" s="27" t="str">
        <f t="shared" si="301"/>
        <v/>
      </c>
      <c r="BG667" s="27" t="str">
        <f t="shared" si="302"/>
        <v/>
      </c>
      <c r="BH667" s="27" t="str">
        <f t="shared" si="303"/>
        <v/>
      </c>
      <c r="BI667" s="27" t="str">
        <f t="shared" si="304"/>
        <v/>
      </c>
      <c r="BJ667" s="27" t="str">
        <f t="shared" si="305"/>
        <v/>
      </c>
      <c r="BK667" s="27" t="str">
        <f t="shared" si="306"/>
        <v/>
      </c>
      <c r="BL667" s="27" t="str">
        <f t="shared" si="307"/>
        <v/>
      </c>
      <c r="BM667" s="21" t="s">
        <v>5581</v>
      </c>
    </row>
    <row r="668" spans="1:65" ht="15">
      <c r="A668" s="25" t="str">
        <f>IFERROR(INDEX('Hun Demand'!W:W,MATCH(O668,'Hun Demand'!A:A,0)),"")</f>
        <v/>
      </c>
      <c r="B668" s="25" t="str">
        <f>IFERROR(INDEX('Hun Demand'!V:V,MATCH(O668,'Hun Demand'!A:A,0)),"")</f>
        <v/>
      </c>
      <c r="C668" s="25" t="str">
        <f>IFERROR(INDEX('Hun Demand'!U:U,MATCH(O668,'Hun Demand'!A:A,0)),"")</f>
        <v/>
      </c>
      <c r="D668" s="25" t="str">
        <f>IFERROR(INDEX('Hun Demand'!T:T,MATCH(O668,'Hun Demand'!A:A,0)),"")</f>
        <v/>
      </c>
      <c r="E668" s="25" t="str">
        <f>IFERROR(INDEX('Hun Demand'!S:S,MATCH(O668,'Hun Demand'!A:A,0)),"")</f>
        <v/>
      </c>
      <c r="F668" s="25" t="str">
        <f>IFERROR(INDEX('Hun Demand'!R:R,MATCH(O668,'Hun Demand'!A:A,0)),"")</f>
        <v/>
      </c>
      <c r="G668" s="25">
        <f>IFERROR(INDEX('Aub Demand'!W:W,MATCH(O668,'Aub Demand'!A:A,0)),"")</f>
        <v>117</v>
      </c>
      <c r="H668" s="25">
        <f>IFERROR(INDEX('Aub Demand'!V:V,MATCH(O668,'Aub Demand'!A:A,0)),"")</f>
        <v>336</v>
      </c>
      <c r="I668" s="25">
        <f>IFERROR(INDEX('Aub Demand'!U:U,MATCH(O668,'Aub Demand'!A:A,0)),"")</f>
        <v>458</v>
      </c>
      <c r="J668" s="25">
        <f>IFERROR(INDEX('Aub Demand'!T:T,MATCH(O668,'Aub Demand'!A:A,0)),"")</f>
        <v>685</v>
      </c>
      <c r="K668" s="25">
        <f>IFERROR(INDEX('Aub Demand'!S:S,MATCH(O668,'Aub Demand'!A:A,0)),"")</f>
        <v>638</v>
      </c>
      <c r="L668" s="25">
        <f>IFERROR(INDEX('Aub Demand'!R:R,MATCH(O668,'Aub Demand'!A:A,0)),"")</f>
        <v>0</v>
      </c>
      <c r="O668" s="27" t="s">
        <v>1106</v>
      </c>
      <c r="P668" s="27" t="str">
        <f>IFERROR(INDEX('Aub Demand'!B:B,MATCH($O668,'Aub Demand'!$A:$A,0)),"")</f>
        <v>MG URBAN MARBLE</v>
      </c>
      <c r="Q668" s="27" t="str">
        <f>IFERROR(INDEX('Aub Demand'!C:C,MATCH($O668,'Aub Demand'!$A:$A,0)),"")</f>
        <v>INTER</v>
      </c>
      <c r="R668" s="52">
        <f>IFERROR(IF(AR669=AR668,INDEX('Aub Demand'!K:K,MATCH($O668,'Aub Demand'!$A:$A,0))-IF(AN668="",0,AN668)+AP669,INDEX('Aub Demand'!K:K,MATCH($O668,'Aub Demand'!$A:$A,0))-IF(AN668="",0,AN668)),"")</f>
        <v>0</v>
      </c>
      <c r="S668" s="53">
        <f t="shared" si="280"/>
        <v>0</v>
      </c>
      <c r="T668" s="52">
        <f t="shared" si="281"/>
        <v>496.125</v>
      </c>
      <c r="U668" s="52">
        <f>IFERROR(IF(AR669=AR668,INDEX('Aub Demand'!Q:Q,MATCH($O668,'Aub Demand'!$A:$A,0))-IF(AN668="",0,AN668)+AP669,INDEX('Aub Demand'!Q:Q,MATCH($O668,'Aub Demand'!$A:$A,0))-IF(AN668="",0,AN668)),"")</f>
        <v>-1055</v>
      </c>
      <c r="V668" s="53">
        <f t="shared" si="282"/>
        <v>-7.6</v>
      </c>
      <c r="W668" s="52">
        <f t="shared" si="283"/>
        <v>1752.9749999999999</v>
      </c>
      <c r="X668" s="52">
        <f>IFERROR(IF(AND(AR669=AR668,AM668&lt;&gt;""),INDEX('Aub Demand'!Q:Q,MATCH($O668,'Aub Demand'!$A:$A,0))-IF(AN668="",0,AN668)+AP669+AD668+AL668,IF(AR669=AR668,INDEX('Aub Demand'!Q:Q,MATCH($O668,'Aub Demand'!$A:$A,0))-IF(AN668="",0,AN668)+AP669+AD668,IF(AM668&lt;&gt;"",INDEX('Aub Demand'!Q:Q,MATCH($O668,'Aub Demand'!$A:$A,0))-IF(AN668="",0,AN668)+AD668+AL668,INDEX('Aub Demand'!Q:Q,MATCH($O668,'Aub Demand'!$A:$A,0))-IF(AN668="",0,AN668)+AD668))),"")</f>
        <v>-1055</v>
      </c>
      <c r="Y668" s="53">
        <f t="shared" si="284"/>
        <v>-7.6</v>
      </c>
      <c r="Z668" s="52">
        <f>IF(L668="","",INDEX('Aub Demand'!H:H,MATCH($O668,'Aub Demand'!$A:$A,0)))</f>
        <v>594</v>
      </c>
      <c r="AA668" s="52">
        <f t="shared" si="285"/>
        <v>661.5</v>
      </c>
      <c r="AB668" s="52">
        <f>IFERROR(INDEX('Aub Demand'!L:L,MATCH($O668,'Aub Demand'!$A:$A,0)),"")</f>
        <v>143</v>
      </c>
      <c r="AC668" s="52">
        <f>IFERROR(IF(O668="","",SUMIFS('CPL Mats'!F:F,'CPL Mats'!Q:Q,AR668,'CPL Mats'!S:S,AS668)),"")</f>
        <v>0</v>
      </c>
      <c r="AF668" s="25" t="str">
        <f>IF(SUMIFS('Supp Consol'!S:S,'Supp Consol'!Y:Y,"Releasable",'Supp Consol'!A:A,O668)=0,"",SUMIFS('Supp Consol'!S:S,'Supp Consol'!Y:Y,"Releasable",'Supp Consol'!A:A,O668))</f>
        <v/>
      </c>
      <c r="AG668" s="25" t="str">
        <f>IFERROR(INDEX('Hun Demand'!Q:Q,MATCH(O668,'Hun Demand'!A:A,0)),"")</f>
        <v/>
      </c>
      <c r="AH668" s="25" t="str">
        <f>IFERROR(INDEX('Hun Demand'!H:H,MATCH($O668,'Hun Demand'!$A:$A,0)),"")</f>
        <v/>
      </c>
      <c r="AI668" s="25" t="str">
        <f>IF(SUMIFS('Supp Consol'!AA:AA,'Supp Consol'!Z:Z,"Expires this month",'Supp Consol'!A:A,O668)=0,"",SUMIFS('Supp Consol'!AA:AA,'Supp Consol'!Z:Z,"Expires this month",'Supp Consol'!A:A,O668))</f>
        <v/>
      </c>
      <c r="AJ668" s="25" t="str">
        <f>IF(SUMIFS('Supp Consol'!AA:AA,'Supp Consol'!Z:Z,"Expired Previous Months",'Supp Consol'!A:A,O668)=0,"",SUMIFS('Supp Consol'!AA:AA,'Supp Consol'!Z:Z,"Expired Previous Months",'Supp Consol'!A:A,O668))</f>
        <v/>
      </c>
      <c r="AK668" s="25" t="str">
        <f>IFERROR(INDEX('Hun Release Current'!B:B,MATCH(O668,'Hun Release Current'!A:A,0)),"")</f>
        <v/>
      </c>
      <c r="AL668" s="25" t="str">
        <f>IF(SUMIF('Prev Aub'!A:A,O668,'Prev Aub'!B:B)=0,"",SUMIF('Prev Aub'!A:A,O668,'Prev Aub'!B:B))</f>
        <v/>
      </c>
      <c r="AN668" s="25" t="s">
        <v>3790</v>
      </c>
      <c r="AO668" s="25" t="s">
        <v>3790</v>
      </c>
      <c r="AP668" s="25">
        <f t="shared" si="286"/>
        <v>0</v>
      </c>
      <c r="AQ668" s="151" t="str">
        <f>IF(SUMIFS('Supp Consol'!S:S,'Supp Consol'!A:A,O668,'Supp Consol'!I:I,"PENDING")=0,"",SUMIFS('Supp Consol'!S:S,'Supp Consol'!A:A,O668,'Supp Consol'!I:I,"PENDING"))</f>
        <v/>
      </c>
      <c r="AR668" s="27" t="str">
        <f t="shared" si="287"/>
        <v>KM038</v>
      </c>
      <c r="AS668" s="27" t="str">
        <f t="shared" si="288"/>
        <v>62</v>
      </c>
      <c r="AT668" s="27" t="str">
        <f t="shared" si="289"/>
        <v>KM038</v>
      </c>
      <c r="AU668" s="27" t="str">
        <f t="shared" si="290"/>
        <v>KM038</v>
      </c>
      <c r="AV668" s="27" t="str">
        <f t="shared" si="291"/>
        <v>KM038</v>
      </c>
      <c r="AW668" s="27" t="str">
        <f t="shared" si="292"/>
        <v/>
      </c>
      <c r="AX668" s="27" t="str">
        <f t="shared" si="293"/>
        <v/>
      </c>
      <c r="AY668" s="27" t="str">
        <f t="shared" si="294"/>
        <v/>
      </c>
      <c r="AZ668" s="27" t="str">
        <f t="shared" si="295"/>
        <v/>
      </c>
      <c r="BA668" s="27" t="str">
        <f t="shared" si="296"/>
        <v/>
      </c>
      <c r="BB668" s="27" t="str">
        <f t="shared" si="297"/>
        <v>Gross</v>
      </c>
      <c r="BC668" s="27" t="str">
        <f t="shared" si="298"/>
        <v>Net</v>
      </c>
      <c r="BD668" s="27" t="str">
        <f t="shared" si="299"/>
        <v>Net</v>
      </c>
      <c r="BE668" s="27" t="str">
        <f t="shared" si="300"/>
        <v/>
      </c>
      <c r="BF668" s="27" t="str">
        <f t="shared" si="301"/>
        <v/>
      </c>
      <c r="BG668" s="27" t="str">
        <f t="shared" si="302"/>
        <v/>
      </c>
      <c r="BH668" s="27" t="str">
        <f t="shared" si="303"/>
        <v/>
      </c>
      <c r="BI668" s="27" t="str">
        <f t="shared" si="304"/>
        <v/>
      </c>
      <c r="BJ668" s="27" t="str">
        <f t="shared" si="305"/>
        <v/>
      </c>
      <c r="BK668" s="27" t="str">
        <f t="shared" si="306"/>
        <v/>
      </c>
      <c r="BL668" s="27" t="str">
        <f t="shared" si="307"/>
        <v/>
      </c>
      <c r="BM668" s="21" t="s">
        <v>5581</v>
      </c>
    </row>
    <row r="669" spans="1:65" ht="15">
      <c r="A669" s="25" t="str">
        <f>IFERROR(INDEX('Hun Demand'!W:W,MATCH(O669,'Hun Demand'!A:A,0)),"")</f>
        <v/>
      </c>
      <c r="B669" s="25" t="str">
        <f>IFERROR(INDEX('Hun Demand'!V:V,MATCH(O669,'Hun Demand'!A:A,0)),"")</f>
        <v/>
      </c>
      <c r="C669" s="25" t="str">
        <f>IFERROR(INDEX('Hun Demand'!U:U,MATCH(O669,'Hun Demand'!A:A,0)),"")</f>
        <v/>
      </c>
      <c r="D669" s="25" t="str">
        <f>IFERROR(INDEX('Hun Demand'!T:T,MATCH(O669,'Hun Demand'!A:A,0)),"")</f>
        <v/>
      </c>
      <c r="E669" s="25" t="str">
        <f>IFERROR(INDEX('Hun Demand'!S:S,MATCH(O669,'Hun Demand'!A:A,0)),"")</f>
        <v/>
      </c>
      <c r="F669" s="25" t="str">
        <f>IFERROR(INDEX('Hun Demand'!R:R,MATCH(O669,'Hun Demand'!A:A,0)),"")</f>
        <v/>
      </c>
      <c r="G669" s="25">
        <f>IFERROR(INDEX('Aub Demand'!W:W,MATCH(O669,'Aub Demand'!A:A,0)),"")</f>
        <v>0</v>
      </c>
      <c r="H669" s="25">
        <f>IFERROR(INDEX('Aub Demand'!V:V,MATCH(O669,'Aub Demand'!A:A,0)),"")</f>
        <v>156</v>
      </c>
      <c r="I669" s="25">
        <f>IFERROR(INDEX('Aub Demand'!U:U,MATCH(O669,'Aub Demand'!A:A,0)),"")</f>
        <v>10</v>
      </c>
      <c r="J669" s="25">
        <f>IFERROR(INDEX('Aub Demand'!T:T,MATCH(O669,'Aub Demand'!A:A,0)),"")</f>
        <v>0</v>
      </c>
      <c r="K669" s="25">
        <f>IFERROR(INDEX('Aub Demand'!S:S,MATCH(O669,'Aub Demand'!A:A,0)),"")</f>
        <v>0</v>
      </c>
      <c r="L669" s="25">
        <f>IFERROR(INDEX('Aub Demand'!R:R,MATCH(O669,'Aub Demand'!A:A,0)),"")</f>
        <v>0</v>
      </c>
      <c r="O669" s="27" t="s">
        <v>3376</v>
      </c>
      <c r="P669" s="27" t="str">
        <f>IFERROR(INDEX('Aub Demand'!B:B,MATCH($O669,'Aub Demand'!$A:$A,0)),"")</f>
        <v>STINSON GRAY</v>
      </c>
      <c r="Q669" s="27" t="str">
        <f>IFERROR(INDEX('Aub Demand'!C:C,MATCH($O669,'Aub Demand'!$A:$A,0)),"")</f>
        <v>INTER</v>
      </c>
      <c r="R669" s="52">
        <f>IFERROR(IF(AR670=AR669,INDEX('Aub Demand'!K:K,MATCH($O669,'Aub Demand'!$A:$A,0))-IF(AN669="",0,AN669)+AP670,INDEX('Aub Demand'!K:K,MATCH($O669,'Aub Demand'!$A:$A,0))-IF(AN669="",0,AN669)),"")</f>
        <v>269</v>
      </c>
      <c r="S669" s="53">
        <f t="shared" si="280"/>
        <v>384.3</v>
      </c>
      <c r="T669" s="52" t="str">
        <f t="shared" si="281"/>
        <v/>
      </c>
      <c r="U669" s="52">
        <f>IFERROR(IF(AR670=AR669,INDEX('Aub Demand'!Q:Q,MATCH($O669,'Aub Demand'!$A:$A,0))-IF(AN669="",0,AN669)+AP670,INDEX('Aub Demand'!Q:Q,MATCH($O669,'Aub Demand'!$A:$A,0))-IF(AN669="",0,AN669)),"")</f>
        <v>269</v>
      </c>
      <c r="V669" s="53">
        <f t="shared" si="282"/>
        <v>384.3</v>
      </c>
      <c r="W669" s="52" t="str">
        <f t="shared" si="283"/>
        <v/>
      </c>
      <c r="X669" s="52">
        <f>IFERROR(IF(AND(AR670=AR669,AM669&lt;&gt;""),INDEX('Aub Demand'!Q:Q,MATCH($O669,'Aub Demand'!$A:$A,0))-IF(AN669="",0,AN669)+AP670+AD669+AL669,IF(AR670=AR669,INDEX('Aub Demand'!Q:Q,MATCH($O669,'Aub Demand'!$A:$A,0))-IF(AN669="",0,AN669)+AP670+AD669,IF(AM669&lt;&gt;"",INDEX('Aub Demand'!Q:Q,MATCH($O669,'Aub Demand'!$A:$A,0))-IF(AN669="",0,AN669)+AD669+AL669,INDEX('Aub Demand'!Q:Q,MATCH($O669,'Aub Demand'!$A:$A,0))-IF(AN669="",0,AN669)+AD669))),"")</f>
        <v>269</v>
      </c>
      <c r="Y669" s="53">
        <f t="shared" si="284"/>
        <v>384.3</v>
      </c>
      <c r="Z669" s="52">
        <f>IF(L669="","",INDEX('Aub Demand'!H:H,MATCH($O669,'Aub Demand'!$A:$A,0)))</f>
        <v>3</v>
      </c>
      <c r="AA669" s="52" t="str">
        <f t="shared" si="285"/>
        <v>-spike-</v>
      </c>
      <c r="AB669" s="52">
        <f>IFERROR(INDEX('Aub Demand'!L:L,MATCH($O669,'Aub Demand'!$A:$A,0)),"")</f>
        <v>0</v>
      </c>
      <c r="AC669" s="52">
        <f>IFERROR(IF(O669="","",SUMIFS('CPL Mats'!F:F,'CPL Mats'!Q:Q,AR669,'CPL Mats'!S:S,AS669)),"")</f>
        <v>0</v>
      </c>
      <c r="AF669" s="25" t="str">
        <f>IF(SUMIFS('Supp Consol'!S:S,'Supp Consol'!Y:Y,"Releasable",'Supp Consol'!A:A,O669)=0,"",SUMIFS('Supp Consol'!S:S,'Supp Consol'!Y:Y,"Releasable",'Supp Consol'!A:A,O669))</f>
        <v/>
      </c>
      <c r="AG669" s="25" t="str">
        <f>IFERROR(INDEX('Hun Demand'!Q:Q,MATCH(O669,'Hun Demand'!A:A,0)),"")</f>
        <v/>
      </c>
      <c r="AH669" s="25" t="str">
        <f>IFERROR(INDEX('Hun Demand'!H:H,MATCH($O669,'Hun Demand'!$A:$A,0)),"")</f>
        <v/>
      </c>
      <c r="AI669" s="25" t="str">
        <f>IF(SUMIFS('Supp Consol'!AA:AA,'Supp Consol'!Z:Z,"Expires this month",'Supp Consol'!A:A,O669)=0,"",SUMIFS('Supp Consol'!AA:AA,'Supp Consol'!Z:Z,"Expires this month",'Supp Consol'!A:A,O669))</f>
        <v/>
      </c>
      <c r="AJ669" s="25" t="str">
        <f>IF(SUMIFS('Supp Consol'!AA:AA,'Supp Consol'!Z:Z,"Expired Previous Months",'Supp Consol'!A:A,O669)=0,"",SUMIFS('Supp Consol'!AA:AA,'Supp Consol'!Z:Z,"Expired Previous Months",'Supp Consol'!A:A,O669))</f>
        <v/>
      </c>
      <c r="AK669" s="25" t="str">
        <f>IFERROR(INDEX('Hun Release Current'!B:B,MATCH(O669,'Hun Release Current'!A:A,0)),"")</f>
        <v/>
      </c>
      <c r="AL669" s="25" t="str">
        <f>IF(SUMIF('Prev Aub'!A:A,O669,'Prev Aub'!B:B)=0,"",SUMIF('Prev Aub'!A:A,O669,'Prev Aub'!B:B))</f>
        <v/>
      </c>
      <c r="AN669" s="25" t="s">
        <v>3790</v>
      </c>
      <c r="AO669" s="25" t="s">
        <v>3790</v>
      </c>
      <c r="AP669" s="25">
        <f t="shared" si="286"/>
        <v>0</v>
      </c>
      <c r="AQ669" s="151" t="str">
        <f>IF(SUMIFS('Supp Consol'!S:S,'Supp Consol'!A:A,O669,'Supp Consol'!I:I,"PENDING")=0,"",SUMIFS('Supp Consol'!S:S,'Supp Consol'!A:A,O669,'Supp Consol'!I:I,"PENDING"))</f>
        <v/>
      </c>
      <c r="AR669" s="27" t="str">
        <f t="shared" si="287"/>
        <v>KM039</v>
      </c>
      <c r="AS669" s="27" t="str">
        <f t="shared" si="288"/>
        <v>62</v>
      </c>
      <c r="AT669" s="27" t="str">
        <f t="shared" si="289"/>
        <v/>
      </c>
      <c r="AU669" s="27" t="str">
        <f t="shared" si="290"/>
        <v/>
      </c>
      <c r="AV669" s="27" t="str">
        <f t="shared" si="291"/>
        <v/>
      </c>
      <c r="AW669" s="27" t="str">
        <f t="shared" si="292"/>
        <v/>
      </c>
      <c r="AX669" s="27" t="str">
        <f t="shared" si="293"/>
        <v/>
      </c>
      <c r="AY669" s="27" t="str">
        <f t="shared" si="294"/>
        <v/>
      </c>
      <c r="AZ669" s="27" t="str">
        <f t="shared" si="295"/>
        <v/>
      </c>
      <c r="BA669" s="27" t="str">
        <f t="shared" si="296"/>
        <v/>
      </c>
      <c r="BB669" s="27" t="str">
        <f t="shared" si="297"/>
        <v/>
      </c>
      <c r="BC669" s="27" t="str">
        <f t="shared" si="298"/>
        <v/>
      </c>
      <c r="BD669" s="27" t="str">
        <f t="shared" si="299"/>
        <v/>
      </c>
      <c r="BE669" s="27" t="str">
        <f t="shared" si="300"/>
        <v/>
      </c>
      <c r="BF669" s="27" t="str">
        <f t="shared" si="301"/>
        <v/>
      </c>
      <c r="BG669" s="27" t="str">
        <f t="shared" si="302"/>
        <v/>
      </c>
      <c r="BH669" s="27" t="str">
        <f t="shared" si="303"/>
        <v/>
      </c>
      <c r="BI669" s="27" t="str">
        <f t="shared" si="304"/>
        <v/>
      </c>
      <c r="BJ669" s="27" t="str">
        <f t="shared" si="305"/>
        <v/>
      </c>
      <c r="BK669" s="27" t="str">
        <f t="shared" si="306"/>
        <v/>
      </c>
      <c r="BL669" s="27" t="str">
        <f t="shared" si="307"/>
        <v/>
      </c>
      <c r="BM669" s="21" t="s">
        <v>5581</v>
      </c>
    </row>
    <row r="670" spans="1:65" ht="15">
      <c r="A670" s="25" t="str">
        <f>IFERROR(INDEX('Hun Demand'!W:W,MATCH(O670,'Hun Demand'!A:A,0)),"")</f>
        <v/>
      </c>
      <c r="B670" s="25" t="str">
        <f>IFERROR(INDEX('Hun Demand'!V:V,MATCH(O670,'Hun Demand'!A:A,0)),"")</f>
        <v/>
      </c>
      <c r="C670" s="25" t="str">
        <f>IFERROR(INDEX('Hun Demand'!U:U,MATCH(O670,'Hun Demand'!A:A,0)),"")</f>
        <v/>
      </c>
      <c r="D670" s="25" t="str">
        <f>IFERROR(INDEX('Hun Demand'!T:T,MATCH(O670,'Hun Demand'!A:A,0)),"")</f>
        <v/>
      </c>
      <c r="E670" s="25" t="str">
        <f>IFERROR(INDEX('Hun Demand'!S:S,MATCH(O670,'Hun Demand'!A:A,0)),"")</f>
        <v/>
      </c>
      <c r="F670" s="25" t="str">
        <f>IFERROR(INDEX('Hun Demand'!R:R,MATCH(O670,'Hun Demand'!A:A,0)),"")</f>
        <v/>
      </c>
      <c r="G670" s="25">
        <f>IFERROR(INDEX('Aub Demand'!W:W,MATCH(O670,'Aub Demand'!A:A,0)),"")</f>
        <v>0</v>
      </c>
      <c r="H670" s="25">
        <f>IFERROR(INDEX('Aub Demand'!V:V,MATCH(O670,'Aub Demand'!A:A,0)),"")</f>
        <v>135</v>
      </c>
      <c r="I670" s="25">
        <f>IFERROR(INDEX('Aub Demand'!U:U,MATCH(O670,'Aub Demand'!A:A,0)),"")</f>
        <v>0</v>
      </c>
      <c r="J670" s="25">
        <f>IFERROR(INDEX('Aub Demand'!T:T,MATCH(O670,'Aub Demand'!A:A,0)),"")</f>
        <v>0</v>
      </c>
      <c r="K670" s="25">
        <f>IFERROR(INDEX('Aub Demand'!S:S,MATCH(O670,'Aub Demand'!A:A,0)),"")</f>
        <v>0</v>
      </c>
      <c r="L670" s="25">
        <f>IFERROR(INDEX('Aub Demand'!R:R,MATCH(O670,'Aub Demand'!A:A,0)),"")</f>
        <v>0</v>
      </c>
      <c r="O670" s="27" t="s">
        <v>3379</v>
      </c>
      <c r="P670" s="27" t="str">
        <f>IFERROR(INDEX('Aub Demand'!B:B,MATCH($O670,'Aub Demand'!$A:$A,0)),"")</f>
        <v>ALEXANDRIA WALNUT</v>
      </c>
      <c r="Q670" s="27" t="str">
        <f>IFERROR(INDEX('Aub Demand'!C:C,MATCH($O670,'Aub Demand'!$A:$A,0)),"")</f>
        <v>ARCLI</v>
      </c>
      <c r="R670" s="52">
        <f>IFERROR(IF(AR671=AR670,INDEX('Aub Demand'!K:K,MATCH($O670,'Aub Demand'!$A:$A,0))-IF(AN670="",0,AN670)+AP671,INDEX('Aub Demand'!K:K,MATCH($O670,'Aub Demand'!$A:$A,0))-IF(AN670="",0,AN670)),"")</f>
        <v>199</v>
      </c>
      <c r="S670" s="53" t="str">
        <f t="shared" si="280"/>
        <v>n/a</v>
      </c>
      <c r="T670" s="52" t="str">
        <f t="shared" si="281"/>
        <v/>
      </c>
      <c r="U670" s="52">
        <f>IFERROR(IF(AR671=AR670,INDEX('Aub Demand'!Q:Q,MATCH($O670,'Aub Demand'!$A:$A,0))-IF(AN670="",0,AN670)+AP671,INDEX('Aub Demand'!Q:Q,MATCH($O670,'Aub Demand'!$A:$A,0))-IF(AN670="",0,AN670)),"")</f>
        <v>199</v>
      </c>
      <c r="V670" s="53" t="str">
        <f t="shared" si="282"/>
        <v>n/a</v>
      </c>
      <c r="W670" s="52" t="str">
        <f t="shared" si="283"/>
        <v/>
      </c>
      <c r="X670" s="52">
        <f>IFERROR(IF(AND(AR671=AR670,AM670&lt;&gt;""),INDEX('Aub Demand'!Q:Q,MATCH($O670,'Aub Demand'!$A:$A,0))-IF(AN670="",0,AN670)+AP671+AD670+AL670,IF(AR671=AR670,INDEX('Aub Demand'!Q:Q,MATCH($O670,'Aub Demand'!$A:$A,0))-IF(AN670="",0,AN670)+AP671+AD670,IF(AM670&lt;&gt;"",INDEX('Aub Demand'!Q:Q,MATCH($O670,'Aub Demand'!$A:$A,0))-IF(AN670="",0,AN670)+AD670+AL670,INDEX('Aub Demand'!Q:Q,MATCH($O670,'Aub Demand'!$A:$A,0))-IF(AN670="",0,AN670)+AD670))),"")</f>
        <v>199</v>
      </c>
      <c r="Y670" s="53" t="str">
        <f t="shared" si="284"/>
        <v>n/a</v>
      </c>
      <c r="Z670" s="52">
        <f>IF(L670="","",INDEX('Aub Demand'!H:H,MATCH($O670,'Aub Demand'!$A:$A,0)))</f>
        <v>0</v>
      </c>
      <c r="AA670" s="52" t="str">
        <f t="shared" si="285"/>
        <v>-spike-</v>
      </c>
      <c r="AB670" s="52">
        <f>IFERROR(INDEX('Aub Demand'!L:L,MATCH($O670,'Aub Demand'!$A:$A,0)),"")</f>
        <v>4</v>
      </c>
      <c r="AC670" s="52">
        <f>IFERROR(IF(O670="","",SUMIFS('CPL Mats'!F:F,'CPL Mats'!Q:Q,AR670,'CPL Mats'!S:S,AS670)),"")</f>
        <v>0</v>
      </c>
      <c r="AF670" s="25" t="str">
        <f>IF(SUMIFS('Supp Consol'!S:S,'Supp Consol'!Y:Y,"Releasable",'Supp Consol'!A:A,O670)=0,"",SUMIFS('Supp Consol'!S:S,'Supp Consol'!Y:Y,"Releasable",'Supp Consol'!A:A,O670))</f>
        <v/>
      </c>
      <c r="AG670" s="25" t="str">
        <f>IFERROR(INDEX('Hun Demand'!Q:Q,MATCH(O670,'Hun Demand'!A:A,0)),"")</f>
        <v/>
      </c>
      <c r="AH670" s="25" t="str">
        <f>IFERROR(INDEX('Hun Demand'!H:H,MATCH($O670,'Hun Demand'!$A:$A,0)),"")</f>
        <v/>
      </c>
      <c r="AI670" s="25" t="str">
        <f>IF(SUMIFS('Supp Consol'!AA:AA,'Supp Consol'!Z:Z,"Expires this month",'Supp Consol'!A:A,O670)=0,"",SUMIFS('Supp Consol'!AA:AA,'Supp Consol'!Z:Z,"Expires this month",'Supp Consol'!A:A,O670))</f>
        <v/>
      </c>
      <c r="AJ670" s="25" t="str">
        <f>IF(SUMIFS('Supp Consol'!AA:AA,'Supp Consol'!Z:Z,"Expired Previous Months",'Supp Consol'!A:A,O670)=0,"",SUMIFS('Supp Consol'!AA:AA,'Supp Consol'!Z:Z,"Expired Previous Months",'Supp Consol'!A:A,O670))</f>
        <v/>
      </c>
      <c r="AK670" s="25" t="str">
        <f>IFERROR(INDEX('Hun Release Current'!B:B,MATCH(O670,'Hun Release Current'!A:A,0)),"")</f>
        <v/>
      </c>
      <c r="AL670" s="25" t="str">
        <f>IF(SUMIF('Prev Aub'!A:A,O670,'Prev Aub'!B:B)=0,"",SUMIF('Prev Aub'!A:A,O670,'Prev Aub'!B:B))</f>
        <v/>
      </c>
      <c r="AN670" s="25" t="s">
        <v>3790</v>
      </c>
      <c r="AO670" s="25" t="s">
        <v>3790</v>
      </c>
      <c r="AP670" s="25">
        <f t="shared" si="286"/>
        <v>0</v>
      </c>
      <c r="AQ670" s="151" t="str">
        <f>IF(SUMIFS('Supp Consol'!S:S,'Supp Consol'!A:A,O670,'Supp Consol'!I:I,"PENDING")=0,"",SUMIFS('Supp Consol'!S:S,'Supp Consol'!A:A,O670,'Supp Consol'!I:I,"PENDING"))</f>
        <v/>
      </c>
      <c r="AR670" s="27" t="str">
        <f t="shared" si="287"/>
        <v>KM040</v>
      </c>
      <c r="AS670" s="27" t="str">
        <f t="shared" si="288"/>
        <v>62</v>
      </c>
      <c r="AT670" s="27" t="str">
        <f t="shared" si="289"/>
        <v/>
      </c>
      <c r="AU670" s="27" t="str">
        <f t="shared" si="290"/>
        <v/>
      </c>
      <c r="AV670" s="27" t="str">
        <f t="shared" si="291"/>
        <v/>
      </c>
      <c r="AW670" s="27" t="str">
        <f t="shared" si="292"/>
        <v/>
      </c>
      <c r="AX670" s="27" t="str">
        <f t="shared" si="293"/>
        <v/>
      </c>
      <c r="AY670" s="27" t="str">
        <f t="shared" si="294"/>
        <v/>
      </c>
      <c r="AZ670" s="27" t="str">
        <f t="shared" si="295"/>
        <v/>
      </c>
      <c r="BA670" s="27" t="str">
        <f t="shared" si="296"/>
        <v/>
      </c>
      <c r="BB670" s="27" t="str">
        <f t="shared" si="297"/>
        <v/>
      </c>
      <c r="BC670" s="27" t="str">
        <f t="shared" si="298"/>
        <v/>
      </c>
      <c r="BD670" s="27" t="str">
        <f t="shared" si="299"/>
        <v/>
      </c>
      <c r="BE670" s="27" t="str">
        <f t="shared" si="300"/>
        <v/>
      </c>
      <c r="BF670" s="27" t="str">
        <f t="shared" si="301"/>
        <v/>
      </c>
      <c r="BG670" s="27" t="str">
        <f t="shared" si="302"/>
        <v/>
      </c>
      <c r="BH670" s="27" t="str">
        <f t="shared" si="303"/>
        <v/>
      </c>
      <c r="BI670" s="27" t="str">
        <f t="shared" si="304"/>
        <v/>
      </c>
      <c r="BJ670" s="27" t="str">
        <f t="shared" si="305"/>
        <v/>
      </c>
      <c r="BK670" s="27" t="str">
        <f t="shared" si="306"/>
        <v/>
      </c>
      <c r="BL670" s="27" t="str">
        <f t="shared" si="307"/>
        <v/>
      </c>
      <c r="BM670" s="21" t="s">
        <v>5581</v>
      </c>
    </row>
    <row r="671" spans="1:65" ht="15">
      <c r="A671" s="25" t="str">
        <f>IFERROR(INDEX('Hun Demand'!W:W,MATCH(O671,'Hun Demand'!A:A,0)),"")</f>
        <v/>
      </c>
      <c r="B671" s="25" t="str">
        <f>IFERROR(INDEX('Hun Demand'!V:V,MATCH(O671,'Hun Demand'!A:A,0)),"")</f>
        <v/>
      </c>
      <c r="C671" s="25" t="str">
        <f>IFERROR(INDEX('Hun Demand'!U:U,MATCH(O671,'Hun Demand'!A:A,0)),"")</f>
        <v/>
      </c>
      <c r="D671" s="25" t="str">
        <f>IFERROR(INDEX('Hun Demand'!T:T,MATCH(O671,'Hun Demand'!A:A,0)),"")</f>
        <v/>
      </c>
      <c r="E671" s="25" t="str">
        <f>IFERROR(INDEX('Hun Demand'!S:S,MATCH(O671,'Hun Demand'!A:A,0)),"")</f>
        <v/>
      </c>
      <c r="F671" s="25" t="str">
        <f>IFERROR(INDEX('Hun Demand'!R:R,MATCH(O671,'Hun Demand'!A:A,0)),"")</f>
        <v/>
      </c>
      <c r="G671" s="25">
        <f>IFERROR(INDEX('Aub Demand'!W:W,MATCH(O671,'Aub Demand'!A:A,0)),"")</f>
        <v>0</v>
      </c>
      <c r="H671" s="25">
        <f>IFERROR(INDEX('Aub Demand'!V:V,MATCH(O671,'Aub Demand'!A:A,0)),"")</f>
        <v>0</v>
      </c>
      <c r="I671" s="25">
        <f>IFERROR(INDEX('Aub Demand'!U:U,MATCH(O671,'Aub Demand'!A:A,0)),"")</f>
        <v>0</v>
      </c>
      <c r="J671" s="25">
        <f>IFERROR(INDEX('Aub Demand'!T:T,MATCH(O671,'Aub Demand'!A:A,0)),"")</f>
        <v>0</v>
      </c>
      <c r="K671" s="25">
        <f>IFERROR(INDEX('Aub Demand'!S:S,MATCH(O671,'Aub Demand'!A:A,0)),"")</f>
        <v>0</v>
      </c>
      <c r="L671" s="25">
        <f>IFERROR(INDEX('Aub Demand'!R:R,MATCH(O671,'Aub Demand'!A:A,0)),"")</f>
        <v>0</v>
      </c>
      <c r="O671" s="27" t="s">
        <v>1107</v>
      </c>
      <c r="P671" s="27" t="str">
        <f>IFERROR(INDEX('Aub Demand'!B:B,MATCH($O671,'Aub Demand'!$A:$A,0)),"")</f>
        <v>MG GRAY LINEN</v>
      </c>
      <c r="Q671" s="27" t="str">
        <f>IFERROR(INDEX('Aub Demand'!C:C,MATCH($O671,'Aub Demand'!$A:$A,0)),"")</f>
        <v>TOPPA</v>
      </c>
      <c r="R671" s="52">
        <f>IFERROR(IF(AR672=AR671,INDEX('Aub Demand'!K:K,MATCH($O671,'Aub Demand'!$A:$A,0))-IF(AN671="",0,AN671)+AP672,INDEX('Aub Demand'!K:K,MATCH($O671,'Aub Demand'!$A:$A,0))-IF(AN671="",0,AN671)),"")</f>
        <v>910</v>
      </c>
      <c r="S671" s="53" t="str">
        <f t="shared" si="280"/>
        <v>n/a</v>
      </c>
      <c r="T671" s="52" t="str">
        <f t="shared" si="281"/>
        <v/>
      </c>
      <c r="U671" s="52">
        <f>IFERROR(IF(AR672=AR671,INDEX('Aub Demand'!Q:Q,MATCH($O671,'Aub Demand'!$A:$A,0))-IF(AN671="",0,AN671)+AP672,INDEX('Aub Demand'!Q:Q,MATCH($O671,'Aub Demand'!$A:$A,0))-IF(AN671="",0,AN671)),"")</f>
        <v>910</v>
      </c>
      <c r="V671" s="53" t="str">
        <f t="shared" si="282"/>
        <v>n/a</v>
      </c>
      <c r="W671" s="52" t="str">
        <f t="shared" si="283"/>
        <v/>
      </c>
      <c r="X671" s="52">
        <f>IFERROR(IF(AND(AR672=AR671,AM671&lt;&gt;""),INDEX('Aub Demand'!Q:Q,MATCH($O671,'Aub Demand'!$A:$A,0))-IF(AN671="",0,AN671)+AP672+AD671+AL671,IF(AR672=AR671,INDEX('Aub Demand'!Q:Q,MATCH($O671,'Aub Demand'!$A:$A,0))-IF(AN671="",0,AN671)+AP672+AD671,IF(AM671&lt;&gt;"",INDEX('Aub Demand'!Q:Q,MATCH($O671,'Aub Demand'!$A:$A,0))-IF(AN671="",0,AN671)+AD671+AL671,INDEX('Aub Demand'!Q:Q,MATCH($O671,'Aub Demand'!$A:$A,0))-IF(AN671="",0,AN671)+AD671))),"")</f>
        <v>910</v>
      </c>
      <c r="Y671" s="53" t="str">
        <f t="shared" si="284"/>
        <v>n/a</v>
      </c>
      <c r="Z671" s="52">
        <f>IF(L671="","",INDEX('Aub Demand'!H:H,MATCH($O671,'Aub Demand'!$A:$A,0)))</f>
        <v>0</v>
      </c>
      <c r="AA671" s="52" t="str">
        <f t="shared" si="285"/>
        <v>-spike-</v>
      </c>
      <c r="AB671" s="52">
        <f>IFERROR(INDEX('Aub Demand'!L:L,MATCH($O671,'Aub Demand'!$A:$A,0)),"")</f>
        <v>0</v>
      </c>
      <c r="AC671" s="52">
        <f>IFERROR(IF(O671="","",SUMIFS('CPL Mats'!F:F,'CPL Mats'!Q:Q,AR671,'CPL Mats'!S:S,AS671)),"")</f>
        <v>0</v>
      </c>
      <c r="AF671" s="25" t="str">
        <f>IF(SUMIFS('Supp Consol'!S:S,'Supp Consol'!Y:Y,"Releasable",'Supp Consol'!A:A,O671)=0,"",SUMIFS('Supp Consol'!S:S,'Supp Consol'!Y:Y,"Releasable",'Supp Consol'!A:A,O671))</f>
        <v/>
      </c>
      <c r="AG671" s="25" t="str">
        <f>IFERROR(INDEX('Hun Demand'!Q:Q,MATCH(O671,'Hun Demand'!A:A,0)),"")</f>
        <v/>
      </c>
      <c r="AH671" s="25" t="str">
        <f>IFERROR(INDEX('Hun Demand'!H:H,MATCH($O671,'Hun Demand'!$A:$A,0)),"")</f>
        <v/>
      </c>
      <c r="AI671" s="25" t="str">
        <f>IF(SUMIFS('Supp Consol'!AA:AA,'Supp Consol'!Z:Z,"Expires this month",'Supp Consol'!A:A,O671)=0,"",SUMIFS('Supp Consol'!AA:AA,'Supp Consol'!Z:Z,"Expires this month",'Supp Consol'!A:A,O671))</f>
        <v/>
      </c>
      <c r="AJ671" s="25" t="str">
        <f>IF(SUMIFS('Supp Consol'!AA:AA,'Supp Consol'!Z:Z,"Expired Previous Months",'Supp Consol'!A:A,O671)=0,"",SUMIFS('Supp Consol'!AA:AA,'Supp Consol'!Z:Z,"Expired Previous Months",'Supp Consol'!A:A,O671))</f>
        <v/>
      </c>
      <c r="AK671" s="25" t="str">
        <f>IFERROR(INDEX('Hun Release Current'!B:B,MATCH(O671,'Hun Release Current'!A:A,0)),"")</f>
        <v/>
      </c>
      <c r="AL671" s="25" t="str">
        <f>IF(SUMIF('Prev Aub'!A:A,O671,'Prev Aub'!B:B)=0,"",SUMIF('Prev Aub'!A:A,O671,'Prev Aub'!B:B))</f>
        <v/>
      </c>
      <c r="AN671" s="25" t="s">
        <v>3790</v>
      </c>
      <c r="AO671" s="25" t="s">
        <v>3790</v>
      </c>
      <c r="AP671" s="25">
        <f t="shared" si="286"/>
        <v>0</v>
      </c>
      <c r="AQ671" s="151" t="str">
        <f>IF(SUMIFS('Supp Consol'!S:S,'Supp Consol'!A:A,O671,'Supp Consol'!I:I,"PENDING")=0,"",SUMIFS('Supp Consol'!S:S,'Supp Consol'!A:A,O671,'Supp Consol'!I:I,"PENDING"))</f>
        <v/>
      </c>
      <c r="AR671" s="27" t="str">
        <f t="shared" si="287"/>
        <v>KM041</v>
      </c>
      <c r="AS671" s="27" t="str">
        <f t="shared" si="288"/>
        <v>50</v>
      </c>
      <c r="AT671" s="27" t="str">
        <f t="shared" si="289"/>
        <v/>
      </c>
      <c r="AU671" s="27" t="str">
        <f t="shared" si="290"/>
        <v/>
      </c>
      <c r="AV671" s="27" t="str">
        <f t="shared" si="291"/>
        <v/>
      </c>
      <c r="AW671" s="27" t="str">
        <f t="shared" si="292"/>
        <v/>
      </c>
      <c r="AX671" s="27" t="str">
        <f t="shared" si="293"/>
        <v/>
      </c>
      <c r="AY671" s="27" t="str">
        <f t="shared" si="294"/>
        <v/>
      </c>
      <c r="AZ671" s="27" t="str">
        <f t="shared" si="295"/>
        <v/>
      </c>
      <c r="BA671" s="27" t="str">
        <f t="shared" si="296"/>
        <v/>
      </c>
      <c r="BB671" s="27" t="str">
        <f t="shared" si="297"/>
        <v/>
      </c>
      <c r="BC671" s="27" t="str">
        <f t="shared" si="298"/>
        <v/>
      </c>
      <c r="BD671" s="27" t="str">
        <f t="shared" si="299"/>
        <v/>
      </c>
      <c r="BE671" s="27" t="str">
        <f t="shared" si="300"/>
        <v/>
      </c>
      <c r="BF671" s="27" t="str">
        <f t="shared" si="301"/>
        <v/>
      </c>
      <c r="BG671" s="27" t="str">
        <f t="shared" si="302"/>
        <v/>
      </c>
      <c r="BH671" s="27" t="str">
        <f t="shared" si="303"/>
        <v/>
      </c>
      <c r="BI671" s="27" t="str">
        <f t="shared" si="304"/>
        <v/>
      </c>
      <c r="BJ671" s="27" t="str">
        <f t="shared" si="305"/>
        <v/>
      </c>
      <c r="BK671" s="27" t="str">
        <f t="shared" si="306"/>
        <v/>
      </c>
      <c r="BL671" s="27" t="str">
        <f t="shared" si="307"/>
        <v/>
      </c>
      <c r="BM671" s="21" t="s">
        <v>3790</v>
      </c>
    </row>
    <row r="672" spans="1:65" ht="15">
      <c r="A672" s="25" t="str">
        <f>IFERROR(INDEX('Hun Demand'!W:W,MATCH(O672,'Hun Demand'!A:A,0)),"")</f>
        <v/>
      </c>
      <c r="B672" s="25" t="str">
        <f>IFERROR(INDEX('Hun Demand'!V:V,MATCH(O672,'Hun Demand'!A:A,0)),"")</f>
        <v/>
      </c>
      <c r="C672" s="25" t="str">
        <f>IFERROR(INDEX('Hun Demand'!U:U,MATCH(O672,'Hun Demand'!A:A,0)),"")</f>
        <v/>
      </c>
      <c r="D672" s="25" t="str">
        <f>IFERROR(INDEX('Hun Demand'!T:T,MATCH(O672,'Hun Demand'!A:A,0)),"")</f>
        <v/>
      </c>
      <c r="E672" s="25" t="str">
        <f>IFERROR(INDEX('Hun Demand'!S:S,MATCH(O672,'Hun Demand'!A:A,0)),"")</f>
        <v/>
      </c>
      <c r="F672" s="25" t="str">
        <f>IFERROR(INDEX('Hun Demand'!R:R,MATCH(O672,'Hun Demand'!A:A,0)),"")</f>
        <v/>
      </c>
      <c r="G672" s="25">
        <f>IFERROR(INDEX('Aub Demand'!W:W,MATCH(O672,'Aub Demand'!A:A,0)),"")</f>
        <v>105</v>
      </c>
      <c r="H672" s="25">
        <f>IFERROR(INDEX('Aub Demand'!V:V,MATCH(O672,'Aub Demand'!A:A,0)),"")</f>
        <v>0</v>
      </c>
      <c r="I672" s="25">
        <f>IFERROR(INDEX('Aub Demand'!U:U,MATCH(O672,'Aub Demand'!A:A,0)),"")</f>
        <v>30</v>
      </c>
      <c r="J672" s="25">
        <f>IFERROR(INDEX('Aub Demand'!T:T,MATCH(O672,'Aub Demand'!A:A,0)),"")</f>
        <v>0</v>
      </c>
      <c r="K672" s="25">
        <f>IFERROR(INDEX('Aub Demand'!S:S,MATCH(O672,'Aub Demand'!A:A,0)),"")</f>
        <v>42</v>
      </c>
      <c r="L672" s="25">
        <f>IFERROR(INDEX('Aub Demand'!R:R,MATCH(O672,'Aub Demand'!A:A,0)),"")</f>
        <v>0</v>
      </c>
      <c r="O672" s="27" t="s">
        <v>3382</v>
      </c>
      <c r="P672" s="27" t="str">
        <f>IFERROR(INDEX('Aub Demand'!B:B,MATCH($O672,'Aub Demand'!$A:$A,0)),"")</f>
        <v>MG GRAY LINEN</v>
      </c>
      <c r="Q672" s="27">
        <f>IFERROR(INDEX('Aub Demand'!C:C,MATCH($O672,'Aub Demand'!$A:$A,0)),"")</f>
        <v>0</v>
      </c>
      <c r="R672" s="52">
        <f>IFERROR(IF(AR673=AR672,INDEX('Aub Demand'!K:K,MATCH($O672,'Aub Demand'!$A:$A,0))-IF(AN672="",0,AN672)+AP673,INDEX('Aub Demand'!K:K,MATCH($O672,'Aub Demand'!$A:$A,0))-IF(AN672="",0,AN672)),"")</f>
        <v>1692</v>
      </c>
      <c r="S672" s="53">
        <f t="shared" si="280"/>
        <v>302.10000000000002</v>
      </c>
      <c r="T672" s="52" t="str">
        <f t="shared" si="281"/>
        <v/>
      </c>
      <c r="U672" s="52">
        <f>IFERROR(IF(AR673=AR672,INDEX('Aub Demand'!Q:Q,MATCH($O672,'Aub Demand'!$A:$A,0))-IF(AN672="",0,AN672)+AP673,INDEX('Aub Demand'!Q:Q,MATCH($O672,'Aub Demand'!$A:$A,0))-IF(AN672="",0,AN672)),"")</f>
        <v>1657</v>
      </c>
      <c r="V672" s="53">
        <f t="shared" si="282"/>
        <v>295.89999999999998</v>
      </c>
      <c r="W672" s="52" t="str">
        <f t="shared" si="283"/>
        <v/>
      </c>
      <c r="X672" s="52">
        <f>IFERROR(IF(AND(AR673=AR672,AM672&lt;&gt;""),INDEX('Aub Demand'!Q:Q,MATCH($O672,'Aub Demand'!$A:$A,0))-IF(AN672="",0,AN672)+AP673+AD672+AL672,IF(AR673=AR672,INDEX('Aub Demand'!Q:Q,MATCH($O672,'Aub Demand'!$A:$A,0))-IF(AN672="",0,AN672)+AP673+AD672,IF(AM672&lt;&gt;"",INDEX('Aub Demand'!Q:Q,MATCH($O672,'Aub Demand'!$A:$A,0))-IF(AN672="",0,AN672)+AD672+AL672,INDEX('Aub Demand'!Q:Q,MATCH($O672,'Aub Demand'!$A:$A,0))-IF(AN672="",0,AN672)+AD672))),"")</f>
        <v>1657</v>
      </c>
      <c r="Y672" s="53">
        <f t="shared" si="284"/>
        <v>295.89999999999998</v>
      </c>
      <c r="Z672" s="52">
        <f>IF(L672="","",INDEX('Aub Demand'!H:H,MATCH($O672,'Aub Demand'!$A:$A,0)))</f>
        <v>24</v>
      </c>
      <c r="AA672" s="52">
        <f t="shared" si="285"/>
        <v>36</v>
      </c>
      <c r="AB672" s="52">
        <f>IFERROR(INDEX('Aub Demand'!L:L,MATCH($O672,'Aub Demand'!$A:$A,0)),"")</f>
        <v>7</v>
      </c>
      <c r="AC672" s="52">
        <f>IFERROR(IF(O672="","",SUMIFS('CPL Mats'!F:F,'CPL Mats'!Q:Q,AR672,'CPL Mats'!S:S,AS672)),"")</f>
        <v>0</v>
      </c>
      <c r="AF672" s="25" t="str">
        <f>IF(SUMIFS('Supp Consol'!S:S,'Supp Consol'!Y:Y,"Releasable",'Supp Consol'!A:A,O672)=0,"",SUMIFS('Supp Consol'!S:S,'Supp Consol'!Y:Y,"Releasable",'Supp Consol'!A:A,O672))</f>
        <v/>
      </c>
      <c r="AG672" s="25" t="str">
        <f>IFERROR(INDEX('Hun Demand'!Q:Q,MATCH(O672,'Hun Demand'!A:A,0)),"")</f>
        <v/>
      </c>
      <c r="AH672" s="25" t="str">
        <f>IFERROR(INDEX('Hun Demand'!H:H,MATCH($O672,'Hun Demand'!$A:$A,0)),"")</f>
        <v/>
      </c>
      <c r="AI672" s="25" t="str">
        <f>IF(SUMIFS('Supp Consol'!AA:AA,'Supp Consol'!Z:Z,"Expires this month",'Supp Consol'!A:A,O672)=0,"",SUMIFS('Supp Consol'!AA:AA,'Supp Consol'!Z:Z,"Expires this month",'Supp Consol'!A:A,O672))</f>
        <v/>
      </c>
      <c r="AJ672" s="25" t="str">
        <f>IF(SUMIFS('Supp Consol'!AA:AA,'Supp Consol'!Z:Z,"Expired Previous Months",'Supp Consol'!A:A,O672)=0,"",SUMIFS('Supp Consol'!AA:AA,'Supp Consol'!Z:Z,"Expired Previous Months",'Supp Consol'!A:A,O672))</f>
        <v/>
      </c>
      <c r="AK672" s="25" t="str">
        <f>IFERROR(INDEX('Hun Release Current'!B:B,MATCH(O672,'Hun Release Current'!A:A,0)),"")</f>
        <v/>
      </c>
      <c r="AL672" s="25" t="str">
        <f>IF(SUMIF('Prev Aub'!A:A,O672,'Prev Aub'!B:B)=0,"",SUMIF('Prev Aub'!A:A,O672,'Prev Aub'!B:B))</f>
        <v/>
      </c>
      <c r="AN672" s="25" t="s">
        <v>3790</v>
      </c>
      <c r="AO672" s="25" t="s">
        <v>3790</v>
      </c>
      <c r="AP672" s="25">
        <f t="shared" si="286"/>
        <v>0</v>
      </c>
      <c r="AQ672" s="151" t="str">
        <f>IF(SUMIFS('Supp Consol'!S:S,'Supp Consol'!A:A,O672,'Supp Consol'!I:I,"PENDING")=0,"",SUMIFS('Supp Consol'!S:S,'Supp Consol'!A:A,O672,'Supp Consol'!I:I,"PENDING"))</f>
        <v/>
      </c>
      <c r="AR672" s="27" t="str">
        <f t="shared" si="287"/>
        <v>KM041</v>
      </c>
      <c r="AS672" s="27" t="str">
        <f t="shared" si="288"/>
        <v>50</v>
      </c>
      <c r="AT672" s="27" t="str">
        <f t="shared" si="289"/>
        <v/>
      </c>
      <c r="AU672" s="27" t="str">
        <f t="shared" si="290"/>
        <v/>
      </c>
      <c r="AV672" s="27" t="str">
        <f t="shared" si="291"/>
        <v/>
      </c>
      <c r="AW672" s="27" t="str">
        <f t="shared" si="292"/>
        <v/>
      </c>
      <c r="AX672" s="27" t="str">
        <f t="shared" si="293"/>
        <v/>
      </c>
      <c r="AY672" s="27" t="str">
        <f t="shared" si="294"/>
        <v/>
      </c>
      <c r="AZ672" s="27" t="str">
        <f t="shared" si="295"/>
        <v/>
      </c>
      <c r="BA672" s="27" t="str">
        <f t="shared" si="296"/>
        <v/>
      </c>
      <c r="BB672" s="27" t="str">
        <f t="shared" si="297"/>
        <v/>
      </c>
      <c r="BC672" s="27" t="str">
        <f t="shared" si="298"/>
        <v/>
      </c>
      <c r="BD672" s="27" t="str">
        <f t="shared" si="299"/>
        <v/>
      </c>
      <c r="BE672" s="27" t="str">
        <f t="shared" si="300"/>
        <v/>
      </c>
      <c r="BF672" s="27" t="str">
        <f t="shared" si="301"/>
        <v/>
      </c>
      <c r="BG672" s="27" t="str">
        <f t="shared" si="302"/>
        <v/>
      </c>
      <c r="BH672" s="27" t="str">
        <f t="shared" si="303"/>
        <v/>
      </c>
      <c r="BI672" s="27" t="str">
        <f t="shared" si="304"/>
        <v/>
      </c>
      <c r="BJ672" s="27" t="str">
        <f t="shared" si="305"/>
        <v/>
      </c>
      <c r="BK672" s="27" t="str">
        <f t="shared" si="306"/>
        <v/>
      </c>
      <c r="BL672" s="27" t="str">
        <f t="shared" si="307"/>
        <v/>
      </c>
      <c r="BM672" s="21" t="s">
        <v>3790</v>
      </c>
    </row>
    <row r="673" spans="1:65" ht="15">
      <c r="A673" s="25">
        <f>IFERROR(INDEX('Hun Demand'!W:W,MATCH(O673,'Hun Demand'!A:A,0)),"")</f>
        <v>171</v>
      </c>
      <c r="B673" s="25">
        <f>IFERROR(INDEX('Hun Demand'!V:V,MATCH(O673,'Hun Demand'!A:A,0)),"")</f>
        <v>0</v>
      </c>
      <c r="C673" s="25">
        <f>IFERROR(INDEX('Hun Demand'!U:U,MATCH(O673,'Hun Demand'!A:A,0)),"")</f>
        <v>277</v>
      </c>
      <c r="D673" s="25">
        <f>IFERROR(INDEX('Hun Demand'!T:T,MATCH(O673,'Hun Demand'!A:A,0)),"")</f>
        <v>0</v>
      </c>
      <c r="E673" s="25">
        <f>IFERROR(INDEX('Hun Demand'!S:S,MATCH(O673,'Hun Demand'!A:A,0)),"")</f>
        <v>168</v>
      </c>
      <c r="F673" s="25">
        <f>IFERROR(INDEX('Hun Demand'!R:R,MATCH(O673,'Hun Demand'!A:A,0)),"")</f>
        <v>0</v>
      </c>
      <c r="G673" s="25">
        <f>IFERROR(INDEX('Aub Demand'!W:W,MATCH(O673,'Aub Demand'!A:A,0)),"")</f>
        <v>80</v>
      </c>
      <c r="H673" s="25">
        <f>IFERROR(INDEX('Aub Demand'!V:V,MATCH(O673,'Aub Demand'!A:A,0)),"")</f>
        <v>0</v>
      </c>
      <c r="I673" s="25">
        <f>IFERROR(INDEX('Aub Demand'!U:U,MATCH(O673,'Aub Demand'!A:A,0)),"")</f>
        <v>58</v>
      </c>
      <c r="J673" s="25">
        <f>IFERROR(INDEX('Aub Demand'!T:T,MATCH(O673,'Aub Demand'!A:A,0)),"")</f>
        <v>0</v>
      </c>
      <c r="K673" s="25">
        <f>IFERROR(INDEX('Aub Demand'!S:S,MATCH(O673,'Aub Demand'!A:A,0)),"")</f>
        <v>0</v>
      </c>
      <c r="L673" s="25">
        <f>IFERROR(INDEX('Aub Demand'!R:R,MATCH(O673,'Aub Demand'!A:A,0)),"")</f>
        <v>0</v>
      </c>
      <c r="O673" s="27" t="s">
        <v>1110</v>
      </c>
      <c r="P673" s="27" t="str">
        <f>IFERROR(INDEX('Aub Demand'!B:B,MATCH($O673,'Aub Demand'!$A:$A,0)),"")</f>
        <v>MG NOCE GRIGIO</v>
      </c>
      <c r="Q673" s="27" t="str">
        <f>IFERROR(INDEX('Aub Demand'!C:C,MATCH($O673,'Aub Demand'!$A:$A,0)),"")</f>
        <v>SCHAT</v>
      </c>
      <c r="R673" s="52">
        <f>IFERROR(IF(AR674=AR673,INDEX('Aub Demand'!K:K,MATCH($O673,'Aub Demand'!$A:$A,0))-IF(AN673="",0,AN673)+AP674,INDEX('Aub Demand'!K:K,MATCH($O673,'Aub Demand'!$A:$A,0))-IF(AN673="",0,AN673)),"")</f>
        <v>0</v>
      </c>
      <c r="S673" s="53">
        <f t="shared" si="280"/>
        <v>0</v>
      </c>
      <c r="T673" s="52" t="str">
        <f t="shared" si="281"/>
        <v/>
      </c>
      <c r="U673" s="52">
        <f>IFERROR(IF(AR674=AR673,INDEX('Aub Demand'!Q:Q,MATCH($O673,'Aub Demand'!$A:$A,0))-IF(AN673="",0,AN673)+AP674,INDEX('Aub Demand'!Q:Q,MATCH($O673,'Aub Demand'!$A:$A,0))-IF(AN673="",0,AN673)),"")</f>
        <v>-10</v>
      </c>
      <c r="V673" s="53">
        <f t="shared" si="282"/>
        <v>-2.2999999999999998</v>
      </c>
      <c r="W673" s="52" t="str">
        <f t="shared" si="283"/>
        <v/>
      </c>
      <c r="X673" s="52">
        <f>IFERROR(IF(AND(AR674=AR673,AM673&lt;&gt;""),INDEX('Aub Demand'!Q:Q,MATCH($O673,'Aub Demand'!$A:$A,0))-IF(AN673="",0,AN673)+AP674+AD673+AL673,IF(AR674=AR673,INDEX('Aub Demand'!Q:Q,MATCH($O673,'Aub Demand'!$A:$A,0))-IF(AN673="",0,AN673)+AP674+AD673,IF(AM673&lt;&gt;"",INDEX('Aub Demand'!Q:Q,MATCH($O673,'Aub Demand'!$A:$A,0))-IF(AN673="",0,AN673)+AD673+AL673,INDEX('Aub Demand'!Q:Q,MATCH($O673,'Aub Demand'!$A:$A,0))-IF(AN673="",0,AN673)+AD673))),"")</f>
        <v>-10</v>
      </c>
      <c r="Y673" s="53">
        <f t="shared" si="284"/>
        <v>-2.2999999999999998</v>
      </c>
      <c r="Z673" s="52">
        <f>IF(L673="","",INDEX('Aub Demand'!H:H,MATCH($O673,'Aub Demand'!$A:$A,0)))</f>
        <v>19</v>
      </c>
      <c r="AA673" s="52" t="str">
        <f t="shared" si="285"/>
        <v>-spike-</v>
      </c>
      <c r="AB673" s="52">
        <f>IFERROR(INDEX('Aub Demand'!L:L,MATCH($O673,'Aub Demand'!$A:$A,0)),"")</f>
        <v>12</v>
      </c>
      <c r="AC673" s="52">
        <f>IFERROR(IF(O673="","",SUMIFS('CPL Mats'!F:F,'CPL Mats'!Q:Q,AR673,'CPL Mats'!S:S,AS673)),"")</f>
        <v>0</v>
      </c>
      <c r="AF673" s="25" t="str">
        <f>IF(SUMIFS('Supp Consol'!S:S,'Supp Consol'!Y:Y,"Releasable",'Supp Consol'!A:A,O673)=0,"",SUMIFS('Supp Consol'!S:S,'Supp Consol'!Y:Y,"Releasable",'Supp Consol'!A:A,O673))</f>
        <v/>
      </c>
      <c r="AG673" s="25">
        <f>IFERROR(INDEX('Hun Demand'!Q:Q,MATCH(O673,'Hun Demand'!A:A,0)),"")</f>
        <v>2004</v>
      </c>
      <c r="AH673" s="25">
        <f>IFERROR(INDEX('Hun Demand'!H:H,MATCH($O673,'Hun Demand'!$A:$A,0)),"")</f>
        <v>148</v>
      </c>
      <c r="AI673" s="25" t="str">
        <f>IF(SUMIFS('Supp Consol'!AA:AA,'Supp Consol'!Z:Z,"Expires this month",'Supp Consol'!A:A,O673)=0,"",SUMIFS('Supp Consol'!AA:AA,'Supp Consol'!Z:Z,"Expires this month",'Supp Consol'!A:A,O673))</f>
        <v/>
      </c>
      <c r="AJ673" s="25" t="str">
        <f>IF(SUMIFS('Supp Consol'!AA:AA,'Supp Consol'!Z:Z,"Expired Previous Months",'Supp Consol'!A:A,O673)=0,"",SUMIFS('Supp Consol'!AA:AA,'Supp Consol'!Z:Z,"Expired Previous Months",'Supp Consol'!A:A,O673))</f>
        <v/>
      </c>
      <c r="AK673" s="25" t="str">
        <f>IFERROR(INDEX('Hun Release Current'!B:B,MATCH(O673,'Hun Release Current'!A:A,0)),"")</f>
        <v/>
      </c>
      <c r="AL673" s="25" t="str">
        <f>IF(SUMIF('Prev Aub'!A:A,O673,'Prev Aub'!B:B)=0,"",SUMIF('Prev Aub'!A:A,O673,'Prev Aub'!B:B))</f>
        <v/>
      </c>
      <c r="AN673" s="25" t="s">
        <v>3790</v>
      </c>
      <c r="AO673" s="25" t="s">
        <v>3790</v>
      </c>
      <c r="AP673" s="25">
        <f t="shared" si="286"/>
        <v>0</v>
      </c>
      <c r="AQ673" s="151" t="str">
        <f>IF(SUMIFS('Supp Consol'!S:S,'Supp Consol'!A:A,O673,'Supp Consol'!I:I,"PENDING")=0,"",SUMIFS('Supp Consol'!S:S,'Supp Consol'!A:A,O673,'Supp Consol'!I:I,"PENDING"))</f>
        <v/>
      </c>
      <c r="AR673" s="27" t="str">
        <f t="shared" si="287"/>
        <v>KM042</v>
      </c>
      <c r="AS673" s="27" t="str">
        <f t="shared" si="288"/>
        <v>50</v>
      </c>
      <c r="AT673" s="27" t="str">
        <f t="shared" si="289"/>
        <v>KM042</v>
      </c>
      <c r="AU673" s="27" t="str">
        <f t="shared" si="290"/>
        <v>KM042</v>
      </c>
      <c r="AV673" s="27" t="str">
        <f t="shared" si="291"/>
        <v>KM042</v>
      </c>
      <c r="AW673" s="27" t="str">
        <f t="shared" si="292"/>
        <v/>
      </c>
      <c r="AX673" s="27" t="str">
        <f t="shared" si="293"/>
        <v/>
      </c>
      <c r="AY673" s="27" t="str">
        <f t="shared" si="294"/>
        <v>KM042</v>
      </c>
      <c r="AZ673" s="27" t="str">
        <f t="shared" si="295"/>
        <v/>
      </c>
      <c r="BA673" s="27" t="str">
        <f t="shared" si="296"/>
        <v>Hun</v>
      </c>
      <c r="BB673" s="27" t="str">
        <f t="shared" si="297"/>
        <v>Gross</v>
      </c>
      <c r="BC673" s="27" t="str">
        <f t="shared" si="298"/>
        <v>Net</v>
      </c>
      <c r="BD673" s="27" t="str">
        <f t="shared" si="299"/>
        <v>Net</v>
      </c>
      <c r="BE673" s="27" t="str">
        <f t="shared" si="300"/>
        <v/>
      </c>
      <c r="BF673" s="27" t="str">
        <f t="shared" si="301"/>
        <v/>
      </c>
      <c r="BG673" s="27" t="str">
        <f t="shared" si="302"/>
        <v/>
      </c>
      <c r="BH673" s="27" t="str">
        <f t="shared" si="303"/>
        <v>H+N</v>
      </c>
      <c r="BI673" s="27" t="str">
        <f t="shared" si="304"/>
        <v>H+Nex</v>
      </c>
      <c r="BJ673" s="27" t="str">
        <f t="shared" si="305"/>
        <v>Supp or Hun</v>
      </c>
      <c r="BK673" s="27" t="str">
        <f t="shared" si="306"/>
        <v>Supp or Hun Need</v>
      </c>
      <c r="BL673" s="27" t="str">
        <f t="shared" si="307"/>
        <v>SorHandNandE</v>
      </c>
      <c r="BM673" s="21" t="s">
        <v>5582</v>
      </c>
    </row>
    <row r="674" spans="1:65" ht="15">
      <c r="A674" s="25">
        <f>IFERROR(INDEX('Hun Demand'!W:W,MATCH(O674,'Hun Demand'!A:A,0)),"")</f>
        <v>708</v>
      </c>
      <c r="B674" s="25">
        <f>IFERROR(INDEX('Hun Demand'!V:V,MATCH(O674,'Hun Demand'!A:A,0)),"")</f>
        <v>1444</v>
      </c>
      <c r="C674" s="25">
        <f>IFERROR(INDEX('Hun Demand'!U:U,MATCH(O674,'Hun Demand'!A:A,0)),"")</f>
        <v>838</v>
      </c>
      <c r="D674" s="25">
        <f>IFERROR(INDEX('Hun Demand'!T:T,MATCH(O674,'Hun Demand'!A:A,0)),"")</f>
        <v>348</v>
      </c>
      <c r="E674" s="25">
        <f>IFERROR(INDEX('Hun Demand'!S:S,MATCH(O674,'Hun Demand'!A:A,0)),"")</f>
        <v>1251</v>
      </c>
      <c r="F674" s="25">
        <f>IFERROR(INDEX('Hun Demand'!R:R,MATCH(O674,'Hun Demand'!A:A,0)),"")</f>
        <v>0</v>
      </c>
      <c r="G674" s="25">
        <f>IFERROR(INDEX('Aub Demand'!W:W,MATCH(O674,'Aub Demand'!A:A,0)),"")</f>
        <v>0</v>
      </c>
      <c r="H674" s="25">
        <f>IFERROR(INDEX('Aub Demand'!V:V,MATCH(O674,'Aub Demand'!A:A,0)),"")</f>
        <v>115</v>
      </c>
      <c r="I674" s="25">
        <f>IFERROR(INDEX('Aub Demand'!U:U,MATCH(O674,'Aub Demand'!A:A,0)),"")</f>
        <v>25</v>
      </c>
      <c r="J674" s="25">
        <f>IFERROR(INDEX('Aub Demand'!T:T,MATCH(O674,'Aub Demand'!A:A,0)),"")</f>
        <v>139</v>
      </c>
      <c r="K674" s="25">
        <f>IFERROR(INDEX('Aub Demand'!S:S,MATCH(O674,'Aub Demand'!A:A,0)),"")</f>
        <v>0</v>
      </c>
      <c r="L674" s="25">
        <f>IFERROR(INDEX('Aub Demand'!R:R,MATCH(O674,'Aub Demand'!A:A,0)),"")</f>
        <v>0</v>
      </c>
      <c r="O674" s="27" t="s">
        <v>1113</v>
      </c>
      <c r="P674" s="27" t="str">
        <f>IFERROR(INDEX('Aub Demand'!B:B,MATCH($O674,'Aub Demand'!$A:$A,0)),"")</f>
        <v>MG NOCE GRIGIO</v>
      </c>
      <c r="Q674" s="27" t="str">
        <f>IFERROR(INDEX('Aub Demand'!C:C,MATCH($O674,'Aub Demand'!$A:$A,0)),"")</f>
        <v>SCHAT</v>
      </c>
      <c r="R674" s="52">
        <f>IFERROR(IF(AR675=AR674,INDEX('Aub Demand'!K:K,MATCH($O674,'Aub Demand'!$A:$A,0))-IF(AN674="",0,AN674)+AP675,INDEX('Aub Demand'!K:K,MATCH($O674,'Aub Demand'!$A:$A,0))-IF(AN674="",0,AN674)),"")</f>
        <v>380</v>
      </c>
      <c r="S674" s="53">
        <f t="shared" si="280"/>
        <v>29.6</v>
      </c>
      <c r="T674" s="52" t="str">
        <f t="shared" si="281"/>
        <v/>
      </c>
      <c r="U674" s="52">
        <f>IFERROR(IF(AR675=AR674,INDEX('Aub Demand'!Q:Q,MATCH($O674,'Aub Demand'!$A:$A,0))-IF(AN674="",0,AN674)+AP675,INDEX('Aub Demand'!Q:Q,MATCH($O674,'Aub Demand'!$A:$A,0))-IF(AN674="",0,AN674)),"")</f>
        <v>351</v>
      </c>
      <c r="V674" s="53">
        <f t="shared" si="282"/>
        <v>27.4</v>
      </c>
      <c r="W674" s="52" t="str">
        <f t="shared" si="283"/>
        <v/>
      </c>
      <c r="X674" s="52">
        <f>IFERROR(IF(AND(AR675=AR674,AM674&lt;&gt;""),INDEX('Aub Demand'!Q:Q,MATCH($O674,'Aub Demand'!$A:$A,0))-IF(AN674="",0,AN674)+AP675+AD674+AL674,IF(AR675=AR674,INDEX('Aub Demand'!Q:Q,MATCH($O674,'Aub Demand'!$A:$A,0))-IF(AN674="",0,AN674)+AP675+AD674,IF(AM674&lt;&gt;"",INDEX('Aub Demand'!Q:Q,MATCH($O674,'Aub Demand'!$A:$A,0))-IF(AN674="",0,AN674)+AD674+AL674,INDEX('Aub Demand'!Q:Q,MATCH($O674,'Aub Demand'!$A:$A,0))-IF(AN674="",0,AN674)+AD674))),"")</f>
        <v>351</v>
      </c>
      <c r="Y674" s="53">
        <f t="shared" si="284"/>
        <v>27.4</v>
      </c>
      <c r="Z674" s="52">
        <f>IF(L674="","",INDEX('Aub Demand'!H:H,MATCH($O674,'Aub Demand'!$A:$A,0)))</f>
        <v>55</v>
      </c>
      <c r="AA674" s="52">
        <f t="shared" si="285"/>
        <v>82</v>
      </c>
      <c r="AB674" s="52">
        <f>IFERROR(INDEX('Aub Demand'!L:L,MATCH($O674,'Aub Demand'!$A:$A,0)),"")</f>
        <v>16</v>
      </c>
      <c r="AC674" s="52">
        <f>IFERROR(IF(O674="","",SUMIFS('CPL Mats'!F:F,'CPL Mats'!Q:Q,AR674,'CPL Mats'!S:S,AS674)),"")</f>
        <v>0</v>
      </c>
      <c r="AF674" s="25" t="str">
        <f>IF(SUMIFS('Supp Consol'!S:S,'Supp Consol'!Y:Y,"Releasable",'Supp Consol'!A:A,O674)=0,"",SUMIFS('Supp Consol'!S:S,'Supp Consol'!Y:Y,"Releasable",'Supp Consol'!A:A,O674))</f>
        <v/>
      </c>
      <c r="AG674" s="25">
        <f>IFERROR(INDEX('Hun Demand'!Q:Q,MATCH(O674,'Hun Demand'!A:A,0)),"")</f>
        <v>4711</v>
      </c>
      <c r="AH674" s="25">
        <f>IFERROR(INDEX('Hun Demand'!H:H,MATCH($O674,'Hun Demand'!$A:$A,0)),"")</f>
        <v>812</v>
      </c>
      <c r="AI674" s="25" t="str">
        <f>IF(SUMIFS('Supp Consol'!AA:AA,'Supp Consol'!Z:Z,"Expires this month",'Supp Consol'!A:A,O674)=0,"",SUMIFS('Supp Consol'!AA:AA,'Supp Consol'!Z:Z,"Expires this month",'Supp Consol'!A:A,O674))</f>
        <v/>
      </c>
      <c r="AJ674" s="25" t="str">
        <f>IF(SUMIFS('Supp Consol'!AA:AA,'Supp Consol'!Z:Z,"Expired Previous Months",'Supp Consol'!A:A,O674)=0,"",SUMIFS('Supp Consol'!AA:AA,'Supp Consol'!Z:Z,"Expired Previous Months",'Supp Consol'!A:A,O674))</f>
        <v/>
      </c>
      <c r="AK674" s="25" t="str">
        <f>IFERROR(INDEX('Hun Release Current'!B:B,MATCH(O674,'Hun Release Current'!A:A,0)),"")</f>
        <v/>
      </c>
      <c r="AL674" s="25" t="str">
        <f>IF(SUMIF('Prev Aub'!A:A,O674,'Prev Aub'!B:B)=0,"",SUMIF('Prev Aub'!A:A,O674,'Prev Aub'!B:B))</f>
        <v/>
      </c>
      <c r="AN674" s="25" t="s">
        <v>3790</v>
      </c>
      <c r="AO674" s="25" t="s">
        <v>3790</v>
      </c>
      <c r="AP674" s="25">
        <f t="shared" si="286"/>
        <v>0</v>
      </c>
      <c r="AQ674" s="151" t="str">
        <f>IF(SUMIFS('Supp Consol'!S:S,'Supp Consol'!A:A,O674,'Supp Consol'!I:I,"PENDING")=0,"",SUMIFS('Supp Consol'!S:S,'Supp Consol'!A:A,O674,'Supp Consol'!I:I,"PENDING"))</f>
        <v/>
      </c>
      <c r="AR674" s="27" t="str">
        <f t="shared" si="287"/>
        <v>KM042</v>
      </c>
      <c r="AS674" s="27" t="str">
        <f t="shared" si="288"/>
        <v>62</v>
      </c>
      <c r="AT674" s="27" t="str">
        <f t="shared" si="289"/>
        <v/>
      </c>
      <c r="AU674" s="27" t="str">
        <f t="shared" si="290"/>
        <v/>
      </c>
      <c r="AV674" s="27" t="str">
        <f t="shared" si="291"/>
        <v/>
      </c>
      <c r="AW674" s="27" t="str">
        <f t="shared" si="292"/>
        <v/>
      </c>
      <c r="AX674" s="27" t="str">
        <f t="shared" si="293"/>
        <v/>
      </c>
      <c r="AY674" s="27" t="str">
        <f t="shared" si="294"/>
        <v>KM042</v>
      </c>
      <c r="AZ674" s="27" t="str">
        <f t="shared" si="295"/>
        <v/>
      </c>
      <c r="BA674" s="27" t="str">
        <f t="shared" si="296"/>
        <v>Hun</v>
      </c>
      <c r="BB674" s="27" t="str">
        <f t="shared" si="297"/>
        <v>Gross</v>
      </c>
      <c r="BC674" s="27" t="str">
        <f t="shared" si="298"/>
        <v>Net</v>
      </c>
      <c r="BD674" s="27" t="str">
        <f t="shared" si="299"/>
        <v>Net</v>
      </c>
      <c r="BE674" s="27" t="str">
        <f t="shared" si="300"/>
        <v/>
      </c>
      <c r="BF674" s="27" t="str">
        <f t="shared" si="301"/>
        <v/>
      </c>
      <c r="BG674" s="27" t="str">
        <f t="shared" si="302"/>
        <v/>
      </c>
      <c r="BH674" s="27" t="str">
        <f t="shared" si="303"/>
        <v>H+N</v>
      </c>
      <c r="BI674" s="27" t="str">
        <f t="shared" si="304"/>
        <v>H+Nex</v>
      </c>
      <c r="BJ674" s="27" t="str">
        <f t="shared" si="305"/>
        <v>Supp or Hun</v>
      </c>
      <c r="BK674" s="27" t="str">
        <f t="shared" si="306"/>
        <v>Supp or Hun Need</v>
      </c>
      <c r="BL674" s="27" t="str">
        <f t="shared" si="307"/>
        <v>SorHandNandE</v>
      </c>
      <c r="BM674" s="21" t="s">
        <v>5582</v>
      </c>
    </row>
    <row r="675" spans="1:65" ht="15">
      <c r="A675" s="25">
        <f>IFERROR(INDEX('Hun Demand'!W:W,MATCH(O675,'Hun Demand'!A:A,0)),"")</f>
        <v>102</v>
      </c>
      <c r="B675" s="25">
        <f>IFERROR(INDEX('Hun Demand'!V:V,MATCH(O675,'Hun Demand'!A:A,0)),"")</f>
        <v>80</v>
      </c>
      <c r="C675" s="25">
        <f>IFERROR(INDEX('Hun Demand'!U:U,MATCH(O675,'Hun Demand'!A:A,0)),"")</f>
        <v>96</v>
      </c>
      <c r="D675" s="25">
        <f>IFERROR(INDEX('Hun Demand'!T:T,MATCH(O675,'Hun Demand'!A:A,0)),"")</f>
        <v>0</v>
      </c>
      <c r="E675" s="25">
        <f>IFERROR(INDEX('Hun Demand'!S:S,MATCH(O675,'Hun Demand'!A:A,0)),"")</f>
        <v>288</v>
      </c>
      <c r="F675" s="25">
        <f>IFERROR(INDEX('Hun Demand'!R:R,MATCH(O675,'Hun Demand'!A:A,0)),"")</f>
        <v>0</v>
      </c>
      <c r="G675" s="25">
        <f>IFERROR(INDEX('Aub Demand'!W:W,MATCH(O675,'Aub Demand'!A:A,0)),"")</f>
        <v>0</v>
      </c>
      <c r="H675" s="25">
        <f>IFERROR(INDEX('Aub Demand'!V:V,MATCH(O675,'Aub Demand'!A:A,0)),"")</f>
        <v>58</v>
      </c>
      <c r="I675" s="25">
        <f>IFERROR(INDEX('Aub Demand'!U:U,MATCH(O675,'Aub Demand'!A:A,0)),"")</f>
        <v>113</v>
      </c>
      <c r="J675" s="25">
        <f>IFERROR(INDEX('Aub Demand'!T:T,MATCH(O675,'Aub Demand'!A:A,0)),"")</f>
        <v>110</v>
      </c>
      <c r="K675" s="25">
        <f>IFERROR(INDEX('Aub Demand'!S:S,MATCH(O675,'Aub Demand'!A:A,0)),"")</f>
        <v>0</v>
      </c>
      <c r="L675" s="25">
        <f>IFERROR(INDEX('Aub Demand'!R:R,MATCH(O675,'Aub Demand'!A:A,0)),"")</f>
        <v>0</v>
      </c>
      <c r="O675" s="27" t="s">
        <v>1114</v>
      </c>
      <c r="P675" s="27" t="str">
        <f>IFERROR(INDEX('Aub Demand'!B:B,MATCH($O675,'Aub Demand'!$A:$A,0)),"")</f>
        <v>MG NOCE MEDIO</v>
      </c>
      <c r="Q675" s="27" t="str">
        <f>IFERROR(INDEX('Aub Demand'!C:C,MATCH($O675,'Aub Demand'!$A:$A,0)),"")</f>
        <v>PANOL</v>
      </c>
      <c r="R675" s="52">
        <f>IFERROR(IF(AR676=AR675,INDEX('Aub Demand'!K:K,MATCH($O675,'Aub Demand'!$A:$A,0))-IF(AN675="",0,AN675)+AP676,INDEX('Aub Demand'!K:K,MATCH($O675,'Aub Demand'!$A:$A,0))-IF(AN675="",0,AN675)),"")</f>
        <v>0</v>
      </c>
      <c r="S675" s="53">
        <f t="shared" si="280"/>
        <v>0</v>
      </c>
      <c r="T675" s="52">
        <f t="shared" si="281"/>
        <v>83.625</v>
      </c>
      <c r="U675" s="52">
        <f>IFERROR(IF(AR676=AR675,INDEX('Aub Demand'!Q:Q,MATCH($O675,'Aub Demand'!$A:$A,0))-IF(AN675="",0,AN675)+AP676,INDEX('Aub Demand'!Q:Q,MATCH($O675,'Aub Demand'!$A:$A,0))-IF(AN675="",0,AN675)),"")</f>
        <v>-36</v>
      </c>
      <c r="V675" s="53">
        <f t="shared" si="282"/>
        <v>-2.1</v>
      </c>
      <c r="W675" s="52">
        <f t="shared" si="283"/>
        <v>142.16249999999999</v>
      </c>
      <c r="X675" s="52">
        <f>IFERROR(IF(AND(AR676=AR675,AM675&lt;&gt;""),INDEX('Aub Demand'!Q:Q,MATCH($O675,'Aub Demand'!$A:$A,0))-IF(AN675="",0,AN675)+AP676+AD675+AL675,IF(AR676=AR675,INDEX('Aub Demand'!Q:Q,MATCH($O675,'Aub Demand'!$A:$A,0))-IF(AN675="",0,AN675)+AP676+AD675,IF(AM675&lt;&gt;"",INDEX('Aub Demand'!Q:Q,MATCH($O675,'Aub Demand'!$A:$A,0))-IF(AN675="",0,AN675)+AD675+AL675,INDEX('Aub Demand'!Q:Q,MATCH($O675,'Aub Demand'!$A:$A,0))-IF(AN675="",0,AN675)+AD675))),"")</f>
        <v>-36</v>
      </c>
      <c r="Y675" s="53">
        <f t="shared" si="284"/>
        <v>-2.1</v>
      </c>
      <c r="Z675" s="52">
        <f>IF(L675="","",INDEX('Aub Demand'!H:H,MATCH($O675,'Aub Demand'!$A:$A,0)))</f>
        <v>74</v>
      </c>
      <c r="AA675" s="52">
        <f t="shared" si="285"/>
        <v>111.5</v>
      </c>
      <c r="AB675" s="52">
        <f>IFERROR(INDEX('Aub Demand'!L:L,MATCH($O675,'Aub Demand'!$A:$A,0)),"")</f>
        <v>14</v>
      </c>
      <c r="AC675" s="52">
        <f>IFERROR(IF(O675="","",SUMIFS('CPL Mats'!F:F,'CPL Mats'!Q:Q,AR675,'CPL Mats'!S:S,AS675)),"")</f>
        <v>0</v>
      </c>
      <c r="AF675" s="25" t="str">
        <f>IF(SUMIFS('Supp Consol'!S:S,'Supp Consol'!Y:Y,"Releasable",'Supp Consol'!A:A,O675)=0,"",SUMIFS('Supp Consol'!S:S,'Supp Consol'!Y:Y,"Releasable",'Supp Consol'!A:A,O675))</f>
        <v/>
      </c>
      <c r="AG675" s="25">
        <f>IFERROR(INDEX('Hun Demand'!Q:Q,MATCH(O675,'Hun Demand'!A:A,0)),"")</f>
        <v>290</v>
      </c>
      <c r="AH675" s="25">
        <f>IFERROR(INDEX('Hun Demand'!H:H,MATCH($O675,'Hun Demand'!$A:$A,0)),"")</f>
        <v>128</v>
      </c>
      <c r="AI675" s="25" t="str">
        <f>IF(SUMIFS('Supp Consol'!AA:AA,'Supp Consol'!Z:Z,"Expires this month",'Supp Consol'!A:A,O675)=0,"",SUMIFS('Supp Consol'!AA:AA,'Supp Consol'!Z:Z,"Expires this month",'Supp Consol'!A:A,O675))</f>
        <v/>
      </c>
      <c r="AJ675" s="25" t="str">
        <f>IF(SUMIFS('Supp Consol'!AA:AA,'Supp Consol'!Z:Z,"Expired Previous Months",'Supp Consol'!A:A,O675)=0,"",SUMIFS('Supp Consol'!AA:AA,'Supp Consol'!Z:Z,"Expired Previous Months",'Supp Consol'!A:A,O675))</f>
        <v/>
      </c>
      <c r="AK675" s="25" t="str">
        <f>IFERROR(INDEX('Hun Release Current'!B:B,MATCH(O675,'Hun Release Current'!A:A,0)),"")</f>
        <v/>
      </c>
      <c r="AL675" s="25" t="str">
        <f>IF(SUMIF('Prev Aub'!A:A,O675,'Prev Aub'!B:B)=0,"",SUMIF('Prev Aub'!A:A,O675,'Prev Aub'!B:B))</f>
        <v/>
      </c>
      <c r="AN675" s="25" t="s">
        <v>3790</v>
      </c>
      <c r="AO675" s="25" t="s">
        <v>3790</v>
      </c>
      <c r="AP675" s="25">
        <f t="shared" si="286"/>
        <v>0</v>
      </c>
      <c r="AQ675" s="151" t="str">
        <f>IF(SUMIFS('Supp Consol'!S:S,'Supp Consol'!A:A,O675,'Supp Consol'!I:I,"PENDING")=0,"",SUMIFS('Supp Consol'!S:S,'Supp Consol'!A:A,O675,'Supp Consol'!I:I,"PENDING"))</f>
        <v/>
      </c>
      <c r="AR675" s="27" t="str">
        <f t="shared" si="287"/>
        <v>KM043</v>
      </c>
      <c r="AS675" s="27" t="str">
        <f t="shared" si="288"/>
        <v>50</v>
      </c>
      <c r="AT675" s="27" t="str">
        <f t="shared" si="289"/>
        <v>KM043</v>
      </c>
      <c r="AU675" s="27" t="str">
        <f t="shared" si="290"/>
        <v>KM043</v>
      </c>
      <c r="AV675" s="27" t="str">
        <f t="shared" si="291"/>
        <v>KM043</v>
      </c>
      <c r="AW675" s="27" t="str">
        <f t="shared" si="292"/>
        <v/>
      </c>
      <c r="AX675" s="27" t="str">
        <f t="shared" si="293"/>
        <v/>
      </c>
      <c r="AY675" s="27" t="str">
        <f t="shared" si="294"/>
        <v>KM043</v>
      </c>
      <c r="AZ675" s="27" t="str">
        <f t="shared" si="295"/>
        <v/>
      </c>
      <c r="BA675" s="27" t="str">
        <f t="shared" si="296"/>
        <v>Hun</v>
      </c>
      <c r="BB675" s="27" t="str">
        <f t="shared" si="297"/>
        <v>Gross</v>
      </c>
      <c r="BC675" s="27" t="str">
        <f t="shared" si="298"/>
        <v>Net</v>
      </c>
      <c r="BD675" s="27" t="str">
        <f t="shared" si="299"/>
        <v>Net</v>
      </c>
      <c r="BE675" s="27" t="str">
        <f t="shared" si="300"/>
        <v/>
      </c>
      <c r="BF675" s="27" t="str">
        <f t="shared" si="301"/>
        <v/>
      </c>
      <c r="BG675" s="27" t="str">
        <f t="shared" si="302"/>
        <v/>
      </c>
      <c r="BH675" s="27" t="str">
        <f t="shared" si="303"/>
        <v>H+N</v>
      </c>
      <c r="BI675" s="27" t="str">
        <f t="shared" si="304"/>
        <v>H+Nex</v>
      </c>
      <c r="BJ675" s="27" t="str">
        <f t="shared" si="305"/>
        <v>Supp or Hun</v>
      </c>
      <c r="BK675" s="27" t="str">
        <f t="shared" si="306"/>
        <v>Supp or Hun Need</v>
      </c>
      <c r="BL675" s="27" t="str">
        <f t="shared" si="307"/>
        <v>SorHandNandE</v>
      </c>
      <c r="BM675" s="21" t="s">
        <v>5582</v>
      </c>
    </row>
    <row r="676" spans="1:65" ht="15">
      <c r="A676" s="25">
        <f>IFERROR(INDEX('Hun Demand'!W:W,MATCH(O676,'Hun Demand'!A:A,0)),"")</f>
        <v>1076</v>
      </c>
      <c r="B676" s="25">
        <f>IFERROR(INDEX('Hun Demand'!V:V,MATCH(O676,'Hun Demand'!A:A,0)),"")</f>
        <v>726</v>
      </c>
      <c r="C676" s="25">
        <f>IFERROR(INDEX('Hun Demand'!U:U,MATCH(O676,'Hun Demand'!A:A,0)),"")</f>
        <v>441</v>
      </c>
      <c r="D676" s="25">
        <f>IFERROR(INDEX('Hun Demand'!T:T,MATCH(O676,'Hun Demand'!A:A,0)),"")</f>
        <v>0</v>
      </c>
      <c r="E676" s="25">
        <f>IFERROR(INDEX('Hun Demand'!S:S,MATCH(O676,'Hun Demand'!A:A,0)),"")</f>
        <v>453</v>
      </c>
      <c r="F676" s="25">
        <f>IFERROR(INDEX('Hun Demand'!R:R,MATCH(O676,'Hun Demand'!A:A,0)),"")</f>
        <v>0</v>
      </c>
      <c r="G676" s="25">
        <f>IFERROR(INDEX('Aub Demand'!W:W,MATCH(O676,'Aub Demand'!A:A,0)),"")</f>
        <v>0</v>
      </c>
      <c r="H676" s="25">
        <f>IFERROR(INDEX('Aub Demand'!V:V,MATCH(O676,'Aub Demand'!A:A,0)),"")</f>
        <v>1832</v>
      </c>
      <c r="I676" s="25">
        <f>IFERROR(INDEX('Aub Demand'!U:U,MATCH(O676,'Aub Demand'!A:A,0)),"")</f>
        <v>374</v>
      </c>
      <c r="J676" s="25">
        <f>IFERROR(INDEX('Aub Demand'!T:T,MATCH(O676,'Aub Demand'!A:A,0)),"")</f>
        <v>93</v>
      </c>
      <c r="K676" s="25">
        <f>IFERROR(INDEX('Aub Demand'!S:S,MATCH(O676,'Aub Demand'!A:A,0)),"")</f>
        <v>14</v>
      </c>
      <c r="L676" s="25">
        <f>IFERROR(INDEX('Aub Demand'!R:R,MATCH(O676,'Aub Demand'!A:A,0)),"")</f>
        <v>0</v>
      </c>
      <c r="O676" s="27" t="s">
        <v>1116</v>
      </c>
      <c r="P676" s="27" t="str">
        <f>IFERROR(INDEX('Aub Demand'!B:B,MATCH($O676,'Aub Demand'!$A:$A,0)),"")</f>
        <v>MG NOCE MEDIO</v>
      </c>
      <c r="Q676" s="27" t="str">
        <f>IFERROR(INDEX('Aub Demand'!C:C,MATCH($O676,'Aub Demand'!$A:$A,0)),"")</f>
        <v>SCHAT</v>
      </c>
      <c r="R676" s="52">
        <f>IFERROR(IF(AR677=AR676,INDEX('Aub Demand'!K:K,MATCH($O676,'Aub Demand'!$A:$A,0))-IF(AN676="",0,AN676)+AP677,INDEX('Aub Demand'!K:K,MATCH($O676,'Aub Demand'!$A:$A,0))-IF(AN676="",0,AN676)),"")</f>
        <v>1461</v>
      </c>
      <c r="S676" s="53">
        <f t="shared" si="280"/>
        <v>39.1</v>
      </c>
      <c r="T676" s="52" t="str">
        <f t="shared" si="281"/>
        <v/>
      </c>
      <c r="U676" s="52">
        <f>IFERROR(IF(AR677=AR676,INDEX('Aub Demand'!Q:Q,MATCH($O676,'Aub Demand'!$A:$A,0))-IF(AN676="",0,AN676)+AP677,INDEX('Aub Demand'!Q:Q,MATCH($O676,'Aub Demand'!$A:$A,0))-IF(AN676="",0,AN676)),"")</f>
        <v>1458</v>
      </c>
      <c r="V676" s="53">
        <f t="shared" si="282"/>
        <v>39.1</v>
      </c>
      <c r="W676" s="52" t="str">
        <f t="shared" si="283"/>
        <v/>
      </c>
      <c r="X676" s="52">
        <f>IFERROR(IF(AND(AR677=AR676,AM676&lt;&gt;""),INDEX('Aub Demand'!Q:Q,MATCH($O676,'Aub Demand'!$A:$A,0))-IF(AN676="",0,AN676)+AP677+AD676+AL676,IF(AR677=AR676,INDEX('Aub Demand'!Q:Q,MATCH($O676,'Aub Demand'!$A:$A,0))-IF(AN676="",0,AN676)+AP677+AD676,IF(AM676&lt;&gt;"",INDEX('Aub Demand'!Q:Q,MATCH($O676,'Aub Demand'!$A:$A,0))-IF(AN676="",0,AN676)+AD676+AL676,INDEX('Aub Demand'!Q:Q,MATCH($O676,'Aub Demand'!$A:$A,0))-IF(AN676="",0,AN676)+AD676))),"")</f>
        <v>1458</v>
      </c>
      <c r="Y676" s="53">
        <f t="shared" si="284"/>
        <v>39.1</v>
      </c>
      <c r="Z676" s="52">
        <f>IF(L676="","",INDEX('Aub Demand'!H:H,MATCH($O676,'Aub Demand'!$A:$A,0)))</f>
        <v>160</v>
      </c>
      <c r="AA676" s="52">
        <f t="shared" si="285"/>
        <v>233.5</v>
      </c>
      <c r="AB676" s="52">
        <f>IFERROR(INDEX('Aub Demand'!L:L,MATCH($O676,'Aub Demand'!$A:$A,0)),"")</f>
        <v>50</v>
      </c>
      <c r="AC676" s="52">
        <f>IFERROR(IF(O676="","",SUMIFS('CPL Mats'!F:F,'CPL Mats'!Q:Q,AR676,'CPL Mats'!S:S,AS676)),"")</f>
        <v>0</v>
      </c>
      <c r="AF676" s="25" t="str">
        <f>IF(SUMIFS('Supp Consol'!S:S,'Supp Consol'!Y:Y,"Releasable",'Supp Consol'!A:A,O676)=0,"",SUMIFS('Supp Consol'!S:S,'Supp Consol'!Y:Y,"Releasable",'Supp Consol'!A:A,O676))</f>
        <v/>
      </c>
      <c r="AG676" s="25">
        <f>IFERROR(INDEX('Hun Demand'!Q:Q,MATCH(O676,'Hun Demand'!A:A,0)),"")</f>
        <v>5651</v>
      </c>
      <c r="AH676" s="25">
        <f>IFERROR(INDEX('Hun Demand'!H:H,MATCH($O676,'Hun Demand'!$A:$A,0)),"")</f>
        <v>298</v>
      </c>
      <c r="AI676" s="25" t="str">
        <f>IF(SUMIFS('Supp Consol'!AA:AA,'Supp Consol'!Z:Z,"Expires this month",'Supp Consol'!A:A,O676)=0,"",SUMIFS('Supp Consol'!AA:AA,'Supp Consol'!Z:Z,"Expires this month",'Supp Consol'!A:A,O676))</f>
        <v/>
      </c>
      <c r="AJ676" s="25" t="str">
        <f>IF(SUMIFS('Supp Consol'!AA:AA,'Supp Consol'!Z:Z,"Expired Previous Months",'Supp Consol'!A:A,O676)=0,"",SUMIFS('Supp Consol'!AA:AA,'Supp Consol'!Z:Z,"Expired Previous Months",'Supp Consol'!A:A,O676))</f>
        <v/>
      </c>
      <c r="AK676" s="25" t="str">
        <f>IFERROR(INDEX('Hun Release Current'!B:B,MATCH(O676,'Hun Release Current'!A:A,0)),"")</f>
        <v/>
      </c>
      <c r="AL676" s="25" t="str">
        <f>IF(SUMIF('Prev Aub'!A:A,O676,'Prev Aub'!B:B)=0,"",SUMIF('Prev Aub'!A:A,O676,'Prev Aub'!B:B))</f>
        <v/>
      </c>
      <c r="AN676" s="25" t="s">
        <v>3790</v>
      </c>
      <c r="AO676" s="25" t="s">
        <v>3790</v>
      </c>
      <c r="AP676" s="25">
        <f t="shared" si="286"/>
        <v>0</v>
      </c>
      <c r="AQ676" s="151" t="str">
        <f>IF(SUMIFS('Supp Consol'!S:S,'Supp Consol'!A:A,O676,'Supp Consol'!I:I,"PENDING")=0,"",SUMIFS('Supp Consol'!S:S,'Supp Consol'!A:A,O676,'Supp Consol'!I:I,"PENDING"))</f>
        <v/>
      </c>
      <c r="AR676" s="27" t="str">
        <f t="shared" si="287"/>
        <v>KM043</v>
      </c>
      <c r="AS676" s="27" t="str">
        <f t="shared" si="288"/>
        <v>62</v>
      </c>
      <c r="AT676" s="27" t="str">
        <f t="shared" si="289"/>
        <v/>
      </c>
      <c r="AU676" s="27" t="str">
        <f t="shared" si="290"/>
        <v/>
      </c>
      <c r="AV676" s="27" t="str">
        <f t="shared" si="291"/>
        <v/>
      </c>
      <c r="AW676" s="27" t="str">
        <f t="shared" si="292"/>
        <v/>
      </c>
      <c r="AX676" s="27" t="str">
        <f t="shared" si="293"/>
        <v/>
      </c>
      <c r="AY676" s="27" t="str">
        <f t="shared" si="294"/>
        <v>KM043</v>
      </c>
      <c r="AZ676" s="27" t="str">
        <f t="shared" si="295"/>
        <v/>
      </c>
      <c r="BA676" s="27" t="str">
        <f t="shared" si="296"/>
        <v>Hun</v>
      </c>
      <c r="BB676" s="27" t="str">
        <f t="shared" si="297"/>
        <v>Gross</v>
      </c>
      <c r="BC676" s="27" t="str">
        <f t="shared" si="298"/>
        <v>Net</v>
      </c>
      <c r="BD676" s="27" t="str">
        <f t="shared" si="299"/>
        <v>Net</v>
      </c>
      <c r="BE676" s="27" t="str">
        <f t="shared" si="300"/>
        <v/>
      </c>
      <c r="BF676" s="27" t="str">
        <f t="shared" si="301"/>
        <v/>
      </c>
      <c r="BG676" s="27" t="str">
        <f t="shared" si="302"/>
        <v/>
      </c>
      <c r="BH676" s="27" t="str">
        <f t="shared" si="303"/>
        <v>H+N</v>
      </c>
      <c r="BI676" s="27" t="str">
        <f t="shared" si="304"/>
        <v>H+Nex</v>
      </c>
      <c r="BJ676" s="27" t="str">
        <f t="shared" si="305"/>
        <v>Supp or Hun</v>
      </c>
      <c r="BK676" s="27" t="str">
        <f t="shared" si="306"/>
        <v>Supp or Hun Need</v>
      </c>
      <c r="BL676" s="27" t="str">
        <f t="shared" si="307"/>
        <v>SorHandNandE</v>
      </c>
      <c r="BM676" s="21" t="s">
        <v>5582</v>
      </c>
    </row>
    <row r="677" spans="1:65" ht="15">
      <c r="A677" s="25">
        <f>IFERROR(INDEX('Hun Demand'!W:W,MATCH(O677,'Hun Demand'!A:A,0)),"")</f>
        <v>0</v>
      </c>
      <c r="B677" s="25">
        <f>IFERROR(INDEX('Hun Demand'!V:V,MATCH(O677,'Hun Demand'!A:A,0)),"")</f>
        <v>207</v>
      </c>
      <c r="C677" s="25">
        <f>IFERROR(INDEX('Hun Demand'!U:U,MATCH(O677,'Hun Demand'!A:A,0)),"")</f>
        <v>55</v>
      </c>
      <c r="D677" s="25">
        <f>IFERROR(INDEX('Hun Demand'!T:T,MATCH(O677,'Hun Demand'!A:A,0)),"")</f>
        <v>0</v>
      </c>
      <c r="E677" s="25">
        <f>IFERROR(INDEX('Hun Demand'!S:S,MATCH(O677,'Hun Demand'!A:A,0)),"")</f>
        <v>0</v>
      </c>
      <c r="F677" s="25">
        <f>IFERROR(INDEX('Hun Demand'!R:R,MATCH(O677,'Hun Demand'!A:A,0)),"")</f>
        <v>0</v>
      </c>
      <c r="G677" s="25">
        <f>IFERROR(INDEX('Aub Demand'!W:W,MATCH(O677,'Aub Demand'!A:A,0)),"")</f>
        <v>24</v>
      </c>
      <c r="H677" s="25">
        <f>IFERROR(INDEX('Aub Demand'!V:V,MATCH(O677,'Aub Demand'!A:A,0)),"")</f>
        <v>82</v>
      </c>
      <c r="I677" s="25">
        <f>IFERROR(INDEX('Aub Demand'!U:U,MATCH(O677,'Aub Demand'!A:A,0)),"")</f>
        <v>54</v>
      </c>
      <c r="J677" s="25">
        <f>IFERROR(INDEX('Aub Demand'!T:T,MATCH(O677,'Aub Demand'!A:A,0)),"")</f>
        <v>0</v>
      </c>
      <c r="K677" s="25">
        <f>IFERROR(INDEX('Aub Demand'!S:S,MATCH(O677,'Aub Demand'!A:A,0)),"")</f>
        <v>15</v>
      </c>
      <c r="L677" s="25">
        <f>IFERROR(INDEX('Aub Demand'!R:R,MATCH(O677,'Aub Demand'!A:A,0)),"")</f>
        <v>0</v>
      </c>
      <c r="O677" s="27" t="s">
        <v>1117</v>
      </c>
      <c r="P677" s="27" t="str">
        <f>IFERROR(INDEX('Aub Demand'!B:B,MATCH($O677,'Aub Demand'!$A:$A,0)),"")</f>
        <v>MG NOCE LEGGERO</v>
      </c>
      <c r="Q677" s="27" t="str">
        <f>IFERROR(INDEX('Aub Demand'!C:C,MATCH($O677,'Aub Demand'!$A:$A,0)),"")</f>
        <v>SCHAT</v>
      </c>
      <c r="R677" s="52">
        <f>IFERROR(IF(AR678=AR677,INDEX('Aub Demand'!K:K,MATCH($O677,'Aub Demand'!$A:$A,0))-IF(AN677="",0,AN677)+AP678,INDEX('Aub Demand'!K:K,MATCH($O677,'Aub Demand'!$A:$A,0))-IF(AN677="",0,AN677)),"")</f>
        <v>325</v>
      </c>
      <c r="S677" s="53">
        <f t="shared" si="280"/>
        <v>60.6</v>
      </c>
      <c r="T677" s="52" t="str">
        <f t="shared" si="281"/>
        <v/>
      </c>
      <c r="U677" s="52">
        <f>IFERROR(IF(AR678=AR677,INDEX('Aub Demand'!Q:Q,MATCH($O677,'Aub Demand'!$A:$A,0))-IF(AN677="",0,AN677)+AP678,INDEX('Aub Demand'!Q:Q,MATCH($O677,'Aub Demand'!$A:$A,0))-IF(AN677="",0,AN677)),"")</f>
        <v>250</v>
      </c>
      <c r="V677" s="53">
        <f t="shared" si="282"/>
        <v>46.6</v>
      </c>
      <c r="W677" s="52" t="str">
        <f t="shared" si="283"/>
        <v/>
      </c>
      <c r="X677" s="52">
        <f>IFERROR(IF(AND(AR678=AR677,AM677&lt;&gt;""),INDEX('Aub Demand'!Q:Q,MATCH($O677,'Aub Demand'!$A:$A,0))-IF(AN677="",0,AN677)+AP678+AD677+AL677,IF(AR678=AR677,INDEX('Aub Demand'!Q:Q,MATCH($O677,'Aub Demand'!$A:$A,0))-IF(AN677="",0,AN677)+AP678+AD677,IF(AM677&lt;&gt;"",INDEX('Aub Demand'!Q:Q,MATCH($O677,'Aub Demand'!$A:$A,0))-IF(AN677="",0,AN677)+AD677+AL677,INDEX('Aub Demand'!Q:Q,MATCH($O677,'Aub Demand'!$A:$A,0))-IF(AN677="",0,AN677)+AD677))),"")</f>
        <v>250</v>
      </c>
      <c r="Y677" s="53">
        <f t="shared" si="284"/>
        <v>46.6</v>
      </c>
      <c r="Z677" s="52">
        <f>IF(L677="","",INDEX('Aub Demand'!H:H,MATCH($O677,'Aub Demand'!$A:$A,0)))</f>
        <v>23</v>
      </c>
      <c r="AA677" s="52">
        <f t="shared" si="285"/>
        <v>34.5</v>
      </c>
      <c r="AB677" s="52">
        <f>IFERROR(INDEX('Aub Demand'!L:L,MATCH($O677,'Aub Demand'!$A:$A,0)),"")</f>
        <v>0</v>
      </c>
      <c r="AC677" s="52">
        <f>IFERROR(IF(O677="","",SUMIFS('CPL Mats'!F:F,'CPL Mats'!Q:Q,AR677,'CPL Mats'!S:S,AS677)),"")</f>
        <v>0</v>
      </c>
      <c r="AF677" s="25" t="str">
        <f>IF(SUMIFS('Supp Consol'!S:S,'Supp Consol'!Y:Y,"Releasable",'Supp Consol'!A:A,O677)=0,"",SUMIFS('Supp Consol'!S:S,'Supp Consol'!Y:Y,"Releasable",'Supp Consol'!A:A,O677))</f>
        <v/>
      </c>
      <c r="AG677" s="25">
        <f>IFERROR(INDEX('Hun Demand'!Q:Q,MATCH(O677,'Hun Demand'!A:A,0)),"")</f>
        <v>1192</v>
      </c>
      <c r="AH677" s="25">
        <f>IFERROR(INDEX('Hun Demand'!H:H,MATCH($O677,'Hun Demand'!$A:$A,0)),"")</f>
        <v>18</v>
      </c>
      <c r="AI677" s="25" t="str">
        <f>IF(SUMIFS('Supp Consol'!AA:AA,'Supp Consol'!Z:Z,"Expires this month",'Supp Consol'!A:A,O677)=0,"",SUMIFS('Supp Consol'!AA:AA,'Supp Consol'!Z:Z,"Expires this month",'Supp Consol'!A:A,O677))</f>
        <v/>
      </c>
      <c r="AJ677" s="25" t="str">
        <f>IF(SUMIFS('Supp Consol'!AA:AA,'Supp Consol'!Z:Z,"Expired Previous Months",'Supp Consol'!A:A,O677)=0,"",SUMIFS('Supp Consol'!AA:AA,'Supp Consol'!Z:Z,"Expired Previous Months",'Supp Consol'!A:A,O677))</f>
        <v/>
      </c>
      <c r="AK677" s="25" t="str">
        <f>IFERROR(INDEX('Hun Release Current'!B:B,MATCH(O677,'Hun Release Current'!A:A,0)),"")</f>
        <v/>
      </c>
      <c r="AL677" s="25" t="str">
        <f>IF(SUMIF('Prev Aub'!A:A,O677,'Prev Aub'!B:B)=0,"",SUMIF('Prev Aub'!A:A,O677,'Prev Aub'!B:B))</f>
        <v/>
      </c>
      <c r="AN677" s="25" t="s">
        <v>3790</v>
      </c>
      <c r="AO677" s="25" t="s">
        <v>3790</v>
      </c>
      <c r="AP677" s="25">
        <f t="shared" si="286"/>
        <v>0</v>
      </c>
      <c r="AQ677" s="151" t="str">
        <f>IF(SUMIFS('Supp Consol'!S:S,'Supp Consol'!A:A,O677,'Supp Consol'!I:I,"PENDING")=0,"",SUMIFS('Supp Consol'!S:S,'Supp Consol'!A:A,O677,'Supp Consol'!I:I,"PENDING"))</f>
        <v/>
      </c>
      <c r="AR677" s="27" t="str">
        <f t="shared" si="287"/>
        <v>KM044</v>
      </c>
      <c r="AS677" s="27" t="str">
        <f t="shared" si="288"/>
        <v>50</v>
      </c>
      <c r="AT677" s="27" t="str">
        <f t="shared" si="289"/>
        <v/>
      </c>
      <c r="AU677" s="27" t="str">
        <f t="shared" si="290"/>
        <v/>
      </c>
      <c r="AV677" s="27" t="str">
        <f t="shared" si="291"/>
        <v/>
      </c>
      <c r="AW677" s="27" t="str">
        <f t="shared" si="292"/>
        <v/>
      </c>
      <c r="AX677" s="27" t="str">
        <f t="shared" si="293"/>
        <v/>
      </c>
      <c r="AY677" s="27" t="str">
        <f t="shared" si="294"/>
        <v>KM044</v>
      </c>
      <c r="AZ677" s="27" t="str">
        <f t="shared" si="295"/>
        <v/>
      </c>
      <c r="BA677" s="27" t="str">
        <f t="shared" si="296"/>
        <v>Hun</v>
      </c>
      <c r="BB677" s="27" t="str">
        <f t="shared" si="297"/>
        <v/>
      </c>
      <c r="BC677" s="27" t="str">
        <f t="shared" si="298"/>
        <v/>
      </c>
      <c r="BD677" s="27" t="str">
        <f t="shared" si="299"/>
        <v/>
      </c>
      <c r="BE677" s="27" t="str">
        <f t="shared" si="300"/>
        <v/>
      </c>
      <c r="BF677" s="27" t="str">
        <f t="shared" si="301"/>
        <v/>
      </c>
      <c r="BG677" s="27" t="str">
        <f t="shared" si="302"/>
        <v/>
      </c>
      <c r="BH677" s="27" t="str">
        <f t="shared" si="303"/>
        <v/>
      </c>
      <c r="BI677" s="27" t="str">
        <f t="shared" si="304"/>
        <v/>
      </c>
      <c r="BJ677" s="27" t="str">
        <f t="shared" si="305"/>
        <v>Supp or Hun</v>
      </c>
      <c r="BK677" s="27" t="str">
        <f t="shared" si="306"/>
        <v/>
      </c>
      <c r="BL677" s="27" t="str">
        <f t="shared" si="307"/>
        <v/>
      </c>
      <c r="BM677" s="21" t="s">
        <v>5582</v>
      </c>
    </row>
    <row r="678" spans="1:65" ht="15">
      <c r="A678" s="25">
        <f>IFERROR(INDEX('Hun Demand'!W:W,MATCH(O678,'Hun Demand'!A:A,0)),"")</f>
        <v>1228</v>
      </c>
      <c r="B678" s="25">
        <f>IFERROR(INDEX('Hun Demand'!V:V,MATCH(O678,'Hun Demand'!A:A,0)),"")</f>
        <v>299</v>
      </c>
      <c r="C678" s="25">
        <f>IFERROR(INDEX('Hun Demand'!U:U,MATCH(O678,'Hun Demand'!A:A,0)),"")</f>
        <v>310</v>
      </c>
      <c r="D678" s="25">
        <f>IFERROR(INDEX('Hun Demand'!T:T,MATCH(O678,'Hun Demand'!A:A,0)),"")</f>
        <v>0</v>
      </c>
      <c r="E678" s="25">
        <f>IFERROR(INDEX('Hun Demand'!S:S,MATCH(O678,'Hun Demand'!A:A,0)),"")</f>
        <v>509</v>
      </c>
      <c r="F678" s="25">
        <f>IFERROR(INDEX('Hun Demand'!R:R,MATCH(O678,'Hun Demand'!A:A,0)),"")</f>
        <v>0</v>
      </c>
      <c r="G678" s="25">
        <f>IFERROR(INDEX('Aub Demand'!W:W,MATCH(O678,'Aub Demand'!A:A,0)),"")</f>
        <v>100</v>
      </c>
      <c r="H678" s="25">
        <f>IFERROR(INDEX('Aub Demand'!V:V,MATCH(O678,'Aub Demand'!A:A,0)),"")</f>
        <v>8</v>
      </c>
      <c r="I678" s="25">
        <f>IFERROR(INDEX('Aub Demand'!U:U,MATCH(O678,'Aub Demand'!A:A,0)),"")</f>
        <v>100</v>
      </c>
      <c r="J678" s="25">
        <f>IFERROR(INDEX('Aub Demand'!T:T,MATCH(O678,'Aub Demand'!A:A,0)),"")</f>
        <v>0</v>
      </c>
      <c r="K678" s="25">
        <f>IFERROR(INDEX('Aub Demand'!S:S,MATCH(O678,'Aub Demand'!A:A,0)),"")</f>
        <v>22</v>
      </c>
      <c r="L678" s="25">
        <f>IFERROR(INDEX('Aub Demand'!R:R,MATCH(O678,'Aub Demand'!A:A,0)),"")</f>
        <v>0</v>
      </c>
      <c r="O678" s="27" t="s">
        <v>1119</v>
      </c>
      <c r="P678" s="27" t="str">
        <f>IFERROR(INDEX('Aub Demand'!B:B,MATCH($O678,'Aub Demand'!$A:$A,0)),"")</f>
        <v>MG NOCE LEGGERO</v>
      </c>
      <c r="Q678" s="27" t="str">
        <f>IFERROR(INDEX('Aub Demand'!C:C,MATCH($O678,'Aub Demand'!$A:$A,0)),"")</f>
        <v>SCHAT</v>
      </c>
      <c r="R678" s="52">
        <f>IFERROR(IF(AR679=AR678,INDEX('Aub Demand'!K:K,MATCH($O678,'Aub Demand'!$A:$A,0))-IF(AN678="",0,AN678)+AP679,INDEX('Aub Demand'!K:K,MATCH($O678,'Aub Demand'!$A:$A,0))-IF(AN678="",0,AN678)),"")</f>
        <v>1801</v>
      </c>
      <c r="S678" s="53">
        <f t="shared" si="280"/>
        <v>188.3</v>
      </c>
      <c r="T678" s="52" t="str">
        <f t="shared" si="281"/>
        <v/>
      </c>
      <c r="U678" s="52">
        <f>IFERROR(IF(AR679=AR678,INDEX('Aub Demand'!Q:Q,MATCH($O678,'Aub Demand'!$A:$A,0))-IF(AN678="",0,AN678)+AP679,INDEX('Aub Demand'!Q:Q,MATCH($O678,'Aub Demand'!$A:$A,0))-IF(AN678="",0,AN678)),"")</f>
        <v>1718</v>
      </c>
      <c r="V678" s="53">
        <f t="shared" si="282"/>
        <v>179.6</v>
      </c>
      <c r="W678" s="52" t="str">
        <f t="shared" si="283"/>
        <v/>
      </c>
      <c r="X678" s="52">
        <f>IFERROR(IF(AND(AR679=AR678,AM678&lt;&gt;""),INDEX('Aub Demand'!Q:Q,MATCH($O678,'Aub Demand'!$A:$A,0))-IF(AN678="",0,AN678)+AP679+AD678+AL678,IF(AR679=AR678,INDEX('Aub Demand'!Q:Q,MATCH($O678,'Aub Demand'!$A:$A,0))-IF(AN678="",0,AN678)+AP679+AD678,IF(AM678&lt;&gt;"",INDEX('Aub Demand'!Q:Q,MATCH($O678,'Aub Demand'!$A:$A,0))-IF(AN678="",0,AN678)+AD678+AL678,INDEX('Aub Demand'!Q:Q,MATCH($O678,'Aub Demand'!$A:$A,0))-IF(AN678="",0,AN678)+AD678))),"")</f>
        <v>1718</v>
      </c>
      <c r="Y678" s="53">
        <f t="shared" si="284"/>
        <v>179.6</v>
      </c>
      <c r="Z678" s="52">
        <f>IF(L678="","",INDEX('Aub Demand'!H:H,MATCH($O678,'Aub Demand'!$A:$A,0)))</f>
        <v>41</v>
      </c>
      <c r="AA678" s="52">
        <f t="shared" si="285"/>
        <v>61</v>
      </c>
      <c r="AB678" s="52">
        <f>IFERROR(INDEX('Aub Demand'!L:L,MATCH($O678,'Aub Demand'!$A:$A,0)),"")</f>
        <v>0</v>
      </c>
      <c r="AC678" s="52">
        <f>IFERROR(IF(O678="","",SUMIFS('CPL Mats'!F:F,'CPL Mats'!Q:Q,AR678,'CPL Mats'!S:S,AS678)),"")</f>
        <v>0</v>
      </c>
      <c r="AF678" s="25" t="str">
        <f>IF(SUMIFS('Supp Consol'!S:S,'Supp Consol'!Y:Y,"Releasable",'Supp Consol'!A:A,O678)=0,"",SUMIFS('Supp Consol'!S:S,'Supp Consol'!Y:Y,"Releasable",'Supp Consol'!A:A,O678))</f>
        <v/>
      </c>
      <c r="AG678" s="25">
        <f>IFERROR(INDEX('Hun Demand'!Q:Q,MATCH(O678,'Hun Demand'!A:A,0)),"")</f>
        <v>1637</v>
      </c>
      <c r="AH678" s="25">
        <f>IFERROR(INDEX('Hun Demand'!H:H,MATCH($O678,'Hun Demand'!$A:$A,0)),"")</f>
        <v>273</v>
      </c>
      <c r="AI678" s="25" t="str">
        <f>IF(SUMIFS('Supp Consol'!AA:AA,'Supp Consol'!Z:Z,"Expires this month",'Supp Consol'!A:A,O678)=0,"",SUMIFS('Supp Consol'!AA:AA,'Supp Consol'!Z:Z,"Expires this month",'Supp Consol'!A:A,O678))</f>
        <v/>
      </c>
      <c r="AJ678" s="25" t="str">
        <f>IF(SUMIFS('Supp Consol'!AA:AA,'Supp Consol'!Z:Z,"Expired Previous Months",'Supp Consol'!A:A,O678)=0,"",SUMIFS('Supp Consol'!AA:AA,'Supp Consol'!Z:Z,"Expired Previous Months",'Supp Consol'!A:A,O678))</f>
        <v/>
      </c>
      <c r="AK678" s="25" t="str">
        <f>IFERROR(INDEX('Hun Release Current'!B:B,MATCH(O678,'Hun Release Current'!A:A,0)),"")</f>
        <v/>
      </c>
      <c r="AL678" s="25" t="str">
        <f>IF(SUMIF('Prev Aub'!A:A,O678,'Prev Aub'!B:B)=0,"",SUMIF('Prev Aub'!A:A,O678,'Prev Aub'!B:B))</f>
        <v/>
      </c>
      <c r="AN678" s="25" t="s">
        <v>3790</v>
      </c>
      <c r="AO678" s="25" t="s">
        <v>3790</v>
      </c>
      <c r="AP678" s="25">
        <f t="shared" si="286"/>
        <v>0</v>
      </c>
      <c r="AQ678" s="151" t="str">
        <f>IF(SUMIFS('Supp Consol'!S:S,'Supp Consol'!A:A,O678,'Supp Consol'!I:I,"PENDING")=0,"",SUMIFS('Supp Consol'!S:S,'Supp Consol'!A:A,O678,'Supp Consol'!I:I,"PENDING"))</f>
        <v/>
      </c>
      <c r="AR678" s="27" t="str">
        <f t="shared" si="287"/>
        <v>KM044</v>
      </c>
      <c r="AS678" s="27" t="str">
        <f t="shared" si="288"/>
        <v>62</v>
      </c>
      <c r="AT678" s="27" t="str">
        <f t="shared" si="289"/>
        <v/>
      </c>
      <c r="AU678" s="27" t="str">
        <f t="shared" si="290"/>
        <v/>
      </c>
      <c r="AV678" s="27" t="str">
        <f t="shared" si="291"/>
        <v/>
      </c>
      <c r="AW678" s="27" t="str">
        <f t="shared" si="292"/>
        <v/>
      </c>
      <c r="AX678" s="27" t="str">
        <f t="shared" si="293"/>
        <v/>
      </c>
      <c r="AY678" s="27" t="str">
        <f t="shared" si="294"/>
        <v>KM044</v>
      </c>
      <c r="AZ678" s="27" t="str">
        <f t="shared" si="295"/>
        <v/>
      </c>
      <c r="BA678" s="27" t="str">
        <f t="shared" si="296"/>
        <v>Hun</v>
      </c>
      <c r="BB678" s="27" t="str">
        <f t="shared" si="297"/>
        <v/>
      </c>
      <c r="BC678" s="27" t="str">
        <f t="shared" si="298"/>
        <v/>
      </c>
      <c r="BD678" s="27" t="str">
        <f t="shared" si="299"/>
        <v/>
      </c>
      <c r="BE678" s="27" t="str">
        <f t="shared" si="300"/>
        <v/>
      </c>
      <c r="BF678" s="27" t="str">
        <f t="shared" si="301"/>
        <v/>
      </c>
      <c r="BG678" s="27" t="str">
        <f t="shared" si="302"/>
        <v/>
      </c>
      <c r="BH678" s="27" t="str">
        <f t="shared" si="303"/>
        <v/>
      </c>
      <c r="BI678" s="27" t="str">
        <f t="shared" si="304"/>
        <v/>
      </c>
      <c r="BJ678" s="27" t="str">
        <f t="shared" si="305"/>
        <v>Supp or Hun</v>
      </c>
      <c r="BK678" s="27" t="str">
        <f t="shared" si="306"/>
        <v/>
      </c>
      <c r="BL678" s="27" t="str">
        <f t="shared" si="307"/>
        <v/>
      </c>
      <c r="BM678" s="21" t="s">
        <v>5582</v>
      </c>
    </row>
    <row r="679" spans="1:65" ht="15">
      <c r="A679" s="25">
        <f>IFERROR(INDEX('Hun Demand'!W:W,MATCH(O679,'Hun Demand'!A:A,0)),"")</f>
        <v>112</v>
      </c>
      <c r="B679" s="25">
        <f>IFERROR(INDEX('Hun Demand'!V:V,MATCH(O679,'Hun Demand'!A:A,0)),"")</f>
        <v>0</v>
      </c>
      <c r="C679" s="25">
        <f>IFERROR(INDEX('Hun Demand'!U:U,MATCH(O679,'Hun Demand'!A:A,0)),"")</f>
        <v>0</v>
      </c>
      <c r="D679" s="25">
        <f>IFERROR(INDEX('Hun Demand'!T:T,MATCH(O679,'Hun Demand'!A:A,0)),"")</f>
        <v>96</v>
      </c>
      <c r="E679" s="25">
        <f>IFERROR(INDEX('Hun Demand'!S:S,MATCH(O679,'Hun Demand'!A:A,0)),"")</f>
        <v>112</v>
      </c>
      <c r="F679" s="25">
        <f>IFERROR(INDEX('Hun Demand'!R:R,MATCH(O679,'Hun Demand'!A:A,0)),"")</f>
        <v>0</v>
      </c>
      <c r="G679" s="25">
        <f>IFERROR(INDEX('Aub Demand'!W:W,MATCH(O679,'Aub Demand'!A:A,0)),"")</f>
        <v>0</v>
      </c>
      <c r="H679" s="25">
        <f>IFERROR(INDEX('Aub Demand'!V:V,MATCH(O679,'Aub Demand'!A:A,0)),"")</f>
        <v>0</v>
      </c>
      <c r="I679" s="25">
        <f>IFERROR(INDEX('Aub Demand'!U:U,MATCH(O679,'Aub Demand'!A:A,0)),"")</f>
        <v>6</v>
      </c>
      <c r="J679" s="25">
        <f>IFERROR(INDEX('Aub Demand'!T:T,MATCH(O679,'Aub Demand'!A:A,0)),"")</f>
        <v>51</v>
      </c>
      <c r="K679" s="25">
        <f>IFERROR(INDEX('Aub Demand'!S:S,MATCH(O679,'Aub Demand'!A:A,0)),"")</f>
        <v>0</v>
      </c>
      <c r="L679" s="25">
        <f>IFERROR(INDEX('Aub Demand'!R:R,MATCH(O679,'Aub Demand'!A:A,0)),"")</f>
        <v>0</v>
      </c>
      <c r="O679" s="27" t="s">
        <v>1120</v>
      </c>
      <c r="P679" s="27" t="str">
        <f>IFERROR(INDEX('Aub Demand'!B:B,MATCH($O679,'Aub Demand'!$A:$A,0)),"")</f>
        <v>MG NOCE BIONDO</v>
      </c>
      <c r="Q679" s="27" t="str">
        <f>IFERROR(INDEX('Aub Demand'!C:C,MATCH($O679,'Aub Demand'!$A:$A,0)),"")</f>
        <v>SCHAT</v>
      </c>
      <c r="R679" s="52">
        <f>IFERROR(IF(AR680=AR679,INDEX('Aub Demand'!K:K,MATCH($O679,'Aub Demand'!$A:$A,0))-IF(AN679="",0,AN679)+AP680,INDEX('Aub Demand'!K:K,MATCH($O679,'Aub Demand'!$A:$A,0))-IF(AN679="",0,AN679)),"")</f>
        <v>20</v>
      </c>
      <c r="S679" s="53">
        <f t="shared" si="280"/>
        <v>4.5</v>
      </c>
      <c r="T679" s="52" t="str">
        <f t="shared" si="281"/>
        <v/>
      </c>
      <c r="U679" s="52">
        <f>IFERROR(IF(AR680=AR679,INDEX('Aub Demand'!Q:Q,MATCH($O679,'Aub Demand'!$A:$A,0))-IF(AN679="",0,AN679)+AP680,INDEX('Aub Demand'!Q:Q,MATCH($O679,'Aub Demand'!$A:$A,0))-IF(AN679="",0,AN679)),"")</f>
        <v>20</v>
      </c>
      <c r="V679" s="53">
        <f t="shared" si="282"/>
        <v>4.5</v>
      </c>
      <c r="W679" s="52" t="str">
        <f t="shared" si="283"/>
        <v/>
      </c>
      <c r="X679" s="52">
        <f>IFERROR(IF(AND(AR680=AR679,AM679&lt;&gt;""),INDEX('Aub Demand'!Q:Q,MATCH($O679,'Aub Demand'!$A:$A,0))-IF(AN679="",0,AN679)+AP680+AD679+AL679,IF(AR680=AR679,INDEX('Aub Demand'!Q:Q,MATCH($O679,'Aub Demand'!$A:$A,0))-IF(AN679="",0,AN679)+AP680+AD679,IF(AM679&lt;&gt;"",INDEX('Aub Demand'!Q:Q,MATCH($O679,'Aub Demand'!$A:$A,0))-IF(AN679="",0,AN679)+AD679+AL679,INDEX('Aub Demand'!Q:Q,MATCH($O679,'Aub Demand'!$A:$A,0))-IF(AN679="",0,AN679)+AD679))),"")</f>
        <v>20</v>
      </c>
      <c r="Y679" s="53">
        <f t="shared" si="284"/>
        <v>4.5</v>
      </c>
      <c r="Z679" s="52">
        <f>IF(L679="","",INDEX('Aub Demand'!H:H,MATCH($O679,'Aub Demand'!$A:$A,0)))</f>
        <v>19</v>
      </c>
      <c r="AA679" s="52">
        <f t="shared" si="285"/>
        <v>28.5</v>
      </c>
      <c r="AB679" s="52">
        <f>IFERROR(INDEX('Aub Demand'!L:L,MATCH($O679,'Aub Demand'!$A:$A,0)),"")</f>
        <v>0</v>
      </c>
      <c r="AC679" s="52">
        <f>IFERROR(IF(O679="","",SUMIFS('CPL Mats'!F:F,'CPL Mats'!Q:Q,AR679,'CPL Mats'!S:S,AS679)),"")</f>
        <v>0</v>
      </c>
      <c r="AF679" s="25" t="str">
        <f>IF(SUMIFS('Supp Consol'!S:S,'Supp Consol'!Y:Y,"Releasable",'Supp Consol'!A:A,O679)=0,"",SUMIFS('Supp Consol'!S:S,'Supp Consol'!Y:Y,"Releasable",'Supp Consol'!A:A,O679))</f>
        <v/>
      </c>
      <c r="AG679" s="25">
        <f>IFERROR(INDEX('Hun Demand'!Q:Q,MATCH(O679,'Hun Demand'!A:A,0)),"")</f>
        <v>648</v>
      </c>
      <c r="AH679" s="25">
        <f>IFERROR(INDEX('Hun Demand'!H:H,MATCH($O679,'Hun Demand'!$A:$A,0)),"")</f>
        <v>69</v>
      </c>
      <c r="AI679" s="25" t="str">
        <f>IF(SUMIFS('Supp Consol'!AA:AA,'Supp Consol'!Z:Z,"Expires this month",'Supp Consol'!A:A,O679)=0,"",SUMIFS('Supp Consol'!AA:AA,'Supp Consol'!Z:Z,"Expires this month",'Supp Consol'!A:A,O679))</f>
        <v/>
      </c>
      <c r="AJ679" s="25" t="str">
        <f>IF(SUMIFS('Supp Consol'!AA:AA,'Supp Consol'!Z:Z,"Expired Previous Months",'Supp Consol'!A:A,O679)=0,"",SUMIFS('Supp Consol'!AA:AA,'Supp Consol'!Z:Z,"Expired Previous Months",'Supp Consol'!A:A,O679))</f>
        <v/>
      </c>
      <c r="AK679" s="25" t="str">
        <f>IFERROR(INDEX('Hun Release Current'!B:B,MATCH(O679,'Hun Release Current'!A:A,0)),"")</f>
        <v/>
      </c>
      <c r="AL679" s="25" t="str">
        <f>IF(SUMIF('Prev Aub'!A:A,O679,'Prev Aub'!B:B)=0,"",SUMIF('Prev Aub'!A:A,O679,'Prev Aub'!B:B))</f>
        <v/>
      </c>
      <c r="AN679" s="25" t="s">
        <v>3790</v>
      </c>
      <c r="AO679" s="25" t="s">
        <v>3790</v>
      </c>
      <c r="AP679" s="25">
        <f t="shared" si="286"/>
        <v>0</v>
      </c>
      <c r="AQ679" s="151" t="str">
        <f>IF(SUMIFS('Supp Consol'!S:S,'Supp Consol'!A:A,O679,'Supp Consol'!I:I,"PENDING")=0,"",SUMIFS('Supp Consol'!S:S,'Supp Consol'!A:A,O679,'Supp Consol'!I:I,"PENDING"))</f>
        <v/>
      </c>
      <c r="AR679" s="27" t="str">
        <f t="shared" si="287"/>
        <v>KM045</v>
      </c>
      <c r="AS679" s="27" t="str">
        <f t="shared" si="288"/>
        <v>50</v>
      </c>
      <c r="AT679" s="27" t="str">
        <f t="shared" si="289"/>
        <v/>
      </c>
      <c r="AU679" s="27" t="str">
        <f t="shared" si="290"/>
        <v/>
      </c>
      <c r="AV679" s="27" t="str">
        <f t="shared" si="291"/>
        <v/>
      </c>
      <c r="AW679" s="27" t="str">
        <f t="shared" si="292"/>
        <v/>
      </c>
      <c r="AX679" s="27" t="str">
        <f t="shared" si="293"/>
        <v/>
      </c>
      <c r="AY679" s="27" t="str">
        <f t="shared" si="294"/>
        <v>KM045</v>
      </c>
      <c r="AZ679" s="27" t="str">
        <f t="shared" si="295"/>
        <v/>
      </c>
      <c r="BA679" s="27" t="str">
        <f t="shared" si="296"/>
        <v>Hun</v>
      </c>
      <c r="BB679" s="27" t="str">
        <f t="shared" si="297"/>
        <v/>
      </c>
      <c r="BC679" s="27" t="str">
        <f t="shared" si="298"/>
        <v/>
      </c>
      <c r="BD679" s="27" t="str">
        <f t="shared" si="299"/>
        <v/>
      </c>
      <c r="BE679" s="27" t="str">
        <f t="shared" si="300"/>
        <v/>
      </c>
      <c r="BF679" s="27" t="str">
        <f t="shared" si="301"/>
        <v/>
      </c>
      <c r="BG679" s="27" t="str">
        <f t="shared" si="302"/>
        <v/>
      </c>
      <c r="BH679" s="27" t="str">
        <f t="shared" si="303"/>
        <v/>
      </c>
      <c r="BI679" s="27" t="str">
        <f t="shared" si="304"/>
        <v/>
      </c>
      <c r="BJ679" s="27" t="str">
        <f t="shared" si="305"/>
        <v>Supp or Hun</v>
      </c>
      <c r="BK679" s="27" t="str">
        <f t="shared" si="306"/>
        <v/>
      </c>
      <c r="BL679" s="27" t="str">
        <f t="shared" si="307"/>
        <v/>
      </c>
      <c r="BM679" s="21" t="s">
        <v>5582</v>
      </c>
    </row>
    <row r="680" spans="1:65" ht="15">
      <c r="A680" s="25">
        <f>IFERROR(INDEX('Hun Demand'!W:W,MATCH(O680,'Hun Demand'!A:A,0)),"")</f>
        <v>1119</v>
      </c>
      <c r="B680" s="25">
        <f>IFERROR(INDEX('Hun Demand'!V:V,MATCH(O680,'Hun Demand'!A:A,0)),"")</f>
        <v>751</v>
      </c>
      <c r="C680" s="25">
        <f>IFERROR(INDEX('Hun Demand'!U:U,MATCH(O680,'Hun Demand'!A:A,0)),"")</f>
        <v>0</v>
      </c>
      <c r="D680" s="25">
        <f>IFERROR(INDEX('Hun Demand'!T:T,MATCH(O680,'Hun Demand'!A:A,0)),"")</f>
        <v>0</v>
      </c>
      <c r="E680" s="25">
        <f>IFERROR(INDEX('Hun Demand'!S:S,MATCH(O680,'Hun Demand'!A:A,0)),"")</f>
        <v>454</v>
      </c>
      <c r="F680" s="25">
        <f>IFERROR(INDEX('Hun Demand'!R:R,MATCH(O680,'Hun Demand'!A:A,0)),"")</f>
        <v>0</v>
      </c>
      <c r="G680" s="25">
        <f>IFERROR(INDEX('Aub Demand'!W:W,MATCH(O680,'Aub Demand'!A:A,0)),"")</f>
        <v>65</v>
      </c>
      <c r="H680" s="25">
        <f>IFERROR(INDEX('Aub Demand'!V:V,MATCH(O680,'Aub Demand'!A:A,0)),"")</f>
        <v>0</v>
      </c>
      <c r="I680" s="25">
        <f>IFERROR(INDEX('Aub Demand'!U:U,MATCH(O680,'Aub Demand'!A:A,0)),"")</f>
        <v>11</v>
      </c>
      <c r="J680" s="25">
        <f>IFERROR(INDEX('Aub Demand'!T:T,MATCH(O680,'Aub Demand'!A:A,0)),"")</f>
        <v>28</v>
      </c>
      <c r="K680" s="25">
        <f>IFERROR(INDEX('Aub Demand'!S:S,MATCH(O680,'Aub Demand'!A:A,0)),"")</f>
        <v>85</v>
      </c>
      <c r="L680" s="25">
        <f>IFERROR(INDEX('Aub Demand'!R:R,MATCH(O680,'Aub Demand'!A:A,0)),"")</f>
        <v>18</v>
      </c>
      <c r="O680" s="27" t="s">
        <v>1123</v>
      </c>
      <c r="P680" s="27" t="str">
        <f>IFERROR(INDEX('Aub Demand'!B:B,MATCH($O680,'Aub Demand'!$A:$A,0)),"")</f>
        <v>MG NOCE BIONDO</v>
      </c>
      <c r="Q680" s="27" t="str">
        <f>IFERROR(INDEX('Aub Demand'!C:C,MATCH($O680,'Aub Demand'!$A:$A,0)),"")</f>
        <v>SCHAT</v>
      </c>
      <c r="R680" s="52">
        <f>IFERROR(IF(AR681=AR680,INDEX('Aub Demand'!K:K,MATCH($O680,'Aub Demand'!$A:$A,0))-IF(AN680="",0,AN680)+AP681,INDEX('Aub Demand'!K:K,MATCH($O680,'Aub Demand'!$A:$A,0))-IF(AN680="",0,AN680)),"")</f>
        <v>832</v>
      </c>
      <c r="S680" s="53">
        <f t="shared" si="280"/>
        <v>87</v>
      </c>
      <c r="T680" s="52" t="str">
        <f t="shared" si="281"/>
        <v/>
      </c>
      <c r="U680" s="52">
        <f>IFERROR(IF(AR681=AR680,INDEX('Aub Demand'!Q:Q,MATCH($O680,'Aub Demand'!$A:$A,0))-IF(AN680="",0,AN680)+AP681,INDEX('Aub Demand'!Q:Q,MATCH($O680,'Aub Demand'!$A:$A,0))-IF(AN680="",0,AN680)),"")</f>
        <v>778</v>
      </c>
      <c r="V680" s="53">
        <f t="shared" si="282"/>
        <v>81.3</v>
      </c>
      <c r="W680" s="52" t="str">
        <f t="shared" si="283"/>
        <v/>
      </c>
      <c r="X680" s="52">
        <f>IFERROR(IF(AND(AR681=AR680,AM680&lt;&gt;""),INDEX('Aub Demand'!Q:Q,MATCH($O680,'Aub Demand'!$A:$A,0))-IF(AN680="",0,AN680)+AP681+AD680+AL680,IF(AR681=AR680,INDEX('Aub Demand'!Q:Q,MATCH($O680,'Aub Demand'!$A:$A,0))-IF(AN680="",0,AN680)+AP681+AD680,IF(AM680&lt;&gt;"",INDEX('Aub Demand'!Q:Q,MATCH($O680,'Aub Demand'!$A:$A,0))-IF(AN680="",0,AN680)+AD680+AL680,INDEX('Aub Demand'!Q:Q,MATCH($O680,'Aub Demand'!$A:$A,0))-IF(AN680="",0,AN680)+AD680))),"")</f>
        <v>778</v>
      </c>
      <c r="Y680" s="53">
        <f t="shared" si="284"/>
        <v>81.3</v>
      </c>
      <c r="Z680" s="52">
        <f>IF(L680="","",INDEX('Aub Demand'!H:H,MATCH($O680,'Aub Demand'!$A:$A,0)))</f>
        <v>41</v>
      </c>
      <c r="AA680" s="52">
        <f t="shared" si="285"/>
        <v>56.5</v>
      </c>
      <c r="AB680" s="52">
        <f>IFERROR(INDEX('Aub Demand'!L:L,MATCH($O680,'Aub Demand'!$A:$A,0)),"")</f>
        <v>23</v>
      </c>
      <c r="AC680" s="52">
        <f>IFERROR(IF(O680="","",SUMIFS('CPL Mats'!F:F,'CPL Mats'!Q:Q,AR680,'CPL Mats'!S:S,AS680)),"")</f>
        <v>0</v>
      </c>
      <c r="AF680" s="25" t="str">
        <f>IF(SUMIFS('Supp Consol'!S:S,'Supp Consol'!Y:Y,"Releasable",'Supp Consol'!A:A,O680)=0,"",SUMIFS('Supp Consol'!S:S,'Supp Consol'!Y:Y,"Releasable",'Supp Consol'!A:A,O680))</f>
        <v/>
      </c>
      <c r="AG680" s="25">
        <f>IFERROR(INDEX('Hun Demand'!Q:Q,MATCH(O680,'Hun Demand'!A:A,0)),"")</f>
        <v>718</v>
      </c>
      <c r="AH680" s="25">
        <f>IFERROR(INDEX('Hun Demand'!H:H,MATCH($O680,'Hun Demand'!$A:$A,0)),"")</f>
        <v>151</v>
      </c>
      <c r="AI680" s="25" t="str">
        <f>IF(SUMIFS('Supp Consol'!AA:AA,'Supp Consol'!Z:Z,"Expires this month",'Supp Consol'!A:A,O680)=0,"",SUMIFS('Supp Consol'!AA:AA,'Supp Consol'!Z:Z,"Expires this month",'Supp Consol'!A:A,O680))</f>
        <v/>
      </c>
      <c r="AJ680" s="25" t="str">
        <f>IF(SUMIFS('Supp Consol'!AA:AA,'Supp Consol'!Z:Z,"Expired Previous Months",'Supp Consol'!A:A,O680)=0,"",SUMIFS('Supp Consol'!AA:AA,'Supp Consol'!Z:Z,"Expired Previous Months",'Supp Consol'!A:A,O680))</f>
        <v/>
      </c>
      <c r="AK680" s="25" t="str">
        <f>IFERROR(INDEX('Hun Release Current'!B:B,MATCH(O680,'Hun Release Current'!A:A,0)),"")</f>
        <v/>
      </c>
      <c r="AL680" s="25" t="str">
        <f>IF(SUMIF('Prev Aub'!A:A,O680,'Prev Aub'!B:B)=0,"",SUMIF('Prev Aub'!A:A,O680,'Prev Aub'!B:B))</f>
        <v/>
      </c>
      <c r="AN680" s="25">
        <v>25</v>
      </c>
      <c r="AO680" s="25" t="s">
        <v>3891</v>
      </c>
      <c r="AP680" s="25">
        <f t="shared" si="286"/>
        <v>20</v>
      </c>
      <c r="AQ680" s="151" t="str">
        <f>IF(SUMIFS('Supp Consol'!S:S,'Supp Consol'!A:A,O680,'Supp Consol'!I:I,"PENDING")=0,"",SUMIFS('Supp Consol'!S:S,'Supp Consol'!A:A,O680,'Supp Consol'!I:I,"PENDING"))</f>
        <v/>
      </c>
      <c r="AR680" s="27" t="str">
        <f t="shared" si="287"/>
        <v>KM045</v>
      </c>
      <c r="AS680" s="27" t="str">
        <f t="shared" si="288"/>
        <v>62</v>
      </c>
      <c r="AT680" s="27" t="str">
        <f t="shared" si="289"/>
        <v/>
      </c>
      <c r="AU680" s="27" t="str">
        <f t="shared" si="290"/>
        <v/>
      </c>
      <c r="AV680" s="27" t="str">
        <f t="shared" si="291"/>
        <v/>
      </c>
      <c r="AW680" s="27" t="str">
        <f t="shared" si="292"/>
        <v/>
      </c>
      <c r="AX680" s="27" t="str">
        <f t="shared" si="293"/>
        <v/>
      </c>
      <c r="AY680" s="27" t="str">
        <f t="shared" si="294"/>
        <v>KM045</v>
      </c>
      <c r="AZ680" s="27" t="str">
        <f t="shared" si="295"/>
        <v/>
      </c>
      <c r="BA680" s="27" t="str">
        <f t="shared" si="296"/>
        <v>Hun</v>
      </c>
      <c r="BB680" s="27" t="str">
        <f t="shared" si="297"/>
        <v/>
      </c>
      <c r="BC680" s="27" t="str">
        <f t="shared" si="298"/>
        <v/>
      </c>
      <c r="BD680" s="27" t="str">
        <f t="shared" si="299"/>
        <v/>
      </c>
      <c r="BE680" s="27" t="str">
        <f t="shared" si="300"/>
        <v/>
      </c>
      <c r="BF680" s="27" t="str">
        <f t="shared" si="301"/>
        <v/>
      </c>
      <c r="BG680" s="27" t="str">
        <f t="shared" si="302"/>
        <v/>
      </c>
      <c r="BH680" s="27" t="str">
        <f t="shared" si="303"/>
        <v/>
      </c>
      <c r="BI680" s="27" t="str">
        <f t="shared" si="304"/>
        <v/>
      </c>
      <c r="BJ680" s="27" t="str">
        <f t="shared" si="305"/>
        <v>Supp or Hun</v>
      </c>
      <c r="BK680" s="27" t="str">
        <f t="shared" si="306"/>
        <v/>
      </c>
      <c r="BL680" s="27" t="str">
        <f t="shared" si="307"/>
        <v/>
      </c>
      <c r="BM680" s="21" t="s">
        <v>5582</v>
      </c>
    </row>
    <row r="681" spans="1:65" ht="15">
      <c r="A681" s="25" t="str">
        <f>IFERROR(INDEX('Hun Demand'!W:W,MATCH(O681,'Hun Demand'!A:A,0)),"")</f>
        <v/>
      </c>
      <c r="B681" s="25" t="str">
        <f>IFERROR(INDEX('Hun Demand'!V:V,MATCH(O681,'Hun Demand'!A:A,0)),"")</f>
        <v/>
      </c>
      <c r="C681" s="25" t="str">
        <f>IFERROR(INDEX('Hun Demand'!U:U,MATCH(O681,'Hun Demand'!A:A,0)),"")</f>
        <v/>
      </c>
      <c r="D681" s="25" t="str">
        <f>IFERROR(INDEX('Hun Demand'!T:T,MATCH(O681,'Hun Demand'!A:A,0)),"")</f>
        <v/>
      </c>
      <c r="E681" s="25" t="str">
        <f>IFERROR(INDEX('Hun Demand'!S:S,MATCH(O681,'Hun Demand'!A:A,0)),"")</f>
        <v/>
      </c>
      <c r="F681" s="25" t="str">
        <f>IFERROR(INDEX('Hun Demand'!R:R,MATCH(O681,'Hun Demand'!A:A,0)),"")</f>
        <v/>
      </c>
      <c r="G681" s="25">
        <f>IFERROR(INDEX('Aub Demand'!W:W,MATCH(O681,'Aub Demand'!A:A,0)),"")</f>
        <v>0</v>
      </c>
      <c r="H681" s="25">
        <f>IFERROR(INDEX('Aub Demand'!V:V,MATCH(O681,'Aub Demand'!A:A,0)),"")</f>
        <v>0</v>
      </c>
      <c r="I681" s="25">
        <f>IFERROR(INDEX('Aub Demand'!U:U,MATCH(O681,'Aub Demand'!A:A,0)),"")</f>
        <v>0</v>
      </c>
      <c r="J681" s="25">
        <f>IFERROR(INDEX('Aub Demand'!T:T,MATCH(O681,'Aub Demand'!A:A,0)),"")</f>
        <v>0</v>
      </c>
      <c r="K681" s="25">
        <f>IFERROR(INDEX('Aub Demand'!S:S,MATCH(O681,'Aub Demand'!A:A,0)),"")</f>
        <v>0</v>
      </c>
      <c r="L681" s="25">
        <f>IFERROR(INDEX('Aub Demand'!R:R,MATCH(O681,'Aub Demand'!A:A,0)),"")</f>
        <v>0</v>
      </c>
      <c r="O681" s="27" t="s">
        <v>1124</v>
      </c>
      <c r="P681" s="27" t="str">
        <f>IFERROR(INDEX('Aub Demand'!B:B,MATCH($O681,'Aub Demand'!$A:$A,0)),"")</f>
        <v>NAPLES</v>
      </c>
      <c r="Q681" s="27" t="str">
        <f>IFERROR(INDEX('Aub Demand'!C:C,MATCH($O681,'Aub Demand'!$A:$A,0)),"")</f>
        <v>FUNDE</v>
      </c>
      <c r="R681" s="52">
        <f>IFERROR(IF(AR682=AR681,INDEX('Aub Demand'!K:K,MATCH($O681,'Aub Demand'!$A:$A,0))-IF(AN681="",0,AN681)+AP682,INDEX('Aub Demand'!K:K,MATCH($O681,'Aub Demand'!$A:$A,0))-IF(AN681="",0,AN681)),"")</f>
        <v>1114</v>
      </c>
      <c r="S681" s="53" t="str">
        <f t="shared" si="280"/>
        <v>n/a</v>
      </c>
      <c r="T681" s="52" t="str">
        <f t="shared" si="281"/>
        <v/>
      </c>
      <c r="U681" s="52">
        <f>IFERROR(IF(AR682=AR681,INDEX('Aub Demand'!Q:Q,MATCH($O681,'Aub Demand'!$A:$A,0))-IF(AN681="",0,AN681)+AP682,INDEX('Aub Demand'!Q:Q,MATCH($O681,'Aub Demand'!$A:$A,0))-IF(AN681="",0,AN681)),"")</f>
        <v>1114</v>
      </c>
      <c r="V681" s="53" t="str">
        <f t="shared" si="282"/>
        <v>n/a</v>
      </c>
      <c r="W681" s="52" t="str">
        <f t="shared" si="283"/>
        <v/>
      </c>
      <c r="X681" s="52">
        <f>IFERROR(IF(AND(AR682=AR681,AM681&lt;&gt;""),INDEX('Aub Demand'!Q:Q,MATCH($O681,'Aub Demand'!$A:$A,0))-IF(AN681="",0,AN681)+AP682+AD681+AL681,IF(AR682=AR681,INDEX('Aub Demand'!Q:Q,MATCH($O681,'Aub Demand'!$A:$A,0))-IF(AN681="",0,AN681)+AP682+AD681,IF(AM681&lt;&gt;"",INDEX('Aub Demand'!Q:Q,MATCH($O681,'Aub Demand'!$A:$A,0))-IF(AN681="",0,AN681)+AD681+AL681,INDEX('Aub Demand'!Q:Q,MATCH($O681,'Aub Demand'!$A:$A,0))-IF(AN681="",0,AN681)+AD681))),"")</f>
        <v>1114</v>
      </c>
      <c r="Y681" s="53" t="str">
        <f t="shared" si="284"/>
        <v>n/a</v>
      </c>
      <c r="Z681" s="52">
        <f>IF(L681="","",INDEX('Aub Demand'!H:H,MATCH($O681,'Aub Demand'!$A:$A,0)))</f>
        <v>0</v>
      </c>
      <c r="AA681" s="52" t="str">
        <f t="shared" si="285"/>
        <v>-spike-</v>
      </c>
      <c r="AB681" s="52">
        <f>IFERROR(INDEX('Aub Demand'!L:L,MATCH($O681,'Aub Demand'!$A:$A,0)),"")</f>
        <v>0</v>
      </c>
      <c r="AC681" s="52">
        <f>IFERROR(IF(O681="","",SUMIFS('CPL Mats'!F:F,'CPL Mats'!Q:Q,AR681,'CPL Mats'!S:S,AS681)),"")</f>
        <v>0</v>
      </c>
      <c r="AF681" s="25" t="str">
        <f>IF(SUMIFS('Supp Consol'!S:S,'Supp Consol'!Y:Y,"Releasable",'Supp Consol'!A:A,O681)=0,"",SUMIFS('Supp Consol'!S:S,'Supp Consol'!Y:Y,"Releasable",'Supp Consol'!A:A,O681))</f>
        <v/>
      </c>
      <c r="AG681" s="25" t="str">
        <f>IFERROR(INDEX('Hun Demand'!Q:Q,MATCH(O681,'Hun Demand'!A:A,0)),"")</f>
        <v/>
      </c>
      <c r="AH681" s="25" t="str">
        <f>IFERROR(INDEX('Hun Demand'!H:H,MATCH($O681,'Hun Demand'!$A:$A,0)),"")</f>
        <v/>
      </c>
      <c r="AI681" s="25" t="str">
        <f>IF(SUMIFS('Supp Consol'!AA:AA,'Supp Consol'!Z:Z,"Expires this month",'Supp Consol'!A:A,O681)=0,"",SUMIFS('Supp Consol'!AA:AA,'Supp Consol'!Z:Z,"Expires this month",'Supp Consol'!A:A,O681))</f>
        <v/>
      </c>
      <c r="AJ681" s="25" t="str">
        <f>IF(SUMIFS('Supp Consol'!AA:AA,'Supp Consol'!Z:Z,"Expired Previous Months",'Supp Consol'!A:A,O681)=0,"",SUMIFS('Supp Consol'!AA:AA,'Supp Consol'!Z:Z,"Expired Previous Months",'Supp Consol'!A:A,O681))</f>
        <v/>
      </c>
      <c r="AK681" s="25" t="str">
        <f>IFERROR(INDEX('Hun Release Current'!B:B,MATCH(O681,'Hun Release Current'!A:A,0)),"")</f>
        <v/>
      </c>
      <c r="AL681" s="25" t="str">
        <f>IF(SUMIF('Prev Aub'!A:A,O681,'Prev Aub'!B:B)=0,"",SUMIF('Prev Aub'!A:A,O681,'Prev Aub'!B:B))</f>
        <v/>
      </c>
      <c r="AN681" s="25" t="s">
        <v>3790</v>
      </c>
      <c r="AO681" s="25" t="s">
        <v>3790</v>
      </c>
      <c r="AP681" s="25">
        <f t="shared" si="286"/>
        <v>0</v>
      </c>
      <c r="AQ681" s="151" t="str">
        <f>IF(SUMIFS('Supp Consol'!S:S,'Supp Consol'!A:A,O681,'Supp Consol'!I:I,"PENDING")=0,"",SUMIFS('Supp Consol'!S:S,'Supp Consol'!A:A,O681,'Supp Consol'!I:I,"PENDING"))</f>
        <v/>
      </c>
      <c r="AR681" s="27" t="str">
        <f t="shared" si="287"/>
        <v>KM046</v>
      </c>
      <c r="AS681" s="27" t="str">
        <f t="shared" si="288"/>
        <v>62</v>
      </c>
      <c r="AT681" s="27" t="str">
        <f t="shared" si="289"/>
        <v/>
      </c>
      <c r="AU681" s="27" t="str">
        <f t="shared" si="290"/>
        <v/>
      </c>
      <c r="AV681" s="27" t="str">
        <f t="shared" si="291"/>
        <v/>
      </c>
      <c r="AW681" s="27" t="str">
        <f t="shared" si="292"/>
        <v/>
      </c>
      <c r="AX681" s="27" t="str">
        <f t="shared" si="293"/>
        <v/>
      </c>
      <c r="AY681" s="27" t="str">
        <f t="shared" si="294"/>
        <v/>
      </c>
      <c r="AZ681" s="27" t="str">
        <f t="shared" si="295"/>
        <v/>
      </c>
      <c r="BA681" s="27" t="str">
        <f t="shared" si="296"/>
        <v/>
      </c>
      <c r="BB681" s="27" t="str">
        <f t="shared" si="297"/>
        <v/>
      </c>
      <c r="BC681" s="27" t="str">
        <f t="shared" si="298"/>
        <v/>
      </c>
      <c r="BD681" s="27" t="str">
        <f t="shared" si="299"/>
        <v/>
      </c>
      <c r="BE681" s="27" t="str">
        <f t="shared" si="300"/>
        <v/>
      </c>
      <c r="BF681" s="27" t="str">
        <f t="shared" si="301"/>
        <v/>
      </c>
      <c r="BG681" s="27" t="str">
        <f t="shared" si="302"/>
        <v/>
      </c>
      <c r="BH681" s="27" t="str">
        <f t="shared" si="303"/>
        <v/>
      </c>
      <c r="BI681" s="27" t="str">
        <f t="shared" si="304"/>
        <v/>
      </c>
      <c r="BJ681" s="27" t="str">
        <f t="shared" si="305"/>
        <v/>
      </c>
      <c r="BK681" s="27" t="str">
        <f t="shared" si="306"/>
        <v/>
      </c>
      <c r="BL681" s="27" t="str">
        <f t="shared" si="307"/>
        <v/>
      </c>
      <c r="BM681" s="21" t="s">
        <v>3790</v>
      </c>
    </row>
    <row r="682" spans="1:65" ht="15">
      <c r="A682" s="25">
        <f>IFERROR(INDEX('Hun Demand'!W:W,MATCH(O682,'Hun Demand'!A:A,0)),"")</f>
        <v>0</v>
      </c>
      <c r="B682" s="25">
        <f>IFERROR(INDEX('Hun Demand'!V:V,MATCH(O682,'Hun Demand'!A:A,0)),"")</f>
        <v>0</v>
      </c>
      <c r="C682" s="25">
        <f>IFERROR(INDEX('Hun Demand'!U:U,MATCH(O682,'Hun Demand'!A:A,0)),"")</f>
        <v>200</v>
      </c>
      <c r="D682" s="25">
        <f>IFERROR(INDEX('Hun Demand'!T:T,MATCH(O682,'Hun Demand'!A:A,0)),"")</f>
        <v>0</v>
      </c>
      <c r="E682" s="25">
        <f>IFERROR(INDEX('Hun Demand'!S:S,MATCH(O682,'Hun Demand'!A:A,0)),"")</f>
        <v>0</v>
      </c>
      <c r="F682" s="25">
        <f>IFERROR(INDEX('Hun Demand'!R:R,MATCH(O682,'Hun Demand'!A:A,0)),"")</f>
        <v>0</v>
      </c>
      <c r="G682" s="25">
        <f>IFERROR(INDEX('Aub Demand'!W:W,MATCH(O682,'Aub Demand'!A:A,0)),"")</f>
        <v>0</v>
      </c>
      <c r="H682" s="25">
        <f>IFERROR(INDEX('Aub Demand'!V:V,MATCH(O682,'Aub Demand'!A:A,0)),"")</f>
        <v>0</v>
      </c>
      <c r="I682" s="25">
        <f>IFERROR(INDEX('Aub Demand'!U:U,MATCH(O682,'Aub Demand'!A:A,0)),"")</f>
        <v>0</v>
      </c>
      <c r="J682" s="25">
        <f>IFERROR(INDEX('Aub Demand'!T:T,MATCH(O682,'Aub Demand'!A:A,0)),"")</f>
        <v>0</v>
      </c>
      <c r="K682" s="25">
        <f>IFERROR(INDEX('Aub Demand'!S:S,MATCH(O682,'Aub Demand'!A:A,0)),"")</f>
        <v>0</v>
      </c>
      <c r="L682" s="25">
        <f>IFERROR(INDEX('Aub Demand'!R:R,MATCH(O682,'Aub Demand'!A:A,0)),"")</f>
        <v>0</v>
      </c>
      <c r="O682" s="27" t="s">
        <v>1127</v>
      </c>
      <c r="P682" s="27" t="str">
        <f>IFERROR(INDEX('Aub Demand'!B:B,MATCH($O682,'Aub Demand'!$A:$A,0)),"")</f>
        <v>PARADISO WALNUT</v>
      </c>
      <c r="Q682" s="27" t="str">
        <f>IFERROR(INDEX('Aub Demand'!C:C,MATCH($O682,'Aub Demand'!$A:$A,0)),"")</f>
        <v>SCHAT</v>
      </c>
      <c r="R682" s="52">
        <f>IFERROR(IF(AR683=AR682,INDEX('Aub Demand'!K:K,MATCH($O682,'Aub Demand'!$A:$A,0))-IF(AN682="",0,AN682)+AP683,INDEX('Aub Demand'!K:K,MATCH($O682,'Aub Demand'!$A:$A,0))-IF(AN682="",0,AN682)),"")</f>
        <v>1920</v>
      </c>
      <c r="S682" s="53" t="str">
        <f t="shared" si="280"/>
        <v>n/a</v>
      </c>
      <c r="T682" s="52" t="str">
        <f t="shared" si="281"/>
        <v/>
      </c>
      <c r="U682" s="52">
        <f>IFERROR(IF(AR683=AR682,INDEX('Aub Demand'!Q:Q,MATCH($O682,'Aub Demand'!$A:$A,0))-IF(AN682="",0,AN682)+AP683,INDEX('Aub Demand'!Q:Q,MATCH($O682,'Aub Demand'!$A:$A,0))-IF(AN682="",0,AN682)),"")</f>
        <v>1920</v>
      </c>
      <c r="V682" s="53" t="str">
        <f t="shared" si="282"/>
        <v>n/a</v>
      </c>
      <c r="W682" s="52" t="str">
        <f t="shared" si="283"/>
        <v/>
      </c>
      <c r="X682" s="52">
        <f>IFERROR(IF(AND(AR683=AR682,AM682&lt;&gt;""),INDEX('Aub Demand'!Q:Q,MATCH($O682,'Aub Demand'!$A:$A,0))-IF(AN682="",0,AN682)+AP683+AD682+AL682,IF(AR683=AR682,INDEX('Aub Demand'!Q:Q,MATCH($O682,'Aub Demand'!$A:$A,0))-IF(AN682="",0,AN682)+AP683+AD682,IF(AM682&lt;&gt;"",INDEX('Aub Demand'!Q:Q,MATCH($O682,'Aub Demand'!$A:$A,0))-IF(AN682="",0,AN682)+AD682+AL682,INDEX('Aub Demand'!Q:Q,MATCH($O682,'Aub Demand'!$A:$A,0))-IF(AN682="",0,AN682)+AD682))),"")</f>
        <v>1920</v>
      </c>
      <c r="Y682" s="53" t="str">
        <f t="shared" si="284"/>
        <v>n/a</v>
      </c>
      <c r="Z682" s="52">
        <f>IF(L682="","",INDEX('Aub Demand'!H:H,MATCH($O682,'Aub Demand'!$A:$A,0)))</f>
        <v>0</v>
      </c>
      <c r="AA682" s="52" t="str">
        <f t="shared" si="285"/>
        <v>-spike-</v>
      </c>
      <c r="AB682" s="52">
        <f>IFERROR(INDEX('Aub Demand'!L:L,MATCH($O682,'Aub Demand'!$A:$A,0)),"")</f>
        <v>0</v>
      </c>
      <c r="AC682" s="52">
        <f>IFERROR(IF(O682="","",SUMIFS('CPL Mats'!F:F,'CPL Mats'!Q:Q,AR682,'CPL Mats'!S:S,AS682)),"")</f>
        <v>0</v>
      </c>
      <c r="AF682" s="25" t="str">
        <f>IF(SUMIFS('Supp Consol'!S:S,'Supp Consol'!Y:Y,"Releasable",'Supp Consol'!A:A,O682)=0,"",SUMIFS('Supp Consol'!S:S,'Supp Consol'!Y:Y,"Releasable",'Supp Consol'!A:A,O682))</f>
        <v/>
      </c>
      <c r="AG682" s="25">
        <f>IFERROR(INDEX('Hun Demand'!Q:Q,MATCH(O682,'Hun Demand'!A:A,0)),"")</f>
        <v>0</v>
      </c>
      <c r="AH682" s="25">
        <f>IFERROR(INDEX('Hun Demand'!H:H,MATCH($O682,'Hun Demand'!$A:$A,0)),"")</f>
        <v>67</v>
      </c>
      <c r="AI682" s="25" t="str">
        <f>IF(SUMIFS('Supp Consol'!AA:AA,'Supp Consol'!Z:Z,"Expires this month",'Supp Consol'!A:A,O682)=0,"",SUMIFS('Supp Consol'!AA:AA,'Supp Consol'!Z:Z,"Expires this month",'Supp Consol'!A:A,O682))</f>
        <v/>
      </c>
      <c r="AJ682" s="25" t="str">
        <f>IF(SUMIFS('Supp Consol'!AA:AA,'Supp Consol'!Z:Z,"Expired Previous Months",'Supp Consol'!A:A,O682)=0,"",SUMIFS('Supp Consol'!AA:AA,'Supp Consol'!Z:Z,"Expired Previous Months",'Supp Consol'!A:A,O682))</f>
        <v/>
      </c>
      <c r="AK682" s="25" t="str">
        <f>IFERROR(INDEX('Hun Release Current'!B:B,MATCH(O682,'Hun Release Current'!A:A,0)),"")</f>
        <v/>
      </c>
      <c r="AL682" s="25" t="str">
        <f>IF(SUMIF('Prev Aub'!A:A,O682,'Prev Aub'!B:B)=0,"",SUMIF('Prev Aub'!A:A,O682,'Prev Aub'!B:B))</f>
        <v/>
      </c>
      <c r="AN682" s="25" t="s">
        <v>3790</v>
      </c>
      <c r="AO682" s="25" t="s">
        <v>3790</v>
      </c>
      <c r="AP682" s="25">
        <f t="shared" si="286"/>
        <v>0</v>
      </c>
      <c r="AQ682" s="151" t="str">
        <f>IF(SUMIFS('Supp Consol'!S:S,'Supp Consol'!A:A,O682,'Supp Consol'!I:I,"PENDING")=0,"",SUMIFS('Supp Consol'!S:S,'Supp Consol'!A:A,O682,'Supp Consol'!I:I,"PENDING"))</f>
        <v/>
      </c>
      <c r="AR682" s="27" t="str">
        <f t="shared" si="287"/>
        <v>KM047</v>
      </c>
      <c r="AS682" s="27" t="str">
        <f t="shared" si="288"/>
        <v>62</v>
      </c>
      <c r="AT682" s="27" t="str">
        <f t="shared" si="289"/>
        <v/>
      </c>
      <c r="AU682" s="27" t="str">
        <f t="shared" si="290"/>
        <v/>
      </c>
      <c r="AV682" s="27" t="str">
        <f t="shared" si="291"/>
        <v/>
      </c>
      <c r="AW682" s="27" t="str">
        <f t="shared" si="292"/>
        <v/>
      </c>
      <c r="AX682" s="27" t="str">
        <f t="shared" si="293"/>
        <v/>
      </c>
      <c r="AY682" s="27" t="str">
        <f t="shared" si="294"/>
        <v/>
      </c>
      <c r="AZ682" s="27" t="str">
        <f t="shared" si="295"/>
        <v/>
      </c>
      <c r="BA682" s="27" t="str">
        <f t="shared" si="296"/>
        <v/>
      </c>
      <c r="BB682" s="27" t="str">
        <f t="shared" si="297"/>
        <v/>
      </c>
      <c r="BC682" s="27" t="str">
        <f t="shared" si="298"/>
        <v/>
      </c>
      <c r="BD682" s="27" t="str">
        <f t="shared" si="299"/>
        <v/>
      </c>
      <c r="BE682" s="27" t="str">
        <f t="shared" si="300"/>
        <v/>
      </c>
      <c r="BF682" s="27" t="str">
        <f t="shared" si="301"/>
        <v/>
      </c>
      <c r="BG682" s="27" t="str">
        <f t="shared" si="302"/>
        <v/>
      </c>
      <c r="BH682" s="27" t="str">
        <f t="shared" si="303"/>
        <v/>
      </c>
      <c r="BI682" s="27" t="str">
        <f t="shared" si="304"/>
        <v/>
      </c>
      <c r="BJ682" s="27" t="str">
        <f t="shared" si="305"/>
        <v/>
      </c>
      <c r="BK682" s="27" t="str">
        <f t="shared" si="306"/>
        <v/>
      </c>
      <c r="BL682" s="27" t="str">
        <f t="shared" si="307"/>
        <v/>
      </c>
      <c r="BM682" s="21" t="s">
        <v>5581</v>
      </c>
    </row>
    <row r="683" spans="1:65" ht="15">
      <c r="A683" s="25">
        <f>IFERROR(INDEX('Hun Demand'!W:W,MATCH(O683,'Hun Demand'!A:A,0)),"")</f>
        <v>0</v>
      </c>
      <c r="B683" s="25">
        <f>IFERROR(INDEX('Hun Demand'!V:V,MATCH(O683,'Hun Demand'!A:A,0)),"")</f>
        <v>0</v>
      </c>
      <c r="C683" s="25">
        <f>IFERROR(INDEX('Hun Demand'!U:U,MATCH(O683,'Hun Demand'!A:A,0)),"")</f>
        <v>215</v>
      </c>
      <c r="D683" s="25">
        <f>IFERROR(INDEX('Hun Demand'!T:T,MATCH(O683,'Hun Demand'!A:A,0)),"")</f>
        <v>0</v>
      </c>
      <c r="E683" s="25">
        <f>IFERROR(INDEX('Hun Demand'!S:S,MATCH(O683,'Hun Demand'!A:A,0)),"")</f>
        <v>0</v>
      </c>
      <c r="F683" s="25">
        <f>IFERROR(INDEX('Hun Demand'!R:R,MATCH(O683,'Hun Demand'!A:A,0)),"")</f>
        <v>0</v>
      </c>
      <c r="G683" s="25">
        <f>IFERROR(INDEX('Aub Demand'!W:W,MATCH(O683,'Aub Demand'!A:A,0)),"")</f>
        <v>0</v>
      </c>
      <c r="H683" s="25">
        <f>IFERROR(INDEX('Aub Demand'!V:V,MATCH(O683,'Aub Demand'!A:A,0)),"")</f>
        <v>0</v>
      </c>
      <c r="I683" s="25">
        <f>IFERROR(INDEX('Aub Demand'!U:U,MATCH(O683,'Aub Demand'!A:A,0)),"")</f>
        <v>0</v>
      </c>
      <c r="J683" s="25">
        <f>IFERROR(INDEX('Aub Demand'!T:T,MATCH(O683,'Aub Demand'!A:A,0)),"")</f>
        <v>0</v>
      </c>
      <c r="K683" s="25">
        <f>IFERROR(INDEX('Aub Demand'!S:S,MATCH(O683,'Aub Demand'!A:A,0)),"")</f>
        <v>0</v>
      </c>
      <c r="L683" s="25">
        <f>IFERROR(INDEX('Aub Demand'!R:R,MATCH(O683,'Aub Demand'!A:A,0)),"")</f>
        <v>0</v>
      </c>
      <c r="O683" s="27" t="s">
        <v>1129</v>
      </c>
      <c r="P683" s="27" t="str">
        <f>IFERROR(INDEX('Aub Demand'!B:B,MATCH($O683,'Aub Demand'!$A:$A,0)),"")</f>
        <v>DUOMO WALNUT</v>
      </c>
      <c r="Q683" s="27" t="str">
        <f>IFERROR(INDEX('Aub Demand'!C:C,MATCH($O683,'Aub Demand'!$A:$A,0)),"")</f>
        <v>SCHAT</v>
      </c>
      <c r="R683" s="52">
        <f>IFERROR(IF(AR684=AR683,INDEX('Aub Demand'!K:K,MATCH($O683,'Aub Demand'!$A:$A,0))-IF(AN683="",0,AN683)+AP684,INDEX('Aub Demand'!K:K,MATCH($O683,'Aub Demand'!$A:$A,0))-IF(AN683="",0,AN683)),"")</f>
        <v>2078</v>
      </c>
      <c r="S683" s="53" t="str">
        <f t="shared" si="280"/>
        <v>n/a</v>
      </c>
      <c r="T683" s="52" t="str">
        <f t="shared" si="281"/>
        <v/>
      </c>
      <c r="U683" s="52">
        <f>IFERROR(IF(AR684=AR683,INDEX('Aub Demand'!Q:Q,MATCH($O683,'Aub Demand'!$A:$A,0))-IF(AN683="",0,AN683)+AP684,INDEX('Aub Demand'!Q:Q,MATCH($O683,'Aub Demand'!$A:$A,0))-IF(AN683="",0,AN683)),"")</f>
        <v>2078</v>
      </c>
      <c r="V683" s="53" t="str">
        <f t="shared" si="282"/>
        <v>n/a</v>
      </c>
      <c r="W683" s="52" t="str">
        <f t="shared" si="283"/>
        <v/>
      </c>
      <c r="X683" s="52">
        <f>IFERROR(IF(AND(AR684=AR683,AM683&lt;&gt;""),INDEX('Aub Demand'!Q:Q,MATCH($O683,'Aub Demand'!$A:$A,0))-IF(AN683="",0,AN683)+AP684+AD683+AL683,IF(AR684=AR683,INDEX('Aub Demand'!Q:Q,MATCH($O683,'Aub Demand'!$A:$A,0))-IF(AN683="",0,AN683)+AP684+AD683,IF(AM683&lt;&gt;"",INDEX('Aub Demand'!Q:Q,MATCH($O683,'Aub Demand'!$A:$A,0))-IF(AN683="",0,AN683)+AD683+AL683,INDEX('Aub Demand'!Q:Q,MATCH($O683,'Aub Demand'!$A:$A,0))-IF(AN683="",0,AN683)+AD683))),"")</f>
        <v>2078</v>
      </c>
      <c r="Y683" s="53" t="str">
        <f t="shared" si="284"/>
        <v>n/a</v>
      </c>
      <c r="Z683" s="52">
        <f>IF(L683="","",INDEX('Aub Demand'!H:H,MATCH($O683,'Aub Demand'!$A:$A,0)))</f>
        <v>0</v>
      </c>
      <c r="AA683" s="52" t="str">
        <f t="shared" si="285"/>
        <v>-spike-</v>
      </c>
      <c r="AB683" s="52">
        <f>IFERROR(INDEX('Aub Demand'!L:L,MATCH($O683,'Aub Demand'!$A:$A,0)),"")</f>
        <v>0</v>
      </c>
      <c r="AC683" s="52">
        <f>IFERROR(IF(O683="","",SUMIFS('CPL Mats'!F:F,'CPL Mats'!Q:Q,AR683,'CPL Mats'!S:S,AS683)),"")</f>
        <v>0</v>
      </c>
      <c r="AF683" s="25" t="str">
        <f>IF(SUMIFS('Supp Consol'!S:S,'Supp Consol'!Y:Y,"Releasable",'Supp Consol'!A:A,O683)=0,"",SUMIFS('Supp Consol'!S:S,'Supp Consol'!Y:Y,"Releasable",'Supp Consol'!A:A,O683))</f>
        <v/>
      </c>
      <c r="AG683" s="25">
        <f>IFERROR(INDEX('Hun Demand'!Q:Q,MATCH(O683,'Hun Demand'!A:A,0)),"")</f>
        <v>282</v>
      </c>
      <c r="AH683" s="25">
        <f>IFERROR(INDEX('Hun Demand'!H:H,MATCH($O683,'Hun Demand'!$A:$A,0)),"")</f>
        <v>72</v>
      </c>
      <c r="AI683" s="25" t="str">
        <f>IF(SUMIFS('Supp Consol'!AA:AA,'Supp Consol'!Z:Z,"Expires this month",'Supp Consol'!A:A,O683)=0,"",SUMIFS('Supp Consol'!AA:AA,'Supp Consol'!Z:Z,"Expires this month",'Supp Consol'!A:A,O683))</f>
        <v/>
      </c>
      <c r="AJ683" s="25" t="str">
        <f>IF(SUMIFS('Supp Consol'!AA:AA,'Supp Consol'!Z:Z,"Expired Previous Months",'Supp Consol'!A:A,O683)=0,"",SUMIFS('Supp Consol'!AA:AA,'Supp Consol'!Z:Z,"Expired Previous Months",'Supp Consol'!A:A,O683))</f>
        <v/>
      </c>
      <c r="AK683" s="25" t="str">
        <f>IFERROR(INDEX('Hun Release Current'!B:B,MATCH(O683,'Hun Release Current'!A:A,0)),"")</f>
        <v/>
      </c>
      <c r="AL683" s="25" t="str">
        <f>IF(SUMIF('Prev Aub'!A:A,O683,'Prev Aub'!B:B)=0,"",SUMIF('Prev Aub'!A:A,O683,'Prev Aub'!B:B))</f>
        <v/>
      </c>
      <c r="AN683" s="25" t="s">
        <v>3790</v>
      </c>
      <c r="AO683" s="25" t="s">
        <v>3790</v>
      </c>
      <c r="AP683" s="25">
        <f t="shared" si="286"/>
        <v>0</v>
      </c>
      <c r="AQ683" s="151" t="str">
        <f>IF(SUMIFS('Supp Consol'!S:S,'Supp Consol'!A:A,O683,'Supp Consol'!I:I,"PENDING")=0,"",SUMIFS('Supp Consol'!S:S,'Supp Consol'!A:A,O683,'Supp Consol'!I:I,"PENDING"))</f>
        <v/>
      </c>
      <c r="AR683" s="27" t="str">
        <f t="shared" si="287"/>
        <v>KM048</v>
      </c>
      <c r="AS683" s="27" t="str">
        <f t="shared" si="288"/>
        <v>62</v>
      </c>
      <c r="AT683" s="27" t="str">
        <f t="shared" si="289"/>
        <v/>
      </c>
      <c r="AU683" s="27" t="str">
        <f t="shared" si="290"/>
        <v/>
      </c>
      <c r="AV683" s="27" t="str">
        <f t="shared" si="291"/>
        <v/>
      </c>
      <c r="AW683" s="27" t="str">
        <f t="shared" si="292"/>
        <v/>
      </c>
      <c r="AX683" s="27" t="str">
        <f t="shared" si="293"/>
        <v/>
      </c>
      <c r="AY683" s="27" t="str">
        <f t="shared" si="294"/>
        <v>KM048</v>
      </c>
      <c r="AZ683" s="27" t="str">
        <f t="shared" si="295"/>
        <v/>
      </c>
      <c r="BA683" s="27" t="str">
        <f t="shared" si="296"/>
        <v>Hun</v>
      </c>
      <c r="BB683" s="27" t="str">
        <f t="shared" si="297"/>
        <v/>
      </c>
      <c r="BC683" s="27" t="str">
        <f t="shared" si="298"/>
        <v/>
      </c>
      <c r="BD683" s="27" t="str">
        <f t="shared" si="299"/>
        <v/>
      </c>
      <c r="BE683" s="27" t="str">
        <f t="shared" si="300"/>
        <v/>
      </c>
      <c r="BF683" s="27" t="str">
        <f t="shared" si="301"/>
        <v/>
      </c>
      <c r="BG683" s="27" t="str">
        <f t="shared" si="302"/>
        <v/>
      </c>
      <c r="BH683" s="27" t="str">
        <f t="shared" si="303"/>
        <v/>
      </c>
      <c r="BI683" s="27" t="str">
        <f t="shared" si="304"/>
        <v/>
      </c>
      <c r="BJ683" s="27" t="str">
        <f t="shared" si="305"/>
        <v>Supp or Hun</v>
      </c>
      <c r="BK683" s="27" t="str">
        <f t="shared" si="306"/>
        <v/>
      </c>
      <c r="BL683" s="27" t="str">
        <f t="shared" si="307"/>
        <v/>
      </c>
      <c r="BM683" s="21" t="s">
        <v>5581</v>
      </c>
    </row>
    <row r="684" spans="1:65" ht="15">
      <c r="A684" s="25">
        <f>IFERROR(INDEX('Hun Demand'!W:W,MATCH(O684,'Hun Demand'!A:A,0)),"")</f>
        <v>0</v>
      </c>
      <c r="B684" s="25">
        <f>IFERROR(INDEX('Hun Demand'!V:V,MATCH(O684,'Hun Demand'!A:A,0)),"")</f>
        <v>0</v>
      </c>
      <c r="C684" s="25">
        <f>IFERROR(INDEX('Hun Demand'!U:U,MATCH(O684,'Hun Demand'!A:A,0)),"")</f>
        <v>140</v>
      </c>
      <c r="D684" s="25">
        <f>IFERROR(INDEX('Hun Demand'!T:T,MATCH(O684,'Hun Demand'!A:A,0)),"")</f>
        <v>0</v>
      </c>
      <c r="E684" s="25">
        <f>IFERROR(INDEX('Hun Demand'!S:S,MATCH(O684,'Hun Demand'!A:A,0)),"")</f>
        <v>0</v>
      </c>
      <c r="F684" s="25">
        <f>IFERROR(INDEX('Hun Demand'!R:R,MATCH(O684,'Hun Demand'!A:A,0)),"")</f>
        <v>0</v>
      </c>
      <c r="G684" s="25">
        <f>IFERROR(INDEX('Aub Demand'!W:W,MATCH(O684,'Aub Demand'!A:A,0)),"")</f>
        <v>0</v>
      </c>
      <c r="H684" s="25">
        <f>IFERROR(INDEX('Aub Demand'!V:V,MATCH(O684,'Aub Demand'!A:A,0)),"")</f>
        <v>0</v>
      </c>
      <c r="I684" s="25">
        <f>IFERROR(INDEX('Aub Demand'!U:U,MATCH(O684,'Aub Demand'!A:A,0)),"")</f>
        <v>0</v>
      </c>
      <c r="J684" s="25">
        <f>IFERROR(INDEX('Aub Demand'!T:T,MATCH(O684,'Aub Demand'!A:A,0)),"")</f>
        <v>0</v>
      </c>
      <c r="K684" s="25">
        <f>IFERROR(INDEX('Aub Demand'!S:S,MATCH(O684,'Aub Demand'!A:A,0)),"")</f>
        <v>0</v>
      </c>
      <c r="L684" s="25">
        <f>IFERROR(INDEX('Aub Demand'!R:R,MATCH(O684,'Aub Demand'!A:A,0)),"")</f>
        <v>0</v>
      </c>
      <c r="O684" s="27" t="s">
        <v>1131</v>
      </c>
      <c r="P684" s="27" t="str">
        <f>IFERROR(INDEX('Aub Demand'!B:B,MATCH($O684,'Aub Demand'!$A:$A,0)),"")</f>
        <v>MAXIMO WALNUT</v>
      </c>
      <c r="Q684" s="27" t="str">
        <f>IFERROR(INDEX('Aub Demand'!C:C,MATCH($O684,'Aub Demand'!$A:$A,0)),"")</f>
        <v>SCHAT</v>
      </c>
      <c r="R684" s="52">
        <f>IFERROR(IF(AR685=AR684,INDEX('Aub Demand'!K:K,MATCH($O684,'Aub Demand'!$A:$A,0))-IF(AN684="",0,AN684)+AP685,INDEX('Aub Demand'!K:K,MATCH($O684,'Aub Demand'!$A:$A,0))-IF(AN684="",0,AN684)),"")</f>
        <v>1863</v>
      </c>
      <c r="S684" s="53" t="str">
        <f t="shared" si="280"/>
        <v>n/a</v>
      </c>
      <c r="T684" s="52" t="str">
        <f t="shared" si="281"/>
        <v/>
      </c>
      <c r="U684" s="52">
        <f>IFERROR(IF(AR685=AR684,INDEX('Aub Demand'!Q:Q,MATCH($O684,'Aub Demand'!$A:$A,0))-IF(AN684="",0,AN684)+AP685,INDEX('Aub Demand'!Q:Q,MATCH($O684,'Aub Demand'!$A:$A,0))-IF(AN684="",0,AN684)),"")</f>
        <v>1863</v>
      </c>
      <c r="V684" s="53" t="str">
        <f t="shared" si="282"/>
        <v>n/a</v>
      </c>
      <c r="W684" s="52" t="str">
        <f t="shared" si="283"/>
        <v/>
      </c>
      <c r="X684" s="52">
        <f>IFERROR(IF(AND(AR685=AR684,AM684&lt;&gt;""),INDEX('Aub Demand'!Q:Q,MATCH($O684,'Aub Demand'!$A:$A,0))-IF(AN684="",0,AN684)+AP685+AD684+AL684,IF(AR685=AR684,INDEX('Aub Demand'!Q:Q,MATCH($O684,'Aub Demand'!$A:$A,0))-IF(AN684="",0,AN684)+AP685+AD684,IF(AM684&lt;&gt;"",INDEX('Aub Demand'!Q:Q,MATCH($O684,'Aub Demand'!$A:$A,0))-IF(AN684="",0,AN684)+AD684+AL684,INDEX('Aub Demand'!Q:Q,MATCH($O684,'Aub Demand'!$A:$A,0))-IF(AN684="",0,AN684)+AD684))),"")</f>
        <v>1863</v>
      </c>
      <c r="Y684" s="53" t="str">
        <f t="shared" si="284"/>
        <v>n/a</v>
      </c>
      <c r="Z684" s="52">
        <f>IF(L684="","",INDEX('Aub Demand'!H:H,MATCH($O684,'Aub Demand'!$A:$A,0)))</f>
        <v>0</v>
      </c>
      <c r="AA684" s="52" t="str">
        <f t="shared" si="285"/>
        <v>-spike-</v>
      </c>
      <c r="AB684" s="52">
        <f>IFERROR(INDEX('Aub Demand'!L:L,MATCH($O684,'Aub Demand'!$A:$A,0)),"")</f>
        <v>0</v>
      </c>
      <c r="AC684" s="52">
        <f>IFERROR(IF(O684="","",SUMIFS('CPL Mats'!F:F,'CPL Mats'!Q:Q,AR684,'CPL Mats'!S:S,AS684)),"")</f>
        <v>0</v>
      </c>
      <c r="AF684" s="25" t="str">
        <f>IF(SUMIFS('Supp Consol'!S:S,'Supp Consol'!Y:Y,"Releasable",'Supp Consol'!A:A,O684)=0,"",SUMIFS('Supp Consol'!S:S,'Supp Consol'!Y:Y,"Releasable",'Supp Consol'!A:A,O684))</f>
        <v/>
      </c>
      <c r="AG684" s="25">
        <f>IFERROR(INDEX('Hun Demand'!Q:Q,MATCH(O684,'Hun Demand'!A:A,0)),"")</f>
        <v>0</v>
      </c>
      <c r="AH684" s="25">
        <f>IFERROR(INDEX('Hun Demand'!H:H,MATCH($O684,'Hun Demand'!$A:$A,0)),"")</f>
        <v>47</v>
      </c>
      <c r="AI684" s="25" t="str">
        <f>IF(SUMIFS('Supp Consol'!AA:AA,'Supp Consol'!Z:Z,"Expires this month",'Supp Consol'!A:A,O684)=0,"",SUMIFS('Supp Consol'!AA:AA,'Supp Consol'!Z:Z,"Expires this month",'Supp Consol'!A:A,O684))</f>
        <v/>
      </c>
      <c r="AJ684" s="25" t="str">
        <f>IF(SUMIFS('Supp Consol'!AA:AA,'Supp Consol'!Z:Z,"Expired Previous Months",'Supp Consol'!A:A,O684)=0,"",SUMIFS('Supp Consol'!AA:AA,'Supp Consol'!Z:Z,"Expired Previous Months",'Supp Consol'!A:A,O684))</f>
        <v/>
      </c>
      <c r="AK684" s="25" t="str">
        <f>IFERROR(INDEX('Hun Release Current'!B:B,MATCH(O684,'Hun Release Current'!A:A,0)),"")</f>
        <v/>
      </c>
      <c r="AL684" s="25" t="str">
        <f>IF(SUMIF('Prev Aub'!A:A,O684,'Prev Aub'!B:B)=0,"",SUMIF('Prev Aub'!A:A,O684,'Prev Aub'!B:B))</f>
        <v/>
      </c>
      <c r="AN684" s="25" t="s">
        <v>3790</v>
      </c>
      <c r="AO684" s="25" t="s">
        <v>3790</v>
      </c>
      <c r="AP684" s="25">
        <f t="shared" si="286"/>
        <v>0</v>
      </c>
      <c r="AQ684" s="151" t="str">
        <f>IF(SUMIFS('Supp Consol'!S:S,'Supp Consol'!A:A,O684,'Supp Consol'!I:I,"PENDING")=0,"",SUMIFS('Supp Consol'!S:S,'Supp Consol'!A:A,O684,'Supp Consol'!I:I,"PENDING"))</f>
        <v/>
      </c>
      <c r="AR684" s="27" t="str">
        <f t="shared" si="287"/>
        <v>KM049</v>
      </c>
      <c r="AS684" s="27" t="str">
        <f t="shared" si="288"/>
        <v>62</v>
      </c>
      <c r="AT684" s="27" t="str">
        <f t="shared" si="289"/>
        <v/>
      </c>
      <c r="AU684" s="27" t="str">
        <f t="shared" si="290"/>
        <v/>
      </c>
      <c r="AV684" s="27" t="str">
        <f t="shared" si="291"/>
        <v/>
      </c>
      <c r="AW684" s="27" t="str">
        <f t="shared" si="292"/>
        <v/>
      </c>
      <c r="AX684" s="27" t="str">
        <f t="shared" si="293"/>
        <v/>
      </c>
      <c r="AY684" s="27" t="str">
        <f t="shared" si="294"/>
        <v/>
      </c>
      <c r="AZ684" s="27" t="str">
        <f t="shared" si="295"/>
        <v/>
      </c>
      <c r="BA684" s="27" t="str">
        <f t="shared" si="296"/>
        <v/>
      </c>
      <c r="BB684" s="27" t="str">
        <f t="shared" si="297"/>
        <v/>
      </c>
      <c r="BC684" s="27" t="str">
        <f t="shared" si="298"/>
        <v/>
      </c>
      <c r="BD684" s="27" t="str">
        <f t="shared" si="299"/>
        <v/>
      </c>
      <c r="BE684" s="27" t="str">
        <f t="shared" si="300"/>
        <v/>
      </c>
      <c r="BF684" s="27" t="str">
        <f t="shared" si="301"/>
        <v/>
      </c>
      <c r="BG684" s="27" t="str">
        <f t="shared" si="302"/>
        <v/>
      </c>
      <c r="BH684" s="27" t="str">
        <f t="shared" si="303"/>
        <v/>
      </c>
      <c r="BI684" s="27" t="str">
        <f t="shared" si="304"/>
        <v/>
      </c>
      <c r="BJ684" s="27" t="str">
        <f t="shared" si="305"/>
        <v/>
      </c>
      <c r="BK684" s="27" t="str">
        <f t="shared" si="306"/>
        <v/>
      </c>
      <c r="BL684" s="27" t="str">
        <f t="shared" si="307"/>
        <v/>
      </c>
      <c r="BM684" s="21" t="s">
        <v>5581</v>
      </c>
    </row>
    <row r="685" spans="1:65" ht="15">
      <c r="A685" s="25" t="str">
        <f>IFERROR(INDEX('Hun Demand'!W:W,MATCH(O685,'Hun Demand'!A:A,0)),"")</f>
        <v/>
      </c>
      <c r="B685" s="25" t="str">
        <f>IFERROR(INDEX('Hun Demand'!V:V,MATCH(O685,'Hun Demand'!A:A,0)),"")</f>
        <v/>
      </c>
      <c r="C685" s="25" t="str">
        <f>IFERROR(INDEX('Hun Demand'!U:U,MATCH(O685,'Hun Demand'!A:A,0)),"")</f>
        <v/>
      </c>
      <c r="D685" s="25" t="str">
        <f>IFERROR(INDEX('Hun Demand'!T:T,MATCH(O685,'Hun Demand'!A:A,0)),"")</f>
        <v/>
      </c>
      <c r="E685" s="25" t="str">
        <f>IFERROR(INDEX('Hun Demand'!S:S,MATCH(O685,'Hun Demand'!A:A,0)),"")</f>
        <v/>
      </c>
      <c r="F685" s="25" t="str">
        <f>IFERROR(INDEX('Hun Demand'!R:R,MATCH(O685,'Hun Demand'!A:A,0)),"")</f>
        <v/>
      </c>
      <c r="G685" s="25">
        <f>IFERROR(INDEX('Aub Demand'!W:W,MATCH(O685,'Aub Demand'!A:A,0)),"")</f>
        <v>219</v>
      </c>
      <c r="H685" s="25">
        <f>IFERROR(INDEX('Aub Demand'!V:V,MATCH(O685,'Aub Demand'!A:A,0)),"")</f>
        <v>14</v>
      </c>
      <c r="I685" s="25">
        <f>IFERROR(INDEX('Aub Demand'!U:U,MATCH(O685,'Aub Demand'!A:A,0)),"")</f>
        <v>94</v>
      </c>
      <c r="J685" s="25">
        <f>IFERROR(INDEX('Aub Demand'!T:T,MATCH(O685,'Aub Demand'!A:A,0)),"")</f>
        <v>187</v>
      </c>
      <c r="K685" s="25">
        <f>IFERROR(INDEX('Aub Demand'!S:S,MATCH(O685,'Aub Demand'!A:A,0)),"")</f>
        <v>338</v>
      </c>
      <c r="L685" s="25">
        <f>IFERROR(INDEX('Aub Demand'!R:R,MATCH(O685,'Aub Demand'!A:A,0)),"")</f>
        <v>0</v>
      </c>
      <c r="O685" s="27" t="s">
        <v>1135</v>
      </c>
      <c r="P685" s="27" t="str">
        <f>IFERROR(INDEX('Aub Demand'!B:B,MATCH($O685,'Aub Demand'!$A:$A,0)),"")</f>
        <v>MG MAPLE SUGAR</v>
      </c>
      <c r="Q685" s="27" t="str">
        <f>IFERROR(INDEX('Aub Demand'!C:C,MATCH($O685,'Aub Demand'!$A:$A,0)),"")</f>
        <v>IMPRE</v>
      </c>
      <c r="R685" s="52">
        <f>IFERROR(IF(AR686=AR685,INDEX('Aub Demand'!K:K,MATCH($O685,'Aub Demand'!$A:$A,0))-IF(AN685="",0,AN685)+AP686,INDEX('Aub Demand'!K:K,MATCH($O685,'Aub Demand'!$A:$A,0))-IF(AN685="",0,AN685)),"")</f>
        <v>1600</v>
      </c>
      <c r="S685" s="53">
        <f t="shared" si="280"/>
        <v>33.299999999999997</v>
      </c>
      <c r="T685" s="52" t="str">
        <f t="shared" si="281"/>
        <v/>
      </c>
      <c r="U685" s="52">
        <f>IFERROR(IF(AR686=AR685,INDEX('Aub Demand'!Q:Q,MATCH($O685,'Aub Demand'!$A:$A,0))-IF(AN685="",0,AN685)+AP686,INDEX('Aub Demand'!Q:Q,MATCH($O685,'Aub Demand'!$A:$A,0))-IF(AN685="",0,AN685)),"")</f>
        <v>1415</v>
      </c>
      <c r="V685" s="53">
        <f t="shared" si="282"/>
        <v>29.4</v>
      </c>
      <c r="W685" s="52" t="str">
        <f t="shared" si="283"/>
        <v/>
      </c>
      <c r="X685" s="52">
        <f>IFERROR(IF(AND(AR686=AR685,AM685&lt;&gt;""),INDEX('Aub Demand'!Q:Q,MATCH($O685,'Aub Demand'!$A:$A,0))-IF(AN685="",0,AN685)+AP686+AD685+AL685,IF(AR686=AR685,INDEX('Aub Demand'!Q:Q,MATCH($O685,'Aub Demand'!$A:$A,0))-IF(AN685="",0,AN685)+AP686+AD685,IF(AM685&lt;&gt;"",INDEX('Aub Demand'!Q:Q,MATCH($O685,'Aub Demand'!$A:$A,0))-IF(AN685="",0,AN685)+AD685+AL685,INDEX('Aub Demand'!Q:Q,MATCH($O685,'Aub Demand'!$A:$A,0))-IF(AN685="",0,AN685)+AD685))),"")</f>
        <v>1415</v>
      </c>
      <c r="Y685" s="53">
        <f t="shared" si="284"/>
        <v>29.4</v>
      </c>
      <c r="Z685" s="52">
        <f>IF(L685="","",INDEX('Aub Demand'!H:H,MATCH($O685,'Aub Demand'!$A:$A,0)))</f>
        <v>206</v>
      </c>
      <c r="AA685" s="52">
        <f t="shared" si="285"/>
        <v>262.5</v>
      </c>
      <c r="AB685" s="52">
        <f>IFERROR(INDEX('Aub Demand'!L:L,MATCH($O685,'Aub Demand'!$A:$A,0)),"")</f>
        <v>50</v>
      </c>
      <c r="AC685" s="52">
        <f>IFERROR(IF(O685="","",SUMIFS('CPL Mats'!F:F,'CPL Mats'!Q:Q,AR685,'CPL Mats'!S:S,AS685)),"")</f>
        <v>0</v>
      </c>
      <c r="AF685" s="25" t="str">
        <f>IF(SUMIFS('Supp Consol'!S:S,'Supp Consol'!Y:Y,"Releasable",'Supp Consol'!A:A,O685)=0,"",SUMIFS('Supp Consol'!S:S,'Supp Consol'!Y:Y,"Releasable",'Supp Consol'!A:A,O685))</f>
        <v/>
      </c>
      <c r="AG685" s="25" t="str">
        <f>IFERROR(INDEX('Hun Demand'!Q:Q,MATCH(O685,'Hun Demand'!A:A,0)),"")</f>
        <v/>
      </c>
      <c r="AH685" s="25" t="str">
        <f>IFERROR(INDEX('Hun Demand'!H:H,MATCH($O685,'Hun Demand'!$A:$A,0)),"")</f>
        <v/>
      </c>
      <c r="AI685" s="25" t="str">
        <f>IF(SUMIFS('Supp Consol'!AA:AA,'Supp Consol'!Z:Z,"Expires this month",'Supp Consol'!A:A,O685)=0,"",SUMIFS('Supp Consol'!AA:AA,'Supp Consol'!Z:Z,"Expires this month",'Supp Consol'!A:A,O685))</f>
        <v/>
      </c>
      <c r="AJ685" s="25" t="str">
        <f>IF(SUMIFS('Supp Consol'!AA:AA,'Supp Consol'!Z:Z,"Expired Previous Months",'Supp Consol'!A:A,O685)=0,"",SUMIFS('Supp Consol'!AA:AA,'Supp Consol'!Z:Z,"Expired Previous Months",'Supp Consol'!A:A,O685))</f>
        <v/>
      </c>
      <c r="AK685" s="25" t="str">
        <f>IFERROR(INDEX('Hun Release Current'!B:B,MATCH(O685,'Hun Release Current'!A:A,0)),"")</f>
        <v/>
      </c>
      <c r="AL685" s="25" t="str">
        <f>IF(SUMIF('Prev Aub'!A:A,O685,'Prev Aub'!B:B)=0,"",SUMIF('Prev Aub'!A:A,O685,'Prev Aub'!B:B))</f>
        <v/>
      </c>
      <c r="AN685" s="25" t="s">
        <v>3790</v>
      </c>
      <c r="AO685" s="25" t="s">
        <v>3790</v>
      </c>
      <c r="AP685" s="25">
        <f t="shared" si="286"/>
        <v>0</v>
      </c>
      <c r="AQ685" s="151" t="str">
        <f>IF(SUMIFS('Supp Consol'!S:S,'Supp Consol'!A:A,O685,'Supp Consol'!I:I,"PENDING")=0,"",SUMIFS('Supp Consol'!S:S,'Supp Consol'!A:A,O685,'Supp Consol'!I:I,"PENDING"))</f>
        <v/>
      </c>
      <c r="AR685" s="27" t="str">
        <f t="shared" si="287"/>
        <v>KM059</v>
      </c>
      <c r="AS685" s="27" t="str">
        <f t="shared" si="288"/>
        <v>62</v>
      </c>
      <c r="AT685" s="27" t="str">
        <f t="shared" si="289"/>
        <v/>
      </c>
      <c r="AU685" s="27" t="str">
        <f t="shared" si="290"/>
        <v/>
      </c>
      <c r="AV685" s="27" t="str">
        <f t="shared" si="291"/>
        <v/>
      </c>
      <c r="AW685" s="27" t="str">
        <f t="shared" si="292"/>
        <v/>
      </c>
      <c r="AX685" s="27" t="str">
        <f t="shared" si="293"/>
        <v/>
      </c>
      <c r="AY685" s="27" t="str">
        <f t="shared" si="294"/>
        <v/>
      </c>
      <c r="AZ685" s="27" t="str">
        <f t="shared" si="295"/>
        <v/>
      </c>
      <c r="BA685" s="27" t="str">
        <f t="shared" si="296"/>
        <v/>
      </c>
      <c r="BB685" s="27" t="str">
        <f t="shared" si="297"/>
        <v/>
      </c>
      <c r="BC685" s="27" t="str">
        <f t="shared" si="298"/>
        <v/>
      </c>
      <c r="BD685" s="27" t="str">
        <f t="shared" si="299"/>
        <v/>
      </c>
      <c r="BE685" s="27" t="str">
        <f t="shared" si="300"/>
        <v/>
      </c>
      <c r="BF685" s="27" t="str">
        <f t="shared" si="301"/>
        <v/>
      </c>
      <c r="BG685" s="27" t="str">
        <f t="shared" si="302"/>
        <v/>
      </c>
      <c r="BH685" s="27" t="str">
        <f t="shared" si="303"/>
        <v/>
      </c>
      <c r="BI685" s="27" t="str">
        <f t="shared" si="304"/>
        <v/>
      </c>
      <c r="BJ685" s="27" t="str">
        <f t="shared" si="305"/>
        <v/>
      </c>
      <c r="BK685" s="27" t="str">
        <f t="shared" si="306"/>
        <v/>
      </c>
      <c r="BL685" s="27" t="str">
        <f t="shared" si="307"/>
        <v/>
      </c>
      <c r="BM685" s="21" t="s">
        <v>5581</v>
      </c>
    </row>
    <row r="686" spans="1:65" ht="15">
      <c r="A686" s="25" t="str">
        <f>IFERROR(INDEX('Hun Demand'!W:W,MATCH(O686,'Hun Demand'!A:A,0)),"")</f>
        <v/>
      </c>
      <c r="B686" s="25" t="str">
        <f>IFERROR(INDEX('Hun Demand'!V:V,MATCH(O686,'Hun Demand'!A:A,0)),"")</f>
        <v/>
      </c>
      <c r="C686" s="25" t="str">
        <f>IFERROR(INDEX('Hun Demand'!U:U,MATCH(O686,'Hun Demand'!A:A,0)),"")</f>
        <v/>
      </c>
      <c r="D686" s="25" t="str">
        <f>IFERROR(INDEX('Hun Demand'!T:T,MATCH(O686,'Hun Demand'!A:A,0)),"")</f>
        <v/>
      </c>
      <c r="E686" s="25" t="str">
        <f>IFERROR(INDEX('Hun Demand'!S:S,MATCH(O686,'Hun Demand'!A:A,0)),"")</f>
        <v/>
      </c>
      <c r="F686" s="25" t="str">
        <f>IFERROR(INDEX('Hun Demand'!R:R,MATCH(O686,'Hun Demand'!A:A,0)),"")</f>
        <v/>
      </c>
      <c r="G686" s="25">
        <f>IFERROR(INDEX('Aub Demand'!W:W,MATCH(O686,'Aub Demand'!A:A,0)),"")</f>
        <v>60</v>
      </c>
      <c r="H686" s="25">
        <f>IFERROR(INDEX('Aub Demand'!V:V,MATCH(O686,'Aub Demand'!A:A,0)),"")</f>
        <v>0</v>
      </c>
      <c r="I686" s="25">
        <f>IFERROR(INDEX('Aub Demand'!U:U,MATCH(O686,'Aub Demand'!A:A,0)),"")</f>
        <v>11</v>
      </c>
      <c r="J686" s="25">
        <f>IFERROR(INDEX('Aub Demand'!T:T,MATCH(O686,'Aub Demand'!A:A,0)),"")</f>
        <v>0</v>
      </c>
      <c r="K686" s="25">
        <f>IFERROR(INDEX('Aub Demand'!S:S,MATCH(O686,'Aub Demand'!A:A,0)),"")</f>
        <v>69</v>
      </c>
      <c r="L686" s="25">
        <f>IFERROR(INDEX('Aub Demand'!R:R,MATCH(O686,'Aub Demand'!A:A,0)),"")</f>
        <v>0</v>
      </c>
      <c r="O686" s="27" t="s">
        <v>1138</v>
      </c>
      <c r="P686" s="27" t="str">
        <f>IFERROR(INDEX('Aub Demand'!B:B,MATCH($O686,'Aub Demand'!$A:$A,0)),"")</f>
        <v>MG STONEWOOD</v>
      </c>
      <c r="Q686" s="27" t="str">
        <f>IFERROR(INDEX('Aub Demand'!C:C,MATCH($O686,'Aub Demand'!$A:$A,0)),"")</f>
        <v>IMPRE</v>
      </c>
      <c r="R686" s="52">
        <f>IFERROR(IF(AR687=AR686,INDEX('Aub Demand'!K:K,MATCH($O686,'Aub Demand'!$A:$A,0))-IF(AN686="",0,AN686)+AP687,INDEX('Aub Demand'!K:K,MATCH($O686,'Aub Demand'!$A:$A,0))-IF(AN686="",0,AN686)),"")</f>
        <v>1109</v>
      </c>
      <c r="S686" s="53">
        <f t="shared" si="280"/>
        <v>176</v>
      </c>
      <c r="T686" s="52" t="str">
        <f t="shared" si="281"/>
        <v/>
      </c>
      <c r="U686" s="52">
        <f>IFERROR(IF(AR687=AR686,INDEX('Aub Demand'!Q:Q,MATCH($O686,'Aub Demand'!$A:$A,0))-IF(AN686="",0,AN686)+AP687,INDEX('Aub Demand'!Q:Q,MATCH($O686,'Aub Demand'!$A:$A,0))-IF(AN686="",0,AN686)),"")</f>
        <v>1093</v>
      </c>
      <c r="V686" s="53">
        <f t="shared" si="282"/>
        <v>173.5</v>
      </c>
      <c r="W686" s="52" t="str">
        <f t="shared" si="283"/>
        <v/>
      </c>
      <c r="X686" s="52">
        <f>IFERROR(IF(AND(AR687=AR686,AM686&lt;&gt;""),INDEX('Aub Demand'!Q:Q,MATCH($O686,'Aub Demand'!$A:$A,0))-IF(AN686="",0,AN686)+AP687+AD686+AL686,IF(AR687=AR686,INDEX('Aub Demand'!Q:Q,MATCH($O686,'Aub Demand'!$A:$A,0))-IF(AN686="",0,AN686)+AP687+AD686,IF(AM686&lt;&gt;"",INDEX('Aub Demand'!Q:Q,MATCH($O686,'Aub Demand'!$A:$A,0))-IF(AN686="",0,AN686)+AD686+AL686,INDEX('Aub Demand'!Q:Q,MATCH($O686,'Aub Demand'!$A:$A,0))-IF(AN686="",0,AN686)+AD686))),"")</f>
        <v>1093</v>
      </c>
      <c r="Y686" s="53">
        <f t="shared" si="284"/>
        <v>173.5</v>
      </c>
      <c r="Z686" s="52">
        <f>IF(L686="","",INDEX('Aub Demand'!H:H,MATCH($O686,'Aub Demand'!$A:$A,0)))</f>
        <v>27</v>
      </c>
      <c r="AA686" s="52">
        <f t="shared" si="285"/>
        <v>40</v>
      </c>
      <c r="AB686" s="52">
        <f>IFERROR(INDEX('Aub Demand'!L:L,MATCH($O686,'Aub Demand'!$A:$A,0)),"")</f>
        <v>3</v>
      </c>
      <c r="AC686" s="52">
        <f>IFERROR(IF(O686="","",SUMIFS('CPL Mats'!F:F,'CPL Mats'!Q:Q,AR686,'CPL Mats'!S:S,AS686)),"")</f>
        <v>0</v>
      </c>
      <c r="AF686" s="25" t="str">
        <f>IF(SUMIFS('Supp Consol'!S:S,'Supp Consol'!Y:Y,"Releasable",'Supp Consol'!A:A,O686)=0,"",SUMIFS('Supp Consol'!S:S,'Supp Consol'!Y:Y,"Releasable",'Supp Consol'!A:A,O686))</f>
        <v/>
      </c>
      <c r="AG686" s="25" t="str">
        <f>IFERROR(INDEX('Hun Demand'!Q:Q,MATCH(O686,'Hun Demand'!A:A,0)),"")</f>
        <v/>
      </c>
      <c r="AH686" s="25" t="str">
        <f>IFERROR(INDEX('Hun Demand'!H:H,MATCH($O686,'Hun Demand'!$A:$A,0)),"")</f>
        <v/>
      </c>
      <c r="AI686" s="25" t="str">
        <f>IF(SUMIFS('Supp Consol'!AA:AA,'Supp Consol'!Z:Z,"Expires this month",'Supp Consol'!A:A,O686)=0,"",SUMIFS('Supp Consol'!AA:AA,'Supp Consol'!Z:Z,"Expires this month",'Supp Consol'!A:A,O686))</f>
        <v/>
      </c>
      <c r="AJ686" s="25" t="str">
        <f>IF(SUMIFS('Supp Consol'!AA:AA,'Supp Consol'!Z:Z,"Expired Previous Months",'Supp Consol'!A:A,O686)=0,"",SUMIFS('Supp Consol'!AA:AA,'Supp Consol'!Z:Z,"Expired Previous Months",'Supp Consol'!A:A,O686))</f>
        <v/>
      </c>
      <c r="AK686" s="25" t="str">
        <f>IFERROR(INDEX('Hun Release Current'!B:B,MATCH(O686,'Hun Release Current'!A:A,0)),"")</f>
        <v/>
      </c>
      <c r="AL686" s="25" t="str">
        <f>IF(SUMIF('Prev Aub'!A:A,O686,'Prev Aub'!B:B)=0,"",SUMIF('Prev Aub'!A:A,O686,'Prev Aub'!B:B))</f>
        <v/>
      </c>
      <c r="AN686" s="25" t="s">
        <v>3790</v>
      </c>
      <c r="AO686" s="25" t="s">
        <v>3790</v>
      </c>
      <c r="AP686" s="25">
        <f t="shared" si="286"/>
        <v>0</v>
      </c>
      <c r="AQ686" s="151" t="str">
        <f>IF(SUMIFS('Supp Consol'!S:S,'Supp Consol'!A:A,O686,'Supp Consol'!I:I,"PENDING")=0,"",SUMIFS('Supp Consol'!S:S,'Supp Consol'!A:A,O686,'Supp Consol'!I:I,"PENDING"))</f>
        <v/>
      </c>
      <c r="AR686" s="27" t="str">
        <f t="shared" si="287"/>
        <v>KM060</v>
      </c>
      <c r="AS686" s="27" t="str">
        <f t="shared" si="288"/>
        <v>62</v>
      </c>
      <c r="AT686" s="27" t="str">
        <f t="shared" si="289"/>
        <v/>
      </c>
      <c r="AU686" s="27" t="str">
        <f t="shared" si="290"/>
        <v/>
      </c>
      <c r="AV686" s="27" t="str">
        <f t="shared" si="291"/>
        <v/>
      </c>
      <c r="AW686" s="27" t="str">
        <f t="shared" si="292"/>
        <v/>
      </c>
      <c r="AX686" s="27" t="str">
        <f t="shared" si="293"/>
        <v/>
      </c>
      <c r="AY686" s="27" t="str">
        <f t="shared" si="294"/>
        <v/>
      </c>
      <c r="AZ686" s="27" t="str">
        <f t="shared" si="295"/>
        <v/>
      </c>
      <c r="BA686" s="27" t="str">
        <f t="shared" si="296"/>
        <v/>
      </c>
      <c r="BB686" s="27" t="str">
        <f t="shared" si="297"/>
        <v/>
      </c>
      <c r="BC686" s="27" t="str">
        <f t="shared" si="298"/>
        <v/>
      </c>
      <c r="BD686" s="27" t="str">
        <f t="shared" si="299"/>
        <v/>
      </c>
      <c r="BE686" s="27" t="str">
        <f t="shared" si="300"/>
        <v/>
      </c>
      <c r="BF686" s="27" t="str">
        <f t="shared" si="301"/>
        <v/>
      </c>
      <c r="BG686" s="27" t="str">
        <f t="shared" si="302"/>
        <v/>
      </c>
      <c r="BH686" s="27" t="str">
        <f t="shared" si="303"/>
        <v/>
      </c>
      <c r="BI686" s="27" t="str">
        <f t="shared" si="304"/>
        <v/>
      </c>
      <c r="BJ686" s="27" t="str">
        <f t="shared" si="305"/>
        <v/>
      </c>
      <c r="BK686" s="27" t="str">
        <f t="shared" si="306"/>
        <v/>
      </c>
      <c r="BL686" s="27" t="str">
        <f t="shared" si="307"/>
        <v/>
      </c>
      <c r="BM686" s="21" t="s">
        <v>5581</v>
      </c>
    </row>
    <row r="687" spans="1:65" ht="15">
      <c r="A687" s="25" t="str">
        <f>IFERROR(INDEX('Hun Demand'!W:W,MATCH(O687,'Hun Demand'!A:A,0)),"")</f>
        <v/>
      </c>
      <c r="B687" s="25" t="str">
        <f>IFERROR(INDEX('Hun Demand'!V:V,MATCH(O687,'Hun Demand'!A:A,0)),"")</f>
        <v/>
      </c>
      <c r="C687" s="25" t="str">
        <f>IFERROR(INDEX('Hun Demand'!U:U,MATCH(O687,'Hun Demand'!A:A,0)),"")</f>
        <v/>
      </c>
      <c r="D687" s="25" t="str">
        <f>IFERROR(INDEX('Hun Demand'!T:T,MATCH(O687,'Hun Demand'!A:A,0)),"")</f>
        <v/>
      </c>
      <c r="E687" s="25" t="str">
        <f>IFERROR(INDEX('Hun Demand'!S:S,MATCH(O687,'Hun Demand'!A:A,0)),"")</f>
        <v/>
      </c>
      <c r="F687" s="25" t="str">
        <f>IFERROR(INDEX('Hun Demand'!R:R,MATCH(O687,'Hun Demand'!A:A,0)),"")</f>
        <v/>
      </c>
      <c r="G687" s="25">
        <f>IFERROR(INDEX('Aub Demand'!W:W,MATCH(O687,'Aub Demand'!A:A,0)),"")</f>
        <v>11</v>
      </c>
      <c r="H687" s="25">
        <f>IFERROR(INDEX('Aub Demand'!V:V,MATCH(O687,'Aub Demand'!A:A,0)),"")</f>
        <v>92</v>
      </c>
      <c r="I687" s="25">
        <f>IFERROR(INDEX('Aub Demand'!U:U,MATCH(O687,'Aub Demand'!A:A,0)),"")</f>
        <v>14</v>
      </c>
      <c r="J687" s="25">
        <f>IFERROR(INDEX('Aub Demand'!T:T,MATCH(O687,'Aub Demand'!A:A,0)),"")</f>
        <v>21</v>
      </c>
      <c r="K687" s="25">
        <f>IFERROR(INDEX('Aub Demand'!S:S,MATCH(O687,'Aub Demand'!A:A,0)),"")</f>
        <v>315</v>
      </c>
      <c r="L687" s="25">
        <f>IFERROR(INDEX('Aub Demand'!R:R,MATCH(O687,'Aub Demand'!A:A,0)),"")</f>
        <v>0</v>
      </c>
      <c r="O687" s="27" t="s">
        <v>1141</v>
      </c>
      <c r="P687" s="27" t="str">
        <f>IFERROR(INDEX('Aub Demand'!B:B,MATCH($O687,'Aub Demand'!$A:$A,0)),"")</f>
        <v>MG GALA</v>
      </c>
      <c r="Q687" s="27">
        <f>IFERROR(INDEX('Aub Demand'!C:C,MATCH($O687,'Aub Demand'!$A:$A,0)),"")</f>
        <v>0</v>
      </c>
      <c r="R687" s="52">
        <f>IFERROR(IF(AR688=AR687,INDEX('Aub Demand'!K:K,MATCH($O687,'Aub Demand'!$A:$A,0))-IF(AN687="",0,AN687)+AP688,INDEX('Aub Demand'!K:K,MATCH($O687,'Aub Demand'!$A:$A,0))-IF(AN687="",0,AN687)),"")</f>
        <v>6544</v>
      </c>
      <c r="S687" s="53">
        <f t="shared" si="280"/>
        <v>239.7</v>
      </c>
      <c r="T687" s="52" t="str">
        <f t="shared" si="281"/>
        <v/>
      </c>
      <c r="U687" s="52">
        <f>IFERROR(IF(AR688=AR687,INDEX('Aub Demand'!Q:Q,MATCH($O687,'Aub Demand'!$A:$A,0))-IF(AN687="",0,AN687)+AP688,INDEX('Aub Demand'!Q:Q,MATCH($O687,'Aub Demand'!$A:$A,0))-IF(AN687="",0,AN687)),"")</f>
        <v>6101</v>
      </c>
      <c r="V687" s="53">
        <f t="shared" si="282"/>
        <v>223.5</v>
      </c>
      <c r="W687" s="52" t="str">
        <f t="shared" si="283"/>
        <v/>
      </c>
      <c r="X687" s="52">
        <f>IFERROR(IF(AND(AR688=AR687,AM687&lt;&gt;""),INDEX('Aub Demand'!Q:Q,MATCH($O687,'Aub Demand'!$A:$A,0))-IF(AN687="",0,AN687)+AP688+AD687+AL687,IF(AR688=AR687,INDEX('Aub Demand'!Q:Q,MATCH($O687,'Aub Demand'!$A:$A,0))-IF(AN687="",0,AN687)+AP688+AD687,IF(AM687&lt;&gt;"",INDEX('Aub Demand'!Q:Q,MATCH($O687,'Aub Demand'!$A:$A,0))-IF(AN687="",0,AN687)+AD687+AL687,INDEX('Aub Demand'!Q:Q,MATCH($O687,'Aub Demand'!$A:$A,0))-IF(AN687="",0,AN687)+AD687))),"")</f>
        <v>6101</v>
      </c>
      <c r="Y687" s="53">
        <f t="shared" si="284"/>
        <v>223.5</v>
      </c>
      <c r="Z687" s="52">
        <f>IF(L687="","",INDEX('Aub Demand'!H:H,MATCH($O687,'Aub Demand'!$A:$A,0)))</f>
        <v>117</v>
      </c>
      <c r="AA687" s="52">
        <f t="shared" si="285"/>
        <v>168</v>
      </c>
      <c r="AB687" s="52">
        <f>IFERROR(INDEX('Aub Demand'!L:L,MATCH($O687,'Aub Demand'!$A:$A,0)),"")</f>
        <v>39</v>
      </c>
      <c r="AC687" s="52">
        <f>IFERROR(IF(O687="","",SUMIFS('CPL Mats'!F:F,'CPL Mats'!Q:Q,AR687,'CPL Mats'!S:S,AS687)),"")</f>
        <v>0</v>
      </c>
      <c r="AF687" s="25" t="str">
        <f>IF(SUMIFS('Supp Consol'!S:S,'Supp Consol'!Y:Y,"Releasable",'Supp Consol'!A:A,O687)=0,"",SUMIFS('Supp Consol'!S:S,'Supp Consol'!Y:Y,"Releasable",'Supp Consol'!A:A,O687))</f>
        <v/>
      </c>
      <c r="AG687" s="25" t="str">
        <f>IFERROR(INDEX('Hun Demand'!Q:Q,MATCH(O687,'Hun Demand'!A:A,0)),"")</f>
        <v/>
      </c>
      <c r="AH687" s="25" t="str">
        <f>IFERROR(INDEX('Hun Demand'!H:H,MATCH($O687,'Hun Demand'!$A:$A,0)),"")</f>
        <v/>
      </c>
      <c r="AI687" s="25" t="str">
        <f>IF(SUMIFS('Supp Consol'!AA:AA,'Supp Consol'!Z:Z,"Expires this month",'Supp Consol'!A:A,O687)=0,"",SUMIFS('Supp Consol'!AA:AA,'Supp Consol'!Z:Z,"Expires this month",'Supp Consol'!A:A,O687))</f>
        <v/>
      </c>
      <c r="AJ687" s="25" t="str">
        <f>IF(SUMIFS('Supp Consol'!AA:AA,'Supp Consol'!Z:Z,"Expired Previous Months",'Supp Consol'!A:A,O687)=0,"",SUMIFS('Supp Consol'!AA:AA,'Supp Consol'!Z:Z,"Expired Previous Months",'Supp Consol'!A:A,O687))</f>
        <v/>
      </c>
      <c r="AK687" s="25" t="str">
        <f>IFERROR(INDEX('Hun Release Current'!B:B,MATCH(O687,'Hun Release Current'!A:A,0)),"")</f>
        <v/>
      </c>
      <c r="AL687" s="25" t="str">
        <f>IF(SUMIF('Prev Aub'!A:A,O687,'Prev Aub'!B:B)=0,"",SUMIF('Prev Aub'!A:A,O687,'Prev Aub'!B:B))</f>
        <v/>
      </c>
      <c r="AN687" s="25" t="s">
        <v>3790</v>
      </c>
      <c r="AO687" s="25" t="s">
        <v>3790</v>
      </c>
      <c r="AP687" s="25">
        <f t="shared" si="286"/>
        <v>0</v>
      </c>
      <c r="AQ687" s="151" t="str">
        <f>IF(SUMIFS('Supp Consol'!S:S,'Supp Consol'!A:A,O687,'Supp Consol'!I:I,"PENDING")=0,"",SUMIFS('Supp Consol'!S:S,'Supp Consol'!A:A,O687,'Supp Consol'!I:I,"PENDING"))</f>
        <v/>
      </c>
      <c r="AR687" s="27" t="str">
        <f t="shared" si="287"/>
        <v>KM061</v>
      </c>
      <c r="AS687" s="27" t="str">
        <f t="shared" si="288"/>
        <v>62</v>
      </c>
      <c r="AT687" s="27" t="str">
        <f t="shared" si="289"/>
        <v/>
      </c>
      <c r="AU687" s="27" t="str">
        <f t="shared" si="290"/>
        <v/>
      </c>
      <c r="AV687" s="27" t="str">
        <f t="shared" si="291"/>
        <v/>
      </c>
      <c r="AW687" s="27" t="str">
        <f t="shared" si="292"/>
        <v/>
      </c>
      <c r="AX687" s="27" t="str">
        <f t="shared" si="293"/>
        <v/>
      </c>
      <c r="AY687" s="27" t="str">
        <f t="shared" si="294"/>
        <v/>
      </c>
      <c r="AZ687" s="27" t="str">
        <f t="shared" si="295"/>
        <v/>
      </c>
      <c r="BA687" s="27" t="str">
        <f t="shared" si="296"/>
        <v/>
      </c>
      <c r="BB687" s="27" t="str">
        <f t="shared" si="297"/>
        <v/>
      </c>
      <c r="BC687" s="27" t="str">
        <f t="shared" si="298"/>
        <v/>
      </c>
      <c r="BD687" s="27" t="str">
        <f t="shared" si="299"/>
        <v/>
      </c>
      <c r="BE687" s="27" t="str">
        <f t="shared" si="300"/>
        <v/>
      </c>
      <c r="BF687" s="27" t="str">
        <f t="shared" si="301"/>
        <v/>
      </c>
      <c r="BG687" s="27" t="str">
        <f t="shared" si="302"/>
        <v/>
      </c>
      <c r="BH687" s="27" t="str">
        <f t="shared" si="303"/>
        <v/>
      </c>
      <c r="BI687" s="27" t="str">
        <f t="shared" si="304"/>
        <v/>
      </c>
      <c r="BJ687" s="27" t="str">
        <f t="shared" si="305"/>
        <v/>
      </c>
      <c r="BK687" s="27" t="str">
        <f t="shared" si="306"/>
        <v/>
      </c>
      <c r="BL687" s="27" t="str">
        <f t="shared" si="307"/>
        <v/>
      </c>
      <c r="BM687" s="21" t="s">
        <v>5581</v>
      </c>
    </row>
    <row r="688" spans="1:65" ht="15">
      <c r="A688" s="25" t="str">
        <f>IFERROR(INDEX('Hun Demand'!W:W,MATCH(O688,'Hun Demand'!A:A,0)),"")</f>
        <v/>
      </c>
      <c r="B688" s="25" t="str">
        <f>IFERROR(INDEX('Hun Demand'!V:V,MATCH(O688,'Hun Demand'!A:A,0)),"")</f>
        <v/>
      </c>
      <c r="C688" s="25" t="str">
        <f>IFERROR(INDEX('Hun Demand'!U:U,MATCH(O688,'Hun Demand'!A:A,0)),"")</f>
        <v/>
      </c>
      <c r="D688" s="25" t="str">
        <f>IFERROR(INDEX('Hun Demand'!T:T,MATCH(O688,'Hun Demand'!A:A,0)),"")</f>
        <v/>
      </c>
      <c r="E688" s="25" t="str">
        <f>IFERROR(INDEX('Hun Demand'!S:S,MATCH(O688,'Hun Demand'!A:A,0)),"")</f>
        <v/>
      </c>
      <c r="F688" s="25" t="str">
        <f>IFERROR(INDEX('Hun Demand'!R:R,MATCH(O688,'Hun Demand'!A:A,0)),"")</f>
        <v/>
      </c>
      <c r="G688" s="25">
        <f>IFERROR(INDEX('Aub Demand'!W:W,MATCH(O688,'Aub Demand'!A:A,0)),"")</f>
        <v>0</v>
      </c>
      <c r="H688" s="25">
        <f>IFERROR(INDEX('Aub Demand'!V:V,MATCH(O688,'Aub Demand'!A:A,0)),"")</f>
        <v>9</v>
      </c>
      <c r="I688" s="25">
        <f>IFERROR(INDEX('Aub Demand'!U:U,MATCH(O688,'Aub Demand'!A:A,0)),"")</f>
        <v>0</v>
      </c>
      <c r="J688" s="25">
        <f>IFERROR(INDEX('Aub Demand'!T:T,MATCH(O688,'Aub Demand'!A:A,0)),"")</f>
        <v>21</v>
      </c>
      <c r="K688" s="25">
        <f>IFERROR(INDEX('Aub Demand'!S:S,MATCH(O688,'Aub Demand'!A:A,0)),"")</f>
        <v>44</v>
      </c>
      <c r="L688" s="25">
        <f>IFERROR(INDEX('Aub Demand'!R:R,MATCH(O688,'Aub Demand'!A:A,0)),"")</f>
        <v>0</v>
      </c>
      <c r="O688" s="27" t="s">
        <v>1144</v>
      </c>
      <c r="P688" s="27" t="str">
        <f>IFERROR(INDEX('Aub Demand'!B:B,MATCH($O688,'Aub Demand'!$A:$A,0)),"")</f>
        <v>MG URBAN GRANITE</v>
      </c>
      <c r="Q688" s="27" t="str">
        <f>IFERROR(INDEX('Aub Demand'!C:C,MATCH($O688,'Aub Demand'!$A:$A,0)),"")</f>
        <v>IMPRE</v>
      </c>
      <c r="R688" s="52">
        <f>IFERROR(IF(AR689=AR688,INDEX('Aub Demand'!K:K,MATCH($O688,'Aub Demand'!$A:$A,0))-IF(AN688="",0,AN688)+AP689,INDEX('Aub Demand'!K:K,MATCH($O688,'Aub Demand'!$A:$A,0))-IF(AN688="",0,AN688)),"")</f>
        <v>1306</v>
      </c>
      <c r="S688" s="53">
        <f t="shared" si="280"/>
        <v>254.4</v>
      </c>
      <c r="T688" s="52" t="str">
        <f t="shared" si="281"/>
        <v/>
      </c>
      <c r="U688" s="52">
        <f>IFERROR(IF(AR689=AR688,INDEX('Aub Demand'!Q:Q,MATCH($O688,'Aub Demand'!$A:$A,0))-IF(AN688="",0,AN688)+AP689,INDEX('Aub Demand'!Q:Q,MATCH($O688,'Aub Demand'!$A:$A,0))-IF(AN688="",0,AN688)),"")</f>
        <v>1292</v>
      </c>
      <c r="V688" s="53">
        <f t="shared" si="282"/>
        <v>251.7</v>
      </c>
      <c r="W688" s="52" t="str">
        <f t="shared" si="283"/>
        <v/>
      </c>
      <c r="X688" s="52">
        <f>IFERROR(IF(AND(AR689=AR688,AM688&lt;&gt;""),INDEX('Aub Demand'!Q:Q,MATCH($O688,'Aub Demand'!$A:$A,0))-IF(AN688="",0,AN688)+AP689+AD688+AL688,IF(AR689=AR688,INDEX('Aub Demand'!Q:Q,MATCH($O688,'Aub Demand'!$A:$A,0))-IF(AN688="",0,AN688)+AP689+AD688,IF(AM688&lt;&gt;"",INDEX('Aub Demand'!Q:Q,MATCH($O688,'Aub Demand'!$A:$A,0))-IF(AN688="",0,AN688)+AD688+AL688,INDEX('Aub Demand'!Q:Q,MATCH($O688,'Aub Demand'!$A:$A,0))-IF(AN688="",0,AN688)+AD688))),"")</f>
        <v>1292</v>
      </c>
      <c r="Y688" s="53">
        <f t="shared" si="284"/>
        <v>251.7</v>
      </c>
      <c r="Z688" s="52">
        <f>IF(L688="","",INDEX('Aub Demand'!H:H,MATCH($O688,'Aub Demand'!$A:$A,0)))</f>
        <v>22</v>
      </c>
      <c r="AA688" s="52">
        <f t="shared" si="285"/>
        <v>32.5</v>
      </c>
      <c r="AB688" s="52">
        <f>IFERROR(INDEX('Aub Demand'!L:L,MATCH($O688,'Aub Demand'!$A:$A,0)),"")</f>
        <v>8</v>
      </c>
      <c r="AC688" s="52">
        <f>IFERROR(IF(O688="","",SUMIFS('CPL Mats'!F:F,'CPL Mats'!Q:Q,AR688,'CPL Mats'!S:S,AS688)),"")</f>
        <v>0</v>
      </c>
      <c r="AF688" s="25" t="str">
        <f>IF(SUMIFS('Supp Consol'!S:S,'Supp Consol'!Y:Y,"Releasable",'Supp Consol'!A:A,O688)=0,"",SUMIFS('Supp Consol'!S:S,'Supp Consol'!Y:Y,"Releasable",'Supp Consol'!A:A,O688))</f>
        <v/>
      </c>
      <c r="AG688" s="25" t="str">
        <f>IFERROR(INDEX('Hun Demand'!Q:Q,MATCH(O688,'Hun Demand'!A:A,0)),"")</f>
        <v/>
      </c>
      <c r="AH688" s="25" t="str">
        <f>IFERROR(INDEX('Hun Demand'!H:H,MATCH($O688,'Hun Demand'!$A:$A,0)),"")</f>
        <v/>
      </c>
      <c r="AI688" s="25" t="str">
        <f>IF(SUMIFS('Supp Consol'!AA:AA,'Supp Consol'!Z:Z,"Expires this month",'Supp Consol'!A:A,O688)=0,"",SUMIFS('Supp Consol'!AA:AA,'Supp Consol'!Z:Z,"Expires this month",'Supp Consol'!A:A,O688))</f>
        <v/>
      </c>
      <c r="AJ688" s="25" t="str">
        <f>IF(SUMIFS('Supp Consol'!AA:AA,'Supp Consol'!Z:Z,"Expired Previous Months",'Supp Consol'!A:A,O688)=0,"",SUMIFS('Supp Consol'!AA:AA,'Supp Consol'!Z:Z,"Expired Previous Months",'Supp Consol'!A:A,O688))</f>
        <v/>
      </c>
      <c r="AK688" s="25" t="str">
        <f>IFERROR(INDEX('Hun Release Current'!B:B,MATCH(O688,'Hun Release Current'!A:A,0)),"")</f>
        <v/>
      </c>
      <c r="AL688" s="25" t="str">
        <f>IF(SUMIF('Prev Aub'!A:A,O688,'Prev Aub'!B:B)=0,"",SUMIF('Prev Aub'!A:A,O688,'Prev Aub'!B:B))</f>
        <v/>
      </c>
      <c r="AN688" s="25" t="s">
        <v>3790</v>
      </c>
      <c r="AO688" s="25" t="s">
        <v>3790</v>
      </c>
      <c r="AP688" s="25">
        <f t="shared" si="286"/>
        <v>0</v>
      </c>
      <c r="AQ688" s="151" t="str">
        <f>IF(SUMIFS('Supp Consol'!S:S,'Supp Consol'!A:A,O688,'Supp Consol'!I:I,"PENDING")=0,"",SUMIFS('Supp Consol'!S:S,'Supp Consol'!A:A,O688,'Supp Consol'!I:I,"PENDING"))</f>
        <v/>
      </c>
      <c r="AR688" s="27" t="str">
        <f t="shared" si="287"/>
        <v>KM062</v>
      </c>
      <c r="AS688" s="27" t="str">
        <f t="shared" si="288"/>
        <v>62</v>
      </c>
      <c r="AT688" s="27" t="str">
        <f t="shared" si="289"/>
        <v/>
      </c>
      <c r="AU688" s="27" t="str">
        <f t="shared" si="290"/>
        <v/>
      </c>
      <c r="AV688" s="27" t="str">
        <f t="shared" si="291"/>
        <v/>
      </c>
      <c r="AW688" s="27" t="str">
        <f t="shared" si="292"/>
        <v/>
      </c>
      <c r="AX688" s="27" t="str">
        <f t="shared" si="293"/>
        <v/>
      </c>
      <c r="AY688" s="27" t="str">
        <f t="shared" si="294"/>
        <v/>
      </c>
      <c r="AZ688" s="27" t="str">
        <f t="shared" si="295"/>
        <v/>
      </c>
      <c r="BA688" s="27" t="str">
        <f t="shared" si="296"/>
        <v/>
      </c>
      <c r="BB688" s="27" t="str">
        <f t="shared" si="297"/>
        <v/>
      </c>
      <c r="BC688" s="27" t="str">
        <f t="shared" si="298"/>
        <v/>
      </c>
      <c r="BD688" s="27" t="str">
        <f t="shared" si="299"/>
        <v/>
      </c>
      <c r="BE688" s="27" t="str">
        <f t="shared" si="300"/>
        <v/>
      </c>
      <c r="BF688" s="27" t="str">
        <f t="shared" si="301"/>
        <v/>
      </c>
      <c r="BG688" s="27" t="str">
        <f t="shared" si="302"/>
        <v/>
      </c>
      <c r="BH688" s="27" t="str">
        <f t="shared" si="303"/>
        <v/>
      </c>
      <c r="BI688" s="27" t="str">
        <f t="shared" si="304"/>
        <v/>
      </c>
      <c r="BJ688" s="27" t="str">
        <f t="shared" si="305"/>
        <v/>
      </c>
      <c r="BK688" s="27" t="str">
        <f t="shared" si="306"/>
        <v/>
      </c>
      <c r="BL688" s="27" t="str">
        <f t="shared" si="307"/>
        <v/>
      </c>
      <c r="BM688" s="21" t="s">
        <v>5581</v>
      </c>
    </row>
    <row r="689" spans="1:65" ht="15">
      <c r="A689" s="25" t="str">
        <f>IFERROR(INDEX('Hun Demand'!W:W,MATCH(O689,'Hun Demand'!A:A,0)),"")</f>
        <v/>
      </c>
      <c r="B689" s="25" t="str">
        <f>IFERROR(INDEX('Hun Demand'!V:V,MATCH(O689,'Hun Demand'!A:A,0)),"")</f>
        <v/>
      </c>
      <c r="C689" s="25" t="str">
        <f>IFERROR(INDEX('Hun Demand'!U:U,MATCH(O689,'Hun Demand'!A:A,0)),"")</f>
        <v/>
      </c>
      <c r="D689" s="25" t="str">
        <f>IFERROR(INDEX('Hun Demand'!T:T,MATCH(O689,'Hun Demand'!A:A,0)),"")</f>
        <v/>
      </c>
      <c r="E689" s="25" t="str">
        <f>IFERROR(INDEX('Hun Demand'!S:S,MATCH(O689,'Hun Demand'!A:A,0)),"")</f>
        <v/>
      </c>
      <c r="F689" s="25" t="str">
        <f>IFERROR(INDEX('Hun Demand'!R:R,MATCH(O689,'Hun Demand'!A:A,0)),"")</f>
        <v/>
      </c>
      <c r="G689" s="25">
        <f>IFERROR(INDEX('Aub Demand'!W:W,MATCH(O689,'Aub Demand'!A:A,0)),"")</f>
        <v>21</v>
      </c>
      <c r="H689" s="25">
        <f>IFERROR(INDEX('Aub Demand'!V:V,MATCH(O689,'Aub Demand'!A:A,0)),"")</f>
        <v>52</v>
      </c>
      <c r="I689" s="25">
        <f>IFERROR(INDEX('Aub Demand'!U:U,MATCH(O689,'Aub Demand'!A:A,0)),"")</f>
        <v>92</v>
      </c>
      <c r="J689" s="25">
        <f>IFERROR(INDEX('Aub Demand'!T:T,MATCH(O689,'Aub Demand'!A:A,0)),"")</f>
        <v>367</v>
      </c>
      <c r="K689" s="25">
        <f>IFERROR(INDEX('Aub Demand'!S:S,MATCH(O689,'Aub Demand'!A:A,0)),"")</f>
        <v>506</v>
      </c>
      <c r="L689" s="25">
        <f>IFERROR(INDEX('Aub Demand'!R:R,MATCH(O689,'Aub Demand'!A:A,0)),"")</f>
        <v>0</v>
      </c>
      <c r="O689" s="27" t="s">
        <v>1148</v>
      </c>
      <c r="P689" s="27" t="str">
        <f>IFERROR(INDEX('Aub Demand'!B:B,MATCH($O689,'Aub Demand'!$A:$A,0)),"")</f>
        <v>MG TERRAZZO</v>
      </c>
      <c r="Q689" s="27" t="str">
        <f>IFERROR(INDEX('Aub Demand'!C:C,MATCH($O689,'Aub Demand'!$A:$A,0)),"")</f>
        <v>SCHAT</v>
      </c>
      <c r="R689" s="52">
        <f>IFERROR(IF(AR690=AR689,INDEX('Aub Demand'!K:K,MATCH($O689,'Aub Demand'!$A:$A,0))-IF(AN689="",0,AN689)+AP690,INDEX('Aub Demand'!K:K,MATCH($O689,'Aub Demand'!$A:$A,0))-IF(AN689="",0,AN689)),"")</f>
        <v>6517</v>
      </c>
      <c r="S689" s="53">
        <f t="shared" si="280"/>
        <v>86.7</v>
      </c>
      <c r="T689" s="52" t="str">
        <f t="shared" si="281"/>
        <v/>
      </c>
      <c r="U689" s="52">
        <f>IFERROR(IF(AR690=AR689,INDEX('Aub Demand'!Q:Q,MATCH($O689,'Aub Demand'!$A:$A,0))-IF(AN689="",0,AN689)+AP690,INDEX('Aub Demand'!Q:Q,MATCH($O689,'Aub Demand'!$A:$A,0))-IF(AN689="",0,AN689)),"")</f>
        <v>5928</v>
      </c>
      <c r="V689" s="53">
        <f t="shared" si="282"/>
        <v>78.900000000000006</v>
      </c>
      <c r="W689" s="52" t="str">
        <f t="shared" si="283"/>
        <v/>
      </c>
      <c r="X689" s="52">
        <f>IFERROR(IF(AND(AR690=AR689,AM689&lt;&gt;""),INDEX('Aub Demand'!Q:Q,MATCH($O689,'Aub Demand'!$A:$A,0))-IF(AN689="",0,AN689)+AP690+AD689+AL689,IF(AR690=AR689,INDEX('Aub Demand'!Q:Q,MATCH($O689,'Aub Demand'!$A:$A,0))-IF(AN689="",0,AN689)+AP690+AD689,IF(AM689&lt;&gt;"",INDEX('Aub Demand'!Q:Q,MATCH($O689,'Aub Demand'!$A:$A,0))-IF(AN689="",0,AN689)+AD689+AL689,INDEX('Aub Demand'!Q:Q,MATCH($O689,'Aub Demand'!$A:$A,0))-IF(AN689="",0,AN689)+AD689))),"")</f>
        <v>5928</v>
      </c>
      <c r="Y689" s="53">
        <f t="shared" si="284"/>
        <v>78.900000000000006</v>
      </c>
      <c r="Z689" s="52">
        <f>IF(L689="","",INDEX('Aub Demand'!H:H,MATCH($O689,'Aub Demand'!$A:$A,0)))</f>
        <v>322</v>
      </c>
      <c r="AA689" s="52">
        <f t="shared" si="285"/>
        <v>436.5</v>
      </c>
      <c r="AB689" s="52">
        <f>IFERROR(INDEX('Aub Demand'!L:L,MATCH($O689,'Aub Demand'!$A:$A,0)),"")</f>
        <v>145</v>
      </c>
      <c r="AC689" s="52">
        <f>IFERROR(IF(O689="","",SUMIFS('CPL Mats'!F:F,'CPL Mats'!Q:Q,AR689,'CPL Mats'!S:S,AS689)),"")</f>
        <v>0</v>
      </c>
      <c r="AF689" s="25" t="str">
        <f>IF(SUMIFS('Supp Consol'!S:S,'Supp Consol'!Y:Y,"Releasable",'Supp Consol'!A:A,O689)=0,"",SUMIFS('Supp Consol'!S:S,'Supp Consol'!Y:Y,"Releasable",'Supp Consol'!A:A,O689))</f>
        <v/>
      </c>
      <c r="AG689" s="25" t="str">
        <f>IFERROR(INDEX('Hun Demand'!Q:Q,MATCH(O689,'Hun Demand'!A:A,0)),"")</f>
        <v/>
      </c>
      <c r="AH689" s="25" t="str">
        <f>IFERROR(INDEX('Hun Demand'!H:H,MATCH($O689,'Hun Demand'!$A:$A,0)),"")</f>
        <v/>
      </c>
      <c r="AI689" s="25" t="str">
        <f>IF(SUMIFS('Supp Consol'!AA:AA,'Supp Consol'!Z:Z,"Expires this month",'Supp Consol'!A:A,O689)=0,"",SUMIFS('Supp Consol'!AA:AA,'Supp Consol'!Z:Z,"Expires this month",'Supp Consol'!A:A,O689))</f>
        <v/>
      </c>
      <c r="AJ689" s="25" t="str">
        <f>IF(SUMIFS('Supp Consol'!AA:AA,'Supp Consol'!Z:Z,"Expired Previous Months",'Supp Consol'!A:A,O689)=0,"",SUMIFS('Supp Consol'!AA:AA,'Supp Consol'!Z:Z,"Expired Previous Months",'Supp Consol'!A:A,O689))</f>
        <v/>
      </c>
      <c r="AK689" s="25" t="str">
        <f>IFERROR(INDEX('Hun Release Current'!B:B,MATCH(O689,'Hun Release Current'!A:A,0)),"")</f>
        <v/>
      </c>
      <c r="AL689" s="25" t="str">
        <f>IF(SUMIF('Prev Aub'!A:A,O689,'Prev Aub'!B:B)=0,"",SUMIF('Prev Aub'!A:A,O689,'Prev Aub'!B:B))</f>
        <v/>
      </c>
      <c r="AN689" s="25" t="s">
        <v>3790</v>
      </c>
      <c r="AO689" s="25" t="s">
        <v>3790</v>
      </c>
      <c r="AP689" s="25">
        <f t="shared" si="286"/>
        <v>0</v>
      </c>
      <c r="AQ689" s="151" t="str">
        <f>IF(SUMIFS('Supp Consol'!S:S,'Supp Consol'!A:A,O689,'Supp Consol'!I:I,"PENDING")=0,"",SUMIFS('Supp Consol'!S:S,'Supp Consol'!A:A,O689,'Supp Consol'!I:I,"PENDING"))</f>
        <v/>
      </c>
      <c r="AR689" s="27" t="str">
        <f t="shared" si="287"/>
        <v>KM063</v>
      </c>
      <c r="AS689" s="27" t="str">
        <f t="shared" si="288"/>
        <v>62</v>
      </c>
      <c r="AT689" s="27" t="str">
        <f t="shared" si="289"/>
        <v/>
      </c>
      <c r="AU689" s="27" t="str">
        <f t="shared" si="290"/>
        <v/>
      </c>
      <c r="AV689" s="27" t="str">
        <f t="shared" si="291"/>
        <v/>
      </c>
      <c r="AW689" s="27" t="str">
        <f t="shared" si="292"/>
        <v/>
      </c>
      <c r="AX689" s="27" t="str">
        <f t="shared" si="293"/>
        <v/>
      </c>
      <c r="AY689" s="27" t="str">
        <f t="shared" si="294"/>
        <v/>
      </c>
      <c r="AZ689" s="27" t="str">
        <f t="shared" si="295"/>
        <v/>
      </c>
      <c r="BA689" s="27" t="str">
        <f t="shared" si="296"/>
        <v/>
      </c>
      <c r="BB689" s="27" t="str">
        <f t="shared" si="297"/>
        <v/>
      </c>
      <c r="BC689" s="27" t="str">
        <f t="shared" si="298"/>
        <v/>
      </c>
      <c r="BD689" s="27" t="str">
        <f t="shared" si="299"/>
        <v/>
      </c>
      <c r="BE689" s="27" t="str">
        <f t="shared" si="300"/>
        <v/>
      </c>
      <c r="BF689" s="27" t="str">
        <f t="shared" si="301"/>
        <v/>
      </c>
      <c r="BG689" s="27" t="str">
        <f t="shared" si="302"/>
        <v/>
      </c>
      <c r="BH689" s="27" t="str">
        <f t="shared" si="303"/>
        <v/>
      </c>
      <c r="BI689" s="27" t="str">
        <f t="shared" si="304"/>
        <v/>
      </c>
      <c r="BJ689" s="27" t="str">
        <f t="shared" si="305"/>
        <v/>
      </c>
      <c r="BK689" s="27" t="str">
        <f t="shared" si="306"/>
        <v/>
      </c>
      <c r="BL689" s="27" t="str">
        <f t="shared" si="307"/>
        <v/>
      </c>
      <c r="BM689" s="21" t="s">
        <v>5581</v>
      </c>
    </row>
    <row r="690" spans="1:65" ht="15">
      <c r="A690" s="25" t="str">
        <f>IFERROR(INDEX('Hun Demand'!W:W,MATCH(O690,'Hun Demand'!A:A,0)),"")</f>
        <v/>
      </c>
      <c r="B690" s="25" t="str">
        <f>IFERROR(INDEX('Hun Demand'!V:V,MATCH(O690,'Hun Demand'!A:A,0)),"")</f>
        <v/>
      </c>
      <c r="C690" s="25" t="str">
        <f>IFERROR(INDEX('Hun Demand'!U:U,MATCH(O690,'Hun Demand'!A:A,0)),"")</f>
        <v/>
      </c>
      <c r="D690" s="25" t="str">
        <f>IFERROR(INDEX('Hun Demand'!T:T,MATCH(O690,'Hun Demand'!A:A,0)),"")</f>
        <v/>
      </c>
      <c r="E690" s="25" t="str">
        <f>IFERROR(INDEX('Hun Demand'!S:S,MATCH(O690,'Hun Demand'!A:A,0)),"")</f>
        <v/>
      </c>
      <c r="F690" s="25" t="str">
        <f>IFERROR(INDEX('Hun Demand'!R:R,MATCH(O690,'Hun Demand'!A:A,0)),"")</f>
        <v/>
      </c>
      <c r="G690" s="25">
        <f>IFERROR(INDEX('Aub Demand'!W:W,MATCH(O690,'Aub Demand'!A:A,0)),"")</f>
        <v>0</v>
      </c>
      <c r="H690" s="25">
        <f>IFERROR(INDEX('Aub Demand'!V:V,MATCH(O690,'Aub Demand'!A:A,0)),"")</f>
        <v>62</v>
      </c>
      <c r="I690" s="25">
        <f>IFERROR(INDEX('Aub Demand'!U:U,MATCH(O690,'Aub Demand'!A:A,0)),"")</f>
        <v>27</v>
      </c>
      <c r="J690" s="25">
        <f>IFERROR(INDEX('Aub Demand'!T:T,MATCH(O690,'Aub Demand'!A:A,0)),"")</f>
        <v>65</v>
      </c>
      <c r="K690" s="25">
        <f>IFERROR(INDEX('Aub Demand'!S:S,MATCH(O690,'Aub Demand'!A:A,0)),"")</f>
        <v>57</v>
      </c>
      <c r="L690" s="25">
        <f>IFERROR(INDEX('Aub Demand'!R:R,MATCH(O690,'Aub Demand'!A:A,0)),"")</f>
        <v>0</v>
      </c>
      <c r="O690" s="27" t="s">
        <v>1152</v>
      </c>
      <c r="P690" s="27" t="str">
        <f>IFERROR(INDEX('Aub Demand'!B:B,MATCH($O690,'Aub Demand'!$A:$A,0)),"")</f>
        <v>MG HIMALAYA WHITE</v>
      </c>
      <c r="Q690" s="27" t="str">
        <f>IFERROR(INDEX('Aub Demand'!C:C,MATCH($O690,'Aub Demand'!$A:$A,0)),"")</f>
        <v>IND.</v>
      </c>
      <c r="R690" s="52">
        <f>IFERROR(IF(AR691=AR690,INDEX('Aub Demand'!K:K,MATCH($O690,'Aub Demand'!$A:$A,0))-IF(AN690="",0,AN690)+AP691,INDEX('Aub Demand'!K:K,MATCH($O690,'Aub Demand'!$A:$A,0))-IF(AN690="",0,AN690)),"")</f>
        <v>1665</v>
      </c>
      <c r="S690" s="53">
        <f t="shared" si="280"/>
        <v>142.69999999999999</v>
      </c>
      <c r="T690" s="52" t="str">
        <f t="shared" si="281"/>
        <v/>
      </c>
      <c r="U690" s="52">
        <f>IFERROR(IF(AR691=AR690,INDEX('Aub Demand'!Q:Q,MATCH($O690,'Aub Demand'!$A:$A,0))-IF(AN690="",0,AN690)+AP691,INDEX('Aub Demand'!Q:Q,MATCH($O690,'Aub Demand'!$A:$A,0))-IF(AN690="",0,AN690)),"")</f>
        <v>1645</v>
      </c>
      <c r="V690" s="53">
        <f t="shared" si="282"/>
        <v>141</v>
      </c>
      <c r="W690" s="52" t="str">
        <f t="shared" si="283"/>
        <v/>
      </c>
      <c r="X690" s="52">
        <f>IFERROR(IF(AND(AR691=AR690,AM690&lt;&gt;""),INDEX('Aub Demand'!Q:Q,MATCH($O690,'Aub Demand'!$A:$A,0))-IF(AN690="",0,AN690)+AP691+AD690+AL690,IF(AR691=AR690,INDEX('Aub Demand'!Q:Q,MATCH($O690,'Aub Demand'!$A:$A,0))-IF(AN690="",0,AN690)+AP691+AD690,IF(AM690&lt;&gt;"",INDEX('Aub Demand'!Q:Q,MATCH($O690,'Aub Demand'!$A:$A,0))-IF(AN690="",0,AN690)+AD690+AL690,INDEX('Aub Demand'!Q:Q,MATCH($O690,'Aub Demand'!$A:$A,0))-IF(AN690="",0,AN690)+AD690))),"")</f>
        <v>1645</v>
      </c>
      <c r="Y690" s="53">
        <f t="shared" si="284"/>
        <v>141</v>
      </c>
      <c r="Z690" s="52">
        <f>IF(L690="","",INDEX('Aub Demand'!H:H,MATCH($O690,'Aub Demand'!$A:$A,0)))</f>
        <v>50</v>
      </c>
      <c r="AA690" s="52">
        <f t="shared" si="285"/>
        <v>61</v>
      </c>
      <c r="AB690" s="52">
        <f>IFERROR(INDEX('Aub Demand'!L:L,MATCH($O690,'Aub Demand'!$A:$A,0)),"")</f>
        <v>31</v>
      </c>
      <c r="AC690" s="52">
        <f>IFERROR(IF(O690="","",SUMIFS('CPL Mats'!F:F,'CPL Mats'!Q:Q,AR690,'CPL Mats'!S:S,AS690)),"")</f>
        <v>0</v>
      </c>
      <c r="AF690" s="25" t="str">
        <f>IF(SUMIFS('Supp Consol'!S:S,'Supp Consol'!Y:Y,"Releasable",'Supp Consol'!A:A,O690)=0,"",SUMIFS('Supp Consol'!S:S,'Supp Consol'!Y:Y,"Releasable",'Supp Consol'!A:A,O690))</f>
        <v/>
      </c>
      <c r="AG690" s="25" t="str">
        <f>IFERROR(INDEX('Hun Demand'!Q:Q,MATCH(O690,'Hun Demand'!A:A,0)),"")</f>
        <v/>
      </c>
      <c r="AH690" s="25" t="str">
        <f>IFERROR(INDEX('Hun Demand'!H:H,MATCH($O690,'Hun Demand'!$A:$A,0)),"")</f>
        <v/>
      </c>
      <c r="AI690" s="25" t="str">
        <f>IF(SUMIFS('Supp Consol'!AA:AA,'Supp Consol'!Z:Z,"Expires this month",'Supp Consol'!A:A,O690)=0,"",SUMIFS('Supp Consol'!AA:AA,'Supp Consol'!Z:Z,"Expires this month",'Supp Consol'!A:A,O690))</f>
        <v/>
      </c>
      <c r="AJ690" s="25" t="str">
        <f>IF(SUMIFS('Supp Consol'!AA:AA,'Supp Consol'!Z:Z,"Expired Previous Months",'Supp Consol'!A:A,O690)=0,"",SUMIFS('Supp Consol'!AA:AA,'Supp Consol'!Z:Z,"Expired Previous Months",'Supp Consol'!A:A,O690))</f>
        <v/>
      </c>
      <c r="AK690" s="25" t="str">
        <f>IFERROR(INDEX('Hun Release Current'!B:B,MATCH(O690,'Hun Release Current'!A:A,0)),"")</f>
        <v/>
      </c>
      <c r="AL690" s="25" t="str">
        <f>IF(SUMIF('Prev Aub'!A:A,O690,'Prev Aub'!B:B)=0,"",SUMIF('Prev Aub'!A:A,O690,'Prev Aub'!B:B))</f>
        <v/>
      </c>
      <c r="AN690" s="25" t="s">
        <v>3790</v>
      </c>
      <c r="AO690" s="25" t="s">
        <v>3790</v>
      </c>
      <c r="AP690" s="25">
        <f t="shared" si="286"/>
        <v>0</v>
      </c>
      <c r="AQ690" s="151" t="str">
        <f>IF(SUMIFS('Supp Consol'!S:S,'Supp Consol'!A:A,O690,'Supp Consol'!I:I,"PENDING")=0,"",SUMIFS('Supp Consol'!S:S,'Supp Consol'!A:A,O690,'Supp Consol'!I:I,"PENDING"))</f>
        <v/>
      </c>
      <c r="AR690" s="27" t="str">
        <f t="shared" si="287"/>
        <v>KM064</v>
      </c>
      <c r="AS690" s="27" t="str">
        <f t="shared" si="288"/>
        <v>62</v>
      </c>
      <c r="AT690" s="27" t="str">
        <f t="shared" si="289"/>
        <v/>
      </c>
      <c r="AU690" s="27" t="str">
        <f t="shared" si="290"/>
        <v/>
      </c>
      <c r="AV690" s="27" t="str">
        <f t="shared" si="291"/>
        <v/>
      </c>
      <c r="AW690" s="27" t="str">
        <f t="shared" si="292"/>
        <v/>
      </c>
      <c r="AX690" s="27" t="str">
        <f t="shared" si="293"/>
        <v/>
      </c>
      <c r="AY690" s="27" t="str">
        <f t="shared" si="294"/>
        <v/>
      </c>
      <c r="AZ690" s="27" t="str">
        <f t="shared" si="295"/>
        <v/>
      </c>
      <c r="BA690" s="27" t="str">
        <f t="shared" si="296"/>
        <v/>
      </c>
      <c r="BB690" s="27" t="str">
        <f t="shared" si="297"/>
        <v/>
      </c>
      <c r="BC690" s="27" t="str">
        <f t="shared" si="298"/>
        <v/>
      </c>
      <c r="BD690" s="27" t="str">
        <f t="shared" si="299"/>
        <v/>
      </c>
      <c r="BE690" s="27" t="str">
        <f t="shared" si="300"/>
        <v/>
      </c>
      <c r="BF690" s="27" t="str">
        <f t="shared" si="301"/>
        <v/>
      </c>
      <c r="BG690" s="27" t="str">
        <f t="shared" si="302"/>
        <v/>
      </c>
      <c r="BH690" s="27" t="str">
        <f t="shared" si="303"/>
        <v/>
      </c>
      <c r="BI690" s="27" t="str">
        <f t="shared" si="304"/>
        <v/>
      </c>
      <c r="BJ690" s="27" t="str">
        <f t="shared" si="305"/>
        <v/>
      </c>
      <c r="BK690" s="27" t="str">
        <f t="shared" si="306"/>
        <v/>
      </c>
      <c r="BL690" s="27" t="str">
        <f t="shared" si="307"/>
        <v/>
      </c>
      <c r="BM690" s="21" t="s">
        <v>5581</v>
      </c>
    </row>
    <row r="691" spans="1:65" ht="15">
      <c r="A691" s="25" t="str">
        <f>IFERROR(INDEX('Hun Demand'!W:W,MATCH(O691,'Hun Demand'!A:A,0)),"")</f>
        <v/>
      </c>
      <c r="B691" s="25" t="str">
        <f>IFERROR(INDEX('Hun Demand'!V:V,MATCH(O691,'Hun Demand'!A:A,0)),"")</f>
        <v/>
      </c>
      <c r="C691" s="25" t="str">
        <f>IFERROR(INDEX('Hun Demand'!U:U,MATCH(O691,'Hun Demand'!A:A,0)),"")</f>
        <v/>
      </c>
      <c r="D691" s="25" t="str">
        <f>IFERROR(INDEX('Hun Demand'!T:T,MATCH(O691,'Hun Demand'!A:A,0)),"")</f>
        <v/>
      </c>
      <c r="E691" s="25" t="str">
        <f>IFERROR(INDEX('Hun Demand'!S:S,MATCH(O691,'Hun Demand'!A:A,0)),"")</f>
        <v/>
      </c>
      <c r="F691" s="25" t="str">
        <f>IFERROR(INDEX('Hun Demand'!R:R,MATCH(O691,'Hun Demand'!A:A,0)),"")</f>
        <v/>
      </c>
      <c r="G691" s="25">
        <f>IFERROR(INDEX('Aub Demand'!W:W,MATCH(O691,'Aub Demand'!A:A,0)),"")</f>
        <v>324</v>
      </c>
      <c r="H691" s="25">
        <f>IFERROR(INDEX('Aub Demand'!V:V,MATCH(O691,'Aub Demand'!A:A,0)),"")</f>
        <v>46</v>
      </c>
      <c r="I691" s="25">
        <f>IFERROR(INDEX('Aub Demand'!U:U,MATCH(O691,'Aub Demand'!A:A,0)),"")</f>
        <v>54</v>
      </c>
      <c r="J691" s="25">
        <f>IFERROR(INDEX('Aub Demand'!T:T,MATCH(O691,'Aub Demand'!A:A,0)),"")</f>
        <v>0</v>
      </c>
      <c r="K691" s="25">
        <f>IFERROR(INDEX('Aub Demand'!S:S,MATCH(O691,'Aub Demand'!A:A,0)),"")</f>
        <v>0</v>
      </c>
      <c r="L691" s="25">
        <f>IFERROR(INDEX('Aub Demand'!R:R,MATCH(O691,'Aub Demand'!A:A,0)),"")</f>
        <v>0</v>
      </c>
      <c r="O691" s="27" t="s">
        <v>1153</v>
      </c>
      <c r="P691" s="27" t="str">
        <f>IFERROR(INDEX('Aub Demand'!B:B,MATCH($O691,'Aub Demand'!$A:$A,0)),"")</f>
        <v>MG ALMOND</v>
      </c>
      <c r="Q691" s="27" t="str">
        <f>IFERROR(INDEX('Aub Demand'!C:C,MATCH($O691,'Aub Demand'!$A:$A,0)),"")</f>
        <v>ONYX</v>
      </c>
      <c r="R691" s="52">
        <f>IFERROR(IF(AR692=AR691,INDEX('Aub Demand'!K:K,MATCH($O691,'Aub Demand'!$A:$A,0))-IF(AN691="",0,AN691)+AP692,INDEX('Aub Demand'!K:K,MATCH($O691,'Aub Demand'!$A:$A,0))-IF(AN691="",0,AN691)),"")</f>
        <v>1422</v>
      </c>
      <c r="S691" s="53">
        <f t="shared" si="280"/>
        <v>338.6</v>
      </c>
      <c r="T691" s="52" t="str">
        <f t="shared" si="281"/>
        <v/>
      </c>
      <c r="U691" s="52">
        <f>IFERROR(IF(AR692=AR691,INDEX('Aub Demand'!Q:Q,MATCH($O691,'Aub Demand'!$A:$A,0))-IF(AN691="",0,AN691)+AP692,INDEX('Aub Demand'!Q:Q,MATCH($O691,'Aub Demand'!$A:$A,0))-IF(AN691="",0,AN691)),"")</f>
        <v>1422</v>
      </c>
      <c r="V691" s="53">
        <f t="shared" si="282"/>
        <v>338.6</v>
      </c>
      <c r="W691" s="52" t="str">
        <f t="shared" si="283"/>
        <v/>
      </c>
      <c r="X691" s="52">
        <f>IFERROR(IF(AND(AR692=AR691,AM691&lt;&gt;""),INDEX('Aub Demand'!Q:Q,MATCH($O691,'Aub Demand'!$A:$A,0))-IF(AN691="",0,AN691)+AP692+AD691+AL691,IF(AR692=AR691,INDEX('Aub Demand'!Q:Q,MATCH($O691,'Aub Demand'!$A:$A,0))-IF(AN691="",0,AN691)+AP692+AD691,IF(AM691&lt;&gt;"",INDEX('Aub Demand'!Q:Q,MATCH($O691,'Aub Demand'!$A:$A,0))-IF(AN691="",0,AN691)+AD691+AL691,INDEX('Aub Demand'!Q:Q,MATCH($O691,'Aub Demand'!$A:$A,0))-IF(AN691="",0,AN691)+AD691))),"")</f>
        <v>1422</v>
      </c>
      <c r="Y691" s="53">
        <f t="shared" si="284"/>
        <v>338.6</v>
      </c>
      <c r="Z691" s="52">
        <f>IF(L691="","",INDEX('Aub Demand'!H:H,MATCH($O691,'Aub Demand'!$A:$A,0)))</f>
        <v>18</v>
      </c>
      <c r="AA691" s="52" t="str">
        <f t="shared" si="285"/>
        <v>-spike-</v>
      </c>
      <c r="AB691" s="52">
        <f>IFERROR(INDEX('Aub Demand'!L:L,MATCH($O691,'Aub Demand'!$A:$A,0)),"")</f>
        <v>35</v>
      </c>
      <c r="AC691" s="52">
        <f>IFERROR(IF(O691="","",SUMIFS('CPL Mats'!F:F,'CPL Mats'!Q:Q,AR691,'CPL Mats'!S:S,AS691)),"")</f>
        <v>0</v>
      </c>
      <c r="AF691" s="25" t="str">
        <f>IF(SUMIFS('Supp Consol'!S:S,'Supp Consol'!Y:Y,"Releasable",'Supp Consol'!A:A,O691)=0,"",SUMIFS('Supp Consol'!S:S,'Supp Consol'!Y:Y,"Releasable",'Supp Consol'!A:A,O691))</f>
        <v/>
      </c>
      <c r="AG691" s="25" t="str">
        <f>IFERROR(INDEX('Hun Demand'!Q:Q,MATCH(O691,'Hun Demand'!A:A,0)),"")</f>
        <v/>
      </c>
      <c r="AH691" s="25" t="str">
        <f>IFERROR(INDEX('Hun Demand'!H:H,MATCH($O691,'Hun Demand'!$A:$A,0)),"")</f>
        <v/>
      </c>
      <c r="AI691" s="25" t="str">
        <f>IF(SUMIFS('Supp Consol'!AA:AA,'Supp Consol'!Z:Z,"Expires this month",'Supp Consol'!A:A,O691)=0,"",SUMIFS('Supp Consol'!AA:AA,'Supp Consol'!Z:Z,"Expires this month",'Supp Consol'!A:A,O691))</f>
        <v/>
      </c>
      <c r="AJ691" s="25" t="str">
        <f>IF(SUMIFS('Supp Consol'!AA:AA,'Supp Consol'!Z:Z,"Expired Previous Months",'Supp Consol'!A:A,O691)=0,"",SUMIFS('Supp Consol'!AA:AA,'Supp Consol'!Z:Z,"Expired Previous Months",'Supp Consol'!A:A,O691))</f>
        <v/>
      </c>
      <c r="AK691" s="25" t="str">
        <f>IFERROR(INDEX('Hun Release Current'!B:B,MATCH(O691,'Hun Release Current'!A:A,0)),"")</f>
        <v/>
      </c>
      <c r="AL691" s="25" t="str">
        <f>IF(SUMIF('Prev Aub'!A:A,O691,'Prev Aub'!B:B)=0,"",SUMIF('Prev Aub'!A:A,O691,'Prev Aub'!B:B))</f>
        <v/>
      </c>
      <c r="AN691" s="25" t="s">
        <v>3790</v>
      </c>
      <c r="AO691" s="25" t="s">
        <v>3790</v>
      </c>
      <c r="AP691" s="25">
        <f t="shared" si="286"/>
        <v>0</v>
      </c>
      <c r="AQ691" s="151" t="str">
        <f>IF(SUMIFS('Supp Consol'!S:S,'Supp Consol'!A:A,O691,'Supp Consol'!I:I,"PENDING")=0,"",SUMIFS('Supp Consol'!S:S,'Supp Consol'!A:A,O691,'Supp Consol'!I:I,"PENDING"))</f>
        <v/>
      </c>
      <c r="AR691" s="27" t="str">
        <f t="shared" si="287"/>
        <v>KM068</v>
      </c>
      <c r="AS691" s="27" t="str">
        <f t="shared" si="288"/>
        <v>50</v>
      </c>
      <c r="AT691" s="27" t="str">
        <f t="shared" si="289"/>
        <v/>
      </c>
      <c r="AU691" s="27" t="str">
        <f t="shared" si="290"/>
        <v/>
      </c>
      <c r="AV691" s="27" t="str">
        <f t="shared" si="291"/>
        <v/>
      </c>
      <c r="AW691" s="27" t="str">
        <f t="shared" si="292"/>
        <v/>
      </c>
      <c r="AX691" s="27" t="str">
        <f t="shared" si="293"/>
        <v/>
      </c>
      <c r="AY691" s="27" t="str">
        <f t="shared" si="294"/>
        <v/>
      </c>
      <c r="AZ691" s="27" t="str">
        <f t="shared" si="295"/>
        <v/>
      </c>
      <c r="BA691" s="27" t="str">
        <f t="shared" si="296"/>
        <v/>
      </c>
      <c r="BB691" s="27" t="str">
        <f t="shared" si="297"/>
        <v/>
      </c>
      <c r="BC691" s="27" t="str">
        <f t="shared" si="298"/>
        <v/>
      </c>
      <c r="BD691" s="27" t="str">
        <f t="shared" si="299"/>
        <v/>
      </c>
      <c r="BE691" s="27" t="str">
        <f t="shared" si="300"/>
        <v/>
      </c>
      <c r="BF691" s="27" t="str">
        <f t="shared" si="301"/>
        <v/>
      </c>
      <c r="BG691" s="27" t="str">
        <f t="shared" si="302"/>
        <v/>
      </c>
      <c r="BH691" s="27" t="str">
        <f t="shared" si="303"/>
        <v/>
      </c>
      <c r="BI691" s="27" t="str">
        <f t="shared" si="304"/>
        <v/>
      </c>
      <c r="BJ691" s="27" t="str">
        <f t="shared" si="305"/>
        <v/>
      </c>
      <c r="BK691" s="27" t="str">
        <f t="shared" si="306"/>
        <v/>
      </c>
      <c r="BL691" s="27" t="str">
        <f t="shared" si="307"/>
        <v/>
      </c>
      <c r="BM691" s="21" t="s">
        <v>5581</v>
      </c>
    </row>
    <row r="692" spans="1:65" ht="15">
      <c r="A692" s="25" t="str">
        <f>IFERROR(INDEX('Hun Demand'!W:W,MATCH(O692,'Hun Demand'!A:A,0)),"")</f>
        <v/>
      </c>
      <c r="B692" s="25" t="str">
        <f>IFERROR(INDEX('Hun Demand'!V:V,MATCH(O692,'Hun Demand'!A:A,0)),"")</f>
        <v/>
      </c>
      <c r="C692" s="25" t="str">
        <f>IFERROR(INDEX('Hun Demand'!U:U,MATCH(O692,'Hun Demand'!A:A,0)),"")</f>
        <v/>
      </c>
      <c r="D692" s="25" t="str">
        <f>IFERROR(INDEX('Hun Demand'!T:T,MATCH(O692,'Hun Demand'!A:A,0)),"")</f>
        <v/>
      </c>
      <c r="E692" s="25" t="str">
        <f>IFERROR(INDEX('Hun Demand'!S:S,MATCH(O692,'Hun Demand'!A:A,0)),"")</f>
        <v/>
      </c>
      <c r="F692" s="25" t="str">
        <f>IFERROR(INDEX('Hun Demand'!R:R,MATCH(O692,'Hun Demand'!A:A,0)),"")</f>
        <v/>
      </c>
      <c r="G692" s="25">
        <f>IFERROR(INDEX('Aub Demand'!W:W,MATCH(O692,'Aub Demand'!A:A,0)),"")</f>
        <v>0</v>
      </c>
      <c r="H692" s="25">
        <f>IFERROR(INDEX('Aub Demand'!V:V,MATCH(O692,'Aub Demand'!A:A,0)),"")</f>
        <v>0</v>
      </c>
      <c r="I692" s="25">
        <f>IFERROR(INDEX('Aub Demand'!U:U,MATCH(O692,'Aub Demand'!A:A,0)),"")</f>
        <v>0</v>
      </c>
      <c r="J692" s="25">
        <f>IFERROR(INDEX('Aub Demand'!T:T,MATCH(O692,'Aub Demand'!A:A,0)),"")</f>
        <v>0</v>
      </c>
      <c r="K692" s="25">
        <f>IFERROR(INDEX('Aub Demand'!S:S,MATCH(O692,'Aub Demand'!A:A,0)),"")</f>
        <v>0</v>
      </c>
      <c r="L692" s="25">
        <f>IFERROR(INDEX('Aub Demand'!R:R,MATCH(O692,'Aub Demand'!A:A,0)),"")</f>
        <v>0</v>
      </c>
      <c r="O692" s="27" t="s">
        <v>1155</v>
      </c>
      <c r="P692" s="27" t="str">
        <f>IFERROR(INDEX('Aub Demand'!B:B,MATCH($O692,'Aub Demand'!$A:$A,0)),"")</f>
        <v>MG ALMOND</v>
      </c>
      <c r="Q692" s="27" t="str">
        <f>IFERROR(INDEX('Aub Demand'!C:C,MATCH($O692,'Aub Demand'!$A:$A,0)),"")</f>
        <v>ONYX</v>
      </c>
      <c r="R692" s="52">
        <f>IFERROR(IF(AR693=AR692,INDEX('Aub Demand'!K:K,MATCH($O692,'Aub Demand'!$A:$A,0))-IF(AN692="",0,AN692)+AP693,INDEX('Aub Demand'!K:K,MATCH($O692,'Aub Demand'!$A:$A,0))-IF(AN692="",0,AN692)),"")</f>
        <v>1373</v>
      </c>
      <c r="S692" s="53" t="str">
        <f t="shared" si="280"/>
        <v>n/a</v>
      </c>
      <c r="T692" s="52" t="str">
        <f t="shared" si="281"/>
        <v/>
      </c>
      <c r="U692" s="52">
        <f>IFERROR(IF(AR693=AR692,INDEX('Aub Demand'!Q:Q,MATCH($O692,'Aub Demand'!$A:$A,0))-IF(AN692="",0,AN692)+AP693,INDEX('Aub Demand'!Q:Q,MATCH($O692,'Aub Demand'!$A:$A,0))-IF(AN692="",0,AN692)),"")</f>
        <v>1373</v>
      </c>
      <c r="V692" s="53" t="str">
        <f t="shared" si="282"/>
        <v>n/a</v>
      </c>
      <c r="W692" s="52" t="str">
        <f t="shared" si="283"/>
        <v/>
      </c>
      <c r="X692" s="52">
        <f>IFERROR(IF(AND(AR693=AR692,AM692&lt;&gt;""),INDEX('Aub Demand'!Q:Q,MATCH($O692,'Aub Demand'!$A:$A,0))-IF(AN692="",0,AN692)+AP693+AD692+AL692,IF(AR693=AR692,INDEX('Aub Demand'!Q:Q,MATCH($O692,'Aub Demand'!$A:$A,0))-IF(AN692="",0,AN692)+AP693+AD692,IF(AM692&lt;&gt;"",INDEX('Aub Demand'!Q:Q,MATCH($O692,'Aub Demand'!$A:$A,0))-IF(AN692="",0,AN692)+AD692+AL692,INDEX('Aub Demand'!Q:Q,MATCH($O692,'Aub Demand'!$A:$A,0))-IF(AN692="",0,AN692)+AD692))),"")</f>
        <v>1373</v>
      </c>
      <c r="Y692" s="53" t="str">
        <f t="shared" si="284"/>
        <v>n/a</v>
      </c>
      <c r="Z692" s="52">
        <f>IF(L692="","",INDEX('Aub Demand'!H:H,MATCH($O692,'Aub Demand'!$A:$A,0)))</f>
        <v>0</v>
      </c>
      <c r="AA692" s="52" t="str">
        <f t="shared" si="285"/>
        <v>-spike-</v>
      </c>
      <c r="AB692" s="52">
        <f>IFERROR(INDEX('Aub Demand'!L:L,MATCH($O692,'Aub Demand'!$A:$A,0)),"")</f>
        <v>0</v>
      </c>
      <c r="AC692" s="52">
        <f>IFERROR(IF(O692="","",SUMIFS('CPL Mats'!F:F,'CPL Mats'!Q:Q,AR692,'CPL Mats'!S:S,AS692)),"")</f>
        <v>0</v>
      </c>
      <c r="AF692" s="25" t="str">
        <f>IF(SUMIFS('Supp Consol'!S:S,'Supp Consol'!Y:Y,"Releasable",'Supp Consol'!A:A,O692)=0,"",SUMIFS('Supp Consol'!S:S,'Supp Consol'!Y:Y,"Releasable",'Supp Consol'!A:A,O692))</f>
        <v/>
      </c>
      <c r="AG692" s="25" t="str">
        <f>IFERROR(INDEX('Hun Demand'!Q:Q,MATCH(O692,'Hun Demand'!A:A,0)),"")</f>
        <v/>
      </c>
      <c r="AH692" s="25" t="str">
        <f>IFERROR(INDEX('Hun Demand'!H:H,MATCH($O692,'Hun Demand'!$A:$A,0)),"")</f>
        <v/>
      </c>
      <c r="AI692" s="25" t="str">
        <f>IF(SUMIFS('Supp Consol'!AA:AA,'Supp Consol'!Z:Z,"Expires this month",'Supp Consol'!A:A,O692)=0,"",SUMIFS('Supp Consol'!AA:AA,'Supp Consol'!Z:Z,"Expires this month",'Supp Consol'!A:A,O692))</f>
        <v/>
      </c>
      <c r="AJ692" s="25" t="str">
        <f>IF(SUMIFS('Supp Consol'!AA:AA,'Supp Consol'!Z:Z,"Expired Previous Months",'Supp Consol'!A:A,O692)=0,"",SUMIFS('Supp Consol'!AA:AA,'Supp Consol'!Z:Z,"Expired Previous Months",'Supp Consol'!A:A,O692))</f>
        <v/>
      </c>
      <c r="AK692" s="25" t="str">
        <f>IFERROR(INDEX('Hun Release Current'!B:B,MATCH(O692,'Hun Release Current'!A:A,0)),"")</f>
        <v/>
      </c>
      <c r="AL692" s="25" t="str">
        <f>IF(SUMIF('Prev Aub'!A:A,O692,'Prev Aub'!B:B)=0,"",SUMIF('Prev Aub'!A:A,O692,'Prev Aub'!B:B))</f>
        <v/>
      </c>
      <c r="AN692" s="25" t="s">
        <v>3790</v>
      </c>
      <c r="AO692" s="25" t="s">
        <v>3790</v>
      </c>
      <c r="AP692" s="25">
        <f t="shared" si="286"/>
        <v>0</v>
      </c>
      <c r="AQ692" s="151" t="str">
        <f>IF(SUMIFS('Supp Consol'!S:S,'Supp Consol'!A:A,O692,'Supp Consol'!I:I,"PENDING")=0,"",SUMIFS('Supp Consol'!S:S,'Supp Consol'!A:A,O692,'Supp Consol'!I:I,"PENDING"))</f>
        <v/>
      </c>
      <c r="AR692" s="27" t="str">
        <f t="shared" si="287"/>
        <v>KM068</v>
      </c>
      <c r="AS692" s="27" t="str">
        <f t="shared" si="288"/>
        <v>62</v>
      </c>
      <c r="AT692" s="27" t="str">
        <f t="shared" si="289"/>
        <v/>
      </c>
      <c r="AU692" s="27" t="str">
        <f t="shared" si="290"/>
        <v/>
      </c>
      <c r="AV692" s="27" t="str">
        <f t="shared" si="291"/>
        <v/>
      </c>
      <c r="AW692" s="27" t="str">
        <f t="shared" si="292"/>
        <v/>
      </c>
      <c r="AX692" s="27" t="str">
        <f t="shared" si="293"/>
        <v/>
      </c>
      <c r="AY692" s="27" t="str">
        <f t="shared" si="294"/>
        <v/>
      </c>
      <c r="AZ692" s="27" t="str">
        <f t="shared" si="295"/>
        <v/>
      </c>
      <c r="BA692" s="27" t="str">
        <f t="shared" si="296"/>
        <v/>
      </c>
      <c r="BB692" s="27" t="str">
        <f t="shared" si="297"/>
        <v/>
      </c>
      <c r="BC692" s="27" t="str">
        <f t="shared" si="298"/>
        <v/>
      </c>
      <c r="BD692" s="27" t="str">
        <f t="shared" si="299"/>
        <v/>
      </c>
      <c r="BE692" s="27" t="str">
        <f t="shared" si="300"/>
        <v/>
      </c>
      <c r="BF692" s="27" t="str">
        <f t="shared" si="301"/>
        <v/>
      </c>
      <c r="BG692" s="27" t="str">
        <f t="shared" si="302"/>
        <v/>
      </c>
      <c r="BH692" s="27" t="str">
        <f t="shared" si="303"/>
        <v/>
      </c>
      <c r="BI692" s="27" t="str">
        <f t="shared" si="304"/>
        <v/>
      </c>
      <c r="BJ692" s="27" t="str">
        <f t="shared" si="305"/>
        <v/>
      </c>
      <c r="BK692" s="27" t="str">
        <f t="shared" si="306"/>
        <v/>
      </c>
      <c r="BL692" s="27" t="str">
        <f t="shared" si="307"/>
        <v/>
      </c>
      <c r="BM692" s="21" t="s">
        <v>5581</v>
      </c>
    </row>
    <row r="693" spans="1:65" ht="15">
      <c r="A693" s="25" t="str">
        <f>IFERROR(INDEX('Hun Demand'!W:W,MATCH(O693,'Hun Demand'!A:A,0)),"")</f>
        <v/>
      </c>
      <c r="B693" s="25" t="str">
        <f>IFERROR(INDEX('Hun Demand'!V:V,MATCH(O693,'Hun Demand'!A:A,0)),"")</f>
        <v/>
      </c>
      <c r="C693" s="25" t="str">
        <f>IFERROR(INDEX('Hun Demand'!U:U,MATCH(O693,'Hun Demand'!A:A,0)),"")</f>
        <v/>
      </c>
      <c r="D693" s="25" t="str">
        <f>IFERROR(INDEX('Hun Demand'!T:T,MATCH(O693,'Hun Demand'!A:A,0)),"")</f>
        <v/>
      </c>
      <c r="E693" s="25" t="str">
        <f>IFERROR(INDEX('Hun Demand'!S:S,MATCH(O693,'Hun Demand'!A:A,0)),"")</f>
        <v/>
      </c>
      <c r="F693" s="25" t="str">
        <f>IFERROR(INDEX('Hun Demand'!R:R,MATCH(O693,'Hun Demand'!A:A,0)),"")</f>
        <v/>
      </c>
      <c r="G693" s="25">
        <f>IFERROR(INDEX('Aub Demand'!W:W,MATCH(O693,'Aub Demand'!A:A,0)),"")</f>
        <v>0</v>
      </c>
      <c r="H693" s="25">
        <f>IFERROR(INDEX('Aub Demand'!V:V,MATCH(O693,'Aub Demand'!A:A,0)),"")</f>
        <v>0</v>
      </c>
      <c r="I693" s="25">
        <f>IFERROR(INDEX('Aub Demand'!U:U,MATCH(O693,'Aub Demand'!A:A,0)),"")</f>
        <v>0</v>
      </c>
      <c r="J693" s="25">
        <f>IFERROR(INDEX('Aub Demand'!T:T,MATCH(O693,'Aub Demand'!A:A,0)),"")</f>
        <v>0</v>
      </c>
      <c r="K693" s="25">
        <f>IFERROR(INDEX('Aub Demand'!S:S,MATCH(O693,'Aub Demand'!A:A,0)),"")</f>
        <v>0</v>
      </c>
      <c r="L693" s="25">
        <f>IFERROR(INDEX('Aub Demand'!R:R,MATCH(O693,'Aub Demand'!A:A,0)),"")</f>
        <v>0</v>
      </c>
      <c r="O693" s="27" t="s">
        <v>3383</v>
      </c>
      <c r="P693" s="27" t="str">
        <f>IFERROR(INDEX('Aub Demand'!B:B,MATCH($O693,'Aub Demand'!$A:$A,0)),"")</f>
        <v>MOSCATTO</v>
      </c>
      <c r="Q693" s="27" t="str">
        <f>IFERROR(INDEX('Aub Demand'!C:C,MATCH($O693,'Aub Demand'!$A:$A,0)),"")</f>
        <v>FUNDE</v>
      </c>
      <c r="R693" s="52">
        <f>IFERROR(IF(AR694=AR693,INDEX('Aub Demand'!K:K,MATCH($O693,'Aub Demand'!$A:$A,0))-IF(AN693="",0,AN693)+AP694,INDEX('Aub Demand'!K:K,MATCH($O693,'Aub Demand'!$A:$A,0))-IF(AN693="",0,AN693)),"")</f>
        <v>120</v>
      </c>
      <c r="S693" s="53" t="str">
        <f t="shared" si="280"/>
        <v>n/a</v>
      </c>
      <c r="T693" s="52" t="str">
        <f t="shared" si="281"/>
        <v/>
      </c>
      <c r="U693" s="52">
        <f>IFERROR(IF(AR694=AR693,INDEX('Aub Demand'!Q:Q,MATCH($O693,'Aub Demand'!$A:$A,0))-IF(AN693="",0,AN693)+AP694,INDEX('Aub Demand'!Q:Q,MATCH($O693,'Aub Demand'!$A:$A,0))-IF(AN693="",0,AN693)),"")</f>
        <v>120</v>
      </c>
      <c r="V693" s="53" t="str">
        <f t="shared" si="282"/>
        <v>n/a</v>
      </c>
      <c r="W693" s="52" t="str">
        <f t="shared" si="283"/>
        <v/>
      </c>
      <c r="X693" s="52">
        <f>IFERROR(IF(AND(AR694=AR693,AM693&lt;&gt;""),INDEX('Aub Demand'!Q:Q,MATCH($O693,'Aub Demand'!$A:$A,0))-IF(AN693="",0,AN693)+AP694+AD693+AL693,IF(AR694=AR693,INDEX('Aub Demand'!Q:Q,MATCH($O693,'Aub Demand'!$A:$A,0))-IF(AN693="",0,AN693)+AP694+AD693,IF(AM693&lt;&gt;"",INDEX('Aub Demand'!Q:Q,MATCH($O693,'Aub Demand'!$A:$A,0))-IF(AN693="",0,AN693)+AD693+AL693,INDEX('Aub Demand'!Q:Q,MATCH($O693,'Aub Demand'!$A:$A,0))-IF(AN693="",0,AN693)+AD693))),"")</f>
        <v>120</v>
      </c>
      <c r="Y693" s="53" t="str">
        <f t="shared" si="284"/>
        <v>n/a</v>
      </c>
      <c r="Z693" s="52">
        <f>IF(L693="","",INDEX('Aub Demand'!H:H,MATCH($O693,'Aub Demand'!$A:$A,0)))</f>
        <v>0</v>
      </c>
      <c r="AA693" s="52" t="str">
        <f t="shared" si="285"/>
        <v>-spike-</v>
      </c>
      <c r="AB693" s="52">
        <f>IFERROR(INDEX('Aub Demand'!L:L,MATCH($O693,'Aub Demand'!$A:$A,0)),"")</f>
        <v>0</v>
      </c>
      <c r="AC693" s="52">
        <f>IFERROR(IF(O693="","",SUMIFS('CPL Mats'!F:F,'CPL Mats'!Q:Q,AR693,'CPL Mats'!S:S,AS693)),"")</f>
        <v>0</v>
      </c>
      <c r="AF693" s="25" t="str">
        <f>IF(SUMIFS('Supp Consol'!S:S,'Supp Consol'!Y:Y,"Releasable",'Supp Consol'!A:A,O693)=0,"",SUMIFS('Supp Consol'!S:S,'Supp Consol'!Y:Y,"Releasable",'Supp Consol'!A:A,O693))</f>
        <v/>
      </c>
      <c r="AG693" s="25" t="str">
        <f>IFERROR(INDEX('Hun Demand'!Q:Q,MATCH(O693,'Hun Demand'!A:A,0)),"")</f>
        <v/>
      </c>
      <c r="AH693" s="25" t="str">
        <f>IFERROR(INDEX('Hun Demand'!H:H,MATCH($O693,'Hun Demand'!$A:$A,0)),"")</f>
        <v/>
      </c>
      <c r="AI693" s="25" t="str">
        <f>IF(SUMIFS('Supp Consol'!AA:AA,'Supp Consol'!Z:Z,"Expires this month",'Supp Consol'!A:A,O693)=0,"",SUMIFS('Supp Consol'!AA:AA,'Supp Consol'!Z:Z,"Expires this month",'Supp Consol'!A:A,O693))</f>
        <v/>
      </c>
      <c r="AJ693" s="25" t="str">
        <f>IF(SUMIFS('Supp Consol'!AA:AA,'Supp Consol'!Z:Z,"Expired Previous Months",'Supp Consol'!A:A,O693)=0,"",SUMIFS('Supp Consol'!AA:AA,'Supp Consol'!Z:Z,"Expired Previous Months",'Supp Consol'!A:A,O693))</f>
        <v/>
      </c>
      <c r="AK693" s="25" t="str">
        <f>IFERROR(INDEX('Hun Release Current'!B:B,MATCH(O693,'Hun Release Current'!A:A,0)),"")</f>
        <v/>
      </c>
      <c r="AL693" s="25" t="str">
        <f>IF(SUMIF('Prev Aub'!A:A,O693,'Prev Aub'!B:B)=0,"",SUMIF('Prev Aub'!A:A,O693,'Prev Aub'!B:B))</f>
        <v/>
      </c>
      <c r="AN693" s="25" t="s">
        <v>3790</v>
      </c>
      <c r="AO693" s="25" t="s">
        <v>3790</v>
      </c>
      <c r="AP693" s="25">
        <f t="shared" si="286"/>
        <v>0</v>
      </c>
      <c r="AQ693" s="151" t="str">
        <f>IF(SUMIFS('Supp Consol'!S:S,'Supp Consol'!A:A,O693,'Supp Consol'!I:I,"PENDING")=0,"",SUMIFS('Supp Consol'!S:S,'Supp Consol'!A:A,O693,'Supp Consol'!I:I,"PENDING"))</f>
        <v/>
      </c>
      <c r="AR693" s="27" t="str">
        <f t="shared" si="287"/>
        <v>KM070</v>
      </c>
      <c r="AS693" s="27" t="str">
        <f t="shared" si="288"/>
        <v>50</v>
      </c>
      <c r="AT693" s="27" t="str">
        <f t="shared" si="289"/>
        <v/>
      </c>
      <c r="AU693" s="27" t="str">
        <f t="shared" si="290"/>
        <v/>
      </c>
      <c r="AV693" s="27" t="str">
        <f t="shared" si="291"/>
        <v/>
      </c>
      <c r="AW693" s="27" t="str">
        <f t="shared" si="292"/>
        <v/>
      </c>
      <c r="AX693" s="27" t="str">
        <f t="shared" si="293"/>
        <v/>
      </c>
      <c r="AY693" s="27" t="str">
        <f t="shared" si="294"/>
        <v/>
      </c>
      <c r="AZ693" s="27" t="str">
        <f t="shared" si="295"/>
        <v/>
      </c>
      <c r="BA693" s="27" t="str">
        <f t="shared" si="296"/>
        <v/>
      </c>
      <c r="BB693" s="27" t="str">
        <f t="shared" si="297"/>
        <v/>
      </c>
      <c r="BC693" s="27" t="str">
        <f t="shared" si="298"/>
        <v/>
      </c>
      <c r="BD693" s="27" t="str">
        <f t="shared" si="299"/>
        <v/>
      </c>
      <c r="BE693" s="27" t="str">
        <f t="shared" si="300"/>
        <v/>
      </c>
      <c r="BF693" s="27" t="str">
        <f t="shared" si="301"/>
        <v/>
      </c>
      <c r="BG693" s="27" t="str">
        <f t="shared" si="302"/>
        <v/>
      </c>
      <c r="BH693" s="27" t="str">
        <f t="shared" si="303"/>
        <v/>
      </c>
      <c r="BI693" s="27" t="str">
        <f t="shared" si="304"/>
        <v/>
      </c>
      <c r="BJ693" s="27" t="str">
        <f t="shared" si="305"/>
        <v/>
      </c>
      <c r="BK693" s="27" t="str">
        <f t="shared" si="306"/>
        <v/>
      </c>
      <c r="BL693" s="27" t="str">
        <f t="shared" si="307"/>
        <v/>
      </c>
      <c r="BM693" s="21" t="s">
        <v>3790</v>
      </c>
    </row>
    <row r="694" spans="1:65" ht="15">
      <c r="A694" s="25" t="str">
        <f>IFERROR(INDEX('Hun Demand'!W:W,MATCH(O694,'Hun Demand'!A:A,0)),"")</f>
        <v/>
      </c>
      <c r="B694" s="25" t="str">
        <f>IFERROR(INDEX('Hun Demand'!V:V,MATCH(O694,'Hun Demand'!A:A,0)),"")</f>
        <v/>
      </c>
      <c r="C694" s="25" t="str">
        <f>IFERROR(INDEX('Hun Demand'!U:U,MATCH(O694,'Hun Demand'!A:A,0)),"")</f>
        <v/>
      </c>
      <c r="D694" s="25" t="str">
        <f>IFERROR(INDEX('Hun Demand'!T:T,MATCH(O694,'Hun Demand'!A:A,0)),"")</f>
        <v/>
      </c>
      <c r="E694" s="25" t="str">
        <f>IFERROR(INDEX('Hun Demand'!S:S,MATCH(O694,'Hun Demand'!A:A,0)),"")</f>
        <v/>
      </c>
      <c r="F694" s="25" t="str">
        <f>IFERROR(INDEX('Hun Demand'!R:R,MATCH(O694,'Hun Demand'!A:A,0)),"")</f>
        <v/>
      </c>
      <c r="G694" s="25">
        <f>IFERROR(INDEX('Aub Demand'!W:W,MATCH(O694,'Aub Demand'!A:A,0)),"")</f>
        <v>105</v>
      </c>
      <c r="H694" s="25">
        <f>IFERROR(INDEX('Aub Demand'!V:V,MATCH(O694,'Aub Demand'!A:A,0)),"")</f>
        <v>24</v>
      </c>
      <c r="I694" s="25">
        <f>IFERROR(INDEX('Aub Demand'!U:U,MATCH(O694,'Aub Demand'!A:A,0)),"")</f>
        <v>0</v>
      </c>
      <c r="J694" s="25">
        <f>IFERROR(INDEX('Aub Demand'!T:T,MATCH(O694,'Aub Demand'!A:A,0)),"")</f>
        <v>0</v>
      </c>
      <c r="K694" s="25">
        <f>IFERROR(INDEX('Aub Demand'!S:S,MATCH(O694,'Aub Demand'!A:A,0)),"")</f>
        <v>0</v>
      </c>
      <c r="L694" s="25">
        <f>IFERROR(INDEX('Aub Demand'!R:R,MATCH(O694,'Aub Demand'!A:A,0)),"")</f>
        <v>0</v>
      </c>
      <c r="O694" s="27" t="s">
        <v>2234</v>
      </c>
      <c r="P694" s="27" t="str">
        <f>IFERROR(INDEX('Aub Demand'!B:B,MATCH($O694,'Aub Demand'!$A:$A,0)),"")</f>
        <v>BLACK LODESTONE 48"</v>
      </c>
      <c r="Q694" s="27" t="str">
        <f>IFERROR(INDEX('Aub Demand'!C:C,MATCH($O694,'Aub Demand'!$A:$A,0)),"")</f>
        <v>INTER</v>
      </c>
      <c r="R694" s="52">
        <f>IFERROR(IF(AR695=AR694,INDEX('Aub Demand'!K:K,MATCH($O694,'Aub Demand'!$A:$A,0))-IF(AN694="",0,AN694)+AP695,INDEX('Aub Demand'!K:K,MATCH($O694,'Aub Demand'!$A:$A,0))-IF(AN694="",0,AN694)),"")</f>
        <v>1061</v>
      </c>
      <c r="S694" s="53" t="str">
        <f t="shared" si="280"/>
        <v>n/a</v>
      </c>
      <c r="T694" s="52" t="str">
        <f t="shared" si="281"/>
        <v/>
      </c>
      <c r="U694" s="52">
        <f>IFERROR(IF(AR695=AR694,INDEX('Aub Demand'!Q:Q,MATCH($O694,'Aub Demand'!$A:$A,0))-IF(AN694="",0,AN694)+AP695,INDEX('Aub Demand'!Q:Q,MATCH($O694,'Aub Demand'!$A:$A,0))-IF(AN694="",0,AN694)),"")</f>
        <v>1061</v>
      </c>
      <c r="V694" s="53" t="str">
        <f t="shared" si="282"/>
        <v>n/a</v>
      </c>
      <c r="W694" s="52" t="str">
        <f t="shared" si="283"/>
        <v/>
      </c>
      <c r="X694" s="52">
        <f>IFERROR(IF(AND(AR695=AR694,AM694&lt;&gt;""),INDEX('Aub Demand'!Q:Q,MATCH($O694,'Aub Demand'!$A:$A,0))-IF(AN694="",0,AN694)+AP695+AD694+AL694,IF(AR695=AR694,INDEX('Aub Demand'!Q:Q,MATCH($O694,'Aub Demand'!$A:$A,0))-IF(AN694="",0,AN694)+AP695+AD694,IF(AM694&lt;&gt;"",INDEX('Aub Demand'!Q:Q,MATCH($O694,'Aub Demand'!$A:$A,0))-IF(AN694="",0,AN694)+AD694+AL694,INDEX('Aub Demand'!Q:Q,MATCH($O694,'Aub Demand'!$A:$A,0))-IF(AN694="",0,AN694)+AD694))),"")</f>
        <v>1061</v>
      </c>
      <c r="Y694" s="53" t="str">
        <f t="shared" si="284"/>
        <v>n/a</v>
      </c>
      <c r="Z694" s="52">
        <f>IF(L694="","",INDEX('Aub Demand'!H:H,MATCH($O694,'Aub Demand'!$A:$A,0)))</f>
        <v>0</v>
      </c>
      <c r="AA694" s="52" t="str">
        <f t="shared" si="285"/>
        <v>-spike-</v>
      </c>
      <c r="AB694" s="52">
        <f>IFERROR(INDEX('Aub Demand'!L:L,MATCH($O694,'Aub Demand'!$A:$A,0)),"")</f>
        <v>0</v>
      </c>
      <c r="AC694" s="52">
        <f>IFERROR(IF(O694="","",SUMIFS('CPL Mats'!F:F,'CPL Mats'!Q:Q,AR694,'CPL Mats'!S:S,AS694)),"")</f>
        <v>0</v>
      </c>
      <c r="AF694" s="25" t="str">
        <f>IF(SUMIFS('Supp Consol'!S:S,'Supp Consol'!Y:Y,"Releasable",'Supp Consol'!A:A,O694)=0,"",SUMIFS('Supp Consol'!S:S,'Supp Consol'!Y:Y,"Releasable",'Supp Consol'!A:A,O694))</f>
        <v/>
      </c>
      <c r="AG694" s="25" t="str">
        <f>IFERROR(INDEX('Hun Demand'!Q:Q,MATCH(O694,'Hun Demand'!A:A,0)),"")</f>
        <v/>
      </c>
      <c r="AH694" s="25" t="str">
        <f>IFERROR(INDEX('Hun Demand'!H:H,MATCH($O694,'Hun Demand'!$A:$A,0)),"")</f>
        <v/>
      </c>
      <c r="AI694" s="25" t="str">
        <f>IF(SUMIFS('Supp Consol'!AA:AA,'Supp Consol'!Z:Z,"Expires this month",'Supp Consol'!A:A,O694)=0,"",SUMIFS('Supp Consol'!AA:AA,'Supp Consol'!Z:Z,"Expires this month",'Supp Consol'!A:A,O694))</f>
        <v/>
      </c>
      <c r="AJ694" s="25" t="str">
        <f>IF(SUMIFS('Supp Consol'!AA:AA,'Supp Consol'!Z:Z,"Expired Previous Months",'Supp Consol'!A:A,O694)=0,"",SUMIFS('Supp Consol'!AA:AA,'Supp Consol'!Z:Z,"Expired Previous Months",'Supp Consol'!A:A,O694))</f>
        <v/>
      </c>
      <c r="AK694" s="25" t="str">
        <f>IFERROR(INDEX('Hun Release Current'!B:B,MATCH(O694,'Hun Release Current'!A:A,0)),"")</f>
        <v/>
      </c>
      <c r="AL694" s="25" t="str">
        <f>IF(SUMIF('Prev Aub'!A:A,O694,'Prev Aub'!B:B)=0,"",SUMIF('Prev Aub'!A:A,O694,'Prev Aub'!B:B))</f>
        <v/>
      </c>
      <c r="AN694" s="25" t="s">
        <v>3790</v>
      </c>
      <c r="AO694" s="25" t="s">
        <v>3790</v>
      </c>
      <c r="AP694" s="25">
        <f t="shared" si="286"/>
        <v>0</v>
      </c>
      <c r="AQ694" s="151" t="str">
        <f>IF(SUMIFS('Supp Consol'!S:S,'Supp Consol'!A:A,O694,'Supp Consol'!I:I,"PENDING")=0,"",SUMIFS('Supp Consol'!S:S,'Supp Consol'!A:A,O694,'Supp Consol'!I:I,"PENDING"))</f>
        <v/>
      </c>
      <c r="AR694" s="27" t="str">
        <f t="shared" si="287"/>
        <v>LD601</v>
      </c>
      <c r="AS694" s="27" t="str">
        <f t="shared" si="288"/>
        <v>50</v>
      </c>
      <c r="AT694" s="27" t="str">
        <f t="shared" si="289"/>
        <v/>
      </c>
      <c r="AU694" s="27" t="str">
        <f t="shared" si="290"/>
        <v/>
      </c>
      <c r="AV694" s="27" t="str">
        <f t="shared" si="291"/>
        <v/>
      </c>
      <c r="AW694" s="27" t="str">
        <f t="shared" si="292"/>
        <v/>
      </c>
      <c r="AX694" s="27" t="str">
        <f t="shared" si="293"/>
        <v/>
      </c>
      <c r="AY694" s="27" t="str">
        <f t="shared" si="294"/>
        <v/>
      </c>
      <c r="AZ694" s="27" t="str">
        <f t="shared" si="295"/>
        <v/>
      </c>
      <c r="BA694" s="27" t="str">
        <f t="shared" si="296"/>
        <v/>
      </c>
      <c r="BB694" s="27" t="str">
        <f t="shared" si="297"/>
        <v/>
      </c>
      <c r="BC694" s="27" t="str">
        <f t="shared" si="298"/>
        <v/>
      </c>
      <c r="BD694" s="27" t="str">
        <f t="shared" si="299"/>
        <v/>
      </c>
      <c r="BE694" s="27" t="str">
        <f t="shared" si="300"/>
        <v/>
      </c>
      <c r="BF694" s="27" t="str">
        <f t="shared" si="301"/>
        <v/>
      </c>
      <c r="BG694" s="27" t="str">
        <f t="shared" si="302"/>
        <v/>
      </c>
      <c r="BH694" s="27" t="str">
        <f t="shared" si="303"/>
        <v/>
      </c>
      <c r="BI694" s="27" t="str">
        <f t="shared" si="304"/>
        <v/>
      </c>
      <c r="BJ694" s="27" t="str">
        <f t="shared" si="305"/>
        <v/>
      </c>
      <c r="BK694" s="27" t="str">
        <f t="shared" si="306"/>
        <v/>
      </c>
      <c r="BL694" s="27" t="str">
        <f t="shared" si="307"/>
        <v/>
      </c>
      <c r="BM694" s="21" t="s">
        <v>5581</v>
      </c>
    </row>
    <row r="695" spans="1:65" ht="15">
      <c r="A695" s="25" t="str">
        <f>IFERROR(INDEX('Hun Demand'!W:W,MATCH(O695,'Hun Demand'!A:A,0)),"")</f>
        <v/>
      </c>
      <c r="B695" s="25" t="str">
        <f>IFERROR(INDEX('Hun Demand'!V:V,MATCH(O695,'Hun Demand'!A:A,0)),"")</f>
        <v/>
      </c>
      <c r="C695" s="25" t="str">
        <f>IFERROR(INDEX('Hun Demand'!U:U,MATCH(O695,'Hun Demand'!A:A,0)),"")</f>
        <v/>
      </c>
      <c r="D695" s="25" t="str">
        <f>IFERROR(INDEX('Hun Demand'!T:T,MATCH(O695,'Hun Demand'!A:A,0)),"")</f>
        <v/>
      </c>
      <c r="E695" s="25" t="str">
        <f>IFERROR(INDEX('Hun Demand'!S:S,MATCH(O695,'Hun Demand'!A:A,0)),"")</f>
        <v/>
      </c>
      <c r="F695" s="25" t="str">
        <f>IFERROR(INDEX('Hun Demand'!R:R,MATCH(O695,'Hun Demand'!A:A,0)),"")</f>
        <v/>
      </c>
      <c r="G695" s="25">
        <f>IFERROR(INDEX('Aub Demand'!W:W,MATCH(O695,'Aub Demand'!A:A,0)),"")</f>
        <v>55</v>
      </c>
      <c r="H695" s="25">
        <f>IFERROR(INDEX('Aub Demand'!V:V,MATCH(O695,'Aub Demand'!A:A,0)),"")</f>
        <v>11</v>
      </c>
      <c r="I695" s="25">
        <f>IFERROR(INDEX('Aub Demand'!U:U,MATCH(O695,'Aub Demand'!A:A,0)),"")</f>
        <v>234</v>
      </c>
      <c r="J695" s="25">
        <f>IFERROR(INDEX('Aub Demand'!T:T,MATCH(O695,'Aub Demand'!A:A,0)),"")</f>
        <v>0</v>
      </c>
      <c r="K695" s="25">
        <f>IFERROR(INDEX('Aub Demand'!S:S,MATCH(O695,'Aub Demand'!A:A,0)),"")</f>
        <v>128</v>
      </c>
      <c r="L695" s="25">
        <f>IFERROR(INDEX('Aub Demand'!R:R,MATCH(O695,'Aub Demand'!A:A,0)),"")</f>
        <v>0</v>
      </c>
      <c r="O695" s="27" t="s">
        <v>2237</v>
      </c>
      <c r="P695" s="27" t="str">
        <f>IFERROR(INDEX('Aub Demand'!B:B,MATCH($O695,'Aub Demand'!$A:$A,0)),"")</f>
        <v>BLACK LODESTONE 60"</v>
      </c>
      <c r="Q695" s="27" t="str">
        <f>IFERROR(INDEX('Aub Demand'!C:C,MATCH($O695,'Aub Demand'!$A:$A,0)),"")</f>
        <v>INTER</v>
      </c>
      <c r="R695" s="52">
        <f>IFERROR(IF(AR696=AR695,INDEX('Aub Demand'!K:K,MATCH($O695,'Aub Demand'!$A:$A,0))-IF(AN695="",0,AN695)+AP696,INDEX('Aub Demand'!K:K,MATCH($O695,'Aub Demand'!$A:$A,0))-IF(AN695="",0,AN695)),"")</f>
        <v>3241</v>
      </c>
      <c r="S695" s="53">
        <f t="shared" si="280"/>
        <v>114.8</v>
      </c>
      <c r="T695" s="52" t="str">
        <f t="shared" si="281"/>
        <v/>
      </c>
      <c r="U695" s="52">
        <f>IFERROR(IF(AR696=AR695,INDEX('Aub Demand'!Q:Q,MATCH($O695,'Aub Demand'!$A:$A,0))-IF(AN695="",0,AN695)+AP696,INDEX('Aub Demand'!Q:Q,MATCH($O695,'Aub Demand'!$A:$A,0))-IF(AN695="",0,AN695)),"")</f>
        <v>3213</v>
      </c>
      <c r="V695" s="53">
        <f t="shared" si="282"/>
        <v>113.8</v>
      </c>
      <c r="W695" s="52" t="str">
        <f t="shared" si="283"/>
        <v/>
      </c>
      <c r="X695" s="52">
        <f>IFERROR(IF(AND(AR696=AR695,AM695&lt;&gt;""),INDEX('Aub Demand'!Q:Q,MATCH($O695,'Aub Demand'!$A:$A,0))-IF(AN695="",0,AN695)+AP696+AD695+AL695,IF(AR696=AR695,INDEX('Aub Demand'!Q:Q,MATCH($O695,'Aub Demand'!$A:$A,0))-IF(AN695="",0,AN695)+AP696+AD695,IF(AM695&lt;&gt;"",INDEX('Aub Demand'!Q:Q,MATCH($O695,'Aub Demand'!$A:$A,0))-IF(AN695="",0,AN695)+AD695+AL695,INDEX('Aub Demand'!Q:Q,MATCH($O695,'Aub Demand'!$A:$A,0))-IF(AN695="",0,AN695)+AD695))),"")</f>
        <v>3213</v>
      </c>
      <c r="Y695" s="53">
        <f t="shared" si="284"/>
        <v>113.8</v>
      </c>
      <c r="Z695" s="52">
        <f>IF(L695="","",INDEX('Aub Demand'!H:H,MATCH($O695,'Aub Demand'!$A:$A,0)))</f>
        <v>121</v>
      </c>
      <c r="AA695" s="52">
        <f t="shared" si="285"/>
        <v>181</v>
      </c>
      <c r="AB695" s="52">
        <f>IFERROR(INDEX('Aub Demand'!L:L,MATCH($O695,'Aub Demand'!$A:$A,0)),"")</f>
        <v>69</v>
      </c>
      <c r="AC695" s="52">
        <f>IFERROR(IF(O695="","",SUMIFS('CPL Mats'!F:F,'CPL Mats'!Q:Q,AR695,'CPL Mats'!S:S,AS695)),"")</f>
        <v>0</v>
      </c>
      <c r="AF695" s="25" t="str">
        <f>IF(SUMIFS('Supp Consol'!S:S,'Supp Consol'!Y:Y,"Releasable",'Supp Consol'!A:A,O695)=0,"",SUMIFS('Supp Consol'!S:S,'Supp Consol'!Y:Y,"Releasable",'Supp Consol'!A:A,O695))</f>
        <v/>
      </c>
      <c r="AG695" s="25" t="str">
        <f>IFERROR(INDEX('Hun Demand'!Q:Q,MATCH(O695,'Hun Demand'!A:A,0)),"")</f>
        <v/>
      </c>
      <c r="AH695" s="25" t="str">
        <f>IFERROR(INDEX('Hun Demand'!H:H,MATCH($O695,'Hun Demand'!$A:$A,0)),"")</f>
        <v/>
      </c>
      <c r="AI695" s="25" t="str">
        <f>IF(SUMIFS('Supp Consol'!AA:AA,'Supp Consol'!Z:Z,"Expires this month",'Supp Consol'!A:A,O695)=0,"",SUMIFS('Supp Consol'!AA:AA,'Supp Consol'!Z:Z,"Expires this month",'Supp Consol'!A:A,O695))</f>
        <v/>
      </c>
      <c r="AJ695" s="25" t="str">
        <f>IF(SUMIFS('Supp Consol'!AA:AA,'Supp Consol'!Z:Z,"Expired Previous Months",'Supp Consol'!A:A,O695)=0,"",SUMIFS('Supp Consol'!AA:AA,'Supp Consol'!Z:Z,"Expired Previous Months",'Supp Consol'!A:A,O695))</f>
        <v/>
      </c>
      <c r="AK695" s="25" t="str">
        <f>IFERROR(INDEX('Hun Release Current'!B:B,MATCH(O695,'Hun Release Current'!A:A,0)),"")</f>
        <v/>
      </c>
      <c r="AL695" s="25" t="str">
        <f>IF(SUMIF('Prev Aub'!A:A,O695,'Prev Aub'!B:B)=0,"",SUMIF('Prev Aub'!A:A,O695,'Prev Aub'!B:B))</f>
        <v/>
      </c>
      <c r="AN695" s="25" t="s">
        <v>3790</v>
      </c>
      <c r="AO695" s="25" t="s">
        <v>3790</v>
      </c>
      <c r="AP695" s="25">
        <f t="shared" si="286"/>
        <v>0</v>
      </c>
      <c r="AQ695" s="151" t="str">
        <f>IF(SUMIFS('Supp Consol'!S:S,'Supp Consol'!A:A,O695,'Supp Consol'!I:I,"PENDING")=0,"",SUMIFS('Supp Consol'!S:S,'Supp Consol'!A:A,O695,'Supp Consol'!I:I,"PENDING"))</f>
        <v/>
      </c>
      <c r="AR695" s="27" t="str">
        <f t="shared" si="287"/>
        <v>LD601</v>
      </c>
      <c r="AS695" s="27" t="str">
        <f t="shared" si="288"/>
        <v>62</v>
      </c>
      <c r="AT695" s="27" t="str">
        <f t="shared" si="289"/>
        <v/>
      </c>
      <c r="AU695" s="27" t="str">
        <f t="shared" si="290"/>
        <v/>
      </c>
      <c r="AV695" s="27" t="str">
        <f t="shared" si="291"/>
        <v/>
      </c>
      <c r="AW695" s="27" t="str">
        <f t="shared" si="292"/>
        <v/>
      </c>
      <c r="AX695" s="27" t="str">
        <f t="shared" si="293"/>
        <v/>
      </c>
      <c r="AY695" s="27" t="str">
        <f t="shared" si="294"/>
        <v/>
      </c>
      <c r="AZ695" s="27" t="str">
        <f t="shared" si="295"/>
        <v/>
      </c>
      <c r="BA695" s="27" t="str">
        <f t="shared" si="296"/>
        <v/>
      </c>
      <c r="BB695" s="27" t="str">
        <f t="shared" si="297"/>
        <v/>
      </c>
      <c r="BC695" s="27" t="str">
        <f t="shared" si="298"/>
        <v/>
      </c>
      <c r="BD695" s="27" t="str">
        <f t="shared" si="299"/>
        <v/>
      </c>
      <c r="BE695" s="27" t="str">
        <f t="shared" si="300"/>
        <v/>
      </c>
      <c r="BF695" s="27" t="str">
        <f t="shared" si="301"/>
        <v/>
      </c>
      <c r="BG695" s="27" t="str">
        <f t="shared" si="302"/>
        <v/>
      </c>
      <c r="BH695" s="27" t="str">
        <f t="shared" si="303"/>
        <v/>
      </c>
      <c r="BI695" s="27" t="str">
        <f t="shared" si="304"/>
        <v/>
      </c>
      <c r="BJ695" s="27" t="str">
        <f t="shared" si="305"/>
        <v/>
      </c>
      <c r="BK695" s="27" t="str">
        <f t="shared" si="306"/>
        <v/>
      </c>
      <c r="BL695" s="27" t="str">
        <f t="shared" si="307"/>
        <v/>
      </c>
      <c r="BM695" s="21" t="s">
        <v>5581</v>
      </c>
    </row>
    <row r="696" spans="1:65" ht="15">
      <c r="A696" s="25" t="str">
        <f>IFERROR(INDEX('Hun Demand'!W:W,MATCH(O696,'Hun Demand'!A:A,0)),"")</f>
        <v/>
      </c>
      <c r="B696" s="25" t="str">
        <f>IFERROR(INDEX('Hun Demand'!V:V,MATCH(O696,'Hun Demand'!A:A,0)),"")</f>
        <v/>
      </c>
      <c r="C696" s="25" t="str">
        <f>IFERROR(INDEX('Hun Demand'!U:U,MATCH(O696,'Hun Demand'!A:A,0)),"")</f>
        <v/>
      </c>
      <c r="D696" s="25" t="str">
        <f>IFERROR(INDEX('Hun Demand'!T:T,MATCH(O696,'Hun Demand'!A:A,0)),"")</f>
        <v/>
      </c>
      <c r="E696" s="25" t="str">
        <f>IFERROR(INDEX('Hun Demand'!S:S,MATCH(O696,'Hun Demand'!A:A,0)),"")</f>
        <v/>
      </c>
      <c r="F696" s="25" t="str">
        <f>IFERROR(INDEX('Hun Demand'!R:R,MATCH(O696,'Hun Demand'!A:A,0)),"")</f>
        <v/>
      </c>
      <c r="G696" s="25">
        <f>IFERROR(INDEX('Aub Demand'!W:W,MATCH(O696,'Aub Demand'!A:A,0)),"")</f>
        <v>24</v>
      </c>
      <c r="H696" s="25">
        <f>IFERROR(INDEX('Aub Demand'!V:V,MATCH(O696,'Aub Demand'!A:A,0)),"")</f>
        <v>0</v>
      </c>
      <c r="I696" s="25">
        <f>IFERROR(INDEX('Aub Demand'!U:U,MATCH(O696,'Aub Demand'!A:A,0)),"")</f>
        <v>0</v>
      </c>
      <c r="J696" s="25">
        <f>IFERROR(INDEX('Aub Demand'!T:T,MATCH(O696,'Aub Demand'!A:A,0)),"")</f>
        <v>0</v>
      </c>
      <c r="K696" s="25">
        <f>IFERROR(INDEX('Aub Demand'!S:S,MATCH(O696,'Aub Demand'!A:A,0)),"")</f>
        <v>11</v>
      </c>
      <c r="L696" s="25">
        <f>IFERROR(INDEX('Aub Demand'!R:R,MATCH(O696,'Aub Demand'!A:A,0)),"")</f>
        <v>0</v>
      </c>
      <c r="O696" s="27" t="s">
        <v>1156</v>
      </c>
      <c r="P696" s="27" t="str">
        <f>IFERROR(INDEX('Aub Demand'!B:B,MATCH($O696,'Aub Demand'!$A:$A,0)),"")</f>
        <v>IVORY KID</v>
      </c>
      <c r="Q696" s="27" t="str">
        <f>IFERROR(INDEX('Aub Demand'!C:C,MATCH($O696,'Aub Demand'!$A:$A,0)),"")</f>
        <v>INTER</v>
      </c>
      <c r="R696" s="52">
        <f>IFERROR(IF(AR697=AR696,INDEX('Aub Demand'!K:K,MATCH($O696,'Aub Demand'!$A:$A,0))-IF(AN696="",0,AN696)+AP697,INDEX('Aub Demand'!K:K,MATCH($O696,'Aub Demand'!$A:$A,0))-IF(AN696="",0,AN696)),"")</f>
        <v>0</v>
      </c>
      <c r="S696" s="53">
        <f t="shared" si="280"/>
        <v>0</v>
      </c>
      <c r="T696" s="52" t="str">
        <f t="shared" si="281"/>
        <v/>
      </c>
      <c r="U696" s="52">
        <f>IFERROR(IF(AR697=AR696,INDEX('Aub Demand'!Q:Q,MATCH($O696,'Aub Demand'!$A:$A,0))-IF(AN696="",0,AN696)+AP697,INDEX('Aub Demand'!Q:Q,MATCH($O696,'Aub Demand'!$A:$A,0))-IF(AN696="",0,AN696)),"")</f>
        <v>0</v>
      </c>
      <c r="V696" s="53">
        <f t="shared" si="282"/>
        <v>0</v>
      </c>
      <c r="W696" s="52" t="str">
        <f t="shared" si="283"/>
        <v/>
      </c>
      <c r="X696" s="52">
        <f>IFERROR(IF(AND(AR697=AR696,AM696&lt;&gt;""),INDEX('Aub Demand'!Q:Q,MATCH($O696,'Aub Demand'!$A:$A,0))-IF(AN696="",0,AN696)+AP697+AD696+AL696,IF(AR697=AR696,INDEX('Aub Demand'!Q:Q,MATCH($O696,'Aub Demand'!$A:$A,0))-IF(AN696="",0,AN696)+AP697+AD696,IF(AM696&lt;&gt;"",INDEX('Aub Demand'!Q:Q,MATCH($O696,'Aub Demand'!$A:$A,0))-IF(AN696="",0,AN696)+AD696+AL696,INDEX('Aub Demand'!Q:Q,MATCH($O696,'Aub Demand'!$A:$A,0))-IF(AN696="",0,AN696)+AD696))),"")</f>
        <v>0</v>
      </c>
      <c r="Y696" s="53">
        <f t="shared" si="284"/>
        <v>0</v>
      </c>
      <c r="Z696" s="52">
        <f>IF(L696="","",INDEX('Aub Demand'!H:H,MATCH($O696,'Aub Demand'!$A:$A,0)))</f>
        <v>4</v>
      </c>
      <c r="AA696" s="52" t="str">
        <f t="shared" si="285"/>
        <v>-spike-</v>
      </c>
      <c r="AB696" s="52">
        <f>IFERROR(INDEX('Aub Demand'!L:L,MATCH($O696,'Aub Demand'!$A:$A,0)),"")</f>
        <v>0</v>
      </c>
      <c r="AC696" s="52">
        <f>IFERROR(IF(O696="","",SUMIFS('CPL Mats'!F:F,'CPL Mats'!Q:Q,AR696,'CPL Mats'!S:S,AS696)),"")</f>
        <v>0</v>
      </c>
      <c r="AF696" s="25" t="str">
        <f>IF(SUMIFS('Supp Consol'!S:S,'Supp Consol'!Y:Y,"Releasable",'Supp Consol'!A:A,O696)=0,"",SUMIFS('Supp Consol'!S:S,'Supp Consol'!Y:Y,"Releasable",'Supp Consol'!A:A,O696))</f>
        <v/>
      </c>
      <c r="AG696" s="25" t="str">
        <f>IFERROR(INDEX('Hun Demand'!Q:Q,MATCH(O696,'Hun Demand'!A:A,0)),"")</f>
        <v/>
      </c>
      <c r="AH696" s="25" t="str">
        <f>IFERROR(INDEX('Hun Demand'!H:H,MATCH($O696,'Hun Demand'!$A:$A,0)),"")</f>
        <v/>
      </c>
      <c r="AI696" s="25" t="str">
        <f>IF(SUMIFS('Supp Consol'!AA:AA,'Supp Consol'!Z:Z,"Expires this month",'Supp Consol'!A:A,O696)=0,"",SUMIFS('Supp Consol'!AA:AA,'Supp Consol'!Z:Z,"Expires this month",'Supp Consol'!A:A,O696))</f>
        <v/>
      </c>
      <c r="AJ696" s="25" t="str">
        <f>IF(SUMIFS('Supp Consol'!AA:AA,'Supp Consol'!Z:Z,"Expired Previous Months",'Supp Consol'!A:A,O696)=0,"",SUMIFS('Supp Consol'!AA:AA,'Supp Consol'!Z:Z,"Expired Previous Months",'Supp Consol'!A:A,O696))</f>
        <v/>
      </c>
      <c r="AK696" s="25" t="str">
        <f>IFERROR(INDEX('Hun Release Current'!B:B,MATCH(O696,'Hun Release Current'!A:A,0)),"")</f>
        <v/>
      </c>
      <c r="AL696" s="25" t="str">
        <f>IF(SUMIF('Prev Aub'!A:A,O696,'Prev Aub'!B:B)=0,"",SUMIF('Prev Aub'!A:A,O696,'Prev Aub'!B:B))</f>
        <v/>
      </c>
      <c r="AN696" s="25" t="s">
        <v>3790</v>
      </c>
      <c r="AO696" s="25" t="s">
        <v>3790</v>
      </c>
      <c r="AP696" s="25">
        <f t="shared" si="286"/>
        <v>0</v>
      </c>
      <c r="AQ696" s="151" t="str">
        <f>IF(SUMIFS('Supp Consol'!S:S,'Supp Consol'!A:A,O696,'Supp Consol'!I:I,"PENDING")=0,"",SUMIFS('Supp Consol'!S:S,'Supp Consol'!A:A,O696,'Supp Consol'!I:I,"PENDING"))</f>
        <v/>
      </c>
      <c r="AR696" s="27" t="str">
        <f t="shared" si="287"/>
        <v>LG110</v>
      </c>
      <c r="AS696" s="27" t="str">
        <f t="shared" si="288"/>
        <v>50</v>
      </c>
      <c r="AT696" s="27" t="str">
        <f t="shared" si="289"/>
        <v>LG110</v>
      </c>
      <c r="AU696" s="27" t="str">
        <f t="shared" si="290"/>
        <v>LG110</v>
      </c>
      <c r="AV696" s="27" t="str">
        <f t="shared" si="291"/>
        <v>LG110</v>
      </c>
      <c r="AW696" s="27" t="str">
        <f t="shared" si="292"/>
        <v/>
      </c>
      <c r="AX696" s="27" t="str">
        <f t="shared" si="293"/>
        <v/>
      </c>
      <c r="AY696" s="27" t="str">
        <f t="shared" si="294"/>
        <v/>
      </c>
      <c r="AZ696" s="27" t="str">
        <f t="shared" si="295"/>
        <v/>
      </c>
      <c r="BA696" s="27" t="str">
        <f t="shared" si="296"/>
        <v/>
      </c>
      <c r="BB696" s="27" t="str">
        <f t="shared" si="297"/>
        <v>Gross</v>
      </c>
      <c r="BC696" s="27" t="str">
        <f t="shared" si="298"/>
        <v>Net</v>
      </c>
      <c r="BD696" s="27" t="str">
        <f t="shared" si="299"/>
        <v>Net</v>
      </c>
      <c r="BE696" s="27" t="str">
        <f t="shared" si="300"/>
        <v/>
      </c>
      <c r="BF696" s="27" t="str">
        <f t="shared" si="301"/>
        <v/>
      </c>
      <c r="BG696" s="27" t="str">
        <f t="shared" si="302"/>
        <v/>
      </c>
      <c r="BH696" s="27" t="str">
        <f t="shared" si="303"/>
        <v/>
      </c>
      <c r="BI696" s="27" t="str">
        <f t="shared" si="304"/>
        <v/>
      </c>
      <c r="BJ696" s="27" t="str">
        <f t="shared" si="305"/>
        <v/>
      </c>
      <c r="BK696" s="27" t="str">
        <f t="shared" si="306"/>
        <v/>
      </c>
      <c r="BL696" s="27" t="str">
        <f t="shared" si="307"/>
        <v/>
      </c>
      <c r="BM696" s="21" t="s">
        <v>3790</v>
      </c>
    </row>
    <row r="697" spans="1:65" ht="15">
      <c r="A697" s="25" t="str">
        <f>IFERROR(INDEX('Hun Demand'!W:W,MATCH(O697,'Hun Demand'!A:A,0)),"")</f>
        <v/>
      </c>
      <c r="B697" s="25" t="str">
        <f>IFERROR(INDEX('Hun Demand'!V:V,MATCH(O697,'Hun Demand'!A:A,0)),"")</f>
        <v/>
      </c>
      <c r="C697" s="25" t="str">
        <f>IFERROR(INDEX('Hun Demand'!U:U,MATCH(O697,'Hun Demand'!A:A,0)),"")</f>
        <v/>
      </c>
      <c r="D697" s="25" t="str">
        <f>IFERROR(INDEX('Hun Demand'!T:T,MATCH(O697,'Hun Demand'!A:A,0)),"")</f>
        <v/>
      </c>
      <c r="E697" s="25" t="str">
        <f>IFERROR(INDEX('Hun Demand'!S:S,MATCH(O697,'Hun Demand'!A:A,0)),"")</f>
        <v/>
      </c>
      <c r="F697" s="25" t="str">
        <f>IFERROR(INDEX('Hun Demand'!R:R,MATCH(O697,'Hun Demand'!A:A,0)),"")</f>
        <v/>
      </c>
      <c r="G697" s="25">
        <f>IFERROR(INDEX('Aub Demand'!W:W,MATCH(O697,'Aub Demand'!A:A,0)),"")</f>
        <v>0</v>
      </c>
      <c r="H697" s="25">
        <f>IFERROR(INDEX('Aub Demand'!V:V,MATCH(O697,'Aub Demand'!A:A,0)),"")</f>
        <v>0</v>
      </c>
      <c r="I697" s="25">
        <f>IFERROR(INDEX('Aub Demand'!U:U,MATCH(O697,'Aub Demand'!A:A,0)),"")</f>
        <v>0</v>
      </c>
      <c r="J697" s="25">
        <f>IFERROR(INDEX('Aub Demand'!T:T,MATCH(O697,'Aub Demand'!A:A,0)),"")</f>
        <v>0</v>
      </c>
      <c r="K697" s="25">
        <f>IFERROR(INDEX('Aub Demand'!S:S,MATCH(O697,'Aub Demand'!A:A,0)),"")</f>
        <v>0</v>
      </c>
      <c r="L697" s="25">
        <f>IFERROR(INDEX('Aub Demand'!R:R,MATCH(O697,'Aub Demand'!A:A,0)),"")</f>
        <v>0</v>
      </c>
      <c r="O697" s="27" t="s">
        <v>1158</v>
      </c>
      <c r="P697" s="27" t="str">
        <f>IFERROR(INDEX('Aub Demand'!B:B,MATCH($O697,'Aub Demand'!$A:$A,0)),"")</f>
        <v>IVORY KID</v>
      </c>
      <c r="Q697" s="27" t="str">
        <f>IFERROR(INDEX('Aub Demand'!C:C,MATCH($O697,'Aub Demand'!$A:$A,0)),"")</f>
        <v>INTER</v>
      </c>
      <c r="R697" s="52">
        <f>IFERROR(IF(AR698=AR697,INDEX('Aub Demand'!K:K,MATCH($O697,'Aub Demand'!$A:$A,0))-IF(AN697="",0,AN697)+AP698,INDEX('Aub Demand'!K:K,MATCH($O697,'Aub Demand'!$A:$A,0))-IF(AN697="",0,AN697)),"")</f>
        <v>1591</v>
      </c>
      <c r="S697" s="53" t="str">
        <f t="shared" si="280"/>
        <v>n/a</v>
      </c>
      <c r="T697" s="52" t="str">
        <f t="shared" si="281"/>
        <v/>
      </c>
      <c r="U697" s="52">
        <f>IFERROR(IF(AR698=AR697,INDEX('Aub Demand'!Q:Q,MATCH($O697,'Aub Demand'!$A:$A,0))-IF(AN697="",0,AN697)+AP698,INDEX('Aub Demand'!Q:Q,MATCH($O697,'Aub Demand'!$A:$A,0))-IF(AN697="",0,AN697)),"")</f>
        <v>1591</v>
      </c>
      <c r="V697" s="53" t="str">
        <f t="shared" si="282"/>
        <v>n/a</v>
      </c>
      <c r="W697" s="52" t="str">
        <f t="shared" si="283"/>
        <v/>
      </c>
      <c r="X697" s="52">
        <f>IFERROR(IF(AND(AR698=AR697,AM697&lt;&gt;""),INDEX('Aub Demand'!Q:Q,MATCH($O697,'Aub Demand'!$A:$A,0))-IF(AN697="",0,AN697)+AP698+AD697+AL697,IF(AR698=AR697,INDEX('Aub Demand'!Q:Q,MATCH($O697,'Aub Demand'!$A:$A,0))-IF(AN697="",0,AN697)+AP698+AD697,IF(AM697&lt;&gt;"",INDEX('Aub Demand'!Q:Q,MATCH($O697,'Aub Demand'!$A:$A,0))-IF(AN697="",0,AN697)+AD697+AL697,INDEX('Aub Demand'!Q:Q,MATCH($O697,'Aub Demand'!$A:$A,0))-IF(AN697="",0,AN697)+AD697))),"")</f>
        <v>1591</v>
      </c>
      <c r="Y697" s="53" t="str">
        <f t="shared" si="284"/>
        <v>n/a</v>
      </c>
      <c r="Z697" s="52">
        <f>IF(L697="","",INDEX('Aub Demand'!H:H,MATCH($O697,'Aub Demand'!$A:$A,0)))</f>
        <v>0</v>
      </c>
      <c r="AA697" s="52" t="str">
        <f t="shared" si="285"/>
        <v>-spike-</v>
      </c>
      <c r="AB697" s="52">
        <f>IFERROR(INDEX('Aub Demand'!L:L,MATCH($O697,'Aub Demand'!$A:$A,0)),"")</f>
        <v>0</v>
      </c>
      <c r="AC697" s="52">
        <f>IFERROR(IF(O697="","",SUMIFS('CPL Mats'!F:F,'CPL Mats'!Q:Q,AR697,'CPL Mats'!S:S,AS697)),"")</f>
        <v>0</v>
      </c>
      <c r="AF697" s="25" t="str">
        <f>IF(SUMIFS('Supp Consol'!S:S,'Supp Consol'!Y:Y,"Releasable",'Supp Consol'!A:A,O697)=0,"",SUMIFS('Supp Consol'!S:S,'Supp Consol'!Y:Y,"Releasable",'Supp Consol'!A:A,O697))</f>
        <v/>
      </c>
      <c r="AG697" s="25" t="str">
        <f>IFERROR(INDEX('Hun Demand'!Q:Q,MATCH(O697,'Hun Demand'!A:A,0)),"")</f>
        <v/>
      </c>
      <c r="AH697" s="25" t="str">
        <f>IFERROR(INDEX('Hun Demand'!H:H,MATCH($O697,'Hun Demand'!$A:$A,0)),"")</f>
        <v/>
      </c>
      <c r="AI697" s="25" t="str">
        <f>IF(SUMIFS('Supp Consol'!AA:AA,'Supp Consol'!Z:Z,"Expires this month",'Supp Consol'!A:A,O697)=0,"",SUMIFS('Supp Consol'!AA:AA,'Supp Consol'!Z:Z,"Expires this month",'Supp Consol'!A:A,O697))</f>
        <v/>
      </c>
      <c r="AJ697" s="25" t="str">
        <f>IF(SUMIFS('Supp Consol'!AA:AA,'Supp Consol'!Z:Z,"Expired Previous Months",'Supp Consol'!A:A,O697)=0,"",SUMIFS('Supp Consol'!AA:AA,'Supp Consol'!Z:Z,"Expired Previous Months",'Supp Consol'!A:A,O697))</f>
        <v/>
      </c>
      <c r="AK697" s="25" t="str">
        <f>IFERROR(INDEX('Hun Release Current'!B:B,MATCH(O697,'Hun Release Current'!A:A,0)),"")</f>
        <v/>
      </c>
      <c r="AL697" s="25" t="str">
        <f>IF(SUMIF('Prev Aub'!A:A,O697,'Prev Aub'!B:B)=0,"",SUMIF('Prev Aub'!A:A,O697,'Prev Aub'!B:B))</f>
        <v/>
      </c>
      <c r="AN697" s="25" t="s">
        <v>3790</v>
      </c>
      <c r="AO697" s="25" t="s">
        <v>3790</v>
      </c>
      <c r="AP697" s="25">
        <f t="shared" si="286"/>
        <v>0</v>
      </c>
      <c r="AQ697" s="151" t="str">
        <f>IF(SUMIFS('Supp Consol'!S:S,'Supp Consol'!A:A,O697,'Supp Consol'!I:I,"PENDING")=0,"",SUMIFS('Supp Consol'!S:S,'Supp Consol'!A:A,O697,'Supp Consol'!I:I,"PENDING"))</f>
        <v/>
      </c>
      <c r="AR697" s="27" t="str">
        <f t="shared" si="287"/>
        <v>LG110</v>
      </c>
      <c r="AS697" s="27" t="str">
        <f t="shared" si="288"/>
        <v>62</v>
      </c>
      <c r="AT697" s="27" t="str">
        <f t="shared" si="289"/>
        <v/>
      </c>
      <c r="AU697" s="27" t="str">
        <f t="shared" si="290"/>
        <v/>
      </c>
      <c r="AV697" s="27" t="str">
        <f t="shared" si="291"/>
        <v/>
      </c>
      <c r="AW697" s="27" t="str">
        <f t="shared" si="292"/>
        <v/>
      </c>
      <c r="AX697" s="27" t="str">
        <f t="shared" si="293"/>
        <v/>
      </c>
      <c r="AY697" s="27" t="str">
        <f t="shared" si="294"/>
        <v/>
      </c>
      <c r="AZ697" s="27" t="str">
        <f t="shared" si="295"/>
        <v/>
      </c>
      <c r="BA697" s="27" t="str">
        <f t="shared" si="296"/>
        <v/>
      </c>
      <c r="BB697" s="27" t="str">
        <f t="shared" si="297"/>
        <v>Gross</v>
      </c>
      <c r="BC697" s="27" t="str">
        <f t="shared" si="298"/>
        <v>Net</v>
      </c>
      <c r="BD697" s="27" t="str">
        <f t="shared" si="299"/>
        <v>Net</v>
      </c>
      <c r="BE697" s="27" t="str">
        <f t="shared" si="300"/>
        <v/>
      </c>
      <c r="BF697" s="27" t="str">
        <f t="shared" si="301"/>
        <v/>
      </c>
      <c r="BG697" s="27" t="str">
        <f t="shared" si="302"/>
        <v/>
      </c>
      <c r="BH697" s="27" t="str">
        <f t="shared" si="303"/>
        <v/>
      </c>
      <c r="BI697" s="27" t="str">
        <f t="shared" si="304"/>
        <v/>
      </c>
      <c r="BJ697" s="27" t="str">
        <f t="shared" si="305"/>
        <v/>
      </c>
      <c r="BK697" s="27" t="str">
        <f t="shared" si="306"/>
        <v/>
      </c>
      <c r="BL697" s="27" t="str">
        <f t="shared" si="307"/>
        <v/>
      </c>
      <c r="BM697" s="21" t="s">
        <v>3790</v>
      </c>
    </row>
    <row r="698" spans="1:65" ht="15">
      <c r="A698" s="25" t="str">
        <f>IFERROR(INDEX('Hun Demand'!W:W,MATCH(O698,'Hun Demand'!A:A,0)),"")</f>
        <v/>
      </c>
      <c r="B698" s="25" t="str">
        <f>IFERROR(INDEX('Hun Demand'!V:V,MATCH(O698,'Hun Demand'!A:A,0)),"")</f>
        <v/>
      </c>
      <c r="C698" s="25" t="str">
        <f>IFERROR(INDEX('Hun Demand'!U:U,MATCH(O698,'Hun Demand'!A:A,0)),"")</f>
        <v/>
      </c>
      <c r="D698" s="25" t="str">
        <f>IFERROR(INDEX('Hun Demand'!T:T,MATCH(O698,'Hun Demand'!A:A,0)),"")</f>
        <v/>
      </c>
      <c r="E698" s="25" t="str">
        <f>IFERROR(INDEX('Hun Demand'!S:S,MATCH(O698,'Hun Demand'!A:A,0)),"")</f>
        <v/>
      </c>
      <c r="F698" s="25" t="str">
        <f>IFERROR(INDEX('Hun Demand'!R:R,MATCH(O698,'Hun Demand'!A:A,0)),"")</f>
        <v/>
      </c>
      <c r="G698" s="25">
        <f>IFERROR(INDEX('Aub Demand'!W:W,MATCH(O698,'Aub Demand'!A:A,0)),"")</f>
        <v>0</v>
      </c>
      <c r="H698" s="25">
        <f>IFERROR(INDEX('Aub Demand'!V:V,MATCH(O698,'Aub Demand'!A:A,0)),"")</f>
        <v>129</v>
      </c>
      <c r="I698" s="25">
        <f>IFERROR(INDEX('Aub Demand'!U:U,MATCH(O698,'Aub Demand'!A:A,0)),"")</f>
        <v>181</v>
      </c>
      <c r="J698" s="25">
        <f>IFERROR(INDEX('Aub Demand'!T:T,MATCH(O698,'Aub Demand'!A:A,0)),"")</f>
        <v>196</v>
      </c>
      <c r="K698" s="25">
        <f>IFERROR(INDEX('Aub Demand'!S:S,MATCH(O698,'Aub Demand'!A:A,0)),"")</f>
        <v>40</v>
      </c>
      <c r="L698" s="25">
        <f>IFERROR(INDEX('Aub Demand'!R:R,MATCH(O698,'Aub Demand'!A:A,0)),"")</f>
        <v>0</v>
      </c>
      <c r="O698" s="27" t="s">
        <v>2239</v>
      </c>
      <c r="P698" s="27" t="str">
        <f>IFERROR(INDEX('Aub Demand'!B:B,MATCH($O698,'Aub Demand'!$A:$A,0)),"")</f>
        <v>FRAPPE</v>
      </c>
      <c r="Q698" s="27" t="str">
        <f>IFERROR(INDEX('Aub Demand'!C:C,MATCH($O698,'Aub Demand'!$A:$A,0)),"")</f>
        <v>SCHAT</v>
      </c>
      <c r="R698" s="52">
        <f>IFERROR(IF(AR699=AR698,INDEX('Aub Demand'!K:K,MATCH($O698,'Aub Demand'!$A:$A,0))-IF(AN698="",0,AN698)+AP699,INDEX('Aub Demand'!K:K,MATCH($O698,'Aub Demand'!$A:$A,0))-IF(AN698="",0,AN698)),"")</f>
        <v>1347</v>
      </c>
      <c r="S698" s="53">
        <f t="shared" si="280"/>
        <v>41.5</v>
      </c>
      <c r="T698" s="52" t="str">
        <f t="shared" si="281"/>
        <v/>
      </c>
      <c r="U698" s="52">
        <f>IFERROR(IF(AR699=AR698,INDEX('Aub Demand'!Q:Q,MATCH($O698,'Aub Demand'!$A:$A,0))-IF(AN698="",0,AN698)+AP699,INDEX('Aub Demand'!Q:Q,MATCH($O698,'Aub Demand'!$A:$A,0))-IF(AN698="",0,AN698)),"")</f>
        <v>1316</v>
      </c>
      <c r="V698" s="53">
        <f t="shared" si="282"/>
        <v>40.6</v>
      </c>
      <c r="W698" s="52" t="str">
        <f t="shared" si="283"/>
        <v/>
      </c>
      <c r="X698" s="52">
        <f>IFERROR(IF(AND(AR699=AR698,AM698&lt;&gt;""),INDEX('Aub Demand'!Q:Q,MATCH($O698,'Aub Demand'!$A:$A,0))-IF(AN698="",0,AN698)+AP699+AD698+AL698,IF(AR699=AR698,INDEX('Aub Demand'!Q:Q,MATCH($O698,'Aub Demand'!$A:$A,0))-IF(AN698="",0,AN698)+AP699+AD698,IF(AM698&lt;&gt;"",INDEX('Aub Demand'!Q:Q,MATCH($O698,'Aub Demand'!$A:$A,0))-IF(AN698="",0,AN698)+AD698+AL698,INDEX('Aub Demand'!Q:Q,MATCH($O698,'Aub Demand'!$A:$A,0))-IF(AN698="",0,AN698)+AD698))),"")</f>
        <v>1316</v>
      </c>
      <c r="Y698" s="53">
        <f t="shared" si="284"/>
        <v>40.6</v>
      </c>
      <c r="Z698" s="52">
        <f>IF(L698="","",INDEX('Aub Demand'!H:H,MATCH($O698,'Aub Demand'!$A:$A,0)))</f>
        <v>139</v>
      </c>
      <c r="AA698" s="52">
        <f t="shared" si="285"/>
        <v>188.5</v>
      </c>
      <c r="AB698" s="52">
        <f>IFERROR(INDEX('Aub Demand'!L:L,MATCH($O698,'Aub Demand'!$A:$A,0)),"")</f>
        <v>79</v>
      </c>
      <c r="AC698" s="52">
        <f>IFERROR(IF(O698="","",SUMIFS('CPL Mats'!F:F,'CPL Mats'!Q:Q,AR698,'CPL Mats'!S:S,AS698)),"")</f>
        <v>255.49</v>
      </c>
      <c r="AF698" s="25" t="str">
        <f>IF(SUMIFS('Supp Consol'!S:S,'Supp Consol'!Y:Y,"Releasable",'Supp Consol'!A:A,O698)=0,"",SUMIFS('Supp Consol'!S:S,'Supp Consol'!Y:Y,"Releasable",'Supp Consol'!A:A,O698))</f>
        <v/>
      </c>
      <c r="AG698" s="25" t="str">
        <f>IFERROR(INDEX('Hun Demand'!Q:Q,MATCH(O698,'Hun Demand'!A:A,0)),"")</f>
        <v/>
      </c>
      <c r="AH698" s="25" t="str">
        <f>IFERROR(INDEX('Hun Demand'!H:H,MATCH($O698,'Hun Demand'!$A:$A,0)),"")</f>
        <v/>
      </c>
      <c r="AI698" s="25" t="str">
        <f>IF(SUMIFS('Supp Consol'!AA:AA,'Supp Consol'!Z:Z,"Expires this month",'Supp Consol'!A:A,O698)=0,"",SUMIFS('Supp Consol'!AA:AA,'Supp Consol'!Z:Z,"Expires this month",'Supp Consol'!A:A,O698))</f>
        <v/>
      </c>
      <c r="AJ698" s="25" t="str">
        <f>IF(SUMIFS('Supp Consol'!AA:AA,'Supp Consol'!Z:Z,"Expired Previous Months",'Supp Consol'!A:A,O698)=0,"",SUMIFS('Supp Consol'!AA:AA,'Supp Consol'!Z:Z,"Expired Previous Months",'Supp Consol'!A:A,O698))</f>
        <v/>
      </c>
      <c r="AK698" s="25" t="str">
        <f>IFERROR(INDEX('Hun Release Current'!B:B,MATCH(O698,'Hun Release Current'!A:A,0)),"")</f>
        <v/>
      </c>
      <c r="AL698" s="25" t="str">
        <f>IF(SUMIF('Prev Aub'!A:A,O698,'Prev Aub'!B:B)=0,"",SUMIF('Prev Aub'!A:A,O698,'Prev Aub'!B:B))</f>
        <v/>
      </c>
      <c r="AN698" s="25" t="s">
        <v>3790</v>
      </c>
      <c r="AO698" s="25" t="s">
        <v>3790</v>
      </c>
      <c r="AP698" s="25">
        <f t="shared" si="286"/>
        <v>0</v>
      </c>
      <c r="AQ698" s="151" t="str">
        <f>IF(SUMIFS('Supp Consol'!S:S,'Supp Consol'!A:A,O698,'Supp Consol'!I:I,"PENDING")=0,"",SUMIFS('Supp Consol'!S:S,'Supp Consol'!A:A,O698,'Supp Consol'!I:I,"PENDING"))</f>
        <v/>
      </c>
      <c r="AR698" s="27" t="str">
        <f t="shared" si="287"/>
        <v>LN601</v>
      </c>
      <c r="AS698" s="27" t="str">
        <f t="shared" si="288"/>
        <v>50</v>
      </c>
      <c r="AT698" s="27" t="str">
        <f t="shared" si="289"/>
        <v/>
      </c>
      <c r="AU698" s="27" t="str">
        <f t="shared" si="290"/>
        <v/>
      </c>
      <c r="AV698" s="27" t="str">
        <f t="shared" si="291"/>
        <v/>
      </c>
      <c r="AW698" s="27" t="str">
        <f t="shared" si="292"/>
        <v/>
      </c>
      <c r="AX698" s="27" t="str">
        <f t="shared" si="293"/>
        <v/>
      </c>
      <c r="AY698" s="27" t="str">
        <f t="shared" si="294"/>
        <v/>
      </c>
      <c r="AZ698" s="27" t="str">
        <f t="shared" si="295"/>
        <v/>
      </c>
      <c r="BA698" s="27" t="str">
        <f t="shared" si="296"/>
        <v/>
      </c>
      <c r="BB698" s="27" t="str">
        <f t="shared" si="297"/>
        <v/>
      </c>
      <c r="BC698" s="27" t="str">
        <f t="shared" si="298"/>
        <v/>
      </c>
      <c r="BD698" s="27" t="str">
        <f t="shared" si="299"/>
        <v/>
      </c>
      <c r="BE698" s="27" t="str">
        <f t="shared" si="300"/>
        <v/>
      </c>
      <c r="BF698" s="27" t="str">
        <f t="shared" si="301"/>
        <v/>
      </c>
      <c r="BG698" s="27" t="str">
        <f t="shared" si="302"/>
        <v/>
      </c>
      <c r="BH698" s="27" t="str">
        <f t="shared" si="303"/>
        <v/>
      </c>
      <c r="BI698" s="27" t="str">
        <f t="shared" si="304"/>
        <v/>
      </c>
      <c r="BJ698" s="27" t="str">
        <f t="shared" si="305"/>
        <v/>
      </c>
      <c r="BK698" s="27" t="str">
        <f t="shared" si="306"/>
        <v/>
      </c>
      <c r="BL698" s="27" t="str">
        <f t="shared" si="307"/>
        <v/>
      </c>
      <c r="BM698" s="21" t="s">
        <v>5581</v>
      </c>
    </row>
    <row r="699" spans="1:65" ht="15">
      <c r="A699" s="25" t="str">
        <f>IFERROR(INDEX('Hun Demand'!W:W,MATCH(O699,'Hun Demand'!A:A,0)),"")</f>
        <v/>
      </c>
      <c r="B699" s="25" t="str">
        <f>IFERROR(INDEX('Hun Demand'!V:V,MATCH(O699,'Hun Demand'!A:A,0)),"")</f>
        <v/>
      </c>
      <c r="C699" s="25" t="str">
        <f>IFERROR(INDEX('Hun Demand'!U:U,MATCH(O699,'Hun Demand'!A:A,0)),"")</f>
        <v/>
      </c>
      <c r="D699" s="25" t="str">
        <f>IFERROR(INDEX('Hun Demand'!T:T,MATCH(O699,'Hun Demand'!A:A,0)),"")</f>
        <v/>
      </c>
      <c r="E699" s="25" t="str">
        <f>IFERROR(INDEX('Hun Demand'!S:S,MATCH(O699,'Hun Demand'!A:A,0)),"")</f>
        <v/>
      </c>
      <c r="F699" s="25" t="str">
        <f>IFERROR(INDEX('Hun Demand'!R:R,MATCH(O699,'Hun Demand'!A:A,0)),"")</f>
        <v/>
      </c>
      <c r="G699" s="25">
        <f>IFERROR(INDEX('Aub Demand'!W:W,MATCH(O699,'Aub Demand'!A:A,0)),"")</f>
        <v>62</v>
      </c>
      <c r="H699" s="25">
        <f>IFERROR(INDEX('Aub Demand'!V:V,MATCH(O699,'Aub Demand'!A:A,0)),"")</f>
        <v>0</v>
      </c>
      <c r="I699" s="25">
        <f>IFERROR(INDEX('Aub Demand'!U:U,MATCH(O699,'Aub Demand'!A:A,0)),"")</f>
        <v>61</v>
      </c>
      <c r="J699" s="25">
        <f>IFERROR(INDEX('Aub Demand'!T:T,MATCH(O699,'Aub Demand'!A:A,0)),"")</f>
        <v>5</v>
      </c>
      <c r="K699" s="25">
        <f>IFERROR(INDEX('Aub Demand'!S:S,MATCH(O699,'Aub Demand'!A:A,0)),"")</f>
        <v>72</v>
      </c>
      <c r="L699" s="25">
        <f>IFERROR(INDEX('Aub Demand'!R:R,MATCH(O699,'Aub Demand'!A:A,0)),"")</f>
        <v>0</v>
      </c>
      <c r="O699" s="27" t="s">
        <v>2241</v>
      </c>
      <c r="P699" s="27" t="str">
        <f>IFERROR(INDEX('Aub Demand'!B:B,MATCH($O699,'Aub Demand'!$A:$A,0)),"")</f>
        <v>FRAPPE</v>
      </c>
      <c r="Q699" s="27" t="str">
        <f>IFERROR(INDEX('Aub Demand'!C:C,MATCH($O699,'Aub Demand'!$A:$A,0)),"")</f>
        <v>SCHAT</v>
      </c>
      <c r="R699" s="52">
        <f>IFERROR(IF(AR700=AR699,INDEX('Aub Demand'!K:K,MATCH($O699,'Aub Demand'!$A:$A,0))-IF(AN699="",0,AN699)+AP700,INDEX('Aub Demand'!K:K,MATCH($O699,'Aub Demand'!$A:$A,0))-IF(AN699="",0,AN699)),"")</f>
        <v>3118</v>
      </c>
      <c r="S699" s="53">
        <f t="shared" si="280"/>
        <v>290.5</v>
      </c>
      <c r="T699" s="52" t="str">
        <f t="shared" si="281"/>
        <v/>
      </c>
      <c r="U699" s="52">
        <f>IFERROR(IF(AR700=AR699,INDEX('Aub Demand'!Q:Q,MATCH($O699,'Aub Demand'!$A:$A,0))-IF(AN699="",0,AN699)+AP700,INDEX('Aub Demand'!Q:Q,MATCH($O699,'Aub Demand'!$A:$A,0))-IF(AN699="",0,AN699)),"")</f>
        <v>3095</v>
      </c>
      <c r="V699" s="53">
        <f t="shared" si="282"/>
        <v>288.39999999999998</v>
      </c>
      <c r="W699" s="52" t="str">
        <f t="shared" si="283"/>
        <v/>
      </c>
      <c r="X699" s="52">
        <f>IFERROR(IF(AND(AR700=AR699,AM699&lt;&gt;""),INDEX('Aub Demand'!Q:Q,MATCH($O699,'Aub Demand'!$A:$A,0))-IF(AN699="",0,AN699)+AP700+AD699+AL699,IF(AR700=AR699,INDEX('Aub Demand'!Q:Q,MATCH($O699,'Aub Demand'!$A:$A,0))-IF(AN699="",0,AN699)+AP700+AD699,IF(AM699&lt;&gt;"",INDEX('Aub Demand'!Q:Q,MATCH($O699,'Aub Demand'!$A:$A,0))-IF(AN699="",0,AN699)+AD699+AL699,INDEX('Aub Demand'!Q:Q,MATCH($O699,'Aub Demand'!$A:$A,0))-IF(AN699="",0,AN699)+AD699))),"")</f>
        <v>3095</v>
      </c>
      <c r="Y699" s="53">
        <f t="shared" si="284"/>
        <v>288.39999999999998</v>
      </c>
      <c r="Z699" s="52">
        <f>IF(L699="","",INDEX('Aub Demand'!H:H,MATCH($O699,'Aub Demand'!$A:$A,0)))</f>
        <v>46</v>
      </c>
      <c r="AA699" s="52">
        <f t="shared" si="285"/>
        <v>66.5</v>
      </c>
      <c r="AB699" s="52">
        <f>IFERROR(INDEX('Aub Demand'!L:L,MATCH($O699,'Aub Demand'!$A:$A,0)),"")</f>
        <v>47</v>
      </c>
      <c r="AC699" s="52">
        <f>IFERROR(IF(O699="","",SUMIFS('CPL Mats'!F:F,'CPL Mats'!Q:Q,AR699,'CPL Mats'!S:S,AS699)),"")</f>
        <v>0</v>
      </c>
      <c r="AF699" s="25" t="str">
        <f>IF(SUMIFS('Supp Consol'!S:S,'Supp Consol'!Y:Y,"Releasable",'Supp Consol'!A:A,O699)=0,"",SUMIFS('Supp Consol'!S:S,'Supp Consol'!Y:Y,"Releasable",'Supp Consol'!A:A,O699))</f>
        <v/>
      </c>
      <c r="AG699" s="25" t="str">
        <f>IFERROR(INDEX('Hun Demand'!Q:Q,MATCH(O699,'Hun Demand'!A:A,0)),"")</f>
        <v/>
      </c>
      <c r="AH699" s="25" t="str">
        <f>IFERROR(INDEX('Hun Demand'!H:H,MATCH($O699,'Hun Demand'!$A:$A,0)),"")</f>
        <v/>
      </c>
      <c r="AI699" s="25" t="str">
        <f>IF(SUMIFS('Supp Consol'!AA:AA,'Supp Consol'!Z:Z,"Expires this month",'Supp Consol'!A:A,O699)=0,"",SUMIFS('Supp Consol'!AA:AA,'Supp Consol'!Z:Z,"Expires this month",'Supp Consol'!A:A,O699))</f>
        <v/>
      </c>
      <c r="AJ699" s="25" t="str">
        <f>IF(SUMIFS('Supp Consol'!AA:AA,'Supp Consol'!Z:Z,"Expired Previous Months",'Supp Consol'!A:A,O699)=0,"",SUMIFS('Supp Consol'!AA:AA,'Supp Consol'!Z:Z,"Expired Previous Months",'Supp Consol'!A:A,O699))</f>
        <v/>
      </c>
      <c r="AK699" s="25" t="str">
        <f>IFERROR(INDEX('Hun Release Current'!B:B,MATCH(O699,'Hun Release Current'!A:A,0)),"")</f>
        <v/>
      </c>
      <c r="AL699" s="25" t="str">
        <f>IF(SUMIF('Prev Aub'!A:A,O699,'Prev Aub'!B:B)=0,"",SUMIF('Prev Aub'!A:A,O699,'Prev Aub'!B:B))</f>
        <v/>
      </c>
      <c r="AN699" s="25" t="s">
        <v>3790</v>
      </c>
      <c r="AO699" s="25" t="s">
        <v>3790</v>
      </c>
      <c r="AP699" s="25">
        <f t="shared" si="286"/>
        <v>0</v>
      </c>
      <c r="AQ699" s="151" t="str">
        <f>IF(SUMIFS('Supp Consol'!S:S,'Supp Consol'!A:A,O699,'Supp Consol'!I:I,"PENDING")=0,"",SUMIFS('Supp Consol'!S:S,'Supp Consol'!A:A,O699,'Supp Consol'!I:I,"PENDING"))</f>
        <v/>
      </c>
      <c r="AR699" s="27" t="str">
        <f t="shared" si="287"/>
        <v>LN601</v>
      </c>
      <c r="AS699" s="27" t="str">
        <f t="shared" si="288"/>
        <v>62</v>
      </c>
      <c r="AT699" s="27" t="str">
        <f t="shared" si="289"/>
        <v/>
      </c>
      <c r="AU699" s="27" t="str">
        <f t="shared" si="290"/>
        <v/>
      </c>
      <c r="AV699" s="27" t="str">
        <f t="shared" si="291"/>
        <v/>
      </c>
      <c r="AW699" s="27" t="str">
        <f t="shared" si="292"/>
        <v/>
      </c>
      <c r="AX699" s="27" t="str">
        <f t="shared" si="293"/>
        <v/>
      </c>
      <c r="AY699" s="27" t="str">
        <f t="shared" si="294"/>
        <v/>
      </c>
      <c r="AZ699" s="27" t="str">
        <f t="shared" si="295"/>
        <v/>
      </c>
      <c r="BA699" s="27" t="str">
        <f t="shared" si="296"/>
        <v/>
      </c>
      <c r="BB699" s="27" t="str">
        <f t="shared" si="297"/>
        <v/>
      </c>
      <c r="BC699" s="27" t="str">
        <f t="shared" si="298"/>
        <v/>
      </c>
      <c r="BD699" s="27" t="str">
        <f t="shared" si="299"/>
        <v/>
      </c>
      <c r="BE699" s="27" t="str">
        <f t="shared" si="300"/>
        <v/>
      </c>
      <c r="BF699" s="27" t="str">
        <f t="shared" si="301"/>
        <v/>
      </c>
      <c r="BG699" s="27" t="str">
        <f t="shared" si="302"/>
        <v/>
      </c>
      <c r="BH699" s="27" t="str">
        <f t="shared" si="303"/>
        <v/>
      </c>
      <c r="BI699" s="27" t="str">
        <f t="shared" si="304"/>
        <v/>
      </c>
      <c r="BJ699" s="27" t="str">
        <f t="shared" si="305"/>
        <v/>
      </c>
      <c r="BK699" s="27" t="str">
        <f t="shared" si="306"/>
        <v/>
      </c>
      <c r="BL699" s="27" t="str">
        <f t="shared" si="307"/>
        <v/>
      </c>
      <c r="BM699" s="21" t="s">
        <v>5581</v>
      </c>
    </row>
    <row r="700" spans="1:65" ht="15">
      <c r="A700" s="25" t="str">
        <f>IFERROR(INDEX('Hun Demand'!W:W,MATCH(O700,'Hun Demand'!A:A,0)),"")</f>
        <v/>
      </c>
      <c r="B700" s="25" t="str">
        <f>IFERROR(INDEX('Hun Demand'!V:V,MATCH(O700,'Hun Demand'!A:A,0)),"")</f>
        <v/>
      </c>
      <c r="C700" s="25" t="str">
        <f>IFERROR(INDEX('Hun Demand'!U:U,MATCH(O700,'Hun Demand'!A:A,0)),"")</f>
        <v/>
      </c>
      <c r="D700" s="25" t="str">
        <f>IFERROR(INDEX('Hun Demand'!T:T,MATCH(O700,'Hun Demand'!A:A,0)),"")</f>
        <v/>
      </c>
      <c r="E700" s="25" t="str">
        <f>IFERROR(INDEX('Hun Demand'!S:S,MATCH(O700,'Hun Demand'!A:A,0)),"")</f>
        <v/>
      </c>
      <c r="F700" s="25" t="str">
        <f>IFERROR(INDEX('Hun Demand'!R:R,MATCH(O700,'Hun Demand'!A:A,0)),"")</f>
        <v/>
      </c>
      <c r="G700" s="25">
        <f>IFERROR(INDEX('Aub Demand'!W:W,MATCH(O700,'Aub Demand'!A:A,0)),"")</f>
        <v>88</v>
      </c>
      <c r="H700" s="25">
        <f>IFERROR(INDEX('Aub Demand'!V:V,MATCH(O700,'Aub Demand'!A:A,0)),"")</f>
        <v>92</v>
      </c>
      <c r="I700" s="25">
        <f>IFERROR(INDEX('Aub Demand'!U:U,MATCH(O700,'Aub Demand'!A:A,0)),"")</f>
        <v>47</v>
      </c>
      <c r="J700" s="25">
        <f>IFERROR(INDEX('Aub Demand'!T:T,MATCH(O700,'Aub Demand'!A:A,0)),"")</f>
        <v>138</v>
      </c>
      <c r="K700" s="25">
        <f>IFERROR(INDEX('Aub Demand'!S:S,MATCH(O700,'Aub Demand'!A:A,0)),"")</f>
        <v>0</v>
      </c>
      <c r="L700" s="25">
        <f>IFERROR(INDEX('Aub Demand'!R:R,MATCH(O700,'Aub Demand'!A:A,0)),"")</f>
        <v>0</v>
      </c>
      <c r="O700" s="27" t="s">
        <v>2242</v>
      </c>
      <c r="P700" s="27" t="str">
        <f>IFERROR(INDEX('Aub Demand'!B:B,MATCH($O700,'Aub Demand'!$A:$A,0)),"")</f>
        <v>KOPI SUSU</v>
      </c>
      <c r="Q700" s="27" t="str">
        <f>IFERROR(INDEX('Aub Demand'!C:C,MATCH($O700,'Aub Demand'!$A:$A,0)),"")</f>
        <v>SCHAT</v>
      </c>
      <c r="R700" s="52">
        <f>IFERROR(IF(AR701=AR700,INDEX('Aub Demand'!K:K,MATCH($O700,'Aub Demand'!$A:$A,0))-IF(AN700="",0,AN700)+AP701,INDEX('Aub Demand'!K:K,MATCH($O700,'Aub Demand'!$A:$A,0))-IF(AN700="",0,AN700)),"")</f>
        <v>153</v>
      </c>
      <c r="S700" s="53">
        <f t="shared" si="280"/>
        <v>10.6</v>
      </c>
      <c r="T700" s="52" t="str">
        <f t="shared" si="281"/>
        <v/>
      </c>
      <c r="U700" s="52">
        <f>IFERROR(IF(AR701=AR700,INDEX('Aub Demand'!Q:Q,MATCH($O700,'Aub Demand'!$A:$A,0))-IF(AN700="",0,AN700)+AP701,INDEX('Aub Demand'!Q:Q,MATCH($O700,'Aub Demand'!$A:$A,0))-IF(AN700="",0,AN700)),"")</f>
        <v>119</v>
      </c>
      <c r="V700" s="53">
        <f t="shared" si="282"/>
        <v>8.1999999999999993</v>
      </c>
      <c r="W700" s="52" t="str">
        <f t="shared" si="283"/>
        <v/>
      </c>
      <c r="X700" s="52">
        <f>IFERROR(IF(AND(AR701=AR700,AM700&lt;&gt;""),INDEX('Aub Demand'!Q:Q,MATCH($O700,'Aub Demand'!$A:$A,0))-IF(AN700="",0,AN700)+AP701+AD700+AL700,IF(AR701=AR700,INDEX('Aub Demand'!Q:Q,MATCH($O700,'Aub Demand'!$A:$A,0))-IF(AN700="",0,AN700)+AP701+AD700,IF(AM700&lt;&gt;"",INDEX('Aub Demand'!Q:Q,MATCH($O700,'Aub Demand'!$A:$A,0))-IF(AN700="",0,AN700)+AD700+AL700,INDEX('Aub Demand'!Q:Q,MATCH($O700,'Aub Demand'!$A:$A,0))-IF(AN700="",0,AN700)+AD700))),"")</f>
        <v>119</v>
      </c>
      <c r="Y700" s="53">
        <f t="shared" si="284"/>
        <v>8.1999999999999993</v>
      </c>
      <c r="Z700" s="52">
        <f>IF(L700="","",INDEX('Aub Demand'!H:H,MATCH($O700,'Aub Demand'!$A:$A,0)))</f>
        <v>62</v>
      </c>
      <c r="AA700" s="52">
        <f t="shared" si="285"/>
        <v>92.5</v>
      </c>
      <c r="AB700" s="52">
        <f>IFERROR(INDEX('Aub Demand'!L:L,MATCH($O700,'Aub Demand'!$A:$A,0)),"")</f>
        <v>43</v>
      </c>
      <c r="AC700" s="52">
        <f>IFERROR(IF(O700="","",SUMIFS('CPL Mats'!F:F,'CPL Mats'!Q:Q,AR700,'CPL Mats'!S:S,AS700)),"")</f>
        <v>122.36</v>
      </c>
      <c r="AF700" s="25" t="str">
        <f>IF(SUMIFS('Supp Consol'!S:S,'Supp Consol'!Y:Y,"Releasable",'Supp Consol'!A:A,O700)=0,"",SUMIFS('Supp Consol'!S:S,'Supp Consol'!Y:Y,"Releasable",'Supp Consol'!A:A,O700))</f>
        <v/>
      </c>
      <c r="AG700" s="25" t="str">
        <f>IFERROR(INDEX('Hun Demand'!Q:Q,MATCH(O700,'Hun Demand'!A:A,0)),"")</f>
        <v/>
      </c>
      <c r="AH700" s="25" t="str">
        <f>IFERROR(INDEX('Hun Demand'!H:H,MATCH($O700,'Hun Demand'!$A:$A,0)),"")</f>
        <v/>
      </c>
      <c r="AI700" s="25" t="str">
        <f>IF(SUMIFS('Supp Consol'!AA:AA,'Supp Consol'!Z:Z,"Expires this month",'Supp Consol'!A:A,O700)=0,"",SUMIFS('Supp Consol'!AA:AA,'Supp Consol'!Z:Z,"Expires this month",'Supp Consol'!A:A,O700))</f>
        <v/>
      </c>
      <c r="AJ700" s="25" t="str">
        <f>IF(SUMIFS('Supp Consol'!AA:AA,'Supp Consol'!Z:Z,"Expired Previous Months",'Supp Consol'!A:A,O700)=0,"",SUMIFS('Supp Consol'!AA:AA,'Supp Consol'!Z:Z,"Expired Previous Months",'Supp Consol'!A:A,O700))</f>
        <v/>
      </c>
      <c r="AK700" s="25" t="str">
        <f>IFERROR(INDEX('Hun Release Current'!B:B,MATCH(O700,'Hun Release Current'!A:A,0)),"")</f>
        <v/>
      </c>
      <c r="AL700" s="25" t="str">
        <f>IF(SUMIF('Prev Aub'!A:A,O700,'Prev Aub'!B:B)=0,"",SUMIF('Prev Aub'!A:A,O700,'Prev Aub'!B:B))</f>
        <v/>
      </c>
      <c r="AN700" s="25" t="s">
        <v>3790</v>
      </c>
      <c r="AO700" s="25" t="s">
        <v>3790</v>
      </c>
      <c r="AP700" s="25">
        <f t="shared" si="286"/>
        <v>0</v>
      </c>
      <c r="AQ700" s="151" t="str">
        <f>IF(SUMIFS('Supp Consol'!S:S,'Supp Consol'!A:A,O700,'Supp Consol'!I:I,"PENDING")=0,"",SUMIFS('Supp Consol'!S:S,'Supp Consol'!A:A,O700,'Supp Consol'!I:I,"PENDING"))</f>
        <v/>
      </c>
      <c r="AR700" s="27" t="str">
        <f t="shared" si="287"/>
        <v>LN602</v>
      </c>
      <c r="AS700" s="27" t="str">
        <f t="shared" si="288"/>
        <v>50</v>
      </c>
      <c r="AT700" s="27" t="str">
        <f t="shared" si="289"/>
        <v/>
      </c>
      <c r="AU700" s="27" t="str">
        <f t="shared" si="290"/>
        <v/>
      </c>
      <c r="AV700" s="27" t="str">
        <f t="shared" si="291"/>
        <v/>
      </c>
      <c r="AW700" s="27" t="str">
        <f t="shared" si="292"/>
        <v/>
      </c>
      <c r="AX700" s="27" t="str">
        <f t="shared" si="293"/>
        <v/>
      </c>
      <c r="AY700" s="27" t="str">
        <f t="shared" si="294"/>
        <v/>
      </c>
      <c r="AZ700" s="27" t="str">
        <f t="shared" si="295"/>
        <v/>
      </c>
      <c r="BA700" s="27" t="str">
        <f t="shared" si="296"/>
        <v/>
      </c>
      <c r="BB700" s="27" t="str">
        <f t="shared" si="297"/>
        <v/>
      </c>
      <c r="BC700" s="27" t="str">
        <f t="shared" si="298"/>
        <v/>
      </c>
      <c r="BD700" s="27" t="str">
        <f t="shared" si="299"/>
        <v/>
      </c>
      <c r="BE700" s="27" t="str">
        <f t="shared" si="300"/>
        <v/>
      </c>
      <c r="BF700" s="27" t="str">
        <f t="shared" si="301"/>
        <v/>
      </c>
      <c r="BG700" s="27" t="str">
        <f t="shared" si="302"/>
        <v/>
      </c>
      <c r="BH700" s="27" t="str">
        <f t="shared" si="303"/>
        <v/>
      </c>
      <c r="BI700" s="27" t="str">
        <f t="shared" si="304"/>
        <v/>
      </c>
      <c r="BJ700" s="27" t="str">
        <f t="shared" si="305"/>
        <v/>
      </c>
      <c r="BK700" s="27" t="str">
        <f t="shared" si="306"/>
        <v/>
      </c>
      <c r="BL700" s="27" t="str">
        <f t="shared" si="307"/>
        <v/>
      </c>
      <c r="BM700" s="21" t="s">
        <v>5581</v>
      </c>
    </row>
    <row r="701" spans="1:65" ht="15">
      <c r="A701" s="25" t="str">
        <f>IFERROR(INDEX('Hun Demand'!W:W,MATCH(O701,'Hun Demand'!A:A,0)),"")</f>
        <v/>
      </c>
      <c r="B701" s="25" t="str">
        <f>IFERROR(INDEX('Hun Demand'!V:V,MATCH(O701,'Hun Demand'!A:A,0)),"")</f>
        <v/>
      </c>
      <c r="C701" s="25" t="str">
        <f>IFERROR(INDEX('Hun Demand'!U:U,MATCH(O701,'Hun Demand'!A:A,0)),"")</f>
        <v/>
      </c>
      <c r="D701" s="25" t="str">
        <f>IFERROR(INDEX('Hun Demand'!T:T,MATCH(O701,'Hun Demand'!A:A,0)),"")</f>
        <v/>
      </c>
      <c r="E701" s="25" t="str">
        <f>IFERROR(INDEX('Hun Demand'!S:S,MATCH(O701,'Hun Demand'!A:A,0)),"")</f>
        <v/>
      </c>
      <c r="F701" s="25" t="str">
        <f>IFERROR(INDEX('Hun Demand'!R:R,MATCH(O701,'Hun Demand'!A:A,0)),"")</f>
        <v/>
      </c>
      <c r="G701" s="25">
        <f>IFERROR(INDEX('Aub Demand'!W:W,MATCH(O701,'Aub Demand'!A:A,0)),"")</f>
        <v>0</v>
      </c>
      <c r="H701" s="25">
        <f>IFERROR(INDEX('Aub Demand'!V:V,MATCH(O701,'Aub Demand'!A:A,0)),"")</f>
        <v>172</v>
      </c>
      <c r="I701" s="25">
        <f>IFERROR(INDEX('Aub Demand'!U:U,MATCH(O701,'Aub Demand'!A:A,0)),"")</f>
        <v>157</v>
      </c>
      <c r="J701" s="25">
        <f>IFERROR(INDEX('Aub Demand'!T:T,MATCH(O701,'Aub Demand'!A:A,0)),"")</f>
        <v>223</v>
      </c>
      <c r="K701" s="25">
        <f>IFERROR(INDEX('Aub Demand'!S:S,MATCH(O701,'Aub Demand'!A:A,0)),"")</f>
        <v>13</v>
      </c>
      <c r="L701" s="25">
        <f>IFERROR(INDEX('Aub Demand'!R:R,MATCH(O701,'Aub Demand'!A:A,0)),"")</f>
        <v>0</v>
      </c>
      <c r="O701" s="27" t="s">
        <v>2244</v>
      </c>
      <c r="P701" s="27" t="str">
        <f>IFERROR(INDEX('Aub Demand'!B:B,MATCH($O701,'Aub Demand'!$A:$A,0)),"")</f>
        <v>KOPI SUSU</v>
      </c>
      <c r="Q701" s="27" t="str">
        <f>IFERROR(INDEX('Aub Demand'!C:C,MATCH($O701,'Aub Demand'!$A:$A,0)),"")</f>
        <v>SCHAT</v>
      </c>
      <c r="R701" s="52">
        <f>IFERROR(IF(AR702=AR701,INDEX('Aub Demand'!K:K,MATCH($O701,'Aub Demand'!$A:$A,0))-IF(AN701="",0,AN701)+AP702,INDEX('Aub Demand'!K:K,MATCH($O701,'Aub Demand'!$A:$A,0))-IF(AN701="",0,AN701)),"")</f>
        <v>1468</v>
      </c>
      <c r="S701" s="53">
        <f t="shared" si="280"/>
        <v>48</v>
      </c>
      <c r="T701" s="52" t="str">
        <f t="shared" si="281"/>
        <v/>
      </c>
      <c r="U701" s="52">
        <f>IFERROR(IF(AR702=AR701,INDEX('Aub Demand'!Q:Q,MATCH($O701,'Aub Demand'!$A:$A,0))-IF(AN701="",0,AN701)+AP702,INDEX('Aub Demand'!Q:Q,MATCH($O701,'Aub Demand'!$A:$A,0))-IF(AN701="",0,AN701)),"")</f>
        <v>1422</v>
      </c>
      <c r="V701" s="53">
        <f t="shared" si="282"/>
        <v>46.5</v>
      </c>
      <c r="W701" s="52" t="str">
        <f t="shared" si="283"/>
        <v/>
      </c>
      <c r="X701" s="52">
        <f>IFERROR(IF(AND(AR702=AR701,AM701&lt;&gt;""),INDEX('Aub Demand'!Q:Q,MATCH($O701,'Aub Demand'!$A:$A,0))-IF(AN701="",0,AN701)+AP702+AD701+AL701,IF(AR702=AR701,INDEX('Aub Demand'!Q:Q,MATCH($O701,'Aub Demand'!$A:$A,0))-IF(AN701="",0,AN701)+AP702+AD701,IF(AM701&lt;&gt;"",INDEX('Aub Demand'!Q:Q,MATCH($O701,'Aub Demand'!$A:$A,0))-IF(AN701="",0,AN701)+AD701+AL701,INDEX('Aub Demand'!Q:Q,MATCH($O701,'Aub Demand'!$A:$A,0))-IF(AN701="",0,AN701)+AD701))),"")</f>
        <v>1422</v>
      </c>
      <c r="Y701" s="53">
        <f t="shared" si="284"/>
        <v>46.5</v>
      </c>
      <c r="Z701" s="52">
        <f>IF(L701="","",INDEX('Aub Demand'!H:H,MATCH($O701,'Aub Demand'!$A:$A,0)))</f>
        <v>131</v>
      </c>
      <c r="AA701" s="52">
        <f t="shared" si="285"/>
        <v>190</v>
      </c>
      <c r="AB701" s="52">
        <f>IFERROR(INDEX('Aub Demand'!L:L,MATCH($O701,'Aub Demand'!$A:$A,0)),"")</f>
        <v>106</v>
      </c>
      <c r="AC701" s="52">
        <f>IFERROR(IF(O701="","",SUMIFS('CPL Mats'!F:F,'CPL Mats'!Q:Q,AR701,'CPL Mats'!S:S,AS701)),"")</f>
        <v>0</v>
      </c>
      <c r="AF701" s="25" t="str">
        <f>IF(SUMIFS('Supp Consol'!S:S,'Supp Consol'!Y:Y,"Releasable",'Supp Consol'!A:A,O701)=0,"",SUMIFS('Supp Consol'!S:S,'Supp Consol'!Y:Y,"Releasable",'Supp Consol'!A:A,O701))</f>
        <v/>
      </c>
      <c r="AG701" s="25" t="str">
        <f>IFERROR(INDEX('Hun Demand'!Q:Q,MATCH(O701,'Hun Demand'!A:A,0)),"")</f>
        <v/>
      </c>
      <c r="AH701" s="25" t="str">
        <f>IFERROR(INDEX('Hun Demand'!H:H,MATCH($O701,'Hun Demand'!$A:$A,0)),"")</f>
        <v/>
      </c>
      <c r="AI701" s="25" t="str">
        <f>IF(SUMIFS('Supp Consol'!AA:AA,'Supp Consol'!Z:Z,"Expires this month",'Supp Consol'!A:A,O701)=0,"",SUMIFS('Supp Consol'!AA:AA,'Supp Consol'!Z:Z,"Expires this month",'Supp Consol'!A:A,O701))</f>
        <v/>
      </c>
      <c r="AJ701" s="25" t="str">
        <f>IF(SUMIFS('Supp Consol'!AA:AA,'Supp Consol'!Z:Z,"Expired Previous Months",'Supp Consol'!A:A,O701)=0,"",SUMIFS('Supp Consol'!AA:AA,'Supp Consol'!Z:Z,"Expired Previous Months",'Supp Consol'!A:A,O701))</f>
        <v/>
      </c>
      <c r="AK701" s="25" t="str">
        <f>IFERROR(INDEX('Hun Release Current'!B:B,MATCH(O701,'Hun Release Current'!A:A,0)),"")</f>
        <v/>
      </c>
      <c r="AL701" s="25" t="str">
        <f>IF(SUMIF('Prev Aub'!A:A,O701,'Prev Aub'!B:B)=0,"",SUMIF('Prev Aub'!A:A,O701,'Prev Aub'!B:B))</f>
        <v/>
      </c>
      <c r="AN701" s="25" t="s">
        <v>3790</v>
      </c>
      <c r="AO701" s="25" t="s">
        <v>3790</v>
      </c>
      <c r="AP701" s="25">
        <f t="shared" si="286"/>
        <v>0</v>
      </c>
      <c r="AQ701" s="151" t="str">
        <f>IF(SUMIFS('Supp Consol'!S:S,'Supp Consol'!A:A,O701,'Supp Consol'!I:I,"PENDING")=0,"",SUMIFS('Supp Consol'!S:S,'Supp Consol'!A:A,O701,'Supp Consol'!I:I,"PENDING"))</f>
        <v/>
      </c>
      <c r="AR701" s="27" t="str">
        <f t="shared" si="287"/>
        <v>LN602</v>
      </c>
      <c r="AS701" s="27" t="str">
        <f t="shared" si="288"/>
        <v>62</v>
      </c>
      <c r="AT701" s="27" t="str">
        <f t="shared" si="289"/>
        <v/>
      </c>
      <c r="AU701" s="27" t="str">
        <f t="shared" si="290"/>
        <v/>
      </c>
      <c r="AV701" s="27" t="str">
        <f t="shared" si="291"/>
        <v/>
      </c>
      <c r="AW701" s="27" t="str">
        <f t="shared" si="292"/>
        <v/>
      </c>
      <c r="AX701" s="27" t="str">
        <f t="shared" si="293"/>
        <v/>
      </c>
      <c r="AY701" s="27" t="str">
        <f t="shared" si="294"/>
        <v/>
      </c>
      <c r="AZ701" s="27" t="str">
        <f t="shared" si="295"/>
        <v/>
      </c>
      <c r="BA701" s="27" t="str">
        <f t="shared" si="296"/>
        <v/>
      </c>
      <c r="BB701" s="27" t="str">
        <f t="shared" si="297"/>
        <v/>
      </c>
      <c r="BC701" s="27" t="str">
        <f t="shared" si="298"/>
        <v/>
      </c>
      <c r="BD701" s="27" t="str">
        <f t="shared" si="299"/>
        <v/>
      </c>
      <c r="BE701" s="27" t="str">
        <f t="shared" si="300"/>
        <v/>
      </c>
      <c r="BF701" s="27" t="str">
        <f t="shared" si="301"/>
        <v/>
      </c>
      <c r="BG701" s="27" t="str">
        <f t="shared" si="302"/>
        <v/>
      </c>
      <c r="BH701" s="27" t="str">
        <f t="shared" si="303"/>
        <v/>
      </c>
      <c r="BI701" s="27" t="str">
        <f t="shared" si="304"/>
        <v/>
      </c>
      <c r="BJ701" s="27" t="str">
        <f t="shared" si="305"/>
        <v/>
      </c>
      <c r="BK701" s="27" t="str">
        <f t="shared" si="306"/>
        <v/>
      </c>
      <c r="BL701" s="27" t="str">
        <f t="shared" si="307"/>
        <v/>
      </c>
      <c r="BM701" s="21" t="s">
        <v>5581</v>
      </c>
    </row>
    <row r="702" spans="1:65" ht="15">
      <c r="A702" s="25" t="str">
        <f>IFERROR(INDEX('Hun Demand'!W:W,MATCH(O702,'Hun Demand'!A:A,0)),"")</f>
        <v/>
      </c>
      <c r="B702" s="25" t="str">
        <f>IFERROR(INDEX('Hun Demand'!V:V,MATCH(O702,'Hun Demand'!A:A,0)),"")</f>
        <v/>
      </c>
      <c r="C702" s="25" t="str">
        <f>IFERROR(INDEX('Hun Demand'!U:U,MATCH(O702,'Hun Demand'!A:A,0)),"")</f>
        <v/>
      </c>
      <c r="D702" s="25" t="str">
        <f>IFERROR(INDEX('Hun Demand'!T:T,MATCH(O702,'Hun Demand'!A:A,0)),"")</f>
        <v/>
      </c>
      <c r="E702" s="25" t="str">
        <f>IFERROR(INDEX('Hun Demand'!S:S,MATCH(O702,'Hun Demand'!A:A,0)),"")</f>
        <v/>
      </c>
      <c r="F702" s="25" t="str">
        <f>IFERROR(INDEX('Hun Demand'!R:R,MATCH(O702,'Hun Demand'!A:A,0)),"")</f>
        <v/>
      </c>
      <c r="G702" s="25">
        <f>IFERROR(INDEX('Aub Demand'!W:W,MATCH(O702,'Aub Demand'!A:A,0)),"")</f>
        <v>0</v>
      </c>
      <c r="H702" s="25">
        <f>IFERROR(INDEX('Aub Demand'!V:V,MATCH(O702,'Aub Demand'!A:A,0)),"")</f>
        <v>26</v>
      </c>
      <c r="I702" s="25">
        <f>IFERROR(INDEX('Aub Demand'!U:U,MATCH(O702,'Aub Demand'!A:A,0)),"")</f>
        <v>54</v>
      </c>
      <c r="J702" s="25">
        <f>IFERROR(INDEX('Aub Demand'!T:T,MATCH(O702,'Aub Demand'!A:A,0)),"")</f>
        <v>77</v>
      </c>
      <c r="K702" s="25">
        <f>IFERROR(INDEX('Aub Demand'!S:S,MATCH(O702,'Aub Demand'!A:A,0)),"")</f>
        <v>58</v>
      </c>
      <c r="L702" s="25">
        <f>IFERROR(INDEX('Aub Demand'!R:R,MATCH(O702,'Aub Demand'!A:A,0)),"")</f>
        <v>0</v>
      </c>
      <c r="O702" s="27" t="s">
        <v>2247</v>
      </c>
      <c r="P702" s="27" t="str">
        <f>IFERROR(INDEX('Aub Demand'!B:B,MATCH($O702,'Aub Demand'!$A:$A,0)),"")</f>
        <v>ONCE IN BLUE LUNARIA</v>
      </c>
      <c r="Q702" s="27" t="str">
        <f>IFERROR(INDEX('Aub Demand'!C:C,MATCH($O702,'Aub Demand'!$A:$A,0)),"")</f>
        <v>SUDDE</v>
      </c>
      <c r="R702" s="52">
        <f>IFERROR(IF(AR703=AR702,INDEX('Aub Demand'!K:K,MATCH($O702,'Aub Demand'!$A:$A,0))-IF(AN702="",0,AN702)+AP703,INDEX('Aub Demand'!K:K,MATCH($O702,'Aub Demand'!$A:$A,0))-IF(AN702="",0,AN702)),"")</f>
        <v>861</v>
      </c>
      <c r="S702" s="53">
        <f t="shared" si="280"/>
        <v>58.6</v>
      </c>
      <c r="T702" s="52" t="str">
        <f t="shared" si="281"/>
        <v/>
      </c>
      <c r="U702" s="52">
        <f>IFERROR(IF(AR703=AR702,INDEX('Aub Demand'!Q:Q,MATCH($O702,'Aub Demand'!$A:$A,0))-IF(AN702="",0,AN702)+AP703,INDEX('Aub Demand'!Q:Q,MATCH($O702,'Aub Demand'!$A:$A,0))-IF(AN702="",0,AN702)),"")</f>
        <v>861</v>
      </c>
      <c r="V702" s="53">
        <f t="shared" si="282"/>
        <v>58.6</v>
      </c>
      <c r="W702" s="52" t="str">
        <f t="shared" si="283"/>
        <v/>
      </c>
      <c r="X702" s="52">
        <f>IFERROR(IF(AND(AR703=AR702,AM702&lt;&gt;""),INDEX('Aub Demand'!Q:Q,MATCH($O702,'Aub Demand'!$A:$A,0))-IF(AN702="",0,AN702)+AP703+AD702+AL702,IF(AR703=AR702,INDEX('Aub Demand'!Q:Q,MATCH($O702,'Aub Demand'!$A:$A,0))-IF(AN702="",0,AN702)+AP703+AD702,IF(AM702&lt;&gt;"",INDEX('Aub Demand'!Q:Q,MATCH($O702,'Aub Demand'!$A:$A,0))-IF(AN702="",0,AN702)+AD702+AL702,INDEX('Aub Demand'!Q:Q,MATCH($O702,'Aub Demand'!$A:$A,0))-IF(AN702="",0,AN702)+AD702))),"")</f>
        <v>861</v>
      </c>
      <c r="Y702" s="53">
        <f t="shared" si="284"/>
        <v>58.6</v>
      </c>
      <c r="Z702" s="52">
        <f>IF(L702="","",INDEX('Aub Demand'!H:H,MATCH($O702,'Aub Demand'!$A:$A,0)))</f>
        <v>63</v>
      </c>
      <c r="AA702" s="52">
        <f t="shared" si="285"/>
        <v>67.5</v>
      </c>
      <c r="AB702" s="52">
        <f>IFERROR(INDEX('Aub Demand'!L:L,MATCH($O702,'Aub Demand'!$A:$A,0)),"")</f>
        <v>88</v>
      </c>
      <c r="AC702" s="52">
        <f>IFERROR(IF(O702="","",SUMIFS('CPL Mats'!F:F,'CPL Mats'!Q:Q,AR702,'CPL Mats'!S:S,AS702)),"")</f>
        <v>0</v>
      </c>
      <c r="AF702" s="25" t="str">
        <f>IF(SUMIFS('Supp Consol'!S:S,'Supp Consol'!Y:Y,"Releasable",'Supp Consol'!A:A,O702)=0,"",SUMIFS('Supp Consol'!S:S,'Supp Consol'!Y:Y,"Releasable",'Supp Consol'!A:A,O702))</f>
        <v/>
      </c>
      <c r="AG702" s="25" t="str">
        <f>IFERROR(INDEX('Hun Demand'!Q:Q,MATCH(O702,'Hun Demand'!A:A,0)),"")</f>
        <v/>
      </c>
      <c r="AH702" s="25" t="str">
        <f>IFERROR(INDEX('Hun Demand'!H:H,MATCH($O702,'Hun Demand'!$A:$A,0)),"")</f>
        <v/>
      </c>
      <c r="AI702" s="25" t="str">
        <f>IF(SUMIFS('Supp Consol'!AA:AA,'Supp Consol'!Z:Z,"Expires this month",'Supp Consol'!A:A,O702)=0,"",SUMIFS('Supp Consol'!AA:AA,'Supp Consol'!Z:Z,"Expires this month",'Supp Consol'!A:A,O702))</f>
        <v/>
      </c>
      <c r="AJ702" s="25" t="str">
        <f>IF(SUMIFS('Supp Consol'!AA:AA,'Supp Consol'!Z:Z,"Expired Previous Months",'Supp Consol'!A:A,O702)=0,"",SUMIFS('Supp Consol'!AA:AA,'Supp Consol'!Z:Z,"Expired Previous Months",'Supp Consol'!A:A,O702))</f>
        <v/>
      </c>
      <c r="AK702" s="25" t="str">
        <f>IFERROR(INDEX('Hun Release Current'!B:B,MATCH(O702,'Hun Release Current'!A:A,0)),"")</f>
        <v/>
      </c>
      <c r="AL702" s="25" t="str">
        <f>IF(SUMIF('Prev Aub'!A:A,O702,'Prev Aub'!B:B)=0,"",SUMIF('Prev Aub'!A:A,O702,'Prev Aub'!B:B))</f>
        <v/>
      </c>
      <c r="AN702" s="25" t="s">
        <v>3790</v>
      </c>
      <c r="AO702" s="25" t="s">
        <v>3790</v>
      </c>
      <c r="AP702" s="25">
        <f t="shared" si="286"/>
        <v>0</v>
      </c>
      <c r="AQ702" s="151" t="str">
        <f>IF(SUMIFS('Supp Consol'!S:S,'Supp Consol'!A:A,O702,'Supp Consol'!I:I,"PENDING")=0,"",SUMIFS('Supp Consol'!S:S,'Supp Consol'!A:A,O702,'Supp Consol'!I:I,"PENDING"))</f>
        <v/>
      </c>
      <c r="AR702" s="27" t="str">
        <f t="shared" si="287"/>
        <v>LU301</v>
      </c>
      <c r="AS702" s="27" t="str">
        <f t="shared" si="288"/>
        <v>62</v>
      </c>
      <c r="AT702" s="27" t="str">
        <f t="shared" si="289"/>
        <v/>
      </c>
      <c r="AU702" s="27" t="str">
        <f t="shared" si="290"/>
        <v/>
      </c>
      <c r="AV702" s="27" t="str">
        <f t="shared" si="291"/>
        <v/>
      </c>
      <c r="AW702" s="27" t="str">
        <f t="shared" si="292"/>
        <v/>
      </c>
      <c r="AX702" s="27" t="str">
        <f t="shared" si="293"/>
        <v/>
      </c>
      <c r="AY702" s="27" t="str">
        <f t="shared" si="294"/>
        <v/>
      </c>
      <c r="AZ702" s="27" t="str">
        <f t="shared" si="295"/>
        <v/>
      </c>
      <c r="BA702" s="27" t="str">
        <f t="shared" si="296"/>
        <v/>
      </c>
      <c r="BB702" s="27" t="str">
        <f t="shared" si="297"/>
        <v/>
      </c>
      <c r="BC702" s="27" t="str">
        <f t="shared" si="298"/>
        <v/>
      </c>
      <c r="BD702" s="27" t="str">
        <f t="shared" si="299"/>
        <v/>
      </c>
      <c r="BE702" s="27" t="str">
        <f t="shared" si="300"/>
        <v/>
      </c>
      <c r="BF702" s="27" t="str">
        <f t="shared" si="301"/>
        <v/>
      </c>
      <c r="BG702" s="27" t="str">
        <f t="shared" si="302"/>
        <v/>
      </c>
      <c r="BH702" s="27" t="str">
        <f t="shared" si="303"/>
        <v/>
      </c>
      <c r="BI702" s="27" t="str">
        <f t="shared" si="304"/>
        <v/>
      </c>
      <c r="BJ702" s="27" t="str">
        <f t="shared" si="305"/>
        <v/>
      </c>
      <c r="BK702" s="27" t="str">
        <f t="shared" si="306"/>
        <v/>
      </c>
      <c r="BL702" s="27" t="str">
        <f t="shared" si="307"/>
        <v/>
      </c>
      <c r="BM702" s="21" t="s">
        <v>5581</v>
      </c>
    </row>
    <row r="703" spans="1:65" ht="15">
      <c r="A703" s="25" t="str">
        <f>IFERROR(INDEX('Hun Demand'!W:W,MATCH(O703,'Hun Demand'!A:A,0)),"")</f>
        <v/>
      </c>
      <c r="B703" s="25" t="str">
        <f>IFERROR(INDEX('Hun Demand'!V:V,MATCH(O703,'Hun Demand'!A:A,0)),"")</f>
        <v/>
      </c>
      <c r="C703" s="25" t="str">
        <f>IFERROR(INDEX('Hun Demand'!U:U,MATCH(O703,'Hun Demand'!A:A,0)),"")</f>
        <v/>
      </c>
      <c r="D703" s="25" t="str">
        <f>IFERROR(INDEX('Hun Demand'!T:T,MATCH(O703,'Hun Demand'!A:A,0)),"")</f>
        <v/>
      </c>
      <c r="E703" s="25" t="str">
        <f>IFERROR(INDEX('Hun Demand'!S:S,MATCH(O703,'Hun Demand'!A:A,0)),"")</f>
        <v/>
      </c>
      <c r="F703" s="25" t="str">
        <f>IFERROR(INDEX('Hun Demand'!R:R,MATCH(O703,'Hun Demand'!A:A,0)),"")</f>
        <v/>
      </c>
      <c r="G703" s="25">
        <f>IFERROR(INDEX('Aub Demand'!W:W,MATCH(O703,'Aub Demand'!A:A,0)),"")</f>
        <v>0</v>
      </c>
      <c r="H703" s="25">
        <f>IFERROR(INDEX('Aub Demand'!V:V,MATCH(O703,'Aub Demand'!A:A,0)),"")</f>
        <v>59</v>
      </c>
      <c r="I703" s="25">
        <f>IFERROR(INDEX('Aub Demand'!U:U,MATCH(O703,'Aub Demand'!A:A,0)),"")</f>
        <v>72</v>
      </c>
      <c r="J703" s="25">
        <f>IFERROR(INDEX('Aub Demand'!T:T,MATCH(O703,'Aub Demand'!A:A,0)),"")</f>
        <v>59</v>
      </c>
      <c r="K703" s="25">
        <f>IFERROR(INDEX('Aub Demand'!S:S,MATCH(O703,'Aub Demand'!A:A,0)),"")</f>
        <v>0</v>
      </c>
      <c r="L703" s="25">
        <f>IFERROR(INDEX('Aub Demand'!R:R,MATCH(O703,'Aub Demand'!A:A,0)),"")</f>
        <v>0</v>
      </c>
      <c r="O703" s="27" t="s">
        <v>2248</v>
      </c>
      <c r="P703" s="27" t="str">
        <f>IFERROR(INDEX('Aub Demand'!B:B,MATCH($O703,'Aub Demand'!$A:$A,0)),"")</f>
        <v>LUNARIA SHADOW 50"</v>
      </c>
      <c r="Q703" s="27" t="str">
        <f>IFERROR(INDEX('Aub Demand'!C:C,MATCH($O703,'Aub Demand'!$A:$A,0)),"")</f>
        <v>SUDDE</v>
      </c>
      <c r="R703" s="52">
        <f>IFERROR(IF(AR704=AR703,INDEX('Aub Demand'!K:K,MATCH($O703,'Aub Demand'!$A:$A,0))-IF(AN703="",0,AN703)+AP704,INDEX('Aub Demand'!K:K,MATCH($O703,'Aub Demand'!$A:$A,0))-IF(AN703="",0,AN703)),"")</f>
        <v>293</v>
      </c>
      <c r="S703" s="53">
        <f t="shared" si="280"/>
        <v>28.5</v>
      </c>
      <c r="T703" s="52" t="str">
        <f t="shared" si="281"/>
        <v/>
      </c>
      <c r="U703" s="52">
        <f>IFERROR(IF(AR704=AR703,INDEX('Aub Demand'!Q:Q,MATCH($O703,'Aub Demand'!$A:$A,0))-IF(AN703="",0,AN703)+AP704,INDEX('Aub Demand'!Q:Q,MATCH($O703,'Aub Demand'!$A:$A,0))-IF(AN703="",0,AN703)),"")</f>
        <v>293</v>
      </c>
      <c r="V703" s="53">
        <f t="shared" si="282"/>
        <v>28.5</v>
      </c>
      <c r="W703" s="52" t="str">
        <f t="shared" si="283"/>
        <v/>
      </c>
      <c r="X703" s="52">
        <f>IFERROR(IF(AND(AR704=AR703,AM703&lt;&gt;""),INDEX('Aub Demand'!Q:Q,MATCH($O703,'Aub Demand'!$A:$A,0))-IF(AN703="",0,AN703)+AP704+AD703+AL703,IF(AR704=AR703,INDEX('Aub Demand'!Q:Q,MATCH($O703,'Aub Demand'!$A:$A,0))-IF(AN703="",0,AN703)+AP704+AD703,IF(AM703&lt;&gt;"",INDEX('Aub Demand'!Q:Q,MATCH($O703,'Aub Demand'!$A:$A,0))-IF(AN703="",0,AN703)+AD703+AL703,INDEX('Aub Demand'!Q:Q,MATCH($O703,'Aub Demand'!$A:$A,0))-IF(AN703="",0,AN703)+AD703))),"")</f>
        <v>293</v>
      </c>
      <c r="Y703" s="53">
        <f t="shared" si="284"/>
        <v>28.5</v>
      </c>
      <c r="Z703" s="52">
        <f>IF(L703="","",INDEX('Aub Demand'!H:H,MATCH($O703,'Aub Demand'!$A:$A,0)))</f>
        <v>44</v>
      </c>
      <c r="AA703" s="52">
        <f t="shared" si="285"/>
        <v>65.5</v>
      </c>
      <c r="AB703" s="52">
        <f>IFERROR(INDEX('Aub Demand'!L:L,MATCH($O703,'Aub Demand'!$A:$A,0)),"")</f>
        <v>48</v>
      </c>
      <c r="AC703" s="52">
        <f>IFERROR(IF(O703="","",SUMIFS('CPL Mats'!F:F,'CPL Mats'!Q:Q,AR703,'CPL Mats'!S:S,AS703)),"")</f>
        <v>0</v>
      </c>
      <c r="AF703" s="25" t="str">
        <f>IF(SUMIFS('Supp Consol'!S:S,'Supp Consol'!Y:Y,"Releasable",'Supp Consol'!A:A,O703)=0,"",SUMIFS('Supp Consol'!S:S,'Supp Consol'!Y:Y,"Releasable",'Supp Consol'!A:A,O703))</f>
        <v/>
      </c>
      <c r="AG703" s="25" t="str">
        <f>IFERROR(INDEX('Hun Demand'!Q:Q,MATCH(O703,'Hun Demand'!A:A,0)),"")</f>
        <v/>
      </c>
      <c r="AH703" s="25" t="str">
        <f>IFERROR(INDEX('Hun Demand'!H:H,MATCH($O703,'Hun Demand'!$A:$A,0)),"")</f>
        <v/>
      </c>
      <c r="AI703" s="25" t="str">
        <f>IF(SUMIFS('Supp Consol'!AA:AA,'Supp Consol'!Z:Z,"Expires this month",'Supp Consol'!A:A,O703)=0,"",SUMIFS('Supp Consol'!AA:AA,'Supp Consol'!Z:Z,"Expires this month",'Supp Consol'!A:A,O703))</f>
        <v/>
      </c>
      <c r="AJ703" s="25" t="str">
        <f>IF(SUMIFS('Supp Consol'!AA:AA,'Supp Consol'!Z:Z,"Expired Previous Months",'Supp Consol'!A:A,O703)=0,"",SUMIFS('Supp Consol'!AA:AA,'Supp Consol'!Z:Z,"Expired Previous Months",'Supp Consol'!A:A,O703))</f>
        <v/>
      </c>
      <c r="AK703" s="25" t="str">
        <f>IFERROR(INDEX('Hun Release Current'!B:B,MATCH(O703,'Hun Release Current'!A:A,0)),"")</f>
        <v/>
      </c>
      <c r="AL703" s="25" t="str">
        <f>IF(SUMIF('Prev Aub'!A:A,O703,'Prev Aub'!B:B)=0,"",SUMIF('Prev Aub'!A:A,O703,'Prev Aub'!B:B))</f>
        <v/>
      </c>
      <c r="AN703" s="25" t="s">
        <v>3790</v>
      </c>
      <c r="AO703" s="25" t="s">
        <v>3790</v>
      </c>
      <c r="AP703" s="25">
        <f t="shared" si="286"/>
        <v>0</v>
      </c>
      <c r="AQ703" s="151" t="str">
        <f>IF(SUMIFS('Supp Consol'!S:S,'Supp Consol'!A:A,O703,'Supp Consol'!I:I,"PENDING")=0,"",SUMIFS('Supp Consol'!S:S,'Supp Consol'!A:A,O703,'Supp Consol'!I:I,"PENDING"))</f>
        <v/>
      </c>
      <c r="AR703" s="27" t="str">
        <f t="shared" si="287"/>
        <v>LU601</v>
      </c>
      <c r="AS703" s="27" t="str">
        <f t="shared" si="288"/>
        <v>50</v>
      </c>
      <c r="AT703" s="27" t="str">
        <f t="shared" si="289"/>
        <v/>
      </c>
      <c r="AU703" s="27" t="str">
        <f t="shared" si="290"/>
        <v/>
      </c>
      <c r="AV703" s="27" t="str">
        <f t="shared" si="291"/>
        <v/>
      </c>
      <c r="AW703" s="27" t="str">
        <f t="shared" si="292"/>
        <v/>
      </c>
      <c r="AX703" s="27" t="str">
        <f t="shared" si="293"/>
        <v/>
      </c>
      <c r="AY703" s="27" t="str">
        <f t="shared" si="294"/>
        <v/>
      </c>
      <c r="AZ703" s="27" t="str">
        <f t="shared" si="295"/>
        <v/>
      </c>
      <c r="BA703" s="27" t="str">
        <f t="shared" si="296"/>
        <v/>
      </c>
      <c r="BB703" s="27" t="str">
        <f t="shared" si="297"/>
        <v/>
      </c>
      <c r="BC703" s="27" t="str">
        <f t="shared" si="298"/>
        <v/>
      </c>
      <c r="BD703" s="27" t="str">
        <f t="shared" si="299"/>
        <v/>
      </c>
      <c r="BE703" s="27" t="str">
        <f t="shared" si="300"/>
        <v/>
      </c>
      <c r="BF703" s="27" t="str">
        <f t="shared" si="301"/>
        <v/>
      </c>
      <c r="BG703" s="27" t="str">
        <f t="shared" si="302"/>
        <v/>
      </c>
      <c r="BH703" s="27" t="str">
        <f t="shared" si="303"/>
        <v/>
      </c>
      <c r="BI703" s="27" t="str">
        <f t="shared" si="304"/>
        <v/>
      </c>
      <c r="BJ703" s="27" t="str">
        <f t="shared" si="305"/>
        <v/>
      </c>
      <c r="BK703" s="27" t="str">
        <f t="shared" si="306"/>
        <v/>
      </c>
      <c r="BL703" s="27" t="str">
        <f t="shared" si="307"/>
        <v/>
      </c>
      <c r="BM703" s="21" t="s">
        <v>5581</v>
      </c>
    </row>
    <row r="704" spans="1:65" ht="15">
      <c r="A704" s="25" t="str">
        <f>IFERROR(INDEX('Hun Demand'!W:W,MATCH(O704,'Hun Demand'!A:A,0)),"")</f>
        <v/>
      </c>
      <c r="B704" s="25" t="str">
        <f>IFERROR(INDEX('Hun Demand'!V:V,MATCH(O704,'Hun Demand'!A:A,0)),"")</f>
        <v/>
      </c>
      <c r="C704" s="25" t="str">
        <f>IFERROR(INDEX('Hun Demand'!U:U,MATCH(O704,'Hun Demand'!A:A,0)),"")</f>
        <v/>
      </c>
      <c r="D704" s="25" t="str">
        <f>IFERROR(INDEX('Hun Demand'!T:T,MATCH(O704,'Hun Demand'!A:A,0)),"")</f>
        <v/>
      </c>
      <c r="E704" s="25" t="str">
        <f>IFERROR(INDEX('Hun Demand'!S:S,MATCH(O704,'Hun Demand'!A:A,0)),"")</f>
        <v/>
      </c>
      <c r="F704" s="25" t="str">
        <f>IFERROR(INDEX('Hun Demand'!R:R,MATCH(O704,'Hun Demand'!A:A,0)),"")</f>
        <v/>
      </c>
      <c r="G704" s="25">
        <f>IFERROR(INDEX('Aub Demand'!W:W,MATCH(O704,'Aub Demand'!A:A,0)),"")</f>
        <v>0</v>
      </c>
      <c r="H704" s="25">
        <f>IFERROR(INDEX('Aub Demand'!V:V,MATCH(O704,'Aub Demand'!A:A,0)),"")</f>
        <v>107</v>
      </c>
      <c r="I704" s="25">
        <f>IFERROR(INDEX('Aub Demand'!U:U,MATCH(O704,'Aub Demand'!A:A,0)),"")</f>
        <v>112</v>
      </c>
      <c r="J704" s="25">
        <f>IFERROR(INDEX('Aub Demand'!T:T,MATCH(O704,'Aub Demand'!A:A,0)),"")</f>
        <v>0</v>
      </c>
      <c r="K704" s="25">
        <f>IFERROR(INDEX('Aub Demand'!S:S,MATCH(O704,'Aub Demand'!A:A,0)),"")</f>
        <v>0</v>
      </c>
      <c r="L704" s="25">
        <f>IFERROR(INDEX('Aub Demand'!R:R,MATCH(O704,'Aub Demand'!A:A,0)),"")</f>
        <v>0</v>
      </c>
      <c r="O704" s="27" t="s">
        <v>2250</v>
      </c>
      <c r="P704" s="27" t="str">
        <f>IFERROR(INDEX('Aub Demand'!B:B,MATCH($O704,'Aub Demand'!$A:$A,0)),"")</f>
        <v>LUNARIA SHADOW 62"</v>
      </c>
      <c r="Q704" s="27" t="str">
        <f>IFERROR(INDEX('Aub Demand'!C:C,MATCH($O704,'Aub Demand'!$A:$A,0)),"")</f>
        <v>SUDDE</v>
      </c>
      <c r="R704" s="52">
        <f>IFERROR(IF(AR705=AR704,INDEX('Aub Demand'!K:K,MATCH($O704,'Aub Demand'!$A:$A,0))-IF(AN704="",0,AN704)+AP705,INDEX('Aub Demand'!K:K,MATCH($O704,'Aub Demand'!$A:$A,0))-IF(AN704="",0,AN704)),"")</f>
        <v>1422</v>
      </c>
      <c r="S704" s="53">
        <f t="shared" si="280"/>
        <v>164.7</v>
      </c>
      <c r="T704" s="52" t="str">
        <f t="shared" si="281"/>
        <v/>
      </c>
      <c r="U704" s="52">
        <f>IFERROR(IF(AR705=AR704,INDEX('Aub Demand'!Q:Q,MATCH($O704,'Aub Demand'!$A:$A,0))-IF(AN704="",0,AN704)+AP705,INDEX('Aub Demand'!Q:Q,MATCH($O704,'Aub Demand'!$A:$A,0))-IF(AN704="",0,AN704)),"")</f>
        <v>1402</v>
      </c>
      <c r="V704" s="53">
        <f t="shared" si="282"/>
        <v>162.4</v>
      </c>
      <c r="W704" s="52" t="str">
        <f t="shared" si="283"/>
        <v/>
      </c>
      <c r="X704" s="52">
        <f>IFERROR(IF(AND(AR705=AR704,AM704&lt;&gt;""),INDEX('Aub Demand'!Q:Q,MATCH($O704,'Aub Demand'!$A:$A,0))-IF(AN704="",0,AN704)+AP705+AD704+AL704,IF(AR705=AR704,INDEX('Aub Demand'!Q:Q,MATCH($O704,'Aub Demand'!$A:$A,0))-IF(AN704="",0,AN704)+AP705+AD704,IF(AM704&lt;&gt;"",INDEX('Aub Demand'!Q:Q,MATCH($O704,'Aub Demand'!$A:$A,0))-IF(AN704="",0,AN704)+AD704+AL704,INDEX('Aub Demand'!Q:Q,MATCH($O704,'Aub Demand'!$A:$A,0))-IF(AN704="",0,AN704)+AD704))),"")</f>
        <v>1402</v>
      </c>
      <c r="Y704" s="53">
        <f t="shared" si="284"/>
        <v>162.4</v>
      </c>
      <c r="Z704" s="52">
        <f>IF(L704="","",INDEX('Aub Demand'!H:H,MATCH($O704,'Aub Demand'!$A:$A,0)))</f>
        <v>37</v>
      </c>
      <c r="AA704" s="52" t="str">
        <f t="shared" si="285"/>
        <v>-spike-</v>
      </c>
      <c r="AB704" s="52">
        <f>IFERROR(INDEX('Aub Demand'!L:L,MATCH($O704,'Aub Demand'!$A:$A,0)),"")</f>
        <v>81</v>
      </c>
      <c r="AC704" s="52">
        <f>IFERROR(IF(O704="","",SUMIFS('CPL Mats'!F:F,'CPL Mats'!Q:Q,AR704,'CPL Mats'!S:S,AS704)),"")</f>
        <v>0</v>
      </c>
      <c r="AF704" s="25" t="str">
        <f>IF(SUMIFS('Supp Consol'!S:S,'Supp Consol'!Y:Y,"Releasable",'Supp Consol'!A:A,O704)=0,"",SUMIFS('Supp Consol'!S:S,'Supp Consol'!Y:Y,"Releasable",'Supp Consol'!A:A,O704))</f>
        <v/>
      </c>
      <c r="AG704" s="25" t="str">
        <f>IFERROR(INDEX('Hun Demand'!Q:Q,MATCH(O704,'Hun Demand'!A:A,0)),"")</f>
        <v/>
      </c>
      <c r="AH704" s="25" t="str">
        <f>IFERROR(INDEX('Hun Demand'!H:H,MATCH($O704,'Hun Demand'!$A:$A,0)),"")</f>
        <v/>
      </c>
      <c r="AI704" s="25" t="str">
        <f>IF(SUMIFS('Supp Consol'!AA:AA,'Supp Consol'!Z:Z,"Expires this month",'Supp Consol'!A:A,O704)=0,"",SUMIFS('Supp Consol'!AA:AA,'Supp Consol'!Z:Z,"Expires this month",'Supp Consol'!A:A,O704))</f>
        <v/>
      </c>
      <c r="AJ704" s="25" t="str">
        <f>IF(SUMIFS('Supp Consol'!AA:AA,'Supp Consol'!Z:Z,"Expired Previous Months",'Supp Consol'!A:A,O704)=0,"",SUMIFS('Supp Consol'!AA:AA,'Supp Consol'!Z:Z,"Expired Previous Months",'Supp Consol'!A:A,O704))</f>
        <v/>
      </c>
      <c r="AK704" s="25" t="str">
        <f>IFERROR(INDEX('Hun Release Current'!B:B,MATCH(O704,'Hun Release Current'!A:A,0)),"")</f>
        <v/>
      </c>
      <c r="AL704" s="25" t="str">
        <f>IF(SUMIF('Prev Aub'!A:A,O704,'Prev Aub'!B:B)=0,"",SUMIF('Prev Aub'!A:A,O704,'Prev Aub'!B:B))</f>
        <v/>
      </c>
      <c r="AN704" s="25" t="s">
        <v>3790</v>
      </c>
      <c r="AO704" s="25" t="s">
        <v>3790</v>
      </c>
      <c r="AP704" s="25">
        <f t="shared" si="286"/>
        <v>0</v>
      </c>
      <c r="AQ704" s="151" t="str">
        <f>IF(SUMIFS('Supp Consol'!S:S,'Supp Consol'!A:A,O704,'Supp Consol'!I:I,"PENDING")=0,"",SUMIFS('Supp Consol'!S:S,'Supp Consol'!A:A,O704,'Supp Consol'!I:I,"PENDING"))</f>
        <v/>
      </c>
      <c r="AR704" s="27" t="str">
        <f t="shared" si="287"/>
        <v>LU601</v>
      </c>
      <c r="AS704" s="27" t="str">
        <f t="shared" si="288"/>
        <v>62</v>
      </c>
      <c r="AT704" s="27" t="str">
        <f t="shared" si="289"/>
        <v/>
      </c>
      <c r="AU704" s="27" t="str">
        <f t="shared" si="290"/>
        <v/>
      </c>
      <c r="AV704" s="27" t="str">
        <f t="shared" si="291"/>
        <v/>
      </c>
      <c r="AW704" s="27" t="str">
        <f t="shared" si="292"/>
        <v/>
      </c>
      <c r="AX704" s="27" t="str">
        <f t="shared" si="293"/>
        <v/>
      </c>
      <c r="AY704" s="27" t="str">
        <f t="shared" si="294"/>
        <v/>
      </c>
      <c r="AZ704" s="27" t="str">
        <f t="shared" si="295"/>
        <v/>
      </c>
      <c r="BA704" s="27" t="str">
        <f t="shared" si="296"/>
        <v/>
      </c>
      <c r="BB704" s="27" t="str">
        <f t="shared" si="297"/>
        <v/>
      </c>
      <c r="BC704" s="27" t="str">
        <f t="shared" si="298"/>
        <v/>
      </c>
      <c r="BD704" s="27" t="str">
        <f t="shared" si="299"/>
        <v/>
      </c>
      <c r="BE704" s="27" t="str">
        <f t="shared" si="300"/>
        <v/>
      </c>
      <c r="BF704" s="27" t="str">
        <f t="shared" si="301"/>
        <v/>
      </c>
      <c r="BG704" s="27" t="str">
        <f t="shared" si="302"/>
        <v/>
      </c>
      <c r="BH704" s="27" t="str">
        <f t="shared" si="303"/>
        <v/>
      </c>
      <c r="BI704" s="27" t="str">
        <f t="shared" si="304"/>
        <v/>
      </c>
      <c r="BJ704" s="27" t="str">
        <f t="shared" si="305"/>
        <v/>
      </c>
      <c r="BK704" s="27" t="str">
        <f t="shared" si="306"/>
        <v/>
      </c>
      <c r="BL704" s="27" t="str">
        <f t="shared" si="307"/>
        <v/>
      </c>
      <c r="BM704" s="21" t="s">
        <v>5581</v>
      </c>
    </row>
    <row r="705" spans="1:65" ht="15">
      <c r="A705" s="25" t="str">
        <f>IFERROR(INDEX('Hun Demand'!W:W,MATCH(O705,'Hun Demand'!A:A,0)),"")</f>
        <v/>
      </c>
      <c r="B705" s="25" t="str">
        <f>IFERROR(INDEX('Hun Demand'!V:V,MATCH(O705,'Hun Demand'!A:A,0)),"")</f>
        <v/>
      </c>
      <c r="C705" s="25" t="str">
        <f>IFERROR(INDEX('Hun Demand'!U:U,MATCH(O705,'Hun Demand'!A:A,0)),"")</f>
        <v/>
      </c>
      <c r="D705" s="25" t="str">
        <f>IFERROR(INDEX('Hun Demand'!T:T,MATCH(O705,'Hun Demand'!A:A,0)),"")</f>
        <v/>
      </c>
      <c r="E705" s="25" t="str">
        <f>IFERROR(INDEX('Hun Demand'!S:S,MATCH(O705,'Hun Demand'!A:A,0)),"")</f>
        <v/>
      </c>
      <c r="F705" s="25" t="str">
        <f>IFERROR(INDEX('Hun Demand'!R:R,MATCH(O705,'Hun Demand'!A:A,0)),"")</f>
        <v/>
      </c>
      <c r="G705" s="25">
        <f>IFERROR(INDEX('Aub Demand'!W:W,MATCH(O705,'Aub Demand'!A:A,0)),"")</f>
        <v>0</v>
      </c>
      <c r="H705" s="25">
        <f>IFERROR(INDEX('Aub Demand'!V:V,MATCH(O705,'Aub Demand'!A:A,0)),"")</f>
        <v>0</v>
      </c>
      <c r="I705" s="25">
        <f>IFERROR(INDEX('Aub Demand'!U:U,MATCH(O705,'Aub Demand'!A:A,0)),"")</f>
        <v>0</v>
      </c>
      <c r="J705" s="25">
        <f>IFERROR(INDEX('Aub Demand'!T:T,MATCH(O705,'Aub Demand'!A:A,0)),"")</f>
        <v>0</v>
      </c>
      <c r="K705" s="25">
        <f>IFERROR(INDEX('Aub Demand'!S:S,MATCH(O705,'Aub Demand'!A:A,0)),"")</f>
        <v>0</v>
      </c>
      <c r="L705" s="25">
        <f>IFERROR(INDEX('Aub Demand'!R:R,MATCH(O705,'Aub Demand'!A:A,0)),"")</f>
        <v>0</v>
      </c>
      <c r="O705" s="27" t="s">
        <v>2252</v>
      </c>
      <c r="P705" s="27" t="str">
        <f>IFERROR(INDEX('Aub Demand'!B:B,MATCH($O705,'Aub Demand'!$A:$A,0)),"")</f>
        <v>LUNARIA ECLIPSE 62"</v>
      </c>
      <c r="Q705" s="27" t="str">
        <f>IFERROR(INDEX('Aub Demand'!C:C,MATCH($O705,'Aub Demand'!$A:$A,0)),"")</f>
        <v>SUDDE</v>
      </c>
      <c r="R705" s="52">
        <f>IFERROR(IF(AR706=AR705,INDEX('Aub Demand'!K:K,MATCH($O705,'Aub Demand'!$A:$A,0))-IF(AN705="",0,AN705)+AP706,INDEX('Aub Demand'!K:K,MATCH($O705,'Aub Demand'!$A:$A,0))-IF(AN705="",0,AN705)),"")</f>
        <v>851</v>
      </c>
      <c r="S705" s="53" t="str">
        <f t="shared" si="280"/>
        <v>n/a</v>
      </c>
      <c r="T705" s="52" t="str">
        <f t="shared" si="281"/>
        <v/>
      </c>
      <c r="U705" s="52">
        <f>IFERROR(IF(AR706=AR705,INDEX('Aub Demand'!Q:Q,MATCH($O705,'Aub Demand'!$A:$A,0))-IF(AN705="",0,AN705)+AP706,INDEX('Aub Demand'!Q:Q,MATCH($O705,'Aub Demand'!$A:$A,0))-IF(AN705="",0,AN705)),"")</f>
        <v>851</v>
      </c>
      <c r="V705" s="53" t="str">
        <f t="shared" si="282"/>
        <v>n/a</v>
      </c>
      <c r="W705" s="52" t="str">
        <f t="shared" si="283"/>
        <v/>
      </c>
      <c r="X705" s="52">
        <f>IFERROR(IF(AND(AR706=AR705,AM705&lt;&gt;""),INDEX('Aub Demand'!Q:Q,MATCH($O705,'Aub Demand'!$A:$A,0))-IF(AN705="",0,AN705)+AP706+AD705+AL705,IF(AR706=AR705,INDEX('Aub Demand'!Q:Q,MATCH($O705,'Aub Demand'!$A:$A,0))-IF(AN705="",0,AN705)+AP706+AD705,IF(AM705&lt;&gt;"",INDEX('Aub Demand'!Q:Q,MATCH($O705,'Aub Demand'!$A:$A,0))-IF(AN705="",0,AN705)+AD705+AL705,INDEX('Aub Demand'!Q:Q,MATCH($O705,'Aub Demand'!$A:$A,0))-IF(AN705="",0,AN705)+AD705))),"")</f>
        <v>851</v>
      </c>
      <c r="Y705" s="53" t="str">
        <f t="shared" si="284"/>
        <v>n/a</v>
      </c>
      <c r="Z705" s="52">
        <f>IF(L705="","",INDEX('Aub Demand'!H:H,MATCH($O705,'Aub Demand'!$A:$A,0)))</f>
        <v>0</v>
      </c>
      <c r="AA705" s="52" t="str">
        <f t="shared" si="285"/>
        <v>-spike-</v>
      </c>
      <c r="AB705" s="52">
        <f>IFERROR(INDEX('Aub Demand'!L:L,MATCH($O705,'Aub Demand'!$A:$A,0)),"")</f>
        <v>28</v>
      </c>
      <c r="AC705" s="52">
        <f>IFERROR(IF(O705="","",SUMIFS('CPL Mats'!F:F,'CPL Mats'!Q:Q,AR705,'CPL Mats'!S:S,AS705)),"")</f>
        <v>0</v>
      </c>
      <c r="AF705" s="25" t="str">
        <f>IF(SUMIFS('Supp Consol'!S:S,'Supp Consol'!Y:Y,"Releasable",'Supp Consol'!A:A,O705)=0,"",SUMIFS('Supp Consol'!S:S,'Supp Consol'!Y:Y,"Releasable",'Supp Consol'!A:A,O705))</f>
        <v/>
      </c>
      <c r="AG705" s="25" t="str">
        <f>IFERROR(INDEX('Hun Demand'!Q:Q,MATCH(O705,'Hun Demand'!A:A,0)),"")</f>
        <v/>
      </c>
      <c r="AH705" s="25" t="str">
        <f>IFERROR(INDEX('Hun Demand'!H:H,MATCH($O705,'Hun Demand'!$A:$A,0)),"")</f>
        <v/>
      </c>
      <c r="AI705" s="25" t="str">
        <f>IF(SUMIFS('Supp Consol'!AA:AA,'Supp Consol'!Z:Z,"Expires this month",'Supp Consol'!A:A,O705)=0,"",SUMIFS('Supp Consol'!AA:AA,'Supp Consol'!Z:Z,"Expires this month",'Supp Consol'!A:A,O705))</f>
        <v/>
      </c>
      <c r="AJ705" s="25" t="str">
        <f>IF(SUMIFS('Supp Consol'!AA:AA,'Supp Consol'!Z:Z,"Expired Previous Months",'Supp Consol'!A:A,O705)=0,"",SUMIFS('Supp Consol'!AA:AA,'Supp Consol'!Z:Z,"Expired Previous Months",'Supp Consol'!A:A,O705))</f>
        <v/>
      </c>
      <c r="AK705" s="25" t="str">
        <f>IFERROR(INDEX('Hun Release Current'!B:B,MATCH(O705,'Hun Release Current'!A:A,0)),"")</f>
        <v/>
      </c>
      <c r="AL705" s="25" t="str">
        <f>IF(SUMIF('Prev Aub'!A:A,O705,'Prev Aub'!B:B)=0,"",SUMIF('Prev Aub'!A:A,O705,'Prev Aub'!B:B))</f>
        <v/>
      </c>
      <c r="AN705" s="25" t="s">
        <v>3790</v>
      </c>
      <c r="AO705" s="25" t="s">
        <v>3790</v>
      </c>
      <c r="AP705" s="25">
        <f t="shared" si="286"/>
        <v>0</v>
      </c>
      <c r="AQ705" s="151" t="str">
        <f>IF(SUMIFS('Supp Consol'!S:S,'Supp Consol'!A:A,O705,'Supp Consol'!I:I,"PENDING")=0,"",SUMIFS('Supp Consol'!S:S,'Supp Consol'!A:A,O705,'Supp Consol'!I:I,"PENDING"))</f>
        <v/>
      </c>
      <c r="AR705" s="27" t="str">
        <f t="shared" si="287"/>
        <v>LU602</v>
      </c>
      <c r="AS705" s="27" t="str">
        <f t="shared" si="288"/>
        <v>62</v>
      </c>
      <c r="AT705" s="27" t="str">
        <f t="shared" si="289"/>
        <v/>
      </c>
      <c r="AU705" s="27" t="str">
        <f t="shared" si="290"/>
        <v/>
      </c>
      <c r="AV705" s="27" t="str">
        <f t="shared" si="291"/>
        <v/>
      </c>
      <c r="AW705" s="27" t="str">
        <f t="shared" si="292"/>
        <v/>
      </c>
      <c r="AX705" s="27" t="str">
        <f t="shared" si="293"/>
        <v/>
      </c>
      <c r="AY705" s="27" t="str">
        <f t="shared" si="294"/>
        <v/>
      </c>
      <c r="AZ705" s="27" t="str">
        <f t="shared" si="295"/>
        <v/>
      </c>
      <c r="BA705" s="27" t="str">
        <f t="shared" si="296"/>
        <v/>
      </c>
      <c r="BB705" s="27" t="str">
        <f t="shared" si="297"/>
        <v/>
      </c>
      <c r="BC705" s="27" t="str">
        <f t="shared" si="298"/>
        <v/>
      </c>
      <c r="BD705" s="27" t="str">
        <f t="shared" si="299"/>
        <v/>
      </c>
      <c r="BE705" s="27" t="str">
        <f t="shared" si="300"/>
        <v/>
      </c>
      <c r="BF705" s="27" t="str">
        <f t="shared" si="301"/>
        <v/>
      </c>
      <c r="BG705" s="27" t="str">
        <f t="shared" si="302"/>
        <v/>
      </c>
      <c r="BH705" s="27" t="str">
        <f t="shared" si="303"/>
        <v/>
      </c>
      <c r="BI705" s="27" t="str">
        <f t="shared" si="304"/>
        <v/>
      </c>
      <c r="BJ705" s="27" t="str">
        <f t="shared" si="305"/>
        <v/>
      </c>
      <c r="BK705" s="27" t="str">
        <f t="shared" si="306"/>
        <v/>
      </c>
      <c r="BL705" s="27" t="str">
        <f t="shared" si="307"/>
        <v/>
      </c>
      <c r="BM705" s="21" t="s">
        <v>3790</v>
      </c>
    </row>
    <row r="706" spans="1:65" ht="15">
      <c r="A706" s="25" t="str">
        <f>IFERROR(INDEX('Hun Demand'!W:W,MATCH(O706,'Hun Demand'!A:A,0)),"")</f>
        <v/>
      </c>
      <c r="B706" s="25" t="str">
        <f>IFERROR(INDEX('Hun Demand'!V:V,MATCH(O706,'Hun Demand'!A:A,0)),"")</f>
        <v/>
      </c>
      <c r="C706" s="25" t="str">
        <f>IFERROR(INDEX('Hun Demand'!U:U,MATCH(O706,'Hun Demand'!A:A,0)),"")</f>
        <v/>
      </c>
      <c r="D706" s="25" t="str">
        <f>IFERROR(INDEX('Hun Demand'!T:T,MATCH(O706,'Hun Demand'!A:A,0)),"")</f>
        <v/>
      </c>
      <c r="E706" s="25" t="str">
        <f>IFERROR(INDEX('Hun Demand'!S:S,MATCH(O706,'Hun Demand'!A:A,0)),"")</f>
        <v/>
      </c>
      <c r="F706" s="25" t="str">
        <f>IFERROR(INDEX('Hun Demand'!R:R,MATCH(O706,'Hun Demand'!A:A,0)),"")</f>
        <v/>
      </c>
      <c r="G706" s="25">
        <f>IFERROR(INDEX('Aub Demand'!W:W,MATCH(O706,'Aub Demand'!A:A,0)),"")</f>
        <v>629</v>
      </c>
      <c r="H706" s="25">
        <f>IFERROR(INDEX('Aub Demand'!V:V,MATCH(O706,'Aub Demand'!A:A,0)),"")</f>
        <v>260</v>
      </c>
      <c r="I706" s="25">
        <f>IFERROR(INDEX('Aub Demand'!U:U,MATCH(O706,'Aub Demand'!A:A,0)),"")</f>
        <v>0</v>
      </c>
      <c r="J706" s="25">
        <f>IFERROR(INDEX('Aub Demand'!T:T,MATCH(O706,'Aub Demand'!A:A,0)),"")</f>
        <v>0</v>
      </c>
      <c r="K706" s="25">
        <f>IFERROR(INDEX('Aub Demand'!S:S,MATCH(O706,'Aub Demand'!A:A,0)),"")</f>
        <v>126</v>
      </c>
      <c r="L706" s="25">
        <f>IFERROR(INDEX('Aub Demand'!R:R,MATCH(O706,'Aub Demand'!A:A,0)),"")</f>
        <v>0</v>
      </c>
      <c r="O706" s="27" t="s">
        <v>2255</v>
      </c>
      <c r="P706" s="27" t="str">
        <f>IFERROR(INDEX('Aub Demand'!B:B,MATCH($O706,'Aub Demand'!$A:$A,0)),"")</f>
        <v>HIGH WEAR OVERLAY</v>
      </c>
      <c r="Q706" s="27" t="str">
        <f>IFERROR(INDEX('Aub Demand'!C:C,MATCH($O706,'Aub Demand'!$A:$A,0)),"")</f>
        <v>GLATF</v>
      </c>
      <c r="R706" s="52">
        <f>IFERROR(IF(AR707=AR706,INDEX('Aub Demand'!K:K,MATCH($O706,'Aub Demand'!$A:$A,0))-IF(AN706="",0,AN706)+AP707,INDEX('Aub Demand'!K:K,MATCH($O706,'Aub Demand'!$A:$A,0))-IF(AN706="",0,AN706)),"")</f>
        <v>4627</v>
      </c>
      <c r="S706" s="53">
        <f t="shared" si="280"/>
        <v>472.1</v>
      </c>
      <c r="T706" s="52" t="str">
        <f t="shared" si="281"/>
        <v/>
      </c>
      <c r="U706" s="52">
        <f>IFERROR(IF(AR707=AR706,INDEX('Aub Demand'!Q:Q,MATCH($O706,'Aub Demand'!$A:$A,0))-IF(AN706="",0,AN706)+AP707,INDEX('Aub Demand'!Q:Q,MATCH($O706,'Aub Demand'!$A:$A,0))-IF(AN706="",0,AN706)),"")</f>
        <v>4437</v>
      </c>
      <c r="V706" s="53">
        <f t="shared" si="282"/>
        <v>452.8</v>
      </c>
      <c r="W706" s="52" t="str">
        <f t="shared" si="283"/>
        <v/>
      </c>
      <c r="X706" s="52">
        <f>IFERROR(IF(AND(AR707=AR706,AM706&lt;&gt;""),INDEX('Aub Demand'!Q:Q,MATCH($O706,'Aub Demand'!$A:$A,0))-IF(AN706="",0,AN706)+AP707+AD706+AL706,IF(AR707=AR706,INDEX('Aub Demand'!Q:Q,MATCH($O706,'Aub Demand'!$A:$A,0))-IF(AN706="",0,AN706)+AP707+AD706,IF(AM706&lt;&gt;"",INDEX('Aub Demand'!Q:Q,MATCH($O706,'Aub Demand'!$A:$A,0))-IF(AN706="",0,AN706)+AD706+AL706,INDEX('Aub Demand'!Q:Q,MATCH($O706,'Aub Demand'!$A:$A,0))-IF(AN706="",0,AN706)+AD706))),"")</f>
        <v>4437</v>
      </c>
      <c r="Y706" s="53">
        <f t="shared" si="284"/>
        <v>452.8</v>
      </c>
      <c r="Z706" s="52">
        <f>IF(L706="","",INDEX('Aub Demand'!H:H,MATCH($O706,'Aub Demand'!$A:$A,0)))</f>
        <v>42</v>
      </c>
      <c r="AA706" s="52" t="str">
        <f t="shared" si="285"/>
        <v>-spike-</v>
      </c>
      <c r="AB706" s="52">
        <f>IFERROR(INDEX('Aub Demand'!L:L,MATCH($O706,'Aub Demand'!$A:$A,0)),"")</f>
        <v>63</v>
      </c>
      <c r="AC706" s="52">
        <f>IFERROR(IF(O706="","",SUMIFS('CPL Mats'!F:F,'CPL Mats'!Q:Q,AR706,'CPL Mats'!S:S,AS706)),"")</f>
        <v>0</v>
      </c>
      <c r="AF706" s="25">
        <f>IF(SUMIFS('Supp Consol'!S:S,'Supp Consol'!Y:Y,"Releasable",'Supp Consol'!A:A,O706)=0,"",SUMIFS('Supp Consol'!S:S,'Supp Consol'!Y:Y,"Releasable",'Supp Consol'!A:A,O706))</f>
        <v>3586</v>
      </c>
      <c r="AG706" s="25" t="str">
        <f>IFERROR(INDEX('Hun Demand'!Q:Q,MATCH(O706,'Hun Demand'!A:A,0)),"")</f>
        <v/>
      </c>
      <c r="AH706" s="25" t="str">
        <f>IFERROR(INDEX('Hun Demand'!H:H,MATCH($O706,'Hun Demand'!$A:$A,0)),"")</f>
        <v/>
      </c>
      <c r="AI706" s="25" t="str">
        <f>IF(SUMIFS('Supp Consol'!AA:AA,'Supp Consol'!Z:Z,"Expires this month",'Supp Consol'!A:A,O706)=0,"",SUMIFS('Supp Consol'!AA:AA,'Supp Consol'!Z:Z,"Expires this month",'Supp Consol'!A:A,O706))</f>
        <v/>
      </c>
      <c r="AJ706" s="25" t="str">
        <f>IF(SUMIFS('Supp Consol'!AA:AA,'Supp Consol'!Z:Z,"Expired Previous Months",'Supp Consol'!A:A,O706)=0,"",SUMIFS('Supp Consol'!AA:AA,'Supp Consol'!Z:Z,"Expired Previous Months",'Supp Consol'!A:A,O706))</f>
        <v/>
      </c>
      <c r="AK706" s="25" t="str">
        <f>IFERROR(INDEX('Hun Release Current'!B:B,MATCH(O706,'Hun Release Current'!A:A,0)),"")</f>
        <v/>
      </c>
      <c r="AL706" s="25" t="str">
        <f>IF(SUMIF('Prev Aub'!A:A,O706,'Prev Aub'!B:B)=0,"",SUMIF('Prev Aub'!A:A,O706,'Prev Aub'!B:B))</f>
        <v/>
      </c>
      <c r="AN706" s="25" t="s">
        <v>3790</v>
      </c>
      <c r="AO706" s="25" t="s">
        <v>3790</v>
      </c>
      <c r="AP706" s="25">
        <f t="shared" si="286"/>
        <v>0</v>
      </c>
      <c r="AQ706" s="151" t="str">
        <f>IF(SUMIFS('Supp Consol'!S:S,'Supp Consol'!A:A,O706,'Supp Consol'!I:I,"PENDING")=0,"",SUMIFS('Supp Consol'!S:S,'Supp Consol'!A:A,O706,'Supp Consol'!I:I,"PENDING"))</f>
        <v/>
      </c>
      <c r="AR706" s="27" t="str">
        <f t="shared" si="287"/>
        <v>M0740</v>
      </c>
      <c r="AS706" s="27" t="str">
        <f t="shared" si="288"/>
        <v>50</v>
      </c>
      <c r="AT706" s="27" t="str">
        <f t="shared" si="289"/>
        <v/>
      </c>
      <c r="AU706" s="27" t="str">
        <f t="shared" si="290"/>
        <v/>
      </c>
      <c r="AV706" s="27" t="str">
        <f t="shared" si="291"/>
        <v/>
      </c>
      <c r="AW706" s="27" t="str">
        <f t="shared" si="292"/>
        <v/>
      </c>
      <c r="AX706" s="27" t="str">
        <f t="shared" si="293"/>
        <v>M0740</v>
      </c>
      <c r="AY706" s="27" t="str">
        <f t="shared" si="294"/>
        <v/>
      </c>
      <c r="AZ706" s="27" t="str">
        <f t="shared" si="295"/>
        <v>Supp</v>
      </c>
      <c r="BA706" s="27" t="str">
        <f t="shared" si="296"/>
        <v/>
      </c>
      <c r="BB706" s="27" t="str">
        <f t="shared" si="297"/>
        <v/>
      </c>
      <c r="BC706" s="27" t="str">
        <f t="shared" si="298"/>
        <v/>
      </c>
      <c r="BD706" s="27" t="str">
        <f t="shared" si="299"/>
        <v/>
      </c>
      <c r="BE706" s="27" t="str">
        <f t="shared" si="300"/>
        <v/>
      </c>
      <c r="BF706" s="27" t="str">
        <f t="shared" si="301"/>
        <v/>
      </c>
      <c r="BG706" s="27" t="str">
        <f t="shared" si="302"/>
        <v/>
      </c>
      <c r="BH706" s="27" t="str">
        <f t="shared" si="303"/>
        <v/>
      </c>
      <c r="BI706" s="27" t="str">
        <f t="shared" si="304"/>
        <v/>
      </c>
      <c r="BJ706" s="27" t="str">
        <f t="shared" si="305"/>
        <v>Supp or Hun</v>
      </c>
      <c r="BK706" s="27" t="str">
        <f t="shared" si="306"/>
        <v/>
      </c>
      <c r="BL706" s="27" t="str">
        <f t="shared" si="307"/>
        <v/>
      </c>
      <c r="BM706" s="21" t="s">
        <v>5581</v>
      </c>
    </row>
    <row r="707" spans="1:65" ht="15">
      <c r="A707" s="25" t="str">
        <f>IFERROR(INDEX('Hun Demand'!W:W,MATCH(O707,'Hun Demand'!A:A,0)),"")</f>
        <v/>
      </c>
      <c r="B707" s="25" t="str">
        <f>IFERROR(INDEX('Hun Demand'!V:V,MATCH(O707,'Hun Demand'!A:A,0)),"")</f>
        <v/>
      </c>
      <c r="C707" s="25" t="str">
        <f>IFERROR(INDEX('Hun Demand'!U:U,MATCH(O707,'Hun Demand'!A:A,0)),"")</f>
        <v/>
      </c>
      <c r="D707" s="25" t="str">
        <f>IFERROR(INDEX('Hun Demand'!T:T,MATCH(O707,'Hun Demand'!A:A,0)),"")</f>
        <v/>
      </c>
      <c r="E707" s="25" t="str">
        <f>IFERROR(INDEX('Hun Demand'!S:S,MATCH(O707,'Hun Demand'!A:A,0)),"")</f>
        <v/>
      </c>
      <c r="F707" s="25" t="str">
        <f>IFERROR(INDEX('Hun Demand'!R:R,MATCH(O707,'Hun Demand'!A:A,0)),"")</f>
        <v/>
      </c>
      <c r="G707" s="25">
        <f>IFERROR(INDEX('Aub Demand'!W:W,MATCH(O707,'Aub Demand'!A:A,0)),"")</f>
        <v>0</v>
      </c>
      <c r="H707" s="25">
        <f>IFERROR(INDEX('Aub Demand'!V:V,MATCH(O707,'Aub Demand'!A:A,0)),"")</f>
        <v>0</v>
      </c>
      <c r="I707" s="25">
        <f>IFERROR(INDEX('Aub Demand'!U:U,MATCH(O707,'Aub Demand'!A:A,0)),"")</f>
        <v>0</v>
      </c>
      <c r="J707" s="25">
        <f>IFERROR(INDEX('Aub Demand'!T:T,MATCH(O707,'Aub Demand'!A:A,0)),"")</f>
        <v>0</v>
      </c>
      <c r="K707" s="25">
        <f>IFERROR(INDEX('Aub Demand'!S:S,MATCH(O707,'Aub Demand'!A:A,0)),"")</f>
        <v>0</v>
      </c>
      <c r="L707" s="25">
        <f>IFERROR(INDEX('Aub Demand'!R:R,MATCH(O707,'Aub Demand'!A:A,0)),"")</f>
        <v>0</v>
      </c>
      <c r="O707" s="27" t="s">
        <v>2256</v>
      </c>
      <c r="P707" s="27" t="str">
        <f>IFERROR(INDEX('Aub Demand'!B:B,MATCH($O707,'Aub Demand'!$A:$A,0)),"")</f>
        <v>HIGH WEAR OVERLAY</v>
      </c>
      <c r="Q707" s="27" t="str">
        <f>IFERROR(INDEX('Aub Demand'!C:C,MATCH($O707,'Aub Demand'!$A:$A,0)),"")</f>
        <v>GLATF</v>
      </c>
      <c r="R707" s="52">
        <f>IFERROR(IF(AR708=AR707,INDEX('Aub Demand'!K:K,MATCH($O707,'Aub Demand'!$A:$A,0))-IF(AN707="",0,AN707)+AP708,INDEX('Aub Demand'!K:K,MATCH($O707,'Aub Demand'!$A:$A,0))-IF(AN707="",0,AN707)),"")</f>
        <v>4652</v>
      </c>
      <c r="S707" s="53" t="str">
        <f t="shared" ref="S707:S770" si="308">IFERROR(IF(O707="","",ROUND(R707/((Z707/30)*7),1)),"n/a")</f>
        <v>n/a</v>
      </c>
      <c r="T707" s="52" t="str">
        <f t="shared" ref="T707:T770" si="309">IFERROR(IF(S707&lt;3.1,IF(AA707="spike",(3-S707)*(Z707/4),(3-S707)*(AA707/4)),""),"")</f>
        <v/>
      </c>
      <c r="U707" s="52">
        <f>IFERROR(IF(AR708=AR707,INDEX('Aub Demand'!Q:Q,MATCH($O707,'Aub Demand'!$A:$A,0))-IF(AN707="",0,AN707)+AP708,INDEX('Aub Demand'!Q:Q,MATCH($O707,'Aub Demand'!$A:$A,0))-IF(AN707="",0,AN707)),"")</f>
        <v>4652</v>
      </c>
      <c r="V707" s="53" t="str">
        <f t="shared" ref="V707:V770" si="310">IFERROR(IF(O707="","",ROUND(U707/((Z707/30)*7),1)),"n/a")</f>
        <v>n/a</v>
      </c>
      <c r="W707" s="52" t="str">
        <f t="shared" ref="W707:W770" si="311">IF(IFERROR(IF(V707&lt;3.1,IF(AA707="spike",(3-V707)*(Z707/4),(3-V707)*(AA707/4)),""),"")&lt;0,0,IFERROR(IF(V707&lt;3.1,IF(AA707="spike",(3-V707)*(Z707/4),(3-V707)*(AA707/4)),""),""))</f>
        <v/>
      </c>
      <c r="X707" s="52">
        <f>IFERROR(IF(AND(AR708=AR707,AM707&lt;&gt;""),INDEX('Aub Demand'!Q:Q,MATCH($O707,'Aub Demand'!$A:$A,0))-IF(AN707="",0,AN707)+AP708+AD707+AL707,IF(AR708=AR707,INDEX('Aub Demand'!Q:Q,MATCH($O707,'Aub Demand'!$A:$A,0))-IF(AN707="",0,AN707)+AP708+AD707,IF(AM707&lt;&gt;"",INDEX('Aub Demand'!Q:Q,MATCH($O707,'Aub Demand'!$A:$A,0))-IF(AN707="",0,AN707)+AD707+AL707,INDEX('Aub Demand'!Q:Q,MATCH($O707,'Aub Demand'!$A:$A,0))-IF(AN707="",0,AN707)+AD707))),"")</f>
        <v>4652</v>
      </c>
      <c r="Y707" s="53" t="str">
        <f t="shared" ref="Y707:Y770" si="312">IFERROR(IF(O707="","",ROUND(X707/((Z707/30)*7),1)),"n/a")</f>
        <v>n/a</v>
      </c>
      <c r="Z707" s="52">
        <f>IF(L707="","",INDEX('Aub Demand'!H:H,MATCH($O707,'Aub Demand'!$A:$A,0)))</f>
        <v>0</v>
      </c>
      <c r="AA707" s="52" t="str">
        <f t="shared" ref="AA707:AA770" si="313">IF(L707="","",IF(LARGE(I707:L707,2)=0,"-spike-",AVERAGE(LARGE(I707:L707,1),LARGE(I707:L707,2))))</f>
        <v>-spike-</v>
      </c>
      <c r="AB707" s="52">
        <f>IFERROR(INDEX('Aub Demand'!L:L,MATCH($O707,'Aub Demand'!$A:$A,0)),"")</f>
        <v>0</v>
      </c>
      <c r="AC707" s="52">
        <f>IFERROR(IF(O707="","",SUMIFS('CPL Mats'!F:F,'CPL Mats'!Q:Q,AR707,'CPL Mats'!S:S,AS707)),"")</f>
        <v>0</v>
      </c>
      <c r="AF707" s="25" t="str">
        <f>IF(SUMIFS('Supp Consol'!S:S,'Supp Consol'!Y:Y,"Releasable",'Supp Consol'!A:A,O707)=0,"",SUMIFS('Supp Consol'!S:S,'Supp Consol'!Y:Y,"Releasable",'Supp Consol'!A:A,O707))</f>
        <v/>
      </c>
      <c r="AG707" s="25" t="str">
        <f>IFERROR(INDEX('Hun Demand'!Q:Q,MATCH(O707,'Hun Demand'!A:A,0)),"")</f>
        <v/>
      </c>
      <c r="AH707" s="25" t="str">
        <f>IFERROR(INDEX('Hun Demand'!H:H,MATCH($O707,'Hun Demand'!$A:$A,0)),"")</f>
        <v/>
      </c>
      <c r="AI707" s="25" t="str">
        <f>IF(SUMIFS('Supp Consol'!AA:AA,'Supp Consol'!Z:Z,"Expires this month",'Supp Consol'!A:A,O707)=0,"",SUMIFS('Supp Consol'!AA:AA,'Supp Consol'!Z:Z,"Expires this month",'Supp Consol'!A:A,O707))</f>
        <v/>
      </c>
      <c r="AJ707" s="25" t="str">
        <f>IF(SUMIFS('Supp Consol'!AA:AA,'Supp Consol'!Z:Z,"Expired Previous Months",'Supp Consol'!A:A,O707)=0,"",SUMIFS('Supp Consol'!AA:AA,'Supp Consol'!Z:Z,"Expired Previous Months",'Supp Consol'!A:A,O707))</f>
        <v/>
      </c>
      <c r="AK707" s="25" t="str">
        <f>IFERROR(INDEX('Hun Release Current'!B:B,MATCH(O707,'Hun Release Current'!A:A,0)),"")</f>
        <v/>
      </c>
      <c r="AL707" s="25" t="str">
        <f>IF(SUMIF('Prev Aub'!A:A,O707,'Prev Aub'!B:B)=0,"",SUMIF('Prev Aub'!A:A,O707,'Prev Aub'!B:B))</f>
        <v/>
      </c>
      <c r="AN707" s="25" t="s">
        <v>3790</v>
      </c>
      <c r="AO707" s="25" t="s">
        <v>3790</v>
      </c>
      <c r="AP707" s="25">
        <f t="shared" ref="AP707:AP770" si="314">IFERROR(IF(O707="","",IF(AN707="",0,VALUE(AN707)-(VALUE(AN707)*0.2))),"")</f>
        <v>0</v>
      </c>
      <c r="AQ707" s="151" t="str">
        <f>IF(SUMIFS('Supp Consol'!S:S,'Supp Consol'!A:A,O707,'Supp Consol'!I:I,"PENDING")=0,"",SUMIFS('Supp Consol'!S:S,'Supp Consol'!A:A,O707,'Supp Consol'!I:I,"PENDING"))</f>
        <v/>
      </c>
      <c r="AR707" s="27" t="str">
        <f t="shared" ref="AR707:AR770" si="315">MID(O707,4,5)</f>
        <v>M0740</v>
      </c>
      <c r="AS707" s="27" t="str">
        <f t="shared" ref="AS707:AS770" si="316">MID(O707,10,2)</f>
        <v>62</v>
      </c>
      <c r="AT707" s="27" t="str">
        <f t="shared" ref="AT707:AT770" si="317">IF(S707&lt;3.1,AR707,"")</f>
        <v/>
      </c>
      <c r="AU707" s="27" t="str">
        <f t="shared" ref="AU707:AU770" si="318">IF(Y707&lt;3.1,AR707,"")</f>
        <v/>
      </c>
      <c r="AV707" s="27" t="str">
        <f t="shared" ref="AV707:AV770" si="319">IF(AND(AA707="Spike",L707=0,K707=0,X707&gt;=0),"",IF(Y707&lt;3.1,AR707,""))</f>
        <v/>
      </c>
      <c r="AW707" s="27" t="str">
        <f t="shared" ref="AW707:AW770" si="320">IF(AI707=AL707,"",IF(OR(AI707&lt;&gt;"",AJ707&lt;&gt;""),AR707,""))</f>
        <v/>
      </c>
      <c r="AX707" s="27" t="str">
        <f t="shared" ref="AX707:AX770" si="321">IF(AF707&lt;&gt;"",AR707,"")</f>
        <v/>
      </c>
      <c r="AY707" s="27" t="str">
        <f t="shared" ref="AY707:AY770" si="322">IF(AND(AG707&lt;&gt;"",AG707&gt;AH707),AR707,"")</f>
        <v/>
      </c>
      <c r="AZ707" s="27" t="str">
        <f t="shared" ref="AZ707:AZ770" si="323">IFERROR(IF(O707="","",IF(ISERROR(MATCH(AR707,AX:AX,0)),"","Supp")),"")</f>
        <v>Supp</v>
      </c>
      <c r="BA707" s="27" t="str">
        <f t="shared" ref="BA707:BA770" si="324">IFERROR(IF(O707="","",IF(ISERROR(MATCH(AR707,AY:AY,0)),"","Hun")),"")</f>
        <v/>
      </c>
      <c r="BB707" s="27" t="str">
        <f t="shared" ref="BB707:BB770" si="325">IFERROR(IF(O707="","",IF(ISERROR(MATCH(AR707,AT:AT,0)),"","Gross")),"")</f>
        <v/>
      </c>
      <c r="BC707" s="27" t="str">
        <f t="shared" ref="BC707:BC770" si="326">IFERROR(IF(O707="","",IF(ISERROR(MATCH(AR707,AU:AU,0)),"","Net")),"")</f>
        <v/>
      </c>
      <c r="BD707" s="27" t="str">
        <f t="shared" ref="BD707:BD770" si="327">IFERROR(IF(O707="","",IF(ISERROR(MATCH(AR707,AV:AV,0)),"","Net")),"")</f>
        <v/>
      </c>
      <c r="BE707" s="27" t="str">
        <f t="shared" ref="BE707:BE770" si="328">IFERROR(IF(O707="","",IF(ISERROR(MATCH(AR707,AW:AW,0)),"","Exp")),"")</f>
        <v/>
      </c>
      <c r="BF707" s="27" t="str">
        <f t="shared" ref="BF707:BF770" si="329">IFERROR(IF(O707="","",IF(AND(AZ707="Supp",BC707="Net"),"S+N","")),"")</f>
        <v/>
      </c>
      <c r="BG707" s="27" t="str">
        <f t="shared" ref="BG707:BG770" si="330">IFERROR(IF(O707="","",IF(OR(BE707&lt;&gt;"",BF707&lt;&gt;""),"S+NorE","")),"")</f>
        <v/>
      </c>
      <c r="BH707" s="27" t="str">
        <f t="shared" ref="BH707:BH770" si="331">IFERROR(IF(O707="","",IF(AND(BA707&lt;&gt;"",BC707&lt;&gt;""),"H+N","")),"")</f>
        <v/>
      </c>
      <c r="BI707" s="27" t="str">
        <f t="shared" ref="BI707:BI770" si="332">IFERROR(IF(O707="","",IF(AND(BA707&lt;&gt;"",BD707&lt;&gt;""),"H+Nex","")),"")</f>
        <v/>
      </c>
      <c r="BJ707" s="27" t="str">
        <f t="shared" ref="BJ707:BJ770" si="333">IF(OR(AZ707&lt;&gt;"",BA707&lt;&gt;""),"Supp or Hun","")</f>
        <v>Supp or Hun</v>
      </c>
      <c r="BK707" s="27" t="str">
        <f t="shared" ref="BK707:BK770" si="334">IF(AND(BJ707&lt;&gt;"",BC707&lt;&gt;""),"Supp or Hun Need","")</f>
        <v/>
      </c>
      <c r="BL707" s="27" t="str">
        <f t="shared" ref="BL707:BL770" si="335">IF(OR(BK707&lt;&gt;"",BE707&lt;&gt;""),"SorHandNandE","")</f>
        <v/>
      </c>
      <c r="BM707" s="21" t="s">
        <v>5581</v>
      </c>
    </row>
    <row r="708" spans="1:65" ht="15">
      <c r="A708" s="25" t="str">
        <f>IFERROR(INDEX('Hun Demand'!W:W,MATCH(O708,'Hun Demand'!A:A,0)),"")</f>
        <v/>
      </c>
      <c r="B708" s="25" t="str">
        <f>IFERROR(INDEX('Hun Demand'!V:V,MATCH(O708,'Hun Demand'!A:A,0)),"")</f>
        <v/>
      </c>
      <c r="C708" s="25" t="str">
        <f>IFERROR(INDEX('Hun Demand'!U:U,MATCH(O708,'Hun Demand'!A:A,0)),"")</f>
        <v/>
      </c>
      <c r="D708" s="25" t="str">
        <f>IFERROR(INDEX('Hun Demand'!T:T,MATCH(O708,'Hun Demand'!A:A,0)),"")</f>
        <v/>
      </c>
      <c r="E708" s="25" t="str">
        <f>IFERROR(INDEX('Hun Demand'!S:S,MATCH(O708,'Hun Demand'!A:A,0)),"")</f>
        <v/>
      </c>
      <c r="F708" s="25" t="str">
        <f>IFERROR(INDEX('Hun Demand'!R:R,MATCH(O708,'Hun Demand'!A:A,0)),"")</f>
        <v/>
      </c>
      <c r="G708" s="25">
        <f>IFERROR(INDEX('Aub Demand'!W:W,MATCH(O708,'Aub Demand'!A:A,0)),"")</f>
        <v>0</v>
      </c>
      <c r="H708" s="25">
        <f>IFERROR(INDEX('Aub Demand'!V:V,MATCH(O708,'Aub Demand'!A:A,0)),"")</f>
        <v>0</v>
      </c>
      <c r="I708" s="25">
        <f>IFERROR(INDEX('Aub Demand'!U:U,MATCH(O708,'Aub Demand'!A:A,0)),"")</f>
        <v>0</v>
      </c>
      <c r="J708" s="25">
        <f>IFERROR(INDEX('Aub Demand'!T:T,MATCH(O708,'Aub Demand'!A:A,0)),"")</f>
        <v>0</v>
      </c>
      <c r="K708" s="25">
        <f>IFERROR(INDEX('Aub Demand'!S:S,MATCH(O708,'Aub Demand'!A:A,0)),"")</f>
        <v>0</v>
      </c>
      <c r="L708" s="25">
        <f>IFERROR(INDEX('Aub Demand'!R:R,MATCH(O708,'Aub Demand'!A:A,0)),"")</f>
        <v>0</v>
      </c>
      <c r="O708" s="27" t="s">
        <v>2257</v>
      </c>
      <c r="P708" s="27" t="str">
        <f>IFERROR(INDEX('Aub Demand'!B:B,MATCH($O708,'Aub Demand'!$A:$A,0)),"")</f>
        <v>TAN OVERLAY</v>
      </c>
      <c r="Q708" s="27" t="str">
        <f>IFERROR(INDEX('Aub Demand'!C:C,MATCH($O708,'Aub Demand'!$A:$A,0)),"")</f>
        <v>ONYX</v>
      </c>
      <c r="R708" s="52">
        <f>IFERROR(IF(AR709=AR708,INDEX('Aub Demand'!K:K,MATCH($O708,'Aub Demand'!$A:$A,0))-IF(AN708="",0,AN708)+AP709,INDEX('Aub Demand'!K:K,MATCH($O708,'Aub Demand'!$A:$A,0))-IF(AN708="",0,AN708)),"")</f>
        <v>1924</v>
      </c>
      <c r="S708" s="53" t="str">
        <f t="shared" si="308"/>
        <v>n/a</v>
      </c>
      <c r="T708" s="52" t="str">
        <f t="shared" si="309"/>
        <v/>
      </c>
      <c r="U708" s="52">
        <f>IFERROR(IF(AR709=AR708,INDEX('Aub Demand'!Q:Q,MATCH($O708,'Aub Demand'!$A:$A,0))-IF(AN708="",0,AN708)+AP709,INDEX('Aub Demand'!Q:Q,MATCH($O708,'Aub Demand'!$A:$A,0))-IF(AN708="",0,AN708)),"")</f>
        <v>1914</v>
      </c>
      <c r="V708" s="53" t="str">
        <f t="shared" si="310"/>
        <v>n/a</v>
      </c>
      <c r="W708" s="52" t="str">
        <f t="shared" si="311"/>
        <v/>
      </c>
      <c r="X708" s="52">
        <f>IFERROR(IF(AND(AR709=AR708,AM708&lt;&gt;""),INDEX('Aub Demand'!Q:Q,MATCH($O708,'Aub Demand'!$A:$A,0))-IF(AN708="",0,AN708)+AP709+AD708+AL708,IF(AR709=AR708,INDEX('Aub Demand'!Q:Q,MATCH($O708,'Aub Demand'!$A:$A,0))-IF(AN708="",0,AN708)+AP709+AD708,IF(AM708&lt;&gt;"",INDEX('Aub Demand'!Q:Q,MATCH($O708,'Aub Demand'!$A:$A,0))-IF(AN708="",0,AN708)+AD708+AL708,INDEX('Aub Demand'!Q:Q,MATCH($O708,'Aub Demand'!$A:$A,0))-IF(AN708="",0,AN708)+AD708))),"")</f>
        <v>1914</v>
      </c>
      <c r="Y708" s="53" t="str">
        <f t="shared" si="312"/>
        <v>n/a</v>
      </c>
      <c r="Z708" s="52">
        <f>IF(L708="","",INDEX('Aub Demand'!H:H,MATCH($O708,'Aub Demand'!$A:$A,0)))</f>
        <v>0</v>
      </c>
      <c r="AA708" s="52" t="str">
        <f t="shared" si="313"/>
        <v>-spike-</v>
      </c>
      <c r="AB708" s="52">
        <f>IFERROR(INDEX('Aub Demand'!L:L,MATCH($O708,'Aub Demand'!$A:$A,0)),"")</f>
        <v>0</v>
      </c>
      <c r="AC708" s="52">
        <f>IFERROR(IF(O708="","",SUMIFS('CPL Mats'!F:F,'CPL Mats'!Q:Q,AR708,'CPL Mats'!S:S,AS708)),"")</f>
        <v>0</v>
      </c>
      <c r="AF708" s="25" t="str">
        <f>IF(SUMIFS('Supp Consol'!S:S,'Supp Consol'!Y:Y,"Releasable",'Supp Consol'!A:A,O708)=0,"",SUMIFS('Supp Consol'!S:S,'Supp Consol'!Y:Y,"Releasable",'Supp Consol'!A:A,O708))</f>
        <v/>
      </c>
      <c r="AG708" s="25" t="str">
        <f>IFERROR(INDEX('Hun Demand'!Q:Q,MATCH(O708,'Hun Demand'!A:A,0)),"")</f>
        <v/>
      </c>
      <c r="AH708" s="25" t="str">
        <f>IFERROR(INDEX('Hun Demand'!H:H,MATCH($O708,'Hun Demand'!$A:$A,0)),"")</f>
        <v/>
      </c>
      <c r="AI708" s="25" t="str">
        <f>IF(SUMIFS('Supp Consol'!AA:AA,'Supp Consol'!Z:Z,"Expires this month",'Supp Consol'!A:A,O708)=0,"",SUMIFS('Supp Consol'!AA:AA,'Supp Consol'!Z:Z,"Expires this month",'Supp Consol'!A:A,O708))</f>
        <v/>
      </c>
      <c r="AJ708" s="25" t="str">
        <f>IF(SUMIFS('Supp Consol'!AA:AA,'Supp Consol'!Z:Z,"Expired Previous Months",'Supp Consol'!A:A,O708)=0,"",SUMIFS('Supp Consol'!AA:AA,'Supp Consol'!Z:Z,"Expired Previous Months",'Supp Consol'!A:A,O708))</f>
        <v/>
      </c>
      <c r="AK708" s="25" t="str">
        <f>IFERROR(INDEX('Hun Release Current'!B:B,MATCH(O708,'Hun Release Current'!A:A,0)),"")</f>
        <v/>
      </c>
      <c r="AL708" s="25" t="str">
        <f>IF(SUMIF('Prev Aub'!A:A,O708,'Prev Aub'!B:B)=0,"",SUMIF('Prev Aub'!A:A,O708,'Prev Aub'!B:B))</f>
        <v/>
      </c>
      <c r="AN708" s="25" t="s">
        <v>3790</v>
      </c>
      <c r="AO708" s="25" t="s">
        <v>3790</v>
      </c>
      <c r="AP708" s="25">
        <f t="shared" si="314"/>
        <v>0</v>
      </c>
      <c r="AQ708" s="151" t="str">
        <f>IF(SUMIFS('Supp Consol'!S:S,'Supp Consol'!A:A,O708,'Supp Consol'!I:I,"PENDING")=0,"",SUMIFS('Supp Consol'!S:S,'Supp Consol'!A:A,O708,'Supp Consol'!I:I,"PENDING"))</f>
        <v/>
      </c>
      <c r="AR708" s="27" t="str">
        <f t="shared" si="315"/>
        <v>M0791</v>
      </c>
      <c r="AS708" s="27" t="str">
        <f t="shared" si="316"/>
        <v>37</v>
      </c>
      <c r="AT708" s="27" t="str">
        <f t="shared" si="317"/>
        <v/>
      </c>
      <c r="AU708" s="27" t="str">
        <f t="shared" si="318"/>
        <v/>
      </c>
      <c r="AV708" s="27" t="str">
        <f t="shared" si="319"/>
        <v/>
      </c>
      <c r="AW708" s="27" t="str">
        <f t="shared" si="320"/>
        <v/>
      </c>
      <c r="AX708" s="27" t="str">
        <f t="shared" si="321"/>
        <v/>
      </c>
      <c r="AY708" s="27" t="str">
        <f t="shared" si="322"/>
        <v/>
      </c>
      <c r="AZ708" s="27" t="str">
        <f t="shared" si="323"/>
        <v>Supp</v>
      </c>
      <c r="BA708" s="27" t="str">
        <f t="shared" si="324"/>
        <v/>
      </c>
      <c r="BB708" s="27" t="str">
        <f t="shared" si="325"/>
        <v/>
      </c>
      <c r="BC708" s="27" t="str">
        <f t="shared" si="326"/>
        <v/>
      </c>
      <c r="BD708" s="27" t="str">
        <f t="shared" si="327"/>
        <v/>
      </c>
      <c r="BE708" s="27" t="str">
        <f t="shared" si="328"/>
        <v/>
      </c>
      <c r="BF708" s="27" t="str">
        <f t="shared" si="329"/>
        <v/>
      </c>
      <c r="BG708" s="27" t="str">
        <f t="shared" si="330"/>
        <v/>
      </c>
      <c r="BH708" s="27" t="str">
        <f t="shared" si="331"/>
        <v/>
      </c>
      <c r="BI708" s="27" t="str">
        <f t="shared" si="332"/>
        <v/>
      </c>
      <c r="BJ708" s="27" t="str">
        <f t="shared" si="333"/>
        <v>Supp or Hun</v>
      </c>
      <c r="BK708" s="27" t="str">
        <f t="shared" si="334"/>
        <v/>
      </c>
      <c r="BL708" s="27" t="str">
        <f t="shared" si="335"/>
        <v/>
      </c>
      <c r="BM708" s="21" t="s">
        <v>5581</v>
      </c>
    </row>
    <row r="709" spans="1:65" ht="15">
      <c r="A709" s="25" t="str">
        <f>IFERROR(INDEX('Hun Demand'!W:W,MATCH(O709,'Hun Demand'!A:A,0)),"")</f>
        <v/>
      </c>
      <c r="B709" s="25" t="str">
        <f>IFERROR(INDEX('Hun Demand'!V:V,MATCH(O709,'Hun Demand'!A:A,0)),"")</f>
        <v/>
      </c>
      <c r="C709" s="25" t="str">
        <f>IFERROR(INDEX('Hun Demand'!U:U,MATCH(O709,'Hun Demand'!A:A,0)),"")</f>
        <v/>
      </c>
      <c r="D709" s="25" t="str">
        <f>IFERROR(INDEX('Hun Demand'!T:T,MATCH(O709,'Hun Demand'!A:A,0)),"")</f>
        <v/>
      </c>
      <c r="E709" s="25" t="str">
        <f>IFERROR(INDEX('Hun Demand'!S:S,MATCH(O709,'Hun Demand'!A:A,0)),"")</f>
        <v/>
      </c>
      <c r="F709" s="25" t="str">
        <f>IFERROR(INDEX('Hun Demand'!R:R,MATCH(O709,'Hun Demand'!A:A,0)),"")</f>
        <v/>
      </c>
      <c r="G709" s="25">
        <f>IFERROR(INDEX('Aub Demand'!W:W,MATCH(O709,'Aub Demand'!A:A,0)),"")</f>
        <v>306</v>
      </c>
      <c r="H709" s="25">
        <f>IFERROR(INDEX('Aub Demand'!V:V,MATCH(O709,'Aub Demand'!A:A,0)),"")</f>
        <v>515</v>
      </c>
      <c r="I709" s="25">
        <f>IFERROR(INDEX('Aub Demand'!U:U,MATCH(O709,'Aub Demand'!A:A,0)),"")</f>
        <v>197</v>
      </c>
      <c r="J709" s="25">
        <f>IFERROR(INDEX('Aub Demand'!T:T,MATCH(O709,'Aub Demand'!A:A,0)),"")</f>
        <v>365</v>
      </c>
      <c r="K709" s="25">
        <f>IFERROR(INDEX('Aub Demand'!S:S,MATCH(O709,'Aub Demand'!A:A,0)),"")</f>
        <v>25</v>
      </c>
      <c r="L709" s="25">
        <f>IFERROR(INDEX('Aub Demand'!R:R,MATCH(O709,'Aub Demand'!A:A,0)),"")</f>
        <v>0</v>
      </c>
      <c r="O709" s="27" t="s">
        <v>2259</v>
      </c>
      <c r="P709" s="27" t="str">
        <f>IFERROR(INDEX('Aub Demand'!B:B,MATCH($O709,'Aub Demand'!$A:$A,0)),"")</f>
        <v>TAN OVERLAY</v>
      </c>
      <c r="Q709" s="27" t="str">
        <f>IFERROR(INDEX('Aub Demand'!C:C,MATCH($O709,'Aub Demand'!$A:$A,0)),"")</f>
        <v>ONYX</v>
      </c>
      <c r="R709" s="52">
        <f>IFERROR(IF(AR710=AR709,INDEX('Aub Demand'!K:K,MATCH($O709,'Aub Demand'!$A:$A,0))-IF(AN709="",0,AN709)+AP710,INDEX('Aub Demand'!K:K,MATCH($O709,'Aub Demand'!$A:$A,0))-IF(AN709="",0,AN709)),"")</f>
        <v>1101</v>
      </c>
      <c r="S709" s="53">
        <f t="shared" si="308"/>
        <v>24.1</v>
      </c>
      <c r="T709" s="52" t="str">
        <f t="shared" si="309"/>
        <v/>
      </c>
      <c r="U709" s="52">
        <f>IFERROR(IF(AR710=AR709,INDEX('Aub Demand'!Q:Q,MATCH($O709,'Aub Demand'!$A:$A,0))-IF(AN709="",0,AN709)+AP710,INDEX('Aub Demand'!Q:Q,MATCH($O709,'Aub Demand'!$A:$A,0))-IF(AN709="",0,AN709)),"")</f>
        <v>780</v>
      </c>
      <c r="V709" s="53">
        <f t="shared" si="310"/>
        <v>17.100000000000001</v>
      </c>
      <c r="W709" s="52" t="str">
        <f t="shared" si="311"/>
        <v/>
      </c>
      <c r="X709" s="52">
        <f>IFERROR(IF(AND(AR710=AR709,AM709&lt;&gt;""),INDEX('Aub Demand'!Q:Q,MATCH($O709,'Aub Demand'!$A:$A,0))-IF(AN709="",0,AN709)+AP710+AD709+AL709,IF(AR710=AR709,INDEX('Aub Demand'!Q:Q,MATCH($O709,'Aub Demand'!$A:$A,0))-IF(AN709="",0,AN709)+AP710+AD709,IF(AM709&lt;&gt;"",INDEX('Aub Demand'!Q:Q,MATCH($O709,'Aub Demand'!$A:$A,0))-IF(AN709="",0,AN709)+AD709+AL709,INDEX('Aub Demand'!Q:Q,MATCH($O709,'Aub Demand'!$A:$A,0))-IF(AN709="",0,AN709)+AD709))),"")</f>
        <v>780</v>
      </c>
      <c r="Y709" s="53">
        <f t="shared" si="312"/>
        <v>17.100000000000001</v>
      </c>
      <c r="Z709" s="52">
        <f>IF(L709="","",INDEX('Aub Demand'!H:H,MATCH($O709,'Aub Demand'!$A:$A,0)))</f>
        <v>196</v>
      </c>
      <c r="AA709" s="52">
        <f t="shared" si="313"/>
        <v>281</v>
      </c>
      <c r="AB709" s="52">
        <f>IFERROR(INDEX('Aub Demand'!L:L,MATCH($O709,'Aub Demand'!$A:$A,0)),"")</f>
        <v>212</v>
      </c>
      <c r="AC709" s="52">
        <f>IFERROR(IF(O709="","",SUMIFS('CPL Mats'!F:F,'CPL Mats'!Q:Q,AR709,'CPL Mats'!S:S,AS709)),"")</f>
        <v>0</v>
      </c>
      <c r="AF709" s="25">
        <f>IF(SUMIFS('Supp Consol'!S:S,'Supp Consol'!Y:Y,"Releasable",'Supp Consol'!A:A,O709)=0,"",SUMIFS('Supp Consol'!S:S,'Supp Consol'!Y:Y,"Releasable",'Supp Consol'!A:A,O709))</f>
        <v>4545</v>
      </c>
      <c r="AG709" s="25" t="str">
        <f>IFERROR(INDEX('Hun Demand'!Q:Q,MATCH(O709,'Hun Demand'!A:A,0)),"")</f>
        <v/>
      </c>
      <c r="AH709" s="25" t="str">
        <f>IFERROR(INDEX('Hun Demand'!H:H,MATCH($O709,'Hun Demand'!$A:$A,0)),"")</f>
        <v/>
      </c>
      <c r="AI709" s="25" t="str">
        <f>IF(SUMIFS('Supp Consol'!AA:AA,'Supp Consol'!Z:Z,"Expires this month",'Supp Consol'!A:A,O709)=0,"",SUMIFS('Supp Consol'!AA:AA,'Supp Consol'!Z:Z,"Expires this month",'Supp Consol'!A:A,O709))</f>
        <v/>
      </c>
      <c r="AJ709" s="25" t="str">
        <f>IF(SUMIFS('Supp Consol'!AA:AA,'Supp Consol'!Z:Z,"Expired Previous Months",'Supp Consol'!A:A,O709)=0,"",SUMIFS('Supp Consol'!AA:AA,'Supp Consol'!Z:Z,"Expired Previous Months",'Supp Consol'!A:A,O709))</f>
        <v/>
      </c>
      <c r="AK709" s="25" t="str">
        <f>IFERROR(INDEX('Hun Release Current'!B:B,MATCH(O709,'Hun Release Current'!A:A,0)),"")</f>
        <v/>
      </c>
      <c r="AL709" s="25" t="str">
        <f>IF(SUMIF('Prev Aub'!A:A,O709,'Prev Aub'!B:B)=0,"",SUMIF('Prev Aub'!A:A,O709,'Prev Aub'!B:B))</f>
        <v/>
      </c>
      <c r="AN709" s="25" t="s">
        <v>3790</v>
      </c>
      <c r="AO709" s="25" t="s">
        <v>3790</v>
      </c>
      <c r="AP709" s="25">
        <f t="shared" si="314"/>
        <v>0</v>
      </c>
      <c r="AQ709" s="151" t="str">
        <f>IF(SUMIFS('Supp Consol'!S:S,'Supp Consol'!A:A,O709,'Supp Consol'!I:I,"PENDING")=0,"",SUMIFS('Supp Consol'!S:S,'Supp Consol'!A:A,O709,'Supp Consol'!I:I,"PENDING"))</f>
        <v/>
      </c>
      <c r="AR709" s="27" t="str">
        <f t="shared" si="315"/>
        <v>M0791</v>
      </c>
      <c r="AS709" s="27" t="str">
        <f t="shared" si="316"/>
        <v>50</v>
      </c>
      <c r="AT709" s="27" t="str">
        <f t="shared" si="317"/>
        <v/>
      </c>
      <c r="AU709" s="27" t="str">
        <f t="shared" si="318"/>
        <v/>
      </c>
      <c r="AV709" s="27" t="str">
        <f t="shared" si="319"/>
        <v/>
      </c>
      <c r="AW709" s="27" t="str">
        <f t="shared" si="320"/>
        <v/>
      </c>
      <c r="AX709" s="27" t="str">
        <f t="shared" si="321"/>
        <v>M0791</v>
      </c>
      <c r="AY709" s="27" t="str">
        <f t="shared" si="322"/>
        <v/>
      </c>
      <c r="AZ709" s="27" t="str">
        <f t="shared" si="323"/>
        <v>Supp</v>
      </c>
      <c r="BA709" s="27" t="str">
        <f t="shared" si="324"/>
        <v/>
      </c>
      <c r="BB709" s="27" t="str">
        <f t="shared" si="325"/>
        <v/>
      </c>
      <c r="BC709" s="27" t="str">
        <f t="shared" si="326"/>
        <v/>
      </c>
      <c r="BD709" s="27" t="str">
        <f t="shared" si="327"/>
        <v/>
      </c>
      <c r="BE709" s="27" t="str">
        <f t="shared" si="328"/>
        <v/>
      </c>
      <c r="BF709" s="27" t="str">
        <f t="shared" si="329"/>
        <v/>
      </c>
      <c r="BG709" s="27" t="str">
        <f t="shared" si="330"/>
        <v/>
      </c>
      <c r="BH709" s="27" t="str">
        <f t="shared" si="331"/>
        <v/>
      </c>
      <c r="BI709" s="27" t="str">
        <f t="shared" si="332"/>
        <v/>
      </c>
      <c r="BJ709" s="27" t="str">
        <f t="shared" si="333"/>
        <v>Supp or Hun</v>
      </c>
      <c r="BK709" s="27" t="str">
        <f t="shared" si="334"/>
        <v/>
      </c>
      <c r="BL709" s="27" t="str">
        <f t="shared" si="335"/>
        <v/>
      </c>
      <c r="BM709" s="21" t="s">
        <v>5581</v>
      </c>
    </row>
    <row r="710" spans="1:65" ht="15">
      <c r="A710" s="25" t="str">
        <f>IFERROR(INDEX('Hun Demand'!W:W,MATCH(O710,'Hun Demand'!A:A,0)),"")</f>
        <v/>
      </c>
      <c r="B710" s="25" t="str">
        <f>IFERROR(INDEX('Hun Demand'!V:V,MATCH(O710,'Hun Demand'!A:A,0)),"")</f>
        <v/>
      </c>
      <c r="C710" s="25" t="str">
        <f>IFERROR(INDEX('Hun Demand'!U:U,MATCH(O710,'Hun Demand'!A:A,0)),"")</f>
        <v/>
      </c>
      <c r="D710" s="25" t="str">
        <f>IFERROR(INDEX('Hun Demand'!T:T,MATCH(O710,'Hun Demand'!A:A,0)),"")</f>
        <v/>
      </c>
      <c r="E710" s="25" t="str">
        <f>IFERROR(INDEX('Hun Demand'!S:S,MATCH(O710,'Hun Demand'!A:A,0)),"")</f>
        <v/>
      </c>
      <c r="F710" s="25" t="str">
        <f>IFERROR(INDEX('Hun Demand'!R:R,MATCH(O710,'Hun Demand'!A:A,0)),"")</f>
        <v/>
      </c>
      <c r="G710" s="25">
        <f>IFERROR(INDEX('Aub Demand'!W:W,MATCH(O710,'Aub Demand'!A:A,0)),"")</f>
        <v>192</v>
      </c>
      <c r="H710" s="25">
        <f>IFERROR(INDEX('Aub Demand'!V:V,MATCH(O710,'Aub Demand'!A:A,0)),"")</f>
        <v>46</v>
      </c>
      <c r="I710" s="25">
        <f>IFERROR(INDEX('Aub Demand'!U:U,MATCH(O710,'Aub Demand'!A:A,0)),"")</f>
        <v>0</v>
      </c>
      <c r="J710" s="25">
        <f>IFERROR(INDEX('Aub Demand'!T:T,MATCH(O710,'Aub Demand'!A:A,0)),"")</f>
        <v>98</v>
      </c>
      <c r="K710" s="25">
        <f>IFERROR(INDEX('Aub Demand'!S:S,MATCH(O710,'Aub Demand'!A:A,0)),"")</f>
        <v>184</v>
      </c>
      <c r="L710" s="25">
        <f>IFERROR(INDEX('Aub Demand'!R:R,MATCH(O710,'Aub Demand'!A:A,0)),"")</f>
        <v>0</v>
      </c>
      <c r="O710" s="27" t="s">
        <v>2260</v>
      </c>
      <c r="P710" s="27" t="str">
        <f>IFERROR(INDEX('Aub Demand'!B:B,MATCH($O710,'Aub Demand'!$A:$A,0)),"")</f>
        <v>TAN OVERLAY</v>
      </c>
      <c r="Q710" s="27" t="str">
        <f>IFERROR(INDEX('Aub Demand'!C:C,MATCH($O710,'Aub Demand'!$A:$A,0)),"")</f>
        <v>ONYX</v>
      </c>
      <c r="R710" s="52">
        <f>IFERROR(IF(AR711=AR710,INDEX('Aub Demand'!K:K,MATCH($O710,'Aub Demand'!$A:$A,0))-IF(AN710="",0,AN710)+AP711,INDEX('Aub Demand'!K:K,MATCH($O710,'Aub Demand'!$A:$A,0))-IF(AN710="",0,AN710)),"")</f>
        <v>607</v>
      </c>
      <c r="S710" s="53">
        <f t="shared" si="308"/>
        <v>27.7</v>
      </c>
      <c r="T710" s="52" t="str">
        <f t="shared" si="309"/>
        <v/>
      </c>
      <c r="U710" s="52">
        <f>IFERROR(IF(AR711=AR710,INDEX('Aub Demand'!Q:Q,MATCH($O710,'Aub Demand'!$A:$A,0))-IF(AN710="",0,AN710)+AP711,INDEX('Aub Demand'!Q:Q,MATCH($O710,'Aub Demand'!$A:$A,0))-IF(AN710="",0,AN710)),"")</f>
        <v>552</v>
      </c>
      <c r="V710" s="53">
        <f t="shared" si="310"/>
        <v>25.2</v>
      </c>
      <c r="W710" s="52" t="str">
        <f t="shared" si="311"/>
        <v/>
      </c>
      <c r="X710" s="52">
        <f>IFERROR(IF(AND(AR711=AR710,AM710&lt;&gt;""),INDEX('Aub Demand'!Q:Q,MATCH($O710,'Aub Demand'!$A:$A,0))-IF(AN710="",0,AN710)+AP711+AD710+AL710,IF(AR711=AR710,INDEX('Aub Demand'!Q:Q,MATCH($O710,'Aub Demand'!$A:$A,0))-IF(AN710="",0,AN710)+AP711+AD710,IF(AM710&lt;&gt;"",INDEX('Aub Demand'!Q:Q,MATCH($O710,'Aub Demand'!$A:$A,0))-IF(AN710="",0,AN710)+AD710+AL710,INDEX('Aub Demand'!Q:Q,MATCH($O710,'Aub Demand'!$A:$A,0))-IF(AN710="",0,AN710)+AD710))),"")</f>
        <v>552</v>
      </c>
      <c r="Y710" s="53">
        <f t="shared" si="312"/>
        <v>25.2</v>
      </c>
      <c r="Z710" s="52">
        <f>IF(L710="","",INDEX('Aub Demand'!H:H,MATCH($O710,'Aub Demand'!$A:$A,0)))</f>
        <v>94</v>
      </c>
      <c r="AA710" s="52">
        <f t="shared" si="313"/>
        <v>141</v>
      </c>
      <c r="AB710" s="52">
        <f>IFERROR(INDEX('Aub Demand'!L:L,MATCH($O710,'Aub Demand'!$A:$A,0)),"")</f>
        <v>101</v>
      </c>
      <c r="AC710" s="52">
        <f>IFERROR(IF(O710="","",SUMIFS('CPL Mats'!F:F,'CPL Mats'!Q:Q,AR710,'CPL Mats'!S:S,AS710)),"")</f>
        <v>0</v>
      </c>
      <c r="AF710" s="25">
        <f>IF(SUMIFS('Supp Consol'!S:S,'Supp Consol'!Y:Y,"Releasable",'Supp Consol'!A:A,O710)=0,"",SUMIFS('Supp Consol'!S:S,'Supp Consol'!Y:Y,"Releasable",'Supp Consol'!A:A,O710))</f>
        <v>1298</v>
      </c>
      <c r="AG710" s="25" t="str">
        <f>IFERROR(INDEX('Hun Demand'!Q:Q,MATCH(O710,'Hun Demand'!A:A,0)),"")</f>
        <v/>
      </c>
      <c r="AH710" s="25" t="str">
        <f>IFERROR(INDEX('Hun Demand'!H:H,MATCH($O710,'Hun Demand'!$A:$A,0)),"")</f>
        <v/>
      </c>
      <c r="AI710" s="25" t="str">
        <f>IF(SUMIFS('Supp Consol'!AA:AA,'Supp Consol'!Z:Z,"Expires this month",'Supp Consol'!A:A,O710)=0,"",SUMIFS('Supp Consol'!AA:AA,'Supp Consol'!Z:Z,"Expires this month",'Supp Consol'!A:A,O710))</f>
        <v/>
      </c>
      <c r="AJ710" s="25" t="str">
        <f>IF(SUMIFS('Supp Consol'!AA:AA,'Supp Consol'!Z:Z,"Expired Previous Months",'Supp Consol'!A:A,O710)=0,"",SUMIFS('Supp Consol'!AA:AA,'Supp Consol'!Z:Z,"Expired Previous Months",'Supp Consol'!A:A,O710))</f>
        <v/>
      </c>
      <c r="AK710" s="25" t="str">
        <f>IFERROR(INDEX('Hun Release Current'!B:B,MATCH(O710,'Hun Release Current'!A:A,0)),"")</f>
        <v/>
      </c>
      <c r="AL710" s="25" t="str">
        <f>IF(SUMIF('Prev Aub'!A:A,O710,'Prev Aub'!B:B)=0,"",SUMIF('Prev Aub'!A:A,O710,'Prev Aub'!B:B))</f>
        <v/>
      </c>
      <c r="AN710" s="25" t="s">
        <v>3790</v>
      </c>
      <c r="AO710" s="25" t="s">
        <v>3790</v>
      </c>
      <c r="AP710" s="25">
        <f t="shared" si="314"/>
        <v>0</v>
      </c>
      <c r="AQ710" s="151" t="str">
        <f>IF(SUMIFS('Supp Consol'!S:S,'Supp Consol'!A:A,O710,'Supp Consol'!I:I,"PENDING")=0,"",SUMIFS('Supp Consol'!S:S,'Supp Consol'!A:A,O710,'Supp Consol'!I:I,"PENDING"))</f>
        <v/>
      </c>
      <c r="AR710" s="27" t="str">
        <f t="shared" si="315"/>
        <v>M0791</v>
      </c>
      <c r="AS710" s="27" t="str">
        <f t="shared" si="316"/>
        <v>62</v>
      </c>
      <c r="AT710" s="27" t="str">
        <f t="shared" si="317"/>
        <v/>
      </c>
      <c r="AU710" s="27" t="str">
        <f t="shared" si="318"/>
        <v/>
      </c>
      <c r="AV710" s="27" t="str">
        <f t="shared" si="319"/>
        <v/>
      </c>
      <c r="AW710" s="27" t="str">
        <f t="shared" si="320"/>
        <v/>
      </c>
      <c r="AX710" s="27" t="str">
        <f t="shared" si="321"/>
        <v>M0791</v>
      </c>
      <c r="AY710" s="27" t="str">
        <f t="shared" si="322"/>
        <v/>
      </c>
      <c r="AZ710" s="27" t="str">
        <f t="shared" si="323"/>
        <v>Supp</v>
      </c>
      <c r="BA710" s="27" t="str">
        <f t="shared" si="324"/>
        <v/>
      </c>
      <c r="BB710" s="27" t="str">
        <f t="shared" si="325"/>
        <v/>
      </c>
      <c r="BC710" s="27" t="str">
        <f t="shared" si="326"/>
        <v/>
      </c>
      <c r="BD710" s="27" t="str">
        <f t="shared" si="327"/>
        <v/>
      </c>
      <c r="BE710" s="27" t="str">
        <f t="shared" si="328"/>
        <v/>
      </c>
      <c r="BF710" s="27" t="str">
        <f t="shared" si="329"/>
        <v/>
      </c>
      <c r="BG710" s="27" t="str">
        <f t="shared" si="330"/>
        <v/>
      </c>
      <c r="BH710" s="27" t="str">
        <f t="shared" si="331"/>
        <v/>
      </c>
      <c r="BI710" s="27" t="str">
        <f t="shared" si="332"/>
        <v/>
      </c>
      <c r="BJ710" s="27" t="str">
        <f t="shared" si="333"/>
        <v>Supp or Hun</v>
      </c>
      <c r="BK710" s="27" t="str">
        <f t="shared" si="334"/>
        <v/>
      </c>
      <c r="BL710" s="27" t="str">
        <f t="shared" si="335"/>
        <v/>
      </c>
      <c r="BM710" s="21" t="s">
        <v>5581</v>
      </c>
    </row>
    <row r="711" spans="1:65" ht="15">
      <c r="A711" s="25" t="str">
        <f>IFERROR(INDEX('Hun Demand'!W:W,MATCH(O711,'Hun Demand'!A:A,0)),"")</f>
        <v/>
      </c>
      <c r="B711" s="25" t="str">
        <f>IFERROR(INDEX('Hun Demand'!V:V,MATCH(O711,'Hun Demand'!A:A,0)),"")</f>
        <v/>
      </c>
      <c r="C711" s="25" t="str">
        <f>IFERROR(INDEX('Hun Demand'!U:U,MATCH(O711,'Hun Demand'!A:A,0)),"")</f>
        <v/>
      </c>
      <c r="D711" s="25" t="str">
        <f>IFERROR(INDEX('Hun Demand'!T:T,MATCH(O711,'Hun Demand'!A:A,0)),"")</f>
        <v/>
      </c>
      <c r="E711" s="25" t="str">
        <f>IFERROR(INDEX('Hun Demand'!S:S,MATCH(O711,'Hun Demand'!A:A,0)),"")</f>
        <v/>
      </c>
      <c r="F711" s="25" t="str">
        <f>IFERROR(INDEX('Hun Demand'!R:R,MATCH(O711,'Hun Demand'!A:A,0)),"")</f>
        <v/>
      </c>
      <c r="G711" s="25">
        <f>IFERROR(INDEX('Aub Demand'!W:W,MATCH(O711,'Aub Demand'!A:A,0)),"")</f>
        <v>0</v>
      </c>
      <c r="H711" s="25">
        <f>IFERROR(INDEX('Aub Demand'!V:V,MATCH(O711,'Aub Demand'!A:A,0)),"")</f>
        <v>0</v>
      </c>
      <c r="I711" s="25">
        <f>IFERROR(INDEX('Aub Demand'!U:U,MATCH(O711,'Aub Demand'!A:A,0)),"")</f>
        <v>25</v>
      </c>
      <c r="J711" s="25">
        <f>IFERROR(INDEX('Aub Demand'!T:T,MATCH(O711,'Aub Demand'!A:A,0)),"")</f>
        <v>0</v>
      </c>
      <c r="K711" s="25">
        <f>IFERROR(INDEX('Aub Demand'!S:S,MATCH(O711,'Aub Demand'!A:A,0)),"")</f>
        <v>0</v>
      </c>
      <c r="L711" s="25">
        <f>IFERROR(INDEX('Aub Demand'!R:R,MATCH(O711,'Aub Demand'!A:A,0)),"")</f>
        <v>0</v>
      </c>
      <c r="O711" s="27" t="s">
        <v>5358</v>
      </c>
      <c r="P711" s="27" t="str">
        <f>IFERROR(INDEX('Aub Demand'!B:B,MATCH($O711,'Aub Demand'!$A:$A,0)),"")</f>
        <v>LIGHT TAN OVERLAY</v>
      </c>
      <c r="Q711" s="27" t="str">
        <f>IFERROR(INDEX('Aub Demand'!C:C,MATCH($O711,'Aub Demand'!$A:$A,0)),"")</f>
        <v>ONYX</v>
      </c>
      <c r="R711" s="52">
        <f>IFERROR(IF(AR712=AR711,INDEX('Aub Demand'!K:K,MATCH($O711,'Aub Demand'!$A:$A,0))-IF(AN711="",0,AN711)+AP712,INDEX('Aub Demand'!K:K,MATCH($O711,'Aub Demand'!$A:$A,0))-IF(AN711="",0,AN711)),"")</f>
        <v>296</v>
      </c>
      <c r="S711" s="53">
        <f t="shared" si="308"/>
        <v>158.6</v>
      </c>
      <c r="T711" s="52" t="str">
        <f t="shared" si="309"/>
        <v/>
      </c>
      <c r="U711" s="52">
        <f>IFERROR(IF(AR712=AR711,INDEX('Aub Demand'!Q:Q,MATCH($O711,'Aub Demand'!$A:$A,0))-IF(AN711="",0,AN711)+AP712,INDEX('Aub Demand'!Q:Q,MATCH($O711,'Aub Demand'!$A:$A,0))-IF(AN711="",0,AN711)),"")</f>
        <v>296</v>
      </c>
      <c r="V711" s="53">
        <f t="shared" si="310"/>
        <v>158.6</v>
      </c>
      <c r="W711" s="52" t="str">
        <f t="shared" si="311"/>
        <v/>
      </c>
      <c r="X711" s="52">
        <f>IFERROR(IF(AND(AR712=AR711,AM711&lt;&gt;""),INDEX('Aub Demand'!Q:Q,MATCH($O711,'Aub Demand'!$A:$A,0))-IF(AN711="",0,AN711)+AP712+AD711+AL711,IF(AR712=AR711,INDEX('Aub Demand'!Q:Q,MATCH($O711,'Aub Demand'!$A:$A,0))-IF(AN711="",0,AN711)+AP712+AD711,IF(AM711&lt;&gt;"",INDEX('Aub Demand'!Q:Q,MATCH($O711,'Aub Demand'!$A:$A,0))-IF(AN711="",0,AN711)+AD711+AL711,INDEX('Aub Demand'!Q:Q,MATCH($O711,'Aub Demand'!$A:$A,0))-IF(AN711="",0,AN711)+AD711))),"")</f>
        <v>296</v>
      </c>
      <c r="Y711" s="53">
        <f t="shared" si="312"/>
        <v>158.6</v>
      </c>
      <c r="Z711" s="52">
        <f>IF(L711="","",INDEX('Aub Demand'!H:H,MATCH($O711,'Aub Demand'!$A:$A,0)))</f>
        <v>8</v>
      </c>
      <c r="AA711" s="52" t="str">
        <f t="shared" si="313"/>
        <v>-spike-</v>
      </c>
      <c r="AB711" s="52">
        <f>IFERROR(INDEX('Aub Demand'!L:L,MATCH($O711,'Aub Demand'!$A:$A,0)),"")</f>
        <v>0</v>
      </c>
      <c r="AC711" s="52">
        <f>IFERROR(IF(O711="","",SUMIFS('CPL Mats'!F:F,'CPL Mats'!Q:Q,AR711,'CPL Mats'!S:S,AS711)),"")</f>
        <v>0</v>
      </c>
      <c r="AF711" s="25" t="str">
        <f>IF(SUMIFS('Supp Consol'!S:S,'Supp Consol'!Y:Y,"Releasable",'Supp Consol'!A:A,O711)=0,"",SUMIFS('Supp Consol'!S:S,'Supp Consol'!Y:Y,"Releasable",'Supp Consol'!A:A,O711))</f>
        <v/>
      </c>
      <c r="AG711" s="25" t="str">
        <f>IFERROR(INDEX('Hun Demand'!Q:Q,MATCH(O711,'Hun Demand'!A:A,0)),"")</f>
        <v/>
      </c>
      <c r="AH711" s="25" t="str">
        <f>IFERROR(INDEX('Hun Demand'!H:H,MATCH($O711,'Hun Demand'!$A:$A,0)),"")</f>
        <v/>
      </c>
      <c r="AI711" s="25" t="str">
        <f>IF(SUMIFS('Supp Consol'!AA:AA,'Supp Consol'!Z:Z,"Expires this month",'Supp Consol'!A:A,O711)=0,"",SUMIFS('Supp Consol'!AA:AA,'Supp Consol'!Z:Z,"Expires this month",'Supp Consol'!A:A,O711))</f>
        <v/>
      </c>
      <c r="AJ711" s="25" t="str">
        <f>IF(SUMIFS('Supp Consol'!AA:AA,'Supp Consol'!Z:Z,"Expired Previous Months",'Supp Consol'!A:A,O711)=0,"",SUMIFS('Supp Consol'!AA:AA,'Supp Consol'!Z:Z,"Expired Previous Months",'Supp Consol'!A:A,O711))</f>
        <v/>
      </c>
      <c r="AK711" s="25" t="str">
        <f>IFERROR(INDEX('Hun Release Current'!B:B,MATCH(O711,'Hun Release Current'!A:A,0)),"")</f>
        <v/>
      </c>
      <c r="AL711" s="25" t="str">
        <f>IF(SUMIF('Prev Aub'!A:A,O711,'Prev Aub'!B:B)=0,"",SUMIF('Prev Aub'!A:A,O711,'Prev Aub'!B:B))</f>
        <v/>
      </c>
      <c r="AN711" s="25" t="s">
        <v>3790</v>
      </c>
      <c r="AO711" s="25" t="s">
        <v>3790</v>
      </c>
      <c r="AP711" s="25">
        <f t="shared" si="314"/>
        <v>0</v>
      </c>
      <c r="AQ711" s="151" t="str">
        <f>IF(SUMIFS('Supp Consol'!S:S,'Supp Consol'!A:A,O711,'Supp Consol'!I:I,"PENDING")=0,"",SUMIFS('Supp Consol'!S:S,'Supp Consol'!A:A,O711,'Supp Consol'!I:I,"PENDING"))</f>
        <v/>
      </c>
      <c r="AR711" s="27" t="str">
        <f t="shared" si="315"/>
        <v>M0812</v>
      </c>
      <c r="AS711" s="27" t="str">
        <f t="shared" si="316"/>
        <v>37</v>
      </c>
      <c r="AT711" s="27" t="str">
        <f t="shared" si="317"/>
        <v/>
      </c>
      <c r="AU711" s="27" t="str">
        <f t="shared" si="318"/>
        <v/>
      </c>
      <c r="AV711" s="27" t="str">
        <f t="shared" si="319"/>
        <v/>
      </c>
      <c r="AW711" s="27" t="str">
        <f t="shared" si="320"/>
        <v/>
      </c>
      <c r="AX711" s="27" t="str">
        <f t="shared" si="321"/>
        <v/>
      </c>
      <c r="AY711" s="27" t="str">
        <f t="shared" si="322"/>
        <v/>
      </c>
      <c r="AZ711" s="27" t="str">
        <f t="shared" si="323"/>
        <v/>
      </c>
      <c r="BA711" s="27" t="str">
        <f t="shared" si="324"/>
        <v/>
      </c>
      <c r="BB711" s="27" t="str">
        <f t="shared" si="325"/>
        <v>Gross</v>
      </c>
      <c r="BC711" s="27" t="str">
        <f t="shared" si="326"/>
        <v>Net</v>
      </c>
      <c r="BD711" s="27" t="str">
        <f t="shared" si="327"/>
        <v>Net</v>
      </c>
      <c r="BE711" s="27" t="str">
        <f t="shared" si="328"/>
        <v/>
      </c>
      <c r="BF711" s="27" t="str">
        <f t="shared" si="329"/>
        <v/>
      </c>
      <c r="BG711" s="27" t="str">
        <f t="shared" si="330"/>
        <v/>
      </c>
      <c r="BH711" s="27" t="str">
        <f t="shared" si="331"/>
        <v/>
      </c>
      <c r="BI711" s="27" t="str">
        <f t="shared" si="332"/>
        <v/>
      </c>
      <c r="BJ711" s="27" t="str">
        <f t="shared" si="333"/>
        <v/>
      </c>
      <c r="BK711" s="27" t="str">
        <f t="shared" si="334"/>
        <v/>
      </c>
      <c r="BL711" s="27" t="str">
        <f t="shared" si="335"/>
        <v/>
      </c>
      <c r="BM711" s="21" t="s">
        <v>5581</v>
      </c>
    </row>
    <row r="712" spans="1:65" ht="15">
      <c r="A712" s="25" t="str">
        <f>IFERROR(INDEX('Hun Demand'!W:W,MATCH(O712,'Hun Demand'!A:A,0)),"")</f>
        <v/>
      </c>
      <c r="B712" s="25" t="str">
        <f>IFERROR(INDEX('Hun Demand'!V:V,MATCH(O712,'Hun Demand'!A:A,0)),"")</f>
        <v/>
      </c>
      <c r="C712" s="25" t="str">
        <f>IFERROR(INDEX('Hun Demand'!U:U,MATCH(O712,'Hun Demand'!A:A,0)),"")</f>
        <v/>
      </c>
      <c r="D712" s="25" t="str">
        <f>IFERROR(INDEX('Hun Demand'!T:T,MATCH(O712,'Hun Demand'!A:A,0)),"")</f>
        <v/>
      </c>
      <c r="E712" s="25" t="str">
        <f>IFERROR(INDEX('Hun Demand'!S:S,MATCH(O712,'Hun Demand'!A:A,0)),"")</f>
        <v/>
      </c>
      <c r="F712" s="25" t="str">
        <f>IFERROR(INDEX('Hun Demand'!R:R,MATCH(O712,'Hun Demand'!A:A,0)),"")</f>
        <v/>
      </c>
      <c r="G712" s="25">
        <f>IFERROR(INDEX('Aub Demand'!W:W,MATCH(O712,'Aub Demand'!A:A,0)),"")</f>
        <v>173</v>
      </c>
      <c r="H712" s="25">
        <f>IFERROR(INDEX('Aub Demand'!V:V,MATCH(O712,'Aub Demand'!A:A,0)),"")</f>
        <v>233</v>
      </c>
      <c r="I712" s="25">
        <f>IFERROR(INDEX('Aub Demand'!U:U,MATCH(O712,'Aub Demand'!A:A,0)),"")</f>
        <v>42</v>
      </c>
      <c r="J712" s="25">
        <f>IFERROR(INDEX('Aub Demand'!T:T,MATCH(O712,'Aub Demand'!A:A,0)),"")</f>
        <v>0</v>
      </c>
      <c r="K712" s="25">
        <f>IFERROR(INDEX('Aub Demand'!S:S,MATCH(O712,'Aub Demand'!A:A,0)),"")</f>
        <v>20</v>
      </c>
      <c r="L712" s="25">
        <f>IFERROR(INDEX('Aub Demand'!R:R,MATCH(O712,'Aub Demand'!A:A,0)),"")</f>
        <v>0</v>
      </c>
      <c r="O712" s="27" t="s">
        <v>2261</v>
      </c>
      <c r="P712" s="27" t="str">
        <f>IFERROR(INDEX('Aub Demand'!B:B,MATCH($O712,'Aub Demand'!$A:$A,0)),"")</f>
        <v>LIGHT TAN OVERLAY</v>
      </c>
      <c r="Q712" s="27" t="str">
        <f>IFERROR(INDEX('Aub Demand'!C:C,MATCH($O712,'Aub Demand'!$A:$A,0)),"")</f>
        <v>ONYX</v>
      </c>
      <c r="R712" s="52">
        <f>IFERROR(IF(AR713=AR712,INDEX('Aub Demand'!K:K,MATCH($O712,'Aub Demand'!$A:$A,0))-IF(AN712="",0,AN712)+AP713,INDEX('Aub Demand'!K:K,MATCH($O712,'Aub Demand'!$A:$A,0))-IF(AN712="",0,AN712)),"")</f>
        <v>0</v>
      </c>
      <c r="S712" s="53">
        <f t="shared" si="308"/>
        <v>0</v>
      </c>
      <c r="T712" s="52">
        <f t="shared" si="309"/>
        <v>23.25</v>
      </c>
      <c r="U712" s="52">
        <f>IFERROR(IF(AR713=AR712,INDEX('Aub Demand'!Q:Q,MATCH($O712,'Aub Demand'!$A:$A,0))-IF(AN712="",0,AN712)+AP713,INDEX('Aub Demand'!Q:Q,MATCH($O712,'Aub Demand'!$A:$A,0))-IF(AN712="",0,AN712)),"")</f>
        <v>-6</v>
      </c>
      <c r="V712" s="53">
        <f t="shared" si="310"/>
        <v>-1.2</v>
      </c>
      <c r="W712" s="52">
        <f t="shared" si="311"/>
        <v>32.550000000000004</v>
      </c>
      <c r="X712" s="52">
        <f>IFERROR(IF(AND(AR713=AR712,AM712&lt;&gt;""),INDEX('Aub Demand'!Q:Q,MATCH($O712,'Aub Demand'!$A:$A,0))-IF(AN712="",0,AN712)+AP713+AD712+AL712,IF(AR713=AR712,INDEX('Aub Demand'!Q:Q,MATCH($O712,'Aub Demand'!$A:$A,0))-IF(AN712="",0,AN712)+AP713+AD712,IF(AM712&lt;&gt;"",INDEX('Aub Demand'!Q:Q,MATCH($O712,'Aub Demand'!$A:$A,0))-IF(AN712="",0,AN712)+AD712+AL712,INDEX('Aub Demand'!Q:Q,MATCH($O712,'Aub Demand'!$A:$A,0))-IF(AN712="",0,AN712)+AD712))),"")</f>
        <v>-6</v>
      </c>
      <c r="Y712" s="53">
        <f t="shared" si="312"/>
        <v>-1.2</v>
      </c>
      <c r="Z712" s="52">
        <f>IF(L712="","",INDEX('Aub Demand'!H:H,MATCH($O712,'Aub Demand'!$A:$A,0)))</f>
        <v>21</v>
      </c>
      <c r="AA712" s="52">
        <f t="shared" si="313"/>
        <v>31</v>
      </c>
      <c r="AB712" s="52">
        <f>IFERROR(INDEX('Aub Demand'!L:L,MATCH($O712,'Aub Demand'!$A:$A,0)),"")</f>
        <v>173</v>
      </c>
      <c r="AC712" s="52">
        <f>IFERROR(IF(O712="","",SUMIFS('CPL Mats'!F:F,'CPL Mats'!Q:Q,AR712,'CPL Mats'!S:S,AS712)),"")</f>
        <v>0</v>
      </c>
      <c r="AF712" s="25" t="str">
        <f>IF(SUMIFS('Supp Consol'!S:S,'Supp Consol'!Y:Y,"Releasable",'Supp Consol'!A:A,O712)=0,"",SUMIFS('Supp Consol'!S:S,'Supp Consol'!Y:Y,"Releasable",'Supp Consol'!A:A,O712))</f>
        <v/>
      </c>
      <c r="AG712" s="25" t="str">
        <f>IFERROR(INDEX('Hun Demand'!Q:Q,MATCH(O712,'Hun Demand'!A:A,0)),"")</f>
        <v/>
      </c>
      <c r="AH712" s="25" t="str">
        <f>IFERROR(INDEX('Hun Demand'!H:H,MATCH($O712,'Hun Demand'!$A:$A,0)),"")</f>
        <v/>
      </c>
      <c r="AI712" s="25" t="str">
        <f>IF(SUMIFS('Supp Consol'!AA:AA,'Supp Consol'!Z:Z,"Expires this month",'Supp Consol'!A:A,O712)=0,"",SUMIFS('Supp Consol'!AA:AA,'Supp Consol'!Z:Z,"Expires this month",'Supp Consol'!A:A,O712))</f>
        <v/>
      </c>
      <c r="AJ712" s="25" t="str">
        <f>IF(SUMIFS('Supp Consol'!AA:AA,'Supp Consol'!Z:Z,"Expired Previous Months",'Supp Consol'!A:A,O712)=0,"",SUMIFS('Supp Consol'!AA:AA,'Supp Consol'!Z:Z,"Expired Previous Months",'Supp Consol'!A:A,O712))</f>
        <v/>
      </c>
      <c r="AK712" s="25" t="str">
        <f>IFERROR(INDEX('Hun Release Current'!B:B,MATCH(O712,'Hun Release Current'!A:A,0)),"")</f>
        <v/>
      </c>
      <c r="AL712" s="25" t="str">
        <f>IF(SUMIF('Prev Aub'!A:A,O712,'Prev Aub'!B:B)=0,"",SUMIF('Prev Aub'!A:A,O712,'Prev Aub'!B:B))</f>
        <v/>
      </c>
      <c r="AN712" s="25" t="s">
        <v>3790</v>
      </c>
      <c r="AO712" s="25" t="s">
        <v>3790</v>
      </c>
      <c r="AP712" s="25">
        <f t="shared" si="314"/>
        <v>0</v>
      </c>
      <c r="AQ712" s="151" t="str">
        <f>IF(SUMIFS('Supp Consol'!S:S,'Supp Consol'!A:A,O712,'Supp Consol'!I:I,"PENDING")=0,"",SUMIFS('Supp Consol'!S:S,'Supp Consol'!A:A,O712,'Supp Consol'!I:I,"PENDING"))</f>
        <v/>
      </c>
      <c r="AR712" s="27" t="str">
        <f t="shared" si="315"/>
        <v>M0812</v>
      </c>
      <c r="AS712" s="27" t="str">
        <f t="shared" si="316"/>
        <v>50</v>
      </c>
      <c r="AT712" s="27" t="str">
        <f t="shared" si="317"/>
        <v>M0812</v>
      </c>
      <c r="AU712" s="27" t="str">
        <f t="shared" si="318"/>
        <v>M0812</v>
      </c>
      <c r="AV712" s="27" t="str">
        <f t="shared" si="319"/>
        <v>M0812</v>
      </c>
      <c r="AW712" s="27" t="str">
        <f t="shared" si="320"/>
        <v/>
      </c>
      <c r="AX712" s="27" t="str">
        <f t="shared" si="321"/>
        <v/>
      </c>
      <c r="AY712" s="27" t="str">
        <f t="shared" si="322"/>
        <v/>
      </c>
      <c r="AZ712" s="27" t="str">
        <f t="shared" si="323"/>
        <v/>
      </c>
      <c r="BA712" s="27" t="str">
        <f t="shared" si="324"/>
        <v/>
      </c>
      <c r="BB712" s="27" t="str">
        <f t="shared" si="325"/>
        <v>Gross</v>
      </c>
      <c r="BC712" s="27" t="str">
        <f t="shared" si="326"/>
        <v>Net</v>
      </c>
      <c r="BD712" s="27" t="str">
        <f t="shared" si="327"/>
        <v>Net</v>
      </c>
      <c r="BE712" s="27" t="str">
        <f t="shared" si="328"/>
        <v/>
      </c>
      <c r="BF712" s="27" t="str">
        <f t="shared" si="329"/>
        <v/>
      </c>
      <c r="BG712" s="27" t="str">
        <f t="shared" si="330"/>
        <v/>
      </c>
      <c r="BH712" s="27" t="str">
        <f t="shared" si="331"/>
        <v/>
      </c>
      <c r="BI712" s="27" t="str">
        <f t="shared" si="332"/>
        <v/>
      </c>
      <c r="BJ712" s="27" t="str">
        <f t="shared" si="333"/>
        <v/>
      </c>
      <c r="BK712" s="27" t="str">
        <f t="shared" si="334"/>
        <v/>
      </c>
      <c r="BL712" s="27" t="str">
        <f t="shared" si="335"/>
        <v/>
      </c>
      <c r="BM712" s="21" t="s">
        <v>5581</v>
      </c>
    </row>
    <row r="713" spans="1:65" ht="15">
      <c r="A713" s="25" t="str">
        <f>IFERROR(INDEX('Hun Demand'!W:W,MATCH(O713,'Hun Demand'!A:A,0)),"")</f>
        <v/>
      </c>
      <c r="B713" s="25" t="str">
        <f>IFERROR(INDEX('Hun Demand'!V:V,MATCH(O713,'Hun Demand'!A:A,0)),"")</f>
        <v/>
      </c>
      <c r="C713" s="25" t="str">
        <f>IFERROR(INDEX('Hun Demand'!U:U,MATCH(O713,'Hun Demand'!A:A,0)),"")</f>
        <v/>
      </c>
      <c r="D713" s="25" t="str">
        <f>IFERROR(INDEX('Hun Demand'!T:T,MATCH(O713,'Hun Demand'!A:A,0)),"")</f>
        <v/>
      </c>
      <c r="E713" s="25" t="str">
        <f>IFERROR(INDEX('Hun Demand'!S:S,MATCH(O713,'Hun Demand'!A:A,0)),"")</f>
        <v/>
      </c>
      <c r="F713" s="25" t="str">
        <f>IFERROR(INDEX('Hun Demand'!R:R,MATCH(O713,'Hun Demand'!A:A,0)),"")</f>
        <v/>
      </c>
      <c r="G713" s="25">
        <f>IFERROR(INDEX('Aub Demand'!W:W,MATCH(O713,'Aub Demand'!A:A,0)),"")</f>
        <v>0</v>
      </c>
      <c r="H713" s="25">
        <f>IFERROR(INDEX('Aub Demand'!V:V,MATCH(O713,'Aub Demand'!A:A,0)),"")</f>
        <v>0</v>
      </c>
      <c r="I713" s="25">
        <f>IFERROR(INDEX('Aub Demand'!U:U,MATCH(O713,'Aub Demand'!A:A,0)),"")</f>
        <v>0</v>
      </c>
      <c r="J713" s="25">
        <f>IFERROR(INDEX('Aub Demand'!T:T,MATCH(O713,'Aub Demand'!A:A,0)),"")</f>
        <v>0</v>
      </c>
      <c r="K713" s="25">
        <f>IFERROR(INDEX('Aub Demand'!S:S,MATCH(O713,'Aub Demand'!A:A,0)),"")</f>
        <v>0</v>
      </c>
      <c r="L713" s="25">
        <f>IFERROR(INDEX('Aub Demand'!R:R,MATCH(O713,'Aub Demand'!A:A,0)),"")</f>
        <v>0</v>
      </c>
      <c r="O713" s="27" t="s">
        <v>2264</v>
      </c>
      <c r="P713" s="27" t="str">
        <f>IFERROR(INDEX('Aub Demand'!B:B,MATCH($O713,'Aub Demand'!$A:$A,0)),"")</f>
        <v>LIGHT TAN OVERLAY</v>
      </c>
      <c r="Q713" s="27" t="str">
        <f>IFERROR(INDEX('Aub Demand'!C:C,MATCH($O713,'Aub Demand'!$A:$A,0)),"")</f>
        <v>ONYX</v>
      </c>
      <c r="R713" s="52">
        <f>IFERROR(IF(AR714=AR713,INDEX('Aub Demand'!K:K,MATCH($O713,'Aub Demand'!$A:$A,0))-IF(AN713="",0,AN713)+AP714,INDEX('Aub Demand'!K:K,MATCH($O713,'Aub Demand'!$A:$A,0))-IF(AN713="",0,AN713)),"")</f>
        <v>3437</v>
      </c>
      <c r="S713" s="53" t="str">
        <f t="shared" si="308"/>
        <v>n/a</v>
      </c>
      <c r="T713" s="52" t="str">
        <f t="shared" si="309"/>
        <v/>
      </c>
      <c r="U713" s="52">
        <f>IFERROR(IF(AR714=AR713,INDEX('Aub Demand'!Q:Q,MATCH($O713,'Aub Demand'!$A:$A,0))-IF(AN713="",0,AN713)+AP714,INDEX('Aub Demand'!Q:Q,MATCH($O713,'Aub Demand'!$A:$A,0))-IF(AN713="",0,AN713)),"")</f>
        <v>3437</v>
      </c>
      <c r="V713" s="53" t="str">
        <f t="shared" si="310"/>
        <v>n/a</v>
      </c>
      <c r="W713" s="52" t="str">
        <f t="shared" si="311"/>
        <v/>
      </c>
      <c r="X713" s="52">
        <f>IFERROR(IF(AND(AR714=AR713,AM713&lt;&gt;""),INDEX('Aub Demand'!Q:Q,MATCH($O713,'Aub Demand'!$A:$A,0))-IF(AN713="",0,AN713)+AP714+AD713+AL713,IF(AR714=AR713,INDEX('Aub Demand'!Q:Q,MATCH($O713,'Aub Demand'!$A:$A,0))-IF(AN713="",0,AN713)+AP714+AD713,IF(AM713&lt;&gt;"",INDEX('Aub Demand'!Q:Q,MATCH($O713,'Aub Demand'!$A:$A,0))-IF(AN713="",0,AN713)+AD713+AL713,INDEX('Aub Demand'!Q:Q,MATCH($O713,'Aub Demand'!$A:$A,0))-IF(AN713="",0,AN713)+AD713))),"")</f>
        <v>3437</v>
      </c>
      <c r="Y713" s="53" t="str">
        <f t="shared" si="312"/>
        <v>n/a</v>
      </c>
      <c r="Z713" s="52">
        <f>IF(L713="","",INDEX('Aub Demand'!H:H,MATCH($O713,'Aub Demand'!$A:$A,0)))</f>
        <v>0</v>
      </c>
      <c r="AA713" s="52" t="str">
        <f t="shared" si="313"/>
        <v>-spike-</v>
      </c>
      <c r="AB713" s="52">
        <f>IFERROR(INDEX('Aub Demand'!L:L,MATCH($O713,'Aub Demand'!$A:$A,0)),"")</f>
        <v>140</v>
      </c>
      <c r="AC713" s="52">
        <f>IFERROR(IF(O713="","",SUMIFS('CPL Mats'!F:F,'CPL Mats'!Q:Q,AR713,'CPL Mats'!S:S,AS713)),"")</f>
        <v>0</v>
      </c>
      <c r="AF713" s="25" t="str">
        <f>IF(SUMIFS('Supp Consol'!S:S,'Supp Consol'!Y:Y,"Releasable",'Supp Consol'!A:A,O713)=0,"",SUMIFS('Supp Consol'!S:S,'Supp Consol'!Y:Y,"Releasable",'Supp Consol'!A:A,O713))</f>
        <v/>
      </c>
      <c r="AG713" s="25" t="str">
        <f>IFERROR(INDEX('Hun Demand'!Q:Q,MATCH(O713,'Hun Demand'!A:A,0)),"")</f>
        <v/>
      </c>
      <c r="AH713" s="25" t="str">
        <f>IFERROR(INDEX('Hun Demand'!H:H,MATCH($O713,'Hun Demand'!$A:$A,0)),"")</f>
        <v/>
      </c>
      <c r="AI713" s="25" t="str">
        <f>IF(SUMIFS('Supp Consol'!AA:AA,'Supp Consol'!Z:Z,"Expires this month",'Supp Consol'!A:A,O713)=0,"",SUMIFS('Supp Consol'!AA:AA,'Supp Consol'!Z:Z,"Expires this month",'Supp Consol'!A:A,O713))</f>
        <v/>
      </c>
      <c r="AJ713" s="25" t="str">
        <f>IF(SUMIFS('Supp Consol'!AA:AA,'Supp Consol'!Z:Z,"Expired Previous Months",'Supp Consol'!A:A,O713)=0,"",SUMIFS('Supp Consol'!AA:AA,'Supp Consol'!Z:Z,"Expired Previous Months",'Supp Consol'!A:A,O713))</f>
        <v/>
      </c>
      <c r="AK713" s="25" t="str">
        <f>IFERROR(INDEX('Hun Release Current'!B:B,MATCH(O713,'Hun Release Current'!A:A,0)),"")</f>
        <v/>
      </c>
      <c r="AL713" s="25" t="str">
        <f>IF(SUMIF('Prev Aub'!A:A,O713,'Prev Aub'!B:B)=0,"",SUMIF('Prev Aub'!A:A,O713,'Prev Aub'!B:B))</f>
        <v/>
      </c>
      <c r="AN713" s="25" t="s">
        <v>3790</v>
      </c>
      <c r="AO713" s="25" t="s">
        <v>3790</v>
      </c>
      <c r="AP713" s="25">
        <f t="shared" si="314"/>
        <v>0</v>
      </c>
      <c r="AQ713" s="151" t="str">
        <f>IF(SUMIFS('Supp Consol'!S:S,'Supp Consol'!A:A,O713,'Supp Consol'!I:I,"PENDING")=0,"",SUMIFS('Supp Consol'!S:S,'Supp Consol'!A:A,O713,'Supp Consol'!I:I,"PENDING"))</f>
        <v/>
      </c>
      <c r="AR713" s="27" t="str">
        <f t="shared" si="315"/>
        <v>M0812</v>
      </c>
      <c r="AS713" s="27" t="str">
        <f t="shared" si="316"/>
        <v>62</v>
      </c>
      <c r="AT713" s="27" t="str">
        <f t="shared" si="317"/>
        <v/>
      </c>
      <c r="AU713" s="27" t="str">
        <f t="shared" si="318"/>
        <v/>
      </c>
      <c r="AV713" s="27" t="str">
        <f t="shared" si="319"/>
        <v/>
      </c>
      <c r="AW713" s="27" t="str">
        <f t="shared" si="320"/>
        <v/>
      </c>
      <c r="AX713" s="27" t="str">
        <f t="shared" si="321"/>
        <v/>
      </c>
      <c r="AY713" s="27" t="str">
        <f t="shared" si="322"/>
        <v/>
      </c>
      <c r="AZ713" s="27" t="str">
        <f t="shared" si="323"/>
        <v/>
      </c>
      <c r="BA713" s="27" t="str">
        <f t="shared" si="324"/>
        <v/>
      </c>
      <c r="BB713" s="27" t="str">
        <f t="shared" si="325"/>
        <v>Gross</v>
      </c>
      <c r="BC713" s="27" t="str">
        <f t="shared" si="326"/>
        <v>Net</v>
      </c>
      <c r="BD713" s="27" t="str">
        <f t="shared" si="327"/>
        <v>Net</v>
      </c>
      <c r="BE713" s="27" t="str">
        <f t="shared" si="328"/>
        <v/>
      </c>
      <c r="BF713" s="27" t="str">
        <f t="shared" si="329"/>
        <v/>
      </c>
      <c r="BG713" s="27" t="str">
        <f t="shared" si="330"/>
        <v/>
      </c>
      <c r="BH713" s="27" t="str">
        <f t="shared" si="331"/>
        <v/>
      </c>
      <c r="BI713" s="27" t="str">
        <f t="shared" si="332"/>
        <v/>
      </c>
      <c r="BJ713" s="27" t="str">
        <f t="shared" si="333"/>
        <v/>
      </c>
      <c r="BK713" s="27" t="str">
        <f t="shared" si="334"/>
        <v/>
      </c>
      <c r="BL713" s="27" t="str">
        <f t="shared" si="335"/>
        <v/>
      </c>
      <c r="BM713" s="21" t="s">
        <v>5581</v>
      </c>
    </row>
    <row r="714" spans="1:65" ht="15">
      <c r="A714" s="25" t="str">
        <f>IFERROR(INDEX('Hun Demand'!W:W,MATCH(O714,'Hun Demand'!A:A,0)),"")</f>
        <v/>
      </c>
      <c r="B714" s="25" t="str">
        <f>IFERROR(INDEX('Hun Demand'!V:V,MATCH(O714,'Hun Demand'!A:A,0)),"")</f>
        <v/>
      </c>
      <c r="C714" s="25" t="str">
        <f>IFERROR(INDEX('Hun Demand'!U:U,MATCH(O714,'Hun Demand'!A:A,0)),"")</f>
        <v/>
      </c>
      <c r="D714" s="25" t="str">
        <f>IFERROR(INDEX('Hun Demand'!T:T,MATCH(O714,'Hun Demand'!A:A,0)),"")</f>
        <v/>
      </c>
      <c r="E714" s="25" t="str">
        <f>IFERROR(INDEX('Hun Demand'!S:S,MATCH(O714,'Hun Demand'!A:A,0)),"")</f>
        <v/>
      </c>
      <c r="F714" s="25" t="str">
        <f>IFERROR(INDEX('Hun Demand'!R:R,MATCH(O714,'Hun Demand'!A:A,0)),"")</f>
        <v/>
      </c>
      <c r="G714" s="25">
        <f>IFERROR(INDEX('Aub Demand'!W:W,MATCH(O714,'Aub Demand'!A:A,0)),"")</f>
        <v>0</v>
      </c>
      <c r="H714" s="25">
        <f>IFERROR(INDEX('Aub Demand'!V:V,MATCH(O714,'Aub Demand'!A:A,0)),"")</f>
        <v>0</v>
      </c>
      <c r="I714" s="25">
        <f>IFERROR(INDEX('Aub Demand'!U:U,MATCH(O714,'Aub Demand'!A:A,0)),"")</f>
        <v>0</v>
      </c>
      <c r="J714" s="25">
        <f>IFERROR(INDEX('Aub Demand'!T:T,MATCH(O714,'Aub Demand'!A:A,0)),"")</f>
        <v>0</v>
      </c>
      <c r="K714" s="25">
        <f>IFERROR(INDEX('Aub Demand'!S:S,MATCH(O714,'Aub Demand'!A:A,0)),"")</f>
        <v>0</v>
      </c>
      <c r="L714" s="25">
        <f>IFERROR(INDEX('Aub Demand'!R:R,MATCH(O714,'Aub Demand'!A:A,0)),"")</f>
        <v>0</v>
      </c>
      <c r="O714" s="27" t="s">
        <v>2265</v>
      </c>
      <c r="P714" s="27" t="str">
        <f>IFERROR(INDEX('Aub Demand'!B:B,MATCH($O714,'Aub Demand'!$A:$A,0)),"")</f>
        <v>130# BLACK CONDUCTIV</v>
      </c>
      <c r="Q714" s="27" t="str">
        <f>IFERROR(INDEX('Aub Demand'!C:C,MATCH($O714,'Aub Demand'!$A:$A,0)),"")</f>
        <v>ONYX</v>
      </c>
      <c r="R714" s="52">
        <f>IFERROR(IF(AR715=AR714,INDEX('Aub Demand'!K:K,MATCH($O714,'Aub Demand'!$A:$A,0))-IF(AN714="",0,AN714)+AP715,INDEX('Aub Demand'!K:K,MATCH($O714,'Aub Demand'!$A:$A,0))-IF(AN714="",0,AN714)),"")</f>
        <v>1049</v>
      </c>
      <c r="S714" s="53" t="str">
        <f t="shared" si="308"/>
        <v>n/a</v>
      </c>
      <c r="T714" s="52" t="str">
        <f t="shared" si="309"/>
        <v/>
      </c>
      <c r="U714" s="52">
        <f>IFERROR(IF(AR715=AR714,INDEX('Aub Demand'!Q:Q,MATCH($O714,'Aub Demand'!$A:$A,0))-IF(AN714="",0,AN714)+AP715,INDEX('Aub Demand'!Q:Q,MATCH($O714,'Aub Demand'!$A:$A,0))-IF(AN714="",0,AN714)),"")</f>
        <v>1049</v>
      </c>
      <c r="V714" s="53" t="str">
        <f t="shared" si="310"/>
        <v>n/a</v>
      </c>
      <c r="W714" s="52" t="str">
        <f t="shared" si="311"/>
        <v/>
      </c>
      <c r="X714" s="52">
        <f>IFERROR(IF(AND(AR715=AR714,AM714&lt;&gt;""),INDEX('Aub Demand'!Q:Q,MATCH($O714,'Aub Demand'!$A:$A,0))-IF(AN714="",0,AN714)+AP715+AD714+AL714,IF(AR715=AR714,INDEX('Aub Demand'!Q:Q,MATCH($O714,'Aub Demand'!$A:$A,0))-IF(AN714="",0,AN714)+AP715+AD714,IF(AM714&lt;&gt;"",INDEX('Aub Demand'!Q:Q,MATCH($O714,'Aub Demand'!$A:$A,0))-IF(AN714="",0,AN714)+AD714+AL714,INDEX('Aub Demand'!Q:Q,MATCH($O714,'Aub Demand'!$A:$A,0))-IF(AN714="",0,AN714)+AD714))),"")</f>
        <v>1049</v>
      </c>
      <c r="Y714" s="53" t="str">
        <f t="shared" si="312"/>
        <v>n/a</v>
      </c>
      <c r="Z714" s="52">
        <f>IF(L714="","",INDEX('Aub Demand'!H:H,MATCH($O714,'Aub Demand'!$A:$A,0)))</f>
        <v>0</v>
      </c>
      <c r="AA714" s="52" t="str">
        <f t="shared" si="313"/>
        <v>-spike-</v>
      </c>
      <c r="AB714" s="52">
        <f>IFERROR(INDEX('Aub Demand'!L:L,MATCH($O714,'Aub Demand'!$A:$A,0)),"")</f>
        <v>0</v>
      </c>
      <c r="AC714" s="52">
        <f>IFERROR(IF(O714="","",SUMIFS('CPL Mats'!F:F,'CPL Mats'!Q:Q,AR714,'CPL Mats'!S:S,AS714)),"")</f>
        <v>0</v>
      </c>
      <c r="AF714" s="25" t="str">
        <f>IF(SUMIFS('Supp Consol'!S:S,'Supp Consol'!Y:Y,"Releasable",'Supp Consol'!A:A,O714)=0,"",SUMIFS('Supp Consol'!S:S,'Supp Consol'!Y:Y,"Releasable",'Supp Consol'!A:A,O714))</f>
        <v/>
      </c>
      <c r="AG714" s="25" t="str">
        <f>IFERROR(INDEX('Hun Demand'!Q:Q,MATCH(O714,'Hun Demand'!A:A,0)),"")</f>
        <v/>
      </c>
      <c r="AH714" s="25" t="str">
        <f>IFERROR(INDEX('Hun Demand'!H:H,MATCH($O714,'Hun Demand'!$A:$A,0)),"")</f>
        <v/>
      </c>
      <c r="AI714" s="25" t="str">
        <f>IF(SUMIFS('Supp Consol'!AA:AA,'Supp Consol'!Z:Z,"Expires this month",'Supp Consol'!A:A,O714)=0,"",SUMIFS('Supp Consol'!AA:AA,'Supp Consol'!Z:Z,"Expires this month",'Supp Consol'!A:A,O714))</f>
        <v/>
      </c>
      <c r="AJ714" s="25" t="str">
        <f>IF(SUMIFS('Supp Consol'!AA:AA,'Supp Consol'!Z:Z,"Expired Previous Months",'Supp Consol'!A:A,O714)=0,"",SUMIFS('Supp Consol'!AA:AA,'Supp Consol'!Z:Z,"Expired Previous Months",'Supp Consol'!A:A,O714))</f>
        <v/>
      </c>
      <c r="AK714" s="25" t="str">
        <f>IFERROR(INDEX('Hun Release Current'!B:B,MATCH(O714,'Hun Release Current'!A:A,0)),"")</f>
        <v/>
      </c>
      <c r="AL714" s="25" t="str">
        <f>IF(SUMIF('Prev Aub'!A:A,O714,'Prev Aub'!B:B)=0,"",SUMIF('Prev Aub'!A:A,O714,'Prev Aub'!B:B))</f>
        <v/>
      </c>
      <c r="AN714" s="25" t="s">
        <v>3790</v>
      </c>
      <c r="AO714" s="25" t="s">
        <v>3790</v>
      </c>
      <c r="AP714" s="25">
        <f t="shared" si="314"/>
        <v>0</v>
      </c>
      <c r="AQ714" s="151" t="str">
        <f>IF(SUMIFS('Supp Consol'!S:S,'Supp Consol'!A:A,O714,'Supp Consol'!I:I,"PENDING")=0,"",SUMIFS('Supp Consol'!S:S,'Supp Consol'!A:A,O714,'Supp Consol'!I:I,"PENDING"))</f>
        <v/>
      </c>
      <c r="AR714" s="27" t="str">
        <f t="shared" si="315"/>
        <v>M5088</v>
      </c>
      <c r="AS714" s="27" t="str">
        <f t="shared" si="316"/>
        <v>37</v>
      </c>
      <c r="AT714" s="27" t="str">
        <f t="shared" si="317"/>
        <v/>
      </c>
      <c r="AU714" s="27" t="str">
        <f t="shared" si="318"/>
        <v/>
      </c>
      <c r="AV714" s="27" t="str">
        <f t="shared" si="319"/>
        <v/>
      </c>
      <c r="AW714" s="27" t="str">
        <f t="shared" si="320"/>
        <v/>
      </c>
      <c r="AX714" s="27" t="str">
        <f t="shared" si="321"/>
        <v/>
      </c>
      <c r="AY714" s="27" t="str">
        <f t="shared" si="322"/>
        <v/>
      </c>
      <c r="AZ714" s="27" t="str">
        <f t="shared" si="323"/>
        <v/>
      </c>
      <c r="BA714" s="27" t="str">
        <f t="shared" si="324"/>
        <v/>
      </c>
      <c r="BB714" s="27" t="str">
        <f t="shared" si="325"/>
        <v/>
      </c>
      <c r="BC714" s="27" t="str">
        <f t="shared" si="326"/>
        <v/>
      </c>
      <c r="BD714" s="27" t="str">
        <f t="shared" si="327"/>
        <v/>
      </c>
      <c r="BE714" s="27" t="str">
        <f t="shared" si="328"/>
        <v/>
      </c>
      <c r="BF714" s="27" t="str">
        <f t="shared" si="329"/>
        <v/>
      </c>
      <c r="BG714" s="27" t="str">
        <f t="shared" si="330"/>
        <v/>
      </c>
      <c r="BH714" s="27" t="str">
        <f t="shared" si="331"/>
        <v/>
      </c>
      <c r="BI714" s="27" t="str">
        <f t="shared" si="332"/>
        <v/>
      </c>
      <c r="BJ714" s="27" t="str">
        <f t="shared" si="333"/>
        <v/>
      </c>
      <c r="BK714" s="27" t="str">
        <f t="shared" si="334"/>
        <v/>
      </c>
      <c r="BL714" s="27" t="str">
        <f t="shared" si="335"/>
        <v/>
      </c>
      <c r="BM714" s="21" t="s">
        <v>5581</v>
      </c>
    </row>
    <row r="715" spans="1:65" ht="15">
      <c r="A715" s="25" t="str">
        <f>IFERROR(INDEX('Hun Demand'!W:W,MATCH(O715,'Hun Demand'!A:A,0)),"")</f>
        <v/>
      </c>
      <c r="B715" s="25" t="str">
        <f>IFERROR(INDEX('Hun Demand'!V:V,MATCH(O715,'Hun Demand'!A:A,0)),"")</f>
        <v/>
      </c>
      <c r="C715" s="25" t="str">
        <f>IFERROR(INDEX('Hun Demand'!U:U,MATCH(O715,'Hun Demand'!A:A,0)),"")</f>
        <v/>
      </c>
      <c r="D715" s="25" t="str">
        <f>IFERROR(INDEX('Hun Demand'!T:T,MATCH(O715,'Hun Demand'!A:A,0)),"")</f>
        <v/>
      </c>
      <c r="E715" s="25" t="str">
        <f>IFERROR(INDEX('Hun Demand'!S:S,MATCH(O715,'Hun Demand'!A:A,0)),"")</f>
        <v/>
      </c>
      <c r="F715" s="25" t="str">
        <f>IFERROR(INDEX('Hun Demand'!R:R,MATCH(O715,'Hun Demand'!A:A,0)),"")</f>
        <v/>
      </c>
      <c r="G715" s="25">
        <f>IFERROR(INDEX('Aub Demand'!W:W,MATCH(O715,'Aub Demand'!A:A,0)),"")</f>
        <v>0</v>
      </c>
      <c r="H715" s="25">
        <f>IFERROR(INDEX('Aub Demand'!V:V,MATCH(O715,'Aub Demand'!A:A,0)),"")</f>
        <v>1579</v>
      </c>
      <c r="I715" s="25">
        <f>IFERROR(INDEX('Aub Demand'!U:U,MATCH(O715,'Aub Demand'!A:A,0)),"")</f>
        <v>0</v>
      </c>
      <c r="J715" s="25">
        <f>IFERROR(INDEX('Aub Demand'!T:T,MATCH(O715,'Aub Demand'!A:A,0)),"")</f>
        <v>0</v>
      </c>
      <c r="K715" s="25">
        <f>IFERROR(INDEX('Aub Demand'!S:S,MATCH(O715,'Aub Demand'!A:A,0)),"")</f>
        <v>972</v>
      </c>
      <c r="L715" s="25">
        <f>IFERROR(INDEX('Aub Demand'!R:R,MATCH(O715,'Aub Demand'!A:A,0)),"")</f>
        <v>0</v>
      </c>
      <c r="O715" s="27" t="s">
        <v>2268</v>
      </c>
      <c r="P715" s="27" t="str">
        <f>IFERROR(INDEX('Aub Demand'!B:B,MATCH($O715,'Aub Demand'!$A:$A,0)),"")</f>
        <v>130# BLACK CONDUCTIV</v>
      </c>
      <c r="Q715" s="27" t="str">
        <f>IFERROR(INDEX('Aub Demand'!C:C,MATCH($O715,'Aub Demand'!$A:$A,0)),"")</f>
        <v>ONYX</v>
      </c>
      <c r="R715" s="52">
        <f>IFERROR(IF(AR716=AR715,INDEX('Aub Demand'!K:K,MATCH($O715,'Aub Demand'!$A:$A,0))-IF(AN715="",0,AN715)+AP716,INDEX('Aub Demand'!K:K,MATCH($O715,'Aub Demand'!$A:$A,0))-IF(AN715="",0,AN715)),"")</f>
        <v>10850</v>
      </c>
      <c r="S715" s="53">
        <f t="shared" si="308"/>
        <v>143.5</v>
      </c>
      <c r="T715" s="52" t="str">
        <f t="shared" si="309"/>
        <v/>
      </c>
      <c r="U715" s="52">
        <f>IFERROR(IF(AR716=AR715,INDEX('Aub Demand'!Q:Q,MATCH($O715,'Aub Demand'!$A:$A,0))-IF(AN715="",0,AN715)+AP716,INDEX('Aub Demand'!Q:Q,MATCH($O715,'Aub Demand'!$A:$A,0))-IF(AN715="",0,AN715)),"")</f>
        <v>10597</v>
      </c>
      <c r="V715" s="53">
        <f t="shared" si="310"/>
        <v>140.19999999999999</v>
      </c>
      <c r="W715" s="52" t="str">
        <f t="shared" si="311"/>
        <v/>
      </c>
      <c r="X715" s="52">
        <f>IFERROR(IF(AND(AR716=AR715,AM715&lt;&gt;""),INDEX('Aub Demand'!Q:Q,MATCH($O715,'Aub Demand'!$A:$A,0))-IF(AN715="",0,AN715)+AP716+AD715+AL715,IF(AR716=AR715,INDEX('Aub Demand'!Q:Q,MATCH($O715,'Aub Demand'!$A:$A,0))-IF(AN715="",0,AN715)+AP716+AD715,IF(AM715&lt;&gt;"",INDEX('Aub Demand'!Q:Q,MATCH($O715,'Aub Demand'!$A:$A,0))-IF(AN715="",0,AN715)+AD715+AL715,INDEX('Aub Demand'!Q:Q,MATCH($O715,'Aub Demand'!$A:$A,0))-IF(AN715="",0,AN715)+AD715))),"")</f>
        <v>10597</v>
      </c>
      <c r="Y715" s="53">
        <f t="shared" si="312"/>
        <v>140.19999999999999</v>
      </c>
      <c r="Z715" s="52">
        <f>IF(L715="","",INDEX('Aub Demand'!H:H,MATCH($O715,'Aub Demand'!$A:$A,0)))</f>
        <v>324</v>
      </c>
      <c r="AA715" s="52" t="str">
        <f t="shared" si="313"/>
        <v>-spike-</v>
      </c>
      <c r="AB715" s="52">
        <f>IFERROR(INDEX('Aub Demand'!L:L,MATCH($O715,'Aub Demand'!$A:$A,0)),"")</f>
        <v>3565</v>
      </c>
      <c r="AC715" s="52">
        <f>IFERROR(IF(O715="","",SUMIFS('CPL Mats'!F:F,'CPL Mats'!Q:Q,AR715,'CPL Mats'!S:S,AS715)),"")</f>
        <v>0</v>
      </c>
      <c r="AF715" s="25" t="str">
        <f>IF(SUMIFS('Supp Consol'!S:S,'Supp Consol'!Y:Y,"Releasable",'Supp Consol'!A:A,O715)=0,"",SUMIFS('Supp Consol'!S:S,'Supp Consol'!Y:Y,"Releasable",'Supp Consol'!A:A,O715))</f>
        <v/>
      </c>
      <c r="AG715" s="25" t="str">
        <f>IFERROR(INDEX('Hun Demand'!Q:Q,MATCH(O715,'Hun Demand'!A:A,0)),"")</f>
        <v/>
      </c>
      <c r="AH715" s="25" t="str">
        <f>IFERROR(INDEX('Hun Demand'!H:H,MATCH($O715,'Hun Demand'!$A:$A,0)),"")</f>
        <v/>
      </c>
      <c r="AI715" s="25" t="str">
        <f>IF(SUMIFS('Supp Consol'!AA:AA,'Supp Consol'!Z:Z,"Expires this month",'Supp Consol'!A:A,O715)=0,"",SUMIFS('Supp Consol'!AA:AA,'Supp Consol'!Z:Z,"Expires this month",'Supp Consol'!A:A,O715))</f>
        <v/>
      </c>
      <c r="AJ715" s="25" t="str">
        <f>IF(SUMIFS('Supp Consol'!AA:AA,'Supp Consol'!Z:Z,"Expired Previous Months",'Supp Consol'!A:A,O715)=0,"",SUMIFS('Supp Consol'!AA:AA,'Supp Consol'!Z:Z,"Expired Previous Months",'Supp Consol'!A:A,O715))</f>
        <v/>
      </c>
      <c r="AK715" s="25" t="str">
        <f>IFERROR(INDEX('Hun Release Current'!B:B,MATCH(O715,'Hun Release Current'!A:A,0)),"")</f>
        <v/>
      </c>
      <c r="AL715" s="25" t="str">
        <f>IF(SUMIF('Prev Aub'!A:A,O715,'Prev Aub'!B:B)=0,"",SUMIF('Prev Aub'!A:A,O715,'Prev Aub'!B:B))</f>
        <v/>
      </c>
      <c r="AN715" s="25" t="s">
        <v>3790</v>
      </c>
      <c r="AO715" s="25" t="s">
        <v>3790</v>
      </c>
      <c r="AP715" s="25">
        <f t="shared" si="314"/>
        <v>0</v>
      </c>
      <c r="AQ715" s="151" t="str">
        <f>IF(SUMIFS('Supp Consol'!S:S,'Supp Consol'!A:A,O715,'Supp Consol'!I:I,"PENDING")=0,"",SUMIFS('Supp Consol'!S:S,'Supp Consol'!A:A,O715,'Supp Consol'!I:I,"PENDING"))</f>
        <v/>
      </c>
      <c r="AR715" s="27" t="str">
        <f t="shared" si="315"/>
        <v>M5088</v>
      </c>
      <c r="AS715" s="27" t="str">
        <f t="shared" si="316"/>
        <v>50</v>
      </c>
      <c r="AT715" s="27" t="str">
        <f t="shared" si="317"/>
        <v/>
      </c>
      <c r="AU715" s="27" t="str">
        <f t="shared" si="318"/>
        <v/>
      </c>
      <c r="AV715" s="27" t="str">
        <f t="shared" si="319"/>
        <v/>
      </c>
      <c r="AW715" s="27" t="str">
        <f t="shared" si="320"/>
        <v/>
      </c>
      <c r="AX715" s="27" t="str">
        <f t="shared" si="321"/>
        <v/>
      </c>
      <c r="AY715" s="27" t="str">
        <f t="shared" si="322"/>
        <v/>
      </c>
      <c r="AZ715" s="27" t="str">
        <f t="shared" si="323"/>
        <v/>
      </c>
      <c r="BA715" s="27" t="str">
        <f t="shared" si="324"/>
        <v/>
      </c>
      <c r="BB715" s="27" t="str">
        <f t="shared" si="325"/>
        <v/>
      </c>
      <c r="BC715" s="27" t="str">
        <f t="shared" si="326"/>
        <v/>
      </c>
      <c r="BD715" s="27" t="str">
        <f t="shared" si="327"/>
        <v/>
      </c>
      <c r="BE715" s="27" t="str">
        <f t="shared" si="328"/>
        <v/>
      </c>
      <c r="BF715" s="27" t="str">
        <f t="shared" si="329"/>
        <v/>
      </c>
      <c r="BG715" s="27" t="str">
        <f t="shared" si="330"/>
        <v/>
      </c>
      <c r="BH715" s="27" t="str">
        <f t="shared" si="331"/>
        <v/>
      </c>
      <c r="BI715" s="27" t="str">
        <f t="shared" si="332"/>
        <v/>
      </c>
      <c r="BJ715" s="27" t="str">
        <f t="shared" si="333"/>
        <v/>
      </c>
      <c r="BK715" s="27" t="str">
        <f t="shared" si="334"/>
        <v/>
      </c>
      <c r="BL715" s="27" t="str">
        <f t="shared" si="335"/>
        <v/>
      </c>
      <c r="BM715" s="21" t="s">
        <v>5581</v>
      </c>
    </row>
    <row r="716" spans="1:65" ht="15">
      <c r="A716" s="25" t="str">
        <f>IFERROR(INDEX('Hun Demand'!W:W,MATCH(O716,'Hun Demand'!A:A,0)),"")</f>
        <v/>
      </c>
      <c r="B716" s="25" t="str">
        <f>IFERROR(INDEX('Hun Demand'!V:V,MATCH(O716,'Hun Demand'!A:A,0)),"")</f>
        <v/>
      </c>
      <c r="C716" s="25" t="str">
        <f>IFERROR(INDEX('Hun Demand'!U:U,MATCH(O716,'Hun Demand'!A:A,0)),"")</f>
        <v/>
      </c>
      <c r="D716" s="25" t="str">
        <f>IFERROR(INDEX('Hun Demand'!T:T,MATCH(O716,'Hun Demand'!A:A,0)),"")</f>
        <v/>
      </c>
      <c r="E716" s="25" t="str">
        <f>IFERROR(INDEX('Hun Demand'!S:S,MATCH(O716,'Hun Demand'!A:A,0)),"")</f>
        <v/>
      </c>
      <c r="F716" s="25" t="str">
        <f>IFERROR(INDEX('Hun Demand'!R:R,MATCH(O716,'Hun Demand'!A:A,0)),"")</f>
        <v/>
      </c>
      <c r="G716" s="25">
        <f>IFERROR(INDEX('Aub Demand'!W:W,MATCH(O716,'Aub Demand'!A:A,0)),"")</f>
        <v>68</v>
      </c>
      <c r="H716" s="25">
        <f>IFERROR(INDEX('Aub Demand'!V:V,MATCH(O716,'Aub Demand'!A:A,0)),"")</f>
        <v>60</v>
      </c>
      <c r="I716" s="25">
        <f>IFERROR(INDEX('Aub Demand'!U:U,MATCH(O716,'Aub Demand'!A:A,0)),"")</f>
        <v>0</v>
      </c>
      <c r="J716" s="25">
        <f>IFERROR(INDEX('Aub Demand'!T:T,MATCH(O716,'Aub Demand'!A:A,0)),"")</f>
        <v>0</v>
      </c>
      <c r="K716" s="25">
        <f>IFERROR(INDEX('Aub Demand'!S:S,MATCH(O716,'Aub Demand'!A:A,0)),"")</f>
        <v>0</v>
      </c>
      <c r="L716" s="25">
        <f>IFERROR(INDEX('Aub Demand'!R:R,MATCH(O716,'Aub Demand'!A:A,0)),"")</f>
        <v>0</v>
      </c>
      <c r="O716" s="27" t="s">
        <v>2269</v>
      </c>
      <c r="P716" s="27" t="str">
        <f>IFERROR(INDEX('Aub Demand'!B:B,MATCH($O716,'Aub Demand'!$A:$A,0)),"")</f>
        <v>Low Glare Finish SK</v>
      </c>
      <c r="Q716" s="27" t="str">
        <f>IFERROR(INDEX('Aub Demand'!C:C,MATCH($O716,'Aub Demand'!$A:$A,0)),"")</f>
        <v>SAPPI</v>
      </c>
      <c r="R716" s="52">
        <f>IFERROR(IF(AR717=AR716,INDEX('Aub Demand'!K:K,MATCH($O716,'Aub Demand'!$A:$A,0))-IF(AN716="",0,AN716)+AP717,INDEX('Aub Demand'!K:K,MATCH($O716,'Aub Demand'!$A:$A,0))-IF(AN716="",0,AN716)),"")</f>
        <v>1900</v>
      </c>
      <c r="S716" s="53" t="str">
        <f t="shared" si="308"/>
        <v>n/a</v>
      </c>
      <c r="T716" s="52" t="str">
        <f t="shared" si="309"/>
        <v/>
      </c>
      <c r="U716" s="52">
        <f>IFERROR(IF(AR717=AR716,INDEX('Aub Demand'!Q:Q,MATCH($O716,'Aub Demand'!$A:$A,0))-IF(AN716="",0,AN716)+AP717,INDEX('Aub Demand'!Q:Q,MATCH($O716,'Aub Demand'!$A:$A,0))-IF(AN716="",0,AN716)),"")</f>
        <v>1888</v>
      </c>
      <c r="V716" s="53" t="str">
        <f t="shared" si="310"/>
        <v>n/a</v>
      </c>
      <c r="W716" s="52" t="str">
        <f t="shared" si="311"/>
        <v/>
      </c>
      <c r="X716" s="52">
        <f>IFERROR(IF(AND(AR717=AR716,AM716&lt;&gt;""),INDEX('Aub Demand'!Q:Q,MATCH($O716,'Aub Demand'!$A:$A,0))-IF(AN716="",0,AN716)+AP717+AD716+AL716,IF(AR717=AR716,INDEX('Aub Demand'!Q:Q,MATCH($O716,'Aub Demand'!$A:$A,0))-IF(AN716="",0,AN716)+AP717+AD716,IF(AM716&lt;&gt;"",INDEX('Aub Demand'!Q:Q,MATCH($O716,'Aub Demand'!$A:$A,0))-IF(AN716="",0,AN716)+AD716+AL716,INDEX('Aub Demand'!Q:Q,MATCH($O716,'Aub Demand'!$A:$A,0))-IF(AN716="",0,AN716)+AD716))),"")</f>
        <v>1888</v>
      </c>
      <c r="Y716" s="53" t="str">
        <f t="shared" si="312"/>
        <v>n/a</v>
      </c>
      <c r="Z716" s="52">
        <f>IF(L716="","",INDEX('Aub Demand'!H:H,MATCH($O716,'Aub Demand'!$A:$A,0)))</f>
        <v>0</v>
      </c>
      <c r="AA716" s="52" t="str">
        <f t="shared" si="313"/>
        <v>-spike-</v>
      </c>
      <c r="AB716" s="52">
        <f>IFERROR(INDEX('Aub Demand'!L:L,MATCH($O716,'Aub Demand'!$A:$A,0)),"")</f>
        <v>66</v>
      </c>
      <c r="AC716" s="52">
        <f>IFERROR(IF(O716="","",SUMIFS('CPL Mats'!F:F,'CPL Mats'!Q:Q,AR716,'CPL Mats'!S:S,AS716)),"")</f>
        <v>0</v>
      </c>
      <c r="AF716" s="25" t="str">
        <f>IF(SUMIFS('Supp Consol'!S:S,'Supp Consol'!Y:Y,"Releasable",'Supp Consol'!A:A,O716)=0,"",SUMIFS('Supp Consol'!S:S,'Supp Consol'!Y:Y,"Releasable",'Supp Consol'!A:A,O716))</f>
        <v/>
      </c>
      <c r="AG716" s="25" t="str">
        <f>IFERROR(INDEX('Hun Demand'!Q:Q,MATCH(O716,'Hun Demand'!A:A,0)),"")</f>
        <v/>
      </c>
      <c r="AH716" s="25" t="str">
        <f>IFERROR(INDEX('Hun Demand'!H:H,MATCH($O716,'Hun Demand'!$A:$A,0)),"")</f>
        <v/>
      </c>
      <c r="AI716" s="25" t="str">
        <f>IF(SUMIFS('Supp Consol'!AA:AA,'Supp Consol'!Z:Z,"Expires this month",'Supp Consol'!A:A,O716)=0,"",SUMIFS('Supp Consol'!AA:AA,'Supp Consol'!Z:Z,"Expires this month",'Supp Consol'!A:A,O716))</f>
        <v/>
      </c>
      <c r="AJ716" s="25" t="str">
        <f>IF(SUMIFS('Supp Consol'!AA:AA,'Supp Consol'!Z:Z,"Expired Previous Months",'Supp Consol'!A:A,O716)=0,"",SUMIFS('Supp Consol'!AA:AA,'Supp Consol'!Z:Z,"Expired Previous Months",'Supp Consol'!A:A,O716))</f>
        <v/>
      </c>
      <c r="AK716" s="25" t="str">
        <f>IFERROR(INDEX('Hun Release Current'!B:B,MATCH(O716,'Hun Release Current'!A:A,0)),"")</f>
        <v/>
      </c>
      <c r="AL716" s="25" t="str">
        <f>IF(SUMIF('Prev Aub'!A:A,O716,'Prev Aub'!B:B)=0,"",SUMIF('Prev Aub'!A:A,O716,'Prev Aub'!B:B))</f>
        <v/>
      </c>
      <c r="AN716" s="25" t="s">
        <v>3790</v>
      </c>
      <c r="AO716" s="25" t="s">
        <v>3790</v>
      </c>
      <c r="AP716" s="25">
        <f t="shared" si="314"/>
        <v>0</v>
      </c>
      <c r="AQ716" s="151" t="str">
        <f>IF(SUMIFS('Supp Consol'!S:S,'Supp Consol'!A:A,O716,'Supp Consol'!I:I,"PENDING")=0,"",SUMIFS('Supp Consol'!S:S,'Supp Consol'!A:A,O716,'Supp Consol'!I:I,"PENDING"))</f>
        <v/>
      </c>
      <c r="AR716" s="27" t="str">
        <f t="shared" si="315"/>
        <v>M5108</v>
      </c>
      <c r="AS716" s="27" t="str">
        <f t="shared" si="316"/>
        <v>50</v>
      </c>
      <c r="AT716" s="27" t="str">
        <f t="shared" si="317"/>
        <v/>
      </c>
      <c r="AU716" s="27" t="str">
        <f t="shared" si="318"/>
        <v/>
      </c>
      <c r="AV716" s="27" t="str">
        <f t="shared" si="319"/>
        <v/>
      </c>
      <c r="AW716" s="27" t="str">
        <f t="shared" si="320"/>
        <v/>
      </c>
      <c r="AX716" s="27" t="str">
        <f t="shared" si="321"/>
        <v/>
      </c>
      <c r="AY716" s="27" t="str">
        <f t="shared" si="322"/>
        <v/>
      </c>
      <c r="AZ716" s="27" t="str">
        <f t="shared" si="323"/>
        <v/>
      </c>
      <c r="BA716" s="27" t="str">
        <f t="shared" si="324"/>
        <v/>
      </c>
      <c r="BB716" s="27" t="str">
        <f t="shared" si="325"/>
        <v/>
      </c>
      <c r="BC716" s="27" t="str">
        <f t="shared" si="326"/>
        <v/>
      </c>
      <c r="BD716" s="27" t="str">
        <f t="shared" si="327"/>
        <v/>
      </c>
      <c r="BE716" s="27" t="str">
        <f t="shared" si="328"/>
        <v/>
      </c>
      <c r="BF716" s="27" t="str">
        <f t="shared" si="329"/>
        <v/>
      </c>
      <c r="BG716" s="27" t="str">
        <f t="shared" si="330"/>
        <v/>
      </c>
      <c r="BH716" s="27" t="str">
        <f t="shared" si="331"/>
        <v/>
      </c>
      <c r="BI716" s="27" t="str">
        <f t="shared" si="332"/>
        <v/>
      </c>
      <c r="BJ716" s="27" t="str">
        <f t="shared" si="333"/>
        <v/>
      </c>
      <c r="BK716" s="27" t="str">
        <f t="shared" si="334"/>
        <v/>
      </c>
      <c r="BL716" s="27" t="str">
        <f t="shared" si="335"/>
        <v/>
      </c>
      <c r="BM716" s="21" t="s">
        <v>5581</v>
      </c>
    </row>
    <row r="717" spans="1:65" ht="15">
      <c r="A717" s="25" t="str">
        <f>IFERROR(INDEX('Hun Demand'!W:W,MATCH(O717,'Hun Demand'!A:A,0)),"")</f>
        <v/>
      </c>
      <c r="B717" s="25" t="str">
        <f>IFERROR(INDEX('Hun Demand'!V:V,MATCH(O717,'Hun Demand'!A:A,0)),"")</f>
        <v/>
      </c>
      <c r="C717" s="25" t="str">
        <f>IFERROR(INDEX('Hun Demand'!U:U,MATCH(O717,'Hun Demand'!A:A,0)),"")</f>
        <v/>
      </c>
      <c r="D717" s="25" t="str">
        <f>IFERROR(INDEX('Hun Demand'!T:T,MATCH(O717,'Hun Demand'!A:A,0)),"")</f>
        <v/>
      </c>
      <c r="E717" s="25" t="str">
        <f>IFERROR(INDEX('Hun Demand'!S:S,MATCH(O717,'Hun Demand'!A:A,0)),"")</f>
        <v/>
      </c>
      <c r="F717" s="25" t="str">
        <f>IFERROR(INDEX('Hun Demand'!R:R,MATCH(O717,'Hun Demand'!A:A,0)),"")</f>
        <v/>
      </c>
      <c r="G717" s="25">
        <f>IFERROR(INDEX('Aub Demand'!W:W,MATCH(O717,'Aub Demand'!A:A,0)),"")</f>
        <v>0</v>
      </c>
      <c r="H717" s="25">
        <f>IFERROR(INDEX('Aub Demand'!V:V,MATCH(O717,'Aub Demand'!A:A,0)),"")</f>
        <v>1</v>
      </c>
      <c r="I717" s="25">
        <f>IFERROR(INDEX('Aub Demand'!U:U,MATCH(O717,'Aub Demand'!A:A,0)),"")</f>
        <v>0</v>
      </c>
      <c r="J717" s="25">
        <f>IFERROR(INDEX('Aub Demand'!T:T,MATCH(O717,'Aub Demand'!A:A,0)),"")</f>
        <v>0</v>
      </c>
      <c r="K717" s="25">
        <f>IFERROR(INDEX('Aub Demand'!S:S,MATCH(O717,'Aub Demand'!A:A,0)),"")</f>
        <v>0</v>
      </c>
      <c r="L717" s="25">
        <f>IFERROR(INDEX('Aub Demand'!R:R,MATCH(O717,'Aub Demand'!A:A,0)),"")</f>
        <v>0</v>
      </c>
      <c r="O717" s="27" t="s">
        <v>2272</v>
      </c>
      <c r="P717" s="27" t="str">
        <f>IFERROR(INDEX('Aub Demand'!B:B,MATCH($O717,'Aub Demand'!$A:$A,0)),"")</f>
        <v>ALUMINUM 3003-H14 .0</v>
      </c>
      <c r="Q717" s="27">
        <f>IFERROR(INDEX('Aub Demand'!C:C,MATCH($O717,'Aub Demand'!$A:$A,0)),"")</f>
        <v>0</v>
      </c>
      <c r="R717" s="52">
        <f>IFERROR(IF(AR718=AR717,INDEX('Aub Demand'!K:K,MATCH($O717,'Aub Demand'!$A:$A,0))-IF(AN717="",0,AN717)+AP718,INDEX('Aub Demand'!K:K,MATCH($O717,'Aub Demand'!$A:$A,0))-IF(AN717="",0,AN717)),"")</f>
        <v>65</v>
      </c>
      <c r="S717" s="53" t="str">
        <f t="shared" si="308"/>
        <v>n/a</v>
      </c>
      <c r="T717" s="52" t="str">
        <f t="shared" si="309"/>
        <v/>
      </c>
      <c r="U717" s="52">
        <f>IFERROR(IF(AR718=AR717,INDEX('Aub Demand'!Q:Q,MATCH($O717,'Aub Demand'!$A:$A,0))-IF(AN717="",0,AN717)+AP718,INDEX('Aub Demand'!Q:Q,MATCH($O717,'Aub Demand'!$A:$A,0))-IF(AN717="",0,AN717)),"")</f>
        <v>65</v>
      </c>
      <c r="V717" s="53" t="str">
        <f t="shared" si="310"/>
        <v>n/a</v>
      </c>
      <c r="W717" s="52" t="str">
        <f t="shared" si="311"/>
        <v/>
      </c>
      <c r="X717" s="52">
        <f>IFERROR(IF(AND(AR718=AR717,AM717&lt;&gt;""),INDEX('Aub Demand'!Q:Q,MATCH($O717,'Aub Demand'!$A:$A,0))-IF(AN717="",0,AN717)+AP718+AD717+AL717,IF(AR718=AR717,INDEX('Aub Demand'!Q:Q,MATCH($O717,'Aub Demand'!$A:$A,0))-IF(AN717="",0,AN717)+AP718+AD717,IF(AM717&lt;&gt;"",INDEX('Aub Demand'!Q:Q,MATCH($O717,'Aub Demand'!$A:$A,0))-IF(AN717="",0,AN717)+AD717+AL717,INDEX('Aub Demand'!Q:Q,MATCH($O717,'Aub Demand'!$A:$A,0))-IF(AN717="",0,AN717)+AD717))),"")</f>
        <v>65</v>
      </c>
      <c r="Y717" s="53" t="str">
        <f t="shared" si="312"/>
        <v>n/a</v>
      </c>
      <c r="Z717" s="52">
        <f>IF(L717="","",INDEX('Aub Demand'!H:H,MATCH($O717,'Aub Demand'!$A:$A,0)))</f>
        <v>0</v>
      </c>
      <c r="AA717" s="52" t="str">
        <f t="shared" si="313"/>
        <v>-spike-</v>
      </c>
      <c r="AB717" s="52">
        <f>IFERROR(INDEX('Aub Demand'!L:L,MATCH($O717,'Aub Demand'!$A:$A,0)),"")</f>
        <v>0</v>
      </c>
      <c r="AC717" s="52">
        <f>IFERROR(IF(O717="","",SUMIFS('CPL Mats'!F:F,'CPL Mats'!Q:Q,AR717,'CPL Mats'!S:S,AS717)),"")</f>
        <v>0</v>
      </c>
      <c r="AF717" s="25" t="str">
        <f>IF(SUMIFS('Supp Consol'!S:S,'Supp Consol'!Y:Y,"Releasable",'Supp Consol'!A:A,O717)=0,"",SUMIFS('Supp Consol'!S:S,'Supp Consol'!Y:Y,"Releasable",'Supp Consol'!A:A,O717))</f>
        <v/>
      </c>
      <c r="AG717" s="25" t="str">
        <f>IFERROR(INDEX('Hun Demand'!Q:Q,MATCH(O717,'Hun Demand'!A:A,0)),"")</f>
        <v/>
      </c>
      <c r="AH717" s="25" t="str">
        <f>IFERROR(INDEX('Hun Demand'!H:H,MATCH($O717,'Hun Demand'!$A:$A,0)),"")</f>
        <v/>
      </c>
      <c r="AI717" s="25" t="str">
        <f>IF(SUMIFS('Supp Consol'!AA:AA,'Supp Consol'!Z:Z,"Expires this month",'Supp Consol'!A:A,O717)=0,"",SUMIFS('Supp Consol'!AA:AA,'Supp Consol'!Z:Z,"Expires this month",'Supp Consol'!A:A,O717))</f>
        <v/>
      </c>
      <c r="AJ717" s="25" t="str">
        <f>IF(SUMIFS('Supp Consol'!AA:AA,'Supp Consol'!Z:Z,"Expired Previous Months",'Supp Consol'!A:A,O717)=0,"",SUMIFS('Supp Consol'!AA:AA,'Supp Consol'!Z:Z,"Expired Previous Months",'Supp Consol'!A:A,O717))</f>
        <v/>
      </c>
      <c r="AK717" s="25" t="str">
        <f>IFERROR(INDEX('Hun Release Current'!B:B,MATCH(O717,'Hun Release Current'!A:A,0)),"")</f>
        <v/>
      </c>
      <c r="AL717" s="25" t="str">
        <f>IF(SUMIF('Prev Aub'!A:A,O717,'Prev Aub'!B:B)=0,"",SUMIF('Prev Aub'!A:A,O717,'Prev Aub'!B:B))</f>
        <v/>
      </c>
      <c r="AN717" s="25" t="s">
        <v>3790</v>
      </c>
      <c r="AO717" s="25" t="s">
        <v>3790</v>
      </c>
      <c r="AP717" s="25">
        <f t="shared" si="314"/>
        <v>0</v>
      </c>
      <c r="AQ717" s="151" t="str">
        <f>IF(SUMIFS('Supp Consol'!S:S,'Supp Consol'!A:A,O717,'Supp Consol'!I:I,"PENDING")=0,"",SUMIFS('Supp Consol'!S:S,'Supp Consol'!A:A,O717,'Supp Consol'!I:I,"PENDING"))</f>
        <v/>
      </c>
      <c r="AR717" s="27" t="str">
        <f t="shared" si="315"/>
        <v>M5159</v>
      </c>
      <c r="AS717" s="27" t="str">
        <f t="shared" si="316"/>
        <v>48</v>
      </c>
      <c r="AT717" s="27" t="str">
        <f t="shared" si="317"/>
        <v/>
      </c>
      <c r="AU717" s="27" t="str">
        <f t="shared" si="318"/>
        <v/>
      </c>
      <c r="AV717" s="27" t="str">
        <f t="shared" si="319"/>
        <v/>
      </c>
      <c r="AW717" s="27" t="str">
        <f t="shared" si="320"/>
        <v/>
      </c>
      <c r="AX717" s="27" t="str">
        <f t="shared" si="321"/>
        <v/>
      </c>
      <c r="AY717" s="27" t="str">
        <f t="shared" si="322"/>
        <v/>
      </c>
      <c r="AZ717" s="27" t="str">
        <f t="shared" si="323"/>
        <v/>
      </c>
      <c r="BA717" s="27" t="str">
        <f t="shared" si="324"/>
        <v/>
      </c>
      <c r="BB717" s="27" t="str">
        <f t="shared" si="325"/>
        <v/>
      </c>
      <c r="BC717" s="27" t="str">
        <f t="shared" si="326"/>
        <v/>
      </c>
      <c r="BD717" s="27" t="str">
        <f t="shared" si="327"/>
        <v/>
      </c>
      <c r="BE717" s="27" t="str">
        <f t="shared" si="328"/>
        <v/>
      </c>
      <c r="BF717" s="27" t="str">
        <f t="shared" si="329"/>
        <v/>
      </c>
      <c r="BG717" s="27" t="str">
        <f t="shared" si="330"/>
        <v/>
      </c>
      <c r="BH717" s="27" t="str">
        <f t="shared" si="331"/>
        <v/>
      </c>
      <c r="BI717" s="27" t="str">
        <f t="shared" si="332"/>
        <v/>
      </c>
      <c r="BJ717" s="27" t="str">
        <f t="shared" si="333"/>
        <v/>
      </c>
      <c r="BK717" s="27" t="str">
        <f t="shared" si="334"/>
        <v/>
      </c>
      <c r="BL717" s="27" t="str">
        <f t="shared" si="335"/>
        <v/>
      </c>
      <c r="BM717" s="21" t="s">
        <v>3790</v>
      </c>
    </row>
    <row r="718" spans="1:65" ht="15">
      <c r="A718" s="25" t="str">
        <f>IFERROR(INDEX('Hun Demand'!W:W,MATCH(O718,'Hun Demand'!A:A,0)),"")</f>
        <v/>
      </c>
      <c r="B718" s="25" t="str">
        <f>IFERROR(INDEX('Hun Demand'!V:V,MATCH(O718,'Hun Demand'!A:A,0)),"")</f>
        <v/>
      </c>
      <c r="C718" s="25" t="str">
        <f>IFERROR(INDEX('Hun Demand'!U:U,MATCH(O718,'Hun Demand'!A:A,0)),"")</f>
        <v/>
      </c>
      <c r="D718" s="25" t="str">
        <f>IFERROR(INDEX('Hun Demand'!T:T,MATCH(O718,'Hun Demand'!A:A,0)),"")</f>
        <v/>
      </c>
      <c r="E718" s="25" t="str">
        <f>IFERROR(INDEX('Hun Demand'!S:S,MATCH(O718,'Hun Demand'!A:A,0)),"")</f>
        <v/>
      </c>
      <c r="F718" s="25" t="str">
        <f>IFERROR(INDEX('Hun Demand'!R:R,MATCH(O718,'Hun Demand'!A:A,0)),"")</f>
        <v/>
      </c>
      <c r="G718" s="25">
        <f>IFERROR(INDEX('Aub Demand'!W:W,MATCH(O718,'Aub Demand'!A:A,0)),"")</f>
        <v>0</v>
      </c>
      <c r="H718" s="25">
        <f>IFERROR(INDEX('Aub Demand'!V:V,MATCH(O718,'Aub Demand'!A:A,0)),"")</f>
        <v>0</v>
      </c>
      <c r="I718" s="25">
        <f>IFERROR(INDEX('Aub Demand'!U:U,MATCH(O718,'Aub Demand'!A:A,0)),"")</f>
        <v>0</v>
      </c>
      <c r="J718" s="25">
        <f>IFERROR(INDEX('Aub Demand'!T:T,MATCH(O718,'Aub Demand'!A:A,0)),"")</f>
        <v>0</v>
      </c>
      <c r="K718" s="25">
        <f>IFERROR(INDEX('Aub Demand'!S:S,MATCH(O718,'Aub Demand'!A:A,0)),"")</f>
        <v>0</v>
      </c>
      <c r="L718" s="25">
        <f>IFERROR(INDEX('Aub Demand'!R:R,MATCH(O718,'Aub Demand'!A:A,0)),"")</f>
        <v>0</v>
      </c>
      <c r="O718" s="27" t="s">
        <v>2275</v>
      </c>
      <c r="P718" s="27" t="str">
        <f>IFERROR(INDEX('Aub Demand'!B:B,MATCH($O718,'Aub Demand'!$A:$A,0)),"")</f>
        <v>ALUMINUM A3003 .063</v>
      </c>
      <c r="Q718" s="27">
        <f>IFERROR(INDEX('Aub Demand'!C:C,MATCH($O718,'Aub Demand'!$A:$A,0)),"")</f>
        <v>0</v>
      </c>
      <c r="R718" s="52">
        <f>IFERROR(IF(AR719=AR718,INDEX('Aub Demand'!K:K,MATCH($O718,'Aub Demand'!$A:$A,0))-IF(AN718="",0,AN718)+AP719,INDEX('Aub Demand'!K:K,MATCH($O718,'Aub Demand'!$A:$A,0))-IF(AN718="",0,AN718)),"")</f>
        <v>16</v>
      </c>
      <c r="S718" s="53" t="str">
        <f t="shared" si="308"/>
        <v>n/a</v>
      </c>
      <c r="T718" s="52" t="str">
        <f t="shared" si="309"/>
        <v/>
      </c>
      <c r="U718" s="52">
        <f>IFERROR(IF(AR719=AR718,INDEX('Aub Demand'!Q:Q,MATCH($O718,'Aub Demand'!$A:$A,0))-IF(AN718="",0,AN718)+AP719,INDEX('Aub Demand'!Q:Q,MATCH($O718,'Aub Demand'!$A:$A,0))-IF(AN718="",0,AN718)),"")</f>
        <v>16</v>
      </c>
      <c r="V718" s="53" t="str">
        <f t="shared" si="310"/>
        <v>n/a</v>
      </c>
      <c r="W718" s="52" t="str">
        <f t="shared" si="311"/>
        <v/>
      </c>
      <c r="X718" s="52">
        <f>IFERROR(IF(AND(AR719=AR718,AM718&lt;&gt;""),INDEX('Aub Demand'!Q:Q,MATCH($O718,'Aub Demand'!$A:$A,0))-IF(AN718="",0,AN718)+AP719+AD718+AL718,IF(AR719=AR718,INDEX('Aub Demand'!Q:Q,MATCH($O718,'Aub Demand'!$A:$A,0))-IF(AN718="",0,AN718)+AP719+AD718,IF(AM718&lt;&gt;"",INDEX('Aub Demand'!Q:Q,MATCH($O718,'Aub Demand'!$A:$A,0))-IF(AN718="",0,AN718)+AD718+AL718,INDEX('Aub Demand'!Q:Q,MATCH($O718,'Aub Demand'!$A:$A,0))-IF(AN718="",0,AN718)+AD718))),"")</f>
        <v>16</v>
      </c>
      <c r="Y718" s="53" t="str">
        <f t="shared" si="312"/>
        <v>n/a</v>
      </c>
      <c r="Z718" s="52">
        <f>IF(L718="","",INDEX('Aub Demand'!H:H,MATCH($O718,'Aub Demand'!$A:$A,0)))</f>
        <v>0</v>
      </c>
      <c r="AA718" s="52" t="str">
        <f t="shared" si="313"/>
        <v>-spike-</v>
      </c>
      <c r="AB718" s="52">
        <f>IFERROR(INDEX('Aub Demand'!L:L,MATCH($O718,'Aub Demand'!$A:$A,0)),"")</f>
        <v>0</v>
      </c>
      <c r="AC718" s="52">
        <f>IFERROR(IF(O718="","",SUMIFS('CPL Mats'!F:F,'CPL Mats'!Q:Q,AR718,'CPL Mats'!S:S,AS718)),"")</f>
        <v>0</v>
      </c>
      <c r="AF718" s="25" t="str">
        <f>IF(SUMIFS('Supp Consol'!S:S,'Supp Consol'!Y:Y,"Releasable",'Supp Consol'!A:A,O718)=0,"",SUMIFS('Supp Consol'!S:S,'Supp Consol'!Y:Y,"Releasable",'Supp Consol'!A:A,O718))</f>
        <v/>
      </c>
      <c r="AG718" s="25" t="str">
        <f>IFERROR(INDEX('Hun Demand'!Q:Q,MATCH(O718,'Hun Demand'!A:A,0)),"")</f>
        <v/>
      </c>
      <c r="AH718" s="25" t="str">
        <f>IFERROR(INDEX('Hun Demand'!H:H,MATCH($O718,'Hun Demand'!$A:$A,0)),"")</f>
        <v/>
      </c>
      <c r="AI718" s="25" t="str">
        <f>IF(SUMIFS('Supp Consol'!AA:AA,'Supp Consol'!Z:Z,"Expires this month",'Supp Consol'!A:A,O718)=0,"",SUMIFS('Supp Consol'!AA:AA,'Supp Consol'!Z:Z,"Expires this month",'Supp Consol'!A:A,O718))</f>
        <v/>
      </c>
      <c r="AJ718" s="25" t="str">
        <f>IF(SUMIFS('Supp Consol'!AA:AA,'Supp Consol'!Z:Z,"Expired Previous Months",'Supp Consol'!A:A,O718)=0,"",SUMIFS('Supp Consol'!AA:AA,'Supp Consol'!Z:Z,"Expired Previous Months",'Supp Consol'!A:A,O718))</f>
        <v/>
      </c>
      <c r="AK718" s="25" t="str">
        <f>IFERROR(INDEX('Hun Release Current'!B:B,MATCH(O718,'Hun Release Current'!A:A,0)),"")</f>
        <v/>
      </c>
      <c r="AL718" s="25" t="str">
        <f>IF(SUMIF('Prev Aub'!A:A,O718,'Prev Aub'!B:B)=0,"",SUMIF('Prev Aub'!A:A,O718,'Prev Aub'!B:B))</f>
        <v/>
      </c>
      <c r="AN718" s="25" t="s">
        <v>3790</v>
      </c>
      <c r="AO718" s="25" t="s">
        <v>3790</v>
      </c>
      <c r="AP718" s="25">
        <f t="shared" si="314"/>
        <v>0</v>
      </c>
      <c r="AQ718" s="151" t="str">
        <f>IF(SUMIFS('Supp Consol'!S:S,'Supp Consol'!A:A,O718,'Supp Consol'!I:I,"PENDING")=0,"",SUMIFS('Supp Consol'!S:S,'Supp Consol'!A:A,O718,'Supp Consol'!I:I,"PENDING"))</f>
        <v/>
      </c>
      <c r="AR718" s="27" t="str">
        <f t="shared" si="315"/>
        <v>M5160</v>
      </c>
      <c r="AS718" s="27" t="str">
        <f t="shared" si="316"/>
        <v>42</v>
      </c>
      <c r="AT718" s="27" t="str">
        <f t="shared" si="317"/>
        <v/>
      </c>
      <c r="AU718" s="27" t="str">
        <f t="shared" si="318"/>
        <v/>
      </c>
      <c r="AV718" s="27" t="str">
        <f t="shared" si="319"/>
        <v/>
      </c>
      <c r="AW718" s="27" t="str">
        <f t="shared" si="320"/>
        <v/>
      </c>
      <c r="AX718" s="27" t="str">
        <f t="shared" si="321"/>
        <v/>
      </c>
      <c r="AY718" s="27" t="str">
        <f t="shared" si="322"/>
        <v/>
      </c>
      <c r="AZ718" s="27" t="str">
        <f t="shared" si="323"/>
        <v/>
      </c>
      <c r="BA718" s="27" t="str">
        <f t="shared" si="324"/>
        <v/>
      </c>
      <c r="BB718" s="27" t="str">
        <f t="shared" si="325"/>
        <v/>
      </c>
      <c r="BC718" s="27" t="str">
        <f t="shared" si="326"/>
        <v/>
      </c>
      <c r="BD718" s="27" t="str">
        <f t="shared" si="327"/>
        <v/>
      </c>
      <c r="BE718" s="27" t="str">
        <f t="shared" si="328"/>
        <v/>
      </c>
      <c r="BF718" s="27" t="str">
        <f t="shared" si="329"/>
        <v/>
      </c>
      <c r="BG718" s="27" t="str">
        <f t="shared" si="330"/>
        <v/>
      </c>
      <c r="BH718" s="27" t="str">
        <f t="shared" si="331"/>
        <v/>
      </c>
      <c r="BI718" s="27" t="str">
        <f t="shared" si="332"/>
        <v/>
      </c>
      <c r="BJ718" s="27" t="str">
        <f t="shared" si="333"/>
        <v/>
      </c>
      <c r="BK718" s="27" t="str">
        <f t="shared" si="334"/>
        <v/>
      </c>
      <c r="BL718" s="27" t="str">
        <f t="shared" si="335"/>
        <v/>
      </c>
      <c r="BM718" s="21" t="s">
        <v>3790</v>
      </c>
    </row>
    <row r="719" spans="1:65" ht="15">
      <c r="A719" s="25" t="str">
        <f>IFERROR(INDEX('Hun Demand'!W:W,MATCH(O719,'Hun Demand'!A:A,0)),"")</f>
        <v/>
      </c>
      <c r="B719" s="25" t="str">
        <f>IFERROR(INDEX('Hun Demand'!V:V,MATCH(O719,'Hun Demand'!A:A,0)),"")</f>
        <v/>
      </c>
      <c r="C719" s="25" t="str">
        <f>IFERROR(INDEX('Hun Demand'!U:U,MATCH(O719,'Hun Demand'!A:A,0)),"")</f>
        <v/>
      </c>
      <c r="D719" s="25" t="str">
        <f>IFERROR(INDEX('Hun Demand'!T:T,MATCH(O719,'Hun Demand'!A:A,0)),"")</f>
        <v/>
      </c>
      <c r="E719" s="25" t="str">
        <f>IFERROR(INDEX('Hun Demand'!S:S,MATCH(O719,'Hun Demand'!A:A,0)),"")</f>
        <v/>
      </c>
      <c r="F719" s="25" t="str">
        <f>IFERROR(INDEX('Hun Demand'!R:R,MATCH(O719,'Hun Demand'!A:A,0)),"")</f>
        <v/>
      </c>
      <c r="G719" s="25">
        <f>IFERROR(INDEX('Aub Demand'!W:W,MATCH(O719,'Aub Demand'!A:A,0)),"")</f>
        <v>0</v>
      </c>
      <c r="H719" s="25">
        <f>IFERROR(INDEX('Aub Demand'!V:V,MATCH(O719,'Aub Demand'!A:A,0)),"")</f>
        <v>0</v>
      </c>
      <c r="I719" s="25">
        <f>IFERROR(INDEX('Aub Demand'!U:U,MATCH(O719,'Aub Demand'!A:A,0)),"")</f>
        <v>0</v>
      </c>
      <c r="J719" s="25">
        <f>IFERROR(INDEX('Aub Demand'!T:T,MATCH(O719,'Aub Demand'!A:A,0)),"")</f>
        <v>0</v>
      </c>
      <c r="K719" s="25">
        <f>IFERROR(INDEX('Aub Demand'!S:S,MATCH(O719,'Aub Demand'!A:A,0)),"")</f>
        <v>0</v>
      </c>
      <c r="L719" s="25">
        <f>IFERROR(INDEX('Aub Demand'!R:R,MATCH(O719,'Aub Demand'!A:A,0)),"")</f>
        <v>0</v>
      </c>
      <c r="O719" s="27" t="s">
        <v>2277</v>
      </c>
      <c r="P719" s="27" t="str">
        <f>IFERROR(INDEX('Aub Demand'!B:B,MATCH($O719,'Aub Demand'!$A:$A,0)),"")</f>
        <v>ALUMINUM A3003 .063</v>
      </c>
      <c r="Q719" s="27">
        <f>IFERROR(INDEX('Aub Demand'!C:C,MATCH($O719,'Aub Demand'!$A:$A,0)),"")</f>
        <v>0</v>
      </c>
      <c r="R719" s="52">
        <f>IFERROR(IF(AR720=AR719,INDEX('Aub Demand'!K:K,MATCH($O719,'Aub Demand'!$A:$A,0))-IF(AN719="",0,AN719)+AP720,INDEX('Aub Demand'!K:K,MATCH($O719,'Aub Demand'!$A:$A,0))-IF(AN719="",0,AN719)),"")</f>
        <v>50</v>
      </c>
      <c r="S719" s="53" t="str">
        <f t="shared" si="308"/>
        <v>n/a</v>
      </c>
      <c r="T719" s="52" t="str">
        <f t="shared" si="309"/>
        <v/>
      </c>
      <c r="U719" s="52">
        <f>IFERROR(IF(AR720=AR719,INDEX('Aub Demand'!Q:Q,MATCH($O719,'Aub Demand'!$A:$A,0))-IF(AN719="",0,AN719)+AP720,INDEX('Aub Demand'!Q:Q,MATCH($O719,'Aub Demand'!$A:$A,0))-IF(AN719="",0,AN719)),"")</f>
        <v>50</v>
      </c>
      <c r="V719" s="53" t="str">
        <f t="shared" si="310"/>
        <v>n/a</v>
      </c>
      <c r="W719" s="52" t="str">
        <f t="shared" si="311"/>
        <v/>
      </c>
      <c r="X719" s="52">
        <f>IFERROR(IF(AND(AR720=AR719,AM719&lt;&gt;""),INDEX('Aub Demand'!Q:Q,MATCH($O719,'Aub Demand'!$A:$A,0))-IF(AN719="",0,AN719)+AP720+AD719+AL719,IF(AR720=AR719,INDEX('Aub Demand'!Q:Q,MATCH($O719,'Aub Demand'!$A:$A,0))-IF(AN719="",0,AN719)+AP720+AD719,IF(AM719&lt;&gt;"",INDEX('Aub Demand'!Q:Q,MATCH($O719,'Aub Demand'!$A:$A,0))-IF(AN719="",0,AN719)+AD719+AL719,INDEX('Aub Demand'!Q:Q,MATCH($O719,'Aub Demand'!$A:$A,0))-IF(AN719="",0,AN719)+AD719))),"")</f>
        <v>50</v>
      </c>
      <c r="Y719" s="53" t="str">
        <f t="shared" si="312"/>
        <v>n/a</v>
      </c>
      <c r="Z719" s="52">
        <f>IF(L719="","",INDEX('Aub Demand'!H:H,MATCH($O719,'Aub Demand'!$A:$A,0)))</f>
        <v>0</v>
      </c>
      <c r="AA719" s="52" t="str">
        <f t="shared" si="313"/>
        <v>-spike-</v>
      </c>
      <c r="AB719" s="52">
        <f>IFERROR(INDEX('Aub Demand'!L:L,MATCH($O719,'Aub Demand'!$A:$A,0)),"")</f>
        <v>17</v>
      </c>
      <c r="AC719" s="52">
        <f>IFERROR(IF(O719="","",SUMIFS('CPL Mats'!F:F,'CPL Mats'!Q:Q,AR719,'CPL Mats'!S:S,AS719)),"")</f>
        <v>0</v>
      </c>
      <c r="AF719" s="25" t="str">
        <f>IF(SUMIFS('Supp Consol'!S:S,'Supp Consol'!Y:Y,"Releasable",'Supp Consol'!A:A,O719)=0,"",SUMIFS('Supp Consol'!S:S,'Supp Consol'!Y:Y,"Releasable",'Supp Consol'!A:A,O719))</f>
        <v/>
      </c>
      <c r="AG719" s="25" t="str">
        <f>IFERROR(INDEX('Hun Demand'!Q:Q,MATCH(O719,'Hun Demand'!A:A,0)),"")</f>
        <v/>
      </c>
      <c r="AH719" s="25" t="str">
        <f>IFERROR(INDEX('Hun Demand'!H:H,MATCH($O719,'Hun Demand'!$A:$A,0)),"")</f>
        <v/>
      </c>
      <c r="AI719" s="25" t="str">
        <f>IF(SUMIFS('Supp Consol'!AA:AA,'Supp Consol'!Z:Z,"Expires this month",'Supp Consol'!A:A,O719)=0,"",SUMIFS('Supp Consol'!AA:AA,'Supp Consol'!Z:Z,"Expires this month",'Supp Consol'!A:A,O719))</f>
        <v/>
      </c>
      <c r="AJ719" s="25" t="str">
        <f>IF(SUMIFS('Supp Consol'!AA:AA,'Supp Consol'!Z:Z,"Expired Previous Months",'Supp Consol'!A:A,O719)=0,"",SUMIFS('Supp Consol'!AA:AA,'Supp Consol'!Z:Z,"Expired Previous Months",'Supp Consol'!A:A,O719))</f>
        <v/>
      </c>
      <c r="AK719" s="25" t="str">
        <f>IFERROR(INDEX('Hun Release Current'!B:B,MATCH(O719,'Hun Release Current'!A:A,0)),"")</f>
        <v/>
      </c>
      <c r="AL719" s="25" t="str">
        <f>IF(SUMIF('Prev Aub'!A:A,O719,'Prev Aub'!B:B)=0,"",SUMIF('Prev Aub'!A:A,O719,'Prev Aub'!B:B))</f>
        <v/>
      </c>
      <c r="AN719" s="25" t="s">
        <v>3790</v>
      </c>
      <c r="AO719" s="25" t="s">
        <v>3790</v>
      </c>
      <c r="AP719" s="25">
        <f t="shared" si="314"/>
        <v>0</v>
      </c>
      <c r="AQ719" s="151" t="str">
        <f>IF(SUMIFS('Supp Consol'!S:S,'Supp Consol'!A:A,O719,'Supp Consol'!I:I,"PENDING")=0,"",SUMIFS('Supp Consol'!S:S,'Supp Consol'!A:A,O719,'Supp Consol'!I:I,"PENDING"))</f>
        <v/>
      </c>
      <c r="AR719" s="27" t="str">
        <f t="shared" si="315"/>
        <v>M5160</v>
      </c>
      <c r="AS719" s="27" t="str">
        <f t="shared" si="316"/>
        <v>50</v>
      </c>
      <c r="AT719" s="27" t="str">
        <f t="shared" si="317"/>
        <v/>
      </c>
      <c r="AU719" s="27" t="str">
        <f t="shared" si="318"/>
        <v/>
      </c>
      <c r="AV719" s="27" t="str">
        <f t="shared" si="319"/>
        <v/>
      </c>
      <c r="AW719" s="27" t="str">
        <f t="shared" si="320"/>
        <v/>
      </c>
      <c r="AX719" s="27" t="str">
        <f t="shared" si="321"/>
        <v/>
      </c>
      <c r="AY719" s="27" t="str">
        <f t="shared" si="322"/>
        <v/>
      </c>
      <c r="AZ719" s="27" t="str">
        <f t="shared" si="323"/>
        <v/>
      </c>
      <c r="BA719" s="27" t="str">
        <f t="shared" si="324"/>
        <v/>
      </c>
      <c r="BB719" s="27" t="str">
        <f t="shared" si="325"/>
        <v/>
      </c>
      <c r="BC719" s="27" t="str">
        <f t="shared" si="326"/>
        <v/>
      </c>
      <c r="BD719" s="27" t="str">
        <f t="shared" si="327"/>
        <v/>
      </c>
      <c r="BE719" s="27" t="str">
        <f t="shared" si="328"/>
        <v/>
      </c>
      <c r="BF719" s="27" t="str">
        <f t="shared" si="329"/>
        <v/>
      </c>
      <c r="BG719" s="27" t="str">
        <f t="shared" si="330"/>
        <v/>
      </c>
      <c r="BH719" s="27" t="str">
        <f t="shared" si="331"/>
        <v/>
      </c>
      <c r="BI719" s="27" t="str">
        <f t="shared" si="332"/>
        <v/>
      </c>
      <c r="BJ719" s="27" t="str">
        <f t="shared" si="333"/>
        <v/>
      </c>
      <c r="BK719" s="27" t="str">
        <f t="shared" si="334"/>
        <v/>
      </c>
      <c r="BL719" s="27" t="str">
        <f t="shared" si="335"/>
        <v/>
      </c>
      <c r="BM719" s="21" t="s">
        <v>3790</v>
      </c>
    </row>
    <row r="720" spans="1:65" ht="15">
      <c r="A720" s="25" t="str">
        <f>IFERROR(INDEX('Hun Demand'!W:W,MATCH(O720,'Hun Demand'!A:A,0)),"")</f>
        <v/>
      </c>
      <c r="B720" s="25" t="str">
        <f>IFERROR(INDEX('Hun Demand'!V:V,MATCH(O720,'Hun Demand'!A:A,0)),"")</f>
        <v/>
      </c>
      <c r="C720" s="25" t="str">
        <f>IFERROR(INDEX('Hun Demand'!U:U,MATCH(O720,'Hun Demand'!A:A,0)),"")</f>
        <v/>
      </c>
      <c r="D720" s="25" t="str">
        <f>IFERROR(INDEX('Hun Demand'!T:T,MATCH(O720,'Hun Demand'!A:A,0)),"")</f>
        <v/>
      </c>
      <c r="E720" s="25" t="str">
        <f>IFERROR(INDEX('Hun Demand'!S:S,MATCH(O720,'Hun Demand'!A:A,0)),"")</f>
        <v/>
      </c>
      <c r="F720" s="25" t="str">
        <f>IFERROR(INDEX('Hun Demand'!R:R,MATCH(O720,'Hun Demand'!A:A,0)),"")</f>
        <v/>
      </c>
      <c r="G720" s="25">
        <f>IFERROR(INDEX('Aub Demand'!W:W,MATCH(O720,'Aub Demand'!A:A,0)),"")</f>
        <v>0</v>
      </c>
      <c r="H720" s="25">
        <f>IFERROR(INDEX('Aub Demand'!V:V,MATCH(O720,'Aub Demand'!A:A,0)),"")</f>
        <v>0</v>
      </c>
      <c r="I720" s="25">
        <f>IFERROR(INDEX('Aub Demand'!U:U,MATCH(O720,'Aub Demand'!A:A,0)),"")</f>
        <v>0</v>
      </c>
      <c r="J720" s="25">
        <f>IFERROR(INDEX('Aub Demand'!T:T,MATCH(O720,'Aub Demand'!A:A,0)),"")</f>
        <v>0</v>
      </c>
      <c r="K720" s="25">
        <f>IFERROR(INDEX('Aub Demand'!S:S,MATCH(O720,'Aub Demand'!A:A,0)),"")</f>
        <v>0</v>
      </c>
      <c r="L720" s="25">
        <f>IFERROR(INDEX('Aub Demand'!R:R,MATCH(O720,'Aub Demand'!A:A,0)),"")</f>
        <v>0</v>
      </c>
      <c r="O720" s="27" t="s">
        <v>2278</v>
      </c>
      <c r="P720" s="27" t="str">
        <f>IFERROR(INDEX('Aub Demand'!B:B,MATCH($O720,'Aub Demand'!$A:$A,0)),"")</f>
        <v>ALUMINUM .100 38X98</v>
      </c>
      <c r="Q720" s="27">
        <f>IFERROR(INDEX('Aub Demand'!C:C,MATCH($O720,'Aub Demand'!$A:$A,0)),"")</f>
        <v>0</v>
      </c>
      <c r="R720" s="52">
        <f>IFERROR(IF(AR721=AR720,INDEX('Aub Demand'!K:K,MATCH($O720,'Aub Demand'!$A:$A,0))-IF(AN720="",0,AN720)+AP721,INDEX('Aub Demand'!K:K,MATCH($O720,'Aub Demand'!$A:$A,0))-IF(AN720="",0,AN720)),"")</f>
        <v>30</v>
      </c>
      <c r="S720" s="53" t="str">
        <f t="shared" si="308"/>
        <v>n/a</v>
      </c>
      <c r="T720" s="52" t="str">
        <f t="shared" si="309"/>
        <v/>
      </c>
      <c r="U720" s="52">
        <f>IFERROR(IF(AR721=AR720,INDEX('Aub Demand'!Q:Q,MATCH($O720,'Aub Demand'!$A:$A,0))-IF(AN720="",0,AN720)+AP721,INDEX('Aub Demand'!Q:Q,MATCH($O720,'Aub Demand'!$A:$A,0))-IF(AN720="",0,AN720)),"")</f>
        <v>30</v>
      </c>
      <c r="V720" s="53" t="str">
        <f t="shared" si="310"/>
        <v>n/a</v>
      </c>
      <c r="W720" s="52" t="str">
        <f t="shared" si="311"/>
        <v/>
      </c>
      <c r="X720" s="52">
        <f>IFERROR(IF(AND(AR721=AR720,AM720&lt;&gt;""),INDEX('Aub Demand'!Q:Q,MATCH($O720,'Aub Demand'!$A:$A,0))-IF(AN720="",0,AN720)+AP721+AD720+AL720,IF(AR721=AR720,INDEX('Aub Demand'!Q:Q,MATCH($O720,'Aub Demand'!$A:$A,0))-IF(AN720="",0,AN720)+AP721+AD720,IF(AM720&lt;&gt;"",INDEX('Aub Demand'!Q:Q,MATCH($O720,'Aub Demand'!$A:$A,0))-IF(AN720="",0,AN720)+AD720+AL720,INDEX('Aub Demand'!Q:Q,MATCH($O720,'Aub Demand'!$A:$A,0))-IF(AN720="",0,AN720)+AD720))),"")</f>
        <v>30</v>
      </c>
      <c r="Y720" s="53" t="str">
        <f t="shared" si="312"/>
        <v>n/a</v>
      </c>
      <c r="Z720" s="52">
        <f>IF(L720="","",INDEX('Aub Demand'!H:H,MATCH($O720,'Aub Demand'!$A:$A,0)))</f>
        <v>0</v>
      </c>
      <c r="AA720" s="52" t="str">
        <f t="shared" si="313"/>
        <v>-spike-</v>
      </c>
      <c r="AB720" s="52">
        <f>IFERROR(INDEX('Aub Demand'!L:L,MATCH($O720,'Aub Demand'!$A:$A,0)),"")</f>
        <v>0</v>
      </c>
      <c r="AC720" s="52">
        <f>IFERROR(IF(O720="","",SUMIFS('CPL Mats'!F:F,'CPL Mats'!Q:Q,AR720,'CPL Mats'!S:S,AS720)),"")</f>
        <v>0</v>
      </c>
      <c r="AF720" s="25" t="str">
        <f>IF(SUMIFS('Supp Consol'!S:S,'Supp Consol'!Y:Y,"Releasable",'Supp Consol'!A:A,O720)=0,"",SUMIFS('Supp Consol'!S:S,'Supp Consol'!Y:Y,"Releasable",'Supp Consol'!A:A,O720))</f>
        <v/>
      </c>
      <c r="AG720" s="25" t="str">
        <f>IFERROR(INDEX('Hun Demand'!Q:Q,MATCH(O720,'Hun Demand'!A:A,0)),"")</f>
        <v/>
      </c>
      <c r="AH720" s="25" t="str">
        <f>IFERROR(INDEX('Hun Demand'!H:H,MATCH($O720,'Hun Demand'!$A:$A,0)),"")</f>
        <v/>
      </c>
      <c r="AI720" s="25" t="str">
        <f>IF(SUMIFS('Supp Consol'!AA:AA,'Supp Consol'!Z:Z,"Expires this month",'Supp Consol'!A:A,O720)=0,"",SUMIFS('Supp Consol'!AA:AA,'Supp Consol'!Z:Z,"Expires this month",'Supp Consol'!A:A,O720))</f>
        <v/>
      </c>
      <c r="AJ720" s="25" t="str">
        <f>IF(SUMIFS('Supp Consol'!AA:AA,'Supp Consol'!Z:Z,"Expired Previous Months",'Supp Consol'!A:A,O720)=0,"",SUMIFS('Supp Consol'!AA:AA,'Supp Consol'!Z:Z,"Expired Previous Months",'Supp Consol'!A:A,O720))</f>
        <v/>
      </c>
      <c r="AK720" s="25" t="str">
        <f>IFERROR(INDEX('Hun Release Current'!B:B,MATCH(O720,'Hun Release Current'!A:A,0)),"")</f>
        <v/>
      </c>
      <c r="AL720" s="25" t="str">
        <f>IF(SUMIF('Prev Aub'!A:A,O720,'Prev Aub'!B:B)=0,"",SUMIF('Prev Aub'!A:A,O720,'Prev Aub'!B:B))</f>
        <v/>
      </c>
      <c r="AN720" s="25" t="s">
        <v>3790</v>
      </c>
      <c r="AO720" s="25" t="s">
        <v>3790</v>
      </c>
      <c r="AP720" s="25">
        <f t="shared" si="314"/>
        <v>0</v>
      </c>
      <c r="AQ720" s="151" t="str">
        <f>IF(SUMIFS('Supp Consol'!S:S,'Supp Consol'!A:A,O720,'Supp Consol'!I:I,"PENDING")=0,"",SUMIFS('Supp Consol'!S:S,'Supp Consol'!A:A,O720,'Supp Consol'!I:I,"PENDING"))</f>
        <v/>
      </c>
      <c r="AR720" s="27" t="str">
        <f t="shared" si="315"/>
        <v>M5191</v>
      </c>
      <c r="AS720" s="27" t="str">
        <f t="shared" si="316"/>
        <v>38</v>
      </c>
      <c r="AT720" s="27" t="str">
        <f t="shared" si="317"/>
        <v/>
      </c>
      <c r="AU720" s="27" t="str">
        <f t="shared" si="318"/>
        <v/>
      </c>
      <c r="AV720" s="27" t="str">
        <f t="shared" si="319"/>
        <v/>
      </c>
      <c r="AW720" s="27" t="str">
        <f t="shared" si="320"/>
        <v/>
      </c>
      <c r="AX720" s="27" t="str">
        <f t="shared" si="321"/>
        <v/>
      </c>
      <c r="AY720" s="27" t="str">
        <f t="shared" si="322"/>
        <v/>
      </c>
      <c r="AZ720" s="27" t="str">
        <f t="shared" si="323"/>
        <v/>
      </c>
      <c r="BA720" s="27" t="str">
        <f t="shared" si="324"/>
        <v/>
      </c>
      <c r="BB720" s="27" t="str">
        <f t="shared" si="325"/>
        <v/>
      </c>
      <c r="BC720" s="27" t="str">
        <f t="shared" si="326"/>
        <v/>
      </c>
      <c r="BD720" s="27" t="str">
        <f t="shared" si="327"/>
        <v/>
      </c>
      <c r="BE720" s="27" t="str">
        <f t="shared" si="328"/>
        <v/>
      </c>
      <c r="BF720" s="27" t="str">
        <f t="shared" si="329"/>
        <v/>
      </c>
      <c r="BG720" s="27" t="str">
        <f t="shared" si="330"/>
        <v/>
      </c>
      <c r="BH720" s="27" t="str">
        <f t="shared" si="331"/>
        <v/>
      </c>
      <c r="BI720" s="27" t="str">
        <f t="shared" si="332"/>
        <v/>
      </c>
      <c r="BJ720" s="27" t="str">
        <f t="shared" si="333"/>
        <v/>
      </c>
      <c r="BK720" s="27" t="str">
        <f t="shared" si="334"/>
        <v/>
      </c>
      <c r="BL720" s="27" t="str">
        <f t="shared" si="335"/>
        <v/>
      </c>
      <c r="BM720" s="21" t="s">
        <v>3790</v>
      </c>
    </row>
    <row r="721" spans="1:65" ht="15">
      <c r="A721" s="25" t="str">
        <f>IFERROR(INDEX('Hun Demand'!W:W,MATCH(O721,'Hun Demand'!A:A,0)),"")</f>
        <v/>
      </c>
      <c r="B721" s="25" t="str">
        <f>IFERROR(INDEX('Hun Demand'!V:V,MATCH(O721,'Hun Demand'!A:A,0)),"")</f>
        <v/>
      </c>
      <c r="C721" s="25" t="str">
        <f>IFERROR(INDEX('Hun Demand'!U:U,MATCH(O721,'Hun Demand'!A:A,0)),"")</f>
        <v/>
      </c>
      <c r="D721" s="25" t="str">
        <f>IFERROR(INDEX('Hun Demand'!T:T,MATCH(O721,'Hun Demand'!A:A,0)),"")</f>
        <v/>
      </c>
      <c r="E721" s="25" t="str">
        <f>IFERROR(INDEX('Hun Demand'!S:S,MATCH(O721,'Hun Demand'!A:A,0)),"")</f>
        <v/>
      </c>
      <c r="F721" s="25" t="str">
        <f>IFERROR(INDEX('Hun Demand'!R:R,MATCH(O721,'Hun Demand'!A:A,0)),"")</f>
        <v/>
      </c>
      <c r="G721" s="25">
        <f>IFERROR(INDEX('Aub Demand'!W:W,MATCH(O721,'Aub Demand'!A:A,0)),"")</f>
        <v>0</v>
      </c>
      <c r="H721" s="25">
        <f>IFERROR(INDEX('Aub Demand'!V:V,MATCH(O721,'Aub Demand'!A:A,0)),"")</f>
        <v>0</v>
      </c>
      <c r="I721" s="25">
        <f>IFERROR(INDEX('Aub Demand'!U:U,MATCH(O721,'Aub Demand'!A:A,0)),"")</f>
        <v>0</v>
      </c>
      <c r="J721" s="25">
        <f>IFERROR(INDEX('Aub Demand'!T:T,MATCH(O721,'Aub Demand'!A:A,0)),"")</f>
        <v>0</v>
      </c>
      <c r="K721" s="25">
        <f>IFERROR(INDEX('Aub Demand'!S:S,MATCH(O721,'Aub Demand'!A:A,0)),"")</f>
        <v>0</v>
      </c>
      <c r="L721" s="25">
        <f>IFERROR(INDEX('Aub Demand'!R:R,MATCH(O721,'Aub Demand'!A:A,0)),"")</f>
        <v>0</v>
      </c>
      <c r="O721" s="27" t="s">
        <v>2280</v>
      </c>
      <c r="P721" s="27" t="str">
        <f>IFERROR(INDEX('Aub Demand'!B:B,MATCH($O721,'Aub Demand'!$A:$A,0)),"")</f>
        <v>ALUMINUM .100 50X98</v>
      </c>
      <c r="Q721" s="27">
        <f>IFERROR(INDEX('Aub Demand'!C:C,MATCH($O721,'Aub Demand'!$A:$A,0)),"")</f>
        <v>0</v>
      </c>
      <c r="R721" s="52">
        <f>IFERROR(IF(AR722=AR721,INDEX('Aub Demand'!K:K,MATCH($O721,'Aub Demand'!$A:$A,0))-IF(AN721="",0,AN721)+AP722,INDEX('Aub Demand'!K:K,MATCH($O721,'Aub Demand'!$A:$A,0))-IF(AN721="",0,AN721)),"")</f>
        <v>255</v>
      </c>
      <c r="S721" s="53" t="str">
        <f t="shared" si="308"/>
        <v>n/a</v>
      </c>
      <c r="T721" s="52" t="str">
        <f t="shared" si="309"/>
        <v/>
      </c>
      <c r="U721" s="52">
        <f>IFERROR(IF(AR722=AR721,INDEX('Aub Demand'!Q:Q,MATCH($O721,'Aub Demand'!$A:$A,0))-IF(AN721="",0,AN721)+AP722,INDEX('Aub Demand'!Q:Q,MATCH($O721,'Aub Demand'!$A:$A,0))-IF(AN721="",0,AN721)),"")</f>
        <v>255</v>
      </c>
      <c r="V721" s="53" t="str">
        <f t="shared" si="310"/>
        <v>n/a</v>
      </c>
      <c r="W721" s="52" t="str">
        <f t="shared" si="311"/>
        <v/>
      </c>
      <c r="X721" s="52">
        <f>IFERROR(IF(AND(AR722=AR721,AM721&lt;&gt;""),INDEX('Aub Demand'!Q:Q,MATCH($O721,'Aub Demand'!$A:$A,0))-IF(AN721="",0,AN721)+AP722+AD721+AL721,IF(AR722=AR721,INDEX('Aub Demand'!Q:Q,MATCH($O721,'Aub Demand'!$A:$A,0))-IF(AN721="",0,AN721)+AP722+AD721,IF(AM721&lt;&gt;"",INDEX('Aub Demand'!Q:Q,MATCH($O721,'Aub Demand'!$A:$A,0))-IF(AN721="",0,AN721)+AD721+AL721,INDEX('Aub Demand'!Q:Q,MATCH($O721,'Aub Demand'!$A:$A,0))-IF(AN721="",0,AN721)+AD721))),"")</f>
        <v>255</v>
      </c>
      <c r="Y721" s="53" t="str">
        <f t="shared" si="312"/>
        <v>n/a</v>
      </c>
      <c r="Z721" s="52">
        <f>IF(L721="","",INDEX('Aub Demand'!H:H,MATCH($O721,'Aub Demand'!$A:$A,0)))</f>
        <v>0</v>
      </c>
      <c r="AA721" s="52" t="str">
        <f t="shared" si="313"/>
        <v>-spike-</v>
      </c>
      <c r="AB721" s="52">
        <f>IFERROR(INDEX('Aub Demand'!L:L,MATCH($O721,'Aub Demand'!$A:$A,0)),"")</f>
        <v>0</v>
      </c>
      <c r="AC721" s="52">
        <f>IFERROR(IF(O721="","",SUMIFS('CPL Mats'!F:F,'CPL Mats'!Q:Q,AR721,'CPL Mats'!S:S,AS721)),"")</f>
        <v>0</v>
      </c>
      <c r="AF721" s="25" t="str">
        <f>IF(SUMIFS('Supp Consol'!S:S,'Supp Consol'!Y:Y,"Releasable",'Supp Consol'!A:A,O721)=0,"",SUMIFS('Supp Consol'!S:S,'Supp Consol'!Y:Y,"Releasable",'Supp Consol'!A:A,O721))</f>
        <v/>
      </c>
      <c r="AG721" s="25" t="str">
        <f>IFERROR(INDEX('Hun Demand'!Q:Q,MATCH(O721,'Hun Demand'!A:A,0)),"")</f>
        <v/>
      </c>
      <c r="AH721" s="25" t="str">
        <f>IFERROR(INDEX('Hun Demand'!H:H,MATCH($O721,'Hun Demand'!$A:$A,0)),"")</f>
        <v/>
      </c>
      <c r="AI721" s="25" t="str">
        <f>IF(SUMIFS('Supp Consol'!AA:AA,'Supp Consol'!Z:Z,"Expires this month",'Supp Consol'!A:A,O721)=0,"",SUMIFS('Supp Consol'!AA:AA,'Supp Consol'!Z:Z,"Expires this month",'Supp Consol'!A:A,O721))</f>
        <v/>
      </c>
      <c r="AJ721" s="25" t="str">
        <f>IF(SUMIFS('Supp Consol'!AA:AA,'Supp Consol'!Z:Z,"Expired Previous Months",'Supp Consol'!A:A,O721)=0,"",SUMIFS('Supp Consol'!AA:AA,'Supp Consol'!Z:Z,"Expired Previous Months",'Supp Consol'!A:A,O721))</f>
        <v/>
      </c>
      <c r="AK721" s="25" t="str">
        <f>IFERROR(INDEX('Hun Release Current'!B:B,MATCH(O721,'Hun Release Current'!A:A,0)),"")</f>
        <v/>
      </c>
      <c r="AL721" s="25" t="str">
        <f>IF(SUMIF('Prev Aub'!A:A,O721,'Prev Aub'!B:B)=0,"",SUMIF('Prev Aub'!A:A,O721,'Prev Aub'!B:B))</f>
        <v/>
      </c>
      <c r="AN721" s="25" t="s">
        <v>3790</v>
      </c>
      <c r="AO721" s="25" t="s">
        <v>3790</v>
      </c>
      <c r="AP721" s="25">
        <f t="shared" si="314"/>
        <v>0</v>
      </c>
      <c r="AQ721" s="151" t="str">
        <f>IF(SUMIFS('Supp Consol'!S:S,'Supp Consol'!A:A,O721,'Supp Consol'!I:I,"PENDING")=0,"",SUMIFS('Supp Consol'!S:S,'Supp Consol'!A:A,O721,'Supp Consol'!I:I,"PENDING"))</f>
        <v/>
      </c>
      <c r="AR721" s="27" t="str">
        <f t="shared" si="315"/>
        <v>M5191</v>
      </c>
      <c r="AS721" s="27" t="str">
        <f t="shared" si="316"/>
        <v>48</v>
      </c>
      <c r="AT721" s="27" t="str">
        <f t="shared" si="317"/>
        <v/>
      </c>
      <c r="AU721" s="27" t="str">
        <f t="shared" si="318"/>
        <v/>
      </c>
      <c r="AV721" s="27" t="str">
        <f t="shared" si="319"/>
        <v/>
      </c>
      <c r="AW721" s="27" t="str">
        <f t="shared" si="320"/>
        <v/>
      </c>
      <c r="AX721" s="27" t="str">
        <f t="shared" si="321"/>
        <v/>
      </c>
      <c r="AY721" s="27" t="str">
        <f t="shared" si="322"/>
        <v/>
      </c>
      <c r="AZ721" s="27" t="str">
        <f t="shared" si="323"/>
        <v/>
      </c>
      <c r="BA721" s="27" t="str">
        <f t="shared" si="324"/>
        <v/>
      </c>
      <c r="BB721" s="27" t="str">
        <f t="shared" si="325"/>
        <v/>
      </c>
      <c r="BC721" s="27" t="str">
        <f t="shared" si="326"/>
        <v/>
      </c>
      <c r="BD721" s="27" t="str">
        <f t="shared" si="327"/>
        <v/>
      </c>
      <c r="BE721" s="27" t="str">
        <f t="shared" si="328"/>
        <v/>
      </c>
      <c r="BF721" s="27" t="str">
        <f t="shared" si="329"/>
        <v/>
      </c>
      <c r="BG721" s="27" t="str">
        <f t="shared" si="330"/>
        <v/>
      </c>
      <c r="BH721" s="27" t="str">
        <f t="shared" si="331"/>
        <v/>
      </c>
      <c r="BI721" s="27" t="str">
        <f t="shared" si="332"/>
        <v/>
      </c>
      <c r="BJ721" s="27" t="str">
        <f t="shared" si="333"/>
        <v/>
      </c>
      <c r="BK721" s="27" t="str">
        <f t="shared" si="334"/>
        <v/>
      </c>
      <c r="BL721" s="27" t="str">
        <f t="shared" si="335"/>
        <v/>
      </c>
      <c r="BM721" s="21" t="s">
        <v>3790</v>
      </c>
    </row>
    <row r="722" spans="1:65" ht="15">
      <c r="A722" s="25" t="str">
        <f>IFERROR(INDEX('Hun Demand'!W:W,MATCH(O722,'Hun Demand'!A:A,0)),"")</f>
        <v/>
      </c>
      <c r="B722" s="25" t="str">
        <f>IFERROR(INDEX('Hun Demand'!V:V,MATCH(O722,'Hun Demand'!A:A,0)),"")</f>
        <v/>
      </c>
      <c r="C722" s="25" t="str">
        <f>IFERROR(INDEX('Hun Demand'!U:U,MATCH(O722,'Hun Demand'!A:A,0)),"")</f>
        <v/>
      </c>
      <c r="D722" s="25" t="str">
        <f>IFERROR(INDEX('Hun Demand'!T:T,MATCH(O722,'Hun Demand'!A:A,0)),"")</f>
        <v/>
      </c>
      <c r="E722" s="25" t="str">
        <f>IFERROR(INDEX('Hun Demand'!S:S,MATCH(O722,'Hun Demand'!A:A,0)),"")</f>
        <v/>
      </c>
      <c r="F722" s="25" t="str">
        <f>IFERROR(INDEX('Hun Demand'!R:R,MATCH(O722,'Hun Demand'!A:A,0)),"")</f>
        <v/>
      </c>
      <c r="G722" s="25">
        <f>IFERROR(INDEX('Aub Demand'!W:W,MATCH(O722,'Aub Demand'!A:A,0)),"")</f>
        <v>0</v>
      </c>
      <c r="H722" s="25">
        <f>IFERROR(INDEX('Aub Demand'!V:V,MATCH(O722,'Aub Demand'!A:A,0)),"")</f>
        <v>0</v>
      </c>
      <c r="I722" s="25">
        <f>IFERROR(INDEX('Aub Demand'!U:U,MATCH(O722,'Aub Demand'!A:A,0)),"")</f>
        <v>0</v>
      </c>
      <c r="J722" s="25">
        <f>IFERROR(INDEX('Aub Demand'!T:T,MATCH(O722,'Aub Demand'!A:A,0)),"")</f>
        <v>0</v>
      </c>
      <c r="K722" s="25">
        <f>IFERROR(INDEX('Aub Demand'!S:S,MATCH(O722,'Aub Demand'!A:A,0)),"")</f>
        <v>0</v>
      </c>
      <c r="L722" s="25">
        <f>IFERROR(INDEX('Aub Demand'!R:R,MATCH(O722,'Aub Demand'!A:A,0)),"")</f>
        <v>0</v>
      </c>
      <c r="O722" s="27" t="s">
        <v>2282</v>
      </c>
      <c r="P722" s="27" t="str">
        <f>IFERROR(INDEX('Aub Demand'!B:B,MATCH($O722,'Aub Demand'!$A:$A,0)),"")</f>
        <v>ALUMINUM .025 X 38 X</v>
      </c>
      <c r="Q722" s="27">
        <f>IFERROR(INDEX('Aub Demand'!C:C,MATCH($O722,'Aub Demand'!$A:$A,0)),"")</f>
        <v>0</v>
      </c>
      <c r="R722" s="52">
        <f>IFERROR(IF(AR723=AR722,INDEX('Aub Demand'!K:K,MATCH($O722,'Aub Demand'!$A:$A,0))-IF(AN722="",0,AN722)+AP723,INDEX('Aub Demand'!K:K,MATCH($O722,'Aub Demand'!$A:$A,0))-IF(AN722="",0,AN722)),"")</f>
        <v>112</v>
      </c>
      <c r="S722" s="53" t="str">
        <f t="shared" si="308"/>
        <v>n/a</v>
      </c>
      <c r="T722" s="52" t="str">
        <f t="shared" si="309"/>
        <v/>
      </c>
      <c r="U722" s="52">
        <f>IFERROR(IF(AR723=AR722,INDEX('Aub Demand'!Q:Q,MATCH($O722,'Aub Demand'!$A:$A,0))-IF(AN722="",0,AN722)+AP723,INDEX('Aub Demand'!Q:Q,MATCH($O722,'Aub Demand'!$A:$A,0))-IF(AN722="",0,AN722)),"")</f>
        <v>112</v>
      </c>
      <c r="V722" s="53" t="str">
        <f t="shared" si="310"/>
        <v>n/a</v>
      </c>
      <c r="W722" s="52" t="str">
        <f t="shared" si="311"/>
        <v/>
      </c>
      <c r="X722" s="52">
        <f>IFERROR(IF(AND(AR723=AR722,AM722&lt;&gt;""),INDEX('Aub Demand'!Q:Q,MATCH($O722,'Aub Demand'!$A:$A,0))-IF(AN722="",0,AN722)+AP723+AD722+AL722,IF(AR723=AR722,INDEX('Aub Demand'!Q:Q,MATCH($O722,'Aub Demand'!$A:$A,0))-IF(AN722="",0,AN722)+AP723+AD722,IF(AM722&lt;&gt;"",INDEX('Aub Demand'!Q:Q,MATCH($O722,'Aub Demand'!$A:$A,0))-IF(AN722="",0,AN722)+AD722+AL722,INDEX('Aub Demand'!Q:Q,MATCH($O722,'Aub Demand'!$A:$A,0))-IF(AN722="",0,AN722)+AD722))),"")</f>
        <v>112</v>
      </c>
      <c r="Y722" s="53" t="str">
        <f t="shared" si="312"/>
        <v>n/a</v>
      </c>
      <c r="Z722" s="52">
        <f>IF(L722="","",INDEX('Aub Demand'!H:H,MATCH($O722,'Aub Demand'!$A:$A,0)))</f>
        <v>0</v>
      </c>
      <c r="AA722" s="52" t="str">
        <f t="shared" si="313"/>
        <v>-spike-</v>
      </c>
      <c r="AB722" s="52">
        <f>IFERROR(INDEX('Aub Demand'!L:L,MATCH($O722,'Aub Demand'!$A:$A,0)),"")</f>
        <v>0</v>
      </c>
      <c r="AC722" s="52">
        <f>IFERROR(IF(O722="","",SUMIFS('CPL Mats'!F:F,'CPL Mats'!Q:Q,AR722,'CPL Mats'!S:S,AS722)),"")</f>
        <v>0</v>
      </c>
      <c r="AF722" s="25" t="str">
        <f>IF(SUMIFS('Supp Consol'!S:S,'Supp Consol'!Y:Y,"Releasable",'Supp Consol'!A:A,O722)=0,"",SUMIFS('Supp Consol'!S:S,'Supp Consol'!Y:Y,"Releasable",'Supp Consol'!A:A,O722))</f>
        <v/>
      </c>
      <c r="AG722" s="25" t="str">
        <f>IFERROR(INDEX('Hun Demand'!Q:Q,MATCH(O722,'Hun Demand'!A:A,0)),"")</f>
        <v/>
      </c>
      <c r="AH722" s="25" t="str">
        <f>IFERROR(INDEX('Hun Demand'!H:H,MATCH($O722,'Hun Demand'!$A:$A,0)),"")</f>
        <v/>
      </c>
      <c r="AI722" s="25" t="str">
        <f>IF(SUMIFS('Supp Consol'!AA:AA,'Supp Consol'!Z:Z,"Expires this month",'Supp Consol'!A:A,O722)=0,"",SUMIFS('Supp Consol'!AA:AA,'Supp Consol'!Z:Z,"Expires this month",'Supp Consol'!A:A,O722))</f>
        <v/>
      </c>
      <c r="AJ722" s="25" t="str">
        <f>IF(SUMIFS('Supp Consol'!AA:AA,'Supp Consol'!Z:Z,"Expired Previous Months",'Supp Consol'!A:A,O722)=0,"",SUMIFS('Supp Consol'!AA:AA,'Supp Consol'!Z:Z,"Expired Previous Months",'Supp Consol'!A:A,O722))</f>
        <v/>
      </c>
      <c r="AK722" s="25" t="str">
        <f>IFERROR(INDEX('Hun Release Current'!B:B,MATCH(O722,'Hun Release Current'!A:A,0)),"")</f>
        <v/>
      </c>
      <c r="AL722" s="25" t="str">
        <f>IF(SUMIF('Prev Aub'!A:A,O722,'Prev Aub'!B:B)=0,"",SUMIF('Prev Aub'!A:A,O722,'Prev Aub'!B:B))</f>
        <v/>
      </c>
      <c r="AN722" s="25" t="s">
        <v>3790</v>
      </c>
      <c r="AO722" s="25" t="s">
        <v>3790</v>
      </c>
      <c r="AP722" s="25">
        <f t="shared" si="314"/>
        <v>0</v>
      </c>
      <c r="AQ722" s="151" t="str">
        <f>IF(SUMIFS('Supp Consol'!S:S,'Supp Consol'!A:A,O722,'Supp Consol'!I:I,"PENDING")=0,"",SUMIFS('Supp Consol'!S:S,'Supp Consol'!A:A,O722,'Supp Consol'!I:I,"PENDING"))</f>
        <v/>
      </c>
      <c r="AR722" s="27" t="str">
        <f t="shared" si="315"/>
        <v>M5192</v>
      </c>
      <c r="AS722" s="27" t="str">
        <f t="shared" si="316"/>
        <v>38</v>
      </c>
      <c r="AT722" s="27" t="str">
        <f t="shared" si="317"/>
        <v/>
      </c>
      <c r="AU722" s="27" t="str">
        <f t="shared" si="318"/>
        <v/>
      </c>
      <c r="AV722" s="27" t="str">
        <f t="shared" si="319"/>
        <v/>
      </c>
      <c r="AW722" s="27" t="str">
        <f t="shared" si="320"/>
        <v/>
      </c>
      <c r="AX722" s="27" t="str">
        <f t="shared" si="321"/>
        <v/>
      </c>
      <c r="AY722" s="27" t="str">
        <f t="shared" si="322"/>
        <v/>
      </c>
      <c r="AZ722" s="27" t="str">
        <f t="shared" si="323"/>
        <v/>
      </c>
      <c r="BA722" s="27" t="str">
        <f t="shared" si="324"/>
        <v/>
      </c>
      <c r="BB722" s="27" t="str">
        <f t="shared" si="325"/>
        <v/>
      </c>
      <c r="BC722" s="27" t="str">
        <f t="shared" si="326"/>
        <v/>
      </c>
      <c r="BD722" s="27" t="str">
        <f t="shared" si="327"/>
        <v/>
      </c>
      <c r="BE722" s="27" t="str">
        <f t="shared" si="328"/>
        <v/>
      </c>
      <c r="BF722" s="27" t="str">
        <f t="shared" si="329"/>
        <v/>
      </c>
      <c r="BG722" s="27" t="str">
        <f t="shared" si="330"/>
        <v/>
      </c>
      <c r="BH722" s="27" t="str">
        <f t="shared" si="331"/>
        <v/>
      </c>
      <c r="BI722" s="27" t="str">
        <f t="shared" si="332"/>
        <v/>
      </c>
      <c r="BJ722" s="27" t="str">
        <f t="shared" si="333"/>
        <v/>
      </c>
      <c r="BK722" s="27" t="str">
        <f t="shared" si="334"/>
        <v/>
      </c>
      <c r="BL722" s="27" t="str">
        <f t="shared" si="335"/>
        <v/>
      </c>
      <c r="BM722" s="21" t="s">
        <v>3790</v>
      </c>
    </row>
    <row r="723" spans="1:65" ht="15">
      <c r="A723" s="25" t="str">
        <f>IFERROR(INDEX('Hun Demand'!W:W,MATCH(O723,'Hun Demand'!A:A,0)),"")</f>
        <v/>
      </c>
      <c r="B723" s="25" t="str">
        <f>IFERROR(INDEX('Hun Demand'!V:V,MATCH(O723,'Hun Demand'!A:A,0)),"")</f>
        <v/>
      </c>
      <c r="C723" s="25" t="str">
        <f>IFERROR(INDEX('Hun Demand'!U:U,MATCH(O723,'Hun Demand'!A:A,0)),"")</f>
        <v/>
      </c>
      <c r="D723" s="25" t="str">
        <f>IFERROR(INDEX('Hun Demand'!T:T,MATCH(O723,'Hun Demand'!A:A,0)),"")</f>
        <v/>
      </c>
      <c r="E723" s="25" t="str">
        <f>IFERROR(INDEX('Hun Demand'!S:S,MATCH(O723,'Hun Demand'!A:A,0)),"")</f>
        <v/>
      </c>
      <c r="F723" s="25" t="str">
        <f>IFERROR(INDEX('Hun Demand'!R:R,MATCH(O723,'Hun Demand'!A:A,0)),"")</f>
        <v/>
      </c>
      <c r="G723" s="25">
        <f>IFERROR(INDEX('Aub Demand'!W:W,MATCH(O723,'Aub Demand'!A:A,0)),"")</f>
        <v>18</v>
      </c>
      <c r="H723" s="25">
        <f>IFERROR(INDEX('Aub Demand'!V:V,MATCH(O723,'Aub Demand'!A:A,0)),"")</f>
        <v>127</v>
      </c>
      <c r="I723" s="25">
        <f>IFERROR(INDEX('Aub Demand'!U:U,MATCH(O723,'Aub Demand'!A:A,0)),"")</f>
        <v>240</v>
      </c>
      <c r="J723" s="25">
        <f>IFERROR(INDEX('Aub Demand'!T:T,MATCH(O723,'Aub Demand'!A:A,0)),"")</f>
        <v>0</v>
      </c>
      <c r="K723" s="25">
        <f>IFERROR(INDEX('Aub Demand'!S:S,MATCH(O723,'Aub Demand'!A:A,0)),"")</f>
        <v>242</v>
      </c>
      <c r="L723" s="25">
        <f>IFERROR(INDEX('Aub Demand'!R:R,MATCH(O723,'Aub Demand'!A:A,0)),"")</f>
        <v>0</v>
      </c>
      <c r="O723" s="27" t="s">
        <v>2284</v>
      </c>
      <c r="P723" s="27" t="str">
        <f>IFERROR(INDEX('Aub Demand'!B:B,MATCH($O723,'Aub Demand'!$A:$A,0)),"")</f>
        <v>ALUMINUM .025 X 50 X</v>
      </c>
      <c r="Q723" s="27" t="str">
        <f>IFERROR(INDEX('Aub Demand'!C:C,MATCH($O723,'Aub Demand'!$A:$A,0)),"")</f>
        <v>THYSS</v>
      </c>
      <c r="R723" s="52">
        <f>IFERROR(IF(AR724=AR723,INDEX('Aub Demand'!K:K,MATCH($O723,'Aub Demand'!$A:$A,0))-IF(AN723="",0,AN723)+AP724,INDEX('Aub Demand'!K:K,MATCH($O723,'Aub Demand'!$A:$A,0))-IF(AN723="",0,AN723)),"")</f>
        <v>231</v>
      </c>
      <c r="S723" s="53">
        <f t="shared" si="308"/>
        <v>6.1</v>
      </c>
      <c r="T723" s="52" t="str">
        <f t="shared" si="309"/>
        <v/>
      </c>
      <c r="U723" s="52">
        <f>IFERROR(IF(AR724=AR723,INDEX('Aub Demand'!Q:Q,MATCH($O723,'Aub Demand'!$A:$A,0))-IF(AN723="",0,AN723)+AP724,INDEX('Aub Demand'!Q:Q,MATCH($O723,'Aub Demand'!$A:$A,0))-IF(AN723="",0,AN723)),"")</f>
        <v>145</v>
      </c>
      <c r="V723" s="53">
        <f t="shared" si="310"/>
        <v>3.9</v>
      </c>
      <c r="W723" s="52" t="str">
        <f t="shared" si="311"/>
        <v/>
      </c>
      <c r="X723" s="52">
        <f>IFERROR(IF(AND(AR724=AR723,AM723&lt;&gt;""),INDEX('Aub Demand'!Q:Q,MATCH($O723,'Aub Demand'!$A:$A,0))-IF(AN723="",0,AN723)+AP724+AD723+AL723,IF(AR724=AR723,INDEX('Aub Demand'!Q:Q,MATCH($O723,'Aub Demand'!$A:$A,0))-IF(AN723="",0,AN723)+AP724+AD723,IF(AM723&lt;&gt;"",INDEX('Aub Demand'!Q:Q,MATCH($O723,'Aub Demand'!$A:$A,0))-IF(AN723="",0,AN723)+AD723+AL723,INDEX('Aub Demand'!Q:Q,MATCH($O723,'Aub Demand'!$A:$A,0))-IF(AN723="",0,AN723)+AD723))),"")</f>
        <v>145</v>
      </c>
      <c r="Y723" s="53">
        <f t="shared" si="312"/>
        <v>3.9</v>
      </c>
      <c r="Z723" s="52">
        <f>IF(L723="","",INDEX('Aub Demand'!H:H,MATCH($O723,'Aub Demand'!$A:$A,0)))</f>
        <v>161</v>
      </c>
      <c r="AA723" s="52">
        <f t="shared" si="313"/>
        <v>241</v>
      </c>
      <c r="AB723" s="52">
        <f>IFERROR(INDEX('Aub Demand'!L:L,MATCH($O723,'Aub Demand'!$A:$A,0)),"")</f>
        <v>9</v>
      </c>
      <c r="AC723" s="52">
        <f>IFERROR(IF(O723="","",SUMIFS('CPL Mats'!F:F,'CPL Mats'!Q:Q,AR723,'CPL Mats'!S:S,AS723)),"")</f>
        <v>0</v>
      </c>
      <c r="AF723" s="25" t="str">
        <f>IF(SUMIFS('Supp Consol'!S:S,'Supp Consol'!Y:Y,"Releasable",'Supp Consol'!A:A,O723)=0,"",SUMIFS('Supp Consol'!S:S,'Supp Consol'!Y:Y,"Releasable",'Supp Consol'!A:A,O723))</f>
        <v/>
      </c>
      <c r="AG723" s="25" t="str">
        <f>IFERROR(INDEX('Hun Demand'!Q:Q,MATCH(O723,'Hun Demand'!A:A,0)),"")</f>
        <v/>
      </c>
      <c r="AH723" s="25" t="str">
        <f>IFERROR(INDEX('Hun Demand'!H:H,MATCH($O723,'Hun Demand'!$A:$A,0)),"")</f>
        <v/>
      </c>
      <c r="AI723" s="25" t="str">
        <f>IF(SUMIFS('Supp Consol'!AA:AA,'Supp Consol'!Z:Z,"Expires this month",'Supp Consol'!A:A,O723)=0,"",SUMIFS('Supp Consol'!AA:AA,'Supp Consol'!Z:Z,"Expires this month",'Supp Consol'!A:A,O723))</f>
        <v/>
      </c>
      <c r="AJ723" s="25" t="str">
        <f>IF(SUMIFS('Supp Consol'!AA:AA,'Supp Consol'!Z:Z,"Expired Previous Months",'Supp Consol'!A:A,O723)=0,"",SUMIFS('Supp Consol'!AA:AA,'Supp Consol'!Z:Z,"Expired Previous Months",'Supp Consol'!A:A,O723))</f>
        <v/>
      </c>
      <c r="AK723" s="25" t="str">
        <f>IFERROR(INDEX('Hun Release Current'!B:B,MATCH(O723,'Hun Release Current'!A:A,0)),"")</f>
        <v/>
      </c>
      <c r="AL723" s="25" t="str">
        <f>IF(SUMIF('Prev Aub'!A:A,O723,'Prev Aub'!B:B)=0,"",SUMIF('Prev Aub'!A:A,O723,'Prev Aub'!B:B))</f>
        <v/>
      </c>
      <c r="AN723" s="25" t="s">
        <v>3790</v>
      </c>
      <c r="AO723" s="25" t="s">
        <v>3790</v>
      </c>
      <c r="AP723" s="25">
        <f t="shared" si="314"/>
        <v>0</v>
      </c>
      <c r="AQ723" s="151" t="str">
        <f>IF(SUMIFS('Supp Consol'!S:S,'Supp Consol'!A:A,O723,'Supp Consol'!I:I,"PENDING")=0,"",SUMIFS('Supp Consol'!S:S,'Supp Consol'!A:A,O723,'Supp Consol'!I:I,"PENDING"))</f>
        <v/>
      </c>
      <c r="AR723" s="27" t="str">
        <f t="shared" si="315"/>
        <v>M5192</v>
      </c>
      <c r="AS723" s="27" t="str">
        <f t="shared" si="316"/>
        <v>40</v>
      </c>
      <c r="AT723" s="27" t="str">
        <f t="shared" si="317"/>
        <v/>
      </c>
      <c r="AU723" s="27" t="str">
        <f t="shared" si="318"/>
        <v/>
      </c>
      <c r="AV723" s="27" t="str">
        <f t="shared" si="319"/>
        <v/>
      </c>
      <c r="AW723" s="27" t="str">
        <f t="shared" si="320"/>
        <v/>
      </c>
      <c r="AX723" s="27" t="str">
        <f t="shared" si="321"/>
        <v/>
      </c>
      <c r="AY723" s="27" t="str">
        <f t="shared" si="322"/>
        <v/>
      </c>
      <c r="AZ723" s="27" t="str">
        <f t="shared" si="323"/>
        <v/>
      </c>
      <c r="BA723" s="27" t="str">
        <f t="shared" si="324"/>
        <v/>
      </c>
      <c r="BB723" s="27" t="str">
        <f t="shared" si="325"/>
        <v/>
      </c>
      <c r="BC723" s="27" t="str">
        <f t="shared" si="326"/>
        <v/>
      </c>
      <c r="BD723" s="27" t="str">
        <f t="shared" si="327"/>
        <v/>
      </c>
      <c r="BE723" s="27" t="str">
        <f t="shared" si="328"/>
        <v/>
      </c>
      <c r="BF723" s="27" t="str">
        <f t="shared" si="329"/>
        <v/>
      </c>
      <c r="BG723" s="27" t="str">
        <f t="shared" si="330"/>
        <v/>
      </c>
      <c r="BH723" s="27" t="str">
        <f t="shared" si="331"/>
        <v/>
      </c>
      <c r="BI723" s="27" t="str">
        <f t="shared" si="332"/>
        <v/>
      </c>
      <c r="BJ723" s="27" t="str">
        <f t="shared" si="333"/>
        <v/>
      </c>
      <c r="BK723" s="27" t="str">
        <f t="shared" si="334"/>
        <v/>
      </c>
      <c r="BL723" s="27" t="str">
        <f t="shared" si="335"/>
        <v/>
      </c>
      <c r="BM723" s="21" t="s">
        <v>3790</v>
      </c>
    </row>
    <row r="724" spans="1:65" ht="15">
      <c r="A724" s="25" t="str">
        <f>IFERROR(INDEX('Hun Demand'!W:W,MATCH(O724,'Hun Demand'!A:A,0)),"")</f>
        <v/>
      </c>
      <c r="B724" s="25" t="str">
        <f>IFERROR(INDEX('Hun Demand'!V:V,MATCH(O724,'Hun Demand'!A:A,0)),"")</f>
        <v/>
      </c>
      <c r="C724" s="25" t="str">
        <f>IFERROR(INDEX('Hun Demand'!U:U,MATCH(O724,'Hun Demand'!A:A,0)),"")</f>
        <v/>
      </c>
      <c r="D724" s="25" t="str">
        <f>IFERROR(INDEX('Hun Demand'!T:T,MATCH(O724,'Hun Demand'!A:A,0)),"")</f>
        <v/>
      </c>
      <c r="E724" s="25" t="str">
        <f>IFERROR(INDEX('Hun Demand'!S:S,MATCH(O724,'Hun Demand'!A:A,0)),"")</f>
        <v/>
      </c>
      <c r="F724" s="25" t="str">
        <f>IFERROR(INDEX('Hun Demand'!R:R,MATCH(O724,'Hun Demand'!A:A,0)),"")</f>
        <v/>
      </c>
      <c r="G724" s="25">
        <f>IFERROR(INDEX('Aub Demand'!W:W,MATCH(O724,'Aub Demand'!A:A,0)),"")</f>
        <v>0</v>
      </c>
      <c r="H724" s="25">
        <f>IFERROR(INDEX('Aub Demand'!V:V,MATCH(O724,'Aub Demand'!A:A,0)),"")</f>
        <v>250</v>
      </c>
      <c r="I724" s="25">
        <f>IFERROR(INDEX('Aub Demand'!U:U,MATCH(O724,'Aub Demand'!A:A,0)),"")</f>
        <v>338</v>
      </c>
      <c r="J724" s="25">
        <f>IFERROR(INDEX('Aub Demand'!T:T,MATCH(O724,'Aub Demand'!A:A,0)),"")</f>
        <v>8</v>
      </c>
      <c r="K724" s="25">
        <f>IFERROR(INDEX('Aub Demand'!S:S,MATCH(O724,'Aub Demand'!A:A,0)),"")</f>
        <v>444</v>
      </c>
      <c r="L724" s="25">
        <f>IFERROR(INDEX('Aub Demand'!R:R,MATCH(O724,'Aub Demand'!A:A,0)),"")</f>
        <v>0</v>
      </c>
      <c r="O724" s="27" t="s">
        <v>2288</v>
      </c>
      <c r="P724" s="27" t="str">
        <f>IFERROR(INDEX('Aub Demand'!B:B,MATCH($O724,'Aub Demand'!$A:$A,0)),"")</f>
        <v>ALUMINUM .025 X 50 X</v>
      </c>
      <c r="Q724" s="27">
        <f>IFERROR(INDEX('Aub Demand'!C:C,MATCH($O724,'Aub Demand'!$A:$A,0)),"")</f>
        <v>0</v>
      </c>
      <c r="R724" s="52">
        <f>IFERROR(IF(AR725=AR724,INDEX('Aub Demand'!K:K,MATCH($O724,'Aub Demand'!$A:$A,0))-IF(AN724="",0,AN724)+AP725,INDEX('Aub Demand'!K:K,MATCH($O724,'Aub Demand'!$A:$A,0))-IF(AN724="",0,AN724)),"")</f>
        <v>996</v>
      </c>
      <c r="S724" s="53">
        <f t="shared" si="308"/>
        <v>16.2</v>
      </c>
      <c r="T724" s="52" t="str">
        <f t="shared" si="309"/>
        <v/>
      </c>
      <c r="U724" s="52">
        <f>IFERROR(IF(AR725=AR724,INDEX('Aub Demand'!Q:Q,MATCH($O724,'Aub Demand'!$A:$A,0))-IF(AN724="",0,AN724)+AP725,INDEX('Aub Demand'!Q:Q,MATCH($O724,'Aub Demand'!$A:$A,0))-IF(AN724="",0,AN724)),"")</f>
        <v>833</v>
      </c>
      <c r="V724" s="53">
        <f t="shared" si="310"/>
        <v>13.6</v>
      </c>
      <c r="W724" s="52" t="str">
        <f t="shared" si="311"/>
        <v/>
      </c>
      <c r="X724" s="52">
        <f>IFERROR(IF(AND(AR725=AR724,AM724&lt;&gt;""),INDEX('Aub Demand'!Q:Q,MATCH($O724,'Aub Demand'!$A:$A,0))-IF(AN724="",0,AN724)+AP725+AD724+AL724,IF(AR725=AR724,INDEX('Aub Demand'!Q:Q,MATCH($O724,'Aub Demand'!$A:$A,0))-IF(AN724="",0,AN724)+AP725+AD724,IF(AM724&lt;&gt;"",INDEX('Aub Demand'!Q:Q,MATCH($O724,'Aub Demand'!$A:$A,0))-IF(AN724="",0,AN724)+AD724+AL724,INDEX('Aub Demand'!Q:Q,MATCH($O724,'Aub Demand'!$A:$A,0))-IF(AN724="",0,AN724)+AD724))),"")</f>
        <v>833</v>
      </c>
      <c r="Y724" s="53">
        <f t="shared" si="312"/>
        <v>13.6</v>
      </c>
      <c r="Z724" s="52">
        <f>IF(L724="","",INDEX('Aub Demand'!H:H,MATCH($O724,'Aub Demand'!$A:$A,0)))</f>
        <v>263</v>
      </c>
      <c r="AA724" s="52">
        <f t="shared" si="313"/>
        <v>391</v>
      </c>
      <c r="AB724" s="52">
        <f>IFERROR(INDEX('Aub Demand'!L:L,MATCH($O724,'Aub Demand'!$A:$A,0)),"")</f>
        <v>40</v>
      </c>
      <c r="AC724" s="52">
        <f>IFERROR(IF(O724="","",SUMIFS('CPL Mats'!F:F,'CPL Mats'!Q:Q,AR724,'CPL Mats'!S:S,AS724)),"")</f>
        <v>0</v>
      </c>
      <c r="AF724" s="25" t="str">
        <f>IF(SUMIFS('Supp Consol'!S:S,'Supp Consol'!Y:Y,"Releasable",'Supp Consol'!A:A,O724)=0,"",SUMIFS('Supp Consol'!S:S,'Supp Consol'!Y:Y,"Releasable",'Supp Consol'!A:A,O724))</f>
        <v/>
      </c>
      <c r="AG724" s="25" t="str">
        <f>IFERROR(INDEX('Hun Demand'!Q:Q,MATCH(O724,'Hun Demand'!A:A,0)),"")</f>
        <v/>
      </c>
      <c r="AH724" s="25" t="str">
        <f>IFERROR(INDEX('Hun Demand'!H:H,MATCH($O724,'Hun Demand'!$A:$A,0)),"")</f>
        <v/>
      </c>
      <c r="AI724" s="25" t="str">
        <f>IF(SUMIFS('Supp Consol'!AA:AA,'Supp Consol'!Z:Z,"Expires this month",'Supp Consol'!A:A,O724)=0,"",SUMIFS('Supp Consol'!AA:AA,'Supp Consol'!Z:Z,"Expires this month",'Supp Consol'!A:A,O724))</f>
        <v/>
      </c>
      <c r="AJ724" s="25" t="str">
        <f>IF(SUMIFS('Supp Consol'!AA:AA,'Supp Consol'!Z:Z,"Expired Previous Months",'Supp Consol'!A:A,O724)=0,"",SUMIFS('Supp Consol'!AA:AA,'Supp Consol'!Z:Z,"Expired Previous Months",'Supp Consol'!A:A,O724))</f>
        <v/>
      </c>
      <c r="AK724" s="25" t="str">
        <f>IFERROR(INDEX('Hun Release Current'!B:B,MATCH(O724,'Hun Release Current'!A:A,0)),"")</f>
        <v/>
      </c>
      <c r="AL724" s="25" t="str">
        <f>IF(SUMIF('Prev Aub'!A:A,O724,'Prev Aub'!B:B)=0,"",SUMIF('Prev Aub'!A:A,O724,'Prev Aub'!B:B))</f>
        <v/>
      </c>
      <c r="AN724" s="25" t="s">
        <v>3790</v>
      </c>
      <c r="AO724" s="25" t="s">
        <v>3790</v>
      </c>
      <c r="AP724" s="25">
        <f t="shared" si="314"/>
        <v>0</v>
      </c>
      <c r="AQ724" s="151" t="str">
        <f>IF(SUMIFS('Supp Consol'!S:S,'Supp Consol'!A:A,O724,'Supp Consol'!I:I,"PENDING")=0,"",SUMIFS('Supp Consol'!S:S,'Supp Consol'!A:A,O724,'Supp Consol'!I:I,"PENDING"))</f>
        <v/>
      </c>
      <c r="AR724" s="27" t="str">
        <f t="shared" si="315"/>
        <v>M5192</v>
      </c>
      <c r="AS724" s="27" t="str">
        <f t="shared" si="316"/>
        <v>48</v>
      </c>
      <c r="AT724" s="27" t="str">
        <f t="shared" si="317"/>
        <v/>
      </c>
      <c r="AU724" s="27" t="str">
        <f t="shared" si="318"/>
        <v/>
      </c>
      <c r="AV724" s="27" t="str">
        <f t="shared" si="319"/>
        <v/>
      </c>
      <c r="AW724" s="27" t="str">
        <f t="shared" si="320"/>
        <v/>
      </c>
      <c r="AX724" s="27" t="str">
        <f t="shared" si="321"/>
        <v/>
      </c>
      <c r="AY724" s="27" t="str">
        <f t="shared" si="322"/>
        <v/>
      </c>
      <c r="AZ724" s="27" t="str">
        <f t="shared" si="323"/>
        <v/>
      </c>
      <c r="BA724" s="27" t="str">
        <f t="shared" si="324"/>
        <v/>
      </c>
      <c r="BB724" s="27" t="str">
        <f t="shared" si="325"/>
        <v/>
      </c>
      <c r="BC724" s="27" t="str">
        <f t="shared" si="326"/>
        <v/>
      </c>
      <c r="BD724" s="27" t="str">
        <f t="shared" si="327"/>
        <v/>
      </c>
      <c r="BE724" s="27" t="str">
        <f t="shared" si="328"/>
        <v/>
      </c>
      <c r="BF724" s="27" t="str">
        <f t="shared" si="329"/>
        <v/>
      </c>
      <c r="BG724" s="27" t="str">
        <f t="shared" si="330"/>
        <v/>
      </c>
      <c r="BH724" s="27" t="str">
        <f t="shared" si="331"/>
        <v/>
      </c>
      <c r="BI724" s="27" t="str">
        <f t="shared" si="332"/>
        <v/>
      </c>
      <c r="BJ724" s="27" t="str">
        <f t="shared" si="333"/>
        <v/>
      </c>
      <c r="BK724" s="27" t="str">
        <f t="shared" si="334"/>
        <v/>
      </c>
      <c r="BL724" s="27" t="str">
        <f t="shared" si="335"/>
        <v/>
      </c>
      <c r="BM724" s="21" t="s">
        <v>3790</v>
      </c>
    </row>
    <row r="725" spans="1:65" ht="15">
      <c r="A725" s="25" t="str">
        <f>IFERROR(INDEX('Hun Demand'!W:W,MATCH(O725,'Hun Demand'!A:A,0)),"")</f>
        <v/>
      </c>
      <c r="B725" s="25" t="str">
        <f>IFERROR(INDEX('Hun Demand'!V:V,MATCH(O725,'Hun Demand'!A:A,0)),"")</f>
        <v/>
      </c>
      <c r="C725" s="25" t="str">
        <f>IFERROR(INDEX('Hun Demand'!U:U,MATCH(O725,'Hun Demand'!A:A,0)),"")</f>
        <v/>
      </c>
      <c r="D725" s="25" t="str">
        <f>IFERROR(INDEX('Hun Demand'!T:T,MATCH(O725,'Hun Demand'!A:A,0)),"")</f>
        <v/>
      </c>
      <c r="E725" s="25" t="str">
        <f>IFERROR(INDEX('Hun Demand'!S:S,MATCH(O725,'Hun Demand'!A:A,0)),"")</f>
        <v/>
      </c>
      <c r="F725" s="25" t="str">
        <f>IFERROR(INDEX('Hun Demand'!R:R,MATCH(O725,'Hun Demand'!A:A,0)),"")</f>
        <v/>
      </c>
      <c r="G725" s="25">
        <f>IFERROR(INDEX('Aub Demand'!W:W,MATCH(O725,'Aub Demand'!A:A,0)),"")</f>
        <v>90</v>
      </c>
      <c r="H725" s="25">
        <f>IFERROR(INDEX('Aub Demand'!V:V,MATCH(O725,'Aub Demand'!A:A,0)),"")</f>
        <v>78</v>
      </c>
      <c r="I725" s="25">
        <f>IFERROR(INDEX('Aub Demand'!U:U,MATCH(O725,'Aub Demand'!A:A,0)),"")</f>
        <v>0</v>
      </c>
      <c r="J725" s="25">
        <f>IFERROR(INDEX('Aub Demand'!T:T,MATCH(O725,'Aub Demand'!A:A,0)),"")</f>
        <v>66</v>
      </c>
      <c r="K725" s="25">
        <f>IFERROR(INDEX('Aub Demand'!S:S,MATCH(O725,'Aub Demand'!A:A,0)),"")</f>
        <v>39</v>
      </c>
      <c r="L725" s="25">
        <f>IFERROR(INDEX('Aub Demand'!R:R,MATCH(O725,'Aub Demand'!A:A,0)),"")</f>
        <v>12</v>
      </c>
      <c r="O725" s="27" t="s">
        <v>2289</v>
      </c>
      <c r="P725" s="27" t="str">
        <f>IFERROR(INDEX('Aub Demand'!B:B,MATCH($O725,'Aub Demand'!$A:$A,0)),"")</f>
        <v>ALUMINUM .025 X 62 X</v>
      </c>
      <c r="Q725" s="27">
        <f>IFERROR(INDEX('Aub Demand'!C:C,MATCH($O725,'Aub Demand'!$A:$A,0)),"")</f>
        <v>0</v>
      </c>
      <c r="R725" s="52">
        <f>IFERROR(IF(AR726=AR725,INDEX('Aub Demand'!K:K,MATCH($O725,'Aub Demand'!$A:$A,0))-IF(AN725="",0,AN725)+AP726,INDEX('Aub Demand'!K:K,MATCH($O725,'Aub Demand'!$A:$A,0))-IF(AN725="",0,AN725)),"")</f>
        <v>450</v>
      </c>
      <c r="S725" s="53">
        <f t="shared" si="308"/>
        <v>55.1</v>
      </c>
      <c r="T725" s="52" t="str">
        <f t="shared" si="309"/>
        <v/>
      </c>
      <c r="U725" s="52">
        <f>IFERROR(IF(AR726=AR725,INDEX('Aub Demand'!Q:Q,MATCH($O725,'Aub Demand'!$A:$A,0))-IF(AN725="",0,AN725)+AP726,INDEX('Aub Demand'!Q:Q,MATCH($O725,'Aub Demand'!$A:$A,0))-IF(AN725="",0,AN725)),"")</f>
        <v>412</v>
      </c>
      <c r="V725" s="53">
        <f t="shared" si="310"/>
        <v>50.4</v>
      </c>
      <c r="W725" s="52" t="str">
        <f t="shared" si="311"/>
        <v/>
      </c>
      <c r="X725" s="52">
        <f>IFERROR(IF(AND(AR726=AR725,AM725&lt;&gt;""),INDEX('Aub Demand'!Q:Q,MATCH($O725,'Aub Demand'!$A:$A,0))-IF(AN725="",0,AN725)+AP726+AD725+AL725,IF(AR726=AR725,INDEX('Aub Demand'!Q:Q,MATCH($O725,'Aub Demand'!$A:$A,0))-IF(AN725="",0,AN725)+AP726+AD725,IF(AM725&lt;&gt;"",INDEX('Aub Demand'!Q:Q,MATCH($O725,'Aub Demand'!$A:$A,0))-IF(AN725="",0,AN725)+AD725+AL725,INDEX('Aub Demand'!Q:Q,MATCH($O725,'Aub Demand'!$A:$A,0))-IF(AN725="",0,AN725)+AD725))),"")</f>
        <v>412</v>
      </c>
      <c r="Y725" s="53">
        <f t="shared" si="312"/>
        <v>50.4</v>
      </c>
      <c r="Z725" s="52">
        <f>IF(L725="","",INDEX('Aub Demand'!H:H,MATCH($O725,'Aub Demand'!$A:$A,0)))</f>
        <v>35</v>
      </c>
      <c r="AA725" s="52">
        <f t="shared" si="313"/>
        <v>52.5</v>
      </c>
      <c r="AB725" s="52">
        <f>IFERROR(INDEX('Aub Demand'!L:L,MATCH($O725,'Aub Demand'!$A:$A,0)),"")</f>
        <v>0</v>
      </c>
      <c r="AC725" s="52">
        <f>IFERROR(IF(O725="","",SUMIFS('CPL Mats'!F:F,'CPL Mats'!Q:Q,AR725,'CPL Mats'!S:S,AS725)),"")</f>
        <v>0</v>
      </c>
      <c r="AF725" s="25" t="str">
        <f>IF(SUMIFS('Supp Consol'!S:S,'Supp Consol'!Y:Y,"Releasable",'Supp Consol'!A:A,O725)=0,"",SUMIFS('Supp Consol'!S:S,'Supp Consol'!Y:Y,"Releasable",'Supp Consol'!A:A,O725))</f>
        <v/>
      </c>
      <c r="AG725" s="25" t="str">
        <f>IFERROR(INDEX('Hun Demand'!Q:Q,MATCH(O725,'Hun Demand'!A:A,0)),"")</f>
        <v/>
      </c>
      <c r="AH725" s="25" t="str">
        <f>IFERROR(INDEX('Hun Demand'!H:H,MATCH($O725,'Hun Demand'!$A:$A,0)),"")</f>
        <v/>
      </c>
      <c r="AI725" s="25" t="str">
        <f>IF(SUMIFS('Supp Consol'!AA:AA,'Supp Consol'!Z:Z,"Expires this month",'Supp Consol'!A:A,O725)=0,"",SUMIFS('Supp Consol'!AA:AA,'Supp Consol'!Z:Z,"Expires this month",'Supp Consol'!A:A,O725))</f>
        <v/>
      </c>
      <c r="AJ725" s="25" t="str">
        <f>IF(SUMIFS('Supp Consol'!AA:AA,'Supp Consol'!Z:Z,"Expired Previous Months",'Supp Consol'!A:A,O725)=0,"",SUMIFS('Supp Consol'!AA:AA,'Supp Consol'!Z:Z,"Expired Previous Months",'Supp Consol'!A:A,O725))</f>
        <v/>
      </c>
      <c r="AK725" s="25" t="str">
        <f>IFERROR(INDEX('Hun Release Current'!B:B,MATCH(O725,'Hun Release Current'!A:A,0)),"")</f>
        <v/>
      </c>
      <c r="AL725" s="25" t="str">
        <f>IF(SUMIF('Prev Aub'!A:A,O725,'Prev Aub'!B:B)=0,"",SUMIF('Prev Aub'!A:A,O725,'Prev Aub'!B:B))</f>
        <v/>
      </c>
      <c r="AN725" s="25" t="s">
        <v>3790</v>
      </c>
      <c r="AO725" s="25" t="s">
        <v>3790</v>
      </c>
      <c r="AP725" s="25">
        <f t="shared" si="314"/>
        <v>0</v>
      </c>
      <c r="AQ725" s="151" t="str">
        <f>IF(SUMIFS('Supp Consol'!S:S,'Supp Consol'!A:A,O725,'Supp Consol'!I:I,"PENDING")=0,"",SUMIFS('Supp Consol'!S:S,'Supp Consol'!A:A,O725,'Supp Consol'!I:I,"PENDING"))</f>
        <v/>
      </c>
      <c r="AR725" s="27" t="str">
        <f t="shared" si="315"/>
        <v>M5192</v>
      </c>
      <c r="AS725" s="27" t="str">
        <f t="shared" si="316"/>
        <v>50</v>
      </c>
      <c r="AT725" s="27" t="str">
        <f t="shared" si="317"/>
        <v/>
      </c>
      <c r="AU725" s="27" t="str">
        <f t="shared" si="318"/>
        <v/>
      </c>
      <c r="AV725" s="27" t="str">
        <f t="shared" si="319"/>
        <v/>
      </c>
      <c r="AW725" s="27" t="str">
        <f t="shared" si="320"/>
        <v/>
      </c>
      <c r="AX725" s="27" t="str">
        <f t="shared" si="321"/>
        <v/>
      </c>
      <c r="AY725" s="27" t="str">
        <f t="shared" si="322"/>
        <v/>
      </c>
      <c r="AZ725" s="27" t="str">
        <f t="shared" si="323"/>
        <v/>
      </c>
      <c r="BA725" s="27" t="str">
        <f t="shared" si="324"/>
        <v/>
      </c>
      <c r="BB725" s="27" t="str">
        <f t="shared" si="325"/>
        <v/>
      </c>
      <c r="BC725" s="27" t="str">
        <f t="shared" si="326"/>
        <v/>
      </c>
      <c r="BD725" s="27" t="str">
        <f t="shared" si="327"/>
        <v/>
      </c>
      <c r="BE725" s="27" t="str">
        <f t="shared" si="328"/>
        <v/>
      </c>
      <c r="BF725" s="27" t="str">
        <f t="shared" si="329"/>
        <v/>
      </c>
      <c r="BG725" s="27" t="str">
        <f t="shared" si="330"/>
        <v/>
      </c>
      <c r="BH725" s="27" t="str">
        <f t="shared" si="331"/>
        <v/>
      </c>
      <c r="BI725" s="27" t="str">
        <f t="shared" si="332"/>
        <v/>
      </c>
      <c r="BJ725" s="27" t="str">
        <f t="shared" si="333"/>
        <v/>
      </c>
      <c r="BK725" s="27" t="str">
        <f t="shared" si="334"/>
        <v/>
      </c>
      <c r="BL725" s="27" t="str">
        <f t="shared" si="335"/>
        <v/>
      </c>
      <c r="BM725" s="21" t="s">
        <v>3790</v>
      </c>
    </row>
    <row r="726" spans="1:65" ht="15">
      <c r="A726" s="25" t="str">
        <f>IFERROR(INDEX('Hun Demand'!W:W,MATCH(O726,'Hun Demand'!A:A,0)),"")</f>
        <v/>
      </c>
      <c r="B726" s="25" t="str">
        <f>IFERROR(INDEX('Hun Demand'!V:V,MATCH(O726,'Hun Demand'!A:A,0)),"")</f>
        <v/>
      </c>
      <c r="C726" s="25" t="str">
        <f>IFERROR(INDEX('Hun Demand'!U:U,MATCH(O726,'Hun Demand'!A:A,0)),"")</f>
        <v/>
      </c>
      <c r="D726" s="25" t="str">
        <f>IFERROR(INDEX('Hun Demand'!T:T,MATCH(O726,'Hun Demand'!A:A,0)),"")</f>
        <v/>
      </c>
      <c r="E726" s="25" t="str">
        <f>IFERROR(INDEX('Hun Demand'!S:S,MATCH(O726,'Hun Demand'!A:A,0)),"")</f>
        <v/>
      </c>
      <c r="F726" s="25" t="str">
        <f>IFERROR(INDEX('Hun Demand'!R:R,MATCH(O726,'Hun Demand'!A:A,0)),"")</f>
        <v/>
      </c>
      <c r="G726" s="25">
        <f>IFERROR(INDEX('Aub Demand'!W:W,MATCH(O726,'Aub Demand'!A:A,0)),"")</f>
        <v>0</v>
      </c>
      <c r="H726" s="25">
        <f>IFERROR(INDEX('Aub Demand'!V:V,MATCH(O726,'Aub Demand'!A:A,0)),"")</f>
        <v>0</v>
      </c>
      <c r="I726" s="25">
        <f>IFERROR(INDEX('Aub Demand'!U:U,MATCH(O726,'Aub Demand'!A:A,0)),"")</f>
        <v>0</v>
      </c>
      <c r="J726" s="25">
        <f>IFERROR(INDEX('Aub Demand'!T:T,MATCH(O726,'Aub Demand'!A:A,0)),"")</f>
        <v>0</v>
      </c>
      <c r="K726" s="25">
        <f>IFERROR(INDEX('Aub Demand'!S:S,MATCH(O726,'Aub Demand'!A:A,0)),"")</f>
        <v>0</v>
      </c>
      <c r="L726" s="25">
        <f>IFERROR(INDEX('Aub Demand'!R:R,MATCH(O726,'Aub Demand'!A:A,0)),"")</f>
        <v>0</v>
      </c>
      <c r="O726" s="27" t="s">
        <v>2291</v>
      </c>
      <c r="P726" s="27" t="str">
        <f>IFERROR(INDEX('Aub Demand'!B:B,MATCH($O726,'Aub Demand'!$A:$A,0)),"")</f>
        <v>ALUMINUM .025 X 62 X</v>
      </c>
      <c r="Q726" s="27">
        <f>IFERROR(INDEX('Aub Demand'!C:C,MATCH($O726,'Aub Demand'!$A:$A,0)),"")</f>
        <v>0</v>
      </c>
      <c r="R726" s="52">
        <f>IFERROR(IF(AR727=AR726,INDEX('Aub Demand'!K:K,MATCH($O726,'Aub Demand'!$A:$A,0))-IF(AN726="",0,AN726)+AP727,INDEX('Aub Demand'!K:K,MATCH($O726,'Aub Demand'!$A:$A,0))-IF(AN726="",0,AN726)),"")</f>
        <v>3</v>
      </c>
      <c r="S726" s="53" t="str">
        <f t="shared" si="308"/>
        <v>n/a</v>
      </c>
      <c r="T726" s="52" t="str">
        <f t="shared" si="309"/>
        <v/>
      </c>
      <c r="U726" s="52">
        <f>IFERROR(IF(AR727=AR726,INDEX('Aub Demand'!Q:Q,MATCH($O726,'Aub Demand'!$A:$A,0))-IF(AN726="",0,AN726)+AP727,INDEX('Aub Demand'!Q:Q,MATCH($O726,'Aub Demand'!$A:$A,0))-IF(AN726="",0,AN726)),"")</f>
        <v>3</v>
      </c>
      <c r="V726" s="53" t="str">
        <f t="shared" si="310"/>
        <v>n/a</v>
      </c>
      <c r="W726" s="52" t="str">
        <f t="shared" si="311"/>
        <v/>
      </c>
      <c r="X726" s="52">
        <f>IFERROR(IF(AND(AR727=AR726,AM726&lt;&gt;""),INDEX('Aub Demand'!Q:Q,MATCH($O726,'Aub Demand'!$A:$A,0))-IF(AN726="",0,AN726)+AP727+AD726+AL726,IF(AR727=AR726,INDEX('Aub Demand'!Q:Q,MATCH($O726,'Aub Demand'!$A:$A,0))-IF(AN726="",0,AN726)+AP727+AD726,IF(AM726&lt;&gt;"",INDEX('Aub Demand'!Q:Q,MATCH($O726,'Aub Demand'!$A:$A,0))-IF(AN726="",0,AN726)+AD726+AL726,INDEX('Aub Demand'!Q:Q,MATCH($O726,'Aub Demand'!$A:$A,0))-IF(AN726="",0,AN726)+AD726))),"")</f>
        <v>3</v>
      </c>
      <c r="Y726" s="53" t="str">
        <f t="shared" si="312"/>
        <v>n/a</v>
      </c>
      <c r="Z726" s="52">
        <f>IF(L726="","",INDEX('Aub Demand'!H:H,MATCH($O726,'Aub Demand'!$A:$A,0)))</f>
        <v>0</v>
      </c>
      <c r="AA726" s="52" t="str">
        <f t="shared" si="313"/>
        <v>-spike-</v>
      </c>
      <c r="AB726" s="52">
        <f>IFERROR(INDEX('Aub Demand'!L:L,MATCH($O726,'Aub Demand'!$A:$A,0)),"")</f>
        <v>0</v>
      </c>
      <c r="AC726" s="52">
        <f>IFERROR(IF(O726="","",SUMIFS('CPL Mats'!F:F,'CPL Mats'!Q:Q,AR726,'CPL Mats'!S:S,AS726)),"")</f>
        <v>0</v>
      </c>
      <c r="AF726" s="25" t="str">
        <f>IF(SUMIFS('Supp Consol'!S:S,'Supp Consol'!Y:Y,"Releasable",'Supp Consol'!A:A,O726)=0,"",SUMIFS('Supp Consol'!S:S,'Supp Consol'!Y:Y,"Releasable",'Supp Consol'!A:A,O726))</f>
        <v/>
      </c>
      <c r="AG726" s="25" t="str">
        <f>IFERROR(INDEX('Hun Demand'!Q:Q,MATCH(O726,'Hun Demand'!A:A,0)),"")</f>
        <v/>
      </c>
      <c r="AH726" s="25" t="str">
        <f>IFERROR(INDEX('Hun Demand'!H:H,MATCH($O726,'Hun Demand'!$A:$A,0)),"")</f>
        <v/>
      </c>
      <c r="AI726" s="25" t="str">
        <f>IF(SUMIFS('Supp Consol'!AA:AA,'Supp Consol'!Z:Z,"Expires this month",'Supp Consol'!A:A,O726)=0,"",SUMIFS('Supp Consol'!AA:AA,'Supp Consol'!Z:Z,"Expires this month",'Supp Consol'!A:A,O726))</f>
        <v/>
      </c>
      <c r="AJ726" s="25" t="str">
        <f>IF(SUMIFS('Supp Consol'!AA:AA,'Supp Consol'!Z:Z,"Expired Previous Months",'Supp Consol'!A:A,O726)=0,"",SUMIFS('Supp Consol'!AA:AA,'Supp Consol'!Z:Z,"Expired Previous Months",'Supp Consol'!A:A,O726))</f>
        <v/>
      </c>
      <c r="AK726" s="25" t="str">
        <f>IFERROR(INDEX('Hun Release Current'!B:B,MATCH(O726,'Hun Release Current'!A:A,0)),"")</f>
        <v/>
      </c>
      <c r="AL726" s="25" t="str">
        <f>IF(SUMIF('Prev Aub'!A:A,O726,'Prev Aub'!B:B)=0,"",SUMIF('Prev Aub'!A:A,O726,'Prev Aub'!B:B))</f>
        <v/>
      </c>
      <c r="AN726" s="25" t="s">
        <v>3790</v>
      </c>
      <c r="AO726" s="25" t="s">
        <v>3790</v>
      </c>
      <c r="AP726" s="25">
        <f t="shared" si="314"/>
        <v>0</v>
      </c>
      <c r="AQ726" s="151" t="str">
        <f>IF(SUMIFS('Supp Consol'!S:S,'Supp Consol'!A:A,O726,'Supp Consol'!I:I,"PENDING")=0,"",SUMIFS('Supp Consol'!S:S,'Supp Consol'!A:A,O726,'Supp Consol'!I:I,"PENDING"))</f>
        <v/>
      </c>
      <c r="AR726" s="27" t="str">
        <f t="shared" si="315"/>
        <v>M5192</v>
      </c>
      <c r="AS726" s="27" t="str">
        <f t="shared" si="316"/>
        <v>52</v>
      </c>
      <c r="AT726" s="27" t="str">
        <f t="shared" si="317"/>
        <v/>
      </c>
      <c r="AU726" s="27" t="str">
        <f t="shared" si="318"/>
        <v/>
      </c>
      <c r="AV726" s="27" t="str">
        <f t="shared" si="319"/>
        <v/>
      </c>
      <c r="AW726" s="27" t="str">
        <f t="shared" si="320"/>
        <v/>
      </c>
      <c r="AX726" s="27" t="str">
        <f t="shared" si="321"/>
        <v/>
      </c>
      <c r="AY726" s="27" t="str">
        <f t="shared" si="322"/>
        <v/>
      </c>
      <c r="AZ726" s="27" t="str">
        <f t="shared" si="323"/>
        <v/>
      </c>
      <c r="BA726" s="27" t="str">
        <f t="shared" si="324"/>
        <v/>
      </c>
      <c r="BB726" s="27" t="str">
        <f t="shared" si="325"/>
        <v/>
      </c>
      <c r="BC726" s="27" t="str">
        <f t="shared" si="326"/>
        <v/>
      </c>
      <c r="BD726" s="27" t="str">
        <f t="shared" si="327"/>
        <v/>
      </c>
      <c r="BE726" s="27" t="str">
        <f t="shared" si="328"/>
        <v/>
      </c>
      <c r="BF726" s="27" t="str">
        <f t="shared" si="329"/>
        <v/>
      </c>
      <c r="BG726" s="27" t="str">
        <f t="shared" si="330"/>
        <v/>
      </c>
      <c r="BH726" s="27" t="str">
        <f t="shared" si="331"/>
        <v/>
      </c>
      <c r="BI726" s="27" t="str">
        <f t="shared" si="332"/>
        <v/>
      </c>
      <c r="BJ726" s="27" t="str">
        <f t="shared" si="333"/>
        <v/>
      </c>
      <c r="BK726" s="27" t="str">
        <f t="shared" si="334"/>
        <v/>
      </c>
      <c r="BL726" s="27" t="str">
        <f t="shared" si="335"/>
        <v/>
      </c>
      <c r="BM726" s="21" t="s">
        <v>3790</v>
      </c>
    </row>
    <row r="727" spans="1:65" ht="15">
      <c r="A727" s="25" t="str">
        <f>IFERROR(INDEX('Hun Demand'!W:W,MATCH(O727,'Hun Demand'!A:A,0)),"")</f>
        <v/>
      </c>
      <c r="B727" s="25" t="str">
        <f>IFERROR(INDEX('Hun Demand'!V:V,MATCH(O727,'Hun Demand'!A:A,0)),"")</f>
        <v/>
      </c>
      <c r="C727" s="25" t="str">
        <f>IFERROR(INDEX('Hun Demand'!U:U,MATCH(O727,'Hun Demand'!A:A,0)),"")</f>
        <v/>
      </c>
      <c r="D727" s="25" t="str">
        <f>IFERROR(INDEX('Hun Demand'!T:T,MATCH(O727,'Hun Demand'!A:A,0)),"")</f>
        <v/>
      </c>
      <c r="E727" s="25" t="str">
        <f>IFERROR(INDEX('Hun Demand'!S:S,MATCH(O727,'Hun Demand'!A:A,0)),"")</f>
        <v/>
      </c>
      <c r="F727" s="25" t="str">
        <f>IFERROR(INDEX('Hun Demand'!R:R,MATCH(O727,'Hun Demand'!A:A,0)),"")</f>
        <v/>
      </c>
      <c r="G727" s="25">
        <f>IFERROR(INDEX('Aub Demand'!W:W,MATCH(O727,'Aub Demand'!A:A,0)),"")</f>
        <v>0</v>
      </c>
      <c r="H727" s="25">
        <f>IFERROR(INDEX('Aub Demand'!V:V,MATCH(O727,'Aub Demand'!A:A,0)),"")</f>
        <v>32</v>
      </c>
      <c r="I727" s="25">
        <f>IFERROR(INDEX('Aub Demand'!U:U,MATCH(O727,'Aub Demand'!A:A,0)),"")</f>
        <v>0</v>
      </c>
      <c r="J727" s="25">
        <f>IFERROR(INDEX('Aub Demand'!T:T,MATCH(O727,'Aub Demand'!A:A,0)),"")</f>
        <v>0</v>
      </c>
      <c r="K727" s="25">
        <f>IFERROR(INDEX('Aub Demand'!S:S,MATCH(O727,'Aub Demand'!A:A,0)),"")</f>
        <v>36</v>
      </c>
      <c r="L727" s="25">
        <f>IFERROR(INDEX('Aub Demand'!R:R,MATCH(O727,'Aub Demand'!A:A,0)),"")</f>
        <v>0</v>
      </c>
      <c r="O727" s="27" t="s">
        <v>2292</v>
      </c>
      <c r="P727" s="27" t="str">
        <f>IFERROR(INDEX('Aub Demand'!B:B,MATCH($O727,'Aub Demand'!$A:$A,0)),"")</f>
        <v>ALUMINUM .025 X 62 X</v>
      </c>
      <c r="Q727" s="27">
        <f>IFERROR(INDEX('Aub Demand'!C:C,MATCH($O727,'Aub Demand'!$A:$A,0)),"")</f>
        <v>0</v>
      </c>
      <c r="R727" s="52">
        <f>IFERROR(IF(AR728=AR727,INDEX('Aub Demand'!K:K,MATCH($O727,'Aub Demand'!$A:$A,0))-IF(AN727="",0,AN727)+AP728,INDEX('Aub Demand'!K:K,MATCH($O727,'Aub Demand'!$A:$A,0))-IF(AN727="",0,AN727)),"")</f>
        <v>482</v>
      </c>
      <c r="S727" s="53">
        <f t="shared" si="308"/>
        <v>172.1</v>
      </c>
      <c r="T727" s="52" t="str">
        <f t="shared" si="309"/>
        <v/>
      </c>
      <c r="U727" s="52">
        <f>IFERROR(IF(AR728=AR727,INDEX('Aub Demand'!Q:Q,MATCH($O727,'Aub Demand'!$A:$A,0))-IF(AN727="",0,AN727)+AP728,INDEX('Aub Demand'!Q:Q,MATCH($O727,'Aub Demand'!$A:$A,0))-IF(AN727="",0,AN727)),"")</f>
        <v>482</v>
      </c>
      <c r="V727" s="53">
        <f t="shared" si="310"/>
        <v>172.1</v>
      </c>
      <c r="W727" s="52" t="str">
        <f t="shared" si="311"/>
        <v/>
      </c>
      <c r="X727" s="52">
        <f>IFERROR(IF(AND(AR728=AR727,AM727&lt;&gt;""),INDEX('Aub Demand'!Q:Q,MATCH($O727,'Aub Demand'!$A:$A,0))-IF(AN727="",0,AN727)+AP728+AD727+AL727,IF(AR728=AR727,INDEX('Aub Demand'!Q:Q,MATCH($O727,'Aub Demand'!$A:$A,0))-IF(AN727="",0,AN727)+AP728+AD727,IF(AM727&lt;&gt;"",INDEX('Aub Demand'!Q:Q,MATCH($O727,'Aub Demand'!$A:$A,0))-IF(AN727="",0,AN727)+AD727+AL727,INDEX('Aub Demand'!Q:Q,MATCH($O727,'Aub Demand'!$A:$A,0))-IF(AN727="",0,AN727)+AD727))),"")</f>
        <v>482</v>
      </c>
      <c r="Y727" s="53">
        <f t="shared" si="312"/>
        <v>172.1</v>
      </c>
      <c r="Z727" s="52">
        <f>IF(L727="","",INDEX('Aub Demand'!H:H,MATCH($O727,'Aub Demand'!$A:$A,0)))</f>
        <v>12</v>
      </c>
      <c r="AA727" s="52" t="str">
        <f t="shared" si="313"/>
        <v>-spike-</v>
      </c>
      <c r="AB727" s="52">
        <f>IFERROR(INDEX('Aub Demand'!L:L,MATCH($O727,'Aub Demand'!$A:$A,0)),"")</f>
        <v>10</v>
      </c>
      <c r="AC727" s="52">
        <f>IFERROR(IF(O727="","",SUMIFS('CPL Mats'!F:F,'CPL Mats'!Q:Q,AR727,'CPL Mats'!S:S,AS727)),"")</f>
        <v>0</v>
      </c>
      <c r="AF727" s="25" t="str">
        <f>IF(SUMIFS('Supp Consol'!S:S,'Supp Consol'!Y:Y,"Releasable",'Supp Consol'!A:A,O727)=0,"",SUMIFS('Supp Consol'!S:S,'Supp Consol'!Y:Y,"Releasable",'Supp Consol'!A:A,O727))</f>
        <v/>
      </c>
      <c r="AG727" s="25" t="str">
        <f>IFERROR(INDEX('Hun Demand'!Q:Q,MATCH(O727,'Hun Demand'!A:A,0)),"")</f>
        <v/>
      </c>
      <c r="AH727" s="25" t="str">
        <f>IFERROR(INDEX('Hun Demand'!H:H,MATCH($O727,'Hun Demand'!$A:$A,0)),"")</f>
        <v/>
      </c>
      <c r="AI727" s="25" t="str">
        <f>IF(SUMIFS('Supp Consol'!AA:AA,'Supp Consol'!Z:Z,"Expires this month",'Supp Consol'!A:A,O727)=0,"",SUMIFS('Supp Consol'!AA:AA,'Supp Consol'!Z:Z,"Expires this month",'Supp Consol'!A:A,O727))</f>
        <v/>
      </c>
      <c r="AJ727" s="25" t="str">
        <f>IF(SUMIFS('Supp Consol'!AA:AA,'Supp Consol'!Z:Z,"Expired Previous Months",'Supp Consol'!A:A,O727)=0,"",SUMIFS('Supp Consol'!AA:AA,'Supp Consol'!Z:Z,"Expired Previous Months",'Supp Consol'!A:A,O727))</f>
        <v/>
      </c>
      <c r="AK727" s="25" t="str">
        <f>IFERROR(INDEX('Hun Release Current'!B:B,MATCH(O727,'Hun Release Current'!A:A,0)),"")</f>
        <v/>
      </c>
      <c r="AL727" s="25" t="str">
        <f>IF(SUMIF('Prev Aub'!A:A,O727,'Prev Aub'!B:B)=0,"",SUMIF('Prev Aub'!A:A,O727,'Prev Aub'!B:B))</f>
        <v/>
      </c>
      <c r="AN727" s="25" t="s">
        <v>3790</v>
      </c>
      <c r="AO727" s="25" t="s">
        <v>3790</v>
      </c>
      <c r="AP727" s="25">
        <f t="shared" si="314"/>
        <v>0</v>
      </c>
      <c r="AQ727" s="151" t="str">
        <f>IF(SUMIFS('Supp Consol'!S:S,'Supp Consol'!A:A,O727,'Supp Consol'!I:I,"PENDING")=0,"",SUMIFS('Supp Consol'!S:S,'Supp Consol'!A:A,O727,'Supp Consol'!I:I,"PENDING"))</f>
        <v/>
      </c>
      <c r="AR727" s="27" t="str">
        <f t="shared" si="315"/>
        <v>M5192</v>
      </c>
      <c r="AS727" s="27" t="str">
        <f t="shared" si="316"/>
        <v>58</v>
      </c>
      <c r="AT727" s="27" t="str">
        <f t="shared" si="317"/>
        <v/>
      </c>
      <c r="AU727" s="27" t="str">
        <f t="shared" si="318"/>
        <v/>
      </c>
      <c r="AV727" s="27" t="str">
        <f t="shared" si="319"/>
        <v/>
      </c>
      <c r="AW727" s="27" t="str">
        <f t="shared" si="320"/>
        <v/>
      </c>
      <c r="AX727" s="27" t="str">
        <f t="shared" si="321"/>
        <v/>
      </c>
      <c r="AY727" s="27" t="str">
        <f t="shared" si="322"/>
        <v/>
      </c>
      <c r="AZ727" s="27" t="str">
        <f t="shared" si="323"/>
        <v/>
      </c>
      <c r="BA727" s="27" t="str">
        <f t="shared" si="324"/>
        <v/>
      </c>
      <c r="BB727" s="27" t="str">
        <f t="shared" si="325"/>
        <v/>
      </c>
      <c r="BC727" s="27" t="str">
        <f t="shared" si="326"/>
        <v/>
      </c>
      <c r="BD727" s="27" t="str">
        <f t="shared" si="327"/>
        <v/>
      </c>
      <c r="BE727" s="27" t="str">
        <f t="shared" si="328"/>
        <v/>
      </c>
      <c r="BF727" s="27" t="str">
        <f t="shared" si="329"/>
        <v/>
      </c>
      <c r="BG727" s="27" t="str">
        <f t="shared" si="330"/>
        <v/>
      </c>
      <c r="BH727" s="27" t="str">
        <f t="shared" si="331"/>
        <v/>
      </c>
      <c r="BI727" s="27" t="str">
        <f t="shared" si="332"/>
        <v/>
      </c>
      <c r="BJ727" s="27" t="str">
        <f t="shared" si="333"/>
        <v/>
      </c>
      <c r="BK727" s="27" t="str">
        <f t="shared" si="334"/>
        <v/>
      </c>
      <c r="BL727" s="27" t="str">
        <f t="shared" si="335"/>
        <v/>
      </c>
      <c r="BM727" s="21" t="s">
        <v>3790</v>
      </c>
    </row>
    <row r="728" spans="1:65" ht="15">
      <c r="A728" s="25" t="str">
        <f>IFERROR(INDEX('Hun Demand'!W:W,MATCH(O728,'Hun Demand'!A:A,0)),"")</f>
        <v/>
      </c>
      <c r="B728" s="25" t="str">
        <f>IFERROR(INDEX('Hun Demand'!V:V,MATCH(O728,'Hun Demand'!A:A,0)),"")</f>
        <v/>
      </c>
      <c r="C728" s="25" t="str">
        <f>IFERROR(INDEX('Hun Demand'!U:U,MATCH(O728,'Hun Demand'!A:A,0)),"")</f>
        <v/>
      </c>
      <c r="D728" s="25" t="str">
        <f>IFERROR(INDEX('Hun Demand'!T:T,MATCH(O728,'Hun Demand'!A:A,0)),"")</f>
        <v/>
      </c>
      <c r="E728" s="25" t="str">
        <f>IFERROR(INDEX('Hun Demand'!S:S,MATCH(O728,'Hun Demand'!A:A,0)),"")</f>
        <v/>
      </c>
      <c r="F728" s="25" t="str">
        <f>IFERROR(INDEX('Hun Demand'!R:R,MATCH(O728,'Hun Demand'!A:A,0)),"")</f>
        <v/>
      </c>
      <c r="G728" s="25">
        <f>IFERROR(INDEX('Aub Demand'!W:W,MATCH(O728,'Aub Demand'!A:A,0)),"")</f>
        <v>0</v>
      </c>
      <c r="H728" s="25">
        <f>IFERROR(INDEX('Aub Demand'!V:V,MATCH(O728,'Aub Demand'!A:A,0)),"")</f>
        <v>0</v>
      </c>
      <c r="I728" s="25">
        <f>IFERROR(INDEX('Aub Demand'!U:U,MATCH(O728,'Aub Demand'!A:A,0)),"")</f>
        <v>0</v>
      </c>
      <c r="J728" s="25">
        <f>IFERROR(INDEX('Aub Demand'!T:T,MATCH(O728,'Aub Demand'!A:A,0)),"")</f>
        <v>0</v>
      </c>
      <c r="K728" s="25">
        <f>IFERROR(INDEX('Aub Demand'!S:S,MATCH(O728,'Aub Demand'!A:A,0)),"")</f>
        <v>0</v>
      </c>
      <c r="L728" s="25">
        <f>IFERROR(INDEX('Aub Demand'!R:R,MATCH(O728,'Aub Demand'!A:A,0)),"")</f>
        <v>0</v>
      </c>
      <c r="O728" s="27" t="s">
        <v>2293</v>
      </c>
      <c r="P728" s="27" t="str">
        <f>IFERROR(INDEX('Aub Demand'!B:B,MATCH($O728,'Aub Demand'!$A:$A,0)),"")</f>
        <v>ALUMINUM .050 5052H3</v>
      </c>
      <c r="Q728" s="27">
        <f>IFERROR(INDEX('Aub Demand'!C:C,MATCH($O728,'Aub Demand'!$A:$A,0)),"")</f>
        <v>0</v>
      </c>
      <c r="R728" s="52">
        <f>IFERROR(IF(AR729=AR728,INDEX('Aub Demand'!K:K,MATCH($O728,'Aub Demand'!$A:$A,0))-IF(AN728="",0,AN728)+AP729,INDEX('Aub Demand'!K:K,MATCH($O728,'Aub Demand'!$A:$A,0))-IF(AN728="",0,AN728)),"")</f>
        <v>8</v>
      </c>
      <c r="S728" s="53" t="str">
        <f t="shared" si="308"/>
        <v>n/a</v>
      </c>
      <c r="T728" s="52" t="str">
        <f t="shared" si="309"/>
        <v/>
      </c>
      <c r="U728" s="52">
        <f>IFERROR(IF(AR729=AR728,INDEX('Aub Demand'!Q:Q,MATCH($O728,'Aub Demand'!$A:$A,0))-IF(AN728="",0,AN728)+AP729,INDEX('Aub Demand'!Q:Q,MATCH($O728,'Aub Demand'!$A:$A,0))-IF(AN728="",0,AN728)),"")</f>
        <v>8</v>
      </c>
      <c r="V728" s="53" t="str">
        <f t="shared" si="310"/>
        <v>n/a</v>
      </c>
      <c r="W728" s="52" t="str">
        <f t="shared" si="311"/>
        <v/>
      </c>
      <c r="X728" s="52">
        <f>IFERROR(IF(AND(AR729=AR728,AM728&lt;&gt;""),INDEX('Aub Demand'!Q:Q,MATCH($O728,'Aub Demand'!$A:$A,0))-IF(AN728="",0,AN728)+AP729+AD728+AL728,IF(AR729=AR728,INDEX('Aub Demand'!Q:Q,MATCH($O728,'Aub Demand'!$A:$A,0))-IF(AN728="",0,AN728)+AP729+AD728,IF(AM728&lt;&gt;"",INDEX('Aub Demand'!Q:Q,MATCH($O728,'Aub Demand'!$A:$A,0))-IF(AN728="",0,AN728)+AD728+AL728,INDEX('Aub Demand'!Q:Q,MATCH($O728,'Aub Demand'!$A:$A,0))-IF(AN728="",0,AN728)+AD728))),"")</f>
        <v>8</v>
      </c>
      <c r="Y728" s="53" t="str">
        <f t="shared" si="312"/>
        <v>n/a</v>
      </c>
      <c r="Z728" s="52">
        <f>IF(L728="","",INDEX('Aub Demand'!H:H,MATCH($O728,'Aub Demand'!$A:$A,0)))</f>
        <v>0</v>
      </c>
      <c r="AA728" s="52" t="str">
        <f t="shared" si="313"/>
        <v>-spike-</v>
      </c>
      <c r="AB728" s="52">
        <f>IFERROR(INDEX('Aub Demand'!L:L,MATCH($O728,'Aub Demand'!$A:$A,0)),"")</f>
        <v>0</v>
      </c>
      <c r="AC728" s="52">
        <f>IFERROR(IF(O728="","",SUMIFS('CPL Mats'!F:F,'CPL Mats'!Q:Q,AR728,'CPL Mats'!S:S,AS728)),"")</f>
        <v>0</v>
      </c>
      <c r="AF728" s="25" t="str">
        <f>IF(SUMIFS('Supp Consol'!S:S,'Supp Consol'!Y:Y,"Releasable",'Supp Consol'!A:A,O728)=0,"",SUMIFS('Supp Consol'!S:S,'Supp Consol'!Y:Y,"Releasable",'Supp Consol'!A:A,O728))</f>
        <v/>
      </c>
      <c r="AG728" s="25" t="str">
        <f>IFERROR(INDEX('Hun Demand'!Q:Q,MATCH(O728,'Hun Demand'!A:A,0)),"")</f>
        <v/>
      </c>
      <c r="AH728" s="25" t="str">
        <f>IFERROR(INDEX('Hun Demand'!H:H,MATCH($O728,'Hun Demand'!$A:$A,0)),"")</f>
        <v/>
      </c>
      <c r="AI728" s="25" t="str">
        <f>IF(SUMIFS('Supp Consol'!AA:AA,'Supp Consol'!Z:Z,"Expires this month",'Supp Consol'!A:A,O728)=0,"",SUMIFS('Supp Consol'!AA:AA,'Supp Consol'!Z:Z,"Expires this month",'Supp Consol'!A:A,O728))</f>
        <v/>
      </c>
      <c r="AJ728" s="25" t="str">
        <f>IF(SUMIFS('Supp Consol'!AA:AA,'Supp Consol'!Z:Z,"Expired Previous Months",'Supp Consol'!A:A,O728)=0,"",SUMIFS('Supp Consol'!AA:AA,'Supp Consol'!Z:Z,"Expired Previous Months",'Supp Consol'!A:A,O728))</f>
        <v/>
      </c>
      <c r="AK728" s="25" t="str">
        <f>IFERROR(INDEX('Hun Release Current'!B:B,MATCH(O728,'Hun Release Current'!A:A,0)),"")</f>
        <v/>
      </c>
      <c r="AL728" s="25" t="str">
        <f>IF(SUMIF('Prev Aub'!A:A,O728,'Prev Aub'!B:B)=0,"",SUMIF('Prev Aub'!A:A,O728,'Prev Aub'!B:B))</f>
        <v/>
      </c>
      <c r="AN728" s="25" t="s">
        <v>3790</v>
      </c>
      <c r="AO728" s="25" t="s">
        <v>3790</v>
      </c>
      <c r="AP728" s="25">
        <f t="shared" si="314"/>
        <v>0</v>
      </c>
      <c r="AQ728" s="151" t="str">
        <f>IF(SUMIFS('Supp Consol'!S:S,'Supp Consol'!A:A,O728,'Supp Consol'!I:I,"PENDING")=0,"",SUMIFS('Supp Consol'!S:S,'Supp Consol'!A:A,O728,'Supp Consol'!I:I,"PENDING"))</f>
        <v/>
      </c>
      <c r="AR728" s="27" t="str">
        <f t="shared" si="315"/>
        <v>M5196</v>
      </c>
      <c r="AS728" s="27" t="str">
        <f t="shared" si="316"/>
        <v>30</v>
      </c>
      <c r="AT728" s="27" t="str">
        <f t="shared" si="317"/>
        <v/>
      </c>
      <c r="AU728" s="27" t="str">
        <f t="shared" si="318"/>
        <v/>
      </c>
      <c r="AV728" s="27" t="str">
        <f t="shared" si="319"/>
        <v/>
      </c>
      <c r="AW728" s="27" t="str">
        <f t="shared" si="320"/>
        <v/>
      </c>
      <c r="AX728" s="27" t="str">
        <f t="shared" si="321"/>
        <v/>
      </c>
      <c r="AY728" s="27" t="str">
        <f t="shared" si="322"/>
        <v/>
      </c>
      <c r="AZ728" s="27" t="str">
        <f t="shared" si="323"/>
        <v/>
      </c>
      <c r="BA728" s="27" t="str">
        <f t="shared" si="324"/>
        <v/>
      </c>
      <c r="BB728" s="27" t="str">
        <f t="shared" si="325"/>
        <v/>
      </c>
      <c r="BC728" s="27" t="str">
        <f t="shared" si="326"/>
        <v/>
      </c>
      <c r="BD728" s="27" t="str">
        <f t="shared" si="327"/>
        <v/>
      </c>
      <c r="BE728" s="27" t="str">
        <f t="shared" si="328"/>
        <v/>
      </c>
      <c r="BF728" s="27" t="str">
        <f t="shared" si="329"/>
        <v/>
      </c>
      <c r="BG728" s="27" t="str">
        <f t="shared" si="330"/>
        <v/>
      </c>
      <c r="BH728" s="27" t="str">
        <f t="shared" si="331"/>
        <v/>
      </c>
      <c r="BI728" s="27" t="str">
        <f t="shared" si="332"/>
        <v/>
      </c>
      <c r="BJ728" s="27" t="str">
        <f t="shared" si="333"/>
        <v/>
      </c>
      <c r="BK728" s="27" t="str">
        <f t="shared" si="334"/>
        <v/>
      </c>
      <c r="BL728" s="27" t="str">
        <f t="shared" si="335"/>
        <v/>
      </c>
      <c r="BM728" s="21" t="s">
        <v>3790</v>
      </c>
    </row>
    <row r="729" spans="1:65" ht="15">
      <c r="A729" s="25" t="str">
        <f>IFERROR(INDEX('Hun Demand'!W:W,MATCH(O729,'Hun Demand'!A:A,0)),"")</f>
        <v/>
      </c>
      <c r="B729" s="25" t="str">
        <f>IFERROR(INDEX('Hun Demand'!V:V,MATCH(O729,'Hun Demand'!A:A,0)),"")</f>
        <v/>
      </c>
      <c r="C729" s="25" t="str">
        <f>IFERROR(INDEX('Hun Demand'!U:U,MATCH(O729,'Hun Demand'!A:A,0)),"")</f>
        <v/>
      </c>
      <c r="D729" s="25" t="str">
        <f>IFERROR(INDEX('Hun Demand'!T:T,MATCH(O729,'Hun Demand'!A:A,0)),"")</f>
        <v/>
      </c>
      <c r="E729" s="25" t="str">
        <f>IFERROR(INDEX('Hun Demand'!S:S,MATCH(O729,'Hun Demand'!A:A,0)),"")</f>
        <v/>
      </c>
      <c r="F729" s="25" t="str">
        <f>IFERROR(INDEX('Hun Demand'!R:R,MATCH(O729,'Hun Demand'!A:A,0)),"")</f>
        <v/>
      </c>
      <c r="G729" s="25">
        <f>IFERROR(INDEX('Aub Demand'!W:W,MATCH(O729,'Aub Demand'!A:A,0)),"")</f>
        <v>0</v>
      </c>
      <c r="H729" s="25">
        <f>IFERROR(INDEX('Aub Demand'!V:V,MATCH(O729,'Aub Demand'!A:A,0)),"")</f>
        <v>0</v>
      </c>
      <c r="I729" s="25">
        <f>IFERROR(INDEX('Aub Demand'!U:U,MATCH(O729,'Aub Demand'!A:A,0)),"")</f>
        <v>0</v>
      </c>
      <c r="J729" s="25">
        <f>IFERROR(INDEX('Aub Demand'!T:T,MATCH(O729,'Aub Demand'!A:A,0)),"")</f>
        <v>0</v>
      </c>
      <c r="K729" s="25">
        <f>IFERROR(INDEX('Aub Demand'!S:S,MATCH(O729,'Aub Demand'!A:A,0)),"")</f>
        <v>0</v>
      </c>
      <c r="L729" s="25">
        <f>IFERROR(INDEX('Aub Demand'!R:R,MATCH(O729,'Aub Demand'!A:A,0)),"")</f>
        <v>0</v>
      </c>
      <c r="O729" s="27" t="s">
        <v>2295</v>
      </c>
      <c r="P729" s="27" t="str">
        <f>IFERROR(INDEX('Aub Demand'!B:B,MATCH($O729,'Aub Demand'!$A:$A,0)),"")</f>
        <v>ALUMINUM .050 5052H3</v>
      </c>
      <c r="Q729" s="27">
        <f>IFERROR(INDEX('Aub Demand'!C:C,MATCH($O729,'Aub Demand'!$A:$A,0)),"")</f>
        <v>0</v>
      </c>
      <c r="R729" s="52">
        <f>IFERROR(IF(AR730=AR729,INDEX('Aub Demand'!K:K,MATCH($O729,'Aub Demand'!$A:$A,0))-IF(AN729="",0,AN729)+AP730,INDEX('Aub Demand'!K:K,MATCH($O729,'Aub Demand'!$A:$A,0))-IF(AN729="",0,AN729)),"")</f>
        <v>4</v>
      </c>
      <c r="S729" s="53" t="str">
        <f t="shared" si="308"/>
        <v>n/a</v>
      </c>
      <c r="T729" s="52" t="str">
        <f t="shared" si="309"/>
        <v/>
      </c>
      <c r="U729" s="52">
        <f>IFERROR(IF(AR730=AR729,INDEX('Aub Demand'!Q:Q,MATCH($O729,'Aub Demand'!$A:$A,0))-IF(AN729="",0,AN729)+AP730,INDEX('Aub Demand'!Q:Q,MATCH($O729,'Aub Demand'!$A:$A,0))-IF(AN729="",0,AN729)),"")</f>
        <v>4</v>
      </c>
      <c r="V729" s="53" t="str">
        <f t="shared" si="310"/>
        <v>n/a</v>
      </c>
      <c r="W729" s="52" t="str">
        <f t="shared" si="311"/>
        <v/>
      </c>
      <c r="X729" s="52">
        <f>IFERROR(IF(AND(AR730=AR729,AM729&lt;&gt;""),INDEX('Aub Demand'!Q:Q,MATCH($O729,'Aub Demand'!$A:$A,0))-IF(AN729="",0,AN729)+AP730+AD729+AL729,IF(AR730=AR729,INDEX('Aub Demand'!Q:Q,MATCH($O729,'Aub Demand'!$A:$A,0))-IF(AN729="",0,AN729)+AP730+AD729,IF(AM729&lt;&gt;"",INDEX('Aub Demand'!Q:Q,MATCH($O729,'Aub Demand'!$A:$A,0))-IF(AN729="",0,AN729)+AD729+AL729,INDEX('Aub Demand'!Q:Q,MATCH($O729,'Aub Demand'!$A:$A,0))-IF(AN729="",0,AN729)+AD729))),"")</f>
        <v>4</v>
      </c>
      <c r="Y729" s="53" t="str">
        <f t="shared" si="312"/>
        <v>n/a</v>
      </c>
      <c r="Z729" s="52">
        <f>IF(L729="","",INDEX('Aub Demand'!H:H,MATCH($O729,'Aub Demand'!$A:$A,0)))</f>
        <v>0</v>
      </c>
      <c r="AA729" s="52" t="str">
        <f t="shared" si="313"/>
        <v>-spike-</v>
      </c>
      <c r="AB729" s="52">
        <f>IFERROR(INDEX('Aub Demand'!L:L,MATCH($O729,'Aub Demand'!$A:$A,0)),"")</f>
        <v>0</v>
      </c>
      <c r="AC729" s="52">
        <f>IFERROR(IF(O729="","",SUMIFS('CPL Mats'!F:F,'CPL Mats'!Q:Q,AR729,'CPL Mats'!S:S,AS729)),"")</f>
        <v>0</v>
      </c>
      <c r="AF729" s="25" t="str">
        <f>IF(SUMIFS('Supp Consol'!S:S,'Supp Consol'!Y:Y,"Releasable",'Supp Consol'!A:A,O729)=0,"",SUMIFS('Supp Consol'!S:S,'Supp Consol'!Y:Y,"Releasable",'Supp Consol'!A:A,O729))</f>
        <v/>
      </c>
      <c r="AG729" s="25" t="str">
        <f>IFERROR(INDEX('Hun Demand'!Q:Q,MATCH(O729,'Hun Demand'!A:A,0)),"")</f>
        <v/>
      </c>
      <c r="AH729" s="25" t="str">
        <f>IFERROR(INDEX('Hun Demand'!H:H,MATCH($O729,'Hun Demand'!$A:$A,0)),"")</f>
        <v/>
      </c>
      <c r="AI729" s="25" t="str">
        <f>IF(SUMIFS('Supp Consol'!AA:AA,'Supp Consol'!Z:Z,"Expires this month",'Supp Consol'!A:A,O729)=0,"",SUMIFS('Supp Consol'!AA:AA,'Supp Consol'!Z:Z,"Expires this month",'Supp Consol'!A:A,O729))</f>
        <v/>
      </c>
      <c r="AJ729" s="25" t="str">
        <f>IF(SUMIFS('Supp Consol'!AA:AA,'Supp Consol'!Z:Z,"Expired Previous Months",'Supp Consol'!A:A,O729)=0,"",SUMIFS('Supp Consol'!AA:AA,'Supp Consol'!Z:Z,"Expired Previous Months",'Supp Consol'!A:A,O729))</f>
        <v/>
      </c>
      <c r="AK729" s="25" t="str">
        <f>IFERROR(INDEX('Hun Release Current'!B:B,MATCH(O729,'Hun Release Current'!A:A,0)),"")</f>
        <v/>
      </c>
      <c r="AL729" s="25" t="str">
        <f>IF(SUMIF('Prev Aub'!A:A,O729,'Prev Aub'!B:B)=0,"",SUMIF('Prev Aub'!A:A,O729,'Prev Aub'!B:B))</f>
        <v/>
      </c>
      <c r="AN729" s="25" t="s">
        <v>3790</v>
      </c>
      <c r="AO729" s="25" t="s">
        <v>3790</v>
      </c>
      <c r="AP729" s="25">
        <f t="shared" si="314"/>
        <v>0</v>
      </c>
      <c r="AQ729" s="151" t="str">
        <f>IF(SUMIFS('Supp Consol'!S:S,'Supp Consol'!A:A,O729,'Supp Consol'!I:I,"PENDING")=0,"",SUMIFS('Supp Consol'!S:S,'Supp Consol'!A:A,O729,'Supp Consol'!I:I,"PENDING"))</f>
        <v/>
      </c>
      <c r="AR729" s="27" t="str">
        <f t="shared" si="315"/>
        <v>M5196</v>
      </c>
      <c r="AS729" s="27" t="str">
        <f t="shared" si="316"/>
        <v>32</v>
      </c>
      <c r="AT729" s="27" t="str">
        <f t="shared" si="317"/>
        <v/>
      </c>
      <c r="AU729" s="27" t="str">
        <f t="shared" si="318"/>
        <v/>
      </c>
      <c r="AV729" s="27" t="str">
        <f t="shared" si="319"/>
        <v/>
      </c>
      <c r="AW729" s="27" t="str">
        <f t="shared" si="320"/>
        <v/>
      </c>
      <c r="AX729" s="27" t="str">
        <f t="shared" si="321"/>
        <v/>
      </c>
      <c r="AY729" s="27" t="str">
        <f t="shared" si="322"/>
        <v/>
      </c>
      <c r="AZ729" s="27" t="str">
        <f t="shared" si="323"/>
        <v/>
      </c>
      <c r="BA729" s="27" t="str">
        <f t="shared" si="324"/>
        <v/>
      </c>
      <c r="BB729" s="27" t="str">
        <f t="shared" si="325"/>
        <v/>
      </c>
      <c r="BC729" s="27" t="str">
        <f t="shared" si="326"/>
        <v/>
      </c>
      <c r="BD729" s="27" t="str">
        <f t="shared" si="327"/>
        <v/>
      </c>
      <c r="BE729" s="27" t="str">
        <f t="shared" si="328"/>
        <v/>
      </c>
      <c r="BF729" s="27" t="str">
        <f t="shared" si="329"/>
        <v/>
      </c>
      <c r="BG729" s="27" t="str">
        <f t="shared" si="330"/>
        <v/>
      </c>
      <c r="BH729" s="27" t="str">
        <f t="shared" si="331"/>
        <v/>
      </c>
      <c r="BI729" s="27" t="str">
        <f t="shared" si="332"/>
        <v/>
      </c>
      <c r="BJ729" s="27" t="str">
        <f t="shared" si="333"/>
        <v/>
      </c>
      <c r="BK729" s="27" t="str">
        <f t="shared" si="334"/>
        <v/>
      </c>
      <c r="BL729" s="27" t="str">
        <f t="shared" si="335"/>
        <v/>
      </c>
      <c r="BM729" s="21" t="s">
        <v>3790</v>
      </c>
    </row>
    <row r="730" spans="1:65" ht="15">
      <c r="A730" s="25" t="str">
        <f>IFERROR(INDEX('Hun Demand'!W:W,MATCH(O730,'Hun Demand'!A:A,0)),"")</f>
        <v/>
      </c>
      <c r="B730" s="25" t="str">
        <f>IFERROR(INDEX('Hun Demand'!V:V,MATCH(O730,'Hun Demand'!A:A,0)),"")</f>
        <v/>
      </c>
      <c r="C730" s="25" t="str">
        <f>IFERROR(INDEX('Hun Demand'!U:U,MATCH(O730,'Hun Demand'!A:A,0)),"")</f>
        <v/>
      </c>
      <c r="D730" s="25" t="str">
        <f>IFERROR(INDEX('Hun Demand'!T:T,MATCH(O730,'Hun Demand'!A:A,0)),"")</f>
        <v/>
      </c>
      <c r="E730" s="25" t="str">
        <f>IFERROR(INDEX('Hun Demand'!S:S,MATCH(O730,'Hun Demand'!A:A,0)),"")</f>
        <v/>
      </c>
      <c r="F730" s="25" t="str">
        <f>IFERROR(INDEX('Hun Demand'!R:R,MATCH(O730,'Hun Demand'!A:A,0)),"")</f>
        <v/>
      </c>
      <c r="G730" s="25">
        <f>IFERROR(INDEX('Aub Demand'!W:W,MATCH(O730,'Aub Demand'!A:A,0)),"")</f>
        <v>0</v>
      </c>
      <c r="H730" s="25">
        <f>IFERROR(INDEX('Aub Demand'!V:V,MATCH(O730,'Aub Demand'!A:A,0)),"")</f>
        <v>0</v>
      </c>
      <c r="I730" s="25">
        <f>IFERROR(INDEX('Aub Demand'!U:U,MATCH(O730,'Aub Demand'!A:A,0)),"")</f>
        <v>0</v>
      </c>
      <c r="J730" s="25">
        <f>IFERROR(INDEX('Aub Demand'!T:T,MATCH(O730,'Aub Demand'!A:A,0)),"")</f>
        <v>0</v>
      </c>
      <c r="K730" s="25">
        <f>IFERROR(INDEX('Aub Demand'!S:S,MATCH(O730,'Aub Demand'!A:A,0)),"")</f>
        <v>0</v>
      </c>
      <c r="L730" s="25">
        <f>IFERROR(INDEX('Aub Demand'!R:R,MATCH(O730,'Aub Demand'!A:A,0)),"")</f>
        <v>0</v>
      </c>
      <c r="O730" s="27" t="s">
        <v>2296</v>
      </c>
      <c r="P730" s="27" t="str">
        <f>IFERROR(INDEX('Aub Demand'!B:B,MATCH($O730,'Aub Demand'!$A:$A,0)),"")</f>
        <v>ALUMINUM .050 5052H3</v>
      </c>
      <c r="Q730" s="27">
        <f>IFERROR(INDEX('Aub Demand'!C:C,MATCH($O730,'Aub Demand'!$A:$A,0)),"")</f>
        <v>0</v>
      </c>
      <c r="R730" s="52">
        <f>IFERROR(IF(AR731=AR730,INDEX('Aub Demand'!K:K,MATCH($O730,'Aub Demand'!$A:$A,0))-IF(AN730="",0,AN730)+AP731,INDEX('Aub Demand'!K:K,MATCH($O730,'Aub Demand'!$A:$A,0))-IF(AN730="",0,AN730)),"")</f>
        <v>45</v>
      </c>
      <c r="S730" s="53" t="str">
        <f t="shared" si="308"/>
        <v>n/a</v>
      </c>
      <c r="T730" s="52" t="str">
        <f t="shared" si="309"/>
        <v/>
      </c>
      <c r="U730" s="52">
        <f>IFERROR(IF(AR731=AR730,INDEX('Aub Demand'!Q:Q,MATCH($O730,'Aub Demand'!$A:$A,0))-IF(AN730="",0,AN730)+AP731,INDEX('Aub Demand'!Q:Q,MATCH($O730,'Aub Demand'!$A:$A,0))-IF(AN730="",0,AN730)),"")</f>
        <v>45</v>
      </c>
      <c r="V730" s="53" t="str">
        <f t="shared" si="310"/>
        <v>n/a</v>
      </c>
      <c r="W730" s="52" t="str">
        <f t="shared" si="311"/>
        <v/>
      </c>
      <c r="X730" s="52">
        <f>IFERROR(IF(AND(AR731=AR730,AM730&lt;&gt;""),INDEX('Aub Demand'!Q:Q,MATCH($O730,'Aub Demand'!$A:$A,0))-IF(AN730="",0,AN730)+AP731+AD730+AL730,IF(AR731=AR730,INDEX('Aub Demand'!Q:Q,MATCH($O730,'Aub Demand'!$A:$A,0))-IF(AN730="",0,AN730)+AP731+AD730,IF(AM730&lt;&gt;"",INDEX('Aub Demand'!Q:Q,MATCH($O730,'Aub Demand'!$A:$A,0))-IF(AN730="",0,AN730)+AD730+AL730,INDEX('Aub Demand'!Q:Q,MATCH($O730,'Aub Demand'!$A:$A,0))-IF(AN730="",0,AN730)+AD730))),"")</f>
        <v>45</v>
      </c>
      <c r="Y730" s="53" t="str">
        <f t="shared" si="312"/>
        <v>n/a</v>
      </c>
      <c r="Z730" s="52">
        <f>IF(L730="","",INDEX('Aub Demand'!H:H,MATCH($O730,'Aub Demand'!$A:$A,0)))</f>
        <v>0</v>
      </c>
      <c r="AA730" s="52" t="str">
        <f t="shared" si="313"/>
        <v>-spike-</v>
      </c>
      <c r="AB730" s="52">
        <f>IFERROR(INDEX('Aub Demand'!L:L,MATCH($O730,'Aub Demand'!$A:$A,0)),"")</f>
        <v>0</v>
      </c>
      <c r="AC730" s="52">
        <f>IFERROR(IF(O730="","",SUMIFS('CPL Mats'!F:F,'CPL Mats'!Q:Q,AR730,'CPL Mats'!S:S,AS730)),"")</f>
        <v>0</v>
      </c>
      <c r="AF730" s="25" t="str">
        <f>IF(SUMIFS('Supp Consol'!S:S,'Supp Consol'!Y:Y,"Releasable",'Supp Consol'!A:A,O730)=0,"",SUMIFS('Supp Consol'!S:S,'Supp Consol'!Y:Y,"Releasable",'Supp Consol'!A:A,O730))</f>
        <v/>
      </c>
      <c r="AG730" s="25" t="str">
        <f>IFERROR(INDEX('Hun Demand'!Q:Q,MATCH(O730,'Hun Demand'!A:A,0)),"")</f>
        <v/>
      </c>
      <c r="AH730" s="25" t="str">
        <f>IFERROR(INDEX('Hun Demand'!H:H,MATCH($O730,'Hun Demand'!$A:$A,0)),"")</f>
        <v/>
      </c>
      <c r="AI730" s="25" t="str">
        <f>IF(SUMIFS('Supp Consol'!AA:AA,'Supp Consol'!Z:Z,"Expires this month",'Supp Consol'!A:A,O730)=0,"",SUMIFS('Supp Consol'!AA:AA,'Supp Consol'!Z:Z,"Expires this month",'Supp Consol'!A:A,O730))</f>
        <v/>
      </c>
      <c r="AJ730" s="25" t="str">
        <f>IF(SUMIFS('Supp Consol'!AA:AA,'Supp Consol'!Z:Z,"Expired Previous Months",'Supp Consol'!A:A,O730)=0,"",SUMIFS('Supp Consol'!AA:AA,'Supp Consol'!Z:Z,"Expired Previous Months",'Supp Consol'!A:A,O730))</f>
        <v/>
      </c>
      <c r="AK730" s="25" t="str">
        <f>IFERROR(INDEX('Hun Release Current'!B:B,MATCH(O730,'Hun Release Current'!A:A,0)),"")</f>
        <v/>
      </c>
      <c r="AL730" s="25" t="str">
        <f>IF(SUMIF('Prev Aub'!A:A,O730,'Prev Aub'!B:B)=0,"",SUMIF('Prev Aub'!A:A,O730,'Prev Aub'!B:B))</f>
        <v/>
      </c>
      <c r="AN730" s="25" t="s">
        <v>3790</v>
      </c>
      <c r="AO730" s="25" t="s">
        <v>3790</v>
      </c>
      <c r="AP730" s="25">
        <f t="shared" si="314"/>
        <v>0</v>
      </c>
      <c r="AQ730" s="151" t="str">
        <f>IF(SUMIFS('Supp Consol'!S:S,'Supp Consol'!A:A,O730,'Supp Consol'!I:I,"PENDING")=0,"",SUMIFS('Supp Consol'!S:S,'Supp Consol'!A:A,O730,'Supp Consol'!I:I,"PENDING"))</f>
        <v/>
      </c>
      <c r="AR730" s="27" t="str">
        <f t="shared" si="315"/>
        <v>M5196</v>
      </c>
      <c r="AS730" s="27" t="str">
        <f t="shared" si="316"/>
        <v>38</v>
      </c>
      <c r="AT730" s="27" t="str">
        <f t="shared" si="317"/>
        <v/>
      </c>
      <c r="AU730" s="27" t="str">
        <f t="shared" si="318"/>
        <v/>
      </c>
      <c r="AV730" s="27" t="str">
        <f t="shared" si="319"/>
        <v/>
      </c>
      <c r="AW730" s="27" t="str">
        <f t="shared" si="320"/>
        <v/>
      </c>
      <c r="AX730" s="27" t="str">
        <f t="shared" si="321"/>
        <v/>
      </c>
      <c r="AY730" s="27" t="str">
        <f t="shared" si="322"/>
        <v/>
      </c>
      <c r="AZ730" s="27" t="str">
        <f t="shared" si="323"/>
        <v/>
      </c>
      <c r="BA730" s="27" t="str">
        <f t="shared" si="324"/>
        <v/>
      </c>
      <c r="BB730" s="27" t="str">
        <f t="shared" si="325"/>
        <v/>
      </c>
      <c r="BC730" s="27" t="str">
        <f t="shared" si="326"/>
        <v/>
      </c>
      <c r="BD730" s="27" t="str">
        <f t="shared" si="327"/>
        <v/>
      </c>
      <c r="BE730" s="27" t="str">
        <f t="shared" si="328"/>
        <v/>
      </c>
      <c r="BF730" s="27" t="str">
        <f t="shared" si="329"/>
        <v/>
      </c>
      <c r="BG730" s="27" t="str">
        <f t="shared" si="330"/>
        <v/>
      </c>
      <c r="BH730" s="27" t="str">
        <f t="shared" si="331"/>
        <v/>
      </c>
      <c r="BI730" s="27" t="str">
        <f t="shared" si="332"/>
        <v/>
      </c>
      <c r="BJ730" s="27" t="str">
        <f t="shared" si="333"/>
        <v/>
      </c>
      <c r="BK730" s="27" t="str">
        <f t="shared" si="334"/>
        <v/>
      </c>
      <c r="BL730" s="27" t="str">
        <f t="shared" si="335"/>
        <v/>
      </c>
      <c r="BM730" s="21" t="s">
        <v>3790</v>
      </c>
    </row>
    <row r="731" spans="1:65" ht="15">
      <c r="A731" s="25" t="str">
        <f>IFERROR(INDEX('Hun Demand'!W:W,MATCH(O731,'Hun Demand'!A:A,0)),"")</f>
        <v/>
      </c>
      <c r="B731" s="25" t="str">
        <f>IFERROR(INDEX('Hun Demand'!V:V,MATCH(O731,'Hun Demand'!A:A,0)),"")</f>
        <v/>
      </c>
      <c r="C731" s="25" t="str">
        <f>IFERROR(INDEX('Hun Demand'!U:U,MATCH(O731,'Hun Demand'!A:A,0)),"")</f>
        <v/>
      </c>
      <c r="D731" s="25" t="str">
        <f>IFERROR(INDEX('Hun Demand'!T:T,MATCH(O731,'Hun Demand'!A:A,0)),"")</f>
        <v/>
      </c>
      <c r="E731" s="25" t="str">
        <f>IFERROR(INDEX('Hun Demand'!S:S,MATCH(O731,'Hun Demand'!A:A,0)),"")</f>
        <v/>
      </c>
      <c r="F731" s="25" t="str">
        <f>IFERROR(INDEX('Hun Demand'!R:R,MATCH(O731,'Hun Demand'!A:A,0)),"")</f>
        <v/>
      </c>
      <c r="G731" s="25">
        <f>IFERROR(INDEX('Aub Demand'!W:W,MATCH(O731,'Aub Demand'!A:A,0)),"")</f>
        <v>0</v>
      </c>
      <c r="H731" s="25">
        <f>IFERROR(INDEX('Aub Demand'!V:V,MATCH(O731,'Aub Demand'!A:A,0)),"")</f>
        <v>0</v>
      </c>
      <c r="I731" s="25">
        <f>IFERROR(INDEX('Aub Demand'!U:U,MATCH(O731,'Aub Demand'!A:A,0)),"")</f>
        <v>0</v>
      </c>
      <c r="J731" s="25">
        <f>IFERROR(INDEX('Aub Demand'!T:T,MATCH(O731,'Aub Demand'!A:A,0)),"")</f>
        <v>0</v>
      </c>
      <c r="K731" s="25">
        <f>IFERROR(INDEX('Aub Demand'!S:S,MATCH(O731,'Aub Demand'!A:A,0)),"")</f>
        <v>0</v>
      </c>
      <c r="L731" s="25">
        <f>IFERROR(INDEX('Aub Demand'!R:R,MATCH(O731,'Aub Demand'!A:A,0)),"")</f>
        <v>0</v>
      </c>
      <c r="O731" s="27" t="s">
        <v>2297</v>
      </c>
      <c r="P731" s="27" t="str">
        <f>IFERROR(INDEX('Aub Demand'!B:B,MATCH($O731,'Aub Demand'!$A:$A,0)),"")</f>
        <v>ALUMINUM .050 5052H3</v>
      </c>
      <c r="Q731" s="27">
        <f>IFERROR(INDEX('Aub Demand'!C:C,MATCH($O731,'Aub Demand'!$A:$A,0)),"")</f>
        <v>0</v>
      </c>
      <c r="R731" s="52">
        <f>IFERROR(IF(AR732=AR731,INDEX('Aub Demand'!K:K,MATCH($O731,'Aub Demand'!$A:$A,0))-IF(AN731="",0,AN731)+AP732,INDEX('Aub Demand'!K:K,MATCH($O731,'Aub Demand'!$A:$A,0))-IF(AN731="",0,AN731)),"")</f>
        <v>13</v>
      </c>
      <c r="S731" s="53" t="str">
        <f t="shared" si="308"/>
        <v>n/a</v>
      </c>
      <c r="T731" s="52" t="str">
        <f t="shared" si="309"/>
        <v/>
      </c>
      <c r="U731" s="52">
        <f>IFERROR(IF(AR732=AR731,INDEX('Aub Demand'!Q:Q,MATCH($O731,'Aub Demand'!$A:$A,0))-IF(AN731="",0,AN731)+AP732,INDEX('Aub Demand'!Q:Q,MATCH($O731,'Aub Demand'!$A:$A,0))-IF(AN731="",0,AN731)),"")</f>
        <v>13</v>
      </c>
      <c r="V731" s="53" t="str">
        <f t="shared" si="310"/>
        <v>n/a</v>
      </c>
      <c r="W731" s="52" t="str">
        <f t="shared" si="311"/>
        <v/>
      </c>
      <c r="X731" s="52">
        <f>IFERROR(IF(AND(AR732=AR731,AM731&lt;&gt;""),INDEX('Aub Demand'!Q:Q,MATCH($O731,'Aub Demand'!$A:$A,0))-IF(AN731="",0,AN731)+AP732+AD731+AL731,IF(AR732=AR731,INDEX('Aub Demand'!Q:Q,MATCH($O731,'Aub Demand'!$A:$A,0))-IF(AN731="",0,AN731)+AP732+AD731,IF(AM731&lt;&gt;"",INDEX('Aub Demand'!Q:Q,MATCH($O731,'Aub Demand'!$A:$A,0))-IF(AN731="",0,AN731)+AD731+AL731,INDEX('Aub Demand'!Q:Q,MATCH($O731,'Aub Demand'!$A:$A,0))-IF(AN731="",0,AN731)+AD731))),"")</f>
        <v>13</v>
      </c>
      <c r="Y731" s="53" t="str">
        <f t="shared" si="312"/>
        <v>n/a</v>
      </c>
      <c r="Z731" s="52">
        <f>IF(L731="","",INDEX('Aub Demand'!H:H,MATCH($O731,'Aub Demand'!$A:$A,0)))</f>
        <v>0</v>
      </c>
      <c r="AA731" s="52" t="str">
        <f t="shared" si="313"/>
        <v>-spike-</v>
      </c>
      <c r="AB731" s="52">
        <f>IFERROR(INDEX('Aub Demand'!L:L,MATCH($O731,'Aub Demand'!$A:$A,0)),"")</f>
        <v>0</v>
      </c>
      <c r="AC731" s="52">
        <f>IFERROR(IF(O731="","",SUMIFS('CPL Mats'!F:F,'CPL Mats'!Q:Q,AR731,'CPL Mats'!S:S,AS731)),"")</f>
        <v>0</v>
      </c>
      <c r="AF731" s="25" t="str">
        <f>IF(SUMIFS('Supp Consol'!S:S,'Supp Consol'!Y:Y,"Releasable",'Supp Consol'!A:A,O731)=0,"",SUMIFS('Supp Consol'!S:S,'Supp Consol'!Y:Y,"Releasable",'Supp Consol'!A:A,O731))</f>
        <v/>
      </c>
      <c r="AG731" s="25" t="str">
        <f>IFERROR(INDEX('Hun Demand'!Q:Q,MATCH(O731,'Hun Demand'!A:A,0)),"")</f>
        <v/>
      </c>
      <c r="AH731" s="25" t="str">
        <f>IFERROR(INDEX('Hun Demand'!H:H,MATCH($O731,'Hun Demand'!$A:$A,0)),"")</f>
        <v/>
      </c>
      <c r="AI731" s="25" t="str">
        <f>IF(SUMIFS('Supp Consol'!AA:AA,'Supp Consol'!Z:Z,"Expires this month",'Supp Consol'!A:A,O731)=0,"",SUMIFS('Supp Consol'!AA:AA,'Supp Consol'!Z:Z,"Expires this month",'Supp Consol'!A:A,O731))</f>
        <v/>
      </c>
      <c r="AJ731" s="25" t="str">
        <f>IF(SUMIFS('Supp Consol'!AA:AA,'Supp Consol'!Z:Z,"Expired Previous Months",'Supp Consol'!A:A,O731)=0,"",SUMIFS('Supp Consol'!AA:AA,'Supp Consol'!Z:Z,"Expired Previous Months",'Supp Consol'!A:A,O731))</f>
        <v/>
      </c>
      <c r="AK731" s="25" t="str">
        <f>IFERROR(INDEX('Hun Release Current'!B:B,MATCH(O731,'Hun Release Current'!A:A,0)),"")</f>
        <v/>
      </c>
      <c r="AL731" s="25" t="str">
        <f>IF(SUMIF('Prev Aub'!A:A,O731,'Prev Aub'!B:B)=0,"",SUMIF('Prev Aub'!A:A,O731,'Prev Aub'!B:B))</f>
        <v/>
      </c>
      <c r="AN731" s="25" t="s">
        <v>3790</v>
      </c>
      <c r="AO731" s="25" t="s">
        <v>3790</v>
      </c>
      <c r="AP731" s="25">
        <f t="shared" si="314"/>
        <v>0</v>
      </c>
      <c r="AQ731" s="151" t="str">
        <f>IF(SUMIFS('Supp Consol'!S:S,'Supp Consol'!A:A,O731,'Supp Consol'!I:I,"PENDING")=0,"",SUMIFS('Supp Consol'!S:S,'Supp Consol'!A:A,O731,'Supp Consol'!I:I,"PENDING"))</f>
        <v/>
      </c>
      <c r="AR731" s="27" t="str">
        <f t="shared" si="315"/>
        <v>M5196</v>
      </c>
      <c r="AS731" s="27" t="str">
        <f t="shared" si="316"/>
        <v>40</v>
      </c>
      <c r="AT731" s="27" t="str">
        <f t="shared" si="317"/>
        <v/>
      </c>
      <c r="AU731" s="27" t="str">
        <f t="shared" si="318"/>
        <v/>
      </c>
      <c r="AV731" s="27" t="str">
        <f t="shared" si="319"/>
        <v/>
      </c>
      <c r="AW731" s="27" t="str">
        <f t="shared" si="320"/>
        <v/>
      </c>
      <c r="AX731" s="27" t="str">
        <f t="shared" si="321"/>
        <v/>
      </c>
      <c r="AY731" s="27" t="str">
        <f t="shared" si="322"/>
        <v/>
      </c>
      <c r="AZ731" s="27" t="str">
        <f t="shared" si="323"/>
        <v/>
      </c>
      <c r="BA731" s="27" t="str">
        <f t="shared" si="324"/>
        <v/>
      </c>
      <c r="BB731" s="27" t="str">
        <f t="shared" si="325"/>
        <v/>
      </c>
      <c r="BC731" s="27" t="str">
        <f t="shared" si="326"/>
        <v/>
      </c>
      <c r="BD731" s="27" t="str">
        <f t="shared" si="327"/>
        <v/>
      </c>
      <c r="BE731" s="27" t="str">
        <f t="shared" si="328"/>
        <v/>
      </c>
      <c r="BF731" s="27" t="str">
        <f t="shared" si="329"/>
        <v/>
      </c>
      <c r="BG731" s="27" t="str">
        <f t="shared" si="330"/>
        <v/>
      </c>
      <c r="BH731" s="27" t="str">
        <f t="shared" si="331"/>
        <v/>
      </c>
      <c r="BI731" s="27" t="str">
        <f t="shared" si="332"/>
        <v/>
      </c>
      <c r="BJ731" s="27" t="str">
        <f t="shared" si="333"/>
        <v/>
      </c>
      <c r="BK731" s="27" t="str">
        <f t="shared" si="334"/>
        <v/>
      </c>
      <c r="BL731" s="27" t="str">
        <f t="shared" si="335"/>
        <v/>
      </c>
      <c r="BM731" s="21" t="s">
        <v>3790</v>
      </c>
    </row>
    <row r="732" spans="1:65" ht="15">
      <c r="A732" s="25" t="str">
        <f>IFERROR(INDEX('Hun Demand'!W:W,MATCH(O732,'Hun Demand'!A:A,0)),"")</f>
        <v/>
      </c>
      <c r="B732" s="25" t="str">
        <f>IFERROR(INDEX('Hun Demand'!V:V,MATCH(O732,'Hun Demand'!A:A,0)),"")</f>
        <v/>
      </c>
      <c r="C732" s="25" t="str">
        <f>IFERROR(INDEX('Hun Demand'!U:U,MATCH(O732,'Hun Demand'!A:A,0)),"")</f>
        <v/>
      </c>
      <c r="D732" s="25" t="str">
        <f>IFERROR(INDEX('Hun Demand'!T:T,MATCH(O732,'Hun Demand'!A:A,0)),"")</f>
        <v/>
      </c>
      <c r="E732" s="25" t="str">
        <f>IFERROR(INDEX('Hun Demand'!S:S,MATCH(O732,'Hun Demand'!A:A,0)),"")</f>
        <v/>
      </c>
      <c r="F732" s="25" t="str">
        <f>IFERROR(INDEX('Hun Demand'!R:R,MATCH(O732,'Hun Demand'!A:A,0)),"")</f>
        <v/>
      </c>
      <c r="G732" s="25">
        <f>IFERROR(INDEX('Aub Demand'!W:W,MATCH(O732,'Aub Demand'!A:A,0)),"")</f>
        <v>3</v>
      </c>
      <c r="H732" s="25">
        <f>IFERROR(INDEX('Aub Demand'!V:V,MATCH(O732,'Aub Demand'!A:A,0)),"")</f>
        <v>0</v>
      </c>
      <c r="I732" s="25">
        <f>IFERROR(INDEX('Aub Demand'!U:U,MATCH(O732,'Aub Demand'!A:A,0)),"")</f>
        <v>0</v>
      </c>
      <c r="J732" s="25">
        <f>IFERROR(INDEX('Aub Demand'!T:T,MATCH(O732,'Aub Demand'!A:A,0)),"")</f>
        <v>0</v>
      </c>
      <c r="K732" s="25">
        <f>IFERROR(INDEX('Aub Demand'!S:S,MATCH(O732,'Aub Demand'!A:A,0)),"")</f>
        <v>0</v>
      </c>
      <c r="L732" s="25">
        <f>IFERROR(INDEX('Aub Demand'!R:R,MATCH(O732,'Aub Demand'!A:A,0)),"")</f>
        <v>0</v>
      </c>
      <c r="O732" s="27" t="s">
        <v>2298</v>
      </c>
      <c r="P732" s="27" t="str">
        <f>IFERROR(INDEX('Aub Demand'!B:B,MATCH($O732,'Aub Demand'!$A:$A,0)),"")</f>
        <v>ALUMINUM .050 5052H3</v>
      </c>
      <c r="Q732" s="27">
        <f>IFERROR(INDEX('Aub Demand'!C:C,MATCH($O732,'Aub Demand'!$A:$A,0)),"")</f>
        <v>0</v>
      </c>
      <c r="R732" s="52">
        <f>IFERROR(IF(AR733=AR732,INDEX('Aub Demand'!K:K,MATCH($O732,'Aub Demand'!$A:$A,0))-IF(AN732="",0,AN732)+AP733,INDEX('Aub Demand'!K:K,MATCH($O732,'Aub Demand'!$A:$A,0))-IF(AN732="",0,AN732)),"")</f>
        <v>168</v>
      </c>
      <c r="S732" s="53" t="str">
        <f t="shared" si="308"/>
        <v>n/a</v>
      </c>
      <c r="T732" s="52" t="str">
        <f t="shared" si="309"/>
        <v/>
      </c>
      <c r="U732" s="52">
        <f>IFERROR(IF(AR733=AR732,INDEX('Aub Demand'!Q:Q,MATCH($O732,'Aub Demand'!$A:$A,0))-IF(AN732="",0,AN732)+AP733,INDEX('Aub Demand'!Q:Q,MATCH($O732,'Aub Demand'!$A:$A,0))-IF(AN732="",0,AN732)),"")</f>
        <v>144</v>
      </c>
      <c r="V732" s="53" t="str">
        <f t="shared" si="310"/>
        <v>n/a</v>
      </c>
      <c r="W732" s="52" t="str">
        <f t="shared" si="311"/>
        <v/>
      </c>
      <c r="X732" s="52">
        <f>IFERROR(IF(AND(AR733=AR732,AM732&lt;&gt;""),INDEX('Aub Demand'!Q:Q,MATCH($O732,'Aub Demand'!$A:$A,0))-IF(AN732="",0,AN732)+AP733+AD732+AL732,IF(AR733=AR732,INDEX('Aub Demand'!Q:Q,MATCH($O732,'Aub Demand'!$A:$A,0))-IF(AN732="",0,AN732)+AP733+AD732,IF(AM732&lt;&gt;"",INDEX('Aub Demand'!Q:Q,MATCH($O732,'Aub Demand'!$A:$A,0))-IF(AN732="",0,AN732)+AD732+AL732,INDEX('Aub Demand'!Q:Q,MATCH($O732,'Aub Demand'!$A:$A,0))-IF(AN732="",0,AN732)+AD732))),"")</f>
        <v>144</v>
      </c>
      <c r="Y732" s="53" t="str">
        <f t="shared" si="312"/>
        <v>n/a</v>
      </c>
      <c r="Z732" s="52">
        <f>IF(L732="","",INDEX('Aub Demand'!H:H,MATCH($O732,'Aub Demand'!$A:$A,0)))</f>
        <v>0</v>
      </c>
      <c r="AA732" s="52" t="str">
        <f t="shared" si="313"/>
        <v>-spike-</v>
      </c>
      <c r="AB732" s="52">
        <f>IFERROR(INDEX('Aub Demand'!L:L,MATCH($O732,'Aub Demand'!$A:$A,0)),"")</f>
        <v>1</v>
      </c>
      <c r="AC732" s="52">
        <f>IFERROR(IF(O732="","",SUMIFS('CPL Mats'!F:F,'CPL Mats'!Q:Q,AR732,'CPL Mats'!S:S,AS732)),"")</f>
        <v>0</v>
      </c>
      <c r="AF732" s="25" t="str">
        <f>IF(SUMIFS('Supp Consol'!S:S,'Supp Consol'!Y:Y,"Releasable",'Supp Consol'!A:A,O732)=0,"",SUMIFS('Supp Consol'!S:S,'Supp Consol'!Y:Y,"Releasable",'Supp Consol'!A:A,O732))</f>
        <v/>
      </c>
      <c r="AG732" s="25" t="str">
        <f>IFERROR(INDEX('Hun Demand'!Q:Q,MATCH(O732,'Hun Demand'!A:A,0)),"")</f>
        <v/>
      </c>
      <c r="AH732" s="25" t="str">
        <f>IFERROR(INDEX('Hun Demand'!H:H,MATCH($O732,'Hun Demand'!$A:$A,0)),"")</f>
        <v/>
      </c>
      <c r="AI732" s="25" t="str">
        <f>IF(SUMIFS('Supp Consol'!AA:AA,'Supp Consol'!Z:Z,"Expires this month",'Supp Consol'!A:A,O732)=0,"",SUMIFS('Supp Consol'!AA:AA,'Supp Consol'!Z:Z,"Expires this month",'Supp Consol'!A:A,O732))</f>
        <v/>
      </c>
      <c r="AJ732" s="25" t="str">
        <f>IF(SUMIFS('Supp Consol'!AA:AA,'Supp Consol'!Z:Z,"Expired Previous Months",'Supp Consol'!A:A,O732)=0,"",SUMIFS('Supp Consol'!AA:AA,'Supp Consol'!Z:Z,"Expired Previous Months",'Supp Consol'!A:A,O732))</f>
        <v/>
      </c>
      <c r="AK732" s="25" t="str">
        <f>IFERROR(INDEX('Hun Release Current'!B:B,MATCH(O732,'Hun Release Current'!A:A,0)),"")</f>
        <v/>
      </c>
      <c r="AL732" s="25" t="str">
        <f>IF(SUMIF('Prev Aub'!A:A,O732,'Prev Aub'!B:B)=0,"",SUMIF('Prev Aub'!A:A,O732,'Prev Aub'!B:B))</f>
        <v/>
      </c>
      <c r="AN732" s="25" t="s">
        <v>3790</v>
      </c>
      <c r="AO732" s="25" t="s">
        <v>3790</v>
      </c>
      <c r="AP732" s="25">
        <f t="shared" si="314"/>
        <v>0</v>
      </c>
      <c r="AQ732" s="151" t="str">
        <f>IF(SUMIFS('Supp Consol'!S:S,'Supp Consol'!A:A,O732,'Supp Consol'!I:I,"PENDING")=0,"",SUMIFS('Supp Consol'!S:S,'Supp Consol'!A:A,O732,'Supp Consol'!I:I,"PENDING"))</f>
        <v/>
      </c>
      <c r="AR732" s="27" t="str">
        <f t="shared" si="315"/>
        <v>M5196</v>
      </c>
      <c r="AS732" s="27" t="str">
        <f t="shared" si="316"/>
        <v>48</v>
      </c>
      <c r="AT732" s="27" t="str">
        <f t="shared" si="317"/>
        <v/>
      </c>
      <c r="AU732" s="27" t="str">
        <f t="shared" si="318"/>
        <v/>
      </c>
      <c r="AV732" s="27" t="str">
        <f t="shared" si="319"/>
        <v/>
      </c>
      <c r="AW732" s="27" t="str">
        <f t="shared" si="320"/>
        <v/>
      </c>
      <c r="AX732" s="27" t="str">
        <f t="shared" si="321"/>
        <v/>
      </c>
      <c r="AY732" s="27" t="str">
        <f t="shared" si="322"/>
        <v/>
      </c>
      <c r="AZ732" s="27" t="str">
        <f t="shared" si="323"/>
        <v/>
      </c>
      <c r="BA732" s="27" t="str">
        <f t="shared" si="324"/>
        <v/>
      </c>
      <c r="BB732" s="27" t="str">
        <f t="shared" si="325"/>
        <v/>
      </c>
      <c r="BC732" s="27" t="str">
        <f t="shared" si="326"/>
        <v/>
      </c>
      <c r="BD732" s="27" t="str">
        <f t="shared" si="327"/>
        <v/>
      </c>
      <c r="BE732" s="27" t="str">
        <f t="shared" si="328"/>
        <v/>
      </c>
      <c r="BF732" s="27" t="str">
        <f t="shared" si="329"/>
        <v/>
      </c>
      <c r="BG732" s="27" t="str">
        <f t="shared" si="330"/>
        <v/>
      </c>
      <c r="BH732" s="27" t="str">
        <f t="shared" si="331"/>
        <v/>
      </c>
      <c r="BI732" s="27" t="str">
        <f t="shared" si="332"/>
        <v/>
      </c>
      <c r="BJ732" s="27" t="str">
        <f t="shared" si="333"/>
        <v/>
      </c>
      <c r="BK732" s="27" t="str">
        <f t="shared" si="334"/>
        <v/>
      </c>
      <c r="BL732" s="27" t="str">
        <f t="shared" si="335"/>
        <v/>
      </c>
      <c r="BM732" s="21" t="s">
        <v>3790</v>
      </c>
    </row>
    <row r="733" spans="1:65" ht="15">
      <c r="A733" s="25" t="str">
        <f>IFERROR(INDEX('Hun Demand'!W:W,MATCH(O733,'Hun Demand'!A:A,0)),"")</f>
        <v/>
      </c>
      <c r="B733" s="25" t="str">
        <f>IFERROR(INDEX('Hun Demand'!V:V,MATCH(O733,'Hun Demand'!A:A,0)),"")</f>
        <v/>
      </c>
      <c r="C733" s="25" t="str">
        <f>IFERROR(INDEX('Hun Demand'!U:U,MATCH(O733,'Hun Demand'!A:A,0)),"")</f>
        <v/>
      </c>
      <c r="D733" s="25" t="str">
        <f>IFERROR(INDEX('Hun Demand'!T:T,MATCH(O733,'Hun Demand'!A:A,0)),"")</f>
        <v/>
      </c>
      <c r="E733" s="25" t="str">
        <f>IFERROR(INDEX('Hun Demand'!S:S,MATCH(O733,'Hun Demand'!A:A,0)),"")</f>
        <v/>
      </c>
      <c r="F733" s="25" t="str">
        <f>IFERROR(INDEX('Hun Demand'!R:R,MATCH(O733,'Hun Demand'!A:A,0)),"")</f>
        <v/>
      </c>
      <c r="G733" s="25">
        <f>IFERROR(INDEX('Aub Demand'!W:W,MATCH(O733,'Aub Demand'!A:A,0)),"")</f>
        <v>0</v>
      </c>
      <c r="H733" s="25">
        <f>IFERROR(INDEX('Aub Demand'!V:V,MATCH(O733,'Aub Demand'!A:A,0)),"")</f>
        <v>0</v>
      </c>
      <c r="I733" s="25">
        <f>IFERROR(INDEX('Aub Demand'!U:U,MATCH(O733,'Aub Demand'!A:A,0)),"")</f>
        <v>0</v>
      </c>
      <c r="J733" s="25">
        <f>IFERROR(INDEX('Aub Demand'!T:T,MATCH(O733,'Aub Demand'!A:A,0)),"")</f>
        <v>0</v>
      </c>
      <c r="K733" s="25">
        <f>IFERROR(INDEX('Aub Demand'!S:S,MATCH(O733,'Aub Demand'!A:A,0)),"")</f>
        <v>0</v>
      </c>
      <c r="L733" s="25">
        <f>IFERROR(INDEX('Aub Demand'!R:R,MATCH(O733,'Aub Demand'!A:A,0)),"")</f>
        <v>0</v>
      </c>
      <c r="O733" s="27" t="s">
        <v>2299</v>
      </c>
      <c r="P733" s="27" t="str">
        <f>IFERROR(INDEX('Aub Demand'!B:B,MATCH($O733,'Aub Demand'!$A:$A,0)),"")</f>
        <v>ALUMINUM .050 5052H3</v>
      </c>
      <c r="Q733" s="27">
        <f>IFERROR(INDEX('Aub Demand'!C:C,MATCH($O733,'Aub Demand'!$A:$A,0)),"")</f>
        <v>0</v>
      </c>
      <c r="R733" s="52">
        <f>IFERROR(IF(AR734=AR733,INDEX('Aub Demand'!K:K,MATCH($O733,'Aub Demand'!$A:$A,0))-IF(AN733="",0,AN733)+AP734,INDEX('Aub Demand'!K:K,MATCH($O733,'Aub Demand'!$A:$A,0))-IF(AN733="",0,AN733)),"")</f>
        <v>148</v>
      </c>
      <c r="S733" s="53" t="str">
        <f t="shared" si="308"/>
        <v>n/a</v>
      </c>
      <c r="T733" s="52" t="str">
        <f t="shared" si="309"/>
        <v/>
      </c>
      <c r="U733" s="52">
        <f>IFERROR(IF(AR734=AR733,INDEX('Aub Demand'!Q:Q,MATCH($O733,'Aub Demand'!$A:$A,0))-IF(AN733="",0,AN733)+AP734,INDEX('Aub Demand'!Q:Q,MATCH($O733,'Aub Demand'!$A:$A,0))-IF(AN733="",0,AN733)),"")</f>
        <v>148</v>
      </c>
      <c r="V733" s="53" t="str">
        <f t="shared" si="310"/>
        <v>n/a</v>
      </c>
      <c r="W733" s="52" t="str">
        <f t="shared" si="311"/>
        <v/>
      </c>
      <c r="X733" s="52">
        <f>IFERROR(IF(AND(AR734=AR733,AM733&lt;&gt;""),INDEX('Aub Demand'!Q:Q,MATCH($O733,'Aub Demand'!$A:$A,0))-IF(AN733="",0,AN733)+AP734+AD733+AL733,IF(AR734=AR733,INDEX('Aub Demand'!Q:Q,MATCH($O733,'Aub Demand'!$A:$A,0))-IF(AN733="",0,AN733)+AP734+AD733,IF(AM733&lt;&gt;"",INDEX('Aub Demand'!Q:Q,MATCH($O733,'Aub Demand'!$A:$A,0))-IF(AN733="",0,AN733)+AD733+AL733,INDEX('Aub Demand'!Q:Q,MATCH($O733,'Aub Demand'!$A:$A,0))-IF(AN733="",0,AN733)+AD733))),"")</f>
        <v>148</v>
      </c>
      <c r="Y733" s="53" t="str">
        <f t="shared" si="312"/>
        <v>n/a</v>
      </c>
      <c r="Z733" s="52">
        <f>IF(L733="","",INDEX('Aub Demand'!H:H,MATCH($O733,'Aub Demand'!$A:$A,0)))</f>
        <v>0</v>
      </c>
      <c r="AA733" s="52" t="str">
        <f t="shared" si="313"/>
        <v>-spike-</v>
      </c>
      <c r="AB733" s="52">
        <f>IFERROR(INDEX('Aub Demand'!L:L,MATCH($O733,'Aub Demand'!$A:$A,0)),"")</f>
        <v>0</v>
      </c>
      <c r="AC733" s="52">
        <f>IFERROR(IF(O733="","",SUMIFS('CPL Mats'!F:F,'CPL Mats'!Q:Q,AR733,'CPL Mats'!S:S,AS733)),"")</f>
        <v>0</v>
      </c>
      <c r="AF733" s="25" t="str">
        <f>IF(SUMIFS('Supp Consol'!S:S,'Supp Consol'!Y:Y,"Releasable",'Supp Consol'!A:A,O733)=0,"",SUMIFS('Supp Consol'!S:S,'Supp Consol'!Y:Y,"Releasable",'Supp Consol'!A:A,O733))</f>
        <v/>
      </c>
      <c r="AG733" s="25" t="str">
        <f>IFERROR(INDEX('Hun Demand'!Q:Q,MATCH(O733,'Hun Demand'!A:A,0)),"")</f>
        <v/>
      </c>
      <c r="AH733" s="25" t="str">
        <f>IFERROR(INDEX('Hun Demand'!H:H,MATCH($O733,'Hun Demand'!$A:$A,0)),"")</f>
        <v/>
      </c>
      <c r="AI733" s="25" t="str">
        <f>IF(SUMIFS('Supp Consol'!AA:AA,'Supp Consol'!Z:Z,"Expires this month",'Supp Consol'!A:A,O733)=0,"",SUMIFS('Supp Consol'!AA:AA,'Supp Consol'!Z:Z,"Expires this month",'Supp Consol'!A:A,O733))</f>
        <v/>
      </c>
      <c r="AJ733" s="25" t="str">
        <f>IF(SUMIFS('Supp Consol'!AA:AA,'Supp Consol'!Z:Z,"Expired Previous Months",'Supp Consol'!A:A,O733)=0,"",SUMIFS('Supp Consol'!AA:AA,'Supp Consol'!Z:Z,"Expired Previous Months",'Supp Consol'!A:A,O733))</f>
        <v/>
      </c>
      <c r="AK733" s="25" t="str">
        <f>IFERROR(INDEX('Hun Release Current'!B:B,MATCH(O733,'Hun Release Current'!A:A,0)),"")</f>
        <v/>
      </c>
      <c r="AL733" s="25" t="str">
        <f>IF(SUMIF('Prev Aub'!A:A,O733,'Prev Aub'!B:B)=0,"",SUMIF('Prev Aub'!A:A,O733,'Prev Aub'!B:B))</f>
        <v/>
      </c>
      <c r="AN733" s="25" t="s">
        <v>3790</v>
      </c>
      <c r="AO733" s="25" t="s">
        <v>3790</v>
      </c>
      <c r="AP733" s="25">
        <f t="shared" si="314"/>
        <v>0</v>
      </c>
      <c r="AQ733" s="151" t="str">
        <f>IF(SUMIFS('Supp Consol'!S:S,'Supp Consol'!A:A,O733,'Supp Consol'!I:I,"PENDING")=0,"",SUMIFS('Supp Consol'!S:S,'Supp Consol'!A:A,O733,'Supp Consol'!I:I,"PENDING"))</f>
        <v/>
      </c>
      <c r="AR733" s="27" t="str">
        <f t="shared" si="315"/>
        <v>M5196</v>
      </c>
      <c r="AS733" s="27" t="str">
        <f t="shared" si="316"/>
        <v>50</v>
      </c>
      <c r="AT733" s="27" t="str">
        <f t="shared" si="317"/>
        <v/>
      </c>
      <c r="AU733" s="27" t="str">
        <f t="shared" si="318"/>
        <v/>
      </c>
      <c r="AV733" s="27" t="str">
        <f t="shared" si="319"/>
        <v/>
      </c>
      <c r="AW733" s="27" t="str">
        <f t="shared" si="320"/>
        <v/>
      </c>
      <c r="AX733" s="27" t="str">
        <f t="shared" si="321"/>
        <v/>
      </c>
      <c r="AY733" s="27" t="str">
        <f t="shared" si="322"/>
        <v/>
      </c>
      <c r="AZ733" s="27" t="str">
        <f t="shared" si="323"/>
        <v/>
      </c>
      <c r="BA733" s="27" t="str">
        <f t="shared" si="324"/>
        <v/>
      </c>
      <c r="BB733" s="27" t="str">
        <f t="shared" si="325"/>
        <v/>
      </c>
      <c r="BC733" s="27" t="str">
        <f t="shared" si="326"/>
        <v/>
      </c>
      <c r="BD733" s="27" t="str">
        <f t="shared" si="327"/>
        <v/>
      </c>
      <c r="BE733" s="27" t="str">
        <f t="shared" si="328"/>
        <v/>
      </c>
      <c r="BF733" s="27" t="str">
        <f t="shared" si="329"/>
        <v/>
      </c>
      <c r="BG733" s="27" t="str">
        <f t="shared" si="330"/>
        <v/>
      </c>
      <c r="BH733" s="27" t="str">
        <f t="shared" si="331"/>
        <v/>
      </c>
      <c r="BI733" s="27" t="str">
        <f t="shared" si="332"/>
        <v/>
      </c>
      <c r="BJ733" s="27" t="str">
        <f t="shared" si="333"/>
        <v/>
      </c>
      <c r="BK733" s="27" t="str">
        <f t="shared" si="334"/>
        <v/>
      </c>
      <c r="BL733" s="27" t="str">
        <f t="shared" si="335"/>
        <v/>
      </c>
      <c r="BM733" s="21" t="s">
        <v>3790</v>
      </c>
    </row>
    <row r="734" spans="1:65" ht="15">
      <c r="A734" s="25" t="str">
        <f>IFERROR(INDEX('Hun Demand'!W:W,MATCH(O734,'Hun Demand'!A:A,0)),"")</f>
        <v/>
      </c>
      <c r="B734" s="25" t="str">
        <f>IFERROR(INDEX('Hun Demand'!V:V,MATCH(O734,'Hun Demand'!A:A,0)),"")</f>
        <v/>
      </c>
      <c r="C734" s="25" t="str">
        <f>IFERROR(INDEX('Hun Demand'!U:U,MATCH(O734,'Hun Demand'!A:A,0)),"")</f>
        <v/>
      </c>
      <c r="D734" s="25" t="str">
        <f>IFERROR(INDEX('Hun Demand'!T:T,MATCH(O734,'Hun Demand'!A:A,0)),"")</f>
        <v/>
      </c>
      <c r="E734" s="25" t="str">
        <f>IFERROR(INDEX('Hun Demand'!S:S,MATCH(O734,'Hun Demand'!A:A,0)),"")</f>
        <v/>
      </c>
      <c r="F734" s="25" t="str">
        <f>IFERROR(INDEX('Hun Demand'!R:R,MATCH(O734,'Hun Demand'!A:A,0)),"")</f>
        <v/>
      </c>
      <c r="G734" s="25">
        <f>IFERROR(INDEX('Aub Demand'!W:W,MATCH(O734,'Aub Demand'!A:A,0)),"")</f>
        <v>0</v>
      </c>
      <c r="H734" s="25">
        <f>IFERROR(INDEX('Aub Demand'!V:V,MATCH(O734,'Aub Demand'!A:A,0)),"")</f>
        <v>0</v>
      </c>
      <c r="I734" s="25">
        <f>IFERROR(INDEX('Aub Demand'!U:U,MATCH(O734,'Aub Demand'!A:A,0)),"")</f>
        <v>0</v>
      </c>
      <c r="J734" s="25">
        <f>IFERROR(INDEX('Aub Demand'!T:T,MATCH(O734,'Aub Demand'!A:A,0)),"")</f>
        <v>0</v>
      </c>
      <c r="K734" s="25">
        <f>IFERROR(INDEX('Aub Demand'!S:S,MATCH(O734,'Aub Demand'!A:A,0)),"")</f>
        <v>0</v>
      </c>
      <c r="L734" s="25">
        <f>IFERROR(INDEX('Aub Demand'!R:R,MATCH(O734,'Aub Demand'!A:A,0)),"")</f>
        <v>0</v>
      </c>
      <c r="O734" s="27" t="s">
        <v>2300</v>
      </c>
      <c r="P734" s="27" t="str">
        <f>IFERROR(INDEX('Aub Demand'!B:B,MATCH($O734,'Aub Demand'!$A:$A,0)),"")</f>
        <v>ALUMINUM .050 5052H3</v>
      </c>
      <c r="Q734" s="27">
        <f>IFERROR(INDEX('Aub Demand'!C:C,MATCH($O734,'Aub Demand'!$A:$A,0)),"")</f>
        <v>0</v>
      </c>
      <c r="R734" s="52">
        <f>IFERROR(IF(AR735=AR734,INDEX('Aub Demand'!K:K,MATCH($O734,'Aub Demand'!$A:$A,0))-IF(AN734="",0,AN734)+AP735,INDEX('Aub Demand'!K:K,MATCH($O734,'Aub Demand'!$A:$A,0))-IF(AN734="",0,AN734)),"")</f>
        <v>64</v>
      </c>
      <c r="S734" s="53" t="str">
        <f t="shared" si="308"/>
        <v>n/a</v>
      </c>
      <c r="T734" s="52" t="str">
        <f t="shared" si="309"/>
        <v/>
      </c>
      <c r="U734" s="52">
        <f>IFERROR(IF(AR735=AR734,INDEX('Aub Demand'!Q:Q,MATCH($O734,'Aub Demand'!$A:$A,0))-IF(AN734="",0,AN734)+AP735,INDEX('Aub Demand'!Q:Q,MATCH($O734,'Aub Demand'!$A:$A,0))-IF(AN734="",0,AN734)),"")</f>
        <v>64</v>
      </c>
      <c r="V734" s="53" t="str">
        <f t="shared" si="310"/>
        <v>n/a</v>
      </c>
      <c r="W734" s="52" t="str">
        <f t="shared" si="311"/>
        <v/>
      </c>
      <c r="X734" s="52">
        <f>IFERROR(IF(AND(AR735=AR734,AM734&lt;&gt;""),INDEX('Aub Demand'!Q:Q,MATCH($O734,'Aub Demand'!$A:$A,0))-IF(AN734="",0,AN734)+AP735+AD734+AL734,IF(AR735=AR734,INDEX('Aub Demand'!Q:Q,MATCH($O734,'Aub Demand'!$A:$A,0))-IF(AN734="",0,AN734)+AP735+AD734,IF(AM734&lt;&gt;"",INDEX('Aub Demand'!Q:Q,MATCH($O734,'Aub Demand'!$A:$A,0))-IF(AN734="",0,AN734)+AD734+AL734,INDEX('Aub Demand'!Q:Q,MATCH($O734,'Aub Demand'!$A:$A,0))-IF(AN734="",0,AN734)+AD734))),"")</f>
        <v>64</v>
      </c>
      <c r="Y734" s="53" t="str">
        <f t="shared" si="312"/>
        <v>n/a</v>
      </c>
      <c r="Z734" s="52">
        <f>IF(L734="","",INDEX('Aub Demand'!H:H,MATCH($O734,'Aub Demand'!$A:$A,0)))</f>
        <v>0</v>
      </c>
      <c r="AA734" s="52" t="str">
        <f t="shared" si="313"/>
        <v>-spike-</v>
      </c>
      <c r="AB734" s="52">
        <f>IFERROR(INDEX('Aub Demand'!L:L,MATCH($O734,'Aub Demand'!$A:$A,0)),"")</f>
        <v>0</v>
      </c>
      <c r="AC734" s="52">
        <f>IFERROR(IF(O734="","",SUMIFS('CPL Mats'!F:F,'CPL Mats'!Q:Q,AR734,'CPL Mats'!S:S,AS734)),"")</f>
        <v>0</v>
      </c>
      <c r="AF734" s="25" t="str">
        <f>IF(SUMIFS('Supp Consol'!S:S,'Supp Consol'!Y:Y,"Releasable",'Supp Consol'!A:A,O734)=0,"",SUMIFS('Supp Consol'!S:S,'Supp Consol'!Y:Y,"Releasable",'Supp Consol'!A:A,O734))</f>
        <v/>
      </c>
      <c r="AG734" s="25" t="str">
        <f>IFERROR(INDEX('Hun Demand'!Q:Q,MATCH(O734,'Hun Demand'!A:A,0)),"")</f>
        <v/>
      </c>
      <c r="AH734" s="25" t="str">
        <f>IFERROR(INDEX('Hun Demand'!H:H,MATCH($O734,'Hun Demand'!$A:$A,0)),"")</f>
        <v/>
      </c>
      <c r="AI734" s="25" t="str">
        <f>IF(SUMIFS('Supp Consol'!AA:AA,'Supp Consol'!Z:Z,"Expires this month",'Supp Consol'!A:A,O734)=0,"",SUMIFS('Supp Consol'!AA:AA,'Supp Consol'!Z:Z,"Expires this month",'Supp Consol'!A:A,O734))</f>
        <v/>
      </c>
      <c r="AJ734" s="25" t="str">
        <f>IF(SUMIFS('Supp Consol'!AA:AA,'Supp Consol'!Z:Z,"Expired Previous Months",'Supp Consol'!A:A,O734)=0,"",SUMIFS('Supp Consol'!AA:AA,'Supp Consol'!Z:Z,"Expired Previous Months",'Supp Consol'!A:A,O734))</f>
        <v/>
      </c>
      <c r="AK734" s="25" t="str">
        <f>IFERROR(INDEX('Hun Release Current'!B:B,MATCH(O734,'Hun Release Current'!A:A,0)),"")</f>
        <v/>
      </c>
      <c r="AL734" s="25" t="str">
        <f>IF(SUMIF('Prev Aub'!A:A,O734,'Prev Aub'!B:B)=0,"",SUMIF('Prev Aub'!A:A,O734,'Prev Aub'!B:B))</f>
        <v/>
      </c>
      <c r="AN734" s="25" t="s">
        <v>3790</v>
      </c>
      <c r="AO734" s="25" t="s">
        <v>3790</v>
      </c>
      <c r="AP734" s="25">
        <f t="shared" si="314"/>
        <v>0</v>
      </c>
      <c r="AQ734" s="151" t="str">
        <f>IF(SUMIFS('Supp Consol'!S:S,'Supp Consol'!A:A,O734,'Supp Consol'!I:I,"PENDING")=0,"",SUMIFS('Supp Consol'!S:S,'Supp Consol'!A:A,O734,'Supp Consol'!I:I,"PENDING"))</f>
        <v/>
      </c>
      <c r="AR734" s="27" t="str">
        <f t="shared" si="315"/>
        <v>M5196</v>
      </c>
      <c r="AS734" s="27" t="str">
        <f t="shared" si="316"/>
        <v>58</v>
      </c>
      <c r="AT734" s="27" t="str">
        <f t="shared" si="317"/>
        <v/>
      </c>
      <c r="AU734" s="27" t="str">
        <f t="shared" si="318"/>
        <v/>
      </c>
      <c r="AV734" s="27" t="str">
        <f t="shared" si="319"/>
        <v/>
      </c>
      <c r="AW734" s="27" t="str">
        <f t="shared" si="320"/>
        <v/>
      </c>
      <c r="AX734" s="27" t="str">
        <f t="shared" si="321"/>
        <v/>
      </c>
      <c r="AY734" s="27" t="str">
        <f t="shared" si="322"/>
        <v/>
      </c>
      <c r="AZ734" s="27" t="str">
        <f t="shared" si="323"/>
        <v/>
      </c>
      <c r="BA734" s="27" t="str">
        <f t="shared" si="324"/>
        <v/>
      </c>
      <c r="BB734" s="27" t="str">
        <f t="shared" si="325"/>
        <v/>
      </c>
      <c r="BC734" s="27" t="str">
        <f t="shared" si="326"/>
        <v/>
      </c>
      <c r="BD734" s="27" t="str">
        <f t="shared" si="327"/>
        <v/>
      </c>
      <c r="BE734" s="27" t="str">
        <f t="shared" si="328"/>
        <v/>
      </c>
      <c r="BF734" s="27" t="str">
        <f t="shared" si="329"/>
        <v/>
      </c>
      <c r="BG734" s="27" t="str">
        <f t="shared" si="330"/>
        <v/>
      </c>
      <c r="BH734" s="27" t="str">
        <f t="shared" si="331"/>
        <v/>
      </c>
      <c r="BI734" s="27" t="str">
        <f t="shared" si="332"/>
        <v/>
      </c>
      <c r="BJ734" s="27" t="str">
        <f t="shared" si="333"/>
        <v/>
      </c>
      <c r="BK734" s="27" t="str">
        <f t="shared" si="334"/>
        <v/>
      </c>
      <c r="BL734" s="27" t="str">
        <f t="shared" si="335"/>
        <v/>
      </c>
      <c r="BM734" s="21" t="s">
        <v>3790</v>
      </c>
    </row>
    <row r="735" spans="1:65" ht="15">
      <c r="A735" s="25" t="str">
        <f>IFERROR(INDEX('Hun Demand'!W:W,MATCH(O735,'Hun Demand'!A:A,0)),"")</f>
        <v/>
      </c>
      <c r="B735" s="25" t="str">
        <f>IFERROR(INDEX('Hun Demand'!V:V,MATCH(O735,'Hun Demand'!A:A,0)),"")</f>
        <v/>
      </c>
      <c r="C735" s="25" t="str">
        <f>IFERROR(INDEX('Hun Demand'!U:U,MATCH(O735,'Hun Demand'!A:A,0)),"")</f>
        <v/>
      </c>
      <c r="D735" s="25" t="str">
        <f>IFERROR(INDEX('Hun Demand'!T:T,MATCH(O735,'Hun Demand'!A:A,0)),"")</f>
        <v/>
      </c>
      <c r="E735" s="25" t="str">
        <f>IFERROR(INDEX('Hun Demand'!S:S,MATCH(O735,'Hun Demand'!A:A,0)),"")</f>
        <v/>
      </c>
      <c r="F735" s="25" t="str">
        <f>IFERROR(INDEX('Hun Demand'!R:R,MATCH(O735,'Hun Demand'!A:A,0)),"")</f>
        <v/>
      </c>
      <c r="G735" s="25">
        <f>IFERROR(INDEX('Aub Demand'!W:W,MATCH(O735,'Aub Demand'!A:A,0)),"")</f>
        <v>0</v>
      </c>
      <c r="H735" s="25">
        <f>IFERROR(INDEX('Aub Demand'!V:V,MATCH(O735,'Aub Demand'!A:A,0)),"")</f>
        <v>0</v>
      </c>
      <c r="I735" s="25">
        <f>IFERROR(INDEX('Aub Demand'!U:U,MATCH(O735,'Aub Demand'!A:A,0)),"")</f>
        <v>0</v>
      </c>
      <c r="J735" s="25">
        <f>IFERROR(INDEX('Aub Demand'!T:T,MATCH(O735,'Aub Demand'!A:A,0)),"")</f>
        <v>0</v>
      </c>
      <c r="K735" s="25">
        <f>IFERROR(INDEX('Aub Demand'!S:S,MATCH(O735,'Aub Demand'!A:A,0)),"")</f>
        <v>0</v>
      </c>
      <c r="L735" s="25">
        <f>IFERROR(INDEX('Aub Demand'!R:R,MATCH(O735,'Aub Demand'!A:A,0)),"")</f>
        <v>0</v>
      </c>
      <c r="O735" s="27" t="s">
        <v>2301</v>
      </c>
      <c r="P735" s="27" t="str">
        <f>IFERROR(INDEX('Aub Demand'!B:B,MATCH($O735,'Aub Demand'!$A:$A,0)),"")</f>
        <v>Velvet Finish Releas</v>
      </c>
      <c r="Q735" s="27" t="str">
        <f>IFERROR(INDEX('Aub Demand'!C:C,MATCH($O735,'Aub Demand'!$A:$A,0)),"")</f>
        <v>NOVAC</v>
      </c>
      <c r="R735" s="52">
        <f>IFERROR(IF(AR736=AR735,INDEX('Aub Demand'!K:K,MATCH($O735,'Aub Demand'!$A:$A,0))-IF(AN735="",0,AN735)+AP736,INDEX('Aub Demand'!K:K,MATCH($O735,'Aub Demand'!$A:$A,0))-IF(AN735="",0,AN735)),"")</f>
        <v>646</v>
      </c>
      <c r="S735" s="53" t="str">
        <f t="shared" si="308"/>
        <v>n/a</v>
      </c>
      <c r="T735" s="52" t="str">
        <f t="shared" si="309"/>
        <v/>
      </c>
      <c r="U735" s="52">
        <f>IFERROR(IF(AR736=AR735,INDEX('Aub Demand'!Q:Q,MATCH($O735,'Aub Demand'!$A:$A,0))-IF(AN735="",0,AN735)+AP736,INDEX('Aub Demand'!Q:Q,MATCH($O735,'Aub Demand'!$A:$A,0))-IF(AN735="",0,AN735)),"")</f>
        <v>636</v>
      </c>
      <c r="V735" s="53" t="str">
        <f t="shared" si="310"/>
        <v>n/a</v>
      </c>
      <c r="W735" s="52" t="str">
        <f t="shared" si="311"/>
        <v/>
      </c>
      <c r="X735" s="52">
        <f>IFERROR(IF(AND(AR736=AR735,AM735&lt;&gt;""),INDEX('Aub Demand'!Q:Q,MATCH($O735,'Aub Demand'!$A:$A,0))-IF(AN735="",0,AN735)+AP736+AD735+AL735,IF(AR736=AR735,INDEX('Aub Demand'!Q:Q,MATCH($O735,'Aub Demand'!$A:$A,0))-IF(AN735="",0,AN735)+AP736+AD735,IF(AM735&lt;&gt;"",INDEX('Aub Demand'!Q:Q,MATCH($O735,'Aub Demand'!$A:$A,0))-IF(AN735="",0,AN735)+AD735+AL735,INDEX('Aub Demand'!Q:Q,MATCH($O735,'Aub Demand'!$A:$A,0))-IF(AN735="",0,AN735)+AD735))),"")</f>
        <v>636</v>
      </c>
      <c r="Y735" s="53" t="str">
        <f t="shared" si="312"/>
        <v>n/a</v>
      </c>
      <c r="Z735" s="52">
        <f>IF(L735="","",INDEX('Aub Demand'!H:H,MATCH($O735,'Aub Demand'!$A:$A,0)))</f>
        <v>0</v>
      </c>
      <c r="AA735" s="52" t="str">
        <f t="shared" si="313"/>
        <v>-spike-</v>
      </c>
      <c r="AB735" s="52">
        <f>IFERROR(INDEX('Aub Demand'!L:L,MATCH($O735,'Aub Demand'!$A:$A,0)),"")</f>
        <v>68</v>
      </c>
      <c r="AC735" s="52">
        <f>IFERROR(IF(O735="","",SUMIFS('CPL Mats'!F:F,'CPL Mats'!Q:Q,AR735,'CPL Mats'!S:S,AS735)),"")</f>
        <v>0</v>
      </c>
      <c r="AF735" s="25" t="str">
        <f>IF(SUMIFS('Supp Consol'!S:S,'Supp Consol'!Y:Y,"Releasable",'Supp Consol'!A:A,O735)=0,"",SUMIFS('Supp Consol'!S:S,'Supp Consol'!Y:Y,"Releasable",'Supp Consol'!A:A,O735))</f>
        <v/>
      </c>
      <c r="AG735" s="25" t="str">
        <f>IFERROR(INDEX('Hun Demand'!Q:Q,MATCH(O735,'Hun Demand'!A:A,0)),"")</f>
        <v/>
      </c>
      <c r="AH735" s="25" t="str">
        <f>IFERROR(INDEX('Hun Demand'!H:H,MATCH($O735,'Hun Demand'!$A:$A,0)),"")</f>
        <v/>
      </c>
      <c r="AI735" s="25" t="str">
        <f>IF(SUMIFS('Supp Consol'!AA:AA,'Supp Consol'!Z:Z,"Expires this month",'Supp Consol'!A:A,O735)=0,"",SUMIFS('Supp Consol'!AA:AA,'Supp Consol'!Z:Z,"Expires this month",'Supp Consol'!A:A,O735))</f>
        <v/>
      </c>
      <c r="AJ735" s="25" t="str">
        <f>IF(SUMIFS('Supp Consol'!AA:AA,'Supp Consol'!Z:Z,"Expired Previous Months",'Supp Consol'!A:A,O735)=0,"",SUMIFS('Supp Consol'!AA:AA,'Supp Consol'!Z:Z,"Expired Previous Months",'Supp Consol'!A:A,O735))</f>
        <v/>
      </c>
      <c r="AK735" s="25" t="str">
        <f>IFERROR(INDEX('Hun Release Current'!B:B,MATCH(O735,'Hun Release Current'!A:A,0)),"")</f>
        <v/>
      </c>
      <c r="AL735" s="25" t="str">
        <f>IF(SUMIF('Prev Aub'!A:A,O735,'Prev Aub'!B:B)=0,"",SUMIF('Prev Aub'!A:A,O735,'Prev Aub'!B:B))</f>
        <v/>
      </c>
      <c r="AN735" s="25" t="s">
        <v>3790</v>
      </c>
      <c r="AO735" s="25" t="s">
        <v>3790</v>
      </c>
      <c r="AP735" s="25">
        <f t="shared" si="314"/>
        <v>0</v>
      </c>
      <c r="AQ735" s="151" t="str">
        <f>IF(SUMIFS('Supp Consol'!S:S,'Supp Consol'!A:A,O735,'Supp Consol'!I:I,"PENDING")=0,"",SUMIFS('Supp Consol'!S:S,'Supp Consol'!A:A,O735,'Supp Consol'!I:I,"PENDING"))</f>
        <v/>
      </c>
      <c r="AR735" s="27" t="str">
        <f t="shared" si="315"/>
        <v>M5208</v>
      </c>
      <c r="AS735" s="27" t="str">
        <f t="shared" si="316"/>
        <v>37</v>
      </c>
      <c r="AT735" s="27" t="str">
        <f t="shared" si="317"/>
        <v/>
      </c>
      <c r="AU735" s="27" t="str">
        <f t="shared" si="318"/>
        <v/>
      </c>
      <c r="AV735" s="27" t="str">
        <f t="shared" si="319"/>
        <v/>
      </c>
      <c r="AW735" s="27" t="str">
        <f t="shared" si="320"/>
        <v/>
      </c>
      <c r="AX735" s="27" t="str">
        <f t="shared" si="321"/>
        <v/>
      </c>
      <c r="AY735" s="27" t="str">
        <f t="shared" si="322"/>
        <v/>
      </c>
      <c r="AZ735" s="27" t="str">
        <f t="shared" si="323"/>
        <v>Supp</v>
      </c>
      <c r="BA735" s="27" t="str">
        <f t="shared" si="324"/>
        <v/>
      </c>
      <c r="BB735" s="27" t="str">
        <f t="shared" si="325"/>
        <v>Gross</v>
      </c>
      <c r="BC735" s="27" t="str">
        <f t="shared" si="326"/>
        <v>Net</v>
      </c>
      <c r="BD735" s="27" t="str">
        <f t="shared" si="327"/>
        <v>Net</v>
      </c>
      <c r="BE735" s="27" t="str">
        <f t="shared" si="328"/>
        <v/>
      </c>
      <c r="BF735" s="27" t="str">
        <f t="shared" si="329"/>
        <v>S+N</v>
      </c>
      <c r="BG735" s="27" t="str">
        <f t="shared" si="330"/>
        <v>S+NorE</v>
      </c>
      <c r="BH735" s="27" t="str">
        <f t="shared" si="331"/>
        <v/>
      </c>
      <c r="BI735" s="27" t="str">
        <f t="shared" si="332"/>
        <v/>
      </c>
      <c r="BJ735" s="27" t="str">
        <f t="shared" si="333"/>
        <v>Supp or Hun</v>
      </c>
      <c r="BK735" s="27" t="str">
        <f t="shared" si="334"/>
        <v>Supp or Hun Need</v>
      </c>
      <c r="BL735" s="27" t="str">
        <f t="shared" si="335"/>
        <v>SorHandNandE</v>
      </c>
      <c r="BM735" s="21" t="s">
        <v>5581</v>
      </c>
    </row>
    <row r="736" spans="1:65" ht="15">
      <c r="A736" s="25" t="str">
        <f>IFERROR(INDEX('Hun Demand'!W:W,MATCH(O736,'Hun Demand'!A:A,0)),"")</f>
        <v/>
      </c>
      <c r="B736" s="25" t="str">
        <f>IFERROR(INDEX('Hun Demand'!V:V,MATCH(O736,'Hun Demand'!A:A,0)),"")</f>
        <v/>
      </c>
      <c r="C736" s="25" t="str">
        <f>IFERROR(INDEX('Hun Demand'!U:U,MATCH(O736,'Hun Demand'!A:A,0)),"")</f>
        <v/>
      </c>
      <c r="D736" s="25" t="str">
        <f>IFERROR(INDEX('Hun Demand'!T:T,MATCH(O736,'Hun Demand'!A:A,0)),"")</f>
        <v/>
      </c>
      <c r="E736" s="25" t="str">
        <f>IFERROR(INDEX('Hun Demand'!S:S,MATCH(O736,'Hun Demand'!A:A,0)),"")</f>
        <v/>
      </c>
      <c r="F736" s="25" t="str">
        <f>IFERROR(INDEX('Hun Demand'!R:R,MATCH(O736,'Hun Demand'!A:A,0)),"")</f>
        <v/>
      </c>
      <c r="G736" s="25">
        <f>IFERROR(INDEX('Aub Demand'!W:W,MATCH(O736,'Aub Demand'!A:A,0)),"")</f>
        <v>1527</v>
      </c>
      <c r="H736" s="25">
        <f>IFERROR(INDEX('Aub Demand'!V:V,MATCH(O736,'Aub Demand'!A:A,0)),"")</f>
        <v>683</v>
      </c>
      <c r="I736" s="25">
        <f>IFERROR(INDEX('Aub Demand'!U:U,MATCH(O736,'Aub Demand'!A:A,0)),"")</f>
        <v>0</v>
      </c>
      <c r="J736" s="25">
        <f>IFERROR(INDEX('Aub Demand'!T:T,MATCH(O736,'Aub Demand'!A:A,0)),"")</f>
        <v>1531</v>
      </c>
      <c r="K736" s="25">
        <f>IFERROR(INDEX('Aub Demand'!S:S,MATCH(O736,'Aub Demand'!A:A,0)),"")</f>
        <v>437</v>
      </c>
      <c r="L736" s="25">
        <f>IFERROR(INDEX('Aub Demand'!R:R,MATCH(O736,'Aub Demand'!A:A,0)),"")</f>
        <v>0</v>
      </c>
      <c r="O736" s="27" t="s">
        <v>2304</v>
      </c>
      <c r="P736" s="27" t="str">
        <f>IFERROR(INDEX('Aub Demand'!B:B,MATCH($O736,'Aub Demand'!$A:$A,0)),"")</f>
        <v>Velvet Finish Releas</v>
      </c>
      <c r="Q736" s="27" t="str">
        <f>IFERROR(INDEX('Aub Demand'!C:C,MATCH($O736,'Aub Demand'!$A:$A,0)),"")</f>
        <v>NOVAC</v>
      </c>
      <c r="R736" s="52">
        <f>IFERROR(IF(AR737=AR736,INDEX('Aub Demand'!K:K,MATCH($O736,'Aub Demand'!$A:$A,0))-IF(AN736="",0,AN736)+AP737,INDEX('Aub Demand'!K:K,MATCH($O736,'Aub Demand'!$A:$A,0))-IF(AN736="",0,AN736)),"")</f>
        <v>888</v>
      </c>
      <c r="S736" s="53">
        <f t="shared" si="308"/>
        <v>5.8</v>
      </c>
      <c r="T736" s="52" t="str">
        <f t="shared" si="309"/>
        <v/>
      </c>
      <c r="U736" s="52">
        <f>IFERROR(IF(AR737=AR736,INDEX('Aub Demand'!Q:Q,MATCH($O736,'Aub Demand'!$A:$A,0))-IF(AN736="",0,AN736)+AP737,INDEX('Aub Demand'!Q:Q,MATCH($O736,'Aub Demand'!$A:$A,0))-IF(AN736="",0,AN736)),"")</f>
        <v>629</v>
      </c>
      <c r="V736" s="53">
        <f t="shared" si="310"/>
        <v>4.0999999999999996</v>
      </c>
      <c r="W736" s="52" t="str">
        <f t="shared" si="311"/>
        <v/>
      </c>
      <c r="X736" s="52">
        <f>IFERROR(IF(AND(AR737=AR736,AM736&lt;&gt;""),INDEX('Aub Demand'!Q:Q,MATCH($O736,'Aub Demand'!$A:$A,0))-IF(AN736="",0,AN736)+AP737+AD736+AL736,IF(AR737=AR736,INDEX('Aub Demand'!Q:Q,MATCH($O736,'Aub Demand'!$A:$A,0))-IF(AN736="",0,AN736)+AP737+AD736,IF(AM736&lt;&gt;"",INDEX('Aub Demand'!Q:Q,MATCH($O736,'Aub Demand'!$A:$A,0))-IF(AN736="",0,AN736)+AD736+AL736,INDEX('Aub Demand'!Q:Q,MATCH($O736,'Aub Demand'!$A:$A,0))-IF(AN736="",0,AN736)+AD736))),"")</f>
        <v>629</v>
      </c>
      <c r="Y736" s="53">
        <f t="shared" si="312"/>
        <v>4.0999999999999996</v>
      </c>
      <c r="Z736" s="52">
        <f>IF(L736="","",INDEX('Aub Demand'!H:H,MATCH($O736,'Aub Demand'!$A:$A,0)))</f>
        <v>656</v>
      </c>
      <c r="AA736" s="52">
        <f t="shared" si="313"/>
        <v>984</v>
      </c>
      <c r="AB736" s="52">
        <f>IFERROR(INDEX('Aub Demand'!L:L,MATCH($O736,'Aub Demand'!$A:$A,0)),"")</f>
        <v>335</v>
      </c>
      <c r="AC736" s="52">
        <f>IFERROR(IF(O736="","",SUMIFS('CPL Mats'!F:F,'CPL Mats'!Q:Q,AR736,'CPL Mats'!S:S,AS736)),"")</f>
        <v>0</v>
      </c>
      <c r="AF736" s="25">
        <f>IF(SUMIFS('Supp Consol'!S:S,'Supp Consol'!Y:Y,"Releasable",'Supp Consol'!A:A,O736)=0,"",SUMIFS('Supp Consol'!S:S,'Supp Consol'!Y:Y,"Releasable",'Supp Consol'!A:A,O736))</f>
        <v>2000</v>
      </c>
      <c r="AG736" s="25" t="str">
        <f>IFERROR(INDEX('Hun Demand'!Q:Q,MATCH(O736,'Hun Demand'!A:A,0)),"")</f>
        <v/>
      </c>
      <c r="AH736" s="25" t="str">
        <f>IFERROR(INDEX('Hun Demand'!H:H,MATCH($O736,'Hun Demand'!$A:$A,0)),"")</f>
        <v/>
      </c>
      <c r="AI736" s="25" t="str">
        <f>IF(SUMIFS('Supp Consol'!AA:AA,'Supp Consol'!Z:Z,"Expires this month",'Supp Consol'!A:A,O736)=0,"",SUMIFS('Supp Consol'!AA:AA,'Supp Consol'!Z:Z,"Expires this month",'Supp Consol'!A:A,O736))</f>
        <v/>
      </c>
      <c r="AJ736" s="25" t="str">
        <f>IF(SUMIFS('Supp Consol'!AA:AA,'Supp Consol'!Z:Z,"Expired Previous Months",'Supp Consol'!A:A,O736)=0,"",SUMIFS('Supp Consol'!AA:AA,'Supp Consol'!Z:Z,"Expired Previous Months",'Supp Consol'!A:A,O736))</f>
        <v/>
      </c>
      <c r="AK736" s="25" t="str">
        <f>IFERROR(INDEX('Hun Release Current'!B:B,MATCH(O736,'Hun Release Current'!A:A,0)),"")</f>
        <v/>
      </c>
      <c r="AL736" s="25" t="str">
        <f>IF(SUMIF('Prev Aub'!A:A,O736,'Prev Aub'!B:B)=0,"",SUMIF('Prev Aub'!A:A,O736,'Prev Aub'!B:B))</f>
        <v/>
      </c>
      <c r="AN736" s="25" t="s">
        <v>3790</v>
      </c>
      <c r="AO736" s="25" t="s">
        <v>3790</v>
      </c>
      <c r="AP736" s="25">
        <f t="shared" si="314"/>
        <v>0</v>
      </c>
      <c r="AQ736" s="151" t="str">
        <f>IF(SUMIFS('Supp Consol'!S:S,'Supp Consol'!A:A,O736,'Supp Consol'!I:I,"PENDING")=0,"",SUMIFS('Supp Consol'!S:S,'Supp Consol'!A:A,O736,'Supp Consol'!I:I,"PENDING"))</f>
        <v/>
      </c>
      <c r="AR736" s="27" t="str">
        <f t="shared" si="315"/>
        <v>M5208</v>
      </c>
      <c r="AS736" s="27" t="str">
        <f t="shared" si="316"/>
        <v>50</v>
      </c>
      <c r="AT736" s="27" t="str">
        <f t="shared" si="317"/>
        <v/>
      </c>
      <c r="AU736" s="27" t="str">
        <f t="shared" si="318"/>
        <v/>
      </c>
      <c r="AV736" s="27" t="str">
        <f t="shared" si="319"/>
        <v/>
      </c>
      <c r="AW736" s="27" t="str">
        <f t="shared" si="320"/>
        <v/>
      </c>
      <c r="AX736" s="27" t="str">
        <f t="shared" si="321"/>
        <v>M5208</v>
      </c>
      <c r="AY736" s="27" t="str">
        <f t="shared" si="322"/>
        <v/>
      </c>
      <c r="AZ736" s="27" t="str">
        <f t="shared" si="323"/>
        <v>Supp</v>
      </c>
      <c r="BA736" s="27" t="str">
        <f t="shared" si="324"/>
        <v/>
      </c>
      <c r="BB736" s="27" t="str">
        <f t="shared" si="325"/>
        <v>Gross</v>
      </c>
      <c r="BC736" s="27" t="str">
        <f t="shared" si="326"/>
        <v>Net</v>
      </c>
      <c r="BD736" s="27" t="str">
        <f t="shared" si="327"/>
        <v>Net</v>
      </c>
      <c r="BE736" s="27" t="str">
        <f t="shared" si="328"/>
        <v/>
      </c>
      <c r="BF736" s="27" t="str">
        <f t="shared" si="329"/>
        <v>S+N</v>
      </c>
      <c r="BG736" s="27" t="str">
        <f t="shared" si="330"/>
        <v>S+NorE</v>
      </c>
      <c r="BH736" s="27" t="str">
        <f t="shared" si="331"/>
        <v/>
      </c>
      <c r="BI736" s="27" t="str">
        <f t="shared" si="332"/>
        <v/>
      </c>
      <c r="BJ736" s="27" t="str">
        <f t="shared" si="333"/>
        <v>Supp or Hun</v>
      </c>
      <c r="BK736" s="27" t="str">
        <f t="shared" si="334"/>
        <v>Supp or Hun Need</v>
      </c>
      <c r="BL736" s="27" t="str">
        <f t="shared" si="335"/>
        <v>SorHandNandE</v>
      </c>
      <c r="BM736" s="21" t="s">
        <v>5581</v>
      </c>
    </row>
    <row r="737" spans="1:65" ht="15">
      <c r="A737" s="25" t="str">
        <f>IFERROR(INDEX('Hun Demand'!W:W,MATCH(O737,'Hun Demand'!A:A,0)),"")</f>
        <v/>
      </c>
      <c r="B737" s="25" t="str">
        <f>IFERROR(INDEX('Hun Demand'!V:V,MATCH(O737,'Hun Demand'!A:A,0)),"")</f>
        <v/>
      </c>
      <c r="C737" s="25" t="str">
        <f>IFERROR(INDEX('Hun Demand'!U:U,MATCH(O737,'Hun Demand'!A:A,0)),"")</f>
        <v/>
      </c>
      <c r="D737" s="25" t="str">
        <f>IFERROR(INDEX('Hun Demand'!T:T,MATCH(O737,'Hun Demand'!A:A,0)),"")</f>
        <v/>
      </c>
      <c r="E737" s="25" t="str">
        <f>IFERROR(INDEX('Hun Demand'!S:S,MATCH(O737,'Hun Demand'!A:A,0)),"")</f>
        <v/>
      </c>
      <c r="F737" s="25" t="str">
        <f>IFERROR(INDEX('Hun Demand'!R:R,MATCH(O737,'Hun Demand'!A:A,0)),"")</f>
        <v/>
      </c>
      <c r="G737" s="25">
        <f>IFERROR(INDEX('Aub Demand'!W:W,MATCH(O737,'Aub Demand'!A:A,0)),"")</f>
        <v>431</v>
      </c>
      <c r="H737" s="25">
        <f>IFERROR(INDEX('Aub Demand'!V:V,MATCH(O737,'Aub Demand'!A:A,0)),"")</f>
        <v>151</v>
      </c>
      <c r="I737" s="25">
        <f>IFERROR(INDEX('Aub Demand'!U:U,MATCH(O737,'Aub Demand'!A:A,0)),"")</f>
        <v>410</v>
      </c>
      <c r="J737" s="25">
        <f>IFERROR(INDEX('Aub Demand'!T:T,MATCH(O737,'Aub Demand'!A:A,0)),"")</f>
        <v>206</v>
      </c>
      <c r="K737" s="25">
        <f>IFERROR(INDEX('Aub Demand'!S:S,MATCH(O737,'Aub Demand'!A:A,0)),"")</f>
        <v>77</v>
      </c>
      <c r="L737" s="25">
        <f>IFERROR(INDEX('Aub Demand'!R:R,MATCH(O737,'Aub Demand'!A:A,0)),"")</f>
        <v>0</v>
      </c>
      <c r="O737" s="27" t="s">
        <v>2305</v>
      </c>
      <c r="P737" s="27" t="str">
        <f>IFERROR(INDEX('Aub Demand'!B:B,MATCH($O737,'Aub Demand'!$A:$A,0)),"")</f>
        <v>Velvet Finish Releas</v>
      </c>
      <c r="Q737" s="27" t="str">
        <f>IFERROR(INDEX('Aub Demand'!C:C,MATCH($O737,'Aub Demand'!$A:$A,0)),"")</f>
        <v>NOVAC</v>
      </c>
      <c r="R737" s="52">
        <f>IFERROR(IF(AR738=AR737,INDEX('Aub Demand'!K:K,MATCH($O737,'Aub Demand'!$A:$A,0))-IF(AN737="",0,AN737)+AP738,INDEX('Aub Demand'!K:K,MATCH($O737,'Aub Demand'!$A:$A,0))-IF(AN737="",0,AN737)),"")</f>
        <v>0</v>
      </c>
      <c r="S737" s="53">
        <f t="shared" si="308"/>
        <v>0</v>
      </c>
      <c r="T737" s="52">
        <f t="shared" si="309"/>
        <v>231</v>
      </c>
      <c r="U737" s="52">
        <f>IFERROR(IF(AR738=AR737,INDEX('Aub Demand'!Q:Q,MATCH($O737,'Aub Demand'!$A:$A,0))-IF(AN737="",0,AN737)+AP738,INDEX('Aub Demand'!Q:Q,MATCH($O737,'Aub Demand'!$A:$A,0))-IF(AN737="",0,AN737)),"")</f>
        <v>-224</v>
      </c>
      <c r="V737" s="53">
        <f t="shared" si="310"/>
        <v>-4.2</v>
      </c>
      <c r="W737" s="52">
        <f t="shared" si="311"/>
        <v>554.4</v>
      </c>
      <c r="X737" s="52">
        <f>IFERROR(IF(AND(AR738=AR737,AM737&lt;&gt;""),INDEX('Aub Demand'!Q:Q,MATCH($O737,'Aub Demand'!$A:$A,0))-IF(AN737="",0,AN737)+AP738+AD737+AL737,IF(AR738=AR737,INDEX('Aub Demand'!Q:Q,MATCH($O737,'Aub Demand'!$A:$A,0))-IF(AN737="",0,AN737)+AP738+AD737,IF(AM737&lt;&gt;"",INDEX('Aub Demand'!Q:Q,MATCH($O737,'Aub Demand'!$A:$A,0))-IF(AN737="",0,AN737)+AD737+AL737,INDEX('Aub Demand'!Q:Q,MATCH($O737,'Aub Demand'!$A:$A,0))-IF(AN737="",0,AN737)+AD737))),"")</f>
        <v>-224</v>
      </c>
      <c r="Y737" s="53">
        <f t="shared" si="312"/>
        <v>-4.2</v>
      </c>
      <c r="Z737" s="52">
        <f>IF(L737="","",INDEX('Aub Demand'!H:H,MATCH($O737,'Aub Demand'!$A:$A,0)))</f>
        <v>231</v>
      </c>
      <c r="AA737" s="52">
        <f t="shared" si="313"/>
        <v>308</v>
      </c>
      <c r="AB737" s="52">
        <f>IFERROR(INDEX('Aub Demand'!L:L,MATCH($O737,'Aub Demand'!$A:$A,0)),"")</f>
        <v>146</v>
      </c>
      <c r="AC737" s="52">
        <f>IFERROR(IF(O737="","",SUMIFS('CPL Mats'!F:F,'CPL Mats'!Q:Q,AR737,'CPL Mats'!S:S,AS737)),"")</f>
        <v>0</v>
      </c>
      <c r="AF737" s="25" t="str">
        <f>IF(SUMIFS('Supp Consol'!S:S,'Supp Consol'!Y:Y,"Releasable",'Supp Consol'!A:A,O737)=0,"",SUMIFS('Supp Consol'!S:S,'Supp Consol'!Y:Y,"Releasable",'Supp Consol'!A:A,O737))</f>
        <v/>
      </c>
      <c r="AG737" s="25" t="str">
        <f>IFERROR(INDEX('Hun Demand'!Q:Q,MATCH(O737,'Hun Demand'!A:A,0)),"")</f>
        <v/>
      </c>
      <c r="AH737" s="25" t="str">
        <f>IFERROR(INDEX('Hun Demand'!H:H,MATCH($O737,'Hun Demand'!$A:$A,0)),"")</f>
        <v/>
      </c>
      <c r="AI737" s="25" t="str">
        <f>IF(SUMIFS('Supp Consol'!AA:AA,'Supp Consol'!Z:Z,"Expires this month",'Supp Consol'!A:A,O737)=0,"",SUMIFS('Supp Consol'!AA:AA,'Supp Consol'!Z:Z,"Expires this month",'Supp Consol'!A:A,O737))</f>
        <v/>
      </c>
      <c r="AJ737" s="25" t="str">
        <f>IF(SUMIFS('Supp Consol'!AA:AA,'Supp Consol'!Z:Z,"Expired Previous Months",'Supp Consol'!A:A,O737)=0,"",SUMIFS('Supp Consol'!AA:AA,'Supp Consol'!Z:Z,"Expired Previous Months",'Supp Consol'!A:A,O737))</f>
        <v/>
      </c>
      <c r="AK737" s="25" t="str">
        <f>IFERROR(INDEX('Hun Release Current'!B:B,MATCH(O737,'Hun Release Current'!A:A,0)),"")</f>
        <v/>
      </c>
      <c r="AL737" s="25" t="str">
        <f>IF(SUMIF('Prev Aub'!A:A,O737,'Prev Aub'!B:B)=0,"",SUMIF('Prev Aub'!A:A,O737,'Prev Aub'!B:B))</f>
        <v/>
      </c>
      <c r="AN737" s="25" t="s">
        <v>3790</v>
      </c>
      <c r="AO737" s="25" t="s">
        <v>3790</v>
      </c>
      <c r="AP737" s="25">
        <f t="shared" si="314"/>
        <v>0</v>
      </c>
      <c r="AQ737" s="151" t="str">
        <f>IF(SUMIFS('Supp Consol'!S:S,'Supp Consol'!A:A,O737,'Supp Consol'!I:I,"PENDING")=0,"",SUMIFS('Supp Consol'!S:S,'Supp Consol'!A:A,O737,'Supp Consol'!I:I,"PENDING"))</f>
        <v/>
      </c>
      <c r="AR737" s="27" t="str">
        <f t="shared" si="315"/>
        <v>M5208</v>
      </c>
      <c r="AS737" s="27" t="str">
        <f t="shared" si="316"/>
        <v>62</v>
      </c>
      <c r="AT737" s="27" t="str">
        <f t="shared" si="317"/>
        <v>M5208</v>
      </c>
      <c r="AU737" s="27" t="str">
        <f t="shared" si="318"/>
        <v>M5208</v>
      </c>
      <c r="AV737" s="27" t="str">
        <f t="shared" si="319"/>
        <v>M5208</v>
      </c>
      <c r="AW737" s="27" t="str">
        <f t="shared" si="320"/>
        <v/>
      </c>
      <c r="AX737" s="27" t="str">
        <f t="shared" si="321"/>
        <v/>
      </c>
      <c r="AY737" s="27" t="str">
        <f t="shared" si="322"/>
        <v/>
      </c>
      <c r="AZ737" s="27" t="str">
        <f t="shared" si="323"/>
        <v>Supp</v>
      </c>
      <c r="BA737" s="27" t="str">
        <f t="shared" si="324"/>
        <v/>
      </c>
      <c r="BB737" s="27" t="str">
        <f t="shared" si="325"/>
        <v>Gross</v>
      </c>
      <c r="BC737" s="27" t="str">
        <f t="shared" si="326"/>
        <v>Net</v>
      </c>
      <c r="BD737" s="27" t="str">
        <f t="shared" si="327"/>
        <v>Net</v>
      </c>
      <c r="BE737" s="27" t="str">
        <f t="shared" si="328"/>
        <v/>
      </c>
      <c r="BF737" s="27" t="str">
        <f t="shared" si="329"/>
        <v>S+N</v>
      </c>
      <c r="BG737" s="27" t="str">
        <f t="shared" si="330"/>
        <v>S+NorE</v>
      </c>
      <c r="BH737" s="27" t="str">
        <f t="shared" si="331"/>
        <v/>
      </c>
      <c r="BI737" s="27" t="str">
        <f t="shared" si="332"/>
        <v/>
      </c>
      <c r="BJ737" s="27" t="str">
        <f t="shared" si="333"/>
        <v>Supp or Hun</v>
      </c>
      <c r="BK737" s="27" t="str">
        <f t="shared" si="334"/>
        <v>Supp or Hun Need</v>
      </c>
      <c r="BL737" s="27" t="str">
        <f t="shared" si="335"/>
        <v>SorHandNandE</v>
      </c>
      <c r="BM737" s="21" t="s">
        <v>5581</v>
      </c>
    </row>
    <row r="738" spans="1:65" ht="15">
      <c r="A738" s="25" t="str">
        <f>IFERROR(INDEX('Hun Demand'!W:W,MATCH(O738,'Hun Demand'!A:A,0)),"")</f>
        <v/>
      </c>
      <c r="B738" s="25" t="str">
        <f>IFERROR(INDEX('Hun Demand'!V:V,MATCH(O738,'Hun Demand'!A:A,0)),"")</f>
        <v/>
      </c>
      <c r="C738" s="25" t="str">
        <f>IFERROR(INDEX('Hun Demand'!U:U,MATCH(O738,'Hun Demand'!A:A,0)),"")</f>
        <v/>
      </c>
      <c r="D738" s="25" t="str">
        <f>IFERROR(INDEX('Hun Demand'!T:T,MATCH(O738,'Hun Demand'!A:A,0)),"")</f>
        <v/>
      </c>
      <c r="E738" s="25" t="str">
        <f>IFERROR(INDEX('Hun Demand'!S:S,MATCH(O738,'Hun Demand'!A:A,0)),"")</f>
        <v/>
      </c>
      <c r="F738" s="25" t="str">
        <f>IFERROR(INDEX('Hun Demand'!R:R,MATCH(O738,'Hun Demand'!A:A,0)),"")</f>
        <v/>
      </c>
      <c r="G738" s="25">
        <f>IFERROR(INDEX('Aub Demand'!W:W,MATCH(O738,'Aub Demand'!A:A,0)),"")</f>
        <v>2431</v>
      </c>
      <c r="H738" s="25">
        <f>IFERROR(INDEX('Aub Demand'!V:V,MATCH(O738,'Aub Demand'!A:A,0)),"")</f>
        <v>1550</v>
      </c>
      <c r="I738" s="25">
        <f>IFERROR(INDEX('Aub Demand'!U:U,MATCH(O738,'Aub Demand'!A:A,0)),"")</f>
        <v>1197</v>
      </c>
      <c r="J738" s="25">
        <f>IFERROR(INDEX('Aub Demand'!T:T,MATCH(O738,'Aub Demand'!A:A,0)),"")</f>
        <v>742</v>
      </c>
      <c r="K738" s="25">
        <f>IFERROR(INDEX('Aub Demand'!S:S,MATCH(O738,'Aub Demand'!A:A,0)),"")</f>
        <v>1187</v>
      </c>
      <c r="L738" s="25">
        <f>IFERROR(INDEX('Aub Demand'!R:R,MATCH(O738,'Aub Demand'!A:A,0)),"")</f>
        <v>0</v>
      </c>
      <c r="O738" s="27" t="s">
        <v>2306</v>
      </c>
      <c r="P738" s="27" t="str">
        <f>IFERROR(INDEX('Aub Demand'!B:B,MATCH($O738,'Aub Demand'!$A:$A,0)),"")</f>
        <v>Patina Release Paper</v>
      </c>
      <c r="Q738" s="27" t="str">
        <f>IFERROR(INDEX('Aub Demand'!C:C,MATCH($O738,'Aub Demand'!$A:$A,0)),"")</f>
        <v>SAPPI</v>
      </c>
      <c r="R738" s="52">
        <f>IFERROR(IF(AR739=AR738,INDEX('Aub Demand'!K:K,MATCH($O738,'Aub Demand'!$A:$A,0))-IF(AN738="",0,AN738)+AP739,INDEX('Aub Demand'!K:K,MATCH($O738,'Aub Demand'!$A:$A,0))-IF(AN738="",0,AN738)),"")</f>
        <v>3286</v>
      </c>
      <c r="S738" s="53">
        <f t="shared" si="308"/>
        <v>13.5</v>
      </c>
      <c r="T738" s="52" t="str">
        <f t="shared" si="309"/>
        <v/>
      </c>
      <c r="U738" s="52">
        <f>IFERROR(IF(AR739=AR738,INDEX('Aub Demand'!Q:Q,MATCH($O738,'Aub Demand'!$A:$A,0))-IF(AN738="",0,AN738)+AP739,INDEX('Aub Demand'!Q:Q,MATCH($O738,'Aub Demand'!$A:$A,0))-IF(AN738="",0,AN738)),"")</f>
        <v>1131</v>
      </c>
      <c r="V738" s="53">
        <f t="shared" si="310"/>
        <v>4.7</v>
      </c>
      <c r="W738" s="52" t="str">
        <f t="shared" si="311"/>
        <v/>
      </c>
      <c r="X738" s="52">
        <f>IFERROR(IF(AND(AR739=AR738,AM738&lt;&gt;""),INDEX('Aub Demand'!Q:Q,MATCH($O738,'Aub Demand'!$A:$A,0))-IF(AN738="",0,AN738)+AP739+AD738+AL738,IF(AR739=AR738,INDEX('Aub Demand'!Q:Q,MATCH($O738,'Aub Demand'!$A:$A,0))-IF(AN738="",0,AN738)+AP739+AD738,IF(AM738&lt;&gt;"",INDEX('Aub Demand'!Q:Q,MATCH($O738,'Aub Demand'!$A:$A,0))-IF(AN738="",0,AN738)+AD738+AL738,INDEX('Aub Demand'!Q:Q,MATCH($O738,'Aub Demand'!$A:$A,0))-IF(AN738="",0,AN738)+AD738))),"")</f>
        <v>1131</v>
      </c>
      <c r="Y738" s="53">
        <f t="shared" si="312"/>
        <v>4.7</v>
      </c>
      <c r="Z738" s="52">
        <f>IF(L738="","",INDEX('Aub Demand'!H:H,MATCH($O738,'Aub Demand'!$A:$A,0)))</f>
        <v>1042</v>
      </c>
      <c r="AA738" s="52">
        <f t="shared" si="313"/>
        <v>1192</v>
      </c>
      <c r="AB738" s="52">
        <f>IFERROR(INDEX('Aub Demand'!L:L,MATCH($O738,'Aub Demand'!$A:$A,0)),"")</f>
        <v>279</v>
      </c>
      <c r="AC738" s="52">
        <f>IFERROR(IF(O738="","",SUMIFS('CPL Mats'!F:F,'CPL Mats'!Q:Q,AR738,'CPL Mats'!S:S,AS738)),"")</f>
        <v>0</v>
      </c>
      <c r="AF738" s="25">
        <f>IF(SUMIFS('Supp Consol'!S:S,'Supp Consol'!Y:Y,"Releasable",'Supp Consol'!A:A,O738)=0,"",SUMIFS('Supp Consol'!S:S,'Supp Consol'!Y:Y,"Releasable",'Supp Consol'!A:A,O738))</f>
        <v>2620</v>
      </c>
      <c r="AG738" s="25" t="str">
        <f>IFERROR(INDEX('Hun Demand'!Q:Q,MATCH(O738,'Hun Demand'!A:A,0)),"")</f>
        <v/>
      </c>
      <c r="AH738" s="25" t="str">
        <f>IFERROR(INDEX('Hun Demand'!H:H,MATCH($O738,'Hun Demand'!$A:$A,0)),"")</f>
        <v/>
      </c>
      <c r="AI738" s="25">
        <f>IF(SUMIFS('Supp Consol'!AA:AA,'Supp Consol'!Z:Z,"Expires this month",'Supp Consol'!A:A,O738)=0,"",SUMIFS('Supp Consol'!AA:AA,'Supp Consol'!Z:Z,"Expires this month",'Supp Consol'!A:A,O738))</f>
        <v>2620</v>
      </c>
      <c r="AJ738" s="25" t="str">
        <f>IF(SUMIFS('Supp Consol'!AA:AA,'Supp Consol'!Z:Z,"Expired Previous Months",'Supp Consol'!A:A,O738)=0,"",SUMIFS('Supp Consol'!AA:AA,'Supp Consol'!Z:Z,"Expired Previous Months",'Supp Consol'!A:A,O738))</f>
        <v/>
      </c>
      <c r="AK738" s="25" t="str">
        <f>IFERROR(INDEX('Hun Release Current'!B:B,MATCH(O738,'Hun Release Current'!A:A,0)),"")</f>
        <v/>
      </c>
      <c r="AL738" s="25" t="str">
        <f>IF(SUMIF('Prev Aub'!A:A,O738,'Prev Aub'!B:B)=0,"",SUMIF('Prev Aub'!A:A,O738,'Prev Aub'!B:B))</f>
        <v/>
      </c>
      <c r="AN738" s="25" t="s">
        <v>3790</v>
      </c>
      <c r="AO738" s="25" t="s">
        <v>3790</v>
      </c>
      <c r="AP738" s="25">
        <f t="shared" si="314"/>
        <v>0</v>
      </c>
      <c r="AQ738" s="151" t="str">
        <f>IF(SUMIFS('Supp Consol'!S:S,'Supp Consol'!A:A,O738,'Supp Consol'!I:I,"PENDING")=0,"",SUMIFS('Supp Consol'!S:S,'Supp Consol'!A:A,O738,'Supp Consol'!I:I,"PENDING"))</f>
        <v/>
      </c>
      <c r="AR738" s="27" t="str">
        <f t="shared" si="315"/>
        <v>M5211</v>
      </c>
      <c r="AS738" s="27" t="str">
        <f t="shared" si="316"/>
        <v>62</v>
      </c>
      <c r="AT738" s="27" t="str">
        <f t="shared" si="317"/>
        <v/>
      </c>
      <c r="AU738" s="27" t="str">
        <f t="shared" si="318"/>
        <v/>
      </c>
      <c r="AV738" s="27" t="str">
        <f t="shared" si="319"/>
        <v/>
      </c>
      <c r="AW738" s="27" t="str">
        <f t="shared" si="320"/>
        <v>M5211</v>
      </c>
      <c r="AX738" s="27" t="str">
        <f t="shared" si="321"/>
        <v>M5211</v>
      </c>
      <c r="AY738" s="27" t="str">
        <f t="shared" si="322"/>
        <v/>
      </c>
      <c r="AZ738" s="27" t="str">
        <f t="shared" si="323"/>
        <v>Supp</v>
      </c>
      <c r="BA738" s="27" t="str">
        <f t="shared" si="324"/>
        <v/>
      </c>
      <c r="BB738" s="27" t="str">
        <f t="shared" si="325"/>
        <v/>
      </c>
      <c r="BC738" s="27" t="str">
        <f t="shared" si="326"/>
        <v/>
      </c>
      <c r="BD738" s="27" t="str">
        <f t="shared" si="327"/>
        <v/>
      </c>
      <c r="BE738" s="27" t="str">
        <f t="shared" si="328"/>
        <v>Exp</v>
      </c>
      <c r="BF738" s="27" t="str">
        <f t="shared" si="329"/>
        <v/>
      </c>
      <c r="BG738" s="27" t="str">
        <f t="shared" si="330"/>
        <v>S+NorE</v>
      </c>
      <c r="BH738" s="27" t="str">
        <f t="shared" si="331"/>
        <v/>
      </c>
      <c r="BI738" s="27" t="str">
        <f t="shared" si="332"/>
        <v/>
      </c>
      <c r="BJ738" s="27" t="str">
        <f t="shared" si="333"/>
        <v>Supp or Hun</v>
      </c>
      <c r="BK738" s="27" t="str">
        <f t="shared" si="334"/>
        <v/>
      </c>
      <c r="BL738" s="27" t="str">
        <f t="shared" si="335"/>
        <v>SorHandNandE</v>
      </c>
      <c r="BM738" s="21" t="s">
        <v>5581</v>
      </c>
    </row>
    <row r="739" spans="1:65" ht="15">
      <c r="A739" s="25" t="str">
        <f>IFERROR(INDEX('Hun Demand'!W:W,MATCH(O739,'Hun Demand'!A:A,0)),"")</f>
        <v/>
      </c>
      <c r="B739" s="25" t="str">
        <f>IFERROR(INDEX('Hun Demand'!V:V,MATCH(O739,'Hun Demand'!A:A,0)),"")</f>
        <v/>
      </c>
      <c r="C739" s="25" t="str">
        <f>IFERROR(INDEX('Hun Demand'!U:U,MATCH(O739,'Hun Demand'!A:A,0)),"")</f>
        <v/>
      </c>
      <c r="D739" s="25" t="str">
        <f>IFERROR(INDEX('Hun Demand'!T:T,MATCH(O739,'Hun Demand'!A:A,0)),"")</f>
        <v/>
      </c>
      <c r="E739" s="25" t="str">
        <f>IFERROR(INDEX('Hun Demand'!S:S,MATCH(O739,'Hun Demand'!A:A,0)),"")</f>
        <v/>
      </c>
      <c r="F739" s="25" t="str">
        <f>IFERROR(INDEX('Hun Demand'!R:R,MATCH(O739,'Hun Demand'!A:A,0)),"")</f>
        <v/>
      </c>
      <c r="G739" s="25">
        <f>IFERROR(INDEX('Aub Demand'!W:W,MATCH(O739,'Aub Demand'!A:A,0)),"")</f>
        <v>0</v>
      </c>
      <c r="H739" s="25">
        <f>IFERROR(INDEX('Aub Demand'!V:V,MATCH(O739,'Aub Demand'!A:A,0)),"")</f>
        <v>0</v>
      </c>
      <c r="I739" s="25">
        <f>IFERROR(INDEX('Aub Demand'!U:U,MATCH(O739,'Aub Demand'!A:A,0)),"")</f>
        <v>0</v>
      </c>
      <c r="J739" s="25">
        <f>IFERROR(INDEX('Aub Demand'!T:T,MATCH(O739,'Aub Demand'!A:A,0)),"")</f>
        <v>0</v>
      </c>
      <c r="K739" s="25">
        <f>IFERROR(INDEX('Aub Demand'!S:S,MATCH(O739,'Aub Demand'!A:A,0)),"")</f>
        <v>0</v>
      </c>
      <c r="L739" s="25">
        <f>IFERROR(INDEX('Aub Demand'!R:R,MATCH(O739,'Aub Demand'!A:A,0)),"")</f>
        <v>0</v>
      </c>
      <c r="O739" s="27" t="s">
        <v>2309</v>
      </c>
      <c r="P739" s="27" t="str">
        <f>IFERROR(INDEX('Aub Demand'!B:B,MATCH($O739,'Aub Demand'!$A:$A,0)),"")</f>
        <v>ALUMINUM .090 50X123</v>
      </c>
      <c r="Q739" s="27">
        <f>IFERROR(INDEX('Aub Demand'!C:C,MATCH($O739,'Aub Demand'!$A:$A,0)),"")</f>
        <v>0</v>
      </c>
      <c r="R739" s="52">
        <f>IFERROR(IF(AR740=AR739,INDEX('Aub Demand'!K:K,MATCH($O739,'Aub Demand'!$A:$A,0))-IF(AN739="",0,AN739)+AP740,INDEX('Aub Demand'!K:K,MATCH($O739,'Aub Demand'!$A:$A,0))-IF(AN739="",0,AN739)),"")</f>
        <v>17</v>
      </c>
      <c r="S739" s="53" t="str">
        <f t="shared" si="308"/>
        <v>n/a</v>
      </c>
      <c r="T739" s="52" t="str">
        <f t="shared" si="309"/>
        <v/>
      </c>
      <c r="U739" s="52">
        <f>IFERROR(IF(AR740=AR739,INDEX('Aub Demand'!Q:Q,MATCH($O739,'Aub Demand'!$A:$A,0))-IF(AN739="",0,AN739)+AP740,INDEX('Aub Demand'!Q:Q,MATCH($O739,'Aub Demand'!$A:$A,0))-IF(AN739="",0,AN739)),"")</f>
        <v>17</v>
      </c>
      <c r="V739" s="53" t="str">
        <f t="shared" si="310"/>
        <v>n/a</v>
      </c>
      <c r="W739" s="52" t="str">
        <f t="shared" si="311"/>
        <v/>
      </c>
      <c r="X739" s="52">
        <f>IFERROR(IF(AND(AR740=AR739,AM739&lt;&gt;""),INDEX('Aub Demand'!Q:Q,MATCH($O739,'Aub Demand'!$A:$A,0))-IF(AN739="",0,AN739)+AP740+AD739+AL739,IF(AR740=AR739,INDEX('Aub Demand'!Q:Q,MATCH($O739,'Aub Demand'!$A:$A,0))-IF(AN739="",0,AN739)+AP740+AD739,IF(AM739&lt;&gt;"",INDEX('Aub Demand'!Q:Q,MATCH($O739,'Aub Demand'!$A:$A,0))-IF(AN739="",0,AN739)+AD739+AL739,INDEX('Aub Demand'!Q:Q,MATCH($O739,'Aub Demand'!$A:$A,0))-IF(AN739="",0,AN739)+AD739))),"")</f>
        <v>17</v>
      </c>
      <c r="Y739" s="53" t="str">
        <f t="shared" si="312"/>
        <v>n/a</v>
      </c>
      <c r="Z739" s="52">
        <f>IF(L739="","",INDEX('Aub Demand'!H:H,MATCH($O739,'Aub Demand'!$A:$A,0)))</f>
        <v>0</v>
      </c>
      <c r="AA739" s="52" t="str">
        <f t="shared" si="313"/>
        <v>-spike-</v>
      </c>
      <c r="AB739" s="52">
        <f>IFERROR(INDEX('Aub Demand'!L:L,MATCH($O739,'Aub Demand'!$A:$A,0)),"")</f>
        <v>0</v>
      </c>
      <c r="AC739" s="52">
        <f>IFERROR(IF(O739="","",SUMIFS('CPL Mats'!F:F,'CPL Mats'!Q:Q,AR739,'CPL Mats'!S:S,AS739)),"")</f>
        <v>0</v>
      </c>
      <c r="AF739" s="25" t="str">
        <f>IF(SUMIFS('Supp Consol'!S:S,'Supp Consol'!Y:Y,"Releasable",'Supp Consol'!A:A,O739)=0,"",SUMIFS('Supp Consol'!S:S,'Supp Consol'!Y:Y,"Releasable",'Supp Consol'!A:A,O739))</f>
        <v/>
      </c>
      <c r="AG739" s="25" t="str">
        <f>IFERROR(INDEX('Hun Demand'!Q:Q,MATCH(O739,'Hun Demand'!A:A,0)),"")</f>
        <v/>
      </c>
      <c r="AH739" s="25" t="str">
        <f>IFERROR(INDEX('Hun Demand'!H:H,MATCH($O739,'Hun Demand'!$A:$A,0)),"")</f>
        <v/>
      </c>
      <c r="AI739" s="25" t="str">
        <f>IF(SUMIFS('Supp Consol'!AA:AA,'Supp Consol'!Z:Z,"Expires this month",'Supp Consol'!A:A,O739)=0,"",SUMIFS('Supp Consol'!AA:AA,'Supp Consol'!Z:Z,"Expires this month",'Supp Consol'!A:A,O739))</f>
        <v/>
      </c>
      <c r="AJ739" s="25" t="str">
        <f>IF(SUMIFS('Supp Consol'!AA:AA,'Supp Consol'!Z:Z,"Expired Previous Months",'Supp Consol'!A:A,O739)=0,"",SUMIFS('Supp Consol'!AA:AA,'Supp Consol'!Z:Z,"Expired Previous Months",'Supp Consol'!A:A,O739))</f>
        <v/>
      </c>
      <c r="AK739" s="25" t="str">
        <f>IFERROR(INDEX('Hun Release Current'!B:B,MATCH(O739,'Hun Release Current'!A:A,0)),"")</f>
        <v/>
      </c>
      <c r="AL739" s="25" t="str">
        <f>IF(SUMIF('Prev Aub'!A:A,O739,'Prev Aub'!B:B)=0,"",SUMIF('Prev Aub'!A:A,O739,'Prev Aub'!B:B))</f>
        <v/>
      </c>
      <c r="AN739" s="25" t="s">
        <v>3790</v>
      </c>
      <c r="AO739" s="25" t="s">
        <v>3790</v>
      </c>
      <c r="AP739" s="25">
        <f t="shared" si="314"/>
        <v>0</v>
      </c>
      <c r="AQ739" s="151" t="str">
        <f>IF(SUMIFS('Supp Consol'!S:S,'Supp Consol'!A:A,O739,'Supp Consol'!I:I,"PENDING")=0,"",SUMIFS('Supp Consol'!S:S,'Supp Consol'!A:A,O739,'Supp Consol'!I:I,"PENDING"))</f>
        <v/>
      </c>
      <c r="AR739" s="27" t="str">
        <f t="shared" si="315"/>
        <v>M5218</v>
      </c>
      <c r="AS739" s="27" t="str">
        <f t="shared" si="316"/>
        <v>40</v>
      </c>
      <c r="AT739" s="27" t="str">
        <f t="shared" si="317"/>
        <v/>
      </c>
      <c r="AU739" s="27" t="str">
        <f t="shared" si="318"/>
        <v/>
      </c>
      <c r="AV739" s="27" t="str">
        <f t="shared" si="319"/>
        <v/>
      </c>
      <c r="AW739" s="27" t="str">
        <f t="shared" si="320"/>
        <v/>
      </c>
      <c r="AX739" s="27" t="str">
        <f t="shared" si="321"/>
        <v/>
      </c>
      <c r="AY739" s="27" t="str">
        <f t="shared" si="322"/>
        <v/>
      </c>
      <c r="AZ739" s="27" t="str">
        <f t="shared" si="323"/>
        <v/>
      </c>
      <c r="BA739" s="27" t="str">
        <f t="shared" si="324"/>
        <v/>
      </c>
      <c r="BB739" s="27" t="str">
        <f t="shared" si="325"/>
        <v/>
      </c>
      <c r="BC739" s="27" t="str">
        <f t="shared" si="326"/>
        <v/>
      </c>
      <c r="BD739" s="27" t="str">
        <f t="shared" si="327"/>
        <v/>
      </c>
      <c r="BE739" s="27" t="str">
        <f t="shared" si="328"/>
        <v/>
      </c>
      <c r="BF739" s="27" t="str">
        <f t="shared" si="329"/>
        <v/>
      </c>
      <c r="BG739" s="27" t="str">
        <f t="shared" si="330"/>
        <v/>
      </c>
      <c r="BH739" s="27" t="str">
        <f t="shared" si="331"/>
        <v/>
      </c>
      <c r="BI739" s="27" t="str">
        <f t="shared" si="332"/>
        <v/>
      </c>
      <c r="BJ739" s="27" t="str">
        <f t="shared" si="333"/>
        <v/>
      </c>
      <c r="BK739" s="27" t="str">
        <f t="shared" si="334"/>
        <v/>
      </c>
      <c r="BL739" s="27" t="str">
        <f t="shared" si="335"/>
        <v/>
      </c>
      <c r="BM739" s="21" t="s">
        <v>3790</v>
      </c>
    </row>
    <row r="740" spans="1:65" ht="15">
      <c r="A740" s="25" t="str">
        <f>IFERROR(INDEX('Hun Demand'!W:W,MATCH(O740,'Hun Demand'!A:A,0)),"")</f>
        <v/>
      </c>
      <c r="B740" s="25" t="str">
        <f>IFERROR(INDEX('Hun Demand'!V:V,MATCH(O740,'Hun Demand'!A:A,0)),"")</f>
        <v/>
      </c>
      <c r="C740" s="25" t="str">
        <f>IFERROR(INDEX('Hun Demand'!U:U,MATCH(O740,'Hun Demand'!A:A,0)),"")</f>
        <v/>
      </c>
      <c r="D740" s="25" t="str">
        <f>IFERROR(INDEX('Hun Demand'!T:T,MATCH(O740,'Hun Demand'!A:A,0)),"")</f>
        <v/>
      </c>
      <c r="E740" s="25" t="str">
        <f>IFERROR(INDEX('Hun Demand'!S:S,MATCH(O740,'Hun Demand'!A:A,0)),"")</f>
        <v/>
      </c>
      <c r="F740" s="25" t="str">
        <f>IFERROR(INDEX('Hun Demand'!R:R,MATCH(O740,'Hun Demand'!A:A,0)),"")</f>
        <v/>
      </c>
      <c r="G740" s="25">
        <f>IFERROR(INDEX('Aub Demand'!W:W,MATCH(O740,'Aub Demand'!A:A,0)),"")</f>
        <v>0</v>
      </c>
      <c r="H740" s="25">
        <f>IFERROR(INDEX('Aub Demand'!V:V,MATCH(O740,'Aub Demand'!A:A,0)),"")</f>
        <v>0</v>
      </c>
      <c r="I740" s="25">
        <f>IFERROR(INDEX('Aub Demand'!U:U,MATCH(O740,'Aub Demand'!A:A,0)),"")</f>
        <v>0</v>
      </c>
      <c r="J740" s="25">
        <f>IFERROR(INDEX('Aub Demand'!T:T,MATCH(O740,'Aub Demand'!A:A,0)),"")</f>
        <v>0</v>
      </c>
      <c r="K740" s="25">
        <f>IFERROR(INDEX('Aub Demand'!S:S,MATCH(O740,'Aub Demand'!A:A,0)),"")</f>
        <v>0</v>
      </c>
      <c r="L740" s="25">
        <f>IFERROR(INDEX('Aub Demand'!R:R,MATCH(O740,'Aub Demand'!A:A,0)),"")</f>
        <v>0</v>
      </c>
      <c r="O740" s="27" t="s">
        <v>2311</v>
      </c>
      <c r="P740" s="27" t="str">
        <f>IFERROR(INDEX('Aub Demand'!B:B,MATCH($O740,'Aub Demand'!$A:$A,0)),"")</f>
        <v>ALUMINUM .090 50X146</v>
      </c>
      <c r="Q740" s="27">
        <f>IFERROR(INDEX('Aub Demand'!C:C,MATCH($O740,'Aub Demand'!$A:$A,0)),"")</f>
        <v>0</v>
      </c>
      <c r="R740" s="52">
        <f>IFERROR(IF(AR741=AR740,INDEX('Aub Demand'!K:K,MATCH($O740,'Aub Demand'!$A:$A,0))-IF(AN740="",0,AN740)+AP741,INDEX('Aub Demand'!K:K,MATCH($O740,'Aub Demand'!$A:$A,0))-IF(AN740="",0,AN740)),"")</f>
        <v>47</v>
      </c>
      <c r="S740" s="53" t="str">
        <f t="shared" si="308"/>
        <v>n/a</v>
      </c>
      <c r="T740" s="52" t="str">
        <f t="shared" si="309"/>
        <v/>
      </c>
      <c r="U740" s="52">
        <f>IFERROR(IF(AR741=AR740,INDEX('Aub Demand'!Q:Q,MATCH($O740,'Aub Demand'!$A:$A,0))-IF(AN740="",0,AN740)+AP741,INDEX('Aub Demand'!Q:Q,MATCH($O740,'Aub Demand'!$A:$A,0))-IF(AN740="",0,AN740)),"")</f>
        <v>47</v>
      </c>
      <c r="V740" s="53" t="str">
        <f t="shared" si="310"/>
        <v>n/a</v>
      </c>
      <c r="W740" s="52" t="str">
        <f t="shared" si="311"/>
        <v/>
      </c>
      <c r="X740" s="52">
        <f>IFERROR(IF(AND(AR741=AR740,AM740&lt;&gt;""),INDEX('Aub Demand'!Q:Q,MATCH($O740,'Aub Demand'!$A:$A,0))-IF(AN740="",0,AN740)+AP741+AD740+AL740,IF(AR741=AR740,INDEX('Aub Demand'!Q:Q,MATCH($O740,'Aub Demand'!$A:$A,0))-IF(AN740="",0,AN740)+AP741+AD740,IF(AM740&lt;&gt;"",INDEX('Aub Demand'!Q:Q,MATCH($O740,'Aub Demand'!$A:$A,0))-IF(AN740="",0,AN740)+AD740+AL740,INDEX('Aub Demand'!Q:Q,MATCH($O740,'Aub Demand'!$A:$A,0))-IF(AN740="",0,AN740)+AD740))),"")</f>
        <v>47</v>
      </c>
      <c r="Y740" s="53" t="str">
        <f t="shared" si="312"/>
        <v>n/a</v>
      </c>
      <c r="Z740" s="52">
        <f>IF(L740="","",INDEX('Aub Demand'!H:H,MATCH($O740,'Aub Demand'!$A:$A,0)))</f>
        <v>0</v>
      </c>
      <c r="AA740" s="52" t="str">
        <f t="shared" si="313"/>
        <v>-spike-</v>
      </c>
      <c r="AB740" s="52">
        <f>IFERROR(INDEX('Aub Demand'!L:L,MATCH($O740,'Aub Demand'!$A:$A,0)),"")</f>
        <v>0</v>
      </c>
      <c r="AC740" s="52">
        <f>IFERROR(IF(O740="","",SUMIFS('CPL Mats'!F:F,'CPL Mats'!Q:Q,AR740,'CPL Mats'!S:S,AS740)),"")</f>
        <v>0</v>
      </c>
      <c r="AF740" s="25" t="str">
        <f>IF(SUMIFS('Supp Consol'!S:S,'Supp Consol'!Y:Y,"Releasable",'Supp Consol'!A:A,O740)=0,"",SUMIFS('Supp Consol'!S:S,'Supp Consol'!Y:Y,"Releasable",'Supp Consol'!A:A,O740))</f>
        <v/>
      </c>
      <c r="AG740" s="25" t="str">
        <f>IFERROR(INDEX('Hun Demand'!Q:Q,MATCH(O740,'Hun Demand'!A:A,0)),"")</f>
        <v/>
      </c>
      <c r="AH740" s="25" t="str">
        <f>IFERROR(INDEX('Hun Demand'!H:H,MATCH($O740,'Hun Demand'!$A:$A,0)),"")</f>
        <v/>
      </c>
      <c r="AI740" s="25" t="str">
        <f>IF(SUMIFS('Supp Consol'!AA:AA,'Supp Consol'!Z:Z,"Expires this month",'Supp Consol'!A:A,O740)=0,"",SUMIFS('Supp Consol'!AA:AA,'Supp Consol'!Z:Z,"Expires this month",'Supp Consol'!A:A,O740))</f>
        <v/>
      </c>
      <c r="AJ740" s="25" t="str">
        <f>IF(SUMIFS('Supp Consol'!AA:AA,'Supp Consol'!Z:Z,"Expired Previous Months",'Supp Consol'!A:A,O740)=0,"",SUMIFS('Supp Consol'!AA:AA,'Supp Consol'!Z:Z,"Expired Previous Months",'Supp Consol'!A:A,O740))</f>
        <v/>
      </c>
      <c r="AK740" s="25" t="str">
        <f>IFERROR(INDEX('Hun Release Current'!B:B,MATCH(O740,'Hun Release Current'!A:A,0)),"")</f>
        <v/>
      </c>
      <c r="AL740" s="25" t="str">
        <f>IF(SUMIF('Prev Aub'!A:A,O740,'Prev Aub'!B:B)=0,"",SUMIF('Prev Aub'!A:A,O740,'Prev Aub'!B:B))</f>
        <v/>
      </c>
      <c r="AN740" s="25" t="s">
        <v>3790</v>
      </c>
      <c r="AO740" s="25" t="s">
        <v>3790</v>
      </c>
      <c r="AP740" s="25">
        <f t="shared" si="314"/>
        <v>0</v>
      </c>
      <c r="AQ740" s="151" t="str">
        <f>IF(SUMIFS('Supp Consol'!S:S,'Supp Consol'!A:A,O740,'Supp Consol'!I:I,"PENDING")=0,"",SUMIFS('Supp Consol'!S:S,'Supp Consol'!A:A,O740,'Supp Consol'!I:I,"PENDING"))</f>
        <v/>
      </c>
      <c r="AR740" s="27" t="str">
        <f t="shared" si="315"/>
        <v>M5218</v>
      </c>
      <c r="AS740" s="27" t="str">
        <f t="shared" si="316"/>
        <v>42</v>
      </c>
      <c r="AT740" s="27" t="str">
        <f t="shared" si="317"/>
        <v/>
      </c>
      <c r="AU740" s="27" t="str">
        <f t="shared" si="318"/>
        <v/>
      </c>
      <c r="AV740" s="27" t="str">
        <f t="shared" si="319"/>
        <v/>
      </c>
      <c r="AW740" s="27" t="str">
        <f t="shared" si="320"/>
        <v/>
      </c>
      <c r="AX740" s="27" t="str">
        <f t="shared" si="321"/>
        <v/>
      </c>
      <c r="AY740" s="27" t="str">
        <f t="shared" si="322"/>
        <v/>
      </c>
      <c r="AZ740" s="27" t="str">
        <f t="shared" si="323"/>
        <v/>
      </c>
      <c r="BA740" s="27" t="str">
        <f t="shared" si="324"/>
        <v/>
      </c>
      <c r="BB740" s="27" t="str">
        <f t="shared" si="325"/>
        <v/>
      </c>
      <c r="BC740" s="27" t="str">
        <f t="shared" si="326"/>
        <v/>
      </c>
      <c r="BD740" s="27" t="str">
        <f t="shared" si="327"/>
        <v/>
      </c>
      <c r="BE740" s="27" t="str">
        <f t="shared" si="328"/>
        <v/>
      </c>
      <c r="BF740" s="27" t="str">
        <f t="shared" si="329"/>
        <v/>
      </c>
      <c r="BG740" s="27" t="str">
        <f t="shared" si="330"/>
        <v/>
      </c>
      <c r="BH740" s="27" t="str">
        <f t="shared" si="331"/>
        <v/>
      </c>
      <c r="BI740" s="27" t="str">
        <f t="shared" si="332"/>
        <v/>
      </c>
      <c r="BJ740" s="27" t="str">
        <f t="shared" si="333"/>
        <v/>
      </c>
      <c r="BK740" s="27" t="str">
        <f t="shared" si="334"/>
        <v/>
      </c>
      <c r="BL740" s="27" t="str">
        <f t="shared" si="335"/>
        <v/>
      </c>
      <c r="BM740" s="21" t="s">
        <v>3790</v>
      </c>
    </row>
    <row r="741" spans="1:65" ht="15">
      <c r="A741" s="25" t="str">
        <f>IFERROR(INDEX('Hun Demand'!W:W,MATCH(O741,'Hun Demand'!A:A,0)),"")</f>
        <v/>
      </c>
      <c r="B741" s="25" t="str">
        <f>IFERROR(INDEX('Hun Demand'!V:V,MATCH(O741,'Hun Demand'!A:A,0)),"")</f>
        <v/>
      </c>
      <c r="C741" s="25" t="str">
        <f>IFERROR(INDEX('Hun Demand'!U:U,MATCH(O741,'Hun Demand'!A:A,0)),"")</f>
        <v/>
      </c>
      <c r="D741" s="25" t="str">
        <f>IFERROR(INDEX('Hun Demand'!T:T,MATCH(O741,'Hun Demand'!A:A,0)),"")</f>
        <v/>
      </c>
      <c r="E741" s="25" t="str">
        <f>IFERROR(INDEX('Hun Demand'!S:S,MATCH(O741,'Hun Demand'!A:A,0)),"")</f>
        <v/>
      </c>
      <c r="F741" s="25" t="str">
        <f>IFERROR(INDEX('Hun Demand'!R:R,MATCH(O741,'Hun Demand'!A:A,0)),"")</f>
        <v/>
      </c>
      <c r="G741" s="25">
        <f>IFERROR(INDEX('Aub Demand'!W:W,MATCH(O741,'Aub Demand'!A:A,0)),"")</f>
        <v>0</v>
      </c>
      <c r="H741" s="25">
        <f>IFERROR(INDEX('Aub Demand'!V:V,MATCH(O741,'Aub Demand'!A:A,0)),"")</f>
        <v>0</v>
      </c>
      <c r="I741" s="25">
        <f>IFERROR(INDEX('Aub Demand'!U:U,MATCH(O741,'Aub Demand'!A:A,0)),"")</f>
        <v>0</v>
      </c>
      <c r="J741" s="25">
        <f>IFERROR(INDEX('Aub Demand'!T:T,MATCH(O741,'Aub Demand'!A:A,0)),"")</f>
        <v>0</v>
      </c>
      <c r="K741" s="25">
        <f>IFERROR(INDEX('Aub Demand'!S:S,MATCH(O741,'Aub Demand'!A:A,0)),"")</f>
        <v>0</v>
      </c>
      <c r="L741" s="25">
        <f>IFERROR(INDEX('Aub Demand'!R:R,MATCH(O741,'Aub Demand'!A:A,0)),"")</f>
        <v>0</v>
      </c>
      <c r="O741" s="27" t="s">
        <v>2313</v>
      </c>
      <c r="P741" s="27" t="str">
        <f>IFERROR(INDEX('Aub Demand'!B:B,MATCH($O741,'Aub Demand'!$A:$A,0)),"")</f>
        <v>ALUMINUM .090 50X98</v>
      </c>
      <c r="Q741" s="27">
        <f>IFERROR(INDEX('Aub Demand'!C:C,MATCH($O741,'Aub Demand'!$A:$A,0)),"")</f>
        <v>0</v>
      </c>
      <c r="R741" s="52">
        <f>IFERROR(IF(AR742=AR741,INDEX('Aub Demand'!K:K,MATCH($O741,'Aub Demand'!$A:$A,0))-IF(AN741="",0,AN741)+AP742,INDEX('Aub Demand'!K:K,MATCH($O741,'Aub Demand'!$A:$A,0))-IF(AN741="",0,AN741)),"")</f>
        <v>8</v>
      </c>
      <c r="S741" s="53" t="str">
        <f t="shared" si="308"/>
        <v>n/a</v>
      </c>
      <c r="T741" s="52" t="str">
        <f t="shared" si="309"/>
        <v/>
      </c>
      <c r="U741" s="52">
        <f>IFERROR(IF(AR742=AR741,INDEX('Aub Demand'!Q:Q,MATCH($O741,'Aub Demand'!$A:$A,0))-IF(AN741="",0,AN741)+AP742,INDEX('Aub Demand'!Q:Q,MATCH($O741,'Aub Demand'!$A:$A,0))-IF(AN741="",0,AN741)),"")</f>
        <v>8</v>
      </c>
      <c r="V741" s="53" t="str">
        <f t="shared" si="310"/>
        <v>n/a</v>
      </c>
      <c r="W741" s="52" t="str">
        <f t="shared" si="311"/>
        <v/>
      </c>
      <c r="X741" s="52">
        <f>IFERROR(IF(AND(AR742=AR741,AM741&lt;&gt;""),INDEX('Aub Demand'!Q:Q,MATCH($O741,'Aub Demand'!$A:$A,0))-IF(AN741="",0,AN741)+AP742+AD741+AL741,IF(AR742=AR741,INDEX('Aub Demand'!Q:Q,MATCH($O741,'Aub Demand'!$A:$A,0))-IF(AN741="",0,AN741)+AP742+AD741,IF(AM741&lt;&gt;"",INDEX('Aub Demand'!Q:Q,MATCH($O741,'Aub Demand'!$A:$A,0))-IF(AN741="",0,AN741)+AD741+AL741,INDEX('Aub Demand'!Q:Q,MATCH($O741,'Aub Demand'!$A:$A,0))-IF(AN741="",0,AN741)+AD741))),"")</f>
        <v>8</v>
      </c>
      <c r="Y741" s="53" t="str">
        <f t="shared" si="312"/>
        <v>n/a</v>
      </c>
      <c r="Z741" s="52">
        <f>IF(L741="","",INDEX('Aub Demand'!H:H,MATCH($O741,'Aub Demand'!$A:$A,0)))</f>
        <v>0</v>
      </c>
      <c r="AA741" s="52" t="str">
        <f t="shared" si="313"/>
        <v>-spike-</v>
      </c>
      <c r="AB741" s="52">
        <f>IFERROR(INDEX('Aub Demand'!L:L,MATCH($O741,'Aub Demand'!$A:$A,0)),"")</f>
        <v>0</v>
      </c>
      <c r="AC741" s="52">
        <f>IFERROR(IF(O741="","",SUMIFS('CPL Mats'!F:F,'CPL Mats'!Q:Q,AR741,'CPL Mats'!S:S,AS741)),"")</f>
        <v>0</v>
      </c>
      <c r="AF741" s="25" t="str">
        <f>IF(SUMIFS('Supp Consol'!S:S,'Supp Consol'!Y:Y,"Releasable",'Supp Consol'!A:A,O741)=0,"",SUMIFS('Supp Consol'!S:S,'Supp Consol'!Y:Y,"Releasable",'Supp Consol'!A:A,O741))</f>
        <v/>
      </c>
      <c r="AG741" s="25" t="str">
        <f>IFERROR(INDEX('Hun Demand'!Q:Q,MATCH(O741,'Hun Demand'!A:A,0)),"")</f>
        <v/>
      </c>
      <c r="AH741" s="25" t="str">
        <f>IFERROR(INDEX('Hun Demand'!H:H,MATCH($O741,'Hun Demand'!$A:$A,0)),"")</f>
        <v/>
      </c>
      <c r="AI741" s="25" t="str">
        <f>IF(SUMIFS('Supp Consol'!AA:AA,'Supp Consol'!Z:Z,"Expires this month",'Supp Consol'!A:A,O741)=0,"",SUMIFS('Supp Consol'!AA:AA,'Supp Consol'!Z:Z,"Expires this month",'Supp Consol'!A:A,O741))</f>
        <v/>
      </c>
      <c r="AJ741" s="25" t="str">
        <f>IF(SUMIFS('Supp Consol'!AA:AA,'Supp Consol'!Z:Z,"Expired Previous Months",'Supp Consol'!A:A,O741)=0,"",SUMIFS('Supp Consol'!AA:AA,'Supp Consol'!Z:Z,"Expired Previous Months",'Supp Consol'!A:A,O741))</f>
        <v/>
      </c>
      <c r="AK741" s="25" t="str">
        <f>IFERROR(INDEX('Hun Release Current'!B:B,MATCH(O741,'Hun Release Current'!A:A,0)),"")</f>
        <v/>
      </c>
      <c r="AL741" s="25" t="str">
        <f>IF(SUMIF('Prev Aub'!A:A,O741,'Prev Aub'!B:B)=0,"",SUMIF('Prev Aub'!A:A,O741,'Prev Aub'!B:B))</f>
        <v/>
      </c>
      <c r="AN741" s="25" t="s">
        <v>3790</v>
      </c>
      <c r="AO741" s="25" t="s">
        <v>3790</v>
      </c>
      <c r="AP741" s="25">
        <f t="shared" si="314"/>
        <v>0</v>
      </c>
      <c r="AQ741" s="151" t="str">
        <f>IF(SUMIFS('Supp Consol'!S:S,'Supp Consol'!A:A,O741,'Supp Consol'!I:I,"PENDING")=0,"",SUMIFS('Supp Consol'!S:S,'Supp Consol'!A:A,O741,'Supp Consol'!I:I,"PENDING"))</f>
        <v/>
      </c>
      <c r="AR741" s="27" t="str">
        <f t="shared" si="315"/>
        <v>M5218</v>
      </c>
      <c r="AS741" s="27" t="str">
        <f t="shared" si="316"/>
        <v>48</v>
      </c>
      <c r="AT741" s="27" t="str">
        <f t="shared" si="317"/>
        <v/>
      </c>
      <c r="AU741" s="27" t="str">
        <f t="shared" si="318"/>
        <v/>
      </c>
      <c r="AV741" s="27" t="str">
        <f t="shared" si="319"/>
        <v/>
      </c>
      <c r="AW741" s="27" t="str">
        <f t="shared" si="320"/>
        <v/>
      </c>
      <c r="AX741" s="27" t="str">
        <f t="shared" si="321"/>
        <v/>
      </c>
      <c r="AY741" s="27" t="str">
        <f t="shared" si="322"/>
        <v/>
      </c>
      <c r="AZ741" s="27" t="str">
        <f t="shared" si="323"/>
        <v/>
      </c>
      <c r="BA741" s="27" t="str">
        <f t="shared" si="324"/>
        <v/>
      </c>
      <c r="BB741" s="27" t="str">
        <f t="shared" si="325"/>
        <v/>
      </c>
      <c r="BC741" s="27" t="str">
        <f t="shared" si="326"/>
        <v/>
      </c>
      <c r="BD741" s="27" t="str">
        <f t="shared" si="327"/>
        <v/>
      </c>
      <c r="BE741" s="27" t="str">
        <f t="shared" si="328"/>
        <v/>
      </c>
      <c r="BF741" s="27" t="str">
        <f t="shared" si="329"/>
        <v/>
      </c>
      <c r="BG741" s="27" t="str">
        <f t="shared" si="330"/>
        <v/>
      </c>
      <c r="BH741" s="27" t="str">
        <f t="shared" si="331"/>
        <v/>
      </c>
      <c r="BI741" s="27" t="str">
        <f t="shared" si="332"/>
        <v/>
      </c>
      <c r="BJ741" s="27" t="str">
        <f t="shared" si="333"/>
        <v/>
      </c>
      <c r="BK741" s="27" t="str">
        <f t="shared" si="334"/>
        <v/>
      </c>
      <c r="BL741" s="27" t="str">
        <f t="shared" si="335"/>
        <v/>
      </c>
      <c r="BM741" s="21" t="s">
        <v>3790</v>
      </c>
    </row>
    <row r="742" spans="1:65" ht="15">
      <c r="A742" s="25" t="str">
        <f>IFERROR(INDEX('Hun Demand'!W:W,MATCH(O742,'Hun Demand'!A:A,0)),"")</f>
        <v/>
      </c>
      <c r="B742" s="25" t="str">
        <f>IFERROR(INDEX('Hun Demand'!V:V,MATCH(O742,'Hun Demand'!A:A,0)),"")</f>
        <v/>
      </c>
      <c r="C742" s="25" t="str">
        <f>IFERROR(INDEX('Hun Demand'!U:U,MATCH(O742,'Hun Demand'!A:A,0)),"")</f>
        <v/>
      </c>
      <c r="D742" s="25" t="str">
        <f>IFERROR(INDEX('Hun Demand'!T:T,MATCH(O742,'Hun Demand'!A:A,0)),"")</f>
        <v/>
      </c>
      <c r="E742" s="25" t="str">
        <f>IFERROR(INDEX('Hun Demand'!S:S,MATCH(O742,'Hun Demand'!A:A,0)),"")</f>
        <v/>
      </c>
      <c r="F742" s="25" t="str">
        <f>IFERROR(INDEX('Hun Demand'!R:R,MATCH(O742,'Hun Demand'!A:A,0)),"")</f>
        <v/>
      </c>
      <c r="G742" s="25">
        <f>IFERROR(INDEX('Aub Demand'!W:W,MATCH(O742,'Aub Demand'!A:A,0)),"")</f>
        <v>0</v>
      </c>
      <c r="H742" s="25">
        <f>IFERROR(INDEX('Aub Demand'!V:V,MATCH(O742,'Aub Demand'!A:A,0)),"")</f>
        <v>0</v>
      </c>
      <c r="I742" s="25">
        <f>IFERROR(INDEX('Aub Demand'!U:U,MATCH(O742,'Aub Demand'!A:A,0)),"")</f>
        <v>0</v>
      </c>
      <c r="J742" s="25">
        <f>IFERROR(INDEX('Aub Demand'!T:T,MATCH(O742,'Aub Demand'!A:A,0)),"")</f>
        <v>0</v>
      </c>
      <c r="K742" s="25">
        <f>IFERROR(INDEX('Aub Demand'!S:S,MATCH(O742,'Aub Demand'!A:A,0)),"")</f>
        <v>0</v>
      </c>
      <c r="L742" s="25">
        <f>IFERROR(INDEX('Aub Demand'!R:R,MATCH(O742,'Aub Demand'!A:A,0)),"")</f>
        <v>0</v>
      </c>
      <c r="O742" s="27" t="s">
        <v>2315</v>
      </c>
      <c r="P742" s="27" t="str">
        <f>IFERROR(INDEX('Aub Demand'!B:B,MATCH($O742,'Aub Demand'!$A:$A,0)),"")</f>
        <v>ALUMINUM .090 62X146</v>
      </c>
      <c r="Q742" s="27">
        <f>IFERROR(INDEX('Aub Demand'!C:C,MATCH($O742,'Aub Demand'!$A:$A,0)),"")</f>
        <v>0</v>
      </c>
      <c r="R742" s="52">
        <f>IFERROR(IF(AR743=AR742,INDEX('Aub Demand'!K:K,MATCH($O742,'Aub Demand'!$A:$A,0))-IF(AN742="",0,AN742)+AP743,INDEX('Aub Demand'!K:K,MATCH($O742,'Aub Demand'!$A:$A,0))-IF(AN742="",0,AN742)),"")</f>
        <v>30</v>
      </c>
      <c r="S742" s="53" t="str">
        <f t="shared" si="308"/>
        <v>n/a</v>
      </c>
      <c r="T742" s="52" t="str">
        <f t="shared" si="309"/>
        <v/>
      </c>
      <c r="U742" s="52">
        <f>IFERROR(IF(AR743=AR742,INDEX('Aub Demand'!Q:Q,MATCH($O742,'Aub Demand'!$A:$A,0))-IF(AN742="",0,AN742)+AP743,INDEX('Aub Demand'!Q:Q,MATCH($O742,'Aub Demand'!$A:$A,0))-IF(AN742="",0,AN742)),"")</f>
        <v>30</v>
      </c>
      <c r="V742" s="53" t="str">
        <f t="shared" si="310"/>
        <v>n/a</v>
      </c>
      <c r="W742" s="52" t="str">
        <f t="shared" si="311"/>
        <v/>
      </c>
      <c r="X742" s="52">
        <f>IFERROR(IF(AND(AR743=AR742,AM742&lt;&gt;""),INDEX('Aub Demand'!Q:Q,MATCH($O742,'Aub Demand'!$A:$A,0))-IF(AN742="",0,AN742)+AP743+AD742+AL742,IF(AR743=AR742,INDEX('Aub Demand'!Q:Q,MATCH($O742,'Aub Demand'!$A:$A,0))-IF(AN742="",0,AN742)+AP743+AD742,IF(AM742&lt;&gt;"",INDEX('Aub Demand'!Q:Q,MATCH($O742,'Aub Demand'!$A:$A,0))-IF(AN742="",0,AN742)+AD742+AL742,INDEX('Aub Demand'!Q:Q,MATCH($O742,'Aub Demand'!$A:$A,0))-IF(AN742="",0,AN742)+AD742))),"")</f>
        <v>30</v>
      </c>
      <c r="Y742" s="53" t="str">
        <f t="shared" si="312"/>
        <v>n/a</v>
      </c>
      <c r="Z742" s="52">
        <f>IF(L742="","",INDEX('Aub Demand'!H:H,MATCH($O742,'Aub Demand'!$A:$A,0)))</f>
        <v>0</v>
      </c>
      <c r="AA742" s="52" t="str">
        <f t="shared" si="313"/>
        <v>-spike-</v>
      </c>
      <c r="AB742" s="52">
        <f>IFERROR(INDEX('Aub Demand'!L:L,MATCH($O742,'Aub Demand'!$A:$A,0)),"")</f>
        <v>0</v>
      </c>
      <c r="AC742" s="52">
        <f>IFERROR(IF(O742="","",SUMIFS('CPL Mats'!F:F,'CPL Mats'!Q:Q,AR742,'CPL Mats'!S:S,AS742)),"")</f>
        <v>0</v>
      </c>
      <c r="AF742" s="25" t="str">
        <f>IF(SUMIFS('Supp Consol'!S:S,'Supp Consol'!Y:Y,"Releasable",'Supp Consol'!A:A,O742)=0,"",SUMIFS('Supp Consol'!S:S,'Supp Consol'!Y:Y,"Releasable",'Supp Consol'!A:A,O742))</f>
        <v/>
      </c>
      <c r="AG742" s="25" t="str">
        <f>IFERROR(INDEX('Hun Demand'!Q:Q,MATCH(O742,'Hun Demand'!A:A,0)),"")</f>
        <v/>
      </c>
      <c r="AH742" s="25" t="str">
        <f>IFERROR(INDEX('Hun Demand'!H:H,MATCH($O742,'Hun Demand'!$A:$A,0)),"")</f>
        <v/>
      </c>
      <c r="AI742" s="25" t="str">
        <f>IF(SUMIFS('Supp Consol'!AA:AA,'Supp Consol'!Z:Z,"Expires this month",'Supp Consol'!A:A,O742)=0,"",SUMIFS('Supp Consol'!AA:AA,'Supp Consol'!Z:Z,"Expires this month",'Supp Consol'!A:A,O742))</f>
        <v/>
      </c>
      <c r="AJ742" s="25" t="str">
        <f>IF(SUMIFS('Supp Consol'!AA:AA,'Supp Consol'!Z:Z,"Expired Previous Months",'Supp Consol'!A:A,O742)=0,"",SUMIFS('Supp Consol'!AA:AA,'Supp Consol'!Z:Z,"Expired Previous Months",'Supp Consol'!A:A,O742))</f>
        <v/>
      </c>
      <c r="AK742" s="25" t="str">
        <f>IFERROR(INDEX('Hun Release Current'!B:B,MATCH(O742,'Hun Release Current'!A:A,0)),"")</f>
        <v/>
      </c>
      <c r="AL742" s="25" t="str">
        <f>IF(SUMIF('Prev Aub'!A:A,O742,'Prev Aub'!B:B)=0,"",SUMIF('Prev Aub'!A:A,O742,'Prev Aub'!B:B))</f>
        <v/>
      </c>
      <c r="AN742" s="25" t="s">
        <v>3790</v>
      </c>
      <c r="AO742" s="25" t="s">
        <v>3790</v>
      </c>
      <c r="AP742" s="25">
        <f t="shared" si="314"/>
        <v>0</v>
      </c>
      <c r="AQ742" s="151" t="str">
        <f>IF(SUMIFS('Supp Consol'!S:S,'Supp Consol'!A:A,O742,'Supp Consol'!I:I,"PENDING")=0,"",SUMIFS('Supp Consol'!S:S,'Supp Consol'!A:A,O742,'Supp Consol'!I:I,"PENDING"))</f>
        <v/>
      </c>
      <c r="AR742" s="27" t="str">
        <f t="shared" si="315"/>
        <v>M5218</v>
      </c>
      <c r="AS742" s="27" t="str">
        <f t="shared" si="316"/>
        <v>52</v>
      </c>
      <c r="AT742" s="27" t="str">
        <f t="shared" si="317"/>
        <v/>
      </c>
      <c r="AU742" s="27" t="str">
        <f t="shared" si="318"/>
        <v/>
      </c>
      <c r="AV742" s="27" t="str">
        <f t="shared" si="319"/>
        <v/>
      </c>
      <c r="AW742" s="27" t="str">
        <f t="shared" si="320"/>
        <v/>
      </c>
      <c r="AX742" s="27" t="str">
        <f t="shared" si="321"/>
        <v/>
      </c>
      <c r="AY742" s="27" t="str">
        <f t="shared" si="322"/>
        <v/>
      </c>
      <c r="AZ742" s="27" t="str">
        <f t="shared" si="323"/>
        <v/>
      </c>
      <c r="BA742" s="27" t="str">
        <f t="shared" si="324"/>
        <v/>
      </c>
      <c r="BB742" s="27" t="str">
        <f t="shared" si="325"/>
        <v/>
      </c>
      <c r="BC742" s="27" t="str">
        <f t="shared" si="326"/>
        <v/>
      </c>
      <c r="BD742" s="27" t="str">
        <f t="shared" si="327"/>
        <v/>
      </c>
      <c r="BE742" s="27" t="str">
        <f t="shared" si="328"/>
        <v/>
      </c>
      <c r="BF742" s="27" t="str">
        <f t="shared" si="329"/>
        <v/>
      </c>
      <c r="BG742" s="27" t="str">
        <f t="shared" si="330"/>
        <v/>
      </c>
      <c r="BH742" s="27" t="str">
        <f t="shared" si="331"/>
        <v/>
      </c>
      <c r="BI742" s="27" t="str">
        <f t="shared" si="332"/>
        <v/>
      </c>
      <c r="BJ742" s="27" t="str">
        <f t="shared" si="333"/>
        <v/>
      </c>
      <c r="BK742" s="27" t="str">
        <f t="shared" si="334"/>
        <v/>
      </c>
      <c r="BL742" s="27" t="str">
        <f t="shared" si="335"/>
        <v/>
      </c>
      <c r="BM742" s="21" t="s">
        <v>3790</v>
      </c>
    </row>
    <row r="743" spans="1:65" ht="15">
      <c r="A743" s="25" t="str">
        <f>IFERROR(INDEX('Hun Demand'!W:W,MATCH(O743,'Hun Demand'!A:A,0)),"")</f>
        <v/>
      </c>
      <c r="B743" s="25" t="str">
        <f>IFERROR(INDEX('Hun Demand'!V:V,MATCH(O743,'Hun Demand'!A:A,0)),"")</f>
        <v/>
      </c>
      <c r="C743" s="25" t="str">
        <f>IFERROR(INDEX('Hun Demand'!U:U,MATCH(O743,'Hun Demand'!A:A,0)),"")</f>
        <v/>
      </c>
      <c r="D743" s="25" t="str">
        <f>IFERROR(INDEX('Hun Demand'!T:T,MATCH(O743,'Hun Demand'!A:A,0)),"")</f>
        <v/>
      </c>
      <c r="E743" s="25" t="str">
        <f>IFERROR(INDEX('Hun Demand'!S:S,MATCH(O743,'Hun Demand'!A:A,0)),"")</f>
        <v/>
      </c>
      <c r="F743" s="25" t="str">
        <f>IFERROR(INDEX('Hun Demand'!R:R,MATCH(O743,'Hun Demand'!A:A,0)),"")</f>
        <v/>
      </c>
      <c r="G743" s="25">
        <f>IFERROR(INDEX('Aub Demand'!W:W,MATCH(O743,'Aub Demand'!A:A,0)),"")</f>
        <v>0</v>
      </c>
      <c r="H743" s="25">
        <f>IFERROR(INDEX('Aub Demand'!V:V,MATCH(O743,'Aub Demand'!A:A,0)),"")</f>
        <v>0</v>
      </c>
      <c r="I743" s="25">
        <f>IFERROR(INDEX('Aub Demand'!U:U,MATCH(O743,'Aub Demand'!A:A,0)),"")</f>
        <v>0</v>
      </c>
      <c r="J743" s="25">
        <f>IFERROR(INDEX('Aub Demand'!T:T,MATCH(O743,'Aub Demand'!A:A,0)),"")</f>
        <v>0</v>
      </c>
      <c r="K743" s="25">
        <f>IFERROR(INDEX('Aub Demand'!S:S,MATCH(O743,'Aub Demand'!A:A,0)),"")</f>
        <v>0</v>
      </c>
      <c r="L743" s="25">
        <f>IFERROR(INDEX('Aub Demand'!R:R,MATCH(O743,'Aub Demand'!A:A,0)),"")</f>
        <v>0</v>
      </c>
      <c r="O743" s="27" t="s">
        <v>1159</v>
      </c>
      <c r="P743" s="27" t="str">
        <f>IFERROR(INDEX('Aub Demand'!B:B,MATCH($O743,'Aub Demand'!$A:$A,0)),"")</f>
        <v>CLEANTEG MC 400 (CPL</v>
      </c>
      <c r="Q743" s="27">
        <f>IFERROR(INDEX('Aub Demand'!C:C,MATCH($O743,'Aub Demand'!$A:$A,0)),"")</f>
        <v>0</v>
      </c>
      <c r="R743" s="52">
        <f>IFERROR(IF(AR744=AR743,INDEX('Aub Demand'!K:K,MATCH($O743,'Aub Demand'!$A:$A,0))-IF(AN743="",0,AN743)+AP744,INDEX('Aub Demand'!K:K,MATCH($O743,'Aub Demand'!$A:$A,0))-IF(AN743="",0,AN743)),"")</f>
        <v>741</v>
      </c>
      <c r="S743" s="53" t="str">
        <f t="shared" si="308"/>
        <v>n/a</v>
      </c>
      <c r="T743" s="52" t="str">
        <f t="shared" si="309"/>
        <v/>
      </c>
      <c r="U743" s="52">
        <f>IFERROR(IF(AR744=AR743,INDEX('Aub Demand'!Q:Q,MATCH($O743,'Aub Demand'!$A:$A,0))-IF(AN743="",0,AN743)+AP744,INDEX('Aub Demand'!Q:Q,MATCH($O743,'Aub Demand'!$A:$A,0))-IF(AN743="",0,AN743)),"")</f>
        <v>741</v>
      </c>
      <c r="V743" s="53" t="str">
        <f t="shared" si="310"/>
        <v>n/a</v>
      </c>
      <c r="W743" s="52" t="str">
        <f t="shared" si="311"/>
        <v/>
      </c>
      <c r="X743" s="52">
        <f>IFERROR(IF(AND(AR744=AR743,AM743&lt;&gt;""),INDEX('Aub Demand'!Q:Q,MATCH($O743,'Aub Demand'!$A:$A,0))-IF(AN743="",0,AN743)+AP744+AD743+AL743,IF(AR744=AR743,INDEX('Aub Demand'!Q:Q,MATCH($O743,'Aub Demand'!$A:$A,0))-IF(AN743="",0,AN743)+AP744+AD743,IF(AM743&lt;&gt;"",INDEX('Aub Demand'!Q:Q,MATCH($O743,'Aub Demand'!$A:$A,0))-IF(AN743="",0,AN743)+AD743+AL743,INDEX('Aub Demand'!Q:Q,MATCH($O743,'Aub Demand'!$A:$A,0))-IF(AN743="",0,AN743)+AD743))),"")</f>
        <v>741</v>
      </c>
      <c r="Y743" s="53" t="str">
        <f t="shared" si="312"/>
        <v>n/a</v>
      </c>
      <c r="Z743" s="52">
        <f>IF(L743="","",INDEX('Aub Demand'!H:H,MATCH($O743,'Aub Demand'!$A:$A,0)))</f>
        <v>0</v>
      </c>
      <c r="AA743" s="52" t="str">
        <f t="shared" si="313"/>
        <v>-spike-</v>
      </c>
      <c r="AB743" s="52">
        <f>IFERROR(INDEX('Aub Demand'!L:L,MATCH($O743,'Aub Demand'!$A:$A,0)),"")</f>
        <v>0</v>
      </c>
      <c r="AC743" s="52">
        <f>IFERROR(IF(O743="","",SUMIFS('CPL Mats'!F:F,'CPL Mats'!Q:Q,AR743,'CPL Mats'!S:S,AS743)),"")</f>
        <v>0</v>
      </c>
      <c r="AF743" s="25" t="str">
        <f>IF(SUMIFS('Supp Consol'!S:S,'Supp Consol'!Y:Y,"Releasable",'Supp Consol'!A:A,O743)=0,"",SUMIFS('Supp Consol'!S:S,'Supp Consol'!Y:Y,"Releasable",'Supp Consol'!A:A,O743))</f>
        <v/>
      </c>
      <c r="AG743" s="25" t="str">
        <f>IFERROR(INDEX('Hun Demand'!Q:Q,MATCH(O743,'Hun Demand'!A:A,0)),"")</f>
        <v/>
      </c>
      <c r="AH743" s="25" t="str">
        <f>IFERROR(INDEX('Hun Demand'!H:H,MATCH($O743,'Hun Demand'!$A:$A,0)),"")</f>
        <v/>
      </c>
      <c r="AI743" s="25" t="str">
        <f>IF(SUMIFS('Supp Consol'!AA:AA,'Supp Consol'!Z:Z,"Expires this month",'Supp Consol'!A:A,O743)=0,"",SUMIFS('Supp Consol'!AA:AA,'Supp Consol'!Z:Z,"Expires this month",'Supp Consol'!A:A,O743))</f>
        <v/>
      </c>
      <c r="AJ743" s="25" t="str">
        <f>IF(SUMIFS('Supp Consol'!AA:AA,'Supp Consol'!Z:Z,"Expired Previous Months",'Supp Consol'!A:A,O743)=0,"",SUMIFS('Supp Consol'!AA:AA,'Supp Consol'!Z:Z,"Expired Previous Months",'Supp Consol'!A:A,O743))</f>
        <v/>
      </c>
      <c r="AK743" s="25" t="str">
        <f>IFERROR(INDEX('Hun Release Current'!B:B,MATCH(O743,'Hun Release Current'!A:A,0)),"")</f>
        <v/>
      </c>
      <c r="AL743" s="25" t="str">
        <f>IF(SUMIF('Prev Aub'!A:A,O743,'Prev Aub'!B:B)=0,"",SUMIF('Prev Aub'!A:A,O743,'Prev Aub'!B:B))</f>
        <v/>
      </c>
      <c r="AN743" s="25" t="s">
        <v>3790</v>
      </c>
      <c r="AO743" s="25" t="s">
        <v>3790</v>
      </c>
      <c r="AP743" s="25">
        <f t="shared" si="314"/>
        <v>0</v>
      </c>
      <c r="AQ743" s="151" t="str">
        <f>IF(SUMIFS('Supp Consol'!S:S,'Supp Consol'!A:A,O743,'Supp Consol'!I:I,"PENDING")=0,"",SUMIFS('Supp Consol'!S:S,'Supp Consol'!A:A,O743,'Supp Consol'!I:I,"PENDING"))</f>
        <v/>
      </c>
      <c r="AR743" s="27" t="str">
        <f t="shared" si="315"/>
        <v>MC400</v>
      </c>
      <c r="AS743" s="27" t="str">
        <f t="shared" si="316"/>
        <v>62</v>
      </c>
      <c r="AT743" s="27" t="str">
        <f t="shared" si="317"/>
        <v/>
      </c>
      <c r="AU743" s="27" t="str">
        <f t="shared" si="318"/>
        <v/>
      </c>
      <c r="AV743" s="27" t="str">
        <f t="shared" si="319"/>
        <v/>
      </c>
      <c r="AW743" s="27" t="str">
        <f t="shared" si="320"/>
        <v/>
      </c>
      <c r="AX743" s="27" t="str">
        <f t="shared" si="321"/>
        <v/>
      </c>
      <c r="AY743" s="27" t="str">
        <f t="shared" si="322"/>
        <v/>
      </c>
      <c r="AZ743" s="27" t="str">
        <f t="shared" si="323"/>
        <v/>
      </c>
      <c r="BA743" s="27" t="str">
        <f t="shared" si="324"/>
        <v/>
      </c>
      <c r="BB743" s="27" t="str">
        <f t="shared" si="325"/>
        <v/>
      </c>
      <c r="BC743" s="27" t="str">
        <f t="shared" si="326"/>
        <v/>
      </c>
      <c r="BD743" s="27" t="str">
        <f t="shared" si="327"/>
        <v/>
      </c>
      <c r="BE743" s="27" t="str">
        <f t="shared" si="328"/>
        <v/>
      </c>
      <c r="BF743" s="27" t="str">
        <f t="shared" si="329"/>
        <v/>
      </c>
      <c r="BG743" s="27" t="str">
        <f t="shared" si="330"/>
        <v/>
      </c>
      <c r="BH743" s="27" t="str">
        <f t="shared" si="331"/>
        <v/>
      </c>
      <c r="BI743" s="27" t="str">
        <f t="shared" si="332"/>
        <v/>
      </c>
      <c r="BJ743" s="27" t="str">
        <f t="shared" si="333"/>
        <v/>
      </c>
      <c r="BK743" s="27" t="str">
        <f t="shared" si="334"/>
        <v/>
      </c>
      <c r="BL743" s="27" t="str">
        <f t="shared" si="335"/>
        <v/>
      </c>
      <c r="BM743" s="21" t="s">
        <v>3790</v>
      </c>
    </row>
    <row r="744" spans="1:65" ht="15">
      <c r="A744" s="25">
        <f>IFERROR(INDEX('Hun Demand'!W:W,MATCH(O744,'Hun Demand'!A:A,0)),"")</f>
        <v>170</v>
      </c>
      <c r="B744" s="25">
        <f>IFERROR(INDEX('Hun Demand'!V:V,MATCH(O744,'Hun Demand'!A:A,0)),"")</f>
        <v>0</v>
      </c>
      <c r="C744" s="25">
        <f>IFERROR(INDEX('Hun Demand'!U:U,MATCH(O744,'Hun Demand'!A:A,0)),"")</f>
        <v>0</v>
      </c>
      <c r="D744" s="25">
        <f>IFERROR(INDEX('Hun Demand'!T:T,MATCH(O744,'Hun Demand'!A:A,0)),"")</f>
        <v>0</v>
      </c>
      <c r="E744" s="25">
        <f>IFERROR(INDEX('Hun Demand'!S:S,MATCH(O744,'Hun Demand'!A:A,0)),"")</f>
        <v>0</v>
      </c>
      <c r="F744" s="25">
        <f>IFERROR(INDEX('Hun Demand'!R:R,MATCH(O744,'Hun Demand'!A:A,0)),"")</f>
        <v>0</v>
      </c>
      <c r="G744" s="25">
        <f>IFERROR(INDEX('Aub Demand'!W:W,MATCH(O744,'Aub Demand'!A:A,0)),"")</f>
        <v>0</v>
      </c>
      <c r="H744" s="25">
        <f>IFERROR(INDEX('Aub Demand'!V:V,MATCH(O744,'Aub Demand'!A:A,0)),"")</f>
        <v>1</v>
      </c>
      <c r="I744" s="25">
        <f>IFERROR(INDEX('Aub Demand'!U:U,MATCH(O744,'Aub Demand'!A:A,0)),"")</f>
        <v>21</v>
      </c>
      <c r="J744" s="25">
        <f>IFERROR(INDEX('Aub Demand'!T:T,MATCH(O744,'Aub Demand'!A:A,0)),"")</f>
        <v>0</v>
      </c>
      <c r="K744" s="25">
        <f>IFERROR(INDEX('Aub Demand'!S:S,MATCH(O744,'Aub Demand'!A:A,0)),"")</f>
        <v>10</v>
      </c>
      <c r="L744" s="25">
        <f>IFERROR(INDEX('Aub Demand'!R:R,MATCH(O744,'Aub Demand'!A:A,0)),"")</f>
        <v>11</v>
      </c>
      <c r="O744" s="27" t="s">
        <v>1161</v>
      </c>
      <c r="P744" s="27" t="str">
        <f>IFERROR(INDEX('Aub Demand'!B:B,MATCH($O744,'Aub Demand'!$A:$A,0)),"")</f>
        <v>PYRENEES MARBLE</v>
      </c>
      <c r="Q744" s="27" t="str">
        <f>IFERROR(INDEX('Aub Demand'!C:C,MATCH($O744,'Aub Demand'!$A:$A,0)),"")</f>
        <v>DNP A</v>
      </c>
      <c r="R744" s="52">
        <f>IFERROR(IF(AR745=AR744,INDEX('Aub Demand'!K:K,MATCH($O744,'Aub Demand'!$A:$A,0))-IF(AN744="",0,AN744)+AP745,INDEX('Aub Demand'!K:K,MATCH($O744,'Aub Demand'!$A:$A,0))-IF(AN744="",0,AN744)),"")</f>
        <v>848</v>
      </c>
      <c r="S744" s="53">
        <f t="shared" si="308"/>
        <v>363.4</v>
      </c>
      <c r="T744" s="52" t="str">
        <f t="shared" si="309"/>
        <v/>
      </c>
      <c r="U744" s="52">
        <f>IFERROR(IF(AR745=AR744,INDEX('Aub Demand'!Q:Q,MATCH($O744,'Aub Demand'!$A:$A,0))-IF(AN744="",0,AN744)+AP745,INDEX('Aub Demand'!Q:Q,MATCH($O744,'Aub Demand'!$A:$A,0))-IF(AN744="",0,AN744)),"")</f>
        <v>838</v>
      </c>
      <c r="V744" s="53">
        <f t="shared" si="310"/>
        <v>359.1</v>
      </c>
      <c r="W744" s="52" t="str">
        <f t="shared" si="311"/>
        <v/>
      </c>
      <c r="X744" s="52">
        <f>IFERROR(IF(AND(AR745=AR744,AM744&lt;&gt;""),INDEX('Aub Demand'!Q:Q,MATCH($O744,'Aub Demand'!$A:$A,0))-IF(AN744="",0,AN744)+AP745+AD744+AL744,IF(AR745=AR744,INDEX('Aub Demand'!Q:Q,MATCH($O744,'Aub Demand'!$A:$A,0))-IF(AN744="",0,AN744)+AP745+AD744,IF(AM744&lt;&gt;"",INDEX('Aub Demand'!Q:Q,MATCH($O744,'Aub Demand'!$A:$A,0))-IF(AN744="",0,AN744)+AD744+AL744,INDEX('Aub Demand'!Q:Q,MATCH($O744,'Aub Demand'!$A:$A,0))-IF(AN744="",0,AN744)+AD744))),"")</f>
        <v>838</v>
      </c>
      <c r="Y744" s="53">
        <f t="shared" si="312"/>
        <v>359.1</v>
      </c>
      <c r="Z744" s="52">
        <f>IF(L744="","",INDEX('Aub Demand'!H:H,MATCH($O744,'Aub Demand'!$A:$A,0)))</f>
        <v>10</v>
      </c>
      <c r="AA744" s="52">
        <f t="shared" si="313"/>
        <v>16</v>
      </c>
      <c r="AB744" s="52">
        <f>IFERROR(INDEX('Aub Demand'!L:L,MATCH($O744,'Aub Demand'!$A:$A,0)),"")</f>
        <v>10</v>
      </c>
      <c r="AC744" s="52">
        <f>IFERROR(IF(O744="","",SUMIFS('CPL Mats'!F:F,'CPL Mats'!Q:Q,AR744,'CPL Mats'!S:S,AS744)),"")</f>
        <v>0</v>
      </c>
      <c r="AF744" s="25" t="str">
        <f>IF(SUMIFS('Supp Consol'!S:S,'Supp Consol'!Y:Y,"Releasable",'Supp Consol'!A:A,O744)=0,"",SUMIFS('Supp Consol'!S:S,'Supp Consol'!Y:Y,"Releasable",'Supp Consol'!A:A,O744))</f>
        <v/>
      </c>
      <c r="AG744" s="25">
        <f>IFERROR(INDEX('Hun Demand'!Q:Q,MATCH(O744,'Hun Demand'!A:A,0)),"")</f>
        <v>84</v>
      </c>
      <c r="AH744" s="25">
        <f>IFERROR(INDEX('Hun Demand'!H:H,MATCH($O744,'Hun Demand'!$A:$A,0)),"")</f>
        <v>0</v>
      </c>
      <c r="AI744" s="25" t="str">
        <f>IF(SUMIFS('Supp Consol'!AA:AA,'Supp Consol'!Z:Z,"Expires this month",'Supp Consol'!A:A,O744)=0,"",SUMIFS('Supp Consol'!AA:AA,'Supp Consol'!Z:Z,"Expires this month",'Supp Consol'!A:A,O744))</f>
        <v/>
      </c>
      <c r="AJ744" s="25" t="str">
        <f>IF(SUMIFS('Supp Consol'!AA:AA,'Supp Consol'!Z:Z,"Expired Previous Months",'Supp Consol'!A:A,O744)=0,"",SUMIFS('Supp Consol'!AA:AA,'Supp Consol'!Z:Z,"Expired Previous Months",'Supp Consol'!A:A,O744))</f>
        <v/>
      </c>
      <c r="AK744" s="25" t="str">
        <f>IFERROR(INDEX('Hun Release Current'!B:B,MATCH(O744,'Hun Release Current'!A:A,0)),"")</f>
        <v/>
      </c>
      <c r="AL744" s="25" t="str">
        <f>IF(SUMIF('Prev Aub'!A:A,O744,'Prev Aub'!B:B)=0,"",SUMIF('Prev Aub'!A:A,O744,'Prev Aub'!B:B))</f>
        <v/>
      </c>
      <c r="AN744" s="25" t="s">
        <v>3790</v>
      </c>
      <c r="AO744" s="25" t="s">
        <v>3790</v>
      </c>
      <c r="AP744" s="25">
        <f t="shared" si="314"/>
        <v>0</v>
      </c>
      <c r="AQ744" s="151" t="str">
        <f>IF(SUMIFS('Supp Consol'!S:S,'Supp Consol'!A:A,O744,'Supp Consol'!I:I,"PENDING")=0,"",SUMIFS('Supp Consol'!S:S,'Supp Consol'!A:A,O744,'Supp Consol'!I:I,"PENDING"))</f>
        <v/>
      </c>
      <c r="AR744" s="27" t="str">
        <f t="shared" si="315"/>
        <v>ME011</v>
      </c>
      <c r="AS744" s="27" t="str">
        <f t="shared" si="316"/>
        <v>50</v>
      </c>
      <c r="AT744" s="27" t="str">
        <f t="shared" si="317"/>
        <v/>
      </c>
      <c r="AU744" s="27" t="str">
        <f t="shared" si="318"/>
        <v/>
      </c>
      <c r="AV744" s="27" t="str">
        <f t="shared" si="319"/>
        <v/>
      </c>
      <c r="AW744" s="27" t="str">
        <f t="shared" si="320"/>
        <v/>
      </c>
      <c r="AX744" s="27" t="str">
        <f t="shared" si="321"/>
        <v/>
      </c>
      <c r="AY744" s="27" t="str">
        <f t="shared" si="322"/>
        <v>ME011</v>
      </c>
      <c r="AZ744" s="27" t="str">
        <f t="shared" si="323"/>
        <v/>
      </c>
      <c r="BA744" s="27" t="str">
        <f t="shared" si="324"/>
        <v>Hun</v>
      </c>
      <c r="BB744" s="27" t="str">
        <f t="shared" si="325"/>
        <v/>
      </c>
      <c r="BC744" s="27" t="str">
        <f t="shared" si="326"/>
        <v/>
      </c>
      <c r="BD744" s="27" t="str">
        <f t="shared" si="327"/>
        <v/>
      </c>
      <c r="BE744" s="27" t="str">
        <f t="shared" si="328"/>
        <v/>
      </c>
      <c r="BF744" s="27" t="str">
        <f t="shared" si="329"/>
        <v/>
      </c>
      <c r="BG744" s="27" t="str">
        <f t="shared" si="330"/>
        <v/>
      </c>
      <c r="BH744" s="27" t="str">
        <f t="shared" si="331"/>
        <v/>
      </c>
      <c r="BI744" s="27" t="str">
        <f t="shared" si="332"/>
        <v/>
      </c>
      <c r="BJ744" s="27" t="str">
        <f t="shared" si="333"/>
        <v>Supp or Hun</v>
      </c>
      <c r="BK744" s="27" t="str">
        <f t="shared" si="334"/>
        <v/>
      </c>
      <c r="BL744" s="27" t="str">
        <f t="shared" si="335"/>
        <v/>
      </c>
      <c r="BM744" s="21" t="s">
        <v>5581</v>
      </c>
    </row>
    <row r="745" spans="1:65" ht="15">
      <c r="A745" s="25" t="str">
        <f>IFERROR(INDEX('Hun Demand'!W:W,MATCH(O745,'Hun Demand'!A:A,0)),"")</f>
        <v/>
      </c>
      <c r="B745" s="25" t="str">
        <f>IFERROR(INDEX('Hun Demand'!V:V,MATCH(O745,'Hun Demand'!A:A,0)),"")</f>
        <v/>
      </c>
      <c r="C745" s="25" t="str">
        <f>IFERROR(INDEX('Hun Demand'!U:U,MATCH(O745,'Hun Demand'!A:A,0)),"")</f>
        <v/>
      </c>
      <c r="D745" s="25" t="str">
        <f>IFERROR(INDEX('Hun Demand'!T:T,MATCH(O745,'Hun Demand'!A:A,0)),"")</f>
        <v/>
      </c>
      <c r="E745" s="25" t="str">
        <f>IFERROR(INDEX('Hun Demand'!S:S,MATCH(O745,'Hun Demand'!A:A,0)),"")</f>
        <v/>
      </c>
      <c r="F745" s="25" t="str">
        <f>IFERROR(INDEX('Hun Demand'!R:R,MATCH(O745,'Hun Demand'!A:A,0)),"")</f>
        <v/>
      </c>
      <c r="G745" s="25">
        <f>IFERROR(INDEX('Aub Demand'!W:W,MATCH(O745,'Aub Demand'!A:A,0)),"")</f>
        <v>0</v>
      </c>
      <c r="H745" s="25">
        <f>IFERROR(INDEX('Aub Demand'!V:V,MATCH(O745,'Aub Demand'!A:A,0)),"")</f>
        <v>69</v>
      </c>
      <c r="I745" s="25">
        <f>IFERROR(INDEX('Aub Demand'!U:U,MATCH(O745,'Aub Demand'!A:A,0)),"")</f>
        <v>134</v>
      </c>
      <c r="J745" s="25">
        <f>IFERROR(INDEX('Aub Demand'!T:T,MATCH(O745,'Aub Demand'!A:A,0)),"")</f>
        <v>0</v>
      </c>
      <c r="K745" s="25">
        <f>IFERROR(INDEX('Aub Demand'!S:S,MATCH(O745,'Aub Demand'!A:A,0)),"")</f>
        <v>68</v>
      </c>
      <c r="L745" s="25">
        <f>IFERROR(INDEX('Aub Demand'!R:R,MATCH(O745,'Aub Demand'!A:A,0)),"")</f>
        <v>0</v>
      </c>
      <c r="O745" s="27" t="s">
        <v>1163</v>
      </c>
      <c r="P745" s="27" t="str">
        <f>IFERROR(INDEX('Aub Demand'!B:B,MATCH($O745,'Aub Demand'!$A:$A,0)),"")</f>
        <v>PYRENEES MARBLE</v>
      </c>
      <c r="Q745" s="27" t="str">
        <f>IFERROR(INDEX('Aub Demand'!C:C,MATCH($O745,'Aub Demand'!$A:$A,0)),"")</f>
        <v>DNP A</v>
      </c>
      <c r="R745" s="52">
        <f>IFERROR(IF(AR746=AR745,INDEX('Aub Demand'!K:K,MATCH($O745,'Aub Demand'!$A:$A,0))-IF(AN745="",0,AN745)+AP746,INDEX('Aub Demand'!K:K,MATCH($O745,'Aub Demand'!$A:$A,0))-IF(AN745="",0,AN745)),"")</f>
        <v>619</v>
      </c>
      <c r="S745" s="53">
        <f t="shared" si="308"/>
        <v>39.6</v>
      </c>
      <c r="T745" s="52" t="str">
        <f t="shared" si="309"/>
        <v/>
      </c>
      <c r="U745" s="52">
        <f>IFERROR(IF(AR746=AR745,INDEX('Aub Demand'!Q:Q,MATCH($O745,'Aub Demand'!$A:$A,0))-IF(AN745="",0,AN745)+AP746,INDEX('Aub Demand'!Q:Q,MATCH($O745,'Aub Demand'!$A:$A,0))-IF(AN745="",0,AN745)),"")</f>
        <v>608</v>
      </c>
      <c r="V745" s="53">
        <f t="shared" si="310"/>
        <v>38.9</v>
      </c>
      <c r="W745" s="52" t="str">
        <f t="shared" si="311"/>
        <v/>
      </c>
      <c r="X745" s="52">
        <f>IFERROR(IF(AND(AR746=AR745,AM745&lt;&gt;""),INDEX('Aub Demand'!Q:Q,MATCH($O745,'Aub Demand'!$A:$A,0))-IF(AN745="",0,AN745)+AP746+AD745+AL745,IF(AR746=AR745,INDEX('Aub Demand'!Q:Q,MATCH($O745,'Aub Demand'!$A:$A,0))-IF(AN745="",0,AN745)+AP746+AD745,IF(AM745&lt;&gt;"",INDEX('Aub Demand'!Q:Q,MATCH($O745,'Aub Demand'!$A:$A,0))-IF(AN745="",0,AN745)+AD745+AL745,INDEX('Aub Demand'!Q:Q,MATCH($O745,'Aub Demand'!$A:$A,0))-IF(AN745="",0,AN745)+AD745))),"")</f>
        <v>608</v>
      </c>
      <c r="Y745" s="53">
        <f t="shared" si="312"/>
        <v>38.9</v>
      </c>
      <c r="Z745" s="52">
        <f>IF(L745="","",INDEX('Aub Demand'!H:H,MATCH($O745,'Aub Demand'!$A:$A,0)))</f>
        <v>67</v>
      </c>
      <c r="AA745" s="52">
        <f t="shared" si="313"/>
        <v>101</v>
      </c>
      <c r="AB745" s="52">
        <f>IFERROR(INDEX('Aub Demand'!L:L,MATCH($O745,'Aub Demand'!$A:$A,0)),"")</f>
        <v>60</v>
      </c>
      <c r="AC745" s="52">
        <f>IFERROR(IF(O745="","",SUMIFS('CPL Mats'!F:F,'CPL Mats'!Q:Q,AR745,'CPL Mats'!S:S,AS745)),"")</f>
        <v>0</v>
      </c>
      <c r="AF745" s="25" t="str">
        <f>IF(SUMIFS('Supp Consol'!S:S,'Supp Consol'!Y:Y,"Releasable",'Supp Consol'!A:A,O745)=0,"",SUMIFS('Supp Consol'!S:S,'Supp Consol'!Y:Y,"Releasable",'Supp Consol'!A:A,O745))</f>
        <v/>
      </c>
      <c r="AG745" s="25" t="str">
        <f>IFERROR(INDEX('Hun Demand'!Q:Q,MATCH(O745,'Hun Demand'!A:A,0)),"")</f>
        <v/>
      </c>
      <c r="AH745" s="25" t="str">
        <f>IFERROR(INDEX('Hun Demand'!H:H,MATCH($O745,'Hun Demand'!$A:$A,0)),"")</f>
        <v/>
      </c>
      <c r="AI745" s="25" t="str">
        <f>IF(SUMIFS('Supp Consol'!AA:AA,'Supp Consol'!Z:Z,"Expires this month",'Supp Consol'!A:A,O745)=0,"",SUMIFS('Supp Consol'!AA:AA,'Supp Consol'!Z:Z,"Expires this month",'Supp Consol'!A:A,O745))</f>
        <v/>
      </c>
      <c r="AJ745" s="25" t="str">
        <f>IF(SUMIFS('Supp Consol'!AA:AA,'Supp Consol'!Z:Z,"Expired Previous Months",'Supp Consol'!A:A,O745)=0,"",SUMIFS('Supp Consol'!AA:AA,'Supp Consol'!Z:Z,"Expired Previous Months",'Supp Consol'!A:A,O745))</f>
        <v/>
      </c>
      <c r="AK745" s="25" t="str">
        <f>IFERROR(INDEX('Hun Release Current'!B:B,MATCH(O745,'Hun Release Current'!A:A,0)),"")</f>
        <v/>
      </c>
      <c r="AL745" s="25" t="str">
        <f>IF(SUMIF('Prev Aub'!A:A,O745,'Prev Aub'!B:B)=0,"",SUMIF('Prev Aub'!A:A,O745,'Prev Aub'!B:B))</f>
        <v/>
      </c>
      <c r="AN745" s="25" t="s">
        <v>3790</v>
      </c>
      <c r="AO745" s="25" t="s">
        <v>3790</v>
      </c>
      <c r="AP745" s="25">
        <f t="shared" si="314"/>
        <v>0</v>
      </c>
      <c r="AQ745" s="151" t="str">
        <f>IF(SUMIFS('Supp Consol'!S:S,'Supp Consol'!A:A,O745,'Supp Consol'!I:I,"PENDING")=0,"",SUMIFS('Supp Consol'!S:S,'Supp Consol'!A:A,O745,'Supp Consol'!I:I,"PENDING"))</f>
        <v/>
      </c>
      <c r="AR745" s="27" t="str">
        <f t="shared" si="315"/>
        <v>ME011</v>
      </c>
      <c r="AS745" s="27" t="str">
        <f t="shared" si="316"/>
        <v>62</v>
      </c>
      <c r="AT745" s="27" t="str">
        <f t="shared" si="317"/>
        <v/>
      </c>
      <c r="AU745" s="27" t="str">
        <f t="shared" si="318"/>
        <v/>
      </c>
      <c r="AV745" s="27" t="str">
        <f t="shared" si="319"/>
        <v/>
      </c>
      <c r="AW745" s="27" t="str">
        <f t="shared" si="320"/>
        <v/>
      </c>
      <c r="AX745" s="27" t="str">
        <f t="shared" si="321"/>
        <v/>
      </c>
      <c r="AY745" s="27" t="str">
        <f t="shared" si="322"/>
        <v/>
      </c>
      <c r="AZ745" s="27" t="str">
        <f t="shared" si="323"/>
        <v/>
      </c>
      <c r="BA745" s="27" t="str">
        <f t="shared" si="324"/>
        <v>Hun</v>
      </c>
      <c r="BB745" s="27" t="str">
        <f t="shared" si="325"/>
        <v/>
      </c>
      <c r="BC745" s="27" t="str">
        <f t="shared" si="326"/>
        <v/>
      </c>
      <c r="BD745" s="27" t="str">
        <f t="shared" si="327"/>
        <v/>
      </c>
      <c r="BE745" s="27" t="str">
        <f t="shared" si="328"/>
        <v/>
      </c>
      <c r="BF745" s="27" t="str">
        <f t="shared" si="329"/>
        <v/>
      </c>
      <c r="BG745" s="27" t="str">
        <f t="shared" si="330"/>
        <v/>
      </c>
      <c r="BH745" s="27" t="str">
        <f t="shared" si="331"/>
        <v/>
      </c>
      <c r="BI745" s="27" t="str">
        <f t="shared" si="332"/>
        <v/>
      </c>
      <c r="BJ745" s="27" t="str">
        <f t="shared" si="333"/>
        <v>Supp or Hun</v>
      </c>
      <c r="BK745" s="27" t="str">
        <f t="shared" si="334"/>
        <v/>
      </c>
      <c r="BL745" s="27" t="str">
        <f t="shared" si="335"/>
        <v/>
      </c>
      <c r="BM745" s="21" t="s">
        <v>5581</v>
      </c>
    </row>
    <row r="746" spans="1:65" ht="15">
      <c r="A746" s="25" t="str">
        <f>IFERROR(INDEX('Hun Demand'!W:W,MATCH(O746,'Hun Demand'!A:A,0)),"")</f>
        <v/>
      </c>
      <c r="B746" s="25" t="str">
        <f>IFERROR(INDEX('Hun Demand'!V:V,MATCH(O746,'Hun Demand'!A:A,0)),"")</f>
        <v/>
      </c>
      <c r="C746" s="25" t="str">
        <f>IFERROR(INDEX('Hun Demand'!U:U,MATCH(O746,'Hun Demand'!A:A,0)),"")</f>
        <v/>
      </c>
      <c r="D746" s="25" t="str">
        <f>IFERROR(INDEX('Hun Demand'!T:T,MATCH(O746,'Hun Demand'!A:A,0)),"")</f>
        <v/>
      </c>
      <c r="E746" s="25" t="str">
        <f>IFERROR(INDEX('Hun Demand'!S:S,MATCH(O746,'Hun Demand'!A:A,0)),"")</f>
        <v/>
      </c>
      <c r="F746" s="25" t="str">
        <f>IFERROR(INDEX('Hun Demand'!R:R,MATCH(O746,'Hun Demand'!A:A,0)),"")</f>
        <v/>
      </c>
      <c r="G746" s="25">
        <f>IFERROR(INDEX('Aub Demand'!W:W,MATCH(O746,'Aub Demand'!A:A,0)),"")</f>
        <v>0</v>
      </c>
      <c r="H746" s="25">
        <f>IFERROR(INDEX('Aub Demand'!V:V,MATCH(O746,'Aub Demand'!A:A,0)),"")</f>
        <v>0</v>
      </c>
      <c r="I746" s="25">
        <f>IFERROR(INDEX('Aub Demand'!U:U,MATCH(O746,'Aub Demand'!A:A,0)),"")</f>
        <v>0</v>
      </c>
      <c r="J746" s="25">
        <f>IFERROR(INDEX('Aub Demand'!T:T,MATCH(O746,'Aub Demand'!A:A,0)),"")</f>
        <v>0</v>
      </c>
      <c r="K746" s="25">
        <f>IFERROR(INDEX('Aub Demand'!S:S,MATCH(O746,'Aub Demand'!A:A,0)),"")</f>
        <v>0</v>
      </c>
      <c r="L746" s="25">
        <f>IFERROR(INDEX('Aub Demand'!R:R,MATCH(O746,'Aub Demand'!A:A,0)),"")</f>
        <v>0</v>
      </c>
      <c r="O746" s="27" t="s">
        <v>1164</v>
      </c>
      <c r="P746" s="27" t="str">
        <f>IFERROR(INDEX('Aub Demand'!B:B,MATCH($O746,'Aub Demand'!$A:$A,0)),"")</f>
        <v>BLACK GRANITE</v>
      </c>
      <c r="Q746" s="27" t="str">
        <f>IFERROR(INDEX('Aub Demand'!C:C,MATCH($O746,'Aub Demand'!$A:$A,0)),"")</f>
        <v>SUDDE</v>
      </c>
      <c r="R746" s="52">
        <f>IFERROR(IF(AR747=AR746,INDEX('Aub Demand'!K:K,MATCH($O746,'Aub Demand'!$A:$A,0))-IF(AN746="",0,AN746)+AP747,INDEX('Aub Demand'!K:K,MATCH($O746,'Aub Demand'!$A:$A,0))-IF(AN746="",0,AN746)),"")</f>
        <v>701</v>
      </c>
      <c r="S746" s="53" t="str">
        <f t="shared" si="308"/>
        <v>n/a</v>
      </c>
      <c r="T746" s="52" t="str">
        <f t="shared" si="309"/>
        <v/>
      </c>
      <c r="U746" s="52">
        <f>IFERROR(IF(AR747=AR746,INDEX('Aub Demand'!Q:Q,MATCH($O746,'Aub Demand'!$A:$A,0))-IF(AN746="",0,AN746)+AP747,INDEX('Aub Demand'!Q:Q,MATCH($O746,'Aub Demand'!$A:$A,0))-IF(AN746="",0,AN746)),"")</f>
        <v>673</v>
      </c>
      <c r="V746" s="53" t="str">
        <f t="shared" si="310"/>
        <v>n/a</v>
      </c>
      <c r="W746" s="52" t="str">
        <f t="shared" si="311"/>
        <v/>
      </c>
      <c r="X746" s="52">
        <f>IFERROR(IF(AND(AR747=AR746,AM746&lt;&gt;""),INDEX('Aub Demand'!Q:Q,MATCH($O746,'Aub Demand'!$A:$A,0))-IF(AN746="",0,AN746)+AP747+AD746+AL746,IF(AR747=AR746,INDEX('Aub Demand'!Q:Q,MATCH($O746,'Aub Demand'!$A:$A,0))-IF(AN746="",0,AN746)+AP747+AD746,IF(AM746&lt;&gt;"",INDEX('Aub Demand'!Q:Q,MATCH($O746,'Aub Demand'!$A:$A,0))-IF(AN746="",0,AN746)+AD746+AL746,INDEX('Aub Demand'!Q:Q,MATCH($O746,'Aub Demand'!$A:$A,0))-IF(AN746="",0,AN746)+AD746))),"")</f>
        <v>673</v>
      </c>
      <c r="Y746" s="53" t="str">
        <f t="shared" si="312"/>
        <v>n/a</v>
      </c>
      <c r="Z746" s="52">
        <f>IF(L746="","",INDEX('Aub Demand'!H:H,MATCH($O746,'Aub Demand'!$A:$A,0)))</f>
        <v>0</v>
      </c>
      <c r="AA746" s="52" t="str">
        <f t="shared" si="313"/>
        <v>-spike-</v>
      </c>
      <c r="AB746" s="52">
        <f>IFERROR(INDEX('Aub Demand'!L:L,MATCH($O746,'Aub Demand'!$A:$A,0)),"")</f>
        <v>20</v>
      </c>
      <c r="AC746" s="52">
        <f>IFERROR(IF(O746="","",SUMIFS('CPL Mats'!F:F,'CPL Mats'!Q:Q,AR746,'CPL Mats'!S:S,AS746)),"")</f>
        <v>0</v>
      </c>
      <c r="AF746" s="25" t="str">
        <f>IF(SUMIFS('Supp Consol'!S:S,'Supp Consol'!Y:Y,"Releasable",'Supp Consol'!A:A,O746)=0,"",SUMIFS('Supp Consol'!S:S,'Supp Consol'!Y:Y,"Releasable",'Supp Consol'!A:A,O746))</f>
        <v/>
      </c>
      <c r="AG746" s="25" t="str">
        <f>IFERROR(INDEX('Hun Demand'!Q:Q,MATCH(O746,'Hun Demand'!A:A,0)),"")</f>
        <v/>
      </c>
      <c r="AH746" s="25" t="str">
        <f>IFERROR(INDEX('Hun Demand'!H:H,MATCH($O746,'Hun Demand'!$A:$A,0)),"")</f>
        <v/>
      </c>
      <c r="AI746" s="25" t="str">
        <f>IF(SUMIFS('Supp Consol'!AA:AA,'Supp Consol'!Z:Z,"Expires this month",'Supp Consol'!A:A,O746)=0,"",SUMIFS('Supp Consol'!AA:AA,'Supp Consol'!Z:Z,"Expires this month",'Supp Consol'!A:A,O746))</f>
        <v/>
      </c>
      <c r="AJ746" s="25" t="str">
        <f>IF(SUMIFS('Supp Consol'!AA:AA,'Supp Consol'!Z:Z,"Expired Previous Months",'Supp Consol'!A:A,O746)=0,"",SUMIFS('Supp Consol'!AA:AA,'Supp Consol'!Z:Z,"Expired Previous Months",'Supp Consol'!A:A,O746))</f>
        <v/>
      </c>
      <c r="AK746" s="25" t="str">
        <f>IFERROR(INDEX('Hun Release Current'!B:B,MATCH(O746,'Hun Release Current'!A:A,0)),"")</f>
        <v/>
      </c>
      <c r="AL746" s="25" t="str">
        <f>IF(SUMIF('Prev Aub'!A:A,O746,'Prev Aub'!B:B)=0,"",SUMIF('Prev Aub'!A:A,O746,'Prev Aub'!B:B))</f>
        <v/>
      </c>
      <c r="AN746" s="25" t="s">
        <v>3790</v>
      </c>
      <c r="AO746" s="25" t="s">
        <v>3790</v>
      </c>
      <c r="AP746" s="25">
        <f t="shared" si="314"/>
        <v>0</v>
      </c>
      <c r="AQ746" s="151" t="str">
        <f>IF(SUMIFS('Supp Consol'!S:S,'Supp Consol'!A:A,O746,'Supp Consol'!I:I,"PENDING")=0,"",SUMIFS('Supp Consol'!S:S,'Supp Consol'!A:A,O746,'Supp Consol'!I:I,"PENDING"))</f>
        <v/>
      </c>
      <c r="AR746" s="27" t="str">
        <f t="shared" si="315"/>
        <v>ME031</v>
      </c>
      <c r="AS746" s="27" t="str">
        <f t="shared" si="316"/>
        <v>50</v>
      </c>
      <c r="AT746" s="27" t="str">
        <f t="shared" si="317"/>
        <v/>
      </c>
      <c r="AU746" s="27" t="str">
        <f t="shared" si="318"/>
        <v/>
      </c>
      <c r="AV746" s="27" t="str">
        <f t="shared" si="319"/>
        <v/>
      </c>
      <c r="AW746" s="27" t="str">
        <f t="shared" si="320"/>
        <v/>
      </c>
      <c r="AX746" s="27" t="str">
        <f t="shared" si="321"/>
        <v/>
      </c>
      <c r="AY746" s="27" t="str">
        <f t="shared" si="322"/>
        <v/>
      </c>
      <c r="AZ746" s="27" t="str">
        <f t="shared" si="323"/>
        <v/>
      </c>
      <c r="BA746" s="27" t="str">
        <f t="shared" si="324"/>
        <v/>
      </c>
      <c r="BB746" s="27" t="str">
        <f t="shared" si="325"/>
        <v/>
      </c>
      <c r="BC746" s="27" t="str">
        <f t="shared" si="326"/>
        <v/>
      </c>
      <c r="BD746" s="27" t="str">
        <f t="shared" si="327"/>
        <v/>
      </c>
      <c r="BE746" s="27" t="str">
        <f t="shared" si="328"/>
        <v/>
      </c>
      <c r="BF746" s="27" t="str">
        <f t="shared" si="329"/>
        <v/>
      </c>
      <c r="BG746" s="27" t="str">
        <f t="shared" si="330"/>
        <v/>
      </c>
      <c r="BH746" s="27" t="str">
        <f t="shared" si="331"/>
        <v/>
      </c>
      <c r="BI746" s="27" t="str">
        <f t="shared" si="332"/>
        <v/>
      </c>
      <c r="BJ746" s="27" t="str">
        <f t="shared" si="333"/>
        <v/>
      </c>
      <c r="BK746" s="27" t="str">
        <f t="shared" si="334"/>
        <v/>
      </c>
      <c r="BL746" s="27" t="str">
        <f t="shared" si="335"/>
        <v/>
      </c>
      <c r="BM746" s="21" t="s">
        <v>3790</v>
      </c>
    </row>
    <row r="747" spans="1:65" ht="15">
      <c r="A747" s="25" t="str">
        <f>IFERROR(INDEX('Hun Demand'!W:W,MATCH(O747,'Hun Demand'!A:A,0)),"")</f>
        <v/>
      </c>
      <c r="B747" s="25" t="str">
        <f>IFERROR(INDEX('Hun Demand'!V:V,MATCH(O747,'Hun Demand'!A:A,0)),"")</f>
        <v/>
      </c>
      <c r="C747" s="25" t="str">
        <f>IFERROR(INDEX('Hun Demand'!U:U,MATCH(O747,'Hun Demand'!A:A,0)),"")</f>
        <v/>
      </c>
      <c r="D747" s="25" t="str">
        <f>IFERROR(INDEX('Hun Demand'!T:T,MATCH(O747,'Hun Demand'!A:A,0)),"")</f>
        <v/>
      </c>
      <c r="E747" s="25" t="str">
        <f>IFERROR(INDEX('Hun Demand'!S:S,MATCH(O747,'Hun Demand'!A:A,0)),"")</f>
        <v/>
      </c>
      <c r="F747" s="25" t="str">
        <f>IFERROR(INDEX('Hun Demand'!R:R,MATCH(O747,'Hun Demand'!A:A,0)),"")</f>
        <v/>
      </c>
      <c r="G747" s="25">
        <f>IFERROR(INDEX('Aub Demand'!W:W,MATCH(O747,'Aub Demand'!A:A,0)),"")</f>
        <v>0</v>
      </c>
      <c r="H747" s="25">
        <f>IFERROR(INDEX('Aub Demand'!V:V,MATCH(O747,'Aub Demand'!A:A,0)),"")</f>
        <v>0</v>
      </c>
      <c r="I747" s="25">
        <f>IFERROR(INDEX('Aub Demand'!U:U,MATCH(O747,'Aub Demand'!A:A,0)),"")</f>
        <v>0</v>
      </c>
      <c r="J747" s="25">
        <f>IFERROR(INDEX('Aub Demand'!T:T,MATCH(O747,'Aub Demand'!A:A,0)),"")</f>
        <v>0</v>
      </c>
      <c r="K747" s="25">
        <f>IFERROR(INDEX('Aub Demand'!S:S,MATCH(O747,'Aub Demand'!A:A,0)),"")</f>
        <v>0</v>
      </c>
      <c r="L747" s="25">
        <f>IFERROR(INDEX('Aub Demand'!R:R,MATCH(O747,'Aub Demand'!A:A,0)),"")</f>
        <v>0</v>
      </c>
      <c r="O747" s="27" t="s">
        <v>1166</v>
      </c>
      <c r="P747" s="27" t="str">
        <f>IFERROR(INDEX('Aub Demand'!B:B,MATCH($O747,'Aub Demand'!$A:$A,0)),"")</f>
        <v>BLACK GRANITE</v>
      </c>
      <c r="Q747" s="27" t="str">
        <f>IFERROR(INDEX('Aub Demand'!C:C,MATCH($O747,'Aub Demand'!$A:$A,0)),"")</f>
        <v>SUDDE</v>
      </c>
      <c r="R747" s="52">
        <f>IFERROR(IF(AR748=AR747,INDEX('Aub Demand'!K:K,MATCH($O747,'Aub Demand'!$A:$A,0))-IF(AN747="",0,AN747)+AP748,INDEX('Aub Demand'!K:K,MATCH($O747,'Aub Demand'!$A:$A,0))-IF(AN747="",0,AN747)),"")</f>
        <v>77</v>
      </c>
      <c r="S747" s="53" t="str">
        <f t="shared" si="308"/>
        <v>n/a</v>
      </c>
      <c r="T747" s="52" t="str">
        <f t="shared" si="309"/>
        <v/>
      </c>
      <c r="U747" s="52">
        <f>IFERROR(IF(AR748=AR747,INDEX('Aub Demand'!Q:Q,MATCH($O747,'Aub Demand'!$A:$A,0))-IF(AN747="",0,AN747)+AP748,INDEX('Aub Demand'!Q:Q,MATCH($O747,'Aub Demand'!$A:$A,0))-IF(AN747="",0,AN747)),"")</f>
        <v>77</v>
      </c>
      <c r="V747" s="53" t="str">
        <f t="shared" si="310"/>
        <v>n/a</v>
      </c>
      <c r="W747" s="52" t="str">
        <f t="shared" si="311"/>
        <v/>
      </c>
      <c r="X747" s="52">
        <f>IFERROR(IF(AND(AR748=AR747,AM747&lt;&gt;""),INDEX('Aub Demand'!Q:Q,MATCH($O747,'Aub Demand'!$A:$A,0))-IF(AN747="",0,AN747)+AP748+AD747+AL747,IF(AR748=AR747,INDEX('Aub Demand'!Q:Q,MATCH($O747,'Aub Demand'!$A:$A,0))-IF(AN747="",0,AN747)+AP748+AD747,IF(AM747&lt;&gt;"",INDEX('Aub Demand'!Q:Q,MATCH($O747,'Aub Demand'!$A:$A,0))-IF(AN747="",0,AN747)+AD747+AL747,INDEX('Aub Demand'!Q:Q,MATCH($O747,'Aub Demand'!$A:$A,0))-IF(AN747="",0,AN747)+AD747))),"")</f>
        <v>77</v>
      </c>
      <c r="Y747" s="53" t="str">
        <f t="shared" si="312"/>
        <v>n/a</v>
      </c>
      <c r="Z747" s="52">
        <f>IF(L747="","",INDEX('Aub Demand'!H:H,MATCH($O747,'Aub Demand'!$A:$A,0)))</f>
        <v>0</v>
      </c>
      <c r="AA747" s="52" t="str">
        <f t="shared" si="313"/>
        <v>-spike-</v>
      </c>
      <c r="AB747" s="52">
        <f>IFERROR(INDEX('Aub Demand'!L:L,MATCH($O747,'Aub Demand'!$A:$A,0)),"")</f>
        <v>127</v>
      </c>
      <c r="AC747" s="52">
        <f>IFERROR(IF(O747="","",SUMIFS('CPL Mats'!F:F,'CPL Mats'!Q:Q,AR747,'CPL Mats'!S:S,AS747)),"")</f>
        <v>0</v>
      </c>
      <c r="AF747" s="25" t="str">
        <f>IF(SUMIFS('Supp Consol'!S:S,'Supp Consol'!Y:Y,"Releasable",'Supp Consol'!A:A,O747)=0,"",SUMIFS('Supp Consol'!S:S,'Supp Consol'!Y:Y,"Releasable",'Supp Consol'!A:A,O747))</f>
        <v/>
      </c>
      <c r="AG747" s="25" t="str">
        <f>IFERROR(INDEX('Hun Demand'!Q:Q,MATCH(O747,'Hun Demand'!A:A,0)),"")</f>
        <v/>
      </c>
      <c r="AH747" s="25" t="str">
        <f>IFERROR(INDEX('Hun Demand'!H:H,MATCH($O747,'Hun Demand'!$A:$A,0)),"")</f>
        <v/>
      </c>
      <c r="AI747" s="25" t="str">
        <f>IF(SUMIFS('Supp Consol'!AA:AA,'Supp Consol'!Z:Z,"Expires this month",'Supp Consol'!A:A,O747)=0,"",SUMIFS('Supp Consol'!AA:AA,'Supp Consol'!Z:Z,"Expires this month",'Supp Consol'!A:A,O747))</f>
        <v/>
      </c>
      <c r="AJ747" s="25" t="str">
        <f>IF(SUMIFS('Supp Consol'!AA:AA,'Supp Consol'!Z:Z,"Expired Previous Months",'Supp Consol'!A:A,O747)=0,"",SUMIFS('Supp Consol'!AA:AA,'Supp Consol'!Z:Z,"Expired Previous Months",'Supp Consol'!A:A,O747))</f>
        <v/>
      </c>
      <c r="AK747" s="25" t="str">
        <f>IFERROR(INDEX('Hun Release Current'!B:B,MATCH(O747,'Hun Release Current'!A:A,0)),"")</f>
        <v/>
      </c>
      <c r="AL747" s="25" t="str">
        <f>IF(SUMIF('Prev Aub'!A:A,O747,'Prev Aub'!B:B)=0,"",SUMIF('Prev Aub'!A:A,O747,'Prev Aub'!B:B))</f>
        <v/>
      </c>
      <c r="AN747" s="25" t="s">
        <v>3790</v>
      </c>
      <c r="AO747" s="25" t="s">
        <v>3790</v>
      </c>
      <c r="AP747" s="25">
        <f t="shared" si="314"/>
        <v>0</v>
      </c>
      <c r="AQ747" s="151" t="str">
        <f>IF(SUMIFS('Supp Consol'!S:S,'Supp Consol'!A:A,O747,'Supp Consol'!I:I,"PENDING")=0,"",SUMIFS('Supp Consol'!S:S,'Supp Consol'!A:A,O747,'Supp Consol'!I:I,"PENDING"))</f>
        <v/>
      </c>
      <c r="AR747" s="27" t="str">
        <f t="shared" si="315"/>
        <v>ME031</v>
      </c>
      <c r="AS747" s="27" t="str">
        <f t="shared" si="316"/>
        <v>62</v>
      </c>
      <c r="AT747" s="27" t="str">
        <f t="shared" si="317"/>
        <v/>
      </c>
      <c r="AU747" s="27" t="str">
        <f t="shared" si="318"/>
        <v/>
      </c>
      <c r="AV747" s="27" t="str">
        <f t="shared" si="319"/>
        <v/>
      </c>
      <c r="AW747" s="27" t="str">
        <f t="shared" si="320"/>
        <v/>
      </c>
      <c r="AX747" s="27" t="str">
        <f t="shared" si="321"/>
        <v/>
      </c>
      <c r="AY747" s="27" t="str">
        <f t="shared" si="322"/>
        <v/>
      </c>
      <c r="AZ747" s="27" t="str">
        <f t="shared" si="323"/>
        <v/>
      </c>
      <c r="BA747" s="27" t="str">
        <f t="shared" si="324"/>
        <v/>
      </c>
      <c r="BB747" s="27" t="str">
        <f t="shared" si="325"/>
        <v/>
      </c>
      <c r="BC747" s="27" t="str">
        <f t="shared" si="326"/>
        <v/>
      </c>
      <c r="BD747" s="27" t="str">
        <f t="shared" si="327"/>
        <v/>
      </c>
      <c r="BE747" s="27" t="str">
        <f t="shared" si="328"/>
        <v/>
      </c>
      <c r="BF747" s="27" t="str">
        <f t="shared" si="329"/>
        <v/>
      </c>
      <c r="BG747" s="27" t="str">
        <f t="shared" si="330"/>
        <v/>
      </c>
      <c r="BH747" s="27" t="str">
        <f t="shared" si="331"/>
        <v/>
      </c>
      <c r="BI747" s="27" t="str">
        <f t="shared" si="332"/>
        <v/>
      </c>
      <c r="BJ747" s="27" t="str">
        <f t="shared" si="333"/>
        <v/>
      </c>
      <c r="BK747" s="27" t="str">
        <f t="shared" si="334"/>
        <v/>
      </c>
      <c r="BL747" s="27" t="str">
        <f t="shared" si="335"/>
        <v/>
      </c>
      <c r="BM747" s="21" t="s">
        <v>3790</v>
      </c>
    </row>
    <row r="748" spans="1:65" ht="15">
      <c r="A748" s="25" t="str">
        <f>IFERROR(INDEX('Hun Demand'!W:W,MATCH(O748,'Hun Demand'!A:A,0)),"")</f>
        <v/>
      </c>
      <c r="B748" s="25" t="str">
        <f>IFERROR(INDEX('Hun Demand'!V:V,MATCH(O748,'Hun Demand'!A:A,0)),"")</f>
        <v/>
      </c>
      <c r="C748" s="25" t="str">
        <f>IFERROR(INDEX('Hun Demand'!U:U,MATCH(O748,'Hun Demand'!A:A,0)),"")</f>
        <v/>
      </c>
      <c r="D748" s="25" t="str">
        <f>IFERROR(INDEX('Hun Demand'!T:T,MATCH(O748,'Hun Demand'!A:A,0)),"")</f>
        <v/>
      </c>
      <c r="E748" s="25" t="str">
        <f>IFERROR(INDEX('Hun Demand'!S:S,MATCH(O748,'Hun Demand'!A:A,0)),"")</f>
        <v/>
      </c>
      <c r="F748" s="25" t="str">
        <f>IFERROR(INDEX('Hun Demand'!R:R,MATCH(O748,'Hun Demand'!A:A,0)),"")</f>
        <v/>
      </c>
      <c r="G748" s="25">
        <f>IFERROR(INDEX('Aub Demand'!W:W,MATCH(O748,'Aub Demand'!A:A,0)),"")</f>
        <v>7</v>
      </c>
      <c r="H748" s="25">
        <f>IFERROR(INDEX('Aub Demand'!V:V,MATCH(O748,'Aub Demand'!A:A,0)),"")</f>
        <v>0</v>
      </c>
      <c r="I748" s="25">
        <f>IFERROR(INDEX('Aub Demand'!U:U,MATCH(O748,'Aub Demand'!A:A,0)),"")</f>
        <v>6</v>
      </c>
      <c r="J748" s="25">
        <f>IFERROR(INDEX('Aub Demand'!T:T,MATCH(O748,'Aub Demand'!A:A,0)),"")</f>
        <v>0</v>
      </c>
      <c r="K748" s="25">
        <f>IFERROR(INDEX('Aub Demand'!S:S,MATCH(O748,'Aub Demand'!A:A,0)),"")</f>
        <v>9</v>
      </c>
      <c r="L748" s="25">
        <f>IFERROR(INDEX('Aub Demand'!R:R,MATCH(O748,'Aub Demand'!A:A,0)),"")</f>
        <v>0</v>
      </c>
      <c r="O748" s="27" t="s">
        <v>1167</v>
      </c>
      <c r="P748" s="27" t="str">
        <f>IFERROR(INDEX('Aub Demand'!B:B,MATCH($O748,'Aub Demand'!$A:$A,0)),"")</f>
        <v>ARCTIC FLASH</v>
      </c>
      <c r="Q748" s="27" t="str">
        <f>IFERROR(INDEX('Aub Demand'!C:C,MATCH($O748,'Aub Demand'!$A:$A,0)),"")</f>
        <v>LAMIG</v>
      </c>
      <c r="R748" s="52">
        <f>IFERROR(IF(AR749=AR748,INDEX('Aub Demand'!K:K,MATCH($O748,'Aub Demand'!$A:$A,0))-IF(AN748="",0,AN748)+AP749,INDEX('Aub Demand'!K:K,MATCH($O748,'Aub Demand'!$A:$A,0))-IF(AN748="",0,AN748)),"")</f>
        <v>803</v>
      </c>
      <c r="S748" s="53">
        <f t="shared" si="308"/>
        <v>688.3</v>
      </c>
      <c r="T748" s="52" t="str">
        <f t="shared" si="309"/>
        <v/>
      </c>
      <c r="U748" s="52">
        <f>IFERROR(IF(AR749=AR748,INDEX('Aub Demand'!Q:Q,MATCH($O748,'Aub Demand'!$A:$A,0))-IF(AN748="",0,AN748)+AP749,INDEX('Aub Demand'!Q:Q,MATCH($O748,'Aub Demand'!$A:$A,0))-IF(AN748="",0,AN748)),"")</f>
        <v>803</v>
      </c>
      <c r="V748" s="53">
        <f t="shared" si="310"/>
        <v>688.3</v>
      </c>
      <c r="W748" s="52" t="str">
        <f t="shared" si="311"/>
        <v/>
      </c>
      <c r="X748" s="52">
        <f>IFERROR(IF(AND(AR749=AR748,AM748&lt;&gt;""),INDEX('Aub Demand'!Q:Q,MATCH($O748,'Aub Demand'!$A:$A,0))-IF(AN748="",0,AN748)+AP749+AD748+AL748,IF(AR749=AR748,INDEX('Aub Demand'!Q:Q,MATCH($O748,'Aub Demand'!$A:$A,0))-IF(AN748="",0,AN748)+AP749+AD748,IF(AM748&lt;&gt;"",INDEX('Aub Demand'!Q:Q,MATCH($O748,'Aub Demand'!$A:$A,0))-IF(AN748="",0,AN748)+AD748+AL748,INDEX('Aub Demand'!Q:Q,MATCH($O748,'Aub Demand'!$A:$A,0))-IF(AN748="",0,AN748)+AD748))),"")</f>
        <v>803</v>
      </c>
      <c r="Y748" s="53">
        <f t="shared" si="312"/>
        <v>688.3</v>
      </c>
      <c r="Z748" s="52">
        <f>IF(L748="","",INDEX('Aub Demand'!H:H,MATCH($O748,'Aub Demand'!$A:$A,0)))</f>
        <v>5</v>
      </c>
      <c r="AA748" s="52">
        <f t="shared" si="313"/>
        <v>7.5</v>
      </c>
      <c r="AB748" s="52">
        <f>IFERROR(INDEX('Aub Demand'!L:L,MATCH($O748,'Aub Demand'!$A:$A,0)),"")</f>
        <v>0</v>
      </c>
      <c r="AC748" s="52">
        <f>IFERROR(IF(O748="","",SUMIFS('CPL Mats'!F:F,'CPL Mats'!Q:Q,AR748,'CPL Mats'!S:S,AS748)),"")</f>
        <v>0</v>
      </c>
      <c r="AF748" s="25" t="str">
        <f>IF(SUMIFS('Supp Consol'!S:S,'Supp Consol'!Y:Y,"Releasable",'Supp Consol'!A:A,O748)=0,"",SUMIFS('Supp Consol'!S:S,'Supp Consol'!Y:Y,"Releasable",'Supp Consol'!A:A,O748))</f>
        <v/>
      </c>
      <c r="AG748" s="25" t="str">
        <f>IFERROR(INDEX('Hun Demand'!Q:Q,MATCH(O748,'Hun Demand'!A:A,0)),"")</f>
        <v/>
      </c>
      <c r="AH748" s="25" t="str">
        <f>IFERROR(INDEX('Hun Demand'!H:H,MATCH($O748,'Hun Demand'!$A:$A,0)),"")</f>
        <v/>
      </c>
      <c r="AI748" s="25" t="str">
        <f>IF(SUMIFS('Supp Consol'!AA:AA,'Supp Consol'!Z:Z,"Expires this month",'Supp Consol'!A:A,O748)=0,"",SUMIFS('Supp Consol'!AA:AA,'Supp Consol'!Z:Z,"Expires this month",'Supp Consol'!A:A,O748))</f>
        <v/>
      </c>
      <c r="AJ748" s="25" t="str">
        <f>IF(SUMIFS('Supp Consol'!AA:AA,'Supp Consol'!Z:Z,"Expired Previous Months",'Supp Consol'!A:A,O748)=0,"",SUMIFS('Supp Consol'!AA:AA,'Supp Consol'!Z:Z,"Expired Previous Months",'Supp Consol'!A:A,O748))</f>
        <v/>
      </c>
      <c r="AK748" s="25" t="str">
        <f>IFERROR(INDEX('Hun Release Current'!B:B,MATCH(O748,'Hun Release Current'!A:A,0)),"")</f>
        <v/>
      </c>
      <c r="AL748" s="25" t="str">
        <f>IF(SUMIF('Prev Aub'!A:A,O748,'Prev Aub'!B:B)=0,"",SUMIF('Prev Aub'!A:A,O748,'Prev Aub'!B:B))</f>
        <v/>
      </c>
      <c r="AN748" s="25" t="s">
        <v>3790</v>
      </c>
      <c r="AO748" s="25" t="s">
        <v>3790</v>
      </c>
      <c r="AP748" s="25">
        <f t="shared" si="314"/>
        <v>0</v>
      </c>
      <c r="AQ748" s="151" t="str">
        <f>IF(SUMIFS('Supp Consol'!S:S,'Supp Consol'!A:A,O748,'Supp Consol'!I:I,"PENDING")=0,"",SUMIFS('Supp Consol'!S:S,'Supp Consol'!A:A,O748,'Supp Consol'!I:I,"PENDING"))</f>
        <v/>
      </c>
      <c r="AR748" s="27" t="str">
        <f t="shared" si="315"/>
        <v>ME051</v>
      </c>
      <c r="AS748" s="27" t="str">
        <f t="shared" si="316"/>
        <v>50</v>
      </c>
      <c r="AT748" s="27" t="str">
        <f t="shared" si="317"/>
        <v/>
      </c>
      <c r="AU748" s="27" t="str">
        <f t="shared" si="318"/>
        <v/>
      </c>
      <c r="AV748" s="27" t="str">
        <f t="shared" si="319"/>
        <v/>
      </c>
      <c r="AW748" s="27" t="str">
        <f t="shared" si="320"/>
        <v/>
      </c>
      <c r="AX748" s="27" t="str">
        <f t="shared" si="321"/>
        <v/>
      </c>
      <c r="AY748" s="27" t="str">
        <f t="shared" si="322"/>
        <v/>
      </c>
      <c r="AZ748" s="27" t="str">
        <f t="shared" si="323"/>
        <v/>
      </c>
      <c r="BA748" s="27" t="str">
        <f t="shared" si="324"/>
        <v/>
      </c>
      <c r="BB748" s="27" t="str">
        <f t="shared" si="325"/>
        <v/>
      </c>
      <c r="BC748" s="27" t="str">
        <f t="shared" si="326"/>
        <v/>
      </c>
      <c r="BD748" s="27" t="str">
        <f t="shared" si="327"/>
        <v/>
      </c>
      <c r="BE748" s="27" t="str">
        <f t="shared" si="328"/>
        <v/>
      </c>
      <c r="BF748" s="27" t="str">
        <f t="shared" si="329"/>
        <v/>
      </c>
      <c r="BG748" s="27" t="str">
        <f t="shared" si="330"/>
        <v/>
      </c>
      <c r="BH748" s="27" t="str">
        <f t="shared" si="331"/>
        <v/>
      </c>
      <c r="BI748" s="27" t="str">
        <f t="shared" si="332"/>
        <v/>
      </c>
      <c r="BJ748" s="27" t="str">
        <f t="shared" si="333"/>
        <v/>
      </c>
      <c r="BK748" s="27" t="str">
        <f t="shared" si="334"/>
        <v/>
      </c>
      <c r="BL748" s="27" t="str">
        <f t="shared" si="335"/>
        <v/>
      </c>
      <c r="BM748" s="21" t="s">
        <v>5581</v>
      </c>
    </row>
    <row r="749" spans="1:65" ht="15">
      <c r="A749" s="25" t="str">
        <f>IFERROR(INDEX('Hun Demand'!W:W,MATCH(O749,'Hun Demand'!A:A,0)),"")</f>
        <v/>
      </c>
      <c r="B749" s="25" t="str">
        <f>IFERROR(INDEX('Hun Demand'!V:V,MATCH(O749,'Hun Demand'!A:A,0)),"")</f>
        <v/>
      </c>
      <c r="C749" s="25" t="str">
        <f>IFERROR(INDEX('Hun Demand'!U:U,MATCH(O749,'Hun Demand'!A:A,0)),"")</f>
        <v/>
      </c>
      <c r="D749" s="25" t="str">
        <f>IFERROR(INDEX('Hun Demand'!T:T,MATCH(O749,'Hun Demand'!A:A,0)),"")</f>
        <v/>
      </c>
      <c r="E749" s="25" t="str">
        <f>IFERROR(INDEX('Hun Demand'!S:S,MATCH(O749,'Hun Demand'!A:A,0)),"")</f>
        <v/>
      </c>
      <c r="F749" s="25" t="str">
        <f>IFERROR(INDEX('Hun Demand'!R:R,MATCH(O749,'Hun Demand'!A:A,0)),"")</f>
        <v/>
      </c>
      <c r="G749" s="25">
        <f>IFERROR(INDEX('Aub Demand'!W:W,MATCH(O749,'Aub Demand'!A:A,0)),"")</f>
        <v>0</v>
      </c>
      <c r="H749" s="25">
        <f>IFERROR(INDEX('Aub Demand'!V:V,MATCH(O749,'Aub Demand'!A:A,0)),"")</f>
        <v>0</v>
      </c>
      <c r="I749" s="25">
        <f>IFERROR(INDEX('Aub Demand'!U:U,MATCH(O749,'Aub Demand'!A:A,0)),"")</f>
        <v>0</v>
      </c>
      <c r="J749" s="25">
        <f>IFERROR(INDEX('Aub Demand'!T:T,MATCH(O749,'Aub Demand'!A:A,0)),"")</f>
        <v>10</v>
      </c>
      <c r="K749" s="25">
        <f>IFERROR(INDEX('Aub Demand'!S:S,MATCH(O749,'Aub Demand'!A:A,0)),"")</f>
        <v>24</v>
      </c>
      <c r="L749" s="25">
        <f>IFERROR(INDEX('Aub Demand'!R:R,MATCH(O749,'Aub Demand'!A:A,0)),"")</f>
        <v>0</v>
      </c>
      <c r="O749" s="27" t="s">
        <v>1169</v>
      </c>
      <c r="P749" s="27" t="str">
        <f>IFERROR(INDEX('Aub Demand'!B:B,MATCH($O749,'Aub Demand'!$A:$A,0)),"")</f>
        <v>ARCTIC FLASH</v>
      </c>
      <c r="Q749" s="27" t="str">
        <f>IFERROR(INDEX('Aub Demand'!C:C,MATCH($O749,'Aub Demand'!$A:$A,0)),"")</f>
        <v>LAMIG</v>
      </c>
      <c r="R749" s="52">
        <f>IFERROR(IF(AR750=AR749,INDEX('Aub Demand'!K:K,MATCH($O749,'Aub Demand'!$A:$A,0))-IF(AN749="",0,AN749)+AP750,INDEX('Aub Demand'!K:K,MATCH($O749,'Aub Demand'!$A:$A,0))-IF(AN749="",0,AN749)),"")</f>
        <v>1845</v>
      </c>
      <c r="S749" s="53">
        <f t="shared" si="308"/>
        <v>718.8</v>
      </c>
      <c r="T749" s="52" t="str">
        <f t="shared" si="309"/>
        <v/>
      </c>
      <c r="U749" s="52">
        <f>IFERROR(IF(AR750=AR749,INDEX('Aub Demand'!Q:Q,MATCH($O749,'Aub Demand'!$A:$A,0))-IF(AN749="",0,AN749)+AP750,INDEX('Aub Demand'!Q:Q,MATCH($O749,'Aub Demand'!$A:$A,0))-IF(AN749="",0,AN749)),"")</f>
        <v>1845</v>
      </c>
      <c r="V749" s="53">
        <f t="shared" si="310"/>
        <v>718.8</v>
      </c>
      <c r="W749" s="52" t="str">
        <f t="shared" si="311"/>
        <v/>
      </c>
      <c r="X749" s="52">
        <f>IFERROR(IF(AND(AR750=AR749,AM749&lt;&gt;""),INDEX('Aub Demand'!Q:Q,MATCH($O749,'Aub Demand'!$A:$A,0))-IF(AN749="",0,AN749)+AP750+AD749+AL749,IF(AR750=AR749,INDEX('Aub Demand'!Q:Q,MATCH($O749,'Aub Demand'!$A:$A,0))-IF(AN749="",0,AN749)+AP750+AD749,IF(AM749&lt;&gt;"",INDEX('Aub Demand'!Q:Q,MATCH($O749,'Aub Demand'!$A:$A,0))-IF(AN749="",0,AN749)+AD749+AL749,INDEX('Aub Demand'!Q:Q,MATCH($O749,'Aub Demand'!$A:$A,0))-IF(AN749="",0,AN749)+AD749))),"")</f>
        <v>1845</v>
      </c>
      <c r="Y749" s="53">
        <f t="shared" si="312"/>
        <v>718.8</v>
      </c>
      <c r="Z749" s="52">
        <f>IF(L749="","",INDEX('Aub Demand'!H:H,MATCH($O749,'Aub Demand'!$A:$A,0)))</f>
        <v>11</v>
      </c>
      <c r="AA749" s="52">
        <f t="shared" si="313"/>
        <v>17</v>
      </c>
      <c r="AB749" s="52">
        <f>IFERROR(INDEX('Aub Demand'!L:L,MATCH($O749,'Aub Demand'!$A:$A,0)),"")</f>
        <v>22</v>
      </c>
      <c r="AC749" s="52">
        <f>IFERROR(IF(O749="","",SUMIFS('CPL Mats'!F:F,'CPL Mats'!Q:Q,AR749,'CPL Mats'!S:S,AS749)),"")</f>
        <v>0</v>
      </c>
      <c r="AF749" s="25" t="str">
        <f>IF(SUMIFS('Supp Consol'!S:S,'Supp Consol'!Y:Y,"Releasable",'Supp Consol'!A:A,O749)=0,"",SUMIFS('Supp Consol'!S:S,'Supp Consol'!Y:Y,"Releasable",'Supp Consol'!A:A,O749))</f>
        <v/>
      </c>
      <c r="AG749" s="25" t="str">
        <f>IFERROR(INDEX('Hun Demand'!Q:Q,MATCH(O749,'Hun Demand'!A:A,0)),"")</f>
        <v/>
      </c>
      <c r="AH749" s="25" t="str">
        <f>IFERROR(INDEX('Hun Demand'!H:H,MATCH($O749,'Hun Demand'!$A:$A,0)),"")</f>
        <v/>
      </c>
      <c r="AI749" s="25" t="str">
        <f>IF(SUMIFS('Supp Consol'!AA:AA,'Supp Consol'!Z:Z,"Expires this month",'Supp Consol'!A:A,O749)=0,"",SUMIFS('Supp Consol'!AA:AA,'Supp Consol'!Z:Z,"Expires this month",'Supp Consol'!A:A,O749))</f>
        <v/>
      </c>
      <c r="AJ749" s="25" t="str">
        <f>IF(SUMIFS('Supp Consol'!AA:AA,'Supp Consol'!Z:Z,"Expired Previous Months",'Supp Consol'!A:A,O749)=0,"",SUMIFS('Supp Consol'!AA:AA,'Supp Consol'!Z:Z,"Expired Previous Months",'Supp Consol'!A:A,O749))</f>
        <v/>
      </c>
      <c r="AK749" s="25" t="str">
        <f>IFERROR(INDEX('Hun Release Current'!B:B,MATCH(O749,'Hun Release Current'!A:A,0)),"")</f>
        <v/>
      </c>
      <c r="AL749" s="25" t="str">
        <f>IF(SUMIF('Prev Aub'!A:A,O749,'Prev Aub'!B:B)=0,"",SUMIF('Prev Aub'!A:A,O749,'Prev Aub'!B:B))</f>
        <v/>
      </c>
      <c r="AN749" s="25" t="s">
        <v>3790</v>
      </c>
      <c r="AO749" s="25" t="s">
        <v>3790</v>
      </c>
      <c r="AP749" s="25">
        <f t="shared" si="314"/>
        <v>0</v>
      </c>
      <c r="AQ749" s="151" t="str">
        <f>IF(SUMIFS('Supp Consol'!S:S,'Supp Consol'!A:A,O749,'Supp Consol'!I:I,"PENDING")=0,"",SUMIFS('Supp Consol'!S:S,'Supp Consol'!A:A,O749,'Supp Consol'!I:I,"PENDING"))</f>
        <v/>
      </c>
      <c r="AR749" s="27" t="str">
        <f t="shared" si="315"/>
        <v>ME051</v>
      </c>
      <c r="AS749" s="27" t="str">
        <f t="shared" si="316"/>
        <v>62</v>
      </c>
      <c r="AT749" s="27" t="str">
        <f t="shared" si="317"/>
        <v/>
      </c>
      <c r="AU749" s="27" t="str">
        <f t="shared" si="318"/>
        <v/>
      </c>
      <c r="AV749" s="27" t="str">
        <f t="shared" si="319"/>
        <v/>
      </c>
      <c r="AW749" s="27" t="str">
        <f t="shared" si="320"/>
        <v/>
      </c>
      <c r="AX749" s="27" t="str">
        <f t="shared" si="321"/>
        <v/>
      </c>
      <c r="AY749" s="27" t="str">
        <f t="shared" si="322"/>
        <v/>
      </c>
      <c r="AZ749" s="27" t="str">
        <f t="shared" si="323"/>
        <v/>
      </c>
      <c r="BA749" s="27" t="str">
        <f t="shared" si="324"/>
        <v/>
      </c>
      <c r="BB749" s="27" t="str">
        <f t="shared" si="325"/>
        <v/>
      </c>
      <c r="BC749" s="27" t="str">
        <f t="shared" si="326"/>
        <v/>
      </c>
      <c r="BD749" s="27" t="str">
        <f t="shared" si="327"/>
        <v/>
      </c>
      <c r="BE749" s="27" t="str">
        <f t="shared" si="328"/>
        <v/>
      </c>
      <c r="BF749" s="27" t="str">
        <f t="shared" si="329"/>
        <v/>
      </c>
      <c r="BG749" s="27" t="str">
        <f t="shared" si="330"/>
        <v/>
      </c>
      <c r="BH749" s="27" t="str">
        <f t="shared" si="331"/>
        <v/>
      </c>
      <c r="BI749" s="27" t="str">
        <f t="shared" si="332"/>
        <v/>
      </c>
      <c r="BJ749" s="27" t="str">
        <f t="shared" si="333"/>
        <v/>
      </c>
      <c r="BK749" s="27" t="str">
        <f t="shared" si="334"/>
        <v/>
      </c>
      <c r="BL749" s="27" t="str">
        <f t="shared" si="335"/>
        <v/>
      </c>
      <c r="BM749" s="21" t="s">
        <v>5581</v>
      </c>
    </row>
    <row r="750" spans="1:65" ht="15">
      <c r="A750" s="25" t="str">
        <f>IFERROR(INDEX('Hun Demand'!W:W,MATCH(O750,'Hun Demand'!A:A,0)),"")</f>
        <v/>
      </c>
      <c r="B750" s="25" t="str">
        <f>IFERROR(INDEX('Hun Demand'!V:V,MATCH(O750,'Hun Demand'!A:A,0)),"")</f>
        <v/>
      </c>
      <c r="C750" s="25" t="str">
        <f>IFERROR(INDEX('Hun Demand'!U:U,MATCH(O750,'Hun Demand'!A:A,0)),"")</f>
        <v/>
      </c>
      <c r="D750" s="25" t="str">
        <f>IFERROR(INDEX('Hun Demand'!T:T,MATCH(O750,'Hun Demand'!A:A,0)),"")</f>
        <v/>
      </c>
      <c r="E750" s="25" t="str">
        <f>IFERROR(INDEX('Hun Demand'!S:S,MATCH(O750,'Hun Demand'!A:A,0)),"")</f>
        <v/>
      </c>
      <c r="F750" s="25" t="str">
        <f>IFERROR(INDEX('Hun Demand'!R:R,MATCH(O750,'Hun Demand'!A:A,0)),"")</f>
        <v/>
      </c>
      <c r="G750" s="25">
        <f>IFERROR(INDEX('Aub Demand'!W:W,MATCH(O750,'Aub Demand'!A:A,0)),"")</f>
        <v>0</v>
      </c>
      <c r="H750" s="25">
        <f>IFERROR(INDEX('Aub Demand'!V:V,MATCH(O750,'Aub Demand'!A:A,0)),"")</f>
        <v>0</v>
      </c>
      <c r="I750" s="25">
        <f>IFERROR(INDEX('Aub Demand'!U:U,MATCH(O750,'Aub Demand'!A:A,0)),"")</f>
        <v>0</v>
      </c>
      <c r="J750" s="25">
        <f>IFERROR(INDEX('Aub Demand'!T:T,MATCH(O750,'Aub Demand'!A:A,0)),"")</f>
        <v>89</v>
      </c>
      <c r="K750" s="25">
        <f>IFERROR(INDEX('Aub Demand'!S:S,MATCH(O750,'Aub Demand'!A:A,0)),"")</f>
        <v>0</v>
      </c>
      <c r="L750" s="25">
        <f>IFERROR(INDEX('Aub Demand'!R:R,MATCH(O750,'Aub Demand'!A:A,0)),"")</f>
        <v>0</v>
      </c>
      <c r="O750" s="27" t="s">
        <v>5936</v>
      </c>
      <c r="P750" s="27" t="str">
        <f>IFERROR(INDEX('Aub Demand'!B:B,MATCH($O750,'Aub Demand'!$A:$A,0)),"")</f>
        <v>ESTASI</v>
      </c>
      <c r="Q750" s="27" t="str">
        <f>IFERROR(INDEX('Aub Demand'!C:C,MATCH($O750,'Aub Demand'!$A:$A,0)),"")</f>
        <v>INTER</v>
      </c>
      <c r="R750" s="52">
        <f>IFERROR(IF(AR751=AR750,INDEX('Aub Demand'!K:K,MATCH($O750,'Aub Demand'!$A:$A,0))-IF(AN750="",0,AN750)+AP751,INDEX('Aub Demand'!K:K,MATCH($O750,'Aub Demand'!$A:$A,0))-IF(AN750="",0,AN750)),"")</f>
        <v>40</v>
      </c>
      <c r="S750" s="53">
        <f t="shared" si="308"/>
        <v>5.7</v>
      </c>
      <c r="T750" s="52" t="str">
        <f t="shared" si="309"/>
        <v/>
      </c>
      <c r="U750" s="52">
        <f>IFERROR(IF(AR751=AR750,INDEX('Aub Demand'!Q:Q,MATCH($O750,'Aub Demand'!$A:$A,0))-IF(AN750="",0,AN750)+AP751,INDEX('Aub Demand'!Q:Q,MATCH($O750,'Aub Demand'!$A:$A,0))-IF(AN750="",0,AN750)),"")</f>
        <v>40</v>
      </c>
      <c r="V750" s="53">
        <f t="shared" si="310"/>
        <v>5.7</v>
      </c>
      <c r="W750" s="52" t="str">
        <f t="shared" si="311"/>
        <v/>
      </c>
      <c r="X750" s="52">
        <f>IFERROR(IF(AND(AR751=AR750,AM750&lt;&gt;""),INDEX('Aub Demand'!Q:Q,MATCH($O750,'Aub Demand'!$A:$A,0))-IF(AN750="",0,AN750)+AP751+AD750+AL750,IF(AR751=AR750,INDEX('Aub Demand'!Q:Q,MATCH($O750,'Aub Demand'!$A:$A,0))-IF(AN750="",0,AN750)+AP751+AD750,IF(AM750&lt;&gt;"",INDEX('Aub Demand'!Q:Q,MATCH($O750,'Aub Demand'!$A:$A,0))-IF(AN750="",0,AN750)+AD750+AL750,INDEX('Aub Demand'!Q:Q,MATCH($O750,'Aub Demand'!$A:$A,0))-IF(AN750="",0,AN750)+AD750))),"")</f>
        <v>40</v>
      </c>
      <c r="Y750" s="53">
        <f t="shared" si="312"/>
        <v>5.7</v>
      </c>
      <c r="Z750" s="52">
        <f>IF(L750="","",INDEX('Aub Demand'!H:H,MATCH($O750,'Aub Demand'!$A:$A,0)))</f>
        <v>30</v>
      </c>
      <c r="AA750" s="52" t="str">
        <f t="shared" si="313"/>
        <v>-spike-</v>
      </c>
      <c r="AB750" s="52">
        <f>IFERROR(INDEX('Aub Demand'!L:L,MATCH($O750,'Aub Demand'!$A:$A,0)),"")</f>
        <v>3</v>
      </c>
      <c r="AC750" s="52">
        <f>IFERROR(IF(O750="","",SUMIFS('CPL Mats'!F:F,'CPL Mats'!Q:Q,AR750,'CPL Mats'!S:S,AS750)),"")</f>
        <v>0</v>
      </c>
      <c r="AF750" s="25" t="str">
        <f>IF(SUMIFS('Supp Consol'!S:S,'Supp Consol'!Y:Y,"Releasable",'Supp Consol'!A:A,O750)=0,"",SUMIFS('Supp Consol'!S:S,'Supp Consol'!Y:Y,"Releasable",'Supp Consol'!A:A,O750))</f>
        <v/>
      </c>
      <c r="AG750" s="25" t="str">
        <f>IFERROR(INDEX('Hun Demand'!Q:Q,MATCH(O750,'Hun Demand'!A:A,0)),"")</f>
        <v/>
      </c>
      <c r="AH750" s="25" t="str">
        <f>IFERROR(INDEX('Hun Demand'!H:H,MATCH($O750,'Hun Demand'!$A:$A,0)),"")</f>
        <v/>
      </c>
      <c r="AI750" s="25" t="str">
        <f>IF(SUMIFS('Supp Consol'!AA:AA,'Supp Consol'!Z:Z,"Expires this month",'Supp Consol'!A:A,O750)=0,"",SUMIFS('Supp Consol'!AA:AA,'Supp Consol'!Z:Z,"Expires this month",'Supp Consol'!A:A,O750))</f>
        <v/>
      </c>
      <c r="AJ750" s="25" t="str">
        <f>IF(SUMIFS('Supp Consol'!AA:AA,'Supp Consol'!Z:Z,"Expired Previous Months",'Supp Consol'!A:A,O750)=0,"",SUMIFS('Supp Consol'!AA:AA,'Supp Consol'!Z:Z,"Expired Previous Months",'Supp Consol'!A:A,O750))</f>
        <v/>
      </c>
      <c r="AK750" s="25" t="str">
        <f>IFERROR(INDEX('Hun Release Current'!B:B,MATCH(O750,'Hun Release Current'!A:A,0)),"")</f>
        <v/>
      </c>
      <c r="AL750" s="25" t="str">
        <f>IF(SUMIF('Prev Aub'!A:A,O750,'Prev Aub'!B:B)=0,"",SUMIF('Prev Aub'!A:A,O750,'Prev Aub'!B:B))</f>
        <v/>
      </c>
      <c r="AN750" s="25" t="s">
        <v>3790</v>
      </c>
      <c r="AO750" s="25" t="s">
        <v>3790</v>
      </c>
      <c r="AP750" s="25">
        <f t="shared" si="314"/>
        <v>0</v>
      </c>
      <c r="AQ750" s="151" t="str">
        <f>IF(SUMIFS('Supp Consol'!S:S,'Supp Consol'!A:A,O750,'Supp Consol'!I:I,"PENDING")=0,"",SUMIFS('Supp Consol'!S:S,'Supp Consol'!A:A,O750,'Supp Consol'!I:I,"PENDING"))</f>
        <v/>
      </c>
      <c r="AR750" s="27" t="str">
        <f t="shared" si="315"/>
        <v>ME060</v>
      </c>
      <c r="AS750" s="27" t="str">
        <f t="shared" si="316"/>
        <v>50</v>
      </c>
      <c r="AT750" s="27" t="str">
        <f t="shared" si="317"/>
        <v/>
      </c>
      <c r="AU750" s="27" t="str">
        <f t="shared" si="318"/>
        <v/>
      </c>
      <c r="AV750" s="27" t="str">
        <f t="shared" si="319"/>
        <v/>
      </c>
      <c r="AW750" s="27" t="str">
        <f t="shared" si="320"/>
        <v/>
      </c>
      <c r="AX750" s="27" t="str">
        <f t="shared" si="321"/>
        <v/>
      </c>
      <c r="AY750" s="27" t="str">
        <f t="shared" si="322"/>
        <v/>
      </c>
      <c r="AZ750" s="27" t="str">
        <f t="shared" si="323"/>
        <v>Supp</v>
      </c>
      <c r="BA750" s="27" t="str">
        <f t="shared" si="324"/>
        <v/>
      </c>
      <c r="BB750" s="27" t="str">
        <f t="shared" si="325"/>
        <v/>
      </c>
      <c r="BC750" s="27" t="str">
        <f t="shared" si="326"/>
        <v/>
      </c>
      <c r="BD750" s="27" t="str">
        <f t="shared" si="327"/>
        <v/>
      </c>
      <c r="BE750" s="27" t="str">
        <f t="shared" si="328"/>
        <v/>
      </c>
      <c r="BF750" s="27" t="str">
        <f t="shared" si="329"/>
        <v/>
      </c>
      <c r="BG750" s="27" t="str">
        <f t="shared" si="330"/>
        <v/>
      </c>
      <c r="BH750" s="27" t="str">
        <f t="shared" si="331"/>
        <v/>
      </c>
      <c r="BI750" s="27" t="str">
        <f t="shared" si="332"/>
        <v/>
      </c>
      <c r="BJ750" s="27" t="str">
        <f t="shared" si="333"/>
        <v>Supp or Hun</v>
      </c>
      <c r="BK750" s="27" t="str">
        <f t="shared" si="334"/>
        <v/>
      </c>
      <c r="BL750" s="27" t="str">
        <f t="shared" si="335"/>
        <v/>
      </c>
      <c r="BM750" s="21" t="s">
        <v>3790</v>
      </c>
    </row>
    <row r="751" spans="1:65" ht="15">
      <c r="A751" s="25" t="str">
        <f>IFERROR(INDEX('Hun Demand'!W:W,MATCH(O751,'Hun Demand'!A:A,0)),"")</f>
        <v/>
      </c>
      <c r="B751" s="25" t="str">
        <f>IFERROR(INDEX('Hun Demand'!V:V,MATCH(O751,'Hun Demand'!A:A,0)),"")</f>
        <v/>
      </c>
      <c r="C751" s="25" t="str">
        <f>IFERROR(INDEX('Hun Demand'!U:U,MATCH(O751,'Hun Demand'!A:A,0)),"")</f>
        <v/>
      </c>
      <c r="D751" s="25" t="str">
        <f>IFERROR(INDEX('Hun Demand'!T:T,MATCH(O751,'Hun Demand'!A:A,0)),"")</f>
        <v/>
      </c>
      <c r="E751" s="25" t="str">
        <f>IFERROR(INDEX('Hun Demand'!S:S,MATCH(O751,'Hun Demand'!A:A,0)),"")</f>
        <v/>
      </c>
      <c r="F751" s="25" t="str">
        <f>IFERROR(INDEX('Hun Demand'!R:R,MATCH(O751,'Hun Demand'!A:A,0)),"")</f>
        <v/>
      </c>
      <c r="G751" s="25">
        <f>IFERROR(INDEX('Aub Demand'!W:W,MATCH(O751,'Aub Demand'!A:A,0)),"")</f>
        <v>0</v>
      </c>
      <c r="H751" s="25">
        <f>IFERROR(INDEX('Aub Demand'!V:V,MATCH(O751,'Aub Demand'!A:A,0)),"")</f>
        <v>0</v>
      </c>
      <c r="I751" s="25">
        <f>IFERROR(INDEX('Aub Demand'!U:U,MATCH(O751,'Aub Demand'!A:A,0)),"")</f>
        <v>0</v>
      </c>
      <c r="J751" s="25">
        <f>IFERROR(INDEX('Aub Demand'!T:T,MATCH(O751,'Aub Demand'!A:A,0)),"")</f>
        <v>0</v>
      </c>
      <c r="K751" s="25">
        <f>IFERROR(INDEX('Aub Demand'!S:S,MATCH(O751,'Aub Demand'!A:A,0)),"")</f>
        <v>0</v>
      </c>
      <c r="L751" s="25">
        <f>IFERROR(INDEX('Aub Demand'!R:R,MATCH(O751,'Aub Demand'!A:A,0)),"")</f>
        <v>0</v>
      </c>
      <c r="O751" s="27" t="s">
        <v>3739</v>
      </c>
      <c r="P751" s="27" t="str">
        <f>IFERROR(INDEX('Aub Demand'!B:B,MATCH($O751,'Aub Demand'!$A:$A,0)),"")</f>
        <v>ESTASI</v>
      </c>
      <c r="Q751" s="27" t="str">
        <f>IFERROR(INDEX('Aub Demand'!C:C,MATCH($O751,'Aub Demand'!$A:$A,0)),"")</f>
        <v>INTER</v>
      </c>
      <c r="R751" s="52">
        <f>IFERROR(IF(AR752=AR751,INDEX('Aub Demand'!K:K,MATCH($O751,'Aub Demand'!$A:$A,0))-IF(AN751="",0,AN751)+AP752,INDEX('Aub Demand'!K:K,MATCH($O751,'Aub Demand'!$A:$A,0))-IF(AN751="",0,AN751)),"")</f>
        <v>556</v>
      </c>
      <c r="S751" s="53" t="str">
        <f t="shared" si="308"/>
        <v>n/a</v>
      </c>
      <c r="T751" s="52" t="str">
        <f t="shared" si="309"/>
        <v/>
      </c>
      <c r="U751" s="52">
        <f>IFERROR(IF(AR752=AR751,INDEX('Aub Demand'!Q:Q,MATCH($O751,'Aub Demand'!$A:$A,0))-IF(AN751="",0,AN751)+AP752,INDEX('Aub Demand'!Q:Q,MATCH($O751,'Aub Demand'!$A:$A,0))-IF(AN751="",0,AN751)),"")</f>
        <v>556</v>
      </c>
      <c r="V751" s="53" t="str">
        <f t="shared" si="310"/>
        <v>n/a</v>
      </c>
      <c r="W751" s="52" t="str">
        <f t="shared" si="311"/>
        <v/>
      </c>
      <c r="X751" s="52">
        <f>IFERROR(IF(AND(AR752=AR751,AM751&lt;&gt;""),INDEX('Aub Demand'!Q:Q,MATCH($O751,'Aub Demand'!$A:$A,0))-IF(AN751="",0,AN751)+AP752+AD751+AL751,IF(AR752=AR751,INDEX('Aub Demand'!Q:Q,MATCH($O751,'Aub Demand'!$A:$A,0))-IF(AN751="",0,AN751)+AP752+AD751,IF(AM751&lt;&gt;"",INDEX('Aub Demand'!Q:Q,MATCH($O751,'Aub Demand'!$A:$A,0))-IF(AN751="",0,AN751)+AD751+AL751,INDEX('Aub Demand'!Q:Q,MATCH($O751,'Aub Demand'!$A:$A,0))-IF(AN751="",0,AN751)+AD751))),"")</f>
        <v>556</v>
      </c>
      <c r="Y751" s="53" t="str">
        <f t="shared" si="312"/>
        <v>n/a</v>
      </c>
      <c r="Z751" s="52">
        <f>IF(L751="","",INDEX('Aub Demand'!H:H,MATCH($O751,'Aub Demand'!$A:$A,0)))</f>
        <v>0</v>
      </c>
      <c r="AA751" s="52" t="str">
        <f t="shared" si="313"/>
        <v>-spike-</v>
      </c>
      <c r="AB751" s="52">
        <f>IFERROR(INDEX('Aub Demand'!L:L,MATCH($O751,'Aub Demand'!$A:$A,0)),"")</f>
        <v>0</v>
      </c>
      <c r="AC751" s="52">
        <f>IFERROR(IF(O751="","",SUMIFS('CPL Mats'!F:F,'CPL Mats'!Q:Q,AR751,'CPL Mats'!S:S,AS751)),"")</f>
        <v>0</v>
      </c>
      <c r="AF751" s="25">
        <f>IF(SUMIFS('Supp Consol'!S:S,'Supp Consol'!Y:Y,"Releasable",'Supp Consol'!A:A,O751)=0,"",SUMIFS('Supp Consol'!S:S,'Supp Consol'!Y:Y,"Releasable",'Supp Consol'!A:A,O751))</f>
        <v>2533</v>
      </c>
      <c r="AG751" s="25" t="str">
        <f>IFERROR(INDEX('Hun Demand'!Q:Q,MATCH(O751,'Hun Demand'!A:A,0)),"")</f>
        <v/>
      </c>
      <c r="AH751" s="25" t="str">
        <f>IFERROR(INDEX('Hun Demand'!H:H,MATCH($O751,'Hun Demand'!$A:$A,0)),"")</f>
        <v/>
      </c>
      <c r="AI751" s="25" t="str">
        <f>IF(SUMIFS('Supp Consol'!AA:AA,'Supp Consol'!Z:Z,"Expires this month",'Supp Consol'!A:A,O751)=0,"",SUMIFS('Supp Consol'!AA:AA,'Supp Consol'!Z:Z,"Expires this month",'Supp Consol'!A:A,O751))</f>
        <v/>
      </c>
      <c r="AJ751" s="25" t="str">
        <f>IF(SUMIFS('Supp Consol'!AA:AA,'Supp Consol'!Z:Z,"Expired Previous Months",'Supp Consol'!A:A,O751)=0,"",SUMIFS('Supp Consol'!AA:AA,'Supp Consol'!Z:Z,"Expired Previous Months",'Supp Consol'!A:A,O751))</f>
        <v/>
      </c>
      <c r="AK751" s="25" t="str">
        <f>IFERROR(INDEX('Hun Release Current'!B:B,MATCH(O751,'Hun Release Current'!A:A,0)),"")</f>
        <v/>
      </c>
      <c r="AL751" s="25" t="str">
        <f>IF(SUMIF('Prev Aub'!A:A,O751,'Prev Aub'!B:B)=0,"",SUMIF('Prev Aub'!A:A,O751,'Prev Aub'!B:B))</f>
        <v/>
      </c>
      <c r="AN751" s="25">
        <v>50</v>
      </c>
      <c r="AO751" s="25" t="s">
        <v>3891</v>
      </c>
      <c r="AP751" s="25">
        <f t="shared" si="314"/>
        <v>40</v>
      </c>
      <c r="AQ751" s="151" t="str">
        <f>IF(SUMIFS('Supp Consol'!S:S,'Supp Consol'!A:A,O751,'Supp Consol'!I:I,"PENDING")=0,"",SUMIFS('Supp Consol'!S:S,'Supp Consol'!A:A,O751,'Supp Consol'!I:I,"PENDING"))</f>
        <v/>
      </c>
      <c r="AR751" s="27" t="str">
        <f t="shared" si="315"/>
        <v>ME060</v>
      </c>
      <c r="AS751" s="27" t="str">
        <f t="shared" si="316"/>
        <v>62</v>
      </c>
      <c r="AT751" s="27" t="str">
        <f t="shared" si="317"/>
        <v/>
      </c>
      <c r="AU751" s="27" t="str">
        <f t="shared" si="318"/>
        <v/>
      </c>
      <c r="AV751" s="27" t="str">
        <f t="shared" si="319"/>
        <v/>
      </c>
      <c r="AW751" s="27" t="str">
        <f t="shared" si="320"/>
        <v/>
      </c>
      <c r="AX751" s="27" t="str">
        <f t="shared" si="321"/>
        <v>ME060</v>
      </c>
      <c r="AY751" s="27" t="str">
        <f t="shared" si="322"/>
        <v/>
      </c>
      <c r="AZ751" s="27" t="str">
        <f t="shared" si="323"/>
        <v>Supp</v>
      </c>
      <c r="BA751" s="27" t="str">
        <f t="shared" si="324"/>
        <v/>
      </c>
      <c r="BB751" s="27" t="str">
        <f t="shared" si="325"/>
        <v/>
      </c>
      <c r="BC751" s="27" t="str">
        <f t="shared" si="326"/>
        <v/>
      </c>
      <c r="BD751" s="27" t="str">
        <f t="shared" si="327"/>
        <v/>
      </c>
      <c r="BE751" s="27" t="str">
        <f t="shared" si="328"/>
        <v/>
      </c>
      <c r="BF751" s="27" t="str">
        <f t="shared" si="329"/>
        <v/>
      </c>
      <c r="BG751" s="27" t="str">
        <f t="shared" si="330"/>
        <v/>
      </c>
      <c r="BH751" s="27" t="str">
        <f t="shared" si="331"/>
        <v/>
      </c>
      <c r="BI751" s="27" t="str">
        <f t="shared" si="332"/>
        <v/>
      </c>
      <c r="BJ751" s="27" t="str">
        <f t="shared" si="333"/>
        <v>Supp or Hun</v>
      </c>
      <c r="BK751" s="27" t="str">
        <f t="shared" si="334"/>
        <v/>
      </c>
      <c r="BL751" s="27" t="str">
        <f t="shared" si="335"/>
        <v/>
      </c>
      <c r="BM751" s="21" t="s">
        <v>5581</v>
      </c>
    </row>
    <row r="752" spans="1:65" ht="15">
      <c r="A752" s="25" t="str">
        <f>IFERROR(INDEX('Hun Demand'!W:W,MATCH(O752,'Hun Demand'!A:A,0)),"")</f>
        <v/>
      </c>
      <c r="B752" s="25" t="str">
        <f>IFERROR(INDEX('Hun Demand'!V:V,MATCH(O752,'Hun Demand'!A:A,0)),"")</f>
        <v/>
      </c>
      <c r="C752" s="25" t="str">
        <f>IFERROR(INDEX('Hun Demand'!U:U,MATCH(O752,'Hun Demand'!A:A,0)),"")</f>
        <v/>
      </c>
      <c r="D752" s="25" t="str">
        <f>IFERROR(INDEX('Hun Demand'!T:T,MATCH(O752,'Hun Demand'!A:A,0)),"")</f>
        <v/>
      </c>
      <c r="E752" s="25" t="str">
        <f>IFERROR(INDEX('Hun Demand'!S:S,MATCH(O752,'Hun Demand'!A:A,0)),"")</f>
        <v/>
      </c>
      <c r="F752" s="25" t="str">
        <f>IFERROR(INDEX('Hun Demand'!R:R,MATCH(O752,'Hun Demand'!A:A,0)),"")</f>
        <v/>
      </c>
      <c r="G752" s="25">
        <f>IFERROR(INDEX('Aub Demand'!W:W,MATCH(O752,'Aub Demand'!A:A,0)),"")</f>
        <v>31</v>
      </c>
      <c r="H752" s="25">
        <f>IFERROR(INDEX('Aub Demand'!V:V,MATCH(O752,'Aub Demand'!A:A,0)),"")</f>
        <v>7</v>
      </c>
      <c r="I752" s="25">
        <f>IFERROR(INDEX('Aub Demand'!U:U,MATCH(O752,'Aub Demand'!A:A,0)),"")</f>
        <v>12</v>
      </c>
      <c r="J752" s="25">
        <f>IFERROR(INDEX('Aub Demand'!T:T,MATCH(O752,'Aub Demand'!A:A,0)),"")</f>
        <v>0</v>
      </c>
      <c r="K752" s="25">
        <f>IFERROR(INDEX('Aub Demand'!S:S,MATCH(O752,'Aub Demand'!A:A,0)),"")</f>
        <v>15</v>
      </c>
      <c r="L752" s="25">
        <f>IFERROR(INDEX('Aub Demand'!R:R,MATCH(O752,'Aub Demand'!A:A,0)),"")</f>
        <v>23</v>
      </c>
      <c r="O752" s="27" t="s">
        <v>1170</v>
      </c>
      <c r="P752" s="27" t="str">
        <f>IFERROR(INDEX('Aub Demand'!B:B,MATCH($O752,'Aub Demand'!$A:$A,0)),"")</f>
        <v>FADED MEMORIES</v>
      </c>
      <c r="Q752" s="27" t="str">
        <f>IFERROR(INDEX('Aub Demand'!C:C,MATCH($O752,'Aub Demand'!$A:$A,0)),"")</f>
        <v>LAMIG</v>
      </c>
      <c r="R752" s="52">
        <f>IFERROR(IF(AR753=AR752,INDEX('Aub Demand'!K:K,MATCH($O752,'Aub Demand'!$A:$A,0))-IF(AN752="",0,AN752)+AP753,INDEX('Aub Demand'!K:K,MATCH($O752,'Aub Demand'!$A:$A,0))-IF(AN752="",0,AN752)),"")</f>
        <v>9081</v>
      </c>
      <c r="S752" s="53">
        <f t="shared" si="308"/>
        <v>4324.3</v>
      </c>
      <c r="T752" s="52" t="str">
        <f t="shared" si="309"/>
        <v/>
      </c>
      <c r="U752" s="52">
        <f>IFERROR(IF(AR753=AR752,INDEX('Aub Demand'!Q:Q,MATCH($O752,'Aub Demand'!$A:$A,0))-IF(AN752="",0,AN752)+AP753,INDEX('Aub Demand'!Q:Q,MATCH($O752,'Aub Demand'!$A:$A,0))-IF(AN752="",0,AN752)),"")</f>
        <v>9048</v>
      </c>
      <c r="V752" s="53">
        <f t="shared" si="310"/>
        <v>4308.6000000000004</v>
      </c>
      <c r="W752" s="52" t="str">
        <f t="shared" si="311"/>
        <v/>
      </c>
      <c r="X752" s="52">
        <f>IFERROR(IF(AND(AR753=AR752,AM752&lt;&gt;""),INDEX('Aub Demand'!Q:Q,MATCH($O752,'Aub Demand'!$A:$A,0))-IF(AN752="",0,AN752)+AP753+AD752+AL752,IF(AR753=AR752,INDEX('Aub Demand'!Q:Q,MATCH($O752,'Aub Demand'!$A:$A,0))-IF(AN752="",0,AN752)+AP753+AD752,IF(AM752&lt;&gt;"",INDEX('Aub Demand'!Q:Q,MATCH($O752,'Aub Demand'!$A:$A,0))-IF(AN752="",0,AN752)+AD752+AL752,INDEX('Aub Demand'!Q:Q,MATCH($O752,'Aub Demand'!$A:$A,0))-IF(AN752="",0,AN752)+AD752))),"")</f>
        <v>9048</v>
      </c>
      <c r="Y752" s="53">
        <f t="shared" si="312"/>
        <v>4308.6000000000004</v>
      </c>
      <c r="Z752" s="52">
        <f>IF(L752="","",INDEX('Aub Demand'!H:H,MATCH($O752,'Aub Demand'!$A:$A,0)))</f>
        <v>9</v>
      </c>
      <c r="AA752" s="52">
        <f t="shared" si="313"/>
        <v>19</v>
      </c>
      <c r="AB752" s="52">
        <f>IFERROR(INDEX('Aub Demand'!L:L,MATCH($O752,'Aub Demand'!$A:$A,0)),"")</f>
        <v>25</v>
      </c>
      <c r="AC752" s="52">
        <f>IFERROR(IF(O752="","",SUMIFS('CPL Mats'!F:F,'CPL Mats'!Q:Q,AR752,'CPL Mats'!S:S,AS752)),"")</f>
        <v>0</v>
      </c>
      <c r="AF752" s="25" t="str">
        <f>IF(SUMIFS('Supp Consol'!S:S,'Supp Consol'!Y:Y,"Releasable",'Supp Consol'!A:A,O752)=0,"",SUMIFS('Supp Consol'!S:S,'Supp Consol'!Y:Y,"Releasable",'Supp Consol'!A:A,O752))</f>
        <v/>
      </c>
      <c r="AG752" s="25" t="str">
        <f>IFERROR(INDEX('Hun Demand'!Q:Q,MATCH(O752,'Hun Demand'!A:A,0)),"")</f>
        <v/>
      </c>
      <c r="AH752" s="25" t="str">
        <f>IFERROR(INDEX('Hun Demand'!H:H,MATCH($O752,'Hun Demand'!$A:$A,0)),"")</f>
        <v/>
      </c>
      <c r="AI752" s="25" t="str">
        <f>IF(SUMIFS('Supp Consol'!AA:AA,'Supp Consol'!Z:Z,"Expires this month",'Supp Consol'!A:A,O752)=0,"",SUMIFS('Supp Consol'!AA:AA,'Supp Consol'!Z:Z,"Expires this month",'Supp Consol'!A:A,O752))</f>
        <v/>
      </c>
      <c r="AJ752" s="25" t="str">
        <f>IF(SUMIFS('Supp Consol'!AA:AA,'Supp Consol'!Z:Z,"Expired Previous Months",'Supp Consol'!A:A,O752)=0,"",SUMIFS('Supp Consol'!AA:AA,'Supp Consol'!Z:Z,"Expired Previous Months",'Supp Consol'!A:A,O752))</f>
        <v/>
      </c>
      <c r="AK752" s="25" t="str">
        <f>IFERROR(INDEX('Hun Release Current'!B:B,MATCH(O752,'Hun Release Current'!A:A,0)),"")</f>
        <v/>
      </c>
      <c r="AL752" s="25" t="str">
        <f>IF(SUMIF('Prev Aub'!A:A,O752,'Prev Aub'!B:B)=0,"",SUMIF('Prev Aub'!A:A,O752,'Prev Aub'!B:B))</f>
        <v/>
      </c>
      <c r="AN752" s="25" t="s">
        <v>3790</v>
      </c>
      <c r="AO752" s="25" t="s">
        <v>3790</v>
      </c>
      <c r="AP752" s="25">
        <f t="shared" si="314"/>
        <v>0</v>
      </c>
      <c r="AQ752" s="151" t="str">
        <f>IF(SUMIFS('Supp Consol'!S:S,'Supp Consol'!A:A,O752,'Supp Consol'!I:I,"PENDING")=0,"",SUMIFS('Supp Consol'!S:S,'Supp Consol'!A:A,O752,'Supp Consol'!I:I,"PENDING"))</f>
        <v/>
      </c>
      <c r="AR752" s="27" t="str">
        <f t="shared" si="315"/>
        <v>ME100</v>
      </c>
      <c r="AS752" s="27" t="str">
        <f t="shared" si="316"/>
        <v>50</v>
      </c>
      <c r="AT752" s="27" t="str">
        <f t="shared" si="317"/>
        <v/>
      </c>
      <c r="AU752" s="27" t="str">
        <f t="shared" si="318"/>
        <v/>
      </c>
      <c r="AV752" s="27" t="str">
        <f t="shared" si="319"/>
        <v/>
      </c>
      <c r="AW752" s="27" t="str">
        <f t="shared" si="320"/>
        <v/>
      </c>
      <c r="AX752" s="27" t="str">
        <f t="shared" si="321"/>
        <v/>
      </c>
      <c r="AY752" s="27" t="str">
        <f t="shared" si="322"/>
        <v/>
      </c>
      <c r="AZ752" s="27" t="str">
        <f t="shared" si="323"/>
        <v/>
      </c>
      <c r="BA752" s="27" t="str">
        <f t="shared" si="324"/>
        <v/>
      </c>
      <c r="BB752" s="27" t="str">
        <f t="shared" si="325"/>
        <v/>
      </c>
      <c r="BC752" s="27" t="str">
        <f t="shared" si="326"/>
        <v/>
      </c>
      <c r="BD752" s="27" t="str">
        <f t="shared" si="327"/>
        <v/>
      </c>
      <c r="BE752" s="27" t="str">
        <f t="shared" si="328"/>
        <v/>
      </c>
      <c r="BF752" s="27" t="str">
        <f t="shared" si="329"/>
        <v/>
      </c>
      <c r="BG752" s="27" t="str">
        <f t="shared" si="330"/>
        <v/>
      </c>
      <c r="BH752" s="27" t="str">
        <f t="shared" si="331"/>
        <v/>
      </c>
      <c r="BI752" s="27" t="str">
        <f t="shared" si="332"/>
        <v/>
      </c>
      <c r="BJ752" s="27" t="str">
        <f t="shared" si="333"/>
        <v/>
      </c>
      <c r="BK752" s="27" t="str">
        <f t="shared" si="334"/>
        <v/>
      </c>
      <c r="BL752" s="27" t="str">
        <f t="shared" si="335"/>
        <v/>
      </c>
      <c r="BM752" s="21" t="s">
        <v>5581</v>
      </c>
    </row>
    <row r="753" spans="1:65" ht="15">
      <c r="A753" s="25" t="str">
        <f>IFERROR(INDEX('Hun Demand'!W:W,MATCH(O753,'Hun Demand'!A:A,0)),"")</f>
        <v/>
      </c>
      <c r="B753" s="25" t="str">
        <f>IFERROR(INDEX('Hun Demand'!V:V,MATCH(O753,'Hun Demand'!A:A,0)),"")</f>
        <v/>
      </c>
      <c r="C753" s="25" t="str">
        <f>IFERROR(INDEX('Hun Demand'!U:U,MATCH(O753,'Hun Demand'!A:A,0)),"")</f>
        <v/>
      </c>
      <c r="D753" s="25" t="str">
        <f>IFERROR(INDEX('Hun Demand'!T:T,MATCH(O753,'Hun Demand'!A:A,0)),"")</f>
        <v/>
      </c>
      <c r="E753" s="25" t="str">
        <f>IFERROR(INDEX('Hun Demand'!S:S,MATCH(O753,'Hun Demand'!A:A,0)),"")</f>
        <v/>
      </c>
      <c r="F753" s="25" t="str">
        <f>IFERROR(INDEX('Hun Demand'!R:R,MATCH(O753,'Hun Demand'!A:A,0)),"")</f>
        <v/>
      </c>
      <c r="G753" s="25">
        <f>IFERROR(INDEX('Aub Demand'!W:W,MATCH(O753,'Aub Demand'!A:A,0)),"")</f>
        <v>214</v>
      </c>
      <c r="H753" s="25">
        <f>IFERROR(INDEX('Aub Demand'!V:V,MATCH(O753,'Aub Demand'!A:A,0)),"")</f>
        <v>0</v>
      </c>
      <c r="I753" s="25">
        <f>IFERROR(INDEX('Aub Demand'!U:U,MATCH(O753,'Aub Demand'!A:A,0)),"")</f>
        <v>0</v>
      </c>
      <c r="J753" s="25">
        <f>IFERROR(INDEX('Aub Demand'!T:T,MATCH(O753,'Aub Demand'!A:A,0)),"")</f>
        <v>64</v>
      </c>
      <c r="K753" s="25">
        <f>IFERROR(INDEX('Aub Demand'!S:S,MATCH(O753,'Aub Demand'!A:A,0)),"")</f>
        <v>33</v>
      </c>
      <c r="L753" s="25">
        <f>IFERROR(INDEX('Aub Demand'!R:R,MATCH(O753,'Aub Demand'!A:A,0)),"")</f>
        <v>0</v>
      </c>
      <c r="O753" s="27" t="s">
        <v>1173</v>
      </c>
      <c r="P753" s="27" t="str">
        <f>IFERROR(INDEX('Aub Demand'!B:B,MATCH($O753,'Aub Demand'!$A:$A,0)),"")</f>
        <v>FADED MEMORIES</v>
      </c>
      <c r="Q753" s="27" t="str">
        <f>IFERROR(INDEX('Aub Demand'!C:C,MATCH($O753,'Aub Demand'!$A:$A,0)),"")</f>
        <v>LAMIG</v>
      </c>
      <c r="R753" s="52">
        <f>IFERROR(IF(AR754=AR753,INDEX('Aub Demand'!K:K,MATCH($O753,'Aub Demand'!$A:$A,0))-IF(AN753="",0,AN753)+AP754,INDEX('Aub Demand'!K:K,MATCH($O753,'Aub Demand'!$A:$A,0))-IF(AN753="",0,AN753)),"")</f>
        <v>1352</v>
      </c>
      <c r="S753" s="53">
        <f t="shared" si="308"/>
        <v>181.1</v>
      </c>
      <c r="T753" s="52" t="str">
        <f t="shared" si="309"/>
        <v/>
      </c>
      <c r="U753" s="52">
        <f>IFERROR(IF(AR754=AR753,INDEX('Aub Demand'!Q:Q,MATCH($O753,'Aub Demand'!$A:$A,0))-IF(AN753="",0,AN753)+AP754,INDEX('Aub Demand'!Q:Q,MATCH($O753,'Aub Demand'!$A:$A,0))-IF(AN753="",0,AN753)),"")</f>
        <v>1318</v>
      </c>
      <c r="V753" s="53">
        <f t="shared" si="310"/>
        <v>176.5</v>
      </c>
      <c r="W753" s="52" t="str">
        <f t="shared" si="311"/>
        <v/>
      </c>
      <c r="X753" s="52">
        <f>IFERROR(IF(AND(AR754=AR753,AM753&lt;&gt;""),INDEX('Aub Demand'!Q:Q,MATCH($O753,'Aub Demand'!$A:$A,0))-IF(AN753="",0,AN753)+AP754+AD753+AL753,IF(AR754=AR753,INDEX('Aub Demand'!Q:Q,MATCH($O753,'Aub Demand'!$A:$A,0))-IF(AN753="",0,AN753)+AP754+AD753,IF(AM753&lt;&gt;"",INDEX('Aub Demand'!Q:Q,MATCH($O753,'Aub Demand'!$A:$A,0))-IF(AN753="",0,AN753)+AD753+AL753,INDEX('Aub Demand'!Q:Q,MATCH($O753,'Aub Demand'!$A:$A,0))-IF(AN753="",0,AN753)+AD753))),"")</f>
        <v>1318</v>
      </c>
      <c r="Y753" s="53">
        <f t="shared" si="312"/>
        <v>176.5</v>
      </c>
      <c r="Z753" s="52">
        <f>IF(L753="","",INDEX('Aub Demand'!H:H,MATCH($O753,'Aub Demand'!$A:$A,0)))</f>
        <v>32</v>
      </c>
      <c r="AA753" s="52">
        <f t="shared" si="313"/>
        <v>48.5</v>
      </c>
      <c r="AB753" s="52">
        <f>IFERROR(INDEX('Aub Demand'!L:L,MATCH($O753,'Aub Demand'!$A:$A,0)),"")</f>
        <v>10</v>
      </c>
      <c r="AC753" s="52">
        <f>IFERROR(IF(O753="","",SUMIFS('CPL Mats'!F:F,'CPL Mats'!Q:Q,AR753,'CPL Mats'!S:S,AS753)),"")</f>
        <v>0</v>
      </c>
      <c r="AF753" s="25" t="str">
        <f>IF(SUMIFS('Supp Consol'!S:S,'Supp Consol'!Y:Y,"Releasable",'Supp Consol'!A:A,O753)=0,"",SUMIFS('Supp Consol'!S:S,'Supp Consol'!Y:Y,"Releasable",'Supp Consol'!A:A,O753))</f>
        <v/>
      </c>
      <c r="AG753" s="25" t="str">
        <f>IFERROR(INDEX('Hun Demand'!Q:Q,MATCH(O753,'Hun Demand'!A:A,0)),"")</f>
        <v/>
      </c>
      <c r="AH753" s="25" t="str">
        <f>IFERROR(INDEX('Hun Demand'!H:H,MATCH($O753,'Hun Demand'!$A:$A,0)),"")</f>
        <v/>
      </c>
      <c r="AI753" s="25" t="str">
        <f>IF(SUMIFS('Supp Consol'!AA:AA,'Supp Consol'!Z:Z,"Expires this month",'Supp Consol'!A:A,O753)=0,"",SUMIFS('Supp Consol'!AA:AA,'Supp Consol'!Z:Z,"Expires this month",'Supp Consol'!A:A,O753))</f>
        <v/>
      </c>
      <c r="AJ753" s="25" t="str">
        <f>IF(SUMIFS('Supp Consol'!AA:AA,'Supp Consol'!Z:Z,"Expired Previous Months",'Supp Consol'!A:A,O753)=0,"",SUMIFS('Supp Consol'!AA:AA,'Supp Consol'!Z:Z,"Expired Previous Months",'Supp Consol'!A:A,O753))</f>
        <v/>
      </c>
      <c r="AK753" s="25" t="str">
        <f>IFERROR(INDEX('Hun Release Current'!B:B,MATCH(O753,'Hun Release Current'!A:A,0)),"")</f>
        <v/>
      </c>
      <c r="AL753" s="25" t="str">
        <f>IF(SUMIF('Prev Aub'!A:A,O753,'Prev Aub'!B:B)=0,"",SUMIF('Prev Aub'!A:A,O753,'Prev Aub'!B:B))</f>
        <v/>
      </c>
      <c r="AN753" s="25" t="s">
        <v>3790</v>
      </c>
      <c r="AO753" s="25" t="s">
        <v>3790</v>
      </c>
      <c r="AP753" s="25">
        <f t="shared" si="314"/>
        <v>0</v>
      </c>
      <c r="AQ753" s="151" t="str">
        <f>IF(SUMIFS('Supp Consol'!S:S,'Supp Consol'!A:A,O753,'Supp Consol'!I:I,"PENDING")=0,"",SUMIFS('Supp Consol'!S:S,'Supp Consol'!A:A,O753,'Supp Consol'!I:I,"PENDING"))</f>
        <v/>
      </c>
      <c r="AR753" s="27" t="str">
        <f t="shared" si="315"/>
        <v>ME100</v>
      </c>
      <c r="AS753" s="27" t="str">
        <f t="shared" si="316"/>
        <v>62</v>
      </c>
      <c r="AT753" s="27" t="str">
        <f t="shared" si="317"/>
        <v/>
      </c>
      <c r="AU753" s="27" t="str">
        <f t="shared" si="318"/>
        <v/>
      </c>
      <c r="AV753" s="27" t="str">
        <f t="shared" si="319"/>
        <v/>
      </c>
      <c r="AW753" s="27" t="str">
        <f t="shared" si="320"/>
        <v/>
      </c>
      <c r="AX753" s="27" t="str">
        <f t="shared" si="321"/>
        <v/>
      </c>
      <c r="AY753" s="27" t="str">
        <f t="shared" si="322"/>
        <v/>
      </c>
      <c r="AZ753" s="27" t="str">
        <f t="shared" si="323"/>
        <v/>
      </c>
      <c r="BA753" s="27" t="str">
        <f t="shared" si="324"/>
        <v/>
      </c>
      <c r="BB753" s="27" t="str">
        <f t="shared" si="325"/>
        <v/>
      </c>
      <c r="BC753" s="27" t="str">
        <f t="shared" si="326"/>
        <v/>
      </c>
      <c r="BD753" s="27" t="str">
        <f t="shared" si="327"/>
        <v/>
      </c>
      <c r="BE753" s="27" t="str">
        <f t="shared" si="328"/>
        <v/>
      </c>
      <c r="BF753" s="27" t="str">
        <f t="shared" si="329"/>
        <v/>
      </c>
      <c r="BG753" s="27" t="str">
        <f t="shared" si="330"/>
        <v/>
      </c>
      <c r="BH753" s="27" t="str">
        <f t="shared" si="331"/>
        <v/>
      </c>
      <c r="BI753" s="27" t="str">
        <f t="shared" si="332"/>
        <v/>
      </c>
      <c r="BJ753" s="27" t="str">
        <f t="shared" si="333"/>
        <v/>
      </c>
      <c r="BK753" s="27" t="str">
        <f t="shared" si="334"/>
        <v/>
      </c>
      <c r="BL753" s="27" t="str">
        <f t="shared" si="335"/>
        <v/>
      </c>
      <c r="BM753" s="21" t="s">
        <v>5581</v>
      </c>
    </row>
    <row r="754" spans="1:65" ht="15">
      <c r="A754" s="25" t="str">
        <f>IFERROR(INDEX('Hun Demand'!W:W,MATCH(O754,'Hun Demand'!A:A,0)),"")</f>
        <v/>
      </c>
      <c r="B754" s="25" t="str">
        <f>IFERROR(INDEX('Hun Demand'!V:V,MATCH(O754,'Hun Demand'!A:A,0)),"")</f>
        <v/>
      </c>
      <c r="C754" s="25" t="str">
        <f>IFERROR(INDEX('Hun Demand'!U:U,MATCH(O754,'Hun Demand'!A:A,0)),"")</f>
        <v/>
      </c>
      <c r="D754" s="25" t="str">
        <f>IFERROR(INDEX('Hun Demand'!T:T,MATCH(O754,'Hun Demand'!A:A,0)),"")</f>
        <v/>
      </c>
      <c r="E754" s="25" t="str">
        <f>IFERROR(INDEX('Hun Demand'!S:S,MATCH(O754,'Hun Demand'!A:A,0)),"")</f>
        <v/>
      </c>
      <c r="F754" s="25" t="str">
        <f>IFERROR(INDEX('Hun Demand'!R:R,MATCH(O754,'Hun Demand'!A:A,0)),"")</f>
        <v/>
      </c>
      <c r="G754" s="25">
        <f>IFERROR(INDEX('Aub Demand'!W:W,MATCH(O754,'Aub Demand'!A:A,0)),"")</f>
        <v>0</v>
      </c>
      <c r="H754" s="25">
        <f>IFERROR(INDEX('Aub Demand'!V:V,MATCH(O754,'Aub Demand'!A:A,0)),"")</f>
        <v>0</v>
      </c>
      <c r="I754" s="25">
        <f>IFERROR(INDEX('Aub Demand'!U:U,MATCH(O754,'Aub Demand'!A:A,0)),"")</f>
        <v>0</v>
      </c>
      <c r="J754" s="25">
        <f>IFERROR(INDEX('Aub Demand'!T:T,MATCH(O754,'Aub Demand'!A:A,0)),"")</f>
        <v>0</v>
      </c>
      <c r="K754" s="25">
        <f>IFERROR(INDEX('Aub Demand'!S:S,MATCH(O754,'Aub Demand'!A:A,0)),"")</f>
        <v>0</v>
      </c>
      <c r="L754" s="25">
        <f>IFERROR(INDEX('Aub Demand'!R:R,MATCH(O754,'Aub Demand'!A:A,0)),"")</f>
        <v>14</v>
      </c>
      <c r="O754" s="27" t="s">
        <v>1174</v>
      </c>
      <c r="P754" s="27" t="str">
        <f>IFERROR(INDEX('Aub Demand'!B:B,MATCH($O754,'Aub Demand'!$A:$A,0)),"")</f>
        <v>BERNARD</v>
      </c>
      <c r="Q754" s="27" t="str">
        <f>IFERROR(INDEX('Aub Demand'!C:C,MATCH($O754,'Aub Demand'!$A:$A,0)),"")</f>
        <v>TOPPA</v>
      </c>
      <c r="R754" s="52">
        <f>IFERROR(IF(AR755=AR754,INDEX('Aub Demand'!K:K,MATCH($O754,'Aub Demand'!$A:$A,0))-IF(AN754="",0,AN754)+AP755,INDEX('Aub Demand'!K:K,MATCH($O754,'Aub Demand'!$A:$A,0))-IF(AN754="",0,AN754)),"")</f>
        <v>147</v>
      </c>
      <c r="S754" s="53" t="str">
        <f t="shared" si="308"/>
        <v>n/a</v>
      </c>
      <c r="T754" s="52" t="str">
        <f t="shared" si="309"/>
        <v/>
      </c>
      <c r="U754" s="52">
        <f>IFERROR(IF(AR755=AR754,INDEX('Aub Demand'!Q:Q,MATCH($O754,'Aub Demand'!$A:$A,0))-IF(AN754="",0,AN754)+AP755,INDEX('Aub Demand'!Q:Q,MATCH($O754,'Aub Demand'!$A:$A,0))-IF(AN754="",0,AN754)),"")</f>
        <v>133</v>
      </c>
      <c r="V754" s="53" t="str">
        <f t="shared" si="310"/>
        <v>n/a</v>
      </c>
      <c r="W754" s="52" t="str">
        <f t="shared" si="311"/>
        <v/>
      </c>
      <c r="X754" s="52">
        <f>IFERROR(IF(AND(AR755=AR754,AM754&lt;&gt;""),INDEX('Aub Demand'!Q:Q,MATCH($O754,'Aub Demand'!$A:$A,0))-IF(AN754="",0,AN754)+AP755+AD754+AL754,IF(AR755=AR754,INDEX('Aub Demand'!Q:Q,MATCH($O754,'Aub Demand'!$A:$A,0))-IF(AN754="",0,AN754)+AP755+AD754,IF(AM754&lt;&gt;"",INDEX('Aub Demand'!Q:Q,MATCH($O754,'Aub Demand'!$A:$A,0))-IF(AN754="",0,AN754)+AD754+AL754,INDEX('Aub Demand'!Q:Q,MATCH($O754,'Aub Demand'!$A:$A,0))-IF(AN754="",0,AN754)+AD754))),"")</f>
        <v>133</v>
      </c>
      <c r="Y754" s="53" t="str">
        <f t="shared" si="312"/>
        <v>n/a</v>
      </c>
      <c r="Z754" s="52">
        <f>IF(L754="","",INDEX('Aub Demand'!H:H,MATCH($O754,'Aub Demand'!$A:$A,0)))</f>
        <v>0</v>
      </c>
      <c r="AA754" s="52" t="str">
        <f t="shared" si="313"/>
        <v>-spike-</v>
      </c>
      <c r="AB754" s="52">
        <f>IFERROR(INDEX('Aub Demand'!L:L,MATCH($O754,'Aub Demand'!$A:$A,0)),"")</f>
        <v>17</v>
      </c>
      <c r="AC754" s="52">
        <f>IFERROR(IF(O754="","",SUMIFS('CPL Mats'!F:F,'CPL Mats'!Q:Q,AR754,'CPL Mats'!S:S,AS754)),"")</f>
        <v>0</v>
      </c>
      <c r="AF754" s="25" t="str">
        <f>IF(SUMIFS('Supp Consol'!S:S,'Supp Consol'!Y:Y,"Releasable",'Supp Consol'!A:A,O754)=0,"",SUMIFS('Supp Consol'!S:S,'Supp Consol'!Y:Y,"Releasable",'Supp Consol'!A:A,O754))</f>
        <v/>
      </c>
      <c r="AG754" s="25" t="str">
        <f>IFERROR(INDEX('Hun Demand'!Q:Q,MATCH(O754,'Hun Demand'!A:A,0)),"")</f>
        <v/>
      </c>
      <c r="AH754" s="25" t="str">
        <f>IFERROR(INDEX('Hun Demand'!H:H,MATCH($O754,'Hun Demand'!$A:$A,0)),"")</f>
        <v/>
      </c>
      <c r="AI754" s="25" t="str">
        <f>IF(SUMIFS('Supp Consol'!AA:AA,'Supp Consol'!Z:Z,"Expires this month",'Supp Consol'!A:A,O754)=0,"",SUMIFS('Supp Consol'!AA:AA,'Supp Consol'!Z:Z,"Expires this month",'Supp Consol'!A:A,O754))</f>
        <v/>
      </c>
      <c r="AJ754" s="25" t="str">
        <f>IF(SUMIFS('Supp Consol'!AA:AA,'Supp Consol'!Z:Z,"Expired Previous Months",'Supp Consol'!A:A,O754)=0,"",SUMIFS('Supp Consol'!AA:AA,'Supp Consol'!Z:Z,"Expired Previous Months",'Supp Consol'!A:A,O754))</f>
        <v/>
      </c>
      <c r="AK754" s="25" t="str">
        <f>IFERROR(INDEX('Hun Release Current'!B:B,MATCH(O754,'Hun Release Current'!A:A,0)),"")</f>
        <v/>
      </c>
      <c r="AL754" s="25" t="str">
        <f>IF(SUMIF('Prev Aub'!A:A,O754,'Prev Aub'!B:B)=0,"",SUMIF('Prev Aub'!A:A,O754,'Prev Aub'!B:B))</f>
        <v/>
      </c>
      <c r="AN754" s="25" t="s">
        <v>3790</v>
      </c>
      <c r="AO754" s="25" t="s">
        <v>3790</v>
      </c>
      <c r="AP754" s="25">
        <f t="shared" si="314"/>
        <v>0</v>
      </c>
      <c r="AQ754" s="151" t="str">
        <f>IF(SUMIFS('Supp Consol'!S:S,'Supp Consol'!A:A,O754,'Supp Consol'!I:I,"PENDING")=0,"",SUMIFS('Supp Consol'!S:S,'Supp Consol'!A:A,O754,'Supp Consol'!I:I,"PENDING"))</f>
        <v/>
      </c>
      <c r="AR754" s="27" t="str">
        <f t="shared" si="315"/>
        <v>MG071</v>
      </c>
      <c r="AS754" s="27" t="str">
        <f t="shared" si="316"/>
        <v>50</v>
      </c>
      <c r="AT754" s="27" t="str">
        <f t="shared" si="317"/>
        <v/>
      </c>
      <c r="AU754" s="27" t="str">
        <f t="shared" si="318"/>
        <v/>
      </c>
      <c r="AV754" s="27" t="str">
        <f t="shared" si="319"/>
        <v/>
      </c>
      <c r="AW754" s="27" t="str">
        <f t="shared" si="320"/>
        <v/>
      </c>
      <c r="AX754" s="27" t="str">
        <f t="shared" si="321"/>
        <v/>
      </c>
      <c r="AY754" s="27" t="str">
        <f t="shared" si="322"/>
        <v/>
      </c>
      <c r="AZ754" s="27" t="str">
        <f t="shared" si="323"/>
        <v/>
      </c>
      <c r="BA754" s="27" t="str">
        <f t="shared" si="324"/>
        <v/>
      </c>
      <c r="BB754" s="27" t="str">
        <f t="shared" si="325"/>
        <v/>
      </c>
      <c r="BC754" s="27" t="str">
        <f t="shared" si="326"/>
        <v/>
      </c>
      <c r="BD754" s="27" t="str">
        <f t="shared" si="327"/>
        <v/>
      </c>
      <c r="BE754" s="27" t="str">
        <f t="shared" si="328"/>
        <v/>
      </c>
      <c r="BF754" s="27" t="str">
        <f t="shared" si="329"/>
        <v/>
      </c>
      <c r="BG754" s="27" t="str">
        <f t="shared" si="330"/>
        <v/>
      </c>
      <c r="BH754" s="27" t="str">
        <f t="shared" si="331"/>
        <v/>
      </c>
      <c r="BI754" s="27" t="str">
        <f t="shared" si="332"/>
        <v/>
      </c>
      <c r="BJ754" s="27" t="str">
        <f t="shared" si="333"/>
        <v/>
      </c>
      <c r="BK754" s="27" t="str">
        <f t="shared" si="334"/>
        <v/>
      </c>
      <c r="BL754" s="27" t="str">
        <f t="shared" si="335"/>
        <v/>
      </c>
      <c r="BM754" s="21" t="s">
        <v>5581</v>
      </c>
    </row>
    <row r="755" spans="1:65" ht="15">
      <c r="A755" s="25" t="str">
        <f>IFERROR(INDEX('Hun Demand'!W:W,MATCH(O755,'Hun Demand'!A:A,0)),"")</f>
        <v/>
      </c>
      <c r="B755" s="25" t="str">
        <f>IFERROR(INDEX('Hun Demand'!V:V,MATCH(O755,'Hun Demand'!A:A,0)),"")</f>
        <v/>
      </c>
      <c r="C755" s="25" t="str">
        <f>IFERROR(INDEX('Hun Demand'!U:U,MATCH(O755,'Hun Demand'!A:A,0)),"")</f>
        <v/>
      </c>
      <c r="D755" s="25" t="str">
        <f>IFERROR(INDEX('Hun Demand'!T:T,MATCH(O755,'Hun Demand'!A:A,0)),"")</f>
        <v/>
      </c>
      <c r="E755" s="25" t="str">
        <f>IFERROR(INDEX('Hun Demand'!S:S,MATCH(O755,'Hun Demand'!A:A,0)),"")</f>
        <v/>
      </c>
      <c r="F755" s="25" t="str">
        <f>IFERROR(INDEX('Hun Demand'!R:R,MATCH(O755,'Hun Demand'!A:A,0)),"")</f>
        <v/>
      </c>
      <c r="G755" s="25">
        <f>IFERROR(INDEX('Aub Demand'!W:W,MATCH(O755,'Aub Demand'!A:A,0)),"")</f>
        <v>0</v>
      </c>
      <c r="H755" s="25">
        <f>IFERROR(INDEX('Aub Demand'!V:V,MATCH(O755,'Aub Demand'!A:A,0)),"")</f>
        <v>58</v>
      </c>
      <c r="I755" s="25">
        <f>IFERROR(INDEX('Aub Demand'!U:U,MATCH(O755,'Aub Demand'!A:A,0)),"")</f>
        <v>111</v>
      </c>
      <c r="J755" s="25">
        <f>IFERROR(INDEX('Aub Demand'!T:T,MATCH(O755,'Aub Demand'!A:A,0)),"")</f>
        <v>0</v>
      </c>
      <c r="K755" s="25">
        <f>IFERROR(INDEX('Aub Demand'!S:S,MATCH(O755,'Aub Demand'!A:A,0)),"")</f>
        <v>149</v>
      </c>
      <c r="L755" s="25">
        <f>IFERROR(INDEX('Aub Demand'!R:R,MATCH(O755,'Aub Demand'!A:A,0)),"")</f>
        <v>0</v>
      </c>
      <c r="O755" s="27" t="s">
        <v>1176</v>
      </c>
      <c r="P755" s="27" t="str">
        <f>IFERROR(INDEX('Aub Demand'!B:B,MATCH($O755,'Aub Demand'!$A:$A,0)),"")</f>
        <v>BERNARD</v>
      </c>
      <c r="Q755" s="27" t="str">
        <f>IFERROR(INDEX('Aub Demand'!C:C,MATCH($O755,'Aub Demand'!$A:$A,0)),"")</f>
        <v>TOPPA</v>
      </c>
      <c r="R755" s="52">
        <f>IFERROR(IF(AR756=AR755,INDEX('Aub Demand'!K:K,MATCH($O755,'Aub Demand'!$A:$A,0))-IF(AN755="",0,AN755)+AP756,INDEX('Aub Demand'!K:K,MATCH($O755,'Aub Demand'!$A:$A,0))-IF(AN755="",0,AN755)),"")</f>
        <v>1411</v>
      </c>
      <c r="S755" s="53">
        <f t="shared" si="308"/>
        <v>69.5</v>
      </c>
      <c r="T755" s="52" t="str">
        <f t="shared" si="309"/>
        <v/>
      </c>
      <c r="U755" s="52">
        <f>IFERROR(IF(AR756=AR755,INDEX('Aub Demand'!Q:Q,MATCH($O755,'Aub Demand'!$A:$A,0))-IF(AN755="",0,AN755)+AP756,INDEX('Aub Demand'!Q:Q,MATCH($O755,'Aub Demand'!$A:$A,0))-IF(AN755="",0,AN755)),"")</f>
        <v>1404</v>
      </c>
      <c r="V755" s="53">
        <f t="shared" si="310"/>
        <v>69.2</v>
      </c>
      <c r="W755" s="52" t="str">
        <f t="shared" si="311"/>
        <v/>
      </c>
      <c r="X755" s="52">
        <f>IFERROR(IF(AND(AR756=AR755,AM755&lt;&gt;""),INDEX('Aub Demand'!Q:Q,MATCH($O755,'Aub Demand'!$A:$A,0))-IF(AN755="",0,AN755)+AP756+AD755+AL755,IF(AR756=AR755,INDEX('Aub Demand'!Q:Q,MATCH($O755,'Aub Demand'!$A:$A,0))-IF(AN755="",0,AN755)+AP756+AD755,IF(AM755&lt;&gt;"",INDEX('Aub Demand'!Q:Q,MATCH($O755,'Aub Demand'!$A:$A,0))-IF(AN755="",0,AN755)+AD755+AL755,INDEX('Aub Demand'!Q:Q,MATCH($O755,'Aub Demand'!$A:$A,0))-IF(AN755="",0,AN755)+AD755))),"")</f>
        <v>1404</v>
      </c>
      <c r="Y755" s="53">
        <f t="shared" si="312"/>
        <v>69.2</v>
      </c>
      <c r="Z755" s="52">
        <f>IF(L755="","",INDEX('Aub Demand'!H:H,MATCH($O755,'Aub Demand'!$A:$A,0)))</f>
        <v>87</v>
      </c>
      <c r="AA755" s="52">
        <f t="shared" si="313"/>
        <v>130</v>
      </c>
      <c r="AB755" s="52">
        <f>IFERROR(INDEX('Aub Demand'!L:L,MATCH($O755,'Aub Demand'!$A:$A,0)),"")</f>
        <v>24</v>
      </c>
      <c r="AC755" s="52">
        <f>IFERROR(IF(O755="","",SUMIFS('CPL Mats'!F:F,'CPL Mats'!Q:Q,AR755,'CPL Mats'!S:S,AS755)),"")</f>
        <v>0</v>
      </c>
      <c r="AF755" s="25" t="str">
        <f>IF(SUMIFS('Supp Consol'!S:S,'Supp Consol'!Y:Y,"Releasable",'Supp Consol'!A:A,O755)=0,"",SUMIFS('Supp Consol'!S:S,'Supp Consol'!Y:Y,"Releasable",'Supp Consol'!A:A,O755))</f>
        <v/>
      </c>
      <c r="AG755" s="25" t="str">
        <f>IFERROR(INDEX('Hun Demand'!Q:Q,MATCH(O755,'Hun Demand'!A:A,0)),"")</f>
        <v/>
      </c>
      <c r="AH755" s="25" t="str">
        <f>IFERROR(INDEX('Hun Demand'!H:H,MATCH($O755,'Hun Demand'!$A:$A,0)),"")</f>
        <v/>
      </c>
      <c r="AI755" s="25" t="str">
        <f>IF(SUMIFS('Supp Consol'!AA:AA,'Supp Consol'!Z:Z,"Expires this month",'Supp Consol'!A:A,O755)=0,"",SUMIFS('Supp Consol'!AA:AA,'Supp Consol'!Z:Z,"Expires this month",'Supp Consol'!A:A,O755))</f>
        <v/>
      </c>
      <c r="AJ755" s="25" t="str">
        <f>IF(SUMIFS('Supp Consol'!AA:AA,'Supp Consol'!Z:Z,"Expired Previous Months",'Supp Consol'!A:A,O755)=0,"",SUMIFS('Supp Consol'!AA:AA,'Supp Consol'!Z:Z,"Expired Previous Months",'Supp Consol'!A:A,O755))</f>
        <v/>
      </c>
      <c r="AK755" s="25" t="str">
        <f>IFERROR(INDEX('Hun Release Current'!B:B,MATCH(O755,'Hun Release Current'!A:A,0)),"")</f>
        <v/>
      </c>
      <c r="AL755" s="25" t="str">
        <f>IF(SUMIF('Prev Aub'!A:A,O755,'Prev Aub'!B:B)=0,"",SUMIF('Prev Aub'!A:A,O755,'Prev Aub'!B:B))</f>
        <v/>
      </c>
      <c r="AN755" s="25" t="s">
        <v>3790</v>
      </c>
      <c r="AO755" s="25" t="s">
        <v>3790</v>
      </c>
      <c r="AP755" s="25">
        <f t="shared" si="314"/>
        <v>0</v>
      </c>
      <c r="AQ755" s="151" t="str">
        <f>IF(SUMIFS('Supp Consol'!S:S,'Supp Consol'!A:A,O755,'Supp Consol'!I:I,"PENDING")=0,"",SUMIFS('Supp Consol'!S:S,'Supp Consol'!A:A,O755,'Supp Consol'!I:I,"PENDING"))</f>
        <v/>
      </c>
      <c r="AR755" s="27" t="str">
        <f t="shared" si="315"/>
        <v>MG071</v>
      </c>
      <c r="AS755" s="27" t="str">
        <f t="shared" si="316"/>
        <v>62</v>
      </c>
      <c r="AT755" s="27" t="str">
        <f t="shared" si="317"/>
        <v/>
      </c>
      <c r="AU755" s="27" t="str">
        <f t="shared" si="318"/>
        <v/>
      </c>
      <c r="AV755" s="27" t="str">
        <f t="shared" si="319"/>
        <v/>
      </c>
      <c r="AW755" s="27" t="str">
        <f t="shared" si="320"/>
        <v/>
      </c>
      <c r="AX755" s="27" t="str">
        <f t="shared" si="321"/>
        <v/>
      </c>
      <c r="AY755" s="27" t="str">
        <f t="shared" si="322"/>
        <v/>
      </c>
      <c r="AZ755" s="27" t="str">
        <f t="shared" si="323"/>
        <v/>
      </c>
      <c r="BA755" s="27" t="str">
        <f t="shared" si="324"/>
        <v/>
      </c>
      <c r="BB755" s="27" t="str">
        <f t="shared" si="325"/>
        <v/>
      </c>
      <c r="BC755" s="27" t="str">
        <f t="shared" si="326"/>
        <v/>
      </c>
      <c r="BD755" s="27" t="str">
        <f t="shared" si="327"/>
        <v/>
      </c>
      <c r="BE755" s="27" t="str">
        <f t="shared" si="328"/>
        <v/>
      </c>
      <c r="BF755" s="27" t="str">
        <f t="shared" si="329"/>
        <v/>
      </c>
      <c r="BG755" s="27" t="str">
        <f t="shared" si="330"/>
        <v/>
      </c>
      <c r="BH755" s="27" t="str">
        <f t="shared" si="331"/>
        <v/>
      </c>
      <c r="BI755" s="27" t="str">
        <f t="shared" si="332"/>
        <v/>
      </c>
      <c r="BJ755" s="27" t="str">
        <f t="shared" si="333"/>
        <v/>
      </c>
      <c r="BK755" s="27" t="str">
        <f t="shared" si="334"/>
        <v/>
      </c>
      <c r="BL755" s="27" t="str">
        <f t="shared" si="335"/>
        <v/>
      </c>
      <c r="BM755" s="21" t="s">
        <v>5581</v>
      </c>
    </row>
    <row r="756" spans="1:65" ht="15">
      <c r="A756" s="25" t="str">
        <f>IFERROR(INDEX('Hun Demand'!W:W,MATCH(O756,'Hun Demand'!A:A,0)),"")</f>
        <v/>
      </c>
      <c r="B756" s="25" t="str">
        <f>IFERROR(INDEX('Hun Demand'!V:V,MATCH(O756,'Hun Demand'!A:A,0)),"")</f>
        <v/>
      </c>
      <c r="C756" s="25" t="str">
        <f>IFERROR(INDEX('Hun Demand'!U:U,MATCH(O756,'Hun Demand'!A:A,0)),"")</f>
        <v/>
      </c>
      <c r="D756" s="25" t="str">
        <f>IFERROR(INDEX('Hun Demand'!T:T,MATCH(O756,'Hun Demand'!A:A,0)),"")</f>
        <v/>
      </c>
      <c r="E756" s="25" t="str">
        <f>IFERROR(INDEX('Hun Demand'!S:S,MATCH(O756,'Hun Demand'!A:A,0)),"")</f>
        <v/>
      </c>
      <c r="F756" s="25" t="str">
        <f>IFERROR(INDEX('Hun Demand'!R:R,MATCH(O756,'Hun Demand'!A:A,0)),"")</f>
        <v/>
      </c>
      <c r="G756" s="25">
        <f>IFERROR(INDEX('Aub Demand'!W:W,MATCH(O756,'Aub Demand'!A:A,0)),"")</f>
        <v>0</v>
      </c>
      <c r="H756" s="25">
        <f>IFERROR(INDEX('Aub Demand'!V:V,MATCH(O756,'Aub Demand'!A:A,0)),"")</f>
        <v>0</v>
      </c>
      <c r="I756" s="25">
        <f>IFERROR(INDEX('Aub Demand'!U:U,MATCH(O756,'Aub Demand'!A:A,0)),"")</f>
        <v>16</v>
      </c>
      <c r="J756" s="25">
        <f>IFERROR(INDEX('Aub Demand'!T:T,MATCH(O756,'Aub Demand'!A:A,0)),"")</f>
        <v>0</v>
      </c>
      <c r="K756" s="25">
        <f>IFERROR(INDEX('Aub Demand'!S:S,MATCH(O756,'Aub Demand'!A:A,0)),"")</f>
        <v>0</v>
      </c>
      <c r="L756" s="25">
        <f>IFERROR(INDEX('Aub Demand'!R:R,MATCH(O756,'Aub Demand'!A:A,0)),"")</f>
        <v>0</v>
      </c>
      <c r="O756" s="27" t="s">
        <v>1177</v>
      </c>
      <c r="P756" s="27" t="str">
        <f>IFERROR(INDEX('Aub Demand'!B:B,MATCH($O756,'Aub Demand'!$A:$A,0)),"")</f>
        <v>GOLD FLAKE GRANITE</v>
      </c>
      <c r="Q756" s="27" t="str">
        <f>IFERROR(INDEX('Aub Demand'!C:C,MATCH($O756,'Aub Demand'!$A:$A,0)),"")</f>
        <v>DNP A</v>
      </c>
      <c r="R756" s="52">
        <f>IFERROR(IF(AR757=AR756,INDEX('Aub Demand'!K:K,MATCH($O756,'Aub Demand'!$A:$A,0))-IF(AN756="",0,AN756)+AP757,INDEX('Aub Demand'!K:K,MATCH($O756,'Aub Demand'!$A:$A,0))-IF(AN756="",0,AN756)),"")</f>
        <v>0</v>
      </c>
      <c r="S756" s="53">
        <f t="shared" si="308"/>
        <v>0</v>
      </c>
      <c r="T756" s="52" t="str">
        <f t="shared" si="309"/>
        <v/>
      </c>
      <c r="U756" s="52">
        <f>IFERROR(IF(AR757=AR756,INDEX('Aub Demand'!Q:Q,MATCH($O756,'Aub Demand'!$A:$A,0))-IF(AN756="",0,AN756)+AP757,INDEX('Aub Demand'!Q:Q,MATCH($O756,'Aub Demand'!$A:$A,0))-IF(AN756="",0,AN756)),"")</f>
        <v>-14</v>
      </c>
      <c r="V756" s="53">
        <f t="shared" si="310"/>
        <v>-12</v>
      </c>
      <c r="W756" s="52" t="str">
        <f t="shared" si="311"/>
        <v/>
      </c>
      <c r="X756" s="52">
        <f>IFERROR(IF(AND(AR757=AR756,AM756&lt;&gt;""),INDEX('Aub Demand'!Q:Q,MATCH($O756,'Aub Demand'!$A:$A,0))-IF(AN756="",0,AN756)+AP757+AD756+AL756,IF(AR757=AR756,INDEX('Aub Demand'!Q:Q,MATCH($O756,'Aub Demand'!$A:$A,0))-IF(AN756="",0,AN756)+AP757+AD756,IF(AM756&lt;&gt;"",INDEX('Aub Demand'!Q:Q,MATCH($O756,'Aub Demand'!$A:$A,0))-IF(AN756="",0,AN756)+AD756+AL756,INDEX('Aub Demand'!Q:Q,MATCH($O756,'Aub Demand'!$A:$A,0))-IF(AN756="",0,AN756)+AD756))),"")</f>
        <v>-14</v>
      </c>
      <c r="Y756" s="53">
        <f t="shared" si="312"/>
        <v>-12</v>
      </c>
      <c r="Z756" s="52">
        <f>IF(L756="","",INDEX('Aub Demand'!H:H,MATCH($O756,'Aub Demand'!$A:$A,0)))</f>
        <v>5</v>
      </c>
      <c r="AA756" s="52" t="str">
        <f t="shared" si="313"/>
        <v>-spike-</v>
      </c>
      <c r="AB756" s="52">
        <f>IFERROR(INDEX('Aub Demand'!L:L,MATCH($O756,'Aub Demand'!$A:$A,0)),"")</f>
        <v>0</v>
      </c>
      <c r="AC756" s="52">
        <f>IFERROR(IF(O756="","",SUMIFS('CPL Mats'!F:F,'CPL Mats'!Q:Q,AR756,'CPL Mats'!S:S,AS756)),"")</f>
        <v>0</v>
      </c>
      <c r="AF756" s="25" t="str">
        <f>IF(SUMIFS('Supp Consol'!S:S,'Supp Consol'!Y:Y,"Releasable",'Supp Consol'!A:A,O756)=0,"",SUMIFS('Supp Consol'!S:S,'Supp Consol'!Y:Y,"Releasable",'Supp Consol'!A:A,O756))</f>
        <v/>
      </c>
      <c r="AG756" s="25" t="str">
        <f>IFERROR(INDEX('Hun Demand'!Q:Q,MATCH(O756,'Hun Demand'!A:A,0)),"")</f>
        <v/>
      </c>
      <c r="AH756" s="25" t="str">
        <f>IFERROR(INDEX('Hun Demand'!H:H,MATCH($O756,'Hun Demand'!$A:$A,0)),"")</f>
        <v/>
      </c>
      <c r="AI756" s="25" t="str">
        <f>IF(SUMIFS('Supp Consol'!AA:AA,'Supp Consol'!Z:Z,"Expires this month",'Supp Consol'!A:A,O756)=0,"",SUMIFS('Supp Consol'!AA:AA,'Supp Consol'!Z:Z,"Expires this month",'Supp Consol'!A:A,O756))</f>
        <v/>
      </c>
      <c r="AJ756" s="25" t="str">
        <f>IF(SUMIFS('Supp Consol'!AA:AA,'Supp Consol'!Z:Z,"Expired Previous Months",'Supp Consol'!A:A,O756)=0,"",SUMIFS('Supp Consol'!AA:AA,'Supp Consol'!Z:Z,"Expired Previous Months",'Supp Consol'!A:A,O756))</f>
        <v/>
      </c>
      <c r="AK756" s="25" t="str">
        <f>IFERROR(INDEX('Hun Release Current'!B:B,MATCH(O756,'Hun Release Current'!A:A,0)),"")</f>
        <v/>
      </c>
      <c r="AL756" s="25" t="str">
        <f>IF(SUMIF('Prev Aub'!A:A,O756,'Prev Aub'!B:B)=0,"",SUMIF('Prev Aub'!A:A,O756,'Prev Aub'!B:B))</f>
        <v/>
      </c>
      <c r="AN756" s="25" t="s">
        <v>3790</v>
      </c>
      <c r="AO756" s="25" t="s">
        <v>3790</v>
      </c>
      <c r="AP756" s="25">
        <f t="shared" si="314"/>
        <v>0</v>
      </c>
      <c r="AQ756" s="151" t="str">
        <f>IF(SUMIFS('Supp Consol'!S:S,'Supp Consol'!A:A,O756,'Supp Consol'!I:I,"PENDING")=0,"",SUMIFS('Supp Consol'!S:S,'Supp Consol'!A:A,O756,'Supp Consol'!I:I,"PENDING"))</f>
        <v/>
      </c>
      <c r="AR756" s="27" t="str">
        <f t="shared" si="315"/>
        <v>MG081</v>
      </c>
      <c r="AS756" s="27" t="str">
        <f t="shared" si="316"/>
        <v>50</v>
      </c>
      <c r="AT756" s="27" t="str">
        <f t="shared" si="317"/>
        <v>MG081</v>
      </c>
      <c r="AU756" s="27" t="str">
        <f t="shared" si="318"/>
        <v>MG081</v>
      </c>
      <c r="AV756" s="27" t="str">
        <f t="shared" si="319"/>
        <v>MG081</v>
      </c>
      <c r="AW756" s="27" t="str">
        <f t="shared" si="320"/>
        <v/>
      </c>
      <c r="AX756" s="27" t="str">
        <f t="shared" si="321"/>
        <v/>
      </c>
      <c r="AY756" s="27" t="str">
        <f t="shared" si="322"/>
        <v/>
      </c>
      <c r="AZ756" s="27" t="str">
        <f t="shared" si="323"/>
        <v/>
      </c>
      <c r="BA756" s="27" t="str">
        <f t="shared" si="324"/>
        <v/>
      </c>
      <c r="BB756" s="27" t="str">
        <f t="shared" si="325"/>
        <v>Gross</v>
      </c>
      <c r="BC756" s="27" t="str">
        <f t="shared" si="326"/>
        <v>Net</v>
      </c>
      <c r="BD756" s="27" t="str">
        <f t="shared" si="327"/>
        <v>Net</v>
      </c>
      <c r="BE756" s="27" t="str">
        <f t="shared" si="328"/>
        <v/>
      </c>
      <c r="BF756" s="27" t="str">
        <f t="shared" si="329"/>
        <v/>
      </c>
      <c r="BG756" s="27" t="str">
        <f t="shared" si="330"/>
        <v/>
      </c>
      <c r="BH756" s="27" t="str">
        <f t="shared" si="331"/>
        <v/>
      </c>
      <c r="BI756" s="27" t="str">
        <f t="shared" si="332"/>
        <v/>
      </c>
      <c r="BJ756" s="27" t="str">
        <f t="shared" si="333"/>
        <v/>
      </c>
      <c r="BK756" s="27" t="str">
        <f t="shared" si="334"/>
        <v/>
      </c>
      <c r="BL756" s="27" t="str">
        <f t="shared" si="335"/>
        <v/>
      </c>
      <c r="BM756" s="21" t="s">
        <v>3790</v>
      </c>
    </row>
    <row r="757" spans="1:65" ht="15">
      <c r="A757" s="25" t="str">
        <f>IFERROR(INDEX('Hun Demand'!W:W,MATCH(O757,'Hun Demand'!A:A,0)),"")</f>
        <v/>
      </c>
      <c r="B757" s="25" t="str">
        <f>IFERROR(INDEX('Hun Demand'!V:V,MATCH(O757,'Hun Demand'!A:A,0)),"")</f>
        <v/>
      </c>
      <c r="C757" s="25" t="str">
        <f>IFERROR(INDEX('Hun Demand'!U:U,MATCH(O757,'Hun Demand'!A:A,0)),"")</f>
        <v/>
      </c>
      <c r="D757" s="25" t="str">
        <f>IFERROR(INDEX('Hun Demand'!T:T,MATCH(O757,'Hun Demand'!A:A,0)),"")</f>
        <v/>
      </c>
      <c r="E757" s="25" t="str">
        <f>IFERROR(INDEX('Hun Demand'!S:S,MATCH(O757,'Hun Demand'!A:A,0)),"")</f>
        <v/>
      </c>
      <c r="F757" s="25" t="str">
        <f>IFERROR(INDEX('Hun Demand'!R:R,MATCH(O757,'Hun Demand'!A:A,0)),"")</f>
        <v/>
      </c>
      <c r="G757" s="25">
        <f>IFERROR(INDEX('Aub Demand'!W:W,MATCH(O757,'Aub Demand'!A:A,0)),"")</f>
        <v>48</v>
      </c>
      <c r="H757" s="25">
        <f>IFERROR(INDEX('Aub Demand'!V:V,MATCH(O757,'Aub Demand'!A:A,0)),"")</f>
        <v>53</v>
      </c>
      <c r="I757" s="25">
        <f>IFERROR(INDEX('Aub Demand'!U:U,MATCH(O757,'Aub Demand'!A:A,0)),"")</f>
        <v>0</v>
      </c>
      <c r="J757" s="25">
        <f>IFERROR(INDEX('Aub Demand'!T:T,MATCH(O757,'Aub Demand'!A:A,0)),"")</f>
        <v>22</v>
      </c>
      <c r="K757" s="25">
        <f>IFERROR(INDEX('Aub Demand'!S:S,MATCH(O757,'Aub Demand'!A:A,0)),"")</f>
        <v>41</v>
      </c>
      <c r="L757" s="25">
        <f>IFERROR(INDEX('Aub Demand'!R:R,MATCH(O757,'Aub Demand'!A:A,0)),"")</f>
        <v>0</v>
      </c>
      <c r="O757" s="27" t="s">
        <v>1180</v>
      </c>
      <c r="P757" s="27" t="str">
        <f>IFERROR(INDEX('Aub Demand'!B:B,MATCH($O757,'Aub Demand'!$A:$A,0)),"")</f>
        <v>GOLD FLAKE GRANITE</v>
      </c>
      <c r="Q757" s="27" t="str">
        <f>IFERROR(INDEX('Aub Demand'!C:C,MATCH($O757,'Aub Demand'!$A:$A,0)),"")</f>
        <v>DNP A</v>
      </c>
      <c r="R757" s="52">
        <f>IFERROR(IF(AR758=AR757,INDEX('Aub Demand'!K:K,MATCH($O757,'Aub Demand'!$A:$A,0))-IF(AN757="",0,AN757)+AP758,INDEX('Aub Demand'!K:K,MATCH($O757,'Aub Demand'!$A:$A,0))-IF(AN757="",0,AN757)),"")</f>
        <v>3496</v>
      </c>
      <c r="S757" s="53">
        <f t="shared" si="308"/>
        <v>713.5</v>
      </c>
      <c r="T757" s="52" t="str">
        <f t="shared" si="309"/>
        <v/>
      </c>
      <c r="U757" s="52">
        <f>IFERROR(IF(AR758=AR757,INDEX('Aub Demand'!Q:Q,MATCH($O757,'Aub Demand'!$A:$A,0))-IF(AN757="",0,AN757)+AP758,INDEX('Aub Demand'!Q:Q,MATCH($O757,'Aub Demand'!$A:$A,0))-IF(AN757="",0,AN757)),"")</f>
        <v>3496</v>
      </c>
      <c r="V757" s="53">
        <f t="shared" si="310"/>
        <v>713.5</v>
      </c>
      <c r="W757" s="52" t="str">
        <f t="shared" si="311"/>
        <v/>
      </c>
      <c r="X757" s="52">
        <f>IFERROR(IF(AND(AR758=AR757,AM757&lt;&gt;""),INDEX('Aub Demand'!Q:Q,MATCH($O757,'Aub Demand'!$A:$A,0))-IF(AN757="",0,AN757)+AP758+AD757+AL757,IF(AR758=AR757,INDEX('Aub Demand'!Q:Q,MATCH($O757,'Aub Demand'!$A:$A,0))-IF(AN757="",0,AN757)+AP758+AD757,IF(AM757&lt;&gt;"",INDEX('Aub Demand'!Q:Q,MATCH($O757,'Aub Demand'!$A:$A,0))-IF(AN757="",0,AN757)+AD757+AL757,INDEX('Aub Demand'!Q:Q,MATCH($O757,'Aub Demand'!$A:$A,0))-IF(AN757="",0,AN757)+AD757))),"")</f>
        <v>3496</v>
      </c>
      <c r="Y757" s="53">
        <f t="shared" si="312"/>
        <v>713.5</v>
      </c>
      <c r="Z757" s="52">
        <f>IF(L757="","",INDEX('Aub Demand'!H:H,MATCH($O757,'Aub Demand'!$A:$A,0)))</f>
        <v>21</v>
      </c>
      <c r="AA757" s="52">
        <f t="shared" si="313"/>
        <v>31.5</v>
      </c>
      <c r="AB757" s="52">
        <f>IFERROR(INDEX('Aub Demand'!L:L,MATCH($O757,'Aub Demand'!$A:$A,0)),"")</f>
        <v>0</v>
      </c>
      <c r="AC757" s="52">
        <f>IFERROR(IF(O757="","",SUMIFS('CPL Mats'!F:F,'CPL Mats'!Q:Q,AR757,'CPL Mats'!S:S,AS757)),"")</f>
        <v>0</v>
      </c>
      <c r="AF757" s="25" t="str">
        <f>IF(SUMIFS('Supp Consol'!S:S,'Supp Consol'!Y:Y,"Releasable",'Supp Consol'!A:A,O757)=0,"",SUMIFS('Supp Consol'!S:S,'Supp Consol'!Y:Y,"Releasable",'Supp Consol'!A:A,O757))</f>
        <v/>
      </c>
      <c r="AG757" s="25" t="str">
        <f>IFERROR(INDEX('Hun Demand'!Q:Q,MATCH(O757,'Hun Demand'!A:A,0)),"")</f>
        <v/>
      </c>
      <c r="AH757" s="25" t="str">
        <f>IFERROR(INDEX('Hun Demand'!H:H,MATCH($O757,'Hun Demand'!$A:$A,0)),"")</f>
        <v/>
      </c>
      <c r="AI757" s="25" t="str">
        <f>IF(SUMIFS('Supp Consol'!AA:AA,'Supp Consol'!Z:Z,"Expires this month",'Supp Consol'!A:A,O757)=0,"",SUMIFS('Supp Consol'!AA:AA,'Supp Consol'!Z:Z,"Expires this month",'Supp Consol'!A:A,O757))</f>
        <v/>
      </c>
      <c r="AJ757" s="25" t="str">
        <f>IF(SUMIFS('Supp Consol'!AA:AA,'Supp Consol'!Z:Z,"Expired Previous Months",'Supp Consol'!A:A,O757)=0,"",SUMIFS('Supp Consol'!AA:AA,'Supp Consol'!Z:Z,"Expired Previous Months",'Supp Consol'!A:A,O757))</f>
        <v/>
      </c>
      <c r="AK757" s="25" t="str">
        <f>IFERROR(INDEX('Hun Release Current'!B:B,MATCH(O757,'Hun Release Current'!A:A,0)),"")</f>
        <v/>
      </c>
      <c r="AL757" s="25" t="str">
        <f>IF(SUMIF('Prev Aub'!A:A,O757,'Prev Aub'!B:B)=0,"",SUMIF('Prev Aub'!A:A,O757,'Prev Aub'!B:B))</f>
        <v/>
      </c>
      <c r="AN757" s="25" t="s">
        <v>3790</v>
      </c>
      <c r="AO757" s="25" t="s">
        <v>3790</v>
      </c>
      <c r="AP757" s="25">
        <f t="shared" si="314"/>
        <v>0</v>
      </c>
      <c r="AQ757" s="151" t="str">
        <f>IF(SUMIFS('Supp Consol'!S:S,'Supp Consol'!A:A,O757,'Supp Consol'!I:I,"PENDING")=0,"",SUMIFS('Supp Consol'!S:S,'Supp Consol'!A:A,O757,'Supp Consol'!I:I,"PENDING"))</f>
        <v/>
      </c>
      <c r="AR757" s="27" t="str">
        <f t="shared" si="315"/>
        <v>MG081</v>
      </c>
      <c r="AS757" s="27" t="str">
        <f t="shared" si="316"/>
        <v>62</v>
      </c>
      <c r="AT757" s="27" t="str">
        <f t="shared" si="317"/>
        <v/>
      </c>
      <c r="AU757" s="27" t="str">
        <f t="shared" si="318"/>
        <v/>
      </c>
      <c r="AV757" s="27" t="str">
        <f t="shared" si="319"/>
        <v/>
      </c>
      <c r="AW757" s="27" t="str">
        <f t="shared" si="320"/>
        <v/>
      </c>
      <c r="AX757" s="27" t="str">
        <f t="shared" si="321"/>
        <v/>
      </c>
      <c r="AY757" s="27" t="str">
        <f t="shared" si="322"/>
        <v/>
      </c>
      <c r="AZ757" s="27" t="str">
        <f t="shared" si="323"/>
        <v/>
      </c>
      <c r="BA757" s="27" t="str">
        <f t="shared" si="324"/>
        <v/>
      </c>
      <c r="BB757" s="27" t="str">
        <f t="shared" si="325"/>
        <v>Gross</v>
      </c>
      <c r="BC757" s="27" t="str">
        <f t="shared" si="326"/>
        <v>Net</v>
      </c>
      <c r="BD757" s="27" t="str">
        <f t="shared" si="327"/>
        <v>Net</v>
      </c>
      <c r="BE757" s="27" t="str">
        <f t="shared" si="328"/>
        <v/>
      </c>
      <c r="BF757" s="27" t="str">
        <f t="shared" si="329"/>
        <v/>
      </c>
      <c r="BG757" s="27" t="str">
        <f t="shared" si="330"/>
        <v/>
      </c>
      <c r="BH757" s="27" t="str">
        <f t="shared" si="331"/>
        <v/>
      </c>
      <c r="BI757" s="27" t="str">
        <f t="shared" si="332"/>
        <v/>
      </c>
      <c r="BJ757" s="27" t="str">
        <f t="shared" si="333"/>
        <v/>
      </c>
      <c r="BK757" s="27" t="str">
        <f t="shared" si="334"/>
        <v/>
      </c>
      <c r="BL757" s="27" t="str">
        <f t="shared" si="335"/>
        <v/>
      </c>
      <c r="BM757" s="21" t="s">
        <v>3790</v>
      </c>
    </row>
    <row r="758" spans="1:65" ht="15">
      <c r="A758" s="25" t="str">
        <f>IFERROR(INDEX('Hun Demand'!W:W,MATCH(O758,'Hun Demand'!A:A,0)),"")</f>
        <v/>
      </c>
      <c r="B758" s="25" t="str">
        <f>IFERROR(INDEX('Hun Demand'!V:V,MATCH(O758,'Hun Demand'!A:A,0)),"")</f>
        <v/>
      </c>
      <c r="C758" s="25" t="str">
        <f>IFERROR(INDEX('Hun Demand'!U:U,MATCH(O758,'Hun Demand'!A:A,0)),"")</f>
        <v/>
      </c>
      <c r="D758" s="25" t="str">
        <f>IFERROR(INDEX('Hun Demand'!T:T,MATCH(O758,'Hun Demand'!A:A,0)),"")</f>
        <v/>
      </c>
      <c r="E758" s="25" t="str">
        <f>IFERROR(INDEX('Hun Demand'!S:S,MATCH(O758,'Hun Demand'!A:A,0)),"")</f>
        <v/>
      </c>
      <c r="F758" s="25" t="str">
        <f>IFERROR(INDEX('Hun Demand'!R:R,MATCH(O758,'Hun Demand'!A:A,0)),"")</f>
        <v/>
      </c>
      <c r="G758" s="25">
        <f>IFERROR(INDEX('Aub Demand'!W:W,MATCH(O758,'Aub Demand'!A:A,0)),"")</f>
        <v>0</v>
      </c>
      <c r="H758" s="25">
        <f>IFERROR(INDEX('Aub Demand'!V:V,MATCH(O758,'Aub Demand'!A:A,0)),"")</f>
        <v>0</v>
      </c>
      <c r="I758" s="25">
        <f>IFERROR(INDEX('Aub Demand'!U:U,MATCH(O758,'Aub Demand'!A:A,0)),"")</f>
        <v>14</v>
      </c>
      <c r="J758" s="25">
        <f>IFERROR(INDEX('Aub Demand'!T:T,MATCH(O758,'Aub Demand'!A:A,0)),"")</f>
        <v>0</v>
      </c>
      <c r="K758" s="25">
        <f>IFERROR(INDEX('Aub Demand'!S:S,MATCH(O758,'Aub Demand'!A:A,0)),"")</f>
        <v>0</v>
      </c>
      <c r="L758" s="25">
        <f>IFERROR(INDEX('Aub Demand'!R:R,MATCH(O758,'Aub Demand'!A:A,0)),"")</f>
        <v>0</v>
      </c>
      <c r="O758" s="27" t="s">
        <v>2318</v>
      </c>
      <c r="P758" s="27" t="str">
        <f>IFERROR(INDEX('Aub Demand'!B:B,MATCH($O758,'Aub Demand'!$A:$A,0)),"")</f>
        <v>GRIGIO IMPERIALE MAR</v>
      </c>
      <c r="Q758" s="27" t="str">
        <f>IFERROR(INDEX('Aub Demand'!C:C,MATCH($O758,'Aub Demand'!$A:$A,0)),"")</f>
        <v>IMPRE</v>
      </c>
      <c r="R758" s="52">
        <f>IFERROR(IF(AR759=AR758,INDEX('Aub Demand'!K:K,MATCH($O758,'Aub Demand'!$A:$A,0))-IF(AN758="",0,AN758)+AP759,INDEX('Aub Demand'!K:K,MATCH($O758,'Aub Demand'!$A:$A,0))-IF(AN758="",0,AN758)),"")</f>
        <v>654</v>
      </c>
      <c r="S758" s="53">
        <f t="shared" si="308"/>
        <v>560.6</v>
      </c>
      <c r="T758" s="52" t="str">
        <f t="shared" si="309"/>
        <v/>
      </c>
      <c r="U758" s="52">
        <f>IFERROR(IF(AR759=AR758,INDEX('Aub Demand'!Q:Q,MATCH($O758,'Aub Demand'!$A:$A,0))-IF(AN758="",0,AN758)+AP759,INDEX('Aub Demand'!Q:Q,MATCH($O758,'Aub Demand'!$A:$A,0))-IF(AN758="",0,AN758)),"")</f>
        <v>654</v>
      </c>
      <c r="V758" s="53">
        <f t="shared" si="310"/>
        <v>560.6</v>
      </c>
      <c r="W758" s="52" t="str">
        <f t="shared" si="311"/>
        <v/>
      </c>
      <c r="X758" s="52">
        <f>IFERROR(IF(AND(AR759=AR758,AM758&lt;&gt;""),INDEX('Aub Demand'!Q:Q,MATCH($O758,'Aub Demand'!$A:$A,0))-IF(AN758="",0,AN758)+AP759+AD758+AL758,IF(AR759=AR758,INDEX('Aub Demand'!Q:Q,MATCH($O758,'Aub Demand'!$A:$A,0))-IF(AN758="",0,AN758)+AP759+AD758,IF(AM758&lt;&gt;"",INDEX('Aub Demand'!Q:Q,MATCH($O758,'Aub Demand'!$A:$A,0))-IF(AN758="",0,AN758)+AD758+AL758,INDEX('Aub Demand'!Q:Q,MATCH($O758,'Aub Demand'!$A:$A,0))-IF(AN758="",0,AN758)+AD758))),"")</f>
        <v>654</v>
      </c>
      <c r="Y758" s="53">
        <f t="shared" si="312"/>
        <v>560.6</v>
      </c>
      <c r="Z758" s="52">
        <f>IF(L758="","",INDEX('Aub Demand'!H:H,MATCH($O758,'Aub Demand'!$A:$A,0)))</f>
        <v>5</v>
      </c>
      <c r="AA758" s="52" t="str">
        <f t="shared" si="313"/>
        <v>-spike-</v>
      </c>
      <c r="AB758" s="52">
        <f>IFERROR(INDEX('Aub Demand'!L:L,MATCH($O758,'Aub Demand'!$A:$A,0)),"")</f>
        <v>16</v>
      </c>
      <c r="AC758" s="52">
        <f>IFERROR(IF(O758="","",SUMIFS('CPL Mats'!F:F,'CPL Mats'!Q:Q,AR758,'CPL Mats'!S:S,AS758)),"")</f>
        <v>0</v>
      </c>
      <c r="AF758" s="25">
        <f>IF(SUMIFS('Supp Consol'!S:S,'Supp Consol'!Y:Y,"Releasable",'Supp Consol'!A:A,O758)=0,"",SUMIFS('Supp Consol'!S:S,'Supp Consol'!Y:Y,"Releasable",'Supp Consol'!A:A,O758))</f>
        <v>1759</v>
      </c>
      <c r="AG758" s="25" t="str">
        <f>IFERROR(INDEX('Hun Demand'!Q:Q,MATCH(O758,'Hun Demand'!A:A,0)),"")</f>
        <v/>
      </c>
      <c r="AH758" s="25" t="str">
        <f>IFERROR(INDEX('Hun Demand'!H:H,MATCH($O758,'Hun Demand'!$A:$A,0)),"")</f>
        <v/>
      </c>
      <c r="AI758" s="25" t="str">
        <f>IF(SUMIFS('Supp Consol'!AA:AA,'Supp Consol'!Z:Z,"Expires this month",'Supp Consol'!A:A,O758)=0,"",SUMIFS('Supp Consol'!AA:AA,'Supp Consol'!Z:Z,"Expires this month",'Supp Consol'!A:A,O758))</f>
        <v/>
      </c>
      <c r="AJ758" s="25" t="str">
        <f>IF(SUMIFS('Supp Consol'!AA:AA,'Supp Consol'!Z:Z,"Expired Previous Months",'Supp Consol'!A:A,O758)=0,"",SUMIFS('Supp Consol'!AA:AA,'Supp Consol'!Z:Z,"Expired Previous Months",'Supp Consol'!A:A,O758))</f>
        <v/>
      </c>
      <c r="AK758" s="25" t="str">
        <f>IFERROR(INDEX('Hun Release Current'!B:B,MATCH(O758,'Hun Release Current'!A:A,0)),"")</f>
        <v/>
      </c>
      <c r="AL758" s="25" t="str">
        <f>IF(SUMIF('Prev Aub'!A:A,O758,'Prev Aub'!B:B)=0,"",SUMIF('Prev Aub'!A:A,O758,'Prev Aub'!B:B))</f>
        <v/>
      </c>
      <c r="AN758" s="25" t="s">
        <v>3790</v>
      </c>
      <c r="AO758" s="25" t="s">
        <v>3790</v>
      </c>
      <c r="AP758" s="25">
        <f t="shared" si="314"/>
        <v>0</v>
      </c>
      <c r="AQ758" s="151" t="str">
        <f>IF(SUMIFS('Supp Consol'!S:S,'Supp Consol'!A:A,O758,'Supp Consol'!I:I,"PENDING")=0,"",SUMIFS('Supp Consol'!S:S,'Supp Consol'!A:A,O758,'Supp Consol'!I:I,"PENDING"))</f>
        <v/>
      </c>
      <c r="AR758" s="27" t="str">
        <f t="shared" si="315"/>
        <v>MG093</v>
      </c>
      <c r="AS758" s="27" t="str">
        <f t="shared" si="316"/>
        <v>62</v>
      </c>
      <c r="AT758" s="27" t="str">
        <f t="shared" si="317"/>
        <v/>
      </c>
      <c r="AU758" s="27" t="str">
        <f t="shared" si="318"/>
        <v/>
      </c>
      <c r="AV758" s="27" t="str">
        <f t="shared" si="319"/>
        <v/>
      </c>
      <c r="AW758" s="27" t="str">
        <f t="shared" si="320"/>
        <v/>
      </c>
      <c r="AX758" s="27" t="str">
        <f t="shared" si="321"/>
        <v>MG093</v>
      </c>
      <c r="AY758" s="27" t="str">
        <f t="shared" si="322"/>
        <v/>
      </c>
      <c r="AZ758" s="27" t="str">
        <f t="shared" si="323"/>
        <v>Supp</v>
      </c>
      <c r="BA758" s="27" t="str">
        <f t="shared" si="324"/>
        <v/>
      </c>
      <c r="BB758" s="27" t="str">
        <f t="shared" si="325"/>
        <v/>
      </c>
      <c r="BC758" s="27" t="str">
        <f t="shared" si="326"/>
        <v/>
      </c>
      <c r="BD758" s="27" t="str">
        <f t="shared" si="327"/>
        <v/>
      </c>
      <c r="BE758" s="27" t="str">
        <f t="shared" si="328"/>
        <v/>
      </c>
      <c r="BF758" s="27" t="str">
        <f t="shared" si="329"/>
        <v/>
      </c>
      <c r="BG758" s="27" t="str">
        <f t="shared" si="330"/>
        <v/>
      </c>
      <c r="BH758" s="27" t="str">
        <f t="shared" si="331"/>
        <v/>
      </c>
      <c r="BI758" s="27" t="str">
        <f t="shared" si="332"/>
        <v/>
      </c>
      <c r="BJ758" s="27" t="str">
        <f t="shared" si="333"/>
        <v>Supp or Hun</v>
      </c>
      <c r="BK758" s="27" t="str">
        <f t="shared" si="334"/>
        <v/>
      </c>
      <c r="BL758" s="27" t="str">
        <f t="shared" si="335"/>
        <v/>
      </c>
      <c r="BM758" s="21" t="s">
        <v>5581</v>
      </c>
    </row>
    <row r="759" spans="1:65" ht="15">
      <c r="A759" s="25" t="str">
        <f>IFERROR(INDEX('Hun Demand'!W:W,MATCH(O759,'Hun Demand'!A:A,0)),"")</f>
        <v/>
      </c>
      <c r="B759" s="25" t="str">
        <f>IFERROR(INDEX('Hun Demand'!V:V,MATCH(O759,'Hun Demand'!A:A,0)),"")</f>
        <v/>
      </c>
      <c r="C759" s="25" t="str">
        <f>IFERROR(INDEX('Hun Demand'!U:U,MATCH(O759,'Hun Demand'!A:A,0)),"")</f>
        <v/>
      </c>
      <c r="D759" s="25" t="str">
        <f>IFERROR(INDEX('Hun Demand'!T:T,MATCH(O759,'Hun Demand'!A:A,0)),"")</f>
        <v/>
      </c>
      <c r="E759" s="25" t="str">
        <f>IFERROR(INDEX('Hun Demand'!S:S,MATCH(O759,'Hun Demand'!A:A,0)),"")</f>
        <v/>
      </c>
      <c r="F759" s="25" t="str">
        <f>IFERROR(INDEX('Hun Demand'!R:R,MATCH(O759,'Hun Demand'!A:A,0)),"")</f>
        <v/>
      </c>
      <c r="G759" s="25">
        <f>IFERROR(INDEX('Aub Demand'!W:W,MATCH(O759,'Aub Demand'!A:A,0)),"")</f>
        <v>278</v>
      </c>
      <c r="H759" s="25">
        <f>IFERROR(INDEX('Aub Demand'!V:V,MATCH(O759,'Aub Demand'!A:A,0)),"")</f>
        <v>0</v>
      </c>
      <c r="I759" s="25">
        <f>IFERROR(INDEX('Aub Demand'!U:U,MATCH(O759,'Aub Demand'!A:A,0)),"")</f>
        <v>133</v>
      </c>
      <c r="J759" s="25">
        <f>IFERROR(INDEX('Aub Demand'!T:T,MATCH(O759,'Aub Demand'!A:A,0)),"")</f>
        <v>274</v>
      </c>
      <c r="K759" s="25">
        <f>IFERROR(INDEX('Aub Demand'!S:S,MATCH(O759,'Aub Demand'!A:A,0)),"")</f>
        <v>167</v>
      </c>
      <c r="L759" s="25">
        <f>IFERROR(INDEX('Aub Demand'!R:R,MATCH(O759,'Aub Demand'!A:A,0)),"")</f>
        <v>0</v>
      </c>
      <c r="O759" s="27" t="s">
        <v>1181</v>
      </c>
      <c r="P759" s="27" t="str">
        <f>IFERROR(INDEX('Aub Demand'!B:B,MATCH($O759,'Aub Demand'!$A:$A,0)),"")</f>
        <v>MOON DUST</v>
      </c>
      <c r="Q759" s="27" t="str">
        <f>IFERROR(INDEX('Aub Demand'!C:C,MATCH($O759,'Aub Demand'!$A:$A,0)),"")</f>
        <v>SUDDE</v>
      </c>
      <c r="R759" s="52">
        <f>IFERROR(IF(AR760=AR759,INDEX('Aub Demand'!K:K,MATCH($O759,'Aub Demand'!$A:$A,0))-IF(AN759="",0,AN759)+AP760,INDEX('Aub Demand'!K:K,MATCH($O759,'Aub Demand'!$A:$A,0))-IF(AN759="",0,AN759)),"")</f>
        <v>2075</v>
      </c>
      <c r="S759" s="53">
        <f t="shared" si="308"/>
        <v>46.6</v>
      </c>
      <c r="T759" s="52" t="str">
        <f t="shared" si="309"/>
        <v/>
      </c>
      <c r="U759" s="52">
        <f>IFERROR(IF(AR760=AR759,INDEX('Aub Demand'!Q:Q,MATCH($O759,'Aub Demand'!$A:$A,0))-IF(AN759="",0,AN759)+AP760,INDEX('Aub Demand'!Q:Q,MATCH($O759,'Aub Demand'!$A:$A,0))-IF(AN759="",0,AN759)),"")</f>
        <v>2030</v>
      </c>
      <c r="V759" s="53">
        <f t="shared" si="310"/>
        <v>45.5</v>
      </c>
      <c r="W759" s="52" t="str">
        <f t="shared" si="311"/>
        <v/>
      </c>
      <c r="X759" s="52">
        <f>IFERROR(IF(AND(AR760=AR759,AM759&lt;&gt;""),INDEX('Aub Demand'!Q:Q,MATCH($O759,'Aub Demand'!$A:$A,0))-IF(AN759="",0,AN759)+AP760+AD759+AL759,IF(AR760=AR759,INDEX('Aub Demand'!Q:Q,MATCH($O759,'Aub Demand'!$A:$A,0))-IF(AN759="",0,AN759)+AP760+AD759,IF(AM759&lt;&gt;"",INDEX('Aub Demand'!Q:Q,MATCH($O759,'Aub Demand'!$A:$A,0))-IF(AN759="",0,AN759)+AD759+AL759,INDEX('Aub Demand'!Q:Q,MATCH($O759,'Aub Demand'!$A:$A,0))-IF(AN759="",0,AN759)+AD759))),"")</f>
        <v>2030</v>
      </c>
      <c r="Y759" s="53">
        <f t="shared" si="312"/>
        <v>45.5</v>
      </c>
      <c r="Z759" s="52">
        <f>IF(L759="","",INDEX('Aub Demand'!H:H,MATCH($O759,'Aub Demand'!$A:$A,0)))</f>
        <v>191</v>
      </c>
      <c r="AA759" s="52">
        <f t="shared" si="313"/>
        <v>220.5</v>
      </c>
      <c r="AB759" s="52">
        <f>IFERROR(INDEX('Aub Demand'!L:L,MATCH($O759,'Aub Demand'!$A:$A,0)),"")</f>
        <v>147</v>
      </c>
      <c r="AC759" s="52">
        <f>IFERROR(IF(O759="","",SUMIFS('CPL Mats'!F:F,'CPL Mats'!Q:Q,AR759,'CPL Mats'!S:S,AS759)),"")</f>
        <v>0</v>
      </c>
      <c r="AF759" s="25" t="str">
        <f>IF(SUMIFS('Supp Consol'!S:S,'Supp Consol'!Y:Y,"Releasable",'Supp Consol'!A:A,O759)=0,"",SUMIFS('Supp Consol'!S:S,'Supp Consol'!Y:Y,"Releasable",'Supp Consol'!A:A,O759))</f>
        <v/>
      </c>
      <c r="AG759" s="25" t="str">
        <f>IFERROR(INDEX('Hun Demand'!Q:Q,MATCH(O759,'Hun Demand'!A:A,0)),"")</f>
        <v/>
      </c>
      <c r="AH759" s="25" t="str">
        <f>IFERROR(INDEX('Hun Demand'!H:H,MATCH($O759,'Hun Demand'!$A:$A,0)),"")</f>
        <v/>
      </c>
      <c r="AI759" s="25" t="str">
        <f>IF(SUMIFS('Supp Consol'!AA:AA,'Supp Consol'!Z:Z,"Expires this month",'Supp Consol'!A:A,O759)=0,"",SUMIFS('Supp Consol'!AA:AA,'Supp Consol'!Z:Z,"Expires this month",'Supp Consol'!A:A,O759))</f>
        <v/>
      </c>
      <c r="AJ759" s="25" t="str">
        <f>IF(SUMIFS('Supp Consol'!AA:AA,'Supp Consol'!Z:Z,"Expired Previous Months",'Supp Consol'!A:A,O759)=0,"",SUMIFS('Supp Consol'!AA:AA,'Supp Consol'!Z:Z,"Expired Previous Months",'Supp Consol'!A:A,O759))</f>
        <v/>
      </c>
      <c r="AK759" s="25" t="str">
        <f>IFERROR(INDEX('Hun Release Current'!B:B,MATCH(O759,'Hun Release Current'!A:A,0)),"")</f>
        <v/>
      </c>
      <c r="AL759" s="25" t="str">
        <f>IF(SUMIF('Prev Aub'!A:A,O759,'Prev Aub'!B:B)=0,"",SUMIF('Prev Aub'!A:A,O759,'Prev Aub'!B:B))</f>
        <v/>
      </c>
      <c r="AN759" s="25" t="s">
        <v>3790</v>
      </c>
      <c r="AO759" s="25" t="s">
        <v>3790</v>
      </c>
      <c r="AP759" s="25">
        <f t="shared" si="314"/>
        <v>0</v>
      </c>
      <c r="AQ759" s="151" t="str">
        <f>IF(SUMIFS('Supp Consol'!S:S,'Supp Consol'!A:A,O759,'Supp Consol'!I:I,"PENDING")=0,"",SUMIFS('Supp Consol'!S:S,'Supp Consol'!A:A,O759,'Supp Consol'!I:I,"PENDING"))</f>
        <v/>
      </c>
      <c r="AR759" s="27" t="str">
        <f t="shared" si="315"/>
        <v>MG115</v>
      </c>
      <c r="AS759" s="27" t="str">
        <f t="shared" si="316"/>
        <v>62</v>
      </c>
      <c r="AT759" s="27" t="str">
        <f t="shared" si="317"/>
        <v/>
      </c>
      <c r="AU759" s="27" t="str">
        <f t="shared" si="318"/>
        <v/>
      </c>
      <c r="AV759" s="27" t="str">
        <f t="shared" si="319"/>
        <v/>
      </c>
      <c r="AW759" s="27" t="str">
        <f t="shared" si="320"/>
        <v/>
      </c>
      <c r="AX759" s="27" t="str">
        <f t="shared" si="321"/>
        <v/>
      </c>
      <c r="AY759" s="27" t="str">
        <f t="shared" si="322"/>
        <v/>
      </c>
      <c r="AZ759" s="27" t="str">
        <f t="shared" si="323"/>
        <v/>
      </c>
      <c r="BA759" s="27" t="str">
        <f t="shared" si="324"/>
        <v/>
      </c>
      <c r="BB759" s="27" t="str">
        <f t="shared" si="325"/>
        <v/>
      </c>
      <c r="BC759" s="27" t="str">
        <f t="shared" si="326"/>
        <v/>
      </c>
      <c r="BD759" s="27" t="str">
        <f t="shared" si="327"/>
        <v/>
      </c>
      <c r="BE759" s="27" t="str">
        <f t="shared" si="328"/>
        <v/>
      </c>
      <c r="BF759" s="27" t="str">
        <f t="shared" si="329"/>
        <v/>
      </c>
      <c r="BG759" s="27" t="str">
        <f t="shared" si="330"/>
        <v/>
      </c>
      <c r="BH759" s="27" t="str">
        <f t="shared" si="331"/>
        <v/>
      </c>
      <c r="BI759" s="27" t="str">
        <f t="shared" si="332"/>
        <v/>
      </c>
      <c r="BJ759" s="27" t="str">
        <f t="shared" si="333"/>
        <v/>
      </c>
      <c r="BK759" s="27" t="str">
        <f t="shared" si="334"/>
        <v/>
      </c>
      <c r="BL759" s="27" t="str">
        <f t="shared" si="335"/>
        <v/>
      </c>
      <c r="BM759" s="21" t="s">
        <v>5581</v>
      </c>
    </row>
    <row r="760" spans="1:65" ht="15">
      <c r="A760" s="25" t="str">
        <f>IFERROR(INDEX('Hun Demand'!W:W,MATCH(O760,'Hun Demand'!A:A,0)),"")</f>
        <v/>
      </c>
      <c r="B760" s="25" t="str">
        <f>IFERROR(INDEX('Hun Demand'!V:V,MATCH(O760,'Hun Demand'!A:A,0)),"")</f>
        <v/>
      </c>
      <c r="C760" s="25" t="str">
        <f>IFERROR(INDEX('Hun Demand'!U:U,MATCH(O760,'Hun Demand'!A:A,0)),"")</f>
        <v/>
      </c>
      <c r="D760" s="25" t="str">
        <f>IFERROR(INDEX('Hun Demand'!T:T,MATCH(O760,'Hun Demand'!A:A,0)),"")</f>
        <v/>
      </c>
      <c r="E760" s="25" t="str">
        <f>IFERROR(INDEX('Hun Demand'!S:S,MATCH(O760,'Hun Demand'!A:A,0)),"")</f>
        <v/>
      </c>
      <c r="F760" s="25" t="str">
        <f>IFERROR(INDEX('Hun Demand'!R:R,MATCH(O760,'Hun Demand'!A:A,0)),"")</f>
        <v/>
      </c>
      <c r="G760" s="25">
        <f>IFERROR(INDEX('Aub Demand'!W:W,MATCH(O760,'Aub Demand'!A:A,0)),"")</f>
        <v>0</v>
      </c>
      <c r="H760" s="25">
        <f>IFERROR(INDEX('Aub Demand'!V:V,MATCH(O760,'Aub Demand'!A:A,0)),"")</f>
        <v>0</v>
      </c>
      <c r="I760" s="25">
        <f>IFERROR(INDEX('Aub Demand'!U:U,MATCH(O760,'Aub Demand'!A:A,0)),"")</f>
        <v>0</v>
      </c>
      <c r="J760" s="25">
        <f>IFERROR(INDEX('Aub Demand'!T:T,MATCH(O760,'Aub Demand'!A:A,0)),"")</f>
        <v>5</v>
      </c>
      <c r="K760" s="25">
        <f>IFERROR(INDEX('Aub Demand'!S:S,MATCH(O760,'Aub Demand'!A:A,0)),"")</f>
        <v>0</v>
      </c>
      <c r="L760" s="25">
        <f>IFERROR(INDEX('Aub Demand'!R:R,MATCH(O760,'Aub Demand'!A:A,0)),"")</f>
        <v>0</v>
      </c>
      <c r="O760" s="27" t="s">
        <v>1183</v>
      </c>
      <c r="P760" s="27" t="str">
        <f>IFERROR(INDEX('Aub Demand'!B:B,MATCH($O760,'Aub Demand'!$A:$A,0)),"")</f>
        <v>HAROLD</v>
      </c>
      <c r="Q760" s="27" t="str">
        <f>IFERROR(INDEX('Aub Demand'!C:C,MATCH($O760,'Aub Demand'!$A:$A,0)),"")</f>
        <v>INTER</v>
      </c>
      <c r="R760" s="52">
        <f>IFERROR(IF(AR761=AR760,INDEX('Aub Demand'!K:K,MATCH($O760,'Aub Demand'!$A:$A,0))-IF(AN760="",0,AN760)+AP761,INDEX('Aub Demand'!K:K,MATCH($O760,'Aub Demand'!$A:$A,0))-IF(AN760="",0,AN760)),"")</f>
        <v>434</v>
      </c>
      <c r="S760" s="53">
        <f t="shared" si="308"/>
        <v>930</v>
      </c>
      <c r="T760" s="52" t="str">
        <f t="shared" si="309"/>
        <v/>
      </c>
      <c r="U760" s="52">
        <f>IFERROR(IF(AR761=AR760,INDEX('Aub Demand'!Q:Q,MATCH($O760,'Aub Demand'!$A:$A,0))-IF(AN760="",0,AN760)+AP761,INDEX('Aub Demand'!Q:Q,MATCH($O760,'Aub Demand'!$A:$A,0))-IF(AN760="",0,AN760)),"")</f>
        <v>434</v>
      </c>
      <c r="V760" s="53">
        <f t="shared" si="310"/>
        <v>930</v>
      </c>
      <c r="W760" s="52" t="str">
        <f t="shared" si="311"/>
        <v/>
      </c>
      <c r="X760" s="52">
        <f>IFERROR(IF(AND(AR761=AR760,AM760&lt;&gt;""),INDEX('Aub Demand'!Q:Q,MATCH($O760,'Aub Demand'!$A:$A,0))-IF(AN760="",0,AN760)+AP761+AD760+AL760,IF(AR761=AR760,INDEX('Aub Demand'!Q:Q,MATCH($O760,'Aub Demand'!$A:$A,0))-IF(AN760="",0,AN760)+AP761+AD760,IF(AM760&lt;&gt;"",INDEX('Aub Demand'!Q:Q,MATCH($O760,'Aub Demand'!$A:$A,0))-IF(AN760="",0,AN760)+AD760+AL760,INDEX('Aub Demand'!Q:Q,MATCH($O760,'Aub Demand'!$A:$A,0))-IF(AN760="",0,AN760)+AD760))),"")</f>
        <v>434</v>
      </c>
      <c r="Y760" s="53">
        <f t="shared" si="312"/>
        <v>930</v>
      </c>
      <c r="Z760" s="52">
        <f>IF(L760="","",INDEX('Aub Demand'!H:H,MATCH($O760,'Aub Demand'!$A:$A,0)))</f>
        <v>2</v>
      </c>
      <c r="AA760" s="52" t="str">
        <f t="shared" si="313"/>
        <v>-spike-</v>
      </c>
      <c r="AB760" s="52">
        <f>IFERROR(INDEX('Aub Demand'!L:L,MATCH($O760,'Aub Demand'!$A:$A,0)),"")</f>
        <v>0</v>
      </c>
      <c r="AC760" s="52">
        <f>IFERROR(IF(O760="","",SUMIFS('CPL Mats'!F:F,'CPL Mats'!Q:Q,AR760,'CPL Mats'!S:S,AS760)),"")</f>
        <v>0</v>
      </c>
      <c r="AF760" s="25" t="str">
        <f>IF(SUMIFS('Supp Consol'!S:S,'Supp Consol'!Y:Y,"Releasable",'Supp Consol'!A:A,O760)=0,"",SUMIFS('Supp Consol'!S:S,'Supp Consol'!Y:Y,"Releasable",'Supp Consol'!A:A,O760))</f>
        <v/>
      </c>
      <c r="AG760" s="25" t="str">
        <f>IFERROR(INDEX('Hun Demand'!Q:Q,MATCH(O760,'Hun Demand'!A:A,0)),"")</f>
        <v/>
      </c>
      <c r="AH760" s="25" t="str">
        <f>IFERROR(INDEX('Hun Demand'!H:H,MATCH($O760,'Hun Demand'!$A:$A,0)),"")</f>
        <v/>
      </c>
      <c r="AI760" s="25" t="str">
        <f>IF(SUMIFS('Supp Consol'!AA:AA,'Supp Consol'!Z:Z,"Expires this month",'Supp Consol'!A:A,O760)=0,"",SUMIFS('Supp Consol'!AA:AA,'Supp Consol'!Z:Z,"Expires this month",'Supp Consol'!A:A,O760))</f>
        <v/>
      </c>
      <c r="AJ760" s="25" t="str">
        <f>IF(SUMIFS('Supp Consol'!AA:AA,'Supp Consol'!Z:Z,"Expired Previous Months",'Supp Consol'!A:A,O760)=0,"",SUMIFS('Supp Consol'!AA:AA,'Supp Consol'!Z:Z,"Expired Previous Months",'Supp Consol'!A:A,O760))</f>
        <v/>
      </c>
      <c r="AK760" s="25" t="str">
        <f>IFERROR(INDEX('Hun Release Current'!B:B,MATCH(O760,'Hun Release Current'!A:A,0)),"")</f>
        <v/>
      </c>
      <c r="AL760" s="25" t="str">
        <f>IF(SUMIF('Prev Aub'!A:A,O760,'Prev Aub'!B:B)=0,"",SUMIF('Prev Aub'!A:A,O760,'Prev Aub'!B:B))</f>
        <v/>
      </c>
      <c r="AN760" s="25" t="s">
        <v>3790</v>
      </c>
      <c r="AO760" s="25" t="s">
        <v>3790</v>
      </c>
      <c r="AP760" s="25">
        <f t="shared" si="314"/>
        <v>0</v>
      </c>
      <c r="AQ760" s="151" t="str">
        <f>IF(SUMIFS('Supp Consol'!S:S,'Supp Consol'!A:A,O760,'Supp Consol'!I:I,"PENDING")=0,"",SUMIFS('Supp Consol'!S:S,'Supp Consol'!A:A,O760,'Supp Consol'!I:I,"PENDING"))</f>
        <v/>
      </c>
      <c r="AR760" s="27" t="str">
        <f t="shared" si="315"/>
        <v>MG120</v>
      </c>
      <c r="AS760" s="27" t="str">
        <f t="shared" si="316"/>
        <v>50</v>
      </c>
      <c r="AT760" s="27" t="str">
        <f t="shared" si="317"/>
        <v/>
      </c>
      <c r="AU760" s="27" t="str">
        <f t="shared" si="318"/>
        <v/>
      </c>
      <c r="AV760" s="27" t="str">
        <f t="shared" si="319"/>
        <v/>
      </c>
      <c r="AW760" s="27" t="str">
        <f t="shared" si="320"/>
        <v/>
      </c>
      <c r="AX760" s="27" t="str">
        <f t="shared" si="321"/>
        <v/>
      </c>
      <c r="AY760" s="27" t="str">
        <f t="shared" si="322"/>
        <v/>
      </c>
      <c r="AZ760" s="27" t="str">
        <f t="shared" si="323"/>
        <v/>
      </c>
      <c r="BA760" s="27" t="str">
        <f t="shared" si="324"/>
        <v/>
      </c>
      <c r="BB760" s="27" t="str">
        <f t="shared" si="325"/>
        <v/>
      </c>
      <c r="BC760" s="27" t="str">
        <f t="shared" si="326"/>
        <v/>
      </c>
      <c r="BD760" s="27" t="str">
        <f t="shared" si="327"/>
        <v/>
      </c>
      <c r="BE760" s="27" t="str">
        <f t="shared" si="328"/>
        <v/>
      </c>
      <c r="BF760" s="27" t="str">
        <f t="shared" si="329"/>
        <v/>
      </c>
      <c r="BG760" s="27" t="str">
        <f t="shared" si="330"/>
        <v/>
      </c>
      <c r="BH760" s="27" t="str">
        <f t="shared" si="331"/>
        <v/>
      </c>
      <c r="BI760" s="27" t="str">
        <f t="shared" si="332"/>
        <v/>
      </c>
      <c r="BJ760" s="27" t="str">
        <f t="shared" si="333"/>
        <v/>
      </c>
      <c r="BK760" s="27" t="str">
        <f t="shared" si="334"/>
        <v/>
      </c>
      <c r="BL760" s="27" t="str">
        <f t="shared" si="335"/>
        <v/>
      </c>
      <c r="BM760" s="21" t="s">
        <v>5581</v>
      </c>
    </row>
    <row r="761" spans="1:65" ht="15">
      <c r="A761" s="25" t="str">
        <f>IFERROR(INDEX('Hun Demand'!W:W,MATCH(O761,'Hun Demand'!A:A,0)),"")</f>
        <v/>
      </c>
      <c r="B761" s="25" t="str">
        <f>IFERROR(INDEX('Hun Demand'!V:V,MATCH(O761,'Hun Demand'!A:A,0)),"")</f>
        <v/>
      </c>
      <c r="C761" s="25" t="str">
        <f>IFERROR(INDEX('Hun Demand'!U:U,MATCH(O761,'Hun Demand'!A:A,0)),"")</f>
        <v/>
      </c>
      <c r="D761" s="25" t="str">
        <f>IFERROR(INDEX('Hun Demand'!T:T,MATCH(O761,'Hun Demand'!A:A,0)),"")</f>
        <v/>
      </c>
      <c r="E761" s="25" t="str">
        <f>IFERROR(INDEX('Hun Demand'!S:S,MATCH(O761,'Hun Demand'!A:A,0)),"")</f>
        <v/>
      </c>
      <c r="F761" s="25" t="str">
        <f>IFERROR(INDEX('Hun Demand'!R:R,MATCH(O761,'Hun Demand'!A:A,0)),"")</f>
        <v/>
      </c>
      <c r="G761" s="25">
        <f>IFERROR(INDEX('Aub Demand'!W:W,MATCH(O761,'Aub Demand'!A:A,0)),"")</f>
        <v>0</v>
      </c>
      <c r="H761" s="25">
        <f>IFERROR(INDEX('Aub Demand'!V:V,MATCH(O761,'Aub Demand'!A:A,0)),"")</f>
        <v>0</v>
      </c>
      <c r="I761" s="25">
        <f>IFERROR(INDEX('Aub Demand'!U:U,MATCH(O761,'Aub Demand'!A:A,0)),"")</f>
        <v>0</v>
      </c>
      <c r="J761" s="25">
        <f>IFERROR(INDEX('Aub Demand'!T:T,MATCH(O761,'Aub Demand'!A:A,0)),"")</f>
        <v>26</v>
      </c>
      <c r="K761" s="25">
        <f>IFERROR(INDEX('Aub Demand'!S:S,MATCH(O761,'Aub Demand'!A:A,0)),"")</f>
        <v>25</v>
      </c>
      <c r="L761" s="25">
        <f>IFERROR(INDEX('Aub Demand'!R:R,MATCH(O761,'Aub Demand'!A:A,0)),"")</f>
        <v>0</v>
      </c>
      <c r="O761" s="27" t="s">
        <v>1185</v>
      </c>
      <c r="P761" s="27" t="str">
        <f>IFERROR(INDEX('Aub Demand'!B:B,MATCH($O761,'Aub Demand'!$A:$A,0)),"")</f>
        <v>HAROLD</v>
      </c>
      <c r="Q761" s="27" t="str">
        <f>IFERROR(INDEX('Aub Demand'!C:C,MATCH($O761,'Aub Demand'!$A:$A,0)),"")</f>
        <v>INTER</v>
      </c>
      <c r="R761" s="52">
        <f>IFERROR(IF(AR762=AR761,INDEX('Aub Demand'!K:K,MATCH($O761,'Aub Demand'!$A:$A,0))-IF(AN761="",0,AN761)+AP762,INDEX('Aub Demand'!K:K,MATCH($O761,'Aub Demand'!$A:$A,0))-IF(AN761="",0,AN761)),"")</f>
        <v>2113</v>
      </c>
      <c r="S761" s="53">
        <f t="shared" si="308"/>
        <v>532.70000000000005</v>
      </c>
      <c r="T761" s="52" t="str">
        <f t="shared" si="309"/>
        <v/>
      </c>
      <c r="U761" s="52">
        <f>IFERROR(IF(AR762=AR761,INDEX('Aub Demand'!Q:Q,MATCH($O761,'Aub Demand'!$A:$A,0))-IF(AN761="",0,AN761)+AP762,INDEX('Aub Demand'!Q:Q,MATCH($O761,'Aub Demand'!$A:$A,0))-IF(AN761="",0,AN761)),"")</f>
        <v>2113</v>
      </c>
      <c r="V761" s="53">
        <f t="shared" si="310"/>
        <v>532.70000000000005</v>
      </c>
      <c r="W761" s="52" t="str">
        <f t="shared" si="311"/>
        <v/>
      </c>
      <c r="X761" s="52">
        <f>IFERROR(IF(AND(AR762=AR761,AM761&lt;&gt;""),INDEX('Aub Demand'!Q:Q,MATCH($O761,'Aub Demand'!$A:$A,0))-IF(AN761="",0,AN761)+AP762+AD761+AL761,IF(AR762=AR761,INDEX('Aub Demand'!Q:Q,MATCH($O761,'Aub Demand'!$A:$A,0))-IF(AN761="",0,AN761)+AP762+AD761,IF(AM761&lt;&gt;"",INDEX('Aub Demand'!Q:Q,MATCH($O761,'Aub Demand'!$A:$A,0))-IF(AN761="",0,AN761)+AD761+AL761,INDEX('Aub Demand'!Q:Q,MATCH($O761,'Aub Demand'!$A:$A,0))-IF(AN761="",0,AN761)+AD761))),"")</f>
        <v>2113</v>
      </c>
      <c r="Y761" s="53">
        <f t="shared" si="312"/>
        <v>532.70000000000005</v>
      </c>
      <c r="Z761" s="52">
        <f>IF(L761="","",INDEX('Aub Demand'!H:H,MATCH($O761,'Aub Demand'!$A:$A,0)))</f>
        <v>17</v>
      </c>
      <c r="AA761" s="52">
        <f t="shared" si="313"/>
        <v>25.5</v>
      </c>
      <c r="AB761" s="52">
        <f>IFERROR(INDEX('Aub Demand'!L:L,MATCH($O761,'Aub Demand'!$A:$A,0)),"")</f>
        <v>0</v>
      </c>
      <c r="AC761" s="52">
        <f>IFERROR(IF(O761="","",SUMIFS('CPL Mats'!F:F,'CPL Mats'!Q:Q,AR761,'CPL Mats'!S:S,AS761)),"")</f>
        <v>0</v>
      </c>
      <c r="AF761" s="25" t="str">
        <f>IF(SUMIFS('Supp Consol'!S:S,'Supp Consol'!Y:Y,"Releasable",'Supp Consol'!A:A,O761)=0,"",SUMIFS('Supp Consol'!S:S,'Supp Consol'!Y:Y,"Releasable",'Supp Consol'!A:A,O761))</f>
        <v/>
      </c>
      <c r="AG761" s="25" t="str">
        <f>IFERROR(INDEX('Hun Demand'!Q:Q,MATCH(O761,'Hun Demand'!A:A,0)),"")</f>
        <v/>
      </c>
      <c r="AH761" s="25" t="str">
        <f>IFERROR(INDEX('Hun Demand'!H:H,MATCH($O761,'Hun Demand'!$A:$A,0)),"")</f>
        <v/>
      </c>
      <c r="AI761" s="25" t="str">
        <f>IF(SUMIFS('Supp Consol'!AA:AA,'Supp Consol'!Z:Z,"Expires this month",'Supp Consol'!A:A,O761)=0,"",SUMIFS('Supp Consol'!AA:AA,'Supp Consol'!Z:Z,"Expires this month",'Supp Consol'!A:A,O761))</f>
        <v/>
      </c>
      <c r="AJ761" s="25" t="str">
        <f>IF(SUMIFS('Supp Consol'!AA:AA,'Supp Consol'!Z:Z,"Expired Previous Months",'Supp Consol'!A:A,O761)=0,"",SUMIFS('Supp Consol'!AA:AA,'Supp Consol'!Z:Z,"Expired Previous Months",'Supp Consol'!A:A,O761))</f>
        <v/>
      </c>
      <c r="AK761" s="25" t="str">
        <f>IFERROR(INDEX('Hun Release Current'!B:B,MATCH(O761,'Hun Release Current'!A:A,0)),"")</f>
        <v/>
      </c>
      <c r="AL761" s="25" t="str">
        <f>IF(SUMIF('Prev Aub'!A:A,O761,'Prev Aub'!B:B)=0,"",SUMIF('Prev Aub'!A:A,O761,'Prev Aub'!B:B))</f>
        <v/>
      </c>
      <c r="AN761" s="25" t="s">
        <v>3790</v>
      </c>
      <c r="AO761" s="25" t="s">
        <v>3790</v>
      </c>
      <c r="AP761" s="25">
        <f t="shared" si="314"/>
        <v>0</v>
      </c>
      <c r="AQ761" s="151" t="str">
        <f>IF(SUMIFS('Supp Consol'!S:S,'Supp Consol'!A:A,O761,'Supp Consol'!I:I,"PENDING")=0,"",SUMIFS('Supp Consol'!S:S,'Supp Consol'!A:A,O761,'Supp Consol'!I:I,"PENDING"))</f>
        <v/>
      </c>
      <c r="AR761" s="27" t="str">
        <f t="shared" si="315"/>
        <v>MG120</v>
      </c>
      <c r="AS761" s="27" t="str">
        <f t="shared" si="316"/>
        <v>62</v>
      </c>
      <c r="AT761" s="27" t="str">
        <f t="shared" si="317"/>
        <v/>
      </c>
      <c r="AU761" s="27" t="str">
        <f t="shared" si="318"/>
        <v/>
      </c>
      <c r="AV761" s="27" t="str">
        <f t="shared" si="319"/>
        <v/>
      </c>
      <c r="AW761" s="27" t="str">
        <f t="shared" si="320"/>
        <v/>
      </c>
      <c r="AX761" s="27" t="str">
        <f t="shared" si="321"/>
        <v/>
      </c>
      <c r="AY761" s="27" t="str">
        <f t="shared" si="322"/>
        <v/>
      </c>
      <c r="AZ761" s="27" t="str">
        <f t="shared" si="323"/>
        <v/>
      </c>
      <c r="BA761" s="27" t="str">
        <f t="shared" si="324"/>
        <v/>
      </c>
      <c r="BB761" s="27" t="str">
        <f t="shared" si="325"/>
        <v/>
      </c>
      <c r="BC761" s="27" t="str">
        <f t="shared" si="326"/>
        <v/>
      </c>
      <c r="BD761" s="27" t="str">
        <f t="shared" si="327"/>
        <v/>
      </c>
      <c r="BE761" s="27" t="str">
        <f t="shared" si="328"/>
        <v/>
      </c>
      <c r="BF761" s="27" t="str">
        <f t="shared" si="329"/>
        <v/>
      </c>
      <c r="BG761" s="27" t="str">
        <f t="shared" si="330"/>
        <v/>
      </c>
      <c r="BH761" s="27" t="str">
        <f t="shared" si="331"/>
        <v/>
      </c>
      <c r="BI761" s="27" t="str">
        <f t="shared" si="332"/>
        <v/>
      </c>
      <c r="BJ761" s="27" t="str">
        <f t="shared" si="333"/>
        <v/>
      </c>
      <c r="BK761" s="27" t="str">
        <f t="shared" si="334"/>
        <v/>
      </c>
      <c r="BL761" s="27" t="str">
        <f t="shared" si="335"/>
        <v/>
      </c>
      <c r="BM761" s="21" t="s">
        <v>5581</v>
      </c>
    </row>
    <row r="762" spans="1:65" ht="15">
      <c r="A762" s="25" t="str">
        <f>IFERROR(INDEX('Hun Demand'!W:W,MATCH(O762,'Hun Demand'!A:A,0)),"")</f>
        <v/>
      </c>
      <c r="B762" s="25" t="str">
        <f>IFERROR(INDEX('Hun Demand'!V:V,MATCH(O762,'Hun Demand'!A:A,0)),"")</f>
        <v/>
      </c>
      <c r="C762" s="25" t="str">
        <f>IFERROR(INDEX('Hun Demand'!U:U,MATCH(O762,'Hun Demand'!A:A,0)),"")</f>
        <v/>
      </c>
      <c r="D762" s="25" t="str">
        <f>IFERROR(INDEX('Hun Demand'!T:T,MATCH(O762,'Hun Demand'!A:A,0)),"")</f>
        <v/>
      </c>
      <c r="E762" s="25" t="str">
        <f>IFERROR(INDEX('Hun Demand'!S:S,MATCH(O762,'Hun Demand'!A:A,0)),"")</f>
        <v/>
      </c>
      <c r="F762" s="25" t="str">
        <f>IFERROR(INDEX('Hun Demand'!R:R,MATCH(O762,'Hun Demand'!A:A,0)),"")</f>
        <v/>
      </c>
      <c r="G762" s="25">
        <f>IFERROR(INDEX('Aub Demand'!W:W,MATCH(O762,'Aub Demand'!A:A,0)),"")</f>
        <v>26</v>
      </c>
      <c r="H762" s="25">
        <f>IFERROR(INDEX('Aub Demand'!V:V,MATCH(O762,'Aub Demand'!A:A,0)),"")</f>
        <v>0</v>
      </c>
      <c r="I762" s="25">
        <f>IFERROR(INDEX('Aub Demand'!U:U,MATCH(O762,'Aub Demand'!A:A,0)),"")</f>
        <v>0</v>
      </c>
      <c r="J762" s="25">
        <f>IFERROR(INDEX('Aub Demand'!T:T,MATCH(O762,'Aub Demand'!A:A,0)),"")</f>
        <v>0</v>
      </c>
      <c r="K762" s="25">
        <f>IFERROR(INDEX('Aub Demand'!S:S,MATCH(O762,'Aub Demand'!A:A,0)),"")</f>
        <v>0</v>
      </c>
      <c r="L762" s="25">
        <f>IFERROR(INDEX('Aub Demand'!R:R,MATCH(O762,'Aub Demand'!A:A,0)),"")</f>
        <v>0</v>
      </c>
      <c r="O762" s="27" t="s">
        <v>1186</v>
      </c>
      <c r="P762" s="27" t="str">
        <f>IFERROR(INDEX('Aub Demand'!B:B,MATCH($O762,'Aub Demand'!$A:$A,0)),"")</f>
        <v>HUGO GRAY</v>
      </c>
      <c r="Q762" s="27" t="str">
        <f>IFERROR(INDEX('Aub Demand'!C:C,MATCH($O762,'Aub Demand'!$A:$A,0)),"")</f>
        <v>IMPRE</v>
      </c>
      <c r="R762" s="52">
        <f>IFERROR(IF(AR763=AR762,INDEX('Aub Demand'!K:K,MATCH($O762,'Aub Demand'!$A:$A,0))-IF(AN762="",0,AN762)+AP763,INDEX('Aub Demand'!K:K,MATCH($O762,'Aub Demand'!$A:$A,0))-IF(AN762="",0,AN762)),"")</f>
        <v>1375</v>
      </c>
      <c r="S762" s="53" t="str">
        <f t="shared" si="308"/>
        <v>n/a</v>
      </c>
      <c r="T762" s="52" t="str">
        <f t="shared" si="309"/>
        <v/>
      </c>
      <c r="U762" s="52">
        <f>IFERROR(IF(AR763=AR762,INDEX('Aub Demand'!Q:Q,MATCH($O762,'Aub Demand'!$A:$A,0))-IF(AN762="",0,AN762)+AP763,INDEX('Aub Demand'!Q:Q,MATCH($O762,'Aub Demand'!$A:$A,0))-IF(AN762="",0,AN762)),"")</f>
        <v>1375</v>
      </c>
      <c r="V762" s="53" t="str">
        <f t="shared" si="310"/>
        <v>n/a</v>
      </c>
      <c r="W762" s="52" t="str">
        <f t="shared" si="311"/>
        <v/>
      </c>
      <c r="X762" s="52">
        <f>IFERROR(IF(AND(AR763=AR762,AM762&lt;&gt;""),INDEX('Aub Demand'!Q:Q,MATCH($O762,'Aub Demand'!$A:$A,0))-IF(AN762="",0,AN762)+AP763+AD762+AL762,IF(AR763=AR762,INDEX('Aub Demand'!Q:Q,MATCH($O762,'Aub Demand'!$A:$A,0))-IF(AN762="",0,AN762)+AP763+AD762,IF(AM762&lt;&gt;"",INDEX('Aub Demand'!Q:Q,MATCH($O762,'Aub Demand'!$A:$A,0))-IF(AN762="",0,AN762)+AD762+AL762,INDEX('Aub Demand'!Q:Q,MATCH($O762,'Aub Demand'!$A:$A,0))-IF(AN762="",0,AN762)+AD762))),"")</f>
        <v>1375</v>
      </c>
      <c r="Y762" s="53" t="str">
        <f t="shared" si="312"/>
        <v>n/a</v>
      </c>
      <c r="Z762" s="52">
        <f>IF(L762="","",INDEX('Aub Demand'!H:H,MATCH($O762,'Aub Demand'!$A:$A,0)))</f>
        <v>0</v>
      </c>
      <c r="AA762" s="52" t="str">
        <f t="shared" si="313"/>
        <v>-spike-</v>
      </c>
      <c r="AB762" s="52">
        <f>IFERROR(INDEX('Aub Demand'!L:L,MATCH($O762,'Aub Demand'!$A:$A,0)),"")</f>
        <v>6</v>
      </c>
      <c r="AC762" s="52">
        <f>IFERROR(IF(O762="","",SUMIFS('CPL Mats'!F:F,'CPL Mats'!Q:Q,AR762,'CPL Mats'!S:S,AS762)),"")</f>
        <v>0</v>
      </c>
      <c r="AF762" s="25" t="str">
        <f>IF(SUMIFS('Supp Consol'!S:S,'Supp Consol'!Y:Y,"Releasable",'Supp Consol'!A:A,O762)=0,"",SUMIFS('Supp Consol'!S:S,'Supp Consol'!Y:Y,"Releasable",'Supp Consol'!A:A,O762))</f>
        <v/>
      </c>
      <c r="AG762" s="25" t="str">
        <f>IFERROR(INDEX('Hun Demand'!Q:Q,MATCH(O762,'Hun Demand'!A:A,0)),"")</f>
        <v/>
      </c>
      <c r="AH762" s="25" t="str">
        <f>IFERROR(INDEX('Hun Demand'!H:H,MATCH($O762,'Hun Demand'!$A:$A,0)),"")</f>
        <v/>
      </c>
      <c r="AI762" s="25" t="str">
        <f>IF(SUMIFS('Supp Consol'!AA:AA,'Supp Consol'!Z:Z,"Expires this month",'Supp Consol'!A:A,O762)=0,"",SUMIFS('Supp Consol'!AA:AA,'Supp Consol'!Z:Z,"Expires this month",'Supp Consol'!A:A,O762))</f>
        <v/>
      </c>
      <c r="AJ762" s="25" t="str">
        <f>IF(SUMIFS('Supp Consol'!AA:AA,'Supp Consol'!Z:Z,"Expired Previous Months",'Supp Consol'!A:A,O762)=0,"",SUMIFS('Supp Consol'!AA:AA,'Supp Consol'!Z:Z,"Expired Previous Months",'Supp Consol'!A:A,O762))</f>
        <v/>
      </c>
      <c r="AK762" s="25" t="str">
        <f>IFERROR(INDEX('Hun Release Current'!B:B,MATCH(O762,'Hun Release Current'!A:A,0)),"")</f>
        <v/>
      </c>
      <c r="AL762" s="25" t="str">
        <f>IF(SUMIF('Prev Aub'!A:A,O762,'Prev Aub'!B:B)=0,"",SUMIF('Prev Aub'!A:A,O762,'Prev Aub'!B:B))</f>
        <v/>
      </c>
      <c r="AN762" s="25" t="s">
        <v>3790</v>
      </c>
      <c r="AO762" s="25" t="s">
        <v>3790</v>
      </c>
      <c r="AP762" s="25">
        <f t="shared" si="314"/>
        <v>0</v>
      </c>
      <c r="AQ762" s="151" t="str">
        <f>IF(SUMIFS('Supp Consol'!S:S,'Supp Consol'!A:A,O762,'Supp Consol'!I:I,"PENDING")=0,"",SUMIFS('Supp Consol'!S:S,'Supp Consol'!A:A,O762,'Supp Consol'!I:I,"PENDING"))</f>
        <v/>
      </c>
      <c r="AR762" s="27" t="str">
        <f t="shared" si="315"/>
        <v>MG125</v>
      </c>
      <c r="AS762" s="27" t="str">
        <f t="shared" si="316"/>
        <v>62</v>
      </c>
      <c r="AT762" s="27" t="str">
        <f t="shared" si="317"/>
        <v/>
      </c>
      <c r="AU762" s="27" t="str">
        <f t="shared" si="318"/>
        <v/>
      </c>
      <c r="AV762" s="27" t="str">
        <f t="shared" si="319"/>
        <v/>
      </c>
      <c r="AW762" s="27" t="str">
        <f t="shared" si="320"/>
        <v/>
      </c>
      <c r="AX762" s="27" t="str">
        <f t="shared" si="321"/>
        <v/>
      </c>
      <c r="AY762" s="27" t="str">
        <f t="shared" si="322"/>
        <v/>
      </c>
      <c r="AZ762" s="27" t="str">
        <f t="shared" si="323"/>
        <v/>
      </c>
      <c r="BA762" s="27" t="str">
        <f t="shared" si="324"/>
        <v/>
      </c>
      <c r="BB762" s="27" t="str">
        <f t="shared" si="325"/>
        <v/>
      </c>
      <c r="BC762" s="27" t="str">
        <f t="shared" si="326"/>
        <v/>
      </c>
      <c r="BD762" s="27" t="str">
        <f t="shared" si="327"/>
        <v/>
      </c>
      <c r="BE762" s="27" t="str">
        <f t="shared" si="328"/>
        <v/>
      </c>
      <c r="BF762" s="27" t="str">
        <f t="shared" si="329"/>
        <v/>
      </c>
      <c r="BG762" s="27" t="str">
        <f t="shared" si="330"/>
        <v/>
      </c>
      <c r="BH762" s="27" t="str">
        <f t="shared" si="331"/>
        <v/>
      </c>
      <c r="BI762" s="27" t="str">
        <f t="shared" si="332"/>
        <v/>
      </c>
      <c r="BJ762" s="27" t="str">
        <f t="shared" si="333"/>
        <v/>
      </c>
      <c r="BK762" s="27" t="str">
        <f t="shared" si="334"/>
        <v/>
      </c>
      <c r="BL762" s="27" t="str">
        <f t="shared" si="335"/>
        <v/>
      </c>
      <c r="BM762" s="21" t="s">
        <v>5581</v>
      </c>
    </row>
    <row r="763" spans="1:65" ht="15">
      <c r="A763" s="25" t="str">
        <f>IFERROR(INDEX('Hun Demand'!W:W,MATCH(O763,'Hun Demand'!A:A,0)),"")</f>
        <v/>
      </c>
      <c r="B763" s="25" t="str">
        <f>IFERROR(INDEX('Hun Demand'!V:V,MATCH(O763,'Hun Demand'!A:A,0)),"")</f>
        <v/>
      </c>
      <c r="C763" s="25" t="str">
        <f>IFERROR(INDEX('Hun Demand'!U:U,MATCH(O763,'Hun Demand'!A:A,0)),"")</f>
        <v/>
      </c>
      <c r="D763" s="25" t="str">
        <f>IFERROR(INDEX('Hun Demand'!T:T,MATCH(O763,'Hun Demand'!A:A,0)),"")</f>
        <v/>
      </c>
      <c r="E763" s="25" t="str">
        <f>IFERROR(INDEX('Hun Demand'!S:S,MATCH(O763,'Hun Demand'!A:A,0)),"")</f>
        <v/>
      </c>
      <c r="F763" s="25" t="str">
        <f>IFERROR(INDEX('Hun Demand'!R:R,MATCH(O763,'Hun Demand'!A:A,0)),"")</f>
        <v/>
      </c>
      <c r="G763" s="25">
        <f>IFERROR(INDEX('Aub Demand'!W:W,MATCH(O763,'Aub Demand'!A:A,0)),"")</f>
        <v>0</v>
      </c>
      <c r="H763" s="25">
        <f>IFERROR(INDEX('Aub Demand'!V:V,MATCH(O763,'Aub Demand'!A:A,0)),"")</f>
        <v>0</v>
      </c>
      <c r="I763" s="25">
        <f>IFERROR(INDEX('Aub Demand'!U:U,MATCH(O763,'Aub Demand'!A:A,0)),"")</f>
        <v>65</v>
      </c>
      <c r="J763" s="25">
        <f>IFERROR(INDEX('Aub Demand'!T:T,MATCH(O763,'Aub Demand'!A:A,0)),"")</f>
        <v>0</v>
      </c>
      <c r="K763" s="25">
        <f>IFERROR(INDEX('Aub Demand'!S:S,MATCH(O763,'Aub Demand'!A:A,0)),"")</f>
        <v>120</v>
      </c>
      <c r="L763" s="25">
        <f>IFERROR(INDEX('Aub Demand'!R:R,MATCH(O763,'Aub Demand'!A:A,0)),"")</f>
        <v>0</v>
      </c>
      <c r="O763" s="27" t="s">
        <v>1188</v>
      </c>
      <c r="P763" s="27" t="str">
        <f>IFERROR(INDEX('Aub Demand'!B:B,MATCH($O763,'Aub Demand'!$A:$A,0)),"")</f>
        <v>ABRAHAM</v>
      </c>
      <c r="Q763" s="27" t="str">
        <f>IFERROR(INDEX('Aub Demand'!C:C,MATCH($O763,'Aub Demand'!$A:$A,0)),"")</f>
        <v>TOPPA</v>
      </c>
      <c r="R763" s="52">
        <f>IFERROR(IF(AR764=AR763,INDEX('Aub Demand'!K:K,MATCH($O763,'Aub Demand'!$A:$A,0))-IF(AN763="",0,AN763)+AP764,INDEX('Aub Demand'!K:K,MATCH($O763,'Aub Demand'!$A:$A,0))-IF(AN763="",0,AN763)),"")</f>
        <v>60</v>
      </c>
      <c r="S763" s="53">
        <f t="shared" si="308"/>
        <v>4.0999999999999996</v>
      </c>
      <c r="T763" s="52" t="str">
        <f t="shared" si="309"/>
        <v/>
      </c>
      <c r="U763" s="52">
        <f>IFERROR(IF(AR764=AR763,INDEX('Aub Demand'!Q:Q,MATCH($O763,'Aub Demand'!$A:$A,0))-IF(AN763="",0,AN763)+AP764,INDEX('Aub Demand'!Q:Q,MATCH($O763,'Aub Demand'!$A:$A,0))-IF(AN763="",0,AN763)),"")</f>
        <v>55</v>
      </c>
      <c r="V763" s="53">
        <f t="shared" si="310"/>
        <v>3.8</v>
      </c>
      <c r="W763" s="52" t="str">
        <f t="shared" si="311"/>
        <v/>
      </c>
      <c r="X763" s="52">
        <f>IFERROR(IF(AND(AR764=AR763,AM763&lt;&gt;""),INDEX('Aub Demand'!Q:Q,MATCH($O763,'Aub Demand'!$A:$A,0))-IF(AN763="",0,AN763)+AP764+AD763+AL763,IF(AR764=AR763,INDEX('Aub Demand'!Q:Q,MATCH($O763,'Aub Demand'!$A:$A,0))-IF(AN763="",0,AN763)+AP764+AD763,IF(AM763&lt;&gt;"",INDEX('Aub Demand'!Q:Q,MATCH($O763,'Aub Demand'!$A:$A,0))-IF(AN763="",0,AN763)+AD763+AL763,INDEX('Aub Demand'!Q:Q,MATCH($O763,'Aub Demand'!$A:$A,0))-IF(AN763="",0,AN763)+AD763))),"")</f>
        <v>55</v>
      </c>
      <c r="Y763" s="53">
        <f t="shared" si="312"/>
        <v>3.8</v>
      </c>
      <c r="Z763" s="52">
        <f>IF(L763="","",INDEX('Aub Demand'!H:H,MATCH($O763,'Aub Demand'!$A:$A,0)))</f>
        <v>62</v>
      </c>
      <c r="AA763" s="52">
        <f t="shared" si="313"/>
        <v>92.5</v>
      </c>
      <c r="AB763" s="52">
        <f>IFERROR(INDEX('Aub Demand'!L:L,MATCH($O763,'Aub Demand'!$A:$A,0)),"")</f>
        <v>90</v>
      </c>
      <c r="AC763" s="52">
        <f>IFERROR(IF(O763="","",SUMIFS('CPL Mats'!F:F,'CPL Mats'!Q:Q,AR763,'CPL Mats'!S:S,AS763)),"")</f>
        <v>0</v>
      </c>
      <c r="AF763" s="25" t="str">
        <f>IF(SUMIFS('Supp Consol'!S:S,'Supp Consol'!Y:Y,"Releasable",'Supp Consol'!A:A,O763)=0,"",SUMIFS('Supp Consol'!S:S,'Supp Consol'!Y:Y,"Releasable",'Supp Consol'!A:A,O763))</f>
        <v/>
      </c>
      <c r="AG763" s="25" t="str">
        <f>IFERROR(INDEX('Hun Demand'!Q:Q,MATCH(O763,'Hun Demand'!A:A,0)),"")</f>
        <v/>
      </c>
      <c r="AH763" s="25" t="str">
        <f>IFERROR(INDEX('Hun Demand'!H:H,MATCH($O763,'Hun Demand'!$A:$A,0)),"")</f>
        <v/>
      </c>
      <c r="AI763" s="25" t="str">
        <f>IF(SUMIFS('Supp Consol'!AA:AA,'Supp Consol'!Z:Z,"Expires this month",'Supp Consol'!A:A,O763)=0,"",SUMIFS('Supp Consol'!AA:AA,'Supp Consol'!Z:Z,"Expires this month",'Supp Consol'!A:A,O763))</f>
        <v/>
      </c>
      <c r="AJ763" s="25" t="str">
        <f>IF(SUMIFS('Supp Consol'!AA:AA,'Supp Consol'!Z:Z,"Expired Previous Months",'Supp Consol'!A:A,O763)=0,"",SUMIFS('Supp Consol'!AA:AA,'Supp Consol'!Z:Z,"Expired Previous Months",'Supp Consol'!A:A,O763))</f>
        <v/>
      </c>
      <c r="AK763" s="25" t="str">
        <f>IFERROR(INDEX('Hun Release Current'!B:B,MATCH(O763,'Hun Release Current'!A:A,0)),"")</f>
        <v/>
      </c>
      <c r="AL763" s="25" t="str">
        <f>IF(SUMIF('Prev Aub'!A:A,O763,'Prev Aub'!B:B)=0,"",SUMIF('Prev Aub'!A:A,O763,'Prev Aub'!B:B))</f>
        <v/>
      </c>
      <c r="AN763" s="25" t="s">
        <v>3790</v>
      </c>
      <c r="AO763" s="25" t="s">
        <v>3790</v>
      </c>
      <c r="AP763" s="25">
        <f t="shared" si="314"/>
        <v>0</v>
      </c>
      <c r="AQ763" s="151" t="str">
        <f>IF(SUMIFS('Supp Consol'!S:S,'Supp Consol'!A:A,O763,'Supp Consol'!I:I,"PENDING")=0,"",SUMIFS('Supp Consol'!S:S,'Supp Consol'!A:A,O763,'Supp Consol'!I:I,"PENDING"))</f>
        <v/>
      </c>
      <c r="AR763" s="27" t="str">
        <f t="shared" si="315"/>
        <v>MG130</v>
      </c>
      <c r="AS763" s="27" t="str">
        <f t="shared" si="316"/>
        <v>50</v>
      </c>
      <c r="AT763" s="27" t="str">
        <f t="shared" si="317"/>
        <v/>
      </c>
      <c r="AU763" s="27" t="str">
        <f t="shared" si="318"/>
        <v/>
      </c>
      <c r="AV763" s="27" t="str">
        <f t="shared" si="319"/>
        <v/>
      </c>
      <c r="AW763" s="27" t="str">
        <f t="shared" si="320"/>
        <v/>
      </c>
      <c r="AX763" s="27" t="str">
        <f t="shared" si="321"/>
        <v/>
      </c>
      <c r="AY763" s="27" t="str">
        <f t="shared" si="322"/>
        <v/>
      </c>
      <c r="AZ763" s="27" t="str">
        <f t="shared" si="323"/>
        <v>Supp</v>
      </c>
      <c r="BA763" s="27" t="str">
        <f t="shared" si="324"/>
        <v/>
      </c>
      <c r="BB763" s="27" t="str">
        <f t="shared" si="325"/>
        <v/>
      </c>
      <c r="BC763" s="27" t="str">
        <f t="shared" si="326"/>
        <v/>
      </c>
      <c r="BD763" s="27" t="str">
        <f t="shared" si="327"/>
        <v/>
      </c>
      <c r="BE763" s="27" t="str">
        <f t="shared" si="328"/>
        <v/>
      </c>
      <c r="BF763" s="27" t="str">
        <f t="shared" si="329"/>
        <v/>
      </c>
      <c r="BG763" s="27" t="str">
        <f t="shared" si="330"/>
        <v/>
      </c>
      <c r="BH763" s="27" t="str">
        <f t="shared" si="331"/>
        <v/>
      </c>
      <c r="BI763" s="27" t="str">
        <f t="shared" si="332"/>
        <v/>
      </c>
      <c r="BJ763" s="27" t="str">
        <f t="shared" si="333"/>
        <v>Supp or Hun</v>
      </c>
      <c r="BK763" s="27" t="str">
        <f t="shared" si="334"/>
        <v/>
      </c>
      <c r="BL763" s="27" t="str">
        <f t="shared" si="335"/>
        <v/>
      </c>
      <c r="BM763" s="21" t="s">
        <v>5581</v>
      </c>
    </row>
    <row r="764" spans="1:65" ht="15">
      <c r="A764" s="25" t="str">
        <f>IFERROR(INDEX('Hun Demand'!W:W,MATCH(O764,'Hun Demand'!A:A,0)),"")</f>
        <v/>
      </c>
      <c r="B764" s="25" t="str">
        <f>IFERROR(INDEX('Hun Demand'!V:V,MATCH(O764,'Hun Demand'!A:A,0)),"")</f>
        <v/>
      </c>
      <c r="C764" s="25" t="str">
        <f>IFERROR(INDEX('Hun Demand'!U:U,MATCH(O764,'Hun Demand'!A:A,0)),"")</f>
        <v/>
      </c>
      <c r="D764" s="25" t="str">
        <f>IFERROR(INDEX('Hun Demand'!T:T,MATCH(O764,'Hun Demand'!A:A,0)),"")</f>
        <v/>
      </c>
      <c r="E764" s="25" t="str">
        <f>IFERROR(INDEX('Hun Demand'!S:S,MATCH(O764,'Hun Demand'!A:A,0)),"")</f>
        <v/>
      </c>
      <c r="F764" s="25" t="str">
        <f>IFERROR(INDEX('Hun Demand'!R:R,MATCH(O764,'Hun Demand'!A:A,0)),"")</f>
        <v/>
      </c>
      <c r="G764" s="25">
        <f>IFERROR(INDEX('Aub Demand'!W:W,MATCH(O764,'Aub Demand'!A:A,0)),"")</f>
        <v>87</v>
      </c>
      <c r="H764" s="25">
        <f>IFERROR(INDEX('Aub Demand'!V:V,MATCH(O764,'Aub Demand'!A:A,0)),"")</f>
        <v>0</v>
      </c>
      <c r="I764" s="25">
        <f>IFERROR(INDEX('Aub Demand'!U:U,MATCH(O764,'Aub Demand'!A:A,0)),"")</f>
        <v>0</v>
      </c>
      <c r="J764" s="25">
        <f>IFERROR(INDEX('Aub Demand'!T:T,MATCH(O764,'Aub Demand'!A:A,0)),"")</f>
        <v>48</v>
      </c>
      <c r="K764" s="25">
        <f>IFERROR(INDEX('Aub Demand'!S:S,MATCH(O764,'Aub Demand'!A:A,0)),"")</f>
        <v>65</v>
      </c>
      <c r="L764" s="25">
        <f>IFERROR(INDEX('Aub Demand'!R:R,MATCH(O764,'Aub Demand'!A:A,0)),"")</f>
        <v>0</v>
      </c>
      <c r="O764" s="27" t="s">
        <v>1190</v>
      </c>
      <c r="P764" s="27" t="str">
        <f>IFERROR(INDEX('Aub Demand'!B:B,MATCH($O764,'Aub Demand'!$A:$A,0)),"")</f>
        <v>ABRAHAM</v>
      </c>
      <c r="Q764" s="27" t="str">
        <f>IFERROR(INDEX('Aub Demand'!C:C,MATCH($O764,'Aub Demand'!$A:$A,0)),"")</f>
        <v>TOPPA</v>
      </c>
      <c r="R764" s="52">
        <f>IFERROR(IF(AR765=AR764,INDEX('Aub Demand'!K:K,MATCH($O764,'Aub Demand'!$A:$A,0))-IF(AN764="",0,AN764)+AP765,INDEX('Aub Demand'!K:K,MATCH($O764,'Aub Demand'!$A:$A,0))-IF(AN764="",0,AN764)),"")</f>
        <v>446</v>
      </c>
      <c r="S764" s="53">
        <f t="shared" si="308"/>
        <v>50.3</v>
      </c>
      <c r="T764" s="52" t="str">
        <f t="shared" si="309"/>
        <v/>
      </c>
      <c r="U764" s="52">
        <f>IFERROR(IF(AR765=AR764,INDEX('Aub Demand'!Q:Q,MATCH($O764,'Aub Demand'!$A:$A,0))-IF(AN764="",0,AN764)+AP765,INDEX('Aub Demand'!Q:Q,MATCH($O764,'Aub Demand'!$A:$A,0))-IF(AN764="",0,AN764)),"")</f>
        <v>399</v>
      </c>
      <c r="V764" s="53">
        <f t="shared" si="310"/>
        <v>45</v>
      </c>
      <c r="W764" s="52" t="str">
        <f t="shared" si="311"/>
        <v/>
      </c>
      <c r="X764" s="52">
        <f>IFERROR(IF(AND(AR765=AR764,AM764&lt;&gt;""),INDEX('Aub Demand'!Q:Q,MATCH($O764,'Aub Demand'!$A:$A,0))-IF(AN764="",0,AN764)+AP765+AD764+AL764,IF(AR765=AR764,INDEX('Aub Demand'!Q:Q,MATCH($O764,'Aub Demand'!$A:$A,0))-IF(AN764="",0,AN764)+AP765+AD764,IF(AM764&lt;&gt;"",INDEX('Aub Demand'!Q:Q,MATCH($O764,'Aub Demand'!$A:$A,0))-IF(AN764="",0,AN764)+AD764+AL764,INDEX('Aub Demand'!Q:Q,MATCH($O764,'Aub Demand'!$A:$A,0))-IF(AN764="",0,AN764)+AD764))),"")</f>
        <v>399</v>
      </c>
      <c r="Y764" s="53">
        <f t="shared" si="312"/>
        <v>45</v>
      </c>
      <c r="Z764" s="52">
        <f>IF(L764="","",INDEX('Aub Demand'!H:H,MATCH($O764,'Aub Demand'!$A:$A,0)))</f>
        <v>38</v>
      </c>
      <c r="AA764" s="52">
        <f t="shared" si="313"/>
        <v>56.5</v>
      </c>
      <c r="AB764" s="52">
        <f>IFERROR(INDEX('Aub Demand'!L:L,MATCH($O764,'Aub Demand'!$A:$A,0)),"")</f>
        <v>0</v>
      </c>
      <c r="AC764" s="52">
        <f>IFERROR(IF(O764="","",SUMIFS('CPL Mats'!F:F,'CPL Mats'!Q:Q,AR764,'CPL Mats'!S:S,AS764)),"")</f>
        <v>0</v>
      </c>
      <c r="AF764" s="25">
        <f>IF(SUMIFS('Supp Consol'!S:S,'Supp Consol'!Y:Y,"Releasable",'Supp Consol'!A:A,O764)=0,"",SUMIFS('Supp Consol'!S:S,'Supp Consol'!Y:Y,"Releasable",'Supp Consol'!A:A,O764))</f>
        <v>2509</v>
      </c>
      <c r="AG764" s="25" t="str">
        <f>IFERROR(INDEX('Hun Demand'!Q:Q,MATCH(O764,'Hun Demand'!A:A,0)),"")</f>
        <v/>
      </c>
      <c r="AH764" s="25" t="str">
        <f>IFERROR(INDEX('Hun Demand'!H:H,MATCH($O764,'Hun Demand'!$A:$A,0)),"")</f>
        <v/>
      </c>
      <c r="AI764" s="25" t="str">
        <f>IF(SUMIFS('Supp Consol'!AA:AA,'Supp Consol'!Z:Z,"Expires this month",'Supp Consol'!A:A,O764)=0,"",SUMIFS('Supp Consol'!AA:AA,'Supp Consol'!Z:Z,"Expires this month",'Supp Consol'!A:A,O764))</f>
        <v/>
      </c>
      <c r="AJ764" s="25" t="str">
        <f>IF(SUMIFS('Supp Consol'!AA:AA,'Supp Consol'!Z:Z,"Expired Previous Months",'Supp Consol'!A:A,O764)=0,"",SUMIFS('Supp Consol'!AA:AA,'Supp Consol'!Z:Z,"Expired Previous Months",'Supp Consol'!A:A,O764))</f>
        <v/>
      </c>
      <c r="AK764" s="25" t="str">
        <f>IFERROR(INDEX('Hun Release Current'!B:B,MATCH(O764,'Hun Release Current'!A:A,0)),"")</f>
        <v/>
      </c>
      <c r="AL764" s="25" t="str">
        <f>IF(SUMIF('Prev Aub'!A:A,O764,'Prev Aub'!B:B)=0,"",SUMIF('Prev Aub'!A:A,O764,'Prev Aub'!B:B))</f>
        <v/>
      </c>
      <c r="AN764" s="25">
        <v>75</v>
      </c>
      <c r="AO764" s="25"/>
      <c r="AP764" s="25">
        <f t="shared" si="314"/>
        <v>60</v>
      </c>
      <c r="AQ764" s="151" t="str">
        <f>IF(SUMIFS('Supp Consol'!S:S,'Supp Consol'!A:A,O764,'Supp Consol'!I:I,"PENDING")=0,"",SUMIFS('Supp Consol'!S:S,'Supp Consol'!A:A,O764,'Supp Consol'!I:I,"PENDING"))</f>
        <v/>
      </c>
      <c r="AR764" s="27" t="str">
        <f t="shared" si="315"/>
        <v>MG130</v>
      </c>
      <c r="AS764" s="27" t="str">
        <f t="shared" si="316"/>
        <v>62</v>
      </c>
      <c r="AT764" s="27" t="str">
        <f t="shared" si="317"/>
        <v/>
      </c>
      <c r="AU764" s="27" t="str">
        <f t="shared" si="318"/>
        <v/>
      </c>
      <c r="AV764" s="27" t="str">
        <f t="shared" si="319"/>
        <v/>
      </c>
      <c r="AW764" s="27" t="str">
        <f t="shared" si="320"/>
        <v/>
      </c>
      <c r="AX764" s="27" t="str">
        <f t="shared" si="321"/>
        <v>MG130</v>
      </c>
      <c r="AY764" s="27" t="str">
        <f t="shared" si="322"/>
        <v/>
      </c>
      <c r="AZ764" s="27" t="str">
        <f t="shared" si="323"/>
        <v>Supp</v>
      </c>
      <c r="BA764" s="27" t="str">
        <f t="shared" si="324"/>
        <v/>
      </c>
      <c r="BB764" s="27" t="str">
        <f t="shared" si="325"/>
        <v/>
      </c>
      <c r="BC764" s="27" t="str">
        <f t="shared" si="326"/>
        <v/>
      </c>
      <c r="BD764" s="27" t="str">
        <f t="shared" si="327"/>
        <v/>
      </c>
      <c r="BE764" s="27" t="str">
        <f t="shared" si="328"/>
        <v/>
      </c>
      <c r="BF764" s="27" t="str">
        <f t="shared" si="329"/>
        <v/>
      </c>
      <c r="BG764" s="27" t="str">
        <f t="shared" si="330"/>
        <v/>
      </c>
      <c r="BH764" s="27" t="str">
        <f t="shared" si="331"/>
        <v/>
      </c>
      <c r="BI764" s="27" t="str">
        <f t="shared" si="332"/>
        <v/>
      </c>
      <c r="BJ764" s="27" t="str">
        <f t="shared" si="333"/>
        <v>Supp or Hun</v>
      </c>
      <c r="BK764" s="27" t="str">
        <f t="shared" si="334"/>
        <v/>
      </c>
      <c r="BL764" s="27" t="str">
        <f t="shared" si="335"/>
        <v/>
      </c>
      <c r="BM764" s="21" t="s">
        <v>5581</v>
      </c>
    </row>
    <row r="765" spans="1:65" ht="15">
      <c r="A765" s="25" t="str">
        <f>IFERROR(INDEX('Hun Demand'!W:W,MATCH(O765,'Hun Demand'!A:A,0)),"")</f>
        <v/>
      </c>
      <c r="B765" s="25" t="str">
        <f>IFERROR(INDEX('Hun Demand'!V:V,MATCH(O765,'Hun Demand'!A:A,0)),"")</f>
        <v/>
      </c>
      <c r="C765" s="25" t="str">
        <f>IFERROR(INDEX('Hun Demand'!U:U,MATCH(O765,'Hun Demand'!A:A,0)),"")</f>
        <v/>
      </c>
      <c r="D765" s="25" t="str">
        <f>IFERROR(INDEX('Hun Demand'!T:T,MATCH(O765,'Hun Demand'!A:A,0)),"")</f>
        <v/>
      </c>
      <c r="E765" s="25" t="str">
        <f>IFERROR(INDEX('Hun Demand'!S:S,MATCH(O765,'Hun Demand'!A:A,0)),"")</f>
        <v/>
      </c>
      <c r="F765" s="25" t="str">
        <f>IFERROR(INDEX('Hun Demand'!R:R,MATCH(O765,'Hun Demand'!A:A,0)),"")</f>
        <v/>
      </c>
      <c r="G765" s="25">
        <f>IFERROR(INDEX('Aub Demand'!W:W,MATCH(O765,'Aub Demand'!A:A,0)),"")</f>
        <v>0</v>
      </c>
      <c r="H765" s="25">
        <f>IFERROR(INDEX('Aub Demand'!V:V,MATCH(O765,'Aub Demand'!A:A,0)),"")</f>
        <v>14</v>
      </c>
      <c r="I765" s="25">
        <f>IFERROR(INDEX('Aub Demand'!U:U,MATCH(O765,'Aub Demand'!A:A,0)),"")</f>
        <v>0</v>
      </c>
      <c r="J765" s="25">
        <f>IFERROR(INDEX('Aub Demand'!T:T,MATCH(O765,'Aub Demand'!A:A,0)),"")</f>
        <v>0</v>
      </c>
      <c r="K765" s="25">
        <f>IFERROR(INDEX('Aub Demand'!S:S,MATCH(O765,'Aub Demand'!A:A,0)),"")</f>
        <v>0</v>
      </c>
      <c r="L765" s="25">
        <f>IFERROR(INDEX('Aub Demand'!R:R,MATCH(O765,'Aub Demand'!A:A,0)),"")</f>
        <v>0</v>
      </c>
      <c r="O765" s="27" t="s">
        <v>1191</v>
      </c>
      <c r="P765" s="27" t="str">
        <f>IFERROR(INDEX('Aub Demand'!B:B,MATCH($O765,'Aub Demand'!$A:$A,0)),"")</f>
        <v>SEQUOIA MICA</v>
      </c>
      <c r="Q765" s="27" t="str">
        <f>IFERROR(INDEX('Aub Demand'!C:C,MATCH($O765,'Aub Demand'!$A:$A,0)),"")</f>
        <v>IMPRE</v>
      </c>
      <c r="R765" s="52">
        <f>IFERROR(IF(AR766=AR765,INDEX('Aub Demand'!K:K,MATCH($O765,'Aub Demand'!$A:$A,0))-IF(AN765="",0,AN765)+AP766,INDEX('Aub Demand'!K:K,MATCH($O765,'Aub Demand'!$A:$A,0))-IF(AN765="",0,AN765)),"")</f>
        <v>98</v>
      </c>
      <c r="S765" s="53" t="str">
        <f t="shared" si="308"/>
        <v>n/a</v>
      </c>
      <c r="T765" s="52" t="str">
        <f t="shared" si="309"/>
        <v/>
      </c>
      <c r="U765" s="52">
        <f>IFERROR(IF(AR766=AR765,INDEX('Aub Demand'!Q:Q,MATCH($O765,'Aub Demand'!$A:$A,0))-IF(AN765="",0,AN765)+AP766,INDEX('Aub Demand'!Q:Q,MATCH($O765,'Aub Demand'!$A:$A,0))-IF(AN765="",0,AN765)),"")</f>
        <v>98</v>
      </c>
      <c r="V765" s="53" t="str">
        <f t="shared" si="310"/>
        <v>n/a</v>
      </c>
      <c r="W765" s="52" t="str">
        <f t="shared" si="311"/>
        <v/>
      </c>
      <c r="X765" s="52">
        <f>IFERROR(IF(AND(AR766=AR765,AM765&lt;&gt;""),INDEX('Aub Demand'!Q:Q,MATCH($O765,'Aub Demand'!$A:$A,0))-IF(AN765="",0,AN765)+AP766+AD765+AL765,IF(AR766=AR765,INDEX('Aub Demand'!Q:Q,MATCH($O765,'Aub Demand'!$A:$A,0))-IF(AN765="",0,AN765)+AP766+AD765,IF(AM765&lt;&gt;"",INDEX('Aub Demand'!Q:Q,MATCH($O765,'Aub Demand'!$A:$A,0))-IF(AN765="",0,AN765)+AD765+AL765,INDEX('Aub Demand'!Q:Q,MATCH($O765,'Aub Demand'!$A:$A,0))-IF(AN765="",0,AN765)+AD765))),"")</f>
        <v>98</v>
      </c>
      <c r="Y765" s="53" t="str">
        <f t="shared" si="312"/>
        <v>n/a</v>
      </c>
      <c r="Z765" s="52">
        <f>IF(L765="","",INDEX('Aub Demand'!H:H,MATCH($O765,'Aub Demand'!$A:$A,0)))</f>
        <v>0</v>
      </c>
      <c r="AA765" s="52" t="str">
        <f t="shared" si="313"/>
        <v>-spike-</v>
      </c>
      <c r="AB765" s="52">
        <f>IFERROR(INDEX('Aub Demand'!L:L,MATCH($O765,'Aub Demand'!$A:$A,0)),"")</f>
        <v>0</v>
      </c>
      <c r="AC765" s="52">
        <f>IFERROR(IF(O765="","",SUMIFS('CPL Mats'!F:F,'CPL Mats'!Q:Q,AR765,'CPL Mats'!S:S,AS765)),"")</f>
        <v>0</v>
      </c>
      <c r="AF765" s="25" t="str">
        <f>IF(SUMIFS('Supp Consol'!S:S,'Supp Consol'!Y:Y,"Releasable",'Supp Consol'!A:A,O765)=0,"",SUMIFS('Supp Consol'!S:S,'Supp Consol'!Y:Y,"Releasable",'Supp Consol'!A:A,O765))</f>
        <v/>
      </c>
      <c r="AG765" s="25" t="str">
        <f>IFERROR(INDEX('Hun Demand'!Q:Q,MATCH(O765,'Hun Demand'!A:A,0)),"")</f>
        <v/>
      </c>
      <c r="AH765" s="25" t="str">
        <f>IFERROR(INDEX('Hun Demand'!H:H,MATCH($O765,'Hun Demand'!$A:$A,0)),"")</f>
        <v/>
      </c>
      <c r="AI765" s="25" t="str">
        <f>IF(SUMIFS('Supp Consol'!AA:AA,'Supp Consol'!Z:Z,"Expires this month",'Supp Consol'!A:A,O765)=0,"",SUMIFS('Supp Consol'!AA:AA,'Supp Consol'!Z:Z,"Expires this month",'Supp Consol'!A:A,O765))</f>
        <v/>
      </c>
      <c r="AJ765" s="25" t="str">
        <f>IF(SUMIFS('Supp Consol'!AA:AA,'Supp Consol'!Z:Z,"Expired Previous Months",'Supp Consol'!A:A,O765)=0,"",SUMIFS('Supp Consol'!AA:AA,'Supp Consol'!Z:Z,"Expired Previous Months",'Supp Consol'!A:A,O765))</f>
        <v/>
      </c>
      <c r="AK765" s="25" t="str">
        <f>IFERROR(INDEX('Hun Release Current'!B:B,MATCH(O765,'Hun Release Current'!A:A,0)),"")</f>
        <v/>
      </c>
      <c r="AL765" s="25" t="str">
        <f>IF(SUMIF('Prev Aub'!A:A,O765,'Prev Aub'!B:B)=0,"",SUMIF('Prev Aub'!A:A,O765,'Prev Aub'!B:B))</f>
        <v/>
      </c>
      <c r="AN765" s="25" t="s">
        <v>3790</v>
      </c>
      <c r="AO765" s="25" t="s">
        <v>3790</v>
      </c>
      <c r="AP765" s="25">
        <f t="shared" si="314"/>
        <v>0</v>
      </c>
      <c r="AQ765" s="151" t="str">
        <f>IF(SUMIFS('Supp Consol'!S:S,'Supp Consol'!A:A,O765,'Supp Consol'!I:I,"PENDING")=0,"",SUMIFS('Supp Consol'!S:S,'Supp Consol'!A:A,O765,'Supp Consol'!I:I,"PENDING"))</f>
        <v/>
      </c>
      <c r="AR765" s="27" t="str">
        <f t="shared" si="315"/>
        <v>MG135</v>
      </c>
      <c r="AS765" s="27" t="str">
        <f t="shared" si="316"/>
        <v>50</v>
      </c>
      <c r="AT765" s="27" t="str">
        <f t="shared" si="317"/>
        <v/>
      </c>
      <c r="AU765" s="27" t="str">
        <f t="shared" si="318"/>
        <v/>
      </c>
      <c r="AV765" s="27" t="str">
        <f t="shared" si="319"/>
        <v/>
      </c>
      <c r="AW765" s="27" t="str">
        <f t="shared" si="320"/>
        <v/>
      </c>
      <c r="AX765" s="27" t="str">
        <f t="shared" si="321"/>
        <v/>
      </c>
      <c r="AY765" s="27" t="str">
        <f t="shared" si="322"/>
        <v/>
      </c>
      <c r="AZ765" s="27" t="str">
        <f t="shared" si="323"/>
        <v>Supp</v>
      </c>
      <c r="BA765" s="27" t="str">
        <f t="shared" si="324"/>
        <v/>
      </c>
      <c r="BB765" s="27" t="str">
        <f t="shared" si="325"/>
        <v/>
      </c>
      <c r="BC765" s="27" t="str">
        <f t="shared" si="326"/>
        <v/>
      </c>
      <c r="BD765" s="27" t="str">
        <f t="shared" si="327"/>
        <v/>
      </c>
      <c r="BE765" s="27" t="str">
        <f t="shared" si="328"/>
        <v/>
      </c>
      <c r="BF765" s="27" t="str">
        <f t="shared" si="329"/>
        <v/>
      </c>
      <c r="BG765" s="27" t="str">
        <f t="shared" si="330"/>
        <v/>
      </c>
      <c r="BH765" s="27" t="str">
        <f t="shared" si="331"/>
        <v/>
      </c>
      <c r="BI765" s="27" t="str">
        <f t="shared" si="332"/>
        <v/>
      </c>
      <c r="BJ765" s="27" t="str">
        <f t="shared" si="333"/>
        <v>Supp or Hun</v>
      </c>
      <c r="BK765" s="27" t="str">
        <f t="shared" si="334"/>
        <v/>
      </c>
      <c r="BL765" s="27" t="str">
        <f t="shared" si="335"/>
        <v/>
      </c>
      <c r="BM765" s="21" t="s">
        <v>5581</v>
      </c>
    </row>
    <row r="766" spans="1:65" ht="15">
      <c r="A766" s="25" t="str">
        <f>IFERROR(INDEX('Hun Demand'!W:W,MATCH(O766,'Hun Demand'!A:A,0)),"")</f>
        <v/>
      </c>
      <c r="B766" s="25" t="str">
        <f>IFERROR(INDEX('Hun Demand'!V:V,MATCH(O766,'Hun Demand'!A:A,0)),"")</f>
        <v/>
      </c>
      <c r="C766" s="25" t="str">
        <f>IFERROR(INDEX('Hun Demand'!U:U,MATCH(O766,'Hun Demand'!A:A,0)),"")</f>
        <v/>
      </c>
      <c r="D766" s="25" t="str">
        <f>IFERROR(INDEX('Hun Demand'!T:T,MATCH(O766,'Hun Demand'!A:A,0)),"")</f>
        <v/>
      </c>
      <c r="E766" s="25" t="str">
        <f>IFERROR(INDEX('Hun Demand'!S:S,MATCH(O766,'Hun Demand'!A:A,0)),"")</f>
        <v/>
      </c>
      <c r="F766" s="25" t="str">
        <f>IFERROR(INDEX('Hun Demand'!R:R,MATCH(O766,'Hun Demand'!A:A,0)),"")</f>
        <v/>
      </c>
      <c r="G766" s="25">
        <f>IFERROR(INDEX('Aub Demand'!W:W,MATCH(O766,'Aub Demand'!A:A,0)),"")</f>
        <v>28</v>
      </c>
      <c r="H766" s="25">
        <f>IFERROR(INDEX('Aub Demand'!V:V,MATCH(O766,'Aub Demand'!A:A,0)),"")</f>
        <v>0</v>
      </c>
      <c r="I766" s="25">
        <f>IFERROR(INDEX('Aub Demand'!U:U,MATCH(O766,'Aub Demand'!A:A,0)),"")</f>
        <v>0</v>
      </c>
      <c r="J766" s="25">
        <f>IFERROR(INDEX('Aub Demand'!T:T,MATCH(O766,'Aub Demand'!A:A,0)),"")</f>
        <v>24</v>
      </c>
      <c r="K766" s="25">
        <f>IFERROR(INDEX('Aub Demand'!S:S,MATCH(O766,'Aub Demand'!A:A,0)),"")</f>
        <v>0</v>
      </c>
      <c r="L766" s="25">
        <f>IFERROR(INDEX('Aub Demand'!R:R,MATCH(O766,'Aub Demand'!A:A,0)),"")</f>
        <v>0</v>
      </c>
      <c r="O766" s="27" t="s">
        <v>1193</v>
      </c>
      <c r="P766" s="27" t="str">
        <f>IFERROR(INDEX('Aub Demand'!B:B,MATCH($O766,'Aub Demand'!$A:$A,0)),"")</f>
        <v>SEQUOIA MICA</v>
      </c>
      <c r="Q766" s="27" t="str">
        <f>IFERROR(INDEX('Aub Demand'!C:C,MATCH($O766,'Aub Demand'!$A:$A,0)),"")</f>
        <v>IMPRE</v>
      </c>
      <c r="R766" s="52">
        <f>IFERROR(IF(AR767=AR766,INDEX('Aub Demand'!K:K,MATCH($O766,'Aub Demand'!$A:$A,0))-IF(AN766="",0,AN766)+AP767,INDEX('Aub Demand'!K:K,MATCH($O766,'Aub Demand'!$A:$A,0))-IF(AN766="",0,AN766)),"")</f>
        <v>980</v>
      </c>
      <c r="S766" s="53">
        <f t="shared" si="308"/>
        <v>525</v>
      </c>
      <c r="T766" s="52" t="str">
        <f t="shared" si="309"/>
        <v/>
      </c>
      <c r="U766" s="52">
        <f>IFERROR(IF(AR767=AR766,INDEX('Aub Demand'!Q:Q,MATCH($O766,'Aub Demand'!$A:$A,0))-IF(AN766="",0,AN766)+AP767,INDEX('Aub Demand'!Q:Q,MATCH($O766,'Aub Demand'!$A:$A,0))-IF(AN766="",0,AN766)),"")</f>
        <v>980</v>
      </c>
      <c r="V766" s="53">
        <f t="shared" si="310"/>
        <v>525</v>
      </c>
      <c r="W766" s="52" t="str">
        <f t="shared" si="311"/>
        <v/>
      </c>
      <c r="X766" s="52">
        <f>IFERROR(IF(AND(AR767=AR766,AM766&lt;&gt;""),INDEX('Aub Demand'!Q:Q,MATCH($O766,'Aub Demand'!$A:$A,0))-IF(AN766="",0,AN766)+AP767+AD766+AL766,IF(AR767=AR766,INDEX('Aub Demand'!Q:Q,MATCH($O766,'Aub Demand'!$A:$A,0))-IF(AN766="",0,AN766)+AP767+AD766,IF(AM766&lt;&gt;"",INDEX('Aub Demand'!Q:Q,MATCH($O766,'Aub Demand'!$A:$A,0))-IF(AN766="",0,AN766)+AD766+AL766,INDEX('Aub Demand'!Q:Q,MATCH($O766,'Aub Demand'!$A:$A,0))-IF(AN766="",0,AN766)+AD766))),"")</f>
        <v>980</v>
      </c>
      <c r="Y766" s="53">
        <f t="shared" si="312"/>
        <v>525</v>
      </c>
      <c r="Z766" s="52">
        <f>IF(L766="","",INDEX('Aub Demand'!H:H,MATCH($O766,'Aub Demand'!$A:$A,0)))</f>
        <v>8</v>
      </c>
      <c r="AA766" s="52" t="str">
        <f t="shared" si="313"/>
        <v>-spike-</v>
      </c>
      <c r="AB766" s="52">
        <f>IFERROR(INDEX('Aub Demand'!L:L,MATCH($O766,'Aub Demand'!$A:$A,0)),"")</f>
        <v>0</v>
      </c>
      <c r="AC766" s="52">
        <f>IFERROR(IF(O766="","",SUMIFS('CPL Mats'!F:F,'CPL Mats'!Q:Q,AR766,'CPL Mats'!S:S,AS766)),"")</f>
        <v>0</v>
      </c>
      <c r="AF766" s="25">
        <f>IF(SUMIFS('Supp Consol'!S:S,'Supp Consol'!Y:Y,"Releasable",'Supp Consol'!A:A,O766)=0,"",SUMIFS('Supp Consol'!S:S,'Supp Consol'!Y:Y,"Releasable",'Supp Consol'!A:A,O766))</f>
        <v>3168</v>
      </c>
      <c r="AG766" s="25" t="str">
        <f>IFERROR(INDEX('Hun Demand'!Q:Q,MATCH(O766,'Hun Demand'!A:A,0)),"")</f>
        <v/>
      </c>
      <c r="AH766" s="25" t="str">
        <f>IFERROR(INDEX('Hun Demand'!H:H,MATCH($O766,'Hun Demand'!$A:$A,0)),"")</f>
        <v/>
      </c>
      <c r="AI766" s="25" t="str">
        <f>IF(SUMIFS('Supp Consol'!AA:AA,'Supp Consol'!Z:Z,"Expires this month",'Supp Consol'!A:A,O766)=0,"",SUMIFS('Supp Consol'!AA:AA,'Supp Consol'!Z:Z,"Expires this month",'Supp Consol'!A:A,O766))</f>
        <v/>
      </c>
      <c r="AJ766" s="25" t="str">
        <f>IF(SUMIFS('Supp Consol'!AA:AA,'Supp Consol'!Z:Z,"Expired Previous Months",'Supp Consol'!A:A,O766)=0,"",SUMIFS('Supp Consol'!AA:AA,'Supp Consol'!Z:Z,"Expired Previous Months",'Supp Consol'!A:A,O766))</f>
        <v/>
      </c>
      <c r="AK766" s="25" t="str">
        <f>IFERROR(INDEX('Hun Release Current'!B:B,MATCH(O766,'Hun Release Current'!A:A,0)),"")</f>
        <v/>
      </c>
      <c r="AL766" s="25" t="str">
        <f>IF(SUMIF('Prev Aub'!A:A,O766,'Prev Aub'!B:B)=0,"",SUMIF('Prev Aub'!A:A,O766,'Prev Aub'!B:B))</f>
        <v/>
      </c>
      <c r="AN766" s="25" t="s">
        <v>3790</v>
      </c>
      <c r="AO766" s="25" t="s">
        <v>3790</v>
      </c>
      <c r="AP766" s="25">
        <f t="shared" si="314"/>
        <v>0</v>
      </c>
      <c r="AQ766" s="151" t="str">
        <f>IF(SUMIFS('Supp Consol'!S:S,'Supp Consol'!A:A,O766,'Supp Consol'!I:I,"PENDING")=0,"",SUMIFS('Supp Consol'!S:S,'Supp Consol'!A:A,O766,'Supp Consol'!I:I,"PENDING"))</f>
        <v/>
      </c>
      <c r="AR766" s="27" t="str">
        <f t="shared" si="315"/>
        <v>MG135</v>
      </c>
      <c r="AS766" s="27" t="str">
        <f t="shared" si="316"/>
        <v>62</v>
      </c>
      <c r="AT766" s="27" t="str">
        <f t="shared" si="317"/>
        <v/>
      </c>
      <c r="AU766" s="27" t="str">
        <f t="shared" si="318"/>
        <v/>
      </c>
      <c r="AV766" s="27" t="str">
        <f t="shared" si="319"/>
        <v/>
      </c>
      <c r="AW766" s="27" t="str">
        <f t="shared" si="320"/>
        <v/>
      </c>
      <c r="AX766" s="27" t="str">
        <f t="shared" si="321"/>
        <v>MG135</v>
      </c>
      <c r="AY766" s="27" t="str">
        <f t="shared" si="322"/>
        <v/>
      </c>
      <c r="AZ766" s="27" t="str">
        <f t="shared" si="323"/>
        <v>Supp</v>
      </c>
      <c r="BA766" s="27" t="str">
        <f t="shared" si="324"/>
        <v/>
      </c>
      <c r="BB766" s="27" t="str">
        <f t="shared" si="325"/>
        <v/>
      </c>
      <c r="BC766" s="27" t="str">
        <f t="shared" si="326"/>
        <v/>
      </c>
      <c r="BD766" s="27" t="str">
        <f t="shared" si="327"/>
        <v/>
      </c>
      <c r="BE766" s="27" t="str">
        <f t="shared" si="328"/>
        <v/>
      </c>
      <c r="BF766" s="27" t="str">
        <f t="shared" si="329"/>
        <v/>
      </c>
      <c r="BG766" s="27" t="str">
        <f t="shared" si="330"/>
        <v/>
      </c>
      <c r="BH766" s="27" t="str">
        <f t="shared" si="331"/>
        <v/>
      </c>
      <c r="BI766" s="27" t="str">
        <f t="shared" si="332"/>
        <v/>
      </c>
      <c r="BJ766" s="27" t="str">
        <f t="shared" si="333"/>
        <v>Supp or Hun</v>
      </c>
      <c r="BK766" s="27" t="str">
        <f t="shared" si="334"/>
        <v/>
      </c>
      <c r="BL766" s="27" t="str">
        <f t="shared" si="335"/>
        <v/>
      </c>
      <c r="BM766" s="21" t="s">
        <v>5581</v>
      </c>
    </row>
    <row r="767" spans="1:65" ht="15">
      <c r="A767" s="25" t="str">
        <f>IFERROR(INDEX('Hun Demand'!W:W,MATCH(O767,'Hun Demand'!A:A,0)),"")</f>
        <v/>
      </c>
      <c r="B767" s="25" t="str">
        <f>IFERROR(INDEX('Hun Demand'!V:V,MATCH(O767,'Hun Demand'!A:A,0)),"")</f>
        <v/>
      </c>
      <c r="C767" s="25" t="str">
        <f>IFERROR(INDEX('Hun Demand'!U:U,MATCH(O767,'Hun Demand'!A:A,0)),"")</f>
        <v/>
      </c>
      <c r="D767" s="25" t="str">
        <f>IFERROR(INDEX('Hun Demand'!T:T,MATCH(O767,'Hun Demand'!A:A,0)),"")</f>
        <v/>
      </c>
      <c r="E767" s="25" t="str">
        <f>IFERROR(INDEX('Hun Demand'!S:S,MATCH(O767,'Hun Demand'!A:A,0)),"")</f>
        <v/>
      </c>
      <c r="F767" s="25" t="str">
        <f>IFERROR(INDEX('Hun Demand'!R:R,MATCH(O767,'Hun Demand'!A:A,0)),"")</f>
        <v/>
      </c>
      <c r="G767" s="25">
        <f>IFERROR(INDEX('Aub Demand'!W:W,MATCH(O767,'Aub Demand'!A:A,0)),"")</f>
        <v>0</v>
      </c>
      <c r="H767" s="25">
        <f>IFERROR(INDEX('Aub Demand'!V:V,MATCH(O767,'Aub Demand'!A:A,0)),"")</f>
        <v>0</v>
      </c>
      <c r="I767" s="25">
        <f>IFERROR(INDEX('Aub Demand'!U:U,MATCH(O767,'Aub Demand'!A:A,0)),"")</f>
        <v>12</v>
      </c>
      <c r="J767" s="25">
        <f>IFERROR(INDEX('Aub Demand'!T:T,MATCH(O767,'Aub Demand'!A:A,0)),"")</f>
        <v>0</v>
      </c>
      <c r="K767" s="25">
        <f>IFERROR(INDEX('Aub Demand'!S:S,MATCH(O767,'Aub Demand'!A:A,0)),"")</f>
        <v>39</v>
      </c>
      <c r="L767" s="25">
        <f>IFERROR(INDEX('Aub Demand'!R:R,MATCH(O767,'Aub Demand'!A:A,0)),"")</f>
        <v>0</v>
      </c>
      <c r="O767" s="27" t="s">
        <v>1194</v>
      </c>
      <c r="P767" s="27" t="str">
        <f>IFERROR(INDEX('Aub Demand'!B:B,MATCH($O767,'Aub Demand'!$A:$A,0)),"")</f>
        <v>SLATE IMPERIALE MARB</v>
      </c>
      <c r="Q767" s="27" t="str">
        <f>IFERROR(INDEX('Aub Demand'!C:C,MATCH($O767,'Aub Demand'!$A:$A,0)),"")</f>
        <v>IMPRE</v>
      </c>
      <c r="R767" s="52">
        <f>IFERROR(IF(AR768=AR767,INDEX('Aub Demand'!K:K,MATCH($O767,'Aub Demand'!$A:$A,0))-IF(AN767="",0,AN767)+AP768,INDEX('Aub Demand'!K:K,MATCH($O767,'Aub Demand'!$A:$A,0))-IF(AN767="",0,AN767)),"")</f>
        <v>522</v>
      </c>
      <c r="S767" s="53">
        <f t="shared" si="308"/>
        <v>131.6</v>
      </c>
      <c r="T767" s="52" t="str">
        <f t="shared" si="309"/>
        <v/>
      </c>
      <c r="U767" s="52">
        <f>IFERROR(IF(AR768=AR767,INDEX('Aub Demand'!Q:Q,MATCH($O767,'Aub Demand'!$A:$A,0))-IF(AN767="",0,AN767)+AP768,INDEX('Aub Demand'!Q:Q,MATCH($O767,'Aub Demand'!$A:$A,0))-IF(AN767="",0,AN767)),"")</f>
        <v>522</v>
      </c>
      <c r="V767" s="53">
        <f t="shared" si="310"/>
        <v>131.6</v>
      </c>
      <c r="W767" s="52" t="str">
        <f t="shared" si="311"/>
        <v/>
      </c>
      <c r="X767" s="52">
        <f>IFERROR(IF(AND(AR768=AR767,AM767&lt;&gt;""),INDEX('Aub Demand'!Q:Q,MATCH($O767,'Aub Demand'!$A:$A,0))-IF(AN767="",0,AN767)+AP768+AD767+AL767,IF(AR768=AR767,INDEX('Aub Demand'!Q:Q,MATCH($O767,'Aub Demand'!$A:$A,0))-IF(AN767="",0,AN767)+AP768+AD767,IF(AM767&lt;&gt;"",INDEX('Aub Demand'!Q:Q,MATCH($O767,'Aub Demand'!$A:$A,0))-IF(AN767="",0,AN767)+AD767+AL767,INDEX('Aub Demand'!Q:Q,MATCH($O767,'Aub Demand'!$A:$A,0))-IF(AN767="",0,AN767)+AD767))),"")</f>
        <v>522</v>
      </c>
      <c r="Y767" s="53">
        <f t="shared" si="312"/>
        <v>131.6</v>
      </c>
      <c r="Z767" s="52">
        <f>IF(L767="","",INDEX('Aub Demand'!H:H,MATCH($O767,'Aub Demand'!$A:$A,0)))</f>
        <v>17</v>
      </c>
      <c r="AA767" s="52">
        <f t="shared" si="313"/>
        <v>25.5</v>
      </c>
      <c r="AB767" s="52">
        <f>IFERROR(INDEX('Aub Demand'!L:L,MATCH($O767,'Aub Demand'!$A:$A,0)),"")</f>
        <v>12</v>
      </c>
      <c r="AC767" s="52">
        <f>IFERROR(IF(O767="","",SUMIFS('CPL Mats'!F:F,'CPL Mats'!Q:Q,AR767,'CPL Mats'!S:S,AS767)),"")</f>
        <v>0</v>
      </c>
      <c r="AF767" s="25" t="str">
        <f>IF(SUMIFS('Supp Consol'!S:S,'Supp Consol'!Y:Y,"Releasable",'Supp Consol'!A:A,O767)=0,"",SUMIFS('Supp Consol'!S:S,'Supp Consol'!Y:Y,"Releasable",'Supp Consol'!A:A,O767))</f>
        <v/>
      </c>
      <c r="AG767" s="25" t="str">
        <f>IFERROR(INDEX('Hun Demand'!Q:Q,MATCH(O767,'Hun Demand'!A:A,0)),"")</f>
        <v/>
      </c>
      <c r="AH767" s="25" t="str">
        <f>IFERROR(INDEX('Hun Demand'!H:H,MATCH($O767,'Hun Demand'!$A:$A,0)),"")</f>
        <v/>
      </c>
      <c r="AI767" s="25" t="str">
        <f>IF(SUMIFS('Supp Consol'!AA:AA,'Supp Consol'!Z:Z,"Expires this month",'Supp Consol'!A:A,O767)=0,"",SUMIFS('Supp Consol'!AA:AA,'Supp Consol'!Z:Z,"Expires this month",'Supp Consol'!A:A,O767))</f>
        <v/>
      </c>
      <c r="AJ767" s="25" t="str">
        <f>IF(SUMIFS('Supp Consol'!AA:AA,'Supp Consol'!Z:Z,"Expired Previous Months",'Supp Consol'!A:A,O767)=0,"",SUMIFS('Supp Consol'!AA:AA,'Supp Consol'!Z:Z,"Expired Previous Months",'Supp Consol'!A:A,O767))</f>
        <v/>
      </c>
      <c r="AK767" s="25" t="str">
        <f>IFERROR(INDEX('Hun Release Current'!B:B,MATCH(O767,'Hun Release Current'!A:A,0)),"")</f>
        <v/>
      </c>
      <c r="AL767" s="25" t="str">
        <f>IF(SUMIF('Prev Aub'!A:A,O767,'Prev Aub'!B:B)=0,"",SUMIF('Prev Aub'!A:A,O767,'Prev Aub'!B:B))</f>
        <v/>
      </c>
      <c r="AN767" s="25" t="s">
        <v>3790</v>
      </c>
      <c r="AO767" s="25" t="s">
        <v>3790</v>
      </c>
      <c r="AP767" s="25">
        <f t="shared" si="314"/>
        <v>0</v>
      </c>
      <c r="AQ767" s="151" t="str">
        <f>IF(SUMIFS('Supp Consol'!S:S,'Supp Consol'!A:A,O767,'Supp Consol'!I:I,"PENDING")=0,"",SUMIFS('Supp Consol'!S:S,'Supp Consol'!A:A,O767,'Supp Consol'!I:I,"PENDING"))</f>
        <v/>
      </c>
      <c r="AR767" s="27" t="str">
        <f t="shared" si="315"/>
        <v>MG145</v>
      </c>
      <c r="AS767" s="27" t="str">
        <f t="shared" si="316"/>
        <v>50</v>
      </c>
      <c r="AT767" s="27" t="str">
        <f t="shared" si="317"/>
        <v/>
      </c>
      <c r="AU767" s="27" t="str">
        <f t="shared" si="318"/>
        <v/>
      </c>
      <c r="AV767" s="27" t="str">
        <f t="shared" si="319"/>
        <v/>
      </c>
      <c r="AW767" s="27" t="str">
        <f t="shared" si="320"/>
        <v/>
      </c>
      <c r="AX767" s="27" t="str">
        <f t="shared" si="321"/>
        <v/>
      </c>
      <c r="AY767" s="27" t="str">
        <f t="shared" si="322"/>
        <v/>
      </c>
      <c r="AZ767" s="27" t="str">
        <f t="shared" si="323"/>
        <v/>
      </c>
      <c r="BA767" s="27" t="str">
        <f t="shared" si="324"/>
        <v/>
      </c>
      <c r="BB767" s="27" t="str">
        <f t="shared" si="325"/>
        <v/>
      </c>
      <c r="BC767" s="27" t="str">
        <f t="shared" si="326"/>
        <v/>
      </c>
      <c r="BD767" s="27" t="str">
        <f t="shared" si="327"/>
        <v/>
      </c>
      <c r="BE767" s="27" t="str">
        <f t="shared" si="328"/>
        <v/>
      </c>
      <c r="BF767" s="27" t="str">
        <f t="shared" si="329"/>
        <v/>
      </c>
      <c r="BG767" s="27" t="str">
        <f t="shared" si="330"/>
        <v/>
      </c>
      <c r="BH767" s="27" t="str">
        <f t="shared" si="331"/>
        <v/>
      </c>
      <c r="BI767" s="27" t="str">
        <f t="shared" si="332"/>
        <v/>
      </c>
      <c r="BJ767" s="27" t="str">
        <f t="shared" si="333"/>
        <v/>
      </c>
      <c r="BK767" s="27" t="str">
        <f t="shared" si="334"/>
        <v/>
      </c>
      <c r="BL767" s="27" t="str">
        <f t="shared" si="335"/>
        <v/>
      </c>
      <c r="BM767" s="21" t="s">
        <v>5581</v>
      </c>
    </row>
    <row r="768" spans="1:65" ht="15">
      <c r="A768" s="25" t="str">
        <f>IFERROR(INDEX('Hun Demand'!W:W,MATCH(O768,'Hun Demand'!A:A,0)),"")</f>
        <v/>
      </c>
      <c r="B768" s="25" t="str">
        <f>IFERROR(INDEX('Hun Demand'!V:V,MATCH(O768,'Hun Demand'!A:A,0)),"")</f>
        <v/>
      </c>
      <c r="C768" s="25" t="str">
        <f>IFERROR(INDEX('Hun Demand'!U:U,MATCH(O768,'Hun Demand'!A:A,0)),"")</f>
        <v/>
      </c>
      <c r="D768" s="25" t="str">
        <f>IFERROR(INDEX('Hun Demand'!T:T,MATCH(O768,'Hun Demand'!A:A,0)),"")</f>
        <v/>
      </c>
      <c r="E768" s="25" t="str">
        <f>IFERROR(INDEX('Hun Demand'!S:S,MATCH(O768,'Hun Demand'!A:A,0)),"")</f>
        <v/>
      </c>
      <c r="F768" s="25" t="str">
        <f>IFERROR(INDEX('Hun Demand'!R:R,MATCH(O768,'Hun Demand'!A:A,0)),"")</f>
        <v/>
      </c>
      <c r="G768" s="25">
        <f>IFERROR(INDEX('Aub Demand'!W:W,MATCH(O768,'Aub Demand'!A:A,0)),"")</f>
        <v>196</v>
      </c>
      <c r="H768" s="25">
        <f>IFERROR(INDEX('Aub Demand'!V:V,MATCH(O768,'Aub Demand'!A:A,0)),"")</f>
        <v>0</v>
      </c>
      <c r="I768" s="25">
        <f>IFERROR(INDEX('Aub Demand'!U:U,MATCH(O768,'Aub Demand'!A:A,0)),"")</f>
        <v>0</v>
      </c>
      <c r="J768" s="25">
        <f>IFERROR(INDEX('Aub Demand'!T:T,MATCH(O768,'Aub Demand'!A:A,0)),"")</f>
        <v>48</v>
      </c>
      <c r="K768" s="25">
        <f>IFERROR(INDEX('Aub Demand'!S:S,MATCH(O768,'Aub Demand'!A:A,0)),"")</f>
        <v>17</v>
      </c>
      <c r="L768" s="25">
        <f>IFERROR(INDEX('Aub Demand'!R:R,MATCH(O768,'Aub Demand'!A:A,0)),"")</f>
        <v>0</v>
      </c>
      <c r="O768" s="27" t="s">
        <v>1196</v>
      </c>
      <c r="P768" s="27" t="str">
        <f>IFERROR(INDEX('Aub Demand'!B:B,MATCH($O768,'Aub Demand'!$A:$A,0)),"")</f>
        <v>SLATE IMPERIALE MARB</v>
      </c>
      <c r="Q768" s="27" t="str">
        <f>IFERROR(INDEX('Aub Demand'!C:C,MATCH($O768,'Aub Demand'!$A:$A,0)),"")</f>
        <v>IMPRE</v>
      </c>
      <c r="R768" s="52">
        <f>IFERROR(IF(AR769=AR768,INDEX('Aub Demand'!K:K,MATCH($O768,'Aub Demand'!$A:$A,0))-IF(AN768="",0,AN768)+AP769,INDEX('Aub Demand'!K:K,MATCH($O768,'Aub Demand'!$A:$A,0))-IF(AN768="",0,AN768)),"")</f>
        <v>1633</v>
      </c>
      <c r="S768" s="53">
        <f t="shared" si="308"/>
        <v>318.10000000000002</v>
      </c>
      <c r="T768" s="52" t="str">
        <f t="shared" si="309"/>
        <v/>
      </c>
      <c r="U768" s="52">
        <f>IFERROR(IF(AR769=AR768,INDEX('Aub Demand'!Q:Q,MATCH($O768,'Aub Demand'!$A:$A,0))-IF(AN768="",0,AN768)+AP769,INDEX('Aub Demand'!Q:Q,MATCH($O768,'Aub Demand'!$A:$A,0))-IF(AN768="",0,AN768)),"")</f>
        <v>1563</v>
      </c>
      <c r="V768" s="53">
        <f t="shared" si="310"/>
        <v>304.5</v>
      </c>
      <c r="W768" s="52" t="str">
        <f t="shared" si="311"/>
        <v/>
      </c>
      <c r="X768" s="52">
        <f>IFERROR(IF(AND(AR769=AR768,AM768&lt;&gt;""),INDEX('Aub Demand'!Q:Q,MATCH($O768,'Aub Demand'!$A:$A,0))-IF(AN768="",0,AN768)+AP769+AD768+AL768,IF(AR769=AR768,INDEX('Aub Demand'!Q:Q,MATCH($O768,'Aub Demand'!$A:$A,0))-IF(AN768="",0,AN768)+AP769+AD768,IF(AM768&lt;&gt;"",INDEX('Aub Demand'!Q:Q,MATCH($O768,'Aub Demand'!$A:$A,0))-IF(AN768="",0,AN768)+AD768+AL768,INDEX('Aub Demand'!Q:Q,MATCH($O768,'Aub Demand'!$A:$A,0))-IF(AN768="",0,AN768)+AD768))),"")</f>
        <v>1563</v>
      </c>
      <c r="Y768" s="53">
        <f t="shared" si="312"/>
        <v>304.5</v>
      </c>
      <c r="Z768" s="52">
        <f>IF(L768="","",INDEX('Aub Demand'!H:H,MATCH($O768,'Aub Demand'!$A:$A,0)))</f>
        <v>22</v>
      </c>
      <c r="AA768" s="52">
        <f t="shared" si="313"/>
        <v>32.5</v>
      </c>
      <c r="AB768" s="52">
        <f>IFERROR(INDEX('Aub Demand'!L:L,MATCH($O768,'Aub Demand'!$A:$A,0)),"")</f>
        <v>38</v>
      </c>
      <c r="AC768" s="52">
        <f>IFERROR(IF(O768="","",SUMIFS('CPL Mats'!F:F,'CPL Mats'!Q:Q,AR768,'CPL Mats'!S:S,AS768)),"")</f>
        <v>0</v>
      </c>
      <c r="AF768" s="25" t="str">
        <f>IF(SUMIFS('Supp Consol'!S:S,'Supp Consol'!Y:Y,"Releasable",'Supp Consol'!A:A,O768)=0,"",SUMIFS('Supp Consol'!S:S,'Supp Consol'!Y:Y,"Releasable",'Supp Consol'!A:A,O768))</f>
        <v/>
      </c>
      <c r="AG768" s="25" t="str">
        <f>IFERROR(INDEX('Hun Demand'!Q:Q,MATCH(O768,'Hun Demand'!A:A,0)),"")</f>
        <v/>
      </c>
      <c r="AH768" s="25" t="str">
        <f>IFERROR(INDEX('Hun Demand'!H:H,MATCH($O768,'Hun Demand'!$A:$A,0)),"")</f>
        <v/>
      </c>
      <c r="AI768" s="25" t="str">
        <f>IF(SUMIFS('Supp Consol'!AA:AA,'Supp Consol'!Z:Z,"Expires this month",'Supp Consol'!A:A,O768)=0,"",SUMIFS('Supp Consol'!AA:AA,'Supp Consol'!Z:Z,"Expires this month",'Supp Consol'!A:A,O768))</f>
        <v/>
      </c>
      <c r="AJ768" s="25" t="str">
        <f>IF(SUMIFS('Supp Consol'!AA:AA,'Supp Consol'!Z:Z,"Expired Previous Months",'Supp Consol'!A:A,O768)=0,"",SUMIFS('Supp Consol'!AA:AA,'Supp Consol'!Z:Z,"Expired Previous Months",'Supp Consol'!A:A,O768))</f>
        <v/>
      </c>
      <c r="AK768" s="25" t="str">
        <f>IFERROR(INDEX('Hun Release Current'!B:B,MATCH(O768,'Hun Release Current'!A:A,0)),"")</f>
        <v/>
      </c>
      <c r="AL768" s="25" t="str">
        <f>IF(SUMIF('Prev Aub'!A:A,O768,'Prev Aub'!B:B)=0,"",SUMIF('Prev Aub'!A:A,O768,'Prev Aub'!B:B))</f>
        <v/>
      </c>
      <c r="AN768" s="25" t="s">
        <v>3790</v>
      </c>
      <c r="AO768" s="25" t="s">
        <v>3790</v>
      </c>
      <c r="AP768" s="25">
        <f t="shared" si="314"/>
        <v>0</v>
      </c>
      <c r="AQ768" s="151" t="str">
        <f>IF(SUMIFS('Supp Consol'!S:S,'Supp Consol'!A:A,O768,'Supp Consol'!I:I,"PENDING")=0,"",SUMIFS('Supp Consol'!S:S,'Supp Consol'!A:A,O768,'Supp Consol'!I:I,"PENDING"))</f>
        <v/>
      </c>
      <c r="AR768" s="27" t="str">
        <f t="shared" si="315"/>
        <v>MG145</v>
      </c>
      <c r="AS768" s="27" t="str">
        <f t="shared" si="316"/>
        <v>62</v>
      </c>
      <c r="AT768" s="27" t="str">
        <f t="shared" si="317"/>
        <v/>
      </c>
      <c r="AU768" s="27" t="str">
        <f t="shared" si="318"/>
        <v/>
      </c>
      <c r="AV768" s="27" t="str">
        <f t="shared" si="319"/>
        <v/>
      </c>
      <c r="AW768" s="27" t="str">
        <f t="shared" si="320"/>
        <v/>
      </c>
      <c r="AX768" s="27" t="str">
        <f t="shared" si="321"/>
        <v/>
      </c>
      <c r="AY768" s="27" t="str">
        <f t="shared" si="322"/>
        <v/>
      </c>
      <c r="AZ768" s="27" t="str">
        <f t="shared" si="323"/>
        <v/>
      </c>
      <c r="BA768" s="27" t="str">
        <f t="shared" si="324"/>
        <v/>
      </c>
      <c r="BB768" s="27" t="str">
        <f t="shared" si="325"/>
        <v/>
      </c>
      <c r="BC768" s="27" t="str">
        <f t="shared" si="326"/>
        <v/>
      </c>
      <c r="BD768" s="27" t="str">
        <f t="shared" si="327"/>
        <v/>
      </c>
      <c r="BE768" s="27" t="str">
        <f t="shared" si="328"/>
        <v/>
      </c>
      <c r="BF768" s="27" t="str">
        <f t="shared" si="329"/>
        <v/>
      </c>
      <c r="BG768" s="27" t="str">
        <f t="shared" si="330"/>
        <v/>
      </c>
      <c r="BH768" s="27" t="str">
        <f t="shared" si="331"/>
        <v/>
      </c>
      <c r="BI768" s="27" t="str">
        <f t="shared" si="332"/>
        <v/>
      </c>
      <c r="BJ768" s="27" t="str">
        <f t="shared" si="333"/>
        <v/>
      </c>
      <c r="BK768" s="27" t="str">
        <f t="shared" si="334"/>
        <v/>
      </c>
      <c r="BL768" s="27" t="str">
        <f t="shared" si="335"/>
        <v/>
      </c>
      <c r="BM768" s="21" t="s">
        <v>5581</v>
      </c>
    </row>
    <row r="769" spans="1:65" ht="15">
      <c r="A769" s="25" t="str">
        <f>IFERROR(INDEX('Hun Demand'!W:W,MATCH(O769,'Hun Demand'!A:A,0)),"")</f>
        <v/>
      </c>
      <c r="B769" s="25" t="str">
        <f>IFERROR(INDEX('Hun Demand'!V:V,MATCH(O769,'Hun Demand'!A:A,0)),"")</f>
        <v/>
      </c>
      <c r="C769" s="25" t="str">
        <f>IFERROR(INDEX('Hun Demand'!U:U,MATCH(O769,'Hun Demand'!A:A,0)),"")</f>
        <v/>
      </c>
      <c r="D769" s="25" t="str">
        <f>IFERROR(INDEX('Hun Demand'!T:T,MATCH(O769,'Hun Demand'!A:A,0)),"")</f>
        <v/>
      </c>
      <c r="E769" s="25" t="str">
        <f>IFERROR(INDEX('Hun Demand'!S:S,MATCH(O769,'Hun Demand'!A:A,0)),"")</f>
        <v/>
      </c>
      <c r="F769" s="25" t="str">
        <f>IFERROR(INDEX('Hun Demand'!R:R,MATCH(O769,'Hun Demand'!A:A,0)),"")</f>
        <v/>
      </c>
      <c r="G769" s="25">
        <f>IFERROR(INDEX('Aub Demand'!W:W,MATCH(O769,'Aub Demand'!A:A,0)),"")</f>
        <v>0</v>
      </c>
      <c r="H769" s="25">
        <f>IFERROR(INDEX('Aub Demand'!V:V,MATCH(O769,'Aub Demand'!A:A,0)),"")</f>
        <v>0</v>
      </c>
      <c r="I769" s="25">
        <f>IFERROR(INDEX('Aub Demand'!U:U,MATCH(O769,'Aub Demand'!A:A,0)),"")</f>
        <v>0</v>
      </c>
      <c r="J769" s="25">
        <f>IFERROR(INDEX('Aub Demand'!T:T,MATCH(O769,'Aub Demand'!A:A,0)),"")</f>
        <v>0</v>
      </c>
      <c r="K769" s="25">
        <f>IFERROR(INDEX('Aub Demand'!S:S,MATCH(O769,'Aub Demand'!A:A,0)),"")</f>
        <v>0</v>
      </c>
      <c r="L769" s="25">
        <f>IFERROR(INDEX('Aub Demand'!R:R,MATCH(O769,'Aub Demand'!A:A,0)),"")</f>
        <v>0</v>
      </c>
      <c r="O769" s="27" t="s">
        <v>1197</v>
      </c>
      <c r="P769" s="27" t="str">
        <f>IFERROR(INDEX('Aub Demand'!B:B,MATCH($O769,'Aub Demand'!$A:$A,0)),"")</f>
        <v>PEARL GRAY PETRA</v>
      </c>
      <c r="Q769" s="27" t="str">
        <f>IFERROR(INDEX('Aub Demand'!C:C,MATCH($O769,'Aub Demand'!$A:$A,0)),"")</f>
        <v>LAMIG</v>
      </c>
      <c r="R769" s="52">
        <f>IFERROR(IF(AR770=AR769,INDEX('Aub Demand'!K:K,MATCH($O769,'Aub Demand'!$A:$A,0))-IF(AN769="",0,AN769)+AP770,INDEX('Aub Demand'!K:K,MATCH($O769,'Aub Demand'!$A:$A,0))-IF(AN769="",0,AN769)),"")</f>
        <v>2022</v>
      </c>
      <c r="S769" s="53" t="str">
        <f t="shared" si="308"/>
        <v>n/a</v>
      </c>
      <c r="T769" s="52" t="str">
        <f t="shared" si="309"/>
        <v/>
      </c>
      <c r="U769" s="52">
        <f>IFERROR(IF(AR770=AR769,INDEX('Aub Demand'!Q:Q,MATCH($O769,'Aub Demand'!$A:$A,0))-IF(AN769="",0,AN769)+AP770,INDEX('Aub Demand'!Q:Q,MATCH($O769,'Aub Demand'!$A:$A,0))-IF(AN769="",0,AN769)),"")</f>
        <v>2022</v>
      </c>
      <c r="V769" s="53" t="str">
        <f t="shared" si="310"/>
        <v>n/a</v>
      </c>
      <c r="W769" s="52" t="str">
        <f t="shared" si="311"/>
        <v/>
      </c>
      <c r="X769" s="52">
        <f>IFERROR(IF(AND(AR770=AR769,AM769&lt;&gt;""),INDEX('Aub Demand'!Q:Q,MATCH($O769,'Aub Demand'!$A:$A,0))-IF(AN769="",0,AN769)+AP770+AD769+AL769,IF(AR770=AR769,INDEX('Aub Demand'!Q:Q,MATCH($O769,'Aub Demand'!$A:$A,0))-IF(AN769="",0,AN769)+AP770+AD769,IF(AM769&lt;&gt;"",INDEX('Aub Demand'!Q:Q,MATCH($O769,'Aub Demand'!$A:$A,0))-IF(AN769="",0,AN769)+AD769+AL769,INDEX('Aub Demand'!Q:Q,MATCH($O769,'Aub Demand'!$A:$A,0))-IF(AN769="",0,AN769)+AD769))),"")</f>
        <v>2022</v>
      </c>
      <c r="Y769" s="53" t="str">
        <f t="shared" si="312"/>
        <v>n/a</v>
      </c>
      <c r="Z769" s="52">
        <f>IF(L769="","",INDEX('Aub Demand'!H:H,MATCH($O769,'Aub Demand'!$A:$A,0)))</f>
        <v>0</v>
      </c>
      <c r="AA769" s="52" t="str">
        <f t="shared" si="313"/>
        <v>-spike-</v>
      </c>
      <c r="AB769" s="52">
        <f>IFERROR(INDEX('Aub Demand'!L:L,MATCH($O769,'Aub Demand'!$A:$A,0)),"")</f>
        <v>17</v>
      </c>
      <c r="AC769" s="52">
        <f>IFERROR(IF(O769="","",SUMIFS('CPL Mats'!F:F,'CPL Mats'!Q:Q,AR769,'CPL Mats'!S:S,AS769)),"")</f>
        <v>0</v>
      </c>
      <c r="AF769" s="25" t="str">
        <f>IF(SUMIFS('Supp Consol'!S:S,'Supp Consol'!Y:Y,"Releasable",'Supp Consol'!A:A,O769)=0,"",SUMIFS('Supp Consol'!S:S,'Supp Consol'!Y:Y,"Releasable",'Supp Consol'!A:A,O769))</f>
        <v/>
      </c>
      <c r="AG769" s="25" t="str">
        <f>IFERROR(INDEX('Hun Demand'!Q:Q,MATCH(O769,'Hun Demand'!A:A,0)),"")</f>
        <v/>
      </c>
      <c r="AH769" s="25" t="str">
        <f>IFERROR(INDEX('Hun Demand'!H:H,MATCH($O769,'Hun Demand'!$A:$A,0)),"")</f>
        <v/>
      </c>
      <c r="AI769" s="25" t="str">
        <f>IF(SUMIFS('Supp Consol'!AA:AA,'Supp Consol'!Z:Z,"Expires this month",'Supp Consol'!A:A,O769)=0,"",SUMIFS('Supp Consol'!AA:AA,'Supp Consol'!Z:Z,"Expires this month",'Supp Consol'!A:A,O769))</f>
        <v/>
      </c>
      <c r="AJ769" s="25" t="str">
        <f>IF(SUMIFS('Supp Consol'!AA:AA,'Supp Consol'!Z:Z,"Expired Previous Months",'Supp Consol'!A:A,O769)=0,"",SUMIFS('Supp Consol'!AA:AA,'Supp Consol'!Z:Z,"Expired Previous Months",'Supp Consol'!A:A,O769))</f>
        <v/>
      </c>
      <c r="AK769" s="25" t="str">
        <f>IFERROR(INDEX('Hun Release Current'!B:B,MATCH(O769,'Hun Release Current'!A:A,0)),"")</f>
        <v/>
      </c>
      <c r="AL769" s="25" t="str">
        <f>IF(SUMIF('Prev Aub'!A:A,O769,'Prev Aub'!B:B)=0,"",SUMIF('Prev Aub'!A:A,O769,'Prev Aub'!B:B))</f>
        <v/>
      </c>
      <c r="AN769" s="25" t="s">
        <v>3790</v>
      </c>
      <c r="AO769" s="25" t="s">
        <v>3790</v>
      </c>
      <c r="AP769" s="25">
        <f t="shared" si="314"/>
        <v>0</v>
      </c>
      <c r="AQ769" s="151" t="str">
        <f>IF(SUMIFS('Supp Consol'!S:S,'Supp Consol'!A:A,O769,'Supp Consol'!I:I,"PENDING")=0,"",SUMIFS('Supp Consol'!S:S,'Supp Consol'!A:A,O769,'Supp Consol'!I:I,"PENDING"))</f>
        <v/>
      </c>
      <c r="AR769" s="27" t="str">
        <f t="shared" si="315"/>
        <v>MG155</v>
      </c>
      <c r="AS769" s="27" t="str">
        <f t="shared" si="316"/>
        <v>62</v>
      </c>
      <c r="AT769" s="27" t="str">
        <f t="shared" si="317"/>
        <v/>
      </c>
      <c r="AU769" s="27" t="str">
        <f t="shared" si="318"/>
        <v/>
      </c>
      <c r="AV769" s="27" t="str">
        <f t="shared" si="319"/>
        <v/>
      </c>
      <c r="AW769" s="27" t="str">
        <f t="shared" si="320"/>
        <v/>
      </c>
      <c r="AX769" s="27" t="str">
        <f t="shared" si="321"/>
        <v/>
      </c>
      <c r="AY769" s="27" t="str">
        <f t="shared" si="322"/>
        <v/>
      </c>
      <c r="AZ769" s="27" t="str">
        <f t="shared" si="323"/>
        <v/>
      </c>
      <c r="BA769" s="27" t="str">
        <f t="shared" si="324"/>
        <v/>
      </c>
      <c r="BB769" s="27" t="str">
        <f t="shared" si="325"/>
        <v/>
      </c>
      <c r="BC769" s="27" t="str">
        <f t="shared" si="326"/>
        <v/>
      </c>
      <c r="BD769" s="27" t="str">
        <f t="shared" si="327"/>
        <v/>
      </c>
      <c r="BE769" s="27" t="str">
        <f t="shared" si="328"/>
        <v/>
      </c>
      <c r="BF769" s="27" t="str">
        <f t="shared" si="329"/>
        <v/>
      </c>
      <c r="BG769" s="27" t="str">
        <f t="shared" si="330"/>
        <v/>
      </c>
      <c r="BH769" s="27" t="str">
        <f t="shared" si="331"/>
        <v/>
      </c>
      <c r="BI769" s="27" t="str">
        <f t="shared" si="332"/>
        <v/>
      </c>
      <c r="BJ769" s="27" t="str">
        <f t="shared" si="333"/>
        <v/>
      </c>
      <c r="BK769" s="27" t="str">
        <f t="shared" si="334"/>
        <v/>
      </c>
      <c r="BL769" s="27" t="str">
        <f t="shared" si="335"/>
        <v/>
      </c>
      <c r="BM769" s="21" t="s">
        <v>5581</v>
      </c>
    </row>
    <row r="770" spans="1:65" ht="15">
      <c r="A770" s="25" t="str">
        <f>IFERROR(INDEX('Hun Demand'!W:W,MATCH(O770,'Hun Demand'!A:A,0)),"")</f>
        <v/>
      </c>
      <c r="B770" s="25" t="str">
        <f>IFERROR(INDEX('Hun Demand'!V:V,MATCH(O770,'Hun Demand'!A:A,0)),"")</f>
        <v/>
      </c>
      <c r="C770" s="25" t="str">
        <f>IFERROR(INDEX('Hun Demand'!U:U,MATCH(O770,'Hun Demand'!A:A,0)),"")</f>
        <v/>
      </c>
      <c r="D770" s="25" t="str">
        <f>IFERROR(INDEX('Hun Demand'!T:T,MATCH(O770,'Hun Demand'!A:A,0)),"")</f>
        <v/>
      </c>
      <c r="E770" s="25" t="str">
        <f>IFERROR(INDEX('Hun Demand'!S:S,MATCH(O770,'Hun Demand'!A:A,0)),"")</f>
        <v/>
      </c>
      <c r="F770" s="25" t="str">
        <f>IFERROR(INDEX('Hun Demand'!R:R,MATCH(O770,'Hun Demand'!A:A,0)),"")</f>
        <v/>
      </c>
      <c r="G770" s="25">
        <f>IFERROR(INDEX('Aub Demand'!W:W,MATCH(O770,'Aub Demand'!A:A,0)),"")</f>
        <v>58</v>
      </c>
      <c r="H770" s="25">
        <f>IFERROR(INDEX('Aub Demand'!V:V,MATCH(O770,'Aub Demand'!A:A,0)),"")</f>
        <v>0</v>
      </c>
      <c r="I770" s="25">
        <f>IFERROR(INDEX('Aub Demand'!U:U,MATCH(O770,'Aub Demand'!A:A,0)),"")</f>
        <v>58</v>
      </c>
      <c r="J770" s="25">
        <f>IFERROR(INDEX('Aub Demand'!T:T,MATCH(O770,'Aub Demand'!A:A,0)),"")</f>
        <v>0</v>
      </c>
      <c r="K770" s="25">
        <f>IFERROR(INDEX('Aub Demand'!S:S,MATCH(O770,'Aub Demand'!A:A,0)),"")</f>
        <v>8</v>
      </c>
      <c r="L770" s="25">
        <f>IFERROR(INDEX('Aub Demand'!R:R,MATCH(O770,'Aub Demand'!A:A,0)),"")</f>
        <v>82</v>
      </c>
      <c r="O770" s="27" t="s">
        <v>1199</v>
      </c>
      <c r="P770" s="27" t="str">
        <f>IFERROR(INDEX('Aub Demand'!B:B,MATCH($O770,'Aub Demand'!$A:$A,0)),"")</f>
        <v>UPLAND STONE</v>
      </c>
      <c r="Q770" s="27" t="str">
        <f>IFERROR(INDEX('Aub Demand'!C:C,MATCH($O770,'Aub Demand'!$A:$A,0)),"")</f>
        <v>AHLST</v>
      </c>
      <c r="R770" s="52">
        <f>IFERROR(IF(AR771=AR770,INDEX('Aub Demand'!K:K,MATCH($O770,'Aub Demand'!$A:$A,0))-IF(AN770="",0,AN770)+AP771,INDEX('Aub Demand'!K:K,MATCH($O770,'Aub Demand'!$A:$A,0))-IF(AN770="",0,AN770)),"")</f>
        <v>1913</v>
      </c>
      <c r="S770" s="53">
        <f t="shared" si="308"/>
        <v>372.7</v>
      </c>
      <c r="T770" s="52" t="str">
        <f t="shared" si="309"/>
        <v/>
      </c>
      <c r="U770" s="52">
        <f>IFERROR(IF(AR771=AR770,INDEX('Aub Demand'!Q:Q,MATCH($O770,'Aub Demand'!$A:$A,0))-IF(AN770="",0,AN770)+AP771,INDEX('Aub Demand'!Q:Q,MATCH($O770,'Aub Demand'!$A:$A,0))-IF(AN770="",0,AN770)),"")</f>
        <v>1859</v>
      </c>
      <c r="V770" s="53">
        <f t="shared" si="310"/>
        <v>362.1</v>
      </c>
      <c r="W770" s="52" t="str">
        <f t="shared" si="311"/>
        <v/>
      </c>
      <c r="X770" s="52">
        <f>IFERROR(IF(AND(AR771=AR770,AM770&lt;&gt;""),INDEX('Aub Demand'!Q:Q,MATCH($O770,'Aub Demand'!$A:$A,0))-IF(AN770="",0,AN770)+AP771+AD770+AL770,IF(AR771=AR770,INDEX('Aub Demand'!Q:Q,MATCH($O770,'Aub Demand'!$A:$A,0))-IF(AN770="",0,AN770)+AP771+AD770,IF(AM770&lt;&gt;"",INDEX('Aub Demand'!Q:Q,MATCH($O770,'Aub Demand'!$A:$A,0))-IF(AN770="",0,AN770)+AD770+AL770,INDEX('Aub Demand'!Q:Q,MATCH($O770,'Aub Demand'!$A:$A,0))-IF(AN770="",0,AN770)+AD770))),"")</f>
        <v>1859</v>
      </c>
      <c r="Y770" s="53">
        <f t="shared" si="312"/>
        <v>362.1</v>
      </c>
      <c r="Z770" s="52">
        <f>IF(L770="","",INDEX('Aub Demand'!H:H,MATCH($O770,'Aub Demand'!$A:$A,0)))</f>
        <v>22</v>
      </c>
      <c r="AA770" s="52">
        <f t="shared" si="313"/>
        <v>70</v>
      </c>
      <c r="AB770" s="52">
        <f>IFERROR(INDEX('Aub Demand'!L:L,MATCH($O770,'Aub Demand'!$A:$A,0)),"")</f>
        <v>31</v>
      </c>
      <c r="AC770" s="52">
        <f>IFERROR(IF(O770="","",SUMIFS('CPL Mats'!F:F,'CPL Mats'!Q:Q,AR770,'CPL Mats'!S:S,AS770)),"")</f>
        <v>0</v>
      </c>
      <c r="AF770" s="25" t="str">
        <f>IF(SUMIFS('Supp Consol'!S:S,'Supp Consol'!Y:Y,"Releasable",'Supp Consol'!A:A,O770)=0,"",SUMIFS('Supp Consol'!S:S,'Supp Consol'!Y:Y,"Releasable",'Supp Consol'!A:A,O770))</f>
        <v/>
      </c>
      <c r="AG770" s="25" t="str">
        <f>IFERROR(INDEX('Hun Demand'!Q:Q,MATCH(O770,'Hun Demand'!A:A,0)),"")</f>
        <v/>
      </c>
      <c r="AH770" s="25" t="str">
        <f>IFERROR(INDEX('Hun Demand'!H:H,MATCH($O770,'Hun Demand'!$A:$A,0)),"")</f>
        <v/>
      </c>
      <c r="AI770" s="25" t="str">
        <f>IF(SUMIFS('Supp Consol'!AA:AA,'Supp Consol'!Z:Z,"Expires this month",'Supp Consol'!A:A,O770)=0,"",SUMIFS('Supp Consol'!AA:AA,'Supp Consol'!Z:Z,"Expires this month",'Supp Consol'!A:A,O770))</f>
        <v/>
      </c>
      <c r="AJ770" s="25" t="str">
        <f>IF(SUMIFS('Supp Consol'!AA:AA,'Supp Consol'!Z:Z,"Expired Previous Months",'Supp Consol'!A:A,O770)=0,"",SUMIFS('Supp Consol'!AA:AA,'Supp Consol'!Z:Z,"Expired Previous Months",'Supp Consol'!A:A,O770))</f>
        <v/>
      </c>
      <c r="AK770" s="25" t="str">
        <f>IFERROR(INDEX('Hun Release Current'!B:B,MATCH(O770,'Hun Release Current'!A:A,0)),"")</f>
        <v/>
      </c>
      <c r="AL770" s="25" t="str">
        <f>IF(SUMIF('Prev Aub'!A:A,O770,'Prev Aub'!B:B)=0,"",SUMIF('Prev Aub'!A:A,O770,'Prev Aub'!B:B))</f>
        <v/>
      </c>
      <c r="AN770" s="25" t="s">
        <v>3790</v>
      </c>
      <c r="AO770" s="25" t="s">
        <v>3790</v>
      </c>
      <c r="AP770" s="25">
        <f t="shared" si="314"/>
        <v>0</v>
      </c>
      <c r="AQ770" s="151" t="str">
        <f>IF(SUMIFS('Supp Consol'!S:S,'Supp Consol'!A:A,O770,'Supp Consol'!I:I,"PENDING")=0,"",SUMIFS('Supp Consol'!S:S,'Supp Consol'!A:A,O770,'Supp Consol'!I:I,"PENDING"))</f>
        <v/>
      </c>
      <c r="AR770" s="27" t="str">
        <f t="shared" si="315"/>
        <v>MG160</v>
      </c>
      <c r="AS770" s="27" t="str">
        <f t="shared" si="316"/>
        <v>50</v>
      </c>
      <c r="AT770" s="27" t="str">
        <f t="shared" si="317"/>
        <v/>
      </c>
      <c r="AU770" s="27" t="str">
        <f t="shared" si="318"/>
        <v/>
      </c>
      <c r="AV770" s="27" t="str">
        <f t="shared" si="319"/>
        <v/>
      </c>
      <c r="AW770" s="27" t="str">
        <f t="shared" si="320"/>
        <v/>
      </c>
      <c r="AX770" s="27" t="str">
        <f t="shared" si="321"/>
        <v/>
      </c>
      <c r="AY770" s="27" t="str">
        <f t="shared" si="322"/>
        <v/>
      </c>
      <c r="AZ770" s="27" t="str">
        <f t="shared" si="323"/>
        <v/>
      </c>
      <c r="BA770" s="27" t="str">
        <f t="shared" si="324"/>
        <v/>
      </c>
      <c r="BB770" s="27" t="str">
        <f t="shared" si="325"/>
        <v/>
      </c>
      <c r="BC770" s="27" t="str">
        <f t="shared" si="326"/>
        <v/>
      </c>
      <c r="BD770" s="27" t="str">
        <f t="shared" si="327"/>
        <v/>
      </c>
      <c r="BE770" s="27" t="str">
        <f t="shared" si="328"/>
        <v/>
      </c>
      <c r="BF770" s="27" t="str">
        <f t="shared" si="329"/>
        <v/>
      </c>
      <c r="BG770" s="27" t="str">
        <f t="shared" si="330"/>
        <v/>
      </c>
      <c r="BH770" s="27" t="str">
        <f t="shared" si="331"/>
        <v/>
      </c>
      <c r="BI770" s="27" t="str">
        <f t="shared" si="332"/>
        <v/>
      </c>
      <c r="BJ770" s="27" t="str">
        <f t="shared" si="333"/>
        <v/>
      </c>
      <c r="BK770" s="27" t="str">
        <f t="shared" si="334"/>
        <v/>
      </c>
      <c r="BL770" s="27" t="str">
        <f t="shared" si="335"/>
        <v/>
      </c>
      <c r="BM770" s="21" t="s">
        <v>5581</v>
      </c>
    </row>
    <row r="771" spans="1:65" ht="15">
      <c r="A771" s="25" t="str">
        <f>IFERROR(INDEX('Hun Demand'!W:W,MATCH(O771,'Hun Demand'!A:A,0)),"")</f>
        <v/>
      </c>
      <c r="B771" s="25" t="str">
        <f>IFERROR(INDEX('Hun Demand'!V:V,MATCH(O771,'Hun Demand'!A:A,0)),"")</f>
        <v/>
      </c>
      <c r="C771" s="25" t="str">
        <f>IFERROR(INDEX('Hun Demand'!U:U,MATCH(O771,'Hun Demand'!A:A,0)),"")</f>
        <v/>
      </c>
      <c r="D771" s="25" t="str">
        <f>IFERROR(INDEX('Hun Demand'!T:T,MATCH(O771,'Hun Demand'!A:A,0)),"")</f>
        <v/>
      </c>
      <c r="E771" s="25" t="str">
        <f>IFERROR(INDEX('Hun Demand'!S:S,MATCH(O771,'Hun Demand'!A:A,0)),"")</f>
        <v/>
      </c>
      <c r="F771" s="25" t="str">
        <f>IFERROR(INDEX('Hun Demand'!R:R,MATCH(O771,'Hun Demand'!A:A,0)),"")</f>
        <v/>
      </c>
      <c r="G771" s="25">
        <f>IFERROR(INDEX('Aub Demand'!W:W,MATCH(O771,'Aub Demand'!A:A,0)),"")</f>
        <v>300</v>
      </c>
      <c r="H771" s="25">
        <f>IFERROR(INDEX('Aub Demand'!V:V,MATCH(O771,'Aub Demand'!A:A,0)),"")</f>
        <v>8</v>
      </c>
      <c r="I771" s="25">
        <f>IFERROR(INDEX('Aub Demand'!U:U,MATCH(O771,'Aub Demand'!A:A,0)),"")</f>
        <v>160</v>
      </c>
      <c r="J771" s="25">
        <f>IFERROR(INDEX('Aub Demand'!T:T,MATCH(O771,'Aub Demand'!A:A,0)),"")</f>
        <v>188</v>
      </c>
      <c r="K771" s="25">
        <f>IFERROR(INDEX('Aub Demand'!S:S,MATCH(O771,'Aub Demand'!A:A,0)),"")</f>
        <v>400</v>
      </c>
      <c r="L771" s="25">
        <f>IFERROR(INDEX('Aub Demand'!R:R,MATCH(O771,'Aub Demand'!A:A,0)),"")</f>
        <v>0</v>
      </c>
      <c r="O771" s="27" t="s">
        <v>1201</v>
      </c>
      <c r="P771" s="27" t="str">
        <f>IFERROR(INDEX('Aub Demand'!B:B,MATCH($O771,'Aub Demand'!$A:$A,0)),"")</f>
        <v>UPLAND STONE</v>
      </c>
      <c r="Q771" s="27" t="str">
        <f>IFERROR(INDEX('Aub Demand'!C:C,MATCH($O771,'Aub Demand'!$A:$A,0)),"")</f>
        <v>AHLST</v>
      </c>
      <c r="R771" s="52">
        <f>IFERROR(IF(AR772=AR771,INDEX('Aub Demand'!K:K,MATCH($O771,'Aub Demand'!$A:$A,0))-IF(AN771="",0,AN771)+AP772,INDEX('Aub Demand'!K:K,MATCH($O771,'Aub Demand'!$A:$A,0))-IF(AN771="",0,AN771)),"")</f>
        <v>336</v>
      </c>
      <c r="S771" s="53">
        <f t="shared" ref="S771:S834" si="336">IFERROR(IF(O771="","",ROUND(R771/((Z771/30)*7),1)),"n/a")</f>
        <v>5.8</v>
      </c>
      <c r="T771" s="52" t="str">
        <f t="shared" ref="T771:T834" si="337">IFERROR(IF(S771&lt;3.1,IF(AA771="spike",(3-S771)*(Z771/4),(3-S771)*(AA771/4)),""),"")</f>
        <v/>
      </c>
      <c r="U771" s="52">
        <f>IFERROR(IF(AR772=AR771,INDEX('Aub Demand'!Q:Q,MATCH($O771,'Aub Demand'!$A:$A,0))-IF(AN771="",0,AN771)+AP772,INDEX('Aub Demand'!Q:Q,MATCH($O771,'Aub Demand'!$A:$A,0))-IF(AN771="",0,AN771)),"")</f>
        <v>243</v>
      </c>
      <c r="V771" s="53">
        <f t="shared" ref="V771:V834" si="338">IFERROR(IF(O771="","",ROUND(U771/((Z771/30)*7),1)),"n/a")</f>
        <v>4.2</v>
      </c>
      <c r="W771" s="52" t="str">
        <f t="shared" ref="W771:W834" si="339">IF(IFERROR(IF(V771&lt;3.1,IF(AA771="spike",(3-V771)*(Z771/4),(3-V771)*(AA771/4)),""),"")&lt;0,0,IFERROR(IF(V771&lt;3.1,IF(AA771="spike",(3-V771)*(Z771/4),(3-V771)*(AA771/4)),""),""))</f>
        <v/>
      </c>
      <c r="X771" s="52">
        <f>IFERROR(IF(AND(AR772=AR771,AM771&lt;&gt;""),INDEX('Aub Demand'!Q:Q,MATCH($O771,'Aub Demand'!$A:$A,0))-IF(AN771="",0,AN771)+AP772+AD771+AL771,IF(AR772=AR771,INDEX('Aub Demand'!Q:Q,MATCH($O771,'Aub Demand'!$A:$A,0))-IF(AN771="",0,AN771)+AP772+AD771,IF(AM771&lt;&gt;"",INDEX('Aub Demand'!Q:Q,MATCH($O771,'Aub Demand'!$A:$A,0))-IF(AN771="",0,AN771)+AD771+AL771,INDEX('Aub Demand'!Q:Q,MATCH($O771,'Aub Demand'!$A:$A,0))-IF(AN771="",0,AN771)+AD771))),"")</f>
        <v>243</v>
      </c>
      <c r="Y771" s="53">
        <f t="shared" ref="Y771:Y834" si="340">IFERROR(IF(O771="","",ROUND(X771/((Z771/30)*7),1)),"n/a")</f>
        <v>4.2</v>
      </c>
      <c r="Z771" s="52">
        <f>IF(L771="","",INDEX('Aub Demand'!H:H,MATCH($O771,'Aub Demand'!$A:$A,0)))</f>
        <v>249</v>
      </c>
      <c r="AA771" s="52">
        <f t="shared" ref="AA771:AA834" si="341">IF(L771="","",IF(LARGE(I771:L771,2)=0,"-spike-",AVERAGE(LARGE(I771:L771,1),LARGE(I771:L771,2))))</f>
        <v>294</v>
      </c>
      <c r="AB771" s="52">
        <f>IFERROR(INDEX('Aub Demand'!L:L,MATCH($O771,'Aub Demand'!$A:$A,0)),"")</f>
        <v>41</v>
      </c>
      <c r="AC771" s="52">
        <f>IFERROR(IF(O771="","",SUMIFS('CPL Mats'!F:F,'CPL Mats'!Q:Q,AR771,'CPL Mats'!S:S,AS771)),"")</f>
        <v>0</v>
      </c>
      <c r="AF771" s="25" t="str">
        <f>IF(SUMIFS('Supp Consol'!S:S,'Supp Consol'!Y:Y,"Releasable",'Supp Consol'!A:A,O771)=0,"",SUMIFS('Supp Consol'!S:S,'Supp Consol'!Y:Y,"Releasable",'Supp Consol'!A:A,O771))</f>
        <v/>
      </c>
      <c r="AG771" s="25" t="str">
        <f>IFERROR(INDEX('Hun Demand'!Q:Q,MATCH(O771,'Hun Demand'!A:A,0)),"")</f>
        <v/>
      </c>
      <c r="AH771" s="25" t="str">
        <f>IFERROR(INDEX('Hun Demand'!H:H,MATCH($O771,'Hun Demand'!$A:$A,0)),"")</f>
        <v/>
      </c>
      <c r="AI771" s="25" t="str">
        <f>IF(SUMIFS('Supp Consol'!AA:AA,'Supp Consol'!Z:Z,"Expires this month",'Supp Consol'!A:A,O771)=0,"",SUMIFS('Supp Consol'!AA:AA,'Supp Consol'!Z:Z,"Expires this month",'Supp Consol'!A:A,O771))</f>
        <v/>
      </c>
      <c r="AJ771" s="25" t="str">
        <f>IF(SUMIFS('Supp Consol'!AA:AA,'Supp Consol'!Z:Z,"Expired Previous Months",'Supp Consol'!A:A,O771)=0,"",SUMIFS('Supp Consol'!AA:AA,'Supp Consol'!Z:Z,"Expired Previous Months",'Supp Consol'!A:A,O771))</f>
        <v/>
      </c>
      <c r="AK771" s="25" t="str">
        <f>IFERROR(INDEX('Hun Release Current'!B:B,MATCH(O771,'Hun Release Current'!A:A,0)),"")</f>
        <v/>
      </c>
      <c r="AL771" s="25" t="str">
        <f>IF(SUMIF('Prev Aub'!A:A,O771,'Prev Aub'!B:B)=0,"",SUMIF('Prev Aub'!A:A,O771,'Prev Aub'!B:B))</f>
        <v/>
      </c>
      <c r="AN771" s="25" t="s">
        <v>3790</v>
      </c>
      <c r="AO771" s="25" t="s">
        <v>3790</v>
      </c>
      <c r="AP771" s="25">
        <f t="shared" ref="AP771:AP834" si="342">IFERROR(IF(O771="","",IF(AN771="",0,VALUE(AN771)-(VALUE(AN771)*0.2))),"")</f>
        <v>0</v>
      </c>
      <c r="AQ771" s="151" t="str">
        <f>IF(SUMIFS('Supp Consol'!S:S,'Supp Consol'!A:A,O771,'Supp Consol'!I:I,"PENDING")=0,"",SUMIFS('Supp Consol'!S:S,'Supp Consol'!A:A,O771,'Supp Consol'!I:I,"PENDING"))</f>
        <v/>
      </c>
      <c r="AR771" s="27" t="str">
        <f t="shared" ref="AR771:AR834" si="343">MID(O771,4,5)</f>
        <v>MG160</v>
      </c>
      <c r="AS771" s="27" t="str">
        <f t="shared" ref="AS771:AS834" si="344">MID(O771,10,2)</f>
        <v>62</v>
      </c>
      <c r="AT771" s="27" t="str">
        <f t="shared" ref="AT771:AT834" si="345">IF(S771&lt;3.1,AR771,"")</f>
        <v/>
      </c>
      <c r="AU771" s="27" t="str">
        <f t="shared" ref="AU771:AU834" si="346">IF(Y771&lt;3.1,AR771,"")</f>
        <v/>
      </c>
      <c r="AV771" s="27" t="str">
        <f t="shared" ref="AV771:AV834" si="347">IF(AND(AA771="Spike",L771=0,K771=0,X771&gt;=0),"",IF(Y771&lt;3.1,AR771,""))</f>
        <v/>
      </c>
      <c r="AW771" s="27" t="str">
        <f t="shared" ref="AW771:AW834" si="348">IF(AI771=AL771,"",IF(OR(AI771&lt;&gt;"",AJ771&lt;&gt;""),AR771,""))</f>
        <v/>
      </c>
      <c r="AX771" s="27" t="str">
        <f t="shared" ref="AX771:AX834" si="349">IF(AF771&lt;&gt;"",AR771,"")</f>
        <v/>
      </c>
      <c r="AY771" s="27" t="str">
        <f t="shared" ref="AY771:AY834" si="350">IF(AND(AG771&lt;&gt;"",AG771&gt;AH771),AR771,"")</f>
        <v/>
      </c>
      <c r="AZ771" s="27" t="str">
        <f t="shared" ref="AZ771:AZ834" si="351">IFERROR(IF(O771="","",IF(ISERROR(MATCH(AR771,AX:AX,0)),"","Supp")),"")</f>
        <v/>
      </c>
      <c r="BA771" s="27" t="str">
        <f t="shared" ref="BA771:BA834" si="352">IFERROR(IF(O771="","",IF(ISERROR(MATCH(AR771,AY:AY,0)),"","Hun")),"")</f>
        <v/>
      </c>
      <c r="BB771" s="27" t="str">
        <f t="shared" ref="BB771:BB834" si="353">IFERROR(IF(O771="","",IF(ISERROR(MATCH(AR771,AT:AT,0)),"","Gross")),"")</f>
        <v/>
      </c>
      <c r="BC771" s="27" t="str">
        <f t="shared" ref="BC771:BC834" si="354">IFERROR(IF(O771="","",IF(ISERROR(MATCH(AR771,AU:AU,0)),"","Net")),"")</f>
        <v/>
      </c>
      <c r="BD771" s="27" t="str">
        <f t="shared" ref="BD771:BD834" si="355">IFERROR(IF(O771="","",IF(ISERROR(MATCH(AR771,AV:AV,0)),"","Net")),"")</f>
        <v/>
      </c>
      <c r="BE771" s="27" t="str">
        <f t="shared" ref="BE771:BE834" si="356">IFERROR(IF(O771="","",IF(ISERROR(MATCH(AR771,AW:AW,0)),"","Exp")),"")</f>
        <v/>
      </c>
      <c r="BF771" s="27" t="str">
        <f t="shared" ref="BF771:BF834" si="357">IFERROR(IF(O771="","",IF(AND(AZ771="Supp",BC771="Net"),"S+N","")),"")</f>
        <v/>
      </c>
      <c r="BG771" s="27" t="str">
        <f t="shared" ref="BG771:BG834" si="358">IFERROR(IF(O771="","",IF(OR(BE771&lt;&gt;"",BF771&lt;&gt;""),"S+NorE","")),"")</f>
        <v/>
      </c>
      <c r="BH771" s="27" t="str">
        <f t="shared" ref="BH771:BH834" si="359">IFERROR(IF(O771="","",IF(AND(BA771&lt;&gt;"",BC771&lt;&gt;""),"H+N","")),"")</f>
        <v/>
      </c>
      <c r="BI771" s="27" t="str">
        <f t="shared" ref="BI771:BI834" si="360">IFERROR(IF(O771="","",IF(AND(BA771&lt;&gt;"",BD771&lt;&gt;""),"H+Nex","")),"")</f>
        <v/>
      </c>
      <c r="BJ771" s="27" t="str">
        <f t="shared" ref="BJ771:BJ834" si="361">IF(OR(AZ771&lt;&gt;"",BA771&lt;&gt;""),"Supp or Hun","")</f>
        <v/>
      </c>
      <c r="BK771" s="27" t="str">
        <f t="shared" ref="BK771:BK834" si="362">IF(AND(BJ771&lt;&gt;"",BC771&lt;&gt;""),"Supp or Hun Need","")</f>
        <v/>
      </c>
      <c r="BL771" s="27" t="str">
        <f t="shared" ref="BL771:BL834" si="363">IF(OR(BK771&lt;&gt;"",BE771&lt;&gt;""),"SorHandNandE","")</f>
        <v/>
      </c>
      <c r="BM771" s="21" t="s">
        <v>5581</v>
      </c>
    </row>
    <row r="772" spans="1:65" ht="15">
      <c r="A772" s="25" t="str">
        <f>IFERROR(INDEX('Hun Demand'!W:W,MATCH(O772,'Hun Demand'!A:A,0)),"")</f>
        <v/>
      </c>
      <c r="B772" s="25" t="str">
        <f>IFERROR(INDEX('Hun Demand'!V:V,MATCH(O772,'Hun Demand'!A:A,0)),"")</f>
        <v/>
      </c>
      <c r="C772" s="25" t="str">
        <f>IFERROR(INDEX('Hun Demand'!U:U,MATCH(O772,'Hun Demand'!A:A,0)),"")</f>
        <v/>
      </c>
      <c r="D772" s="25" t="str">
        <f>IFERROR(INDEX('Hun Demand'!T:T,MATCH(O772,'Hun Demand'!A:A,0)),"")</f>
        <v/>
      </c>
      <c r="E772" s="25" t="str">
        <f>IFERROR(INDEX('Hun Demand'!S:S,MATCH(O772,'Hun Demand'!A:A,0)),"")</f>
        <v/>
      </c>
      <c r="F772" s="25" t="str">
        <f>IFERROR(INDEX('Hun Demand'!R:R,MATCH(O772,'Hun Demand'!A:A,0)),"")</f>
        <v/>
      </c>
      <c r="G772" s="25">
        <f>IFERROR(INDEX('Aub Demand'!W:W,MATCH(O772,'Aub Demand'!A:A,0)),"")</f>
        <v>18</v>
      </c>
      <c r="H772" s="25">
        <f>IFERROR(INDEX('Aub Demand'!V:V,MATCH(O772,'Aub Demand'!A:A,0)),"")</f>
        <v>0</v>
      </c>
      <c r="I772" s="25">
        <f>IFERROR(INDEX('Aub Demand'!U:U,MATCH(O772,'Aub Demand'!A:A,0)),"")</f>
        <v>0</v>
      </c>
      <c r="J772" s="25">
        <f>IFERROR(INDEX('Aub Demand'!T:T,MATCH(O772,'Aub Demand'!A:A,0)),"")</f>
        <v>0</v>
      </c>
      <c r="K772" s="25">
        <f>IFERROR(INDEX('Aub Demand'!S:S,MATCH(O772,'Aub Demand'!A:A,0)),"")</f>
        <v>0</v>
      </c>
      <c r="L772" s="25">
        <f>IFERROR(INDEX('Aub Demand'!R:R,MATCH(O772,'Aub Demand'!A:A,0)),"")</f>
        <v>0</v>
      </c>
      <c r="O772" s="27" t="s">
        <v>1202</v>
      </c>
      <c r="P772" s="27" t="str">
        <f>IFERROR(INDEX('Aub Demand'!B:B,MATCH($O772,'Aub Demand'!$A:$A,0)),"")</f>
        <v>HEDGEROW</v>
      </c>
      <c r="Q772" s="27" t="str">
        <f>IFERROR(INDEX('Aub Demand'!C:C,MATCH($O772,'Aub Demand'!$A:$A,0)),"")</f>
        <v>AHLST</v>
      </c>
      <c r="R772" s="52">
        <f>IFERROR(IF(AR773=AR772,INDEX('Aub Demand'!K:K,MATCH($O772,'Aub Demand'!$A:$A,0))-IF(AN772="",0,AN772)+AP773,INDEX('Aub Demand'!K:K,MATCH($O772,'Aub Demand'!$A:$A,0))-IF(AN772="",0,AN772)),"")</f>
        <v>640</v>
      </c>
      <c r="S772" s="53" t="str">
        <f t="shared" si="336"/>
        <v>n/a</v>
      </c>
      <c r="T772" s="52" t="str">
        <f t="shared" si="337"/>
        <v/>
      </c>
      <c r="U772" s="52">
        <f>IFERROR(IF(AR773=AR772,INDEX('Aub Demand'!Q:Q,MATCH($O772,'Aub Demand'!$A:$A,0))-IF(AN772="",0,AN772)+AP773,INDEX('Aub Demand'!Q:Q,MATCH($O772,'Aub Demand'!$A:$A,0))-IF(AN772="",0,AN772)),"")</f>
        <v>640</v>
      </c>
      <c r="V772" s="53" t="str">
        <f t="shared" si="338"/>
        <v>n/a</v>
      </c>
      <c r="W772" s="52" t="str">
        <f t="shared" si="339"/>
        <v/>
      </c>
      <c r="X772" s="52">
        <f>IFERROR(IF(AND(AR773=AR772,AM772&lt;&gt;""),INDEX('Aub Demand'!Q:Q,MATCH($O772,'Aub Demand'!$A:$A,0))-IF(AN772="",0,AN772)+AP773+AD772+AL772,IF(AR773=AR772,INDEX('Aub Demand'!Q:Q,MATCH($O772,'Aub Demand'!$A:$A,0))-IF(AN772="",0,AN772)+AP773+AD772,IF(AM772&lt;&gt;"",INDEX('Aub Demand'!Q:Q,MATCH($O772,'Aub Demand'!$A:$A,0))-IF(AN772="",0,AN772)+AD772+AL772,INDEX('Aub Demand'!Q:Q,MATCH($O772,'Aub Demand'!$A:$A,0))-IF(AN772="",0,AN772)+AD772))),"")</f>
        <v>640</v>
      </c>
      <c r="Y772" s="53" t="str">
        <f t="shared" si="340"/>
        <v>n/a</v>
      </c>
      <c r="Z772" s="52">
        <f>IF(L772="","",INDEX('Aub Demand'!H:H,MATCH($O772,'Aub Demand'!$A:$A,0)))</f>
        <v>0</v>
      </c>
      <c r="AA772" s="52" t="str">
        <f t="shared" si="341"/>
        <v>-spike-</v>
      </c>
      <c r="AB772" s="52">
        <f>IFERROR(INDEX('Aub Demand'!L:L,MATCH($O772,'Aub Demand'!$A:$A,0)),"")</f>
        <v>0</v>
      </c>
      <c r="AC772" s="52">
        <f>IFERROR(IF(O772="","",SUMIFS('CPL Mats'!F:F,'CPL Mats'!Q:Q,AR772,'CPL Mats'!S:S,AS772)),"")</f>
        <v>0</v>
      </c>
      <c r="AF772" s="25" t="str">
        <f>IF(SUMIFS('Supp Consol'!S:S,'Supp Consol'!Y:Y,"Releasable",'Supp Consol'!A:A,O772)=0,"",SUMIFS('Supp Consol'!S:S,'Supp Consol'!Y:Y,"Releasable",'Supp Consol'!A:A,O772))</f>
        <v/>
      </c>
      <c r="AG772" s="25" t="str">
        <f>IFERROR(INDEX('Hun Demand'!Q:Q,MATCH(O772,'Hun Demand'!A:A,0)),"")</f>
        <v/>
      </c>
      <c r="AH772" s="25" t="str">
        <f>IFERROR(INDEX('Hun Demand'!H:H,MATCH($O772,'Hun Demand'!$A:$A,0)),"")</f>
        <v/>
      </c>
      <c r="AI772" s="25" t="str">
        <f>IF(SUMIFS('Supp Consol'!AA:AA,'Supp Consol'!Z:Z,"Expires this month",'Supp Consol'!A:A,O772)=0,"",SUMIFS('Supp Consol'!AA:AA,'Supp Consol'!Z:Z,"Expires this month",'Supp Consol'!A:A,O772))</f>
        <v/>
      </c>
      <c r="AJ772" s="25" t="str">
        <f>IF(SUMIFS('Supp Consol'!AA:AA,'Supp Consol'!Z:Z,"Expired Previous Months",'Supp Consol'!A:A,O772)=0,"",SUMIFS('Supp Consol'!AA:AA,'Supp Consol'!Z:Z,"Expired Previous Months",'Supp Consol'!A:A,O772))</f>
        <v/>
      </c>
      <c r="AK772" s="25" t="str">
        <f>IFERROR(INDEX('Hun Release Current'!B:B,MATCH(O772,'Hun Release Current'!A:A,0)),"")</f>
        <v/>
      </c>
      <c r="AL772" s="25" t="str">
        <f>IF(SUMIF('Prev Aub'!A:A,O772,'Prev Aub'!B:B)=0,"",SUMIF('Prev Aub'!A:A,O772,'Prev Aub'!B:B))</f>
        <v/>
      </c>
      <c r="AN772" s="25" t="s">
        <v>3790</v>
      </c>
      <c r="AO772" s="25" t="s">
        <v>3790</v>
      </c>
      <c r="AP772" s="25">
        <f t="shared" si="342"/>
        <v>0</v>
      </c>
      <c r="AQ772" s="151" t="str">
        <f>IF(SUMIFS('Supp Consol'!S:S,'Supp Consol'!A:A,O772,'Supp Consol'!I:I,"PENDING")=0,"",SUMIFS('Supp Consol'!S:S,'Supp Consol'!A:A,O772,'Supp Consol'!I:I,"PENDING"))</f>
        <v/>
      </c>
      <c r="AR772" s="27" t="str">
        <f t="shared" si="343"/>
        <v>MG170</v>
      </c>
      <c r="AS772" s="27" t="str">
        <f t="shared" si="344"/>
        <v>50</v>
      </c>
      <c r="AT772" s="27" t="str">
        <f t="shared" si="345"/>
        <v/>
      </c>
      <c r="AU772" s="27" t="str">
        <f t="shared" si="346"/>
        <v/>
      </c>
      <c r="AV772" s="27" t="str">
        <f t="shared" si="347"/>
        <v/>
      </c>
      <c r="AW772" s="27" t="str">
        <f t="shared" si="348"/>
        <v/>
      </c>
      <c r="AX772" s="27" t="str">
        <f t="shared" si="349"/>
        <v/>
      </c>
      <c r="AY772" s="27" t="str">
        <f t="shared" si="350"/>
        <v/>
      </c>
      <c r="AZ772" s="27" t="str">
        <f t="shared" si="351"/>
        <v/>
      </c>
      <c r="BA772" s="27" t="str">
        <f t="shared" si="352"/>
        <v/>
      </c>
      <c r="BB772" s="27" t="str">
        <f t="shared" si="353"/>
        <v/>
      </c>
      <c r="BC772" s="27" t="str">
        <f t="shared" si="354"/>
        <v/>
      </c>
      <c r="BD772" s="27" t="str">
        <f t="shared" si="355"/>
        <v/>
      </c>
      <c r="BE772" s="27" t="str">
        <f t="shared" si="356"/>
        <v/>
      </c>
      <c r="BF772" s="27" t="str">
        <f t="shared" si="357"/>
        <v/>
      </c>
      <c r="BG772" s="27" t="str">
        <f t="shared" si="358"/>
        <v/>
      </c>
      <c r="BH772" s="27" t="str">
        <f t="shared" si="359"/>
        <v/>
      </c>
      <c r="BI772" s="27" t="str">
        <f t="shared" si="360"/>
        <v/>
      </c>
      <c r="BJ772" s="27" t="str">
        <f t="shared" si="361"/>
        <v/>
      </c>
      <c r="BK772" s="27" t="str">
        <f t="shared" si="362"/>
        <v/>
      </c>
      <c r="BL772" s="27" t="str">
        <f t="shared" si="363"/>
        <v/>
      </c>
      <c r="BM772" s="21" t="s">
        <v>5581</v>
      </c>
    </row>
    <row r="773" spans="1:65" ht="15">
      <c r="A773" s="25" t="str">
        <f>IFERROR(INDEX('Hun Demand'!W:W,MATCH(O773,'Hun Demand'!A:A,0)),"")</f>
        <v/>
      </c>
      <c r="B773" s="25" t="str">
        <f>IFERROR(INDEX('Hun Demand'!V:V,MATCH(O773,'Hun Demand'!A:A,0)),"")</f>
        <v/>
      </c>
      <c r="C773" s="25" t="str">
        <f>IFERROR(INDEX('Hun Demand'!U:U,MATCH(O773,'Hun Demand'!A:A,0)),"")</f>
        <v/>
      </c>
      <c r="D773" s="25" t="str">
        <f>IFERROR(INDEX('Hun Demand'!T:T,MATCH(O773,'Hun Demand'!A:A,0)),"")</f>
        <v/>
      </c>
      <c r="E773" s="25" t="str">
        <f>IFERROR(INDEX('Hun Demand'!S:S,MATCH(O773,'Hun Demand'!A:A,0)),"")</f>
        <v/>
      </c>
      <c r="F773" s="25" t="str">
        <f>IFERROR(INDEX('Hun Demand'!R:R,MATCH(O773,'Hun Demand'!A:A,0)),"")</f>
        <v/>
      </c>
      <c r="G773" s="25">
        <f>IFERROR(INDEX('Aub Demand'!W:W,MATCH(O773,'Aub Demand'!A:A,0)),"")</f>
        <v>9</v>
      </c>
      <c r="H773" s="25">
        <f>IFERROR(INDEX('Aub Demand'!V:V,MATCH(O773,'Aub Demand'!A:A,0)),"")</f>
        <v>7</v>
      </c>
      <c r="I773" s="25">
        <f>IFERROR(INDEX('Aub Demand'!U:U,MATCH(O773,'Aub Demand'!A:A,0)),"")</f>
        <v>0</v>
      </c>
      <c r="J773" s="25">
        <f>IFERROR(INDEX('Aub Demand'!T:T,MATCH(O773,'Aub Demand'!A:A,0)),"")</f>
        <v>0</v>
      </c>
      <c r="K773" s="25">
        <f>IFERROR(INDEX('Aub Demand'!S:S,MATCH(O773,'Aub Demand'!A:A,0)),"")</f>
        <v>0</v>
      </c>
      <c r="L773" s="25">
        <f>IFERROR(INDEX('Aub Demand'!R:R,MATCH(O773,'Aub Demand'!A:A,0)),"")</f>
        <v>0</v>
      </c>
      <c r="O773" s="27" t="s">
        <v>1204</v>
      </c>
      <c r="P773" s="27" t="str">
        <f>IFERROR(INDEX('Aub Demand'!B:B,MATCH($O773,'Aub Demand'!$A:$A,0)),"")</f>
        <v>HEDGEROW</v>
      </c>
      <c r="Q773" s="27" t="str">
        <f>IFERROR(INDEX('Aub Demand'!C:C,MATCH($O773,'Aub Demand'!$A:$A,0)),"")</f>
        <v>AHLST</v>
      </c>
      <c r="R773" s="52">
        <f>IFERROR(IF(AR774=AR773,INDEX('Aub Demand'!K:K,MATCH($O773,'Aub Demand'!$A:$A,0))-IF(AN773="",0,AN773)+AP774,INDEX('Aub Demand'!K:K,MATCH($O773,'Aub Demand'!$A:$A,0))-IF(AN773="",0,AN773)),"")</f>
        <v>3751</v>
      </c>
      <c r="S773" s="53" t="str">
        <f t="shared" si="336"/>
        <v>n/a</v>
      </c>
      <c r="T773" s="52" t="str">
        <f t="shared" si="337"/>
        <v/>
      </c>
      <c r="U773" s="52">
        <f>IFERROR(IF(AR774=AR773,INDEX('Aub Demand'!Q:Q,MATCH($O773,'Aub Demand'!$A:$A,0))-IF(AN773="",0,AN773)+AP774,INDEX('Aub Demand'!Q:Q,MATCH($O773,'Aub Demand'!$A:$A,0))-IF(AN773="",0,AN773)),"")</f>
        <v>3751</v>
      </c>
      <c r="V773" s="53" t="str">
        <f t="shared" si="338"/>
        <v>n/a</v>
      </c>
      <c r="W773" s="52" t="str">
        <f t="shared" si="339"/>
        <v/>
      </c>
      <c r="X773" s="52">
        <f>IFERROR(IF(AND(AR774=AR773,AM773&lt;&gt;""),INDEX('Aub Demand'!Q:Q,MATCH($O773,'Aub Demand'!$A:$A,0))-IF(AN773="",0,AN773)+AP774+AD773+AL773,IF(AR774=AR773,INDEX('Aub Demand'!Q:Q,MATCH($O773,'Aub Demand'!$A:$A,0))-IF(AN773="",0,AN773)+AP774+AD773,IF(AM773&lt;&gt;"",INDEX('Aub Demand'!Q:Q,MATCH($O773,'Aub Demand'!$A:$A,0))-IF(AN773="",0,AN773)+AD773+AL773,INDEX('Aub Demand'!Q:Q,MATCH($O773,'Aub Demand'!$A:$A,0))-IF(AN773="",0,AN773)+AD773))),"")</f>
        <v>3751</v>
      </c>
      <c r="Y773" s="53" t="str">
        <f t="shared" si="340"/>
        <v>n/a</v>
      </c>
      <c r="Z773" s="52">
        <f>IF(L773="","",INDEX('Aub Demand'!H:H,MATCH($O773,'Aub Demand'!$A:$A,0)))</f>
        <v>0</v>
      </c>
      <c r="AA773" s="52" t="str">
        <f t="shared" si="341"/>
        <v>-spike-</v>
      </c>
      <c r="AB773" s="52">
        <f>IFERROR(INDEX('Aub Demand'!L:L,MATCH($O773,'Aub Demand'!$A:$A,0)),"")</f>
        <v>6</v>
      </c>
      <c r="AC773" s="52">
        <f>IFERROR(IF(O773="","",SUMIFS('CPL Mats'!F:F,'CPL Mats'!Q:Q,AR773,'CPL Mats'!S:S,AS773)),"")</f>
        <v>0</v>
      </c>
      <c r="AF773" s="25" t="str">
        <f>IF(SUMIFS('Supp Consol'!S:S,'Supp Consol'!Y:Y,"Releasable",'Supp Consol'!A:A,O773)=0,"",SUMIFS('Supp Consol'!S:S,'Supp Consol'!Y:Y,"Releasable",'Supp Consol'!A:A,O773))</f>
        <v/>
      </c>
      <c r="AG773" s="25" t="str">
        <f>IFERROR(INDEX('Hun Demand'!Q:Q,MATCH(O773,'Hun Demand'!A:A,0)),"")</f>
        <v/>
      </c>
      <c r="AH773" s="25" t="str">
        <f>IFERROR(INDEX('Hun Demand'!H:H,MATCH($O773,'Hun Demand'!$A:$A,0)),"")</f>
        <v/>
      </c>
      <c r="AI773" s="25" t="str">
        <f>IF(SUMIFS('Supp Consol'!AA:AA,'Supp Consol'!Z:Z,"Expires this month",'Supp Consol'!A:A,O773)=0,"",SUMIFS('Supp Consol'!AA:AA,'Supp Consol'!Z:Z,"Expires this month",'Supp Consol'!A:A,O773))</f>
        <v/>
      </c>
      <c r="AJ773" s="25" t="str">
        <f>IF(SUMIFS('Supp Consol'!AA:AA,'Supp Consol'!Z:Z,"Expired Previous Months",'Supp Consol'!A:A,O773)=0,"",SUMIFS('Supp Consol'!AA:AA,'Supp Consol'!Z:Z,"Expired Previous Months",'Supp Consol'!A:A,O773))</f>
        <v/>
      </c>
      <c r="AK773" s="25" t="str">
        <f>IFERROR(INDEX('Hun Release Current'!B:B,MATCH(O773,'Hun Release Current'!A:A,0)),"")</f>
        <v/>
      </c>
      <c r="AL773" s="25" t="str">
        <f>IF(SUMIF('Prev Aub'!A:A,O773,'Prev Aub'!B:B)=0,"",SUMIF('Prev Aub'!A:A,O773,'Prev Aub'!B:B))</f>
        <v/>
      </c>
      <c r="AN773" s="25" t="s">
        <v>3790</v>
      </c>
      <c r="AO773" s="25" t="s">
        <v>3790</v>
      </c>
      <c r="AP773" s="25">
        <f t="shared" si="342"/>
        <v>0</v>
      </c>
      <c r="AQ773" s="151" t="str">
        <f>IF(SUMIFS('Supp Consol'!S:S,'Supp Consol'!A:A,O773,'Supp Consol'!I:I,"PENDING")=0,"",SUMIFS('Supp Consol'!S:S,'Supp Consol'!A:A,O773,'Supp Consol'!I:I,"PENDING"))</f>
        <v/>
      </c>
      <c r="AR773" s="27" t="str">
        <f t="shared" si="343"/>
        <v>MG170</v>
      </c>
      <c r="AS773" s="27" t="str">
        <f t="shared" si="344"/>
        <v>62</v>
      </c>
      <c r="AT773" s="27" t="str">
        <f t="shared" si="345"/>
        <v/>
      </c>
      <c r="AU773" s="27" t="str">
        <f t="shared" si="346"/>
        <v/>
      </c>
      <c r="AV773" s="27" t="str">
        <f t="shared" si="347"/>
        <v/>
      </c>
      <c r="AW773" s="27" t="str">
        <f t="shared" si="348"/>
        <v/>
      </c>
      <c r="AX773" s="27" t="str">
        <f t="shared" si="349"/>
        <v/>
      </c>
      <c r="AY773" s="27" t="str">
        <f t="shared" si="350"/>
        <v/>
      </c>
      <c r="AZ773" s="27" t="str">
        <f t="shared" si="351"/>
        <v/>
      </c>
      <c r="BA773" s="27" t="str">
        <f t="shared" si="352"/>
        <v/>
      </c>
      <c r="BB773" s="27" t="str">
        <f t="shared" si="353"/>
        <v/>
      </c>
      <c r="BC773" s="27" t="str">
        <f t="shared" si="354"/>
        <v/>
      </c>
      <c r="BD773" s="27" t="str">
        <f t="shared" si="355"/>
        <v/>
      </c>
      <c r="BE773" s="27" t="str">
        <f t="shared" si="356"/>
        <v/>
      </c>
      <c r="BF773" s="27" t="str">
        <f t="shared" si="357"/>
        <v/>
      </c>
      <c r="BG773" s="27" t="str">
        <f t="shared" si="358"/>
        <v/>
      </c>
      <c r="BH773" s="27" t="str">
        <f t="shared" si="359"/>
        <v/>
      </c>
      <c r="BI773" s="27" t="str">
        <f t="shared" si="360"/>
        <v/>
      </c>
      <c r="BJ773" s="27" t="str">
        <f t="shared" si="361"/>
        <v/>
      </c>
      <c r="BK773" s="27" t="str">
        <f t="shared" si="362"/>
        <v/>
      </c>
      <c r="BL773" s="27" t="str">
        <f t="shared" si="363"/>
        <v/>
      </c>
      <c r="BM773" s="21" t="s">
        <v>5581</v>
      </c>
    </row>
    <row r="774" spans="1:65" ht="15">
      <c r="A774" s="25" t="str">
        <f>IFERROR(INDEX('Hun Demand'!W:W,MATCH(O774,'Hun Demand'!A:A,0)),"")</f>
        <v/>
      </c>
      <c r="B774" s="25" t="str">
        <f>IFERROR(INDEX('Hun Demand'!V:V,MATCH(O774,'Hun Demand'!A:A,0)),"")</f>
        <v/>
      </c>
      <c r="C774" s="25" t="str">
        <f>IFERROR(INDEX('Hun Demand'!U:U,MATCH(O774,'Hun Demand'!A:A,0)),"")</f>
        <v/>
      </c>
      <c r="D774" s="25" t="str">
        <f>IFERROR(INDEX('Hun Demand'!T:T,MATCH(O774,'Hun Demand'!A:A,0)),"")</f>
        <v/>
      </c>
      <c r="E774" s="25" t="str">
        <f>IFERROR(INDEX('Hun Demand'!S:S,MATCH(O774,'Hun Demand'!A:A,0)),"")</f>
        <v/>
      </c>
      <c r="F774" s="25" t="str">
        <f>IFERROR(INDEX('Hun Demand'!R:R,MATCH(O774,'Hun Demand'!A:A,0)),"")</f>
        <v/>
      </c>
      <c r="G774" s="25">
        <f>IFERROR(INDEX('Aub Demand'!W:W,MATCH(O774,'Aub Demand'!A:A,0)),"")</f>
        <v>339</v>
      </c>
      <c r="H774" s="25">
        <f>IFERROR(INDEX('Aub Demand'!V:V,MATCH(O774,'Aub Demand'!A:A,0)),"")</f>
        <v>71</v>
      </c>
      <c r="I774" s="25">
        <f>IFERROR(INDEX('Aub Demand'!U:U,MATCH(O774,'Aub Demand'!A:A,0)),"")</f>
        <v>56</v>
      </c>
      <c r="J774" s="25">
        <f>IFERROR(INDEX('Aub Demand'!T:T,MATCH(O774,'Aub Demand'!A:A,0)),"")</f>
        <v>105</v>
      </c>
      <c r="K774" s="25">
        <f>IFERROR(INDEX('Aub Demand'!S:S,MATCH(O774,'Aub Demand'!A:A,0)),"")</f>
        <v>54</v>
      </c>
      <c r="L774" s="25">
        <f>IFERROR(INDEX('Aub Demand'!R:R,MATCH(O774,'Aub Demand'!A:A,0)),"")</f>
        <v>14</v>
      </c>
      <c r="O774" s="27" t="s">
        <v>1205</v>
      </c>
      <c r="P774" s="27" t="str">
        <f>IFERROR(INDEX('Aub Demand'!B:B,MATCH($O774,'Aub Demand'!$A:$A,0)),"")</f>
        <v>GALACTIC DUST</v>
      </c>
      <c r="Q774" s="27" t="str">
        <f>IFERROR(INDEX('Aub Demand'!C:C,MATCH($O774,'Aub Demand'!$A:$A,0)),"")</f>
        <v>SUDDE</v>
      </c>
      <c r="R774" s="52">
        <f>IFERROR(IF(AR775=AR774,INDEX('Aub Demand'!K:K,MATCH($O774,'Aub Demand'!$A:$A,0))-IF(AN774="",0,AN774)+AP775,INDEX('Aub Demand'!K:K,MATCH($O774,'Aub Demand'!$A:$A,0))-IF(AN774="",0,AN774)),"")</f>
        <v>425</v>
      </c>
      <c r="S774" s="53">
        <f t="shared" si="336"/>
        <v>25.3</v>
      </c>
      <c r="T774" s="52" t="str">
        <f t="shared" si="337"/>
        <v/>
      </c>
      <c r="U774" s="52">
        <f>IFERROR(IF(AR775=AR774,INDEX('Aub Demand'!Q:Q,MATCH($O774,'Aub Demand'!$A:$A,0))-IF(AN774="",0,AN774)+AP775,INDEX('Aub Demand'!Q:Q,MATCH($O774,'Aub Demand'!$A:$A,0))-IF(AN774="",0,AN774)),"")</f>
        <v>353</v>
      </c>
      <c r="V774" s="53">
        <f t="shared" si="338"/>
        <v>21</v>
      </c>
      <c r="W774" s="52" t="str">
        <f t="shared" si="339"/>
        <v/>
      </c>
      <c r="X774" s="52">
        <f>IFERROR(IF(AND(AR775=AR774,AM774&lt;&gt;""),INDEX('Aub Demand'!Q:Q,MATCH($O774,'Aub Demand'!$A:$A,0))-IF(AN774="",0,AN774)+AP775+AD774+AL774,IF(AR775=AR774,INDEX('Aub Demand'!Q:Q,MATCH($O774,'Aub Demand'!$A:$A,0))-IF(AN774="",0,AN774)+AP775+AD774,IF(AM774&lt;&gt;"",INDEX('Aub Demand'!Q:Q,MATCH($O774,'Aub Demand'!$A:$A,0))-IF(AN774="",0,AN774)+AD774+AL774,INDEX('Aub Demand'!Q:Q,MATCH($O774,'Aub Demand'!$A:$A,0))-IF(AN774="",0,AN774)+AD774))),"")</f>
        <v>353</v>
      </c>
      <c r="Y774" s="53">
        <f t="shared" si="340"/>
        <v>21</v>
      </c>
      <c r="Z774" s="52">
        <f>IF(L774="","",INDEX('Aub Demand'!H:H,MATCH($O774,'Aub Demand'!$A:$A,0)))</f>
        <v>72</v>
      </c>
      <c r="AA774" s="52">
        <f t="shared" si="341"/>
        <v>80.5</v>
      </c>
      <c r="AB774" s="52">
        <f>IFERROR(INDEX('Aub Demand'!L:L,MATCH($O774,'Aub Demand'!$A:$A,0)),"")</f>
        <v>30</v>
      </c>
      <c r="AC774" s="52">
        <f>IFERROR(IF(O774="","",SUMIFS('CPL Mats'!F:F,'CPL Mats'!Q:Q,AR774,'CPL Mats'!S:S,AS774)),"")</f>
        <v>0</v>
      </c>
      <c r="AF774" s="25">
        <f>IF(SUMIFS('Supp Consol'!S:S,'Supp Consol'!Y:Y,"Releasable",'Supp Consol'!A:A,O774)=0,"",SUMIFS('Supp Consol'!S:S,'Supp Consol'!Y:Y,"Releasable",'Supp Consol'!A:A,O774))</f>
        <v>2470</v>
      </c>
      <c r="AG774" s="25" t="str">
        <f>IFERROR(INDEX('Hun Demand'!Q:Q,MATCH(O774,'Hun Demand'!A:A,0)),"")</f>
        <v/>
      </c>
      <c r="AH774" s="25" t="str">
        <f>IFERROR(INDEX('Hun Demand'!H:H,MATCH($O774,'Hun Demand'!$A:$A,0)),"")</f>
        <v/>
      </c>
      <c r="AI774" s="25" t="str">
        <f>IF(SUMIFS('Supp Consol'!AA:AA,'Supp Consol'!Z:Z,"Expires this month",'Supp Consol'!A:A,O774)=0,"",SUMIFS('Supp Consol'!AA:AA,'Supp Consol'!Z:Z,"Expires this month",'Supp Consol'!A:A,O774))</f>
        <v/>
      </c>
      <c r="AJ774" s="25" t="str">
        <f>IF(SUMIFS('Supp Consol'!AA:AA,'Supp Consol'!Z:Z,"Expired Previous Months",'Supp Consol'!A:A,O774)=0,"",SUMIFS('Supp Consol'!AA:AA,'Supp Consol'!Z:Z,"Expired Previous Months",'Supp Consol'!A:A,O774))</f>
        <v/>
      </c>
      <c r="AK774" s="25" t="str">
        <f>IFERROR(INDEX('Hun Release Current'!B:B,MATCH(O774,'Hun Release Current'!A:A,0)),"")</f>
        <v/>
      </c>
      <c r="AL774" s="25" t="str">
        <f>IF(SUMIF('Prev Aub'!A:A,O774,'Prev Aub'!B:B)=0,"",SUMIF('Prev Aub'!A:A,O774,'Prev Aub'!B:B))</f>
        <v/>
      </c>
      <c r="AN774" s="25" t="s">
        <v>3790</v>
      </c>
      <c r="AO774" s="25" t="s">
        <v>3790</v>
      </c>
      <c r="AP774" s="25">
        <f t="shared" si="342"/>
        <v>0</v>
      </c>
      <c r="AQ774" s="151" t="str">
        <f>IF(SUMIFS('Supp Consol'!S:S,'Supp Consol'!A:A,O774,'Supp Consol'!I:I,"PENDING")=0,"",SUMIFS('Supp Consol'!S:S,'Supp Consol'!A:A,O774,'Supp Consol'!I:I,"PENDING"))</f>
        <v/>
      </c>
      <c r="AR774" s="27" t="str">
        <f t="shared" si="343"/>
        <v>MG180</v>
      </c>
      <c r="AS774" s="27" t="str">
        <f t="shared" si="344"/>
        <v>62</v>
      </c>
      <c r="AT774" s="27" t="str">
        <f t="shared" si="345"/>
        <v/>
      </c>
      <c r="AU774" s="27" t="str">
        <f t="shared" si="346"/>
        <v/>
      </c>
      <c r="AV774" s="27" t="str">
        <f t="shared" si="347"/>
        <v/>
      </c>
      <c r="AW774" s="27" t="str">
        <f t="shared" si="348"/>
        <v/>
      </c>
      <c r="AX774" s="27" t="str">
        <f t="shared" si="349"/>
        <v>MG180</v>
      </c>
      <c r="AY774" s="27" t="str">
        <f t="shared" si="350"/>
        <v/>
      </c>
      <c r="AZ774" s="27" t="str">
        <f t="shared" si="351"/>
        <v>Supp</v>
      </c>
      <c r="BA774" s="27" t="str">
        <f t="shared" si="352"/>
        <v/>
      </c>
      <c r="BB774" s="27" t="str">
        <f t="shared" si="353"/>
        <v/>
      </c>
      <c r="BC774" s="27" t="str">
        <f t="shared" si="354"/>
        <v/>
      </c>
      <c r="BD774" s="27" t="str">
        <f t="shared" si="355"/>
        <v/>
      </c>
      <c r="BE774" s="27" t="str">
        <f t="shared" si="356"/>
        <v/>
      </c>
      <c r="BF774" s="27" t="str">
        <f t="shared" si="357"/>
        <v/>
      </c>
      <c r="BG774" s="27" t="str">
        <f t="shared" si="358"/>
        <v/>
      </c>
      <c r="BH774" s="27" t="str">
        <f t="shared" si="359"/>
        <v/>
      </c>
      <c r="BI774" s="27" t="str">
        <f t="shared" si="360"/>
        <v/>
      </c>
      <c r="BJ774" s="27" t="str">
        <f t="shared" si="361"/>
        <v>Supp or Hun</v>
      </c>
      <c r="BK774" s="27" t="str">
        <f t="shared" si="362"/>
        <v/>
      </c>
      <c r="BL774" s="27" t="str">
        <f t="shared" si="363"/>
        <v/>
      </c>
      <c r="BM774" s="21" t="s">
        <v>5581</v>
      </c>
    </row>
    <row r="775" spans="1:65" ht="15">
      <c r="A775" s="25" t="str">
        <f>IFERROR(INDEX('Hun Demand'!W:W,MATCH(O775,'Hun Demand'!A:A,0)),"")</f>
        <v/>
      </c>
      <c r="B775" s="25" t="str">
        <f>IFERROR(INDEX('Hun Demand'!V:V,MATCH(O775,'Hun Demand'!A:A,0)),"")</f>
        <v/>
      </c>
      <c r="C775" s="25" t="str">
        <f>IFERROR(INDEX('Hun Demand'!U:U,MATCH(O775,'Hun Demand'!A:A,0)),"")</f>
        <v/>
      </c>
      <c r="D775" s="25" t="str">
        <f>IFERROR(INDEX('Hun Demand'!T:T,MATCH(O775,'Hun Demand'!A:A,0)),"")</f>
        <v/>
      </c>
      <c r="E775" s="25" t="str">
        <f>IFERROR(INDEX('Hun Demand'!S:S,MATCH(O775,'Hun Demand'!A:A,0)),"")</f>
        <v/>
      </c>
      <c r="F775" s="25" t="str">
        <f>IFERROR(INDEX('Hun Demand'!R:R,MATCH(O775,'Hun Demand'!A:A,0)),"")</f>
        <v/>
      </c>
      <c r="G775" s="25">
        <f>IFERROR(INDEX('Aub Demand'!W:W,MATCH(O775,'Aub Demand'!A:A,0)),"")</f>
        <v>0</v>
      </c>
      <c r="H775" s="25">
        <f>IFERROR(INDEX('Aub Demand'!V:V,MATCH(O775,'Aub Demand'!A:A,0)),"")</f>
        <v>6</v>
      </c>
      <c r="I775" s="25">
        <f>IFERROR(INDEX('Aub Demand'!U:U,MATCH(O775,'Aub Demand'!A:A,0)),"")</f>
        <v>12</v>
      </c>
      <c r="J775" s="25">
        <f>IFERROR(INDEX('Aub Demand'!T:T,MATCH(O775,'Aub Demand'!A:A,0)),"")</f>
        <v>34</v>
      </c>
      <c r="K775" s="25">
        <f>IFERROR(INDEX('Aub Demand'!S:S,MATCH(O775,'Aub Demand'!A:A,0)),"")</f>
        <v>3</v>
      </c>
      <c r="L775" s="25">
        <f>IFERROR(INDEX('Aub Demand'!R:R,MATCH(O775,'Aub Demand'!A:A,0)),"")</f>
        <v>2</v>
      </c>
      <c r="O775" s="27" t="s">
        <v>1207</v>
      </c>
      <c r="P775" s="27" t="str">
        <f>IFERROR(INDEX('Aub Demand'!B:B,MATCH($O775,'Aub Demand'!$A:$A,0)),"")</f>
        <v>RICE LAKE</v>
      </c>
      <c r="Q775" s="27" t="str">
        <f>IFERROR(INDEX('Aub Demand'!C:C,MATCH($O775,'Aub Demand'!$A:$A,0)),"")</f>
        <v>SCHAT</v>
      </c>
      <c r="R775" s="52">
        <f>IFERROR(IF(AR776=AR775,INDEX('Aub Demand'!K:K,MATCH($O775,'Aub Demand'!$A:$A,0))-IF(AN775="",0,AN775)+AP776,INDEX('Aub Demand'!K:K,MATCH($O775,'Aub Demand'!$A:$A,0))-IF(AN775="",0,AN775)),"")</f>
        <v>1012</v>
      </c>
      <c r="S775" s="53">
        <f t="shared" si="336"/>
        <v>271.10000000000002</v>
      </c>
      <c r="T775" s="52" t="str">
        <f t="shared" si="337"/>
        <v/>
      </c>
      <c r="U775" s="52">
        <f>IFERROR(IF(AR776=AR775,INDEX('Aub Demand'!Q:Q,MATCH($O775,'Aub Demand'!$A:$A,0))-IF(AN775="",0,AN775)+AP776,INDEX('Aub Demand'!Q:Q,MATCH($O775,'Aub Demand'!$A:$A,0))-IF(AN775="",0,AN775)),"")</f>
        <v>1003</v>
      </c>
      <c r="V775" s="53">
        <f t="shared" si="338"/>
        <v>268.7</v>
      </c>
      <c r="W775" s="52" t="str">
        <f t="shared" si="339"/>
        <v/>
      </c>
      <c r="X775" s="52">
        <f>IFERROR(IF(AND(AR776=AR775,AM775&lt;&gt;""),INDEX('Aub Demand'!Q:Q,MATCH($O775,'Aub Demand'!$A:$A,0))-IF(AN775="",0,AN775)+AP776+AD775+AL775,IF(AR776=AR775,INDEX('Aub Demand'!Q:Q,MATCH($O775,'Aub Demand'!$A:$A,0))-IF(AN775="",0,AN775)+AP776+AD775,IF(AM775&lt;&gt;"",INDEX('Aub Demand'!Q:Q,MATCH($O775,'Aub Demand'!$A:$A,0))-IF(AN775="",0,AN775)+AD775+AL775,INDEX('Aub Demand'!Q:Q,MATCH($O775,'Aub Demand'!$A:$A,0))-IF(AN775="",0,AN775)+AD775))),"")</f>
        <v>1003</v>
      </c>
      <c r="Y775" s="53">
        <f t="shared" si="340"/>
        <v>268.7</v>
      </c>
      <c r="Z775" s="52">
        <f>IF(L775="","",INDEX('Aub Demand'!H:H,MATCH($O775,'Aub Demand'!$A:$A,0)))</f>
        <v>16</v>
      </c>
      <c r="AA775" s="52">
        <f t="shared" si="341"/>
        <v>23</v>
      </c>
      <c r="AB775" s="52">
        <f>IFERROR(INDEX('Aub Demand'!L:L,MATCH($O775,'Aub Demand'!$A:$A,0)),"")</f>
        <v>11</v>
      </c>
      <c r="AC775" s="52">
        <f>IFERROR(IF(O775="","",SUMIFS('CPL Mats'!F:F,'CPL Mats'!Q:Q,AR775,'CPL Mats'!S:S,AS775)),"")</f>
        <v>0</v>
      </c>
      <c r="AF775" s="25" t="str">
        <f>IF(SUMIFS('Supp Consol'!S:S,'Supp Consol'!Y:Y,"Releasable",'Supp Consol'!A:A,O775)=0,"",SUMIFS('Supp Consol'!S:S,'Supp Consol'!Y:Y,"Releasable",'Supp Consol'!A:A,O775))</f>
        <v/>
      </c>
      <c r="AG775" s="25" t="str">
        <f>IFERROR(INDEX('Hun Demand'!Q:Q,MATCH(O775,'Hun Demand'!A:A,0)),"")</f>
        <v/>
      </c>
      <c r="AH775" s="25" t="str">
        <f>IFERROR(INDEX('Hun Demand'!H:H,MATCH($O775,'Hun Demand'!$A:$A,0)),"")</f>
        <v/>
      </c>
      <c r="AI775" s="25" t="str">
        <f>IF(SUMIFS('Supp Consol'!AA:AA,'Supp Consol'!Z:Z,"Expires this month",'Supp Consol'!A:A,O775)=0,"",SUMIFS('Supp Consol'!AA:AA,'Supp Consol'!Z:Z,"Expires this month",'Supp Consol'!A:A,O775))</f>
        <v/>
      </c>
      <c r="AJ775" s="25" t="str">
        <f>IF(SUMIFS('Supp Consol'!AA:AA,'Supp Consol'!Z:Z,"Expired Previous Months",'Supp Consol'!A:A,O775)=0,"",SUMIFS('Supp Consol'!AA:AA,'Supp Consol'!Z:Z,"Expired Previous Months",'Supp Consol'!A:A,O775))</f>
        <v/>
      </c>
      <c r="AK775" s="25" t="str">
        <f>IFERROR(INDEX('Hun Release Current'!B:B,MATCH(O775,'Hun Release Current'!A:A,0)),"")</f>
        <v/>
      </c>
      <c r="AL775" s="25" t="str">
        <f>IF(SUMIF('Prev Aub'!A:A,O775,'Prev Aub'!B:B)=0,"",SUMIF('Prev Aub'!A:A,O775,'Prev Aub'!B:B))</f>
        <v/>
      </c>
      <c r="AN775" s="25" t="s">
        <v>3790</v>
      </c>
      <c r="AO775" s="25" t="s">
        <v>3790</v>
      </c>
      <c r="AP775" s="25">
        <f t="shared" si="342"/>
        <v>0</v>
      </c>
      <c r="AQ775" s="151" t="str">
        <f>IF(SUMIFS('Supp Consol'!S:S,'Supp Consol'!A:A,O775,'Supp Consol'!I:I,"PENDING")=0,"",SUMIFS('Supp Consol'!S:S,'Supp Consol'!A:A,O775,'Supp Consol'!I:I,"PENDING"))</f>
        <v/>
      </c>
      <c r="AR775" s="27" t="str">
        <f t="shared" si="343"/>
        <v>MG190</v>
      </c>
      <c r="AS775" s="27" t="str">
        <f t="shared" si="344"/>
        <v>50</v>
      </c>
      <c r="AT775" s="27" t="str">
        <f t="shared" si="345"/>
        <v/>
      </c>
      <c r="AU775" s="27" t="str">
        <f t="shared" si="346"/>
        <v/>
      </c>
      <c r="AV775" s="27" t="str">
        <f t="shared" si="347"/>
        <v/>
      </c>
      <c r="AW775" s="27" t="str">
        <f t="shared" si="348"/>
        <v/>
      </c>
      <c r="AX775" s="27" t="str">
        <f t="shared" si="349"/>
        <v/>
      </c>
      <c r="AY775" s="27" t="str">
        <f t="shared" si="350"/>
        <v/>
      </c>
      <c r="AZ775" s="27" t="str">
        <f t="shared" si="351"/>
        <v/>
      </c>
      <c r="BA775" s="27" t="str">
        <f t="shared" si="352"/>
        <v/>
      </c>
      <c r="BB775" s="27" t="str">
        <f t="shared" si="353"/>
        <v/>
      </c>
      <c r="BC775" s="27" t="str">
        <f t="shared" si="354"/>
        <v/>
      </c>
      <c r="BD775" s="27" t="str">
        <f t="shared" si="355"/>
        <v/>
      </c>
      <c r="BE775" s="27" t="str">
        <f t="shared" si="356"/>
        <v/>
      </c>
      <c r="BF775" s="27" t="str">
        <f t="shared" si="357"/>
        <v/>
      </c>
      <c r="BG775" s="27" t="str">
        <f t="shared" si="358"/>
        <v/>
      </c>
      <c r="BH775" s="27" t="str">
        <f t="shared" si="359"/>
        <v/>
      </c>
      <c r="BI775" s="27" t="str">
        <f t="shared" si="360"/>
        <v/>
      </c>
      <c r="BJ775" s="27" t="str">
        <f t="shared" si="361"/>
        <v/>
      </c>
      <c r="BK775" s="27" t="str">
        <f t="shared" si="362"/>
        <v/>
      </c>
      <c r="BL775" s="27" t="str">
        <f t="shared" si="363"/>
        <v/>
      </c>
      <c r="BM775" s="21" t="s">
        <v>5581</v>
      </c>
    </row>
    <row r="776" spans="1:65" ht="15">
      <c r="A776" s="25" t="str">
        <f>IFERROR(INDEX('Hun Demand'!W:W,MATCH(O776,'Hun Demand'!A:A,0)),"")</f>
        <v/>
      </c>
      <c r="B776" s="25" t="str">
        <f>IFERROR(INDEX('Hun Demand'!V:V,MATCH(O776,'Hun Demand'!A:A,0)),"")</f>
        <v/>
      </c>
      <c r="C776" s="25" t="str">
        <f>IFERROR(INDEX('Hun Demand'!U:U,MATCH(O776,'Hun Demand'!A:A,0)),"")</f>
        <v/>
      </c>
      <c r="D776" s="25" t="str">
        <f>IFERROR(INDEX('Hun Demand'!T:T,MATCH(O776,'Hun Demand'!A:A,0)),"")</f>
        <v/>
      </c>
      <c r="E776" s="25" t="str">
        <f>IFERROR(INDEX('Hun Demand'!S:S,MATCH(O776,'Hun Demand'!A:A,0)),"")</f>
        <v/>
      </c>
      <c r="F776" s="25" t="str">
        <f>IFERROR(INDEX('Hun Demand'!R:R,MATCH(O776,'Hun Demand'!A:A,0)),"")</f>
        <v/>
      </c>
      <c r="G776" s="25">
        <f>IFERROR(INDEX('Aub Demand'!W:W,MATCH(O776,'Aub Demand'!A:A,0)),"")</f>
        <v>213</v>
      </c>
      <c r="H776" s="25">
        <f>IFERROR(INDEX('Aub Demand'!V:V,MATCH(O776,'Aub Demand'!A:A,0)),"")</f>
        <v>8</v>
      </c>
      <c r="I776" s="25">
        <f>IFERROR(INDEX('Aub Demand'!U:U,MATCH(O776,'Aub Demand'!A:A,0)),"")</f>
        <v>145</v>
      </c>
      <c r="J776" s="25">
        <f>IFERROR(INDEX('Aub Demand'!T:T,MATCH(O776,'Aub Demand'!A:A,0)),"")</f>
        <v>164</v>
      </c>
      <c r="K776" s="25">
        <f>IFERROR(INDEX('Aub Demand'!S:S,MATCH(O776,'Aub Demand'!A:A,0)),"")</f>
        <v>114</v>
      </c>
      <c r="L776" s="25">
        <f>IFERROR(INDEX('Aub Demand'!R:R,MATCH(O776,'Aub Demand'!A:A,0)),"")</f>
        <v>0</v>
      </c>
      <c r="O776" s="27" t="s">
        <v>1209</v>
      </c>
      <c r="P776" s="27" t="str">
        <f>IFERROR(INDEX('Aub Demand'!B:B,MATCH($O776,'Aub Demand'!$A:$A,0)),"")</f>
        <v>RICE LAKE</v>
      </c>
      <c r="Q776" s="27" t="str">
        <f>IFERROR(INDEX('Aub Demand'!C:C,MATCH($O776,'Aub Demand'!$A:$A,0)),"")</f>
        <v>SCHAT</v>
      </c>
      <c r="R776" s="52">
        <f>IFERROR(IF(AR777=AR776,INDEX('Aub Demand'!K:K,MATCH($O776,'Aub Demand'!$A:$A,0))-IF(AN776="",0,AN776)+AP777,INDEX('Aub Demand'!K:K,MATCH($O776,'Aub Demand'!$A:$A,0))-IF(AN776="",0,AN776)),"")</f>
        <v>1266</v>
      </c>
      <c r="S776" s="53">
        <f t="shared" si="336"/>
        <v>38.5</v>
      </c>
      <c r="T776" s="52" t="str">
        <f t="shared" si="337"/>
        <v/>
      </c>
      <c r="U776" s="52">
        <f>IFERROR(IF(AR777=AR776,INDEX('Aub Demand'!Q:Q,MATCH($O776,'Aub Demand'!$A:$A,0))-IF(AN776="",0,AN776)+AP777,INDEX('Aub Demand'!Q:Q,MATCH($O776,'Aub Demand'!$A:$A,0))-IF(AN776="",0,AN776)),"")</f>
        <v>1191</v>
      </c>
      <c r="V776" s="53">
        <f t="shared" si="338"/>
        <v>36.200000000000003</v>
      </c>
      <c r="W776" s="52" t="str">
        <f t="shared" si="339"/>
        <v/>
      </c>
      <c r="X776" s="52">
        <f>IFERROR(IF(AND(AR777=AR776,AM776&lt;&gt;""),INDEX('Aub Demand'!Q:Q,MATCH($O776,'Aub Demand'!$A:$A,0))-IF(AN776="",0,AN776)+AP777+AD776+AL776,IF(AR777=AR776,INDEX('Aub Demand'!Q:Q,MATCH($O776,'Aub Demand'!$A:$A,0))-IF(AN776="",0,AN776)+AP777+AD776,IF(AM776&lt;&gt;"",INDEX('Aub Demand'!Q:Q,MATCH($O776,'Aub Demand'!$A:$A,0))-IF(AN776="",0,AN776)+AD776+AL776,INDEX('Aub Demand'!Q:Q,MATCH($O776,'Aub Demand'!$A:$A,0))-IF(AN776="",0,AN776)+AD776))),"")</f>
        <v>1191</v>
      </c>
      <c r="Y776" s="53">
        <f t="shared" si="340"/>
        <v>36.200000000000003</v>
      </c>
      <c r="Z776" s="52">
        <f>IF(L776="","",INDEX('Aub Demand'!H:H,MATCH($O776,'Aub Demand'!$A:$A,0)))</f>
        <v>141</v>
      </c>
      <c r="AA776" s="52">
        <f t="shared" si="341"/>
        <v>154.5</v>
      </c>
      <c r="AB776" s="52">
        <f>IFERROR(INDEX('Aub Demand'!L:L,MATCH($O776,'Aub Demand'!$A:$A,0)),"")</f>
        <v>112</v>
      </c>
      <c r="AC776" s="52">
        <f>IFERROR(IF(O776="","",SUMIFS('CPL Mats'!F:F,'CPL Mats'!Q:Q,AR776,'CPL Mats'!S:S,AS776)),"")</f>
        <v>0</v>
      </c>
      <c r="AF776" s="25" t="str">
        <f>IF(SUMIFS('Supp Consol'!S:S,'Supp Consol'!Y:Y,"Releasable",'Supp Consol'!A:A,O776)=0,"",SUMIFS('Supp Consol'!S:S,'Supp Consol'!Y:Y,"Releasable",'Supp Consol'!A:A,O776))</f>
        <v/>
      </c>
      <c r="AG776" s="25" t="str">
        <f>IFERROR(INDEX('Hun Demand'!Q:Q,MATCH(O776,'Hun Demand'!A:A,0)),"")</f>
        <v/>
      </c>
      <c r="AH776" s="25" t="str">
        <f>IFERROR(INDEX('Hun Demand'!H:H,MATCH($O776,'Hun Demand'!$A:$A,0)),"")</f>
        <v/>
      </c>
      <c r="AI776" s="25" t="str">
        <f>IF(SUMIFS('Supp Consol'!AA:AA,'Supp Consol'!Z:Z,"Expires this month",'Supp Consol'!A:A,O776)=0,"",SUMIFS('Supp Consol'!AA:AA,'Supp Consol'!Z:Z,"Expires this month",'Supp Consol'!A:A,O776))</f>
        <v/>
      </c>
      <c r="AJ776" s="25" t="str">
        <f>IF(SUMIFS('Supp Consol'!AA:AA,'Supp Consol'!Z:Z,"Expired Previous Months",'Supp Consol'!A:A,O776)=0,"",SUMIFS('Supp Consol'!AA:AA,'Supp Consol'!Z:Z,"Expired Previous Months",'Supp Consol'!A:A,O776))</f>
        <v/>
      </c>
      <c r="AK776" s="25" t="str">
        <f>IFERROR(INDEX('Hun Release Current'!B:B,MATCH(O776,'Hun Release Current'!A:A,0)),"")</f>
        <v/>
      </c>
      <c r="AL776" s="25" t="str">
        <f>IF(SUMIF('Prev Aub'!A:A,O776,'Prev Aub'!B:B)=0,"",SUMIF('Prev Aub'!A:A,O776,'Prev Aub'!B:B))</f>
        <v/>
      </c>
      <c r="AN776" s="25" t="s">
        <v>3790</v>
      </c>
      <c r="AO776" s="25" t="s">
        <v>3790</v>
      </c>
      <c r="AP776" s="25">
        <f t="shared" si="342"/>
        <v>0</v>
      </c>
      <c r="AQ776" s="151" t="str">
        <f>IF(SUMIFS('Supp Consol'!S:S,'Supp Consol'!A:A,O776,'Supp Consol'!I:I,"PENDING")=0,"",SUMIFS('Supp Consol'!S:S,'Supp Consol'!A:A,O776,'Supp Consol'!I:I,"PENDING"))</f>
        <v/>
      </c>
      <c r="AR776" s="27" t="str">
        <f t="shared" si="343"/>
        <v>MG190</v>
      </c>
      <c r="AS776" s="27" t="str">
        <f t="shared" si="344"/>
        <v>62</v>
      </c>
      <c r="AT776" s="27" t="str">
        <f t="shared" si="345"/>
        <v/>
      </c>
      <c r="AU776" s="27" t="str">
        <f t="shared" si="346"/>
        <v/>
      </c>
      <c r="AV776" s="27" t="str">
        <f t="shared" si="347"/>
        <v/>
      </c>
      <c r="AW776" s="27" t="str">
        <f t="shared" si="348"/>
        <v/>
      </c>
      <c r="AX776" s="27" t="str">
        <f t="shared" si="349"/>
        <v/>
      </c>
      <c r="AY776" s="27" t="str">
        <f t="shared" si="350"/>
        <v/>
      </c>
      <c r="AZ776" s="27" t="str">
        <f t="shared" si="351"/>
        <v/>
      </c>
      <c r="BA776" s="27" t="str">
        <f t="shared" si="352"/>
        <v/>
      </c>
      <c r="BB776" s="27" t="str">
        <f t="shared" si="353"/>
        <v/>
      </c>
      <c r="BC776" s="27" t="str">
        <f t="shared" si="354"/>
        <v/>
      </c>
      <c r="BD776" s="27" t="str">
        <f t="shared" si="355"/>
        <v/>
      </c>
      <c r="BE776" s="27" t="str">
        <f t="shared" si="356"/>
        <v/>
      </c>
      <c r="BF776" s="27" t="str">
        <f t="shared" si="357"/>
        <v/>
      </c>
      <c r="BG776" s="27" t="str">
        <f t="shared" si="358"/>
        <v/>
      </c>
      <c r="BH776" s="27" t="str">
        <f t="shared" si="359"/>
        <v/>
      </c>
      <c r="BI776" s="27" t="str">
        <f t="shared" si="360"/>
        <v/>
      </c>
      <c r="BJ776" s="27" t="str">
        <f t="shared" si="361"/>
        <v/>
      </c>
      <c r="BK776" s="27" t="str">
        <f t="shared" si="362"/>
        <v/>
      </c>
      <c r="BL776" s="27" t="str">
        <f t="shared" si="363"/>
        <v/>
      </c>
      <c r="BM776" s="21" t="s">
        <v>5581</v>
      </c>
    </row>
    <row r="777" spans="1:65" ht="15">
      <c r="A777" s="25" t="str">
        <f>IFERROR(INDEX('Hun Demand'!W:W,MATCH(O777,'Hun Demand'!A:A,0)),"")</f>
        <v/>
      </c>
      <c r="B777" s="25" t="str">
        <f>IFERROR(INDEX('Hun Demand'!V:V,MATCH(O777,'Hun Demand'!A:A,0)),"")</f>
        <v/>
      </c>
      <c r="C777" s="25" t="str">
        <f>IFERROR(INDEX('Hun Demand'!U:U,MATCH(O777,'Hun Demand'!A:A,0)),"")</f>
        <v/>
      </c>
      <c r="D777" s="25" t="str">
        <f>IFERROR(INDEX('Hun Demand'!T:T,MATCH(O777,'Hun Demand'!A:A,0)),"")</f>
        <v/>
      </c>
      <c r="E777" s="25" t="str">
        <f>IFERROR(INDEX('Hun Demand'!S:S,MATCH(O777,'Hun Demand'!A:A,0)),"")</f>
        <v/>
      </c>
      <c r="F777" s="25" t="str">
        <f>IFERROR(INDEX('Hun Demand'!R:R,MATCH(O777,'Hun Demand'!A:A,0)),"")</f>
        <v/>
      </c>
      <c r="G777" s="25">
        <f>IFERROR(INDEX('Aub Demand'!W:W,MATCH(O777,'Aub Demand'!A:A,0)),"")</f>
        <v>0</v>
      </c>
      <c r="H777" s="25">
        <f>IFERROR(INDEX('Aub Demand'!V:V,MATCH(O777,'Aub Demand'!A:A,0)),"")</f>
        <v>0</v>
      </c>
      <c r="I777" s="25">
        <f>IFERROR(INDEX('Aub Demand'!U:U,MATCH(O777,'Aub Demand'!A:A,0)),"")</f>
        <v>27</v>
      </c>
      <c r="J777" s="25">
        <f>IFERROR(INDEX('Aub Demand'!T:T,MATCH(O777,'Aub Demand'!A:A,0)),"")</f>
        <v>0</v>
      </c>
      <c r="K777" s="25">
        <f>IFERROR(INDEX('Aub Demand'!S:S,MATCH(O777,'Aub Demand'!A:A,0)),"")</f>
        <v>26</v>
      </c>
      <c r="L777" s="25">
        <f>IFERROR(INDEX('Aub Demand'!R:R,MATCH(O777,'Aub Demand'!A:A,0)),"")</f>
        <v>0</v>
      </c>
      <c r="O777" s="27" t="s">
        <v>5295</v>
      </c>
      <c r="P777" s="27" t="str">
        <f>IFERROR(INDEX('Aub Demand'!B:B,MATCH($O777,'Aub Demand'!$A:$A,0)),"")</f>
        <v>CRESCENT PORTICO</v>
      </c>
      <c r="Q777" s="27" t="str">
        <f>IFERROR(INDEX('Aub Demand'!C:C,MATCH($O777,'Aub Demand'!$A:$A,0)),"")</f>
        <v>SCHAT</v>
      </c>
      <c r="R777" s="52">
        <f>IFERROR(IF(AR778=AR777,INDEX('Aub Demand'!K:K,MATCH($O777,'Aub Demand'!$A:$A,0))-IF(AN777="",0,AN777)+AP778,INDEX('Aub Demand'!K:K,MATCH($O777,'Aub Demand'!$A:$A,0))-IF(AN777="",0,AN777)),"")</f>
        <v>0</v>
      </c>
      <c r="S777" s="53">
        <f t="shared" si="336"/>
        <v>0</v>
      </c>
      <c r="T777" s="52">
        <f t="shared" si="337"/>
        <v>19.875</v>
      </c>
      <c r="U777" s="52">
        <f>IFERROR(IF(AR778=AR777,INDEX('Aub Demand'!Q:Q,MATCH($O777,'Aub Demand'!$A:$A,0))-IF(AN777="",0,AN777)+AP778,INDEX('Aub Demand'!Q:Q,MATCH($O777,'Aub Demand'!$A:$A,0))-IF(AN777="",0,AN777)),"")</f>
        <v>0</v>
      </c>
      <c r="V777" s="53">
        <f t="shared" si="338"/>
        <v>0</v>
      </c>
      <c r="W777" s="52">
        <f t="shared" si="339"/>
        <v>19.875</v>
      </c>
      <c r="X777" s="52">
        <f>IFERROR(IF(AND(AR778=AR777,AM777&lt;&gt;""),INDEX('Aub Demand'!Q:Q,MATCH($O777,'Aub Demand'!$A:$A,0))-IF(AN777="",0,AN777)+AP778+AD777+AL777,IF(AR778=AR777,INDEX('Aub Demand'!Q:Q,MATCH($O777,'Aub Demand'!$A:$A,0))-IF(AN777="",0,AN777)+AP778+AD777,IF(AM777&lt;&gt;"",INDEX('Aub Demand'!Q:Q,MATCH($O777,'Aub Demand'!$A:$A,0))-IF(AN777="",0,AN777)+AD777+AL777,INDEX('Aub Demand'!Q:Q,MATCH($O777,'Aub Demand'!$A:$A,0))-IF(AN777="",0,AN777)+AD777))),"")</f>
        <v>0</v>
      </c>
      <c r="Y777" s="53">
        <f t="shared" si="340"/>
        <v>0</v>
      </c>
      <c r="Z777" s="52">
        <f>IF(L777="","",INDEX('Aub Demand'!H:H,MATCH($O777,'Aub Demand'!$A:$A,0)))</f>
        <v>18</v>
      </c>
      <c r="AA777" s="52">
        <f t="shared" si="341"/>
        <v>26.5</v>
      </c>
      <c r="AB777" s="52">
        <f>IFERROR(INDEX('Aub Demand'!L:L,MATCH($O777,'Aub Demand'!$A:$A,0)),"")</f>
        <v>3</v>
      </c>
      <c r="AC777" s="52">
        <f>IFERROR(IF(O777="","",SUMIFS('CPL Mats'!F:F,'CPL Mats'!Q:Q,AR777,'CPL Mats'!S:S,AS777)),"")</f>
        <v>0</v>
      </c>
      <c r="AF777" s="25" t="str">
        <f>IF(SUMIFS('Supp Consol'!S:S,'Supp Consol'!Y:Y,"Releasable",'Supp Consol'!A:A,O777)=0,"",SUMIFS('Supp Consol'!S:S,'Supp Consol'!Y:Y,"Releasable",'Supp Consol'!A:A,O777))</f>
        <v/>
      </c>
      <c r="AG777" s="25" t="str">
        <f>IFERROR(INDEX('Hun Demand'!Q:Q,MATCH(O777,'Hun Demand'!A:A,0)),"")</f>
        <v/>
      </c>
      <c r="AH777" s="25" t="str">
        <f>IFERROR(INDEX('Hun Demand'!H:H,MATCH($O777,'Hun Demand'!$A:$A,0)),"")</f>
        <v/>
      </c>
      <c r="AI777" s="25" t="str">
        <f>IF(SUMIFS('Supp Consol'!AA:AA,'Supp Consol'!Z:Z,"Expires this month",'Supp Consol'!A:A,O777)=0,"",SUMIFS('Supp Consol'!AA:AA,'Supp Consol'!Z:Z,"Expires this month",'Supp Consol'!A:A,O777))</f>
        <v/>
      </c>
      <c r="AJ777" s="25" t="str">
        <f>IF(SUMIFS('Supp Consol'!AA:AA,'Supp Consol'!Z:Z,"Expired Previous Months",'Supp Consol'!A:A,O777)=0,"",SUMIFS('Supp Consol'!AA:AA,'Supp Consol'!Z:Z,"Expired Previous Months",'Supp Consol'!A:A,O777))</f>
        <v/>
      </c>
      <c r="AK777" s="25" t="str">
        <f>IFERROR(INDEX('Hun Release Current'!B:B,MATCH(O777,'Hun Release Current'!A:A,0)),"")</f>
        <v/>
      </c>
      <c r="AL777" s="25" t="str">
        <f>IF(SUMIF('Prev Aub'!A:A,O777,'Prev Aub'!B:B)=0,"",SUMIF('Prev Aub'!A:A,O777,'Prev Aub'!B:B))</f>
        <v/>
      </c>
      <c r="AN777" s="25" t="s">
        <v>3790</v>
      </c>
      <c r="AO777" s="25" t="s">
        <v>3790</v>
      </c>
      <c r="AP777" s="25">
        <f t="shared" si="342"/>
        <v>0</v>
      </c>
      <c r="AQ777" s="151" t="str">
        <f>IF(SUMIFS('Supp Consol'!S:S,'Supp Consol'!A:A,O777,'Supp Consol'!I:I,"PENDING")=0,"",SUMIFS('Supp Consol'!S:S,'Supp Consol'!A:A,O777,'Supp Consol'!I:I,"PENDING"))</f>
        <v/>
      </c>
      <c r="AR777" s="27" t="str">
        <f t="shared" si="343"/>
        <v>MG200</v>
      </c>
      <c r="AS777" s="27" t="str">
        <f t="shared" si="344"/>
        <v>50</v>
      </c>
      <c r="AT777" s="27" t="str">
        <f t="shared" si="345"/>
        <v>MG200</v>
      </c>
      <c r="AU777" s="27" t="str">
        <f t="shared" si="346"/>
        <v>MG200</v>
      </c>
      <c r="AV777" s="27" t="str">
        <f t="shared" si="347"/>
        <v>MG200</v>
      </c>
      <c r="AW777" s="27" t="str">
        <f t="shared" si="348"/>
        <v/>
      </c>
      <c r="AX777" s="27" t="str">
        <f t="shared" si="349"/>
        <v/>
      </c>
      <c r="AY777" s="27" t="str">
        <f t="shared" si="350"/>
        <v/>
      </c>
      <c r="AZ777" s="27" t="str">
        <f t="shared" si="351"/>
        <v/>
      </c>
      <c r="BA777" s="27" t="str">
        <f t="shared" si="352"/>
        <v/>
      </c>
      <c r="BB777" s="27" t="str">
        <f t="shared" si="353"/>
        <v>Gross</v>
      </c>
      <c r="BC777" s="27" t="str">
        <f t="shared" si="354"/>
        <v>Net</v>
      </c>
      <c r="BD777" s="27" t="str">
        <f t="shared" si="355"/>
        <v>Net</v>
      </c>
      <c r="BE777" s="27" t="str">
        <f t="shared" si="356"/>
        <v/>
      </c>
      <c r="BF777" s="27" t="str">
        <f t="shared" si="357"/>
        <v/>
      </c>
      <c r="BG777" s="27" t="str">
        <f t="shared" si="358"/>
        <v/>
      </c>
      <c r="BH777" s="27" t="str">
        <f t="shared" si="359"/>
        <v/>
      </c>
      <c r="BI777" s="27" t="str">
        <f t="shared" si="360"/>
        <v/>
      </c>
      <c r="BJ777" s="27" t="str">
        <f t="shared" si="361"/>
        <v/>
      </c>
      <c r="BK777" s="27" t="str">
        <f t="shared" si="362"/>
        <v/>
      </c>
      <c r="BL777" s="27" t="str">
        <f t="shared" si="363"/>
        <v/>
      </c>
      <c r="BM777" s="21" t="s">
        <v>5581</v>
      </c>
    </row>
    <row r="778" spans="1:65" ht="15">
      <c r="A778" s="25" t="str">
        <f>IFERROR(INDEX('Hun Demand'!W:W,MATCH(O778,'Hun Demand'!A:A,0)),"")</f>
        <v/>
      </c>
      <c r="B778" s="25" t="str">
        <f>IFERROR(INDEX('Hun Demand'!V:V,MATCH(O778,'Hun Demand'!A:A,0)),"")</f>
        <v/>
      </c>
      <c r="C778" s="25" t="str">
        <f>IFERROR(INDEX('Hun Demand'!U:U,MATCH(O778,'Hun Demand'!A:A,0)),"")</f>
        <v/>
      </c>
      <c r="D778" s="25" t="str">
        <f>IFERROR(INDEX('Hun Demand'!T:T,MATCH(O778,'Hun Demand'!A:A,0)),"")</f>
        <v/>
      </c>
      <c r="E778" s="25" t="str">
        <f>IFERROR(INDEX('Hun Demand'!S:S,MATCH(O778,'Hun Demand'!A:A,0)),"")</f>
        <v/>
      </c>
      <c r="F778" s="25" t="str">
        <f>IFERROR(INDEX('Hun Demand'!R:R,MATCH(O778,'Hun Demand'!A:A,0)),"")</f>
        <v/>
      </c>
      <c r="G778" s="25">
        <f>IFERROR(INDEX('Aub Demand'!W:W,MATCH(O778,'Aub Demand'!A:A,0)),"")</f>
        <v>0</v>
      </c>
      <c r="H778" s="25">
        <f>IFERROR(INDEX('Aub Demand'!V:V,MATCH(O778,'Aub Demand'!A:A,0)),"")</f>
        <v>0</v>
      </c>
      <c r="I778" s="25">
        <f>IFERROR(INDEX('Aub Demand'!U:U,MATCH(O778,'Aub Demand'!A:A,0)),"")</f>
        <v>51</v>
      </c>
      <c r="J778" s="25">
        <f>IFERROR(INDEX('Aub Demand'!T:T,MATCH(O778,'Aub Demand'!A:A,0)),"")</f>
        <v>159</v>
      </c>
      <c r="K778" s="25">
        <f>IFERROR(INDEX('Aub Demand'!S:S,MATCH(O778,'Aub Demand'!A:A,0)),"")</f>
        <v>134</v>
      </c>
      <c r="L778" s="25">
        <f>IFERROR(INDEX('Aub Demand'!R:R,MATCH(O778,'Aub Demand'!A:A,0)),"")</f>
        <v>0</v>
      </c>
      <c r="O778" s="27" t="s">
        <v>1210</v>
      </c>
      <c r="P778" s="27" t="str">
        <f>IFERROR(INDEX('Aub Demand'!B:B,MATCH($O778,'Aub Demand'!$A:$A,0)),"")</f>
        <v>CRESCENT PORTICO</v>
      </c>
      <c r="Q778" s="27" t="str">
        <f>IFERROR(INDEX('Aub Demand'!C:C,MATCH($O778,'Aub Demand'!$A:$A,0)),"")</f>
        <v>SCHAT</v>
      </c>
      <c r="R778" s="52">
        <f>IFERROR(IF(AR779=AR778,INDEX('Aub Demand'!K:K,MATCH($O778,'Aub Demand'!$A:$A,0))-IF(AN778="",0,AN778)+AP779,INDEX('Aub Demand'!K:K,MATCH($O778,'Aub Demand'!$A:$A,0))-IF(AN778="",0,AN778)),"")</f>
        <v>2907</v>
      </c>
      <c r="S778" s="53">
        <f t="shared" si="336"/>
        <v>108.3</v>
      </c>
      <c r="T778" s="52" t="str">
        <f t="shared" si="337"/>
        <v/>
      </c>
      <c r="U778" s="52">
        <f>IFERROR(IF(AR779=AR778,INDEX('Aub Demand'!Q:Q,MATCH($O778,'Aub Demand'!$A:$A,0))-IF(AN778="",0,AN778)+AP779,INDEX('Aub Demand'!Q:Q,MATCH($O778,'Aub Demand'!$A:$A,0))-IF(AN778="",0,AN778)),"")</f>
        <v>2906</v>
      </c>
      <c r="V778" s="53">
        <f t="shared" si="338"/>
        <v>108.3</v>
      </c>
      <c r="W778" s="52" t="str">
        <f t="shared" si="339"/>
        <v/>
      </c>
      <c r="X778" s="52">
        <f>IFERROR(IF(AND(AR779=AR778,AM778&lt;&gt;""),INDEX('Aub Demand'!Q:Q,MATCH($O778,'Aub Demand'!$A:$A,0))-IF(AN778="",0,AN778)+AP779+AD778+AL778,IF(AR779=AR778,INDEX('Aub Demand'!Q:Q,MATCH($O778,'Aub Demand'!$A:$A,0))-IF(AN778="",0,AN778)+AP779+AD778,IF(AM778&lt;&gt;"",INDEX('Aub Demand'!Q:Q,MATCH($O778,'Aub Demand'!$A:$A,0))-IF(AN778="",0,AN778)+AD778+AL778,INDEX('Aub Demand'!Q:Q,MATCH($O778,'Aub Demand'!$A:$A,0))-IF(AN778="",0,AN778)+AD778))),"")</f>
        <v>2906</v>
      </c>
      <c r="Y778" s="53">
        <f t="shared" si="340"/>
        <v>108.3</v>
      </c>
      <c r="Z778" s="52">
        <f>IF(L778="","",INDEX('Aub Demand'!H:H,MATCH($O778,'Aub Demand'!$A:$A,0)))</f>
        <v>115</v>
      </c>
      <c r="AA778" s="52">
        <f t="shared" si="341"/>
        <v>146.5</v>
      </c>
      <c r="AB778" s="52">
        <f>IFERROR(INDEX('Aub Demand'!L:L,MATCH($O778,'Aub Demand'!$A:$A,0)),"")</f>
        <v>13</v>
      </c>
      <c r="AC778" s="52">
        <f>IFERROR(IF(O778="","",SUMIFS('CPL Mats'!F:F,'CPL Mats'!Q:Q,AR778,'CPL Mats'!S:S,AS778)),"")</f>
        <v>0</v>
      </c>
      <c r="AF778" s="25" t="str">
        <f>IF(SUMIFS('Supp Consol'!S:S,'Supp Consol'!Y:Y,"Releasable",'Supp Consol'!A:A,O778)=0,"",SUMIFS('Supp Consol'!S:S,'Supp Consol'!Y:Y,"Releasable",'Supp Consol'!A:A,O778))</f>
        <v/>
      </c>
      <c r="AG778" s="25" t="str">
        <f>IFERROR(INDEX('Hun Demand'!Q:Q,MATCH(O778,'Hun Demand'!A:A,0)),"")</f>
        <v/>
      </c>
      <c r="AH778" s="25" t="str">
        <f>IFERROR(INDEX('Hun Demand'!H:H,MATCH($O778,'Hun Demand'!$A:$A,0)),"")</f>
        <v/>
      </c>
      <c r="AI778" s="25" t="str">
        <f>IF(SUMIFS('Supp Consol'!AA:AA,'Supp Consol'!Z:Z,"Expires this month",'Supp Consol'!A:A,O778)=0,"",SUMIFS('Supp Consol'!AA:AA,'Supp Consol'!Z:Z,"Expires this month",'Supp Consol'!A:A,O778))</f>
        <v/>
      </c>
      <c r="AJ778" s="25" t="str">
        <f>IF(SUMIFS('Supp Consol'!AA:AA,'Supp Consol'!Z:Z,"Expired Previous Months",'Supp Consol'!A:A,O778)=0,"",SUMIFS('Supp Consol'!AA:AA,'Supp Consol'!Z:Z,"Expired Previous Months",'Supp Consol'!A:A,O778))</f>
        <v/>
      </c>
      <c r="AK778" s="25" t="str">
        <f>IFERROR(INDEX('Hun Release Current'!B:B,MATCH(O778,'Hun Release Current'!A:A,0)),"")</f>
        <v/>
      </c>
      <c r="AL778" s="25" t="str">
        <f>IF(SUMIF('Prev Aub'!A:A,O778,'Prev Aub'!B:B)=0,"",SUMIF('Prev Aub'!A:A,O778,'Prev Aub'!B:B))</f>
        <v/>
      </c>
      <c r="AN778" s="25" t="s">
        <v>3790</v>
      </c>
      <c r="AO778" s="25" t="s">
        <v>3790</v>
      </c>
      <c r="AP778" s="25">
        <f t="shared" si="342"/>
        <v>0</v>
      </c>
      <c r="AQ778" s="151" t="str">
        <f>IF(SUMIFS('Supp Consol'!S:S,'Supp Consol'!A:A,O778,'Supp Consol'!I:I,"PENDING")=0,"",SUMIFS('Supp Consol'!S:S,'Supp Consol'!A:A,O778,'Supp Consol'!I:I,"PENDING"))</f>
        <v/>
      </c>
      <c r="AR778" s="27" t="str">
        <f t="shared" si="343"/>
        <v>MG200</v>
      </c>
      <c r="AS778" s="27" t="str">
        <f t="shared" si="344"/>
        <v>62</v>
      </c>
      <c r="AT778" s="27" t="str">
        <f t="shared" si="345"/>
        <v/>
      </c>
      <c r="AU778" s="27" t="str">
        <f t="shared" si="346"/>
        <v/>
      </c>
      <c r="AV778" s="27" t="str">
        <f t="shared" si="347"/>
        <v/>
      </c>
      <c r="AW778" s="27" t="str">
        <f t="shared" si="348"/>
        <v/>
      </c>
      <c r="AX778" s="27" t="str">
        <f t="shared" si="349"/>
        <v/>
      </c>
      <c r="AY778" s="27" t="str">
        <f t="shared" si="350"/>
        <v/>
      </c>
      <c r="AZ778" s="27" t="str">
        <f t="shared" si="351"/>
        <v/>
      </c>
      <c r="BA778" s="27" t="str">
        <f t="shared" si="352"/>
        <v/>
      </c>
      <c r="BB778" s="27" t="str">
        <f t="shared" si="353"/>
        <v>Gross</v>
      </c>
      <c r="BC778" s="27" t="str">
        <f t="shared" si="354"/>
        <v>Net</v>
      </c>
      <c r="BD778" s="27" t="str">
        <f t="shared" si="355"/>
        <v>Net</v>
      </c>
      <c r="BE778" s="27" t="str">
        <f t="shared" si="356"/>
        <v/>
      </c>
      <c r="BF778" s="27" t="str">
        <f t="shared" si="357"/>
        <v/>
      </c>
      <c r="BG778" s="27" t="str">
        <f t="shared" si="358"/>
        <v/>
      </c>
      <c r="BH778" s="27" t="str">
        <f t="shared" si="359"/>
        <v/>
      </c>
      <c r="BI778" s="27" t="str">
        <f t="shared" si="360"/>
        <v/>
      </c>
      <c r="BJ778" s="27" t="str">
        <f t="shared" si="361"/>
        <v/>
      </c>
      <c r="BK778" s="27" t="str">
        <f t="shared" si="362"/>
        <v/>
      </c>
      <c r="BL778" s="27" t="str">
        <f t="shared" si="363"/>
        <v/>
      </c>
      <c r="BM778" s="21" t="s">
        <v>5581</v>
      </c>
    </row>
    <row r="779" spans="1:65" ht="15">
      <c r="A779" s="25" t="str">
        <f>IFERROR(INDEX('Hun Demand'!W:W,MATCH(O779,'Hun Demand'!A:A,0)),"")</f>
        <v/>
      </c>
      <c r="B779" s="25" t="str">
        <f>IFERROR(INDEX('Hun Demand'!V:V,MATCH(O779,'Hun Demand'!A:A,0)),"")</f>
        <v/>
      </c>
      <c r="C779" s="25" t="str">
        <f>IFERROR(INDEX('Hun Demand'!U:U,MATCH(O779,'Hun Demand'!A:A,0)),"")</f>
        <v/>
      </c>
      <c r="D779" s="25" t="str">
        <f>IFERROR(INDEX('Hun Demand'!T:T,MATCH(O779,'Hun Demand'!A:A,0)),"")</f>
        <v/>
      </c>
      <c r="E779" s="25" t="str">
        <f>IFERROR(INDEX('Hun Demand'!S:S,MATCH(O779,'Hun Demand'!A:A,0)),"")</f>
        <v/>
      </c>
      <c r="F779" s="25" t="str">
        <f>IFERROR(INDEX('Hun Demand'!R:R,MATCH(O779,'Hun Demand'!A:A,0)),"")</f>
        <v/>
      </c>
      <c r="G779" s="25">
        <f>IFERROR(INDEX('Aub Demand'!W:W,MATCH(O779,'Aub Demand'!A:A,0)),"")</f>
        <v>25</v>
      </c>
      <c r="H779" s="25">
        <f>IFERROR(INDEX('Aub Demand'!V:V,MATCH(O779,'Aub Demand'!A:A,0)),"")</f>
        <v>0</v>
      </c>
      <c r="I779" s="25">
        <f>IFERROR(INDEX('Aub Demand'!U:U,MATCH(O779,'Aub Demand'!A:A,0)),"")</f>
        <v>0</v>
      </c>
      <c r="J779" s="25">
        <f>IFERROR(INDEX('Aub Demand'!T:T,MATCH(O779,'Aub Demand'!A:A,0)),"")</f>
        <v>0</v>
      </c>
      <c r="K779" s="25">
        <f>IFERROR(INDEX('Aub Demand'!S:S,MATCH(O779,'Aub Demand'!A:A,0)),"")</f>
        <v>0</v>
      </c>
      <c r="L779" s="25">
        <f>IFERROR(INDEX('Aub Demand'!R:R,MATCH(O779,'Aub Demand'!A:A,0)),"")</f>
        <v>0</v>
      </c>
      <c r="O779" s="27" t="s">
        <v>2319</v>
      </c>
      <c r="P779" s="27" t="str">
        <f>IFERROR(INDEX('Aub Demand'!B:B,MATCH($O779,'Aub Demand'!$A:$A,0)),"")</f>
        <v>MANHATTAN GLITZ</v>
      </c>
      <c r="Q779" s="27" t="str">
        <f>IFERROR(INDEX('Aub Demand'!C:C,MATCH($O779,'Aub Demand'!$A:$A,0)),"")</f>
        <v>INTER</v>
      </c>
      <c r="R779" s="52">
        <f>IFERROR(IF(AR780=AR779,INDEX('Aub Demand'!K:K,MATCH($O779,'Aub Demand'!$A:$A,0))-IF(AN779="",0,AN779)+AP780,INDEX('Aub Demand'!K:K,MATCH($O779,'Aub Demand'!$A:$A,0))-IF(AN779="",0,AN779)),"")</f>
        <v>0</v>
      </c>
      <c r="S779" s="53" t="str">
        <f t="shared" si="336"/>
        <v>n/a</v>
      </c>
      <c r="T779" s="52" t="str">
        <f t="shared" si="337"/>
        <v/>
      </c>
      <c r="U779" s="52">
        <f>IFERROR(IF(AR780=AR779,INDEX('Aub Demand'!Q:Q,MATCH($O779,'Aub Demand'!$A:$A,0))-IF(AN779="",0,AN779)+AP780,INDEX('Aub Demand'!Q:Q,MATCH($O779,'Aub Demand'!$A:$A,0))-IF(AN779="",0,AN779)),"")</f>
        <v>-1</v>
      </c>
      <c r="V779" s="53" t="str">
        <f t="shared" si="338"/>
        <v>n/a</v>
      </c>
      <c r="W779" s="52" t="str">
        <f t="shared" si="339"/>
        <v/>
      </c>
      <c r="X779" s="52">
        <f>IFERROR(IF(AND(AR780=AR779,AM779&lt;&gt;""),INDEX('Aub Demand'!Q:Q,MATCH($O779,'Aub Demand'!$A:$A,0))-IF(AN779="",0,AN779)+AP780+AD779+AL779,IF(AR780=AR779,INDEX('Aub Demand'!Q:Q,MATCH($O779,'Aub Demand'!$A:$A,0))-IF(AN779="",0,AN779)+AP780+AD779,IF(AM779&lt;&gt;"",INDEX('Aub Demand'!Q:Q,MATCH($O779,'Aub Demand'!$A:$A,0))-IF(AN779="",0,AN779)+AD779+AL779,INDEX('Aub Demand'!Q:Q,MATCH($O779,'Aub Demand'!$A:$A,0))-IF(AN779="",0,AN779)+AD779))),"")</f>
        <v>-1</v>
      </c>
      <c r="Y779" s="53" t="str">
        <f t="shared" si="340"/>
        <v>n/a</v>
      </c>
      <c r="Z779" s="52">
        <f>IF(L779="","",INDEX('Aub Demand'!H:H,MATCH($O779,'Aub Demand'!$A:$A,0)))</f>
        <v>0</v>
      </c>
      <c r="AA779" s="52" t="str">
        <f t="shared" si="341"/>
        <v>-spike-</v>
      </c>
      <c r="AB779" s="52">
        <f>IFERROR(INDEX('Aub Demand'!L:L,MATCH($O779,'Aub Demand'!$A:$A,0)),"")</f>
        <v>47</v>
      </c>
      <c r="AC779" s="52">
        <f>IFERROR(IF(O779="","",SUMIFS('CPL Mats'!F:F,'CPL Mats'!Q:Q,AR779,'CPL Mats'!S:S,AS779)),"")</f>
        <v>0</v>
      </c>
      <c r="AF779" s="25" t="str">
        <f>IF(SUMIFS('Supp Consol'!S:S,'Supp Consol'!Y:Y,"Releasable",'Supp Consol'!A:A,O779)=0,"",SUMIFS('Supp Consol'!S:S,'Supp Consol'!Y:Y,"Releasable",'Supp Consol'!A:A,O779))</f>
        <v/>
      </c>
      <c r="AG779" s="25" t="str">
        <f>IFERROR(INDEX('Hun Demand'!Q:Q,MATCH(O779,'Hun Demand'!A:A,0)),"")</f>
        <v/>
      </c>
      <c r="AH779" s="25" t="str">
        <f>IFERROR(INDEX('Hun Demand'!H:H,MATCH($O779,'Hun Demand'!$A:$A,0)),"")</f>
        <v/>
      </c>
      <c r="AI779" s="25" t="str">
        <f>IF(SUMIFS('Supp Consol'!AA:AA,'Supp Consol'!Z:Z,"Expires this month",'Supp Consol'!A:A,O779)=0,"",SUMIFS('Supp Consol'!AA:AA,'Supp Consol'!Z:Z,"Expires this month",'Supp Consol'!A:A,O779))</f>
        <v/>
      </c>
      <c r="AJ779" s="25" t="str">
        <f>IF(SUMIFS('Supp Consol'!AA:AA,'Supp Consol'!Z:Z,"Expired Previous Months",'Supp Consol'!A:A,O779)=0,"",SUMIFS('Supp Consol'!AA:AA,'Supp Consol'!Z:Z,"Expired Previous Months",'Supp Consol'!A:A,O779))</f>
        <v/>
      </c>
      <c r="AK779" s="25" t="str">
        <f>IFERROR(INDEX('Hun Release Current'!B:B,MATCH(O779,'Hun Release Current'!A:A,0)),"")</f>
        <v/>
      </c>
      <c r="AL779" s="25" t="str">
        <f>IF(SUMIF('Prev Aub'!A:A,O779,'Prev Aub'!B:B)=0,"",SUMIF('Prev Aub'!A:A,O779,'Prev Aub'!B:B))</f>
        <v/>
      </c>
      <c r="AN779" s="25" t="s">
        <v>3790</v>
      </c>
      <c r="AO779" s="25" t="s">
        <v>3790</v>
      </c>
      <c r="AP779" s="25">
        <f t="shared" si="342"/>
        <v>0</v>
      </c>
      <c r="AQ779" s="151" t="str">
        <f>IF(SUMIFS('Supp Consol'!S:S,'Supp Consol'!A:A,O779,'Supp Consol'!I:I,"PENDING")=0,"",SUMIFS('Supp Consol'!S:S,'Supp Consol'!A:A,O779,'Supp Consol'!I:I,"PENDING"))</f>
        <v/>
      </c>
      <c r="AR779" s="27" t="str">
        <f t="shared" si="343"/>
        <v>MH401</v>
      </c>
      <c r="AS779" s="27" t="str">
        <f t="shared" si="344"/>
        <v>50</v>
      </c>
      <c r="AT779" s="27" t="str">
        <f t="shared" si="345"/>
        <v/>
      </c>
      <c r="AU779" s="27" t="str">
        <f t="shared" si="346"/>
        <v/>
      </c>
      <c r="AV779" s="27" t="str">
        <f t="shared" si="347"/>
        <v/>
      </c>
      <c r="AW779" s="27" t="str">
        <f t="shared" si="348"/>
        <v/>
      </c>
      <c r="AX779" s="27" t="str">
        <f t="shared" si="349"/>
        <v/>
      </c>
      <c r="AY779" s="27" t="str">
        <f t="shared" si="350"/>
        <v/>
      </c>
      <c r="AZ779" s="27" t="str">
        <f t="shared" si="351"/>
        <v/>
      </c>
      <c r="BA779" s="27" t="str">
        <f t="shared" si="352"/>
        <v/>
      </c>
      <c r="BB779" s="27" t="str">
        <f t="shared" si="353"/>
        <v/>
      </c>
      <c r="BC779" s="27" t="str">
        <f t="shared" si="354"/>
        <v/>
      </c>
      <c r="BD779" s="27" t="str">
        <f t="shared" si="355"/>
        <v/>
      </c>
      <c r="BE779" s="27" t="str">
        <f t="shared" si="356"/>
        <v/>
      </c>
      <c r="BF779" s="27" t="str">
        <f t="shared" si="357"/>
        <v/>
      </c>
      <c r="BG779" s="27" t="str">
        <f t="shared" si="358"/>
        <v/>
      </c>
      <c r="BH779" s="27" t="str">
        <f t="shared" si="359"/>
        <v/>
      </c>
      <c r="BI779" s="27" t="str">
        <f t="shared" si="360"/>
        <v/>
      </c>
      <c r="BJ779" s="27" t="str">
        <f t="shared" si="361"/>
        <v/>
      </c>
      <c r="BK779" s="27" t="str">
        <f t="shared" si="362"/>
        <v/>
      </c>
      <c r="BL779" s="27" t="str">
        <f t="shared" si="363"/>
        <v/>
      </c>
      <c r="BM779" s="21" t="s">
        <v>3790</v>
      </c>
    </row>
    <row r="780" spans="1:65" ht="15">
      <c r="A780" s="25" t="str">
        <f>IFERROR(INDEX('Hun Demand'!W:W,MATCH(O780,'Hun Demand'!A:A,0)),"")</f>
        <v/>
      </c>
      <c r="B780" s="25" t="str">
        <f>IFERROR(INDEX('Hun Demand'!V:V,MATCH(O780,'Hun Demand'!A:A,0)),"")</f>
        <v/>
      </c>
      <c r="C780" s="25" t="str">
        <f>IFERROR(INDEX('Hun Demand'!U:U,MATCH(O780,'Hun Demand'!A:A,0)),"")</f>
        <v/>
      </c>
      <c r="D780" s="25" t="str">
        <f>IFERROR(INDEX('Hun Demand'!T:T,MATCH(O780,'Hun Demand'!A:A,0)),"")</f>
        <v/>
      </c>
      <c r="E780" s="25" t="str">
        <f>IFERROR(INDEX('Hun Demand'!S:S,MATCH(O780,'Hun Demand'!A:A,0)),"")</f>
        <v/>
      </c>
      <c r="F780" s="25" t="str">
        <f>IFERROR(INDEX('Hun Demand'!R:R,MATCH(O780,'Hun Demand'!A:A,0)),"")</f>
        <v/>
      </c>
      <c r="G780" s="25">
        <f>IFERROR(INDEX('Aub Demand'!W:W,MATCH(O780,'Aub Demand'!A:A,0)),"")</f>
        <v>0</v>
      </c>
      <c r="H780" s="25">
        <f>IFERROR(INDEX('Aub Demand'!V:V,MATCH(O780,'Aub Demand'!A:A,0)),"")</f>
        <v>0</v>
      </c>
      <c r="I780" s="25">
        <f>IFERROR(INDEX('Aub Demand'!U:U,MATCH(O780,'Aub Demand'!A:A,0)),"")</f>
        <v>0</v>
      </c>
      <c r="J780" s="25">
        <f>IFERROR(INDEX('Aub Demand'!T:T,MATCH(O780,'Aub Demand'!A:A,0)),"")</f>
        <v>0</v>
      </c>
      <c r="K780" s="25">
        <f>IFERROR(INDEX('Aub Demand'!S:S,MATCH(O780,'Aub Demand'!A:A,0)),"")</f>
        <v>0</v>
      </c>
      <c r="L780" s="25">
        <f>IFERROR(INDEX('Aub Demand'!R:R,MATCH(O780,'Aub Demand'!A:A,0)),"")</f>
        <v>0</v>
      </c>
      <c r="O780" s="27" t="s">
        <v>2321</v>
      </c>
      <c r="P780" s="27" t="str">
        <f>IFERROR(INDEX('Aub Demand'!B:B,MATCH($O780,'Aub Demand'!$A:$A,0)),"")</f>
        <v>MANHATTAN GLITZ 60"</v>
      </c>
      <c r="Q780" s="27" t="str">
        <f>IFERROR(INDEX('Aub Demand'!C:C,MATCH($O780,'Aub Demand'!$A:$A,0)),"")</f>
        <v>INTER</v>
      </c>
      <c r="R780" s="52">
        <f>IFERROR(IF(AR781=AR780,INDEX('Aub Demand'!K:K,MATCH($O780,'Aub Demand'!$A:$A,0))-IF(AN780="",0,AN780)+AP781,INDEX('Aub Demand'!K:K,MATCH($O780,'Aub Demand'!$A:$A,0))-IF(AN780="",0,AN780)),"")</f>
        <v>1115</v>
      </c>
      <c r="S780" s="53" t="str">
        <f t="shared" si="336"/>
        <v>n/a</v>
      </c>
      <c r="T780" s="52" t="str">
        <f t="shared" si="337"/>
        <v/>
      </c>
      <c r="U780" s="52">
        <f>IFERROR(IF(AR781=AR780,INDEX('Aub Demand'!Q:Q,MATCH($O780,'Aub Demand'!$A:$A,0))-IF(AN780="",0,AN780)+AP781,INDEX('Aub Demand'!Q:Q,MATCH($O780,'Aub Demand'!$A:$A,0))-IF(AN780="",0,AN780)),"")</f>
        <v>1115</v>
      </c>
      <c r="V780" s="53" t="str">
        <f t="shared" si="338"/>
        <v>n/a</v>
      </c>
      <c r="W780" s="52" t="str">
        <f t="shared" si="339"/>
        <v/>
      </c>
      <c r="X780" s="52">
        <f>IFERROR(IF(AND(AR781=AR780,AM780&lt;&gt;""),INDEX('Aub Demand'!Q:Q,MATCH($O780,'Aub Demand'!$A:$A,0))-IF(AN780="",0,AN780)+AP781+AD780+AL780,IF(AR781=AR780,INDEX('Aub Demand'!Q:Q,MATCH($O780,'Aub Demand'!$A:$A,0))-IF(AN780="",0,AN780)+AP781+AD780,IF(AM780&lt;&gt;"",INDEX('Aub Demand'!Q:Q,MATCH($O780,'Aub Demand'!$A:$A,0))-IF(AN780="",0,AN780)+AD780+AL780,INDEX('Aub Demand'!Q:Q,MATCH($O780,'Aub Demand'!$A:$A,0))-IF(AN780="",0,AN780)+AD780))),"")</f>
        <v>1115</v>
      </c>
      <c r="Y780" s="53" t="str">
        <f t="shared" si="340"/>
        <v>n/a</v>
      </c>
      <c r="Z780" s="52">
        <f>IF(L780="","",INDEX('Aub Demand'!H:H,MATCH($O780,'Aub Demand'!$A:$A,0)))</f>
        <v>0</v>
      </c>
      <c r="AA780" s="52" t="str">
        <f t="shared" si="341"/>
        <v>-spike-</v>
      </c>
      <c r="AB780" s="52">
        <f>IFERROR(INDEX('Aub Demand'!L:L,MATCH($O780,'Aub Demand'!$A:$A,0)),"")</f>
        <v>10</v>
      </c>
      <c r="AC780" s="52">
        <f>IFERROR(IF(O780="","",SUMIFS('CPL Mats'!F:F,'CPL Mats'!Q:Q,AR780,'CPL Mats'!S:S,AS780)),"")</f>
        <v>0</v>
      </c>
      <c r="AF780" s="25" t="str">
        <f>IF(SUMIFS('Supp Consol'!S:S,'Supp Consol'!Y:Y,"Releasable",'Supp Consol'!A:A,O780)=0,"",SUMIFS('Supp Consol'!S:S,'Supp Consol'!Y:Y,"Releasable",'Supp Consol'!A:A,O780))</f>
        <v/>
      </c>
      <c r="AG780" s="25" t="str">
        <f>IFERROR(INDEX('Hun Demand'!Q:Q,MATCH(O780,'Hun Demand'!A:A,0)),"")</f>
        <v/>
      </c>
      <c r="AH780" s="25" t="str">
        <f>IFERROR(INDEX('Hun Demand'!H:H,MATCH($O780,'Hun Demand'!$A:$A,0)),"")</f>
        <v/>
      </c>
      <c r="AI780" s="25" t="str">
        <f>IF(SUMIFS('Supp Consol'!AA:AA,'Supp Consol'!Z:Z,"Expires this month",'Supp Consol'!A:A,O780)=0,"",SUMIFS('Supp Consol'!AA:AA,'Supp Consol'!Z:Z,"Expires this month",'Supp Consol'!A:A,O780))</f>
        <v/>
      </c>
      <c r="AJ780" s="25" t="str">
        <f>IF(SUMIFS('Supp Consol'!AA:AA,'Supp Consol'!Z:Z,"Expired Previous Months",'Supp Consol'!A:A,O780)=0,"",SUMIFS('Supp Consol'!AA:AA,'Supp Consol'!Z:Z,"Expired Previous Months",'Supp Consol'!A:A,O780))</f>
        <v/>
      </c>
      <c r="AK780" s="25" t="str">
        <f>IFERROR(INDEX('Hun Release Current'!B:B,MATCH(O780,'Hun Release Current'!A:A,0)),"")</f>
        <v/>
      </c>
      <c r="AL780" s="25" t="str">
        <f>IF(SUMIF('Prev Aub'!A:A,O780,'Prev Aub'!B:B)=0,"",SUMIF('Prev Aub'!A:A,O780,'Prev Aub'!B:B))</f>
        <v/>
      </c>
      <c r="AN780" s="25" t="s">
        <v>3790</v>
      </c>
      <c r="AO780" s="25" t="s">
        <v>3790</v>
      </c>
      <c r="AP780" s="25">
        <f t="shared" si="342"/>
        <v>0</v>
      </c>
      <c r="AQ780" s="151" t="str">
        <f>IF(SUMIFS('Supp Consol'!S:S,'Supp Consol'!A:A,O780,'Supp Consol'!I:I,"PENDING")=0,"",SUMIFS('Supp Consol'!S:S,'Supp Consol'!A:A,O780,'Supp Consol'!I:I,"PENDING"))</f>
        <v/>
      </c>
      <c r="AR780" s="27" t="str">
        <f t="shared" si="343"/>
        <v>MH401</v>
      </c>
      <c r="AS780" s="27" t="str">
        <f t="shared" si="344"/>
        <v>62</v>
      </c>
      <c r="AT780" s="27" t="str">
        <f t="shared" si="345"/>
        <v/>
      </c>
      <c r="AU780" s="27" t="str">
        <f t="shared" si="346"/>
        <v/>
      </c>
      <c r="AV780" s="27" t="str">
        <f t="shared" si="347"/>
        <v/>
      </c>
      <c r="AW780" s="27" t="str">
        <f t="shared" si="348"/>
        <v/>
      </c>
      <c r="AX780" s="27" t="str">
        <f t="shared" si="349"/>
        <v/>
      </c>
      <c r="AY780" s="27" t="str">
        <f t="shared" si="350"/>
        <v/>
      </c>
      <c r="AZ780" s="27" t="str">
        <f t="shared" si="351"/>
        <v/>
      </c>
      <c r="BA780" s="27" t="str">
        <f t="shared" si="352"/>
        <v/>
      </c>
      <c r="BB780" s="27" t="str">
        <f t="shared" si="353"/>
        <v/>
      </c>
      <c r="BC780" s="27" t="str">
        <f t="shared" si="354"/>
        <v/>
      </c>
      <c r="BD780" s="27" t="str">
        <f t="shared" si="355"/>
        <v/>
      </c>
      <c r="BE780" s="27" t="str">
        <f t="shared" si="356"/>
        <v/>
      </c>
      <c r="BF780" s="27" t="str">
        <f t="shared" si="357"/>
        <v/>
      </c>
      <c r="BG780" s="27" t="str">
        <f t="shared" si="358"/>
        <v/>
      </c>
      <c r="BH780" s="27" t="str">
        <f t="shared" si="359"/>
        <v/>
      </c>
      <c r="BI780" s="27" t="str">
        <f t="shared" si="360"/>
        <v/>
      </c>
      <c r="BJ780" s="27" t="str">
        <f t="shared" si="361"/>
        <v/>
      </c>
      <c r="BK780" s="27" t="str">
        <f t="shared" si="362"/>
        <v/>
      </c>
      <c r="BL780" s="27" t="str">
        <f t="shared" si="363"/>
        <v/>
      </c>
      <c r="BM780" s="21" t="s">
        <v>5581</v>
      </c>
    </row>
    <row r="781" spans="1:65" ht="15">
      <c r="A781" s="25" t="str">
        <f>IFERROR(INDEX('Hun Demand'!W:W,MATCH(O781,'Hun Demand'!A:A,0)),"")</f>
        <v/>
      </c>
      <c r="B781" s="25" t="str">
        <f>IFERROR(INDEX('Hun Demand'!V:V,MATCH(O781,'Hun Demand'!A:A,0)),"")</f>
        <v/>
      </c>
      <c r="C781" s="25" t="str">
        <f>IFERROR(INDEX('Hun Demand'!U:U,MATCH(O781,'Hun Demand'!A:A,0)),"")</f>
        <v/>
      </c>
      <c r="D781" s="25" t="str">
        <f>IFERROR(INDEX('Hun Demand'!T:T,MATCH(O781,'Hun Demand'!A:A,0)),"")</f>
        <v/>
      </c>
      <c r="E781" s="25" t="str">
        <f>IFERROR(INDEX('Hun Demand'!S:S,MATCH(O781,'Hun Demand'!A:A,0)),"")</f>
        <v/>
      </c>
      <c r="F781" s="25" t="str">
        <f>IFERROR(INDEX('Hun Demand'!R:R,MATCH(O781,'Hun Demand'!A:A,0)),"")</f>
        <v/>
      </c>
      <c r="G781" s="25">
        <f>IFERROR(INDEX('Aub Demand'!W:W,MATCH(O781,'Aub Demand'!A:A,0)),"")</f>
        <v>66</v>
      </c>
      <c r="H781" s="25">
        <f>IFERROR(INDEX('Aub Demand'!V:V,MATCH(O781,'Aub Demand'!A:A,0)),"")</f>
        <v>39</v>
      </c>
      <c r="I781" s="25">
        <f>IFERROR(INDEX('Aub Demand'!U:U,MATCH(O781,'Aub Demand'!A:A,0)),"")</f>
        <v>0</v>
      </c>
      <c r="J781" s="25">
        <f>IFERROR(INDEX('Aub Demand'!T:T,MATCH(O781,'Aub Demand'!A:A,0)),"")</f>
        <v>0</v>
      </c>
      <c r="K781" s="25">
        <f>IFERROR(INDEX('Aub Demand'!S:S,MATCH(O781,'Aub Demand'!A:A,0)),"")</f>
        <v>0</v>
      </c>
      <c r="L781" s="25">
        <f>IFERROR(INDEX('Aub Demand'!R:R,MATCH(O781,'Aub Demand'!A:A,0)),"")</f>
        <v>0</v>
      </c>
      <c r="O781" s="27" t="s">
        <v>2323</v>
      </c>
      <c r="P781" s="27" t="str">
        <f>IFERROR(INDEX('Aub Demand'!B:B,MATCH($O781,'Aub Demand'!$A:$A,0)),"")</f>
        <v>MANHATTAN GLAMOUR</v>
      </c>
      <c r="Q781" s="27" t="str">
        <f>IFERROR(INDEX('Aub Demand'!C:C,MATCH($O781,'Aub Demand'!$A:$A,0)),"")</f>
        <v>INTER</v>
      </c>
      <c r="R781" s="52">
        <f>IFERROR(IF(AR782=AR781,INDEX('Aub Demand'!K:K,MATCH($O781,'Aub Demand'!$A:$A,0))-IF(AN781="",0,AN781)+AP782,INDEX('Aub Demand'!K:K,MATCH($O781,'Aub Demand'!$A:$A,0))-IF(AN781="",0,AN781)),"")</f>
        <v>770</v>
      </c>
      <c r="S781" s="53" t="str">
        <f t="shared" si="336"/>
        <v>n/a</v>
      </c>
      <c r="T781" s="52" t="str">
        <f t="shared" si="337"/>
        <v/>
      </c>
      <c r="U781" s="52">
        <f>IFERROR(IF(AR782=AR781,INDEX('Aub Demand'!Q:Q,MATCH($O781,'Aub Demand'!$A:$A,0))-IF(AN781="",0,AN781)+AP782,INDEX('Aub Demand'!Q:Q,MATCH($O781,'Aub Demand'!$A:$A,0))-IF(AN781="",0,AN781)),"")</f>
        <v>753</v>
      </c>
      <c r="V781" s="53" t="str">
        <f t="shared" si="338"/>
        <v>n/a</v>
      </c>
      <c r="W781" s="52" t="str">
        <f t="shared" si="339"/>
        <v/>
      </c>
      <c r="X781" s="52">
        <f>IFERROR(IF(AND(AR782=AR781,AM781&lt;&gt;""),INDEX('Aub Demand'!Q:Q,MATCH($O781,'Aub Demand'!$A:$A,0))-IF(AN781="",0,AN781)+AP782+AD781+AL781,IF(AR782=AR781,INDEX('Aub Demand'!Q:Q,MATCH($O781,'Aub Demand'!$A:$A,0))-IF(AN781="",0,AN781)+AP782+AD781,IF(AM781&lt;&gt;"",INDEX('Aub Demand'!Q:Q,MATCH($O781,'Aub Demand'!$A:$A,0))-IF(AN781="",0,AN781)+AD781+AL781,INDEX('Aub Demand'!Q:Q,MATCH($O781,'Aub Demand'!$A:$A,0))-IF(AN781="",0,AN781)+AD781))),"")</f>
        <v>753</v>
      </c>
      <c r="Y781" s="53" t="str">
        <f t="shared" si="340"/>
        <v>n/a</v>
      </c>
      <c r="Z781" s="52">
        <f>IF(L781="","",INDEX('Aub Demand'!H:H,MATCH($O781,'Aub Demand'!$A:$A,0)))</f>
        <v>0</v>
      </c>
      <c r="AA781" s="52" t="str">
        <f t="shared" si="341"/>
        <v>-spike-</v>
      </c>
      <c r="AB781" s="52">
        <f>IFERROR(INDEX('Aub Demand'!L:L,MATCH($O781,'Aub Demand'!$A:$A,0)),"")</f>
        <v>34</v>
      </c>
      <c r="AC781" s="52">
        <f>IFERROR(IF(O781="","",SUMIFS('CPL Mats'!F:F,'CPL Mats'!Q:Q,AR781,'CPL Mats'!S:S,AS781)),"")</f>
        <v>0</v>
      </c>
      <c r="AF781" s="25" t="str">
        <f>IF(SUMIFS('Supp Consol'!S:S,'Supp Consol'!Y:Y,"Releasable",'Supp Consol'!A:A,O781)=0,"",SUMIFS('Supp Consol'!S:S,'Supp Consol'!Y:Y,"Releasable",'Supp Consol'!A:A,O781))</f>
        <v/>
      </c>
      <c r="AG781" s="25" t="str">
        <f>IFERROR(INDEX('Hun Demand'!Q:Q,MATCH(O781,'Hun Demand'!A:A,0)),"")</f>
        <v/>
      </c>
      <c r="AH781" s="25" t="str">
        <f>IFERROR(INDEX('Hun Demand'!H:H,MATCH($O781,'Hun Demand'!$A:$A,0)),"")</f>
        <v/>
      </c>
      <c r="AI781" s="25" t="str">
        <f>IF(SUMIFS('Supp Consol'!AA:AA,'Supp Consol'!Z:Z,"Expires this month",'Supp Consol'!A:A,O781)=0,"",SUMIFS('Supp Consol'!AA:AA,'Supp Consol'!Z:Z,"Expires this month",'Supp Consol'!A:A,O781))</f>
        <v/>
      </c>
      <c r="AJ781" s="25" t="str">
        <f>IF(SUMIFS('Supp Consol'!AA:AA,'Supp Consol'!Z:Z,"Expired Previous Months",'Supp Consol'!A:A,O781)=0,"",SUMIFS('Supp Consol'!AA:AA,'Supp Consol'!Z:Z,"Expired Previous Months",'Supp Consol'!A:A,O781))</f>
        <v/>
      </c>
      <c r="AK781" s="25" t="str">
        <f>IFERROR(INDEX('Hun Release Current'!B:B,MATCH(O781,'Hun Release Current'!A:A,0)),"")</f>
        <v/>
      </c>
      <c r="AL781" s="25" t="str">
        <f>IF(SUMIF('Prev Aub'!A:A,O781,'Prev Aub'!B:B)=0,"",SUMIF('Prev Aub'!A:A,O781,'Prev Aub'!B:B))</f>
        <v/>
      </c>
      <c r="AN781" s="25" t="s">
        <v>3790</v>
      </c>
      <c r="AO781" s="25" t="s">
        <v>3790</v>
      </c>
      <c r="AP781" s="25">
        <f t="shared" si="342"/>
        <v>0</v>
      </c>
      <c r="AQ781" s="151" t="str">
        <f>IF(SUMIFS('Supp Consol'!S:S,'Supp Consol'!A:A,O781,'Supp Consol'!I:I,"PENDING")=0,"",SUMIFS('Supp Consol'!S:S,'Supp Consol'!A:A,O781,'Supp Consol'!I:I,"PENDING"))</f>
        <v/>
      </c>
      <c r="AR781" s="27" t="str">
        <f t="shared" si="343"/>
        <v>MH601</v>
      </c>
      <c r="AS781" s="27" t="str">
        <f t="shared" si="344"/>
        <v>50</v>
      </c>
      <c r="AT781" s="27" t="str">
        <f t="shared" si="345"/>
        <v/>
      </c>
      <c r="AU781" s="27" t="str">
        <f t="shared" si="346"/>
        <v/>
      </c>
      <c r="AV781" s="27" t="str">
        <f t="shared" si="347"/>
        <v/>
      </c>
      <c r="AW781" s="27" t="str">
        <f t="shared" si="348"/>
        <v/>
      </c>
      <c r="AX781" s="27" t="str">
        <f t="shared" si="349"/>
        <v/>
      </c>
      <c r="AY781" s="27" t="str">
        <f t="shared" si="350"/>
        <v/>
      </c>
      <c r="AZ781" s="27" t="str">
        <f t="shared" si="351"/>
        <v/>
      </c>
      <c r="BA781" s="27" t="str">
        <f t="shared" si="352"/>
        <v/>
      </c>
      <c r="BB781" s="27" t="str">
        <f t="shared" si="353"/>
        <v/>
      </c>
      <c r="BC781" s="27" t="str">
        <f t="shared" si="354"/>
        <v/>
      </c>
      <c r="BD781" s="27" t="str">
        <f t="shared" si="355"/>
        <v/>
      </c>
      <c r="BE781" s="27" t="str">
        <f t="shared" si="356"/>
        <v/>
      </c>
      <c r="BF781" s="27" t="str">
        <f t="shared" si="357"/>
        <v/>
      </c>
      <c r="BG781" s="27" t="str">
        <f t="shared" si="358"/>
        <v/>
      </c>
      <c r="BH781" s="27" t="str">
        <f t="shared" si="359"/>
        <v/>
      </c>
      <c r="BI781" s="27" t="str">
        <f t="shared" si="360"/>
        <v/>
      </c>
      <c r="BJ781" s="27" t="str">
        <f t="shared" si="361"/>
        <v/>
      </c>
      <c r="BK781" s="27" t="str">
        <f t="shared" si="362"/>
        <v/>
      </c>
      <c r="BL781" s="27" t="str">
        <f t="shared" si="363"/>
        <v/>
      </c>
      <c r="BM781" s="21" t="s">
        <v>5581</v>
      </c>
    </row>
    <row r="782" spans="1:65" ht="15">
      <c r="A782" s="25" t="str">
        <f>IFERROR(INDEX('Hun Demand'!W:W,MATCH(O782,'Hun Demand'!A:A,0)),"")</f>
        <v/>
      </c>
      <c r="B782" s="25" t="str">
        <f>IFERROR(INDEX('Hun Demand'!V:V,MATCH(O782,'Hun Demand'!A:A,0)),"")</f>
        <v/>
      </c>
      <c r="C782" s="25" t="str">
        <f>IFERROR(INDEX('Hun Demand'!U:U,MATCH(O782,'Hun Demand'!A:A,0)),"")</f>
        <v/>
      </c>
      <c r="D782" s="25" t="str">
        <f>IFERROR(INDEX('Hun Demand'!T:T,MATCH(O782,'Hun Demand'!A:A,0)),"")</f>
        <v/>
      </c>
      <c r="E782" s="25" t="str">
        <f>IFERROR(INDEX('Hun Demand'!S:S,MATCH(O782,'Hun Demand'!A:A,0)),"")</f>
        <v/>
      </c>
      <c r="F782" s="25" t="str">
        <f>IFERROR(INDEX('Hun Demand'!R:R,MATCH(O782,'Hun Demand'!A:A,0)),"")</f>
        <v/>
      </c>
      <c r="G782" s="25">
        <f>IFERROR(INDEX('Aub Demand'!W:W,MATCH(O782,'Aub Demand'!A:A,0)),"")</f>
        <v>0</v>
      </c>
      <c r="H782" s="25">
        <f>IFERROR(INDEX('Aub Demand'!V:V,MATCH(O782,'Aub Demand'!A:A,0)),"")</f>
        <v>43</v>
      </c>
      <c r="I782" s="25">
        <f>IFERROR(INDEX('Aub Demand'!U:U,MATCH(O782,'Aub Demand'!A:A,0)),"")</f>
        <v>0</v>
      </c>
      <c r="J782" s="25">
        <f>IFERROR(INDEX('Aub Demand'!T:T,MATCH(O782,'Aub Demand'!A:A,0)),"")</f>
        <v>0</v>
      </c>
      <c r="K782" s="25">
        <f>IFERROR(INDEX('Aub Demand'!S:S,MATCH(O782,'Aub Demand'!A:A,0)),"")</f>
        <v>0</v>
      </c>
      <c r="L782" s="25">
        <f>IFERROR(INDEX('Aub Demand'!R:R,MATCH(O782,'Aub Demand'!A:A,0)),"")</f>
        <v>0</v>
      </c>
      <c r="O782" s="27" t="s">
        <v>2326</v>
      </c>
      <c r="P782" s="27" t="str">
        <f>IFERROR(INDEX('Aub Demand'!B:B,MATCH($O782,'Aub Demand'!$A:$A,0)),"")</f>
        <v>MANHATTAN GLAMOUR 60</v>
      </c>
      <c r="Q782" s="27" t="str">
        <f>IFERROR(INDEX('Aub Demand'!C:C,MATCH($O782,'Aub Demand'!$A:$A,0)),"")</f>
        <v>INTER</v>
      </c>
      <c r="R782" s="52">
        <f>IFERROR(IF(AR783=AR782,INDEX('Aub Demand'!K:K,MATCH($O782,'Aub Demand'!$A:$A,0))-IF(AN782="",0,AN782)+AP783,INDEX('Aub Demand'!K:K,MATCH($O782,'Aub Demand'!$A:$A,0))-IF(AN782="",0,AN782)),"")</f>
        <v>2262</v>
      </c>
      <c r="S782" s="53" t="str">
        <f t="shared" si="336"/>
        <v>n/a</v>
      </c>
      <c r="T782" s="52" t="str">
        <f t="shared" si="337"/>
        <v/>
      </c>
      <c r="U782" s="52">
        <f>IFERROR(IF(AR783=AR782,INDEX('Aub Demand'!Q:Q,MATCH($O782,'Aub Demand'!$A:$A,0))-IF(AN782="",0,AN782)+AP783,INDEX('Aub Demand'!Q:Q,MATCH($O782,'Aub Demand'!$A:$A,0))-IF(AN782="",0,AN782)),"")</f>
        <v>2262</v>
      </c>
      <c r="V782" s="53" t="str">
        <f t="shared" si="338"/>
        <v>n/a</v>
      </c>
      <c r="W782" s="52" t="str">
        <f t="shared" si="339"/>
        <v/>
      </c>
      <c r="X782" s="52">
        <f>IFERROR(IF(AND(AR783=AR782,AM782&lt;&gt;""),INDEX('Aub Demand'!Q:Q,MATCH($O782,'Aub Demand'!$A:$A,0))-IF(AN782="",0,AN782)+AP783+AD782+AL782,IF(AR783=AR782,INDEX('Aub Demand'!Q:Q,MATCH($O782,'Aub Demand'!$A:$A,0))-IF(AN782="",0,AN782)+AP783+AD782,IF(AM782&lt;&gt;"",INDEX('Aub Demand'!Q:Q,MATCH($O782,'Aub Demand'!$A:$A,0))-IF(AN782="",0,AN782)+AD782+AL782,INDEX('Aub Demand'!Q:Q,MATCH($O782,'Aub Demand'!$A:$A,0))-IF(AN782="",0,AN782)+AD782))),"")</f>
        <v>2262</v>
      </c>
      <c r="Y782" s="53" t="str">
        <f t="shared" si="340"/>
        <v>n/a</v>
      </c>
      <c r="Z782" s="52">
        <f>IF(L782="","",INDEX('Aub Demand'!H:H,MATCH($O782,'Aub Demand'!$A:$A,0)))</f>
        <v>0</v>
      </c>
      <c r="AA782" s="52" t="str">
        <f t="shared" si="341"/>
        <v>-spike-</v>
      </c>
      <c r="AB782" s="52">
        <f>IFERROR(INDEX('Aub Demand'!L:L,MATCH($O782,'Aub Demand'!$A:$A,0)),"")</f>
        <v>14</v>
      </c>
      <c r="AC782" s="52">
        <f>IFERROR(IF(O782="","",SUMIFS('CPL Mats'!F:F,'CPL Mats'!Q:Q,AR782,'CPL Mats'!S:S,AS782)),"")</f>
        <v>0</v>
      </c>
      <c r="AF782" s="25" t="str">
        <f>IF(SUMIFS('Supp Consol'!S:S,'Supp Consol'!Y:Y,"Releasable",'Supp Consol'!A:A,O782)=0,"",SUMIFS('Supp Consol'!S:S,'Supp Consol'!Y:Y,"Releasable",'Supp Consol'!A:A,O782))</f>
        <v/>
      </c>
      <c r="AG782" s="25" t="str">
        <f>IFERROR(INDEX('Hun Demand'!Q:Q,MATCH(O782,'Hun Demand'!A:A,0)),"")</f>
        <v/>
      </c>
      <c r="AH782" s="25" t="str">
        <f>IFERROR(INDEX('Hun Demand'!H:H,MATCH($O782,'Hun Demand'!$A:$A,0)),"")</f>
        <v/>
      </c>
      <c r="AI782" s="25" t="str">
        <f>IF(SUMIFS('Supp Consol'!AA:AA,'Supp Consol'!Z:Z,"Expires this month",'Supp Consol'!A:A,O782)=0,"",SUMIFS('Supp Consol'!AA:AA,'Supp Consol'!Z:Z,"Expires this month",'Supp Consol'!A:A,O782))</f>
        <v/>
      </c>
      <c r="AJ782" s="25" t="str">
        <f>IF(SUMIFS('Supp Consol'!AA:AA,'Supp Consol'!Z:Z,"Expired Previous Months",'Supp Consol'!A:A,O782)=0,"",SUMIFS('Supp Consol'!AA:AA,'Supp Consol'!Z:Z,"Expired Previous Months",'Supp Consol'!A:A,O782))</f>
        <v/>
      </c>
      <c r="AK782" s="25" t="str">
        <f>IFERROR(INDEX('Hun Release Current'!B:B,MATCH(O782,'Hun Release Current'!A:A,0)),"")</f>
        <v/>
      </c>
      <c r="AL782" s="25" t="str">
        <f>IF(SUMIF('Prev Aub'!A:A,O782,'Prev Aub'!B:B)=0,"",SUMIF('Prev Aub'!A:A,O782,'Prev Aub'!B:B))</f>
        <v/>
      </c>
      <c r="AN782" s="25" t="s">
        <v>3790</v>
      </c>
      <c r="AO782" s="25" t="s">
        <v>3790</v>
      </c>
      <c r="AP782" s="25">
        <f t="shared" si="342"/>
        <v>0</v>
      </c>
      <c r="AQ782" s="151" t="str">
        <f>IF(SUMIFS('Supp Consol'!S:S,'Supp Consol'!A:A,O782,'Supp Consol'!I:I,"PENDING")=0,"",SUMIFS('Supp Consol'!S:S,'Supp Consol'!A:A,O782,'Supp Consol'!I:I,"PENDING"))</f>
        <v/>
      </c>
      <c r="AR782" s="27" t="str">
        <f t="shared" si="343"/>
        <v>MH601</v>
      </c>
      <c r="AS782" s="27" t="str">
        <f t="shared" si="344"/>
        <v>62</v>
      </c>
      <c r="AT782" s="27" t="str">
        <f t="shared" si="345"/>
        <v/>
      </c>
      <c r="AU782" s="27" t="str">
        <f t="shared" si="346"/>
        <v/>
      </c>
      <c r="AV782" s="27" t="str">
        <f t="shared" si="347"/>
        <v/>
      </c>
      <c r="AW782" s="27" t="str">
        <f t="shared" si="348"/>
        <v/>
      </c>
      <c r="AX782" s="27" t="str">
        <f t="shared" si="349"/>
        <v/>
      </c>
      <c r="AY782" s="27" t="str">
        <f t="shared" si="350"/>
        <v/>
      </c>
      <c r="AZ782" s="27" t="str">
        <f t="shared" si="351"/>
        <v/>
      </c>
      <c r="BA782" s="27" t="str">
        <f t="shared" si="352"/>
        <v/>
      </c>
      <c r="BB782" s="27" t="str">
        <f t="shared" si="353"/>
        <v/>
      </c>
      <c r="BC782" s="27" t="str">
        <f t="shared" si="354"/>
        <v/>
      </c>
      <c r="BD782" s="27" t="str">
        <f t="shared" si="355"/>
        <v/>
      </c>
      <c r="BE782" s="27" t="str">
        <f t="shared" si="356"/>
        <v/>
      </c>
      <c r="BF782" s="27" t="str">
        <f t="shared" si="357"/>
        <v/>
      </c>
      <c r="BG782" s="27" t="str">
        <f t="shared" si="358"/>
        <v/>
      </c>
      <c r="BH782" s="27" t="str">
        <f t="shared" si="359"/>
        <v/>
      </c>
      <c r="BI782" s="27" t="str">
        <f t="shared" si="360"/>
        <v/>
      </c>
      <c r="BJ782" s="27" t="str">
        <f t="shared" si="361"/>
        <v/>
      </c>
      <c r="BK782" s="27" t="str">
        <f t="shared" si="362"/>
        <v/>
      </c>
      <c r="BL782" s="27" t="str">
        <f t="shared" si="363"/>
        <v/>
      </c>
      <c r="BM782" s="21" t="s">
        <v>5581</v>
      </c>
    </row>
    <row r="783" spans="1:65" ht="15">
      <c r="A783" s="25" t="str">
        <f>IFERROR(INDEX('Hun Demand'!W:W,MATCH(O783,'Hun Demand'!A:A,0)),"")</f>
        <v/>
      </c>
      <c r="B783" s="25" t="str">
        <f>IFERROR(INDEX('Hun Demand'!V:V,MATCH(O783,'Hun Demand'!A:A,0)),"")</f>
        <v/>
      </c>
      <c r="C783" s="25" t="str">
        <f>IFERROR(INDEX('Hun Demand'!U:U,MATCH(O783,'Hun Demand'!A:A,0)),"")</f>
        <v/>
      </c>
      <c r="D783" s="25" t="str">
        <f>IFERROR(INDEX('Hun Demand'!T:T,MATCH(O783,'Hun Demand'!A:A,0)),"")</f>
        <v/>
      </c>
      <c r="E783" s="25" t="str">
        <f>IFERROR(INDEX('Hun Demand'!S:S,MATCH(O783,'Hun Demand'!A:A,0)),"")</f>
        <v/>
      </c>
      <c r="F783" s="25" t="str">
        <f>IFERROR(INDEX('Hun Demand'!R:R,MATCH(O783,'Hun Demand'!A:A,0)),"")</f>
        <v/>
      </c>
      <c r="G783" s="25">
        <f>IFERROR(INDEX('Aub Demand'!W:W,MATCH(O783,'Aub Demand'!A:A,0)),"")</f>
        <v>20</v>
      </c>
      <c r="H783" s="25">
        <f>IFERROR(INDEX('Aub Demand'!V:V,MATCH(O783,'Aub Demand'!A:A,0)),"")</f>
        <v>0</v>
      </c>
      <c r="I783" s="25">
        <f>IFERROR(INDEX('Aub Demand'!U:U,MATCH(O783,'Aub Demand'!A:A,0)),"")</f>
        <v>0</v>
      </c>
      <c r="J783" s="25">
        <f>IFERROR(INDEX('Aub Demand'!T:T,MATCH(O783,'Aub Demand'!A:A,0)),"")</f>
        <v>36</v>
      </c>
      <c r="K783" s="25">
        <f>IFERROR(INDEX('Aub Demand'!S:S,MATCH(O783,'Aub Demand'!A:A,0)),"")</f>
        <v>0</v>
      </c>
      <c r="L783" s="25">
        <f>IFERROR(INDEX('Aub Demand'!R:R,MATCH(O783,'Aub Demand'!A:A,0)),"")</f>
        <v>0</v>
      </c>
      <c r="O783" s="27" t="s">
        <v>2328</v>
      </c>
      <c r="P783" s="27" t="str">
        <f>IFERROR(INDEX('Aub Demand'!B:B,MATCH($O783,'Aub Demand'!$A:$A,0)),"")</f>
        <v>MANHATTAN GLEAM 48"</v>
      </c>
      <c r="Q783" s="27" t="str">
        <f>IFERROR(INDEX('Aub Demand'!C:C,MATCH($O783,'Aub Demand'!$A:$A,0)),"")</f>
        <v>INTER</v>
      </c>
      <c r="R783" s="52">
        <f>IFERROR(IF(AR784=AR783,INDEX('Aub Demand'!K:K,MATCH($O783,'Aub Demand'!$A:$A,0))-IF(AN783="",0,AN783)+AP784,INDEX('Aub Demand'!K:K,MATCH($O783,'Aub Demand'!$A:$A,0))-IF(AN783="",0,AN783)),"")</f>
        <v>0</v>
      </c>
      <c r="S783" s="53">
        <f t="shared" si="336"/>
        <v>0</v>
      </c>
      <c r="T783" s="52" t="str">
        <f t="shared" si="337"/>
        <v/>
      </c>
      <c r="U783" s="52">
        <f>IFERROR(IF(AR784=AR783,INDEX('Aub Demand'!Q:Q,MATCH($O783,'Aub Demand'!$A:$A,0))-IF(AN783="",0,AN783)+AP784,INDEX('Aub Demand'!Q:Q,MATCH($O783,'Aub Demand'!$A:$A,0))-IF(AN783="",0,AN783)),"")</f>
        <v>-1</v>
      </c>
      <c r="V783" s="53">
        <f t="shared" si="338"/>
        <v>-0.4</v>
      </c>
      <c r="W783" s="52" t="str">
        <f t="shared" si="339"/>
        <v/>
      </c>
      <c r="X783" s="52">
        <f>IFERROR(IF(AND(AR784=AR783,AM783&lt;&gt;""),INDEX('Aub Demand'!Q:Q,MATCH($O783,'Aub Demand'!$A:$A,0))-IF(AN783="",0,AN783)+AP784+AD783+AL783,IF(AR784=AR783,INDEX('Aub Demand'!Q:Q,MATCH($O783,'Aub Demand'!$A:$A,0))-IF(AN783="",0,AN783)+AP784+AD783,IF(AM783&lt;&gt;"",INDEX('Aub Demand'!Q:Q,MATCH($O783,'Aub Demand'!$A:$A,0))-IF(AN783="",0,AN783)+AD783+AL783,INDEX('Aub Demand'!Q:Q,MATCH($O783,'Aub Demand'!$A:$A,0))-IF(AN783="",0,AN783)+AD783))),"")</f>
        <v>-1</v>
      </c>
      <c r="Y783" s="53">
        <f t="shared" si="340"/>
        <v>-0.4</v>
      </c>
      <c r="Z783" s="52">
        <f>IF(L783="","",INDEX('Aub Demand'!H:H,MATCH($O783,'Aub Demand'!$A:$A,0)))</f>
        <v>12</v>
      </c>
      <c r="AA783" s="52" t="str">
        <f t="shared" si="341"/>
        <v>-spike-</v>
      </c>
      <c r="AB783" s="52">
        <f>IFERROR(INDEX('Aub Demand'!L:L,MATCH($O783,'Aub Demand'!$A:$A,0)),"")</f>
        <v>0</v>
      </c>
      <c r="AC783" s="52">
        <f>IFERROR(IF(O783="","",SUMIFS('CPL Mats'!F:F,'CPL Mats'!Q:Q,AR783,'CPL Mats'!S:S,AS783)),"")</f>
        <v>0</v>
      </c>
      <c r="AF783" s="25" t="str">
        <f>IF(SUMIFS('Supp Consol'!S:S,'Supp Consol'!Y:Y,"Releasable",'Supp Consol'!A:A,O783)=0,"",SUMIFS('Supp Consol'!S:S,'Supp Consol'!Y:Y,"Releasable",'Supp Consol'!A:A,O783))</f>
        <v/>
      </c>
      <c r="AG783" s="25" t="str">
        <f>IFERROR(INDEX('Hun Demand'!Q:Q,MATCH(O783,'Hun Demand'!A:A,0)),"")</f>
        <v/>
      </c>
      <c r="AH783" s="25" t="str">
        <f>IFERROR(INDEX('Hun Demand'!H:H,MATCH($O783,'Hun Demand'!$A:$A,0)),"")</f>
        <v/>
      </c>
      <c r="AI783" s="25" t="str">
        <f>IF(SUMIFS('Supp Consol'!AA:AA,'Supp Consol'!Z:Z,"Expires this month",'Supp Consol'!A:A,O783)=0,"",SUMIFS('Supp Consol'!AA:AA,'Supp Consol'!Z:Z,"Expires this month",'Supp Consol'!A:A,O783))</f>
        <v/>
      </c>
      <c r="AJ783" s="25" t="str">
        <f>IF(SUMIFS('Supp Consol'!AA:AA,'Supp Consol'!Z:Z,"Expired Previous Months",'Supp Consol'!A:A,O783)=0,"",SUMIFS('Supp Consol'!AA:AA,'Supp Consol'!Z:Z,"Expired Previous Months",'Supp Consol'!A:A,O783))</f>
        <v/>
      </c>
      <c r="AK783" s="25" t="str">
        <f>IFERROR(INDEX('Hun Release Current'!B:B,MATCH(O783,'Hun Release Current'!A:A,0)),"")</f>
        <v/>
      </c>
      <c r="AL783" s="25" t="str">
        <f>IF(SUMIF('Prev Aub'!A:A,O783,'Prev Aub'!B:B)=0,"",SUMIF('Prev Aub'!A:A,O783,'Prev Aub'!B:B))</f>
        <v/>
      </c>
      <c r="AN783" s="25" t="s">
        <v>3790</v>
      </c>
      <c r="AO783" s="25" t="s">
        <v>3790</v>
      </c>
      <c r="AP783" s="25">
        <f t="shared" si="342"/>
        <v>0</v>
      </c>
      <c r="AQ783" s="151" t="str">
        <f>IF(SUMIFS('Supp Consol'!S:S,'Supp Consol'!A:A,O783,'Supp Consol'!I:I,"PENDING")=0,"",SUMIFS('Supp Consol'!S:S,'Supp Consol'!A:A,O783,'Supp Consol'!I:I,"PENDING"))</f>
        <v/>
      </c>
      <c r="AR783" s="27" t="str">
        <f t="shared" si="343"/>
        <v>MH801</v>
      </c>
      <c r="AS783" s="27" t="str">
        <f t="shared" si="344"/>
        <v>50</v>
      </c>
      <c r="AT783" s="27" t="str">
        <f t="shared" si="345"/>
        <v>MH801</v>
      </c>
      <c r="AU783" s="27" t="str">
        <f t="shared" si="346"/>
        <v>MH801</v>
      </c>
      <c r="AV783" s="27" t="str">
        <f t="shared" si="347"/>
        <v>MH801</v>
      </c>
      <c r="AW783" s="27" t="str">
        <f t="shared" si="348"/>
        <v/>
      </c>
      <c r="AX783" s="27" t="str">
        <f t="shared" si="349"/>
        <v/>
      </c>
      <c r="AY783" s="27" t="str">
        <f t="shared" si="350"/>
        <v/>
      </c>
      <c r="AZ783" s="27" t="str">
        <f t="shared" si="351"/>
        <v/>
      </c>
      <c r="BA783" s="27" t="str">
        <f t="shared" si="352"/>
        <v/>
      </c>
      <c r="BB783" s="27" t="str">
        <f t="shared" si="353"/>
        <v>Gross</v>
      </c>
      <c r="BC783" s="27" t="str">
        <f t="shared" si="354"/>
        <v>Net</v>
      </c>
      <c r="BD783" s="27" t="str">
        <f t="shared" si="355"/>
        <v>Net</v>
      </c>
      <c r="BE783" s="27" t="str">
        <f t="shared" si="356"/>
        <v/>
      </c>
      <c r="BF783" s="27" t="str">
        <f t="shared" si="357"/>
        <v/>
      </c>
      <c r="BG783" s="27" t="str">
        <f t="shared" si="358"/>
        <v/>
      </c>
      <c r="BH783" s="27" t="str">
        <f t="shared" si="359"/>
        <v/>
      </c>
      <c r="BI783" s="27" t="str">
        <f t="shared" si="360"/>
        <v/>
      </c>
      <c r="BJ783" s="27" t="str">
        <f t="shared" si="361"/>
        <v/>
      </c>
      <c r="BK783" s="27" t="str">
        <f t="shared" si="362"/>
        <v/>
      </c>
      <c r="BL783" s="27" t="str">
        <f t="shared" si="363"/>
        <v/>
      </c>
      <c r="BM783" s="21" t="s">
        <v>5581</v>
      </c>
    </row>
    <row r="784" spans="1:65" ht="15">
      <c r="A784" s="25" t="str">
        <f>IFERROR(INDEX('Hun Demand'!W:W,MATCH(O784,'Hun Demand'!A:A,0)),"")</f>
        <v/>
      </c>
      <c r="B784" s="25" t="str">
        <f>IFERROR(INDEX('Hun Demand'!V:V,MATCH(O784,'Hun Demand'!A:A,0)),"")</f>
        <v/>
      </c>
      <c r="C784" s="25" t="str">
        <f>IFERROR(INDEX('Hun Demand'!U:U,MATCH(O784,'Hun Demand'!A:A,0)),"")</f>
        <v/>
      </c>
      <c r="D784" s="25" t="str">
        <f>IFERROR(INDEX('Hun Demand'!T:T,MATCH(O784,'Hun Demand'!A:A,0)),"")</f>
        <v/>
      </c>
      <c r="E784" s="25" t="str">
        <f>IFERROR(INDEX('Hun Demand'!S:S,MATCH(O784,'Hun Demand'!A:A,0)),"")</f>
        <v/>
      </c>
      <c r="F784" s="25" t="str">
        <f>IFERROR(INDEX('Hun Demand'!R:R,MATCH(O784,'Hun Demand'!A:A,0)),"")</f>
        <v/>
      </c>
      <c r="G784" s="25">
        <f>IFERROR(INDEX('Aub Demand'!W:W,MATCH(O784,'Aub Demand'!A:A,0)),"")</f>
        <v>0</v>
      </c>
      <c r="H784" s="25">
        <f>IFERROR(INDEX('Aub Demand'!V:V,MATCH(O784,'Aub Demand'!A:A,0)),"")</f>
        <v>0</v>
      </c>
      <c r="I784" s="25">
        <f>IFERROR(INDEX('Aub Demand'!U:U,MATCH(O784,'Aub Demand'!A:A,0)),"")</f>
        <v>0</v>
      </c>
      <c r="J784" s="25">
        <f>IFERROR(INDEX('Aub Demand'!T:T,MATCH(O784,'Aub Demand'!A:A,0)),"")</f>
        <v>0</v>
      </c>
      <c r="K784" s="25">
        <f>IFERROR(INDEX('Aub Demand'!S:S,MATCH(O784,'Aub Demand'!A:A,0)),"")</f>
        <v>0</v>
      </c>
      <c r="L784" s="25">
        <f>IFERROR(INDEX('Aub Demand'!R:R,MATCH(O784,'Aub Demand'!A:A,0)),"")</f>
        <v>0</v>
      </c>
      <c r="O784" s="27" t="s">
        <v>2330</v>
      </c>
      <c r="P784" s="27" t="str">
        <f>IFERROR(INDEX('Aub Demand'!B:B,MATCH($O784,'Aub Demand'!$A:$A,0)),"")</f>
        <v>MANHATTAN GLEAM 60"</v>
      </c>
      <c r="Q784" s="27" t="str">
        <f>IFERROR(INDEX('Aub Demand'!C:C,MATCH($O784,'Aub Demand'!$A:$A,0)),"")</f>
        <v>INTER</v>
      </c>
      <c r="R784" s="52">
        <f>IFERROR(IF(AR785=AR784,INDEX('Aub Demand'!K:K,MATCH($O784,'Aub Demand'!$A:$A,0))-IF(AN784="",0,AN784)+AP785,INDEX('Aub Demand'!K:K,MATCH($O784,'Aub Demand'!$A:$A,0))-IF(AN784="",0,AN784)),"")</f>
        <v>3106</v>
      </c>
      <c r="S784" s="53" t="str">
        <f t="shared" si="336"/>
        <v>n/a</v>
      </c>
      <c r="T784" s="52" t="str">
        <f t="shared" si="337"/>
        <v/>
      </c>
      <c r="U784" s="52">
        <f>IFERROR(IF(AR785=AR784,INDEX('Aub Demand'!Q:Q,MATCH($O784,'Aub Demand'!$A:$A,0))-IF(AN784="",0,AN784)+AP785,INDEX('Aub Demand'!Q:Q,MATCH($O784,'Aub Demand'!$A:$A,0))-IF(AN784="",0,AN784)),"")</f>
        <v>3104</v>
      </c>
      <c r="V784" s="53" t="str">
        <f t="shared" si="338"/>
        <v>n/a</v>
      </c>
      <c r="W784" s="52" t="str">
        <f t="shared" si="339"/>
        <v/>
      </c>
      <c r="X784" s="52">
        <f>IFERROR(IF(AND(AR785=AR784,AM784&lt;&gt;""),INDEX('Aub Demand'!Q:Q,MATCH($O784,'Aub Demand'!$A:$A,0))-IF(AN784="",0,AN784)+AP785+AD784+AL784,IF(AR785=AR784,INDEX('Aub Demand'!Q:Q,MATCH($O784,'Aub Demand'!$A:$A,0))-IF(AN784="",0,AN784)+AP785+AD784,IF(AM784&lt;&gt;"",INDEX('Aub Demand'!Q:Q,MATCH($O784,'Aub Demand'!$A:$A,0))-IF(AN784="",0,AN784)+AD784+AL784,INDEX('Aub Demand'!Q:Q,MATCH($O784,'Aub Demand'!$A:$A,0))-IF(AN784="",0,AN784)+AD784))),"")</f>
        <v>3104</v>
      </c>
      <c r="Y784" s="53" t="str">
        <f t="shared" si="340"/>
        <v>n/a</v>
      </c>
      <c r="Z784" s="52">
        <f>IF(L784="","",INDEX('Aub Demand'!H:H,MATCH($O784,'Aub Demand'!$A:$A,0)))</f>
        <v>0</v>
      </c>
      <c r="AA784" s="52" t="str">
        <f t="shared" si="341"/>
        <v>-spike-</v>
      </c>
      <c r="AB784" s="52">
        <f>IFERROR(INDEX('Aub Demand'!L:L,MATCH($O784,'Aub Demand'!$A:$A,0)),"")</f>
        <v>0</v>
      </c>
      <c r="AC784" s="52">
        <f>IFERROR(IF(O784="","",SUMIFS('CPL Mats'!F:F,'CPL Mats'!Q:Q,AR784,'CPL Mats'!S:S,AS784)),"")</f>
        <v>0</v>
      </c>
      <c r="AF784" s="25" t="str">
        <f>IF(SUMIFS('Supp Consol'!S:S,'Supp Consol'!Y:Y,"Releasable",'Supp Consol'!A:A,O784)=0,"",SUMIFS('Supp Consol'!S:S,'Supp Consol'!Y:Y,"Releasable",'Supp Consol'!A:A,O784))</f>
        <v/>
      </c>
      <c r="AG784" s="25" t="str">
        <f>IFERROR(INDEX('Hun Demand'!Q:Q,MATCH(O784,'Hun Demand'!A:A,0)),"")</f>
        <v/>
      </c>
      <c r="AH784" s="25" t="str">
        <f>IFERROR(INDEX('Hun Demand'!H:H,MATCH($O784,'Hun Demand'!$A:$A,0)),"")</f>
        <v/>
      </c>
      <c r="AI784" s="25" t="str">
        <f>IF(SUMIFS('Supp Consol'!AA:AA,'Supp Consol'!Z:Z,"Expires this month",'Supp Consol'!A:A,O784)=0,"",SUMIFS('Supp Consol'!AA:AA,'Supp Consol'!Z:Z,"Expires this month",'Supp Consol'!A:A,O784))</f>
        <v/>
      </c>
      <c r="AJ784" s="25" t="str">
        <f>IF(SUMIFS('Supp Consol'!AA:AA,'Supp Consol'!Z:Z,"Expired Previous Months",'Supp Consol'!A:A,O784)=0,"",SUMIFS('Supp Consol'!AA:AA,'Supp Consol'!Z:Z,"Expired Previous Months",'Supp Consol'!A:A,O784))</f>
        <v/>
      </c>
      <c r="AK784" s="25" t="str">
        <f>IFERROR(INDEX('Hun Release Current'!B:B,MATCH(O784,'Hun Release Current'!A:A,0)),"")</f>
        <v/>
      </c>
      <c r="AL784" s="25" t="str">
        <f>IF(SUMIF('Prev Aub'!A:A,O784,'Prev Aub'!B:B)=0,"",SUMIF('Prev Aub'!A:A,O784,'Prev Aub'!B:B))</f>
        <v/>
      </c>
      <c r="AN784" s="25" t="s">
        <v>3790</v>
      </c>
      <c r="AO784" s="25" t="s">
        <v>3790</v>
      </c>
      <c r="AP784" s="25">
        <f t="shared" si="342"/>
        <v>0</v>
      </c>
      <c r="AQ784" s="151" t="str">
        <f>IF(SUMIFS('Supp Consol'!S:S,'Supp Consol'!A:A,O784,'Supp Consol'!I:I,"PENDING")=0,"",SUMIFS('Supp Consol'!S:S,'Supp Consol'!A:A,O784,'Supp Consol'!I:I,"PENDING"))</f>
        <v/>
      </c>
      <c r="AR784" s="27" t="str">
        <f t="shared" si="343"/>
        <v>MH801</v>
      </c>
      <c r="AS784" s="27" t="str">
        <f t="shared" si="344"/>
        <v>62</v>
      </c>
      <c r="AT784" s="27" t="str">
        <f t="shared" si="345"/>
        <v/>
      </c>
      <c r="AU784" s="27" t="str">
        <f t="shared" si="346"/>
        <v/>
      </c>
      <c r="AV784" s="27" t="str">
        <f t="shared" si="347"/>
        <v/>
      </c>
      <c r="AW784" s="27" t="str">
        <f t="shared" si="348"/>
        <v/>
      </c>
      <c r="AX784" s="27" t="str">
        <f t="shared" si="349"/>
        <v/>
      </c>
      <c r="AY784" s="27" t="str">
        <f t="shared" si="350"/>
        <v/>
      </c>
      <c r="AZ784" s="27" t="str">
        <f t="shared" si="351"/>
        <v/>
      </c>
      <c r="BA784" s="27" t="str">
        <f t="shared" si="352"/>
        <v/>
      </c>
      <c r="BB784" s="27" t="str">
        <f t="shared" si="353"/>
        <v>Gross</v>
      </c>
      <c r="BC784" s="27" t="str">
        <f t="shared" si="354"/>
        <v>Net</v>
      </c>
      <c r="BD784" s="27" t="str">
        <f t="shared" si="355"/>
        <v>Net</v>
      </c>
      <c r="BE784" s="27" t="str">
        <f t="shared" si="356"/>
        <v/>
      </c>
      <c r="BF784" s="27" t="str">
        <f t="shared" si="357"/>
        <v/>
      </c>
      <c r="BG784" s="27" t="str">
        <f t="shared" si="358"/>
        <v/>
      </c>
      <c r="BH784" s="27" t="str">
        <f t="shared" si="359"/>
        <v/>
      </c>
      <c r="BI784" s="27" t="str">
        <f t="shared" si="360"/>
        <v/>
      </c>
      <c r="BJ784" s="27" t="str">
        <f t="shared" si="361"/>
        <v/>
      </c>
      <c r="BK784" s="27" t="str">
        <f t="shared" si="362"/>
        <v/>
      </c>
      <c r="BL784" s="27" t="str">
        <f t="shared" si="363"/>
        <v/>
      </c>
      <c r="BM784" s="21" t="s">
        <v>5581</v>
      </c>
    </row>
    <row r="785" spans="1:65" ht="15">
      <c r="A785" s="25" t="str">
        <f>IFERROR(INDEX('Hun Demand'!W:W,MATCH(O785,'Hun Demand'!A:A,0)),"")</f>
        <v/>
      </c>
      <c r="B785" s="25" t="str">
        <f>IFERROR(INDEX('Hun Demand'!V:V,MATCH(O785,'Hun Demand'!A:A,0)),"")</f>
        <v/>
      </c>
      <c r="C785" s="25" t="str">
        <f>IFERROR(INDEX('Hun Demand'!U:U,MATCH(O785,'Hun Demand'!A:A,0)),"")</f>
        <v/>
      </c>
      <c r="D785" s="25" t="str">
        <f>IFERROR(INDEX('Hun Demand'!T:T,MATCH(O785,'Hun Demand'!A:A,0)),"")</f>
        <v/>
      </c>
      <c r="E785" s="25" t="str">
        <f>IFERROR(INDEX('Hun Demand'!S:S,MATCH(O785,'Hun Demand'!A:A,0)),"")</f>
        <v/>
      </c>
      <c r="F785" s="25" t="str">
        <f>IFERROR(INDEX('Hun Demand'!R:R,MATCH(O785,'Hun Demand'!A:A,0)),"")</f>
        <v/>
      </c>
      <c r="G785" s="25">
        <f>IFERROR(INDEX('Aub Demand'!W:W,MATCH(O785,'Aub Demand'!A:A,0)),"")</f>
        <v>0</v>
      </c>
      <c r="H785" s="25">
        <f>IFERROR(INDEX('Aub Demand'!V:V,MATCH(O785,'Aub Demand'!A:A,0)),"")</f>
        <v>0</v>
      </c>
      <c r="I785" s="25">
        <f>IFERROR(INDEX('Aub Demand'!U:U,MATCH(O785,'Aub Demand'!A:A,0)),"")</f>
        <v>0</v>
      </c>
      <c r="J785" s="25">
        <f>IFERROR(INDEX('Aub Demand'!T:T,MATCH(O785,'Aub Demand'!A:A,0)),"")</f>
        <v>0</v>
      </c>
      <c r="K785" s="25">
        <f>IFERROR(INDEX('Aub Demand'!S:S,MATCH(O785,'Aub Demand'!A:A,0)),"")</f>
        <v>0</v>
      </c>
      <c r="L785" s="25">
        <f>IFERROR(INDEX('Aub Demand'!R:R,MATCH(O785,'Aub Demand'!A:A,0)),"")</f>
        <v>0</v>
      </c>
      <c r="O785" s="27" t="s">
        <v>2332</v>
      </c>
      <c r="P785" s="27" t="str">
        <f>IFERROR(INDEX('Aub Demand'!B:B,MATCH($O785,'Aub Demand'!$A:$A,0)),"")</f>
        <v>AUBERGINE MATRIX 60"</v>
      </c>
      <c r="Q785" s="27" t="str">
        <f>IFERROR(INDEX('Aub Demand'!C:C,MATCH($O785,'Aub Demand'!$A:$A,0)),"")</f>
        <v>INTER</v>
      </c>
      <c r="R785" s="52">
        <f>IFERROR(IF(AR786=AR785,INDEX('Aub Demand'!K:K,MATCH($O785,'Aub Demand'!$A:$A,0))-IF(AN785="",0,AN785)+AP786,INDEX('Aub Demand'!K:K,MATCH($O785,'Aub Demand'!$A:$A,0))-IF(AN785="",0,AN785)),"")</f>
        <v>334</v>
      </c>
      <c r="S785" s="53" t="str">
        <f t="shared" si="336"/>
        <v>n/a</v>
      </c>
      <c r="T785" s="52" t="str">
        <f t="shared" si="337"/>
        <v/>
      </c>
      <c r="U785" s="52">
        <f>IFERROR(IF(AR786=AR785,INDEX('Aub Demand'!Q:Q,MATCH($O785,'Aub Demand'!$A:$A,0))-IF(AN785="",0,AN785)+AP786,INDEX('Aub Demand'!Q:Q,MATCH($O785,'Aub Demand'!$A:$A,0))-IF(AN785="",0,AN785)),"")</f>
        <v>334</v>
      </c>
      <c r="V785" s="53" t="str">
        <f t="shared" si="338"/>
        <v>n/a</v>
      </c>
      <c r="W785" s="52" t="str">
        <f t="shared" si="339"/>
        <v/>
      </c>
      <c r="X785" s="52">
        <f>IFERROR(IF(AND(AR786=AR785,AM785&lt;&gt;""),INDEX('Aub Demand'!Q:Q,MATCH($O785,'Aub Demand'!$A:$A,0))-IF(AN785="",0,AN785)+AP786+AD785+AL785,IF(AR786=AR785,INDEX('Aub Demand'!Q:Q,MATCH($O785,'Aub Demand'!$A:$A,0))-IF(AN785="",0,AN785)+AP786+AD785,IF(AM785&lt;&gt;"",INDEX('Aub Demand'!Q:Q,MATCH($O785,'Aub Demand'!$A:$A,0))-IF(AN785="",0,AN785)+AD785+AL785,INDEX('Aub Demand'!Q:Q,MATCH($O785,'Aub Demand'!$A:$A,0))-IF(AN785="",0,AN785)+AD785))),"")</f>
        <v>334</v>
      </c>
      <c r="Y785" s="53" t="str">
        <f t="shared" si="340"/>
        <v>n/a</v>
      </c>
      <c r="Z785" s="52">
        <f>IF(L785="","",INDEX('Aub Demand'!H:H,MATCH($O785,'Aub Demand'!$A:$A,0)))</f>
        <v>0</v>
      </c>
      <c r="AA785" s="52" t="str">
        <f t="shared" si="341"/>
        <v>-spike-</v>
      </c>
      <c r="AB785" s="52">
        <f>IFERROR(INDEX('Aub Demand'!L:L,MATCH($O785,'Aub Demand'!$A:$A,0)),"")</f>
        <v>11</v>
      </c>
      <c r="AC785" s="52">
        <f>IFERROR(IF(O785="","",SUMIFS('CPL Mats'!F:F,'CPL Mats'!Q:Q,AR785,'CPL Mats'!S:S,AS785)),"")</f>
        <v>0</v>
      </c>
      <c r="AF785" s="25" t="str">
        <f>IF(SUMIFS('Supp Consol'!S:S,'Supp Consol'!Y:Y,"Releasable",'Supp Consol'!A:A,O785)=0,"",SUMIFS('Supp Consol'!S:S,'Supp Consol'!Y:Y,"Releasable",'Supp Consol'!A:A,O785))</f>
        <v/>
      </c>
      <c r="AG785" s="25" t="str">
        <f>IFERROR(INDEX('Hun Demand'!Q:Q,MATCH(O785,'Hun Demand'!A:A,0)),"")</f>
        <v/>
      </c>
      <c r="AH785" s="25" t="str">
        <f>IFERROR(INDEX('Hun Demand'!H:H,MATCH($O785,'Hun Demand'!$A:$A,0)),"")</f>
        <v/>
      </c>
      <c r="AI785" s="25" t="str">
        <f>IF(SUMIFS('Supp Consol'!AA:AA,'Supp Consol'!Z:Z,"Expires this month",'Supp Consol'!A:A,O785)=0,"",SUMIFS('Supp Consol'!AA:AA,'Supp Consol'!Z:Z,"Expires this month",'Supp Consol'!A:A,O785))</f>
        <v/>
      </c>
      <c r="AJ785" s="25" t="str">
        <f>IF(SUMIFS('Supp Consol'!AA:AA,'Supp Consol'!Z:Z,"Expired Previous Months",'Supp Consol'!A:A,O785)=0,"",SUMIFS('Supp Consol'!AA:AA,'Supp Consol'!Z:Z,"Expired Previous Months",'Supp Consol'!A:A,O785))</f>
        <v/>
      </c>
      <c r="AK785" s="25" t="str">
        <f>IFERROR(INDEX('Hun Release Current'!B:B,MATCH(O785,'Hun Release Current'!A:A,0)),"")</f>
        <v/>
      </c>
      <c r="AL785" s="25" t="str">
        <f>IF(SUMIF('Prev Aub'!A:A,O785,'Prev Aub'!B:B)=0,"",SUMIF('Prev Aub'!A:A,O785,'Prev Aub'!B:B))</f>
        <v/>
      </c>
      <c r="AN785" s="25" t="s">
        <v>3790</v>
      </c>
      <c r="AO785" s="25" t="s">
        <v>3790</v>
      </c>
      <c r="AP785" s="25">
        <f t="shared" si="342"/>
        <v>0</v>
      </c>
      <c r="AQ785" s="151" t="str">
        <f>IF(SUMIFS('Supp Consol'!S:S,'Supp Consol'!A:A,O785,'Supp Consol'!I:I,"PENDING")=0,"",SUMIFS('Supp Consol'!S:S,'Supp Consol'!A:A,O785,'Supp Consol'!I:I,"PENDING"))</f>
        <v/>
      </c>
      <c r="AR785" s="27" t="str">
        <f t="shared" si="343"/>
        <v>MR106</v>
      </c>
      <c r="AS785" s="27" t="str">
        <f t="shared" si="344"/>
        <v>62</v>
      </c>
      <c r="AT785" s="27" t="str">
        <f t="shared" si="345"/>
        <v/>
      </c>
      <c r="AU785" s="27" t="str">
        <f t="shared" si="346"/>
        <v/>
      </c>
      <c r="AV785" s="27" t="str">
        <f t="shared" si="347"/>
        <v/>
      </c>
      <c r="AW785" s="27" t="str">
        <f t="shared" si="348"/>
        <v/>
      </c>
      <c r="AX785" s="27" t="str">
        <f t="shared" si="349"/>
        <v/>
      </c>
      <c r="AY785" s="27" t="str">
        <f t="shared" si="350"/>
        <v/>
      </c>
      <c r="AZ785" s="27" t="str">
        <f t="shared" si="351"/>
        <v/>
      </c>
      <c r="BA785" s="27" t="str">
        <f t="shared" si="352"/>
        <v/>
      </c>
      <c r="BB785" s="27" t="str">
        <f t="shared" si="353"/>
        <v/>
      </c>
      <c r="BC785" s="27" t="str">
        <f t="shared" si="354"/>
        <v/>
      </c>
      <c r="BD785" s="27" t="str">
        <f t="shared" si="355"/>
        <v/>
      </c>
      <c r="BE785" s="27" t="str">
        <f t="shared" si="356"/>
        <v/>
      </c>
      <c r="BF785" s="27" t="str">
        <f t="shared" si="357"/>
        <v/>
      </c>
      <c r="BG785" s="27" t="str">
        <f t="shared" si="358"/>
        <v/>
      </c>
      <c r="BH785" s="27" t="str">
        <f t="shared" si="359"/>
        <v/>
      </c>
      <c r="BI785" s="27" t="str">
        <f t="shared" si="360"/>
        <v/>
      </c>
      <c r="BJ785" s="27" t="str">
        <f t="shared" si="361"/>
        <v/>
      </c>
      <c r="BK785" s="27" t="str">
        <f t="shared" si="362"/>
        <v/>
      </c>
      <c r="BL785" s="27" t="str">
        <f t="shared" si="363"/>
        <v/>
      </c>
      <c r="BM785" s="21" t="s">
        <v>3790</v>
      </c>
    </row>
    <row r="786" spans="1:65" ht="15">
      <c r="A786" s="25" t="str">
        <f>IFERROR(INDEX('Hun Demand'!W:W,MATCH(O786,'Hun Demand'!A:A,0)),"")</f>
        <v/>
      </c>
      <c r="B786" s="25" t="str">
        <f>IFERROR(INDEX('Hun Demand'!V:V,MATCH(O786,'Hun Demand'!A:A,0)),"")</f>
        <v/>
      </c>
      <c r="C786" s="25" t="str">
        <f>IFERROR(INDEX('Hun Demand'!U:U,MATCH(O786,'Hun Demand'!A:A,0)),"")</f>
        <v/>
      </c>
      <c r="D786" s="25" t="str">
        <f>IFERROR(INDEX('Hun Demand'!T:T,MATCH(O786,'Hun Demand'!A:A,0)),"")</f>
        <v/>
      </c>
      <c r="E786" s="25" t="str">
        <f>IFERROR(INDEX('Hun Demand'!S:S,MATCH(O786,'Hun Demand'!A:A,0)),"")</f>
        <v/>
      </c>
      <c r="F786" s="25" t="str">
        <f>IFERROR(INDEX('Hun Demand'!R:R,MATCH(O786,'Hun Demand'!A:A,0)),"")</f>
        <v/>
      </c>
      <c r="G786" s="25">
        <f>IFERROR(INDEX('Aub Demand'!W:W,MATCH(O786,'Aub Demand'!A:A,0)),"")</f>
        <v>0</v>
      </c>
      <c r="H786" s="25">
        <f>IFERROR(INDEX('Aub Demand'!V:V,MATCH(O786,'Aub Demand'!A:A,0)),"")</f>
        <v>10</v>
      </c>
      <c r="I786" s="25">
        <f>IFERROR(INDEX('Aub Demand'!U:U,MATCH(O786,'Aub Demand'!A:A,0)),"")</f>
        <v>0</v>
      </c>
      <c r="J786" s="25">
        <f>IFERROR(INDEX('Aub Demand'!T:T,MATCH(O786,'Aub Demand'!A:A,0)),"")</f>
        <v>11</v>
      </c>
      <c r="K786" s="25">
        <f>IFERROR(INDEX('Aub Demand'!S:S,MATCH(O786,'Aub Demand'!A:A,0)),"")</f>
        <v>0</v>
      </c>
      <c r="L786" s="25">
        <f>IFERROR(INDEX('Aub Demand'!R:R,MATCH(O786,'Aub Demand'!A:A,0)),"")</f>
        <v>0</v>
      </c>
      <c r="O786" s="27" t="s">
        <v>1212</v>
      </c>
      <c r="P786" s="27" t="str">
        <f>IFERROR(INDEX('Aub Demand'!B:B,MATCH($O786,'Aub Demand'!$A:$A,0)),"")</f>
        <v>LOUISE</v>
      </c>
      <c r="Q786" s="27" t="str">
        <f>IFERROR(INDEX('Aub Demand'!C:C,MATCH($O786,'Aub Demand'!$A:$A,0)),"")</f>
        <v>TOPPA</v>
      </c>
      <c r="R786" s="52">
        <f>IFERROR(IF(AR787=AR786,INDEX('Aub Demand'!K:K,MATCH($O786,'Aub Demand'!$A:$A,0))-IF(AN786="",0,AN786)+AP787,INDEX('Aub Demand'!K:K,MATCH($O786,'Aub Demand'!$A:$A,0))-IF(AN786="",0,AN786)),"")</f>
        <v>143</v>
      </c>
      <c r="S786" s="53">
        <f t="shared" si="336"/>
        <v>153.19999999999999</v>
      </c>
      <c r="T786" s="52" t="str">
        <f t="shared" si="337"/>
        <v/>
      </c>
      <c r="U786" s="52">
        <f>IFERROR(IF(AR787=AR786,INDEX('Aub Demand'!Q:Q,MATCH($O786,'Aub Demand'!$A:$A,0))-IF(AN786="",0,AN786)+AP787,INDEX('Aub Demand'!Q:Q,MATCH($O786,'Aub Demand'!$A:$A,0))-IF(AN786="",0,AN786)),"")</f>
        <v>143</v>
      </c>
      <c r="V786" s="53">
        <f t="shared" si="338"/>
        <v>153.19999999999999</v>
      </c>
      <c r="W786" s="52" t="str">
        <f t="shared" si="339"/>
        <v/>
      </c>
      <c r="X786" s="52">
        <f>IFERROR(IF(AND(AR787=AR786,AM786&lt;&gt;""),INDEX('Aub Demand'!Q:Q,MATCH($O786,'Aub Demand'!$A:$A,0))-IF(AN786="",0,AN786)+AP787+AD786+AL786,IF(AR787=AR786,INDEX('Aub Demand'!Q:Q,MATCH($O786,'Aub Demand'!$A:$A,0))-IF(AN786="",0,AN786)+AP787+AD786,IF(AM786&lt;&gt;"",INDEX('Aub Demand'!Q:Q,MATCH($O786,'Aub Demand'!$A:$A,0))-IF(AN786="",0,AN786)+AD786+AL786,INDEX('Aub Demand'!Q:Q,MATCH($O786,'Aub Demand'!$A:$A,0))-IF(AN786="",0,AN786)+AD786))),"")</f>
        <v>143</v>
      </c>
      <c r="Y786" s="53">
        <f t="shared" si="340"/>
        <v>153.19999999999999</v>
      </c>
      <c r="Z786" s="52">
        <f>IF(L786="","",INDEX('Aub Demand'!H:H,MATCH($O786,'Aub Demand'!$A:$A,0)))</f>
        <v>4</v>
      </c>
      <c r="AA786" s="52" t="str">
        <f t="shared" si="341"/>
        <v>-spike-</v>
      </c>
      <c r="AB786" s="52">
        <f>IFERROR(INDEX('Aub Demand'!L:L,MATCH($O786,'Aub Demand'!$A:$A,0)),"")</f>
        <v>1</v>
      </c>
      <c r="AC786" s="52">
        <f>IFERROR(IF(O786="","",SUMIFS('CPL Mats'!F:F,'CPL Mats'!Q:Q,AR786,'CPL Mats'!S:S,AS786)),"")</f>
        <v>0</v>
      </c>
      <c r="AF786" s="25" t="str">
        <f>IF(SUMIFS('Supp Consol'!S:S,'Supp Consol'!Y:Y,"Releasable",'Supp Consol'!A:A,O786)=0,"",SUMIFS('Supp Consol'!S:S,'Supp Consol'!Y:Y,"Releasable",'Supp Consol'!A:A,O786))</f>
        <v/>
      </c>
      <c r="AG786" s="25" t="str">
        <f>IFERROR(INDEX('Hun Demand'!Q:Q,MATCH(O786,'Hun Demand'!A:A,0)),"")</f>
        <v/>
      </c>
      <c r="AH786" s="25" t="str">
        <f>IFERROR(INDEX('Hun Demand'!H:H,MATCH($O786,'Hun Demand'!$A:$A,0)),"")</f>
        <v/>
      </c>
      <c r="AI786" s="25" t="str">
        <f>IF(SUMIFS('Supp Consol'!AA:AA,'Supp Consol'!Z:Z,"Expires this month",'Supp Consol'!A:A,O786)=0,"",SUMIFS('Supp Consol'!AA:AA,'Supp Consol'!Z:Z,"Expires this month",'Supp Consol'!A:A,O786))</f>
        <v/>
      </c>
      <c r="AJ786" s="25" t="str">
        <f>IF(SUMIFS('Supp Consol'!AA:AA,'Supp Consol'!Z:Z,"Expired Previous Months",'Supp Consol'!A:A,O786)=0,"",SUMIFS('Supp Consol'!AA:AA,'Supp Consol'!Z:Z,"Expired Previous Months",'Supp Consol'!A:A,O786))</f>
        <v/>
      </c>
      <c r="AK786" s="25" t="str">
        <f>IFERROR(INDEX('Hun Release Current'!B:B,MATCH(O786,'Hun Release Current'!A:A,0)),"")</f>
        <v/>
      </c>
      <c r="AL786" s="25" t="str">
        <f>IF(SUMIF('Prev Aub'!A:A,O786,'Prev Aub'!B:B)=0,"",SUMIF('Prev Aub'!A:A,O786,'Prev Aub'!B:B))</f>
        <v/>
      </c>
      <c r="AN786" s="25" t="s">
        <v>3790</v>
      </c>
      <c r="AO786" s="25" t="s">
        <v>3790</v>
      </c>
      <c r="AP786" s="25">
        <f t="shared" si="342"/>
        <v>0</v>
      </c>
      <c r="AQ786" s="151" t="str">
        <f>IF(SUMIFS('Supp Consol'!S:S,'Supp Consol'!A:A,O786,'Supp Consol'!I:I,"PENDING")=0,"",SUMIFS('Supp Consol'!S:S,'Supp Consol'!A:A,O786,'Supp Consol'!I:I,"PENDING"))</f>
        <v/>
      </c>
      <c r="AR786" s="27" t="str">
        <f t="shared" si="343"/>
        <v>MR120</v>
      </c>
      <c r="AS786" s="27" t="str">
        <f t="shared" si="344"/>
        <v>50</v>
      </c>
      <c r="AT786" s="27" t="str">
        <f t="shared" si="345"/>
        <v/>
      </c>
      <c r="AU786" s="27" t="str">
        <f t="shared" si="346"/>
        <v/>
      </c>
      <c r="AV786" s="27" t="str">
        <f t="shared" si="347"/>
        <v/>
      </c>
      <c r="AW786" s="27" t="str">
        <f t="shared" si="348"/>
        <v/>
      </c>
      <c r="AX786" s="27" t="str">
        <f t="shared" si="349"/>
        <v/>
      </c>
      <c r="AY786" s="27" t="str">
        <f t="shared" si="350"/>
        <v/>
      </c>
      <c r="AZ786" s="27" t="str">
        <f t="shared" si="351"/>
        <v/>
      </c>
      <c r="BA786" s="27" t="str">
        <f t="shared" si="352"/>
        <v/>
      </c>
      <c r="BB786" s="27" t="str">
        <f t="shared" si="353"/>
        <v/>
      </c>
      <c r="BC786" s="27" t="str">
        <f t="shared" si="354"/>
        <v/>
      </c>
      <c r="BD786" s="27" t="str">
        <f t="shared" si="355"/>
        <v/>
      </c>
      <c r="BE786" s="27" t="str">
        <f t="shared" si="356"/>
        <v/>
      </c>
      <c r="BF786" s="27" t="str">
        <f t="shared" si="357"/>
        <v/>
      </c>
      <c r="BG786" s="27" t="str">
        <f t="shared" si="358"/>
        <v/>
      </c>
      <c r="BH786" s="27" t="str">
        <f t="shared" si="359"/>
        <v/>
      </c>
      <c r="BI786" s="27" t="str">
        <f t="shared" si="360"/>
        <v/>
      </c>
      <c r="BJ786" s="27" t="str">
        <f t="shared" si="361"/>
        <v/>
      </c>
      <c r="BK786" s="27" t="str">
        <f t="shared" si="362"/>
        <v/>
      </c>
      <c r="BL786" s="27" t="str">
        <f t="shared" si="363"/>
        <v/>
      </c>
      <c r="BM786" s="21" t="s">
        <v>5581</v>
      </c>
    </row>
    <row r="787" spans="1:65" ht="15">
      <c r="A787" s="25" t="str">
        <f>IFERROR(INDEX('Hun Demand'!W:W,MATCH(O787,'Hun Demand'!A:A,0)),"")</f>
        <v/>
      </c>
      <c r="B787" s="25" t="str">
        <f>IFERROR(INDEX('Hun Demand'!V:V,MATCH(O787,'Hun Demand'!A:A,0)),"")</f>
        <v/>
      </c>
      <c r="C787" s="25" t="str">
        <f>IFERROR(INDEX('Hun Demand'!U:U,MATCH(O787,'Hun Demand'!A:A,0)),"")</f>
        <v/>
      </c>
      <c r="D787" s="25" t="str">
        <f>IFERROR(INDEX('Hun Demand'!T:T,MATCH(O787,'Hun Demand'!A:A,0)),"")</f>
        <v/>
      </c>
      <c r="E787" s="25" t="str">
        <f>IFERROR(INDEX('Hun Demand'!S:S,MATCH(O787,'Hun Demand'!A:A,0)),"")</f>
        <v/>
      </c>
      <c r="F787" s="25" t="str">
        <f>IFERROR(INDEX('Hun Demand'!R:R,MATCH(O787,'Hun Demand'!A:A,0)),"")</f>
        <v/>
      </c>
      <c r="G787" s="25">
        <f>IFERROR(INDEX('Aub Demand'!W:W,MATCH(O787,'Aub Demand'!A:A,0)),"")</f>
        <v>77</v>
      </c>
      <c r="H787" s="25">
        <f>IFERROR(INDEX('Aub Demand'!V:V,MATCH(O787,'Aub Demand'!A:A,0)),"")</f>
        <v>18</v>
      </c>
      <c r="I787" s="25">
        <f>IFERROR(INDEX('Aub Demand'!U:U,MATCH(O787,'Aub Demand'!A:A,0)),"")</f>
        <v>0</v>
      </c>
      <c r="J787" s="25">
        <f>IFERROR(INDEX('Aub Demand'!T:T,MATCH(O787,'Aub Demand'!A:A,0)),"")</f>
        <v>28</v>
      </c>
      <c r="K787" s="25">
        <f>IFERROR(INDEX('Aub Demand'!S:S,MATCH(O787,'Aub Demand'!A:A,0)),"")</f>
        <v>0</v>
      </c>
      <c r="L787" s="25">
        <f>IFERROR(INDEX('Aub Demand'!R:R,MATCH(O787,'Aub Demand'!A:A,0)),"")</f>
        <v>0</v>
      </c>
      <c r="O787" s="27" t="s">
        <v>1214</v>
      </c>
      <c r="P787" s="27" t="str">
        <f>IFERROR(INDEX('Aub Demand'!B:B,MATCH($O787,'Aub Demand'!$A:$A,0)),"")</f>
        <v>LOUISE</v>
      </c>
      <c r="Q787" s="27" t="str">
        <f>IFERROR(INDEX('Aub Demand'!C:C,MATCH($O787,'Aub Demand'!$A:$A,0)),"")</f>
        <v>TOPPA</v>
      </c>
      <c r="R787" s="52">
        <f>IFERROR(IF(AR788=AR787,INDEX('Aub Demand'!K:K,MATCH($O787,'Aub Demand'!$A:$A,0))-IF(AN787="",0,AN787)+AP788,INDEX('Aub Demand'!K:K,MATCH($O787,'Aub Demand'!$A:$A,0))-IF(AN787="",0,AN787)),"")</f>
        <v>455</v>
      </c>
      <c r="S787" s="53">
        <f t="shared" si="336"/>
        <v>216.7</v>
      </c>
      <c r="T787" s="52" t="str">
        <f t="shared" si="337"/>
        <v/>
      </c>
      <c r="U787" s="52">
        <f>IFERROR(IF(AR788=AR787,INDEX('Aub Demand'!Q:Q,MATCH($O787,'Aub Demand'!$A:$A,0))-IF(AN787="",0,AN787)+AP788,INDEX('Aub Demand'!Q:Q,MATCH($O787,'Aub Demand'!$A:$A,0))-IF(AN787="",0,AN787)),"")</f>
        <v>455</v>
      </c>
      <c r="V787" s="53">
        <f t="shared" si="338"/>
        <v>216.7</v>
      </c>
      <c r="W787" s="52" t="str">
        <f t="shared" si="339"/>
        <v/>
      </c>
      <c r="X787" s="52">
        <f>IFERROR(IF(AND(AR788=AR787,AM787&lt;&gt;""),INDEX('Aub Demand'!Q:Q,MATCH($O787,'Aub Demand'!$A:$A,0))-IF(AN787="",0,AN787)+AP788+AD787+AL787,IF(AR788=AR787,INDEX('Aub Demand'!Q:Q,MATCH($O787,'Aub Demand'!$A:$A,0))-IF(AN787="",0,AN787)+AP788+AD787,IF(AM787&lt;&gt;"",INDEX('Aub Demand'!Q:Q,MATCH($O787,'Aub Demand'!$A:$A,0))-IF(AN787="",0,AN787)+AD787+AL787,INDEX('Aub Demand'!Q:Q,MATCH($O787,'Aub Demand'!$A:$A,0))-IF(AN787="",0,AN787)+AD787))),"")</f>
        <v>455</v>
      </c>
      <c r="Y787" s="53">
        <f t="shared" si="340"/>
        <v>216.7</v>
      </c>
      <c r="Z787" s="52">
        <f>IF(L787="","",INDEX('Aub Demand'!H:H,MATCH($O787,'Aub Demand'!$A:$A,0)))</f>
        <v>9</v>
      </c>
      <c r="AA787" s="52" t="str">
        <f t="shared" si="341"/>
        <v>-spike-</v>
      </c>
      <c r="AB787" s="52">
        <f>IFERROR(INDEX('Aub Demand'!L:L,MATCH($O787,'Aub Demand'!$A:$A,0)),"")</f>
        <v>0</v>
      </c>
      <c r="AC787" s="52">
        <f>IFERROR(IF(O787="","",SUMIFS('CPL Mats'!F:F,'CPL Mats'!Q:Q,AR787,'CPL Mats'!S:S,AS787)),"")</f>
        <v>0</v>
      </c>
      <c r="AF787" s="25" t="str">
        <f>IF(SUMIFS('Supp Consol'!S:S,'Supp Consol'!Y:Y,"Releasable",'Supp Consol'!A:A,O787)=0,"",SUMIFS('Supp Consol'!S:S,'Supp Consol'!Y:Y,"Releasable",'Supp Consol'!A:A,O787))</f>
        <v/>
      </c>
      <c r="AG787" s="25" t="str">
        <f>IFERROR(INDEX('Hun Demand'!Q:Q,MATCH(O787,'Hun Demand'!A:A,0)),"")</f>
        <v/>
      </c>
      <c r="AH787" s="25" t="str">
        <f>IFERROR(INDEX('Hun Demand'!H:H,MATCH($O787,'Hun Demand'!$A:$A,0)),"")</f>
        <v/>
      </c>
      <c r="AI787" s="25" t="str">
        <f>IF(SUMIFS('Supp Consol'!AA:AA,'Supp Consol'!Z:Z,"Expires this month",'Supp Consol'!A:A,O787)=0,"",SUMIFS('Supp Consol'!AA:AA,'Supp Consol'!Z:Z,"Expires this month",'Supp Consol'!A:A,O787))</f>
        <v/>
      </c>
      <c r="AJ787" s="25" t="str">
        <f>IF(SUMIFS('Supp Consol'!AA:AA,'Supp Consol'!Z:Z,"Expired Previous Months",'Supp Consol'!A:A,O787)=0,"",SUMIFS('Supp Consol'!AA:AA,'Supp Consol'!Z:Z,"Expired Previous Months",'Supp Consol'!A:A,O787))</f>
        <v/>
      </c>
      <c r="AK787" s="25" t="str">
        <f>IFERROR(INDEX('Hun Release Current'!B:B,MATCH(O787,'Hun Release Current'!A:A,0)),"")</f>
        <v/>
      </c>
      <c r="AL787" s="25" t="str">
        <f>IF(SUMIF('Prev Aub'!A:A,O787,'Prev Aub'!B:B)=0,"",SUMIF('Prev Aub'!A:A,O787,'Prev Aub'!B:B))</f>
        <v/>
      </c>
      <c r="AN787" s="25" t="s">
        <v>3790</v>
      </c>
      <c r="AO787" s="25" t="s">
        <v>3790</v>
      </c>
      <c r="AP787" s="25">
        <f t="shared" si="342"/>
        <v>0</v>
      </c>
      <c r="AQ787" s="151" t="str">
        <f>IF(SUMIFS('Supp Consol'!S:S,'Supp Consol'!A:A,O787,'Supp Consol'!I:I,"PENDING")=0,"",SUMIFS('Supp Consol'!S:S,'Supp Consol'!A:A,O787,'Supp Consol'!I:I,"PENDING"))</f>
        <v/>
      </c>
      <c r="AR787" s="27" t="str">
        <f t="shared" si="343"/>
        <v>MR120</v>
      </c>
      <c r="AS787" s="27" t="str">
        <f t="shared" si="344"/>
        <v>62</v>
      </c>
      <c r="AT787" s="27" t="str">
        <f t="shared" si="345"/>
        <v/>
      </c>
      <c r="AU787" s="27" t="str">
        <f t="shared" si="346"/>
        <v/>
      </c>
      <c r="AV787" s="27" t="str">
        <f t="shared" si="347"/>
        <v/>
      </c>
      <c r="AW787" s="27" t="str">
        <f t="shared" si="348"/>
        <v/>
      </c>
      <c r="AX787" s="27" t="str">
        <f t="shared" si="349"/>
        <v/>
      </c>
      <c r="AY787" s="27" t="str">
        <f t="shared" si="350"/>
        <v/>
      </c>
      <c r="AZ787" s="27" t="str">
        <f t="shared" si="351"/>
        <v/>
      </c>
      <c r="BA787" s="27" t="str">
        <f t="shared" si="352"/>
        <v/>
      </c>
      <c r="BB787" s="27" t="str">
        <f t="shared" si="353"/>
        <v/>
      </c>
      <c r="BC787" s="27" t="str">
        <f t="shared" si="354"/>
        <v/>
      </c>
      <c r="BD787" s="27" t="str">
        <f t="shared" si="355"/>
        <v/>
      </c>
      <c r="BE787" s="27" t="str">
        <f t="shared" si="356"/>
        <v/>
      </c>
      <c r="BF787" s="27" t="str">
        <f t="shared" si="357"/>
        <v/>
      </c>
      <c r="BG787" s="27" t="str">
        <f t="shared" si="358"/>
        <v/>
      </c>
      <c r="BH787" s="27" t="str">
        <f t="shared" si="359"/>
        <v/>
      </c>
      <c r="BI787" s="27" t="str">
        <f t="shared" si="360"/>
        <v/>
      </c>
      <c r="BJ787" s="27" t="str">
        <f t="shared" si="361"/>
        <v/>
      </c>
      <c r="BK787" s="27" t="str">
        <f t="shared" si="362"/>
        <v/>
      </c>
      <c r="BL787" s="27" t="str">
        <f t="shared" si="363"/>
        <v/>
      </c>
      <c r="BM787" s="21" t="s">
        <v>5581</v>
      </c>
    </row>
    <row r="788" spans="1:65" ht="15">
      <c r="A788" s="25" t="str">
        <f>IFERROR(INDEX('Hun Demand'!W:W,MATCH(O788,'Hun Demand'!A:A,0)),"")</f>
        <v/>
      </c>
      <c r="B788" s="25" t="str">
        <f>IFERROR(INDEX('Hun Demand'!V:V,MATCH(O788,'Hun Demand'!A:A,0)),"")</f>
        <v/>
      </c>
      <c r="C788" s="25" t="str">
        <f>IFERROR(INDEX('Hun Demand'!U:U,MATCH(O788,'Hun Demand'!A:A,0)),"")</f>
        <v/>
      </c>
      <c r="D788" s="25" t="str">
        <f>IFERROR(INDEX('Hun Demand'!T:T,MATCH(O788,'Hun Demand'!A:A,0)),"")</f>
        <v/>
      </c>
      <c r="E788" s="25" t="str">
        <f>IFERROR(INDEX('Hun Demand'!S:S,MATCH(O788,'Hun Demand'!A:A,0)),"")</f>
        <v/>
      </c>
      <c r="F788" s="25" t="str">
        <f>IFERROR(INDEX('Hun Demand'!R:R,MATCH(O788,'Hun Demand'!A:A,0)),"")</f>
        <v/>
      </c>
      <c r="G788" s="25">
        <f>IFERROR(INDEX('Aub Demand'!W:W,MATCH(O788,'Aub Demand'!A:A,0)),"")</f>
        <v>29</v>
      </c>
      <c r="H788" s="25">
        <f>IFERROR(INDEX('Aub Demand'!V:V,MATCH(O788,'Aub Demand'!A:A,0)),"")</f>
        <v>5</v>
      </c>
      <c r="I788" s="25">
        <f>IFERROR(INDEX('Aub Demand'!U:U,MATCH(O788,'Aub Demand'!A:A,0)),"")</f>
        <v>32</v>
      </c>
      <c r="J788" s="25">
        <f>IFERROR(INDEX('Aub Demand'!T:T,MATCH(O788,'Aub Demand'!A:A,0)),"")</f>
        <v>0</v>
      </c>
      <c r="K788" s="25">
        <f>IFERROR(INDEX('Aub Demand'!S:S,MATCH(O788,'Aub Demand'!A:A,0)),"")</f>
        <v>19</v>
      </c>
      <c r="L788" s="25">
        <f>IFERROR(INDEX('Aub Demand'!R:R,MATCH(O788,'Aub Demand'!A:A,0)),"")</f>
        <v>0</v>
      </c>
      <c r="O788" s="27" t="s">
        <v>1215</v>
      </c>
      <c r="P788" s="27" t="str">
        <f>IFERROR(INDEX('Aub Demand'!B:B,MATCH($O788,'Aub Demand'!$A:$A,0)),"")</f>
        <v>THEODORE</v>
      </c>
      <c r="Q788" s="27" t="str">
        <f>IFERROR(INDEX('Aub Demand'!C:C,MATCH($O788,'Aub Demand'!$A:$A,0)),"")</f>
        <v>TOPPA</v>
      </c>
      <c r="R788" s="52">
        <f>IFERROR(IF(AR789=AR788,INDEX('Aub Demand'!K:K,MATCH($O788,'Aub Demand'!$A:$A,0))-IF(AN788="",0,AN788)+AP789,INDEX('Aub Demand'!K:K,MATCH($O788,'Aub Demand'!$A:$A,0))-IF(AN788="",0,AN788)),"")</f>
        <v>0</v>
      </c>
      <c r="S788" s="53">
        <f t="shared" si="336"/>
        <v>0</v>
      </c>
      <c r="T788" s="52">
        <f t="shared" si="337"/>
        <v>19.125</v>
      </c>
      <c r="U788" s="52">
        <f>IFERROR(IF(AR789=AR788,INDEX('Aub Demand'!Q:Q,MATCH($O788,'Aub Demand'!$A:$A,0))-IF(AN788="",0,AN788)+AP789,INDEX('Aub Demand'!Q:Q,MATCH($O788,'Aub Demand'!$A:$A,0))-IF(AN788="",0,AN788)),"")</f>
        <v>-1</v>
      </c>
      <c r="V788" s="53">
        <f t="shared" si="338"/>
        <v>-0.3</v>
      </c>
      <c r="W788" s="52">
        <f t="shared" si="339"/>
        <v>21.037499999999998</v>
      </c>
      <c r="X788" s="52">
        <f>IFERROR(IF(AND(AR789=AR788,AM788&lt;&gt;""),INDEX('Aub Demand'!Q:Q,MATCH($O788,'Aub Demand'!$A:$A,0))-IF(AN788="",0,AN788)+AP789+AD788+AL788,IF(AR789=AR788,INDEX('Aub Demand'!Q:Q,MATCH($O788,'Aub Demand'!$A:$A,0))-IF(AN788="",0,AN788)+AP789+AD788,IF(AM788&lt;&gt;"",INDEX('Aub Demand'!Q:Q,MATCH($O788,'Aub Demand'!$A:$A,0))-IF(AN788="",0,AN788)+AD788+AL788,INDEX('Aub Demand'!Q:Q,MATCH($O788,'Aub Demand'!$A:$A,0))-IF(AN788="",0,AN788)+AD788))),"")</f>
        <v>-1</v>
      </c>
      <c r="Y788" s="53">
        <f t="shared" si="340"/>
        <v>-0.3</v>
      </c>
      <c r="Z788" s="52">
        <f>IF(L788="","",INDEX('Aub Demand'!H:H,MATCH($O788,'Aub Demand'!$A:$A,0)))</f>
        <v>17</v>
      </c>
      <c r="AA788" s="52">
        <f t="shared" si="341"/>
        <v>25.5</v>
      </c>
      <c r="AB788" s="52">
        <f>IFERROR(INDEX('Aub Demand'!L:L,MATCH($O788,'Aub Demand'!$A:$A,0)),"")</f>
        <v>0</v>
      </c>
      <c r="AC788" s="52">
        <f>IFERROR(IF(O788="","",SUMIFS('CPL Mats'!F:F,'CPL Mats'!Q:Q,AR788,'CPL Mats'!S:S,AS788)),"")</f>
        <v>0</v>
      </c>
      <c r="AF788" s="25" t="str">
        <f>IF(SUMIFS('Supp Consol'!S:S,'Supp Consol'!Y:Y,"Releasable",'Supp Consol'!A:A,O788)=0,"",SUMIFS('Supp Consol'!S:S,'Supp Consol'!Y:Y,"Releasable",'Supp Consol'!A:A,O788))</f>
        <v/>
      </c>
      <c r="AG788" s="25" t="str">
        <f>IFERROR(INDEX('Hun Demand'!Q:Q,MATCH(O788,'Hun Demand'!A:A,0)),"")</f>
        <v/>
      </c>
      <c r="AH788" s="25" t="str">
        <f>IFERROR(INDEX('Hun Demand'!H:H,MATCH($O788,'Hun Demand'!$A:$A,0)),"")</f>
        <v/>
      </c>
      <c r="AI788" s="25" t="str">
        <f>IF(SUMIFS('Supp Consol'!AA:AA,'Supp Consol'!Z:Z,"Expires this month",'Supp Consol'!A:A,O788)=0,"",SUMIFS('Supp Consol'!AA:AA,'Supp Consol'!Z:Z,"Expires this month",'Supp Consol'!A:A,O788))</f>
        <v/>
      </c>
      <c r="AJ788" s="25" t="str">
        <f>IF(SUMIFS('Supp Consol'!AA:AA,'Supp Consol'!Z:Z,"Expired Previous Months",'Supp Consol'!A:A,O788)=0,"",SUMIFS('Supp Consol'!AA:AA,'Supp Consol'!Z:Z,"Expired Previous Months",'Supp Consol'!A:A,O788))</f>
        <v/>
      </c>
      <c r="AK788" s="25" t="str">
        <f>IFERROR(INDEX('Hun Release Current'!B:B,MATCH(O788,'Hun Release Current'!A:A,0)),"")</f>
        <v/>
      </c>
      <c r="AL788" s="25" t="str">
        <f>IF(SUMIF('Prev Aub'!A:A,O788,'Prev Aub'!B:B)=0,"",SUMIF('Prev Aub'!A:A,O788,'Prev Aub'!B:B))</f>
        <v/>
      </c>
      <c r="AN788" s="25" t="s">
        <v>3790</v>
      </c>
      <c r="AO788" s="25" t="s">
        <v>3790</v>
      </c>
      <c r="AP788" s="25">
        <f t="shared" si="342"/>
        <v>0</v>
      </c>
      <c r="AQ788" s="151" t="str">
        <f>IF(SUMIFS('Supp Consol'!S:S,'Supp Consol'!A:A,O788,'Supp Consol'!I:I,"PENDING")=0,"",SUMIFS('Supp Consol'!S:S,'Supp Consol'!A:A,O788,'Supp Consol'!I:I,"PENDING"))</f>
        <v/>
      </c>
      <c r="AR788" s="27" t="str">
        <f t="shared" si="343"/>
        <v>MR125</v>
      </c>
      <c r="AS788" s="27" t="str">
        <f t="shared" si="344"/>
        <v>50</v>
      </c>
      <c r="AT788" s="27" t="str">
        <f t="shared" si="345"/>
        <v>MR125</v>
      </c>
      <c r="AU788" s="27" t="str">
        <f t="shared" si="346"/>
        <v>MR125</v>
      </c>
      <c r="AV788" s="27" t="str">
        <f t="shared" si="347"/>
        <v>MR125</v>
      </c>
      <c r="AW788" s="27" t="str">
        <f t="shared" si="348"/>
        <v/>
      </c>
      <c r="AX788" s="27" t="str">
        <f t="shared" si="349"/>
        <v/>
      </c>
      <c r="AY788" s="27" t="str">
        <f t="shared" si="350"/>
        <v/>
      </c>
      <c r="AZ788" s="27" t="str">
        <f t="shared" si="351"/>
        <v/>
      </c>
      <c r="BA788" s="27" t="str">
        <f t="shared" si="352"/>
        <v/>
      </c>
      <c r="BB788" s="27" t="str">
        <f t="shared" si="353"/>
        <v>Gross</v>
      </c>
      <c r="BC788" s="27" t="str">
        <f t="shared" si="354"/>
        <v>Net</v>
      </c>
      <c r="BD788" s="27" t="str">
        <f t="shared" si="355"/>
        <v>Net</v>
      </c>
      <c r="BE788" s="27" t="str">
        <f t="shared" si="356"/>
        <v/>
      </c>
      <c r="BF788" s="27" t="str">
        <f t="shared" si="357"/>
        <v/>
      </c>
      <c r="BG788" s="27" t="str">
        <f t="shared" si="358"/>
        <v/>
      </c>
      <c r="BH788" s="27" t="str">
        <f t="shared" si="359"/>
        <v/>
      </c>
      <c r="BI788" s="27" t="str">
        <f t="shared" si="360"/>
        <v/>
      </c>
      <c r="BJ788" s="27" t="str">
        <f t="shared" si="361"/>
        <v/>
      </c>
      <c r="BK788" s="27" t="str">
        <f t="shared" si="362"/>
        <v/>
      </c>
      <c r="BL788" s="27" t="str">
        <f t="shared" si="363"/>
        <v/>
      </c>
      <c r="BM788" s="21" t="s">
        <v>5581</v>
      </c>
    </row>
    <row r="789" spans="1:65" ht="15">
      <c r="A789" s="25" t="str">
        <f>IFERROR(INDEX('Hun Demand'!W:W,MATCH(O789,'Hun Demand'!A:A,0)),"")</f>
        <v/>
      </c>
      <c r="B789" s="25" t="str">
        <f>IFERROR(INDEX('Hun Demand'!V:V,MATCH(O789,'Hun Demand'!A:A,0)),"")</f>
        <v/>
      </c>
      <c r="C789" s="25" t="str">
        <f>IFERROR(INDEX('Hun Demand'!U:U,MATCH(O789,'Hun Demand'!A:A,0)),"")</f>
        <v/>
      </c>
      <c r="D789" s="25" t="str">
        <f>IFERROR(INDEX('Hun Demand'!T:T,MATCH(O789,'Hun Demand'!A:A,0)),"")</f>
        <v/>
      </c>
      <c r="E789" s="25" t="str">
        <f>IFERROR(INDEX('Hun Demand'!S:S,MATCH(O789,'Hun Demand'!A:A,0)),"")</f>
        <v/>
      </c>
      <c r="F789" s="25" t="str">
        <f>IFERROR(INDEX('Hun Demand'!R:R,MATCH(O789,'Hun Demand'!A:A,0)),"")</f>
        <v/>
      </c>
      <c r="G789" s="25">
        <f>IFERROR(INDEX('Aub Demand'!W:W,MATCH(O789,'Aub Demand'!A:A,0)),"")</f>
        <v>0</v>
      </c>
      <c r="H789" s="25">
        <f>IFERROR(INDEX('Aub Demand'!V:V,MATCH(O789,'Aub Demand'!A:A,0)),"")</f>
        <v>10</v>
      </c>
      <c r="I789" s="25">
        <f>IFERROR(INDEX('Aub Demand'!U:U,MATCH(O789,'Aub Demand'!A:A,0)),"")</f>
        <v>0</v>
      </c>
      <c r="J789" s="25">
        <f>IFERROR(INDEX('Aub Demand'!T:T,MATCH(O789,'Aub Demand'!A:A,0)),"")</f>
        <v>21</v>
      </c>
      <c r="K789" s="25">
        <f>IFERROR(INDEX('Aub Demand'!S:S,MATCH(O789,'Aub Demand'!A:A,0)),"")</f>
        <v>9</v>
      </c>
      <c r="L789" s="25">
        <f>IFERROR(INDEX('Aub Demand'!R:R,MATCH(O789,'Aub Demand'!A:A,0)),"")</f>
        <v>0</v>
      </c>
      <c r="O789" s="27" t="s">
        <v>1217</v>
      </c>
      <c r="P789" s="27" t="str">
        <f>IFERROR(INDEX('Aub Demand'!B:B,MATCH($O789,'Aub Demand'!$A:$A,0)),"")</f>
        <v>THEODORE</v>
      </c>
      <c r="Q789" s="27" t="str">
        <f>IFERROR(INDEX('Aub Demand'!C:C,MATCH($O789,'Aub Demand'!$A:$A,0)),"")</f>
        <v>TOPPA</v>
      </c>
      <c r="R789" s="52">
        <f>IFERROR(IF(AR790=AR789,INDEX('Aub Demand'!K:K,MATCH($O789,'Aub Demand'!$A:$A,0))-IF(AN789="",0,AN789)+AP790,INDEX('Aub Demand'!K:K,MATCH($O789,'Aub Demand'!$A:$A,0))-IF(AN789="",0,AN789)),"")</f>
        <v>638</v>
      </c>
      <c r="S789" s="53">
        <f t="shared" si="336"/>
        <v>273.39999999999998</v>
      </c>
      <c r="T789" s="52" t="str">
        <f t="shared" si="337"/>
        <v/>
      </c>
      <c r="U789" s="52">
        <f>IFERROR(IF(AR790=AR789,INDEX('Aub Demand'!Q:Q,MATCH($O789,'Aub Demand'!$A:$A,0))-IF(AN789="",0,AN789)+AP790,INDEX('Aub Demand'!Q:Q,MATCH($O789,'Aub Demand'!$A:$A,0))-IF(AN789="",0,AN789)),"")</f>
        <v>638</v>
      </c>
      <c r="V789" s="53">
        <f t="shared" si="338"/>
        <v>273.39999999999998</v>
      </c>
      <c r="W789" s="52" t="str">
        <f t="shared" si="339"/>
        <v/>
      </c>
      <c r="X789" s="52">
        <f>IFERROR(IF(AND(AR790=AR789,AM789&lt;&gt;""),INDEX('Aub Demand'!Q:Q,MATCH($O789,'Aub Demand'!$A:$A,0))-IF(AN789="",0,AN789)+AP790+AD789+AL789,IF(AR790=AR789,INDEX('Aub Demand'!Q:Q,MATCH($O789,'Aub Demand'!$A:$A,0))-IF(AN789="",0,AN789)+AP790+AD789,IF(AM789&lt;&gt;"",INDEX('Aub Demand'!Q:Q,MATCH($O789,'Aub Demand'!$A:$A,0))-IF(AN789="",0,AN789)+AD789+AL789,INDEX('Aub Demand'!Q:Q,MATCH($O789,'Aub Demand'!$A:$A,0))-IF(AN789="",0,AN789)+AD789))),"")</f>
        <v>638</v>
      </c>
      <c r="Y789" s="53">
        <f t="shared" si="340"/>
        <v>273.39999999999998</v>
      </c>
      <c r="Z789" s="52">
        <f>IF(L789="","",INDEX('Aub Demand'!H:H,MATCH($O789,'Aub Demand'!$A:$A,0)))</f>
        <v>10</v>
      </c>
      <c r="AA789" s="52">
        <f t="shared" si="341"/>
        <v>15</v>
      </c>
      <c r="AB789" s="52">
        <f>IFERROR(INDEX('Aub Demand'!L:L,MATCH($O789,'Aub Demand'!$A:$A,0)),"")</f>
        <v>0</v>
      </c>
      <c r="AC789" s="52">
        <f>IFERROR(IF(O789="","",SUMIFS('CPL Mats'!F:F,'CPL Mats'!Q:Q,AR789,'CPL Mats'!S:S,AS789)),"")</f>
        <v>0</v>
      </c>
      <c r="AF789" s="25" t="str">
        <f>IF(SUMIFS('Supp Consol'!S:S,'Supp Consol'!Y:Y,"Releasable",'Supp Consol'!A:A,O789)=0,"",SUMIFS('Supp Consol'!S:S,'Supp Consol'!Y:Y,"Releasable",'Supp Consol'!A:A,O789))</f>
        <v/>
      </c>
      <c r="AG789" s="25" t="str">
        <f>IFERROR(INDEX('Hun Demand'!Q:Q,MATCH(O789,'Hun Demand'!A:A,0)),"")</f>
        <v/>
      </c>
      <c r="AH789" s="25" t="str">
        <f>IFERROR(INDEX('Hun Demand'!H:H,MATCH($O789,'Hun Demand'!$A:$A,0)),"")</f>
        <v/>
      </c>
      <c r="AI789" s="25" t="str">
        <f>IF(SUMIFS('Supp Consol'!AA:AA,'Supp Consol'!Z:Z,"Expires this month",'Supp Consol'!A:A,O789)=0,"",SUMIFS('Supp Consol'!AA:AA,'Supp Consol'!Z:Z,"Expires this month",'Supp Consol'!A:A,O789))</f>
        <v/>
      </c>
      <c r="AJ789" s="25" t="str">
        <f>IF(SUMIFS('Supp Consol'!AA:AA,'Supp Consol'!Z:Z,"Expired Previous Months",'Supp Consol'!A:A,O789)=0,"",SUMIFS('Supp Consol'!AA:AA,'Supp Consol'!Z:Z,"Expired Previous Months",'Supp Consol'!A:A,O789))</f>
        <v/>
      </c>
      <c r="AK789" s="25" t="str">
        <f>IFERROR(INDEX('Hun Release Current'!B:B,MATCH(O789,'Hun Release Current'!A:A,0)),"")</f>
        <v/>
      </c>
      <c r="AL789" s="25" t="str">
        <f>IF(SUMIF('Prev Aub'!A:A,O789,'Prev Aub'!B:B)=0,"",SUMIF('Prev Aub'!A:A,O789,'Prev Aub'!B:B))</f>
        <v/>
      </c>
      <c r="AN789" s="25" t="s">
        <v>3790</v>
      </c>
      <c r="AO789" s="25" t="s">
        <v>3790</v>
      </c>
      <c r="AP789" s="25">
        <f t="shared" si="342"/>
        <v>0</v>
      </c>
      <c r="AQ789" s="151" t="str">
        <f>IF(SUMIFS('Supp Consol'!S:S,'Supp Consol'!A:A,O789,'Supp Consol'!I:I,"PENDING")=0,"",SUMIFS('Supp Consol'!S:S,'Supp Consol'!A:A,O789,'Supp Consol'!I:I,"PENDING"))</f>
        <v/>
      </c>
      <c r="AR789" s="27" t="str">
        <f t="shared" si="343"/>
        <v>MR125</v>
      </c>
      <c r="AS789" s="27" t="str">
        <f t="shared" si="344"/>
        <v>62</v>
      </c>
      <c r="AT789" s="27" t="str">
        <f t="shared" si="345"/>
        <v/>
      </c>
      <c r="AU789" s="27" t="str">
        <f t="shared" si="346"/>
        <v/>
      </c>
      <c r="AV789" s="27" t="str">
        <f t="shared" si="347"/>
        <v/>
      </c>
      <c r="AW789" s="27" t="str">
        <f t="shared" si="348"/>
        <v/>
      </c>
      <c r="AX789" s="27" t="str">
        <f t="shared" si="349"/>
        <v/>
      </c>
      <c r="AY789" s="27" t="str">
        <f t="shared" si="350"/>
        <v/>
      </c>
      <c r="AZ789" s="27" t="str">
        <f t="shared" si="351"/>
        <v/>
      </c>
      <c r="BA789" s="27" t="str">
        <f t="shared" si="352"/>
        <v/>
      </c>
      <c r="BB789" s="27" t="str">
        <f t="shared" si="353"/>
        <v>Gross</v>
      </c>
      <c r="BC789" s="27" t="str">
        <f t="shared" si="354"/>
        <v>Net</v>
      </c>
      <c r="BD789" s="27" t="str">
        <f t="shared" si="355"/>
        <v>Net</v>
      </c>
      <c r="BE789" s="27" t="str">
        <f t="shared" si="356"/>
        <v/>
      </c>
      <c r="BF789" s="27" t="str">
        <f t="shared" si="357"/>
        <v/>
      </c>
      <c r="BG789" s="27" t="str">
        <f t="shared" si="358"/>
        <v/>
      </c>
      <c r="BH789" s="27" t="str">
        <f t="shared" si="359"/>
        <v/>
      </c>
      <c r="BI789" s="27" t="str">
        <f t="shared" si="360"/>
        <v/>
      </c>
      <c r="BJ789" s="27" t="str">
        <f t="shared" si="361"/>
        <v/>
      </c>
      <c r="BK789" s="27" t="str">
        <f t="shared" si="362"/>
        <v/>
      </c>
      <c r="BL789" s="27" t="str">
        <f t="shared" si="363"/>
        <v/>
      </c>
      <c r="BM789" s="21" t="s">
        <v>5581</v>
      </c>
    </row>
    <row r="790" spans="1:65" ht="15">
      <c r="A790" s="25" t="str">
        <f>IFERROR(INDEX('Hun Demand'!W:W,MATCH(O790,'Hun Demand'!A:A,0)),"")</f>
        <v/>
      </c>
      <c r="B790" s="25" t="str">
        <f>IFERROR(INDEX('Hun Demand'!V:V,MATCH(O790,'Hun Demand'!A:A,0)),"")</f>
        <v/>
      </c>
      <c r="C790" s="25" t="str">
        <f>IFERROR(INDEX('Hun Demand'!U:U,MATCH(O790,'Hun Demand'!A:A,0)),"")</f>
        <v/>
      </c>
      <c r="D790" s="25" t="str">
        <f>IFERROR(INDEX('Hun Demand'!T:T,MATCH(O790,'Hun Demand'!A:A,0)),"")</f>
        <v/>
      </c>
      <c r="E790" s="25" t="str">
        <f>IFERROR(INDEX('Hun Demand'!S:S,MATCH(O790,'Hun Demand'!A:A,0)),"")</f>
        <v/>
      </c>
      <c r="F790" s="25" t="str">
        <f>IFERROR(INDEX('Hun Demand'!R:R,MATCH(O790,'Hun Demand'!A:A,0)),"")</f>
        <v/>
      </c>
      <c r="G790" s="25">
        <f>IFERROR(INDEX('Aub Demand'!W:W,MATCH(O790,'Aub Demand'!A:A,0)),"")</f>
        <v>0</v>
      </c>
      <c r="H790" s="25">
        <f>IFERROR(INDEX('Aub Demand'!V:V,MATCH(O790,'Aub Demand'!A:A,0)),"")</f>
        <v>12</v>
      </c>
      <c r="I790" s="25">
        <f>IFERROR(INDEX('Aub Demand'!U:U,MATCH(O790,'Aub Demand'!A:A,0)),"")</f>
        <v>48</v>
      </c>
      <c r="J790" s="25">
        <f>IFERROR(INDEX('Aub Demand'!T:T,MATCH(O790,'Aub Demand'!A:A,0)),"")</f>
        <v>0</v>
      </c>
      <c r="K790" s="25">
        <f>IFERROR(INDEX('Aub Demand'!S:S,MATCH(O790,'Aub Demand'!A:A,0)),"")</f>
        <v>11</v>
      </c>
      <c r="L790" s="25">
        <f>IFERROR(INDEX('Aub Demand'!R:R,MATCH(O790,'Aub Demand'!A:A,0)),"")</f>
        <v>0</v>
      </c>
      <c r="O790" s="27" t="s">
        <v>1218</v>
      </c>
      <c r="P790" s="27" t="str">
        <f>IFERROR(INDEX('Aub Demand'!B:B,MATCH($O790,'Aub Demand'!$A:$A,0)),"")</f>
        <v>ROSE GRANITE</v>
      </c>
      <c r="Q790" s="27" t="str">
        <f>IFERROR(INDEX('Aub Demand'!C:C,MATCH($O790,'Aub Demand'!$A:$A,0)),"")</f>
        <v>DNP A</v>
      </c>
      <c r="R790" s="52">
        <f>IFERROR(IF(AR791=AR790,INDEX('Aub Demand'!K:K,MATCH($O790,'Aub Demand'!$A:$A,0))-IF(AN790="",0,AN790)+AP791,INDEX('Aub Demand'!K:K,MATCH($O790,'Aub Demand'!$A:$A,0))-IF(AN790="",0,AN790)),"")</f>
        <v>153</v>
      </c>
      <c r="S790" s="53">
        <f t="shared" si="336"/>
        <v>32.799999999999997</v>
      </c>
      <c r="T790" s="52" t="str">
        <f t="shared" si="337"/>
        <v/>
      </c>
      <c r="U790" s="52">
        <f>IFERROR(IF(AR791=AR790,INDEX('Aub Demand'!Q:Q,MATCH($O790,'Aub Demand'!$A:$A,0))-IF(AN790="",0,AN790)+AP791,INDEX('Aub Demand'!Q:Q,MATCH($O790,'Aub Demand'!$A:$A,0))-IF(AN790="",0,AN790)),"")</f>
        <v>153</v>
      </c>
      <c r="V790" s="53">
        <f t="shared" si="338"/>
        <v>32.799999999999997</v>
      </c>
      <c r="W790" s="52" t="str">
        <f t="shared" si="339"/>
        <v/>
      </c>
      <c r="X790" s="52">
        <f>IFERROR(IF(AND(AR791=AR790,AM790&lt;&gt;""),INDEX('Aub Demand'!Q:Q,MATCH($O790,'Aub Demand'!$A:$A,0))-IF(AN790="",0,AN790)+AP791+AD790+AL790,IF(AR791=AR790,INDEX('Aub Demand'!Q:Q,MATCH($O790,'Aub Demand'!$A:$A,0))-IF(AN790="",0,AN790)+AP791+AD790,IF(AM790&lt;&gt;"",INDEX('Aub Demand'!Q:Q,MATCH($O790,'Aub Demand'!$A:$A,0))-IF(AN790="",0,AN790)+AD790+AL790,INDEX('Aub Demand'!Q:Q,MATCH($O790,'Aub Demand'!$A:$A,0))-IF(AN790="",0,AN790)+AD790))),"")</f>
        <v>153</v>
      </c>
      <c r="Y790" s="53">
        <f t="shared" si="340"/>
        <v>32.799999999999997</v>
      </c>
      <c r="Z790" s="52">
        <f>IF(L790="","",INDEX('Aub Demand'!H:H,MATCH($O790,'Aub Demand'!$A:$A,0)))</f>
        <v>20</v>
      </c>
      <c r="AA790" s="52">
        <f t="shared" si="341"/>
        <v>29.5</v>
      </c>
      <c r="AB790" s="52">
        <f>IFERROR(INDEX('Aub Demand'!L:L,MATCH($O790,'Aub Demand'!$A:$A,0)),"")</f>
        <v>0</v>
      </c>
      <c r="AC790" s="52">
        <f>IFERROR(IF(O790="","",SUMIFS('CPL Mats'!F:F,'CPL Mats'!Q:Q,AR790,'CPL Mats'!S:S,AS790)),"")</f>
        <v>0</v>
      </c>
      <c r="AF790" s="25">
        <f>IF(SUMIFS('Supp Consol'!S:S,'Supp Consol'!Y:Y,"Releasable",'Supp Consol'!A:A,O790)=0,"",SUMIFS('Supp Consol'!S:S,'Supp Consol'!Y:Y,"Releasable",'Supp Consol'!A:A,O790))</f>
        <v>788</v>
      </c>
      <c r="AG790" s="25" t="str">
        <f>IFERROR(INDEX('Hun Demand'!Q:Q,MATCH(O790,'Hun Demand'!A:A,0)),"")</f>
        <v/>
      </c>
      <c r="AH790" s="25" t="str">
        <f>IFERROR(INDEX('Hun Demand'!H:H,MATCH($O790,'Hun Demand'!$A:$A,0)),"")</f>
        <v/>
      </c>
      <c r="AI790" s="25" t="str">
        <f>IF(SUMIFS('Supp Consol'!AA:AA,'Supp Consol'!Z:Z,"Expires this month",'Supp Consol'!A:A,O790)=0,"",SUMIFS('Supp Consol'!AA:AA,'Supp Consol'!Z:Z,"Expires this month",'Supp Consol'!A:A,O790))</f>
        <v/>
      </c>
      <c r="AJ790" s="25" t="str">
        <f>IF(SUMIFS('Supp Consol'!AA:AA,'Supp Consol'!Z:Z,"Expired Previous Months",'Supp Consol'!A:A,O790)=0,"",SUMIFS('Supp Consol'!AA:AA,'Supp Consol'!Z:Z,"Expired Previous Months",'Supp Consol'!A:A,O790))</f>
        <v/>
      </c>
      <c r="AK790" s="25" t="str">
        <f>IFERROR(INDEX('Hun Release Current'!B:B,MATCH(O790,'Hun Release Current'!A:A,0)),"")</f>
        <v/>
      </c>
      <c r="AL790" s="25" t="str">
        <f>IF(SUMIF('Prev Aub'!A:A,O790,'Prev Aub'!B:B)=0,"",SUMIF('Prev Aub'!A:A,O790,'Prev Aub'!B:B))</f>
        <v/>
      </c>
      <c r="AN790" s="25" t="s">
        <v>3790</v>
      </c>
      <c r="AO790" s="25" t="s">
        <v>3790</v>
      </c>
      <c r="AP790" s="25">
        <f t="shared" si="342"/>
        <v>0</v>
      </c>
      <c r="AQ790" s="151" t="str">
        <f>IF(SUMIFS('Supp Consol'!S:S,'Supp Consol'!A:A,O790,'Supp Consol'!I:I,"PENDING")=0,"",SUMIFS('Supp Consol'!S:S,'Supp Consol'!A:A,O790,'Supp Consol'!I:I,"PENDING"))</f>
        <v/>
      </c>
      <c r="AR790" s="27" t="str">
        <f t="shared" si="343"/>
        <v>MR130</v>
      </c>
      <c r="AS790" s="27" t="str">
        <f t="shared" si="344"/>
        <v>50</v>
      </c>
      <c r="AT790" s="27" t="str">
        <f t="shared" si="345"/>
        <v/>
      </c>
      <c r="AU790" s="27" t="str">
        <f t="shared" si="346"/>
        <v/>
      </c>
      <c r="AV790" s="27" t="str">
        <f t="shared" si="347"/>
        <v/>
      </c>
      <c r="AW790" s="27" t="str">
        <f t="shared" si="348"/>
        <v/>
      </c>
      <c r="AX790" s="27" t="str">
        <f t="shared" si="349"/>
        <v>MR130</v>
      </c>
      <c r="AY790" s="27" t="str">
        <f t="shared" si="350"/>
        <v/>
      </c>
      <c r="AZ790" s="27" t="str">
        <f t="shared" si="351"/>
        <v>Supp</v>
      </c>
      <c r="BA790" s="27" t="str">
        <f t="shared" si="352"/>
        <v/>
      </c>
      <c r="BB790" s="27" t="str">
        <f t="shared" si="353"/>
        <v/>
      </c>
      <c r="BC790" s="27" t="str">
        <f t="shared" si="354"/>
        <v/>
      </c>
      <c r="BD790" s="27" t="str">
        <f t="shared" si="355"/>
        <v/>
      </c>
      <c r="BE790" s="27" t="str">
        <f t="shared" si="356"/>
        <v/>
      </c>
      <c r="BF790" s="27" t="str">
        <f t="shared" si="357"/>
        <v/>
      </c>
      <c r="BG790" s="27" t="str">
        <f t="shared" si="358"/>
        <v/>
      </c>
      <c r="BH790" s="27" t="str">
        <f t="shared" si="359"/>
        <v/>
      </c>
      <c r="BI790" s="27" t="str">
        <f t="shared" si="360"/>
        <v/>
      </c>
      <c r="BJ790" s="27" t="str">
        <f t="shared" si="361"/>
        <v>Supp or Hun</v>
      </c>
      <c r="BK790" s="27" t="str">
        <f t="shared" si="362"/>
        <v/>
      </c>
      <c r="BL790" s="27" t="str">
        <f t="shared" si="363"/>
        <v/>
      </c>
      <c r="BM790" s="21" t="s">
        <v>5581</v>
      </c>
    </row>
    <row r="791" spans="1:65" ht="15">
      <c r="A791" s="25" t="str">
        <f>IFERROR(INDEX('Hun Demand'!W:W,MATCH(O791,'Hun Demand'!A:A,0)),"")</f>
        <v/>
      </c>
      <c r="B791" s="25" t="str">
        <f>IFERROR(INDEX('Hun Demand'!V:V,MATCH(O791,'Hun Demand'!A:A,0)),"")</f>
        <v/>
      </c>
      <c r="C791" s="25" t="str">
        <f>IFERROR(INDEX('Hun Demand'!U:U,MATCH(O791,'Hun Demand'!A:A,0)),"")</f>
        <v/>
      </c>
      <c r="D791" s="25" t="str">
        <f>IFERROR(INDEX('Hun Demand'!T:T,MATCH(O791,'Hun Demand'!A:A,0)),"")</f>
        <v/>
      </c>
      <c r="E791" s="25" t="str">
        <f>IFERROR(INDEX('Hun Demand'!S:S,MATCH(O791,'Hun Demand'!A:A,0)),"")</f>
        <v/>
      </c>
      <c r="F791" s="25" t="str">
        <f>IFERROR(INDEX('Hun Demand'!R:R,MATCH(O791,'Hun Demand'!A:A,0)),"")</f>
        <v/>
      </c>
      <c r="G791" s="25">
        <f>IFERROR(INDEX('Aub Demand'!W:W,MATCH(O791,'Aub Demand'!A:A,0)),"")</f>
        <v>18</v>
      </c>
      <c r="H791" s="25">
        <f>IFERROR(INDEX('Aub Demand'!V:V,MATCH(O791,'Aub Demand'!A:A,0)),"")</f>
        <v>116</v>
      </c>
      <c r="I791" s="25">
        <f>IFERROR(INDEX('Aub Demand'!U:U,MATCH(O791,'Aub Demand'!A:A,0)),"")</f>
        <v>24</v>
      </c>
      <c r="J791" s="25">
        <f>IFERROR(INDEX('Aub Demand'!T:T,MATCH(O791,'Aub Demand'!A:A,0)),"")</f>
        <v>146</v>
      </c>
      <c r="K791" s="25">
        <f>IFERROR(INDEX('Aub Demand'!S:S,MATCH(O791,'Aub Demand'!A:A,0)),"")</f>
        <v>142</v>
      </c>
      <c r="L791" s="25">
        <f>IFERROR(INDEX('Aub Demand'!R:R,MATCH(O791,'Aub Demand'!A:A,0)),"")</f>
        <v>0</v>
      </c>
      <c r="O791" s="27" t="s">
        <v>1220</v>
      </c>
      <c r="P791" s="27" t="str">
        <f>IFERROR(INDEX('Aub Demand'!B:B,MATCH($O791,'Aub Demand'!$A:$A,0)),"")</f>
        <v>ROSE GRANITE</v>
      </c>
      <c r="Q791" s="27" t="str">
        <f>IFERROR(INDEX('Aub Demand'!C:C,MATCH($O791,'Aub Demand'!$A:$A,0)),"")</f>
        <v>DNP A</v>
      </c>
      <c r="R791" s="52">
        <f>IFERROR(IF(AR792=AR791,INDEX('Aub Demand'!K:K,MATCH($O791,'Aub Demand'!$A:$A,0))-IF(AN791="",0,AN791)+AP792,INDEX('Aub Demand'!K:K,MATCH($O791,'Aub Demand'!$A:$A,0))-IF(AN791="",0,AN791)),"")</f>
        <v>450</v>
      </c>
      <c r="S791" s="53">
        <f t="shared" si="336"/>
        <v>18.5</v>
      </c>
      <c r="T791" s="52" t="str">
        <f t="shared" si="337"/>
        <v/>
      </c>
      <c r="U791" s="52">
        <f>IFERROR(IF(AR792=AR791,INDEX('Aub Demand'!Q:Q,MATCH($O791,'Aub Demand'!$A:$A,0))-IF(AN791="",0,AN791)+AP792,INDEX('Aub Demand'!Q:Q,MATCH($O791,'Aub Demand'!$A:$A,0))-IF(AN791="",0,AN791)),"")</f>
        <v>356</v>
      </c>
      <c r="V791" s="53">
        <f t="shared" si="338"/>
        <v>14.7</v>
      </c>
      <c r="W791" s="52" t="str">
        <f t="shared" si="339"/>
        <v/>
      </c>
      <c r="X791" s="52">
        <f>IFERROR(IF(AND(AR792=AR791,AM791&lt;&gt;""),INDEX('Aub Demand'!Q:Q,MATCH($O791,'Aub Demand'!$A:$A,0))-IF(AN791="",0,AN791)+AP792+AD791+AL791,IF(AR792=AR791,INDEX('Aub Demand'!Q:Q,MATCH($O791,'Aub Demand'!$A:$A,0))-IF(AN791="",0,AN791)+AP792+AD791,IF(AM791&lt;&gt;"",INDEX('Aub Demand'!Q:Q,MATCH($O791,'Aub Demand'!$A:$A,0))-IF(AN791="",0,AN791)+AD791+AL791,INDEX('Aub Demand'!Q:Q,MATCH($O791,'Aub Demand'!$A:$A,0))-IF(AN791="",0,AN791)+AD791))),"")</f>
        <v>356</v>
      </c>
      <c r="Y791" s="53">
        <f t="shared" si="340"/>
        <v>14.7</v>
      </c>
      <c r="Z791" s="52">
        <f>IF(L791="","",INDEX('Aub Demand'!H:H,MATCH($O791,'Aub Demand'!$A:$A,0)))</f>
        <v>104</v>
      </c>
      <c r="AA791" s="52">
        <f t="shared" si="341"/>
        <v>144</v>
      </c>
      <c r="AB791" s="52">
        <f>IFERROR(INDEX('Aub Demand'!L:L,MATCH($O791,'Aub Demand'!$A:$A,0)),"")</f>
        <v>132</v>
      </c>
      <c r="AC791" s="52">
        <f>IFERROR(IF(O791="","",SUMIFS('CPL Mats'!F:F,'CPL Mats'!Q:Q,AR791,'CPL Mats'!S:S,AS791)),"")</f>
        <v>0</v>
      </c>
      <c r="AF791" s="25">
        <f>IF(SUMIFS('Supp Consol'!S:S,'Supp Consol'!Y:Y,"Releasable",'Supp Consol'!A:A,O791)=0,"",SUMIFS('Supp Consol'!S:S,'Supp Consol'!Y:Y,"Releasable",'Supp Consol'!A:A,O791))</f>
        <v>383</v>
      </c>
      <c r="AG791" s="25" t="str">
        <f>IFERROR(INDEX('Hun Demand'!Q:Q,MATCH(O791,'Hun Demand'!A:A,0)),"")</f>
        <v/>
      </c>
      <c r="AH791" s="25" t="str">
        <f>IFERROR(INDEX('Hun Demand'!H:H,MATCH($O791,'Hun Demand'!$A:$A,0)),"")</f>
        <v/>
      </c>
      <c r="AI791" s="25" t="str">
        <f>IF(SUMIFS('Supp Consol'!AA:AA,'Supp Consol'!Z:Z,"Expires this month",'Supp Consol'!A:A,O791)=0,"",SUMIFS('Supp Consol'!AA:AA,'Supp Consol'!Z:Z,"Expires this month",'Supp Consol'!A:A,O791))</f>
        <v/>
      </c>
      <c r="AJ791" s="25" t="str">
        <f>IF(SUMIFS('Supp Consol'!AA:AA,'Supp Consol'!Z:Z,"Expired Previous Months",'Supp Consol'!A:A,O791)=0,"",SUMIFS('Supp Consol'!AA:AA,'Supp Consol'!Z:Z,"Expired Previous Months",'Supp Consol'!A:A,O791))</f>
        <v/>
      </c>
      <c r="AK791" s="25" t="str">
        <f>IFERROR(INDEX('Hun Release Current'!B:B,MATCH(O791,'Hun Release Current'!A:A,0)),"")</f>
        <v/>
      </c>
      <c r="AL791" s="25" t="str">
        <f>IF(SUMIF('Prev Aub'!A:A,O791,'Prev Aub'!B:B)=0,"",SUMIF('Prev Aub'!A:A,O791,'Prev Aub'!B:B))</f>
        <v/>
      </c>
      <c r="AN791" s="25" t="s">
        <v>3790</v>
      </c>
      <c r="AO791" s="25" t="s">
        <v>3790</v>
      </c>
      <c r="AP791" s="25">
        <f t="shared" si="342"/>
        <v>0</v>
      </c>
      <c r="AQ791" s="151" t="str">
        <f>IF(SUMIFS('Supp Consol'!S:S,'Supp Consol'!A:A,O791,'Supp Consol'!I:I,"PENDING")=0,"",SUMIFS('Supp Consol'!S:S,'Supp Consol'!A:A,O791,'Supp Consol'!I:I,"PENDING"))</f>
        <v/>
      </c>
      <c r="AR791" s="27" t="str">
        <f t="shared" si="343"/>
        <v>MR130</v>
      </c>
      <c r="AS791" s="27" t="str">
        <f t="shared" si="344"/>
        <v>62</v>
      </c>
      <c r="AT791" s="27" t="str">
        <f t="shared" si="345"/>
        <v/>
      </c>
      <c r="AU791" s="27" t="str">
        <f t="shared" si="346"/>
        <v/>
      </c>
      <c r="AV791" s="27" t="str">
        <f t="shared" si="347"/>
        <v/>
      </c>
      <c r="AW791" s="27" t="str">
        <f t="shared" si="348"/>
        <v/>
      </c>
      <c r="AX791" s="27" t="str">
        <f t="shared" si="349"/>
        <v>MR130</v>
      </c>
      <c r="AY791" s="27" t="str">
        <f t="shared" si="350"/>
        <v/>
      </c>
      <c r="AZ791" s="27" t="str">
        <f t="shared" si="351"/>
        <v>Supp</v>
      </c>
      <c r="BA791" s="27" t="str">
        <f t="shared" si="352"/>
        <v/>
      </c>
      <c r="BB791" s="27" t="str">
        <f t="shared" si="353"/>
        <v/>
      </c>
      <c r="BC791" s="27" t="str">
        <f t="shared" si="354"/>
        <v/>
      </c>
      <c r="BD791" s="27" t="str">
        <f t="shared" si="355"/>
        <v/>
      </c>
      <c r="BE791" s="27" t="str">
        <f t="shared" si="356"/>
        <v/>
      </c>
      <c r="BF791" s="27" t="str">
        <f t="shared" si="357"/>
        <v/>
      </c>
      <c r="BG791" s="27" t="str">
        <f t="shared" si="358"/>
        <v/>
      </c>
      <c r="BH791" s="27" t="str">
        <f t="shared" si="359"/>
        <v/>
      </c>
      <c r="BI791" s="27" t="str">
        <f t="shared" si="360"/>
        <v/>
      </c>
      <c r="BJ791" s="27" t="str">
        <f t="shared" si="361"/>
        <v>Supp or Hun</v>
      </c>
      <c r="BK791" s="27" t="str">
        <f t="shared" si="362"/>
        <v/>
      </c>
      <c r="BL791" s="27" t="str">
        <f t="shared" si="363"/>
        <v/>
      </c>
      <c r="BM791" s="21" t="s">
        <v>5581</v>
      </c>
    </row>
    <row r="792" spans="1:65" ht="15">
      <c r="A792" s="25" t="str">
        <f>IFERROR(INDEX('Hun Demand'!W:W,MATCH(O792,'Hun Demand'!A:A,0)),"")</f>
        <v/>
      </c>
      <c r="B792" s="25" t="str">
        <f>IFERROR(INDEX('Hun Demand'!V:V,MATCH(O792,'Hun Demand'!A:A,0)),"")</f>
        <v/>
      </c>
      <c r="C792" s="25" t="str">
        <f>IFERROR(INDEX('Hun Demand'!U:U,MATCH(O792,'Hun Demand'!A:A,0)),"")</f>
        <v/>
      </c>
      <c r="D792" s="25" t="str">
        <f>IFERROR(INDEX('Hun Demand'!T:T,MATCH(O792,'Hun Demand'!A:A,0)),"")</f>
        <v/>
      </c>
      <c r="E792" s="25" t="str">
        <f>IFERROR(INDEX('Hun Demand'!S:S,MATCH(O792,'Hun Demand'!A:A,0)),"")</f>
        <v/>
      </c>
      <c r="F792" s="25" t="str">
        <f>IFERROR(INDEX('Hun Demand'!R:R,MATCH(O792,'Hun Demand'!A:A,0)),"")</f>
        <v/>
      </c>
      <c r="G792" s="25">
        <f>IFERROR(INDEX('Aub Demand'!W:W,MATCH(O792,'Aub Demand'!A:A,0)),"")</f>
        <v>0</v>
      </c>
      <c r="H792" s="25">
        <f>IFERROR(INDEX('Aub Demand'!V:V,MATCH(O792,'Aub Demand'!A:A,0)),"")</f>
        <v>0</v>
      </c>
      <c r="I792" s="25">
        <f>IFERROR(INDEX('Aub Demand'!U:U,MATCH(O792,'Aub Demand'!A:A,0)),"")</f>
        <v>0</v>
      </c>
      <c r="J792" s="25">
        <f>IFERROR(INDEX('Aub Demand'!T:T,MATCH(O792,'Aub Demand'!A:A,0)),"")</f>
        <v>40</v>
      </c>
      <c r="K792" s="25">
        <f>IFERROR(INDEX('Aub Demand'!S:S,MATCH(O792,'Aub Demand'!A:A,0)),"")</f>
        <v>16</v>
      </c>
      <c r="L792" s="25">
        <f>IFERROR(INDEX('Aub Demand'!R:R,MATCH(O792,'Aub Demand'!A:A,0)),"")</f>
        <v>0</v>
      </c>
      <c r="O792" s="27" t="s">
        <v>2334</v>
      </c>
      <c r="P792" s="27" t="str">
        <f>IFERROR(INDEX('Aub Demand'!B:B,MATCH($O792,'Aub Demand'!$A:$A,0)),"")</f>
        <v>GREIGE MATRIX 50"</v>
      </c>
      <c r="Q792" s="27" t="str">
        <f>IFERROR(INDEX('Aub Demand'!C:C,MATCH($O792,'Aub Demand'!$A:$A,0)),"")</f>
        <v>INTER</v>
      </c>
      <c r="R792" s="52">
        <f>IFERROR(IF(AR793=AR792,INDEX('Aub Demand'!K:K,MATCH($O792,'Aub Demand'!$A:$A,0))-IF(AN792="",0,AN792)+AP793,INDEX('Aub Demand'!K:K,MATCH($O792,'Aub Demand'!$A:$A,0))-IF(AN792="",0,AN792)),"")</f>
        <v>70</v>
      </c>
      <c r="S792" s="53">
        <f t="shared" si="336"/>
        <v>15.8</v>
      </c>
      <c r="T792" s="52" t="str">
        <f t="shared" si="337"/>
        <v/>
      </c>
      <c r="U792" s="52">
        <f>IFERROR(IF(AR793=AR792,INDEX('Aub Demand'!Q:Q,MATCH($O792,'Aub Demand'!$A:$A,0))-IF(AN792="",0,AN792)+AP793,INDEX('Aub Demand'!Q:Q,MATCH($O792,'Aub Demand'!$A:$A,0))-IF(AN792="",0,AN792)),"")</f>
        <v>70</v>
      </c>
      <c r="V792" s="53">
        <f t="shared" si="338"/>
        <v>15.8</v>
      </c>
      <c r="W792" s="52" t="str">
        <f t="shared" si="339"/>
        <v/>
      </c>
      <c r="X792" s="52">
        <f>IFERROR(IF(AND(AR793=AR792,AM792&lt;&gt;""),INDEX('Aub Demand'!Q:Q,MATCH($O792,'Aub Demand'!$A:$A,0))-IF(AN792="",0,AN792)+AP793+AD792+AL792,IF(AR793=AR792,INDEX('Aub Demand'!Q:Q,MATCH($O792,'Aub Demand'!$A:$A,0))-IF(AN792="",0,AN792)+AP793+AD792,IF(AM792&lt;&gt;"",INDEX('Aub Demand'!Q:Q,MATCH($O792,'Aub Demand'!$A:$A,0))-IF(AN792="",0,AN792)+AD792+AL792,INDEX('Aub Demand'!Q:Q,MATCH($O792,'Aub Demand'!$A:$A,0))-IF(AN792="",0,AN792)+AD792))),"")</f>
        <v>70</v>
      </c>
      <c r="Y792" s="53">
        <f t="shared" si="340"/>
        <v>15.8</v>
      </c>
      <c r="Z792" s="52">
        <f>IF(L792="","",INDEX('Aub Demand'!H:H,MATCH($O792,'Aub Demand'!$A:$A,0)))</f>
        <v>19</v>
      </c>
      <c r="AA792" s="52">
        <f t="shared" si="341"/>
        <v>28</v>
      </c>
      <c r="AB792" s="52">
        <f>IFERROR(INDEX('Aub Demand'!L:L,MATCH($O792,'Aub Demand'!$A:$A,0)),"")</f>
        <v>531</v>
      </c>
      <c r="AC792" s="52">
        <f>IFERROR(IF(O792="","",SUMIFS('CPL Mats'!F:F,'CPL Mats'!Q:Q,AR792,'CPL Mats'!S:S,AS792)),"")</f>
        <v>0</v>
      </c>
      <c r="AF792" s="25" t="str">
        <f>IF(SUMIFS('Supp Consol'!S:S,'Supp Consol'!Y:Y,"Releasable",'Supp Consol'!A:A,O792)=0,"",SUMIFS('Supp Consol'!S:S,'Supp Consol'!Y:Y,"Releasable",'Supp Consol'!A:A,O792))</f>
        <v/>
      </c>
      <c r="AG792" s="25" t="str">
        <f>IFERROR(INDEX('Hun Demand'!Q:Q,MATCH(O792,'Hun Demand'!A:A,0)),"")</f>
        <v/>
      </c>
      <c r="AH792" s="25" t="str">
        <f>IFERROR(INDEX('Hun Demand'!H:H,MATCH($O792,'Hun Demand'!$A:$A,0)),"")</f>
        <v/>
      </c>
      <c r="AI792" s="25" t="str">
        <f>IF(SUMIFS('Supp Consol'!AA:AA,'Supp Consol'!Z:Z,"Expires this month",'Supp Consol'!A:A,O792)=0,"",SUMIFS('Supp Consol'!AA:AA,'Supp Consol'!Z:Z,"Expires this month",'Supp Consol'!A:A,O792))</f>
        <v/>
      </c>
      <c r="AJ792" s="25" t="str">
        <f>IF(SUMIFS('Supp Consol'!AA:AA,'Supp Consol'!Z:Z,"Expired Previous Months",'Supp Consol'!A:A,O792)=0,"",SUMIFS('Supp Consol'!AA:AA,'Supp Consol'!Z:Z,"Expired Previous Months",'Supp Consol'!A:A,O792))</f>
        <v/>
      </c>
      <c r="AK792" s="25" t="str">
        <f>IFERROR(INDEX('Hun Release Current'!B:B,MATCH(O792,'Hun Release Current'!A:A,0)),"")</f>
        <v/>
      </c>
      <c r="AL792" s="25" t="str">
        <f>IF(SUMIF('Prev Aub'!A:A,O792,'Prev Aub'!B:B)=0,"",SUMIF('Prev Aub'!A:A,O792,'Prev Aub'!B:B))</f>
        <v/>
      </c>
      <c r="AN792" s="25" t="s">
        <v>3790</v>
      </c>
      <c r="AO792" s="25" t="s">
        <v>3790</v>
      </c>
      <c r="AP792" s="25">
        <f t="shared" si="342"/>
        <v>0</v>
      </c>
      <c r="AQ792" s="151" t="str">
        <f>IF(SUMIFS('Supp Consol'!S:S,'Supp Consol'!A:A,O792,'Supp Consol'!I:I,"PENDING")=0,"",SUMIFS('Supp Consol'!S:S,'Supp Consol'!A:A,O792,'Supp Consol'!I:I,"PENDING"))</f>
        <v/>
      </c>
      <c r="AR792" s="27" t="str">
        <f t="shared" si="343"/>
        <v>MR202</v>
      </c>
      <c r="AS792" s="27" t="str">
        <f t="shared" si="344"/>
        <v>50</v>
      </c>
      <c r="AT792" s="27" t="str">
        <f t="shared" si="345"/>
        <v/>
      </c>
      <c r="AU792" s="27" t="str">
        <f t="shared" si="346"/>
        <v/>
      </c>
      <c r="AV792" s="27" t="str">
        <f t="shared" si="347"/>
        <v/>
      </c>
      <c r="AW792" s="27" t="str">
        <f t="shared" si="348"/>
        <v/>
      </c>
      <c r="AX792" s="27" t="str">
        <f t="shared" si="349"/>
        <v/>
      </c>
      <c r="AY792" s="27" t="str">
        <f t="shared" si="350"/>
        <v/>
      </c>
      <c r="AZ792" s="27" t="str">
        <f t="shared" si="351"/>
        <v/>
      </c>
      <c r="BA792" s="27" t="str">
        <f t="shared" si="352"/>
        <v/>
      </c>
      <c r="BB792" s="27" t="str">
        <f t="shared" si="353"/>
        <v/>
      </c>
      <c r="BC792" s="27" t="str">
        <f t="shared" si="354"/>
        <v/>
      </c>
      <c r="BD792" s="27" t="str">
        <f t="shared" si="355"/>
        <v/>
      </c>
      <c r="BE792" s="27" t="str">
        <f t="shared" si="356"/>
        <v/>
      </c>
      <c r="BF792" s="27" t="str">
        <f t="shared" si="357"/>
        <v/>
      </c>
      <c r="BG792" s="27" t="str">
        <f t="shared" si="358"/>
        <v/>
      </c>
      <c r="BH792" s="27" t="str">
        <f t="shared" si="359"/>
        <v/>
      </c>
      <c r="BI792" s="27" t="str">
        <f t="shared" si="360"/>
        <v/>
      </c>
      <c r="BJ792" s="27" t="str">
        <f t="shared" si="361"/>
        <v/>
      </c>
      <c r="BK792" s="27" t="str">
        <f t="shared" si="362"/>
        <v/>
      </c>
      <c r="BL792" s="27" t="str">
        <f t="shared" si="363"/>
        <v/>
      </c>
      <c r="BM792" s="21" t="s">
        <v>5581</v>
      </c>
    </row>
    <row r="793" spans="1:65" ht="15">
      <c r="A793" s="25" t="str">
        <f>IFERROR(INDEX('Hun Demand'!W:W,MATCH(O793,'Hun Demand'!A:A,0)),"")</f>
        <v/>
      </c>
      <c r="B793" s="25" t="str">
        <f>IFERROR(INDEX('Hun Demand'!V:V,MATCH(O793,'Hun Demand'!A:A,0)),"")</f>
        <v/>
      </c>
      <c r="C793" s="25" t="str">
        <f>IFERROR(INDEX('Hun Demand'!U:U,MATCH(O793,'Hun Demand'!A:A,0)),"")</f>
        <v/>
      </c>
      <c r="D793" s="25" t="str">
        <f>IFERROR(INDEX('Hun Demand'!T:T,MATCH(O793,'Hun Demand'!A:A,0)),"")</f>
        <v/>
      </c>
      <c r="E793" s="25" t="str">
        <f>IFERROR(INDEX('Hun Demand'!S:S,MATCH(O793,'Hun Demand'!A:A,0)),"")</f>
        <v/>
      </c>
      <c r="F793" s="25" t="str">
        <f>IFERROR(INDEX('Hun Demand'!R:R,MATCH(O793,'Hun Demand'!A:A,0)),"")</f>
        <v/>
      </c>
      <c r="G793" s="25">
        <f>IFERROR(INDEX('Aub Demand'!W:W,MATCH(O793,'Aub Demand'!A:A,0)),"")</f>
        <v>103</v>
      </c>
      <c r="H793" s="25">
        <f>IFERROR(INDEX('Aub Demand'!V:V,MATCH(O793,'Aub Demand'!A:A,0)),"")</f>
        <v>0</v>
      </c>
      <c r="I793" s="25">
        <f>IFERROR(INDEX('Aub Demand'!U:U,MATCH(O793,'Aub Demand'!A:A,0)),"")</f>
        <v>0</v>
      </c>
      <c r="J793" s="25">
        <f>IFERROR(INDEX('Aub Demand'!T:T,MATCH(O793,'Aub Demand'!A:A,0)),"")</f>
        <v>67</v>
      </c>
      <c r="K793" s="25">
        <f>IFERROR(INDEX('Aub Demand'!S:S,MATCH(O793,'Aub Demand'!A:A,0)),"")</f>
        <v>0</v>
      </c>
      <c r="L793" s="25">
        <f>IFERROR(INDEX('Aub Demand'!R:R,MATCH(O793,'Aub Demand'!A:A,0)),"")</f>
        <v>0</v>
      </c>
      <c r="O793" s="27" t="s">
        <v>2337</v>
      </c>
      <c r="P793" s="27" t="str">
        <f>IFERROR(INDEX('Aub Demand'!B:B,MATCH($O793,'Aub Demand'!$A:$A,0)),"")</f>
        <v>GREIGE MATRIX 62"</v>
      </c>
      <c r="Q793" s="27" t="str">
        <f>IFERROR(INDEX('Aub Demand'!C:C,MATCH($O793,'Aub Demand'!$A:$A,0)),"")</f>
        <v>INTER</v>
      </c>
      <c r="R793" s="52">
        <f>IFERROR(IF(AR794=AR793,INDEX('Aub Demand'!K:K,MATCH($O793,'Aub Demand'!$A:$A,0))-IF(AN793="",0,AN793)+AP794,INDEX('Aub Demand'!K:K,MATCH($O793,'Aub Demand'!$A:$A,0))-IF(AN793="",0,AN793)),"")</f>
        <v>1280</v>
      </c>
      <c r="S793" s="53">
        <f t="shared" si="336"/>
        <v>249.4</v>
      </c>
      <c r="T793" s="52" t="str">
        <f t="shared" si="337"/>
        <v/>
      </c>
      <c r="U793" s="52">
        <f>IFERROR(IF(AR794=AR793,INDEX('Aub Demand'!Q:Q,MATCH($O793,'Aub Demand'!$A:$A,0))-IF(AN793="",0,AN793)+AP794,INDEX('Aub Demand'!Q:Q,MATCH($O793,'Aub Demand'!$A:$A,0))-IF(AN793="",0,AN793)),"")</f>
        <v>1280</v>
      </c>
      <c r="V793" s="53">
        <f t="shared" si="338"/>
        <v>249.4</v>
      </c>
      <c r="W793" s="52" t="str">
        <f t="shared" si="339"/>
        <v/>
      </c>
      <c r="X793" s="52">
        <f>IFERROR(IF(AND(AR794=AR793,AM793&lt;&gt;""),INDEX('Aub Demand'!Q:Q,MATCH($O793,'Aub Demand'!$A:$A,0))-IF(AN793="",0,AN793)+AP794+AD793+AL793,IF(AR794=AR793,INDEX('Aub Demand'!Q:Q,MATCH($O793,'Aub Demand'!$A:$A,0))-IF(AN793="",0,AN793)+AP794+AD793,IF(AM793&lt;&gt;"",INDEX('Aub Demand'!Q:Q,MATCH($O793,'Aub Demand'!$A:$A,0))-IF(AN793="",0,AN793)+AD793+AL793,INDEX('Aub Demand'!Q:Q,MATCH($O793,'Aub Demand'!$A:$A,0))-IF(AN793="",0,AN793)+AD793))),"")</f>
        <v>1280</v>
      </c>
      <c r="Y793" s="53">
        <f t="shared" si="340"/>
        <v>249.4</v>
      </c>
      <c r="Z793" s="52">
        <f>IF(L793="","",INDEX('Aub Demand'!H:H,MATCH($O793,'Aub Demand'!$A:$A,0)))</f>
        <v>22</v>
      </c>
      <c r="AA793" s="52" t="str">
        <f t="shared" si="341"/>
        <v>-spike-</v>
      </c>
      <c r="AB793" s="52">
        <f>IFERROR(INDEX('Aub Demand'!L:L,MATCH($O793,'Aub Demand'!$A:$A,0)),"")</f>
        <v>13</v>
      </c>
      <c r="AC793" s="52">
        <f>IFERROR(IF(O793="","",SUMIFS('CPL Mats'!F:F,'CPL Mats'!Q:Q,AR793,'CPL Mats'!S:S,AS793)),"")</f>
        <v>0</v>
      </c>
      <c r="AF793" s="25" t="str">
        <f>IF(SUMIFS('Supp Consol'!S:S,'Supp Consol'!Y:Y,"Releasable",'Supp Consol'!A:A,O793)=0,"",SUMIFS('Supp Consol'!S:S,'Supp Consol'!Y:Y,"Releasable",'Supp Consol'!A:A,O793))</f>
        <v/>
      </c>
      <c r="AG793" s="25" t="str">
        <f>IFERROR(INDEX('Hun Demand'!Q:Q,MATCH(O793,'Hun Demand'!A:A,0)),"")</f>
        <v/>
      </c>
      <c r="AH793" s="25" t="str">
        <f>IFERROR(INDEX('Hun Demand'!H:H,MATCH($O793,'Hun Demand'!$A:$A,0)),"")</f>
        <v/>
      </c>
      <c r="AI793" s="25" t="str">
        <f>IF(SUMIFS('Supp Consol'!AA:AA,'Supp Consol'!Z:Z,"Expires this month",'Supp Consol'!A:A,O793)=0,"",SUMIFS('Supp Consol'!AA:AA,'Supp Consol'!Z:Z,"Expires this month",'Supp Consol'!A:A,O793))</f>
        <v/>
      </c>
      <c r="AJ793" s="25" t="str">
        <f>IF(SUMIFS('Supp Consol'!AA:AA,'Supp Consol'!Z:Z,"Expired Previous Months",'Supp Consol'!A:A,O793)=0,"",SUMIFS('Supp Consol'!AA:AA,'Supp Consol'!Z:Z,"Expired Previous Months",'Supp Consol'!A:A,O793))</f>
        <v/>
      </c>
      <c r="AK793" s="25" t="str">
        <f>IFERROR(INDEX('Hun Release Current'!B:B,MATCH(O793,'Hun Release Current'!A:A,0)),"")</f>
        <v/>
      </c>
      <c r="AL793" s="25" t="str">
        <f>IF(SUMIF('Prev Aub'!A:A,O793,'Prev Aub'!B:B)=0,"",SUMIF('Prev Aub'!A:A,O793,'Prev Aub'!B:B))</f>
        <v/>
      </c>
      <c r="AN793" s="25" t="s">
        <v>3790</v>
      </c>
      <c r="AO793" s="25" t="s">
        <v>3790</v>
      </c>
      <c r="AP793" s="25">
        <f t="shared" si="342"/>
        <v>0</v>
      </c>
      <c r="AQ793" s="151" t="str">
        <f>IF(SUMIFS('Supp Consol'!S:S,'Supp Consol'!A:A,O793,'Supp Consol'!I:I,"PENDING")=0,"",SUMIFS('Supp Consol'!S:S,'Supp Consol'!A:A,O793,'Supp Consol'!I:I,"PENDING"))</f>
        <v/>
      </c>
      <c r="AR793" s="27" t="str">
        <f t="shared" si="343"/>
        <v>MR202</v>
      </c>
      <c r="AS793" s="27" t="str">
        <f t="shared" si="344"/>
        <v>62</v>
      </c>
      <c r="AT793" s="27" t="str">
        <f t="shared" si="345"/>
        <v/>
      </c>
      <c r="AU793" s="27" t="str">
        <f t="shared" si="346"/>
        <v/>
      </c>
      <c r="AV793" s="27" t="str">
        <f t="shared" si="347"/>
        <v/>
      </c>
      <c r="AW793" s="27" t="str">
        <f t="shared" si="348"/>
        <v/>
      </c>
      <c r="AX793" s="27" t="str">
        <f t="shared" si="349"/>
        <v/>
      </c>
      <c r="AY793" s="27" t="str">
        <f t="shared" si="350"/>
        <v/>
      </c>
      <c r="AZ793" s="27" t="str">
        <f t="shared" si="351"/>
        <v/>
      </c>
      <c r="BA793" s="27" t="str">
        <f t="shared" si="352"/>
        <v/>
      </c>
      <c r="BB793" s="27" t="str">
        <f t="shared" si="353"/>
        <v/>
      </c>
      <c r="BC793" s="27" t="str">
        <f t="shared" si="354"/>
        <v/>
      </c>
      <c r="BD793" s="27" t="str">
        <f t="shared" si="355"/>
        <v/>
      </c>
      <c r="BE793" s="27" t="str">
        <f t="shared" si="356"/>
        <v/>
      </c>
      <c r="BF793" s="27" t="str">
        <f t="shared" si="357"/>
        <v/>
      </c>
      <c r="BG793" s="27" t="str">
        <f t="shared" si="358"/>
        <v/>
      </c>
      <c r="BH793" s="27" t="str">
        <f t="shared" si="359"/>
        <v/>
      </c>
      <c r="BI793" s="27" t="str">
        <f t="shared" si="360"/>
        <v/>
      </c>
      <c r="BJ793" s="27" t="str">
        <f t="shared" si="361"/>
        <v/>
      </c>
      <c r="BK793" s="27" t="str">
        <f t="shared" si="362"/>
        <v/>
      </c>
      <c r="BL793" s="27" t="str">
        <f t="shared" si="363"/>
        <v/>
      </c>
      <c r="BM793" s="21" t="s">
        <v>5581</v>
      </c>
    </row>
    <row r="794" spans="1:65" ht="15">
      <c r="A794" s="25" t="str">
        <f>IFERROR(INDEX('Hun Demand'!W:W,MATCH(O794,'Hun Demand'!A:A,0)),"")</f>
        <v/>
      </c>
      <c r="B794" s="25" t="str">
        <f>IFERROR(INDEX('Hun Demand'!V:V,MATCH(O794,'Hun Demand'!A:A,0)),"")</f>
        <v/>
      </c>
      <c r="C794" s="25" t="str">
        <f>IFERROR(INDEX('Hun Demand'!U:U,MATCH(O794,'Hun Demand'!A:A,0)),"")</f>
        <v/>
      </c>
      <c r="D794" s="25" t="str">
        <f>IFERROR(INDEX('Hun Demand'!T:T,MATCH(O794,'Hun Demand'!A:A,0)),"")</f>
        <v/>
      </c>
      <c r="E794" s="25" t="str">
        <f>IFERROR(INDEX('Hun Demand'!S:S,MATCH(O794,'Hun Demand'!A:A,0)),"")</f>
        <v/>
      </c>
      <c r="F794" s="25" t="str">
        <f>IFERROR(INDEX('Hun Demand'!R:R,MATCH(O794,'Hun Demand'!A:A,0)),"")</f>
        <v/>
      </c>
      <c r="G794" s="25">
        <f>IFERROR(INDEX('Aub Demand'!W:W,MATCH(O794,'Aub Demand'!A:A,0)),"")</f>
        <v>0</v>
      </c>
      <c r="H794" s="25">
        <f>IFERROR(INDEX('Aub Demand'!V:V,MATCH(O794,'Aub Demand'!A:A,0)),"")</f>
        <v>9</v>
      </c>
      <c r="I794" s="25">
        <f>IFERROR(INDEX('Aub Demand'!U:U,MATCH(O794,'Aub Demand'!A:A,0)),"")</f>
        <v>0</v>
      </c>
      <c r="J794" s="25">
        <f>IFERROR(INDEX('Aub Demand'!T:T,MATCH(O794,'Aub Demand'!A:A,0)),"")</f>
        <v>0</v>
      </c>
      <c r="K794" s="25">
        <f>IFERROR(INDEX('Aub Demand'!S:S,MATCH(O794,'Aub Demand'!A:A,0)),"")</f>
        <v>0</v>
      </c>
      <c r="L794" s="25">
        <f>IFERROR(INDEX('Aub Demand'!R:R,MATCH(O794,'Aub Demand'!A:A,0)),"")</f>
        <v>0</v>
      </c>
      <c r="O794" s="27" t="s">
        <v>2339</v>
      </c>
      <c r="P794" s="27" t="str">
        <f>IFERROR(INDEX('Aub Demand'!B:B,MATCH($O794,'Aub Demand'!$A:$A,0)),"")</f>
        <v>NEUTRA MATRIX 48"</v>
      </c>
      <c r="Q794" s="27" t="str">
        <f>IFERROR(INDEX('Aub Demand'!C:C,MATCH($O794,'Aub Demand'!$A:$A,0)),"")</f>
        <v>PANOL</v>
      </c>
      <c r="R794" s="52">
        <f>IFERROR(IF(AR795=AR794,INDEX('Aub Demand'!K:K,MATCH($O794,'Aub Demand'!$A:$A,0))-IF(AN794="",0,AN794)+AP795,INDEX('Aub Demand'!K:K,MATCH($O794,'Aub Demand'!$A:$A,0))-IF(AN794="",0,AN794)),"")</f>
        <v>146</v>
      </c>
      <c r="S794" s="53" t="str">
        <f t="shared" si="336"/>
        <v>n/a</v>
      </c>
      <c r="T794" s="52" t="str">
        <f t="shared" si="337"/>
        <v/>
      </c>
      <c r="U794" s="52">
        <f>IFERROR(IF(AR795=AR794,INDEX('Aub Demand'!Q:Q,MATCH($O794,'Aub Demand'!$A:$A,0))-IF(AN794="",0,AN794)+AP795,INDEX('Aub Demand'!Q:Q,MATCH($O794,'Aub Demand'!$A:$A,0))-IF(AN794="",0,AN794)),"")</f>
        <v>146</v>
      </c>
      <c r="V794" s="53" t="str">
        <f t="shared" si="338"/>
        <v>n/a</v>
      </c>
      <c r="W794" s="52" t="str">
        <f t="shared" si="339"/>
        <v/>
      </c>
      <c r="X794" s="52">
        <f>IFERROR(IF(AND(AR795=AR794,AM794&lt;&gt;""),INDEX('Aub Demand'!Q:Q,MATCH($O794,'Aub Demand'!$A:$A,0))-IF(AN794="",0,AN794)+AP795+AD794+AL794,IF(AR795=AR794,INDEX('Aub Demand'!Q:Q,MATCH($O794,'Aub Demand'!$A:$A,0))-IF(AN794="",0,AN794)+AP795+AD794,IF(AM794&lt;&gt;"",INDEX('Aub Demand'!Q:Q,MATCH($O794,'Aub Demand'!$A:$A,0))-IF(AN794="",0,AN794)+AD794+AL794,INDEX('Aub Demand'!Q:Q,MATCH($O794,'Aub Demand'!$A:$A,0))-IF(AN794="",0,AN794)+AD794))),"")</f>
        <v>146</v>
      </c>
      <c r="Y794" s="53" t="str">
        <f t="shared" si="340"/>
        <v>n/a</v>
      </c>
      <c r="Z794" s="52">
        <f>IF(L794="","",INDEX('Aub Demand'!H:H,MATCH($O794,'Aub Demand'!$A:$A,0)))</f>
        <v>0</v>
      </c>
      <c r="AA794" s="52" t="str">
        <f t="shared" si="341"/>
        <v>-spike-</v>
      </c>
      <c r="AB794" s="52">
        <f>IFERROR(INDEX('Aub Demand'!L:L,MATCH($O794,'Aub Demand'!$A:$A,0)),"")</f>
        <v>8</v>
      </c>
      <c r="AC794" s="52">
        <f>IFERROR(IF(O794="","",SUMIFS('CPL Mats'!F:F,'CPL Mats'!Q:Q,AR794,'CPL Mats'!S:S,AS794)),"")</f>
        <v>0</v>
      </c>
      <c r="AF794" s="25" t="str">
        <f>IF(SUMIFS('Supp Consol'!S:S,'Supp Consol'!Y:Y,"Releasable",'Supp Consol'!A:A,O794)=0,"",SUMIFS('Supp Consol'!S:S,'Supp Consol'!Y:Y,"Releasable",'Supp Consol'!A:A,O794))</f>
        <v/>
      </c>
      <c r="AG794" s="25" t="str">
        <f>IFERROR(INDEX('Hun Demand'!Q:Q,MATCH(O794,'Hun Demand'!A:A,0)),"")</f>
        <v/>
      </c>
      <c r="AH794" s="25" t="str">
        <f>IFERROR(INDEX('Hun Demand'!H:H,MATCH($O794,'Hun Demand'!$A:$A,0)),"")</f>
        <v/>
      </c>
      <c r="AI794" s="25" t="str">
        <f>IF(SUMIFS('Supp Consol'!AA:AA,'Supp Consol'!Z:Z,"Expires this month",'Supp Consol'!A:A,O794)=0,"",SUMIFS('Supp Consol'!AA:AA,'Supp Consol'!Z:Z,"Expires this month",'Supp Consol'!A:A,O794))</f>
        <v/>
      </c>
      <c r="AJ794" s="25" t="str">
        <f>IF(SUMIFS('Supp Consol'!AA:AA,'Supp Consol'!Z:Z,"Expired Previous Months",'Supp Consol'!A:A,O794)=0,"",SUMIFS('Supp Consol'!AA:AA,'Supp Consol'!Z:Z,"Expired Previous Months",'Supp Consol'!A:A,O794))</f>
        <v/>
      </c>
      <c r="AK794" s="25" t="str">
        <f>IFERROR(INDEX('Hun Release Current'!B:B,MATCH(O794,'Hun Release Current'!A:A,0)),"")</f>
        <v/>
      </c>
      <c r="AL794" s="25" t="str">
        <f>IF(SUMIF('Prev Aub'!A:A,O794,'Prev Aub'!B:B)=0,"",SUMIF('Prev Aub'!A:A,O794,'Prev Aub'!B:B))</f>
        <v/>
      </c>
      <c r="AN794" s="25" t="s">
        <v>3790</v>
      </c>
      <c r="AO794" s="25" t="s">
        <v>3790</v>
      </c>
      <c r="AP794" s="25">
        <f t="shared" si="342"/>
        <v>0</v>
      </c>
      <c r="AQ794" s="151" t="str">
        <f>IF(SUMIFS('Supp Consol'!S:S,'Supp Consol'!A:A,O794,'Supp Consol'!I:I,"PENDING")=0,"",SUMIFS('Supp Consol'!S:S,'Supp Consol'!A:A,O794,'Supp Consol'!I:I,"PENDING"))</f>
        <v/>
      </c>
      <c r="AR794" s="27" t="str">
        <f t="shared" si="343"/>
        <v>MR203</v>
      </c>
      <c r="AS794" s="27" t="str">
        <f t="shared" si="344"/>
        <v>50</v>
      </c>
      <c r="AT794" s="27" t="str">
        <f t="shared" si="345"/>
        <v/>
      </c>
      <c r="AU794" s="27" t="str">
        <f t="shared" si="346"/>
        <v/>
      </c>
      <c r="AV794" s="27" t="str">
        <f t="shared" si="347"/>
        <v/>
      </c>
      <c r="AW794" s="27" t="str">
        <f t="shared" si="348"/>
        <v/>
      </c>
      <c r="AX794" s="27" t="str">
        <f t="shared" si="349"/>
        <v/>
      </c>
      <c r="AY794" s="27" t="str">
        <f t="shared" si="350"/>
        <v/>
      </c>
      <c r="AZ794" s="27" t="str">
        <f t="shared" si="351"/>
        <v/>
      </c>
      <c r="BA794" s="27" t="str">
        <f t="shared" si="352"/>
        <v/>
      </c>
      <c r="BB794" s="27" t="str">
        <f t="shared" si="353"/>
        <v/>
      </c>
      <c r="BC794" s="27" t="str">
        <f t="shared" si="354"/>
        <v/>
      </c>
      <c r="BD794" s="27" t="str">
        <f t="shared" si="355"/>
        <v/>
      </c>
      <c r="BE794" s="27" t="str">
        <f t="shared" si="356"/>
        <v/>
      </c>
      <c r="BF794" s="27" t="str">
        <f t="shared" si="357"/>
        <v/>
      </c>
      <c r="BG794" s="27" t="str">
        <f t="shared" si="358"/>
        <v/>
      </c>
      <c r="BH794" s="27" t="str">
        <f t="shared" si="359"/>
        <v/>
      </c>
      <c r="BI794" s="27" t="str">
        <f t="shared" si="360"/>
        <v/>
      </c>
      <c r="BJ794" s="27" t="str">
        <f t="shared" si="361"/>
        <v/>
      </c>
      <c r="BK794" s="27" t="str">
        <f t="shared" si="362"/>
        <v/>
      </c>
      <c r="BL794" s="27" t="str">
        <f t="shared" si="363"/>
        <v/>
      </c>
      <c r="BM794" s="21" t="s">
        <v>5581</v>
      </c>
    </row>
    <row r="795" spans="1:65" ht="15">
      <c r="A795" s="25" t="str">
        <f>IFERROR(INDEX('Hun Demand'!W:W,MATCH(O795,'Hun Demand'!A:A,0)),"")</f>
        <v/>
      </c>
      <c r="B795" s="25" t="str">
        <f>IFERROR(INDEX('Hun Demand'!V:V,MATCH(O795,'Hun Demand'!A:A,0)),"")</f>
        <v/>
      </c>
      <c r="C795" s="25" t="str">
        <f>IFERROR(INDEX('Hun Demand'!U:U,MATCH(O795,'Hun Demand'!A:A,0)),"")</f>
        <v/>
      </c>
      <c r="D795" s="25" t="str">
        <f>IFERROR(INDEX('Hun Demand'!T:T,MATCH(O795,'Hun Demand'!A:A,0)),"")</f>
        <v/>
      </c>
      <c r="E795" s="25" t="str">
        <f>IFERROR(INDEX('Hun Demand'!S:S,MATCH(O795,'Hun Demand'!A:A,0)),"")</f>
        <v/>
      </c>
      <c r="F795" s="25" t="str">
        <f>IFERROR(INDEX('Hun Demand'!R:R,MATCH(O795,'Hun Demand'!A:A,0)),"")</f>
        <v/>
      </c>
      <c r="G795" s="25">
        <f>IFERROR(INDEX('Aub Demand'!W:W,MATCH(O795,'Aub Demand'!A:A,0)),"")</f>
        <v>0</v>
      </c>
      <c r="H795" s="25">
        <f>IFERROR(INDEX('Aub Demand'!V:V,MATCH(O795,'Aub Demand'!A:A,0)),"")</f>
        <v>14</v>
      </c>
      <c r="I795" s="25">
        <f>IFERROR(INDEX('Aub Demand'!U:U,MATCH(O795,'Aub Demand'!A:A,0)),"")</f>
        <v>0</v>
      </c>
      <c r="J795" s="25">
        <f>IFERROR(INDEX('Aub Demand'!T:T,MATCH(O795,'Aub Demand'!A:A,0)),"")</f>
        <v>0</v>
      </c>
      <c r="K795" s="25">
        <f>IFERROR(INDEX('Aub Demand'!S:S,MATCH(O795,'Aub Demand'!A:A,0)),"")</f>
        <v>0</v>
      </c>
      <c r="L795" s="25">
        <f>IFERROR(INDEX('Aub Demand'!R:R,MATCH(O795,'Aub Demand'!A:A,0)),"")</f>
        <v>0</v>
      </c>
      <c r="O795" s="27" t="s">
        <v>2343</v>
      </c>
      <c r="P795" s="27" t="str">
        <f>IFERROR(INDEX('Aub Demand'!B:B,MATCH($O795,'Aub Demand'!$A:$A,0)),"")</f>
        <v>NEUTRA MATRIX 62"</v>
      </c>
      <c r="Q795" s="27" t="str">
        <f>IFERROR(INDEX('Aub Demand'!C:C,MATCH($O795,'Aub Demand'!$A:$A,0)),"")</f>
        <v>INTER</v>
      </c>
      <c r="R795" s="52">
        <f>IFERROR(IF(AR796=AR795,INDEX('Aub Demand'!K:K,MATCH($O795,'Aub Demand'!$A:$A,0))-IF(AN795="",0,AN795)+AP796,INDEX('Aub Demand'!K:K,MATCH($O795,'Aub Demand'!$A:$A,0))-IF(AN795="",0,AN795)),"")</f>
        <v>1734</v>
      </c>
      <c r="S795" s="53" t="str">
        <f t="shared" si="336"/>
        <v>n/a</v>
      </c>
      <c r="T795" s="52" t="str">
        <f t="shared" si="337"/>
        <v/>
      </c>
      <c r="U795" s="52">
        <f>IFERROR(IF(AR796=AR795,INDEX('Aub Demand'!Q:Q,MATCH($O795,'Aub Demand'!$A:$A,0))-IF(AN795="",0,AN795)+AP796,INDEX('Aub Demand'!Q:Q,MATCH($O795,'Aub Demand'!$A:$A,0))-IF(AN795="",0,AN795)),"")</f>
        <v>1734</v>
      </c>
      <c r="V795" s="53" t="str">
        <f t="shared" si="338"/>
        <v>n/a</v>
      </c>
      <c r="W795" s="52" t="str">
        <f t="shared" si="339"/>
        <v/>
      </c>
      <c r="X795" s="52">
        <f>IFERROR(IF(AND(AR796=AR795,AM795&lt;&gt;""),INDEX('Aub Demand'!Q:Q,MATCH($O795,'Aub Demand'!$A:$A,0))-IF(AN795="",0,AN795)+AP796+AD795+AL795,IF(AR796=AR795,INDEX('Aub Demand'!Q:Q,MATCH($O795,'Aub Demand'!$A:$A,0))-IF(AN795="",0,AN795)+AP796+AD795,IF(AM795&lt;&gt;"",INDEX('Aub Demand'!Q:Q,MATCH($O795,'Aub Demand'!$A:$A,0))-IF(AN795="",0,AN795)+AD795+AL795,INDEX('Aub Demand'!Q:Q,MATCH($O795,'Aub Demand'!$A:$A,0))-IF(AN795="",0,AN795)+AD795))),"")</f>
        <v>1734</v>
      </c>
      <c r="Y795" s="53" t="str">
        <f t="shared" si="340"/>
        <v>n/a</v>
      </c>
      <c r="Z795" s="52">
        <f>IF(L795="","",INDEX('Aub Demand'!H:H,MATCH($O795,'Aub Demand'!$A:$A,0)))</f>
        <v>0</v>
      </c>
      <c r="AA795" s="52" t="str">
        <f t="shared" si="341"/>
        <v>-spike-</v>
      </c>
      <c r="AB795" s="52">
        <f>IFERROR(INDEX('Aub Demand'!L:L,MATCH($O795,'Aub Demand'!$A:$A,0)),"")</f>
        <v>0</v>
      </c>
      <c r="AC795" s="52">
        <f>IFERROR(IF(O795="","",SUMIFS('CPL Mats'!F:F,'CPL Mats'!Q:Q,AR795,'CPL Mats'!S:S,AS795)),"")</f>
        <v>0</v>
      </c>
      <c r="AF795" s="25" t="str">
        <f>IF(SUMIFS('Supp Consol'!S:S,'Supp Consol'!Y:Y,"Releasable",'Supp Consol'!A:A,O795)=0,"",SUMIFS('Supp Consol'!S:S,'Supp Consol'!Y:Y,"Releasable",'Supp Consol'!A:A,O795))</f>
        <v/>
      </c>
      <c r="AG795" s="25" t="str">
        <f>IFERROR(INDEX('Hun Demand'!Q:Q,MATCH(O795,'Hun Demand'!A:A,0)),"")</f>
        <v/>
      </c>
      <c r="AH795" s="25" t="str">
        <f>IFERROR(INDEX('Hun Demand'!H:H,MATCH($O795,'Hun Demand'!$A:$A,0)),"")</f>
        <v/>
      </c>
      <c r="AI795" s="25" t="str">
        <f>IF(SUMIFS('Supp Consol'!AA:AA,'Supp Consol'!Z:Z,"Expires this month",'Supp Consol'!A:A,O795)=0,"",SUMIFS('Supp Consol'!AA:AA,'Supp Consol'!Z:Z,"Expires this month",'Supp Consol'!A:A,O795))</f>
        <v/>
      </c>
      <c r="AJ795" s="25" t="str">
        <f>IF(SUMIFS('Supp Consol'!AA:AA,'Supp Consol'!Z:Z,"Expired Previous Months",'Supp Consol'!A:A,O795)=0,"",SUMIFS('Supp Consol'!AA:AA,'Supp Consol'!Z:Z,"Expired Previous Months",'Supp Consol'!A:A,O795))</f>
        <v/>
      </c>
      <c r="AK795" s="25" t="str">
        <f>IFERROR(INDEX('Hun Release Current'!B:B,MATCH(O795,'Hun Release Current'!A:A,0)),"")</f>
        <v/>
      </c>
      <c r="AL795" s="25" t="str">
        <f>IF(SUMIF('Prev Aub'!A:A,O795,'Prev Aub'!B:B)=0,"",SUMIF('Prev Aub'!A:A,O795,'Prev Aub'!B:B))</f>
        <v/>
      </c>
      <c r="AN795" s="25" t="s">
        <v>3790</v>
      </c>
      <c r="AO795" s="25" t="s">
        <v>3790</v>
      </c>
      <c r="AP795" s="25">
        <f t="shared" si="342"/>
        <v>0</v>
      </c>
      <c r="AQ795" s="151" t="str">
        <f>IF(SUMIFS('Supp Consol'!S:S,'Supp Consol'!A:A,O795,'Supp Consol'!I:I,"PENDING")=0,"",SUMIFS('Supp Consol'!S:S,'Supp Consol'!A:A,O795,'Supp Consol'!I:I,"PENDING"))</f>
        <v/>
      </c>
      <c r="AR795" s="27" t="str">
        <f t="shared" si="343"/>
        <v>MR203</v>
      </c>
      <c r="AS795" s="27" t="str">
        <f t="shared" si="344"/>
        <v>62</v>
      </c>
      <c r="AT795" s="27" t="str">
        <f t="shared" si="345"/>
        <v/>
      </c>
      <c r="AU795" s="27" t="str">
        <f t="shared" si="346"/>
        <v/>
      </c>
      <c r="AV795" s="27" t="str">
        <f t="shared" si="347"/>
        <v/>
      </c>
      <c r="AW795" s="27" t="str">
        <f t="shared" si="348"/>
        <v/>
      </c>
      <c r="AX795" s="27" t="str">
        <f t="shared" si="349"/>
        <v/>
      </c>
      <c r="AY795" s="27" t="str">
        <f t="shared" si="350"/>
        <v/>
      </c>
      <c r="AZ795" s="27" t="str">
        <f t="shared" si="351"/>
        <v/>
      </c>
      <c r="BA795" s="27" t="str">
        <f t="shared" si="352"/>
        <v/>
      </c>
      <c r="BB795" s="27" t="str">
        <f t="shared" si="353"/>
        <v/>
      </c>
      <c r="BC795" s="27" t="str">
        <f t="shared" si="354"/>
        <v/>
      </c>
      <c r="BD795" s="27" t="str">
        <f t="shared" si="355"/>
        <v/>
      </c>
      <c r="BE795" s="27" t="str">
        <f t="shared" si="356"/>
        <v/>
      </c>
      <c r="BF795" s="27" t="str">
        <f t="shared" si="357"/>
        <v/>
      </c>
      <c r="BG795" s="27" t="str">
        <f t="shared" si="358"/>
        <v/>
      </c>
      <c r="BH795" s="27" t="str">
        <f t="shared" si="359"/>
        <v/>
      </c>
      <c r="BI795" s="27" t="str">
        <f t="shared" si="360"/>
        <v/>
      </c>
      <c r="BJ795" s="27" t="str">
        <f t="shared" si="361"/>
        <v/>
      </c>
      <c r="BK795" s="27" t="str">
        <f t="shared" si="362"/>
        <v/>
      </c>
      <c r="BL795" s="27" t="str">
        <f t="shared" si="363"/>
        <v/>
      </c>
      <c r="BM795" s="21" t="s">
        <v>5581</v>
      </c>
    </row>
    <row r="796" spans="1:65" ht="15">
      <c r="A796" s="25" t="str">
        <f>IFERROR(INDEX('Hun Demand'!W:W,MATCH(O796,'Hun Demand'!A:A,0)),"")</f>
        <v/>
      </c>
      <c r="B796" s="25" t="str">
        <f>IFERROR(INDEX('Hun Demand'!V:V,MATCH(O796,'Hun Demand'!A:A,0)),"")</f>
        <v/>
      </c>
      <c r="C796" s="25" t="str">
        <f>IFERROR(INDEX('Hun Demand'!U:U,MATCH(O796,'Hun Demand'!A:A,0)),"")</f>
        <v/>
      </c>
      <c r="D796" s="25" t="str">
        <f>IFERROR(INDEX('Hun Demand'!T:T,MATCH(O796,'Hun Demand'!A:A,0)),"")</f>
        <v/>
      </c>
      <c r="E796" s="25" t="str">
        <f>IFERROR(INDEX('Hun Demand'!S:S,MATCH(O796,'Hun Demand'!A:A,0)),"")</f>
        <v/>
      </c>
      <c r="F796" s="25" t="str">
        <f>IFERROR(INDEX('Hun Demand'!R:R,MATCH(O796,'Hun Demand'!A:A,0)),"")</f>
        <v/>
      </c>
      <c r="G796" s="25">
        <f>IFERROR(INDEX('Aub Demand'!W:W,MATCH(O796,'Aub Demand'!A:A,0)),"")</f>
        <v>71</v>
      </c>
      <c r="H796" s="25">
        <f>IFERROR(INDEX('Aub Demand'!V:V,MATCH(O796,'Aub Demand'!A:A,0)),"")</f>
        <v>0</v>
      </c>
      <c r="I796" s="25">
        <f>IFERROR(INDEX('Aub Demand'!U:U,MATCH(O796,'Aub Demand'!A:A,0)),"")</f>
        <v>0</v>
      </c>
      <c r="J796" s="25">
        <f>IFERROR(INDEX('Aub Demand'!T:T,MATCH(O796,'Aub Demand'!A:A,0)),"")</f>
        <v>0</v>
      </c>
      <c r="K796" s="25">
        <f>IFERROR(INDEX('Aub Demand'!S:S,MATCH(O796,'Aub Demand'!A:A,0)),"")</f>
        <v>72</v>
      </c>
      <c r="L796" s="25">
        <f>IFERROR(INDEX('Aub Demand'!R:R,MATCH(O796,'Aub Demand'!A:A,0)),"")</f>
        <v>0</v>
      </c>
      <c r="O796" s="27" t="s">
        <v>2345</v>
      </c>
      <c r="P796" s="27" t="str">
        <f>IFERROR(INDEX('Aub Demand'!B:B,MATCH($O796,'Aub Demand'!$A:$A,0)),"")</f>
        <v>STRAW MATRIX</v>
      </c>
      <c r="Q796" s="27" t="str">
        <f>IFERROR(INDEX('Aub Demand'!C:C,MATCH($O796,'Aub Demand'!$A:$A,0)),"")</f>
        <v>DNP A</v>
      </c>
      <c r="R796" s="52">
        <f>IFERROR(IF(AR797=AR796,INDEX('Aub Demand'!K:K,MATCH($O796,'Aub Demand'!$A:$A,0))-IF(AN796="",0,AN796)+AP797,INDEX('Aub Demand'!K:K,MATCH($O796,'Aub Demand'!$A:$A,0))-IF(AN796="",0,AN796)),"")</f>
        <v>269</v>
      </c>
      <c r="S796" s="53">
        <f t="shared" si="336"/>
        <v>48</v>
      </c>
      <c r="T796" s="52" t="str">
        <f t="shared" si="337"/>
        <v/>
      </c>
      <c r="U796" s="52">
        <f>IFERROR(IF(AR797=AR796,INDEX('Aub Demand'!Q:Q,MATCH($O796,'Aub Demand'!$A:$A,0))-IF(AN796="",0,AN796)+AP797,INDEX('Aub Demand'!Q:Q,MATCH($O796,'Aub Demand'!$A:$A,0))-IF(AN796="",0,AN796)),"")</f>
        <v>255</v>
      </c>
      <c r="V796" s="53">
        <f t="shared" si="338"/>
        <v>45.5</v>
      </c>
      <c r="W796" s="52" t="str">
        <f t="shared" si="339"/>
        <v/>
      </c>
      <c r="X796" s="52">
        <f>IFERROR(IF(AND(AR797=AR796,AM796&lt;&gt;""),INDEX('Aub Demand'!Q:Q,MATCH($O796,'Aub Demand'!$A:$A,0))-IF(AN796="",0,AN796)+AP797+AD796+AL796,IF(AR797=AR796,INDEX('Aub Demand'!Q:Q,MATCH($O796,'Aub Demand'!$A:$A,0))-IF(AN796="",0,AN796)+AP797+AD796,IF(AM796&lt;&gt;"",INDEX('Aub Demand'!Q:Q,MATCH($O796,'Aub Demand'!$A:$A,0))-IF(AN796="",0,AN796)+AD796+AL796,INDEX('Aub Demand'!Q:Q,MATCH($O796,'Aub Demand'!$A:$A,0))-IF(AN796="",0,AN796)+AD796))),"")</f>
        <v>255</v>
      </c>
      <c r="Y796" s="53">
        <f t="shared" si="340"/>
        <v>45.5</v>
      </c>
      <c r="Z796" s="52">
        <f>IF(L796="","",INDEX('Aub Demand'!H:H,MATCH($O796,'Aub Demand'!$A:$A,0)))</f>
        <v>24</v>
      </c>
      <c r="AA796" s="52" t="str">
        <f t="shared" si="341"/>
        <v>-spike-</v>
      </c>
      <c r="AB796" s="52">
        <f>IFERROR(INDEX('Aub Demand'!L:L,MATCH($O796,'Aub Demand'!$A:$A,0)),"")</f>
        <v>37</v>
      </c>
      <c r="AC796" s="52">
        <f>IFERROR(IF(O796="","",SUMIFS('CPL Mats'!F:F,'CPL Mats'!Q:Q,AR796,'CPL Mats'!S:S,AS796)),"")</f>
        <v>0</v>
      </c>
      <c r="AF796" s="25" t="str">
        <f>IF(SUMIFS('Supp Consol'!S:S,'Supp Consol'!Y:Y,"Releasable",'Supp Consol'!A:A,O796)=0,"",SUMIFS('Supp Consol'!S:S,'Supp Consol'!Y:Y,"Releasable",'Supp Consol'!A:A,O796))</f>
        <v/>
      </c>
      <c r="AG796" s="25" t="str">
        <f>IFERROR(INDEX('Hun Demand'!Q:Q,MATCH(O796,'Hun Demand'!A:A,0)),"")</f>
        <v/>
      </c>
      <c r="AH796" s="25" t="str">
        <f>IFERROR(INDEX('Hun Demand'!H:H,MATCH($O796,'Hun Demand'!$A:$A,0)),"")</f>
        <v/>
      </c>
      <c r="AI796" s="25" t="str">
        <f>IF(SUMIFS('Supp Consol'!AA:AA,'Supp Consol'!Z:Z,"Expires this month",'Supp Consol'!A:A,O796)=0,"",SUMIFS('Supp Consol'!AA:AA,'Supp Consol'!Z:Z,"Expires this month",'Supp Consol'!A:A,O796))</f>
        <v/>
      </c>
      <c r="AJ796" s="25" t="str">
        <f>IF(SUMIFS('Supp Consol'!AA:AA,'Supp Consol'!Z:Z,"Expired Previous Months",'Supp Consol'!A:A,O796)=0,"",SUMIFS('Supp Consol'!AA:AA,'Supp Consol'!Z:Z,"Expired Previous Months",'Supp Consol'!A:A,O796))</f>
        <v/>
      </c>
      <c r="AK796" s="25" t="str">
        <f>IFERROR(INDEX('Hun Release Current'!B:B,MATCH(O796,'Hun Release Current'!A:A,0)),"")</f>
        <v/>
      </c>
      <c r="AL796" s="25" t="str">
        <f>IF(SUMIF('Prev Aub'!A:A,O796,'Prev Aub'!B:B)=0,"",SUMIF('Prev Aub'!A:A,O796,'Prev Aub'!B:B))</f>
        <v/>
      </c>
      <c r="AN796" s="25" t="s">
        <v>3790</v>
      </c>
      <c r="AO796" s="25" t="s">
        <v>3790</v>
      </c>
      <c r="AP796" s="25">
        <f t="shared" si="342"/>
        <v>0</v>
      </c>
      <c r="AQ796" s="151" t="str">
        <f>IF(SUMIFS('Supp Consol'!S:S,'Supp Consol'!A:A,O796,'Supp Consol'!I:I,"PENDING")=0,"",SUMIFS('Supp Consol'!S:S,'Supp Consol'!A:A,O796,'Supp Consol'!I:I,"PENDING"))</f>
        <v/>
      </c>
      <c r="AR796" s="27" t="str">
        <f t="shared" si="343"/>
        <v>MR206</v>
      </c>
      <c r="AS796" s="27" t="str">
        <f t="shared" si="344"/>
        <v>50</v>
      </c>
      <c r="AT796" s="27" t="str">
        <f t="shared" si="345"/>
        <v/>
      </c>
      <c r="AU796" s="27" t="str">
        <f t="shared" si="346"/>
        <v/>
      </c>
      <c r="AV796" s="27" t="str">
        <f t="shared" si="347"/>
        <v/>
      </c>
      <c r="AW796" s="27" t="str">
        <f t="shared" si="348"/>
        <v/>
      </c>
      <c r="AX796" s="27" t="str">
        <f t="shared" si="349"/>
        <v/>
      </c>
      <c r="AY796" s="27" t="str">
        <f t="shared" si="350"/>
        <v/>
      </c>
      <c r="AZ796" s="27" t="str">
        <f t="shared" si="351"/>
        <v>Supp</v>
      </c>
      <c r="BA796" s="27" t="str">
        <f t="shared" si="352"/>
        <v/>
      </c>
      <c r="BB796" s="27" t="str">
        <f t="shared" si="353"/>
        <v/>
      </c>
      <c r="BC796" s="27" t="str">
        <f t="shared" si="354"/>
        <v/>
      </c>
      <c r="BD796" s="27" t="str">
        <f t="shared" si="355"/>
        <v/>
      </c>
      <c r="BE796" s="27" t="str">
        <f t="shared" si="356"/>
        <v/>
      </c>
      <c r="BF796" s="27" t="str">
        <f t="shared" si="357"/>
        <v/>
      </c>
      <c r="BG796" s="27" t="str">
        <f t="shared" si="358"/>
        <v/>
      </c>
      <c r="BH796" s="27" t="str">
        <f t="shared" si="359"/>
        <v/>
      </c>
      <c r="BI796" s="27" t="str">
        <f t="shared" si="360"/>
        <v/>
      </c>
      <c r="BJ796" s="27" t="str">
        <f t="shared" si="361"/>
        <v>Supp or Hun</v>
      </c>
      <c r="BK796" s="27" t="str">
        <f t="shared" si="362"/>
        <v/>
      </c>
      <c r="BL796" s="27" t="str">
        <f t="shared" si="363"/>
        <v/>
      </c>
      <c r="BM796" s="21" t="s">
        <v>5581</v>
      </c>
    </row>
    <row r="797" spans="1:65" ht="15">
      <c r="A797" s="25" t="str">
        <f>IFERROR(INDEX('Hun Demand'!W:W,MATCH(O797,'Hun Demand'!A:A,0)),"")</f>
        <v/>
      </c>
      <c r="B797" s="25" t="str">
        <f>IFERROR(INDEX('Hun Demand'!V:V,MATCH(O797,'Hun Demand'!A:A,0)),"")</f>
        <v/>
      </c>
      <c r="C797" s="25" t="str">
        <f>IFERROR(INDEX('Hun Demand'!U:U,MATCH(O797,'Hun Demand'!A:A,0)),"")</f>
        <v/>
      </c>
      <c r="D797" s="25" t="str">
        <f>IFERROR(INDEX('Hun Demand'!T:T,MATCH(O797,'Hun Demand'!A:A,0)),"")</f>
        <v/>
      </c>
      <c r="E797" s="25" t="str">
        <f>IFERROR(INDEX('Hun Demand'!S:S,MATCH(O797,'Hun Demand'!A:A,0)),"")</f>
        <v/>
      </c>
      <c r="F797" s="25" t="str">
        <f>IFERROR(INDEX('Hun Demand'!R:R,MATCH(O797,'Hun Demand'!A:A,0)),"")</f>
        <v/>
      </c>
      <c r="G797" s="25">
        <f>IFERROR(INDEX('Aub Demand'!W:W,MATCH(O797,'Aub Demand'!A:A,0)),"")</f>
        <v>0</v>
      </c>
      <c r="H797" s="25">
        <f>IFERROR(INDEX('Aub Demand'!V:V,MATCH(O797,'Aub Demand'!A:A,0)),"")</f>
        <v>0</v>
      </c>
      <c r="I797" s="25">
        <f>IFERROR(INDEX('Aub Demand'!U:U,MATCH(O797,'Aub Demand'!A:A,0)),"")</f>
        <v>0</v>
      </c>
      <c r="J797" s="25">
        <f>IFERROR(INDEX('Aub Demand'!T:T,MATCH(O797,'Aub Demand'!A:A,0)),"")</f>
        <v>59</v>
      </c>
      <c r="K797" s="25">
        <f>IFERROR(INDEX('Aub Demand'!S:S,MATCH(O797,'Aub Demand'!A:A,0)),"")</f>
        <v>0</v>
      </c>
      <c r="L797" s="25">
        <f>IFERROR(INDEX('Aub Demand'!R:R,MATCH(O797,'Aub Demand'!A:A,0)),"")</f>
        <v>0</v>
      </c>
      <c r="O797" s="27" t="s">
        <v>2348</v>
      </c>
      <c r="P797" s="27" t="str">
        <f>IFERROR(INDEX('Aub Demand'!B:B,MATCH($O797,'Aub Demand'!$A:$A,0)),"")</f>
        <v>STRAW MATRIX 62"</v>
      </c>
      <c r="Q797" s="27" t="str">
        <f>IFERROR(INDEX('Aub Demand'!C:C,MATCH($O797,'Aub Demand'!$A:$A,0)),"")</f>
        <v>DNP A</v>
      </c>
      <c r="R797" s="52">
        <f>IFERROR(IF(AR798=AR797,INDEX('Aub Demand'!K:K,MATCH($O797,'Aub Demand'!$A:$A,0))-IF(AN797="",0,AN797)+AP798,INDEX('Aub Demand'!K:K,MATCH($O797,'Aub Demand'!$A:$A,0))-IF(AN797="",0,AN797)),"")</f>
        <v>656</v>
      </c>
      <c r="S797" s="53">
        <f t="shared" si="336"/>
        <v>140.6</v>
      </c>
      <c r="T797" s="52" t="str">
        <f t="shared" si="337"/>
        <v/>
      </c>
      <c r="U797" s="52">
        <f>IFERROR(IF(AR798=AR797,INDEX('Aub Demand'!Q:Q,MATCH($O797,'Aub Demand'!$A:$A,0))-IF(AN797="",0,AN797)+AP798,INDEX('Aub Demand'!Q:Q,MATCH($O797,'Aub Demand'!$A:$A,0))-IF(AN797="",0,AN797)),"")</f>
        <v>656</v>
      </c>
      <c r="V797" s="53">
        <f t="shared" si="338"/>
        <v>140.6</v>
      </c>
      <c r="W797" s="52" t="str">
        <f t="shared" si="339"/>
        <v/>
      </c>
      <c r="X797" s="52">
        <f>IFERROR(IF(AND(AR798=AR797,AM797&lt;&gt;""),INDEX('Aub Demand'!Q:Q,MATCH($O797,'Aub Demand'!$A:$A,0))-IF(AN797="",0,AN797)+AP798+AD797+AL797,IF(AR798=AR797,INDEX('Aub Demand'!Q:Q,MATCH($O797,'Aub Demand'!$A:$A,0))-IF(AN797="",0,AN797)+AP798+AD797,IF(AM797&lt;&gt;"",INDEX('Aub Demand'!Q:Q,MATCH($O797,'Aub Demand'!$A:$A,0))-IF(AN797="",0,AN797)+AD797+AL797,INDEX('Aub Demand'!Q:Q,MATCH($O797,'Aub Demand'!$A:$A,0))-IF(AN797="",0,AN797)+AD797))),"")</f>
        <v>656</v>
      </c>
      <c r="Y797" s="53">
        <f t="shared" si="340"/>
        <v>140.6</v>
      </c>
      <c r="Z797" s="52">
        <f>IF(L797="","",INDEX('Aub Demand'!H:H,MATCH($O797,'Aub Demand'!$A:$A,0)))</f>
        <v>20</v>
      </c>
      <c r="AA797" s="52" t="str">
        <f t="shared" si="341"/>
        <v>-spike-</v>
      </c>
      <c r="AB797" s="52">
        <f>IFERROR(INDEX('Aub Demand'!L:L,MATCH($O797,'Aub Demand'!$A:$A,0)),"")</f>
        <v>0</v>
      </c>
      <c r="AC797" s="52">
        <f>IFERROR(IF(O797="","",SUMIFS('CPL Mats'!F:F,'CPL Mats'!Q:Q,AR797,'CPL Mats'!S:S,AS797)),"")</f>
        <v>0</v>
      </c>
      <c r="AF797" s="25">
        <f>IF(SUMIFS('Supp Consol'!S:S,'Supp Consol'!Y:Y,"Releasable",'Supp Consol'!A:A,O797)=0,"",SUMIFS('Supp Consol'!S:S,'Supp Consol'!Y:Y,"Releasable",'Supp Consol'!A:A,O797))</f>
        <v>2083</v>
      </c>
      <c r="AG797" s="25" t="str">
        <f>IFERROR(INDEX('Hun Demand'!Q:Q,MATCH(O797,'Hun Demand'!A:A,0)),"")</f>
        <v/>
      </c>
      <c r="AH797" s="25" t="str">
        <f>IFERROR(INDEX('Hun Demand'!H:H,MATCH($O797,'Hun Demand'!$A:$A,0)),"")</f>
        <v/>
      </c>
      <c r="AI797" s="25" t="str">
        <f>IF(SUMIFS('Supp Consol'!AA:AA,'Supp Consol'!Z:Z,"Expires this month",'Supp Consol'!A:A,O797)=0,"",SUMIFS('Supp Consol'!AA:AA,'Supp Consol'!Z:Z,"Expires this month",'Supp Consol'!A:A,O797))</f>
        <v/>
      </c>
      <c r="AJ797" s="25" t="str">
        <f>IF(SUMIFS('Supp Consol'!AA:AA,'Supp Consol'!Z:Z,"Expired Previous Months",'Supp Consol'!A:A,O797)=0,"",SUMIFS('Supp Consol'!AA:AA,'Supp Consol'!Z:Z,"Expired Previous Months",'Supp Consol'!A:A,O797))</f>
        <v/>
      </c>
      <c r="AK797" s="25" t="str">
        <f>IFERROR(INDEX('Hun Release Current'!B:B,MATCH(O797,'Hun Release Current'!A:A,0)),"")</f>
        <v/>
      </c>
      <c r="AL797" s="25" t="str">
        <f>IF(SUMIF('Prev Aub'!A:A,O797,'Prev Aub'!B:B)=0,"",SUMIF('Prev Aub'!A:A,O797,'Prev Aub'!B:B))</f>
        <v/>
      </c>
      <c r="AN797" s="25" t="s">
        <v>3790</v>
      </c>
      <c r="AO797" s="25" t="s">
        <v>3790</v>
      </c>
      <c r="AP797" s="25">
        <f t="shared" si="342"/>
        <v>0</v>
      </c>
      <c r="AQ797" s="151" t="str">
        <f>IF(SUMIFS('Supp Consol'!S:S,'Supp Consol'!A:A,O797,'Supp Consol'!I:I,"PENDING")=0,"",SUMIFS('Supp Consol'!S:S,'Supp Consol'!A:A,O797,'Supp Consol'!I:I,"PENDING"))</f>
        <v/>
      </c>
      <c r="AR797" s="27" t="str">
        <f t="shared" si="343"/>
        <v>MR206</v>
      </c>
      <c r="AS797" s="27" t="str">
        <f t="shared" si="344"/>
        <v>62</v>
      </c>
      <c r="AT797" s="27" t="str">
        <f t="shared" si="345"/>
        <v/>
      </c>
      <c r="AU797" s="27" t="str">
        <f t="shared" si="346"/>
        <v/>
      </c>
      <c r="AV797" s="27" t="str">
        <f t="shared" si="347"/>
        <v/>
      </c>
      <c r="AW797" s="27" t="str">
        <f t="shared" si="348"/>
        <v/>
      </c>
      <c r="AX797" s="27" t="str">
        <f t="shared" si="349"/>
        <v>MR206</v>
      </c>
      <c r="AY797" s="27" t="str">
        <f t="shared" si="350"/>
        <v/>
      </c>
      <c r="AZ797" s="27" t="str">
        <f t="shared" si="351"/>
        <v>Supp</v>
      </c>
      <c r="BA797" s="27" t="str">
        <f t="shared" si="352"/>
        <v/>
      </c>
      <c r="BB797" s="27" t="str">
        <f t="shared" si="353"/>
        <v/>
      </c>
      <c r="BC797" s="27" t="str">
        <f t="shared" si="354"/>
        <v/>
      </c>
      <c r="BD797" s="27" t="str">
        <f t="shared" si="355"/>
        <v/>
      </c>
      <c r="BE797" s="27" t="str">
        <f t="shared" si="356"/>
        <v/>
      </c>
      <c r="BF797" s="27" t="str">
        <f t="shared" si="357"/>
        <v/>
      </c>
      <c r="BG797" s="27" t="str">
        <f t="shared" si="358"/>
        <v/>
      </c>
      <c r="BH797" s="27" t="str">
        <f t="shared" si="359"/>
        <v/>
      </c>
      <c r="BI797" s="27" t="str">
        <f t="shared" si="360"/>
        <v/>
      </c>
      <c r="BJ797" s="27" t="str">
        <f t="shared" si="361"/>
        <v>Supp or Hun</v>
      </c>
      <c r="BK797" s="27" t="str">
        <f t="shared" si="362"/>
        <v/>
      </c>
      <c r="BL797" s="27" t="str">
        <f t="shared" si="363"/>
        <v/>
      </c>
      <c r="BM797" s="21" t="s">
        <v>5581</v>
      </c>
    </row>
    <row r="798" spans="1:65" ht="15">
      <c r="A798" s="25" t="str">
        <f>IFERROR(INDEX('Hun Demand'!W:W,MATCH(O798,'Hun Demand'!A:A,0)),"")</f>
        <v/>
      </c>
      <c r="B798" s="25" t="str">
        <f>IFERROR(INDEX('Hun Demand'!V:V,MATCH(O798,'Hun Demand'!A:A,0)),"")</f>
        <v/>
      </c>
      <c r="C798" s="25" t="str">
        <f>IFERROR(INDEX('Hun Demand'!U:U,MATCH(O798,'Hun Demand'!A:A,0)),"")</f>
        <v/>
      </c>
      <c r="D798" s="25" t="str">
        <f>IFERROR(INDEX('Hun Demand'!T:T,MATCH(O798,'Hun Demand'!A:A,0)),"")</f>
        <v/>
      </c>
      <c r="E798" s="25" t="str">
        <f>IFERROR(INDEX('Hun Demand'!S:S,MATCH(O798,'Hun Demand'!A:A,0)),"")</f>
        <v/>
      </c>
      <c r="F798" s="25" t="str">
        <f>IFERROR(INDEX('Hun Demand'!R:R,MATCH(O798,'Hun Demand'!A:A,0)),"")</f>
        <v/>
      </c>
      <c r="G798" s="25">
        <f>IFERROR(INDEX('Aub Demand'!W:W,MATCH(O798,'Aub Demand'!A:A,0)),"")</f>
        <v>0</v>
      </c>
      <c r="H798" s="25">
        <f>IFERROR(INDEX('Aub Demand'!V:V,MATCH(O798,'Aub Demand'!A:A,0)),"")</f>
        <v>0</v>
      </c>
      <c r="I798" s="25">
        <f>IFERROR(INDEX('Aub Demand'!U:U,MATCH(O798,'Aub Demand'!A:A,0)),"")</f>
        <v>0</v>
      </c>
      <c r="J798" s="25">
        <f>IFERROR(INDEX('Aub Demand'!T:T,MATCH(O798,'Aub Demand'!A:A,0)),"")</f>
        <v>0</v>
      </c>
      <c r="K798" s="25">
        <f>IFERROR(INDEX('Aub Demand'!S:S,MATCH(O798,'Aub Demand'!A:A,0)),"")</f>
        <v>0</v>
      </c>
      <c r="L798" s="25">
        <f>IFERROR(INDEX('Aub Demand'!R:R,MATCH(O798,'Aub Demand'!A:A,0)),"")</f>
        <v>0</v>
      </c>
      <c r="O798" s="27" t="s">
        <v>2350</v>
      </c>
      <c r="P798" s="27" t="str">
        <f>IFERROR(INDEX('Aub Demand'!B:B,MATCH($O798,'Aub Demand'!$A:$A,0)),"")</f>
        <v>BRONZE MATRIX II</v>
      </c>
      <c r="Q798" s="27" t="str">
        <f>IFERROR(INDEX('Aub Demand'!C:C,MATCH($O798,'Aub Demand'!$A:$A,0)),"")</f>
        <v>INTER</v>
      </c>
      <c r="R798" s="52">
        <f>IFERROR(IF(AR799=AR798,INDEX('Aub Demand'!K:K,MATCH($O798,'Aub Demand'!$A:$A,0))-IF(AN798="",0,AN798)+AP799,INDEX('Aub Demand'!K:K,MATCH($O798,'Aub Demand'!$A:$A,0))-IF(AN798="",0,AN798)),"")</f>
        <v>216</v>
      </c>
      <c r="S798" s="53" t="str">
        <f t="shared" si="336"/>
        <v>n/a</v>
      </c>
      <c r="T798" s="52" t="str">
        <f t="shared" si="337"/>
        <v/>
      </c>
      <c r="U798" s="52">
        <f>IFERROR(IF(AR799=AR798,INDEX('Aub Demand'!Q:Q,MATCH($O798,'Aub Demand'!$A:$A,0))-IF(AN798="",0,AN798)+AP799,INDEX('Aub Demand'!Q:Q,MATCH($O798,'Aub Demand'!$A:$A,0))-IF(AN798="",0,AN798)),"")</f>
        <v>216</v>
      </c>
      <c r="V798" s="53" t="str">
        <f t="shared" si="338"/>
        <v>n/a</v>
      </c>
      <c r="W798" s="52" t="str">
        <f t="shared" si="339"/>
        <v/>
      </c>
      <c r="X798" s="52">
        <f>IFERROR(IF(AND(AR799=AR798,AM798&lt;&gt;""),INDEX('Aub Demand'!Q:Q,MATCH($O798,'Aub Demand'!$A:$A,0))-IF(AN798="",0,AN798)+AP799+AD798+AL798,IF(AR799=AR798,INDEX('Aub Demand'!Q:Q,MATCH($O798,'Aub Demand'!$A:$A,0))-IF(AN798="",0,AN798)+AP799+AD798,IF(AM798&lt;&gt;"",INDEX('Aub Demand'!Q:Q,MATCH($O798,'Aub Demand'!$A:$A,0))-IF(AN798="",0,AN798)+AD798+AL798,INDEX('Aub Demand'!Q:Q,MATCH($O798,'Aub Demand'!$A:$A,0))-IF(AN798="",0,AN798)+AD798))),"")</f>
        <v>216</v>
      </c>
      <c r="Y798" s="53" t="str">
        <f t="shared" si="340"/>
        <v>n/a</v>
      </c>
      <c r="Z798" s="52">
        <f>IF(L798="","",INDEX('Aub Demand'!H:H,MATCH($O798,'Aub Demand'!$A:$A,0)))</f>
        <v>0</v>
      </c>
      <c r="AA798" s="52" t="str">
        <f t="shared" si="341"/>
        <v>-spike-</v>
      </c>
      <c r="AB798" s="52">
        <f>IFERROR(INDEX('Aub Demand'!L:L,MATCH($O798,'Aub Demand'!$A:$A,0)),"")</f>
        <v>9</v>
      </c>
      <c r="AC798" s="52">
        <f>IFERROR(IF(O798="","",SUMIFS('CPL Mats'!F:F,'CPL Mats'!Q:Q,AR798,'CPL Mats'!S:S,AS798)),"")</f>
        <v>0</v>
      </c>
      <c r="AF798" s="25" t="str">
        <f>IF(SUMIFS('Supp Consol'!S:S,'Supp Consol'!Y:Y,"Releasable",'Supp Consol'!A:A,O798)=0,"",SUMIFS('Supp Consol'!S:S,'Supp Consol'!Y:Y,"Releasable",'Supp Consol'!A:A,O798))</f>
        <v/>
      </c>
      <c r="AG798" s="25" t="str">
        <f>IFERROR(INDEX('Hun Demand'!Q:Q,MATCH(O798,'Hun Demand'!A:A,0)),"")</f>
        <v/>
      </c>
      <c r="AH798" s="25" t="str">
        <f>IFERROR(INDEX('Hun Demand'!H:H,MATCH($O798,'Hun Demand'!$A:$A,0)),"")</f>
        <v/>
      </c>
      <c r="AI798" s="25" t="str">
        <f>IF(SUMIFS('Supp Consol'!AA:AA,'Supp Consol'!Z:Z,"Expires this month",'Supp Consol'!A:A,O798)=0,"",SUMIFS('Supp Consol'!AA:AA,'Supp Consol'!Z:Z,"Expires this month",'Supp Consol'!A:A,O798))</f>
        <v/>
      </c>
      <c r="AJ798" s="25" t="str">
        <f>IF(SUMIFS('Supp Consol'!AA:AA,'Supp Consol'!Z:Z,"Expired Previous Months",'Supp Consol'!A:A,O798)=0,"",SUMIFS('Supp Consol'!AA:AA,'Supp Consol'!Z:Z,"Expired Previous Months",'Supp Consol'!A:A,O798))</f>
        <v/>
      </c>
      <c r="AK798" s="25" t="str">
        <f>IFERROR(INDEX('Hun Release Current'!B:B,MATCH(O798,'Hun Release Current'!A:A,0)),"")</f>
        <v/>
      </c>
      <c r="AL798" s="25" t="str">
        <f>IF(SUMIF('Prev Aub'!A:A,O798,'Prev Aub'!B:B)=0,"",SUMIF('Prev Aub'!A:A,O798,'Prev Aub'!B:B))</f>
        <v/>
      </c>
      <c r="AN798" s="25" t="s">
        <v>3790</v>
      </c>
      <c r="AO798" s="25" t="s">
        <v>3790</v>
      </c>
      <c r="AP798" s="25">
        <f t="shared" si="342"/>
        <v>0</v>
      </c>
      <c r="AQ798" s="151" t="str">
        <f>IF(SUMIFS('Supp Consol'!S:S,'Supp Consol'!A:A,O798,'Supp Consol'!I:I,"PENDING")=0,"",SUMIFS('Supp Consol'!S:S,'Supp Consol'!A:A,O798,'Supp Consol'!I:I,"PENDING"))</f>
        <v/>
      </c>
      <c r="AR798" s="27" t="str">
        <f t="shared" si="343"/>
        <v>MR208</v>
      </c>
      <c r="AS798" s="27" t="str">
        <f t="shared" si="344"/>
        <v>62</v>
      </c>
      <c r="AT798" s="27" t="str">
        <f t="shared" si="345"/>
        <v/>
      </c>
      <c r="AU798" s="27" t="str">
        <f t="shared" si="346"/>
        <v/>
      </c>
      <c r="AV798" s="27" t="str">
        <f t="shared" si="347"/>
        <v/>
      </c>
      <c r="AW798" s="27" t="str">
        <f t="shared" si="348"/>
        <v/>
      </c>
      <c r="AX798" s="27" t="str">
        <f t="shared" si="349"/>
        <v/>
      </c>
      <c r="AY798" s="27" t="str">
        <f t="shared" si="350"/>
        <v/>
      </c>
      <c r="AZ798" s="27" t="str">
        <f t="shared" si="351"/>
        <v/>
      </c>
      <c r="BA798" s="27" t="str">
        <f t="shared" si="352"/>
        <v/>
      </c>
      <c r="BB798" s="27" t="str">
        <f t="shared" si="353"/>
        <v/>
      </c>
      <c r="BC798" s="27" t="str">
        <f t="shared" si="354"/>
        <v/>
      </c>
      <c r="BD798" s="27" t="str">
        <f t="shared" si="355"/>
        <v/>
      </c>
      <c r="BE798" s="27" t="str">
        <f t="shared" si="356"/>
        <v/>
      </c>
      <c r="BF798" s="27" t="str">
        <f t="shared" si="357"/>
        <v/>
      </c>
      <c r="BG798" s="27" t="str">
        <f t="shared" si="358"/>
        <v/>
      </c>
      <c r="BH798" s="27" t="str">
        <f t="shared" si="359"/>
        <v/>
      </c>
      <c r="BI798" s="27" t="str">
        <f t="shared" si="360"/>
        <v/>
      </c>
      <c r="BJ798" s="27" t="str">
        <f t="shared" si="361"/>
        <v/>
      </c>
      <c r="BK798" s="27" t="str">
        <f t="shared" si="362"/>
        <v/>
      </c>
      <c r="BL798" s="27" t="str">
        <f t="shared" si="363"/>
        <v/>
      </c>
      <c r="BM798" s="21" t="s">
        <v>3790</v>
      </c>
    </row>
    <row r="799" spans="1:65" ht="15">
      <c r="A799" s="25" t="str">
        <f>IFERROR(INDEX('Hun Demand'!W:W,MATCH(O799,'Hun Demand'!A:A,0)),"")</f>
        <v/>
      </c>
      <c r="B799" s="25" t="str">
        <f>IFERROR(INDEX('Hun Demand'!V:V,MATCH(O799,'Hun Demand'!A:A,0)),"")</f>
        <v/>
      </c>
      <c r="C799" s="25" t="str">
        <f>IFERROR(INDEX('Hun Demand'!U:U,MATCH(O799,'Hun Demand'!A:A,0)),"")</f>
        <v/>
      </c>
      <c r="D799" s="25" t="str">
        <f>IFERROR(INDEX('Hun Demand'!T:T,MATCH(O799,'Hun Demand'!A:A,0)),"")</f>
        <v/>
      </c>
      <c r="E799" s="25" t="str">
        <f>IFERROR(INDEX('Hun Demand'!S:S,MATCH(O799,'Hun Demand'!A:A,0)),"")</f>
        <v/>
      </c>
      <c r="F799" s="25" t="str">
        <f>IFERROR(INDEX('Hun Demand'!R:R,MATCH(O799,'Hun Demand'!A:A,0)),"")</f>
        <v/>
      </c>
      <c r="G799" s="25">
        <f>IFERROR(INDEX('Aub Demand'!W:W,MATCH(O799,'Aub Demand'!A:A,0)),"")</f>
        <v>92</v>
      </c>
      <c r="H799" s="25">
        <f>IFERROR(INDEX('Aub Demand'!V:V,MATCH(O799,'Aub Demand'!A:A,0)),"")</f>
        <v>764</v>
      </c>
      <c r="I799" s="25">
        <f>IFERROR(INDEX('Aub Demand'!U:U,MATCH(O799,'Aub Demand'!A:A,0)),"")</f>
        <v>201</v>
      </c>
      <c r="J799" s="25">
        <f>IFERROR(INDEX('Aub Demand'!T:T,MATCH(O799,'Aub Demand'!A:A,0)),"")</f>
        <v>169</v>
      </c>
      <c r="K799" s="25">
        <f>IFERROR(INDEX('Aub Demand'!S:S,MATCH(O799,'Aub Demand'!A:A,0)),"")</f>
        <v>0</v>
      </c>
      <c r="L799" s="25">
        <f>IFERROR(INDEX('Aub Demand'!R:R,MATCH(O799,'Aub Demand'!A:A,0)),"")</f>
        <v>0</v>
      </c>
      <c r="O799" s="27" t="s">
        <v>2352</v>
      </c>
      <c r="P799" s="27" t="str">
        <f>IFERROR(INDEX('Aub Demand'!B:B,MATCH($O799,'Aub Demand'!$A:$A,0)),"")</f>
        <v>FRENCH BLUE MATRIX 5</v>
      </c>
      <c r="Q799" s="27" t="str">
        <f>IFERROR(INDEX('Aub Demand'!C:C,MATCH($O799,'Aub Demand'!$A:$A,0)),"")</f>
        <v>INTER</v>
      </c>
      <c r="R799" s="52">
        <f>IFERROR(IF(AR800=AR799,INDEX('Aub Demand'!K:K,MATCH($O799,'Aub Demand'!$A:$A,0))-IF(AN799="",0,AN799)+AP800,INDEX('Aub Demand'!K:K,MATCH($O799,'Aub Demand'!$A:$A,0))-IF(AN799="",0,AN799)),"")</f>
        <v>1118</v>
      </c>
      <c r="S799" s="53">
        <f t="shared" si="336"/>
        <v>39</v>
      </c>
      <c r="T799" s="52" t="str">
        <f t="shared" si="337"/>
        <v/>
      </c>
      <c r="U799" s="52">
        <f>IFERROR(IF(AR800=AR799,INDEX('Aub Demand'!Q:Q,MATCH($O799,'Aub Demand'!$A:$A,0))-IF(AN799="",0,AN799)+AP800,INDEX('Aub Demand'!Q:Q,MATCH($O799,'Aub Demand'!$A:$A,0))-IF(AN799="",0,AN799)),"")</f>
        <v>1118</v>
      </c>
      <c r="V799" s="53">
        <f t="shared" si="338"/>
        <v>39</v>
      </c>
      <c r="W799" s="52" t="str">
        <f t="shared" si="339"/>
        <v/>
      </c>
      <c r="X799" s="52">
        <f>IFERROR(IF(AND(AR800=AR799,AM799&lt;&gt;""),INDEX('Aub Demand'!Q:Q,MATCH($O799,'Aub Demand'!$A:$A,0))-IF(AN799="",0,AN799)+AP800+AD799+AL799,IF(AR800=AR799,INDEX('Aub Demand'!Q:Q,MATCH($O799,'Aub Demand'!$A:$A,0))-IF(AN799="",0,AN799)+AP800+AD799,IF(AM799&lt;&gt;"",INDEX('Aub Demand'!Q:Q,MATCH($O799,'Aub Demand'!$A:$A,0))-IF(AN799="",0,AN799)+AD799+AL799,INDEX('Aub Demand'!Q:Q,MATCH($O799,'Aub Demand'!$A:$A,0))-IF(AN799="",0,AN799)+AD799))),"")</f>
        <v>1118</v>
      </c>
      <c r="Y799" s="53">
        <f t="shared" si="340"/>
        <v>39</v>
      </c>
      <c r="Z799" s="52">
        <f>IF(L799="","",INDEX('Aub Demand'!H:H,MATCH($O799,'Aub Demand'!$A:$A,0)))</f>
        <v>123</v>
      </c>
      <c r="AA799" s="52">
        <f t="shared" si="341"/>
        <v>185</v>
      </c>
      <c r="AB799" s="52">
        <f>IFERROR(INDEX('Aub Demand'!L:L,MATCH($O799,'Aub Demand'!$A:$A,0)),"")</f>
        <v>248</v>
      </c>
      <c r="AC799" s="52">
        <f>IFERROR(IF(O799="","",SUMIFS('CPL Mats'!F:F,'CPL Mats'!Q:Q,AR799,'CPL Mats'!S:S,AS799)),"")</f>
        <v>0</v>
      </c>
      <c r="AF799" s="25" t="str">
        <f>IF(SUMIFS('Supp Consol'!S:S,'Supp Consol'!Y:Y,"Releasable",'Supp Consol'!A:A,O799)=0,"",SUMIFS('Supp Consol'!S:S,'Supp Consol'!Y:Y,"Releasable",'Supp Consol'!A:A,O799))</f>
        <v/>
      </c>
      <c r="AG799" s="25" t="str">
        <f>IFERROR(INDEX('Hun Demand'!Q:Q,MATCH(O799,'Hun Demand'!A:A,0)),"")</f>
        <v/>
      </c>
      <c r="AH799" s="25" t="str">
        <f>IFERROR(INDEX('Hun Demand'!H:H,MATCH($O799,'Hun Demand'!$A:$A,0)),"")</f>
        <v/>
      </c>
      <c r="AI799" s="25" t="str">
        <f>IF(SUMIFS('Supp Consol'!AA:AA,'Supp Consol'!Z:Z,"Expires this month",'Supp Consol'!A:A,O799)=0,"",SUMIFS('Supp Consol'!AA:AA,'Supp Consol'!Z:Z,"Expires this month",'Supp Consol'!A:A,O799))</f>
        <v/>
      </c>
      <c r="AJ799" s="25" t="str">
        <f>IF(SUMIFS('Supp Consol'!AA:AA,'Supp Consol'!Z:Z,"Expired Previous Months",'Supp Consol'!A:A,O799)=0,"",SUMIFS('Supp Consol'!AA:AA,'Supp Consol'!Z:Z,"Expired Previous Months",'Supp Consol'!A:A,O799))</f>
        <v/>
      </c>
      <c r="AK799" s="25" t="str">
        <f>IFERROR(INDEX('Hun Release Current'!B:B,MATCH(O799,'Hun Release Current'!A:A,0)),"")</f>
        <v/>
      </c>
      <c r="AL799" s="25" t="str">
        <f>IF(SUMIF('Prev Aub'!A:A,O799,'Prev Aub'!B:B)=0,"",SUMIF('Prev Aub'!A:A,O799,'Prev Aub'!B:B))</f>
        <v/>
      </c>
      <c r="AN799" s="25" t="s">
        <v>3790</v>
      </c>
      <c r="AO799" s="25" t="s">
        <v>3790</v>
      </c>
      <c r="AP799" s="25">
        <f t="shared" si="342"/>
        <v>0</v>
      </c>
      <c r="AQ799" s="151" t="str">
        <f>IF(SUMIFS('Supp Consol'!S:S,'Supp Consol'!A:A,O799,'Supp Consol'!I:I,"PENDING")=0,"",SUMIFS('Supp Consol'!S:S,'Supp Consol'!A:A,O799,'Supp Consol'!I:I,"PENDING"))</f>
        <v/>
      </c>
      <c r="AR799" s="27" t="str">
        <f t="shared" si="343"/>
        <v>MR303</v>
      </c>
      <c r="AS799" s="27" t="str">
        <f t="shared" si="344"/>
        <v>50</v>
      </c>
      <c r="AT799" s="27" t="str">
        <f t="shared" si="345"/>
        <v/>
      </c>
      <c r="AU799" s="27" t="str">
        <f t="shared" si="346"/>
        <v/>
      </c>
      <c r="AV799" s="27" t="str">
        <f t="shared" si="347"/>
        <v/>
      </c>
      <c r="AW799" s="27" t="str">
        <f t="shared" si="348"/>
        <v/>
      </c>
      <c r="AX799" s="27" t="str">
        <f t="shared" si="349"/>
        <v/>
      </c>
      <c r="AY799" s="27" t="str">
        <f t="shared" si="350"/>
        <v/>
      </c>
      <c r="AZ799" s="27" t="str">
        <f t="shared" si="351"/>
        <v/>
      </c>
      <c r="BA799" s="27" t="str">
        <f t="shared" si="352"/>
        <v/>
      </c>
      <c r="BB799" s="27" t="str">
        <f t="shared" si="353"/>
        <v/>
      </c>
      <c r="BC799" s="27" t="str">
        <f t="shared" si="354"/>
        <v/>
      </c>
      <c r="BD799" s="27" t="str">
        <f t="shared" si="355"/>
        <v/>
      </c>
      <c r="BE799" s="27" t="str">
        <f t="shared" si="356"/>
        <v/>
      </c>
      <c r="BF799" s="27" t="str">
        <f t="shared" si="357"/>
        <v/>
      </c>
      <c r="BG799" s="27" t="str">
        <f t="shared" si="358"/>
        <v/>
      </c>
      <c r="BH799" s="27" t="str">
        <f t="shared" si="359"/>
        <v/>
      </c>
      <c r="BI799" s="27" t="str">
        <f t="shared" si="360"/>
        <v/>
      </c>
      <c r="BJ799" s="27" t="str">
        <f t="shared" si="361"/>
        <v/>
      </c>
      <c r="BK799" s="27" t="str">
        <f t="shared" si="362"/>
        <v/>
      </c>
      <c r="BL799" s="27" t="str">
        <f t="shared" si="363"/>
        <v/>
      </c>
      <c r="BM799" s="21" t="s">
        <v>5581</v>
      </c>
    </row>
    <row r="800" spans="1:65" ht="15">
      <c r="A800" s="25" t="str">
        <f>IFERROR(INDEX('Hun Demand'!W:W,MATCH(O800,'Hun Demand'!A:A,0)),"")</f>
        <v/>
      </c>
      <c r="B800" s="25" t="str">
        <f>IFERROR(INDEX('Hun Demand'!V:V,MATCH(O800,'Hun Demand'!A:A,0)),"")</f>
        <v/>
      </c>
      <c r="C800" s="25" t="str">
        <f>IFERROR(INDEX('Hun Demand'!U:U,MATCH(O800,'Hun Demand'!A:A,0)),"")</f>
        <v/>
      </c>
      <c r="D800" s="25" t="str">
        <f>IFERROR(INDEX('Hun Demand'!T:T,MATCH(O800,'Hun Demand'!A:A,0)),"")</f>
        <v/>
      </c>
      <c r="E800" s="25" t="str">
        <f>IFERROR(INDEX('Hun Demand'!S:S,MATCH(O800,'Hun Demand'!A:A,0)),"")</f>
        <v/>
      </c>
      <c r="F800" s="25" t="str">
        <f>IFERROR(INDEX('Hun Demand'!R:R,MATCH(O800,'Hun Demand'!A:A,0)),"")</f>
        <v/>
      </c>
      <c r="G800" s="25">
        <f>IFERROR(INDEX('Aub Demand'!W:W,MATCH(O800,'Aub Demand'!A:A,0)),"")</f>
        <v>40</v>
      </c>
      <c r="H800" s="25">
        <f>IFERROR(INDEX('Aub Demand'!V:V,MATCH(O800,'Aub Demand'!A:A,0)),"")</f>
        <v>120</v>
      </c>
      <c r="I800" s="25">
        <f>IFERROR(INDEX('Aub Demand'!U:U,MATCH(O800,'Aub Demand'!A:A,0)),"")</f>
        <v>8</v>
      </c>
      <c r="J800" s="25">
        <f>IFERROR(INDEX('Aub Demand'!T:T,MATCH(O800,'Aub Demand'!A:A,0)),"")</f>
        <v>0</v>
      </c>
      <c r="K800" s="25">
        <f>IFERROR(INDEX('Aub Demand'!S:S,MATCH(O800,'Aub Demand'!A:A,0)),"")</f>
        <v>0</v>
      </c>
      <c r="L800" s="25">
        <f>IFERROR(INDEX('Aub Demand'!R:R,MATCH(O800,'Aub Demand'!A:A,0)),"")</f>
        <v>0</v>
      </c>
      <c r="O800" s="27" t="s">
        <v>2355</v>
      </c>
      <c r="P800" s="27" t="str">
        <f>IFERROR(INDEX('Aub Demand'!B:B,MATCH($O800,'Aub Demand'!$A:$A,0)),"")</f>
        <v>FRENCH BLUE MATRIX 6</v>
      </c>
      <c r="Q800" s="27" t="str">
        <f>IFERROR(INDEX('Aub Demand'!C:C,MATCH($O800,'Aub Demand'!$A:$A,0)),"")</f>
        <v>INTER</v>
      </c>
      <c r="R800" s="52">
        <f>IFERROR(IF(AR801=AR800,INDEX('Aub Demand'!K:K,MATCH($O800,'Aub Demand'!$A:$A,0))-IF(AN800="",0,AN800)+AP801,INDEX('Aub Demand'!K:K,MATCH($O800,'Aub Demand'!$A:$A,0))-IF(AN800="",0,AN800)),"")</f>
        <v>756</v>
      </c>
      <c r="S800" s="53">
        <f t="shared" si="336"/>
        <v>1080</v>
      </c>
      <c r="T800" s="52" t="str">
        <f t="shared" si="337"/>
        <v/>
      </c>
      <c r="U800" s="52">
        <f>IFERROR(IF(AR801=AR800,INDEX('Aub Demand'!Q:Q,MATCH($O800,'Aub Demand'!$A:$A,0))-IF(AN800="",0,AN800)+AP801,INDEX('Aub Demand'!Q:Q,MATCH($O800,'Aub Demand'!$A:$A,0))-IF(AN800="",0,AN800)),"")</f>
        <v>756</v>
      </c>
      <c r="V800" s="53">
        <f t="shared" si="338"/>
        <v>1080</v>
      </c>
      <c r="W800" s="52" t="str">
        <f t="shared" si="339"/>
        <v/>
      </c>
      <c r="X800" s="52">
        <f>IFERROR(IF(AND(AR801=AR800,AM800&lt;&gt;""),INDEX('Aub Demand'!Q:Q,MATCH($O800,'Aub Demand'!$A:$A,0))-IF(AN800="",0,AN800)+AP801+AD800+AL800,IF(AR801=AR800,INDEX('Aub Demand'!Q:Q,MATCH($O800,'Aub Demand'!$A:$A,0))-IF(AN800="",0,AN800)+AP801+AD800,IF(AM800&lt;&gt;"",INDEX('Aub Demand'!Q:Q,MATCH($O800,'Aub Demand'!$A:$A,0))-IF(AN800="",0,AN800)+AD800+AL800,INDEX('Aub Demand'!Q:Q,MATCH($O800,'Aub Demand'!$A:$A,0))-IF(AN800="",0,AN800)+AD800))),"")</f>
        <v>756</v>
      </c>
      <c r="Y800" s="53">
        <f t="shared" si="340"/>
        <v>1080</v>
      </c>
      <c r="Z800" s="52">
        <f>IF(L800="","",INDEX('Aub Demand'!H:H,MATCH($O800,'Aub Demand'!$A:$A,0)))</f>
        <v>3</v>
      </c>
      <c r="AA800" s="52" t="str">
        <f t="shared" si="341"/>
        <v>-spike-</v>
      </c>
      <c r="AB800" s="52">
        <f>IFERROR(INDEX('Aub Demand'!L:L,MATCH($O800,'Aub Demand'!$A:$A,0)),"")</f>
        <v>0</v>
      </c>
      <c r="AC800" s="52">
        <f>IFERROR(IF(O800="","",SUMIFS('CPL Mats'!F:F,'CPL Mats'!Q:Q,AR800,'CPL Mats'!S:S,AS800)),"")</f>
        <v>0</v>
      </c>
      <c r="AF800" s="25" t="str">
        <f>IF(SUMIFS('Supp Consol'!S:S,'Supp Consol'!Y:Y,"Releasable",'Supp Consol'!A:A,O800)=0,"",SUMIFS('Supp Consol'!S:S,'Supp Consol'!Y:Y,"Releasable",'Supp Consol'!A:A,O800))</f>
        <v/>
      </c>
      <c r="AG800" s="25" t="str">
        <f>IFERROR(INDEX('Hun Demand'!Q:Q,MATCH(O800,'Hun Demand'!A:A,0)),"")</f>
        <v/>
      </c>
      <c r="AH800" s="25" t="str">
        <f>IFERROR(INDEX('Hun Demand'!H:H,MATCH($O800,'Hun Demand'!$A:$A,0)),"")</f>
        <v/>
      </c>
      <c r="AI800" s="25" t="str">
        <f>IF(SUMIFS('Supp Consol'!AA:AA,'Supp Consol'!Z:Z,"Expires this month",'Supp Consol'!A:A,O800)=0,"",SUMIFS('Supp Consol'!AA:AA,'Supp Consol'!Z:Z,"Expires this month",'Supp Consol'!A:A,O800))</f>
        <v/>
      </c>
      <c r="AJ800" s="25" t="str">
        <f>IF(SUMIFS('Supp Consol'!AA:AA,'Supp Consol'!Z:Z,"Expired Previous Months",'Supp Consol'!A:A,O800)=0,"",SUMIFS('Supp Consol'!AA:AA,'Supp Consol'!Z:Z,"Expired Previous Months",'Supp Consol'!A:A,O800))</f>
        <v/>
      </c>
      <c r="AK800" s="25" t="str">
        <f>IFERROR(INDEX('Hun Release Current'!B:B,MATCH(O800,'Hun Release Current'!A:A,0)),"")</f>
        <v/>
      </c>
      <c r="AL800" s="25" t="str">
        <f>IF(SUMIF('Prev Aub'!A:A,O800,'Prev Aub'!B:B)=0,"",SUMIF('Prev Aub'!A:A,O800,'Prev Aub'!B:B))</f>
        <v/>
      </c>
      <c r="AN800" s="25" t="s">
        <v>3790</v>
      </c>
      <c r="AO800" s="25" t="s">
        <v>3790</v>
      </c>
      <c r="AP800" s="25">
        <f t="shared" si="342"/>
        <v>0</v>
      </c>
      <c r="AQ800" s="151" t="str">
        <f>IF(SUMIFS('Supp Consol'!S:S,'Supp Consol'!A:A,O800,'Supp Consol'!I:I,"PENDING")=0,"",SUMIFS('Supp Consol'!S:S,'Supp Consol'!A:A,O800,'Supp Consol'!I:I,"PENDING"))</f>
        <v/>
      </c>
      <c r="AR800" s="27" t="str">
        <f t="shared" si="343"/>
        <v>MR303</v>
      </c>
      <c r="AS800" s="27" t="str">
        <f t="shared" si="344"/>
        <v>62</v>
      </c>
      <c r="AT800" s="27" t="str">
        <f t="shared" si="345"/>
        <v/>
      </c>
      <c r="AU800" s="27" t="str">
        <f t="shared" si="346"/>
        <v/>
      </c>
      <c r="AV800" s="27" t="str">
        <f t="shared" si="347"/>
        <v/>
      </c>
      <c r="AW800" s="27" t="str">
        <f t="shared" si="348"/>
        <v/>
      </c>
      <c r="AX800" s="27" t="str">
        <f t="shared" si="349"/>
        <v/>
      </c>
      <c r="AY800" s="27" t="str">
        <f t="shared" si="350"/>
        <v/>
      </c>
      <c r="AZ800" s="27" t="str">
        <f t="shared" si="351"/>
        <v/>
      </c>
      <c r="BA800" s="27" t="str">
        <f t="shared" si="352"/>
        <v/>
      </c>
      <c r="BB800" s="27" t="str">
        <f t="shared" si="353"/>
        <v/>
      </c>
      <c r="BC800" s="27" t="str">
        <f t="shared" si="354"/>
        <v/>
      </c>
      <c r="BD800" s="27" t="str">
        <f t="shared" si="355"/>
        <v/>
      </c>
      <c r="BE800" s="27" t="str">
        <f t="shared" si="356"/>
        <v/>
      </c>
      <c r="BF800" s="27" t="str">
        <f t="shared" si="357"/>
        <v/>
      </c>
      <c r="BG800" s="27" t="str">
        <f t="shared" si="358"/>
        <v/>
      </c>
      <c r="BH800" s="27" t="str">
        <f t="shared" si="359"/>
        <v/>
      </c>
      <c r="BI800" s="27" t="str">
        <f t="shared" si="360"/>
        <v/>
      </c>
      <c r="BJ800" s="27" t="str">
        <f t="shared" si="361"/>
        <v/>
      </c>
      <c r="BK800" s="27" t="str">
        <f t="shared" si="362"/>
        <v/>
      </c>
      <c r="BL800" s="27" t="str">
        <f t="shared" si="363"/>
        <v/>
      </c>
      <c r="BM800" s="21" t="s">
        <v>5581</v>
      </c>
    </row>
    <row r="801" spans="1:65" ht="15">
      <c r="A801" s="25" t="str">
        <f>IFERROR(INDEX('Hun Demand'!W:W,MATCH(O801,'Hun Demand'!A:A,0)),"")</f>
        <v/>
      </c>
      <c r="B801" s="25" t="str">
        <f>IFERROR(INDEX('Hun Demand'!V:V,MATCH(O801,'Hun Demand'!A:A,0)),"")</f>
        <v/>
      </c>
      <c r="C801" s="25" t="str">
        <f>IFERROR(INDEX('Hun Demand'!U:U,MATCH(O801,'Hun Demand'!A:A,0)),"")</f>
        <v/>
      </c>
      <c r="D801" s="25" t="str">
        <f>IFERROR(INDEX('Hun Demand'!T:T,MATCH(O801,'Hun Demand'!A:A,0)),"")</f>
        <v/>
      </c>
      <c r="E801" s="25" t="str">
        <f>IFERROR(INDEX('Hun Demand'!S:S,MATCH(O801,'Hun Demand'!A:A,0)),"")</f>
        <v/>
      </c>
      <c r="F801" s="25" t="str">
        <f>IFERROR(INDEX('Hun Demand'!R:R,MATCH(O801,'Hun Demand'!A:A,0)),"")</f>
        <v/>
      </c>
      <c r="G801" s="25">
        <f>IFERROR(INDEX('Aub Demand'!W:W,MATCH(O801,'Aub Demand'!A:A,0)),"")</f>
        <v>33</v>
      </c>
      <c r="H801" s="25">
        <f>IFERROR(INDEX('Aub Demand'!V:V,MATCH(O801,'Aub Demand'!A:A,0)),"")</f>
        <v>62</v>
      </c>
      <c r="I801" s="25">
        <f>IFERROR(INDEX('Aub Demand'!U:U,MATCH(O801,'Aub Demand'!A:A,0)),"")</f>
        <v>0</v>
      </c>
      <c r="J801" s="25">
        <f>IFERROR(INDEX('Aub Demand'!T:T,MATCH(O801,'Aub Demand'!A:A,0)),"")</f>
        <v>60</v>
      </c>
      <c r="K801" s="25">
        <f>IFERROR(INDEX('Aub Demand'!S:S,MATCH(O801,'Aub Demand'!A:A,0)),"")</f>
        <v>49</v>
      </c>
      <c r="L801" s="25">
        <f>IFERROR(INDEX('Aub Demand'!R:R,MATCH(O801,'Aub Demand'!A:A,0)),"")</f>
        <v>0</v>
      </c>
      <c r="O801" s="27" t="s">
        <v>2357</v>
      </c>
      <c r="P801" s="27" t="str">
        <f>IFERROR(INDEX('Aub Demand'!B:B,MATCH($O801,'Aub Demand'!$A:$A,0)),"")</f>
        <v>NAVY MATRIX II 50"</v>
      </c>
      <c r="Q801" s="27" t="str">
        <f>IFERROR(INDEX('Aub Demand'!C:C,MATCH($O801,'Aub Demand'!$A:$A,0)),"")</f>
        <v>INTER</v>
      </c>
      <c r="R801" s="52">
        <f>IFERROR(IF(AR802=AR801,INDEX('Aub Demand'!K:K,MATCH($O801,'Aub Demand'!$A:$A,0))-IF(AN801="",0,AN801)+AP802,INDEX('Aub Demand'!K:K,MATCH($O801,'Aub Demand'!$A:$A,0))-IF(AN801="",0,AN801)),"")</f>
        <v>1093</v>
      </c>
      <c r="S801" s="53">
        <f t="shared" si="336"/>
        <v>130.1</v>
      </c>
      <c r="T801" s="52" t="str">
        <f t="shared" si="337"/>
        <v/>
      </c>
      <c r="U801" s="52">
        <f>IFERROR(IF(AR802=AR801,INDEX('Aub Demand'!Q:Q,MATCH($O801,'Aub Demand'!$A:$A,0))-IF(AN801="",0,AN801)+AP802,INDEX('Aub Demand'!Q:Q,MATCH($O801,'Aub Demand'!$A:$A,0))-IF(AN801="",0,AN801)),"")</f>
        <v>1093</v>
      </c>
      <c r="V801" s="53">
        <f t="shared" si="338"/>
        <v>130.1</v>
      </c>
      <c r="W801" s="52" t="str">
        <f t="shared" si="339"/>
        <v/>
      </c>
      <c r="X801" s="52">
        <f>IFERROR(IF(AND(AR802=AR801,AM801&lt;&gt;""),INDEX('Aub Demand'!Q:Q,MATCH($O801,'Aub Demand'!$A:$A,0))-IF(AN801="",0,AN801)+AP802+AD801+AL801,IF(AR802=AR801,INDEX('Aub Demand'!Q:Q,MATCH($O801,'Aub Demand'!$A:$A,0))-IF(AN801="",0,AN801)+AP802+AD801,IF(AM801&lt;&gt;"",INDEX('Aub Demand'!Q:Q,MATCH($O801,'Aub Demand'!$A:$A,0))-IF(AN801="",0,AN801)+AD801+AL801,INDEX('Aub Demand'!Q:Q,MATCH($O801,'Aub Demand'!$A:$A,0))-IF(AN801="",0,AN801)+AD801))),"")</f>
        <v>1093</v>
      </c>
      <c r="Y801" s="53">
        <f t="shared" si="340"/>
        <v>130.1</v>
      </c>
      <c r="Z801" s="52">
        <f>IF(L801="","",INDEX('Aub Demand'!H:H,MATCH($O801,'Aub Demand'!$A:$A,0)))</f>
        <v>36</v>
      </c>
      <c r="AA801" s="52">
        <f t="shared" si="341"/>
        <v>54.5</v>
      </c>
      <c r="AB801" s="52">
        <f>IFERROR(INDEX('Aub Demand'!L:L,MATCH($O801,'Aub Demand'!$A:$A,0)),"")</f>
        <v>247</v>
      </c>
      <c r="AC801" s="52">
        <f>IFERROR(IF(O801="","",SUMIFS('CPL Mats'!F:F,'CPL Mats'!Q:Q,AR801,'CPL Mats'!S:S,AS801)),"")</f>
        <v>3102</v>
      </c>
      <c r="AF801" s="25" t="str">
        <f>IF(SUMIFS('Supp Consol'!S:S,'Supp Consol'!Y:Y,"Releasable",'Supp Consol'!A:A,O801)=0,"",SUMIFS('Supp Consol'!S:S,'Supp Consol'!Y:Y,"Releasable",'Supp Consol'!A:A,O801))</f>
        <v/>
      </c>
      <c r="AG801" s="25" t="str">
        <f>IFERROR(INDEX('Hun Demand'!Q:Q,MATCH(O801,'Hun Demand'!A:A,0)),"")</f>
        <v/>
      </c>
      <c r="AH801" s="25" t="str">
        <f>IFERROR(INDEX('Hun Demand'!H:H,MATCH($O801,'Hun Demand'!$A:$A,0)),"")</f>
        <v/>
      </c>
      <c r="AI801" s="25" t="str">
        <f>IF(SUMIFS('Supp Consol'!AA:AA,'Supp Consol'!Z:Z,"Expires this month",'Supp Consol'!A:A,O801)=0,"",SUMIFS('Supp Consol'!AA:AA,'Supp Consol'!Z:Z,"Expires this month",'Supp Consol'!A:A,O801))</f>
        <v/>
      </c>
      <c r="AJ801" s="25" t="str">
        <f>IF(SUMIFS('Supp Consol'!AA:AA,'Supp Consol'!Z:Z,"Expired Previous Months",'Supp Consol'!A:A,O801)=0,"",SUMIFS('Supp Consol'!AA:AA,'Supp Consol'!Z:Z,"Expired Previous Months",'Supp Consol'!A:A,O801))</f>
        <v/>
      </c>
      <c r="AK801" s="25" t="str">
        <f>IFERROR(INDEX('Hun Release Current'!B:B,MATCH(O801,'Hun Release Current'!A:A,0)),"")</f>
        <v/>
      </c>
      <c r="AL801" s="25" t="str">
        <f>IF(SUMIF('Prev Aub'!A:A,O801,'Prev Aub'!B:B)=0,"",SUMIF('Prev Aub'!A:A,O801,'Prev Aub'!B:B))</f>
        <v/>
      </c>
      <c r="AN801" s="25" t="s">
        <v>3790</v>
      </c>
      <c r="AO801" s="25" t="s">
        <v>3790</v>
      </c>
      <c r="AP801" s="25">
        <f t="shared" si="342"/>
        <v>0</v>
      </c>
      <c r="AQ801" s="151" t="str">
        <f>IF(SUMIFS('Supp Consol'!S:S,'Supp Consol'!A:A,O801,'Supp Consol'!I:I,"PENDING")=0,"",SUMIFS('Supp Consol'!S:S,'Supp Consol'!A:A,O801,'Supp Consol'!I:I,"PENDING"))</f>
        <v/>
      </c>
      <c r="AR801" s="27" t="str">
        <f t="shared" si="343"/>
        <v>MR308</v>
      </c>
      <c r="AS801" s="27" t="str">
        <f t="shared" si="344"/>
        <v>50</v>
      </c>
      <c r="AT801" s="27" t="str">
        <f t="shared" si="345"/>
        <v/>
      </c>
      <c r="AU801" s="27" t="str">
        <f t="shared" si="346"/>
        <v/>
      </c>
      <c r="AV801" s="27" t="str">
        <f t="shared" si="347"/>
        <v/>
      </c>
      <c r="AW801" s="27" t="str">
        <f t="shared" si="348"/>
        <v/>
      </c>
      <c r="AX801" s="27" t="str">
        <f t="shared" si="349"/>
        <v/>
      </c>
      <c r="AY801" s="27" t="str">
        <f t="shared" si="350"/>
        <v/>
      </c>
      <c r="AZ801" s="27" t="str">
        <f t="shared" si="351"/>
        <v/>
      </c>
      <c r="BA801" s="27" t="str">
        <f t="shared" si="352"/>
        <v/>
      </c>
      <c r="BB801" s="27" t="str">
        <f t="shared" si="353"/>
        <v/>
      </c>
      <c r="BC801" s="27" t="str">
        <f t="shared" si="354"/>
        <v/>
      </c>
      <c r="BD801" s="27" t="str">
        <f t="shared" si="355"/>
        <v/>
      </c>
      <c r="BE801" s="27" t="str">
        <f t="shared" si="356"/>
        <v/>
      </c>
      <c r="BF801" s="27" t="str">
        <f t="shared" si="357"/>
        <v/>
      </c>
      <c r="BG801" s="27" t="str">
        <f t="shared" si="358"/>
        <v/>
      </c>
      <c r="BH801" s="27" t="str">
        <f t="shared" si="359"/>
        <v/>
      </c>
      <c r="BI801" s="27" t="str">
        <f t="shared" si="360"/>
        <v/>
      </c>
      <c r="BJ801" s="27" t="str">
        <f t="shared" si="361"/>
        <v/>
      </c>
      <c r="BK801" s="27" t="str">
        <f t="shared" si="362"/>
        <v/>
      </c>
      <c r="BL801" s="27" t="str">
        <f t="shared" si="363"/>
        <v/>
      </c>
      <c r="BM801" s="21" t="s">
        <v>5581</v>
      </c>
    </row>
    <row r="802" spans="1:65" ht="15">
      <c r="A802" s="25" t="str">
        <f>IFERROR(INDEX('Hun Demand'!W:W,MATCH(O802,'Hun Demand'!A:A,0)),"")</f>
        <v/>
      </c>
      <c r="B802" s="25" t="str">
        <f>IFERROR(INDEX('Hun Demand'!V:V,MATCH(O802,'Hun Demand'!A:A,0)),"")</f>
        <v/>
      </c>
      <c r="C802" s="25" t="str">
        <f>IFERROR(INDEX('Hun Demand'!U:U,MATCH(O802,'Hun Demand'!A:A,0)),"")</f>
        <v/>
      </c>
      <c r="D802" s="25" t="str">
        <f>IFERROR(INDEX('Hun Demand'!T:T,MATCH(O802,'Hun Demand'!A:A,0)),"")</f>
        <v/>
      </c>
      <c r="E802" s="25" t="str">
        <f>IFERROR(INDEX('Hun Demand'!S:S,MATCH(O802,'Hun Demand'!A:A,0)),"")</f>
        <v/>
      </c>
      <c r="F802" s="25" t="str">
        <f>IFERROR(INDEX('Hun Demand'!R:R,MATCH(O802,'Hun Demand'!A:A,0)),"")</f>
        <v/>
      </c>
      <c r="G802" s="25">
        <f>IFERROR(INDEX('Aub Demand'!W:W,MATCH(O802,'Aub Demand'!A:A,0)),"")</f>
        <v>0</v>
      </c>
      <c r="H802" s="25">
        <f>IFERROR(INDEX('Aub Demand'!V:V,MATCH(O802,'Aub Demand'!A:A,0)),"")</f>
        <v>51</v>
      </c>
      <c r="I802" s="25">
        <f>IFERROR(INDEX('Aub Demand'!U:U,MATCH(O802,'Aub Demand'!A:A,0)),"")</f>
        <v>77</v>
      </c>
      <c r="J802" s="25">
        <f>IFERROR(INDEX('Aub Demand'!T:T,MATCH(O802,'Aub Demand'!A:A,0)),"")</f>
        <v>31</v>
      </c>
      <c r="K802" s="25">
        <f>IFERROR(INDEX('Aub Demand'!S:S,MATCH(O802,'Aub Demand'!A:A,0)),"")</f>
        <v>111</v>
      </c>
      <c r="L802" s="25">
        <f>IFERROR(INDEX('Aub Demand'!R:R,MATCH(O802,'Aub Demand'!A:A,0)),"")</f>
        <v>0</v>
      </c>
      <c r="O802" s="27" t="s">
        <v>2359</v>
      </c>
      <c r="P802" s="27" t="str">
        <f>IFERROR(INDEX('Aub Demand'!B:B,MATCH($O802,'Aub Demand'!$A:$A,0)),"")</f>
        <v>NAVY MATRIX II 62"</v>
      </c>
      <c r="Q802" s="27" t="str">
        <f>IFERROR(INDEX('Aub Demand'!C:C,MATCH($O802,'Aub Demand'!$A:$A,0)),"")</f>
        <v>INTER</v>
      </c>
      <c r="R802" s="52">
        <f>IFERROR(IF(AR803=AR802,INDEX('Aub Demand'!K:K,MATCH($O802,'Aub Demand'!$A:$A,0))-IF(AN802="",0,AN802)+AP803,INDEX('Aub Demand'!K:K,MATCH($O802,'Aub Demand'!$A:$A,0))-IF(AN802="",0,AN802)),"")</f>
        <v>850</v>
      </c>
      <c r="S802" s="53">
        <f t="shared" si="336"/>
        <v>49.9</v>
      </c>
      <c r="T802" s="52" t="str">
        <f t="shared" si="337"/>
        <v/>
      </c>
      <c r="U802" s="52">
        <f>IFERROR(IF(AR803=AR802,INDEX('Aub Demand'!Q:Q,MATCH($O802,'Aub Demand'!$A:$A,0))-IF(AN802="",0,AN802)+AP803,INDEX('Aub Demand'!Q:Q,MATCH($O802,'Aub Demand'!$A:$A,0))-IF(AN802="",0,AN802)),"")</f>
        <v>817</v>
      </c>
      <c r="V802" s="53">
        <f t="shared" si="338"/>
        <v>48</v>
      </c>
      <c r="W802" s="52" t="str">
        <f t="shared" si="339"/>
        <v/>
      </c>
      <c r="X802" s="52">
        <f>IFERROR(IF(AND(AR803=AR802,AM802&lt;&gt;""),INDEX('Aub Demand'!Q:Q,MATCH($O802,'Aub Demand'!$A:$A,0))-IF(AN802="",0,AN802)+AP803+AD802+AL802,IF(AR803=AR802,INDEX('Aub Demand'!Q:Q,MATCH($O802,'Aub Demand'!$A:$A,0))-IF(AN802="",0,AN802)+AP803+AD802,IF(AM802&lt;&gt;"",INDEX('Aub Demand'!Q:Q,MATCH($O802,'Aub Demand'!$A:$A,0))-IF(AN802="",0,AN802)+AD802+AL802,INDEX('Aub Demand'!Q:Q,MATCH($O802,'Aub Demand'!$A:$A,0))-IF(AN802="",0,AN802)+AD802))),"")</f>
        <v>817</v>
      </c>
      <c r="Y802" s="53">
        <f t="shared" si="340"/>
        <v>48</v>
      </c>
      <c r="Z802" s="52">
        <f>IF(L802="","",INDEX('Aub Demand'!H:H,MATCH($O802,'Aub Demand'!$A:$A,0)))</f>
        <v>73</v>
      </c>
      <c r="AA802" s="52">
        <f t="shared" si="341"/>
        <v>94</v>
      </c>
      <c r="AB802" s="52">
        <f>IFERROR(INDEX('Aub Demand'!L:L,MATCH($O802,'Aub Demand'!$A:$A,0)),"")</f>
        <v>98</v>
      </c>
      <c r="AC802" s="52">
        <f>IFERROR(IF(O802="","",SUMIFS('CPL Mats'!F:F,'CPL Mats'!Q:Q,AR802,'CPL Mats'!S:S,AS802)),"")</f>
        <v>0</v>
      </c>
      <c r="AF802" s="25" t="str">
        <f>IF(SUMIFS('Supp Consol'!S:S,'Supp Consol'!Y:Y,"Releasable",'Supp Consol'!A:A,O802)=0,"",SUMIFS('Supp Consol'!S:S,'Supp Consol'!Y:Y,"Releasable",'Supp Consol'!A:A,O802))</f>
        <v/>
      </c>
      <c r="AG802" s="25" t="str">
        <f>IFERROR(INDEX('Hun Demand'!Q:Q,MATCH(O802,'Hun Demand'!A:A,0)),"")</f>
        <v/>
      </c>
      <c r="AH802" s="25" t="str">
        <f>IFERROR(INDEX('Hun Demand'!H:H,MATCH($O802,'Hun Demand'!$A:$A,0)),"")</f>
        <v/>
      </c>
      <c r="AI802" s="25" t="str">
        <f>IF(SUMIFS('Supp Consol'!AA:AA,'Supp Consol'!Z:Z,"Expires this month",'Supp Consol'!A:A,O802)=0,"",SUMIFS('Supp Consol'!AA:AA,'Supp Consol'!Z:Z,"Expires this month",'Supp Consol'!A:A,O802))</f>
        <v/>
      </c>
      <c r="AJ802" s="25" t="str">
        <f>IF(SUMIFS('Supp Consol'!AA:AA,'Supp Consol'!Z:Z,"Expired Previous Months",'Supp Consol'!A:A,O802)=0,"",SUMIFS('Supp Consol'!AA:AA,'Supp Consol'!Z:Z,"Expired Previous Months",'Supp Consol'!A:A,O802))</f>
        <v/>
      </c>
      <c r="AK802" s="25" t="str">
        <f>IFERROR(INDEX('Hun Release Current'!B:B,MATCH(O802,'Hun Release Current'!A:A,0)),"")</f>
        <v/>
      </c>
      <c r="AL802" s="25" t="str">
        <f>IF(SUMIF('Prev Aub'!A:A,O802,'Prev Aub'!B:B)=0,"",SUMIF('Prev Aub'!A:A,O802,'Prev Aub'!B:B))</f>
        <v/>
      </c>
      <c r="AN802" s="25" t="s">
        <v>3790</v>
      </c>
      <c r="AO802" s="25" t="s">
        <v>3790</v>
      </c>
      <c r="AP802" s="25">
        <f t="shared" si="342"/>
        <v>0</v>
      </c>
      <c r="AQ802" s="151" t="str">
        <f>IF(SUMIFS('Supp Consol'!S:S,'Supp Consol'!A:A,O802,'Supp Consol'!I:I,"PENDING")=0,"",SUMIFS('Supp Consol'!S:S,'Supp Consol'!A:A,O802,'Supp Consol'!I:I,"PENDING"))</f>
        <v/>
      </c>
      <c r="AR802" s="27" t="str">
        <f t="shared" si="343"/>
        <v>MR308</v>
      </c>
      <c r="AS802" s="27" t="str">
        <f t="shared" si="344"/>
        <v>62</v>
      </c>
      <c r="AT802" s="27" t="str">
        <f t="shared" si="345"/>
        <v/>
      </c>
      <c r="AU802" s="27" t="str">
        <f t="shared" si="346"/>
        <v/>
      </c>
      <c r="AV802" s="27" t="str">
        <f t="shared" si="347"/>
        <v/>
      </c>
      <c r="AW802" s="27" t="str">
        <f t="shared" si="348"/>
        <v/>
      </c>
      <c r="AX802" s="27" t="str">
        <f t="shared" si="349"/>
        <v/>
      </c>
      <c r="AY802" s="27" t="str">
        <f t="shared" si="350"/>
        <v/>
      </c>
      <c r="AZ802" s="27" t="str">
        <f t="shared" si="351"/>
        <v/>
      </c>
      <c r="BA802" s="27" t="str">
        <f t="shared" si="352"/>
        <v/>
      </c>
      <c r="BB802" s="27" t="str">
        <f t="shared" si="353"/>
        <v/>
      </c>
      <c r="BC802" s="27" t="str">
        <f t="shared" si="354"/>
        <v/>
      </c>
      <c r="BD802" s="27" t="str">
        <f t="shared" si="355"/>
        <v/>
      </c>
      <c r="BE802" s="27" t="str">
        <f t="shared" si="356"/>
        <v/>
      </c>
      <c r="BF802" s="27" t="str">
        <f t="shared" si="357"/>
        <v/>
      </c>
      <c r="BG802" s="27" t="str">
        <f t="shared" si="358"/>
        <v/>
      </c>
      <c r="BH802" s="27" t="str">
        <f t="shared" si="359"/>
        <v/>
      </c>
      <c r="BI802" s="27" t="str">
        <f t="shared" si="360"/>
        <v/>
      </c>
      <c r="BJ802" s="27" t="str">
        <f t="shared" si="361"/>
        <v/>
      </c>
      <c r="BK802" s="27" t="str">
        <f t="shared" si="362"/>
        <v/>
      </c>
      <c r="BL802" s="27" t="str">
        <f t="shared" si="363"/>
        <v/>
      </c>
      <c r="BM802" s="21" t="s">
        <v>5581</v>
      </c>
    </row>
    <row r="803" spans="1:65" ht="15">
      <c r="A803" s="25" t="str">
        <f>IFERROR(INDEX('Hun Demand'!W:W,MATCH(O803,'Hun Demand'!A:A,0)),"")</f>
        <v/>
      </c>
      <c r="B803" s="25" t="str">
        <f>IFERROR(INDEX('Hun Demand'!V:V,MATCH(O803,'Hun Demand'!A:A,0)),"")</f>
        <v/>
      </c>
      <c r="C803" s="25" t="str">
        <f>IFERROR(INDEX('Hun Demand'!U:U,MATCH(O803,'Hun Demand'!A:A,0)),"")</f>
        <v/>
      </c>
      <c r="D803" s="25" t="str">
        <f>IFERROR(INDEX('Hun Demand'!T:T,MATCH(O803,'Hun Demand'!A:A,0)),"")</f>
        <v/>
      </c>
      <c r="E803" s="25" t="str">
        <f>IFERROR(INDEX('Hun Demand'!S:S,MATCH(O803,'Hun Demand'!A:A,0)),"")</f>
        <v/>
      </c>
      <c r="F803" s="25" t="str">
        <f>IFERROR(INDEX('Hun Demand'!R:R,MATCH(O803,'Hun Demand'!A:A,0)),"")</f>
        <v/>
      </c>
      <c r="G803" s="25">
        <f>IFERROR(INDEX('Aub Demand'!W:W,MATCH(O803,'Aub Demand'!A:A,0)),"")</f>
        <v>0</v>
      </c>
      <c r="H803" s="25">
        <f>IFERROR(INDEX('Aub Demand'!V:V,MATCH(O803,'Aub Demand'!A:A,0)),"")</f>
        <v>0</v>
      </c>
      <c r="I803" s="25">
        <f>IFERROR(INDEX('Aub Demand'!U:U,MATCH(O803,'Aub Demand'!A:A,0)),"")</f>
        <v>18</v>
      </c>
      <c r="J803" s="25">
        <f>IFERROR(INDEX('Aub Demand'!T:T,MATCH(O803,'Aub Demand'!A:A,0)),"")</f>
        <v>24</v>
      </c>
      <c r="K803" s="25">
        <f>IFERROR(INDEX('Aub Demand'!S:S,MATCH(O803,'Aub Demand'!A:A,0)),"")</f>
        <v>0</v>
      </c>
      <c r="L803" s="25">
        <f>IFERROR(INDEX('Aub Demand'!R:R,MATCH(O803,'Aub Demand'!A:A,0)),"")</f>
        <v>0</v>
      </c>
      <c r="O803" s="27" t="s">
        <v>2361</v>
      </c>
      <c r="P803" s="27" t="str">
        <f>IFERROR(INDEX('Aub Demand'!B:B,MATCH($O803,'Aub Demand'!$A:$A,0)),"")</f>
        <v>SHALE GREEN MATRIX 6</v>
      </c>
      <c r="Q803" s="27" t="str">
        <f>IFERROR(INDEX('Aub Demand'!C:C,MATCH($O803,'Aub Demand'!$A:$A,0)),"")</f>
        <v>INTER</v>
      </c>
      <c r="R803" s="52">
        <f>IFERROR(IF(AR804=AR803,INDEX('Aub Demand'!K:K,MATCH($O803,'Aub Demand'!$A:$A,0))-IF(AN803="",0,AN803)+AP804,INDEX('Aub Demand'!K:K,MATCH($O803,'Aub Demand'!$A:$A,0))-IF(AN803="",0,AN803)),"")</f>
        <v>1389</v>
      </c>
      <c r="S803" s="53">
        <f t="shared" si="336"/>
        <v>425.2</v>
      </c>
      <c r="T803" s="52" t="str">
        <f t="shared" si="337"/>
        <v/>
      </c>
      <c r="U803" s="52">
        <f>IFERROR(IF(AR804=AR803,INDEX('Aub Demand'!Q:Q,MATCH($O803,'Aub Demand'!$A:$A,0))-IF(AN803="",0,AN803)+AP804,INDEX('Aub Demand'!Q:Q,MATCH($O803,'Aub Demand'!$A:$A,0))-IF(AN803="",0,AN803)),"")</f>
        <v>1389</v>
      </c>
      <c r="V803" s="53">
        <f t="shared" si="338"/>
        <v>425.2</v>
      </c>
      <c r="W803" s="52" t="str">
        <f t="shared" si="339"/>
        <v/>
      </c>
      <c r="X803" s="52">
        <f>IFERROR(IF(AND(AR804=AR803,AM803&lt;&gt;""),INDEX('Aub Demand'!Q:Q,MATCH($O803,'Aub Demand'!$A:$A,0))-IF(AN803="",0,AN803)+AP804+AD803+AL803,IF(AR804=AR803,INDEX('Aub Demand'!Q:Q,MATCH($O803,'Aub Demand'!$A:$A,0))-IF(AN803="",0,AN803)+AP804+AD803,IF(AM803&lt;&gt;"",INDEX('Aub Demand'!Q:Q,MATCH($O803,'Aub Demand'!$A:$A,0))-IF(AN803="",0,AN803)+AD803+AL803,INDEX('Aub Demand'!Q:Q,MATCH($O803,'Aub Demand'!$A:$A,0))-IF(AN803="",0,AN803)+AD803))),"")</f>
        <v>1389</v>
      </c>
      <c r="Y803" s="53">
        <f t="shared" si="340"/>
        <v>425.2</v>
      </c>
      <c r="Z803" s="52">
        <f>IF(L803="","",INDEX('Aub Demand'!H:H,MATCH($O803,'Aub Demand'!$A:$A,0)))</f>
        <v>14</v>
      </c>
      <c r="AA803" s="52">
        <f t="shared" si="341"/>
        <v>21</v>
      </c>
      <c r="AB803" s="52">
        <f>IFERROR(INDEX('Aub Demand'!L:L,MATCH($O803,'Aub Demand'!$A:$A,0)),"")</f>
        <v>8</v>
      </c>
      <c r="AC803" s="52">
        <f>IFERROR(IF(O803="","",SUMIFS('CPL Mats'!F:F,'CPL Mats'!Q:Q,AR803,'CPL Mats'!S:S,AS803)),"")</f>
        <v>0</v>
      </c>
      <c r="AF803" s="25" t="str">
        <f>IF(SUMIFS('Supp Consol'!S:S,'Supp Consol'!Y:Y,"Releasable",'Supp Consol'!A:A,O803)=0,"",SUMIFS('Supp Consol'!S:S,'Supp Consol'!Y:Y,"Releasable",'Supp Consol'!A:A,O803))</f>
        <v/>
      </c>
      <c r="AG803" s="25" t="str">
        <f>IFERROR(INDEX('Hun Demand'!Q:Q,MATCH(O803,'Hun Demand'!A:A,0)),"")</f>
        <v/>
      </c>
      <c r="AH803" s="25" t="str">
        <f>IFERROR(INDEX('Hun Demand'!H:H,MATCH($O803,'Hun Demand'!$A:$A,0)),"")</f>
        <v/>
      </c>
      <c r="AI803" s="25" t="str">
        <f>IF(SUMIFS('Supp Consol'!AA:AA,'Supp Consol'!Z:Z,"Expires this month",'Supp Consol'!A:A,O803)=0,"",SUMIFS('Supp Consol'!AA:AA,'Supp Consol'!Z:Z,"Expires this month",'Supp Consol'!A:A,O803))</f>
        <v/>
      </c>
      <c r="AJ803" s="25" t="str">
        <f>IF(SUMIFS('Supp Consol'!AA:AA,'Supp Consol'!Z:Z,"Expired Previous Months",'Supp Consol'!A:A,O803)=0,"",SUMIFS('Supp Consol'!AA:AA,'Supp Consol'!Z:Z,"Expired Previous Months",'Supp Consol'!A:A,O803))</f>
        <v/>
      </c>
      <c r="AK803" s="25" t="str">
        <f>IFERROR(INDEX('Hun Release Current'!B:B,MATCH(O803,'Hun Release Current'!A:A,0)),"")</f>
        <v/>
      </c>
      <c r="AL803" s="25" t="str">
        <f>IF(SUMIF('Prev Aub'!A:A,O803,'Prev Aub'!B:B)=0,"",SUMIF('Prev Aub'!A:A,O803,'Prev Aub'!B:B))</f>
        <v/>
      </c>
      <c r="AN803" s="25" t="s">
        <v>3790</v>
      </c>
      <c r="AO803" s="25" t="s">
        <v>3790</v>
      </c>
      <c r="AP803" s="25">
        <f t="shared" si="342"/>
        <v>0</v>
      </c>
      <c r="AQ803" s="151" t="str">
        <f>IF(SUMIFS('Supp Consol'!S:S,'Supp Consol'!A:A,O803,'Supp Consol'!I:I,"PENDING")=0,"",SUMIFS('Supp Consol'!S:S,'Supp Consol'!A:A,O803,'Supp Consol'!I:I,"PENDING"))</f>
        <v/>
      </c>
      <c r="AR803" s="27" t="str">
        <f t="shared" si="343"/>
        <v>MR504</v>
      </c>
      <c r="AS803" s="27" t="str">
        <f t="shared" si="344"/>
        <v>62</v>
      </c>
      <c r="AT803" s="27" t="str">
        <f t="shared" si="345"/>
        <v/>
      </c>
      <c r="AU803" s="27" t="str">
        <f t="shared" si="346"/>
        <v/>
      </c>
      <c r="AV803" s="27" t="str">
        <f t="shared" si="347"/>
        <v/>
      </c>
      <c r="AW803" s="27" t="str">
        <f t="shared" si="348"/>
        <v/>
      </c>
      <c r="AX803" s="27" t="str">
        <f t="shared" si="349"/>
        <v/>
      </c>
      <c r="AY803" s="27" t="str">
        <f t="shared" si="350"/>
        <v/>
      </c>
      <c r="AZ803" s="27" t="str">
        <f t="shared" si="351"/>
        <v/>
      </c>
      <c r="BA803" s="27" t="str">
        <f t="shared" si="352"/>
        <v/>
      </c>
      <c r="BB803" s="27" t="str">
        <f t="shared" si="353"/>
        <v/>
      </c>
      <c r="BC803" s="27" t="str">
        <f t="shared" si="354"/>
        <v/>
      </c>
      <c r="BD803" s="27" t="str">
        <f t="shared" si="355"/>
        <v/>
      </c>
      <c r="BE803" s="27" t="str">
        <f t="shared" si="356"/>
        <v/>
      </c>
      <c r="BF803" s="27" t="str">
        <f t="shared" si="357"/>
        <v/>
      </c>
      <c r="BG803" s="27" t="str">
        <f t="shared" si="358"/>
        <v/>
      </c>
      <c r="BH803" s="27" t="str">
        <f t="shared" si="359"/>
        <v/>
      </c>
      <c r="BI803" s="27" t="str">
        <f t="shared" si="360"/>
        <v/>
      </c>
      <c r="BJ803" s="27" t="str">
        <f t="shared" si="361"/>
        <v/>
      </c>
      <c r="BK803" s="27" t="str">
        <f t="shared" si="362"/>
        <v/>
      </c>
      <c r="BL803" s="27" t="str">
        <f t="shared" si="363"/>
        <v/>
      </c>
      <c r="BM803" s="21" t="s">
        <v>3790</v>
      </c>
    </row>
    <row r="804" spans="1:65" ht="15">
      <c r="A804" s="25" t="str">
        <f>IFERROR(INDEX('Hun Demand'!W:W,MATCH(O804,'Hun Demand'!A:A,0)),"")</f>
        <v/>
      </c>
      <c r="B804" s="25" t="str">
        <f>IFERROR(INDEX('Hun Demand'!V:V,MATCH(O804,'Hun Demand'!A:A,0)),"")</f>
        <v/>
      </c>
      <c r="C804" s="25" t="str">
        <f>IFERROR(INDEX('Hun Demand'!U:U,MATCH(O804,'Hun Demand'!A:A,0)),"")</f>
        <v/>
      </c>
      <c r="D804" s="25" t="str">
        <f>IFERROR(INDEX('Hun Demand'!T:T,MATCH(O804,'Hun Demand'!A:A,0)),"")</f>
        <v/>
      </c>
      <c r="E804" s="25" t="str">
        <f>IFERROR(INDEX('Hun Demand'!S:S,MATCH(O804,'Hun Demand'!A:A,0)),"")</f>
        <v/>
      </c>
      <c r="F804" s="25" t="str">
        <f>IFERROR(INDEX('Hun Demand'!R:R,MATCH(O804,'Hun Demand'!A:A,0)),"")</f>
        <v/>
      </c>
      <c r="G804" s="25">
        <f>IFERROR(INDEX('Aub Demand'!W:W,MATCH(O804,'Aub Demand'!A:A,0)),"")</f>
        <v>0</v>
      </c>
      <c r="H804" s="25">
        <f>IFERROR(INDEX('Aub Demand'!V:V,MATCH(O804,'Aub Demand'!A:A,0)),"")</f>
        <v>0</v>
      </c>
      <c r="I804" s="25">
        <f>IFERROR(INDEX('Aub Demand'!U:U,MATCH(O804,'Aub Demand'!A:A,0)),"")</f>
        <v>0</v>
      </c>
      <c r="J804" s="25">
        <f>IFERROR(INDEX('Aub Demand'!T:T,MATCH(O804,'Aub Demand'!A:A,0)),"")</f>
        <v>0</v>
      </c>
      <c r="K804" s="25">
        <f>IFERROR(INDEX('Aub Demand'!S:S,MATCH(O804,'Aub Demand'!A:A,0)),"")</f>
        <v>0</v>
      </c>
      <c r="L804" s="25">
        <f>IFERROR(INDEX('Aub Demand'!R:R,MATCH(O804,'Aub Demand'!A:A,0)),"")</f>
        <v>0</v>
      </c>
      <c r="O804" s="27" t="s">
        <v>2364</v>
      </c>
      <c r="P804" s="27" t="str">
        <f>IFERROR(INDEX('Aub Demand'!B:B,MATCH($O804,'Aub Demand'!$A:$A,0)),"")</f>
        <v>WINTERGREEN MATRIX 6</v>
      </c>
      <c r="Q804" s="27" t="str">
        <f>IFERROR(INDEX('Aub Demand'!C:C,MATCH($O804,'Aub Demand'!$A:$A,0)),"")</f>
        <v>INTER</v>
      </c>
      <c r="R804" s="52">
        <f>IFERROR(IF(AR805=AR804,INDEX('Aub Demand'!K:K,MATCH($O804,'Aub Demand'!$A:$A,0))-IF(AN804="",0,AN804)+AP805,INDEX('Aub Demand'!K:K,MATCH($O804,'Aub Demand'!$A:$A,0))-IF(AN804="",0,AN804)),"")</f>
        <v>320</v>
      </c>
      <c r="S804" s="53" t="str">
        <f t="shared" si="336"/>
        <v>n/a</v>
      </c>
      <c r="T804" s="52" t="str">
        <f t="shared" si="337"/>
        <v/>
      </c>
      <c r="U804" s="52">
        <f>IFERROR(IF(AR805=AR804,INDEX('Aub Demand'!Q:Q,MATCH($O804,'Aub Demand'!$A:$A,0))-IF(AN804="",0,AN804)+AP805,INDEX('Aub Demand'!Q:Q,MATCH($O804,'Aub Demand'!$A:$A,0))-IF(AN804="",0,AN804)),"")</f>
        <v>320</v>
      </c>
      <c r="V804" s="53" t="str">
        <f t="shared" si="338"/>
        <v>n/a</v>
      </c>
      <c r="W804" s="52" t="str">
        <f t="shared" si="339"/>
        <v/>
      </c>
      <c r="X804" s="52">
        <f>IFERROR(IF(AND(AR805=AR804,AM804&lt;&gt;""),INDEX('Aub Demand'!Q:Q,MATCH($O804,'Aub Demand'!$A:$A,0))-IF(AN804="",0,AN804)+AP805+AD804+AL804,IF(AR805=AR804,INDEX('Aub Demand'!Q:Q,MATCH($O804,'Aub Demand'!$A:$A,0))-IF(AN804="",0,AN804)+AP805+AD804,IF(AM804&lt;&gt;"",INDEX('Aub Demand'!Q:Q,MATCH($O804,'Aub Demand'!$A:$A,0))-IF(AN804="",0,AN804)+AD804+AL804,INDEX('Aub Demand'!Q:Q,MATCH($O804,'Aub Demand'!$A:$A,0))-IF(AN804="",0,AN804)+AD804))),"")</f>
        <v>320</v>
      </c>
      <c r="Y804" s="53" t="str">
        <f t="shared" si="340"/>
        <v>n/a</v>
      </c>
      <c r="Z804" s="52">
        <f>IF(L804="","",INDEX('Aub Demand'!H:H,MATCH($O804,'Aub Demand'!$A:$A,0)))</f>
        <v>0</v>
      </c>
      <c r="AA804" s="52" t="str">
        <f t="shared" si="341"/>
        <v>-spike-</v>
      </c>
      <c r="AB804" s="52">
        <f>IFERROR(INDEX('Aub Demand'!L:L,MATCH($O804,'Aub Demand'!$A:$A,0)),"")</f>
        <v>43</v>
      </c>
      <c r="AC804" s="52">
        <f>IFERROR(IF(O804="","",SUMIFS('CPL Mats'!F:F,'CPL Mats'!Q:Q,AR804,'CPL Mats'!S:S,AS804)),"")</f>
        <v>0</v>
      </c>
      <c r="AF804" s="25" t="str">
        <f>IF(SUMIFS('Supp Consol'!S:S,'Supp Consol'!Y:Y,"Releasable",'Supp Consol'!A:A,O804)=0,"",SUMIFS('Supp Consol'!S:S,'Supp Consol'!Y:Y,"Releasable",'Supp Consol'!A:A,O804))</f>
        <v/>
      </c>
      <c r="AG804" s="25" t="str">
        <f>IFERROR(INDEX('Hun Demand'!Q:Q,MATCH(O804,'Hun Demand'!A:A,0)),"")</f>
        <v/>
      </c>
      <c r="AH804" s="25" t="str">
        <f>IFERROR(INDEX('Hun Demand'!H:H,MATCH($O804,'Hun Demand'!$A:$A,0)),"")</f>
        <v/>
      </c>
      <c r="AI804" s="25" t="str">
        <f>IF(SUMIFS('Supp Consol'!AA:AA,'Supp Consol'!Z:Z,"Expires this month",'Supp Consol'!A:A,O804)=0,"",SUMIFS('Supp Consol'!AA:AA,'Supp Consol'!Z:Z,"Expires this month",'Supp Consol'!A:A,O804))</f>
        <v/>
      </c>
      <c r="AJ804" s="25" t="str">
        <f>IF(SUMIFS('Supp Consol'!AA:AA,'Supp Consol'!Z:Z,"Expired Previous Months",'Supp Consol'!A:A,O804)=0,"",SUMIFS('Supp Consol'!AA:AA,'Supp Consol'!Z:Z,"Expired Previous Months",'Supp Consol'!A:A,O804))</f>
        <v/>
      </c>
      <c r="AK804" s="25" t="str">
        <f>IFERROR(INDEX('Hun Release Current'!B:B,MATCH(O804,'Hun Release Current'!A:A,0)),"")</f>
        <v/>
      </c>
      <c r="AL804" s="25" t="str">
        <f>IF(SUMIF('Prev Aub'!A:A,O804,'Prev Aub'!B:B)=0,"",SUMIF('Prev Aub'!A:A,O804,'Prev Aub'!B:B))</f>
        <v/>
      </c>
      <c r="AN804" s="25" t="s">
        <v>3790</v>
      </c>
      <c r="AO804" s="25" t="s">
        <v>3790</v>
      </c>
      <c r="AP804" s="25">
        <f t="shared" si="342"/>
        <v>0</v>
      </c>
      <c r="AQ804" s="151" t="str">
        <f>IF(SUMIFS('Supp Consol'!S:S,'Supp Consol'!A:A,O804,'Supp Consol'!I:I,"PENDING")=0,"",SUMIFS('Supp Consol'!S:S,'Supp Consol'!A:A,O804,'Supp Consol'!I:I,"PENDING"))</f>
        <v/>
      </c>
      <c r="AR804" s="27" t="str">
        <f t="shared" si="343"/>
        <v>MR506</v>
      </c>
      <c r="AS804" s="27" t="str">
        <f t="shared" si="344"/>
        <v>62</v>
      </c>
      <c r="AT804" s="27" t="str">
        <f t="shared" si="345"/>
        <v/>
      </c>
      <c r="AU804" s="27" t="str">
        <f t="shared" si="346"/>
        <v/>
      </c>
      <c r="AV804" s="27" t="str">
        <f t="shared" si="347"/>
        <v/>
      </c>
      <c r="AW804" s="27" t="str">
        <f t="shared" si="348"/>
        <v/>
      </c>
      <c r="AX804" s="27" t="str">
        <f t="shared" si="349"/>
        <v/>
      </c>
      <c r="AY804" s="27" t="str">
        <f t="shared" si="350"/>
        <v/>
      </c>
      <c r="AZ804" s="27" t="str">
        <f t="shared" si="351"/>
        <v/>
      </c>
      <c r="BA804" s="27" t="str">
        <f t="shared" si="352"/>
        <v/>
      </c>
      <c r="BB804" s="27" t="str">
        <f t="shared" si="353"/>
        <v/>
      </c>
      <c r="BC804" s="27" t="str">
        <f t="shared" si="354"/>
        <v/>
      </c>
      <c r="BD804" s="27" t="str">
        <f t="shared" si="355"/>
        <v/>
      </c>
      <c r="BE804" s="27" t="str">
        <f t="shared" si="356"/>
        <v/>
      </c>
      <c r="BF804" s="27" t="str">
        <f t="shared" si="357"/>
        <v/>
      </c>
      <c r="BG804" s="27" t="str">
        <f t="shared" si="358"/>
        <v/>
      </c>
      <c r="BH804" s="27" t="str">
        <f t="shared" si="359"/>
        <v/>
      </c>
      <c r="BI804" s="27" t="str">
        <f t="shared" si="360"/>
        <v/>
      </c>
      <c r="BJ804" s="27" t="str">
        <f t="shared" si="361"/>
        <v/>
      </c>
      <c r="BK804" s="27" t="str">
        <f t="shared" si="362"/>
        <v/>
      </c>
      <c r="BL804" s="27" t="str">
        <f t="shared" si="363"/>
        <v/>
      </c>
      <c r="BM804" s="21" t="s">
        <v>3790</v>
      </c>
    </row>
    <row r="805" spans="1:65" ht="15">
      <c r="A805" s="25" t="str">
        <f>IFERROR(INDEX('Hun Demand'!W:W,MATCH(O805,'Hun Demand'!A:A,0)),"")</f>
        <v/>
      </c>
      <c r="B805" s="25" t="str">
        <f>IFERROR(INDEX('Hun Demand'!V:V,MATCH(O805,'Hun Demand'!A:A,0)),"")</f>
        <v/>
      </c>
      <c r="C805" s="25" t="str">
        <f>IFERROR(INDEX('Hun Demand'!U:U,MATCH(O805,'Hun Demand'!A:A,0)),"")</f>
        <v/>
      </c>
      <c r="D805" s="25" t="str">
        <f>IFERROR(INDEX('Hun Demand'!T:T,MATCH(O805,'Hun Demand'!A:A,0)),"")</f>
        <v/>
      </c>
      <c r="E805" s="25" t="str">
        <f>IFERROR(INDEX('Hun Demand'!S:S,MATCH(O805,'Hun Demand'!A:A,0)),"")</f>
        <v/>
      </c>
      <c r="F805" s="25" t="str">
        <f>IFERROR(INDEX('Hun Demand'!R:R,MATCH(O805,'Hun Demand'!A:A,0)),"")</f>
        <v/>
      </c>
      <c r="G805" s="25">
        <f>IFERROR(INDEX('Aub Demand'!W:W,MATCH(O805,'Aub Demand'!A:A,0)),"")</f>
        <v>0</v>
      </c>
      <c r="H805" s="25">
        <f>IFERROR(INDEX('Aub Demand'!V:V,MATCH(O805,'Aub Demand'!A:A,0)),"")</f>
        <v>207</v>
      </c>
      <c r="I805" s="25">
        <f>IFERROR(INDEX('Aub Demand'!U:U,MATCH(O805,'Aub Demand'!A:A,0)),"")</f>
        <v>0</v>
      </c>
      <c r="J805" s="25">
        <f>IFERROR(INDEX('Aub Demand'!T:T,MATCH(O805,'Aub Demand'!A:A,0)),"")</f>
        <v>0</v>
      </c>
      <c r="K805" s="25">
        <f>IFERROR(INDEX('Aub Demand'!S:S,MATCH(O805,'Aub Demand'!A:A,0)),"")</f>
        <v>64</v>
      </c>
      <c r="L805" s="25">
        <f>IFERROR(INDEX('Aub Demand'!R:R,MATCH(O805,'Aub Demand'!A:A,0)),"")</f>
        <v>0</v>
      </c>
      <c r="O805" s="27" t="s">
        <v>2367</v>
      </c>
      <c r="P805" s="27" t="str">
        <f>IFERROR(INDEX('Aub Demand'!B:B,MATCH($O805,'Aub Demand'!$A:$A,0)),"")</f>
        <v>GREEN MATRIX II 48"</v>
      </c>
      <c r="Q805" s="27" t="str">
        <f>IFERROR(INDEX('Aub Demand'!C:C,MATCH($O805,'Aub Demand'!$A:$A,0)),"")</f>
        <v>INTER</v>
      </c>
      <c r="R805" s="52">
        <f>IFERROR(IF(AR806=AR805,INDEX('Aub Demand'!K:K,MATCH($O805,'Aub Demand'!$A:$A,0))-IF(AN805="",0,AN805)+AP806,INDEX('Aub Demand'!K:K,MATCH($O805,'Aub Demand'!$A:$A,0))-IF(AN805="",0,AN805)),"")</f>
        <v>0</v>
      </c>
      <c r="S805" s="53">
        <f t="shared" si="336"/>
        <v>0</v>
      </c>
      <c r="T805" s="52" t="str">
        <f t="shared" si="337"/>
        <v/>
      </c>
      <c r="U805" s="52">
        <f>IFERROR(IF(AR806=AR805,INDEX('Aub Demand'!Q:Q,MATCH($O805,'Aub Demand'!$A:$A,0))-IF(AN805="",0,AN805)+AP806,INDEX('Aub Demand'!Q:Q,MATCH($O805,'Aub Demand'!$A:$A,0))-IF(AN805="",0,AN805)),"")</f>
        <v>-53</v>
      </c>
      <c r="V805" s="53">
        <f t="shared" si="338"/>
        <v>-10.8</v>
      </c>
      <c r="W805" s="52" t="str">
        <f t="shared" si="339"/>
        <v/>
      </c>
      <c r="X805" s="52">
        <f>IFERROR(IF(AND(AR806=AR805,AM805&lt;&gt;""),INDEX('Aub Demand'!Q:Q,MATCH($O805,'Aub Demand'!$A:$A,0))-IF(AN805="",0,AN805)+AP806+AD805+AL805,IF(AR806=AR805,INDEX('Aub Demand'!Q:Q,MATCH($O805,'Aub Demand'!$A:$A,0))-IF(AN805="",0,AN805)+AP806+AD805,IF(AM805&lt;&gt;"",INDEX('Aub Demand'!Q:Q,MATCH($O805,'Aub Demand'!$A:$A,0))-IF(AN805="",0,AN805)+AD805+AL805,INDEX('Aub Demand'!Q:Q,MATCH($O805,'Aub Demand'!$A:$A,0))-IF(AN805="",0,AN805)+AD805))),"")</f>
        <v>-53</v>
      </c>
      <c r="Y805" s="53">
        <f t="shared" si="340"/>
        <v>-10.8</v>
      </c>
      <c r="Z805" s="52">
        <f>IF(L805="","",INDEX('Aub Demand'!H:H,MATCH($O805,'Aub Demand'!$A:$A,0)))</f>
        <v>21</v>
      </c>
      <c r="AA805" s="52" t="str">
        <f t="shared" si="341"/>
        <v>-spike-</v>
      </c>
      <c r="AB805" s="52">
        <f>IFERROR(INDEX('Aub Demand'!L:L,MATCH($O805,'Aub Demand'!$A:$A,0)),"")</f>
        <v>77</v>
      </c>
      <c r="AC805" s="52">
        <f>IFERROR(IF(O805="","",SUMIFS('CPL Mats'!F:F,'CPL Mats'!Q:Q,AR805,'CPL Mats'!S:S,AS805)),"")</f>
        <v>1050</v>
      </c>
      <c r="AF805" s="25" t="str">
        <f>IF(SUMIFS('Supp Consol'!S:S,'Supp Consol'!Y:Y,"Releasable",'Supp Consol'!A:A,O805)=0,"",SUMIFS('Supp Consol'!S:S,'Supp Consol'!Y:Y,"Releasable",'Supp Consol'!A:A,O805))</f>
        <v/>
      </c>
      <c r="AG805" s="25" t="str">
        <f>IFERROR(INDEX('Hun Demand'!Q:Q,MATCH(O805,'Hun Demand'!A:A,0)),"")</f>
        <v/>
      </c>
      <c r="AH805" s="25" t="str">
        <f>IFERROR(INDEX('Hun Demand'!H:H,MATCH($O805,'Hun Demand'!$A:$A,0)),"")</f>
        <v/>
      </c>
      <c r="AI805" s="25" t="str">
        <f>IF(SUMIFS('Supp Consol'!AA:AA,'Supp Consol'!Z:Z,"Expires this month",'Supp Consol'!A:A,O805)=0,"",SUMIFS('Supp Consol'!AA:AA,'Supp Consol'!Z:Z,"Expires this month",'Supp Consol'!A:A,O805))</f>
        <v/>
      </c>
      <c r="AJ805" s="25" t="str">
        <f>IF(SUMIFS('Supp Consol'!AA:AA,'Supp Consol'!Z:Z,"Expired Previous Months",'Supp Consol'!A:A,O805)=0,"",SUMIFS('Supp Consol'!AA:AA,'Supp Consol'!Z:Z,"Expired Previous Months",'Supp Consol'!A:A,O805))</f>
        <v/>
      </c>
      <c r="AK805" s="25" t="str">
        <f>IFERROR(INDEX('Hun Release Current'!B:B,MATCH(O805,'Hun Release Current'!A:A,0)),"")</f>
        <v/>
      </c>
      <c r="AL805" s="25" t="str">
        <f>IF(SUMIF('Prev Aub'!A:A,O805,'Prev Aub'!B:B)=0,"",SUMIF('Prev Aub'!A:A,O805,'Prev Aub'!B:B))</f>
        <v/>
      </c>
      <c r="AN805" s="25" t="s">
        <v>3790</v>
      </c>
      <c r="AO805" s="25" t="s">
        <v>3790</v>
      </c>
      <c r="AP805" s="25">
        <f t="shared" si="342"/>
        <v>0</v>
      </c>
      <c r="AQ805" s="151" t="str">
        <f>IF(SUMIFS('Supp Consol'!S:S,'Supp Consol'!A:A,O805,'Supp Consol'!I:I,"PENDING")=0,"",SUMIFS('Supp Consol'!S:S,'Supp Consol'!A:A,O805,'Supp Consol'!I:I,"PENDING"))</f>
        <v/>
      </c>
      <c r="AR805" s="27" t="str">
        <f t="shared" si="343"/>
        <v>MR507</v>
      </c>
      <c r="AS805" s="27" t="str">
        <f t="shared" si="344"/>
        <v>50</v>
      </c>
      <c r="AT805" s="27" t="str">
        <f t="shared" si="345"/>
        <v>MR507</v>
      </c>
      <c r="AU805" s="27" t="str">
        <f t="shared" si="346"/>
        <v>MR507</v>
      </c>
      <c r="AV805" s="27" t="str">
        <f t="shared" si="347"/>
        <v>MR507</v>
      </c>
      <c r="AW805" s="27" t="str">
        <f t="shared" si="348"/>
        <v/>
      </c>
      <c r="AX805" s="27" t="str">
        <f t="shared" si="349"/>
        <v/>
      </c>
      <c r="AY805" s="27" t="str">
        <f t="shared" si="350"/>
        <v/>
      </c>
      <c r="AZ805" s="27" t="str">
        <f t="shared" si="351"/>
        <v/>
      </c>
      <c r="BA805" s="27" t="str">
        <f t="shared" si="352"/>
        <v/>
      </c>
      <c r="BB805" s="27" t="str">
        <f t="shared" si="353"/>
        <v>Gross</v>
      </c>
      <c r="BC805" s="27" t="str">
        <f t="shared" si="354"/>
        <v>Net</v>
      </c>
      <c r="BD805" s="27" t="str">
        <f t="shared" si="355"/>
        <v>Net</v>
      </c>
      <c r="BE805" s="27" t="str">
        <f t="shared" si="356"/>
        <v/>
      </c>
      <c r="BF805" s="27" t="str">
        <f t="shared" si="357"/>
        <v/>
      </c>
      <c r="BG805" s="27" t="str">
        <f t="shared" si="358"/>
        <v/>
      </c>
      <c r="BH805" s="27" t="str">
        <f t="shared" si="359"/>
        <v/>
      </c>
      <c r="BI805" s="27" t="str">
        <f t="shared" si="360"/>
        <v/>
      </c>
      <c r="BJ805" s="27" t="str">
        <f t="shared" si="361"/>
        <v/>
      </c>
      <c r="BK805" s="27" t="str">
        <f t="shared" si="362"/>
        <v/>
      </c>
      <c r="BL805" s="27" t="str">
        <f t="shared" si="363"/>
        <v/>
      </c>
      <c r="BM805" s="21" t="s">
        <v>5581</v>
      </c>
    </row>
    <row r="806" spans="1:65" ht="15">
      <c r="A806" s="25" t="str">
        <f>IFERROR(INDEX('Hun Demand'!W:W,MATCH(O806,'Hun Demand'!A:A,0)),"")</f>
        <v/>
      </c>
      <c r="B806" s="25" t="str">
        <f>IFERROR(INDEX('Hun Demand'!V:V,MATCH(O806,'Hun Demand'!A:A,0)),"")</f>
        <v/>
      </c>
      <c r="C806" s="25" t="str">
        <f>IFERROR(INDEX('Hun Demand'!U:U,MATCH(O806,'Hun Demand'!A:A,0)),"")</f>
        <v/>
      </c>
      <c r="D806" s="25" t="str">
        <f>IFERROR(INDEX('Hun Demand'!T:T,MATCH(O806,'Hun Demand'!A:A,0)),"")</f>
        <v/>
      </c>
      <c r="E806" s="25" t="str">
        <f>IFERROR(INDEX('Hun Demand'!S:S,MATCH(O806,'Hun Demand'!A:A,0)),"")</f>
        <v/>
      </c>
      <c r="F806" s="25" t="str">
        <f>IFERROR(INDEX('Hun Demand'!R:R,MATCH(O806,'Hun Demand'!A:A,0)),"")</f>
        <v/>
      </c>
      <c r="G806" s="25">
        <f>IFERROR(INDEX('Aub Demand'!W:W,MATCH(O806,'Aub Demand'!A:A,0)),"")</f>
        <v>39</v>
      </c>
      <c r="H806" s="25">
        <f>IFERROR(INDEX('Aub Demand'!V:V,MATCH(O806,'Aub Demand'!A:A,0)),"")</f>
        <v>45</v>
      </c>
      <c r="I806" s="25">
        <f>IFERROR(INDEX('Aub Demand'!U:U,MATCH(O806,'Aub Demand'!A:A,0)),"")</f>
        <v>0</v>
      </c>
      <c r="J806" s="25">
        <f>IFERROR(INDEX('Aub Demand'!T:T,MATCH(O806,'Aub Demand'!A:A,0)),"")</f>
        <v>37</v>
      </c>
      <c r="K806" s="25">
        <f>IFERROR(INDEX('Aub Demand'!S:S,MATCH(O806,'Aub Demand'!A:A,0)),"")</f>
        <v>124</v>
      </c>
      <c r="L806" s="25">
        <f>IFERROR(INDEX('Aub Demand'!R:R,MATCH(O806,'Aub Demand'!A:A,0)),"")</f>
        <v>0</v>
      </c>
      <c r="O806" s="27" t="s">
        <v>2369</v>
      </c>
      <c r="P806" s="27" t="str">
        <f>IFERROR(INDEX('Aub Demand'!B:B,MATCH($O806,'Aub Demand'!$A:$A,0)),"")</f>
        <v>GREEN MATRIX II 60"</v>
      </c>
      <c r="Q806" s="27" t="str">
        <f>IFERROR(INDEX('Aub Demand'!C:C,MATCH($O806,'Aub Demand'!$A:$A,0)),"")</f>
        <v>INTER</v>
      </c>
      <c r="R806" s="52">
        <f>IFERROR(IF(AR807=AR806,INDEX('Aub Demand'!K:K,MATCH($O806,'Aub Demand'!$A:$A,0))-IF(AN806="",0,AN806)+AP807,INDEX('Aub Demand'!K:K,MATCH($O806,'Aub Demand'!$A:$A,0))-IF(AN806="",0,AN806)),"")</f>
        <v>776</v>
      </c>
      <c r="S806" s="53">
        <f t="shared" si="336"/>
        <v>61.6</v>
      </c>
      <c r="T806" s="52" t="str">
        <f t="shared" si="337"/>
        <v/>
      </c>
      <c r="U806" s="52">
        <f>IFERROR(IF(AR807=AR806,INDEX('Aub Demand'!Q:Q,MATCH($O806,'Aub Demand'!$A:$A,0))-IF(AN806="",0,AN806)+AP807,INDEX('Aub Demand'!Q:Q,MATCH($O806,'Aub Demand'!$A:$A,0))-IF(AN806="",0,AN806)),"")</f>
        <v>749</v>
      </c>
      <c r="V806" s="53">
        <f t="shared" si="338"/>
        <v>59.4</v>
      </c>
      <c r="W806" s="52" t="str">
        <f t="shared" si="339"/>
        <v/>
      </c>
      <c r="X806" s="52">
        <f>IFERROR(IF(AND(AR807=AR806,AM806&lt;&gt;""),INDEX('Aub Demand'!Q:Q,MATCH($O806,'Aub Demand'!$A:$A,0))-IF(AN806="",0,AN806)+AP807+AD806+AL806,IF(AR807=AR806,INDEX('Aub Demand'!Q:Q,MATCH($O806,'Aub Demand'!$A:$A,0))-IF(AN806="",0,AN806)+AP807+AD806,IF(AM806&lt;&gt;"",INDEX('Aub Demand'!Q:Q,MATCH($O806,'Aub Demand'!$A:$A,0))-IF(AN806="",0,AN806)+AD806+AL806,INDEX('Aub Demand'!Q:Q,MATCH($O806,'Aub Demand'!$A:$A,0))-IF(AN806="",0,AN806)+AD806))),"")</f>
        <v>749</v>
      </c>
      <c r="Y806" s="53">
        <f t="shared" si="340"/>
        <v>59.4</v>
      </c>
      <c r="Z806" s="52">
        <f>IF(L806="","",INDEX('Aub Demand'!H:H,MATCH($O806,'Aub Demand'!$A:$A,0)))</f>
        <v>54</v>
      </c>
      <c r="AA806" s="52">
        <f t="shared" si="341"/>
        <v>80.5</v>
      </c>
      <c r="AB806" s="52">
        <f>IFERROR(INDEX('Aub Demand'!L:L,MATCH($O806,'Aub Demand'!$A:$A,0)),"")</f>
        <v>0</v>
      </c>
      <c r="AC806" s="52">
        <f>IFERROR(IF(O806="","",SUMIFS('CPL Mats'!F:F,'CPL Mats'!Q:Q,AR806,'CPL Mats'!S:S,AS806)),"")</f>
        <v>0</v>
      </c>
      <c r="AF806" s="25" t="str">
        <f>IF(SUMIFS('Supp Consol'!S:S,'Supp Consol'!Y:Y,"Releasable",'Supp Consol'!A:A,O806)=0,"",SUMIFS('Supp Consol'!S:S,'Supp Consol'!Y:Y,"Releasable",'Supp Consol'!A:A,O806))</f>
        <v/>
      </c>
      <c r="AG806" s="25" t="str">
        <f>IFERROR(INDEX('Hun Demand'!Q:Q,MATCH(O806,'Hun Demand'!A:A,0)),"")</f>
        <v/>
      </c>
      <c r="AH806" s="25" t="str">
        <f>IFERROR(INDEX('Hun Demand'!H:H,MATCH($O806,'Hun Demand'!$A:$A,0)),"")</f>
        <v/>
      </c>
      <c r="AI806" s="25" t="str">
        <f>IF(SUMIFS('Supp Consol'!AA:AA,'Supp Consol'!Z:Z,"Expires this month",'Supp Consol'!A:A,O806)=0,"",SUMIFS('Supp Consol'!AA:AA,'Supp Consol'!Z:Z,"Expires this month",'Supp Consol'!A:A,O806))</f>
        <v/>
      </c>
      <c r="AJ806" s="25" t="str">
        <f>IF(SUMIFS('Supp Consol'!AA:AA,'Supp Consol'!Z:Z,"Expired Previous Months",'Supp Consol'!A:A,O806)=0,"",SUMIFS('Supp Consol'!AA:AA,'Supp Consol'!Z:Z,"Expired Previous Months",'Supp Consol'!A:A,O806))</f>
        <v/>
      </c>
      <c r="AK806" s="25" t="str">
        <f>IFERROR(INDEX('Hun Release Current'!B:B,MATCH(O806,'Hun Release Current'!A:A,0)),"")</f>
        <v/>
      </c>
      <c r="AL806" s="25" t="str">
        <f>IF(SUMIF('Prev Aub'!A:A,O806,'Prev Aub'!B:B)=0,"",SUMIF('Prev Aub'!A:A,O806,'Prev Aub'!B:B))</f>
        <v/>
      </c>
      <c r="AN806" s="25" t="s">
        <v>3790</v>
      </c>
      <c r="AO806" s="25" t="s">
        <v>3790</v>
      </c>
      <c r="AP806" s="25">
        <f t="shared" si="342"/>
        <v>0</v>
      </c>
      <c r="AQ806" s="151" t="str">
        <f>IF(SUMIFS('Supp Consol'!S:S,'Supp Consol'!A:A,O806,'Supp Consol'!I:I,"PENDING")=0,"",SUMIFS('Supp Consol'!S:S,'Supp Consol'!A:A,O806,'Supp Consol'!I:I,"PENDING"))</f>
        <v/>
      </c>
      <c r="AR806" s="27" t="str">
        <f t="shared" si="343"/>
        <v>MR507</v>
      </c>
      <c r="AS806" s="27" t="str">
        <f t="shared" si="344"/>
        <v>62</v>
      </c>
      <c r="AT806" s="27" t="str">
        <f t="shared" si="345"/>
        <v/>
      </c>
      <c r="AU806" s="27" t="str">
        <f t="shared" si="346"/>
        <v/>
      </c>
      <c r="AV806" s="27" t="str">
        <f t="shared" si="347"/>
        <v/>
      </c>
      <c r="AW806" s="27" t="str">
        <f t="shared" si="348"/>
        <v/>
      </c>
      <c r="AX806" s="27" t="str">
        <f t="shared" si="349"/>
        <v/>
      </c>
      <c r="AY806" s="27" t="str">
        <f t="shared" si="350"/>
        <v/>
      </c>
      <c r="AZ806" s="27" t="str">
        <f t="shared" si="351"/>
        <v/>
      </c>
      <c r="BA806" s="27" t="str">
        <f t="shared" si="352"/>
        <v/>
      </c>
      <c r="BB806" s="27" t="str">
        <f t="shared" si="353"/>
        <v>Gross</v>
      </c>
      <c r="BC806" s="27" t="str">
        <f t="shared" si="354"/>
        <v>Net</v>
      </c>
      <c r="BD806" s="27" t="str">
        <f t="shared" si="355"/>
        <v>Net</v>
      </c>
      <c r="BE806" s="27" t="str">
        <f t="shared" si="356"/>
        <v/>
      </c>
      <c r="BF806" s="27" t="str">
        <f t="shared" si="357"/>
        <v/>
      </c>
      <c r="BG806" s="27" t="str">
        <f t="shared" si="358"/>
        <v/>
      </c>
      <c r="BH806" s="27" t="str">
        <f t="shared" si="359"/>
        <v/>
      </c>
      <c r="BI806" s="27" t="str">
        <f t="shared" si="360"/>
        <v/>
      </c>
      <c r="BJ806" s="27" t="str">
        <f t="shared" si="361"/>
        <v/>
      </c>
      <c r="BK806" s="27" t="str">
        <f t="shared" si="362"/>
        <v/>
      </c>
      <c r="BL806" s="27" t="str">
        <f t="shared" si="363"/>
        <v/>
      </c>
      <c r="BM806" s="21" t="s">
        <v>5581</v>
      </c>
    </row>
    <row r="807" spans="1:65" ht="15">
      <c r="A807" s="25" t="str">
        <f>IFERROR(INDEX('Hun Demand'!W:W,MATCH(O807,'Hun Demand'!A:A,0)),"")</f>
        <v/>
      </c>
      <c r="B807" s="25" t="str">
        <f>IFERROR(INDEX('Hun Demand'!V:V,MATCH(O807,'Hun Demand'!A:A,0)),"")</f>
        <v/>
      </c>
      <c r="C807" s="25" t="str">
        <f>IFERROR(INDEX('Hun Demand'!U:U,MATCH(O807,'Hun Demand'!A:A,0)),"")</f>
        <v/>
      </c>
      <c r="D807" s="25" t="str">
        <f>IFERROR(INDEX('Hun Demand'!T:T,MATCH(O807,'Hun Demand'!A:A,0)),"")</f>
        <v/>
      </c>
      <c r="E807" s="25" t="str">
        <f>IFERROR(INDEX('Hun Demand'!S:S,MATCH(O807,'Hun Demand'!A:A,0)),"")</f>
        <v/>
      </c>
      <c r="F807" s="25" t="str">
        <f>IFERROR(INDEX('Hun Demand'!R:R,MATCH(O807,'Hun Demand'!A:A,0)),"")</f>
        <v/>
      </c>
      <c r="G807" s="25">
        <f>IFERROR(INDEX('Aub Demand'!W:W,MATCH(O807,'Aub Demand'!A:A,0)),"")</f>
        <v>0</v>
      </c>
      <c r="H807" s="25">
        <f>IFERROR(INDEX('Aub Demand'!V:V,MATCH(O807,'Aub Demand'!A:A,0)),"")</f>
        <v>348</v>
      </c>
      <c r="I807" s="25">
        <f>IFERROR(INDEX('Aub Demand'!U:U,MATCH(O807,'Aub Demand'!A:A,0)),"")</f>
        <v>0</v>
      </c>
      <c r="J807" s="25">
        <f>IFERROR(INDEX('Aub Demand'!T:T,MATCH(O807,'Aub Demand'!A:A,0)),"")</f>
        <v>119</v>
      </c>
      <c r="K807" s="25">
        <f>IFERROR(INDEX('Aub Demand'!S:S,MATCH(O807,'Aub Demand'!A:A,0)),"")</f>
        <v>22</v>
      </c>
      <c r="L807" s="25">
        <f>IFERROR(INDEX('Aub Demand'!R:R,MATCH(O807,'Aub Demand'!A:A,0)),"")</f>
        <v>0</v>
      </c>
      <c r="O807" s="27" t="s">
        <v>2372</v>
      </c>
      <c r="P807" s="27" t="str">
        <f>IFERROR(INDEX('Aub Demand'!B:B,MATCH($O807,'Aub Demand'!$A:$A,0)),"")</f>
        <v>GRAY MATRIX 48"</v>
      </c>
      <c r="Q807" s="27" t="str">
        <f>IFERROR(INDEX('Aub Demand'!C:C,MATCH($O807,'Aub Demand'!$A:$A,0)),"")</f>
        <v>INTER</v>
      </c>
      <c r="R807" s="52">
        <f>IFERROR(IF(AR808=AR807,INDEX('Aub Demand'!K:K,MATCH($O807,'Aub Demand'!$A:$A,0))-IF(AN807="",0,AN807)+AP808,INDEX('Aub Demand'!K:K,MATCH($O807,'Aub Demand'!$A:$A,0))-IF(AN807="",0,AN807)),"")</f>
        <v>5077</v>
      </c>
      <c r="S807" s="53">
        <f t="shared" si="336"/>
        <v>462.9</v>
      </c>
      <c r="T807" s="52" t="str">
        <f t="shared" si="337"/>
        <v/>
      </c>
      <c r="U807" s="52">
        <f>IFERROR(IF(AR808=AR807,INDEX('Aub Demand'!Q:Q,MATCH($O807,'Aub Demand'!$A:$A,0))-IF(AN807="",0,AN807)+AP808,INDEX('Aub Demand'!Q:Q,MATCH($O807,'Aub Demand'!$A:$A,0))-IF(AN807="",0,AN807)),"")</f>
        <v>5039</v>
      </c>
      <c r="V807" s="53">
        <f t="shared" si="338"/>
        <v>459.5</v>
      </c>
      <c r="W807" s="52" t="str">
        <f t="shared" si="339"/>
        <v/>
      </c>
      <c r="X807" s="52">
        <f>IFERROR(IF(AND(AR808=AR807,AM807&lt;&gt;""),INDEX('Aub Demand'!Q:Q,MATCH($O807,'Aub Demand'!$A:$A,0))-IF(AN807="",0,AN807)+AP808+AD807+AL807,IF(AR808=AR807,INDEX('Aub Demand'!Q:Q,MATCH($O807,'Aub Demand'!$A:$A,0))-IF(AN807="",0,AN807)+AP808+AD807,IF(AM807&lt;&gt;"",INDEX('Aub Demand'!Q:Q,MATCH($O807,'Aub Demand'!$A:$A,0))-IF(AN807="",0,AN807)+AD807+AL807,INDEX('Aub Demand'!Q:Q,MATCH($O807,'Aub Demand'!$A:$A,0))-IF(AN807="",0,AN807)+AD807))),"")</f>
        <v>5039</v>
      </c>
      <c r="Y807" s="53">
        <f t="shared" si="340"/>
        <v>459.5</v>
      </c>
      <c r="Z807" s="52">
        <f>IF(L807="","",INDEX('Aub Demand'!H:H,MATCH($O807,'Aub Demand'!$A:$A,0)))</f>
        <v>47</v>
      </c>
      <c r="AA807" s="52">
        <f t="shared" si="341"/>
        <v>70.5</v>
      </c>
      <c r="AB807" s="52">
        <f>IFERROR(INDEX('Aub Demand'!L:L,MATCH($O807,'Aub Demand'!$A:$A,0)),"")</f>
        <v>635</v>
      </c>
      <c r="AC807" s="52">
        <f>IFERROR(IF(O807="","",SUMIFS('CPL Mats'!F:F,'CPL Mats'!Q:Q,AR807,'CPL Mats'!S:S,AS807)),"")</f>
        <v>0</v>
      </c>
      <c r="AF807" s="25" t="str">
        <f>IF(SUMIFS('Supp Consol'!S:S,'Supp Consol'!Y:Y,"Releasable",'Supp Consol'!A:A,O807)=0,"",SUMIFS('Supp Consol'!S:S,'Supp Consol'!Y:Y,"Releasable",'Supp Consol'!A:A,O807))</f>
        <v/>
      </c>
      <c r="AG807" s="25" t="str">
        <f>IFERROR(INDEX('Hun Demand'!Q:Q,MATCH(O807,'Hun Demand'!A:A,0)),"")</f>
        <v/>
      </c>
      <c r="AH807" s="25" t="str">
        <f>IFERROR(INDEX('Hun Demand'!H:H,MATCH($O807,'Hun Demand'!$A:$A,0)),"")</f>
        <v/>
      </c>
      <c r="AI807" s="25" t="str">
        <f>IF(SUMIFS('Supp Consol'!AA:AA,'Supp Consol'!Z:Z,"Expires this month",'Supp Consol'!A:A,O807)=0,"",SUMIFS('Supp Consol'!AA:AA,'Supp Consol'!Z:Z,"Expires this month",'Supp Consol'!A:A,O807))</f>
        <v/>
      </c>
      <c r="AJ807" s="25" t="str">
        <f>IF(SUMIFS('Supp Consol'!AA:AA,'Supp Consol'!Z:Z,"Expired Previous Months",'Supp Consol'!A:A,O807)=0,"",SUMIFS('Supp Consol'!AA:AA,'Supp Consol'!Z:Z,"Expired Previous Months",'Supp Consol'!A:A,O807))</f>
        <v/>
      </c>
      <c r="AK807" s="25" t="str">
        <f>IFERROR(INDEX('Hun Release Current'!B:B,MATCH(O807,'Hun Release Current'!A:A,0)),"")</f>
        <v/>
      </c>
      <c r="AL807" s="25" t="str">
        <f>IF(SUMIF('Prev Aub'!A:A,O807,'Prev Aub'!B:B)=0,"",SUMIF('Prev Aub'!A:A,O807,'Prev Aub'!B:B))</f>
        <v/>
      </c>
      <c r="AN807" s="25" t="s">
        <v>3790</v>
      </c>
      <c r="AO807" s="25" t="s">
        <v>3790</v>
      </c>
      <c r="AP807" s="25">
        <f t="shared" si="342"/>
        <v>0</v>
      </c>
      <c r="AQ807" s="151" t="str">
        <f>IF(SUMIFS('Supp Consol'!S:S,'Supp Consol'!A:A,O807,'Supp Consol'!I:I,"PENDING")=0,"",SUMIFS('Supp Consol'!S:S,'Supp Consol'!A:A,O807,'Supp Consol'!I:I,"PENDING"))</f>
        <v/>
      </c>
      <c r="AR807" s="27" t="str">
        <f t="shared" si="343"/>
        <v>MR601</v>
      </c>
      <c r="AS807" s="27" t="str">
        <f t="shared" si="344"/>
        <v>50</v>
      </c>
      <c r="AT807" s="27" t="str">
        <f t="shared" si="345"/>
        <v/>
      </c>
      <c r="AU807" s="27" t="str">
        <f t="shared" si="346"/>
        <v/>
      </c>
      <c r="AV807" s="27" t="str">
        <f t="shared" si="347"/>
        <v/>
      </c>
      <c r="AW807" s="27" t="str">
        <f t="shared" si="348"/>
        <v/>
      </c>
      <c r="AX807" s="27" t="str">
        <f t="shared" si="349"/>
        <v/>
      </c>
      <c r="AY807" s="27" t="str">
        <f t="shared" si="350"/>
        <v/>
      </c>
      <c r="AZ807" s="27" t="str">
        <f t="shared" si="351"/>
        <v/>
      </c>
      <c r="BA807" s="27" t="str">
        <f t="shared" si="352"/>
        <v/>
      </c>
      <c r="BB807" s="27" t="str">
        <f t="shared" si="353"/>
        <v/>
      </c>
      <c r="BC807" s="27" t="str">
        <f t="shared" si="354"/>
        <v/>
      </c>
      <c r="BD807" s="27" t="str">
        <f t="shared" si="355"/>
        <v/>
      </c>
      <c r="BE807" s="27" t="str">
        <f t="shared" si="356"/>
        <v/>
      </c>
      <c r="BF807" s="27" t="str">
        <f t="shared" si="357"/>
        <v/>
      </c>
      <c r="BG807" s="27" t="str">
        <f t="shared" si="358"/>
        <v/>
      </c>
      <c r="BH807" s="27" t="str">
        <f t="shared" si="359"/>
        <v/>
      </c>
      <c r="BI807" s="27" t="str">
        <f t="shared" si="360"/>
        <v/>
      </c>
      <c r="BJ807" s="27" t="str">
        <f t="shared" si="361"/>
        <v/>
      </c>
      <c r="BK807" s="27" t="str">
        <f t="shared" si="362"/>
        <v/>
      </c>
      <c r="BL807" s="27" t="str">
        <f t="shared" si="363"/>
        <v/>
      </c>
      <c r="BM807" s="21" t="s">
        <v>5581</v>
      </c>
    </row>
    <row r="808" spans="1:65" ht="15">
      <c r="A808" s="25">
        <f>IFERROR(INDEX('Hun Demand'!W:W,MATCH(O808,'Hun Demand'!A:A,0)),"")</f>
        <v>961</v>
      </c>
      <c r="B808" s="25">
        <f>IFERROR(INDEX('Hun Demand'!V:V,MATCH(O808,'Hun Demand'!A:A,0)),"")</f>
        <v>0</v>
      </c>
      <c r="C808" s="25">
        <f>IFERROR(INDEX('Hun Demand'!U:U,MATCH(O808,'Hun Demand'!A:A,0)),"")</f>
        <v>272</v>
      </c>
      <c r="D808" s="25">
        <f>IFERROR(INDEX('Hun Demand'!T:T,MATCH(O808,'Hun Demand'!A:A,0)),"")</f>
        <v>0</v>
      </c>
      <c r="E808" s="25">
        <f>IFERROR(INDEX('Hun Demand'!S:S,MATCH(O808,'Hun Demand'!A:A,0)),"")</f>
        <v>472</v>
      </c>
      <c r="F808" s="25">
        <f>IFERROR(INDEX('Hun Demand'!R:R,MATCH(O808,'Hun Demand'!A:A,0)),"")</f>
        <v>0</v>
      </c>
      <c r="G808" s="25">
        <f>IFERROR(INDEX('Aub Demand'!W:W,MATCH(O808,'Aub Demand'!A:A,0)),"")</f>
        <v>498</v>
      </c>
      <c r="H808" s="25">
        <f>IFERROR(INDEX('Aub Demand'!V:V,MATCH(O808,'Aub Demand'!A:A,0)),"")</f>
        <v>886</v>
      </c>
      <c r="I808" s="25">
        <f>IFERROR(INDEX('Aub Demand'!U:U,MATCH(O808,'Aub Demand'!A:A,0)),"")</f>
        <v>0</v>
      </c>
      <c r="J808" s="25">
        <f>IFERROR(INDEX('Aub Demand'!T:T,MATCH(O808,'Aub Demand'!A:A,0)),"")</f>
        <v>139</v>
      </c>
      <c r="K808" s="25">
        <f>IFERROR(INDEX('Aub Demand'!S:S,MATCH(O808,'Aub Demand'!A:A,0)),"")</f>
        <v>70</v>
      </c>
      <c r="L808" s="25">
        <f>IFERROR(INDEX('Aub Demand'!R:R,MATCH(O808,'Aub Demand'!A:A,0)),"")</f>
        <v>0</v>
      </c>
      <c r="O808" s="27" t="s">
        <v>2375</v>
      </c>
      <c r="P808" s="27" t="str">
        <f>IFERROR(INDEX('Aub Demand'!B:B,MATCH($O808,'Aub Demand'!$A:$A,0)),"")</f>
        <v>GRAY MATRIX 60"</v>
      </c>
      <c r="Q808" s="27" t="str">
        <f>IFERROR(INDEX('Aub Demand'!C:C,MATCH($O808,'Aub Demand'!$A:$A,0)),"")</f>
        <v>INTER</v>
      </c>
      <c r="R808" s="52">
        <f>IFERROR(IF(AR809=AR808,INDEX('Aub Demand'!K:K,MATCH($O808,'Aub Demand'!$A:$A,0))-IF(AN808="",0,AN808)+AP809,INDEX('Aub Demand'!K:K,MATCH($O808,'Aub Demand'!$A:$A,0))-IF(AN808="",0,AN808)),"")</f>
        <v>1329</v>
      </c>
      <c r="S808" s="53">
        <f t="shared" si="336"/>
        <v>81.400000000000006</v>
      </c>
      <c r="T808" s="52" t="str">
        <f t="shared" si="337"/>
        <v/>
      </c>
      <c r="U808" s="52">
        <f>IFERROR(IF(AR809=AR808,INDEX('Aub Demand'!Q:Q,MATCH($O808,'Aub Demand'!$A:$A,0))-IF(AN808="",0,AN808)+AP809,INDEX('Aub Demand'!Q:Q,MATCH($O808,'Aub Demand'!$A:$A,0))-IF(AN808="",0,AN808)),"")</f>
        <v>1282</v>
      </c>
      <c r="V808" s="53">
        <f t="shared" si="338"/>
        <v>78.5</v>
      </c>
      <c r="W808" s="52" t="str">
        <f t="shared" si="339"/>
        <v/>
      </c>
      <c r="X808" s="52">
        <f>IFERROR(IF(AND(AR809=AR808,AM808&lt;&gt;""),INDEX('Aub Demand'!Q:Q,MATCH($O808,'Aub Demand'!$A:$A,0))-IF(AN808="",0,AN808)+AP809+AD808+AL808,IF(AR809=AR808,INDEX('Aub Demand'!Q:Q,MATCH($O808,'Aub Demand'!$A:$A,0))-IF(AN808="",0,AN808)+AP809+AD808,IF(AM808&lt;&gt;"",INDEX('Aub Demand'!Q:Q,MATCH($O808,'Aub Demand'!$A:$A,0))-IF(AN808="",0,AN808)+AD808+AL808,INDEX('Aub Demand'!Q:Q,MATCH($O808,'Aub Demand'!$A:$A,0))-IF(AN808="",0,AN808)+AD808))),"")</f>
        <v>1282</v>
      </c>
      <c r="Y808" s="53">
        <f t="shared" si="340"/>
        <v>78.5</v>
      </c>
      <c r="Z808" s="52">
        <f>IF(L808="","",INDEX('Aub Demand'!H:H,MATCH($O808,'Aub Demand'!$A:$A,0)))</f>
        <v>70</v>
      </c>
      <c r="AA808" s="52">
        <f t="shared" si="341"/>
        <v>104.5</v>
      </c>
      <c r="AB808" s="52">
        <f>IFERROR(INDEX('Aub Demand'!L:L,MATCH($O808,'Aub Demand'!$A:$A,0)),"")</f>
        <v>26</v>
      </c>
      <c r="AC808" s="52">
        <f>IFERROR(IF(O808="","",SUMIFS('CPL Mats'!F:F,'CPL Mats'!Q:Q,AR808,'CPL Mats'!S:S,AS808)),"")</f>
        <v>0</v>
      </c>
      <c r="AF808" s="25" t="str">
        <f>IF(SUMIFS('Supp Consol'!S:S,'Supp Consol'!Y:Y,"Releasable",'Supp Consol'!A:A,O808)=0,"",SUMIFS('Supp Consol'!S:S,'Supp Consol'!Y:Y,"Releasable",'Supp Consol'!A:A,O808))</f>
        <v/>
      </c>
      <c r="AG808" s="25">
        <f>IFERROR(INDEX('Hun Demand'!Q:Q,MATCH(O808,'Hun Demand'!A:A,0)),"")</f>
        <v>0</v>
      </c>
      <c r="AH808" s="25">
        <f>IFERROR(INDEX('Hun Demand'!H:H,MATCH($O808,'Hun Demand'!$A:$A,0)),"")</f>
        <v>248</v>
      </c>
      <c r="AI808" s="25" t="str">
        <f>IF(SUMIFS('Supp Consol'!AA:AA,'Supp Consol'!Z:Z,"Expires this month",'Supp Consol'!A:A,O808)=0,"",SUMIFS('Supp Consol'!AA:AA,'Supp Consol'!Z:Z,"Expires this month",'Supp Consol'!A:A,O808))</f>
        <v/>
      </c>
      <c r="AJ808" s="25" t="str">
        <f>IF(SUMIFS('Supp Consol'!AA:AA,'Supp Consol'!Z:Z,"Expired Previous Months",'Supp Consol'!A:A,O808)=0,"",SUMIFS('Supp Consol'!AA:AA,'Supp Consol'!Z:Z,"Expired Previous Months",'Supp Consol'!A:A,O808))</f>
        <v/>
      </c>
      <c r="AK808" s="25" t="str">
        <f>IFERROR(INDEX('Hun Release Current'!B:B,MATCH(O808,'Hun Release Current'!A:A,0)),"")</f>
        <v/>
      </c>
      <c r="AL808" s="25" t="str">
        <f>IF(SUMIF('Prev Aub'!A:A,O808,'Prev Aub'!B:B)=0,"",SUMIF('Prev Aub'!A:A,O808,'Prev Aub'!B:B))</f>
        <v/>
      </c>
      <c r="AN808" s="25" t="s">
        <v>3790</v>
      </c>
      <c r="AO808" s="25" t="s">
        <v>3790</v>
      </c>
      <c r="AP808" s="25">
        <f t="shared" si="342"/>
        <v>0</v>
      </c>
      <c r="AQ808" s="151">
        <f>IF(SUMIFS('Supp Consol'!S:S,'Supp Consol'!A:A,O808,'Supp Consol'!I:I,"PENDING")=0,"",SUMIFS('Supp Consol'!S:S,'Supp Consol'!A:A,O808,'Supp Consol'!I:I,"PENDING"))</f>
        <v>5371</v>
      </c>
      <c r="AR808" s="27" t="str">
        <f t="shared" si="343"/>
        <v>MR601</v>
      </c>
      <c r="AS808" s="27" t="str">
        <f t="shared" si="344"/>
        <v>62</v>
      </c>
      <c r="AT808" s="27" t="str">
        <f t="shared" si="345"/>
        <v/>
      </c>
      <c r="AU808" s="27" t="str">
        <f t="shared" si="346"/>
        <v/>
      </c>
      <c r="AV808" s="27" t="str">
        <f t="shared" si="347"/>
        <v/>
      </c>
      <c r="AW808" s="27" t="str">
        <f t="shared" si="348"/>
        <v/>
      </c>
      <c r="AX808" s="27" t="str">
        <f t="shared" si="349"/>
        <v/>
      </c>
      <c r="AY808" s="27" t="str">
        <f t="shared" si="350"/>
        <v/>
      </c>
      <c r="AZ808" s="27" t="str">
        <f t="shared" si="351"/>
        <v/>
      </c>
      <c r="BA808" s="27" t="str">
        <f t="shared" si="352"/>
        <v/>
      </c>
      <c r="BB808" s="27" t="str">
        <f t="shared" si="353"/>
        <v/>
      </c>
      <c r="BC808" s="27" t="str">
        <f t="shared" si="354"/>
        <v/>
      </c>
      <c r="BD808" s="27" t="str">
        <f t="shared" si="355"/>
        <v/>
      </c>
      <c r="BE808" s="27" t="str">
        <f t="shared" si="356"/>
        <v/>
      </c>
      <c r="BF808" s="27" t="str">
        <f t="shared" si="357"/>
        <v/>
      </c>
      <c r="BG808" s="27" t="str">
        <f t="shared" si="358"/>
        <v/>
      </c>
      <c r="BH808" s="27" t="str">
        <f t="shared" si="359"/>
        <v/>
      </c>
      <c r="BI808" s="27" t="str">
        <f t="shared" si="360"/>
        <v/>
      </c>
      <c r="BJ808" s="27" t="str">
        <f t="shared" si="361"/>
        <v/>
      </c>
      <c r="BK808" s="27" t="str">
        <f t="shared" si="362"/>
        <v/>
      </c>
      <c r="BL808" s="27" t="str">
        <f t="shared" si="363"/>
        <v/>
      </c>
      <c r="BM808" s="21" t="s">
        <v>5581</v>
      </c>
    </row>
    <row r="809" spans="1:65" ht="15">
      <c r="A809" s="25" t="str">
        <f>IFERROR(INDEX('Hun Demand'!W:W,MATCH(O809,'Hun Demand'!A:A,0)),"")</f>
        <v/>
      </c>
      <c r="B809" s="25" t="str">
        <f>IFERROR(INDEX('Hun Demand'!V:V,MATCH(O809,'Hun Demand'!A:A,0)),"")</f>
        <v/>
      </c>
      <c r="C809" s="25" t="str">
        <f>IFERROR(INDEX('Hun Demand'!U:U,MATCH(O809,'Hun Demand'!A:A,0)),"")</f>
        <v/>
      </c>
      <c r="D809" s="25" t="str">
        <f>IFERROR(INDEX('Hun Demand'!T:T,MATCH(O809,'Hun Demand'!A:A,0)),"")</f>
        <v/>
      </c>
      <c r="E809" s="25" t="str">
        <f>IFERROR(INDEX('Hun Demand'!S:S,MATCH(O809,'Hun Demand'!A:A,0)),"")</f>
        <v/>
      </c>
      <c r="F809" s="25" t="str">
        <f>IFERROR(INDEX('Hun Demand'!R:R,MATCH(O809,'Hun Demand'!A:A,0)),"")</f>
        <v/>
      </c>
      <c r="G809" s="25">
        <f>IFERROR(INDEX('Aub Demand'!W:W,MATCH(O809,'Aub Demand'!A:A,0)),"")</f>
        <v>60</v>
      </c>
      <c r="H809" s="25">
        <f>IFERROR(INDEX('Aub Demand'!V:V,MATCH(O809,'Aub Demand'!A:A,0)),"")</f>
        <v>65</v>
      </c>
      <c r="I809" s="25">
        <f>IFERROR(INDEX('Aub Demand'!U:U,MATCH(O809,'Aub Demand'!A:A,0)),"")</f>
        <v>265</v>
      </c>
      <c r="J809" s="25">
        <f>IFERROR(INDEX('Aub Demand'!T:T,MATCH(O809,'Aub Demand'!A:A,0)),"")</f>
        <v>60</v>
      </c>
      <c r="K809" s="25">
        <f>IFERROR(INDEX('Aub Demand'!S:S,MATCH(O809,'Aub Demand'!A:A,0)),"")</f>
        <v>73</v>
      </c>
      <c r="L809" s="25">
        <f>IFERROR(INDEX('Aub Demand'!R:R,MATCH(O809,'Aub Demand'!A:A,0)),"")</f>
        <v>0</v>
      </c>
      <c r="O809" s="27" t="s">
        <v>2378</v>
      </c>
      <c r="P809" s="27" t="str">
        <f>IFERROR(INDEX('Aub Demand'!B:B,MATCH($O809,'Aub Demand'!$A:$A,0)),"")</f>
        <v>CHARCOAL MATRIX 48"</v>
      </c>
      <c r="Q809" s="27" t="str">
        <f>IFERROR(INDEX('Aub Demand'!C:C,MATCH($O809,'Aub Demand'!$A:$A,0)),"")</f>
        <v>INTER</v>
      </c>
      <c r="R809" s="52">
        <f>IFERROR(IF(AR810=AR809,INDEX('Aub Demand'!K:K,MATCH($O809,'Aub Demand'!$A:$A,0))-IF(AN809="",0,AN809)+AP810,INDEX('Aub Demand'!K:K,MATCH($O809,'Aub Demand'!$A:$A,0))-IF(AN809="",0,AN809)),"")</f>
        <v>978</v>
      </c>
      <c r="S809" s="53">
        <f t="shared" si="336"/>
        <v>31.5</v>
      </c>
      <c r="T809" s="52" t="str">
        <f t="shared" si="337"/>
        <v/>
      </c>
      <c r="U809" s="52">
        <f>IFERROR(IF(AR810=AR809,INDEX('Aub Demand'!Q:Q,MATCH($O809,'Aub Demand'!$A:$A,0))-IF(AN809="",0,AN809)+AP810,INDEX('Aub Demand'!Q:Q,MATCH($O809,'Aub Demand'!$A:$A,0))-IF(AN809="",0,AN809)),"")</f>
        <v>718</v>
      </c>
      <c r="V809" s="53">
        <f t="shared" si="338"/>
        <v>23.1</v>
      </c>
      <c r="W809" s="52" t="str">
        <f t="shared" si="339"/>
        <v/>
      </c>
      <c r="X809" s="52">
        <f>IFERROR(IF(AND(AR810=AR809,AM809&lt;&gt;""),INDEX('Aub Demand'!Q:Q,MATCH($O809,'Aub Demand'!$A:$A,0))-IF(AN809="",0,AN809)+AP810+AD809+AL809,IF(AR810=AR809,INDEX('Aub Demand'!Q:Q,MATCH($O809,'Aub Demand'!$A:$A,0))-IF(AN809="",0,AN809)+AP810+AD809,IF(AM809&lt;&gt;"",INDEX('Aub Demand'!Q:Q,MATCH($O809,'Aub Demand'!$A:$A,0))-IF(AN809="",0,AN809)+AD809+AL809,INDEX('Aub Demand'!Q:Q,MATCH($O809,'Aub Demand'!$A:$A,0))-IF(AN809="",0,AN809)+AD809))),"")</f>
        <v>718</v>
      </c>
      <c r="Y809" s="53">
        <f t="shared" si="340"/>
        <v>23.1</v>
      </c>
      <c r="Z809" s="52">
        <f>IF(L809="","",INDEX('Aub Demand'!H:H,MATCH($O809,'Aub Demand'!$A:$A,0)))</f>
        <v>133</v>
      </c>
      <c r="AA809" s="52">
        <f t="shared" si="341"/>
        <v>169</v>
      </c>
      <c r="AB809" s="52">
        <f>IFERROR(INDEX('Aub Demand'!L:L,MATCH($O809,'Aub Demand'!$A:$A,0)),"")</f>
        <v>57</v>
      </c>
      <c r="AC809" s="52">
        <f>IFERROR(IF(O809="","",SUMIFS('CPL Mats'!F:F,'CPL Mats'!Q:Q,AR809,'CPL Mats'!S:S,AS809)),"")</f>
        <v>0</v>
      </c>
      <c r="AF809" s="25" t="str">
        <f>IF(SUMIFS('Supp Consol'!S:S,'Supp Consol'!Y:Y,"Releasable",'Supp Consol'!A:A,O809)=0,"",SUMIFS('Supp Consol'!S:S,'Supp Consol'!Y:Y,"Releasable",'Supp Consol'!A:A,O809))</f>
        <v/>
      </c>
      <c r="AG809" s="25" t="str">
        <f>IFERROR(INDEX('Hun Demand'!Q:Q,MATCH(O809,'Hun Demand'!A:A,0)),"")</f>
        <v/>
      </c>
      <c r="AH809" s="25" t="str">
        <f>IFERROR(INDEX('Hun Demand'!H:H,MATCH($O809,'Hun Demand'!$A:$A,0)),"")</f>
        <v/>
      </c>
      <c r="AI809" s="25" t="str">
        <f>IF(SUMIFS('Supp Consol'!AA:AA,'Supp Consol'!Z:Z,"Expires this month",'Supp Consol'!A:A,O809)=0,"",SUMIFS('Supp Consol'!AA:AA,'Supp Consol'!Z:Z,"Expires this month",'Supp Consol'!A:A,O809))</f>
        <v/>
      </c>
      <c r="AJ809" s="25" t="str">
        <f>IF(SUMIFS('Supp Consol'!AA:AA,'Supp Consol'!Z:Z,"Expired Previous Months",'Supp Consol'!A:A,O809)=0,"",SUMIFS('Supp Consol'!AA:AA,'Supp Consol'!Z:Z,"Expired Previous Months",'Supp Consol'!A:A,O809))</f>
        <v/>
      </c>
      <c r="AK809" s="25" t="str">
        <f>IFERROR(INDEX('Hun Release Current'!B:B,MATCH(O809,'Hun Release Current'!A:A,0)),"")</f>
        <v/>
      </c>
      <c r="AL809" s="25" t="str">
        <f>IF(SUMIF('Prev Aub'!A:A,O809,'Prev Aub'!B:B)=0,"",SUMIF('Prev Aub'!A:A,O809,'Prev Aub'!B:B))</f>
        <v/>
      </c>
      <c r="AN809" s="25" t="s">
        <v>3790</v>
      </c>
      <c r="AO809" s="25" t="s">
        <v>3790</v>
      </c>
      <c r="AP809" s="25">
        <f t="shared" si="342"/>
        <v>0</v>
      </c>
      <c r="AQ809" s="151" t="str">
        <f>IF(SUMIFS('Supp Consol'!S:S,'Supp Consol'!A:A,O809,'Supp Consol'!I:I,"PENDING")=0,"",SUMIFS('Supp Consol'!S:S,'Supp Consol'!A:A,O809,'Supp Consol'!I:I,"PENDING"))</f>
        <v/>
      </c>
      <c r="AR809" s="27" t="str">
        <f t="shared" si="343"/>
        <v>MR602</v>
      </c>
      <c r="AS809" s="27" t="str">
        <f t="shared" si="344"/>
        <v>50</v>
      </c>
      <c r="AT809" s="27" t="str">
        <f t="shared" si="345"/>
        <v/>
      </c>
      <c r="AU809" s="27" t="str">
        <f t="shared" si="346"/>
        <v/>
      </c>
      <c r="AV809" s="27" t="str">
        <f t="shared" si="347"/>
        <v/>
      </c>
      <c r="AW809" s="27" t="str">
        <f t="shared" si="348"/>
        <v/>
      </c>
      <c r="AX809" s="27" t="str">
        <f t="shared" si="349"/>
        <v/>
      </c>
      <c r="AY809" s="27" t="str">
        <f t="shared" si="350"/>
        <v/>
      </c>
      <c r="AZ809" s="27" t="str">
        <f t="shared" si="351"/>
        <v/>
      </c>
      <c r="BA809" s="27" t="str">
        <f t="shared" si="352"/>
        <v>Hun</v>
      </c>
      <c r="BB809" s="27" t="str">
        <f t="shared" si="353"/>
        <v/>
      </c>
      <c r="BC809" s="27" t="str">
        <f t="shared" si="354"/>
        <v/>
      </c>
      <c r="BD809" s="27" t="str">
        <f t="shared" si="355"/>
        <v/>
      </c>
      <c r="BE809" s="27" t="str">
        <f t="shared" si="356"/>
        <v/>
      </c>
      <c r="BF809" s="27" t="str">
        <f t="shared" si="357"/>
        <v/>
      </c>
      <c r="BG809" s="27" t="str">
        <f t="shared" si="358"/>
        <v/>
      </c>
      <c r="BH809" s="27" t="str">
        <f t="shared" si="359"/>
        <v/>
      </c>
      <c r="BI809" s="27" t="str">
        <f t="shared" si="360"/>
        <v/>
      </c>
      <c r="BJ809" s="27" t="str">
        <f t="shared" si="361"/>
        <v>Supp or Hun</v>
      </c>
      <c r="BK809" s="27" t="str">
        <f t="shared" si="362"/>
        <v/>
      </c>
      <c r="BL809" s="27" t="str">
        <f t="shared" si="363"/>
        <v/>
      </c>
      <c r="BM809" s="21" t="s">
        <v>5581</v>
      </c>
    </row>
    <row r="810" spans="1:65" ht="15">
      <c r="A810" s="25">
        <f>IFERROR(INDEX('Hun Demand'!W:W,MATCH(O810,'Hun Demand'!A:A,0)),"")</f>
        <v>204</v>
      </c>
      <c r="B810" s="25">
        <f>IFERROR(INDEX('Hun Demand'!V:V,MATCH(O810,'Hun Demand'!A:A,0)),"")</f>
        <v>0</v>
      </c>
      <c r="C810" s="25">
        <f>IFERROR(INDEX('Hun Demand'!U:U,MATCH(O810,'Hun Demand'!A:A,0)),"")</f>
        <v>105</v>
      </c>
      <c r="D810" s="25">
        <f>IFERROR(INDEX('Hun Demand'!T:T,MATCH(O810,'Hun Demand'!A:A,0)),"")</f>
        <v>0</v>
      </c>
      <c r="E810" s="25">
        <f>IFERROR(INDEX('Hun Demand'!S:S,MATCH(O810,'Hun Demand'!A:A,0)),"")</f>
        <v>0</v>
      </c>
      <c r="F810" s="25">
        <f>IFERROR(INDEX('Hun Demand'!R:R,MATCH(O810,'Hun Demand'!A:A,0)),"")</f>
        <v>0</v>
      </c>
      <c r="G810" s="25">
        <f>IFERROR(INDEX('Aub Demand'!W:W,MATCH(O810,'Aub Demand'!A:A,0)),"")</f>
        <v>129</v>
      </c>
      <c r="H810" s="25">
        <f>IFERROR(INDEX('Aub Demand'!V:V,MATCH(O810,'Aub Demand'!A:A,0)),"")</f>
        <v>130</v>
      </c>
      <c r="I810" s="25">
        <f>IFERROR(INDEX('Aub Demand'!U:U,MATCH(O810,'Aub Demand'!A:A,0)),"")</f>
        <v>197</v>
      </c>
      <c r="J810" s="25">
        <f>IFERROR(INDEX('Aub Demand'!T:T,MATCH(O810,'Aub Demand'!A:A,0)),"")</f>
        <v>115</v>
      </c>
      <c r="K810" s="25">
        <f>IFERROR(INDEX('Aub Demand'!S:S,MATCH(O810,'Aub Demand'!A:A,0)),"")</f>
        <v>474</v>
      </c>
      <c r="L810" s="25">
        <f>IFERROR(INDEX('Aub Demand'!R:R,MATCH(O810,'Aub Demand'!A:A,0)),"")</f>
        <v>0</v>
      </c>
      <c r="O810" s="27" t="s">
        <v>2381</v>
      </c>
      <c r="P810" s="27" t="str">
        <f>IFERROR(INDEX('Aub Demand'!B:B,MATCH($O810,'Aub Demand'!$A:$A,0)),"")</f>
        <v>CHARCOAL MATRIX 60"</v>
      </c>
      <c r="Q810" s="27" t="str">
        <f>IFERROR(INDEX('Aub Demand'!C:C,MATCH($O810,'Aub Demand'!$A:$A,0)),"")</f>
        <v>INTER</v>
      </c>
      <c r="R810" s="52">
        <f>IFERROR(IF(AR811=AR810,INDEX('Aub Demand'!K:K,MATCH($O810,'Aub Demand'!$A:$A,0))-IF(AN810="",0,AN810)+AP811,INDEX('Aub Demand'!K:K,MATCH($O810,'Aub Demand'!$A:$A,0))-IF(AN810="",0,AN810)),"")</f>
        <v>1379</v>
      </c>
      <c r="S810" s="53">
        <f t="shared" si="336"/>
        <v>22.6</v>
      </c>
      <c r="T810" s="52" t="str">
        <f t="shared" si="337"/>
        <v/>
      </c>
      <c r="U810" s="52">
        <f>IFERROR(IF(AR811=AR810,INDEX('Aub Demand'!Q:Q,MATCH($O810,'Aub Demand'!$A:$A,0))-IF(AN810="",0,AN810)+AP811,INDEX('Aub Demand'!Q:Q,MATCH($O810,'Aub Demand'!$A:$A,0))-IF(AN810="",0,AN810)),"")</f>
        <v>814</v>
      </c>
      <c r="V810" s="53">
        <f t="shared" si="338"/>
        <v>13.3</v>
      </c>
      <c r="W810" s="52" t="str">
        <f t="shared" si="339"/>
        <v/>
      </c>
      <c r="X810" s="52">
        <f>IFERROR(IF(AND(AR811=AR810,AM810&lt;&gt;""),INDEX('Aub Demand'!Q:Q,MATCH($O810,'Aub Demand'!$A:$A,0))-IF(AN810="",0,AN810)+AP811+AD810+AL810,IF(AR811=AR810,INDEX('Aub Demand'!Q:Q,MATCH($O810,'Aub Demand'!$A:$A,0))-IF(AN810="",0,AN810)+AP811+AD810,IF(AM810&lt;&gt;"",INDEX('Aub Demand'!Q:Q,MATCH($O810,'Aub Demand'!$A:$A,0))-IF(AN810="",0,AN810)+AD810+AL810,INDEX('Aub Demand'!Q:Q,MATCH($O810,'Aub Demand'!$A:$A,0))-IF(AN810="",0,AN810)+AD810))),"")</f>
        <v>814</v>
      </c>
      <c r="Y810" s="53">
        <f t="shared" si="340"/>
        <v>13.3</v>
      </c>
      <c r="Z810" s="52">
        <f>IF(L810="","",INDEX('Aub Demand'!H:H,MATCH($O810,'Aub Demand'!$A:$A,0)))</f>
        <v>262</v>
      </c>
      <c r="AA810" s="52">
        <f t="shared" si="341"/>
        <v>335.5</v>
      </c>
      <c r="AB810" s="52">
        <f>IFERROR(INDEX('Aub Demand'!L:L,MATCH($O810,'Aub Demand'!$A:$A,0)),"")</f>
        <v>231</v>
      </c>
      <c r="AC810" s="52">
        <f>IFERROR(IF(O810="","",SUMIFS('CPL Mats'!F:F,'CPL Mats'!Q:Q,AR810,'CPL Mats'!S:S,AS810)),"")</f>
        <v>0</v>
      </c>
      <c r="AF810" s="25" t="str">
        <f>IF(SUMIFS('Supp Consol'!S:S,'Supp Consol'!Y:Y,"Releasable",'Supp Consol'!A:A,O810)=0,"",SUMIFS('Supp Consol'!S:S,'Supp Consol'!Y:Y,"Releasable",'Supp Consol'!A:A,O810))</f>
        <v/>
      </c>
      <c r="AG810" s="25">
        <f>IFERROR(INDEX('Hun Demand'!Q:Q,MATCH(O810,'Hun Demand'!A:A,0)),"")</f>
        <v>724</v>
      </c>
      <c r="AH810" s="25">
        <f>IFERROR(INDEX('Hun Demand'!H:H,MATCH($O810,'Hun Demand'!$A:$A,0)),"")</f>
        <v>35</v>
      </c>
      <c r="AI810" s="25" t="str">
        <f>IF(SUMIFS('Supp Consol'!AA:AA,'Supp Consol'!Z:Z,"Expires this month",'Supp Consol'!A:A,O810)=0,"",SUMIFS('Supp Consol'!AA:AA,'Supp Consol'!Z:Z,"Expires this month",'Supp Consol'!A:A,O810))</f>
        <v/>
      </c>
      <c r="AJ810" s="25" t="str">
        <f>IF(SUMIFS('Supp Consol'!AA:AA,'Supp Consol'!Z:Z,"Expired Previous Months",'Supp Consol'!A:A,O810)=0,"",SUMIFS('Supp Consol'!AA:AA,'Supp Consol'!Z:Z,"Expired Previous Months",'Supp Consol'!A:A,O810))</f>
        <v/>
      </c>
      <c r="AK810" s="25" t="str">
        <f>IFERROR(INDEX('Hun Release Current'!B:B,MATCH(O810,'Hun Release Current'!A:A,0)),"")</f>
        <v/>
      </c>
      <c r="AL810" s="25" t="str">
        <f>IF(SUMIF('Prev Aub'!A:A,O810,'Prev Aub'!B:B)=0,"",SUMIF('Prev Aub'!A:A,O810,'Prev Aub'!B:B))</f>
        <v/>
      </c>
      <c r="AN810" s="25" t="s">
        <v>3790</v>
      </c>
      <c r="AO810" s="25" t="s">
        <v>3790</v>
      </c>
      <c r="AP810" s="25">
        <f t="shared" si="342"/>
        <v>0</v>
      </c>
      <c r="AQ810" s="151" t="str">
        <f>IF(SUMIFS('Supp Consol'!S:S,'Supp Consol'!A:A,O810,'Supp Consol'!I:I,"PENDING")=0,"",SUMIFS('Supp Consol'!S:S,'Supp Consol'!A:A,O810,'Supp Consol'!I:I,"PENDING"))</f>
        <v/>
      </c>
      <c r="AR810" s="27" t="str">
        <f t="shared" si="343"/>
        <v>MR602</v>
      </c>
      <c r="AS810" s="27" t="str">
        <f t="shared" si="344"/>
        <v>62</v>
      </c>
      <c r="AT810" s="27" t="str">
        <f t="shared" si="345"/>
        <v/>
      </c>
      <c r="AU810" s="27" t="str">
        <f t="shared" si="346"/>
        <v/>
      </c>
      <c r="AV810" s="27" t="str">
        <f t="shared" si="347"/>
        <v/>
      </c>
      <c r="AW810" s="27" t="str">
        <f t="shared" si="348"/>
        <v/>
      </c>
      <c r="AX810" s="27" t="str">
        <f t="shared" si="349"/>
        <v/>
      </c>
      <c r="AY810" s="27" t="str">
        <f t="shared" si="350"/>
        <v>MR602</v>
      </c>
      <c r="AZ810" s="27" t="str">
        <f t="shared" si="351"/>
        <v/>
      </c>
      <c r="BA810" s="27" t="str">
        <f t="shared" si="352"/>
        <v>Hun</v>
      </c>
      <c r="BB810" s="27" t="str">
        <f t="shared" si="353"/>
        <v/>
      </c>
      <c r="BC810" s="27" t="str">
        <f t="shared" si="354"/>
        <v/>
      </c>
      <c r="BD810" s="27" t="str">
        <f t="shared" si="355"/>
        <v/>
      </c>
      <c r="BE810" s="27" t="str">
        <f t="shared" si="356"/>
        <v/>
      </c>
      <c r="BF810" s="27" t="str">
        <f t="shared" si="357"/>
        <v/>
      </c>
      <c r="BG810" s="27" t="str">
        <f t="shared" si="358"/>
        <v/>
      </c>
      <c r="BH810" s="27" t="str">
        <f t="shared" si="359"/>
        <v/>
      </c>
      <c r="BI810" s="27" t="str">
        <f t="shared" si="360"/>
        <v/>
      </c>
      <c r="BJ810" s="27" t="str">
        <f t="shared" si="361"/>
        <v>Supp or Hun</v>
      </c>
      <c r="BK810" s="27" t="str">
        <f t="shared" si="362"/>
        <v/>
      </c>
      <c r="BL810" s="27" t="str">
        <f t="shared" si="363"/>
        <v/>
      </c>
      <c r="BM810" s="21" t="s">
        <v>5581</v>
      </c>
    </row>
    <row r="811" spans="1:65" ht="15">
      <c r="A811" s="25" t="str">
        <f>IFERROR(INDEX('Hun Demand'!W:W,MATCH(O811,'Hun Demand'!A:A,0)),"")</f>
        <v/>
      </c>
      <c r="B811" s="25" t="str">
        <f>IFERROR(INDEX('Hun Demand'!V:V,MATCH(O811,'Hun Demand'!A:A,0)),"")</f>
        <v/>
      </c>
      <c r="C811" s="25" t="str">
        <f>IFERROR(INDEX('Hun Demand'!U:U,MATCH(O811,'Hun Demand'!A:A,0)),"")</f>
        <v/>
      </c>
      <c r="D811" s="25" t="str">
        <f>IFERROR(INDEX('Hun Demand'!T:T,MATCH(O811,'Hun Demand'!A:A,0)),"")</f>
        <v/>
      </c>
      <c r="E811" s="25" t="str">
        <f>IFERROR(INDEX('Hun Demand'!S:S,MATCH(O811,'Hun Demand'!A:A,0)),"")</f>
        <v/>
      </c>
      <c r="F811" s="25" t="str">
        <f>IFERROR(INDEX('Hun Demand'!R:R,MATCH(O811,'Hun Demand'!A:A,0)),"")</f>
        <v/>
      </c>
      <c r="G811" s="25">
        <f>IFERROR(INDEX('Aub Demand'!W:W,MATCH(O811,'Aub Demand'!A:A,0)),"")</f>
        <v>55</v>
      </c>
      <c r="H811" s="25">
        <f>IFERROR(INDEX('Aub Demand'!V:V,MATCH(O811,'Aub Demand'!A:A,0)),"")</f>
        <v>0</v>
      </c>
      <c r="I811" s="25">
        <f>IFERROR(INDEX('Aub Demand'!U:U,MATCH(O811,'Aub Demand'!A:A,0)),"")</f>
        <v>0</v>
      </c>
      <c r="J811" s="25">
        <f>IFERROR(INDEX('Aub Demand'!T:T,MATCH(O811,'Aub Demand'!A:A,0)),"")</f>
        <v>0</v>
      </c>
      <c r="K811" s="25">
        <f>IFERROR(INDEX('Aub Demand'!S:S,MATCH(O811,'Aub Demand'!A:A,0)),"")</f>
        <v>45</v>
      </c>
      <c r="L811" s="25">
        <f>IFERROR(INDEX('Aub Demand'!R:R,MATCH(O811,'Aub Demand'!A:A,0)),"")</f>
        <v>10</v>
      </c>
      <c r="O811" s="27" t="s">
        <v>2383</v>
      </c>
      <c r="P811" s="27" t="str">
        <f>IFERROR(INDEX('Aub Demand'!B:B,MATCH($O811,'Aub Demand'!$A:$A,0)),"")</f>
        <v>STORM GRAY MATRIX 48</v>
      </c>
      <c r="Q811" s="27" t="str">
        <f>IFERROR(INDEX('Aub Demand'!C:C,MATCH($O811,'Aub Demand'!$A:$A,0)),"")</f>
        <v>INTER</v>
      </c>
      <c r="R811" s="52">
        <f>IFERROR(IF(AR812=AR811,INDEX('Aub Demand'!K:K,MATCH($O811,'Aub Demand'!$A:$A,0))-IF(AN811="",0,AN811)+AP812,INDEX('Aub Demand'!K:K,MATCH($O811,'Aub Demand'!$A:$A,0))-IF(AN811="",0,AN811)),"")</f>
        <v>483</v>
      </c>
      <c r="S811" s="53">
        <f t="shared" si="336"/>
        <v>138</v>
      </c>
      <c r="T811" s="52" t="str">
        <f t="shared" si="337"/>
        <v/>
      </c>
      <c r="U811" s="52">
        <f>IFERROR(IF(AR812=AR811,INDEX('Aub Demand'!Q:Q,MATCH($O811,'Aub Demand'!$A:$A,0))-IF(AN811="",0,AN811)+AP812,INDEX('Aub Demand'!Q:Q,MATCH($O811,'Aub Demand'!$A:$A,0))-IF(AN811="",0,AN811)),"")</f>
        <v>476</v>
      </c>
      <c r="V811" s="53">
        <f t="shared" si="338"/>
        <v>136</v>
      </c>
      <c r="W811" s="52" t="str">
        <f t="shared" si="339"/>
        <v/>
      </c>
      <c r="X811" s="52">
        <f>IFERROR(IF(AND(AR812=AR811,AM811&lt;&gt;""),INDEX('Aub Demand'!Q:Q,MATCH($O811,'Aub Demand'!$A:$A,0))-IF(AN811="",0,AN811)+AP812+AD811+AL811,IF(AR812=AR811,INDEX('Aub Demand'!Q:Q,MATCH($O811,'Aub Demand'!$A:$A,0))-IF(AN811="",0,AN811)+AP812+AD811,IF(AM811&lt;&gt;"",INDEX('Aub Demand'!Q:Q,MATCH($O811,'Aub Demand'!$A:$A,0))-IF(AN811="",0,AN811)+AD811+AL811,INDEX('Aub Demand'!Q:Q,MATCH($O811,'Aub Demand'!$A:$A,0))-IF(AN811="",0,AN811)+AD811))),"")</f>
        <v>476</v>
      </c>
      <c r="Y811" s="53">
        <f t="shared" si="340"/>
        <v>136</v>
      </c>
      <c r="Z811" s="52">
        <f>IF(L811="","",INDEX('Aub Demand'!H:H,MATCH($O811,'Aub Demand'!$A:$A,0)))</f>
        <v>15</v>
      </c>
      <c r="AA811" s="52">
        <f t="shared" si="341"/>
        <v>27.5</v>
      </c>
      <c r="AB811" s="52">
        <f>IFERROR(INDEX('Aub Demand'!L:L,MATCH($O811,'Aub Demand'!$A:$A,0)),"")</f>
        <v>13</v>
      </c>
      <c r="AC811" s="52">
        <f>IFERROR(IF(O811="","",SUMIFS('CPL Mats'!F:F,'CPL Mats'!Q:Q,AR811,'CPL Mats'!S:S,AS811)),"")</f>
        <v>0</v>
      </c>
      <c r="AF811" s="25" t="str">
        <f>IF(SUMIFS('Supp Consol'!S:S,'Supp Consol'!Y:Y,"Releasable",'Supp Consol'!A:A,O811)=0,"",SUMIFS('Supp Consol'!S:S,'Supp Consol'!Y:Y,"Releasable",'Supp Consol'!A:A,O811))</f>
        <v/>
      </c>
      <c r="AG811" s="25" t="str">
        <f>IFERROR(INDEX('Hun Demand'!Q:Q,MATCH(O811,'Hun Demand'!A:A,0)),"")</f>
        <v/>
      </c>
      <c r="AH811" s="25" t="str">
        <f>IFERROR(INDEX('Hun Demand'!H:H,MATCH($O811,'Hun Demand'!$A:$A,0)),"")</f>
        <v/>
      </c>
      <c r="AI811" s="25" t="str">
        <f>IF(SUMIFS('Supp Consol'!AA:AA,'Supp Consol'!Z:Z,"Expires this month",'Supp Consol'!A:A,O811)=0,"",SUMIFS('Supp Consol'!AA:AA,'Supp Consol'!Z:Z,"Expires this month",'Supp Consol'!A:A,O811))</f>
        <v/>
      </c>
      <c r="AJ811" s="25" t="str">
        <f>IF(SUMIFS('Supp Consol'!AA:AA,'Supp Consol'!Z:Z,"Expired Previous Months",'Supp Consol'!A:A,O811)=0,"",SUMIFS('Supp Consol'!AA:AA,'Supp Consol'!Z:Z,"Expired Previous Months",'Supp Consol'!A:A,O811))</f>
        <v/>
      </c>
      <c r="AK811" s="25" t="str">
        <f>IFERROR(INDEX('Hun Release Current'!B:B,MATCH(O811,'Hun Release Current'!A:A,0)),"")</f>
        <v/>
      </c>
      <c r="AL811" s="25" t="str">
        <f>IF(SUMIF('Prev Aub'!A:A,O811,'Prev Aub'!B:B)=0,"",SUMIF('Prev Aub'!A:A,O811,'Prev Aub'!B:B))</f>
        <v/>
      </c>
      <c r="AN811" s="25" t="s">
        <v>3790</v>
      </c>
      <c r="AO811" s="25" t="s">
        <v>3790</v>
      </c>
      <c r="AP811" s="25">
        <f t="shared" si="342"/>
        <v>0</v>
      </c>
      <c r="AQ811" s="151" t="str">
        <f>IF(SUMIFS('Supp Consol'!S:S,'Supp Consol'!A:A,O811,'Supp Consol'!I:I,"PENDING")=0,"",SUMIFS('Supp Consol'!S:S,'Supp Consol'!A:A,O811,'Supp Consol'!I:I,"PENDING"))</f>
        <v/>
      </c>
      <c r="AR811" s="27" t="str">
        <f t="shared" si="343"/>
        <v>MR604</v>
      </c>
      <c r="AS811" s="27" t="str">
        <f t="shared" si="344"/>
        <v>50</v>
      </c>
      <c r="AT811" s="27" t="str">
        <f t="shared" si="345"/>
        <v/>
      </c>
      <c r="AU811" s="27" t="str">
        <f t="shared" si="346"/>
        <v/>
      </c>
      <c r="AV811" s="27" t="str">
        <f t="shared" si="347"/>
        <v/>
      </c>
      <c r="AW811" s="27" t="str">
        <f t="shared" si="348"/>
        <v/>
      </c>
      <c r="AX811" s="27" t="str">
        <f t="shared" si="349"/>
        <v/>
      </c>
      <c r="AY811" s="27" t="str">
        <f t="shared" si="350"/>
        <v/>
      </c>
      <c r="AZ811" s="27" t="str">
        <f t="shared" si="351"/>
        <v>Supp</v>
      </c>
      <c r="BA811" s="27" t="str">
        <f t="shared" si="352"/>
        <v/>
      </c>
      <c r="BB811" s="27" t="str">
        <f t="shared" si="353"/>
        <v/>
      </c>
      <c r="BC811" s="27" t="str">
        <f t="shared" si="354"/>
        <v/>
      </c>
      <c r="BD811" s="27" t="str">
        <f t="shared" si="355"/>
        <v/>
      </c>
      <c r="BE811" s="27" t="str">
        <f t="shared" si="356"/>
        <v/>
      </c>
      <c r="BF811" s="27" t="str">
        <f t="shared" si="357"/>
        <v/>
      </c>
      <c r="BG811" s="27" t="str">
        <f t="shared" si="358"/>
        <v/>
      </c>
      <c r="BH811" s="27" t="str">
        <f t="shared" si="359"/>
        <v/>
      </c>
      <c r="BI811" s="27" t="str">
        <f t="shared" si="360"/>
        <v/>
      </c>
      <c r="BJ811" s="27" t="str">
        <f t="shared" si="361"/>
        <v>Supp or Hun</v>
      </c>
      <c r="BK811" s="27" t="str">
        <f t="shared" si="362"/>
        <v/>
      </c>
      <c r="BL811" s="27" t="str">
        <f t="shared" si="363"/>
        <v/>
      </c>
      <c r="BM811" s="21" t="s">
        <v>5581</v>
      </c>
    </row>
    <row r="812" spans="1:65" ht="15">
      <c r="A812" s="25" t="str">
        <f>IFERROR(INDEX('Hun Demand'!W:W,MATCH(O812,'Hun Demand'!A:A,0)),"")</f>
        <v/>
      </c>
      <c r="B812" s="25" t="str">
        <f>IFERROR(INDEX('Hun Demand'!V:V,MATCH(O812,'Hun Demand'!A:A,0)),"")</f>
        <v/>
      </c>
      <c r="C812" s="25" t="str">
        <f>IFERROR(INDEX('Hun Demand'!U:U,MATCH(O812,'Hun Demand'!A:A,0)),"")</f>
        <v/>
      </c>
      <c r="D812" s="25" t="str">
        <f>IFERROR(INDEX('Hun Demand'!T:T,MATCH(O812,'Hun Demand'!A:A,0)),"")</f>
        <v/>
      </c>
      <c r="E812" s="25" t="str">
        <f>IFERROR(INDEX('Hun Demand'!S:S,MATCH(O812,'Hun Demand'!A:A,0)),"")</f>
        <v/>
      </c>
      <c r="F812" s="25" t="str">
        <f>IFERROR(INDEX('Hun Demand'!R:R,MATCH(O812,'Hun Demand'!A:A,0)),"")</f>
        <v/>
      </c>
      <c r="G812" s="25">
        <f>IFERROR(INDEX('Aub Demand'!W:W,MATCH(O812,'Aub Demand'!A:A,0)),"")</f>
        <v>249</v>
      </c>
      <c r="H812" s="25">
        <f>IFERROR(INDEX('Aub Demand'!V:V,MATCH(O812,'Aub Demand'!A:A,0)),"")</f>
        <v>88</v>
      </c>
      <c r="I812" s="25">
        <f>IFERROR(INDEX('Aub Demand'!U:U,MATCH(O812,'Aub Demand'!A:A,0)),"")</f>
        <v>112</v>
      </c>
      <c r="J812" s="25">
        <f>IFERROR(INDEX('Aub Demand'!T:T,MATCH(O812,'Aub Demand'!A:A,0)),"")</f>
        <v>0</v>
      </c>
      <c r="K812" s="25">
        <f>IFERROR(INDEX('Aub Demand'!S:S,MATCH(O812,'Aub Demand'!A:A,0)),"")</f>
        <v>126</v>
      </c>
      <c r="L812" s="25">
        <f>IFERROR(INDEX('Aub Demand'!R:R,MATCH(O812,'Aub Demand'!A:A,0)),"")</f>
        <v>0</v>
      </c>
      <c r="O812" s="27" t="s">
        <v>2386</v>
      </c>
      <c r="P812" s="27" t="str">
        <f>IFERROR(INDEX('Aub Demand'!B:B,MATCH($O812,'Aub Demand'!$A:$A,0)),"")</f>
        <v>STORM GRAY MATRIX 62</v>
      </c>
      <c r="Q812" s="27" t="str">
        <f>IFERROR(INDEX('Aub Demand'!C:C,MATCH($O812,'Aub Demand'!$A:$A,0)),"")</f>
        <v>INTER</v>
      </c>
      <c r="R812" s="52">
        <f>IFERROR(IF(AR813=AR812,INDEX('Aub Demand'!K:K,MATCH($O812,'Aub Demand'!$A:$A,0))-IF(AN812="",0,AN812)+AP813,INDEX('Aub Demand'!K:K,MATCH($O812,'Aub Demand'!$A:$A,0))-IF(AN812="",0,AN812)),"")</f>
        <v>1118</v>
      </c>
      <c r="S812" s="53">
        <f t="shared" si="336"/>
        <v>60.7</v>
      </c>
      <c r="T812" s="52" t="str">
        <f t="shared" si="337"/>
        <v/>
      </c>
      <c r="U812" s="52">
        <f>IFERROR(IF(AR813=AR812,INDEX('Aub Demand'!Q:Q,MATCH($O812,'Aub Demand'!$A:$A,0))-IF(AN812="",0,AN812)+AP813,INDEX('Aub Demand'!Q:Q,MATCH($O812,'Aub Demand'!$A:$A,0))-IF(AN812="",0,AN812)),"")</f>
        <v>1104</v>
      </c>
      <c r="V812" s="53">
        <f t="shared" si="338"/>
        <v>59.9</v>
      </c>
      <c r="W812" s="52" t="str">
        <f t="shared" si="339"/>
        <v/>
      </c>
      <c r="X812" s="52">
        <f>IFERROR(IF(AND(AR813=AR812,AM812&lt;&gt;""),INDEX('Aub Demand'!Q:Q,MATCH($O812,'Aub Demand'!$A:$A,0))-IF(AN812="",0,AN812)+AP813+AD812+AL812,IF(AR813=AR812,INDEX('Aub Demand'!Q:Q,MATCH($O812,'Aub Demand'!$A:$A,0))-IF(AN812="",0,AN812)+AP813+AD812,IF(AM812&lt;&gt;"",INDEX('Aub Demand'!Q:Q,MATCH($O812,'Aub Demand'!$A:$A,0))-IF(AN812="",0,AN812)+AD812+AL812,INDEX('Aub Demand'!Q:Q,MATCH($O812,'Aub Demand'!$A:$A,0))-IF(AN812="",0,AN812)+AD812))),"")</f>
        <v>1104</v>
      </c>
      <c r="Y812" s="53">
        <f t="shared" si="340"/>
        <v>59.9</v>
      </c>
      <c r="Z812" s="52">
        <f>IF(L812="","",INDEX('Aub Demand'!H:H,MATCH($O812,'Aub Demand'!$A:$A,0)))</f>
        <v>79</v>
      </c>
      <c r="AA812" s="52">
        <f t="shared" si="341"/>
        <v>119</v>
      </c>
      <c r="AB812" s="52">
        <f>IFERROR(INDEX('Aub Demand'!L:L,MATCH($O812,'Aub Demand'!$A:$A,0)),"")</f>
        <v>104</v>
      </c>
      <c r="AC812" s="52">
        <f>IFERROR(IF(O812="","",SUMIFS('CPL Mats'!F:F,'CPL Mats'!Q:Q,AR812,'CPL Mats'!S:S,AS812)),"")</f>
        <v>0</v>
      </c>
      <c r="AF812" s="25">
        <f>IF(SUMIFS('Supp Consol'!S:S,'Supp Consol'!Y:Y,"Releasable",'Supp Consol'!A:A,O812)=0,"",SUMIFS('Supp Consol'!S:S,'Supp Consol'!Y:Y,"Releasable",'Supp Consol'!A:A,O812))</f>
        <v>993</v>
      </c>
      <c r="AG812" s="25" t="str">
        <f>IFERROR(INDEX('Hun Demand'!Q:Q,MATCH(O812,'Hun Demand'!A:A,0)),"")</f>
        <v/>
      </c>
      <c r="AH812" s="25" t="str">
        <f>IFERROR(INDEX('Hun Demand'!H:H,MATCH($O812,'Hun Demand'!$A:$A,0)),"")</f>
        <v/>
      </c>
      <c r="AI812" s="25" t="str">
        <f>IF(SUMIFS('Supp Consol'!AA:AA,'Supp Consol'!Z:Z,"Expires this month",'Supp Consol'!A:A,O812)=0,"",SUMIFS('Supp Consol'!AA:AA,'Supp Consol'!Z:Z,"Expires this month",'Supp Consol'!A:A,O812))</f>
        <v/>
      </c>
      <c r="AJ812" s="25" t="str">
        <f>IF(SUMIFS('Supp Consol'!AA:AA,'Supp Consol'!Z:Z,"Expired Previous Months",'Supp Consol'!A:A,O812)=0,"",SUMIFS('Supp Consol'!AA:AA,'Supp Consol'!Z:Z,"Expired Previous Months",'Supp Consol'!A:A,O812))</f>
        <v/>
      </c>
      <c r="AK812" s="25" t="str">
        <f>IFERROR(INDEX('Hun Release Current'!B:B,MATCH(O812,'Hun Release Current'!A:A,0)),"")</f>
        <v/>
      </c>
      <c r="AL812" s="25" t="str">
        <f>IF(SUMIF('Prev Aub'!A:A,O812,'Prev Aub'!B:B)=0,"",SUMIF('Prev Aub'!A:A,O812,'Prev Aub'!B:B))</f>
        <v/>
      </c>
      <c r="AN812" s="25" t="s">
        <v>3790</v>
      </c>
      <c r="AO812" s="25" t="s">
        <v>3790</v>
      </c>
      <c r="AP812" s="25">
        <f t="shared" si="342"/>
        <v>0</v>
      </c>
      <c r="AQ812" s="151" t="str">
        <f>IF(SUMIFS('Supp Consol'!S:S,'Supp Consol'!A:A,O812,'Supp Consol'!I:I,"PENDING")=0,"",SUMIFS('Supp Consol'!S:S,'Supp Consol'!A:A,O812,'Supp Consol'!I:I,"PENDING"))</f>
        <v/>
      </c>
      <c r="AR812" s="27" t="str">
        <f t="shared" si="343"/>
        <v>MR604</v>
      </c>
      <c r="AS812" s="27" t="str">
        <f t="shared" si="344"/>
        <v>62</v>
      </c>
      <c r="AT812" s="27" t="str">
        <f t="shared" si="345"/>
        <v/>
      </c>
      <c r="AU812" s="27" t="str">
        <f t="shared" si="346"/>
        <v/>
      </c>
      <c r="AV812" s="27" t="str">
        <f t="shared" si="347"/>
        <v/>
      </c>
      <c r="AW812" s="27" t="str">
        <f t="shared" si="348"/>
        <v/>
      </c>
      <c r="AX812" s="27" t="str">
        <f t="shared" si="349"/>
        <v>MR604</v>
      </c>
      <c r="AY812" s="27" t="str">
        <f t="shared" si="350"/>
        <v/>
      </c>
      <c r="AZ812" s="27" t="str">
        <f t="shared" si="351"/>
        <v>Supp</v>
      </c>
      <c r="BA812" s="27" t="str">
        <f t="shared" si="352"/>
        <v/>
      </c>
      <c r="BB812" s="27" t="str">
        <f t="shared" si="353"/>
        <v/>
      </c>
      <c r="BC812" s="27" t="str">
        <f t="shared" si="354"/>
        <v/>
      </c>
      <c r="BD812" s="27" t="str">
        <f t="shared" si="355"/>
        <v/>
      </c>
      <c r="BE812" s="27" t="str">
        <f t="shared" si="356"/>
        <v/>
      </c>
      <c r="BF812" s="27" t="str">
        <f t="shared" si="357"/>
        <v/>
      </c>
      <c r="BG812" s="27" t="str">
        <f t="shared" si="358"/>
        <v/>
      </c>
      <c r="BH812" s="27" t="str">
        <f t="shared" si="359"/>
        <v/>
      </c>
      <c r="BI812" s="27" t="str">
        <f t="shared" si="360"/>
        <v/>
      </c>
      <c r="BJ812" s="27" t="str">
        <f t="shared" si="361"/>
        <v>Supp or Hun</v>
      </c>
      <c r="BK812" s="27" t="str">
        <f t="shared" si="362"/>
        <v/>
      </c>
      <c r="BL812" s="27" t="str">
        <f t="shared" si="363"/>
        <v/>
      </c>
      <c r="BM812" s="21" t="s">
        <v>5581</v>
      </c>
    </row>
    <row r="813" spans="1:65" ht="15">
      <c r="A813" s="25" t="str">
        <f>IFERROR(INDEX('Hun Demand'!W:W,MATCH(O813,'Hun Demand'!A:A,0)),"")</f>
        <v/>
      </c>
      <c r="B813" s="25" t="str">
        <f>IFERROR(INDEX('Hun Demand'!V:V,MATCH(O813,'Hun Demand'!A:A,0)),"")</f>
        <v/>
      </c>
      <c r="C813" s="25" t="str">
        <f>IFERROR(INDEX('Hun Demand'!U:U,MATCH(O813,'Hun Demand'!A:A,0)),"")</f>
        <v/>
      </c>
      <c r="D813" s="25" t="str">
        <f>IFERROR(INDEX('Hun Demand'!T:T,MATCH(O813,'Hun Demand'!A:A,0)),"")</f>
        <v/>
      </c>
      <c r="E813" s="25" t="str">
        <f>IFERROR(INDEX('Hun Demand'!S:S,MATCH(O813,'Hun Demand'!A:A,0)),"")</f>
        <v/>
      </c>
      <c r="F813" s="25" t="str">
        <f>IFERROR(INDEX('Hun Demand'!R:R,MATCH(O813,'Hun Demand'!A:A,0)),"")</f>
        <v/>
      </c>
      <c r="G813" s="25">
        <f>IFERROR(INDEX('Aub Demand'!W:W,MATCH(O813,'Aub Demand'!A:A,0)),"")</f>
        <v>987</v>
      </c>
      <c r="H813" s="25">
        <f>IFERROR(INDEX('Aub Demand'!V:V,MATCH(O813,'Aub Demand'!A:A,0)),"")</f>
        <v>125</v>
      </c>
      <c r="I813" s="25">
        <f>IFERROR(INDEX('Aub Demand'!U:U,MATCH(O813,'Aub Demand'!A:A,0)),"")</f>
        <v>639</v>
      </c>
      <c r="J813" s="25">
        <f>IFERROR(INDEX('Aub Demand'!T:T,MATCH(O813,'Aub Demand'!A:A,0)),"")</f>
        <v>21</v>
      </c>
      <c r="K813" s="25">
        <f>IFERROR(INDEX('Aub Demand'!S:S,MATCH(O813,'Aub Demand'!A:A,0)),"")</f>
        <v>137</v>
      </c>
      <c r="L813" s="25">
        <f>IFERROR(INDEX('Aub Demand'!R:R,MATCH(O813,'Aub Demand'!A:A,0)),"")</f>
        <v>0</v>
      </c>
      <c r="O813" s="27" t="s">
        <v>2388</v>
      </c>
      <c r="P813" s="27" t="str">
        <f>IFERROR(INDEX('Aub Demand'!B:B,MATCH($O813,'Aub Demand'!$A:$A,0)),"")</f>
        <v>WINTER GRAY MATRIX 4</v>
      </c>
      <c r="Q813" s="27" t="str">
        <f>IFERROR(INDEX('Aub Demand'!C:C,MATCH($O813,'Aub Demand'!$A:$A,0)),"")</f>
        <v>INTER</v>
      </c>
      <c r="R813" s="52">
        <f>IFERROR(IF(AR814=AR813,INDEX('Aub Demand'!K:K,MATCH($O813,'Aub Demand'!$A:$A,0))-IF(AN813="",0,AN813)+AP814,INDEX('Aub Demand'!K:K,MATCH($O813,'Aub Demand'!$A:$A,0))-IF(AN813="",0,AN813)),"")</f>
        <v>1377</v>
      </c>
      <c r="S813" s="53">
        <f t="shared" si="336"/>
        <v>22.2</v>
      </c>
      <c r="T813" s="52" t="str">
        <f t="shared" si="337"/>
        <v/>
      </c>
      <c r="U813" s="52">
        <f>IFERROR(IF(AR814=AR813,INDEX('Aub Demand'!Q:Q,MATCH($O813,'Aub Demand'!$A:$A,0))-IF(AN813="",0,AN813)+AP814,INDEX('Aub Demand'!Q:Q,MATCH($O813,'Aub Demand'!$A:$A,0))-IF(AN813="",0,AN813)),"")</f>
        <v>1040</v>
      </c>
      <c r="V813" s="53">
        <f t="shared" si="338"/>
        <v>16.8</v>
      </c>
      <c r="W813" s="52" t="str">
        <f t="shared" si="339"/>
        <v/>
      </c>
      <c r="X813" s="52">
        <f>IFERROR(IF(AND(AR814=AR813,AM813&lt;&gt;""),INDEX('Aub Demand'!Q:Q,MATCH($O813,'Aub Demand'!$A:$A,0))-IF(AN813="",0,AN813)+AP814+AD813+AL813,IF(AR814=AR813,INDEX('Aub Demand'!Q:Q,MATCH($O813,'Aub Demand'!$A:$A,0))-IF(AN813="",0,AN813)+AP814+AD813,IF(AM813&lt;&gt;"",INDEX('Aub Demand'!Q:Q,MATCH($O813,'Aub Demand'!$A:$A,0))-IF(AN813="",0,AN813)+AD813+AL813,INDEX('Aub Demand'!Q:Q,MATCH($O813,'Aub Demand'!$A:$A,0))-IF(AN813="",0,AN813)+AD813))),"")</f>
        <v>1040</v>
      </c>
      <c r="Y813" s="53">
        <f t="shared" si="340"/>
        <v>16.8</v>
      </c>
      <c r="Z813" s="52">
        <f>IF(L813="","",INDEX('Aub Demand'!H:H,MATCH($O813,'Aub Demand'!$A:$A,0)))</f>
        <v>266</v>
      </c>
      <c r="AA813" s="52">
        <f t="shared" si="341"/>
        <v>388</v>
      </c>
      <c r="AB813" s="52">
        <f>IFERROR(INDEX('Aub Demand'!L:L,MATCH($O813,'Aub Demand'!$A:$A,0)),"")</f>
        <v>980</v>
      </c>
      <c r="AC813" s="52">
        <f>IFERROR(IF(O813="","",SUMIFS('CPL Mats'!F:F,'CPL Mats'!Q:Q,AR813,'CPL Mats'!S:S,AS813)),"")</f>
        <v>0</v>
      </c>
      <c r="AF813" s="25" t="str">
        <f>IF(SUMIFS('Supp Consol'!S:S,'Supp Consol'!Y:Y,"Releasable",'Supp Consol'!A:A,O813)=0,"",SUMIFS('Supp Consol'!S:S,'Supp Consol'!Y:Y,"Releasable",'Supp Consol'!A:A,O813))</f>
        <v/>
      </c>
      <c r="AG813" s="25" t="str">
        <f>IFERROR(INDEX('Hun Demand'!Q:Q,MATCH(O813,'Hun Demand'!A:A,0)),"")</f>
        <v/>
      </c>
      <c r="AH813" s="25" t="str">
        <f>IFERROR(INDEX('Hun Demand'!H:H,MATCH($O813,'Hun Demand'!$A:$A,0)),"")</f>
        <v/>
      </c>
      <c r="AI813" s="25" t="str">
        <f>IF(SUMIFS('Supp Consol'!AA:AA,'Supp Consol'!Z:Z,"Expires this month",'Supp Consol'!A:A,O813)=0,"",SUMIFS('Supp Consol'!AA:AA,'Supp Consol'!Z:Z,"Expires this month",'Supp Consol'!A:A,O813))</f>
        <v/>
      </c>
      <c r="AJ813" s="25" t="str">
        <f>IF(SUMIFS('Supp Consol'!AA:AA,'Supp Consol'!Z:Z,"Expired Previous Months",'Supp Consol'!A:A,O813)=0,"",SUMIFS('Supp Consol'!AA:AA,'Supp Consol'!Z:Z,"Expired Previous Months",'Supp Consol'!A:A,O813))</f>
        <v/>
      </c>
      <c r="AK813" s="25" t="str">
        <f>IFERROR(INDEX('Hun Release Current'!B:B,MATCH(O813,'Hun Release Current'!A:A,0)),"")</f>
        <v/>
      </c>
      <c r="AL813" s="25" t="str">
        <f>IF(SUMIF('Prev Aub'!A:A,O813,'Prev Aub'!B:B)=0,"",SUMIF('Prev Aub'!A:A,O813,'Prev Aub'!B:B))</f>
        <v/>
      </c>
      <c r="AN813" s="25" t="s">
        <v>3790</v>
      </c>
      <c r="AO813" s="25" t="s">
        <v>3790</v>
      </c>
      <c r="AP813" s="25">
        <f t="shared" si="342"/>
        <v>0</v>
      </c>
      <c r="AQ813" s="151" t="str">
        <f>IF(SUMIFS('Supp Consol'!S:S,'Supp Consol'!A:A,O813,'Supp Consol'!I:I,"PENDING")=0,"",SUMIFS('Supp Consol'!S:S,'Supp Consol'!A:A,O813,'Supp Consol'!I:I,"PENDING"))</f>
        <v/>
      </c>
      <c r="AR813" s="27" t="str">
        <f t="shared" si="343"/>
        <v>MR605</v>
      </c>
      <c r="AS813" s="27" t="str">
        <f t="shared" si="344"/>
        <v>50</v>
      </c>
      <c r="AT813" s="27" t="str">
        <f t="shared" si="345"/>
        <v/>
      </c>
      <c r="AU813" s="27" t="str">
        <f t="shared" si="346"/>
        <v/>
      </c>
      <c r="AV813" s="27" t="str">
        <f t="shared" si="347"/>
        <v/>
      </c>
      <c r="AW813" s="27" t="str">
        <f t="shared" si="348"/>
        <v/>
      </c>
      <c r="AX813" s="27" t="str">
        <f t="shared" si="349"/>
        <v/>
      </c>
      <c r="AY813" s="27" t="str">
        <f t="shared" si="350"/>
        <v/>
      </c>
      <c r="AZ813" s="27" t="str">
        <f t="shared" si="351"/>
        <v>Supp</v>
      </c>
      <c r="BA813" s="27" t="str">
        <f t="shared" si="352"/>
        <v/>
      </c>
      <c r="BB813" s="27" t="str">
        <f t="shared" si="353"/>
        <v/>
      </c>
      <c r="BC813" s="27" t="str">
        <f t="shared" si="354"/>
        <v/>
      </c>
      <c r="BD813" s="27" t="str">
        <f t="shared" si="355"/>
        <v/>
      </c>
      <c r="BE813" s="27" t="str">
        <f t="shared" si="356"/>
        <v/>
      </c>
      <c r="BF813" s="27" t="str">
        <f t="shared" si="357"/>
        <v/>
      </c>
      <c r="BG813" s="27" t="str">
        <f t="shared" si="358"/>
        <v/>
      </c>
      <c r="BH813" s="27" t="str">
        <f t="shared" si="359"/>
        <v/>
      </c>
      <c r="BI813" s="27" t="str">
        <f t="shared" si="360"/>
        <v/>
      </c>
      <c r="BJ813" s="27" t="str">
        <f t="shared" si="361"/>
        <v>Supp or Hun</v>
      </c>
      <c r="BK813" s="27" t="str">
        <f t="shared" si="362"/>
        <v/>
      </c>
      <c r="BL813" s="27" t="str">
        <f t="shared" si="363"/>
        <v/>
      </c>
      <c r="BM813" s="21" t="s">
        <v>5581</v>
      </c>
    </row>
    <row r="814" spans="1:65" ht="15">
      <c r="A814" s="25" t="str">
        <f>IFERROR(INDEX('Hun Demand'!W:W,MATCH(O814,'Hun Demand'!A:A,0)),"")</f>
        <v/>
      </c>
      <c r="B814" s="25" t="str">
        <f>IFERROR(INDEX('Hun Demand'!V:V,MATCH(O814,'Hun Demand'!A:A,0)),"")</f>
        <v/>
      </c>
      <c r="C814" s="25" t="str">
        <f>IFERROR(INDEX('Hun Demand'!U:U,MATCH(O814,'Hun Demand'!A:A,0)),"")</f>
        <v/>
      </c>
      <c r="D814" s="25" t="str">
        <f>IFERROR(INDEX('Hun Demand'!T:T,MATCH(O814,'Hun Demand'!A:A,0)),"")</f>
        <v/>
      </c>
      <c r="E814" s="25" t="str">
        <f>IFERROR(INDEX('Hun Demand'!S:S,MATCH(O814,'Hun Demand'!A:A,0)),"")</f>
        <v/>
      </c>
      <c r="F814" s="25" t="str">
        <f>IFERROR(INDEX('Hun Demand'!R:R,MATCH(O814,'Hun Demand'!A:A,0)),"")</f>
        <v/>
      </c>
      <c r="G814" s="25">
        <f>IFERROR(INDEX('Aub Demand'!W:W,MATCH(O814,'Aub Demand'!A:A,0)),"")</f>
        <v>0</v>
      </c>
      <c r="H814" s="25">
        <f>IFERROR(INDEX('Aub Demand'!V:V,MATCH(O814,'Aub Demand'!A:A,0)),"")</f>
        <v>132</v>
      </c>
      <c r="I814" s="25">
        <f>IFERROR(INDEX('Aub Demand'!U:U,MATCH(O814,'Aub Demand'!A:A,0)),"")</f>
        <v>0</v>
      </c>
      <c r="J814" s="25">
        <f>IFERROR(INDEX('Aub Demand'!T:T,MATCH(O814,'Aub Demand'!A:A,0)),"")</f>
        <v>0</v>
      </c>
      <c r="K814" s="25">
        <f>IFERROR(INDEX('Aub Demand'!S:S,MATCH(O814,'Aub Demand'!A:A,0)),"")</f>
        <v>0</v>
      </c>
      <c r="L814" s="25">
        <f>IFERROR(INDEX('Aub Demand'!R:R,MATCH(O814,'Aub Demand'!A:A,0)),"")</f>
        <v>0</v>
      </c>
      <c r="O814" s="27" t="s">
        <v>2391</v>
      </c>
      <c r="P814" s="27" t="str">
        <f>IFERROR(INDEX('Aub Demand'!B:B,MATCH($O814,'Aub Demand'!$A:$A,0)),"")</f>
        <v>WINTER GRAY MATRIX 6</v>
      </c>
      <c r="Q814" s="27" t="str">
        <f>IFERROR(INDEX('Aub Demand'!C:C,MATCH($O814,'Aub Demand'!$A:$A,0)),"")</f>
        <v>INTER</v>
      </c>
      <c r="R814" s="52">
        <f>IFERROR(IF(AR815=AR814,INDEX('Aub Demand'!K:K,MATCH($O814,'Aub Demand'!$A:$A,0))-IF(AN814="",0,AN814)+AP815,INDEX('Aub Demand'!K:K,MATCH($O814,'Aub Demand'!$A:$A,0))-IF(AN814="",0,AN814)),"")</f>
        <v>109</v>
      </c>
      <c r="S814" s="53" t="str">
        <f t="shared" si="336"/>
        <v>n/a</v>
      </c>
      <c r="T814" s="52" t="str">
        <f t="shared" si="337"/>
        <v/>
      </c>
      <c r="U814" s="52">
        <f>IFERROR(IF(AR815=AR814,INDEX('Aub Demand'!Q:Q,MATCH($O814,'Aub Demand'!$A:$A,0))-IF(AN814="",0,AN814)+AP815,INDEX('Aub Demand'!Q:Q,MATCH($O814,'Aub Demand'!$A:$A,0))-IF(AN814="",0,AN814)),"")</f>
        <v>109</v>
      </c>
      <c r="V814" s="53" t="str">
        <f t="shared" si="338"/>
        <v>n/a</v>
      </c>
      <c r="W814" s="52" t="str">
        <f t="shared" si="339"/>
        <v/>
      </c>
      <c r="X814" s="52">
        <f>IFERROR(IF(AND(AR815=AR814,AM814&lt;&gt;""),INDEX('Aub Demand'!Q:Q,MATCH($O814,'Aub Demand'!$A:$A,0))-IF(AN814="",0,AN814)+AP815+AD814+AL814,IF(AR815=AR814,INDEX('Aub Demand'!Q:Q,MATCH($O814,'Aub Demand'!$A:$A,0))-IF(AN814="",0,AN814)+AP815+AD814,IF(AM814&lt;&gt;"",INDEX('Aub Demand'!Q:Q,MATCH($O814,'Aub Demand'!$A:$A,0))-IF(AN814="",0,AN814)+AD814+AL814,INDEX('Aub Demand'!Q:Q,MATCH($O814,'Aub Demand'!$A:$A,0))-IF(AN814="",0,AN814)+AD814))),"")</f>
        <v>109</v>
      </c>
      <c r="Y814" s="53" t="str">
        <f t="shared" si="340"/>
        <v>n/a</v>
      </c>
      <c r="Z814" s="52">
        <f>IF(L814="","",INDEX('Aub Demand'!H:H,MATCH($O814,'Aub Demand'!$A:$A,0)))</f>
        <v>0</v>
      </c>
      <c r="AA814" s="52" t="str">
        <f t="shared" si="341"/>
        <v>-spike-</v>
      </c>
      <c r="AB814" s="52">
        <f>IFERROR(INDEX('Aub Demand'!L:L,MATCH($O814,'Aub Demand'!$A:$A,0)),"")</f>
        <v>19</v>
      </c>
      <c r="AC814" s="52">
        <f>IFERROR(IF(O814="","",SUMIFS('CPL Mats'!F:F,'CPL Mats'!Q:Q,AR814,'CPL Mats'!S:S,AS814)),"")</f>
        <v>0</v>
      </c>
      <c r="AF814" s="25">
        <f>IF(SUMIFS('Supp Consol'!S:S,'Supp Consol'!Y:Y,"Releasable",'Supp Consol'!A:A,O814)=0,"",SUMIFS('Supp Consol'!S:S,'Supp Consol'!Y:Y,"Releasable",'Supp Consol'!A:A,O814))</f>
        <v>2893</v>
      </c>
      <c r="AG814" s="25" t="str">
        <f>IFERROR(INDEX('Hun Demand'!Q:Q,MATCH(O814,'Hun Demand'!A:A,0)),"")</f>
        <v/>
      </c>
      <c r="AH814" s="25" t="str">
        <f>IFERROR(INDEX('Hun Demand'!H:H,MATCH($O814,'Hun Demand'!$A:$A,0)),"")</f>
        <v/>
      </c>
      <c r="AI814" s="25" t="str">
        <f>IF(SUMIFS('Supp Consol'!AA:AA,'Supp Consol'!Z:Z,"Expires this month",'Supp Consol'!A:A,O814)=0,"",SUMIFS('Supp Consol'!AA:AA,'Supp Consol'!Z:Z,"Expires this month",'Supp Consol'!A:A,O814))</f>
        <v/>
      </c>
      <c r="AJ814" s="25" t="str">
        <f>IF(SUMIFS('Supp Consol'!AA:AA,'Supp Consol'!Z:Z,"Expired Previous Months",'Supp Consol'!A:A,O814)=0,"",SUMIFS('Supp Consol'!AA:AA,'Supp Consol'!Z:Z,"Expired Previous Months",'Supp Consol'!A:A,O814))</f>
        <v/>
      </c>
      <c r="AK814" s="25" t="str">
        <f>IFERROR(INDEX('Hun Release Current'!B:B,MATCH(O814,'Hun Release Current'!A:A,0)),"")</f>
        <v/>
      </c>
      <c r="AL814" s="25" t="str">
        <f>IF(SUMIF('Prev Aub'!A:A,O814,'Prev Aub'!B:B)=0,"",SUMIF('Prev Aub'!A:A,O814,'Prev Aub'!B:B))</f>
        <v/>
      </c>
      <c r="AN814" s="25" t="s">
        <v>3790</v>
      </c>
      <c r="AO814" s="25" t="s">
        <v>3790</v>
      </c>
      <c r="AP814" s="25">
        <f t="shared" si="342"/>
        <v>0</v>
      </c>
      <c r="AQ814" s="151" t="str">
        <f>IF(SUMIFS('Supp Consol'!S:S,'Supp Consol'!A:A,O814,'Supp Consol'!I:I,"PENDING")=0,"",SUMIFS('Supp Consol'!S:S,'Supp Consol'!A:A,O814,'Supp Consol'!I:I,"PENDING"))</f>
        <v/>
      </c>
      <c r="AR814" s="27" t="str">
        <f t="shared" si="343"/>
        <v>MR605</v>
      </c>
      <c r="AS814" s="27" t="str">
        <f t="shared" si="344"/>
        <v>62</v>
      </c>
      <c r="AT814" s="27" t="str">
        <f t="shared" si="345"/>
        <v/>
      </c>
      <c r="AU814" s="27" t="str">
        <f t="shared" si="346"/>
        <v/>
      </c>
      <c r="AV814" s="27" t="str">
        <f t="shared" si="347"/>
        <v/>
      </c>
      <c r="AW814" s="27" t="str">
        <f t="shared" si="348"/>
        <v/>
      </c>
      <c r="AX814" s="27" t="str">
        <f t="shared" si="349"/>
        <v>MR605</v>
      </c>
      <c r="AY814" s="27" t="str">
        <f t="shared" si="350"/>
        <v/>
      </c>
      <c r="AZ814" s="27" t="str">
        <f t="shared" si="351"/>
        <v>Supp</v>
      </c>
      <c r="BA814" s="27" t="str">
        <f t="shared" si="352"/>
        <v/>
      </c>
      <c r="BB814" s="27" t="str">
        <f t="shared" si="353"/>
        <v/>
      </c>
      <c r="BC814" s="27" t="str">
        <f t="shared" si="354"/>
        <v/>
      </c>
      <c r="BD814" s="27" t="str">
        <f t="shared" si="355"/>
        <v/>
      </c>
      <c r="BE814" s="27" t="str">
        <f t="shared" si="356"/>
        <v/>
      </c>
      <c r="BF814" s="27" t="str">
        <f t="shared" si="357"/>
        <v/>
      </c>
      <c r="BG814" s="27" t="str">
        <f t="shared" si="358"/>
        <v/>
      </c>
      <c r="BH814" s="27" t="str">
        <f t="shared" si="359"/>
        <v/>
      </c>
      <c r="BI814" s="27" t="str">
        <f t="shared" si="360"/>
        <v/>
      </c>
      <c r="BJ814" s="27" t="str">
        <f t="shared" si="361"/>
        <v>Supp or Hun</v>
      </c>
      <c r="BK814" s="27" t="str">
        <f t="shared" si="362"/>
        <v/>
      </c>
      <c r="BL814" s="27" t="str">
        <f t="shared" si="363"/>
        <v/>
      </c>
      <c r="BM814" s="21" t="s">
        <v>5581</v>
      </c>
    </row>
    <row r="815" spans="1:65" ht="15">
      <c r="A815" s="25" t="str">
        <f>IFERROR(INDEX('Hun Demand'!W:W,MATCH(O815,'Hun Demand'!A:A,0)),"")</f>
        <v/>
      </c>
      <c r="B815" s="25" t="str">
        <f>IFERROR(INDEX('Hun Demand'!V:V,MATCH(O815,'Hun Demand'!A:A,0)),"")</f>
        <v/>
      </c>
      <c r="C815" s="25" t="str">
        <f>IFERROR(INDEX('Hun Demand'!U:U,MATCH(O815,'Hun Demand'!A:A,0)),"")</f>
        <v/>
      </c>
      <c r="D815" s="25" t="str">
        <f>IFERROR(INDEX('Hun Demand'!T:T,MATCH(O815,'Hun Demand'!A:A,0)),"")</f>
        <v/>
      </c>
      <c r="E815" s="25" t="str">
        <f>IFERROR(INDEX('Hun Demand'!S:S,MATCH(O815,'Hun Demand'!A:A,0)),"")</f>
        <v/>
      </c>
      <c r="F815" s="25" t="str">
        <f>IFERROR(INDEX('Hun Demand'!R:R,MATCH(O815,'Hun Demand'!A:A,0)),"")</f>
        <v/>
      </c>
      <c r="G815" s="25">
        <f>IFERROR(INDEX('Aub Demand'!W:W,MATCH(O815,'Aub Demand'!A:A,0)),"")</f>
        <v>0</v>
      </c>
      <c r="H815" s="25">
        <f>IFERROR(INDEX('Aub Demand'!V:V,MATCH(O815,'Aub Demand'!A:A,0)),"")</f>
        <v>46</v>
      </c>
      <c r="I815" s="25">
        <f>IFERROR(INDEX('Aub Demand'!U:U,MATCH(O815,'Aub Demand'!A:A,0)),"")</f>
        <v>0</v>
      </c>
      <c r="J815" s="25">
        <f>IFERROR(INDEX('Aub Demand'!T:T,MATCH(O815,'Aub Demand'!A:A,0)),"")</f>
        <v>4</v>
      </c>
      <c r="K815" s="25">
        <f>IFERROR(INDEX('Aub Demand'!S:S,MATCH(O815,'Aub Demand'!A:A,0)),"")</f>
        <v>55</v>
      </c>
      <c r="L815" s="25">
        <f>IFERROR(INDEX('Aub Demand'!R:R,MATCH(O815,'Aub Demand'!A:A,0)),"")</f>
        <v>19</v>
      </c>
      <c r="O815" s="27" t="s">
        <v>2393</v>
      </c>
      <c r="P815" s="27" t="str">
        <f>IFERROR(INDEX('Aub Demand'!B:B,MATCH($O815,'Aub Demand'!$A:$A,0)),"")</f>
        <v>PHANTOM GRAY MATRIX</v>
      </c>
      <c r="Q815" s="27" t="str">
        <f>IFERROR(INDEX('Aub Demand'!C:C,MATCH($O815,'Aub Demand'!$A:$A,0)),"")</f>
        <v>INTER</v>
      </c>
      <c r="R815" s="52">
        <f>IFERROR(IF(AR816=AR815,INDEX('Aub Demand'!K:K,MATCH($O815,'Aub Demand'!$A:$A,0))-IF(AN815="",0,AN815)+AP816,INDEX('Aub Demand'!K:K,MATCH($O815,'Aub Demand'!$A:$A,0))-IF(AN815="",0,AN815)),"")</f>
        <v>1500</v>
      </c>
      <c r="S815" s="53">
        <f t="shared" si="336"/>
        <v>321.39999999999998</v>
      </c>
      <c r="T815" s="52" t="str">
        <f t="shared" si="337"/>
        <v/>
      </c>
      <c r="U815" s="52">
        <f>IFERROR(IF(AR816=AR815,INDEX('Aub Demand'!Q:Q,MATCH($O815,'Aub Demand'!$A:$A,0))-IF(AN815="",0,AN815)+AP816,INDEX('Aub Demand'!Q:Q,MATCH($O815,'Aub Demand'!$A:$A,0))-IF(AN815="",0,AN815)),"")</f>
        <v>1486</v>
      </c>
      <c r="V815" s="53">
        <f t="shared" si="338"/>
        <v>318.39999999999998</v>
      </c>
      <c r="W815" s="52" t="str">
        <f t="shared" si="339"/>
        <v/>
      </c>
      <c r="X815" s="52">
        <f>IFERROR(IF(AND(AR816=AR815,AM815&lt;&gt;""),INDEX('Aub Demand'!Q:Q,MATCH($O815,'Aub Demand'!$A:$A,0))-IF(AN815="",0,AN815)+AP816+AD815+AL815,IF(AR816=AR815,INDEX('Aub Demand'!Q:Q,MATCH($O815,'Aub Demand'!$A:$A,0))-IF(AN815="",0,AN815)+AP816+AD815,IF(AM815&lt;&gt;"",INDEX('Aub Demand'!Q:Q,MATCH($O815,'Aub Demand'!$A:$A,0))-IF(AN815="",0,AN815)+AD815+AL815,INDEX('Aub Demand'!Q:Q,MATCH($O815,'Aub Demand'!$A:$A,0))-IF(AN815="",0,AN815)+AD815))),"")</f>
        <v>1486</v>
      </c>
      <c r="Y815" s="53">
        <f t="shared" si="340"/>
        <v>318.39999999999998</v>
      </c>
      <c r="Z815" s="52">
        <f>IF(L815="","",INDEX('Aub Demand'!H:H,MATCH($O815,'Aub Demand'!$A:$A,0)))</f>
        <v>20</v>
      </c>
      <c r="AA815" s="52">
        <f t="shared" si="341"/>
        <v>37</v>
      </c>
      <c r="AB815" s="52">
        <f>IFERROR(INDEX('Aub Demand'!L:L,MATCH($O815,'Aub Demand'!$A:$A,0)),"")</f>
        <v>20</v>
      </c>
      <c r="AC815" s="52">
        <f>IFERROR(IF(O815="","",SUMIFS('CPL Mats'!F:F,'CPL Mats'!Q:Q,AR815,'CPL Mats'!S:S,AS815)),"")</f>
        <v>0</v>
      </c>
      <c r="AF815" s="25" t="str">
        <f>IF(SUMIFS('Supp Consol'!S:S,'Supp Consol'!Y:Y,"Releasable",'Supp Consol'!A:A,O815)=0,"",SUMIFS('Supp Consol'!S:S,'Supp Consol'!Y:Y,"Releasable",'Supp Consol'!A:A,O815))</f>
        <v/>
      </c>
      <c r="AG815" s="25" t="str">
        <f>IFERROR(INDEX('Hun Demand'!Q:Q,MATCH(O815,'Hun Demand'!A:A,0)),"")</f>
        <v/>
      </c>
      <c r="AH815" s="25" t="str">
        <f>IFERROR(INDEX('Hun Demand'!H:H,MATCH($O815,'Hun Demand'!$A:$A,0)),"")</f>
        <v/>
      </c>
      <c r="AI815" s="25" t="str">
        <f>IF(SUMIFS('Supp Consol'!AA:AA,'Supp Consol'!Z:Z,"Expires this month",'Supp Consol'!A:A,O815)=0,"",SUMIFS('Supp Consol'!AA:AA,'Supp Consol'!Z:Z,"Expires this month",'Supp Consol'!A:A,O815))</f>
        <v/>
      </c>
      <c r="AJ815" s="25" t="str">
        <f>IF(SUMIFS('Supp Consol'!AA:AA,'Supp Consol'!Z:Z,"Expired Previous Months",'Supp Consol'!A:A,O815)=0,"",SUMIFS('Supp Consol'!AA:AA,'Supp Consol'!Z:Z,"Expired Previous Months",'Supp Consol'!A:A,O815))</f>
        <v/>
      </c>
      <c r="AK815" s="25" t="str">
        <f>IFERROR(INDEX('Hun Release Current'!B:B,MATCH(O815,'Hun Release Current'!A:A,0)),"")</f>
        <v/>
      </c>
      <c r="AL815" s="25" t="str">
        <f>IF(SUMIF('Prev Aub'!A:A,O815,'Prev Aub'!B:B)=0,"",SUMIF('Prev Aub'!A:A,O815,'Prev Aub'!B:B))</f>
        <v/>
      </c>
      <c r="AN815" s="25" t="s">
        <v>3790</v>
      </c>
      <c r="AO815" s="25" t="s">
        <v>3790</v>
      </c>
      <c r="AP815" s="25">
        <f t="shared" si="342"/>
        <v>0</v>
      </c>
      <c r="AQ815" s="151" t="str">
        <f>IF(SUMIFS('Supp Consol'!S:S,'Supp Consol'!A:A,O815,'Supp Consol'!I:I,"PENDING")=0,"",SUMIFS('Supp Consol'!S:S,'Supp Consol'!A:A,O815,'Supp Consol'!I:I,"PENDING"))</f>
        <v/>
      </c>
      <c r="AR815" s="27" t="str">
        <f t="shared" si="343"/>
        <v>MR607</v>
      </c>
      <c r="AS815" s="27" t="str">
        <f t="shared" si="344"/>
        <v>50</v>
      </c>
      <c r="AT815" s="27" t="str">
        <f t="shared" si="345"/>
        <v/>
      </c>
      <c r="AU815" s="27" t="str">
        <f t="shared" si="346"/>
        <v/>
      </c>
      <c r="AV815" s="27" t="str">
        <f t="shared" si="347"/>
        <v/>
      </c>
      <c r="AW815" s="27" t="str">
        <f t="shared" si="348"/>
        <v/>
      </c>
      <c r="AX815" s="27" t="str">
        <f t="shared" si="349"/>
        <v/>
      </c>
      <c r="AY815" s="27" t="str">
        <f t="shared" si="350"/>
        <v/>
      </c>
      <c r="AZ815" s="27" t="str">
        <f t="shared" si="351"/>
        <v/>
      </c>
      <c r="BA815" s="27" t="str">
        <f t="shared" si="352"/>
        <v/>
      </c>
      <c r="BB815" s="27" t="str">
        <f t="shared" si="353"/>
        <v/>
      </c>
      <c r="BC815" s="27" t="str">
        <f t="shared" si="354"/>
        <v/>
      </c>
      <c r="BD815" s="27" t="str">
        <f t="shared" si="355"/>
        <v/>
      </c>
      <c r="BE815" s="27" t="str">
        <f t="shared" si="356"/>
        <v/>
      </c>
      <c r="BF815" s="27" t="str">
        <f t="shared" si="357"/>
        <v/>
      </c>
      <c r="BG815" s="27" t="str">
        <f t="shared" si="358"/>
        <v/>
      </c>
      <c r="BH815" s="27" t="str">
        <f t="shared" si="359"/>
        <v/>
      </c>
      <c r="BI815" s="27" t="str">
        <f t="shared" si="360"/>
        <v/>
      </c>
      <c r="BJ815" s="27" t="str">
        <f t="shared" si="361"/>
        <v/>
      </c>
      <c r="BK815" s="27" t="str">
        <f t="shared" si="362"/>
        <v/>
      </c>
      <c r="BL815" s="27" t="str">
        <f t="shared" si="363"/>
        <v/>
      </c>
      <c r="BM815" s="21" t="s">
        <v>5581</v>
      </c>
    </row>
    <row r="816" spans="1:65" ht="15">
      <c r="A816" s="25" t="str">
        <f>IFERROR(INDEX('Hun Demand'!W:W,MATCH(O816,'Hun Demand'!A:A,0)),"")</f>
        <v/>
      </c>
      <c r="B816" s="25" t="str">
        <f>IFERROR(INDEX('Hun Demand'!V:V,MATCH(O816,'Hun Demand'!A:A,0)),"")</f>
        <v/>
      </c>
      <c r="C816" s="25" t="str">
        <f>IFERROR(INDEX('Hun Demand'!U:U,MATCH(O816,'Hun Demand'!A:A,0)),"")</f>
        <v/>
      </c>
      <c r="D816" s="25" t="str">
        <f>IFERROR(INDEX('Hun Demand'!T:T,MATCH(O816,'Hun Demand'!A:A,0)),"")</f>
        <v/>
      </c>
      <c r="E816" s="25" t="str">
        <f>IFERROR(INDEX('Hun Demand'!S:S,MATCH(O816,'Hun Demand'!A:A,0)),"")</f>
        <v/>
      </c>
      <c r="F816" s="25" t="str">
        <f>IFERROR(INDEX('Hun Demand'!R:R,MATCH(O816,'Hun Demand'!A:A,0)),"")</f>
        <v/>
      </c>
      <c r="G816" s="25">
        <f>IFERROR(INDEX('Aub Demand'!W:W,MATCH(O816,'Aub Demand'!A:A,0)),"")</f>
        <v>0</v>
      </c>
      <c r="H816" s="25">
        <f>IFERROR(INDEX('Aub Demand'!V:V,MATCH(O816,'Aub Demand'!A:A,0)),"")</f>
        <v>0</v>
      </c>
      <c r="I816" s="25">
        <f>IFERROR(INDEX('Aub Demand'!U:U,MATCH(O816,'Aub Demand'!A:A,0)),"")</f>
        <v>0</v>
      </c>
      <c r="J816" s="25">
        <f>IFERROR(INDEX('Aub Demand'!T:T,MATCH(O816,'Aub Demand'!A:A,0)),"")</f>
        <v>0</v>
      </c>
      <c r="K816" s="25">
        <f>IFERROR(INDEX('Aub Demand'!S:S,MATCH(O816,'Aub Demand'!A:A,0)),"")</f>
        <v>0</v>
      </c>
      <c r="L816" s="25">
        <f>IFERROR(INDEX('Aub Demand'!R:R,MATCH(O816,'Aub Demand'!A:A,0)),"")</f>
        <v>0</v>
      </c>
      <c r="O816" s="27" t="s">
        <v>2396</v>
      </c>
      <c r="P816" s="27" t="str">
        <f>IFERROR(INDEX('Aub Demand'!B:B,MATCH($O816,'Aub Demand'!$A:$A,0)),"")</f>
        <v>PHANTOM GRAY MATRIX</v>
      </c>
      <c r="Q816" s="27" t="str">
        <f>IFERROR(INDEX('Aub Demand'!C:C,MATCH($O816,'Aub Demand'!$A:$A,0)),"")</f>
        <v>INTER</v>
      </c>
      <c r="R816" s="52">
        <f>IFERROR(IF(AR817=AR816,INDEX('Aub Demand'!K:K,MATCH($O816,'Aub Demand'!$A:$A,0))-IF(AN816="",0,AN816)+AP817,INDEX('Aub Demand'!K:K,MATCH($O816,'Aub Demand'!$A:$A,0))-IF(AN816="",0,AN816)),"")</f>
        <v>1220</v>
      </c>
      <c r="S816" s="53" t="str">
        <f t="shared" si="336"/>
        <v>n/a</v>
      </c>
      <c r="T816" s="52" t="str">
        <f t="shared" si="337"/>
        <v/>
      </c>
      <c r="U816" s="52">
        <f>IFERROR(IF(AR817=AR816,INDEX('Aub Demand'!Q:Q,MATCH($O816,'Aub Demand'!$A:$A,0))-IF(AN816="",0,AN816)+AP817,INDEX('Aub Demand'!Q:Q,MATCH($O816,'Aub Demand'!$A:$A,0))-IF(AN816="",0,AN816)),"")</f>
        <v>1180</v>
      </c>
      <c r="V816" s="53" t="str">
        <f t="shared" si="338"/>
        <v>n/a</v>
      </c>
      <c r="W816" s="52" t="str">
        <f t="shared" si="339"/>
        <v/>
      </c>
      <c r="X816" s="52">
        <f>IFERROR(IF(AND(AR817=AR816,AM816&lt;&gt;""),INDEX('Aub Demand'!Q:Q,MATCH($O816,'Aub Demand'!$A:$A,0))-IF(AN816="",0,AN816)+AP817+AD816+AL816,IF(AR817=AR816,INDEX('Aub Demand'!Q:Q,MATCH($O816,'Aub Demand'!$A:$A,0))-IF(AN816="",0,AN816)+AP817+AD816,IF(AM816&lt;&gt;"",INDEX('Aub Demand'!Q:Q,MATCH($O816,'Aub Demand'!$A:$A,0))-IF(AN816="",0,AN816)+AD816+AL816,INDEX('Aub Demand'!Q:Q,MATCH($O816,'Aub Demand'!$A:$A,0))-IF(AN816="",0,AN816)+AD816))),"")</f>
        <v>1180</v>
      </c>
      <c r="Y816" s="53" t="str">
        <f t="shared" si="340"/>
        <v>n/a</v>
      </c>
      <c r="Z816" s="52">
        <f>IF(L816="","",INDEX('Aub Demand'!H:H,MATCH($O816,'Aub Demand'!$A:$A,0)))</f>
        <v>0</v>
      </c>
      <c r="AA816" s="52" t="str">
        <f t="shared" si="341"/>
        <v>-spike-</v>
      </c>
      <c r="AB816" s="52">
        <f>IFERROR(INDEX('Aub Demand'!L:L,MATCH($O816,'Aub Demand'!$A:$A,0)),"")</f>
        <v>13</v>
      </c>
      <c r="AC816" s="52">
        <f>IFERROR(IF(O816="","",SUMIFS('CPL Mats'!F:F,'CPL Mats'!Q:Q,AR816,'CPL Mats'!S:S,AS816)),"")</f>
        <v>0</v>
      </c>
      <c r="AF816" s="25" t="str">
        <f>IF(SUMIFS('Supp Consol'!S:S,'Supp Consol'!Y:Y,"Releasable",'Supp Consol'!A:A,O816)=0,"",SUMIFS('Supp Consol'!S:S,'Supp Consol'!Y:Y,"Releasable",'Supp Consol'!A:A,O816))</f>
        <v/>
      </c>
      <c r="AG816" s="25" t="str">
        <f>IFERROR(INDEX('Hun Demand'!Q:Q,MATCH(O816,'Hun Demand'!A:A,0)),"")</f>
        <v/>
      </c>
      <c r="AH816" s="25" t="str">
        <f>IFERROR(INDEX('Hun Demand'!H:H,MATCH($O816,'Hun Demand'!$A:$A,0)),"")</f>
        <v/>
      </c>
      <c r="AI816" s="25" t="str">
        <f>IF(SUMIFS('Supp Consol'!AA:AA,'Supp Consol'!Z:Z,"Expires this month",'Supp Consol'!A:A,O816)=0,"",SUMIFS('Supp Consol'!AA:AA,'Supp Consol'!Z:Z,"Expires this month",'Supp Consol'!A:A,O816))</f>
        <v/>
      </c>
      <c r="AJ816" s="25" t="str">
        <f>IF(SUMIFS('Supp Consol'!AA:AA,'Supp Consol'!Z:Z,"Expired Previous Months",'Supp Consol'!A:A,O816)=0,"",SUMIFS('Supp Consol'!AA:AA,'Supp Consol'!Z:Z,"Expired Previous Months",'Supp Consol'!A:A,O816))</f>
        <v/>
      </c>
      <c r="AK816" s="25" t="str">
        <f>IFERROR(INDEX('Hun Release Current'!B:B,MATCH(O816,'Hun Release Current'!A:A,0)),"")</f>
        <v/>
      </c>
      <c r="AL816" s="25" t="str">
        <f>IF(SUMIF('Prev Aub'!A:A,O816,'Prev Aub'!B:B)=0,"",SUMIF('Prev Aub'!A:A,O816,'Prev Aub'!B:B))</f>
        <v/>
      </c>
      <c r="AN816" s="25" t="s">
        <v>3790</v>
      </c>
      <c r="AO816" s="25" t="s">
        <v>3790</v>
      </c>
      <c r="AP816" s="25">
        <f t="shared" si="342"/>
        <v>0</v>
      </c>
      <c r="AQ816" s="151" t="str">
        <f>IF(SUMIFS('Supp Consol'!S:S,'Supp Consol'!A:A,O816,'Supp Consol'!I:I,"PENDING")=0,"",SUMIFS('Supp Consol'!S:S,'Supp Consol'!A:A,O816,'Supp Consol'!I:I,"PENDING"))</f>
        <v/>
      </c>
      <c r="AR816" s="27" t="str">
        <f t="shared" si="343"/>
        <v>MR607</v>
      </c>
      <c r="AS816" s="27" t="str">
        <f t="shared" si="344"/>
        <v>62</v>
      </c>
      <c r="AT816" s="27" t="str">
        <f t="shared" si="345"/>
        <v/>
      </c>
      <c r="AU816" s="27" t="str">
        <f t="shared" si="346"/>
        <v/>
      </c>
      <c r="AV816" s="27" t="str">
        <f t="shared" si="347"/>
        <v/>
      </c>
      <c r="AW816" s="27" t="str">
        <f t="shared" si="348"/>
        <v/>
      </c>
      <c r="AX816" s="27" t="str">
        <f t="shared" si="349"/>
        <v/>
      </c>
      <c r="AY816" s="27" t="str">
        <f t="shared" si="350"/>
        <v/>
      </c>
      <c r="AZ816" s="27" t="str">
        <f t="shared" si="351"/>
        <v/>
      </c>
      <c r="BA816" s="27" t="str">
        <f t="shared" si="352"/>
        <v/>
      </c>
      <c r="BB816" s="27" t="str">
        <f t="shared" si="353"/>
        <v/>
      </c>
      <c r="BC816" s="27" t="str">
        <f t="shared" si="354"/>
        <v/>
      </c>
      <c r="BD816" s="27" t="str">
        <f t="shared" si="355"/>
        <v/>
      </c>
      <c r="BE816" s="27" t="str">
        <f t="shared" si="356"/>
        <v/>
      </c>
      <c r="BF816" s="27" t="str">
        <f t="shared" si="357"/>
        <v/>
      </c>
      <c r="BG816" s="27" t="str">
        <f t="shared" si="358"/>
        <v/>
      </c>
      <c r="BH816" s="27" t="str">
        <f t="shared" si="359"/>
        <v/>
      </c>
      <c r="BI816" s="27" t="str">
        <f t="shared" si="360"/>
        <v/>
      </c>
      <c r="BJ816" s="27" t="str">
        <f t="shared" si="361"/>
        <v/>
      </c>
      <c r="BK816" s="27" t="str">
        <f t="shared" si="362"/>
        <v/>
      </c>
      <c r="BL816" s="27" t="str">
        <f t="shared" si="363"/>
        <v/>
      </c>
      <c r="BM816" s="21" t="s">
        <v>5581</v>
      </c>
    </row>
    <row r="817" spans="1:65" ht="15">
      <c r="A817" s="25">
        <f>IFERROR(INDEX('Hun Demand'!W:W,MATCH(O817,'Hun Demand'!A:A,0)),"")</f>
        <v>0</v>
      </c>
      <c r="B817" s="25">
        <f>IFERROR(INDEX('Hun Demand'!V:V,MATCH(O817,'Hun Demand'!A:A,0)),"")</f>
        <v>0</v>
      </c>
      <c r="C817" s="25">
        <f>IFERROR(INDEX('Hun Demand'!U:U,MATCH(O817,'Hun Demand'!A:A,0)),"")</f>
        <v>0</v>
      </c>
      <c r="D817" s="25">
        <f>IFERROR(INDEX('Hun Demand'!T:T,MATCH(O817,'Hun Demand'!A:A,0)),"")</f>
        <v>0</v>
      </c>
      <c r="E817" s="25">
        <f>IFERROR(INDEX('Hun Demand'!S:S,MATCH(O817,'Hun Demand'!A:A,0)),"")</f>
        <v>142</v>
      </c>
      <c r="F817" s="25">
        <f>IFERROR(INDEX('Hun Demand'!R:R,MATCH(O817,'Hun Demand'!A:A,0)),"")</f>
        <v>0</v>
      </c>
      <c r="G817" s="25">
        <f>IFERROR(INDEX('Aub Demand'!W:W,MATCH(O817,'Aub Demand'!A:A,0)),"")</f>
        <v>0</v>
      </c>
      <c r="H817" s="25">
        <f>IFERROR(INDEX('Aub Demand'!V:V,MATCH(O817,'Aub Demand'!A:A,0)),"")</f>
        <v>0</v>
      </c>
      <c r="I817" s="25">
        <f>IFERROR(INDEX('Aub Demand'!U:U,MATCH(O817,'Aub Demand'!A:A,0)),"")</f>
        <v>0</v>
      </c>
      <c r="J817" s="25">
        <f>IFERROR(INDEX('Aub Demand'!T:T,MATCH(O817,'Aub Demand'!A:A,0)),"")</f>
        <v>0</v>
      </c>
      <c r="K817" s="25">
        <f>IFERROR(INDEX('Aub Demand'!S:S,MATCH(O817,'Aub Demand'!A:A,0)),"")</f>
        <v>490</v>
      </c>
      <c r="L817" s="25">
        <f>IFERROR(INDEX('Aub Demand'!R:R,MATCH(O817,'Aub Demand'!A:A,0)),"")</f>
        <v>0</v>
      </c>
      <c r="O817" s="27" t="s">
        <v>2397</v>
      </c>
      <c r="P817" s="27" t="str">
        <f>IFERROR(INDEX('Aub Demand'!B:B,MATCH($O817,'Aub Demand'!$A:$A,0)),"")</f>
        <v>BIRCH MATRIX 48"</v>
      </c>
      <c r="Q817" s="27" t="str">
        <f>IFERROR(INDEX('Aub Demand'!C:C,MATCH($O817,'Aub Demand'!$A:$A,0)),"")</f>
        <v>INTER</v>
      </c>
      <c r="R817" s="52">
        <f>IFERROR(IF(AR818=AR817,INDEX('Aub Demand'!K:K,MATCH($O817,'Aub Demand'!$A:$A,0))-IF(AN817="",0,AN817)+AP818,INDEX('Aub Demand'!K:K,MATCH($O817,'Aub Demand'!$A:$A,0))-IF(AN817="",0,AN817)),"")</f>
        <v>2880</v>
      </c>
      <c r="S817" s="53">
        <f t="shared" si="336"/>
        <v>75.7</v>
      </c>
      <c r="T817" s="52" t="str">
        <f t="shared" si="337"/>
        <v/>
      </c>
      <c r="U817" s="52">
        <f>IFERROR(IF(AR818=AR817,INDEX('Aub Demand'!Q:Q,MATCH($O817,'Aub Demand'!$A:$A,0))-IF(AN817="",0,AN817)+AP818,INDEX('Aub Demand'!Q:Q,MATCH($O817,'Aub Demand'!$A:$A,0))-IF(AN817="",0,AN817)),"")</f>
        <v>2880</v>
      </c>
      <c r="V817" s="53">
        <f t="shared" si="338"/>
        <v>75.7</v>
      </c>
      <c r="W817" s="52" t="str">
        <f t="shared" si="339"/>
        <v/>
      </c>
      <c r="X817" s="52">
        <f>IFERROR(IF(AND(AR818=AR817,AM817&lt;&gt;""),INDEX('Aub Demand'!Q:Q,MATCH($O817,'Aub Demand'!$A:$A,0))-IF(AN817="",0,AN817)+AP818+AD817+AL817,IF(AR818=AR817,INDEX('Aub Demand'!Q:Q,MATCH($O817,'Aub Demand'!$A:$A,0))-IF(AN817="",0,AN817)+AP818+AD817,IF(AM817&lt;&gt;"",INDEX('Aub Demand'!Q:Q,MATCH($O817,'Aub Demand'!$A:$A,0))-IF(AN817="",0,AN817)+AD817+AL817,INDEX('Aub Demand'!Q:Q,MATCH($O817,'Aub Demand'!$A:$A,0))-IF(AN817="",0,AN817)+AD817))),"")</f>
        <v>2880</v>
      </c>
      <c r="Y817" s="53">
        <f t="shared" si="340"/>
        <v>75.7</v>
      </c>
      <c r="Z817" s="52">
        <f>IF(L817="","",INDEX('Aub Demand'!H:H,MATCH($O817,'Aub Demand'!$A:$A,0)))</f>
        <v>163</v>
      </c>
      <c r="AA817" s="52" t="str">
        <f t="shared" si="341"/>
        <v>-spike-</v>
      </c>
      <c r="AB817" s="52">
        <f>IFERROR(INDEX('Aub Demand'!L:L,MATCH($O817,'Aub Demand'!$A:$A,0)),"")</f>
        <v>7</v>
      </c>
      <c r="AC817" s="52">
        <f>IFERROR(IF(O817="","",SUMIFS('CPL Mats'!F:F,'CPL Mats'!Q:Q,AR817,'CPL Mats'!S:S,AS817)),"")</f>
        <v>0</v>
      </c>
      <c r="AF817" s="25" t="str">
        <f>IF(SUMIFS('Supp Consol'!S:S,'Supp Consol'!Y:Y,"Releasable",'Supp Consol'!A:A,O817)=0,"",SUMIFS('Supp Consol'!S:S,'Supp Consol'!Y:Y,"Releasable",'Supp Consol'!A:A,O817))</f>
        <v/>
      </c>
      <c r="AG817" s="25">
        <f>IFERROR(INDEX('Hun Demand'!Q:Q,MATCH(O817,'Hun Demand'!A:A,0)),"")</f>
        <v>348</v>
      </c>
      <c r="AH817" s="25">
        <f>IFERROR(INDEX('Hun Demand'!H:H,MATCH($O817,'Hun Demand'!$A:$A,0)),"")</f>
        <v>47</v>
      </c>
      <c r="AI817" s="25" t="str">
        <f>IF(SUMIFS('Supp Consol'!AA:AA,'Supp Consol'!Z:Z,"Expires this month",'Supp Consol'!A:A,O817)=0,"",SUMIFS('Supp Consol'!AA:AA,'Supp Consol'!Z:Z,"Expires this month",'Supp Consol'!A:A,O817))</f>
        <v/>
      </c>
      <c r="AJ817" s="25" t="str">
        <f>IF(SUMIFS('Supp Consol'!AA:AA,'Supp Consol'!Z:Z,"Expired Previous Months",'Supp Consol'!A:A,O817)=0,"",SUMIFS('Supp Consol'!AA:AA,'Supp Consol'!Z:Z,"Expired Previous Months",'Supp Consol'!A:A,O817))</f>
        <v/>
      </c>
      <c r="AK817" s="25" t="str">
        <f>IFERROR(INDEX('Hun Release Current'!B:B,MATCH(O817,'Hun Release Current'!A:A,0)),"")</f>
        <v/>
      </c>
      <c r="AL817" s="25" t="str">
        <f>IF(SUMIF('Prev Aub'!A:A,O817,'Prev Aub'!B:B)=0,"",SUMIF('Prev Aub'!A:A,O817,'Prev Aub'!B:B))</f>
        <v/>
      </c>
      <c r="AN817" s="25" t="s">
        <v>3790</v>
      </c>
      <c r="AO817" s="25" t="s">
        <v>3790</v>
      </c>
      <c r="AP817" s="25">
        <f t="shared" si="342"/>
        <v>0</v>
      </c>
      <c r="AQ817" s="151" t="str">
        <f>IF(SUMIFS('Supp Consol'!S:S,'Supp Consol'!A:A,O817,'Supp Consol'!I:I,"PENDING")=0,"",SUMIFS('Supp Consol'!S:S,'Supp Consol'!A:A,O817,'Supp Consol'!I:I,"PENDING"))</f>
        <v/>
      </c>
      <c r="AR817" s="27" t="str">
        <f t="shared" si="343"/>
        <v>MR608</v>
      </c>
      <c r="AS817" s="27" t="str">
        <f t="shared" si="344"/>
        <v>50</v>
      </c>
      <c r="AT817" s="27" t="str">
        <f t="shared" si="345"/>
        <v/>
      </c>
      <c r="AU817" s="27" t="str">
        <f t="shared" si="346"/>
        <v/>
      </c>
      <c r="AV817" s="27" t="str">
        <f t="shared" si="347"/>
        <v/>
      </c>
      <c r="AW817" s="27" t="str">
        <f t="shared" si="348"/>
        <v/>
      </c>
      <c r="AX817" s="27" t="str">
        <f t="shared" si="349"/>
        <v/>
      </c>
      <c r="AY817" s="27" t="str">
        <f t="shared" si="350"/>
        <v>MR608</v>
      </c>
      <c r="AZ817" s="27" t="str">
        <f t="shared" si="351"/>
        <v/>
      </c>
      <c r="BA817" s="27" t="str">
        <f t="shared" si="352"/>
        <v>Hun</v>
      </c>
      <c r="BB817" s="27" t="str">
        <f t="shared" si="353"/>
        <v/>
      </c>
      <c r="BC817" s="27" t="str">
        <f t="shared" si="354"/>
        <v/>
      </c>
      <c r="BD817" s="27" t="str">
        <f t="shared" si="355"/>
        <v/>
      </c>
      <c r="BE817" s="27" t="str">
        <f t="shared" si="356"/>
        <v/>
      </c>
      <c r="BF817" s="27" t="str">
        <f t="shared" si="357"/>
        <v/>
      </c>
      <c r="BG817" s="27" t="str">
        <f t="shared" si="358"/>
        <v/>
      </c>
      <c r="BH817" s="27" t="str">
        <f t="shared" si="359"/>
        <v/>
      </c>
      <c r="BI817" s="27" t="str">
        <f t="shared" si="360"/>
        <v/>
      </c>
      <c r="BJ817" s="27" t="str">
        <f t="shared" si="361"/>
        <v>Supp or Hun</v>
      </c>
      <c r="BK817" s="27" t="str">
        <f t="shared" si="362"/>
        <v/>
      </c>
      <c r="BL817" s="27" t="str">
        <f t="shared" si="363"/>
        <v/>
      </c>
      <c r="BM817" s="21" t="s">
        <v>5581</v>
      </c>
    </row>
    <row r="818" spans="1:65" ht="15">
      <c r="A818" s="25" t="str">
        <f>IFERROR(INDEX('Hun Demand'!W:W,MATCH(O818,'Hun Demand'!A:A,0)),"")</f>
        <v/>
      </c>
      <c r="B818" s="25" t="str">
        <f>IFERROR(INDEX('Hun Demand'!V:V,MATCH(O818,'Hun Demand'!A:A,0)),"")</f>
        <v/>
      </c>
      <c r="C818" s="25" t="str">
        <f>IFERROR(INDEX('Hun Demand'!U:U,MATCH(O818,'Hun Demand'!A:A,0)),"")</f>
        <v/>
      </c>
      <c r="D818" s="25" t="str">
        <f>IFERROR(INDEX('Hun Demand'!T:T,MATCH(O818,'Hun Demand'!A:A,0)),"")</f>
        <v/>
      </c>
      <c r="E818" s="25" t="str">
        <f>IFERROR(INDEX('Hun Demand'!S:S,MATCH(O818,'Hun Demand'!A:A,0)),"")</f>
        <v/>
      </c>
      <c r="F818" s="25" t="str">
        <f>IFERROR(INDEX('Hun Demand'!R:R,MATCH(O818,'Hun Demand'!A:A,0)),"")</f>
        <v/>
      </c>
      <c r="G818" s="25">
        <f>IFERROR(INDEX('Aub Demand'!W:W,MATCH(O818,'Aub Demand'!A:A,0)),"")</f>
        <v>0</v>
      </c>
      <c r="H818" s="25">
        <f>IFERROR(INDEX('Aub Demand'!V:V,MATCH(O818,'Aub Demand'!A:A,0)),"")</f>
        <v>0</v>
      </c>
      <c r="I818" s="25">
        <f>IFERROR(INDEX('Aub Demand'!U:U,MATCH(O818,'Aub Demand'!A:A,0)),"")</f>
        <v>53</v>
      </c>
      <c r="J818" s="25">
        <f>IFERROR(INDEX('Aub Demand'!T:T,MATCH(O818,'Aub Demand'!A:A,0)),"")</f>
        <v>32</v>
      </c>
      <c r="K818" s="25">
        <f>IFERROR(INDEX('Aub Demand'!S:S,MATCH(O818,'Aub Demand'!A:A,0)),"")</f>
        <v>0</v>
      </c>
      <c r="L818" s="25">
        <f>IFERROR(INDEX('Aub Demand'!R:R,MATCH(O818,'Aub Demand'!A:A,0)),"")</f>
        <v>0</v>
      </c>
      <c r="O818" s="27" t="s">
        <v>2400</v>
      </c>
      <c r="P818" s="27" t="str">
        <f>IFERROR(INDEX('Aub Demand'!B:B,MATCH($O818,'Aub Demand'!$A:$A,0)),"")</f>
        <v>BIRCH MATRIX 60"</v>
      </c>
      <c r="Q818" s="27" t="str">
        <f>IFERROR(INDEX('Aub Demand'!C:C,MATCH($O818,'Aub Demand'!$A:$A,0)),"")</f>
        <v>INTER</v>
      </c>
      <c r="R818" s="52">
        <f>IFERROR(IF(AR819=AR818,INDEX('Aub Demand'!K:K,MATCH($O818,'Aub Demand'!$A:$A,0))-IF(AN818="",0,AN818)+AP819,INDEX('Aub Demand'!K:K,MATCH($O818,'Aub Demand'!$A:$A,0))-IF(AN818="",0,AN818)),"")</f>
        <v>421</v>
      </c>
      <c r="S818" s="53">
        <f t="shared" si="336"/>
        <v>64.400000000000006</v>
      </c>
      <c r="T818" s="52" t="str">
        <f t="shared" si="337"/>
        <v/>
      </c>
      <c r="U818" s="52">
        <f>IFERROR(IF(AR819=AR818,INDEX('Aub Demand'!Q:Q,MATCH($O818,'Aub Demand'!$A:$A,0))-IF(AN818="",0,AN818)+AP819,INDEX('Aub Demand'!Q:Q,MATCH($O818,'Aub Demand'!$A:$A,0))-IF(AN818="",0,AN818)),"")</f>
        <v>421</v>
      </c>
      <c r="V818" s="53">
        <f t="shared" si="338"/>
        <v>64.400000000000006</v>
      </c>
      <c r="W818" s="52" t="str">
        <f t="shared" si="339"/>
        <v/>
      </c>
      <c r="X818" s="52">
        <f>IFERROR(IF(AND(AR819=AR818,AM818&lt;&gt;""),INDEX('Aub Demand'!Q:Q,MATCH($O818,'Aub Demand'!$A:$A,0))-IF(AN818="",0,AN818)+AP819+AD818+AL818,IF(AR819=AR818,INDEX('Aub Demand'!Q:Q,MATCH($O818,'Aub Demand'!$A:$A,0))-IF(AN818="",0,AN818)+AP819+AD818,IF(AM818&lt;&gt;"",INDEX('Aub Demand'!Q:Q,MATCH($O818,'Aub Demand'!$A:$A,0))-IF(AN818="",0,AN818)+AD818+AL818,INDEX('Aub Demand'!Q:Q,MATCH($O818,'Aub Demand'!$A:$A,0))-IF(AN818="",0,AN818)+AD818))),"")</f>
        <v>421</v>
      </c>
      <c r="Y818" s="53">
        <f t="shared" si="340"/>
        <v>64.400000000000006</v>
      </c>
      <c r="Z818" s="52">
        <f>IF(L818="","",INDEX('Aub Demand'!H:H,MATCH($O818,'Aub Demand'!$A:$A,0)))</f>
        <v>28</v>
      </c>
      <c r="AA818" s="52">
        <f t="shared" si="341"/>
        <v>42.5</v>
      </c>
      <c r="AB818" s="52">
        <f>IFERROR(INDEX('Aub Demand'!L:L,MATCH($O818,'Aub Demand'!$A:$A,0)),"")</f>
        <v>0</v>
      </c>
      <c r="AC818" s="52">
        <f>IFERROR(IF(O818="","",SUMIFS('CPL Mats'!F:F,'CPL Mats'!Q:Q,AR818,'CPL Mats'!S:S,AS818)),"")</f>
        <v>0</v>
      </c>
      <c r="AF818" s="25" t="str">
        <f>IF(SUMIFS('Supp Consol'!S:S,'Supp Consol'!Y:Y,"Releasable",'Supp Consol'!A:A,O818)=0,"",SUMIFS('Supp Consol'!S:S,'Supp Consol'!Y:Y,"Releasable",'Supp Consol'!A:A,O818))</f>
        <v/>
      </c>
      <c r="AG818" s="25" t="str">
        <f>IFERROR(INDEX('Hun Demand'!Q:Q,MATCH(O818,'Hun Demand'!A:A,0)),"")</f>
        <v/>
      </c>
      <c r="AH818" s="25" t="str">
        <f>IFERROR(INDEX('Hun Demand'!H:H,MATCH($O818,'Hun Demand'!$A:$A,0)),"")</f>
        <v/>
      </c>
      <c r="AI818" s="25" t="str">
        <f>IF(SUMIFS('Supp Consol'!AA:AA,'Supp Consol'!Z:Z,"Expires this month",'Supp Consol'!A:A,O818)=0,"",SUMIFS('Supp Consol'!AA:AA,'Supp Consol'!Z:Z,"Expires this month",'Supp Consol'!A:A,O818))</f>
        <v/>
      </c>
      <c r="AJ818" s="25" t="str">
        <f>IF(SUMIFS('Supp Consol'!AA:AA,'Supp Consol'!Z:Z,"Expired Previous Months",'Supp Consol'!A:A,O818)=0,"",SUMIFS('Supp Consol'!AA:AA,'Supp Consol'!Z:Z,"Expired Previous Months",'Supp Consol'!A:A,O818))</f>
        <v/>
      </c>
      <c r="AK818" s="25" t="str">
        <f>IFERROR(INDEX('Hun Release Current'!B:B,MATCH(O818,'Hun Release Current'!A:A,0)),"")</f>
        <v/>
      </c>
      <c r="AL818" s="25" t="str">
        <f>IF(SUMIF('Prev Aub'!A:A,O818,'Prev Aub'!B:B)=0,"",SUMIF('Prev Aub'!A:A,O818,'Prev Aub'!B:B))</f>
        <v/>
      </c>
      <c r="AN818" s="25" t="s">
        <v>3790</v>
      </c>
      <c r="AO818" s="25" t="s">
        <v>3790</v>
      </c>
      <c r="AP818" s="25">
        <f t="shared" si="342"/>
        <v>0</v>
      </c>
      <c r="AQ818" s="151" t="str">
        <f>IF(SUMIFS('Supp Consol'!S:S,'Supp Consol'!A:A,O818,'Supp Consol'!I:I,"PENDING")=0,"",SUMIFS('Supp Consol'!S:S,'Supp Consol'!A:A,O818,'Supp Consol'!I:I,"PENDING"))</f>
        <v/>
      </c>
      <c r="AR818" s="27" t="str">
        <f t="shared" si="343"/>
        <v>MR608</v>
      </c>
      <c r="AS818" s="27" t="str">
        <f t="shared" si="344"/>
        <v>62</v>
      </c>
      <c r="AT818" s="27" t="str">
        <f t="shared" si="345"/>
        <v/>
      </c>
      <c r="AU818" s="27" t="str">
        <f t="shared" si="346"/>
        <v/>
      </c>
      <c r="AV818" s="27" t="str">
        <f t="shared" si="347"/>
        <v/>
      </c>
      <c r="AW818" s="27" t="str">
        <f t="shared" si="348"/>
        <v/>
      </c>
      <c r="AX818" s="27" t="str">
        <f t="shared" si="349"/>
        <v/>
      </c>
      <c r="AY818" s="27" t="str">
        <f t="shared" si="350"/>
        <v/>
      </c>
      <c r="AZ818" s="27" t="str">
        <f t="shared" si="351"/>
        <v/>
      </c>
      <c r="BA818" s="27" t="str">
        <f t="shared" si="352"/>
        <v>Hun</v>
      </c>
      <c r="BB818" s="27" t="str">
        <f t="shared" si="353"/>
        <v/>
      </c>
      <c r="BC818" s="27" t="str">
        <f t="shared" si="354"/>
        <v/>
      </c>
      <c r="BD818" s="27" t="str">
        <f t="shared" si="355"/>
        <v/>
      </c>
      <c r="BE818" s="27" t="str">
        <f t="shared" si="356"/>
        <v/>
      </c>
      <c r="BF818" s="27" t="str">
        <f t="shared" si="357"/>
        <v/>
      </c>
      <c r="BG818" s="27" t="str">
        <f t="shared" si="358"/>
        <v/>
      </c>
      <c r="BH818" s="27" t="str">
        <f t="shared" si="359"/>
        <v/>
      </c>
      <c r="BI818" s="27" t="str">
        <f t="shared" si="360"/>
        <v/>
      </c>
      <c r="BJ818" s="27" t="str">
        <f t="shared" si="361"/>
        <v>Supp or Hun</v>
      </c>
      <c r="BK818" s="27" t="str">
        <f t="shared" si="362"/>
        <v/>
      </c>
      <c r="BL818" s="27" t="str">
        <f t="shared" si="363"/>
        <v/>
      </c>
      <c r="BM818" s="21" t="s">
        <v>5581</v>
      </c>
    </row>
    <row r="819" spans="1:65" ht="15">
      <c r="A819" s="25" t="str">
        <f>IFERROR(INDEX('Hun Demand'!W:W,MATCH(O819,'Hun Demand'!A:A,0)),"")</f>
        <v/>
      </c>
      <c r="B819" s="25" t="str">
        <f>IFERROR(INDEX('Hun Demand'!V:V,MATCH(O819,'Hun Demand'!A:A,0)),"")</f>
        <v/>
      </c>
      <c r="C819" s="25" t="str">
        <f>IFERROR(INDEX('Hun Demand'!U:U,MATCH(O819,'Hun Demand'!A:A,0)),"")</f>
        <v/>
      </c>
      <c r="D819" s="25" t="str">
        <f>IFERROR(INDEX('Hun Demand'!T:T,MATCH(O819,'Hun Demand'!A:A,0)),"")</f>
        <v/>
      </c>
      <c r="E819" s="25" t="str">
        <f>IFERROR(INDEX('Hun Demand'!S:S,MATCH(O819,'Hun Demand'!A:A,0)),"")</f>
        <v/>
      </c>
      <c r="F819" s="25" t="str">
        <f>IFERROR(INDEX('Hun Demand'!R:R,MATCH(O819,'Hun Demand'!A:A,0)),"")</f>
        <v/>
      </c>
      <c r="G819" s="25">
        <f>IFERROR(INDEX('Aub Demand'!W:W,MATCH(O819,'Aub Demand'!A:A,0)),"")</f>
        <v>0</v>
      </c>
      <c r="H819" s="25">
        <f>IFERROR(INDEX('Aub Demand'!V:V,MATCH(O819,'Aub Demand'!A:A,0)),"")</f>
        <v>19</v>
      </c>
      <c r="I819" s="25">
        <f>IFERROR(INDEX('Aub Demand'!U:U,MATCH(O819,'Aub Demand'!A:A,0)),"")</f>
        <v>3</v>
      </c>
      <c r="J819" s="25">
        <f>IFERROR(INDEX('Aub Demand'!T:T,MATCH(O819,'Aub Demand'!A:A,0)),"")</f>
        <v>1</v>
      </c>
      <c r="K819" s="25">
        <f>IFERROR(INDEX('Aub Demand'!S:S,MATCH(O819,'Aub Demand'!A:A,0)),"")</f>
        <v>61</v>
      </c>
      <c r="L819" s="25">
        <f>IFERROR(INDEX('Aub Demand'!R:R,MATCH(O819,'Aub Demand'!A:A,0)),"")</f>
        <v>0</v>
      </c>
      <c r="O819" s="27" t="s">
        <v>2402</v>
      </c>
      <c r="P819" s="27" t="str">
        <f>IFERROR(INDEX('Aub Demand'!B:B,MATCH($O819,'Aub Demand'!$A:$A,0)),"")</f>
        <v>STUDIO WHITE MATRIX</v>
      </c>
      <c r="Q819" s="27" t="str">
        <f>IFERROR(INDEX('Aub Demand'!C:C,MATCH($O819,'Aub Demand'!$A:$A,0)),"")</f>
        <v>INTER</v>
      </c>
      <c r="R819" s="52">
        <f>IFERROR(IF(AR820=AR819,INDEX('Aub Demand'!K:K,MATCH($O819,'Aub Demand'!$A:$A,0))-IF(AN819="",0,AN819)+AP820,INDEX('Aub Demand'!K:K,MATCH($O819,'Aub Demand'!$A:$A,0))-IF(AN819="",0,AN819)),"")</f>
        <v>85</v>
      </c>
      <c r="S819" s="53">
        <f t="shared" si="336"/>
        <v>16.600000000000001</v>
      </c>
      <c r="T819" s="52" t="str">
        <f t="shared" si="337"/>
        <v/>
      </c>
      <c r="U819" s="52">
        <f>IFERROR(IF(AR820=AR819,INDEX('Aub Demand'!Q:Q,MATCH($O819,'Aub Demand'!$A:$A,0))-IF(AN819="",0,AN819)+AP820,INDEX('Aub Demand'!Q:Q,MATCH($O819,'Aub Demand'!$A:$A,0))-IF(AN819="",0,AN819)),"")</f>
        <v>83</v>
      </c>
      <c r="V819" s="53">
        <f t="shared" si="338"/>
        <v>16.2</v>
      </c>
      <c r="W819" s="52" t="str">
        <f t="shared" si="339"/>
        <v/>
      </c>
      <c r="X819" s="52">
        <f>IFERROR(IF(AND(AR820=AR819,AM819&lt;&gt;""),INDEX('Aub Demand'!Q:Q,MATCH($O819,'Aub Demand'!$A:$A,0))-IF(AN819="",0,AN819)+AP820+AD819+AL819,IF(AR820=AR819,INDEX('Aub Demand'!Q:Q,MATCH($O819,'Aub Demand'!$A:$A,0))-IF(AN819="",0,AN819)+AP820+AD819,IF(AM819&lt;&gt;"",INDEX('Aub Demand'!Q:Q,MATCH($O819,'Aub Demand'!$A:$A,0))-IF(AN819="",0,AN819)+AD819+AL819,INDEX('Aub Demand'!Q:Q,MATCH($O819,'Aub Demand'!$A:$A,0))-IF(AN819="",0,AN819)+AD819))),"")</f>
        <v>83</v>
      </c>
      <c r="Y819" s="53">
        <f t="shared" si="340"/>
        <v>16.2</v>
      </c>
      <c r="Z819" s="52">
        <f>IF(L819="","",INDEX('Aub Demand'!H:H,MATCH($O819,'Aub Demand'!$A:$A,0)))</f>
        <v>22</v>
      </c>
      <c r="AA819" s="52">
        <f t="shared" si="341"/>
        <v>32</v>
      </c>
      <c r="AB819" s="52">
        <f>IFERROR(INDEX('Aub Demand'!L:L,MATCH($O819,'Aub Demand'!$A:$A,0)),"")</f>
        <v>0</v>
      </c>
      <c r="AC819" s="52">
        <f>IFERROR(IF(O819="","",SUMIFS('CPL Mats'!F:F,'CPL Mats'!Q:Q,AR819,'CPL Mats'!S:S,AS819)),"")</f>
        <v>0</v>
      </c>
      <c r="AF819" s="25" t="str">
        <f>IF(SUMIFS('Supp Consol'!S:S,'Supp Consol'!Y:Y,"Releasable",'Supp Consol'!A:A,O819)=0,"",SUMIFS('Supp Consol'!S:S,'Supp Consol'!Y:Y,"Releasable",'Supp Consol'!A:A,O819))</f>
        <v/>
      </c>
      <c r="AG819" s="25" t="str">
        <f>IFERROR(INDEX('Hun Demand'!Q:Q,MATCH(O819,'Hun Demand'!A:A,0)),"")</f>
        <v/>
      </c>
      <c r="AH819" s="25" t="str">
        <f>IFERROR(INDEX('Hun Demand'!H:H,MATCH($O819,'Hun Demand'!$A:$A,0)),"")</f>
        <v/>
      </c>
      <c r="AI819" s="25" t="str">
        <f>IF(SUMIFS('Supp Consol'!AA:AA,'Supp Consol'!Z:Z,"Expires this month",'Supp Consol'!A:A,O819)=0,"",SUMIFS('Supp Consol'!AA:AA,'Supp Consol'!Z:Z,"Expires this month",'Supp Consol'!A:A,O819))</f>
        <v/>
      </c>
      <c r="AJ819" s="25" t="str">
        <f>IF(SUMIFS('Supp Consol'!AA:AA,'Supp Consol'!Z:Z,"Expired Previous Months",'Supp Consol'!A:A,O819)=0,"",SUMIFS('Supp Consol'!AA:AA,'Supp Consol'!Z:Z,"Expired Previous Months",'Supp Consol'!A:A,O819))</f>
        <v/>
      </c>
      <c r="AK819" s="25" t="str">
        <f>IFERROR(INDEX('Hun Release Current'!B:B,MATCH(O819,'Hun Release Current'!A:A,0)),"")</f>
        <v/>
      </c>
      <c r="AL819" s="25" t="str">
        <f>IF(SUMIF('Prev Aub'!A:A,O819,'Prev Aub'!B:B)=0,"",SUMIF('Prev Aub'!A:A,O819,'Prev Aub'!B:B))</f>
        <v/>
      </c>
      <c r="AN819" s="25" t="s">
        <v>3790</v>
      </c>
      <c r="AO819" s="25" t="s">
        <v>3790</v>
      </c>
      <c r="AP819" s="25">
        <f t="shared" si="342"/>
        <v>0</v>
      </c>
      <c r="AQ819" s="151" t="str">
        <f>IF(SUMIFS('Supp Consol'!S:S,'Supp Consol'!A:A,O819,'Supp Consol'!I:I,"PENDING")=0,"",SUMIFS('Supp Consol'!S:S,'Supp Consol'!A:A,O819,'Supp Consol'!I:I,"PENDING"))</f>
        <v/>
      </c>
      <c r="AR819" s="27" t="str">
        <f t="shared" si="343"/>
        <v>MR701</v>
      </c>
      <c r="AS819" s="27" t="str">
        <f t="shared" si="344"/>
        <v>50</v>
      </c>
      <c r="AT819" s="27" t="str">
        <f t="shared" si="345"/>
        <v/>
      </c>
      <c r="AU819" s="27" t="str">
        <f t="shared" si="346"/>
        <v/>
      </c>
      <c r="AV819" s="27" t="str">
        <f t="shared" si="347"/>
        <v/>
      </c>
      <c r="AW819" s="27" t="str">
        <f t="shared" si="348"/>
        <v/>
      </c>
      <c r="AX819" s="27" t="str">
        <f t="shared" si="349"/>
        <v/>
      </c>
      <c r="AY819" s="27" t="str">
        <f t="shared" si="350"/>
        <v/>
      </c>
      <c r="AZ819" s="27" t="str">
        <f t="shared" si="351"/>
        <v/>
      </c>
      <c r="BA819" s="27" t="str">
        <f t="shared" si="352"/>
        <v>Hun</v>
      </c>
      <c r="BB819" s="27" t="str">
        <f t="shared" si="353"/>
        <v/>
      </c>
      <c r="BC819" s="27" t="str">
        <f t="shared" si="354"/>
        <v/>
      </c>
      <c r="BD819" s="27" t="str">
        <f t="shared" si="355"/>
        <v/>
      </c>
      <c r="BE819" s="27" t="str">
        <f t="shared" si="356"/>
        <v/>
      </c>
      <c r="BF819" s="27" t="str">
        <f t="shared" si="357"/>
        <v/>
      </c>
      <c r="BG819" s="27" t="str">
        <f t="shared" si="358"/>
        <v/>
      </c>
      <c r="BH819" s="27" t="str">
        <f t="shared" si="359"/>
        <v/>
      </c>
      <c r="BI819" s="27" t="str">
        <f t="shared" si="360"/>
        <v/>
      </c>
      <c r="BJ819" s="27" t="str">
        <f t="shared" si="361"/>
        <v>Supp or Hun</v>
      </c>
      <c r="BK819" s="27" t="str">
        <f t="shared" si="362"/>
        <v/>
      </c>
      <c r="BL819" s="27" t="str">
        <f t="shared" si="363"/>
        <v/>
      </c>
      <c r="BM819" s="21" t="s">
        <v>5581</v>
      </c>
    </row>
    <row r="820" spans="1:65" ht="15">
      <c r="A820" s="25">
        <f>IFERROR(INDEX('Hun Demand'!W:W,MATCH(O820,'Hun Demand'!A:A,0)),"")</f>
        <v>173</v>
      </c>
      <c r="B820" s="25">
        <f>IFERROR(INDEX('Hun Demand'!V:V,MATCH(O820,'Hun Demand'!A:A,0)),"")</f>
        <v>0</v>
      </c>
      <c r="C820" s="25">
        <f>IFERROR(INDEX('Hun Demand'!U:U,MATCH(O820,'Hun Demand'!A:A,0)),"")</f>
        <v>260</v>
      </c>
      <c r="D820" s="25">
        <f>IFERROR(INDEX('Hun Demand'!T:T,MATCH(O820,'Hun Demand'!A:A,0)),"")</f>
        <v>0</v>
      </c>
      <c r="E820" s="25">
        <f>IFERROR(INDEX('Hun Demand'!S:S,MATCH(O820,'Hun Demand'!A:A,0)),"")</f>
        <v>0</v>
      </c>
      <c r="F820" s="25">
        <f>IFERROR(INDEX('Hun Demand'!R:R,MATCH(O820,'Hun Demand'!A:A,0)),"")</f>
        <v>0</v>
      </c>
      <c r="G820" s="25">
        <f>IFERROR(INDEX('Aub Demand'!W:W,MATCH(O820,'Aub Demand'!A:A,0)),"")</f>
        <v>50</v>
      </c>
      <c r="H820" s="25">
        <f>IFERROR(INDEX('Aub Demand'!V:V,MATCH(O820,'Aub Demand'!A:A,0)),"")</f>
        <v>8</v>
      </c>
      <c r="I820" s="25">
        <f>IFERROR(INDEX('Aub Demand'!U:U,MATCH(O820,'Aub Demand'!A:A,0)),"")</f>
        <v>0</v>
      </c>
      <c r="J820" s="25">
        <f>IFERROR(INDEX('Aub Demand'!T:T,MATCH(O820,'Aub Demand'!A:A,0)),"")</f>
        <v>326</v>
      </c>
      <c r="K820" s="25">
        <f>IFERROR(INDEX('Aub Demand'!S:S,MATCH(O820,'Aub Demand'!A:A,0)),"")</f>
        <v>28</v>
      </c>
      <c r="L820" s="25">
        <f>IFERROR(INDEX('Aub Demand'!R:R,MATCH(O820,'Aub Demand'!A:A,0)),"")</f>
        <v>0</v>
      </c>
      <c r="O820" s="27" t="s">
        <v>2405</v>
      </c>
      <c r="P820" s="27" t="str">
        <f>IFERROR(INDEX('Aub Demand'!B:B,MATCH($O820,'Aub Demand'!$A:$A,0)),"")</f>
        <v>STUDIO WHITE MATRIX</v>
      </c>
      <c r="Q820" s="27" t="str">
        <f>IFERROR(INDEX('Aub Demand'!C:C,MATCH($O820,'Aub Demand'!$A:$A,0)),"")</f>
        <v>INTER</v>
      </c>
      <c r="R820" s="52">
        <f>IFERROR(IF(AR821=AR820,INDEX('Aub Demand'!K:K,MATCH($O820,'Aub Demand'!$A:$A,0))-IF(AN820="",0,AN820)+AP821,INDEX('Aub Demand'!K:K,MATCH($O820,'Aub Demand'!$A:$A,0))-IF(AN820="",0,AN820)),"")</f>
        <v>730</v>
      </c>
      <c r="S820" s="53">
        <f t="shared" si="336"/>
        <v>26.5</v>
      </c>
      <c r="T820" s="52" t="str">
        <f t="shared" si="337"/>
        <v/>
      </c>
      <c r="U820" s="52">
        <f>IFERROR(IF(AR821=AR820,INDEX('Aub Demand'!Q:Q,MATCH($O820,'Aub Demand'!$A:$A,0))-IF(AN820="",0,AN820)+AP821,INDEX('Aub Demand'!Q:Q,MATCH($O820,'Aub Demand'!$A:$A,0))-IF(AN820="",0,AN820)),"")</f>
        <v>730</v>
      </c>
      <c r="V820" s="53">
        <f t="shared" si="338"/>
        <v>26.5</v>
      </c>
      <c r="W820" s="52" t="str">
        <f t="shared" si="339"/>
        <v/>
      </c>
      <c r="X820" s="52">
        <f>IFERROR(IF(AND(AR821=AR820,AM820&lt;&gt;""),INDEX('Aub Demand'!Q:Q,MATCH($O820,'Aub Demand'!$A:$A,0))-IF(AN820="",0,AN820)+AP821+AD820+AL820,IF(AR821=AR820,INDEX('Aub Demand'!Q:Q,MATCH($O820,'Aub Demand'!$A:$A,0))-IF(AN820="",0,AN820)+AP821+AD820,IF(AM820&lt;&gt;"",INDEX('Aub Demand'!Q:Q,MATCH($O820,'Aub Demand'!$A:$A,0))-IF(AN820="",0,AN820)+AD820+AL820,INDEX('Aub Demand'!Q:Q,MATCH($O820,'Aub Demand'!$A:$A,0))-IF(AN820="",0,AN820)+AD820))),"")</f>
        <v>730</v>
      </c>
      <c r="Y820" s="53">
        <f t="shared" si="340"/>
        <v>26.5</v>
      </c>
      <c r="Z820" s="52">
        <f>IF(L820="","",INDEX('Aub Demand'!H:H,MATCH($O820,'Aub Demand'!$A:$A,0)))</f>
        <v>118</v>
      </c>
      <c r="AA820" s="52">
        <f t="shared" si="341"/>
        <v>177</v>
      </c>
      <c r="AB820" s="52">
        <f>IFERROR(INDEX('Aub Demand'!L:L,MATCH($O820,'Aub Demand'!$A:$A,0)),"")</f>
        <v>10</v>
      </c>
      <c r="AC820" s="52">
        <f>IFERROR(IF(O820="","",SUMIFS('CPL Mats'!F:F,'CPL Mats'!Q:Q,AR820,'CPL Mats'!S:S,AS820)),"")</f>
        <v>0</v>
      </c>
      <c r="AF820" s="25" t="str">
        <f>IF(SUMIFS('Supp Consol'!S:S,'Supp Consol'!Y:Y,"Releasable",'Supp Consol'!A:A,O820)=0,"",SUMIFS('Supp Consol'!S:S,'Supp Consol'!Y:Y,"Releasable",'Supp Consol'!A:A,O820))</f>
        <v/>
      </c>
      <c r="AG820" s="25">
        <f>IFERROR(INDEX('Hun Demand'!Q:Q,MATCH(O820,'Hun Demand'!A:A,0)),"")</f>
        <v>326</v>
      </c>
      <c r="AH820" s="25">
        <f>IFERROR(INDEX('Hun Demand'!H:H,MATCH($O820,'Hun Demand'!$A:$A,0)),"")</f>
        <v>87</v>
      </c>
      <c r="AI820" s="25" t="str">
        <f>IF(SUMIFS('Supp Consol'!AA:AA,'Supp Consol'!Z:Z,"Expires this month",'Supp Consol'!A:A,O820)=0,"",SUMIFS('Supp Consol'!AA:AA,'Supp Consol'!Z:Z,"Expires this month",'Supp Consol'!A:A,O820))</f>
        <v/>
      </c>
      <c r="AJ820" s="25" t="str">
        <f>IF(SUMIFS('Supp Consol'!AA:AA,'Supp Consol'!Z:Z,"Expired Previous Months",'Supp Consol'!A:A,O820)=0,"",SUMIFS('Supp Consol'!AA:AA,'Supp Consol'!Z:Z,"Expired Previous Months",'Supp Consol'!A:A,O820))</f>
        <v/>
      </c>
      <c r="AK820" s="25" t="str">
        <f>IFERROR(INDEX('Hun Release Current'!B:B,MATCH(O820,'Hun Release Current'!A:A,0)),"")</f>
        <v/>
      </c>
      <c r="AL820" s="25" t="str">
        <f>IF(SUMIF('Prev Aub'!A:A,O820,'Prev Aub'!B:B)=0,"",SUMIF('Prev Aub'!A:A,O820,'Prev Aub'!B:B))</f>
        <v/>
      </c>
      <c r="AN820" s="25" t="s">
        <v>3790</v>
      </c>
      <c r="AO820" s="25" t="s">
        <v>3790</v>
      </c>
      <c r="AP820" s="25">
        <f t="shared" si="342"/>
        <v>0</v>
      </c>
      <c r="AQ820" s="151" t="str">
        <f>IF(SUMIFS('Supp Consol'!S:S,'Supp Consol'!A:A,O820,'Supp Consol'!I:I,"PENDING")=0,"",SUMIFS('Supp Consol'!S:S,'Supp Consol'!A:A,O820,'Supp Consol'!I:I,"PENDING"))</f>
        <v/>
      </c>
      <c r="AR820" s="27" t="str">
        <f t="shared" si="343"/>
        <v>MR701</v>
      </c>
      <c r="AS820" s="27" t="str">
        <f t="shared" si="344"/>
        <v>62</v>
      </c>
      <c r="AT820" s="27" t="str">
        <f t="shared" si="345"/>
        <v/>
      </c>
      <c r="AU820" s="27" t="str">
        <f t="shared" si="346"/>
        <v/>
      </c>
      <c r="AV820" s="27" t="str">
        <f t="shared" si="347"/>
        <v/>
      </c>
      <c r="AW820" s="27" t="str">
        <f t="shared" si="348"/>
        <v/>
      </c>
      <c r="AX820" s="27" t="str">
        <f t="shared" si="349"/>
        <v/>
      </c>
      <c r="AY820" s="27" t="str">
        <f t="shared" si="350"/>
        <v>MR701</v>
      </c>
      <c r="AZ820" s="27" t="str">
        <f t="shared" si="351"/>
        <v/>
      </c>
      <c r="BA820" s="27" t="str">
        <f t="shared" si="352"/>
        <v>Hun</v>
      </c>
      <c r="BB820" s="27" t="str">
        <f t="shared" si="353"/>
        <v/>
      </c>
      <c r="BC820" s="27" t="str">
        <f t="shared" si="354"/>
        <v/>
      </c>
      <c r="BD820" s="27" t="str">
        <f t="shared" si="355"/>
        <v/>
      </c>
      <c r="BE820" s="27" t="str">
        <f t="shared" si="356"/>
        <v/>
      </c>
      <c r="BF820" s="27" t="str">
        <f t="shared" si="357"/>
        <v/>
      </c>
      <c r="BG820" s="27" t="str">
        <f t="shared" si="358"/>
        <v/>
      </c>
      <c r="BH820" s="27" t="str">
        <f t="shared" si="359"/>
        <v/>
      </c>
      <c r="BI820" s="27" t="str">
        <f t="shared" si="360"/>
        <v/>
      </c>
      <c r="BJ820" s="27" t="str">
        <f t="shared" si="361"/>
        <v>Supp or Hun</v>
      </c>
      <c r="BK820" s="27" t="str">
        <f t="shared" si="362"/>
        <v/>
      </c>
      <c r="BL820" s="27" t="str">
        <f t="shared" si="363"/>
        <v/>
      </c>
      <c r="BM820" s="21" t="s">
        <v>5581</v>
      </c>
    </row>
    <row r="821" spans="1:65" ht="15">
      <c r="A821" s="25" t="str">
        <f>IFERROR(INDEX('Hun Demand'!W:W,MATCH(O821,'Hun Demand'!A:A,0)),"")</f>
        <v/>
      </c>
      <c r="B821" s="25" t="str">
        <f>IFERROR(INDEX('Hun Demand'!V:V,MATCH(O821,'Hun Demand'!A:A,0)),"")</f>
        <v/>
      </c>
      <c r="C821" s="25" t="str">
        <f>IFERROR(INDEX('Hun Demand'!U:U,MATCH(O821,'Hun Demand'!A:A,0)),"")</f>
        <v/>
      </c>
      <c r="D821" s="25" t="str">
        <f>IFERROR(INDEX('Hun Demand'!T:T,MATCH(O821,'Hun Demand'!A:A,0)),"")</f>
        <v/>
      </c>
      <c r="E821" s="25" t="str">
        <f>IFERROR(INDEX('Hun Demand'!S:S,MATCH(O821,'Hun Demand'!A:A,0)),"")</f>
        <v/>
      </c>
      <c r="F821" s="25" t="str">
        <f>IFERROR(INDEX('Hun Demand'!R:R,MATCH(O821,'Hun Demand'!A:A,0)),"")</f>
        <v/>
      </c>
      <c r="G821" s="25">
        <f>IFERROR(INDEX('Aub Demand'!W:W,MATCH(O821,'Aub Demand'!A:A,0)),"")</f>
        <v>0</v>
      </c>
      <c r="H821" s="25">
        <f>IFERROR(INDEX('Aub Demand'!V:V,MATCH(O821,'Aub Demand'!A:A,0)),"")</f>
        <v>80</v>
      </c>
      <c r="I821" s="25">
        <f>IFERROR(INDEX('Aub Demand'!U:U,MATCH(O821,'Aub Demand'!A:A,0)),"")</f>
        <v>9</v>
      </c>
      <c r="J821" s="25">
        <f>IFERROR(INDEX('Aub Demand'!T:T,MATCH(O821,'Aub Demand'!A:A,0)),"")</f>
        <v>10</v>
      </c>
      <c r="K821" s="25">
        <f>IFERROR(INDEX('Aub Demand'!S:S,MATCH(O821,'Aub Demand'!A:A,0)),"")</f>
        <v>94</v>
      </c>
      <c r="L821" s="25">
        <f>IFERROR(INDEX('Aub Demand'!R:R,MATCH(O821,'Aub Demand'!A:A,0)),"")</f>
        <v>0</v>
      </c>
      <c r="O821" s="27" t="s">
        <v>2406</v>
      </c>
      <c r="P821" s="27" t="str">
        <f>IFERROR(INDEX('Aub Demand'!B:B,MATCH($O821,'Aub Demand'!$A:$A,0)),"")</f>
        <v>WILD OATS MATRIX</v>
      </c>
      <c r="Q821" s="27" t="str">
        <f>IFERROR(INDEX('Aub Demand'!C:C,MATCH($O821,'Aub Demand'!$A:$A,0)),"")</f>
        <v>INTER</v>
      </c>
      <c r="R821" s="52">
        <f>IFERROR(IF(AR822=AR821,INDEX('Aub Demand'!K:K,MATCH($O821,'Aub Demand'!$A:$A,0))-IF(AN821="",0,AN821)+AP822,INDEX('Aub Demand'!K:K,MATCH($O821,'Aub Demand'!$A:$A,0))-IF(AN821="",0,AN821)),"")</f>
        <v>1009</v>
      </c>
      <c r="S821" s="53">
        <f t="shared" si="336"/>
        <v>113.8</v>
      </c>
      <c r="T821" s="52" t="str">
        <f t="shared" si="337"/>
        <v/>
      </c>
      <c r="U821" s="52">
        <f>IFERROR(IF(AR822=AR821,INDEX('Aub Demand'!Q:Q,MATCH($O821,'Aub Demand'!$A:$A,0))-IF(AN821="",0,AN821)+AP822,INDEX('Aub Demand'!Q:Q,MATCH($O821,'Aub Demand'!$A:$A,0))-IF(AN821="",0,AN821)),"")</f>
        <v>988</v>
      </c>
      <c r="V821" s="53">
        <f t="shared" si="338"/>
        <v>111.4</v>
      </c>
      <c r="W821" s="52" t="str">
        <f t="shared" si="339"/>
        <v/>
      </c>
      <c r="X821" s="52">
        <f>IFERROR(IF(AND(AR822=AR821,AM821&lt;&gt;""),INDEX('Aub Demand'!Q:Q,MATCH($O821,'Aub Demand'!$A:$A,0))-IF(AN821="",0,AN821)+AP822+AD821+AL821,IF(AR822=AR821,INDEX('Aub Demand'!Q:Q,MATCH($O821,'Aub Demand'!$A:$A,0))-IF(AN821="",0,AN821)+AP822+AD821,IF(AM821&lt;&gt;"",INDEX('Aub Demand'!Q:Q,MATCH($O821,'Aub Demand'!$A:$A,0))-IF(AN821="",0,AN821)+AD821+AL821,INDEX('Aub Demand'!Q:Q,MATCH($O821,'Aub Demand'!$A:$A,0))-IF(AN821="",0,AN821)+AD821))),"")</f>
        <v>988</v>
      </c>
      <c r="Y821" s="53">
        <f t="shared" si="340"/>
        <v>111.4</v>
      </c>
      <c r="Z821" s="52">
        <f>IF(L821="","",INDEX('Aub Demand'!H:H,MATCH($O821,'Aub Demand'!$A:$A,0)))</f>
        <v>38</v>
      </c>
      <c r="AA821" s="52">
        <f t="shared" si="341"/>
        <v>52</v>
      </c>
      <c r="AB821" s="52">
        <f>IFERROR(INDEX('Aub Demand'!L:L,MATCH($O821,'Aub Demand'!$A:$A,0)),"")</f>
        <v>74</v>
      </c>
      <c r="AC821" s="52">
        <f>IFERROR(IF(O821="","",SUMIFS('CPL Mats'!F:F,'CPL Mats'!Q:Q,AR821,'CPL Mats'!S:S,AS821)),"")</f>
        <v>1000</v>
      </c>
      <c r="AF821" s="25" t="str">
        <f>IF(SUMIFS('Supp Consol'!S:S,'Supp Consol'!Y:Y,"Releasable",'Supp Consol'!A:A,O821)=0,"",SUMIFS('Supp Consol'!S:S,'Supp Consol'!Y:Y,"Releasable",'Supp Consol'!A:A,O821))</f>
        <v/>
      </c>
      <c r="AG821" s="25" t="str">
        <f>IFERROR(INDEX('Hun Demand'!Q:Q,MATCH(O821,'Hun Demand'!A:A,0)),"")</f>
        <v/>
      </c>
      <c r="AH821" s="25" t="str">
        <f>IFERROR(INDEX('Hun Demand'!H:H,MATCH($O821,'Hun Demand'!$A:$A,0)),"")</f>
        <v/>
      </c>
      <c r="AI821" s="25" t="str">
        <f>IF(SUMIFS('Supp Consol'!AA:AA,'Supp Consol'!Z:Z,"Expires this month",'Supp Consol'!A:A,O821)=0,"",SUMIFS('Supp Consol'!AA:AA,'Supp Consol'!Z:Z,"Expires this month",'Supp Consol'!A:A,O821))</f>
        <v/>
      </c>
      <c r="AJ821" s="25" t="str">
        <f>IF(SUMIFS('Supp Consol'!AA:AA,'Supp Consol'!Z:Z,"Expired Previous Months",'Supp Consol'!A:A,O821)=0,"",SUMIFS('Supp Consol'!AA:AA,'Supp Consol'!Z:Z,"Expired Previous Months",'Supp Consol'!A:A,O821))</f>
        <v/>
      </c>
      <c r="AK821" s="25" t="str">
        <f>IFERROR(INDEX('Hun Release Current'!B:B,MATCH(O821,'Hun Release Current'!A:A,0)),"")</f>
        <v/>
      </c>
      <c r="AL821" s="25" t="str">
        <f>IF(SUMIF('Prev Aub'!A:A,O821,'Prev Aub'!B:B)=0,"",SUMIF('Prev Aub'!A:A,O821,'Prev Aub'!B:B))</f>
        <v/>
      </c>
      <c r="AN821" s="25" t="s">
        <v>3790</v>
      </c>
      <c r="AO821" s="25" t="s">
        <v>3790</v>
      </c>
      <c r="AP821" s="25">
        <f t="shared" si="342"/>
        <v>0</v>
      </c>
      <c r="AQ821" s="151" t="str">
        <f>IF(SUMIFS('Supp Consol'!S:S,'Supp Consol'!A:A,O821,'Supp Consol'!I:I,"PENDING")=0,"",SUMIFS('Supp Consol'!S:S,'Supp Consol'!A:A,O821,'Supp Consol'!I:I,"PENDING"))</f>
        <v/>
      </c>
      <c r="AR821" s="27" t="str">
        <f t="shared" si="343"/>
        <v>MR702</v>
      </c>
      <c r="AS821" s="27" t="str">
        <f t="shared" si="344"/>
        <v>50</v>
      </c>
      <c r="AT821" s="27" t="str">
        <f t="shared" si="345"/>
        <v/>
      </c>
      <c r="AU821" s="27" t="str">
        <f t="shared" si="346"/>
        <v/>
      </c>
      <c r="AV821" s="27" t="str">
        <f t="shared" si="347"/>
        <v/>
      </c>
      <c r="AW821" s="27" t="str">
        <f t="shared" si="348"/>
        <v/>
      </c>
      <c r="AX821" s="27" t="str">
        <f t="shared" si="349"/>
        <v/>
      </c>
      <c r="AY821" s="27" t="str">
        <f t="shared" si="350"/>
        <v/>
      </c>
      <c r="AZ821" s="27" t="str">
        <f t="shared" si="351"/>
        <v/>
      </c>
      <c r="BA821" s="27" t="str">
        <f t="shared" si="352"/>
        <v>Hun</v>
      </c>
      <c r="BB821" s="27" t="str">
        <f t="shared" si="353"/>
        <v/>
      </c>
      <c r="BC821" s="27" t="str">
        <f t="shared" si="354"/>
        <v/>
      </c>
      <c r="BD821" s="27" t="str">
        <f t="shared" si="355"/>
        <v/>
      </c>
      <c r="BE821" s="27" t="str">
        <f t="shared" si="356"/>
        <v/>
      </c>
      <c r="BF821" s="27" t="str">
        <f t="shared" si="357"/>
        <v/>
      </c>
      <c r="BG821" s="27" t="str">
        <f t="shared" si="358"/>
        <v/>
      </c>
      <c r="BH821" s="27" t="str">
        <f t="shared" si="359"/>
        <v/>
      </c>
      <c r="BI821" s="27" t="str">
        <f t="shared" si="360"/>
        <v/>
      </c>
      <c r="BJ821" s="27" t="str">
        <f t="shared" si="361"/>
        <v>Supp or Hun</v>
      </c>
      <c r="BK821" s="27" t="str">
        <f t="shared" si="362"/>
        <v/>
      </c>
      <c r="BL821" s="27" t="str">
        <f t="shared" si="363"/>
        <v/>
      </c>
      <c r="BM821" s="21" t="s">
        <v>5581</v>
      </c>
    </row>
    <row r="822" spans="1:65" ht="15">
      <c r="A822" s="25">
        <f>IFERROR(INDEX('Hun Demand'!W:W,MATCH(O822,'Hun Demand'!A:A,0)),"")</f>
        <v>298</v>
      </c>
      <c r="B822" s="25">
        <f>IFERROR(INDEX('Hun Demand'!V:V,MATCH(O822,'Hun Demand'!A:A,0)),"")</f>
        <v>0</v>
      </c>
      <c r="C822" s="25">
        <f>IFERROR(INDEX('Hun Demand'!U:U,MATCH(O822,'Hun Demand'!A:A,0)),"")</f>
        <v>0</v>
      </c>
      <c r="D822" s="25">
        <f>IFERROR(INDEX('Hun Demand'!T:T,MATCH(O822,'Hun Demand'!A:A,0)),"")</f>
        <v>0</v>
      </c>
      <c r="E822" s="25">
        <f>IFERROR(INDEX('Hun Demand'!S:S,MATCH(O822,'Hun Demand'!A:A,0)),"")</f>
        <v>0</v>
      </c>
      <c r="F822" s="25">
        <f>IFERROR(INDEX('Hun Demand'!R:R,MATCH(O822,'Hun Demand'!A:A,0)),"")</f>
        <v>0</v>
      </c>
      <c r="G822" s="25">
        <f>IFERROR(INDEX('Aub Demand'!W:W,MATCH(O822,'Aub Demand'!A:A,0)),"")</f>
        <v>28</v>
      </c>
      <c r="H822" s="25">
        <f>IFERROR(INDEX('Aub Demand'!V:V,MATCH(O822,'Aub Demand'!A:A,0)),"")</f>
        <v>69</v>
      </c>
      <c r="I822" s="25">
        <f>IFERROR(INDEX('Aub Demand'!U:U,MATCH(O822,'Aub Demand'!A:A,0)),"")</f>
        <v>0</v>
      </c>
      <c r="J822" s="25">
        <f>IFERROR(INDEX('Aub Demand'!T:T,MATCH(O822,'Aub Demand'!A:A,0)),"")</f>
        <v>123</v>
      </c>
      <c r="K822" s="25">
        <f>IFERROR(INDEX('Aub Demand'!S:S,MATCH(O822,'Aub Demand'!A:A,0)),"")</f>
        <v>115</v>
      </c>
      <c r="L822" s="25">
        <f>IFERROR(INDEX('Aub Demand'!R:R,MATCH(O822,'Aub Demand'!A:A,0)),"")</f>
        <v>0</v>
      </c>
      <c r="O822" s="27" t="s">
        <v>2409</v>
      </c>
      <c r="P822" s="27" t="str">
        <f>IFERROR(INDEX('Aub Demand'!B:B,MATCH($O822,'Aub Demand'!$A:$A,0)),"")</f>
        <v>WILD OATS MATRIX</v>
      </c>
      <c r="Q822" s="27" t="str">
        <f>IFERROR(INDEX('Aub Demand'!C:C,MATCH($O822,'Aub Demand'!$A:$A,0)),"")</f>
        <v>INTER</v>
      </c>
      <c r="R822" s="52">
        <f>IFERROR(IF(AR823=AR822,INDEX('Aub Demand'!K:K,MATCH($O822,'Aub Demand'!$A:$A,0))-IF(AN822="",0,AN822)+AP823,INDEX('Aub Demand'!K:K,MATCH($O822,'Aub Demand'!$A:$A,0))-IF(AN822="",0,AN822)),"")</f>
        <v>1269</v>
      </c>
      <c r="S822" s="53">
        <f t="shared" si="336"/>
        <v>68.8</v>
      </c>
      <c r="T822" s="52" t="str">
        <f t="shared" si="337"/>
        <v/>
      </c>
      <c r="U822" s="52">
        <f>IFERROR(IF(AR823=AR822,INDEX('Aub Demand'!Q:Q,MATCH($O822,'Aub Demand'!$A:$A,0))-IF(AN822="",0,AN822)+AP823,INDEX('Aub Demand'!Q:Q,MATCH($O822,'Aub Demand'!$A:$A,0))-IF(AN822="",0,AN822)),"")</f>
        <v>1269</v>
      </c>
      <c r="V822" s="53">
        <f t="shared" si="338"/>
        <v>68.8</v>
      </c>
      <c r="W822" s="52" t="str">
        <f t="shared" si="339"/>
        <v/>
      </c>
      <c r="X822" s="52">
        <f>IFERROR(IF(AND(AR823=AR822,AM822&lt;&gt;""),INDEX('Aub Demand'!Q:Q,MATCH($O822,'Aub Demand'!$A:$A,0))-IF(AN822="",0,AN822)+AP823+AD822+AL822,IF(AR823=AR822,INDEX('Aub Demand'!Q:Q,MATCH($O822,'Aub Demand'!$A:$A,0))-IF(AN822="",0,AN822)+AP823+AD822,IF(AM822&lt;&gt;"",INDEX('Aub Demand'!Q:Q,MATCH($O822,'Aub Demand'!$A:$A,0))-IF(AN822="",0,AN822)+AD822+AL822,INDEX('Aub Demand'!Q:Q,MATCH($O822,'Aub Demand'!$A:$A,0))-IF(AN822="",0,AN822)+AD822))),"")</f>
        <v>1269</v>
      </c>
      <c r="Y822" s="53">
        <f t="shared" si="340"/>
        <v>68.8</v>
      </c>
      <c r="Z822" s="52">
        <f>IF(L822="","",INDEX('Aub Demand'!H:H,MATCH($O822,'Aub Demand'!$A:$A,0)))</f>
        <v>79</v>
      </c>
      <c r="AA822" s="52">
        <f t="shared" si="341"/>
        <v>119</v>
      </c>
      <c r="AB822" s="52">
        <f>IFERROR(INDEX('Aub Demand'!L:L,MATCH($O822,'Aub Demand'!$A:$A,0)),"")</f>
        <v>126</v>
      </c>
      <c r="AC822" s="52">
        <f>IFERROR(IF(O822="","",SUMIFS('CPL Mats'!F:F,'CPL Mats'!Q:Q,AR822,'CPL Mats'!S:S,AS822)),"")</f>
        <v>1300</v>
      </c>
      <c r="AF822" s="25" t="str">
        <f>IF(SUMIFS('Supp Consol'!S:S,'Supp Consol'!Y:Y,"Releasable",'Supp Consol'!A:A,O822)=0,"",SUMIFS('Supp Consol'!S:S,'Supp Consol'!Y:Y,"Releasable",'Supp Consol'!A:A,O822))</f>
        <v/>
      </c>
      <c r="AG822" s="25">
        <f>IFERROR(INDEX('Hun Demand'!Q:Q,MATCH(O822,'Hun Demand'!A:A,0)),"")</f>
        <v>520</v>
      </c>
      <c r="AH822" s="25">
        <f>IFERROR(INDEX('Hun Demand'!H:H,MATCH($O822,'Hun Demand'!$A:$A,0)),"")</f>
        <v>0</v>
      </c>
      <c r="AI822" s="25" t="str">
        <f>IF(SUMIFS('Supp Consol'!AA:AA,'Supp Consol'!Z:Z,"Expires this month",'Supp Consol'!A:A,O822)=0,"",SUMIFS('Supp Consol'!AA:AA,'Supp Consol'!Z:Z,"Expires this month",'Supp Consol'!A:A,O822))</f>
        <v/>
      </c>
      <c r="AJ822" s="25" t="str">
        <f>IF(SUMIFS('Supp Consol'!AA:AA,'Supp Consol'!Z:Z,"Expired Previous Months",'Supp Consol'!A:A,O822)=0,"",SUMIFS('Supp Consol'!AA:AA,'Supp Consol'!Z:Z,"Expired Previous Months",'Supp Consol'!A:A,O822))</f>
        <v/>
      </c>
      <c r="AK822" s="25" t="str">
        <f>IFERROR(INDEX('Hun Release Current'!B:B,MATCH(O822,'Hun Release Current'!A:A,0)),"")</f>
        <v/>
      </c>
      <c r="AL822" s="25" t="str">
        <f>IF(SUMIF('Prev Aub'!A:A,O822,'Prev Aub'!B:B)=0,"",SUMIF('Prev Aub'!A:A,O822,'Prev Aub'!B:B))</f>
        <v/>
      </c>
      <c r="AN822" s="25" t="s">
        <v>3790</v>
      </c>
      <c r="AO822" s="25" t="s">
        <v>3790</v>
      </c>
      <c r="AP822" s="25">
        <f t="shared" si="342"/>
        <v>0</v>
      </c>
      <c r="AQ822" s="151" t="str">
        <f>IF(SUMIFS('Supp Consol'!S:S,'Supp Consol'!A:A,O822,'Supp Consol'!I:I,"PENDING")=0,"",SUMIFS('Supp Consol'!S:S,'Supp Consol'!A:A,O822,'Supp Consol'!I:I,"PENDING"))</f>
        <v/>
      </c>
      <c r="AR822" s="27" t="str">
        <f t="shared" si="343"/>
        <v>MR702</v>
      </c>
      <c r="AS822" s="27" t="str">
        <f t="shared" si="344"/>
        <v>62</v>
      </c>
      <c r="AT822" s="27" t="str">
        <f t="shared" si="345"/>
        <v/>
      </c>
      <c r="AU822" s="27" t="str">
        <f t="shared" si="346"/>
        <v/>
      </c>
      <c r="AV822" s="27" t="str">
        <f t="shared" si="347"/>
        <v/>
      </c>
      <c r="AW822" s="27" t="str">
        <f t="shared" si="348"/>
        <v/>
      </c>
      <c r="AX822" s="27" t="str">
        <f t="shared" si="349"/>
        <v/>
      </c>
      <c r="AY822" s="27" t="str">
        <f t="shared" si="350"/>
        <v>MR702</v>
      </c>
      <c r="AZ822" s="27" t="str">
        <f t="shared" si="351"/>
        <v/>
      </c>
      <c r="BA822" s="27" t="str">
        <f t="shared" si="352"/>
        <v>Hun</v>
      </c>
      <c r="BB822" s="27" t="str">
        <f t="shared" si="353"/>
        <v/>
      </c>
      <c r="BC822" s="27" t="str">
        <f t="shared" si="354"/>
        <v/>
      </c>
      <c r="BD822" s="27" t="str">
        <f t="shared" si="355"/>
        <v/>
      </c>
      <c r="BE822" s="27" t="str">
        <f t="shared" si="356"/>
        <v/>
      </c>
      <c r="BF822" s="27" t="str">
        <f t="shared" si="357"/>
        <v/>
      </c>
      <c r="BG822" s="27" t="str">
        <f t="shared" si="358"/>
        <v/>
      </c>
      <c r="BH822" s="27" t="str">
        <f t="shared" si="359"/>
        <v/>
      </c>
      <c r="BI822" s="27" t="str">
        <f t="shared" si="360"/>
        <v/>
      </c>
      <c r="BJ822" s="27" t="str">
        <f t="shared" si="361"/>
        <v>Supp or Hun</v>
      </c>
      <c r="BK822" s="27" t="str">
        <f t="shared" si="362"/>
        <v/>
      </c>
      <c r="BL822" s="27" t="str">
        <f t="shared" si="363"/>
        <v/>
      </c>
      <c r="BM822" s="21" t="s">
        <v>5581</v>
      </c>
    </row>
    <row r="823" spans="1:65" ht="15">
      <c r="A823" s="25" t="str">
        <f>IFERROR(INDEX('Hun Demand'!W:W,MATCH(O823,'Hun Demand'!A:A,0)),"")</f>
        <v/>
      </c>
      <c r="B823" s="25" t="str">
        <f>IFERROR(INDEX('Hun Demand'!V:V,MATCH(O823,'Hun Demand'!A:A,0)),"")</f>
        <v/>
      </c>
      <c r="C823" s="25" t="str">
        <f>IFERROR(INDEX('Hun Demand'!U:U,MATCH(O823,'Hun Demand'!A:A,0)),"")</f>
        <v/>
      </c>
      <c r="D823" s="25" t="str">
        <f>IFERROR(INDEX('Hun Demand'!T:T,MATCH(O823,'Hun Demand'!A:A,0)),"")</f>
        <v/>
      </c>
      <c r="E823" s="25" t="str">
        <f>IFERROR(INDEX('Hun Demand'!S:S,MATCH(O823,'Hun Demand'!A:A,0)),"")</f>
        <v/>
      </c>
      <c r="F823" s="25" t="str">
        <f>IFERROR(INDEX('Hun Demand'!R:R,MATCH(O823,'Hun Demand'!A:A,0)),"")</f>
        <v/>
      </c>
      <c r="G823" s="25">
        <f>IFERROR(INDEX('Aub Demand'!W:W,MATCH(O823,'Aub Demand'!A:A,0)),"")</f>
        <v>88</v>
      </c>
      <c r="H823" s="25">
        <f>IFERROR(INDEX('Aub Demand'!V:V,MATCH(O823,'Aub Demand'!A:A,0)),"")</f>
        <v>0</v>
      </c>
      <c r="I823" s="25">
        <f>IFERROR(INDEX('Aub Demand'!U:U,MATCH(O823,'Aub Demand'!A:A,0)),"")</f>
        <v>0</v>
      </c>
      <c r="J823" s="25">
        <f>IFERROR(INDEX('Aub Demand'!T:T,MATCH(O823,'Aub Demand'!A:A,0)),"")</f>
        <v>12</v>
      </c>
      <c r="K823" s="25">
        <f>IFERROR(INDEX('Aub Demand'!S:S,MATCH(O823,'Aub Demand'!A:A,0)),"")</f>
        <v>39</v>
      </c>
      <c r="L823" s="25">
        <f>IFERROR(INDEX('Aub Demand'!R:R,MATCH(O823,'Aub Demand'!A:A,0)),"")</f>
        <v>0</v>
      </c>
      <c r="O823" s="27" t="s">
        <v>1221</v>
      </c>
      <c r="P823" s="27" t="str">
        <f>IFERROR(INDEX('Aub Demand'!B:B,MATCH($O823,'Aub Demand'!$A:$A,0)),"")</f>
        <v>MAN ON THE MOON</v>
      </c>
      <c r="Q823" s="27" t="str">
        <f>IFERROR(INDEX('Aub Demand'!C:C,MATCH($O823,'Aub Demand'!$A:$A,0)),"")</f>
        <v>AHLST</v>
      </c>
      <c r="R823" s="52">
        <f>IFERROR(IF(AR824=AR823,INDEX('Aub Demand'!K:K,MATCH($O823,'Aub Demand'!$A:$A,0))-IF(AN823="",0,AN823)+AP824,INDEX('Aub Demand'!K:K,MATCH($O823,'Aub Demand'!$A:$A,0))-IF(AN823="",0,AN823)),"")</f>
        <v>1797</v>
      </c>
      <c r="S823" s="53">
        <f t="shared" si="336"/>
        <v>453</v>
      </c>
      <c r="T823" s="52" t="str">
        <f t="shared" si="337"/>
        <v/>
      </c>
      <c r="U823" s="52">
        <f>IFERROR(IF(AR824=AR823,INDEX('Aub Demand'!Q:Q,MATCH($O823,'Aub Demand'!$A:$A,0))-IF(AN823="",0,AN823)+AP824,INDEX('Aub Demand'!Q:Q,MATCH($O823,'Aub Demand'!$A:$A,0))-IF(AN823="",0,AN823)),"")</f>
        <v>1754</v>
      </c>
      <c r="V823" s="53">
        <f t="shared" si="338"/>
        <v>442.2</v>
      </c>
      <c r="W823" s="52" t="str">
        <f t="shared" si="339"/>
        <v/>
      </c>
      <c r="X823" s="52">
        <f>IFERROR(IF(AND(AR824=AR823,AM823&lt;&gt;""),INDEX('Aub Demand'!Q:Q,MATCH($O823,'Aub Demand'!$A:$A,0))-IF(AN823="",0,AN823)+AP824+AD823+AL823,IF(AR824=AR823,INDEX('Aub Demand'!Q:Q,MATCH($O823,'Aub Demand'!$A:$A,0))-IF(AN823="",0,AN823)+AP824+AD823,IF(AM823&lt;&gt;"",INDEX('Aub Demand'!Q:Q,MATCH($O823,'Aub Demand'!$A:$A,0))-IF(AN823="",0,AN823)+AD823+AL823,INDEX('Aub Demand'!Q:Q,MATCH($O823,'Aub Demand'!$A:$A,0))-IF(AN823="",0,AN823)+AD823))),"")</f>
        <v>1754</v>
      </c>
      <c r="Y823" s="53">
        <f t="shared" si="340"/>
        <v>442.2</v>
      </c>
      <c r="Z823" s="52">
        <f>IF(L823="","",INDEX('Aub Demand'!H:H,MATCH($O823,'Aub Demand'!$A:$A,0)))</f>
        <v>17</v>
      </c>
      <c r="AA823" s="52">
        <f t="shared" si="341"/>
        <v>25.5</v>
      </c>
      <c r="AB823" s="52">
        <f>IFERROR(INDEX('Aub Demand'!L:L,MATCH($O823,'Aub Demand'!$A:$A,0)),"")</f>
        <v>7</v>
      </c>
      <c r="AC823" s="52">
        <f>IFERROR(IF(O823="","",SUMIFS('CPL Mats'!F:F,'CPL Mats'!Q:Q,AR823,'CPL Mats'!S:S,AS823)),"")</f>
        <v>0</v>
      </c>
      <c r="AF823" s="25" t="str">
        <f>IF(SUMIFS('Supp Consol'!S:S,'Supp Consol'!Y:Y,"Releasable",'Supp Consol'!A:A,O823)=0,"",SUMIFS('Supp Consol'!S:S,'Supp Consol'!Y:Y,"Releasable",'Supp Consol'!A:A,O823))</f>
        <v/>
      </c>
      <c r="AG823" s="25" t="str">
        <f>IFERROR(INDEX('Hun Demand'!Q:Q,MATCH(O823,'Hun Demand'!A:A,0)),"")</f>
        <v/>
      </c>
      <c r="AH823" s="25" t="str">
        <f>IFERROR(INDEX('Hun Demand'!H:H,MATCH($O823,'Hun Demand'!$A:$A,0)),"")</f>
        <v/>
      </c>
      <c r="AI823" s="25" t="str">
        <f>IF(SUMIFS('Supp Consol'!AA:AA,'Supp Consol'!Z:Z,"Expires this month",'Supp Consol'!A:A,O823)=0,"",SUMIFS('Supp Consol'!AA:AA,'Supp Consol'!Z:Z,"Expires this month",'Supp Consol'!A:A,O823))</f>
        <v/>
      </c>
      <c r="AJ823" s="25" t="str">
        <f>IF(SUMIFS('Supp Consol'!AA:AA,'Supp Consol'!Z:Z,"Expired Previous Months",'Supp Consol'!A:A,O823)=0,"",SUMIFS('Supp Consol'!AA:AA,'Supp Consol'!Z:Z,"Expired Previous Months",'Supp Consol'!A:A,O823))</f>
        <v/>
      </c>
      <c r="AK823" s="25" t="str">
        <f>IFERROR(INDEX('Hun Release Current'!B:B,MATCH(O823,'Hun Release Current'!A:A,0)),"")</f>
        <v/>
      </c>
      <c r="AL823" s="25" t="str">
        <f>IF(SUMIF('Prev Aub'!A:A,O823,'Prev Aub'!B:B)=0,"",SUMIF('Prev Aub'!A:A,O823,'Prev Aub'!B:B))</f>
        <v/>
      </c>
      <c r="AN823" s="25" t="s">
        <v>3790</v>
      </c>
      <c r="AO823" s="25" t="s">
        <v>3790</v>
      </c>
      <c r="AP823" s="25">
        <f t="shared" si="342"/>
        <v>0</v>
      </c>
      <c r="AQ823" s="151" t="str">
        <f>IF(SUMIFS('Supp Consol'!S:S,'Supp Consol'!A:A,O823,'Supp Consol'!I:I,"PENDING")=0,"",SUMIFS('Supp Consol'!S:S,'Supp Consol'!A:A,O823,'Supp Consol'!I:I,"PENDING"))</f>
        <v/>
      </c>
      <c r="AR823" s="27" t="str">
        <f t="shared" si="343"/>
        <v>MT250</v>
      </c>
      <c r="AS823" s="27" t="str">
        <f t="shared" si="344"/>
        <v>62</v>
      </c>
      <c r="AT823" s="27" t="str">
        <f t="shared" si="345"/>
        <v/>
      </c>
      <c r="AU823" s="27" t="str">
        <f t="shared" si="346"/>
        <v/>
      </c>
      <c r="AV823" s="27" t="str">
        <f t="shared" si="347"/>
        <v/>
      </c>
      <c r="AW823" s="27" t="str">
        <f t="shared" si="348"/>
        <v/>
      </c>
      <c r="AX823" s="27" t="str">
        <f t="shared" si="349"/>
        <v/>
      </c>
      <c r="AY823" s="27" t="str">
        <f t="shared" si="350"/>
        <v/>
      </c>
      <c r="AZ823" s="27" t="str">
        <f t="shared" si="351"/>
        <v/>
      </c>
      <c r="BA823" s="27" t="str">
        <f t="shared" si="352"/>
        <v/>
      </c>
      <c r="BB823" s="27" t="str">
        <f t="shared" si="353"/>
        <v/>
      </c>
      <c r="BC823" s="27" t="str">
        <f t="shared" si="354"/>
        <v/>
      </c>
      <c r="BD823" s="27" t="str">
        <f t="shared" si="355"/>
        <v/>
      </c>
      <c r="BE823" s="27" t="str">
        <f t="shared" si="356"/>
        <v/>
      </c>
      <c r="BF823" s="27" t="str">
        <f t="shared" si="357"/>
        <v/>
      </c>
      <c r="BG823" s="27" t="str">
        <f t="shared" si="358"/>
        <v/>
      </c>
      <c r="BH823" s="27" t="str">
        <f t="shared" si="359"/>
        <v/>
      </c>
      <c r="BI823" s="27" t="str">
        <f t="shared" si="360"/>
        <v/>
      </c>
      <c r="BJ823" s="27" t="str">
        <f t="shared" si="361"/>
        <v/>
      </c>
      <c r="BK823" s="27" t="str">
        <f t="shared" si="362"/>
        <v/>
      </c>
      <c r="BL823" s="27" t="str">
        <f t="shared" si="363"/>
        <v/>
      </c>
      <c r="BM823" s="21" t="s">
        <v>5581</v>
      </c>
    </row>
    <row r="824" spans="1:65" ht="15">
      <c r="A824" s="25" t="str">
        <f>IFERROR(INDEX('Hun Demand'!W:W,MATCH(O824,'Hun Demand'!A:A,0)),"")</f>
        <v/>
      </c>
      <c r="B824" s="25" t="str">
        <f>IFERROR(INDEX('Hun Demand'!V:V,MATCH(O824,'Hun Demand'!A:A,0)),"")</f>
        <v/>
      </c>
      <c r="C824" s="25" t="str">
        <f>IFERROR(INDEX('Hun Demand'!U:U,MATCH(O824,'Hun Demand'!A:A,0)),"")</f>
        <v/>
      </c>
      <c r="D824" s="25" t="str">
        <f>IFERROR(INDEX('Hun Demand'!T:T,MATCH(O824,'Hun Demand'!A:A,0)),"")</f>
        <v/>
      </c>
      <c r="E824" s="25" t="str">
        <f>IFERROR(INDEX('Hun Demand'!S:S,MATCH(O824,'Hun Demand'!A:A,0)),"")</f>
        <v/>
      </c>
      <c r="F824" s="25" t="str">
        <f>IFERROR(INDEX('Hun Demand'!R:R,MATCH(O824,'Hun Demand'!A:A,0)),"")</f>
        <v/>
      </c>
      <c r="G824" s="25">
        <f>IFERROR(INDEX('Aub Demand'!W:W,MATCH(O824,'Aub Demand'!A:A,0)),"")</f>
        <v>0</v>
      </c>
      <c r="H824" s="25">
        <f>IFERROR(INDEX('Aub Demand'!V:V,MATCH(O824,'Aub Demand'!A:A,0)),"")</f>
        <v>0</v>
      </c>
      <c r="I824" s="25">
        <f>IFERROR(INDEX('Aub Demand'!U:U,MATCH(O824,'Aub Demand'!A:A,0)),"")</f>
        <v>0</v>
      </c>
      <c r="J824" s="25">
        <f>IFERROR(INDEX('Aub Demand'!T:T,MATCH(O824,'Aub Demand'!A:A,0)),"")</f>
        <v>0</v>
      </c>
      <c r="K824" s="25">
        <f>IFERROR(INDEX('Aub Demand'!S:S,MATCH(O824,'Aub Demand'!A:A,0)),"")</f>
        <v>0</v>
      </c>
      <c r="L824" s="25">
        <f>IFERROR(INDEX('Aub Demand'!R:R,MATCH(O824,'Aub Demand'!A:A,0)),"")</f>
        <v>0</v>
      </c>
      <c r="O824" s="27" t="s">
        <v>1223</v>
      </c>
      <c r="P824" s="27" t="str">
        <f>IFERROR(INDEX('Aub Demand'!B:B,MATCH($O824,'Aub Demand'!$A:$A,0)),"")</f>
        <v>SANTIAGO</v>
      </c>
      <c r="Q824" s="27" t="str">
        <f>IFERROR(INDEX('Aub Demand'!C:C,MATCH($O824,'Aub Demand'!$A:$A,0)),"")</f>
        <v>INTER</v>
      </c>
      <c r="R824" s="52">
        <f>IFERROR(IF(AR825=AR824,INDEX('Aub Demand'!K:K,MATCH($O824,'Aub Demand'!$A:$A,0))-IF(AN824="",0,AN824)+AP825,INDEX('Aub Demand'!K:K,MATCH($O824,'Aub Demand'!$A:$A,0))-IF(AN824="",0,AN824)),"")</f>
        <v>91</v>
      </c>
      <c r="S824" s="53" t="str">
        <f t="shared" si="336"/>
        <v>n/a</v>
      </c>
      <c r="T824" s="52" t="str">
        <f t="shared" si="337"/>
        <v/>
      </c>
      <c r="U824" s="52">
        <f>IFERROR(IF(AR825=AR824,INDEX('Aub Demand'!Q:Q,MATCH($O824,'Aub Demand'!$A:$A,0))-IF(AN824="",0,AN824)+AP825,INDEX('Aub Demand'!Q:Q,MATCH($O824,'Aub Demand'!$A:$A,0))-IF(AN824="",0,AN824)),"")</f>
        <v>91</v>
      </c>
      <c r="V824" s="53" t="str">
        <f t="shared" si="338"/>
        <v>n/a</v>
      </c>
      <c r="W824" s="52" t="str">
        <f t="shared" si="339"/>
        <v/>
      </c>
      <c r="X824" s="52">
        <f>IFERROR(IF(AND(AR825=AR824,AM824&lt;&gt;""),INDEX('Aub Demand'!Q:Q,MATCH($O824,'Aub Demand'!$A:$A,0))-IF(AN824="",0,AN824)+AP825+AD824+AL824,IF(AR825=AR824,INDEX('Aub Demand'!Q:Q,MATCH($O824,'Aub Demand'!$A:$A,0))-IF(AN824="",0,AN824)+AP825+AD824,IF(AM824&lt;&gt;"",INDEX('Aub Demand'!Q:Q,MATCH($O824,'Aub Demand'!$A:$A,0))-IF(AN824="",0,AN824)+AD824+AL824,INDEX('Aub Demand'!Q:Q,MATCH($O824,'Aub Demand'!$A:$A,0))-IF(AN824="",0,AN824)+AD824))),"")</f>
        <v>91</v>
      </c>
      <c r="Y824" s="53" t="str">
        <f t="shared" si="340"/>
        <v>n/a</v>
      </c>
      <c r="Z824" s="52">
        <f>IF(L824="","",INDEX('Aub Demand'!H:H,MATCH($O824,'Aub Demand'!$A:$A,0)))</f>
        <v>0</v>
      </c>
      <c r="AA824" s="52" t="str">
        <f t="shared" si="341"/>
        <v>-spike-</v>
      </c>
      <c r="AB824" s="52">
        <f>IFERROR(INDEX('Aub Demand'!L:L,MATCH($O824,'Aub Demand'!$A:$A,0)),"")</f>
        <v>0</v>
      </c>
      <c r="AC824" s="52">
        <f>IFERROR(IF(O824="","",SUMIFS('CPL Mats'!F:F,'CPL Mats'!Q:Q,AR824,'CPL Mats'!S:S,AS824)),"")</f>
        <v>0</v>
      </c>
      <c r="AF824" s="25" t="str">
        <f>IF(SUMIFS('Supp Consol'!S:S,'Supp Consol'!Y:Y,"Releasable",'Supp Consol'!A:A,O824)=0,"",SUMIFS('Supp Consol'!S:S,'Supp Consol'!Y:Y,"Releasable",'Supp Consol'!A:A,O824))</f>
        <v/>
      </c>
      <c r="AG824" s="25" t="str">
        <f>IFERROR(INDEX('Hun Demand'!Q:Q,MATCH(O824,'Hun Demand'!A:A,0)),"")</f>
        <v/>
      </c>
      <c r="AH824" s="25" t="str">
        <f>IFERROR(INDEX('Hun Demand'!H:H,MATCH($O824,'Hun Demand'!$A:$A,0)),"")</f>
        <v/>
      </c>
      <c r="AI824" s="25" t="str">
        <f>IF(SUMIFS('Supp Consol'!AA:AA,'Supp Consol'!Z:Z,"Expires this month",'Supp Consol'!A:A,O824)=0,"",SUMIFS('Supp Consol'!AA:AA,'Supp Consol'!Z:Z,"Expires this month",'Supp Consol'!A:A,O824))</f>
        <v/>
      </c>
      <c r="AJ824" s="25" t="str">
        <f>IF(SUMIFS('Supp Consol'!AA:AA,'Supp Consol'!Z:Z,"Expired Previous Months",'Supp Consol'!A:A,O824)=0,"",SUMIFS('Supp Consol'!AA:AA,'Supp Consol'!Z:Z,"Expired Previous Months",'Supp Consol'!A:A,O824))</f>
        <v/>
      </c>
      <c r="AK824" s="25" t="str">
        <f>IFERROR(INDEX('Hun Release Current'!B:B,MATCH(O824,'Hun Release Current'!A:A,0)),"")</f>
        <v/>
      </c>
      <c r="AL824" s="25" t="str">
        <f>IF(SUMIF('Prev Aub'!A:A,O824,'Prev Aub'!B:B)=0,"",SUMIF('Prev Aub'!A:A,O824,'Prev Aub'!B:B))</f>
        <v/>
      </c>
      <c r="AN824" s="25" t="s">
        <v>3790</v>
      </c>
      <c r="AO824" s="25" t="s">
        <v>3790</v>
      </c>
      <c r="AP824" s="25">
        <f t="shared" si="342"/>
        <v>0</v>
      </c>
      <c r="AQ824" s="151" t="str">
        <f>IF(SUMIFS('Supp Consol'!S:S,'Supp Consol'!A:A,O824,'Supp Consol'!I:I,"PENDING")=0,"",SUMIFS('Supp Consol'!S:S,'Supp Consol'!A:A,O824,'Supp Consol'!I:I,"PENDING"))</f>
        <v/>
      </c>
      <c r="AR824" s="27" t="str">
        <f t="shared" si="343"/>
        <v>MT260</v>
      </c>
      <c r="AS824" s="27" t="str">
        <f t="shared" si="344"/>
        <v>62</v>
      </c>
      <c r="AT824" s="27" t="str">
        <f t="shared" si="345"/>
        <v/>
      </c>
      <c r="AU824" s="27" t="str">
        <f t="shared" si="346"/>
        <v/>
      </c>
      <c r="AV824" s="27" t="str">
        <f t="shared" si="347"/>
        <v/>
      </c>
      <c r="AW824" s="27" t="str">
        <f t="shared" si="348"/>
        <v/>
      </c>
      <c r="AX824" s="27" t="str">
        <f t="shared" si="349"/>
        <v/>
      </c>
      <c r="AY824" s="27" t="str">
        <f t="shared" si="350"/>
        <v/>
      </c>
      <c r="AZ824" s="27" t="str">
        <f t="shared" si="351"/>
        <v/>
      </c>
      <c r="BA824" s="27" t="str">
        <f t="shared" si="352"/>
        <v/>
      </c>
      <c r="BB824" s="27" t="str">
        <f t="shared" si="353"/>
        <v/>
      </c>
      <c r="BC824" s="27" t="str">
        <f t="shared" si="354"/>
        <v/>
      </c>
      <c r="BD824" s="27" t="str">
        <f t="shared" si="355"/>
        <v/>
      </c>
      <c r="BE824" s="27" t="str">
        <f t="shared" si="356"/>
        <v/>
      </c>
      <c r="BF824" s="27" t="str">
        <f t="shared" si="357"/>
        <v/>
      </c>
      <c r="BG824" s="27" t="str">
        <f t="shared" si="358"/>
        <v/>
      </c>
      <c r="BH824" s="27" t="str">
        <f t="shared" si="359"/>
        <v/>
      </c>
      <c r="BI824" s="27" t="str">
        <f t="shared" si="360"/>
        <v/>
      </c>
      <c r="BJ824" s="27" t="str">
        <f t="shared" si="361"/>
        <v/>
      </c>
      <c r="BK824" s="27" t="str">
        <f t="shared" si="362"/>
        <v/>
      </c>
      <c r="BL824" s="27" t="str">
        <f t="shared" si="363"/>
        <v/>
      </c>
      <c r="BM824" s="21" t="s">
        <v>3790</v>
      </c>
    </row>
    <row r="825" spans="1:65" ht="15">
      <c r="A825" s="25" t="str">
        <f>IFERROR(INDEX('Hun Demand'!W:W,MATCH(O825,'Hun Demand'!A:A,0)),"")</f>
        <v/>
      </c>
      <c r="B825" s="25" t="str">
        <f>IFERROR(INDEX('Hun Demand'!V:V,MATCH(O825,'Hun Demand'!A:A,0)),"")</f>
        <v/>
      </c>
      <c r="C825" s="25" t="str">
        <f>IFERROR(INDEX('Hun Demand'!U:U,MATCH(O825,'Hun Demand'!A:A,0)),"")</f>
        <v/>
      </c>
      <c r="D825" s="25" t="str">
        <f>IFERROR(INDEX('Hun Demand'!T:T,MATCH(O825,'Hun Demand'!A:A,0)),"")</f>
        <v/>
      </c>
      <c r="E825" s="25" t="str">
        <f>IFERROR(INDEX('Hun Demand'!S:S,MATCH(O825,'Hun Demand'!A:A,0)),"")</f>
        <v/>
      </c>
      <c r="F825" s="25" t="str">
        <f>IFERROR(INDEX('Hun Demand'!R:R,MATCH(O825,'Hun Demand'!A:A,0)),"")</f>
        <v/>
      </c>
      <c r="G825" s="25">
        <f>IFERROR(INDEX('Aub Demand'!W:W,MATCH(O825,'Aub Demand'!A:A,0)),"")</f>
        <v>0</v>
      </c>
      <c r="H825" s="25">
        <f>IFERROR(INDEX('Aub Demand'!V:V,MATCH(O825,'Aub Demand'!A:A,0)),"")</f>
        <v>0</v>
      </c>
      <c r="I825" s="25">
        <f>IFERROR(INDEX('Aub Demand'!U:U,MATCH(O825,'Aub Demand'!A:A,0)),"")</f>
        <v>0</v>
      </c>
      <c r="J825" s="25">
        <f>IFERROR(INDEX('Aub Demand'!T:T,MATCH(O825,'Aub Demand'!A:A,0)),"")</f>
        <v>0</v>
      </c>
      <c r="K825" s="25">
        <f>IFERROR(INDEX('Aub Demand'!S:S,MATCH(O825,'Aub Demand'!A:A,0)),"")</f>
        <v>0</v>
      </c>
      <c r="L825" s="25">
        <f>IFERROR(INDEX('Aub Demand'!R:R,MATCH(O825,'Aub Demand'!A:A,0)),"")</f>
        <v>0</v>
      </c>
      <c r="O825" s="27" t="s">
        <v>1225</v>
      </c>
      <c r="P825" s="27" t="str">
        <f>IFERROR(INDEX('Aub Demand'!B:B,MATCH($O825,'Aub Demand'!$A:$A,0)),"")</f>
        <v>WILHELMINA</v>
      </c>
      <c r="Q825" s="27" t="str">
        <f>IFERROR(INDEX('Aub Demand'!C:C,MATCH($O825,'Aub Demand'!$A:$A,0)),"")</f>
        <v>TOPPA</v>
      </c>
      <c r="R825" s="52">
        <f>IFERROR(IF(AR826=AR825,INDEX('Aub Demand'!K:K,MATCH($O825,'Aub Demand'!$A:$A,0))-IF(AN825="",0,AN825)+AP826,INDEX('Aub Demand'!K:K,MATCH($O825,'Aub Demand'!$A:$A,0))-IF(AN825="",0,AN825)),"")</f>
        <v>772</v>
      </c>
      <c r="S825" s="53" t="str">
        <f t="shared" si="336"/>
        <v>n/a</v>
      </c>
      <c r="T825" s="52" t="str">
        <f t="shared" si="337"/>
        <v/>
      </c>
      <c r="U825" s="52">
        <f>IFERROR(IF(AR826=AR825,INDEX('Aub Demand'!Q:Q,MATCH($O825,'Aub Demand'!$A:$A,0))-IF(AN825="",0,AN825)+AP826,INDEX('Aub Demand'!Q:Q,MATCH($O825,'Aub Demand'!$A:$A,0))-IF(AN825="",0,AN825)),"")</f>
        <v>772</v>
      </c>
      <c r="V825" s="53" t="str">
        <f t="shared" si="338"/>
        <v>n/a</v>
      </c>
      <c r="W825" s="52" t="str">
        <f t="shared" si="339"/>
        <v/>
      </c>
      <c r="X825" s="52">
        <f>IFERROR(IF(AND(AR826=AR825,AM825&lt;&gt;""),INDEX('Aub Demand'!Q:Q,MATCH($O825,'Aub Demand'!$A:$A,0))-IF(AN825="",0,AN825)+AP826+AD825+AL825,IF(AR826=AR825,INDEX('Aub Demand'!Q:Q,MATCH($O825,'Aub Demand'!$A:$A,0))-IF(AN825="",0,AN825)+AP826+AD825,IF(AM825&lt;&gt;"",INDEX('Aub Demand'!Q:Q,MATCH($O825,'Aub Demand'!$A:$A,0))-IF(AN825="",0,AN825)+AD825+AL825,INDEX('Aub Demand'!Q:Q,MATCH($O825,'Aub Demand'!$A:$A,0))-IF(AN825="",0,AN825)+AD825))),"")</f>
        <v>772</v>
      </c>
      <c r="Y825" s="53" t="str">
        <f t="shared" si="340"/>
        <v>n/a</v>
      </c>
      <c r="Z825" s="52">
        <f>IF(L825="","",INDEX('Aub Demand'!H:H,MATCH($O825,'Aub Demand'!$A:$A,0)))</f>
        <v>0</v>
      </c>
      <c r="AA825" s="52" t="str">
        <f t="shared" si="341"/>
        <v>-spike-</v>
      </c>
      <c r="AB825" s="52">
        <f>IFERROR(INDEX('Aub Demand'!L:L,MATCH($O825,'Aub Demand'!$A:$A,0)),"")</f>
        <v>16</v>
      </c>
      <c r="AC825" s="52">
        <f>IFERROR(IF(O825="","",SUMIFS('CPL Mats'!F:F,'CPL Mats'!Q:Q,AR825,'CPL Mats'!S:S,AS825)),"")</f>
        <v>0</v>
      </c>
      <c r="AF825" s="25" t="str">
        <f>IF(SUMIFS('Supp Consol'!S:S,'Supp Consol'!Y:Y,"Releasable",'Supp Consol'!A:A,O825)=0,"",SUMIFS('Supp Consol'!S:S,'Supp Consol'!Y:Y,"Releasable",'Supp Consol'!A:A,O825))</f>
        <v/>
      </c>
      <c r="AG825" s="25" t="str">
        <f>IFERROR(INDEX('Hun Demand'!Q:Q,MATCH(O825,'Hun Demand'!A:A,0)),"")</f>
        <v/>
      </c>
      <c r="AH825" s="25" t="str">
        <f>IFERROR(INDEX('Hun Demand'!H:H,MATCH($O825,'Hun Demand'!$A:$A,0)),"")</f>
        <v/>
      </c>
      <c r="AI825" s="25" t="str">
        <f>IF(SUMIFS('Supp Consol'!AA:AA,'Supp Consol'!Z:Z,"Expires this month",'Supp Consol'!A:A,O825)=0,"",SUMIFS('Supp Consol'!AA:AA,'Supp Consol'!Z:Z,"Expires this month",'Supp Consol'!A:A,O825))</f>
        <v/>
      </c>
      <c r="AJ825" s="25" t="str">
        <f>IF(SUMIFS('Supp Consol'!AA:AA,'Supp Consol'!Z:Z,"Expired Previous Months",'Supp Consol'!A:A,O825)=0,"",SUMIFS('Supp Consol'!AA:AA,'Supp Consol'!Z:Z,"Expired Previous Months",'Supp Consol'!A:A,O825))</f>
        <v/>
      </c>
      <c r="AK825" s="25" t="str">
        <f>IFERROR(INDEX('Hun Release Current'!B:B,MATCH(O825,'Hun Release Current'!A:A,0)),"")</f>
        <v/>
      </c>
      <c r="AL825" s="25" t="str">
        <f>IF(SUMIF('Prev Aub'!A:A,O825,'Prev Aub'!B:B)=0,"",SUMIF('Prev Aub'!A:A,O825,'Prev Aub'!B:B))</f>
        <v/>
      </c>
      <c r="AN825" s="25" t="s">
        <v>3790</v>
      </c>
      <c r="AO825" s="25" t="s">
        <v>3790</v>
      </c>
      <c r="AP825" s="25">
        <f t="shared" si="342"/>
        <v>0</v>
      </c>
      <c r="AQ825" s="151" t="str">
        <f>IF(SUMIFS('Supp Consol'!S:S,'Supp Consol'!A:A,O825,'Supp Consol'!I:I,"PENDING")=0,"",SUMIFS('Supp Consol'!S:S,'Supp Consol'!A:A,O825,'Supp Consol'!I:I,"PENDING"))</f>
        <v/>
      </c>
      <c r="AR825" s="27" t="str">
        <f t="shared" si="343"/>
        <v>MT290</v>
      </c>
      <c r="AS825" s="27" t="str">
        <f t="shared" si="344"/>
        <v>62</v>
      </c>
      <c r="AT825" s="27" t="str">
        <f t="shared" si="345"/>
        <v/>
      </c>
      <c r="AU825" s="27" t="str">
        <f t="shared" si="346"/>
        <v/>
      </c>
      <c r="AV825" s="27" t="str">
        <f t="shared" si="347"/>
        <v/>
      </c>
      <c r="AW825" s="27" t="str">
        <f t="shared" si="348"/>
        <v/>
      </c>
      <c r="AX825" s="27" t="str">
        <f t="shared" si="349"/>
        <v/>
      </c>
      <c r="AY825" s="27" t="str">
        <f t="shared" si="350"/>
        <v/>
      </c>
      <c r="AZ825" s="27" t="str">
        <f t="shared" si="351"/>
        <v/>
      </c>
      <c r="BA825" s="27" t="str">
        <f t="shared" si="352"/>
        <v/>
      </c>
      <c r="BB825" s="27" t="str">
        <f t="shared" si="353"/>
        <v/>
      </c>
      <c r="BC825" s="27" t="str">
        <f t="shared" si="354"/>
        <v/>
      </c>
      <c r="BD825" s="27" t="str">
        <f t="shared" si="355"/>
        <v/>
      </c>
      <c r="BE825" s="27" t="str">
        <f t="shared" si="356"/>
        <v/>
      </c>
      <c r="BF825" s="27" t="str">
        <f t="shared" si="357"/>
        <v/>
      </c>
      <c r="BG825" s="27" t="str">
        <f t="shared" si="358"/>
        <v/>
      </c>
      <c r="BH825" s="27" t="str">
        <f t="shared" si="359"/>
        <v/>
      </c>
      <c r="BI825" s="27" t="str">
        <f t="shared" si="360"/>
        <v/>
      </c>
      <c r="BJ825" s="27" t="str">
        <f t="shared" si="361"/>
        <v/>
      </c>
      <c r="BK825" s="27" t="str">
        <f t="shared" si="362"/>
        <v/>
      </c>
      <c r="BL825" s="27" t="str">
        <f t="shared" si="363"/>
        <v/>
      </c>
      <c r="BM825" s="21" t="s">
        <v>3790</v>
      </c>
    </row>
    <row r="826" spans="1:65" ht="15">
      <c r="A826" s="25" t="str">
        <f>IFERROR(INDEX('Hun Demand'!W:W,MATCH(O826,'Hun Demand'!A:A,0)),"")</f>
        <v/>
      </c>
      <c r="B826" s="25" t="str">
        <f>IFERROR(INDEX('Hun Demand'!V:V,MATCH(O826,'Hun Demand'!A:A,0)),"")</f>
        <v/>
      </c>
      <c r="C826" s="25" t="str">
        <f>IFERROR(INDEX('Hun Demand'!U:U,MATCH(O826,'Hun Demand'!A:A,0)),"")</f>
        <v/>
      </c>
      <c r="D826" s="25" t="str">
        <f>IFERROR(INDEX('Hun Demand'!T:T,MATCH(O826,'Hun Demand'!A:A,0)),"")</f>
        <v/>
      </c>
      <c r="E826" s="25" t="str">
        <f>IFERROR(INDEX('Hun Demand'!S:S,MATCH(O826,'Hun Demand'!A:A,0)),"")</f>
        <v/>
      </c>
      <c r="F826" s="25" t="str">
        <f>IFERROR(INDEX('Hun Demand'!R:R,MATCH(O826,'Hun Demand'!A:A,0)),"")</f>
        <v/>
      </c>
      <c r="G826" s="25">
        <f>IFERROR(INDEX('Aub Demand'!W:W,MATCH(O826,'Aub Demand'!A:A,0)),"")</f>
        <v>0</v>
      </c>
      <c r="H826" s="25">
        <f>IFERROR(INDEX('Aub Demand'!V:V,MATCH(O826,'Aub Demand'!A:A,0)),"")</f>
        <v>0</v>
      </c>
      <c r="I826" s="25">
        <f>IFERROR(INDEX('Aub Demand'!U:U,MATCH(O826,'Aub Demand'!A:A,0)),"")</f>
        <v>0</v>
      </c>
      <c r="J826" s="25">
        <f>IFERROR(INDEX('Aub Demand'!T:T,MATCH(O826,'Aub Demand'!A:A,0)),"")</f>
        <v>0</v>
      </c>
      <c r="K826" s="25">
        <f>IFERROR(INDEX('Aub Demand'!S:S,MATCH(O826,'Aub Demand'!A:A,0)),"")</f>
        <v>0</v>
      </c>
      <c r="L826" s="25">
        <f>IFERROR(INDEX('Aub Demand'!R:R,MATCH(O826,'Aub Demand'!A:A,0)),"")</f>
        <v>0</v>
      </c>
      <c r="O826" s="27" t="s">
        <v>1227</v>
      </c>
      <c r="P826" s="27" t="str">
        <f>IFERROR(INDEX('Aub Demand'!B:B,MATCH($O826,'Aub Demand'!$A:$A,0)),"")</f>
        <v>NATURAL LIMESTONE</v>
      </c>
      <c r="Q826" s="27" t="str">
        <f>IFERROR(INDEX('Aub Demand'!C:C,MATCH($O826,'Aub Demand'!$A:$A,0)),"")</f>
        <v>INTER</v>
      </c>
      <c r="R826" s="52">
        <f>IFERROR(IF(AR827=AR826,INDEX('Aub Demand'!K:K,MATCH($O826,'Aub Demand'!$A:$A,0))-IF(AN826="",0,AN826)+AP827,INDEX('Aub Demand'!K:K,MATCH($O826,'Aub Demand'!$A:$A,0))-IF(AN826="",0,AN826)),"")</f>
        <v>211</v>
      </c>
      <c r="S826" s="53" t="str">
        <f t="shared" si="336"/>
        <v>n/a</v>
      </c>
      <c r="T826" s="52" t="str">
        <f t="shared" si="337"/>
        <v/>
      </c>
      <c r="U826" s="52">
        <f>IFERROR(IF(AR827=AR826,INDEX('Aub Demand'!Q:Q,MATCH($O826,'Aub Demand'!$A:$A,0))-IF(AN826="",0,AN826)+AP827,INDEX('Aub Demand'!Q:Q,MATCH($O826,'Aub Demand'!$A:$A,0))-IF(AN826="",0,AN826)),"")</f>
        <v>211</v>
      </c>
      <c r="V826" s="53" t="str">
        <f t="shared" si="338"/>
        <v>n/a</v>
      </c>
      <c r="W826" s="52" t="str">
        <f t="shared" si="339"/>
        <v/>
      </c>
      <c r="X826" s="52">
        <f>IFERROR(IF(AND(AR827=AR826,AM826&lt;&gt;""),INDEX('Aub Demand'!Q:Q,MATCH($O826,'Aub Demand'!$A:$A,0))-IF(AN826="",0,AN826)+AP827+AD826+AL826,IF(AR827=AR826,INDEX('Aub Demand'!Q:Q,MATCH($O826,'Aub Demand'!$A:$A,0))-IF(AN826="",0,AN826)+AP827+AD826,IF(AM826&lt;&gt;"",INDEX('Aub Demand'!Q:Q,MATCH($O826,'Aub Demand'!$A:$A,0))-IF(AN826="",0,AN826)+AD826+AL826,INDEX('Aub Demand'!Q:Q,MATCH($O826,'Aub Demand'!$A:$A,0))-IF(AN826="",0,AN826)+AD826))),"")</f>
        <v>211</v>
      </c>
      <c r="Y826" s="53" t="str">
        <f t="shared" si="340"/>
        <v>n/a</v>
      </c>
      <c r="Z826" s="52">
        <f>IF(L826="","",INDEX('Aub Demand'!H:H,MATCH($O826,'Aub Demand'!$A:$A,0)))</f>
        <v>0</v>
      </c>
      <c r="AA826" s="52" t="str">
        <f t="shared" si="341"/>
        <v>-spike-</v>
      </c>
      <c r="AB826" s="52">
        <f>IFERROR(INDEX('Aub Demand'!L:L,MATCH($O826,'Aub Demand'!$A:$A,0)),"")</f>
        <v>0</v>
      </c>
      <c r="AC826" s="52">
        <f>IFERROR(IF(O826="","",SUMIFS('CPL Mats'!F:F,'CPL Mats'!Q:Q,AR826,'CPL Mats'!S:S,AS826)),"")</f>
        <v>0</v>
      </c>
      <c r="AF826" s="25" t="str">
        <f>IF(SUMIFS('Supp Consol'!S:S,'Supp Consol'!Y:Y,"Releasable",'Supp Consol'!A:A,O826)=0,"",SUMIFS('Supp Consol'!S:S,'Supp Consol'!Y:Y,"Releasable",'Supp Consol'!A:A,O826))</f>
        <v/>
      </c>
      <c r="AG826" s="25" t="str">
        <f>IFERROR(INDEX('Hun Demand'!Q:Q,MATCH(O826,'Hun Demand'!A:A,0)),"")</f>
        <v/>
      </c>
      <c r="AH826" s="25" t="str">
        <f>IFERROR(INDEX('Hun Demand'!H:H,MATCH($O826,'Hun Demand'!$A:$A,0)),"")</f>
        <v/>
      </c>
      <c r="AI826" s="25" t="str">
        <f>IF(SUMIFS('Supp Consol'!AA:AA,'Supp Consol'!Z:Z,"Expires this month",'Supp Consol'!A:A,O826)=0,"",SUMIFS('Supp Consol'!AA:AA,'Supp Consol'!Z:Z,"Expires this month",'Supp Consol'!A:A,O826))</f>
        <v/>
      </c>
      <c r="AJ826" s="25" t="str">
        <f>IF(SUMIFS('Supp Consol'!AA:AA,'Supp Consol'!Z:Z,"Expired Previous Months",'Supp Consol'!A:A,O826)=0,"",SUMIFS('Supp Consol'!AA:AA,'Supp Consol'!Z:Z,"Expired Previous Months",'Supp Consol'!A:A,O826))</f>
        <v/>
      </c>
      <c r="AK826" s="25" t="str">
        <f>IFERROR(INDEX('Hun Release Current'!B:B,MATCH(O826,'Hun Release Current'!A:A,0)),"")</f>
        <v/>
      </c>
      <c r="AL826" s="25" t="str">
        <f>IF(SUMIF('Prev Aub'!A:A,O826,'Prev Aub'!B:B)=0,"",SUMIF('Prev Aub'!A:A,O826,'Prev Aub'!B:B))</f>
        <v/>
      </c>
      <c r="AN826" s="25" t="s">
        <v>3790</v>
      </c>
      <c r="AO826" s="25" t="s">
        <v>3790</v>
      </c>
      <c r="AP826" s="25">
        <f t="shared" si="342"/>
        <v>0</v>
      </c>
      <c r="AQ826" s="151" t="str">
        <f>IF(SUMIFS('Supp Consol'!S:S,'Supp Consol'!A:A,O826,'Supp Consol'!I:I,"PENDING")=0,"",SUMIFS('Supp Consol'!S:S,'Supp Consol'!A:A,O826,'Supp Consol'!I:I,"PENDING"))</f>
        <v/>
      </c>
      <c r="AR826" s="27" t="str">
        <f t="shared" si="343"/>
        <v>MT300</v>
      </c>
      <c r="AS826" s="27" t="str">
        <f t="shared" si="344"/>
        <v>50</v>
      </c>
      <c r="AT826" s="27" t="str">
        <f t="shared" si="345"/>
        <v/>
      </c>
      <c r="AU826" s="27" t="str">
        <f t="shared" si="346"/>
        <v/>
      </c>
      <c r="AV826" s="27" t="str">
        <f t="shared" si="347"/>
        <v/>
      </c>
      <c r="AW826" s="27" t="str">
        <f t="shared" si="348"/>
        <v/>
      </c>
      <c r="AX826" s="27" t="str">
        <f t="shared" si="349"/>
        <v/>
      </c>
      <c r="AY826" s="27" t="str">
        <f t="shared" si="350"/>
        <v/>
      </c>
      <c r="AZ826" s="27" t="str">
        <f t="shared" si="351"/>
        <v/>
      </c>
      <c r="BA826" s="27" t="str">
        <f t="shared" si="352"/>
        <v/>
      </c>
      <c r="BB826" s="27" t="str">
        <f t="shared" si="353"/>
        <v/>
      </c>
      <c r="BC826" s="27" t="str">
        <f t="shared" si="354"/>
        <v/>
      </c>
      <c r="BD826" s="27" t="str">
        <f t="shared" si="355"/>
        <v/>
      </c>
      <c r="BE826" s="27" t="str">
        <f t="shared" si="356"/>
        <v/>
      </c>
      <c r="BF826" s="27" t="str">
        <f t="shared" si="357"/>
        <v/>
      </c>
      <c r="BG826" s="27" t="str">
        <f t="shared" si="358"/>
        <v/>
      </c>
      <c r="BH826" s="27" t="str">
        <f t="shared" si="359"/>
        <v/>
      </c>
      <c r="BI826" s="27" t="str">
        <f t="shared" si="360"/>
        <v/>
      </c>
      <c r="BJ826" s="27" t="str">
        <f t="shared" si="361"/>
        <v/>
      </c>
      <c r="BK826" s="27" t="str">
        <f t="shared" si="362"/>
        <v/>
      </c>
      <c r="BL826" s="27" t="str">
        <f t="shared" si="363"/>
        <v/>
      </c>
      <c r="BM826" s="21" t="s">
        <v>3790</v>
      </c>
    </row>
    <row r="827" spans="1:65" ht="15">
      <c r="A827" s="25" t="str">
        <f>IFERROR(INDEX('Hun Demand'!W:W,MATCH(O827,'Hun Demand'!A:A,0)),"")</f>
        <v/>
      </c>
      <c r="B827" s="25" t="str">
        <f>IFERROR(INDEX('Hun Demand'!V:V,MATCH(O827,'Hun Demand'!A:A,0)),"")</f>
        <v/>
      </c>
      <c r="C827" s="25" t="str">
        <f>IFERROR(INDEX('Hun Demand'!U:U,MATCH(O827,'Hun Demand'!A:A,0)),"")</f>
        <v/>
      </c>
      <c r="D827" s="25" t="str">
        <f>IFERROR(INDEX('Hun Demand'!T:T,MATCH(O827,'Hun Demand'!A:A,0)),"")</f>
        <v/>
      </c>
      <c r="E827" s="25" t="str">
        <f>IFERROR(INDEX('Hun Demand'!S:S,MATCH(O827,'Hun Demand'!A:A,0)),"")</f>
        <v/>
      </c>
      <c r="F827" s="25" t="str">
        <f>IFERROR(INDEX('Hun Demand'!R:R,MATCH(O827,'Hun Demand'!A:A,0)),"")</f>
        <v/>
      </c>
      <c r="G827" s="25">
        <f>IFERROR(INDEX('Aub Demand'!W:W,MATCH(O827,'Aub Demand'!A:A,0)),"")</f>
        <v>0</v>
      </c>
      <c r="H827" s="25">
        <f>IFERROR(INDEX('Aub Demand'!V:V,MATCH(O827,'Aub Demand'!A:A,0)),"")</f>
        <v>0</v>
      </c>
      <c r="I827" s="25">
        <f>IFERROR(INDEX('Aub Demand'!U:U,MATCH(O827,'Aub Demand'!A:A,0)),"")</f>
        <v>0</v>
      </c>
      <c r="J827" s="25">
        <f>IFERROR(INDEX('Aub Demand'!T:T,MATCH(O827,'Aub Demand'!A:A,0)),"")</f>
        <v>0</v>
      </c>
      <c r="K827" s="25">
        <f>IFERROR(INDEX('Aub Demand'!S:S,MATCH(O827,'Aub Demand'!A:A,0)),"")</f>
        <v>0</v>
      </c>
      <c r="L827" s="25">
        <f>IFERROR(INDEX('Aub Demand'!R:R,MATCH(O827,'Aub Demand'!A:A,0)),"")</f>
        <v>0</v>
      </c>
      <c r="O827" s="27" t="s">
        <v>1229</v>
      </c>
      <c r="P827" s="27" t="str">
        <f>IFERROR(INDEX('Aub Demand'!B:B,MATCH($O827,'Aub Demand'!$A:$A,0)),"")</f>
        <v>NATURAL LIMESTONE</v>
      </c>
      <c r="Q827" s="27" t="str">
        <f>IFERROR(INDEX('Aub Demand'!C:C,MATCH($O827,'Aub Demand'!$A:$A,0)),"")</f>
        <v>INTER</v>
      </c>
      <c r="R827" s="52">
        <f>IFERROR(IF(AR828=AR827,INDEX('Aub Demand'!K:K,MATCH($O827,'Aub Demand'!$A:$A,0))-IF(AN827="",0,AN827)+AP828,INDEX('Aub Demand'!K:K,MATCH($O827,'Aub Demand'!$A:$A,0))-IF(AN827="",0,AN827)),"")</f>
        <v>2940</v>
      </c>
      <c r="S827" s="53" t="str">
        <f t="shared" si="336"/>
        <v>n/a</v>
      </c>
      <c r="T827" s="52" t="str">
        <f t="shared" si="337"/>
        <v/>
      </c>
      <c r="U827" s="52">
        <f>IFERROR(IF(AR828=AR827,INDEX('Aub Demand'!Q:Q,MATCH($O827,'Aub Demand'!$A:$A,0))-IF(AN827="",0,AN827)+AP828,INDEX('Aub Demand'!Q:Q,MATCH($O827,'Aub Demand'!$A:$A,0))-IF(AN827="",0,AN827)),"")</f>
        <v>2940</v>
      </c>
      <c r="V827" s="53" t="str">
        <f t="shared" si="338"/>
        <v>n/a</v>
      </c>
      <c r="W827" s="52" t="str">
        <f t="shared" si="339"/>
        <v/>
      </c>
      <c r="X827" s="52">
        <f>IFERROR(IF(AND(AR828=AR827,AM827&lt;&gt;""),INDEX('Aub Demand'!Q:Q,MATCH($O827,'Aub Demand'!$A:$A,0))-IF(AN827="",0,AN827)+AP828+AD827+AL827,IF(AR828=AR827,INDEX('Aub Demand'!Q:Q,MATCH($O827,'Aub Demand'!$A:$A,0))-IF(AN827="",0,AN827)+AP828+AD827,IF(AM827&lt;&gt;"",INDEX('Aub Demand'!Q:Q,MATCH($O827,'Aub Demand'!$A:$A,0))-IF(AN827="",0,AN827)+AD827+AL827,INDEX('Aub Demand'!Q:Q,MATCH($O827,'Aub Demand'!$A:$A,0))-IF(AN827="",0,AN827)+AD827))),"")</f>
        <v>2940</v>
      </c>
      <c r="Y827" s="53" t="str">
        <f t="shared" si="340"/>
        <v>n/a</v>
      </c>
      <c r="Z827" s="52">
        <f>IF(L827="","",INDEX('Aub Demand'!H:H,MATCH($O827,'Aub Demand'!$A:$A,0)))</f>
        <v>0</v>
      </c>
      <c r="AA827" s="52" t="str">
        <f t="shared" si="341"/>
        <v>-spike-</v>
      </c>
      <c r="AB827" s="52">
        <f>IFERROR(INDEX('Aub Demand'!L:L,MATCH($O827,'Aub Demand'!$A:$A,0)),"")</f>
        <v>10</v>
      </c>
      <c r="AC827" s="52">
        <f>IFERROR(IF(O827="","",SUMIFS('CPL Mats'!F:F,'CPL Mats'!Q:Q,AR827,'CPL Mats'!S:S,AS827)),"")</f>
        <v>0</v>
      </c>
      <c r="AF827" s="25" t="str">
        <f>IF(SUMIFS('Supp Consol'!S:S,'Supp Consol'!Y:Y,"Releasable",'Supp Consol'!A:A,O827)=0,"",SUMIFS('Supp Consol'!S:S,'Supp Consol'!Y:Y,"Releasable",'Supp Consol'!A:A,O827))</f>
        <v/>
      </c>
      <c r="AG827" s="25" t="str">
        <f>IFERROR(INDEX('Hun Demand'!Q:Q,MATCH(O827,'Hun Demand'!A:A,0)),"")</f>
        <v/>
      </c>
      <c r="AH827" s="25" t="str">
        <f>IFERROR(INDEX('Hun Demand'!H:H,MATCH($O827,'Hun Demand'!$A:$A,0)),"")</f>
        <v/>
      </c>
      <c r="AI827" s="25" t="str">
        <f>IF(SUMIFS('Supp Consol'!AA:AA,'Supp Consol'!Z:Z,"Expires this month",'Supp Consol'!A:A,O827)=0,"",SUMIFS('Supp Consol'!AA:AA,'Supp Consol'!Z:Z,"Expires this month",'Supp Consol'!A:A,O827))</f>
        <v/>
      </c>
      <c r="AJ827" s="25" t="str">
        <f>IF(SUMIFS('Supp Consol'!AA:AA,'Supp Consol'!Z:Z,"Expired Previous Months",'Supp Consol'!A:A,O827)=0,"",SUMIFS('Supp Consol'!AA:AA,'Supp Consol'!Z:Z,"Expired Previous Months",'Supp Consol'!A:A,O827))</f>
        <v/>
      </c>
      <c r="AK827" s="25" t="str">
        <f>IFERROR(INDEX('Hun Release Current'!B:B,MATCH(O827,'Hun Release Current'!A:A,0)),"")</f>
        <v/>
      </c>
      <c r="AL827" s="25" t="str">
        <f>IF(SUMIF('Prev Aub'!A:A,O827,'Prev Aub'!B:B)=0,"",SUMIF('Prev Aub'!A:A,O827,'Prev Aub'!B:B))</f>
        <v/>
      </c>
      <c r="AN827" s="25" t="s">
        <v>3790</v>
      </c>
      <c r="AO827" s="25" t="s">
        <v>3790</v>
      </c>
      <c r="AP827" s="25">
        <f t="shared" si="342"/>
        <v>0</v>
      </c>
      <c r="AQ827" s="151" t="str">
        <f>IF(SUMIFS('Supp Consol'!S:S,'Supp Consol'!A:A,O827,'Supp Consol'!I:I,"PENDING")=0,"",SUMIFS('Supp Consol'!S:S,'Supp Consol'!A:A,O827,'Supp Consol'!I:I,"PENDING"))</f>
        <v/>
      </c>
      <c r="AR827" s="27" t="str">
        <f t="shared" si="343"/>
        <v>MT300</v>
      </c>
      <c r="AS827" s="27" t="str">
        <f t="shared" si="344"/>
        <v>62</v>
      </c>
      <c r="AT827" s="27" t="str">
        <f t="shared" si="345"/>
        <v/>
      </c>
      <c r="AU827" s="27" t="str">
        <f t="shared" si="346"/>
        <v/>
      </c>
      <c r="AV827" s="27" t="str">
        <f t="shared" si="347"/>
        <v/>
      </c>
      <c r="AW827" s="27" t="str">
        <f t="shared" si="348"/>
        <v/>
      </c>
      <c r="AX827" s="27" t="str">
        <f t="shared" si="349"/>
        <v/>
      </c>
      <c r="AY827" s="27" t="str">
        <f t="shared" si="350"/>
        <v/>
      </c>
      <c r="AZ827" s="27" t="str">
        <f t="shared" si="351"/>
        <v/>
      </c>
      <c r="BA827" s="27" t="str">
        <f t="shared" si="352"/>
        <v/>
      </c>
      <c r="BB827" s="27" t="str">
        <f t="shared" si="353"/>
        <v/>
      </c>
      <c r="BC827" s="27" t="str">
        <f t="shared" si="354"/>
        <v/>
      </c>
      <c r="BD827" s="27" t="str">
        <f t="shared" si="355"/>
        <v/>
      </c>
      <c r="BE827" s="27" t="str">
        <f t="shared" si="356"/>
        <v/>
      </c>
      <c r="BF827" s="27" t="str">
        <f t="shared" si="357"/>
        <v/>
      </c>
      <c r="BG827" s="27" t="str">
        <f t="shared" si="358"/>
        <v/>
      </c>
      <c r="BH827" s="27" t="str">
        <f t="shared" si="359"/>
        <v/>
      </c>
      <c r="BI827" s="27" t="str">
        <f t="shared" si="360"/>
        <v/>
      </c>
      <c r="BJ827" s="27" t="str">
        <f t="shared" si="361"/>
        <v/>
      </c>
      <c r="BK827" s="27" t="str">
        <f t="shared" si="362"/>
        <v/>
      </c>
      <c r="BL827" s="27" t="str">
        <f t="shared" si="363"/>
        <v/>
      </c>
      <c r="BM827" s="21" t="s">
        <v>3790</v>
      </c>
    </row>
    <row r="828" spans="1:65" ht="15">
      <c r="A828" s="25" t="str">
        <f>IFERROR(INDEX('Hun Demand'!W:W,MATCH(O828,'Hun Demand'!A:A,0)),"")</f>
        <v/>
      </c>
      <c r="B828" s="25" t="str">
        <f>IFERROR(INDEX('Hun Demand'!V:V,MATCH(O828,'Hun Demand'!A:A,0)),"")</f>
        <v/>
      </c>
      <c r="C828" s="25" t="str">
        <f>IFERROR(INDEX('Hun Demand'!U:U,MATCH(O828,'Hun Demand'!A:A,0)),"")</f>
        <v/>
      </c>
      <c r="D828" s="25" t="str">
        <f>IFERROR(INDEX('Hun Demand'!T:T,MATCH(O828,'Hun Demand'!A:A,0)),"")</f>
        <v/>
      </c>
      <c r="E828" s="25" t="str">
        <f>IFERROR(INDEX('Hun Demand'!S:S,MATCH(O828,'Hun Demand'!A:A,0)),"")</f>
        <v/>
      </c>
      <c r="F828" s="25" t="str">
        <f>IFERROR(INDEX('Hun Demand'!R:R,MATCH(O828,'Hun Demand'!A:A,0)),"")</f>
        <v/>
      </c>
      <c r="G828" s="25">
        <f>IFERROR(INDEX('Aub Demand'!W:W,MATCH(O828,'Aub Demand'!A:A,0)),"")</f>
        <v>0</v>
      </c>
      <c r="H828" s="25">
        <f>IFERROR(INDEX('Aub Demand'!V:V,MATCH(O828,'Aub Demand'!A:A,0)),"")</f>
        <v>7</v>
      </c>
      <c r="I828" s="25">
        <f>IFERROR(INDEX('Aub Demand'!U:U,MATCH(O828,'Aub Demand'!A:A,0)),"")</f>
        <v>29</v>
      </c>
      <c r="J828" s="25">
        <f>IFERROR(INDEX('Aub Demand'!T:T,MATCH(O828,'Aub Demand'!A:A,0)),"")</f>
        <v>0</v>
      </c>
      <c r="K828" s="25">
        <f>IFERROR(INDEX('Aub Demand'!S:S,MATCH(O828,'Aub Demand'!A:A,0)),"")</f>
        <v>11</v>
      </c>
      <c r="L828" s="25">
        <f>IFERROR(INDEX('Aub Demand'!R:R,MATCH(O828,'Aub Demand'!A:A,0)),"")</f>
        <v>0</v>
      </c>
      <c r="O828" s="27" t="s">
        <v>1230</v>
      </c>
      <c r="P828" s="27" t="str">
        <f>IFERROR(INDEX('Aub Demand'!B:B,MATCH($O828,'Aub Demand'!$A:$A,0)),"")</f>
        <v>FREDERICK</v>
      </c>
      <c r="Q828" s="27" t="str">
        <f>IFERROR(INDEX('Aub Demand'!C:C,MATCH($O828,'Aub Demand'!$A:$A,0)),"")</f>
        <v>TOPPA</v>
      </c>
      <c r="R828" s="52">
        <f>IFERROR(IF(AR829=AR828,INDEX('Aub Demand'!K:K,MATCH($O828,'Aub Demand'!$A:$A,0))-IF(AN828="",0,AN828)+AP829,INDEX('Aub Demand'!K:K,MATCH($O828,'Aub Demand'!$A:$A,0))-IF(AN828="",0,AN828)),"")</f>
        <v>121</v>
      </c>
      <c r="S828" s="53">
        <f t="shared" si="336"/>
        <v>39.9</v>
      </c>
      <c r="T828" s="52" t="str">
        <f t="shared" si="337"/>
        <v/>
      </c>
      <c r="U828" s="52">
        <f>IFERROR(IF(AR829=AR828,INDEX('Aub Demand'!Q:Q,MATCH($O828,'Aub Demand'!$A:$A,0))-IF(AN828="",0,AN828)+AP829,INDEX('Aub Demand'!Q:Q,MATCH($O828,'Aub Demand'!$A:$A,0))-IF(AN828="",0,AN828)),"")</f>
        <v>121</v>
      </c>
      <c r="V828" s="53">
        <f t="shared" si="338"/>
        <v>39.9</v>
      </c>
      <c r="W828" s="52" t="str">
        <f t="shared" si="339"/>
        <v/>
      </c>
      <c r="X828" s="52">
        <f>IFERROR(IF(AND(AR829=AR828,AM828&lt;&gt;""),INDEX('Aub Demand'!Q:Q,MATCH($O828,'Aub Demand'!$A:$A,0))-IF(AN828="",0,AN828)+AP829+AD828+AL828,IF(AR829=AR828,INDEX('Aub Demand'!Q:Q,MATCH($O828,'Aub Demand'!$A:$A,0))-IF(AN828="",0,AN828)+AP829+AD828,IF(AM828&lt;&gt;"",INDEX('Aub Demand'!Q:Q,MATCH($O828,'Aub Demand'!$A:$A,0))-IF(AN828="",0,AN828)+AD828+AL828,INDEX('Aub Demand'!Q:Q,MATCH($O828,'Aub Demand'!$A:$A,0))-IF(AN828="",0,AN828)+AD828))),"")</f>
        <v>121</v>
      </c>
      <c r="Y828" s="53">
        <f t="shared" si="340"/>
        <v>39.9</v>
      </c>
      <c r="Z828" s="52">
        <f>IF(L828="","",INDEX('Aub Demand'!H:H,MATCH($O828,'Aub Demand'!$A:$A,0)))</f>
        <v>13</v>
      </c>
      <c r="AA828" s="52">
        <f t="shared" si="341"/>
        <v>20</v>
      </c>
      <c r="AB828" s="52">
        <f>IFERROR(INDEX('Aub Demand'!L:L,MATCH($O828,'Aub Demand'!$A:$A,0)),"")</f>
        <v>4</v>
      </c>
      <c r="AC828" s="52">
        <f>IFERROR(IF(O828="","",SUMIFS('CPL Mats'!F:F,'CPL Mats'!Q:Q,AR828,'CPL Mats'!S:S,AS828)),"")</f>
        <v>0</v>
      </c>
      <c r="AF828" s="25" t="str">
        <f>IF(SUMIFS('Supp Consol'!S:S,'Supp Consol'!Y:Y,"Releasable",'Supp Consol'!A:A,O828)=0,"",SUMIFS('Supp Consol'!S:S,'Supp Consol'!Y:Y,"Releasable",'Supp Consol'!A:A,O828))</f>
        <v/>
      </c>
      <c r="AG828" s="25" t="str">
        <f>IFERROR(INDEX('Hun Demand'!Q:Q,MATCH(O828,'Hun Demand'!A:A,0)),"")</f>
        <v/>
      </c>
      <c r="AH828" s="25" t="str">
        <f>IFERROR(INDEX('Hun Demand'!H:H,MATCH($O828,'Hun Demand'!$A:$A,0)),"")</f>
        <v/>
      </c>
      <c r="AI828" s="25" t="str">
        <f>IF(SUMIFS('Supp Consol'!AA:AA,'Supp Consol'!Z:Z,"Expires this month",'Supp Consol'!A:A,O828)=0,"",SUMIFS('Supp Consol'!AA:AA,'Supp Consol'!Z:Z,"Expires this month",'Supp Consol'!A:A,O828))</f>
        <v/>
      </c>
      <c r="AJ828" s="25" t="str">
        <f>IF(SUMIFS('Supp Consol'!AA:AA,'Supp Consol'!Z:Z,"Expired Previous Months",'Supp Consol'!A:A,O828)=0,"",SUMIFS('Supp Consol'!AA:AA,'Supp Consol'!Z:Z,"Expired Previous Months",'Supp Consol'!A:A,O828))</f>
        <v/>
      </c>
      <c r="AK828" s="25" t="str">
        <f>IFERROR(INDEX('Hun Release Current'!B:B,MATCH(O828,'Hun Release Current'!A:A,0)),"")</f>
        <v/>
      </c>
      <c r="AL828" s="25" t="str">
        <f>IF(SUMIF('Prev Aub'!A:A,O828,'Prev Aub'!B:B)=0,"",SUMIF('Prev Aub'!A:A,O828,'Prev Aub'!B:B))</f>
        <v/>
      </c>
      <c r="AN828" s="25" t="s">
        <v>3790</v>
      </c>
      <c r="AO828" s="25" t="s">
        <v>3790</v>
      </c>
      <c r="AP828" s="25">
        <f t="shared" si="342"/>
        <v>0</v>
      </c>
      <c r="AQ828" s="151" t="str">
        <f>IF(SUMIFS('Supp Consol'!S:S,'Supp Consol'!A:A,O828,'Supp Consol'!I:I,"PENDING")=0,"",SUMIFS('Supp Consol'!S:S,'Supp Consol'!A:A,O828,'Supp Consol'!I:I,"PENDING"))</f>
        <v/>
      </c>
      <c r="AR828" s="27" t="str">
        <f t="shared" si="343"/>
        <v>MT310</v>
      </c>
      <c r="AS828" s="27" t="str">
        <f t="shared" si="344"/>
        <v>50</v>
      </c>
      <c r="AT828" s="27" t="str">
        <f t="shared" si="345"/>
        <v/>
      </c>
      <c r="AU828" s="27" t="str">
        <f t="shared" si="346"/>
        <v/>
      </c>
      <c r="AV828" s="27" t="str">
        <f t="shared" si="347"/>
        <v/>
      </c>
      <c r="AW828" s="27" t="str">
        <f t="shared" si="348"/>
        <v/>
      </c>
      <c r="AX828" s="27" t="str">
        <f t="shared" si="349"/>
        <v/>
      </c>
      <c r="AY828" s="27" t="str">
        <f t="shared" si="350"/>
        <v/>
      </c>
      <c r="AZ828" s="27" t="str">
        <f t="shared" si="351"/>
        <v/>
      </c>
      <c r="BA828" s="27" t="str">
        <f t="shared" si="352"/>
        <v/>
      </c>
      <c r="BB828" s="27" t="str">
        <f t="shared" si="353"/>
        <v/>
      </c>
      <c r="BC828" s="27" t="str">
        <f t="shared" si="354"/>
        <v/>
      </c>
      <c r="BD828" s="27" t="str">
        <f t="shared" si="355"/>
        <v/>
      </c>
      <c r="BE828" s="27" t="str">
        <f t="shared" si="356"/>
        <v/>
      </c>
      <c r="BF828" s="27" t="str">
        <f t="shared" si="357"/>
        <v/>
      </c>
      <c r="BG828" s="27" t="str">
        <f t="shared" si="358"/>
        <v/>
      </c>
      <c r="BH828" s="27" t="str">
        <f t="shared" si="359"/>
        <v/>
      </c>
      <c r="BI828" s="27" t="str">
        <f t="shared" si="360"/>
        <v/>
      </c>
      <c r="BJ828" s="27" t="str">
        <f t="shared" si="361"/>
        <v/>
      </c>
      <c r="BK828" s="27" t="str">
        <f t="shared" si="362"/>
        <v/>
      </c>
      <c r="BL828" s="27" t="str">
        <f t="shared" si="363"/>
        <v/>
      </c>
      <c r="BM828" s="21" t="s">
        <v>5581</v>
      </c>
    </row>
    <row r="829" spans="1:65" ht="15">
      <c r="A829" s="25" t="str">
        <f>IFERROR(INDEX('Hun Demand'!W:W,MATCH(O829,'Hun Demand'!A:A,0)),"")</f>
        <v/>
      </c>
      <c r="B829" s="25" t="str">
        <f>IFERROR(INDEX('Hun Demand'!V:V,MATCH(O829,'Hun Demand'!A:A,0)),"")</f>
        <v/>
      </c>
      <c r="C829" s="25" t="str">
        <f>IFERROR(INDEX('Hun Demand'!U:U,MATCH(O829,'Hun Demand'!A:A,0)),"")</f>
        <v/>
      </c>
      <c r="D829" s="25" t="str">
        <f>IFERROR(INDEX('Hun Demand'!T:T,MATCH(O829,'Hun Demand'!A:A,0)),"")</f>
        <v/>
      </c>
      <c r="E829" s="25" t="str">
        <f>IFERROR(INDEX('Hun Demand'!S:S,MATCH(O829,'Hun Demand'!A:A,0)),"")</f>
        <v/>
      </c>
      <c r="F829" s="25" t="str">
        <f>IFERROR(INDEX('Hun Demand'!R:R,MATCH(O829,'Hun Demand'!A:A,0)),"")</f>
        <v/>
      </c>
      <c r="G829" s="25">
        <f>IFERROR(INDEX('Aub Demand'!W:W,MATCH(O829,'Aub Demand'!A:A,0)),"")</f>
        <v>0</v>
      </c>
      <c r="H829" s="25">
        <f>IFERROR(INDEX('Aub Demand'!V:V,MATCH(O829,'Aub Demand'!A:A,0)),"")</f>
        <v>0</v>
      </c>
      <c r="I829" s="25">
        <f>IFERROR(INDEX('Aub Demand'!U:U,MATCH(O829,'Aub Demand'!A:A,0)),"")</f>
        <v>0</v>
      </c>
      <c r="J829" s="25">
        <f>IFERROR(INDEX('Aub Demand'!T:T,MATCH(O829,'Aub Demand'!A:A,0)),"")</f>
        <v>0</v>
      </c>
      <c r="K829" s="25">
        <f>IFERROR(INDEX('Aub Demand'!S:S,MATCH(O829,'Aub Demand'!A:A,0)),"")</f>
        <v>0</v>
      </c>
      <c r="L829" s="25">
        <f>IFERROR(INDEX('Aub Demand'!R:R,MATCH(O829,'Aub Demand'!A:A,0)),"")</f>
        <v>0</v>
      </c>
      <c r="O829" s="27" t="s">
        <v>1232</v>
      </c>
      <c r="P829" s="27" t="str">
        <f>IFERROR(INDEX('Aub Demand'!B:B,MATCH($O829,'Aub Demand'!$A:$A,0)),"")</f>
        <v>FREDERICK</v>
      </c>
      <c r="Q829" s="27" t="str">
        <f>IFERROR(INDEX('Aub Demand'!C:C,MATCH($O829,'Aub Demand'!$A:$A,0)),"")</f>
        <v>TOPPA</v>
      </c>
      <c r="R829" s="52">
        <f>IFERROR(IF(AR830=AR829,INDEX('Aub Demand'!K:K,MATCH($O829,'Aub Demand'!$A:$A,0))-IF(AN829="",0,AN829)+AP830,INDEX('Aub Demand'!K:K,MATCH($O829,'Aub Demand'!$A:$A,0))-IF(AN829="",0,AN829)),"")</f>
        <v>2151</v>
      </c>
      <c r="S829" s="53" t="str">
        <f t="shared" si="336"/>
        <v>n/a</v>
      </c>
      <c r="T829" s="52" t="str">
        <f t="shared" si="337"/>
        <v/>
      </c>
      <c r="U829" s="52">
        <f>IFERROR(IF(AR830=AR829,INDEX('Aub Demand'!Q:Q,MATCH($O829,'Aub Demand'!$A:$A,0))-IF(AN829="",0,AN829)+AP830,INDEX('Aub Demand'!Q:Q,MATCH($O829,'Aub Demand'!$A:$A,0))-IF(AN829="",0,AN829)),"")</f>
        <v>2147</v>
      </c>
      <c r="V829" s="53" t="str">
        <f t="shared" si="338"/>
        <v>n/a</v>
      </c>
      <c r="W829" s="52" t="str">
        <f t="shared" si="339"/>
        <v/>
      </c>
      <c r="X829" s="52">
        <f>IFERROR(IF(AND(AR830=AR829,AM829&lt;&gt;""),INDEX('Aub Demand'!Q:Q,MATCH($O829,'Aub Demand'!$A:$A,0))-IF(AN829="",0,AN829)+AP830+AD829+AL829,IF(AR830=AR829,INDEX('Aub Demand'!Q:Q,MATCH($O829,'Aub Demand'!$A:$A,0))-IF(AN829="",0,AN829)+AP830+AD829,IF(AM829&lt;&gt;"",INDEX('Aub Demand'!Q:Q,MATCH($O829,'Aub Demand'!$A:$A,0))-IF(AN829="",0,AN829)+AD829+AL829,INDEX('Aub Demand'!Q:Q,MATCH($O829,'Aub Demand'!$A:$A,0))-IF(AN829="",0,AN829)+AD829))),"")</f>
        <v>2147</v>
      </c>
      <c r="Y829" s="53" t="str">
        <f t="shared" si="340"/>
        <v>n/a</v>
      </c>
      <c r="Z829" s="52">
        <f>IF(L829="","",INDEX('Aub Demand'!H:H,MATCH($O829,'Aub Demand'!$A:$A,0)))</f>
        <v>0</v>
      </c>
      <c r="AA829" s="52" t="str">
        <f t="shared" si="341"/>
        <v>-spike-</v>
      </c>
      <c r="AB829" s="52">
        <f>IFERROR(INDEX('Aub Demand'!L:L,MATCH($O829,'Aub Demand'!$A:$A,0)),"")</f>
        <v>36</v>
      </c>
      <c r="AC829" s="52">
        <f>IFERROR(IF(O829="","",SUMIFS('CPL Mats'!F:F,'CPL Mats'!Q:Q,AR829,'CPL Mats'!S:S,AS829)),"")</f>
        <v>0</v>
      </c>
      <c r="AF829" s="25" t="str">
        <f>IF(SUMIFS('Supp Consol'!S:S,'Supp Consol'!Y:Y,"Releasable",'Supp Consol'!A:A,O829)=0,"",SUMIFS('Supp Consol'!S:S,'Supp Consol'!Y:Y,"Releasable",'Supp Consol'!A:A,O829))</f>
        <v/>
      </c>
      <c r="AG829" s="25" t="str">
        <f>IFERROR(INDEX('Hun Demand'!Q:Q,MATCH(O829,'Hun Demand'!A:A,0)),"")</f>
        <v/>
      </c>
      <c r="AH829" s="25" t="str">
        <f>IFERROR(INDEX('Hun Demand'!H:H,MATCH($O829,'Hun Demand'!$A:$A,0)),"")</f>
        <v/>
      </c>
      <c r="AI829" s="25" t="str">
        <f>IF(SUMIFS('Supp Consol'!AA:AA,'Supp Consol'!Z:Z,"Expires this month",'Supp Consol'!A:A,O829)=0,"",SUMIFS('Supp Consol'!AA:AA,'Supp Consol'!Z:Z,"Expires this month",'Supp Consol'!A:A,O829))</f>
        <v/>
      </c>
      <c r="AJ829" s="25" t="str">
        <f>IF(SUMIFS('Supp Consol'!AA:AA,'Supp Consol'!Z:Z,"Expired Previous Months",'Supp Consol'!A:A,O829)=0,"",SUMIFS('Supp Consol'!AA:AA,'Supp Consol'!Z:Z,"Expired Previous Months",'Supp Consol'!A:A,O829))</f>
        <v/>
      </c>
      <c r="AK829" s="25" t="str">
        <f>IFERROR(INDEX('Hun Release Current'!B:B,MATCH(O829,'Hun Release Current'!A:A,0)),"")</f>
        <v/>
      </c>
      <c r="AL829" s="25" t="str">
        <f>IF(SUMIF('Prev Aub'!A:A,O829,'Prev Aub'!B:B)=0,"",SUMIF('Prev Aub'!A:A,O829,'Prev Aub'!B:B))</f>
        <v/>
      </c>
      <c r="AN829" s="25" t="s">
        <v>3790</v>
      </c>
      <c r="AO829" s="25" t="s">
        <v>3790</v>
      </c>
      <c r="AP829" s="25">
        <f t="shared" si="342"/>
        <v>0</v>
      </c>
      <c r="AQ829" s="151" t="str">
        <f>IF(SUMIFS('Supp Consol'!S:S,'Supp Consol'!A:A,O829,'Supp Consol'!I:I,"PENDING")=0,"",SUMIFS('Supp Consol'!S:S,'Supp Consol'!A:A,O829,'Supp Consol'!I:I,"PENDING"))</f>
        <v/>
      </c>
      <c r="AR829" s="27" t="str">
        <f t="shared" si="343"/>
        <v>MT310</v>
      </c>
      <c r="AS829" s="27" t="str">
        <f t="shared" si="344"/>
        <v>62</v>
      </c>
      <c r="AT829" s="27" t="str">
        <f t="shared" si="345"/>
        <v/>
      </c>
      <c r="AU829" s="27" t="str">
        <f t="shared" si="346"/>
        <v/>
      </c>
      <c r="AV829" s="27" t="str">
        <f t="shared" si="347"/>
        <v/>
      </c>
      <c r="AW829" s="27" t="str">
        <f t="shared" si="348"/>
        <v/>
      </c>
      <c r="AX829" s="27" t="str">
        <f t="shared" si="349"/>
        <v/>
      </c>
      <c r="AY829" s="27" t="str">
        <f t="shared" si="350"/>
        <v/>
      </c>
      <c r="AZ829" s="27" t="str">
        <f t="shared" si="351"/>
        <v/>
      </c>
      <c r="BA829" s="27" t="str">
        <f t="shared" si="352"/>
        <v/>
      </c>
      <c r="BB829" s="27" t="str">
        <f t="shared" si="353"/>
        <v/>
      </c>
      <c r="BC829" s="27" t="str">
        <f t="shared" si="354"/>
        <v/>
      </c>
      <c r="BD829" s="27" t="str">
        <f t="shared" si="355"/>
        <v/>
      </c>
      <c r="BE829" s="27" t="str">
        <f t="shared" si="356"/>
        <v/>
      </c>
      <c r="BF829" s="27" t="str">
        <f t="shared" si="357"/>
        <v/>
      </c>
      <c r="BG829" s="27" t="str">
        <f t="shared" si="358"/>
        <v/>
      </c>
      <c r="BH829" s="27" t="str">
        <f t="shared" si="359"/>
        <v/>
      </c>
      <c r="BI829" s="27" t="str">
        <f t="shared" si="360"/>
        <v/>
      </c>
      <c r="BJ829" s="27" t="str">
        <f t="shared" si="361"/>
        <v/>
      </c>
      <c r="BK829" s="27" t="str">
        <f t="shared" si="362"/>
        <v/>
      </c>
      <c r="BL829" s="27" t="str">
        <f t="shared" si="363"/>
        <v/>
      </c>
      <c r="BM829" s="21" t="s">
        <v>5581</v>
      </c>
    </row>
    <row r="830" spans="1:65" ht="15">
      <c r="A830" s="25" t="str">
        <f>IFERROR(INDEX('Hun Demand'!W:W,MATCH(O830,'Hun Demand'!A:A,0)),"")</f>
        <v/>
      </c>
      <c r="B830" s="25" t="str">
        <f>IFERROR(INDEX('Hun Demand'!V:V,MATCH(O830,'Hun Demand'!A:A,0)),"")</f>
        <v/>
      </c>
      <c r="C830" s="25" t="str">
        <f>IFERROR(INDEX('Hun Demand'!U:U,MATCH(O830,'Hun Demand'!A:A,0)),"")</f>
        <v/>
      </c>
      <c r="D830" s="25" t="str">
        <f>IFERROR(INDEX('Hun Demand'!T:T,MATCH(O830,'Hun Demand'!A:A,0)),"")</f>
        <v/>
      </c>
      <c r="E830" s="25" t="str">
        <f>IFERROR(INDEX('Hun Demand'!S:S,MATCH(O830,'Hun Demand'!A:A,0)),"")</f>
        <v/>
      </c>
      <c r="F830" s="25" t="str">
        <f>IFERROR(INDEX('Hun Demand'!R:R,MATCH(O830,'Hun Demand'!A:A,0)),"")</f>
        <v/>
      </c>
      <c r="G830" s="25">
        <f>IFERROR(INDEX('Aub Demand'!W:W,MATCH(O830,'Aub Demand'!A:A,0)),"")</f>
        <v>0</v>
      </c>
      <c r="H830" s="25">
        <f>IFERROR(INDEX('Aub Demand'!V:V,MATCH(O830,'Aub Demand'!A:A,0)),"")</f>
        <v>16</v>
      </c>
      <c r="I830" s="25">
        <f>IFERROR(INDEX('Aub Demand'!U:U,MATCH(O830,'Aub Demand'!A:A,0)),"")</f>
        <v>9</v>
      </c>
      <c r="J830" s="25">
        <f>IFERROR(INDEX('Aub Demand'!T:T,MATCH(O830,'Aub Demand'!A:A,0)),"")</f>
        <v>0</v>
      </c>
      <c r="K830" s="25">
        <f>IFERROR(INDEX('Aub Demand'!S:S,MATCH(O830,'Aub Demand'!A:A,0)),"")</f>
        <v>24</v>
      </c>
      <c r="L830" s="25">
        <f>IFERROR(INDEX('Aub Demand'!R:R,MATCH(O830,'Aub Demand'!A:A,0)),"")</f>
        <v>0</v>
      </c>
      <c r="O830" s="27" t="s">
        <v>1233</v>
      </c>
      <c r="P830" s="27" t="str">
        <f>IFERROR(INDEX('Aub Demand'!B:B,MATCH($O830,'Aub Demand'!$A:$A,0)),"")</f>
        <v>CITY OF LIGHTS</v>
      </c>
      <c r="Q830" s="27" t="str">
        <f>IFERROR(INDEX('Aub Demand'!C:C,MATCH($O830,'Aub Demand'!$A:$A,0)),"")</f>
        <v>TOPPA</v>
      </c>
      <c r="R830" s="52">
        <f>IFERROR(IF(AR831=AR830,INDEX('Aub Demand'!K:K,MATCH($O830,'Aub Demand'!$A:$A,0))-IF(AN830="",0,AN830)+AP831,INDEX('Aub Demand'!K:K,MATCH($O830,'Aub Demand'!$A:$A,0))-IF(AN830="",0,AN830)),"")</f>
        <v>627</v>
      </c>
      <c r="S830" s="53">
        <f t="shared" si="336"/>
        <v>244.3</v>
      </c>
      <c r="T830" s="52" t="str">
        <f t="shared" si="337"/>
        <v/>
      </c>
      <c r="U830" s="52">
        <f>IFERROR(IF(AR831=AR830,INDEX('Aub Demand'!Q:Q,MATCH($O830,'Aub Demand'!$A:$A,0))-IF(AN830="",0,AN830)+AP831,INDEX('Aub Demand'!Q:Q,MATCH($O830,'Aub Demand'!$A:$A,0))-IF(AN830="",0,AN830)),"")</f>
        <v>627</v>
      </c>
      <c r="V830" s="53">
        <f t="shared" si="338"/>
        <v>244.3</v>
      </c>
      <c r="W830" s="52" t="str">
        <f t="shared" si="339"/>
        <v/>
      </c>
      <c r="X830" s="52">
        <f>IFERROR(IF(AND(AR831=AR830,AM830&lt;&gt;""),INDEX('Aub Demand'!Q:Q,MATCH($O830,'Aub Demand'!$A:$A,0))-IF(AN830="",0,AN830)+AP831+AD830+AL830,IF(AR831=AR830,INDEX('Aub Demand'!Q:Q,MATCH($O830,'Aub Demand'!$A:$A,0))-IF(AN830="",0,AN830)+AP831+AD830,IF(AM830&lt;&gt;"",INDEX('Aub Demand'!Q:Q,MATCH($O830,'Aub Demand'!$A:$A,0))-IF(AN830="",0,AN830)+AD830+AL830,INDEX('Aub Demand'!Q:Q,MATCH($O830,'Aub Demand'!$A:$A,0))-IF(AN830="",0,AN830)+AD830))),"")</f>
        <v>627</v>
      </c>
      <c r="Y830" s="53">
        <f t="shared" si="340"/>
        <v>244.3</v>
      </c>
      <c r="Z830" s="52">
        <f>IF(L830="","",INDEX('Aub Demand'!H:H,MATCH($O830,'Aub Demand'!$A:$A,0)))</f>
        <v>11</v>
      </c>
      <c r="AA830" s="52">
        <f t="shared" si="341"/>
        <v>16.5</v>
      </c>
      <c r="AB830" s="52">
        <f>IFERROR(INDEX('Aub Demand'!L:L,MATCH($O830,'Aub Demand'!$A:$A,0)),"")</f>
        <v>0</v>
      </c>
      <c r="AC830" s="52">
        <f>IFERROR(IF(O830="","",SUMIFS('CPL Mats'!F:F,'CPL Mats'!Q:Q,AR830,'CPL Mats'!S:S,AS830)),"")</f>
        <v>0</v>
      </c>
      <c r="AF830" s="25" t="str">
        <f>IF(SUMIFS('Supp Consol'!S:S,'Supp Consol'!Y:Y,"Releasable",'Supp Consol'!A:A,O830)=0,"",SUMIFS('Supp Consol'!S:S,'Supp Consol'!Y:Y,"Releasable",'Supp Consol'!A:A,O830))</f>
        <v/>
      </c>
      <c r="AG830" s="25" t="str">
        <f>IFERROR(INDEX('Hun Demand'!Q:Q,MATCH(O830,'Hun Demand'!A:A,0)),"")</f>
        <v/>
      </c>
      <c r="AH830" s="25" t="str">
        <f>IFERROR(INDEX('Hun Demand'!H:H,MATCH($O830,'Hun Demand'!$A:$A,0)),"")</f>
        <v/>
      </c>
      <c r="AI830" s="25" t="str">
        <f>IF(SUMIFS('Supp Consol'!AA:AA,'Supp Consol'!Z:Z,"Expires this month",'Supp Consol'!A:A,O830)=0,"",SUMIFS('Supp Consol'!AA:AA,'Supp Consol'!Z:Z,"Expires this month",'Supp Consol'!A:A,O830))</f>
        <v/>
      </c>
      <c r="AJ830" s="25" t="str">
        <f>IF(SUMIFS('Supp Consol'!AA:AA,'Supp Consol'!Z:Z,"Expired Previous Months",'Supp Consol'!A:A,O830)=0,"",SUMIFS('Supp Consol'!AA:AA,'Supp Consol'!Z:Z,"Expired Previous Months",'Supp Consol'!A:A,O830))</f>
        <v/>
      </c>
      <c r="AK830" s="25" t="str">
        <f>IFERROR(INDEX('Hun Release Current'!B:B,MATCH(O830,'Hun Release Current'!A:A,0)),"")</f>
        <v/>
      </c>
      <c r="AL830" s="25" t="str">
        <f>IF(SUMIF('Prev Aub'!A:A,O830,'Prev Aub'!B:B)=0,"",SUMIF('Prev Aub'!A:A,O830,'Prev Aub'!B:B))</f>
        <v/>
      </c>
      <c r="AN830" s="25" t="s">
        <v>3790</v>
      </c>
      <c r="AO830" s="25" t="s">
        <v>3790</v>
      </c>
      <c r="AP830" s="25">
        <f t="shared" si="342"/>
        <v>0</v>
      </c>
      <c r="AQ830" s="151" t="str">
        <f>IF(SUMIFS('Supp Consol'!S:S,'Supp Consol'!A:A,O830,'Supp Consol'!I:I,"PENDING")=0,"",SUMIFS('Supp Consol'!S:S,'Supp Consol'!A:A,O830,'Supp Consol'!I:I,"PENDING"))</f>
        <v/>
      </c>
      <c r="AR830" s="27" t="str">
        <f t="shared" si="343"/>
        <v>MT330</v>
      </c>
      <c r="AS830" s="27" t="str">
        <f t="shared" si="344"/>
        <v>50</v>
      </c>
      <c r="AT830" s="27" t="str">
        <f t="shared" si="345"/>
        <v/>
      </c>
      <c r="AU830" s="27" t="str">
        <f t="shared" si="346"/>
        <v/>
      </c>
      <c r="AV830" s="27" t="str">
        <f t="shared" si="347"/>
        <v/>
      </c>
      <c r="AW830" s="27" t="str">
        <f t="shared" si="348"/>
        <v/>
      </c>
      <c r="AX830" s="27" t="str">
        <f t="shared" si="349"/>
        <v/>
      </c>
      <c r="AY830" s="27" t="str">
        <f t="shared" si="350"/>
        <v/>
      </c>
      <c r="AZ830" s="27" t="str">
        <f t="shared" si="351"/>
        <v/>
      </c>
      <c r="BA830" s="27" t="str">
        <f t="shared" si="352"/>
        <v/>
      </c>
      <c r="BB830" s="27" t="str">
        <f t="shared" si="353"/>
        <v/>
      </c>
      <c r="BC830" s="27" t="str">
        <f t="shared" si="354"/>
        <v/>
      </c>
      <c r="BD830" s="27" t="str">
        <f t="shared" si="355"/>
        <v/>
      </c>
      <c r="BE830" s="27" t="str">
        <f t="shared" si="356"/>
        <v/>
      </c>
      <c r="BF830" s="27" t="str">
        <f t="shared" si="357"/>
        <v/>
      </c>
      <c r="BG830" s="27" t="str">
        <f t="shared" si="358"/>
        <v/>
      </c>
      <c r="BH830" s="27" t="str">
        <f t="shared" si="359"/>
        <v/>
      </c>
      <c r="BI830" s="27" t="str">
        <f t="shared" si="360"/>
        <v/>
      </c>
      <c r="BJ830" s="27" t="str">
        <f t="shared" si="361"/>
        <v/>
      </c>
      <c r="BK830" s="27" t="str">
        <f t="shared" si="362"/>
        <v/>
      </c>
      <c r="BL830" s="27" t="str">
        <f t="shared" si="363"/>
        <v/>
      </c>
      <c r="BM830" s="21" t="s">
        <v>5581</v>
      </c>
    </row>
    <row r="831" spans="1:65" ht="15">
      <c r="A831" s="25" t="str">
        <f>IFERROR(INDEX('Hun Demand'!W:W,MATCH(O831,'Hun Demand'!A:A,0)),"")</f>
        <v/>
      </c>
      <c r="B831" s="25" t="str">
        <f>IFERROR(INDEX('Hun Demand'!V:V,MATCH(O831,'Hun Demand'!A:A,0)),"")</f>
        <v/>
      </c>
      <c r="C831" s="25" t="str">
        <f>IFERROR(INDEX('Hun Demand'!U:U,MATCH(O831,'Hun Demand'!A:A,0)),"")</f>
        <v/>
      </c>
      <c r="D831" s="25" t="str">
        <f>IFERROR(INDEX('Hun Demand'!T:T,MATCH(O831,'Hun Demand'!A:A,0)),"")</f>
        <v/>
      </c>
      <c r="E831" s="25" t="str">
        <f>IFERROR(INDEX('Hun Demand'!S:S,MATCH(O831,'Hun Demand'!A:A,0)),"")</f>
        <v/>
      </c>
      <c r="F831" s="25" t="str">
        <f>IFERROR(INDEX('Hun Demand'!R:R,MATCH(O831,'Hun Demand'!A:A,0)),"")</f>
        <v/>
      </c>
      <c r="G831" s="25">
        <f>IFERROR(INDEX('Aub Demand'!W:W,MATCH(O831,'Aub Demand'!A:A,0)),"")</f>
        <v>16</v>
      </c>
      <c r="H831" s="25">
        <f>IFERROR(INDEX('Aub Demand'!V:V,MATCH(O831,'Aub Demand'!A:A,0)),"")</f>
        <v>22</v>
      </c>
      <c r="I831" s="25">
        <f>IFERROR(INDEX('Aub Demand'!U:U,MATCH(O831,'Aub Demand'!A:A,0)),"")</f>
        <v>8</v>
      </c>
      <c r="J831" s="25">
        <f>IFERROR(INDEX('Aub Demand'!T:T,MATCH(O831,'Aub Demand'!A:A,0)),"")</f>
        <v>0</v>
      </c>
      <c r="K831" s="25">
        <f>IFERROR(INDEX('Aub Demand'!S:S,MATCH(O831,'Aub Demand'!A:A,0)),"")</f>
        <v>54</v>
      </c>
      <c r="L831" s="25">
        <f>IFERROR(INDEX('Aub Demand'!R:R,MATCH(O831,'Aub Demand'!A:A,0)),"")</f>
        <v>0</v>
      </c>
      <c r="O831" s="27" t="s">
        <v>1236</v>
      </c>
      <c r="P831" s="27" t="str">
        <f>IFERROR(INDEX('Aub Demand'!B:B,MATCH($O831,'Aub Demand'!$A:$A,0)),"")</f>
        <v>CITY OF LIGHTS</v>
      </c>
      <c r="Q831" s="27" t="str">
        <f>IFERROR(INDEX('Aub Demand'!C:C,MATCH($O831,'Aub Demand'!$A:$A,0)),"")</f>
        <v>TOPPA</v>
      </c>
      <c r="R831" s="52">
        <f>IFERROR(IF(AR832=AR831,INDEX('Aub Demand'!K:K,MATCH($O831,'Aub Demand'!$A:$A,0))-IF(AN831="",0,AN831)+AP832,INDEX('Aub Demand'!K:K,MATCH($O831,'Aub Demand'!$A:$A,0))-IF(AN831="",0,AN831)),"")</f>
        <v>836</v>
      </c>
      <c r="S831" s="53">
        <f t="shared" si="336"/>
        <v>170.6</v>
      </c>
      <c r="T831" s="52" t="str">
        <f t="shared" si="337"/>
        <v/>
      </c>
      <c r="U831" s="52">
        <f>IFERROR(IF(AR832=AR831,INDEX('Aub Demand'!Q:Q,MATCH($O831,'Aub Demand'!$A:$A,0))-IF(AN831="",0,AN831)+AP832,INDEX('Aub Demand'!Q:Q,MATCH($O831,'Aub Demand'!$A:$A,0))-IF(AN831="",0,AN831)),"")</f>
        <v>790</v>
      </c>
      <c r="V831" s="53">
        <f t="shared" si="338"/>
        <v>161.19999999999999</v>
      </c>
      <c r="W831" s="52" t="str">
        <f t="shared" si="339"/>
        <v/>
      </c>
      <c r="X831" s="52">
        <f>IFERROR(IF(AND(AR832=AR831,AM831&lt;&gt;""),INDEX('Aub Demand'!Q:Q,MATCH($O831,'Aub Demand'!$A:$A,0))-IF(AN831="",0,AN831)+AP832+AD831+AL831,IF(AR832=AR831,INDEX('Aub Demand'!Q:Q,MATCH($O831,'Aub Demand'!$A:$A,0))-IF(AN831="",0,AN831)+AP832+AD831,IF(AM831&lt;&gt;"",INDEX('Aub Demand'!Q:Q,MATCH($O831,'Aub Demand'!$A:$A,0))-IF(AN831="",0,AN831)+AD831+AL831,INDEX('Aub Demand'!Q:Q,MATCH($O831,'Aub Demand'!$A:$A,0))-IF(AN831="",0,AN831)+AD831))),"")</f>
        <v>790</v>
      </c>
      <c r="Y831" s="53">
        <f t="shared" si="340"/>
        <v>161.19999999999999</v>
      </c>
      <c r="Z831" s="52">
        <f>IF(L831="","",INDEX('Aub Demand'!H:H,MATCH($O831,'Aub Demand'!$A:$A,0)))</f>
        <v>21</v>
      </c>
      <c r="AA831" s="52">
        <f t="shared" si="341"/>
        <v>31</v>
      </c>
      <c r="AB831" s="52">
        <f>IFERROR(INDEX('Aub Demand'!L:L,MATCH($O831,'Aub Demand'!$A:$A,0)),"")</f>
        <v>68</v>
      </c>
      <c r="AC831" s="52">
        <f>IFERROR(IF(O831="","",SUMIFS('CPL Mats'!F:F,'CPL Mats'!Q:Q,AR831,'CPL Mats'!S:S,AS831)),"")</f>
        <v>0</v>
      </c>
      <c r="AF831" s="25" t="str">
        <f>IF(SUMIFS('Supp Consol'!S:S,'Supp Consol'!Y:Y,"Releasable",'Supp Consol'!A:A,O831)=0,"",SUMIFS('Supp Consol'!S:S,'Supp Consol'!Y:Y,"Releasable",'Supp Consol'!A:A,O831))</f>
        <v/>
      </c>
      <c r="AG831" s="25" t="str">
        <f>IFERROR(INDEX('Hun Demand'!Q:Q,MATCH(O831,'Hun Demand'!A:A,0)),"")</f>
        <v/>
      </c>
      <c r="AH831" s="25" t="str">
        <f>IFERROR(INDEX('Hun Demand'!H:H,MATCH($O831,'Hun Demand'!$A:$A,0)),"")</f>
        <v/>
      </c>
      <c r="AI831" s="25" t="str">
        <f>IF(SUMIFS('Supp Consol'!AA:AA,'Supp Consol'!Z:Z,"Expires this month",'Supp Consol'!A:A,O831)=0,"",SUMIFS('Supp Consol'!AA:AA,'Supp Consol'!Z:Z,"Expires this month",'Supp Consol'!A:A,O831))</f>
        <v/>
      </c>
      <c r="AJ831" s="25" t="str">
        <f>IF(SUMIFS('Supp Consol'!AA:AA,'Supp Consol'!Z:Z,"Expired Previous Months",'Supp Consol'!A:A,O831)=0,"",SUMIFS('Supp Consol'!AA:AA,'Supp Consol'!Z:Z,"Expired Previous Months",'Supp Consol'!A:A,O831))</f>
        <v/>
      </c>
      <c r="AK831" s="25" t="str">
        <f>IFERROR(INDEX('Hun Release Current'!B:B,MATCH(O831,'Hun Release Current'!A:A,0)),"")</f>
        <v/>
      </c>
      <c r="AL831" s="25" t="str">
        <f>IF(SUMIF('Prev Aub'!A:A,O831,'Prev Aub'!B:B)=0,"",SUMIF('Prev Aub'!A:A,O831,'Prev Aub'!B:B))</f>
        <v/>
      </c>
      <c r="AN831" s="25" t="s">
        <v>3790</v>
      </c>
      <c r="AO831" s="25" t="s">
        <v>3790</v>
      </c>
      <c r="AP831" s="25">
        <f t="shared" si="342"/>
        <v>0</v>
      </c>
      <c r="AQ831" s="151" t="str">
        <f>IF(SUMIFS('Supp Consol'!S:S,'Supp Consol'!A:A,O831,'Supp Consol'!I:I,"PENDING")=0,"",SUMIFS('Supp Consol'!S:S,'Supp Consol'!A:A,O831,'Supp Consol'!I:I,"PENDING"))</f>
        <v/>
      </c>
      <c r="AR831" s="27" t="str">
        <f t="shared" si="343"/>
        <v>MT330</v>
      </c>
      <c r="AS831" s="27" t="str">
        <f t="shared" si="344"/>
        <v>62</v>
      </c>
      <c r="AT831" s="27" t="str">
        <f t="shared" si="345"/>
        <v/>
      </c>
      <c r="AU831" s="27" t="str">
        <f t="shared" si="346"/>
        <v/>
      </c>
      <c r="AV831" s="27" t="str">
        <f t="shared" si="347"/>
        <v/>
      </c>
      <c r="AW831" s="27" t="str">
        <f t="shared" si="348"/>
        <v/>
      </c>
      <c r="AX831" s="27" t="str">
        <f t="shared" si="349"/>
        <v/>
      </c>
      <c r="AY831" s="27" t="str">
        <f t="shared" si="350"/>
        <v/>
      </c>
      <c r="AZ831" s="27" t="str">
        <f t="shared" si="351"/>
        <v/>
      </c>
      <c r="BA831" s="27" t="str">
        <f t="shared" si="352"/>
        <v/>
      </c>
      <c r="BB831" s="27" t="str">
        <f t="shared" si="353"/>
        <v/>
      </c>
      <c r="BC831" s="27" t="str">
        <f t="shared" si="354"/>
        <v/>
      </c>
      <c r="BD831" s="27" t="str">
        <f t="shared" si="355"/>
        <v/>
      </c>
      <c r="BE831" s="27" t="str">
        <f t="shared" si="356"/>
        <v/>
      </c>
      <c r="BF831" s="27" t="str">
        <f t="shared" si="357"/>
        <v/>
      </c>
      <c r="BG831" s="27" t="str">
        <f t="shared" si="358"/>
        <v/>
      </c>
      <c r="BH831" s="27" t="str">
        <f t="shared" si="359"/>
        <v/>
      </c>
      <c r="BI831" s="27" t="str">
        <f t="shared" si="360"/>
        <v/>
      </c>
      <c r="BJ831" s="27" t="str">
        <f t="shared" si="361"/>
        <v/>
      </c>
      <c r="BK831" s="27" t="str">
        <f t="shared" si="362"/>
        <v/>
      </c>
      <c r="BL831" s="27" t="str">
        <f t="shared" si="363"/>
        <v/>
      </c>
      <c r="BM831" s="21" t="s">
        <v>5581</v>
      </c>
    </row>
    <row r="832" spans="1:65" ht="15">
      <c r="A832" s="25" t="str">
        <f>IFERROR(INDEX('Hun Demand'!W:W,MATCH(O832,'Hun Demand'!A:A,0)),"")</f>
        <v/>
      </c>
      <c r="B832" s="25" t="str">
        <f>IFERROR(INDEX('Hun Demand'!V:V,MATCH(O832,'Hun Demand'!A:A,0)),"")</f>
        <v/>
      </c>
      <c r="C832" s="25" t="str">
        <f>IFERROR(INDEX('Hun Demand'!U:U,MATCH(O832,'Hun Demand'!A:A,0)),"")</f>
        <v/>
      </c>
      <c r="D832" s="25" t="str">
        <f>IFERROR(INDEX('Hun Demand'!T:T,MATCH(O832,'Hun Demand'!A:A,0)),"")</f>
        <v/>
      </c>
      <c r="E832" s="25" t="str">
        <f>IFERROR(INDEX('Hun Demand'!S:S,MATCH(O832,'Hun Demand'!A:A,0)),"")</f>
        <v/>
      </c>
      <c r="F832" s="25" t="str">
        <f>IFERROR(INDEX('Hun Demand'!R:R,MATCH(O832,'Hun Demand'!A:A,0)),"")</f>
        <v/>
      </c>
      <c r="G832" s="25">
        <f>IFERROR(INDEX('Aub Demand'!W:W,MATCH(O832,'Aub Demand'!A:A,0)),"")</f>
        <v>0</v>
      </c>
      <c r="H832" s="25">
        <f>IFERROR(INDEX('Aub Demand'!V:V,MATCH(O832,'Aub Demand'!A:A,0)),"")</f>
        <v>0</v>
      </c>
      <c r="I832" s="25">
        <f>IFERROR(INDEX('Aub Demand'!U:U,MATCH(O832,'Aub Demand'!A:A,0)),"")</f>
        <v>0</v>
      </c>
      <c r="J832" s="25">
        <f>IFERROR(INDEX('Aub Demand'!T:T,MATCH(O832,'Aub Demand'!A:A,0)),"")</f>
        <v>0</v>
      </c>
      <c r="K832" s="25">
        <f>IFERROR(INDEX('Aub Demand'!S:S,MATCH(O832,'Aub Demand'!A:A,0)),"")</f>
        <v>0</v>
      </c>
      <c r="L832" s="25">
        <f>IFERROR(INDEX('Aub Demand'!R:R,MATCH(O832,'Aub Demand'!A:A,0)),"")</f>
        <v>0</v>
      </c>
      <c r="O832" s="27" t="s">
        <v>1238</v>
      </c>
      <c r="P832" s="27" t="str">
        <f>IFERROR(INDEX('Aub Demand'!B:B,MATCH($O832,'Aub Demand'!$A:$A,0)),"")</f>
        <v>FUSION GRANITE</v>
      </c>
      <c r="Q832" s="27" t="str">
        <f>IFERROR(INDEX('Aub Demand'!C:C,MATCH($O832,'Aub Demand'!$A:$A,0)),"")</f>
        <v>TOPPA</v>
      </c>
      <c r="R832" s="52">
        <f>IFERROR(IF(AR833=AR832,INDEX('Aub Demand'!K:K,MATCH($O832,'Aub Demand'!$A:$A,0))-IF(AN832="",0,AN832)+AP833,INDEX('Aub Demand'!K:K,MATCH($O832,'Aub Demand'!$A:$A,0))-IF(AN832="",0,AN832)),"")</f>
        <v>10446</v>
      </c>
      <c r="S832" s="53" t="str">
        <f t="shared" si="336"/>
        <v>n/a</v>
      </c>
      <c r="T832" s="52" t="str">
        <f t="shared" si="337"/>
        <v/>
      </c>
      <c r="U832" s="52">
        <f>IFERROR(IF(AR833=AR832,INDEX('Aub Demand'!Q:Q,MATCH($O832,'Aub Demand'!$A:$A,0))-IF(AN832="",0,AN832)+AP833,INDEX('Aub Demand'!Q:Q,MATCH($O832,'Aub Demand'!$A:$A,0))-IF(AN832="",0,AN832)),"")</f>
        <v>10446</v>
      </c>
      <c r="V832" s="53" t="str">
        <f t="shared" si="338"/>
        <v>n/a</v>
      </c>
      <c r="W832" s="52" t="str">
        <f t="shared" si="339"/>
        <v/>
      </c>
      <c r="X832" s="52">
        <f>IFERROR(IF(AND(AR833=AR832,AM832&lt;&gt;""),INDEX('Aub Demand'!Q:Q,MATCH($O832,'Aub Demand'!$A:$A,0))-IF(AN832="",0,AN832)+AP833+AD832+AL832,IF(AR833=AR832,INDEX('Aub Demand'!Q:Q,MATCH($O832,'Aub Demand'!$A:$A,0))-IF(AN832="",0,AN832)+AP833+AD832,IF(AM832&lt;&gt;"",INDEX('Aub Demand'!Q:Q,MATCH($O832,'Aub Demand'!$A:$A,0))-IF(AN832="",0,AN832)+AD832+AL832,INDEX('Aub Demand'!Q:Q,MATCH($O832,'Aub Demand'!$A:$A,0))-IF(AN832="",0,AN832)+AD832))),"")</f>
        <v>10446</v>
      </c>
      <c r="Y832" s="53" t="str">
        <f t="shared" si="340"/>
        <v>n/a</v>
      </c>
      <c r="Z832" s="52">
        <f>IF(L832="","",INDEX('Aub Demand'!H:H,MATCH($O832,'Aub Demand'!$A:$A,0)))</f>
        <v>0</v>
      </c>
      <c r="AA832" s="52" t="str">
        <f t="shared" si="341"/>
        <v>-spike-</v>
      </c>
      <c r="AB832" s="52">
        <f>IFERROR(INDEX('Aub Demand'!L:L,MATCH($O832,'Aub Demand'!$A:$A,0)),"")</f>
        <v>0</v>
      </c>
      <c r="AC832" s="52">
        <f>IFERROR(IF(O832="","",SUMIFS('CPL Mats'!F:F,'CPL Mats'!Q:Q,AR832,'CPL Mats'!S:S,AS832)),"")</f>
        <v>0</v>
      </c>
      <c r="AF832" s="25" t="str">
        <f>IF(SUMIFS('Supp Consol'!S:S,'Supp Consol'!Y:Y,"Releasable",'Supp Consol'!A:A,O832)=0,"",SUMIFS('Supp Consol'!S:S,'Supp Consol'!Y:Y,"Releasable",'Supp Consol'!A:A,O832))</f>
        <v/>
      </c>
      <c r="AG832" s="25" t="str">
        <f>IFERROR(INDEX('Hun Demand'!Q:Q,MATCH(O832,'Hun Demand'!A:A,0)),"")</f>
        <v/>
      </c>
      <c r="AH832" s="25" t="str">
        <f>IFERROR(INDEX('Hun Demand'!H:H,MATCH($O832,'Hun Demand'!$A:$A,0)),"")</f>
        <v/>
      </c>
      <c r="AI832" s="25" t="str">
        <f>IF(SUMIFS('Supp Consol'!AA:AA,'Supp Consol'!Z:Z,"Expires this month",'Supp Consol'!A:A,O832)=0,"",SUMIFS('Supp Consol'!AA:AA,'Supp Consol'!Z:Z,"Expires this month",'Supp Consol'!A:A,O832))</f>
        <v/>
      </c>
      <c r="AJ832" s="25" t="str">
        <f>IF(SUMIFS('Supp Consol'!AA:AA,'Supp Consol'!Z:Z,"Expired Previous Months",'Supp Consol'!A:A,O832)=0,"",SUMIFS('Supp Consol'!AA:AA,'Supp Consol'!Z:Z,"Expired Previous Months",'Supp Consol'!A:A,O832))</f>
        <v/>
      </c>
      <c r="AK832" s="25" t="str">
        <f>IFERROR(INDEX('Hun Release Current'!B:B,MATCH(O832,'Hun Release Current'!A:A,0)),"")</f>
        <v/>
      </c>
      <c r="AL832" s="25" t="str">
        <f>IF(SUMIF('Prev Aub'!A:A,O832,'Prev Aub'!B:B)=0,"",SUMIF('Prev Aub'!A:A,O832,'Prev Aub'!B:B))</f>
        <v/>
      </c>
      <c r="AN832" s="25" t="s">
        <v>3790</v>
      </c>
      <c r="AO832" s="25" t="s">
        <v>3790</v>
      </c>
      <c r="AP832" s="25">
        <f t="shared" si="342"/>
        <v>0</v>
      </c>
      <c r="AQ832" s="151" t="str">
        <f>IF(SUMIFS('Supp Consol'!S:S,'Supp Consol'!A:A,O832,'Supp Consol'!I:I,"PENDING")=0,"",SUMIFS('Supp Consol'!S:S,'Supp Consol'!A:A,O832,'Supp Consol'!I:I,"PENDING"))</f>
        <v/>
      </c>
      <c r="AR832" s="27" t="str">
        <f t="shared" si="343"/>
        <v>MT370</v>
      </c>
      <c r="AS832" s="27" t="str">
        <f t="shared" si="344"/>
        <v>62</v>
      </c>
      <c r="AT832" s="27" t="str">
        <f t="shared" si="345"/>
        <v/>
      </c>
      <c r="AU832" s="27" t="str">
        <f t="shared" si="346"/>
        <v/>
      </c>
      <c r="AV832" s="27" t="str">
        <f t="shared" si="347"/>
        <v/>
      </c>
      <c r="AW832" s="27" t="str">
        <f t="shared" si="348"/>
        <v/>
      </c>
      <c r="AX832" s="27" t="str">
        <f t="shared" si="349"/>
        <v/>
      </c>
      <c r="AY832" s="27" t="str">
        <f t="shared" si="350"/>
        <v/>
      </c>
      <c r="AZ832" s="27" t="str">
        <f t="shared" si="351"/>
        <v/>
      </c>
      <c r="BA832" s="27" t="str">
        <f t="shared" si="352"/>
        <v/>
      </c>
      <c r="BB832" s="27" t="str">
        <f t="shared" si="353"/>
        <v/>
      </c>
      <c r="BC832" s="27" t="str">
        <f t="shared" si="354"/>
        <v/>
      </c>
      <c r="BD832" s="27" t="str">
        <f t="shared" si="355"/>
        <v/>
      </c>
      <c r="BE832" s="27" t="str">
        <f t="shared" si="356"/>
        <v/>
      </c>
      <c r="BF832" s="27" t="str">
        <f t="shared" si="357"/>
        <v/>
      </c>
      <c r="BG832" s="27" t="str">
        <f t="shared" si="358"/>
        <v/>
      </c>
      <c r="BH832" s="27" t="str">
        <f t="shared" si="359"/>
        <v/>
      </c>
      <c r="BI832" s="27" t="str">
        <f t="shared" si="360"/>
        <v/>
      </c>
      <c r="BJ832" s="27" t="str">
        <f t="shared" si="361"/>
        <v/>
      </c>
      <c r="BK832" s="27" t="str">
        <f t="shared" si="362"/>
        <v/>
      </c>
      <c r="BL832" s="27" t="str">
        <f t="shared" si="363"/>
        <v/>
      </c>
      <c r="BM832" s="21" t="s">
        <v>5581</v>
      </c>
    </row>
    <row r="833" spans="1:65" ht="15">
      <c r="A833" s="25" t="str">
        <f>IFERROR(INDEX('Hun Demand'!W:W,MATCH(O833,'Hun Demand'!A:A,0)),"")</f>
        <v/>
      </c>
      <c r="B833" s="25" t="str">
        <f>IFERROR(INDEX('Hun Demand'!V:V,MATCH(O833,'Hun Demand'!A:A,0)),"")</f>
        <v/>
      </c>
      <c r="C833" s="25" t="str">
        <f>IFERROR(INDEX('Hun Demand'!U:U,MATCH(O833,'Hun Demand'!A:A,0)),"")</f>
        <v/>
      </c>
      <c r="D833" s="25" t="str">
        <f>IFERROR(INDEX('Hun Demand'!T:T,MATCH(O833,'Hun Demand'!A:A,0)),"")</f>
        <v/>
      </c>
      <c r="E833" s="25" t="str">
        <f>IFERROR(INDEX('Hun Demand'!S:S,MATCH(O833,'Hun Demand'!A:A,0)),"")</f>
        <v/>
      </c>
      <c r="F833" s="25" t="str">
        <f>IFERROR(INDEX('Hun Demand'!R:R,MATCH(O833,'Hun Demand'!A:A,0)),"")</f>
        <v/>
      </c>
      <c r="G833" s="25">
        <f>IFERROR(INDEX('Aub Demand'!W:W,MATCH(O833,'Aub Demand'!A:A,0)),"")</f>
        <v>23</v>
      </c>
      <c r="H833" s="25">
        <f>IFERROR(INDEX('Aub Demand'!V:V,MATCH(O833,'Aub Demand'!A:A,0)),"")</f>
        <v>8</v>
      </c>
      <c r="I833" s="25">
        <f>IFERROR(INDEX('Aub Demand'!U:U,MATCH(O833,'Aub Demand'!A:A,0)),"")</f>
        <v>0</v>
      </c>
      <c r="J833" s="25">
        <f>IFERROR(INDEX('Aub Demand'!T:T,MATCH(O833,'Aub Demand'!A:A,0)),"")</f>
        <v>0</v>
      </c>
      <c r="K833" s="25">
        <f>IFERROR(INDEX('Aub Demand'!S:S,MATCH(O833,'Aub Demand'!A:A,0)),"")</f>
        <v>0</v>
      </c>
      <c r="L833" s="25">
        <f>IFERROR(INDEX('Aub Demand'!R:R,MATCH(O833,'Aub Demand'!A:A,0)),"")</f>
        <v>0</v>
      </c>
      <c r="O833" s="27" t="s">
        <v>1240</v>
      </c>
      <c r="P833" s="27" t="str">
        <f>IFERROR(INDEX('Aub Demand'!B:B,MATCH($O833,'Aub Demand'!$A:$A,0)),"")</f>
        <v>HAZEL</v>
      </c>
      <c r="Q833" s="27" t="str">
        <f>IFERROR(INDEX('Aub Demand'!C:C,MATCH($O833,'Aub Demand'!$A:$A,0)),"")</f>
        <v>TOPPA</v>
      </c>
      <c r="R833" s="52">
        <f>IFERROR(IF(AR834=AR833,INDEX('Aub Demand'!K:K,MATCH($O833,'Aub Demand'!$A:$A,0))-IF(AN833="",0,AN833)+AP834,INDEX('Aub Demand'!K:K,MATCH($O833,'Aub Demand'!$A:$A,0))-IF(AN833="",0,AN833)),"")</f>
        <v>0</v>
      </c>
      <c r="S833" s="53" t="str">
        <f t="shared" si="336"/>
        <v>n/a</v>
      </c>
      <c r="T833" s="52" t="str">
        <f t="shared" si="337"/>
        <v/>
      </c>
      <c r="U833" s="52">
        <f>IFERROR(IF(AR834=AR833,INDEX('Aub Demand'!Q:Q,MATCH($O833,'Aub Demand'!$A:$A,0))-IF(AN833="",0,AN833)+AP834,INDEX('Aub Demand'!Q:Q,MATCH($O833,'Aub Demand'!$A:$A,0))-IF(AN833="",0,AN833)),"")</f>
        <v>-14</v>
      </c>
      <c r="V833" s="53" t="str">
        <f t="shared" si="338"/>
        <v>n/a</v>
      </c>
      <c r="W833" s="52" t="str">
        <f t="shared" si="339"/>
        <v/>
      </c>
      <c r="X833" s="52">
        <f>IFERROR(IF(AND(AR834=AR833,AM833&lt;&gt;""),INDEX('Aub Demand'!Q:Q,MATCH($O833,'Aub Demand'!$A:$A,0))-IF(AN833="",0,AN833)+AP834+AD833+AL833,IF(AR834=AR833,INDEX('Aub Demand'!Q:Q,MATCH($O833,'Aub Demand'!$A:$A,0))-IF(AN833="",0,AN833)+AP834+AD833,IF(AM833&lt;&gt;"",INDEX('Aub Demand'!Q:Q,MATCH($O833,'Aub Demand'!$A:$A,0))-IF(AN833="",0,AN833)+AD833+AL833,INDEX('Aub Demand'!Q:Q,MATCH($O833,'Aub Demand'!$A:$A,0))-IF(AN833="",0,AN833)+AD833))),"")</f>
        <v>-14</v>
      </c>
      <c r="Y833" s="53" t="str">
        <f t="shared" si="340"/>
        <v>n/a</v>
      </c>
      <c r="Z833" s="52">
        <f>IF(L833="","",INDEX('Aub Demand'!H:H,MATCH($O833,'Aub Demand'!$A:$A,0)))</f>
        <v>0</v>
      </c>
      <c r="AA833" s="52" t="str">
        <f t="shared" si="341"/>
        <v>-spike-</v>
      </c>
      <c r="AB833" s="52">
        <f>IFERROR(INDEX('Aub Demand'!L:L,MATCH($O833,'Aub Demand'!$A:$A,0)),"")</f>
        <v>0</v>
      </c>
      <c r="AC833" s="52">
        <f>IFERROR(IF(O833="","",SUMIFS('CPL Mats'!F:F,'CPL Mats'!Q:Q,AR833,'CPL Mats'!S:S,AS833)),"")</f>
        <v>0</v>
      </c>
      <c r="AF833" s="25" t="str">
        <f>IF(SUMIFS('Supp Consol'!S:S,'Supp Consol'!Y:Y,"Releasable",'Supp Consol'!A:A,O833)=0,"",SUMIFS('Supp Consol'!S:S,'Supp Consol'!Y:Y,"Releasable",'Supp Consol'!A:A,O833))</f>
        <v/>
      </c>
      <c r="AG833" s="25" t="str">
        <f>IFERROR(INDEX('Hun Demand'!Q:Q,MATCH(O833,'Hun Demand'!A:A,0)),"")</f>
        <v/>
      </c>
      <c r="AH833" s="25" t="str">
        <f>IFERROR(INDEX('Hun Demand'!H:H,MATCH($O833,'Hun Demand'!$A:$A,0)),"")</f>
        <v/>
      </c>
      <c r="AI833" s="25" t="str">
        <f>IF(SUMIFS('Supp Consol'!AA:AA,'Supp Consol'!Z:Z,"Expires this month",'Supp Consol'!A:A,O833)=0,"",SUMIFS('Supp Consol'!AA:AA,'Supp Consol'!Z:Z,"Expires this month",'Supp Consol'!A:A,O833))</f>
        <v/>
      </c>
      <c r="AJ833" s="25" t="str">
        <f>IF(SUMIFS('Supp Consol'!AA:AA,'Supp Consol'!Z:Z,"Expired Previous Months",'Supp Consol'!A:A,O833)=0,"",SUMIFS('Supp Consol'!AA:AA,'Supp Consol'!Z:Z,"Expired Previous Months",'Supp Consol'!A:A,O833))</f>
        <v/>
      </c>
      <c r="AK833" s="25" t="str">
        <f>IFERROR(INDEX('Hun Release Current'!B:B,MATCH(O833,'Hun Release Current'!A:A,0)),"")</f>
        <v/>
      </c>
      <c r="AL833" s="25" t="str">
        <f>IF(SUMIF('Prev Aub'!A:A,O833,'Prev Aub'!B:B)=0,"",SUMIF('Prev Aub'!A:A,O833,'Prev Aub'!B:B))</f>
        <v/>
      </c>
      <c r="AN833" s="25" t="s">
        <v>3790</v>
      </c>
      <c r="AO833" s="25" t="s">
        <v>3790</v>
      </c>
      <c r="AP833" s="25">
        <f t="shared" si="342"/>
        <v>0</v>
      </c>
      <c r="AQ833" s="151" t="str">
        <f>IF(SUMIFS('Supp Consol'!S:S,'Supp Consol'!A:A,O833,'Supp Consol'!I:I,"PENDING")=0,"",SUMIFS('Supp Consol'!S:S,'Supp Consol'!A:A,O833,'Supp Consol'!I:I,"PENDING"))</f>
        <v/>
      </c>
      <c r="AR833" s="27" t="str">
        <f t="shared" si="343"/>
        <v>MT390</v>
      </c>
      <c r="AS833" s="27" t="str">
        <f t="shared" si="344"/>
        <v>50</v>
      </c>
      <c r="AT833" s="27" t="str">
        <f t="shared" si="345"/>
        <v/>
      </c>
      <c r="AU833" s="27" t="str">
        <f t="shared" si="346"/>
        <v/>
      </c>
      <c r="AV833" s="27" t="str">
        <f t="shared" si="347"/>
        <v/>
      </c>
      <c r="AW833" s="27" t="str">
        <f t="shared" si="348"/>
        <v/>
      </c>
      <c r="AX833" s="27" t="str">
        <f t="shared" si="349"/>
        <v/>
      </c>
      <c r="AY833" s="27" t="str">
        <f t="shared" si="350"/>
        <v/>
      </c>
      <c r="AZ833" s="27" t="str">
        <f t="shared" si="351"/>
        <v/>
      </c>
      <c r="BA833" s="27" t="str">
        <f t="shared" si="352"/>
        <v/>
      </c>
      <c r="BB833" s="27" t="str">
        <f t="shared" si="353"/>
        <v/>
      </c>
      <c r="BC833" s="27" t="str">
        <f t="shared" si="354"/>
        <v/>
      </c>
      <c r="BD833" s="27" t="str">
        <f t="shared" si="355"/>
        <v/>
      </c>
      <c r="BE833" s="27" t="str">
        <f t="shared" si="356"/>
        <v/>
      </c>
      <c r="BF833" s="27" t="str">
        <f t="shared" si="357"/>
        <v/>
      </c>
      <c r="BG833" s="27" t="str">
        <f t="shared" si="358"/>
        <v/>
      </c>
      <c r="BH833" s="27" t="str">
        <f t="shared" si="359"/>
        <v/>
      </c>
      <c r="BI833" s="27" t="str">
        <f t="shared" si="360"/>
        <v/>
      </c>
      <c r="BJ833" s="27" t="str">
        <f t="shared" si="361"/>
        <v/>
      </c>
      <c r="BK833" s="27" t="str">
        <f t="shared" si="362"/>
        <v/>
      </c>
      <c r="BL833" s="27" t="str">
        <f t="shared" si="363"/>
        <v/>
      </c>
      <c r="BM833" s="21" t="s">
        <v>5581</v>
      </c>
    </row>
    <row r="834" spans="1:65" ht="15">
      <c r="A834" s="25" t="str">
        <f>IFERROR(INDEX('Hun Demand'!W:W,MATCH(O834,'Hun Demand'!A:A,0)),"")</f>
        <v/>
      </c>
      <c r="B834" s="25" t="str">
        <f>IFERROR(INDEX('Hun Demand'!V:V,MATCH(O834,'Hun Demand'!A:A,0)),"")</f>
        <v/>
      </c>
      <c r="C834" s="25" t="str">
        <f>IFERROR(INDEX('Hun Demand'!U:U,MATCH(O834,'Hun Demand'!A:A,0)),"")</f>
        <v/>
      </c>
      <c r="D834" s="25" t="str">
        <f>IFERROR(INDEX('Hun Demand'!T:T,MATCH(O834,'Hun Demand'!A:A,0)),"")</f>
        <v/>
      </c>
      <c r="E834" s="25" t="str">
        <f>IFERROR(INDEX('Hun Demand'!S:S,MATCH(O834,'Hun Demand'!A:A,0)),"")</f>
        <v/>
      </c>
      <c r="F834" s="25" t="str">
        <f>IFERROR(INDEX('Hun Demand'!R:R,MATCH(O834,'Hun Demand'!A:A,0)),"")</f>
        <v/>
      </c>
      <c r="G834" s="25">
        <f>IFERROR(INDEX('Aub Demand'!W:W,MATCH(O834,'Aub Demand'!A:A,0)),"")</f>
        <v>0</v>
      </c>
      <c r="H834" s="25">
        <f>IFERROR(INDEX('Aub Demand'!V:V,MATCH(O834,'Aub Demand'!A:A,0)),"")</f>
        <v>0</v>
      </c>
      <c r="I834" s="25">
        <f>IFERROR(INDEX('Aub Demand'!U:U,MATCH(O834,'Aub Demand'!A:A,0)),"")</f>
        <v>57</v>
      </c>
      <c r="J834" s="25">
        <f>IFERROR(INDEX('Aub Demand'!T:T,MATCH(O834,'Aub Demand'!A:A,0)),"")</f>
        <v>41</v>
      </c>
      <c r="K834" s="25">
        <f>IFERROR(INDEX('Aub Demand'!S:S,MATCH(O834,'Aub Demand'!A:A,0)),"")</f>
        <v>104</v>
      </c>
      <c r="L834" s="25">
        <f>IFERROR(INDEX('Aub Demand'!R:R,MATCH(O834,'Aub Demand'!A:A,0)),"")</f>
        <v>0</v>
      </c>
      <c r="O834" s="27" t="s">
        <v>1242</v>
      </c>
      <c r="P834" s="27" t="str">
        <f>IFERROR(INDEX('Aub Demand'!B:B,MATCH($O834,'Aub Demand'!$A:$A,0)),"")</f>
        <v>HAZEL</v>
      </c>
      <c r="Q834" s="27" t="str">
        <f>IFERROR(INDEX('Aub Demand'!C:C,MATCH($O834,'Aub Demand'!$A:$A,0)),"")</f>
        <v>TOPPA</v>
      </c>
      <c r="R834" s="52">
        <f>IFERROR(IF(AR835=AR834,INDEX('Aub Demand'!K:K,MATCH($O834,'Aub Demand'!$A:$A,0))-IF(AN834="",0,AN834)+AP835,INDEX('Aub Demand'!K:K,MATCH($O834,'Aub Demand'!$A:$A,0))-IF(AN834="",0,AN834)),"")</f>
        <v>583</v>
      </c>
      <c r="S834" s="53">
        <f t="shared" si="336"/>
        <v>37.299999999999997</v>
      </c>
      <c r="T834" s="52" t="str">
        <f t="shared" si="337"/>
        <v/>
      </c>
      <c r="U834" s="52">
        <f>IFERROR(IF(AR835=AR834,INDEX('Aub Demand'!Q:Q,MATCH($O834,'Aub Demand'!$A:$A,0))-IF(AN834="",0,AN834)+AP835,INDEX('Aub Demand'!Q:Q,MATCH($O834,'Aub Demand'!$A:$A,0))-IF(AN834="",0,AN834)),"")</f>
        <v>570</v>
      </c>
      <c r="V834" s="53">
        <f t="shared" si="338"/>
        <v>36.5</v>
      </c>
      <c r="W834" s="52" t="str">
        <f t="shared" si="339"/>
        <v/>
      </c>
      <c r="X834" s="52">
        <f>IFERROR(IF(AND(AR835=AR834,AM834&lt;&gt;""),INDEX('Aub Demand'!Q:Q,MATCH($O834,'Aub Demand'!$A:$A,0))-IF(AN834="",0,AN834)+AP835+AD834+AL834,IF(AR835=AR834,INDEX('Aub Demand'!Q:Q,MATCH($O834,'Aub Demand'!$A:$A,0))-IF(AN834="",0,AN834)+AP835+AD834,IF(AM834&lt;&gt;"",INDEX('Aub Demand'!Q:Q,MATCH($O834,'Aub Demand'!$A:$A,0))-IF(AN834="",0,AN834)+AD834+AL834,INDEX('Aub Demand'!Q:Q,MATCH($O834,'Aub Demand'!$A:$A,0))-IF(AN834="",0,AN834)+AD834))),"")</f>
        <v>570</v>
      </c>
      <c r="Y834" s="53">
        <f t="shared" si="340"/>
        <v>36.5</v>
      </c>
      <c r="Z834" s="52">
        <f>IF(L834="","",INDEX('Aub Demand'!H:H,MATCH($O834,'Aub Demand'!$A:$A,0)))</f>
        <v>67</v>
      </c>
      <c r="AA834" s="52">
        <f t="shared" si="341"/>
        <v>80.5</v>
      </c>
      <c r="AB834" s="52">
        <f>IFERROR(INDEX('Aub Demand'!L:L,MATCH($O834,'Aub Demand'!$A:$A,0)),"")</f>
        <v>89</v>
      </c>
      <c r="AC834" s="52">
        <f>IFERROR(IF(O834="","",SUMIFS('CPL Mats'!F:F,'CPL Mats'!Q:Q,AR834,'CPL Mats'!S:S,AS834)),"")</f>
        <v>0</v>
      </c>
      <c r="AF834" s="25" t="str">
        <f>IF(SUMIFS('Supp Consol'!S:S,'Supp Consol'!Y:Y,"Releasable",'Supp Consol'!A:A,O834)=0,"",SUMIFS('Supp Consol'!S:S,'Supp Consol'!Y:Y,"Releasable",'Supp Consol'!A:A,O834))</f>
        <v/>
      </c>
      <c r="AG834" s="25" t="str">
        <f>IFERROR(INDEX('Hun Demand'!Q:Q,MATCH(O834,'Hun Demand'!A:A,0)),"")</f>
        <v/>
      </c>
      <c r="AH834" s="25" t="str">
        <f>IFERROR(INDEX('Hun Demand'!H:H,MATCH($O834,'Hun Demand'!$A:$A,0)),"")</f>
        <v/>
      </c>
      <c r="AI834" s="25" t="str">
        <f>IF(SUMIFS('Supp Consol'!AA:AA,'Supp Consol'!Z:Z,"Expires this month",'Supp Consol'!A:A,O834)=0,"",SUMIFS('Supp Consol'!AA:AA,'Supp Consol'!Z:Z,"Expires this month",'Supp Consol'!A:A,O834))</f>
        <v/>
      </c>
      <c r="AJ834" s="25" t="str">
        <f>IF(SUMIFS('Supp Consol'!AA:AA,'Supp Consol'!Z:Z,"Expired Previous Months",'Supp Consol'!A:A,O834)=0,"",SUMIFS('Supp Consol'!AA:AA,'Supp Consol'!Z:Z,"Expired Previous Months",'Supp Consol'!A:A,O834))</f>
        <v/>
      </c>
      <c r="AK834" s="25" t="str">
        <f>IFERROR(INDEX('Hun Release Current'!B:B,MATCH(O834,'Hun Release Current'!A:A,0)),"")</f>
        <v/>
      </c>
      <c r="AL834" s="25" t="str">
        <f>IF(SUMIF('Prev Aub'!A:A,O834,'Prev Aub'!B:B)=0,"",SUMIF('Prev Aub'!A:A,O834,'Prev Aub'!B:B))</f>
        <v/>
      </c>
      <c r="AN834" s="25" t="s">
        <v>3790</v>
      </c>
      <c r="AO834" s="25" t="s">
        <v>3790</v>
      </c>
      <c r="AP834" s="25">
        <f t="shared" si="342"/>
        <v>0</v>
      </c>
      <c r="AQ834" s="151" t="str">
        <f>IF(SUMIFS('Supp Consol'!S:S,'Supp Consol'!A:A,O834,'Supp Consol'!I:I,"PENDING")=0,"",SUMIFS('Supp Consol'!S:S,'Supp Consol'!A:A,O834,'Supp Consol'!I:I,"PENDING"))</f>
        <v/>
      </c>
      <c r="AR834" s="27" t="str">
        <f t="shared" si="343"/>
        <v>MT390</v>
      </c>
      <c r="AS834" s="27" t="str">
        <f t="shared" si="344"/>
        <v>62</v>
      </c>
      <c r="AT834" s="27" t="str">
        <f t="shared" si="345"/>
        <v/>
      </c>
      <c r="AU834" s="27" t="str">
        <f t="shared" si="346"/>
        <v/>
      </c>
      <c r="AV834" s="27" t="str">
        <f t="shared" si="347"/>
        <v/>
      </c>
      <c r="AW834" s="27" t="str">
        <f t="shared" si="348"/>
        <v/>
      </c>
      <c r="AX834" s="27" t="str">
        <f t="shared" si="349"/>
        <v/>
      </c>
      <c r="AY834" s="27" t="str">
        <f t="shared" si="350"/>
        <v/>
      </c>
      <c r="AZ834" s="27" t="str">
        <f t="shared" si="351"/>
        <v/>
      </c>
      <c r="BA834" s="27" t="str">
        <f t="shared" si="352"/>
        <v/>
      </c>
      <c r="BB834" s="27" t="str">
        <f t="shared" si="353"/>
        <v/>
      </c>
      <c r="BC834" s="27" t="str">
        <f t="shared" si="354"/>
        <v/>
      </c>
      <c r="BD834" s="27" t="str">
        <f t="shared" si="355"/>
        <v/>
      </c>
      <c r="BE834" s="27" t="str">
        <f t="shared" si="356"/>
        <v/>
      </c>
      <c r="BF834" s="27" t="str">
        <f t="shared" si="357"/>
        <v/>
      </c>
      <c r="BG834" s="27" t="str">
        <f t="shared" si="358"/>
        <v/>
      </c>
      <c r="BH834" s="27" t="str">
        <f t="shared" si="359"/>
        <v/>
      </c>
      <c r="BI834" s="27" t="str">
        <f t="shared" si="360"/>
        <v/>
      </c>
      <c r="BJ834" s="27" t="str">
        <f t="shared" si="361"/>
        <v/>
      </c>
      <c r="BK834" s="27" t="str">
        <f t="shared" si="362"/>
        <v/>
      </c>
      <c r="BL834" s="27" t="str">
        <f t="shared" si="363"/>
        <v/>
      </c>
      <c r="BM834" s="21" t="s">
        <v>5581</v>
      </c>
    </row>
    <row r="835" spans="1:65" ht="15">
      <c r="A835" s="25" t="str">
        <f>IFERROR(INDEX('Hun Demand'!W:W,MATCH(O835,'Hun Demand'!A:A,0)),"")</f>
        <v/>
      </c>
      <c r="B835" s="25" t="str">
        <f>IFERROR(INDEX('Hun Demand'!V:V,MATCH(O835,'Hun Demand'!A:A,0)),"")</f>
        <v/>
      </c>
      <c r="C835" s="25" t="str">
        <f>IFERROR(INDEX('Hun Demand'!U:U,MATCH(O835,'Hun Demand'!A:A,0)),"")</f>
        <v/>
      </c>
      <c r="D835" s="25" t="str">
        <f>IFERROR(INDEX('Hun Demand'!T:T,MATCH(O835,'Hun Demand'!A:A,0)),"")</f>
        <v/>
      </c>
      <c r="E835" s="25" t="str">
        <f>IFERROR(INDEX('Hun Demand'!S:S,MATCH(O835,'Hun Demand'!A:A,0)),"")</f>
        <v/>
      </c>
      <c r="F835" s="25" t="str">
        <f>IFERROR(INDEX('Hun Demand'!R:R,MATCH(O835,'Hun Demand'!A:A,0)),"")</f>
        <v/>
      </c>
      <c r="G835" s="25">
        <f>IFERROR(INDEX('Aub Demand'!W:W,MATCH(O835,'Aub Demand'!A:A,0)),"")</f>
        <v>16</v>
      </c>
      <c r="H835" s="25">
        <f>IFERROR(INDEX('Aub Demand'!V:V,MATCH(O835,'Aub Demand'!A:A,0)),"")</f>
        <v>0</v>
      </c>
      <c r="I835" s="25">
        <f>IFERROR(INDEX('Aub Demand'!U:U,MATCH(O835,'Aub Demand'!A:A,0)),"")</f>
        <v>3</v>
      </c>
      <c r="J835" s="25">
        <f>IFERROR(INDEX('Aub Demand'!T:T,MATCH(O835,'Aub Demand'!A:A,0)),"")</f>
        <v>3</v>
      </c>
      <c r="K835" s="25">
        <f>IFERROR(INDEX('Aub Demand'!S:S,MATCH(O835,'Aub Demand'!A:A,0)),"")</f>
        <v>0</v>
      </c>
      <c r="L835" s="25">
        <f>IFERROR(INDEX('Aub Demand'!R:R,MATCH(O835,'Aub Demand'!A:A,0)),"")</f>
        <v>0</v>
      </c>
      <c r="O835" s="27" t="s">
        <v>2410</v>
      </c>
      <c r="P835" s="27" t="str">
        <f>IFERROR(INDEX('Aub Demand'!B:B,MATCH($O835,'Aub Demand'!$A:$A,0)),"")</f>
        <v>TAUPE IMPERIALE MARB</v>
      </c>
      <c r="Q835" s="27" t="str">
        <f>IFERROR(INDEX('Aub Demand'!C:C,MATCH($O835,'Aub Demand'!$A:$A,0)),"")</f>
        <v>IMPRE</v>
      </c>
      <c r="R835" s="52">
        <f>IFERROR(IF(AR836=AR835,INDEX('Aub Demand'!K:K,MATCH($O835,'Aub Demand'!$A:$A,0))-IF(AN835="",0,AN835)+AP836,INDEX('Aub Demand'!K:K,MATCH($O835,'Aub Demand'!$A:$A,0))-IF(AN835="",0,AN835)),"")</f>
        <v>586</v>
      </c>
      <c r="S835" s="53">
        <f t="shared" ref="S835:S898" si="364">IFERROR(IF(O835="","",ROUND(R835/((Z835/30)*7),1)),"n/a")</f>
        <v>1255.7</v>
      </c>
      <c r="T835" s="52" t="str">
        <f t="shared" ref="T835:T898" si="365">IFERROR(IF(S835&lt;3.1,IF(AA835="spike",(3-S835)*(Z835/4),(3-S835)*(AA835/4)),""),"")</f>
        <v/>
      </c>
      <c r="U835" s="52">
        <f>IFERROR(IF(AR836=AR835,INDEX('Aub Demand'!Q:Q,MATCH($O835,'Aub Demand'!$A:$A,0))-IF(AN835="",0,AN835)+AP836,INDEX('Aub Demand'!Q:Q,MATCH($O835,'Aub Demand'!$A:$A,0))-IF(AN835="",0,AN835)),"")</f>
        <v>586</v>
      </c>
      <c r="V835" s="53">
        <f t="shared" ref="V835:V898" si="366">IFERROR(IF(O835="","",ROUND(U835/((Z835/30)*7),1)),"n/a")</f>
        <v>1255.7</v>
      </c>
      <c r="W835" s="52" t="str">
        <f t="shared" ref="W835:W898" si="367">IF(IFERROR(IF(V835&lt;3.1,IF(AA835="spike",(3-V835)*(Z835/4),(3-V835)*(AA835/4)),""),"")&lt;0,0,IFERROR(IF(V835&lt;3.1,IF(AA835="spike",(3-V835)*(Z835/4),(3-V835)*(AA835/4)),""),""))</f>
        <v/>
      </c>
      <c r="X835" s="52">
        <f>IFERROR(IF(AND(AR836=AR835,AM835&lt;&gt;""),INDEX('Aub Demand'!Q:Q,MATCH($O835,'Aub Demand'!$A:$A,0))-IF(AN835="",0,AN835)+AP836+AD835+AL835,IF(AR836=AR835,INDEX('Aub Demand'!Q:Q,MATCH($O835,'Aub Demand'!$A:$A,0))-IF(AN835="",0,AN835)+AP836+AD835,IF(AM835&lt;&gt;"",INDEX('Aub Demand'!Q:Q,MATCH($O835,'Aub Demand'!$A:$A,0))-IF(AN835="",0,AN835)+AD835+AL835,INDEX('Aub Demand'!Q:Q,MATCH($O835,'Aub Demand'!$A:$A,0))-IF(AN835="",0,AN835)+AD835))),"")</f>
        <v>586</v>
      </c>
      <c r="Y835" s="53">
        <f t="shared" ref="Y835:Y898" si="368">IFERROR(IF(O835="","",ROUND(X835/((Z835/30)*7),1)),"n/a")</f>
        <v>1255.7</v>
      </c>
      <c r="Z835" s="52">
        <f>IF(L835="","",INDEX('Aub Demand'!H:H,MATCH($O835,'Aub Demand'!$A:$A,0)))</f>
        <v>2</v>
      </c>
      <c r="AA835" s="52">
        <f t="shared" ref="AA835:AA898" si="369">IF(L835="","",IF(LARGE(I835:L835,2)=0,"-spike-",AVERAGE(LARGE(I835:L835,1),LARGE(I835:L835,2))))</f>
        <v>3</v>
      </c>
      <c r="AB835" s="52">
        <f>IFERROR(INDEX('Aub Demand'!L:L,MATCH($O835,'Aub Demand'!$A:$A,0)),"")</f>
        <v>0</v>
      </c>
      <c r="AC835" s="52">
        <f>IFERROR(IF(O835="","",SUMIFS('CPL Mats'!F:F,'CPL Mats'!Q:Q,AR835,'CPL Mats'!S:S,AS835)),"")</f>
        <v>0</v>
      </c>
      <c r="AF835" s="25" t="str">
        <f>IF(SUMIFS('Supp Consol'!S:S,'Supp Consol'!Y:Y,"Releasable",'Supp Consol'!A:A,O835)=0,"",SUMIFS('Supp Consol'!S:S,'Supp Consol'!Y:Y,"Releasable",'Supp Consol'!A:A,O835))</f>
        <v/>
      </c>
      <c r="AG835" s="25" t="str">
        <f>IFERROR(INDEX('Hun Demand'!Q:Q,MATCH(O835,'Hun Demand'!A:A,0)),"")</f>
        <v/>
      </c>
      <c r="AH835" s="25" t="str">
        <f>IFERROR(INDEX('Hun Demand'!H:H,MATCH($O835,'Hun Demand'!$A:$A,0)),"")</f>
        <v/>
      </c>
      <c r="AI835" s="25" t="str">
        <f>IF(SUMIFS('Supp Consol'!AA:AA,'Supp Consol'!Z:Z,"Expires this month",'Supp Consol'!A:A,O835)=0,"",SUMIFS('Supp Consol'!AA:AA,'Supp Consol'!Z:Z,"Expires this month",'Supp Consol'!A:A,O835))</f>
        <v/>
      </c>
      <c r="AJ835" s="25" t="str">
        <f>IF(SUMIFS('Supp Consol'!AA:AA,'Supp Consol'!Z:Z,"Expired Previous Months",'Supp Consol'!A:A,O835)=0,"",SUMIFS('Supp Consol'!AA:AA,'Supp Consol'!Z:Z,"Expired Previous Months",'Supp Consol'!A:A,O835))</f>
        <v/>
      </c>
      <c r="AK835" s="25" t="str">
        <f>IFERROR(INDEX('Hun Release Current'!B:B,MATCH(O835,'Hun Release Current'!A:A,0)),"")</f>
        <v/>
      </c>
      <c r="AL835" s="25" t="str">
        <f>IF(SUMIF('Prev Aub'!A:A,O835,'Prev Aub'!B:B)=0,"",SUMIF('Prev Aub'!A:A,O835,'Prev Aub'!B:B))</f>
        <v/>
      </c>
      <c r="AN835" s="25" t="s">
        <v>3790</v>
      </c>
      <c r="AO835" s="25" t="s">
        <v>3790</v>
      </c>
      <c r="AP835" s="25">
        <f t="shared" ref="AP835:AP898" si="370">IFERROR(IF(O835="","",IF(AN835="",0,VALUE(AN835)-(VALUE(AN835)*0.2))),"")</f>
        <v>0</v>
      </c>
      <c r="AQ835" s="151" t="str">
        <f>IF(SUMIFS('Supp Consol'!S:S,'Supp Consol'!A:A,O835,'Supp Consol'!I:I,"PENDING")=0,"",SUMIFS('Supp Consol'!S:S,'Supp Consol'!A:A,O835,'Supp Consol'!I:I,"PENDING"))</f>
        <v/>
      </c>
      <c r="AR835" s="27" t="str">
        <f t="shared" ref="AR835:AR898" si="371">MID(O835,4,5)</f>
        <v>MT405</v>
      </c>
      <c r="AS835" s="27" t="str">
        <f t="shared" ref="AS835:AS898" si="372">MID(O835,10,2)</f>
        <v>50</v>
      </c>
      <c r="AT835" s="27" t="str">
        <f t="shared" ref="AT835:AT898" si="373">IF(S835&lt;3.1,AR835,"")</f>
        <v/>
      </c>
      <c r="AU835" s="27" t="str">
        <f t="shared" ref="AU835:AU898" si="374">IF(Y835&lt;3.1,AR835,"")</f>
        <v/>
      </c>
      <c r="AV835" s="27" t="str">
        <f t="shared" ref="AV835:AV898" si="375">IF(AND(AA835="Spike",L835=0,K835=0,X835&gt;=0),"",IF(Y835&lt;3.1,AR835,""))</f>
        <v/>
      </c>
      <c r="AW835" s="27" t="str">
        <f t="shared" ref="AW835:AW898" si="376">IF(AI835=AL835,"",IF(OR(AI835&lt;&gt;"",AJ835&lt;&gt;""),AR835,""))</f>
        <v/>
      </c>
      <c r="AX835" s="27" t="str">
        <f t="shared" ref="AX835:AX898" si="377">IF(AF835&lt;&gt;"",AR835,"")</f>
        <v/>
      </c>
      <c r="AY835" s="27" t="str">
        <f t="shared" ref="AY835:AY898" si="378">IF(AND(AG835&lt;&gt;"",AG835&gt;AH835),AR835,"")</f>
        <v/>
      </c>
      <c r="AZ835" s="27" t="str">
        <f t="shared" ref="AZ835:AZ898" si="379">IFERROR(IF(O835="","",IF(ISERROR(MATCH(AR835,AX:AX,0)),"","Supp")),"")</f>
        <v/>
      </c>
      <c r="BA835" s="27" t="str">
        <f t="shared" ref="BA835:BA898" si="380">IFERROR(IF(O835="","",IF(ISERROR(MATCH(AR835,AY:AY,0)),"","Hun")),"")</f>
        <v/>
      </c>
      <c r="BB835" s="27" t="str">
        <f t="shared" ref="BB835:BB898" si="381">IFERROR(IF(O835="","",IF(ISERROR(MATCH(AR835,AT:AT,0)),"","Gross")),"")</f>
        <v/>
      </c>
      <c r="BC835" s="27" t="str">
        <f t="shared" ref="BC835:BC898" si="382">IFERROR(IF(O835="","",IF(ISERROR(MATCH(AR835,AU:AU,0)),"","Net")),"")</f>
        <v/>
      </c>
      <c r="BD835" s="27" t="str">
        <f t="shared" ref="BD835:BD898" si="383">IFERROR(IF(O835="","",IF(ISERROR(MATCH(AR835,AV:AV,0)),"","Net")),"")</f>
        <v/>
      </c>
      <c r="BE835" s="27" t="str">
        <f t="shared" ref="BE835:BE898" si="384">IFERROR(IF(O835="","",IF(ISERROR(MATCH(AR835,AW:AW,0)),"","Exp")),"")</f>
        <v/>
      </c>
      <c r="BF835" s="27" t="str">
        <f t="shared" ref="BF835:BF898" si="385">IFERROR(IF(O835="","",IF(AND(AZ835="Supp",BC835="Net"),"S+N","")),"")</f>
        <v/>
      </c>
      <c r="BG835" s="27" t="str">
        <f t="shared" ref="BG835:BG898" si="386">IFERROR(IF(O835="","",IF(OR(BE835&lt;&gt;"",BF835&lt;&gt;""),"S+NorE","")),"")</f>
        <v/>
      </c>
      <c r="BH835" s="27" t="str">
        <f t="shared" ref="BH835:BH898" si="387">IFERROR(IF(O835="","",IF(AND(BA835&lt;&gt;"",BC835&lt;&gt;""),"H+N","")),"")</f>
        <v/>
      </c>
      <c r="BI835" s="27" t="str">
        <f t="shared" ref="BI835:BI898" si="388">IFERROR(IF(O835="","",IF(AND(BA835&lt;&gt;"",BD835&lt;&gt;""),"H+Nex","")),"")</f>
        <v/>
      </c>
      <c r="BJ835" s="27" t="str">
        <f t="shared" ref="BJ835:BJ898" si="389">IF(OR(AZ835&lt;&gt;"",BA835&lt;&gt;""),"Supp or Hun","")</f>
        <v/>
      </c>
      <c r="BK835" s="27" t="str">
        <f t="shared" ref="BK835:BK898" si="390">IF(AND(BJ835&lt;&gt;"",BC835&lt;&gt;""),"Supp or Hun Need","")</f>
        <v/>
      </c>
      <c r="BL835" s="27" t="str">
        <f t="shared" ref="BL835:BL898" si="391">IF(OR(BK835&lt;&gt;"",BE835&lt;&gt;""),"SorHandNandE","")</f>
        <v/>
      </c>
      <c r="BM835" s="21" t="s">
        <v>5581</v>
      </c>
    </row>
    <row r="836" spans="1:65" ht="15">
      <c r="A836" s="25" t="str">
        <f>IFERROR(INDEX('Hun Demand'!W:W,MATCH(O836,'Hun Demand'!A:A,0)),"")</f>
        <v/>
      </c>
      <c r="B836" s="25" t="str">
        <f>IFERROR(INDEX('Hun Demand'!V:V,MATCH(O836,'Hun Demand'!A:A,0)),"")</f>
        <v/>
      </c>
      <c r="C836" s="25" t="str">
        <f>IFERROR(INDEX('Hun Demand'!U:U,MATCH(O836,'Hun Demand'!A:A,0)),"")</f>
        <v/>
      </c>
      <c r="D836" s="25" t="str">
        <f>IFERROR(INDEX('Hun Demand'!T:T,MATCH(O836,'Hun Demand'!A:A,0)),"")</f>
        <v/>
      </c>
      <c r="E836" s="25" t="str">
        <f>IFERROR(INDEX('Hun Demand'!S:S,MATCH(O836,'Hun Demand'!A:A,0)),"")</f>
        <v/>
      </c>
      <c r="F836" s="25" t="str">
        <f>IFERROR(INDEX('Hun Demand'!R:R,MATCH(O836,'Hun Demand'!A:A,0)),"")</f>
        <v/>
      </c>
      <c r="G836" s="25">
        <f>IFERROR(INDEX('Aub Demand'!W:W,MATCH(O836,'Aub Demand'!A:A,0)),"")</f>
        <v>0</v>
      </c>
      <c r="H836" s="25">
        <f>IFERROR(INDEX('Aub Demand'!V:V,MATCH(O836,'Aub Demand'!A:A,0)),"")</f>
        <v>0</v>
      </c>
      <c r="I836" s="25">
        <f>IFERROR(INDEX('Aub Demand'!U:U,MATCH(O836,'Aub Demand'!A:A,0)),"")</f>
        <v>0</v>
      </c>
      <c r="J836" s="25">
        <f>IFERROR(INDEX('Aub Demand'!T:T,MATCH(O836,'Aub Demand'!A:A,0)),"")</f>
        <v>0</v>
      </c>
      <c r="K836" s="25">
        <f>IFERROR(INDEX('Aub Demand'!S:S,MATCH(O836,'Aub Demand'!A:A,0)),"")</f>
        <v>0</v>
      </c>
      <c r="L836" s="25">
        <f>IFERROR(INDEX('Aub Demand'!R:R,MATCH(O836,'Aub Demand'!A:A,0)),"")</f>
        <v>0</v>
      </c>
      <c r="O836" s="27" t="s">
        <v>2412</v>
      </c>
      <c r="P836" s="27" t="str">
        <f>IFERROR(INDEX('Aub Demand'!B:B,MATCH($O836,'Aub Demand'!$A:$A,0)),"")</f>
        <v>TAUPE IMPERIALE MARB</v>
      </c>
      <c r="Q836" s="27" t="str">
        <f>IFERROR(INDEX('Aub Demand'!C:C,MATCH($O836,'Aub Demand'!$A:$A,0)),"")</f>
        <v>IMPRE</v>
      </c>
      <c r="R836" s="52">
        <f>IFERROR(IF(AR837=AR836,INDEX('Aub Demand'!K:K,MATCH($O836,'Aub Demand'!$A:$A,0))-IF(AN836="",0,AN836)+AP837,INDEX('Aub Demand'!K:K,MATCH($O836,'Aub Demand'!$A:$A,0))-IF(AN836="",0,AN836)),"")</f>
        <v>1858</v>
      </c>
      <c r="S836" s="53" t="str">
        <f t="shared" si="364"/>
        <v>n/a</v>
      </c>
      <c r="T836" s="52" t="str">
        <f t="shared" si="365"/>
        <v/>
      </c>
      <c r="U836" s="52">
        <f>IFERROR(IF(AR837=AR836,INDEX('Aub Demand'!Q:Q,MATCH($O836,'Aub Demand'!$A:$A,0))-IF(AN836="",0,AN836)+AP837,INDEX('Aub Demand'!Q:Q,MATCH($O836,'Aub Demand'!$A:$A,0))-IF(AN836="",0,AN836)),"")</f>
        <v>1858</v>
      </c>
      <c r="V836" s="53" t="str">
        <f t="shared" si="366"/>
        <v>n/a</v>
      </c>
      <c r="W836" s="52" t="str">
        <f t="shared" si="367"/>
        <v/>
      </c>
      <c r="X836" s="52">
        <f>IFERROR(IF(AND(AR837=AR836,AM836&lt;&gt;""),INDEX('Aub Demand'!Q:Q,MATCH($O836,'Aub Demand'!$A:$A,0))-IF(AN836="",0,AN836)+AP837+AD836+AL836,IF(AR837=AR836,INDEX('Aub Demand'!Q:Q,MATCH($O836,'Aub Demand'!$A:$A,0))-IF(AN836="",0,AN836)+AP837+AD836,IF(AM836&lt;&gt;"",INDEX('Aub Demand'!Q:Q,MATCH($O836,'Aub Demand'!$A:$A,0))-IF(AN836="",0,AN836)+AD836+AL836,INDEX('Aub Demand'!Q:Q,MATCH($O836,'Aub Demand'!$A:$A,0))-IF(AN836="",0,AN836)+AD836))),"")</f>
        <v>1858</v>
      </c>
      <c r="Y836" s="53" t="str">
        <f t="shared" si="368"/>
        <v>n/a</v>
      </c>
      <c r="Z836" s="52">
        <f>IF(L836="","",INDEX('Aub Demand'!H:H,MATCH($O836,'Aub Demand'!$A:$A,0)))</f>
        <v>0</v>
      </c>
      <c r="AA836" s="52" t="str">
        <f t="shared" si="369"/>
        <v>-spike-</v>
      </c>
      <c r="AB836" s="52">
        <f>IFERROR(INDEX('Aub Demand'!L:L,MATCH($O836,'Aub Demand'!$A:$A,0)),"")</f>
        <v>19</v>
      </c>
      <c r="AC836" s="52">
        <f>IFERROR(IF(O836="","",SUMIFS('CPL Mats'!F:F,'CPL Mats'!Q:Q,AR836,'CPL Mats'!S:S,AS836)),"")</f>
        <v>0</v>
      </c>
      <c r="AF836" s="25" t="str">
        <f>IF(SUMIFS('Supp Consol'!S:S,'Supp Consol'!Y:Y,"Releasable",'Supp Consol'!A:A,O836)=0,"",SUMIFS('Supp Consol'!S:S,'Supp Consol'!Y:Y,"Releasable",'Supp Consol'!A:A,O836))</f>
        <v/>
      </c>
      <c r="AG836" s="25" t="str">
        <f>IFERROR(INDEX('Hun Demand'!Q:Q,MATCH(O836,'Hun Demand'!A:A,0)),"")</f>
        <v/>
      </c>
      <c r="AH836" s="25" t="str">
        <f>IFERROR(INDEX('Hun Demand'!H:H,MATCH($O836,'Hun Demand'!$A:$A,0)),"")</f>
        <v/>
      </c>
      <c r="AI836" s="25" t="str">
        <f>IF(SUMIFS('Supp Consol'!AA:AA,'Supp Consol'!Z:Z,"Expires this month",'Supp Consol'!A:A,O836)=0,"",SUMIFS('Supp Consol'!AA:AA,'Supp Consol'!Z:Z,"Expires this month",'Supp Consol'!A:A,O836))</f>
        <v/>
      </c>
      <c r="AJ836" s="25" t="str">
        <f>IF(SUMIFS('Supp Consol'!AA:AA,'Supp Consol'!Z:Z,"Expired Previous Months",'Supp Consol'!A:A,O836)=0,"",SUMIFS('Supp Consol'!AA:AA,'Supp Consol'!Z:Z,"Expired Previous Months",'Supp Consol'!A:A,O836))</f>
        <v/>
      </c>
      <c r="AK836" s="25" t="str">
        <f>IFERROR(INDEX('Hun Release Current'!B:B,MATCH(O836,'Hun Release Current'!A:A,0)),"")</f>
        <v/>
      </c>
      <c r="AL836" s="25" t="str">
        <f>IF(SUMIF('Prev Aub'!A:A,O836,'Prev Aub'!B:B)=0,"",SUMIF('Prev Aub'!A:A,O836,'Prev Aub'!B:B))</f>
        <v/>
      </c>
      <c r="AN836" s="25" t="s">
        <v>3790</v>
      </c>
      <c r="AO836" s="25" t="s">
        <v>3790</v>
      </c>
      <c r="AP836" s="25">
        <f t="shared" si="370"/>
        <v>0</v>
      </c>
      <c r="AQ836" s="151" t="str">
        <f>IF(SUMIFS('Supp Consol'!S:S,'Supp Consol'!A:A,O836,'Supp Consol'!I:I,"PENDING")=0,"",SUMIFS('Supp Consol'!S:S,'Supp Consol'!A:A,O836,'Supp Consol'!I:I,"PENDING"))</f>
        <v/>
      </c>
      <c r="AR836" s="27" t="str">
        <f t="shared" si="371"/>
        <v>MT405</v>
      </c>
      <c r="AS836" s="27" t="str">
        <f t="shared" si="372"/>
        <v>62</v>
      </c>
      <c r="AT836" s="27" t="str">
        <f t="shared" si="373"/>
        <v/>
      </c>
      <c r="AU836" s="27" t="str">
        <f t="shared" si="374"/>
        <v/>
      </c>
      <c r="AV836" s="27" t="str">
        <f t="shared" si="375"/>
        <v/>
      </c>
      <c r="AW836" s="27" t="str">
        <f t="shared" si="376"/>
        <v/>
      </c>
      <c r="AX836" s="27" t="str">
        <f t="shared" si="377"/>
        <v/>
      </c>
      <c r="AY836" s="27" t="str">
        <f t="shared" si="378"/>
        <v/>
      </c>
      <c r="AZ836" s="27" t="str">
        <f t="shared" si="379"/>
        <v/>
      </c>
      <c r="BA836" s="27" t="str">
        <f t="shared" si="380"/>
        <v/>
      </c>
      <c r="BB836" s="27" t="str">
        <f t="shared" si="381"/>
        <v/>
      </c>
      <c r="BC836" s="27" t="str">
        <f t="shared" si="382"/>
        <v/>
      </c>
      <c r="BD836" s="27" t="str">
        <f t="shared" si="383"/>
        <v/>
      </c>
      <c r="BE836" s="27" t="str">
        <f t="shared" si="384"/>
        <v/>
      </c>
      <c r="BF836" s="27" t="str">
        <f t="shared" si="385"/>
        <v/>
      </c>
      <c r="BG836" s="27" t="str">
        <f t="shared" si="386"/>
        <v/>
      </c>
      <c r="BH836" s="27" t="str">
        <f t="shared" si="387"/>
        <v/>
      </c>
      <c r="BI836" s="27" t="str">
        <f t="shared" si="388"/>
        <v/>
      </c>
      <c r="BJ836" s="27" t="str">
        <f t="shared" si="389"/>
        <v/>
      </c>
      <c r="BK836" s="27" t="str">
        <f t="shared" si="390"/>
        <v/>
      </c>
      <c r="BL836" s="27" t="str">
        <f t="shared" si="391"/>
        <v/>
      </c>
      <c r="BM836" s="21" t="s">
        <v>5581</v>
      </c>
    </row>
    <row r="837" spans="1:65" ht="15">
      <c r="A837" s="25" t="str">
        <f>IFERROR(INDEX('Hun Demand'!W:W,MATCH(O837,'Hun Demand'!A:A,0)),"")</f>
        <v/>
      </c>
      <c r="B837" s="25" t="str">
        <f>IFERROR(INDEX('Hun Demand'!V:V,MATCH(O837,'Hun Demand'!A:A,0)),"")</f>
        <v/>
      </c>
      <c r="C837" s="25" t="str">
        <f>IFERROR(INDEX('Hun Demand'!U:U,MATCH(O837,'Hun Demand'!A:A,0)),"")</f>
        <v/>
      </c>
      <c r="D837" s="25" t="str">
        <f>IFERROR(INDEX('Hun Demand'!T:T,MATCH(O837,'Hun Demand'!A:A,0)),"")</f>
        <v/>
      </c>
      <c r="E837" s="25" t="str">
        <f>IFERROR(INDEX('Hun Demand'!S:S,MATCH(O837,'Hun Demand'!A:A,0)),"")</f>
        <v/>
      </c>
      <c r="F837" s="25" t="str">
        <f>IFERROR(INDEX('Hun Demand'!R:R,MATCH(O837,'Hun Demand'!A:A,0)),"")</f>
        <v/>
      </c>
      <c r="G837" s="25">
        <f>IFERROR(INDEX('Aub Demand'!W:W,MATCH(O837,'Aub Demand'!A:A,0)),"")</f>
        <v>0</v>
      </c>
      <c r="H837" s="25">
        <f>IFERROR(INDEX('Aub Demand'!V:V,MATCH(O837,'Aub Demand'!A:A,0)),"")</f>
        <v>0</v>
      </c>
      <c r="I837" s="25">
        <f>IFERROR(INDEX('Aub Demand'!U:U,MATCH(O837,'Aub Demand'!A:A,0)),"")</f>
        <v>0</v>
      </c>
      <c r="J837" s="25">
        <f>IFERROR(INDEX('Aub Demand'!T:T,MATCH(O837,'Aub Demand'!A:A,0)),"")</f>
        <v>0</v>
      </c>
      <c r="K837" s="25">
        <f>IFERROR(INDEX('Aub Demand'!S:S,MATCH(O837,'Aub Demand'!A:A,0)),"")</f>
        <v>0</v>
      </c>
      <c r="L837" s="25">
        <f>IFERROR(INDEX('Aub Demand'!R:R,MATCH(O837,'Aub Demand'!A:A,0)),"")</f>
        <v>0</v>
      </c>
      <c r="O837" s="27" t="s">
        <v>1243</v>
      </c>
      <c r="P837" s="27" t="str">
        <f>IFERROR(INDEX('Aub Demand'!B:B,MATCH($O837,'Aub Demand'!$A:$A,0)),"")</f>
        <v>RONALD</v>
      </c>
      <c r="Q837" s="27" t="str">
        <f>IFERROR(INDEX('Aub Demand'!C:C,MATCH($O837,'Aub Demand'!$A:$A,0)),"")</f>
        <v>INTER</v>
      </c>
      <c r="R837" s="52">
        <f>IFERROR(IF(AR838=AR837,INDEX('Aub Demand'!K:K,MATCH($O837,'Aub Demand'!$A:$A,0))-IF(AN837="",0,AN837)+AP838,INDEX('Aub Demand'!K:K,MATCH($O837,'Aub Demand'!$A:$A,0))-IF(AN837="",0,AN837)),"")</f>
        <v>982</v>
      </c>
      <c r="S837" s="53" t="str">
        <f t="shared" si="364"/>
        <v>n/a</v>
      </c>
      <c r="T837" s="52" t="str">
        <f t="shared" si="365"/>
        <v/>
      </c>
      <c r="U837" s="52">
        <f>IFERROR(IF(AR838=AR837,INDEX('Aub Demand'!Q:Q,MATCH($O837,'Aub Demand'!$A:$A,0))-IF(AN837="",0,AN837)+AP838,INDEX('Aub Demand'!Q:Q,MATCH($O837,'Aub Demand'!$A:$A,0))-IF(AN837="",0,AN837)),"")</f>
        <v>982</v>
      </c>
      <c r="V837" s="53" t="str">
        <f t="shared" si="366"/>
        <v>n/a</v>
      </c>
      <c r="W837" s="52" t="str">
        <f t="shared" si="367"/>
        <v/>
      </c>
      <c r="X837" s="52">
        <f>IFERROR(IF(AND(AR838=AR837,AM837&lt;&gt;""),INDEX('Aub Demand'!Q:Q,MATCH($O837,'Aub Demand'!$A:$A,0))-IF(AN837="",0,AN837)+AP838+AD837+AL837,IF(AR838=AR837,INDEX('Aub Demand'!Q:Q,MATCH($O837,'Aub Demand'!$A:$A,0))-IF(AN837="",0,AN837)+AP838+AD837,IF(AM837&lt;&gt;"",INDEX('Aub Demand'!Q:Q,MATCH($O837,'Aub Demand'!$A:$A,0))-IF(AN837="",0,AN837)+AD837+AL837,INDEX('Aub Demand'!Q:Q,MATCH($O837,'Aub Demand'!$A:$A,0))-IF(AN837="",0,AN837)+AD837))),"")</f>
        <v>982</v>
      </c>
      <c r="Y837" s="53" t="str">
        <f t="shared" si="368"/>
        <v>n/a</v>
      </c>
      <c r="Z837" s="52">
        <f>IF(L837="","",INDEX('Aub Demand'!H:H,MATCH($O837,'Aub Demand'!$A:$A,0)))</f>
        <v>0</v>
      </c>
      <c r="AA837" s="52" t="str">
        <f t="shared" si="369"/>
        <v>-spike-</v>
      </c>
      <c r="AB837" s="52">
        <f>IFERROR(INDEX('Aub Demand'!L:L,MATCH($O837,'Aub Demand'!$A:$A,0)),"")</f>
        <v>0</v>
      </c>
      <c r="AC837" s="52">
        <f>IFERROR(IF(O837="","",SUMIFS('CPL Mats'!F:F,'CPL Mats'!Q:Q,AR837,'CPL Mats'!S:S,AS837)),"")</f>
        <v>0</v>
      </c>
      <c r="AF837" s="25" t="str">
        <f>IF(SUMIFS('Supp Consol'!S:S,'Supp Consol'!Y:Y,"Releasable",'Supp Consol'!A:A,O837)=0,"",SUMIFS('Supp Consol'!S:S,'Supp Consol'!Y:Y,"Releasable",'Supp Consol'!A:A,O837))</f>
        <v/>
      </c>
      <c r="AG837" s="25" t="str">
        <f>IFERROR(INDEX('Hun Demand'!Q:Q,MATCH(O837,'Hun Demand'!A:A,0)),"")</f>
        <v/>
      </c>
      <c r="AH837" s="25" t="str">
        <f>IFERROR(INDEX('Hun Demand'!H:H,MATCH($O837,'Hun Demand'!$A:$A,0)),"")</f>
        <v/>
      </c>
      <c r="AI837" s="25" t="str">
        <f>IF(SUMIFS('Supp Consol'!AA:AA,'Supp Consol'!Z:Z,"Expires this month",'Supp Consol'!A:A,O837)=0,"",SUMIFS('Supp Consol'!AA:AA,'Supp Consol'!Z:Z,"Expires this month",'Supp Consol'!A:A,O837))</f>
        <v/>
      </c>
      <c r="AJ837" s="25" t="str">
        <f>IF(SUMIFS('Supp Consol'!AA:AA,'Supp Consol'!Z:Z,"Expired Previous Months",'Supp Consol'!A:A,O837)=0,"",SUMIFS('Supp Consol'!AA:AA,'Supp Consol'!Z:Z,"Expired Previous Months",'Supp Consol'!A:A,O837))</f>
        <v/>
      </c>
      <c r="AK837" s="25" t="str">
        <f>IFERROR(INDEX('Hun Release Current'!B:B,MATCH(O837,'Hun Release Current'!A:A,0)),"")</f>
        <v/>
      </c>
      <c r="AL837" s="25" t="str">
        <f>IF(SUMIF('Prev Aub'!A:A,O837,'Prev Aub'!B:B)=0,"",SUMIF('Prev Aub'!A:A,O837,'Prev Aub'!B:B))</f>
        <v/>
      </c>
      <c r="AN837" s="25" t="s">
        <v>3790</v>
      </c>
      <c r="AO837" s="25" t="s">
        <v>3790</v>
      </c>
      <c r="AP837" s="25">
        <f t="shared" si="370"/>
        <v>0</v>
      </c>
      <c r="AQ837" s="151" t="str">
        <f>IF(SUMIFS('Supp Consol'!S:S,'Supp Consol'!A:A,O837,'Supp Consol'!I:I,"PENDING")=0,"",SUMIFS('Supp Consol'!S:S,'Supp Consol'!A:A,O837,'Supp Consol'!I:I,"PENDING"))</f>
        <v/>
      </c>
      <c r="AR837" s="27" t="str">
        <f t="shared" si="371"/>
        <v>MT430</v>
      </c>
      <c r="AS837" s="27" t="str">
        <f t="shared" si="372"/>
        <v>50</v>
      </c>
      <c r="AT837" s="27" t="str">
        <f t="shared" si="373"/>
        <v/>
      </c>
      <c r="AU837" s="27" t="str">
        <f t="shared" si="374"/>
        <v/>
      </c>
      <c r="AV837" s="27" t="str">
        <f t="shared" si="375"/>
        <v/>
      </c>
      <c r="AW837" s="27" t="str">
        <f t="shared" si="376"/>
        <v/>
      </c>
      <c r="AX837" s="27" t="str">
        <f t="shared" si="377"/>
        <v/>
      </c>
      <c r="AY837" s="27" t="str">
        <f t="shared" si="378"/>
        <v/>
      </c>
      <c r="AZ837" s="27" t="str">
        <f t="shared" si="379"/>
        <v/>
      </c>
      <c r="BA837" s="27" t="str">
        <f t="shared" si="380"/>
        <v/>
      </c>
      <c r="BB837" s="27" t="str">
        <f t="shared" si="381"/>
        <v/>
      </c>
      <c r="BC837" s="27" t="str">
        <f t="shared" si="382"/>
        <v/>
      </c>
      <c r="BD837" s="27" t="str">
        <f t="shared" si="383"/>
        <v/>
      </c>
      <c r="BE837" s="27" t="str">
        <f t="shared" si="384"/>
        <v/>
      </c>
      <c r="BF837" s="27" t="str">
        <f t="shared" si="385"/>
        <v/>
      </c>
      <c r="BG837" s="27" t="str">
        <f t="shared" si="386"/>
        <v/>
      </c>
      <c r="BH837" s="27" t="str">
        <f t="shared" si="387"/>
        <v/>
      </c>
      <c r="BI837" s="27" t="str">
        <f t="shared" si="388"/>
        <v/>
      </c>
      <c r="BJ837" s="27" t="str">
        <f t="shared" si="389"/>
        <v/>
      </c>
      <c r="BK837" s="27" t="str">
        <f t="shared" si="390"/>
        <v/>
      </c>
      <c r="BL837" s="27" t="str">
        <f t="shared" si="391"/>
        <v/>
      </c>
      <c r="BM837" s="21" t="s">
        <v>5581</v>
      </c>
    </row>
    <row r="838" spans="1:65" ht="15">
      <c r="A838" s="25" t="str">
        <f>IFERROR(INDEX('Hun Demand'!W:W,MATCH(O838,'Hun Demand'!A:A,0)),"")</f>
        <v/>
      </c>
      <c r="B838" s="25" t="str">
        <f>IFERROR(INDEX('Hun Demand'!V:V,MATCH(O838,'Hun Demand'!A:A,0)),"")</f>
        <v/>
      </c>
      <c r="C838" s="25" t="str">
        <f>IFERROR(INDEX('Hun Demand'!U:U,MATCH(O838,'Hun Demand'!A:A,0)),"")</f>
        <v/>
      </c>
      <c r="D838" s="25" t="str">
        <f>IFERROR(INDEX('Hun Demand'!T:T,MATCH(O838,'Hun Demand'!A:A,0)),"")</f>
        <v/>
      </c>
      <c r="E838" s="25" t="str">
        <f>IFERROR(INDEX('Hun Demand'!S:S,MATCH(O838,'Hun Demand'!A:A,0)),"")</f>
        <v/>
      </c>
      <c r="F838" s="25" t="str">
        <f>IFERROR(INDEX('Hun Demand'!R:R,MATCH(O838,'Hun Demand'!A:A,0)),"")</f>
        <v/>
      </c>
      <c r="G838" s="25">
        <f>IFERROR(INDEX('Aub Demand'!W:W,MATCH(O838,'Aub Demand'!A:A,0)),"")</f>
        <v>0</v>
      </c>
      <c r="H838" s="25">
        <f>IFERROR(INDEX('Aub Demand'!V:V,MATCH(O838,'Aub Demand'!A:A,0)),"")</f>
        <v>0</v>
      </c>
      <c r="I838" s="25">
        <f>IFERROR(INDEX('Aub Demand'!U:U,MATCH(O838,'Aub Demand'!A:A,0)),"")</f>
        <v>0</v>
      </c>
      <c r="J838" s="25">
        <f>IFERROR(INDEX('Aub Demand'!T:T,MATCH(O838,'Aub Demand'!A:A,0)),"")</f>
        <v>0</v>
      </c>
      <c r="K838" s="25">
        <f>IFERROR(INDEX('Aub Demand'!S:S,MATCH(O838,'Aub Demand'!A:A,0)),"")</f>
        <v>0</v>
      </c>
      <c r="L838" s="25">
        <f>IFERROR(INDEX('Aub Demand'!R:R,MATCH(O838,'Aub Demand'!A:A,0)),"")</f>
        <v>0</v>
      </c>
      <c r="O838" s="27" t="s">
        <v>1245</v>
      </c>
      <c r="P838" s="27" t="str">
        <f>IFERROR(INDEX('Aub Demand'!B:B,MATCH($O838,'Aub Demand'!$A:$A,0)),"")</f>
        <v>RONALD</v>
      </c>
      <c r="Q838" s="27" t="str">
        <f>IFERROR(INDEX('Aub Demand'!C:C,MATCH($O838,'Aub Demand'!$A:$A,0)),"")</f>
        <v>INTER</v>
      </c>
      <c r="R838" s="52">
        <f>IFERROR(IF(AR839=AR838,INDEX('Aub Demand'!K:K,MATCH($O838,'Aub Demand'!$A:$A,0))-IF(AN838="",0,AN838)+AP839,INDEX('Aub Demand'!K:K,MATCH($O838,'Aub Demand'!$A:$A,0))-IF(AN838="",0,AN838)),"")</f>
        <v>2866</v>
      </c>
      <c r="S838" s="53" t="str">
        <f t="shared" si="364"/>
        <v>n/a</v>
      </c>
      <c r="T838" s="52" t="str">
        <f t="shared" si="365"/>
        <v/>
      </c>
      <c r="U838" s="52">
        <f>IFERROR(IF(AR839=AR838,INDEX('Aub Demand'!Q:Q,MATCH($O838,'Aub Demand'!$A:$A,0))-IF(AN838="",0,AN838)+AP839,INDEX('Aub Demand'!Q:Q,MATCH($O838,'Aub Demand'!$A:$A,0))-IF(AN838="",0,AN838)),"")</f>
        <v>2866</v>
      </c>
      <c r="V838" s="53" t="str">
        <f t="shared" si="366"/>
        <v>n/a</v>
      </c>
      <c r="W838" s="52" t="str">
        <f t="shared" si="367"/>
        <v/>
      </c>
      <c r="X838" s="52">
        <f>IFERROR(IF(AND(AR839=AR838,AM838&lt;&gt;""),INDEX('Aub Demand'!Q:Q,MATCH($O838,'Aub Demand'!$A:$A,0))-IF(AN838="",0,AN838)+AP839+AD838+AL838,IF(AR839=AR838,INDEX('Aub Demand'!Q:Q,MATCH($O838,'Aub Demand'!$A:$A,0))-IF(AN838="",0,AN838)+AP839+AD838,IF(AM838&lt;&gt;"",INDEX('Aub Demand'!Q:Q,MATCH($O838,'Aub Demand'!$A:$A,0))-IF(AN838="",0,AN838)+AD838+AL838,INDEX('Aub Demand'!Q:Q,MATCH($O838,'Aub Demand'!$A:$A,0))-IF(AN838="",0,AN838)+AD838))),"")</f>
        <v>2866</v>
      </c>
      <c r="Y838" s="53" t="str">
        <f t="shared" si="368"/>
        <v>n/a</v>
      </c>
      <c r="Z838" s="52">
        <f>IF(L838="","",INDEX('Aub Demand'!H:H,MATCH($O838,'Aub Demand'!$A:$A,0)))</f>
        <v>0</v>
      </c>
      <c r="AA838" s="52" t="str">
        <f t="shared" si="369"/>
        <v>-spike-</v>
      </c>
      <c r="AB838" s="52">
        <f>IFERROR(INDEX('Aub Demand'!L:L,MATCH($O838,'Aub Demand'!$A:$A,0)),"")</f>
        <v>0</v>
      </c>
      <c r="AC838" s="52">
        <f>IFERROR(IF(O838="","",SUMIFS('CPL Mats'!F:F,'CPL Mats'!Q:Q,AR838,'CPL Mats'!S:S,AS838)),"")</f>
        <v>0</v>
      </c>
      <c r="AF838" s="25" t="str">
        <f>IF(SUMIFS('Supp Consol'!S:S,'Supp Consol'!Y:Y,"Releasable",'Supp Consol'!A:A,O838)=0,"",SUMIFS('Supp Consol'!S:S,'Supp Consol'!Y:Y,"Releasable",'Supp Consol'!A:A,O838))</f>
        <v/>
      </c>
      <c r="AG838" s="25" t="str">
        <f>IFERROR(INDEX('Hun Demand'!Q:Q,MATCH(O838,'Hun Demand'!A:A,0)),"")</f>
        <v/>
      </c>
      <c r="AH838" s="25" t="str">
        <f>IFERROR(INDEX('Hun Demand'!H:H,MATCH($O838,'Hun Demand'!$A:$A,0)),"")</f>
        <v/>
      </c>
      <c r="AI838" s="25" t="str">
        <f>IF(SUMIFS('Supp Consol'!AA:AA,'Supp Consol'!Z:Z,"Expires this month",'Supp Consol'!A:A,O838)=0,"",SUMIFS('Supp Consol'!AA:AA,'Supp Consol'!Z:Z,"Expires this month",'Supp Consol'!A:A,O838))</f>
        <v/>
      </c>
      <c r="AJ838" s="25" t="str">
        <f>IF(SUMIFS('Supp Consol'!AA:AA,'Supp Consol'!Z:Z,"Expired Previous Months",'Supp Consol'!A:A,O838)=0,"",SUMIFS('Supp Consol'!AA:AA,'Supp Consol'!Z:Z,"Expired Previous Months",'Supp Consol'!A:A,O838))</f>
        <v/>
      </c>
      <c r="AK838" s="25" t="str">
        <f>IFERROR(INDEX('Hun Release Current'!B:B,MATCH(O838,'Hun Release Current'!A:A,0)),"")</f>
        <v/>
      </c>
      <c r="AL838" s="25" t="str">
        <f>IF(SUMIF('Prev Aub'!A:A,O838,'Prev Aub'!B:B)=0,"",SUMIF('Prev Aub'!A:A,O838,'Prev Aub'!B:B))</f>
        <v/>
      </c>
      <c r="AN838" s="25" t="s">
        <v>3790</v>
      </c>
      <c r="AO838" s="25" t="s">
        <v>3790</v>
      </c>
      <c r="AP838" s="25">
        <f t="shared" si="370"/>
        <v>0</v>
      </c>
      <c r="AQ838" s="151" t="str">
        <f>IF(SUMIFS('Supp Consol'!S:S,'Supp Consol'!A:A,O838,'Supp Consol'!I:I,"PENDING")=0,"",SUMIFS('Supp Consol'!S:S,'Supp Consol'!A:A,O838,'Supp Consol'!I:I,"PENDING"))</f>
        <v/>
      </c>
      <c r="AR838" s="27" t="str">
        <f t="shared" si="371"/>
        <v>MT430</v>
      </c>
      <c r="AS838" s="27" t="str">
        <f t="shared" si="372"/>
        <v>62</v>
      </c>
      <c r="AT838" s="27" t="str">
        <f t="shared" si="373"/>
        <v/>
      </c>
      <c r="AU838" s="27" t="str">
        <f t="shared" si="374"/>
        <v/>
      </c>
      <c r="AV838" s="27" t="str">
        <f t="shared" si="375"/>
        <v/>
      </c>
      <c r="AW838" s="27" t="str">
        <f t="shared" si="376"/>
        <v/>
      </c>
      <c r="AX838" s="27" t="str">
        <f t="shared" si="377"/>
        <v/>
      </c>
      <c r="AY838" s="27" t="str">
        <f t="shared" si="378"/>
        <v/>
      </c>
      <c r="AZ838" s="27" t="str">
        <f t="shared" si="379"/>
        <v/>
      </c>
      <c r="BA838" s="27" t="str">
        <f t="shared" si="380"/>
        <v/>
      </c>
      <c r="BB838" s="27" t="str">
        <f t="shared" si="381"/>
        <v/>
      </c>
      <c r="BC838" s="27" t="str">
        <f t="shared" si="382"/>
        <v/>
      </c>
      <c r="BD838" s="27" t="str">
        <f t="shared" si="383"/>
        <v/>
      </c>
      <c r="BE838" s="27" t="str">
        <f t="shared" si="384"/>
        <v/>
      </c>
      <c r="BF838" s="27" t="str">
        <f t="shared" si="385"/>
        <v/>
      </c>
      <c r="BG838" s="27" t="str">
        <f t="shared" si="386"/>
        <v/>
      </c>
      <c r="BH838" s="27" t="str">
        <f t="shared" si="387"/>
        <v/>
      </c>
      <c r="BI838" s="27" t="str">
        <f t="shared" si="388"/>
        <v/>
      </c>
      <c r="BJ838" s="27" t="str">
        <f t="shared" si="389"/>
        <v/>
      </c>
      <c r="BK838" s="27" t="str">
        <f t="shared" si="390"/>
        <v/>
      </c>
      <c r="BL838" s="27" t="str">
        <f t="shared" si="391"/>
        <v/>
      </c>
      <c r="BM838" s="21" t="s">
        <v>5581</v>
      </c>
    </row>
    <row r="839" spans="1:65" ht="15">
      <c r="A839" s="25" t="str">
        <f>IFERROR(INDEX('Hun Demand'!W:W,MATCH(O839,'Hun Demand'!A:A,0)),"")</f>
        <v/>
      </c>
      <c r="B839" s="25" t="str">
        <f>IFERROR(INDEX('Hun Demand'!V:V,MATCH(O839,'Hun Demand'!A:A,0)),"")</f>
        <v/>
      </c>
      <c r="C839" s="25" t="str">
        <f>IFERROR(INDEX('Hun Demand'!U:U,MATCH(O839,'Hun Demand'!A:A,0)),"")</f>
        <v/>
      </c>
      <c r="D839" s="25" t="str">
        <f>IFERROR(INDEX('Hun Demand'!T:T,MATCH(O839,'Hun Demand'!A:A,0)),"")</f>
        <v/>
      </c>
      <c r="E839" s="25" t="str">
        <f>IFERROR(INDEX('Hun Demand'!S:S,MATCH(O839,'Hun Demand'!A:A,0)),"")</f>
        <v/>
      </c>
      <c r="F839" s="25" t="str">
        <f>IFERROR(INDEX('Hun Demand'!R:R,MATCH(O839,'Hun Demand'!A:A,0)),"")</f>
        <v/>
      </c>
      <c r="G839" s="25">
        <f>IFERROR(INDEX('Aub Demand'!W:W,MATCH(O839,'Aub Demand'!A:A,0)),"")</f>
        <v>0</v>
      </c>
      <c r="H839" s="25">
        <f>IFERROR(INDEX('Aub Demand'!V:V,MATCH(O839,'Aub Demand'!A:A,0)),"")</f>
        <v>0</v>
      </c>
      <c r="I839" s="25">
        <f>IFERROR(INDEX('Aub Demand'!U:U,MATCH(O839,'Aub Demand'!A:A,0)),"")</f>
        <v>0</v>
      </c>
      <c r="J839" s="25">
        <f>IFERROR(INDEX('Aub Demand'!T:T,MATCH(O839,'Aub Demand'!A:A,0)),"")</f>
        <v>0</v>
      </c>
      <c r="K839" s="25">
        <f>IFERROR(INDEX('Aub Demand'!S:S,MATCH(O839,'Aub Demand'!A:A,0)),"")</f>
        <v>0</v>
      </c>
      <c r="L839" s="25">
        <f>IFERROR(INDEX('Aub Demand'!R:R,MATCH(O839,'Aub Demand'!A:A,0)),"")</f>
        <v>0</v>
      </c>
      <c r="O839" s="27" t="s">
        <v>1246</v>
      </c>
      <c r="P839" s="27" t="str">
        <f>IFERROR(INDEX('Aub Demand'!B:B,MATCH($O839,'Aub Demand'!$A:$A,0)),"")</f>
        <v>CORNWALL</v>
      </c>
      <c r="Q839" s="27" t="str">
        <f>IFERROR(INDEX('Aub Demand'!C:C,MATCH($O839,'Aub Demand'!$A:$A,0)),"")</f>
        <v>INTER</v>
      </c>
      <c r="R839" s="52">
        <f>IFERROR(IF(AR840=AR839,INDEX('Aub Demand'!K:K,MATCH($O839,'Aub Demand'!$A:$A,0))-IF(AN839="",0,AN839)+AP840,INDEX('Aub Demand'!K:K,MATCH($O839,'Aub Demand'!$A:$A,0))-IF(AN839="",0,AN839)),"")</f>
        <v>970</v>
      </c>
      <c r="S839" s="53" t="str">
        <f t="shared" si="364"/>
        <v>n/a</v>
      </c>
      <c r="T839" s="52" t="str">
        <f t="shared" si="365"/>
        <v/>
      </c>
      <c r="U839" s="52">
        <f>IFERROR(IF(AR840=AR839,INDEX('Aub Demand'!Q:Q,MATCH($O839,'Aub Demand'!$A:$A,0))-IF(AN839="",0,AN839)+AP840,INDEX('Aub Demand'!Q:Q,MATCH($O839,'Aub Demand'!$A:$A,0))-IF(AN839="",0,AN839)),"")</f>
        <v>970</v>
      </c>
      <c r="V839" s="53" t="str">
        <f t="shared" si="366"/>
        <v>n/a</v>
      </c>
      <c r="W839" s="52" t="str">
        <f t="shared" si="367"/>
        <v/>
      </c>
      <c r="X839" s="52">
        <f>IFERROR(IF(AND(AR840=AR839,AM839&lt;&gt;""),INDEX('Aub Demand'!Q:Q,MATCH($O839,'Aub Demand'!$A:$A,0))-IF(AN839="",0,AN839)+AP840+AD839+AL839,IF(AR840=AR839,INDEX('Aub Demand'!Q:Q,MATCH($O839,'Aub Demand'!$A:$A,0))-IF(AN839="",0,AN839)+AP840+AD839,IF(AM839&lt;&gt;"",INDEX('Aub Demand'!Q:Q,MATCH($O839,'Aub Demand'!$A:$A,0))-IF(AN839="",0,AN839)+AD839+AL839,INDEX('Aub Demand'!Q:Q,MATCH($O839,'Aub Demand'!$A:$A,0))-IF(AN839="",0,AN839)+AD839))),"")</f>
        <v>970</v>
      </c>
      <c r="Y839" s="53" t="str">
        <f t="shared" si="368"/>
        <v>n/a</v>
      </c>
      <c r="Z839" s="52">
        <f>IF(L839="","",INDEX('Aub Demand'!H:H,MATCH($O839,'Aub Demand'!$A:$A,0)))</f>
        <v>0</v>
      </c>
      <c r="AA839" s="52" t="str">
        <f t="shared" si="369"/>
        <v>-spike-</v>
      </c>
      <c r="AB839" s="52">
        <f>IFERROR(INDEX('Aub Demand'!L:L,MATCH($O839,'Aub Demand'!$A:$A,0)),"")</f>
        <v>0</v>
      </c>
      <c r="AC839" s="52">
        <f>IFERROR(IF(O839="","",SUMIFS('CPL Mats'!F:F,'CPL Mats'!Q:Q,AR839,'CPL Mats'!S:S,AS839)),"")</f>
        <v>0</v>
      </c>
      <c r="AF839" s="25" t="str">
        <f>IF(SUMIFS('Supp Consol'!S:S,'Supp Consol'!Y:Y,"Releasable",'Supp Consol'!A:A,O839)=0,"",SUMIFS('Supp Consol'!S:S,'Supp Consol'!Y:Y,"Releasable",'Supp Consol'!A:A,O839))</f>
        <v/>
      </c>
      <c r="AG839" s="25" t="str">
        <f>IFERROR(INDEX('Hun Demand'!Q:Q,MATCH(O839,'Hun Demand'!A:A,0)),"")</f>
        <v/>
      </c>
      <c r="AH839" s="25" t="str">
        <f>IFERROR(INDEX('Hun Demand'!H:H,MATCH($O839,'Hun Demand'!$A:$A,0)),"")</f>
        <v/>
      </c>
      <c r="AI839" s="25" t="str">
        <f>IF(SUMIFS('Supp Consol'!AA:AA,'Supp Consol'!Z:Z,"Expires this month",'Supp Consol'!A:A,O839)=0,"",SUMIFS('Supp Consol'!AA:AA,'Supp Consol'!Z:Z,"Expires this month",'Supp Consol'!A:A,O839))</f>
        <v/>
      </c>
      <c r="AJ839" s="25" t="str">
        <f>IF(SUMIFS('Supp Consol'!AA:AA,'Supp Consol'!Z:Z,"Expired Previous Months",'Supp Consol'!A:A,O839)=0,"",SUMIFS('Supp Consol'!AA:AA,'Supp Consol'!Z:Z,"Expired Previous Months",'Supp Consol'!A:A,O839))</f>
        <v/>
      </c>
      <c r="AK839" s="25" t="str">
        <f>IFERROR(INDEX('Hun Release Current'!B:B,MATCH(O839,'Hun Release Current'!A:A,0)),"")</f>
        <v/>
      </c>
      <c r="AL839" s="25" t="str">
        <f>IF(SUMIF('Prev Aub'!A:A,O839,'Prev Aub'!B:B)=0,"",SUMIF('Prev Aub'!A:A,O839,'Prev Aub'!B:B))</f>
        <v/>
      </c>
      <c r="AN839" s="25" t="s">
        <v>3790</v>
      </c>
      <c r="AO839" s="25" t="s">
        <v>3790</v>
      </c>
      <c r="AP839" s="25">
        <f t="shared" si="370"/>
        <v>0</v>
      </c>
      <c r="AQ839" s="151" t="str">
        <f>IF(SUMIFS('Supp Consol'!S:S,'Supp Consol'!A:A,O839,'Supp Consol'!I:I,"PENDING")=0,"",SUMIFS('Supp Consol'!S:S,'Supp Consol'!A:A,O839,'Supp Consol'!I:I,"PENDING"))</f>
        <v/>
      </c>
      <c r="AR839" s="27" t="str">
        <f t="shared" si="371"/>
        <v>MT440</v>
      </c>
      <c r="AS839" s="27" t="str">
        <f t="shared" si="372"/>
        <v>50</v>
      </c>
      <c r="AT839" s="27" t="str">
        <f t="shared" si="373"/>
        <v/>
      </c>
      <c r="AU839" s="27" t="str">
        <f t="shared" si="374"/>
        <v/>
      </c>
      <c r="AV839" s="27" t="str">
        <f t="shared" si="375"/>
        <v/>
      </c>
      <c r="AW839" s="27" t="str">
        <f t="shared" si="376"/>
        <v/>
      </c>
      <c r="AX839" s="27" t="str">
        <f t="shared" si="377"/>
        <v/>
      </c>
      <c r="AY839" s="27" t="str">
        <f t="shared" si="378"/>
        <v/>
      </c>
      <c r="AZ839" s="27" t="str">
        <f t="shared" si="379"/>
        <v/>
      </c>
      <c r="BA839" s="27" t="str">
        <f t="shared" si="380"/>
        <v/>
      </c>
      <c r="BB839" s="27" t="str">
        <f t="shared" si="381"/>
        <v/>
      </c>
      <c r="BC839" s="27" t="str">
        <f t="shared" si="382"/>
        <v/>
      </c>
      <c r="BD839" s="27" t="str">
        <f t="shared" si="383"/>
        <v/>
      </c>
      <c r="BE839" s="27" t="str">
        <f t="shared" si="384"/>
        <v/>
      </c>
      <c r="BF839" s="27" t="str">
        <f t="shared" si="385"/>
        <v/>
      </c>
      <c r="BG839" s="27" t="str">
        <f t="shared" si="386"/>
        <v/>
      </c>
      <c r="BH839" s="27" t="str">
        <f t="shared" si="387"/>
        <v/>
      </c>
      <c r="BI839" s="27" t="str">
        <f t="shared" si="388"/>
        <v/>
      </c>
      <c r="BJ839" s="27" t="str">
        <f t="shared" si="389"/>
        <v/>
      </c>
      <c r="BK839" s="27" t="str">
        <f t="shared" si="390"/>
        <v/>
      </c>
      <c r="BL839" s="27" t="str">
        <f t="shared" si="391"/>
        <v/>
      </c>
      <c r="BM839" s="21" t="s">
        <v>3790</v>
      </c>
    </row>
    <row r="840" spans="1:65" ht="15">
      <c r="A840" s="25" t="str">
        <f>IFERROR(INDEX('Hun Demand'!W:W,MATCH(O840,'Hun Demand'!A:A,0)),"")</f>
        <v/>
      </c>
      <c r="B840" s="25" t="str">
        <f>IFERROR(INDEX('Hun Demand'!V:V,MATCH(O840,'Hun Demand'!A:A,0)),"")</f>
        <v/>
      </c>
      <c r="C840" s="25" t="str">
        <f>IFERROR(INDEX('Hun Demand'!U:U,MATCH(O840,'Hun Demand'!A:A,0)),"")</f>
        <v/>
      </c>
      <c r="D840" s="25" t="str">
        <f>IFERROR(INDEX('Hun Demand'!T:T,MATCH(O840,'Hun Demand'!A:A,0)),"")</f>
        <v/>
      </c>
      <c r="E840" s="25" t="str">
        <f>IFERROR(INDEX('Hun Demand'!S:S,MATCH(O840,'Hun Demand'!A:A,0)),"")</f>
        <v/>
      </c>
      <c r="F840" s="25" t="str">
        <f>IFERROR(INDEX('Hun Demand'!R:R,MATCH(O840,'Hun Demand'!A:A,0)),"")</f>
        <v/>
      </c>
      <c r="G840" s="25">
        <f>IFERROR(INDEX('Aub Demand'!W:W,MATCH(O840,'Aub Demand'!A:A,0)),"")</f>
        <v>0</v>
      </c>
      <c r="H840" s="25">
        <f>IFERROR(INDEX('Aub Demand'!V:V,MATCH(O840,'Aub Demand'!A:A,0)),"")</f>
        <v>0</v>
      </c>
      <c r="I840" s="25">
        <f>IFERROR(INDEX('Aub Demand'!U:U,MATCH(O840,'Aub Demand'!A:A,0)),"")</f>
        <v>0</v>
      </c>
      <c r="J840" s="25">
        <f>IFERROR(INDEX('Aub Demand'!T:T,MATCH(O840,'Aub Demand'!A:A,0)),"")</f>
        <v>0</v>
      </c>
      <c r="K840" s="25">
        <f>IFERROR(INDEX('Aub Demand'!S:S,MATCH(O840,'Aub Demand'!A:A,0)),"")</f>
        <v>0</v>
      </c>
      <c r="L840" s="25">
        <f>IFERROR(INDEX('Aub Demand'!R:R,MATCH(O840,'Aub Demand'!A:A,0)),"")</f>
        <v>0</v>
      </c>
      <c r="O840" s="27" t="s">
        <v>1248</v>
      </c>
      <c r="P840" s="27" t="str">
        <f>IFERROR(INDEX('Aub Demand'!B:B,MATCH($O840,'Aub Demand'!$A:$A,0)),"")</f>
        <v>CORNWALL</v>
      </c>
      <c r="Q840" s="27" t="str">
        <f>IFERROR(INDEX('Aub Demand'!C:C,MATCH($O840,'Aub Demand'!$A:$A,0)),"")</f>
        <v>INTER</v>
      </c>
      <c r="R840" s="52">
        <f>IFERROR(IF(AR841=AR840,INDEX('Aub Demand'!K:K,MATCH($O840,'Aub Demand'!$A:$A,0))-IF(AN840="",0,AN840)+AP841,INDEX('Aub Demand'!K:K,MATCH($O840,'Aub Demand'!$A:$A,0))-IF(AN840="",0,AN840)),"")</f>
        <v>391</v>
      </c>
      <c r="S840" s="53" t="str">
        <f t="shared" si="364"/>
        <v>n/a</v>
      </c>
      <c r="T840" s="52" t="str">
        <f t="shared" si="365"/>
        <v/>
      </c>
      <c r="U840" s="52">
        <f>IFERROR(IF(AR841=AR840,INDEX('Aub Demand'!Q:Q,MATCH($O840,'Aub Demand'!$A:$A,0))-IF(AN840="",0,AN840)+AP841,INDEX('Aub Demand'!Q:Q,MATCH($O840,'Aub Demand'!$A:$A,0))-IF(AN840="",0,AN840)),"")</f>
        <v>391</v>
      </c>
      <c r="V840" s="53" t="str">
        <f t="shared" si="366"/>
        <v>n/a</v>
      </c>
      <c r="W840" s="52" t="str">
        <f t="shared" si="367"/>
        <v/>
      </c>
      <c r="X840" s="52">
        <f>IFERROR(IF(AND(AR841=AR840,AM840&lt;&gt;""),INDEX('Aub Demand'!Q:Q,MATCH($O840,'Aub Demand'!$A:$A,0))-IF(AN840="",0,AN840)+AP841+AD840+AL840,IF(AR841=AR840,INDEX('Aub Demand'!Q:Q,MATCH($O840,'Aub Demand'!$A:$A,0))-IF(AN840="",0,AN840)+AP841+AD840,IF(AM840&lt;&gt;"",INDEX('Aub Demand'!Q:Q,MATCH($O840,'Aub Demand'!$A:$A,0))-IF(AN840="",0,AN840)+AD840+AL840,INDEX('Aub Demand'!Q:Q,MATCH($O840,'Aub Demand'!$A:$A,0))-IF(AN840="",0,AN840)+AD840))),"")</f>
        <v>391</v>
      </c>
      <c r="Y840" s="53" t="str">
        <f t="shared" si="368"/>
        <v>n/a</v>
      </c>
      <c r="Z840" s="52">
        <f>IF(L840="","",INDEX('Aub Demand'!H:H,MATCH($O840,'Aub Demand'!$A:$A,0)))</f>
        <v>0</v>
      </c>
      <c r="AA840" s="52" t="str">
        <f t="shared" si="369"/>
        <v>-spike-</v>
      </c>
      <c r="AB840" s="52">
        <f>IFERROR(INDEX('Aub Demand'!L:L,MATCH($O840,'Aub Demand'!$A:$A,0)),"")</f>
        <v>13</v>
      </c>
      <c r="AC840" s="52">
        <f>IFERROR(IF(O840="","",SUMIFS('CPL Mats'!F:F,'CPL Mats'!Q:Q,AR840,'CPL Mats'!S:S,AS840)),"")</f>
        <v>0</v>
      </c>
      <c r="AF840" s="25" t="str">
        <f>IF(SUMIFS('Supp Consol'!S:S,'Supp Consol'!Y:Y,"Releasable",'Supp Consol'!A:A,O840)=0,"",SUMIFS('Supp Consol'!S:S,'Supp Consol'!Y:Y,"Releasable",'Supp Consol'!A:A,O840))</f>
        <v/>
      </c>
      <c r="AG840" s="25" t="str">
        <f>IFERROR(INDEX('Hun Demand'!Q:Q,MATCH(O840,'Hun Demand'!A:A,0)),"")</f>
        <v/>
      </c>
      <c r="AH840" s="25" t="str">
        <f>IFERROR(INDEX('Hun Demand'!H:H,MATCH($O840,'Hun Demand'!$A:$A,0)),"")</f>
        <v/>
      </c>
      <c r="AI840" s="25" t="str">
        <f>IF(SUMIFS('Supp Consol'!AA:AA,'Supp Consol'!Z:Z,"Expires this month",'Supp Consol'!A:A,O840)=0,"",SUMIFS('Supp Consol'!AA:AA,'Supp Consol'!Z:Z,"Expires this month",'Supp Consol'!A:A,O840))</f>
        <v/>
      </c>
      <c r="AJ840" s="25" t="str">
        <f>IF(SUMIFS('Supp Consol'!AA:AA,'Supp Consol'!Z:Z,"Expired Previous Months",'Supp Consol'!A:A,O840)=0,"",SUMIFS('Supp Consol'!AA:AA,'Supp Consol'!Z:Z,"Expired Previous Months",'Supp Consol'!A:A,O840))</f>
        <v/>
      </c>
      <c r="AK840" s="25" t="str">
        <f>IFERROR(INDEX('Hun Release Current'!B:B,MATCH(O840,'Hun Release Current'!A:A,0)),"")</f>
        <v/>
      </c>
      <c r="AL840" s="25" t="str">
        <f>IF(SUMIF('Prev Aub'!A:A,O840,'Prev Aub'!B:B)=0,"",SUMIF('Prev Aub'!A:A,O840,'Prev Aub'!B:B))</f>
        <v/>
      </c>
      <c r="AN840" s="25" t="s">
        <v>3790</v>
      </c>
      <c r="AO840" s="25" t="s">
        <v>3790</v>
      </c>
      <c r="AP840" s="25">
        <f t="shared" si="370"/>
        <v>0</v>
      </c>
      <c r="AQ840" s="151" t="str">
        <f>IF(SUMIFS('Supp Consol'!S:S,'Supp Consol'!A:A,O840,'Supp Consol'!I:I,"PENDING")=0,"",SUMIFS('Supp Consol'!S:S,'Supp Consol'!A:A,O840,'Supp Consol'!I:I,"PENDING"))</f>
        <v/>
      </c>
      <c r="AR840" s="27" t="str">
        <f t="shared" si="371"/>
        <v>MT440</v>
      </c>
      <c r="AS840" s="27" t="str">
        <f t="shared" si="372"/>
        <v>62</v>
      </c>
      <c r="AT840" s="27" t="str">
        <f t="shared" si="373"/>
        <v/>
      </c>
      <c r="AU840" s="27" t="str">
        <f t="shared" si="374"/>
        <v/>
      </c>
      <c r="AV840" s="27" t="str">
        <f t="shared" si="375"/>
        <v/>
      </c>
      <c r="AW840" s="27" t="str">
        <f t="shared" si="376"/>
        <v/>
      </c>
      <c r="AX840" s="27" t="str">
        <f t="shared" si="377"/>
        <v/>
      </c>
      <c r="AY840" s="27" t="str">
        <f t="shared" si="378"/>
        <v/>
      </c>
      <c r="AZ840" s="27" t="str">
        <f t="shared" si="379"/>
        <v/>
      </c>
      <c r="BA840" s="27" t="str">
        <f t="shared" si="380"/>
        <v/>
      </c>
      <c r="BB840" s="27" t="str">
        <f t="shared" si="381"/>
        <v/>
      </c>
      <c r="BC840" s="27" t="str">
        <f t="shared" si="382"/>
        <v/>
      </c>
      <c r="BD840" s="27" t="str">
        <f t="shared" si="383"/>
        <v/>
      </c>
      <c r="BE840" s="27" t="str">
        <f t="shared" si="384"/>
        <v/>
      </c>
      <c r="BF840" s="27" t="str">
        <f t="shared" si="385"/>
        <v/>
      </c>
      <c r="BG840" s="27" t="str">
        <f t="shared" si="386"/>
        <v/>
      </c>
      <c r="BH840" s="27" t="str">
        <f t="shared" si="387"/>
        <v/>
      </c>
      <c r="BI840" s="27" t="str">
        <f t="shared" si="388"/>
        <v/>
      </c>
      <c r="BJ840" s="27" t="str">
        <f t="shared" si="389"/>
        <v/>
      </c>
      <c r="BK840" s="27" t="str">
        <f t="shared" si="390"/>
        <v/>
      </c>
      <c r="BL840" s="27" t="str">
        <f t="shared" si="391"/>
        <v/>
      </c>
      <c r="BM840" s="21" t="s">
        <v>3790</v>
      </c>
    </row>
    <row r="841" spans="1:65" ht="15">
      <c r="A841" s="25" t="str">
        <f>IFERROR(INDEX('Hun Demand'!W:W,MATCH(O841,'Hun Demand'!A:A,0)),"")</f>
        <v/>
      </c>
      <c r="B841" s="25" t="str">
        <f>IFERROR(INDEX('Hun Demand'!V:V,MATCH(O841,'Hun Demand'!A:A,0)),"")</f>
        <v/>
      </c>
      <c r="C841" s="25" t="str">
        <f>IFERROR(INDEX('Hun Demand'!U:U,MATCH(O841,'Hun Demand'!A:A,0)),"")</f>
        <v/>
      </c>
      <c r="D841" s="25" t="str">
        <f>IFERROR(INDEX('Hun Demand'!T:T,MATCH(O841,'Hun Demand'!A:A,0)),"")</f>
        <v/>
      </c>
      <c r="E841" s="25" t="str">
        <f>IFERROR(INDEX('Hun Demand'!S:S,MATCH(O841,'Hun Demand'!A:A,0)),"")</f>
        <v/>
      </c>
      <c r="F841" s="25" t="str">
        <f>IFERROR(INDEX('Hun Demand'!R:R,MATCH(O841,'Hun Demand'!A:A,0)),"")</f>
        <v/>
      </c>
      <c r="G841" s="25">
        <f>IFERROR(INDEX('Aub Demand'!W:W,MATCH(O841,'Aub Demand'!A:A,0)),"")</f>
        <v>25</v>
      </c>
      <c r="H841" s="25">
        <f>IFERROR(INDEX('Aub Demand'!V:V,MATCH(O841,'Aub Demand'!A:A,0)),"")</f>
        <v>45</v>
      </c>
      <c r="I841" s="25">
        <f>IFERROR(INDEX('Aub Demand'!U:U,MATCH(O841,'Aub Demand'!A:A,0)),"")</f>
        <v>91</v>
      </c>
      <c r="J841" s="25">
        <f>IFERROR(INDEX('Aub Demand'!T:T,MATCH(O841,'Aub Demand'!A:A,0)),"")</f>
        <v>141</v>
      </c>
      <c r="K841" s="25">
        <f>IFERROR(INDEX('Aub Demand'!S:S,MATCH(O841,'Aub Demand'!A:A,0)),"")</f>
        <v>0</v>
      </c>
      <c r="L841" s="25">
        <f>IFERROR(INDEX('Aub Demand'!R:R,MATCH(O841,'Aub Demand'!A:A,0)),"")</f>
        <v>67</v>
      </c>
      <c r="O841" s="27" t="s">
        <v>1249</v>
      </c>
      <c r="P841" s="27" t="str">
        <f>IFERROR(INDEX('Aub Demand'!B:B,MATCH($O841,'Aub Demand'!$A:$A,0)),"")</f>
        <v>ROCK AROUND THE CLOC</v>
      </c>
      <c r="Q841" s="27" t="str">
        <f>IFERROR(INDEX('Aub Demand'!C:C,MATCH($O841,'Aub Demand'!$A:$A,0)),"")</f>
        <v>TOPPA</v>
      </c>
      <c r="R841" s="52">
        <f>IFERROR(IF(AR842=AR841,INDEX('Aub Demand'!K:K,MATCH($O841,'Aub Demand'!$A:$A,0))-IF(AN841="",0,AN841)+AP842,INDEX('Aub Demand'!K:K,MATCH($O841,'Aub Demand'!$A:$A,0))-IF(AN841="",0,AN841)),"")</f>
        <v>28</v>
      </c>
      <c r="S841" s="53">
        <f t="shared" si="364"/>
        <v>1.6</v>
      </c>
      <c r="T841" s="52">
        <f t="shared" si="365"/>
        <v>40.599999999999994</v>
      </c>
      <c r="U841" s="52">
        <f>IFERROR(IF(AR842=AR841,INDEX('Aub Demand'!Q:Q,MATCH($O841,'Aub Demand'!$A:$A,0))-IF(AN841="",0,AN841)+AP842,INDEX('Aub Demand'!Q:Q,MATCH($O841,'Aub Demand'!$A:$A,0))-IF(AN841="",0,AN841)),"")</f>
        <v>-5</v>
      </c>
      <c r="V841" s="53">
        <f t="shared" si="366"/>
        <v>-0.3</v>
      </c>
      <c r="W841" s="52">
        <f t="shared" si="367"/>
        <v>95.699999999999989</v>
      </c>
      <c r="X841" s="52">
        <f>IFERROR(IF(AND(AR842=AR841,AM841&lt;&gt;""),INDEX('Aub Demand'!Q:Q,MATCH($O841,'Aub Demand'!$A:$A,0))-IF(AN841="",0,AN841)+AP842+AD841+AL841,IF(AR842=AR841,INDEX('Aub Demand'!Q:Q,MATCH($O841,'Aub Demand'!$A:$A,0))-IF(AN841="",0,AN841)+AP842+AD841,IF(AM841&lt;&gt;"",INDEX('Aub Demand'!Q:Q,MATCH($O841,'Aub Demand'!$A:$A,0))-IF(AN841="",0,AN841)+AD841+AL841,INDEX('Aub Demand'!Q:Q,MATCH($O841,'Aub Demand'!$A:$A,0))-IF(AN841="",0,AN841)+AD841))),"")</f>
        <v>-5</v>
      </c>
      <c r="Y841" s="53">
        <f t="shared" si="368"/>
        <v>-0.3</v>
      </c>
      <c r="Z841" s="52">
        <f>IF(L841="","",INDEX('Aub Demand'!H:H,MATCH($O841,'Aub Demand'!$A:$A,0)))</f>
        <v>77</v>
      </c>
      <c r="AA841" s="52">
        <f t="shared" si="369"/>
        <v>116</v>
      </c>
      <c r="AB841" s="52">
        <f>IFERROR(INDEX('Aub Demand'!L:L,MATCH($O841,'Aub Demand'!$A:$A,0)),"")</f>
        <v>46</v>
      </c>
      <c r="AC841" s="52">
        <f>IFERROR(IF(O841="","",SUMIFS('CPL Mats'!F:F,'CPL Mats'!Q:Q,AR841,'CPL Mats'!S:S,AS841)),"")</f>
        <v>0</v>
      </c>
      <c r="AF841" s="25" t="str">
        <f>IF(SUMIFS('Supp Consol'!S:S,'Supp Consol'!Y:Y,"Releasable",'Supp Consol'!A:A,O841)=0,"",SUMIFS('Supp Consol'!S:S,'Supp Consol'!Y:Y,"Releasable",'Supp Consol'!A:A,O841))</f>
        <v/>
      </c>
      <c r="AG841" s="25" t="str">
        <f>IFERROR(INDEX('Hun Demand'!Q:Q,MATCH(O841,'Hun Demand'!A:A,0)),"")</f>
        <v/>
      </c>
      <c r="AH841" s="25" t="str">
        <f>IFERROR(INDEX('Hun Demand'!H:H,MATCH($O841,'Hun Demand'!$A:$A,0)),"")</f>
        <v/>
      </c>
      <c r="AI841" s="25" t="str">
        <f>IF(SUMIFS('Supp Consol'!AA:AA,'Supp Consol'!Z:Z,"Expires this month",'Supp Consol'!A:A,O841)=0,"",SUMIFS('Supp Consol'!AA:AA,'Supp Consol'!Z:Z,"Expires this month",'Supp Consol'!A:A,O841))</f>
        <v/>
      </c>
      <c r="AJ841" s="25" t="str">
        <f>IF(SUMIFS('Supp Consol'!AA:AA,'Supp Consol'!Z:Z,"Expired Previous Months",'Supp Consol'!A:A,O841)=0,"",SUMIFS('Supp Consol'!AA:AA,'Supp Consol'!Z:Z,"Expired Previous Months",'Supp Consol'!A:A,O841))</f>
        <v/>
      </c>
      <c r="AK841" s="25" t="str">
        <f>IFERROR(INDEX('Hun Release Current'!B:B,MATCH(O841,'Hun Release Current'!A:A,0)),"")</f>
        <v/>
      </c>
      <c r="AL841" s="25" t="str">
        <f>IF(SUMIF('Prev Aub'!A:A,O841,'Prev Aub'!B:B)=0,"",SUMIF('Prev Aub'!A:A,O841,'Prev Aub'!B:B))</f>
        <v/>
      </c>
      <c r="AN841" s="25" t="s">
        <v>3790</v>
      </c>
      <c r="AO841" s="25" t="s">
        <v>3790</v>
      </c>
      <c r="AP841" s="25">
        <f t="shared" si="370"/>
        <v>0</v>
      </c>
      <c r="AQ841" s="151" t="str">
        <f>IF(SUMIFS('Supp Consol'!S:S,'Supp Consol'!A:A,O841,'Supp Consol'!I:I,"PENDING")=0,"",SUMIFS('Supp Consol'!S:S,'Supp Consol'!A:A,O841,'Supp Consol'!I:I,"PENDING"))</f>
        <v/>
      </c>
      <c r="AR841" s="27" t="str">
        <f t="shared" si="371"/>
        <v>MT500</v>
      </c>
      <c r="AS841" s="27" t="str">
        <f t="shared" si="372"/>
        <v>62</v>
      </c>
      <c r="AT841" s="27" t="str">
        <f t="shared" si="373"/>
        <v>MT500</v>
      </c>
      <c r="AU841" s="27" t="str">
        <f t="shared" si="374"/>
        <v>MT500</v>
      </c>
      <c r="AV841" s="27" t="str">
        <f t="shared" si="375"/>
        <v>MT500</v>
      </c>
      <c r="AW841" s="27" t="str">
        <f t="shared" si="376"/>
        <v/>
      </c>
      <c r="AX841" s="27" t="str">
        <f t="shared" si="377"/>
        <v/>
      </c>
      <c r="AY841" s="27" t="str">
        <f t="shared" si="378"/>
        <v/>
      </c>
      <c r="AZ841" s="27" t="str">
        <f t="shared" si="379"/>
        <v/>
      </c>
      <c r="BA841" s="27" t="str">
        <f t="shared" si="380"/>
        <v/>
      </c>
      <c r="BB841" s="27" t="str">
        <f t="shared" si="381"/>
        <v>Gross</v>
      </c>
      <c r="BC841" s="27" t="str">
        <f t="shared" si="382"/>
        <v>Net</v>
      </c>
      <c r="BD841" s="27" t="str">
        <f t="shared" si="383"/>
        <v>Net</v>
      </c>
      <c r="BE841" s="27" t="str">
        <f t="shared" si="384"/>
        <v/>
      </c>
      <c r="BF841" s="27" t="str">
        <f t="shared" si="385"/>
        <v/>
      </c>
      <c r="BG841" s="27" t="str">
        <f t="shared" si="386"/>
        <v/>
      </c>
      <c r="BH841" s="27" t="str">
        <f t="shared" si="387"/>
        <v/>
      </c>
      <c r="BI841" s="27" t="str">
        <f t="shared" si="388"/>
        <v/>
      </c>
      <c r="BJ841" s="27" t="str">
        <f t="shared" si="389"/>
        <v/>
      </c>
      <c r="BK841" s="27" t="str">
        <f t="shared" si="390"/>
        <v/>
      </c>
      <c r="BL841" s="27" t="str">
        <f t="shared" si="391"/>
        <v/>
      </c>
      <c r="BM841" s="21" t="s">
        <v>5581</v>
      </c>
    </row>
    <row r="842" spans="1:65" ht="15">
      <c r="A842" s="25" t="str">
        <f>IFERROR(INDEX('Hun Demand'!W:W,MATCH(O842,'Hun Demand'!A:A,0)),"")</f>
        <v/>
      </c>
      <c r="B842" s="25" t="str">
        <f>IFERROR(INDEX('Hun Demand'!V:V,MATCH(O842,'Hun Demand'!A:A,0)),"")</f>
        <v/>
      </c>
      <c r="C842" s="25" t="str">
        <f>IFERROR(INDEX('Hun Demand'!U:U,MATCH(O842,'Hun Demand'!A:A,0)),"")</f>
        <v/>
      </c>
      <c r="D842" s="25" t="str">
        <f>IFERROR(INDEX('Hun Demand'!T:T,MATCH(O842,'Hun Demand'!A:A,0)),"")</f>
        <v/>
      </c>
      <c r="E842" s="25" t="str">
        <f>IFERROR(INDEX('Hun Demand'!S:S,MATCH(O842,'Hun Demand'!A:A,0)),"")</f>
        <v/>
      </c>
      <c r="F842" s="25" t="str">
        <f>IFERROR(INDEX('Hun Demand'!R:R,MATCH(O842,'Hun Demand'!A:A,0)),"")</f>
        <v/>
      </c>
      <c r="G842" s="25">
        <f>IFERROR(INDEX('Aub Demand'!W:W,MATCH(O842,'Aub Demand'!A:A,0)),"")</f>
        <v>0</v>
      </c>
      <c r="H842" s="25">
        <f>IFERROR(INDEX('Aub Demand'!V:V,MATCH(O842,'Aub Demand'!A:A,0)),"")</f>
        <v>0</v>
      </c>
      <c r="I842" s="25">
        <f>IFERROR(INDEX('Aub Demand'!U:U,MATCH(O842,'Aub Demand'!A:A,0)),"")</f>
        <v>0</v>
      </c>
      <c r="J842" s="25">
        <f>IFERROR(INDEX('Aub Demand'!T:T,MATCH(O842,'Aub Demand'!A:A,0)),"")</f>
        <v>0</v>
      </c>
      <c r="K842" s="25">
        <f>IFERROR(INDEX('Aub Demand'!S:S,MATCH(O842,'Aub Demand'!A:A,0)),"")</f>
        <v>0</v>
      </c>
      <c r="L842" s="25">
        <f>IFERROR(INDEX('Aub Demand'!R:R,MATCH(O842,'Aub Demand'!A:A,0)),"")</f>
        <v>0</v>
      </c>
      <c r="O842" s="27" t="s">
        <v>2413</v>
      </c>
      <c r="P842" s="27" t="str">
        <f>IFERROR(INDEX('Aub Demand'!B:B,MATCH($O842,'Aub Demand'!$A:$A,0)),"")</f>
        <v>WHITE MELLOW TONE II</v>
      </c>
      <c r="Q842" s="27" t="str">
        <f>IFERROR(INDEX('Aub Demand'!C:C,MATCH($O842,'Aub Demand'!$A:$A,0)),"")</f>
        <v>INTER</v>
      </c>
      <c r="R842" s="52">
        <f>IFERROR(IF(AR843=AR842,INDEX('Aub Demand'!K:K,MATCH($O842,'Aub Demand'!$A:$A,0))-IF(AN842="",0,AN842)+AP843,INDEX('Aub Demand'!K:K,MATCH($O842,'Aub Demand'!$A:$A,0))-IF(AN842="",0,AN842)),"")</f>
        <v>1943</v>
      </c>
      <c r="S842" s="53" t="str">
        <f t="shared" si="364"/>
        <v>n/a</v>
      </c>
      <c r="T842" s="52" t="str">
        <f t="shared" si="365"/>
        <v/>
      </c>
      <c r="U842" s="52">
        <f>IFERROR(IF(AR843=AR842,INDEX('Aub Demand'!Q:Q,MATCH($O842,'Aub Demand'!$A:$A,0))-IF(AN842="",0,AN842)+AP843,INDEX('Aub Demand'!Q:Q,MATCH($O842,'Aub Demand'!$A:$A,0))-IF(AN842="",0,AN842)),"")</f>
        <v>1910</v>
      </c>
      <c r="V842" s="53" t="str">
        <f t="shared" si="366"/>
        <v>n/a</v>
      </c>
      <c r="W842" s="52" t="str">
        <f t="shared" si="367"/>
        <v/>
      </c>
      <c r="X842" s="52">
        <f>IFERROR(IF(AND(AR843=AR842,AM842&lt;&gt;""),INDEX('Aub Demand'!Q:Q,MATCH($O842,'Aub Demand'!$A:$A,0))-IF(AN842="",0,AN842)+AP843+AD842+AL842,IF(AR843=AR842,INDEX('Aub Demand'!Q:Q,MATCH($O842,'Aub Demand'!$A:$A,0))-IF(AN842="",0,AN842)+AP843+AD842,IF(AM842&lt;&gt;"",INDEX('Aub Demand'!Q:Q,MATCH($O842,'Aub Demand'!$A:$A,0))-IF(AN842="",0,AN842)+AD842+AL842,INDEX('Aub Demand'!Q:Q,MATCH($O842,'Aub Demand'!$A:$A,0))-IF(AN842="",0,AN842)+AD842))),"")</f>
        <v>1910</v>
      </c>
      <c r="Y842" s="53" t="str">
        <f t="shared" si="368"/>
        <v>n/a</v>
      </c>
      <c r="Z842" s="52">
        <f>IF(L842="","",INDEX('Aub Demand'!H:H,MATCH($O842,'Aub Demand'!$A:$A,0)))</f>
        <v>0</v>
      </c>
      <c r="AA842" s="52" t="str">
        <f t="shared" si="369"/>
        <v>-spike-</v>
      </c>
      <c r="AB842" s="52">
        <f>IFERROR(INDEX('Aub Demand'!L:L,MATCH($O842,'Aub Demand'!$A:$A,0)),"")</f>
        <v>957</v>
      </c>
      <c r="AC842" s="52">
        <f>IFERROR(IF(O842="","",SUMIFS('CPL Mats'!F:F,'CPL Mats'!Q:Q,AR842,'CPL Mats'!S:S,AS842)),"")</f>
        <v>0</v>
      </c>
      <c r="AF842" s="25" t="str">
        <f>IF(SUMIFS('Supp Consol'!S:S,'Supp Consol'!Y:Y,"Releasable",'Supp Consol'!A:A,O842)=0,"",SUMIFS('Supp Consol'!S:S,'Supp Consol'!Y:Y,"Releasable",'Supp Consol'!A:A,O842))</f>
        <v/>
      </c>
      <c r="AG842" s="25" t="str">
        <f>IFERROR(INDEX('Hun Demand'!Q:Q,MATCH(O842,'Hun Demand'!A:A,0)),"")</f>
        <v/>
      </c>
      <c r="AH842" s="25" t="str">
        <f>IFERROR(INDEX('Hun Demand'!H:H,MATCH($O842,'Hun Demand'!$A:$A,0)),"")</f>
        <v/>
      </c>
      <c r="AI842" s="25" t="str">
        <f>IF(SUMIFS('Supp Consol'!AA:AA,'Supp Consol'!Z:Z,"Expires this month",'Supp Consol'!A:A,O842)=0,"",SUMIFS('Supp Consol'!AA:AA,'Supp Consol'!Z:Z,"Expires this month",'Supp Consol'!A:A,O842))</f>
        <v/>
      </c>
      <c r="AJ842" s="25" t="str">
        <f>IF(SUMIFS('Supp Consol'!AA:AA,'Supp Consol'!Z:Z,"Expired Previous Months",'Supp Consol'!A:A,O842)=0,"",SUMIFS('Supp Consol'!AA:AA,'Supp Consol'!Z:Z,"Expired Previous Months",'Supp Consol'!A:A,O842))</f>
        <v/>
      </c>
      <c r="AK842" s="25" t="str">
        <f>IFERROR(INDEX('Hun Release Current'!B:B,MATCH(O842,'Hun Release Current'!A:A,0)),"")</f>
        <v/>
      </c>
      <c r="AL842" s="25" t="str">
        <f>IF(SUMIF('Prev Aub'!A:A,O842,'Prev Aub'!B:B)=0,"",SUMIF('Prev Aub'!A:A,O842,'Prev Aub'!B:B))</f>
        <v/>
      </c>
      <c r="AN842" s="25" t="s">
        <v>3790</v>
      </c>
      <c r="AO842" s="25" t="s">
        <v>3790</v>
      </c>
      <c r="AP842" s="25">
        <f t="shared" si="370"/>
        <v>0</v>
      </c>
      <c r="AQ842" s="151" t="str">
        <f>IF(SUMIFS('Supp Consol'!S:S,'Supp Consol'!A:A,O842,'Supp Consol'!I:I,"PENDING")=0,"",SUMIFS('Supp Consol'!S:S,'Supp Consol'!A:A,O842,'Supp Consol'!I:I,"PENDING"))</f>
        <v/>
      </c>
      <c r="AR842" s="27" t="str">
        <f t="shared" si="371"/>
        <v>MT702</v>
      </c>
      <c r="AS842" s="27" t="str">
        <f t="shared" si="372"/>
        <v>50</v>
      </c>
      <c r="AT842" s="27" t="str">
        <f t="shared" si="373"/>
        <v/>
      </c>
      <c r="AU842" s="27" t="str">
        <f t="shared" si="374"/>
        <v/>
      </c>
      <c r="AV842" s="27" t="str">
        <f t="shared" si="375"/>
        <v/>
      </c>
      <c r="AW842" s="27" t="str">
        <f t="shared" si="376"/>
        <v/>
      </c>
      <c r="AX842" s="27" t="str">
        <f t="shared" si="377"/>
        <v/>
      </c>
      <c r="AY842" s="27" t="str">
        <f t="shared" si="378"/>
        <v/>
      </c>
      <c r="AZ842" s="27" t="str">
        <f t="shared" si="379"/>
        <v/>
      </c>
      <c r="BA842" s="27" t="str">
        <f t="shared" si="380"/>
        <v/>
      </c>
      <c r="BB842" s="27" t="str">
        <f t="shared" si="381"/>
        <v/>
      </c>
      <c r="BC842" s="27" t="str">
        <f t="shared" si="382"/>
        <v/>
      </c>
      <c r="BD842" s="27" t="str">
        <f t="shared" si="383"/>
        <v/>
      </c>
      <c r="BE842" s="27" t="str">
        <f t="shared" si="384"/>
        <v/>
      </c>
      <c r="BF842" s="27" t="str">
        <f t="shared" si="385"/>
        <v/>
      </c>
      <c r="BG842" s="27" t="str">
        <f t="shared" si="386"/>
        <v/>
      </c>
      <c r="BH842" s="27" t="str">
        <f t="shared" si="387"/>
        <v/>
      </c>
      <c r="BI842" s="27" t="str">
        <f t="shared" si="388"/>
        <v/>
      </c>
      <c r="BJ842" s="27" t="str">
        <f t="shared" si="389"/>
        <v/>
      </c>
      <c r="BK842" s="27" t="str">
        <f t="shared" si="390"/>
        <v/>
      </c>
      <c r="BL842" s="27" t="str">
        <f t="shared" si="391"/>
        <v/>
      </c>
      <c r="BM842" s="21" t="s">
        <v>5581</v>
      </c>
    </row>
    <row r="843" spans="1:65" ht="15">
      <c r="A843" s="25" t="str">
        <f>IFERROR(INDEX('Hun Demand'!W:W,MATCH(O843,'Hun Demand'!A:A,0)),"")</f>
        <v/>
      </c>
      <c r="B843" s="25" t="str">
        <f>IFERROR(INDEX('Hun Demand'!V:V,MATCH(O843,'Hun Demand'!A:A,0)),"")</f>
        <v/>
      </c>
      <c r="C843" s="25" t="str">
        <f>IFERROR(INDEX('Hun Demand'!U:U,MATCH(O843,'Hun Demand'!A:A,0)),"")</f>
        <v/>
      </c>
      <c r="D843" s="25" t="str">
        <f>IFERROR(INDEX('Hun Demand'!T:T,MATCH(O843,'Hun Demand'!A:A,0)),"")</f>
        <v/>
      </c>
      <c r="E843" s="25" t="str">
        <f>IFERROR(INDEX('Hun Demand'!S:S,MATCH(O843,'Hun Demand'!A:A,0)),"")</f>
        <v/>
      </c>
      <c r="F843" s="25" t="str">
        <f>IFERROR(INDEX('Hun Demand'!R:R,MATCH(O843,'Hun Demand'!A:A,0)),"")</f>
        <v/>
      </c>
      <c r="G843" s="25">
        <f>IFERROR(INDEX('Aub Demand'!W:W,MATCH(O843,'Aub Demand'!A:A,0)),"")</f>
        <v>0</v>
      </c>
      <c r="H843" s="25">
        <f>IFERROR(INDEX('Aub Demand'!V:V,MATCH(O843,'Aub Demand'!A:A,0)),"")</f>
        <v>0</v>
      </c>
      <c r="I843" s="25">
        <f>IFERROR(INDEX('Aub Demand'!U:U,MATCH(O843,'Aub Demand'!A:A,0)),"")</f>
        <v>0</v>
      </c>
      <c r="J843" s="25">
        <f>IFERROR(INDEX('Aub Demand'!T:T,MATCH(O843,'Aub Demand'!A:A,0)),"")</f>
        <v>93</v>
      </c>
      <c r="K843" s="25">
        <f>IFERROR(INDEX('Aub Demand'!S:S,MATCH(O843,'Aub Demand'!A:A,0)),"")</f>
        <v>0</v>
      </c>
      <c r="L843" s="25">
        <f>IFERROR(INDEX('Aub Demand'!R:R,MATCH(O843,'Aub Demand'!A:A,0)),"")</f>
        <v>0</v>
      </c>
      <c r="O843" s="27" t="s">
        <v>5937</v>
      </c>
      <c r="P843" s="27" t="str">
        <f>IFERROR(INDEX('Aub Demand'!B:B,MATCH($O843,'Aub Demand'!$A:$A,0)),"")</f>
        <v>RINNOVATO MARBLE</v>
      </c>
      <c r="Q843" s="27" t="str">
        <f>IFERROR(INDEX('Aub Demand'!C:C,MATCH($O843,'Aub Demand'!$A:$A,0)),"")</f>
        <v>IMPRE</v>
      </c>
      <c r="R843" s="52">
        <f>IFERROR(IF(AR844=AR843,INDEX('Aub Demand'!K:K,MATCH($O843,'Aub Demand'!$A:$A,0))-IF(AN843="",0,AN843)+AP844,INDEX('Aub Demand'!K:K,MATCH($O843,'Aub Demand'!$A:$A,0))-IF(AN843="",0,AN843)),"")</f>
        <v>0</v>
      </c>
      <c r="S843" s="53">
        <f t="shared" si="364"/>
        <v>0</v>
      </c>
      <c r="T843" s="52" t="str">
        <f t="shared" si="365"/>
        <v/>
      </c>
      <c r="U843" s="52">
        <f>IFERROR(IF(AR844=AR843,INDEX('Aub Demand'!Q:Q,MATCH($O843,'Aub Demand'!$A:$A,0))-IF(AN843="",0,AN843)+AP844,INDEX('Aub Demand'!Q:Q,MATCH($O843,'Aub Demand'!$A:$A,0))-IF(AN843="",0,AN843)),"")</f>
        <v>0</v>
      </c>
      <c r="V843" s="53">
        <f t="shared" si="366"/>
        <v>0</v>
      </c>
      <c r="W843" s="52" t="str">
        <f t="shared" si="367"/>
        <v/>
      </c>
      <c r="X843" s="52">
        <f>IFERROR(IF(AND(AR844=AR843,AM843&lt;&gt;""),INDEX('Aub Demand'!Q:Q,MATCH($O843,'Aub Demand'!$A:$A,0))-IF(AN843="",0,AN843)+AP844+AD843+AL843,IF(AR844=AR843,INDEX('Aub Demand'!Q:Q,MATCH($O843,'Aub Demand'!$A:$A,0))-IF(AN843="",0,AN843)+AP844+AD843,IF(AM843&lt;&gt;"",INDEX('Aub Demand'!Q:Q,MATCH($O843,'Aub Demand'!$A:$A,0))-IF(AN843="",0,AN843)+AD843+AL843,INDEX('Aub Demand'!Q:Q,MATCH($O843,'Aub Demand'!$A:$A,0))-IF(AN843="",0,AN843)+AD843))),"")</f>
        <v>0</v>
      </c>
      <c r="Y843" s="53">
        <f t="shared" si="368"/>
        <v>0</v>
      </c>
      <c r="Z843" s="52">
        <f>IF(L843="","",INDEX('Aub Demand'!H:H,MATCH($O843,'Aub Demand'!$A:$A,0)))</f>
        <v>31</v>
      </c>
      <c r="AA843" s="52" t="str">
        <f t="shared" si="369"/>
        <v>-spike-</v>
      </c>
      <c r="AB843" s="52">
        <f>IFERROR(INDEX('Aub Demand'!L:L,MATCH($O843,'Aub Demand'!$A:$A,0)),"")</f>
        <v>5</v>
      </c>
      <c r="AC843" s="52">
        <f>IFERROR(IF(O843="","",SUMIFS('CPL Mats'!F:F,'CPL Mats'!Q:Q,AR843,'CPL Mats'!S:S,AS843)),"")</f>
        <v>0</v>
      </c>
      <c r="AF843" s="25" t="str">
        <f>IF(SUMIFS('Supp Consol'!S:S,'Supp Consol'!Y:Y,"Releasable",'Supp Consol'!A:A,O843)=0,"",SUMIFS('Supp Consol'!S:S,'Supp Consol'!Y:Y,"Releasable",'Supp Consol'!A:A,O843))</f>
        <v/>
      </c>
      <c r="AG843" s="25" t="str">
        <f>IFERROR(INDEX('Hun Demand'!Q:Q,MATCH(O843,'Hun Demand'!A:A,0)),"")</f>
        <v/>
      </c>
      <c r="AH843" s="25" t="str">
        <f>IFERROR(INDEX('Hun Demand'!H:H,MATCH($O843,'Hun Demand'!$A:$A,0)),"")</f>
        <v/>
      </c>
      <c r="AI843" s="25" t="str">
        <f>IF(SUMIFS('Supp Consol'!AA:AA,'Supp Consol'!Z:Z,"Expires this month",'Supp Consol'!A:A,O843)=0,"",SUMIFS('Supp Consol'!AA:AA,'Supp Consol'!Z:Z,"Expires this month",'Supp Consol'!A:A,O843))</f>
        <v/>
      </c>
      <c r="AJ843" s="25" t="str">
        <f>IF(SUMIFS('Supp Consol'!AA:AA,'Supp Consol'!Z:Z,"Expired Previous Months",'Supp Consol'!A:A,O843)=0,"",SUMIFS('Supp Consol'!AA:AA,'Supp Consol'!Z:Z,"Expired Previous Months",'Supp Consol'!A:A,O843))</f>
        <v/>
      </c>
      <c r="AK843" s="25" t="str">
        <f>IFERROR(INDEX('Hun Release Current'!B:B,MATCH(O843,'Hun Release Current'!A:A,0)),"")</f>
        <v/>
      </c>
      <c r="AL843" s="25" t="str">
        <f>IF(SUMIF('Prev Aub'!A:A,O843,'Prev Aub'!B:B)=0,"",SUMIF('Prev Aub'!A:A,O843,'Prev Aub'!B:B))</f>
        <v/>
      </c>
      <c r="AN843" s="25" t="s">
        <v>3790</v>
      </c>
      <c r="AO843" s="25" t="s">
        <v>3790</v>
      </c>
      <c r="AP843" s="25">
        <f t="shared" si="370"/>
        <v>0</v>
      </c>
      <c r="AQ843" s="151" t="str">
        <f>IF(SUMIFS('Supp Consol'!S:S,'Supp Consol'!A:A,O843,'Supp Consol'!I:I,"PENDING")=0,"",SUMIFS('Supp Consol'!S:S,'Supp Consol'!A:A,O843,'Supp Consol'!I:I,"PENDING"))</f>
        <v/>
      </c>
      <c r="AR843" s="27" t="str">
        <f t="shared" si="371"/>
        <v>MW535</v>
      </c>
      <c r="AS843" s="27" t="str">
        <f t="shared" si="372"/>
        <v>50</v>
      </c>
      <c r="AT843" s="27" t="str">
        <f t="shared" si="373"/>
        <v>MW535</v>
      </c>
      <c r="AU843" s="27" t="str">
        <f t="shared" si="374"/>
        <v>MW535</v>
      </c>
      <c r="AV843" s="27" t="str">
        <f t="shared" si="375"/>
        <v>MW535</v>
      </c>
      <c r="AW843" s="27" t="str">
        <f t="shared" si="376"/>
        <v/>
      </c>
      <c r="AX843" s="27" t="str">
        <f t="shared" si="377"/>
        <v/>
      </c>
      <c r="AY843" s="27" t="str">
        <f t="shared" si="378"/>
        <v/>
      </c>
      <c r="AZ843" s="27" t="str">
        <f t="shared" si="379"/>
        <v/>
      </c>
      <c r="BA843" s="27" t="str">
        <f t="shared" si="380"/>
        <v/>
      </c>
      <c r="BB843" s="27" t="str">
        <f t="shared" si="381"/>
        <v>Gross</v>
      </c>
      <c r="BC843" s="27" t="str">
        <f t="shared" si="382"/>
        <v>Net</v>
      </c>
      <c r="BD843" s="27" t="str">
        <f t="shared" si="383"/>
        <v>Net</v>
      </c>
      <c r="BE843" s="27" t="str">
        <f t="shared" si="384"/>
        <v/>
      </c>
      <c r="BF843" s="27" t="str">
        <f t="shared" si="385"/>
        <v/>
      </c>
      <c r="BG843" s="27" t="str">
        <f t="shared" si="386"/>
        <v/>
      </c>
      <c r="BH843" s="27" t="str">
        <f t="shared" si="387"/>
        <v/>
      </c>
      <c r="BI843" s="27" t="str">
        <f t="shared" si="388"/>
        <v/>
      </c>
      <c r="BJ843" s="27" t="str">
        <f t="shared" si="389"/>
        <v/>
      </c>
      <c r="BK843" s="27" t="str">
        <f t="shared" si="390"/>
        <v/>
      </c>
      <c r="BL843" s="27" t="str">
        <f t="shared" si="391"/>
        <v/>
      </c>
      <c r="BM843" s="21" t="s">
        <v>3790</v>
      </c>
    </row>
    <row r="844" spans="1:65" ht="15">
      <c r="A844" s="25" t="str">
        <f>IFERROR(INDEX('Hun Demand'!W:W,MATCH(O844,'Hun Demand'!A:A,0)),"")</f>
        <v/>
      </c>
      <c r="B844" s="25" t="str">
        <f>IFERROR(INDEX('Hun Demand'!V:V,MATCH(O844,'Hun Demand'!A:A,0)),"")</f>
        <v/>
      </c>
      <c r="C844" s="25" t="str">
        <f>IFERROR(INDEX('Hun Demand'!U:U,MATCH(O844,'Hun Demand'!A:A,0)),"")</f>
        <v/>
      </c>
      <c r="D844" s="25" t="str">
        <f>IFERROR(INDEX('Hun Demand'!T:T,MATCH(O844,'Hun Demand'!A:A,0)),"")</f>
        <v/>
      </c>
      <c r="E844" s="25" t="str">
        <f>IFERROR(INDEX('Hun Demand'!S:S,MATCH(O844,'Hun Demand'!A:A,0)),"")</f>
        <v/>
      </c>
      <c r="F844" s="25" t="str">
        <f>IFERROR(INDEX('Hun Demand'!R:R,MATCH(O844,'Hun Demand'!A:A,0)),"")</f>
        <v/>
      </c>
      <c r="G844" s="25">
        <f>IFERROR(INDEX('Aub Demand'!W:W,MATCH(O844,'Aub Demand'!A:A,0)),"")</f>
        <v>0</v>
      </c>
      <c r="H844" s="25">
        <f>IFERROR(INDEX('Aub Demand'!V:V,MATCH(O844,'Aub Demand'!A:A,0)),"")</f>
        <v>0</v>
      </c>
      <c r="I844" s="25">
        <f>IFERROR(INDEX('Aub Demand'!U:U,MATCH(O844,'Aub Demand'!A:A,0)),"")</f>
        <v>0</v>
      </c>
      <c r="J844" s="25">
        <f>IFERROR(INDEX('Aub Demand'!T:T,MATCH(O844,'Aub Demand'!A:A,0)),"")</f>
        <v>0</v>
      </c>
      <c r="K844" s="25">
        <f>IFERROR(INDEX('Aub Demand'!S:S,MATCH(O844,'Aub Demand'!A:A,0)),"")</f>
        <v>0</v>
      </c>
      <c r="L844" s="25">
        <f>IFERROR(INDEX('Aub Demand'!R:R,MATCH(O844,'Aub Demand'!A:A,0)),"")</f>
        <v>0</v>
      </c>
      <c r="O844" s="27" t="s">
        <v>1251</v>
      </c>
      <c r="P844" s="27" t="str">
        <f>IFERROR(INDEX('Aub Demand'!B:B,MATCH($O844,'Aub Demand'!$A:$A,0)),"")</f>
        <v>RINNOVATO MARBLE</v>
      </c>
      <c r="Q844" s="27" t="str">
        <f>IFERROR(INDEX('Aub Demand'!C:C,MATCH($O844,'Aub Demand'!$A:$A,0)),"")</f>
        <v>IMPRE</v>
      </c>
      <c r="R844" s="52">
        <f>IFERROR(IF(AR845=AR844,INDEX('Aub Demand'!K:K,MATCH($O844,'Aub Demand'!$A:$A,0))-IF(AN844="",0,AN844)+AP845,INDEX('Aub Demand'!K:K,MATCH($O844,'Aub Demand'!$A:$A,0))-IF(AN844="",0,AN844)),"")</f>
        <v>2155</v>
      </c>
      <c r="S844" s="53" t="str">
        <f t="shared" si="364"/>
        <v>n/a</v>
      </c>
      <c r="T844" s="52" t="str">
        <f t="shared" si="365"/>
        <v/>
      </c>
      <c r="U844" s="52">
        <f>IFERROR(IF(AR845=AR844,INDEX('Aub Demand'!Q:Q,MATCH($O844,'Aub Demand'!$A:$A,0))-IF(AN844="",0,AN844)+AP845,INDEX('Aub Demand'!Q:Q,MATCH($O844,'Aub Demand'!$A:$A,0))-IF(AN844="",0,AN844)),"")</f>
        <v>2155</v>
      </c>
      <c r="V844" s="53" t="str">
        <f t="shared" si="366"/>
        <v>n/a</v>
      </c>
      <c r="W844" s="52" t="str">
        <f t="shared" si="367"/>
        <v/>
      </c>
      <c r="X844" s="52">
        <f>IFERROR(IF(AND(AR845=AR844,AM844&lt;&gt;""),INDEX('Aub Demand'!Q:Q,MATCH($O844,'Aub Demand'!$A:$A,0))-IF(AN844="",0,AN844)+AP845+AD844+AL844,IF(AR845=AR844,INDEX('Aub Demand'!Q:Q,MATCH($O844,'Aub Demand'!$A:$A,0))-IF(AN844="",0,AN844)+AP845+AD844,IF(AM844&lt;&gt;"",INDEX('Aub Demand'!Q:Q,MATCH($O844,'Aub Demand'!$A:$A,0))-IF(AN844="",0,AN844)+AD844+AL844,INDEX('Aub Demand'!Q:Q,MATCH($O844,'Aub Demand'!$A:$A,0))-IF(AN844="",0,AN844)+AD844))),"")</f>
        <v>2155</v>
      </c>
      <c r="Y844" s="53" t="str">
        <f t="shared" si="368"/>
        <v>n/a</v>
      </c>
      <c r="Z844" s="52">
        <f>IF(L844="","",INDEX('Aub Demand'!H:H,MATCH($O844,'Aub Demand'!$A:$A,0)))</f>
        <v>0</v>
      </c>
      <c r="AA844" s="52" t="str">
        <f t="shared" si="369"/>
        <v>-spike-</v>
      </c>
      <c r="AB844" s="52">
        <f>IFERROR(INDEX('Aub Demand'!L:L,MATCH($O844,'Aub Demand'!$A:$A,0)),"")</f>
        <v>0</v>
      </c>
      <c r="AC844" s="52">
        <f>IFERROR(IF(O844="","",SUMIFS('CPL Mats'!F:F,'CPL Mats'!Q:Q,AR844,'CPL Mats'!S:S,AS844)),"")</f>
        <v>0</v>
      </c>
      <c r="AF844" s="25" t="str">
        <f>IF(SUMIFS('Supp Consol'!S:S,'Supp Consol'!Y:Y,"Releasable",'Supp Consol'!A:A,O844)=0,"",SUMIFS('Supp Consol'!S:S,'Supp Consol'!Y:Y,"Releasable",'Supp Consol'!A:A,O844))</f>
        <v/>
      </c>
      <c r="AG844" s="25" t="str">
        <f>IFERROR(INDEX('Hun Demand'!Q:Q,MATCH(O844,'Hun Demand'!A:A,0)),"")</f>
        <v/>
      </c>
      <c r="AH844" s="25" t="str">
        <f>IFERROR(INDEX('Hun Demand'!H:H,MATCH($O844,'Hun Demand'!$A:$A,0)),"")</f>
        <v/>
      </c>
      <c r="AI844" s="25" t="str">
        <f>IF(SUMIFS('Supp Consol'!AA:AA,'Supp Consol'!Z:Z,"Expires this month",'Supp Consol'!A:A,O844)=0,"",SUMIFS('Supp Consol'!AA:AA,'Supp Consol'!Z:Z,"Expires this month",'Supp Consol'!A:A,O844))</f>
        <v/>
      </c>
      <c r="AJ844" s="25" t="str">
        <f>IF(SUMIFS('Supp Consol'!AA:AA,'Supp Consol'!Z:Z,"Expired Previous Months",'Supp Consol'!A:A,O844)=0,"",SUMIFS('Supp Consol'!AA:AA,'Supp Consol'!Z:Z,"Expired Previous Months",'Supp Consol'!A:A,O844))</f>
        <v/>
      </c>
      <c r="AK844" s="25" t="str">
        <f>IFERROR(INDEX('Hun Release Current'!B:B,MATCH(O844,'Hun Release Current'!A:A,0)),"")</f>
        <v/>
      </c>
      <c r="AL844" s="25" t="str">
        <f>IF(SUMIF('Prev Aub'!A:A,O844,'Prev Aub'!B:B)=0,"",SUMIF('Prev Aub'!A:A,O844,'Prev Aub'!B:B))</f>
        <v/>
      </c>
      <c r="AN844" s="25" t="s">
        <v>3790</v>
      </c>
      <c r="AO844" s="25" t="s">
        <v>3790</v>
      </c>
      <c r="AP844" s="25">
        <f t="shared" si="370"/>
        <v>0</v>
      </c>
      <c r="AQ844" s="151" t="str">
        <f>IF(SUMIFS('Supp Consol'!S:S,'Supp Consol'!A:A,O844,'Supp Consol'!I:I,"PENDING")=0,"",SUMIFS('Supp Consol'!S:S,'Supp Consol'!A:A,O844,'Supp Consol'!I:I,"PENDING"))</f>
        <v/>
      </c>
      <c r="AR844" s="27" t="str">
        <f t="shared" si="371"/>
        <v>MW535</v>
      </c>
      <c r="AS844" s="27" t="str">
        <f t="shared" si="372"/>
        <v>62</v>
      </c>
      <c r="AT844" s="27" t="str">
        <f t="shared" si="373"/>
        <v/>
      </c>
      <c r="AU844" s="27" t="str">
        <f t="shared" si="374"/>
        <v/>
      </c>
      <c r="AV844" s="27" t="str">
        <f t="shared" si="375"/>
        <v/>
      </c>
      <c r="AW844" s="27" t="str">
        <f t="shared" si="376"/>
        <v/>
      </c>
      <c r="AX844" s="27" t="str">
        <f t="shared" si="377"/>
        <v/>
      </c>
      <c r="AY844" s="27" t="str">
        <f t="shared" si="378"/>
        <v/>
      </c>
      <c r="AZ844" s="27" t="str">
        <f t="shared" si="379"/>
        <v/>
      </c>
      <c r="BA844" s="27" t="str">
        <f t="shared" si="380"/>
        <v/>
      </c>
      <c r="BB844" s="27" t="str">
        <f t="shared" si="381"/>
        <v>Gross</v>
      </c>
      <c r="BC844" s="27" t="str">
        <f t="shared" si="382"/>
        <v>Net</v>
      </c>
      <c r="BD844" s="27" t="str">
        <f t="shared" si="383"/>
        <v>Net</v>
      </c>
      <c r="BE844" s="27" t="str">
        <f t="shared" si="384"/>
        <v/>
      </c>
      <c r="BF844" s="27" t="str">
        <f t="shared" si="385"/>
        <v/>
      </c>
      <c r="BG844" s="27" t="str">
        <f t="shared" si="386"/>
        <v/>
      </c>
      <c r="BH844" s="27" t="str">
        <f t="shared" si="387"/>
        <v/>
      </c>
      <c r="BI844" s="27" t="str">
        <f t="shared" si="388"/>
        <v/>
      </c>
      <c r="BJ844" s="27" t="str">
        <f t="shared" si="389"/>
        <v/>
      </c>
      <c r="BK844" s="27" t="str">
        <f t="shared" si="390"/>
        <v/>
      </c>
      <c r="BL844" s="27" t="str">
        <f t="shared" si="391"/>
        <v/>
      </c>
      <c r="BM844" s="21" t="s">
        <v>5581</v>
      </c>
    </row>
    <row r="845" spans="1:65" ht="15">
      <c r="A845" s="25" t="str">
        <f>IFERROR(INDEX('Hun Demand'!W:W,MATCH(O845,'Hun Demand'!A:A,0)),"")</f>
        <v/>
      </c>
      <c r="B845" s="25" t="str">
        <f>IFERROR(INDEX('Hun Demand'!V:V,MATCH(O845,'Hun Demand'!A:A,0)),"")</f>
        <v/>
      </c>
      <c r="C845" s="25" t="str">
        <f>IFERROR(INDEX('Hun Demand'!U:U,MATCH(O845,'Hun Demand'!A:A,0)),"")</f>
        <v/>
      </c>
      <c r="D845" s="25" t="str">
        <f>IFERROR(INDEX('Hun Demand'!T:T,MATCH(O845,'Hun Demand'!A:A,0)),"")</f>
        <v/>
      </c>
      <c r="E845" s="25" t="str">
        <f>IFERROR(INDEX('Hun Demand'!S:S,MATCH(O845,'Hun Demand'!A:A,0)),"")</f>
        <v/>
      </c>
      <c r="F845" s="25" t="str">
        <f>IFERROR(INDEX('Hun Demand'!R:R,MATCH(O845,'Hun Demand'!A:A,0)),"")</f>
        <v/>
      </c>
      <c r="G845" s="25">
        <f>IFERROR(INDEX('Aub Demand'!W:W,MATCH(O845,'Aub Demand'!A:A,0)),"")</f>
        <v>0</v>
      </c>
      <c r="H845" s="25">
        <f>IFERROR(INDEX('Aub Demand'!V:V,MATCH(O845,'Aub Demand'!A:A,0)),"")</f>
        <v>0</v>
      </c>
      <c r="I845" s="25">
        <f>IFERROR(INDEX('Aub Demand'!U:U,MATCH(O845,'Aub Demand'!A:A,0)),"")</f>
        <v>0</v>
      </c>
      <c r="J845" s="25">
        <f>IFERROR(INDEX('Aub Demand'!T:T,MATCH(O845,'Aub Demand'!A:A,0)),"")</f>
        <v>94</v>
      </c>
      <c r="K845" s="25">
        <f>IFERROR(INDEX('Aub Demand'!S:S,MATCH(O845,'Aub Demand'!A:A,0)),"")</f>
        <v>0</v>
      </c>
      <c r="L845" s="25">
        <f>IFERROR(INDEX('Aub Demand'!R:R,MATCH(O845,'Aub Demand'!A:A,0)),"")</f>
        <v>0</v>
      </c>
      <c r="O845" s="27" t="s">
        <v>5938</v>
      </c>
      <c r="P845" s="27" t="str">
        <f>IFERROR(INDEX('Aub Demand'!B:B,MATCH($O845,'Aub Demand'!$A:$A,0)),"")</f>
        <v>SPERANZA</v>
      </c>
      <c r="Q845" s="27" t="str">
        <f>IFERROR(INDEX('Aub Demand'!C:C,MATCH($O845,'Aub Demand'!$A:$A,0)),"")</f>
        <v>IMPRE</v>
      </c>
      <c r="R845" s="52">
        <f>IFERROR(IF(AR846=AR845,INDEX('Aub Demand'!K:K,MATCH($O845,'Aub Demand'!$A:$A,0))-IF(AN845="",0,AN845)+AP846,INDEX('Aub Demand'!K:K,MATCH($O845,'Aub Demand'!$A:$A,0))-IF(AN845="",0,AN845)),"")</f>
        <v>50</v>
      </c>
      <c r="S845" s="53">
        <f t="shared" si="364"/>
        <v>6.9</v>
      </c>
      <c r="T845" s="52" t="str">
        <f t="shared" si="365"/>
        <v/>
      </c>
      <c r="U845" s="52">
        <f>IFERROR(IF(AR846=AR845,INDEX('Aub Demand'!Q:Q,MATCH($O845,'Aub Demand'!$A:$A,0))-IF(AN845="",0,AN845)+AP846,INDEX('Aub Demand'!Q:Q,MATCH($O845,'Aub Demand'!$A:$A,0))-IF(AN845="",0,AN845)),"")</f>
        <v>50</v>
      </c>
      <c r="V845" s="53">
        <f t="shared" si="366"/>
        <v>6.9</v>
      </c>
      <c r="W845" s="52" t="str">
        <f t="shared" si="367"/>
        <v/>
      </c>
      <c r="X845" s="52">
        <f>IFERROR(IF(AND(AR846=AR845,AM845&lt;&gt;""),INDEX('Aub Demand'!Q:Q,MATCH($O845,'Aub Demand'!$A:$A,0))-IF(AN845="",0,AN845)+AP846+AD845+AL845,IF(AR846=AR845,INDEX('Aub Demand'!Q:Q,MATCH($O845,'Aub Demand'!$A:$A,0))-IF(AN845="",0,AN845)+AP846+AD845,IF(AM845&lt;&gt;"",INDEX('Aub Demand'!Q:Q,MATCH($O845,'Aub Demand'!$A:$A,0))-IF(AN845="",0,AN845)+AD845+AL845,INDEX('Aub Demand'!Q:Q,MATCH($O845,'Aub Demand'!$A:$A,0))-IF(AN845="",0,AN845)+AD845))),"")</f>
        <v>50</v>
      </c>
      <c r="Y845" s="53">
        <f t="shared" si="368"/>
        <v>6.9</v>
      </c>
      <c r="Z845" s="52">
        <f>IF(L845="","",INDEX('Aub Demand'!H:H,MATCH($O845,'Aub Demand'!$A:$A,0)))</f>
        <v>31</v>
      </c>
      <c r="AA845" s="52" t="str">
        <f t="shared" si="369"/>
        <v>-spike-</v>
      </c>
      <c r="AB845" s="52">
        <f>IFERROR(INDEX('Aub Demand'!L:L,MATCH($O845,'Aub Demand'!$A:$A,0)),"")</f>
        <v>0</v>
      </c>
      <c r="AC845" s="52">
        <f>IFERROR(IF(O845="","",SUMIFS('CPL Mats'!F:F,'CPL Mats'!Q:Q,AR845,'CPL Mats'!S:S,AS845)),"")</f>
        <v>0</v>
      </c>
      <c r="AF845" s="25" t="str">
        <f>IF(SUMIFS('Supp Consol'!S:S,'Supp Consol'!Y:Y,"Releasable",'Supp Consol'!A:A,O845)=0,"",SUMIFS('Supp Consol'!S:S,'Supp Consol'!Y:Y,"Releasable",'Supp Consol'!A:A,O845))</f>
        <v/>
      </c>
      <c r="AG845" s="25" t="str">
        <f>IFERROR(INDEX('Hun Demand'!Q:Q,MATCH(O845,'Hun Demand'!A:A,0)),"")</f>
        <v/>
      </c>
      <c r="AH845" s="25" t="str">
        <f>IFERROR(INDEX('Hun Demand'!H:H,MATCH($O845,'Hun Demand'!$A:$A,0)),"")</f>
        <v/>
      </c>
      <c r="AI845" s="25" t="str">
        <f>IF(SUMIFS('Supp Consol'!AA:AA,'Supp Consol'!Z:Z,"Expires this month",'Supp Consol'!A:A,O845)=0,"",SUMIFS('Supp Consol'!AA:AA,'Supp Consol'!Z:Z,"Expires this month",'Supp Consol'!A:A,O845))</f>
        <v/>
      </c>
      <c r="AJ845" s="25" t="str">
        <f>IF(SUMIFS('Supp Consol'!AA:AA,'Supp Consol'!Z:Z,"Expired Previous Months",'Supp Consol'!A:A,O845)=0,"",SUMIFS('Supp Consol'!AA:AA,'Supp Consol'!Z:Z,"Expired Previous Months",'Supp Consol'!A:A,O845))</f>
        <v/>
      </c>
      <c r="AK845" s="25" t="str">
        <f>IFERROR(INDEX('Hun Release Current'!B:B,MATCH(O845,'Hun Release Current'!A:A,0)),"")</f>
        <v/>
      </c>
      <c r="AL845" s="25" t="str">
        <f>IF(SUMIF('Prev Aub'!A:A,O845,'Prev Aub'!B:B)=0,"",SUMIF('Prev Aub'!A:A,O845,'Prev Aub'!B:B))</f>
        <v/>
      </c>
      <c r="AN845" s="25" t="s">
        <v>3790</v>
      </c>
      <c r="AO845" s="25" t="s">
        <v>3790</v>
      </c>
      <c r="AP845" s="25">
        <f t="shared" si="370"/>
        <v>0</v>
      </c>
      <c r="AQ845" s="151" t="str">
        <f>IF(SUMIFS('Supp Consol'!S:S,'Supp Consol'!A:A,O845,'Supp Consol'!I:I,"PENDING")=0,"",SUMIFS('Supp Consol'!S:S,'Supp Consol'!A:A,O845,'Supp Consol'!I:I,"PENDING"))</f>
        <v/>
      </c>
      <c r="AR845" s="27" t="str">
        <f t="shared" si="371"/>
        <v>MW545</v>
      </c>
      <c r="AS845" s="27" t="str">
        <f t="shared" si="372"/>
        <v>50</v>
      </c>
      <c r="AT845" s="27" t="str">
        <f t="shared" si="373"/>
        <v/>
      </c>
      <c r="AU845" s="27" t="str">
        <f t="shared" si="374"/>
        <v/>
      </c>
      <c r="AV845" s="27" t="str">
        <f t="shared" si="375"/>
        <v/>
      </c>
      <c r="AW845" s="27" t="str">
        <f t="shared" si="376"/>
        <v/>
      </c>
      <c r="AX845" s="27" t="str">
        <f t="shared" si="377"/>
        <v/>
      </c>
      <c r="AY845" s="27" t="str">
        <f t="shared" si="378"/>
        <v/>
      </c>
      <c r="AZ845" s="27" t="str">
        <f t="shared" si="379"/>
        <v/>
      </c>
      <c r="BA845" s="27" t="str">
        <f t="shared" si="380"/>
        <v/>
      </c>
      <c r="BB845" s="27" t="str">
        <f t="shared" si="381"/>
        <v/>
      </c>
      <c r="BC845" s="27" t="str">
        <f t="shared" si="382"/>
        <v/>
      </c>
      <c r="BD845" s="27" t="str">
        <f t="shared" si="383"/>
        <v/>
      </c>
      <c r="BE845" s="27" t="str">
        <f t="shared" si="384"/>
        <v/>
      </c>
      <c r="BF845" s="27" t="str">
        <f t="shared" si="385"/>
        <v/>
      </c>
      <c r="BG845" s="27" t="str">
        <f t="shared" si="386"/>
        <v/>
      </c>
      <c r="BH845" s="27" t="str">
        <f t="shared" si="387"/>
        <v/>
      </c>
      <c r="BI845" s="27" t="str">
        <f t="shared" si="388"/>
        <v/>
      </c>
      <c r="BJ845" s="27" t="str">
        <f t="shared" si="389"/>
        <v/>
      </c>
      <c r="BK845" s="27" t="str">
        <f t="shared" si="390"/>
        <v/>
      </c>
      <c r="BL845" s="27" t="str">
        <f t="shared" si="391"/>
        <v/>
      </c>
      <c r="BM845" s="21" t="s">
        <v>3790</v>
      </c>
    </row>
    <row r="846" spans="1:65" ht="15">
      <c r="A846" s="25" t="str">
        <f>IFERROR(INDEX('Hun Demand'!W:W,MATCH(O846,'Hun Demand'!A:A,0)),"")</f>
        <v/>
      </c>
      <c r="B846" s="25" t="str">
        <f>IFERROR(INDEX('Hun Demand'!V:V,MATCH(O846,'Hun Demand'!A:A,0)),"")</f>
        <v/>
      </c>
      <c r="C846" s="25" t="str">
        <f>IFERROR(INDEX('Hun Demand'!U:U,MATCH(O846,'Hun Demand'!A:A,0)),"")</f>
        <v/>
      </c>
      <c r="D846" s="25" t="str">
        <f>IFERROR(INDEX('Hun Demand'!T:T,MATCH(O846,'Hun Demand'!A:A,0)),"")</f>
        <v/>
      </c>
      <c r="E846" s="25" t="str">
        <f>IFERROR(INDEX('Hun Demand'!S:S,MATCH(O846,'Hun Demand'!A:A,0)),"")</f>
        <v/>
      </c>
      <c r="F846" s="25" t="str">
        <f>IFERROR(INDEX('Hun Demand'!R:R,MATCH(O846,'Hun Demand'!A:A,0)),"")</f>
        <v/>
      </c>
      <c r="G846" s="25">
        <f>IFERROR(INDEX('Aub Demand'!W:W,MATCH(O846,'Aub Demand'!A:A,0)),"")</f>
        <v>0</v>
      </c>
      <c r="H846" s="25">
        <f>IFERROR(INDEX('Aub Demand'!V:V,MATCH(O846,'Aub Demand'!A:A,0)),"")</f>
        <v>0</v>
      </c>
      <c r="I846" s="25">
        <f>IFERROR(INDEX('Aub Demand'!U:U,MATCH(O846,'Aub Demand'!A:A,0)),"")</f>
        <v>0</v>
      </c>
      <c r="J846" s="25">
        <f>IFERROR(INDEX('Aub Demand'!T:T,MATCH(O846,'Aub Demand'!A:A,0)),"")</f>
        <v>0</v>
      </c>
      <c r="K846" s="25">
        <f>IFERROR(INDEX('Aub Demand'!S:S,MATCH(O846,'Aub Demand'!A:A,0)),"")</f>
        <v>0</v>
      </c>
      <c r="L846" s="25">
        <f>IFERROR(INDEX('Aub Demand'!R:R,MATCH(O846,'Aub Demand'!A:A,0)),"")</f>
        <v>0</v>
      </c>
      <c r="O846" s="27" t="s">
        <v>1253</v>
      </c>
      <c r="P846" s="27" t="str">
        <f>IFERROR(INDEX('Aub Demand'!B:B,MATCH($O846,'Aub Demand'!$A:$A,0)),"")</f>
        <v>SPERANZA</v>
      </c>
      <c r="Q846" s="27" t="str">
        <f>IFERROR(INDEX('Aub Demand'!C:C,MATCH($O846,'Aub Demand'!$A:$A,0)),"")</f>
        <v>IMPRE</v>
      </c>
      <c r="R846" s="52">
        <f>IFERROR(IF(AR847=AR846,INDEX('Aub Demand'!K:K,MATCH($O846,'Aub Demand'!$A:$A,0))-IF(AN846="",0,AN846)+AP847,INDEX('Aub Demand'!K:K,MATCH($O846,'Aub Demand'!$A:$A,0))-IF(AN846="",0,AN846)),"")</f>
        <v>2600</v>
      </c>
      <c r="S846" s="53" t="str">
        <f t="shared" si="364"/>
        <v>n/a</v>
      </c>
      <c r="T846" s="52" t="str">
        <f t="shared" si="365"/>
        <v/>
      </c>
      <c r="U846" s="52">
        <f>IFERROR(IF(AR847=AR846,INDEX('Aub Demand'!Q:Q,MATCH($O846,'Aub Demand'!$A:$A,0))-IF(AN846="",0,AN846)+AP847,INDEX('Aub Demand'!Q:Q,MATCH($O846,'Aub Demand'!$A:$A,0))-IF(AN846="",0,AN846)),"")</f>
        <v>2600</v>
      </c>
      <c r="V846" s="53" t="str">
        <f t="shared" si="366"/>
        <v>n/a</v>
      </c>
      <c r="W846" s="52" t="str">
        <f t="shared" si="367"/>
        <v/>
      </c>
      <c r="X846" s="52">
        <f>IFERROR(IF(AND(AR847=AR846,AM846&lt;&gt;""),INDEX('Aub Demand'!Q:Q,MATCH($O846,'Aub Demand'!$A:$A,0))-IF(AN846="",0,AN846)+AP847+AD846+AL846,IF(AR847=AR846,INDEX('Aub Demand'!Q:Q,MATCH($O846,'Aub Demand'!$A:$A,0))-IF(AN846="",0,AN846)+AP847+AD846,IF(AM846&lt;&gt;"",INDEX('Aub Demand'!Q:Q,MATCH($O846,'Aub Demand'!$A:$A,0))-IF(AN846="",0,AN846)+AD846+AL846,INDEX('Aub Demand'!Q:Q,MATCH($O846,'Aub Demand'!$A:$A,0))-IF(AN846="",0,AN846)+AD846))),"")</f>
        <v>2600</v>
      </c>
      <c r="Y846" s="53" t="str">
        <f t="shared" si="368"/>
        <v>n/a</v>
      </c>
      <c r="Z846" s="52">
        <f>IF(L846="","",INDEX('Aub Demand'!H:H,MATCH($O846,'Aub Demand'!$A:$A,0)))</f>
        <v>0</v>
      </c>
      <c r="AA846" s="52" t="str">
        <f t="shared" si="369"/>
        <v>-spike-</v>
      </c>
      <c r="AB846" s="52">
        <f>IFERROR(INDEX('Aub Demand'!L:L,MATCH($O846,'Aub Demand'!$A:$A,0)),"")</f>
        <v>0</v>
      </c>
      <c r="AC846" s="52">
        <f>IFERROR(IF(O846="","",SUMIFS('CPL Mats'!F:F,'CPL Mats'!Q:Q,AR846,'CPL Mats'!S:S,AS846)),"")</f>
        <v>0</v>
      </c>
      <c r="AF846" s="25" t="str">
        <f>IF(SUMIFS('Supp Consol'!S:S,'Supp Consol'!Y:Y,"Releasable",'Supp Consol'!A:A,O846)=0,"",SUMIFS('Supp Consol'!S:S,'Supp Consol'!Y:Y,"Releasable",'Supp Consol'!A:A,O846))</f>
        <v/>
      </c>
      <c r="AG846" s="25" t="str">
        <f>IFERROR(INDEX('Hun Demand'!Q:Q,MATCH(O846,'Hun Demand'!A:A,0)),"")</f>
        <v/>
      </c>
      <c r="AH846" s="25" t="str">
        <f>IFERROR(INDEX('Hun Demand'!H:H,MATCH($O846,'Hun Demand'!$A:$A,0)),"")</f>
        <v/>
      </c>
      <c r="AI846" s="25" t="str">
        <f>IF(SUMIFS('Supp Consol'!AA:AA,'Supp Consol'!Z:Z,"Expires this month",'Supp Consol'!A:A,O846)=0,"",SUMIFS('Supp Consol'!AA:AA,'Supp Consol'!Z:Z,"Expires this month",'Supp Consol'!A:A,O846))</f>
        <v/>
      </c>
      <c r="AJ846" s="25" t="str">
        <f>IF(SUMIFS('Supp Consol'!AA:AA,'Supp Consol'!Z:Z,"Expired Previous Months",'Supp Consol'!A:A,O846)=0,"",SUMIFS('Supp Consol'!AA:AA,'Supp Consol'!Z:Z,"Expired Previous Months",'Supp Consol'!A:A,O846))</f>
        <v/>
      </c>
      <c r="AK846" s="25" t="str">
        <f>IFERROR(INDEX('Hun Release Current'!B:B,MATCH(O846,'Hun Release Current'!A:A,0)),"")</f>
        <v/>
      </c>
      <c r="AL846" s="25" t="str">
        <f>IF(SUMIF('Prev Aub'!A:A,O846,'Prev Aub'!B:B)=0,"",SUMIF('Prev Aub'!A:A,O846,'Prev Aub'!B:B))</f>
        <v/>
      </c>
      <c r="AN846" s="25" t="s">
        <v>3790</v>
      </c>
      <c r="AO846" s="25" t="s">
        <v>3790</v>
      </c>
      <c r="AP846" s="25">
        <f t="shared" si="370"/>
        <v>0</v>
      </c>
      <c r="AQ846" s="151" t="str">
        <f>IF(SUMIFS('Supp Consol'!S:S,'Supp Consol'!A:A,O846,'Supp Consol'!I:I,"PENDING")=0,"",SUMIFS('Supp Consol'!S:S,'Supp Consol'!A:A,O846,'Supp Consol'!I:I,"PENDING"))</f>
        <v/>
      </c>
      <c r="AR846" s="27" t="str">
        <f t="shared" si="371"/>
        <v>MW545</v>
      </c>
      <c r="AS846" s="27" t="str">
        <f t="shared" si="372"/>
        <v>62</v>
      </c>
      <c r="AT846" s="27" t="str">
        <f t="shared" si="373"/>
        <v/>
      </c>
      <c r="AU846" s="27" t="str">
        <f t="shared" si="374"/>
        <v/>
      </c>
      <c r="AV846" s="27" t="str">
        <f t="shared" si="375"/>
        <v/>
      </c>
      <c r="AW846" s="27" t="str">
        <f t="shared" si="376"/>
        <v/>
      </c>
      <c r="AX846" s="27" t="str">
        <f t="shared" si="377"/>
        <v/>
      </c>
      <c r="AY846" s="27" t="str">
        <f t="shared" si="378"/>
        <v/>
      </c>
      <c r="AZ846" s="27" t="str">
        <f t="shared" si="379"/>
        <v/>
      </c>
      <c r="BA846" s="27" t="str">
        <f t="shared" si="380"/>
        <v/>
      </c>
      <c r="BB846" s="27" t="str">
        <f t="shared" si="381"/>
        <v/>
      </c>
      <c r="BC846" s="27" t="str">
        <f t="shared" si="382"/>
        <v/>
      </c>
      <c r="BD846" s="27" t="str">
        <f t="shared" si="383"/>
        <v/>
      </c>
      <c r="BE846" s="27" t="str">
        <f t="shared" si="384"/>
        <v/>
      </c>
      <c r="BF846" s="27" t="str">
        <f t="shared" si="385"/>
        <v/>
      </c>
      <c r="BG846" s="27" t="str">
        <f t="shared" si="386"/>
        <v/>
      </c>
      <c r="BH846" s="27" t="str">
        <f t="shared" si="387"/>
        <v/>
      </c>
      <c r="BI846" s="27" t="str">
        <f t="shared" si="388"/>
        <v/>
      </c>
      <c r="BJ846" s="27" t="str">
        <f t="shared" si="389"/>
        <v/>
      </c>
      <c r="BK846" s="27" t="str">
        <f t="shared" si="390"/>
        <v/>
      </c>
      <c r="BL846" s="27" t="str">
        <f t="shared" si="391"/>
        <v/>
      </c>
      <c r="BM846" s="21" t="s">
        <v>5581</v>
      </c>
    </row>
    <row r="847" spans="1:65" ht="15">
      <c r="A847" s="25" t="str">
        <f>IFERROR(INDEX('Hun Demand'!W:W,MATCH(O847,'Hun Demand'!A:A,0)),"")</f>
        <v/>
      </c>
      <c r="B847" s="25" t="str">
        <f>IFERROR(INDEX('Hun Demand'!V:V,MATCH(O847,'Hun Demand'!A:A,0)),"")</f>
        <v/>
      </c>
      <c r="C847" s="25" t="str">
        <f>IFERROR(INDEX('Hun Demand'!U:U,MATCH(O847,'Hun Demand'!A:A,0)),"")</f>
        <v/>
      </c>
      <c r="D847" s="25" t="str">
        <f>IFERROR(INDEX('Hun Demand'!T:T,MATCH(O847,'Hun Demand'!A:A,0)),"")</f>
        <v/>
      </c>
      <c r="E847" s="25" t="str">
        <f>IFERROR(INDEX('Hun Demand'!S:S,MATCH(O847,'Hun Demand'!A:A,0)),"")</f>
        <v/>
      </c>
      <c r="F847" s="25" t="str">
        <f>IFERROR(INDEX('Hun Demand'!R:R,MATCH(O847,'Hun Demand'!A:A,0)),"")</f>
        <v/>
      </c>
      <c r="G847" s="25">
        <f>IFERROR(INDEX('Aub Demand'!W:W,MATCH(O847,'Aub Demand'!A:A,0)),"")</f>
        <v>39</v>
      </c>
      <c r="H847" s="25">
        <f>IFERROR(INDEX('Aub Demand'!V:V,MATCH(O847,'Aub Demand'!A:A,0)),"")</f>
        <v>78</v>
      </c>
      <c r="I847" s="25">
        <f>IFERROR(INDEX('Aub Demand'!U:U,MATCH(O847,'Aub Demand'!A:A,0)),"")</f>
        <v>0</v>
      </c>
      <c r="J847" s="25">
        <f>IFERROR(INDEX('Aub Demand'!T:T,MATCH(O847,'Aub Demand'!A:A,0)),"")</f>
        <v>0</v>
      </c>
      <c r="K847" s="25">
        <f>IFERROR(INDEX('Aub Demand'!S:S,MATCH(O847,'Aub Demand'!A:A,0)),"")</f>
        <v>88</v>
      </c>
      <c r="L847" s="25">
        <f>IFERROR(INDEX('Aub Demand'!R:R,MATCH(O847,'Aub Demand'!A:A,0)),"")</f>
        <v>0</v>
      </c>
      <c r="O847" s="27" t="s">
        <v>1255</v>
      </c>
      <c r="P847" s="27" t="str">
        <f>IFERROR(INDEX('Aub Demand'!B:B,MATCH($O847,'Aub Demand'!$A:$A,0)),"")</f>
        <v>WHITE FIESTA</v>
      </c>
      <c r="Q847" s="27" t="str">
        <f>IFERROR(INDEX('Aub Demand'!C:C,MATCH($O847,'Aub Demand'!$A:$A,0)),"")</f>
        <v>SUDDE</v>
      </c>
      <c r="R847" s="52">
        <f>IFERROR(IF(AR848=AR847,INDEX('Aub Demand'!K:K,MATCH($O847,'Aub Demand'!$A:$A,0))-IF(AN847="",0,AN847)+AP848,INDEX('Aub Demand'!K:K,MATCH($O847,'Aub Demand'!$A:$A,0))-IF(AN847="",0,AN847)),"")</f>
        <v>40</v>
      </c>
      <c r="S847" s="53">
        <f t="shared" si="364"/>
        <v>5.9</v>
      </c>
      <c r="T847" s="52" t="str">
        <f t="shared" si="365"/>
        <v/>
      </c>
      <c r="U847" s="52">
        <f>IFERROR(IF(AR848=AR847,INDEX('Aub Demand'!Q:Q,MATCH($O847,'Aub Demand'!$A:$A,0))-IF(AN847="",0,AN847)+AP848,INDEX('Aub Demand'!Q:Q,MATCH($O847,'Aub Demand'!$A:$A,0))-IF(AN847="",0,AN847)),"")</f>
        <v>37</v>
      </c>
      <c r="V847" s="53">
        <f t="shared" si="366"/>
        <v>5.5</v>
      </c>
      <c r="W847" s="52" t="str">
        <f t="shared" si="367"/>
        <v/>
      </c>
      <c r="X847" s="52">
        <f>IFERROR(IF(AND(AR848=AR847,AM847&lt;&gt;""),INDEX('Aub Demand'!Q:Q,MATCH($O847,'Aub Demand'!$A:$A,0))-IF(AN847="",0,AN847)+AP848+AD847+AL847,IF(AR848=AR847,INDEX('Aub Demand'!Q:Q,MATCH($O847,'Aub Demand'!$A:$A,0))-IF(AN847="",0,AN847)+AP848+AD847,IF(AM847&lt;&gt;"",INDEX('Aub Demand'!Q:Q,MATCH($O847,'Aub Demand'!$A:$A,0))-IF(AN847="",0,AN847)+AD847+AL847,INDEX('Aub Demand'!Q:Q,MATCH($O847,'Aub Demand'!$A:$A,0))-IF(AN847="",0,AN847)+AD847))),"")</f>
        <v>37</v>
      </c>
      <c r="Y847" s="53">
        <f t="shared" si="368"/>
        <v>5.5</v>
      </c>
      <c r="Z847" s="52">
        <f>IF(L847="","",INDEX('Aub Demand'!H:H,MATCH($O847,'Aub Demand'!$A:$A,0)))</f>
        <v>29</v>
      </c>
      <c r="AA847" s="52" t="str">
        <f t="shared" si="369"/>
        <v>-spike-</v>
      </c>
      <c r="AB847" s="52">
        <f>IFERROR(INDEX('Aub Demand'!L:L,MATCH($O847,'Aub Demand'!$A:$A,0)),"")</f>
        <v>21</v>
      </c>
      <c r="AC847" s="52">
        <f>IFERROR(IF(O847="","",SUMIFS('CPL Mats'!F:F,'CPL Mats'!Q:Q,AR847,'CPL Mats'!S:S,AS847)),"")</f>
        <v>0</v>
      </c>
      <c r="AF847" s="25" t="str">
        <f>IF(SUMIFS('Supp Consol'!S:S,'Supp Consol'!Y:Y,"Releasable",'Supp Consol'!A:A,O847)=0,"",SUMIFS('Supp Consol'!S:S,'Supp Consol'!Y:Y,"Releasable",'Supp Consol'!A:A,O847))</f>
        <v/>
      </c>
      <c r="AG847" s="25" t="str">
        <f>IFERROR(INDEX('Hun Demand'!Q:Q,MATCH(O847,'Hun Demand'!A:A,0)),"")</f>
        <v/>
      </c>
      <c r="AH847" s="25" t="str">
        <f>IFERROR(INDEX('Hun Demand'!H:H,MATCH($O847,'Hun Demand'!$A:$A,0)),"")</f>
        <v/>
      </c>
      <c r="AI847" s="25" t="str">
        <f>IF(SUMIFS('Supp Consol'!AA:AA,'Supp Consol'!Z:Z,"Expires this month",'Supp Consol'!A:A,O847)=0,"",SUMIFS('Supp Consol'!AA:AA,'Supp Consol'!Z:Z,"Expires this month",'Supp Consol'!A:A,O847))</f>
        <v/>
      </c>
      <c r="AJ847" s="25" t="str">
        <f>IF(SUMIFS('Supp Consol'!AA:AA,'Supp Consol'!Z:Z,"Expired Previous Months",'Supp Consol'!A:A,O847)=0,"",SUMIFS('Supp Consol'!AA:AA,'Supp Consol'!Z:Z,"Expired Previous Months",'Supp Consol'!A:A,O847))</f>
        <v/>
      </c>
      <c r="AK847" s="25" t="str">
        <f>IFERROR(INDEX('Hun Release Current'!B:B,MATCH(O847,'Hun Release Current'!A:A,0)),"")</f>
        <v/>
      </c>
      <c r="AL847" s="25" t="str">
        <f>IF(SUMIF('Prev Aub'!A:A,O847,'Prev Aub'!B:B)=0,"",SUMIF('Prev Aub'!A:A,O847,'Prev Aub'!B:B))</f>
        <v/>
      </c>
      <c r="AN847" s="25" t="s">
        <v>3790</v>
      </c>
      <c r="AO847" s="25" t="s">
        <v>3790</v>
      </c>
      <c r="AP847" s="25">
        <f t="shared" si="370"/>
        <v>0</v>
      </c>
      <c r="AQ847" s="151" t="str">
        <f>IF(SUMIFS('Supp Consol'!S:S,'Supp Consol'!A:A,O847,'Supp Consol'!I:I,"PENDING")=0,"",SUMIFS('Supp Consol'!S:S,'Supp Consol'!A:A,O847,'Supp Consol'!I:I,"PENDING"))</f>
        <v/>
      </c>
      <c r="AR847" s="27" t="str">
        <f t="shared" si="371"/>
        <v>MW550</v>
      </c>
      <c r="AS847" s="27" t="str">
        <f t="shared" si="372"/>
        <v>50</v>
      </c>
      <c r="AT847" s="27" t="str">
        <f t="shared" si="373"/>
        <v/>
      </c>
      <c r="AU847" s="27" t="str">
        <f t="shared" si="374"/>
        <v/>
      </c>
      <c r="AV847" s="27" t="str">
        <f t="shared" si="375"/>
        <v/>
      </c>
      <c r="AW847" s="27" t="str">
        <f t="shared" si="376"/>
        <v/>
      </c>
      <c r="AX847" s="27" t="str">
        <f t="shared" si="377"/>
        <v/>
      </c>
      <c r="AY847" s="27" t="str">
        <f t="shared" si="378"/>
        <v/>
      </c>
      <c r="AZ847" s="27" t="str">
        <f t="shared" si="379"/>
        <v>Supp</v>
      </c>
      <c r="BA847" s="27" t="str">
        <f t="shared" si="380"/>
        <v/>
      </c>
      <c r="BB847" s="27" t="str">
        <f t="shared" si="381"/>
        <v/>
      </c>
      <c r="BC847" s="27" t="str">
        <f t="shared" si="382"/>
        <v/>
      </c>
      <c r="BD847" s="27" t="str">
        <f t="shared" si="383"/>
        <v/>
      </c>
      <c r="BE847" s="27" t="str">
        <f t="shared" si="384"/>
        <v/>
      </c>
      <c r="BF847" s="27" t="str">
        <f t="shared" si="385"/>
        <v/>
      </c>
      <c r="BG847" s="27" t="str">
        <f t="shared" si="386"/>
        <v/>
      </c>
      <c r="BH847" s="27" t="str">
        <f t="shared" si="387"/>
        <v/>
      </c>
      <c r="BI847" s="27" t="str">
        <f t="shared" si="388"/>
        <v/>
      </c>
      <c r="BJ847" s="27" t="str">
        <f t="shared" si="389"/>
        <v>Supp or Hun</v>
      </c>
      <c r="BK847" s="27" t="str">
        <f t="shared" si="390"/>
        <v/>
      </c>
      <c r="BL847" s="27" t="str">
        <f t="shared" si="391"/>
        <v/>
      </c>
      <c r="BM847" s="21" t="s">
        <v>5581</v>
      </c>
    </row>
    <row r="848" spans="1:65" ht="15">
      <c r="A848" s="25" t="str">
        <f>IFERROR(INDEX('Hun Demand'!W:W,MATCH(O848,'Hun Demand'!A:A,0)),"")</f>
        <v/>
      </c>
      <c r="B848" s="25" t="str">
        <f>IFERROR(INDEX('Hun Demand'!V:V,MATCH(O848,'Hun Demand'!A:A,0)),"")</f>
        <v/>
      </c>
      <c r="C848" s="25" t="str">
        <f>IFERROR(INDEX('Hun Demand'!U:U,MATCH(O848,'Hun Demand'!A:A,0)),"")</f>
        <v/>
      </c>
      <c r="D848" s="25" t="str">
        <f>IFERROR(INDEX('Hun Demand'!T:T,MATCH(O848,'Hun Demand'!A:A,0)),"")</f>
        <v/>
      </c>
      <c r="E848" s="25" t="str">
        <f>IFERROR(INDEX('Hun Demand'!S:S,MATCH(O848,'Hun Demand'!A:A,0)),"")</f>
        <v/>
      </c>
      <c r="F848" s="25" t="str">
        <f>IFERROR(INDEX('Hun Demand'!R:R,MATCH(O848,'Hun Demand'!A:A,0)),"")</f>
        <v/>
      </c>
      <c r="G848" s="25">
        <f>IFERROR(INDEX('Aub Demand'!W:W,MATCH(O848,'Aub Demand'!A:A,0)),"")</f>
        <v>69</v>
      </c>
      <c r="H848" s="25">
        <f>IFERROR(INDEX('Aub Demand'!V:V,MATCH(O848,'Aub Demand'!A:A,0)),"")</f>
        <v>0</v>
      </c>
      <c r="I848" s="25">
        <f>IFERROR(INDEX('Aub Demand'!U:U,MATCH(O848,'Aub Demand'!A:A,0)),"")</f>
        <v>101</v>
      </c>
      <c r="J848" s="25">
        <f>IFERROR(INDEX('Aub Demand'!T:T,MATCH(O848,'Aub Demand'!A:A,0)),"")</f>
        <v>115</v>
      </c>
      <c r="K848" s="25">
        <f>IFERROR(INDEX('Aub Demand'!S:S,MATCH(O848,'Aub Demand'!A:A,0)),"")</f>
        <v>98</v>
      </c>
      <c r="L848" s="25">
        <f>IFERROR(INDEX('Aub Demand'!R:R,MATCH(O848,'Aub Demand'!A:A,0)),"")</f>
        <v>0</v>
      </c>
      <c r="O848" s="27" t="s">
        <v>1257</v>
      </c>
      <c r="P848" s="27" t="str">
        <f>IFERROR(INDEX('Aub Demand'!B:B,MATCH($O848,'Aub Demand'!$A:$A,0)),"")</f>
        <v>WHITE FIESTA</v>
      </c>
      <c r="Q848" s="27" t="str">
        <f>IFERROR(INDEX('Aub Demand'!C:C,MATCH($O848,'Aub Demand'!$A:$A,0)),"")</f>
        <v>SUDDE</v>
      </c>
      <c r="R848" s="52">
        <f>IFERROR(IF(AR849=AR848,INDEX('Aub Demand'!K:K,MATCH($O848,'Aub Demand'!$A:$A,0))-IF(AN848="",0,AN848)+AP849,INDEX('Aub Demand'!K:K,MATCH($O848,'Aub Demand'!$A:$A,0))-IF(AN848="",0,AN848)),"")</f>
        <v>455</v>
      </c>
      <c r="S848" s="53">
        <f t="shared" si="364"/>
        <v>18.600000000000001</v>
      </c>
      <c r="T848" s="52" t="str">
        <f t="shared" si="365"/>
        <v/>
      </c>
      <c r="U848" s="52">
        <f>IFERROR(IF(AR849=AR848,INDEX('Aub Demand'!Q:Q,MATCH($O848,'Aub Demand'!$A:$A,0))-IF(AN848="",0,AN848)+AP849,INDEX('Aub Demand'!Q:Q,MATCH($O848,'Aub Demand'!$A:$A,0))-IF(AN848="",0,AN848)),"")</f>
        <v>415</v>
      </c>
      <c r="V848" s="53">
        <f t="shared" si="366"/>
        <v>16.899999999999999</v>
      </c>
      <c r="W848" s="52" t="str">
        <f t="shared" si="367"/>
        <v/>
      </c>
      <c r="X848" s="52">
        <f>IFERROR(IF(AND(AR849=AR848,AM848&lt;&gt;""),INDEX('Aub Demand'!Q:Q,MATCH($O848,'Aub Demand'!$A:$A,0))-IF(AN848="",0,AN848)+AP849+AD848+AL848,IF(AR849=AR848,INDEX('Aub Demand'!Q:Q,MATCH($O848,'Aub Demand'!$A:$A,0))-IF(AN848="",0,AN848)+AP849+AD848,IF(AM848&lt;&gt;"",INDEX('Aub Demand'!Q:Q,MATCH($O848,'Aub Demand'!$A:$A,0))-IF(AN848="",0,AN848)+AD848+AL848,INDEX('Aub Demand'!Q:Q,MATCH($O848,'Aub Demand'!$A:$A,0))-IF(AN848="",0,AN848)+AD848))),"")</f>
        <v>415</v>
      </c>
      <c r="Y848" s="53">
        <f t="shared" si="368"/>
        <v>16.899999999999999</v>
      </c>
      <c r="Z848" s="52">
        <f>IF(L848="","",INDEX('Aub Demand'!H:H,MATCH($O848,'Aub Demand'!$A:$A,0)))</f>
        <v>105</v>
      </c>
      <c r="AA848" s="52">
        <f t="shared" si="369"/>
        <v>108</v>
      </c>
      <c r="AB848" s="52">
        <f>IFERROR(INDEX('Aub Demand'!L:L,MATCH($O848,'Aub Demand'!$A:$A,0)),"")</f>
        <v>43</v>
      </c>
      <c r="AC848" s="52">
        <f>IFERROR(IF(O848="","",SUMIFS('CPL Mats'!F:F,'CPL Mats'!Q:Q,AR848,'CPL Mats'!S:S,AS848)),"")</f>
        <v>56.62</v>
      </c>
      <c r="AF848" s="25">
        <f>IF(SUMIFS('Supp Consol'!S:S,'Supp Consol'!Y:Y,"Releasable",'Supp Consol'!A:A,O848)=0,"",SUMIFS('Supp Consol'!S:S,'Supp Consol'!Y:Y,"Releasable",'Supp Consol'!A:A,O848))</f>
        <v>2408</v>
      </c>
      <c r="AG848" s="25" t="str">
        <f>IFERROR(INDEX('Hun Demand'!Q:Q,MATCH(O848,'Hun Demand'!A:A,0)),"")</f>
        <v/>
      </c>
      <c r="AH848" s="25" t="str">
        <f>IFERROR(INDEX('Hun Demand'!H:H,MATCH($O848,'Hun Demand'!$A:$A,0)),"")</f>
        <v/>
      </c>
      <c r="AI848" s="25" t="str">
        <f>IF(SUMIFS('Supp Consol'!AA:AA,'Supp Consol'!Z:Z,"Expires this month",'Supp Consol'!A:A,O848)=0,"",SUMIFS('Supp Consol'!AA:AA,'Supp Consol'!Z:Z,"Expires this month",'Supp Consol'!A:A,O848))</f>
        <v/>
      </c>
      <c r="AJ848" s="25" t="str">
        <f>IF(SUMIFS('Supp Consol'!AA:AA,'Supp Consol'!Z:Z,"Expired Previous Months",'Supp Consol'!A:A,O848)=0,"",SUMIFS('Supp Consol'!AA:AA,'Supp Consol'!Z:Z,"Expired Previous Months",'Supp Consol'!A:A,O848))</f>
        <v/>
      </c>
      <c r="AK848" s="25" t="str">
        <f>IFERROR(INDEX('Hun Release Current'!B:B,MATCH(O848,'Hun Release Current'!A:A,0)),"")</f>
        <v/>
      </c>
      <c r="AL848" s="25" t="str">
        <f>IF(SUMIF('Prev Aub'!A:A,O848,'Prev Aub'!B:B)=0,"",SUMIF('Prev Aub'!A:A,O848,'Prev Aub'!B:B))</f>
        <v/>
      </c>
      <c r="AN848" s="25">
        <v>50</v>
      </c>
      <c r="AO848" s="25" t="s">
        <v>3790</v>
      </c>
      <c r="AP848" s="25">
        <f t="shared" si="370"/>
        <v>40</v>
      </c>
      <c r="AQ848" s="151" t="str">
        <f>IF(SUMIFS('Supp Consol'!S:S,'Supp Consol'!A:A,O848,'Supp Consol'!I:I,"PENDING")=0,"",SUMIFS('Supp Consol'!S:S,'Supp Consol'!A:A,O848,'Supp Consol'!I:I,"PENDING"))</f>
        <v/>
      </c>
      <c r="AR848" s="27" t="str">
        <f t="shared" si="371"/>
        <v>MW550</v>
      </c>
      <c r="AS848" s="27" t="str">
        <f t="shared" si="372"/>
        <v>62</v>
      </c>
      <c r="AT848" s="27" t="str">
        <f t="shared" si="373"/>
        <v/>
      </c>
      <c r="AU848" s="27" t="str">
        <f t="shared" si="374"/>
        <v/>
      </c>
      <c r="AV848" s="27" t="str">
        <f t="shared" si="375"/>
        <v/>
      </c>
      <c r="AW848" s="27" t="str">
        <f t="shared" si="376"/>
        <v/>
      </c>
      <c r="AX848" s="27" t="str">
        <f t="shared" si="377"/>
        <v>MW550</v>
      </c>
      <c r="AY848" s="27" t="str">
        <f t="shared" si="378"/>
        <v/>
      </c>
      <c r="AZ848" s="27" t="str">
        <f t="shared" si="379"/>
        <v>Supp</v>
      </c>
      <c r="BA848" s="27" t="str">
        <f t="shared" si="380"/>
        <v/>
      </c>
      <c r="BB848" s="27" t="str">
        <f t="shared" si="381"/>
        <v/>
      </c>
      <c r="BC848" s="27" t="str">
        <f t="shared" si="382"/>
        <v/>
      </c>
      <c r="BD848" s="27" t="str">
        <f t="shared" si="383"/>
        <v/>
      </c>
      <c r="BE848" s="27" t="str">
        <f t="shared" si="384"/>
        <v/>
      </c>
      <c r="BF848" s="27" t="str">
        <f t="shared" si="385"/>
        <v/>
      </c>
      <c r="BG848" s="27" t="str">
        <f t="shared" si="386"/>
        <v/>
      </c>
      <c r="BH848" s="27" t="str">
        <f t="shared" si="387"/>
        <v/>
      </c>
      <c r="BI848" s="27" t="str">
        <f t="shared" si="388"/>
        <v/>
      </c>
      <c r="BJ848" s="27" t="str">
        <f t="shared" si="389"/>
        <v>Supp or Hun</v>
      </c>
      <c r="BK848" s="27" t="str">
        <f t="shared" si="390"/>
        <v/>
      </c>
      <c r="BL848" s="27" t="str">
        <f t="shared" si="391"/>
        <v/>
      </c>
      <c r="BM848" s="21" t="s">
        <v>5581</v>
      </c>
    </row>
    <row r="849" spans="1:65" ht="15">
      <c r="A849" s="25" t="str">
        <f>IFERROR(INDEX('Hun Demand'!W:W,MATCH(O849,'Hun Demand'!A:A,0)),"")</f>
        <v/>
      </c>
      <c r="B849" s="25" t="str">
        <f>IFERROR(INDEX('Hun Demand'!V:V,MATCH(O849,'Hun Demand'!A:A,0)),"")</f>
        <v/>
      </c>
      <c r="C849" s="25" t="str">
        <f>IFERROR(INDEX('Hun Demand'!U:U,MATCH(O849,'Hun Demand'!A:A,0)),"")</f>
        <v/>
      </c>
      <c r="D849" s="25" t="str">
        <f>IFERROR(INDEX('Hun Demand'!T:T,MATCH(O849,'Hun Demand'!A:A,0)),"")</f>
        <v/>
      </c>
      <c r="E849" s="25" t="str">
        <f>IFERROR(INDEX('Hun Demand'!S:S,MATCH(O849,'Hun Demand'!A:A,0)),"")</f>
        <v/>
      </c>
      <c r="F849" s="25" t="str">
        <f>IFERROR(INDEX('Hun Demand'!R:R,MATCH(O849,'Hun Demand'!A:A,0)),"")</f>
        <v/>
      </c>
      <c r="G849" s="25">
        <f>IFERROR(INDEX('Aub Demand'!W:W,MATCH(O849,'Aub Demand'!A:A,0)),"")</f>
        <v>114</v>
      </c>
      <c r="H849" s="25">
        <f>IFERROR(INDEX('Aub Demand'!V:V,MATCH(O849,'Aub Demand'!A:A,0)),"")</f>
        <v>0</v>
      </c>
      <c r="I849" s="25">
        <f>IFERROR(INDEX('Aub Demand'!U:U,MATCH(O849,'Aub Demand'!A:A,0)),"")</f>
        <v>0</v>
      </c>
      <c r="J849" s="25">
        <f>IFERROR(INDEX('Aub Demand'!T:T,MATCH(O849,'Aub Demand'!A:A,0)),"")</f>
        <v>37</v>
      </c>
      <c r="K849" s="25">
        <f>IFERROR(INDEX('Aub Demand'!S:S,MATCH(O849,'Aub Demand'!A:A,0)),"")</f>
        <v>0</v>
      </c>
      <c r="L849" s="25">
        <f>IFERROR(INDEX('Aub Demand'!R:R,MATCH(O849,'Aub Demand'!A:A,0)),"")</f>
        <v>0</v>
      </c>
      <c r="O849" s="27" t="s">
        <v>1258</v>
      </c>
      <c r="P849" s="27" t="str">
        <f>IFERROR(INDEX('Aub Demand'!B:B,MATCH($O849,'Aub Demand'!$A:$A,0)),"")</f>
        <v>POLAR CAP</v>
      </c>
      <c r="Q849" s="27" t="str">
        <f>IFERROR(INDEX('Aub Demand'!C:C,MATCH($O849,'Aub Demand'!$A:$A,0)),"")</f>
        <v>AHLST</v>
      </c>
      <c r="R849" s="52">
        <f>IFERROR(IF(AR850=AR849,INDEX('Aub Demand'!K:K,MATCH($O849,'Aub Demand'!$A:$A,0))-IF(AN849="",0,AN849)+AP850,INDEX('Aub Demand'!K:K,MATCH($O849,'Aub Demand'!$A:$A,0))-IF(AN849="",0,AN849)),"")</f>
        <v>287</v>
      </c>
      <c r="S849" s="53">
        <f t="shared" si="364"/>
        <v>102.5</v>
      </c>
      <c r="T849" s="52" t="str">
        <f t="shared" si="365"/>
        <v/>
      </c>
      <c r="U849" s="52">
        <f>IFERROR(IF(AR850=AR849,INDEX('Aub Demand'!Q:Q,MATCH($O849,'Aub Demand'!$A:$A,0))-IF(AN849="",0,AN849)+AP850,INDEX('Aub Demand'!Q:Q,MATCH($O849,'Aub Demand'!$A:$A,0))-IF(AN849="",0,AN849)),"")</f>
        <v>276</v>
      </c>
      <c r="V849" s="53">
        <f t="shared" si="366"/>
        <v>98.6</v>
      </c>
      <c r="W849" s="52" t="str">
        <f t="shared" si="367"/>
        <v/>
      </c>
      <c r="X849" s="52">
        <f>IFERROR(IF(AND(AR850=AR849,AM849&lt;&gt;""),INDEX('Aub Demand'!Q:Q,MATCH($O849,'Aub Demand'!$A:$A,0))-IF(AN849="",0,AN849)+AP850+AD849+AL849,IF(AR850=AR849,INDEX('Aub Demand'!Q:Q,MATCH($O849,'Aub Demand'!$A:$A,0))-IF(AN849="",0,AN849)+AP850+AD849,IF(AM849&lt;&gt;"",INDEX('Aub Demand'!Q:Q,MATCH($O849,'Aub Demand'!$A:$A,0))-IF(AN849="",0,AN849)+AD849+AL849,INDEX('Aub Demand'!Q:Q,MATCH($O849,'Aub Demand'!$A:$A,0))-IF(AN849="",0,AN849)+AD849))),"")</f>
        <v>276</v>
      </c>
      <c r="Y849" s="53">
        <f t="shared" si="368"/>
        <v>98.6</v>
      </c>
      <c r="Z849" s="52">
        <f>IF(L849="","",INDEX('Aub Demand'!H:H,MATCH($O849,'Aub Demand'!$A:$A,0)))</f>
        <v>12</v>
      </c>
      <c r="AA849" s="52" t="str">
        <f t="shared" si="369"/>
        <v>-spike-</v>
      </c>
      <c r="AB849" s="52">
        <f>IFERROR(INDEX('Aub Demand'!L:L,MATCH($O849,'Aub Demand'!$A:$A,0)),"")</f>
        <v>20</v>
      </c>
      <c r="AC849" s="52">
        <f>IFERROR(IF(O849="","",SUMIFS('CPL Mats'!F:F,'CPL Mats'!Q:Q,AR849,'CPL Mats'!S:S,AS849)),"")</f>
        <v>0</v>
      </c>
      <c r="AF849" s="25" t="str">
        <f>IF(SUMIFS('Supp Consol'!S:S,'Supp Consol'!Y:Y,"Releasable",'Supp Consol'!A:A,O849)=0,"",SUMIFS('Supp Consol'!S:S,'Supp Consol'!Y:Y,"Releasable",'Supp Consol'!A:A,O849))</f>
        <v/>
      </c>
      <c r="AG849" s="25" t="str">
        <f>IFERROR(INDEX('Hun Demand'!Q:Q,MATCH(O849,'Hun Demand'!A:A,0)),"")</f>
        <v/>
      </c>
      <c r="AH849" s="25" t="str">
        <f>IFERROR(INDEX('Hun Demand'!H:H,MATCH($O849,'Hun Demand'!$A:$A,0)),"")</f>
        <v/>
      </c>
      <c r="AI849" s="25" t="str">
        <f>IF(SUMIFS('Supp Consol'!AA:AA,'Supp Consol'!Z:Z,"Expires this month",'Supp Consol'!A:A,O849)=0,"",SUMIFS('Supp Consol'!AA:AA,'Supp Consol'!Z:Z,"Expires this month",'Supp Consol'!A:A,O849))</f>
        <v/>
      </c>
      <c r="AJ849" s="25" t="str">
        <f>IF(SUMIFS('Supp Consol'!AA:AA,'Supp Consol'!Z:Z,"Expired Previous Months",'Supp Consol'!A:A,O849)=0,"",SUMIFS('Supp Consol'!AA:AA,'Supp Consol'!Z:Z,"Expired Previous Months",'Supp Consol'!A:A,O849))</f>
        <v/>
      </c>
      <c r="AK849" s="25" t="str">
        <f>IFERROR(INDEX('Hun Release Current'!B:B,MATCH(O849,'Hun Release Current'!A:A,0)),"")</f>
        <v/>
      </c>
      <c r="AL849" s="25" t="str">
        <f>IF(SUMIF('Prev Aub'!A:A,O849,'Prev Aub'!B:B)=0,"",SUMIF('Prev Aub'!A:A,O849,'Prev Aub'!B:B))</f>
        <v/>
      </c>
      <c r="AN849" s="25" t="s">
        <v>3790</v>
      </c>
      <c r="AO849" s="25" t="s">
        <v>3790</v>
      </c>
      <c r="AP849" s="25">
        <f t="shared" si="370"/>
        <v>0</v>
      </c>
      <c r="AQ849" s="151" t="str">
        <f>IF(SUMIFS('Supp Consol'!S:S,'Supp Consol'!A:A,O849,'Supp Consol'!I:I,"PENDING")=0,"",SUMIFS('Supp Consol'!S:S,'Supp Consol'!A:A,O849,'Supp Consol'!I:I,"PENDING"))</f>
        <v/>
      </c>
      <c r="AR849" s="27" t="str">
        <f t="shared" si="371"/>
        <v>MW570</v>
      </c>
      <c r="AS849" s="27" t="str">
        <f t="shared" si="372"/>
        <v>50</v>
      </c>
      <c r="AT849" s="27" t="str">
        <f t="shared" si="373"/>
        <v/>
      </c>
      <c r="AU849" s="27" t="str">
        <f t="shared" si="374"/>
        <v/>
      </c>
      <c r="AV849" s="27" t="str">
        <f t="shared" si="375"/>
        <v/>
      </c>
      <c r="AW849" s="27" t="str">
        <f t="shared" si="376"/>
        <v/>
      </c>
      <c r="AX849" s="27" t="str">
        <f t="shared" si="377"/>
        <v/>
      </c>
      <c r="AY849" s="27" t="str">
        <f t="shared" si="378"/>
        <v/>
      </c>
      <c r="AZ849" s="27" t="str">
        <f t="shared" si="379"/>
        <v/>
      </c>
      <c r="BA849" s="27" t="str">
        <f t="shared" si="380"/>
        <v/>
      </c>
      <c r="BB849" s="27" t="str">
        <f t="shared" si="381"/>
        <v/>
      </c>
      <c r="BC849" s="27" t="str">
        <f t="shared" si="382"/>
        <v/>
      </c>
      <c r="BD849" s="27" t="str">
        <f t="shared" si="383"/>
        <v/>
      </c>
      <c r="BE849" s="27" t="str">
        <f t="shared" si="384"/>
        <v/>
      </c>
      <c r="BF849" s="27" t="str">
        <f t="shared" si="385"/>
        <v/>
      </c>
      <c r="BG849" s="27" t="str">
        <f t="shared" si="386"/>
        <v/>
      </c>
      <c r="BH849" s="27" t="str">
        <f t="shared" si="387"/>
        <v/>
      </c>
      <c r="BI849" s="27" t="str">
        <f t="shared" si="388"/>
        <v/>
      </c>
      <c r="BJ849" s="27" t="str">
        <f t="shared" si="389"/>
        <v/>
      </c>
      <c r="BK849" s="27" t="str">
        <f t="shared" si="390"/>
        <v/>
      </c>
      <c r="BL849" s="27" t="str">
        <f t="shared" si="391"/>
        <v/>
      </c>
      <c r="BM849" s="21" t="s">
        <v>5581</v>
      </c>
    </row>
    <row r="850" spans="1:65" ht="15">
      <c r="A850" s="25" t="str">
        <f>IFERROR(INDEX('Hun Demand'!W:W,MATCH(O850,'Hun Demand'!A:A,0)),"")</f>
        <v/>
      </c>
      <c r="B850" s="25" t="str">
        <f>IFERROR(INDEX('Hun Demand'!V:V,MATCH(O850,'Hun Demand'!A:A,0)),"")</f>
        <v/>
      </c>
      <c r="C850" s="25" t="str">
        <f>IFERROR(INDEX('Hun Demand'!U:U,MATCH(O850,'Hun Demand'!A:A,0)),"")</f>
        <v/>
      </c>
      <c r="D850" s="25" t="str">
        <f>IFERROR(INDEX('Hun Demand'!T:T,MATCH(O850,'Hun Demand'!A:A,0)),"")</f>
        <v/>
      </c>
      <c r="E850" s="25" t="str">
        <f>IFERROR(INDEX('Hun Demand'!S:S,MATCH(O850,'Hun Demand'!A:A,0)),"")</f>
        <v/>
      </c>
      <c r="F850" s="25" t="str">
        <f>IFERROR(INDEX('Hun Demand'!R:R,MATCH(O850,'Hun Demand'!A:A,0)),"")</f>
        <v/>
      </c>
      <c r="G850" s="25">
        <f>IFERROR(INDEX('Aub Demand'!W:W,MATCH(O850,'Aub Demand'!A:A,0)),"")</f>
        <v>0</v>
      </c>
      <c r="H850" s="25">
        <f>IFERROR(INDEX('Aub Demand'!V:V,MATCH(O850,'Aub Demand'!A:A,0)),"")</f>
        <v>55</v>
      </c>
      <c r="I850" s="25">
        <f>IFERROR(INDEX('Aub Demand'!U:U,MATCH(O850,'Aub Demand'!A:A,0)),"")</f>
        <v>63</v>
      </c>
      <c r="J850" s="25">
        <f>IFERROR(INDEX('Aub Demand'!T:T,MATCH(O850,'Aub Demand'!A:A,0)),"")</f>
        <v>227</v>
      </c>
      <c r="K850" s="25">
        <f>IFERROR(INDEX('Aub Demand'!S:S,MATCH(O850,'Aub Demand'!A:A,0)),"")</f>
        <v>129</v>
      </c>
      <c r="L850" s="25">
        <f>IFERROR(INDEX('Aub Demand'!R:R,MATCH(O850,'Aub Demand'!A:A,0)),"")</f>
        <v>0</v>
      </c>
      <c r="O850" s="27" t="s">
        <v>1260</v>
      </c>
      <c r="P850" s="27" t="str">
        <f>IFERROR(INDEX('Aub Demand'!B:B,MATCH($O850,'Aub Demand'!$A:$A,0)),"")</f>
        <v>POLAR CAP</v>
      </c>
      <c r="Q850" s="27" t="str">
        <f>IFERROR(INDEX('Aub Demand'!C:C,MATCH($O850,'Aub Demand'!$A:$A,0)),"")</f>
        <v>AHLST</v>
      </c>
      <c r="R850" s="52">
        <f>IFERROR(IF(AR851=AR850,INDEX('Aub Demand'!K:K,MATCH($O850,'Aub Demand'!$A:$A,0))-IF(AN850="",0,AN850)+AP851,INDEX('Aub Demand'!K:K,MATCH($O850,'Aub Demand'!$A:$A,0))-IF(AN850="",0,AN850)),"")</f>
        <v>2543</v>
      </c>
      <c r="S850" s="53">
        <f t="shared" si="364"/>
        <v>77.8</v>
      </c>
      <c r="T850" s="52" t="str">
        <f t="shared" si="365"/>
        <v/>
      </c>
      <c r="U850" s="52">
        <f>IFERROR(IF(AR851=AR850,INDEX('Aub Demand'!Q:Q,MATCH($O850,'Aub Demand'!$A:$A,0))-IF(AN850="",0,AN850)+AP851,INDEX('Aub Demand'!Q:Q,MATCH($O850,'Aub Demand'!$A:$A,0))-IF(AN850="",0,AN850)),"")</f>
        <v>2530</v>
      </c>
      <c r="V850" s="53">
        <f t="shared" si="366"/>
        <v>77.400000000000006</v>
      </c>
      <c r="W850" s="52" t="str">
        <f t="shared" si="367"/>
        <v/>
      </c>
      <c r="X850" s="52">
        <f>IFERROR(IF(AND(AR851=AR850,AM850&lt;&gt;""),INDEX('Aub Demand'!Q:Q,MATCH($O850,'Aub Demand'!$A:$A,0))-IF(AN850="",0,AN850)+AP851+AD850+AL850,IF(AR851=AR850,INDEX('Aub Demand'!Q:Q,MATCH($O850,'Aub Demand'!$A:$A,0))-IF(AN850="",0,AN850)+AP851+AD850,IF(AM850&lt;&gt;"",INDEX('Aub Demand'!Q:Q,MATCH($O850,'Aub Demand'!$A:$A,0))-IF(AN850="",0,AN850)+AD850+AL850,INDEX('Aub Demand'!Q:Q,MATCH($O850,'Aub Demand'!$A:$A,0))-IF(AN850="",0,AN850)+AD850))),"")</f>
        <v>2530</v>
      </c>
      <c r="Y850" s="53">
        <f t="shared" si="368"/>
        <v>77.400000000000006</v>
      </c>
      <c r="Z850" s="52">
        <f>IF(L850="","",INDEX('Aub Demand'!H:H,MATCH($O850,'Aub Demand'!$A:$A,0)))</f>
        <v>140</v>
      </c>
      <c r="AA850" s="52">
        <f t="shared" si="369"/>
        <v>178</v>
      </c>
      <c r="AB850" s="52">
        <f>IFERROR(INDEX('Aub Demand'!L:L,MATCH($O850,'Aub Demand'!$A:$A,0)),"")</f>
        <v>27</v>
      </c>
      <c r="AC850" s="52">
        <f>IFERROR(IF(O850="","",SUMIFS('CPL Mats'!F:F,'CPL Mats'!Q:Q,AR850,'CPL Mats'!S:S,AS850)),"")</f>
        <v>0</v>
      </c>
      <c r="AF850" s="25" t="str">
        <f>IF(SUMIFS('Supp Consol'!S:S,'Supp Consol'!Y:Y,"Releasable",'Supp Consol'!A:A,O850)=0,"",SUMIFS('Supp Consol'!S:S,'Supp Consol'!Y:Y,"Releasable",'Supp Consol'!A:A,O850))</f>
        <v/>
      </c>
      <c r="AG850" s="25" t="str">
        <f>IFERROR(INDEX('Hun Demand'!Q:Q,MATCH(O850,'Hun Demand'!A:A,0)),"")</f>
        <v/>
      </c>
      <c r="AH850" s="25" t="str">
        <f>IFERROR(INDEX('Hun Demand'!H:H,MATCH($O850,'Hun Demand'!$A:$A,0)),"")</f>
        <v/>
      </c>
      <c r="AI850" s="25" t="str">
        <f>IF(SUMIFS('Supp Consol'!AA:AA,'Supp Consol'!Z:Z,"Expires this month",'Supp Consol'!A:A,O850)=0,"",SUMIFS('Supp Consol'!AA:AA,'Supp Consol'!Z:Z,"Expires this month",'Supp Consol'!A:A,O850))</f>
        <v/>
      </c>
      <c r="AJ850" s="25" t="str">
        <f>IF(SUMIFS('Supp Consol'!AA:AA,'Supp Consol'!Z:Z,"Expired Previous Months",'Supp Consol'!A:A,O850)=0,"",SUMIFS('Supp Consol'!AA:AA,'Supp Consol'!Z:Z,"Expired Previous Months",'Supp Consol'!A:A,O850))</f>
        <v/>
      </c>
      <c r="AK850" s="25" t="str">
        <f>IFERROR(INDEX('Hun Release Current'!B:B,MATCH(O850,'Hun Release Current'!A:A,0)),"")</f>
        <v/>
      </c>
      <c r="AL850" s="25" t="str">
        <f>IF(SUMIF('Prev Aub'!A:A,O850,'Prev Aub'!B:B)=0,"",SUMIF('Prev Aub'!A:A,O850,'Prev Aub'!B:B))</f>
        <v/>
      </c>
      <c r="AN850" s="25" t="s">
        <v>3790</v>
      </c>
      <c r="AO850" s="25" t="s">
        <v>3790</v>
      </c>
      <c r="AP850" s="25">
        <f t="shared" si="370"/>
        <v>0</v>
      </c>
      <c r="AQ850" s="151" t="str">
        <f>IF(SUMIFS('Supp Consol'!S:S,'Supp Consol'!A:A,O850,'Supp Consol'!I:I,"PENDING")=0,"",SUMIFS('Supp Consol'!S:S,'Supp Consol'!A:A,O850,'Supp Consol'!I:I,"PENDING"))</f>
        <v/>
      </c>
      <c r="AR850" s="27" t="str">
        <f t="shared" si="371"/>
        <v>MW570</v>
      </c>
      <c r="AS850" s="27" t="str">
        <f t="shared" si="372"/>
        <v>62</v>
      </c>
      <c r="AT850" s="27" t="str">
        <f t="shared" si="373"/>
        <v/>
      </c>
      <c r="AU850" s="27" t="str">
        <f t="shared" si="374"/>
        <v/>
      </c>
      <c r="AV850" s="27" t="str">
        <f t="shared" si="375"/>
        <v/>
      </c>
      <c r="AW850" s="27" t="str">
        <f t="shared" si="376"/>
        <v/>
      </c>
      <c r="AX850" s="27" t="str">
        <f t="shared" si="377"/>
        <v/>
      </c>
      <c r="AY850" s="27" t="str">
        <f t="shared" si="378"/>
        <v/>
      </c>
      <c r="AZ850" s="27" t="str">
        <f t="shared" si="379"/>
        <v/>
      </c>
      <c r="BA850" s="27" t="str">
        <f t="shared" si="380"/>
        <v/>
      </c>
      <c r="BB850" s="27" t="str">
        <f t="shared" si="381"/>
        <v/>
      </c>
      <c r="BC850" s="27" t="str">
        <f t="shared" si="382"/>
        <v/>
      </c>
      <c r="BD850" s="27" t="str">
        <f t="shared" si="383"/>
        <v/>
      </c>
      <c r="BE850" s="27" t="str">
        <f t="shared" si="384"/>
        <v/>
      </c>
      <c r="BF850" s="27" t="str">
        <f t="shared" si="385"/>
        <v/>
      </c>
      <c r="BG850" s="27" t="str">
        <f t="shared" si="386"/>
        <v/>
      </c>
      <c r="BH850" s="27" t="str">
        <f t="shared" si="387"/>
        <v/>
      </c>
      <c r="BI850" s="27" t="str">
        <f t="shared" si="388"/>
        <v/>
      </c>
      <c r="BJ850" s="27" t="str">
        <f t="shared" si="389"/>
        <v/>
      </c>
      <c r="BK850" s="27" t="str">
        <f t="shared" si="390"/>
        <v/>
      </c>
      <c r="BL850" s="27" t="str">
        <f t="shared" si="391"/>
        <v/>
      </c>
      <c r="BM850" s="21" t="s">
        <v>5581</v>
      </c>
    </row>
    <row r="851" spans="1:65" ht="15">
      <c r="A851" s="25" t="str">
        <f>IFERROR(INDEX('Hun Demand'!W:W,MATCH(O851,'Hun Demand'!A:A,0)),"")</f>
        <v/>
      </c>
      <c r="B851" s="25" t="str">
        <f>IFERROR(INDEX('Hun Demand'!V:V,MATCH(O851,'Hun Demand'!A:A,0)),"")</f>
        <v/>
      </c>
      <c r="C851" s="25" t="str">
        <f>IFERROR(INDEX('Hun Demand'!U:U,MATCH(O851,'Hun Demand'!A:A,0)),"")</f>
        <v/>
      </c>
      <c r="D851" s="25" t="str">
        <f>IFERROR(INDEX('Hun Demand'!T:T,MATCH(O851,'Hun Demand'!A:A,0)),"")</f>
        <v/>
      </c>
      <c r="E851" s="25" t="str">
        <f>IFERROR(INDEX('Hun Demand'!S:S,MATCH(O851,'Hun Demand'!A:A,0)),"")</f>
        <v/>
      </c>
      <c r="F851" s="25" t="str">
        <f>IFERROR(INDEX('Hun Demand'!R:R,MATCH(O851,'Hun Demand'!A:A,0)),"")</f>
        <v/>
      </c>
      <c r="G851" s="25">
        <f>IFERROR(INDEX('Aub Demand'!W:W,MATCH(O851,'Aub Demand'!A:A,0)),"")</f>
        <v>18</v>
      </c>
      <c r="H851" s="25">
        <f>IFERROR(INDEX('Aub Demand'!V:V,MATCH(O851,'Aub Demand'!A:A,0)),"")</f>
        <v>0</v>
      </c>
      <c r="I851" s="25">
        <f>IFERROR(INDEX('Aub Demand'!U:U,MATCH(O851,'Aub Demand'!A:A,0)),"")</f>
        <v>9</v>
      </c>
      <c r="J851" s="25">
        <f>IFERROR(INDEX('Aub Demand'!T:T,MATCH(O851,'Aub Demand'!A:A,0)),"")</f>
        <v>0</v>
      </c>
      <c r="K851" s="25">
        <f>IFERROR(INDEX('Aub Demand'!S:S,MATCH(O851,'Aub Demand'!A:A,0)),"")</f>
        <v>17</v>
      </c>
      <c r="L851" s="25">
        <f>IFERROR(INDEX('Aub Demand'!R:R,MATCH(O851,'Aub Demand'!A:A,0)),"")</f>
        <v>9</v>
      </c>
      <c r="O851" s="27" t="s">
        <v>1261</v>
      </c>
      <c r="P851" s="27" t="str">
        <f>IFERROR(INDEX('Aub Demand'!B:B,MATCH($O851,'Aub Demand'!$A:$A,0)),"")</f>
        <v>CHALK IMPERIALE MARB</v>
      </c>
      <c r="Q851" s="27" t="str">
        <f>IFERROR(INDEX('Aub Demand'!C:C,MATCH($O851,'Aub Demand'!$A:$A,0)),"")</f>
        <v>IMPRE</v>
      </c>
      <c r="R851" s="52">
        <f>IFERROR(IF(AR852=AR851,INDEX('Aub Demand'!K:K,MATCH($O851,'Aub Demand'!$A:$A,0))-IF(AN851="",0,AN851)+AP852,INDEX('Aub Demand'!K:K,MATCH($O851,'Aub Demand'!$A:$A,0))-IF(AN851="",0,AN851)),"")</f>
        <v>0</v>
      </c>
      <c r="S851" s="53">
        <f t="shared" si="364"/>
        <v>0</v>
      </c>
      <c r="T851" s="52">
        <f t="shared" si="365"/>
        <v>9.75</v>
      </c>
      <c r="U851" s="52">
        <f>IFERROR(IF(AR852=AR851,INDEX('Aub Demand'!Q:Q,MATCH($O851,'Aub Demand'!$A:$A,0))-IF(AN851="",0,AN851)+AP852,INDEX('Aub Demand'!Q:Q,MATCH($O851,'Aub Demand'!$A:$A,0))-IF(AN851="",0,AN851)),"")</f>
        <v>-5</v>
      </c>
      <c r="V851" s="53">
        <f t="shared" si="366"/>
        <v>-2.4</v>
      </c>
      <c r="W851" s="52">
        <f t="shared" si="367"/>
        <v>17.55</v>
      </c>
      <c r="X851" s="52">
        <f>IFERROR(IF(AND(AR852=AR851,AM851&lt;&gt;""),INDEX('Aub Demand'!Q:Q,MATCH($O851,'Aub Demand'!$A:$A,0))-IF(AN851="",0,AN851)+AP852+AD851+AL851,IF(AR852=AR851,INDEX('Aub Demand'!Q:Q,MATCH($O851,'Aub Demand'!$A:$A,0))-IF(AN851="",0,AN851)+AP852+AD851,IF(AM851&lt;&gt;"",INDEX('Aub Demand'!Q:Q,MATCH($O851,'Aub Demand'!$A:$A,0))-IF(AN851="",0,AN851)+AD851+AL851,INDEX('Aub Demand'!Q:Q,MATCH($O851,'Aub Demand'!$A:$A,0))-IF(AN851="",0,AN851)+AD851))),"")</f>
        <v>-5</v>
      </c>
      <c r="Y851" s="53">
        <f t="shared" si="368"/>
        <v>-2.4</v>
      </c>
      <c r="Z851" s="52">
        <f>IF(L851="","",INDEX('Aub Demand'!H:H,MATCH($O851,'Aub Demand'!$A:$A,0)))</f>
        <v>9</v>
      </c>
      <c r="AA851" s="52">
        <f t="shared" si="369"/>
        <v>13</v>
      </c>
      <c r="AB851" s="52">
        <f>IFERROR(INDEX('Aub Demand'!L:L,MATCH($O851,'Aub Demand'!$A:$A,0)),"")</f>
        <v>9</v>
      </c>
      <c r="AC851" s="52">
        <f>IFERROR(IF(O851="","",SUMIFS('CPL Mats'!F:F,'CPL Mats'!Q:Q,AR851,'CPL Mats'!S:S,AS851)),"")</f>
        <v>0</v>
      </c>
      <c r="AF851" s="25" t="str">
        <f>IF(SUMIFS('Supp Consol'!S:S,'Supp Consol'!Y:Y,"Releasable",'Supp Consol'!A:A,O851)=0,"",SUMIFS('Supp Consol'!S:S,'Supp Consol'!Y:Y,"Releasable",'Supp Consol'!A:A,O851))</f>
        <v/>
      </c>
      <c r="AG851" s="25" t="str">
        <f>IFERROR(INDEX('Hun Demand'!Q:Q,MATCH(O851,'Hun Demand'!A:A,0)),"")</f>
        <v/>
      </c>
      <c r="AH851" s="25" t="str">
        <f>IFERROR(INDEX('Hun Demand'!H:H,MATCH($O851,'Hun Demand'!$A:$A,0)),"")</f>
        <v/>
      </c>
      <c r="AI851" s="25" t="str">
        <f>IF(SUMIFS('Supp Consol'!AA:AA,'Supp Consol'!Z:Z,"Expires this month",'Supp Consol'!A:A,O851)=0,"",SUMIFS('Supp Consol'!AA:AA,'Supp Consol'!Z:Z,"Expires this month",'Supp Consol'!A:A,O851))</f>
        <v/>
      </c>
      <c r="AJ851" s="25" t="str">
        <f>IF(SUMIFS('Supp Consol'!AA:AA,'Supp Consol'!Z:Z,"Expired Previous Months",'Supp Consol'!A:A,O851)=0,"",SUMIFS('Supp Consol'!AA:AA,'Supp Consol'!Z:Z,"Expired Previous Months",'Supp Consol'!A:A,O851))</f>
        <v/>
      </c>
      <c r="AK851" s="25" t="str">
        <f>IFERROR(INDEX('Hun Release Current'!B:B,MATCH(O851,'Hun Release Current'!A:A,0)),"")</f>
        <v/>
      </c>
      <c r="AL851" s="25" t="str">
        <f>IF(SUMIF('Prev Aub'!A:A,O851,'Prev Aub'!B:B)=0,"",SUMIF('Prev Aub'!A:A,O851,'Prev Aub'!B:B))</f>
        <v/>
      </c>
      <c r="AN851" s="25" t="s">
        <v>3790</v>
      </c>
      <c r="AO851" s="25" t="s">
        <v>3790</v>
      </c>
      <c r="AP851" s="25">
        <f t="shared" si="370"/>
        <v>0</v>
      </c>
      <c r="AQ851" s="151" t="str">
        <f>IF(SUMIFS('Supp Consol'!S:S,'Supp Consol'!A:A,O851,'Supp Consol'!I:I,"PENDING")=0,"",SUMIFS('Supp Consol'!S:S,'Supp Consol'!A:A,O851,'Supp Consol'!I:I,"PENDING"))</f>
        <v/>
      </c>
      <c r="AR851" s="27" t="str">
        <f t="shared" si="371"/>
        <v>MW575</v>
      </c>
      <c r="AS851" s="27" t="str">
        <f t="shared" si="372"/>
        <v>50</v>
      </c>
      <c r="AT851" s="27" t="str">
        <f t="shared" si="373"/>
        <v>MW575</v>
      </c>
      <c r="AU851" s="27" t="str">
        <f t="shared" si="374"/>
        <v>MW575</v>
      </c>
      <c r="AV851" s="27" t="str">
        <f t="shared" si="375"/>
        <v>MW575</v>
      </c>
      <c r="AW851" s="27" t="str">
        <f t="shared" si="376"/>
        <v/>
      </c>
      <c r="AX851" s="27" t="str">
        <f t="shared" si="377"/>
        <v/>
      </c>
      <c r="AY851" s="27" t="str">
        <f t="shared" si="378"/>
        <v/>
      </c>
      <c r="AZ851" s="27" t="str">
        <f t="shared" si="379"/>
        <v/>
      </c>
      <c r="BA851" s="27" t="str">
        <f t="shared" si="380"/>
        <v/>
      </c>
      <c r="BB851" s="27" t="str">
        <f t="shared" si="381"/>
        <v>Gross</v>
      </c>
      <c r="BC851" s="27" t="str">
        <f t="shared" si="382"/>
        <v>Net</v>
      </c>
      <c r="BD851" s="27" t="str">
        <f t="shared" si="383"/>
        <v>Net</v>
      </c>
      <c r="BE851" s="27" t="str">
        <f t="shared" si="384"/>
        <v/>
      </c>
      <c r="BF851" s="27" t="str">
        <f t="shared" si="385"/>
        <v/>
      </c>
      <c r="BG851" s="27" t="str">
        <f t="shared" si="386"/>
        <v/>
      </c>
      <c r="BH851" s="27" t="str">
        <f t="shared" si="387"/>
        <v/>
      </c>
      <c r="BI851" s="27" t="str">
        <f t="shared" si="388"/>
        <v/>
      </c>
      <c r="BJ851" s="27" t="str">
        <f t="shared" si="389"/>
        <v/>
      </c>
      <c r="BK851" s="27" t="str">
        <f t="shared" si="390"/>
        <v/>
      </c>
      <c r="BL851" s="27" t="str">
        <f t="shared" si="391"/>
        <v/>
      </c>
      <c r="BM851" s="21" t="s">
        <v>5581</v>
      </c>
    </row>
    <row r="852" spans="1:65" ht="15">
      <c r="A852" s="25" t="str">
        <f>IFERROR(INDEX('Hun Demand'!W:W,MATCH(O852,'Hun Demand'!A:A,0)),"")</f>
        <v/>
      </c>
      <c r="B852" s="25" t="str">
        <f>IFERROR(INDEX('Hun Demand'!V:V,MATCH(O852,'Hun Demand'!A:A,0)),"")</f>
        <v/>
      </c>
      <c r="C852" s="25" t="str">
        <f>IFERROR(INDEX('Hun Demand'!U:U,MATCH(O852,'Hun Demand'!A:A,0)),"")</f>
        <v/>
      </c>
      <c r="D852" s="25" t="str">
        <f>IFERROR(INDEX('Hun Demand'!T:T,MATCH(O852,'Hun Demand'!A:A,0)),"")</f>
        <v/>
      </c>
      <c r="E852" s="25" t="str">
        <f>IFERROR(INDEX('Hun Demand'!S:S,MATCH(O852,'Hun Demand'!A:A,0)),"")</f>
        <v/>
      </c>
      <c r="F852" s="25" t="str">
        <f>IFERROR(INDEX('Hun Demand'!R:R,MATCH(O852,'Hun Demand'!A:A,0)),"")</f>
        <v/>
      </c>
      <c r="G852" s="25">
        <f>IFERROR(INDEX('Aub Demand'!W:W,MATCH(O852,'Aub Demand'!A:A,0)),"")</f>
        <v>408</v>
      </c>
      <c r="H852" s="25">
        <f>IFERROR(INDEX('Aub Demand'!V:V,MATCH(O852,'Aub Demand'!A:A,0)),"")</f>
        <v>19</v>
      </c>
      <c r="I852" s="25">
        <f>IFERROR(INDEX('Aub Demand'!U:U,MATCH(O852,'Aub Demand'!A:A,0)),"")</f>
        <v>158</v>
      </c>
      <c r="J852" s="25">
        <f>IFERROR(INDEX('Aub Demand'!T:T,MATCH(O852,'Aub Demand'!A:A,0)),"")</f>
        <v>182</v>
      </c>
      <c r="K852" s="25">
        <f>IFERROR(INDEX('Aub Demand'!S:S,MATCH(O852,'Aub Demand'!A:A,0)),"")</f>
        <v>222</v>
      </c>
      <c r="L852" s="25">
        <f>IFERROR(INDEX('Aub Demand'!R:R,MATCH(O852,'Aub Demand'!A:A,0)),"")</f>
        <v>142</v>
      </c>
      <c r="O852" s="27" t="s">
        <v>1263</v>
      </c>
      <c r="P852" s="27" t="str">
        <f>IFERROR(INDEX('Aub Demand'!B:B,MATCH($O852,'Aub Demand'!$A:$A,0)),"")</f>
        <v>CHALK IMPERIALE MARB</v>
      </c>
      <c r="Q852" s="27" t="str">
        <f>IFERROR(INDEX('Aub Demand'!C:C,MATCH($O852,'Aub Demand'!$A:$A,0)),"")</f>
        <v>IMPRE</v>
      </c>
      <c r="R852" s="52">
        <f>IFERROR(IF(AR853=AR852,INDEX('Aub Demand'!K:K,MATCH($O852,'Aub Demand'!$A:$A,0))-IF(AN852="",0,AN852)+AP853,INDEX('Aub Demand'!K:K,MATCH($O852,'Aub Demand'!$A:$A,0))-IF(AN852="",0,AN852)),"")</f>
        <v>1697</v>
      </c>
      <c r="S852" s="53">
        <f t="shared" si="364"/>
        <v>38.9</v>
      </c>
      <c r="T852" s="52" t="str">
        <f t="shared" si="365"/>
        <v/>
      </c>
      <c r="U852" s="52">
        <f>IFERROR(IF(AR853=AR852,INDEX('Aub Demand'!Q:Q,MATCH($O852,'Aub Demand'!$A:$A,0))-IF(AN852="",0,AN852)+AP853,INDEX('Aub Demand'!Q:Q,MATCH($O852,'Aub Demand'!$A:$A,0))-IF(AN852="",0,AN852)),"")</f>
        <v>1610</v>
      </c>
      <c r="V852" s="53">
        <f t="shared" si="366"/>
        <v>36.9</v>
      </c>
      <c r="W852" s="52" t="str">
        <f t="shared" si="367"/>
        <v/>
      </c>
      <c r="X852" s="52">
        <f>IFERROR(IF(AND(AR853=AR852,AM852&lt;&gt;""),INDEX('Aub Demand'!Q:Q,MATCH($O852,'Aub Demand'!$A:$A,0))-IF(AN852="",0,AN852)+AP853+AD852+AL852,IF(AR853=AR852,INDEX('Aub Demand'!Q:Q,MATCH($O852,'Aub Demand'!$A:$A,0))-IF(AN852="",0,AN852)+AP853+AD852,IF(AM852&lt;&gt;"",INDEX('Aub Demand'!Q:Q,MATCH($O852,'Aub Demand'!$A:$A,0))-IF(AN852="",0,AN852)+AD852+AL852,INDEX('Aub Demand'!Q:Q,MATCH($O852,'Aub Demand'!$A:$A,0))-IF(AN852="",0,AN852)+AD852))),"")</f>
        <v>1610</v>
      </c>
      <c r="Y852" s="53">
        <f t="shared" si="368"/>
        <v>36.9</v>
      </c>
      <c r="Z852" s="52">
        <f>IF(L852="","",INDEX('Aub Demand'!H:H,MATCH($O852,'Aub Demand'!$A:$A,0)))</f>
        <v>187</v>
      </c>
      <c r="AA852" s="52">
        <f t="shared" si="369"/>
        <v>202</v>
      </c>
      <c r="AB852" s="52">
        <f>IFERROR(INDEX('Aub Demand'!L:L,MATCH($O852,'Aub Demand'!$A:$A,0)),"")</f>
        <v>145</v>
      </c>
      <c r="AC852" s="52">
        <f>IFERROR(IF(O852="","",SUMIFS('CPL Mats'!F:F,'CPL Mats'!Q:Q,AR852,'CPL Mats'!S:S,AS852)),"")</f>
        <v>0</v>
      </c>
      <c r="AF852" s="25" t="str">
        <f>IF(SUMIFS('Supp Consol'!S:S,'Supp Consol'!Y:Y,"Releasable",'Supp Consol'!A:A,O852)=0,"",SUMIFS('Supp Consol'!S:S,'Supp Consol'!Y:Y,"Releasable",'Supp Consol'!A:A,O852))</f>
        <v/>
      </c>
      <c r="AG852" s="25" t="str">
        <f>IFERROR(INDEX('Hun Demand'!Q:Q,MATCH(O852,'Hun Demand'!A:A,0)),"")</f>
        <v/>
      </c>
      <c r="AH852" s="25" t="str">
        <f>IFERROR(INDEX('Hun Demand'!H:H,MATCH($O852,'Hun Demand'!$A:$A,0)),"")</f>
        <v/>
      </c>
      <c r="AI852" s="25" t="str">
        <f>IF(SUMIFS('Supp Consol'!AA:AA,'Supp Consol'!Z:Z,"Expires this month",'Supp Consol'!A:A,O852)=0,"",SUMIFS('Supp Consol'!AA:AA,'Supp Consol'!Z:Z,"Expires this month",'Supp Consol'!A:A,O852))</f>
        <v/>
      </c>
      <c r="AJ852" s="25" t="str">
        <f>IF(SUMIFS('Supp Consol'!AA:AA,'Supp Consol'!Z:Z,"Expired Previous Months",'Supp Consol'!A:A,O852)=0,"",SUMIFS('Supp Consol'!AA:AA,'Supp Consol'!Z:Z,"Expired Previous Months",'Supp Consol'!A:A,O852))</f>
        <v/>
      </c>
      <c r="AK852" s="25" t="str">
        <f>IFERROR(INDEX('Hun Release Current'!B:B,MATCH(O852,'Hun Release Current'!A:A,0)),"")</f>
        <v/>
      </c>
      <c r="AL852" s="25" t="str">
        <f>IF(SUMIF('Prev Aub'!A:A,O852,'Prev Aub'!B:B)=0,"",SUMIF('Prev Aub'!A:A,O852,'Prev Aub'!B:B))</f>
        <v/>
      </c>
      <c r="AN852" s="25" t="s">
        <v>3790</v>
      </c>
      <c r="AO852" s="25" t="s">
        <v>3790</v>
      </c>
      <c r="AP852" s="25">
        <f t="shared" si="370"/>
        <v>0</v>
      </c>
      <c r="AQ852" s="151" t="str">
        <f>IF(SUMIFS('Supp Consol'!S:S,'Supp Consol'!A:A,O852,'Supp Consol'!I:I,"PENDING")=0,"",SUMIFS('Supp Consol'!S:S,'Supp Consol'!A:A,O852,'Supp Consol'!I:I,"PENDING"))</f>
        <v/>
      </c>
      <c r="AR852" s="27" t="str">
        <f t="shared" si="371"/>
        <v>MW575</v>
      </c>
      <c r="AS852" s="27" t="str">
        <f t="shared" si="372"/>
        <v>62</v>
      </c>
      <c r="AT852" s="27" t="str">
        <f t="shared" si="373"/>
        <v/>
      </c>
      <c r="AU852" s="27" t="str">
        <f t="shared" si="374"/>
        <v/>
      </c>
      <c r="AV852" s="27" t="str">
        <f t="shared" si="375"/>
        <v/>
      </c>
      <c r="AW852" s="27" t="str">
        <f t="shared" si="376"/>
        <v/>
      </c>
      <c r="AX852" s="27" t="str">
        <f t="shared" si="377"/>
        <v/>
      </c>
      <c r="AY852" s="27" t="str">
        <f t="shared" si="378"/>
        <v/>
      </c>
      <c r="AZ852" s="27" t="str">
        <f t="shared" si="379"/>
        <v/>
      </c>
      <c r="BA852" s="27" t="str">
        <f t="shared" si="380"/>
        <v/>
      </c>
      <c r="BB852" s="27" t="str">
        <f t="shared" si="381"/>
        <v>Gross</v>
      </c>
      <c r="BC852" s="27" t="str">
        <f t="shared" si="382"/>
        <v>Net</v>
      </c>
      <c r="BD852" s="27" t="str">
        <f t="shared" si="383"/>
        <v>Net</v>
      </c>
      <c r="BE852" s="27" t="str">
        <f t="shared" si="384"/>
        <v/>
      </c>
      <c r="BF852" s="27" t="str">
        <f t="shared" si="385"/>
        <v/>
      </c>
      <c r="BG852" s="27" t="str">
        <f t="shared" si="386"/>
        <v/>
      </c>
      <c r="BH852" s="27" t="str">
        <f t="shared" si="387"/>
        <v/>
      </c>
      <c r="BI852" s="27" t="str">
        <f t="shared" si="388"/>
        <v/>
      </c>
      <c r="BJ852" s="27" t="str">
        <f t="shared" si="389"/>
        <v/>
      </c>
      <c r="BK852" s="27" t="str">
        <f t="shared" si="390"/>
        <v/>
      </c>
      <c r="BL852" s="27" t="str">
        <f t="shared" si="391"/>
        <v/>
      </c>
      <c r="BM852" s="21" t="s">
        <v>5581</v>
      </c>
    </row>
    <row r="853" spans="1:65" ht="15">
      <c r="A853" s="25">
        <f>IFERROR(INDEX('Hun Demand'!W:W,MATCH(O853,'Hun Demand'!A:A,0)),"")</f>
        <v>4135</v>
      </c>
      <c r="B853" s="25">
        <f>IFERROR(INDEX('Hun Demand'!V:V,MATCH(O853,'Hun Demand'!A:A,0)),"")</f>
        <v>858</v>
      </c>
      <c r="C853" s="25">
        <f>IFERROR(INDEX('Hun Demand'!U:U,MATCH(O853,'Hun Demand'!A:A,0)),"")</f>
        <v>0</v>
      </c>
      <c r="D853" s="25">
        <f>IFERROR(INDEX('Hun Demand'!T:T,MATCH(O853,'Hun Demand'!A:A,0)),"")</f>
        <v>0</v>
      </c>
      <c r="E853" s="25">
        <f>IFERROR(INDEX('Hun Demand'!S:S,MATCH(O853,'Hun Demand'!A:A,0)),"")</f>
        <v>290</v>
      </c>
      <c r="F853" s="25">
        <f>IFERROR(INDEX('Hun Demand'!R:R,MATCH(O853,'Hun Demand'!A:A,0)),"")</f>
        <v>0</v>
      </c>
      <c r="G853" s="25">
        <f>IFERROR(INDEX('Aub Demand'!W:W,MATCH(O853,'Aub Demand'!A:A,0)),"")</f>
        <v>68</v>
      </c>
      <c r="H853" s="25">
        <f>IFERROR(INDEX('Aub Demand'!V:V,MATCH(O853,'Aub Demand'!A:A,0)),"")</f>
        <v>13</v>
      </c>
      <c r="I853" s="25">
        <f>IFERROR(INDEX('Aub Demand'!U:U,MATCH(O853,'Aub Demand'!A:A,0)),"")</f>
        <v>75</v>
      </c>
      <c r="J853" s="25">
        <f>IFERROR(INDEX('Aub Demand'!T:T,MATCH(O853,'Aub Demand'!A:A,0)),"")</f>
        <v>64</v>
      </c>
      <c r="K853" s="25">
        <f>IFERROR(INDEX('Aub Demand'!S:S,MATCH(O853,'Aub Demand'!A:A,0)),"")</f>
        <v>0</v>
      </c>
      <c r="L853" s="25">
        <f>IFERROR(INDEX('Aub Demand'!R:R,MATCH(O853,'Aub Demand'!A:A,0)),"")</f>
        <v>67</v>
      </c>
      <c r="O853" s="27" t="s">
        <v>2415</v>
      </c>
      <c r="P853" s="27" t="str">
        <f>IFERROR(INDEX('Aub Demand'!B:B,MATCH($O853,'Aub Demand'!$A:$A,0)),"")</f>
        <v>CALCUTTA MARBLE</v>
      </c>
      <c r="Q853" s="27" t="str">
        <f>IFERROR(INDEX('Aub Demand'!C:C,MATCH($O853,'Aub Demand'!$A:$A,0)),"")</f>
        <v>INTER</v>
      </c>
      <c r="R853" s="52">
        <f>IFERROR(IF(AR854=AR853,INDEX('Aub Demand'!K:K,MATCH($O853,'Aub Demand'!$A:$A,0))-IF(AN853="",0,AN853)+AP854,INDEX('Aub Demand'!K:K,MATCH($O853,'Aub Demand'!$A:$A,0))-IF(AN853="",0,AN853)),"")</f>
        <v>425</v>
      </c>
      <c r="S853" s="53">
        <f t="shared" si="364"/>
        <v>39.6</v>
      </c>
      <c r="T853" s="52" t="str">
        <f t="shared" si="365"/>
        <v/>
      </c>
      <c r="U853" s="52">
        <f>IFERROR(IF(AR854=AR853,INDEX('Aub Demand'!Q:Q,MATCH($O853,'Aub Demand'!$A:$A,0))-IF(AN853="",0,AN853)+AP854,INDEX('Aub Demand'!Q:Q,MATCH($O853,'Aub Demand'!$A:$A,0))-IF(AN853="",0,AN853)),"")</f>
        <v>377</v>
      </c>
      <c r="V853" s="53">
        <f t="shared" si="366"/>
        <v>35.1</v>
      </c>
      <c r="W853" s="52" t="str">
        <f t="shared" si="367"/>
        <v/>
      </c>
      <c r="X853" s="52">
        <f>IFERROR(IF(AND(AR854=AR853,AM853&lt;&gt;""),INDEX('Aub Demand'!Q:Q,MATCH($O853,'Aub Demand'!$A:$A,0))-IF(AN853="",0,AN853)+AP854+AD853+AL853,IF(AR854=AR853,INDEX('Aub Demand'!Q:Q,MATCH($O853,'Aub Demand'!$A:$A,0))-IF(AN853="",0,AN853)+AP854+AD853,IF(AM853&lt;&gt;"",INDEX('Aub Demand'!Q:Q,MATCH($O853,'Aub Demand'!$A:$A,0))-IF(AN853="",0,AN853)+AD853+AL853,INDEX('Aub Demand'!Q:Q,MATCH($O853,'Aub Demand'!$A:$A,0))-IF(AN853="",0,AN853)+AD853))),"")</f>
        <v>377</v>
      </c>
      <c r="Y853" s="53">
        <f t="shared" si="368"/>
        <v>35.1</v>
      </c>
      <c r="Z853" s="52">
        <f>IF(L853="","",INDEX('Aub Demand'!H:H,MATCH($O853,'Aub Demand'!$A:$A,0)))</f>
        <v>46</v>
      </c>
      <c r="AA853" s="52">
        <f t="shared" si="369"/>
        <v>71</v>
      </c>
      <c r="AB853" s="52">
        <f>IFERROR(INDEX('Aub Demand'!L:L,MATCH($O853,'Aub Demand'!$A:$A,0)),"")</f>
        <v>98</v>
      </c>
      <c r="AC853" s="52">
        <f>IFERROR(IF(O853="","",SUMIFS('CPL Mats'!F:F,'CPL Mats'!Q:Q,AR853,'CPL Mats'!S:S,AS853)),"")</f>
        <v>0</v>
      </c>
      <c r="AF853" s="25">
        <f>IF(SUMIFS('Supp Consol'!S:S,'Supp Consol'!Y:Y,"Releasable",'Supp Consol'!A:A,O853)=0,"",SUMIFS('Supp Consol'!S:S,'Supp Consol'!Y:Y,"Releasable",'Supp Consol'!A:A,O853))</f>
        <v>4085</v>
      </c>
      <c r="AG853" s="25">
        <f>IFERROR(INDEX('Hun Demand'!Q:Q,MATCH(O853,'Hun Demand'!A:A,0)),"")</f>
        <v>656</v>
      </c>
      <c r="AH853" s="25">
        <f>IFERROR(INDEX('Hun Demand'!H:H,MATCH($O853,'Hun Demand'!$A:$A,0)),"")</f>
        <v>97</v>
      </c>
      <c r="AI853" s="25" t="str">
        <f>IF(SUMIFS('Supp Consol'!AA:AA,'Supp Consol'!Z:Z,"Expires this month",'Supp Consol'!A:A,O853)=0,"",SUMIFS('Supp Consol'!AA:AA,'Supp Consol'!Z:Z,"Expires this month",'Supp Consol'!A:A,O853))</f>
        <v/>
      </c>
      <c r="AJ853" s="25" t="str">
        <f>IF(SUMIFS('Supp Consol'!AA:AA,'Supp Consol'!Z:Z,"Expired Previous Months",'Supp Consol'!A:A,O853)=0,"",SUMIFS('Supp Consol'!AA:AA,'Supp Consol'!Z:Z,"Expired Previous Months",'Supp Consol'!A:A,O853))</f>
        <v/>
      </c>
      <c r="AK853" s="25" t="str">
        <f>IFERROR(INDEX('Hun Release Current'!B:B,MATCH(O853,'Hun Release Current'!A:A,0)),"")</f>
        <v/>
      </c>
      <c r="AL853" s="25" t="str">
        <f>IF(SUMIF('Prev Aub'!A:A,O853,'Prev Aub'!B:B)=0,"",SUMIF('Prev Aub'!A:A,O853,'Prev Aub'!B:B))</f>
        <v/>
      </c>
      <c r="AN853" s="25" t="s">
        <v>3790</v>
      </c>
      <c r="AO853" s="25" t="s">
        <v>3790</v>
      </c>
      <c r="AP853" s="25">
        <f t="shared" si="370"/>
        <v>0</v>
      </c>
      <c r="AQ853" s="151" t="str">
        <f>IF(SUMIFS('Supp Consol'!S:S,'Supp Consol'!A:A,O853,'Supp Consol'!I:I,"PENDING")=0,"",SUMIFS('Supp Consol'!S:S,'Supp Consol'!A:A,O853,'Supp Consol'!I:I,"PENDING"))</f>
        <v/>
      </c>
      <c r="AR853" s="27" t="str">
        <f t="shared" si="371"/>
        <v>MW580</v>
      </c>
      <c r="AS853" s="27" t="str">
        <f t="shared" si="372"/>
        <v>50</v>
      </c>
      <c r="AT853" s="27" t="str">
        <f t="shared" si="373"/>
        <v/>
      </c>
      <c r="AU853" s="27" t="str">
        <f t="shared" si="374"/>
        <v/>
      </c>
      <c r="AV853" s="27" t="str">
        <f t="shared" si="375"/>
        <v/>
      </c>
      <c r="AW853" s="27" t="str">
        <f t="shared" si="376"/>
        <v/>
      </c>
      <c r="AX853" s="27" t="str">
        <f t="shared" si="377"/>
        <v>MW580</v>
      </c>
      <c r="AY853" s="27" t="str">
        <f t="shared" si="378"/>
        <v>MW580</v>
      </c>
      <c r="AZ853" s="27" t="str">
        <f t="shared" si="379"/>
        <v>Supp</v>
      </c>
      <c r="BA853" s="27" t="str">
        <f t="shared" si="380"/>
        <v>Hun</v>
      </c>
      <c r="BB853" s="27" t="str">
        <f t="shared" si="381"/>
        <v/>
      </c>
      <c r="BC853" s="27" t="str">
        <f t="shared" si="382"/>
        <v/>
      </c>
      <c r="BD853" s="27" t="str">
        <f t="shared" si="383"/>
        <v/>
      </c>
      <c r="BE853" s="27" t="str">
        <f t="shared" si="384"/>
        <v/>
      </c>
      <c r="BF853" s="27" t="str">
        <f t="shared" si="385"/>
        <v/>
      </c>
      <c r="BG853" s="27" t="str">
        <f t="shared" si="386"/>
        <v/>
      </c>
      <c r="BH853" s="27" t="str">
        <f t="shared" si="387"/>
        <v/>
      </c>
      <c r="BI853" s="27" t="str">
        <f t="shared" si="388"/>
        <v/>
      </c>
      <c r="BJ853" s="27" t="str">
        <f t="shared" si="389"/>
        <v>Supp or Hun</v>
      </c>
      <c r="BK853" s="27" t="str">
        <f t="shared" si="390"/>
        <v/>
      </c>
      <c r="BL853" s="27" t="str">
        <f t="shared" si="391"/>
        <v/>
      </c>
      <c r="BM853" s="21" t="s">
        <v>5581</v>
      </c>
    </row>
    <row r="854" spans="1:65" ht="15">
      <c r="A854" s="25">
        <f>IFERROR(INDEX('Hun Demand'!W:W,MATCH(O854,'Hun Demand'!A:A,0)),"")</f>
        <v>0</v>
      </c>
      <c r="B854" s="25">
        <f>IFERROR(INDEX('Hun Demand'!V:V,MATCH(O854,'Hun Demand'!A:A,0)),"")</f>
        <v>0</v>
      </c>
      <c r="C854" s="25">
        <f>IFERROR(INDEX('Hun Demand'!U:U,MATCH(O854,'Hun Demand'!A:A,0)),"")</f>
        <v>0</v>
      </c>
      <c r="D854" s="25">
        <f>IFERROR(INDEX('Hun Demand'!T:T,MATCH(O854,'Hun Demand'!A:A,0)),"")</f>
        <v>202</v>
      </c>
      <c r="E854" s="25">
        <f>IFERROR(INDEX('Hun Demand'!S:S,MATCH(O854,'Hun Demand'!A:A,0)),"")</f>
        <v>0</v>
      </c>
      <c r="F854" s="25">
        <f>IFERROR(INDEX('Hun Demand'!R:R,MATCH(O854,'Hun Demand'!A:A,0)),"")</f>
        <v>0</v>
      </c>
      <c r="G854" s="25">
        <f>IFERROR(INDEX('Aub Demand'!W:W,MATCH(O854,'Aub Demand'!A:A,0)),"")</f>
        <v>258</v>
      </c>
      <c r="H854" s="25">
        <f>IFERROR(INDEX('Aub Demand'!V:V,MATCH(O854,'Aub Demand'!A:A,0)),"")</f>
        <v>127</v>
      </c>
      <c r="I854" s="25">
        <f>IFERROR(INDEX('Aub Demand'!U:U,MATCH(O854,'Aub Demand'!A:A,0)),"")</f>
        <v>309</v>
      </c>
      <c r="J854" s="25">
        <f>IFERROR(INDEX('Aub Demand'!T:T,MATCH(O854,'Aub Demand'!A:A,0)),"")</f>
        <v>316</v>
      </c>
      <c r="K854" s="25">
        <f>IFERROR(INDEX('Aub Demand'!S:S,MATCH(O854,'Aub Demand'!A:A,0)),"")</f>
        <v>108</v>
      </c>
      <c r="L854" s="25">
        <f>IFERROR(INDEX('Aub Demand'!R:R,MATCH(O854,'Aub Demand'!A:A,0)),"")</f>
        <v>0</v>
      </c>
      <c r="O854" s="27" t="s">
        <v>2417</v>
      </c>
      <c r="P854" s="27" t="str">
        <f>IFERROR(INDEX('Aub Demand'!B:B,MATCH($O854,'Aub Demand'!$A:$A,0)),"")</f>
        <v>CALCUTTA MARBLE</v>
      </c>
      <c r="Q854" s="27" t="str">
        <f>IFERROR(INDEX('Aub Demand'!C:C,MATCH($O854,'Aub Demand'!$A:$A,0)),"")</f>
        <v>INTER</v>
      </c>
      <c r="R854" s="52">
        <f>IFERROR(IF(AR855=AR854,INDEX('Aub Demand'!K:K,MATCH($O854,'Aub Demand'!$A:$A,0))-IF(AN854="",0,AN854)+AP855,INDEX('Aub Demand'!K:K,MATCH($O854,'Aub Demand'!$A:$A,0))-IF(AN854="",0,AN854)),"")</f>
        <v>1057</v>
      </c>
      <c r="S854" s="53">
        <f t="shared" si="364"/>
        <v>18.600000000000001</v>
      </c>
      <c r="T854" s="52" t="str">
        <f t="shared" si="365"/>
        <v/>
      </c>
      <c r="U854" s="52">
        <f>IFERROR(IF(AR855=AR854,INDEX('Aub Demand'!Q:Q,MATCH($O854,'Aub Demand'!$A:$A,0))-IF(AN854="",0,AN854)+AP855,INDEX('Aub Demand'!Q:Q,MATCH($O854,'Aub Demand'!$A:$A,0))-IF(AN854="",0,AN854)),"")</f>
        <v>946</v>
      </c>
      <c r="V854" s="53">
        <f t="shared" si="366"/>
        <v>16.600000000000001</v>
      </c>
      <c r="W854" s="52" t="str">
        <f t="shared" si="367"/>
        <v/>
      </c>
      <c r="X854" s="52">
        <f>IFERROR(IF(AND(AR855=AR854,AM854&lt;&gt;""),INDEX('Aub Demand'!Q:Q,MATCH($O854,'Aub Demand'!$A:$A,0))-IF(AN854="",0,AN854)+AP855+AD854+AL854,IF(AR855=AR854,INDEX('Aub Demand'!Q:Q,MATCH($O854,'Aub Demand'!$A:$A,0))-IF(AN854="",0,AN854)+AP855+AD854,IF(AM854&lt;&gt;"",INDEX('Aub Demand'!Q:Q,MATCH($O854,'Aub Demand'!$A:$A,0))-IF(AN854="",0,AN854)+AD854+AL854,INDEX('Aub Demand'!Q:Q,MATCH($O854,'Aub Demand'!$A:$A,0))-IF(AN854="",0,AN854)+AD854))),"")</f>
        <v>946</v>
      </c>
      <c r="Y854" s="53">
        <f t="shared" si="368"/>
        <v>16.600000000000001</v>
      </c>
      <c r="Z854" s="52">
        <f>IF(L854="","",INDEX('Aub Demand'!H:H,MATCH($O854,'Aub Demand'!$A:$A,0)))</f>
        <v>244</v>
      </c>
      <c r="AA854" s="52">
        <f t="shared" si="369"/>
        <v>312.5</v>
      </c>
      <c r="AB854" s="52">
        <f>IFERROR(INDEX('Aub Demand'!L:L,MATCH($O854,'Aub Demand'!$A:$A,0)),"")</f>
        <v>40</v>
      </c>
      <c r="AC854" s="52">
        <f>IFERROR(IF(O854="","",SUMIFS('CPL Mats'!F:F,'CPL Mats'!Q:Q,AR854,'CPL Mats'!S:S,AS854)),"")</f>
        <v>0</v>
      </c>
      <c r="AF854" s="25" t="str">
        <f>IF(SUMIFS('Supp Consol'!S:S,'Supp Consol'!Y:Y,"Releasable",'Supp Consol'!A:A,O854)=0,"",SUMIFS('Supp Consol'!S:S,'Supp Consol'!Y:Y,"Releasable",'Supp Consol'!A:A,O854))</f>
        <v/>
      </c>
      <c r="AG854" s="25">
        <f>IFERROR(INDEX('Hun Demand'!Q:Q,MATCH(O854,'Hun Demand'!A:A,0)),"")</f>
        <v>0</v>
      </c>
      <c r="AH854" s="25">
        <f>IFERROR(INDEX('Hun Demand'!H:H,MATCH($O854,'Hun Demand'!$A:$A,0)),"")</f>
        <v>67</v>
      </c>
      <c r="AI854" s="25" t="str">
        <f>IF(SUMIFS('Supp Consol'!AA:AA,'Supp Consol'!Z:Z,"Expires this month",'Supp Consol'!A:A,O854)=0,"",SUMIFS('Supp Consol'!AA:AA,'Supp Consol'!Z:Z,"Expires this month",'Supp Consol'!A:A,O854))</f>
        <v/>
      </c>
      <c r="AJ854" s="25" t="str">
        <f>IF(SUMIFS('Supp Consol'!AA:AA,'Supp Consol'!Z:Z,"Expired Previous Months",'Supp Consol'!A:A,O854)=0,"",SUMIFS('Supp Consol'!AA:AA,'Supp Consol'!Z:Z,"Expired Previous Months",'Supp Consol'!A:A,O854))</f>
        <v/>
      </c>
      <c r="AK854" s="25" t="str">
        <f>IFERROR(INDEX('Hun Release Current'!B:B,MATCH(O854,'Hun Release Current'!A:A,0)),"")</f>
        <v/>
      </c>
      <c r="AL854" s="25" t="str">
        <f>IF(SUMIF('Prev Aub'!A:A,O854,'Prev Aub'!B:B)=0,"",SUMIF('Prev Aub'!A:A,O854,'Prev Aub'!B:B))</f>
        <v/>
      </c>
      <c r="AN854" s="25" t="s">
        <v>3790</v>
      </c>
      <c r="AO854" s="25" t="s">
        <v>3790</v>
      </c>
      <c r="AP854" s="25">
        <f t="shared" si="370"/>
        <v>0</v>
      </c>
      <c r="AQ854" s="151" t="str">
        <f>IF(SUMIFS('Supp Consol'!S:S,'Supp Consol'!A:A,O854,'Supp Consol'!I:I,"PENDING")=0,"",SUMIFS('Supp Consol'!S:S,'Supp Consol'!A:A,O854,'Supp Consol'!I:I,"PENDING"))</f>
        <v/>
      </c>
      <c r="AR854" s="27" t="str">
        <f t="shared" si="371"/>
        <v>MW580</v>
      </c>
      <c r="AS854" s="27" t="str">
        <f t="shared" si="372"/>
        <v>62</v>
      </c>
      <c r="AT854" s="27" t="str">
        <f t="shared" si="373"/>
        <v/>
      </c>
      <c r="AU854" s="27" t="str">
        <f t="shared" si="374"/>
        <v/>
      </c>
      <c r="AV854" s="27" t="str">
        <f t="shared" si="375"/>
        <v/>
      </c>
      <c r="AW854" s="27" t="str">
        <f t="shared" si="376"/>
        <v/>
      </c>
      <c r="AX854" s="27" t="str">
        <f t="shared" si="377"/>
        <v/>
      </c>
      <c r="AY854" s="27" t="str">
        <f t="shared" si="378"/>
        <v/>
      </c>
      <c r="AZ854" s="27" t="str">
        <f t="shared" si="379"/>
        <v>Supp</v>
      </c>
      <c r="BA854" s="27" t="str">
        <f t="shared" si="380"/>
        <v>Hun</v>
      </c>
      <c r="BB854" s="27" t="str">
        <f t="shared" si="381"/>
        <v/>
      </c>
      <c r="BC854" s="27" t="str">
        <f t="shared" si="382"/>
        <v/>
      </c>
      <c r="BD854" s="27" t="str">
        <f t="shared" si="383"/>
        <v/>
      </c>
      <c r="BE854" s="27" t="str">
        <f t="shared" si="384"/>
        <v/>
      </c>
      <c r="BF854" s="27" t="str">
        <f t="shared" si="385"/>
        <v/>
      </c>
      <c r="BG854" s="27" t="str">
        <f t="shared" si="386"/>
        <v/>
      </c>
      <c r="BH854" s="27" t="str">
        <f t="shared" si="387"/>
        <v/>
      </c>
      <c r="BI854" s="27" t="str">
        <f t="shared" si="388"/>
        <v/>
      </c>
      <c r="BJ854" s="27" t="str">
        <f t="shared" si="389"/>
        <v>Supp or Hun</v>
      </c>
      <c r="BK854" s="27" t="str">
        <f t="shared" si="390"/>
        <v/>
      </c>
      <c r="BL854" s="27" t="str">
        <f t="shared" si="391"/>
        <v/>
      </c>
      <c r="BM854" s="21" t="s">
        <v>5581</v>
      </c>
    </row>
    <row r="855" spans="1:65" ht="15">
      <c r="A855" s="25" t="str">
        <f>IFERROR(INDEX('Hun Demand'!W:W,MATCH(O855,'Hun Demand'!A:A,0)),"")</f>
        <v/>
      </c>
      <c r="B855" s="25" t="str">
        <f>IFERROR(INDEX('Hun Demand'!V:V,MATCH(O855,'Hun Demand'!A:A,0)),"")</f>
        <v/>
      </c>
      <c r="C855" s="25" t="str">
        <f>IFERROR(INDEX('Hun Demand'!U:U,MATCH(O855,'Hun Demand'!A:A,0)),"")</f>
        <v/>
      </c>
      <c r="D855" s="25" t="str">
        <f>IFERROR(INDEX('Hun Demand'!T:T,MATCH(O855,'Hun Demand'!A:A,0)),"")</f>
        <v/>
      </c>
      <c r="E855" s="25" t="str">
        <f>IFERROR(INDEX('Hun Demand'!S:S,MATCH(O855,'Hun Demand'!A:A,0)),"")</f>
        <v/>
      </c>
      <c r="F855" s="25" t="str">
        <f>IFERROR(INDEX('Hun Demand'!R:R,MATCH(O855,'Hun Demand'!A:A,0)),"")</f>
        <v/>
      </c>
      <c r="G855" s="25">
        <f>IFERROR(INDEX('Aub Demand'!W:W,MATCH(O855,'Aub Demand'!A:A,0)),"")</f>
        <v>0</v>
      </c>
      <c r="H855" s="25">
        <f>IFERROR(INDEX('Aub Demand'!V:V,MATCH(O855,'Aub Demand'!A:A,0)),"")</f>
        <v>0</v>
      </c>
      <c r="I855" s="25">
        <f>IFERROR(INDEX('Aub Demand'!U:U,MATCH(O855,'Aub Demand'!A:A,0)),"")</f>
        <v>0</v>
      </c>
      <c r="J855" s="25">
        <f>IFERROR(INDEX('Aub Demand'!T:T,MATCH(O855,'Aub Demand'!A:A,0)),"")</f>
        <v>98</v>
      </c>
      <c r="K855" s="25">
        <f>IFERROR(INDEX('Aub Demand'!S:S,MATCH(O855,'Aub Demand'!A:A,0)),"")</f>
        <v>0</v>
      </c>
      <c r="L855" s="25">
        <f>IFERROR(INDEX('Aub Demand'!R:R,MATCH(O855,'Aub Demand'!A:A,0)),"")</f>
        <v>0</v>
      </c>
      <c r="O855" s="27" t="s">
        <v>5939</v>
      </c>
      <c r="P855" s="27" t="str">
        <f>IFERROR(INDEX('Aub Demand'!B:B,MATCH($O855,'Aub Demand'!$A:$A,0)),"")</f>
        <v>VOLARE CARRARA</v>
      </c>
      <c r="Q855" s="27" t="str">
        <f>IFERROR(INDEX('Aub Demand'!C:C,MATCH($O855,'Aub Demand'!$A:$A,0)),"")</f>
        <v>SCHAT</v>
      </c>
      <c r="R855" s="52">
        <f>IFERROR(IF(AR856=AR855,INDEX('Aub Demand'!K:K,MATCH($O855,'Aub Demand'!$A:$A,0))-IF(AN855="",0,AN855)+AP856,INDEX('Aub Demand'!K:K,MATCH($O855,'Aub Demand'!$A:$A,0))-IF(AN855="",0,AN855)),"")</f>
        <v>0</v>
      </c>
      <c r="S855" s="53">
        <f t="shared" si="364"/>
        <v>0</v>
      </c>
      <c r="T855" s="52" t="str">
        <f t="shared" si="365"/>
        <v/>
      </c>
      <c r="U855" s="52">
        <f>IFERROR(IF(AR856=AR855,INDEX('Aub Demand'!Q:Q,MATCH($O855,'Aub Demand'!$A:$A,0))-IF(AN855="",0,AN855)+AP856,INDEX('Aub Demand'!Q:Q,MATCH($O855,'Aub Demand'!$A:$A,0))-IF(AN855="",0,AN855)),"")</f>
        <v>0</v>
      </c>
      <c r="V855" s="53">
        <f t="shared" si="366"/>
        <v>0</v>
      </c>
      <c r="W855" s="52" t="str">
        <f t="shared" si="367"/>
        <v/>
      </c>
      <c r="X855" s="52">
        <f>IFERROR(IF(AND(AR856=AR855,AM855&lt;&gt;""),INDEX('Aub Demand'!Q:Q,MATCH($O855,'Aub Demand'!$A:$A,0))-IF(AN855="",0,AN855)+AP856+AD855+AL855,IF(AR856=AR855,INDEX('Aub Demand'!Q:Q,MATCH($O855,'Aub Demand'!$A:$A,0))-IF(AN855="",0,AN855)+AP856+AD855,IF(AM855&lt;&gt;"",INDEX('Aub Demand'!Q:Q,MATCH($O855,'Aub Demand'!$A:$A,0))-IF(AN855="",0,AN855)+AD855+AL855,INDEX('Aub Demand'!Q:Q,MATCH($O855,'Aub Demand'!$A:$A,0))-IF(AN855="",0,AN855)+AD855))),"")</f>
        <v>0</v>
      </c>
      <c r="Y855" s="53">
        <f t="shared" si="368"/>
        <v>0</v>
      </c>
      <c r="Z855" s="52">
        <f>IF(L855="","",INDEX('Aub Demand'!H:H,MATCH($O855,'Aub Demand'!$A:$A,0)))</f>
        <v>33</v>
      </c>
      <c r="AA855" s="52" t="str">
        <f t="shared" si="369"/>
        <v>-spike-</v>
      </c>
      <c r="AB855" s="52">
        <f>IFERROR(INDEX('Aub Demand'!L:L,MATCH($O855,'Aub Demand'!$A:$A,0)),"")</f>
        <v>0</v>
      </c>
      <c r="AC855" s="52">
        <f>IFERROR(IF(O855="","",SUMIFS('CPL Mats'!F:F,'CPL Mats'!Q:Q,AR855,'CPL Mats'!S:S,AS855)),"")</f>
        <v>0</v>
      </c>
      <c r="AF855" s="25" t="str">
        <f>IF(SUMIFS('Supp Consol'!S:S,'Supp Consol'!Y:Y,"Releasable",'Supp Consol'!A:A,O855)=0,"",SUMIFS('Supp Consol'!S:S,'Supp Consol'!Y:Y,"Releasable",'Supp Consol'!A:A,O855))</f>
        <v/>
      </c>
      <c r="AG855" s="25" t="str">
        <f>IFERROR(INDEX('Hun Demand'!Q:Q,MATCH(O855,'Hun Demand'!A:A,0)),"")</f>
        <v/>
      </c>
      <c r="AH855" s="25" t="str">
        <f>IFERROR(INDEX('Hun Demand'!H:H,MATCH($O855,'Hun Demand'!$A:$A,0)),"")</f>
        <v/>
      </c>
      <c r="AI855" s="25" t="str">
        <f>IF(SUMIFS('Supp Consol'!AA:AA,'Supp Consol'!Z:Z,"Expires this month",'Supp Consol'!A:A,O855)=0,"",SUMIFS('Supp Consol'!AA:AA,'Supp Consol'!Z:Z,"Expires this month",'Supp Consol'!A:A,O855))</f>
        <v/>
      </c>
      <c r="AJ855" s="25" t="str">
        <f>IF(SUMIFS('Supp Consol'!AA:AA,'Supp Consol'!Z:Z,"Expired Previous Months",'Supp Consol'!A:A,O855)=0,"",SUMIFS('Supp Consol'!AA:AA,'Supp Consol'!Z:Z,"Expired Previous Months",'Supp Consol'!A:A,O855))</f>
        <v/>
      </c>
      <c r="AK855" s="25" t="str">
        <f>IFERROR(INDEX('Hun Release Current'!B:B,MATCH(O855,'Hun Release Current'!A:A,0)),"")</f>
        <v/>
      </c>
      <c r="AL855" s="25" t="str">
        <f>IF(SUMIF('Prev Aub'!A:A,O855,'Prev Aub'!B:B)=0,"",SUMIF('Prev Aub'!A:A,O855,'Prev Aub'!B:B))</f>
        <v/>
      </c>
      <c r="AN855" s="25" t="s">
        <v>3790</v>
      </c>
      <c r="AO855" s="25" t="s">
        <v>3790</v>
      </c>
      <c r="AP855" s="25">
        <f t="shared" si="370"/>
        <v>0</v>
      </c>
      <c r="AQ855" s="151" t="str">
        <f>IF(SUMIFS('Supp Consol'!S:S,'Supp Consol'!A:A,O855,'Supp Consol'!I:I,"PENDING")=0,"",SUMIFS('Supp Consol'!S:S,'Supp Consol'!A:A,O855,'Supp Consol'!I:I,"PENDING"))</f>
        <v/>
      </c>
      <c r="AR855" s="27" t="str">
        <f t="shared" si="371"/>
        <v>MW585</v>
      </c>
      <c r="AS855" s="27" t="str">
        <f t="shared" si="372"/>
        <v>50</v>
      </c>
      <c r="AT855" s="27" t="str">
        <f t="shared" si="373"/>
        <v>MW585</v>
      </c>
      <c r="AU855" s="27" t="str">
        <f t="shared" si="374"/>
        <v>MW585</v>
      </c>
      <c r="AV855" s="27" t="str">
        <f t="shared" si="375"/>
        <v>MW585</v>
      </c>
      <c r="AW855" s="27" t="str">
        <f t="shared" si="376"/>
        <v/>
      </c>
      <c r="AX855" s="27" t="str">
        <f t="shared" si="377"/>
        <v/>
      </c>
      <c r="AY855" s="27" t="str">
        <f t="shared" si="378"/>
        <v/>
      </c>
      <c r="AZ855" s="27" t="str">
        <f t="shared" si="379"/>
        <v/>
      </c>
      <c r="BA855" s="27" t="str">
        <f t="shared" si="380"/>
        <v/>
      </c>
      <c r="BB855" s="27" t="str">
        <f t="shared" si="381"/>
        <v>Gross</v>
      </c>
      <c r="BC855" s="27" t="str">
        <f t="shared" si="382"/>
        <v>Net</v>
      </c>
      <c r="BD855" s="27" t="str">
        <f t="shared" si="383"/>
        <v>Net</v>
      </c>
      <c r="BE855" s="27" t="str">
        <f t="shared" si="384"/>
        <v/>
      </c>
      <c r="BF855" s="27" t="str">
        <f t="shared" si="385"/>
        <v/>
      </c>
      <c r="BG855" s="27" t="str">
        <f t="shared" si="386"/>
        <v/>
      </c>
      <c r="BH855" s="27" t="str">
        <f t="shared" si="387"/>
        <v/>
      </c>
      <c r="BI855" s="27" t="str">
        <f t="shared" si="388"/>
        <v/>
      </c>
      <c r="BJ855" s="27" t="str">
        <f t="shared" si="389"/>
        <v/>
      </c>
      <c r="BK855" s="27" t="str">
        <f t="shared" si="390"/>
        <v/>
      </c>
      <c r="BL855" s="27" t="str">
        <f t="shared" si="391"/>
        <v/>
      </c>
      <c r="BM855" s="21" t="s">
        <v>3790</v>
      </c>
    </row>
    <row r="856" spans="1:65" ht="15">
      <c r="A856" s="25" t="str">
        <f>IFERROR(INDEX('Hun Demand'!W:W,MATCH(O856,'Hun Demand'!A:A,0)),"")</f>
        <v/>
      </c>
      <c r="B856" s="25" t="str">
        <f>IFERROR(INDEX('Hun Demand'!V:V,MATCH(O856,'Hun Demand'!A:A,0)),"")</f>
        <v/>
      </c>
      <c r="C856" s="25" t="str">
        <f>IFERROR(INDEX('Hun Demand'!U:U,MATCH(O856,'Hun Demand'!A:A,0)),"")</f>
        <v/>
      </c>
      <c r="D856" s="25" t="str">
        <f>IFERROR(INDEX('Hun Demand'!T:T,MATCH(O856,'Hun Demand'!A:A,0)),"")</f>
        <v/>
      </c>
      <c r="E856" s="25" t="str">
        <f>IFERROR(INDEX('Hun Demand'!S:S,MATCH(O856,'Hun Demand'!A:A,0)),"")</f>
        <v/>
      </c>
      <c r="F856" s="25" t="str">
        <f>IFERROR(INDEX('Hun Demand'!R:R,MATCH(O856,'Hun Demand'!A:A,0)),"")</f>
        <v/>
      </c>
      <c r="G856" s="25">
        <f>IFERROR(INDEX('Aub Demand'!W:W,MATCH(O856,'Aub Demand'!A:A,0)),"")</f>
        <v>0</v>
      </c>
      <c r="H856" s="25">
        <f>IFERROR(INDEX('Aub Demand'!V:V,MATCH(O856,'Aub Demand'!A:A,0)),"")</f>
        <v>0</v>
      </c>
      <c r="I856" s="25">
        <f>IFERROR(INDEX('Aub Demand'!U:U,MATCH(O856,'Aub Demand'!A:A,0)),"")</f>
        <v>0</v>
      </c>
      <c r="J856" s="25">
        <f>IFERROR(INDEX('Aub Demand'!T:T,MATCH(O856,'Aub Demand'!A:A,0)),"")</f>
        <v>0</v>
      </c>
      <c r="K856" s="25">
        <f>IFERROR(INDEX('Aub Demand'!S:S,MATCH(O856,'Aub Demand'!A:A,0)),"")</f>
        <v>0</v>
      </c>
      <c r="L856" s="25">
        <f>IFERROR(INDEX('Aub Demand'!R:R,MATCH(O856,'Aub Demand'!A:A,0)),"")</f>
        <v>0</v>
      </c>
      <c r="O856" s="27" t="s">
        <v>1264</v>
      </c>
      <c r="P856" s="27" t="str">
        <f>IFERROR(INDEX('Aub Demand'!B:B,MATCH($O856,'Aub Demand'!$A:$A,0)),"")</f>
        <v>VOLARE CARRARA</v>
      </c>
      <c r="Q856" s="27" t="str">
        <f>IFERROR(INDEX('Aub Demand'!C:C,MATCH($O856,'Aub Demand'!$A:$A,0)),"")</f>
        <v>SCHAT</v>
      </c>
      <c r="R856" s="52">
        <f>IFERROR(IF(AR857=AR856,INDEX('Aub Demand'!K:K,MATCH($O856,'Aub Demand'!$A:$A,0))-IF(AN856="",0,AN856)+AP857,INDEX('Aub Demand'!K:K,MATCH($O856,'Aub Demand'!$A:$A,0))-IF(AN856="",0,AN856)),"")</f>
        <v>1938</v>
      </c>
      <c r="S856" s="53" t="str">
        <f t="shared" si="364"/>
        <v>n/a</v>
      </c>
      <c r="T856" s="52" t="str">
        <f t="shared" si="365"/>
        <v/>
      </c>
      <c r="U856" s="52">
        <f>IFERROR(IF(AR857=AR856,INDEX('Aub Demand'!Q:Q,MATCH($O856,'Aub Demand'!$A:$A,0))-IF(AN856="",0,AN856)+AP857,INDEX('Aub Demand'!Q:Q,MATCH($O856,'Aub Demand'!$A:$A,0))-IF(AN856="",0,AN856)),"")</f>
        <v>1938</v>
      </c>
      <c r="V856" s="53" t="str">
        <f t="shared" si="366"/>
        <v>n/a</v>
      </c>
      <c r="W856" s="52" t="str">
        <f t="shared" si="367"/>
        <v/>
      </c>
      <c r="X856" s="52">
        <f>IFERROR(IF(AND(AR857=AR856,AM856&lt;&gt;""),INDEX('Aub Demand'!Q:Q,MATCH($O856,'Aub Demand'!$A:$A,0))-IF(AN856="",0,AN856)+AP857+AD856+AL856,IF(AR857=AR856,INDEX('Aub Demand'!Q:Q,MATCH($O856,'Aub Demand'!$A:$A,0))-IF(AN856="",0,AN856)+AP857+AD856,IF(AM856&lt;&gt;"",INDEX('Aub Demand'!Q:Q,MATCH($O856,'Aub Demand'!$A:$A,0))-IF(AN856="",0,AN856)+AD856+AL856,INDEX('Aub Demand'!Q:Q,MATCH($O856,'Aub Demand'!$A:$A,0))-IF(AN856="",0,AN856)+AD856))),"")</f>
        <v>1938</v>
      </c>
      <c r="Y856" s="53" t="str">
        <f t="shared" si="368"/>
        <v>n/a</v>
      </c>
      <c r="Z856" s="52">
        <f>IF(L856="","",INDEX('Aub Demand'!H:H,MATCH($O856,'Aub Demand'!$A:$A,0)))</f>
        <v>0</v>
      </c>
      <c r="AA856" s="52" t="str">
        <f t="shared" si="369"/>
        <v>-spike-</v>
      </c>
      <c r="AB856" s="52">
        <f>IFERROR(INDEX('Aub Demand'!L:L,MATCH($O856,'Aub Demand'!$A:$A,0)),"")</f>
        <v>0</v>
      </c>
      <c r="AC856" s="52">
        <f>IFERROR(IF(O856="","",SUMIFS('CPL Mats'!F:F,'CPL Mats'!Q:Q,AR856,'CPL Mats'!S:S,AS856)),"")</f>
        <v>0</v>
      </c>
      <c r="AF856" s="25" t="str">
        <f>IF(SUMIFS('Supp Consol'!S:S,'Supp Consol'!Y:Y,"Releasable",'Supp Consol'!A:A,O856)=0,"",SUMIFS('Supp Consol'!S:S,'Supp Consol'!Y:Y,"Releasable",'Supp Consol'!A:A,O856))</f>
        <v/>
      </c>
      <c r="AG856" s="25" t="str">
        <f>IFERROR(INDEX('Hun Demand'!Q:Q,MATCH(O856,'Hun Demand'!A:A,0)),"")</f>
        <v/>
      </c>
      <c r="AH856" s="25" t="str">
        <f>IFERROR(INDEX('Hun Demand'!H:H,MATCH($O856,'Hun Demand'!$A:$A,0)),"")</f>
        <v/>
      </c>
      <c r="AI856" s="25" t="str">
        <f>IF(SUMIFS('Supp Consol'!AA:AA,'Supp Consol'!Z:Z,"Expires this month",'Supp Consol'!A:A,O856)=0,"",SUMIFS('Supp Consol'!AA:AA,'Supp Consol'!Z:Z,"Expires this month",'Supp Consol'!A:A,O856))</f>
        <v/>
      </c>
      <c r="AJ856" s="25" t="str">
        <f>IF(SUMIFS('Supp Consol'!AA:AA,'Supp Consol'!Z:Z,"Expired Previous Months",'Supp Consol'!A:A,O856)=0,"",SUMIFS('Supp Consol'!AA:AA,'Supp Consol'!Z:Z,"Expired Previous Months",'Supp Consol'!A:A,O856))</f>
        <v/>
      </c>
      <c r="AK856" s="25" t="str">
        <f>IFERROR(INDEX('Hun Release Current'!B:B,MATCH(O856,'Hun Release Current'!A:A,0)),"")</f>
        <v/>
      </c>
      <c r="AL856" s="25" t="str">
        <f>IF(SUMIF('Prev Aub'!A:A,O856,'Prev Aub'!B:B)=0,"",SUMIF('Prev Aub'!A:A,O856,'Prev Aub'!B:B))</f>
        <v/>
      </c>
      <c r="AN856" s="25" t="s">
        <v>3790</v>
      </c>
      <c r="AO856" s="25" t="s">
        <v>3790</v>
      </c>
      <c r="AP856" s="25">
        <f t="shared" si="370"/>
        <v>0</v>
      </c>
      <c r="AQ856" s="151" t="str">
        <f>IF(SUMIFS('Supp Consol'!S:S,'Supp Consol'!A:A,O856,'Supp Consol'!I:I,"PENDING")=0,"",SUMIFS('Supp Consol'!S:S,'Supp Consol'!A:A,O856,'Supp Consol'!I:I,"PENDING"))</f>
        <v/>
      </c>
      <c r="AR856" s="27" t="str">
        <f t="shared" si="371"/>
        <v>MW585</v>
      </c>
      <c r="AS856" s="27" t="str">
        <f t="shared" si="372"/>
        <v>62</v>
      </c>
      <c r="AT856" s="27" t="str">
        <f t="shared" si="373"/>
        <v/>
      </c>
      <c r="AU856" s="27" t="str">
        <f t="shared" si="374"/>
        <v/>
      </c>
      <c r="AV856" s="27" t="str">
        <f t="shared" si="375"/>
        <v/>
      </c>
      <c r="AW856" s="27" t="str">
        <f t="shared" si="376"/>
        <v/>
      </c>
      <c r="AX856" s="27" t="str">
        <f t="shared" si="377"/>
        <v/>
      </c>
      <c r="AY856" s="27" t="str">
        <f t="shared" si="378"/>
        <v/>
      </c>
      <c r="AZ856" s="27" t="str">
        <f t="shared" si="379"/>
        <v/>
      </c>
      <c r="BA856" s="27" t="str">
        <f t="shared" si="380"/>
        <v/>
      </c>
      <c r="BB856" s="27" t="str">
        <f t="shared" si="381"/>
        <v>Gross</v>
      </c>
      <c r="BC856" s="27" t="str">
        <f t="shared" si="382"/>
        <v>Net</v>
      </c>
      <c r="BD856" s="27" t="str">
        <f t="shared" si="383"/>
        <v>Net</v>
      </c>
      <c r="BE856" s="27" t="str">
        <f t="shared" si="384"/>
        <v/>
      </c>
      <c r="BF856" s="27" t="str">
        <f t="shared" si="385"/>
        <v/>
      </c>
      <c r="BG856" s="27" t="str">
        <f t="shared" si="386"/>
        <v/>
      </c>
      <c r="BH856" s="27" t="str">
        <f t="shared" si="387"/>
        <v/>
      </c>
      <c r="BI856" s="27" t="str">
        <f t="shared" si="388"/>
        <v/>
      </c>
      <c r="BJ856" s="27" t="str">
        <f t="shared" si="389"/>
        <v/>
      </c>
      <c r="BK856" s="27" t="str">
        <f t="shared" si="390"/>
        <v/>
      </c>
      <c r="BL856" s="27" t="str">
        <f t="shared" si="391"/>
        <v/>
      </c>
      <c r="BM856" s="21" t="s">
        <v>5581</v>
      </c>
    </row>
    <row r="857" spans="1:65" ht="15">
      <c r="A857" s="25" t="str">
        <f>IFERROR(INDEX('Hun Demand'!W:W,MATCH(O857,'Hun Demand'!A:A,0)),"")</f>
        <v/>
      </c>
      <c r="B857" s="25" t="str">
        <f>IFERROR(INDEX('Hun Demand'!V:V,MATCH(O857,'Hun Demand'!A:A,0)),"")</f>
        <v/>
      </c>
      <c r="C857" s="25" t="str">
        <f>IFERROR(INDEX('Hun Demand'!U:U,MATCH(O857,'Hun Demand'!A:A,0)),"")</f>
        <v/>
      </c>
      <c r="D857" s="25" t="str">
        <f>IFERROR(INDEX('Hun Demand'!T:T,MATCH(O857,'Hun Demand'!A:A,0)),"")</f>
        <v/>
      </c>
      <c r="E857" s="25" t="str">
        <f>IFERROR(INDEX('Hun Demand'!S:S,MATCH(O857,'Hun Demand'!A:A,0)),"")</f>
        <v/>
      </c>
      <c r="F857" s="25" t="str">
        <f>IFERROR(INDEX('Hun Demand'!R:R,MATCH(O857,'Hun Demand'!A:A,0)),"")</f>
        <v/>
      </c>
      <c r="G857" s="25">
        <f>IFERROR(INDEX('Aub Demand'!W:W,MATCH(O857,'Aub Demand'!A:A,0)),"")</f>
        <v>39</v>
      </c>
      <c r="H857" s="25">
        <f>IFERROR(INDEX('Aub Demand'!V:V,MATCH(O857,'Aub Demand'!A:A,0)),"")</f>
        <v>62</v>
      </c>
      <c r="I857" s="25">
        <f>IFERROR(INDEX('Aub Demand'!U:U,MATCH(O857,'Aub Demand'!A:A,0)),"")</f>
        <v>0</v>
      </c>
      <c r="J857" s="25">
        <f>IFERROR(INDEX('Aub Demand'!T:T,MATCH(O857,'Aub Demand'!A:A,0)),"")</f>
        <v>51</v>
      </c>
      <c r="K857" s="25">
        <f>IFERROR(INDEX('Aub Demand'!S:S,MATCH(O857,'Aub Demand'!A:A,0)),"")</f>
        <v>0</v>
      </c>
      <c r="L857" s="25">
        <f>IFERROR(INDEX('Aub Demand'!R:R,MATCH(O857,'Aub Demand'!A:A,0)),"")</f>
        <v>0</v>
      </c>
      <c r="O857" s="27" t="s">
        <v>2418</v>
      </c>
      <c r="P857" s="27" t="str">
        <f>IFERROR(INDEX('Aub Demand'!B:B,MATCH($O857,'Aub Demand'!$A:$A,0)),"")</f>
        <v>WHITE PERITO MARBLE</v>
      </c>
      <c r="Q857" s="27" t="str">
        <f>IFERROR(INDEX('Aub Demand'!C:C,MATCH($O857,'Aub Demand'!$A:$A,0)),"")</f>
        <v>INTER</v>
      </c>
      <c r="R857" s="52">
        <f>IFERROR(IF(AR858=AR857,INDEX('Aub Demand'!K:K,MATCH($O857,'Aub Demand'!$A:$A,0))-IF(AN857="",0,AN857)+AP858,INDEX('Aub Demand'!K:K,MATCH($O857,'Aub Demand'!$A:$A,0))-IF(AN857="",0,AN857)),"")</f>
        <v>590</v>
      </c>
      <c r="S857" s="53">
        <f t="shared" si="364"/>
        <v>148.69999999999999</v>
      </c>
      <c r="T857" s="52" t="str">
        <f t="shared" si="365"/>
        <v/>
      </c>
      <c r="U857" s="52">
        <f>IFERROR(IF(AR858=AR857,INDEX('Aub Demand'!Q:Q,MATCH($O857,'Aub Demand'!$A:$A,0))-IF(AN857="",0,AN857)+AP858,INDEX('Aub Demand'!Q:Q,MATCH($O857,'Aub Demand'!$A:$A,0))-IF(AN857="",0,AN857)),"")</f>
        <v>590</v>
      </c>
      <c r="V857" s="53">
        <f t="shared" si="366"/>
        <v>148.69999999999999</v>
      </c>
      <c r="W857" s="52" t="str">
        <f t="shared" si="367"/>
        <v/>
      </c>
      <c r="X857" s="52">
        <f>IFERROR(IF(AND(AR858=AR857,AM857&lt;&gt;""),INDEX('Aub Demand'!Q:Q,MATCH($O857,'Aub Demand'!$A:$A,0))-IF(AN857="",0,AN857)+AP858+AD857+AL857,IF(AR858=AR857,INDEX('Aub Demand'!Q:Q,MATCH($O857,'Aub Demand'!$A:$A,0))-IF(AN857="",0,AN857)+AP858+AD857,IF(AM857&lt;&gt;"",INDEX('Aub Demand'!Q:Q,MATCH($O857,'Aub Demand'!$A:$A,0))-IF(AN857="",0,AN857)+AD857+AL857,INDEX('Aub Demand'!Q:Q,MATCH($O857,'Aub Demand'!$A:$A,0))-IF(AN857="",0,AN857)+AD857))),"")</f>
        <v>590</v>
      </c>
      <c r="Y857" s="53">
        <f t="shared" si="368"/>
        <v>148.69999999999999</v>
      </c>
      <c r="Z857" s="52">
        <f>IF(L857="","",INDEX('Aub Demand'!H:H,MATCH($O857,'Aub Demand'!$A:$A,0)))</f>
        <v>17</v>
      </c>
      <c r="AA857" s="52" t="str">
        <f t="shared" si="369"/>
        <v>-spike-</v>
      </c>
      <c r="AB857" s="52">
        <f>IFERROR(INDEX('Aub Demand'!L:L,MATCH($O857,'Aub Demand'!$A:$A,0)),"")</f>
        <v>28</v>
      </c>
      <c r="AC857" s="52">
        <f>IFERROR(IF(O857="","",SUMIFS('CPL Mats'!F:F,'CPL Mats'!Q:Q,AR857,'CPL Mats'!S:S,AS857)),"")</f>
        <v>0</v>
      </c>
      <c r="AF857" s="25" t="str">
        <f>IF(SUMIFS('Supp Consol'!S:S,'Supp Consol'!Y:Y,"Releasable",'Supp Consol'!A:A,O857)=0,"",SUMIFS('Supp Consol'!S:S,'Supp Consol'!Y:Y,"Releasable",'Supp Consol'!A:A,O857))</f>
        <v/>
      </c>
      <c r="AG857" s="25" t="str">
        <f>IFERROR(INDEX('Hun Demand'!Q:Q,MATCH(O857,'Hun Demand'!A:A,0)),"")</f>
        <v/>
      </c>
      <c r="AH857" s="25" t="str">
        <f>IFERROR(INDEX('Hun Demand'!H:H,MATCH($O857,'Hun Demand'!$A:$A,0)),"")</f>
        <v/>
      </c>
      <c r="AI857" s="25" t="str">
        <f>IF(SUMIFS('Supp Consol'!AA:AA,'Supp Consol'!Z:Z,"Expires this month",'Supp Consol'!A:A,O857)=0,"",SUMIFS('Supp Consol'!AA:AA,'Supp Consol'!Z:Z,"Expires this month",'Supp Consol'!A:A,O857))</f>
        <v/>
      </c>
      <c r="AJ857" s="25" t="str">
        <f>IF(SUMIFS('Supp Consol'!AA:AA,'Supp Consol'!Z:Z,"Expired Previous Months",'Supp Consol'!A:A,O857)=0,"",SUMIFS('Supp Consol'!AA:AA,'Supp Consol'!Z:Z,"Expired Previous Months",'Supp Consol'!A:A,O857))</f>
        <v/>
      </c>
      <c r="AK857" s="25" t="str">
        <f>IFERROR(INDEX('Hun Release Current'!B:B,MATCH(O857,'Hun Release Current'!A:A,0)),"")</f>
        <v/>
      </c>
      <c r="AL857" s="25" t="str">
        <f>IF(SUMIF('Prev Aub'!A:A,O857,'Prev Aub'!B:B)=0,"",SUMIF('Prev Aub'!A:A,O857,'Prev Aub'!B:B))</f>
        <v/>
      </c>
      <c r="AN857" s="25" t="s">
        <v>3790</v>
      </c>
      <c r="AO857" s="25" t="s">
        <v>3790</v>
      </c>
      <c r="AP857" s="25">
        <f t="shared" si="370"/>
        <v>0</v>
      </c>
      <c r="AQ857" s="151" t="str">
        <f>IF(SUMIFS('Supp Consol'!S:S,'Supp Consol'!A:A,O857,'Supp Consol'!I:I,"PENDING")=0,"",SUMIFS('Supp Consol'!S:S,'Supp Consol'!A:A,O857,'Supp Consol'!I:I,"PENDING"))</f>
        <v/>
      </c>
      <c r="AR857" s="27" t="str">
        <f t="shared" si="371"/>
        <v>MW590</v>
      </c>
      <c r="AS857" s="27" t="str">
        <f t="shared" si="372"/>
        <v>50</v>
      </c>
      <c r="AT857" s="27" t="str">
        <f t="shared" si="373"/>
        <v/>
      </c>
      <c r="AU857" s="27" t="str">
        <f t="shared" si="374"/>
        <v/>
      </c>
      <c r="AV857" s="27" t="str">
        <f t="shared" si="375"/>
        <v/>
      </c>
      <c r="AW857" s="27" t="str">
        <f t="shared" si="376"/>
        <v/>
      </c>
      <c r="AX857" s="27" t="str">
        <f t="shared" si="377"/>
        <v/>
      </c>
      <c r="AY857" s="27" t="str">
        <f t="shared" si="378"/>
        <v/>
      </c>
      <c r="AZ857" s="27" t="str">
        <f t="shared" si="379"/>
        <v/>
      </c>
      <c r="BA857" s="27" t="str">
        <f t="shared" si="380"/>
        <v/>
      </c>
      <c r="BB857" s="27" t="str">
        <f t="shared" si="381"/>
        <v/>
      </c>
      <c r="BC857" s="27" t="str">
        <f t="shared" si="382"/>
        <v/>
      </c>
      <c r="BD857" s="27" t="str">
        <f t="shared" si="383"/>
        <v/>
      </c>
      <c r="BE857" s="27" t="str">
        <f t="shared" si="384"/>
        <v/>
      </c>
      <c r="BF857" s="27" t="str">
        <f t="shared" si="385"/>
        <v/>
      </c>
      <c r="BG857" s="27" t="str">
        <f t="shared" si="386"/>
        <v/>
      </c>
      <c r="BH857" s="27" t="str">
        <f t="shared" si="387"/>
        <v/>
      </c>
      <c r="BI857" s="27" t="str">
        <f t="shared" si="388"/>
        <v/>
      </c>
      <c r="BJ857" s="27" t="str">
        <f t="shared" si="389"/>
        <v/>
      </c>
      <c r="BK857" s="27" t="str">
        <f t="shared" si="390"/>
        <v/>
      </c>
      <c r="BL857" s="27" t="str">
        <f t="shared" si="391"/>
        <v/>
      </c>
      <c r="BM857" s="21" t="s">
        <v>5581</v>
      </c>
    </row>
    <row r="858" spans="1:65" ht="15">
      <c r="A858" s="25" t="str">
        <f>IFERROR(INDEX('Hun Demand'!W:W,MATCH(O858,'Hun Demand'!A:A,0)),"")</f>
        <v/>
      </c>
      <c r="B858" s="25" t="str">
        <f>IFERROR(INDEX('Hun Demand'!V:V,MATCH(O858,'Hun Demand'!A:A,0)),"")</f>
        <v/>
      </c>
      <c r="C858" s="25" t="str">
        <f>IFERROR(INDEX('Hun Demand'!U:U,MATCH(O858,'Hun Demand'!A:A,0)),"")</f>
        <v/>
      </c>
      <c r="D858" s="25" t="str">
        <f>IFERROR(INDEX('Hun Demand'!T:T,MATCH(O858,'Hun Demand'!A:A,0)),"")</f>
        <v/>
      </c>
      <c r="E858" s="25" t="str">
        <f>IFERROR(INDEX('Hun Demand'!S:S,MATCH(O858,'Hun Demand'!A:A,0)),"")</f>
        <v/>
      </c>
      <c r="F858" s="25" t="str">
        <f>IFERROR(INDEX('Hun Demand'!R:R,MATCH(O858,'Hun Demand'!A:A,0)),"")</f>
        <v/>
      </c>
      <c r="G858" s="25">
        <f>IFERROR(INDEX('Aub Demand'!W:W,MATCH(O858,'Aub Demand'!A:A,0)),"")</f>
        <v>166</v>
      </c>
      <c r="H858" s="25">
        <f>IFERROR(INDEX('Aub Demand'!V:V,MATCH(O858,'Aub Demand'!A:A,0)),"")</f>
        <v>0</v>
      </c>
      <c r="I858" s="25">
        <f>IFERROR(INDEX('Aub Demand'!U:U,MATCH(O858,'Aub Demand'!A:A,0)),"")</f>
        <v>96</v>
      </c>
      <c r="J858" s="25">
        <f>IFERROR(INDEX('Aub Demand'!T:T,MATCH(O858,'Aub Demand'!A:A,0)),"")</f>
        <v>101</v>
      </c>
      <c r="K858" s="25">
        <f>IFERROR(INDEX('Aub Demand'!S:S,MATCH(O858,'Aub Demand'!A:A,0)),"")</f>
        <v>258</v>
      </c>
      <c r="L858" s="25">
        <f>IFERROR(INDEX('Aub Demand'!R:R,MATCH(O858,'Aub Demand'!A:A,0)),"")</f>
        <v>0</v>
      </c>
      <c r="O858" s="27" t="s">
        <v>2420</v>
      </c>
      <c r="P858" s="27" t="str">
        <f>IFERROR(INDEX('Aub Demand'!B:B,MATCH($O858,'Aub Demand'!$A:$A,0)),"")</f>
        <v>WHITE PERITO MARBLE</v>
      </c>
      <c r="Q858" s="27" t="str">
        <f>IFERROR(INDEX('Aub Demand'!C:C,MATCH($O858,'Aub Demand'!$A:$A,0)),"")</f>
        <v>INTER</v>
      </c>
      <c r="R858" s="52">
        <f>IFERROR(IF(AR859=AR858,INDEX('Aub Demand'!K:K,MATCH($O858,'Aub Demand'!$A:$A,0))-IF(AN858="",0,AN858)+AP859,INDEX('Aub Demand'!K:K,MATCH($O858,'Aub Demand'!$A:$A,0))-IF(AN858="",0,AN858)),"")</f>
        <v>1124</v>
      </c>
      <c r="S858" s="53">
        <f t="shared" si="364"/>
        <v>31.7</v>
      </c>
      <c r="T858" s="52" t="str">
        <f t="shared" si="365"/>
        <v/>
      </c>
      <c r="U858" s="52">
        <f>IFERROR(IF(AR859=AR858,INDEX('Aub Demand'!Q:Q,MATCH($O858,'Aub Demand'!$A:$A,0))-IF(AN858="",0,AN858)+AP859,INDEX('Aub Demand'!Q:Q,MATCH($O858,'Aub Demand'!$A:$A,0))-IF(AN858="",0,AN858)),"")</f>
        <v>1094</v>
      </c>
      <c r="V858" s="53">
        <f t="shared" si="366"/>
        <v>30.8</v>
      </c>
      <c r="W858" s="52" t="str">
        <f t="shared" si="367"/>
        <v/>
      </c>
      <c r="X858" s="52">
        <f>IFERROR(IF(AND(AR859=AR858,AM858&lt;&gt;""),INDEX('Aub Demand'!Q:Q,MATCH($O858,'Aub Demand'!$A:$A,0))-IF(AN858="",0,AN858)+AP859+AD858+AL858,IF(AR859=AR858,INDEX('Aub Demand'!Q:Q,MATCH($O858,'Aub Demand'!$A:$A,0))-IF(AN858="",0,AN858)+AP859+AD858,IF(AM858&lt;&gt;"",INDEX('Aub Demand'!Q:Q,MATCH($O858,'Aub Demand'!$A:$A,0))-IF(AN858="",0,AN858)+AD858+AL858,INDEX('Aub Demand'!Q:Q,MATCH($O858,'Aub Demand'!$A:$A,0))-IF(AN858="",0,AN858)+AD858))),"")</f>
        <v>1094</v>
      </c>
      <c r="Y858" s="53">
        <f t="shared" si="368"/>
        <v>30.8</v>
      </c>
      <c r="Z858" s="52">
        <f>IF(L858="","",INDEX('Aub Demand'!H:H,MATCH($O858,'Aub Demand'!$A:$A,0)))</f>
        <v>152</v>
      </c>
      <c r="AA858" s="52">
        <f t="shared" si="369"/>
        <v>179.5</v>
      </c>
      <c r="AB858" s="52">
        <f>IFERROR(INDEX('Aub Demand'!L:L,MATCH($O858,'Aub Demand'!$A:$A,0)),"")</f>
        <v>146</v>
      </c>
      <c r="AC858" s="52">
        <f>IFERROR(IF(O858="","",SUMIFS('CPL Mats'!F:F,'CPL Mats'!Q:Q,AR858,'CPL Mats'!S:S,AS858)),"")</f>
        <v>0</v>
      </c>
      <c r="AF858" s="25" t="str">
        <f>IF(SUMIFS('Supp Consol'!S:S,'Supp Consol'!Y:Y,"Releasable",'Supp Consol'!A:A,O858)=0,"",SUMIFS('Supp Consol'!S:S,'Supp Consol'!Y:Y,"Releasable",'Supp Consol'!A:A,O858))</f>
        <v/>
      </c>
      <c r="AG858" s="25" t="str">
        <f>IFERROR(INDEX('Hun Demand'!Q:Q,MATCH(O858,'Hun Demand'!A:A,0)),"")</f>
        <v/>
      </c>
      <c r="AH858" s="25" t="str">
        <f>IFERROR(INDEX('Hun Demand'!H:H,MATCH($O858,'Hun Demand'!$A:$A,0)),"")</f>
        <v/>
      </c>
      <c r="AI858" s="25" t="str">
        <f>IF(SUMIFS('Supp Consol'!AA:AA,'Supp Consol'!Z:Z,"Expires this month",'Supp Consol'!A:A,O858)=0,"",SUMIFS('Supp Consol'!AA:AA,'Supp Consol'!Z:Z,"Expires this month",'Supp Consol'!A:A,O858))</f>
        <v/>
      </c>
      <c r="AJ858" s="25" t="str">
        <f>IF(SUMIFS('Supp Consol'!AA:AA,'Supp Consol'!Z:Z,"Expired Previous Months",'Supp Consol'!A:A,O858)=0,"",SUMIFS('Supp Consol'!AA:AA,'Supp Consol'!Z:Z,"Expired Previous Months",'Supp Consol'!A:A,O858))</f>
        <v/>
      </c>
      <c r="AK858" s="25" t="str">
        <f>IFERROR(INDEX('Hun Release Current'!B:B,MATCH(O858,'Hun Release Current'!A:A,0)),"")</f>
        <v/>
      </c>
      <c r="AL858" s="25" t="str">
        <f>IF(SUMIF('Prev Aub'!A:A,O858,'Prev Aub'!B:B)=0,"",SUMIF('Prev Aub'!A:A,O858,'Prev Aub'!B:B))</f>
        <v/>
      </c>
      <c r="AN858" s="25" t="s">
        <v>3790</v>
      </c>
      <c r="AO858" s="25" t="s">
        <v>3790</v>
      </c>
      <c r="AP858" s="25">
        <f t="shared" si="370"/>
        <v>0</v>
      </c>
      <c r="AQ858" s="151" t="str">
        <f>IF(SUMIFS('Supp Consol'!S:S,'Supp Consol'!A:A,O858,'Supp Consol'!I:I,"PENDING")=0,"",SUMIFS('Supp Consol'!S:S,'Supp Consol'!A:A,O858,'Supp Consol'!I:I,"PENDING"))</f>
        <v/>
      </c>
      <c r="AR858" s="27" t="str">
        <f t="shared" si="371"/>
        <v>MW590</v>
      </c>
      <c r="AS858" s="27" t="str">
        <f t="shared" si="372"/>
        <v>62</v>
      </c>
      <c r="AT858" s="27" t="str">
        <f t="shared" si="373"/>
        <v/>
      </c>
      <c r="AU858" s="27" t="str">
        <f t="shared" si="374"/>
        <v/>
      </c>
      <c r="AV858" s="27" t="str">
        <f t="shared" si="375"/>
        <v/>
      </c>
      <c r="AW858" s="27" t="str">
        <f t="shared" si="376"/>
        <v/>
      </c>
      <c r="AX858" s="27" t="str">
        <f t="shared" si="377"/>
        <v/>
      </c>
      <c r="AY858" s="27" t="str">
        <f t="shared" si="378"/>
        <v/>
      </c>
      <c r="AZ858" s="27" t="str">
        <f t="shared" si="379"/>
        <v/>
      </c>
      <c r="BA858" s="27" t="str">
        <f t="shared" si="380"/>
        <v/>
      </c>
      <c r="BB858" s="27" t="str">
        <f t="shared" si="381"/>
        <v/>
      </c>
      <c r="BC858" s="27" t="str">
        <f t="shared" si="382"/>
        <v/>
      </c>
      <c r="BD858" s="27" t="str">
        <f t="shared" si="383"/>
        <v/>
      </c>
      <c r="BE858" s="27" t="str">
        <f t="shared" si="384"/>
        <v/>
      </c>
      <c r="BF858" s="27" t="str">
        <f t="shared" si="385"/>
        <v/>
      </c>
      <c r="BG858" s="27" t="str">
        <f t="shared" si="386"/>
        <v/>
      </c>
      <c r="BH858" s="27" t="str">
        <f t="shared" si="387"/>
        <v/>
      </c>
      <c r="BI858" s="27" t="str">
        <f t="shared" si="388"/>
        <v/>
      </c>
      <c r="BJ858" s="27" t="str">
        <f t="shared" si="389"/>
        <v/>
      </c>
      <c r="BK858" s="27" t="str">
        <f t="shared" si="390"/>
        <v/>
      </c>
      <c r="BL858" s="27" t="str">
        <f t="shared" si="391"/>
        <v/>
      </c>
      <c r="BM858" s="21" t="s">
        <v>5581</v>
      </c>
    </row>
    <row r="859" spans="1:65" ht="15">
      <c r="A859" s="25" t="str">
        <f>IFERROR(INDEX('Hun Demand'!W:W,MATCH(O859,'Hun Demand'!A:A,0)),"")</f>
        <v/>
      </c>
      <c r="B859" s="25" t="str">
        <f>IFERROR(INDEX('Hun Demand'!V:V,MATCH(O859,'Hun Demand'!A:A,0)),"")</f>
        <v/>
      </c>
      <c r="C859" s="25" t="str">
        <f>IFERROR(INDEX('Hun Demand'!U:U,MATCH(O859,'Hun Demand'!A:A,0)),"")</f>
        <v/>
      </c>
      <c r="D859" s="25" t="str">
        <f>IFERROR(INDEX('Hun Demand'!T:T,MATCH(O859,'Hun Demand'!A:A,0)),"")</f>
        <v/>
      </c>
      <c r="E859" s="25" t="str">
        <f>IFERROR(INDEX('Hun Demand'!S:S,MATCH(O859,'Hun Demand'!A:A,0)),"")</f>
        <v/>
      </c>
      <c r="F859" s="25" t="str">
        <f>IFERROR(INDEX('Hun Demand'!R:R,MATCH(O859,'Hun Demand'!A:A,0)),"")</f>
        <v/>
      </c>
      <c r="G859" s="25">
        <f>IFERROR(INDEX('Aub Demand'!W:W,MATCH(O859,'Aub Demand'!A:A,0)),"")</f>
        <v>12</v>
      </c>
      <c r="H859" s="25">
        <f>IFERROR(INDEX('Aub Demand'!V:V,MATCH(O859,'Aub Demand'!A:A,0)),"")</f>
        <v>0</v>
      </c>
      <c r="I859" s="25">
        <f>IFERROR(INDEX('Aub Demand'!U:U,MATCH(O859,'Aub Demand'!A:A,0)),"")</f>
        <v>0</v>
      </c>
      <c r="J859" s="25">
        <f>IFERROR(INDEX('Aub Demand'!T:T,MATCH(O859,'Aub Demand'!A:A,0)),"")</f>
        <v>0</v>
      </c>
      <c r="K859" s="25">
        <f>IFERROR(INDEX('Aub Demand'!S:S,MATCH(O859,'Aub Demand'!A:A,0)),"")</f>
        <v>0</v>
      </c>
      <c r="L859" s="25">
        <f>IFERROR(INDEX('Aub Demand'!R:R,MATCH(O859,'Aub Demand'!A:A,0)),"")</f>
        <v>0</v>
      </c>
      <c r="O859" s="27" t="s">
        <v>2421</v>
      </c>
      <c r="P859" s="27" t="str">
        <f>IFERROR(INDEX('Aub Demand'!B:B,MATCH($O859,'Aub Demand'!$A:$A,0)),"")</f>
        <v>WHITE CORALINO MARBL</v>
      </c>
      <c r="Q859" s="27" t="str">
        <f>IFERROR(INDEX('Aub Demand'!C:C,MATCH($O859,'Aub Demand'!$A:$A,0)),"")</f>
        <v>LAMIG</v>
      </c>
      <c r="R859" s="52">
        <f>IFERROR(IF(AR860=AR859,INDEX('Aub Demand'!K:K,MATCH($O859,'Aub Demand'!$A:$A,0))-IF(AN859="",0,AN859)+AP860,INDEX('Aub Demand'!K:K,MATCH($O859,'Aub Demand'!$A:$A,0))-IF(AN859="",0,AN859)),"")</f>
        <v>5210</v>
      </c>
      <c r="S859" s="53" t="str">
        <f t="shared" si="364"/>
        <v>n/a</v>
      </c>
      <c r="T859" s="52" t="str">
        <f t="shared" si="365"/>
        <v/>
      </c>
      <c r="U859" s="52">
        <f>IFERROR(IF(AR860=AR859,INDEX('Aub Demand'!Q:Q,MATCH($O859,'Aub Demand'!$A:$A,0))-IF(AN859="",0,AN859)+AP860,INDEX('Aub Demand'!Q:Q,MATCH($O859,'Aub Demand'!$A:$A,0))-IF(AN859="",0,AN859)),"")</f>
        <v>5210</v>
      </c>
      <c r="V859" s="53" t="str">
        <f t="shared" si="366"/>
        <v>n/a</v>
      </c>
      <c r="W859" s="52" t="str">
        <f t="shared" si="367"/>
        <v/>
      </c>
      <c r="X859" s="52">
        <f>IFERROR(IF(AND(AR860=AR859,AM859&lt;&gt;""),INDEX('Aub Demand'!Q:Q,MATCH($O859,'Aub Demand'!$A:$A,0))-IF(AN859="",0,AN859)+AP860+AD859+AL859,IF(AR860=AR859,INDEX('Aub Demand'!Q:Q,MATCH($O859,'Aub Demand'!$A:$A,0))-IF(AN859="",0,AN859)+AP860+AD859,IF(AM859&lt;&gt;"",INDEX('Aub Demand'!Q:Q,MATCH($O859,'Aub Demand'!$A:$A,0))-IF(AN859="",0,AN859)+AD859+AL859,INDEX('Aub Demand'!Q:Q,MATCH($O859,'Aub Demand'!$A:$A,0))-IF(AN859="",0,AN859)+AD859))),"")</f>
        <v>5210</v>
      </c>
      <c r="Y859" s="53" t="str">
        <f t="shared" si="368"/>
        <v>n/a</v>
      </c>
      <c r="Z859" s="52">
        <f>IF(L859="","",INDEX('Aub Demand'!H:H,MATCH($O859,'Aub Demand'!$A:$A,0)))</f>
        <v>0</v>
      </c>
      <c r="AA859" s="52" t="str">
        <f t="shared" si="369"/>
        <v>-spike-</v>
      </c>
      <c r="AB859" s="52">
        <f>IFERROR(INDEX('Aub Demand'!L:L,MATCH($O859,'Aub Demand'!$A:$A,0)),"")</f>
        <v>0</v>
      </c>
      <c r="AC859" s="52">
        <f>IFERROR(IF(O859="","",SUMIFS('CPL Mats'!F:F,'CPL Mats'!Q:Q,AR859,'CPL Mats'!S:S,AS859)),"")</f>
        <v>0</v>
      </c>
      <c r="AF859" s="25" t="str">
        <f>IF(SUMIFS('Supp Consol'!S:S,'Supp Consol'!Y:Y,"Releasable",'Supp Consol'!A:A,O859)=0,"",SUMIFS('Supp Consol'!S:S,'Supp Consol'!Y:Y,"Releasable",'Supp Consol'!A:A,O859))</f>
        <v/>
      </c>
      <c r="AG859" s="25" t="str">
        <f>IFERROR(INDEX('Hun Demand'!Q:Q,MATCH(O859,'Hun Demand'!A:A,0)),"")</f>
        <v/>
      </c>
      <c r="AH859" s="25" t="str">
        <f>IFERROR(INDEX('Hun Demand'!H:H,MATCH($O859,'Hun Demand'!$A:$A,0)),"")</f>
        <v/>
      </c>
      <c r="AI859" s="25" t="str">
        <f>IF(SUMIFS('Supp Consol'!AA:AA,'Supp Consol'!Z:Z,"Expires this month",'Supp Consol'!A:A,O859)=0,"",SUMIFS('Supp Consol'!AA:AA,'Supp Consol'!Z:Z,"Expires this month",'Supp Consol'!A:A,O859))</f>
        <v/>
      </c>
      <c r="AJ859" s="25" t="str">
        <f>IF(SUMIFS('Supp Consol'!AA:AA,'Supp Consol'!Z:Z,"Expired Previous Months",'Supp Consol'!A:A,O859)=0,"",SUMIFS('Supp Consol'!AA:AA,'Supp Consol'!Z:Z,"Expired Previous Months",'Supp Consol'!A:A,O859))</f>
        <v/>
      </c>
      <c r="AK859" s="25" t="str">
        <f>IFERROR(INDEX('Hun Release Current'!B:B,MATCH(O859,'Hun Release Current'!A:A,0)),"")</f>
        <v/>
      </c>
      <c r="AL859" s="25" t="str">
        <f>IF(SUMIF('Prev Aub'!A:A,O859,'Prev Aub'!B:B)=0,"",SUMIF('Prev Aub'!A:A,O859,'Prev Aub'!B:B))</f>
        <v/>
      </c>
      <c r="AN859" s="25" t="s">
        <v>3790</v>
      </c>
      <c r="AO859" s="25" t="s">
        <v>3790</v>
      </c>
      <c r="AP859" s="25">
        <f t="shared" si="370"/>
        <v>0</v>
      </c>
      <c r="AQ859" s="151" t="str">
        <f>IF(SUMIFS('Supp Consol'!S:S,'Supp Consol'!A:A,O859,'Supp Consol'!I:I,"PENDING")=0,"",SUMIFS('Supp Consol'!S:S,'Supp Consol'!A:A,O859,'Supp Consol'!I:I,"PENDING"))</f>
        <v/>
      </c>
      <c r="AR859" s="27" t="str">
        <f t="shared" si="371"/>
        <v>MW600</v>
      </c>
      <c r="AS859" s="27" t="str">
        <f t="shared" si="372"/>
        <v>50</v>
      </c>
      <c r="AT859" s="27" t="str">
        <f t="shared" si="373"/>
        <v/>
      </c>
      <c r="AU859" s="27" t="str">
        <f t="shared" si="374"/>
        <v/>
      </c>
      <c r="AV859" s="27" t="str">
        <f t="shared" si="375"/>
        <v/>
      </c>
      <c r="AW859" s="27" t="str">
        <f t="shared" si="376"/>
        <v/>
      </c>
      <c r="AX859" s="27" t="str">
        <f t="shared" si="377"/>
        <v/>
      </c>
      <c r="AY859" s="27" t="str">
        <f t="shared" si="378"/>
        <v/>
      </c>
      <c r="AZ859" s="27" t="str">
        <f t="shared" si="379"/>
        <v/>
      </c>
      <c r="BA859" s="27" t="str">
        <f t="shared" si="380"/>
        <v/>
      </c>
      <c r="BB859" s="27" t="str">
        <f t="shared" si="381"/>
        <v/>
      </c>
      <c r="BC859" s="27" t="str">
        <f t="shared" si="382"/>
        <v/>
      </c>
      <c r="BD859" s="27" t="str">
        <f t="shared" si="383"/>
        <v/>
      </c>
      <c r="BE859" s="27" t="str">
        <f t="shared" si="384"/>
        <v/>
      </c>
      <c r="BF859" s="27" t="str">
        <f t="shared" si="385"/>
        <v/>
      </c>
      <c r="BG859" s="27" t="str">
        <f t="shared" si="386"/>
        <v/>
      </c>
      <c r="BH859" s="27" t="str">
        <f t="shared" si="387"/>
        <v/>
      </c>
      <c r="BI859" s="27" t="str">
        <f t="shared" si="388"/>
        <v/>
      </c>
      <c r="BJ859" s="27" t="str">
        <f t="shared" si="389"/>
        <v/>
      </c>
      <c r="BK859" s="27" t="str">
        <f t="shared" si="390"/>
        <v/>
      </c>
      <c r="BL859" s="27" t="str">
        <f t="shared" si="391"/>
        <v/>
      </c>
      <c r="BM859" s="21" t="s">
        <v>5581</v>
      </c>
    </row>
    <row r="860" spans="1:65" ht="15">
      <c r="A860" s="25" t="str">
        <f>IFERROR(INDEX('Hun Demand'!W:W,MATCH(O860,'Hun Demand'!A:A,0)),"")</f>
        <v/>
      </c>
      <c r="B860" s="25" t="str">
        <f>IFERROR(INDEX('Hun Demand'!V:V,MATCH(O860,'Hun Demand'!A:A,0)),"")</f>
        <v/>
      </c>
      <c r="C860" s="25" t="str">
        <f>IFERROR(INDEX('Hun Demand'!U:U,MATCH(O860,'Hun Demand'!A:A,0)),"")</f>
        <v/>
      </c>
      <c r="D860" s="25" t="str">
        <f>IFERROR(INDEX('Hun Demand'!T:T,MATCH(O860,'Hun Demand'!A:A,0)),"")</f>
        <v/>
      </c>
      <c r="E860" s="25" t="str">
        <f>IFERROR(INDEX('Hun Demand'!S:S,MATCH(O860,'Hun Demand'!A:A,0)),"")</f>
        <v/>
      </c>
      <c r="F860" s="25" t="str">
        <f>IFERROR(INDEX('Hun Demand'!R:R,MATCH(O860,'Hun Demand'!A:A,0)),"")</f>
        <v/>
      </c>
      <c r="G860" s="25">
        <f>IFERROR(INDEX('Aub Demand'!W:W,MATCH(O860,'Aub Demand'!A:A,0)),"")</f>
        <v>0</v>
      </c>
      <c r="H860" s="25">
        <f>IFERROR(INDEX('Aub Demand'!V:V,MATCH(O860,'Aub Demand'!A:A,0)),"")</f>
        <v>0</v>
      </c>
      <c r="I860" s="25">
        <f>IFERROR(INDEX('Aub Demand'!U:U,MATCH(O860,'Aub Demand'!A:A,0)),"")</f>
        <v>0</v>
      </c>
      <c r="J860" s="25">
        <f>IFERROR(INDEX('Aub Demand'!T:T,MATCH(O860,'Aub Demand'!A:A,0)),"")</f>
        <v>0</v>
      </c>
      <c r="K860" s="25">
        <f>IFERROR(INDEX('Aub Demand'!S:S,MATCH(O860,'Aub Demand'!A:A,0)),"")</f>
        <v>0</v>
      </c>
      <c r="L860" s="25">
        <f>IFERROR(INDEX('Aub Demand'!R:R,MATCH(O860,'Aub Demand'!A:A,0)),"")</f>
        <v>0</v>
      </c>
      <c r="O860" s="27" t="s">
        <v>2423</v>
      </c>
      <c r="P860" s="27" t="str">
        <f>IFERROR(INDEX('Aub Demand'!B:B,MATCH($O860,'Aub Demand'!$A:$A,0)),"")</f>
        <v>WHITE CORALINO MARBL</v>
      </c>
      <c r="Q860" s="27" t="str">
        <f>IFERROR(INDEX('Aub Demand'!C:C,MATCH($O860,'Aub Demand'!$A:$A,0)),"")</f>
        <v>LAMIG</v>
      </c>
      <c r="R860" s="52">
        <f>IFERROR(IF(AR861=AR860,INDEX('Aub Demand'!K:K,MATCH($O860,'Aub Demand'!$A:$A,0))-IF(AN860="",0,AN860)+AP861,INDEX('Aub Demand'!K:K,MATCH($O860,'Aub Demand'!$A:$A,0))-IF(AN860="",0,AN860)),"")</f>
        <v>2657</v>
      </c>
      <c r="S860" s="53" t="str">
        <f t="shared" si="364"/>
        <v>n/a</v>
      </c>
      <c r="T860" s="52" t="str">
        <f t="shared" si="365"/>
        <v/>
      </c>
      <c r="U860" s="52">
        <f>IFERROR(IF(AR861=AR860,INDEX('Aub Demand'!Q:Q,MATCH($O860,'Aub Demand'!$A:$A,0))-IF(AN860="",0,AN860)+AP861,INDEX('Aub Demand'!Q:Q,MATCH($O860,'Aub Demand'!$A:$A,0))-IF(AN860="",0,AN860)),"")</f>
        <v>2657</v>
      </c>
      <c r="V860" s="53" t="str">
        <f t="shared" si="366"/>
        <v>n/a</v>
      </c>
      <c r="W860" s="52" t="str">
        <f t="shared" si="367"/>
        <v/>
      </c>
      <c r="X860" s="52">
        <f>IFERROR(IF(AND(AR861=AR860,AM860&lt;&gt;""),INDEX('Aub Demand'!Q:Q,MATCH($O860,'Aub Demand'!$A:$A,0))-IF(AN860="",0,AN860)+AP861+AD860+AL860,IF(AR861=AR860,INDEX('Aub Demand'!Q:Q,MATCH($O860,'Aub Demand'!$A:$A,0))-IF(AN860="",0,AN860)+AP861+AD860,IF(AM860&lt;&gt;"",INDEX('Aub Demand'!Q:Q,MATCH($O860,'Aub Demand'!$A:$A,0))-IF(AN860="",0,AN860)+AD860+AL860,INDEX('Aub Demand'!Q:Q,MATCH($O860,'Aub Demand'!$A:$A,0))-IF(AN860="",0,AN860)+AD860))),"")</f>
        <v>2657</v>
      </c>
      <c r="Y860" s="53" t="str">
        <f t="shared" si="368"/>
        <v>n/a</v>
      </c>
      <c r="Z860" s="52">
        <f>IF(L860="","",INDEX('Aub Demand'!H:H,MATCH($O860,'Aub Demand'!$A:$A,0)))</f>
        <v>0</v>
      </c>
      <c r="AA860" s="52" t="str">
        <f t="shared" si="369"/>
        <v>-spike-</v>
      </c>
      <c r="AB860" s="52">
        <f>IFERROR(INDEX('Aub Demand'!L:L,MATCH($O860,'Aub Demand'!$A:$A,0)),"")</f>
        <v>31</v>
      </c>
      <c r="AC860" s="52">
        <f>IFERROR(IF(O860="","",SUMIFS('CPL Mats'!F:F,'CPL Mats'!Q:Q,AR860,'CPL Mats'!S:S,AS860)),"")</f>
        <v>0</v>
      </c>
      <c r="AF860" s="25" t="str">
        <f>IF(SUMIFS('Supp Consol'!S:S,'Supp Consol'!Y:Y,"Releasable",'Supp Consol'!A:A,O860)=0,"",SUMIFS('Supp Consol'!S:S,'Supp Consol'!Y:Y,"Releasable",'Supp Consol'!A:A,O860))</f>
        <v/>
      </c>
      <c r="AG860" s="25" t="str">
        <f>IFERROR(INDEX('Hun Demand'!Q:Q,MATCH(O860,'Hun Demand'!A:A,0)),"")</f>
        <v/>
      </c>
      <c r="AH860" s="25" t="str">
        <f>IFERROR(INDEX('Hun Demand'!H:H,MATCH($O860,'Hun Demand'!$A:$A,0)),"")</f>
        <v/>
      </c>
      <c r="AI860" s="25" t="str">
        <f>IF(SUMIFS('Supp Consol'!AA:AA,'Supp Consol'!Z:Z,"Expires this month",'Supp Consol'!A:A,O860)=0,"",SUMIFS('Supp Consol'!AA:AA,'Supp Consol'!Z:Z,"Expires this month",'Supp Consol'!A:A,O860))</f>
        <v/>
      </c>
      <c r="AJ860" s="25" t="str">
        <f>IF(SUMIFS('Supp Consol'!AA:AA,'Supp Consol'!Z:Z,"Expired Previous Months",'Supp Consol'!A:A,O860)=0,"",SUMIFS('Supp Consol'!AA:AA,'Supp Consol'!Z:Z,"Expired Previous Months",'Supp Consol'!A:A,O860))</f>
        <v/>
      </c>
      <c r="AK860" s="25" t="str">
        <f>IFERROR(INDEX('Hun Release Current'!B:B,MATCH(O860,'Hun Release Current'!A:A,0)),"")</f>
        <v/>
      </c>
      <c r="AL860" s="25" t="str">
        <f>IF(SUMIF('Prev Aub'!A:A,O860,'Prev Aub'!B:B)=0,"",SUMIF('Prev Aub'!A:A,O860,'Prev Aub'!B:B))</f>
        <v/>
      </c>
      <c r="AN860" s="25" t="s">
        <v>3790</v>
      </c>
      <c r="AO860" s="25" t="s">
        <v>3790</v>
      </c>
      <c r="AP860" s="25">
        <f t="shared" si="370"/>
        <v>0</v>
      </c>
      <c r="AQ860" s="151" t="str">
        <f>IF(SUMIFS('Supp Consol'!S:S,'Supp Consol'!A:A,O860,'Supp Consol'!I:I,"PENDING")=0,"",SUMIFS('Supp Consol'!S:S,'Supp Consol'!A:A,O860,'Supp Consol'!I:I,"PENDING"))</f>
        <v/>
      </c>
      <c r="AR860" s="27" t="str">
        <f t="shared" si="371"/>
        <v>MW600</v>
      </c>
      <c r="AS860" s="27" t="str">
        <f t="shared" si="372"/>
        <v>62</v>
      </c>
      <c r="AT860" s="27" t="str">
        <f t="shared" si="373"/>
        <v/>
      </c>
      <c r="AU860" s="27" t="str">
        <f t="shared" si="374"/>
        <v/>
      </c>
      <c r="AV860" s="27" t="str">
        <f t="shared" si="375"/>
        <v/>
      </c>
      <c r="AW860" s="27" t="str">
        <f t="shared" si="376"/>
        <v/>
      </c>
      <c r="AX860" s="27" t="str">
        <f t="shared" si="377"/>
        <v/>
      </c>
      <c r="AY860" s="27" t="str">
        <f t="shared" si="378"/>
        <v/>
      </c>
      <c r="AZ860" s="27" t="str">
        <f t="shared" si="379"/>
        <v/>
      </c>
      <c r="BA860" s="27" t="str">
        <f t="shared" si="380"/>
        <v/>
      </c>
      <c r="BB860" s="27" t="str">
        <f t="shared" si="381"/>
        <v/>
      </c>
      <c r="BC860" s="27" t="str">
        <f t="shared" si="382"/>
        <v/>
      </c>
      <c r="BD860" s="27" t="str">
        <f t="shared" si="383"/>
        <v/>
      </c>
      <c r="BE860" s="27" t="str">
        <f t="shared" si="384"/>
        <v/>
      </c>
      <c r="BF860" s="27" t="str">
        <f t="shared" si="385"/>
        <v/>
      </c>
      <c r="BG860" s="27" t="str">
        <f t="shared" si="386"/>
        <v/>
      </c>
      <c r="BH860" s="27" t="str">
        <f t="shared" si="387"/>
        <v/>
      </c>
      <c r="BI860" s="27" t="str">
        <f t="shared" si="388"/>
        <v/>
      </c>
      <c r="BJ860" s="27" t="str">
        <f t="shared" si="389"/>
        <v/>
      </c>
      <c r="BK860" s="27" t="str">
        <f t="shared" si="390"/>
        <v/>
      </c>
      <c r="BL860" s="27" t="str">
        <f t="shared" si="391"/>
        <v/>
      </c>
      <c r="BM860" s="21" t="s">
        <v>5581</v>
      </c>
    </row>
    <row r="861" spans="1:65" ht="15">
      <c r="A861" s="25" t="str">
        <f>IFERROR(INDEX('Hun Demand'!W:W,MATCH(O861,'Hun Demand'!A:A,0)),"")</f>
        <v/>
      </c>
      <c r="B861" s="25" t="str">
        <f>IFERROR(INDEX('Hun Demand'!V:V,MATCH(O861,'Hun Demand'!A:A,0)),"")</f>
        <v/>
      </c>
      <c r="C861" s="25" t="str">
        <f>IFERROR(INDEX('Hun Demand'!U:U,MATCH(O861,'Hun Demand'!A:A,0)),"")</f>
        <v/>
      </c>
      <c r="D861" s="25" t="str">
        <f>IFERROR(INDEX('Hun Demand'!T:T,MATCH(O861,'Hun Demand'!A:A,0)),"")</f>
        <v/>
      </c>
      <c r="E861" s="25" t="str">
        <f>IFERROR(INDEX('Hun Demand'!S:S,MATCH(O861,'Hun Demand'!A:A,0)),"")</f>
        <v/>
      </c>
      <c r="F861" s="25" t="str">
        <f>IFERROR(INDEX('Hun Demand'!R:R,MATCH(O861,'Hun Demand'!A:A,0)),"")</f>
        <v/>
      </c>
      <c r="G861" s="25">
        <f>IFERROR(INDEX('Aub Demand'!W:W,MATCH(O861,'Aub Demand'!A:A,0)),"")</f>
        <v>0</v>
      </c>
      <c r="H861" s="25">
        <f>IFERROR(INDEX('Aub Demand'!V:V,MATCH(O861,'Aub Demand'!A:A,0)),"")</f>
        <v>28</v>
      </c>
      <c r="I861" s="25">
        <f>IFERROR(INDEX('Aub Demand'!U:U,MATCH(O861,'Aub Demand'!A:A,0)),"")</f>
        <v>0</v>
      </c>
      <c r="J861" s="25">
        <f>IFERROR(INDEX('Aub Demand'!T:T,MATCH(O861,'Aub Demand'!A:A,0)),"")</f>
        <v>0</v>
      </c>
      <c r="K861" s="25">
        <f>IFERROR(INDEX('Aub Demand'!S:S,MATCH(O861,'Aub Demand'!A:A,0)),"")</f>
        <v>66</v>
      </c>
      <c r="L861" s="25">
        <f>IFERROR(INDEX('Aub Demand'!R:R,MATCH(O861,'Aub Demand'!A:A,0)),"")</f>
        <v>0</v>
      </c>
      <c r="O861" s="27" t="s">
        <v>2424</v>
      </c>
      <c r="P861" s="27" t="str">
        <f>IFERROR(INDEX('Aub Demand'!B:B,MATCH($O861,'Aub Demand'!$A:$A,0)),"")</f>
        <v>STAINLESS METAL X 48</v>
      </c>
      <c r="Q861" s="27" t="str">
        <f>IFERROR(INDEX('Aub Demand'!C:C,MATCH($O861,'Aub Demand'!$A:$A,0)),"")</f>
        <v>INTER</v>
      </c>
      <c r="R861" s="52">
        <f>IFERROR(IF(AR862=AR861,INDEX('Aub Demand'!K:K,MATCH($O861,'Aub Demand'!$A:$A,0))-IF(AN861="",0,AN861)+AP862,INDEX('Aub Demand'!K:K,MATCH($O861,'Aub Demand'!$A:$A,0))-IF(AN861="",0,AN861)),"")</f>
        <v>0</v>
      </c>
      <c r="S861" s="53">
        <f t="shared" si="364"/>
        <v>0</v>
      </c>
      <c r="T861" s="52" t="str">
        <f t="shared" si="365"/>
        <v/>
      </c>
      <c r="U861" s="52">
        <f>IFERROR(IF(AR862=AR861,INDEX('Aub Demand'!Q:Q,MATCH($O861,'Aub Demand'!$A:$A,0))-IF(AN861="",0,AN861)+AP862,INDEX('Aub Demand'!Q:Q,MATCH($O861,'Aub Demand'!$A:$A,0))-IF(AN861="",0,AN861)),"")</f>
        <v>-10</v>
      </c>
      <c r="V861" s="53">
        <f t="shared" si="366"/>
        <v>-1.9</v>
      </c>
      <c r="W861" s="52" t="str">
        <f t="shared" si="367"/>
        <v/>
      </c>
      <c r="X861" s="52">
        <f>IFERROR(IF(AND(AR862=AR861,AM861&lt;&gt;""),INDEX('Aub Demand'!Q:Q,MATCH($O861,'Aub Demand'!$A:$A,0))-IF(AN861="",0,AN861)+AP862+AD861+AL861,IF(AR862=AR861,INDEX('Aub Demand'!Q:Q,MATCH($O861,'Aub Demand'!$A:$A,0))-IF(AN861="",0,AN861)+AP862+AD861,IF(AM861&lt;&gt;"",INDEX('Aub Demand'!Q:Q,MATCH($O861,'Aub Demand'!$A:$A,0))-IF(AN861="",0,AN861)+AD861+AL861,INDEX('Aub Demand'!Q:Q,MATCH($O861,'Aub Demand'!$A:$A,0))-IF(AN861="",0,AN861)+AD861))),"")</f>
        <v>-10</v>
      </c>
      <c r="Y861" s="53">
        <f t="shared" si="368"/>
        <v>-1.9</v>
      </c>
      <c r="Z861" s="52">
        <f>IF(L861="","",INDEX('Aub Demand'!H:H,MATCH($O861,'Aub Demand'!$A:$A,0)))</f>
        <v>22</v>
      </c>
      <c r="AA861" s="52" t="str">
        <f t="shared" si="369"/>
        <v>-spike-</v>
      </c>
      <c r="AB861" s="52">
        <f>IFERROR(INDEX('Aub Demand'!L:L,MATCH($O861,'Aub Demand'!$A:$A,0)),"")</f>
        <v>17</v>
      </c>
      <c r="AC861" s="52">
        <f>IFERROR(IF(O861="","",SUMIFS('CPL Mats'!F:F,'CPL Mats'!Q:Q,AR861,'CPL Mats'!S:S,AS861)),"")</f>
        <v>0</v>
      </c>
      <c r="AF861" s="25" t="str">
        <f>IF(SUMIFS('Supp Consol'!S:S,'Supp Consol'!Y:Y,"Releasable",'Supp Consol'!A:A,O861)=0,"",SUMIFS('Supp Consol'!S:S,'Supp Consol'!Y:Y,"Releasable",'Supp Consol'!A:A,O861))</f>
        <v/>
      </c>
      <c r="AG861" s="25" t="str">
        <f>IFERROR(INDEX('Hun Demand'!Q:Q,MATCH(O861,'Hun Demand'!A:A,0)),"")</f>
        <v/>
      </c>
      <c r="AH861" s="25" t="str">
        <f>IFERROR(INDEX('Hun Demand'!H:H,MATCH($O861,'Hun Demand'!$A:$A,0)),"")</f>
        <v/>
      </c>
      <c r="AI861" s="25" t="str">
        <f>IF(SUMIFS('Supp Consol'!AA:AA,'Supp Consol'!Z:Z,"Expires this month",'Supp Consol'!A:A,O861)=0,"",SUMIFS('Supp Consol'!AA:AA,'Supp Consol'!Z:Z,"Expires this month",'Supp Consol'!A:A,O861))</f>
        <v/>
      </c>
      <c r="AJ861" s="25" t="str">
        <f>IF(SUMIFS('Supp Consol'!AA:AA,'Supp Consol'!Z:Z,"Expired Previous Months",'Supp Consol'!A:A,O861)=0,"",SUMIFS('Supp Consol'!AA:AA,'Supp Consol'!Z:Z,"Expired Previous Months",'Supp Consol'!A:A,O861))</f>
        <v/>
      </c>
      <c r="AK861" s="25" t="str">
        <f>IFERROR(INDEX('Hun Release Current'!B:B,MATCH(O861,'Hun Release Current'!A:A,0)),"")</f>
        <v/>
      </c>
      <c r="AL861" s="25" t="str">
        <f>IF(SUMIF('Prev Aub'!A:A,O861,'Prev Aub'!B:B)=0,"",SUMIF('Prev Aub'!A:A,O861,'Prev Aub'!B:B))</f>
        <v/>
      </c>
      <c r="AN861" s="25" t="s">
        <v>3790</v>
      </c>
      <c r="AO861" s="25" t="s">
        <v>3790</v>
      </c>
      <c r="AP861" s="25">
        <f t="shared" si="370"/>
        <v>0</v>
      </c>
      <c r="AQ861" s="151" t="str">
        <f>IF(SUMIFS('Supp Consol'!S:S,'Supp Consol'!A:A,O861,'Supp Consol'!I:I,"PENDING")=0,"",SUMIFS('Supp Consol'!S:S,'Supp Consol'!A:A,O861,'Supp Consol'!I:I,"PENDING"))</f>
        <v/>
      </c>
      <c r="AR861" s="27" t="str">
        <f t="shared" si="371"/>
        <v>MXT02</v>
      </c>
      <c r="AS861" s="27" t="str">
        <f t="shared" si="372"/>
        <v>50</v>
      </c>
      <c r="AT861" s="27" t="str">
        <f t="shared" si="373"/>
        <v>MXT02</v>
      </c>
      <c r="AU861" s="27" t="str">
        <f t="shared" si="374"/>
        <v>MXT02</v>
      </c>
      <c r="AV861" s="27" t="str">
        <f t="shared" si="375"/>
        <v>MXT02</v>
      </c>
      <c r="AW861" s="27" t="str">
        <f t="shared" si="376"/>
        <v/>
      </c>
      <c r="AX861" s="27" t="str">
        <f t="shared" si="377"/>
        <v/>
      </c>
      <c r="AY861" s="27" t="str">
        <f t="shared" si="378"/>
        <v/>
      </c>
      <c r="AZ861" s="27" t="str">
        <f t="shared" si="379"/>
        <v/>
      </c>
      <c r="BA861" s="27" t="str">
        <f t="shared" si="380"/>
        <v/>
      </c>
      <c r="BB861" s="27" t="str">
        <f t="shared" si="381"/>
        <v>Gross</v>
      </c>
      <c r="BC861" s="27" t="str">
        <f t="shared" si="382"/>
        <v>Net</v>
      </c>
      <c r="BD861" s="27" t="str">
        <f t="shared" si="383"/>
        <v>Net</v>
      </c>
      <c r="BE861" s="27" t="str">
        <f t="shared" si="384"/>
        <v/>
      </c>
      <c r="BF861" s="27" t="str">
        <f t="shared" si="385"/>
        <v/>
      </c>
      <c r="BG861" s="27" t="str">
        <f t="shared" si="386"/>
        <v/>
      </c>
      <c r="BH861" s="27" t="str">
        <f t="shared" si="387"/>
        <v/>
      </c>
      <c r="BI861" s="27" t="str">
        <f t="shared" si="388"/>
        <v/>
      </c>
      <c r="BJ861" s="27" t="str">
        <f t="shared" si="389"/>
        <v/>
      </c>
      <c r="BK861" s="27" t="str">
        <f t="shared" si="390"/>
        <v/>
      </c>
      <c r="BL861" s="27" t="str">
        <f t="shared" si="391"/>
        <v/>
      </c>
      <c r="BM861" s="21" t="s">
        <v>5581</v>
      </c>
    </row>
    <row r="862" spans="1:65" ht="15">
      <c r="A862" s="25" t="str">
        <f>IFERROR(INDEX('Hun Demand'!W:W,MATCH(O862,'Hun Demand'!A:A,0)),"")</f>
        <v/>
      </c>
      <c r="B862" s="25" t="str">
        <f>IFERROR(INDEX('Hun Demand'!V:V,MATCH(O862,'Hun Demand'!A:A,0)),"")</f>
        <v/>
      </c>
      <c r="C862" s="25" t="str">
        <f>IFERROR(INDEX('Hun Demand'!U:U,MATCH(O862,'Hun Demand'!A:A,0)),"")</f>
        <v/>
      </c>
      <c r="D862" s="25" t="str">
        <f>IFERROR(INDEX('Hun Demand'!T:T,MATCH(O862,'Hun Demand'!A:A,0)),"")</f>
        <v/>
      </c>
      <c r="E862" s="25" t="str">
        <f>IFERROR(INDEX('Hun Demand'!S:S,MATCH(O862,'Hun Demand'!A:A,0)),"")</f>
        <v/>
      </c>
      <c r="F862" s="25" t="str">
        <f>IFERROR(INDEX('Hun Demand'!R:R,MATCH(O862,'Hun Demand'!A:A,0)),"")</f>
        <v/>
      </c>
      <c r="G862" s="25">
        <f>IFERROR(INDEX('Aub Demand'!W:W,MATCH(O862,'Aub Demand'!A:A,0)),"")</f>
        <v>9</v>
      </c>
      <c r="H862" s="25">
        <f>IFERROR(INDEX('Aub Demand'!V:V,MATCH(O862,'Aub Demand'!A:A,0)),"")</f>
        <v>20</v>
      </c>
      <c r="I862" s="25">
        <f>IFERROR(INDEX('Aub Demand'!U:U,MATCH(O862,'Aub Demand'!A:A,0)),"")</f>
        <v>0</v>
      </c>
      <c r="J862" s="25">
        <f>IFERROR(INDEX('Aub Demand'!T:T,MATCH(O862,'Aub Demand'!A:A,0)),"")</f>
        <v>0</v>
      </c>
      <c r="K862" s="25">
        <f>IFERROR(INDEX('Aub Demand'!S:S,MATCH(O862,'Aub Demand'!A:A,0)),"")</f>
        <v>0</v>
      </c>
      <c r="L862" s="25">
        <f>IFERROR(INDEX('Aub Demand'!R:R,MATCH(O862,'Aub Demand'!A:A,0)),"")</f>
        <v>0</v>
      </c>
      <c r="O862" s="27" t="s">
        <v>2427</v>
      </c>
      <c r="P862" s="27" t="str">
        <f>IFERROR(INDEX('Aub Demand'!B:B,MATCH($O862,'Aub Demand'!$A:$A,0)),"")</f>
        <v>STAINLESS METAL X 60</v>
      </c>
      <c r="Q862" s="27" t="str">
        <f>IFERROR(INDEX('Aub Demand'!C:C,MATCH($O862,'Aub Demand'!$A:$A,0)),"")</f>
        <v>INTER</v>
      </c>
      <c r="R862" s="52">
        <f>IFERROR(IF(AR863=AR862,INDEX('Aub Demand'!K:K,MATCH($O862,'Aub Demand'!$A:$A,0))-IF(AN862="",0,AN862)+AP863,INDEX('Aub Demand'!K:K,MATCH($O862,'Aub Demand'!$A:$A,0))-IF(AN862="",0,AN862)),"")</f>
        <v>605</v>
      </c>
      <c r="S862" s="53" t="str">
        <f t="shared" si="364"/>
        <v>n/a</v>
      </c>
      <c r="T862" s="52" t="str">
        <f t="shared" si="365"/>
        <v/>
      </c>
      <c r="U862" s="52">
        <f>IFERROR(IF(AR863=AR862,INDEX('Aub Demand'!Q:Q,MATCH($O862,'Aub Demand'!$A:$A,0))-IF(AN862="",0,AN862)+AP863,INDEX('Aub Demand'!Q:Q,MATCH($O862,'Aub Demand'!$A:$A,0))-IF(AN862="",0,AN862)),"")</f>
        <v>605</v>
      </c>
      <c r="V862" s="53" t="str">
        <f t="shared" si="366"/>
        <v>n/a</v>
      </c>
      <c r="W862" s="52" t="str">
        <f t="shared" si="367"/>
        <v/>
      </c>
      <c r="X862" s="52">
        <f>IFERROR(IF(AND(AR863=AR862,AM862&lt;&gt;""),INDEX('Aub Demand'!Q:Q,MATCH($O862,'Aub Demand'!$A:$A,0))-IF(AN862="",0,AN862)+AP863+AD862+AL862,IF(AR863=AR862,INDEX('Aub Demand'!Q:Q,MATCH($O862,'Aub Demand'!$A:$A,0))-IF(AN862="",0,AN862)+AP863+AD862,IF(AM862&lt;&gt;"",INDEX('Aub Demand'!Q:Q,MATCH($O862,'Aub Demand'!$A:$A,0))-IF(AN862="",0,AN862)+AD862+AL862,INDEX('Aub Demand'!Q:Q,MATCH($O862,'Aub Demand'!$A:$A,0))-IF(AN862="",0,AN862)+AD862))),"")</f>
        <v>605</v>
      </c>
      <c r="Y862" s="53" t="str">
        <f t="shared" si="368"/>
        <v>n/a</v>
      </c>
      <c r="Z862" s="52">
        <f>IF(L862="","",INDEX('Aub Demand'!H:H,MATCH($O862,'Aub Demand'!$A:$A,0)))</f>
        <v>0</v>
      </c>
      <c r="AA862" s="52" t="str">
        <f t="shared" si="369"/>
        <v>-spike-</v>
      </c>
      <c r="AB862" s="52">
        <f>IFERROR(INDEX('Aub Demand'!L:L,MATCH($O862,'Aub Demand'!$A:$A,0)),"")</f>
        <v>14</v>
      </c>
      <c r="AC862" s="52">
        <f>IFERROR(IF(O862="","",SUMIFS('CPL Mats'!F:F,'CPL Mats'!Q:Q,AR862,'CPL Mats'!S:S,AS862)),"")</f>
        <v>0</v>
      </c>
      <c r="AF862" s="25" t="str">
        <f>IF(SUMIFS('Supp Consol'!S:S,'Supp Consol'!Y:Y,"Releasable",'Supp Consol'!A:A,O862)=0,"",SUMIFS('Supp Consol'!S:S,'Supp Consol'!Y:Y,"Releasable",'Supp Consol'!A:A,O862))</f>
        <v/>
      </c>
      <c r="AG862" s="25" t="str">
        <f>IFERROR(INDEX('Hun Demand'!Q:Q,MATCH(O862,'Hun Demand'!A:A,0)),"")</f>
        <v/>
      </c>
      <c r="AH862" s="25" t="str">
        <f>IFERROR(INDEX('Hun Demand'!H:H,MATCH($O862,'Hun Demand'!$A:$A,0)),"")</f>
        <v/>
      </c>
      <c r="AI862" s="25" t="str">
        <f>IF(SUMIFS('Supp Consol'!AA:AA,'Supp Consol'!Z:Z,"Expires this month",'Supp Consol'!A:A,O862)=0,"",SUMIFS('Supp Consol'!AA:AA,'Supp Consol'!Z:Z,"Expires this month",'Supp Consol'!A:A,O862))</f>
        <v/>
      </c>
      <c r="AJ862" s="25" t="str">
        <f>IF(SUMIFS('Supp Consol'!AA:AA,'Supp Consol'!Z:Z,"Expired Previous Months",'Supp Consol'!A:A,O862)=0,"",SUMIFS('Supp Consol'!AA:AA,'Supp Consol'!Z:Z,"Expired Previous Months",'Supp Consol'!A:A,O862))</f>
        <v/>
      </c>
      <c r="AK862" s="25" t="str">
        <f>IFERROR(INDEX('Hun Release Current'!B:B,MATCH(O862,'Hun Release Current'!A:A,0)),"")</f>
        <v/>
      </c>
      <c r="AL862" s="25" t="str">
        <f>IF(SUMIF('Prev Aub'!A:A,O862,'Prev Aub'!B:B)=0,"",SUMIF('Prev Aub'!A:A,O862,'Prev Aub'!B:B))</f>
        <v/>
      </c>
      <c r="AN862" s="25" t="s">
        <v>3790</v>
      </c>
      <c r="AO862" s="25" t="s">
        <v>3790</v>
      </c>
      <c r="AP862" s="25">
        <f t="shared" si="370"/>
        <v>0</v>
      </c>
      <c r="AQ862" s="151" t="str">
        <f>IF(SUMIFS('Supp Consol'!S:S,'Supp Consol'!A:A,O862,'Supp Consol'!I:I,"PENDING")=0,"",SUMIFS('Supp Consol'!S:S,'Supp Consol'!A:A,O862,'Supp Consol'!I:I,"PENDING"))</f>
        <v/>
      </c>
      <c r="AR862" s="27" t="str">
        <f t="shared" si="371"/>
        <v>MXT02</v>
      </c>
      <c r="AS862" s="27" t="str">
        <f t="shared" si="372"/>
        <v>62</v>
      </c>
      <c r="AT862" s="27" t="str">
        <f t="shared" si="373"/>
        <v/>
      </c>
      <c r="AU862" s="27" t="str">
        <f t="shared" si="374"/>
        <v/>
      </c>
      <c r="AV862" s="27" t="str">
        <f t="shared" si="375"/>
        <v/>
      </c>
      <c r="AW862" s="27" t="str">
        <f t="shared" si="376"/>
        <v/>
      </c>
      <c r="AX862" s="27" t="str">
        <f t="shared" si="377"/>
        <v/>
      </c>
      <c r="AY862" s="27" t="str">
        <f t="shared" si="378"/>
        <v/>
      </c>
      <c r="AZ862" s="27" t="str">
        <f t="shared" si="379"/>
        <v/>
      </c>
      <c r="BA862" s="27" t="str">
        <f t="shared" si="380"/>
        <v/>
      </c>
      <c r="BB862" s="27" t="str">
        <f t="shared" si="381"/>
        <v>Gross</v>
      </c>
      <c r="BC862" s="27" t="str">
        <f t="shared" si="382"/>
        <v>Net</v>
      </c>
      <c r="BD862" s="27" t="str">
        <f t="shared" si="383"/>
        <v>Net</v>
      </c>
      <c r="BE862" s="27" t="str">
        <f t="shared" si="384"/>
        <v/>
      </c>
      <c r="BF862" s="27" t="str">
        <f t="shared" si="385"/>
        <v/>
      </c>
      <c r="BG862" s="27" t="str">
        <f t="shared" si="386"/>
        <v/>
      </c>
      <c r="BH862" s="27" t="str">
        <f t="shared" si="387"/>
        <v/>
      </c>
      <c r="BI862" s="27" t="str">
        <f t="shared" si="388"/>
        <v/>
      </c>
      <c r="BJ862" s="27" t="str">
        <f t="shared" si="389"/>
        <v/>
      </c>
      <c r="BK862" s="27" t="str">
        <f t="shared" si="390"/>
        <v/>
      </c>
      <c r="BL862" s="27" t="str">
        <f t="shared" si="391"/>
        <v/>
      </c>
      <c r="BM862" s="21" t="s">
        <v>5581</v>
      </c>
    </row>
    <row r="863" spans="1:65" ht="15">
      <c r="A863" s="25" t="str">
        <f>IFERROR(INDEX('Hun Demand'!W:W,MATCH(O863,'Hun Demand'!A:A,0)),"")</f>
        <v/>
      </c>
      <c r="B863" s="25" t="str">
        <f>IFERROR(INDEX('Hun Demand'!V:V,MATCH(O863,'Hun Demand'!A:A,0)),"")</f>
        <v/>
      </c>
      <c r="C863" s="25" t="str">
        <f>IFERROR(INDEX('Hun Demand'!U:U,MATCH(O863,'Hun Demand'!A:A,0)),"")</f>
        <v/>
      </c>
      <c r="D863" s="25" t="str">
        <f>IFERROR(INDEX('Hun Demand'!T:T,MATCH(O863,'Hun Demand'!A:A,0)),"")</f>
        <v/>
      </c>
      <c r="E863" s="25" t="str">
        <f>IFERROR(INDEX('Hun Demand'!S:S,MATCH(O863,'Hun Demand'!A:A,0)),"")</f>
        <v/>
      </c>
      <c r="F863" s="25" t="str">
        <f>IFERROR(INDEX('Hun Demand'!R:R,MATCH(O863,'Hun Demand'!A:A,0)),"")</f>
        <v/>
      </c>
      <c r="G863" s="25">
        <f>IFERROR(INDEX('Aub Demand'!W:W,MATCH(O863,'Aub Demand'!A:A,0)),"")</f>
        <v>612</v>
      </c>
      <c r="H863" s="25">
        <f>IFERROR(INDEX('Aub Demand'!V:V,MATCH(O863,'Aub Demand'!A:A,0)),"")</f>
        <v>271</v>
      </c>
      <c r="I863" s="25">
        <f>IFERROR(INDEX('Aub Demand'!U:U,MATCH(O863,'Aub Demand'!A:A,0)),"")</f>
        <v>113</v>
      </c>
      <c r="J863" s="25">
        <f>IFERROR(INDEX('Aub Demand'!T:T,MATCH(O863,'Aub Demand'!A:A,0)),"")</f>
        <v>28</v>
      </c>
      <c r="K863" s="25">
        <f>IFERROR(INDEX('Aub Demand'!S:S,MATCH(O863,'Aub Demand'!A:A,0)),"")</f>
        <v>263</v>
      </c>
      <c r="L863" s="25">
        <f>IFERROR(INDEX('Aub Demand'!R:R,MATCH(O863,'Aub Demand'!A:A,0)),"")</f>
        <v>0</v>
      </c>
      <c r="O863" s="27" t="s">
        <v>2429</v>
      </c>
      <c r="P863" s="27" t="str">
        <f>IFERROR(INDEX('Aub Demand'!B:B,MATCH($O863,'Aub Demand'!$A:$A,0)),"")</f>
        <v>SILVER ALU METALX 48</v>
      </c>
      <c r="Q863" s="27" t="str">
        <f>IFERROR(INDEX('Aub Demand'!C:C,MATCH($O863,'Aub Demand'!$A:$A,0)),"")</f>
        <v>INTER</v>
      </c>
      <c r="R863" s="52">
        <f>IFERROR(IF(AR864=AR863,INDEX('Aub Demand'!K:K,MATCH($O863,'Aub Demand'!$A:$A,0))-IF(AN863="",0,AN863)+AP864,INDEX('Aub Demand'!K:K,MATCH($O863,'Aub Demand'!$A:$A,0))-IF(AN863="",0,AN863)),"")</f>
        <v>0</v>
      </c>
      <c r="S863" s="53">
        <f t="shared" si="364"/>
        <v>0</v>
      </c>
      <c r="T863" s="52">
        <f t="shared" si="365"/>
        <v>141</v>
      </c>
      <c r="U863" s="52">
        <f>IFERROR(IF(AR864=AR863,INDEX('Aub Demand'!Q:Q,MATCH($O863,'Aub Demand'!$A:$A,0))-IF(AN863="",0,AN863)+AP864,INDEX('Aub Demand'!Q:Q,MATCH($O863,'Aub Demand'!$A:$A,0))-IF(AN863="",0,AN863)),"")</f>
        <v>-123</v>
      </c>
      <c r="V863" s="53">
        <f t="shared" si="366"/>
        <v>-3.9</v>
      </c>
      <c r="W863" s="52">
        <f t="shared" si="367"/>
        <v>324.3</v>
      </c>
      <c r="X863" s="52">
        <f>IFERROR(IF(AND(AR864=AR863,AM863&lt;&gt;""),INDEX('Aub Demand'!Q:Q,MATCH($O863,'Aub Demand'!$A:$A,0))-IF(AN863="",0,AN863)+AP864+AD863+AL863,IF(AR864=AR863,INDEX('Aub Demand'!Q:Q,MATCH($O863,'Aub Demand'!$A:$A,0))-IF(AN863="",0,AN863)+AP864+AD863,IF(AM863&lt;&gt;"",INDEX('Aub Demand'!Q:Q,MATCH($O863,'Aub Demand'!$A:$A,0))-IF(AN863="",0,AN863)+AD863+AL863,INDEX('Aub Demand'!Q:Q,MATCH($O863,'Aub Demand'!$A:$A,0))-IF(AN863="",0,AN863)+AD863))),"")</f>
        <v>-123</v>
      </c>
      <c r="Y863" s="53">
        <f t="shared" si="368"/>
        <v>-3.9</v>
      </c>
      <c r="Z863" s="52">
        <f>IF(L863="","",INDEX('Aub Demand'!H:H,MATCH($O863,'Aub Demand'!$A:$A,0)))</f>
        <v>135</v>
      </c>
      <c r="AA863" s="52">
        <f t="shared" si="369"/>
        <v>188</v>
      </c>
      <c r="AB863" s="52">
        <f>IFERROR(INDEX('Aub Demand'!L:L,MATCH($O863,'Aub Demand'!$A:$A,0)),"")</f>
        <v>308</v>
      </c>
      <c r="AC863" s="52">
        <f>IFERROR(IF(O863="","",SUMIFS('CPL Mats'!F:F,'CPL Mats'!Q:Q,AR863,'CPL Mats'!S:S,AS863)),"")</f>
        <v>0</v>
      </c>
      <c r="AF863" s="25" t="str">
        <f>IF(SUMIFS('Supp Consol'!S:S,'Supp Consol'!Y:Y,"Releasable",'Supp Consol'!A:A,O863)=0,"",SUMIFS('Supp Consol'!S:S,'Supp Consol'!Y:Y,"Releasable",'Supp Consol'!A:A,O863))</f>
        <v/>
      </c>
      <c r="AG863" s="25" t="str">
        <f>IFERROR(INDEX('Hun Demand'!Q:Q,MATCH(O863,'Hun Demand'!A:A,0)),"")</f>
        <v/>
      </c>
      <c r="AH863" s="25" t="str">
        <f>IFERROR(INDEX('Hun Demand'!H:H,MATCH($O863,'Hun Demand'!$A:$A,0)),"")</f>
        <v/>
      </c>
      <c r="AI863" s="25" t="str">
        <f>IF(SUMIFS('Supp Consol'!AA:AA,'Supp Consol'!Z:Z,"Expires this month",'Supp Consol'!A:A,O863)=0,"",SUMIFS('Supp Consol'!AA:AA,'Supp Consol'!Z:Z,"Expires this month",'Supp Consol'!A:A,O863))</f>
        <v/>
      </c>
      <c r="AJ863" s="25" t="str">
        <f>IF(SUMIFS('Supp Consol'!AA:AA,'Supp Consol'!Z:Z,"Expired Previous Months",'Supp Consol'!A:A,O863)=0,"",SUMIFS('Supp Consol'!AA:AA,'Supp Consol'!Z:Z,"Expired Previous Months",'Supp Consol'!A:A,O863))</f>
        <v/>
      </c>
      <c r="AK863" s="25" t="str">
        <f>IFERROR(INDEX('Hun Release Current'!B:B,MATCH(O863,'Hun Release Current'!A:A,0)),"")</f>
        <v/>
      </c>
      <c r="AL863" s="25" t="str">
        <f>IF(SUMIF('Prev Aub'!A:A,O863,'Prev Aub'!B:B)=0,"",SUMIF('Prev Aub'!A:A,O863,'Prev Aub'!B:B))</f>
        <v/>
      </c>
      <c r="AN863" s="25" t="s">
        <v>3790</v>
      </c>
      <c r="AO863" s="25" t="s">
        <v>3790</v>
      </c>
      <c r="AP863" s="25">
        <f t="shared" si="370"/>
        <v>0</v>
      </c>
      <c r="AQ863" s="151">
        <f>IF(SUMIFS('Supp Consol'!S:S,'Supp Consol'!A:A,O863,'Supp Consol'!I:I,"PENDING")=0,"",SUMIFS('Supp Consol'!S:S,'Supp Consol'!A:A,O863,'Supp Consol'!I:I,"PENDING"))</f>
        <v>1537</v>
      </c>
      <c r="AR863" s="27" t="str">
        <f t="shared" si="371"/>
        <v>MXT03</v>
      </c>
      <c r="AS863" s="27" t="str">
        <f t="shared" si="372"/>
        <v>50</v>
      </c>
      <c r="AT863" s="27" t="str">
        <f t="shared" si="373"/>
        <v>MXT03</v>
      </c>
      <c r="AU863" s="27" t="str">
        <f t="shared" si="374"/>
        <v>MXT03</v>
      </c>
      <c r="AV863" s="27" t="str">
        <f t="shared" si="375"/>
        <v>MXT03</v>
      </c>
      <c r="AW863" s="27" t="str">
        <f t="shared" si="376"/>
        <v/>
      </c>
      <c r="AX863" s="27" t="str">
        <f t="shared" si="377"/>
        <v/>
      </c>
      <c r="AY863" s="27" t="str">
        <f t="shared" si="378"/>
        <v/>
      </c>
      <c r="AZ863" s="27" t="str">
        <f t="shared" si="379"/>
        <v/>
      </c>
      <c r="BA863" s="27" t="str">
        <f t="shared" si="380"/>
        <v/>
      </c>
      <c r="BB863" s="27" t="str">
        <f t="shared" si="381"/>
        <v>Gross</v>
      </c>
      <c r="BC863" s="27" t="str">
        <f t="shared" si="382"/>
        <v>Net</v>
      </c>
      <c r="BD863" s="27" t="str">
        <f t="shared" si="383"/>
        <v>Net</v>
      </c>
      <c r="BE863" s="27" t="str">
        <f t="shared" si="384"/>
        <v/>
      </c>
      <c r="BF863" s="27" t="str">
        <f t="shared" si="385"/>
        <v/>
      </c>
      <c r="BG863" s="27" t="str">
        <f t="shared" si="386"/>
        <v/>
      </c>
      <c r="BH863" s="27" t="str">
        <f t="shared" si="387"/>
        <v/>
      </c>
      <c r="BI863" s="27" t="str">
        <f t="shared" si="388"/>
        <v/>
      </c>
      <c r="BJ863" s="27" t="str">
        <f t="shared" si="389"/>
        <v/>
      </c>
      <c r="BK863" s="27" t="str">
        <f t="shared" si="390"/>
        <v/>
      </c>
      <c r="BL863" s="27" t="str">
        <f t="shared" si="391"/>
        <v/>
      </c>
      <c r="BM863" s="21" t="s">
        <v>5581</v>
      </c>
    </row>
    <row r="864" spans="1:65" ht="15">
      <c r="A864" s="25">
        <f>IFERROR(INDEX('Hun Demand'!W:W,MATCH(O864,'Hun Demand'!A:A,0)),"")</f>
        <v>0</v>
      </c>
      <c r="B864" s="25">
        <f>IFERROR(INDEX('Hun Demand'!V:V,MATCH(O864,'Hun Demand'!A:A,0)),"")</f>
        <v>0</v>
      </c>
      <c r="C864" s="25">
        <f>IFERROR(INDEX('Hun Demand'!U:U,MATCH(O864,'Hun Demand'!A:A,0)),"")</f>
        <v>282</v>
      </c>
      <c r="D864" s="25">
        <f>IFERROR(INDEX('Hun Demand'!T:T,MATCH(O864,'Hun Demand'!A:A,0)),"")</f>
        <v>0</v>
      </c>
      <c r="E864" s="25">
        <f>IFERROR(INDEX('Hun Demand'!S:S,MATCH(O864,'Hun Demand'!A:A,0)),"")</f>
        <v>0</v>
      </c>
      <c r="F864" s="25">
        <f>IFERROR(INDEX('Hun Demand'!R:R,MATCH(O864,'Hun Demand'!A:A,0)),"")</f>
        <v>0</v>
      </c>
      <c r="G864" s="25">
        <f>IFERROR(INDEX('Aub Demand'!W:W,MATCH(O864,'Aub Demand'!A:A,0)),"")</f>
        <v>146</v>
      </c>
      <c r="H864" s="25">
        <f>IFERROR(INDEX('Aub Demand'!V:V,MATCH(O864,'Aub Demand'!A:A,0)),"")</f>
        <v>300</v>
      </c>
      <c r="I864" s="25">
        <f>IFERROR(INDEX('Aub Demand'!U:U,MATCH(O864,'Aub Demand'!A:A,0)),"")</f>
        <v>215</v>
      </c>
      <c r="J864" s="25">
        <f>IFERROR(INDEX('Aub Demand'!T:T,MATCH(O864,'Aub Demand'!A:A,0)),"")</f>
        <v>323</v>
      </c>
      <c r="K864" s="25">
        <f>IFERROR(INDEX('Aub Demand'!S:S,MATCH(O864,'Aub Demand'!A:A,0)),"")</f>
        <v>315</v>
      </c>
      <c r="L864" s="25">
        <f>IFERROR(INDEX('Aub Demand'!R:R,MATCH(O864,'Aub Demand'!A:A,0)),"")</f>
        <v>0</v>
      </c>
      <c r="O864" s="27" t="s">
        <v>2432</v>
      </c>
      <c r="P864" s="27" t="str">
        <f>IFERROR(INDEX('Aub Demand'!B:B,MATCH($O864,'Aub Demand'!$A:$A,0)),"")</f>
        <v>SILVER ALU METALX 60</v>
      </c>
      <c r="Q864" s="27" t="str">
        <f>IFERROR(INDEX('Aub Demand'!C:C,MATCH($O864,'Aub Demand'!$A:$A,0)),"")</f>
        <v>INTER</v>
      </c>
      <c r="R864" s="52">
        <f>IFERROR(IF(AR865=AR864,INDEX('Aub Demand'!K:K,MATCH($O864,'Aub Demand'!$A:$A,0))-IF(AN864="",0,AN864)+AP865,INDEX('Aub Demand'!K:K,MATCH($O864,'Aub Demand'!$A:$A,0))-IF(AN864="",0,AN864)),"")</f>
        <v>1507</v>
      </c>
      <c r="S864" s="53">
        <f t="shared" si="364"/>
        <v>22.7</v>
      </c>
      <c r="T864" s="52" t="str">
        <f t="shared" si="365"/>
        <v/>
      </c>
      <c r="U864" s="52">
        <f>IFERROR(IF(AR865=AR864,INDEX('Aub Demand'!Q:Q,MATCH($O864,'Aub Demand'!$A:$A,0))-IF(AN864="",0,AN864)+AP865,INDEX('Aub Demand'!Q:Q,MATCH($O864,'Aub Demand'!$A:$A,0))-IF(AN864="",0,AN864)),"")</f>
        <v>1480</v>
      </c>
      <c r="V864" s="53">
        <f t="shared" si="366"/>
        <v>22.3</v>
      </c>
      <c r="W864" s="52" t="str">
        <f t="shared" si="367"/>
        <v/>
      </c>
      <c r="X864" s="52">
        <f>IFERROR(IF(AND(AR865=AR864,AM864&lt;&gt;""),INDEX('Aub Demand'!Q:Q,MATCH($O864,'Aub Demand'!$A:$A,0))-IF(AN864="",0,AN864)+AP865+AD864+AL864,IF(AR865=AR864,INDEX('Aub Demand'!Q:Q,MATCH($O864,'Aub Demand'!$A:$A,0))-IF(AN864="",0,AN864)+AP865+AD864,IF(AM864&lt;&gt;"",INDEX('Aub Demand'!Q:Q,MATCH($O864,'Aub Demand'!$A:$A,0))-IF(AN864="",0,AN864)+AD864+AL864,INDEX('Aub Demand'!Q:Q,MATCH($O864,'Aub Demand'!$A:$A,0))-IF(AN864="",0,AN864)+AD864))),"")</f>
        <v>1480</v>
      </c>
      <c r="Y864" s="53">
        <f t="shared" si="368"/>
        <v>22.3</v>
      </c>
      <c r="Z864" s="52">
        <f>IF(L864="","",INDEX('Aub Demand'!H:H,MATCH($O864,'Aub Demand'!$A:$A,0)))</f>
        <v>284</v>
      </c>
      <c r="AA864" s="52">
        <f t="shared" si="369"/>
        <v>319</v>
      </c>
      <c r="AB864" s="52">
        <f>IFERROR(INDEX('Aub Demand'!L:L,MATCH($O864,'Aub Demand'!$A:$A,0)),"")</f>
        <v>360</v>
      </c>
      <c r="AC864" s="52">
        <f>IFERROR(IF(O864="","",SUMIFS('CPL Mats'!F:F,'CPL Mats'!Q:Q,AR864,'CPL Mats'!S:S,AS864)),"")</f>
        <v>0</v>
      </c>
      <c r="AF864" s="25" t="str">
        <f>IF(SUMIFS('Supp Consol'!S:S,'Supp Consol'!Y:Y,"Releasable",'Supp Consol'!A:A,O864)=0,"",SUMIFS('Supp Consol'!S:S,'Supp Consol'!Y:Y,"Releasable",'Supp Consol'!A:A,O864))</f>
        <v/>
      </c>
      <c r="AG864" s="25">
        <f>IFERROR(INDEX('Hun Demand'!Q:Q,MATCH(O864,'Hun Demand'!A:A,0)),"")</f>
        <v>0</v>
      </c>
      <c r="AH864" s="25">
        <f>IFERROR(INDEX('Hun Demand'!H:H,MATCH($O864,'Hun Demand'!$A:$A,0)),"")</f>
        <v>94</v>
      </c>
      <c r="AI864" s="25" t="str">
        <f>IF(SUMIFS('Supp Consol'!AA:AA,'Supp Consol'!Z:Z,"Expires this month",'Supp Consol'!A:A,O864)=0,"",SUMIFS('Supp Consol'!AA:AA,'Supp Consol'!Z:Z,"Expires this month",'Supp Consol'!A:A,O864))</f>
        <v/>
      </c>
      <c r="AJ864" s="25" t="str">
        <f>IF(SUMIFS('Supp Consol'!AA:AA,'Supp Consol'!Z:Z,"Expired Previous Months",'Supp Consol'!A:A,O864)=0,"",SUMIFS('Supp Consol'!AA:AA,'Supp Consol'!Z:Z,"Expired Previous Months",'Supp Consol'!A:A,O864))</f>
        <v/>
      </c>
      <c r="AK864" s="25" t="str">
        <f>IFERROR(INDEX('Hun Release Current'!B:B,MATCH(O864,'Hun Release Current'!A:A,0)),"")</f>
        <v/>
      </c>
      <c r="AL864" s="25" t="str">
        <f>IF(SUMIF('Prev Aub'!A:A,O864,'Prev Aub'!B:B)=0,"",SUMIF('Prev Aub'!A:A,O864,'Prev Aub'!B:B))</f>
        <v/>
      </c>
      <c r="AN864" s="25" t="s">
        <v>3790</v>
      </c>
      <c r="AO864" s="25" t="s">
        <v>3790</v>
      </c>
      <c r="AP864" s="25">
        <f t="shared" si="370"/>
        <v>0</v>
      </c>
      <c r="AQ864" s="151">
        <f>IF(SUMIFS('Supp Consol'!S:S,'Supp Consol'!A:A,O864,'Supp Consol'!I:I,"PENDING")=0,"",SUMIFS('Supp Consol'!S:S,'Supp Consol'!A:A,O864,'Supp Consol'!I:I,"PENDING"))</f>
        <v>2050</v>
      </c>
      <c r="AR864" s="27" t="str">
        <f t="shared" si="371"/>
        <v>MXT03</v>
      </c>
      <c r="AS864" s="27" t="str">
        <f t="shared" si="372"/>
        <v>62</v>
      </c>
      <c r="AT864" s="27" t="str">
        <f t="shared" si="373"/>
        <v/>
      </c>
      <c r="AU864" s="27" t="str">
        <f t="shared" si="374"/>
        <v/>
      </c>
      <c r="AV864" s="27" t="str">
        <f t="shared" si="375"/>
        <v/>
      </c>
      <c r="AW864" s="27" t="str">
        <f t="shared" si="376"/>
        <v/>
      </c>
      <c r="AX864" s="27" t="str">
        <f t="shared" si="377"/>
        <v/>
      </c>
      <c r="AY864" s="27" t="str">
        <f t="shared" si="378"/>
        <v/>
      </c>
      <c r="AZ864" s="27" t="str">
        <f t="shared" si="379"/>
        <v/>
      </c>
      <c r="BA864" s="27" t="str">
        <f t="shared" si="380"/>
        <v/>
      </c>
      <c r="BB864" s="27" t="str">
        <f t="shared" si="381"/>
        <v>Gross</v>
      </c>
      <c r="BC864" s="27" t="str">
        <f t="shared" si="382"/>
        <v>Net</v>
      </c>
      <c r="BD864" s="27" t="str">
        <f t="shared" si="383"/>
        <v>Net</v>
      </c>
      <c r="BE864" s="27" t="str">
        <f t="shared" si="384"/>
        <v/>
      </c>
      <c r="BF864" s="27" t="str">
        <f t="shared" si="385"/>
        <v/>
      </c>
      <c r="BG864" s="27" t="str">
        <f t="shared" si="386"/>
        <v/>
      </c>
      <c r="BH864" s="27" t="str">
        <f t="shared" si="387"/>
        <v/>
      </c>
      <c r="BI864" s="27" t="str">
        <f t="shared" si="388"/>
        <v/>
      </c>
      <c r="BJ864" s="27" t="str">
        <f t="shared" si="389"/>
        <v/>
      </c>
      <c r="BK864" s="27" t="str">
        <f t="shared" si="390"/>
        <v/>
      </c>
      <c r="BL864" s="27" t="str">
        <f t="shared" si="391"/>
        <v/>
      </c>
      <c r="BM864" s="21" t="s">
        <v>5581</v>
      </c>
    </row>
    <row r="865" spans="1:65" ht="15">
      <c r="A865" s="25" t="str">
        <f>IFERROR(INDEX('Hun Demand'!W:W,MATCH(O865,'Hun Demand'!A:A,0)),"")</f>
        <v/>
      </c>
      <c r="B865" s="25" t="str">
        <f>IFERROR(INDEX('Hun Demand'!V:V,MATCH(O865,'Hun Demand'!A:A,0)),"")</f>
        <v/>
      </c>
      <c r="C865" s="25" t="str">
        <f>IFERROR(INDEX('Hun Demand'!U:U,MATCH(O865,'Hun Demand'!A:A,0)),"")</f>
        <v/>
      </c>
      <c r="D865" s="25" t="str">
        <f>IFERROR(INDEX('Hun Demand'!T:T,MATCH(O865,'Hun Demand'!A:A,0)),"")</f>
        <v/>
      </c>
      <c r="E865" s="25" t="str">
        <f>IFERROR(INDEX('Hun Demand'!S:S,MATCH(O865,'Hun Demand'!A:A,0)),"")</f>
        <v/>
      </c>
      <c r="F865" s="25" t="str">
        <f>IFERROR(INDEX('Hun Demand'!R:R,MATCH(O865,'Hun Demand'!A:A,0)),"")</f>
        <v/>
      </c>
      <c r="G865" s="25">
        <f>IFERROR(INDEX('Aub Demand'!W:W,MATCH(O865,'Aub Demand'!A:A,0)),"")</f>
        <v>10</v>
      </c>
      <c r="H865" s="25">
        <f>IFERROR(INDEX('Aub Demand'!V:V,MATCH(O865,'Aub Demand'!A:A,0)),"")</f>
        <v>3</v>
      </c>
      <c r="I865" s="25">
        <f>IFERROR(INDEX('Aub Demand'!U:U,MATCH(O865,'Aub Demand'!A:A,0)),"")</f>
        <v>5</v>
      </c>
      <c r="J865" s="25">
        <f>IFERROR(INDEX('Aub Demand'!T:T,MATCH(O865,'Aub Demand'!A:A,0)),"")</f>
        <v>0</v>
      </c>
      <c r="K865" s="25">
        <f>IFERROR(INDEX('Aub Demand'!S:S,MATCH(O865,'Aub Demand'!A:A,0)),"")</f>
        <v>17</v>
      </c>
      <c r="L865" s="25">
        <f>IFERROR(INDEX('Aub Demand'!R:R,MATCH(O865,'Aub Demand'!A:A,0)),"")</f>
        <v>0</v>
      </c>
      <c r="O865" s="27" t="s">
        <v>2434</v>
      </c>
      <c r="P865" s="27" t="str">
        <f>IFERROR(INDEX('Aub Demand'!B:B,MATCH($O865,'Aub Demand'!$A:$A,0)),"")</f>
        <v>PAINTED WOODLANDS 50</v>
      </c>
      <c r="Q865" s="27" t="str">
        <f>IFERROR(INDEX('Aub Demand'!C:C,MATCH($O865,'Aub Demand'!$A:$A,0)),"")</f>
        <v>TOPPA</v>
      </c>
      <c r="R865" s="52">
        <f>IFERROR(IF(AR866=AR865,INDEX('Aub Demand'!K:K,MATCH($O865,'Aub Demand'!$A:$A,0))-IF(AN865="",0,AN865)+AP866,INDEX('Aub Demand'!K:K,MATCH($O865,'Aub Demand'!$A:$A,0))-IF(AN865="",0,AN865)),"")</f>
        <v>336</v>
      </c>
      <c r="S865" s="53">
        <f t="shared" si="364"/>
        <v>205.7</v>
      </c>
      <c r="T865" s="52" t="str">
        <f t="shared" si="365"/>
        <v/>
      </c>
      <c r="U865" s="52">
        <f>IFERROR(IF(AR866=AR865,INDEX('Aub Demand'!Q:Q,MATCH($O865,'Aub Demand'!$A:$A,0))-IF(AN865="",0,AN865)+AP866,INDEX('Aub Demand'!Q:Q,MATCH($O865,'Aub Demand'!$A:$A,0))-IF(AN865="",0,AN865)),"")</f>
        <v>336</v>
      </c>
      <c r="V865" s="53">
        <f t="shared" si="366"/>
        <v>205.7</v>
      </c>
      <c r="W865" s="52" t="str">
        <f t="shared" si="367"/>
        <v/>
      </c>
      <c r="X865" s="52">
        <f>IFERROR(IF(AND(AR866=AR865,AM865&lt;&gt;""),INDEX('Aub Demand'!Q:Q,MATCH($O865,'Aub Demand'!$A:$A,0))-IF(AN865="",0,AN865)+AP866+AD865+AL865,IF(AR866=AR865,INDEX('Aub Demand'!Q:Q,MATCH($O865,'Aub Demand'!$A:$A,0))-IF(AN865="",0,AN865)+AP866+AD865,IF(AM865&lt;&gt;"",INDEX('Aub Demand'!Q:Q,MATCH($O865,'Aub Demand'!$A:$A,0))-IF(AN865="",0,AN865)+AD865+AL865,INDEX('Aub Demand'!Q:Q,MATCH($O865,'Aub Demand'!$A:$A,0))-IF(AN865="",0,AN865)+AD865))),"")</f>
        <v>336</v>
      </c>
      <c r="Y865" s="53">
        <f t="shared" si="368"/>
        <v>205.7</v>
      </c>
      <c r="Z865" s="52">
        <f>IF(L865="","",INDEX('Aub Demand'!H:H,MATCH($O865,'Aub Demand'!$A:$A,0)))</f>
        <v>7</v>
      </c>
      <c r="AA865" s="52">
        <f t="shared" si="369"/>
        <v>11</v>
      </c>
      <c r="AB865" s="52">
        <f>IFERROR(INDEX('Aub Demand'!L:L,MATCH($O865,'Aub Demand'!$A:$A,0)),"")</f>
        <v>3</v>
      </c>
      <c r="AC865" s="52">
        <f>IFERROR(IF(O865="","",SUMIFS('CPL Mats'!F:F,'CPL Mats'!Q:Q,AR865,'CPL Mats'!S:S,AS865)),"")</f>
        <v>0</v>
      </c>
      <c r="AF865" s="25" t="str">
        <f>IF(SUMIFS('Supp Consol'!S:S,'Supp Consol'!Y:Y,"Releasable",'Supp Consol'!A:A,O865)=0,"",SUMIFS('Supp Consol'!S:S,'Supp Consol'!Y:Y,"Releasable",'Supp Consol'!A:A,O865))</f>
        <v/>
      </c>
      <c r="AG865" s="25" t="str">
        <f>IFERROR(INDEX('Hun Demand'!Q:Q,MATCH(O865,'Hun Demand'!A:A,0)),"")</f>
        <v/>
      </c>
      <c r="AH865" s="25" t="str">
        <f>IFERROR(INDEX('Hun Demand'!H:H,MATCH($O865,'Hun Demand'!$A:$A,0)),"")</f>
        <v/>
      </c>
      <c r="AI865" s="25" t="str">
        <f>IF(SUMIFS('Supp Consol'!AA:AA,'Supp Consol'!Z:Z,"Expires this month",'Supp Consol'!A:A,O865)=0,"",SUMIFS('Supp Consol'!AA:AA,'Supp Consol'!Z:Z,"Expires this month",'Supp Consol'!A:A,O865))</f>
        <v/>
      </c>
      <c r="AJ865" s="25" t="str">
        <f>IF(SUMIFS('Supp Consol'!AA:AA,'Supp Consol'!Z:Z,"Expired Previous Months",'Supp Consol'!A:A,O865)=0,"",SUMIFS('Supp Consol'!AA:AA,'Supp Consol'!Z:Z,"Expired Previous Months",'Supp Consol'!A:A,O865))</f>
        <v/>
      </c>
      <c r="AK865" s="25" t="str">
        <f>IFERROR(INDEX('Hun Release Current'!B:B,MATCH(O865,'Hun Release Current'!A:A,0)),"")</f>
        <v/>
      </c>
      <c r="AL865" s="25" t="str">
        <f>IF(SUMIF('Prev Aub'!A:A,O865,'Prev Aub'!B:B)=0,"",SUMIF('Prev Aub'!A:A,O865,'Prev Aub'!B:B))</f>
        <v/>
      </c>
      <c r="AN865" s="25" t="s">
        <v>3790</v>
      </c>
      <c r="AO865" s="25" t="s">
        <v>3790</v>
      </c>
      <c r="AP865" s="25">
        <f t="shared" si="370"/>
        <v>0</v>
      </c>
      <c r="AQ865" s="151" t="str">
        <f>IF(SUMIFS('Supp Consol'!S:S,'Supp Consol'!A:A,O865,'Supp Consol'!I:I,"PENDING")=0,"",SUMIFS('Supp Consol'!S:S,'Supp Consol'!A:A,O865,'Supp Consol'!I:I,"PENDING"))</f>
        <v/>
      </c>
      <c r="AR865" s="27" t="str">
        <f t="shared" si="371"/>
        <v>PDG02</v>
      </c>
      <c r="AS865" s="27" t="str">
        <f t="shared" si="372"/>
        <v>50</v>
      </c>
      <c r="AT865" s="27" t="str">
        <f t="shared" si="373"/>
        <v/>
      </c>
      <c r="AU865" s="27" t="str">
        <f t="shared" si="374"/>
        <v/>
      </c>
      <c r="AV865" s="27" t="str">
        <f t="shared" si="375"/>
        <v/>
      </c>
      <c r="AW865" s="27" t="str">
        <f t="shared" si="376"/>
        <v/>
      </c>
      <c r="AX865" s="27" t="str">
        <f t="shared" si="377"/>
        <v/>
      </c>
      <c r="AY865" s="27" t="str">
        <f t="shared" si="378"/>
        <v/>
      </c>
      <c r="AZ865" s="27" t="str">
        <f t="shared" si="379"/>
        <v/>
      </c>
      <c r="BA865" s="27" t="str">
        <f t="shared" si="380"/>
        <v/>
      </c>
      <c r="BB865" s="27" t="str">
        <f t="shared" si="381"/>
        <v/>
      </c>
      <c r="BC865" s="27" t="str">
        <f t="shared" si="382"/>
        <v/>
      </c>
      <c r="BD865" s="27" t="str">
        <f t="shared" si="383"/>
        <v/>
      </c>
      <c r="BE865" s="27" t="str">
        <f t="shared" si="384"/>
        <v/>
      </c>
      <c r="BF865" s="27" t="str">
        <f t="shared" si="385"/>
        <v/>
      </c>
      <c r="BG865" s="27" t="str">
        <f t="shared" si="386"/>
        <v/>
      </c>
      <c r="BH865" s="27" t="str">
        <f t="shared" si="387"/>
        <v/>
      </c>
      <c r="BI865" s="27" t="str">
        <f t="shared" si="388"/>
        <v/>
      </c>
      <c r="BJ865" s="27" t="str">
        <f t="shared" si="389"/>
        <v/>
      </c>
      <c r="BK865" s="27" t="str">
        <f t="shared" si="390"/>
        <v/>
      </c>
      <c r="BL865" s="27" t="str">
        <f t="shared" si="391"/>
        <v/>
      </c>
      <c r="BM865" s="21" t="s">
        <v>3790</v>
      </c>
    </row>
    <row r="866" spans="1:65" ht="15">
      <c r="A866" s="25" t="str">
        <f>IFERROR(INDEX('Hun Demand'!W:W,MATCH(O866,'Hun Demand'!A:A,0)),"")</f>
        <v/>
      </c>
      <c r="B866" s="25" t="str">
        <f>IFERROR(INDEX('Hun Demand'!V:V,MATCH(O866,'Hun Demand'!A:A,0)),"")</f>
        <v/>
      </c>
      <c r="C866" s="25" t="str">
        <f>IFERROR(INDEX('Hun Demand'!U:U,MATCH(O866,'Hun Demand'!A:A,0)),"")</f>
        <v/>
      </c>
      <c r="D866" s="25" t="str">
        <f>IFERROR(INDEX('Hun Demand'!T:T,MATCH(O866,'Hun Demand'!A:A,0)),"")</f>
        <v/>
      </c>
      <c r="E866" s="25" t="str">
        <f>IFERROR(INDEX('Hun Demand'!S:S,MATCH(O866,'Hun Demand'!A:A,0)),"")</f>
        <v/>
      </c>
      <c r="F866" s="25" t="str">
        <f>IFERROR(INDEX('Hun Demand'!R:R,MATCH(O866,'Hun Demand'!A:A,0)),"")</f>
        <v/>
      </c>
      <c r="G866" s="25">
        <f>IFERROR(INDEX('Aub Demand'!W:W,MATCH(O866,'Aub Demand'!A:A,0)),"")</f>
        <v>24</v>
      </c>
      <c r="H866" s="25">
        <f>IFERROR(INDEX('Aub Demand'!V:V,MATCH(O866,'Aub Demand'!A:A,0)),"")</f>
        <v>15</v>
      </c>
      <c r="I866" s="25">
        <f>IFERROR(INDEX('Aub Demand'!U:U,MATCH(O866,'Aub Demand'!A:A,0)),"")</f>
        <v>0</v>
      </c>
      <c r="J866" s="25">
        <f>IFERROR(INDEX('Aub Demand'!T:T,MATCH(O866,'Aub Demand'!A:A,0)),"")</f>
        <v>25</v>
      </c>
      <c r="K866" s="25">
        <f>IFERROR(INDEX('Aub Demand'!S:S,MATCH(O866,'Aub Demand'!A:A,0)),"")</f>
        <v>21</v>
      </c>
      <c r="L866" s="25">
        <f>IFERROR(INDEX('Aub Demand'!R:R,MATCH(O866,'Aub Demand'!A:A,0)),"")</f>
        <v>0</v>
      </c>
      <c r="O866" s="27" t="s">
        <v>2436</v>
      </c>
      <c r="P866" s="27" t="str">
        <f>IFERROR(INDEX('Aub Demand'!B:B,MATCH($O866,'Aub Demand'!$A:$A,0)),"")</f>
        <v>PAINTED WOODLANDS 60</v>
      </c>
      <c r="Q866" s="27" t="str">
        <f>IFERROR(INDEX('Aub Demand'!C:C,MATCH($O866,'Aub Demand'!$A:$A,0)),"")</f>
        <v>TOPPA</v>
      </c>
      <c r="R866" s="52">
        <f>IFERROR(IF(AR867=AR866,INDEX('Aub Demand'!K:K,MATCH($O866,'Aub Demand'!$A:$A,0))-IF(AN866="",0,AN866)+AP867,INDEX('Aub Demand'!K:K,MATCH($O866,'Aub Demand'!$A:$A,0))-IF(AN866="",0,AN866)),"")</f>
        <v>1386</v>
      </c>
      <c r="S866" s="53">
        <f t="shared" si="364"/>
        <v>396</v>
      </c>
      <c r="T866" s="52" t="str">
        <f t="shared" si="365"/>
        <v/>
      </c>
      <c r="U866" s="52">
        <f>IFERROR(IF(AR867=AR866,INDEX('Aub Demand'!Q:Q,MATCH($O866,'Aub Demand'!$A:$A,0))-IF(AN866="",0,AN866)+AP867,INDEX('Aub Demand'!Q:Q,MATCH($O866,'Aub Demand'!$A:$A,0))-IF(AN866="",0,AN866)),"")</f>
        <v>1380</v>
      </c>
      <c r="V866" s="53">
        <f t="shared" si="366"/>
        <v>394.3</v>
      </c>
      <c r="W866" s="52" t="str">
        <f t="shared" si="367"/>
        <v/>
      </c>
      <c r="X866" s="52">
        <f>IFERROR(IF(AND(AR867=AR866,AM866&lt;&gt;""),INDEX('Aub Demand'!Q:Q,MATCH($O866,'Aub Demand'!$A:$A,0))-IF(AN866="",0,AN866)+AP867+AD866+AL866,IF(AR867=AR866,INDEX('Aub Demand'!Q:Q,MATCH($O866,'Aub Demand'!$A:$A,0))-IF(AN866="",0,AN866)+AP867+AD866,IF(AM866&lt;&gt;"",INDEX('Aub Demand'!Q:Q,MATCH($O866,'Aub Demand'!$A:$A,0))-IF(AN866="",0,AN866)+AD866+AL866,INDEX('Aub Demand'!Q:Q,MATCH($O866,'Aub Demand'!$A:$A,0))-IF(AN866="",0,AN866)+AD866))),"")</f>
        <v>1380</v>
      </c>
      <c r="Y866" s="53">
        <f t="shared" si="368"/>
        <v>394.3</v>
      </c>
      <c r="Z866" s="52">
        <f>IF(L866="","",INDEX('Aub Demand'!H:H,MATCH($O866,'Aub Demand'!$A:$A,0)))</f>
        <v>15</v>
      </c>
      <c r="AA866" s="52">
        <f t="shared" si="369"/>
        <v>23</v>
      </c>
      <c r="AB866" s="52">
        <f>IFERROR(INDEX('Aub Demand'!L:L,MATCH($O866,'Aub Demand'!$A:$A,0)),"")</f>
        <v>18</v>
      </c>
      <c r="AC866" s="52">
        <f>IFERROR(IF(O866="","",SUMIFS('CPL Mats'!F:F,'CPL Mats'!Q:Q,AR866,'CPL Mats'!S:S,AS866)),"")</f>
        <v>0</v>
      </c>
      <c r="AF866" s="25" t="str">
        <f>IF(SUMIFS('Supp Consol'!S:S,'Supp Consol'!Y:Y,"Releasable",'Supp Consol'!A:A,O866)=0,"",SUMIFS('Supp Consol'!S:S,'Supp Consol'!Y:Y,"Releasable",'Supp Consol'!A:A,O866))</f>
        <v/>
      </c>
      <c r="AG866" s="25" t="str">
        <f>IFERROR(INDEX('Hun Demand'!Q:Q,MATCH(O866,'Hun Demand'!A:A,0)),"")</f>
        <v/>
      </c>
      <c r="AH866" s="25" t="str">
        <f>IFERROR(INDEX('Hun Demand'!H:H,MATCH($O866,'Hun Demand'!$A:$A,0)),"")</f>
        <v/>
      </c>
      <c r="AI866" s="25" t="str">
        <f>IF(SUMIFS('Supp Consol'!AA:AA,'Supp Consol'!Z:Z,"Expires this month",'Supp Consol'!A:A,O866)=0,"",SUMIFS('Supp Consol'!AA:AA,'Supp Consol'!Z:Z,"Expires this month",'Supp Consol'!A:A,O866))</f>
        <v/>
      </c>
      <c r="AJ866" s="25" t="str">
        <f>IF(SUMIFS('Supp Consol'!AA:AA,'Supp Consol'!Z:Z,"Expired Previous Months",'Supp Consol'!A:A,O866)=0,"",SUMIFS('Supp Consol'!AA:AA,'Supp Consol'!Z:Z,"Expired Previous Months",'Supp Consol'!A:A,O866))</f>
        <v/>
      </c>
      <c r="AK866" s="25" t="str">
        <f>IFERROR(INDEX('Hun Release Current'!B:B,MATCH(O866,'Hun Release Current'!A:A,0)),"")</f>
        <v/>
      </c>
      <c r="AL866" s="25" t="str">
        <f>IF(SUMIF('Prev Aub'!A:A,O866,'Prev Aub'!B:B)=0,"",SUMIF('Prev Aub'!A:A,O866,'Prev Aub'!B:B))</f>
        <v/>
      </c>
      <c r="AN866" s="25" t="s">
        <v>3790</v>
      </c>
      <c r="AO866" s="25" t="s">
        <v>3790</v>
      </c>
      <c r="AP866" s="25">
        <f t="shared" si="370"/>
        <v>0</v>
      </c>
      <c r="AQ866" s="151" t="str">
        <f>IF(SUMIFS('Supp Consol'!S:S,'Supp Consol'!A:A,O866,'Supp Consol'!I:I,"PENDING")=0,"",SUMIFS('Supp Consol'!S:S,'Supp Consol'!A:A,O866,'Supp Consol'!I:I,"PENDING"))</f>
        <v/>
      </c>
      <c r="AR866" s="27" t="str">
        <f t="shared" si="371"/>
        <v>PDG02</v>
      </c>
      <c r="AS866" s="27" t="str">
        <f t="shared" si="372"/>
        <v>62</v>
      </c>
      <c r="AT866" s="27" t="str">
        <f t="shared" si="373"/>
        <v/>
      </c>
      <c r="AU866" s="27" t="str">
        <f t="shared" si="374"/>
        <v/>
      </c>
      <c r="AV866" s="27" t="str">
        <f t="shared" si="375"/>
        <v/>
      </c>
      <c r="AW866" s="27" t="str">
        <f t="shared" si="376"/>
        <v/>
      </c>
      <c r="AX866" s="27" t="str">
        <f t="shared" si="377"/>
        <v/>
      </c>
      <c r="AY866" s="27" t="str">
        <f t="shared" si="378"/>
        <v/>
      </c>
      <c r="AZ866" s="27" t="str">
        <f t="shared" si="379"/>
        <v/>
      </c>
      <c r="BA866" s="27" t="str">
        <f t="shared" si="380"/>
        <v/>
      </c>
      <c r="BB866" s="27" t="str">
        <f t="shared" si="381"/>
        <v/>
      </c>
      <c r="BC866" s="27" t="str">
        <f t="shared" si="382"/>
        <v/>
      </c>
      <c r="BD866" s="27" t="str">
        <f t="shared" si="383"/>
        <v/>
      </c>
      <c r="BE866" s="27" t="str">
        <f t="shared" si="384"/>
        <v/>
      </c>
      <c r="BF866" s="27" t="str">
        <f t="shared" si="385"/>
        <v/>
      </c>
      <c r="BG866" s="27" t="str">
        <f t="shared" si="386"/>
        <v/>
      </c>
      <c r="BH866" s="27" t="str">
        <f t="shared" si="387"/>
        <v/>
      </c>
      <c r="BI866" s="27" t="str">
        <f t="shared" si="388"/>
        <v/>
      </c>
      <c r="BJ866" s="27" t="str">
        <f t="shared" si="389"/>
        <v/>
      </c>
      <c r="BK866" s="27" t="str">
        <f t="shared" si="390"/>
        <v/>
      </c>
      <c r="BL866" s="27" t="str">
        <f t="shared" si="391"/>
        <v/>
      </c>
      <c r="BM866" s="21" t="s">
        <v>3790</v>
      </c>
    </row>
    <row r="867" spans="1:65" ht="15">
      <c r="A867" s="25" t="str">
        <f>IFERROR(INDEX('Hun Demand'!W:W,MATCH(O867,'Hun Demand'!A:A,0)),"")</f>
        <v/>
      </c>
      <c r="B867" s="25" t="str">
        <f>IFERROR(INDEX('Hun Demand'!V:V,MATCH(O867,'Hun Demand'!A:A,0)),"")</f>
        <v/>
      </c>
      <c r="C867" s="25" t="str">
        <f>IFERROR(INDEX('Hun Demand'!U:U,MATCH(O867,'Hun Demand'!A:A,0)),"")</f>
        <v/>
      </c>
      <c r="D867" s="25" t="str">
        <f>IFERROR(INDEX('Hun Demand'!T:T,MATCH(O867,'Hun Demand'!A:A,0)),"")</f>
        <v/>
      </c>
      <c r="E867" s="25" t="str">
        <f>IFERROR(INDEX('Hun Demand'!S:S,MATCH(O867,'Hun Demand'!A:A,0)),"")</f>
        <v/>
      </c>
      <c r="F867" s="25" t="str">
        <f>IFERROR(INDEX('Hun Demand'!R:R,MATCH(O867,'Hun Demand'!A:A,0)),"")</f>
        <v/>
      </c>
      <c r="G867" s="25">
        <f>IFERROR(INDEX('Aub Demand'!W:W,MATCH(O867,'Aub Demand'!A:A,0)),"")</f>
        <v>299</v>
      </c>
      <c r="H867" s="25">
        <f>IFERROR(INDEX('Aub Demand'!V:V,MATCH(O867,'Aub Demand'!A:A,0)),"")</f>
        <v>0</v>
      </c>
      <c r="I867" s="25">
        <f>IFERROR(INDEX('Aub Demand'!U:U,MATCH(O867,'Aub Demand'!A:A,0)),"")</f>
        <v>0</v>
      </c>
      <c r="J867" s="25">
        <f>IFERROR(INDEX('Aub Demand'!T:T,MATCH(O867,'Aub Demand'!A:A,0)),"")</f>
        <v>0</v>
      </c>
      <c r="K867" s="25">
        <f>IFERROR(INDEX('Aub Demand'!S:S,MATCH(O867,'Aub Demand'!A:A,0)),"")</f>
        <v>0</v>
      </c>
      <c r="L867" s="25">
        <f>IFERROR(INDEX('Aub Demand'!R:R,MATCH(O867,'Aub Demand'!A:A,0)),"")</f>
        <v>0</v>
      </c>
      <c r="O867" s="27" t="s">
        <v>3385</v>
      </c>
      <c r="P867" s="27" t="str">
        <f>IFERROR(INDEX('Aub Demand'!B:B,MATCH($O867,'Aub Demand'!$A:$A,0)),"")</f>
        <v>PAINTED DESERT</v>
      </c>
      <c r="Q867" s="27">
        <f>IFERROR(INDEX('Aub Demand'!C:C,MATCH($O867,'Aub Demand'!$A:$A,0)),"")</f>
        <v>0</v>
      </c>
      <c r="R867" s="52">
        <f>IFERROR(IF(AR868=AR867,INDEX('Aub Demand'!K:K,MATCH($O867,'Aub Demand'!$A:$A,0))-IF(AN867="",0,AN867)+AP868,INDEX('Aub Demand'!K:K,MATCH($O867,'Aub Demand'!$A:$A,0))-IF(AN867="",0,AN867)),"")</f>
        <v>534</v>
      </c>
      <c r="S867" s="53" t="str">
        <f t="shared" si="364"/>
        <v>n/a</v>
      </c>
      <c r="T867" s="52" t="str">
        <f t="shared" si="365"/>
        <v/>
      </c>
      <c r="U867" s="52">
        <f>IFERROR(IF(AR868=AR867,INDEX('Aub Demand'!Q:Q,MATCH($O867,'Aub Demand'!$A:$A,0))-IF(AN867="",0,AN867)+AP868,INDEX('Aub Demand'!Q:Q,MATCH($O867,'Aub Demand'!$A:$A,0))-IF(AN867="",0,AN867)),"")</f>
        <v>534</v>
      </c>
      <c r="V867" s="53" t="str">
        <f t="shared" si="366"/>
        <v>n/a</v>
      </c>
      <c r="W867" s="52" t="str">
        <f t="shared" si="367"/>
        <v/>
      </c>
      <c r="X867" s="52">
        <f>IFERROR(IF(AND(AR868=AR867,AM867&lt;&gt;""),INDEX('Aub Demand'!Q:Q,MATCH($O867,'Aub Demand'!$A:$A,0))-IF(AN867="",0,AN867)+AP868+AD867+AL867,IF(AR868=AR867,INDEX('Aub Demand'!Q:Q,MATCH($O867,'Aub Demand'!$A:$A,0))-IF(AN867="",0,AN867)+AP868+AD867,IF(AM867&lt;&gt;"",INDEX('Aub Demand'!Q:Q,MATCH($O867,'Aub Demand'!$A:$A,0))-IF(AN867="",0,AN867)+AD867+AL867,INDEX('Aub Demand'!Q:Q,MATCH($O867,'Aub Demand'!$A:$A,0))-IF(AN867="",0,AN867)+AD867))),"")</f>
        <v>534</v>
      </c>
      <c r="Y867" s="53" t="str">
        <f t="shared" si="368"/>
        <v>n/a</v>
      </c>
      <c r="Z867" s="52">
        <f>IF(L867="","",INDEX('Aub Demand'!H:H,MATCH($O867,'Aub Demand'!$A:$A,0)))</f>
        <v>0</v>
      </c>
      <c r="AA867" s="52" t="str">
        <f t="shared" si="369"/>
        <v>-spike-</v>
      </c>
      <c r="AB867" s="52">
        <f>IFERROR(INDEX('Aub Demand'!L:L,MATCH($O867,'Aub Demand'!$A:$A,0)),"")</f>
        <v>35</v>
      </c>
      <c r="AC867" s="52">
        <f>IFERROR(IF(O867="","",SUMIFS('CPL Mats'!F:F,'CPL Mats'!Q:Q,AR867,'CPL Mats'!S:S,AS867)),"")</f>
        <v>476</v>
      </c>
      <c r="AF867" s="25" t="str">
        <f>IF(SUMIFS('Supp Consol'!S:S,'Supp Consol'!Y:Y,"Releasable",'Supp Consol'!A:A,O867)=0,"",SUMIFS('Supp Consol'!S:S,'Supp Consol'!Y:Y,"Releasable",'Supp Consol'!A:A,O867))</f>
        <v/>
      </c>
      <c r="AG867" s="25" t="str">
        <f>IFERROR(INDEX('Hun Demand'!Q:Q,MATCH(O867,'Hun Demand'!A:A,0)),"")</f>
        <v/>
      </c>
      <c r="AH867" s="25" t="str">
        <f>IFERROR(INDEX('Hun Demand'!H:H,MATCH($O867,'Hun Demand'!$A:$A,0)),"")</f>
        <v/>
      </c>
      <c r="AI867" s="25" t="str">
        <f>IF(SUMIFS('Supp Consol'!AA:AA,'Supp Consol'!Z:Z,"Expires this month",'Supp Consol'!A:A,O867)=0,"",SUMIFS('Supp Consol'!AA:AA,'Supp Consol'!Z:Z,"Expires this month",'Supp Consol'!A:A,O867))</f>
        <v/>
      </c>
      <c r="AJ867" s="25" t="str">
        <f>IF(SUMIFS('Supp Consol'!AA:AA,'Supp Consol'!Z:Z,"Expired Previous Months",'Supp Consol'!A:A,O867)=0,"",SUMIFS('Supp Consol'!AA:AA,'Supp Consol'!Z:Z,"Expired Previous Months",'Supp Consol'!A:A,O867))</f>
        <v/>
      </c>
      <c r="AK867" s="25" t="str">
        <f>IFERROR(INDEX('Hun Release Current'!B:B,MATCH(O867,'Hun Release Current'!A:A,0)),"")</f>
        <v/>
      </c>
      <c r="AL867" s="25" t="str">
        <f>IF(SUMIF('Prev Aub'!A:A,O867,'Prev Aub'!B:B)=0,"",SUMIF('Prev Aub'!A:A,O867,'Prev Aub'!B:B))</f>
        <v/>
      </c>
      <c r="AN867" s="25" t="s">
        <v>3790</v>
      </c>
      <c r="AO867" s="25" t="s">
        <v>3790</v>
      </c>
      <c r="AP867" s="25">
        <f t="shared" si="370"/>
        <v>0</v>
      </c>
      <c r="AQ867" s="151" t="str">
        <f>IF(SUMIFS('Supp Consol'!S:S,'Supp Consol'!A:A,O867,'Supp Consol'!I:I,"PENDING")=0,"",SUMIFS('Supp Consol'!S:S,'Supp Consol'!A:A,O867,'Supp Consol'!I:I,"PENDING"))</f>
        <v/>
      </c>
      <c r="AR867" s="27" t="str">
        <f t="shared" si="371"/>
        <v>PDN03</v>
      </c>
      <c r="AS867" s="27" t="str">
        <f t="shared" si="372"/>
        <v>50</v>
      </c>
      <c r="AT867" s="27" t="str">
        <f t="shared" si="373"/>
        <v/>
      </c>
      <c r="AU867" s="27" t="str">
        <f t="shared" si="374"/>
        <v/>
      </c>
      <c r="AV867" s="27" t="str">
        <f t="shared" si="375"/>
        <v/>
      </c>
      <c r="AW867" s="27" t="str">
        <f t="shared" si="376"/>
        <v/>
      </c>
      <c r="AX867" s="27" t="str">
        <f t="shared" si="377"/>
        <v/>
      </c>
      <c r="AY867" s="27" t="str">
        <f t="shared" si="378"/>
        <v/>
      </c>
      <c r="AZ867" s="27" t="str">
        <f t="shared" si="379"/>
        <v/>
      </c>
      <c r="BA867" s="27" t="str">
        <f t="shared" si="380"/>
        <v/>
      </c>
      <c r="BB867" s="27" t="str">
        <f t="shared" si="381"/>
        <v/>
      </c>
      <c r="BC867" s="27" t="str">
        <f t="shared" si="382"/>
        <v/>
      </c>
      <c r="BD867" s="27" t="str">
        <f t="shared" si="383"/>
        <v/>
      </c>
      <c r="BE867" s="27" t="str">
        <f t="shared" si="384"/>
        <v/>
      </c>
      <c r="BF867" s="27" t="str">
        <f t="shared" si="385"/>
        <v/>
      </c>
      <c r="BG867" s="27" t="str">
        <f t="shared" si="386"/>
        <v/>
      </c>
      <c r="BH867" s="27" t="str">
        <f t="shared" si="387"/>
        <v/>
      </c>
      <c r="BI867" s="27" t="str">
        <f t="shared" si="388"/>
        <v/>
      </c>
      <c r="BJ867" s="27" t="str">
        <f t="shared" si="389"/>
        <v/>
      </c>
      <c r="BK867" s="27" t="str">
        <f t="shared" si="390"/>
        <v/>
      </c>
      <c r="BL867" s="27" t="str">
        <f t="shared" si="391"/>
        <v/>
      </c>
      <c r="BM867" s="21" t="s">
        <v>5581</v>
      </c>
    </row>
    <row r="868" spans="1:65" ht="15">
      <c r="A868" s="25" t="str">
        <f>IFERROR(INDEX('Hun Demand'!W:W,MATCH(O868,'Hun Demand'!A:A,0)),"")</f>
        <v/>
      </c>
      <c r="B868" s="25" t="str">
        <f>IFERROR(INDEX('Hun Demand'!V:V,MATCH(O868,'Hun Demand'!A:A,0)),"")</f>
        <v/>
      </c>
      <c r="C868" s="25" t="str">
        <f>IFERROR(INDEX('Hun Demand'!U:U,MATCH(O868,'Hun Demand'!A:A,0)),"")</f>
        <v/>
      </c>
      <c r="D868" s="25" t="str">
        <f>IFERROR(INDEX('Hun Demand'!T:T,MATCH(O868,'Hun Demand'!A:A,0)),"")</f>
        <v/>
      </c>
      <c r="E868" s="25" t="str">
        <f>IFERROR(INDEX('Hun Demand'!S:S,MATCH(O868,'Hun Demand'!A:A,0)),"")</f>
        <v/>
      </c>
      <c r="F868" s="25" t="str">
        <f>IFERROR(INDEX('Hun Demand'!R:R,MATCH(O868,'Hun Demand'!A:A,0)),"")</f>
        <v/>
      </c>
      <c r="G868" s="25">
        <f>IFERROR(INDEX('Aub Demand'!W:W,MATCH(O868,'Aub Demand'!A:A,0)),"")</f>
        <v>0</v>
      </c>
      <c r="H868" s="25">
        <f>IFERROR(INDEX('Aub Demand'!V:V,MATCH(O868,'Aub Demand'!A:A,0)),"")</f>
        <v>0</v>
      </c>
      <c r="I868" s="25">
        <f>IFERROR(INDEX('Aub Demand'!U:U,MATCH(O868,'Aub Demand'!A:A,0)),"")</f>
        <v>0</v>
      </c>
      <c r="J868" s="25">
        <f>IFERROR(INDEX('Aub Demand'!T:T,MATCH(O868,'Aub Demand'!A:A,0)),"")</f>
        <v>0</v>
      </c>
      <c r="K868" s="25">
        <f>IFERROR(INDEX('Aub Demand'!S:S,MATCH(O868,'Aub Demand'!A:A,0)),"")</f>
        <v>0</v>
      </c>
      <c r="L868" s="25">
        <f>IFERROR(INDEX('Aub Demand'!R:R,MATCH(O868,'Aub Demand'!A:A,0)),"")</f>
        <v>0</v>
      </c>
      <c r="O868" s="27" t="s">
        <v>1266</v>
      </c>
      <c r="P868" s="27" t="str">
        <f>IFERROR(INDEX('Aub Demand'!B:B,MATCH($O868,'Aub Demand'!$A:$A,0)),"")</f>
        <v>PRINTED IN TOKYO</v>
      </c>
      <c r="Q868" s="27" t="str">
        <f>IFERROR(INDEX('Aub Demand'!C:C,MATCH($O868,'Aub Demand'!$A:$A,0)),"")</f>
        <v>TOPPA</v>
      </c>
      <c r="R868" s="52">
        <f>IFERROR(IF(AR869=AR868,INDEX('Aub Demand'!K:K,MATCH($O868,'Aub Demand'!$A:$A,0))-IF(AN868="",0,AN868)+AP869,INDEX('Aub Demand'!K:K,MATCH($O868,'Aub Demand'!$A:$A,0))-IF(AN868="",0,AN868)),"")</f>
        <v>108</v>
      </c>
      <c r="S868" s="53" t="str">
        <f t="shared" si="364"/>
        <v>n/a</v>
      </c>
      <c r="T868" s="52" t="str">
        <f t="shared" si="365"/>
        <v/>
      </c>
      <c r="U868" s="52">
        <f>IFERROR(IF(AR869=AR868,INDEX('Aub Demand'!Q:Q,MATCH($O868,'Aub Demand'!$A:$A,0))-IF(AN868="",0,AN868)+AP869,INDEX('Aub Demand'!Q:Q,MATCH($O868,'Aub Demand'!$A:$A,0))-IF(AN868="",0,AN868)),"")</f>
        <v>108</v>
      </c>
      <c r="V868" s="53" t="str">
        <f t="shared" si="366"/>
        <v>n/a</v>
      </c>
      <c r="W868" s="52" t="str">
        <f t="shared" si="367"/>
        <v/>
      </c>
      <c r="X868" s="52">
        <f>IFERROR(IF(AND(AR869=AR868,AM868&lt;&gt;""),INDEX('Aub Demand'!Q:Q,MATCH($O868,'Aub Demand'!$A:$A,0))-IF(AN868="",0,AN868)+AP869+AD868+AL868,IF(AR869=AR868,INDEX('Aub Demand'!Q:Q,MATCH($O868,'Aub Demand'!$A:$A,0))-IF(AN868="",0,AN868)+AP869+AD868,IF(AM868&lt;&gt;"",INDEX('Aub Demand'!Q:Q,MATCH($O868,'Aub Demand'!$A:$A,0))-IF(AN868="",0,AN868)+AD868+AL868,INDEX('Aub Demand'!Q:Q,MATCH($O868,'Aub Demand'!$A:$A,0))-IF(AN868="",0,AN868)+AD868))),"")</f>
        <v>108</v>
      </c>
      <c r="Y868" s="53" t="str">
        <f t="shared" si="368"/>
        <v>n/a</v>
      </c>
      <c r="Z868" s="52">
        <f>IF(L868="","",INDEX('Aub Demand'!H:H,MATCH($O868,'Aub Demand'!$A:$A,0)))</f>
        <v>0</v>
      </c>
      <c r="AA868" s="52" t="str">
        <f t="shared" si="369"/>
        <v>-spike-</v>
      </c>
      <c r="AB868" s="52">
        <f>IFERROR(INDEX('Aub Demand'!L:L,MATCH($O868,'Aub Demand'!$A:$A,0)),"")</f>
        <v>0</v>
      </c>
      <c r="AC868" s="52">
        <f>IFERROR(IF(O868="","",SUMIFS('CPL Mats'!F:F,'CPL Mats'!Q:Q,AR868,'CPL Mats'!S:S,AS868)),"")</f>
        <v>0</v>
      </c>
      <c r="AF868" s="25" t="str">
        <f>IF(SUMIFS('Supp Consol'!S:S,'Supp Consol'!Y:Y,"Releasable",'Supp Consol'!A:A,O868)=0,"",SUMIFS('Supp Consol'!S:S,'Supp Consol'!Y:Y,"Releasable",'Supp Consol'!A:A,O868))</f>
        <v/>
      </c>
      <c r="AG868" s="25" t="str">
        <f>IFERROR(INDEX('Hun Demand'!Q:Q,MATCH(O868,'Hun Demand'!A:A,0)),"")</f>
        <v/>
      </c>
      <c r="AH868" s="25" t="str">
        <f>IFERROR(INDEX('Hun Demand'!H:H,MATCH($O868,'Hun Demand'!$A:$A,0)),"")</f>
        <v/>
      </c>
      <c r="AI868" s="25" t="str">
        <f>IF(SUMIFS('Supp Consol'!AA:AA,'Supp Consol'!Z:Z,"Expires this month",'Supp Consol'!A:A,O868)=0,"",SUMIFS('Supp Consol'!AA:AA,'Supp Consol'!Z:Z,"Expires this month",'Supp Consol'!A:A,O868))</f>
        <v/>
      </c>
      <c r="AJ868" s="25" t="str">
        <f>IF(SUMIFS('Supp Consol'!AA:AA,'Supp Consol'!Z:Z,"Expired Previous Months",'Supp Consol'!A:A,O868)=0,"",SUMIFS('Supp Consol'!AA:AA,'Supp Consol'!Z:Z,"Expired Previous Months",'Supp Consol'!A:A,O868))</f>
        <v/>
      </c>
      <c r="AK868" s="25" t="str">
        <f>IFERROR(INDEX('Hun Release Current'!B:B,MATCH(O868,'Hun Release Current'!A:A,0)),"")</f>
        <v/>
      </c>
      <c r="AL868" s="25" t="str">
        <f>IF(SUMIF('Prev Aub'!A:A,O868,'Prev Aub'!B:B)=0,"",SUMIF('Prev Aub'!A:A,O868,'Prev Aub'!B:B))</f>
        <v/>
      </c>
      <c r="AN868" s="25" t="s">
        <v>3790</v>
      </c>
      <c r="AO868" s="25" t="s">
        <v>3790</v>
      </c>
      <c r="AP868" s="25">
        <f t="shared" si="370"/>
        <v>0</v>
      </c>
      <c r="AQ868" s="151" t="str">
        <f>IF(SUMIFS('Supp Consol'!S:S,'Supp Consol'!A:A,O868,'Supp Consol'!I:I,"PENDING")=0,"",SUMIFS('Supp Consol'!S:S,'Supp Consol'!A:A,O868,'Supp Consol'!I:I,"PENDING"))</f>
        <v/>
      </c>
      <c r="AR868" s="27" t="str">
        <f t="shared" si="371"/>
        <v>PFA30</v>
      </c>
      <c r="AS868" s="27" t="str">
        <f t="shared" si="372"/>
        <v>50</v>
      </c>
      <c r="AT868" s="27" t="str">
        <f t="shared" si="373"/>
        <v/>
      </c>
      <c r="AU868" s="27" t="str">
        <f t="shared" si="374"/>
        <v/>
      </c>
      <c r="AV868" s="27" t="str">
        <f t="shared" si="375"/>
        <v/>
      </c>
      <c r="AW868" s="27" t="str">
        <f t="shared" si="376"/>
        <v/>
      </c>
      <c r="AX868" s="27" t="str">
        <f t="shared" si="377"/>
        <v/>
      </c>
      <c r="AY868" s="27" t="str">
        <f t="shared" si="378"/>
        <v/>
      </c>
      <c r="AZ868" s="27" t="str">
        <f t="shared" si="379"/>
        <v/>
      </c>
      <c r="BA868" s="27" t="str">
        <f t="shared" si="380"/>
        <v/>
      </c>
      <c r="BB868" s="27" t="str">
        <f t="shared" si="381"/>
        <v/>
      </c>
      <c r="BC868" s="27" t="str">
        <f t="shared" si="382"/>
        <v/>
      </c>
      <c r="BD868" s="27" t="str">
        <f t="shared" si="383"/>
        <v/>
      </c>
      <c r="BE868" s="27" t="str">
        <f t="shared" si="384"/>
        <v/>
      </c>
      <c r="BF868" s="27" t="str">
        <f t="shared" si="385"/>
        <v/>
      </c>
      <c r="BG868" s="27" t="str">
        <f t="shared" si="386"/>
        <v/>
      </c>
      <c r="BH868" s="27" t="str">
        <f t="shared" si="387"/>
        <v/>
      </c>
      <c r="BI868" s="27" t="str">
        <f t="shared" si="388"/>
        <v/>
      </c>
      <c r="BJ868" s="27" t="str">
        <f t="shared" si="389"/>
        <v/>
      </c>
      <c r="BK868" s="27" t="str">
        <f t="shared" si="390"/>
        <v/>
      </c>
      <c r="BL868" s="27" t="str">
        <f t="shared" si="391"/>
        <v/>
      </c>
      <c r="BM868" s="21" t="s">
        <v>3790</v>
      </c>
    </row>
    <row r="869" spans="1:65" ht="15">
      <c r="A869" s="25" t="str">
        <f>IFERROR(INDEX('Hun Demand'!W:W,MATCH(O869,'Hun Demand'!A:A,0)),"")</f>
        <v/>
      </c>
      <c r="B869" s="25" t="str">
        <f>IFERROR(INDEX('Hun Demand'!V:V,MATCH(O869,'Hun Demand'!A:A,0)),"")</f>
        <v/>
      </c>
      <c r="C869" s="25" t="str">
        <f>IFERROR(INDEX('Hun Demand'!U:U,MATCH(O869,'Hun Demand'!A:A,0)),"")</f>
        <v/>
      </c>
      <c r="D869" s="25" t="str">
        <f>IFERROR(INDEX('Hun Demand'!T:T,MATCH(O869,'Hun Demand'!A:A,0)),"")</f>
        <v/>
      </c>
      <c r="E869" s="25" t="str">
        <f>IFERROR(INDEX('Hun Demand'!S:S,MATCH(O869,'Hun Demand'!A:A,0)),"")</f>
        <v/>
      </c>
      <c r="F869" s="25" t="str">
        <f>IFERROR(INDEX('Hun Demand'!R:R,MATCH(O869,'Hun Demand'!A:A,0)),"")</f>
        <v/>
      </c>
      <c r="G869" s="25">
        <f>IFERROR(INDEX('Aub Demand'!W:W,MATCH(O869,'Aub Demand'!A:A,0)),"")</f>
        <v>0</v>
      </c>
      <c r="H869" s="25">
        <f>IFERROR(INDEX('Aub Demand'!V:V,MATCH(O869,'Aub Demand'!A:A,0)),"")</f>
        <v>0</v>
      </c>
      <c r="I869" s="25">
        <f>IFERROR(INDEX('Aub Demand'!U:U,MATCH(O869,'Aub Demand'!A:A,0)),"")</f>
        <v>0</v>
      </c>
      <c r="J869" s="25">
        <f>IFERROR(INDEX('Aub Demand'!T:T,MATCH(O869,'Aub Demand'!A:A,0)),"")</f>
        <v>0</v>
      </c>
      <c r="K869" s="25">
        <f>IFERROR(INDEX('Aub Demand'!S:S,MATCH(O869,'Aub Demand'!A:A,0)),"")</f>
        <v>0</v>
      </c>
      <c r="L869" s="25">
        <f>IFERROR(INDEX('Aub Demand'!R:R,MATCH(O869,'Aub Demand'!A:A,0)),"")</f>
        <v>0</v>
      </c>
      <c r="O869" s="27" t="s">
        <v>1269</v>
      </c>
      <c r="P869" s="27" t="str">
        <f>IFERROR(INDEX('Aub Demand'!B:B,MATCH($O869,'Aub Demand'!$A:$A,0)),"")</f>
        <v>PRINTED IN TOKYO</v>
      </c>
      <c r="Q869" s="27" t="str">
        <f>IFERROR(INDEX('Aub Demand'!C:C,MATCH($O869,'Aub Demand'!$A:$A,0)),"")</f>
        <v>TOPPA</v>
      </c>
      <c r="R869" s="52">
        <f>IFERROR(IF(AR870=AR869,INDEX('Aub Demand'!K:K,MATCH($O869,'Aub Demand'!$A:$A,0))-IF(AN869="",0,AN869)+AP870,INDEX('Aub Demand'!K:K,MATCH($O869,'Aub Demand'!$A:$A,0))-IF(AN869="",0,AN869)),"")</f>
        <v>219</v>
      </c>
      <c r="S869" s="53" t="str">
        <f t="shared" si="364"/>
        <v>n/a</v>
      </c>
      <c r="T869" s="52" t="str">
        <f t="shared" si="365"/>
        <v/>
      </c>
      <c r="U869" s="52">
        <f>IFERROR(IF(AR870=AR869,INDEX('Aub Demand'!Q:Q,MATCH($O869,'Aub Demand'!$A:$A,0))-IF(AN869="",0,AN869)+AP870,INDEX('Aub Demand'!Q:Q,MATCH($O869,'Aub Demand'!$A:$A,0))-IF(AN869="",0,AN869)),"")</f>
        <v>219</v>
      </c>
      <c r="V869" s="53" t="str">
        <f t="shared" si="366"/>
        <v>n/a</v>
      </c>
      <c r="W869" s="52" t="str">
        <f t="shared" si="367"/>
        <v/>
      </c>
      <c r="X869" s="52">
        <f>IFERROR(IF(AND(AR870=AR869,AM869&lt;&gt;""),INDEX('Aub Demand'!Q:Q,MATCH($O869,'Aub Demand'!$A:$A,0))-IF(AN869="",0,AN869)+AP870+AD869+AL869,IF(AR870=AR869,INDEX('Aub Demand'!Q:Q,MATCH($O869,'Aub Demand'!$A:$A,0))-IF(AN869="",0,AN869)+AP870+AD869,IF(AM869&lt;&gt;"",INDEX('Aub Demand'!Q:Q,MATCH($O869,'Aub Demand'!$A:$A,0))-IF(AN869="",0,AN869)+AD869+AL869,INDEX('Aub Demand'!Q:Q,MATCH($O869,'Aub Demand'!$A:$A,0))-IF(AN869="",0,AN869)+AD869))),"")</f>
        <v>219</v>
      </c>
      <c r="Y869" s="53" t="str">
        <f t="shared" si="368"/>
        <v>n/a</v>
      </c>
      <c r="Z869" s="52">
        <f>IF(L869="","",INDEX('Aub Demand'!H:H,MATCH($O869,'Aub Demand'!$A:$A,0)))</f>
        <v>0</v>
      </c>
      <c r="AA869" s="52" t="str">
        <f t="shared" si="369"/>
        <v>-spike-</v>
      </c>
      <c r="AB869" s="52">
        <f>IFERROR(INDEX('Aub Demand'!L:L,MATCH($O869,'Aub Demand'!$A:$A,0)),"")</f>
        <v>0</v>
      </c>
      <c r="AC869" s="52">
        <f>IFERROR(IF(O869="","",SUMIFS('CPL Mats'!F:F,'CPL Mats'!Q:Q,AR869,'CPL Mats'!S:S,AS869)),"")</f>
        <v>0</v>
      </c>
      <c r="AF869" s="25" t="str">
        <f>IF(SUMIFS('Supp Consol'!S:S,'Supp Consol'!Y:Y,"Releasable",'Supp Consol'!A:A,O869)=0,"",SUMIFS('Supp Consol'!S:S,'Supp Consol'!Y:Y,"Releasable",'Supp Consol'!A:A,O869))</f>
        <v/>
      </c>
      <c r="AG869" s="25" t="str">
        <f>IFERROR(INDEX('Hun Demand'!Q:Q,MATCH(O869,'Hun Demand'!A:A,0)),"")</f>
        <v/>
      </c>
      <c r="AH869" s="25" t="str">
        <f>IFERROR(INDEX('Hun Demand'!H:H,MATCH($O869,'Hun Demand'!$A:$A,0)),"")</f>
        <v/>
      </c>
      <c r="AI869" s="25" t="str">
        <f>IF(SUMIFS('Supp Consol'!AA:AA,'Supp Consol'!Z:Z,"Expires this month",'Supp Consol'!A:A,O869)=0,"",SUMIFS('Supp Consol'!AA:AA,'Supp Consol'!Z:Z,"Expires this month",'Supp Consol'!A:A,O869))</f>
        <v/>
      </c>
      <c r="AJ869" s="25" t="str">
        <f>IF(SUMIFS('Supp Consol'!AA:AA,'Supp Consol'!Z:Z,"Expired Previous Months",'Supp Consol'!A:A,O869)=0,"",SUMIFS('Supp Consol'!AA:AA,'Supp Consol'!Z:Z,"Expired Previous Months",'Supp Consol'!A:A,O869))</f>
        <v/>
      </c>
      <c r="AK869" s="25" t="str">
        <f>IFERROR(INDEX('Hun Release Current'!B:B,MATCH(O869,'Hun Release Current'!A:A,0)),"")</f>
        <v/>
      </c>
      <c r="AL869" s="25" t="str">
        <f>IF(SUMIF('Prev Aub'!A:A,O869,'Prev Aub'!B:B)=0,"",SUMIF('Prev Aub'!A:A,O869,'Prev Aub'!B:B))</f>
        <v/>
      </c>
      <c r="AN869" s="25" t="s">
        <v>3790</v>
      </c>
      <c r="AO869" s="25" t="s">
        <v>3790</v>
      </c>
      <c r="AP869" s="25">
        <f t="shared" si="370"/>
        <v>0</v>
      </c>
      <c r="AQ869" s="151" t="str">
        <f>IF(SUMIFS('Supp Consol'!S:S,'Supp Consol'!A:A,O869,'Supp Consol'!I:I,"PENDING")=0,"",SUMIFS('Supp Consol'!S:S,'Supp Consol'!A:A,O869,'Supp Consol'!I:I,"PENDING"))</f>
        <v/>
      </c>
      <c r="AR869" s="27" t="str">
        <f t="shared" si="371"/>
        <v>PFA30</v>
      </c>
      <c r="AS869" s="27" t="str">
        <f t="shared" si="372"/>
        <v>62</v>
      </c>
      <c r="AT869" s="27" t="str">
        <f t="shared" si="373"/>
        <v/>
      </c>
      <c r="AU869" s="27" t="str">
        <f t="shared" si="374"/>
        <v/>
      </c>
      <c r="AV869" s="27" t="str">
        <f t="shared" si="375"/>
        <v/>
      </c>
      <c r="AW869" s="27" t="str">
        <f t="shared" si="376"/>
        <v/>
      </c>
      <c r="AX869" s="27" t="str">
        <f t="shared" si="377"/>
        <v/>
      </c>
      <c r="AY869" s="27" t="str">
        <f t="shared" si="378"/>
        <v/>
      </c>
      <c r="AZ869" s="27" t="str">
        <f t="shared" si="379"/>
        <v/>
      </c>
      <c r="BA869" s="27" t="str">
        <f t="shared" si="380"/>
        <v/>
      </c>
      <c r="BB869" s="27" t="str">
        <f t="shared" si="381"/>
        <v/>
      </c>
      <c r="BC869" s="27" t="str">
        <f t="shared" si="382"/>
        <v/>
      </c>
      <c r="BD869" s="27" t="str">
        <f t="shared" si="383"/>
        <v/>
      </c>
      <c r="BE869" s="27" t="str">
        <f t="shared" si="384"/>
        <v/>
      </c>
      <c r="BF869" s="27" t="str">
        <f t="shared" si="385"/>
        <v/>
      </c>
      <c r="BG869" s="27" t="str">
        <f t="shared" si="386"/>
        <v/>
      </c>
      <c r="BH869" s="27" t="str">
        <f t="shared" si="387"/>
        <v/>
      </c>
      <c r="BI869" s="27" t="str">
        <f t="shared" si="388"/>
        <v/>
      </c>
      <c r="BJ869" s="27" t="str">
        <f t="shared" si="389"/>
        <v/>
      </c>
      <c r="BK869" s="27" t="str">
        <f t="shared" si="390"/>
        <v/>
      </c>
      <c r="BL869" s="27" t="str">
        <f t="shared" si="391"/>
        <v/>
      </c>
      <c r="BM869" s="21" t="s">
        <v>3790</v>
      </c>
    </row>
    <row r="870" spans="1:65" ht="15">
      <c r="A870" s="25">
        <f>IFERROR(INDEX('Hun Demand'!W:W,MATCH(O870,'Hun Demand'!A:A,0)),"")</f>
        <v>0</v>
      </c>
      <c r="B870" s="25">
        <f>IFERROR(INDEX('Hun Demand'!V:V,MATCH(O870,'Hun Demand'!A:A,0)),"")</f>
        <v>0</v>
      </c>
      <c r="C870" s="25">
        <f>IFERROR(INDEX('Hun Demand'!U:U,MATCH(O870,'Hun Demand'!A:A,0)),"")</f>
        <v>0</v>
      </c>
      <c r="D870" s="25">
        <f>IFERROR(INDEX('Hun Demand'!T:T,MATCH(O870,'Hun Demand'!A:A,0)),"")</f>
        <v>0</v>
      </c>
      <c r="E870" s="25">
        <f>IFERROR(INDEX('Hun Demand'!S:S,MATCH(O870,'Hun Demand'!A:A,0)),"")</f>
        <v>0</v>
      </c>
      <c r="F870" s="25">
        <f>IFERROR(INDEX('Hun Demand'!R:R,MATCH(O870,'Hun Demand'!A:A,0)),"")</f>
        <v>0</v>
      </c>
      <c r="G870" s="25">
        <f>IFERROR(INDEX('Aub Demand'!W:W,MATCH(O870,'Aub Demand'!A:A,0)),"")</f>
        <v>0</v>
      </c>
      <c r="H870" s="25">
        <f>IFERROR(INDEX('Aub Demand'!V:V,MATCH(O870,'Aub Demand'!A:A,0)),"")</f>
        <v>29</v>
      </c>
      <c r="I870" s="25">
        <f>IFERROR(INDEX('Aub Demand'!U:U,MATCH(O870,'Aub Demand'!A:A,0)),"")</f>
        <v>0</v>
      </c>
      <c r="J870" s="25">
        <f>IFERROR(INDEX('Aub Demand'!T:T,MATCH(O870,'Aub Demand'!A:A,0)),"")</f>
        <v>0</v>
      </c>
      <c r="K870" s="25">
        <f>IFERROR(INDEX('Aub Demand'!S:S,MATCH(O870,'Aub Demand'!A:A,0)),"")</f>
        <v>0</v>
      </c>
      <c r="L870" s="25">
        <f>IFERROR(INDEX('Aub Demand'!R:R,MATCH(O870,'Aub Demand'!A:A,0)),"")</f>
        <v>0</v>
      </c>
      <c r="O870" s="27" t="s">
        <v>1270</v>
      </c>
      <c r="P870" s="27" t="str">
        <f>IFERROR(INDEX('Aub Demand'!B:B,MATCH($O870,'Aub Demand'!$A:$A,0)),"")</f>
        <v>SINGING THE CHICAGO</v>
      </c>
      <c r="Q870" s="27" t="str">
        <f>IFERROR(INDEX('Aub Demand'!C:C,MATCH($O870,'Aub Demand'!$A:$A,0)),"")</f>
        <v>DNP A</v>
      </c>
      <c r="R870" s="52">
        <f>IFERROR(IF(AR871=AR870,INDEX('Aub Demand'!K:K,MATCH($O870,'Aub Demand'!$A:$A,0))-IF(AN870="",0,AN870)+AP871,INDEX('Aub Demand'!K:K,MATCH($O870,'Aub Demand'!$A:$A,0))-IF(AN870="",0,AN870)),"")</f>
        <v>495</v>
      </c>
      <c r="S870" s="53" t="str">
        <f t="shared" si="364"/>
        <v>n/a</v>
      </c>
      <c r="T870" s="52" t="str">
        <f t="shared" si="365"/>
        <v/>
      </c>
      <c r="U870" s="52">
        <f>IFERROR(IF(AR871=AR870,INDEX('Aub Demand'!Q:Q,MATCH($O870,'Aub Demand'!$A:$A,0))-IF(AN870="",0,AN870)+AP871,INDEX('Aub Demand'!Q:Q,MATCH($O870,'Aub Demand'!$A:$A,0))-IF(AN870="",0,AN870)),"")</f>
        <v>492</v>
      </c>
      <c r="V870" s="53" t="str">
        <f t="shared" si="366"/>
        <v>n/a</v>
      </c>
      <c r="W870" s="52" t="str">
        <f t="shared" si="367"/>
        <v/>
      </c>
      <c r="X870" s="52">
        <f>IFERROR(IF(AND(AR871=AR870,AM870&lt;&gt;""),INDEX('Aub Demand'!Q:Q,MATCH($O870,'Aub Demand'!$A:$A,0))-IF(AN870="",0,AN870)+AP871+AD870+AL870,IF(AR871=AR870,INDEX('Aub Demand'!Q:Q,MATCH($O870,'Aub Demand'!$A:$A,0))-IF(AN870="",0,AN870)+AP871+AD870,IF(AM870&lt;&gt;"",INDEX('Aub Demand'!Q:Q,MATCH($O870,'Aub Demand'!$A:$A,0))-IF(AN870="",0,AN870)+AD870+AL870,INDEX('Aub Demand'!Q:Q,MATCH($O870,'Aub Demand'!$A:$A,0))-IF(AN870="",0,AN870)+AD870))),"")</f>
        <v>492</v>
      </c>
      <c r="Y870" s="53" t="str">
        <f t="shared" si="368"/>
        <v>n/a</v>
      </c>
      <c r="Z870" s="52">
        <f>IF(L870="","",INDEX('Aub Demand'!H:H,MATCH($O870,'Aub Demand'!$A:$A,0)))</f>
        <v>0</v>
      </c>
      <c r="AA870" s="52" t="str">
        <f t="shared" si="369"/>
        <v>-spike-</v>
      </c>
      <c r="AB870" s="52">
        <f>IFERROR(INDEX('Aub Demand'!L:L,MATCH($O870,'Aub Demand'!$A:$A,0)),"")</f>
        <v>1</v>
      </c>
      <c r="AC870" s="52">
        <f>IFERROR(IF(O870="","",SUMIFS('CPL Mats'!F:F,'CPL Mats'!Q:Q,AR870,'CPL Mats'!S:S,AS870)),"")</f>
        <v>0</v>
      </c>
      <c r="AF870" s="25" t="str">
        <f>IF(SUMIFS('Supp Consol'!S:S,'Supp Consol'!Y:Y,"Releasable",'Supp Consol'!A:A,O870)=0,"",SUMIFS('Supp Consol'!S:S,'Supp Consol'!Y:Y,"Releasable",'Supp Consol'!A:A,O870))</f>
        <v/>
      </c>
      <c r="AG870" s="25">
        <f>IFERROR(INDEX('Hun Demand'!Q:Q,MATCH(O870,'Hun Demand'!A:A,0)),"")</f>
        <v>223</v>
      </c>
      <c r="AH870" s="25">
        <f>IFERROR(INDEX('Hun Demand'!H:H,MATCH($O870,'Hun Demand'!$A:$A,0)),"")</f>
        <v>0</v>
      </c>
      <c r="AI870" s="25" t="str">
        <f>IF(SUMIFS('Supp Consol'!AA:AA,'Supp Consol'!Z:Z,"Expires this month",'Supp Consol'!A:A,O870)=0,"",SUMIFS('Supp Consol'!AA:AA,'Supp Consol'!Z:Z,"Expires this month",'Supp Consol'!A:A,O870))</f>
        <v/>
      </c>
      <c r="AJ870" s="25" t="str">
        <f>IF(SUMIFS('Supp Consol'!AA:AA,'Supp Consol'!Z:Z,"Expired Previous Months",'Supp Consol'!A:A,O870)=0,"",SUMIFS('Supp Consol'!AA:AA,'Supp Consol'!Z:Z,"Expired Previous Months",'Supp Consol'!A:A,O870))</f>
        <v/>
      </c>
      <c r="AK870" s="25" t="str">
        <f>IFERROR(INDEX('Hun Release Current'!B:B,MATCH(O870,'Hun Release Current'!A:A,0)),"")</f>
        <v/>
      </c>
      <c r="AL870" s="25" t="str">
        <f>IF(SUMIF('Prev Aub'!A:A,O870,'Prev Aub'!B:B)=0,"",SUMIF('Prev Aub'!A:A,O870,'Prev Aub'!B:B))</f>
        <v/>
      </c>
      <c r="AN870" s="25" t="s">
        <v>3790</v>
      </c>
      <c r="AO870" s="25" t="s">
        <v>3790</v>
      </c>
      <c r="AP870" s="25">
        <f t="shared" si="370"/>
        <v>0</v>
      </c>
      <c r="AQ870" s="151" t="str">
        <f>IF(SUMIFS('Supp Consol'!S:S,'Supp Consol'!A:A,O870,'Supp Consol'!I:I,"PENDING")=0,"",SUMIFS('Supp Consol'!S:S,'Supp Consol'!A:A,O870,'Supp Consol'!I:I,"PENDING"))</f>
        <v/>
      </c>
      <c r="AR870" s="27" t="str">
        <f t="shared" si="371"/>
        <v>PFA39</v>
      </c>
      <c r="AS870" s="27" t="str">
        <f t="shared" si="372"/>
        <v>50</v>
      </c>
      <c r="AT870" s="27" t="str">
        <f t="shared" si="373"/>
        <v/>
      </c>
      <c r="AU870" s="27" t="str">
        <f t="shared" si="374"/>
        <v/>
      </c>
      <c r="AV870" s="27" t="str">
        <f t="shared" si="375"/>
        <v/>
      </c>
      <c r="AW870" s="27" t="str">
        <f t="shared" si="376"/>
        <v/>
      </c>
      <c r="AX870" s="27" t="str">
        <f t="shared" si="377"/>
        <v/>
      </c>
      <c r="AY870" s="27" t="str">
        <f t="shared" si="378"/>
        <v>PFA39</v>
      </c>
      <c r="AZ870" s="27" t="str">
        <f t="shared" si="379"/>
        <v>Supp</v>
      </c>
      <c r="BA870" s="27" t="str">
        <f t="shared" si="380"/>
        <v>Hun</v>
      </c>
      <c r="BB870" s="27" t="str">
        <f t="shared" si="381"/>
        <v/>
      </c>
      <c r="BC870" s="27" t="str">
        <f t="shared" si="382"/>
        <v/>
      </c>
      <c r="BD870" s="27" t="str">
        <f t="shared" si="383"/>
        <v/>
      </c>
      <c r="BE870" s="27" t="str">
        <f t="shared" si="384"/>
        <v>Exp</v>
      </c>
      <c r="BF870" s="27" t="str">
        <f t="shared" si="385"/>
        <v/>
      </c>
      <c r="BG870" s="27" t="str">
        <f t="shared" si="386"/>
        <v>S+NorE</v>
      </c>
      <c r="BH870" s="27" t="str">
        <f t="shared" si="387"/>
        <v/>
      </c>
      <c r="BI870" s="27" t="str">
        <f t="shared" si="388"/>
        <v/>
      </c>
      <c r="BJ870" s="27" t="str">
        <f t="shared" si="389"/>
        <v>Supp or Hun</v>
      </c>
      <c r="BK870" s="27" t="str">
        <f t="shared" si="390"/>
        <v/>
      </c>
      <c r="BL870" s="27" t="str">
        <f t="shared" si="391"/>
        <v>SorHandNandE</v>
      </c>
      <c r="BM870" s="21" t="s">
        <v>5581</v>
      </c>
    </row>
    <row r="871" spans="1:65" ht="15">
      <c r="A871" s="25">
        <f>IFERROR(INDEX('Hun Demand'!W:W,MATCH(O871,'Hun Demand'!A:A,0)),"")</f>
        <v>0</v>
      </c>
      <c r="B871" s="25">
        <f>IFERROR(INDEX('Hun Demand'!V:V,MATCH(O871,'Hun Demand'!A:A,0)),"")</f>
        <v>0</v>
      </c>
      <c r="C871" s="25">
        <f>IFERROR(INDEX('Hun Demand'!U:U,MATCH(O871,'Hun Demand'!A:A,0)),"")</f>
        <v>133</v>
      </c>
      <c r="D871" s="25">
        <f>IFERROR(INDEX('Hun Demand'!T:T,MATCH(O871,'Hun Demand'!A:A,0)),"")</f>
        <v>0</v>
      </c>
      <c r="E871" s="25">
        <f>IFERROR(INDEX('Hun Demand'!S:S,MATCH(O871,'Hun Demand'!A:A,0)),"")</f>
        <v>0</v>
      </c>
      <c r="F871" s="25">
        <f>IFERROR(INDEX('Hun Demand'!R:R,MATCH(O871,'Hun Demand'!A:A,0)),"")</f>
        <v>0</v>
      </c>
      <c r="G871" s="25">
        <f>IFERROR(INDEX('Aub Demand'!W:W,MATCH(O871,'Aub Demand'!A:A,0)),"")</f>
        <v>0</v>
      </c>
      <c r="H871" s="25">
        <f>IFERROR(INDEX('Aub Demand'!V:V,MATCH(O871,'Aub Demand'!A:A,0)),"")</f>
        <v>133</v>
      </c>
      <c r="I871" s="25">
        <f>IFERROR(INDEX('Aub Demand'!U:U,MATCH(O871,'Aub Demand'!A:A,0)),"")</f>
        <v>0</v>
      </c>
      <c r="J871" s="25">
        <f>IFERROR(INDEX('Aub Demand'!T:T,MATCH(O871,'Aub Demand'!A:A,0)),"")</f>
        <v>0</v>
      </c>
      <c r="K871" s="25">
        <f>IFERROR(INDEX('Aub Demand'!S:S,MATCH(O871,'Aub Demand'!A:A,0)),"")</f>
        <v>0</v>
      </c>
      <c r="L871" s="25">
        <f>IFERROR(INDEX('Aub Demand'!R:R,MATCH(O871,'Aub Demand'!A:A,0)),"")</f>
        <v>0</v>
      </c>
      <c r="O871" s="27" t="s">
        <v>1273</v>
      </c>
      <c r="P871" s="27" t="str">
        <f>IFERROR(INDEX('Aub Demand'!B:B,MATCH($O871,'Aub Demand'!$A:$A,0)),"")</f>
        <v>SINGING THE CHICAGO</v>
      </c>
      <c r="Q871" s="27" t="str">
        <f>IFERROR(INDEX('Aub Demand'!C:C,MATCH($O871,'Aub Demand'!$A:$A,0)),"")</f>
        <v>DNP A</v>
      </c>
      <c r="R871" s="52">
        <f>IFERROR(IF(AR872=AR871,INDEX('Aub Demand'!K:K,MATCH($O871,'Aub Demand'!$A:$A,0))-IF(AN871="",0,AN871)+AP872,INDEX('Aub Demand'!K:K,MATCH($O871,'Aub Demand'!$A:$A,0))-IF(AN871="",0,AN871)),"")</f>
        <v>598</v>
      </c>
      <c r="S871" s="53" t="str">
        <f t="shared" si="364"/>
        <v>n/a</v>
      </c>
      <c r="T871" s="52" t="str">
        <f t="shared" si="365"/>
        <v/>
      </c>
      <c r="U871" s="52">
        <f>IFERROR(IF(AR872=AR871,INDEX('Aub Demand'!Q:Q,MATCH($O871,'Aub Demand'!$A:$A,0))-IF(AN871="",0,AN871)+AP872,INDEX('Aub Demand'!Q:Q,MATCH($O871,'Aub Demand'!$A:$A,0))-IF(AN871="",0,AN871)),"")</f>
        <v>504</v>
      </c>
      <c r="V871" s="53" t="str">
        <f t="shared" si="366"/>
        <v>n/a</v>
      </c>
      <c r="W871" s="52" t="str">
        <f t="shared" si="367"/>
        <v/>
      </c>
      <c r="X871" s="52">
        <f>IFERROR(IF(AND(AR872=AR871,AM871&lt;&gt;""),INDEX('Aub Demand'!Q:Q,MATCH($O871,'Aub Demand'!$A:$A,0))-IF(AN871="",0,AN871)+AP872+AD871+AL871,IF(AR872=AR871,INDEX('Aub Demand'!Q:Q,MATCH($O871,'Aub Demand'!$A:$A,0))-IF(AN871="",0,AN871)+AP872+AD871,IF(AM871&lt;&gt;"",INDEX('Aub Demand'!Q:Q,MATCH($O871,'Aub Demand'!$A:$A,0))-IF(AN871="",0,AN871)+AD871+AL871,INDEX('Aub Demand'!Q:Q,MATCH($O871,'Aub Demand'!$A:$A,0))-IF(AN871="",0,AN871)+AD871))),"")</f>
        <v>504</v>
      </c>
      <c r="Y871" s="53" t="str">
        <f t="shared" si="368"/>
        <v>n/a</v>
      </c>
      <c r="Z871" s="52">
        <f>IF(L871="","",INDEX('Aub Demand'!H:H,MATCH($O871,'Aub Demand'!$A:$A,0)))</f>
        <v>0</v>
      </c>
      <c r="AA871" s="52" t="str">
        <f t="shared" si="369"/>
        <v>-spike-</v>
      </c>
      <c r="AB871" s="52">
        <f>IFERROR(INDEX('Aub Demand'!L:L,MATCH($O871,'Aub Demand'!$A:$A,0)),"")</f>
        <v>223</v>
      </c>
      <c r="AC871" s="52">
        <f>IFERROR(IF(O871="","",SUMIFS('CPL Mats'!F:F,'CPL Mats'!Q:Q,AR871,'CPL Mats'!S:S,AS871)),"")</f>
        <v>0</v>
      </c>
      <c r="AF871" s="25">
        <f>IF(SUMIFS('Supp Consol'!S:S,'Supp Consol'!Y:Y,"Releasable",'Supp Consol'!A:A,O871)=0,"",SUMIFS('Supp Consol'!S:S,'Supp Consol'!Y:Y,"Releasable",'Supp Consol'!A:A,O871))</f>
        <v>546</v>
      </c>
      <c r="AG871" s="25">
        <f>IFERROR(INDEX('Hun Demand'!Q:Q,MATCH(O871,'Hun Demand'!A:A,0)),"")</f>
        <v>0</v>
      </c>
      <c r="AH871" s="25">
        <f>IFERROR(INDEX('Hun Demand'!H:H,MATCH($O871,'Hun Demand'!$A:$A,0)),"")</f>
        <v>44</v>
      </c>
      <c r="AI871" s="25">
        <f>IF(SUMIFS('Supp Consol'!AA:AA,'Supp Consol'!Z:Z,"Expires this month",'Supp Consol'!A:A,O871)=0,"",SUMIFS('Supp Consol'!AA:AA,'Supp Consol'!Z:Z,"Expires this month",'Supp Consol'!A:A,O871))</f>
        <v>500</v>
      </c>
      <c r="AJ871" s="25" t="str">
        <f>IF(SUMIFS('Supp Consol'!AA:AA,'Supp Consol'!Z:Z,"Expired Previous Months",'Supp Consol'!A:A,O871)=0,"",SUMIFS('Supp Consol'!AA:AA,'Supp Consol'!Z:Z,"Expired Previous Months",'Supp Consol'!A:A,O871))</f>
        <v/>
      </c>
      <c r="AK871" s="25" t="str">
        <f>IFERROR(INDEX('Hun Release Current'!B:B,MATCH(O871,'Hun Release Current'!A:A,0)),"")</f>
        <v/>
      </c>
      <c r="AL871" s="25" t="str">
        <f>IF(SUMIF('Prev Aub'!A:A,O871,'Prev Aub'!B:B)=0,"",SUMIF('Prev Aub'!A:A,O871,'Prev Aub'!B:B))</f>
        <v/>
      </c>
      <c r="AN871" s="25" t="s">
        <v>3790</v>
      </c>
      <c r="AO871" s="25" t="s">
        <v>3790</v>
      </c>
      <c r="AP871" s="25">
        <f t="shared" si="370"/>
        <v>0</v>
      </c>
      <c r="AQ871" s="151" t="str">
        <f>IF(SUMIFS('Supp Consol'!S:S,'Supp Consol'!A:A,O871,'Supp Consol'!I:I,"PENDING")=0,"",SUMIFS('Supp Consol'!S:S,'Supp Consol'!A:A,O871,'Supp Consol'!I:I,"PENDING"))</f>
        <v/>
      </c>
      <c r="AR871" s="27" t="str">
        <f t="shared" si="371"/>
        <v>PFA39</v>
      </c>
      <c r="AS871" s="27" t="str">
        <f t="shared" si="372"/>
        <v>62</v>
      </c>
      <c r="AT871" s="27" t="str">
        <f t="shared" si="373"/>
        <v/>
      </c>
      <c r="AU871" s="27" t="str">
        <f t="shared" si="374"/>
        <v/>
      </c>
      <c r="AV871" s="27" t="str">
        <f t="shared" si="375"/>
        <v/>
      </c>
      <c r="AW871" s="27" t="str">
        <f t="shared" si="376"/>
        <v>PFA39</v>
      </c>
      <c r="AX871" s="27" t="str">
        <f t="shared" si="377"/>
        <v>PFA39</v>
      </c>
      <c r="AY871" s="27" t="str">
        <f t="shared" si="378"/>
        <v/>
      </c>
      <c r="AZ871" s="27" t="str">
        <f t="shared" si="379"/>
        <v>Supp</v>
      </c>
      <c r="BA871" s="27" t="str">
        <f t="shared" si="380"/>
        <v>Hun</v>
      </c>
      <c r="BB871" s="27" t="str">
        <f t="shared" si="381"/>
        <v/>
      </c>
      <c r="BC871" s="27" t="str">
        <f t="shared" si="382"/>
        <v/>
      </c>
      <c r="BD871" s="27" t="str">
        <f t="shared" si="383"/>
        <v/>
      </c>
      <c r="BE871" s="27" t="str">
        <f t="shared" si="384"/>
        <v>Exp</v>
      </c>
      <c r="BF871" s="27" t="str">
        <f t="shared" si="385"/>
        <v/>
      </c>
      <c r="BG871" s="27" t="str">
        <f t="shared" si="386"/>
        <v>S+NorE</v>
      </c>
      <c r="BH871" s="27" t="str">
        <f t="shared" si="387"/>
        <v/>
      </c>
      <c r="BI871" s="27" t="str">
        <f t="shared" si="388"/>
        <v/>
      </c>
      <c r="BJ871" s="27" t="str">
        <f t="shared" si="389"/>
        <v>Supp or Hun</v>
      </c>
      <c r="BK871" s="27" t="str">
        <f t="shared" si="390"/>
        <v/>
      </c>
      <c r="BL871" s="27" t="str">
        <f t="shared" si="391"/>
        <v>SorHandNandE</v>
      </c>
      <c r="BM871" s="21" t="s">
        <v>5581</v>
      </c>
    </row>
    <row r="872" spans="1:65" ht="15">
      <c r="A872" s="25" t="str">
        <f>IFERROR(INDEX('Hun Demand'!W:W,MATCH(O872,'Hun Demand'!A:A,0)),"")</f>
        <v/>
      </c>
      <c r="B872" s="25" t="str">
        <f>IFERROR(INDEX('Hun Demand'!V:V,MATCH(O872,'Hun Demand'!A:A,0)),"")</f>
        <v/>
      </c>
      <c r="C872" s="25" t="str">
        <f>IFERROR(INDEX('Hun Demand'!U:U,MATCH(O872,'Hun Demand'!A:A,0)),"")</f>
        <v/>
      </c>
      <c r="D872" s="25" t="str">
        <f>IFERROR(INDEX('Hun Demand'!T:T,MATCH(O872,'Hun Demand'!A:A,0)),"")</f>
        <v/>
      </c>
      <c r="E872" s="25" t="str">
        <f>IFERROR(INDEX('Hun Demand'!S:S,MATCH(O872,'Hun Demand'!A:A,0)),"")</f>
        <v/>
      </c>
      <c r="F872" s="25" t="str">
        <f>IFERROR(INDEX('Hun Demand'!R:R,MATCH(O872,'Hun Demand'!A:A,0)),"")</f>
        <v/>
      </c>
      <c r="G872" s="25">
        <f>IFERROR(INDEX('Aub Demand'!W:W,MATCH(O872,'Aub Demand'!A:A,0)),"")</f>
        <v>20</v>
      </c>
      <c r="H872" s="25">
        <f>IFERROR(INDEX('Aub Demand'!V:V,MATCH(O872,'Aub Demand'!A:A,0)),"")</f>
        <v>1</v>
      </c>
      <c r="I872" s="25">
        <f>IFERROR(INDEX('Aub Demand'!U:U,MATCH(O872,'Aub Demand'!A:A,0)),"")</f>
        <v>0</v>
      </c>
      <c r="J872" s="25">
        <f>IFERROR(INDEX('Aub Demand'!T:T,MATCH(O872,'Aub Demand'!A:A,0)),"")</f>
        <v>27</v>
      </c>
      <c r="K872" s="25">
        <f>IFERROR(INDEX('Aub Demand'!S:S,MATCH(O872,'Aub Demand'!A:A,0)),"")</f>
        <v>50</v>
      </c>
      <c r="L872" s="25">
        <f>IFERROR(INDEX('Aub Demand'!R:R,MATCH(O872,'Aub Demand'!A:A,0)),"")</f>
        <v>0</v>
      </c>
      <c r="O872" s="27" t="s">
        <v>1275</v>
      </c>
      <c r="P872" s="27" t="str">
        <f>IFERROR(INDEX('Aub Demand'!B:B,MATCH($O872,'Aub Demand'!$A:$A,0)),"")</f>
        <v>TEA PARTY IN BOSTON</v>
      </c>
      <c r="Q872" s="27" t="str">
        <f>IFERROR(INDEX('Aub Demand'!C:C,MATCH($O872,'Aub Demand'!$A:$A,0)),"")</f>
        <v>DNP A</v>
      </c>
      <c r="R872" s="52">
        <f>IFERROR(IF(AR873=AR872,INDEX('Aub Demand'!K:K,MATCH($O872,'Aub Demand'!$A:$A,0))-IF(AN872="",0,AN872)+AP873,INDEX('Aub Demand'!K:K,MATCH($O872,'Aub Demand'!$A:$A,0))-IF(AN872="",0,AN872)),"")</f>
        <v>835</v>
      </c>
      <c r="S872" s="53">
        <f t="shared" si="364"/>
        <v>137.6</v>
      </c>
      <c r="T872" s="52" t="str">
        <f t="shared" si="365"/>
        <v/>
      </c>
      <c r="U872" s="52">
        <f>IFERROR(IF(AR873=AR872,INDEX('Aub Demand'!Q:Q,MATCH($O872,'Aub Demand'!$A:$A,0))-IF(AN872="",0,AN872)+AP873,INDEX('Aub Demand'!Q:Q,MATCH($O872,'Aub Demand'!$A:$A,0))-IF(AN872="",0,AN872)),"")</f>
        <v>795</v>
      </c>
      <c r="V872" s="53">
        <f t="shared" si="366"/>
        <v>131</v>
      </c>
      <c r="W872" s="52" t="str">
        <f t="shared" si="367"/>
        <v/>
      </c>
      <c r="X872" s="52">
        <f>IFERROR(IF(AND(AR873=AR872,AM872&lt;&gt;""),INDEX('Aub Demand'!Q:Q,MATCH($O872,'Aub Demand'!$A:$A,0))-IF(AN872="",0,AN872)+AP873+AD872+AL872,IF(AR873=AR872,INDEX('Aub Demand'!Q:Q,MATCH($O872,'Aub Demand'!$A:$A,0))-IF(AN872="",0,AN872)+AP873+AD872,IF(AM872&lt;&gt;"",INDEX('Aub Demand'!Q:Q,MATCH($O872,'Aub Demand'!$A:$A,0))-IF(AN872="",0,AN872)+AD872+AL872,INDEX('Aub Demand'!Q:Q,MATCH($O872,'Aub Demand'!$A:$A,0))-IF(AN872="",0,AN872)+AD872))),"")</f>
        <v>795</v>
      </c>
      <c r="Y872" s="53">
        <f t="shared" si="368"/>
        <v>131</v>
      </c>
      <c r="Z872" s="52">
        <f>IF(L872="","",INDEX('Aub Demand'!H:H,MATCH($O872,'Aub Demand'!$A:$A,0)))</f>
        <v>26</v>
      </c>
      <c r="AA872" s="52">
        <f t="shared" si="369"/>
        <v>38.5</v>
      </c>
      <c r="AB872" s="52">
        <f>IFERROR(INDEX('Aub Demand'!L:L,MATCH($O872,'Aub Demand'!$A:$A,0)),"")</f>
        <v>5</v>
      </c>
      <c r="AC872" s="52">
        <f>IFERROR(IF(O872="","",SUMIFS('CPL Mats'!F:F,'CPL Mats'!Q:Q,AR872,'CPL Mats'!S:S,AS872)),"")</f>
        <v>0</v>
      </c>
      <c r="AF872" s="25" t="str">
        <f>IF(SUMIFS('Supp Consol'!S:S,'Supp Consol'!Y:Y,"Releasable",'Supp Consol'!A:A,O872)=0,"",SUMIFS('Supp Consol'!S:S,'Supp Consol'!Y:Y,"Releasable",'Supp Consol'!A:A,O872))</f>
        <v/>
      </c>
      <c r="AG872" s="25" t="str">
        <f>IFERROR(INDEX('Hun Demand'!Q:Q,MATCH(O872,'Hun Demand'!A:A,0)),"")</f>
        <v/>
      </c>
      <c r="AH872" s="25" t="str">
        <f>IFERROR(INDEX('Hun Demand'!H:H,MATCH($O872,'Hun Demand'!$A:$A,0)),"")</f>
        <v/>
      </c>
      <c r="AI872" s="25" t="str">
        <f>IF(SUMIFS('Supp Consol'!AA:AA,'Supp Consol'!Z:Z,"Expires this month",'Supp Consol'!A:A,O872)=0,"",SUMIFS('Supp Consol'!AA:AA,'Supp Consol'!Z:Z,"Expires this month",'Supp Consol'!A:A,O872))</f>
        <v/>
      </c>
      <c r="AJ872" s="25" t="str">
        <f>IF(SUMIFS('Supp Consol'!AA:AA,'Supp Consol'!Z:Z,"Expired Previous Months",'Supp Consol'!A:A,O872)=0,"",SUMIFS('Supp Consol'!AA:AA,'Supp Consol'!Z:Z,"Expired Previous Months",'Supp Consol'!A:A,O872))</f>
        <v/>
      </c>
      <c r="AK872" s="25" t="str">
        <f>IFERROR(INDEX('Hun Release Current'!B:B,MATCH(O872,'Hun Release Current'!A:A,0)),"")</f>
        <v/>
      </c>
      <c r="AL872" s="25" t="str">
        <f>IF(SUMIF('Prev Aub'!A:A,O872,'Prev Aub'!B:B)=0,"",SUMIF('Prev Aub'!A:A,O872,'Prev Aub'!B:B))</f>
        <v/>
      </c>
      <c r="AN872" s="25" t="s">
        <v>3790</v>
      </c>
      <c r="AO872" s="25" t="s">
        <v>3790</v>
      </c>
      <c r="AP872" s="25">
        <f t="shared" si="370"/>
        <v>0</v>
      </c>
      <c r="AQ872" s="151" t="str">
        <f>IF(SUMIFS('Supp Consol'!S:S,'Supp Consol'!A:A,O872,'Supp Consol'!I:I,"PENDING")=0,"",SUMIFS('Supp Consol'!S:S,'Supp Consol'!A:A,O872,'Supp Consol'!I:I,"PENDING"))</f>
        <v/>
      </c>
      <c r="AR872" s="27" t="str">
        <f t="shared" si="371"/>
        <v>PFA42</v>
      </c>
      <c r="AS872" s="27" t="str">
        <f t="shared" si="372"/>
        <v>50</v>
      </c>
      <c r="AT872" s="27" t="str">
        <f t="shared" si="373"/>
        <v/>
      </c>
      <c r="AU872" s="27" t="str">
        <f t="shared" si="374"/>
        <v/>
      </c>
      <c r="AV872" s="27" t="str">
        <f t="shared" si="375"/>
        <v/>
      </c>
      <c r="AW872" s="27" t="str">
        <f t="shared" si="376"/>
        <v/>
      </c>
      <c r="AX872" s="27" t="str">
        <f t="shared" si="377"/>
        <v/>
      </c>
      <c r="AY872" s="27" t="str">
        <f t="shared" si="378"/>
        <v/>
      </c>
      <c r="AZ872" s="27" t="str">
        <f t="shared" si="379"/>
        <v/>
      </c>
      <c r="BA872" s="27" t="str">
        <f t="shared" si="380"/>
        <v/>
      </c>
      <c r="BB872" s="27" t="str">
        <f t="shared" si="381"/>
        <v/>
      </c>
      <c r="BC872" s="27" t="str">
        <f t="shared" si="382"/>
        <v/>
      </c>
      <c r="BD872" s="27" t="str">
        <f t="shared" si="383"/>
        <v/>
      </c>
      <c r="BE872" s="27" t="str">
        <f t="shared" si="384"/>
        <v/>
      </c>
      <c r="BF872" s="27" t="str">
        <f t="shared" si="385"/>
        <v/>
      </c>
      <c r="BG872" s="27" t="str">
        <f t="shared" si="386"/>
        <v/>
      </c>
      <c r="BH872" s="27" t="str">
        <f t="shared" si="387"/>
        <v/>
      </c>
      <c r="BI872" s="27" t="str">
        <f t="shared" si="388"/>
        <v/>
      </c>
      <c r="BJ872" s="27" t="str">
        <f t="shared" si="389"/>
        <v/>
      </c>
      <c r="BK872" s="27" t="str">
        <f t="shared" si="390"/>
        <v/>
      </c>
      <c r="BL872" s="27" t="str">
        <f t="shared" si="391"/>
        <v/>
      </c>
      <c r="BM872" s="21" t="s">
        <v>5581</v>
      </c>
    </row>
    <row r="873" spans="1:65" ht="15">
      <c r="A873" s="25" t="str">
        <f>IFERROR(INDEX('Hun Demand'!W:W,MATCH(O873,'Hun Demand'!A:A,0)),"")</f>
        <v/>
      </c>
      <c r="B873" s="25" t="str">
        <f>IFERROR(INDEX('Hun Demand'!V:V,MATCH(O873,'Hun Demand'!A:A,0)),"")</f>
        <v/>
      </c>
      <c r="C873" s="25" t="str">
        <f>IFERROR(INDEX('Hun Demand'!U:U,MATCH(O873,'Hun Demand'!A:A,0)),"")</f>
        <v/>
      </c>
      <c r="D873" s="25" t="str">
        <f>IFERROR(INDEX('Hun Demand'!T:T,MATCH(O873,'Hun Demand'!A:A,0)),"")</f>
        <v/>
      </c>
      <c r="E873" s="25" t="str">
        <f>IFERROR(INDEX('Hun Demand'!S:S,MATCH(O873,'Hun Demand'!A:A,0)),"")</f>
        <v/>
      </c>
      <c r="F873" s="25" t="str">
        <f>IFERROR(INDEX('Hun Demand'!R:R,MATCH(O873,'Hun Demand'!A:A,0)),"")</f>
        <v/>
      </c>
      <c r="G873" s="25">
        <f>IFERROR(INDEX('Aub Demand'!W:W,MATCH(O873,'Aub Demand'!A:A,0)),"")</f>
        <v>0</v>
      </c>
      <c r="H873" s="25">
        <f>IFERROR(INDEX('Aub Demand'!V:V,MATCH(O873,'Aub Demand'!A:A,0)),"")</f>
        <v>0</v>
      </c>
      <c r="I873" s="25">
        <f>IFERROR(INDEX('Aub Demand'!U:U,MATCH(O873,'Aub Demand'!A:A,0)),"")</f>
        <v>29</v>
      </c>
      <c r="J873" s="25">
        <f>IFERROR(INDEX('Aub Demand'!T:T,MATCH(O873,'Aub Demand'!A:A,0)),"")</f>
        <v>14</v>
      </c>
      <c r="K873" s="25">
        <f>IFERROR(INDEX('Aub Demand'!S:S,MATCH(O873,'Aub Demand'!A:A,0)),"")</f>
        <v>14</v>
      </c>
      <c r="L873" s="25">
        <f>IFERROR(INDEX('Aub Demand'!R:R,MATCH(O873,'Aub Demand'!A:A,0)),"")</f>
        <v>0</v>
      </c>
      <c r="O873" s="27" t="s">
        <v>1278</v>
      </c>
      <c r="P873" s="27" t="str">
        <f>IFERROR(INDEX('Aub Demand'!B:B,MATCH($O873,'Aub Demand'!$A:$A,0)),"")</f>
        <v>TEA PARTY IN BOSTON</v>
      </c>
      <c r="Q873" s="27" t="str">
        <f>IFERROR(INDEX('Aub Demand'!C:C,MATCH($O873,'Aub Demand'!$A:$A,0)),"")</f>
        <v>DNP A</v>
      </c>
      <c r="R873" s="52">
        <f>IFERROR(IF(AR874=AR873,INDEX('Aub Demand'!K:K,MATCH($O873,'Aub Demand'!$A:$A,0))-IF(AN873="",0,AN873)+AP874,INDEX('Aub Demand'!K:K,MATCH($O873,'Aub Demand'!$A:$A,0))-IF(AN873="",0,AN873)),"")</f>
        <v>373</v>
      </c>
      <c r="S873" s="53">
        <f t="shared" si="364"/>
        <v>84.1</v>
      </c>
      <c r="T873" s="52" t="str">
        <f t="shared" si="365"/>
        <v/>
      </c>
      <c r="U873" s="52">
        <f>IFERROR(IF(AR874=AR873,INDEX('Aub Demand'!Q:Q,MATCH($O873,'Aub Demand'!$A:$A,0))-IF(AN873="",0,AN873)+AP874,INDEX('Aub Demand'!Q:Q,MATCH($O873,'Aub Demand'!$A:$A,0))-IF(AN873="",0,AN873)),"")</f>
        <v>373</v>
      </c>
      <c r="V873" s="53">
        <f t="shared" si="366"/>
        <v>84.1</v>
      </c>
      <c r="W873" s="52" t="str">
        <f t="shared" si="367"/>
        <v/>
      </c>
      <c r="X873" s="52">
        <f>IFERROR(IF(AND(AR874=AR873,AM873&lt;&gt;""),INDEX('Aub Demand'!Q:Q,MATCH($O873,'Aub Demand'!$A:$A,0))-IF(AN873="",0,AN873)+AP874+AD873+AL873,IF(AR874=AR873,INDEX('Aub Demand'!Q:Q,MATCH($O873,'Aub Demand'!$A:$A,0))-IF(AN873="",0,AN873)+AP874+AD873,IF(AM873&lt;&gt;"",INDEX('Aub Demand'!Q:Q,MATCH($O873,'Aub Demand'!$A:$A,0))-IF(AN873="",0,AN873)+AD873+AL873,INDEX('Aub Demand'!Q:Q,MATCH($O873,'Aub Demand'!$A:$A,0))-IF(AN873="",0,AN873)+AD873))),"")</f>
        <v>373</v>
      </c>
      <c r="Y873" s="53">
        <f t="shared" si="368"/>
        <v>84.1</v>
      </c>
      <c r="Z873" s="52">
        <f>IF(L873="","",INDEX('Aub Demand'!H:H,MATCH($O873,'Aub Demand'!$A:$A,0)))</f>
        <v>19</v>
      </c>
      <c r="AA873" s="52">
        <f t="shared" si="369"/>
        <v>21.5</v>
      </c>
      <c r="AB873" s="52">
        <f>IFERROR(INDEX('Aub Demand'!L:L,MATCH($O873,'Aub Demand'!$A:$A,0)),"")</f>
        <v>7</v>
      </c>
      <c r="AC873" s="52">
        <f>IFERROR(IF(O873="","",SUMIFS('CPL Mats'!F:F,'CPL Mats'!Q:Q,AR873,'CPL Mats'!S:S,AS873)),"")</f>
        <v>0</v>
      </c>
      <c r="AF873" s="25" t="str">
        <f>IF(SUMIFS('Supp Consol'!S:S,'Supp Consol'!Y:Y,"Releasable",'Supp Consol'!A:A,O873)=0,"",SUMIFS('Supp Consol'!S:S,'Supp Consol'!Y:Y,"Releasable",'Supp Consol'!A:A,O873))</f>
        <v/>
      </c>
      <c r="AG873" s="25" t="str">
        <f>IFERROR(INDEX('Hun Demand'!Q:Q,MATCH(O873,'Hun Demand'!A:A,0)),"")</f>
        <v/>
      </c>
      <c r="AH873" s="25" t="str">
        <f>IFERROR(INDEX('Hun Demand'!H:H,MATCH($O873,'Hun Demand'!$A:$A,0)),"")</f>
        <v/>
      </c>
      <c r="AI873" s="25" t="str">
        <f>IF(SUMIFS('Supp Consol'!AA:AA,'Supp Consol'!Z:Z,"Expires this month",'Supp Consol'!A:A,O873)=0,"",SUMIFS('Supp Consol'!AA:AA,'Supp Consol'!Z:Z,"Expires this month",'Supp Consol'!A:A,O873))</f>
        <v/>
      </c>
      <c r="AJ873" s="25" t="str">
        <f>IF(SUMIFS('Supp Consol'!AA:AA,'Supp Consol'!Z:Z,"Expired Previous Months",'Supp Consol'!A:A,O873)=0,"",SUMIFS('Supp Consol'!AA:AA,'Supp Consol'!Z:Z,"Expired Previous Months",'Supp Consol'!A:A,O873))</f>
        <v/>
      </c>
      <c r="AK873" s="25" t="str">
        <f>IFERROR(INDEX('Hun Release Current'!B:B,MATCH(O873,'Hun Release Current'!A:A,0)),"")</f>
        <v/>
      </c>
      <c r="AL873" s="25" t="str">
        <f>IF(SUMIF('Prev Aub'!A:A,O873,'Prev Aub'!B:B)=0,"",SUMIF('Prev Aub'!A:A,O873,'Prev Aub'!B:B))</f>
        <v/>
      </c>
      <c r="AN873" s="25" t="s">
        <v>3790</v>
      </c>
      <c r="AO873" s="25" t="s">
        <v>3790</v>
      </c>
      <c r="AP873" s="25">
        <f t="shared" si="370"/>
        <v>0</v>
      </c>
      <c r="AQ873" s="151" t="str">
        <f>IF(SUMIFS('Supp Consol'!S:S,'Supp Consol'!A:A,O873,'Supp Consol'!I:I,"PENDING")=0,"",SUMIFS('Supp Consol'!S:S,'Supp Consol'!A:A,O873,'Supp Consol'!I:I,"PENDING"))</f>
        <v/>
      </c>
      <c r="AR873" s="27" t="str">
        <f t="shared" si="371"/>
        <v>PFA42</v>
      </c>
      <c r="AS873" s="27" t="str">
        <f t="shared" si="372"/>
        <v>62</v>
      </c>
      <c r="AT873" s="27" t="str">
        <f t="shared" si="373"/>
        <v/>
      </c>
      <c r="AU873" s="27" t="str">
        <f t="shared" si="374"/>
        <v/>
      </c>
      <c r="AV873" s="27" t="str">
        <f t="shared" si="375"/>
        <v/>
      </c>
      <c r="AW873" s="27" t="str">
        <f t="shared" si="376"/>
        <v/>
      </c>
      <c r="AX873" s="27" t="str">
        <f t="shared" si="377"/>
        <v/>
      </c>
      <c r="AY873" s="27" t="str">
        <f t="shared" si="378"/>
        <v/>
      </c>
      <c r="AZ873" s="27" t="str">
        <f t="shared" si="379"/>
        <v/>
      </c>
      <c r="BA873" s="27" t="str">
        <f t="shared" si="380"/>
        <v/>
      </c>
      <c r="BB873" s="27" t="str">
        <f t="shared" si="381"/>
        <v/>
      </c>
      <c r="BC873" s="27" t="str">
        <f t="shared" si="382"/>
        <v/>
      </c>
      <c r="BD873" s="27" t="str">
        <f t="shared" si="383"/>
        <v/>
      </c>
      <c r="BE873" s="27" t="str">
        <f t="shared" si="384"/>
        <v/>
      </c>
      <c r="BF873" s="27" t="str">
        <f t="shared" si="385"/>
        <v/>
      </c>
      <c r="BG873" s="27" t="str">
        <f t="shared" si="386"/>
        <v/>
      </c>
      <c r="BH873" s="27" t="str">
        <f t="shared" si="387"/>
        <v/>
      </c>
      <c r="BI873" s="27" t="str">
        <f t="shared" si="388"/>
        <v/>
      </c>
      <c r="BJ873" s="27" t="str">
        <f t="shared" si="389"/>
        <v/>
      </c>
      <c r="BK873" s="27" t="str">
        <f t="shared" si="390"/>
        <v/>
      </c>
      <c r="BL873" s="27" t="str">
        <f t="shared" si="391"/>
        <v/>
      </c>
      <c r="BM873" s="21" t="s">
        <v>5581</v>
      </c>
    </row>
    <row r="874" spans="1:65" ht="15">
      <c r="A874" s="25">
        <f>IFERROR(INDEX('Hun Demand'!W:W,MATCH(O874,'Hun Demand'!A:A,0)),"")</f>
        <v>0</v>
      </c>
      <c r="B874" s="25">
        <f>IFERROR(INDEX('Hun Demand'!V:V,MATCH(O874,'Hun Demand'!A:A,0)),"")</f>
        <v>0</v>
      </c>
      <c r="C874" s="25">
        <f>IFERROR(INDEX('Hun Demand'!U:U,MATCH(O874,'Hun Demand'!A:A,0)),"")</f>
        <v>443</v>
      </c>
      <c r="D874" s="25">
        <f>IFERROR(INDEX('Hun Demand'!T:T,MATCH(O874,'Hun Demand'!A:A,0)),"")</f>
        <v>0</v>
      </c>
      <c r="E874" s="25">
        <f>IFERROR(INDEX('Hun Demand'!S:S,MATCH(O874,'Hun Demand'!A:A,0)),"")</f>
        <v>0</v>
      </c>
      <c r="F874" s="25">
        <f>IFERROR(INDEX('Hun Demand'!R:R,MATCH(O874,'Hun Demand'!A:A,0)),"")</f>
        <v>0</v>
      </c>
      <c r="G874" s="25">
        <f>IFERROR(INDEX('Aub Demand'!W:W,MATCH(O874,'Aub Demand'!A:A,0)),"")</f>
        <v>0</v>
      </c>
      <c r="H874" s="25">
        <f>IFERROR(INDEX('Aub Demand'!V:V,MATCH(O874,'Aub Demand'!A:A,0)),"")</f>
        <v>63</v>
      </c>
      <c r="I874" s="25">
        <f>IFERROR(INDEX('Aub Demand'!U:U,MATCH(O874,'Aub Demand'!A:A,0)),"")</f>
        <v>16</v>
      </c>
      <c r="J874" s="25">
        <f>IFERROR(INDEX('Aub Demand'!T:T,MATCH(O874,'Aub Demand'!A:A,0)),"")</f>
        <v>0</v>
      </c>
      <c r="K874" s="25">
        <f>IFERROR(INDEX('Aub Demand'!S:S,MATCH(O874,'Aub Demand'!A:A,0)),"")</f>
        <v>0</v>
      </c>
      <c r="L874" s="25">
        <f>IFERROR(INDEX('Aub Demand'!R:R,MATCH(O874,'Aub Demand'!A:A,0)),"")</f>
        <v>0</v>
      </c>
      <c r="O874" s="27" t="s">
        <v>1280</v>
      </c>
      <c r="P874" s="27" t="str">
        <f>IFERROR(INDEX('Aub Demand'!B:B,MATCH($O874,'Aub Demand'!$A:$A,0)),"")</f>
        <v>SIPPING SEATTLE JAVA</v>
      </c>
      <c r="Q874" s="27" t="str">
        <f>IFERROR(INDEX('Aub Demand'!C:C,MATCH($O874,'Aub Demand'!$A:$A,0)),"")</f>
        <v>DNP A</v>
      </c>
      <c r="R874" s="52">
        <f>IFERROR(IF(AR875=AR874,INDEX('Aub Demand'!K:K,MATCH($O874,'Aub Demand'!$A:$A,0))-IF(AN874="",0,AN874)+AP875,INDEX('Aub Demand'!K:K,MATCH($O874,'Aub Demand'!$A:$A,0))-IF(AN874="",0,AN874)),"")</f>
        <v>1497</v>
      </c>
      <c r="S874" s="53">
        <f t="shared" si="364"/>
        <v>1283.0999999999999</v>
      </c>
      <c r="T874" s="52" t="str">
        <f t="shared" si="365"/>
        <v/>
      </c>
      <c r="U874" s="52">
        <f>IFERROR(IF(AR875=AR874,INDEX('Aub Demand'!Q:Q,MATCH($O874,'Aub Demand'!$A:$A,0))-IF(AN874="",0,AN874)+AP875,INDEX('Aub Demand'!Q:Q,MATCH($O874,'Aub Demand'!$A:$A,0))-IF(AN874="",0,AN874)),"")</f>
        <v>1490</v>
      </c>
      <c r="V874" s="53">
        <f t="shared" si="366"/>
        <v>1277.0999999999999</v>
      </c>
      <c r="W874" s="52" t="str">
        <f t="shared" si="367"/>
        <v/>
      </c>
      <c r="X874" s="52">
        <f>IFERROR(IF(AND(AR875=AR874,AM874&lt;&gt;""),INDEX('Aub Demand'!Q:Q,MATCH($O874,'Aub Demand'!$A:$A,0))-IF(AN874="",0,AN874)+AP875+AD874+AL874,IF(AR875=AR874,INDEX('Aub Demand'!Q:Q,MATCH($O874,'Aub Demand'!$A:$A,0))-IF(AN874="",0,AN874)+AP875+AD874,IF(AM874&lt;&gt;"",INDEX('Aub Demand'!Q:Q,MATCH($O874,'Aub Demand'!$A:$A,0))-IF(AN874="",0,AN874)+AD874+AL874,INDEX('Aub Demand'!Q:Q,MATCH($O874,'Aub Demand'!$A:$A,0))-IF(AN874="",0,AN874)+AD874))),"")</f>
        <v>1490</v>
      </c>
      <c r="Y874" s="53">
        <f t="shared" si="368"/>
        <v>1277.0999999999999</v>
      </c>
      <c r="Z874" s="52">
        <f>IF(L874="","",INDEX('Aub Demand'!H:H,MATCH($O874,'Aub Demand'!$A:$A,0)))</f>
        <v>5</v>
      </c>
      <c r="AA874" s="52" t="str">
        <f t="shared" si="369"/>
        <v>-spike-</v>
      </c>
      <c r="AB874" s="52">
        <f>IFERROR(INDEX('Aub Demand'!L:L,MATCH($O874,'Aub Demand'!$A:$A,0)),"")</f>
        <v>23</v>
      </c>
      <c r="AC874" s="52">
        <f>IFERROR(IF(O874="","",SUMIFS('CPL Mats'!F:F,'CPL Mats'!Q:Q,AR874,'CPL Mats'!S:S,AS874)),"")</f>
        <v>0</v>
      </c>
      <c r="AF874" s="25" t="str">
        <f>IF(SUMIFS('Supp Consol'!S:S,'Supp Consol'!Y:Y,"Releasable",'Supp Consol'!A:A,O874)=0,"",SUMIFS('Supp Consol'!S:S,'Supp Consol'!Y:Y,"Releasable",'Supp Consol'!A:A,O874))</f>
        <v/>
      </c>
      <c r="AG874" s="25">
        <f>IFERROR(INDEX('Hun Demand'!Q:Q,MATCH(O874,'Hun Demand'!A:A,0)),"")</f>
        <v>0</v>
      </c>
      <c r="AH874" s="25">
        <f>IFERROR(INDEX('Hun Demand'!H:H,MATCH($O874,'Hun Demand'!$A:$A,0)),"")</f>
        <v>148</v>
      </c>
      <c r="AI874" s="25" t="str">
        <f>IF(SUMIFS('Supp Consol'!AA:AA,'Supp Consol'!Z:Z,"Expires this month",'Supp Consol'!A:A,O874)=0,"",SUMIFS('Supp Consol'!AA:AA,'Supp Consol'!Z:Z,"Expires this month",'Supp Consol'!A:A,O874))</f>
        <v/>
      </c>
      <c r="AJ874" s="25" t="str">
        <f>IF(SUMIFS('Supp Consol'!AA:AA,'Supp Consol'!Z:Z,"Expired Previous Months",'Supp Consol'!A:A,O874)=0,"",SUMIFS('Supp Consol'!AA:AA,'Supp Consol'!Z:Z,"Expired Previous Months",'Supp Consol'!A:A,O874))</f>
        <v/>
      </c>
      <c r="AK874" s="25" t="str">
        <f>IFERROR(INDEX('Hun Release Current'!B:B,MATCH(O874,'Hun Release Current'!A:A,0)),"")</f>
        <v/>
      </c>
      <c r="AL874" s="25" t="str">
        <f>IF(SUMIF('Prev Aub'!A:A,O874,'Prev Aub'!B:B)=0,"",SUMIF('Prev Aub'!A:A,O874,'Prev Aub'!B:B))</f>
        <v/>
      </c>
      <c r="AN874" s="25" t="s">
        <v>3790</v>
      </c>
      <c r="AO874" s="25" t="s">
        <v>3790</v>
      </c>
      <c r="AP874" s="25">
        <f t="shared" si="370"/>
        <v>0</v>
      </c>
      <c r="AQ874" s="151" t="str">
        <f>IF(SUMIFS('Supp Consol'!S:S,'Supp Consol'!A:A,O874,'Supp Consol'!I:I,"PENDING")=0,"",SUMIFS('Supp Consol'!S:S,'Supp Consol'!A:A,O874,'Supp Consol'!I:I,"PENDING"))</f>
        <v/>
      </c>
      <c r="AR874" s="27" t="str">
        <f t="shared" si="371"/>
        <v>PFA48</v>
      </c>
      <c r="AS874" s="27" t="str">
        <f t="shared" si="372"/>
        <v>50</v>
      </c>
      <c r="AT874" s="27" t="str">
        <f t="shared" si="373"/>
        <v/>
      </c>
      <c r="AU874" s="27" t="str">
        <f t="shared" si="374"/>
        <v/>
      </c>
      <c r="AV874" s="27" t="str">
        <f t="shared" si="375"/>
        <v/>
      </c>
      <c r="AW874" s="27" t="str">
        <f t="shared" si="376"/>
        <v/>
      </c>
      <c r="AX874" s="27" t="str">
        <f t="shared" si="377"/>
        <v/>
      </c>
      <c r="AY874" s="27" t="str">
        <f t="shared" si="378"/>
        <v/>
      </c>
      <c r="AZ874" s="27" t="str">
        <f t="shared" si="379"/>
        <v/>
      </c>
      <c r="BA874" s="27" t="str">
        <f t="shared" si="380"/>
        <v/>
      </c>
      <c r="BB874" s="27" t="str">
        <f t="shared" si="381"/>
        <v/>
      </c>
      <c r="BC874" s="27" t="str">
        <f t="shared" si="382"/>
        <v/>
      </c>
      <c r="BD874" s="27" t="str">
        <f t="shared" si="383"/>
        <v/>
      </c>
      <c r="BE874" s="27" t="str">
        <f t="shared" si="384"/>
        <v/>
      </c>
      <c r="BF874" s="27" t="str">
        <f t="shared" si="385"/>
        <v/>
      </c>
      <c r="BG874" s="27" t="str">
        <f t="shared" si="386"/>
        <v/>
      </c>
      <c r="BH874" s="27" t="str">
        <f t="shared" si="387"/>
        <v/>
      </c>
      <c r="BI874" s="27" t="str">
        <f t="shared" si="388"/>
        <v/>
      </c>
      <c r="BJ874" s="27" t="str">
        <f t="shared" si="389"/>
        <v/>
      </c>
      <c r="BK874" s="27" t="str">
        <f t="shared" si="390"/>
        <v/>
      </c>
      <c r="BL874" s="27" t="str">
        <f t="shared" si="391"/>
        <v/>
      </c>
      <c r="BM874" s="21" t="s">
        <v>5581</v>
      </c>
    </row>
    <row r="875" spans="1:65" ht="15">
      <c r="A875" s="25" t="str">
        <f>IFERROR(INDEX('Hun Demand'!W:W,MATCH(O875,'Hun Demand'!A:A,0)),"")</f>
        <v/>
      </c>
      <c r="B875" s="25" t="str">
        <f>IFERROR(INDEX('Hun Demand'!V:V,MATCH(O875,'Hun Demand'!A:A,0)),"")</f>
        <v/>
      </c>
      <c r="C875" s="25" t="str">
        <f>IFERROR(INDEX('Hun Demand'!U:U,MATCH(O875,'Hun Demand'!A:A,0)),"")</f>
        <v/>
      </c>
      <c r="D875" s="25" t="str">
        <f>IFERROR(INDEX('Hun Demand'!T:T,MATCH(O875,'Hun Demand'!A:A,0)),"")</f>
        <v/>
      </c>
      <c r="E875" s="25" t="str">
        <f>IFERROR(INDEX('Hun Demand'!S:S,MATCH(O875,'Hun Demand'!A:A,0)),"")</f>
        <v/>
      </c>
      <c r="F875" s="25" t="str">
        <f>IFERROR(INDEX('Hun Demand'!R:R,MATCH(O875,'Hun Demand'!A:A,0)),"")</f>
        <v/>
      </c>
      <c r="G875" s="25">
        <f>IFERROR(INDEX('Aub Demand'!W:W,MATCH(O875,'Aub Demand'!A:A,0)),"")</f>
        <v>0</v>
      </c>
      <c r="H875" s="25">
        <f>IFERROR(INDEX('Aub Demand'!V:V,MATCH(O875,'Aub Demand'!A:A,0)),"")</f>
        <v>0</v>
      </c>
      <c r="I875" s="25">
        <f>IFERROR(INDEX('Aub Demand'!U:U,MATCH(O875,'Aub Demand'!A:A,0)),"")</f>
        <v>16</v>
      </c>
      <c r="J875" s="25">
        <f>IFERROR(INDEX('Aub Demand'!T:T,MATCH(O875,'Aub Demand'!A:A,0)),"")</f>
        <v>0</v>
      </c>
      <c r="K875" s="25">
        <f>IFERROR(INDEX('Aub Demand'!S:S,MATCH(O875,'Aub Demand'!A:A,0)),"")</f>
        <v>0</v>
      </c>
      <c r="L875" s="25">
        <f>IFERROR(INDEX('Aub Demand'!R:R,MATCH(O875,'Aub Demand'!A:A,0)),"")</f>
        <v>0</v>
      </c>
      <c r="O875" s="27" t="s">
        <v>1282</v>
      </c>
      <c r="P875" s="27" t="str">
        <f>IFERROR(INDEX('Aub Demand'!B:B,MATCH($O875,'Aub Demand'!$A:$A,0)),"")</f>
        <v>SIPPING SEATTLE JAVA</v>
      </c>
      <c r="Q875" s="27" t="str">
        <f>IFERROR(INDEX('Aub Demand'!C:C,MATCH($O875,'Aub Demand'!$A:$A,0)),"")</f>
        <v>DNP A</v>
      </c>
      <c r="R875" s="52">
        <f>IFERROR(IF(AR876=AR875,INDEX('Aub Demand'!K:K,MATCH($O875,'Aub Demand'!$A:$A,0))-IF(AN875="",0,AN875)+AP876,INDEX('Aub Demand'!K:K,MATCH($O875,'Aub Demand'!$A:$A,0))-IF(AN875="",0,AN875)),"")</f>
        <v>1400</v>
      </c>
      <c r="S875" s="53">
        <f t="shared" si="364"/>
        <v>1200</v>
      </c>
      <c r="T875" s="52" t="str">
        <f t="shared" si="365"/>
        <v/>
      </c>
      <c r="U875" s="52">
        <f>IFERROR(IF(AR876=AR875,INDEX('Aub Demand'!Q:Q,MATCH($O875,'Aub Demand'!$A:$A,0))-IF(AN875="",0,AN875)+AP876,INDEX('Aub Demand'!Q:Q,MATCH($O875,'Aub Demand'!$A:$A,0))-IF(AN875="",0,AN875)),"")</f>
        <v>1400</v>
      </c>
      <c r="V875" s="53">
        <f t="shared" si="366"/>
        <v>1200</v>
      </c>
      <c r="W875" s="52" t="str">
        <f t="shared" si="367"/>
        <v/>
      </c>
      <c r="X875" s="52">
        <f>IFERROR(IF(AND(AR876=AR875,AM875&lt;&gt;""),INDEX('Aub Demand'!Q:Q,MATCH($O875,'Aub Demand'!$A:$A,0))-IF(AN875="",0,AN875)+AP876+AD875+AL875,IF(AR876=AR875,INDEX('Aub Demand'!Q:Q,MATCH($O875,'Aub Demand'!$A:$A,0))-IF(AN875="",0,AN875)+AP876+AD875,IF(AM875&lt;&gt;"",INDEX('Aub Demand'!Q:Q,MATCH($O875,'Aub Demand'!$A:$A,0))-IF(AN875="",0,AN875)+AD875+AL875,INDEX('Aub Demand'!Q:Q,MATCH($O875,'Aub Demand'!$A:$A,0))-IF(AN875="",0,AN875)+AD875))),"")</f>
        <v>1400</v>
      </c>
      <c r="Y875" s="53">
        <f t="shared" si="368"/>
        <v>1200</v>
      </c>
      <c r="Z875" s="52">
        <f>IF(L875="","",INDEX('Aub Demand'!H:H,MATCH($O875,'Aub Demand'!$A:$A,0)))</f>
        <v>5</v>
      </c>
      <c r="AA875" s="52" t="str">
        <f t="shared" si="369"/>
        <v>-spike-</v>
      </c>
      <c r="AB875" s="52">
        <f>IFERROR(INDEX('Aub Demand'!L:L,MATCH($O875,'Aub Demand'!$A:$A,0)),"")</f>
        <v>0</v>
      </c>
      <c r="AC875" s="52">
        <f>IFERROR(IF(O875="","",SUMIFS('CPL Mats'!F:F,'CPL Mats'!Q:Q,AR875,'CPL Mats'!S:S,AS875)),"")</f>
        <v>0</v>
      </c>
      <c r="AF875" s="25" t="str">
        <f>IF(SUMIFS('Supp Consol'!S:S,'Supp Consol'!Y:Y,"Releasable",'Supp Consol'!A:A,O875)=0,"",SUMIFS('Supp Consol'!S:S,'Supp Consol'!Y:Y,"Releasable",'Supp Consol'!A:A,O875))</f>
        <v/>
      </c>
      <c r="AG875" s="25" t="str">
        <f>IFERROR(INDEX('Hun Demand'!Q:Q,MATCH(O875,'Hun Demand'!A:A,0)),"")</f>
        <v/>
      </c>
      <c r="AH875" s="25" t="str">
        <f>IFERROR(INDEX('Hun Demand'!H:H,MATCH($O875,'Hun Demand'!$A:$A,0)),"")</f>
        <v/>
      </c>
      <c r="AI875" s="25" t="str">
        <f>IF(SUMIFS('Supp Consol'!AA:AA,'Supp Consol'!Z:Z,"Expires this month",'Supp Consol'!A:A,O875)=0,"",SUMIFS('Supp Consol'!AA:AA,'Supp Consol'!Z:Z,"Expires this month",'Supp Consol'!A:A,O875))</f>
        <v/>
      </c>
      <c r="AJ875" s="25" t="str">
        <f>IF(SUMIFS('Supp Consol'!AA:AA,'Supp Consol'!Z:Z,"Expired Previous Months",'Supp Consol'!A:A,O875)=0,"",SUMIFS('Supp Consol'!AA:AA,'Supp Consol'!Z:Z,"Expired Previous Months",'Supp Consol'!A:A,O875))</f>
        <v/>
      </c>
      <c r="AK875" s="25" t="str">
        <f>IFERROR(INDEX('Hun Release Current'!B:B,MATCH(O875,'Hun Release Current'!A:A,0)),"")</f>
        <v/>
      </c>
      <c r="AL875" s="25" t="str">
        <f>IF(SUMIF('Prev Aub'!A:A,O875,'Prev Aub'!B:B)=0,"",SUMIF('Prev Aub'!A:A,O875,'Prev Aub'!B:B))</f>
        <v/>
      </c>
      <c r="AN875" s="25" t="s">
        <v>3790</v>
      </c>
      <c r="AO875" s="25" t="s">
        <v>3790</v>
      </c>
      <c r="AP875" s="25">
        <f t="shared" si="370"/>
        <v>0</v>
      </c>
      <c r="AQ875" s="151" t="str">
        <f>IF(SUMIFS('Supp Consol'!S:S,'Supp Consol'!A:A,O875,'Supp Consol'!I:I,"PENDING")=0,"",SUMIFS('Supp Consol'!S:S,'Supp Consol'!A:A,O875,'Supp Consol'!I:I,"PENDING"))</f>
        <v/>
      </c>
      <c r="AR875" s="27" t="str">
        <f t="shared" si="371"/>
        <v>PFA48</v>
      </c>
      <c r="AS875" s="27" t="str">
        <f t="shared" si="372"/>
        <v>62</v>
      </c>
      <c r="AT875" s="27" t="str">
        <f t="shared" si="373"/>
        <v/>
      </c>
      <c r="AU875" s="27" t="str">
        <f t="shared" si="374"/>
        <v/>
      </c>
      <c r="AV875" s="27" t="str">
        <f t="shared" si="375"/>
        <v/>
      </c>
      <c r="AW875" s="27" t="str">
        <f t="shared" si="376"/>
        <v/>
      </c>
      <c r="AX875" s="27" t="str">
        <f t="shared" si="377"/>
        <v/>
      </c>
      <c r="AY875" s="27" t="str">
        <f t="shared" si="378"/>
        <v/>
      </c>
      <c r="AZ875" s="27" t="str">
        <f t="shared" si="379"/>
        <v/>
      </c>
      <c r="BA875" s="27" t="str">
        <f t="shared" si="380"/>
        <v/>
      </c>
      <c r="BB875" s="27" t="str">
        <f t="shared" si="381"/>
        <v/>
      </c>
      <c r="BC875" s="27" t="str">
        <f t="shared" si="382"/>
        <v/>
      </c>
      <c r="BD875" s="27" t="str">
        <f t="shared" si="383"/>
        <v/>
      </c>
      <c r="BE875" s="27" t="str">
        <f t="shared" si="384"/>
        <v/>
      </c>
      <c r="BF875" s="27" t="str">
        <f t="shared" si="385"/>
        <v/>
      </c>
      <c r="BG875" s="27" t="str">
        <f t="shared" si="386"/>
        <v/>
      </c>
      <c r="BH875" s="27" t="str">
        <f t="shared" si="387"/>
        <v/>
      </c>
      <c r="BI875" s="27" t="str">
        <f t="shared" si="388"/>
        <v/>
      </c>
      <c r="BJ875" s="27" t="str">
        <f t="shared" si="389"/>
        <v/>
      </c>
      <c r="BK875" s="27" t="str">
        <f t="shared" si="390"/>
        <v/>
      </c>
      <c r="BL875" s="27" t="str">
        <f t="shared" si="391"/>
        <v/>
      </c>
      <c r="BM875" s="21" t="s">
        <v>5581</v>
      </c>
    </row>
    <row r="876" spans="1:65" ht="15">
      <c r="A876" s="25">
        <f>IFERROR(INDEX('Hun Demand'!W:W,MATCH(O876,'Hun Demand'!A:A,0)),"")</f>
        <v>0</v>
      </c>
      <c r="B876" s="25">
        <f>IFERROR(INDEX('Hun Demand'!V:V,MATCH(O876,'Hun Demand'!A:A,0)),"")</f>
        <v>0</v>
      </c>
      <c r="C876" s="25">
        <f>IFERROR(INDEX('Hun Demand'!U:U,MATCH(O876,'Hun Demand'!A:A,0)),"")</f>
        <v>0</v>
      </c>
      <c r="D876" s="25">
        <f>IFERROR(INDEX('Hun Demand'!T:T,MATCH(O876,'Hun Demand'!A:A,0)),"")</f>
        <v>0</v>
      </c>
      <c r="E876" s="25">
        <f>IFERROR(INDEX('Hun Demand'!S:S,MATCH(O876,'Hun Demand'!A:A,0)),"")</f>
        <v>0</v>
      </c>
      <c r="F876" s="25">
        <f>IFERROR(INDEX('Hun Demand'!R:R,MATCH(O876,'Hun Demand'!A:A,0)),"")</f>
        <v>0</v>
      </c>
      <c r="G876" s="25">
        <f>IFERROR(INDEX('Aub Demand'!W:W,MATCH(O876,'Aub Demand'!A:A,0)),"")</f>
        <v>0</v>
      </c>
      <c r="H876" s="25">
        <f>IFERROR(INDEX('Aub Demand'!V:V,MATCH(O876,'Aub Demand'!A:A,0)),"")</f>
        <v>0</v>
      </c>
      <c r="I876" s="25">
        <f>IFERROR(INDEX('Aub Demand'!U:U,MATCH(O876,'Aub Demand'!A:A,0)),"")</f>
        <v>6</v>
      </c>
      <c r="J876" s="25">
        <f>IFERROR(INDEX('Aub Demand'!T:T,MATCH(O876,'Aub Demand'!A:A,0)),"")</f>
        <v>0</v>
      </c>
      <c r="K876" s="25">
        <f>IFERROR(INDEX('Aub Demand'!S:S,MATCH(O876,'Aub Demand'!A:A,0)),"")</f>
        <v>0</v>
      </c>
      <c r="L876" s="25">
        <f>IFERROR(INDEX('Aub Demand'!R:R,MATCH(O876,'Aub Demand'!A:A,0)),"")</f>
        <v>0</v>
      </c>
      <c r="O876" s="27" t="s">
        <v>1283</v>
      </c>
      <c r="P876" s="27" t="str">
        <f>IFERROR(INDEX('Aub Demand'!B:B,MATCH($O876,'Aub Demand'!$A:$A,0)),"")</f>
        <v>GRIDLOCK IN L.A.</v>
      </c>
      <c r="Q876" s="27" t="str">
        <f>IFERROR(INDEX('Aub Demand'!C:C,MATCH($O876,'Aub Demand'!$A:$A,0)),"")</f>
        <v>DNP A</v>
      </c>
      <c r="R876" s="52">
        <f>IFERROR(IF(AR877=AR876,INDEX('Aub Demand'!K:K,MATCH($O876,'Aub Demand'!$A:$A,0))-IF(AN876="",0,AN876)+AP877,INDEX('Aub Demand'!K:K,MATCH($O876,'Aub Demand'!$A:$A,0))-IF(AN876="",0,AN876)),"")</f>
        <v>118</v>
      </c>
      <c r="S876" s="53">
        <f t="shared" si="364"/>
        <v>252.9</v>
      </c>
      <c r="T876" s="52" t="str">
        <f t="shared" si="365"/>
        <v/>
      </c>
      <c r="U876" s="52">
        <f>IFERROR(IF(AR877=AR876,INDEX('Aub Demand'!Q:Q,MATCH($O876,'Aub Demand'!$A:$A,0))-IF(AN876="",0,AN876)+AP877,INDEX('Aub Demand'!Q:Q,MATCH($O876,'Aub Demand'!$A:$A,0))-IF(AN876="",0,AN876)),"")</f>
        <v>102</v>
      </c>
      <c r="V876" s="53">
        <f t="shared" si="366"/>
        <v>218.6</v>
      </c>
      <c r="W876" s="52" t="str">
        <f t="shared" si="367"/>
        <v/>
      </c>
      <c r="X876" s="52">
        <f>IFERROR(IF(AND(AR877=AR876,AM876&lt;&gt;""),INDEX('Aub Demand'!Q:Q,MATCH($O876,'Aub Demand'!$A:$A,0))-IF(AN876="",0,AN876)+AP877+AD876+AL876,IF(AR877=AR876,INDEX('Aub Demand'!Q:Q,MATCH($O876,'Aub Demand'!$A:$A,0))-IF(AN876="",0,AN876)+AP877+AD876,IF(AM876&lt;&gt;"",INDEX('Aub Demand'!Q:Q,MATCH($O876,'Aub Demand'!$A:$A,0))-IF(AN876="",0,AN876)+AD876+AL876,INDEX('Aub Demand'!Q:Q,MATCH($O876,'Aub Demand'!$A:$A,0))-IF(AN876="",0,AN876)+AD876))),"")</f>
        <v>102</v>
      </c>
      <c r="Y876" s="53">
        <f t="shared" si="368"/>
        <v>218.6</v>
      </c>
      <c r="Z876" s="52">
        <f>IF(L876="","",INDEX('Aub Demand'!H:H,MATCH($O876,'Aub Demand'!$A:$A,0)))</f>
        <v>2</v>
      </c>
      <c r="AA876" s="52" t="str">
        <f t="shared" si="369"/>
        <v>-spike-</v>
      </c>
      <c r="AB876" s="52">
        <f>IFERROR(INDEX('Aub Demand'!L:L,MATCH($O876,'Aub Demand'!$A:$A,0)),"")</f>
        <v>4</v>
      </c>
      <c r="AC876" s="52">
        <f>IFERROR(IF(O876="","",SUMIFS('CPL Mats'!F:F,'CPL Mats'!Q:Q,AR876,'CPL Mats'!S:S,AS876)),"")</f>
        <v>0</v>
      </c>
      <c r="AF876" s="25" t="str">
        <f>IF(SUMIFS('Supp Consol'!S:S,'Supp Consol'!Y:Y,"Releasable",'Supp Consol'!A:A,O876)=0,"",SUMIFS('Supp Consol'!S:S,'Supp Consol'!Y:Y,"Releasable",'Supp Consol'!A:A,O876))</f>
        <v/>
      </c>
      <c r="AG876" s="25">
        <f>IFERROR(INDEX('Hun Demand'!Q:Q,MATCH(O876,'Hun Demand'!A:A,0)),"")</f>
        <v>92</v>
      </c>
      <c r="AH876" s="25">
        <f>IFERROR(INDEX('Hun Demand'!H:H,MATCH($O876,'Hun Demand'!$A:$A,0)),"")</f>
        <v>0</v>
      </c>
      <c r="AI876" s="25" t="str">
        <f>IF(SUMIFS('Supp Consol'!AA:AA,'Supp Consol'!Z:Z,"Expires this month",'Supp Consol'!A:A,O876)=0,"",SUMIFS('Supp Consol'!AA:AA,'Supp Consol'!Z:Z,"Expires this month",'Supp Consol'!A:A,O876))</f>
        <v/>
      </c>
      <c r="AJ876" s="25" t="str">
        <f>IF(SUMIFS('Supp Consol'!AA:AA,'Supp Consol'!Z:Z,"Expired Previous Months",'Supp Consol'!A:A,O876)=0,"",SUMIFS('Supp Consol'!AA:AA,'Supp Consol'!Z:Z,"Expired Previous Months",'Supp Consol'!A:A,O876))</f>
        <v/>
      </c>
      <c r="AK876" s="25" t="str">
        <f>IFERROR(INDEX('Hun Release Current'!B:B,MATCH(O876,'Hun Release Current'!A:A,0)),"")</f>
        <v/>
      </c>
      <c r="AL876" s="25" t="str">
        <f>IF(SUMIF('Prev Aub'!A:A,O876,'Prev Aub'!B:B)=0,"",SUMIF('Prev Aub'!A:A,O876,'Prev Aub'!B:B))</f>
        <v/>
      </c>
      <c r="AN876" s="25" t="s">
        <v>3790</v>
      </c>
      <c r="AO876" s="25" t="s">
        <v>3790</v>
      </c>
      <c r="AP876" s="25">
        <f t="shared" si="370"/>
        <v>0</v>
      </c>
      <c r="AQ876" s="151" t="str">
        <f>IF(SUMIFS('Supp Consol'!S:S,'Supp Consol'!A:A,O876,'Supp Consol'!I:I,"PENDING")=0,"",SUMIFS('Supp Consol'!S:S,'Supp Consol'!A:A,O876,'Supp Consol'!I:I,"PENDING"))</f>
        <v/>
      </c>
      <c r="AR876" s="27" t="str">
        <f t="shared" si="371"/>
        <v>PFA51</v>
      </c>
      <c r="AS876" s="27" t="str">
        <f t="shared" si="372"/>
        <v>50</v>
      </c>
      <c r="AT876" s="27" t="str">
        <f t="shared" si="373"/>
        <v/>
      </c>
      <c r="AU876" s="27" t="str">
        <f t="shared" si="374"/>
        <v/>
      </c>
      <c r="AV876" s="27" t="str">
        <f t="shared" si="375"/>
        <v/>
      </c>
      <c r="AW876" s="27" t="str">
        <f t="shared" si="376"/>
        <v/>
      </c>
      <c r="AX876" s="27" t="str">
        <f t="shared" si="377"/>
        <v/>
      </c>
      <c r="AY876" s="27" t="str">
        <f t="shared" si="378"/>
        <v>PFA51</v>
      </c>
      <c r="AZ876" s="27" t="str">
        <f t="shared" si="379"/>
        <v/>
      </c>
      <c r="BA876" s="27" t="str">
        <f t="shared" si="380"/>
        <v>Hun</v>
      </c>
      <c r="BB876" s="27" t="str">
        <f t="shared" si="381"/>
        <v/>
      </c>
      <c r="BC876" s="27" t="str">
        <f t="shared" si="382"/>
        <v/>
      </c>
      <c r="BD876" s="27" t="str">
        <f t="shared" si="383"/>
        <v/>
      </c>
      <c r="BE876" s="27" t="str">
        <f t="shared" si="384"/>
        <v/>
      </c>
      <c r="BF876" s="27" t="str">
        <f t="shared" si="385"/>
        <v/>
      </c>
      <c r="BG876" s="27" t="str">
        <f t="shared" si="386"/>
        <v/>
      </c>
      <c r="BH876" s="27" t="str">
        <f t="shared" si="387"/>
        <v/>
      </c>
      <c r="BI876" s="27" t="str">
        <f t="shared" si="388"/>
        <v/>
      </c>
      <c r="BJ876" s="27" t="str">
        <f t="shared" si="389"/>
        <v>Supp or Hun</v>
      </c>
      <c r="BK876" s="27" t="str">
        <f t="shared" si="390"/>
        <v/>
      </c>
      <c r="BL876" s="27" t="str">
        <f t="shared" si="391"/>
        <v/>
      </c>
      <c r="BM876" s="21" t="s">
        <v>5581</v>
      </c>
    </row>
    <row r="877" spans="1:65" ht="15">
      <c r="A877" s="25">
        <f>IFERROR(INDEX('Hun Demand'!W:W,MATCH(O877,'Hun Demand'!A:A,0)),"")</f>
        <v>0</v>
      </c>
      <c r="B877" s="25">
        <f>IFERROR(INDEX('Hun Demand'!V:V,MATCH(O877,'Hun Demand'!A:A,0)),"")</f>
        <v>0</v>
      </c>
      <c r="C877" s="25">
        <f>IFERROR(INDEX('Hun Demand'!U:U,MATCH(O877,'Hun Demand'!A:A,0)),"")</f>
        <v>0</v>
      </c>
      <c r="D877" s="25">
        <f>IFERROR(INDEX('Hun Demand'!T:T,MATCH(O877,'Hun Demand'!A:A,0)),"")</f>
        <v>0</v>
      </c>
      <c r="E877" s="25">
        <f>IFERROR(INDEX('Hun Demand'!S:S,MATCH(O877,'Hun Demand'!A:A,0)),"")</f>
        <v>0</v>
      </c>
      <c r="F877" s="25">
        <f>IFERROR(INDEX('Hun Demand'!R:R,MATCH(O877,'Hun Demand'!A:A,0)),"")</f>
        <v>0</v>
      </c>
      <c r="G877" s="25">
        <f>IFERROR(INDEX('Aub Demand'!W:W,MATCH(O877,'Aub Demand'!A:A,0)),"")</f>
        <v>0</v>
      </c>
      <c r="H877" s="25">
        <f>IFERROR(INDEX('Aub Demand'!V:V,MATCH(O877,'Aub Demand'!A:A,0)),"")</f>
        <v>20</v>
      </c>
      <c r="I877" s="25">
        <f>IFERROR(INDEX('Aub Demand'!U:U,MATCH(O877,'Aub Demand'!A:A,0)),"")</f>
        <v>52</v>
      </c>
      <c r="J877" s="25">
        <f>IFERROR(INDEX('Aub Demand'!T:T,MATCH(O877,'Aub Demand'!A:A,0)),"")</f>
        <v>0</v>
      </c>
      <c r="K877" s="25">
        <f>IFERROR(INDEX('Aub Demand'!S:S,MATCH(O877,'Aub Demand'!A:A,0)),"")</f>
        <v>24</v>
      </c>
      <c r="L877" s="25">
        <f>IFERROR(INDEX('Aub Demand'!R:R,MATCH(O877,'Aub Demand'!A:A,0)),"")</f>
        <v>0</v>
      </c>
      <c r="O877" s="27" t="s">
        <v>1285</v>
      </c>
      <c r="P877" s="27" t="str">
        <f>IFERROR(INDEX('Aub Demand'!B:B,MATCH($O877,'Aub Demand'!$A:$A,0)),"")</f>
        <v>GRIDLOCK IN L.A.</v>
      </c>
      <c r="Q877" s="27" t="str">
        <f>IFERROR(INDEX('Aub Demand'!C:C,MATCH($O877,'Aub Demand'!$A:$A,0)),"")</f>
        <v>DNP A</v>
      </c>
      <c r="R877" s="52">
        <f>IFERROR(IF(AR878=AR877,INDEX('Aub Demand'!K:K,MATCH($O877,'Aub Demand'!$A:$A,0))-IF(AN877="",0,AN877)+AP878,INDEX('Aub Demand'!K:K,MATCH($O877,'Aub Demand'!$A:$A,0))-IF(AN877="",0,AN877)),"")</f>
        <v>412</v>
      </c>
      <c r="S877" s="53">
        <f t="shared" si="364"/>
        <v>70.599999999999994</v>
      </c>
      <c r="T877" s="52" t="str">
        <f t="shared" si="365"/>
        <v/>
      </c>
      <c r="U877" s="52">
        <f>IFERROR(IF(AR878=AR877,INDEX('Aub Demand'!Q:Q,MATCH($O877,'Aub Demand'!$A:$A,0))-IF(AN877="",0,AN877)+AP878,INDEX('Aub Demand'!Q:Q,MATCH($O877,'Aub Demand'!$A:$A,0))-IF(AN877="",0,AN877)),"")</f>
        <v>399</v>
      </c>
      <c r="V877" s="53">
        <f t="shared" si="366"/>
        <v>68.400000000000006</v>
      </c>
      <c r="W877" s="52" t="str">
        <f t="shared" si="367"/>
        <v/>
      </c>
      <c r="X877" s="52">
        <f>IFERROR(IF(AND(AR878=AR877,AM877&lt;&gt;""),INDEX('Aub Demand'!Q:Q,MATCH($O877,'Aub Demand'!$A:$A,0))-IF(AN877="",0,AN877)+AP878+AD877+AL877,IF(AR878=AR877,INDEX('Aub Demand'!Q:Q,MATCH($O877,'Aub Demand'!$A:$A,0))-IF(AN877="",0,AN877)+AP878+AD877,IF(AM877&lt;&gt;"",INDEX('Aub Demand'!Q:Q,MATCH($O877,'Aub Demand'!$A:$A,0))-IF(AN877="",0,AN877)+AD877+AL877,INDEX('Aub Demand'!Q:Q,MATCH($O877,'Aub Demand'!$A:$A,0))-IF(AN877="",0,AN877)+AD877))),"")</f>
        <v>399</v>
      </c>
      <c r="Y877" s="53">
        <f t="shared" si="368"/>
        <v>68.400000000000006</v>
      </c>
      <c r="Z877" s="52">
        <f>IF(L877="","",INDEX('Aub Demand'!H:H,MATCH($O877,'Aub Demand'!$A:$A,0)))</f>
        <v>25</v>
      </c>
      <c r="AA877" s="52">
        <f t="shared" si="369"/>
        <v>38</v>
      </c>
      <c r="AB877" s="52">
        <f>IFERROR(INDEX('Aub Demand'!L:L,MATCH($O877,'Aub Demand'!$A:$A,0)),"")</f>
        <v>0</v>
      </c>
      <c r="AC877" s="52">
        <f>IFERROR(IF(O877="","",SUMIFS('CPL Mats'!F:F,'CPL Mats'!Q:Q,AR877,'CPL Mats'!S:S,AS877)),"")</f>
        <v>0</v>
      </c>
      <c r="AF877" s="25" t="str">
        <f>IF(SUMIFS('Supp Consol'!S:S,'Supp Consol'!Y:Y,"Releasable",'Supp Consol'!A:A,O877)=0,"",SUMIFS('Supp Consol'!S:S,'Supp Consol'!Y:Y,"Releasable",'Supp Consol'!A:A,O877))</f>
        <v/>
      </c>
      <c r="AG877" s="25">
        <f>IFERROR(INDEX('Hun Demand'!Q:Q,MATCH(O877,'Hun Demand'!A:A,0)),"")</f>
        <v>279</v>
      </c>
      <c r="AH877" s="25">
        <f>IFERROR(INDEX('Hun Demand'!H:H,MATCH($O877,'Hun Demand'!$A:$A,0)),"")</f>
        <v>0</v>
      </c>
      <c r="AI877" s="25" t="str">
        <f>IF(SUMIFS('Supp Consol'!AA:AA,'Supp Consol'!Z:Z,"Expires this month",'Supp Consol'!A:A,O877)=0,"",SUMIFS('Supp Consol'!AA:AA,'Supp Consol'!Z:Z,"Expires this month",'Supp Consol'!A:A,O877))</f>
        <v/>
      </c>
      <c r="AJ877" s="25" t="str">
        <f>IF(SUMIFS('Supp Consol'!AA:AA,'Supp Consol'!Z:Z,"Expired Previous Months",'Supp Consol'!A:A,O877)=0,"",SUMIFS('Supp Consol'!AA:AA,'Supp Consol'!Z:Z,"Expired Previous Months",'Supp Consol'!A:A,O877))</f>
        <v/>
      </c>
      <c r="AK877" s="25" t="str">
        <f>IFERROR(INDEX('Hun Release Current'!B:B,MATCH(O877,'Hun Release Current'!A:A,0)),"")</f>
        <v/>
      </c>
      <c r="AL877" s="25" t="str">
        <f>IF(SUMIF('Prev Aub'!A:A,O877,'Prev Aub'!B:B)=0,"",SUMIF('Prev Aub'!A:A,O877,'Prev Aub'!B:B))</f>
        <v/>
      </c>
      <c r="AN877" s="25" t="s">
        <v>3790</v>
      </c>
      <c r="AO877" s="25" t="s">
        <v>3790</v>
      </c>
      <c r="AP877" s="25">
        <f t="shared" si="370"/>
        <v>0</v>
      </c>
      <c r="AQ877" s="151" t="str">
        <f>IF(SUMIFS('Supp Consol'!S:S,'Supp Consol'!A:A,O877,'Supp Consol'!I:I,"PENDING")=0,"",SUMIFS('Supp Consol'!S:S,'Supp Consol'!A:A,O877,'Supp Consol'!I:I,"PENDING"))</f>
        <v/>
      </c>
      <c r="AR877" s="27" t="str">
        <f t="shared" si="371"/>
        <v>PFA51</v>
      </c>
      <c r="AS877" s="27" t="str">
        <f t="shared" si="372"/>
        <v>62</v>
      </c>
      <c r="AT877" s="27" t="str">
        <f t="shared" si="373"/>
        <v/>
      </c>
      <c r="AU877" s="27" t="str">
        <f t="shared" si="374"/>
        <v/>
      </c>
      <c r="AV877" s="27" t="str">
        <f t="shared" si="375"/>
        <v/>
      </c>
      <c r="AW877" s="27" t="str">
        <f t="shared" si="376"/>
        <v/>
      </c>
      <c r="AX877" s="27" t="str">
        <f t="shared" si="377"/>
        <v/>
      </c>
      <c r="AY877" s="27" t="str">
        <f t="shared" si="378"/>
        <v>PFA51</v>
      </c>
      <c r="AZ877" s="27" t="str">
        <f t="shared" si="379"/>
        <v/>
      </c>
      <c r="BA877" s="27" t="str">
        <f t="shared" si="380"/>
        <v>Hun</v>
      </c>
      <c r="BB877" s="27" t="str">
        <f t="shared" si="381"/>
        <v/>
      </c>
      <c r="BC877" s="27" t="str">
        <f t="shared" si="382"/>
        <v/>
      </c>
      <c r="BD877" s="27" t="str">
        <f t="shared" si="383"/>
        <v/>
      </c>
      <c r="BE877" s="27" t="str">
        <f t="shared" si="384"/>
        <v/>
      </c>
      <c r="BF877" s="27" t="str">
        <f t="shared" si="385"/>
        <v/>
      </c>
      <c r="BG877" s="27" t="str">
        <f t="shared" si="386"/>
        <v/>
      </c>
      <c r="BH877" s="27" t="str">
        <f t="shared" si="387"/>
        <v/>
      </c>
      <c r="BI877" s="27" t="str">
        <f t="shared" si="388"/>
        <v/>
      </c>
      <c r="BJ877" s="27" t="str">
        <f t="shared" si="389"/>
        <v>Supp or Hun</v>
      </c>
      <c r="BK877" s="27" t="str">
        <f t="shared" si="390"/>
        <v/>
      </c>
      <c r="BL877" s="27" t="str">
        <f t="shared" si="391"/>
        <v/>
      </c>
      <c r="BM877" s="21" t="s">
        <v>5581</v>
      </c>
    </row>
    <row r="878" spans="1:65" ht="15">
      <c r="A878" s="25" t="str">
        <f>IFERROR(INDEX('Hun Demand'!W:W,MATCH(O878,'Hun Demand'!A:A,0)),"")</f>
        <v/>
      </c>
      <c r="B878" s="25" t="str">
        <f>IFERROR(INDEX('Hun Demand'!V:V,MATCH(O878,'Hun Demand'!A:A,0)),"")</f>
        <v/>
      </c>
      <c r="C878" s="25" t="str">
        <f>IFERROR(INDEX('Hun Demand'!U:U,MATCH(O878,'Hun Demand'!A:A,0)),"")</f>
        <v/>
      </c>
      <c r="D878" s="25" t="str">
        <f>IFERROR(INDEX('Hun Demand'!T:T,MATCH(O878,'Hun Demand'!A:A,0)),"")</f>
        <v/>
      </c>
      <c r="E878" s="25" t="str">
        <f>IFERROR(INDEX('Hun Demand'!S:S,MATCH(O878,'Hun Demand'!A:A,0)),"")</f>
        <v/>
      </c>
      <c r="F878" s="25" t="str">
        <f>IFERROR(INDEX('Hun Demand'!R:R,MATCH(O878,'Hun Demand'!A:A,0)),"")</f>
        <v/>
      </c>
      <c r="G878" s="25">
        <f>IFERROR(INDEX('Aub Demand'!W:W,MATCH(O878,'Aub Demand'!A:A,0)),"")</f>
        <v>0</v>
      </c>
      <c r="H878" s="25">
        <f>IFERROR(INDEX('Aub Demand'!V:V,MATCH(O878,'Aub Demand'!A:A,0)),"")</f>
        <v>0</v>
      </c>
      <c r="I878" s="25">
        <f>IFERROR(INDEX('Aub Demand'!U:U,MATCH(O878,'Aub Demand'!A:A,0)),"")</f>
        <v>0</v>
      </c>
      <c r="J878" s="25">
        <f>IFERROR(INDEX('Aub Demand'!T:T,MATCH(O878,'Aub Demand'!A:A,0)),"")</f>
        <v>0</v>
      </c>
      <c r="K878" s="25">
        <f>IFERROR(INDEX('Aub Demand'!S:S,MATCH(O878,'Aub Demand'!A:A,0)),"")</f>
        <v>0</v>
      </c>
      <c r="L878" s="25">
        <f>IFERROR(INDEX('Aub Demand'!R:R,MATCH(O878,'Aub Demand'!A:A,0)),"")</f>
        <v>0</v>
      </c>
      <c r="O878" s="27" t="s">
        <v>1286</v>
      </c>
      <c r="P878" s="27" t="str">
        <f>IFERROR(INDEX('Aub Demand'!B:B,MATCH($O878,'Aub Demand'!$A:$A,0)),"")</f>
        <v>STREETS OF SAN FRANC</v>
      </c>
      <c r="Q878" s="27" t="str">
        <f>IFERROR(INDEX('Aub Demand'!C:C,MATCH($O878,'Aub Demand'!$A:$A,0)),"")</f>
        <v>DNP A</v>
      </c>
      <c r="R878" s="52">
        <f>IFERROR(IF(AR879=AR878,INDEX('Aub Demand'!K:K,MATCH($O878,'Aub Demand'!$A:$A,0))-IF(AN878="",0,AN878)+AP879,INDEX('Aub Demand'!K:K,MATCH($O878,'Aub Demand'!$A:$A,0))-IF(AN878="",0,AN878)),"")</f>
        <v>543</v>
      </c>
      <c r="S878" s="53" t="str">
        <f t="shared" si="364"/>
        <v>n/a</v>
      </c>
      <c r="T878" s="52" t="str">
        <f t="shared" si="365"/>
        <v/>
      </c>
      <c r="U878" s="52">
        <f>IFERROR(IF(AR879=AR878,INDEX('Aub Demand'!Q:Q,MATCH($O878,'Aub Demand'!$A:$A,0))-IF(AN878="",0,AN878)+AP879,INDEX('Aub Demand'!Q:Q,MATCH($O878,'Aub Demand'!$A:$A,0))-IF(AN878="",0,AN878)),"")</f>
        <v>543</v>
      </c>
      <c r="V878" s="53" t="str">
        <f t="shared" si="366"/>
        <v>n/a</v>
      </c>
      <c r="W878" s="52" t="str">
        <f t="shared" si="367"/>
        <v/>
      </c>
      <c r="X878" s="52">
        <f>IFERROR(IF(AND(AR879=AR878,AM878&lt;&gt;""),INDEX('Aub Demand'!Q:Q,MATCH($O878,'Aub Demand'!$A:$A,0))-IF(AN878="",0,AN878)+AP879+AD878+AL878,IF(AR879=AR878,INDEX('Aub Demand'!Q:Q,MATCH($O878,'Aub Demand'!$A:$A,0))-IF(AN878="",0,AN878)+AP879+AD878,IF(AM878&lt;&gt;"",INDEX('Aub Demand'!Q:Q,MATCH($O878,'Aub Demand'!$A:$A,0))-IF(AN878="",0,AN878)+AD878+AL878,INDEX('Aub Demand'!Q:Q,MATCH($O878,'Aub Demand'!$A:$A,0))-IF(AN878="",0,AN878)+AD878))),"")</f>
        <v>543</v>
      </c>
      <c r="Y878" s="53" t="str">
        <f t="shared" si="368"/>
        <v>n/a</v>
      </c>
      <c r="Z878" s="52">
        <f>IF(L878="","",INDEX('Aub Demand'!H:H,MATCH($O878,'Aub Demand'!$A:$A,0)))</f>
        <v>0</v>
      </c>
      <c r="AA878" s="52" t="str">
        <f t="shared" si="369"/>
        <v>-spike-</v>
      </c>
      <c r="AB878" s="52">
        <f>IFERROR(INDEX('Aub Demand'!L:L,MATCH($O878,'Aub Demand'!$A:$A,0)),"")</f>
        <v>0</v>
      </c>
      <c r="AC878" s="52">
        <f>IFERROR(IF(O878="","",SUMIFS('CPL Mats'!F:F,'CPL Mats'!Q:Q,AR878,'CPL Mats'!S:S,AS878)),"")</f>
        <v>0</v>
      </c>
      <c r="AF878" s="25" t="str">
        <f>IF(SUMIFS('Supp Consol'!S:S,'Supp Consol'!Y:Y,"Releasable",'Supp Consol'!A:A,O878)=0,"",SUMIFS('Supp Consol'!S:S,'Supp Consol'!Y:Y,"Releasable",'Supp Consol'!A:A,O878))</f>
        <v/>
      </c>
      <c r="AG878" s="25" t="str">
        <f>IFERROR(INDEX('Hun Demand'!Q:Q,MATCH(O878,'Hun Demand'!A:A,0)),"")</f>
        <v/>
      </c>
      <c r="AH878" s="25" t="str">
        <f>IFERROR(INDEX('Hun Demand'!H:H,MATCH($O878,'Hun Demand'!$A:$A,0)),"")</f>
        <v/>
      </c>
      <c r="AI878" s="25" t="str">
        <f>IF(SUMIFS('Supp Consol'!AA:AA,'Supp Consol'!Z:Z,"Expires this month",'Supp Consol'!A:A,O878)=0,"",SUMIFS('Supp Consol'!AA:AA,'Supp Consol'!Z:Z,"Expires this month",'Supp Consol'!A:A,O878))</f>
        <v/>
      </c>
      <c r="AJ878" s="25" t="str">
        <f>IF(SUMIFS('Supp Consol'!AA:AA,'Supp Consol'!Z:Z,"Expired Previous Months",'Supp Consol'!A:A,O878)=0,"",SUMIFS('Supp Consol'!AA:AA,'Supp Consol'!Z:Z,"Expired Previous Months",'Supp Consol'!A:A,O878))</f>
        <v/>
      </c>
      <c r="AK878" s="25" t="str">
        <f>IFERROR(INDEX('Hun Release Current'!B:B,MATCH(O878,'Hun Release Current'!A:A,0)),"")</f>
        <v/>
      </c>
      <c r="AL878" s="25" t="str">
        <f>IF(SUMIF('Prev Aub'!A:A,O878,'Prev Aub'!B:B)=0,"",SUMIF('Prev Aub'!A:A,O878,'Prev Aub'!B:B))</f>
        <v/>
      </c>
      <c r="AN878" s="25" t="s">
        <v>3790</v>
      </c>
      <c r="AO878" s="25" t="s">
        <v>3790</v>
      </c>
      <c r="AP878" s="25">
        <f t="shared" si="370"/>
        <v>0</v>
      </c>
      <c r="AQ878" s="151" t="str">
        <f>IF(SUMIFS('Supp Consol'!S:S,'Supp Consol'!A:A,O878,'Supp Consol'!I:I,"PENDING")=0,"",SUMIFS('Supp Consol'!S:S,'Supp Consol'!A:A,O878,'Supp Consol'!I:I,"PENDING"))</f>
        <v/>
      </c>
      <c r="AR878" s="27" t="str">
        <f t="shared" si="371"/>
        <v>PFA54</v>
      </c>
      <c r="AS878" s="27" t="str">
        <f t="shared" si="372"/>
        <v>50</v>
      </c>
      <c r="AT878" s="27" t="str">
        <f t="shared" si="373"/>
        <v/>
      </c>
      <c r="AU878" s="27" t="str">
        <f t="shared" si="374"/>
        <v/>
      </c>
      <c r="AV878" s="27" t="str">
        <f t="shared" si="375"/>
        <v/>
      </c>
      <c r="AW878" s="27" t="str">
        <f t="shared" si="376"/>
        <v/>
      </c>
      <c r="AX878" s="27" t="str">
        <f t="shared" si="377"/>
        <v/>
      </c>
      <c r="AY878" s="27" t="str">
        <f t="shared" si="378"/>
        <v/>
      </c>
      <c r="AZ878" s="27" t="str">
        <f t="shared" si="379"/>
        <v/>
      </c>
      <c r="BA878" s="27" t="str">
        <f t="shared" si="380"/>
        <v/>
      </c>
      <c r="BB878" s="27" t="str">
        <f t="shared" si="381"/>
        <v/>
      </c>
      <c r="BC878" s="27" t="str">
        <f t="shared" si="382"/>
        <v/>
      </c>
      <c r="BD878" s="27" t="str">
        <f t="shared" si="383"/>
        <v/>
      </c>
      <c r="BE878" s="27" t="str">
        <f t="shared" si="384"/>
        <v/>
      </c>
      <c r="BF878" s="27" t="str">
        <f t="shared" si="385"/>
        <v/>
      </c>
      <c r="BG878" s="27" t="str">
        <f t="shared" si="386"/>
        <v/>
      </c>
      <c r="BH878" s="27" t="str">
        <f t="shared" si="387"/>
        <v/>
      </c>
      <c r="BI878" s="27" t="str">
        <f t="shared" si="388"/>
        <v/>
      </c>
      <c r="BJ878" s="27" t="str">
        <f t="shared" si="389"/>
        <v/>
      </c>
      <c r="BK878" s="27" t="str">
        <f t="shared" si="390"/>
        <v/>
      </c>
      <c r="BL878" s="27" t="str">
        <f t="shared" si="391"/>
        <v/>
      </c>
      <c r="BM878" s="21" t="s">
        <v>3790</v>
      </c>
    </row>
    <row r="879" spans="1:65" ht="15">
      <c r="A879" s="25" t="str">
        <f>IFERROR(INDEX('Hun Demand'!W:W,MATCH(O879,'Hun Demand'!A:A,0)),"")</f>
        <v/>
      </c>
      <c r="B879" s="25" t="str">
        <f>IFERROR(INDEX('Hun Demand'!V:V,MATCH(O879,'Hun Demand'!A:A,0)),"")</f>
        <v/>
      </c>
      <c r="C879" s="25" t="str">
        <f>IFERROR(INDEX('Hun Demand'!U:U,MATCH(O879,'Hun Demand'!A:A,0)),"")</f>
        <v/>
      </c>
      <c r="D879" s="25" t="str">
        <f>IFERROR(INDEX('Hun Demand'!T:T,MATCH(O879,'Hun Demand'!A:A,0)),"")</f>
        <v/>
      </c>
      <c r="E879" s="25" t="str">
        <f>IFERROR(INDEX('Hun Demand'!S:S,MATCH(O879,'Hun Demand'!A:A,0)),"")</f>
        <v/>
      </c>
      <c r="F879" s="25" t="str">
        <f>IFERROR(INDEX('Hun Demand'!R:R,MATCH(O879,'Hun Demand'!A:A,0)),"")</f>
        <v/>
      </c>
      <c r="G879" s="25">
        <f>IFERROR(INDEX('Aub Demand'!W:W,MATCH(O879,'Aub Demand'!A:A,0)),"")</f>
        <v>0</v>
      </c>
      <c r="H879" s="25">
        <f>IFERROR(INDEX('Aub Demand'!V:V,MATCH(O879,'Aub Demand'!A:A,0)),"")</f>
        <v>0</v>
      </c>
      <c r="I879" s="25">
        <f>IFERROR(INDEX('Aub Demand'!U:U,MATCH(O879,'Aub Demand'!A:A,0)),"")</f>
        <v>0</v>
      </c>
      <c r="J879" s="25">
        <f>IFERROR(INDEX('Aub Demand'!T:T,MATCH(O879,'Aub Demand'!A:A,0)),"")</f>
        <v>0</v>
      </c>
      <c r="K879" s="25">
        <f>IFERROR(INDEX('Aub Demand'!S:S,MATCH(O879,'Aub Demand'!A:A,0)),"")</f>
        <v>0</v>
      </c>
      <c r="L879" s="25">
        <f>IFERROR(INDEX('Aub Demand'!R:R,MATCH(O879,'Aub Demand'!A:A,0)),"")</f>
        <v>0</v>
      </c>
      <c r="O879" s="27" t="s">
        <v>1289</v>
      </c>
      <c r="P879" s="27" t="str">
        <f>IFERROR(INDEX('Aub Demand'!B:B,MATCH($O879,'Aub Demand'!$A:$A,0)),"")</f>
        <v>STREETS OF SAN FRANC</v>
      </c>
      <c r="Q879" s="27" t="str">
        <f>IFERROR(INDEX('Aub Demand'!C:C,MATCH($O879,'Aub Demand'!$A:$A,0)),"")</f>
        <v>DNP A</v>
      </c>
      <c r="R879" s="52">
        <f>IFERROR(IF(AR880=AR879,INDEX('Aub Demand'!K:K,MATCH($O879,'Aub Demand'!$A:$A,0))-IF(AN879="",0,AN879)+AP880,INDEX('Aub Demand'!K:K,MATCH($O879,'Aub Demand'!$A:$A,0))-IF(AN879="",0,AN879)),"")</f>
        <v>219</v>
      </c>
      <c r="S879" s="53" t="str">
        <f t="shared" si="364"/>
        <v>n/a</v>
      </c>
      <c r="T879" s="52" t="str">
        <f t="shared" si="365"/>
        <v/>
      </c>
      <c r="U879" s="52">
        <f>IFERROR(IF(AR880=AR879,INDEX('Aub Demand'!Q:Q,MATCH($O879,'Aub Demand'!$A:$A,0))-IF(AN879="",0,AN879)+AP880,INDEX('Aub Demand'!Q:Q,MATCH($O879,'Aub Demand'!$A:$A,0))-IF(AN879="",0,AN879)),"")</f>
        <v>219</v>
      </c>
      <c r="V879" s="53" t="str">
        <f t="shared" si="366"/>
        <v>n/a</v>
      </c>
      <c r="W879" s="52" t="str">
        <f t="shared" si="367"/>
        <v/>
      </c>
      <c r="X879" s="52">
        <f>IFERROR(IF(AND(AR880=AR879,AM879&lt;&gt;""),INDEX('Aub Demand'!Q:Q,MATCH($O879,'Aub Demand'!$A:$A,0))-IF(AN879="",0,AN879)+AP880+AD879+AL879,IF(AR880=AR879,INDEX('Aub Demand'!Q:Q,MATCH($O879,'Aub Demand'!$A:$A,0))-IF(AN879="",0,AN879)+AP880+AD879,IF(AM879&lt;&gt;"",INDEX('Aub Demand'!Q:Q,MATCH($O879,'Aub Demand'!$A:$A,0))-IF(AN879="",0,AN879)+AD879+AL879,INDEX('Aub Demand'!Q:Q,MATCH($O879,'Aub Demand'!$A:$A,0))-IF(AN879="",0,AN879)+AD879))),"")</f>
        <v>219</v>
      </c>
      <c r="Y879" s="53" t="str">
        <f t="shared" si="368"/>
        <v>n/a</v>
      </c>
      <c r="Z879" s="52">
        <f>IF(L879="","",INDEX('Aub Demand'!H:H,MATCH($O879,'Aub Demand'!$A:$A,0)))</f>
        <v>0</v>
      </c>
      <c r="AA879" s="52" t="str">
        <f t="shared" si="369"/>
        <v>-spike-</v>
      </c>
      <c r="AB879" s="52">
        <f>IFERROR(INDEX('Aub Demand'!L:L,MATCH($O879,'Aub Demand'!$A:$A,0)),"")</f>
        <v>92</v>
      </c>
      <c r="AC879" s="52">
        <f>IFERROR(IF(O879="","",SUMIFS('CPL Mats'!F:F,'CPL Mats'!Q:Q,AR879,'CPL Mats'!S:S,AS879)),"")</f>
        <v>0</v>
      </c>
      <c r="AF879" s="25" t="str">
        <f>IF(SUMIFS('Supp Consol'!S:S,'Supp Consol'!Y:Y,"Releasable",'Supp Consol'!A:A,O879)=0,"",SUMIFS('Supp Consol'!S:S,'Supp Consol'!Y:Y,"Releasable",'Supp Consol'!A:A,O879))</f>
        <v/>
      </c>
      <c r="AG879" s="25" t="str">
        <f>IFERROR(INDEX('Hun Demand'!Q:Q,MATCH(O879,'Hun Demand'!A:A,0)),"")</f>
        <v/>
      </c>
      <c r="AH879" s="25" t="str">
        <f>IFERROR(INDEX('Hun Demand'!H:H,MATCH($O879,'Hun Demand'!$A:$A,0)),"")</f>
        <v/>
      </c>
      <c r="AI879" s="25" t="str">
        <f>IF(SUMIFS('Supp Consol'!AA:AA,'Supp Consol'!Z:Z,"Expires this month",'Supp Consol'!A:A,O879)=0,"",SUMIFS('Supp Consol'!AA:AA,'Supp Consol'!Z:Z,"Expires this month",'Supp Consol'!A:A,O879))</f>
        <v/>
      </c>
      <c r="AJ879" s="25" t="str">
        <f>IF(SUMIFS('Supp Consol'!AA:AA,'Supp Consol'!Z:Z,"Expired Previous Months",'Supp Consol'!A:A,O879)=0,"",SUMIFS('Supp Consol'!AA:AA,'Supp Consol'!Z:Z,"Expired Previous Months",'Supp Consol'!A:A,O879))</f>
        <v/>
      </c>
      <c r="AK879" s="25" t="str">
        <f>IFERROR(INDEX('Hun Release Current'!B:B,MATCH(O879,'Hun Release Current'!A:A,0)),"")</f>
        <v/>
      </c>
      <c r="AL879" s="25" t="str">
        <f>IF(SUMIF('Prev Aub'!A:A,O879,'Prev Aub'!B:B)=0,"",SUMIF('Prev Aub'!A:A,O879,'Prev Aub'!B:B))</f>
        <v/>
      </c>
      <c r="AN879" s="25" t="s">
        <v>3790</v>
      </c>
      <c r="AO879" s="25" t="s">
        <v>3790</v>
      </c>
      <c r="AP879" s="25">
        <f t="shared" si="370"/>
        <v>0</v>
      </c>
      <c r="AQ879" s="151" t="str">
        <f>IF(SUMIFS('Supp Consol'!S:S,'Supp Consol'!A:A,O879,'Supp Consol'!I:I,"PENDING")=0,"",SUMIFS('Supp Consol'!S:S,'Supp Consol'!A:A,O879,'Supp Consol'!I:I,"PENDING"))</f>
        <v/>
      </c>
      <c r="AR879" s="27" t="str">
        <f t="shared" si="371"/>
        <v>PFA54</v>
      </c>
      <c r="AS879" s="27" t="str">
        <f t="shared" si="372"/>
        <v>62</v>
      </c>
      <c r="AT879" s="27" t="str">
        <f t="shared" si="373"/>
        <v/>
      </c>
      <c r="AU879" s="27" t="str">
        <f t="shared" si="374"/>
        <v/>
      </c>
      <c r="AV879" s="27" t="str">
        <f t="shared" si="375"/>
        <v/>
      </c>
      <c r="AW879" s="27" t="str">
        <f t="shared" si="376"/>
        <v/>
      </c>
      <c r="AX879" s="27" t="str">
        <f t="shared" si="377"/>
        <v/>
      </c>
      <c r="AY879" s="27" t="str">
        <f t="shared" si="378"/>
        <v/>
      </c>
      <c r="AZ879" s="27" t="str">
        <f t="shared" si="379"/>
        <v/>
      </c>
      <c r="BA879" s="27" t="str">
        <f t="shared" si="380"/>
        <v/>
      </c>
      <c r="BB879" s="27" t="str">
        <f t="shared" si="381"/>
        <v/>
      </c>
      <c r="BC879" s="27" t="str">
        <f t="shared" si="382"/>
        <v/>
      </c>
      <c r="BD879" s="27" t="str">
        <f t="shared" si="383"/>
        <v/>
      </c>
      <c r="BE879" s="27" t="str">
        <f t="shared" si="384"/>
        <v/>
      </c>
      <c r="BF879" s="27" t="str">
        <f t="shared" si="385"/>
        <v/>
      </c>
      <c r="BG879" s="27" t="str">
        <f t="shared" si="386"/>
        <v/>
      </c>
      <c r="BH879" s="27" t="str">
        <f t="shared" si="387"/>
        <v/>
      </c>
      <c r="BI879" s="27" t="str">
        <f t="shared" si="388"/>
        <v/>
      </c>
      <c r="BJ879" s="27" t="str">
        <f t="shared" si="389"/>
        <v/>
      </c>
      <c r="BK879" s="27" t="str">
        <f t="shared" si="390"/>
        <v/>
      </c>
      <c r="BL879" s="27" t="str">
        <f t="shared" si="391"/>
        <v/>
      </c>
      <c r="BM879" s="21" t="s">
        <v>3790</v>
      </c>
    </row>
    <row r="880" spans="1:65" ht="15">
      <c r="A880" s="25">
        <f>IFERROR(INDEX('Hun Demand'!W:W,MATCH(O880,'Hun Demand'!A:A,0)),"")</f>
        <v>3217</v>
      </c>
      <c r="B880" s="25">
        <f>IFERROR(INDEX('Hun Demand'!V:V,MATCH(O880,'Hun Demand'!A:A,0)),"")</f>
        <v>1873</v>
      </c>
      <c r="C880" s="25">
        <f>IFERROR(INDEX('Hun Demand'!U:U,MATCH(O880,'Hun Demand'!A:A,0)),"")</f>
        <v>838</v>
      </c>
      <c r="D880" s="25">
        <f>IFERROR(INDEX('Hun Demand'!T:T,MATCH(O880,'Hun Demand'!A:A,0)),"")</f>
        <v>0</v>
      </c>
      <c r="E880" s="25">
        <f>IFERROR(INDEX('Hun Demand'!S:S,MATCH(O880,'Hun Demand'!A:A,0)),"")</f>
        <v>0</v>
      </c>
      <c r="F880" s="25">
        <f>IFERROR(INDEX('Hun Demand'!R:R,MATCH(O880,'Hun Demand'!A:A,0)),"")</f>
        <v>0</v>
      </c>
      <c r="G880" s="25">
        <f>IFERROR(INDEX('Aub Demand'!W:W,MATCH(O880,'Aub Demand'!A:A,0)),"")</f>
        <v>769</v>
      </c>
      <c r="H880" s="25">
        <f>IFERROR(INDEX('Aub Demand'!V:V,MATCH(O880,'Aub Demand'!A:A,0)),"")</f>
        <v>1525</v>
      </c>
      <c r="I880" s="25">
        <f>IFERROR(INDEX('Aub Demand'!U:U,MATCH(O880,'Aub Demand'!A:A,0)),"")</f>
        <v>333</v>
      </c>
      <c r="J880" s="25">
        <f>IFERROR(INDEX('Aub Demand'!T:T,MATCH(O880,'Aub Demand'!A:A,0)),"")</f>
        <v>770</v>
      </c>
      <c r="K880" s="25">
        <f>IFERROR(INDEX('Aub Demand'!S:S,MATCH(O880,'Aub Demand'!A:A,0)),"")</f>
        <v>15</v>
      </c>
      <c r="L880" s="25">
        <f>IFERROR(INDEX('Aub Demand'!R:R,MATCH(O880,'Aub Demand'!A:A,0)),"")</f>
        <v>0</v>
      </c>
      <c r="O880" s="27" t="s">
        <v>1291</v>
      </c>
      <c r="P880" s="27" t="str">
        <f>IFERROR(INDEX('Aub Demand'!B:B,MATCH($O880,'Aub Demand'!$A:$A,0)),"")</f>
        <v>NEGOTIATING IN GENEV</v>
      </c>
      <c r="Q880" s="27" t="str">
        <f>IFERROR(INDEX('Aub Demand'!C:C,MATCH($O880,'Aub Demand'!$A:$A,0)),"")</f>
        <v>INTER</v>
      </c>
      <c r="R880" s="52">
        <f>IFERROR(IF(AR881=AR880,INDEX('Aub Demand'!K:K,MATCH($O880,'Aub Demand'!$A:$A,0))-IF(AN880="",0,AN880)+AP881,INDEX('Aub Demand'!K:K,MATCH($O880,'Aub Demand'!$A:$A,0))-IF(AN880="",0,AN880)),"")</f>
        <v>1120</v>
      </c>
      <c r="S880" s="53">
        <f t="shared" si="364"/>
        <v>12.9</v>
      </c>
      <c r="T880" s="52" t="str">
        <f t="shared" si="365"/>
        <v/>
      </c>
      <c r="U880" s="52">
        <f>IFERROR(IF(AR881=AR880,INDEX('Aub Demand'!Q:Q,MATCH($O880,'Aub Demand'!$A:$A,0))-IF(AN880="",0,AN880)+AP881,INDEX('Aub Demand'!Q:Q,MATCH($O880,'Aub Demand'!$A:$A,0))-IF(AN880="",0,AN880)),"")</f>
        <v>606</v>
      </c>
      <c r="V880" s="53">
        <f t="shared" si="366"/>
        <v>7</v>
      </c>
      <c r="W880" s="52" t="str">
        <f t="shared" si="367"/>
        <v/>
      </c>
      <c r="X880" s="52">
        <f>IFERROR(IF(AND(AR881=AR880,AM880&lt;&gt;""),INDEX('Aub Demand'!Q:Q,MATCH($O880,'Aub Demand'!$A:$A,0))-IF(AN880="",0,AN880)+AP881+AD880+AL880,IF(AR881=AR880,INDEX('Aub Demand'!Q:Q,MATCH($O880,'Aub Demand'!$A:$A,0))-IF(AN880="",0,AN880)+AP881+AD880,IF(AM880&lt;&gt;"",INDEX('Aub Demand'!Q:Q,MATCH($O880,'Aub Demand'!$A:$A,0))-IF(AN880="",0,AN880)+AD880+AL880,INDEX('Aub Demand'!Q:Q,MATCH($O880,'Aub Demand'!$A:$A,0))-IF(AN880="",0,AN880)+AD880))),"")</f>
        <v>606</v>
      </c>
      <c r="Y880" s="53">
        <f t="shared" si="368"/>
        <v>7</v>
      </c>
      <c r="Z880" s="52">
        <f>IF(L880="","",INDEX('Aub Demand'!H:H,MATCH($O880,'Aub Demand'!$A:$A,0)))</f>
        <v>373</v>
      </c>
      <c r="AA880" s="52">
        <f t="shared" si="369"/>
        <v>551.5</v>
      </c>
      <c r="AB880" s="52">
        <f>IFERROR(INDEX('Aub Demand'!L:L,MATCH($O880,'Aub Demand'!$A:$A,0)),"")</f>
        <v>1185</v>
      </c>
      <c r="AC880" s="52">
        <f>IFERROR(IF(O880="","",SUMIFS('CPL Mats'!F:F,'CPL Mats'!Q:Q,AR880,'CPL Mats'!S:S,AS880)),"")</f>
        <v>11735.9</v>
      </c>
      <c r="AF880" s="25">
        <f>IF(SUMIFS('Supp Consol'!S:S,'Supp Consol'!Y:Y,"Releasable",'Supp Consol'!A:A,O880)=0,"",SUMIFS('Supp Consol'!S:S,'Supp Consol'!Y:Y,"Releasable",'Supp Consol'!A:A,O880))</f>
        <v>10655</v>
      </c>
      <c r="AG880" s="25">
        <f>IFERROR(INDEX('Hun Demand'!Q:Q,MATCH(O880,'Hun Demand'!A:A,0)),"")</f>
        <v>1093</v>
      </c>
      <c r="AH880" s="25">
        <f>IFERROR(INDEX('Hun Demand'!H:H,MATCH($O880,'Hun Demand'!$A:$A,0)),"")</f>
        <v>279</v>
      </c>
      <c r="AI880" s="25" t="str">
        <f>IF(SUMIFS('Supp Consol'!AA:AA,'Supp Consol'!Z:Z,"Expires this month",'Supp Consol'!A:A,O880)=0,"",SUMIFS('Supp Consol'!AA:AA,'Supp Consol'!Z:Z,"Expires this month",'Supp Consol'!A:A,O880))</f>
        <v/>
      </c>
      <c r="AJ880" s="25" t="str">
        <f>IF(SUMIFS('Supp Consol'!AA:AA,'Supp Consol'!Z:Z,"Expired Previous Months",'Supp Consol'!A:A,O880)=0,"",SUMIFS('Supp Consol'!AA:AA,'Supp Consol'!Z:Z,"Expired Previous Months",'Supp Consol'!A:A,O880))</f>
        <v/>
      </c>
      <c r="AK880" s="25" t="str">
        <f>IFERROR(INDEX('Hun Release Current'!B:B,MATCH(O880,'Hun Release Current'!A:A,0)),"")</f>
        <v/>
      </c>
      <c r="AL880" s="25" t="str">
        <f>IF(SUMIF('Prev Aub'!A:A,O880,'Prev Aub'!B:B)=0,"",SUMIF('Prev Aub'!A:A,O880,'Prev Aub'!B:B))</f>
        <v/>
      </c>
      <c r="AN880" s="25" t="s">
        <v>3790</v>
      </c>
      <c r="AO880" s="25" t="s">
        <v>3790</v>
      </c>
      <c r="AP880" s="25">
        <f t="shared" si="370"/>
        <v>0</v>
      </c>
      <c r="AQ880" s="151" t="str">
        <f>IF(SUMIFS('Supp Consol'!S:S,'Supp Consol'!A:A,O880,'Supp Consol'!I:I,"PENDING")=0,"",SUMIFS('Supp Consol'!S:S,'Supp Consol'!A:A,O880,'Supp Consol'!I:I,"PENDING"))</f>
        <v/>
      </c>
      <c r="AR880" s="27" t="str">
        <f t="shared" si="371"/>
        <v>PFA60</v>
      </c>
      <c r="AS880" s="27" t="str">
        <f t="shared" si="372"/>
        <v>50</v>
      </c>
      <c r="AT880" s="27" t="str">
        <f t="shared" si="373"/>
        <v/>
      </c>
      <c r="AU880" s="27" t="str">
        <f t="shared" si="374"/>
        <v/>
      </c>
      <c r="AV880" s="27" t="str">
        <f t="shared" si="375"/>
        <v/>
      </c>
      <c r="AW880" s="27" t="str">
        <f t="shared" si="376"/>
        <v/>
      </c>
      <c r="AX880" s="27" t="str">
        <f t="shared" si="377"/>
        <v>PFA60</v>
      </c>
      <c r="AY880" s="27" t="str">
        <f t="shared" si="378"/>
        <v>PFA60</v>
      </c>
      <c r="AZ880" s="27" t="str">
        <f t="shared" si="379"/>
        <v>Supp</v>
      </c>
      <c r="BA880" s="27" t="str">
        <f t="shared" si="380"/>
        <v>Hun</v>
      </c>
      <c r="BB880" s="27" t="str">
        <f t="shared" si="381"/>
        <v/>
      </c>
      <c r="BC880" s="27" t="str">
        <f t="shared" si="382"/>
        <v/>
      </c>
      <c r="BD880" s="27" t="str">
        <f t="shared" si="383"/>
        <v/>
      </c>
      <c r="BE880" s="27" t="str">
        <f t="shared" si="384"/>
        <v/>
      </c>
      <c r="BF880" s="27" t="str">
        <f t="shared" si="385"/>
        <v/>
      </c>
      <c r="BG880" s="27" t="str">
        <f t="shared" si="386"/>
        <v/>
      </c>
      <c r="BH880" s="27" t="str">
        <f t="shared" si="387"/>
        <v/>
      </c>
      <c r="BI880" s="27" t="str">
        <f t="shared" si="388"/>
        <v/>
      </c>
      <c r="BJ880" s="27" t="str">
        <f t="shared" si="389"/>
        <v>Supp or Hun</v>
      </c>
      <c r="BK880" s="27" t="str">
        <f t="shared" si="390"/>
        <v/>
      </c>
      <c r="BL880" s="27" t="str">
        <f t="shared" si="391"/>
        <v/>
      </c>
      <c r="BM880" s="21" t="s">
        <v>5581</v>
      </c>
    </row>
    <row r="881" spans="1:65" ht="15">
      <c r="A881" s="25">
        <f>IFERROR(INDEX('Hun Demand'!W:W,MATCH(O881,'Hun Demand'!A:A,0)),"")</f>
        <v>187</v>
      </c>
      <c r="B881" s="25">
        <f>IFERROR(INDEX('Hun Demand'!V:V,MATCH(O881,'Hun Demand'!A:A,0)),"")</f>
        <v>0</v>
      </c>
      <c r="C881" s="25">
        <f>IFERROR(INDEX('Hun Demand'!U:U,MATCH(O881,'Hun Demand'!A:A,0)),"")</f>
        <v>356</v>
      </c>
      <c r="D881" s="25">
        <f>IFERROR(INDEX('Hun Demand'!T:T,MATCH(O881,'Hun Demand'!A:A,0)),"")</f>
        <v>460</v>
      </c>
      <c r="E881" s="25">
        <f>IFERROR(INDEX('Hun Demand'!S:S,MATCH(O881,'Hun Demand'!A:A,0)),"")</f>
        <v>512</v>
      </c>
      <c r="F881" s="25">
        <f>IFERROR(INDEX('Hun Demand'!R:R,MATCH(O881,'Hun Demand'!A:A,0)),"")</f>
        <v>0</v>
      </c>
      <c r="G881" s="25">
        <f>IFERROR(INDEX('Aub Demand'!W:W,MATCH(O881,'Aub Demand'!A:A,0)),"")</f>
        <v>65</v>
      </c>
      <c r="H881" s="25">
        <f>IFERROR(INDEX('Aub Demand'!V:V,MATCH(O881,'Aub Demand'!A:A,0)),"")</f>
        <v>457</v>
      </c>
      <c r="I881" s="25">
        <f>IFERROR(INDEX('Aub Demand'!U:U,MATCH(O881,'Aub Demand'!A:A,0)),"")</f>
        <v>139</v>
      </c>
      <c r="J881" s="25">
        <f>IFERROR(INDEX('Aub Demand'!T:T,MATCH(O881,'Aub Demand'!A:A,0)),"")</f>
        <v>34</v>
      </c>
      <c r="K881" s="25">
        <f>IFERROR(INDEX('Aub Demand'!S:S,MATCH(O881,'Aub Demand'!A:A,0)),"")</f>
        <v>237</v>
      </c>
      <c r="L881" s="25">
        <f>IFERROR(INDEX('Aub Demand'!R:R,MATCH(O881,'Aub Demand'!A:A,0)),"")</f>
        <v>190</v>
      </c>
      <c r="O881" s="27" t="s">
        <v>1293</v>
      </c>
      <c r="P881" s="27" t="str">
        <f>IFERROR(INDEX('Aub Demand'!B:B,MATCH($O881,'Aub Demand'!$A:$A,0)),"")</f>
        <v>NEGOTIATING IN GENEV</v>
      </c>
      <c r="Q881" s="27" t="str">
        <f>IFERROR(INDEX('Aub Demand'!C:C,MATCH($O881,'Aub Demand'!$A:$A,0)),"")</f>
        <v>INTER</v>
      </c>
      <c r="R881" s="52">
        <f>IFERROR(IF(AR882=AR881,INDEX('Aub Demand'!K:K,MATCH($O881,'Aub Demand'!$A:$A,0))-IF(AN881="",0,AN881)+AP882,INDEX('Aub Demand'!K:K,MATCH($O881,'Aub Demand'!$A:$A,0))-IF(AN881="",0,AN881)),"")</f>
        <v>842</v>
      </c>
      <c r="S881" s="53">
        <f t="shared" si="364"/>
        <v>26.3</v>
      </c>
      <c r="T881" s="52" t="str">
        <f t="shared" si="365"/>
        <v/>
      </c>
      <c r="U881" s="52">
        <f>IFERROR(IF(AR882=AR881,INDEX('Aub Demand'!Q:Q,MATCH($O881,'Aub Demand'!$A:$A,0))-IF(AN881="",0,AN881)+AP882,INDEX('Aub Demand'!Q:Q,MATCH($O881,'Aub Demand'!$A:$A,0))-IF(AN881="",0,AN881)),"")</f>
        <v>719</v>
      </c>
      <c r="V881" s="53">
        <f t="shared" si="366"/>
        <v>22.5</v>
      </c>
      <c r="W881" s="52" t="str">
        <f t="shared" si="367"/>
        <v/>
      </c>
      <c r="X881" s="52">
        <f>IFERROR(IF(AND(AR882=AR881,AM881&lt;&gt;""),INDEX('Aub Demand'!Q:Q,MATCH($O881,'Aub Demand'!$A:$A,0))-IF(AN881="",0,AN881)+AP882+AD881+AL881,IF(AR882=AR881,INDEX('Aub Demand'!Q:Q,MATCH($O881,'Aub Demand'!$A:$A,0))-IF(AN881="",0,AN881)+AP882+AD881,IF(AM881&lt;&gt;"",INDEX('Aub Demand'!Q:Q,MATCH($O881,'Aub Demand'!$A:$A,0))-IF(AN881="",0,AN881)+AD881+AL881,INDEX('Aub Demand'!Q:Q,MATCH($O881,'Aub Demand'!$A:$A,0))-IF(AN881="",0,AN881)+AD881))),"")</f>
        <v>719</v>
      </c>
      <c r="Y881" s="53">
        <f t="shared" si="368"/>
        <v>22.5</v>
      </c>
      <c r="Z881" s="52">
        <f>IF(L881="","",INDEX('Aub Demand'!H:H,MATCH($O881,'Aub Demand'!$A:$A,0)))</f>
        <v>137</v>
      </c>
      <c r="AA881" s="52">
        <f t="shared" si="369"/>
        <v>213.5</v>
      </c>
      <c r="AB881" s="52">
        <f>IFERROR(INDEX('Aub Demand'!L:L,MATCH($O881,'Aub Demand'!$A:$A,0)),"")</f>
        <v>334</v>
      </c>
      <c r="AC881" s="52">
        <f>IFERROR(IF(O881="","",SUMIFS('CPL Mats'!F:F,'CPL Mats'!Q:Q,AR881,'CPL Mats'!S:S,AS881)),"")</f>
        <v>1300</v>
      </c>
      <c r="AF881" s="25">
        <f>IF(SUMIFS('Supp Consol'!S:S,'Supp Consol'!Y:Y,"Releasable",'Supp Consol'!A:A,O881)=0,"",SUMIFS('Supp Consol'!S:S,'Supp Consol'!Y:Y,"Releasable",'Supp Consol'!A:A,O881))</f>
        <v>2304</v>
      </c>
      <c r="AG881" s="25">
        <f>IFERROR(INDEX('Hun Demand'!Q:Q,MATCH(O881,'Hun Demand'!A:A,0)),"")</f>
        <v>2239</v>
      </c>
      <c r="AH881" s="25">
        <f>IFERROR(INDEX('Hun Demand'!H:H,MATCH($O881,'Hun Demand'!$A:$A,0)),"")</f>
        <v>443</v>
      </c>
      <c r="AI881" s="25" t="str">
        <f>IF(SUMIFS('Supp Consol'!AA:AA,'Supp Consol'!Z:Z,"Expires this month",'Supp Consol'!A:A,O881)=0,"",SUMIFS('Supp Consol'!AA:AA,'Supp Consol'!Z:Z,"Expires this month",'Supp Consol'!A:A,O881))</f>
        <v/>
      </c>
      <c r="AJ881" s="25" t="str">
        <f>IF(SUMIFS('Supp Consol'!AA:AA,'Supp Consol'!Z:Z,"Expired Previous Months",'Supp Consol'!A:A,O881)=0,"",SUMIFS('Supp Consol'!AA:AA,'Supp Consol'!Z:Z,"Expired Previous Months",'Supp Consol'!A:A,O881))</f>
        <v/>
      </c>
      <c r="AK881" s="25" t="str">
        <f>IFERROR(INDEX('Hun Release Current'!B:B,MATCH(O881,'Hun Release Current'!A:A,0)),"")</f>
        <v/>
      </c>
      <c r="AL881" s="25" t="str">
        <f>IF(SUMIF('Prev Aub'!A:A,O881,'Prev Aub'!B:B)=0,"",SUMIF('Prev Aub'!A:A,O881,'Prev Aub'!B:B))</f>
        <v/>
      </c>
      <c r="AN881" s="25" t="s">
        <v>3790</v>
      </c>
      <c r="AO881" s="25" t="s">
        <v>3790</v>
      </c>
      <c r="AP881" s="25">
        <f t="shared" si="370"/>
        <v>0</v>
      </c>
      <c r="AQ881" s="151" t="str">
        <f>IF(SUMIFS('Supp Consol'!S:S,'Supp Consol'!A:A,O881,'Supp Consol'!I:I,"PENDING")=0,"",SUMIFS('Supp Consol'!S:S,'Supp Consol'!A:A,O881,'Supp Consol'!I:I,"PENDING"))</f>
        <v/>
      </c>
      <c r="AR881" s="27" t="str">
        <f t="shared" si="371"/>
        <v>PFA60</v>
      </c>
      <c r="AS881" s="27" t="str">
        <f t="shared" si="372"/>
        <v>62</v>
      </c>
      <c r="AT881" s="27" t="str">
        <f t="shared" si="373"/>
        <v/>
      </c>
      <c r="AU881" s="27" t="str">
        <f t="shared" si="374"/>
        <v/>
      </c>
      <c r="AV881" s="27" t="str">
        <f t="shared" si="375"/>
        <v/>
      </c>
      <c r="AW881" s="27" t="str">
        <f t="shared" si="376"/>
        <v/>
      </c>
      <c r="AX881" s="27" t="str">
        <f t="shared" si="377"/>
        <v>PFA60</v>
      </c>
      <c r="AY881" s="27" t="str">
        <f t="shared" si="378"/>
        <v>PFA60</v>
      </c>
      <c r="AZ881" s="27" t="str">
        <f t="shared" si="379"/>
        <v>Supp</v>
      </c>
      <c r="BA881" s="27" t="str">
        <f t="shared" si="380"/>
        <v>Hun</v>
      </c>
      <c r="BB881" s="27" t="str">
        <f t="shared" si="381"/>
        <v/>
      </c>
      <c r="BC881" s="27" t="str">
        <f t="shared" si="382"/>
        <v/>
      </c>
      <c r="BD881" s="27" t="str">
        <f t="shared" si="383"/>
        <v/>
      </c>
      <c r="BE881" s="27" t="str">
        <f t="shared" si="384"/>
        <v/>
      </c>
      <c r="BF881" s="27" t="str">
        <f t="shared" si="385"/>
        <v/>
      </c>
      <c r="BG881" s="27" t="str">
        <f t="shared" si="386"/>
        <v/>
      </c>
      <c r="BH881" s="27" t="str">
        <f t="shared" si="387"/>
        <v/>
      </c>
      <c r="BI881" s="27" t="str">
        <f t="shared" si="388"/>
        <v/>
      </c>
      <c r="BJ881" s="27" t="str">
        <f t="shared" si="389"/>
        <v>Supp or Hun</v>
      </c>
      <c r="BK881" s="27" t="str">
        <f t="shared" si="390"/>
        <v/>
      </c>
      <c r="BL881" s="27" t="str">
        <f t="shared" si="391"/>
        <v/>
      </c>
      <c r="BM881" s="21" t="s">
        <v>5581</v>
      </c>
    </row>
    <row r="882" spans="1:65" ht="15">
      <c r="A882" s="25">
        <f>IFERROR(INDEX('Hun Demand'!W:W,MATCH(O882,'Hun Demand'!A:A,0)),"")</f>
        <v>0</v>
      </c>
      <c r="B882" s="25">
        <f>IFERROR(INDEX('Hun Demand'!V:V,MATCH(O882,'Hun Demand'!A:A,0)),"")</f>
        <v>0</v>
      </c>
      <c r="C882" s="25">
        <f>IFERROR(INDEX('Hun Demand'!U:U,MATCH(O882,'Hun Demand'!A:A,0)),"")</f>
        <v>0</v>
      </c>
      <c r="D882" s="25">
        <f>IFERROR(INDEX('Hun Demand'!T:T,MATCH(O882,'Hun Demand'!A:A,0)),"")</f>
        <v>289</v>
      </c>
      <c r="E882" s="25">
        <f>IFERROR(INDEX('Hun Demand'!S:S,MATCH(O882,'Hun Demand'!A:A,0)),"")</f>
        <v>0</v>
      </c>
      <c r="F882" s="25">
        <f>IFERROR(INDEX('Hun Demand'!R:R,MATCH(O882,'Hun Demand'!A:A,0)),"")</f>
        <v>0</v>
      </c>
      <c r="G882" s="25">
        <f>IFERROR(INDEX('Aub Demand'!W:W,MATCH(O882,'Aub Demand'!A:A,0)),"")</f>
        <v>0</v>
      </c>
      <c r="H882" s="25">
        <f>IFERROR(INDEX('Aub Demand'!V:V,MATCH(O882,'Aub Demand'!A:A,0)),"")</f>
        <v>0</v>
      </c>
      <c r="I882" s="25">
        <f>IFERROR(INDEX('Aub Demand'!U:U,MATCH(O882,'Aub Demand'!A:A,0)),"")</f>
        <v>0</v>
      </c>
      <c r="J882" s="25">
        <f>IFERROR(INDEX('Aub Demand'!T:T,MATCH(O882,'Aub Demand'!A:A,0)),"")</f>
        <v>501</v>
      </c>
      <c r="K882" s="25">
        <f>IFERROR(INDEX('Aub Demand'!S:S,MATCH(O882,'Aub Demand'!A:A,0)),"")</f>
        <v>0</v>
      </c>
      <c r="L882" s="25">
        <f>IFERROR(INDEX('Aub Demand'!R:R,MATCH(O882,'Aub Demand'!A:A,0)),"")</f>
        <v>0</v>
      </c>
      <c r="O882" s="27" t="s">
        <v>1294</v>
      </c>
      <c r="P882" s="27" t="str">
        <f>IFERROR(INDEX('Aub Demand'!B:B,MATCH($O882,'Aub Demand'!$A:$A,0)),"")</f>
        <v>RUNNING IN PAMPLONA</v>
      </c>
      <c r="Q882" s="27" t="str">
        <f>IFERROR(INDEX('Aub Demand'!C:C,MATCH($O882,'Aub Demand'!$A:$A,0)),"")</f>
        <v>DNP A</v>
      </c>
      <c r="R882" s="52">
        <f>IFERROR(IF(AR883=AR882,INDEX('Aub Demand'!K:K,MATCH($O882,'Aub Demand'!$A:$A,0))-IF(AN882="",0,AN882)+AP883,INDEX('Aub Demand'!K:K,MATCH($O882,'Aub Demand'!$A:$A,0))-IF(AN882="",0,AN882)),"")</f>
        <v>2461</v>
      </c>
      <c r="S882" s="53">
        <f t="shared" si="364"/>
        <v>63.2</v>
      </c>
      <c r="T882" s="52" t="str">
        <f t="shared" si="365"/>
        <v/>
      </c>
      <c r="U882" s="52">
        <f>IFERROR(IF(AR883=AR882,INDEX('Aub Demand'!Q:Q,MATCH($O882,'Aub Demand'!$A:$A,0))-IF(AN882="",0,AN882)+AP883,INDEX('Aub Demand'!Q:Q,MATCH($O882,'Aub Demand'!$A:$A,0))-IF(AN882="",0,AN882)),"")</f>
        <v>2461</v>
      </c>
      <c r="V882" s="53">
        <f t="shared" si="366"/>
        <v>63.2</v>
      </c>
      <c r="W882" s="52" t="str">
        <f t="shared" si="367"/>
        <v/>
      </c>
      <c r="X882" s="52">
        <f>IFERROR(IF(AND(AR883=AR882,AM882&lt;&gt;""),INDEX('Aub Demand'!Q:Q,MATCH($O882,'Aub Demand'!$A:$A,0))-IF(AN882="",0,AN882)+AP883+AD882+AL882,IF(AR883=AR882,INDEX('Aub Demand'!Q:Q,MATCH($O882,'Aub Demand'!$A:$A,0))-IF(AN882="",0,AN882)+AP883+AD882,IF(AM882&lt;&gt;"",INDEX('Aub Demand'!Q:Q,MATCH($O882,'Aub Demand'!$A:$A,0))-IF(AN882="",0,AN882)+AD882+AL882,INDEX('Aub Demand'!Q:Q,MATCH($O882,'Aub Demand'!$A:$A,0))-IF(AN882="",0,AN882)+AD882))),"")</f>
        <v>2461</v>
      </c>
      <c r="Y882" s="53">
        <f t="shared" si="368"/>
        <v>63.2</v>
      </c>
      <c r="Z882" s="52">
        <f>IF(L882="","",INDEX('Aub Demand'!H:H,MATCH($O882,'Aub Demand'!$A:$A,0)))</f>
        <v>167</v>
      </c>
      <c r="AA882" s="52" t="str">
        <f t="shared" si="369"/>
        <v>-spike-</v>
      </c>
      <c r="AB882" s="52">
        <f>IFERROR(INDEX('Aub Demand'!L:L,MATCH($O882,'Aub Demand'!$A:$A,0)),"")</f>
        <v>0</v>
      </c>
      <c r="AC882" s="52">
        <f>IFERROR(IF(O882="","",SUMIFS('CPL Mats'!F:F,'CPL Mats'!Q:Q,AR882,'CPL Mats'!S:S,AS882)),"")</f>
        <v>0</v>
      </c>
      <c r="AF882" s="25" t="str">
        <f>IF(SUMIFS('Supp Consol'!S:S,'Supp Consol'!Y:Y,"Releasable",'Supp Consol'!A:A,O882)=0,"",SUMIFS('Supp Consol'!S:S,'Supp Consol'!Y:Y,"Releasable",'Supp Consol'!A:A,O882))</f>
        <v/>
      </c>
      <c r="AG882" s="25">
        <f>IFERROR(INDEX('Hun Demand'!Q:Q,MATCH(O882,'Hun Demand'!A:A,0)),"")</f>
        <v>212</v>
      </c>
      <c r="AH882" s="25">
        <f>IFERROR(INDEX('Hun Demand'!H:H,MATCH($O882,'Hun Demand'!$A:$A,0)),"")</f>
        <v>96</v>
      </c>
      <c r="AI882" s="25" t="str">
        <f>IF(SUMIFS('Supp Consol'!AA:AA,'Supp Consol'!Z:Z,"Expires this month",'Supp Consol'!A:A,O882)=0,"",SUMIFS('Supp Consol'!AA:AA,'Supp Consol'!Z:Z,"Expires this month",'Supp Consol'!A:A,O882))</f>
        <v/>
      </c>
      <c r="AJ882" s="25" t="str">
        <f>IF(SUMIFS('Supp Consol'!AA:AA,'Supp Consol'!Z:Z,"Expired Previous Months",'Supp Consol'!A:A,O882)=0,"",SUMIFS('Supp Consol'!AA:AA,'Supp Consol'!Z:Z,"Expired Previous Months",'Supp Consol'!A:A,O882))</f>
        <v/>
      </c>
      <c r="AK882" s="25" t="str">
        <f>IFERROR(INDEX('Hun Release Current'!B:B,MATCH(O882,'Hun Release Current'!A:A,0)),"")</f>
        <v/>
      </c>
      <c r="AL882" s="25" t="str">
        <f>IF(SUMIF('Prev Aub'!A:A,O882,'Prev Aub'!B:B)=0,"",SUMIF('Prev Aub'!A:A,O882,'Prev Aub'!B:B))</f>
        <v/>
      </c>
      <c r="AN882" s="25" t="s">
        <v>3790</v>
      </c>
      <c r="AO882" s="25" t="s">
        <v>3790</v>
      </c>
      <c r="AP882" s="25">
        <f t="shared" si="370"/>
        <v>0</v>
      </c>
      <c r="AQ882" s="151" t="str">
        <f>IF(SUMIFS('Supp Consol'!S:S,'Supp Consol'!A:A,O882,'Supp Consol'!I:I,"PENDING")=0,"",SUMIFS('Supp Consol'!S:S,'Supp Consol'!A:A,O882,'Supp Consol'!I:I,"PENDING"))</f>
        <v/>
      </c>
      <c r="AR882" s="27" t="str">
        <f t="shared" si="371"/>
        <v>PFA66</v>
      </c>
      <c r="AS882" s="27" t="str">
        <f t="shared" si="372"/>
        <v>62</v>
      </c>
      <c r="AT882" s="27" t="str">
        <f t="shared" si="373"/>
        <v/>
      </c>
      <c r="AU882" s="27" t="str">
        <f t="shared" si="374"/>
        <v/>
      </c>
      <c r="AV882" s="27" t="str">
        <f t="shared" si="375"/>
        <v/>
      </c>
      <c r="AW882" s="27" t="str">
        <f t="shared" si="376"/>
        <v/>
      </c>
      <c r="AX882" s="27" t="str">
        <f t="shared" si="377"/>
        <v/>
      </c>
      <c r="AY882" s="27" t="str">
        <f t="shared" si="378"/>
        <v>PFA66</v>
      </c>
      <c r="AZ882" s="27" t="str">
        <f t="shared" si="379"/>
        <v/>
      </c>
      <c r="BA882" s="27" t="str">
        <f t="shared" si="380"/>
        <v>Hun</v>
      </c>
      <c r="BB882" s="27" t="str">
        <f t="shared" si="381"/>
        <v/>
      </c>
      <c r="BC882" s="27" t="str">
        <f t="shared" si="382"/>
        <v/>
      </c>
      <c r="BD882" s="27" t="str">
        <f t="shared" si="383"/>
        <v/>
      </c>
      <c r="BE882" s="27" t="str">
        <f t="shared" si="384"/>
        <v/>
      </c>
      <c r="BF882" s="27" t="str">
        <f t="shared" si="385"/>
        <v/>
      </c>
      <c r="BG882" s="27" t="str">
        <f t="shared" si="386"/>
        <v/>
      </c>
      <c r="BH882" s="27" t="str">
        <f t="shared" si="387"/>
        <v/>
      </c>
      <c r="BI882" s="27" t="str">
        <f t="shared" si="388"/>
        <v/>
      </c>
      <c r="BJ882" s="27" t="str">
        <f t="shared" si="389"/>
        <v>Supp or Hun</v>
      </c>
      <c r="BK882" s="27" t="str">
        <f t="shared" si="390"/>
        <v/>
      </c>
      <c r="BL882" s="27" t="str">
        <f t="shared" si="391"/>
        <v/>
      </c>
      <c r="BM882" s="21" t="s">
        <v>5581</v>
      </c>
    </row>
    <row r="883" spans="1:65" ht="15">
      <c r="A883" s="25" t="str">
        <f>IFERROR(INDEX('Hun Demand'!W:W,MATCH(O883,'Hun Demand'!A:A,0)),"")</f>
        <v/>
      </c>
      <c r="B883" s="25" t="str">
        <f>IFERROR(INDEX('Hun Demand'!V:V,MATCH(O883,'Hun Demand'!A:A,0)),"")</f>
        <v/>
      </c>
      <c r="C883" s="25" t="str">
        <f>IFERROR(INDEX('Hun Demand'!U:U,MATCH(O883,'Hun Demand'!A:A,0)),"")</f>
        <v/>
      </c>
      <c r="D883" s="25" t="str">
        <f>IFERROR(INDEX('Hun Demand'!T:T,MATCH(O883,'Hun Demand'!A:A,0)),"")</f>
        <v/>
      </c>
      <c r="E883" s="25" t="str">
        <f>IFERROR(INDEX('Hun Demand'!S:S,MATCH(O883,'Hun Demand'!A:A,0)),"")</f>
        <v/>
      </c>
      <c r="F883" s="25" t="str">
        <f>IFERROR(INDEX('Hun Demand'!R:R,MATCH(O883,'Hun Demand'!A:A,0)),"")</f>
        <v/>
      </c>
      <c r="G883" s="25">
        <f>IFERROR(INDEX('Aub Demand'!W:W,MATCH(O883,'Aub Demand'!A:A,0)),"")</f>
        <v>176</v>
      </c>
      <c r="H883" s="25">
        <f>IFERROR(INDEX('Aub Demand'!V:V,MATCH(O883,'Aub Demand'!A:A,0)),"")</f>
        <v>103</v>
      </c>
      <c r="I883" s="25">
        <f>IFERROR(INDEX('Aub Demand'!U:U,MATCH(O883,'Aub Demand'!A:A,0)),"")</f>
        <v>15</v>
      </c>
      <c r="J883" s="25">
        <f>IFERROR(INDEX('Aub Demand'!T:T,MATCH(O883,'Aub Demand'!A:A,0)),"")</f>
        <v>118</v>
      </c>
      <c r="K883" s="25">
        <f>IFERROR(INDEX('Aub Demand'!S:S,MATCH(O883,'Aub Demand'!A:A,0)),"")</f>
        <v>63</v>
      </c>
      <c r="L883" s="25">
        <f>IFERROR(INDEX('Aub Demand'!R:R,MATCH(O883,'Aub Demand'!A:A,0)),"")</f>
        <v>0</v>
      </c>
      <c r="O883" s="27" t="s">
        <v>2438</v>
      </c>
      <c r="P883" s="27" t="str">
        <f>IFERROR(INDEX('Aub Demand'!B:B,MATCH($O883,'Aub Demand'!$A:$A,0)),"")</f>
        <v>WHITE PHANTASY 50"</v>
      </c>
      <c r="Q883" s="27" t="str">
        <f>IFERROR(INDEX('Aub Demand'!C:C,MATCH($O883,'Aub Demand'!$A:$A,0)),"")</f>
        <v>TOPPA</v>
      </c>
      <c r="R883" s="52">
        <f>IFERROR(IF(AR884=AR883,INDEX('Aub Demand'!K:K,MATCH($O883,'Aub Demand'!$A:$A,0))-IF(AN883="",0,AN883)+AP884,INDEX('Aub Demand'!K:K,MATCH($O883,'Aub Demand'!$A:$A,0))-IF(AN883="",0,AN883)),"")</f>
        <v>0</v>
      </c>
      <c r="S883" s="53">
        <f t="shared" si="364"/>
        <v>0</v>
      </c>
      <c r="T883" s="52">
        <f t="shared" si="365"/>
        <v>67.875</v>
      </c>
      <c r="U883" s="52">
        <f>IFERROR(IF(AR884=AR883,INDEX('Aub Demand'!Q:Q,MATCH($O883,'Aub Demand'!$A:$A,0))-IF(AN883="",0,AN883)+AP884,INDEX('Aub Demand'!Q:Q,MATCH($O883,'Aub Demand'!$A:$A,0))-IF(AN883="",0,AN883)),"")</f>
        <v>-25</v>
      </c>
      <c r="V883" s="53">
        <f t="shared" si="366"/>
        <v>-1.6</v>
      </c>
      <c r="W883" s="52">
        <f t="shared" si="367"/>
        <v>104.07499999999999</v>
      </c>
      <c r="X883" s="52">
        <f>IFERROR(IF(AND(AR884=AR883,AM883&lt;&gt;""),INDEX('Aub Demand'!Q:Q,MATCH($O883,'Aub Demand'!$A:$A,0))-IF(AN883="",0,AN883)+AP884+AD883+AL883,IF(AR884=AR883,INDEX('Aub Demand'!Q:Q,MATCH($O883,'Aub Demand'!$A:$A,0))-IF(AN883="",0,AN883)+AP884+AD883,IF(AM883&lt;&gt;"",INDEX('Aub Demand'!Q:Q,MATCH($O883,'Aub Demand'!$A:$A,0))-IF(AN883="",0,AN883)+AD883+AL883,INDEX('Aub Demand'!Q:Q,MATCH($O883,'Aub Demand'!$A:$A,0))-IF(AN883="",0,AN883)+AD883))),"")</f>
        <v>-25</v>
      </c>
      <c r="Y883" s="53">
        <f t="shared" si="368"/>
        <v>-1.6</v>
      </c>
      <c r="Z883" s="52">
        <f>IF(L883="","",INDEX('Aub Demand'!H:H,MATCH($O883,'Aub Demand'!$A:$A,0)))</f>
        <v>65</v>
      </c>
      <c r="AA883" s="52">
        <f t="shared" si="369"/>
        <v>90.5</v>
      </c>
      <c r="AB883" s="52">
        <f>IFERROR(INDEX('Aub Demand'!L:L,MATCH($O883,'Aub Demand'!$A:$A,0)),"")</f>
        <v>68</v>
      </c>
      <c r="AC883" s="52">
        <f>IFERROR(IF(O883="","",SUMIFS('CPL Mats'!F:F,'CPL Mats'!Q:Q,AR883,'CPL Mats'!S:S,AS883)),"")</f>
        <v>0</v>
      </c>
      <c r="AF883" s="25" t="str">
        <f>IF(SUMIFS('Supp Consol'!S:S,'Supp Consol'!Y:Y,"Releasable",'Supp Consol'!A:A,O883)=0,"",SUMIFS('Supp Consol'!S:S,'Supp Consol'!Y:Y,"Releasable",'Supp Consol'!A:A,O883))</f>
        <v/>
      </c>
      <c r="AG883" s="25" t="str">
        <f>IFERROR(INDEX('Hun Demand'!Q:Q,MATCH(O883,'Hun Demand'!A:A,0)),"")</f>
        <v/>
      </c>
      <c r="AH883" s="25" t="str">
        <f>IFERROR(INDEX('Hun Demand'!H:H,MATCH($O883,'Hun Demand'!$A:$A,0)),"")</f>
        <v/>
      </c>
      <c r="AI883" s="25" t="str">
        <f>IF(SUMIFS('Supp Consol'!AA:AA,'Supp Consol'!Z:Z,"Expires this month",'Supp Consol'!A:A,O883)=0,"",SUMIFS('Supp Consol'!AA:AA,'Supp Consol'!Z:Z,"Expires this month",'Supp Consol'!A:A,O883))</f>
        <v/>
      </c>
      <c r="AJ883" s="25" t="str">
        <f>IF(SUMIFS('Supp Consol'!AA:AA,'Supp Consol'!Z:Z,"Expired Previous Months",'Supp Consol'!A:A,O883)=0,"",SUMIFS('Supp Consol'!AA:AA,'Supp Consol'!Z:Z,"Expired Previous Months",'Supp Consol'!A:A,O883))</f>
        <v/>
      </c>
      <c r="AK883" s="25" t="str">
        <f>IFERROR(INDEX('Hun Release Current'!B:B,MATCH(O883,'Hun Release Current'!A:A,0)),"")</f>
        <v/>
      </c>
      <c r="AL883" s="25" t="str">
        <f>IF(SUMIF('Prev Aub'!A:A,O883,'Prev Aub'!B:B)=0,"",SUMIF('Prev Aub'!A:A,O883,'Prev Aub'!B:B))</f>
        <v/>
      </c>
      <c r="AN883" s="25" t="s">
        <v>3790</v>
      </c>
      <c r="AO883" s="25" t="s">
        <v>3790</v>
      </c>
      <c r="AP883" s="25">
        <f t="shared" si="370"/>
        <v>0</v>
      </c>
      <c r="AQ883" s="151" t="str">
        <f>IF(SUMIFS('Supp Consol'!S:S,'Supp Consol'!A:A,O883,'Supp Consol'!I:I,"PENDING")=0,"",SUMIFS('Supp Consol'!S:S,'Supp Consol'!A:A,O883,'Supp Consol'!I:I,"PENDING"))</f>
        <v/>
      </c>
      <c r="AR883" s="27" t="str">
        <f t="shared" si="371"/>
        <v>PH701</v>
      </c>
      <c r="AS883" s="27" t="str">
        <f t="shared" si="372"/>
        <v>50</v>
      </c>
      <c r="AT883" s="27" t="str">
        <f t="shared" si="373"/>
        <v>PH701</v>
      </c>
      <c r="AU883" s="27" t="str">
        <f t="shared" si="374"/>
        <v>PH701</v>
      </c>
      <c r="AV883" s="27" t="str">
        <f t="shared" si="375"/>
        <v>PH701</v>
      </c>
      <c r="AW883" s="27" t="str">
        <f t="shared" si="376"/>
        <v/>
      </c>
      <c r="AX883" s="27" t="str">
        <f t="shared" si="377"/>
        <v/>
      </c>
      <c r="AY883" s="27" t="str">
        <f t="shared" si="378"/>
        <v/>
      </c>
      <c r="AZ883" s="27" t="str">
        <f t="shared" si="379"/>
        <v/>
      </c>
      <c r="BA883" s="27" t="str">
        <f t="shared" si="380"/>
        <v/>
      </c>
      <c r="BB883" s="27" t="str">
        <f t="shared" si="381"/>
        <v>Gross</v>
      </c>
      <c r="BC883" s="27" t="str">
        <f t="shared" si="382"/>
        <v>Net</v>
      </c>
      <c r="BD883" s="27" t="str">
        <f t="shared" si="383"/>
        <v>Net</v>
      </c>
      <c r="BE883" s="27" t="str">
        <f t="shared" si="384"/>
        <v/>
      </c>
      <c r="BF883" s="27" t="str">
        <f t="shared" si="385"/>
        <v/>
      </c>
      <c r="BG883" s="27" t="str">
        <f t="shared" si="386"/>
        <v/>
      </c>
      <c r="BH883" s="27" t="str">
        <f t="shared" si="387"/>
        <v/>
      </c>
      <c r="BI883" s="27" t="str">
        <f t="shared" si="388"/>
        <v/>
      </c>
      <c r="BJ883" s="27" t="str">
        <f t="shared" si="389"/>
        <v/>
      </c>
      <c r="BK883" s="27" t="str">
        <f t="shared" si="390"/>
        <v/>
      </c>
      <c r="BL883" s="27" t="str">
        <f t="shared" si="391"/>
        <v/>
      </c>
      <c r="BM883" s="21" t="s">
        <v>5581</v>
      </c>
    </row>
    <row r="884" spans="1:65" ht="15">
      <c r="A884" s="25" t="str">
        <f>IFERROR(INDEX('Hun Demand'!W:W,MATCH(O884,'Hun Demand'!A:A,0)),"")</f>
        <v/>
      </c>
      <c r="B884" s="25" t="str">
        <f>IFERROR(INDEX('Hun Demand'!V:V,MATCH(O884,'Hun Demand'!A:A,0)),"")</f>
        <v/>
      </c>
      <c r="C884" s="25" t="str">
        <f>IFERROR(INDEX('Hun Demand'!U:U,MATCH(O884,'Hun Demand'!A:A,0)),"")</f>
        <v/>
      </c>
      <c r="D884" s="25" t="str">
        <f>IFERROR(INDEX('Hun Demand'!T:T,MATCH(O884,'Hun Demand'!A:A,0)),"")</f>
        <v/>
      </c>
      <c r="E884" s="25" t="str">
        <f>IFERROR(INDEX('Hun Demand'!S:S,MATCH(O884,'Hun Demand'!A:A,0)),"")</f>
        <v/>
      </c>
      <c r="F884" s="25" t="str">
        <f>IFERROR(INDEX('Hun Demand'!R:R,MATCH(O884,'Hun Demand'!A:A,0)),"")</f>
        <v/>
      </c>
      <c r="G884" s="25">
        <f>IFERROR(INDEX('Aub Demand'!W:W,MATCH(O884,'Aub Demand'!A:A,0)),"")</f>
        <v>60</v>
      </c>
      <c r="H884" s="25">
        <f>IFERROR(INDEX('Aub Demand'!V:V,MATCH(O884,'Aub Demand'!A:A,0)),"")</f>
        <v>352</v>
      </c>
      <c r="I884" s="25">
        <f>IFERROR(INDEX('Aub Demand'!U:U,MATCH(O884,'Aub Demand'!A:A,0)),"")</f>
        <v>58</v>
      </c>
      <c r="J884" s="25">
        <f>IFERROR(INDEX('Aub Demand'!T:T,MATCH(O884,'Aub Demand'!A:A,0)),"")</f>
        <v>154</v>
      </c>
      <c r="K884" s="25">
        <f>IFERROR(INDEX('Aub Demand'!S:S,MATCH(O884,'Aub Demand'!A:A,0)),"")</f>
        <v>0</v>
      </c>
      <c r="L884" s="25">
        <f>IFERROR(INDEX('Aub Demand'!R:R,MATCH(O884,'Aub Demand'!A:A,0)),"")</f>
        <v>0</v>
      </c>
      <c r="O884" s="27" t="s">
        <v>2441</v>
      </c>
      <c r="P884" s="27" t="str">
        <f>IFERROR(INDEX('Aub Demand'!B:B,MATCH($O884,'Aub Demand'!$A:$A,0)),"")</f>
        <v>WHITE PHANTASY 62"</v>
      </c>
      <c r="Q884" s="27" t="str">
        <f>IFERROR(INDEX('Aub Demand'!C:C,MATCH($O884,'Aub Demand'!$A:$A,0)),"")</f>
        <v>TOPPA</v>
      </c>
      <c r="R884" s="52">
        <f>IFERROR(IF(AR885=AR884,INDEX('Aub Demand'!K:K,MATCH($O884,'Aub Demand'!$A:$A,0))-IF(AN884="",0,AN884)+AP885,INDEX('Aub Demand'!K:K,MATCH($O884,'Aub Demand'!$A:$A,0))-IF(AN884="",0,AN884)),"")</f>
        <v>2813</v>
      </c>
      <c r="S884" s="53">
        <f t="shared" si="364"/>
        <v>169.8</v>
      </c>
      <c r="T884" s="52" t="str">
        <f t="shared" si="365"/>
        <v/>
      </c>
      <c r="U884" s="52">
        <f>IFERROR(IF(AR885=AR884,INDEX('Aub Demand'!Q:Q,MATCH($O884,'Aub Demand'!$A:$A,0))-IF(AN884="",0,AN884)+AP885,INDEX('Aub Demand'!Q:Q,MATCH($O884,'Aub Demand'!$A:$A,0))-IF(AN884="",0,AN884)),"")</f>
        <v>2812</v>
      </c>
      <c r="V884" s="53">
        <f t="shared" si="366"/>
        <v>169.7</v>
      </c>
      <c r="W884" s="52" t="str">
        <f t="shared" si="367"/>
        <v/>
      </c>
      <c r="X884" s="52">
        <f>IFERROR(IF(AND(AR885=AR884,AM884&lt;&gt;""),INDEX('Aub Demand'!Q:Q,MATCH($O884,'Aub Demand'!$A:$A,0))-IF(AN884="",0,AN884)+AP885+AD884+AL884,IF(AR885=AR884,INDEX('Aub Demand'!Q:Q,MATCH($O884,'Aub Demand'!$A:$A,0))-IF(AN884="",0,AN884)+AP885+AD884,IF(AM884&lt;&gt;"",INDEX('Aub Demand'!Q:Q,MATCH($O884,'Aub Demand'!$A:$A,0))-IF(AN884="",0,AN884)+AD884+AL884,INDEX('Aub Demand'!Q:Q,MATCH($O884,'Aub Demand'!$A:$A,0))-IF(AN884="",0,AN884)+AD884))),"")</f>
        <v>2812</v>
      </c>
      <c r="Y884" s="53">
        <f t="shared" si="368"/>
        <v>169.7</v>
      </c>
      <c r="Z884" s="52">
        <f>IF(L884="","",INDEX('Aub Demand'!H:H,MATCH($O884,'Aub Demand'!$A:$A,0)))</f>
        <v>71</v>
      </c>
      <c r="AA884" s="52">
        <f t="shared" si="369"/>
        <v>106</v>
      </c>
      <c r="AB884" s="52">
        <f>IFERROR(INDEX('Aub Demand'!L:L,MATCH($O884,'Aub Demand'!$A:$A,0)),"")</f>
        <v>86</v>
      </c>
      <c r="AC884" s="52">
        <f>IFERROR(IF(O884="","",SUMIFS('CPL Mats'!F:F,'CPL Mats'!Q:Q,AR884,'CPL Mats'!S:S,AS884)),"")</f>
        <v>0</v>
      </c>
      <c r="AF884" s="25" t="str">
        <f>IF(SUMIFS('Supp Consol'!S:S,'Supp Consol'!Y:Y,"Releasable",'Supp Consol'!A:A,O884)=0,"",SUMIFS('Supp Consol'!S:S,'Supp Consol'!Y:Y,"Releasable",'Supp Consol'!A:A,O884))</f>
        <v/>
      </c>
      <c r="AG884" s="25" t="str">
        <f>IFERROR(INDEX('Hun Demand'!Q:Q,MATCH(O884,'Hun Demand'!A:A,0)),"")</f>
        <v/>
      </c>
      <c r="AH884" s="25" t="str">
        <f>IFERROR(INDEX('Hun Demand'!H:H,MATCH($O884,'Hun Demand'!$A:$A,0)),"")</f>
        <v/>
      </c>
      <c r="AI884" s="25" t="str">
        <f>IF(SUMIFS('Supp Consol'!AA:AA,'Supp Consol'!Z:Z,"Expires this month",'Supp Consol'!A:A,O884)=0,"",SUMIFS('Supp Consol'!AA:AA,'Supp Consol'!Z:Z,"Expires this month",'Supp Consol'!A:A,O884))</f>
        <v/>
      </c>
      <c r="AJ884" s="25" t="str">
        <f>IF(SUMIFS('Supp Consol'!AA:AA,'Supp Consol'!Z:Z,"Expired Previous Months",'Supp Consol'!A:A,O884)=0,"",SUMIFS('Supp Consol'!AA:AA,'Supp Consol'!Z:Z,"Expired Previous Months",'Supp Consol'!A:A,O884))</f>
        <v/>
      </c>
      <c r="AK884" s="25" t="str">
        <f>IFERROR(INDEX('Hun Release Current'!B:B,MATCH(O884,'Hun Release Current'!A:A,0)),"")</f>
        <v/>
      </c>
      <c r="AL884" s="25" t="str">
        <f>IF(SUMIF('Prev Aub'!A:A,O884,'Prev Aub'!B:B)=0,"",SUMIF('Prev Aub'!A:A,O884,'Prev Aub'!B:B))</f>
        <v/>
      </c>
      <c r="AN884" s="25" t="s">
        <v>3790</v>
      </c>
      <c r="AO884" s="25" t="s">
        <v>3790</v>
      </c>
      <c r="AP884" s="25">
        <f t="shared" si="370"/>
        <v>0</v>
      </c>
      <c r="AQ884" s="151" t="str">
        <f>IF(SUMIFS('Supp Consol'!S:S,'Supp Consol'!A:A,O884,'Supp Consol'!I:I,"PENDING")=0,"",SUMIFS('Supp Consol'!S:S,'Supp Consol'!A:A,O884,'Supp Consol'!I:I,"PENDING"))</f>
        <v/>
      </c>
      <c r="AR884" s="27" t="str">
        <f t="shared" si="371"/>
        <v>PH701</v>
      </c>
      <c r="AS884" s="27" t="str">
        <f t="shared" si="372"/>
        <v>62</v>
      </c>
      <c r="AT884" s="27" t="str">
        <f t="shared" si="373"/>
        <v/>
      </c>
      <c r="AU884" s="27" t="str">
        <f t="shared" si="374"/>
        <v/>
      </c>
      <c r="AV884" s="27" t="str">
        <f t="shared" si="375"/>
        <v/>
      </c>
      <c r="AW884" s="27" t="str">
        <f t="shared" si="376"/>
        <v/>
      </c>
      <c r="AX884" s="27" t="str">
        <f t="shared" si="377"/>
        <v/>
      </c>
      <c r="AY884" s="27" t="str">
        <f t="shared" si="378"/>
        <v/>
      </c>
      <c r="AZ884" s="27" t="str">
        <f t="shared" si="379"/>
        <v/>
      </c>
      <c r="BA884" s="27" t="str">
        <f t="shared" si="380"/>
        <v/>
      </c>
      <c r="BB884" s="27" t="str">
        <f t="shared" si="381"/>
        <v>Gross</v>
      </c>
      <c r="BC884" s="27" t="str">
        <f t="shared" si="382"/>
        <v>Net</v>
      </c>
      <c r="BD884" s="27" t="str">
        <f t="shared" si="383"/>
        <v>Net</v>
      </c>
      <c r="BE884" s="27" t="str">
        <f t="shared" si="384"/>
        <v/>
      </c>
      <c r="BF884" s="27" t="str">
        <f t="shared" si="385"/>
        <v/>
      </c>
      <c r="BG884" s="27" t="str">
        <f t="shared" si="386"/>
        <v/>
      </c>
      <c r="BH884" s="27" t="str">
        <f t="shared" si="387"/>
        <v/>
      </c>
      <c r="BI884" s="27" t="str">
        <f t="shared" si="388"/>
        <v/>
      </c>
      <c r="BJ884" s="27" t="str">
        <f t="shared" si="389"/>
        <v/>
      </c>
      <c r="BK884" s="27" t="str">
        <f t="shared" si="390"/>
        <v/>
      </c>
      <c r="BL884" s="27" t="str">
        <f t="shared" si="391"/>
        <v/>
      </c>
      <c r="BM884" s="21" t="s">
        <v>5581</v>
      </c>
    </row>
    <row r="885" spans="1:65" ht="15">
      <c r="A885" s="25">
        <f>IFERROR(INDEX('Hun Demand'!W:W,MATCH(O885,'Hun Demand'!A:A,0)),"")</f>
        <v>0</v>
      </c>
      <c r="B885" s="25">
        <f>IFERROR(INDEX('Hun Demand'!V:V,MATCH(O885,'Hun Demand'!A:A,0)),"")</f>
        <v>0</v>
      </c>
      <c r="C885" s="25">
        <f>IFERROR(INDEX('Hun Demand'!U:U,MATCH(O885,'Hun Demand'!A:A,0)),"")</f>
        <v>0</v>
      </c>
      <c r="D885" s="25">
        <f>IFERROR(INDEX('Hun Demand'!T:T,MATCH(O885,'Hun Demand'!A:A,0)),"")</f>
        <v>0</v>
      </c>
      <c r="E885" s="25">
        <f>IFERROR(INDEX('Hun Demand'!S:S,MATCH(O885,'Hun Demand'!A:A,0)),"")</f>
        <v>0</v>
      </c>
      <c r="F885" s="25">
        <f>IFERROR(INDEX('Hun Demand'!R:R,MATCH(O885,'Hun Demand'!A:A,0)),"")</f>
        <v>0</v>
      </c>
      <c r="G885" s="25">
        <f>IFERROR(INDEX('Aub Demand'!W:W,MATCH(O885,'Aub Demand'!A:A,0)),"")</f>
        <v>0</v>
      </c>
      <c r="H885" s="25">
        <f>IFERROR(INDEX('Aub Demand'!V:V,MATCH(O885,'Aub Demand'!A:A,0)),"")</f>
        <v>27</v>
      </c>
      <c r="I885" s="25">
        <f>IFERROR(INDEX('Aub Demand'!U:U,MATCH(O885,'Aub Demand'!A:A,0)),"")</f>
        <v>0</v>
      </c>
      <c r="J885" s="25">
        <f>IFERROR(INDEX('Aub Demand'!T:T,MATCH(O885,'Aub Demand'!A:A,0)),"")</f>
        <v>0</v>
      </c>
      <c r="K885" s="25">
        <f>IFERROR(INDEX('Aub Demand'!S:S,MATCH(O885,'Aub Demand'!A:A,0)),"")</f>
        <v>30</v>
      </c>
      <c r="L885" s="25">
        <f>IFERROR(INDEX('Aub Demand'!R:R,MATCH(O885,'Aub Demand'!A:A,0)),"")</f>
        <v>0</v>
      </c>
      <c r="O885" s="27" t="s">
        <v>2443</v>
      </c>
      <c r="P885" s="27" t="str">
        <f>IFERROR(INDEX('Aub Demand'!B:B,MATCH($O885,'Aub Demand'!$A:$A,0)),"")</f>
        <v>PARIS WHITE POTTERWA</v>
      </c>
      <c r="Q885" s="27" t="str">
        <f>IFERROR(INDEX('Aub Demand'!C:C,MATCH($O885,'Aub Demand'!$A:$A,0)),"")</f>
        <v>DNP A</v>
      </c>
      <c r="R885" s="52">
        <f>IFERROR(IF(AR886=AR885,INDEX('Aub Demand'!K:K,MATCH($O885,'Aub Demand'!$A:$A,0))-IF(AN885="",0,AN885)+AP886,INDEX('Aub Demand'!K:K,MATCH($O885,'Aub Demand'!$A:$A,0))-IF(AN885="",0,AN885)),"")</f>
        <v>2631</v>
      </c>
      <c r="S885" s="53">
        <f t="shared" si="364"/>
        <v>1127.5999999999999</v>
      </c>
      <c r="T885" s="52" t="str">
        <f t="shared" si="365"/>
        <v/>
      </c>
      <c r="U885" s="52">
        <f>IFERROR(IF(AR886=AR885,INDEX('Aub Demand'!Q:Q,MATCH($O885,'Aub Demand'!$A:$A,0))-IF(AN885="",0,AN885)+AP886,INDEX('Aub Demand'!Q:Q,MATCH($O885,'Aub Demand'!$A:$A,0))-IF(AN885="",0,AN885)),"")</f>
        <v>2622</v>
      </c>
      <c r="V885" s="53">
        <f t="shared" si="366"/>
        <v>1123.7</v>
      </c>
      <c r="W885" s="52" t="str">
        <f t="shared" si="367"/>
        <v/>
      </c>
      <c r="X885" s="52">
        <f>IFERROR(IF(AND(AR886=AR885,AM885&lt;&gt;""),INDEX('Aub Demand'!Q:Q,MATCH($O885,'Aub Demand'!$A:$A,0))-IF(AN885="",0,AN885)+AP886+AD885+AL885,IF(AR886=AR885,INDEX('Aub Demand'!Q:Q,MATCH($O885,'Aub Demand'!$A:$A,0))-IF(AN885="",0,AN885)+AP886+AD885,IF(AM885&lt;&gt;"",INDEX('Aub Demand'!Q:Q,MATCH($O885,'Aub Demand'!$A:$A,0))-IF(AN885="",0,AN885)+AD885+AL885,INDEX('Aub Demand'!Q:Q,MATCH($O885,'Aub Demand'!$A:$A,0))-IF(AN885="",0,AN885)+AD885))),"")</f>
        <v>2622</v>
      </c>
      <c r="Y885" s="53">
        <f t="shared" si="368"/>
        <v>1123.7</v>
      </c>
      <c r="Z885" s="52">
        <f>IF(L885="","",INDEX('Aub Demand'!H:H,MATCH($O885,'Aub Demand'!$A:$A,0)))</f>
        <v>10</v>
      </c>
      <c r="AA885" s="52" t="str">
        <f t="shared" si="369"/>
        <v>-spike-</v>
      </c>
      <c r="AB885" s="52">
        <f>IFERROR(INDEX('Aub Demand'!L:L,MATCH($O885,'Aub Demand'!$A:$A,0)),"")</f>
        <v>10</v>
      </c>
      <c r="AC885" s="52">
        <f>IFERROR(IF(O885="","",SUMIFS('CPL Mats'!F:F,'CPL Mats'!Q:Q,AR885,'CPL Mats'!S:S,AS885)),"")</f>
        <v>0</v>
      </c>
      <c r="AF885" s="25" t="str">
        <f>IF(SUMIFS('Supp Consol'!S:S,'Supp Consol'!Y:Y,"Releasable",'Supp Consol'!A:A,O885)=0,"",SUMIFS('Supp Consol'!S:S,'Supp Consol'!Y:Y,"Releasable",'Supp Consol'!A:A,O885))</f>
        <v/>
      </c>
      <c r="AG885" s="25">
        <f>IFERROR(INDEX('Hun Demand'!Q:Q,MATCH(O885,'Hun Demand'!A:A,0)),"")</f>
        <v>291</v>
      </c>
      <c r="AH885" s="25">
        <f>IFERROR(INDEX('Hun Demand'!H:H,MATCH($O885,'Hun Demand'!$A:$A,0)),"")</f>
        <v>0</v>
      </c>
      <c r="AI885" s="25" t="str">
        <f>IF(SUMIFS('Supp Consol'!AA:AA,'Supp Consol'!Z:Z,"Expires this month",'Supp Consol'!A:A,O885)=0,"",SUMIFS('Supp Consol'!AA:AA,'Supp Consol'!Z:Z,"Expires this month",'Supp Consol'!A:A,O885))</f>
        <v/>
      </c>
      <c r="AJ885" s="25" t="str">
        <f>IF(SUMIFS('Supp Consol'!AA:AA,'Supp Consol'!Z:Z,"Expired Previous Months",'Supp Consol'!A:A,O885)=0,"",SUMIFS('Supp Consol'!AA:AA,'Supp Consol'!Z:Z,"Expired Previous Months",'Supp Consol'!A:A,O885))</f>
        <v/>
      </c>
      <c r="AK885" s="25" t="str">
        <f>IFERROR(INDEX('Hun Release Current'!B:B,MATCH(O885,'Hun Release Current'!A:A,0)),"")</f>
        <v/>
      </c>
      <c r="AL885" s="25" t="str">
        <f>IF(SUMIF('Prev Aub'!A:A,O885,'Prev Aub'!B:B)=0,"",SUMIF('Prev Aub'!A:A,O885,'Prev Aub'!B:B))</f>
        <v/>
      </c>
      <c r="AN885" s="25" t="s">
        <v>3790</v>
      </c>
      <c r="AO885" s="25" t="s">
        <v>3790</v>
      </c>
      <c r="AP885" s="25">
        <f t="shared" si="370"/>
        <v>0</v>
      </c>
      <c r="AQ885" s="151" t="str">
        <f>IF(SUMIFS('Supp Consol'!S:S,'Supp Consol'!A:A,O885,'Supp Consol'!I:I,"PENDING")=0,"",SUMIFS('Supp Consol'!S:S,'Supp Consol'!A:A,O885,'Supp Consol'!I:I,"PENDING"))</f>
        <v/>
      </c>
      <c r="AR885" s="27" t="str">
        <f t="shared" si="371"/>
        <v>PO701</v>
      </c>
      <c r="AS885" s="27" t="str">
        <f t="shared" si="372"/>
        <v>50</v>
      </c>
      <c r="AT885" s="27" t="str">
        <f t="shared" si="373"/>
        <v/>
      </c>
      <c r="AU885" s="27" t="str">
        <f t="shared" si="374"/>
        <v/>
      </c>
      <c r="AV885" s="27" t="str">
        <f t="shared" si="375"/>
        <v/>
      </c>
      <c r="AW885" s="27" t="str">
        <f t="shared" si="376"/>
        <v/>
      </c>
      <c r="AX885" s="27" t="str">
        <f t="shared" si="377"/>
        <v/>
      </c>
      <c r="AY885" s="27" t="str">
        <f t="shared" si="378"/>
        <v>PO701</v>
      </c>
      <c r="AZ885" s="27" t="str">
        <f t="shared" si="379"/>
        <v/>
      </c>
      <c r="BA885" s="27" t="str">
        <f t="shared" si="380"/>
        <v>Hun</v>
      </c>
      <c r="BB885" s="27" t="str">
        <f t="shared" si="381"/>
        <v/>
      </c>
      <c r="BC885" s="27" t="str">
        <f t="shared" si="382"/>
        <v/>
      </c>
      <c r="BD885" s="27" t="str">
        <f t="shared" si="383"/>
        <v/>
      </c>
      <c r="BE885" s="27" t="str">
        <f t="shared" si="384"/>
        <v/>
      </c>
      <c r="BF885" s="27" t="str">
        <f t="shared" si="385"/>
        <v/>
      </c>
      <c r="BG885" s="27" t="str">
        <f t="shared" si="386"/>
        <v/>
      </c>
      <c r="BH885" s="27" t="str">
        <f t="shared" si="387"/>
        <v/>
      </c>
      <c r="BI885" s="27" t="str">
        <f t="shared" si="388"/>
        <v/>
      </c>
      <c r="BJ885" s="27" t="str">
        <f t="shared" si="389"/>
        <v>Supp or Hun</v>
      </c>
      <c r="BK885" s="27" t="str">
        <f t="shared" si="390"/>
        <v/>
      </c>
      <c r="BL885" s="27" t="str">
        <f t="shared" si="391"/>
        <v/>
      </c>
      <c r="BM885" s="21" t="s">
        <v>5581</v>
      </c>
    </row>
    <row r="886" spans="1:65" ht="15">
      <c r="A886" s="25">
        <f>IFERROR(INDEX('Hun Demand'!W:W,MATCH(O886,'Hun Demand'!A:A,0)),"")</f>
        <v>0</v>
      </c>
      <c r="B886" s="25">
        <f>IFERROR(INDEX('Hun Demand'!V:V,MATCH(O886,'Hun Demand'!A:A,0)),"")</f>
        <v>0</v>
      </c>
      <c r="C886" s="25">
        <f>IFERROR(INDEX('Hun Demand'!U:U,MATCH(O886,'Hun Demand'!A:A,0)),"")</f>
        <v>0</v>
      </c>
      <c r="D886" s="25">
        <f>IFERROR(INDEX('Hun Demand'!T:T,MATCH(O886,'Hun Demand'!A:A,0)),"")</f>
        <v>0</v>
      </c>
      <c r="E886" s="25">
        <f>IFERROR(INDEX('Hun Demand'!S:S,MATCH(O886,'Hun Demand'!A:A,0)),"")</f>
        <v>0</v>
      </c>
      <c r="F886" s="25">
        <f>IFERROR(INDEX('Hun Demand'!R:R,MATCH(O886,'Hun Demand'!A:A,0)),"")</f>
        <v>0</v>
      </c>
      <c r="G886" s="25">
        <f>IFERROR(INDEX('Aub Demand'!W:W,MATCH(O886,'Aub Demand'!A:A,0)),"")</f>
        <v>97</v>
      </c>
      <c r="H886" s="25">
        <f>IFERROR(INDEX('Aub Demand'!V:V,MATCH(O886,'Aub Demand'!A:A,0)),"")</f>
        <v>0</v>
      </c>
      <c r="I886" s="25">
        <f>IFERROR(INDEX('Aub Demand'!U:U,MATCH(O886,'Aub Demand'!A:A,0)),"")</f>
        <v>30</v>
      </c>
      <c r="J886" s="25">
        <f>IFERROR(INDEX('Aub Demand'!T:T,MATCH(O886,'Aub Demand'!A:A,0)),"")</f>
        <v>41</v>
      </c>
      <c r="K886" s="25">
        <f>IFERROR(INDEX('Aub Demand'!S:S,MATCH(O886,'Aub Demand'!A:A,0)),"")</f>
        <v>81</v>
      </c>
      <c r="L886" s="25">
        <f>IFERROR(INDEX('Aub Demand'!R:R,MATCH(O886,'Aub Demand'!A:A,0)),"")</f>
        <v>0</v>
      </c>
      <c r="O886" s="27" t="s">
        <v>2446</v>
      </c>
      <c r="P886" s="27" t="str">
        <f>IFERROR(INDEX('Aub Demand'!B:B,MATCH($O886,'Aub Demand'!$A:$A,0)),"")</f>
        <v>PARIS WHITE POTTERWA</v>
      </c>
      <c r="Q886" s="27" t="str">
        <f>IFERROR(INDEX('Aub Demand'!C:C,MATCH($O886,'Aub Demand'!$A:$A,0)),"")</f>
        <v>DNP A</v>
      </c>
      <c r="R886" s="52">
        <f>IFERROR(IF(AR887=AR886,INDEX('Aub Demand'!K:K,MATCH($O886,'Aub Demand'!$A:$A,0))-IF(AN886="",0,AN886)+AP887,INDEX('Aub Demand'!K:K,MATCH($O886,'Aub Demand'!$A:$A,0))-IF(AN886="",0,AN886)),"")</f>
        <v>2183</v>
      </c>
      <c r="S886" s="53">
        <f t="shared" si="364"/>
        <v>183.4</v>
      </c>
      <c r="T886" s="52" t="str">
        <f t="shared" si="365"/>
        <v/>
      </c>
      <c r="U886" s="52">
        <f>IFERROR(IF(AR887=AR886,INDEX('Aub Demand'!Q:Q,MATCH($O886,'Aub Demand'!$A:$A,0))-IF(AN886="",0,AN886)+AP887,INDEX('Aub Demand'!Q:Q,MATCH($O886,'Aub Demand'!$A:$A,0))-IF(AN886="",0,AN886)),"")</f>
        <v>2183</v>
      </c>
      <c r="V886" s="53">
        <f t="shared" si="366"/>
        <v>183.4</v>
      </c>
      <c r="W886" s="52" t="str">
        <f t="shared" si="367"/>
        <v/>
      </c>
      <c r="X886" s="52">
        <f>IFERROR(IF(AND(AR887=AR886,AM886&lt;&gt;""),INDEX('Aub Demand'!Q:Q,MATCH($O886,'Aub Demand'!$A:$A,0))-IF(AN886="",0,AN886)+AP887+AD886+AL886,IF(AR887=AR886,INDEX('Aub Demand'!Q:Q,MATCH($O886,'Aub Demand'!$A:$A,0))-IF(AN886="",0,AN886)+AP887+AD886,IF(AM886&lt;&gt;"",INDEX('Aub Demand'!Q:Q,MATCH($O886,'Aub Demand'!$A:$A,0))-IF(AN886="",0,AN886)+AD886+AL886,INDEX('Aub Demand'!Q:Q,MATCH($O886,'Aub Demand'!$A:$A,0))-IF(AN886="",0,AN886)+AD886))),"")</f>
        <v>2183</v>
      </c>
      <c r="Y886" s="53">
        <f t="shared" si="368"/>
        <v>183.4</v>
      </c>
      <c r="Z886" s="52">
        <f>IF(L886="","",INDEX('Aub Demand'!H:H,MATCH($O886,'Aub Demand'!$A:$A,0)))</f>
        <v>51</v>
      </c>
      <c r="AA886" s="52">
        <f t="shared" si="369"/>
        <v>61</v>
      </c>
      <c r="AB886" s="52">
        <f>IFERROR(INDEX('Aub Demand'!L:L,MATCH($O886,'Aub Demand'!$A:$A,0)),"")</f>
        <v>0</v>
      </c>
      <c r="AC886" s="52">
        <f>IFERROR(IF(O886="","",SUMIFS('CPL Mats'!F:F,'CPL Mats'!Q:Q,AR886,'CPL Mats'!S:S,AS886)),"")</f>
        <v>0</v>
      </c>
      <c r="AF886" s="25" t="str">
        <f>IF(SUMIFS('Supp Consol'!S:S,'Supp Consol'!Y:Y,"Releasable",'Supp Consol'!A:A,O886)=0,"",SUMIFS('Supp Consol'!S:S,'Supp Consol'!Y:Y,"Releasable",'Supp Consol'!A:A,O886))</f>
        <v/>
      </c>
      <c r="AG886" s="25">
        <f>IFERROR(INDEX('Hun Demand'!Q:Q,MATCH(O886,'Hun Demand'!A:A,0)),"")</f>
        <v>176</v>
      </c>
      <c r="AH886" s="25">
        <f>IFERROR(INDEX('Hun Demand'!H:H,MATCH($O886,'Hun Demand'!$A:$A,0)),"")</f>
        <v>0</v>
      </c>
      <c r="AI886" s="25" t="str">
        <f>IF(SUMIFS('Supp Consol'!AA:AA,'Supp Consol'!Z:Z,"Expires this month",'Supp Consol'!A:A,O886)=0,"",SUMIFS('Supp Consol'!AA:AA,'Supp Consol'!Z:Z,"Expires this month",'Supp Consol'!A:A,O886))</f>
        <v/>
      </c>
      <c r="AJ886" s="25" t="str">
        <f>IF(SUMIFS('Supp Consol'!AA:AA,'Supp Consol'!Z:Z,"Expired Previous Months",'Supp Consol'!A:A,O886)=0,"",SUMIFS('Supp Consol'!AA:AA,'Supp Consol'!Z:Z,"Expired Previous Months",'Supp Consol'!A:A,O886))</f>
        <v/>
      </c>
      <c r="AK886" s="25" t="str">
        <f>IFERROR(INDEX('Hun Release Current'!B:B,MATCH(O886,'Hun Release Current'!A:A,0)),"")</f>
        <v/>
      </c>
      <c r="AL886" s="25" t="str">
        <f>IF(SUMIF('Prev Aub'!A:A,O886,'Prev Aub'!B:B)=0,"",SUMIF('Prev Aub'!A:A,O886,'Prev Aub'!B:B))</f>
        <v/>
      </c>
      <c r="AN886" s="25" t="s">
        <v>3790</v>
      </c>
      <c r="AO886" s="25" t="s">
        <v>3790</v>
      </c>
      <c r="AP886" s="25">
        <f t="shared" si="370"/>
        <v>0</v>
      </c>
      <c r="AQ886" s="151" t="str">
        <f>IF(SUMIFS('Supp Consol'!S:S,'Supp Consol'!A:A,O886,'Supp Consol'!I:I,"PENDING")=0,"",SUMIFS('Supp Consol'!S:S,'Supp Consol'!A:A,O886,'Supp Consol'!I:I,"PENDING"))</f>
        <v/>
      </c>
      <c r="AR886" s="27" t="str">
        <f t="shared" si="371"/>
        <v>PO701</v>
      </c>
      <c r="AS886" s="27" t="str">
        <f t="shared" si="372"/>
        <v>62</v>
      </c>
      <c r="AT886" s="27" t="str">
        <f t="shared" si="373"/>
        <v/>
      </c>
      <c r="AU886" s="27" t="str">
        <f t="shared" si="374"/>
        <v/>
      </c>
      <c r="AV886" s="27" t="str">
        <f t="shared" si="375"/>
        <v/>
      </c>
      <c r="AW886" s="27" t="str">
        <f t="shared" si="376"/>
        <v/>
      </c>
      <c r="AX886" s="27" t="str">
        <f t="shared" si="377"/>
        <v/>
      </c>
      <c r="AY886" s="27" t="str">
        <f t="shared" si="378"/>
        <v>PO701</v>
      </c>
      <c r="AZ886" s="27" t="str">
        <f t="shared" si="379"/>
        <v/>
      </c>
      <c r="BA886" s="27" t="str">
        <f t="shared" si="380"/>
        <v>Hun</v>
      </c>
      <c r="BB886" s="27" t="str">
        <f t="shared" si="381"/>
        <v/>
      </c>
      <c r="BC886" s="27" t="str">
        <f t="shared" si="382"/>
        <v/>
      </c>
      <c r="BD886" s="27" t="str">
        <f t="shared" si="383"/>
        <v/>
      </c>
      <c r="BE886" s="27" t="str">
        <f t="shared" si="384"/>
        <v/>
      </c>
      <c r="BF886" s="27" t="str">
        <f t="shared" si="385"/>
        <v/>
      </c>
      <c r="BG886" s="27" t="str">
        <f t="shared" si="386"/>
        <v/>
      </c>
      <c r="BH886" s="27" t="str">
        <f t="shared" si="387"/>
        <v/>
      </c>
      <c r="BI886" s="27" t="str">
        <f t="shared" si="388"/>
        <v/>
      </c>
      <c r="BJ886" s="27" t="str">
        <f t="shared" si="389"/>
        <v>Supp or Hun</v>
      </c>
      <c r="BK886" s="27" t="str">
        <f t="shared" si="390"/>
        <v/>
      </c>
      <c r="BL886" s="27" t="str">
        <f t="shared" si="391"/>
        <v/>
      </c>
      <c r="BM886" s="21" t="s">
        <v>5581</v>
      </c>
    </row>
    <row r="887" spans="1:65" ht="15">
      <c r="A887" s="25" t="str">
        <f>IFERROR(INDEX('Hun Demand'!W:W,MATCH(O887,'Hun Demand'!A:A,0)),"")</f>
        <v/>
      </c>
      <c r="B887" s="25" t="str">
        <f>IFERROR(INDEX('Hun Demand'!V:V,MATCH(O887,'Hun Demand'!A:A,0)),"")</f>
        <v/>
      </c>
      <c r="C887" s="25" t="str">
        <f>IFERROR(INDEX('Hun Demand'!U:U,MATCH(O887,'Hun Demand'!A:A,0)),"")</f>
        <v/>
      </c>
      <c r="D887" s="25" t="str">
        <f>IFERROR(INDEX('Hun Demand'!T:T,MATCH(O887,'Hun Demand'!A:A,0)),"")</f>
        <v/>
      </c>
      <c r="E887" s="25" t="str">
        <f>IFERROR(INDEX('Hun Demand'!S:S,MATCH(O887,'Hun Demand'!A:A,0)),"")</f>
        <v/>
      </c>
      <c r="F887" s="25" t="str">
        <f>IFERROR(INDEX('Hun Demand'!R:R,MATCH(O887,'Hun Demand'!A:A,0)),"")</f>
        <v/>
      </c>
      <c r="G887" s="25">
        <f>IFERROR(INDEX('Aub Demand'!W:W,MATCH(O887,'Aub Demand'!A:A,0)),"")</f>
        <v>290</v>
      </c>
      <c r="H887" s="25">
        <f>IFERROR(INDEX('Aub Demand'!V:V,MATCH(O887,'Aub Demand'!A:A,0)),"")</f>
        <v>0</v>
      </c>
      <c r="I887" s="25">
        <f>IFERROR(INDEX('Aub Demand'!U:U,MATCH(O887,'Aub Demand'!A:A,0)),"")</f>
        <v>16</v>
      </c>
      <c r="J887" s="25">
        <f>IFERROR(INDEX('Aub Demand'!T:T,MATCH(O887,'Aub Demand'!A:A,0)),"")</f>
        <v>21</v>
      </c>
      <c r="K887" s="25">
        <f>IFERROR(INDEX('Aub Demand'!S:S,MATCH(O887,'Aub Demand'!A:A,0)),"")</f>
        <v>0</v>
      </c>
      <c r="L887" s="25">
        <f>IFERROR(INDEX('Aub Demand'!R:R,MATCH(O887,'Aub Demand'!A:A,0)),"")</f>
        <v>0</v>
      </c>
      <c r="O887" s="27" t="s">
        <v>2447</v>
      </c>
      <c r="P887" s="27" t="str">
        <f>IFERROR(INDEX('Aub Demand'!B:B,MATCH($O887,'Aub Demand'!$A:$A,0)),"")</f>
        <v>PAPIER AU LAIT 48"</v>
      </c>
      <c r="Q887" s="27" t="str">
        <f>IFERROR(INDEX('Aub Demand'!C:C,MATCH($O887,'Aub Demand'!$A:$A,0)),"")</f>
        <v>SUDDE</v>
      </c>
      <c r="R887" s="52">
        <f>IFERROR(IF(AR888=AR887,INDEX('Aub Demand'!K:K,MATCH($O887,'Aub Demand'!$A:$A,0))-IF(AN887="",0,AN887)+AP888,INDEX('Aub Demand'!K:K,MATCH($O887,'Aub Demand'!$A:$A,0))-IF(AN887="",0,AN887)),"")</f>
        <v>457</v>
      </c>
      <c r="S887" s="53">
        <f t="shared" si="364"/>
        <v>163.19999999999999</v>
      </c>
      <c r="T887" s="52" t="str">
        <f t="shared" si="365"/>
        <v/>
      </c>
      <c r="U887" s="52">
        <f>IFERROR(IF(AR888=AR887,INDEX('Aub Demand'!Q:Q,MATCH($O887,'Aub Demand'!$A:$A,0))-IF(AN887="",0,AN887)+AP888,INDEX('Aub Demand'!Q:Q,MATCH($O887,'Aub Demand'!$A:$A,0))-IF(AN887="",0,AN887)),"")</f>
        <v>408</v>
      </c>
      <c r="V887" s="53">
        <f t="shared" si="366"/>
        <v>145.69999999999999</v>
      </c>
      <c r="W887" s="52" t="str">
        <f t="shared" si="367"/>
        <v/>
      </c>
      <c r="X887" s="52">
        <f>IFERROR(IF(AND(AR888=AR887,AM887&lt;&gt;""),INDEX('Aub Demand'!Q:Q,MATCH($O887,'Aub Demand'!$A:$A,0))-IF(AN887="",0,AN887)+AP888+AD887+AL887,IF(AR888=AR887,INDEX('Aub Demand'!Q:Q,MATCH($O887,'Aub Demand'!$A:$A,0))-IF(AN887="",0,AN887)+AP888+AD887,IF(AM887&lt;&gt;"",INDEX('Aub Demand'!Q:Q,MATCH($O887,'Aub Demand'!$A:$A,0))-IF(AN887="",0,AN887)+AD887+AL887,INDEX('Aub Demand'!Q:Q,MATCH($O887,'Aub Demand'!$A:$A,0))-IF(AN887="",0,AN887)+AD887))),"")</f>
        <v>408</v>
      </c>
      <c r="Y887" s="53">
        <f t="shared" si="368"/>
        <v>145.69999999999999</v>
      </c>
      <c r="Z887" s="52">
        <f>IF(L887="","",INDEX('Aub Demand'!H:H,MATCH($O887,'Aub Demand'!$A:$A,0)))</f>
        <v>12</v>
      </c>
      <c r="AA887" s="52">
        <f t="shared" si="369"/>
        <v>18.5</v>
      </c>
      <c r="AB887" s="52">
        <f>IFERROR(INDEX('Aub Demand'!L:L,MATCH($O887,'Aub Demand'!$A:$A,0)),"")</f>
        <v>6</v>
      </c>
      <c r="AC887" s="52">
        <f>IFERROR(IF(O887="","",SUMIFS('CPL Mats'!F:F,'CPL Mats'!Q:Q,AR887,'CPL Mats'!S:S,AS887)),"")</f>
        <v>0</v>
      </c>
      <c r="AF887" s="25" t="str">
        <f>IF(SUMIFS('Supp Consol'!S:S,'Supp Consol'!Y:Y,"Releasable",'Supp Consol'!A:A,O887)=0,"",SUMIFS('Supp Consol'!S:S,'Supp Consol'!Y:Y,"Releasable",'Supp Consol'!A:A,O887))</f>
        <v/>
      </c>
      <c r="AG887" s="25" t="str">
        <f>IFERROR(INDEX('Hun Demand'!Q:Q,MATCH(O887,'Hun Demand'!A:A,0)),"")</f>
        <v/>
      </c>
      <c r="AH887" s="25" t="str">
        <f>IFERROR(INDEX('Hun Demand'!H:H,MATCH($O887,'Hun Demand'!$A:$A,0)),"")</f>
        <v/>
      </c>
      <c r="AI887" s="25" t="str">
        <f>IF(SUMIFS('Supp Consol'!AA:AA,'Supp Consol'!Z:Z,"Expires this month",'Supp Consol'!A:A,O887)=0,"",SUMIFS('Supp Consol'!AA:AA,'Supp Consol'!Z:Z,"Expires this month",'Supp Consol'!A:A,O887))</f>
        <v/>
      </c>
      <c r="AJ887" s="25" t="str">
        <f>IF(SUMIFS('Supp Consol'!AA:AA,'Supp Consol'!Z:Z,"Expired Previous Months",'Supp Consol'!A:A,O887)=0,"",SUMIFS('Supp Consol'!AA:AA,'Supp Consol'!Z:Z,"Expired Previous Months",'Supp Consol'!A:A,O887))</f>
        <v/>
      </c>
      <c r="AK887" s="25" t="str">
        <f>IFERROR(INDEX('Hun Release Current'!B:B,MATCH(O887,'Hun Release Current'!A:A,0)),"")</f>
        <v/>
      </c>
      <c r="AL887" s="25" t="str">
        <f>IF(SUMIF('Prev Aub'!A:A,O887,'Prev Aub'!B:B)=0,"",SUMIF('Prev Aub'!A:A,O887,'Prev Aub'!B:B))</f>
        <v/>
      </c>
      <c r="AN887" s="25" t="s">
        <v>3790</v>
      </c>
      <c r="AO887" s="25" t="s">
        <v>3790</v>
      </c>
      <c r="AP887" s="25">
        <f t="shared" si="370"/>
        <v>0</v>
      </c>
      <c r="AQ887" s="151" t="str">
        <f>IF(SUMIFS('Supp Consol'!S:S,'Supp Consol'!A:A,O887,'Supp Consol'!I:I,"PENDING")=0,"",SUMIFS('Supp Consol'!S:S,'Supp Consol'!A:A,O887,'Supp Consol'!I:I,"PENDING"))</f>
        <v/>
      </c>
      <c r="AR887" s="27" t="str">
        <f t="shared" si="371"/>
        <v>PR202</v>
      </c>
      <c r="AS887" s="27" t="str">
        <f t="shared" si="372"/>
        <v>50</v>
      </c>
      <c r="AT887" s="27" t="str">
        <f t="shared" si="373"/>
        <v/>
      </c>
      <c r="AU887" s="27" t="str">
        <f t="shared" si="374"/>
        <v/>
      </c>
      <c r="AV887" s="27" t="str">
        <f t="shared" si="375"/>
        <v/>
      </c>
      <c r="AW887" s="27" t="str">
        <f t="shared" si="376"/>
        <v/>
      </c>
      <c r="AX887" s="27" t="str">
        <f t="shared" si="377"/>
        <v/>
      </c>
      <c r="AY887" s="27" t="str">
        <f t="shared" si="378"/>
        <v/>
      </c>
      <c r="AZ887" s="27" t="str">
        <f t="shared" si="379"/>
        <v/>
      </c>
      <c r="BA887" s="27" t="str">
        <f t="shared" si="380"/>
        <v/>
      </c>
      <c r="BB887" s="27" t="str">
        <f t="shared" si="381"/>
        <v/>
      </c>
      <c r="BC887" s="27" t="str">
        <f t="shared" si="382"/>
        <v/>
      </c>
      <c r="BD887" s="27" t="str">
        <f t="shared" si="383"/>
        <v/>
      </c>
      <c r="BE887" s="27" t="str">
        <f t="shared" si="384"/>
        <v/>
      </c>
      <c r="BF887" s="27" t="str">
        <f t="shared" si="385"/>
        <v/>
      </c>
      <c r="BG887" s="27" t="str">
        <f t="shared" si="386"/>
        <v/>
      </c>
      <c r="BH887" s="27" t="str">
        <f t="shared" si="387"/>
        <v/>
      </c>
      <c r="BI887" s="27" t="str">
        <f t="shared" si="388"/>
        <v/>
      </c>
      <c r="BJ887" s="27" t="str">
        <f t="shared" si="389"/>
        <v/>
      </c>
      <c r="BK887" s="27" t="str">
        <f t="shared" si="390"/>
        <v/>
      </c>
      <c r="BL887" s="27" t="str">
        <f t="shared" si="391"/>
        <v/>
      </c>
      <c r="BM887" s="21" t="s">
        <v>5581</v>
      </c>
    </row>
    <row r="888" spans="1:65" ht="15">
      <c r="A888" s="25" t="str">
        <f>IFERROR(INDEX('Hun Demand'!W:W,MATCH(O888,'Hun Demand'!A:A,0)),"")</f>
        <v/>
      </c>
      <c r="B888" s="25" t="str">
        <f>IFERROR(INDEX('Hun Demand'!V:V,MATCH(O888,'Hun Demand'!A:A,0)),"")</f>
        <v/>
      </c>
      <c r="C888" s="25" t="str">
        <f>IFERROR(INDEX('Hun Demand'!U:U,MATCH(O888,'Hun Demand'!A:A,0)),"")</f>
        <v/>
      </c>
      <c r="D888" s="25" t="str">
        <f>IFERROR(INDEX('Hun Demand'!T:T,MATCH(O888,'Hun Demand'!A:A,0)),"")</f>
        <v/>
      </c>
      <c r="E888" s="25" t="str">
        <f>IFERROR(INDEX('Hun Demand'!S:S,MATCH(O888,'Hun Demand'!A:A,0)),"")</f>
        <v/>
      </c>
      <c r="F888" s="25" t="str">
        <f>IFERROR(INDEX('Hun Demand'!R:R,MATCH(O888,'Hun Demand'!A:A,0)),"")</f>
        <v/>
      </c>
      <c r="G888" s="25">
        <f>IFERROR(INDEX('Aub Demand'!W:W,MATCH(O888,'Aub Demand'!A:A,0)),"")</f>
        <v>0</v>
      </c>
      <c r="H888" s="25">
        <f>IFERROR(INDEX('Aub Demand'!V:V,MATCH(O888,'Aub Demand'!A:A,0)),"")</f>
        <v>0</v>
      </c>
      <c r="I888" s="25">
        <f>IFERROR(INDEX('Aub Demand'!U:U,MATCH(O888,'Aub Demand'!A:A,0)),"")</f>
        <v>62</v>
      </c>
      <c r="J888" s="25">
        <f>IFERROR(INDEX('Aub Demand'!T:T,MATCH(O888,'Aub Demand'!A:A,0)),"")</f>
        <v>0</v>
      </c>
      <c r="K888" s="25">
        <f>IFERROR(INDEX('Aub Demand'!S:S,MATCH(O888,'Aub Demand'!A:A,0)),"")</f>
        <v>0</v>
      </c>
      <c r="L888" s="25">
        <f>IFERROR(INDEX('Aub Demand'!R:R,MATCH(O888,'Aub Demand'!A:A,0)),"")</f>
        <v>0</v>
      </c>
      <c r="O888" s="27" t="s">
        <v>2450</v>
      </c>
      <c r="P888" s="27" t="str">
        <f>IFERROR(INDEX('Aub Demand'!B:B,MATCH($O888,'Aub Demand'!$A:$A,0)),"")</f>
        <v>PAPIER AU LAIT 60"</v>
      </c>
      <c r="Q888" s="27" t="str">
        <f>IFERROR(INDEX('Aub Demand'!C:C,MATCH($O888,'Aub Demand'!$A:$A,0)),"")</f>
        <v>SUDDE</v>
      </c>
      <c r="R888" s="52">
        <f>IFERROR(IF(AR889=AR888,INDEX('Aub Demand'!K:K,MATCH($O888,'Aub Demand'!$A:$A,0))-IF(AN888="",0,AN888)+AP889,INDEX('Aub Demand'!K:K,MATCH($O888,'Aub Demand'!$A:$A,0))-IF(AN888="",0,AN888)),"")</f>
        <v>900</v>
      </c>
      <c r="S888" s="53">
        <f t="shared" si="364"/>
        <v>183.7</v>
      </c>
      <c r="T888" s="52" t="str">
        <f t="shared" si="365"/>
        <v/>
      </c>
      <c r="U888" s="52">
        <f>IFERROR(IF(AR889=AR888,INDEX('Aub Demand'!Q:Q,MATCH($O888,'Aub Demand'!$A:$A,0))-IF(AN888="",0,AN888)+AP889,INDEX('Aub Demand'!Q:Q,MATCH($O888,'Aub Demand'!$A:$A,0))-IF(AN888="",0,AN888)),"")</f>
        <v>900</v>
      </c>
      <c r="V888" s="53">
        <f t="shared" si="366"/>
        <v>183.7</v>
      </c>
      <c r="W888" s="52" t="str">
        <f t="shared" si="367"/>
        <v/>
      </c>
      <c r="X888" s="52">
        <f>IFERROR(IF(AND(AR889=AR888,AM888&lt;&gt;""),INDEX('Aub Demand'!Q:Q,MATCH($O888,'Aub Demand'!$A:$A,0))-IF(AN888="",0,AN888)+AP889+AD888+AL888,IF(AR889=AR888,INDEX('Aub Demand'!Q:Q,MATCH($O888,'Aub Demand'!$A:$A,0))-IF(AN888="",0,AN888)+AP889+AD888,IF(AM888&lt;&gt;"",INDEX('Aub Demand'!Q:Q,MATCH($O888,'Aub Demand'!$A:$A,0))-IF(AN888="",0,AN888)+AD888+AL888,INDEX('Aub Demand'!Q:Q,MATCH($O888,'Aub Demand'!$A:$A,0))-IF(AN888="",0,AN888)+AD888))),"")</f>
        <v>900</v>
      </c>
      <c r="Y888" s="53">
        <f t="shared" si="368"/>
        <v>183.7</v>
      </c>
      <c r="Z888" s="52">
        <f>IF(L888="","",INDEX('Aub Demand'!H:H,MATCH($O888,'Aub Demand'!$A:$A,0)))</f>
        <v>21</v>
      </c>
      <c r="AA888" s="52" t="str">
        <f t="shared" si="369"/>
        <v>-spike-</v>
      </c>
      <c r="AB888" s="52">
        <f>IFERROR(INDEX('Aub Demand'!L:L,MATCH($O888,'Aub Demand'!$A:$A,0)),"")</f>
        <v>0</v>
      </c>
      <c r="AC888" s="52">
        <f>IFERROR(IF(O888="","",SUMIFS('CPL Mats'!F:F,'CPL Mats'!Q:Q,AR888,'CPL Mats'!S:S,AS888)),"")</f>
        <v>0</v>
      </c>
      <c r="AF888" s="25" t="str">
        <f>IF(SUMIFS('Supp Consol'!S:S,'Supp Consol'!Y:Y,"Releasable",'Supp Consol'!A:A,O888)=0,"",SUMIFS('Supp Consol'!S:S,'Supp Consol'!Y:Y,"Releasable",'Supp Consol'!A:A,O888))</f>
        <v/>
      </c>
      <c r="AG888" s="25" t="str">
        <f>IFERROR(INDEX('Hun Demand'!Q:Q,MATCH(O888,'Hun Demand'!A:A,0)),"")</f>
        <v/>
      </c>
      <c r="AH888" s="25" t="str">
        <f>IFERROR(INDEX('Hun Demand'!H:H,MATCH($O888,'Hun Demand'!$A:$A,0)),"")</f>
        <v/>
      </c>
      <c r="AI888" s="25" t="str">
        <f>IF(SUMIFS('Supp Consol'!AA:AA,'Supp Consol'!Z:Z,"Expires this month",'Supp Consol'!A:A,O888)=0,"",SUMIFS('Supp Consol'!AA:AA,'Supp Consol'!Z:Z,"Expires this month",'Supp Consol'!A:A,O888))</f>
        <v/>
      </c>
      <c r="AJ888" s="25" t="str">
        <f>IF(SUMIFS('Supp Consol'!AA:AA,'Supp Consol'!Z:Z,"Expired Previous Months",'Supp Consol'!A:A,O888)=0,"",SUMIFS('Supp Consol'!AA:AA,'Supp Consol'!Z:Z,"Expired Previous Months",'Supp Consol'!A:A,O888))</f>
        <v/>
      </c>
      <c r="AK888" s="25" t="str">
        <f>IFERROR(INDEX('Hun Release Current'!B:B,MATCH(O888,'Hun Release Current'!A:A,0)),"")</f>
        <v/>
      </c>
      <c r="AL888" s="25" t="str">
        <f>IF(SUMIF('Prev Aub'!A:A,O888,'Prev Aub'!B:B)=0,"",SUMIF('Prev Aub'!A:A,O888,'Prev Aub'!B:B))</f>
        <v/>
      </c>
      <c r="AN888" s="25" t="s">
        <v>3790</v>
      </c>
      <c r="AO888" s="25" t="s">
        <v>3790</v>
      </c>
      <c r="AP888" s="25">
        <f t="shared" si="370"/>
        <v>0</v>
      </c>
      <c r="AQ888" s="151" t="str">
        <f>IF(SUMIFS('Supp Consol'!S:S,'Supp Consol'!A:A,O888,'Supp Consol'!I:I,"PENDING")=0,"",SUMIFS('Supp Consol'!S:S,'Supp Consol'!A:A,O888,'Supp Consol'!I:I,"PENDING"))</f>
        <v/>
      </c>
      <c r="AR888" s="27" t="str">
        <f t="shared" si="371"/>
        <v>PR202</v>
      </c>
      <c r="AS888" s="27" t="str">
        <f t="shared" si="372"/>
        <v>62</v>
      </c>
      <c r="AT888" s="27" t="str">
        <f t="shared" si="373"/>
        <v/>
      </c>
      <c r="AU888" s="27" t="str">
        <f t="shared" si="374"/>
        <v/>
      </c>
      <c r="AV888" s="27" t="str">
        <f t="shared" si="375"/>
        <v/>
      </c>
      <c r="AW888" s="27" t="str">
        <f t="shared" si="376"/>
        <v/>
      </c>
      <c r="AX888" s="27" t="str">
        <f t="shared" si="377"/>
        <v/>
      </c>
      <c r="AY888" s="27" t="str">
        <f t="shared" si="378"/>
        <v/>
      </c>
      <c r="AZ888" s="27" t="str">
        <f t="shared" si="379"/>
        <v/>
      </c>
      <c r="BA888" s="27" t="str">
        <f t="shared" si="380"/>
        <v/>
      </c>
      <c r="BB888" s="27" t="str">
        <f t="shared" si="381"/>
        <v/>
      </c>
      <c r="BC888" s="27" t="str">
        <f t="shared" si="382"/>
        <v/>
      </c>
      <c r="BD888" s="27" t="str">
        <f t="shared" si="383"/>
        <v/>
      </c>
      <c r="BE888" s="27" t="str">
        <f t="shared" si="384"/>
        <v/>
      </c>
      <c r="BF888" s="27" t="str">
        <f t="shared" si="385"/>
        <v/>
      </c>
      <c r="BG888" s="27" t="str">
        <f t="shared" si="386"/>
        <v/>
      </c>
      <c r="BH888" s="27" t="str">
        <f t="shared" si="387"/>
        <v/>
      </c>
      <c r="BI888" s="27" t="str">
        <f t="shared" si="388"/>
        <v/>
      </c>
      <c r="BJ888" s="27" t="str">
        <f t="shared" si="389"/>
        <v/>
      </c>
      <c r="BK888" s="27" t="str">
        <f t="shared" si="390"/>
        <v/>
      </c>
      <c r="BL888" s="27" t="str">
        <f t="shared" si="391"/>
        <v/>
      </c>
      <c r="BM888" s="21" t="s">
        <v>5581</v>
      </c>
    </row>
    <row r="889" spans="1:65" ht="15">
      <c r="A889" s="25" t="str">
        <f>IFERROR(INDEX('Hun Demand'!W:W,MATCH(O889,'Hun Demand'!A:A,0)),"")</f>
        <v/>
      </c>
      <c r="B889" s="25" t="str">
        <f>IFERROR(INDEX('Hun Demand'!V:V,MATCH(O889,'Hun Demand'!A:A,0)),"")</f>
        <v/>
      </c>
      <c r="C889" s="25" t="str">
        <f>IFERROR(INDEX('Hun Demand'!U:U,MATCH(O889,'Hun Demand'!A:A,0)),"")</f>
        <v/>
      </c>
      <c r="D889" s="25" t="str">
        <f>IFERROR(INDEX('Hun Demand'!T:T,MATCH(O889,'Hun Demand'!A:A,0)),"")</f>
        <v/>
      </c>
      <c r="E889" s="25" t="str">
        <f>IFERROR(INDEX('Hun Demand'!S:S,MATCH(O889,'Hun Demand'!A:A,0)),"")</f>
        <v/>
      </c>
      <c r="F889" s="25" t="str">
        <f>IFERROR(INDEX('Hun Demand'!R:R,MATCH(O889,'Hun Demand'!A:A,0)),"")</f>
        <v/>
      </c>
      <c r="G889" s="25">
        <f>IFERROR(INDEX('Aub Demand'!W:W,MATCH(O889,'Aub Demand'!A:A,0)),"")</f>
        <v>0</v>
      </c>
      <c r="H889" s="25">
        <f>IFERROR(INDEX('Aub Demand'!V:V,MATCH(O889,'Aub Demand'!A:A,0)),"")</f>
        <v>0</v>
      </c>
      <c r="I889" s="25">
        <f>IFERROR(INDEX('Aub Demand'!U:U,MATCH(O889,'Aub Demand'!A:A,0)),"")</f>
        <v>0</v>
      </c>
      <c r="J889" s="25">
        <f>IFERROR(INDEX('Aub Demand'!T:T,MATCH(O889,'Aub Demand'!A:A,0)),"")</f>
        <v>0</v>
      </c>
      <c r="K889" s="25">
        <f>IFERROR(INDEX('Aub Demand'!S:S,MATCH(O889,'Aub Demand'!A:A,0)),"")</f>
        <v>0</v>
      </c>
      <c r="L889" s="25">
        <f>IFERROR(INDEX('Aub Demand'!R:R,MATCH(O889,'Aub Demand'!A:A,0)),"")</f>
        <v>0</v>
      </c>
      <c r="O889" s="27" t="s">
        <v>2452</v>
      </c>
      <c r="P889" s="27" t="str">
        <f>IFERROR(INDEX('Aub Demand'!B:B,MATCH($O889,'Aub Demand'!$A:$A,0)),"")</f>
        <v>PAPIER ST TROPEZ 50"</v>
      </c>
      <c r="Q889" s="27" t="str">
        <f>IFERROR(INDEX('Aub Demand'!C:C,MATCH($O889,'Aub Demand'!$A:$A,0)),"")</f>
        <v>SUDDE</v>
      </c>
      <c r="R889" s="52">
        <f>IFERROR(IF(AR890=AR889,INDEX('Aub Demand'!K:K,MATCH($O889,'Aub Demand'!$A:$A,0))-IF(AN889="",0,AN889)+AP890,INDEX('Aub Demand'!K:K,MATCH($O889,'Aub Demand'!$A:$A,0))-IF(AN889="",0,AN889)),"")</f>
        <v>1827</v>
      </c>
      <c r="S889" s="53" t="str">
        <f t="shared" si="364"/>
        <v>n/a</v>
      </c>
      <c r="T889" s="52" t="str">
        <f t="shared" si="365"/>
        <v/>
      </c>
      <c r="U889" s="52">
        <f>IFERROR(IF(AR890=AR889,INDEX('Aub Demand'!Q:Q,MATCH($O889,'Aub Demand'!$A:$A,0))-IF(AN889="",0,AN889)+AP890,INDEX('Aub Demand'!Q:Q,MATCH($O889,'Aub Demand'!$A:$A,0))-IF(AN889="",0,AN889)),"")</f>
        <v>1827</v>
      </c>
      <c r="V889" s="53" t="str">
        <f t="shared" si="366"/>
        <v>n/a</v>
      </c>
      <c r="W889" s="52" t="str">
        <f t="shared" si="367"/>
        <v/>
      </c>
      <c r="X889" s="52">
        <f>IFERROR(IF(AND(AR890=AR889,AM889&lt;&gt;""),INDEX('Aub Demand'!Q:Q,MATCH($O889,'Aub Demand'!$A:$A,0))-IF(AN889="",0,AN889)+AP890+AD889+AL889,IF(AR890=AR889,INDEX('Aub Demand'!Q:Q,MATCH($O889,'Aub Demand'!$A:$A,0))-IF(AN889="",0,AN889)+AP890+AD889,IF(AM889&lt;&gt;"",INDEX('Aub Demand'!Q:Q,MATCH($O889,'Aub Demand'!$A:$A,0))-IF(AN889="",0,AN889)+AD889+AL889,INDEX('Aub Demand'!Q:Q,MATCH($O889,'Aub Demand'!$A:$A,0))-IF(AN889="",0,AN889)+AD889))),"")</f>
        <v>1827</v>
      </c>
      <c r="Y889" s="53" t="str">
        <f t="shared" si="368"/>
        <v>n/a</v>
      </c>
      <c r="Z889" s="52">
        <f>IF(L889="","",INDEX('Aub Demand'!H:H,MATCH($O889,'Aub Demand'!$A:$A,0)))</f>
        <v>0</v>
      </c>
      <c r="AA889" s="52" t="str">
        <f t="shared" si="369"/>
        <v>-spike-</v>
      </c>
      <c r="AB889" s="52">
        <f>IFERROR(INDEX('Aub Demand'!L:L,MATCH($O889,'Aub Demand'!$A:$A,0)),"")</f>
        <v>0</v>
      </c>
      <c r="AC889" s="52">
        <f>IFERROR(IF(O889="","",SUMIFS('CPL Mats'!F:F,'CPL Mats'!Q:Q,AR889,'CPL Mats'!S:S,AS889)),"")</f>
        <v>0</v>
      </c>
      <c r="AF889" s="25" t="str">
        <f>IF(SUMIFS('Supp Consol'!S:S,'Supp Consol'!Y:Y,"Releasable",'Supp Consol'!A:A,O889)=0,"",SUMIFS('Supp Consol'!S:S,'Supp Consol'!Y:Y,"Releasable",'Supp Consol'!A:A,O889))</f>
        <v/>
      </c>
      <c r="AG889" s="25" t="str">
        <f>IFERROR(INDEX('Hun Demand'!Q:Q,MATCH(O889,'Hun Demand'!A:A,0)),"")</f>
        <v/>
      </c>
      <c r="AH889" s="25" t="str">
        <f>IFERROR(INDEX('Hun Demand'!H:H,MATCH($O889,'Hun Demand'!$A:$A,0)),"")</f>
        <v/>
      </c>
      <c r="AI889" s="25" t="str">
        <f>IF(SUMIFS('Supp Consol'!AA:AA,'Supp Consol'!Z:Z,"Expires this month",'Supp Consol'!A:A,O889)=0,"",SUMIFS('Supp Consol'!AA:AA,'Supp Consol'!Z:Z,"Expires this month",'Supp Consol'!A:A,O889))</f>
        <v/>
      </c>
      <c r="AJ889" s="25" t="str">
        <f>IF(SUMIFS('Supp Consol'!AA:AA,'Supp Consol'!Z:Z,"Expired Previous Months",'Supp Consol'!A:A,O889)=0,"",SUMIFS('Supp Consol'!AA:AA,'Supp Consol'!Z:Z,"Expired Previous Months",'Supp Consol'!A:A,O889))</f>
        <v/>
      </c>
      <c r="AK889" s="25" t="str">
        <f>IFERROR(INDEX('Hun Release Current'!B:B,MATCH(O889,'Hun Release Current'!A:A,0)),"")</f>
        <v/>
      </c>
      <c r="AL889" s="25" t="str">
        <f>IF(SUMIF('Prev Aub'!A:A,O889,'Prev Aub'!B:B)=0,"",SUMIF('Prev Aub'!A:A,O889,'Prev Aub'!B:B))</f>
        <v/>
      </c>
      <c r="AN889" s="25" t="s">
        <v>3790</v>
      </c>
      <c r="AO889" s="25" t="s">
        <v>3790</v>
      </c>
      <c r="AP889" s="25">
        <f t="shared" si="370"/>
        <v>0</v>
      </c>
      <c r="AQ889" s="151" t="str">
        <f>IF(SUMIFS('Supp Consol'!S:S,'Supp Consol'!A:A,O889,'Supp Consol'!I:I,"PENDING")=0,"",SUMIFS('Supp Consol'!S:S,'Supp Consol'!A:A,O889,'Supp Consol'!I:I,"PENDING"))</f>
        <v/>
      </c>
      <c r="AR889" s="27" t="str">
        <f t="shared" si="371"/>
        <v>PR401</v>
      </c>
      <c r="AS889" s="27" t="str">
        <f t="shared" si="372"/>
        <v>50</v>
      </c>
      <c r="AT889" s="27" t="str">
        <f t="shared" si="373"/>
        <v/>
      </c>
      <c r="AU889" s="27" t="str">
        <f t="shared" si="374"/>
        <v/>
      </c>
      <c r="AV889" s="27" t="str">
        <f t="shared" si="375"/>
        <v/>
      </c>
      <c r="AW889" s="27" t="str">
        <f t="shared" si="376"/>
        <v/>
      </c>
      <c r="AX889" s="27" t="str">
        <f t="shared" si="377"/>
        <v/>
      </c>
      <c r="AY889" s="27" t="str">
        <f t="shared" si="378"/>
        <v/>
      </c>
      <c r="AZ889" s="27" t="str">
        <f t="shared" si="379"/>
        <v/>
      </c>
      <c r="BA889" s="27" t="str">
        <f t="shared" si="380"/>
        <v/>
      </c>
      <c r="BB889" s="27" t="str">
        <f t="shared" si="381"/>
        <v/>
      </c>
      <c r="BC889" s="27" t="str">
        <f t="shared" si="382"/>
        <v/>
      </c>
      <c r="BD889" s="27" t="str">
        <f t="shared" si="383"/>
        <v/>
      </c>
      <c r="BE889" s="27" t="str">
        <f t="shared" si="384"/>
        <v/>
      </c>
      <c r="BF889" s="27" t="str">
        <f t="shared" si="385"/>
        <v/>
      </c>
      <c r="BG889" s="27" t="str">
        <f t="shared" si="386"/>
        <v/>
      </c>
      <c r="BH889" s="27" t="str">
        <f t="shared" si="387"/>
        <v/>
      </c>
      <c r="BI889" s="27" t="str">
        <f t="shared" si="388"/>
        <v/>
      </c>
      <c r="BJ889" s="27" t="str">
        <f t="shared" si="389"/>
        <v/>
      </c>
      <c r="BK889" s="27" t="str">
        <f t="shared" si="390"/>
        <v/>
      </c>
      <c r="BL889" s="27" t="str">
        <f t="shared" si="391"/>
        <v/>
      </c>
      <c r="BM889" s="21" t="s">
        <v>3790</v>
      </c>
    </row>
    <row r="890" spans="1:65" ht="15">
      <c r="A890" s="25" t="str">
        <f>IFERROR(INDEX('Hun Demand'!W:W,MATCH(O890,'Hun Demand'!A:A,0)),"")</f>
        <v/>
      </c>
      <c r="B890" s="25" t="str">
        <f>IFERROR(INDEX('Hun Demand'!V:V,MATCH(O890,'Hun Demand'!A:A,0)),"")</f>
        <v/>
      </c>
      <c r="C890" s="25" t="str">
        <f>IFERROR(INDEX('Hun Demand'!U:U,MATCH(O890,'Hun Demand'!A:A,0)),"")</f>
        <v/>
      </c>
      <c r="D890" s="25" t="str">
        <f>IFERROR(INDEX('Hun Demand'!T:T,MATCH(O890,'Hun Demand'!A:A,0)),"")</f>
        <v/>
      </c>
      <c r="E890" s="25" t="str">
        <f>IFERROR(INDEX('Hun Demand'!S:S,MATCH(O890,'Hun Demand'!A:A,0)),"")</f>
        <v/>
      </c>
      <c r="F890" s="25" t="str">
        <f>IFERROR(INDEX('Hun Demand'!R:R,MATCH(O890,'Hun Demand'!A:A,0)),"")</f>
        <v/>
      </c>
      <c r="G890" s="25">
        <f>IFERROR(INDEX('Aub Demand'!W:W,MATCH(O890,'Aub Demand'!A:A,0)),"")</f>
        <v>0</v>
      </c>
      <c r="H890" s="25">
        <f>IFERROR(INDEX('Aub Demand'!V:V,MATCH(O890,'Aub Demand'!A:A,0)),"")</f>
        <v>0</v>
      </c>
      <c r="I890" s="25">
        <f>IFERROR(INDEX('Aub Demand'!U:U,MATCH(O890,'Aub Demand'!A:A,0)),"")</f>
        <v>0</v>
      </c>
      <c r="J890" s="25">
        <f>IFERROR(INDEX('Aub Demand'!T:T,MATCH(O890,'Aub Demand'!A:A,0)),"")</f>
        <v>0</v>
      </c>
      <c r="K890" s="25">
        <f>IFERROR(INDEX('Aub Demand'!S:S,MATCH(O890,'Aub Demand'!A:A,0)),"")</f>
        <v>0</v>
      </c>
      <c r="L890" s="25">
        <f>IFERROR(INDEX('Aub Demand'!R:R,MATCH(O890,'Aub Demand'!A:A,0)),"")</f>
        <v>0</v>
      </c>
      <c r="O890" s="27" t="s">
        <v>2454</v>
      </c>
      <c r="P890" s="27" t="str">
        <f>IFERROR(INDEX('Aub Demand'!B:B,MATCH($O890,'Aub Demand'!$A:$A,0)),"")</f>
        <v>PAPIER ST TROPEZ 60"</v>
      </c>
      <c r="Q890" s="27" t="str">
        <f>IFERROR(INDEX('Aub Demand'!C:C,MATCH($O890,'Aub Demand'!$A:$A,0)),"")</f>
        <v>SUDDE</v>
      </c>
      <c r="R890" s="52">
        <f>IFERROR(IF(AR891=AR890,INDEX('Aub Demand'!K:K,MATCH($O890,'Aub Demand'!$A:$A,0))-IF(AN890="",0,AN890)+AP891,INDEX('Aub Demand'!K:K,MATCH($O890,'Aub Demand'!$A:$A,0))-IF(AN890="",0,AN890)),"")</f>
        <v>1133</v>
      </c>
      <c r="S890" s="53" t="str">
        <f t="shared" si="364"/>
        <v>n/a</v>
      </c>
      <c r="T890" s="52" t="str">
        <f t="shared" si="365"/>
        <v/>
      </c>
      <c r="U890" s="52">
        <f>IFERROR(IF(AR891=AR890,INDEX('Aub Demand'!Q:Q,MATCH($O890,'Aub Demand'!$A:$A,0))-IF(AN890="",0,AN890)+AP891,INDEX('Aub Demand'!Q:Q,MATCH($O890,'Aub Demand'!$A:$A,0))-IF(AN890="",0,AN890)),"")</f>
        <v>1133</v>
      </c>
      <c r="V890" s="53" t="str">
        <f t="shared" si="366"/>
        <v>n/a</v>
      </c>
      <c r="W890" s="52" t="str">
        <f t="shared" si="367"/>
        <v/>
      </c>
      <c r="X890" s="52">
        <f>IFERROR(IF(AND(AR891=AR890,AM890&lt;&gt;""),INDEX('Aub Demand'!Q:Q,MATCH($O890,'Aub Demand'!$A:$A,0))-IF(AN890="",0,AN890)+AP891+AD890+AL890,IF(AR891=AR890,INDEX('Aub Demand'!Q:Q,MATCH($O890,'Aub Demand'!$A:$A,0))-IF(AN890="",0,AN890)+AP891+AD890,IF(AM890&lt;&gt;"",INDEX('Aub Demand'!Q:Q,MATCH($O890,'Aub Demand'!$A:$A,0))-IF(AN890="",0,AN890)+AD890+AL890,INDEX('Aub Demand'!Q:Q,MATCH($O890,'Aub Demand'!$A:$A,0))-IF(AN890="",0,AN890)+AD890))),"")</f>
        <v>1133</v>
      </c>
      <c r="Y890" s="53" t="str">
        <f t="shared" si="368"/>
        <v>n/a</v>
      </c>
      <c r="Z890" s="52">
        <f>IF(L890="","",INDEX('Aub Demand'!H:H,MATCH($O890,'Aub Demand'!$A:$A,0)))</f>
        <v>0</v>
      </c>
      <c r="AA890" s="52" t="str">
        <f t="shared" si="369"/>
        <v>-spike-</v>
      </c>
      <c r="AB890" s="52">
        <f>IFERROR(INDEX('Aub Demand'!L:L,MATCH($O890,'Aub Demand'!$A:$A,0)),"")</f>
        <v>0</v>
      </c>
      <c r="AC890" s="52">
        <f>IFERROR(IF(O890="","",SUMIFS('CPL Mats'!F:F,'CPL Mats'!Q:Q,AR890,'CPL Mats'!S:S,AS890)),"")</f>
        <v>0</v>
      </c>
      <c r="AF890" s="25" t="str">
        <f>IF(SUMIFS('Supp Consol'!S:S,'Supp Consol'!Y:Y,"Releasable",'Supp Consol'!A:A,O890)=0,"",SUMIFS('Supp Consol'!S:S,'Supp Consol'!Y:Y,"Releasable",'Supp Consol'!A:A,O890))</f>
        <v/>
      </c>
      <c r="AG890" s="25" t="str">
        <f>IFERROR(INDEX('Hun Demand'!Q:Q,MATCH(O890,'Hun Demand'!A:A,0)),"")</f>
        <v/>
      </c>
      <c r="AH890" s="25" t="str">
        <f>IFERROR(INDEX('Hun Demand'!H:H,MATCH($O890,'Hun Demand'!$A:$A,0)),"")</f>
        <v/>
      </c>
      <c r="AI890" s="25" t="str">
        <f>IF(SUMIFS('Supp Consol'!AA:AA,'Supp Consol'!Z:Z,"Expires this month",'Supp Consol'!A:A,O890)=0,"",SUMIFS('Supp Consol'!AA:AA,'Supp Consol'!Z:Z,"Expires this month",'Supp Consol'!A:A,O890))</f>
        <v/>
      </c>
      <c r="AJ890" s="25" t="str">
        <f>IF(SUMIFS('Supp Consol'!AA:AA,'Supp Consol'!Z:Z,"Expired Previous Months",'Supp Consol'!A:A,O890)=0,"",SUMIFS('Supp Consol'!AA:AA,'Supp Consol'!Z:Z,"Expired Previous Months",'Supp Consol'!A:A,O890))</f>
        <v/>
      </c>
      <c r="AK890" s="25" t="str">
        <f>IFERROR(INDEX('Hun Release Current'!B:B,MATCH(O890,'Hun Release Current'!A:A,0)),"")</f>
        <v/>
      </c>
      <c r="AL890" s="25" t="str">
        <f>IF(SUMIF('Prev Aub'!A:A,O890,'Prev Aub'!B:B)=0,"",SUMIF('Prev Aub'!A:A,O890,'Prev Aub'!B:B))</f>
        <v/>
      </c>
      <c r="AN890" s="25" t="s">
        <v>3790</v>
      </c>
      <c r="AO890" s="25" t="s">
        <v>3790</v>
      </c>
      <c r="AP890" s="25">
        <f t="shared" si="370"/>
        <v>0</v>
      </c>
      <c r="AQ890" s="151" t="str">
        <f>IF(SUMIFS('Supp Consol'!S:S,'Supp Consol'!A:A,O890,'Supp Consol'!I:I,"PENDING")=0,"",SUMIFS('Supp Consol'!S:S,'Supp Consol'!A:A,O890,'Supp Consol'!I:I,"PENDING"))</f>
        <v/>
      </c>
      <c r="AR890" s="27" t="str">
        <f t="shared" si="371"/>
        <v>PR401</v>
      </c>
      <c r="AS890" s="27" t="str">
        <f t="shared" si="372"/>
        <v>62</v>
      </c>
      <c r="AT890" s="27" t="str">
        <f t="shared" si="373"/>
        <v/>
      </c>
      <c r="AU890" s="27" t="str">
        <f t="shared" si="374"/>
        <v/>
      </c>
      <c r="AV890" s="27" t="str">
        <f t="shared" si="375"/>
        <v/>
      </c>
      <c r="AW890" s="27" t="str">
        <f t="shared" si="376"/>
        <v/>
      </c>
      <c r="AX890" s="27" t="str">
        <f t="shared" si="377"/>
        <v/>
      </c>
      <c r="AY890" s="27" t="str">
        <f t="shared" si="378"/>
        <v/>
      </c>
      <c r="AZ890" s="27" t="str">
        <f t="shared" si="379"/>
        <v/>
      </c>
      <c r="BA890" s="27" t="str">
        <f t="shared" si="380"/>
        <v/>
      </c>
      <c r="BB890" s="27" t="str">
        <f t="shared" si="381"/>
        <v/>
      </c>
      <c r="BC890" s="27" t="str">
        <f t="shared" si="382"/>
        <v/>
      </c>
      <c r="BD890" s="27" t="str">
        <f t="shared" si="383"/>
        <v/>
      </c>
      <c r="BE890" s="27" t="str">
        <f t="shared" si="384"/>
        <v/>
      </c>
      <c r="BF890" s="27" t="str">
        <f t="shared" si="385"/>
        <v/>
      </c>
      <c r="BG890" s="27" t="str">
        <f t="shared" si="386"/>
        <v/>
      </c>
      <c r="BH890" s="27" t="str">
        <f t="shared" si="387"/>
        <v/>
      </c>
      <c r="BI890" s="27" t="str">
        <f t="shared" si="388"/>
        <v/>
      </c>
      <c r="BJ890" s="27" t="str">
        <f t="shared" si="389"/>
        <v/>
      </c>
      <c r="BK890" s="27" t="str">
        <f t="shared" si="390"/>
        <v/>
      </c>
      <c r="BL890" s="27" t="str">
        <f t="shared" si="391"/>
        <v/>
      </c>
      <c r="BM890" s="21" t="s">
        <v>3790</v>
      </c>
    </row>
    <row r="891" spans="1:65" ht="15">
      <c r="A891" s="25" t="str">
        <f>IFERROR(INDEX('Hun Demand'!W:W,MATCH(O891,'Hun Demand'!A:A,0)),"")</f>
        <v/>
      </c>
      <c r="B891" s="25" t="str">
        <f>IFERROR(INDEX('Hun Demand'!V:V,MATCH(O891,'Hun Demand'!A:A,0)),"")</f>
        <v/>
      </c>
      <c r="C891" s="25" t="str">
        <f>IFERROR(INDEX('Hun Demand'!U:U,MATCH(O891,'Hun Demand'!A:A,0)),"")</f>
        <v/>
      </c>
      <c r="D891" s="25" t="str">
        <f>IFERROR(INDEX('Hun Demand'!T:T,MATCH(O891,'Hun Demand'!A:A,0)),"")</f>
        <v/>
      </c>
      <c r="E891" s="25" t="str">
        <f>IFERROR(INDEX('Hun Demand'!S:S,MATCH(O891,'Hun Demand'!A:A,0)),"")</f>
        <v/>
      </c>
      <c r="F891" s="25" t="str">
        <f>IFERROR(INDEX('Hun Demand'!R:R,MATCH(O891,'Hun Demand'!A:A,0)),"")</f>
        <v/>
      </c>
      <c r="G891" s="25">
        <f>IFERROR(INDEX('Aub Demand'!W:W,MATCH(O891,'Aub Demand'!A:A,0)),"")</f>
        <v>0</v>
      </c>
      <c r="H891" s="25">
        <f>IFERROR(INDEX('Aub Demand'!V:V,MATCH(O891,'Aub Demand'!A:A,0)),"")</f>
        <v>0</v>
      </c>
      <c r="I891" s="25">
        <f>IFERROR(INDEX('Aub Demand'!U:U,MATCH(O891,'Aub Demand'!A:A,0)),"")</f>
        <v>0</v>
      </c>
      <c r="J891" s="25">
        <f>IFERROR(INDEX('Aub Demand'!T:T,MATCH(O891,'Aub Demand'!A:A,0)),"")</f>
        <v>0</v>
      </c>
      <c r="K891" s="25">
        <f>IFERROR(INDEX('Aub Demand'!S:S,MATCH(O891,'Aub Demand'!A:A,0)),"")</f>
        <v>0</v>
      </c>
      <c r="L891" s="25">
        <f>IFERROR(INDEX('Aub Demand'!R:R,MATCH(O891,'Aub Demand'!A:A,0)),"")</f>
        <v>0</v>
      </c>
      <c r="O891" s="27" t="s">
        <v>2457</v>
      </c>
      <c r="P891" s="27" t="str">
        <f>IFERROR(INDEX('Aub Demand'!B:B,MATCH($O891,'Aub Demand'!$A:$A,0)),"")</f>
        <v>PAPIER LUNE 60"</v>
      </c>
      <c r="Q891" s="27" t="str">
        <f>IFERROR(INDEX('Aub Demand'!C:C,MATCH($O891,'Aub Demand'!$A:$A,0)),"")</f>
        <v>SCHAT</v>
      </c>
      <c r="R891" s="52">
        <f>IFERROR(IF(AR892=AR891,INDEX('Aub Demand'!K:K,MATCH($O891,'Aub Demand'!$A:$A,0))-IF(AN891="",0,AN891)+AP892,INDEX('Aub Demand'!K:K,MATCH($O891,'Aub Demand'!$A:$A,0))-IF(AN891="",0,AN891)),"")</f>
        <v>1834</v>
      </c>
      <c r="S891" s="53" t="str">
        <f t="shared" si="364"/>
        <v>n/a</v>
      </c>
      <c r="T891" s="52" t="str">
        <f t="shared" si="365"/>
        <v/>
      </c>
      <c r="U891" s="52">
        <f>IFERROR(IF(AR892=AR891,INDEX('Aub Demand'!Q:Q,MATCH($O891,'Aub Demand'!$A:$A,0))-IF(AN891="",0,AN891)+AP892,INDEX('Aub Demand'!Q:Q,MATCH($O891,'Aub Demand'!$A:$A,0))-IF(AN891="",0,AN891)),"")</f>
        <v>1834</v>
      </c>
      <c r="V891" s="53" t="str">
        <f t="shared" si="366"/>
        <v>n/a</v>
      </c>
      <c r="W891" s="52" t="str">
        <f t="shared" si="367"/>
        <v/>
      </c>
      <c r="X891" s="52">
        <f>IFERROR(IF(AND(AR892=AR891,AM891&lt;&gt;""),INDEX('Aub Demand'!Q:Q,MATCH($O891,'Aub Demand'!$A:$A,0))-IF(AN891="",0,AN891)+AP892+AD891+AL891,IF(AR892=AR891,INDEX('Aub Demand'!Q:Q,MATCH($O891,'Aub Demand'!$A:$A,0))-IF(AN891="",0,AN891)+AP892+AD891,IF(AM891&lt;&gt;"",INDEX('Aub Demand'!Q:Q,MATCH($O891,'Aub Demand'!$A:$A,0))-IF(AN891="",0,AN891)+AD891+AL891,INDEX('Aub Demand'!Q:Q,MATCH($O891,'Aub Demand'!$A:$A,0))-IF(AN891="",0,AN891)+AD891))),"")</f>
        <v>1834</v>
      </c>
      <c r="Y891" s="53" t="str">
        <f t="shared" si="368"/>
        <v>n/a</v>
      </c>
      <c r="Z891" s="52">
        <f>IF(L891="","",INDEX('Aub Demand'!H:H,MATCH($O891,'Aub Demand'!$A:$A,0)))</f>
        <v>0</v>
      </c>
      <c r="AA891" s="52" t="str">
        <f t="shared" si="369"/>
        <v>-spike-</v>
      </c>
      <c r="AB891" s="52">
        <f>IFERROR(INDEX('Aub Demand'!L:L,MATCH($O891,'Aub Demand'!$A:$A,0)),"")</f>
        <v>0</v>
      </c>
      <c r="AC891" s="52">
        <f>IFERROR(IF(O891="","",SUMIFS('CPL Mats'!F:F,'CPL Mats'!Q:Q,AR891,'CPL Mats'!S:S,AS891)),"")</f>
        <v>0</v>
      </c>
      <c r="AF891" s="25" t="str">
        <f>IF(SUMIFS('Supp Consol'!S:S,'Supp Consol'!Y:Y,"Releasable",'Supp Consol'!A:A,O891)=0,"",SUMIFS('Supp Consol'!S:S,'Supp Consol'!Y:Y,"Releasable",'Supp Consol'!A:A,O891))</f>
        <v/>
      </c>
      <c r="AG891" s="25" t="str">
        <f>IFERROR(INDEX('Hun Demand'!Q:Q,MATCH(O891,'Hun Demand'!A:A,0)),"")</f>
        <v/>
      </c>
      <c r="AH891" s="25" t="str">
        <f>IFERROR(INDEX('Hun Demand'!H:H,MATCH($O891,'Hun Demand'!$A:$A,0)),"")</f>
        <v/>
      </c>
      <c r="AI891" s="25" t="str">
        <f>IF(SUMIFS('Supp Consol'!AA:AA,'Supp Consol'!Z:Z,"Expires this month",'Supp Consol'!A:A,O891)=0,"",SUMIFS('Supp Consol'!AA:AA,'Supp Consol'!Z:Z,"Expires this month",'Supp Consol'!A:A,O891))</f>
        <v/>
      </c>
      <c r="AJ891" s="25" t="str">
        <f>IF(SUMIFS('Supp Consol'!AA:AA,'Supp Consol'!Z:Z,"Expired Previous Months",'Supp Consol'!A:A,O891)=0,"",SUMIFS('Supp Consol'!AA:AA,'Supp Consol'!Z:Z,"Expired Previous Months",'Supp Consol'!A:A,O891))</f>
        <v/>
      </c>
      <c r="AK891" s="25" t="str">
        <f>IFERROR(INDEX('Hun Release Current'!B:B,MATCH(O891,'Hun Release Current'!A:A,0)),"")</f>
        <v/>
      </c>
      <c r="AL891" s="25" t="str">
        <f>IF(SUMIF('Prev Aub'!A:A,O891,'Prev Aub'!B:B)=0,"",SUMIF('Prev Aub'!A:A,O891,'Prev Aub'!B:B))</f>
        <v/>
      </c>
      <c r="AN891" s="25" t="s">
        <v>3790</v>
      </c>
      <c r="AO891" s="25" t="s">
        <v>3790</v>
      </c>
      <c r="AP891" s="25">
        <f t="shared" si="370"/>
        <v>0</v>
      </c>
      <c r="AQ891" s="151" t="str">
        <f>IF(SUMIFS('Supp Consol'!S:S,'Supp Consol'!A:A,O891,'Supp Consol'!I:I,"PENDING")=0,"",SUMIFS('Supp Consol'!S:S,'Supp Consol'!A:A,O891,'Supp Consol'!I:I,"PENDING"))</f>
        <v/>
      </c>
      <c r="AR891" s="27" t="str">
        <f t="shared" si="371"/>
        <v>PR501</v>
      </c>
      <c r="AS891" s="27" t="str">
        <f t="shared" si="372"/>
        <v>62</v>
      </c>
      <c r="AT891" s="27" t="str">
        <f t="shared" si="373"/>
        <v/>
      </c>
      <c r="AU891" s="27" t="str">
        <f t="shared" si="374"/>
        <v/>
      </c>
      <c r="AV891" s="27" t="str">
        <f t="shared" si="375"/>
        <v/>
      </c>
      <c r="AW891" s="27" t="str">
        <f t="shared" si="376"/>
        <v/>
      </c>
      <c r="AX891" s="27" t="str">
        <f t="shared" si="377"/>
        <v/>
      </c>
      <c r="AY891" s="27" t="str">
        <f t="shared" si="378"/>
        <v/>
      </c>
      <c r="AZ891" s="27" t="str">
        <f t="shared" si="379"/>
        <v/>
      </c>
      <c r="BA891" s="27" t="str">
        <f t="shared" si="380"/>
        <v/>
      </c>
      <c r="BB891" s="27" t="str">
        <f t="shared" si="381"/>
        <v/>
      </c>
      <c r="BC891" s="27" t="str">
        <f t="shared" si="382"/>
        <v/>
      </c>
      <c r="BD891" s="27" t="str">
        <f t="shared" si="383"/>
        <v/>
      </c>
      <c r="BE891" s="27" t="str">
        <f t="shared" si="384"/>
        <v/>
      </c>
      <c r="BF891" s="27" t="str">
        <f t="shared" si="385"/>
        <v/>
      </c>
      <c r="BG891" s="27" t="str">
        <f t="shared" si="386"/>
        <v/>
      </c>
      <c r="BH891" s="27" t="str">
        <f t="shared" si="387"/>
        <v/>
      </c>
      <c r="BI891" s="27" t="str">
        <f t="shared" si="388"/>
        <v/>
      </c>
      <c r="BJ891" s="27" t="str">
        <f t="shared" si="389"/>
        <v/>
      </c>
      <c r="BK891" s="27" t="str">
        <f t="shared" si="390"/>
        <v/>
      </c>
      <c r="BL891" s="27" t="str">
        <f t="shared" si="391"/>
        <v/>
      </c>
      <c r="BM891" s="21" t="s">
        <v>3790</v>
      </c>
    </row>
    <row r="892" spans="1:65" ht="15">
      <c r="A892" s="25">
        <f>IFERROR(INDEX('Hun Demand'!W:W,MATCH(O892,'Hun Demand'!A:A,0)),"")</f>
        <v>0</v>
      </c>
      <c r="B892" s="25">
        <f>IFERROR(INDEX('Hun Demand'!V:V,MATCH(O892,'Hun Demand'!A:A,0)),"")</f>
        <v>0</v>
      </c>
      <c r="C892" s="25">
        <f>IFERROR(INDEX('Hun Demand'!U:U,MATCH(O892,'Hun Demand'!A:A,0)),"")</f>
        <v>0</v>
      </c>
      <c r="D892" s="25">
        <f>IFERROR(INDEX('Hun Demand'!T:T,MATCH(O892,'Hun Demand'!A:A,0)),"")</f>
        <v>0</v>
      </c>
      <c r="E892" s="25">
        <f>IFERROR(INDEX('Hun Demand'!S:S,MATCH(O892,'Hun Demand'!A:A,0)),"")</f>
        <v>0</v>
      </c>
      <c r="F892" s="25">
        <f>IFERROR(INDEX('Hun Demand'!R:R,MATCH(O892,'Hun Demand'!A:A,0)),"")</f>
        <v>0</v>
      </c>
      <c r="G892" s="25">
        <f>IFERROR(INDEX('Aub Demand'!W:W,MATCH(O892,'Aub Demand'!A:A,0)),"")</f>
        <v>0</v>
      </c>
      <c r="H892" s="25">
        <f>IFERROR(INDEX('Aub Demand'!V:V,MATCH(O892,'Aub Demand'!A:A,0)),"")</f>
        <v>0</v>
      </c>
      <c r="I892" s="25">
        <f>IFERROR(INDEX('Aub Demand'!U:U,MATCH(O892,'Aub Demand'!A:A,0)),"")</f>
        <v>0</v>
      </c>
      <c r="J892" s="25">
        <f>IFERROR(INDEX('Aub Demand'!T:T,MATCH(O892,'Aub Demand'!A:A,0)),"")</f>
        <v>0</v>
      </c>
      <c r="K892" s="25">
        <f>IFERROR(INDEX('Aub Demand'!S:S,MATCH(O892,'Aub Demand'!A:A,0)),"")</f>
        <v>0</v>
      </c>
      <c r="L892" s="25">
        <f>IFERROR(INDEX('Aub Demand'!R:R,MATCH(O892,'Aub Demand'!A:A,0)),"")</f>
        <v>0</v>
      </c>
      <c r="O892" s="27" t="s">
        <v>2459</v>
      </c>
      <c r="P892" s="27" t="str">
        <f>IFERROR(INDEX('Aub Demand'!B:B,MATCH($O892,'Aub Demand'!$A:$A,0)),"")</f>
        <v>SOLARE PIAZZA 60"</v>
      </c>
      <c r="Q892" s="27" t="str">
        <f>IFERROR(INDEX('Aub Demand'!C:C,MATCH($O892,'Aub Demand'!$A:$A,0)),"")</f>
        <v>TOPPA</v>
      </c>
      <c r="R892" s="52">
        <f>IFERROR(IF(AR893=AR892,INDEX('Aub Demand'!K:K,MATCH($O892,'Aub Demand'!$A:$A,0))-IF(AN892="",0,AN892)+AP893,INDEX('Aub Demand'!K:K,MATCH($O892,'Aub Demand'!$A:$A,0))-IF(AN892="",0,AN892)),"")</f>
        <v>600</v>
      </c>
      <c r="S892" s="53" t="str">
        <f t="shared" si="364"/>
        <v>n/a</v>
      </c>
      <c r="T892" s="52" t="str">
        <f t="shared" si="365"/>
        <v/>
      </c>
      <c r="U892" s="52">
        <f>IFERROR(IF(AR893=AR892,INDEX('Aub Demand'!Q:Q,MATCH($O892,'Aub Demand'!$A:$A,0))-IF(AN892="",0,AN892)+AP893,INDEX('Aub Demand'!Q:Q,MATCH($O892,'Aub Demand'!$A:$A,0))-IF(AN892="",0,AN892)),"")</f>
        <v>600</v>
      </c>
      <c r="V892" s="53" t="str">
        <f t="shared" si="366"/>
        <v>n/a</v>
      </c>
      <c r="W892" s="52" t="str">
        <f t="shared" si="367"/>
        <v/>
      </c>
      <c r="X892" s="52">
        <f>IFERROR(IF(AND(AR893=AR892,AM892&lt;&gt;""),INDEX('Aub Demand'!Q:Q,MATCH($O892,'Aub Demand'!$A:$A,0))-IF(AN892="",0,AN892)+AP893+AD892+AL892,IF(AR893=AR892,INDEX('Aub Demand'!Q:Q,MATCH($O892,'Aub Demand'!$A:$A,0))-IF(AN892="",0,AN892)+AP893+AD892,IF(AM892&lt;&gt;"",INDEX('Aub Demand'!Q:Q,MATCH($O892,'Aub Demand'!$A:$A,0))-IF(AN892="",0,AN892)+AD892+AL892,INDEX('Aub Demand'!Q:Q,MATCH($O892,'Aub Demand'!$A:$A,0))-IF(AN892="",0,AN892)+AD892))),"")</f>
        <v>600</v>
      </c>
      <c r="Y892" s="53" t="str">
        <f t="shared" si="368"/>
        <v>n/a</v>
      </c>
      <c r="Z892" s="52">
        <f>IF(L892="","",INDEX('Aub Demand'!H:H,MATCH($O892,'Aub Demand'!$A:$A,0)))</f>
        <v>0</v>
      </c>
      <c r="AA892" s="52" t="str">
        <f t="shared" si="369"/>
        <v>-spike-</v>
      </c>
      <c r="AB892" s="52">
        <f>IFERROR(INDEX('Aub Demand'!L:L,MATCH($O892,'Aub Demand'!$A:$A,0)),"")</f>
        <v>0</v>
      </c>
      <c r="AC892" s="52">
        <f>IFERROR(IF(O892="","",SUMIFS('CPL Mats'!F:F,'CPL Mats'!Q:Q,AR892,'CPL Mats'!S:S,AS892)),"")</f>
        <v>0</v>
      </c>
      <c r="AF892" s="25" t="str">
        <f>IF(SUMIFS('Supp Consol'!S:S,'Supp Consol'!Y:Y,"Releasable",'Supp Consol'!A:A,O892)=0,"",SUMIFS('Supp Consol'!S:S,'Supp Consol'!Y:Y,"Releasable",'Supp Consol'!A:A,O892))</f>
        <v/>
      </c>
      <c r="AG892" s="25">
        <f>IFERROR(INDEX('Hun Demand'!Q:Q,MATCH(O892,'Hun Demand'!A:A,0)),"")</f>
        <v>350</v>
      </c>
      <c r="AH892" s="25">
        <f>IFERROR(INDEX('Hun Demand'!H:H,MATCH($O892,'Hun Demand'!$A:$A,0)),"")</f>
        <v>0</v>
      </c>
      <c r="AI892" s="25" t="str">
        <f>IF(SUMIFS('Supp Consol'!AA:AA,'Supp Consol'!Z:Z,"Expires this month",'Supp Consol'!A:A,O892)=0,"",SUMIFS('Supp Consol'!AA:AA,'Supp Consol'!Z:Z,"Expires this month",'Supp Consol'!A:A,O892))</f>
        <v/>
      </c>
      <c r="AJ892" s="25" t="str">
        <f>IF(SUMIFS('Supp Consol'!AA:AA,'Supp Consol'!Z:Z,"Expired Previous Months",'Supp Consol'!A:A,O892)=0,"",SUMIFS('Supp Consol'!AA:AA,'Supp Consol'!Z:Z,"Expired Previous Months",'Supp Consol'!A:A,O892))</f>
        <v/>
      </c>
      <c r="AK892" s="25" t="str">
        <f>IFERROR(INDEX('Hun Release Current'!B:B,MATCH(O892,'Hun Release Current'!A:A,0)),"")</f>
        <v/>
      </c>
      <c r="AL892" s="25" t="str">
        <f>IF(SUMIF('Prev Aub'!A:A,O892,'Prev Aub'!B:B)=0,"",SUMIF('Prev Aub'!A:A,O892,'Prev Aub'!B:B))</f>
        <v/>
      </c>
      <c r="AN892" s="25" t="s">
        <v>3790</v>
      </c>
      <c r="AO892" s="25" t="s">
        <v>3790</v>
      </c>
      <c r="AP892" s="25">
        <f t="shared" si="370"/>
        <v>0</v>
      </c>
      <c r="AQ892" s="151" t="str">
        <f>IF(SUMIFS('Supp Consol'!S:S,'Supp Consol'!A:A,O892,'Supp Consol'!I:I,"PENDING")=0,"",SUMIFS('Supp Consol'!S:S,'Supp Consol'!A:A,O892,'Supp Consol'!I:I,"PENDING"))</f>
        <v/>
      </c>
      <c r="AR892" s="27" t="str">
        <f t="shared" si="371"/>
        <v>PZ401</v>
      </c>
      <c r="AS892" s="27" t="str">
        <f t="shared" si="372"/>
        <v>62</v>
      </c>
      <c r="AT892" s="27" t="str">
        <f t="shared" si="373"/>
        <v/>
      </c>
      <c r="AU892" s="27" t="str">
        <f t="shared" si="374"/>
        <v/>
      </c>
      <c r="AV892" s="27" t="str">
        <f t="shared" si="375"/>
        <v/>
      </c>
      <c r="AW892" s="27" t="str">
        <f t="shared" si="376"/>
        <v/>
      </c>
      <c r="AX892" s="27" t="str">
        <f t="shared" si="377"/>
        <v/>
      </c>
      <c r="AY892" s="27" t="str">
        <f t="shared" si="378"/>
        <v>PZ401</v>
      </c>
      <c r="AZ892" s="27" t="str">
        <f t="shared" si="379"/>
        <v/>
      </c>
      <c r="BA892" s="27" t="str">
        <f t="shared" si="380"/>
        <v>Hun</v>
      </c>
      <c r="BB892" s="27" t="str">
        <f t="shared" si="381"/>
        <v/>
      </c>
      <c r="BC892" s="27" t="str">
        <f t="shared" si="382"/>
        <v/>
      </c>
      <c r="BD892" s="27" t="str">
        <f t="shared" si="383"/>
        <v/>
      </c>
      <c r="BE892" s="27" t="str">
        <f t="shared" si="384"/>
        <v/>
      </c>
      <c r="BF892" s="27" t="str">
        <f t="shared" si="385"/>
        <v/>
      </c>
      <c r="BG892" s="27" t="str">
        <f t="shared" si="386"/>
        <v/>
      </c>
      <c r="BH892" s="27" t="str">
        <f t="shared" si="387"/>
        <v/>
      </c>
      <c r="BI892" s="27" t="str">
        <f t="shared" si="388"/>
        <v/>
      </c>
      <c r="BJ892" s="27" t="str">
        <f t="shared" si="389"/>
        <v>Supp or Hun</v>
      </c>
      <c r="BK892" s="27" t="str">
        <f t="shared" si="390"/>
        <v/>
      </c>
      <c r="BL892" s="27" t="str">
        <f t="shared" si="391"/>
        <v/>
      </c>
      <c r="BM892" s="21" t="s">
        <v>3790</v>
      </c>
    </row>
    <row r="893" spans="1:65" ht="15">
      <c r="A893" s="25" t="str">
        <f>IFERROR(INDEX('Hun Demand'!W:W,MATCH(O893,'Hun Demand'!A:A,0)),"")</f>
        <v/>
      </c>
      <c r="B893" s="25" t="str">
        <f>IFERROR(INDEX('Hun Demand'!V:V,MATCH(O893,'Hun Demand'!A:A,0)),"")</f>
        <v/>
      </c>
      <c r="C893" s="25" t="str">
        <f>IFERROR(INDEX('Hun Demand'!U:U,MATCH(O893,'Hun Demand'!A:A,0)),"")</f>
        <v/>
      </c>
      <c r="D893" s="25" t="str">
        <f>IFERROR(INDEX('Hun Demand'!T:T,MATCH(O893,'Hun Demand'!A:A,0)),"")</f>
        <v/>
      </c>
      <c r="E893" s="25" t="str">
        <f>IFERROR(INDEX('Hun Demand'!S:S,MATCH(O893,'Hun Demand'!A:A,0)),"")</f>
        <v/>
      </c>
      <c r="F893" s="25" t="str">
        <f>IFERROR(INDEX('Hun Demand'!R:R,MATCH(O893,'Hun Demand'!A:A,0)),"")</f>
        <v/>
      </c>
      <c r="G893" s="25">
        <f>IFERROR(INDEX('Aub Demand'!W:W,MATCH(O893,'Aub Demand'!A:A,0)),"")</f>
        <v>0</v>
      </c>
      <c r="H893" s="25">
        <f>IFERROR(INDEX('Aub Demand'!V:V,MATCH(O893,'Aub Demand'!A:A,0)),"")</f>
        <v>0</v>
      </c>
      <c r="I893" s="25">
        <f>IFERROR(INDEX('Aub Demand'!U:U,MATCH(O893,'Aub Demand'!A:A,0)),"")</f>
        <v>0</v>
      </c>
      <c r="J893" s="25">
        <f>IFERROR(INDEX('Aub Demand'!T:T,MATCH(O893,'Aub Demand'!A:A,0)),"")</f>
        <v>0</v>
      </c>
      <c r="K893" s="25">
        <f>IFERROR(INDEX('Aub Demand'!S:S,MATCH(O893,'Aub Demand'!A:A,0)),"")</f>
        <v>0</v>
      </c>
      <c r="L893" s="25">
        <f>IFERROR(INDEX('Aub Demand'!R:R,MATCH(O893,'Aub Demand'!A:A,0)),"")</f>
        <v>0</v>
      </c>
      <c r="O893" s="27" t="s">
        <v>1296</v>
      </c>
      <c r="P893" s="27" t="str">
        <f>IFERROR(INDEX('Aub Demand'!B:B,MATCH($O893,'Aub Demand'!$A:$A,0)),"")</f>
        <v>DESERT RIO</v>
      </c>
      <c r="Q893" s="27" t="str">
        <f>IFERROR(INDEX('Aub Demand'!C:C,MATCH($O893,'Aub Demand'!$A:$A,0)),"")</f>
        <v>SUDDE</v>
      </c>
      <c r="R893" s="52">
        <f>IFERROR(IF(AR894=AR893,INDEX('Aub Demand'!K:K,MATCH($O893,'Aub Demand'!$A:$A,0))-IF(AN893="",0,AN893)+AP894,INDEX('Aub Demand'!K:K,MATCH($O893,'Aub Demand'!$A:$A,0))-IF(AN893="",0,AN893)),"")</f>
        <v>2144</v>
      </c>
      <c r="S893" s="53" t="str">
        <f t="shared" si="364"/>
        <v>n/a</v>
      </c>
      <c r="T893" s="52" t="str">
        <f t="shared" si="365"/>
        <v/>
      </c>
      <c r="U893" s="52">
        <f>IFERROR(IF(AR894=AR893,INDEX('Aub Demand'!Q:Q,MATCH($O893,'Aub Demand'!$A:$A,0))-IF(AN893="",0,AN893)+AP894,INDEX('Aub Demand'!Q:Q,MATCH($O893,'Aub Demand'!$A:$A,0))-IF(AN893="",0,AN893)),"")</f>
        <v>2144</v>
      </c>
      <c r="V893" s="53" t="str">
        <f t="shared" si="366"/>
        <v>n/a</v>
      </c>
      <c r="W893" s="52" t="str">
        <f t="shared" si="367"/>
        <v/>
      </c>
      <c r="X893" s="52">
        <f>IFERROR(IF(AND(AR894=AR893,AM893&lt;&gt;""),INDEX('Aub Demand'!Q:Q,MATCH($O893,'Aub Demand'!$A:$A,0))-IF(AN893="",0,AN893)+AP894+AD893+AL893,IF(AR894=AR893,INDEX('Aub Demand'!Q:Q,MATCH($O893,'Aub Demand'!$A:$A,0))-IF(AN893="",0,AN893)+AP894+AD893,IF(AM893&lt;&gt;"",INDEX('Aub Demand'!Q:Q,MATCH($O893,'Aub Demand'!$A:$A,0))-IF(AN893="",0,AN893)+AD893+AL893,INDEX('Aub Demand'!Q:Q,MATCH($O893,'Aub Demand'!$A:$A,0))-IF(AN893="",0,AN893)+AD893))),"")</f>
        <v>2144</v>
      </c>
      <c r="Y893" s="53" t="str">
        <f t="shared" si="368"/>
        <v>n/a</v>
      </c>
      <c r="Z893" s="52">
        <f>IF(L893="","",INDEX('Aub Demand'!H:H,MATCH($O893,'Aub Demand'!$A:$A,0)))</f>
        <v>0</v>
      </c>
      <c r="AA893" s="52" t="str">
        <f t="shared" si="369"/>
        <v>-spike-</v>
      </c>
      <c r="AB893" s="52">
        <f>IFERROR(INDEX('Aub Demand'!L:L,MATCH($O893,'Aub Demand'!$A:$A,0)),"")</f>
        <v>0</v>
      </c>
      <c r="AC893" s="52">
        <f>IFERROR(IF(O893="","",SUMIFS('CPL Mats'!F:F,'CPL Mats'!Q:Q,AR893,'CPL Mats'!S:S,AS893)),"")</f>
        <v>0</v>
      </c>
      <c r="AF893" s="25" t="str">
        <f>IF(SUMIFS('Supp Consol'!S:S,'Supp Consol'!Y:Y,"Releasable",'Supp Consol'!A:A,O893)=0,"",SUMIFS('Supp Consol'!S:S,'Supp Consol'!Y:Y,"Releasable",'Supp Consol'!A:A,O893))</f>
        <v/>
      </c>
      <c r="AG893" s="25" t="str">
        <f>IFERROR(INDEX('Hun Demand'!Q:Q,MATCH(O893,'Hun Demand'!A:A,0)),"")</f>
        <v/>
      </c>
      <c r="AH893" s="25" t="str">
        <f>IFERROR(INDEX('Hun Demand'!H:H,MATCH($O893,'Hun Demand'!$A:$A,0)),"")</f>
        <v/>
      </c>
      <c r="AI893" s="25" t="str">
        <f>IF(SUMIFS('Supp Consol'!AA:AA,'Supp Consol'!Z:Z,"Expires this month",'Supp Consol'!A:A,O893)=0,"",SUMIFS('Supp Consol'!AA:AA,'Supp Consol'!Z:Z,"Expires this month",'Supp Consol'!A:A,O893))</f>
        <v/>
      </c>
      <c r="AJ893" s="25" t="str">
        <f>IF(SUMIFS('Supp Consol'!AA:AA,'Supp Consol'!Z:Z,"Expired Previous Months",'Supp Consol'!A:A,O893)=0,"",SUMIFS('Supp Consol'!AA:AA,'Supp Consol'!Z:Z,"Expired Previous Months",'Supp Consol'!A:A,O893))</f>
        <v/>
      </c>
      <c r="AK893" s="25" t="str">
        <f>IFERROR(INDEX('Hun Release Current'!B:B,MATCH(O893,'Hun Release Current'!A:A,0)),"")</f>
        <v/>
      </c>
      <c r="AL893" s="25" t="str">
        <f>IF(SUMIF('Prev Aub'!A:A,O893,'Prev Aub'!B:B)=0,"",SUMIF('Prev Aub'!A:A,O893,'Prev Aub'!B:B))</f>
        <v/>
      </c>
      <c r="AN893" s="25" t="s">
        <v>3790</v>
      </c>
      <c r="AO893" s="25" t="s">
        <v>3790</v>
      </c>
      <c r="AP893" s="25">
        <f t="shared" si="370"/>
        <v>0</v>
      </c>
      <c r="AQ893" s="151" t="str">
        <f>IF(SUMIFS('Supp Consol'!S:S,'Supp Consol'!A:A,O893,'Supp Consol'!I:I,"PENDING")=0,"",SUMIFS('Supp Consol'!S:S,'Supp Consol'!A:A,O893,'Supp Consol'!I:I,"PENDING"))</f>
        <v/>
      </c>
      <c r="AR893" s="27" t="str">
        <f t="shared" si="371"/>
        <v>QP111</v>
      </c>
      <c r="AS893" s="27" t="str">
        <f t="shared" si="372"/>
        <v>62</v>
      </c>
      <c r="AT893" s="27" t="str">
        <f t="shared" si="373"/>
        <v/>
      </c>
      <c r="AU893" s="27" t="str">
        <f t="shared" si="374"/>
        <v/>
      </c>
      <c r="AV893" s="27" t="str">
        <f t="shared" si="375"/>
        <v/>
      </c>
      <c r="AW893" s="27" t="str">
        <f t="shared" si="376"/>
        <v/>
      </c>
      <c r="AX893" s="27" t="str">
        <f t="shared" si="377"/>
        <v/>
      </c>
      <c r="AY893" s="27" t="str">
        <f t="shared" si="378"/>
        <v/>
      </c>
      <c r="AZ893" s="27" t="str">
        <f t="shared" si="379"/>
        <v/>
      </c>
      <c r="BA893" s="27" t="str">
        <f t="shared" si="380"/>
        <v/>
      </c>
      <c r="BB893" s="27" t="str">
        <f t="shared" si="381"/>
        <v/>
      </c>
      <c r="BC893" s="27" t="str">
        <f t="shared" si="382"/>
        <v/>
      </c>
      <c r="BD893" s="27" t="str">
        <f t="shared" si="383"/>
        <v/>
      </c>
      <c r="BE893" s="27" t="str">
        <f t="shared" si="384"/>
        <v/>
      </c>
      <c r="BF893" s="27" t="str">
        <f t="shared" si="385"/>
        <v/>
      </c>
      <c r="BG893" s="27" t="str">
        <f t="shared" si="386"/>
        <v/>
      </c>
      <c r="BH893" s="27" t="str">
        <f t="shared" si="387"/>
        <v/>
      </c>
      <c r="BI893" s="27" t="str">
        <f t="shared" si="388"/>
        <v/>
      </c>
      <c r="BJ893" s="27" t="str">
        <f t="shared" si="389"/>
        <v/>
      </c>
      <c r="BK893" s="27" t="str">
        <f t="shared" si="390"/>
        <v/>
      </c>
      <c r="BL893" s="27" t="str">
        <f t="shared" si="391"/>
        <v/>
      </c>
      <c r="BM893" s="21" t="s">
        <v>3790</v>
      </c>
    </row>
    <row r="894" spans="1:65" ht="15">
      <c r="A894" s="25" t="str">
        <f>IFERROR(INDEX('Hun Demand'!W:W,MATCH(O894,'Hun Demand'!A:A,0)),"")</f>
        <v/>
      </c>
      <c r="B894" s="25" t="str">
        <f>IFERROR(INDEX('Hun Demand'!V:V,MATCH(O894,'Hun Demand'!A:A,0)),"")</f>
        <v/>
      </c>
      <c r="C894" s="25" t="str">
        <f>IFERROR(INDEX('Hun Demand'!U:U,MATCH(O894,'Hun Demand'!A:A,0)),"")</f>
        <v/>
      </c>
      <c r="D894" s="25" t="str">
        <f>IFERROR(INDEX('Hun Demand'!T:T,MATCH(O894,'Hun Demand'!A:A,0)),"")</f>
        <v/>
      </c>
      <c r="E894" s="25" t="str">
        <f>IFERROR(INDEX('Hun Demand'!S:S,MATCH(O894,'Hun Demand'!A:A,0)),"")</f>
        <v/>
      </c>
      <c r="F894" s="25" t="str">
        <f>IFERROR(INDEX('Hun Demand'!R:R,MATCH(O894,'Hun Demand'!A:A,0)),"")</f>
        <v/>
      </c>
      <c r="G894" s="25">
        <f>IFERROR(INDEX('Aub Demand'!W:W,MATCH(O894,'Aub Demand'!A:A,0)),"")</f>
        <v>0</v>
      </c>
      <c r="H894" s="25">
        <f>IFERROR(INDEX('Aub Demand'!V:V,MATCH(O894,'Aub Demand'!A:A,0)),"")</f>
        <v>0</v>
      </c>
      <c r="I894" s="25">
        <f>IFERROR(INDEX('Aub Demand'!U:U,MATCH(O894,'Aub Demand'!A:A,0)),"")</f>
        <v>0</v>
      </c>
      <c r="J894" s="25">
        <f>IFERROR(INDEX('Aub Demand'!T:T,MATCH(O894,'Aub Demand'!A:A,0)),"")</f>
        <v>0</v>
      </c>
      <c r="K894" s="25">
        <f>IFERROR(INDEX('Aub Demand'!S:S,MATCH(O894,'Aub Demand'!A:A,0)),"")</f>
        <v>0</v>
      </c>
      <c r="L894" s="25">
        <f>IFERROR(INDEX('Aub Demand'!R:R,MATCH(O894,'Aub Demand'!A:A,0)),"")</f>
        <v>0</v>
      </c>
      <c r="O894" s="27" t="s">
        <v>1298</v>
      </c>
      <c r="P894" s="27" t="str">
        <f>IFERROR(INDEX('Aub Demand'!B:B,MATCH($O894,'Aub Demand'!$A:$A,0)),"")</f>
        <v>WHITE GLASS (7628) C</v>
      </c>
      <c r="Q894" s="27" t="str">
        <f>IFERROR(INDEX('Aub Demand'!C:C,MATCH($O894,'Aub Demand'!$A:$A,0)),"")</f>
        <v>HEXCE</v>
      </c>
      <c r="R894" s="52">
        <f>IFERROR(IF(AR895=AR894,INDEX('Aub Demand'!K:K,MATCH($O894,'Aub Demand'!$A:$A,0))-IF(AN894="",0,AN894)+AP895,INDEX('Aub Demand'!K:K,MATCH($O894,'Aub Demand'!$A:$A,0))-IF(AN894="",0,AN894)),"")</f>
        <v>0</v>
      </c>
      <c r="S894" s="53" t="str">
        <f t="shared" si="364"/>
        <v>n/a</v>
      </c>
      <c r="T894" s="52" t="str">
        <f t="shared" si="365"/>
        <v/>
      </c>
      <c r="U894" s="52">
        <f>IFERROR(IF(AR895=AR894,INDEX('Aub Demand'!Q:Q,MATCH($O894,'Aub Demand'!$A:$A,0))-IF(AN894="",0,AN894)+AP895,INDEX('Aub Demand'!Q:Q,MATCH($O894,'Aub Demand'!$A:$A,0))-IF(AN894="",0,AN894)),"")</f>
        <v>0</v>
      </c>
      <c r="V894" s="53" t="str">
        <f t="shared" si="366"/>
        <v>n/a</v>
      </c>
      <c r="W894" s="52" t="str">
        <f t="shared" si="367"/>
        <v/>
      </c>
      <c r="X894" s="52">
        <f>IFERROR(IF(AND(AR895=AR894,AM894&lt;&gt;""),INDEX('Aub Demand'!Q:Q,MATCH($O894,'Aub Demand'!$A:$A,0))-IF(AN894="",0,AN894)+AP895+AD894+AL894,IF(AR895=AR894,INDEX('Aub Demand'!Q:Q,MATCH($O894,'Aub Demand'!$A:$A,0))-IF(AN894="",0,AN894)+AP895+AD894,IF(AM894&lt;&gt;"",INDEX('Aub Demand'!Q:Q,MATCH($O894,'Aub Demand'!$A:$A,0))-IF(AN894="",0,AN894)+AD894+AL894,INDEX('Aub Demand'!Q:Q,MATCH($O894,'Aub Demand'!$A:$A,0))-IF(AN894="",0,AN894)+AD894))),"")</f>
        <v>0</v>
      </c>
      <c r="Y894" s="53" t="str">
        <f t="shared" si="368"/>
        <v>n/a</v>
      </c>
      <c r="Z894" s="52">
        <f>IF(L894="","",INDEX('Aub Demand'!H:H,MATCH($O894,'Aub Demand'!$A:$A,0)))</f>
        <v>0</v>
      </c>
      <c r="AA894" s="52" t="str">
        <f t="shared" si="369"/>
        <v>-spike-</v>
      </c>
      <c r="AB894" s="52">
        <f>IFERROR(INDEX('Aub Demand'!L:L,MATCH($O894,'Aub Demand'!$A:$A,0)),"")</f>
        <v>0</v>
      </c>
      <c r="AC894" s="52">
        <f>IFERROR(IF(O894="","",SUMIFS('CPL Mats'!F:F,'CPL Mats'!Q:Q,AR894,'CPL Mats'!S:S,AS894)),"")</f>
        <v>0</v>
      </c>
      <c r="AF894" s="25" t="str">
        <f>IF(SUMIFS('Supp Consol'!S:S,'Supp Consol'!Y:Y,"Releasable",'Supp Consol'!A:A,O894)=0,"",SUMIFS('Supp Consol'!S:S,'Supp Consol'!Y:Y,"Releasable",'Supp Consol'!A:A,O894))</f>
        <v/>
      </c>
      <c r="AG894" s="25" t="str">
        <f>IFERROR(INDEX('Hun Demand'!Q:Q,MATCH(O894,'Hun Demand'!A:A,0)),"")</f>
        <v/>
      </c>
      <c r="AH894" s="25" t="str">
        <f>IFERROR(INDEX('Hun Demand'!H:H,MATCH($O894,'Hun Demand'!$A:$A,0)),"")</f>
        <v/>
      </c>
      <c r="AI894" s="25" t="str">
        <f>IF(SUMIFS('Supp Consol'!AA:AA,'Supp Consol'!Z:Z,"Expires this month",'Supp Consol'!A:A,O894)=0,"",SUMIFS('Supp Consol'!AA:AA,'Supp Consol'!Z:Z,"Expires this month",'Supp Consol'!A:A,O894))</f>
        <v/>
      </c>
      <c r="AJ894" s="25" t="str">
        <f>IF(SUMIFS('Supp Consol'!AA:AA,'Supp Consol'!Z:Z,"Expired Previous Months",'Supp Consol'!A:A,O894)=0,"",SUMIFS('Supp Consol'!AA:AA,'Supp Consol'!Z:Z,"Expired Previous Months",'Supp Consol'!A:A,O894))</f>
        <v/>
      </c>
      <c r="AK894" s="25" t="str">
        <f>IFERROR(INDEX('Hun Release Current'!B:B,MATCH(O894,'Hun Release Current'!A:A,0)),"")</f>
        <v/>
      </c>
      <c r="AL894" s="25" t="str">
        <f>IF(SUMIF('Prev Aub'!A:A,O894,'Prev Aub'!B:B)=0,"",SUMIF('Prev Aub'!A:A,O894,'Prev Aub'!B:B))</f>
        <v/>
      </c>
      <c r="AN894" s="25" t="s">
        <v>3790</v>
      </c>
      <c r="AO894" s="25" t="s">
        <v>3790</v>
      </c>
      <c r="AP894" s="25">
        <f t="shared" si="370"/>
        <v>0</v>
      </c>
      <c r="AQ894" s="151" t="str">
        <f>IF(SUMIFS('Supp Consol'!S:S,'Supp Consol'!A:A,O894,'Supp Consol'!I:I,"PENDING")=0,"",SUMIFS('Supp Consol'!S:S,'Supp Consol'!A:A,O894,'Supp Consol'!I:I,"PENDING"))</f>
        <v/>
      </c>
      <c r="AR894" s="27" t="str">
        <f t="shared" si="371"/>
        <v>QU663</v>
      </c>
      <c r="AS894" s="27" t="str">
        <f t="shared" si="372"/>
        <v>38</v>
      </c>
      <c r="AT894" s="27" t="str">
        <f t="shared" si="373"/>
        <v/>
      </c>
      <c r="AU894" s="27" t="str">
        <f t="shared" si="374"/>
        <v/>
      </c>
      <c r="AV894" s="27" t="str">
        <f t="shared" si="375"/>
        <v/>
      </c>
      <c r="AW894" s="27" t="str">
        <f t="shared" si="376"/>
        <v/>
      </c>
      <c r="AX894" s="27" t="str">
        <f t="shared" si="377"/>
        <v/>
      </c>
      <c r="AY894" s="27" t="str">
        <f t="shared" si="378"/>
        <v/>
      </c>
      <c r="AZ894" s="27" t="str">
        <f t="shared" si="379"/>
        <v/>
      </c>
      <c r="BA894" s="27" t="str">
        <f t="shared" si="380"/>
        <v/>
      </c>
      <c r="BB894" s="27" t="str">
        <f t="shared" si="381"/>
        <v/>
      </c>
      <c r="BC894" s="27" t="str">
        <f t="shared" si="382"/>
        <v/>
      </c>
      <c r="BD894" s="27" t="str">
        <f t="shared" si="383"/>
        <v/>
      </c>
      <c r="BE894" s="27" t="str">
        <f t="shared" si="384"/>
        <v/>
      </c>
      <c r="BF894" s="27" t="str">
        <f t="shared" si="385"/>
        <v/>
      </c>
      <c r="BG894" s="27" t="str">
        <f t="shared" si="386"/>
        <v/>
      </c>
      <c r="BH894" s="27" t="str">
        <f t="shared" si="387"/>
        <v/>
      </c>
      <c r="BI894" s="27" t="str">
        <f t="shared" si="388"/>
        <v/>
      </c>
      <c r="BJ894" s="27" t="str">
        <f t="shared" si="389"/>
        <v/>
      </c>
      <c r="BK894" s="27" t="str">
        <f t="shared" si="390"/>
        <v/>
      </c>
      <c r="BL894" s="27" t="str">
        <f t="shared" si="391"/>
        <v/>
      </c>
      <c r="BM894" s="21" t="s">
        <v>3790</v>
      </c>
    </row>
    <row r="895" spans="1:65" ht="15">
      <c r="A895" s="25" t="str">
        <f>IFERROR(INDEX('Hun Demand'!W:W,MATCH(O895,'Hun Demand'!A:A,0)),"")</f>
        <v/>
      </c>
      <c r="B895" s="25" t="str">
        <f>IFERROR(INDEX('Hun Demand'!V:V,MATCH(O895,'Hun Demand'!A:A,0)),"")</f>
        <v/>
      </c>
      <c r="C895" s="25" t="str">
        <f>IFERROR(INDEX('Hun Demand'!U:U,MATCH(O895,'Hun Demand'!A:A,0)),"")</f>
        <v/>
      </c>
      <c r="D895" s="25" t="str">
        <f>IFERROR(INDEX('Hun Demand'!T:T,MATCH(O895,'Hun Demand'!A:A,0)),"")</f>
        <v/>
      </c>
      <c r="E895" s="25" t="str">
        <f>IFERROR(INDEX('Hun Demand'!S:S,MATCH(O895,'Hun Demand'!A:A,0)),"")</f>
        <v/>
      </c>
      <c r="F895" s="25" t="str">
        <f>IFERROR(INDEX('Hun Demand'!R:R,MATCH(O895,'Hun Demand'!A:A,0)),"")</f>
        <v/>
      </c>
      <c r="G895" s="25">
        <f>IFERROR(INDEX('Aub Demand'!W:W,MATCH(O895,'Aub Demand'!A:A,0)),"")</f>
        <v>0</v>
      </c>
      <c r="H895" s="25">
        <f>IFERROR(INDEX('Aub Demand'!V:V,MATCH(O895,'Aub Demand'!A:A,0)),"")</f>
        <v>0</v>
      </c>
      <c r="I895" s="25">
        <f>IFERROR(INDEX('Aub Demand'!U:U,MATCH(O895,'Aub Demand'!A:A,0)),"")</f>
        <v>0</v>
      </c>
      <c r="J895" s="25">
        <f>IFERROR(INDEX('Aub Demand'!T:T,MATCH(O895,'Aub Demand'!A:A,0)),"")</f>
        <v>0</v>
      </c>
      <c r="K895" s="25">
        <f>IFERROR(INDEX('Aub Demand'!S:S,MATCH(O895,'Aub Demand'!A:A,0)),"")</f>
        <v>0</v>
      </c>
      <c r="L895" s="25">
        <f>IFERROR(INDEX('Aub Demand'!R:R,MATCH(O895,'Aub Demand'!A:A,0)),"")</f>
        <v>0</v>
      </c>
      <c r="O895" s="27" t="s">
        <v>1302</v>
      </c>
      <c r="P895" s="27" t="str">
        <f>IFERROR(INDEX('Aub Demand'!B:B,MATCH($O895,'Aub Demand'!$A:$A,0)),"")</f>
        <v>147# KRAFT TRIAL (IP</v>
      </c>
      <c r="Q895" s="27" t="str">
        <f>IFERROR(INDEX('Aub Demand'!C:C,MATCH($O895,'Aub Demand'!$A:$A,0)),"")</f>
        <v>INTER</v>
      </c>
      <c r="R895" s="52">
        <f>IFERROR(IF(AR896=AR895,INDEX('Aub Demand'!K:K,MATCH($O895,'Aub Demand'!$A:$A,0))-IF(AN895="",0,AN895)+AP896,INDEX('Aub Demand'!K:K,MATCH($O895,'Aub Demand'!$A:$A,0))-IF(AN895="",0,AN895)),"")</f>
        <v>17746</v>
      </c>
      <c r="S895" s="53" t="str">
        <f t="shared" si="364"/>
        <v>n/a</v>
      </c>
      <c r="T895" s="52" t="str">
        <f t="shared" si="365"/>
        <v/>
      </c>
      <c r="U895" s="52">
        <f>IFERROR(IF(AR896=AR895,INDEX('Aub Demand'!Q:Q,MATCH($O895,'Aub Demand'!$A:$A,0))-IF(AN895="",0,AN895)+AP896,INDEX('Aub Demand'!Q:Q,MATCH($O895,'Aub Demand'!$A:$A,0))-IF(AN895="",0,AN895)),"")</f>
        <v>17746</v>
      </c>
      <c r="V895" s="53" t="str">
        <f t="shared" si="366"/>
        <v>n/a</v>
      </c>
      <c r="W895" s="52" t="str">
        <f t="shared" si="367"/>
        <v/>
      </c>
      <c r="X895" s="52">
        <f>IFERROR(IF(AND(AR896=AR895,AM895&lt;&gt;""),INDEX('Aub Demand'!Q:Q,MATCH($O895,'Aub Demand'!$A:$A,0))-IF(AN895="",0,AN895)+AP896+AD895+AL895,IF(AR896=AR895,INDEX('Aub Demand'!Q:Q,MATCH($O895,'Aub Demand'!$A:$A,0))-IF(AN895="",0,AN895)+AP896+AD895,IF(AM895&lt;&gt;"",INDEX('Aub Demand'!Q:Q,MATCH($O895,'Aub Demand'!$A:$A,0))-IF(AN895="",0,AN895)+AD895+AL895,INDEX('Aub Demand'!Q:Q,MATCH($O895,'Aub Demand'!$A:$A,0))-IF(AN895="",0,AN895)+AD895))),"")</f>
        <v>17746</v>
      </c>
      <c r="Y895" s="53" t="str">
        <f t="shared" si="368"/>
        <v>n/a</v>
      </c>
      <c r="Z895" s="52">
        <f>IF(L895="","",INDEX('Aub Demand'!H:H,MATCH($O895,'Aub Demand'!$A:$A,0)))</f>
        <v>0</v>
      </c>
      <c r="AA895" s="52" t="str">
        <f t="shared" si="369"/>
        <v>-spike-</v>
      </c>
      <c r="AB895" s="52">
        <f>IFERROR(INDEX('Aub Demand'!L:L,MATCH($O895,'Aub Demand'!$A:$A,0)),"")</f>
        <v>0</v>
      </c>
      <c r="AC895" s="52">
        <f>IFERROR(IF(O895="","",SUMIFS('CPL Mats'!F:F,'CPL Mats'!Q:Q,AR895,'CPL Mats'!S:S,AS895)),"")</f>
        <v>0</v>
      </c>
      <c r="AF895" s="25" t="str">
        <f>IF(SUMIFS('Supp Consol'!S:S,'Supp Consol'!Y:Y,"Releasable",'Supp Consol'!A:A,O895)=0,"",SUMIFS('Supp Consol'!S:S,'Supp Consol'!Y:Y,"Releasable",'Supp Consol'!A:A,O895))</f>
        <v/>
      </c>
      <c r="AG895" s="25" t="str">
        <f>IFERROR(INDEX('Hun Demand'!Q:Q,MATCH(O895,'Hun Demand'!A:A,0)),"")</f>
        <v/>
      </c>
      <c r="AH895" s="25" t="str">
        <f>IFERROR(INDEX('Hun Demand'!H:H,MATCH($O895,'Hun Demand'!$A:$A,0)),"")</f>
        <v/>
      </c>
      <c r="AI895" s="25" t="str">
        <f>IF(SUMIFS('Supp Consol'!AA:AA,'Supp Consol'!Z:Z,"Expires this month",'Supp Consol'!A:A,O895)=0,"",SUMIFS('Supp Consol'!AA:AA,'Supp Consol'!Z:Z,"Expires this month",'Supp Consol'!A:A,O895))</f>
        <v/>
      </c>
      <c r="AJ895" s="25" t="str">
        <f>IF(SUMIFS('Supp Consol'!AA:AA,'Supp Consol'!Z:Z,"Expired Previous Months",'Supp Consol'!A:A,O895)=0,"",SUMIFS('Supp Consol'!AA:AA,'Supp Consol'!Z:Z,"Expired Previous Months",'Supp Consol'!A:A,O895))</f>
        <v/>
      </c>
      <c r="AK895" s="25" t="str">
        <f>IFERROR(INDEX('Hun Release Current'!B:B,MATCH(O895,'Hun Release Current'!A:A,0)),"")</f>
        <v/>
      </c>
      <c r="AL895" s="25" t="str">
        <f>IF(SUMIF('Prev Aub'!A:A,O895,'Prev Aub'!B:B)=0,"",SUMIF('Prev Aub'!A:A,O895,'Prev Aub'!B:B))</f>
        <v/>
      </c>
      <c r="AN895" s="25" t="s">
        <v>3790</v>
      </c>
      <c r="AO895" s="25" t="s">
        <v>3790</v>
      </c>
      <c r="AP895" s="25">
        <f t="shared" si="370"/>
        <v>0</v>
      </c>
      <c r="AQ895" s="151" t="str">
        <f>IF(SUMIFS('Supp Consol'!S:S,'Supp Consol'!A:A,O895,'Supp Consol'!I:I,"PENDING")=0,"",SUMIFS('Supp Consol'!S:S,'Supp Consol'!A:A,O895,'Supp Consol'!I:I,"PENDING"))</f>
        <v/>
      </c>
      <c r="AR895" s="27" t="str">
        <f t="shared" si="371"/>
        <v>QU906</v>
      </c>
      <c r="AS895" s="27" t="str">
        <f t="shared" si="372"/>
        <v>62</v>
      </c>
      <c r="AT895" s="27" t="str">
        <f t="shared" si="373"/>
        <v/>
      </c>
      <c r="AU895" s="27" t="str">
        <f t="shared" si="374"/>
        <v/>
      </c>
      <c r="AV895" s="27" t="str">
        <f t="shared" si="375"/>
        <v/>
      </c>
      <c r="AW895" s="27" t="str">
        <f t="shared" si="376"/>
        <v/>
      </c>
      <c r="AX895" s="27" t="str">
        <f t="shared" si="377"/>
        <v/>
      </c>
      <c r="AY895" s="27" t="str">
        <f t="shared" si="378"/>
        <v/>
      </c>
      <c r="AZ895" s="27" t="str">
        <f t="shared" si="379"/>
        <v/>
      </c>
      <c r="BA895" s="27" t="str">
        <f t="shared" si="380"/>
        <v/>
      </c>
      <c r="BB895" s="27" t="str">
        <f t="shared" si="381"/>
        <v/>
      </c>
      <c r="BC895" s="27" t="str">
        <f t="shared" si="382"/>
        <v/>
      </c>
      <c r="BD895" s="27" t="str">
        <f t="shared" si="383"/>
        <v/>
      </c>
      <c r="BE895" s="27" t="str">
        <f t="shared" si="384"/>
        <v/>
      </c>
      <c r="BF895" s="27" t="str">
        <f t="shared" si="385"/>
        <v/>
      </c>
      <c r="BG895" s="27" t="str">
        <f t="shared" si="386"/>
        <v/>
      </c>
      <c r="BH895" s="27" t="str">
        <f t="shared" si="387"/>
        <v/>
      </c>
      <c r="BI895" s="27" t="str">
        <f t="shared" si="388"/>
        <v/>
      </c>
      <c r="BJ895" s="27" t="str">
        <f t="shared" si="389"/>
        <v/>
      </c>
      <c r="BK895" s="27" t="str">
        <f t="shared" si="390"/>
        <v/>
      </c>
      <c r="BL895" s="27" t="str">
        <f t="shared" si="391"/>
        <v/>
      </c>
      <c r="BM895" s="21" t="s">
        <v>3790</v>
      </c>
    </row>
    <row r="896" spans="1:65" ht="15">
      <c r="A896" s="25" t="str">
        <f>IFERROR(INDEX('Hun Demand'!W:W,MATCH(O896,'Hun Demand'!A:A,0)),"")</f>
        <v/>
      </c>
      <c r="B896" s="25" t="str">
        <f>IFERROR(INDEX('Hun Demand'!V:V,MATCH(O896,'Hun Demand'!A:A,0)),"")</f>
        <v/>
      </c>
      <c r="C896" s="25" t="str">
        <f>IFERROR(INDEX('Hun Demand'!U:U,MATCH(O896,'Hun Demand'!A:A,0)),"")</f>
        <v/>
      </c>
      <c r="D896" s="25" t="str">
        <f>IFERROR(INDEX('Hun Demand'!T:T,MATCH(O896,'Hun Demand'!A:A,0)),"")</f>
        <v/>
      </c>
      <c r="E896" s="25" t="str">
        <f>IFERROR(INDEX('Hun Demand'!S:S,MATCH(O896,'Hun Demand'!A:A,0)),"")</f>
        <v/>
      </c>
      <c r="F896" s="25" t="str">
        <f>IFERROR(INDEX('Hun Demand'!R:R,MATCH(O896,'Hun Demand'!A:A,0)),"")</f>
        <v/>
      </c>
      <c r="G896" s="25">
        <f>IFERROR(INDEX('Aub Demand'!W:W,MATCH(O896,'Aub Demand'!A:A,0)),"")</f>
        <v>0</v>
      </c>
      <c r="H896" s="25">
        <f>IFERROR(INDEX('Aub Demand'!V:V,MATCH(O896,'Aub Demand'!A:A,0)),"")</f>
        <v>0</v>
      </c>
      <c r="I896" s="25">
        <f>IFERROR(INDEX('Aub Demand'!U:U,MATCH(O896,'Aub Demand'!A:A,0)),"")</f>
        <v>0</v>
      </c>
      <c r="J896" s="25">
        <f>IFERROR(INDEX('Aub Demand'!T:T,MATCH(O896,'Aub Demand'!A:A,0)),"")</f>
        <v>0</v>
      </c>
      <c r="K896" s="25">
        <f>IFERROR(INDEX('Aub Demand'!S:S,MATCH(O896,'Aub Demand'!A:A,0)),"")</f>
        <v>0</v>
      </c>
      <c r="L896" s="25">
        <f>IFERROR(INDEX('Aub Demand'!R:R,MATCH(O896,'Aub Demand'!A:A,0)),"")</f>
        <v>0</v>
      </c>
      <c r="O896" s="27" t="s">
        <v>1304</v>
      </c>
      <c r="P896" s="27" t="str">
        <f>IFERROR(INDEX('Aub Demand'!B:B,MATCH($O896,'Aub Demand'!$A:$A,0)),"")</f>
        <v>DS19 RELEASE TRIAL</v>
      </c>
      <c r="Q896" s="27" t="str">
        <f>IFERROR(INDEX('Aub Demand'!C:C,MATCH($O896,'Aub Demand'!$A:$A,0)),"")</f>
        <v>NOVAC</v>
      </c>
      <c r="R896" s="52">
        <f>IFERROR(IF(AR897=AR896,INDEX('Aub Demand'!K:K,MATCH($O896,'Aub Demand'!$A:$A,0))-IF(AN896="",0,AN896)+AP897,INDEX('Aub Demand'!K:K,MATCH($O896,'Aub Demand'!$A:$A,0))-IF(AN896="",0,AN896)),"")</f>
        <v>111</v>
      </c>
      <c r="S896" s="53" t="str">
        <f t="shared" si="364"/>
        <v>n/a</v>
      </c>
      <c r="T896" s="52" t="str">
        <f t="shared" si="365"/>
        <v/>
      </c>
      <c r="U896" s="52">
        <f>IFERROR(IF(AR897=AR896,INDEX('Aub Demand'!Q:Q,MATCH($O896,'Aub Demand'!$A:$A,0))-IF(AN896="",0,AN896)+AP897,INDEX('Aub Demand'!Q:Q,MATCH($O896,'Aub Demand'!$A:$A,0))-IF(AN896="",0,AN896)),"")</f>
        <v>111</v>
      </c>
      <c r="V896" s="53" t="str">
        <f t="shared" si="366"/>
        <v>n/a</v>
      </c>
      <c r="W896" s="52" t="str">
        <f t="shared" si="367"/>
        <v/>
      </c>
      <c r="X896" s="52">
        <f>IFERROR(IF(AND(AR897=AR896,AM896&lt;&gt;""),INDEX('Aub Demand'!Q:Q,MATCH($O896,'Aub Demand'!$A:$A,0))-IF(AN896="",0,AN896)+AP897+AD896+AL896,IF(AR897=AR896,INDEX('Aub Demand'!Q:Q,MATCH($O896,'Aub Demand'!$A:$A,0))-IF(AN896="",0,AN896)+AP897+AD896,IF(AM896&lt;&gt;"",INDEX('Aub Demand'!Q:Q,MATCH($O896,'Aub Demand'!$A:$A,0))-IF(AN896="",0,AN896)+AD896+AL896,INDEX('Aub Demand'!Q:Q,MATCH($O896,'Aub Demand'!$A:$A,0))-IF(AN896="",0,AN896)+AD896))),"")</f>
        <v>111</v>
      </c>
      <c r="Y896" s="53" t="str">
        <f t="shared" si="368"/>
        <v>n/a</v>
      </c>
      <c r="Z896" s="52">
        <f>IF(L896="","",INDEX('Aub Demand'!H:H,MATCH($O896,'Aub Demand'!$A:$A,0)))</f>
        <v>0</v>
      </c>
      <c r="AA896" s="52" t="str">
        <f t="shared" si="369"/>
        <v>-spike-</v>
      </c>
      <c r="AB896" s="52">
        <f>IFERROR(INDEX('Aub Demand'!L:L,MATCH($O896,'Aub Demand'!$A:$A,0)),"")</f>
        <v>0</v>
      </c>
      <c r="AC896" s="52">
        <f>IFERROR(IF(O896="","",SUMIFS('CPL Mats'!F:F,'CPL Mats'!Q:Q,AR896,'CPL Mats'!S:S,AS896)),"")</f>
        <v>0</v>
      </c>
      <c r="AF896" s="25" t="str">
        <f>IF(SUMIFS('Supp Consol'!S:S,'Supp Consol'!Y:Y,"Releasable",'Supp Consol'!A:A,O896)=0,"",SUMIFS('Supp Consol'!S:S,'Supp Consol'!Y:Y,"Releasable",'Supp Consol'!A:A,O896))</f>
        <v/>
      </c>
      <c r="AG896" s="25" t="str">
        <f>IFERROR(INDEX('Hun Demand'!Q:Q,MATCH(O896,'Hun Demand'!A:A,0)),"")</f>
        <v/>
      </c>
      <c r="AH896" s="25" t="str">
        <f>IFERROR(INDEX('Hun Demand'!H:H,MATCH($O896,'Hun Demand'!$A:$A,0)),"")</f>
        <v/>
      </c>
      <c r="AI896" s="25" t="str">
        <f>IF(SUMIFS('Supp Consol'!AA:AA,'Supp Consol'!Z:Z,"Expires this month",'Supp Consol'!A:A,O896)=0,"",SUMIFS('Supp Consol'!AA:AA,'Supp Consol'!Z:Z,"Expires this month",'Supp Consol'!A:A,O896))</f>
        <v/>
      </c>
      <c r="AJ896" s="25" t="str">
        <f>IF(SUMIFS('Supp Consol'!AA:AA,'Supp Consol'!Z:Z,"Expired Previous Months",'Supp Consol'!A:A,O896)=0,"",SUMIFS('Supp Consol'!AA:AA,'Supp Consol'!Z:Z,"Expired Previous Months",'Supp Consol'!A:A,O896))</f>
        <v/>
      </c>
      <c r="AK896" s="25" t="str">
        <f>IFERROR(INDEX('Hun Release Current'!B:B,MATCH(O896,'Hun Release Current'!A:A,0)),"")</f>
        <v/>
      </c>
      <c r="AL896" s="25" t="str">
        <f>IF(SUMIF('Prev Aub'!A:A,O896,'Prev Aub'!B:B)=0,"",SUMIF('Prev Aub'!A:A,O896,'Prev Aub'!B:B))</f>
        <v/>
      </c>
      <c r="AN896" s="25" t="s">
        <v>3790</v>
      </c>
      <c r="AO896" s="25" t="s">
        <v>3790</v>
      </c>
      <c r="AP896" s="25">
        <f t="shared" si="370"/>
        <v>0</v>
      </c>
      <c r="AQ896" s="151" t="str">
        <f>IF(SUMIFS('Supp Consol'!S:S,'Supp Consol'!A:A,O896,'Supp Consol'!I:I,"PENDING")=0,"",SUMIFS('Supp Consol'!S:S,'Supp Consol'!A:A,O896,'Supp Consol'!I:I,"PENDING"))</f>
        <v/>
      </c>
      <c r="AR896" s="27" t="str">
        <f t="shared" si="371"/>
        <v>QU910</v>
      </c>
      <c r="AS896" s="27" t="str">
        <f t="shared" si="372"/>
        <v>62</v>
      </c>
      <c r="AT896" s="27" t="str">
        <f t="shared" si="373"/>
        <v/>
      </c>
      <c r="AU896" s="27" t="str">
        <f t="shared" si="374"/>
        <v/>
      </c>
      <c r="AV896" s="27" t="str">
        <f t="shared" si="375"/>
        <v/>
      </c>
      <c r="AW896" s="27" t="str">
        <f t="shared" si="376"/>
        <v/>
      </c>
      <c r="AX896" s="27" t="str">
        <f t="shared" si="377"/>
        <v/>
      </c>
      <c r="AY896" s="27" t="str">
        <f t="shared" si="378"/>
        <v/>
      </c>
      <c r="AZ896" s="27" t="str">
        <f t="shared" si="379"/>
        <v/>
      </c>
      <c r="BA896" s="27" t="str">
        <f t="shared" si="380"/>
        <v/>
      </c>
      <c r="BB896" s="27" t="str">
        <f t="shared" si="381"/>
        <v/>
      </c>
      <c r="BC896" s="27" t="str">
        <f t="shared" si="382"/>
        <v/>
      </c>
      <c r="BD896" s="27" t="str">
        <f t="shared" si="383"/>
        <v/>
      </c>
      <c r="BE896" s="27" t="str">
        <f t="shared" si="384"/>
        <v/>
      </c>
      <c r="BF896" s="27" t="str">
        <f t="shared" si="385"/>
        <v/>
      </c>
      <c r="BG896" s="27" t="str">
        <f t="shared" si="386"/>
        <v/>
      </c>
      <c r="BH896" s="27" t="str">
        <f t="shared" si="387"/>
        <v/>
      </c>
      <c r="BI896" s="27" t="str">
        <f t="shared" si="388"/>
        <v/>
      </c>
      <c r="BJ896" s="27" t="str">
        <f t="shared" si="389"/>
        <v/>
      </c>
      <c r="BK896" s="27" t="str">
        <f t="shared" si="390"/>
        <v/>
      </c>
      <c r="BL896" s="27" t="str">
        <f t="shared" si="391"/>
        <v/>
      </c>
      <c r="BM896" s="21" t="s">
        <v>5581</v>
      </c>
    </row>
    <row r="897" spans="1:65" ht="15">
      <c r="A897" s="25" t="str">
        <f>IFERROR(INDEX('Hun Demand'!W:W,MATCH(O897,'Hun Demand'!A:A,0)),"")</f>
        <v/>
      </c>
      <c r="B897" s="25" t="str">
        <f>IFERROR(INDEX('Hun Demand'!V:V,MATCH(O897,'Hun Demand'!A:A,0)),"")</f>
        <v/>
      </c>
      <c r="C897" s="25" t="str">
        <f>IFERROR(INDEX('Hun Demand'!U:U,MATCH(O897,'Hun Demand'!A:A,0)),"")</f>
        <v/>
      </c>
      <c r="D897" s="25" t="str">
        <f>IFERROR(INDEX('Hun Demand'!T:T,MATCH(O897,'Hun Demand'!A:A,0)),"")</f>
        <v/>
      </c>
      <c r="E897" s="25" t="str">
        <f>IFERROR(INDEX('Hun Demand'!S:S,MATCH(O897,'Hun Demand'!A:A,0)),"")</f>
        <v/>
      </c>
      <c r="F897" s="25" t="str">
        <f>IFERROR(INDEX('Hun Demand'!R:R,MATCH(O897,'Hun Demand'!A:A,0)),"")</f>
        <v/>
      </c>
      <c r="G897" s="25">
        <f>IFERROR(INDEX('Aub Demand'!W:W,MATCH(O897,'Aub Demand'!A:A,0)),"")</f>
        <v>0</v>
      </c>
      <c r="H897" s="25">
        <f>IFERROR(INDEX('Aub Demand'!V:V,MATCH(O897,'Aub Demand'!A:A,0)),"")</f>
        <v>0</v>
      </c>
      <c r="I897" s="25">
        <f>IFERROR(INDEX('Aub Demand'!U:U,MATCH(O897,'Aub Demand'!A:A,0)),"")</f>
        <v>0</v>
      </c>
      <c r="J897" s="25">
        <f>IFERROR(INDEX('Aub Demand'!T:T,MATCH(O897,'Aub Demand'!A:A,0)),"")</f>
        <v>0</v>
      </c>
      <c r="K897" s="25">
        <f>IFERROR(INDEX('Aub Demand'!S:S,MATCH(O897,'Aub Demand'!A:A,0)),"")</f>
        <v>0</v>
      </c>
      <c r="L897" s="25">
        <f>IFERROR(INDEX('Aub Demand'!R:R,MATCH(O897,'Aub Demand'!A:A,0)),"")</f>
        <v>0</v>
      </c>
      <c r="O897" s="27" t="s">
        <v>1308</v>
      </c>
      <c r="P897" s="27" t="str">
        <f>IFERROR(INDEX('Aub Demand'!B:B,MATCH($O897,'Aub Demand'!$A:$A,0)),"")</f>
        <v>PARCHMENT DS</v>
      </c>
      <c r="Q897" s="27" t="str">
        <f>IFERROR(INDEX('Aub Demand'!C:C,MATCH($O897,'Aub Demand'!$A:$A,0)),"")</f>
        <v>GLASS</v>
      </c>
      <c r="R897" s="52">
        <f>IFERROR(IF(AR898=AR897,INDEX('Aub Demand'!K:K,MATCH($O897,'Aub Demand'!$A:$A,0))-IF(AN897="",0,AN897)+AP898,INDEX('Aub Demand'!K:K,MATCH($O897,'Aub Demand'!$A:$A,0))-IF(AN897="",0,AN897)),"")</f>
        <v>2981</v>
      </c>
      <c r="S897" s="53" t="str">
        <f t="shared" si="364"/>
        <v>n/a</v>
      </c>
      <c r="T897" s="52" t="str">
        <f t="shared" si="365"/>
        <v/>
      </c>
      <c r="U897" s="52">
        <f>IFERROR(IF(AR898=AR897,INDEX('Aub Demand'!Q:Q,MATCH($O897,'Aub Demand'!$A:$A,0))-IF(AN897="",0,AN897)+AP898,INDEX('Aub Demand'!Q:Q,MATCH($O897,'Aub Demand'!$A:$A,0))-IF(AN897="",0,AN897)),"")</f>
        <v>2981</v>
      </c>
      <c r="V897" s="53" t="str">
        <f t="shared" si="366"/>
        <v>n/a</v>
      </c>
      <c r="W897" s="52" t="str">
        <f t="shared" si="367"/>
        <v/>
      </c>
      <c r="X897" s="52">
        <f>IFERROR(IF(AND(AR898=AR897,AM897&lt;&gt;""),INDEX('Aub Demand'!Q:Q,MATCH($O897,'Aub Demand'!$A:$A,0))-IF(AN897="",0,AN897)+AP898+AD897+AL897,IF(AR898=AR897,INDEX('Aub Demand'!Q:Q,MATCH($O897,'Aub Demand'!$A:$A,0))-IF(AN897="",0,AN897)+AP898+AD897,IF(AM897&lt;&gt;"",INDEX('Aub Demand'!Q:Q,MATCH($O897,'Aub Demand'!$A:$A,0))-IF(AN897="",0,AN897)+AD897+AL897,INDEX('Aub Demand'!Q:Q,MATCH($O897,'Aub Demand'!$A:$A,0))-IF(AN897="",0,AN897)+AD897))),"")</f>
        <v>2981</v>
      </c>
      <c r="Y897" s="53" t="str">
        <f t="shared" si="368"/>
        <v>n/a</v>
      </c>
      <c r="Z897" s="52">
        <f>IF(L897="","",INDEX('Aub Demand'!H:H,MATCH($O897,'Aub Demand'!$A:$A,0)))</f>
        <v>0</v>
      </c>
      <c r="AA897" s="52" t="str">
        <f t="shared" si="369"/>
        <v>-spike-</v>
      </c>
      <c r="AB897" s="52">
        <f>IFERROR(INDEX('Aub Demand'!L:L,MATCH($O897,'Aub Demand'!$A:$A,0)),"")</f>
        <v>0</v>
      </c>
      <c r="AC897" s="52">
        <f>IFERROR(IF(O897="","",SUMIFS('CPL Mats'!F:F,'CPL Mats'!Q:Q,AR897,'CPL Mats'!S:S,AS897)),"")</f>
        <v>0</v>
      </c>
      <c r="AF897" s="25" t="str">
        <f>IF(SUMIFS('Supp Consol'!S:S,'Supp Consol'!Y:Y,"Releasable",'Supp Consol'!A:A,O897)=0,"",SUMIFS('Supp Consol'!S:S,'Supp Consol'!Y:Y,"Releasable",'Supp Consol'!A:A,O897))</f>
        <v/>
      </c>
      <c r="AG897" s="25" t="str">
        <f>IFERROR(INDEX('Hun Demand'!Q:Q,MATCH(O897,'Hun Demand'!A:A,0)),"")</f>
        <v/>
      </c>
      <c r="AH897" s="25" t="str">
        <f>IFERROR(INDEX('Hun Demand'!H:H,MATCH($O897,'Hun Demand'!$A:$A,0)),"")</f>
        <v/>
      </c>
      <c r="AI897" s="25" t="str">
        <f>IF(SUMIFS('Supp Consol'!AA:AA,'Supp Consol'!Z:Z,"Expires this month",'Supp Consol'!A:A,O897)=0,"",SUMIFS('Supp Consol'!AA:AA,'Supp Consol'!Z:Z,"Expires this month",'Supp Consol'!A:A,O897))</f>
        <v/>
      </c>
      <c r="AJ897" s="25" t="str">
        <f>IF(SUMIFS('Supp Consol'!AA:AA,'Supp Consol'!Z:Z,"Expired Previous Months",'Supp Consol'!A:A,O897)=0,"",SUMIFS('Supp Consol'!AA:AA,'Supp Consol'!Z:Z,"Expired Previous Months",'Supp Consol'!A:A,O897))</f>
        <v/>
      </c>
      <c r="AK897" s="25" t="str">
        <f>IFERROR(INDEX('Hun Release Current'!B:B,MATCH(O897,'Hun Release Current'!A:A,0)),"")</f>
        <v/>
      </c>
      <c r="AL897" s="25" t="str">
        <f>IF(SUMIF('Prev Aub'!A:A,O897,'Prev Aub'!B:B)=0,"",SUMIF('Prev Aub'!A:A,O897,'Prev Aub'!B:B))</f>
        <v/>
      </c>
      <c r="AN897" s="25" t="s">
        <v>3790</v>
      </c>
      <c r="AO897" s="25" t="s">
        <v>3790</v>
      </c>
      <c r="AP897" s="25">
        <f t="shared" si="370"/>
        <v>0</v>
      </c>
      <c r="AQ897" s="151" t="str">
        <f>IF(SUMIFS('Supp Consol'!S:S,'Supp Consol'!A:A,O897,'Supp Consol'!I:I,"PENDING")=0,"",SUMIFS('Supp Consol'!S:S,'Supp Consol'!A:A,O897,'Supp Consol'!I:I,"PENDING"))</f>
        <v/>
      </c>
      <c r="AR897" s="27" t="str">
        <f t="shared" si="371"/>
        <v>QU920</v>
      </c>
      <c r="AS897" s="27" t="str">
        <f t="shared" si="372"/>
        <v>50</v>
      </c>
      <c r="AT897" s="27" t="str">
        <f t="shared" si="373"/>
        <v/>
      </c>
      <c r="AU897" s="27" t="str">
        <f t="shared" si="374"/>
        <v/>
      </c>
      <c r="AV897" s="27" t="str">
        <f t="shared" si="375"/>
        <v/>
      </c>
      <c r="AW897" s="27" t="str">
        <f t="shared" si="376"/>
        <v/>
      </c>
      <c r="AX897" s="27" t="str">
        <f t="shared" si="377"/>
        <v/>
      </c>
      <c r="AY897" s="27" t="str">
        <f t="shared" si="378"/>
        <v/>
      </c>
      <c r="AZ897" s="27" t="str">
        <f t="shared" si="379"/>
        <v/>
      </c>
      <c r="BA897" s="27" t="str">
        <f t="shared" si="380"/>
        <v/>
      </c>
      <c r="BB897" s="27" t="str">
        <f t="shared" si="381"/>
        <v/>
      </c>
      <c r="BC897" s="27" t="str">
        <f t="shared" si="382"/>
        <v/>
      </c>
      <c r="BD897" s="27" t="str">
        <f t="shared" si="383"/>
        <v/>
      </c>
      <c r="BE897" s="27" t="str">
        <f t="shared" si="384"/>
        <v/>
      </c>
      <c r="BF897" s="27" t="str">
        <f t="shared" si="385"/>
        <v/>
      </c>
      <c r="BG897" s="27" t="str">
        <f t="shared" si="386"/>
        <v/>
      </c>
      <c r="BH897" s="27" t="str">
        <f t="shared" si="387"/>
        <v/>
      </c>
      <c r="BI897" s="27" t="str">
        <f t="shared" si="388"/>
        <v/>
      </c>
      <c r="BJ897" s="27" t="str">
        <f t="shared" si="389"/>
        <v/>
      </c>
      <c r="BK897" s="27" t="str">
        <f t="shared" si="390"/>
        <v/>
      </c>
      <c r="BL897" s="27" t="str">
        <f t="shared" si="391"/>
        <v/>
      </c>
      <c r="BM897" s="21" t="s">
        <v>5581</v>
      </c>
    </row>
    <row r="898" spans="1:65" ht="15">
      <c r="A898" s="25" t="str">
        <f>IFERROR(INDEX('Hun Demand'!W:W,MATCH(O898,'Hun Demand'!A:A,0)),"")</f>
        <v/>
      </c>
      <c r="B898" s="25" t="str">
        <f>IFERROR(INDEX('Hun Demand'!V:V,MATCH(O898,'Hun Demand'!A:A,0)),"")</f>
        <v/>
      </c>
      <c r="C898" s="25" t="str">
        <f>IFERROR(INDEX('Hun Demand'!U:U,MATCH(O898,'Hun Demand'!A:A,0)),"")</f>
        <v/>
      </c>
      <c r="D898" s="25" t="str">
        <f>IFERROR(INDEX('Hun Demand'!T:T,MATCH(O898,'Hun Demand'!A:A,0)),"")</f>
        <v/>
      </c>
      <c r="E898" s="25" t="str">
        <f>IFERROR(INDEX('Hun Demand'!S:S,MATCH(O898,'Hun Demand'!A:A,0)),"")</f>
        <v/>
      </c>
      <c r="F898" s="25" t="str">
        <f>IFERROR(INDEX('Hun Demand'!R:R,MATCH(O898,'Hun Demand'!A:A,0)),"")</f>
        <v/>
      </c>
      <c r="G898" s="25">
        <f>IFERROR(INDEX('Aub Demand'!W:W,MATCH(O898,'Aub Demand'!A:A,0)),"")</f>
        <v>0</v>
      </c>
      <c r="H898" s="25">
        <f>IFERROR(INDEX('Aub Demand'!V:V,MATCH(O898,'Aub Demand'!A:A,0)),"")</f>
        <v>0</v>
      </c>
      <c r="I898" s="25">
        <f>IFERROR(INDEX('Aub Demand'!U:U,MATCH(O898,'Aub Demand'!A:A,0)),"")</f>
        <v>0</v>
      </c>
      <c r="J898" s="25">
        <f>IFERROR(INDEX('Aub Demand'!T:T,MATCH(O898,'Aub Demand'!A:A,0)),"")</f>
        <v>0</v>
      </c>
      <c r="K898" s="25">
        <f>IFERROR(INDEX('Aub Demand'!S:S,MATCH(O898,'Aub Demand'!A:A,0)),"")</f>
        <v>0</v>
      </c>
      <c r="L898" s="25">
        <f>IFERROR(INDEX('Aub Demand'!R:R,MATCH(O898,'Aub Demand'!A:A,0)),"")</f>
        <v>0</v>
      </c>
      <c r="O898" s="27" t="s">
        <v>1312</v>
      </c>
      <c r="P898" s="27" t="str">
        <f>IFERROR(INDEX('Aub Demand'!B:B,MATCH($O898,'Aub Demand'!$A:$A,0)),"")</f>
        <v>SILICONE COATED DOUB</v>
      </c>
      <c r="Q898" s="27" t="str">
        <f>IFERROR(INDEX('Aub Demand'!C:C,MATCH($O898,'Aub Demand'!$A:$A,0)),"")</f>
        <v>GLASS</v>
      </c>
      <c r="R898" s="52">
        <f>IFERROR(IF(AR899=AR898,INDEX('Aub Demand'!K:K,MATCH($O898,'Aub Demand'!$A:$A,0))-IF(AN898="",0,AN898)+AP899,INDEX('Aub Demand'!K:K,MATCH($O898,'Aub Demand'!$A:$A,0))-IF(AN898="",0,AN898)),"")</f>
        <v>13430</v>
      </c>
      <c r="S898" s="53" t="str">
        <f t="shared" si="364"/>
        <v>n/a</v>
      </c>
      <c r="T898" s="52" t="str">
        <f t="shared" si="365"/>
        <v/>
      </c>
      <c r="U898" s="52">
        <f>IFERROR(IF(AR899=AR898,INDEX('Aub Demand'!Q:Q,MATCH($O898,'Aub Demand'!$A:$A,0))-IF(AN898="",0,AN898)+AP899,INDEX('Aub Demand'!Q:Q,MATCH($O898,'Aub Demand'!$A:$A,0))-IF(AN898="",0,AN898)),"")</f>
        <v>13430</v>
      </c>
      <c r="V898" s="53" t="str">
        <f t="shared" si="366"/>
        <v>n/a</v>
      </c>
      <c r="W898" s="52" t="str">
        <f t="shared" si="367"/>
        <v/>
      </c>
      <c r="X898" s="52">
        <f>IFERROR(IF(AND(AR899=AR898,AM898&lt;&gt;""),INDEX('Aub Demand'!Q:Q,MATCH($O898,'Aub Demand'!$A:$A,0))-IF(AN898="",0,AN898)+AP899+AD898+AL898,IF(AR899=AR898,INDEX('Aub Demand'!Q:Q,MATCH($O898,'Aub Demand'!$A:$A,0))-IF(AN898="",0,AN898)+AP899+AD898,IF(AM898&lt;&gt;"",INDEX('Aub Demand'!Q:Q,MATCH($O898,'Aub Demand'!$A:$A,0))-IF(AN898="",0,AN898)+AD898+AL898,INDEX('Aub Demand'!Q:Q,MATCH($O898,'Aub Demand'!$A:$A,0))-IF(AN898="",0,AN898)+AD898))),"")</f>
        <v>13430</v>
      </c>
      <c r="Y898" s="53" t="str">
        <f t="shared" si="368"/>
        <v>n/a</v>
      </c>
      <c r="Z898" s="52">
        <f>IF(L898="","",INDEX('Aub Demand'!H:H,MATCH($O898,'Aub Demand'!$A:$A,0)))</f>
        <v>0</v>
      </c>
      <c r="AA898" s="52" t="str">
        <f t="shared" si="369"/>
        <v>-spike-</v>
      </c>
      <c r="AB898" s="52">
        <f>IFERROR(INDEX('Aub Demand'!L:L,MATCH($O898,'Aub Demand'!$A:$A,0)),"")</f>
        <v>0</v>
      </c>
      <c r="AC898" s="52">
        <f>IFERROR(IF(O898="","",SUMIFS('CPL Mats'!F:F,'CPL Mats'!Q:Q,AR898,'CPL Mats'!S:S,AS898)),"")</f>
        <v>0</v>
      </c>
      <c r="AF898" s="25" t="str">
        <f>IF(SUMIFS('Supp Consol'!S:S,'Supp Consol'!Y:Y,"Releasable",'Supp Consol'!A:A,O898)=0,"",SUMIFS('Supp Consol'!S:S,'Supp Consol'!Y:Y,"Releasable",'Supp Consol'!A:A,O898))</f>
        <v/>
      </c>
      <c r="AG898" s="25" t="str">
        <f>IFERROR(INDEX('Hun Demand'!Q:Q,MATCH(O898,'Hun Demand'!A:A,0)),"")</f>
        <v/>
      </c>
      <c r="AH898" s="25" t="str">
        <f>IFERROR(INDEX('Hun Demand'!H:H,MATCH($O898,'Hun Demand'!$A:$A,0)),"")</f>
        <v/>
      </c>
      <c r="AI898" s="25" t="str">
        <f>IF(SUMIFS('Supp Consol'!AA:AA,'Supp Consol'!Z:Z,"Expires this month",'Supp Consol'!A:A,O898)=0,"",SUMIFS('Supp Consol'!AA:AA,'Supp Consol'!Z:Z,"Expires this month",'Supp Consol'!A:A,O898))</f>
        <v/>
      </c>
      <c r="AJ898" s="25" t="str">
        <f>IF(SUMIFS('Supp Consol'!AA:AA,'Supp Consol'!Z:Z,"Expired Previous Months",'Supp Consol'!A:A,O898)=0,"",SUMIFS('Supp Consol'!AA:AA,'Supp Consol'!Z:Z,"Expired Previous Months",'Supp Consol'!A:A,O898))</f>
        <v/>
      </c>
      <c r="AK898" s="25" t="str">
        <f>IFERROR(INDEX('Hun Release Current'!B:B,MATCH(O898,'Hun Release Current'!A:A,0)),"")</f>
        <v/>
      </c>
      <c r="AL898" s="25" t="str">
        <f>IF(SUMIF('Prev Aub'!A:A,O898,'Prev Aub'!B:B)=0,"",SUMIF('Prev Aub'!A:A,O898,'Prev Aub'!B:B))</f>
        <v/>
      </c>
      <c r="AN898" s="25" t="s">
        <v>3790</v>
      </c>
      <c r="AO898" s="25" t="s">
        <v>3790</v>
      </c>
      <c r="AP898" s="25">
        <f t="shared" si="370"/>
        <v>0</v>
      </c>
      <c r="AQ898" s="151" t="str">
        <f>IF(SUMIFS('Supp Consol'!S:S,'Supp Consol'!A:A,O898,'Supp Consol'!I:I,"PENDING")=0,"",SUMIFS('Supp Consol'!S:S,'Supp Consol'!A:A,O898,'Supp Consol'!I:I,"PENDING"))</f>
        <v/>
      </c>
      <c r="AR898" s="27" t="str">
        <f t="shared" si="371"/>
        <v>QU931</v>
      </c>
      <c r="AS898" s="27" t="str">
        <f t="shared" si="372"/>
        <v>50</v>
      </c>
      <c r="AT898" s="27" t="str">
        <f t="shared" si="373"/>
        <v/>
      </c>
      <c r="AU898" s="27" t="str">
        <f t="shared" si="374"/>
        <v/>
      </c>
      <c r="AV898" s="27" t="str">
        <f t="shared" si="375"/>
        <v/>
      </c>
      <c r="AW898" s="27" t="str">
        <f t="shared" si="376"/>
        <v/>
      </c>
      <c r="AX898" s="27" t="str">
        <f t="shared" si="377"/>
        <v/>
      </c>
      <c r="AY898" s="27" t="str">
        <f t="shared" si="378"/>
        <v/>
      </c>
      <c r="AZ898" s="27" t="str">
        <f t="shared" si="379"/>
        <v/>
      </c>
      <c r="BA898" s="27" t="str">
        <f t="shared" si="380"/>
        <v/>
      </c>
      <c r="BB898" s="27" t="str">
        <f t="shared" si="381"/>
        <v/>
      </c>
      <c r="BC898" s="27" t="str">
        <f t="shared" si="382"/>
        <v/>
      </c>
      <c r="BD898" s="27" t="str">
        <f t="shared" si="383"/>
        <v/>
      </c>
      <c r="BE898" s="27" t="str">
        <f t="shared" si="384"/>
        <v/>
      </c>
      <c r="BF898" s="27" t="str">
        <f t="shared" si="385"/>
        <v/>
      </c>
      <c r="BG898" s="27" t="str">
        <f t="shared" si="386"/>
        <v/>
      </c>
      <c r="BH898" s="27" t="str">
        <f t="shared" si="387"/>
        <v/>
      </c>
      <c r="BI898" s="27" t="str">
        <f t="shared" si="388"/>
        <v/>
      </c>
      <c r="BJ898" s="27" t="str">
        <f t="shared" si="389"/>
        <v/>
      </c>
      <c r="BK898" s="27" t="str">
        <f t="shared" si="390"/>
        <v/>
      </c>
      <c r="BL898" s="27" t="str">
        <f t="shared" si="391"/>
        <v/>
      </c>
      <c r="BM898" s="21" t="s">
        <v>5581</v>
      </c>
    </row>
    <row r="899" spans="1:65" ht="15">
      <c r="A899" s="25" t="str">
        <f>IFERROR(INDEX('Hun Demand'!W:W,MATCH(O899,'Hun Demand'!A:A,0)),"")</f>
        <v/>
      </c>
      <c r="B899" s="25" t="str">
        <f>IFERROR(INDEX('Hun Demand'!V:V,MATCH(O899,'Hun Demand'!A:A,0)),"")</f>
        <v/>
      </c>
      <c r="C899" s="25" t="str">
        <f>IFERROR(INDEX('Hun Demand'!U:U,MATCH(O899,'Hun Demand'!A:A,0)),"")</f>
        <v/>
      </c>
      <c r="D899" s="25" t="str">
        <f>IFERROR(INDEX('Hun Demand'!T:T,MATCH(O899,'Hun Demand'!A:A,0)),"")</f>
        <v/>
      </c>
      <c r="E899" s="25" t="str">
        <f>IFERROR(INDEX('Hun Demand'!S:S,MATCH(O899,'Hun Demand'!A:A,0)),"")</f>
        <v/>
      </c>
      <c r="F899" s="25" t="str">
        <f>IFERROR(INDEX('Hun Demand'!R:R,MATCH(O899,'Hun Demand'!A:A,0)),"")</f>
        <v/>
      </c>
      <c r="G899" s="25">
        <f>IFERROR(INDEX('Aub Demand'!W:W,MATCH(O899,'Aub Demand'!A:A,0)),"")</f>
        <v>0</v>
      </c>
      <c r="H899" s="25">
        <f>IFERROR(INDEX('Aub Demand'!V:V,MATCH(O899,'Aub Demand'!A:A,0)),"")</f>
        <v>0</v>
      </c>
      <c r="I899" s="25">
        <f>IFERROR(INDEX('Aub Demand'!U:U,MATCH(O899,'Aub Demand'!A:A,0)),"")</f>
        <v>0</v>
      </c>
      <c r="J899" s="25">
        <f>IFERROR(INDEX('Aub Demand'!T:T,MATCH(O899,'Aub Demand'!A:A,0)),"")</f>
        <v>0</v>
      </c>
      <c r="K899" s="25">
        <f>IFERROR(INDEX('Aub Demand'!S:S,MATCH(O899,'Aub Demand'!A:A,0)),"")</f>
        <v>0</v>
      </c>
      <c r="L899" s="25">
        <f>IFERROR(INDEX('Aub Demand'!R:R,MATCH(O899,'Aub Demand'!A:A,0)),"")</f>
        <v>0</v>
      </c>
      <c r="O899" s="27" t="s">
        <v>1314</v>
      </c>
      <c r="P899" s="27" t="str">
        <f>IFERROR(INDEX('Aub Demand'!B:B,MATCH($O899,'Aub Demand'!$A:$A,0)),"")</f>
        <v>COLORED-CORE TRIAL C</v>
      </c>
      <c r="Q899" s="27" t="str">
        <f>IFERROR(INDEX('Aub Demand'!C:C,MATCH($O899,'Aub Demand'!$A:$A,0)),"")</f>
        <v>AHLST</v>
      </c>
      <c r="R899" s="52">
        <f>IFERROR(IF(AR900=AR899,INDEX('Aub Demand'!K:K,MATCH($O899,'Aub Demand'!$A:$A,0))-IF(AN899="",0,AN899)+AP900,INDEX('Aub Demand'!K:K,MATCH($O899,'Aub Demand'!$A:$A,0))-IF(AN899="",0,AN899)),"")</f>
        <v>235</v>
      </c>
      <c r="S899" s="53" t="str">
        <f t="shared" ref="S899:S962" si="392">IFERROR(IF(O899="","",ROUND(R899/((Z899/30)*7),1)),"n/a")</f>
        <v>n/a</v>
      </c>
      <c r="T899" s="52" t="str">
        <f t="shared" ref="T899:T962" si="393">IFERROR(IF(S899&lt;3.1,IF(AA899="spike",(3-S899)*(Z899/4),(3-S899)*(AA899/4)),""),"")</f>
        <v/>
      </c>
      <c r="U899" s="52">
        <f>IFERROR(IF(AR900=AR899,INDEX('Aub Demand'!Q:Q,MATCH($O899,'Aub Demand'!$A:$A,0))-IF(AN899="",0,AN899)+AP900,INDEX('Aub Demand'!Q:Q,MATCH($O899,'Aub Demand'!$A:$A,0))-IF(AN899="",0,AN899)),"")</f>
        <v>235</v>
      </c>
      <c r="V899" s="53" t="str">
        <f t="shared" ref="V899:V962" si="394">IFERROR(IF(O899="","",ROUND(U899/((Z899/30)*7),1)),"n/a")</f>
        <v>n/a</v>
      </c>
      <c r="W899" s="52" t="str">
        <f t="shared" ref="W899:W962" si="395">IF(IFERROR(IF(V899&lt;3.1,IF(AA899="spike",(3-V899)*(Z899/4),(3-V899)*(AA899/4)),""),"")&lt;0,0,IFERROR(IF(V899&lt;3.1,IF(AA899="spike",(3-V899)*(Z899/4),(3-V899)*(AA899/4)),""),""))</f>
        <v/>
      </c>
      <c r="X899" s="52">
        <f>IFERROR(IF(AND(AR900=AR899,AM899&lt;&gt;""),INDEX('Aub Demand'!Q:Q,MATCH($O899,'Aub Demand'!$A:$A,0))-IF(AN899="",0,AN899)+AP900+AD899+AL899,IF(AR900=AR899,INDEX('Aub Demand'!Q:Q,MATCH($O899,'Aub Demand'!$A:$A,0))-IF(AN899="",0,AN899)+AP900+AD899,IF(AM899&lt;&gt;"",INDEX('Aub Demand'!Q:Q,MATCH($O899,'Aub Demand'!$A:$A,0))-IF(AN899="",0,AN899)+AD899+AL899,INDEX('Aub Demand'!Q:Q,MATCH($O899,'Aub Demand'!$A:$A,0))-IF(AN899="",0,AN899)+AD899))),"")</f>
        <v>235</v>
      </c>
      <c r="Y899" s="53" t="str">
        <f t="shared" ref="Y899:Y962" si="396">IFERROR(IF(O899="","",ROUND(X899/((Z899/30)*7),1)),"n/a")</f>
        <v>n/a</v>
      </c>
      <c r="Z899" s="52">
        <f>IF(L899="","",INDEX('Aub Demand'!H:H,MATCH($O899,'Aub Demand'!$A:$A,0)))</f>
        <v>0</v>
      </c>
      <c r="AA899" s="52" t="str">
        <f t="shared" ref="AA899:AA962" si="397">IF(L899="","",IF(LARGE(I899:L899,2)=0,"-spike-",AVERAGE(LARGE(I899:L899,1),LARGE(I899:L899,2))))</f>
        <v>-spike-</v>
      </c>
      <c r="AB899" s="52">
        <f>IFERROR(INDEX('Aub Demand'!L:L,MATCH($O899,'Aub Demand'!$A:$A,0)),"")</f>
        <v>0</v>
      </c>
      <c r="AC899" s="52">
        <f>IFERROR(IF(O899="","",SUMIFS('CPL Mats'!F:F,'CPL Mats'!Q:Q,AR899,'CPL Mats'!S:S,AS899)),"")</f>
        <v>0</v>
      </c>
      <c r="AF899" s="25" t="str">
        <f>IF(SUMIFS('Supp Consol'!S:S,'Supp Consol'!Y:Y,"Releasable",'Supp Consol'!A:A,O899)=0,"",SUMIFS('Supp Consol'!S:S,'Supp Consol'!Y:Y,"Releasable",'Supp Consol'!A:A,O899))</f>
        <v/>
      </c>
      <c r="AG899" s="25" t="str">
        <f>IFERROR(INDEX('Hun Demand'!Q:Q,MATCH(O899,'Hun Demand'!A:A,0)),"")</f>
        <v/>
      </c>
      <c r="AH899" s="25" t="str">
        <f>IFERROR(INDEX('Hun Demand'!H:H,MATCH($O899,'Hun Demand'!$A:$A,0)),"")</f>
        <v/>
      </c>
      <c r="AI899" s="25" t="str">
        <f>IF(SUMIFS('Supp Consol'!AA:AA,'Supp Consol'!Z:Z,"Expires this month",'Supp Consol'!A:A,O899)=0,"",SUMIFS('Supp Consol'!AA:AA,'Supp Consol'!Z:Z,"Expires this month",'Supp Consol'!A:A,O899))</f>
        <v/>
      </c>
      <c r="AJ899" s="25" t="str">
        <f>IF(SUMIFS('Supp Consol'!AA:AA,'Supp Consol'!Z:Z,"Expired Previous Months",'Supp Consol'!A:A,O899)=0,"",SUMIFS('Supp Consol'!AA:AA,'Supp Consol'!Z:Z,"Expired Previous Months",'Supp Consol'!A:A,O899))</f>
        <v/>
      </c>
      <c r="AK899" s="25" t="str">
        <f>IFERROR(INDEX('Hun Release Current'!B:B,MATCH(O899,'Hun Release Current'!A:A,0)),"")</f>
        <v/>
      </c>
      <c r="AL899" s="25" t="str">
        <f>IF(SUMIF('Prev Aub'!A:A,O899,'Prev Aub'!B:B)=0,"",SUMIF('Prev Aub'!A:A,O899,'Prev Aub'!B:B))</f>
        <v/>
      </c>
      <c r="AN899" s="25" t="s">
        <v>3790</v>
      </c>
      <c r="AO899" s="25" t="s">
        <v>3790</v>
      </c>
      <c r="AP899" s="25">
        <f t="shared" ref="AP899:AP962" si="398">IFERROR(IF(O899="","",IF(AN899="",0,VALUE(AN899)-(VALUE(AN899)*0.2))),"")</f>
        <v>0</v>
      </c>
      <c r="AQ899" s="151" t="str">
        <f>IF(SUMIFS('Supp Consol'!S:S,'Supp Consol'!A:A,O899,'Supp Consol'!I:I,"PENDING")=0,"",SUMIFS('Supp Consol'!S:S,'Supp Consol'!A:A,O899,'Supp Consol'!I:I,"PENDING"))</f>
        <v/>
      </c>
      <c r="AR899" s="27" t="str">
        <f t="shared" ref="AR899:AR962" si="399">MID(O899,4,5)</f>
        <v>QU932</v>
      </c>
      <c r="AS899" s="27" t="str">
        <f t="shared" ref="AS899:AS962" si="400">MID(O899,10,2)</f>
        <v>50</v>
      </c>
      <c r="AT899" s="27" t="str">
        <f t="shared" ref="AT899:AT962" si="401">IF(S899&lt;3.1,AR899,"")</f>
        <v/>
      </c>
      <c r="AU899" s="27" t="str">
        <f t="shared" ref="AU899:AU962" si="402">IF(Y899&lt;3.1,AR899,"")</f>
        <v/>
      </c>
      <c r="AV899" s="27" t="str">
        <f t="shared" ref="AV899:AV962" si="403">IF(AND(AA899="Spike",L899=0,K899=0,X899&gt;=0),"",IF(Y899&lt;3.1,AR899,""))</f>
        <v/>
      </c>
      <c r="AW899" s="27" t="str">
        <f t="shared" ref="AW899:AW962" si="404">IF(AI899=AL899,"",IF(OR(AI899&lt;&gt;"",AJ899&lt;&gt;""),AR899,""))</f>
        <v/>
      </c>
      <c r="AX899" s="27" t="str">
        <f t="shared" ref="AX899:AX962" si="405">IF(AF899&lt;&gt;"",AR899,"")</f>
        <v/>
      </c>
      <c r="AY899" s="27" t="str">
        <f t="shared" ref="AY899:AY962" si="406">IF(AND(AG899&lt;&gt;"",AG899&gt;AH899),AR899,"")</f>
        <v/>
      </c>
      <c r="AZ899" s="27" t="str">
        <f t="shared" ref="AZ899:AZ962" si="407">IFERROR(IF(O899="","",IF(ISERROR(MATCH(AR899,AX:AX,0)),"","Supp")),"")</f>
        <v/>
      </c>
      <c r="BA899" s="27" t="str">
        <f t="shared" ref="BA899:BA962" si="408">IFERROR(IF(O899="","",IF(ISERROR(MATCH(AR899,AY:AY,0)),"","Hun")),"")</f>
        <v/>
      </c>
      <c r="BB899" s="27" t="str">
        <f t="shared" ref="BB899:BB962" si="409">IFERROR(IF(O899="","",IF(ISERROR(MATCH(AR899,AT:AT,0)),"","Gross")),"")</f>
        <v/>
      </c>
      <c r="BC899" s="27" t="str">
        <f t="shared" ref="BC899:BC962" si="410">IFERROR(IF(O899="","",IF(ISERROR(MATCH(AR899,AU:AU,0)),"","Net")),"")</f>
        <v/>
      </c>
      <c r="BD899" s="27" t="str">
        <f t="shared" ref="BD899:BD962" si="411">IFERROR(IF(O899="","",IF(ISERROR(MATCH(AR899,AV:AV,0)),"","Net")),"")</f>
        <v/>
      </c>
      <c r="BE899" s="27" t="str">
        <f t="shared" ref="BE899:BE962" si="412">IFERROR(IF(O899="","",IF(ISERROR(MATCH(AR899,AW:AW,0)),"","Exp")),"")</f>
        <v/>
      </c>
      <c r="BF899" s="27" t="str">
        <f t="shared" ref="BF899:BF962" si="413">IFERROR(IF(O899="","",IF(AND(AZ899="Supp",BC899="Net"),"S+N","")),"")</f>
        <v/>
      </c>
      <c r="BG899" s="27" t="str">
        <f t="shared" ref="BG899:BG962" si="414">IFERROR(IF(O899="","",IF(OR(BE899&lt;&gt;"",BF899&lt;&gt;""),"S+NorE","")),"")</f>
        <v/>
      </c>
      <c r="BH899" s="27" t="str">
        <f t="shared" ref="BH899:BH962" si="415">IFERROR(IF(O899="","",IF(AND(BA899&lt;&gt;"",BC899&lt;&gt;""),"H+N","")),"")</f>
        <v/>
      </c>
      <c r="BI899" s="27" t="str">
        <f t="shared" ref="BI899:BI962" si="416">IFERROR(IF(O899="","",IF(AND(BA899&lt;&gt;"",BD899&lt;&gt;""),"H+Nex","")),"")</f>
        <v/>
      </c>
      <c r="BJ899" s="27" t="str">
        <f t="shared" ref="BJ899:BJ962" si="417">IF(OR(AZ899&lt;&gt;"",BA899&lt;&gt;""),"Supp or Hun","")</f>
        <v/>
      </c>
      <c r="BK899" s="27" t="str">
        <f t="shared" ref="BK899:BK962" si="418">IF(AND(BJ899&lt;&gt;"",BC899&lt;&gt;""),"Supp or Hun Need","")</f>
        <v/>
      </c>
      <c r="BL899" s="27" t="str">
        <f t="shared" ref="BL899:BL962" si="419">IF(OR(BK899&lt;&gt;"",BE899&lt;&gt;""),"SorHandNandE","")</f>
        <v/>
      </c>
      <c r="BM899" s="21" t="s">
        <v>3790</v>
      </c>
    </row>
    <row r="900" spans="1:65" ht="15">
      <c r="A900" s="25" t="str">
        <f>IFERROR(INDEX('Hun Demand'!W:W,MATCH(O900,'Hun Demand'!A:A,0)),"")</f>
        <v/>
      </c>
      <c r="B900" s="25" t="str">
        <f>IFERROR(INDEX('Hun Demand'!V:V,MATCH(O900,'Hun Demand'!A:A,0)),"")</f>
        <v/>
      </c>
      <c r="C900" s="25" t="str">
        <f>IFERROR(INDEX('Hun Demand'!U:U,MATCH(O900,'Hun Demand'!A:A,0)),"")</f>
        <v/>
      </c>
      <c r="D900" s="25" t="str">
        <f>IFERROR(INDEX('Hun Demand'!T:T,MATCH(O900,'Hun Demand'!A:A,0)),"")</f>
        <v/>
      </c>
      <c r="E900" s="25" t="str">
        <f>IFERROR(INDEX('Hun Demand'!S:S,MATCH(O900,'Hun Demand'!A:A,0)),"")</f>
        <v/>
      </c>
      <c r="F900" s="25" t="str">
        <f>IFERROR(INDEX('Hun Demand'!R:R,MATCH(O900,'Hun Demand'!A:A,0)),"")</f>
        <v/>
      </c>
      <c r="G900" s="25">
        <f>IFERROR(INDEX('Aub Demand'!W:W,MATCH(O900,'Aub Demand'!A:A,0)),"")</f>
        <v>0</v>
      </c>
      <c r="H900" s="25">
        <f>IFERROR(INDEX('Aub Demand'!V:V,MATCH(O900,'Aub Demand'!A:A,0)),"")</f>
        <v>0</v>
      </c>
      <c r="I900" s="25">
        <f>IFERROR(INDEX('Aub Demand'!U:U,MATCH(O900,'Aub Demand'!A:A,0)),"")</f>
        <v>0</v>
      </c>
      <c r="J900" s="25">
        <f>IFERROR(INDEX('Aub Demand'!T:T,MATCH(O900,'Aub Demand'!A:A,0)),"")</f>
        <v>0</v>
      </c>
      <c r="K900" s="25">
        <f>IFERROR(INDEX('Aub Demand'!S:S,MATCH(O900,'Aub Demand'!A:A,0)),"")</f>
        <v>0</v>
      </c>
      <c r="L900" s="25">
        <f>IFERROR(INDEX('Aub Demand'!R:R,MATCH(O900,'Aub Demand'!A:A,0)),"")</f>
        <v>0</v>
      </c>
      <c r="O900" s="27" t="s">
        <v>1317</v>
      </c>
      <c r="P900" s="27" t="str">
        <f>IFERROR(INDEX('Aub Demand'!B:B,MATCH($O900,'Aub Demand'!$A:$A,0)),"")</f>
        <v>148# RECYCLED KRAFT</v>
      </c>
      <c r="Q900" s="27">
        <f>IFERROR(INDEX('Aub Demand'!C:C,MATCH($O900,'Aub Demand'!$A:$A,0)),"")</f>
        <v>0</v>
      </c>
      <c r="R900" s="52">
        <f>IFERROR(IF(AR901=AR900,INDEX('Aub Demand'!K:K,MATCH($O900,'Aub Demand'!$A:$A,0))-IF(AN900="",0,AN900)+AP901,INDEX('Aub Demand'!K:K,MATCH($O900,'Aub Demand'!$A:$A,0))-IF(AN900="",0,AN900)),"")</f>
        <v>28631</v>
      </c>
      <c r="S900" s="53" t="str">
        <f t="shared" si="392"/>
        <v>n/a</v>
      </c>
      <c r="T900" s="52" t="str">
        <f t="shared" si="393"/>
        <v/>
      </c>
      <c r="U900" s="52">
        <f>IFERROR(IF(AR901=AR900,INDEX('Aub Demand'!Q:Q,MATCH($O900,'Aub Demand'!$A:$A,0))-IF(AN900="",0,AN900)+AP901,INDEX('Aub Demand'!Q:Q,MATCH($O900,'Aub Demand'!$A:$A,0))-IF(AN900="",0,AN900)),"")</f>
        <v>28631</v>
      </c>
      <c r="V900" s="53" t="str">
        <f t="shared" si="394"/>
        <v>n/a</v>
      </c>
      <c r="W900" s="52" t="str">
        <f t="shared" si="395"/>
        <v/>
      </c>
      <c r="X900" s="52">
        <f>IFERROR(IF(AND(AR901=AR900,AM900&lt;&gt;""),INDEX('Aub Demand'!Q:Q,MATCH($O900,'Aub Demand'!$A:$A,0))-IF(AN900="",0,AN900)+AP901+AD900+AL900,IF(AR901=AR900,INDEX('Aub Demand'!Q:Q,MATCH($O900,'Aub Demand'!$A:$A,0))-IF(AN900="",0,AN900)+AP901+AD900,IF(AM900&lt;&gt;"",INDEX('Aub Demand'!Q:Q,MATCH($O900,'Aub Demand'!$A:$A,0))-IF(AN900="",0,AN900)+AD900+AL900,INDEX('Aub Demand'!Q:Q,MATCH($O900,'Aub Demand'!$A:$A,0))-IF(AN900="",0,AN900)+AD900))),"")</f>
        <v>28631</v>
      </c>
      <c r="Y900" s="53" t="str">
        <f t="shared" si="396"/>
        <v>n/a</v>
      </c>
      <c r="Z900" s="52">
        <f>IF(L900="","",INDEX('Aub Demand'!H:H,MATCH($O900,'Aub Demand'!$A:$A,0)))</f>
        <v>0</v>
      </c>
      <c r="AA900" s="52" t="str">
        <f t="shared" si="397"/>
        <v>-spike-</v>
      </c>
      <c r="AB900" s="52">
        <f>IFERROR(INDEX('Aub Demand'!L:L,MATCH($O900,'Aub Demand'!$A:$A,0)),"")</f>
        <v>0</v>
      </c>
      <c r="AC900" s="52">
        <f>IFERROR(IF(O900="","",SUMIFS('CPL Mats'!F:F,'CPL Mats'!Q:Q,AR900,'CPL Mats'!S:S,AS900)),"")</f>
        <v>0</v>
      </c>
      <c r="AF900" s="25" t="str">
        <f>IF(SUMIFS('Supp Consol'!S:S,'Supp Consol'!Y:Y,"Releasable",'Supp Consol'!A:A,O900)=0,"",SUMIFS('Supp Consol'!S:S,'Supp Consol'!Y:Y,"Releasable",'Supp Consol'!A:A,O900))</f>
        <v/>
      </c>
      <c r="AG900" s="25" t="str">
        <f>IFERROR(INDEX('Hun Demand'!Q:Q,MATCH(O900,'Hun Demand'!A:A,0)),"")</f>
        <v/>
      </c>
      <c r="AH900" s="25" t="str">
        <f>IFERROR(INDEX('Hun Demand'!H:H,MATCH($O900,'Hun Demand'!$A:$A,0)),"")</f>
        <v/>
      </c>
      <c r="AI900" s="25" t="str">
        <f>IF(SUMIFS('Supp Consol'!AA:AA,'Supp Consol'!Z:Z,"Expires this month",'Supp Consol'!A:A,O900)=0,"",SUMIFS('Supp Consol'!AA:AA,'Supp Consol'!Z:Z,"Expires this month",'Supp Consol'!A:A,O900))</f>
        <v/>
      </c>
      <c r="AJ900" s="25" t="str">
        <f>IF(SUMIFS('Supp Consol'!AA:AA,'Supp Consol'!Z:Z,"Expired Previous Months",'Supp Consol'!A:A,O900)=0,"",SUMIFS('Supp Consol'!AA:AA,'Supp Consol'!Z:Z,"Expired Previous Months",'Supp Consol'!A:A,O900))</f>
        <v/>
      </c>
      <c r="AK900" s="25" t="str">
        <f>IFERROR(INDEX('Hun Release Current'!B:B,MATCH(O900,'Hun Release Current'!A:A,0)),"")</f>
        <v/>
      </c>
      <c r="AL900" s="25" t="str">
        <f>IF(SUMIF('Prev Aub'!A:A,O900,'Prev Aub'!B:B)=0,"",SUMIF('Prev Aub'!A:A,O900,'Prev Aub'!B:B))</f>
        <v/>
      </c>
      <c r="AN900" s="25" t="s">
        <v>3790</v>
      </c>
      <c r="AO900" s="25" t="s">
        <v>3790</v>
      </c>
      <c r="AP900" s="25">
        <f t="shared" si="398"/>
        <v>0</v>
      </c>
      <c r="AQ900" s="151" t="str">
        <f>IF(SUMIFS('Supp Consol'!S:S,'Supp Consol'!A:A,O900,'Supp Consol'!I:I,"PENDING")=0,"",SUMIFS('Supp Consol'!S:S,'Supp Consol'!A:A,O900,'Supp Consol'!I:I,"PENDING"))</f>
        <v/>
      </c>
      <c r="AR900" s="27" t="str">
        <f t="shared" si="399"/>
        <v>QU934</v>
      </c>
      <c r="AS900" s="27" t="str">
        <f t="shared" si="400"/>
        <v>50</v>
      </c>
      <c r="AT900" s="27" t="str">
        <f t="shared" si="401"/>
        <v/>
      </c>
      <c r="AU900" s="27" t="str">
        <f t="shared" si="402"/>
        <v/>
      </c>
      <c r="AV900" s="27" t="str">
        <f t="shared" si="403"/>
        <v/>
      </c>
      <c r="AW900" s="27" t="str">
        <f t="shared" si="404"/>
        <v/>
      </c>
      <c r="AX900" s="27" t="str">
        <f t="shared" si="405"/>
        <v/>
      </c>
      <c r="AY900" s="27" t="str">
        <f t="shared" si="406"/>
        <v/>
      </c>
      <c r="AZ900" s="27" t="str">
        <f t="shared" si="407"/>
        <v/>
      </c>
      <c r="BA900" s="27" t="str">
        <f t="shared" si="408"/>
        <v/>
      </c>
      <c r="BB900" s="27" t="str">
        <f t="shared" si="409"/>
        <v/>
      </c>
      <c r="BC900" s="27" t="str">
        <f t="shared" si="410"/>
        <v/>
      </c>
      <c r="BD900" s="27" t="str">
        <f t="shared" si="411"/>
        <v/>
      </c>
      <c r="BE900" s="27" t="str">
        <f t="shared" si="412"/>
        <v/>
      </c>
      <c r="BF900" s="27" t="str">
        <f t="shared" si="413"/>
        <v/>
      </c>
      <c r="BG900" s="27" t="str">
        <f t="shared" si="414"/>
        <v/>
      </c>
      <c r="BH900" s="27" t="str">
        <f t="shared" si="415"/>
        <v/>
      </c>
      <c r="BI900" s="27" t="str">
        <f t="shared" si="416"/>
        <v/>
      </c>
      <c r="BJ900" s="27" t="str">
        <f t="shared" si="417"/>
        <v/>
      </c>
      <c r="BK900" s="27" t="str">
        <f t="shared" si="418"/>
        <v/>
      </c>
      <c r="BL900" s="27" t="str">
        <f t="shared" si="419"/>
        <v/>
      </c>
      <c r="BM900" s="21" t="s">
        <v>3790</v>
      </c>
    </row>
    <row r="901" spans="1:65" ht="15">
      <c r="A901" s="25" t="str">
        <f>IFERROR(INDEX('Hun Demand'!W:W,MATCH(O901,'Hun Demand'!A:A,0)),"")</f>
        <v/>
      </c>
      <c r="B901" s="25" t="str">
        <f>IFERROR(INDEX('Hun Demand'!V:V,MATCH(O901,'Hun Demand'!A:A,0)),"")</f>
        <v/>
      </c>
      <c r="C901" s="25" t="str">
        <f>IFERROR(INDEX('Hun Demand'!U:U,MATCH(O901,'Hun Demand'!A:A,0)),"")</f>
        <v/>
      </c>
      <c r="D901" s="25" t="str">
        <f>IFERROR(INDEX('Hun Demand'!T:T,MATCH(O901,'Hun Demand'!A:A,0)),"")</f>
        <v/>
      </c>
      <c r="E901" s="25" t="str">
        <f>IFERROR(INDEX('Hun Demand'!S:S,MATCH(O901,'Hun Demand'!A:A,0)),"")</f>
        <v/>
      </c>
      <c r="F901" s="25" t="str">
        <f>IFERROR(INDEX('Hun Demand'!R:R,MATCH(O901,'Hun Demand'!A:A,0)),"")</f>
        <v/>
      </c>
      <c r="G901" s="25">
        <f>IFERROR(INDEX('Aub Demand'!W:W,MATCH(O901,'Aub Demand'!A:A,0)),"")</f>
        <v>0</v>
      </c>
      <c r="H901" s="25">
        <f>IFERROR(INDEX('Aub Demand'!V:V,MATCH(O901,'Aub Demand'!A:A,0)),"")</f>
        <v>0</v>
      </c>
      <c r="I901" s="25">
        <f>IFERROR(INDEX('Aub Demand'!U:U,MATCH(O901,'Aub Demand'!A:A,0)),"")</f>
        <v>0</v>
      </c>
      <c r="J901" s="25">
        <f>IFERROR(INDEX('Aub Demand'!T:T,MATCH(O901,'Aub Demand'!A:A,0)),"")</f>
        <v>0</v>
      </c>
      <c r="K901" s="25">
        <f>IFERROR(INDEX('Aub Demand'!S:S,MATCH(O901,'Aub Demand'!A:A,0)),"")</f>
        <v>0</v>
      </c>
      <c r="L901" s="25">
        <f>IFERROR(INDEX('Aub Demand'!R:R,MATCH(O901,'Aub Demand'!A:A,0)),"")</f>
        <v>0</v>
      </c>
      <c r="O901" s="27" t="s">
        <v>1320</v>
      </c>
      <c r="P901" s="27" t="str">
        <f>IFERROR(INDEX('Aub Demand'!B:B,MATCH($O901,'Aub Demand'!$A:$A,0)),"")</f>
        <v>148#  RECYCLED KRAFT</v>
      </c>
      <c r="Q901" s="27">
        <f>IFERROR(INDEX('Aub Demand'!C:C,MATCH($O901,'Aub Demand'!$A:$A,0)),"")</f>
        <v>0</v>
      </c>
      <c r="R901" s="52">
        <f>IFERROR(IF(AR902=AR901,INDEX('Aub Demand'!K:K,MATCH($O901,'Aub Demand'!$A:$A,0))-IF(AN901="",0,AN901)+AP902,INDEX('Aub Demand'!K:K,MATCH($O901,'Aub Demand'!$A:$A,0))-IF(AN901="",0,AN901)),"")</f>
        <v>15745</v>
      </c>
      <c r="S901" s="53" t="str">
        <f t="shared" si="392"/>
        <v>n/a</v>
      </c>
      <c r="T901" s="52" t="str">
        <f t="shared" si="393"/>
        <v/>
      </c>
      <c r="U901" s="52">
        <f>IFERROR(IF(AR902=AR901,INDEX('Aub Demand'!Q:Q,MATCH($O901,'Aub Demand'!$A:$A,0))-IF(AN901="",0,AN901)+AP902,INDEX('Aub Demand'!Q:Q,MATCH($O901,'Aub Demand'!$A:$A,0))-IF(AN901="",0,AN901)),"")</f>
        <v>15745</v>
      </c>
      <c r="V901" s="53" t="str">
        <f t="shared" si="394"/>
        <v>n/a</v>
      </c>
      <c r="W901" s="52" t="str">
        <f t="shared" si="395"/>
        <v/>
      </c>
      <c r="X901" s="52">
        <f>IFERROR(IF(AND(AR902=AR901,AM901&lt;&gt;""),INDEX('Aub Demand'!Q:Q,MATCH($O901,'Aub Demand'!$A:$A,0))-IF(AN901="",0,AN901)+AP902+AD901+AL901,IF(AR902=AR901,INDEX('Aub Demand'!Q:Q,MATCH($O901,'Aub Demand'!$A:$A,0))-IF(AN901="",0,AN901)+AP902+AD901,IF(AM901&lt;&gt;"",INDEX('Aub Demand'!Q:Q,MATCH($O901,'Aub Demand'!$A:$A,0))-IF(AN901="",0,AN901)+AD901+AL901,INDEX('Aub Demand'!Q:Q,MATCH($O901,'Aub Demand'!$A:$A,0))-IF(AN901="",0,AN901)+AD901))),"")</f>
        <v>15745</v>
      </c>
      <c r="Y901" s="53" t="str">
        <f t="shared" si="396"/>
        <v>n/a</v>
      </c>
      <c r="Z901" s="52">
        <f>IF(L901="","",INDEX('Aub Demand'!H:H,MATCH($O901,'Aub Demand'!$A:$A,0)))</f>
        <v>0</v>
      </c>
      <c r="AA901" s="52" t="str">
        <f t="shared" si="397"/>
        <v>-spike-</v>
      </c>
      <c r="AB901" s="52">
        <f>IFERROR(INDEX('Aub Demand'!L:L,MATCH($O901,'Aub Demand'!$A:$A,0)),"")</f>
        <v>0</v>
      </c>
      <c r="AC901" s="52">
        <f>IFERROR(IF(O901="","",SUMIFS('CPL Mats'!F:F,'CPL Mats'!Q:Q,AR901,'CPL Mats'!S:S,AS901)),"")</f>
        <v>0</v>
      </c>
      <c r="AF901" s="25" t="str">
        <f>IF(SUMIFS('Supp Consol'!S:S,'Supp Consol'!Y:Y,"Releasable",'Supp Consol'!A:A,O901)=0,"",SUMIFS('Supp Consol'!S:S,'Supp Consol'!Y:Y,"Releasable",'Supp Consol'!A:A,O901))</f>
        <v/>
      </c>
      <c r="AG901" s="25" t="str">
        <f>IFERROR(INDEX('Hun Demand'!Q:Q,MATCH(O901,'Hun Demand'!A:A,0)),"")</f>
        <v/>
      </c>
      <c r="AH901" s="25" t="str">
        <f>IFERROR(INDEX('Hun Demand'!H:H,MATCH($O901,'Hun Demand'!$A:$A,0)),"")</f>
        <v/>
      </c>
      <c r="AI901" s="25" t="str">
        <f>IF(SUMIFS('Supp Consol'!AA:AA,'Supp Consol'!Z:Z,"Expires this month",'Supp Consol'!A:A,O901)=0,"",SUMIFS('Supp Consol'!AA:AA,'Supp Consol'!Z:Z,"Expires this month",'Supp Consol'!A:A,O901))</f>
        <v/>
      </c>
      <c r="AJ901" s="25" t="str">
        <f>IF(SUMIFS('Supp Consol'!AA:AA,'Supp Consol'!Z:Z,"Expired Previous Months",'Supp Consol'!A:A,O901)=0,"",SUMIFS('Supp Consol'!AA:AA,'Supp Consol'!Z:Z,"Expired Previous Months",'Supp Consol'!A:A,O901))</f>
        <v/>
      </c>
      <c r="AK901" s="25" t="str">
        <f>IFERROR(INDEX('Hun Release Current'!B:B,MATCH(O901,'Hun Release Current'!A:A,0)),"")</f>
        <v/>
      </c>
      <c r="AL901" s="25" t="str">
        <f>IF(SUMIF('Prev Aub'!A:A,O901,'Prev Aub'!B:B)=0,"",SUMIF('Prev Aub'!A:A,O901,'Prev Aub'!B:B))</f>
        <v/>
      </c>
      <c r="AN901" s="25" t="s">
        <v>3790</v>
      </c>
      <c r="AO901" s="25" t="s">
        <v>3790</v>
      </c>
      <c r="AP901" s="25">
        <f t="shared" si="398"/>
        <v>0</v>
      </c>
      <c r="AQ901" s="151" t="str">
        <f>IF(SUMIFS('Supp Consol'!S:S,'Supp Consol'!A:A,O901,'Supp Consol'!I:I,"PENDING")=0,"",SUMIFS('Supp Consol'!S:S,'Supp Consol'!A:A,O901,'Supp Consol'!I:I,"PENDING"))</f>
        <v/>
      </c>
      <c r="AR901" s="27" t="str">
        <f t="shared" si="399"/>
        <v>QU934</v>
      </c>
      <c r="AS901" s="27" t="str">
        <f t="shared" si="400"/>
        <v>62</v>
      </c>
      <c r="AT901" s="27" t="str">
        <f t="shared" si="401"/>
        <v/>
      </c>
      <c r="AU901" s="27" t="str">
        <f t="shared" si="402"/>
        <v/>
      </c>
      <c r="AV901" s="27" t="str">
        <f t="shared" si="403"/>
        <v/>
      </c>
      <c r="AW901" s="27" t="str">
        <f t="shared" si="404"/>
        <v/>
      </c>
      <c r="AX901" s="27" t="str">
        <f t="shared" si="405"/>
        <v/>
      </c>
      <c r="AY901" s="27" t="str">
        <f t="shared" si="406"/>
        <v/>
      </c>
      <c r="AZ901" s="27" t="str">
        <f t="shared" si="407"/>
        <v/>
      </c>
      <c r="BA901" s="27" t="str">
        <f t="shared" si="408"/>
        <v/>
      </c>
      <c r="BB901" s="27" t="str">
        <f t="shared" si="409"/>
        <v/>
      </c>
      <c r="BC901" s="27" t="str">
        <f t="shared" si="410"/>
        <v/>
      </c>
      <c r="BD901" s="27" t="str">
        <f t="shared" si="411"/>
        <v/>
      </c>
      <c r="BE901" s="27" t="str">
        <f t="shared" si="412"/>
        <v/>
      </c>
      <c r="BF901" s="27" t="str">
        <f t="shared" si="413"/>
        <v/>
      </c>
      <c r="BG901" s="27" t="str">
        <f t="shared" si="414"/>
        <v/>
      </c>
      <c r="BH901" s="27" t="str">
        <f t="shared" si="415"/>
        <v/>
      </c>
      <c r="BI901" s="27" t="str">
        <f t="shared" si="416"/>
        <v/>
      </c>
      <c r="BJ901" s="27" t="str">
        <f t="shared" si="417"/>
        <v/>
      </c>
      <c r="BK901" s="27" t="str">
        <f t="shared" si="418"/>
        <v/>
      </c>
      <c r="BL901" s="27" t="str">
        <f t="shared" si="419"/>
        <v/>
      </c>
      <c r="BM901" s="21" t="s">
        <v>3790</v>
      </c>
    </row>
    <row r="902" spans="1:65" ht="15">
      <c r="A902" s="25" t="str">
        <f>IFERROR(INDEX('Hun Demand'!W:W,MATCH(O902,'Hun Demand'!A:A,0)),"")</f>
        <v/>
      </c>
      <c r="B902" s="25" t="str">
        <f>IFERROR(INDEX('Hun Demand'!V:V,MATCH(O902,'Hun Demand'!A:A,0)),"")</f>
        <v/>
      </c>
      <c r="C902" s="25" t="str">
        <f>IFERROR(INDEX('Hun Demand'!U:U,MATCH(O902,'Hun Demand'!A:A,0)),"")</f>
        <v/>
      </c>
      <c r="D902" s="25" t="str">
        <f>IFERROR(INDEX('Hun Demand'!T:T,MATCH(O902,'Hun Demand'!A:A,0)),"")</f>
        <v/>
      </c>
      <c r="E902" s="25" t="str">
        <f>IFERROR(INDEX('Hun Demand'!S:S,MATCH(O902,'Hun Demand'!A:A,0)),"")</f>
        <v/>
      </c>
      <c r="F902" s="25" t="str">
        <f>IFERROR(INDEX('Hun Demand'!R:R,MATCH(O902,'Hun Demand'!A:A,0)),"")</f>
        <v/>
      </c>
      <c r="G902" s="25">
        <f>IFERROR(INDEX('Aub Demand'!W:W,MATCH(O902,'Aub Demand'!A:A,0)),"")</f>
        <v>0</v>
      </c>
      <c r="H902" s="25">
        <f>IFERROR(INDEX('Aub Demand'!V:V,MATCH(O902,'Aub Demand'!A:A,0)),"")</f>
        <v>0</v>
      </c>
      <c r="I902" s="25">
        <f>IFERROR(INDEX('Aub Demand'!U:U,MATCH(O902,'Aub Demand'!A:A,0)),"")</f>
        <v>0</v>
      </c>
      <c r="J902" s="25">
        <f>IFERROR(INDEX('Aub Demand'!T:T,MATCH(O902,'Aub Demand'!A:A,0)),"")</f>
        <v>0</v>
      </c>
      <c r="K902" s="25">
        <f>IFERROR(INDEX('Aub Demand'!S:S,MATCH(O902,'Aub Demand'!A:A,0)),"")</f>
        <v>0</v>
      </c>
      <c r="L902" s="25">
        <f>IFERROR(INDEX('Aub Demand'!R:R,MATCH(O902,'Aub Demand'!A:A,0)),"")</f>
        <v>0</v>
      </c>
      <c r="O902" s="27" t="s">
        <v>1322</v>
      </c>
      <c r="P902" s="27" t="str">
        <f>IFERROR(INDEX('Aub Demand'!B:B,MATCH($O902,'Aub Demand'!$A:$A,0)),"")</f>
        <v>WHITE CHOCOLATE TRIA</v>
      </c>
      <c r="Q902" s="27" t="str">
        <f>IFERROR(INDEX('Aub Demand'!C:C,MATCH($O902,'Aub Demand'!$A:$A,0)),"")</f>
        <v>TOPPA</v>
      </c>
      <c r="R902" s="52">
        <f>IFERROR(IF(AR903=AR902,INDEX('Aub Demand'!K:K,MATCH($O902,'Aub Demand'!$A:$A,0))-IF(AN902="",0,AN902)+AP903,INDEX('Aub Demand'!K:K,MATCH($O902,'Aub Demand'!$A:$A,0))-IF(AN902="",0,AN902)),"")</f>
        <v>349</v>
      </c>
      <c r="S902" s="53" t="str">
        <f t="shared" si="392"/>
        <v>n/a</v>
      </c>
      <c r="T902" s="52" t="str">
        <f t="shared" si="393"/>
        <v/>
      </c>
      <c r="U902" s="52">
        <f>IFERROR(IF(AR903=AR902,INDEX('Aub Demand'!Q:Q,MATCH($O902,'Aub Demand'!$A:$A,0))-IF(AN902="",0,AN902)+AP903,INDEX('Aub Demand'!Q:Q,MATCH($O902,'Aub Demand'!$A:$A,0))-IF(AN902="",0,AN902)),"")</f>
        <v>349</v>
      </c>
      <c r="V902" s="53" t="str">
        <f t="shared" si="394"/>
        <v>n/a</v>
      </c>
      <c r="W902" s="52" t="str">
        <f t="shared" si="395"/>
        <v/>
      </c>
      <c r="X902" s="52">
        <f>IFERROR(IF(AND(AR903=AR902,AM902&lt;&gt;""),INDEX('Aub Demand'!Q:Q,MATCH($O902,'Aub Demand'!$A:$A,0))-IF(AN902="",0,AN902)+AP903+AD902+AL902,IF(AR903=AR902,INDEX('Aub Demand'!Q:Q,MATCH($O902,'Aub Demand'!$A:$A,0))-IF(AN902="",0,AN902)+AP903+AD902,IF(AM902&lt;&gt;"",INDEX('Aub Demand'!Q:Q,MATCH($O902,'Aub Demand'!$A:$A,0))-IF(AN902="",0,AN902)+AD902+AL902,INDEX('Aub Demand'!Q:Q,MATCH($O902,'Aub Demand'!$A:$A,0))-IF(AN902="",0,AN902)+AD902))),"")</f>
        <v>349</v>
      </c>
      <c r="Y902" s="53" t="str">
        <f t="shared" si="396"/>
        <v>n/a</v>
      </c>
      <c r="Z902" s="52">
        <f>IF(L902="","",INDEX('Aub Demand'!H:H,MATCH($O902,'Aub Demand'!$A:$A,0)))</f>
        <v>0</v>
      </c>
      <c r="AA902" s="52" t="str">
        <f t="shared" si="397"/>
        <v>-spike-</v>
      </c>
      <c r="AB902" s="52">
        <f>IFERROR(INDEX('Aub Demand'!L:L,MATCH($O902,'Aub Demand'!$A:$A,0)),"")</f>
        <v>0</v>
      </c>
      <c r="AC902" s="52">
        <f>IFERROR(IF(O902="","",SUMIFS('CPL Mats'!F:F,'CPL Mats'!Q:Q,AR902,'CPL Mats'!S:S,AS902)),"")</f>
        <v>0</v>
      </c>
      <c r="AF902" s="25" t="str">
        <f>IF(SUMIFS('Supp Consol'!S:S,'Supp Consol'!Y:Y,"Releasable",'Supp Consol'!A:A,O902)=0,"",SUMIFS('Supp Consol'!S:S,'Supp Consol'!Y:Y,"Releasable",'Supp Consol'!A:A,O902))</f>
        <v/>
      </c>
      <c r="AG902" s="25" t="str">
        <f>IFERROR(INDEX('Hun Demand'!Q:Q,MATCH(O902,'Hun Demand'!A:A,0)),"")</f>
        <v/>
      </c>
      <c r="AH902" s="25" t="str">
        <f>IFERROR(INDEX('Hun Demand'!H:H,MATCH($O902,'Hun Demand'!$A:$A,0)),"")</f>
        <v/>
      </c>
      <c r="AI902" s="25" t="str">
        <f>IF(SUMIFS('Supp Consol'!AA:AA,'Supp Consol'!Z:Z,"Expires this month",'Supp Consol'!A:A,O902)=0,"",SUMIFS('Supp Consol'!AA:AA,'Supp Consol'!Z:Z,"Expires this month",'Supp Consol'!A:A,O902))</f>
        <v/>
      </c>
      <c r="AJ902" s="25" t="str">
        <f>IF(SUMIFS('Supp Consol'!AA:AA,'Supp Consol'!Z:Z,"Expired Previous Months",'Supp Consol'!A:A,O902)=0,"",SUMIFS('Supp Consol'!AA:AA,'Supp Consol'!Z:Z,"Expired Previous Months",'Supp Consol'!A:A,O902))</f>
        <v/>
      </c>
      <c r="AK902" s="25" t="str">
        <f>IFERROR(INDEX('Hun Release Current'!B:B,MATCH(O902,'Hun Release Current'!A:A,0)),"")</f>
        <v/>
      </c>
      <c r="AL902" s="25" t="str">
        <f>IF(SUMIF('Prev Aub'!A:A,O902,'Prev Aub'!B:B)=0,"",SUMIF('Prev Aub'!A:A,O902,'Prev Aub'!B:B))</f>
        <v/>
      </c>
      <c r="AN902" s="25" t="s">
        <v>3790</v>
      </c>
      <c r="AO902" s="25" t="s">
        <v>3790</v>
      </c>
      <c r="AP902" s="25">
        <f t="shared" si="398"/>
        <v>0</v>
      </c>
      <c r="AQ902" s="151" t="str">
        <f>IF(SUMIFS('Supp Consol'!S:S,'Supp Consol'!A:A,O902,'Supp Consol'!I:I,"PENDING")=0,"",SUMIFS('Supp Consol'!S:S,'Supp Consol'!A:A,O902,'Supp Consol'!I:I,"PENDING"))</f>
        <v/>
      </c>
      <c r="AR902" s="27" t="str">
        <f t="shared" si="399"/>
        <v>QU942</v>
      </c>
      <c r="AS902" s="27" t="str">
        <f t="shared" si="400"/>
        <v>50</v>
      </c>
      <c r="AT902" s="27" t="str">
        <f t="shared" si="401"/>
        <v/>
      </c>
      <c r="AU902" s="27" t="str">
        <f t="shared" si="402"/>
        <v/>
      </c>
      <c r="AV902" s="27" t="str">
        <f t="shared" si="403"/>
        <v/>
      </c>
      <c r="AW902" s="27" t="str">
        <f t="shared" si="404"/>
        <v/>
      </c>
      <c r="AX902" s="27" t="str">
        <f t="shared" si="405"/>
        <v/>
      </c>
      <c r="AY902" s="27" t="str">
        <f t="shared" si="406"/>
        <v/>
      </c>
      <c r="AZ902" s="27" t="str">
        <f t="shared" si="407"/>
        <v/>
      </c>
      <c r="BA902" s="27" t="str">
        <f t="shared" si="408"/>
        <v/>
      </c>
      <c r="BB902" s="27" t="str">
        <f t="shared" si="409"/>
        <v/>
      </c>
      <c r="BC902" s="27" t="str">
        <f t="shared" si="410"/>
        <v/>
      </c>
      <c r="BD902" s="27" t="str">
        <f t="shared" si="411"/>
        <v/>
      </c>
      <c r="BE902" s="27" t="str">
        <f t="shared" si="412"/>
        <v/>
      </c>
      <c r="BF902" s="27" t="str">
        <f t="shared" si="413"/>
        <v/>
      </c>
      <c r="BG902" s="27" t="str">
        <f t="shared" si="414"/>
        <v/>
      </c>
      <c r="BH902" s="27" t="str">
        <f t="shared" si="415"/>
        <v/>
      </c>
      <c r="BI902" s="27" t="str">
        <f t="shared" si="416"/>
        <v/>
      </c>
      <c r="BJ902" s="27" t="str">
        <f t="shared" si="417"/>
        <v/>
      </c>
      <c r="BK902" s="27" t="str">
        <f t="shared" si="418"/>
        <v/>
      </c>
      <c r="BL902" s="27" t="str">
        <f t="shared" si="419"/>
        <v/>
      </c>
      <c r="BM902" s="21" t="s">
        <v>3790</v>
      </c>
    </row>
    <row r="903" spans="1:65" ht="15">
      <c r="A903" s="25" t="str">
        <f>IFERROR(INDEX('Hun Demand'!W:W,MATCH(O903,'Hun Demand'!A:A,0)),"")</f>
        <v/>
      </c>
      <c r="B903" s="25" t="str">
        <f>IFERROR(INDEX('Hun Demand'!V:V,MATCH(O903,'Hun Demand'!A:A,0)),"")</f>
        <v/>
      </c>
      <c r="C903" s="25" t="str">
        <f>IFERROR(INDEX('Hun Demand'!U:U,MATCH(O903,'Hun Demand'!A:A,0)),"")</f>
        <v/>
      </c>
      <c r="D903" s="25" t="str">
        <f>IFERROR(INDEX('Hun Demand'!T:T,MATCH(O903,'Hun Demand'!A:A,0)),"")</f>
        <v/>
      </c>
      <c r="E903" s="25" t="str">
        <f>IFERROR(INDEX('Hun Demand'!S:S,MATCH(O903,'Hun Demand'!A:A,0)),"")</f>
        <v/>
      </c>
      <c r="F903" s="25" t="str">
        <f>IFERROR(INDEX('Hun Demand'!R:R,MATCH(O903,'Hun Demand'!A:A,0)),"")</f>
        <v/>
      </c>
      <c r="G903" s="25">
        <f>IFERROR(INDEX('Aub Demand'!W:W,MATCH(O903,'Aub Demand'!A:A,0)),"")</f>
        <v>0</v>
      </c>
      <c r="H903" s="25">
        <f>IFERROR(INDEX('Aub Demand'!V:V,MATCH(O903,'Aub Demand'!A:A,0)),"")</f>
        <v>0</v>
      </c>
      <c r="I903" s="25">
        <f>IFERROR(INDEX('Aub Demand'!U:U,MATCH(O903,'Aub Demand'!A:A,0)),"")</f>
        <v>0</v>
      </c>
      <c r="J903" s="25">
        <f>IFERROR(INDEX('Aub Demand'!T:T,MATCH(O903,'Aub Demand'!A:A,0)),"")</f>
        <v>0</v>
      </c>
      <c r="K903" s="25">
        <f>IFERROR(INDEX('Aub Demand'!S:S,MATCH(O903,'Aub Demand'!A:A,0)),"")</f>
        <v>0</v>
      </c>
      <c r="L903" s="25">
        <f>IFERROR(INDEX('Aub Demand'!R:R,MATCH(O903,'Aub Demand'!A:A,0)),"")</f>
        <v>0</v>
      </c>
      <c r="O903" s="27" t="s">
        <v>1324</v>
      </c>
      <c r="P903" s="27" t="str">
        <f>IFERROR(INDEX('Aub Demand'!B:B,MATCH($O903,'Aub Demand'!$A:$A,0)),"")</f>
        <v>ELESGO EXTERIOR GRAY</v>
      </c>
      <c r="Q903" s="27" t="str">
        <f>IFERROR(INDEX('Aub Demand'!C:C,MATCH($O903,'Aub Demand'!$A:$A,0)),"")</f>
        <v>ELESG</v>
      </c>
      <c r="R903" s="52">
        <f>IFERROR(IF(AR904=AR903,INDEX('Aub Demand'!K:K,MATCH($O903,'Aub Demand'!$A:$A,0))-IF(AN903="",0,AN903)+AP904,INDEX('Aub Demand'!K:K,MATCH($O903,'Aub Demand'!$A:$A,0))-IF(AN903="",0,AN903)),"")</f>
        <v>19</v>
      </c>
      <c r="S903" s="53" t="str">
        <f t="shared" si="392"/>
        <v>n/a</v>
      </c>
      <c r="T903" s="52" t="str">
        <f t="shared" si="393"/>
        <v/>
      </c>
      <c r="U903" s="52">
        <f>IFERROR(IF(AR904=AR903,INDEX('Aub Demand'!Q:Q,MATCH($O903,'Aub Demand'!$A:$A,0))-IF(AN903="",0,AN903)+AP904,INDEX('Aub Demand'!Q:Q,MATCH($O903,'Aub Demand'!$A:$A,0))-IF(AN903="",0,AN903)),"")</f>
        <v>19</v>
      </c>
      <c r="V903" s="53" t="str">
        <f t="shared" si="394"/>
        <v>n/a</v>
      </c>
      <c r="W903" s="52" t="str">
        <f t="shared" si="395"/>
        <v/>
      </c>
      <c r="X903" s="52">
        <f>IFERROR(IF(AND(AR904=AR903,AM903&lt;&gt;""),INDEX('Aub Demand'!Q:Q,MATCH($O903,'Aub Demand'!$A:$A,0))-IF(AN903="",0,AN903)+AP904+AD903+AL903,IF(AR904=AR903,INDEX('Aub Demand'!Q:Q,MATCH($O903,'Aub Demand'!$A:$A,0))-IF(AN903="",0,AN903)+AP904+AD903,IF(AM903&lt;&gt;"",INDEX('Aub Demand'!Q:Q,MATCH($O903,'Aub Demand'!$A:$A,0))-IF(AN903="",0,AN903)+AD903+AL903,INDEX('Aub Demand'!Q:Q,MATCH($O903,'Aub Demand'!$A:$A,0))-IF(AN903="",0,AN903)+AD903))),"")</f>
        <v>19</v>
      </c>
      <c r="Y903" s="53" t="str">
        <f t="shared" si="396"/>
        <v>n/a</v>
      </c>
      <c r="Z903" s="52">
        <f>IF(L903="","",INDEX('Aub Demand'!H:H,MATCH($O903,'Aub Demand'!$A:$A,0)))</f>
        <v>0</v>
      </c>
      <c r="AA903" s="52" t="str">
        <f t="shared" si="397"/>
        <v>-spike-</v>
      </c>
      <c r="AB903" s="52">
        <f>IFERROR(INDEX('Aub Demand'!L:L,MATCH($O903,'Aub Demand'!$A:$A,0)),"")</f>
        <v>0</v>
      </c>
      <c r="AC903" s="52">
        <f>IFERROR(IF(O903="","",SUMIFS('CPL Mats'!F:F,'CPL Mats'!Q:Q,AR903,'CPL Mats'!S:S,AS903)),"")</f>
        <v>0</v>
      </c>
      <c r="AF903" s="25" t="str">
        <f>IF(SUMIFS('Supp Consol'!S:S,'Supp Consol'!Y:Y,"Releasable",'Supp Consol'!A:A,O903)=0,"",SUMIFS('Supp Consol'!S:S,'Supp Consol'!Y:Y,"Releasable",'Supp Consol'!A:A,O903))</f>
        <v/>
      </c>
      <c r="AG903" s="25" t="str">
        <f>IFERROR(INDEX('Hun Demand'!Q:Q,MATCH(O903,'Hun Demand'!A:A,0)),"")</f>
        <v/>
      </c>
      <c r="AH903" s="25" t="str">
        <f>IFERROR(INDEX('Hun Demand'!H:H,MATCH($O903,'Hun Demand'!$A:$A,0)),"")</f>
        <v/>
      </c>
      <c r="AI903" s="25" t="str">
        <f>IF(SUMIFS('Supp Consol'!AA:AA,'Supp Consol'!Z:Z,"Expires this month",'Supp Consol'!A:A,O903)=0,"",SUMIFS('Supp Consol'!AA:AA,'Supp Consol'!Z:Z,"Expires this month",'Supp Consol'!A:A,O903))</f>
        <v/>
      </c>
      <c r="AJ903" s="25" t="str">
        <f>IF(SUMIFS('Supp Consol'!AA:AA,'Supp Consol'!Z:Z,"Expired Previous Months",'Supp Consol'!A:A,O903)=0,"",SUMIFS('Supp Consol'!AA:AA,'Supp Consol'!Z:Z,"Expired Previous Months",'Supp Consol'!A:A,O903))</f>
        <v/>
      </c>
      <c r="AK903" s="25" t="str">
        <f>IFERROR(INDEX('Hun Release Current'!B:B,MATCH(O903,'Hun Release Current'!A:A,0)),"")</f>
        <v/>
      </c>
      <c r="AL903" s="25" t="str">
        <f>IF(SUMIF('Prev Aub'!A:A,O903,'Prev Aub'!B:B)=0,"",SUMIF('Prev Aub'!A:A,O903,'Prev Aub'!B:B))</f>
        <v/>
      </c>
      <c r="AN903" s="25" t="s">
        <v>3790</v>
      </c>
      <c r="AO903" s="25" t="s">
        <v>3790</v>
      </c>
      <c r="AP903" s="25">
        <f t="shared" si="398"/>
        <v>0</v>
      </c>
      <c r="AQ903" s="151" t="str">
        <f>IF(SUMIFS('Supp Consol'!S:S,'Supp Consol'!A:A,O903,'Supp Consol'!I:I,"PENDING")=0,"",SUMIFS('Supp Consol'!S:S,'Supp Consol'!A:A,O903,'Supp Consol'!I:I,"PENDING"))</f>
        <v/>
      </c>
      <c r="AR903" s="27" t="str">
        <f t="shared" si="399"/>
        <v>QU943</v>
      </c>
      <c r="AS903" s="27" t="str">
        <f t="shared" si="400"/>
        <v>50</v>
      </c>
      <c r="AT903" s="27" t="str">
        <f t="shared" si="401"/>
        <v/>
      </c>
      <c r="AU903" s="27" t="str">
        <f t="shared" si="402"/>
        <v/>
      </c>
      <c r="AV903" s="27" t="str">
        <f t="shared" si="403"/>
        <v/>
      </c>
      <c r="AW903" s="27" t="str">
        <f t="shared" si="404"/>
        <v/>
      </c>
      <c r="AX903" s="27" t="str">
        <f t="shared" si="405"/>
        <v/>
      </c>
      <c r="AY903" s="27" t="str">
        <f t="shared" si="406"/>
        <v/>
      </c>
      <c r="AZ903" s="27" t="str">
        <f t="shared" si="407"/>
        <v/>
      </c>
      <c r="BA903" s="27" t="str">
        <f t="shared" si="408"/>
        <v/>
      </c>
      <c r="BB903" s="27" t="str">
        <f t="shared" si="409"/>
        <v/>
      </c>
      <c r="BC903" s="27" t="str">
        <f t="shared" si="410"/>
        <v/>
      </c>
      <c r="BD903" s="27" t="str">
        <f t="shared" si="411"/>
        <v/>
      </c>
      <c r="BE903" s="27" t="str">
        <f t="shared" si="412"/>
        <v/>
      </c>
      <c r="BF903" s="27" t="str">
        <f t="shared" si="413"/>
        <v/>
      </c>
      <c r="BG903" s="27" t="str">
        <f t="shared" si="414"/>
        <v/>
      </c>
      <c r="BH903" s="27" t="str">
        <f t="shared" si="415"/>
        <v/>
      </c>
      <c r="BI903" s="27" t="str">
        <f t="shared" si="416"/>
        <v/>
      </c>
      <c r="BJ903" s="27" t="str">
        <f t="shared" si="417"/>
        <v/>
      </c>
      <c r="BK903" s="27" t="str">
        <f t="shared" si="418"/>
        <v/>
      </c>
      <c r="BL903" s="27" t="str">
        <f t="shared" si="419"/>
        <v/>
      </c>
      <c r="BM903" s="21" t="s">
        <v>3790</v>
      </c>
    </row>
    <row r="904" spans="1:65" ht="15">
      <c r="A904" s="25" t="str">
        <f>IFERROR(INDEX('Hun Demand'!W:W,MATCH(O904,'Hun Demand'!A:A,0)),"")</f>
        <v/>
      </c>
      <c r="B904" s="25" t="str">
        <f>IFERROR(INDEX('Hun Demand'!V:V,MATCH(O904,'Hun Demand'!A:A,0)),"")</f>
        <v/>
      </c>
      <c r="C904" s="25" t="str">
        <f>IFERROR(INDEX('Hun Demand'!U:U,MATCH(O904,'Hun Demand'!A:A,0)),"")</f>
        <v/>
      </c>
      <c r="D904" s="25" t="str">
        <f>IFERROR(INDEX('Hun Demand'!T:T,MATCH(O904,'Hun Demand'!A:A,0)),"")</f>
        <v/>
      </c>
      <c r="E904" s="25" t="str">
        <f>IFERROR(INDEX('Hun Demand'!S:S,MATCH(O904,'Hun Demand'!A:A,0)),"")</f>
        <v/>
      </c>
      <c r="F904" s="25" t="str">
        <f>IFERROR(INDEX('Hun Demand'!R:R,MATCH(O904,'Hun Demand'!A:A,0)),"")</f>
        <v/>
      </c>
      <c r="G904" s="25">
        <f>IFERROR(INDEX('Aub Demand'!W:W,MATCH(O904,'Aub Demand'!A:A,0)),"")</f>
        <v>0</v>
      </c>
      <c r="H904" s="25">
        <f>IFERROR(INDEX('Aub Demand'!V:V,MATCH(O904,'Aub Demand'!A:A,0)),"")</f>
        <v>0</v>
      </c>
      <c r="I904" s="25">
        <f>IFERROR(INDEX('Aub Demand'!U:U,MATCH(O904,'Aub Demand'!A:A,0)),"")</f>
        <v>0</v>
      </c>
      <c r="J904" s="25">
        <f>IFERROR(INDEX('Aub Demand'!T:T,MATCH(O904,'Aub Demand'!A:A,0)),"")</f>
        <v>0</v>
      </c>
      <c r="K904" s="25">
        <f>IFERROR(INDEX('Aub Demand'!S:S,MATCH(O904,'Aub Demand'!A:A,0)),"")</f>
        <v>0</v>
      </c>
      <c r="L904" s="25">
        <f>IFERROR(INDEX('Aub Demand'!R:R,MATCH(O904,'Aub Demand'!A:A,0)),"")</f>
        <v>0</v>
      </c>
      <c r="O904" s="27" t="s">
        <v>1327</v>
      </c>
      <c r="P904" s="27" t="str">
        <f>IFERROR(INDEX('Aub Demand'!B:B,MATCH($O904,'Aub Demand'!$A:$A,0)),"")</f>
        <v>ELESGO LAB WHITE</v>
      </c>
      <c r="Q904" s="27" t="str">
        <f>IFERROR(INDEX('Aub Demand'!C:C,MATCH($O904,'Aub Demand'!$A:$A,0)),"")</f>
        <v>ELESG</v>
      </c>
      <c r="R904" s="52">
        <f>IFERROR(IF(AR905=AR904,INDEX('Aub Demand'!K:K,MATCH($O904,'Aub Demand'!$A:$A,0))-IF(AN904="",0,AN904)+AP905,INDEX('Aub Demand'!K:K,MATCH($O904,'Aub Demand'!$A:$A,0))-IF(AN904="",0,AN904)),"")</f>
        <v>56</v>
      </c>
      <c r="S904" s="53" t="str">
        <f t="shared" si="392"/>
        <v>n/a</v>
      </c>
      <c r="T904" s="52" t="str">
        <f t="shared" si="393"/>
        <v/>
      </c>
      <c r="U904" s="52">
        <f>IFERROR(IF(AR905=AR904,INDEX('Aub Demand'!Q:Q,MATCH($O904,'Aub Demand'!$A:$A,0))-IF(AN904="",0,AN904)+AP905,INDEX('Aub Demand'!Q:Q,MATCH($O904,'Aub Demand'!$A:$A,0))-IF(AN904="",0,AN904)),"")</f>
        <v>56</v>
      </c>
      <c r="V904" s="53" t="str">
        <f t="shared" si="394"/>
        <v>n/a</v>
      </c>
      <c r="W904" s="52" t="str">
        <f t="shared" si="395"/>
        <v/>
      </c>
      <c r="X904" s="52">
        <f>IFERROR(IF(AND(AR905=AR904,AM904&lt;&gt;""),INDEX('Aub Demand'!Q:Q,MATCH($O904,'Aub Demand'!$A:$A,0))-IF(AN904="",0,AN904)+AP905+AD904+AL904,IF(AR905=AR904,INDEX('Aub Demand'!Q:Q,MATCH($O904,'Aub Demand'!$A:$A,0))-IF(AN904="",0,AN904)+AP905+AD904,IF(AM904&lt;&gt;"",INDEX('Aub Demand'!Q:Q,MATCH($O904,'Aub Demand'!$A:$A,0))-IF(AN904="",0,AN904)+AD904+AL904,INDEX('Aub Demand'!Q:Q,MATCH($O904,'Aub Demand'!$A:$A,0))-IF(AN904="",0,AN904)+AD904))),"")</f>
        <v>56</v>
      </c>
      <c r="Y904" s="53" t="str">
        <f t="shared" si="396"/>
        <v>n/a</v>
      </c>
      <c r="Z904" s="52">
        <f>IF(L904="","",INDEX('Aub Demand'!H:H,MATCH($O904,'Aub Demand'!$A:$A,0)))</f>
        <v>0</v>
      </c>
      <c r="AA904" s="52" t="str">
        <f t="shared" si="397"/>
        <v>-spike-</v>
      </c>
      <c r="AB904" s="52">
        <f>IFERROR(INDEX('Aub Demand'!L:L,MATCH($O904,'Aub Demand'!$A:$A,0)),"")</f>
        <v>0</v>
      </c>
      <c r="AC904" s="52">
        <f>IFERROR(IF(O904="","",SUMIFS('CPL Mats'!F:F,'CPL Mats'!Q:Q,AR904,'CPL Mats'!S:S,AS904)),"")</f>
        <v>0</v>
      </c>
      <c r="AF904" s="25" t="str">
        <f>IF(SUMIFS('Supp Consol'!S:S,'Supp Consol'!Y:Y,"Releasable",'Supp Consol'!A:A,O904)=0,"",SUMIFS('Supp Consol'!S:S,'Supp Consol'!Y:Y,"Releasable",'Supp Consol'!A:A,O904))</f>
        <v/>
      </c>
      <c r="AG904" s="25" t="str">
        <f>IFERROR(INDEX('Hun Demand'!Q:Q,MATCH(O904,'Hun Demand'!A:A,0)),"")</f>
        <v/>
      </c>
      <c r="AH904" s="25" t="str">
        <f>IFERROR(INDEX('Hun Demand'!H:H,MATCH($O904,'Hun Demand'!$A:$A,0)),"")</f>
        <v/>
      </c>
      <c r="AI904" s="25" t="str">
        <f>IF(SUMIFS('Supp Consol'!AA:AA,'Supp Consol'!Z:Z,"Expires this month",'Supp Consol'!A:A,O904)=0,"",SUMIFS('Supp Consol'!AA:AA,'Supp Consol'!Z:Z,"Expires this month",'Supp Consol'!A:A,O904))</f>
        <v/>
      </c>
      <c r="AJ904" s="25" t="str">
        <f>IF(SUMIFS('Supp Consol'!AA:AA,'Supp Consol'!Z:Z,"Expired Previous Months",'Supp Consol'!A:A,O904)=0,"",SUMIFS('Supp Consol'!AA:AA,'Supp Consol'!Z:Z,"Expired Previous Months",'Supp Consol'!A:A,O904))</f>
        <v/>
      </c>
      <c r="AK904" s="25" t="str">
        <f>IFERROR(INDEX('Hun Release Current'!B:B,MATCH(O904,'Hun Release Current'!A:A,0)),"")</f>
        <v/>
      </c>
      <c r="AL904" s="25" t="str">
        <f>IF(SUMIF('Prev Aub'!A:A,O904,'Prev Aub'!B:B)=0,"",SUMIF('Prev Aub'!A:A,O904,'Prev Aub'!B:B))</f>
        <v/>
      </c>
      <c r="AN904" s="25" t="s">
        <v>3790</v>
      </c>
      <c r="AO904" s="25" t="s">
        <v>3790</v>
      </c>
      <c r="AP904" s="25">
        <f t="shared" si="398"/>
        <v>0</v>
      </c>
      <c r="AQ904" s="151" t="str">
        <f>IF(SUMIFS('Supp Consol'!S:S,'Supp Consol'!A:A,O904,'Supp Consol'!I:I,"PENDING")=0,"",SUMIFS('Supp Consol'!S:S,'Supp Consol'!A:A,O904,'Supp Consol'!I:I,"PENDING"))</f>
        <v/>
      </c>
      <c r="AR904" s="27" t="str">
        <f t="shared" si="399"/>
        <v>QU944</v>
      </c>
      <c r="AS904" s="27" t="str">
        <f t="shared" si="400"/>
        <v>50</v>
      </c>
      <c r="AT904" s="27" t="str">
        <f t="shared" si="401"/>
        <v/>
      </c>
      <c r="AU904" s="27" t="str">
        <f t="shared" si="402"/>
        <v/>
      </c>
      <c r="AV904" s="27" t="str">
        <f t="shared" si="403"/>
        <v/>
      </c>
      <c r="AW904" s="27" t="str">
        <f t="shared" si="404"/>
        <v/>
      </c>
      <c r="AX904" s="27" t="str">
        <f t="shared" si="405"/>
        <v/>
      </c>
      <c r="AY904" s="27" t="str">
        <f t="shared" si="406"/>
        <v/>
      </c>
      <c r="AZ904" s="27" t="str">
        <f t="shared" si="407"/>
        <v/>
      </c>
      <c r="BA904" s="27" t="str">
        <f t="shared" si="408"/>
        <v/>
      </c>
      <c r="BB904" s="27" t="str">
        <f t="shared" si="409"/>
        <v/>
      </c>
      <c r="BC904" s="27" t="str">
        <f t="shared" si="410"/>
        <v/>
      </c>
      <c r="BD904" s="27" t="str">
        <f t="shared" si="411"/>
        <v/>
      </c>
      <c r="BE904" s="27" t="str">
        <f t="shared" si="412"/>
        <v/>
      </c>
      <c r="BF904" s="27" t="str">
        <f t="shared" si="413"/>
        <v/>
      </c>
      <c r="BG904" s="27" t="str">
        <f t="shared" si="414"/>
        <v/>
      </c>
      <c r="BH904" s="27" t="str">
        <f t="shared" si="415"/>
        <v/>
      </c>
      <c r="BI904" s="27" t="str">
        <f t="shared" si="416"/>
        <v/>
      </c>
      <c r="BJ904" s="27" t="str">
        <f t="shared" si="417"/>
        <v/>
      </c>
      <c r="BK904" s="27" t="str">
        <f t="shared" si="418"/>
        <v/>
      </c>
      <c r="BL904" s="27" t="str">
        <f t="shared" si="419"/>
        <v/>
      </c>
      <c r="BM904" s="21" t="s">
        <v>3790</v>
      </c>
    </row>
    <row r="905" spans="1:65" ht="15">
      <c r="A905" s="25" t="str">
        <f>IFERROR(INDEX('Hun Demand'!W:W,MATCH(O905,'Hun Demand'!A:A,0)),"")</f>
        <v/>
      </c>
      <c r="B905" s="25" t="str">
        <f>IFERROR(INDEX('Hun Demand'!V:V,MATCH(O905,'Hun Demand'!A:A,0)),"")</f>
        <v/>
      </c>
      <c r="C905" s="25" t="str">
        <f>IFERROR(INDEX('Hun Demand'!U:U,MATCH(O905,'Hun Demand'!A:A,0)),"")</f>
        <v/>
      </c>
      <c r="D905" s="25" t="str">
        <f>IFERROR(INDEX('Hun Demand'!T:T,MATCH(O905,'Hun Demand'!A:A,0)),"")</f>
        <v/>
      </c>
      <c r="E905" s="25" t="str">
        <f>IFERROR(INDEX('Hun Demand'!S:S,MATCH(O905,'Hun Demand'!A:A,0)),"")</f>
        <v/>
      </c>
      <c r="F905" s="25" t="str">
        <f>IFERROR(INDEX('Hun Demand'!R:R,MATCH(O905,'Hun Demand'!A:A,0)),"")</f>
        <v/>
      </c>
      <c r="G905" s="25">
        <f>IFERROR(INDEX('Aub Demand'!W:W,MATCH(O905,'Aub Demand'!A:A,0)),"")</f>
        <v>0</v>
      </c>
      <c r="H905" s="25">
        <f>IFERROR(INDEX('Aub Demand'!V:V,MATCH(O905,'Aub Demand'!A:A,0)),"")</f>
        <v>0</v>
      </c>
      <c r="I905" s="25">
        <f>IFERROR(INDEX('Aub Demand'!U:U,MATCH(O905,'Aub Demand'!A:A,0)),"")</f>
        <v>0</v>
      </c>
      <c r="J905" s="25">
        <f>IFERROR(INDEX('Aub Demand'!T:T,MATCH(O905,'Aub Demand'!A:A,0)),"")</f>
        <v>0</v>
      </c>
      <c r="K905" s="25">
        <f>IFERROR(INDEX('Aub Demand'!S:S,MATCH(O905,'Aub Demand'!A:A,0)),"")</f>
        <v>0</v>
      </c>
      <c r="L905" s="25">
        <f>IFERROR(INDEX('Aub Demand'!R:R,MATCH(O905,'Aub Demand'!A:A,0)),"")</f>
        <v>0</v>
      </c>
      <c r="O905" s="27" t="s">
        <v>1331</v>
      </c>
      <c r="P905" s="27" t="str">
        <f>IFERROR(INDEX('Aub Demand'!B:B,MATCH($O905,'Aub Demand'!$A:$A,0)),"")</f>
        <v>25 NAT R1S WS PARCHM</v>
      </c>
      <c r="Q905" s="27" t="str">
        <f>IFERROR(INDEX('Aub Demand'!C:C,MATCH($O905,'Aub Demand'!$A:$A,0)),"")</f>
        <v>AHLST</v>
      </c>
      <c r="R905" s="52">
        <f>IFERROR(IF(AR906=AR905,INDEX('Aub Demand'!K:K,MATCH($O905,'Aub Demand'!$A:$A,0))-IF(AN905="",0,AN905)+AP906,INDEX('Aub Demand'!K:K,MATCH($O905,'Aub Demand'!$A:$A,0))-IF(AN905="",0,AN905)),"")</f>
        <v>3959</v>
      </c>
      <c r="S905" s="53" t="str">
        <f t="shared" si="392"/>
        <v>n/a</v>
      </c>
      <c r="T905" s="52" t="str">
        <f t="shared" si="393"/>
        <v/>
      </c>
      <c r="U905" s="52">
        <f>IFERROR(IF(AR906=AR905,INDEX('Aub Demand'!Q:Q,MATCH($O905,'Aub Demand'!$A:$A,0))-IF(AN905="",0,AN905)+AP906,INDEX('Aub Demand'!Q:Q,MATCH($O905,'Aub Demand'!$A:$A,0))-IF(AN905="",0,AN905)),"")</f>
        <v>3959</v>
      </c>
      <c r="V905" s="53" t="str">
        <f t="shared" si="394"/>
        <v>n/a</v>
      </c>
      <c r="W905" s="52" t="str">
        <f t="shared" si="395"/>
        <v/>
      </c>
      <c r="X905" s="52">
        <f>IFERROR(IF(AND(AR906=AR905,AM905&lt;&gt;""),INDEX('Aub Demand'!Q:Q,MATCH($O905,'Aub Demand'!$A:$A,0))-IF(AN905="",0,AN905)+AP906+AD905+AL905,IF(AR906=AR905,INDEX('Aub Demand'!Q:Q,MATCH($O905,'Aub Demand'!$A:$A,0))-IF(AN905="",0,AN905)+AP906+AD905,IF(AM905&lt;&gt;"",INDEX('Aub Demand'!Q:Q,MATCH($O905,'Aub Demand'!$A:$A,0))-IF(AN905="",0,AN905)+AD905+AL905,INDEX('Aub Demand'!Q:Q,MATCH($O905,'Aub Demand'!$A:$A,0))-IF(AN905="",0,AN905)+AD905))),"")</f>
        <v>3959</v>
      </c>
      <c r="Y905" s="53" t="str">
        <f t="shared" si="396"/>
        <v>n/a</v>
      </c>
      <c r="Z905" s="52">
        <f>IF(L905="","",INDEX('Aub Demand'!H:H,MATCH($O905,'Aub Demand'!$A:$A,0)))</f>
        <v>0</v>
      </c>
      <c r="AA905" s="52" t="str">
        <f t="shared" si="397"/>
        <v>-spike-</v>
      </c>
      <c r="AB905" s="52">
        <f>IFERROR(INDEX('Aub Demand'!L:L,MATCH($O905,'Aub Demand'!$A:$A,0)),"")</f>
        <v>0</v>
      </c>
      <c r="AC905" s="52">
        <f>IFERROR(IF(O905="","",SUMIFS('CPL Mats'!F:F,'CPL Mats'!Q:Q,AR905,'CPL Mats'!S:S,AS905)),"")</f>
        <v>0</v>
      </c>
      <c r="AF905" s="25" t="str">
        <f>IF(SUMIFS('Supp Consol'!S:S,'Supp Consol'!Y:Y,"Releasable",'Supp Consol'!A:A,O905)=0,"",SUMIFS('Supp Consol'!S:S,'Supp Consol'!Y:Y,"Releasable",'Supp Consol'!A:A,O905))</f>
        <v/>
      </c>
      <c r="AG905" s="25" t="str">
        <f>IFERROR(INDEX('Hun Demand'!Q:Q,MATCH(O905,'Hun Demand'!A:A,0)),"")</f>
        <v/>
      </c>
      <c r="AH905" s="25" t="str">
        <f>IFERROR(INDEX('Hun Demand'!H:H,MATCH($O905,'Hun Demand'!$A:$A,0)),"")</f>
        <v/>
      </c>
      <c r="AI905" s="25" t="str">
        <f>IF(SUMIFS('Supp Consol'!AA:AA,'Supp Consol'!Z:Z,"Expires this month",'Supp Consol'!A:A,O905)=0,"",SUMIFS('Supp Consol'!AA:AA,'Supp Consol'!Z:Z,"Expires this month",'Supp Consol'!A:A,O905))</f>
        <v/>
      </c>
      <c r="AJ905" s="25" t="str">
        <f>IF(SUMIFS('Supp Consol'!AA:AA,'Supp Consol'!Z:Z,"Expired Previous Months",'Supp Consol'!A:A,O905)=0,"",SUMIFS('Supp Consol'!AA:AA,'Supp Consol'!Z:Z,"Expired Previous Months",'Supp Consol'!A:A,O905))</f>
        <v/>
      </c>
      <c r="AK905" s="25" t="str">
        <f>IFERROR(INDEX('Hun Release Current'!B:B,MATCH(O905,'Hun Release Current'!A:A,0)),"")</f>
        <v/>
      </c>
      <c r="AL905" s="25" t="str">
        <f>IF(SUMIF('Prev Aub'!A:A,O905,'Prev Aub'!B:B)=0,"",SUMIF('Prev Aub'!A:A,O905,'Prev Aub'!B:B))</f>
        <v/>
      </c>
      <c r="AN905" s="25" t="s">
        <v>3790</v>
      </c>
      <c r="AO905" s="25" t="s">
        <v>3790</v>
      </c>
      <c r="AP905" s="25">
        <f t="shared" si="398"/>
        <v>0</v>
      </c>
      <c r="AQ905" s="151" t="str">
        <f>IF(SUMIFS('Supp Consol'!S:S,'Supp Consol'!A:A,O905,'Supp Consol'!I:I,"PENDING")=0,"",SUMIFS('Supp Consol'!S:S,'Supp Consol'!A:A,O905,'Supp Consol'!I:I,"PENDING"))</f>
        <v/>
      </c>
      <c r="AR905" s="27" t="str">
        <f t="shared" si="399"/>
        <v>QU952</v>
      </c>
      <c r="AS905" s="27" t="str">
        <f t="shared" si="400"/>
        <v>50</v>
      </c>
      <c r="AT905" s="27" t="str">
        <f t="shared" si="401"/>
        <v/>
      </c>
      <c r="AU905" s="27" t="str">
        <f t="shared" si="402"/>
        <v/>
      </c>
      <c r="AV905" s="27" t="str">
        <f t="shared" si="403"/>
        <v/>
      </c>
      <c r="AW905" s="27" t="str">
        <f t="shared" si="404"/>
        <v/>
      </c>
      <c r="AX905" s="27" t="str">
        <f t="shared" si="405"/>
        <v/>
      </c>
      <c r="AY905" s="27" t="str">
        <f t="shared" si="406"/>
        <v/>
      </c>
      <c r="AZ905" s="27" t="str">
        <f t="shared" si="407"/>
        <v/>
      </c>
      <c r="BA905" s="27" t="str">
        <f t="shared" si="408"/>
        <v/>
      </c>
      <c r="BB905" s="27" t="str">
        <f t="shared" si="409"/>
        <v/>
      </c>
      <c r="BC905" s="27" t="str">
        <f t="shared" si="410"/>
        <v/>
      </c>
      <c r="BD905" s="27" t="str">
        <f t="shared" si="411"/>
        <v/>
      </c>
      <c r="BE905" s="27" t="str">
        <f t="shared" si="412"/>
        <v/>
      </c>
      <c r="BF905" s="27" t="str">
        <f t="shared" si="413"/>
        <v/>
      </c>
      <c r="BG905" s="27" t="str">
        <f t="shared" si="414"/>
        <v/>
      </c>
      <c r="BH905" s="27" t="str">
        <f t="shared" si="415"/>
        <v/>
      </c>
      <c r="BI905" s="27" t="str">
        <f t="shared" si="416"/>
        <v/>
      </c>
      <c r="BJ905" s="27" t="str">
        <f t="shared" si="417"/>
        <v/>
      </c>
      <c r="BK905" s="27" t="str">
        <f t="shared" si="418"/>
        <v/>
      </c>
      <c r="BL905" s="27" t="str">
        <f t="shared" si="419"/>
        <v/>
      </c>
      <c r="BM905" s="21" t="s">
        <v>3790</v>
      </c>
    </row>
    <row r="906" spans="1:65" ht="15">
      <c r="A906" s="25" t="str">
        <f>IFERROR(INDEX('Hun Demand'!W:W,MATCH(O906,'Hun Demand'!A:A,0)),"")</f>
        <v/>
      </c>
      <c r="B906" s="25" t="str">
        <f>IFERROR(INDEX('Hun Demand'!V:V,MATCH(O906,'Hun Demand'!A:A,0)),"")</f>
        <v/>
      </c>
      <c r="C906" s="25" t="str">
        <f>IFERROR(INDEX('Hun Demand'!U:U,MATCH(O906,'Hun Demand'!A:A,0)),"")</f>
        <v/>
      </c>
      <c r="D906" s="25" t="str">
        <f>IFERROR(INDEX('Hun Demand'!T:T,MATCH(O906,'Hun Demand'!A:A,0)),"")</f>
        <v/>
      </c>
      <c r="E906" s="25" t="str">
        <f>IFERROR(INDEX('Hun Demand'!S:S,MATCH(O906,'Hun Demand'!A:A,0)),"")</f>
        <v/>
      </c>
      <c r="F906" s="25" t="str">
        <f>IFERROR(INDEX('Hun Demand'!R:R,MATCH(O906,'Hun Demand'!A:A,0)),"")</f>
        <v/>
      </c>
      <c r="G906" s="25">
        <f>IFERROR(INDEX('Aub Demand'!W:W,MATCH(O906,'Aub Demand'!A:A,0)),"")</f>
        <v>0</v>
      </c>
      <c r="H906" s="25">
        <f>IFERROR(INDEX('Aub Demand'!V:V,MATCH(O906,'Aub Demand'!A:A,0)),"")</f>
        <v>0</v>
      </c>
      <c r="I906" s="25">
        <f>IFERROR(INDEX('Aub Demand'!U:U,MATCH(O906,'Aub Demand'!A:A,0)),"")</f>
        <v>120</v>
      </c>
      <c r="J906" s="25">
        <f>IFERROR(INDEX('Aub Demand'!T:T,MATCH(O906,'Aub Demand'!A:A,0)),"")</f>
        <v>0</v>
      </c>
      <c r="K906" s="25">
        <f>IFERROR(INDEX('Aub Demand'!S:S,MATCH(O906,'Aub Demand'!A:A,0)),"")</f>
        <v>0</v>
      </c>
      <c r="L906" s="25">
        <f>IFERROR(INDEX('Aub Demand'!R:R,MATCH(O906,'Aub Demand'!A:A,0)),"")</f>
        <v>0</v>
      </c>
      <c r="O906" s="27" t="s">
        <v>1335</v>
      </c>
      <c r="P906" s="27" t="str">
        <f>IFERROR(INDEX('Aub Demand'!B:B,MATCH($O906,'Aub Demand'!$A:$A,0)),"")</f>
        <v>50# NATURAL KRAFT 1S</v>
      </c>
      <c r="Q906" s="27" t="str">
        <f>IFERROR(INDEX('Aub Demand'!C:C,MATCH($O906,'Aub Demand'!$A:$A,0)),"")</f>
        <v>HOLLA</v>
      </c>
      <c r="R906" s="52">
        <f>IFERROR(IF(AR907=AR906,INDEX('Aub Demand'!K:K,MATCH($O906,'Aub Demand'!$A:$A,0))-IF(AN906="",0,AN906)+AP907,INDEX('Aub Demand'!K:K,MATCH($O906,'Aub Demand'!$A:$A,0))-IF(AN906="",0,AN906)),"")</f>
        <v>0</v>
      </c>
      <c r="S906" s="53">
        <f t="shared" si="392"/>
        <v>0</v>
      </c>
      <c r="T906" s="52" t="str">
        <f t="shared" si="393"/>
        <v/>
      </c>
      <c r="U906" s="52">
        <f>IFERROR(IF(AR907=AR906,INDEX('Aub Demand'!Q:Q,MATCH($O906,'Aub Demand'!$A:$A,0))-IF(AN906="",0,AN906)+AP907,INDEX('Aub Demand'!Q:Q,MATCH($O906,'Aub Demand'!$A:$A,0))-IF(AN906="",0,AN906)),"")</f>
        <v>0</v>
      </c>
      <c r="V906" s="53">
        <f t="shared" si="394"/>
        <v>0</v>
      </c>
      <c r="W906" s="52" t="str">
        <f t="shared" si="395"/>
        <v/>
      </c>
      <c r="X906" s="52">
        <f>IFERROR(IF(AND(AR907=AR906,AM906&lt;&gt;""),INDEX('Aub Demand'!Q:Q,MATCH($O906,'Aub Demand'!$A:$A,0))-IF(AN906="",0,AN906)+AP907+AD906+AL906,IF(AR907=AR906,INDEX('Aub Demand'!Q:Q,MATCH($O906,'Aub Demand'!$A:$A,0))-IF(AN906="",0,AN906)+AP907+AD906,IF(AM906&lt;&gt;"",INDEX('Aub Demand'!Q:Q,MATCH($O906,'Aub Demand'!$A:$A,0))-IF(AN906="",0,AN906)+AD906+AL906,INDEX('Aub Demand'!Q:Q,MATCH($O906,'Aub Demand'!$A:$A,0))-IF(AN906="",0,AN906)+AD906))),"")</f>
        <v>0</v>
      </c>
      <c r="Y906" s="53">
        <f t="shared" si="396"/>
        <v>0</v>
      </c>
      <c r="Z906" s="52">
        <f>IF(L906="","",INDEX('Aub Demand'!H:H,MATCH($O906,'Aub Demand'!$A:$A,0)))</f>
        <v>40</v>
      </c>
      <c r="AA906" s="52" t="str">
        <f t="shared" si="397"/>
        <v>-spike-</v>
      </c>
      <c r="AB906" s="52">
        <f>IFERROR(INDEX('Aub Demand'!L:L,MATCH($O906,'Aub Demand'!$A:$A,0)),"")</f>
        <v>0</v>
      </c>
      <c r="AC906" s="52">
        <f>IFERROR(IF(O906="","",SUMIFS('CPL Mats'!F:F,'CPL Mats'!Q:Q,AR906,'CPL Mats'!S:S,AS906)),"")</f>
        <v>0</v>
      </c>
      <c r="AF906" s="25" t="str">
        <f>IF(SUMIFS('Supp Consol'!S:S,'Supp Consol'!Y:Y,"Releasable",'Supp Consol'!A:A,O906)=0,"",SUMIFS('Supp Consol'!S:S,'Supp Consol'!Y:Y,"Releasable",'Supp Consol'!A:A,O906))</f>
        <v/>
      </c>
      <c r="AG906" s="25" t="str">
        <f>IFERROR(INDEX('Hun Demand'!Q:Q,MATCH(O906,'Hun Demand'!A:A,0)),"")</f>
        <v/>
      </c>
      <c r="AH906" s="25" t="str">
        <f>IFERROR(INDEX('Hun Demand'!H:H,MATCH($O906,'Hun Demand'!$A:$A,0)),"")</f>
        <v/>
      </c>
      <c r="AI906" s="25" t="str">
        <f>IF(SUMIFS('Supp Consol'!AA:AA,'Supp Consol'!Z:Z,"Expires this month",'Supp Consol'!A:A,O906)=0,"",SUMIFS('Supp Consol'!AA:AA,'Supp Consol'!Z:Z,"Expires this month",'Supp Consol'!A:A,O906))</f>
        <v/>
      </c>
      <c r="AJ906" s="25" t="str">
        <f>IF(SUMIFS('Supp Consol'!AA:AA,'Supp Consol'!Z:Z,"Expired Previous Months",'Supp Consol'!A:A,O906)=0,"",SUMIFS('Supp Consol'!AA:AA,'Supp Consol'!Z:Z,"Expired Previous Months",'Supp Consol'!A:A,O906))</f>
        <v/>
      </c>
      <c r="AK906" s="25" t="str">
        <f>IFERROR(INDEX('Hun Release Current'!B:B,MATCH(O906,'Hun Release Current'!A:A,0)),"")</f>
        <v/>
      </c>
      <c r="AL906" s="25" t="str">
        <f>IF(SUMIF('Prev Aub'!A:A,O906,'Prev Aub'!B:B)=0,"",SUMIF('Prev Aub'!A:A,O906,'Prev Aub'!B:B))</f>
        <v/>
      </c>
      <c r="AN906" s="25" t="s">
        <v>3790</v>
      </c>
      <c r="AO906" s="25" t="s">
        <v>3790</v>
      </c>
      <c r="AP906" s="25">
        <f t="shared" si="398"/>
        <v>0</v>
      </c>
      <c r="AQ906" s="151" t="str">
        <f>IF(SUMIFS('Supp Consol'!S:S,'Supp Consol'!A:A,O906,'Supp Consol'!I:I,"PENDING")=0,"",SUMIFS('Supp Consol'!S:S,'Supp Consol'!A:A,O906,'Supp Consol'!I:I,"PENDING"))</f>
        <v/>
      </c>
      <c r="AR906" s="27" t="str">
        <f t="shared" si="399"/>
        <v>QU967</v>
      </c>
      <c r="AS906" s="27" t="str">
        <f t="shared" si="400"/>
        <v>62</v>
      </c>
      <c r="AT906" s="27" t="str">
        <f t="shared" si="401"/>
        <v>QU967</v>
      </c>
      <c r="AU906" s="27" t="str">
        <f t="shared" si="402"/>
        <v>QU967</v>
      </c>
      <c r="AV906" s="27" t="str">
        <f t="shared" si="403"/>
        <v>QU967</v>
      </c>
      <c r="AW906" s="27" t="str">
        <f t="shared" si="404"/>
        <v/>
      </c>
      <c r="AX906" s="27" t="str">
        <f t="shared" si="405"/>
        <v/>
      </c>
      <c r="AY906" s="27" t="str">
        <f t="shared" si="406"/>
        <v/>
      </c>
      <c r="AZ906" s="27" t="str">
        <f t="shared" si="407"/>
        <v/>
      </c>
      <c r="BA906" s="27" t="str">
        <f t="shared" si="408"/>
        <v/>
      </c>
      <c r="BB906" s="27" t="str">
        <f t="shared" si="409"/>
        <v>Gross</v>
      </c>
      <c r="BC906" s="27" t="str">
        <f t="shared" si="410"/>
        <v>Net</v>
      </c>
      <c r="BD906" s="27" t="str">
        <f t="shared" si="411"/>
        <v>Net</v>
      </c>
      <c r="BE906" s="27" t="str">
        <f t="shared" si="412"/>
        <v/>
      </c>
      <c r="BF906" s="27" t="str">
        <f t="shared" si="413"/>
        <v/>
      </c>
      <c r="BG906" s="27" t="str">
        <f t="shared" si="414"/>
        <v/>
      </c>
      <c r="BH906" s="27" t="str">
        <f t="shared" si="415"/>
        <v/>
      </c>
      <c r="BI906" s="27" t="str">
        <f t="shared" si="416"/>
        <v/>
      </c>
      <c r="BJ906" s="27" t="str">
        <f t="shared" si="417"/>
        <v/>
      </c>
      <c r="BK906" s="27" t="str">
        <f t="shared" si="418"/>
        <v/>
      </c>
      <c r="BL906" s="27" t="str">
        <f t="shared" si="419"/>
        <v/>
      </c>
      <c r="BM906" s="21" t="s">
        <v>3790</v>
      </c>
    </row>
    <row r="907" spans="1:65" ht="15">
      <c r="A907" s="25" t="str">
        <f>IFERROR(INDEX('Hun Demand'!W:W,MATCH(O907,'Hun Demand'!A:A,0)),"")</f>
        <v/>
      </c>
      <c r="B907" s="25" t="str">
        <f>IFERROR(INDEX('Hun Demand'!V:V,MATCH(O907,'Hun Demand'!A:A,0)),"")</f>
        <v/>
      </c>
      <c r="C907" s="25" t="str">
        <f>IFERROR(INDEX('Hun Demand'!U:U,MATCH(O907,'Hun Demand'!A:A,0)),"")</f>
        <v/>
      </c>
      <c r="D907" s="25" t="str">
        <f>IFERROR(INDEX('Hun Demand'!T:T,MATCH(O907,'Hun Demand'!A:A,0)),"")</f>
        <v/>
      </c>
      <c r="E907" s="25" t="str">
        <f>IFERROR(INDEX('Hun Demand'!S:S,MATCH(O907,'Hun Demand'!A:A,0)),"")</f>
        <v/>
      </c>
      <c r="F907" s="25" t="str">
        <f>IFERROR(INDEX('Hun Demand'!R:R,MATCH(O907,'Hun Demand'!A:A,0)),"")</f>
        <v/>
      </c>
      <c r="G907" s="25">
        <f>IFERROR(INDEX('Aub Demand'!W:W,MATCH(O907,'Aub Demand'!A:A,0)),"")</f>
        <v>0</v>
      </c>
      <c r="H907" s="25">
        <f>IFERROR(INDEX('Aub Demand'!V:V,MATCH(O907,'Aub Demand'!A:A,0)),"")</f>
        <v>0</v>
      </c>
      <c r="I907" s="25">
        <f>IFERROR(INDEX('Aub Demand'!U:U,MATCH(O907,'Aub Demand'!A:A,0)),"")</f>
        <v>0</v>
      </c>
      <c r="J907" s="25">
        <f>IFERROR(INDEX('Aub Demand'!T:T,MATCH(O907,'Aub Demand'!A:A,0)),"")</f>
        <v>0</v>
      </c>
      <c r="K907" s="25">
        <f>IFERROR(INDEX('Aub Demand'!S:S,MATCH(O907,'Aub Demand'!A:A,0)),"")</f>
        <v>0</v>
      </c>
      <c r="L907" s="25">
        <f>IFERROR(INDEX('Aub Demand'!R:R,MATCH(O907,'Aub Demand'!A:A,0)),"")</f>
        <v>0</v>
      </c>
      <c r="O907" s="27" t="s">
        <v>1338</v>
      </c>
      <c r="P907" s="27" t="str">
        <f>IFERROR(INDEX('Aub Demand'!B:B,MATCH($O907,'Aub Demand'!$A:$A,0)),"")</f>
        <v>24 NAT OMS R1S PARCH</v>
      </c>
      <c r="Q907" s="27" t="str">
        <f>IFERROR(INDEX('Aub Demand'!C:C,MATCH($O907,'Aub Demand'!$A:$A,0)),"")</f>
        <v>AHLST</v>
      </c>
      <c r="R907" s="52">
        <f>IFERROR(IF(AR908=AR907,INDEX('Aub Demand'!K:K,MATCH($O907,'Aub Demand'!$A:$A,0))-IF(AN907="",0,AN907)+AP908,INDEX('Aub Demand'!K:K,MATCH($O907,'Aub Demand'!$A:$A,0))-IF(AN907="",0,AN907)),"")</f>
        <v>34940</v>
      </c>
      <c r="S907" s="53" t="str">
        <f t="shared" si="392"/>
        <v>n/a</v>
      </c>
      <c r="T907" s="52" t="str">
        <f t="shared" si="393"/>
        <v/>
      </c>
      <c r="U907" s="52">
        <f>IFERROR(IF(AR908=AR907,INDEX('Aub Demand'!Q:Q,MATCH($O907,'Aub Demand'!$A:$A,0))-IF(AN907="",0,AN907)+AP908,INDEX('Aub Demand'!Q:Q,MATCH($O907,'Aub Demand'!$A:$A,0))-IF(AN907="",0,AN907)),"")</f>
        <v>34940</v>
      </c>
      <c r="V907" s="53" t="str">
        <f t="shared" si="394"/>
        <v>n/a</v>
      </c>
      <c r="W907" s="52" t="str">
        <f t="shared" si="395"/>
        <v/>
      </c>
      <c r="X907" s="52">
        <f>IFERROR(IF(AND(AR908=AR907,AM907&lt;&gt;""),INDEX('Aub Demand'!Q:Q,MATCH($O907,'Aub Demand'!$A:$A,0))-IF(AN907="",0,AN907)+AP908+AD907+AL907,IF(AR908=AR907,INDEX('Aub Demand'!Q:Q,MATCH($O907,'Aub Demand'!$A:$A,0))-IF(AN907="",0,AN907)+AP908+AD907,IF(AM907&lt;&gt;"",INDEX('Aub Demand'!Q:Q,MATCH($O907,'Aub Demand'!$A:$A,0))-IF(AN907="",0,AN907)+AD907+AL907,INDEX('Aub Demand'!Q:Q,MATCH($O907,'Aub Demand'!$A:$A,0))-IF(AN907="",0,AN907)+AD907))),"")</f>
        <v>34940</v>
      </c>
      <c r="Y907" s="53" t="str">
        <f t="shared" si="396"/>
        <v>n/a</v>
      </c>
      <c r="Z907" s="52">
        <f>IF(L907="","",INDEX('Aub Demand'!H:H,MATCH($O907,'Aub Demand'!$A:$A,0)))</f>
        <v>0</v>
      </c>
      <c r="AA907" s="52" t="str">
        <f t="shared" si="397"/>
        <v>-spike-</v>
      </c>
      <c r="AB907" s="52">
        <f>IFERROR(INDEX('Aub Demand'!L:L,MATCH($O907,'Aub Demand'!$A:$A,0)),"")</f>
        <v>0</v>
      </c>
      <c r="AC907" s="52">
        <f>IFERROR(IF(O907="","",SUMIFS('CPL Mats'!F:F,'CPL Mats'!Q:Q,AR907,'CPL Mats'!S:S,AS907)),"")</f>
        <v>0</v>
      </c>
      <c r="AF907" s="25" t="str">
        <f>IF(SUMIFS('Supp Consol'!S:S,'Supp Consol'!Y:Y,"Releasable",'Supp Consol'!A:A,O907)=0,"",SUMIFS('Supp Consol'!S:S,'Supp Consol'!Y:Y,"Releasable",'Supp Consol'!A:A,O907))</f>
        <v/>
      </c>
      <c r="AG907" s="25" t="str">
        <f>IFERROR(INDEX('Hun Demand'!Q:Q,MATCH(O907,'Hun Demand'!A:A,0)),"")</f>
        <v/>
      </c>
      <c r="AH907" s="25" t="str">
        <f>IFERROR(INDEX('Hun Demand'!H:H,MATCH($O907,'Hun Demand'!$A:$A,0)),"")</f>
        <v/>
      </c>
      <c r="AI907" s="25" t="str">
        <f>IF(SUMIFS('Supp Consol'!AA:AA,'Supp Consol'!Z:Z,"Expires this month",'Supp Consol'!A:A,O907)=0,"",SUMIFS('Supp Consol'!AA:AA,'Supp Consol'!Z:Z,"Expires this month",'Supp Consol'!A:A,O907))</f>
        <v/>
      </c>
      <c r="AJ907" s="25" t="str">
        <f>IF(SUMIFS('Supp Consol'!AA:AA,'Supp Consol'!Z:Z,"Expired Previous Months",'Supp Consol'!A:A,O907)=0,"",SUMIFS('Supp Consol'!AA:AA,'Supp Consol'!Z:Z,"Expired Previous Months",'Supp Consol'!A:A,O907))</f>
        <v/>
      </c>
      <c r="AK907" s="25" t="str">
        <f>IFERROR(INDEX('Hun Release Current'!B:B,MATCH(O907,'Hun Release Current'!A:A,0)),"")</f>
        <v/>
      </c>
      <c r="AL907" s="25" t="str">
        <f>IF(SUMIF('Prev Aub'!A:A,O907,'Prev Aub'!B:B)=0,"",SUMIF('Prev Aub'!A:A,O907,'Prev Aub'!B:B))</f>
        <v/>
      </c>
      <c r="AN907" s="25" t="s">
        <v>3790</v>
      </c>
      <c r="AO907" s="25" t="s">
        <v>3790</v>
      </c>
      <c r="AP907" s="25">
        <f t="shared" si="398"/>
        <v>0</v>
      </c>
      <c r="AQ907" s="151" t="str">
        <f>IF(SUMIFS('Supp Consol'!S:S,'Supp Consol'!A:A,O907,'Supp Consol'!I:I,"PENDING")=0,"",SUMIFS('Supp Consol'!S:S,'Supp Consol'!A:A,O907,'Supp Consol'!I:I,"PENDING"))</f>
        <v/>
      </c>
      <c r="AR907" s="27" t="str">
        <f t="shared" si="399"/>
        <v>QU968</v>
      </c>
      <c r="AS907" s="27" t="str">
        <f t="shared" si="400"/>
        <v>50</v>
      </c>
      <c r="AT907" s="27" t="str">
        <f t="shared" si="401"/>
        <v/>
      </c>
      <c r="AU907" s="27" t="str">
        <f t="shared" si="402"/>
        <v/>
      </c>
      <c r="AV907" s="27" t="str">
        <f t="shared" si="403"/>
        <v/>
      </c>
      <c r="AW907" s="27" t="str">
        <f t="shared" si="404"/>
        <v/>
      </c>
      <c r="AX907" s="27" t="str">
        <f t="shared" si="405"/>
        <v/>
      </c>
      <c r="AY907" s="27" t="str">
        <f t="shared" si="406"/>
        <v/>
      </c>
      <c r="AZ907" s="27" t="str">
        <f t="shared" si="407"/>
        <v/>
      </c>
      <c r="BA907" s="27" t="str">
        <f t="shared" si="408"/>
        <v/>
      </c>
      <c r="BB907" s="27" t="str">
        <f t="shared" si="409"/>
        <v/>
      </c>
      <c r="BC907" s="27" t="str">
        <f t="shared" si="410"/>
        <v/>
      </c>
      <c r="BD907" s="27" t="str">
        <f t="shared" si="411"/>
        <v/>
      </c>
      <c r="BE907" s="27" t="str">
        <f t="shared" si="412"/>
        <v/>
      </c>
      <c r="BF907" s="27" t="str">
        <f t="shared" si="413"/>
        <v/>
      </c>
      <c r="BG907" s="27" t="str">
        <f t="shared" si="414"/>
        <v/>
      </c>
      <c r="BH907" s="27" t="str">
        <f t="shared" si="415"/>
        <v/>
      </c>
      <c r="BI907" s="27" t="str">
        <f t="shared" si="416"/>
        <v/>
      </c>
      <c r="BJ907" s="27" t="str">
        <f t="shared" si="417"/>
        <v/>
      </c>
      <c r="BK907" s="27" t="str">
        <f t="shared" si="418"/>
        <v/>
      </c>
      <c r="BL907" s="27" t="str">
        <f t="shared" si="419"/>
        <v/>
      </c>
      <c r="BM907" s="21" t="s">
        <v>3790</v>
      </c>
    </row>
    <row r="908" spans="1:65" ht="15">
      <c r="A908" s="25" t="str">
        <f>IFERROR(INDEX('Hun Demand'!W:W,MATCH(O908,'Hun Demand'!A:A,0)),"")</f>
        <v/>
      </c>
      <c r="B908" s="25" t="str">
        <f>IFERROR(INDEX('Hun Demand'!V:V,MATCH(O908,'Hun Demand'!A:A,0)),"")</f>
        <v/>
      </c>
      <c r="C908" s="25" t="str">
        <f>IFERROR(INDEX('Hun Demand'!U:U,MATCH(O908,'Hun Demand'!A:A,0)),"")</f>
        <v/>
      </c>
      <c r="D908" s="25" t="str">
        <f>IFERROR(INDEX('Hun Demand'!T:T,MATCH(O908,'Hun Demand'!A:A,0)),"")</f>
        <v/>
      </c>
      <c r="E908" s="25" t="str">
        <f>IFERROR(INDEX('Hun Demand'!S:S,MATCH(O908,'Hun Demand'!A:A,0)),"")</f>
        <v/>
      </c>
      <c r="F908" s="25" t="str">
        <f>IFERROR(INDEX('Hun Demand'!R:R,MATCH(O908,'Hun Demand'!A:A,0)),"")</f>
        <v/>
      </c>
      <c r="G908" s="25">
        <f>IFERROR(INDEX('Aub Demand'!W:W,MATCH(O908,'Aub Demand'!A:A,0)),"")</f>
        <v>0</v>
      </c>
      <c r="H908" s="25">
        <f>IFERROR(INDEX('Aub Demand'!V:V,MATCH(O908,'Aub Demand'!A:A,0)),"")</f>
        <v>0</v>
      </c>
      <c r="I908" s="25">
        <f>IFERROR(INDEX('Aub Demand'!U:U,MATCH(O908,'Aub Demand'!A:A,0)),"")</f>
        <v>25</v>
      </c>
      <c r="J908" s="25">
        <f>IFERROR(INDEX('Aub Demand'!T:T,MATCH(O908,'Aub Demand'!A:A,0)),"")</f>
        <v>8</v>
      </c>
      <c r="K908" s="25">
        <f>IFERROR(INDEX('Aub Demand'!S:S,MATCH(O908,'Aub Demand'!A:A,0)),"")</f>
        <v>0</v>
      </c>
      <c r="L908" s="25">
        <f>IFERROR(INDEX('Aub Demand'!R:R,MATCH(O908,'Aub Demand'!A:A,0)),"")</f>
        <v>0</v>
      </c>
      <c r="O908" s="27" t="s">
        <v>1340</v>
      </c>
      <c r="P908" s="27" t="str">
        <f>IFERROR(INDEX('Aub Demand'!B:B,MATCH($O908,'Aub Demand'!$A:$A,0)),"")</f>
        <v>WYNNWOOD</v>
      </c>
      <c r="Q908" s="27" t="str">
        <f>IFERROR(INDEX('Aub Demand'!C:C,MATCH($O908,'Aub Demand'!$A:$A,0)),"")</f>
        <v>SCHAT</v>
      </c>
      <c r="R908" s="52">
        <f>IFERROR(IF(AR909=AR908,INDEX('Aub Demand'!K:K,MATCH($O908,'Aub Demand'!$A:$A,0))-IF(AN908="",0,AN908)+AP909,INDEX('Aub Demand'!K:K,MATCH($O908,'Aub Demand'!$A:$A,0))-IF(AN908="",0,AN908)),"")</f>
        <v>1042</v>
      </c>
      <c r="S908" s="53">
        <f t="shared" si="392"/>
        <v>406</v>
      </c>
      <c r="T908" s="52" t="str">
        <f t="shared" si="393"/>
        <v/>
      </c>
      <c r="U908" s="52">
        <f>IFERROR(IF(AR909=AR908,INDEX('Aub Demand'!Q:Q,MATCH($O908,'Aub Demand'!$A:$A,0))-IF(AN908="",0,AN908)+AP909,INDEX('Aub Demand'!Q:Q,MATCH($O908,'Aub Demand'!$A:$A,0))-IF(AN908="",0,AN908)),"")</f>
        <v>1042</v>
      </c>
      <c r="V908" s="53">
        <f t="shared" si="394"/>
        <v>406</v>
      </c>
      <c r="W908" s="52" t="str">
        <f t="shared" si="395"/>
        <v/>
      </c>
      <c r="X908" s="52">
        <f>IFERROR(IF(AND(AR909=AR908,AM908&lt;&gt;""),INDEX('Aub Demand'!Q:Q,MATCH($O908,'Aub Demand'!$A:$A,0))-IF(AN908="",0,AN908)+AP909+AD908+AL908,IF(AR909=AR908,INDEX('Aub Demand'!Q:Q,MATCH($O908,'Aub Demand'!$A:$A,0))-IF(AN908="",0,AN908)+AP909+AD908,IF(AM908&lt;&gt;"",INDEX('Aub Demand'!Q:Q,MATCH($O908,'Aub Demand'!$A:$A,0))-IF(AN908="",0,AN908)+AD908+AL908,INDEX('Aub Demand'!Q:Q,MATCH($O908,'Aub Demand'!$A:$A,0))-IF(AN908="",0,AN908)+AD908))),"")</f>
        <v>1042</v>
      </c>
      <c r="Y908" s="53">
        <f t="shared" si="396"/>
        <v>406</v>
      </c>
      <c r="Z908" s="52">
        <f>IF(L908="","",INDEX('Aub Demand'!H:H,MATCH($O908,'Aub Demand'!$A:$A,0)))</f>
        <v>11</v>
      </c>
      <c r="AA908" s="52">
        <f t="shared" si="397"/>
        <v>16.5</v>
      </c>
      <c r="AB908" s="52">
        <f>IFERROR(INDEX('Aub Demand'!L:L,MATCH($O908,'Aub Demand'!$A:$A,0)),"")</f>
        <v>0</v>
      </c>
      <c r="AC908" s="52">
        <f>IFERROR(IF(O908="","",SUMIFS('CPL Mats'!F:F,'CPL Mats'!Q:Q,AR908,'CPL Mats'!S:S,AS908)),"")</f>
        <v>0</v>
      </c>
      <c r="AF908" s="25" t="str">
        <f>IF(SUMIFS('Supp Consol'!S:S,'Supp Consol'!Y:Y,"Releasable",'Supp Consol'!A:A,O908)=0,"",SUMIFS('Supp Consol'!S:S,'Supp Consol'!Y:Y,"Releasable",'Supp Consol'!A:A,O908))</f>
        <v/>
      </c>
      <c r="AG908" s="25" t="str">
        <f>IFERROR(INDEX('Hun Demand'!Q:Q,MATCH(O908,'Hun Demand'!A:A,0)),"")</f>
        <v/>
      </c>
      <c r="AH908" s="25" t="str">
        <f>IFERROR(INDEX('Hun Demand'!H:H,MATCH($O908,'Hun Demand'!$A:$A,0)),"")</f>
        <v/>
      </c>
      <c r="AI908" s="25" t="str">
        <f>IF(SUMIFS('Supp Consol'!AA:AA,'Supp Consol'!Z:Z,"Expires this month",'Supp Consol'!A:A,O908)=0,"",SUMIFS('Supp Consol'!AA:AA,'Supp Consol'!Z:Z,"Expires this month",'Supp Consol'!A:A,O908))</f>
        <v/>
      </c>
      <c r="AJ908" s="25" t="str">
        <f>IF(SUMIFS('Supp Consol'!AA:AA,'Supp Consol'!Z:Z,"Expired Previous Months",'Supp Consol'!A:A,O908)=0,"",SUMIFS('Supp Consol'!AA:AA,'Supp Consol'!Z:Z,"Expired Previous Months",'Supp Consol'!A:A,O908))</f>
        <v/>
      </c>
      <c r="AK908" s="25" t="str">
        <f>IFERROR(INDEX('Hun Release Current'!B:B,MATCH(O908,'Hun Release Current'!A:A,0)),"")</f>
        <v/>
      </c>
      <c r="AL908" s="25" t="str">
        <f>IF(SUMIF('Prev Aub'!A:A,O908,'Prev Aub'!B:B)=0,"",SUMIF('Prev Aub'!A:A,O908,'Prev Aub'!B:B))</f>
        <v/>
      </c>
      <c r="AN908" s="25" t="s">
        <v>3790</v>
      </c>
      <c r="AO908" s="25" t="s">
        <v>3790</v>
      </c>
      <c r="AP908" s="25">
        <f t="shared" si="398"/>
        <v>0</v>
      </c>
      <c r="AQ908" s="151" t="str">
        <f>IF(SUMIFS('Supp Consol'!S:S,'Supp Consol'!A:A,O908,'Supp Consol'!I:I,"PENDING")=0,"",SUMIFS('Supp Consol'!S:S,'Supp Consol'!A:A,O908,'Supp Consol'!I:I,"PENDING"))</f>
        <v/>
      </c>
      <c r="AR908" s="27" t="str">
        <f t="shared" si="399"/>
        <v>QW115</v>
      </c>
      <c r="AS908" s="27" t="str">
        <f t="shared" si="400"/>
        <v>50</v>
      </c>
      <c r="AT908" s="27" t="str">
        <f t="shared" si="401"/>
        <v/>
      </c>
      <c r="AU908" s="27" t="str">
        <f t="shared" si="402"/>
        <v/>
      </c>
      <c r="AV908" s="27" t="str">
        <f t="shared" si="403"/>
        <v/>
      </c>
      <c r="AW908" s="27" t="str">
        <f t="shared" si="404"/>
        <v/>
      </c>
      <c r="AX908" s="27" t="str">
        <f t="shared" si="405"/>
        <v/>
      </c>
      <c r="AY908" s="27" t="str">
        <f t="shared" si="406"/>
        <v/>
      </c>
      <c r="AZ908" s="27" t="str">
        <f t="shared" si="407"/>
        <v/>
      </c>
      <c r="BA908" s="27" t="str">
        <f t="shared" si="408"/>
        <v/>
      </c>
      <c r="BB908" s="27" t="str">
        <f t="shared" si="409"/>
        <v/>
      </c>
      <c r="BC908" s="27" t="str">
        <f t="shared" si="410"/>
        <v/>
      </c>
      <c r="BD908" s="27" t="str">
        <f t="shared" si="411"/>
        <v/>
      </c>
      <c r="BE908" s="27" t="str">
        <f t="shared" si="412"/>
        <v/>
      </c>
      <c r="BF908" s="27" t="str">
        <f t="shared" si="413"/>
        <v/>
      </c>
      <c r="BG908" s="27" t="str">
        <f t="shared" si="414"/>
        <v/>
      </c>
      <c r="BH908" s="27" t="str">
        <f t="shared" si="415"/>
        <v/>
      </c>
      <c r="BI908" s="27" t="str">
        <f t="shared" si="416"/>
        <v/>
      </c>
      <c r="BJ908" s="27" t="str">
        <f t="shared" si="417"/>
        <v/>
      </c>
      <c r="BK908" s="27" t="str">
        <f t="shared" si="418"/>
        <v/>
      </c>
      <c r="BL908" s="27" t="str">
        <f t="shared" si="419"/>
        <v/>
      </c>
      <c r="BM908" s="21" t="s">
        <v>5581</v>
      </c>
    </row>
    <row r="909" spans="1:65" ht="15">
      <c r="A909" s="25" t="str">
        <f>IFERROR(INDEX('Hun Demand'!W:W,MATCH(O909,'Hun Demand'!A:A,0)),"")</f>
        <v/>
      </c>
      <c r="B909" s="25" t="str">
        <f>IFERROR(INDEX('Hun Demand'!V:V,MATCH(O909,'Hun Demand'!A:A,0)),"")</f>
        <v/>
      </c>
      <c r="C909" s="25" t="str">
        <f>IFERROR(INDEX('Hun Demand'!U:U,MATCH(O909,'Hun Demand'!A:A,0)),"")</f>
        <v/>
      </c>
      <c r="D909" s="25" t="str">
        <f>IFERROR(INDEX('Hun Demand'!T:T,MATCH(O909,'Hun Demand'!A:A,0)),"")</f>
        <v/>
      </c>
      <c r="E909" s="25" t="str">
        <f>IFERROR(INDEX('Hun Demand'!S:S,MATCH(O909,'Hun Demand'!A:A,0)),"")</f>
        <v/>
      </c>
      <c r="F909" s="25" t="str">
        <f>IFERROR(INDEX('Hun Demand'!R:R,MATCH(O909,'Hun Demand'!A:A,0)),"")</f>
        <v/>
      </c>
      <c r="G909" s="25">
        <f>IFERROR(INDEX('Aub Demand'!W:W,MATCH(O909,'Aub Demand'!A:A,0)),"")</f>
        <v>0</v>
      </c>
      <c r="H909" s="25">
        <f>IFERROR(INDEX('Aub Demand'!V:V,MATCH(O909,'Aub Demand'!A:A,0)),"")</f>
        <v>0</v>
      </c>
      <c r="I909" s="25">
        <f>IFERROR(INDEX('Aub Demand'!U:U,MATCH(O909,'Aub Demand'!A:A,0)),"")</f>
        <v>0</v>
      </c>
      <c r="J909" s="25">
        <f>IFERROR(INDEX('Aub Demand'!T:T,MATCH(O909,'Aub Demand'!A:A,0)),"")</f>
        <v>0</v>
      </c>
      <c r="K909" s="25">
        <f>IFERROR(INDEX('Aub Demand'!S:S,MATCH(O909,'Aub Demand'!A:A,0)),"")</f>
        <v>0</v>
      </c>
      <c r="L909" s="25">
        <f>IFERROR(INDEX('Aub Demand'!R:R,MATCH(O909,'Aub Demand'!A:A,0)),"")</f>
        <v>0</v>
      </c>
      <c r="O909" s="27" t="s">
        <v>1342</v>
      </c>
      <c r="P909" s="27" t="str">
        <f>IFERROR(INDEX('Aub Demand'!B:B,MATCH($O909,'Aub Demand'!$A:$A,0)),"")</f>
        <v>L'AUBERGE BURL</v>
      </c>
      <c r="Q909" s="27" t="str">
        <f>IFERROR(INDEX('Aub Demand'!C:C,MATCH($O909,'Aub Demand'!$A:$A,0)),"")</f>
        <v>SCHAT</v>
      </c>
      <c r="R909" s="52">
        <f>IFERROR(IF(AR910=AR909,INDEX('Aub Demand'!K:K,MATCH($O909,'Aub Demand'!$A:$A,0))-IF(AN909="",0,AN909)+AP910,INDEX('Aub Demand'!K:K,MATCH($O909,'Aub Demand'!$A:$A,0))-IF(AN909="",0,AN909)),"")</f>
        <v>537</v>
      </c>
      <c r="S909" s="53" t="str">
        <f t="shared" si="392"/>
        <v>n/a</v>
      </c>
      <c r="T909" s="52" t="str">
        <f t="shared" si="393"/>
        <v/>
      </c>
      <c r="U909" s="52">
        <f>IFERROR(IF(AR910=AR909,INDEX('Aub Demand'!Q:Q,MATCH($O909,'Aub Demand'!$A:$A,0))-IF(AN909="",0,AN909)+AP910,INDEX('Aub Demand'!Q:Q,MATCH($O909,'Aub Demand'!$A:$A,0))-IF(AN909="",0,AN909)),"")</f>
        <v>537</v>
      </c>
      <c r="V909" s="53" t="str">
        <f t="shared" si="394"/>
        <v>n/a</v>
      </c>
      <c r="W909" s="52" t="str">
        <f t="shared" si="395"/>
        <v/>
      </c>
      <c r="X909" s="52">
        <f>IFERROR(IF(AND(AR910=AR909,AM909&lt;&gt;""),INDEX('Aub Demand'!Q:Q,MATCH($O909,'Aub Demand'!$A:$A,0))-IF(AN909="",0,AN909)+AP910+AD909+AL909,IF(AR910=AR909,INDEX('Aub Demand'!Q:Q,MATCH($O909,'Aub Demand'!$A:$A,0))-IF(AN909="",0,AN909)+AP910+AD909,IF(AM909&lt;&gt;"",INDEX('Aub Demand'!Q:Q,MATCH($O909,'Aub Demand'!$A:$A,0))-IF(AN909="",0,AN909)+AD909+AL909,INDEX('Aub Demand'!Q:Q,MATCH($O909,'Aub Demand'!$A:$A,0))-IF(AN909="",0,AN909)+AD909))),"")</f>
        <v>537</v>
      </c>
      <c r="Y909" s="53" t="str">
        <f t="shared" si="396"/>
        <v>n/a</v>
      </c>
      <c r="Z909" s="52">
        <f>IF(L909="","",INDEX('Aub Demand'!H:H,MATCH($O909,'Aub Demand'!$A:$A,0)))</f>
        <v>0</v>
      </c>
      <c r="AA909" s="52" t="str">
        <f t="shared" si="397"/>
        <v>-spike-</v>
      </c>
      <c r="AB909" s="52">
        <f>IFERROR(INDEX('Aub Demand'!L:L,MATCH($O909,'Aub Demand'!$A:$A,0)),"")</f>
        <v>0</v>
      </c>
      <c r="AC909" s="52">
        <f>IFERROR(IF(O909="","",SUMIFS('CPL Mats'!F:F,'CPL Mats'!Q:Q,AR909,'CPL Mats'!S:S,AS909)),"")</f>
        <v>0</v>
      </c>
      <c r="AF909" s="25" t="str">
        <f>IF(SUMIFS('Supp Consol'!S:S,'Supp Consol'!Y:Y,"Releasable",'Supp Consol'!A:A,O909)=0,"",SUMIFS('Supp Consol'!S:S,'Supp Consol'!Y:Y,"Releasable",'Supp Consol'!A:A,O909))</f>
        <v/>
      </c>
      <c r="AG909" s="25" t="str">
        <f>IFERROR(INDEX('Hun Demand'!Q:Q,MATCH(O909,'Hun Demand'!A:A,0)),"")</f>
        <v/>
      </c>
      <c r="AH909" s="25" t="str">
        <f>IFERROR(INDEX('Hun Demand'!H:H,MATCH($O909,'Hun Demand'!$A:$A,0)),"")</f>
        <v/>
      </c>
      <c r="AI909" s="25" t="str">
        <f>IF(SUMIFS('Supp Consol'!AA:AA,'Supp Consol'!Z:Z,"Expires this month",'Supp Consol'!A:A,O909)=0,"",SUMIFS('Supp Consol'!AA:AA,'Supp Consol'!Z:Z,"Expires this month",'Supp Consol'!A:A,O909))</f>
        <v/>
      </c>
      <c r="AJ909" s="25" t="str">
        <f>IF(SUMIFS('Supp Consol'!AA:AA,'Supp Consol'!Z:Z,"Expired Previous Months",'Supp Consol'!A:A,O909)=0,"",SUMIFS('Supp Consol'!AA:AA,'Supp Consol'!Z:Z,"Expired Previous Months",'Supp Consol'!A:A,O909))</f>
        <v/>
      </c>
      <c r="AK909" s="25" t="str">
        <f>IFERROR(INDEX('Hun Release Current'!B:B,MATCH(O909,'Hun Release Current'!A:A,0)),"")</f>
        <v/>
      </c>
      <c r="AL909" s="25" t="str">
        <f>IF(SUMIF('Prev Aub'!A:A,O909,'Prev Aub'!B:B)=0,"",SUMIF('Prev Aub'!A:A,O909,'Prev Aub'!B:B))</f>
        <v/>
      </c>
      <c r="AN909" s="25" t="s">
        <v>3790</v>
      </c>
      <c r="AO909" s="25" t="s">
        <v>3790</v>
      </c>
      <c r="AP909" s="25">
        <f t="shared" si="398"/>
        <v>0</v>
      </c>
      <c r="AQ909" s="151" t="str">
        <f>IF(SUMIFS('Supp Consol'!S:S,'Supp Consol'!A:A,O909,'Supp Consol'!I:I,"PENDING")=0,"",SUMIFS('Supp Consol'!S:S,'Supp Consol'!A:A,O909,'Supp Consol'!I:I,"PENDING"))</f>
        <v/>
      </c>
      <c r="AR909" s="27" t="str">
        <f t="shared" si="399"/>
        <v>QW116</v>
      </c>
      <c r="AS909" s="27" t="str">
        <f t="shared" si="400"/>
        <v>50</v>
      </c>
      <c r="AT909" s="27" t="str">
        <f t="shared" si="401"/>
        <v/>
      </c>
      <c r="AU909" s="27" t="str">
        <f t="shared" si="402"/>
        <v/>
      </c>
      <c r="AV909" s="27" t="str">
        <f t="shared" si="403"/>
        <v/>
      </c>
      <c r="AW909" s="27" t="str">
        <f t="shared" si="404"/>
        <v/>
      </c>
      <c r="AX909" s="27" t="str">
        <f t="shared" si="405"/>
        <v/>
      </c>
      <c r="AY909" s="27" t="str">
        <f t="shared" si="406"/>
        <v/>
      </c>
      <c r="AZ909" s="27" t="str">
        <f t="shared" si="407"/>
        <v/>
      </c>
      <c r="BA909" s="27" t="str">
        <f t="shared" si="408"/>
        <v/>
      </c>
      <c r="BB909" s="27" t="str">
        <f t="shared" si="409"/>
        <v/>
      </c>
      <c r="BC909" s="27" t="str">
        <f t="shared" si="410"/>
        <v/>
      </c>
      <c r="BD909" s="27" t="str">
        <f t="shared" si="411"/>
        <v/>
      </c>
      <c r="BE909" s="27" t="str">
        <f t="shared" si="412"/>
        <v/>
      </c>
      <c r="BF909" s="27" t="str">
        <f t="shared" si="413"/>
        <v/>
      </c>
      <c r="BG909" s="27" t="str">
        <f t="shared" si="414"/>
        <v/>
      </c>
      <c r="BH909" s="27" t="str">
        <f t="shared" si="415"/>
        <v/>
      </c>
      <c r="BI909" s="27" t="str">
        <f t="shared" si="416"/>
        <v/>
      </c>
      <c r="BJ909" s="27" t="str">
        <f t="shared" si="417"/>
        <v/>
      </c>
      <c r="BK909" s="27" t="str">
        <f t="shared" si="418"/>
        <v/>
      </c>
      <c r="BL909" s="27" t="str">
        <f t="shared" si="419"/>
        <v/>
      </c>
      <c r="BM909" s="21" t="s">
        <v>5581</v>
      </c>
    </row>
    <row r="910" spans="1:65" ht="15">
      <c r="A910" s="25" t="str">
        <f>IFERROR(INDEX('Hun Demand'!W:W,MATCH(O910,'Hun Demand'!A:A,0)),"")</f>
        <v/>
      </c>
      <c r="B910" s="25" t="str">
        <f>IFERROR(INDEX('Hun Demand'!V:V,MATCH(O910,'Hun Demand'!A:A,0)),"")</f>
        <v/>
      </c>
      <c r="C910" s="25" t="str">
        <f>IFERROR(INDEX('Hun Demand'!U:U,MATCH(O910,'Hun Demand'!A:A,0)),"")</f>
        <v/>
      </c>
      <c r="D910" s="25" t="str">
        <f>IFERROR(INDEX('Hun Demand'!T:T,MATCH(O910,'Hun Demand'!A:A,0)),"")</f>
        <v/>
      </c>
      <c r="E910" s="25" t="str">
        <f>IFERROR(INDEX('Hun Demand'!S:S,MATCH(O910,'Hun Demand'!A:A,0)),"")</f>
        <v/>
      </c>
      <c r="F910" s="25" t="str">
        <f>IFERROR(INDEX('Hun Demand'!R:R,MATCH(O910,'Hun Demand'!A:A,0)),"")</f>
        <v/>
      </c>
      <c r="G910" s="25">
        <f>IFERROR(INDEX('Aub Demand'!W:W,MATCH(O910,'Aub Demand'!A:A,0)),"")</f>
        <v>0</v>
      </c>
      <c r="H910" s="25">
        <f>IFERROR(INDEX('Aub Demand'!V:V,MATCH(O910,'Aub Demand'!A:A,0)),"")</f>
        <v>21</v>
      </c>
      <c r="I910" s="25">
        <f>IFERROR(INDEX('Aub Demand'!U:U,MATCH(O910,'Aub Demand'!A:A,0)),"")</f>
        <v>199</v>
      </c>
      <c r="J910" s="25">
        <f>IFERROR(INDEX('Aub Demand'!T:T,MATCH(O910,'Aub Demand'!A:A,0)),"")</f>
        <v>0</v>
      </c>
      <c r="K910" s="25">
        <f>IFERROR(INDEX('Aub Demand'!S:S,MATCH(O910,'Aub Demand'!A:A,0)),"")</f>
        <v>56</v>
      </c>
      <c r="L910" s="25">
        <f>IFERROR(INDEX('Aub Demand'!R:R,MATCH(O910,'Aub Demand'!A:A,0)),"")</f>
        <v>0</v>
      </c>
      <c r="O910" s="27" t="s">
        <v>1344</v>
      </c>
      <c r="P910" s="27" t="str">
        <f>IFERROR(INDEX('Aub Demand'!B:B,MATCH($O910,'Aub Demand'!$A:$A,0)),"")</f>
        <v>ROCKWOOD</v>
      </c>
      <c r="Q910" s="27" t="str">
        <f>IFERROR(INDEX('Aub Demand'!C:C,MATCH($O910,'Aub Demand'!$A:$A,0)),"")</f>
        <v>SCHAT</v>
      </c>
      <c r="R910" s="52">
        <f>IFERROR(IF(AR911=AR910,INDEX('Aub Demand'!K:K,MATCH($O910,'Aub Demand'!$A:$A,0))-IF(AN910="",0,AN910)+AP911,INDEX('Aub Demand'!K:K,MATCH($O910,'Aub Demand'!$A:$A,0))-IF(AN910="",0,AN910)),"")</f>
        <v>309</v>
      </c>
      <c r="S910" s="53">
        <f t="shared" si="392"/>
        <v>15.6</v>
      </c>
      <c r="T910" s="52" t="str">
        <f t="shared" si="393"/>
        <v/>
      </c>
      <c r="U910" s="52">
        <f>IFERROR(IF(AR911=AR910,INDEX('Aub Demand'!Q:Q,MATCH($O910,'Aub Demand'!$A:$A,0))-IF(AN910="",0,AN910)+AP911,INDEX('Aub Demand'!Q:Q,MATCH($O910,'Aub Demand'!$A:$A,0))-IF(AN910="",0,AN910)),"")</f>
        <v>309</v>
      </c>
      <c r="V910" s="53">
        <f t="shared" si="394"/>
        <v>15.6</v>
      </c>
      <c r="W910" s="52" t="str">
        <f t="shared" si="395"/>
        <v/>
      </c>
      <c r="X910" s="52">
        <f>IFERROR(IF(AND(AR911=AR910,AM910&lt;&gt;""),INDEX('Aub Demand'!Q:Q,MATCH($O910,'Aub Demand'!$A:$A,0))-IF(AN910="",0,AN910)+AP911+AD910+AL910,IF(AR911=AR910,INDEX('Aub Demand'!Q:Q,MATCH($O910,'Aub Demand'!$A:$A,0))-IF(AN910="",0,AN910)+AP911+AD910,IF(AM910&lt;&gt;"",INDEX('Aub Demand'!Q:Q,MATCH($O910,'Aub Demand'!$A:$A,0))-IF(AN910="",0,AN910)+AD910+AL910,INDEX('Aub Demand'!Q:Q,MATCH($O910,'Aub Demand'!$A:$A,0))-IF(AN910="",0,AN910)+AD910))),"")</f>
        <v>309</v>
      </c>
      <c r="Y910" s="53">
        <f t="shared" si="396"/>
        <v>15.6</v>
      </c>
      <c r="Z910" s="52">
        <f>IF(L910="","",INDEX('Aub Demand'!H:H,MATCH($O910,'Aub Demand'!$A:$A,0)))</f>
        <v>85</v>
      </c>
      <c r="AA910" s="52">
        <f t="shared" si="397"/>
        <v>127.5</v>
      </c>
      <c r="AB910" s="52">
        <f>IFERROR(INDEX('Aub Demand'!L:L,MATCH($O910,'Aub Demand'!$A:$A,0)),"")</f>
        <v>32</v>
      </c>
      <c r="AC910" s="52">
        <f>IFERROR(IF(O910="","",SUMIFS('CPL Mats'!F:F,'CPL Mats'!Q:Q,AR910,'CPL Mats'!S:S,AS910)),"")</f>
        <v>0</v>
      </c>
      <c r="AF910" s="25" t="str">
        <f>IF(SUMIFS('Supp Consol'!S:S,'Supp Consol'!Y:Y,"Releasable",'Supp Consol'!A:A,O910)=0,"",SUMIFS('Supp Consol'!S:S,'Supp Consol'!Y:Y,"Releasable",'Supp Consol'!A:A,O910))</f>
        <v/>
      </c>
      <c r="AG910" s="25" t="str">
        <f>IFERROR(INDEX('Hun Demand'!Q:Q,MATCH(O910,'Hun Demand'!A:A,0)),"")</f>
        <v/>
      </c>
      <c r="AH910" s="25" t="str">
        <f>IFERROR(INDEX('Hun Demand'!H:H,MATCH($O910,'Hun Demand'!$A:$A,0)),"")</f>
        <v/>
      </c>
      <c r="AI910" s="25" t="str">
        <f>IF(SUMIFS('Supp Consol'!AA:AA,'Supp Consol'!Z:Z,"Expires this month",'Supp Consol'!A:A,O910)=0,"",SUMIFS('Supp Consol'!AA:AA,'Supp Consol'!Z:Z,"Expires this month",'Supp Consol'!A:A,O910))</f>
        <v/>
      </c>
      <c r="AJ910" s="25" t="str">
        <f>IF(SUMIFS('Supp Consol'!AA:AA,'Supp Consol'!Z:Z,"Expired Previous Months",'Supp Consol'!A:A,O910)=0,"",SUMIFS('Supp Consol'!AA:AA,'Supp Consol'!Z:Z,"Expired Previous Months",'Supp Consol'!A:A,O910))</f>
        <v/>
      </c>
      <c r="AK910" s="25" t="str">
        <f>IFERROR(INDEX('Hun Release Current'!B:B,MATCH(O910,'Hun Release Current'!A:A,0)),"")</f>
        <v/>
      </c>
      <c r="AL910" s="25" t="str">
        <f>IF(SUMIF('Prev Aub'!A:A,O910,'Prev Aub'!B:B)=0,"",SUMIF('Prev Aub'!A:A,O910,'Prev Aub'!B:B))</f>
        <v/>
      </c>
      <c r="AN910" s="25" t="s">
        <v>3790</v>
      </c>
      <c r="AO910" s="25" t="s">
        <v>3790</v>
      </c>
      <c r="AP910" s="25">
        <f t="shared" si="398"/>
        <v>0</v>
      </c>
      <c r="AQ910" s="151" t="str">
        <f>IF(SUMIFS('Supp Consol'!S:S,'Supp Consol'!A:A,O910,'Supp Consol'!I:I,"PENDING")=0,"",SUMIFS('Supp Consol'!S:S,'Supp Consol'!A:A,O910,'Supp Consol'!I:I,"PENDING"))</f>
        <v/>
      </c>
      <c r="AR910" s="27" t="str">
        <f t="shared" si="399"/>
        <v>QW118</v>
      </c>
      <c r="AS910" s="27" t="str">
        <f t="shared" si="400"/>
        <v>50</v>
      </c>
      <c r="AT910" s="27" t="str">
        <f t="shared" si="401"/>
        <v/>
      </c>
      <c r="AU910" s="27" t="str">
        <f t="shared" si="402"/>
        <v/>
      </c>
      <c r="AV910" s="27" t="str">
        <f t="shared" si="403"/>
        <v/>
      </c>
      <c r="AW910" s="27" t="str">
        <f t="shared" si="404"/>
        <v/>
      </c>
      <c r="AX910" s="27" t="str">
        <f t="shared" si="405"/>
        <v/>
      </c>
      <c r="AY910" s="27" t="str">
        <f t="shared" si="406"/>
        <v/>
      </c>
      <c r="AZ910" s="27" t="str">
        <f t="shared" si="407"/>
        <v/>
      </c>
      <c r="BA910" s="27" t="str">
        <f t="shared" si="408"/>
        <v/>
      </c>
      <c r="BB910" s="27" t="str">
        <f t="shared" si="409"/>
        <v/>
      </c>
      <c r="BC910" s="27" t="str">
        <f t="shared" si="410"/>
        <v/>
      </c>
      <c r="BD910" s="27" t="str">
        <f t="shared" si="411"/>
        <v/>
      </c>
      <c r="BE910" s="27" t="str">
        <f t="shared" si="412"/>
        <v/>
      </c>
      <c r="BF910" s="27" t="str">
        <f t="shared" si="413"/>
        <v/>
      </c>
      <c r="BG910" s="27" t="str">
        <f t="shared" si="414"/>
        <v/>
      </c>
      <c r="BH910" s="27" t="str">
        <f t="shared" si="415"/>
        <v/>
      </c>
      <c r="BI910" s="27" t="str">
        <f t="shared" si="416"/>
        <v/>
      </c>
      <c r="BJ910" s="27" t="str">
        <f t="shared" si="417"/>
        <v/>
      </c>
      <c r="BK910" s="27" t="str">
        <f t="shared" si="418"/>
        <v/>
      </c>
      <c r="BL910" s="27" t="str">
        <f t="shared" si="419"/>
        <v/>
      </c>
      <c r="BM910" s="21" t="s">
        <v>5581</v>
      </c>
    </row>
    <row r="911" spans="1:65" ht="15">
      <c r="A911" s="25" t="str">
        <f>IFERROR(INDEX('Hun Demand'!W:W,MATCH(O911,'Hun Demand'!A:A,0)),"")</f>
        <v/>
      </c>
      <c r="B911" s="25" t="str">
        <f>IFERROR(INDEX('Hun Demand'!V:V,MATCH(O911,'Hun Demand'!A:A,0)),"")</f>
        <v/>
      </c>
      <c r="C911" s="25" t="str">
        <f>IFERROR(INDEX('Hun Demand'!U:U,MATCH(O911,'Hun Demand'!A:A,0)),"")</f>
        <v/>
      </c>
      <c r="D911" s="25" t="str">
        <f>IFERROR(INDEX('Hun Demand'!T:T,MATCH(O911,'Hun Demand'!A:A,0)),"")</f>
        <v/>
      </c>
      <c r="E911" s="25" t="str">
        <f>IFERROR(INDEX('Hun Demand'!S:S,MATCH(O911,'Hun Demand'!A:A,0)),"")</f>
        <v/>
      </c>
      <c r="F911" s="25" t="str">
        <f>IFERROR(INDEX('Hun Demand'!R:R,MATCH(O911,'Hun Demand'!A:A,0)),"")</f>
        <v/>
      </c>
      <c r="G911" s="25">
        <f>IFERROR(INDEX('Aub Demand'!W:W,MATCH(O911,'Aub Demand'!A:A,0)),"")</f>
        <v>134</v>
      </c>
      <c r="H911" s="25">
        <f>IFERROR(INDEX('Aub Demand'!V:V,MATCH(O911,'Aub Demand'!A:A,0)),"")</f>
        <v>14</v>
      </c>
      <c r="I911" s="25">
        <f>IFERROR(INDEX('Aub Demand'!U:U,MATCH(O911,'Aub Demand'!A:A,0)),"")</f>
        <v>46</v>
      </c>
      <c r="J911" s="25">
        <f>IFERROR(INDEX('Aub Demand'!T:T,MATCH(O911,'Aub Demand'!A:A,0)),"")</f>
        <v>0</v>
      </c>
      <c r="K911" s="25">
        <f>IFERROR(INDEX('Aub Demand'!S:S,MATCH(O911,'Aub Demand'!A:A,0)),"")</f>
        <v>0</v>
      </c>
      <c r="L911" s="25">
        <f>IFERROR(INDEX('Aub Demand'!R:R,MATCH(O911,'Aub Demand'!A:A,0)),"")</f>
        <v>108</v>
      </c>
      <c r="O911" s="27" t="s">
        <v>1346</v>
      </c>
      <c r="P911" s="27" t="str">
        <f>IFERROR(INDEX('Aub Demand'!B:B,MATCH($O911,'Aub Demand'!$A:$A,0)),"")</f>
        <v>BEAU RIVAGE BURL</v>
      </c>
      <c r="Q911" s="27" t="str">
        <f>IFERROR(INDEX('Aub Demand'!C:C,MATCH($O911,'Aub Demand'!$A:$A,0)),"")</f>
        <v>SCHAT</v>
      </c>
      <c r="R911" s="52">
        <f>IFERROR(IF(AR912=AR911,INDEX('Aub Demand'!K:K,MATCH($O911,'Aub Demand'!$A:$A,0))-IF(AN911="",0,AN911)+AP912,INDEX('Aub Demand'!K:K,MATCH($O911,'Aub Demand'!$A:$A,0))-IF(AN911="",0,AN911)),"")</f>
        <v>762</v>
      </c>
      <c r="S911" s="53">
        <f t="shared" si="392"/>
        <v>217.7</v>
      </c>
      <c r="T911" s="52" t="str">
        <f t="shared" si="393"/>
        <v/>
      </c>
      <c r="U911" s="52">
        <f>IFERROR(IF(AR912=AR911,INDEX('Aub Demand'!Q:Q,MATCH($O911,'Aub Demand'!$A:$A,0))-IF(AN911="",0,AN911)+AP912,INDEX('Aub Demand'!Q:Q,MATCH($O911,'Aub Demand'!$A:$A,0))-IF(AN911="",0,AN911)),"")</f>
        <v>705</v>
      </c>
      <c r="V911" s="53">
        <f t="shared" si="394"/>
        <v>201.4</v>
      </c>
      <c r="W911" s="52" t="str">
        <f t="shared" si="395"/>
        <v/>
      </c>
      <c r="X911" s="52">
        <f>IFERROR(IF(AND(AR912=AR911,AM911&lt;&gt;""),INDEX('Aub Demand'!Q:Q,MATCH($O911,'Aub Demand'!$A:$A,0))-IF(AN911="",0,AN911)+AP912+AD911+AL911,IF(AR912=AR911,INDEX('Aub Demand'!Q:Q,MATCH($O911,'Aub Demand'!$A:$A,0))-IF(AN911="",0,AN911)+AP912+AD911,IF(AM911&lt;&gt;"",INDEX('Aub Demand'!Q:Q,MATCH($O911,'Aub Demand'!$A:$A,0))-IF(AN911="",0,AN911)+AD911+AL911,INDEX('Aub Demand'!Q:Q,MATCH($O911,'Aub Demand'!$A:$A,0))-IF(AN911="",0,AN911)+AD911))),"")</f>
        <v>705</v>
      </c>
      <c r="Y911" s="53">
        <f t="shared" si="396"/>
        <v>201.4</v>
      </c>
      <c r="Z911" s="52">
        <f>IF(L911="","",INDEX('Aub Demand'!H:H,MATCH($O911,'Aub Demand'!$A:$A,0)))</f>
        <v>15</v>
      </c>
      <c r="AA911" s="52">
        <f t="shared" si="397"/>
        <v>77</v>
      </c>
      <c r="AB911" s="52">
        <f>IFERROR(INDEX('Aub Demand'!L:L,MATCH($O911,'Aub Demand'!$A:$A,0)),"")</f>
        <v>115</v>
      </c>
      <c r="AC911" s="52">
        <f>IFERROR(IF(O911="","",SUMIFS('CPL Mats'!F:F,'CPL Mats'!Q:Q,AR911,'CPL Mats'!S:S,AS911)),"")</f>
        <v>0</v>
      </c>
      <c r="AF911" s="25" t="str">
        <f>IF(SUMIFS('Supp Consol'!S:S,'Supp Consol'!Y:Y,"Releasable",'Supp Consol'!A:A,O911)=0,"",SUMIFS('Supp Consol'!S:S,'Supp Consol'!Y:Y,"Releasable",'Supp Consol'!A:A,O911))</f>
        <v/>
      </c>
      <c r="AG911" s="25" t="str">
        <f>IFERROR(INDEX('Hun Demand'!Q:Q,MATCH(O911,'Hun Demand'!A:A,0)),"")</f>
        <v/>
      </c>
      <c r="AH911" s="25" t="str">
        <f>IFERROR(INDEX('Hun Demand'!H:H,MATCH($O911,'Hun Demand'!$A:$A,0)),"")</f>
        <v/>
      </c>
      <c r="AI911" s="25" t="str">
        <f>IF(SUMIFS('Supp Consol'!AA:AA,'Supp Consol'!Z:Z,"Expires this month",'Supp Consol'!A:A,O911)=0,"",SUMIFS('Supp Consol'!AA:AA,'Supp Consol'!Z:Z,"Expires this month",'Supp Consol'!A:A,O911))</f>
        <v/>
      </c>
      <c r="AJ911" s="25" t="str">
        <f>IF(SUMIFS('Supp Consol'!AA:AA,'Supp Consol'!Z:Z,"Expired Previous Months",'Supp Consol'!A:A,O911)=0,"",SUMIFS('Supp Consol'!AA:AA,'Supp Consol'!Z:Z,"Expired Previous Months",'Supp Consol'!A:A,O911))</f>
        <v/>
      </c>
      <c r="AK911" s="25" t="str">
        <f>IFERROR(INDEX('Hun Release Current'!B:B,MATCH(O911,'Hun Release Current'!A:A,0)),"")</f>
        <v/>
      </c>
      <c r="AL911" s="25" t="str">
        <f>IF(SUMIF('Prev Aub'!A:A,O911,'Prev Aub'!B:B)=0,"",SUMIF('Prev Aub'!A:A,O911,'Prev Aub'!B:B))</f>
        <v/>
      </c>
      <c r="AN911" s="25" t="s">
        <v>3790</v>
      </c>
      <c r="AO911" s="25" t="s">
        <v>3790</v>
      </c>
      <c r="AP911" s="25">
        <f t="shared" si="398"/>
        <v>0</v>
      </c>
      <c r="AQ911" s="151" t="str">
        <f>IF(SUMIFS('Supp Consol'!S:S,'Supp Consol'!A:A,O911,'Supp Consol'!I:I,"PENDING")=0,"",SUMIFS('Supp Consol'!S:S,'Supp Consol'!A:A,O911,'Supp Consol'!I:I,"PENDING"))</f>
        <v/>
      </c>
      <c r="AR911" s="27" t="str">
        <f t="shared" si="399"/>
        <v>QW119</v>
      </c>
      <c r="AS911" s="27" t="str">
        <f t="shared" si="400"/>
        <v>50</v>
      </c>
      <c r="AT911" s="27" t="str">
        <f t="shared" si="401"/>
        <v/>
      </c>
      <c r="AU911" s="27" t="str">
        <f t="shared" si="402"/>
        <v/>
      </c>
      <c r="AV911" s="27" t="str">
        <f t="shared" si="403"/>
        <v/>
      </c>
      <c r="AW911" s="27" t="str">
        <f t="shared" si="404"/>
        <v/>
      </c>
      <c r="AX911" s="27" t="str">
        <f t="shared" si="405"/>
        <v/>
      </c>
      <c r="AY911" s="27" t="str">
        <f t="shared" si="406"/>
        <v/>
      </c>
      <c r="AZ911" s="27" t="str">
        <f t="shared" si="407"/>
        <v/>
      </c>
      <c r="BA911" s="27" t="str">
        <f t="shared" si="408"/>
        <v/>
      </c>
      <c r="BB911" s="27" t="str">
        <f t="shared" si="409"/>
        <v/>
      </c>
      <c r="BC911" s="27" t="str">
        <f t="shared" si="410"/>
        <v/>
      </c>
      <c r="BD911" s="27" t="str">
        <f t="shared" si="411"/>
        <v/>
      </c>
      <c r="BE911" s="27" t="str">
        <f t="shared" si="412"/>
        <v/>
      </c>
      <c r="BF911" s="27" t="str">
        <f t="shared" si="413"/>
        <v/>
      </c>
      <c r="BG911" s="27" t="str">
        <f t="shared" si="414"/>
        <v/>
      </c>
      <c r="BH911" s="27" t="str">
        <f t="shared" si="415"/>
        <v/>
      </c>
      <c r="BI911" s="27" t="str">
        <f t="shared" si="416"/>
        <v/>
      </c>
      <c r="BJ911" s="27" t="str">
        <f t="shared" si="417"/>
        <v/>
      </c>
      <c r="BK911" s="27" t="str">
        <f t="shared" si="418"/>
        <v/>
      </c>
      <c r="BL911" s="27" t="str">
        <f t="shared" si="419"/>
        <v/>
      </c>
      <c r="BM911" s="21" t="s">
        <v>5581</v>
      </c>
    </row>
    <row r="912" spans="1:65" ht="15">
      <c r="A912" s="25" t="str">
        <f>IFERROR(INDEX('Hun Demand'!W:W,MATCH(O912,'Hun Demand'!A:A,0)),"")</f>
        <v/>
      </c>
      <c r="B912" s="25" t="str">
        <f>IFERROR(INDEX('Hun Demand'!V:V,MATCH(O912,'Hun Demand'!A:A,0)),"")</f>
        <v/>
      </c>
      <c r="C912" s="25" t="str">
        <f>IFERROR(INDEX('Hun Demand'!U:U,MATCH(O912,'Hun Demand'!A:A,0)),"")</f>
        <v/>
      </c>
      <c r="D912" s="25" t="str">
        <f>IFERROR(INDEX('Hun Demand'!T:T,MATCH(O912,'Hun Demand'!A:A,0)),"")</f>
        <v/>
      </c>
      <c r="E912" s="25" t="str">
        <f>IFERROR(INDEX('Hun Demand'!S:S,MATCH(O912,'Hun Demand'!A:A,0)),"")</f>
        <v/>
      </c>
      <c r="F912" s="25" t="str">
        <f>IFERROR(INDEX('Hun Demand'!R:R,MATCH(O912,'Hun Demand'!A:A,0)),"")</f>
        <v/>
      </c>
      <c r="G912" s="25">
        <f>IFERROR(INDEX('Aub Demand'!W:W,MATCH(O912,'Aub Demand'!A:A,0)),"")</f>
        <v>0</v>
      </c>
      <c r="H912" s="25">
        <f>IFERROR(INDEX('Aub Demand'!V:V,MATCH(O912,'Aub Demand'!A:A,0)),"")</f>
        <v>0</v>
      </c>
      <c r="I912" s="25">
        <f>IFERROR(INDEX('Aub Demand'!U:U,MATCH(O912,'Aub Demand'!A:A,0)),"")</f>
        <v>0</v>
      </c>
      <c r="J912" s="25">
        <f>IFERROR(INDEX('Aub Demand'!T:T,MATCH(O912,'Aub Demand'!A:A,0)),"")</f>
        <v>0</v>
      </c>
      <c r="K912" s="25">
        <f>IFERROR(INDEX('Aub Demand'!S:S,MATCH(O912,'Aub Demand'!A:A,0)),"")</f>
        <v>0</v>
      </c>
      <c r="L912" s="25">
        <f>IFERROR(INDEX('Aub Demand'!R:R,MATCH(O912,'Aub Demand'!A:A,0)),"")</f>
        <v>0</v>
      </c>
      <c r="O912" s="27" t="s">
        <v>3388</v>
      </c>
      <c r="P912" s="27" t="str">
        <f>IFERROR(INDEX('Aub Demand'!B:B,MATCH($O912,'Aub Demand'!$A:$A,0)),"")</f>
        <v>ENCORE SYCAMORE</v>
      </c>
      <c r="Q912" s="27">
        <f>IFERROR(INDEX('Aub Demand'!C:C,MATCH($O912,'Aub Demand'!$A:$A,0)),"")</f>
        <v>0</v>
      </c>
      <c r="R912" s="52">
        <f>IFERROR(IF(AR913=AR912,INDEX('Aub Demand'!K:K,MATCH($O912,'Aub Demand'!$A:$A,0))-IF(AN912="",0,AN912)+AP913,INDEX('Aub Demand'!K:K,MATCH($O912,'Aub Demand'!$A:$A,0))-IF(AN912="",0,AN912)),"")</f>
        <v>717</v>
      </c>
      <c r="S912" s="53" t="str">
        <f t="shared" si="392"/>
        <v>n/a</v>
      </c>
      <c r="T912" s="52" t="str">
        <f t="shared" si="393"/>
        <v/>
      </c>
      <c r="U912" s="52">
        <f>IFERROR(IF(AR913=AR912,INDEX('Aub Demand'!Q:Q,MATCH($O912,'Aub Demand'!$A:$A,0))-IF(AN912="",0,AN912)+AP913,INDEX('Aub Demand'!Q:Q,MATCH($O912,'Aub Demand'!$A:$A,0))-IF(AN912="",0,AN912)),"")</f>
        <v>717</v>
      </c>
      <c r="V912" s="53" t="str">
        <f t="shared" si="394"/>
        <v>n/a</v>
      </c>
      <c r="W912" s="52" t="str">
        <f t="shared" si="395"/>
        <v/>
      </c>
      <c r="X912" s="52">
        <f>IFERROR(IF(AND(AR913=AR912,AM912&lt;&gt;""),INDEX('Aub Demand'!Q:Q,MATCH($O912,'Aub Demand'!$A:$A,0))-IF(AN912="",0,AN912)+AP913+AD912+AL912,IF(AR913=AR912,INDEX('Aub Demand'!Q:Q,MATCH($O912,'Aub Demand'!$A:$A,0))-IF(AN912="",0,AN912)+AP913+AD912,IF(AM912&lt;&gt;"",INDEX('Aub Demand'!Q:Q,MATCH($O912,'Aub Demand'!$A:$A,0))-IF(AN912="",0,AN912)+AD912+AL912,INDEX('Aub Demand'!Q:Q,MATCH($O912,'Aub Demand'!$A:$A,0))-IF(AN912="",0,AN912)+AD912))),"")</f>
        <v>717</v>
      </c>
      <c r="Y912" s="53" t="str">
        <f t="shared" si="396"/>
        <v>n/a</v>
      </c>
      <c r="Z912" s="52">
        <f>IF(L912="","",INDEX('Aub Demand'!H:H,MATCH($O912,'Aub Demand'!$A:$A,0)))</f>
        <v>0</v>
      </c>
      <c r="AA912" s="52" t="str">
        <f t="shared" si="397"/>
        <v>-spike-</v>
      </c>
      <c r="AB912" s="52">
        <f>IFERROR(INDEX('Aub Demand'!L:L,MATCH($O912,'Aub Demand'!$A:$A,0)),"")</f>
        <v>8</v>
      </c>
      <c r="AC912" s="52">
        <f>IFERROR(IF(O912="","",SUMIFS('CPL Mats'!F:F,'CPL Mats'!Q:Q,AR912,'CPL Mats'!S:S,AS912)),"")</f>
        <v>0</v>
      </c>
      <c r="AF912" s="25" t="str">
        <f>IF(SUMIFS('Supp Consol'!S:S,'Supp Consol'!Y:Y,"Releasable",'Supp Consol'!A:A,O912)=0,"",SUMIFS('Supp Consol'!S:S,'Supp Consol'!Y:Y,"Releasable",'Supp Consol'!A:A,O912))</f>
        <v/>
      </c>
      <c r="AG912" s="25" t="str">
        <f>IFERROR(INDEX('Hun Demand'!Q:Q,MATCH(O912,'Hun Demand'!A:A,0)),"")</f>
        <v/>
      </c>
      <c r="AH912" s="25" t="str">
        <f>IFERROR(INDEX('Hun Demand'!H:H,MATCH($O912,'Hun Demand'!$A:$A,0)),"")</f>
        <v/>
      </c>
      <c r="AI912" s="25" t="str">
        <f>IF(SUMIFS('Supp Consol'!AA:AA,'Supp Consol'!Z:Z,"Expires this month",'Supp Consol'!A:A,O912)=0,"",SUMIFS('Supp Consol'!AA:AA,'Supp Consol'!Z:Z,"Expires this month",'Supp Consol'!A:A,O912))</f>
        <v/>
      </c>
      <c r="AJ912" s="25" t="str">
        <f>IF(SUMIFS('Supp Consol'!AA:AA,'Supp Consol'!Z:Z,"Expired Previous Months",'Supp Consol'!A:A,O912)=0,"",SUMIFS('Supp Consol'!AA:AA,'Supp Consol'!Z:Z,"Expired Previous Months",'Supp Consol'!A:A,O912))</f>
        <v/>
      </c>
      <c r="AK912" s="25" t="str">
        <f>IFERROR(INDEX('Hun Release Current'!B:B,MATCH(O912,'Hun Release Current'!A:A,0)),"")</f>
        <v/>
      </c>
      <c r="AL912" s="25" t="str">
        <f>IF(SUMIF('Prev Aub'!A:A,O912,'Prev Aub'!B:B)=0,"",SUMIF('Prev Aub'!A:A,O912,'Prev Aub'!B:B))</f>
        <v/>
      </c>
      <c r="AN912" s="25" t="s">
        <v>3790</v>
      </c>
      <c r="AO912" s="25" t="s">
        <v>3790</v>
      </c>
      <c r="AP912" s="25">
        <f t="shared" si="398"/>
        <v>0</v>
      </c>
      <c r="AQ912" s="151" t="str">
        <f>IF(SUMIFS('Supp Consol'!S:S,'Supp Consol'!A:A,O912,'Supp Consol'!I:I,"PENDING")=0,"",SUMIFS('Supp Consol'!S:S,'Supp Consol'!A:A,O912,'Supp Consol'!I:I,"PENDING"))</f>
        <v/>
      </c>
      <c r="AR912" s="27" t="str">
        <f t="shared" si="399"/>
        <v>QW120</v>
      </c>
      <c r="AS912" s="27" t="str">
        <f t="shared" si="400"/>
        <v>50</v>
      </c>
      <c r="AT912" s="27" t="str">
        <f t="shared" si="401"/>
        <v/>
      </c>
      <c r="AU912" s="27" t="str">
        <f t="shared" si="402"/>
        <v/>
      </c>
      <c r="AV912" s="27" t="str">
        <f t="shared" si="403"/>
        <v/>
      </c>
      <c r="AW912" s="27" t="str">
        <f t="shared" si="404"/>
        <v/>
      </c>
      <c r="AX912" s="27" t="str">
        <f t="shared" si="405"/>
        <v/>
      </c>
      <c r="AY912" s="27" t="str">
        <f t="shared" si="406"/>
        <v/>
      </c>
      <c r="AZ912" s="27" t="str">
        <f t="shared" si="407"/>
        <v/>
      </c>
      <c r="BA912" s="27" t="str">
        <f t="shared" si="408"/>
        <v/>
      </c>
      <c r="BB912" s="27" t="str">
        <f t="shared" si="409"/>
        <v/>
      </c>
      <c r="BC912" s="27" t="str">
        <f t="shared" si="410"/>
        <v/>
      </c>
      <c r="BD912" s="27" t="str">
        <f t="shared" si="411"/>
        <v/>
      </c>
      <c r="BE912" s="27" t="str">
        <f t="shared" si="412"/>
        <v/>
      </c>
      <c r="BF912" s="27" t="str">
        <f t="shared" si="413"/>
        <v/>
      </c>
      <c r="BG912" s="27" t="str">
        <f t="shared" si="414"/>
        <v/>
      </c>
      <c r="BH912" s="27" t="str">
        <f t="shared" si="415"/>
        <v/>
      </c>
      <c r="BI912" s="27" t="str">
        <f t="shared" si="416"/>
        <v/>
      </c>
      <c r="BJ912" s="27" t="str">
        <f t="shared" si="417"/>
        <v/>
      </c>
      <c r="BK912" s="27" t="str">
        <f t="shared" si="418"/>
        <v/>
      </c>
      <c r="BL912" s="27" t="str">
        <f t="shared" si="419"/>
        <v/>
      </c>
      <c r="BM912" s="21" t="s">
        <v>3790</v>
      </c>
    </row>
    <row r="913" spans="1:65" ht="15">
      <c r="A913" s="25" t="str">
        <f>IFERROR(INDEX('Hun Demand'!W:W,MATCH(O913,'Hun Demand'!A:A,0)),"")</f>
        <v/>
      </c>
      <c r="B913" s="25" t="str">
        <f>IFERROR(INDEX('Hun Demand'!V:V,MATCH(O913,'Hun Demand'!A:A,0)),"")</f>
        <v/>
      </c>
      <c r="C913" s="25" t="str">
        <f>IFERROR(INDEX('Hun Demand'!U:U,MATCH(O913,'Hun Demand'!A:A,0)),"")</f>
        <v/>
      </c>
      <c r="D913" s="25" t="str">
        <f>IFERROR(INDEX('Hun Demand'!T:T,MATCH(O913,'Hun Demand'!A:A,0)),"")</f>
        <v/>
      </c>
      <c r="E913" s="25" t="str">
        <f>IFERROR(INDEX('Hun Demand'!S:S,MATCH(O913,'Hun Demand'!A:A,0)),"")</f>
        <v/>
      </c>
      <c r="F913" s="25" t="str">
        <f>IFERROR(INDEX('Hun Demand'!R:R,MATCH(O913,'Hun Demand'!A:A,0)),"")</f>
        <v/>
      </c>
      <c r="G913" s="25">
        <f>IFERROR(INDEX('Aub Demand'!W:W,MATCH(O913,'Aub Demand'!A:A,0)),"")</f>
        <v>0</v>
      </c>
      <c r="H913" s="25">
        <f>IFERROR(INDEX('Aub Demand'!V:V,MATCH(O913,'Aub Demand'!A:A,0)),"")</f>
        <v>0</v>
      </c>
      <c r="I913" s="25">
        <f>IFERROR(INDEX('Aub Demand'!U:U,MATCH(O913,'Aub Demand'!A:A,0)),"")</f>
        <v>0</v>
      </c>
      <c r="J913" s="25">
        <f>IFERROR(INDEX('Aub Demand'!T:T,MATCH(O913,'Aub Demand'!A:A,0)),"")</f>
        <v>0</v>
      </c>
      <c r="K913" s="25">
        <f>IFERROR(INDEX('Aub Demand'!S:S,MATCH(O913,'Aub Demand'!A:A,0)),"")</f>
        <v>0</v>
      </c>
      <c r="L913" s="25">
        <f>IFERROR(INDEX('Aub Demand'!R:R,MATCH(O913,'Aub Demand'!A:A,0)),"")</f>
        <v>0</v>
      </c>
      <c r="O913" s="27" t="s">
        <v>3390</v>
      </c>
      <c r="P913" s="27" t="str">
        <f>IFERROR(INDEX('Aub Demand'!B:B,MATCH($O913,'Aub Demand'!$A:$A,0)),"")</f>
        <v>ENCORE SYCAMORE</v>
      </c>
      <c r="Q913" s="27">
        <f>IFERROR(INDEX('Aub Demand'!C:C,MATCH($O913,'Aub Demand'!$A:$A,0)),"")</f>
        <v>0</v>
      </c>
      <c r="R913" s="52">
        <f>IFERROR(IF(AR914=AR913,INDEX('Aub Demand'!K:K,MATCH($O913,'Aub Demand'!$A:$A,0))-IF(AN913="",0,AN913)+AP914,INDEX('Aub Demand'!K:K,MATCH($O913,'Aub Demand'!$A:$A,0))-IF(AN913="",0,AN913)),"")</f>
        <v>2240</v>
      </c>
      <c r="S913" s="53" t="str">
        <f t="shared" si="392"/>
        <v>n/a</v>
      </c>
      <c r="T913" s="52" t="str">
        <f t="shared" si="393"/>
        <v/>
      </c>
      <c r="U913" s="52">
        <f>IFERROR(IF(AR914=AR913,INDEX('Aub Demand'!Q:Q,MATCH($O913,'Aub Demand'!$A:$A,0))-IF(AN913="",0,AN913)+AP914,INDEX('Aub Demand'!Q:Q,MATCH($O913,'Aub Demand'!$A:$A,0))-IF(AN913="",0,AN913)),"")</f>
        <v>2240</v>
      </c>
      <c r="V913" s="53" t="str">
        <f t="shared" si="394"/>
        <v>n/a</v>
      </c>
      <c r="W913" s="52" t="str">
        <f t="shared" si="395"/>
        <v/>
      </c>
      <c r="X913" s="52">
        <f>IFERROR(IF(AND(AR914=AR913,AM913&lt;&gt;""),INDEX('Aub Demand'!Q:Q,MATCH($O913,'Aub Demand'!$A:$A,0))-IF(AN913="",0,AN913)+AP914+AD913+AL913,IF(AR914=AR913,INDEX('Aub Demand'!Q:Q,MATCH($O913,'Aub Demand'!$A:$A,0))-IF(AN913="",0,AN913)+AP914+AD913,IF(AM913&lt;&gt;"",INDEX('Aub Demand'!Q:Q,MATCH($O913,'Aub Demand'!$A:$A,0))-IF(AN913="",0,AN913)+AD913+AL913,INDEX('Aub Demand'!Q:Q,MATCH($O913,'Aub Demand'!$A:$A,0))-IF(AN913="",0,AN913)+AD913))),"")</f>
        <v>2240</v>
      </c>
      <c r="Y913" s="53" t="str">
        <f t="shared" si="396"/>
        <v>n/a</v>
      </c>
      <c r="Z913" s="52">
        <f>IF(L913="","",INDEX('Aub Demand'!H:H,MATCH($O913,'Aub Demand'!$A:$A,0)))</f>
        <v>0</v>
      </c>
      <c r="AA913" s="52" t="str">
        <f t="shared" si="397"/>
        <v>-spike-</v>
      </c>
      <c r="AB913" s="52">
        <f>IFERROR(INDEX('Aub Demand'!L:L,MATCH($O913,'Aub Demand'!$A:$A,0)),"")</f>
        <v>0</v>
      </c>
      <c r="AC913" s="52">
        <f>IFERROR(IF(O913="","",SUMIFS('CPL Mats'!F:F,'CPL Mats'!Q:Q,AR913,'CPL Mats'!S:S,AS913)),"")</f>
        <v>0</v>
      </c>
      <c r="AF913" s="25" t="str">
        <f>IF(SUMIFS('Supp Consol'!S:S,'Supp Consol'!Y:Y,"Releasable",'Supp Consol'!A:A,O913)=0,"",SUMIFS('Supp Consol'!S:S,'Supp Consol'!Y:Y,"Releasable",'Supp Consol'!A:A,O913))</f>
        <v/>
      </c>
      <c r="AG913" s="25" t="str">
        <f>IFERROR(INDEX('Hun Demand'!Q:Q,MATCH(O913,'Hun Demand'!A:A,0)),"")</f>
        <v/>
      </c>
      <c r="AH913" s="25" t="str">
        <f>IFERROR(INDEX('Hun Demand'!H:H,MATCH($O913,'Hun Demand'!$A:$A,0)),"")</f>
        <v/>
      </c>
      <c r="AI913" s="25" t="str">
        <f>IF(SUMIFS('Supp Consol'!AA:AA,'Supp Consol'!Z:Z,"Expires this month",'Supp Consol'!A:A,O913)=0,"",SUMIFS('Supp Consol'!AA:AA,'Supp Consol'!Z:Z,"Expires this month",'Supp Consol'!A:A,O913))</f>
        <v/>
      </c>
      <c r="AJ913" s="25" t="str">
        <f>IF(SUMIFS('Supp Consol'!AA:AA,'Supp Consol'!Z:Z,"Expired Previous Months",'Supp Consol'!A:A,O913)=0,"",SUMIFS('Supp Consol'!AA:AA,'Supp Consol'!Z:Z,"Expired Previous Months",'Supp Consol'!A:A,O913))</f>
        <v/>
      </c>
      <c r="AK913" s="25" t="str">
        <f>IFERROR(INDEX('Hun Release Current'!B:B,MATCH(O913,'Hun Release Current'!A:A,0)),"")</f>
        <v/>
      </c>
      <c r="AL913" s="25" t="str">
        <f>IF(SUMIF('Prev Aub'!A:A,O913,'Prev Aub'!B:B)=0,"",SUMIF('Prev Aub'!A:A,O913,'Prev Aub'!B:B))</f>
        <v/>
      </c>
      <c r="AN913" s="25" t="s">
        <v>3790</v>
      </c>
      <c r="AO913" s="25" t="s">
        <v>3790</v>
      </c>
      <c r="AP913" s="25">
        <f t="shared" si="398"/>
        <v>0</v>
      </c>
      <c r="AQ913" s="151" t="str">
        <f>IF(SUMIFS('Supp Consol'!S:S,'Supp Consol'!A:A,O913,'Supp Consol'!I:I,"PENDING")=0,"",SUMIFS('Supp Consol'!S:S,'Supp Consol'!A:A,O913,'Supp Consol'!I:I,"PENDING"))</f>
        <v/>
      </c>
      <c r="AR913" s="27" t="str">
        <f t="shared" si="399"/>
        <v>QW120</v>
      </c>
      <c r="AS913" s="27" t="str">
        <f t="shared" si="400"/>
        <v>62</v>
      </c>
      <c r="AT913" s="27" t="str">
        <f t="shared" si="401"/>
        <v/>
      </c>
      <c r="AU913" s="27" t="str">
        <f t="shared" si="402"/>
        <v/>
      </c>
      <c r="AV913" s="27" t="str">
        <f t="shared" si="403"/>
        <v/>
      </c>
      <c r="AW913" s="27" t="str">
        <f t="shared" si="404"/>
        <v/>
      </c>
      <c r="AX913" s="27" t="str">
        <f t="shared" si="405"/>
        <v/>
      </c>
      <c r="AY913" s="27" t="str">
        <f t="shared" si="406"/>
        <v/>
      </c>
      <c r="AZ913" s="27" t="str">
        <f t="shared" si="407"/>
        <v/>
      </c>
      <c r="BA913" s="27" t="str">
        <f t="shared" si="408"/>
        <v/>
      </c>
      <c r="BB913" s="27" t="str">
        <f t="shared" si="409"/>
        <v/>
      </c>
      <c r="BC913" s="27" t="str">
        <f t="shared" si="410"/>
        <v/>
      </c>
      <c r="BD913" s="27" t="str">
        <f t="shared" si="411"/>
        <v/>
      </c>
      <c r="BE913" s="27" t="str">
        <f t="shared" si="412"/>
        <v/>
      </c>
      <c r="BF913" s="27" t="str">
        <f t="shared" si="413"/>
        <v/>
      </c>
      <c r="BG913" s="27" t="str">
        <f t="shared" si="414"/>
        <v/>
      </c>
      <c r="BH913" s="27" t="str">
        <f t="shared" si="415"/>
        <v/>
      </c>
      <c r="BI913" s="27" t="str">
        <f t="shared" si="416"/>
        <v/>
      </c>
      <c r="BJ913" s="27" t="str">
        <f t="shared" si="417"/>
        <v/>
      </c>
      <c r="BK913" s="27" t="str">
        <f t="shared" si="418"/>
        <v/>
      </c>
      <c r="BL913" s="27" t="str">
        <f t="shared" si="419"/>
        <v/>
      </c>
      <c r="BM913" s="21" t="s">
        <v>3790</v>
      </c>
    </row>
    <row r="914" spans="1:65" ht="15">
      <c r="A914" s="25" t="str">
        <f>IFERROR(INDEX('Hun Demand'!W:W,MATCH(O914,'Hun Demand'!A:A,0)),"")</f>
        <v/>
      </c>
      <c r="B914" s="25" t="str">
        <f>IFERROR(INDEX('Hun Demand'!V:V,MATCH(O914,'Hun Demand'!A:A,0)),"")</f>
        <v/>
      </c>
      <c r="C914" s="25" t="str">
        <f>IFERROR(INDEX('Hun Demand'!U:U,MATCH(O914,'Hun Demand'!A:A,0)),"")</f>
        <v/>
      </c>
      <c r="D914" s="25" t="str">
        <f>IFERROR(INDEX('Hun Demand'!T:T,MATCH(O914,'Hun Demand'!A:A,0)),"")</f>
        <v/>
      </c>
      <c r="E914" s="25" t="str">
        <f>IFERROR(INDEX('Hun Demand'!S:S,MATCH(O914,'Hun Demand'!A:A,0)),"")</f>
        <v/>
      </c>
      <c r="F914" s="25" t="str">
        <f>IFERROR(INDEX('Hun Demand'!R:R,MATCH(O914,'Hun Demand'!A:A,0)),"")</f>
        <v/>
      </c>
      <c r="G914" s="25">
        <f>IFERROR(INDEX('Aub Demand'!W:W,MATCH(O914,'Aub Demand'!A:A,0)),"")</f>
        <v>0</v>
      </c>
      <c r="H914" s="25">
        <f>IFERROR(INDEX('Aub Demand'!V:V,MATCH(O914,'Aub Demand'!A:A,0)),"")</f>
        <v>25</v>
      </c>
      <c r="I914" s="25">
        <f>IFERROR(INDEX('Aub Demand'!U:U,MATCH(O914,'Aub Demand'!A:A,0)),"")</f>
        <v>0</v>
      </c>
      <c r="J914" s="25">
        <f>IFERROR(INDEX('Aub Demand'!T:T,MATCH(O914,'Aub Demand'!A:A,0)),"")</f>
        <v>0</v>
      </c>
      <c r="K914" s="25">
        <f>IFERROR(INDEX('Aub Demand'!S:S,MATCH(O914,'Aub Demand'!A:A,0)),"")</f>
        <v>0</v>
      </c>
      <c r="L914" s="25">
        <f>IFERROR(INDEX('Aub Demand'!R:R,MATCH(O914,'Aub Demand'!A:A,0)),"")</f>
        <v>0</v>
      </c>
      <c r="O914" s="27" t="s">
        <v>1348</v>
      </c>
      <c r="P914" s="27" t="str">
        <f>IFERROR(INDEX('Aub Demand'!B:B,MATCH($O914,'Aub Demand'!$A:$A,0)),"")</f>
        <v>TAHOE ZEBRAWOOD</v>
      </c>
      <c r="Q914" s="27" t="str">
        <f>IFERROR(INDEX('Aub Demand'!C:C,MATCH($O914,'Aub Demand'!$A:$A,0)),"")</f>
        <v>SCHAT</v>
      </c>
      <c r="R914" s="52">
        <f>IFERROR(IF(AR915=AR914,INDEX('Aub Demand'!K:K,MATCH($O914,'Aub Demand'!$A:$A,0))-IF(AN914="",0,AN914)+AP915,INDEX('Aub Demand'!K:K,MATCH($O914,'Aub Demand'!$A:$A,0))-IF(AN914="",0,AN914)),"")</f>
        <v>586</v>
      </c>
      <c r="S914" s="53" t="str">
        <f t="shared" si="392"/>
        <v>n/a</v>
      </c>
      <c r="T914" s="52" t="str">
        <f t="shared" si="393"/>
        <v/>
      </c>
      <c r="U914" s="52">
        <f>IFERROR(IF(AR915=AR914,INDEX('Aub Demand'!Q:Q,MATCH($O914,'Aub Demand'!$A:$A,0))-IF(AN914="",0,AN914)+AP915,INDEX('Aub Demand'!Q:Q,MATCH($O914,'Aub Demand'!$A:$A,0))-IF(AN914="",0,AN914)),"")</f>
        <v>586</v>
      </c>
      <c r="V914" s="53" t="str">
        <f t="shared" si="394"/>
        <v>n/a</v>
      </c>
      <c r="W914" s="52" t="str">
        <f t="shared" si="395"/>
        <v/>
      </c>
      <c r="X914" s="52">
        <f>IFERROR(IF(AND(AR915=AR914,AM914&lt;&gt;""),INDEX('Aub Demand'!Q:Q,MATCH($O914,'Aub Demand'!$A:$A,0))-IF(AN914="",0,AN914)+AP915+AD914+AL914,IF(AR915=AR914,INDEX('Aub Demand'!Q:Q,MATCH($O914,'Aub Demand'!$A:$A,0))-IF(AN914="",0,AN914)+AP915+AD914,IF(AM914&lt;&gt;"",INDEX('Aub Demand'!Q:Q,MATCH($O914,'Aub Demand'!$A:$A,0))-IF(AN914="",0,AN914)+AD914+AL914,INDEX('Aub Demand'!Q:Q,MATCH($O914,'Aub Demand'!$A:$A,0))-IF(AN914="",0,AN914)+AD914))),"")</f>
        <v>586</v>
      </c>
      <c r="Y914" s="53" t="str">
        <f t="shared" si="396"/>
        <v>n/a</v>
      </c>
      <c r="Z914" s="52">
        <f>IF(L914="","",INDEX('Aub Demand'!H:H,MATCH($O914,'Aub Demand'!$A:$A,0)))</f>
        <v>0</v>
      </c>
      <c r="AA914" s="52" t="str">
        <f t="shared" si="397"/>
        <v>-spike-</v>
      </c>
      <c r="AB914" s="52">
        <f>IFERROR(INDEX('Aub Demand'!L:L,MATCH($O914,'Aub Demand'!$A:$A,0)),"")</f>
        <v>3</v>
      </c>
      <c r="AC914" s="52">
        <f>IFERROR(IF(O914="","",SUMIFS('CPL Mats'!F:F,'CPL Mats'!Q:Q,AR914,'CPL Mats'!S:S,AS914)),"")</f>
        <v>0</v>
      </c>
      <c r="AF914" s="25" t="str">
        <f>IF(SUMIFS('Supp Consol'!S:S,'Supp Consol'!Y:Y,"Releasable",'Supp Consol'!A:A,O914)=0,"",SUMIFS('Supp Consol'!S:S,'Supp Consol'!Y:Y,"Releasable",'Supp Consol'!A:A,O914))</f>
        <v/>
      </c>
      <c r="AG914" s="25" t="str">
        <f>IFERROR(INDEX('Hun Demand'!Q:Q,MATCH(O914,'Hun Demand'!A:A,0)),"")</f>
        <v/>
      </c>
      <c r="AH914" s="25" t="str">
        <f>IFERROR(INDEX('Hun Demand'!H:H,MATCH($O914,'Hun Demand'!$A:$A,0)),"")</f>
        <v/>
      </c>
      <c r="AI914" s="25" t="str">
        <f>IF(SUMIFS('Supp Consol'!AA:AA,'Supp Consol'!Z:Z,"Expires this month",'Supp Consol'!A:A,O914)=0,"",SUMIFS('Supp Consol'!AA:AA,'Supp Consol'!Z:Z,"Expires this month",'Supp Consol'!A:A,O914))</f>
        <v/>
      </c>
      <c r="AJ914" s="25" t="str">
        <f>IF(SUMIFS('Supp Consol'!AA:AA,'Supp Consol'!Z:Z,"Expired Previous Months",'Supp Consol'!A:A,O914)=0,"",SUMIFS('Supp Consol'!AA:AA,'Supp Consol'!Z:Z,"Expired Previous Months",'Supp Consol'!A:A,O914))</f>
        <v/>
      </c>
      <c r="AK914" s="25" t="str">
        <f>IFERROR(INDEX('Hun Release Current'!B:B,MATCH(O914,'Hun Release Current'!A:A,0)),"")</f>
        <v/>
      </c>
      <c r="AL914" s="25" t="str">
        <f>IF(SUMIF('Prev Aub'!A:A,O914,'Prev Aub'!B:B)=0,"",SUMIF('Prev Aub'!A:A,O914,'Prev Aub'!B:B))</f>
        <v/>
      </c>
      <c r="AN914" s="25" t="s">
        <v>3790</v>
      </c>
      <c r="AO914" s="25" t="s">
        <v>3790</v>
      </c>
      <c r="AP914" s="25">
        <f t="shared" si="398"/>
        <v>0</v>
      </c>
      <c r="AQ914" s="151" t="str">
        <f>IF(SUMIFS('Supp Consol'!S:S,'Supp Consol'!A:A,O914,'Supp Consol'!I:I,"PENDING")=0,"",SUMIFS('Supp Consol'!S:S,'Supp Consol'!A:A,O914,'Supp Consol'!I:I,"PENDING"))</f>
        <v/>
      </c>
      <c r="AR914" s="27" t="str">
        <f t="shared" si="399"/>
        <v>QW121</v>
      </c>
      <c r="AS914" s="27" t="str">
        <f t="shared" si="400"/>
        <v>50</v>
      </c>
      <c r="AT914" s="27" t="str">
        <f t="shared" si="401"/>
        <v/>
      </c>
      <c r="AU914" s="27" t="str">
        <f t="shared" si="402"/>
        <v/>
      </c>
      <c r="AV914" s="27" t="str">
        <f t="shared" si="403"/>
        <v/>
      </c>
      <c r="AW914" s="27" t="str">
        <f t="shared" si="404"/>
        <v/>
      </c>
      <c r="AX914" s="27" t="str">
        <f t="shared" si="405"/>
        <v/>
      </c>
      <c r="AY914" s="27" t="str">
        <f t="shared" si="406"/>
        <v/>
      </c>
      <c r="AZ914" s="27" t="str">
        <f t="shared" si="407"/>
        <v/>
      </c>
      <c r="BA914" s="27" t="str">
        <f t="shared" si="408"/>
        <v/>
      </c>
      <c r="BB914" s="27" t="str">
        <f t="shared" si="409"/>
        <v/>
      </c>
      <c r="BC914" s="27" t="str">
        <f t="shared" si="410"/>
        <v/>
      </c>
      <c r="BD914" s="27" t="str">
        <f t="shared" si="411"/>
        <v/>
      </c>
      <c r="BE914" s="27" t="str">
        <f t="shared" si="412"/>
        <v/>
      </c>
      <c r="BF914" s="27" t="str">
        <f t="shared" si="413"/>
        <v/>
      </c>
      <c r="BG914" s="27" t="str">
        <f t="shared" si="414"/>
        <v/>
      </c>
      <c r="BH914" s="27" t="str">
        <f t="shared" si="415"/>
        <v/>
      </c>
      <c r="BI914" s="27" t="str">
        <f t="shared" si="416"/>
        <v/>
      </c>
      <c r="BJ914" s="27" t="str">
        <f t="shared" si="417"/>
        <v/>
      </c>
      <c r="BK914" s="27" t="str">
        <f t="shared" si="418"/>
        <v/>
      </c>
      <c r="BL914" s="27" t="str">
        <f t="shared" si="419"/>
        <v/>
      </c>
      <c r="BM914" s="21" t="s">
        <v>5581</v>
      </c>
    </row>
    <row r="915" spans="1:65" ht="15">
      <c r="A915" s="25" t="str">
        <f>IFERROR(INDEX('Hun Demand'!W:W,MATCH(O915,'Hun Demand'!A:A,0)),"")</f>
        <v/>
      </c>
      <c r="B915" s="25" t="str">
        <f>IFERROR(INDEX('Hun Demand'!V:V,MATCH(O915,'Hun Demand'!A:A,0)),"")</f>
        <v/>
      </c>
      <c r="C915" s="25" t="str">
        <f>IFERROR(INDEX('Hun Demand'!U:U,MATCH(O915,'Hun Demand'!A:A,0)),"")</f>
        <v/>
      </c>
      <c r="D915" s="25" t="str">
        <f>IFERROR(INDEX('Hun Demand'!T:T,MATCH(O915,'Hun Demand'!A:A,0)),"")</f>
        <v/>
      </c>
      <c r="E915" s="25" t="str">
        <f>IFERROR(INDEX('Hun Demand'!S:S,MATCH(O915,'Hun Demand'!A:A,0)),"")</f>
        <v/>
      </c>
      <c r="F915" s="25" t="str">
        <f>IFERROR(INDEX('Hun Demand'!R:R,MATCH(O915,'Hun Demand'!A:A,0)),"")</f>
        <v/>
      </c>
      <c r="G915" s="25">
        <f>IFERROR(INDEX('Aub Demand'!W:W,MATCH(O915,'Aub Demand'!A:A,0)),"")</f>
        <v>0</v>
      </c>
      <c r="H915" s="25">
        <f>IFERROR(INDEX('Aub Demand'!V:V,MATCH(O915,'Aub Demand'!A:A,0)),"")</f>
        <v>12</v>
      </c>
      <c r="I915" s="25">
        <f>IFERROR(INDEX('Aub Demand'!U:U,MATCH(O915,'Aub Demand'!A:A,0)),"")</f>
        <v>75</v>
      </c>
      <c r="J915" s="25">
        <f>IFERROR(INDEX('Aub Demand'!T:T,MATCH(O915,'Aub Demand'!A:A,0)),"")</f>
        <v>56</v>
      </c>
      <c r="K915" s="25">
        <f>IFERROR(INDEX('Aub Demand'!S:S,MATCH(O915,'Aub Demand'!A:A,0)),"")</f>
        <v>0</v>
      </c>
      <c r="L915" s="25">
        <f>IFERROR(INDEX('Aub Demand'!R:R,MATCH(O915,'Aub Demand'!A:A,0)),"")</f>
        <v>0</v>
      </c>
      <c r="O915" s="27" t="s">
        <v>1350</v>
      </c>
      <c r="P915" s="27" t="str">
        <f>IFERROR(INDEX('Aub Demand'!B:B,MATCH($O915,'Aub Demand'!$A:$A,0)),"")</f>
        <v>DETRIOT PLUM</v>
      </c>
      <c r="Q915" s="27" t="str">
        <f>IFERROR(INDEX('Aub Demand'!C:C,MATCH($O915,'Aub Demand'!$A:$A,0)),"")</f>
        <v>SCHAT</v>
      </c>
      <c r="R915" s="52">
        <f>IFERROR(IF(AR916=AR915,INDEX('Aub Demand'!K:K,MATCH($O915,'Aub Demand'!$A:$A,0))-IF(AN915="",0,AN915)+AP916,INDEX('Aub Demand'!K:K,MATCH($O915,'Aub Demand'!$A:$A,0))-IF(AN915="",0,AN915)),"")</f>
        <v>1750</v>
      </c>
      <c r="S915" s="53">
        <f t="shared" si="392"/>
        <v>170.5</v>
      </c>
      <c r="T915" s="52" t="str">
        <f t="shared" si="393"/>
        <v/>
      </c>
      <c r="U915" s="52">
        <f>IFERROR(IF(AR916=AR915,INDEX('Aub Demand'!Q:Q,MATCH($O915,'Aub Demand'!$A:$A,0))-IF(AN915="",0,AN915)+AP916,INDEX('Aub Demand'!Q:Q,MATCH($O915,'Aub Demand'!$A:$A,0))-IF(AN915="",0,AN915)),"")</f>
        <v>1750</v>
      </c>
      <c r="V915" s="53">
        <f t="shared" si="394"/>
        <v>170.5</v>
      </c>
      <c r="W915" s="52" t="str">
        <f t="shared" si="395"/>
        <v/>
      </c>
      <c r="X915" s="52">
        <f>IFERROR(IF(AND(AR916=AR915,AM915&lt;&gt;""),INDEX('Aub Demand'!Q:Q,MATCH($O915,'Aub Demand'!$A:$A,0))-IF(AN915="",0,AN915)+AP916+AD915+AL915,IF(AR916=AR915,INDEX('Aub Demand'!Q:Q,MATCH($O915,'Aub Demand'!$A:$A,0))-IF(AN915="",0,AN915)+AP916+AD915,IF(AM915&lt;&gt;"",INDEX('Aub Demand'!Q:Q,MATCH($O915,'Aub Demand'!$A:$A,0))-IF(AN915="",0,AN915)+AD915+AL915,INDEX('Aub Demand'!Q:Q,MATCH($O915,'Aub Demand'!$A:$A,0))-IF(AN915="",0,AN915)+AD915))),"")</f>
        <v>1750</v>
      </c>
      <c r="Y915" s="53">
        <f t="shared" si="396"/>
        <v>170.5</v>
      </c>
      <c r="Z915" s="52">
        <f>IF(L915="","",INDEX('Aub Demand'!H:H,MATCH($O915,'Aub Demand'!$A:$A,0)))</f>
        <v>44</v>
      </c>
      <c r="AA915" s="52">
        <f t="shared" si="397"/>
        <v>65.5</v>
      </c>
      <c r="AB915" s="52">
        <f>IFERROR(INDEX('Aub Demand'!L:L,MATCH($O915,'Aub Demand'!$A:$A,0)),"")</f>
        <v>0</v>
      </c>
      <c r="AC915" s="52">
        <f>IFERROR(IF(O915="","",SUMIFS('CPL Mats'!F:F,'CPL Mats'!Q:Q,AR915,'CPL Mats'!S:S,AS915)),"")</f>
        <v>0</v>
      </c>
      <c r="AF915" s="25" t="str">
        <f>IF(SUMIFS('Supp Consol'!S:S,'Supp Consol'!Y:Y,"Releasable",'Supp Consol'!A:A,O915)=0,"",SUMIFS('Supp Consol'!S:S,'Supp Consol'!Y:Y,"Releasable",'Supp Consol'!A:A,O915))</f>
        <v/>
      </c>
      <c r="AG915" s="25" t="str">
        <f>IFERROR(INDEX('Hun Demand'!Q:Q,MATCH(O915,'Hun Demand'!A:A,0)),"")</f>
        <v/>
      </c>
      <c r="AH915" s="25" t="str">
        <f>IFERROR(INDEX('Hun Demand'!H:H,MATCH($O915,'Hun Demand'!$A:$A,0)),"")</f>
        <v/>
      </c>
      <c r="AI915" s="25" t="str">
        <f>IF(SUMIFS('Supp Consol'!AA:AA,'Supp Consol'!Z:Z,"Expires this month",'Supp Consol'!A:A,O915)=0,"",SUMIFS('Supp Consol'!AA:AA,'Supp Consol'!Z:Z,"Expires this month",'Supp Consol'!A:A,O915))</f>
        <v/>
      </c>
      <c r="AJ915" s="25" t="str">
        <f>IF(SUMIFS('Supp Consol'!AA:AA,'Supp Consol'!Z:Z,"Expired Previous Months",'Supp Consol'!A:A,O915)=0,"",SUMIFS('Supp Consol'!AA:AA,'Supp Consol'!Z:Z,"Expired Previous Months",'Supp Consol'!A:A,O915))</f>
        <v/>
      </c>
      <c r="AK915" s="25" t="str">
        <f>IFERROR(INDEX('Hun Release Current'!B:B,MATCH(O915,'Hun Release Current'!A:A,0)),"")</f>
        <v/>
      </c>
      <c r="AL915" s="25" t="str">
        <f>IF(SUMIF('Prev Aub'!A:A,O915,'Prev Aub'!B:B)=0,"",SUMIF('Prev Aub'!A:A,O915,'Prev Aub'!B:B))</f>
        <v/>
      </c>
      <c r="AN915" s="25" t="s">
        <v>3790</v>
      </c>
      <c r="AO915" s="25" t="s">
        <v>3790</v>
      </c>
      <c r="AP915" s="25">
        <f t="shared" si="398"/>
        <v>0</v>
      </c>
      <c r="AQ915" s="151" t="str">
        <f>IF(SUMIFS('Supp Consol'!S:S,'Supp Consol'!A:A,O915,'Supp Consol'!I:I,"PENDING")=0,"",SUMIFS('Supp Consol'!S:S,'Supp Consol'!A:A,O915,'Supp Consol'!I:I,"PENDING"))</f>
        <v/>
      </c>
      <c r="AR915" s="27" t="str">
        <f t="shared" si="399"/>
        <v>QW122</v>
      </c>
      <c r="AS915" s="27" t="str">
        <f t="shared" si="400"/>
        <v>50</v>
      </c>
      <c r="AT915" s="27" t="str">
        <f t="shared" si="401"/>
        <v/>
      </c>
      <c r="AU915" s="27" t="str">
        <f t="shared" si="402"/>
        <v/>
      </c>
      <c r="AV915" s="27" t="str">
        <f t="shared" si="403"/>
        <v/>
      </c>
      <c r="AW915" s="27" t="str">
        <f t="shared" si="404"/>
        <v/>
      </c>
      <c r="AX915" s="27" t="str">
        <f t="shared" si="405"/>
        <v/>
      </c>
      <c r="AY915" s="27" t="str">
        <f t="shared" si="406"/>
        <v/>
      </c>
      <c r="AZ915" s="27" t="str">
        <f t="shared" si="407"/>
        <v/>
      </c>
      <c r="BA915" s="27" t="str">
        <f t="shared" si="408"/>
        <v/>
      </c>
      <c r="BB915" s="27" t="str">
        <f t="shared" si="409"/>
        <v/>
      </c>
      <c r="BC915" s="27" t="str">
        <f t="shared" si="410"/>
        <v/>
      </c>
      <c r="BD915" s="27" t="str">
        <f t="shared" si="411"/>
        <v/>
      </c>
      <c r="BE915" s="27" t="str">
        <f t="shared" si="412"/>
        <v/>
      </c>
      <c r="BF915" s="27" t="str">
        <f t="shared" si="413"/>
        <v/>
      </c>
      <c r="BG915" s="27" t="str">
        <f t="shared" si="414"/>
        <v/>
      </c>
      <c r="BH915" s="27" t="str">
        <f t="shared" si="415"/>
        <v/>
      </c>
      <c r="BI915" s="27" t="str">
        <f t="shared" si="416"/>
        <v/>
      </c>
      <c r="BJ915" s="27" t="str">
        <f t="shared" si="417"/>
        <v/>
      </c>
      <c r="BK915" s="27" t="str">
        <f t="shared" si="418"/>
        <v/>
      </c>
      <c r="BL915" s="27" t="str">
        <f t="shared" si="419"/>
        <v/>
      </c>
      <c r="BM915" s="21" t="s">
        <v>5581</v>
      </c>
    </row>
    <row r="916" spans="1:65" ht="15">
      <c r="A916" s="25" t="str">
        <f>IFERROR(INDEX('Hun Demand'!W:W,MATCH(O916,'Hun Demand'!A:A,0)),"")</f>
        <v/>
      </c>
      <c r="B916" s="25" t="str">
        <f>IFERROR(INDEX('Hun Demand'!V:V,MATCH(O916,'Hun Demand'!A:A,0)),"")</f>
        <v/>
      </c>
      <c r="C916" s="25" t="str">
        <f>IFERROR(INDEX('Hun Demand'!U:U,MATCH(O916,'Hun Demand'!A:A,0)),"")</f>
        <v/>
      </c>
      <c r="D916" s="25" t="str">
        <f>IFERROR(INDEX('Hun Demand'!T:T,MATCH(O916,'Hun Demand'!A:A,0)),"")</f>
        <v/>
      </c>
      <c r="E916" s="25" t="str">
        <f>IFERROR(INDEX('Hun Demand'!S:S,MATCH(O916,'Hun Demand'!A:A,0)),"")</f>
        <v/>
      </c>
      <c r="F916" s="25" t="str">
        <f>IFERROR(INDEX('Hun Demand'!R:R,MATCH(O916,'Hun Demand'!A:A,0)),"")</f>
        <v/>
      </c>
      <c r="G916" s="25">
        <f>IFERROR(INDEX('Aub Demand'!W:W,MATCH(O916,'Aub Demand'!A:A,0)),"")</f>
        <v>0</v>
      </c>
      <c r="H916" s="25">
        <f>IFERROR(INDEX('Aub Demand'!V:V,MATCH(O916,'Aub Demand'!A:A,0)),"")</f>
        <v>0</v>
      </c>
      <c r="I916" s="25">
        <f>IFERROR(INDEX('Aub Demand'!U:U,MATCH(O916,'Aub Demand'!A:A,0)),"")</f>
        <v>0</v>
      </c>
      <c r="J916" s="25">
        <f>IFERROR(INDEX('Aub Demand'!T:T,MATCH(O916,'Aub Demand'!A:A,0)),"")</f>
        <v>0</v>
      </c>
      <c r="K916" s="25">
        <f>IFERROR(INDEX('Aub Demand'!S:S,MATCH(O916,'Aub Demand'!A:A,0)),"")</f>
        <v>0</v>
      </c>
      <c r="L916" s="25">
        <f>IFERROR(INDEX('Aub Demand'!R:R,MATCH(O916,'Aub Demand'!A:A,0)),"")</f>
        <v>0</v>
      </c>
      <c r="O916" s="27" t="s">
        <v>1352</v>
      </c>
      <c r="P916" s="27" t="str">
        <f>IFERROR(INDEX('Aub Demand'!B:B,MATCH($O916,'Aub Demand'!$A:$A,0)),"")</f>
        <v>SANTE FE OLIVE</v>
      </c>
      <c r="Q916" s="27" t="str">
        <f>IFERROR(INDEX('Aub Demand'!C:C,MATCH($O916,'Aub Demand'!$A:$A,0)),"")</f>
        <v>SCHAT</v>
      </c>
      <c r="R916" s="52">
        <f>IFERROR(IF(AR917=AR916,INDEX('Aub Demand'!K:K,MATCH($O916,'Aub Demand'!$A:$A,0))-IF(AN916="",0,AN916)+AP917,INDEX('Aub Demand'!K:K,MATCH($O916,'Aub Demand'!$A:$A,0))-IF(AN916="",0,AN916)),"")</f>
        <v>1301</v>
      </c>
      <c r="S916" s="53" t="str">
        <f t="shared" si="392"/>
        <v>n/a</v>
      </c>
      <c r="T916" s="52" t="str">
        <f t="shared" si="393"/>
        <v/>
      </c>
      <c r="U916" s="52">
        <f>IFERROR(IF(AR917=AR916,INDEX('Aub Demand'!Q:Q,MATCH($O916,'Aub Demand'!$A:$A,0))-IF(AN916="",0,AN916)+AP917,INDEX('Aub Demand'!Q:Q,MATCH($O916,'Aub Demand'!$A:$A,0))-IF(AN916="",0,AN916)),"")</f>
        <v>1301</v>
      </c>
      <c r="V916" s="53" t="str">
        <f t="shared" si="394"/>
        <v>n/a</v>
      </c>
      <c r="W916" s="52" t="str">
        <f t="shared" si="395"/>
        <v/>
      </c>
      <c r="X916" s="52">
        <f>IFERROR(IF(AND(AR917=AR916,AM916&lt;&gt;""),INDEX('Aub Demand'!Q:Q,MATCH($O916,'Aub Demand'!$A:$A,0))-IF(AN916="",0,AN916)+AP917+AD916+AL916,IF(AR917=AR916,INDEX('Aub Demand'!Q:Q,MATCH($O916,'Aub Demand'!$A:$A,0))-IF(AN916="",0,AN916)+AP917+AD916,IF(AM916&lt;&gt;"",INDEX('Aub Demand'!Q:Q,MATCH($O916,'Aub Demand'!$A:$A,0))-IF(AN916="",0,AN916)+AD916+AL916,INDEX('Aub Demand'!Q:Q,MATCH($O916,'Aub Demand'!$A:$A,0))-IF(AN916="",0,AN916)+AD916))),"")</f>
        <v>1301</v>
      </c>
      <c r="Y916" s="53" t="str">
        <f t="shared" si="396"/>
        <v>n/a</v>
      </c>
      <c r="Z916" s="52">
        <f>IF(L916="","",INDEX('Aub Demand'!H:H,MATCH($O916,'Aub Demand'!$A:$A,0)))</f>
        <v>0</v>
      </c>
      <c r="AA916" s="52" t="str">
        <f t="shared" si="397"/>
        <v>-spike-</v>
      </c>
      <c r="AB916" s="52">
        <f>IFERROR(INDEX('Aub Demand'!L:L,MATCH($O916,'Aub Demand'!$A:$A,0)),"")</f>
        <v>15</v>
      </c>
      <c r="AC916" s="52">
        <f>IFERROR(IF(O916="","",SUMIFS('CPL Mats'!F:F,'CPL Mats'!Q:Q,AR916,'CPL Mats'!S:S,AS916)),"")</f>
        <v>0</v>
      </c>
      <c r="AF916" s="25" t="str">
        <f>IF(SUMIFS('Supp Consol'!S:S,'Supp Consol'!Y:Y,"Releasable",'Supp Consol'!A:A,O916)=0,"",SUMIFS('Supp Consol'!S:S,'Supp Consol'!Y:Y,"Releasable",'Supp Consol'!A:A,O916))</f>
        <v/>
      </c>
      <c r="AG916" s="25" t="str">
        <f>IFERROR(INDEX('Hun Demand'!Q:Q,MATCH(O916,'Hun Demand'!A:A,0)),"")</f>
        <v/>
      </c>
      <c r="AH916" s="25" t="str">
        <f>IFERROR(INDEX('Hun Demand'!H:H,MATCH($O916,'Hun Demand'!$A:$A,0)),"")</f>
        <v/>
      </c>
      <c r="AI916" s="25" t="str">
        <f>IF(SUMIFS('Supp Consol'!AA:AA,'Supp Consol'!Z:Z,"Expires this month",'Supp Consol'!A:A,O916)=0,"",SUMIFS('Supp Consol'!AA:AA,'Supp Consol'!Z:Z,"Expires this month",'Supp Consol'!A:A,O916))</f>
        <v/>
      </c>
      <c r="AJ916" s="25" t="str">
        <f>IF(SUMIFS('Supp Consol'!AA:AA,'Supp Consol'!Z:Z,"Expired Previous Months",'Supp Consol'!A:A,O916)=0,"",SUMIFS('Supp Consol'!AA:AA,'Supp Consol'!Z:Z,"Expired Previous Months",'Supp Consol'!A:A,O916))</f>
        <v/>
      </c>
      <c r="AK916" s="25" t="str">
        <f>IFERROR(INDEX('Hun Release Current'!B:B,MATCH(O916,'Hun Release Current'!A:A,0)),"")</f>
        <v/>
      </c>
      <c r="AL916" s="25" t="str">
        <f>IF(SUMIF('Prev Aub'!A:A,O916,'Prev Aub'!B:B)=0,"",SUMIF('Prev Aub'!A:A,O916,'Prev Aub'!B:B))</f>
        <v/>
      </c>
      <c r="AN916" s="25" t="s">
        <v>3790</v>
      </c>
      <c r="AO916" s="25" t="s">
        <v>3790</v>
      </c>
      <c r="AP916" s="25">
        <f t="shared" si="398"/>
        <v>0</v>
      </c>
      <c r="AQ916" s="151" t="str">
        <f>IF(SUMIFS('Supp Consol'!S:S,'Supp Consol'!A:A,O916,'Supp Consol'!I:I,"PENDING")=0,"",SUMIFS('Supp Consol'!S:S,'Supp Consol'!A:A,O916,'Supp Consol'!I:I,"PENDING"))</f>
        <v/>
      </c>
      <c r="AR916" s="27" t="str">
        <f t="shared" si="399"/>
        <v>QW124</v>
      </c>
      <c r="AS916" s="27" t="str">
        <f t="shared" si="400"/>
        <v>50</v>
      </c>
      <c r="AT916" s="27" t="str">
        <f t="shared" si="401"/>
        <v/>
      </c>
      <c r="AU916" s="27" t="str">
        <f t="shared" si="402"/>
        <v/>
      </c>
      <c r="AV916" s="27" t="str">
        <f t="shared" si="403"/>
        <v/>
      </c>
      <c r="AW916" s="27" t="str">
        <f t="shared" si="404"/>
        <v/>
      </c>
      <c r="AX916" s="27" t="str">
        <f t="shared" si="405"/>
        <v/>
      </c>
      <c r="AY916" s="27" t="str">
        <f t="shared" si="406"/>
        <v/>
      </c>
      <c r="AZ916" s="27" t="str">
        <f t="shared" si="407"/>
        <v/>
      </c>
      <c r="BA916" s="27" t="str">
        <f t="shared" si="408"/>
        <v/>
      </c>
      <c r="BB916" s="27" t="str">
        <f t="shared" si="409"/>
        <v/>
      </c>
      <c r="BC916" s="27" t="str">
        <f t="shared" si="410"/>
        <v/>
      </c>
      <c r="BD916" s="27" t="str">
        <f t="shared" si="411"/>
        <v/>
      </c>
      <c r="BE916" s="27" t="str">
        <f t="shared" si="412"/>
        <v/>
      </c>
      <c r="BF916" s="27" t="str">
        <f t="shared" si="413"/>
        <v/>
      </c>
      <c r="BG916" s="27" t="str">
        <f t="shared" si="414"/>
        <v/>
      </c>
      <c r="BH916" s="27" t="str">
        <f t="shared" si="415"/>
        <v/>
      </c>
      <c r="BI916" s="27" t="str">
        <f t="shared" si="416"/>
        <v/>
      </c>
      <c r="BJ916" s="27" t="str">
        <f t="shared" si="417"/>
        <v/>
      </c>
      <c r="BK916" s="27" t="str">
        <f t="shared" si="418"/>
        <v/>
      </c>
      <c r="BL916" s="27" t="str">
        <f t="shared" si="419"/>
        <v/>
      </c>
      <c r="BM916" s="21" t="s">
        <v>5581</v>
      </c>
    </row>
    <row r="917" spans="1:65" ht="15">
      <c r="A917" s="25" t="str">
        <f>IFERROR(INDEX('Hun Demand'!W:W,MATCH(O917,'Hun Demand'!A:A,0)),"")</f>
        <v/>
      </c>
      <c r="B917" s="25" t="str">
        <f>IFERROR(INDEX('Hun Demand'!V:V,MATCH(O917,'Hun Demand'!A:A,0)),"")</f>
        <v/>
      </c>
      <c r="C917" s="25" t="str">
        <f>IFERROR(INDEX('Hun Demand'!U:U,MATCH(O917,'Hun Demand'!A:A,0)),"")</f>
        <v/>
      </c>
      <c r="D917" s="25" t="str">
        <f>IFERROR(INDEX('Hun Demand'!T:T,MATCH(O917,'Hun Demand'!A:A,0)),"")</f>
        <v/>
      </c>
      <c r="E917" s="25" t="str">
        <f>IFERROR(INDEX('Hun Demand'!S:S,MATCH(O917,'Hun Demand'!A:A,0)),"")</f>
        <v/>
      </c>
      <c r="F917" s="25" t="str">
        <f>IFERROR(INDEX('Hun Demand'!R:R,MATCH(O917,'Hun Demand'!A:A,0)),"")</f>
        <v/>
      </c>
      <c r="G917" s="25">
        <f>IFERROR(INDEX('Aub Demand'!W:W,MATCH(O917,'Aub Demand'!A:A,0)),"")</f>
        <v>0</v>
      </c>
      <c r="H917" s="25">
        <f>IFERROR(INDEX('Aub Demand'!V:V,MATCH(O917,'Aub Demand'!A:A,0)),"")</f>
        <v>37</v>
      </c>
      <c r="I917" s="25">
        <f>IFERROR(INDEX('Aub Demand'!U:U,MATCH(O917,'Aub Demand'!A:A,0)),"")</f>
        <v>0</v>
      </c>
      <c r="J917" s="25">
        <f>IFERROR(INDEX('Aub Demand'!T:T,MATCH(O917,'Aub Demand'!A:A,0)),"")</f>
        <v>0</v>
      </c>
      <c r="K917" s="25">
        <f>IFERROR(INDEX('Aub Demand'!S:S,MATCH(O917,'Aub Demand'!A:A,0)),"")</f>
        <v>0</v>
      </c>
      <c r="L917" s="25">
        <f>IFERROR(INDEX('Aub Demand'!R:R,MATCH(O917,'Aub Demand'!A:A,0)),"")</f>
        <v>0</v>
      </c>
      <c r="O917" s="27" t="s">
        <v>1354</v>
      </c>
      <c r="P917" s="27" t="str">
        <f>IFERROR(INDEX('Aub Demand'!B:B,MATCH($O917,'Aub Demand'!$A:$A,0)),"")</f>
        <v>INDIAN APPLE</v>
      </c>
      <c r="Q917" s="27" t="str">
        <f>IFERROR(INDEX('Aub Demand'!C:C,MATCH($O917,'Aub Demand'!$A:$A,0)),"")</f>
        <v>SCHAT</v>
      </c>
      <c r="R917" s="52">
        <f>IFERROR(IF(AR918=AR917,INDEX('Aub Demand'!K:K,MATCH($O917,'Aub Demand'!$A:$A,0))-IF(AN917="",0,AN917)+AP918,INDEX('Aub Demand'!K:K,MATCH($O917,'Aub Demand'!$A:$A,0))-IF(AN917="",0,AN917)),"")</f>
        <v>129</v>
      </c>
      <c r="S917" s="53" t="str">
        <f t="shared" si="392"/>
        <v>n/a</v>
      </c>
      <c r="T917" s="52" t="str">
        <f t="shared" si="393"/>
        <v/>
      </c>
      <c r="U917" s="52">
        <f>IFERROR(IF(AR918=AR917,INDEX('Aub Demand'!Q:Q,MATCH($O917,'Aub Demand'!$A:$A,0))-IF(AN917="",0,AN917)+AP918,INDEX('Aub Demand'!Q:Q,MATCH($O917,'Aub Demand'!$A:$A,0))-IF(AN917="",0,AN917)),"")</f>
        <v>129</v>
      </c>
      <c r="V917" s="53" t="str">
        <f t="shared" si="394"/>
        <v>n/a</v>
      </c>
      <c r="W917" s="52" t="str">
        <f t="shared" si="395"/>
        <v/>
      </c>
      <c r="X917" s="52">
        <f>IFERROR(IF(AND(AR918=AR917,AM917&lt;&gt;""),INDEX('Aub Demand'!Q:Q,MATCH($O917,'Aub Demand'!$A:$A,0))-IF(AN917="",0,AN917)+AP918+AD917+AL917,IF(AR918=AR917,INDEX('Aub Demand'!Q:Q,MATCH($O917,'Aub Demand'!$A:$A,0))-IF(AN917="",0,AN917)+AP918+AD917,IF(AM917&lt;&gt;"",INDEX('Aub Demand'!Q:Q,MATCH($O917,'Aub Demand'!$A:$A,0))-IF(AN917="",0,AN917)+AD917+AL917,INDEX('Aub Demand'!Q:Q,MATCH($O917,'Aub Demand'!$A:$A,0))-IF(AN917="",0,AN917)+AD917))),"")</f>
        <v>129</v>
      </c>
      <c r="Y917" s="53" t="str">
        <f t="shared" si="396"/>
        <v>n/a</v>
      </c>
      <c r="Z917" s="52">
        <f>IF(L917="","",INDEX('Aub Demand'!H:H,MATCH($O917,'Aub Demand'!$A:$A,0)))</f>
        <v>0</v>
      </c>
      <c r="AA917" s="52" t="str">
        <f t="shared" si="397"/>
        <v>-spike-</v>
      </c>
      <c r="AB917" s="52">
        <f>IFERROR(INDEX('Aub Demand'!L:L,MATCH($O917,'Aub Demand'!$A:$A,0)),"")</f>
        <v>0</v>
      </c>
      <c r="AC917" s="52">
        <f>IFERROR(IF(O917="","",SUMIFS('CPL Mats'!F:F,'CPL Mats'!Q:Q,AR917,'CPL Mats'!S:S,AS917)),"")</f>
        <v>0</v>
      </c>
      <c r="AF917" s="25" t="str">
        <f>IF(SUMIFS('Supp Consol'!S:S,'Supp Consol'!Y:Y,"Releasable",'Supp Consol'!A:A,O917)=0,"",SUMIFS('Supp Consol'!S:S,'Supp Consol'!Y:Y,"Releasable",'Supp Consol'!A:A,O917))</f>
        <v/>
      </c>
      <c r="AG917" s="25" t="str">
        <f>IFERROR(INDEX('Hun Demand'!Q:Q,MATCH(O917,'Hun Demand'!A:A,0)),"")</f>
        <v/>
      </c>
      <c r="AH917" s="25" t="str">
        <f>IFERROR(INDEX('Hun Demand'!H:H,MATCH($O917,'Hun Demand'!$A:$A,0)),"")</f>
        <v/>
      </c>
      <c r="AI917" s="25" t="str">
        <f>IF(SUMIFS('Supp Consol'!AA:AA,'Supp Consol'!Z:Z,"Expires this month",'Supp Consol'!A:A,O917)=0,"",SUMIFS('Supp Consol'!AA:AA,'Supp Consol'!Z:Z,"Expires this month",'Supp Consol'!A:A,O917))</f>
        <v/>
      </c>
      <c r="AJ917" s="25" t="str">
        <f>IF(SUMIFS('Supp Consol'!AA:AA,'Supp Consol'!Z:Z,"Expired Previous Months",'Supp Consol'!A:A,O917)=0,"",SUMIFS('Supp Consol'!AA:AA,'Supp Consol'!Z:Z,"Expired Previous Months",'Supp Consol'!A:A,O917))</f>
        <v/>
      </c>
      <c r="AK917" s="25" t="str">
        <f>IFERROR(INDEX('Hun Release Current'!B:B,MATCH(O917,'Hun Release Current'!A:A,0)),"")</f>
        <v/>
      </c>
      <c r="AL917" s="25" t="str">
        <f>IF(SUMIF('Prev Aub'!A:A,O917,'Prev Aub'!B:B)=0,"",SUMIF('Prev Aub'!A:A,O917,'Prev Aub'!B:B))</f>
        <v/>
      </c>
      <c r="AN917" s="25" t="s">
        <v>3790</v>
      </c>
      <c r="AO917" s="25" t="s">
        <v>3790</v>
      </c>
      <c r="AP917" s="25">
        <f t="shared" si="398"/>
        <v>0</v>
      </c>
      <c r="AQ917" s="151" t="str">
        <f>IF(SUMIFS('Supp Consol'!S:S,'Supp Consol'!A:A,O917,'Supp Consol'!I:I,"PENDING")=0,"",SUMIFS('Supp Consol'!S:S,'Supp Consol'!A:A,O917,'Supp Consol'!I:I,"PENDING"))</f>
        <v/>
      </c>
      <c r="AR917" s="27" t="str">
        <f t="shared" si="399"/>
        <v>QW128</v>
      </c>
      <c r="AS917" s="27" t="str">
        <f t="shared" si="400"/>
        <v>50</v>
      </c>
      <c r="AT917" s="27" t="str">
        <f t="shared" si="401"/>
        <v/>
      </c>
      <c r="AU917" s="27" t="str">
        <f t="shared" si="402"/>
        <v/>
      </c>
      <c r="AV917" s="27" t="str">
        <f t="shared" si="403"/>
        <v/>
      </c>
      <c r="AW917" s="27" t="str">
        <f t="shared" si="404"/>
        <v/>
      </c>
      <c r="AX917" s="27" t="str">
        <f t="shared" si="405"/>
        <v/>
      </c>
      <c r="AY917" s="27" t="str">
        <f t="shared" si="406"/>
        <v/>
      </c>
      <c r="AZ917" s="27" t="str">
        <f t="shared" si="407"/>
        <v/>
      </c>
      <c r="BA917" s="27" t="str">
        <f t="shared" si="408"/>
        <v/>
      </c>
      <c r="BB917" s="27" t="str">
        <f t="shared" si="409"/>
        <v/>
      </c>
      <c r="BC917" s="27" t="str">
        <f t="shared" si="410"/>
        <v/>
      </c>
      <c r="BD917" s="27" t="str">
        <f t="shared" si="411"/>
        <v/>
      </c>
      <c r="BE917" s="27" t="str">
        <f t="shared" si="412"/>
        <v/>
      </c>
      <c r="BF917" s="27" t="str">
        <f t="shared" si="413"/>
        <v/>
      </c>
      <c r="BG917" s="27" t="str">
        <f t="shared" si="414"/>
        <v/>
      </c>
      <c r="BH917" s="27" t="str">
        <f t="shared" si="415"/>
        <v/>
      </c>
      <c r="BI917" s="27" t="str">
        <f t="shared" si="416"/>
        <v/>
      </c>
      <c r="BJ917" s="27" t="str">
        <f t="shared" si="417"/>
        <v/>
      </c>
      <c r="BK917" s="27" t="str">
        <f t="shared" si="418"/>
        <v/>
      </c>
      <c r="BL917" s="27" t="str">
        <f t="shared" si="419"/>
        <v/>
      </c>
      <c r="BM917" s="21" t="s">
        <v>5581</v>
      </c>
    </row>
    <row r="918" spans="1:65" ht="15">
      <c r="A918" s="25" t="str">
        <f>IFERROR(INDEX('Hun Demand'!W:W,MATCH(O918,'Hun Demand'!A:A,0)),"")</f>
        <v/>
      </c>
      <c r="B918" s="25" t="str">
        <f>IFERROR(INDEX('Hun Demand'!V:V,MATCH(O918,'Hun Demand'!A:A,0)),"")</f>
        <v/>
      </c>
      <c r="C918" s="25" t="str">
        <f>IFERROR(INDEX('Hun Demand'!U:U,MATCH(O918,'Hun Demand'!A:A,0)),"")</f>
        <v/>
      </c>
      <c r="D918" s="25" t="str">
        <f>IFERROR(INDEX('Hun Demand'!T:T,MATCH(O918,'Hun Demand'!A:A,0)),"")</f>
        <v/>
      </c>
      <c r="E918" s="25" t="str">
        <f>IFERROR(INDEX('Hun Demand'!S:S,MATCH(O918,'Hun Demand'!A:A,0)),"")</f>
        <v/>
      </c>
      <c r="F918" s="25" t="str">
        <f>IFERROR(INDEX('Hun Demand'!R:R,MATCH(O918,'Hun Demand'!A:A,0)),"")</f>
        <v/>
      </c>
      <c r="G918" s="25">
        <f>IFERROR(INDEX('Aub Demand'!W:W,MATCH(O918,'Aub Demand'!A:A,0)),"")</f>
        <v>0</v>
      </c>
      <c r="H918" s="25">
        <f>IFERROR(INDEX('Aub Demand'!V:V,MATCH(O918,'Aub Demand'!A:A,0)),"")</f>
        <v>0</v>
      </c>
      <c r="I918" s="25">
        <f>IFERROR(INDEX('Aub Demand'!U:U,MATCH(O918,'Aub Demand'!A:A,0)),"")</f>
        <v>0</v>
      </c>
      <c r="J918" s="25">
        <f>IFERROR(INDEX('Aub Demand'!T:T,MATCH(O918,'Aub Demand'!A:A,0)),"")</f>
        <v>0</v>
      </c>
      <c r="K918" s="25">
        <f>IFERROR(INDEX('Aub Demand'!S:S,MATCH(O918,'Aub Demand'!A:A,0)),"")</f>
        <v>0</v>
      </c>
      <c r="L918" s="25">
        <f>IFERROR(INDEX('Aub Demand'!R:R,MATCH(O918,'Aub Demand'!A:A,0)),"")</f>
        <v>0</v>
      </c>
      <c r="O918" s="27" t="s">
        <v>1356</v>
      </c>
      <c r="P918" s="27" t="str">
        <f>IFERROR(INDEX('Aub Demand'!B:B,MATCH($O918,'Aub Demand'!$A:$A,0)),"")</f>
        <v>BENGUI WENGE</v>
      </c>
      <c r="Q918" s="27" t="str">
        <f>IFERROR(INDEX('Aub Demand'!C:C,MATCH($O918,'Aub Demand'!$A:$A,0)),"")</f>
        <v>SCHAT</v>
      </c>
      <c r="R918" s="52">
        <f>IFERROR(IF(AR919=AR918,INDEX('Aub Demand'!K:K,MATCH($O918,'Aub Demand'!$A:$A,0))-IF(AN918="",0,AN918)+AP919,INDEX('Aub Demand'!K:K,MATCH($O918,'Aub Demand'!$A:$A,0))-IF(AN918="",0,AN918)),"")</f>
        <v>778</v>
      </c>
      <c r="S918" s="53" t="str">
        <f t="shared" si="392"/>
        <v>n/a</v>
      </c>
      <c r="T918" s="52" t="str">
        <f t="shared" si="393"/>
        <v/>
      </c>
      <c r="U918" s="52">
        <f>IFERROR(IF(AR919=AR918,INDEX('Aub Demand'!Q:Q,MATCH($O918,'Aub Demand'!$A:$A,0))-IF(AN918="",0,AN918)+AP919,INDEX('Aub Demand'!Q:Q,MATCH($O918,'Aub Demand'!$A:$A,0))-IF(AN918="",0,AN918)),"")</f>
        <v>778</v>
      </c>
      <c r="V918" s="53" t="str">
        <f t="shared" si="394"/>
        <v>n/a</v>
      </c>
      <c r="W918" s="52" t="str">
        <f t="shared" si="395"/>
        <v/>
      </c>
      <c r="X918" s="52">
        <f>IFERROR(IF(AND(AR919=AR918,AM918&lt;&gt;""),INDEX('Aub Demand'!Q:Q,MATCH($O918,'Aub Demand'!$A:$A,0))-IF(AN918="",0,AN918)+AP919+AD918+AL918,IF(AR919=AR918,INDEX('Aub Demand'!Q:Q,MATCH($O918,'Aub Demand'!$A:$A,0))-IF(AN918="",0,AN918)+AP919+AD918,IF(AM918&lt;&gt;"",INDEX('Aub Demand'!Q:Q,MATCH($O918,'Aub Demand'!$A:$A,0))-IF(AN918="",0,AN918)+AD918+AL918,INDEX('Aub Demand'!Q:Q,MATCH($O918,'Aub Demand'!$A:$A,0))-IF(AN918="",0,AN918)+AD918))),"")</f>
        <v>778</v>
      </c>
      <c r="Y918" s="53" t="str">
        <f t="shared" si="396"/>
        <v>n/a</v>
      </c>
      <c r="Z918" s="52">
        <f>IF(L918="","",INDEX('Aub Demand'!H:H,MATCH($O918,'Aub Demand'!$A:$A,0)))</f>
        <v>0</v>
      </c>
      <c r="AA918" s="52" t="str">
        <f t="shared" si="397"/>
        <v>-spike-</v>
      </c>
      <c r="AB918" s="52">
        <f>IFERROR(INDEX('Aub Demand'!L:L,MATCH($O918,'Aub Demand'!$A:$A,0)),"")</f>
        <v>13</v>
      </c>
      <c r="AC918" s="52">
        <f>IFERROR(IF(O918="","",SUMIFS('CPL Mats'!F:F,'CPL Mats'!Q:Q,AR918,'CPL Mats'!S:S,AS918)),"")</f>
        <v>0</v>
      </c>
      <c r="AF918" s="25" t="str">
        <f>IF(SUMIFS('Supp Consol'!S:S,'Supp Consol'!Y:Y,"Releasable",'Supp Consol'!A:A,O918)=0,"",SUMIFS('Supp Consol'!S:S,'Supp Consol'!Y:Y,"Releasable",'Supp Consol'!A:A,O918))</f>
        <v/>
      </c>
      <c r="AG918" s="25" t="str">
        <f>IFERROR(INDEX('Hun Demand'!Q:Q,MATCH(O918,'Hun Demand'!A:A,0)),"")</f>
        <v/>
      </c>
      <c r="AH918" s="25" t="str">
        <f>IFERROR(INDEX('Hun Demand'!H:H,MATCH($O918,'Hun Demand'!$A:$A,0)),"")</f>
        <v/>
      </c>
      <c r="AI918" s="25" t="str">
        <f>IF(SUMIFS('Supp Consol'!AA:AA,'Supp Consol'!Z:Z,"Expires this month",'Supp Consol'!A:A,O918)=0,"",SUMIFS('Supp Consol'!AA:AA,'Supp Consol'!Z:Z,"Expires this month",'Supp Consol'!A:A,O918))</f>
        <v/>
      </c>
      <c r="AJ918" s="25" t="str">
        <f>IF(SUMIFS('Supp Consol'!AA:AA,'Supp Consol'!Z:Z,"Expired Previous Months",'Supp Consol'!A:A,O918)=0,"",SUMIFS('Supp Consol'!AA:AA,'Supp Consol'!Z:Z,"Expired Previous Months",'Supp Consol'!A:A,O918))</f>
        <v/>
      </c>
      <c r="AK918" s="25" t="str">
        <f>IFERROR(INDEX('Hun Release Current'!B:B,MATCH(O918,'Hun Release Current'!A:A,0)),"")</f>
        <v/>
      </c>
      <c r="AL918" s="25" t="str">
        <f>IF(SUMIF('Prev Aub'!A:A,O918,'Prev Aub'!B:B)=0,"",SUMIF('Prev Aub'!A:A,O918,'Prev Aub'!B:B))</f>
        <v/>
      </c>
      <c r="AN918" s="25" t="s">
        <v>3790</v>
      </c>
      <c r="AO918" s="25" t="s">
        <v>3790</v>
      </c>
      <c r="AP918" s="25">
        <f t="shared" si="398"/>
        <v>0</v>
      </c>
      <c r="AQ918" s="151" t="str">
        <f>IF(SUMIFS('Supp Consol'!S:S,'Supp Consol'!A:A,O918,'Supp Consol'!I:I,"PENDING")=0,"",SUMIFS('Supp Consol'!S:S,'Supp Consol'!A:A,O918,'Supp Consol'!I:I,"PENDING"))</f>
        <v/>
      </c>
      <c r="AR918" s="27" t="str">
        <f t="shared" si="399"/>
        <v>QW133</v>
      </c>
      <c r="AS918" s="27" t="str">
        <f t="shared" si="400"/>
        <v>50</v>
      </c>
      <c r="AT918" s="27" t="str">
        <f t="shared" si="401"/>
        <v/>
      </c>
      <c r="AU918" s="27" t="str">
        <f t="shared" si="402"/>
        <v/>
      </c>
      <c r="AV918" s="27" t="str">
        <f t="shared" si="403"/>
        <v/>
      </c>
      <c r="AW918" s="27" t="str">
        <f t="shared" si="404"/>
        <v/>
      </c>
      <c r="AX918" s="27" t="str">
        <f t="shared" si="405"/>
        <v/>
      </c>
      <c r="AY918" s="27" t="str">
        <f t="shared" si="406"/>
        <v/>
      </c>
      <c r="AZ918" s="27" t="str">
        <f t="shared" si="407"/>
        <v/>
      </c>
      <c r="BA918" s="27" t="str">
        <f t="shared" si="408"/>
        <v/>
      </c>
      <c r="BB918" s="27" t="str">
        <f t="shared" si="409"/>
        <v/>
      </c>
      <c r="BC918" s="27" t="str">
        <f t="shared" si="410"/>
        <v/>
      </c>
      <c r="BD918" s="27" t="str">
        <f t="shared" si="411"/>
        <v/>
      </c>
      <c r="BE918" s="27" t="str">
        <f t="shared" si="412"/>
        <v/>
      </c>
      <c r="BF918" s="27" t="str">
        <f t="shared" si="413"/>
        <v/>
      </c>
      <c r="BG918" s="27" t="str">
        <f t="shared" si="414"/>
        <v/>
      </c>
      <c r="BH918" s="27" t="str">
        <f t="shared" si="415"/>
        <v/>
      </c>
      <c r="BI918" s="27" t="str">
        <f t="shared" si="416"/>
        <v/>
      </c>
      <c r="BJ918" s="27" t="str">
        <f t="shared" si="417"/>
        <v/>
      </c>
      <c r="BK918" s="27" t="str">
        <f t="shared" si="418"/>
        <v/>
      </c>
      <c r="BL918" s="27" t="str">
        <f t="shared" si="419"/>
        <v/>
      </c>
      <c r="BM918" s="21" t="s">
        <v>5581</v>
      </c>
    </row>
    <row r="919" spans="1:65" ht="15">
      <c r="A919" s="25" t="str">
        <f>IFERROR(INDEX('Hun Demand'!W:W,MATCH(O919,'Hun Demand'!A:A,0)),"")</f>
        <v/>
      </c>
      <c r="B919" s="25" t="str">
        <f>IFERROR(INDEX('Hun Demand'!V:V,MATCH(O919,'Hun Demand'!A:A,0)),"")</f>
        <v/>
      </c>
      <c r="C919" s="25" t="str">
        <f>IFERROR(INDEX('Hun Demand'!U:U,MATCH(O919,'Hun Demand'!A:A,0)),"")</f>
        <v/>
      </c>
      <c r="D919" s="25" t="str">
        <f>IFERROR(INDEX('Hun Demand'!T:T,MATCH(O919,'Hun Demand'!A:A,0)),"")</f>
        <v/>
      </c>
      <c r="E919" s="25" t="str">
        <f>IFERROR(INDEX('Hun Demand'!S:S,MATCH(O919,'Hun Demand'!A:A,0)),"")</f>
        <v/>
      </c>
      <c r="F919" s="25" t="str">
        <f>IFERROR(INDEX('Hun Demand'!R:R,MATCH(O919,'Hun Demand'!A:A,0)),"")</f>
        <v/>
      </c>
      <c r="G919" s="25">
        <f>IFERROR(INDEX('Aub Demand'!W:W,MATCH(O919,'Aub Demand'!A:A,0)),"")</f>
        <v>36</v>
      </c>
      <c r="H919" s="25">
        <f>IFERROR(INDEX('Aub Demand'!V:V,MATCH(O919,'Aub Demand'!A:A,0)),"")</f>
        <v>30</v>
      </c>
      <c r="I919" s="25">
        <f>IFERROR(INDEX('Aub Demand'!U:U,MATCH(O919,'Aub Demand'!A:A,0)),"")</f>
        <v>0</v>
      </c>
      <c r="J919" s="25">
        <f>IFERROR(INDEX('Aub Demand'!T:T,MATCH(O919,'Aub Demand'!A:A,0)),"")</f>
        <v>0</v>
      </c>
      <c r="K919" s="25">
        <f>IFERROR(INDEX('Aub Demand'!S:S,MATCH(O919,'Aub Demand'!A:A,0)),"")</f>
        <v>0</v>
      </c>
      <c r="L919" s="25">
        <f>IFERROR(INDEX('Aub Demand'!R:R,MATCH(O919,'Aub Demand'!A:A,0)),"")</f>
        <v>0</v>
      </c>
      <c r="O919" s="27" t="s">
        <v>1358</v>
      </c>
      <c r="P919" s="27" t="str">
        <f>IFERROR(INDEX('Aub Demand'!B:B,MATCH($O919,'Aub Demand'!$A:$A,0)),"")</f>
        <v>OUTLINE</v>
      </c>
      <c r="Q919" s="27" t="str">
        <f>IFERROR(INDEX('Aub Demand'!C:C,MATCH($O919,'Aub Demand'!$A:$A,0)),"")</f>
        <v>SCHAT</v>
      </c>
      <c r="R919" s="52">
        <f>IFERROR(IF(AR920=AR919,INDEX('Aub Demand'!K:K,MATCH($O919,'Aub Demand'!$A:$A,0))-IF(AN919="",0,AN919)+AP920,INDEX('Aub Demand'!K:K,MATCH($O919,'Aub Demand'!$A:$A,0))-IF(AN919="",0,AN919)),"")</f>
        <v>75</v>
      </c>
      <c r="S919" s="53" t="str">
        <f t="shared" si="392"/>
        <v>n/a</v>
      </c>
      <c r="T919" s="52" t="str">
        <f t="shared" si="393"/>
        <v/>
      </c>
      <c r="U919" s="52">
        <f>IFERROR(IF(AR920=AR919,INDEX('Aub Demand'!Q:Q,MATCH($O919,'Aub Demand'!$A:$A,0))-IF(AN919="",0,AN919)+AP920,INDEX('Aub Demand'!Q:Q,MATCH($O919,'Aub Demand'!$A:$A,0))-IF(AN919="",0,AN919)),"")</f>
        <v>75</v>
      </c>
      <c r="V919" s="53" t="str">
        <f t="shared" si="394"/>
        <v>n/a</v>
      </c>
      <c r="W919" s="52" t="str">
        <f t="shared" si="395"/>
        <v/>
      </c>
      <c r="X919" s="52">
        <f>IFERROR(IF(AND(AR920=AR919,AM919&lt;&gt;""),INDEX('Aub Demand'!Q:Q,MATCH($O919,'Aub Demand'!$A:$A,0))-IF(AN919="",0,AN919)+AP920+AD919+AL919,IF(AR920=AR919,INDEX('Aub Demand'!Q:Q,MATCH($O919,'Aub Demand'!$A:$A,0))-IF(AN919="",0,AN919)+AP920+AD919,IF(AM919&lt;&gt;"",INDEX('Aub Demand'!Q:Q,MATCH($O919,'Aub Demand'!$A:$A,0))-IF(AN919="",0,AN919)+AD919+AL919,INDEX('Aub Demand'!Q:Q,MATCH($O919,'Aub Demand'!$A:$A,0))-IF(AN919="",0,AN919)+AD919))),"")</f>
        <v>75</v>
      </c>
      <c r="Y919" s="53" t="str">
        <f t="shared" si="396"/>
        <v>n/a</v>
      </c>
      <c r="Z919" s="52">
        <f>IF(L919="","",INDEX('Aub Demand'!H:H,MATCH($O919,'Aub Demand'!$A:$A,0)))</f>
        <v>0</v>
      </c>
      <c r="AA919" s="52" t="str">
        <f t="shared" si="397"/>
        <v>-spike-</v>
      </c>
      <c r="AB919" s="52">
        <f>IFERROR(INDEX('Aub Demand'!L:L,MATCH($O919,'Aub Demand'!$A:$A,0)),"")</f>
        <v>6</v>
      </c>
      <c r="AC919" s="52">
        <f>IFERROR(IF(O919="","",SUMIFS('CPL Mats'!F:F,'CPL Mats'!Q:Q,AR919,'CPL Mats'!S:S,AS919)),"")</f>
        <v>0</v>
      </c>
      <c r="AF919" s="25" t="str">
        <f>IF(SUMIFS('Supp Consol'!S:S,'Supp Consol'!Y:Y,"Releasable",'Supp Consol'!A:A,O919)=0,"",SUMIFS('Supp Consol'!S:S,'Supp Consol'!Y:Y,"Releasable",'Supp Consol'!A:A,O919))</f>
        <v/>
      </c>
      <c r="AG919" s="25" t="str">
        <f>IFERROR(INDEX('Hun Demand'!Q:Q,MATCH(O919,'Hun Demand'!A:A,0)),"")</f>
        <v/>
      </c>
      <c r="AH919" s="25" t="str">
        <f>IFERROR(INDEX('Hun Demand'!H:H,MATCH($O919,'Hun Demand'!$A:$A,0)),"")</f>
        <v/>
      </c>
      <c r="AI919" s="25" t="str">
        <f>IF(SUMIFS('Supp Consol'!AA:AA,'Supp Consol'!Z:Z,"Expires this month",'Supp Consol'!A:A,O919)=0,"",SUMIFS('Supp Consol'!AA:AA,'Supp Consol'!Z:Z,"Expires this month",'Supp Consol'!A:A,O919))</f>
        <v/>
      </c>
      <c r="AJ919" s="25" t="str">
        <f>IF(SUMIFS('Supp Consol'!AA:AA,'Supp Consol'!Z:Z,"Expired Previous Months",'Supp Consol'!A:A,O919)=0,"",SUMIFS('Supp Consol'!AA:AA,'Supp Consol'!Z:Z,"Expired Previous Months",'Supp Consol'!A:A,O919))</f>
        <v/>
      </c>
      <c r="AK919" s="25" t="str">
        <f>IFERROR(INDEX('Hun Release Current'!B:B,MATCH(O919,'Hun Release Current'!A:A,0)),"")</f>
        <v/>
      </c>
      <c r="AL919" s="25" t="str">
        <f>IF(SUMIF('Prev Aub'!A:A,O919,'Prev Aub'!B:B)=0,"",SUMIF('Prev Aub'!A:A,O919,'Prev Aub'!B:B))</f>
        <v/>
      </c>
      <c r="AN919" s="25" t="s">
        <v>3790</v>
      </c>
      <c r="AO919" s="25" t="s">
        <v>3790</v>
      </c>
      <c r="AP919" s="25">
        <f t="shared" si="398"/>
        <v>0</v>
      </c>
      <c r="AQ919" s="151" t="str">
        <f>IF(SUMIFS('Supp Consol'!S:S,'Supp Consol'!A:A,O919,'Supp Consol'!I:I,"PENDING")=0,"",SUMIFS('Supp Consol'!S:S,'Supp Consol'!A:A,O919,'Supp Consol'!I:I,"PENDING"))</f>
        <v/>
      </c>
      <c r="AR919" s="27" t="str">
        <f t="shared" si="399"/>
        <v>QW135</v>
      </c>
      <c r="AS919" s="27" t="str">
        <f t="shared" si="400"/>
        <v>50</v>
      </c>
      <c r="AT919" s="27" t="str">
        <f t="shared" si="401"/>
        <v/>
      </c>
      <c r="AU919" s="27" t="str">
        <f t="shared" si="402"/>
        <v/>
      </c>
      <c r="AV919" s="27" t="str">
        <f t="shared" si="403"/>
        <v/>
      </c>
      <c r="AW919" s="27" t="str">
        <f t="shared" si="404"/>
        <v/>
      </c>
      <c r="AX919" s="27" t="str">
        <f t="shared" si="405"/>
        <v/>
      </c>
      <c r="AY919" s="27" t="str">
        <f t="shared" si="406"/>
        <v/>
      </c>
      <c r="AZ919" s="27" t="str">
        <f t="shared" si="407"/>
        <v/>
      </c>
      <c r="BA919" s="27" t="str">
        <f t="shared" si="408"/>
        <v/>
      </c>
      <c r="BB919" s="27" t="str">
        <f t="shared" si="409"/>
        <v/>
      </c>
      <c r="BC919" s="27" t="str">
        <f t="shared" si="410"/>
        <v/>
      </c>
      <c r="BD919" s="27" t="str">
        <f t="shared" si="411"/>
        <v/>
      </c>
      <c r="BE919" s="27" t="str">
        <f t="shared" si="412"/>
        <v/>
      </c>
      <c r="BF919" s="27" t="str">
        <f t="shared" si="413"/>
        <v/>
      </c>
      <c r="BG919" s="27" t="str">
        <f t="shared" si="414"/>
        <v/>
      </c>
      <c r="BH919" s="27" t="str">
        <f t="shared" si="415"/>
        <v/>
      </c>
      <c r="BI919" s="27" t="str">
        <f t="shared" si="416"/>
        <v/>
      </c>
      <c r="BJ919" s="27" t="str">
        <f t="shared" si="417"/>
        <v/>
      </c>
      <c r="BK919" s="27" t="str">
        <f t="shared" si="418"/>
        <v/>
      </c>
      <c r="BL919" s="27" t="str">
        <f t="shared" si="419"/>
        <v/>
      </c>
      <c r="BM919" s="21" t="s">
        <v>5581</v>
      </c>
    </row>
    <row r="920" spans="1:65" ht="15">
      <c r="A920" s="25" t="str">
        <f>IFERROR(INDEX('Hun Demand'!W:W,MATCH(O920,'Hun Demand'!A:A,0)),"")</f>
        <v/>
      </c>
      <c r="B920" s="25" t="str">
        <f>IFERROR(INDEX('Hun Demand'!V:V,MATCH(O920,'Hun Demand'!A:A,0)),"")</f>
        <v/>
      </c>
      <c r="C920" s="25" t="str">
        <f>IFERROR(INDEX('Hun Demand'!U:U,MATCH(O920,'Hun Demand'!A:A,0)),"")</f>
        <v/>
      </c>
      <c r="D920" s="25" t="str">
        <f>IFERROR(INDEX('Hun Demand'!T:T,MATCH(O920,'Hun Demand'!A:A,0)),"")</f>
        <v/>
      </c>
      <c r="E920" s="25" t="str">
        <f>IFERROR(INDEX('Hun Demand'!S:S,MATCH(O920,'Hun Demand'!A:A,0)),"")</f>
        <v/>
      </c>
      <c r="F920" s="25" t="str">
        <f>IFERROR(INDEX('Hun Demand'!R:R,MATCH(O920,'Hun Demand'!A:A,0)),"")</f>
        <v/>
      </c>
      <c r="G920" s="25">
        <f>IFERROR(INDEX('Aub Demand'!W:W,MATCH(O920,'Aub Demand'!A:A,0)),"")</f>
        <v>0</v>
      </c>
      <c r="H920" s="25">
        <f>IFERROR(INDEX('Aub Demand'!V:V,MATCH(O920,'Aub Demand'!A:A,0)),"")</f>
        <v>6</v>
      </c>
      <c r="I920" s="25">
        <f>IFERROR(INDEX('Aub Demand'!U:U,MATCH(O920,'Aub Demand'!A:A,0)),"")</f>
        <v>0</v>
      </c>
      <c r="J920" s="25">
        <f>IFERROR(INDEX('Aub Demand'!T:T,MATCH(O920,'Aub Demand'!A:A,0)),"")</f>
        <v>0</v>
      </c>
      <c r="K920" s="25">
        <f>IFERROR(INDEX('Aub Demand'!S:S,MATCH(O920,'Aub Demand'!A:A,0)),"")</f>
        <v>0</v>
      </c>
      <c r="L920" s="25">
        <f>IFERROR(INDEX('Aub Demand'!R:R,MATCH(O920,'Aub Demand'!A:A,0)),"")</f>
        <v>0</v>
      </c>
      <c r="O920" s="27" t="s">
        <v>1360</v>
      </c>
      <c r="P920" s="27" t="str">
        <f>IFERROR(INDEX('Aub Demand'!B:B,MATCH($O920,'Aub Demand'!$A:$A,0)),"")</f>
        <v>DARK ITALIAN WALNUT</v>
      </c>
      <c r="Q920" s="27" t="str">
        <f>IFERROR(INDEX('Aub Demand'!C:C,MATCH($O920,'Aub Demand'!$A:$A,0)),"")</f>
        <v>SCHAT</v>
      </c>
      <c r="R920" s="52">
        <f>IFERROR(IF(AR921=AR920,INDEX('Aub Demand'!K:K,MATCH($O920,'Aub Demand'!$A:$A,0))-IF(AN920="",0,AN920)+AP921,INDEX('Aub Demand'!K:K,MATCH($O920,'Aub Demand'!$A:$A,0))-IF(AN920="",0,AN920)),"")</f>
        <v>1351</v>
      </c>
      <c r="S920" s="53" t="str">
        <f t="shared" si="392"/>
        <v>n/a</v>
      </c>
      <c r="T920" s="52" t="str">
        <f t="shared" si="393"/>
        <v/>
      </c>
      <c r="U920" s="52">
        <f>IFERROR(IF(AR921=AR920,INDEX('Aub Demand'!Q:Q,MATCH($O920,'Aub Demand'!$A:$A,0))-IF(AN920="",0,AN920)+AP921,INDEX('Aub Demand'!Q:Q,MATCH($O920,'Aub Demand'!$A:$A,0))-IF(AN920="",0,AN920)),"")</f>
        <v>1351</v>
      </c>
      <c r="V920" s="53" t="str">
        <f t="shared" si="394"/>
        <v>n/a</v>
      </c>
      <c r="W920" s="52" t="str">
        <f t="shared" si="395"/>
        <v/>
      </c>
      <c r="X920" s="52">
        <f>IFERROR(IF(AND(AR921=AR920,AM920&lt;&gt;""),INDEX('Aub Demand'!Q:Q,MATCH($O920,'Aub Demand'!$A:$A,0))-IF(AN920="",0,AN920)+AP921+AD920+AL920,IF(AR921=AR920,INDEX('Aub Demand'!Q:Q,MATCH($O920,'Aub Demand'!$A:$A,0))-IF(AN920="",0,AN920)+AP921+AD920,IF(AM920&lt;&gt;"",INDEX('Aub Demand'!Q:Q,MATCH($O920,'Aub Demand'!$A:$A,0))-IF(AN920="",0,AN920)+AD920+AL920,INDEX('Aub Demand'!Q:Q,MATCH($O920,'Aub Demand'!$A:$A,0))-IF(AN920="",0,AN920)+AD920))),"")</f>
        <v>1351</v>
      </c>
      <c r="Y920" s="53" t="str">
        <f t="shared" si="396"/>
        <v>n/a</v>
      </c>
      <c r="Z920" s="52">
        <f>IF(L920="","",INDEX('Aub Demand'!H:H,MATCH($O920,'Aub Demand'!$A:$A,0)))</f>
        <v>0</v>
      </c>
      <c r="AA920" s="52" t="str">
        <f t="shared" si="397"/>
        <v>-spike-</v>
      </c>
      <c r="AB920" s="52">
        <f>IFERROR(INDEX('Aub Demand'!L:L,MATCH($O920,'Aub Demand'!$A:$A,0)),"")</f>
        <v>0</v>
      </c>
      <c r="AC920" s="52">
        <f>IFERROR(IF(O920="","",SUMIFS('CPL Mats'!F:F,'CPL Mats'!Q:Q,AR920,'CPL Mats'!S:S,AS920)),"")</f>
        <v>0</v>
      </c>
      <c r="AF920" s="25" t="str">
        <f>IF(SUMIFS('Supp Consol'!S:S,'Supp Consol'!Y:Y,"Releasable",'Supp Consol'!A:A,O920)=0,"",SUMIFS('Supp Consol'!S:S,'Supp Consol'!Y:Y,"Releasable",'Supp Consol'!A:A,O920))</f>
        <v/>
      </c>
      <c r="AG920" s="25" t="str">
        <f>IFERROR(INDEX('Hun Demand'!Q:Q,MATCH(O920,'Hun Demand'!A:A,0)),"")</f>
        <v/>
      </c>
      <c r="AH920" s="25" t="str">
        <f>IFERROR(INDEX('Hun Demand'!H:H,MATCH($O920,'Hun Demand'!$A:$A,0)),"")</f>
        <v/>
      </c>
      <c r="AI920" s="25" t="str">
        <f>IF(SUMIFS('Supp Consol'!AA:AA,'Supp Consol'!Z:Z,"Expires this month",'Supp Consol'!A:A,O920)=0,"",SUMIFS('Supp Consol'!AA:AA,'Supp Consol'!Z:Z,"Expires this month",'Supp Consol'!A:A,O920))</f>
        <v/>
      </c>
      <c r="AJ920" s="25" t="str">
        <f>IF(SUMIFS('Supp Consol'!AA:AA,'Supp Consol'!Z:Z,"Expired Previous Months",'Supp Consol'!A:A,O920)=0,"",SUMIFS('Supp Consol'!AA:AA,'Supp Consol'!Z:Z,"Expired Previous Months",'Supp Consol'!A:A,O920))</f>
        <v/>
      </c>
      <c r="AK920" s="25" t="str">
        <f>IFERROR(INDEX('Hun Release Current'!B:B,MATCH(O920,'Hun Release Current'!A:A,0)),"")</f>
        <v/>
      </c>
      <c r="AL920" s="25" t="str">
        <f>IF(SUMIF('Prev Aub'!A:A,O920,'Prev Aub'!B:B)=0,"",SUMIF('Prev Aub'!A:A,O920,'Prev Aub'!B:B))</f>
        <v/>
      </c>
      <c r="AN920" s="25" t="s">
        <v>3790</v>
      </c>
      <c r="AO920" s="25" t="s">
        <v>3790</v>
      </c>
      <c r="AP920" s="25">
        <f t="shared" si="398"/>
        <v>0</v>
      </c>
      <c r="AQ920" s="151" t="str">
        <f>IF(SUMIFS('Supp Consol'!S:S,'Supp Consol'!A:A,O920,'Supp Consol'!I:I,"PENDING")=0,"",SUMIFS('Supp Consol'!S:S,'Supp Consol'!A:A,O920,'Supp Consol'!I:I,"PENDING"))</f>
        <v/>
      </c>
      <c r="AR920" s="27" t="str">
        <f t="shared" si="399"/>
        <v>QW139</v>
      </c>
      <c r="AS920" s="27" t="str">
        <f t="shared" si="400"/>
        <v>50</v>
      </c>
      <c r="AT920" s="27" t="str">
        <f t="shared" si="401"/>
        <v/>
      </c>
      <c r="AU920" s="27" t="str">
        <f t="shared" si="402"/>
        <v/>
      </c>
      <c r="AV920" s="27" t="str">
        <f t="shared" si="403"/>
        <v/>
      </c>
      <c r="AW920" s="27" t="str">
        <f t="shared" si="404"/>
        <v/>
      </c>
      <c r="AX920" s="27" t="str">
        <f t="shared" si="405"/>
        <v/>
      </c>
      <c r="AY920" s="27" t="str">
        <f t="shared" si="406"/>
        <v/>
      </c>
      <c r="AZ920" s="27" t="str">
        <f t="shared" si="407"/>
        <v/>
      </c>
      <c r="BA920" s="27" t="str">
        <f t="shared" si="408"/>
        <v/>
      </c>
      <c r="BB920" s="27" t="str">
        <f t="shared" si="409"/>
        <v/>
      </c>
      <c r="BC920" s="27" t="str">
        <f t="shared" si="410"/>
        <v/>
      </c>
      <c r="BD920" s="27" t="str">
        <f t="shared" si="411"/>
        <v/>
      </c>
      <c r="BE920" s="27" t="str">
        <f t="shared" si="412"/>
        <v/>
      </c>
      <c r="BF920" s="27" t="str">
        <f t="shared" si="413"/>
        <v/>
      </c>
      <c r="BG920" s="27" t="str">
        <f t="shared" si="414"/>
        <v/>
      </c>
      <c r="BH920" s="27" t="str">
        <f t="shared" si="415"/>
        <v/>
      </c>
      <c r="BI920" s="27" t="str">
        <f t="shared" si="416"/>
        <v/>
      </c>
      <c r="BJ920" s="27" t="str">
        <f t="shared" si="417"/>
        <v/>
      </c>
      <c r="BK920" s="27" t="str">
        <f t="shared" si="418"/>
        <v/>
      </c>
      <c r="BL920" s="27" t="str">
        <f t="shared" si="419"/>
        <v/>
      </c>
      <c r="BM920" s="21" t="s">
        <v>5581</v>
      </c>
    </row>
    <row r="921" spans="1:65" ht="15">
      <c r="A921" s="25" t="str">
        <f>IFERROR(INDEX('Hun Demand'!W:W,MATCH(O921,'Hun Demand'!A:A,0)),"")</f>
        <v/>
      </c>
      <c r="B921" s="25" t="str">
        <f>IFERROR(INDEX('Hun Demand'!V:V,MATCH(O921,'Hun Demand'!A:A,0)),"")</f>
        <v/>
      </c>
      <c r="C921" s="25" t="str">
        <f>IFERROR(INDEX('Hun Demand'!U:U,MATCH(O921,'Hun Demand'!A:A,0)),"")</f>
        <v/>
      </c>
      <c r="D921" s="25" t="str">
        <f>IFERROR(INDEX('Hun Demand'!T:T,MATCH(O921,'Hun Demand'!A:A,0)),"")</f>
        <v/>
      </c>
      <c r="E921" s="25" t="str">
        <f>IFERROR(INDEX('Hun Demand'!S:S,MATCH(O921,'Hun Demand'!A:A,0)),"")</f>
        <v/>
      </c>
      <c r="F921" s="25" t="str">
        <f>IFERROR(INDEX('Hun Demand'!R:R,MATCH(O921,'Hun Demand'!A:A,0)),"")</f>
        <v/>
      </c>
      <c r="G921" s="25">
        <f>IFERROR(INDEX('Aub Demand'!W:W,MATCH(O921,'Aub Demand'!A:A,0)),"")</f>
        <v>0</v>
      </c>
      <c r="H921" s="25">
        <f>IFERROR(INDEX('Aub Demand'!V:V,MATCH(O921,'Aub Demand'!A:A,0)),"")</f>
        <v>0</v>
      </c>
      <c r="I921" s="25">
        <f>IFERROR(INDEX('Aub Demand'!U:U,MATCH(O921,'Aub Demand'!A:A,0)),"")</f>
        <v>0</v>
      </c>
      <c r="J921" s="25">
        <f>IFERROR(INDEX('Aub Demand'!T:T,MATCH(O921,'Aub Demand'!A:A,0)),"")</f>
        <v>0</v>
      </c>
      <c r="K921" s="25">
        <f>IFERROR(INDEX('Aub Demand'!S:S,MATCH(O921,'Aub Demand'!A:A,0)),"")</f>
        <v>0</v>
      </c>
      <c r="L921" s="25">
        <f>IFERROR(INDEX('Aub Demand'!R:R,MATCH(O921,'Aub Demand'!A:A,0)),"")</f>
        <v>0</v>
      </c>
      <c r="O921" s="27" t="s">
        <v>1362</v>
      </c>
      <c r="P921" s="27" t="str">
        <f>IFERROR(INDEX('Aub Demand'!B:B,MATCH($O921,'Aub Demand'!$A:$A,0)),"")</f>
        <v>DARK ITALIAN WALNUT</v>
      </c>
      <c r="Q921" s="27" t="str">
        <f>IFERROR(INDEX('Aub Demand'!C:C,MATCH($O921,'Aub Demand'!$A:$A,0)),"")</f>
        <v>SCHAT</v>
      </c>
      <c r="R921" s="52">
        <f>IFERROR(IF(AR922=AR921,INDEX('Aub Demand'!K:K,MATCH($O921,'Aub Demand'!$A:$A,0))-IF(AN921="",0,AN921)+AP922,INDEX('Aub Demand'!K:K,MATCH($O921,'Aub Demand'!$A:$A,0))-IF(AN921="",0,AN921)),"")</f>
        <v>3979</v>
      </c>
      <c r="S921" s="53" t="str">
        <f t="shared" si="392"/>
        <v>n/a</v>
      </c>
      <c r="T921" s="52" t="str">
        <f t="shared" si="393"/>
        <v/>
      </c>
      <c r="U921" s="52">
        <f>IFERROR(IF(AR922=AR921,INDEX('Aub Demand'!Q:Q,MATCH($O921,'Aub Demand'!$A:$A,0))-IF(AN921="",0,AN921)+AP922,INDEX('Aub Demand'!Q:Q,MATCH($O921,'Aub Demand'!$A:$A,0))-IF(AN921="",0,AN921)),"")</f>
        <v>3979</v>
      </c>
      <c r="V921" s="53" t="str">
        <f t="shared" si="394"/>
        <v>n/a</v>
      </c>
      <c r="W921" s="52" t="str">
        <f t="shared" si="395"/>
        <v/>
      </c>
      <c r="X921" s="52">
        <f>IFERROR(IF(AND(AR922=AR921,AM921&lt;&gt;""),INDEX('Aub Demand'!Q:Q,MATCH($O921,'Aub Demand'!$A:$A,0))-IF(AN921="",0,AN921)+AP922+AD921+AL921,IF(AR922=AR921,INDEX('Aub Demand'!Q:Q,MATCH($O921,'Aub Demand'!$A:$A,0))-IF(AN921="",0,AN921)+AP922+AD921,IF(AM921&lt;&gt;"",INDEX('Aub Demand'!Q:Q,MATCH($O921,'Aub Demand'!$A:$A,0))-IF(AN921="",0,AN921)+AD921+AL921,INDEX('Aub Demand'!Q:Q,MATCH($O921,'Aub Demand'!$A:$A,0))-IF(AN921="",0,AN921)+AD921))),"")</f>
        <v>3979</v>
      </c>
      <c r="Y921" s="53" t="str">
        <f t="shared" si="396"/>
        <v>n/a</v>
      </c>
      <c r="Z921" s="52">
        <f>IF(L921="","",INDEX('Aub Demand'!H:H,MATCH($O921,'Aub Demand'!$A:$A,0)))</f>
        <v>0</v>
      </c>
      <c r="AA921" s="52" t="str">
        <f t="shared" si="397"/>
        <v>-spike-</v>
      </c>
      <c r="AB921" s="52">
        <f>IFERROR(INDEX('Aub Demand'!L:L,MATCH($O921,'Aub Demand'!$A:$A,0)),"")</f>
        <v>0</v>
      </c>
      <c r="AC921" s="52">
        <f>IFERROR(IF(O921="","",SUMIFS('CPL Mats'!F:F,'CPL Mats'!Q:Q,AR921,'CPL Mats'!S:S,AS921)),"")</f>
        <v>0</v>
      </c>
      <c r="AF921" s="25" t="str">
        <f>IF(SUMIFS('Supp Consol'!S:S,'Supp Consol'!Y:Y,"Releasable",'Supp Consol'!A:A,O921)=0,"",SUMIFS('Supp Consol'!S:S,'Supp Consol'!Y:Y,"Releasable",'Supp Consol'!A:A,O921))</f>
        <v/>
      </c>
      <c r="AG921" s="25" t="str">
        <f>IFERROR(INDEX('Hun Demand'!Q:Q,MATCH(O921,'Hun Demand'!A:A,0)),"")</f>
        <v/>
      </c>
      <c r="AH921" s="25" t="str">
        <f>IFERROR(INDEX('Hun Demand'!H:H,MATCH($O921,'Hun Demand'!$A:$A,0)),"")</f>
        <v/>
      </c>
      <c r="AI921" s="25" t="str">
        <f>IF(SUMIFS('Supp Consol'!AA:AA,'Supp Consol'!Z:Z,"Expires this month",'Supp Consol'!A:A,O921)=0,"",SUMIFS('Supp Consol'!AA:AA,'Supp Consol'!Z:Z,"Expires this month",'Supp Consol'!A:A,O921))</f>
        <v/>
      </c>
      <c r="AJ921" s="25" t="str">
        <f>IF(SUMIFS('Supp Consol'!AA:AA,'Supp Consol'!Z:Z,"Expired Previous Months",'Supp Consol'!A:A,O921)=0,"",SUMIFS('Supp Consol'!AA:AA,'Supp Consol'!Z:Z,"Expired Previous Months",'Supp Consol'!A:A,O921))</f>
        <v/>
      </c>
      <c r="AK921" s="25" t="str">
        <f>IFERROR(INDEX('Hun Release Current'!B:B,MATCH(O921,'Hun Release Current'!A:A,0)),"")</f>
        <v/>
      </c>
      <c r="AL921" s="25" t="str">
        <f>IF(SUMIF('Prev Aub'!A:A,O921,'Prev Aub'!B:B)=0,"",SUMIF('Prev Aub'!A:A,O921,'Prev Aub'!B:B))</f>
        <v/>
      </c>
      <c r="AN921" s="25" t="s">
        <v>3790</v>
      </c>
      <c r="AO921" s="25" t="s">
        <v>3790</v>
      </c>
      <c r="AP921" s="25">
        <f t="shared" si="398"/>
        <v>0</v>
      </c>
      <c r="AQ921" s="151" t="str">
        <f>IF(SUMIFS('Supp Consol'!S:S,'Supp Consol'!A:A,O921,'Supp Consol'!I:I,"PENDING")=0,"",SUMIFS('Supp Consol'!S:S,'Supp Consol'!A:A,O921,'Supp Consol'!I:I,"PENDING"))</f>
        <v/>
      </c>
      <c r="AR921" s="27" t="str">
        <f t="shared" si="399"/>
        <v>QW139</v>
      </c>
      <c r="AS921" s="27" t="str">
        <f t="shared" si="400"/>
        <v>62</v>
      </c>
      <c r="AT921" s="27" t="str">
        <f t="shared" si="401"/>
        <v/>
      </c>
      <c r="AU921" s="27" t="str">
        <f t="shared" si="402"/>
        <v/>
      </c>
      <c r="AV921" s="27" t="str">
        <f t="shared" si="403"/>
        <v/>
      </c>
      <c r="AW921" s="27" t="str">
        <f t="shared" si="404"/>
        <v/>
      </c>
      <c r="AX921" s="27" t="str">
        <f t="shared" si="405"/>
        <v/>
      </c>
      <c r="AY921" s="27" t="str">
        <f t="shared" si="406"/>
        <v/>
      </c>
      <c r="AZ921" s="27" t="str">
        <f t="shared" si="407"/>
        <v/>
      </c>
      <c r="BA921" s="27" t="str">
        <f t="shared" si="408"/>
        <v/>
      </c>
      <c r="BB921" s="27" t="str">
        <f t="shared" si="409"/>
        <v/>
      </c>
      <c r="BC921" s="27" t="str">
        <f t="shared" si="410"/>
        <v/>
      </c>
      <c r="BD921" s="27" t="str">
        <f t="shared" si="411"/>
        <v/>
      </c>
      <c r="BE921" s="27" t="str">
        <f t="shared" si="412"/>
        <v/>
      </c>
      <c r="BF921" s="27" t="str">
        <f t="shared" si="413"/>
        <v/>
      </c>
      <c r="BG921" s="27" t="str">
        <f t="shared" si="414"/>
        <v/>
      </c>
      <c r="BH921" s="27" t="str">
        <f t="shared" si="415"/>
        <v/>
      </c>
      <c r="BI921" s="27" t="str">
        <f t="shared" si="416"/>
        <v/>
      </c>
      <c r="BJ921" s="27" t="str">
        <f t="shared" si="417"/>
        <v/>
      </c>
      <c r="BK921" s="27" t="str">
        <f t="shared" si="418"/>
        <v/>
      </c>
      <c r="BL921" s="27" t="str">
        <f t="shared" si="419"/>
        <v/>
      </c>
      <c r="BM921" s="21" t="s">
        <v>5581</v>
      </c>
    </row>
    <row r="922" spans="1:65" ht="15">
      <c r="A922" s="25" t="str">
        <f>IFERROR(INDEX('Hun Demand'!W:W,MATCH(O922,'Hun Demand'!A:A,0)),"")</f>
        <v/>
      </c>
      <c r="B922" s="25" t="str">
        <f>IFERROR(INDEX('Hun Demand'!V:V,MATCH(O922,'Hun Demand'!A:A,0)),"")</f>
        <v/>
      </c>
      <c r="C922" s="25" t="str">
        <f>IFERROR(INDEX('Hun Demand'!U:U,MATCH(O922,'Hun Demand'!A:A,0)),"")</f>
        <v/>
      </c>
      <c r="D922" s="25" t="str">
        <f>IFERROR(INDEX('Hun Demand'!T:T,MATCH(O922,'Hun Demand'!A:A,0)),"")</f>
        <v/>
      </c>
      <c r="E922" s="25" t="str">
        <f>IFERROR(INDEX('Hun Demand'!S:S,MATCH(O922,'Hun Demand'!A:A,0)),"")</f>
        <v/>
      </c>
      <c r="F922" s="25" t="str">
        <f>IFERROR(INDEX('Hun Demand'!R:R,MATCH(O922,'Hun Demand'!A:A,0)),"")</f>
        <v/>
      </c>
      <c r="G922" s="25">
        <f>IFERROR(INDEX('Aub Demand'!W:W,MATCH(O922,'Aub Demand'!A:A,0)),"")</f>
        <v>0</v>
      </c>
      <c r="H922" s="25">
        <f>IFERROR(INDEX('Aub Demand'!V:V,MATCH(O922,'Aub Demand'!A:A,0)),"")</f>
        <v>7</v>
      </c>
      <c r="I922" s="25">
        <f>IFERROR(INDEX('Aub Demand'!U:U,MATCH(O922,'Aub Demand'!A:A,0)),"")</f>
        <v>0</v>
      </c>
      <c r="J922" s="25">
        <f>IFERROR(INDEX('Aub Demand'!T:T,MATCH(O922,'Aub Demand'!A:A,0)),"")</f>
        <v>0</v>
      </c>
      <c r="K922" s="25">
        <f>IFERROR(INDEX('Aub Demand'!S:S,MATCH(O922,'Aub Demand'!A:A,0)),"")</f>
        <v>0</v>
      </c>
      <c r="L922" s="25">
        <f>IFERROR(INDEX('Aub Demand'!R:R,MATCH(O922,'Aub Demand'!A:A,0)),"")</f>
        <v>0</v>
      </c>
      <c r="O922" s="27" t="s">
        <v>1363</v>
      </c>
      <c r="P922" s="27" t="str">
        <f>IFERROR(INDEX('Aub Demand'!B:B,MATCH($O922,'Aub Demand'!$A:$A,0)),"")</f>
        <v>H DARK ITALIAN WALNU</v>
      </c>
      <c r="Q922" s="27" t="str">
        <f>IFERROR(INDEX('Aub Demand'!C:C,MATCH($O922,'Aub Demand'!$A:$A,0)),"")</f>
        <v>SCHAT</v>
      </c>
      <c r="R922" s="52">
        <f>IFERROR(IF(AR923=AR922,INDEX('Aub Demand'!K:K,MATCH($O922,'Aub Demand'!$A:$A,0))-IF(AN922="",0,AN922)+AP923,INDEX('Aub Demand'!K:K,MATCH($O922,'Aub Demand'!$A:$A,0))-IF(AN922="",0,AN922)),"")</f>
        <v>1102</v>
      </c>
      <c r="S922" s="53" t="str">
        <f t="shared" si="392"/>
        <v>n/a</v>
      </c>
      <c r="T922" s="52" t="str">
        <f t="shared" si="393"/>
        <v/>
      </c>
      <c r="U922" s="52">
        <f>IFERROR(IF(AR923=AR922,INDEX('Aub Demand'!Q:Q,MATCH($O922,'Aub Demand'!$A:$A,0))-IF(AN922="",0,AN922)+AP923,INDEX('Aub Demand'!Q:Q,MATCH($O922,'Aub Demand'!$A:$A,0))-IF(AN922="",0,AN922)),"")</f>
        <v>1102</v>
      </c>
      <c r="V922" s="53" t="str">
        <f t="shared" si="394"/>
        <v>n/a</v>
      </c>
      <c r="W922" s="52" t="str">
        <f t="shared" si="395"/>
        <v/>
      </c>
      <c r="X922" s="52">
        <f>IFERROR(IF(AND(AR923=AR922,AM922&lt;&gt;""),INDEX('Aub Demand'!Q:Q,MATCH($O922,'Aub Demand'!$A:$A,0))-IF(AN922="",0,AN922)+AP923+AD922+AL922,IF(AR923=AR922,INDEX('Aub Demand'!Q:Q,MATCH($O922,'Aub Demand'!$A:$A,0))-IF(AN922="",0,AN922)+AP923+AD922,IF(AM922&lt;&gt;"",INDEX('Aub Demand'!Q:Q,MATCH($O922,'Aub Demand'!$A:$A,0))-IF(AN922="",0,AN922)+AD922+AL922,INDEX('Aub Demand'!Q:Q,MATCH($O922,'Aub Demand'!$A:$A,0))-IF(AN922="",0,AN922)+AD922))),"")</f>
        <v>1102</v>
      </c>
      <c r="Y922" s="53" t="str">
        <f t="shared" si="396"/>
        <v>n/a</v>
      </c>
      <c r="Z922" s="52">
        <f>IF(L922="","",INDEX('Aub Demand'!H:H,MATCH($O922,'Aub Demand'!$A:$A,0)))</f>
        <v>0</v>
      </c>
      <c r="AA922" s="52" t="str">
        <f t="shared" si="397"/>
        <v>-spike-</v>
      </c>
      <c r="AB922" s="52">
        <f>IFERROR(INDEX('Aub Demand'!L:L,MATCH($O922,'Aub Demand'!$A:$A,0)),"")</f>
        <v>5</v>
      </c>
      <c r="AC922" s="52">
        <f>IFERROR(IF(O922="","",SUMIFS('CPL Mats'!F:F,'CPL Mats'!Q:Q,AR922,'CPL Mats'!S:S,AS922)),"")</f>
        <v>0</v>
      </c>
      <c r="AF922" s="25" t="str">
        <f>IF(SUMIFS('Supp Consol'!S:S,'Supp Consol'!Y:Y,"Releasable",'Supp Consol'!A:A,O922)=0,"",SUMIFS('Supp Consol'!S:S,'Supp Consol'!Y:Y,"Releasable",'Supp Consol'!A:A,O922))</f>
        <v/>
      </c>
      <c r="AG922" s="25" t="str">
        <f>IFERROR(INDEX('Hun Demand'!Q:Q,MATCH(O922,'Hun Demand'!A:A,0)),"")</f>
        <v/>
      </c>
      <c r="AH922" s="25" t="str">
        <f>IFERROR(INDEX('Hun Demand'!H:H,MATCH($O922,'Hun Demand'!$A:$A,0)),"")</f>
        <v/>
      </c>
      <c r="AI922" s="25" t="str">
        <f>IF(SUMIFS('Supp Consol'!AA:AA,'Supp Consol'!Z:Z,"Expires this month",'Supp Consol'!A:A,O922)=0,"",SUMIFS('Supp Consol'!AA:AA,'Supp Consol'!Z:Z,"Expires this month",'Supp Consol'!A:A,O922))</f>
        <v/>
      </c>
      <c r="AJ922" s="25" t="str">
        <f>IF(SUMIFS('Supp Consol'!AA:AA,'Supp Consol'!Z:Z,"Expired Previous Months",'Supp Consol'!A:A,O922)=0,"",SUMIFS('Supp Consol'!AA:AA,'Supp Consol'!Z:Z,"Expired Previous Months",'Supp Consol'!A:A,O922))</f>
        <v/>
      </c>
      <c r="AK922" s="25" t="str">
        <f>IFERROR(INDEX('Hun Release Current'!B:B,MATCH(O922,'Hun Release Current'!A:A,0)),"")</f>
        <v/>
      </c>
      <c r="AL922" s="25" t="str">
        <f>IF(SUMIF('Prev Aub'!A:A,O922,'Prev Aub'!B:B)=0,"",SUMIF('Prev Aub'!A:A,O922,'Prev Aub'!B:B))</f>
        <v/>
      </c>
      <c r="AN922" s="25" t="s">
        <v>3790</v>
      </c>
      <c r="AO922" s="25" t="s">
        <v>3790</v>
      </c>
      <c r="AP922" s="25">
        <f t="shared" si="398"/>
        <v>0</v>
      </c>
      <c r="AQ922" s="151" t="str">
        <f>IF(SUMIFS('Supp Consol'!S:S,'Supp Consol'!A:A,O922,'Supp Consol'!I:I,"PENDING")=0,"",SUMIFS('Supp Consol'!S:S,'Supp Consol'!A:A,O922,'Supp Consol'!I:I,"PENDING"))</f>
        <v/>
      </c>
      <c r="AR922" s="27" t="str">
        <f t="shared" si="399"/>
        <v>QW141</v>
      </c>
      <c r="AS922" s="27" t="str">
        <f t="shared" si="400"/>
        <v>50</v>
      </c>
      <c r="AT922" s="27" t="str">
        <f t="shared" si="401"/>
        <v/>
      </c>
      <c r="AU922" s="27" t="str">
        <f t="shared" si="402"/>
        <v/>
      </c>
      <c r="AV922" s="27" t="str">
        <f t="shared" si="403"/>
        <v/>
      </c>
      <c r="AW922" s="27" t="str">
        <f t="shared" si="404"/>
        <v/>
      </c>
      <c r="AX922" s="27" t="str">
        <f t="shared" si="405"/>
        <v/>
      </c>
      <c r="AY922" s="27" t="str">
        <f t="shared" si="406"/>
        <v/>
      </c>
      <c r="AZ922" s="27" t="str">
        <f t="shared" si="407"/>
        <v/>
      </c>
      <c r="BA922" s="27" t="str">
        <f t="shared" si="408"/>
        <v/>
      </c>
      <c r="BB922" s="27" t="str">
        <f t="shared" si="409"/>
        <v/>
      </c>
      <c r="BC922" s="27" t="str">
        <f t="shared" si="410"/>
        <v/>
      </c>
      <c r="BD922" s="27" t="str">
        <f t="shared" si="411"/>
        <v/>
      </c>
      <c r="BE922" s="27" t="str">
        <f t="shared" si="412"/>
        <v/>
      </c>
      <c r="BF922" s="27" t="str">
        <f t="shared" si="413"/>
        <v/>
      </c>
      <c r="BG922" s="27" t="str">
        <f t="shared" si="414"/>
        <v/>
      </c>
      <c r="BH922" s="27" t="str">
        <f t="shared" si="415"/>
        <v/>
      </c>
      <c r="BI922" s="27" t="str">
        <f t="shared" si="416"/>
        <v/>
      </c>
      <c r="BJ922" s="27" t="str">
        <f t="shared" si="417"/>
        <v/>
      </c>
      <c r="BK922" s="27" t="str">
        <f t="shared" si="418"/>
        <v/>
      </c>
      <c r="BL922" s="27" t="str">
        <f t="shared" si="419"/>
        <v/>
      </c>
      <c r="BM922" s="21" t="s">
        <v>5581</v>
      </c>
    </row>
    <row r="923" spans="1:65" ht="15">
      <c r="A923" s="25" t="str">
        <f>IFERROR(INDEX('Hun Demand'!W:W,MATCH(O923,'Hun Demand'!A:A,0)),"")</f>
        <v/>
      </c>
      <c r="B923" s="25" t="str">
        <f>IFERROR(INDEX('Hun Demand'!V:V,MATCH(O923,'Hun Demand'!A:A,0)),"")</f>
        <v/>
      </c>
      <c r="C923" s="25" t="str">
        <f>IFERROR(INDEX('Hun Demand'!U:U,MATCH(O923,'Hun Demand'!A:A,0)),"")</f>
        <v/>
      </c>
      <c r="D923" s="25" t="str">
        <f>IFERROR(INDEX('Hun Demand'!T:T,MATCH(O923,'Hun Demand'!A:A,0)),"")</f>
        <v/>
      </c>
      <c r="E923" s="25" t="str">
        <f>IFERROR(INDEX('Hun Demand'!S:S,MATCH(O923,'Hun Demand'!A:A,0)),"")</f>
        <v/>
      </c>
      <c r="F923" s="25" t="str">
        <f>IFERROR(INDEX('Hun Demand'!R:R,MATCH(O923,'Hun Demand'!A:A,0)),"")</f>
        <v/>
      </c>
      <c r="G923" s="25">
        <f>IFERROR(INDEX('Aub Demand'!W:W,MATCH(O923,'Aub Demand'!A:A,0)),"")</f>
        <v>0</v>
      </c>
      <c r="H923" s="25">
        <f>IFERROR(INDEX('Aub Demand'!V:V,MATCH(O923,'Aub Demand'!A:A,0)),"")</f>
        <v>0</v>
      </c>
      <c r="I923" s="25">
        <f>IFERROR(INDEX('Aub Demand'!U:U,MATCH(O923,'Aub Demand'!A:A,0)),"")</f>
        <v>0</v>
      </c>
      <c r="J923" s="25">
        <f>IFERROR(INDEX('Aub Demand'!T:T,MATCH(O923,'Aub Demand'!A:A,0)),"")</f>
        <v>0</v>
      </c>
      <c r="K923" s="25">
        <f>IFERROR(INDEX('Aub Demand'!S:S,MATCH(O923,'Aub Demand'!A:A,0)),"")</f>
        <v>0</v>
      </c>
      <c r="L923" s="25">
        <f>IFERROR(INDEX('Aub Demand'!R:R,MATCH(O923,'Aub Demand'!A:A,0)),"")</f>
        <v>0</v>
      </c>
      <c r="O923" s="27" t="s">
        <v>1365</v>
      </c>
      <c r="P923" s="27" t="str">
        <f>IFERROR(INDEX('Aub Demand'!B:B,MATCH($O923,'Aub Demand'!$A:$A,0)),"")</f>
        <v>ALIETE OAK</v>
      </c>
      <c r="Q923" s="27" t="str">
        <f>IFERROR(INDEX('Aub Demand'!C:C,MATCH($O923,'Aub Demand'!$A:$A,0)),"")</f>
        <v>SCHAT</v>
      </c>
      <c r="R923" s="52">
        <f>IFERROR(IF(AR924=AR923,INDEX('Aub Demand'!K:K,MATCH($O923,'Aub Demand'!$A:$A,0))-IF(AN923="",0,AN923)+AP924,INDEX('Aub Demand'!K:K,MATCH($O923,'Aub Demand'!$A:$A,0))-IF(AN923="",0,AN923)),"")</f>
        <v>318</v>
      </c>
      <c r="S923" s="53" t="str">
        <f t="shared" si="392"/>
        <v>n/a</v>
      </c>
      <c r="T923" s="52" t="str">
        <f t="shared" si="393"/>
        <v/>
      </c>
      <c r="U923" s="52">
        <f>IFERROR(IF(AR924=AR923,INDEX('Aub Demand'!Q:Q,MATCH($O923,'Aub Demand'!$A:$A,0))-IF(AN923="",0,AN923)+AP924,INDEX('Aub Demand'!Q:Q,MATCH($O923,'Aub Demand'!$A:$A,0))-IF(AN923="",0,AN923)),"")</f>
        <v>318</v>
      </c>
      <c r="V923" s="53" t="str">
        <f t="shared" si="394"/>
        <v>n/a</v>
      </c>
      <c r="W923" s="52" t="str">
        <f t="shared" si="395"/>
        <v/>
      </c>
      <c r="X923" s="52">
        <f>IFERROR(IF(AND(AR924=AR923,AM923&lt;&gt;""),INDEX('Aub Demand'!Q:Q,MATCH($O923,'Aub Demand'!$A:$A,0))-IF(AN923="",0,AN923)+AP924+AD923+AL923,IF(AR924=AR923,INDEX('Aub Demand'!Q:Q,MATCH($O923,'Aub Demand'!$A:$A,0))-IF(AN923="",0,AN923)+AP924+AD923,IF(AM923&lt;&gt;"",INDEX('Aub Demand'!Q:Q,MATCH($O923,'Aub Demand'!$A:$A,0))-IF(AN923="",0,AN923)+AD923+AL923,INDEX('Aub Demand'!Q:Q,MATCH($O923,'Aub Demand'!$A:$A,0))-IF(AN923="",0,AN923)+AD923))),"")</f>
        <v>318</v>
      </c>
      <c r="Y923" s="53" t="str">
        <f t="shared" si="396"/>
        <v>n/a</v>
      </c>
      <c r="Z923" s="52">
        <f>IF(L923="","",INDEX('Aub Demand'!H:H,MATCH($O923,'Aub Demand'!$A:$A,0)))</f>
        <v>0</v>
      </c>
      <c r="AA923" s="52" t="str">
        <f t="shared" si="397"/>
        <v>-spike-</v>
      </c>
      <c r="AB923" s="52">
        <f>IFERROR(INDEX('Aub Demand'!L:L,MATCH($O923,'Aub Demand'!$A:$A,0)),"")</f>
        <v>0</v>
      </c>
      <c r="AC923" s="52">
        <f>IFERROR(IF(O923="","",SUMIFS('CPL Mats'!F:F,'CPL Mats'!Q:Q,AR923,'CPL Mats'!S:S,AS923)),"")</f>
        <v>0</v>
      </c>
      <c r="AF923" s="25" t="str">
        <f>IF(SUMIFS('Supp Consol'!S:S,'Supp Consol'!Y:Y,"Releasable",'Supp Consol'!A:A,O923)=0,"",SUMIFS('Supp Consol'!S:S,'Supp Consol'!Y:Y,"Releasable",'Supp Consol'!A:A,O923))</f>
        <v/>
      </c>
      <c r="AG923" s="25" t="str">
        <f>IFERROR(INDEX('Hun Demand'!Q:Q,MATCH(O923,'Hun Demand'!A:A,0)),"")</f>
        <v/>
      </c>
      <c r="AH923" s="25" t="str">
        <f>IFERROR(INDEX('Hun Demand'!H:H,MATCH($O923,'Hun Demand'!$A:$A,0)),"")</f>
        <v/>
      </c>
      <c r="AI923" s="25" t="str">
        <f>IF(SUMIFS('Supp Consol'!AA:AA,'Supp Consol'!Z:Z,"Expires this month",'Supp Consol'!A:A,O923)=0,"",SUMIFS('Supp Consol'!AA:AA,'Supp Consol'!Z:Z,"Expires this month",'Supp Consol'!A:A,O923))</f>
        <v/>
      </c>
      <c r="AJ923" s="25" t="str">
        <f>IF(SUMIFS('Supp Consol'!AA:AA,'Supp Consol'!Z:Z,"Expired Previous Months",'Supp Consol'!A:A,O923)=0,"",SUMIFS('Supp Consol'!AA:AA,'Supp Consol'!Z:Z,"Expired Previous Months",'Supp Consol'!A:A,O923))</f>
        <v/>
      </c>
      <c r="AK923" s="25" t="str">
        <f>IFERROR(INDEX('Hun Release Current'!B:B,MATCH(O923,'Hun Release Current'!A:A,0)),"")</f>
        <v/>
      </c>
      <c r="AL923" s="25" t="str">
        <f>IF(SUMIF('Prev Aub'!A:A,O923,'Prev Aub'!B:B)=0,"",SUMIF('Prev Aub'!A:A,O923,'Prev Aub'!B:B))</f>
        <v/>
      </c>
      <c r="AN923" s="25" t="s">
        <v>3790</v>
      </c>
      <c r="AO923" s="25" t="s">
        <v>3790</v>
      </c>
      <c r="AP923" s="25">
        <f t="shared" si="398"/>
        <v>0</v>
      </c>
      <c r="AQ923" s="151" t="str">
        <f>IF(SUMIFS('Supp Consol'!S:S,'Supp Consol'!A:A,O923,'Supp Consol'!I:I,"PENDING")=0,"",SUMIFS('Supp Consol'!S:S,'Supp Consol'!A:A,O923,'Supp Consol'!I:I,"PENDING"))</f>
        <v/>
      </c>
      <c r="AR923" s="27" t="str">
        <f t="shared" si="399"/>
        <v>QW143</v>
      </c>
      <c r="AS923" s="27" t="str">
        <f t="shared" si="400"/>
        <v>50</v>
      </c>
      <c r="AT923" s="27" t="str">
        <f t="shared" si="401"/>
        <v/>
      </c>
      <c r="AU923" s="27" t="str">
        <f t="shared" si="402"/>
        <v/>
      </c>
      <c r="AV923" s="27" t="str">
        <f t="shared" si="403"/>
        <v/>
      </c>
      <c r="AW923" s="27" t="str">
        <f t="shared" si="404"/>
        <v/>
      </c>
      <c r="AX923" s="27" t="str">
        <f t="shared" si="405"/>
        <v/>
      </c>
      <c r="AY923" s="27" t="str">
        <f t="shared" si="406"/>
        <v/>
      </c>
      <c r="AZ923" s="27" t="str">
        <f t="shared" si="407"/>
        <v/>
      </c>
      <c r="BA923" s="27" t="str">
        <f t="shared" si="408"/>
        <v/>
      </c>
      <c r="BB923" s="27" t="str">
        <f t="shared" si="409"/>
        <v/>
      </c>
      <c r="BC923" s="27" t="str">
        <f t="shared" si="410"/>
        <v/>
      </c>
      <c r="BD923" s="27" t="str">
        <f t="shared" si="411"/>
        <v/>
      </c>
      <c r="BE923" s="27" t="str">
        <f t="shared" si="412"/>
        <v/>
      </c>
      <c r="BF923" s="27" t="str">
        <f t="shared" si="413"/>
        <v/>
      </c>
      <c r="BG923" s="27" t="str">
        <f t="shared" si="414"/>
        <v/>
      </c>
      <c r="BH923" s="27" t="str">
        <f t="shared" si="415"/>
        <v/>
      </c>
      <c r="BI923" s="27" t="str">
        <f t="shared" si="416"/>
        <v/>
      </c>
      <c r="BJ923" s="27" t="str">
        <f t="shared" si="417"/>
        <v/>
      </c>
      <c r="BK923" s="27" t="str">
        <f t="shared" si="418"/>
        <v/>
      </c>
      <c r="BL923" s="27" t="str">
        <f t="shared" si="419"/>
        <v/>
      </c>
      <c r="BM923" s="21" t="s">
        <v>5581</v>
      </c>
    </row>
    <row r="924" spans="1:65" ht="15">
      <c r="A924" s="25" t="str">
        <f>IFERROR(INDEX('Hun Demand'!W:W,MATCH(O924,'Hun Demand'!A:A,0)),"")</f>
        <v/>
      </c>
      <c r="B924" s="25" t="str">
        <f>IFERROR(INDEX('Hun Demand'!V:V,MATCH(O924,'Hun Demand'!A:A,0)),"")</f>
        <v/>
      </c>
      <c r="C924" s="25" t="str">
        <f>IFERROR(INDEX('Hun Demand'!U:U,MATCH(O924,'Hun Demand'!A:A,0)),"")</f>
        <v/>
      </c>
      <c r="D924" s="25" t="str">
        <f>IFERROR(INDEX('Hun Demand'!T:T,MATCH(O924,'Hun Demand'!A:A,0)),"")</f>
        <v/>
      </c>
      <c r="E924" s="25" t="str">
        <f>IFERROR(INDEX('Hun Demand'!S:S,MATCH(O924,'Hun Demand'!A:A,0)),"")</f>
        <v/>
      </c>
      <c r="F924" s="25" t="str">
        <f>IFERROR(INDEX('Hun Demand'!R:R,MATCH(O924,'Hun Demand'!A:A,0)),"")</f>
        <v/>
      </c>
      <c r="G924" s="25">
        <f>IFERROR(INDEX('Aub Demand'!W:W,MATCH(O924,'Aub Demand'!A:A,0)),"")</f>
        <v>15</v>
      </c>
      <c r="H924" s="25">
        <f>IFERROR(INDEX('Aub Demand'!V:V,MATCH(O924,'Aub Demand'!A:A,0)),"")</f>
        <v>17</v>
      </c>
      <c r="I924" s="25">
        <f>IFERROR(INDEX('Aub Demand'!U:U,MATCH(O924,'Aub Demand'!A:A,0)),"")</f>
        <v>0</v>
      </c>
      <c r="J924" s="25">
        <f>IFERROR(INDEX('Aub Demand'!T:T,MATCH(O924,'Aub Demand'!A:A,0)),"")</f>
        <v>0</v>
      </c>
      <c r="K924" s="25">
        <f>IFERROR(INDEX('Aub Demand'!S:S,MATCH(O924,'Aub Demand'!A:A,0)),"")</f>
        <v>0</v>
      </c>
      <c r="L924" s="25">
        <f>IFERROR(INDEX('Aub Demand'!R:R,MATCH(O924,'Aub Demand'!A:A,0)),"")</f>
        <v>0</v>
      </c>
      <c r="O924" s="27" t="s">
        <v>1367</v>
      </c>
      <c r="P924" s="27" t="str">
        <f>IFERROR(INDEX('Aub Demand'!B:B,MATCH($O924,'Aub Demand'!$A:$A,0)),"")</f>
        <v>BURL CREEK</v>
      </c>
      <c r="Q924" s="27" t="str">
        <f>IFERROR(INDEX('Aub Demand'!C:C,MATCH($O924,'Aub Demand'!$A:$A,0)),"")</f>
        <v>SCHAT</v>
      </c>
      <c r="R924" s="52">
        <f>IFERROR(IF(AR925=AR924,INDEX('Aub Demand'!K:K,MATCH($O924,'Aub Demand'!$A:$A,0))-IF(AN924="",0,AN924)+AP925,INDEX('Aub Demand'!K:K,MATCH($O924,'Aub Demand'!$A:$A,0))-IF(AN924="",0,AN924)),"")</f>
        <v>1508</v>
      </c>
      <c r="S924" s="53" t="str">
        <f t="shared" si="392"/>
        <v>n/a</v>
      </c>
      <c r="T924" s="52" t="str">
        <f t="shared" si="393"/>
        <v/>
      </c>
      <c r="U924" s="52">
        <f>IFERROR(IF(AR925=AR924,INDEX('Aub Demand'!Q:Q,MATCH($O924,'Aub Demand'!$A:$A,0))-IF(AN924="",0,AN924)+AP925,INDEX('Aub Demand'!Q:Q,MATCH($O924,'Aub Demand'!$A:$A,0))-IF(AN924="",0,AN924)),"")</f>
        <v>1508</v>
      </c>
      <c r="V924" s="53" t="str">
        <f t="shared" si="394"/>
        <v>n/a</v>
      </c>
      <c r="W924" s="52" t="str">
        <f t="shared" si="395"/>
        <v/>
      </c>
      <c r="X924" s="52">
        <f>IFERROR(IF(AND(AR925=AR924,AM924&lt;&gt;""),INDEX('Aub Demand'!Q:Q,MATCH($O924,'Aub Demand'!$A:$A,0))-IF(AN924="",0,AN924)+AP925+AD924+AL924,IF(AR925=AR924,INDEX('Aub Demand'!Q:Q,MATCH($O924,'Aub Demand'!$A:$A,0))-IF(AN924="",0,AN924)+AP925+AD924,IF(AM924&lt;&gt;"",INDEX('Aub Demand'!Q:Q,MATCH($O924,'Aub Demand'!$A:$A,0))-IF(AN924="",0,AN924)+AD924+AL924,INDEX('Aub Demand'!Q:Q,MATCH($O924,'Aub Demand'!$A:$A,0))-IF(AN924="",0,AN924)+AD924))),"")</f>
        <v>1508</v>
      </c>
      <c r="Y924" s="53" t="str">
        <f t="shared" si="396"/>
        <v>n/a</v>
      </c>
      <c r="Z924" s="52">
        <f>IF(L924="","",INDEX('Aub Demand'!H:H,MATCH($O924,'Aub Demand'!$A:$A,0)))</f>
        <v>0</v>
      </c>
      <c r="AA924" s="52" t="str">
        <f t="shared" si="397"/>
        <v>-spike-</v>
      </c>
      <c r="AB924" s="52">
        <f>IFERROR(INDEX('Aub Demand'!L:L,MATCH($O924,'Aub Demand'!$A:$A,0)),"")</f>
        <v>8</v>
      </c>
      <c r="AC924" s="52">
        <f>IFERROR(IF(O924="","",SUMIFS('CPL Mats'!F:F,'CPL Mats'!Q:Q,AR924,'CPL Mats'!S:S,AS924)),"")</f>
        <v>0</v>
      </c>
      <c r="AF924" s="25" t="str">
        <f>IF(SUMIFS('Supp Consol'!S:S,'Supp Consol'!Y:Y,"Releasable",'Supp Consol'!A:A,O924)=0,"",SUMIFS('Supp Consol'!S:S,'Supp Consol'!Y:Y,"Releasable",'Supp Consol'!A:A,O924))</f>
        <v/>
      </c>
      <c r="AG924" s="25" t="str">
        <f>IFERROR(INDEX('Hun Demand'!Q:Q,MATCH(O924,'Hun Demand'!A:A,0)),"")</f>
        <v/>
      </c>
      <c r="AH924" s="25" t="str">
        <f>IFERROR(INDEX('Hun Demand'!H:H,MATCH($O924,'Hun Demand'!$A:$A,0)),"")</f>
        <v/>
      </c>
      <c r="AI924" s="25" t="str">
        <f>IF(SUMIFS('Supp Consol'!AA:AA,'Supp Consol'!Z:Z,"Expires this month",'Supp Consol'!A:A,O924)=0,"",SUMIFS('Supp Consol'!AA:AA,'Supp Consol'!Z:Z,"Expires this month",'Supp Consol'!A:A,O924))</f>
        <v/>
      </c>
      <c r="AJ924" s="25" t="str">
        <f>IF(SUMIFS('Supp Consol'!AA:AA,'Supp Consol'!Z:Z,"Expired Previous Months",'Supp Consol'!A:A,O924)=0,"",SUMIFS('Supp Consol'!AA:AA,'Supp Consol'!Z:Z,"Expired Previous Months",'Supp Consol'!A:A,O924))</f>
        <v/>
      </c>
      <c r="AK924" s="25" t="str">
        <f>IFERROR(INDEX('Hun Release Current'!B:B,MATCH(O924,'Hun Release Current'!A:A,0)),"")</f>
        <v/>
      </c>
      <c r="AL924" s="25" t="str">
        <f>IF(SUMIF('Prev Aub'!A:A,O924,'Prev Aub'!B:B)=0,"",SUMIF('Prev Aub'!A:A,O924,'Prev Aub'!B:B))</f>
        <v/>
      </c>
      <c r="AN924" s="25" t="s">
        <v>3790</v>
      </c>
      <c r="AO924" s="25" t="s">
        <v>3790</v>
      </c>
      <c r="AP924" s="25">
        <f t="shared" si="398"/>
        <v>0</v>
      </c>
      <c r="AQ924" s="151" t="str">
        <f>IF(SUMIFS('Supp Consol'!S:S,'Supp Consol'!A:A,O924,'Supp Consol'!I:I,"PENDING")=0,"",SUMIFS('Supp Consol'!S:S,'Supp Consol'!A:A,O924,'Supp Consol'!I:I,"PENDING"))</f>
        <v/>
      </c>
      <c r="AR924" s="27" t="str">
        <f t="shared" si="399"/>
        <v>QW145</v>
      </c>
      <c r="AS924" s="27" t="str">
        <f t="shared" si="400"/>
        <v>50</v>
      </c>
      <c r="AT924" s="27" t="str">
        <f t="shared" si="401"/>
        <v/>
      </c>
      <c r="AU924" s="27" t="str">
        <f t="shared" si="402"/>
        <v/>
      </c>
      <c r="AV924" s="27" t="str">
        <f t="shared" si="403"/>
        <v/>
      </c>
      <c r="AW924" s="27" t="str">
        <f t="shared" si="404"/>
        <v/>
      </c>
      <c r="AX924" s="27" t="str">
        <f t="shared" si="405"/>
        <v/>
      </c>
      <c r="AY924" s="27" t="str">
        <f t="shared" si="406"/>
        <v/>
      </c>
      <c r="AZ924" s="27" t="str">
        <f t="shared" si="407"/>
        <v/>
      </c>
      <c r="BA924" s="27" t="str">
        <f t="shared" si="408"/>
        <v/>
      </c>
      <c r="BB924" s="27" t="str">
        <f t="shared" si="409"/>
        <v/>
      </c>
      <c r="BC924" s="27" t="str">
        <f t="shared" si="410"/>
        <v/>
      </c>
      <c r="BD924" s="27" t="str">
        <f t="shared" si="411"/>
        <v/>
      </c>
      <c r="BE924" s="27" t="str">
        <f t="shared" si="412"/>
        <v/>
      </c>
      <c r="BF924" s="27" t="str">
        <f t="shared" si="413"/>
        <v/>
      </c>
      <c r="BG924" s="27" t="str">
        <f t="shared" si="414"/>
        <v/>
      </c>
      <c r="BH924" s="27" t="str">
        <f t="shared" si="415"/>
        <v/>
      </c>
      <c r="BI924" s="27" t="str">
        <f t="shared" si="416"/>
        <v/>
      </c>
      <c r="BJ924" s="27" t="str">
        <f t="shared" si="417"/>
        <v/>
      </c>
      <c r="BK924" s="27" t="str">
        <f t="shared" si="418"/>
        <v/>
      </c>
      <c r="BL924" s="27" t="str">
        <f t="shared" si="419"/>
        <v/>
      </c>
      <c r="BM924" s="21" t="s">
        <v>5581</v>
      </c>
    </row>
    <row r="925" spans="1:65" ht="15">
      <c r="A925" s="25" t="str">
        <f>IFERROR(INDEX('Hun Demand'!W:W,MATCH(O925,'Hun Demand'!A:A,0)),"")</f>
        <v/>
      </c>
      <c r="B925" s="25" t="str">
        <f>IFERROR(INDEX('Hun Demand'!V:V,MATCH(O925,'Hun Demand'!A:A,0)),"")</f>
        <v/>
      </c>
      <c r="C925" s="25" t="str">
        <f>IFERROR(INDEX('Hun Demand'!U:U,MATCH(O925,'Hun Demand'!A:A,0)),"")</f>
        <v/>
      </c>
      <c r="D925" s="25" t="str">
        <f>IFERROR(INDEX('Hun Demand'!T:T,MATCH(O925,'Hun Demand'!A:A,0)),"")</f>
        <v/>
      </c>
      <c r="E925" s="25" t="str">
        <f>IFERROR(INDEX('Hun Demand'!S:S,MATCH(O925,'Hun Demand'!A:A,0)),"")</f>
        <v/>
      </c>
      <c r="F925" s="25" t="str">
        <f>IFERROR(INDEX('Hun Demand'!R:R,MATCH(O925,'Hun Demand'!A:A,0)),"")</f>
        <v/>
      </c>
      <c r="G925" s="25">
        <f>IFERROR(INDEX('Aub Demand'!W:W,MATCH(O925,'Aub Demand'!A:A,0)),"")</f>
        <v>0</v>
      </c>
      <c r="H925" s="25">
        <f>IFERROR(INDEX('Aub Demand'!V:V,MATCH(O925,'Aub Demand'!A:A,0)),"")</f>
        <v>0</v>
      </c>
      <c r="I925" s="25">
        <f>IFERROR(INDEX('Aub Demand'!U:U,MATCH(O925,'Aub Demand'!A:A,0)),"")</f>
        <v>0</v>
      </c>
      <c r="J925" s="25">
        <f>IFERROR(INDEX('Aub Demand'!T:T,MATCH(O925,'Aub Demand'!A:A,0)),"")</f>
        <v>0</v>
      </c>
      <c r="K925" s="25">
        <f>IFERROR(INDEX('Aub Demand'!S:S,MATCH(O925,'Aub Demand'!A:A,0)),"")</f>
        <v>0</v>
      </c>
      <c r="L925" s="25">
        <f>IFERROR(INDEX('Aub Demand'!R:R,MATCH(O925,'Aub Demand'!A:A,0)),"")</f>
        <v>0</v>
      </c>
      <c r="O925" s="27" t="s">
        <v>2461</v>
      </c>
      <c r="P925" s="27" t="str">
        <f>IFERROR(INDEX('Aub Demand'!B:B,MATCH($O925,'Aub Demand'!$A:$A,0)),"")</f>
        <v>URBAN RENEWAL</v>
      </c>
      <c r="Q925" s="27" t="str">
        <f>IFERROR(INDEX('Aub Demand'!C:C,MATCH($O925,'Aub Demand'!$A:$A,0)),"")</f>
        <v>DNP A</v>
      </c>
      <c r="R925" s="52">
        <f>IFERROR(IF(AR926=AR925,INDEX('Aub Demand'!K:K,MATCH($O925,'Aub Demand'!$A:$A,0))-IF(AN925="",0,AN925)+AP926,INDEX('Aub Demand'!K:K,MATCH($O925,'Aub Demand'!$A:$A,0))-IF(AN925="",0,AN925)),"")</f>
        <v>782</v>
      </c>
      <c r="S925" s="53" t="str">
        <f t="shared" si="392"/>
        <v>n/a</v>
      </c>
      <c r="T925" s="52" t="str">
        <f t="shared" si="393"/>
        <v/>
      </c>
      <c r="U925" s="52">
        <f>IFERROR(IF(AR926=AR925,INDEX('Aub Demand'!Q:Q,MATCH($O925,'Aub Demand'!$A:$A,0))-IF(AN925="",0,AN925)+AP926,INDEX('Aub Demand'!Q:Q,MATCH($O925,'Aub Demand'!$A:$A,0))-IF(AN925="",0,AN925)),"")</f>
        <v>782</v>
      </c>
      <c r="V925" s="53" t="str">
        <f t="shared" si="394"/>
        <v>n/a</v>
      </c>
      <c r="W925" s="52" t="str">
        <f t="shared" si="395"/>
        <v/>
      </c>
      <c r="X925" s="52">
        <f>IFERROR(IF(AND(AR926=AR925,AM925&lt;&gt;""),INDEX('Aub Demand'!Q:Q,MATCH($O925,'Aub Demand'!$A:$A,0))-IF(AN925="",0,AN925)+AP926+AD925+AL925,IF(AR926=AR925,INDEX('Aub Demand'!Q:Q,MATCH($O925,'Aub Demand'!$A:$A,0))-IF(AN925="",0,AN925)+AP926+AD925,IF(AM925&lt;&gt;"",INDEX('Aub Demand'!Q:Q,MATCH($O925,'Aub Demand'!$A:$A,0))-IF(AN925="",0,AN925)+AD925+AL925,INDEX('Aub Demand'!Q:Q,MATCH($O925,'Aub Demand'!$A:$A,0))-IF(AN925="",0,AN925)+AD925))),"")</f>
        <v>782</v>
      </c>
      <c r="Y925" s="53" t="str">
        <f t="shared" si="396"/>
        <v>n/a</v>
      </c>
      <c r="Z925" s="52">
        <f>IF(L925="","",INDEX('Aub Demand'!H:H,MATCH($O925,'Aub Demand'!$A:$A,0)))</f>
        <v>0</v>
      </c>
      <c r="AA925" s="52" t="str">
        <f t="shared" si="397"/>
        <v>-spike-</v>
      </c>
      <c r="AB925" s="52">
        <f>IFERROR(INDEX('Aub Demand'!L:L,MATCH($O925,'Aub Demand'!$A:$A,0)),"")</f>
        <v>5</v>
      </c>
      <c r="AC925" s="52">
        <f>IFERROR(IF(O925="","",SUMIFS('CPL Mats'!F:F,'CPL Mats'!Q:Q,AR925,'CPL Mats'!S:S,AS925)),"")</f>
        <v>0</v>
      </c>
      <c r="AF925" s="25" t="str">
        <f>IF(SUMIFS('Supp Consol'!S:S,'Supp Consol'!Y:Y,"Releasable",'Supp Consol'!A:A,O925)=0,"",SUMIFS('Supp Consol'!S:S,'Supp Consol'!Y:Y,"Releasable",'Supp Consol'!A:A,O925))</f>
        <v/>
      </c>
      <c r="AG925" s="25" t="str">
        <f>IFERROR(INDEX('Hun Demand'!Q:Q,MATCH(O925,'Hun Demand'!A:A,0)),"")</f>
        <v/>
      </c>
      <c r="AH925" s="25" t="str">
        <f>IFERROR(INDEX('Hun Demand'!H:H,MATCH($O925,'Hun Demand'!$A:$A,0)),"")</f>
        <v/>
      </c>
      <c r="AI925" s="25" t="str">
        <f>IF(SUMIFS('Supp Consol'!AA:AA,'Supp Consol'!Z:Z,"Expires this month",'Supp Consol'!A:A,O925)=0,"",SUMIFS('Supp Consol'!AA:AA,'Supp Consol'!Z:Z,"Expires this month",'Supp Consol'!A:A,O925))</f>
        <v/>
      </c>
      <c r="AJ925" s="25" t="str">
        <f>IF(SUMIFS('Supp Consol'!AA:AA,'Supp Consol'!Z:Z,"Expired Previous Months",'Supp Consol'!A:A,O925)=0,"",SUMIFS('Supp Consol'!AA:AA,'Supp Consol'!Z:Z,"Expired Previous Months",'Supp Consol'!A:A,O925))</f>
        <v/>
      </c>
      <c r="AK925" s="25" t="str">
        <f>IFERROR(INDEX('Hun Release Current'!B:B,MATCH(O925,'Hun Release Current'!A:A,0)),"")</f>
        <v/>
      </c>
      <c r="AL925" s="25" t="str">
        <f>IF(SUMIF('Prev Aub'!A:A,O925,'Prev Aub'!B:B)=0,"",SUMIF('Prev Aub'!A:A,O925,'Prev Aub'!B:B))</f>
        <v/>
      </c>
      <c r="AN925" s="25" t="s">
        <v>3790</v>
      </c>
      <c r="AO925" s="25" t="s">
        <v>3790</v>
      </c>
      <c r="AP925" s="25">
        <f t="shared" si="398"/>
        <v>0</v>
      </c>
      <c r="AQ925" s="151" t="str">
        <f>IF(SUMIFS('Supp Consol'!S:S,'Supp Consol'!A:A,O925,'Supp Consol'!I:I,"PENDING")=0,"",SUMIFS('Supp Consol'!S:S,'Supp Consol'!A:A,O925,'Supp Consol'!I:I,"PENDING"))</f>
        <v/>
      </c>
      <c r="AR925" s="27" t="str">
        <f t="shared" si="399"/>
        <v>RE401</v>
      </c>
      <c r="AS925" s="27" t="str">
        <f t="shared" si="400"/>
        <v>50</v>
      </c>
      <c r="AT925" s="27" t="str">
        <f t="shared" si="401"/>
        <v/>
      </c>
      <c r="AU925" s="27" t="str">
        <f t="shared" si="402"/>
        <v/>
      </c>
      <c r="AV925" s="27" t="str">
        <f t="shared" si="403"/>
        <v/>
      </c>
      <c r="AW925" s="27" t="str">
        <f t="shared" si="404"/>
        <v/>
      </c>
      <c r="AX925" s="27" t="str">
        <f t="shared" si="405"/>
        <v/>
      </c>
      <c r="AY925" s="27" t="str">
        <f t="shared" si="406"/>
        <v/>
      </c>
      <c r="AZ925" s="27" t="str">
        <f t="shared" si="407"/>
        <v/>
      </c>
      <c r="BA925" s="27" t="str">
        <f t="shared" si="408"/>
        <v/>
      </c>
      <c r="BB925" s="27" t="str">
        <f t="shared" si="409"/>
        <v/>
      </c>
      <c r="BC925" s="27" t="str">
        <f t="shared" si="410"/>
        <v/>
      </c>
      <c r="BD925" s="27" t="str">
        <f t="shared" si="411"/>
        <v/>
      </c>
      <c r="BE925" s="27" t="str">
        <f t="shared" si="412"/>
        <v/>
      </c>
      <c r="BF925" s="27" t="str">
        <f t="shared" si="413"/>
        <v/>
      </c>
      <c r="BG925" s="27" t="str">
        <f t="shared" si="414"/>
        <v/>
      </c>
      <c r="BH925" s="27" t="str">
        <f t="shared" si="415"/>
        <v/>
      </c>
      <c r="BI925" s="27" t="str">
        <f t="shared" si="416"/>
        <v/>
      </c>
      <c r="BJ925" s="27" t="str">
        <f t="shared" si="417"/>
        <v/>
      </c>
      <c r="BK925" s="27" t="str">
        <f t="shared" si="418"/>
        <v/>
      </c>
      <c r="BL925" s="27" t="str">
        <f t="shared" si="419"/>
        <v/>
      </c>
      <c r="BM925" s="21" t="s">
        <v>3790</v>
      </c>
    </row>
    <row r="926" spans="1:65" ht="15">
      <c r="A926" s="25" t="str">
        <f>IFERROR(INDEX('Hun Demand'!W:W,MATCH(O926,'Hun Demand'!A:A,0)),"")</f>
        <v/>
      </c>
      <c r="B926" s="25" t="str">
        <f>IFERROR(INDEX('Hun Demand'!V:V,MATCH(O926,'Hun Demand'!A:A,0)),"")</f>
        <v/>
      </c>
      <c r="C926" s="25" t="str">
        <f>IFERROR(INDEX('Hun Demand'!U:U,MATCH(O926,'Hun Demand'!A:A,0)),"")</f>
        <v/>
      </c>
      <c r="D926" s="25" t="str">
        <f>IFERROR(INDEX('Hun Demand'!T:T,MATCH(O926,'Hun Demand'!A:A,0)),"")</f>
        <v/>
      </c>
      <c r="E926" s="25" t="str">
        <f>IFERROR(INDEX('Hun Demand'!S:S,MATCH(O926,'Hun Demand'!A:A,0)),"")</f>
        <v/>
      </c>
      <c r="F926" s="25" t="str">
        <f>IFERROR(INDEX('Hun Demand'!R:R,MATCH(O926,'Hun Demand'!A:A,0)),"")</f>
        <v/>
      </c>
      <c r="G926" s="25">
        <f>IFERROR(INDEX('Aub Demand'!W:W,MATCH(O926,'Aub Demand'!A:A,0)),"")</f>
        <v>0</v>
      </c>
      <c r="H926" s="25">
        <f>IFERROR(INDEX('Aub Demand'!V:V,MATCH(O926,'Aub Demand'!A:A,0)),"")</f>
        <v>0</v>
      </c>
      <c r="I926" s="25">
        <f>IFERROR(INDEX('Aub Demand'!U:U,MATCH(O926,'Aub Demand'!A:A,0)),"")</f>
        <v>0</v>
      </c>
      <c r="J926" s="25">
        <f>IFERROR(INDEX('Aub Demand'!T:T,MATCH(O926,'Aub Demand'!A:A,0)),"")</f>
        <v>0</v>
      </c>
      <c r="K926" s="25">
        <f>IFERROR(INDEX('Aub Demand'!S:S,MATCH(O926,'Aub Demand'!A:A,0)),"")</f>
        <v>0</v>
      </c>
      <c r="L926" s="25">
        <f>IFERROR(INDEX('Aub Demand'!R:R,MATCH(O926,'Aub Demand'!A:A,0)),"")</f>
        <v>0</v>
      </c>
      <c r="O926" s="27" t="s">
        <v>2464</v>
      </c>
      <c r="P926" s="27" t="str">
        <f>IFERROR(INDEX('Aub Demand'!B:B,MATCH($O926,'Aub Demand'!$A:$A,0)),"")</f>
        <v>RIO HAZE 50"</v>
      </c>
      <c r="Q926" s="27" t="str">
        <f>IFERROR(INDEX('Aub Demand'!C:C,MATCH($O926,'Aub Demand'!$A:$A,0)),"")</f>
        <v>DNP A</v>
      </c>
      <c r="R926" s="52">
        <f>IFERROR(IF(AR927=AR926,INDEX('Aub Demand'!K:K,MATCH($O926,'Aub Demand'!$A:$A,0))-IF(AN926="",0,AN926)+AP927,INDEX('Aub Demand'!K:K,MATCH($O926,'Aub Demand'!$A:$A,0))-IF(AN926="",0,AN926)),"")</f>
        <v>292</v>
      </c>
      <c r="S926" s="53" t="str">
        <f t="shared" si="392"/>
        <v>n/a</v>
      </c>
      <c r="T926" s="52" t="str">
        <f t="shared" si="393"/>
        <v/>
      </c>
      <c r="U926" s="52">
        <f>IFERROR(IF(AR927=AR926,INDEX('Aub Demand'!Q:Q,MATCH($O926,'Aub Demand'!$A:$A,0))-IF(AN926="",0,AN926)+AP927,INDEX('Aub Demand'!Q:Q,MATCH($O926,'Aub Demand'!$A:$A,0))-IF(AN926="",0,AN926)),"")</f>
        <v>292</v>
      </c>
      <c r="V926" s="53" t="str">
        <f t="shared" si="394"/>
        <v>n/a</v>
      </c>
      <c r="W926" s="52" t="str">
        <f t="shared" si="395"/>
        <v/>
      </c>
      <c r="X926" s="52">
        <f>IFERROR(IF(AND(AR927=AR926,AM926&lt;&gt;""),INDEX('Aub Demand'!Q:Q,MATCH($O926,'Aub Demand'!$A:$A,0))-IF(AN926="",0,AN926)+AP927+AD926+AL926,IF(AR927=AR926,INDEX('Aub Demand'!Q:Q,MATCH($O926,'Aub Demand'!$A:$A,0))-IF(AN926="",0,AN926)+AP927+AD926,IF(AM926&lt;&gt;"",INDEX('Aub Demand'!Q:Q,MATCH($O926,'Aub Demand'!$A:$A,0))-IF(AN926="",0,AN926)+AD926+AL926,INDEX('Aub Demand'!Q:Q,MATCH($O926,'Aub Demand'!$A:$A,0))-IF(AN926="",0,AN926)+AD926))),"")</f>
        <v>292</v>
      </c>
      <c r="Y926" s="53" t="str">
        <f t="shared" si="396"/>
        <v>n/a</v>
      </c>
      <c r="Z926" s="52">
        <f>IF(L926="","",INDEX('Aub Demand'!H:H,MATCH($O926,'Aub Demand'!$A:$A,0)))</f>
        <v>0</v>
      </c>
      <c r="AA926" s="52" t="str">
        <f t="shared" si="397"/>
        <v>-spike-</v>
      </c>
      <c r="AB926" s="52">
        <f>IFERROR(INDEX('Aub Demand'!L:L,MATCH($O926,'Aub Demand'!$A:$A,0)),"")</f>
        <v>0</v>
      </c>
      <c r="AC926" s="52">
        <f>IFERROR(IF(O926="","",SUMIFS('CPL Mats'!F:F,'CPL Mats'!Q:Q,AR926,'CPL Mats'!S:S,AS926)),"")</f>
        <v>0</v>
      </c>
      <c r="AF926" s="25" t="str">
        <f>IF(SUMIFS('Supp Consol'!S:S,'Supp Consol'!Y:Y,"Releasable",'Supp Consol'!A:A,O926)=0,"",SUMIFS('Supp Consol'!S:S,'Supp Consol'!Y:Y,"Releasable",'Supp Consol'!A:A,O926))</f>
        <v/>
      </c>
      <c r="AG926" s="25" t="str">
        <f>IFERROR(INDEX('Hun Demand'!Q:Q,MATCH(O926,'Hun Demand'!A:A,0)),"")</f>
        <v/>
      </c>
      <c r="AH926" s="25" t="str">
        <f>IFERROR(INDEX('Hun Demand'!H:H,MATCH($O926,'Hun Demand'!$A:$A,0)),"")</f>
        <v/>
      </c>
      <c r="AI926" s="25" t="str">
        <f>IF(SUMIFS('Supp Consol'!AA:AA,'Supp Consol'!Z:Z,"Expires this month",'Supp Consol'!A:A,O926)=0,"",SUMIFS('Supp Consol'!AA:AA,'Supp Consol'!Z:Z,"Expires this month",'Supp Consol'!A:A,O926))</f>
        <v/>
      </c>
      <c r="AJ926" s="25" t="str">
        <f>IF(SUMIFS('Supp Consol'!AA:AA,'Supp Consol'!Z:Z,"Expired Previous Months",'Supp Consol'!A:A,O926)=0,"",SUMIFS('Supp Consol'!AA:AA,'Supp Consol'!Z:Z,"Expired Previous Months",'Supp Consol'!A:A,O926))</f>
        <v/>
      </c>
      <c r="AK926" s="25" t="str">
        <f>IFERROR(INDEX('Hun Release Current'!B:B,MATCH(O926,'Hun Release Current'!A:A,0)),"")</f>
        <v/>
      </c>
      <c r="AL926" s="25" t="str">
        <f>IF(SUMIF('Prev Aub'!A:A,O926,'Prev Aub'!B:B)=0,"",SUMIF('Prev Aub'!A:A,O926,'Prev Aub'!B:B))</f>
        <v/>
      </c>
      <c r="AN926" s="25" t="s">
        <v>3790</v>
      </c>
      <c r="AO926" s="25" t="s">
        <v>3790</v>
      </c>
      <c r="AP926" s="25">
        <f t="shared" si="398"/>
        <v>0</v>
      </c>
      <c r="AQ926" s="151" t="str">
        <f>IF(SUMIFS('Supp Consol'!S:S,'Supp Consol'!A:A,O926,'Supp Consol'!I:I,"PENDING")=0,"",SUMIFS('Supp Consol'!S:S,'Supp Consol'!A:A,O926,'Supp Consol'!I:I,"PENDING"))</f>
        <v/>
      </c>
      <c r="AR926" s="27" t="str">
        <f t="shared" si="399"/>
        <v>RG601</v>
      </c>
      <c r="AS926" s="27" t="str">
        <f t="shared" si="400"/>
        <v>50</v>
      </c>
      <c r="AT926" s="27" t="str">
        <f t="shared" si="401"/>
        <v/>
      </c>
      <c r="AU926" s="27" t="str">
        <f t="shared" si="402"/>
        <v/>
      </c>
      <c r="AV926" s="27" t="str">
        <f t="shared" si="403"/>
        <v/>
      </c>
      <c r="AW926" s="27" t="str">
        <f t="shared" si="404"/>
        <v/>
      </c>
      <c r="AX926" s="27" t="str">
        <f t="shared" si="405"/>
        <v/>
      </c>
      <c r="AY926" s="27" t="str">
        <f t="shared" si="406"/>
        <v/>
      </c>
      <c r="AZ926" s="27" t="str">
        <f t="shared" si="407"/>
        <v/>
      </c>
      <c r="BA926" s="27" t="str">
        <f t="shared" si="408"/>
        <v/>
      </c>
      <c r="BB926" s="27" t="str">
        <f t="shared" si="409"/>
        <v/>
      </c>
      <c r="BC926" s="27" t="str">
        <f t="shared" si="410"/>
        <v/>
      </c>
      <c r="BD926" s="27" t="str">
        <f t="shared" si="411"/>
        <v/>
      </c>
      <c r="BE926" s="27" t="str">
        <f t="shared" si="412"/>
        <v/>
      </c>
      <c r="BF926" s="27" t="str">
        <f t="shared" si="413"/>
        <v/>
      </c>
      <c r="BG926" s="27" t="str">
        <f t="shared" si="414"/>
        <v/>
      </c>
      <c r="BH926" s="27" t="str">
        <f t="shared" si="415"/>
        <v/>
      </c>
      <c r="BI926" s="27" t="str">
        <f t="shared" si="416"/>
        <v/>
      </c>
      <c r="BJ926" s="27" t="str">
        <f t="shared" si="417"/>
        <v/>
      </c>
      <c r="BK926" s="27" t="str">
        <f t="shared" si="418"/>
        <v/>
      </c>
      <c r="BL926" s="27" t="str">
        <f t="shared" si="419"/>
        <v/>
      </c>
      <c r="BM926" s="21" t="s">
        <v>3790</v>
      </c>
    </row>
    <row r="927" spans="1:65" ht="15">
      <c r="A927" s="25" t="str">
        <f>IFERROR(INDEX('Hun Demand'!W:W,MATCH(O927,'Hun Demand'!A:A,0)),"")</f>
        <v/>
      </c>
      <c r="B927" s="25" t="str">
        <f>IFERROR(INDEX('Hun Demand'!V:V,MATCH(O927,'Hun Demand'!A:A,0)),"")</f>
        <v/>
      </c>
      <c r="C927" s="25" t="str">
        <f>IFERROR(INDEX('Hun Demand'!U:U,MATCH(O927,'Hun Demand'!A:A,0)),"")</f>
        <v/>
      </c>
      <c r="D927" s="25" t="str">
        <f>IFERROR(INDEX('Hun Demand'!T:T,MATCH(O927,'Hun Demand'!A:A,0)),"")</f>
        <v/>
      </c>
      <c r="E927" s="25" t="str">
        <f>IFERROR(INDEX('Hun Demand'!S:S,MATCH(O927,'Hun Demand'!A:A,0)),"")</f>
        <v/>
      </c>
      <c r="F927" s="25" t="str">
        <f>IFERROR(INDEX('Hun Demand'!R:R,MATCH(O927,'Hun Demand'!A:A,0)),"")</f>
        <v/>
      </c>
      <c r="G927" s="25">
        <f>IFERROR(INDEX('Aub Demand'!W:W,MATCH(O927,'Aub Demand'!A:A,0)),"")</f>
        <v>17</v>
      </c>
      <c r="H927" s="25">
        <f>IFERROR(INDEX('Aub Demand'!V:V,MATCH(O927,'Aub Demand'!A:A,0)),"")</f>
        <v>52</v>
      </c>
      <c r="I927" s="25">
        <f>IFERROR(INDEX('Aub Demand'!U:U,MATCH(O927,'Aub Demand'!A:A,0)),"")</f>
        <v>16</v>
      </c>
      <c r="J927" s="25">
        <f>IFERROR(INDEX('Aub Demand'!T:T,MATCH(O927,'Aub Demand'!A:A,0)),"")</f>
        <v>56</v>
      </c>
      <c r="K927" s="25">
        <f>IFERROR(INDEX('Aub Demand'!S:S,MATCH(O927,'Aub Demand'!A:A,0)),"")</f>
        <v>85</v>
      </c>
      <c r="L927" s="25">
        <f>IFERROR(INDEX('Aub Demand'!R:R,MATCH(O927,'Aub Demand'!A:A,0)),"")</f>
        <v>0</v>
      </c>
      <c r="O927" s="27" t="s">
        <v>2466</v>
      </c>
      <c r="P927" s="27" t="str">
        <f>IFERROR(INDEX('Aub Demand'!B:B,MATCH($O927,'Aub Demand'!$A:$A,0)),"")</f>
        <v>CLASSIC ROCK 48"</v>
      </c>
      <c r="Q927" s="27" t="str">
        <f>IFERROR(INDEX('Aub Demand'!C:C,MATCH($O927,'Aub Demand'!$A:$A,0)),"")</f>
        <v>DNP A</v>
      </c>
      <c r="R927" s="52">
        <f>IFERROR(IF(AR928=AR927,INDEX('Aub Demand'!K:K,MATCH($O927,'Aub Demand'!$A:$A,0))-IF(AN927="",0,AN927)+AP928,INDEX('Aub Demand'!K:K,MATCH($O927,'Aub Demand'!$A:$A,0))-IF(AN927="",0,AN927)),"")</f>
        <v>0</v>
      </c>
      <c r="S927" s="53">
        <f t="shared" si="392"/>
        <v>0</v>
      </c>
      <c r="T927" s="52">
        <f t="shared" si="393"/>
        <v>52.875</v>
      </c>
      <c r="U927" s="52">
        <f>IFERROR(IF(AR928=AR927,INDEX('Aub Demand'!Q:Q,MATCH($O927,'Aub Demand'!$A:$A,0))-IF(AN927="",0,AN927)+AP928,INDEX('Aub Demand'!Q:Q,MATCH($O927,'Aub Demand'!$A:$A,0))-IF(AN927="",0,AN927)),"")</f>
        <v>0</v>
      </c>
      <c r="V927" s="53">
        <f t="shared" si="394"/>
        <v>0</v>
      </c>
      <c r="W927" s="52">
        <f t="shared" si="395"/>
        <v>52.875</v>
      </c>
      <c r="X927" s="52">
        <f>IFERROR(IF(AND(AR928=AR927,AM927&lt;&gt;""),INDEX('Aub Demand'!Q:Q,MATCH($O927,'Aub Demand'!$A:$A,0))-IF(AN927="",0,AN927)+AP928+AD927+AL927,IF(AR928=AR927,INDEX('Aub Demand'!Q:Q,MATCH($O927,'Aub Demand'!$A:$A,0))-IF(AN927="",0,AN927)+AP928+AD927,IF(AM927&lt;&gt;"",INDEX('Aub Demand'!Q:Q,MATCH($O927,'Aub Demand'!$A:$A,0))-IF(AN927="",0,AN927)+AD927+AL927,INDEX('Aub Demand'!Q:Q,MATCH($O927,'Aub Demand'!$A:$A,0))-IF(AN927="",0,AN927)+AD927))),"")</f>
        <v>0</v>
      </c>
      <c r="Y927" s="53">
        <f t="shared" si="396"/>
        <v>0</v>
      </c>
      <c r="Z927" s="52">
        <f>IF(L927="","",INDEX('Aub Demand'!H:H,MATCH($O927,'Aub Demand'!$A:$A,0)))</f>
        <v>52</v>
      </c>
      <c r="AA927" s="52">
        <f t="shared" si="397"/>
        <v>70.5</v>
      </c>
      <c r="AB927" s="52">
        <f>IFERROR(INDEX('Aub Demand'!L:L,MATCH($O927,'Aub Demand'!$A:$A,0)),"")</f>
        <v>50</v>
      </c>
      <c r="AC927" s="52">
        <f>IFERROR(IF(O927="","",SUMIFS('CPL Mats'!F:F,'CPL Mats'!Q:Q,AR927,'CPL Mats'!S:S,AS927)),"")</f>
        <v>0</v>
      </c>
      <c r="AF927" s="25" t="str">
        <f>IF(SUMIFS('Supp Consol'!S:S,'Supp Consol'!Y:Y,"Releasable",'Supp Consol'!A:A,O927)=0,"",SUMIFS('Supp Consol'!S:S,'Supp Consol'!Y:Y,"Releasable",'Supp Consol'!A:A,O927))</f>
        <v/>
      </c>
      <c r="AG927" s="25" t="str">
        <f>IFERROR(INDEX('Hun Demand'!Q:Q,MATCH(O927,'Hun Demand'!A:A,0)),"")</f>
        <v/>
      </c>
      <c r="AH927" s="25" t="str">
        <f>IFERROR(INDEX('Hun Demand'!H:H,MATCH($O927,'Hun Demand'!$A:$A,0)),"")</f>
        <v/>
      </c>
      <c r="AI927" s="25" t="str">
        <f>IF(SUMIFS('Supp Consol'!AA:AA,'Supp Consol'!Z:Z,"Expires this month",'Supp Consol'!A:A,O927)=0,"",SUMIFS('Supp Consol'!AA:AA,'Supp Consol'!Z:Z,"Expires this month",'Supp Consol'!A:A,O927))</f>
        <v/>
      </c>
      <c r="AJ927" s="25" t="str">
        <f>IF(SUMIFS('Supp Consol'!AA:AA,'Supp Consol'!Z:Z,"Expired Previous Months",'Supp Consol'!A:A,O927)=0,"",SUMIFS('Supp Consol'!AA:AA,'Supp Consol'!Z:Z,"Expired Previous Months",'Supp Consol'!A:A,O927))</f>
        <v/>
      </c>
      <c r="AK927" s="25" t="str">
        <f>IFERROR(INDEX('Hun Release Current'!B:B,MATCH(O927,'Hun Release Current'!A:A,0)),"")</f>
        <v/>
      </c>
      <c r="AL927" s="25" t="str">
        <f>IF(SUMIF('Prev Aub'!A:A,O927,'Prev Aub'!B:B)=0,"",SUMIF('Prev Aub'!A:A,O927,'Prev Aub'!B:B))</f>
        <v/>
      </c>
      <c r="AN927" s="25" t="s">
        <v>3790</v>
      </c>
      <c r="AO927" s="25" t="s">
        <v>3790</v>
      </c>
      <c r="AP927" s="25">
        <f t="shared" si="398"/>
        <v>0</v>
      </c>
      <c r="AQ927" s="151" t="str">
        <f>IF(SUMIFS('Supp Consol'!S:S,'Supp Consol'!A:A,O927,'Supp Consol'!I:I,"PENDING")=0,"",SUMIFS('Supp Consol'!S:S,'Supp Consol'!A:A,O927,'Supp Consol'!I:I,"PENDING"))</f>
        <v/>
      </c>
      <c r="AR927" s="27" t="str">
        <f t="shared" si="399"/>
        <v>RK201</v>
      </c>
      <c r="AS927" s="27" t="str">
        <f t="shared" si="400"/>
        <v>50</v>
      </c>
      <c r="AT927" s="27" t="str">
        <f t="shared" si="401"/>
        <v>RK201</v>
      </c>
      <c r="AU927" s="27" t="str">
        <f t="shared" si="402"/>
        <v>RK201</v>
      </c>
      <c r="AV927" s="27" t="str">
        <f t="shared" si="403"/>
        <v>RK201</v>
      </c>
      <c r="AW927" s="27" t="str">
        <f t="shared" si="404"/>
        <v/>
      </c>
      <c r="AX927" s="27" t="str">
        <f t="shared" si="405"/>
        <v/>
      </c>
      <c r="AY927" s="27" t="str">
        <f t="shared" si="406"/>
        <v/>
      </c>
      <c r="AZ927" s="27" t="str">
        <f t="shared" si="407"/>
        <v/>
      </c>
      <c r="BA927" s="27" t="str">
        <f t="shared" si="408"/>
        <v/>
      </c>
      <c r="BB927" s="27" t="str">
        <f t="shared" si="409"/>
        <v>Gross</v>
      </c>
      <c r="BC927" s="27" t="str">
        <f t="shared" si="410"/>
        <v>Net</v>
      </c>
      <c r="BD927" s="27" t="str">
        <f t="shared" si="411"/>
        <v>Net</v>
      </c>
      <c r="BE927" s="27" t="str">
        <f t="shared" si="412"/>
        <v/>
      </c>
      <c r="BF927" s="27" t="str">
        <f t="shared" si="413"/>
        <v/>
      </c>
      <c r="BG927" s="27" t="str">
        <f t="shared" si="414"/>
        <v/>
      </c>
      <c r="BH927" s="27" t="str">
        <f t="shared" si="415"/>
        <v/>
      </c>
      <c r="BI927" s="27" t="str">
        <f t="shared" si="416"/>
        <v/>
      </c>
      <c r="BJ927" s="27" t="str">
        <f t="shared" si="417"/>
        <v/>
      </c>
      <c r="BK927" s="27" t="str">
        <f t="shared" si="418"/>
        <v/>
      </c>
      <c r="BL927" s="27" t="str">
        <f t="shared" si="419"/>
        <v/>
      </c>
      <c r="BM927" s="21" t="s">
        <v>5581</v>
      </c>
    </row>
    <row r="928" spans="1:65" ht="15">
      <c r="A928" s="25" t="str">
        <f>IFERROR(INDEX('Hun Demand'!W:W,MATCH(O928,'Hun Demand'!A:A,0)),"")</f>
        <v/>
      </c>
      <c r="B928" s="25" t="str">
        <f>IFERROR(INDEX('Hun Demand'!V:V,MATCH(O928,'Hun Demand'!A:A,0)),"")</f>
        <v/>
      </c>
      <c r="C928" s="25" t="str">
        <f>IFERROR(INDEX('Hun Demand'!U:U,MATCH(O928,'Hun Demand'!A:A,0)),"")</f>
        <v/>
      </c>
      <c r="D928" s="25" t="str">
        <f>IFERROR(INDEX('Hun Demand'!T:T,MATCH(O928,'Hun Demand'!A:A,0)),"")</f>
        <v/>
      </c>
      <c r="E928" s="25" t="str">
        <f>IFERROR(INDEX('Hun Demand'!S:S,MATCH(O928,'Hun Demand'!A:A,0)),"")</f>
        <v/>
      </c>
      <c r="F928" s="25" t="str">
        <f>IFERROR(INDEX('Hun Demand'!R:R,MATCH(O928,'Hun Demand'!A:A,0)),"")</f>
        <v/>
      </c>
      <c r="G928" s="25">
        <f>IFERROR(INDEX('Aub Demand'!W:W,MATCH(O928,'Aub Demand'!A:A,0)),"")</f>
        <v>150</v>
      </c>
      <c r="H928" s="25">
        <f>IFERROR(INDEX('Aub Demand'!V:V,MATCH(O928,'Aub Demand'!A:A,0)),"")</f>
        <v>189</v>
      </c>
      <c r="I928" s="25">
        <f>IFERROR(INDEX('Aub Demand'!U:U,MATCH(O928,'Aub Demand'!A:A,0)),"")</f>
        <v>98</v>
      </c>
      <c r="J928" s="25">
        <f>IFERROR(INDEX('Aub Demand'!T:T,MATCH(O928,'Aub Demand'!A:A,0)),"")</f>
        <v>0</v>
      </c>
      <c r="K928" s="25">
        <f>IFERROR(INDEX('Aub Demand'!S:S,MATCH(O928,'Aub Demand'!A:A,0)),"")</f>
        <v>108</v>
      </c>
      <c r="L928" s="25">
        <f>IFERROR(INDEX('Aub Demand'!R:R,MATCH(O928,'Aub Demand'!A:A,0)),"")</f>
        <v>0</v>
      </c>
      <c r="O928" s="27" t="s">
        <v>2468</v>
      </c>
      <c r="P928" s="27" t="str">
        <f>IFERROR(INDEX('Aub Demand'!B:B,MATCH($O928,'Aub Demand'!$A:$A,0)),"")</f>
        <v>CLASSIC ROCK 60"</v>
      </c>
      <c r="Q928" s="27" t="str">
        <f>IFERROR(INDEX('Aub Demand'!C:C,MATCH($O928,'Aub Demand'!$A:$A,0)),"")</f>
        <v>DNP A</v>
      </c>
      <c r="R928" s="52">
        <f>IFERROR(IF(AR929=AR928,INDEX('Aub Demand'!K:K,MATCH($O928,'Aub Demand'!$A:$A,0))-IF(AN928="",0,AN928)+AP929,INDEX('Aub Demand'!K:K,MATCH($O928,'Aub Demand'!$A:$A,0))-IF(AN928="",0,AN928)),"")</f>
        <v>1204</v>
      </c>
      <c r="S928" s="53">
        <f t="shared" si="392"/>
        <v>74.8</v>
      </c>
      <c r="T928" s="52" t="str">
        <f t="shared" si="393"/>
        <v/>
      </c>
      <c r="U928" s="52">
        <f>IFERROR(IF(AR929=AR928,INDEX('Aub Demand'!Q:Q,MATCH($O928,'Aub Demand'!$A:$A,0))-IF(AN928="",0,AN928)+AP929,INDEX('Aub Demand'!Q:Q,MATCH($O928,'Aub Demand'!$A:$A,0))-IF(AN928="",0,AN928)),"")</f>
        <v>1167</v>
      </c>
      <c r="V928" s="53">
        <f t="shared" si="394"/>
        <v>72.5</v>
      </c>
      <c r="W928" s="52" t="str">
        <f t="shared" si="395"/>
        <v/>
      </c>
      <c r="X928" s="52">
        <f>IFERROR(IF(AND(AR929=AR928,AM928&lt;&gt;""),INDEX('Aub Demand'!Q:Q,MATCH($O928,'Aub Demand'!$A:$A,0))-IF(AN928="",0,AN928)+AP929+AD928+AL928,IF(AR929=AR928,INDEX('Aub Demand'!Q:Q,MATCH($O928,'Aub Demand'!$A:$A,0))-IF(AN928="",0,AN928)+AP929+AD928,IF(AM928&lt;&gt;"",INDEX('Aub Demand'!Q:Q,MATCH($O928,'Aub Demand'!$A:$A,0))-IF(AN928="",0,AN928)+AD928+AL928,INDEX('Aub Demand'!Q:Q,MATCH($O928,'Aub Demand'!$A:$A,0))-IF(AN928="",0,AN928)+AD928))),"")</f>
        <v>1167</v>
      </c>
      <c r="Y928" s="53">
        <f t="shared" si="396"/>
        <v>72.5</v>
      </c>
      <c r="Z928" s="52">
        <f>IF(L928="","",INDEX('Aub Demand'!H:H,MATCH($O928,'Aub Demand'!$A:$A,0)))</f>
        <v>69</v>
      </c>
      <c r="AA928" s="52">
        <f t="shared" si="397"/>
        <v>103</v>
      </c>
      <c r="AB928" s="52">
        <f>IFERROR(INDEX('Aub Demand'!L:L,MATCH($O928,'Aub Demand'!$A:$A,0)),"")</f>
        <v>132</v>
      </c>
      <c r="AC928" s="52">
        <f>IFERROR(IF(O928="","",SUMIFS('CPL Mats'!F:F,'CPL Mats'!Q:Q,AR928,'CPL Mats'!S:S,AS928)),"")</f>
        <v>0</v>
      </c>
      <c r="AF928" s="25" t="str">
        <f>IF(SUMIFS('Supp Consol'!S:S,'Supp Consol'!Y:Y,"Releasable",'Supp Consol'!A:A,O928)=0,"",SUMIFS('Supp Consol'!S:S,'Supp Consol'!Y:Y,"Releasable",'Supp Consol'!A:A,O928))</f>
        <v/>
      </c>
      <c r="AG928" s="25" t="str">
        <f>IFERROR(INDEX('Hun Demand'!Q:Q,MATCH(O928,'Hun Demand'!A:A,0)),"")</f>
        <v/>
      </c>
      <c r="AH928" s="25" t="str">
        <f>IFERROR(INDEX('Hun Demand'!H:H,MATCH($O928,'Hun Demand'!$A:$A,0)),"")</f>
        <v/>
      </c>
      <c r="AI928" s="25" t="str">
        <f>IF(SUMIFS('Supp Consol'!AA:AA,'Supp Consol'!Z:Z,"Expires this month",'Supp Consol'!A:A,O928)=0,"",SUMIFS('Supp Consol'!AA:AA,'Supp Consol'!Z:Z,"Expires this month",'Supp Consol'!A:A,O928))</f>
        <v/>
      </c>
      <c r="AJ928" s="25" t="str">
        <f>IF(SUMIFS('Supp Consol'!AA:AA,'Supp Consol'!Z:Z,"Expired Previous Months",'Supp Consol'!A:A,O928)=0,"",SUMIFS('Supp Consol'!AA:AA,'Supp Consol'!Z:Z,"Expired Previous Months",'Supp Consol'!A:A,O928))</f>
        <v/>
      </c>
      <c r="AK928" s="25" t="str">
        <f>IFERROR(INDEX('Hun Release Current'!B:B,MATCH(O928,'Hun Release Current'!A:A,0)),"")</f>
        <v/>
      </c>
      <c r="AL928" s="25" t="str">
        <f>IF(SUMIF('Prev Aub'!A:A,O928,'Prev Aub'!B:B)=0,"",SUMIF('Prev Aub'!A:A,O928,'Prev Aub'!B:B))</f>
        <v/>
      </c>
      <c r="AN928" s="25" t="s">
        <v>3790</v>
      </c>
      <c r="AO928" s="25" t="s">
        <v>3790</v>
      </c>
      <c r="AP928" s="25">
        <f t="shared" si="398"/>
        <v>0</v>
      </c>
      <c r="AQ928" s="151" t="str">
        <f>IF(SUMIFS('Supp Consol'!S:S,'Supp Consol'!A:A,O928,'Supp Consol'!I:I,"PENDING")=0,"",SUMIFS('Supp Consol'!S:S,'Supp Consol'!A:A,O928,'Supp Consol'!I:I,"PENDING"))</f>
        <v/>
      </c>
      <c r="AR928" s="27" t="str">
        <f t="shared" si="399"/>
        <v>RK201</v>
      </c>
      <c r="AS928" s="27" t="str">
        <f t="shared" si="400"/>
        <v>62</v>
      </c>
      <c r="AT928" s="27" t="str">
        <f t="shared" si="401"/>
        <v/>
      </c>
      <c r="AU928" s="27" t="str">
        <f t="shared" si="402"/>
        <v/>
      </c>
      <c r="AV928" s="27" t="str">
        <f t="shared" si="403"/>
        <v/>
      </c>
      <c r="AW928" s="27" t="str">
        <f t="shared" si="404"/>
        <v/>
      </c>
      <c r="AX928" s="27" t="str">
        <f t="shared" si="405"/>
        <v/>
      </c>
      <c r="AY928" s="27" t="str">
        <f t="shared" si="406"/>
        <v/>
      </c>
      <c r="AZ928" s="27" t="str">
        <f t="shared" si="407"/>
        <v/>
      </c>
      <c r="BA928" s="27" t="str">
        <f t="shared" si="408"/>
        <v/>
      </c>
      <c r="BB928" s="27" t="str">
        <f t="shared" si="409"/>
        <v>Gross</v>
      </c>
      <c r="BC928" s="27" t="str">
        <f t="shared" si="410"/>
        <v>Net</v>
      </c>
      <c r="BD928" s="27" t="str">
        <f t="shared" si="411"/>
        <v>Net</v>
      </c>
      <c r="BE928" s="27" t="str">
        <f t="shared" si="412"/>
        <v/>
      </c>
      <c r="BF928" s="27" t="str">
        <f t="shared" si="413"/>
        <v/>
      </c>
      <c r="BG928" s="27" t="str">
        <f t="shared" si="414"/>
        <v/>
      </c>
      <c r="BH928" s="27" t="str">
        <f t="shared" si="415"/>
        <v/>
      </c>
      <c r="BI928" s="27" t="str">
        <f t="shared" si="416"/>
        <v/>
      </c>
      <c r="BJ928" s="27" t="str">
        <f t="shared" si="417"/>
        <v/>
      </c>
      <c r="BK928" s="27" t="str">
        <f t="shared" si="418"/>
        <v/>
      </c>
      <c r="BL928" s="27" t="str">
        <f t="shared" si="419"/>
        <v/>
      </c>
      <c r="BM928" s="21" t="s">
        <v>5581</v>
      </c>
    </row>
    <row r="929" spans="1:65" ht="15">
      <c r="A929" s="25" t="str">
        <f>IFERROR(INDEX('Hun Demand'!W:W,MATCH(O929,'Hun Demand'!A:A,0)),"")</f>
        <v/>
      </c>
      <c r="B929" s="25" t="str">
        <f>IFERROR(INDEX('Hun Demand'!V:V,MATCH(O929,'Hun Demand'!A:A,0)),"")</f>
        <v/>
      </c>
      <c r="C929" s="25" t="str">
        <f>IFERROR(INDEX('Hun Demand'!U:U,MATCH(O929,'Hun Demand'!A:A,0)),"")</f>
        <v/>
      </c>
      <c r="D929" s="25" t="str">
        <f>IFERROR(INDEX('Hun Demand'!T:T,MATCH(O929,'Hun Demand'!A:A,0)),"")</f>
        <v/>
      </c>
      <c r="E929" s="25" t="str">
        <f>IFERROR(INDEX('Hun Demand'!S:S,MATCH(O929,'Hun Demand'!A:A,0)),"")</f>
        <v/>
      </c>
      <c r="F929" s="25" t="str">
        <f>IFERROR(INDEX('Hun Demand'!R:R,MATCH(O929,'Hun Demand'!A:A,0)),"")</f>
        <v/>
      </c>
      <c r="G929" s="25">
        <f>IFERROR(INDEX('Aub Demand'!W:W,MATCH(O929,'Aub Demand'!A:A,0)),"")</f>
        <v>0</v>
      </c>
      <c r="H929" s="25">
        <f>IFERROR(INDEX('Aub Demand'!V:V,MATCH(O929,'Aub Demand'!A:A,0)),"")</f>
        <v>25</v>
      </c>
      <c r="I929" s="25">
        <f>IFERROR(INDEX('Aub Demand'!U:U,MATCH(O929,'Aub Demand'!A:A,0)),"")</f>
        <v>15</v>
      </c>
      <c r="J929" s="25">
        <f>IFERROR(INDEX('Aub Demand'!T:T,MATCH(O929,'Aub Demand'!A:A,0)),"")</f>
        <v>0</v>
      </c>
      <c r="K929" s="25">
        <f>IFERROR(INDEX('Aub Demand'!S:S,MATCH(O929,'Aub Demand'!A:A,0)),"")</f>
        <v>0</v>
      </c>
      <c r="L929" s="25">
        <f>IFERROR(INDEX('Aub Demand'!R:R,MATCH(O929,'Aub Demand'!A:A,0)),"")</f>
        <v>0</v>
      </c>
      <c r="O929" s="27" t="s">
        <v>2470</v>
      </c>
      <c r="P929" s="27" t="str">
        <f>IFERROR(INDEX('Aub Demand'!B:B,MATCH($O929,'Aub Demand'!$A:$A,0)),"")</f>
        <v>ROLLIN' ROCK 48"</v>
      </c>
      <c r="Q929" s="27" t="str">
        <f>IFERROR(INDEX('Aub Demand'!C:C,MATCH($O929,'Aub Demand'!$A:$A,0)),"")</f>
        <v>DNP A</v>
      </c>
      <c r="R929" s="52">
        <f>IFERROR(IF(AR930=AR929,INDEX('Aub Demand'!K:K,MATCH($O929,'Aub Demand'!$A:$A,0))-IF(AN929="",0,AN929)+AP930,INDEX('Aub Demand'!K:K,MATCH($O929,'Aub Demand'!$A:$A,0))-IF(AN929="",0,AN929)),"")</f>
        <v>151</v>
      </c>
      <c r="S929" s="53">
        <f t="shared" si="392"/>
        <v>129.4</v>
      </c>
      <c r="T929" s="52" t="str">
        <f t="shared" si="393"/>
        <v/>
      </c>
      <c r="U929" s="52">
        <f>IFERROR(IF(AR930=AR929,INDEX('Aub Demand'!Q:Q,MATCH($O929,'Aub Demand'!$A:$A,0))-IF(AN929="",0,AN929)+AP930,INDEX('Aub Demand'!Q:Q,MATCH($O929,'Aub Demand'!$A:$A,0))-IF(AN929="",0,AN929)),"")</f>
        <v>151</v>
      </c>
      <c r="V929" s="53">
        <f t="shared" si="394"/>
        <v>129.4</v>
      </c>
      <c r="W929" s="52" t="str">
        <f t="shared" si="395"/>
        <v/>
      </c>
      <c r="X929" s="52">
        <f>IFERROR(IF(AND(AR930=AR929,AM929&lt;&gt;""),INDEX('Aub Demand'!Q:Q,MATCH($O929,'Aub Demand'!$A:$A,0))-IF(AN929="",0,AN929)+AP930+AD929+AL929,IF(AR930=AR929,INDEX('Aub Demand'!Q:Q,MATCH($O929,'Aub Demand'!$A:$A,0))-IF(AN929="",0,AN929)+AP930+AD929,IF(AM929&lt;&gt;"",INDEX('Aub Demand'!Q:Q,MATCH($O929,'Aub Demand'!$A:$A,0))-IF(AN929="",0,AN929)+AD929+AL929,INDEX('Aub Demand'!Q:Q,MATCH($O929,'Aub Demand'!$A:$A,0))-IF(AN929="",0,AN929)+AD929))),"")</f>
        <v>151</v>
      </c>
      <c r="Y929" s="53">
        <f t="shared" si="396"/>
        <v>129.4</v>
      </c>
      <c r="Z929" s="52">
        <f>IF(L929="","",INDEX('Aub Demand'!H:H,MATCH($O929,'Aub Demand'!$A:$A,0)))</f>
        <v>5</v>
      </c>
      <c r="AA929" s="52" t="str">
        <f t="shared" si="397"/>
        <v>-spike-</v>
      </c>
      <c r="AB929" s="52">
        <f>IFERROR(INDEX('Aub Demand'!L:L,MATCH($O929,'Aub Demand'!$A:$A,0)),"")</f>
        <v>0</v>
      </c>
      <c r="AC929" s="52">
        <f>IFERROR(IF(O929="","",SUMIFS('CPL Mats'!F:F,'CPL Mats'!Q:Q,AR929,'CPL Mats'!S:S,AS929)),"")</f>
        <v>0</v>
      </c>
      <c r="AF929" s="25" t="str">
        <f>IF(SUMIFS('Supp Consol'!S:S,'Supp Consol'!Y:Y,"Releasable",'Supp Consol'!A:A,O929)=0,"",SUMIFS('Supp Consol'!S:S,'Supp Consol'!Y:Y,"Releasable",'Supp Consol'!A:A,O929))</f>
        <v/>
      </c>
      <c r="AG929" s="25" t="str">
        <f>IFERROR(INDEX('Hun Demand'!Q:Q,MATCH(O929,'Hun Demand'!A:A,0)),"")</f>
        <v/>
      </c>
      <c r="AH929" s="25" t="str">
        <f>IFERROR(INDEX('Hun Demand'!H:H,MATCH($O929,'Hun Demand'!$A:$A,0)),"")</f>
        <v/>
      </c>
      <c r="AI929" s="25" t="str">
        <f>IF(SUMIFS('Supp Consol'!AA:AA,'Supp Consol'!Z:Z,"Expires this month",'Supp Consol'!A:A,O929)=0,"",SUMIFS('Supp Consol'!AA:AA,'Supp Consol'!Z:Z,"Expires this month",'Supp Consol'!A:A,O929))</f>
        <v/>
      </c>
      <c r="AJ929" s="25" t="str">
        <f>IF(SUMIFS('Supp Consol'!AA:AA,'Supp Consol'!Z:Z,"Expired Previous Months",'Supp Consol'!A:A,O929)=0,"",SUMIFS('Supp Consol'!AA:AA,'Supp Consol'!Z:Z,"Expired Previous Months",'Supp Consol'!A:A,O929))</f>
        <v/>
      </c>
      <c r="AK929" s="25" t="str">
        <f>IFERROR(INDEX('Hun Release Current'!B:B,MATCH(O929,'Hun Release Current'!A:A,0)),"")</f>
        <v/>
      </c>
      <c r="AL929" s="25" t="str">
        <f>IF(SUMIF('Prev Aub'!A:A,O929,'Prev Aub'!B:B)=0,"",SUMIF('Prev Aub'!A:A,O929,'Prev Aub'!B:B))</f>
        <v/>
      </c>
      <c r="AN929" s="25" t="s">
        <v>3790</v>
      </c>
      <c r="AO929" s="25" t="s">
        <v>3790</v>
      </c>
      <c r="AP929" s="25">
        <f t="shared" si="398"/>
        <v>0</v>
      </c>
      <c r="AQ929" s="151" t="str">
        <f>IF(SUMIFS('Supp Consol'!S:S,'Supp Consol'!A:A,O929,'Supp Consol'!I:I,"PENDING")=0,"",SUMIFS('Supp Consol'!S:S,'Supp Consol'!A:A,O929,'Supp Consol'!I:I,"PENDING"))</f>
        <v/>
      </c>
      <c r="AR929" s="27" t="str">
        <f t="shared" si="399"/>
        <v>RK202</v>
      </c>
      <c r="AS929" s="27" t="str">
        <f t="shared" si="400"/>
        <v>50</v>
      </c>
      <c r="AT929" s="27" t="str">
        <f t="shared" si="401"/>
        <v/>
      </c>
      <c r="AU929" s="27" t="str">
        <f t="shared" si="402"/>
        <v/>
      </c>
      <c r="AV929" s="27" t="str">
        <f t="shared" si="403"/>
        <v/>
      </c>
      <c r="AW929" s="27" t="str">
        <f t="shared" si="404"/>
        <v/>
      </c>
      <c r="AX929" s="27" t="str">
        <f t="shared" si="405"/>
        <v/>
      </c>
      <c r="AY929" s="27" t="str">
        <f t="shared" si="406"/>
        <v/>
      </c>
      <c r="AZ929" s="27" t="str">
        <f t="shared" si="407"/>
        <v>Supp</v>
      </c>
      <c r="BA929" s="27" t="str">
        <f t="shared" si="408"/>
        <v/>
      </c>
      <c r="BB929" s="27" t="str">
        <f t="shared" si="409"/>
        <v/>
      </c>
      <c r="BC929" s="27" t="str">
        <f t="shared" si="410"/>
        <v/>
      </c>
      <c r="BD929" s="27" t="str">
        <f t="shared" si="411"/>
        <v/>
      </c>
      <c r="BE929" s="27" t="str">
        <f t="shared" si="412"/>
        <v/>
      </c>
      <c r="BF929" s="27" t="str">
        <f t="shared" si="413"/>
        <v/>
      </c>
      <c r="BG929" s="27" t="str">
        <f t="shared" si="414"/>
        <v/>
      </c>
      <c r="BH929" s="27" t="str">
        <f t="shared" si="415"/>
        <v/>
      </c>
      <c r="BI929" s="27" t="str">
        <f t="shared" si="416"/>
        <v/>
      </c>
      <c r="BJ929" s="27" t="str">
        <f t="shared" si="417"/>
        <v>Supp or Hun</v>
      </c>
      <c r="BK929" s="27" t="str">
        <f t="shared" si="418"/>
        <v/>
      </c>
      <c r="BL929" s="27" t="str">
        <f t="shared" si="419"/>
        <v/>
      </c>
      <c r="BM929" s="21" t="s">
        <v>5581</v>
      </c>
    </row>
    <row r="930" spans="1:65" ht="15">
      <c r="A930" s="25" t="str">
        <f>IFERROR(INDEX('Hun Demand'!W:W,MATCH(O930,'Hun Demand'!A:A,0)),"")</f>
        <v/>
      </c>
      <c r="B930" s="25" t="str">
        <f>IFERROR(INDEX('Hun Demand'!V:V,MATCH(O930,'Hun Demand'!A:A,0)),"")</f>
        <v/>
      </c>
      <c r="C930" s="25" t="str">
        <f>IFERROR(INDEX('Hun Demand'!U:U,MATCH(O930,'Hun Demand'!A:A,0)),"")</f>
        <v/>
      </c>
      <c r="D930" s="25" t="str">
        <f>IFERROR(INDEX('Hun Demand'!T:T,MATCH(O930,'Hun Demand'!A:A,0)),"")</f>
        <v/>
      </c>
      <c r="E930" s="25" t="str">
        <f>IFERROR(INDEX('Hun Demand'!S:S,MATCH(O930,'Hun Demand'!A:A,0)),"")</f>
        <v/>
      </c>
      <c r="F930" s="25" t="str">
        <f>IFERROR(INDEX('Hun Demand'!R:R,MATCH(O930,'Hun Demand'!A:A,0)),"")</f>
        <v/>
      </c>
      <c r="G930" s="25">
        <f>IFERROR(INDEX('Aub Demand'!W:W,MATCH(O930,'Aub Demand'!A:A,0)),"")</f>
        <v>0</v>
      </c>
      <c r="H930" s="25">
        <f>IFERROR(INDEX('Aub Demand'!V:V,MATCH(O930,'Aub Demand'!A:A,0)),"")</f>
        <v>0</v>
      </c>
      <c r="I930" s="25">
        <f>IFERROR(INDEX('Aub Demand'!U:U,MATCH(O930,'Aub Demand'!A:A,0)),"")</f>
        <v>0</v>
      </c>
      <c r="J930" s="25">
        <f>IFERROR(INDEX('Aub Demand'!T:T,MATCH(O930,'Aub Demand'!A:A,0)),"")</f>
        <v>0</v>
      </c>
      <c r="K930" s="25">
        <f>IFERROR(INDEX('Aub Demand'!S:S,MATCH(O930,'Aub Demand'!A:A,0)),"")</f>
        <v>0</v>
      </c>
      <c r="L930" s="25">
        <f>IFERROR(INDEX('Aub Demand'!R:R,MATCH(O930,'Aub Demand'!A:A,0)),"")</f>
        <v>0</v>
      </c>
      <c r="O930" s="27" t="s">
        <v>2472</v>
      </c>
      <c r="P930" s="27" t="str">
        <f>IFERROR(INDEX('Aub Demand'!B:B,MATCH($O930,'Aub Demand'!$A:$A,0)),"")</f>
        <v>ROLLIN' ROCK 60"</v>
      </c>
      <c r="Q930" s="27" t="str">
        <f>IFERROR(INDEX('Aub Demand'!C:C,MATCH($O930,'Aub Demand'!$A:$A,0)),"")</f>
        <v>DNP A</v>
      </c>
      <c r="R930" s="52">
        <f>IFERROR(IF(AR931=AR930,INDEX('Aub Demand'!K:K,MATCH($O930,'Aub Demand'!$A:$A,0))-IF(AN930="",0,AN930)+AP931,INDEX('Aub Demand'!K:K,MATCH($O930,'Aub Demand'!$A:$A,0))-IF(AN930="",0,AN930)),"")</f>
        <v>723</v>
      </c>
      <c r="S930" s="53" t="str">
        <f t="shared" si="392"/>
        <v>n/a</v>
      </c>
      <c r="T930" s="52" t="str">
        <f t="shared" si="393"/>
        <v/>
      </c>
      <c r="U930" s="52">
        <f>IFERROR(IF(AR931=AR930,INDEX('Aub Demand'!Q:Q,MATCH($O930,'Aub Demand'!$A:$A,0))-IF(AN930="",0,AN930)+AP931,INDEX('Aub Demand'!Q:Q,MATCH($O930,'Aub Demand'!$A:$A,0))-IF(AN930="",0,AN930)),"")</f>
        <v>723</v>
      </c>
      <c r="V930" s="53" t="str">
        <f t="shared" si="394"/>
        <v>n/a</v>
      </c>
      <c r="W930" s="52" t="str">
        <f t="shared" si="395"/>
        <v/>
      </c>
      <c r="X930" s="52">
        <f>IFERROR(IF(AND(AR931=AR930,AM930&lt;&gt;""),INDEX('Aub Demand'!Q:Q,MATCH($O930,'Aub Demand'!$A:$A,0))-IF(AN930="",0,AN930)+AP931+AD930+AL930,IF(AR931=AR930,INDEX('Aub Demand'!Q:Q,MATCH($O930,'Aub Demand'!$A:$A,0))-IF(AN930="",0,AN930)+AP931+AD930,IF(AM930&lt;&gt;"",INDEX('Aub Demand'!Q:Q,MATCH($O930,'Aub Demand'!$A:$A,0))-IF(AN930="",0,AN930)+AD930+AL930,INDEX('Aub Demand'!Q:Q,MATCH($O930,'Aub Demand'!$A:$A,0))-IF(AN930="",0,AN930)+AD930))),"")</f>
        <v>723</v>
      </c>
      <c r="Y930" s="53" t="str">
        <f t="shared" si="396"/>
        <v>n/a</v>
      </c>
      <c r="Z930" s="52">
        <f>IF(L930="","",INDEX('Aub Demand'!H:H,MATCH($O930,'Aub Demand'!$A:$A,0)))</f>
        <v>0</v>
      </c>
      <c r="AA930" s="52" t="str">
        <f t="shared" si="397"/>
        <v>-spike-</v>
      </c>
      <c r="AB930" s="52">
        <f>IFERROR(INDEX('Aub Demand'!L:L,MATCH($O930,'Aub Demand'!$A:$A,0)),"")</f>
        <v>0</v>
      </c>
      <c r="AC930" s="52">
        <f>IFERROR(IF(O930="","",SUMIFS('CPL Mats'!F:F,'CPL Mats'!Q:Q,AR930,'CPL Mats'!S:S,AS930)),"")</f>
        <v>0</v>
      </c>
      <c r="AF930" s="25">
        <f>IF(SUMIFS('Supp Consol'!S:S,'Supp Consol'!Y:Y,"Releasable",'Supp Consol'!A:A,O930)=0,"",SUMIFS('Supp Consol'!S:S,'Supp Consol'!Y:Y,"Releasable",'Supp Consol'!A:A,O930))</f>
        <v>2568</v>
      </c>
      <c r="AG930" s="25" t="str">
        <f>IFERROR(INDEX('Hun Demand'!Q:Q,MATCH(O930,'Hun Demand'!A:A,0)),"")</f>
        <v/>
      </c>
      <c r="AH930" s="25" t="str">
        <f>IFERROR(INDEX('Hun Demand'!H:H,MATCH($O930,'Hun Demand'!$A:$A,0)),"")</f>
        <v/>
      </c>
      <c r="AI930" s="25" t="str">
        <f>IF(SUMIFS('Supp Consol'!AA:AA,'Supp Consol'!Z:Z,"Expires this month",'Supp Consol'!A:A,O930)=0,"",SUMIFS('Supp Consol'!AA:AA,'Supp Consol'!Z:Z,"Expires this month",'Supp Consol'!A:A,O930))</f>
        <v/>
      </c>
      <c r="AJ930" s="25" t="str">
        <f>IF(SUMIFS('Supp Consol'!AA:AA,'Supp Consol'!Z:Z,"Expired Previous Months",'Supp Consol'!A:A,O930)=0,"",SUMIFS('Supp Consol'!AA:AA,'Supp Consol'!Z:Z,"Expired Previous Months",'Supp Consol'!A:A,O930))</f>
        <v/>
      </c>
      <c r="AK930" s="25" t="str">
        <f>IFERROR(INDEX('Hun Release Current'!B:B,MATCH(O930,'Hun Release Current'!A:A,0)),"")</f>
        <v/>
      </c>
      <c r="AL930" s="25" t="str">
        <f>IF(SUMIF('Prev Aub'!A:A,O930,'Prev Aub'!B:B)=0,"",SUMIF('Prev Aub'!A:A,O930,'Prev Aub'!B:B))</f>
        <v/>
      </c>
      <c r="AN930" s="25" t="s">
        <v>3790</v>
      </c>
      <c r="AO930" s="25" t="s">
        <v>3790</v>
      </c>
      <c r="AP930" s="25">
        <f t="shared" si="398"/>
        <v>0</v>
      </c>
      <c r="AQ930" s="151" t="str">
        <f>IF(SUMIFS('Supp Consol'!S:S,'Supp Consol'!A:A,O930,'Supp Consol'!I:I,"PENDING")=0,"",SUMIFS('Supp Consol'!S:S,'Supp Consol'!A:A,O930,'Supp Consol'!I:I,"PENDING"))</f>
        <v/>
      </c>
      <c r="AR930" s="27" t="str">
        <f t="shared" si="399"/>
        <v>RK202</v>
      </c>
      <c r="AS930" s="27" t="str">
        <f t="shared" si="400"/>
        <v>62</v>
      </c>
      <c r="AT930" s="27" t="str">
        <f t="shared" si="401"/>
        <v/>
      </c>
      <c r="AU930" s="27" t="str">
        <f t="shared" si="402"/>
        <v/>
      </c>
      <c r="AV930" s="27" t="str">
        <f t="shared" si="403"/>
        <v/>
      </c>
      <c r="AW930" s="27" t="str">
        <f t="shared" si="404"/>
        <v/>
      </c>
      <c r="AX930" s="27" t="str">
        <f t="shared" si="405"/>
        <v>RK202</v>
      </c>
      <c r="AY930" s="27" t="str">
        <f t="shared" si="406"/>
        <v/>
      </c>
      <c r="AZ930" s="27" t="str">
        <f t="shared" si="407"/>
        <v>Supp</v>
      </c>
      <c r="BA930" s="27" t="str">
        <f t="shared" si="408"/>
        <v/>
      </c>
      <c r="BB930" s="27" t="str">
        <f t="shared" si="409"/>
        <v/>
      </c>
      <c r="BC930" s="27" t="str">
        <f t="shared" si="410"/>
        <v/>
      </c>
      <c r="BD930" s="27" t="str">
        <f t="shared" si="411"/>
        <v/>
      </c>
      <c r="BE930" s="27" t="str">
        <f t="shared" si="412"/>
        <v/>
      </c>
      <c r="BF930" s="27" t="str">
        <f t="shared" si="413"/>
        <v/>
      </c>
      <c r="BG930" s="27" t="str">
        <f t="shared" si="414"/>
        <v/>
      </c>
      <c r="BH930" s="27" t="str">
        <f t="shared" si="415"/>
        <v/>
      </c>
      <c r="BI930" s="27" t="str">
        <f t="shared" si="416"/>
        <v/>
      </c>
      <c r="BJ930" s="27" t="str">
        <f t="shared" si="417"/>
        <v>Supp or Hun</v>
      </c>
      <c r="BK930" s="27" t="str">
        <f t="shared" si="418"/>
        <v/>
      </c>
      <c r="BL930" s="27" t="str">
        <f t="shared" si="419"/>
        <v/>
      </c>
      <c r="BM930" s="21" t="s">
        <v>5581</v>
      </c>
    </row>
    <row r="931" spans="1:65" ht="15">
      <c r="A931" s="25" t="str">
        <f>IFERROR(INDEX('Hun Demand'!W:W,MATCH(O931,'Hun Demand'!A:A,0)),"")</f>
        <v/>
      </c>
      <c r="B931" s="25" t="str">
        <f>IFERROR(INDEX('Hun Demand'!V:V,MATCH(O931,'Hun Demand'!A:A,0)),"")</f>
        <v/>
      </c>
      <c r="C931" s="25" t="str">
        <f>IFERROR(INDEX('Hun Demand'!U:U,MATCH(O931,'Hun Demand'!A:A,0)),"")</f>
        <v/>
      </c>
      <c r="D931" s="25" t="str">
        <f>IFERROR(INDEX('Hun Demand'!T:T,MATCH(O931,'Hun Demand'!A:A,0)),"")</f>
        <v/>
      </c>
      <c r="E931" s="25" t="str">
        <f>IFERROR(INDEX('Hun Demand'!S:S,MATCH(O931,'Hun Demand'!A:A,0)),"")</f>
        <v/>
      </c>
      <c r="F931" s="25" t="str">
        <f>IFERROR(INDEX('Hun Demand'!R:R,MATCH(O931,'Hun Demand'!A:A,0)),"")</f>
        <v/>
      </c>
      <c r="G931" s="25">
        <f>IFERROR(INDEX('Aub Demand'!W:W,MATCH(O931,'Aub Demand'!A:A,0)),"")</f>
        <v>0</v>
      </c>
      <c r="H931" s="25">
        <f>IFERROR(INDEX('Aub Demand'!V:V,MATCH(O931,'Aub Demand'!A:A,0)),"")</f>
        <v>0</v>
      </c>
      <c r="I931" s="25">
        <f>IFERROR(INDEX('Aub Demand'!U:U,MATCH(O931,'Aub Demand'!A:A,0)),"")</f>
        <v>0</v>
      </c>
      <c r="J931" s="25">
        <f>IFERROR(INDEX('Aub Demand'!T:T,MATCH(O931,'Aub Demand'!A:A,0)),"")</f>
        <v>0</v>
      </c>
      <c r="K931" s="25">
        <f>IFERROR(INDEX('Aub Demand'!S:S,MATCH(O931,'Aub Demand'!A:A,0)),"")</f>
        <v>0</v>
      </c>
      <c r="L931" s="25">
        <f>IFERROR(INDEX('Aub Demand'!R:R,MATCH(O931,'Aub Demand'!A:A,0)),"")</f>
        <v>0</v>
      </c>
      <c r="O931" s="27" t="s">
        <v>2474</v>
      </c>
      <c r="P931" s="27" t="str">
        <f>IFERROR(INDEX('Aub Demand'!B:B,MATCH($O931,'Aub Demand'!$A:$A,0)),"")</f>
        <v>HOUSE ROCK 50"</v>
      </c>
      <c r="Q931" s="27" t="str">
        <f>IFERROR(INDEX('Aub Demand'!C:C,MATCH($O931,'Aub Demand'!$A:$A,0)),"")</f>
        <v>DNP A</v>
      </c>
      <c r="R931" s="52">
        <f>IFERROR(IF(AR932=AR931,INDEX('Aub Demand'!K:K,MATCH($O931,'Aub Demand'!$A:$A,0))-IF(AN931="",0,AN931)+AP932,INDEX('Aub Demand'!K:K,MATCH($O931,'Aub Demand'!$A:$A,0))-IF(AN931="",0,AN931)),"")</f>
        <v>1122</v>
      </c>
      <c r="S931" s="53" t="str">
        <f t="shared" si="392"/>
        <v>n/a</v>
      </c>
      <c r="T931" s="52" t="str">
        <f t="shared" si="393"/>
        <v/>
      </c>
      <c r="U931" s="52">
        <f>IFERROR(IF(AR932=AR931,INDEX('Aub Demand'!Q:Q,MATCH($O931,'Aub Demand'!$A:$A,0))-IF(AN931="",0,AN931)+AP932,INDEX('Aub Demand'!Q:Q,MATCH($O931,'Aub Demand'!$A:$A,0))-IF(AN931="",0,AN931)),"")</f>
        <v>1122</v>
      </c>
      <c r="V931" s="53" t="str">
        <f t="shared" si="394"/>
        <v>n/a</v>
      </c>
      <c r="W931" s="52" t="str">
        <f t="shared" si="395"/>
        <v/>
      </c>
      <c r="X931" s="52">
        <f>IFERROR(IF(AND(AR932=AR931,AM931&lt;&gt;""),INDEX('Aub Demand'!Q:Q,MATCH($O931,'Aub Demand'!$A:$A,0))-IF(AN931="",0,AN931)+AP932+AD931+AL931,IF(AR932=AR931,INDEX('Aub Demand'!Q:Q,MATCH($O931,'Aub Demand'!$A:$A,0))-IF(AN931="",0,AN931)+AP932+AD931,IF(AM931&lt;&gt;"",INDEX('Aub Demand'!Q:Q,MATCH($O931,'Aub Demand'!$A:$A,0))-IF(AN931="",0,AN931)+AD931+AL931,INDEX('Aub Demand'!Q:Q,MATCH($O931,'Aub Demand'!$A:$A,0))-IF(AN931="",0,AN931)+AD931))),"")</f>
        <v>1122</v>
      </c>
      <c r="Y931" s="53" t="str">
        <f t="shared" si="396"/>
        <v>n/a</v>
      </c>
      <c r="Z931" s="52">
        <f>IF(L931="","",INDEX('Aub Demand'!H:H,MATCH($O931,'Aub Demand'!$A:$A,0)))</f>
        <v>0</v>
      </c>
      <c r="AA931" s="52" t="str">
        <f t="shared" si="397"/>
        <v>-spike-</v>
      </c>
      <c r="AB931" s="52">
        <f>IFERROR(INDEX('Aub Demand'!L:L,MATCH($O931,'Aub Demand'!$A:$A,0)),"")</f>
        <v>19</v>
      </c>
      <c r="AC931" s="52">
        <f>IFERROR(IF(O931="","",SUMIFS('CPL Mats'!F:F,'CPL Mats'!Q:Q,AR931,'CPL Mats'!S:S,AS931)),"")</f>
        <v>0</v>
      </c>
      <c r="AF931" s="25" t="str">
        <f>IF(SUMIFS('Supp Consol'!S:S,'Supp Consol'!Y:Y,"Releasable",'Supp Consol'!A:A,O931)=0,"",SUMIFS('Supp Consol'!S:S,'Supp Consol'!Y:Y,"Releasable",'Supp Consol'!A:A,O931))</f>
        <v/>
      </c>
      <c r="AG931" s="25" t="str">
        <f>IFERROR(INDEX('Hun Demand'!Q:Q,MATCH(O931,'Hun Demand'!A:A,0)),"")</f>
        <v/>
      </c>
      <c r="AH931" s="25" t="str">
        <f>IFERROR(INDEX('Hun Demand'!H:H,MATCH($O931,'Hun Demand'!$A:$A,0)),"")</f>
        <v/>
      </c>
      <c r="AI931" s="25" t="str">
        <f>IF(SUMIFS('Supp Consol'!AA:AA,'Supp Consol'!Z:Z,"Expires this month",'Supp Consol'!A:A,O931)=0,"",SUMIFS('Supp Consol'!AA:AA,'Supp Consol'!Z:Z,"Expires this month",'Supp Consol'!A:A,O931))</f>
        <v/>
      </c>
      <c r="AJ931" s="25" t="str">
        <f>IF(SUMIFS('Supp Consol'!AA:AA,'Supp Consol'!Z:Z,"Expired Previous Months",'Supp Consol'!A:A,O931)=0,"",SUMIFS('Supp Consol'!AA:AA,'Supp Consol'!Z:Z,"Expired Previous Months",'Supp Consol'!A:A,O931))</f>
        <v/>
      </c>
      <c r="AK931" s="25" t="str">
        <f>IFERROR(INDEX('Hun Release Current'!B:B,MATCH(O931,'Hun Release Current'!A:A,0)),"")</f>
        <v/>
      </c>
      <c r="AL931" s="25" t="str">
        <f>IF(SUMIF('Prev Aub'!A:A,O931,'Prev Aub'!B:B)=0,"",SUMIF('Prev Aub'!A:A,O931,'Prev Aub'!B:B))</f>
        <v/>
      </c>
      <c r="AN931" s="25" t="s">
        <v>3790</v>
      </c>
      <c r="AO931" s="25" t="s">
        <v>3790</v>
      </c>
      <c r="AP931" s="25">
        <f t="shared" si="398"/>
        <v>0</v>
      </c>
      <c r="AQ931" s="151" t="str">
        <f>IF(SUMIFS('Supp Consol'!S:S,'Supp Consol'!A:A,O931,'Supp Consol'!I:I,"PENDING")=0,"",SUMIFS('Supp Consol'!S:S,'Supp Consol'!A:A,O931,'Supp Consol'!I:I,"PENDING"))</f>
        <v/>
      </c>
      <c r="AR931" s="27" t="str">
        <f t="shared" si="399"/>
        <v>RK401</v>
      </c>
      <c r="AS931" s="27" t="str">
        <f t="shared" si="400"/>
        <v>50</v>
      </c>
      <c r="AT931" s="27" t="str">
        <f t="shared" si="401"/>
        <v/>
      </c>
      <c r="AU931" s="27" t="str">
        <f t="shared" si="402"/>
        <v/>
      </c>
      <c r="AV931" s="27" t="str">
        <f t="shared" si="403"/>
        <v/>
      </c>
      <c r="AW931" s="27" t="str">
        <f t="shared" si="404"/>
        <v/>
      </c>
      <c r="AX931" s="27" t="str">
        <f t="shared" si="405"/>
        <v/>
      </c>
      <c r="AY931" s="27" t="str">
        <f t="shared" si="406"/>
        <v/>
      </c>
      <c r="AZ931" s="27" t="str">
        <f t="shared" si="407"/>
        <v/>
      </c>
      <c r="BA931" s="27" t="str">
        <f t="shared" si="408"/>
        <v/>
      </c>
      <c r="BB931" s="27" t="str">
        <f t="shared" si="409"/>
        <v/>
      </c>
      <c r="BC931" s="27" t="str">
        <f t="shared" si="410"/>
        <v/>
      </c>
      <c r="BD931" s="27" t="str">
        <f t="shared" si="411"/>
        <v/>
      </c>
      <c r="BE931" s="27" t="str">
        <f t="shared" si="412"/>
        <v/>
      </c>
      <c r="BF931" s="27" t="str">
        <f t="shared" si="413"/>
        <v/>
      </c>
      <c r="BG931" s="27" t="str">
        <f t="shared" si="414"/>
        <v/>
      </c>
      <c r="BH931" s="27" t="str">
        <f t="shared" si="415"/>
        <v/>
      </c>
      <c r="BI931" s="27" t="str">
        <f t="shared" si="416"/>
        <v/>
      </c>
      <c r="BJ931" s="27" t="str">
        <f t="shared" si="417"/>
        <v/>
      </c>
      <c r="BK931" s="27" t="str">
        <f t="shared" si="418"/>
        <v/>
      </c>
      <c r="BL931" s="27" t="str">
        <f t="shared" si="419"/>
        <v/>
      </c>
      <c r="BM931" s="21" t="s">
        <v>5581</v>
      </c>
    </row>
    <row r="932" spans="1:65" ht="15">
      <c r="A932" s="25" t="str">
        <f>IFERROR(INDEX('Hun Demand'!W:W,MATCH(O932,'Hun Demand'!A:A,0)),"")</f>
        <v/>
      </c>
      <c r="B932" s="25" t="str">
        <f>IFERROR(INDEX('Hun Demand'!V:V,MATCH(O932,'Hun Demand'!A:A,0)),"")</f>
        <v/>
      </c>
      <c r="C932" s="25" t="str">
        <f>IFERROR(INDEX('Hun Demand'!U:U,MATCH(O932,'Hun Demand'!A:A,0)),"")</f>
        <v/>
      </c>
      <c r="D932" s="25" t="str">
        <f>IFERROR(INDEX('Hun Demand'!T:T,MATCH(O932,'Hun Demand'!A:A,0)),"")</f>
        <v/>
      </c>
      <c r="E932" s="25" t="str">
        <f>IFERROR(INDEX('Hun Demand'!S:S,MATCH(O932,'Hun Demand'!A:A,0)),"")</f>
        <v/>
      </c>
      <c r="F932" s="25" t="str">
        <f>IFERROR(INDEX('Hun Demand'!R:R,MATCH(O932,'Hun Demand'!A:A,0)),"")</f>
        <v/>
      </c>
      <c r="G932" s="25">
        <f>IFERROR(INDEX('Aub Demand'!W:W,MATCH(O932,'Aub Demand'!A:A,0)),"")</f>
        <v>0</v>
      </c>
      <c r="H932" s="25">
        <f>IFERROR(INDEX('Aub Demand'!V:V,MATCH(O932,'Aub Demand'!A:A,0)),"")</f>
        <v>0</v>
      </c>
      <c r="I932" s="25">
        <f>IFERROR(INDEX('Aub Demand'!U:U,MATCH(O932,'Aub Demand'!A:A,0)),"")</f>
        <v>0</v>
      </c>
      <c r="J932" s="25">
        <f>IFERROR(INDEX('Aub Demand'!T:T,MATCH(O932,'Aub Demand'!A:A,0)),"")</f>
        <v>0</v>
      </c>
      <c r="K932" s="25">
        <f>IFERROR(INDEX('Aub Demand'!S:S,MATCH(O932,'Aub Demand'!A:A,0)),"")</f>
        <v>21</v>
      </c>
      <c r="L932" s="25">
        <f>IFERROR(INDEX('Aub Demand'!R:R,MATCH(O932,'Aub Demand'!A:A,0)),"")</f>
        <v>0</v>
      </c>
      <c r="O932" s="27" t="s">
        <v>2477</v>
      </c>
      <c r="P932" s="27" t="str">
        <f>IFERROR(INDEX('Aub Demand'!B:B,MATCH($O932,'Aub Demand'!$A:$A,0)),"")</f>
        <v>HOUSE ROCK</v>
      </c>
      <c r="Q932" s="27" t="str">
        <f>IFERROR(INDEX('Aub Demand'!C:C,MATCH($O932,'Aub Demand'!$A:$A,0)),"")</f>
        <v>DNP A</v>
      </c>
      <c r="R932" s="52">
        <f>IFERROR(IF(AR933=AR932,INDEX('Aub Demand'!K:K,MATCH($O932,'Aub Demand'!$A:$A,0))-IF(AN932="",0,AN932)+AP933,INDEX('Aub Demand'!K:K,MATCH($O932,'Aub Demand'!$A:$A,0))-IF(AN932="",0,AN932)),"")</f>
        <v>558</v>
      </c>
      <c r="S932" s="53">
        <f t="shared" si="392"/>
        <v>341.6</v>
      </c>
      <c r="T932" s="52" t="str">
        <f t="shared" si="393"/>
        <v/>
      </c>
      <c r="U932" s="52">
        <f>IFERROR(IF(AR933=AR932,INDEX('Aub Demand'!Q:Q,MATCH($O932,'Aub Demand'!$A:$A,0))-IF(AN932="",0,AN932)+AP933,INDEX('Aub Demand'!Q:Q,MATCH($O932,'Aub Demand'!$A:$A,0))-IF(AN932="",0,AN932)),"")</f>
        <v>538</v>
      </c>
      <c r="V932" s="53">
        <f t="shared" si="394"/>
        <v>329.4</v>
      </c>
      <c r="W932" s="52" t="str">
        <f t="shared" si="395"/>
        <v/>
      </c>
      <c r="X932" s="52">
        <f>IFERROR(IF(AND(AR933=AR932,AM932&lt;&gt;""),INDEX('Aub Demand'!Q:Q,MATCH($O932,'Aub Demand'!$A:$A,0))-IF(AN932="",0,AN932)+AP933+AD932+AL932,IF(AR933=AR932,INDEX('Aub Demand'!Q:Q,MATCH($O932,'Aub Demand'!$A:$A,0))-IF(AN932="",0,AN932)+AP933+AD932,IF(AM932&lt;&gt;"",INDEX('Aub Demand'!Q:Q,MATCH($O932,'Aub Demand'!$A:$A,0))-IF(AN932="",0,AN932)+AD932+AL932,INDEX('Aub Demand'!Q:Q,MATCH($O932,'Aub Demand'!$A:$A,0))-IF(AN932="",0,AN932)+AD932))),"")</f>
        <v>538</v>
      </c>
      <c r="Y932" s="53">
        <f t="shared" si="396"/>
        <v>329.4</v>
      </c>
      <c r="Z932" s="52">
        <f>IF(L932="","",INDEX('Aub Demand'!H:H,MATCH($O932,'Aub Demand'!$A:$A,0)))</f>
        <v>7</v>
      </c>
      <c r="AA932" s="52" t="str">
        <f t="shared" si="397"/>
        <v>-spike-</v>
      </c>
      <c r="AB932" s="52">
        <f>IFERROR(INDEX('Aub Demand'!L:L,MATCH($O932,'Aub Demand'!$A:$A,0)),"")</f>
        <v>0</v>
      </c>
      <c r="AC932" s="52">
        <f>IFERROR(IF(O932="","",SUMIFS('CPL Mats'!F:F,'CPL Mats'!Q:Q,AR932,'CPL Mats'!S:S,AS932)),"")</f>
        <v>0</v>
      </c>
      <c r="AF932" s="25" t="str">
        <f>IF(SUMIFS('Supp Consol'!S:S,'Supp Consol'!Y:Y,"Releasable",'Supp Consol'!A:A,O932)=0,"",SUMIFS('Supp Consol'!S:S,'Supp Consol'!Y:Y,"Releasable",'Supp Consol'!A:A,O932))</f>
        <v/>
      </c>
      <c r="AG932" s="25" t="str">
        <f>IFERROR(INDEX('Hun Demand'!Q:Q,MATCH(O932,'Hun Demand'!A:A,0)),"")</f>
        <v/>
      </c>
      <c r="AH932" s="25" t="str">
        <f>IFERROR(INDEX('Hun Demand'!H:H,MATCH($O932,'Hun Demand'!$A:$A,0)),"")</f>
        <v/>
      </c>
      <c r="AI932" s="25" t="str">
        <f>IF(SUMIFS('Supp Consol'!AA:AA,'Supp Consol'!Z:Z,"Expires this month",'Supp Consol'!A:A,O932)=0,"",SUMIFS('Supp Consol'!AA:AA,'Supp Consol'!Z:Z,"Expires this month",'Supp Consol'!A:A,O932))</f>
        <v/>
      </c>
      <c r="AJ932" s="25" t="str">
        <f>IF(SUMIFS('Supp Consol'!AA:AA,'Supp Consol'!Z:Z,"Expired Previous Months",'Supp Consol'!A:A,O932)=0,"",SUMIFS('Supp Consol'!AA:AA,'Supp Consol'!Z:Z,"Expired Previous Months",'Supp Consol'!A:A,O932))</f>
        <v/>
      </c>
      <c r="AK932" s="25" t="str">
        <f>IFERROR(INDEX('Hun Release Current'!B:B,MATCH(O932,'Hun Release Current'!A:A,0)),"")</f>
        <v/>
      </c>
      <c r="AL932" s="25" t="str">
        <f>IF(SUMIF('Prev Aub'!A:A,O932,'Prev Aub'!B:B)=0,"",SUMIF('Prev Aub'!A:A,O932,'Prev Aub'!B:B))</f>
        <v/>
      </c>
      <c r="AN932" s="25" t="s">
        <v>3790</v>
      </c>
      <c r="AO932" s="25" t="s">
        <v>3790</v>
      </c>
      <c r="AP932" s="25">
        <f t="shared" si="398"/>
        <v>0</v>
      </c>
      <c r="AQ932" s="151" t="str">
        <f>IF(SUMIFS('Supp Consol'!S:S,'Supp Consol'!A:A,O932,'Supp Consol'!I:I,"PENDING")=0,"",SUMIFS('Supp Consol'!S:S,'Supp Consol'!A:A,O932,'Supp Consol'!I:I,"PENDING"))</f>
        <v/>
      </c>
      <c r="AR932" s="27" t="str">
        <f t="shared" si="399"/>
        <v>RK401</v>
      </c>
      <c r="AS932" s="27" t="str">
        <f t="shared" si="400"/>
        <v>62</v>
      </c>
      <c r="AT932" s="27" t="str">
        <f t="shared" si="401"/>
        <v/>
      </c>
      <c r="AU932" s="27" t="str">
        <f t="shared" si="402"/>
        <v/>
      </c>
      <c r="AV932" s="27" t="str">
        <f t="shared" si="403"/>
        <v/>
      </c>
      <c r="AW932" s="27" t="str">
        <f t="shared" si="404"/>
        <v/>
      </c>
      <c r="AX932" s="27" t="str">
        <f t="shared" si="405"/>
        <v/>
      </c>
      <c r="AY932" s="27" t="str">
        <f t="shared" si="406"/>
        <v/>
      </c>
      <c r="AZ932" s="27" t="str">
        <f t="shared" si="407"/>
        <v/>
      </c>
      <c r="BA932" s="27" t="str">
        <f t="shared" si="408"/>
        <v/>
      </c>
      <c r="BB932" s="27" t="str">
        <f t="shared" si="409"/>
        <v/>
      </c>
      <c r="BC932" s="27" t="str">
        <f t="shared" si="410"/>
        <v/>
      </c>
      <c r="BD932" s="27" t="str">
        <f t="shared" si="411"/>
        <v/>
      </c>
      <c r="BE932" s="27" t="str">
        <f t="shared" si="412"/>
        <v/>
      </c>
      <c r="BF932" s="27" t="str">
        <f t="shared" si="413"/>
        <v/>
      </c>
      <c r="BG932" s="27" t="str">
        <f t="shared" si="414"/>
        <v/>
      </c>
      <c r="BH932" s="27" t="str">
        <f t="shared" si="415"/>
        <v/>
      </c>
      <c r="BI932" s="27" t="str">
        <f t="shared" si="416"/>
        <v/>
      </c>
      <c r="BJ932" s="27" t="str">
        <f t="shared" si="417"/>
        <v/>
      </c>
      <c r="BK932" s="27" t="str">
        <f t="shared" si="418"/>
        <v/>
      </c>
      <c r="BL932" s="27" t="str">
        <f t="shared" si="419"/>
        <v/>
      </c>
      <c r="BM932" s="21" t="s">
        <v>5581</v>
      </c>
    </row>
    <row r="933" spans="1:65" ht="15">
      <c r="A933" s="25" t="str">
        <f>IFERROR(INDEX('Hun Demand'!W:W,MATCH(O933,'Hun Demand'!A:A,0)),"")</f>
        <v/>
      </c>
      <c r="B933" s="25" t="str">
        <f>IFERROR(INDEX('Hun Demand'!V:V,MATCH(O933,'Hun Demand'!A:A,0)),"")</f>
        <v/>
      </c>
      <c r="C933" s="25" t="str">
        <f>IFERROR(INDEX('Hun Demand'!U:U,MATCH(O933,'Hun Demand'!A:A,0)),"")</f>
        <v/>
      </c>
      <c r="D933" s="25" t="str">
        <f>IFERROR(INDEX('Hun Demand'!T:T,MATCH(O933,'Hun Demand'!A:A,0)),"")</f>
        <v/>
      </c>
      <c r="E933" s="25" t="str">
        <f>IFERROR(INDEX('Hun Demand'!S:S,MATCH(O933,'Hun Demand'!A:A,0)),"")</f>
        <v/>
      </c>
      <c r="F933" s="25" t="str">
        <f>IFERROR(INDEX('Hun Demand'!R:R,MATCH(O933,'Hun Demand'!A:A,0)),"")</f>
        <v/>
      </c>
      <c r="G933" s="25">
        <f>IFERROR(INDEX('Aub Demand'!W:W,MATCH(O933,'Aub Demand'!A:A,0)),"")</f>
        <v>21</v>
      </c>
      <c r="H933" s="25">
        <f>IFERROR(INDEX('Aub Demand'!V:V,MATCH(O933,'Aub Demand'!A:A,0)),"")</f>
        <v>19</v>
      </c>
      <c r="I933" s="25">
        <f>IFERROR(INDEX('Aub Demand'!U:U,MATCH(O933,'Aub Demand'!A:A,0)),"")</f>
        <v>0</v>
      </c>
      <c r="J933" s="25">
        <f>IFERROR(INDEX('Aub Demand'!T:T,MATCH(O933,'Aub Demand'!A:A,0)),"")</f>
        <v>10</v>
      </c>
      <c r="K933" s="25">
        <f>IFERROR(INDEX('Aub Demand'!S:S,MATCH(O933,'Aub Demand'!A:A,0)),"")</f>
        <v>0</v>
      </c>
      <c r="L933" s="25">
        <f>IFERROR(INDEX('Aub Demand'!R:R,MATCH(O933,'Aub Demand'!A:A,0)),"")</f>
        <v>0</v>
      </c>
      <c r="O933" s="27" t="s">
        <v>2480</v>
      </c>
      <c r="P933" s="27" t="str">
        <f>IFERROR(INDEX('Aub Demand'!B:B,MATCH($O933,'Aub Demand'!$A:$A,0)),"")</f>
        <v>VERDICTS IN</v>
      </c>
      <c r="Q933" s="27" t="str">
        <f>IFERROR(INDEX('Aub Demand'!C:C,MATCH($O933,'Aub Demand'!$A:$A,0)),"")</f>
        <v>INTER</v>
      </c>
      <c r="R933" s="52">
        <f>IFERROR(IF(AR934=AR933,INDEX('Aub Demand'!K:K,MATCH($O933,'Aub Demand'!$A:$A,0))-IF(AN933="",0,AN933)+AP934,INDEX('Aub Demand'!K:K,MATCH($O933,'Aub Demand'!$A:$A,0))-IF(AN933="",0,AN933)),"")</f>
        <v>215</v>
      </c>
      <c r="S933" s="53">
        <f t="shared" si="392"/>
        <v>307.10000000000002</v>
      </c>
      <c r="T933" s="52" t="str">
        <f t="shared" si="393"/>
        <v/>
      </c>
      <c r="U933" s="52">
        <f>IFERROR(IF(AR934=AR933,INDEX('Aub Demand'!Q:Q,MATCH($O933,'Aub Demand'!$A:$A,0))-IF(AN933="",0,AN933)+AP934,INDEX('Aub Demand'!Q:Q,MATCH($O933,'Aub Demand'!$A:$A,0))-IF(AN933="",0,AN933)),"")</f>
        <v>215</v>
      </c>
      <c r="V933" s="53">
        <f t="shared" si="394"/>
        <v>307.10000000000002</v>
      </c>
      <c r="W933" s="52" t="str">
        <f t="shared" si="395"/>
        <v/>
      </c>
      <c r="X933" s="52">
        <f>IFERROR(IF(AND(AR934=AR933,AM933&lt;&gt;""),INDEX('Aub Demand'!Q:Q,MATCH($O933,'Aub Demand'!$A:$A,0))-IF(AN933="",0,AN933)+AP934+AD933+AL933,IF(AR934=AR933,INDEX('Aub Demand'!Q:Q,MATCH($O933,'Aub Demand'!$A:$A,0))-IF(AN933="",0,AN933)+AP934+AD933,IF(AM933&lt;&gt;"",INDEX('Aub Demand'!Q:Q,MATCH($O933,'Aub Demand'!$A:$A,0))-IF(AN933="",0,AN933)+AD933+AL933,INDEX('Aub Demand'!Q:Q,MATCH($O933,'Aub Demand'!$A:$A,0))-IF(AN933="",0,AN933)+AD933))),"")</f>
        <v>215</v>
      </c>
      <c r="Y933" s="53">
        <f t="shared" si="396"/>
        <v>307.10000000000002</v>
      </c>
      <c r="Z933" s="52">
        <f>IF(L933="","",INDEX('Aub Demand'!H:H,MATCH($O933,'Aub Demand'!$A:$A,0)))</f>
        <v>3</v>
      </c>
      <c r="AA933" s="52" t="str">
        <f t="shared" si="397"/>
        <v>-spike-</v>
      </c>
      <c r="AB933" s="52">
        <f>IFERROR(INDEX('Aub Demand'!L:L,MATCH($O933,'Aub Demand'!$A:$A,0)),"")</f>
        <v>2</v>
      </c>
      <c r="AC933" s="52">
        <f>IFERROR(IF(O933="","",SUMIFS('CPL Mats'!F:F,'CPL Mats'!Q:Q,AR933,'CPL Mats'!S:S,AS933)),"")</f>
        <v>0</v>
      </c>
      <c r="AF933" s="25" t="str">
        <f>IF(SUMIFS('Supp Consol'!S:S,'Supp Consol'!Y:Y,"Releasable",'Supp Consol'!A:A,O933)=0,"",SUMIFS('Supp Consol'!S:S,'Supp Consol'!Y:Y,"Releasable",'Supp Consol'!A:A,O933))</f>
        <v/>
      </c>
      <c r="AG933" s="25" t="str">
        <f>IFERROR(INDEX('Hun Demand'!Q:Q,MATCH(O933,'Hun Demand'!A:A,0)),"")</f>
        <v/>
      </c>
      <c r="AH933" s="25" t="str">
        <f>IFERROR(INDEX('Hun Demand'!H:H,MATCH($O933,'Hun Demand'!$A:$A,0)),"")</f>
        <v/>
      </c>
      <c r="AI933" s="25" t="str">
        <f>IF(SUMIFS('Supp Consol'!AA:AA,'Supp Consol'!Z:Z,"Expires this month",'Supp Consol'!A:A,O933)=0,"",SUMIFS('Supp Consol'!AA:AA,'Supp Consol'!Z:Z,"Expires this month",'Supp Consol'!A:A,O933))</f>
        <v/>
      </c>
      <c r="AJ933" s="25" t="str">
        <f>IF(SUMIFS('Supp Consol'!AA:AA,'Supp Consol'!Z:Z,"Expired Previous Months",'Supp Consol'!A:A,O933)=0,"",SUMIFS('Supp Consol'!AA:AA,'Supp Consol'!Z:Z,"Expired Previous Months",'Supp Consol'!A:A,O933))</f>
        <v/>
      </c>
      <c r="AK933" s="25" t="str">
        <f>IFERROR(INDEX('Hun Release Current'!B:B,MATCH(O933,'Hun Release Current'!A:A,0)),"")</f>
        <v/>
      </c>
      <c r="AL933" s="25" t="str">
        <f>IF(SUMIF('Prev Aub'!A:A,O933,'Prev Aub'!B:B)=0,"",SUMIF('Prev Aub'!A:A,O933,'Prev Aub'!B:B))</f>
        <v/>
      </c>
      <c r="AN933" s="25" t="s">
        <v>3790</v>
      </c>
      <c r="AO933" s="25" t="s">
        <v>3790</v>
      </c>
      <c r="AP933" s="25">
        <f t="shared" si="398"/>
        <v>0</v>
      </c>
      <c r="AQ933" s="151" t="str">
        <f>IF(SUMIFS('Supp Consol'!S:S,'Supp Consol'!A:A,O933,'Supp Consol'!I:I,"PENDING")=0,"",SUMIFS('Supp Consol'!S:S,'Supp Consol'!A:A,O933,'Supp Consol'!I:I,"PENDING"))</f>
        <v/>
      </c>
      <c r="AR933" s="27" t="str">
        <f t="shared" si="399"/>
        <v>RK603</v>
      </c>
      <c r="AS933" s="27" t="str">
        <f t="shared" si="400"/>
        <v>50</v>
      </c>
      <c r="AT933" s="27" t="str">
        <f t="shared" si="401"/>
        <v/>
      </c>
      <c r="AU933" s="27" t="str">
        <f t="shared" si="402"/>
        <v/>
      </c>
      <c r="AV933" s="27" t="str">
        <f t="shared" si="403"/>
        <v/>
      </c>
      <c r="AW933" s="27" t="str">
        <f t="shared" si="404"/>
        <v/>
      </c>
      <c r="AX933" s="27" t="str">
        <f t="shared" si="405"/>
        <v/>
      </c>
      <c r="AY933" s="27" t="str">
        <f t="shared" si="406"/>
        <v/>
      </c>
      <c r="AZ933" s="27" t="str">
        <f t="shared" si="407"/>
        <v/>
      </c>
      <c r="BA933" s="27" t="str">
        <f t="shared" si="408"/>
        <v/>
      </c>
      <c r="BB933" s="27" t="str">
        <f t="shared" si="409"/>
        <v/>
      </c>
      <c r="BC933" s="27" t="str">
        <f t="shared" si="410"/>
        <v/>
      </c>
      <c r="BD933" s="27" t="str">
        <f t="shared" si="411"/>
        <v/>
      </c>
      <c r="BE933" s="27" t="str">
        <f t="shared" si="412"/>
        <v/>
      </c>
      <c r="BF933" s="27" t="str">
        <f t="shared" si="413"/>
        <v/>
      </c>
      <c r="BG933" s="27" t="str">
        <f t="shared" si="414"/>
        <v/>
      </c>
      <c r="BH933" s="27" t="str">
        <f t="shared" si="415"/>
        <v/>
      </c>
      <c r="BI933" s="27" t="str">
        <f t="shared" si="416"/>
        <v/>
      </c>
      <c r="BJ933" s="27" t="str">
        <f t="shared" si="417"/>
        <v/>
      </c>
      <c r="BK933" s="27" t="str">
        <f t="shared" si="418"/>
        <v/>
      </c>
      <c r="BL933" s="27" t="str">
        <f t="shared" si="419"/>
        <v/>
      </c>
      <c r="BM933" s="21" t="s">
        <v>5581</v>
      </c>
    </row>
    <row r="934" spans="1:65" ht="15">
      <c r="A934" s="25" t="str">
        <f>IFERROR(INDEX('Hun Demand'!W:W,MATCH(O934,'Hun Demand'!A:A,0)),"")</f>
        <v/>
      </c>
      <c r="B934" s="25" t="str">
        <f>IFERROR(INDEX('Hun Demand'!V:V,MATCH(O934,'Hun Demand'!A:A,0)),"")</f>
        <v/>
      </c>
      <c r="C934" s="25" t="str">
        <f>IFERROR(INDEX('Hun Demand'!U:U,MATCH(O934,'Hun Demand'!A:A,0)),"")</f>
        <v/>
      </c>
      <c r="D934" s="25" t="str">
        <f>IFERROR(INDEX('Hun Demand'!T:T,MATCH(O934,'Hun Demand'!A:A,0)),"")</f>
        <v/>
      </c>
      <c r="E934" s="25" t="str">
        <f>IFERROR(INDEX('Hun Demand'!S:S,MATCH(O934,'Hun Demand'!A:A,0)),"")</f>
        <v/>
      </c>
      <c r="F934" s="25" t="str">
        <f>IFERROR(INDEX('Hun Demand'!R:R,MATCH(O934,'Hun Demand'!A:A,0)),"")</f>
        <v/>
      </c>
      <c r="G934" s="25">
        <f>IFERROR(INDEX('Aub Demand'!W:W,MATCH(O934,'Aub Demand'!A:A,0)),"")</f>
        <v>11</v>
      </c>
      <c r="H934" s="25">
        <f>IFERROR(INDEX('Aub Demand'!V:V,MATCH(O934,'Aub Demand'!A:A,0)),"")</f>
        <v>53</v>
      </c>
      <c r="I934" s="25">
        <f>IFERROR(INDEX('Aub Demand'!U:U,MATCH(O934,'Aub Demand'!A:A,0)),"")</f>
        <v>0</v>
      </c>
      <c r="J934" s="25">
        <f>IFERROR(INDEX('Aub Demand'!T:T,MATCH(O934,'Aub Demand'!A:A,0)),"")</f>
        <v>63</v>
      </c>
      <c r="K934" s="25">
        <f>IFERROR(INDEX('Aub Demand'!S:S,MATCH(O934,'Aub Demand'!A:A,0)),"")</f>
        <v>33</v>
      </c>
      <c r="L934" s="25">
        <f>IFERROR(INDEX('Aub Demand'!R:R,MATCH(O934,'Aub Demand'!A:A,0)),"")</f>
        <v>0</v>
      </c>
      <c r="O934" s="27" t="s">
        <v>2482</v>
      </c>
      <c r="P934" s="27" t="str">
        <f>IFERROR(INDEX('Aub Demand'!B:B,MATCH($O934,'Aub Demand'!$A:$A,0)),"")</f>
        <v>VERDICTS IN</v>
      </c>
      <c r="Q934" s="27" t="str">
        <f>IFERROR(INDEX('Aub Demand'!C:C,MATCH($O934,'Aub Demand'!$A:$A,0)),"")</f>
        <v>INTER</v>
      </c>
      <c r="R934" s="52">
        <f>IFERROR(IF(AR935=AR934,INDEX('Aub Demand'!K:K,MATCH($O934,'Aub Demand'!$A:$A,0))-IF(AN934="",0,AN934)+AP935,INDEX('Aub Demand'!K:K,MATCH($O934,'Aub Demand'!$A:$A,0))-IF(AN934="",0,AN934)),"")</f>
        <v>1310</v>
      </c>
      <c r="S934" s="53">
        <f t="shared" si="392"/>
        <v>175.4</v>
      </c>
      <c r="T934" s="52" t="str">
        <f t="shared" si="393"/>
        <v/>
      </c>
      <c r="U934" s="52">
        <f>IFERROR(IF(AR935=AR934,INDEX('Aub Demand'!Q:Q,MATCH($O934,'Aub Demand'!$A:$A,0))-IF(AN934="",0,AN934)+AP935,INDEX('Aub Demand'!Q:Q,MATCH($O934,'Aub Demand'!$A:$A,0))-IF(AN934="",0,AN934)),"")</f>
        <v>1310</v>
      </c>
      <c r="V934" s="53">
        <f t="shared" si="394"/>
        <v>175.4</v>
      </c>
      <c r="W934" s="52" t="str">
        <f t="shared" si="395"/>
        <v/>
      </c>
      <c r="X934" s="52">
        <f>IFERROR(IF(AND(AR935=AR934,AM934&lt;&gt;""),INDEX('Aub Demand'!Q:Q,MATCH($O934,'Aub Demand'!$A:$A,0))-IF(AN934="",0,AN934)+AP935+AD934+AL934,IF(AR935=AR934,INDEX('Aub Demand'!Q:Q,MATCH($O934,'Aub Demand'!$A:$A,0))-IF(AN934="",0,AN934)+AP935+AD934,IF(AM934&lt;&gt;"",INDEX('Aub Demand'!Q:Q,MATCH($O934,'Aub Demand'!$A:$A,0))-IF(AN934="",0,AN934)+AD934+AL934,INDEX('Aub Demand'!Q:Q,MATCH($O934,'Aub Demand'!$A:$A,0))-IF(AN934="",0,AN934)+AD934))),"")</f>
        <v>1310</v>
      </c>
      <c r="Y934" s="53">
        <f t="shared" si="396"/>
        <v>175.4</v>
      </c>
      <c r="Z934" s="52">
        <f>IF(L934="","",INDEX('Aub Demand'!H:H,MATCH($O934,'Aub Demand'!$A:$A,0)))</f>
        <v>32</v>
      </c>
      <c r="AA934" s="52">
        <f t="shared" si="397"/>
        <v>48</v>
      </c>
      <c r="AB934" s="52">
        <f>IFERROR(INDEX('Aub Demand'!L:L,MATCH($O934,'Aub Demand'!$A:$A,0)),"")</f>
        <v>0</v>
      </c>
      <c r="AC934" s="52">
        <f>IFERROR(IF(O934="","",SUMIFS('CPL Mats'!F:F,'CPL Mats'!Q:Q,AR934,'CPL Mats'!S:S,AS934)),"")</f>
        <v>0</v>
      </c>
      <c r="AF934" s="25" t="str">
        <f>IF(SUMIFS('Supp Consol'!S:S,'Supp Consol'!Y:Y,"Releasable",'Supp Consol'!A:A,O934)=0,"",SUMIFS('Supp Consol'!S:S,'Supp Consol'!Y:Y,"Releasable",'Supp Consol'!A:A,O934))</f>
        <v/>
      </c>
      <c r="AG934" s="25" t="str">
        <f>IFERROR(INDEX('Hun Demand'!Q:Q,MATCH(O934,'Hun Demand'!A:A,0)),"")</f>
        <v/>
      </c>
      <c r="AH934" s="25" t="str">
        <f>IFERROR(INDEX('Hun Demand'!H:H,MATCH($O934,'Hun Demand'!$A:$A,0)),"")</f>
        <v/>
      </c>
      <c r="AI934" s="25" t="str">
        <f>IF(SUMIFS('Supp Consol'!AA:AA,'Supp Consol'!Z:Z,"Expires this month",'Supp Consol'!A:A,O934)=0,"",SUMIFS('Supp Consol'!AA:AA,'Supp Consol'!Z:Z,"Expires this month",'Supp Consol'!A:A,O934))</f>
        <v/>
      </c>
      <c r="AJ934" s="25" t="str">
        <f>IF(SUMIFS('Supp Consol'!AA:AA,'Supp Consol'!Z:Z,"Expired Previous Months",'Supp Consol'!A:A,O934)=0,"",SUMIFS('Supp Consol'!AA:AA,'Supp Consol'!Z:Z,"Expired Previous Months",'Supp Consol'!A:A,O934))</f>
        <v/>
      </c>
      <c r="AK934" s="25" t="str">
        <f>IFERROR(INDEX('Hun Release Current'!B:B,MATCH(O934,'Hun Release Current'!A:A,0)),"")</f>
        <v/>
      </c>
      <c r="AL934" s="25" t="str">
        <f>IF(SUMIF('Prev Aub'!A:A,O934,'Prev Aub'!B:B)=0,"",SUMIF('Prev Aub'!A:A,O934,'Prev Aub'!B:B))</f>
        <v/>
      </c>
      <c r="AN934" s="25" t="s">
        <v>3790</v>
      </c>
      <c r="AO934" s="25" t="s">
        <v>3790</v>
      </c>
      <c r="AP934" s="25">
        <f t="shared" si="398"/>
        <v>0</v>
      </c>
      <c r="AQ934" s="151" t="str">
        <f>IF(SUMIFS('Supp Consol'!S:S,'Supp Consol'!A:A,O934,'Supp Consol'!I:I,"PENDING")=0,"",SUMIFS('Supp Consol'!S:S,'Supp Consol'!A:A,O934,'Supp Consol'!I:I,"PENDING"))</f>
        <v/>
      </c>
      <c r="AR934" s="27" t="str">
        <f t="shared" si="399"/>
        <v>RK603</v>
      </c>
      <c r="AS934" s="27" t="str">
        <f t="shared" si="400"/>
        <v>62</v>
      </c>
      <c r="AT934" s="27" t="str">
        <f t="shared" si="401"/>
        <v/>
      </c>
      <c r="AU934" s="27" t="str">
        <f t="shared" si="402"/>
        <v/>
      </c>
      <c r="AV934" s="27" t="str">
        <f t="shared" si="403"/>
        <v/>
      </c>
      <c r="AW934" s="27" t="str">
        <f t="shared" si="404"/>
        <v/>
      </c>
      <c r="AX934" s="27" t="str">
        <f t="shared" si="405"/>
        <v/>
      </c>
      <c r="AY934" s="27" t="str">
        <f t="shared" si="406"/>
        <v/>
      </c>
      <c r="AZ934" s="27" t="str">
        <f t="shared" si="407"/>
        <v/>
      </c>
      <c r="BA934" s="27" t="str">
        <f t="shared" si="408"/>
        <v/>
      </c>
      <c r="BB934" s="27" t="str">
        <f t="shared" si="409"/>
        <v/>
      </c>
      <c r="BC934" s="27" t="str">
        <f t="shared" si="410"/>
        <v/>
      </c>
      <c r="BD934" s="27" t="str">
        <f t="shared" si="411"/>
        <v/>
      </c>
      <c r="BE934" s="27" t="str">
        <f t="shared" si="412"/>
        <v/>
      </c>
      <c r="BF934" s="27" t="str">
        <f t="shared" si="413"/>
        <v/>
      </c>
      <c r="BG934" s="27" t="str">
        <f t="shared" si="414"/>
        <v/>
      </c>
      <c r="BH934" s="27" t="str">
        <f t="shared" si="415"/>
        <v/>
      </c>
      <c r="BI934" s="27" t="str">
        <f t="shared" si="416"/>
        <v/>
      </c>
      <c r="BJ934" s="27" t="str">
        <f t="shared" si="417"/>
        <v/>
      </c>
      <c r="BK934" s="27" t="str">
        <f t="shared" si="418"/>
        <v/>
      </c>
      <c r="BL934" s="27" t="str">
        <f t="shared" si="419"/>
        <v/>
      </c>
      <c r="BM934" s="21" t="s">
        <v>5581</v>
      </c>
    </row>
    <row r="935" spans="1:65" ht="15">
      <c r="A935" s="25" t="str">
        <f>IFERROR(INDEX('Hun Demand'!W:W,MATCH(O935,'Hun Demand'!A:A,0)),"")</f>
        <v/>
      </c>
      <c r="B935" s="25" t="str">
        <f>IFERROR(INDEX('Hun Demand'!V:V,MATCH(O935,'Hun Demand'!A:A,0)),"")</f>
        <v/>
      </c>
      <c r="C935" s="25" t="str">
        <f>IFERROR(INDEX('Hun Demand'!U:U,MATCH(O935,'Hun Demand'!A:A,0)),"")</f>
        <v/>
      </c>
      <c r="D935" s="25" t="str">
        <f>IFERROR(INDEX('Hun Demand'!T:T,MATCH(O935,'Hun Demand'!A:A,0)),"")</f>
        <v/>
      </c>
      <c r="E935" s="25" t="str">
        <f>IFERROR(INDEX('Hun Demand'!S:S,MATCH(O935,'Hun Demand'!A:A,0)),"")</f>
        <v/>
      </c>
      <c r="F935" s="25" t="str">
        <f>IFERROR(INDEX('Hun Demand'!R:R,MATCH(O935,'Hun Demand'!A:A,0)),"")</f>
        <v/>
      </c>
      <c r="G935" s="25">
        <f>IFERROR(INDEX('Aub Demand'!W:W,MATCH(O935,'Aub Demand'!A:A,0)),"")</f>
        <v>0</v>
      </c>
      <c r="H935" s="25">
        <f>IFERROR(INDEX('Aub Demand'!V:V,MATCH(O935,'Aub Demand'!A:A,0)),"")</f>
        <v>0</v>
      </c>
      <c r="I935" s="25">
        <f>IFERROR(INDEX('Aub Demand'!U:U,MATCH(O935,'Aub Demand'!A:A,0)),"")</f>
        <v>0</v>
      </c>
      <c r="J935" s="25">
        <f>IFERROR(INDEX('Aub Demand'!T:T,MATCH(O935,'Aub Demand'!A:A,0)),"")</f>
        <v>0</v>
      </c>
      <c r="K935" s="25">
        <f>IFERROR(INDEX('Aub Demand'!S:S,MATCH(O935,'Aub Demand'!A:A,0)),"")</f>
        <v>0</v>
      </c>
      <c r="L935" s="25">
        <f>IFERROR(INDEX('Aub Demand'!R:R,MATCH(O935,'Aub Demand'!A:A,0)),"")</f>
        <v>0</v>
      </c>
      <c r="O935" s="27" t="s">
        <v>2483</v>
      </c>
      <c r="P935" s="27" t="str">
        <f>IFERROR(INDEX('Aub Demand'!B:B,MATCH($O935,'Aub Demand'!$A:$A,0)),"")</f>
        <v>VIC'S VENUE</v>
      </c>
      <c r="Q935" s="27" t="str">
        <f>IFERROR(INDEX('Aub Demand'!C:C,MATCH($O935,'Aub Demand'!$A:$A,0)),"")</f>
        <v>DNP A</v>
      </c>
      <c r="R935" s="52">
        <f>IFERROR(IF(AR936=AR935,INDEX('Aub Demand'!K:K,MATCH($O935,'Aub Demand'!$A:$A,0))-IF(AN935="",0,AN935)+AP936,INDEX('Aub Demand'!K:K,MATCH($O935,'Aub Demand'!$A:$A,0))-IF(AN935="",0,AN935)),"")</f>
        <v>184</v>
      </c>
      <c r="S935" s="53" t="str">
        <f t="shared" si="392"/>
        <v>n/a</v>
      </c>
      <c r="T935" s="52" t="str">
        <f t="shared" si="393"/>
        <v/>
      </c>
      <c r="U935" s="52">
        <f>IFERROR(IF(AR936=AR935,INDEX('Aub Demand'!Q:Q,MATCH($O935,'Aub Demand'!$A:$A,0))-IF(AN935="",0,AN935)+AP936,INDEX('Aub Demand'!Q:Q,MATCH($O935,'Aub Demand'!$A:$A,0))-IF(AN935="",0,AN935)),"")</f>
        <v>184</v>
      </c>
      <c r="V935" s="53" t="str">
        <f t="shared" si="394"/>
        <v>n/a</v>
      </c>
      <c r="W935" s="52" t="str">
        <f t="shared" si="395"/>
        <v/>
      </c>
      <c r="X935" s="52">
        <f>IFERROR(IF(AND(AR936=AR935,AM935&lt;&gt;""),INDEX('Aub Demand'!Q:Q,MATCH($O935,'Aub Demand'!$A:$A,0))-IF(AN935="",0,AN935)+AP936+AD935+AL935,IF(AR936=AR935,INDEX('Aub Demand'!Q:Q,MATCH($O935,'Aub Demand'!$A:$A,0))-IF(AN935="",0,AN935)+AP936+AD935,IF(AM935&lt;&gt;"",INDEX('Aub Demand'!Q:Q,MATCH($O935,'Aub Demand'!$A:$A,0))-IF(AN935="",0,AN935)+AD935+AL935,INDEX('Aub Demand'!Q:Q,MATCH($O935,'Aub Demand'!$A:$A,0))-IF(AN935="",0,AN935)+AD935))),"")</f>
        <v>184</v>
      </c>
      <c r="Y935" s="53" t="str">
        <f t="shared" si="396"/>
        <v>n/a</v>
      </c>
      <c r="Z935" s="52">
        <f>IF(L935="","",INDEX('Aub Demand'!H:H,MATCH($O935,'Aub Demand'!$A:$A,0)))</f>
        <v>0</v>
      </c>
      <c r="AA935" s="52" t="str">
        <f t="shared" si="397"/>
        <v>-spike-</v>
      </c>
      <c r="AB935" s="52">
        <f>IFERROR(INDEX('Aub Demand'!L:L,MATCH($O935,'Aub Demand'!$A:$A,0)),"")</f>
        <v>0</v>
      </c>
      <c r="AC935" s="52">
        <f>IFERROR(IF(O935="","",SUMIFS('CPL Mats'!F:F,'CPL Mats'!Q:Q,AR935,'CPL Mats'!S:S,AS935)),"")</f>
        <v>0</v>
      </c>
      <c r="AF935" s="25" t="str">
        <f>IF(SUMIFS('Supp Consol'!S:S,'Supp Consol'!Y:Y,"Releasable",'Supp Consol'!A:A,O935)=0,"",SUMIFS('Supp Consol'!S:S,'Supp Consol'!Y:Y,"Releasable",'Supp Consol'!A:A,O935))</f>
        <v/>
      </c>
      <c r="AG935" s="25" t="str">
        <f>IFERROR(INDEX('Hun Demand'!Q:Q,MATCH(O935,'Hun Demand'!A:A,0)),"")</f>
        <v/>
      </c>
      <c r="AH935" s="25" t="str">
        <f>IFERROR(INDEX('Hun Demand'!H:H,MATCH($O935,'Hun Demand'!$A:$A,0)),"")</f>
        <v/>
      </c>
      <c r="AI935" s="25" t="str">
        <f>IF(SUMIFS('Supp Consol'!AA:AA,'Supp Consol'!Z:Z,"Expires this month",'Supp Consol'!A:A,O935)=0,"",SUMIFS('Supp Consol'!AA:AA,'Supp Consol'!Z:Z,"Expires this month",'Supp Consol'!A:A,O935))</f>
        <v/>
      </c>
      <c r="AJ935" s="25" t="str">
        <f>IF(SUMIFS('Supp Consol'!AA:AA,'Supp Consol'!Z:Z,"Expired Previous Months",'Supp Consol'!A:A,O935)=0,"",SUMIFS('Supp Consol'!AA:AA,'Supp Consol'!Z:Z,"Expired Previous Months",'Supp Consol'!A:A,O935))</f>
        <v/>
      </c>
      <c r="AK935" s="25" t="str">
        <f>IFERROR(INDEX('Hun Release Current'!B:B,MATCH(O935,'Hun Release Current'!A:A,0)),"")</f>
        <v/>
      </c>
      <c r="AL935" s="25" t="str">
        <f>IF(SUMIF('Prev Aub'!A:A,O935,'Prev Aub'!B:B)=0,"",SUMIF('Prev Aub'!A:A,O935,'Prev Aub'!B:B))</f>
        <v/>
      </c>
      <c r="AN935" s="25" t="s">
        <v>3790</v>
      </c>
      <c r="AO935" s="25" t="s">
        <v>3790</v>
      </c>
      <c r="AP935" s="25">
        <f t="shared" si="398"/>
        <v>0</v>
      </c>
      <c r="AQ935" s="151" t="str">
        <f>IF(SUMIFS('Supp Consol'!S:S,'Supp Consol'!A:A,O935,'Supp Consol'!I:I,"PENDING")=0,"",SUMIFS('Supp Consol'!S:S,'Supp Consol'!A:A,O935,'Supp Consol'!I:I,"PENDING"))</f>
        <v/>
      </c>
      <c r="AR935" s="27" t="str">
        <f t="shared" si="399"/>
        <v>RK604</v>
      </c>
      <c r="AS935" s="27" t="str">
        <f t="shared" si="400"/>
        <v>50</v>
      </c>
      <c r="AT935" s="27" t="str">
        <f t="shared" si="401"/>
        <v/>
      </c>
      <c r="AU935" s="27" t="str">
        <f t="shared" si="402"/>
        <v/>
      </c>
      <c r="AV935" s="27" t="str">
        <f t="shared" si="403"/>
        <v/>
      </c>
      <c r="AW935" s="27" t="str">
        <f t="shared" si="404"/>
        <v/>
      </c>
      <c r="AX935" s="27" t="str">
        <f t="shared" si="405"/>
        <v/>
      </c>
      <c r="AY935" s="27" t="str">
        <f t="shared" si="406"/>
        <v/>
      </c>
      <c r="AZ935" s="27" t="str">
        <f t="shared" si="407"/>
        <v/>
      </c>
      <c r="BA935" s="27" t="str">
        <f t="shared" si="408"/>
        <v/>
      </c>
      <c r="BB935" s="27" t="str">
        <f t="shared" si="409"/>
        <v/>
      </c>
      <c r="BC935" s="27" t="str">
        <f t="shared" si="410"/>
        <v/>
      </c>
      <c r="BD935" s="27" t="str">
        <f t="shared" si="411"/>
        <v/>
      </c>
      <c r="BE935" s="27" t="str">
        <f t="shared" si="412"/>
        <v/>
      </c>
      <c r="BF935" s="27" t="str">
        <f t="shared" si="413"/>
        <v/>
      </c>
      <c r="BG935" s="27" t="str">
        <f t="shared" si="414"/>
        <v/>
      </c>
      <c r="BH935" s="27" t="str">
        <f t="shared" si="415"/>
        <v/>
      </c>
      <c r="BI935" s="27" t="str">
        <f t="shared" si="416"/>
        <v/>
      </c>
      <c r="BJ935" s="27" t="str">
        <f t="shared" si="417"/>
        <v/>
      </c>
      <c r="BK935" s="27" t="str">
        <f t="shared" si="418"/>
        <v/>
      </c>
      <c r="BL935" s="27" t="str">
        <f t="shared" si="419"/>
        <v/>
      </c>
      <c r="BM935" s="21" t="s">
        <v>3790</v>
      </c>
    </row>
    <row r="936" spans="1:65" ht="15">
      <c r="A936" s="25" t="str">
        <f>IFERROR(INDEX('Hun Demand'!W:W,MATCH(O936,'Hun Demand'!A:A,0)),"")</f>
        <v/>
      </c>
      <c r="B936" s="25" t="str">
        <f>IFERROR(INDEX('Hun Demand'!V:V,MATCH(O936,'Hun Demand'!A:A,0)),"")</f>
        <v/>
      </c>
      <c r="C936" s="25" t="str">
        <f>IFERROR(INDEX('Hun Demand'!U:U,MATCH(O936,'Hun Demand'!A:A,0)),"")</f>
        <v/>
      </c>
      <c r="D936" s="25" t="str">
        <f>IFERROR(INDEX('Hun Demand'!T:T,MATCH(O936,'Hun Demand'!A:A,0)),"")</f>
        <v/>
      </c>
      <c r="E936" s="25" t="str">
        <f>IFERROR(INDEX('Hun Demand'!S:S,MATCH(O936,'Hun Demand'!A:A,0)),"")</f>
        <v/>
      </c>
      <c r="F936" s="25" t="str">
        <f>IFERROR(INDEX('Hun Demand'!R:R,MATCH(O936,'Hun Demand'!A:A,0)),"")</f>
        <v/>
      </c>
      <c r="G936" s="25">
        <f>IFERROR(INDEX('Aub Demand'!W:W,MATCH(O936,'Aub Demand'!A:A,0)),"")</f>
        <v>0</v>
      </c>
      <c r="H936" s="25">
        <f>IFERROR(INDEX('Aub Demand'!V:V,MATCH(O936,'Aub Demand'!A:A,0)),"")</f>
        <v>0</v>
      </c>
      <c r="I936" s="25">
        <f>IFERROR(INDEX('Aub Demand'!U:U,MATCH(O936,'Aub Demand'!A:A,0)),"")</f>
        <v>0</v>
      </c>
      <c r="J936" s="25">
        <f>IFERROR(INDEX('Aub Demand'!T:T,MATCH(O936,'Aub Demand'!A:A,0)),"")</f>
        <v>0</v>
      </c>
      <c r="K936" s="25">
        <f>IFERROR(INDEX('Aub Demand'!S:S,MATCH(O936,'Aub Demand'!A:A,0)),"")</f>
        <v>0</v>
      </c>
      <c r="L936" s="25">
        <f>IFERROR(INDEX('Aub Demand'!R:R,MATCH(O936,'Aub Demand'!A:A,0)),"")</f>
        <v>0</v>
      </c>
      <c r="O936" s="27" t="s">
        <v>2485</v>
      </c>
      <c r="P936" s="27" t="str">
        <f>IFERROR(INDEX('Aub Demand'!B:B,MATCH($O936,'Aub Demand'!$A:$A,0)),"")</f>
        <v>VIC'S VENUE</v>
      </c>
      <c r="Q936" s="27" t="str">
        <f>IFERROR(INDEX('Aub Demand'!C:C,MATCH($O936,'Aub Demand'!$A:$A,0)),"")</f>
        <v>DNP A</v>
      </c>
      <c r="R936" s="52">
        <f>IFERROR(IF(AR937=AR936,INDEX('Aub Demand'!K:K,MATCH($O936,'Aub Demand'!$A:$A,0))-IF(AN936="",0,AN936)+AP937,INDEX('Aub Demand'!K:K,MATCH($O936,'Aub Demand'!$A:$A,0))-IF(AN936="",0,AN936)),"")</f>
        <v>642</v>
      </c>
      <c r="S936" s="53" t="str">
        <f t="shared" si="392"/>
        <v>n/a</v>
      </c>
      <c r="T936" s="52" t="str">
        <f t="shared" si="393"/>
        <v/>
      </c>
      <c r="U936" s="52">
        <f>IFERROR(IF(AR937=AR936,INDEX('Aub Demand'!Q:Q,MATCH($O936,'Aub Demand'!$A:$A,0))-IF(AN936="",0,AN936)+AP937,INDEX('Aub Demand'!Q:Q,MATCH($O936,'Aub Demand'!$A:$A,0))-IF(AN936="",0,AN936)),"")</f>
        <v>642</v>
      </c>
      <c r="V936" s="53" t="str">
        <f t="shared" si="394"/>
        <v>n/a</v>
      </c>
      <c r="W936" s="52" t="str">
        <f t="shared" si="395"/>
        <v/>
      </c>
      <c r="X936" s="52">
        <f>IFERROR(IF(AND(AR937=AR936,AM936&lt;&gt;""),INDEX('Aub Demand'!Q:Q,MATCH($O936,'Aub Demand'!$A:$A,0))-IF(AN936="",0,AN936)+AP937+AD936+AL936,IF(AR937=AR936,INDEX('Aub Demand'!Q:Q,MATCH($O936,'Aub Demand'!$A:$A,0))-IF(AN936="",0,AN936)+AP937+AD936,IF(AM936&lt;&gt;"",INDEX('Aub Demand'!Q:Q,MATCH($O936,'Aub Demand'!$A:$A,0))-IF(AN936="",0,AN936)+AD936+AL936,INDEX('Aub Demand'!Q:Q,MATCH($O936,'Aub Demand'!$A:$A,0))-IF(AN936="",0,AN936)+AD936))),"")</f>
        <v>642</v>
      </c>
      <c r="Y936" s="53" t="str">
        <f t="shared" si="396"/>
        <v>n/a</v>
      </c>
      <c r="Z936" s="52">
        <f>IF(L936="","",INDEX('Aub Demand'!H:H,MATCH($O936,'Aub Demand'!$A:$A,0)))</f>
        <v>0</v>
      </c>
      <c r="AA936" s="52" t="str">
        <f t="shared" si="397"/>
        <v>-spike-</v>
      </c>
      <c r="AB936" s="52">
        <f>IFERROR(INDEX('Aub Demand'!L:L,MATCH($O936,'Aub Demand'!$A:$A,0)),"")</f>
        <v>0</v>
      </c>
      <c r="AC936" s="52">
        <f>IFERROR(IF(O936="","",SUMIFS('CPL Mats'!F:F,'CPL Mats'!Q:Q,AR936,'CPL Mats'!S:S,AS936)),"")</f>
        <v>0</v>
      </c>
      <c r="AF936" s="25" t="str">
        <f>IF(SUMIFS('Supp Consol'!S:S,'Supp Consol'!Y:Y,"Releasable",'Supp Consol'!A:A,O936)=0,"",SUMIFS('Supp Consol'!S:S,'Supp Consol'!Y:Y,"Releasable",'Supp Consol'!A:A,O936))</f>
        <v/>
      </c>
      <c r="AG936" s="25" t="str">
        <f>IFERROR(INDEX('Hun Demand'!Q:Q,MATCH(O936,'Hun Demand'!A:A,0)),"")</f>
        <v/>
      </c>
      <c r="AH936" s="25" t="str">
        <f>IFERROR(INDEX('Hun Demand'!H:H,MATCH($O936,'Hun Demand'!$A:$A,0)),"")</f>
        <v/>
      </c>
      <c r="AI936" s="25" t="str">
        <f>IF(SUMIFS('Supp Consol'!AA:AA,'Supp Consol'!Z:Z,"Expires this month",'Supp Consol'!A:A,O936)=0,"",SUMIFS('Supp Consol'!AA:AA,'Supp Consol'!Z:Z,"Expires this month",'Supp Consol'!A:A,O936))</f>
        <v/>
      </c>
      <c r="AJ936" s="25" t="str">
        <f>IF(SUMIFS('Supp Consol'!AA:AA,'Supp Consol'!Z:Z,"Expired Previous Months",'Supp Consol'!A:A,O936)=0,"",SUMIFS('Supp Consol'!AA:AA,'Supp Consol'!Z:Z,"Expired Previous Months",'Supp Consol'!A:A,O936))</f>
        <v/>
      </c>
      <c r="AK936" s="25" t="str">
        <f>IFERROR(INDEX('Hun Release Current'!B:B,MATCH(O936,'Hun Release Current'!A:A,0)),"")</f>
        <v/>
      </c>
      <c r="AL936" s="25" t="str">
        <f>IF(SUMIF('Prev Aub'!A:A,O936,'Prev Aub'!B:B)=0,"",SUMIF('Prev Aub'!A:A,O936,'Prev Aub'!B:B))</f>
        <v/>
      </c>
      <c r="AN936" s="25" t="s">
        <v>3790</v>
      </c>
      <c r="AO936" s="25" t="s">
        <v>3790</v>
      </c>
      <c r="AP936" s="25">
        <f t="shared" si="398"/>
        <v>0</v>
      </c>
      <c r="AQ936" s="151" t="str">
        <f>IF(SUMIFS('Supp Consol'!S:S,'Supp Consol'!A:A,O936,'Supp Consol'!I:I,"PENDING")=0,"",SUMIFS('Supp Consol'!S:S,'Supp Consol'!A:A,O936,'Supp Consol'!I:I,"PENDING"))</f>
        <v/>
      </c>
      <c r="AR936" s="27" t="str">
        <f t="shared" si="399"/>
        <v>RK604</v>
      </c>
      <c r="AS936" s="27" t="str">
        <f t="shared" si="400"/>
        <v>62</v>
      </c>
      <c r="AT936" s="27" t="str">
        <f t="shared" si="401"/>
        <v/>
      </c>
      <c r="AU936" s="27" t="str">
        <f t="shared" si="402"/>
        <v/>
      </c>
      <c r="AV936" s="27" t="str">
        <f t="shared" si="403"/>
        <v/>
      </c>
      <c r="AW936" s="27" t="str">
        <f t="shared" si="404"/>
        <v/>
      </c>
      <c r="AX936" s="27" t="str">
        <f t="shared" si="405"/>
        <v/>
      </c>
      <c r="AY936" s="27" t="str">
        <f t="shared" si="406"/>
        <v/>
      </c>
      <c r="AZ936" s="27" t="str">
        <f t="shared" si="407"/>
        <v/>
      </c>
      <c r="BA936" s="27" t="str">
        <f t="shared" si="408"/>
        <v/>
      </c>
      <c r="BB936" s="27" t="str">
        <f t="shared" si="409"/>
        <v/>
      </c>
      <c r="BC936" s="27" t="str">
        <f t="shared" si="410"/>
        <v/>
      </c>
      <c r="BD936" s="27" t="str">
        <f t="shared" si="411"/>
        <v/>
      </c>
      <c r="BE936" s="27" t="str">
        <f t="shared" si="412"/>
        <v/>
      </c>
      <c r="BF936" s="27" t="str">
        <f t="shared" si="413"/>
        <v/>
      </c>
      <c r="BG936" s="27" t="str">
        <f t="shared" si="414"/>
        <v/>
      </c>
      <c r="BH936" s="27" t="str">
        <f t="shared" si="415"/>
        <v/>
      </c>
      <c r="BI936" s="27" t="str">
        <f t="shared" si="416"/>
        <v/>
      </c>
      <c r="BJ936" s="27" t="str">
        <f t="shared" si="417"/>
        <v/>
      </c>
      <c r="BK936" s="27" t="str">
        <f t="shared" si="418"/>
        <v/>
      </c>
      <c r="BL936" s="27" t="str">
        <f t="shared" si="419"/>
        <v/>
      </c>
      <c r="BM936" s="21" t="s">
        <v>3790</v>
      </c>
    </row>
    <row r="937" spans="1:65" ht="15">
      <c r="A937" s="25" t="str">
        <f>IFERROR(INDEX('Hun Demand'!W:W,MATCH(O937,'Hun Demand'!A:A,0)),"")</f>
        <v/>
      </c>
      <c r="B937" s="25" t="str">
        <f>IFERROR(INDEX('Hun Demand'!V:V,MATCH(O937,'Hun Demand'!A:A,0)),"")</f>
        <v/>
      </c>
      <c r="C937" s="25" t="str">
        <f>IFERROR(INDEX('Hun Demand'!U:U,MATCH(O937,'Hun Demand'!A:A,0)),"")</f>
        <v/>
      </c>
      <c r="D937" s="25" t="str">
        <f>IFERROR(INDEX('Hun Demand'!T:T,MATCH(O937,'Hun Demand'!A:A,0)),"")</f>
        <v/>
      </c>
      <c r="E937" s="25" t="str">
        <f>IFERROR(INDEX('Hun Demand'!S:S,MATCH(O937,'Hun Demand'!A:A,0)),"")</f>
        <v/>
      </c>
      <c r="F937" s="25" t="str">
        <f>IFERROR(INDEX('Hun Demand'!R:R,MATCH(O937,'Hun Demand'!A:A,0)),"")</f>
        <v/>
      </c>
      <c r="G937" s="25">
        <f>IFERROR(INDEX('Aub Demand'!W:W,MATCH(O937,'Aub Demand'!A:A,0)),"")</f>
        <v>0</v>
      </c>
      <c r="H937" s="25">
        <f>IFERROR(INDEX('Aub Demand'!V:V,MATCH(O937,'Aub Demand'!A:A,0)),"")</f>
        <v>18</v>
      </c>
      <c r="I937" s="25">
        <f>IFERROR(INDEX('Aub Demand'!U:U,MATCH(O937,'Aub Demand'!A:A,0)),"")</f>
        <v>48</v>
      </c>
      <c r="J937" s="25">
        <f>IFERROR(INDEX('Aub Demand'!T:T,MATCH(O937,'Aub Demand'!A:A,0)),"")</f>
        <v>39</v>
      </c>
      <c r="K937" s="25">
        <f>IFERROR(INDEX('Aub Demand'!S:S,MATCH(O937,'Aub Demand'!A:A,0)),"")</f>
        <v>0</v>
      </c>
      <c r="L937" s="25">
        <f>IFERROR(INDEX('Aub Demand'!R:R,MATCH(O937,'Aub Demand'!A:A,0)),"")</f>
        <v>0</v>
      </c>
      <c r="O937" s="27" t="s">
        <v>2486</v>
      </c>
      <c r="P937" s="27" t="str">
        <f>IFERROR(INDEX('Aub Demand'!B:B,MATCH($O937,'Aub Demand'!$A:$A,0)),"")</f>
        <v>VETO PROOF</v>
      </c>
      <c r="Q937" s="27" t="str">
        <f>IFERROR(INDEX('Aub Demand'!C:C,MATCH($O937,'Aub Demand'!$A:$A,0)),"")</f>
        <v>INTER</v>
      </c>
      <c r="R937" s="52">
        <f>IFERROR(IF(AR938=AR937,INDEX('Aub Demand'!K:K,MATCH($O937,'Aub Demand'!$A:$A,0))-IF(AN937="",0,AN937)+AP938,INDEX('Aub Demand'!K:K,MATCH($O937,'Aub Demand'!$A:$A,0))-IF(AN937="",0,AN937)),"")</f>
        <v>780</v>
      </c>
      <c r="S937" s="53">
        <f t="shared" si="392"/>
        <v>115.3</v>
      </c>
      <c r="T937" s="52" t="str">
        <f t="shared" si="393"/>
        <v/>
      </c>
      <c r="U937" s="52">
        <f>IFERROR(IF(AR938=AR937,INDEX('Aub Demand'!Q:Q,MATCH($O937,'Aub Demand'!$A:$A,0))-IF(AN937="",0,AN937)+AP938,INDEX('Aub Demand'!Q:Q,MATCH($O937,'Aub Demand'!$A:$A,0))-IF(AN937="",0,AN937)),"")</f>
        <v>769</v>
      </c>
      <c r="V937" s="53">
        <f t="shared" si="394"/>
        <v>113.6</v>
      </c>
      <c r="W937" s="52" t="str">
        <f t="shared" si="395"/>
        <v/>
      </c>
      <c r="X937" s="52">
        <f>IFERROR(IF(AND(AR938=AR937,AM937&lt;&gt;""),INDEX('Aub Demand'!Q:Q,MATCH($O937,'Aub Demand'!$A:$A,0))-IF(AN937="",0,AN937)+AP938+AD937+AL937,IF(AR938=AR937,INDEX('Aub Demand'!Q:Q,MATCH($O937,'Aub Demand'!$A:$A,0))-IF(AN937="",0,AN937)+AP938+AD937,IF(AM937&lt;&gt;"",INDEX('Aub Demand'!Q:Q,MATCH($O937,'Aub Demand'!$A:$A,0))-IF(AN937="",0,AN937)+AD937+AL937,INDEX('Aub Demand'!Q:Q,MATCH($O937,'Aub Demand'!$A:$A,0))-IF(AN937="",0,AN937)+AD937))),"")</f>
        <v>769</v>
      </c>
      <c r="Y937" s="53">
        <f t="shared" si="396"/>
        <v>113.6</v>
      </c>
      <c r="Z937" s="52">
        <f>IF(L937="","",INDEX('Aub Demand'!H:H,MATCH($O937,'Aub Demand'!$A:$A,0)))</f>
        <v>29</v>
      </c>
      <c r="AA937" s="52">
        <f t="shared" si="397"/>
        <v>43.5</v>
      </c>
      <c r="AB937" s="52">
        <f>IFERROR(INDEX('Aub Demand'!L:L,MATCH($O937,'Aub Demand'!$A:$A,0)),"")</f>
        <v>4</v>
      </c>
      <c r="AC937" s="52">
        <f>IFERROR(IF(O937="","",SUMIFS('CPL Mats'!F:F,'CPL Mats'!Q:Q,AR937,'CPL Mats'!S:S,AS937)),"")</f>
        <v>0</v>
      </c>
      <c r="AF937" s="25" t="str">
        <f>IF(SUMIFS('Supp Consol'!S:S,'Supp Consol'!Y:Y,"Releasable",'Supp Consol'!A:A,O937)=0,"",SUMIFS('Supp Consol'!S:S,'Supp Consol'!Y:Y,"Releasable",'Supp Consol'!A:A,O937))</f>
        <v/>
      </c>
      <c r="AG937" s="25" t="str">
        <f>IFERROR(INDEX('Hun Demand'!Q:Q,MATCH(O937,'Hun Demand'!A:A,0)),"")</f>
        <v/>
      </c>
      <c r="AH937" s="25" t="str">
        <f>IFERROR(INDEX('Hun Demand'!H:H,MATCH($O937,'Hun Demand'!$A:$A,0)),"")</f>
        <v/>
      </c>
      <c r="AI937" s="25" t="str">
        <f>IF(SUMIFS('Supp Consol'!AA:AA,'Supp Consol'!Z:Z,"Expires this month",'Supp Consol'!A:A,O937)=0,"",SUMIFS('Supp Consol'!AA:AA,'Supp Consol'!Z:Z,"Expires this month",'Supp Consol'!A:A,O937))</f>
        <v/>
      </c>
      <c r="AJ937" s="25" t="str">
        <f>IF(SUMIFS('Supp Consol'!AA:AA,'Supp Consol'!Z:Z,"Expired Previous Months",'Supp Consol'!A:A,O937)=0,"",SUMIFS('Supp Consol'!AA:AA,'Supp Consol'!Z:Z,"Expired Previous Months",'Supp Consol'!A:A,O937))</f>
        <v/>
      </c>
      <c r="AK937" s="25" t="str">
        <f>IFERROR(INDEX('Hun Release Current'!B:B,MATCH(O937,'Hun Release Current'!A:A,0)),"")</f>
        <v/>
      </c>
      <c r="AL937" s="25" t="str">
        <f>IF(SUMIF('Prev Aub'!A:A,O937,'Prev Aub'!B:B)=0,"",SUMIF('Prev Aub'!A:A,O937,'Prev Aub'!B:B))</f>
        <v/>
      </c>
      <c r="AN937" s="25" t="s">
        <v>3790</v>
      </c>
      <c r="AO937" s="25" t="s">
        <v>3790</v>
      </c>
      <c r="AP937" s="25">
        <f t="shared" si="398"/>
        <v>0</v>
      </c>
      <c r="AQ937" s="151" t="str">
        <f>IF(SUMIFS('Supp Consol'!S:S,'Supp Consol'!A:A,O937,'Supp Consol'!I:I,"PENDING")=0,"",SUMIFS('Supp Consol'!S:S,'Supp Consol'!A:A,O937,'Supp Consol'!I:I,"PENDING"))</f>
        <v/>
      </c>
      <c r="AR937" s="27" t="str">
        <f t="shared" si="399"/>
        <v>RK702</v>
      </c>
      <c r="AS937" s="27" t="str">
        <f t="shared" si="400"/>
        <v>50</v>
      </c>
      <c r="AT937" s="27" t="str">
        <f t="shared" si="401"/>
        <v/>
      </c>
      <c r="AU937" s="27" t="str">
        <f t="shared" si="402"/>
        <v/>
      </c>
      <c r="AV937" s="27" t="str">
        <f t="shared" si="403"/>
        <v/>
      </c>
      <c r="AW937" s="27" t="str">
        <f t="shared" si="404"/>
        <v/>
      </c>
      <c r="AX937" s="27" t="str">
        <f t="shared" si="405"/>
        <v/>
      </c>
      <c r="AY937" s="27" t="str">
        <f t="shared" si="406"/>
        <v/>
      </c>
      <c r="AZ937" s="27" t="str">
        <f t="shared" si="407"/>
        <v/>
      </c>
      <c r="BA937" s="27" t="str">
        <f t="shared" si="408"/>
        <v/>
      </c>
      <c r="BB937" s="27" t="str">
        <f t="shared" si="409"/>
        <v/>
      </c>
      <c r="BC937" s="27" t="str">
        <f t="shared" si="410"/>
        <v/>
      </c>
      <c r="BD937" s="27" t="str">
        <f t="shared" si="411"/>
        <v/>
      </c>
      <c r="BE937" s="27" t="str">
        <f t="shared" si="412"/>
        <v/>
      </c>
      <c r="BF937" s="27" t="str">
        <f t="shared" si="413"/>
        <v/>
      </c>
      <c r="BG937" s="27" t="str">
        <f t="shared" si="414"/>
        <v/>
      </c>
      <c r="BH937" s="27" t="str">
        <f t="shared" si="415"/>
        <v/>
      </c>
      <c r="BI937" s="27" t="str">
        <f t="shared" si="416"/>
        <v/>
      </c>
      <c r="BJ937" s="27" t="str">
        <f t="shared" si="417"/>
        <v/>
      </c>
      <c r="BK937" s="27" t="str">
        <f t="shared" si="418"/>
        <v/>
      </c>
      <c r="BL937" s="27" t="str">
        <f t="shared" si="419"/>
        <v/>
      </c>
      <c r="BM937" s="21" t="s">
        <v>5581</v>
      </c>
    </row>
    <row r="938" spans="1:65" ht="15">
      <c r="A938" s="25" t="str">
        <f>IFERROR(INDEX('Hun Demand'!W:W,MATCH(O938,'Hun Demand'!A:A,0)),"")</f>
        <v/>
      </c>
      <c r="B938" s="25" t="str">
        <f>IFERROR(INDEX('Hun Demand'!V:V,MATCH(O938,'Hun Demand'!A:A,0)),"")</f>
        <v/>
      </c>
      <c r="C938" s="25" t="str">
        <f>IFERROR(INDEX('Hun Demand'!U:U,MATCH(O938,'Hun Demand'!A:A,0)),"")</f>
        <v/>
      </c>
      <c r="D938" s="25" t="str">
        <f>IFERROR(INDEX('Hun Demand'!T:T,MATCH(O938,'Hun Demand'!A:A,0)),"")</f>
        <v/>
      </c>
      <c r="E938" s="25" t="str">
        <f>IFERROR(INDEX('Hun Demand'!S:S,MATCH(O938,'Hun Demand'!A:A,0)),"")</f>
        <v/>
      </c>
      <c r="F938" s="25" t="str">
        <f>IFERROR(INDEX('Hun Demand'!R:R,MATCH(O938,'Hun Demand'!A:A,0)),"")</f>
        <v/>
      </c>
      <c r="G938" s="25">
        <f>IFERROR(INDEX('Aub Demand'!W:W,MATCH(O938,'Aub Demand'!A:A,0)),"")</f>
        <v>0</v>
      </c>
      <c r="H938" s="25">
        <f>IFERROR(INDEX('Aub Demand'!V:V,MATCH(O938,'Aub Demand'!A:A,0)),"")</f>
        <v>0</v>
      </c>
      <c r="I938" s="25">
        <f>IFERROR(INDEX('Aub Demand'!U:U,MATCH(O938,'Aub Demand'!A:A,0)),"")</f>
        <v>23</v>
      </c>
      <c r="J938" s="25">
        <f>IFERROR(INDEX('Aub Demand'!T:T,MATCH(O938,'Aub Demand'!A:A,0)),"")</f>
        <v>149</v>
      </c>
      <c r="K938" s="25">
        <f>IFERROR(INDEX('Aub Demand'!S:S,MATCH(O938,'Aub Demand'!A:A,0)),"")</f>
        <v>0</v>
      </c>
      <c r="L938" s="25">
        <f>IFERROR(INDEX('Aub Demand'!R:R,MATCH(O938,'Aub Demand'!A:A,0)),"")</f>
        <v>0</v>
      </c>
      <c r="O938" s="27" t="s">
        <v>2488</v>
      </c>
      <c r="P938" s="27" t="str">
        <f>IFERROR(INDEX('Aub Demand'!B:B,MATCH($O938,'Aub Demand'!$A:$A,0)),"")</f>
        <v>VETO PROOF</v>
      </c>
      <c r="Q938" s="27" t="str">
        <f>IFERROR(INDEX('Aub Demand'!C:C,MATCH($O938,'Aub Demand'!$A:$A,0)),"")</f>
        <v>INTER</v>
      </c>
      <c r="R938" s="52">
        <f>IFERROR(IF(AR939=AR938,INDEX('Aub Demand'!K:K,MATCH($O938,'Aub Demand'!$A:$A,0))-IF(AN938="",0,AN938)+AP939,INDEX('Aub Demand'!K:K,MATCH($O938,'Aub Demand'!$A:$A,0))-IF(AN938="",0,AN938)),"")</f>
        <v>1716</v>
      </c>
      <c r="S938" s="53">
        <f t="shared" si="392"/>
        <v>129</v>
      </c>
      <c r="T938" s="52" t="str">
        <f t="shared" si="393"/>
        <v/>
      </c>
      <c r="U938" s="52">
        <f>IFERROR(IF(AR939=AR938,INDEX('Aub Demand'!Q:Q,MATCH($O938,'Aub Demand'!$A:$A,0))-IF(AN938="",0,AN938)+AP939,INDEX('Aub Demand'!Q:Q,MATCH($O938,'Aub Demand'!$A:$A,0))-IF(AN938="",0,AN938)),"")</f>
        <v>1685</v>
      </c>
      <c r="V938" s="53">
        <f t="shared" si="394"/>
        <v>126.7</v>
      </c>
      <c r="W938" s="52" t="str">
        <f t="shared" si="395"/>
        <v/>
      </c>
      <c r="X938" s="52">
        <f>IFERROR(IF(AND(AR939=AR938,AM938&lt;&gt;""),INDEX('Aub Demand'!Q:Q,MATCH($O938,'Aub Demand'!$A:$A,0))-IF(AN938="",0,AN938)+AP939+AD938+AL938,IF(AR939=AR938,INDEX('Aub Demand'!Q:Q,MATCH($O938,'Aub Demand'!$A:$A,0))-IF(AN938="",0,AN938)+AP939+AD938,IF(AM938&lt;&gt;"",INDEX('Aub Demand'!Q:Q,MATCH($O938,'Aub Demand'!$A:$A,0))-IF(AN938="",0,AN938)+AD938+AL938,INDEX('Aub Demand'!Q:Q,MATCH($O938,'Aub Demand'!$A:$A,0))-IF(AN938="",0,AN938)+AD938))),"")</f>
        <v>1685</v>
      </c>
      <c r="Y938" s="53">
        <f t="shared" si="396"/>
        <v>126.7</v>
      </c>
      <c r="Z938" s="52">
        <f>IF(L938="","",INDEX('Aub Demand'!H:H,MATCH($O938,'Aub Demand'!$A:$A,0)))</f>
        <v>57</v>
      </c>
      <c r="AA938" s="52">
        <f t="shared" si="397"/>
        <v>86</v>
      </c>
      <c r="AB938" s="52">
        <f>IFERROR(INDEX('Aub Demand'!L:L,MATCH($O938,'Aub Demand'!$A:$A,0)),"")</f>
        <v>22</v>
      </c>
      <c r="AC938" s="52">
        <f>IFERROR(IF(O938="","",SUMIFS('CPL Mats'!F:F,'CPL Mats'!Q:Q,AR938,'CPL Mats'!S:S,AS938)),"")</f>
        <v>0</v>
      </c>
      <c r="AF938" s="25" t="str">
        <f>IF(SUMIFS('Supp Consol'!S:S,'Supp Consol'!Y:Y,"Releasable",'Supp Consol'!A:A,O938)=0,"",SUMIFS('Supp Consol'!S:S,'Supp Consol'!Y:Y,"Releasable",'Supp Consol'!A:A,O938))</f>
        <v/>
      </c>
      <c r="AG938" s="25" t="str">
        <f>IFERROR(INDEX('Hun Demand'!Q:Q,MATCH(O938,'Hun Demand'!A:A,0)),"")</f>
        <v/>
      </c>
      <c r="AH938" s="25" t="str">
        <f>IFERROR(INDEX('Hun Demand'!H:H,MATCH($O938,'Hun Demand'!$A:$A,0)),"")</f>
        <v/>
      </c>
      <c r="AI938" s="25" t="str">
        <f>IF(SUMIFS('Supp Consol'!AA:AA,'Supp Consol'!Z:Z,"Expires this month",'Supp Consol'!A:A,O938)=0,"",SUMIFS('Supp Consol'!AA:AA,'Supp Consol'!Z:Z,"Expires this month",'Supp Consol'!A:A,O938))</f>
        <v/>
      </c>
      <c r="AJ938" s="25" t="str">
        <f>IF(SUMIFS('Supp Consol'!AA:AA,'Supp Consol'!Z:Z,"Expired Previous Months",'Supp Consol'!A:A,O938)=0,"",SUMIFS('Supp Consol'!AA:AA,'Supp Consol'!Z:Z,"Expired Previous Months",'Supp Consol'!A:A,O938))</f>
        <v/>
      </c>
      <c r="AK938" s="25" t="str">
        <f>IFERROR(INDEX('Hun Release Current'!B:B,MATCH(O938,'Hun Release Current'!A:A,0)),"")</f>
        <v/>
      </c>
      <c r="AL938" s="25" t="str">
        <f>IF(SUMIF('Prev Aub'!A:A,O938,'Prev Aub'!B:B)=0,"",SUMIF('Prev Aub'!A:A,O938,'Prev Aub'!B:B))</f>
        <v/>
      </c>
      <c r="AN938" s="25" t="s">
        <v>3790</v>
      </c>
      <c r="AO938" s="25" t="s">
        <v>3790</v>
      </c>
      <c r="AP938" s="25">
        <f t="shared" si="398"/>
        <v>0</v>
      </c>
      <c r="AQ938" s="151" t="str">
        <f>IF(SUMIFS('Supp Consol'!S:S,'Supp Consol'!A:A,O938,'Supp Consol'!I:I,"PENDING")=0,"",SUMIFS('Supp Consol'!S:S,'Supp Consol'!A:A,O938,'Supp Consol'!I:I,"PENDING"))</f>
        <v/>
      </c>
      <c r="AR938" s="27" t="str">
        <f t="shared" si="399"/>
        <v>RK702</v>
      </c>
      <c r="AS938" s="27" t="str">
        <f t="shared" si="400"/>
        <v>62</v>
      </c>
      <c r="AT938" s="27" t="str">
        <f t="shared" si="401"/>
        <v/>
      </c>
      <c r="AU938" s="27" t="str">
        <f t="shared" si="402"/>
        <v/>
      </c>
      <c r="AV938" s="27" t="str">
        <f t="shared" si="403"/>
        <v/>
      </c>
      <c r="AW938" s="27" t="str">
        <f t="shared" si="404"/>
        <v/>
      </c>
      <c r="AX938" s="27" t="str">
        <f t="shared" si="405"/>
        <v/>
      </c>
      <c r="AY938" s="27" t="str">
        <f t="shared" si="406"/>
        <v/>
      </c>
      <c r="AZ938" s="27" t="str">
        <f t="shared" si="407"/>
        <v/>
      </c>
      <c r="BA938" s="27" t="str">
        <f t="shared" si="408"/>
        <v/>
      </c>
      <c r="BB938" s="27" t="str">
        <f t="shared" si="409"/>
        <v/>
      </c>
      <c r="BC938" s="27" t="str">
        <f t="shared" si="410"/>
        <v/>
      </c>
      <c r="BD938" s="27" t="str">
        <f t="shared" si="411"/>
        <v/>
      </c>
      <c r="BE938" s="27" t="str">
        <f t="shared" si="412"/>
        <v/>
      </c>
      <c r="BF938" s="27" t="str">
        <f t="shared" si="413"/>
        <v/>
      </c>
      <c r="BG938" s="27" t="str">
        <f t="shared" si="414"/>
        <v/>
      </c>
      <c r="BH938" s="27" t="str">
        <f t="shared" si="415"/>
        <v/>
      </c>
      <c r="BI938" s="27" t="str">
        <f t="shared" si="416"/>
        <v/>
      </c>
      <c r="BJ938" s="27" t="str">
        <f t="shared" si="417"/>
        <v/>
      </c>
      <c r="BK938" s="27" t="str">
        <f t="shared" si="418"/>
        <v/>
      </c>
      <c r="BL938" s="27" t="str">
        <f t="shared" si="419"/>
        <v/>
      </c>
      <c r="BM938" s="21" t="s">
        <v>5581</v>
      </c>
    </row>
    <row r="939" spans="1:65" ht="15">
      <c r="A939" s="25" t="str">
        <f>IFERROR(INDEX('Hun Demand'!W:W,MATCH(O939,'Hun Demand'!A:A,0)),"")</f>
        <v/>
      </c>
      <c r="B939" s="25" t="str">
        <f>IFERROR(INDEX('Hun Demand'!V:V,MATCH(O939,'Hun Demand'!A:A,0)),"")</f>
        <v/>
      </c>
      <c r="C939" s="25" t="str">
        <f>IFERROR(INDEX('Hun Demand'!U:U,MATCH(O939,'Hun Demand'!A:A,0)),"")</f>
        <v/>
      </c>
      <c r="D939" s="25" t="str">
        <f>IFERROR(INDEX('Hun Demand'!T:T,MATCH(O939,'Hun Demand'!A:A,0)),"")</f>
        <v/>
      </c>
      <c r="E939" s="25" t="str">
        <f>IFERROR(INDEX('Hun Demand'!S:S,MATCH(O939,'Hun Demand'!A:A,0)),"")</f>
        <v/>
      </c>
      <c r="F939" s="25" t="str">
        <f>IFERROR(INDEX('Hun Demand'!R:R,MATCH(O939,'Hun Demand'!A:A,0)),"")</f>
        <v/>
      </c>
      <c r="G939" s="25">
        <f>IFERROR(INDEX('Aub Demand'!W:W,MATCH(O939,'Aub Demand'!A:A,0)),"")</f>
        <v>0</v>
      </c>
      <c r="H939" s="25">
        <f>IFERROR(INDEX('Aub Demand'!V:V,MATCH(O939,'Aub Demand'!A:A,0)),"")</f>
        <v>0</v>
      </c>
      <c r="I939" s="25">
        <f>IFERROR(INDEX('Aub Demand'!U:U,MATCH(O939,'Aub Demand'!A:A,0)),"")</f>
        <v>0</v>
      </c>
      <c r="J939" s="25">
        <f>IFERROR(INDEX('Aub Demand'!T:T,MATCH(O939,'Aub Demand'!A:A,0)),"")</f>
        <v>16</v>
      </c>
      <c r="K939" s="25">
        <f>IFERROR(INDEX('Aub Demand'!S:S,MATCH(O939,'Aub Demand'!A:A,0)),"")</f>
        <v>60</v>
      </c>
      <c r="L939" s="25">
        <f>IFERROR(INDEX('Aub Demand'!R:R,MATCH(O939,'Aub Demand'!A:A,0)),"")</f>
        <v>0</v>
      </c>
      <c r="O939" s="27" t="s">
        <v>2489</v>
      </c>
      <c r="P939" s="27" t="str">
        <f>IFERROR(INDEX('Aub Demand'!B:B,MATCH($O939,'Aub Demand'!$A:$A,0)),"")</f>
        <v>BURGUNDY</v>
      </c>
      <c r="Q939" s="27" t="str">
        <f>IFERROR(INDEX('Aub Demand'!C:C,MATCH($O939,'Aub Demand'!$A:$A,0)),"")</f>
        <v>ONYX</v>
      </c>
      <c r="R939" s="52">
        <f>IFERROR(IF(AR940=AR939,INDEX('Aub Demand'!K:K,MATCH($O939,'Aub Demand'!$A:$A,0))-IF(AN939="",0,AN939)+AP940,INDEX('Aub Demand'!K:K,MATCH($O939,'Aub Demand'!$A:$A,0))-IF(AN939="",0,AN939)),"")</f>
        <v>0</v>
      </c>
      <c r="S939" s="53">
        <f t="shared" si="392"/>
        <v>0</v>
      </c>
      <c r="T939" s="52">
        <f t="shared" si="393"/>
        <v>28.5</v>
      </c>
      <c r="U939" s="52">
        <f>IFERROR(IF(AR940=AR939,INDEX('Aub Demand'!Q:Q,MATCH($O939,'Aub Demand'!$A:$A,0))-IF(AN939="",0,AN939)+AP940,INDEX('Aub Demand'!Q:Q,MATCH($O939,'Aub Demand'!$A:$A,0))-IF(AN939="",0,AN939)),"")</f>
        <v>0</v>
      </c>
      <c r="V939" s="53">
        <f t="shared" si="394"/>
        <v>0</v>
      </c>
      <c r="W939" s="52">
        <f t="shared" si="395"/>
        <v>28.5</v>
      </c>
      <c r="X939" s="52">
        <f>IFERROR(IF(AND(AR940=AR939,AM939&lt;&gt;""),INDEX('Aub Demand'!Q:Q,MATCH($O939,'Aub Demand'!$A:$A,0))-IF(AN939="",0,AN939)+AP940+AD939+AL939,IF(AR940=AR939,INDEX('Aub Demand'!Q:Q,MATCH($O939,'Aub Demand'!$A:$A,0))-IF(AN939="",0,AN939)+AP940+AD939,IF(AM939&lt;&gt;"",INDEX('Aub Demand'!Q:Q,MATCH($O939,'Aub Demand'!$A:$A,0))-IF(AN939="",0,AN939)+AD939+AL939,INDEX('Aub Demand'!Q:Q,MATCH($O939,'Aub Demand'!$A:$A,0))-IF(AN939="",0,AN939)+AD939))),"")</f>
        <v>0</v>
      </c>
      <c r="Y939" s="53">
        <f t="shared" si="396"/>
        <v>0</v>
      </c>
      <c r="Z939" s="52">
        <f>IF(L939="","",INDEX('Aub Demand'!H:H,MATCH($O939,'Aub Demand'!$A:$A,0)))</f>
        <v>25</v>
      </c>
      <c r="AA939" s="52">
        <f t="shared" si="397"/>
        <v>38</v>
      </c>
      <c r="AB939" s="52">
        <f>IFERROR(INDEX('Aub Demand'!L:L,MATCH($O939,'Aub Demand'!$A:$A,0)),"")</f>
        <v>15</v>
      </c>
      <c r="AC939" s="52">
        <f>IFERROR(IF(O939="","",SUMIFS('CPL Mats'!F:F,'CPL Mats'!Q:Q,AR939,'CPL Mats'!S:S,AS939)),"")</f>
        <v>0</v>
      </c>
      <c r="AF939" s="25" t="str">
        <f>IF(SUMIFS('Supp Consol'!S:S,'Supp Consol'!Y:Y,"Releasable",'Supp Consol'!A:A,O939)=0,"",SUMIFS('Supp Consol'!S:S,'Supp Consol'!Y:Y,"Releasable",'Supp Consol'!A:A,O939))</f>
        <v/>
      </c>
      <c r="AG939" s="25" t="str">
        <f>IFERROR(INDEX('Hun Demand'!Q:Q,MATCH(O939,'Hun Demand'!A:A,0)),"")</f>
        <v/>
      </c>
      <c r="AH939" s="25" t="str">
        <f>IFERROR(INDEX('Hun Demand'!H:H,MATCH($O939,'Hun Demand'!$A:$A,0)),"")</f>
        <v/>
      </c>
      <c r="AI939" s="25" t="str">
        <f>IF(SUMIFS('Supp Consol'!AA:AA,'Supp Consol'!Z:Z,"Expires this month",'Supp Consol'!A:A,O939)=0,"",SUMIFS('Supp Consol'!AA:AA,'Supp Consol'!Z:Z,"Expires this month",'Supp Consol'!A:A,O939))</f>
        <v/>
      </c>
      <c r="AJ939" s="25" t="str">
        <f>IF(SUMIFS('Supp Consol'!AA:AA,'Supp Consol'!Z:Z,"Expired Previous Months",'Supp Consol'!A:A,O939)=0,"",SUMIFS('Supp Consol'!AA:AA,'Supp Consol'!Z:Z,"Expired Previous Months",'Supp Consol'!A:A,O939))</f>
        <v/>
      </c>
      <c r="AK939" s="25" t="str">
        <f>IFERROR(INDEX('Hun Release Current'!B:B,MATCH(O939,'Hun Release Current'!A:A,0)),"")</f>
        <v/>
      </c>
      <c r="AL939" s="25" t="str">
        <f>IF(SUMIF('Prev Aub'!A:A,O939,'Prev Aub'!B:B)=0,"",SUMIF('Prev Aub'!A:A,O939,'Prev Aub'!B:B))</f>
        <v/>
      </c>
      <c r="AN939" s="25" t="s">
        <v>3790</v>
      </c>
      <c r="AO939" s="25" t="s">
        <v>3790</v>
      </c>
      <c r="AP939" s="25">
        <f t="shared" si="398"/>
        <v>0</v>
      </c>
      <c r="AQ939" s="151" t="str">
        <f>IF(SUMIFS('Supp Consol'!S:S,'Supp Consol'!A:A,O939,'Supp Consol'!I:I,"PENDING")=0,"",SUMIFS('Supp Consol'!S:S,'Supp Consol'!A:A,O939,'Supp Consol'!I:I,"PENDING"))</f>
        <v/>
      </c>
      <c r="AR939" s="27" t="str">
        <f t="shared" si="399"/>
        <v>S1015</v>
      </c>
      <c r="AS939" s="27" t="str">
        <f t="shared" si="400"/>
        <v>50</v>
      </c>
      <c r="AT939" s="27" t="str">
        <f t="shared" si="401"/>
        <v>S1015</v>
      </c>
      <c r="AU939" s="27" t="str">
        <f t="shared" si="402"/>
        <v>S1015</v>
      </c>
      <c r="AV939" s="27" t="str">
        <f t="shared" si="403"/>
        <v>S1015</v>
      </c>
      <c r="AW939" s="27" t="str">
        <f t="shared" si="404"/>
        <v/>
      </c>
      <c r="AX939" s="27" t="str">
        <f t="shared" si="405"/>
        <v/>
      </c>
      <c r="AY939" s="27" t="str">
        <f t="shared" si="406"/>
        <v/>
      </c>
      <c r="AZ939" s="27" t="str">
        <f t="shared" si="407"/>
        <v/>
      </c>
      <c r="BA939" s="27" t="str">
        <f t="shared" si="408"/>
        <v>Hun</v>
      </c>
      <c r="BB939" s="27" t="str">
        <f t="shared" si="409"/>
        <v>Gross</v>
      </c>
      <c r="BC939" s="27" t="str">
        <f t="shared" si="410"/>
        <v>Net</v>
      </c>
      <c r="BD939" s="27" t="str">
        <f t="shared" si="411"/>
        <v>Net</v>
      </c>
      <c r="BE939" s="27" t="str">
        <f t="shared" si="412"/>
        <v/>
      </c>
      <c r="BF939" s="27" t="str">
        <f t="shared" si="413"/>
        <v/>
      </c>
      <c r="BG939" s="27" t="str">
        <f t="shared" si="414"/>
        <v/>
      </c>
      <c r="BH939" s="27" t="str">
        <f t="shared" si="415"/>
        <v>H+N</v>
      </c>
      <c r="BI939" s="27" t="str">
        <f t="shared" si="416"/>
        <v>H+Nex</v>
      </c>
      <c r="BJ939" s="27" t="str">
        <f t="shared" si="417"/>
        <v>Supp or Hun</v>
      </c>
      <c r="BK939" s="27" t="str">
        <f t="shared" si="418"/>
        <v>Supp or Hun Need</v>
      </c>
      <c r="BL939" s="27" t="str">
        <f t="shared" si="419"/>
        <v>SorHandNandE</v>
      </c>
      <c r="BM939" s="21" t="s">
        <v>5581</v>
      </c>
    </row>
    <row r="940" spans="1:65" ht="15">
      <c r="A940" s="25">
        <f>IFERROR(INDEX('Hun Demand'!W:W,MATCH(O940,'Hun Demand'!A:A,0)),"")</f>
        <v>530</v>
      </c>
      <c r="B940" s="25">
        <f>IFERROR(INDEX('Hun Demand'!V:V,MATCH(O940,'Hun Demand'!A:A,0)),"")</f>
        <v>292</v>
      </c>
      <c r="C940" s="25">
        <f>IFERROR(INDEX('Hun Demand'!U:U,MATCH(O940,'Hun Demand'!A:A,0)),"")</f>
        <v>0</v>
      </c>
      <c r="D940" s="25">
        <f>IFERROR(INDEX('Hun Demand'!T:T,MATCH(O940,'Hun Demand'!A:A,0)),"")</f>
        <v>0</v>
      </c>
      <c r="E940" s="25">
        <f>IFERROR(INDEX('Hun Demand'!S:S,MATCH(O940,'Hun Demand'!A:A,0)),"")</f>
        <v>453</v>
      </c>
      <c r="F940" s="25">
        <f>IFERROR(INDEX('Hun Demand'!R:R,MATCH(O940,'Hun Demand'!A:A,0)),"")</f>
        <v>0</v>
      </c>
      <c r="G940" s="25">
        <f>IFERROR(INDEX('Aub Demand'!W:W,MATCH(O940,'Aub Demand'!A:A,0)),"")</f>
        <v>464</v>
      </c>
      <c r="H940" s="25">
        <f>IFERROR(INDEX('Aub Demand'!V:V,MATCH(O940,'Aub Demand'!A:A,0)),"")</f>
        <v>26</v>
      </c>
      <c r="I940" s="25">
        <f>IFERROR(INDEX('Aub Demand'!U:U,MATCH(O940,'Aub Demand'!A:A,0)),"")</f>
        <v>43</v>
      </c>
      <c r="J940" s="25">
        <f>IFERROR(INDEX('Aub Demand'!T:T,MATCH(O940,'Aub Demand'!A:A,0)),"")</f>
        <v>0</v>
      </c>
      <c r="K940" s="25">
        <f>IFERROR(INDEX('Aub Demand'!S:S,MATCH(O940,'Aub Demand'!A:A,0)),"")</f>
        <v>538</v>
      </c>
      <c r="L940" s="25">
        <f>IFERROR(INDEX('Aub Demand'!R:R,MATCH(O940,'Aub Demand'!A:A,0)),"")</f>
        <v>0</v>
      </c>
      <c r="O940" s="27" t="s">
        <v>2491</v>
      </c>
      <c r="P940" s="27" t="str">
        <f>IFERROR(INDEX('Aub Demand'!B:B,MATCH($O940,'Aub Demand'!$A:$A,0)),"")</f>
        <v>BURGUNDY</v>
      </c>
      <c r="Q940" s="27" t="str">
        <f>IFERROR(INDEX('Aub Demand'!C:C,MATCH($O940,'Aub Demand'!$A:$A,0)),"")</f>
        <v>ONYX</v>
      </c>
      <c r="R940" s="52">
        <f>IFERROR(IF(AR941=AR940,INDEX('Aub Demand'!K:K,MATCH($O940,'Aub Demand'!$A:$A,0))-IF(AN940="",0,AN940)+AP941,INDEX('Aub Demand'!K:K,MATCH($O940,'Aub Demand'!$A:$A,0))-IF(AN940="",0,AN940)),"")</f>
        <v>305</v>
      </c>
      <c r="S940" s="53">
        <f t="shared" si="392"/>
        <v>6.7</v>
      </c>
      <c r="T940" s="52" t="str">
        <f t="shared" si="393"/>
        <v/>
      </c>
      <c r="U940" s="52">
        <f>IFERROR(IF(AR941=AR940,INDEX('Aub Demand'!Q:Q,MATCH($O940,'Aub Demand'!$A:$A,0))-IF(AN940="",0,AN940)+AP941,INDEX('Aub Demand'!Q:Q,MATCH($O940,'Aub Demand'!$A:$A,0))-IF(AN940="",0,AN940)),"")</f>
        <v>227</v>
      </c>
      <c r="V940" s="53">
        <f t="shared" si="394"/>
        <v>5</v>
      </c>
      <c r="W940" s="52" t="str">
        <f t="shared" si="395"/>
        <v/>
      </c>
      <c r="X940" s="52">
        <f>IFERROR(IF(AND(AR941=AR940,AM940&lt;&gt;""),INDEX('Aub Demand'!Q:Q,MATCH($O940,'Aub Demand'!$A:$A,0))-IF(AN940="",0,AN940)+AP941+AD940+AL940,IF(AR941=AR940,INDEX('Aub Demand'!Q:Q,MATCH($O940,'Aub Demand'!$A:$A,0))-IF(AN940="",0,AN940)+AP941+AD940,IF(AM940&lt;&gt;"",INDEX('Aub Demand'!Q:Q,MATCH($O940,'Aub Demand'!$A:$A,0))-IF(AN940="",0,AN940)+AD940+AL940,INDEX('Aub Demand'!Q:Q,MATCH($O940,'Aub Demand'!$A:$A,0))-IF(AN940="",0,AN940)+AD940))),"")</f>
        <v>227</v>
      </c>
      <c r="Y940" s="53">
        <f t="shared" si="396"/>
        <v>5</v>
      </c>
      <c r="Z940" s="52">
        <f>IF(L940="","",INDEX('Aub Demand'!H:H,MATCH($O940,'Aub Demand'!$A:$A,0)))</f>
        <v>194</v>
      </c>
      <c r="AA940" s="52">
        <f t="shared" si="397"/>
        <v>290.5</v>
      </c>
      <c r="AB940" s="52">
        <f>IFERROR(INDEX('Aub Demand'!L:L,MATCH($O940,'Aub Demand'!$A:$A,0)),"")</f>
        <v>150</v>
      </c>
      <c r="AC940" s="52">
        <f>IFERROR(IF(O940="","",SUMIFS('CPL Mats'!F:F,'CPL Mats'!Q:Q,AR940,'CPL Mats'!S:S,AS940)),"")</f>
        <v>0</v>
      </c>
      <c r="AF940" s="25" t="str">
        <f>IF(SUMIFS('Supp Consol'!S:S,'Supp Consol'!Y:Y,"Releasable",'Supp Consol'!A:A,O940)=0,"",SUMIFS('Supp Consol'!S:S,'Supp Consol'!Y:Y,"Releasable",'Supp Consol'!A:A,O940))</f>
        <v/>
      </c>
      <c r="AG940" s="25">
        <f>IFERROR(INDEX('Hun Demand'!Q:Q,MATCH(O940,'Hun Demand'!A:A,0)),"")</f>
        <v>254</v>
      </c>
      <c r="AH940" s="25">
        <f>IFERROR(INDEX('Hun Demand'!H:H,MATCH($O940,'Hun Demand'!$A:$A,0)),"")</f>
        <v>151</v>
      </c>
      <c r="AI940" s="25" t="str">
        <f>IF(SUMIFS('Supp Consol'!AA:AA,'Supp Consol'!Z:Z,"Expires this month",'Supp Consol'!A:A,O940)=0,"",SUMIFS('Supp Consol'!AA:AA,'Supp Consol'!Z:Z,"Expires this month",'Supp Consol'!A:A,O940))</f>
        <v/>
      </c>
      <c r="AJ940" s="25" t="str">
        <f>IF(SUMIFS('Supp Consol'!AA:AA,'Supp Consol'!Z:Z,"Expired Previous Months",'Supp Consol'!A:A,O940)=0,"",SUMIFS('Supp Consol'!AA:AA,'Supp Consol'!Z:Z,"Expired Previous Months",'Supp Consol'!A:A,O940))</f>
        <v/>
      </c>
      <c r="AK940" s="25" t="str">
        <f>IFERROR(INDEX('Hun Release Current'!B:B,MATCH(O940,'Hun Release Current'!A:A,0)),"")</f>
        <v/>
      </c>
      <c r="AL940" s="25" t="str">
        <f>IF(SUMIF('Prev Aub'!A:A,O940,'Prev Aub'!B:B)=0,"",SUMIF('Prev Aub'!A:A,O940,'Prev Aub'!B:B))</f>
        <v/>
      </c>
      <c r="AN940" s="25" t="s">
        <v>3790</v>
      </c>
      <c r="AO940" s="25" t="s">
        <v>3790</v>
      </c>
      <c r="AP940" s="25">
        <f t="shared" si="398"/>
        <v>0</v>
      </c>
      <c r="AQ940" s="151" t="str">
        <f>IF(SUMIFS('Supp Consol'!S:S,'Supp Consol'!A:A,O940,'Supp Consol'!I:I,"PENDING")=0,"",SUMIFS('Supp Consol'!S:S,'Supp Consol'!A:A,O940,'Supp Consol'!I:I,"PENDING"))</f>
        <v/>
      </c>
      <c r="AR940" s="27" t="str">
        <f t="shared" si="399"/>
        <v>S1015</v>
      </c>
      <c r="AS940" s="27" t="str">
        <f t="shared" si="400"/>
        <v>62</v>
      </c>
      <c r="AT940" s="27" t="str">
        <f t="shared" si="401"/>
        <v/>
      </c>
      <c r="AU940" s="27" t="str">
        <f t="shared" si="402"/>
        <v/>
      </c>
      <c r="AV940" s="27" t="str">
        <f t="shared" si="403"/>
        <v/>
      </c>
      <c r="AW940" s="27" t="str">
        <f t="shared" si="404"/>
        <v/>
      </c>
      <c r="AX940" s="27" t="str">
        <f t="shared" si="405"/>
        <v/>
      </c>
      <c r="AY940" s="27" t="str">
        <f t="shared" si="406"/>
        <v>S1015</v>
      </c>
      <c r="AZ940" s="27" t="str">
        <f t="shared" si="407"/>
        <v/>
      </c>
      <c r="BA940" s="27" t="str">
        <f t="shared" si="408"/>
        <v>Hun</v>
      </c>
      <c r="BB940" s="27" t="str">
        <f t="shared" si="409"/>
        <v>Gross</v>
      </c>
      <c r="BC940" s="27" t="str">
        <f t="shared" si="410"/>
        <v>Net</v>
      </c>
      <c r="BD940" s="27" t="str">
        <f t="shared" si="411"/>
        <v>Net</v>
      </c>
      <c r="BE940" s="27" t="str">
        <f t="shared" si="412"/>
        <v/>
      </c>
      <c r="BF940" s="27" t="str">
        <f t="shared" si="413"/>
        <v/>
      </c>
      <c r="BG940" s="27" t="str">
        <f t="shared" si="414"/>
        <v/>
      </c>
      <c r="BH940" s="27" t="str">
        <f t="shared" si="415"/>
        <v>H+N</v>
      </c>
      <c r="BI940" s="27" t="str">
        <f t="shared" si="416"/>
        <v>H+Nex</v>
      </c>
      <c r="BJ940" s="27" t="str">
        <f t="shared" si="417"/>
        <v>Supp or Hun</v>
      </c>
      <c r="BK940" s="27" t="str">
        <f t="shared" si="418"/>
        <v>Supp or Hun Need</v>
      </c>
      <c r="BL940" s="27" t="str">
        <f t="shared" si="419"/>
        <v>SorHandNandE</v>
      </c>
      <c r="BM940" s="21" t="s">
        <v>5581</v>
      </c>
    </row>
    <row r="941" spans="1:65" ht="15">
      <c r="A941" s="25" t="str">
        <f>IFERROR(INDEX('Hun Demand'!W:W,MATCH(O941,'Hun Demand'!A:A,0)),"")</f>
        <v/>
      </c>
      <c r="B941" s="25" t="str">
        <f>IFERROR(INDEX('Hun Demand'!V:V,MATCH(O941,'Hun Demand'!A:A,0)),"")</f>
        <v/>
      </c>
      <c r="C941" s="25" t="str">
        <f>IFERROR(INDEX('Hun Demand'!U:U,MATCH(O941,'Hun Demand'!A:A,0)),"")</f>
        <v/>
      </c>
      <c r="D941" s="25" t="str">
        <f>IFERROR(INDEX('Hun Demand'!T:T,MATCH(O941,'Hun Demand'!A:A,0)),"")</f>
        <v/>
      </c>
      <c r="E941" s="25" t="str">
        <f>IFERROR(INDEX('Hun Demand'!S:S,MATCH(O941,'Hun Demand'!A:A,0)),"")</f>
        <v/>
      </c>
      <c r="F941" s="25" t="str">
        <f>IFERROR(INDEX('Hun Demand'!R:R,MATCH(O941,'Hun Demand'!A:A,0)),"")</f>
        <v/>
      </c>
      <c r="G941" s="25">
        <f>IFERROR(INDEX('Aub Demand'!W:W,MATCH(O941,'Aub Demand'!A:A,0)),"")</f>
        <v>0</v>
      </c>
      <c r="H941" s="25">
        <f>IFERROR(INDEX('Aub Demand'!V:V,MATCH(O941,'Aub Demand'!A:A,0)),"")</f>
        <v>0</v>
      </c>
      <c r="I941" s="25">
        <f>IFERROR(INDEX('Aub Demand'!U:U,MATCH(O941,'Aub Demand'!A:A,0)),"")</f>
        <v>0</v>
      </c>
      <c r="J941" s="25">
        <f>IFERROR(INDEX('Aub Demand'!T:T,MATCH(O941,'Aub Demand'!A:A,0)),"")</f>
        <v>0</v>
      </c>
      <c r="K941" s="25">
        <f>IFERROR(INDEX('Aub Demand'!S:S,MATCH(O941,'Aub Demand'!A:A,0)),"")</f>
        <v>0</v>
      </c>
      <c r="L941" s="25">
        <f>IFERROR(INDEX('Aub Demand'!R:R,MATCH(O941,'Aub Demand'!A:A,0)),"")</f>
        <v>0</v>
      </c>
      <c r="O941" s="27" t="s">
        <v>2495</v>
      </c>
      <c r="P941" s="27" t="str">
        <f>IFERROR(INDEX('Aub Demand'!B:B,MATCH($O941,'Aub Demand'!$A:$A,0)),"")</f>
        <v>CHAMPAGNE</v>
      </c>
      <c r="Q941" s="27" t="str">
        <f>IFERROR(INDEX('Aub Demand'!C:C,MATCH($O941,'Aub Demand'!$A:$A,0)),"")</f>
        <v>ONYX</v>
      </c>
      <c r="R941" s="52">
        <f>IFERROR(IF(AR942=AR941,INDEX('Aub Demand'!K:K,MATCH($O941,'Aub Demand'!$A:$A,0))-IF(AN941="",0,AN941)+AP942,INDEX('Aub Demand'!K:K,MATCH($O941,'Aub Demand'!$A:$A,0))-IF(AN941="",0,AN941)),"")</f>
        <v>1917</v>
      </c>
      <c r="S941" s="53" t="str">
        <f t="shared" si="392"/>
        <v>n/a</v>
      </c>
      <c r="T941" s="52" t="str">
        <f t="shared" si="393"/>
        <v/>
      </c>
      <c r="U941" s="52">
        <f>IFERROR(IF(AR942=AR941,INDEX('Aub Demand'!Q:Q,MATCH($O941,'Aub Demand'!$A:$A,0))-IF(AN941="",0,AN941)+AP942,INDEX('Aub Demand'!Q:Q,MATCH($O941,'Aub Demand'!$A:$A,0))-IF(AN941="",0,AN941)),"")</f>
        <v>1917</v>
      </c>
      <c r="V941" s="53" t="str">
        <f t="shared" si="394"/>
        <v>n/a</v>
      </c>
      <c r="W941" s="52" t="str">
        <f t="shared" si="395"/>
        <v/>
      </c>
      <c r="X941" s="52">
        <f>IFERROR(IF(AND(AR942=AR941,AM941&lt;&gt;""),INDEX('Aub Demand'!Q:Q,MATCH($O941,'Aub Demand'!$A:$A,0))-IF(AN941="",0,AN941)+AP942+AD941+AL941,IF(AR942=AR941,INDEX('Aub Demand'!Q:Q,MATCH($O941,'Aub Demand'!$A:$A,0))-IF(AN941="",0,AN941)+AP942+AD941,IF(AM941&lt;&gt;"",INDEX('Aub Demand'!Q:Q,MATCH($O941,'Aub Demand'!$A:$A,0))-IF(AN941="",0,AN941)+AD941+AL941,INDEX('Aub Demand'!Q:Q,MATCH($O941,'Aub Demand'!$A:$A,0))-IF(AN941="",0,AN941)+AD941))),"")</f>
        <v>1917</v>
      </c>
      <c r="Y941" s="53" t="str">
        <f t="shared" si="396"/>
        <v>n/a</v>
      </c>
      <c r="Z941" s="52">
        <f>IF(L941="","",INDEX('Aub Demand'!H:H,MATCH($O941,'Aub Demand'!$A:$A,0)))</f>
        <v>0</v>
      </c>
      <c r="AA941" s="52" t="str">
        <f t="shared" si="397"/>
        <v>-spike-</v>
      </c>
      <c r="AB941" s="52">
        <f>IFERROR(INDEX('Aub Demand'!L:L,MATCH($O941,'Aub Demand'!$A:$A,0)),"")</f>
        <v>0</v>
      </c>
      <c r="AC941" s="52">
        <f>IFERROR(IF(O941="","",SUMIFS('CPL Mats'!F:F,'CPL Mats'!Q:Q,AR941,'CPL Mats'!S:S,AS941)),"")</f>
        <v>0</v>
      </c>
      <c r="AF941" s="25" t="str">
        <f>IF(SUMIFS('Supp Consol'!S:S,'Supp Consol'!Y:Y,"Releasable",'Supp Consol'!A:A,O941)=0,"",SUMIFS('Supp Consol'!S:S,'Supp Consol'!Y:Y,"Releasable",'Supp Consol'!A:A,O941))</f>
        <v/>
      </c>
      <c r="AG941" s="25" t="str">
        <f>IFERROR(INDEX('Hun Demand'!Q:Q,MATCH(O941,'Hun Demand'!A:A,0)),"")</f>
        <v/>
      </c>
      <c r="AH941" s="25" t="str">
        <f>IFERROR(INDEX('Hun Demand'!H:H,MATCH($O941,'Hun Demand'!$A:$A,0)),"")</f>
        <v/>
      </c>
      <c r="AI941" s="25" t="str">
        <f>IF(SUMIFS('Supp Consol'!AA:AA,'Supp Consol'!Z:Z,"Expires this month",'Supp Consol'!A:A,O941)=0,"",SUMIFS('Supp Consol'!AA:AA,'Supp Consol'!Z:Z,"Expires this month",'Supp Consol'!A:A,O941))</f>
        <v/>
      </c>
      <c r="AJ941" s="25" t="str">
        <f>IF(SUMIFS('Supp Consol'!AA:AA,'Supp Consol'!Z:Z,"Expired Previous Months",'Supp Consol'!A:A,O941)=0,"",SUMIFS('Supp Consol'!AA:AA,'Supp Consol'!Z:Z,"Expired Previous Months",'Supp Consol'!A:A,O941))</f>
        <v/>
      </c>
      <c r="AK941" s="25" t="str">
        <f>IFERROR(INDEX('Hun Release Current'!B:B,MATCH(O941,'Hun Release Current'!A:A,0)),"")</f>
        <v/>
      </c>
      <c r="AL941" s="25" t="str">
        <f>IF(SUMIF('Prev Aub'!A:A,O941,'Prev Aub'!B:B)=0,"",SUMIF('Prev Aub'!A:A,O941,'Prev Aub'!B:B))</f>
        <v/>
      </c>
      <c r="AN941" s="25" t="s">
        <v>3790</v>
      </c>
      <c r="AO941" s="25" t="s">
        <v>3790</v>
      </c>
      <c r="AP941" s="25">
        <f t="shared" si="398"/>
        <v>0</v>
      </c>
      <c r="AQ941" s="151" t="str">
        <f>IF(SUMIFS('Supp Consol'!S:S,'Supp Consol'!A:A,O941,'Supp Consol'!I:I,"PENDING")=0,"",SUMIFS('Supp Consol'!S:S,'Supp Consol'!A:A,O941,'Supp Consol'!I:I,"PENDING"))</f>
        <v/>
      </c>
      <c r="AR941" s="27" t="str">
        <f t="shared" si="399"/>
        <v>S2003</v>
      </c>
      <c r="AS941" s="27" t="str">
        <f t="shared" si="400"/>
        <v>62</v>
      </c>
      <c r="AT941" s="27" t="str">
        <f t="shared" si="401"/>
        <v/>
      </c>
      <c r="AU941" s="27" t="str">
        <f t="shared" si="402"/>
        <v/>
      </c>
      <c r="AV941" s="27" t="str">
        <f t="shared" si="403"/>
        <v/>
      </c>
      <c r="AW941" s="27" t="str">
        <f t="shared" si="404"/>
        <v/>
      </c>
      <c r="AX941" s="27" t="str">
        <f t="shared" si="405"/>
        <v/>
      </c>
      <c r="AY941" s="27" t="str">
        <f t="shared" si="406"/>
        <v/>
      </c>
      <c r="AZ941" s="27" t="str">
        <f t="shared" si="407"/>
        <v/>
      </c>
      <c r="BA941" s="27" t="str">
        <f t="shared" si="408"/>
        <v/>
      </c>
      <c r="BB941" s="27" t="str">
        <f t="shared" si="409"/>
        <v/>
      </c>
      <c r="BC941" s="27" t="str">
        <f t="shared" si="410"/>
        <v/>
      </c>
      <c r="BD941" s="27" t="str">
        <f t="shared" si="411"/>
        <v/>
      </c>
      <c r="BE941" s="27" t="str">
        <f t="shared" si="412"/>
        <v/>
      </c>
      <c r="BF941" s="27" t="str">
        <f t="shared" si="413"/>
        <v/>
      </c>
      <c r="BG941" s="27" t="str">
        <f t="shared" si="414"/>
        <v/>
      </c>
      <c r="BH941" s="27" t="str">
        <f t="shared" si="415"/>
        <v/>
      </c>
      <c r="BI941" s="27" t="str">
        <f t="shared" si="416"/>
        <v/>
      </c>
      <c r="BJ941" s="27" t="str">
        <f t="shared" si="417"/>
        <v/>
      </c>
      <c r="BK941" s="27" t="str">
        <f t="shared" si="418"/>
        <v/>
      </c>
      <c r="BL941" s="27" t="str">
        <f t="shared" si="419"/>
        <v/>
      </c>
      <c r="BM941" s="21" t="s">
        <v>3790</v>
      </c>
    </row>
    <row r="942" spans="1:65" ht="15">
      <c r="A942" s="25" t="str">
        <f>IFERROR(INDEX('Hun Demand'!W:W,MATCH(O942,'Hun Demand'!A:A,0)),"")</f>
        <v/>
      </c>
      <c r="B942" s="25" t="str">
        <f>IFERROR(INDEX('Hun Demand'!V:V,MATCH(O942,'Hun Demand'!A:A,0)),"")</f>
        <v/>
      </c>
      <c r="C942" s="25" t="str">
        <f>IFERROR(INDEX('Hun Demand'!U:U,MATCH(O942,'Hun Demand'!A:A,0)),"")</f>
        <v/>
      </c>
      <c r="D942" s="25" t="str">
        <f>IFERROR(INDEX('Hun Demand'!T:T,MATCH(O942,'Hun Demand'!A:A,0)),"")</f>
        <v/>
      </c>
      <c r="E942" s="25" t="str">
        <f>IFERROR(INDEX('Hun Demand'!S:S,MATCH(O942,'Hun Demand'!A:A,0)),"")</f>
        <v/>
      </c>
      <c r="F942" s="25" t="str">
        <f>IFERROR(INDEX('Hun Demand'!R:R,MATCH(O942,'Hun Demand'!A:A,0)),"")</f>
        <v/>
      </c>
      <c r="G942" s="25">
        <f>IFERROR(INDEX('Aub Demand'!W:W,MATCH(O942,'Aub Demand'!A:A,0)),"")</f>
        <v>0</v>
      </c>
      <c r="H942" s="25">
        <f>IFERROR(INDEX('Aub Demand'!V:V,MATCH(O942,'Aub Demand'!A:A,0)),"")</f>
        <v>0</v>
      </c>
      <c r="I942" s="25">
        <f>IFERROR(INDEX('Aub Demand'!U:U,MATCH(O942,'Aub Demand'!A:A,0)),"")</f>
        <v>0</v>
      </c>
      <c r="J942" s="25">
        <f>IFERROR(INDEX('Aub Demand'!T:T,MATCH(O942,'Aub Demand'!A:A,0)),"")</f>
        <v>0</v>
      </c>
      <c r="K942" s="25">
        <f>IFERROR(INDEX('Aub Demand'!S:S,MATCH(O942,'Aub Demand'!A:A,0)),"")</f>
        <v>0</v>
      </c>
      <c r="L942" s="25">
        <f>IFERROR(INDEX('Aub Demand'!R:R,MATCH(O942,'Aub Demand'!A:A,0)),"")</f>
        <v>0</v>
      </c>
      <c r="O942" s="27" t="s">
        <v>6315</v>
      </c>
      <c r="P942" s="27" t="str">
        <f>IFERROR(INDEX('Aub Demand'!B:B,MATCH($O942,'Aub Demand'!$A:$A,0)),"")</f>
        <v>ALMOND</v>
      </c>
      <c r="Q942" s="27" t="str">
        <f>IFERROR(INDEX('Aub Demand'!C:C,MATCH($O942,'Aub Demand'!$A:$A,0)),"")</f>
        <v>TECHN</v>
      </c>
      <c r="R942" s="52">
        <f>IFERROR(IF(AR943=AR942,INDEX('Aub Demand'!K:K,MATCH($O942,'Aub Demand'!$A:$A,0))-IF(AN942="",0,AN942)+AP943,INDEX('Aub Demand'!K:K,MATCH($O942,'Aub Demand'!$A:$A,0))-IF(AN942="",0,AN942)),"")</f>
        <v>0</v>
      </c>
      <c r="S942" s="53" t="str">
        <f t="shared" si="392"/>
        <v>n/a</v>
      </c>
      <c r="T942" s="52" t="str">
        <f t="shared" si="393"/>
        <v/>
      </c>
      <c r="U942" s="52">
        <f>IFERROR(IF(AR943=AR942,INDEX('Aub Demand'!Q:Q,MATCH($O942,'Aub Demand'!$A:$A,0))-IF(AN942="",0,AN942)+AP943,INDEX('Aub Demand'!Q:Q,MATCH($O942,'Aub Demand'!$A:$A,0))-IF(AN942="",0,AN942)),"")</f>
        <v>-1</v>
      </c>
      <c r="V942" s="53" t="str">
        <f t="shared" si="394"/>
        <v>n/a</v>
      </c>
      <c r="W942" s="52" t="str">
        <f t="shared" si="395"/>
        <v/>
      </c>
      <c r="X942" s="52">
        <f>IFERROR(IF(AND(AR943=AR942,AM942&lt;&gt;""),INDEX('Aub Demand'!Q:Q,MATCH($O942,'Aub Demand'!$A:$A,0))-IF(AN942="",0,AN942)+AP943+AD942+AL942,IF(AR943=AR942,INDEX('Aub Demand'!Q:Q,MATCH($O942,'Aub Demand'!$A:$A,0))-IF(AN942="",0,AN942)+AP943+AD942,IF(AM942&lt;&gt;"",INDEX('Aub Demand'!Q:Q,MATCH($O942,'Aub Demand'!$A:$A,0))-IF(AN942="",0,AN942)+AD942+AL942,INDEX('Aub Demand'!Q:Q,MATCH($O942,'Aub Demand'!$A:$A,0))-IF(AN942="",0,AN942)+AD942))),"")</f>
        <v>-1</v>
      </c>
      <c r="Y942" s="53" t="str">
        <f t="shared" si="396"/>
        <v>n/a</v>
      </c>
      <c r="Z942" s="52">
        <f>IF(L942="","",INDEX('Aub Demand'!H:H,MATCH($O942,'Aub Demand'!$A:$A,0)))</f>
        <v>0</v>
      </c>
      <c r="AA942" s="52" t="str">
        <f t="shared" si="397"/>
        <v>-spike-</v>
      </c>
      <c r="AB942" s="52">
        <f>IFERROR(INDEX('Aub Demand'!L:L,MATCH($O942,'Aub Demand'!$A:$A,0)),"")</f>
        <v>0</v>
      </c>
      <c r="AC942" s="52">
        <f>IFERROR(IF(O942="","",SUMIFS('CPL Mats'!F:F,'CPL Mats'!Q:Q,AR942,'CPL Mats'!S:S,AS942)),"")</f>
        <v>0</v>
      </c>
      <c r="AF942" s="25" t="str">
        <f>IF(SUMIFS('Supp Consol'!S:S,'Supp Consol'!Y:Y,"Releasable",'Supp Consol'!A:A,O942)=0,"",SUMIFS('Supp Consol'!S:S,'Supp Consol'!Y:Y,"Releasable",'Supp Consol'!A:A,O942))</f>
        <v/>
      </c>
      <c r="AG942" s="25" t="str">
        <f>IFERROR(INDEX('Hun Demand'!Q:Q,MATCH(O942,'Hun Demand'!A:A,0)),"")</f>
        <v/>
      </c>
      <c r="AH942" s="25" t="str">
        <f>IFERROR(INDEX('Hun Demand'!H:H,MATCH($O942,'Hun Demand'!$A:$A,0)),"")</f>
        <v/>
      </c>
      <c r="AI942" s="25" t="str">
        <f>IF(SUMIFS('Supp Consol'!AA:AA,'Supp Consol'!Z:Z,"Expires this month",'Supp Consol'!A:A,O942)=0,"",SUMIFS('Supp Consol'!AA:AA,'Supp Consol'!Z:Z,"Expires this month",'Supp Consol'!A:A,O942))</f>
        <v/>
      </c>
      <c r="AJ942" s="25" t="str">
        <f>IF(SUMIFS('Supp Consol'!AA:AA,'Supp Consol'!Z:Z,"Expired Previous Months",'Supp Consol'!A:A,O942)=0,"",SUMIFS('Supp Consol'!AA:AA,'Supp Consol'!Z:Z,"Expired Previous Months",'Supp Consol'!A:A,O942))</f>
        <v/>
      </c>
      <c r="AK942" s="25" t="str">
        <f>IFERROR(INDEX('Hun Release Current'!B:B,MATCH(O942,'Hun Release Current'!A:A,0)),"")</f>
        <v/>
      </c>
      <c r="AL942" s="25" t="str">
        <f>IF(SUMIF('Prev Aub'!A:A,O942,'Prev Aub'!B:B)=0,"",SUMIF('Prev Aub'!A:A,O942,'Prev Aub'!B:B))</f>
        <v/>
      </c>
      <c r="AN942" s="25" t="s">
        <v>3790</v>
      </c>
      <c r="AO942" s="25" t="s">
        <v>3790</v>
      </c>
      <c r="AP942" s="25">
        <f t="shared" si="398"/>
        <v>0</v>
      </c>
      <c r="AQ942" s="151" t="str">
        <f>IF(SUMIFS('Supp Consol'!S:S,'Supp Consol'!A:A,O942,'Supp Consol'!I:I,"PENDING")=0,"",SUMIFS('Supp Consol'!S:S,'Supp Consol'!A:A,O942,'Supp Consol'!I:I,"PENDING"))</f>
        <v/>
      </c>
      <c r="AR942" s="27" t="str">
        <f t="shared" si="399"/>
        <v>S2037</v>
      </c>
      <c r="AS942" s="27" t="str">
        <f t="shared" si="400"/>
        <v>37</v>
      </c>
      <c r="AT942" s="27" t="str">
        <f t="shared" si="401"/>
        <v/>
      </c>
      <c r="AU942" s="27" t="str">
        <f t="shared" si="402"/>
        <v/>
      </c>
      <c r="AV942" s="27" t="str">
        <f t="shared" si="403"/>
        <v/>
      </c>
      <c r="AW942" s="27" t="str">
        <f t="shared" si="404"/>
        <v/>
      </c>
      <c r="AX942" s="27" t="str">
        <f t="shared" si="405"/>
        <v/>
      </c>
      <c r="AY942" s="27" t="str">
        <f t="shared" si="406"/>
        <v/>
      </c>
      <c r="AZ942" s="27" t="str">
        <f t="shared" si="407"/>
        <v/>
      </c>
      <c r="BA942" s="27" t="str">
        <f t="shared" si="408"/>
        <v/>
      </c>
      <c r="BB942" s="27" t="str">
        <f t="shared" si="409"/>
        <v>Gross</v>
      </c>
      <c r="BC942" s="27" t="str">
        <f t="shared" si="410"/>
        <v>Net</v>
      </c>
      <c r="BD942" s="27" t="str">
        <f t="shared" si="411"/>
        <v>Net</v>
      </c>
      <c r="BE942" s="27" t="str">
        <f t="shared" si="412"/>
        <v/>
      </c>
      <c r="BF942" s="27" t="str">
        <f t="shared" si="413"/>
        <v/>
      </c>
      <c r="BG942" s="27" t="str">
        <f t="shared" si="414"/>
        <v/>
      </c>
      <c r="BH942" s="27" t="str">
        <f t="shared" si="415"/>
        <v/>
      </c>
      <c r="BI942" s="27" t="str">
        <f t="shared" si="416"/>
        <v/>
      </c>
      <c r="BJ942" s="27" t="str">
        <f t="shared" si="417"/>
        <v/>
      </c>
      <c r="BK942" s="27" t="str">
        <f t="shared" si="418"/>
        <v/>
      </c>
      <c r="BL942" s="27" t="str">
        <f t="shared" si="419"/>
        <v/>
      </c>
      <c r="BM942" s="21" t="s">
        <v>3790</v>
      </c>
    </row>
    <row r="943" spans="1:65" ht="15">
      <c r="A943" s="25" t="str">
        <f>IFERROR(INDEX('Hun Demand'!W:W,MATCH(O943,'Hun Demand'!A:A,0)),"")</f>
        <v/>
      </c>
      <c r="B943" s="25" t="str">
        <f>IFERROR(INDEX('Hun Demand'!V:V,MATCH(O943,'Hun Demand'!A:A,0)),"")</f>
        <v/>
      </c>
      <c r="C943" s="25" t="str">
        <f>IFERROR(INDEX('Hun Demand'!U:U,MATCH(O943,'Hun Demand'!A:A,0)),"")</f>
        <v/>
      </c>
      <c r="D943" s="25" t="str">
        <f>IFERROR(INDEX('Hun Demand'!T:T,MATCH(O943,'Hun Demand'!A:A,0)),"")</f>
        <v/>
      </c>
      <c r="E943" s="25" t="str">
        <f>IFERROR(INDEX('Hun Demand'!S:S,MATCH(O943,'Hun Demand'!A:A,0)),"")</f>
        <v/>
      </c>
      <c r="F943" s="25" t="str">
        <f>IFERROR(INDEX('Hun Demand'!R:R,MATCH(O943,'Hun Demand'!A:A,0)),"")</f>
        <v/>
      </c>
      <c r="G943" s="25">
        <f>IFERROR(INDEX('Aub Demand'!W:W,MATCH(O943,'Aub Demand'!A:A,0)),"")</f>
        <v>0</v>
      </c>
      <c r="H943" s="25">
        <f>IFERROR(INDEX('Aub Demand'!V:V,MATCH(O943,'Aub Demand'!A:A,0)),"")</f>
        <v>0</v>
      </c>
      <c r="I943" s="25">
        <f>IFERROR(INDEX('Aub Demand'!U:U,MATCH(O943,'Aub Demand'!A:A,0)),"")</f>
        <v>0</v>
      </c>
      <c r="J943" s="25">
        <f>IFERROR(INDEX('Aub Demand'!T:T,MATCH(O943,'Aub Demand'!A:A,0)),"")</f>
        <v>0</v>
      </c>
      <c r="K943" s="25">
        <f>IFERROR(INDEX('Aub Demand'!S:S,MATCH(O943,'Aub Demand'!A:A,0)),"")</f>
        <v>216</v>
      </c>
      <c r="L943" s="25">
        <f>IFERROR(INDEX('Aub Demand'!R:R,MATCH(O943,'Aub Demand'!A:A,0)),"")</f>
        <v>0</v>
      </c>
      <c r="O943" s="27" t="s">
        <v>2496</v>
      </c>
      <c r="P943" s="27" t="str">
        <f>IFERROR(INDEX('Aub Demand'!B:B,MATCH($O943,'Aub Demand'!$A:$A,0)),"")</f>
        <v>ALMOND</v>
      </c>
      <c r="Q943" s="27" t="str">
        <f>IFERROR(INDEX('Aub Demand'!C:C,MATCH($O943,'Aub Demand'!$A:$A,0)),"")</f>
        <v>TECHN</v>
      </c>
      <c r="R943" s="52">
        <f>IFERROR(IF(AR944=AR943,INDEX('Aub Demand'!K:K,MATCH($O943,'Aub Demand'!$A:$A,0))-IF(AN943="",0,AN943)+AP944,INDEX('Aub Demand'!K:K,MATCH($O943,'Aub Demand'!$A:$A,0))-IF(AN943="",0,AN943)),"")</f>
        <v>0</v>
      </c>
      <c r="S943" s="53">
        <f t="shared" si="392"/>
        <v>0</v>
      </c>
      <c r="T943" s="52" t="str">
        <f t="shared" si="393"/>
        <v/>
      </c>
      <c r="U943" s="52">
        <f>IFERROR(IF(AR944=AR943,INDEX('Aub Demand'!Q:Q,MATCH($O943,'Aub Demand'!$A:$A,0))-IF(AN943="",0,AN943)+AP944,INDEX('Aub Demand'!Q:Q,MATCH($O943,'Aub Demand'!$A:$A,0))-IF(AN943="",0,AN943)),"")</f>
        <v>0</v>
      </c>
      <c r="V943" s="53">
        <f t="shared" si="394"/>
        <v>0</v>
      </c>
      <c r="W943" s="52" t="str">
        <f t="shared" si="395"/>
        <v/>
      </c>
      <c r="X943" s="52">
        <f>IFERROR(IF(AND(AR944=AR943,AM943&lt;&gt;""),INDEX('Aub Demand'!Q:Q,MATCH($O943,'Aub Demand'!$A:$A,0))-IF(AN943="",0,AN943)+AP944+AD943+AL943,IF(AR944=AR943,INDEX('Aub Demand'!Q:Q,MATCH($O943,'Aub Demand'!$A:$A,0))-IF(AN943="",0,AN943)+AP944+AD943,IF(AM943&lt;&gt;"",INDEX('Aub Demand'!Q:Q,MATCH($O943,'Aub Demand'!$A:$A,0))-IF(AN943="",0,AN943)+AD943+AL943,INDEX('Aub Demand'!Q:Q,MATCH($O943,'Aub Demand'!$A:$A,0))-IF(AN943="",0,AN943)+AD943))),"")</f>
        <v>0</v>
      </c>
      <c r="Y943" s="53">
        <f t="shared" si="396"/>
        <v>0</v>
      </c>
      <c r="Z943" s="52">
        <f>IF(L943="","",INDEX('Aub Demand'!H:H,MATCH($O943,'Aub Demand'!$A:$A,0)))</f>
        <v>72</v>
      </c>
      <c r="AA943" s="52" t="str">
        <f t="shared" si="397"/>
        <v>-spike-</v>
      </c>
      <c r="AB943" s="52">
        <f>IFERROR(INDEX('Aub Demand'!L:L,MATCH($O943,'Aub Demand'!$A:$A,0)),"")</f>
        <v>23</v>
      </c>
      <c r="AC943" s="52">
        <f>IFERROR(IF(O943="","",SUMIFS('CPL Mats'!F:F,'CPL Mats'!Q:Q,AR943,'CPL Mats'!S:S,AS943)),"")</f>
        <v>0</v>
      </c>
      <c r="AF943" s="25" t="str">
        <f>IF(SUMIFS('Supp Consol'!S:S,'Supp Consol'!Y:Y,"Releasable",'Supp Consol'!A:A,O943)=0,"",SUMIFS('Supp Consol'!S:S,'Supp Consol'!Y:Y,"Releasable",'Supp Consol'!A:A,O943))</f>
        <v/>
      </c>
      <c r="AG943" s="25" t="str">
        <f>IFERROR(INDEX('Hun Demand'!Q:Q,MATCH(O943,'Hun Demand'!A:A,0)),"")</f>
        <v/>
      </c>
      <c r="AH943" s="25" t="str">
        <f>IFERROR(INDEX('Hun Demand'!H:H,MATCH($O943,'Hun Demand'!$A:$A,0)),"")</f>
        <v/>
      </c>
      <c r="AI943" s="25" t="str">
        <f>IF(SUMIFS('Supp Consol'!AA:AA,'Supp Consol'!Z:Z,"Expires this month",'Supp Consol'!A:A,O943)=0,"",SUMIFS('Supp Consol'!AA:AA,'Supp Consol'!Z:Z,"Expires this month",'Supp Consol'!A:A,O943))</f>
        <v/>
      </c>
      <c r="AJ943" s="25" t="str">
        <f>IF(SUMIFS('Supp Consol'!AA:AA,'Supp Consol'!Z:Z,"Expired Previous Months",'Supp Consol'!A:A,O943)=0,"",SUMIFS('Supp Consol'!AA:AA,'Supp Consol'!Z:Z,"Expired Previous Months",'Supp Consol'!A:A,O943))</f>
        <v/>
      </c>
      <c r="AK943" s="25" t="str">
        <f>IFERROR(INDEX('Hun Release Current'!B:B,MATCH(O943,'Hun Release Current'!A:A,0)),"")</f>
        <v/>
      </c>
      <c r="AL943" s="25" t="str">
        <f>IF(SUMIF('Prev Aub'!A:A,O943,'Prev Aub'!B:B)=0,"",SUMIF('Prev Aub'!A:A,O943,'Prev Aub'!B:B))</f>
        <v/>
      </c>
      <c r="AN943" s="25" t="s">
        <v>3790</v>
      </c>
      <c r="AO943" s="25" t="s">
        <v>3790</v>
      </c>
      <c r="AP943" s="25">
        <f t="shared" si="398"/>
        <v>0</v>
      </c>
      <c r="AQ943" s="151" t="str">
        <f>IF(SUMIFS('Supp Consol'!S:S,'Supp Consol'!A:A,O943,'Supp Consol'!I:I,"PENDING")=0,"",SUMIFS('Supp Consol'!S:S,'Supp Consol'!A:A,O943,'Supp Consol'!I:I,"PENDING"))</f>
        <v/>
      </c>
      <c r="AR943" s="27" t="str">
        <f t="shared" si="399"/>
        <v>S2037</v>
      </c>
      <c r="AS943" s="27" t="str">
        <f t="shared" si="400"/>
        <v>50</v>
      </c>
      <c r="AT943" s="27" t="str">
        <f t="shared" si="401"/>
        <v>S2037</v>
      </c>
      <c r="AU943" s="27" t="str">
        <f t="shared" si="402"/>
        <v>S2037</v>
      </c>
      <c r="AV943" s="27" t="str">
        <f t="shared" si="403"/>
        <v>S2037</v>
      </c>
      <c r="AW943" s="27" t="str">
        <f t="shared" si="404"/>
        <v/>
      </c>
      <c r="AX943" s="27" t="str">
        <f t="shared" si="405"/>
        <v/>
      </c>
      <c r="AY943" s="27" t="str">
        <f t="shared" si="406"/>
        <v/>
      </c>
      <c r="AZ943" s="27" t="str">
        <f t="shared" si="407"/>
        <v/>
      </c>
      <c r="BA943" s="27" t="str">
        <f t="shared" si="408"/>
        <v/>
      </c>
      <c r="BB943" s="27" t="str">
        <f t="shared" si="409"/>
        <v>Gross</v>
      </c>
      <c r="BC943" s="27" t="str">
        <f t="shared" si="410"/>
        <v>Net</v>
      </c>
      <c r="BD943" s="27" t="str">
        <f t="shared" si="411"/>
        <v>Net</v>
      </c>
      <c r="BE943" s="27" t="str">
        <f t="shared" si="412"/>
        <v/>
      </c>
      <c r="BF943" s="27" t="str">
        <f t="shared" si="413"/>
        <v/>
      </c>
      <c r="BG943" s="27" t="str">
        <f t="shared" si="414"/>
        <v/>
      </c>
      <c r="BH943" s="27" t="str">
        <f t="shared" si="415"/>
        <v/>
      </c>
      <c r="BI943" s="27" t="str">
        <f t="shared" si="416"/>
        <v/>
      </c>
      <c r="BJ943" s="27" t="str">
        <f t="shared" si="417"/>
        <v/>
      </c>
      <c r="BK943" s="27" t="str">
        <f t="shared" si="418"/>
        <v/>
      </c>
      <c r="BL943" s="27" t="str">
        <f t="shared" si="419"/>
        <v/>
      </c>
      <c r="BM943" s="21" t="s">
        <v>5581</v>
      </c>
    </row>
    <row r="944" spans="1:65" ht="15">
      <c r="A944" s="25" t="str">
        <f>IFERROR(INDEX('Hun Demand'!W:W,MATCH(O944,'Hun Demand'!A:A,0)),"")</f>
        <v/>
      </c>
      <c r="B944" s="25" t="str">
        <f>IFERROR(INDEX('Hun Demand'!V:V,MATCH(O944,'Hun Demand'!A:A,0)),"")</f>
        <v/>
      </c>
      <c r="C944" s="25" t="str">
        <f>IFERROR(INDEX('Hun Demand'!U:U,MATCH(O944,'Hun Demand'!A:A,0)),"")</f>
        <v/>
      </c>
      <c r="D944" s="25" t="str">
        <f>IFERROR(INDEX('Hun Demand'!T:T,MATCH(O944,'Hun Demand'!A:A,0)),"")</f>
        <v/>
      </c>
      <c r="E944" s="25" t="str">
        <f>IFERROR(INDEX('Hun Demand'!S:S,MATCH(O944,'Hun Demand'!A:A,0)),"")</f>
        <v/>
      </c>
      <c r="F944" s="25" t="str">
        <f>IFERROR(INDEX('Hun Demand'!R:R,MATCH(O944,'Hun Demand'!A:A,0)),"")</f>
        <v/>
      </c>
      <c r="G944" s="25">
        <f>IFERROR(INDEX('Aub Demand'!W:W,MATCH(O944,'Aub Demand'!A:A,0)),"")</f>
        <v>0</v>
      </c>
      <c r="H944" s="25">
        <f>IFERROR(INDEX('Aub Demand'!V:V,MATCH(O944,'Aub Demand'!A:A,0)),"")</f>
        <v>0</v>
      </c>
      <c r="I944" s="25">
        <f>IFERROR(INDEX('Aub Demand'!U:U,MATCH(O944,'Aub Demand'!A:A,0)),"")</f>
        <v>0</v>
      </c>
      <c r="J944" s="25">
        <f>IFERROR(INDEX('Aub Demand'!T:T,MATCH(O944,'Aub Demand'!A:A,0)),"")</f>
        <v>0</v>
      </c>
      <c r="K944" s="25">
        <f>IFERROR(INDEX('Aub Demand'!S:S,MATCH(O944,'Aub Demand'!A:A,0)),"")</f>
        <v>185</v>
      </c>
      <c r="L944" s="25">
        <f>IFERROR(INDEX('Aub Demand'!R:R,MATCH(O944,'Aub Demand'!A:A,0)),"")</f>
        <v>0</v>
      </c>
      <c r="O944" s="27" t="s">
        <v>2498</v>
      </c>
      <c r="P944" s="27" t="str">
        <f>IFERROR(INDEX('Aub Demand'!B:B,MATCH($O944,'Aub Demand'!$A:$A,0)),"")</f>
        <v>ALMOND</v>
      </c>
      <c r="Q944" s="27" t="str">
        <f>IFERROR(INDEX('Aub Demand'!C:C,MATCH($O944,'Aub Demand'!$A:$A,0)),"")</f>
        <v>TECHN</v>
      </c>
      <c r="R944" s="52">
        <f>IFERROR(IF(AR945=AR944,INDEX('Aub Demand'!K:K,MATCH($O944,'Aub Demand'!$A:$A,0))-IF(AN944="",0,AN944)+AP945,INDEX('Aub Demand'!K:K,MATCH($O944,'Aub Demand'!$A:$A,0))-IF(AN944="",0,AN944)),"")</f>
        <v>1962</v>
      </c>
      <c r="S944" s="53">
        <f t="shared" si="392"/>
        <v>135.6</v>
      </c>
      <c r="T944" s="52" t="str">
        <f t="shared" si="393"/>
        <v/>
      </c>
      <c r="U944" s="52">
        <f>IFERROR(IF(AR945=AR944,INDEX('Aub Demand'!Q:Q,MATCH($O944,'Aub Demand'!$A:$A,0))-IF(AN944="",0,AN944)+AP945,INDEX('Aub Demand'!Q:Q,MATCH($O944,'Aub Demand'!$A:$A,0))-IF(AN944="",0,AN944)),"")</f>
        <v>1962</v>
      </c>
      <c r="V944" s="53">
        <f t="shared" si="394"/>
        <v>135.6</v>
      </c>
      <c r="W944" s="52" t="str">
        <f t="shared" si="395"/>
        <v/>
      </c>
      <c r="X944" s="52">
        <f>IFERROR(IF(AND(AR945=AR944,AM944&lt;&gt;""),INDEX('Aub Demand'!Q:Q,MATCH($O944,'Aub Demand'!$A:$A,0))-IF(AN944="",0,AN944)+AP945+AD944+AL944,IF(AR945=AR944,INDEX('Aub Demand'!Q:Q,MATCH($O944,'Aub Demand'!$A:$A,0))-IF(AN944="",0,AN944)+AP945+AD944,IF(AM944&lt;&gt;"",INDEX('Aub Demand'!Q:Q,MATCH($O944,'Aub Demand'!$A:$A,0))-IF(AN944="",0,AN944)+AD944+AL944,INDEX('Aub Demand'!Q:Q,MATCH($O944,'Aub Demand'!$A:$A,0))-IF(AN944="",0,AN944)+AD944))),"")</f>
        <v>1962</v>
      </c>
      <c r="Y944" s="53">
        <f t="shared" si="396"/>
        <v>135.6</v>
      </c>
      <c r="Z944" s="52">
        <f>IF(L944="","",INDEX('Aub Demand'!H:H,MATCH($O944,'Aub Demand'!$A:$A,0)))</f>
        <v>62</v>
      </c>
      <c r="AA944" s="52" t="str">
        <f t="shared" si="397"/>
        <v>-spike-</v>
      </c>
      <c r="AB944" s="52">
        <f>IFERROR(INDEX('Aub Demand'!L:L,MATCH($O944,'Aub Demand'!$A:$A,0)),"")</f>
        <v>170</v>
      </c>
      <c r="AC944" s="52">
        <f>IFERROR(IF(O944="","",SUMIFS('CPL Mats'!F:F,'CPL Mats'!Q:Q,AR944,'CPL Mats'!S:S,AS944)),"")</f>
        <v>0</v>
      </c>
      <c r="AF944" s="25" t="str">
        <f>IF(SUMIFS('Supp Consol'!S:S,'Supp Consol'!Y:Y,"Releasable",'Supp Consol'!A:A,O944)=0,"",SUMIFS('Supp Consol'!S:S,'Supp Consol'!Y:Y,"Releasable",'Supp Consol'!A:A,O944))</f>
        <v/>
      </c>
      <c r="AG944" s="25" t="str">
        <f>IFERROR(INDEX('Hun Demand'!Q:Q,MATCH(O944,'Hun Demand'!A:A,0)),"")</f>
        <v/>
      </c>
      <c r="AH944" s="25" t="str">
        <f>IFERROR(INDEX('Hun Demand'!H:H,MATCH($O944,'Hun Demand'!$A:$A,0)),"")</f>
        <v/>
      </c>
      <c r="AI944" s="25" t="str">
        <f>IF(SUMIFS('Supp Consol'!AA:AA,'Supp Consol'!Z:Z,"Expires this month",'Supp Consol'!A:A,O944)=0,"",SUMIFS('Supp Consol'!AA:AA,'Supp Consol'!Z:Z,"Expires this month",'Supp Consol'!A:A,O944))</f>
        <v/>
      </c>
      <c r="AJ944" s="25" t="str">
        <f>IF(SUMIFS('Supp Consol'!AA:AA,'Supp Consol'!Z:Z,"Expired Previous Months",'Supp Consol'!A:A,O944)=0,"",SUMIFS('Supp Consol'!AA:AA,'Supp Consol'!Z:Z,"Expired Previous Months",'Supp Consol'!A:A,O944))</f>
        <v/>
      </c>
      <c r="AK944" s="25" t="str">
        <f>IFERROR(INDEX('Hun Release Current'!B:B,MATCH(O944,'Hun Release Current'!A:A,0)),"")</f>
        <v/>
      </c>
      <c r="AL944" s="25" t="str">
        <f>IF(SUMIF('Prev Aub'!A:A,O944,'Prev Aub'!B:B)=0,"",SUMIF('Prev Aub'!A:A,O944,'Prev Aub'!B:B))</f>
        <v/>
      </c>
      <c r="AN944" s="25" t="s">
        <v>3790</v>
      </c>
      <c r="AO944" s="25" t="s">
        <v>3790</v>
      </c>
      <c r="AP944" s="25">
        <f t="shared" si="398"/>
        <v>0</v>
      </c>
      <c r="AQ944" s="151" t="str">
        <f>IF(SUMIFS('Supp Consol'!S:S,'Supp Consol'!A:A,O944,'Supp Consol'!I:I,"PENDING")=0,"",SUMIFS('Supp Consol'!S:S,'Supp Consol'!A:A,O944,'Supp Consol'!I:I,"PENDING"))</f>
        <v/>
      </c>
      <c r="AR944" s="27" t="str">
        <f t="shared" si="399"/>
        <v>S2037</v>
      </c>
      <c r="AS944" s="27" t="str">
        <f t="shared" si="400"/>
        <v>62</v>
      </c>
      <c r="AT944" s="27" t="str">
        <f t="shared" si="401"/>
        <v/>
      </c>
      <c r="AU944" s="27" t="str">
        <f t="shared" si="402"/>
        <v/>
      </c>
      <c r="AV944" s="27" t="str">
        <f t="shared" si="403"/>
        <v/>
      </c>
      <c r="AW944" s="27" t="str">
        <f t="shared" si="404"/>
        <v/>
      </c>
      <c r="AX944" s="27" t="str">
        <f t="shared" si="405"/>
        <v/>
      </c>
      <c r="AY944" s="27" t="str">
        <f t="shared" si="406"/>
        <v/>
      </c>
      <c r="AZ944" s="27" t="str">
        <f t="shared" si="407"/>
        <v/>
      </c>
      <c r="BA944" s="27" t="str">
        <f t="shared" si="408"/>
        <v/>
      </c>
      <c r="BB944" s="27" t="str">
        <f t="shared" si="409"/>
        <v>Gross</v>
      </c>
      <c r="BC944" s="27" t="str">
        <f t="shared" si="410"/>
        <v>Net</v>
      </c>
      <c r="BD944" s="27" t="str">
        <f t="shared" si="411"/>
        <v>Net</v>
      </c>
      <c r="BE944" s="27" t="str">
        <f t="shared" si="412"/>
        <v/>
      </c>
      <c r="BF944" s="27" t="str">
        <f t="shared" si="413"/>
        <v/>
      </c>
      <c r="BG944" s="27" t="str">
        <f t="shared" si="414"/>
        <v/>
      </c>
      <c r="BH944" s="27" t="str">
        <f t="shared" si="415"/>
        <v/>
      </c>
      <c r="BI944" s="27" t="str">
        <f t="shared" si="416"/>
        <v/>
      </c>
      <c r="BJ944" s="27" t="str">
        <f t="shared" si="417"/>
        <v/>
      </c>
      <c r="BK944" s="27" t="str">
        <f t="shared" si="418"/>
        <v/>
      </c>
      <c r="BL944" s="27" t="str">
        <f t="shared" si="419"/>
        <v/>
      </c>
      <c r="BM944" s="21" t="s">
        <v>5581</v>
      </c>
    </row>
    <row r="945" spans="1:65" ht="15">
      <c r="A945" s="25" t="str">
        <f>IFERROR(INDEX('Hun Demand'!W:W,MATCH(O945,'Hun Demand'!A:A,0)),"")</f>
        <v/>
      </c>
      <c r="B945" s="25" t="str">
        <f>IFERROR(INDEX('Hun Demand'!V:V,MATCH(O945,'Hun Demand'!A:A,0)),"")</f>
        <v/>
      </c>
      <c r="C945" s="25" t="str">
        <f>IFERROR(INDEX('Hun Demand'!U:U,MATCH(O945,'Hun Demand'!A:A,0)),"")</f>
        <v/>
      </c>
      <c r="D945" s="25" t="str">
        <f>IFERROR(INDEX('Hun Demand'!T:T,MATCH(O945,'Hun Demand'!A:A,0)),"")</f>
        <v/>
      </c>
      <c r="E945" s="25" t="str">
        <f>IFERROR(INDEX('Hun Demand'!S:S,MATCH(O945,'Hun Demand'!A:A,0)),"")</f>
        <v/>
      </c>
      <c r="F945" s="25" t="str">
        <f>IFERROR(INDEX('Hun Demand'!R:R,MATCH(O945,'Hun Demand'!A:A,0)),"")</f>
        <v/>
      </c>
      <c r="G945" s="25">
        <f>IFERROR(INDEX('Aub Demand'!W:W,MATCH(O945,'Aub Demand'!A:A,0)),"")</f>
        <v>72</v>
      </c>
      <c r="H945" s="25">
        <f>IFERROR(INDEX('Aub Demand'!V:V,MATCH(O945,'Aub Demand'!A:A,0)),"")</f>
        <v>0</v>
      </c>
      <c r="I945" s="25">
        <f>IFERROR(INDEX('Aub Demand'!U:U,MATCH(O945,'Aub Demand'!A:A,0)),"")</f>
        <v>0</v>
      </c>
      <c r="J945" s="25">
        <f>IFERROR(INDEX('Aub Demand'!T:T,MATCH(O945,'Aub Demand'!A:A,0)),"")</f>
        <v>0</v>
      </c>
      <c r="K945" s="25">
        <f>IFERROR(INDEX('Aub Demand'!S:S,MATCH(O945,'Aub Demand'!A:A,0)),"")</f>
        <v>41</v>
      </c>
      <c r="L945" s="25">
        <f>IFERROR(INDEX('Aub Demand'!R:R,MATCH(O945,'Aub Demand'!A:A,0)),"")</f>
        <v>23</v>
      </c>
      <c r="O945" s="27" t="s">
        <v>2499</v>
      </c>
      <c r="P945" s="27" t="str">
        <f>IFERROR(INDEX('Aub Demand'!B:B,MATCH($O945,'Aub Demand'!$A:$A,0)),"")</f>
        <v>NATURAL BEIGE</v>
      </c>
      <c r="Q945" s="27" t="str">
        <f>IFERROR(INDEX('Aub Demand'!C:C,MATCH($O945,'Aub Demand'!$A:$A,0)),"")</f>
        <v>ONYX</v>
      </c>
      <c r="R945" s="52">
        <f>IFERROR(IF(AR946=AR945,INDEX('Aub Demand'!K:K,MATCH($O945,'Aub Demand'!$A:$A,0))-IF(AN945="",0,AN945)+AP946,INDEX('Aub Demand'!K:K,MATCH($O945,'Aub Demand'!$A:$A,0))-IF(AN945="",0,AN945)),"")</f>
        <v>0</v>
      </c>
      <c r="S945" s="53">
        <f t="shared" si="392"/>
        <v>0</v>
      </c>
      <c r="T945" s="52">
        <f t="shared" si="393"/>
        <v>24</v>
      </c>
      <c r="U945" s="52">
        <f>IFERROR(IF(AR946=AR945,INDEX('Aub Demand'!Q:Q,MATCH($O945,'Aub Demand'!$A:$A,0))-IF(AN945="",0,AN945)+AP946,INDEX('Aub Demand'!Q:Q,MATCH($O945,'Aub Demand'!$A:$A,0))-IF(AN945="",0,AN945)),"")</f>
        <v>-28</v>
      </c>
      <c r="V945" s="53">
        <f t="shared" si="394"/>
        <v>-8.6</v>
      </c>
      <c r="W945" s="52">
        <f t="shared" si="395"/>
        <v>92.8</v>
      </c>
      <c r="X945" s="52">
        <f>IFERROR(IF(AND(AR946=AR945,AM945&lt;&gt;""),INDEX('Aub Demand'!Q:Q,MATCH($O945,'Aub Demand'!$A:$A,0))-IF(AN945="",0,AN945)+AP946+AD945+AL945,IF(AR946=AR945,INDEX('Aub Demand'!Q:Q,MATCH($O945,'Aub Demand'!$A:$A,0))-IF(AN945="",0,AN945)+AP946+AD945,IF(AM945&lt;&gt;"",INDEX('Aub Demand'!Q:Q,MATCH($O945,'Aub Demand'!$A:$A,0))-IF(AN945="",0,AN945)+AD945+AL945,INDEX('Aub Demand'!Q:Q,MATCH($O945,'Aub Demand'!$A:$A,0))-IF(AN945="",0,AN945)+AD945))),"")</f>
        <v>-28</v>
      </c>
      <c r="Y945" s="53">
        <f t="shared" si="396"/>
        <v>-8.6</v>
      </c>
      <c r="Z945" s="52">
        <f>IF(L945="","",INDEX('Aub Demand'!H:H,MATCH($O945,'Aub Demand'!$A:$A,0)))</f>
        <v>14</v>
      </c>
      <c r="AA945" s="52">
        <f t="shared" si="397"/>
        <v>32</v>
      </c>
      <c r="AB945" s="52">
        <f>IFERROR(INDEX('Aub Demand'!L:L,MATCH($O945,'Aub Demand'!$A:$A,0)),"")</f>
        <v>16</v>
      </c>
      <c r="AC945" s="52">
        <f>IFERROR(IF(O945="","",SUMIFS('CPL Mats'!F:F,'CPL Mats'!Q:Q,AR945,'CPL Mats'!S:S,AS945)),"")</f>
        <v>0</v>
      </c>
      <c r="AF945" s="25" t="str">
        <f>IF(SUMIFS('Supp Consol'!S:S,'Supp Consol'!Y:Y,"Releasable",'Supp Consol'!A:A,O945)=0,"",SUMIFS('Supp Consol'!S:S,'Supp Consol'!Y:Y,"Releasable",'Supp Consol'!A:A,O945))</f>
        <v/>
      </c>
      <c r="AG945" s="25" t="str">
        <f>IFERROR(INDEX('Hun Demand'!Q:Q,MATCH(O945,'Hun Demand'!A:A,0)),"")</f>
        <v/>
      </c>
      <c r="AH945" s="25" t="str">
        <f>IFERROR(INDEX('Hun Demand'!H:H,MATCH($O945,'Hun Demand'!$A:$A,0)),"")</f>
        <v/>
      </c>
      <c r="AI945" s="25" t="str">
        <f>IF(SUMIFS('Supp Consol'!AA:AA,'Supp Consol'!Z:Z,"Expires this month",'Supp Consol'!A:A,O945)=0,"",SUMIFS('Supp Consol'!AA:AA,'Supp Consol'!Z:Z,"Expires this month",'Supp Consol'!A:A,O945))</f>
        <v/>
      </c>
      <c r="AJ945" s="25" t="str">
        <f>IF(SUMIFS('Supp Consol'!AA:AA,'Supp Consol'!Z:Z,"Expired Previous Months",'Supp Consol'!A:A,O945)=0,"",SUMIFS('Supp Consol'!AA:AA,'Supp Consol'!Z:Z,"Expired Previous Months",'Supp Consol'!A:A,O945))</f>
        <v/>
      </c>
      <c r="AK945" s="25" t="str">
        <f>IFERROR(INDEX('Hun Release Current'!B:B,MATCH(O945,'Hun Release Current'!A:A,0)),"")</f>
        <v/>
      </c>
      <c r="AL945" s="25" t="str">
        <f>IF(SUMIF('Prev Aub'!A:A,O945,'Prev Aub'!B:B)=0,"",SUMIF('Prev Aub'!A:A,O945,'Prev Aub'!B:B))</f>
        <v/>
      </c>
      <c r="AN945" s="25" t="s">
        <v>3790</v>
      </c>
      <c r="AO945" s="25" t="s">
        <v>3790</v>
      </c>
      <c r="AP945" s="25">
        <f t="shared" si="398"/>
        <v>0</v>
      </c>
      <c r="AQ945" s="151" t="str">
        <f>IF(SUMIFS('Supp Consol'!S:S,'Supp Consol'!A:A,O945,'Supp Consol'!I:I,"PENDING")=0,"",SUMIFS('Supp Consol'!S:S,'Supp Consol'!A:A,O945,'Supp Consol'!I:I,"PENDING"))</f>
        <v/>
      </c>
      <c r="AR945" s="27" t="str">
        <f t="shared" si="399"/>
        <v>S2063</v>
      </c>
      <c r="AS945" s="27" t="str">
        <f t="shared" si="400"/>
        <v>50</v>
      </c>
      <c r="AT945" s="27" t="str">
        <f t="shared" si="401"/>
        <v>S2063</v>
      </c>
      <c r="AU945" s="27" t="str">
        <f t="shared" si="402"/>
        <v>S2063</v>
      </c>
      <c r="AV945" s="27" t="str">
        <f t="shared" si="403"/>
        <v>S2063</v>
      </c>
      <c r="AW945" s="27" t="str">
        <f t="shared" si="404"/>
        <v/>
      </c>
      <c r="AX945" s="27" t="str">
        <f t="shared" si="405"/>
        <v/>
      </c>
      <c r="AY945" s="27" t="str">
        <f t="shared" si="406"/>
        <v/>
      </c>
      <c r="AZ945" s="27" t="str">
        <f t="shared" si="407"/>
        <v/>
      </c>
      <c r="BA945" s="27" t="str">
        <f t="shared" si="408"/>
        <v/>
      </c>
      <c r="BB945" s="27" t="str">
        <f t="shared" si="409"/>
        <v>Gross</v>
      </c>
      <c r="BC945" s="27" t="str">
        <f t="shared" si="410"/>
        <v>Net</v>
      </c>
      <c r="BD945" s="27" t="str">
        <f t="shared" si="411"/>
        <v>Net</v>
      </c>
      <c r="BE945" s="27" t="str">
        <f t="shared" si="412"/>
        <v/>
      </c>
      <c r="BF945" s="27" t="str">
        <f t="shared" si="413"/>
        <v/>
      </c>
      <c r="BG945" s="27" t="str">
        <f t="shared" si="414"/>
        <v/>
      </c>
      <c r="BH945" s="27" t="str">
        <f t="shared" si="415"/>
        <v/>
      </c>
      <c r="BI945" s="27" t="str">
        <f t="shared" si="416"/>
        <v/>
      </c>
      <c r="BJ945" s="27" t="str">
        <f t="shared" si="417"/>
        <v/>
      </c>
      <c r="BK945" s="27" t="str">
        <f t="shared" si="418"/>
        <v/>
      </c>
      <c r="BL945" s="27" t="str">
        <f t="shared" si="419"/>
        <v/>
      </c>
      <c r="BM945" s="21" t="s">
        <v>5581</v>
      </c>
    </row>
    <row r="946" spans="1:65" ht="15">
      <c r="A946" s="25" t="str">
        <f>IFERROR(INDEX('Hun Demand'!W:W,MATCH(O946,'Hun Demand'!A:A,0)),"")</f>
        <v/>
      </c>
      <c r="B946" s="25" t="str">
        <f>IFERROR(INDEX('Hun Demand'!V:V,MATCH(O946,'Hun Demand'!A:A,0)),"")</f>
        <v/>
      </c>
      <c r="C946" s="25" t="str">
        <f>IFERROR(INDEX('Hun Demand'!U:U,MATCH(O946,'Hun Demand'!A:A,0)),"")</f>
        <v/>
      </c>
      <c r="D946" s="25" t="str">
        <f>IFERROR(INDEX('Hun Demand'!T:T,MATCH(O946,'Hun Demand'!A:A,0)),"")</f>
        <v/>
      </c>
      <c r="E946" s="25" t="str">
        <f>IFERROR(INDEX('Hun Demand'!S:S,MATCH(O946,'Hun Demand'!A:A,0)),"")</f>
        <v/>
      </c>
      <c r="F946" s="25" t="str">
        <f>IFERROR(INDEX('Hun Demand'!R:R,MATCH(O946,'Hun Demand'!A:A,0)),"")</f>
        <v/>
      </c>
      <c r="G946" s="25">
        <f>IFERROR(INDEX('Aub Demand'!W:W,MATCH(O946,'Aub Demand'!A:A,0)),"")</f>
        <v>0</v>
      </c>
      <c r="H946" s="25">
        <f>IFERROR(INDEX('Aub Demand'!V:V,MATCH(O946,'Aub Demand'!A:A,0)),"")</f>
        <v>0</v>
      </c>
      <c r="I946" s="25">
        <f>IFERROR(INDEX('Aub Demand'!U:U,MATCH(O946,'Aub Demand'!A:A,0)),"")</f>
        <v>0</v>
      </c>
      <c r="J946" s="25">
        <f>IFERROR(INDEX('Aub Demand'!T:T,MATCH(O946,'Aub Demand'!A:A,0)),"")</f>
        <v>0</v>
      </c>
      <c r="K946" s="25">
        <f>IFERROR(INDEX('Aub Demand'!S:S,MATCH(O946,'Aub Demand'!A:A,0)),"")</f>
        <v>0</v>
      </c>
      <c r="L946" s="25">
        <f>IFERROR(INDEX('Aub Demand'!R:R,MATCH(O946,'Aub Demand'!A:A,0)),"")</f>
        <v>0</v>
      </c>
      <c r="O946" s="27" t="s">
        <v>2502</v>
      </c>
      <c r="P946" s="27" t="str">
        <f>IFERROR(INDEX('Aub Demand'!B:B,MATCH($O946,'Aub Demand'!$A:$A,0)),"")</f>
        <v>NATURAL BEIGE</v>
      </c>
      <c r="Q946" s="27" t="str">
        <f>IFERROR(INDEX('Aub Demand'!C:C,MATCH($O946,'Aub Demand'!$A:$A,0)),"")</f>
        <v>ONYX</v>
      </c>
      <c r="R946" s="52">
        <f>IFERROR(IF(AR947=AR946,INDEX('Aub Demand'!K:K,MATCH($O946,'Aub Demand'!$A:$A,0))-IF(AN946="",0,AN946)+AP947,INDEX('Aub Demand'!K:K,MATCH($O946,'Aub Demand'!$A:$A,0))-IF(AN946="",0,AN946)),"")</f>
        <v>780</v>
      </c>
      <c r="S946" s="53" t="str">
        <f t="shared" si="392"/>
        <v>n/a</v>
      </c>
      <c r="T946" s="52" t="str">
        <f t="shared" si="393"/>
        <v/>
      </c>
      <c r="U946" s="52">
        <f>IFERROR(IF(AR947=AR946,INDEX('Aub Demand'!Q:Q,MATCH($O946,'Aub Demand'!$A:$A,0))-IF(AN946="",0,AN946)+AP947,INDEX('Aub Demand'!Q:Q,MATCH($O946,'Aub Demand'!$A:$A,0))-IF(AN946="",0,AN946)),"")</f>
        <v>754</v>
      </c>
      <c r="V946" s="53" t="str">
        <f t="shared" si="394"/>
        <v>n/a</v>
      </c>
      <c r="W946" s="52" t="str">
        <f t="shared" si="395"/>
        <v/>
      </c>
      <c r="X946" s="52">
        <f>IFERROR(IF(AND(AR947=AR946,AM946&lt;&gt;""),INDEX('Aub Demand'!Q:Q,MATCH($O946,'Aub Demand'!$A:$A,0))-IF(AN946="",0,AN946)+AP947+AD946+AL946,IF(AR947=AR946,INDEX('Aub Demand'!Q:Q,MATCH($O946,'Aub Demand'!$A:$A,0))-IF(AN946="",0,AN946)+AP947+AD946,IF(AM946&lt;&gt;"",INDEX('Aub Demand'!Q:Q,MATCH($O946,'Aub Demand'!$A:$A,0))-IF(AN946="",0,AN946)+AD946+AL946,INDEX('Aub Demand'!Q:Q,MATCH($O946,'Aub Demand'!$A:$A,0))-IF(AN946="",0,AN946)+AD946))),"")</f>
        <v>754</v>
      </c>
      <c r="Y946" s="53" t="str">
        <f t="shared" si="396"/>
        <v>n/a</v>
      </c>
      <c r="Z946" s="52">
        <f>IF(L946="","",INDEX('Aub Demand'!H:H,MATCH($O946,'Aub Demand'!$A:$A,0)))</f>
        <v>0</v>
      </c>
      <c r="AA946" s="52" t="str">
        <f t="shared" si="397"/>
        <v>-spike-</v>
      </c>
      <c r="AB946" s="52">
        <f>IFERROR(INDEX('Aub Demand'!L:L,MATCH($O946,'Aub Demand'!$A:$A,0)),"")</f>
        <v>0</v>
      </c>
      <c r="AC946" s="52">
        <f>IFERROR(IF(O946="","",SUMIFS('CPL Mats'!F:F,'CPL Mats'!Q:Q,AR946,'CPL Mats'!S:S,AS946)),"")</f>
        <v>0</v>
      </c>
      <c r="AF946" s="25" t="str">
        <f>IF(SUMIFS('Supp Consol'!S:S,'Supp Consol'!Y:Y,"Releasable",'Supp Consol'!A:A,O946)=0,"",SUMIFS('Supp Consol'!S:S,'Supp Consol'!Y:Y,"Releasable",'Supp Consol'!A:A,O946))</f>
        <v/>
      </c>
      <c r="AG946" s="25" t="str">
        <f>IFERROR(INDEX('Hun Demand'!Q:Q,MATCH(O946,'Hun Demand'!A:A,0)),"")</f>
        <v/>
      </c>
      <c r="AH946" s="25" t="str">
        <f>IFERROR(INDEX('Hun Demand'!H:H,MATCH($O946,'Hun Demand'!$A:$A,0)),"")</f>
        <v/>
      </c>
      <c r="AI946" s="25" t="str">
        <f>IF(SUMIFS('Supp Consol'!AA:AA,'Supp Consol'!Z:Z,"Expires this month",'Supp Consol'!A:A,O946)=0,"",SUMIFS('Supp Consol'!AA:AA,'Supp Consol'!Z:Z,"Expires this month",'Supp Consol'!A:A,O946))</f>
        <v/>
      </c>
      <c r="AJ946" s="25" t="str">
        <f>IF(SUMIFS('Supp Consol'!AA:AA,'Supp Consol'!Z:Z,"Expired Previous Months",'Supp Consol'!A:A,O946)=0,"",SUMIFS('Supp Consol'!AA:AA,'Supp Consol'!Z:Z,"Expired Previous Months",'Supp Consol'!A:A,O946))</f>
        <v/>
      </c>
      <c r="AK946" s="25" t="str">
        <f>IFERROR(INDEX('Hun Release Current'!B:B,MATCH(O946,'Hun Release Current'!A:A,0)),"")</f>
        <v/>
      </c>
      <c r="AL946" s="25" t="str">
        <f>IF(SUMIF('Prev Aub'!A:A,O946,'Prev Aub'!B:B)=0,"",SUMIF('Prev Aub'!A:A,O946,'Prev Aub'!B:B))</f>
        <v/>
      </c>
      <c r="AN946" s="25" t="s">
        <v>3790</v>
      </c>
      <c r="AO946" s="25" t="s">
        <v>3790</v>
      </c>
      <c r="AP946" s="25">
        <f t="shared" si="398"/>
        <v>0</v>
      </c>
      <c r="AQ946" s="151" t="str">
        <f>IF(SUMIFS('Supp Consol'!S:S,'Supp Consol'!A:A,O946,'Supp Consol'!I:I,"PENDING")=0,"",SUMIFS('Supp Consol'!S:S,'Supp Consol'!A:A,O946,'Supp Consol'!I:I,"PENDING"))</f>
        <v/>
      </c>
      <c r="AR946" s="27" t="str">
        <f t="shared" si="399"/>
        <v>S2063</v>
      </c>
      <c r="AS946" s="27" t="str">
        <f t="shared" si="400"/>
        <v>62</v>
      </c>
      <c r="AT946" s="27" t="str">
        <f t="shared" si="401"/>
        <v/>
      </c>
      <c r="AU946" s="27" t="str">
        <f t="shared" si="402"/>
        <v/>
      </c>
      <c r="AV946" s="27" t="str">
        <f t="shared" si="403"/>
        <v/>
      </c>
      <c r="AW946" s="27" t="str">
        <f t="shared" si="404"/>
        <v/>
      </c>
      <c r="AX946" s="27" t="str">
        <f t="shared" si="405"/>
        <v/>
      </c>
      <c r="AY946" s="27" t="str">
        <f t="shared" si="406"/>
        <v/>
      </c>
      <c r="AZ946" s="27" t="str">
        <f t="shared" si="407"/>
        <v/>
      </c>
      <c r="BA946" s="27" t="str">
        <f t="shared" si="408"/>
        <v/>
      </c>
      <c r="BB946" s="27" t="str">
        <f t="shared" si="409"/>
        <v>Gross</v>
      </c>
      <c r="BC946" s="27" t="str">
        <f t="shared" si="410"/>
        <v>Net</v>
      </c>
      <c r="BD946" s="27" t="str">
        <f t="shared" si="411"/>
        <v>Net</v>
      </c>
      <c r="BE946" s="27" t="str">
        <f t="shared" si="412"/>
        <v/>
      </c>
      <c r="BF946" s="27" t="str">
        <f t="shared" si="413"/>
        <v/>
      </c>
      <c r="BG946" s="27" t="str">
        <f t="shared" si="414"/>
        <v/>
      </c>
      <c r="BH946" s="27" t="str">
        <f t="shared" si="415"/>
        <v/>
      </c>
      <c r="BI946" s="27" t="str">
        <f t="shared" si="416"/>
        <v/>
      </c>
      <c r="BJ946" s="27" t="str">
        <f t="shared" si="417"/>
        <v/>
      </c>
      <c r="BK946" s="27" t="str">
        <f t="shared" si="418"/>
        <v/>
      </c>
      <c r="BL946" s="27" t="str">
        <f t="shared" si="419"/>
        <v/>
      </c>
      <c r="BM946" s="21" t="s">
        <v>5581</v>
      </c>
    </row>
    <row r="947" spans="1:65" ht="15">
      <c r="A947" s="25">
        <f>IFERROR(INDEX('Hun Demand'!W:W,MATCH(O947,'Hun Demand'!A:A,0)),"")</f>
        <v>0</v>
      </c>
      <c r="B947" s="25">
        <f>IFERROR(INDEX('Hun Demand'!V:V,MATCH(O947,'Hun Demand'!A:A,0)),"")</f>
        <v>0</v>
      </c>
      <c r="C947" s="25">
        <f>IFERROR(INDEX('Hun Demand'!U:U,MATCH(O947,'Hun Demand'!A:A,0)),"")</f>
        <v>0</v>
      </c>
      <c r="D947" s="25">
        <f>IFERROR(INDEX('Hun Demand'!T:T,MATCH(O947,'Hun Demand'!A:A,0)),"")</f>
        <v>0</v>
      </c>
      <c r="E947" s="25">
        <f>IFERROR(INDEX('Hun Demand'!S:S,MATCH(O947,'Hun Demand'!A:A,0)),"")</f>
        <v>0</v>
      </c>
      <c r="F947" s="25">
        <f>IFERROR(INDEX('Hun Demand'!R:R,MATCH(O947,'Hun Demand'!A:A,0)),"")</f>
        <v>0</v>
      </c>
      <c r="G947" s="25">
        <f>IFERROR(INDEX('Aub Demand'!W:W,MATCH(O947,'Aub Demand'!A:A,0)),"")</f>
        <v>0</v>
      </c>
      <c r="H947" s="25">
        <f>IFERROR(INDEX('Aub Demand'!V:V,MATCH(O947,'Aub Demand'!A:A,0)),"")</f>
        <v>0</v>
      </c>
      <c r="I947" s="25">
        <f>IFERROR(INDEX('Aub Demand'!U:U,MATCH(O947,'Aub Demand'!A:A,0)),"")</f>
        <v>0</v>
      </c>
      <c r="J947" s="25">
        <f>IFERROR(INDEX('Aub Demand'!T:T,MATCH(O947,'Aub Demand'!A:A,0)),"")</f>
        <v>0</v>
      </c>
      <c r="K947" s="25">
        <f>IFERROR(INDEX('Aub Demand'!S:S,MATCH(O947,'Aub Demand'!A:A,0)),"")</f>
        <v>0</v>
      </c>
      <c r="L947" s="25">
        <f>IFERROR(INDEX('Aub Demand'!R:R,MATCH(O947,'Aub Demand'!A:A,0)),"")</f>
        <v>0</v>
      </c>
      <c r="O947" s="27" t="s">
        <v>2506</v>
      </c>
      <c r="P947" s="27" t="str">
        <f>IFERROR(INDEX('Aub Demand'!B:B,MATCH($O947,'Aub Demand'!$A:$A,0)),"")</f>
        <v>ENGLISH LACE</v>
      </c>
      <c r="Q947" s="27" t="str">
        <f>IFERROR(INDEX('Aub Demand'!C:C,MATCH($O947,'Aub Demand'!$A:$A,0)),"")</f>
        <v>ONYX</v>
      </c>
      <c r="R947" s="52">
        <f>IFERROR(IF(AR948=AR947,INDEX('Aub Demand'!K:K,MATCH($O947,'Aub Demand'!$A:$A,0))-IF(AN947="",0,AN947)+AP948,INDEX('Aub Demand'!K:K,MATCH($O947,'Aub Demand'!$A:$A,0))-IF(AN947="",0,AN947)),"")</f>
        <v>2133</v>
      </c>
      <c r="S947" s="53" t="str">
        <f t="shared" si="392"/>
        <v>n/a</v>
      </c>
      <c r="T947" s="52" t="str">
        <f t="shared" si="393"/>
        <v/>
      </c>
      <c r="U947" s="52">
        <f>IFERROR(IF(AR948=AR947,INDEX('Aub Demand'!Q:Q,MATCH($O947,'Aub Demand'!$A:$A,0))-IF(AN947="",0,AN947)+AP948,INDEX('Aub Demand'!Q:Q,MATCH($O947,'Aub Demand'!$A:$A,0))-IF(AN947="",0,AN947)),"")</f>
        <v>2133</v>
      </c>
      <c r="V947" s="53" t="str">
        <f t="shared" si="394"/>
        <v>n/a</v>
      </c>
      <c r="W947" s="52" t="str">
        <f t="shared" si="395"/>
        <v/>
      </c>
      <c r="X947" s="52">
        <f>IFERROR(IF(AND(AR948=AR947,AM947&lt;&gt;""),INDEX('Aub Demand'!Q:Q,MATCH($O947,'Aub Demand'!$A:$A,0))-IF(AN947="",0,AN947)+AP948+AD947+AL947,IF(AR948=AR947,INDEX('Aub Demand'!Q:Q,MATCH($O947,'Aub Demand'!$A:$A,0))-IF(AN947="",0,AN947)+AP948+AD947,IF(AM947&lt;&gt;"",INDEX('Aub Demand'!Q:Q,MATCH($O947,'Aub Demand'!$A:$A,0))-IF(AN947="",0,AN947)+AD947+AL947,INDEX('Aub Demand'!Q:Q,MATCH($O947,'Aub Demand'!$A:$A,0))-IF(AN947="",0,AN947)+AD947))),"")</f>
        <v>2133</v>
      </c>
      <c r="Y947" s="53" t="str">
        <f t="shared" si="396"/>
        <v>n/a</v>
      </c>
      <c r="Z947" s="52">
        <f>IF(L947="","",INDEX('Aub Demand'!H:H,MATCH($O947,'Aub Demand'!$A:$A,0)))</f>
        <v>0</v>
      </c>
      <c r="AA947" s="52" t="str">
        <f t="shared" si="397"/>
        <v>-spike-</v>
      </c>
      <c r="AB947" s="52">
        <f>IFERROR(INDEX('Aub Demand'!L:L,MATCH($O947,'Aub Demand'!$A:$A,0)),"")</f>
        <v>0</v>
      </c>
      <c r="AC947" s="52">
        <f>IFERROR(IF(O947="","",SUMIFS('CPL Mats'!F:F,'CPL Mats'!Q:Q,AR947,'CPL Mats'!S:S,AS947)),"")</f>
        <v>0</v>
      </c>
      <c r="AF947" s="25" t="str">
        <f>IF(SUMIFS('Supp Consol'!S:S,'Supp Consol'!Y:Y,"Releasable",'Supp Consol'!A:A,O947)=0,"",SUMIFS('Supp Consol'!S:S,'Supp Consol'!Y:Y,"Releasable",'Supp Consol'!A:A,O947))</f>
        <v/>
      </c>
      <c r="AG947" s="25">
        <f>IFERROR(INDEX('Hun Demand'!Q:Q,MATCH(O947,'Hun Demand'!A:A,0)),"")</f>
        <v>179</v>
      </c>
      <c r="AH947" s="25">
        <f>IFERROR(INDEX('Hun Demand'!H:H,MATCH($O947,'Hun Demand'!$A:$A,0)),"")</f>
        <v>0</v>
      </c>
      <c r="AI947" s="25" t="str">
        <f>IF(SUMIFS('Supp Consol'!AA:AA,'Supp Consol'!Z:Z,"Expires this month",'Supp Consol'!A:A,O947)=0,"",SUMIFS('Supp Consol'!AA:AA,'Supp Consol'!Z:Z,"Expires this month",'Supp Consol'!A:A,O947))</f>
        <v/>
      </c>
      <c r="AJ947" s="25" t="str">
        <f>IF(SUMIFS('Supp Consol'!AA:AA,'Supp Consol'!Z:Z,"Expired Previous Months",'Supp Consol'!A:A,O947)=0,"",SUMIFS('Supp Consol'!AA:AA,'Supp Consol'!Z:Z,"Expired Previous Months",'Supp Consol'!A:A,O947))</f>
        <v/>
      </c>
      <c r="AK947" s="25" t="str">
        <f>IFERROR(INDEX('Hun Release Current'!B:B,MATCH(O947,'Hun Release Current'!A:A,0)),"")</f>
        <v/>
      </c>
      <c r="AL947" s="25" t="str">
        <f>IF(SUMIF('Prev Aub'!A:A,O947,'Prev Aub'!B:B)=0,"",SUMIF('Prev Aub'!A:A,O947,'Prev Aub'!B:B))</f>
        <v/>
      </c>
      <c r="AN947" s="25" t="s">
        <v>3790</v>
      </c>
      <c r="AO947" s="25" t="s">
        <v>3790</v>
      </c>
      <c r="AP947" s="25">
        <f t="shared" si="398"/>
        <v>0</v>
      </c>
      <c r="AQ947" s="151" t="str">
        <f>IF(SUMIFS('Supp Consol'!S:S,'Supp Consol'!A:A,O947,'Supp Consol'!I:I,"PENDING")=0,"",SUMIFS('Supp Consol'!S:S,'Supp Consol'!A:A,O947,'Supp Consol'!I:I,"PENDING"))</f>
        <v/>
      </c>
      <c r="AR947" s="27" t="str">
        <f t="shared" si="399"/>
        <v>S2085</v>
      </c>
      <c r="AS947" s="27" t="str">
        <f t="shared" si="400"/>
        <v>62</v>
      </c>
      <c r="AT947" s="27" t="str">
        <f t="shared" si="401"/>
        <v/>
      </c>
      <c r="AU947" s="27" t="str">
        <f t="shared" si="402"/>
        <v/>
      </c>
      <c r="AV947" s="27" t="str">
        <f t="shared" si="403"/>
        <v/>
      </c>
      <c r="AW947" s="27" t="str">
        <f t="shared" si="404"/>
        <v/>
      </c>
      <c r="AX947" s="27" t="str">
        <f t="shared" si="405"/>
        <v/>
      </c>
      <c r="AY947" s="27" t="str">
        <f t="shared" si="406"/>
        <v>S2085</v>
      </c>
      <c r="AZ947" s="27" t="str">
        <f t="shared" si="407"/>
        <v/>
      </c>
      <c r="BA947" s="27" t="str">
        <f t="shared" si="408"/>
        <v>Hun</v>
      </c>
      <c r="BB947" s="27" t="str">
        <f t="shared" si="409"/>
        <v/>
      </c>
      <c r="BC947" s="27" t="str">
        <f t="shared" si="410"/>
        <v/>
      </c>
      <c r="BD947" s="27" t="str">
        <f t="shared" si="411"/>
        <v/>
      </c>
      <c r="BE947" s="27" t="str">
        <f t="shared" si="412"/>
        <v/>
      </c>
      <c r="BF947" s="27" t="str">
        <f t="shared" si="413"/>
        <v/>
      </c>
      <c r="BG947" s="27" t="str">
        <f t="shared" si="414"/>
        <v/>
      </c>
      <c r="BH947" s="27" t="str">
        <f t="shared" si="415"/>
        <v/>
      </c>
      <c r="BI947" s="27" t="str">
        <f t="shared" si="416"/>
        <v/>
      </c>
      <c r="BJ947" s="27" t="str">
        <f t="shared" si="417"/>
        <v>Supp or Hun</v>
      </c>
      <c r="BK947" s="27" t="str">
        <f t="shared" si="418"/>
        <v/>
      </c>
      <c r="BL947" s="27" t="str">
        <f t="shared" si="419"/>
        <v/>
      </c>
      <c r="BM947" s="21" t="s">
        <v>5581</v>
      </c>
    </row>
    <row r="948" spans="1:65" ht="15">
      <c r="A948" s="25" t="str">
        <f>IFERROR(INDEX('Hun Demand'!W:W,MATCH(O948,'Hun Demand'!A:A,0)),"")</f>
        <v/>
      </c>
      <c r="B948" s="25" t="str">
        <f>IFERROR(INDEX('Hun Demand'!V:V,MATCH(O948,'Hun Demand'!A:A,0)),"")</f>
        <v/>
      </c>
      <c r="C948" s="25" t="str">
        <f>IFERROR(INDEX('Hun Demand'!U:U,MATCH(O948,'Hun Demand'!A:A,0)),"")</f>
        <v/>
      </c>
      <c r="D948" s="25" t="str">
        <f>IFERROR(INDEX('Hun Demand'!T:T,MATCH(O948,'Hun Demand'!A:A,0)),"")</f>
        <v/>
      </c>
      <c r="E948" s="25" t="str">
        <f>IFERROR(INDEX('Hun Demand'!S:S,MATCH(O948,'Hun Demand'!A:A,0)),"")</f>
        <v/>
      </c>
      <c r="F948" s="25" t="str">
        <f>IFERROR(INDEX('Hun Demand'!R:R,MATCH(O948,'Hun Demand'!A:A,0)),"")</f>
        <v/>
      </c>
      <c r="G948" s="25">
        <f>IFERROR(INDEX('Aub Demand'!W:W,MATCH(O948,'Aub Demand'!A:A,0)),"")</f>
        <v>0</v>
      </c>
      <c r="H948" s="25">
        <f>IFERROR(INDEX('Aub Demand'!V:V,MATCH(O948,'Aub Demand'!A:A,0)),"")</f>
        <v>0</v>
      </c>
      <c r="I948" s="25">
        <f>IFERROR(INDEX('Aub Demand'!U:U,MATCH(O948,'Aub Demand'!A:A,0)),"")</f>
        <v>0</v>
      </c>
      <c r="J948" s="25">
        <f>IFERROR(INDEX('Aub Demand'!T:T,MATCH(O948,'Aub Demand'!A:A,0)),"")</f>
        <v>0</v>
      </c>
      <c r="K948" s="25">
        <f>IFERROR(INDEX('Aub Demand'!S:S,MATCH(O948,'Aub Demand'!A:A,0)),"")</f>
        <v>0</v>
      </c>
      <c r="L948" s="25">
        <f>IFERROR(INDEX('Aub Demand'!R:R,MATCH(O948,'Aub Demand'!A:A,0)),"")</f>
        <v>0</v>
      </c>
      <c r="O948" s="27" t="s">
        <v>2507</v>
      </c>
      <c r="P948" s="27" t="str">
        <f>IFERROR(INDEX('Aub Demand'!B:B,MATCH($O948,'Aub Demand'!$A:$A,0)),"")</f>
        <v>JUTE II</v>
      </c>
      <c r="Q948" s="27" t="str">
        <f>IFERROR(INDEX('Aub Demand'!C:C,MATCH($O948,'Aub Demand'!$A:$A,0)),"")</f>
        <v>ONYX</v>
      </c>
      <c r="R948" s="52">
        <f>IFERROR(IF(AR949=AR948,INDEX('Aub Demand'!K:K,MATCH($O948,'Aub Demand'!$A:$A,0))-IF(AN948="",0,AN948)+AP949,INDEX('Aub Demand'!K:K,MATCH($O948,'Aub Demand'!$A:$A,0))-IF(AN948="",0,AN948)),"")</f>
        <v>1984</v>
      </c>
      <c r="S948" s="53" t="str">
        <f t="shared" si="392"/>
        <v>n/a</v>
      </c>
      <c r="T948" s="52" t="str">
        <f t="shared" si="393"/>
        <v/>
      </c>
      <c r="U948" s="52">
        <f>IFERROR(IF(AR949=AR948,INDEX('Aub Demand'!Q:Q,MATCH($O948,'Aub Demand'!$A:$A,0))-IF(AN948="",0,AN948)+AP949,INDEX('Aub Demand'!Q:Q,MATCH($O948,'Aub Demand'!$A:$A,0))-IF(AN948="",0,AN948)),"")</f>
        <v>1984</v>
      </c>
      <c r="V948" s="53" t="str">
        <f t="shared" si="394"/>
        <v>n/a</v>
      </c>
      <c r="W948" s="52" t="str">
        <f t="shared" si="395"/>
        <v/>
      </c>
      <c r="X948" s="52">
        <f>IFERROR(IF(AND(AR949=AR948,AM948&lt;&gt;""),INDEX('Aub Demand'!Q:Q,MATCH($O948,'Aub Demand'!$A:$A,0))-IF(AN948="",0,AN948)+AP949+AD948+AL948,IF(AR949=AR948,INDEX('Aub Demand'!Q:Q,MATCH($O948,'Aub Demand'!$A:$A,0))-IF(AN948="",0,AN948)+AP949+AD948,IF(AM948&lt;&gt;"",INDEX('Aub Demand'!Q:Q,MATCH($O948,'Aub Demand'!$A:$A,0))-IF(AN948="",0,AN948)+AD948+AL948,INDEX('Aub Demand'!Q:Q,MATCH($O948,'Aub Demand'!$A:$A,0))-IF(AN948="",0,AN948)+AD948))),"")</f>
        <v>1984</v>
      </c>
      <c r="Y948" s="53" t="str">
        <f t="shared" si="396"/>
        <v>n/a</v>
      </c>
      <c r="Z948" s="52">
        <f>IF(L948="","",INDEX('Aub Demand'!H:H,MATCH($O948,'Aub Demand'!$A:$A,0)))</f>
        <v>0</v>
      </c>
      <c r="AA948" s="52" t="str">
        <f t="shared" si="397"/>
        <v>-spike-</v>
      </c>
      <c r="AB948" s="52">
        <f>IFERROR(INDEX('Aub Demand'!L:L,MATCH($O948,'Aub Demand'!$A:$A,0)),"")</f>
        <v>0</v>
      </c>
      <c r="AC948" s="52">
        <f>IFERROR(IF(O948="","",SUMIFS('CPL Mats'!F:F,'CPL Mats'!Q:Q,AR948,'CPL Mats'!S:S,AS948)),"")</f>
        <v>0</v>
      </c>
      <c r="AF948" s="25" t="str">
        <f>IF(SUMIFS('Supp Consol'!S:S,'Supp Consol'!Y:Y,"Releasable",'Supp Consol'!A:A,O948)=0,"",SUMIFS('Supp Consol'!S:S,'Supp Consol'!Y:Y,"Releasable",'Supp Consol'!A:A,O948))</f>
        <v/>
      </c>
      <c r="AG948" s="25" t="str">
        <f>IFERROR(INDEX('Hun Demand'!Q:Q,MATCH(O948,'Hun Demand'!A:A,0)),"")</f>
        <v/>
      </c>
      <c r="AH948" s="25" t="str">
        <f>IFERROR(INDEX('Hun Demand'!H:H,MATCH($O948,'Hun Demand'!$A:$A,0)),"")</f>
        <v/>
      </c>
      <c r="AI948" s="25" t="str">
        <f>IF(SUMIFS('Supp Consol'!AA:AA,'Supp Consol'!Z:Z,"Expires this month",'Supp Consol'!A:A,O948)=0,"",SUMIFS('Supp Consol'!AA:AA,'Supp Consol'!Z:Z,"Expires this month",'Supp Consol'!A:A,O948))</f>
        <v/>
      </c>
      <c r="AJ948" s="25" t="str">
        <f>IF(SUMIFS('Supp Consol'!AA:AA,'Supp Consol'!Z:Z,"Expired Previous Months",'Supp Consol'!A:A,O948)=0,"",SUMIFS('Supp Consol'!AA:AA,'Supp Consol'!Z:Z,"Expired Previous Months",'Supp Consol'!A:A,O948))</f>
        <v/>
      </c>
      <c r="AK948" s="25" t="str">
        <f>IFERROR(INDEX('Hun Release Current'!B:B,MATCH(O948,'Hun Release Current'!A:A,0)),"")</f>
        <v/>
      </c>
      <c r="AL948" s="25" t="str">
        <f>IF(SUMIF('Prev Aub'!A:A,O948,'Prev Aub'!B:B)=0,"",SUMIF('Prev Aub'!A:A,O948,'Prev Aub'!B:B))</f>
        <v/>
      </c>
      <c r="AN948" s="25" t="s">
        <v>3790</v>
      </c>
      <c r="AO948" s="25" t="s">
        <v>3790</v>
      </c>
      <c r="AP948" s="25">
        <f t="shared" si="398"/>
        <v>0</v>
      </c>
      <c r="AQ948" s="151" t="str">
        <f>IF(SUMIFS('Supp Consol'!S:S,'Supp Consol'!A:A,O948,'Supp Consol'!I:I,"PENDING")=0,"",SUMIFS('Supp Consol'!S:S,'Supp Consol'!A:A,O948,'Supp Consol'!I:I,"PENDING"))</f>
        <v/>
      </c>
      <c r="AR948" s="27" t="str">
        <f t="shared" si="399"/>
        <v>S2114</v>
      </c>
      <c r="AS948" s="27" t="str">
        <f t="shared" si="400"/>
        <v>62</v>
      </c>
      <c r="AT948" s="27" t="str">
        <f t="shared" si="401"/>
        <v/>
      </c>
      <c r="AU948" s="27" t="str">
        <f t="shared" si="402"/>
        <v/>
      </c>
      <c r="AV948" s="27" t="str">
        <f t="shared" si="403"/>
        <v/>
      </c>
      <c r="AW948" s="27" t="str">
        <f t="shared" si="404"/>
        <v/>
      </c>
      <c r="AX948" s="27" t="str">
        <f t="shared" si="405"/>
        <v/>
      </c>
      <c r="AY948" s="27" t="str">
        <f t="shared" si="406"/>
        <v/>
      </c>
      <c r="AZ948" s="27" t="str">
        <f t="shared" si="407"/>
        <v/>
      </c>
      <c r="BA948" s="27" t="str">
        <f t="shared" si="408"/>
        <v/>
      </c>
      <c r="BB948" s="27" t="str">
        <f t="shared" si="409"/>
        <v/>
      </c>
      <c r="BC948" s="27" t="str">
        <f t="shared" si="410"/>
        <v/>
      </c>
      <c r="BD948" s="27" t="str">
        <f t="shared" si="411"/>
        <v/>
      </c>
      <c r="BE948" s="27" t="str">
        <f t="shared" si="412"/>
        <v/>
      </c>
      <c r="BF948" s="27" t="str">
        <f t="shared" si="413"/>
        <v/>
      </c>
      <c r="BG948" s="27" t="str">
        <f t="shared" si="414"/>
        <v/>
      </c>
      <c r="BH948" s="27" t="str">
        <f t="shared" si="415"/>
        <v/>
      </c>
      <c r="BI948" s="27" t="str">
        <f t="shared" si="416"/>
        <v/>
      </c>
      <c r="BJ948" s="27" t="str">
        <f t="shared" si="417"/>
        <v/>
      </c>
      <c r="BK948" s="27" t="str">
        <f t="shared" si="418"/>
        <v/>
      </c>
      <c r="BL948" s="27" t="str">
        <f t="shared" si="419"/>
        <v/>
      </c>
      <c r="BM948" s="21" t="s">
        <v>5582</v>
      </c>
    </row>
    <row r="949" spans="1:65" ht="15">
      <c r="A949" s="25" t="str">
        <f>IFERROR(INDEX('Hun Demand'!W:W,MATCH(O949,'Hun Demand'!A:A,0)),"")</f>
        <v/>
      </c>
      <c r="B949" s="25" t="str">
        <f>IFERROR(INDEX('Hun Demand'!V:V,MATCH(O949,'Hun Demand'!A:A,0)),"")</f>
        <v/>
      </c>
      <c r="C949" s="25" t="str">
        <f>IFERROR(INDEX('Hun Demand'!U:U,MATCH(O949,'Hun Demand'!A:A,0)),"")</f>
        <v/>
      </c>
      <c r="D949" s="25" t="str">
        <f>IFERROR(INDEX('Hun Demand'!T:T,MATCH(O949,'Hun Demand'!A:A,0)),"")</f>
        <v/>
      </c>
      <c r="E949" s="25" t="str">
        <f>IFERROR(INDEX('Hun Demand'!S:S,MATCH(O949,'Hun Demand'!A:A,0)),"")</f>
        <v/>
      </c>
      <c r="F949" s="25" t="str">
        <f>IFERROR(INDEX('Hun Demand'!R:R,MATCH(O949,'Hun Demand'!A:A,0)),"")</f>
        <v/>
      </c>
      <c r="G949" s="25">
        <f>IFERROR(INDEX('Aub Demand'!W:W,MATCH(O949,'Aub Demand'!A:A,0)),"")</f>
        <v>0</v>
      </c>
      <c r="H949" s="25">
        <f>IFERROR(INDEX('Aub Demand'!V:V,MATCH(O949,'Aub Demand'!A:A,0)),"")</f>
        <v>20</v>
      </c>
      <c r="I949" s="25">
        <f>IFERROR(INDEX('Aub Demand'!U:U,MATCH(O949,'Aub Demand'!A:A,0)),"")</f>
        <v>35</v>
      </c>
      <c r="J949" s="25">
        <f>IFERROR(INDEX('Aub Demand'!T:T,MATCH(O949,'Aub Demand'!A:A,0)),"")</f>
        <v>11</v>
      </c>
      <c r="K949" s="25">
        <f>IFERROR(INDEX('Aub Demand'!S:S,MATCH(O949,'Aub Demand'!A:A,0)),"")</f>
        <v>84</v>
      </c>
      <c r="L949" s="25">
        <f>IFERROR(INDEX('Aub Demand'!R:R,MATCH(O949,'Aub Demand'!A:A,0)),"")</f>
        <v>0</v>
      </c>
      <c r="O949" s="27" t="s">
        <v>2509</v>
      </c>
      <c r="P949" s="27" t="str">
        <f>IFERROR(INDEX('Aub Demand'!B:B,MATCH($O949,'Aub Demand'!$A:$A,0)),"")</f>
        <v>COCOA BEAN 48"</v>
      </c>
      <c r="Q949" s="27" t="str">
        <f>IFERROR(INDEX('Aub Demand'!C:C,MATCH($O949,'Aub Demand'!$A:$A,0)),"")</f>
        <v>AHLST</v>
      </c>
      <c r="R949" s="52">
        <f>IFERROR(IF(AR950=AR949,INDEX('Aub Demand'!K:K,MATCH($O949,'Aub Demand'!$A:$A,0))-IF(AN949="",0,AN949)+AP950,INDEX('Aub Demand'!K:K,MATCH($O949,'Aub Demand'!$A:$A,0))-IF(AN949="",0,AN949)),"")</f>
        <v>926</v>
      </c>
      <c r="S949" s="53">
        <f t="shared" si="392"/>
        <v>92.3</v>
      </c>
      <c r="T949" s="52" t="str">
        <f t="shared" si="393"/>
        <v/>
      </c>
      <c r="U949" s="52">
        <f>IFERROR(IF(AR950=AR949,INDEX('Aub Demand'!Q:Q,MATCH($O949,'Aub Demand'!$A:$A,0))-IF(AN949="",0,AN949)+AP950,INDEX('Aub Demand'!Q:Q,MATCH($O949,'Aub Demand'!$A:$A,0))-IF(AN949="",0,AN949)),"")</f>
        <v>924</v>
      </c>
      <c r="V949" s="53">
        <f t="shared" si="394"/>
        <v>92.1</v>
      </c>
      <c r="W949" s="52" t="str">
        <f t="shared" si="395"/>
        <v/>
      </c>
      <c r="X949" s="52">
        <f>IFERROR(IF(AND(AR950=AR949,AM949&lt;&gt;""),INDEX('Aub Demand'!Q:Q,MATCH($O949,'Aub Demand'!$A:$A,0))-IF(AN949="",0,AN949)+AP950+AD949+AL949,IF(AR950=AR949,INDEX('Aub Demand'!Q:Q,MATCH($O949,'Aub Demand'!$A:$A,0))-IF(AN949="",0,AN949)+AP950+AD949,IF(AM949&lt;&gt;"",INDEX('Aub Demand'!Q:Q,MATCH($O949,'Aub Demand'!$A:$A,0))-IF(AN949="",0,AN949)+AD949+AL949,INDEX('Aub Demand'!Q:Q,MATCH($O949,'Aub Demand'!$A:$A,0))-IF(AN949="",0,AN949)+AD949))),"")</f>
        <v>924</v>
      </c>
      <c r="Y949" s="53">
        <f t="shared" si="396"/>
        <v>92.1</v>
      </c>
      <c r="Z949" s="52">
        <f>IF(L949="","",INDEX('Aub Demand'!H:H,MATCH($O949,'Aub Demand'!$A:$A,0)))</f>
        <v>43</v>
      </c>
      <c r="AA949" s="52">
        <f t="shared" si="397"/>
        <v>59.5</v>
      </c>
      <c r="AB949" s="52">
        <f>IFERROR(INDEX('Aub Demand'!L:L,MATCH($O949,'Aub Demand'!$A:$A,0)),"")</f>
        <v>28</v>
      </c>
      <c r="AC949" s="52">
        <f>IFERROR(IF(O949="","",SUMIFS('CPL Mats'!F:F,'CPL Mats'!Q:Q,AR949,'CPL Mats'!S:S,AS949)),"")</f>
        <v>0</v>
      </c>
      <c r="AF949" s="25" t="str">
        <f>IF(SUMIFS('Supp Consol'!S:S,'Supp Consol'!Y:Y,"Releasable",'Supp Consol'!A:A,O949)=0,"",SUMIFS('Supp Consol'!S:S,'Supp Consol'!Y:Y,"Releasable",'Supp Consol'!A:A,O949))</f>
        <v/>
      </c>
      <c r="AG949" s="25" t="str">
        <f>IFERROR(INDEX('Hun Demand'!Q:Q,MATCH(O949,'Hun Demand'!A:A,0)),"")</f>
        <v/>
      </c>
      <c r="AH949" s="25" t="str">
        <f>IFERROR(INDEX('Hun Demand'!H:H,MATCH($O949,'Hun Demand'!$A:$A,0)),"")</f>
        <v/>
      </c>
      <c r="AI949" s="25" t="str">
        <f>IF(SUMIFS('Supp Consol'!AA:AA,'Supp Consol'!Z:Z,"Expires this month",'Supp Consol'!A:A,O949)=0,"",SUMIFS('Supp Consol'!AA:AA,'Supp Consol'!Z:Z,"Expires this month",'Supp Consol'!A:A,O949))</f>
        <v/>
      </c>
      <c r="AJ949" s="25" t="str">
        <f>IF(SUMIFS('Supp Consol'!AA:AA,'Supp Consol'!Z:Z,"Expired Previous Months",'Supp Consol'!A:A,O949)=0,"",SUMIFS('Supp Consol'!AA:AA,'Supp Consol'!Z:Z,"Expired Previous Months",'Supp Consol'!A:A,O949))</f>
        <v/>
      </c>
      <c r="AK949" s="25" t="str">
        <f>IFERROR(INDEX('Hun Release Current'!B:B,MATCH(O949,'Hun Release Current'!A:A,0)),"")</f>
        <v/>
      </c>
      <c r="AL949" s="25" t="str">
        <f>IF(SUMIF('Prev Aub'!A:A,O949,'Prev Aub'!B:B)=0,"",SUMIF('Prev Aub'!A:A,O949,'Prev Aub'!B:B))</f>
        <v/>
      </c>
      <c r="AN949" s="25" t="s">
        <v>3790</v>
      </c>
      <c r="AO949" s="25" t="s">
        <v>3790</v>
      </c>
      <c r="AP949" s="25">
        <f t="shared" si="398"/>
        <v>0</v>
      </c>
      <c r="AQ949" s="151" t="str">
        <f>IF(SUMIFS('Supp Consol'!S:S,'Supp Consol'!A:A,O949,'Supp Consol'!I:I,"PENDING")=0,"",SUMIFS('Supp Consol'!S:S,'Supp Consol'!A:A,O949,'Supp Consol'!I:I,"PENDING"))</f>
        <v/>
      </c>
      <c r="AR949" s="27" t="str">
        <f t="shared" si="399"/>
        <v>S2115</v>
      </c>
      <c r="AS949" s="27" t="str">
        <f t="shared" si="400"/>
        <v>50</v>
      </c>
      <c r="AT949" s="27" t="str">
        <f t="shared" si="401"/>
        <v/>
      </c>
      <c r="AU949" s="27" t="str">
        <f t="shared" si="402"/>
        <v/>
      </c>
      <c r="AV949" s="27" t="str">
        <f t="shared" si="403"/>
        <v/>
      </c>
      <c r="AW949" s="27" t="str">
        <f t="shared" si="404"/>
        <v/>
      </c>
      <c r="AX949" s="27" t="str">
        <f t="shared" si="405"/>
        <v/>
      </c>
      <c r="AY949" s="27" t="str">
        <f t="shared" si="406"/>
        <v/>
      </c>
      <c r="AZ949" s="27" t="str">
        <f t="shared" si="407"/>
        <v/>
      </c>
      <c r="BA949" s="27" t="str">
        <f t="shared" si="408"/>
        <v>Hun</v>
      </c>
      <c r="BB949" s="27" t="str">
        <f t="shared" si="409"/>
        <v/>
      </c>
      <c r="BC949" s="27" t="str">
        <f t="shared" si="410"/>
        <v/>
      </c>
      <c r="BD949" s="27" t="str">
        <f t="shared" si="411"/>
        <v/>
      </c>
      <c r="BE949" s="27" t="str">
        <f t="shared" si="412"/>
        <v/>
      </c>
      <c r="BF949" s="27" t="str">
        <f t="shared" si="413"/>
        <v/>
      </c>
      <c r="BG949" s="27" t="str">
        <f t="shared" si="414"/>
        <v/>
      </c>
      <c r="BH949" s="27" t="str">
        <f t="shared" si="415"/>
        <v/>
      </c>
      <c r="BI949" s="27" t="str">
        <f t="shared" si="416"/>
        <v/>
      </c>
      <c r="BJ949" s="27" t="str">
        <f t="shared" si="417"/>
        <v>Supp or Hun</v>
      </c>
      <c r="BK949" s="27" t="str">
        <f t="shared" si="418"/>
        <v/>
      </c>
      <c r="BL949" s="27" t="str">
        <f t="shared" si="419"/>
        <v/>
      </c>
      <c r="BM949" s="21" t="s">
        <v>5581</v>
      </c>
    </row>
    <row r="950" spans="1:65" ht="15">
      <c r="A950" s="25">
        <f>IFERROR(INDEX('Hun Demand'!W:W,MATCH(O950,'Hun Demand'!A:A,0)),"")</f>
        <v>0</v>
      </c>
      <c r="B950" s="25">
        <f>IFERROR(INDEX('Hun Demand'!V:V,MATCH(O950,'Hun Demand'!A:A,0)),"")</f>
        <v>0</v>
      </c>
      <c r="C950" s="25">
        <f>IFERROR(INDEX('Hun Demand'!U:U,MATCH(O950,'Hun Demand'!A:A,0)),"")</f>
        <v>0</v>
      </c>
      <c r="D950" s="25">
        <f>IFERROR(INDEX('Hun Demand'!T:T,MATCH(O950,'Hun Demand'!A:A,0)),"")</f>
        <v>0</v>
      </c>
      <c r="E950" s="25">
        <f>IFERROR(INDEX('Hun Demand'!S:S,MATCH(O950,'Hun Demand'!A:A,0)),"")</f>
        <v>0</v>
      </c>
      <c r="F950" s="25">
        <f>IFERROR(INDEX('Hun Demand'!R:R,MATCH(O950,'Hun Demand'!A:A,0)),"")</f>
        <v>0</v>
      </c>
      <c r="G950" s="25">
        <f>IFERROR(INDEX('Aub Demand'!W:W,MATCH(O950,'Aub Demand'!A:A,0)),"")</f>
        <v>0</v>
      </c>
      <c r="H950" s="25">
        <f>IFERROR(INDEX('Aub Demand'!V:V,MATCH(O950,'Aub Demand'!A:A,0)),"")</f>
        <v>11</v>
      </c>
      <c r="I950" s="25">
        <f>IFERROR(INDEX('Aub Demand'!U:U,MATCH(O950,'Aub Demand'!A:A,0)),"")</f>
        <v>22</v>
      </c>
      <c r="J950" s="25">
        <f>IFERROR(INDEX('Aub Demand'!T:T,MATCH(O950,'Aub Demand'!A:A,0)),"")</f>
        <v>0</v>
      </c>
      <c r="K950" s="25">
        <f>IFERROR(INDEX('Aub Demand'!S:S,MATCH(O950,'Aub Demand'!A:A,0)),"")</f>
        <v>0</v>
      </c>
      <c r="L950" s="25">
        <f>IFERROR(INDEX('Aub Demand'!R:R,MATCH(O950,'Aub Demand'!A:A,0)),"")</f>
        <v>0</v>
      </c>
      <c r="O950" s="27" t="s">
        <v>2511</v>
      </c>
      <c r="P950" s="27" t="str">
        <f>IFERROR(INDEX('Aub Demand'!B:B,MATCH($O950,'Aub Demand'!$A:$A,0)),"")</f>
        <v>COCOA BEAN 60"</v>
      </c>
      <c r="Q950" s="27" t="str">
        <f>IFERROR(INDEX('Aub Demand'!C:C,MATCH($O950,'Aub Demand'!$A:$A,0)),"")</f>
        <v>AHLST</v>
      </c>
      <c r="R950" s="52">
        <f>IFERROR(IF(AR951=AR950,INDEX('Aub Demand'!K:K,MATCH($O950,'Aub Demand'!$A:$A,0))-IF(AN950="",0,AN950)+AP951,INDEX('Aub Demand'!K:K,MATCH($O950,'Aub Demand'!$A:$A,0))-IF(AN950="",0,AN950)),"")</f>
        <v>251</v>
      </c>
      <c r="S950" s="53">
        <f t="shared" si="392"/>
        <v>153.69999999999999</v>
      </c>
      <c r="T950" s="52" t="str">
        <f t="shared" si="393"/>
        <v/>
      </c>
      <c r="U950" s="52">
        <f>IFERROR(IF(AR951=AR950,INDEX('Aub Demand'!Q:Q,MATCH($O950,'Aub Demand'!$A:$A,0))-IF(AN950="",0,AN950)+AP951,INDEX('Aub Demand'!Q:Q,MATCH($O950,'Aub Demand'!$A:$A,0))-IF(AN950="",0,AN950)),"")</f>
        <v>251</v>
      </c>
      <c r="V950" s="53">
        <f t="shared" si="394"/>
        <v>153.69999999999999</v>
      </c>
      <c r="W950" s="52" t="str">
        <f t="shared" si="395"/>
        <v/>
      </c>
      <c r="X950" s="52">
        <f>IFERROR(IF(AND(AR951=AR950,AM950&lt;&gt;""),INDEX('Aub Demand'!Q:Q,MATCH($O950,'Aub Demand'!$A:$A,0))-IF(AN950="",0,AN950)+AP951+AD950+AL950,IF(AR951=AR950,INDEX('Aub Demand'!Q:Q,MATCH($O950,'Aub Demand'!$A:$A,0))-IF(AN950="",0,AN950)+AP951+AD950,IF(AM950&lt;&gt;"",INDEX('Aub Demand'!Q:Q,MATCH($O950,'Aub Demand'!$A:$A,0))-IF(AN950="",0,AN950)+AD950+AL950,INDEX('Aub Demand'!Q:Q,MATCH($O950,'Aub Demand'!$A:$A,0))-IF(AN950="",0,AN950)+AD950))),"")</f>
        <v>251</v>
      </c>
      <c r="Y950" s="53">
        <f t="shared" si="396"/>
        <v>153.69999999999999</v>
      </c>
      <c r="Z950" s="52">
        <f>IF(L950="","",INDEX('Aub Demand'!H:H,MATCH($O950,'Aub Demand'!$A:$A,0)))</f>
        <v>7</v>
      </c>
      <c r="AA950" s="52" t="str">
        <f t="shared" si="397"/>
        <v>-spike-</v>
      </c>
      <c r="AB950" s="52">
        <f>IFERROR(INDEX('Aub Demand'!L:L,MATCH($O950,'Aub Demand'!$A:$A,0)),"")</f>
        <v>0</v>
      </c>
      <c r="AC950" s="52">
        <f>IFERROR(IF(O950="","",SUMIFS('CPL Mats'!F:F,'CPL Mats'!Q:Q,AR950,'CPL Mats'!S:S,AS950)),"")</f>
        <v>0</v>
      </c>
      <c r="AF950" s="25" t="str">
        <f>IF(SUMIFS('Supp Consol'!S:S,'Supp Consol'!Y:Y,"Releasable",'Supp Consol'!A:A,O950)=0,"",SUMIFS('Supp Consol'!S:S,'Supp Consol'!Y:Y,"Releasable",'Supp Consol'!A:A,O950))</f>
        <v/>
      </c>
      <c r="AG950" s="25">
        <f>IFERROR(INDEX('Hun Demand'!Q:Q,MATCH(O950,'Hun Demand'!A:A,0)),"")</f>
        <v>160</v>
      </c>
      <c r="AH950" s="25">
        <f>IFERROR(INDEX('Hun Demand'!H:H,MATCH($O950,'Hun Demand'!$A:$A,0)),"")</f>
        <v>0</v>
      </c>
      <c r="AI950" s="25" t="str">
        <f>IF(SUMIFS('Supp Consol'!AA:AA,'Supp Consol'!Z:Z,"Expires this month",'Supp Consol'!A:A,O950)=0,"",SUMIFS('Supp Consol'!AA:AA,'Supp Consol'!Z:Z,"Expires this month",'Supp Consol'!A:A,O950))</f>
        <v/>
      </c>
      <c r="AJ950" s="25" t="str">
        <f>IF(SUMIFS('Supp Consol'!AA:AA,'Supp Consol'!Z:Z,"Expired Previous Months",'Supp Consol'!A:A,O950)=0,"",SUMIFS('Supp Consol'!AA:AA,'Supp Consol'!Z:Z,"Expired Previous Months",'Supp Consol'!A:A,O950))</f>
        <v/>
      </c>
      <c r="AK950" s="25" t="str">
        <f>IFERROR(INDEX('Hun Release Current'!B:B,MATCH(O950,'Hun Release Current'!A:A,0)),"")</f>
        <v/>
      </c>
      <c r="AL950" s="25" t="str">
        <f>IF(SUMIF('Prev Aub'!A:A,O950,'Prev Aub'!B:B)=0,"",SUMIF('Prev Aub'!A:A,O950,'Prev Aub'!B:B))</f>
        <v/>
      </c>
      <c r="AN950" s="25" t="s">
        <v>3790</v>
      </c>
      <c r="AO950" s="25" t="s">
        <v>3790</v>
      </c>
      <c r="AP950" s="25">
        <f t="shared" si="398"/>
        <v>0</v>
      </c>
      <c r="AQ950" s="151" t="str">
        <f>IF(SUMIFS('Supp Consol'!S:S,'Supp Consol'!A:A,O950,'Supp Consol'!I:I,"PENDING")=0,"",SUMIFS('Supp Consol'!S:S,'Supp Consol'!A:A,O950,'Supp Consol'!I:I,"PENDING"))</f>
        <v/>
      </c>
      <c r="AR950" s="27" t="str">
        <f t="shared" si="399"/>
        <v>S2115</v>
      </c>
      <c r="AS950" s="27" t="str">
        <f t="shared" si="400"/>
        <v>62</v>
      </c>
      <c r="AT950" s="27" t="str">
        <f t="shared" si="401"/>
        <v/>
      </c>
      <c r="AU950" s="27" t="str">
        <f t="shared" si="402"/>
        <v/>
      </c>
      <c r="AV950" s="27" t="str">
        <f t="shared" si="403"/>
        <v/>
      </c>
      <c r="AW950" s="27" t="str">
        <f t="shared" si="404"/>
        <v/>
      </c>
      <c r="AX950" s="27" t="str">
        <f t="shared" si="405"/>
        <v/>
      </c>
      <c r="AY950" s="27" t="str">
        <f t="shared" si="406"/>
        <v>S2115</v>
      </c>
      <c r="AZ950" s="27" t="str">
        <f t="shared" si="407"/>
        <v/>
      </c>
      <c r="BA950" s="27" t="str">
        <f t="shared" si="408"/>
        <v>Hun</v>
      </c>
      <c r="BB950" s="27" t="str">
        <f t="shared" si="409"/>
        <v/>
      </c>
      <c r="BC950" s="27" t="str">
        <f t="shared" si="410"/>
        <v/>
      </c>
      <c r="BD950" s="27" t="str">
        <f t="shared" si="411"/>
        <v/>
      </c>
      <c r="BE950" s="27" t="str">
        <f t="shared" si="412"/>
        <v/>
      </c>
      <c r="BF950" s="27" t="str">
        <f t="shared" si="413"/>
        <v/>
      </c>
      <c r="BG950" s="27" t="str">
        <f t="shared" si="414"/>
        <v/>
      </c>
      <c r="BH950" s="27" t="str">
        <f t="shared" si="415"/>
        <v/>
      </c>
      <c r="BI950" s="27" t="str">
        <f t="shared" si="416"/>
        <v/>
      </c>
      <c r="BJ950" s="27" t="str">
        <f t="shared" si="417"/>
        <v>Supp or Hun</v>
      </c>
      <c r="BK950" s="27" t="str">
        <f t="shared" si="418"/>
        <v/>
      </c>
      <c r="BL950" s="27" t="str">
        <f t="shared" si="419"/>
        <v/>
      </c>
      <c r="BM950" s="21" t="s">
        <v>5581</v>
      </c>
    </row>
    <row r="951" spans="1:65" ht="15">
      <c r="A951" s="25" t="str">
        <f>IFERROR(INDEX('Hun Demand'!W:W,MATCH(O951,'Hun Demand'!A:A,0)),"")</f>
        <v/>
      </c>
      <c r="B951" s="25" t="str">
        <f>IFERROR(INDEX('Hun Demand'!V:V,MATCH(O951,'Hun Demand'!A:A,0)),"")</f>
        <v/>
      </c>
      <c r="C951" s="25" t="str">
        <f>IFERROR(INDEX('Hun Demand'!U:U,MATCH(O951,'Hun Demand'!A:A,0)),"")</f>
        <v/>
      </c>
      <c r="D951" s="25" t="str">
        <f>IFERROR(INDEX('Hun Demand'!T:T,MATCH(O951,'Hun Demand'!A:A,0)),"")</f>
        <v/>
      </c>
      <c r="E951" s="25" t="str">
        <f>IFERROR(INDEX('Hun Demand'!S:S,MATCH(O951,'Hun Demand'!A:A,0)),"")</f>
        <v/>
      </c>
      <c r="F951" s="25" t="str">
        <f>IFERROR(INDEX('Hun Demand'!R:R,MATCH(O951,'Hun Demand'!A:A,0)),"")</f>
        <v/>
      </c>
      <c r="G951" s="25">
        <f>IFERROR(INDEX('Aub Demand'!W:W,MATCH(O951,'Aub Demand'!A:A,0)),"")</f>
        <v>404</v>
      </c>
      <c r="H951" s="25">
        <f>IFERROR(INDEX('Aub Demand'!V:V,MATCH(O951,'Aub Demand'!A:A,0)),"")</f>
        <v>370</v>
      </c>
      <c r="I951" s="25">
        <f>IFERROR(INDEX('Aub Demand'!U:U,MATCH(O951,'Aub Demand'!A:A,0)),"")</f>
        <v>0</v>
      </c>
      <c r="J951" s="25">
        <f>IFERROR(INDEX('Aub Demand'!T:T,MATCH(O951,'Aub Demand'!A:A,0)),"")</f>
        <v>661</v>
      </c>
      <c r="K951" s="25">
        <f>IFERROR(INDEX('Aub Demand'!S:S,MATCH(O951,'Aub Demand'!A:A,0)),"")</f>
        <v>226</v>
      </c>
      <c r="L951" s="25">
        <f>IFERROR(INDEX('Aub Demand'!R:R,MATCH(O951,'Aub Demand'!A:A,0)),"")</f>
        <v>0</v>
      </c>
      <c r="O951" s="27" t="s">
        <v>2513</v>
      </c>
      <c r="P951" s="27" t="str">
        <f>IFERROR(INDEX('Aub Demand'!B:B,MATCH($O951,'Aub Demand'!$A:$A,0)),"")</f>
        <v>GRAPHITE BLUE</v>
      </c>
      <c r="Q951" s="27" t="str">
        <f>IFERROR(INDEX('Aub Demand'!C:C,MATCH($O951,'Aub Demand'!$A:$A,0)),"")</f>
        <v>ONYX</v>
      </c>
      <c r="R951" s="52">
        <f>IFERROR(IF(AR952=AR951,INDEX('Aub Demand'!K:K,MATCH($O951,'Aub Demand'!$A:$A,0))-IF(AN951="",0,AN951)+AP952,INDEX('Aub Demand'!K:K,MATCH($O951,'Aub Demand'!$A:$A,0))-IF(AN951="",0,AN951)),"")</f>
        <v>1342</v>
      </c>
      <c r="S951" s="53">
        <f t="shared" si="392"/>
        <v>19.399999999999999</v>
      </c>
      <c r="T951" s="52" t="str">
        <f t="shared" si="393"/>
        <v/>
      </c>
      <c r="U951" s="52">
        <f>IFERROR(IF(AR952=AR951,INDEX('Aub Demand'!Q:Q,MATCH($O951,'Aub Demand'!$A:$A,0))-IF(AN951="",0,AN951)+AP952,INDEX('Aub Demand'!Q:Q,MATCH($O951,'Aub Demand'!$A:$A,0))-IF(AN951="",0,AN951)),"")</f>
        <v>1176</v>
      </c>
      <c r="V951" s="53">
        <f t="shared" si="394"/>
        <v>17</v>
      </c>
      <c r="W951" s="52" t="str">
        <f t="shared" si="395"/>
        <v/>
      </c>
      <c r="X951" s="52">
        <f>IFERROR(IF(AND(AR952=AR951,AM951&lt;&gt;""),INDEX('Aub Demand'!Q:Q,MATCH($O951,'Aub Demand'!$A:$A,0))-IF(AN951="",0,AN951)+AP952+AD951+AL951,IF(AR952=AR951,INDEX('Aub Demand'!Q:Q,MATCH($O951,'Aub Demand'!$A:$A,0))-IF(AN951="",0,AN951)+AP952+AD951,IF(AM951&lt;&gt;"",INDEX('Aub Demand'!Q:Q,MATCH($O951,'Aub Demand'!$A:$A,0))-IF(AN951="",0,AN951)+AD951+AL951,INDEX('Aub Demand'!Q:Q,MATCH($O951,'Aub Demand'!$A:$A,0))-IF(AN951="",0,AN951)+AD951))),"")</f>
        <v>1176</v>
      </c>
      <c r="Y951" s="53">
        <f t="shared" si="396"/>
        <v>17</v>
      </c>
      <c r="Z951" s="52">
        <f>IF(L951="","",INDEX('Aub Demand'!H:H,MATCH($O951,'Aub Demand'!$A:$A,0)))</f>
        <v>296</v>
      </c>
      <c r="AA951" s="52">
        <f t="shared" si="397"/>
        <v>443.5</v>
      </c>
      <c r="AB951" s="52">
        <f>IFERROR(INDEX('Aub Demand'!L:L,MATCH($O951,'Aub Demand'!$A:$A,0)),"")</f>
        <v>253</v>
      </c>
      <c r="AC951" s="52">
        <f>IFERROR(IF(O951="","",SUMIFS('CPL Mats'!F:F,'CPL Mats'!Q:Q,AR951,'CPL Mats'!S:S,AS951)),"")</f>
        <v>0</v>
      </c>
      <c r="AF951" s="25" t="str">
        <f>IF(SUMIFS('Supp Consol'!S:S,'Supp Consol'!Y:Y,"Releasable",'Supp Consol'!A:A,O951)=0,"",SUMIFS('Supp Consol'!S:S,'Supp Consol'!Y:Y,"Releasable",'Supp Consol'!A:A,O951))</f>
        <v/>
      </c>
      <c r="AG951" s="25" t="str">
        <f>IFERROR(INDEX('Hun Demand'!Q:Q,MATCH(O951,'Hun Demand'!A:A,0)),"")</f>
        <v/>
      </c>
      <c r="AH951" s="25" t="str">
        <f>IFERROR(INDEX('Hun Demand'!H:H,MATCH($O951,'Hun Demand'!$A:$A,0)),"")</f>
        <v/>
      </c>
      <c r="AI951" s="25" t="str">
        <f>IF(SUMIFS('Supp Consol'!AA:AA,'Supp Consol'!Z:Z,"Expires this month",'Supp Consol'!A:A,O951)=0,"",SUMIFS('Supp Consol'!AA:AA,'Supp Consol'!Z:Z,"Expires this month",'Supp Consol'!A:A,O951))</f>
        <v/>
      </c>
      <c r="AJ951" s="25" t="str">
        <f>IF(SUMIFS('Supp Consol'!AA:AA,'Supp Consol'!Z:Z,"Expired Previous Months",'Supp Consol'!A:A,O951)=0,"",SUMIFS('Supp Consol'!AA:AA,'Supp Consol'!Z:Z,"Expired Previous Months",'Supp Consol'!A:A,O951))</f>
        <v/>
      </c>
      <c r="AK951" s="25" t="str">
        <f>IFERROR(INDEX('Hun Release Current'!B:B,MATCH(O951,'Hun Release Current'!A:A,0)),"")</f>
        <v/>
      </c>
      <c r="AL951" s="25" t="str">
        <f>IF(SUMIF('Prev Aub'!A:A,O951,'Prev Aub'!B:B)=0,"",SUMIF('Prev Aub'!A:A,O951,'Prev Aub'!B:B))</f>
        <v/>
      </c>
      <c r="AN951" s="25" t="s">
        <v>3790</v>
      </c>
      <c r="AO951" s="25" t="s">
        <v>3790</v>
      </c>
      <c r="AP951" s="25">
        <f t="shared" si="398"/>
        <v>0</v>
      </c>
      <c r="AQ951" s="151" t="str">
        <f>IF(SUMIFS('Supp Consol'!S:S,'Supp Consol'!A:A,O951,'Supp Consol'!I:I,"PENDING")=0,"",SUMIFS('Supp Consol'!S:S,'Supp Consol'!A:A,O951,'Supp Consol'!I:I,"PENDING"))</f>
        <v/>
      </c>
      <c r="AR951" s="27" t="str">
        <f t="shared" si="399"/>
        <v>S3023</v>
      </c>
      <c r="AS951" s="27" t="str">
        <f t="shared" si="400"/>
        <v>50</v>
      </c>
      <c r="AT951" s="27" t="str">
        <f t="shared" si="401"/>
        <v/>
      </c>
      <c r="AU951" s="27" t="str">
        <f t="shared" si="402"/>
        <v/>
      </c>
      <c r="AV951" s="27" t="str">
        <f t="shared" si="403"/>
        <v/>
      </c>
      <c r="AW951" s="27" t="str">
        <f t="shared" si="404"/>
        <v/>
      </c>
      <c r="AX951" s="27" t="str">
        <f t="shared" si="405"/>
        <v/>
      </c>
      <c r="AY951" s="27" t="str">
        <f t="shared" si="406"/>
        <v/>
      </c>
      <c r="AZ951" s="27" t="str">
        <f t="shared" si="407"/>
        <v/>
      </c>
      <c r="BA951" s="27" t="str">
        <f t="shared" si="408"/>
        <v/>
      </c>
      <c r="BB951" s="27" t="str">
        <f t="shared" si="409"/>
        <v/>
      </c>
      <c r="BC951" s="27" t="str">
        <f t="shared" si="410"/>
        <v/>
      </c>
      <c r="BD951" s="27" t="str">
        <f t="shared" si="411"/>
        <v/>
      </c>
      <c r="BE951" s="27" t="str">
        <f t="shared" si="412"/>
        <v/>
      </c>
      <c r="BF951" s="27" t="str">
        <f t="shared" si="413"/>
        <v/>
      </c>
      <c r="BG951" s="27" t="str">
        <f t="shared" si="414"/>
        <v/>
      </c>
      <c r="BH951" s="27" t="str">
        <f t="shared" si="415"/>
        <v/>
      </c>
      <c r="BI951" s="27" t="str">
        <f t="shared" si="416"/>
        <v/>
      </c>
      <c r="BJ951" s="27" t="str">
        <f t="shared" si="417"/>
        <v/>
      </c>
      <c r="BK951" s="27" t="str">
        <f t="shared" si="418"/>
        <v/>
      </c>
      <c r="BL951" s="27" t="str">
        <f t="shared" si="419"/>
        <v/>
      </c>
      <c r="BM951" s="21" t="s">
        <v>5581</v>
      </c>
    </row>
    <row r="952" spans="1:65" ht="15">
      <c r="A952" s="25" t="str">
        <f>IFERROR(INDEX('Hun Demand'!W:W,MATCH(O952,'Hun Demand'!A:A,0)),"")</f>
        <v/>
      </c>
      <c r="B952" s="25" t="str">
        <f>IFERROR(INDEX('Hun Demand'!V:V,MATCH(O952,'Hun Demand'!A:A,0)),"")</f>
        <v/>
      </c>
      <c r="C952" s="25" t="str">
        <f>IFERROR(INDEX('Hun Demand'!U:U,MATCH(O952,'Hun Demand'!A:A,0)),"")</f>
        <v/>
      </c>
      <c r="D952" s="25" t="str">
        <f>IFERROR(INDEX('Hun Demand'!T:T,MATCH(O952,'Hun Demand'!A:A,0)),"")</f>
        <v/>
      </c>
      <c r="E952" s="25" t="str">
        <f>IFERROR(INDEX('Hun Demand'!S:S,MATCH(O952,'Hun Demand'!A:A,0)),"")</f>
        <v/>
      </c>
      <c r="F952" s="25" t="str">
        <f>IFERROR(INDEX('Hun Demand'!R:R,MATCH(O952,'Hun Demand'!A:A,0)),"")</f>
        <v/>
      </c>
      <c r="G952" s="25">
        <f>IFERROR(INDEX('Aub Demand'!W:W,MATCH(O952,'Aub Demand'!A:A,0)),"")</f>
        <v>37</v>
      </c>
      <c r="H952" s="25">
        <f>IFERROR(INDEX('Aub Demand'!V:V,MATCH(O952,'Aub Demand'!A:A,0)),"")</f>
        <v>438</v>
      </c>
      <c r="I952" s="25">
        <f>IFERROR(INDEX('Aub Demand'!U:U,MATCH(O952,'Aub Demand'!A:A,0)),"")</f>
        <v>132</v>
      </c>
      <c r="J952" s="25">
        <f>IFERROR(INDEX('Aub Demand'!T:T,MATCH(O952,'Aub Demand'!A:A,0)),"")</f>
        <v>131</v>
      </c>
      <c r="K952" s="25">
        <f>IFERROR(INDEX('Aub Demand'!S:S,MATCH(O952,'Aub Demand'!A:A,0)),"")</f>
        <v>102</v>
      </c>
      <c r="L952" s="25">
        <f>IFERROR(INDEX('Aub Demand'!R:R,MATCH(O952,'Aub Demand'!A:A,0)),"")</f>
        <v>0</v>
      </c>
      <c r="O952" s="27" t="s">
        <v>2516</v>
      </c>
      <c r="P952" s="27" t="str">
        <f>IFERROR(INDEX('Aub Demand'!B:B,MATCH($O952,'Aub Demand'!$A:$A,0)),"")</f>
        <v>GRAPHITE BLUE</v>
      </c>
      <c r="Q952" s="27" t="str">
        <f>IFERROR(INDEX('Aub Demand'!C:C,MATCH($O952,'Aub Demand'!$A:$A,0)),"")</f>
        <v>ONYX</v>
      </c>
      <c r="R952" s="52">
        <f>IFERROR(IF(AR953=AR952,INDEX('Aub Demand'!K:K,MATCH($O952,'Aub Demand'!$A:$A,0))-IF(AN952="",0,AN952)+AP953,INDEX('Aub Demand'!K:K,MATCH($O952,'Aub Demand'!$A:$A,0))-IF(AN952="",0,AN952)),"")</f>
        <v>642</v>
      </c>
      <c r="S952" s="53">
        <f t="shared" si="392"/>
        <v>22.6</v>
      </c>
      <c r="T952" s="52" t="str">
        <f t="shared" si="393"/>
        <v/>
      </c>
      <c r="U952" s="52">
        <f>IFERROR(IF(AR953=AR952,INDEX('Aub Demand'!Q:Q,MATCH($O952,'Aub Demand'!$A:$A,0))-IF(AN952="",0,AN952)+AP953,INDEX('Aub Demand'!Q:Q,MATCH($O952,'Aub Demand'!$A:$A,0))-IF(AN952="",0,AN952)),"")</f>
        <v>609</v>
      </c>
      <c r="V952" s="53">
        <f t="shared" si="394"/>
        <v>21.4</v>
      </c>
      <c r="W952" s="52" t="str">
        <f t="shared" si="395"/>
        <v/>
      </c>
      <c r="X952" s="52">
        <f>IFERROR(IF(AND(AR953=AR952,AM952&lt;&gt;""),INDEX('Aub Demand'!Q:Q,MATCH($O952,'Aub Demand'!$A:$A,0))-IF(AN952="",0,AN952)+AP953+AD952+AL952,IF(AR953=AR952,INDEX('Aub Demand'!Q:Q,MATCH($O952,'Aub Demand'!$A:$A,0))-IF(AN952="",0,AN952)+AP953+AD952,IF(AM952&lt;&gt;"",INDEX('Aub Demand'!Q:Q,MATCH($O952,'Aub Demand'!$A:$A,0))-IF(AN952="",0,AN952)+AD952+AL952,INDEX('Aub Demand'!Q:Q,MATCH($O952,'Aub Demand'!$A:$A,0))-IF(AN952="",0,AN952)+AD952))),"")</f>
        <v>609</v>
      </c>
      <c r="Y952" s="53">
        <f t="shared" si="396"/>
        <v>21.4</v>
      </c>
      <c r="Z952" s="52">
        <f>IF(L952="","",INDEX('Aub Demand'!H:H,MATCH($O952,'Aub Demand'!$A:$A,0)))</f>
        <v>122</v>
      </c>
      <c r="AA952" s="52">
        <f t="shared" si="397"/>
        <v>131.5</v>
      </c>
      <c r="AB952" s="52">
        <f>IFERROR(INDEX('Aub Demand'!L:L,MATCH($O952,'Aub Demand'!$A:$A,0)),"")</f>
        <v>88</v>
      </c>
      <c r="AC952" s="52">
        <f>IFERROR(IF(O952="","",SUMIFS('CPL Mats'!F:F,'CPL Mats'!Q:Q,AR952,'CPL Mats'!S:S,AS952)),"")</f>
        <v>0</v>
      </c>
      <c r="AF952" s="25" t="str">
        <f>IF(SUMIFS('Supp Consol'!S:S,'Supp Consol'!Y:Y,"Releasable",'Supp Consol'!A:A,O952)=0,"",SUMIFS('Supp Consol'!S:S,'Supp Consol'!Y:Y,"Releasable",'Supp Consol'!A:A,O952))</f>
        <v/>
      </c>
      <c r="AG952" s="25" t="str">
        <f>IFERROR(INDEX('Hun Demand'!Q:Q,MATCH(O952,'Hun Demand'!A:A,0)),"")</f>
        <v/>
      </c>
      <c r="AH952" s="25" t="str">
        <f>IFERROR(INDEX('Hun Demand'!H:H,MATCH($O952,'Hun Demand'!$A:$A,0)),"")</f>
        <v/>
      </c>
      <c r="AI952" s="25" t="str">
        <f>IF(SUMIFS('Supp Consol'!AA:AA,'Supp Consol'!Z:Z,"Expires this month",'Supp Consol'!A:A,O952)=0,"",SUMIFS('Supp Consol'!AA:AA,'Supp Consol'!Z:Z,"Expires this month",'Supp Consol'!A:A,O952))</f>
        <v/>
      </c>
      <c r="AJ952" s="25" t="str">
        <f>IF(SUMIFS('Supp Consol'!AA:AA,'Supp Consol'!Z:Z,"Expired Previous Months",'Supp Consol'!A:A,O952)=0,"",SUMIFS('Supp Consol'!AA:AA,'Supp Consol'!Z:Z,"Expired Previous Months",'Supp Consol'!A:A,O952))</f>
        <v/>
      </c>
      <c r="AK952" s="25" t="str">
        <f>IFERROR(INDEX('Hun Release Current'!B:B,MATCH(O952,'Hun Release Current'!A:A,0)),"")</f>
        <v/>
      </c>
      <c r="AL952" s="25" t="str">
        <f>IF(SUMIF('Prev Aub'!A:A,O952,'Prev Aub'!B:B)=0,"",SUMIF('Prev Aub'!A:A,O952,'Prev Aub'!B:B))</f>
        <v/>
      </c>
      <c r="AN952" s="25" t="s">
        <v>3790</v>
      </c>
      <c r="AO952" s="25" t="s">
        <v>3790</v>
      </c>
      <c r="AP952" s="25">
        <f t="shared" si="398"/>
        <v>0</v>
      </c>
      <c r="AQ952" s="151" t="str">
        <f>IF(SUMIFS('Supp Consol'!S:S,'Supp Consol'!A:A,O952,'Supp Consol'!I:I,"PENDING")=0,"",SUMIFS('Supp Consol'!S:S,'Supp Consol'!A:A,O952,'Supp Consol'!I:I,"PENDING"))</f>
        <v/>
      </c>
      <c r="AR952" s="27" t="str">
        <f t="shared" si="399"/>
        <v>S3023</v>
      </c>
      <c r="AS952" s="27" t="str">
        <f t="shared" si="400"/>
        <v>62</v>
      </c>
      <c r="AT952" s="27" t="str">
        <f t="shared" si="401"/>
        <v/>
      </c>
      <c r="AU952" s="27" t="str">
        <f t="shared" si="402"/>
        <v/>
      </c>
      <c r="AV952" s="27" t="str">
        <f t="shared" si="403"/>
        <v/>
      </c>
      <c r="AW952" s="27" t="str">
        <f t="shared" si="404"/>
        <v/>
      </c>
      <c r="AX952" s="27" t="str">
        <f t="shared" si="405"/>
        <v/>
      </c>
      <c r="AY952" s="27" t="str">
        <f t="shared" si="406"/>
        <v/>
      </c>
      <c r="AZ952" s="27" t="str">
        <f t="shared" si="407"/>
        <v/>
      </c>
      <c r="BA952" s="27" t="str">
        <f t="shared" si="408"/>
        <v/>
      </c>
      <c r="BB952" s="27" t="str">
        <f t="shared" si="409"/>
        <v/>
      </c>
      <c r="BC952" s="27" t="str">
        <f t="shared" si="410"/>
        <v/>
      </c>
      <c r="BD952" s="27" t="str">
        <f t="shared" si="411"/>
        <v/>
      </c>
      <c r="BE952" s="27" t="str">
        <f t="shared" si="412"/>
        <v/>
      </c>
      <c r="BF952" s="27" t="str">
        <f t="shared" si="413"/>
        <v/>
      </c>
      <c r="BG952" s="27" t="str">
        <f t="shared" si="414"/>
        <v/>
      </c>
      <c r="BH952" s="27" t="str">
        <f t="shared" si="415"/>
        <v/>
      </c>
      <c r="BI952" s="27" t="str">
        <f t="shared" si="416"/>
        <v/>
      </c>
      <c r="BJ952" s="27" t="str">
        <f t="shared" si="417"/>
        <v/>
      </c>
      <c r="BK952" s="27" t="str">
        <f t="shared" si="418"/>
        <v/>
      </c>
      <c r="BL952" s="27" t="str">
        <f t="shared" si="419"/>
        <v/>
      </c>
      <c r="BM952" s="21" t="s">
        <v>5581</v>
      </c>
    </row>
    <row r="953" spans="1:65" ht="15">
      <c r="A953" s="25" t="str">
        <f>IFERROR(INDEX('Hun Demand'!W:W,MATCH(O953,'Hun Demand'!A:A,0)),"")</f>
        <v/>
      </c>
      <c r="B953" s="25" t="str">
        <f>IFERROR(INDEX('Hun Demand'!V:V,MATCH(O953,'Hun Demand'!A:A,0)),"")</f>
        <v/>
      </c>
      <c r="C953" s="25" t="str">
        <f>IFERROR(INDEX('Hun Demand'!U:U,MATCH(O953,'Hun Demand'!A:A,0)),"")</f>
        <v/>
      </c>
      <c r="D953" s="25" t="str">
        <f>IFERROR(INDEX('Hun Demand'!T:T,MATCH(O953,'Hun Demand'!A:A,0)),"")</f>
        <v/>
      </c>
      <c r="E953" s="25" t="str">
        <f>IFERROR(INDEX('Hun Demand'!S:S,MATCH(O953,'Hun Demand'!A:A,0)),"")</f>
        <v/>
      </c>
      <c r="F953" s="25" t="str">
        <f>IFERROR(INDEX('Hun Demand'!R:R,MATCH(O953,'Hun Demand'!A:A,0)),"")</f>
        <v/>
      </c>
      <c r="G953" s="25">
        <f>IFERROR(INDEX('Aub Demand'!W:W,MATCH(O953,'Aub Demand'!A:A,0)),"")</f>
        <v>107</v>
      </c>
      <c r="H953" s="25">
        <f>IFERROR(INDEX('Aub Demand'!V:V,MATCH(O953,'Aub Demand'!A:A,0)),"")</f>
        <v>28</v>
      </c>
      <c r="I953" s="25">
        <f>IFERROR(INDEX('Aub Demand'!U:U,MATCH(O953,'Aub Demand'!A:A,0)),"")</f>
        <v>281</v>
      </c>
      <c r="J953" s="25">
        <f>IFERROR(INDEX('Aub Demand'!T:T,MATCH(O953,'Aub Demand'!A:A,0)),"")</f>
        <v>107</v>
      </c>
      <c r="K953" s="25">
        <f>IFERROR(INDEX('Aub Demand'!S:S,MATCH(O953,'Aub Demand'!A:A,0)),"")</f>
        <v>48</v>
      </c>
      <c r="L953" s="25">
        <f>IFERROR(INDEX('Aub Demand'!R:R,MATCH(O953,'Aub Demand'!A:A,0)),"")</f>
        <v>0</v>
      </c>
      <c r="O953" s="27" t="s">
        <v>2517</v>
      </c>
      <c r="P953" s="27" t="str">
        <f>IFERROR(INDEX('Aub Demand'!B:B,MATCH($O953,'Aub Demand'!$A:$A,0)),"")</f>
        <v>SUNKEN TREASURE 48"</v>
      </c>
      <c r="Q953" s="27" t="str">
        <f>IFERROR(INDEX('Aub Demand'!C:C,MATCH($O953,'Aub Demand'!$A:$A,0)),"")</f>
        <v>AHLST</v>
      </c>
      <c r="R953" s="52">
        <f>IFERROR(IF(AR954=AR953,INDEX('Aub Demand'!K:K,MATCH($O953,'Aub Demand'!$A:$A,0))-IF(AN953="",0,AN953)+AP954,INDEX('Aub Demand'!K:K,MATCH($O953,'Aub Demand'!$A:$A,0))-IF(AN953="",0,AN953)),"")</f>
        <v>0</v>
      </c>
      <c r="S953" s="53">
        <f t="shared" si="392"/>
        <v>0</v>
      </c>
      <c r="T953" s="52">
        <f t="shared" si="393"/>
        <v>145.5</v>
      </c>
      <c r="U953" s="52">
        <f>IFERROR(IF(AR954=AR953,INDEX('Aub Demand'!Q:Q,MATCH($O953,'Aub Demand'!$A:$A,0))-IF(AN953="",0,AN953)+AP954,INDEX('Aub Demand'!Q:Q,MATCH($O953,'Aub Demand'!$A:$A,0))-IF(AN953="",0,AN953)),"")</f>
        <v>-42</v>
      </c>
      <c r="V953" s="53">
        <f t="shared" si="394"/>
        <v>-1.2</v>
      </c>
      <c r="W953" s="52">
        <f t="shared" si="395"/>
        <v>203.70000000000002</v>
      </c>
      <c r="X953" s="52">
        <f>IFERROR(IF(AND(AR954=AR953,AM953&lt;&gt;""),INDEX('Aub Demand'!Q:Q,MATCH($O953,'Aub Demand'!$A:$A,0))-IF(AN953="",0,AN953)+AP954+AD953+AL953,IF(AR954=AR953,INDEX('Aub Demand'!Q:Q,MATCH($O953,'Aub Demand'!$A:$A,0))-IF(AN953="",0,AN953)+AP954+AD953,IF(AM953&lt;&gt;"",INDEX('Aub Demand'!Q:Q,MATCH($O953,'Aub Demand'!$A:$A,0))-IF(AN953="",0,AN953)+AD953+AL953,INDEX('Aub Demand'!Q:Q,MATCH($O953,'Aub Demand'!$A:$A,0))-IF(AN953="",0,AN953)+AD953))),"")</f>
        <v>-42</v>
      </c>
      <c r="Y953" s="53">
        <f t="shared" si="396"/>
        <v>-1.2</v>
      </c>
      <c r="Z953" s="52">
        <f>IF(L953="","",INDEX('Aub Demand'!H:H,MATCH($O953,'Aub Demand'!$A:$A,0)))</f>
        <v>145</v>
      </c>
      <c r="AA953" s="52">
        <f t="shared" si="397"/>
        <v>194</v>
      </c>
      <c r="AB953" s="52">
        <f>IFERROR(INDEX('Aub Demand'!L:L,MATCH($O953,'Aub Demand'!$A:$A,0)),"")</f>
        <v>63</v>
      </c>
      <c r="AC953" s="52">
        <f>IFERROR(IF(O953="","",SUMIFS('CPL Mats'!F:F,'CPL Mats'!Q:Q,AR953,'CPL Mats'!S:S,AS953)),"")</f>
        <v>0</v>
      </c>
      <c r="AF953" s="25" t="str">
        <f>IF(SUMIFS('Supp Consol'!S:S,'Supp Consol'!Y:Y,"Releasable",'Supp Consol'!A:A,O953)=0,"",SUMIFS('Supp Consol'!S:S,'Supp Consol'!Y:Y,"Releasable",'Supp Consol'!A:A,O953))</f>
        <v/>
      </c>
      <c r="AG953" s="25" t="str">
        <f>IFERROR(INDEX('Hun Demand'!Q:Q,MATCH(O953,'Hun Demand'!A:A,0)),"")</f>
        <v/>
      </c>
      <c r="AH953" s="25" t="str">
        <f>IFERROR(INDEX('Hun Demand'!H:H,MATCH($O953,'Hun Demand'!$A:$A,0)),"")</f>
        <v/>
      </c>
      <c r="AI953" s="25" t="str">
        <f>IF(SUMIFS('Supp Consol'!AA:AA,'Supp Consol'!Z:Z,"Expires this month",'Supp Consol'!A:A,O953)=0,"",SUMIFS('Supp Consol'!AA:AA,'Supp Consol'!Z:Z,"Expires this month",'Supp Consol'!A:A,O953))</f>
        <v/>
      </c>
      <c r="AJ953" s="25" t="str">
        <f>IF(SUMIFS('Supp Consol'!AA:AA,'Supp Consol'!Z:Z,"Expired Previous Months",'Supp Consol'!A:A,O953)=0,"",SUMIFS('Supp Consol'!AA:AA,'Supp Consol'!Z:Z,"Expired Previous Months",'Supp Consol'!A:A,O953))</f>
        <v/>
      </c>
      <c r="AK953" s="25" t="str">
        <f>IFERROR(INDEX('Hun Release Current'!B:B,MATCH(O953,'Hun Release Current'!A:A,0)),"")</f>
        <v/>
      </c>
      <c r="AL953" s="25" t="str">
        <f>IF(SUMIF('Prev Aub'!A:A,O953,'Prev Aub'!B:B)=0,"",SUMIF('Prev Aub'!A:A,O953,'Prev Aub'!B:B))</f>
        <v/>
      </c>
      <c r="AN953" s="25" t="s">
        <v>3790</v>
      </c>
      <c r="AO953" s="25" t="s">
        <v>3790</v>
      </c>
      <c r="AP953" s="25">
        <f t="shared" si="398"/>
        <v>0</v>
      </c>
      <c r="AQ953" s="151" t="str">
        <f>IF(SUMIFS('Supp Consol'!S:S,'Supp Consol'!A:A,O953,'Supp Consol'!I:I,"PENDING")=0,"",SUMIFS('Supp Consol'!S:S,'Supp Consol'!A:A,O953,'Supp Consol'!I:I,"PENDING"))</f>
        <v/>
      </c>
      <c r="AR953" s="27" t="str">
        <f t="shared" si="399"/>
        <v>S3068</v>
      </c>
      <c r="AS953" s="27" t="str">
        <f t="shared" si="400"/>
        <v>50</v>
      </c>
      <c r="AT953" s="27" t="str">
        <f t="shared" si="401"/>
        <v>S3068</v>
      </c>
      <c r="AU953" s="27" t="str">
        <f t="shared" si="402"/>
        <v>S3068</v>
      </c>
      <c r="AV953" s="27" t="str">
        <f t="shared" si="403"/>
        <v>S3068</v>
      </c>
      <c r="AW953" s="27" t="str">
        <f t="shared" si="404"/>
        <v/>
      </c>
      <c r="AX953" s="27" t="str">
        <f t="shared" si="405"/>
        <v/>
      </c>
      <c r="AY953" s="27" t="str">
        <f t="shared" si="406"/>
        <v/>
      </c>
      <c r="AZ953" s="27" t="str">
        <f t="shared" si="407"/>
        <v/>
      </c>
      <c r="BA953" s="27" t="str">
        <f t="shared" si="408"/>
        <v/>
      </c>
      <c r="BB953" s="27" t="str">
        <f t="shared" si="409"/>
        <v>Gross</v>
      </c>
      <c r="BC953" s="27" t="str">
        <f t="shared" si="410"/>
        <v>Net</v>
      </c>
      <c r="BD953" s="27" t="str">
        <f t="shared" si="411"/>
        <v>Net</v>
      </c>
      <c r="BE953" s="27" t="str">
        <f t="shared" si="412"/>
        <v/>
      </c>
      <c r="BF953" s="27" t="str">
        <f t="shared" si="413"/>
        <v/>
      </c>
      <c r="BG953" s="27" t="str">
        <f t="shared" si="414"/>
        <v/>
      </c>
      <c r="BH953" s="27" t="str">
        <f t="shared" si="415"/>
        <v/>
      </c>
      <c r="BI953" s="27" t="str">
        <f t="shared" si="416"/>
        <v/>
      </c>
      <c r="BJ953" s="27" t="str">
        <f t="shared" si="417"/>
        <v/>
      </c>
      <c r="BK953" s="27" t="str">
        <f t="shared" si="418"/>
        <v/>
      </c>
      <c r="BL953" s="27" t="str">
        <f t="shared" si="419"/>
        <v/>
      </c>
      <c r="BM953" s="21" t="s">
        <v>5581</v>
      </c>
    </row>
    <row r="954" spans="1:65" ht="15">
      <c r="A954" s="25" t="str">
        <f>IFERROR(INDEX('Hun Demand'!W:W,MATCH(O954,'Hun Demand'!A:A,0)),"")</f>
        <v/>
      </c>
      <c r="B954" s="25" t="str">
        <f>IFERROR(INDEX('Hun Demand'!V:V,MATCH(O954,'Hun Demand'!A:A,0)),"")</f>
        <v/>
      </c>
      <c r="C954" s="25" t="str">
        <f>IFERROR(INDEX('Hun Demand'!U:U,MATCH(O954,'Hun Demand'!A:A,0)),"")</f>
        <v/>
      </c>
      <c r="D954" s="25" t="str">
        <f>IFERROR(INDEX('Hun Demand'!T:T,MATCH(O954,'Hun Demand'!A:A,0)),"")</f>
        <v/>
      </c>
      <c r="E954" s="25" t="str">
        <f>IFERROR(INDEX('Hun Demand'!S:S,MATCH(O954,'Hun Demand'!A:A,0)),"")</f>
        <v/>
      </c>
      <c r="F954" s="25" t="str">
        <f>IFERROR(INDEX('Hun Demand'!R:R,MATCH(O954,'Hun Demand'!A:A,0)),"")</f>
        <v/>
      </c>
      <c r="G954" s="25">
        <f>IFERROR(INDEX('Aub Demand'!W:W,MATCH(O954,'Aub Demand'!A:A,0)),"")</f>
        <v>59</v>
      </c>
      <c r="H954" s="25">
        <f>IFERROR(INDEX('Aub Demand'!V:V,MATCH(O954,'Aub Demand'!A:A,0)),"")</f>
        <v>9</v>
      </c>
      <c r="I954" s="25">
        <f>IFERROR(INDEX('Aub Demand'!U:U,MATCH(O954,'Aub Demand'!A:A,0)),"")</f>
        <v>111</v>
      </c>
      <c r="J954" s="25">
        <f>IFERROR(INDEX('Aub Demand'!T:T,MATCH(O954,'Aub Demand'!A:A,0)),"")</f>
        <v>0</v>
      </c>
      <c r="K954" s="25">
        <f>IFERROR(INDEX('Aub Demand'!S:S,MATCH(O954,'Aub Demand'!A:A,0)),"")</f>
        <v>98</v>
      </c>
      <c r="L954" s="25">
        <f>IFERROR(INDEX('Aub Demand'!R:R,MATCH(O954,'Aub Demand'!A:A,0)),"")</f>
        <v>0</v>
      </c>
      <c r="O954" s="27" t="s">
        <v>2519</v>
      </c>
      <c r="P954" s="27" t="str">
        <f>IFERROR(INDEX('Aub Demand'!B:B,MATCH($O954,'Aub Demand'!$A:$A,0)),"")</f>
        <v>SUNKEN TREASURE 60"</v>
      </c>
      <c r="Q954" s="27" t="str">
        <f>IFERROR(INDEX('Aub Demand'!C:C,MATCH($O954,'Aub Demand'!$A:$A,0)),"")</f>
        <v>AHLST</v>
      </c>
      <c r="R954" s="52">
        <f>IFERROR(IF(AR955=AR954,INDEX('Aub Demand'!K:K,MATCH($O954,'Aub Demand'!$A:$A,0))-IF(AN954="",0,AN954)+AP955,INDEX('Aub Demand'!K:K,MATCH($O954,'Aub Demand'!$A:$A,0))-IF(AN954="",0,AN954)),"")</f>
        <v>2128</v>
      </c>
      <c r="S954" s="53">
        <f t="shared" si="392"/>
        <v>130.30000000000001</v>
      </c>
      <c r="T954" s="52" t="str">
        <f t="shared" si="393"/>
        <v/>
      </c>
      <c r="U954" s="52">
        <f>IFERROR(IF(AR955=AR954,INDEX('Aub Demand'!Q:Q,MATCH($O954,'Aub Demand'!$A:$A,0))-IF(AN954="",0,AN954)+AP955,INDEX('Aub Demand'!Q:Q,MATCH($O954,'Aub Demand'!$A:$A,0))-IF(AN954="",0,AN954)),"")</f>
        <v>2103</v>
      </c>
      <c r="V954" s="53">
        <f t="shared" si="394"/>
        <v>128.80000000000001</v>
      </c>
      <c r="W954" s="52" t="str">
        <f t="shared" si="395"/>
        <v/>
      </c>
      <c r="X954" s="52">
        <f>IFERROR(IF(AND(AR955=AR954,AM954&lt;&gt;""),INDEX('Aub Demand'!Q:Q,MATCH($O954,'Aub Demand'!$A:$A,0))-IF(AN954="",0,AN954)+AP955+AD954+AL954,IF(AR955=AR954,INDEX('Aub Demand'!Q:Q,MATCH($O954,'Aub Demand'!$A:$A,0))-IF(AN954="",0,AN954)+AP955+AD954,IF(AM954&lt;&gt;"",INDEX('Aub Demand'!Q:Q,MATCH($O954,'Aub Demand'!$A:$A,0))-IF(AN954="",0,AN954)+AD954+AL954,INDEX('Aub Demand'!Q:Q,MATCH($O954,'Aub Demand'!$A:$A,0))-IF(AN954="",0,AN954)+AD954))),"")</f>
        <v>2103</v>
      </c>
      <c r="Y954" s="53">
        <f t="shared" si="396"/>
        <v>128.80000000000001</v>
      </c>
      <c r="Z954" s="52">
        <f>IF(L954="","",INDEX('Aub Demand'!H:H,MATCH($O954,'Aub Demand'!$A:$A,0)))</f>
        <v>70</v>
      </c>
      <c r="AA954" s="52">
        <f t="shared" si="397"/>
        <v>104.5</v>
      </c>
      <c r="AB954" s="52">
        <f>IFERROR(INDEX('Aub Demand'!L:L,MATCH($O954,'Aub Demand'!$A:$A,0)),"")</f>
        <v>98</v>
      </c>
      <c r="AC954" s="52">
        <f>IFERROR(IF(O954="","",SUMIFS('CPL Mats'!F:F,'CPL Mats'!Q:Q,AR954,'CPL Mats'!S:S,AS954)),"")</f>
        <v>0</v>
      </c>
      <c r="AF954" s="25" t="str">
        <f>IF(SUMIFS('Supp Consol'!S:S,'Supp Consol'!Y:Y,"Releasable",'Supp Consol'!A:A,O954)=0,"",SUMIFS('Supp Consol'!S:S,'Supp Consol'!Y:Y,"Releasable",'Supp Consol'!A:A,O954))</f>
        <v/>
      </c>
      <c r="AG954" s="25" t="str">
        <f>IFERROR(INDEX('Hun Demand'!Q:Q,MATCH(O954,'Hun Demand'!A:A,0)),"")</f>
        <v/>
      </c>
      <c r="AH954" s="25" t="str">
        <f>IFERROR(INDEX('Hun Demand'!H:H,MATCH($O954,'Hun Demand'!$A:$A,0)),"")</f>
        <v/>
      </c>
      <c r="AI954" s="25" t="str">
        <f>IF(SUMIFS('Supp Consol'!AA:AA,'Supp Consol'!Z:Z,"Expires this month",'Supp Consol'!A:A,O954)=0,"",SUMIFS('Supp Consol'!AA:AA,'Supp Consol'!Z:Z,"Expires this month",'Supp Consol'!A:A,O954))</f>
        <v/>
      </c>
      <c r="AJ954" s="25" t="str">
        <f>IF(SUMIFS('Supp Consol'!AA:AA,'Supp Consol'!Z:Z,"Expired Previous Months",'Supp Consol'!A:A,O954)=0,"",SUMIFS('Supp Consol'!AA:AA,'Supp Consol'!Z:Z,"Expired Previous Months",'Supp Consol'!A:A,O954))</f>
        <v/>
      </c>
      <c r="AK954" s="25" t="str">
        <f>IFERROR(INDEX('Hun Release Current'!B:B,MATCH(O954,'Hun Release Current'!A:A,0)),"")</f>
        <v/>
      </c>
      <c r="AL954" s="25" t="str">
        <f>IF(SUMIF('Prev Aub'!A:A,O954,'Prev Aub'!B:B)=0,"",SUMIF('Prev Aub'!A:A,O954,'Prev Aub'!B:B))</f>
        <v/>
      </c>
      <c r="AN954" s="25" t="s">
        <v>3790</v>
      </c>
      <c r="AO954" s="25" t="s">
        <v>3790</v>
      </c>
      <c r="AP954" s="25">
        <f t="shared" si="398"/>
        <v>0</v>
      </c>
      <c r="AQ954" s="151" t="str">
        <f>IF(SUMIFS('Supp Consol'!S:S,'Supp Consol'!A:A,O954,'Supp Consol'!I:I,"PENDING")=0,"",SUMIFS('Supp Consol'!S:S,'Supp Consol'!A:A,O954,'Supp Consol'!I:I,"PENDING"))</f>
        <v/>
      </c>
      <c r="AR954" s="27" t="str">
        <f t="shared" si="399"/>
        <v>S3068</v>
      </c>
      <c r="AS954" s="27" t="str">
        <f t="shared" si="400"/>
        <v>62</v>
      </c>
      <c r="AT954" s="27" t="str">
        <f t="shared" si="401"/>
        <v/>
      </c>
      <c r="AU954" s="27" t="str">
        <f t="shared" si="402"/>
        <v/>
      </c>
      <c r="AV954" s="27" t="str">
        <f t="shared" si="403"/>
        <v/>
      </c>
      <c r="AW954" s="27" t="str">
        <f t="shared" si="404"/>
        <v/>
      </c>
      <c r="AX954" s="27" t="str">
        <f t="shared" si="405"/>
        <v/>
      </c>
      <c r="AY954" s="27" t="str">
        <f t="shared" si="406"/>
        <v/>
      </c>
      <c r="AZ954" s="27" t="str">
        <f t="shared" si="407"/>
        <v/>
      </c>
      <c r="BA954" s="27" t="str">
        <f t="shared" si="408"/>
        <v/>
      </c>
      <c r="BB954" s="27" t="str">
        <f t="shared" si="409"/>
        <v>Gross</v>
      </c>
      <c r="BC954" s="27" t="str">
        <f t="shared" si="410"/>
        <v>Net</v>
      </c>
      <c r="BD954" s="27" t="str">
        <f t="shared" si="411"/>
        <v>Net</v>
      </c>
      <c r="BE954" s="27" t="str">
        <f t="shared" si="412"/>
        <v/>
      </c>
      <c r="BF954" s="27" t="str">
        <f t="shared" si="413"/>
        <v/>
      </c>
      <c r="BG954" s="27" t="str">
        <f t="shared" si="414"/>
        <v/>
      </c>
      <c r="BH954" s="27" t="str">
        <f t="shared" si="415"/>
        <v/>
      </c>
      <c r="BI954" s="27" t="str">
        <f t="shared" si="416"/>
        <v/>
      </c>
      <c r="BJ954" s="27" t="str">
        <f t="shared" si="417"/>
        <v/>
      </c>
      <c r="BK954" s="27" t="str">
        <f t="shared" si="418"/>
        <v/>
      </c>
      <c r="BL954" s="27" t="str">
        <f t="shared" si="419"/>
        <v/>
      </c>
      <c r="BM954" s="21" t="s">
        <v>5581</v>
      </c>
    </row>
    <row r="955" spans="1:65" ht="15">
      <c r="A955" s="25">
        <f>IFERROR(INDEX('Hun Demand'!W:W,MATCH(O955,'Hun Demand'!A:A,0)),"")</f>
        <v>0</v>
      </c>
      <c r="B955" s="25">
        <f>IFERROR(INDEX('Hun Demand'!V:V,MATCH(O955,'Hun Demand'!A:A,0)),"")</f>
        <v>0</v>
      </c>
      <c r="C955" s="25">
        <f>IFERROR(INDEX('Hun Demand'!U:U,MATCH(O955,'Hun Demand'!A:A,0)),"")</f>
        <v>0</v>
      </c>
      <c r="D955" s="25">
        <f>IFERROR(INDEX('Hun Demand'!T:T,MATCH(O955,'Hun Demand'!A:A,0)),"")</f>
        <v>0</v>
      </c>
      <c r="E955" s="25">
        <f>IFERROR(INDEX('Hun Demand'!S:S,MATCH(O955,'Hun Demand'!A:A,0)),"")</f>
        <v>0</v>
      </c>
      <c r="F955" s="25">
        <f>IFERROR(INDEX('Hun Demand'!R:R,MATCH(O955,'Hun Demand'!A:A,0)),"")</f>
        <v>0</v>
      </c>
      <c r="G955" s="25">
        <f>IFERROR(INDEX('Aub Demand'!W:W,MATCH(O955,'Aub Demand'!A:A,0)),"")</f>
        <v>102</v>
      </c>
      <c r="H955" s="25">
        <f>IFERROR(INDEX('Aub Demand'!V:V,MATCH(O955,'Aub Demand'!A:A,0)),"")</f>
        <v>0</v>
      </c>
      <c r="I955" s="25">
        <f>IFERROR(INDEX('Aub Demand'!U:U,MATCH(O955,'Aub Demand'!A:A,0)),"")</f>
        <v>102</v>
      </c>
      <c r="J955" s="25">
        <f>IFERROR(INDEX('Aub Demand'!T:T,MATCH(O955,'Aub Demand'!A:A,0)),"")</f>
        <v>0</v>
      </c>
      <c r="K955" s="25">
        <f>IFERROR(INDEX('Aub Demand'!S:S,MATCH(O955,'Aub Demand'!A:A,0)),"")</f>
        <v>0</v>
      </c>
      <c r="L955" s="25">
        <f>IFERROR(INDEX('Aub Demand'!R:R,MATCH(O955,'Aub Demand'!A:A,0)),"")</f>
        <v>0</v>
      </c>
      <c r="O955" s="27" t="s">
        <v>2521</v>
      </c>
      <c r="P955" s="27" t="str">
        <f>IFERROR(INDEX('Aub Demand'!B:B,MATCH($O955,'Aub Demand'!$A:$A,0)),"")</f>
        <v>SOFT ISLAND BREEZE 4</v>
      </c>
      <c r="Q955" s="27" t="str">
        <f>IFERROR(INDEX('Aub Demand'!C:C,MATCH($O955,'Aub Demand'!$A:$A,0)),"")</f>
        <v>AHLST</v>
      </c>
      <c r="R955" s="52">
        <f>IFERROR(IF(AR956=AR955,INDEX('Aub Demand'!K:K,MATCH($O955,'Aub Demand'!$A:$A,0))-IF(AN955="",0,AN955)+AP956,INDEX('Aub Demand'!K:K,MATCH($O955,'Aub Demand'!$A:$A,0))-IF(AN955="",0,AN955)),"")</f>
        <v>1147</v>
      </c>
      <c r="S955" s="53">
        <f t="shared" si="392"/>
        <v>144.6</v>
      </c>
      <c r="T955" s="52" t="str">
        <f t="shared" si="393"/>
        <v/>
      </c>
      <c r="U955" s="52">
        <f>IFERROR(IF(AR956=AR955,INDEX('Aub Demand'!Q:Q,MATCH($O955,'Aub Demand'!$A:$A,0))-IF(AN955="",0,AN955)+AP956,INDEX('Aub Demand'!Q:Q,MATCH($O955,'Aub Demand'!$A:$A,0))-IF(AN955="",0,AN955)),"")</f>
        <v>1123</v>
      </c>
      <c r="V955" s="53">
        <f t="shared" si="394"/>
        <v>141.6</v>
      </c>
      <c r="W955" s="52" t="str">
        <f t="shared" si="395"/>
        <v/>
      </c>
      <c r="X955" s="52">
        <f>IFERROR(IF(AND(AR956=AR955,AM955&lt;&gt;""),INDEX('Aub Demand'!Q:Q,MATCH($O955,'Aub Demand'!$A:$A,0))-IF(AN955="",0,AN955)+AP956+AD955+AL955,IF(AR956=AR955,INDEX('Aub Demand'!Q:Q,MATCH($O955,'Aub Demand'!$A:$A,0))-IF(AN955="",0,AN955)+AP956+AD955,IF(AM955&lt;&gt;"",INDEX('Aub Demand'!Q:Q,MATCH($O955,'Aub Demand'!$A:$A,0))-IF(AN955="",0,AN955)+AD955+AL955,INDEX('Aub Demand'!Q:Q,MATCH($O955,'Aub Demand'!$A:$A,0))-IF(AN955="",0,AN955)+AD955))),"")</f>
        <v>1123</v>
      </c>
      <c r="Y955" s="53">
        <f t="shared" si="396"/>
        <v>141.6</v>
      </c>
      <c r="Z955" s="52">
        <f>IF(L955="","",INDEX('Aub Demand'!H:H,MATCH($O955,'Aub Demand'!$A:$A,0)))</f>
        <v>34</v>
      </c>
      <c r="AA955" s="52" t="str">
        <f t="shared" si="397"/>
        <v>-spike-</v>
      </c>
      <c r="AB955" s="52">
        <f>IFERROR(INDEX('Aub Demand'!L:L,MATCH($O955,'Aub Demand'!$A:$A,0)),"")</f>
        <v>129</v>
      </c>
      <c r="AC955" s="52">
        <f>IFERROR(IF(O955="","",SUMIFS('CPL Mats'!F:F,'CPL Mats'!Q:Q,AR955,'CPL Mats'!S:S,AS955)),"")</f>
        <v>0</v>
      </c>
      <c r="AF955" s="25" t="str">
        <f>IF(SUMIFS('Supp Consol'!S:S,'Supp Consol'!Y:Y,"Releasable",'Supp Consol'!A:A,O955)=0,"",SUMIFS('Supp Consol'!S:S,'Supp Consol'!Y:Y,"Releasable",'Supp Consol'!A:A,O955))</f>
        <v/>
      </c>
      <c r="AG955" s="25">
        <f>IFERROR(INDEX('Hun Demand'!Q:Q,MATCH(O955,'Hun Demand'!A:A,0)),"")</f>
        <v>102</v>
      </c>
      <c r="AH955" s="25">
        <f>IFERROR(INDEX('Hun Demand'!H:H,MATCH($O955,'Hun Demand'!$A:$A,0)),"")</f>
        <v>0</v>
      </c>
      <c r="AI955" s="25" t="str">
        <f>IF(SUMIFS('Supp Consol'!AA:AA,'Supp Consol'!Z:Z,"Expires this month",'Supp Consol'!A:A,O955)=0,"",SUMIFS('Supp Consol'!AA:AA,'Supp Consol'!Z:Z,"Expires this month",'Supp Consol'!A:A,O955))</f>
        <v/>
      </c>
      <c r="AJ955" s="25" t="str">
        <f>IF(SUMIFS('Supp Consol'!AA:AA,'Supp Consol'!Z:Z,"Expired Previous Months",'Supp Consol'!A:A,O955)=0,"",SUMIFS('Supp Consol'!AA:AA,'Supp Consol'!Z:Z,"Expired Previous Months",'Supp Consol'!A:A,O955))</f>
        <v/>
      </c>
      <c r="AK955" s="25" t="str">
        <f>IFERROR(INDEX('Hun Release Current'!B:B,MATCH(O955,'Hun Release Current'!A:A,0)),"")</f>
        <v/>
      </c>
      <c r="AL955" s="25" t="str">
        <f>IF(SUMIF('Prev Aub'!A:A,O955,'Prev Aub'!B:B)=0,"",SUMIF('Prev Aub'!A:A,O955,'Prev Aub'!B:B))</f>
        <v/>
      </c>
      <c r="AN955" s="25" t="s">
        <v>3790</v>
      </c>
      <c r="AO955" s="25" t="s">
        <v>3790</v>
      </c>
      <c r="AP955" s="25">
        <f t="shared" si="398"/>
        <v>0</v>
      </c>
      <c r="AQ955" s="151" t="str">
        <f>IF(SUMIFS('Supp Consol'!S:S,'Supp Consol'!A:A,O955,'Supp Consol'!I:I,"PENDING")=0,"",SUMIFS('Supp Consol'!S:S,'Supp Consol'!A:A,O955,'Supp Consol'!I:I,"PENDING"))</f>
        <v/>
      </c>
      <c r="AR955" s="27" t="str">
        <f t="shared" si="399"/>
        <v>S3069</v>
      </c>
      <c r="AS955" s="27" t="str">
        <f t="shared" si="400"/>
        <v>50</v>
      </c>
      <c r="AT955" s="27" t="str">
        <f t="shared" si="401"/>
        <v/>
      </c>
      <c r="AU955" s="27" t="str">
        <f t="shared" si="402"/>
        <v/>
      </c>
      <c r="AV955" s="27" t="str">
        <f t="shared" si="403"/>
        <v/>
      </c>
      <c r="AW955" s="27" t="str">
        <f t="shared" si="404"/>
        <v/>
      </c>
      <c r="AX955" s="27" t="str">
        <f t="shared" si="405"/>
        <v/>
      </c>
      <c r="AY955" s="27" t="str">
        <f t="shared" si="406"/>
        <v>S3069</v>
      </c>
      <c r="AZ955" s="27" t="str">
        <f t="shared" si="407"/>
        <v/>
      </c>
      <c r="BA955" s="27" t="str">
        <f t="shared" si="408"/>
        <v>Hun</v>
      </c>
      <c r="BB955" s="27" t="str">
        <f t="shared" si="409"/>
        <v/>
      </c>
      <c r="BC955" s="27" t="str">
        <f t="shared" si="410"/>
        <v/>
      </c>
      <c r="BD955" s="27" t="str">
        <f t="shared" si="411"/>
        <v/>
      </c>
      <c r="BE955" s="27" t="str">
        <f t="shared" si="412"/>
        <v/>
      </c>
      <c r="BF955" s="27" t="str">
        <f t="shared" si="413"/>
        <v/>
      </c>
      <c r="BG955" s="27" t="str">
        <f t="shared" si="414"/>
        <v/>
      </c>
      <c r="BH955" s="27" t="str">
        <f t="shared" si="415"/>
        <v/>
      </c>
      <c r="BI955" s="27" t="str">
        <f t="shared" si="416"/>
        <v/>
      </c>
      <c r="BJ955" s="27" t="str">
        <f t="shared" si="417"/>
        <v>Supp or Hun</v>
      </c>
      <c r="BK955" s="27" t="str">
        <f t="shared" si="418"/>
        <v/>
      </c>
      <c r="BL955" s="27" t="str">
        <f t="shared" si="419"/>
        <v/>
      </c>
      <c r="BM955" s="21" t="s">
        <v>5581</v>
      </c>
    </row>
    <row r="956" spans="1:65" ht="15">
      <c r="A956" s="25" t="str">
        <f>IFERROR(INDEX('Hun Demand'!W:W,MATCH(O956,'Hun Demand'!A:A,0)),"")</f>
        <v/>
      </c>
      <c r="B956" s="25" t="str">
        <f>IFERROR(INDEX('Hun Demand'!V:V,MATCH(O956,'Hun Demand'!A:A,0)),"")</f>
        <v/>
      </c>
      <c r="C956" s="25" t="str">
        <f>IFERROR(INDEX('Hun Demand'!U:U,MATCH(O956,'Hun Demand'!A:A,0)),"")</f>
        <v/>
      </c>
      <c r="D956" s="25" t="str">
        <f>IFERROR(INDEX('Hun Demand'!T:T,MATCH(O956,'Hun Demand'!A:A,0)),"")</f>
        <v/>
      </c>
      <c r="E956" s="25" t="str">
        <f>IFERROR(INDEX('Hun Demand'!S:S,MATCH(O956,'Hun Demand'!A:A,0)),"")</f>
        <v/>
      </c>
      <c r="F956" s="25" t="str">
        <f>IFERROR(INDEX('Hun Demand'!R:R,MATCH(O956,'Hun Demand'!A:A,0)),"")</f>
        <v/>
      </c>
      <c r="G956" s="25">
        <f>IFERROR(INDEX('Aub Demand'!W:W,MATCH(O956,'Aub Demand'!A:A,0)),"")</f>
        <v>86</v>
      </c>
      <c r="H956" s="25">
        <f>IFERROR(INDEX('Aub Demand'!V:V,MATCH(O956,'Aub Demand'!A:A,0)),"")</f>
        <v>0</v>
      </c>
      <c r="I956" s="25">
        <f>IFERROR(INDEX('Aub Demand'!U:U,MATCH(O956,'Aub Demand'!A:A,0)),"")</f>
        <v>1</v>
      </c>
      <c r="J956" s="25">
        <f>IFERROR(INDEX('Aub Demand'!T:T,MATCH(O956,'Aub Demand'!A:A,0)),"")</f>
        <v>0</v>
      </c>
      <c r="K956" s="25">
        <f>IFERROR(INDEX('Aub Demand'!S:S,MATCH(O956,'Aub Demand'!A:A,0)),"")</f>
        <v>0</v>
      </c>
      <c r="L956" s="25">
        <f>IFERROR(INDEX('Aub Demand'!R:R,MATCH(O956,'Aub Demand'!A:A,0)),"")</f>
        <v>0</v>
      </c>
      <c r="O956" s="27" t="s">
        <v>2524</v>
      </c>
      <c r="P956" s="27" t="str">
        <f>IFERROR(INDEX('Aub Demand'!B:B,MATCH($O956,'Aub Demand'!$A:$A,0)),"")</f>
        <v>SOFT ISLAND BREEZE 6</v>
      </c>
      <c r="Q956" s="27" t="str">
        <f>IFERROR(INDEX('Aub Demand'!C:C,MATCH($O956,'Aub Demand'!$A:$A,0)),"")</f>
        <v>AHLST</v>
      </c>
      <c r="R956" s="52">
        <f>IFERROR(IF(AR957=AR956,INDEX('Aub Demand'!K:K,MATCH($O956,'Aub Demand'!$A:$A,0))-IF(AN956="",0,AN956)+AP957,INDEX('Aub Demand'!K:K,MATCH($O956,'Aub Demand'!$A:$A,0))-IF(AN956="",0,AN956)),"")</f>
        <v>2428</v>
      </c>
      <c r="S956" s="53" t="str">
        <f t="shared" si="392"/>
        <v>n/a</v>
      </c>
      <c r="T956" s="52" t="str">
        <f t="shared" si="393"/>
        <v/>
      </c>
      <c r="U956" s="52">
        <f>IFERROR(IF(AR957=AR956,INDEX('Aub Demand'!Q:Q,MATCH($O956,'Aub Demand'!$A:$A,0))-IF(AN956="",0,AN956)+AP957,INDEX('Aub Demand'!Q:Q,MATCH($O956,'Aub Demand'!$A:$A,0))-IF(AN956="",0,AN956)),"")</f>
        <v>2426</v>
      </c>
      <c r="V956" s="53" t="str">
        <f t="shared" si="394"/>
        <v>n/a</v>
      </c>
      <c r="W956" s="52" t="str">
        <f t="shared" si="395"/>
        <v/>
      </c>
      <c r="X956" s="52">
        <f>IFERROR(IF(AND(AR957=AR956,AM956&lt;&gt;""),INDEX('Aub Demand'!Q:Q,MATCH($O956,'Aub Demand'!$A:$A,0))-IF(AN956="",0,AN956)+AP957+AD956+AL956,IF(AR957=AR956,INDEX('Aub Demand'!Q:Q,MATCH($O956,'Aub Demand'!$A:$A,0))-IF(AN956="",0,AN956)+AP957+AD956,IF(AM956&lt;&gt;"",INDEX('Aub Demand'!Q:Q,MATCH($O956,'Aub Demand'!$A:$A,0))-IF(AN956="",0,AN956)+AD956+AL956,INDEX('Aub Demand'!Q:Q,MATCH($O956,'Aub Demand'!$A:$A,0))-IF(AN956="",0,AN956)+AD956))),"")</f>
        <v>2426</v>
      </c>
      <c r="Y956" s="53" t="str">
        <f t="shared" si="396"/>
        <v>n/a</v>
      </c>
      <c r="Z956" s="52">
        <f>IF(L956="","",INDEX('Aub Demand'!H:H,MATCH($O956,'Aub Demand'!$A:$A,0)))</f>
        <v>0</v>
      </c>
      <c r="AA956" s="52" t="str">
        <f t="shared" si="397"/>
        <v>-spike-</v>
      </c>
      <c r="AB956" s="52">
        <f>IFERROR(INDEX('Aub Demand'!L:L,MATCH($O956,'Aub Demand'!$A:$A,0)),"")</f>
        <v>79</v>
      </c>
      <c r="AC956" s="52">
        <f>IFERROR(IF(O956="","",SUMIFS('CPL Mats'!F:F,'CPL Mats'!Q:Q,AR956,'CPL Mats'!S:S,AS956)),"")</f>
        <v>0</v>
      </c>
      <c r="AF956" s="25" t="str">
        <f>IF(SUMIFS('Supp Consol'!S:S,'Supp Consol'!Y:Y,"Releasable",'Supp Consol'!A:A,O956)=0,"",SUMIFS('Supp Consol'!S:S,'Supp Consol'!Y:Y,"Releasable",'Supp Consol'!A:A,O956))</f>
        <v/>
      </c>
      <c r="AG956" s="25" t="str">
        <f>IFERROR(INDEX('Hun Demand'!Q:Q,MATCH(O956,'Hun Demand'!A:A,0)),"")</f>
        <v/>
      </c>
      <c r="AH956" s="25" t="str">
        <f>IFERROR(INDEX('Hun Demand'!H:H,MATCH($O956,'Hun Demand'!$A:$A,0)),"")</f>
        <v/>
      </c>
      <c r="AI956" s="25" t="str">
        <f>IF(SUMIFS('Supp Consol'!AA:AA,'Supp Consol'!Z:Z,"Expires this month",'Supp Consol'!A:A,O956)=0,"",SUMIFS('Supp Consol'!AA:AA,'Supp Consol'!Z:Z,"Expires this month",'Supp Consol'!A:A,O956))</f>
        <v/>
      </c>
      <c r="AJ956" s="25" t="str">
        <f>IF(SUMIFS('Supp Consol'!AA:AA,'Supp Consol'!Z:Z,"Expired Previous Months",'Supp Consol'!A:A,O956)=0,"",SUMIFS('Supp Consol'!AA:AA,'Supp Consol'!Z:Z,"Expired Previous Months",'Supp Consol'!A:A,O956))</f>
        <v/>
      </c>
      <c r="AK956" s="25" t="str">
        <f>IFERROR(INDEX('Hun Release Current'!B:B,MATCH(O956,'Hun Release Current'!A:A,0)),"")</f>
        <v/>
      </c>
      <c r="AL956" s="25" t="str">
        <f>IF(SUMIF('Prev Aub'!A:A,O956,'Prev Aub'!B:B)=0,"",SUMIF('Prev Aub'!A:A,O956,'Prev Aub'!B:B))</f>
        <v/>
      </c>
      <c r="AN956" s="25" t="s">
        <v>3790</v>
      </c>
      <c r="AO956" s="25" t="s">
        <v>3790</v>
      </c>
      <c r="AP956" s="25">
        <f t="shared" si="398"/>
        <v>0</v>
      </c>
      <c r="AQ956" s="151" t="str">
        <f>IF(SUMIFS('Supp Consol'!S:S,'Supp Consol'!A:A,O956,'Supp Consol'!I:I,"PENDING")=0,"",SUMIFS('Supp Consol'!S:S,'Supp Consol'!A:A,O956,'Supp Consol'!I:I,"PENDING"))</f>
        <v/>
      </c>
      <c r="AR956" s="27" t="str">
        <f t="shared" si="399"/>
        <v>S3069</v>
      </c>
      <c r="AS956" s="27" t="str">
        <f t="shared" si="400"/>
        <v>62</v>
      </c>
      <c r="AT956" s="27" t="str">
        <f t="shared" si="401"/>
        <v/>
      </c>
      <c r="AU956" s="27" t="str">
        <f t="shared" si="402"/>
        <v/>
      </c>
      <c r="AV956" s="27" t="str">
        <f t="shared" si="403"/>
        <v/>
      </c>
      <c r="AW956" s="27" t="str">
        <f t="shared" si="404"/>
        <v/>
      </c>
      <c r="AX956" s="27" t="str">
        <f t="shared" si="405"/>
        <v/>
      </c>
      <c r="AY956" s="27" t="str">
        <f t="shared" si="406"/>
        <v/>
      </c>
      <c r="AZ956" s="27" t="str">
        <f t="shared" si="407"/>
        <v/>
      </c>
      <c r="BA956" s="27" t="str">
        <f t="shared" si="408"/>
        <v>Hun</v>
      </c>
      <c r="BB956" s="27" t="str">
        <f t="shared" si="409"/>
        <v/>
      </c>
      <c r="BC956" s="27" t="str">
        <f t="shared" si="410"/>
        <v/>
      </c>
      <c r="BD956" s="27" t="str">
        <f t="shared" si="411"/>
        <v/>
      </c>
      <c r="BE956" s="27" t="str">
        <f t="shared" si="412"/>
        <v/>
      </c>
      <c r="BF956" s="27" t="str">
        <f t="shared" si="413"/>
        <v/>
      </c>
      <c r="BG956" s="27" t="str">
        <f t="shared" si="414"/>
        <v/>
      </c>
      <c r="BH956" s="27" t="str">
        <f t="shared" si="415"/>
        <v/>
      </c>
      <c r="BI956" s="27" t="str">
        <f t="shared" si="416"/>
        <v/>
      </c>
      <c r="BJ956" s="27" t="str">
        <f t="shared" si="417"/>
        <v>Supp or Hun</v>
      </c>
      <c r="BK956" s="27" t="str">
        <f t="shared" si="418"/>
        <v/>
      </c>
      <c r="BL956" s="27" t="str">
        <f t="shared" si="419"/>
        <v/>
      </c>
      <c r="BM956" s="21" t="s">
        <v>5581</v>
      </c>
    </row>
    <row r="957" spans="1:65" ht="15">
      <c r="A957" s="25" t="str">
        <f>IFERROR(INDEX('Hun Demand'!W:W,MATCH(O957,'Hun Demand'!A:A,0)),"")</f>
        <v/>
      </c>
      <c r="B957" s="25" t="str">
        <f>IFERROR(INDEX('Hun Demand'!V:V,MATCH(O957,'Hun Demand'!A:A,0)),"")</f>
        <v/>
      </c>
      <c r="C957" s="25" t="str">
        <f>IFERROR(INDEX('Hun Demand'!U:U,MATCH(O957,'Hun Demand'!A:A,0)),"")</f>
        <v/>
      </c>
      <c r="D957" s="25" t="str">
        <f>IFERROR(INDEX('Hun Demand'!T:T,MATCH(O957,'Hun Demand'!A:A,0)),"")</f>
        <v/>
      </c>
      <c r="E957" s="25" t="str">
        <f>IFERROR(INDEX('Hun Demand'!S:S,MATCH(O957,'Hun Demand'!A:A,0)),"")</f>
        <v/>
      </c>
      <c r="F957" s="25" t="str">
        <f>IFERROR(INDEX('Hun Demand'!R:R,MATCH(O957,'Hun Demand'!A:A,0)),"")</f>
        <v/>
      </c>
      <c r="G957" s="25">
        <f>IFERROR(INDEX('Aub Demand'!W:W,MATCH(O957,'Aub Demand'!A:A,0)),"")</f>
        <v>0</v>
      </c>
      <c r="H957" s="25">
        <f>IFERROR(INDEX('Aub Demand'!V:V,MATCH(O957,'Aub Demand'!A:A,0)),"")</f>
        <v>32</v>
      </c>
      <c r="I957" s="25">
        <f>IFERROR(INDEX('Aub Demand'!U:U,MATCH(O957,'Aub Demand'!A:A,0)),"")</f>
        <v>0</v>
      </c>
      <c r="J957" s="25">
        <f>IFERROR(INDEX('Aub Demand'!T:T,MATCH(O957,'Aub Demand'!A:A,0)),"")</f>
        <v>31</v>
      </c>
      <c r="K957" s="25">
        <f>IFERROR(INDEX('Aub Demand'!S:S,MATCH(O957,'Aub Demand'!A:A,0)),"")</f>
        <v>52</v>
      </c>
      <c r="L957" s="25">
        <f>IFERROR(INDEX('Aub Demand'!R:R,MATCH(O957,'Aub Demand'!A:A,0)),"")</f>
        <v>0</v>
      </c>
      <c r="O957" s="27" t="s">
        <v>2527</v>
      </c>
      <c r="P957" s="27" t="str">
        <f>IFERROR(INDEX('Aub Demand'!B:B,MATCH($O957,'Aub Demand'!$A:$A,0)),"")</f>
        <v>CARIBBEAN BLUE 48"</v>
      </c>
      <c r="Q957" s="27" t="str">
        <f>IFERROR(INDEX('Aub Demand'!C:C,MATCH($O957,'Aub Demand'!$A:$A,0)),"")</f>
        <v>AHLST</v>
      </c>
      <c r="R957" s="52">
        <f>IFERROR(IF(AR958=AR957,INDEX('Aub Demand'!K:K,MATCH($O957,'Aub Demand'!$A:$A,0))-IF(AN957="",0,AN957)+AP958,INDEX('Aub Demand'!K:K,MATCH($O957,'Aub Demand'!$A:$A,0))-IF(AN957="",0,AN957)),"")</f>
        <v>0</v>
      </c>
      <c r="S957" s="53">
        <f t="shared" si="392"/>
        <v>0</v>
      </c>
      <c r="T957" s="52">
        <f t="shared" si="393"/>
        <v>31.125</v>
      </c>
      <c r="U957" s="52">
        <f>IFERROR(IF(AR958=AR957,INDEX('Aub Demand'!Q:Q,MATCH($O957,'Aub Demand'!$A:$A,0))-IF(AN957="",0,AN957)+AP958,INDEX('Aub Demand'!Q:Q,MATCH($O957,'Aub Demand'!$A:$A,0))-IF(AN957="",0,AN957)),"")</f>
        <v>-104</v>
      </c>
      <c r="V957" s="53">
        <f t="shared" si="394"/>
        <v>-15.9</v>
      </c>
      <c r="W957" s="52">
        <f t="shared" si="395"/>
        <v>196.08749999999998</v>
      </c>
      <c r="X957" s="52">
        <f>IFERROR(IF(AND(AR958=AR957,AM957&lt;&gt;""),INDEX('Aub Demand'!Q:Q,MATCH($O957,'Aub Demand'!$A:$A,0))-IF(AN957="",0,AN957)+AP958+AD957+AL957,IF(AR958=AR957,INDEX('Aub Demand'!Q:Q,MATCH($O957,'Aub Demand'!$A:$A,0))-IF(AN957="",0,AN957)+AP958+AD957,IF(AM957&lt;&gt;"",INDEX('Aub Demand'!Q:Q,MATCH($O957,'Aub Demand'!$A:$A,0))-IF(AN957="",0,AN957)+AD957+AL957,INDEX('Aub Demand'!Q:Q,MATCH($O957,'Aub Demand'!$A:$A,0))-IF(AN957="",0,AN957)+AD957))),"")</f>
        <v>396</v>
      </c>
      <c r="Y957" s="53">
        <f t="shared" si="396"/>
        <v>60.6</v>
      </c>
      <c r="Z957" s="52">
        <f>IF(L957="","",INDEX('Aub Demand'!H:H,MATCH($O957,'Aub Demand'!$A:$A,0)))</f>
        <v>28</v>
      </c>
      <c r="AA957" s="52">
        <f t="shared" si="397"/>
        <v>41.5</v>
      </c>
      <c r="AB957" s="52">
        <f>IFERROR(INDEX('Aub Demand'!L:L,MATCH($O957,'Aub Demand'!$A:$A,0)),"")</f>
        <v>54</v>
      </c>
      <c r="AC957" s="52">
        <f>IFERROR(IF(O957="","",SUMIFS('CPL Mats'!F:F,'CPL Mats'!Q:Q,AR957,'CPL Mats'!S:S,AS957)),"")</f>
        <v>0</v>
      </c>
      <c r="AD957" s="25">
        <v>500</v>
      </c>
      <c r="AE957" s="52" t="s">
        <v>5583</v>
      </c>
      <c r="AF957" s="25">
        <f>IF(SUMIFS('Supp Consol'!S:S,'Supp Consol'!Y:Y,"Releasable",'Supp Consol'!A:A,O957)=0,"",SUMIFS('Supp Consol'!S:S,'Supp Consol'!Y:Y,"Releasable",'Supp Consol'!A:A,O957))</f>
        <v>2114</v>
      </c>
      <c r="AG957" s="25" t="str">
        <f>IFERROR(INDEX('Hun Demand'!Q:Q,MATCH(O957,'Hun Demand'!A:A,0)),"")</f>
        <v/>
      </c>
      <c r="AH957" s="25" t="str">
        <f>IFERROR(INDEX('Hun Demand'!H:H,MATCH($O957,'Hun Demand'!$A:$A,0)),"")</f>
        <v/>
      </c>
      <c r="AI957" s="25" t="str">
        <f>IF(SUMIFS('Supp Consol'!AA:AA,'Supp Consol'!Z:Z,"Expires this month",'Supp Consol'!A:A,O957)=0,"",SUMIFS('Supp Consol'!AA:AA,'Supp Consol'!Z:Z,"Expires this month",'Supp Consol'!A:A,O957))</f>
        <v/>
      </c>
      <c r="AJ957" s="25" t="str">
        <f>IF(SUMIFS('Supp Consol'!AA:AA,'Supp Consol'!Z:Z,"Expired Previous Months",'Supp Consol'!A:A,O957)=0,"",SUMIFS('Supp Consol'!AA:AA,'Supp Consol'!Z:Z,"Expired Previous Months",'Supp Consol'!A:A,O957))</f>
        <v/>
      </c>
      <c r="AK957" s="25" t="str">
        <f>IFERROR(INDEX('Hun Release Current'!B:B,MATCH(O957,'Hun Release Current'!A:A,0)),"")</f>
        <v/>
      </c>
      <c r="AL957" s="25" t="str">
        <f>IF(SUMIF('Prev Aub'!A:A,O957,'Prev Aub'!B:B)=0,"",SUMIF('Prev Aub'!A:A,O957,'Prev Aub'!B:B))</f>
        <v/>
      </c>
      <c r="AN957" s="25" t="s">
        <v>3790</v>
      </c>
      <c r="AO957" s="25" t="s">
        <v>3790</v>
      </c>
      <c r="AP957" s="25">
        <f t="shared" si="398"/>
        <v>0</v>
      </c>
      <c r="AQ957" s="151" t="str">
        <f>IF(SUMIFS('Supp Consol'!S:S,'Supp Consol'!A:A,O957,'Supp Consol'!I:I,"PENDING")=0,"",SUMIFS('Supp Consol'!S:S,'Supp Consol'!A:A,O957,'Supp Consol'!I:I,"PENDING"))</f>
        <v/>
      </c>
      <c r="AR957" s="27" t="str">
        <f t="shared" si="399"/>
        <v>S3070</v>
      </c>
      <c r="AS957" s="27" t="str">
        <f t="shared" si="400"/>
        <v>50</v>
      </c>
      <c r="AT957" s="27" t="str">
        <f t="shared" si="401"/>
        <v>S3070</v>
      </c>
      <c r="AU957" s="27" t="str">
        <f t="shared" si="402"/>
        <v/>
      </c>
      <c r="AV957" s="27" t="str">
        <f t="shared" si="403"/>
        <v/>
      </c>
      <c r="AW957" s="27" t="str">
        <f t="shared" si="404"/>
        <v/>
      </c>
      <c r="AX957" s="27" t="str">
        <f t="shared" si="405"/>
        <v>S3070</v>
      </c>
      <c r="AY957" s="27" t="str">
        <f t="shared" si="406"/>
        <v/>
      </c>
      <c r="AZ957" s="27" t="str">
        <f t="shared" si="407"/>
        <v>Supp</v>
      </c>
      <c r="BA957" s="27" t="str">
        <f t="shared" si="408"/>
        <v>Hun</v>
      </c>
      <c r="BB957" s="27" t="str">
        <f t="shared" si="409"/>
        <v>Gross</v>
      </c>
      <c r="BC957" s="27" t="str">
        <f t="shared" si="410"/>
        <v/>
      </c>
      <c r="BD957" s="27" t="str">
        <f t="shared" si="411"/>
        <v/>
      </c>
      <c r="BE957" s="27" t="str">
        <f t="shared" si="412"/>
        <v/>
      </c>
      <c r="BF957" s="27" t="str">
        <f t="shared" si="413"/>
        <v/>
      </c>
      <c r="BG957" s="27" t="str">
        <f t="shared" si="414"/>
        <v/>
      </c>
      <c r="BH957" s="27" t="str">
        <f t="shared" si="415"/>
        <v/>
      </c>
      <c r="BI957" s="27" t="str">
        <f t="shared" si="416"/>
        <v/>
      </c>
      <c r="BJ957" s="27" t="str">
        <f t="shared" si="417"/>
        <v>Supp or Hun</v>
      </c>
      <c r="BK957" s="27" t="str">
        <f t="shared" si="418"/>
        <v/>
      </c>
      <c r="BL957" s="27" t="str">
        <f t="shared" si="419"/>
        <v/>
      </c>
      <c r="BM957" s="21" t="s">
        <v>5581</v>
      </c>
    </row>
    <row r="958" spans="1:65" ht="15">
      <c r="A958" s="25">
        <f>IFERROR(INDEX('Hun Demand'!W:W,MATCH(O958,'Hun Demand'!A:A,0)),"")</f>
        <v>0</v>
      </c>
      <c r="B958" s="25">
        <f>IFERROR(INDEX('Hun Demand'!V:V,MATCH(O958,'Hun Demand'!A:A,0)),"")</f>
        <v>0</v>
      </c>
      <c r="C958" s="25">
        <f>IFERROR(INDEX('Hun Demand'!U:U,MATCH(O958,'Hun Demand'!A:A,0)),"")</f>
        <v>0</v>
      </c>
      <c r="D958" s="25">
        <f>IFERROR(INDEX('Hun Demand'!T:T,MATCH(O958,'Hun Demand'!A:A,0)),"")</f>
        <v>0</v>
      </c>
      <c r="E958" s="25">
        <f>IFERROR(INDEX('Hun Demand'!S:S,MATCH(O958,'Hun Demand'!A:A,0)),"")</f>
        <v>0</v>
      </c>
      <c r="F958" s="25">
        <f>IFERROR(INDEX('Hun Demand'!R:R,MATCH(O958,'Hun Demand'!A:A,0)),"")</f>
        <v>0</v>
      </c>
      <c r="G958" s="25">
        <f>IFERROR(INDEX('Aub Demand'!W:W,MATCH(O958,'Aub Demand'!A:A,0)),"")</f>
        <v>44</v>
      </c>
      <c r="H958" s="25">
        <f>IFERROR(INDEX('Aub Demand'!V:V,MATCH(O958,'Aub Demand'!A:A,0)),"")</f>
        <v>72</v>
      </c>
      <c r="I958" s="25">
        <f>IFERROR(INDEX('Aub Demand'!U:U,MATCH(O958,'Aub Demand'!A:A,0)),"")</f>
        <v>153</v>
      </c>
      <c r="J958" s="25">
        <f>IFERROR(INDEX('Aub Demand'!T:T,MATCH(O958,'Aub Demand'!A:A,0)),"")</f>
        <v>0</v>
      </c>
      <c r="K958" s="25">
        <f>IFERROR(INDEX('Aub Demand'!S:S,MATCH(O958,'Aub Demand'!A:A,0)),"")</f>
        <v>65</v>
      </c>
      <c r="L958" s="25">
        <f>IFERROR(INDEX('Aub Demand'!R:R,MATCH(O958,'Aub Demand'!A:A,0)),"")</f>
        <v>28</v>
      </c>
      <c r="O958" s="27" t="s">
        <v>2529</v>
      </c>
      <c r="P958" s="27" t="str">
        <f>IFERROR(INDEX('Aub Demand'!B:B,MATCH($O958,'Aub Demand'!$A:$A,0)),"")</f>
        <v>CARIBBEAN BLUE 60"</v>
      </c>
      <c r="Q958" s="27" t="str">
        <f>IFERROR(INDEX('Aub Demand'!C:C,MATCH($O958,'Aub Demand'!$A:$A,0)),"")</f>
        <v>AHLST</v>
      </c>
      <c r="R958" s="52">
        <f>IFERROR(IF(AR959=AR958,INDEX('Aub Demand'!K:K,MATCH($O958,'Aub Demand'!$A:$A,0))-IF(AN958="",0,AN958)+AP959,INDEX('Aub Demand'!K:K,MATCH($O958,'Aub Demand'!$A:$A,0))-IF(AN958="",0,AN958)),"")</f>
        <v>645</v>
      </c>
      <c r="S958" s="53">
        <f t="shared" si="392"/>
        <v>37.9</v>
      </c>
      <c r="T958" s="52" t="str">
        <f t="shared" si="393"/>
        <v/>
      </c>
      <c r="U958" s="52">
        <f>IFERROR(IF(AR959=AR958,INDEX('Aub Demand'!Q:Q,MATCH($O958,'Aub Demand'!$A:$A,0))-IF(AN958="",0,AN958)+AP959,INDEX('Aub Demand'!Q:Q,MATCH($O958,'Aub Demand'!$A:$A,0))-IF(AN958="",0,AN958)),"")</f>
        <v>599</v>
      </c>
      <c r="V958" s="53">
        <f t="shared" si="394"/>
        <v>35.200000000000003</v>
      </c>
      <c r="W958" s="52" t="str">
        <f t="shared" si="395"/>
        <v/>
      </c>
      <c r="X958" s="52">
        <f>IFERROR(IF(AND(AR959=AR958,AM958&lt;&gt;""),INDEX('Aub Demand'!Q:Q,MATCH($O958,'Aub Demand'!$A:$A,0))-IF(AN958="",0,AN958)+AP959+AD958+AL958,IF(AR959=AR958,INDEX('Aub Demand'!Q:Q,MATCH($O958,'Aub Demand'!$A:$A,0))-IF(AN958="",0,AN958)+AP959+AD958,IF(AM958&lt;&gt;"",INDEX('Aub Demand'!Q:Q,MATCH($O958,'Aub Demand'!$A:$A,0))-IF(AN958="",0,AN958)+AD958+AL958,INDEX('Aub Demand'!Q:Q,MATCH($O958,'Aub Demand'!$A:$A,0))-IF(AN958="",0,AN958)+AD958))),"")</f>
        <v>599</v>
      </c>
      <c r="Y958" s="53">
        <f t="shared" si="396"/>
        <v>35.200000000000003</v>
      </c>
      <c r="Z958" s="52">
        <f>IF(L958="","",INDEX('Aub Demand'!H:H,MATCH($O958,'Aub Demand'!$A:$A,0)))</f>
        <v>73</v>
      </c>
      <c r="AA958" s="52">
        <f t="shared" si="397"/>
        <v>109</v>
      </c>
      <c r="AB958" s="52">
        <f>IFERROR(INDEX('Aub Demand'!L:L,MATCH($O958,'Aub Demand'!$A:$A,0)),"")</f>
        <v>33</v>
      </c>
      <c r="AC958" s="52">
        <f>IFERROR(IF(O958="","",SUMIFS('CPL Mats'!F:F,'CPL Mats'!Q:Q,AR958,'CPL Mats'!S:S,AS958)),"")</f>
        <v>0</v>
      </c>
      <c r="AF958" s="25">
        <f>IF(SUMIFS('Supp Consol'!S:S,'Supp Consol'!Y:Y,"Releasable",'Supp Consol'!A:A,O958)=0,"",SUMIFS('Supp Consol'!S:S,'Supp Consol'!Y:Y,"Releasable",'Supp Consol'!A:A,O958))</f>
        <v>1709</v>
      </c>
      <c r="AG958" s="25">
        <f>IFERROR(INDEX('Hun Demand'!Q:Q,MATCH(O958,'Hun Demand'!A:A,0)),"")</f>
        <v>74</v>
      </c>
      <c r="AH958" s="25">
        <f>IFERROR(INDEX('Hun Demand'!H:H,MATCH($O958,'Hun Demand'!$A:$A,0)),"")</f>
        <v>0</v>
      </c>
      <c r="AI958" s="25" t="str">
        <f>IF(SUMIFS('Supp Consol'!AA:AA,'Supp Consol'!Z:Z,"Expires this month",'Supp Consol'!A:A,O958)=0,"",SUMIFS('Supp Consol'!AA:AA,'Supp Consol'!Z:Z,"Expires this month",'Supp Consol'!A:A,O958))</f>
        <v/>
      </c>
      <c r="AJ958" s="25" t="str">
        <f>IF(SUMIFS('Supp Consol'!AA:AA,'Supp Consol'!Z:Z,"Expired Previous Months",'Supp Consol'!A:A,O958)=0,"",SUMIFS('Supp Consol'!AA:AA,'Supp Consol'!Z:Z,"Expired Previous Months",'Supp Consol'!A:A,O958))</f>
        <v/>
      </c>
      <c r="AK958" s="25" t="str">
        <f>IFERROR(INDEX('Hun Release Current'!B:B,MATCH(O958,'Hun Release Current'!A:A,0)),"")</f>
        <v/>
      </c>
      <c r="AL958" s="25" t="str">
        <f>IF(SUMIF('Prev Aub'!A:A,O958,'Prev Aub'!B:B)=0,"",SUMIF('Prev Aub'!A:A,O958,'Prev Aub'!B:B))</f>
        <v/>
      </c>
      <c r="AN958" s="25" t="s">
        <v>3790</v>
      </c>
      <c r="AO958" s="25" t="s">
        <v>3790</v>
      </c>
      <c r="AP958" s="25">
        <f t="shared" si="398"/>
        <v>0</v>
      </c>
      <c r="AQ958" s="151" t="str">
        <f>IF(SUMIFS('Supp Consol'!S:S,'Supp Consol'!A:A,O958,'Supp Consol'!I:I,"PENDING")=0,"",SUMIFS('Supp Consol'!S:S,'Supp Consol'!A:A,O958,'Supp Consol'!I:I,"PENDING"))</f>
        <v/>
      </c>
      <c r="AR958" s="27" t="str">
        <f t="shared" si="399"/>
        <v>S3070</v>
      </c>
      <c r="AS958" s="27" t="str">
        <f t="shared" si="400"/>
        <v>62</v>
      </c>
      <c r="AT958" s="27" t="str">
        <f t="shared" si="401"/>
        <v/>
      </c>
      <c r="AU958" s="27" t="str">
        <f t="shared" si="402"/>
        <v/>
      </c>
      <c r="AV958" s="27" t="str">
        <f t="shared" si="403"/>
        <v/>
      </c>
      <c r="AW958" s="27" t="str">
        <f t="shared" si="404"/>
        <v/>
      </c>
      <c r="AX958" s="27" t="str">
        <f t="shared" si="405"/>
        <v>S3070</v>
      </c>
      <c r="AY958" s="27" t="str">
        <f t="shared" si="406"/>
        <v>S3070</v>
      </c>
      <c r="AZ958" s="27" t="str">
        <f t="shared" si="407"/>
        <v>Supp</v>
      </c>
      <c r="BA958" s="27" t="str">
        <f t="shared" si="408"/>
        <v>Hun</v>
      </c>
      <c r="BB958" s="27" t="str">
        <f t="shared" si="409"/>
        <v>Gross</v>
      </c>
      <c r="BC958" s="27" t="str">
        <f t="shared" si="410"/>
        <v/>
      </c>
      <c r="BD958" s="27" t="str">
        <f t="shared" si="411"/>
        <v/>
      </c>
      <c r="BE958" s="27" t="str">
        <f t="shared" si="412"/>
        <v/>
      </c>
      <c r="BF958" s="27" t="str">
        <f t="shared" si="413"/>
        <v/>
      </c>
      <c r="BG958" s="27" t="str">
        <f t="shared" si="414"/>
        <v/>
      </c>
      <c r="BH958" s="27" t="str">
        <f t="shared" si="415"/>
        <v/>
      </c>
      <c r="BI958" s="27" t="str">
        <f t="shared" si="416"/>
        <v/>
      </c>
      <c r="BJ958" s="27" t="str">
        <f t="shared" si="417"/>
        <v>Supp or Hun</v>
      </c>
      <c r="BK958" s="27" t="str">
        <f t="shared" si="418"/>
        <v/>
      </c>
      <c r="BL958" s="27" t="str">
        <f t="shared" si="419"/>
        <v/>
      </c>
      <c r="BM958" s="21" t="s">
        <v>5581</v>
      </c>
    </row>
    <row r="959" spans="1:65" ht="15">
      <c r="A959" s="25" t="str">
        <f>IFERROR(INDEX('Hun Demand'!W:W,MATCH(O959,'Hun Demand'!A:A,0)),"")</f>
        <v/>
      </c>
      <c r="B959" s="25" t="str">
        <f>IFERROR(INDEX('Hun Demand'!V:V,MATCH(O959,'Hun Demand'!A:A,0)),"")</f>
        <v/>
      </c>
      <c r="C959" s="25" t="str">
        <f>IFERROR(INDEX('Hun Demand'!U:U,MATCH(O959,'Hun Demand'!A:A,0)),"")</f>
        <v/>
      </c>
      <c r="D959" s="25" t="str">
        <f>IFERROR(INDEX('Hun Demand'!T:T,MATCH(O959,'Hun Demand'!A:A,0)),"")</f>
        <v/>
      </c>
      <c r="E959" s="25" t="str">
        <f>IFERROR(INDEX('Hun Demand'!S:S,MATCH(O959,'Hun Demand'!A:A,0)),"")</f>
        <v/>
      </c>
      <c r="F959" s="25" t="str">
        <f>IFERROR(INDEX('Hun Demand'!R:R,MATCH(O959,'Hun Demand'!A:A,0)),"")</f>
        <v/>
      </c>
      <c r="G959" s="25">
        <f>IFERROR(INDEX('Aub Demand'!W:W,MATCH(O959,'Aub Demand'!A:A,0)),"")</f>
        <v>0</v>
      </c>
      <c r="H959" s="25">
        <f>IFERROR(INDEX('Aub Demand'!V:V,MATCH(O959,'Aub Demand'!A:A,0)),"")</f>
        <v>11</v>
      </c>
      <c r="I959" s="25">
        <f>IFERROR(INDEX('Aub Demand'!U:U,MATCH(O959,'Aub Demand'!A:A,0)),"")</f>
        <v>45</v>
      </c>
      <c r="J959" s="25">
        <f>IFERROR(INDEX('Aub Demand'!T:T,MATCH(O959,'Aub Demand'!A:A,0)),"")</f>
        <v>74</v>
      </c>
      <c r="K959" s="25">
        <f>IFERROR(INDEX('Aub Demand'!S:S,MATCH(O959,'Aub Demand'!A:A,0)),"")</f>
        <v>0</v>
      </c>
      <c r="L959" s="25">
        <f>IFERROR(INDEX('Aub Demand'!R:R,MATCH(O959,'Aub Demand'!A:A,0)),"")</f>
        <v>0</v>
      </c>
      <c r="O959" s="27" t="s">
        <v>2531</v>
      </c>
      <c r="P959" s="27" t="str">
        <f>IFERROR(INDEX('Aub Demand'!B:B,MATCH($O959,'Aub Demand'!$A:$A,0)),"")</f>
        <v>HONEY PLANTAIN 48"</v>
      </c>
      <c r="Q959" s="27" t="str">
        <f>IFERROR(INDEX('Aub Demand'!C:C,MATCH($O959,'Aub Demand'!$A:$A,0)),"")</f>
        <v>AHLST</v>
      </c>
      <c r="R959" s="52">
        <f>IFERROR(IF(AR960=AR959,INDEX('Aub Demand'!K:K,MATCH($O959,'Aub Demand'!$A:$A,0))-IF(AN959="",0,AN959)+AP960,INDEX('Aub Demand'!K:K,MATCH($O959,'Aub Demand'!$A:$A,0))-IF(AN959="",0,AN959)),"")</f>
        <v>494</v>
      </c>
      <c r="S959" s="53">
        <f t="shared" si="392"/>
        <v>52.9</v>
      </c>
      <c r="T959" s="52" t="str">
        <f t="shared" si="393"/>
        <v/>
      </c>
      <c r="U959" s="52">
        <f>IFERROR(IF(AR960=AR959,INDEX('Aub Demand'!Q:Q,MATCH($O959,'Aub Demand'!$A:$A,0))-IF(AN959="",0,AN959)+AP960,INDEX('Aub Demand'!Q:Q,MATCH($O959,'Aub Demand'!$A:$A,0))-IF(AN959="",0,AN959)),"")</f>
        <v>494</v>
      </c>
      <c r="V959" s="53">
        <f t="shared" si="394"/>
        <v>52.9</v>
      </c>
      <c r="W959" s="52" t="str">
        <f t="shared" si="395"/>
        <v/>
      </c>
      <c r="X959" s="52">
        <f>IFERROR(IF(AND(AR960=AR959,AM959&lt;&gt;""),INDEX('Aub Demand'!Q:Q,MATCH($O959,'Aub Demand'!$A:$A,0))-IF(AN959="",0,AN959)+AP960+AD959+AL959,IF(AR960=AR959,INDEX('Aub Demand'!Q:Q,MATCH($O959,'Aub Demand'!$A:$A,0))-IF(AN959="",0,AN959)+AP960+AD959,IF(AM959&lt;&gt;"",INDEX('Aub Demand'!Q:Q,MATCH($O959,'Aub Demand'!$A:$A,0))-IF(AN959="",0,AN959)+AD959+AL959,INDEX('Aub Demand'!Q:Q,MATCH($O959,'Aub Demand'!$A:$A,0))-IF(AN959="",0,AN959)+AD959))),"")</f>
        <v>494</v>
      </c>
      <c r="Y959" s="53">
        <f t="shared" si="396"/>
        <v>52.9</v>
      </c>
      <c r="Z959" s="52">
        <f>IF(L959="","",INDEX('Aub Demand'!H:H,MATCH($O959,'Aub Demand'!$A:$A,0)))</f>
        <v>40</v>
      </c>
      <c r="AA959" s="52">
        <f t="shared" si="397"/>
        <v>59.5</v>
      </c>
      <c r="AB959" s="52">
        <f>IFERROR(INDEX('Aub Demand'!L:L,MATCH($O959,'Aub Demand'!$A:$A,0)),"")</f>
        <v>33</v>
      </c>
      <c r="AC959" s="52">
        <f>IFERROR(IF(O959="","",SUMIFS('CPL Mats'!F:F,'CPL Mats'!Q:Q,AR959,'CPL Mats'!S:S,AS959)),"")</f>
        <v>0</v>
      </c>
      <c r="AF959" s="25">
        <f>IF(SUMIFS('Supp Consol'!S:S,'Supp Consol'!Y:Y,"Releasable",'Supp Consol'!A:A,O959)=0,"",SUMIFS('Supp Consol'!S:S,'Supp Consol'!Y:Y,"Releasable",'Supp Consol'!A:A,O959))</f>
        <v>994</v>
      </c>
      <c r="AG959" s="25" t="str">
        <f>IFERROR(INDEX('Hun Demand'!Q:Q,MATCH(O959,'Hun Demand'!A:A,0)),"")</f>
        <v/>
      </c>
      <c r="AH959" s="25" t="str">
        <f>IFERROR(INDEX('Hun Demand'!H:H,MATCH($O959,'Hun Demand'!$A:$A,0)),"")</f>
        <v/>
      </c>
      <c r="AI959" s="25" t="str">
        <f>IF(SUMIFS('Supp Consol'!AA:AA,'Supp Consol'!Z:Z,"Expires this month",'Supp Consol'!A:A,O959)=0,"",SUMIFS('Supp Consol'!AA:AA,'Supp Consol'!Z:Z,"Expires this month",'Supp Consol'!A:A,O959))</f>
        <v/>
      </c>
      <c r="AJ959" s="25" t="str">
        <f>IF(SUMIFS('Supp Consol'!AA:AA,'Supp Consol'!Z:Z,"Expired Previous Months",'Supp Consol'!A:A,O959)=0,"",SUMIFS('Supp Consol'!AA:AA,'Supp Consol'!Z:Z,"Expired Previous Months",'Supp Consol'!A:A,O959))</f>
        <v/>
      </c>
      <c r="AK959" s="25" t="str">
        <f>IFERROR(INDEX('Hun Release Current'!B:B,MATCH(O959,'Hun Release Current'!A:A,0)),"")</f>
        <v/>
      </c>
      <c r="AL959" s="25" t="str">
        <f>IF(SUMIF('Prev Aub'!A:A,O959,'Prev Aub'!B:B)=0,"",SUMIF('Prev Aub'!A:A,O959,'Prev Aub'!B:B))</f>
        <v/>
      </c>
      <c r="AN959" s="25" t="s">
        <v>3790</v>
      </c>
      <c r="AO959" s="25" t="s">
        <v>3790</v>
      </c>
      <c r="AP959" s="25">
        <f t="shared" si="398"/>
        <v>0</v>
      </c>
      <c r="AQ959" s="151" t="str">
        <f>IF(SUMIFS('Supp Consol'!S:S,'Supp Consol'!A:A,O959,'Supp Consol'!I:I,"PENDING")=0,"",SUMIFS('Supp Consol'!S:S,'Supp Consol'!A:A,O959,'Supp Consol'!I:I,"PENDING"))</f>
        <v/>
      </c>
      <c r="AR959" s="27" t="str">
        <f t="shared" si="399"/>
        <v>S4025</v>
      </c>
      <c r="AS959" s="27" t="str">
        <f t="shared" si="400"/>
        <v>50</v>
      </c>
      <c r="AT959" s="27" t="str">
        <f t="shared" si="401"/>
        <v/>
      </c>
      <c r="AU959" s="27" t="str">
        <f t="shared" si="402"/>
        <v/>
      </c>
      <c r="AV959" s="27" t="str">
        <f t="shared" si="403"/>
        <v/>
      </c>
      <c r="AW959" s="27" t="str">
        <f t="shared" si="404"/>
        <v/>
      </c>
      <c r="AX959" s="27" t="str">
        <f t="shared" si="405"/>
        <v>S4025</v>
      </c>
      <c r="AY959" s="27" t="str">
        <f t="shared" si="406"/>
        <v/>
      </c>
      <c r="AZ959" s="27" t="str">
        <f t="shared" si="407"/>
        <v>Supp</v>
      </c>
      <c r="BA959" s="27" t="str">
        <f t="shared" si="408"/>
        <v/>
      </c>
      <c r="BB959" s="27" t="str">
        <f t="shared" si="409"/>
        <v/>
      </c>
      <c r="BC959" s="27" t="str">
        <f t="shared" si="410"/>
        <v/>
      </c>
      <c r="BD959" s="27" t="str">
        <f t="shared" si="411"/>
        <v/>
      </c>
      <c r="BE959" s="27" t="str">
        <f t="shared" si="412"/>
        <v/>
      </c>
      <c r="BF959" s="27" t="str">
        <f t="shared" si="413"/>
        <v/>
      </c>
      <c r="BG959" s="27" t="str">
        <f t="shared" si="414"/>
        <v/>
      </c>
      <c r="BH959" s="27" t="str">
        <f t="shared" si="415"/>
        <v/>
      </c>
      <c r="BI959" s="27" t="str">
        <f t="shared" si="416"/>
        <v/>
      </c>
      <c r="BJ959" s="27" t="str">
        <f t="shared" si="417"/>
        <v>Supp or Hun</v>
      </c>
      <c r="BK959" s="27" t="str">
        <f t="shared" si="418"/>
        <v/>
      </c>
      <c r="BL959" s="27" t="str">
        <f t="shared" si="419"/>
        <v/>
      </c>
      <c r="BM959" s="21" t="s">
        <v>5581</v>
      </c>
    </row>
    <row r="960" spans="1:65" ht="15">
      <c r="A960" s="25" t="str">
        <f>IFERROR(INDEX('Hun Demand'!W:W,MATCH(O960,'Hun Demand'!A:A,0)),"")</f>
        <v/>
      </c>
      <c r="B960" s="25" t="str">
        <f>IFERROR(INDEX('Hun Demand'!V:V,MATCH(O960,'Hun Demand'!A:A,0)),"")</f>
        <v/>
      </c>
      <c r="C960" s="25" t="str">
        <f>IFERROR(INDEX('Hun Demand'!U:U,MATCH(O960,'Hun Demand'!A:A,0)),"")</f>
        <v/>
      </c>
      <c r="D960" s="25" t="str">
        <f>IFERROR(INDEX('Hun Demand'!T:T,MATCH(O960,'Hun Demand'!A:A,0)),"")</f>
        <v/>
      </c>
      <c r="E960" s="25" t="str">
        <f>IFERROR(INDEX('Hun Demand'!S:S,MATCH(O960,'Hun Demand'!A:A,0)),"")</f>
        <v/>
      </c>
      <c r="F960" s="25" t="str">
        <f>IFERROR(INDEX('Hun Demand'!R:R,MATCH(O960,'Hun Demand'!A:A,0)),"")</f>
        <v/>
      </c>
      <c r="G960" s="25">
        <f>IFERROR(INDEX('Aub Demand'!W:W,MATCH(O960,'Aub Demand'!A:A,0)),"")</f>
        <v>0</v>
      </c>
      <c r="H960" s="25">
        <f>IFERROR(INDEX('Aub Demand'!V:V,MATCH(O960,'Aub Demand'!A:A,0)),"")</f>
        <v>0</v>
      </c>
      <c r="I960" s="25">
        <f>IFERROR(INDEX('Aub Demand'!U:U,MATCH(O960,'Aub Demand'!A:A,0)),"")</f>
        <v>51</v>
      </c>
      <c r="J960" s="25">
        <f>IFERROR(INDEX('Aub Demand'!T:T,MATCH(O960,'Aub Demand'!A:A,0)),"")</f>
        <v>0</v>
      </c>
      <c r="K960" s="25">
        <f>IFERROR(INDEX('Aub Demand'!S:S,MATCH(O960,'Aub Demand'!A:A,0)),"")</f>
        <v>31</v>
      </c>
      <c r="L960" s="25">
        <f>IFERROR(INDEX('Aub Demand'!R:R,MATCH(O960,'Aub Demand'!A:A,0)),"")</f>
        <v>0</v>
      </c>
      <c r="O960" s="27" t="s">
        <v>2533</v>
      </c>
      <c r="P960" s="27" t="str">
        <f>IFERROR(INDEX('Aub Demand'!B:B,MATCH($O960,'Aub Demand'!$A:$A,0)),"")</f>
        <v>HONEY PLANTAIN 60"</v>
      </c>
      <c r="Q960" s="27" t="str">
        <f>IFERROR(INDEX('Aub Demand'!C:C,MATCH($O960,'Aub Demand'!$A:$A,0)),"")</f>
        <v>AHLST</v>
      </c>
      <c r="R960" s="52">
        <f>IFERROR(IF(AR961=AR960,INDEX('Aub Demand'!K:K,MATCH($O960,'Aub Demand'!$A:$A,0))-IF(AN960="",0,AN960)+AP961,INDEX('Aub Demand'!K:K,MATCH($O960,'Aub Demand'!$A:$A,0))-IF(AN960="",0,AN960)),"")</f>
        <v>260</v>
      </c>
      <c r="S960" s="53">
        <f t="shared" si="392"/>
        <v>41.3</v>
      </c>
      <c r="T960" s="52" t="str">
        <f t="shared" si="393"/>
        <v/>
      </c>
      <c r="U960" s="52">
        <f>IFERROR(IF(AR961=AR960,INDEX('Aub Demand'!Q:Q,MATCH($O960,'Aub Demand'!$A:$A,0))-IF(AN960="",0,AN960)+AP961,INDEX('Aub Demand'!Q:Q,MATCH($O960,'Aub Demand'!$A:$A,0))-IF(AN960="",0,AN960)),"")</f>
        <v>234</v>
      </c>
      <c r="V960" s="53">
        <f t="shared" si="394"/>
        <v>37.1</v>
      </c>
      <c r="W960" s="52" t="str">
        <f t="shared" si="395"/>
        <v/>
      </c>
      <c r="X960" s="52">
        <f>IFERROR(IF(AND(AR961=AR960,AM960&lt;&gt;""),INDEX('Aub Demand'!Q:Q,MATCH($O960,'Aub Demand'!$A:$A,0))-IF(AN960="",0,AN960)+AP961+AD960+AL960,IF(AR961=AR960,INDEX('Aub Demand'!Q:Q,MATCH($O960,'Aub Demand'!$A:$A,0))-IF(AN960="",0,AN960)+AP961+AD960,IF(AM960&lt;&gt;"",INDEX('Aub Demand'!Q:Q,MATCH($O960,'Aub Demand'!$A:$A,0))-IF(AN960="",0,AN960)+AD960+AL960,INDEX('Aub Demand'!Q:Q,MATCH($O960,'Aub Demand'!$A:$A,0))-IF(AN960="",0,AN960)+AD960))),"")</f>
        <v>234</v>
      </c>
      <c r="Y960" s="53">
        <f t="shared" si="396"/>
        <v>37.1</v>
      </c>
      <c r="Z960" s="52">
        <f>IF(L960="","",INDEX('Aub Demand'!H:H,MATCH($O960,'Aub Demand'!$A:$A,0)))</f>
        <v>27</v>
      </c>
      <c r="AA960" s="52">
        <f t="shared" si="397"/>
        <v>41</v>
      </c>
      <c r="AB960" s="52">
        <f>IFERROR(INDEX('Aub Demand'!L:L,MATCH($O960,'Aub Demand'!$A:$A,0)),"")</f>
        <v>25</v>
      </c>
      <c r="AC960" s="52">
        <f>IFERROR(IF(O960="","",SUMIFS('CPL Mats'!F:F,'CPL Mats'!Q:Q,AR960,'CPL Mats'!S:S,AS960)),"")</f>
        <v>0</v>
      </c>
      <c r="AF960" s="25">
        <f>IF(SUMIFS('Supp Consol'!S:S,'Supp Consol'!Y:Y,"Releasable",'Supp Consol'!A:A,O960)=0,"",SUMIFS('Supp Consol'!S:S,'Supp Consol'!Y:Y,"Releasable",'Supp Consol'!A:A,O960))</f>
        <v>2538</v>
      </c>
      <c r="AG960" s="25" t="str">
        <f>IFERROR(INDEX('Hun Demand'!Q:Q,MATCH(O960,'Hun Demand'!A:A,0)),"")</f>
        <v/>
      </c>
      <c r="AH960" s="25" t="str">
        <f>IFERROR(INDEX('Hun Demand'!H:H,MATCH($O960,'Hun Demand'!$A:$A,0)),"")</f>
        <v/>
      </c>
      <c r="AI960" s="25" t="str">
        <f>IF(SUMIFS('Supp Consol'!AA:AA,'Supp Consol'!Z:Z,"Expires this month",'Supp Consol'!A:A,O960)=0,"",SUMIFS('Supp Consol'!AA:AA,'Supp Consol'!Z:Z,"Expires this month",'Supp Consol'!A:A,O960))</f>
        <v/>
      </c>
      <c r="AJ960" s="25" t="str">
        <f>IF(SUMIFS('Supp Consol'!AA:AA,'Supp Consol'!Z:Z,"Expired Previous Months",'Supp Consol'!A:A,O960)=0,"",SUMIFS('Supp Consol'!AA:AA,'Supp Consol'!Z:Z,"Expired Previous Months",'Supp Consol'!A:A,O960))</f>
        <v/>
      </c>
      <c r="AK960" s="25" t="str">
        <f>IFERROR(INDEX('Hun Release Current'!B:B,MATCH(O960,'Hun Release Current'!A:A,0)),"")</f>
        <v/>
      </c>
      <c r="AL960" s="25" t="str">
        <f>IF(SUMIF('Prev Aub'!A:A,O960,'Prev Aub'!B:B)=0,"",SUMIF('Prev Aub'!A:A,O960,'Prev Aub'!B:B))</f>
        <v/>
      </c>
      <c r="AN960" s="25" t="s">
        <v>3790</v>
      </c>
      <c r="AO960" s="25" t="s">
        <v>3790</v>
      </c>
      <c r="AP960" s="25">
        <f t="shared" si="398"/>
        <v>0</v>
      </c>
      <c r="AQ960" s="151" t="str">
        <f>IF(SUMIFS('Supp Consol'!S:S,'Supp Consol'!A:A,O960,'Supp Consol'!I:I,"PENDING")=0,"",SUMIFS('Supp Consol'!S:S,'Supp Consol'!A:A,O960,'Supp Consol'!I:I,"PENDING"))</f>
        <v/>
      </c>
      <c r="AR960" s="27" t="str">
        <f t="shared" si="399"/>
        <v>S4025</v>
      </c>
      <c r="AS960" s="27" t="str">
        <f t="shared" si="400"/>
        <v>62</v>
      </c>
      <c r="AT960" s="27" t="str">
        <f t="shared" si="401"/>
        <v/>
      </c>
      <c r="AU960" s="27" t="str">
        <f t="shared" si="402"/>
        <v/>
      </c>
      <c r="AV960" s="27" t="str">
        <f t="shared" si="403"/>
        <v/>
      </c>
      <c r="AW960" s="27" t="str">
        <f t="shared" si="404"/>
        <v/>
      </c>
      <c r="AX960" s="27" t="str">
        <f t="shared" si="405"/>
        <v>S4025</v>
      </c>
      <c r="AY960" s="27" t="str">
        <f t="shared" si="406"/>
        <v/>
      </c>
      <c r="AZ960" s="27" t="str">
        <f t="shared" si="407"/>
        <v>Supp</v>
      </c>
      <c r="BA960" s="27" t="str">
        <f t="shared" si="408"/>
        <v/>
      </c>
      <c r="BB960" s="27" t="str">
        <f t="shared" si="409"/>
        <v/>
      </c>
      <c r="BC960" s="27" t="str">
        <f t="shared" si="410"/>
        <v/>
      </c>
      <c r="BD960" s="27" t="str">
        <f t="shared" si="411"/>
        <v/>
      </c>
      <c r="BE960" s="27" t="str">
        <f t="shared" si="412"/>
        <v/>
      </c>
      <c r="BF960" s="27" t="str">
        <f t="shared" si="413"/>
        <v/>
      </c>
      <c r="BG960" s="27" t="str">
        <f t="shared" si="414"/>
        <v/>
      </c>
      <c r="BH960" s="27" t="str">
        <f t="shared" si="415"/>
        <v/>
      </c>
      <c r="BI960" s="27" t="str">
        <f t="shared" si="416"/>
        <v/>
      </c>
      <c r="BJ960" s="27" t="str">
        <f t="shared" si="417"/>
        <v>Supp or Hun</v>
      </c>
      <c r="BK960" s="27" t="str">
        <f t="shared" si="418"/>
        <v/>
      </c>
      <c r="BL960" s="27" t="str">
        <f t="shared" si="419"/>
        <v/>
      </c>
      <c r="BM960" s="21" t="s">
        <v>5581</v>
      </c>
    </row>
    <row r="961" spans="1:65" ht="15">
      <c r="A961" s="25" t="str">
        <f>IFERROR(INDEX('Hun Demand'!W:W,MATCH(O961,'Hun Demand'!A:A,0)),"")</f>
        <v/>
      </c>
      <c r="B961" s="25" t="str">
        <f>IFERROR(INDEX('Hun Demand'!V:V,MATCH(O961,'Hun Demand'!A:A,0)),"")</f>
        <v/>
      </c>
      <c r="C961" s="25" t="str">
        <f>IFERROR(INDEX('Hun Demand'!U:U,MATCH(O961,'Hun Demand'!A:A,0)),"")</f>
        <v/>
      </c>
      <c r="D961" s="25" t="str">
        <f>IFERROR(INDEX('Hun Demand'!T:T,MATCH(O961,'Hun Demand'!A:A,0)),"")</f>
        <v/>
      </c>
      <c r="E961" s="25" t="str">
        <f>IFERROR(INDEX('Hun Demand'!S:S,MATCH(O961,'Hun Demand'!A:A,0)),"")</f>
        <v/>
      </c>
      <c r="F961" s="25" t="str">
        <f>IFERROR(INDEX('Hun Demand'!R:R,MATCH(O961,'Hun Demand'!A:A,0)),"")</f>
        <v/>
      </c>
      <c r="G961" s="25">
        <f>IFERROR(INDEX('Aub Demand'!W:W,MATCH(O961,'Aub Demand'!A:A,0)),"")</f>
        <v>0</v>
      </c>
      <c r="H961" s="25">
        <f>IFERROR(INDEX('Aub Demand'!V:V,MATCH(O961,'Aub Demand'!A:A,0)),"")</f>
        <v>0</v>
      </c>
      <c r="I961" s="25">
        <f>IFERROR(INDEX('Aub Demand'!U:U,MATCH(O961,'Aub Demand'!A:A,0)),"")</f>
        <v>111</v>
      </c>
      <c r="J961" s="25">
        <f>IFERROR(INDEX('Aub Demand'!T:T,MATCH(O961,'Aub Demand'!A:A,0)),"")</f>
        <v>0</v>
      </c>
      <c r="K961" s="25">
        <f>IFERROR(INDEX('Aub Demand'!S:S,MATCH(O961,'Aub Demand'!A:A,0)),"")</f>
        <v>61</v>
      </c>
      <c r="L961" s="25">
        <f>IFERROR(INDEX('Aub Demand'!R:R,MATCH(O961,'Aub Demand'!A:A,0)),"")</f>
        <v>0</v>
      </c>
      <c r="O961" s="27" t="s">
        <v>2535</v>
      </c>
      <c r="P961" s="27" t="str">
        <f>IFERROR(INDEX('Aub Demand'!B:B,MATCH($O961,'Aub Demand'!$A:$A,0)),"")</f>
        <v>KOOL KIWI 48"</v>
      </c>
      <c r="Q961" s="27" t="str">
        <f>IFERROR(INDEX('Aub Demand'!C:C,MATCH($O961,'Aub Demand'!$A:$A,0)),"")</f>
        <v>AHLST</v>
      </c>
      <c r="R961" s="52">
        <f>IFERROR(IF(AR962=AR961,INDEX('Aub Demand'!K:K,MATCH($O961,'Aub Demand'!$A:$A,0))-IF(AN961="",0,AN961)+AP962,INDEX('Aub Demand'!K:K,MATCH($O961,'Aub Demand'!$A:$A,0))-IF(AN961="",0,AN961)),"")</f>
        <v>0</v>
      </c>
      <c r="S961" s="53">
        <f t="shared" si="392"/>
        <v>0</v>
      </c>
      <c r="T961" s="52">
        <f t="shared" si="393"/>
        <v>64.5</v>
      </c>
      <c r="U961" s="52">
        <f>IFERROR(IF(AR962=AR961,INDEX('Aub Demand'!Q:Q,MATCH($O961,'Aub Demand'!$A:$A,0))-IF(AN961="",0,AN961)+AP962,INDEX('Aub Demand'!Q:Q,MATCH($O961,'Aub Demand'!$A:$A,0))-IF(AN961="",0,AN961)),"")</f>
        <v>-36</v>
      </c>
      <c r="V961" s="53">
        <f t="shared" si="394"/>
        <v>-2.7</v>
      </c>
      <c r="W961" s="52">
        <f t="shared" si="395"/>
        <v>122.55</v>
      </c>
      <c r="X961" s="52">
        <f>IFERROR(IF(AND(AR962=AR961,AM961&lt;&gt;""),INDEX('Aub Demand'!Q:Q,MATCH($O961,'Aub Demand'!$A:$A,0))-IF(AN961="",0,AN961)+AP962+AD961+AL961,IF(AR962=AR961,INDEX('Aub Demand'!Q:Q,MATCH($O961,'Aub Demand'!$A:$A,0))-IF(AN961="",0,AN961)+AP962+AD961,IF(AM961&lt;&gt;"",INDEX('Aub Demand'!Q:Q,MATCH($O961,'Aub Demand'!$A:$A,0))-IF(AN961="",0,AN961)+AD961+AL961,INDEX('Aub Demand'!Q:Q,MATCH($O961,'Aub Demand'!$A:$A,0))-IF(AN961="",0,AN961)+AD961))),"")</f>
        <v>-36</v>
      </c>
      <c r="Y961" s="53">
        <f t="shared" si="396"/>
        <v>-2.7</v>
      </c>
      <c r="Z961" s="52">
        <f>IF(L961="","",INDEX('Aub Demand'!H:H,MATCH($O961,'Aub Demand'!$A:$A,0)))</f>
        <v>57</v>
      </c>
      <c r="AA961" s="52">
        <f t="shared" si="397"/>
        <v>86</v>
      </c>
      <c r="AB961" s="52">
        <f>IFERROR(INDEX('Aub Demand'!L:L,MATCH($O961,'Aub Demand'!$A:$A,0)),"")</f>
        <v>78</v>
      </c>
      <c r="AC961" s="52">
        <f>IFERROR(IF(O961="","",SUMIFS('CPL Mats'!F:F,'CPL Mats'!Q:Q,AR961,'CPL Mats'!S:S,AS961)),"")</f>
        <v>0</v>
      </c>
      <c r="AF961" s="25" t="str">
        <f>IF(SUMIFS('Supp Consol'!S:S,'Supp Consol'!Y:Y,"Releasable",'Supp Consol'!A:A,O961)=0,"",SUMIFS('Supp Consol'!S:S,'Supp Consol'!Y:Y,"Releasable",'Supp Consol'!A:A,O961))</f>
        <v/>
      </c>
      <c r="AG961" s="25" t="str">
        <f>IFERROR(INDEX('Hun Demand'!Q:Q,MATCH(O961,'Hun Demand'!A:A,0)),"")</f>
        <v/>
      </c>
      <c r="AH961" s="25" t="str">
        <f>IFERROR(INDEX('Hun Demand'!H:H,MATCH($O961,'Hun Demand'!$A:$A,0)),"")</f>
        <v/>
      </c>
      <c r="AI961" s="25" t="str">
        <f>IF(SUMIFS('Supp Consol'!AA:AA,'Supp Consol'!Z:Z,"Expires this month",'Supp Consol'!A:A,O961)=0,"",SUMIFS('Supp Consol'!AA:AA,'Supp Consol'!Z:Z,"Expires this month",'Supp Consol'!A:A,O961))</f>
        <v/>
      </c>
      <c r="AJ961" s="25" t="str">
        <f>IF(SUMIFS('Supp Consol'!AA:AA,'Supp Consol'!Z:Z,"Expired Previous Months",'Supp Consol'!A:A,O961)=0,"",SUMIFS('Supp Consol'!AA:AA,'Supp Consol'!Z:Z,"Expired Previous Months",'Supp Consol'!A:A,O961))</f>
        <v/>
      </c>
      <c r="AK961" s="25" t="str">
        <f>IFERROR(INDEX('Hun Release Current'!B:B,MATCH(O961,'Hun Release Current'!A:A,0)),"")</f>
        <v/>
      </c>
      <c r="AL961" s="25" t="str">
        <f>IF(SUMIF('Prev Aub'!A:A,O961,'Prev Aub'!B:B)=0,"",SUMIF('Prev Aub'!A:A,O961,'Prev Aub'!B:B))</f>
        <v/>
      </c>
      <c r="AN961" s="25" t="s">
        <v>3790</v>
      </c>
      <c r="AO961" s="25" t="s">
        <v>3790</v>
      </c>
      <c r="AP961" s="25">
        <f t="shared" si="398"/>
        <v>0</v>
      </c>
      <c r="AQ961" s="151" t="str">
        <f>IF(SUMIFS('Supp Consol'!S:S,'Supp Consol'!A:A,O961,'Supp Consol'!I:I,"PENDING")=0,"",SUMIFS('Supp Consol'!S:S,'Supp Consol'!A:A,O961,'Supp Consol'!I:I,"PENDING"))</f>
        <v/>
      </c>
      <c r="AR961" s="27" t="str">
        <f t="shared" si="399"/>
        <v>S5057</v>
      </c>
      <c r="AS961" s="27" t="str">
        <f t="shared" si="400"/>
        <v>50</v>
      </c>
      <c r="AT961" s="27" t="str">
        <f t="shared" si="401"/>
        <v>S5057</v>
      </c>
      <c r="AU961" s="27" t="str">
        <f t="shared" si="402"/>
        <v>S5057</v>
      </c>
      <c r="AV961" s="27" t="str">
        <f t="shared" si="403"/>
        <v>S5057</v>
      </c>
      <c r="AW961" s="27" t="str">
        <f t="shared" si="404"/>
        <v/>
      </c>
      <c r="AX961" s="27" t="str">
        <f t="shared" si="405"/>
        <v/>
      </c>
      <c r="AY961" s="27" t="str">
        <f t="shared" si="406"/>
        <v/>
      </c>
      <c r="AZ961" s="27" t="str">
        <f t="shared" si="407"/>
        <v/>
      </c>
      <c r="BA961" s="27" t="str">
        <f t="shared" si="408"/>
        <v/>
      </c>
      <c r="BB961" s="27" t="str">
        <f t="shared" si="409"/>
        <v>Gross</v>
      </c>
      <c r="BC961" s="27" t="str">
        <f t="shared" si="410"/>
        <v>Net</v>
      </c>
      <c r="BD961" s="27" t="str">
        <f t="shared" si="411"/>
        <v>Net</v>
      </c>
      <c r="BE961" s="27" t="str">
        <f t="shared" si="412"/>
        <v/>
      </c>
      <c r="BF961" s="27" t="str">
        <f t="shared" si="413"/>
        <v/>
      </c>
      <c r="BG961" s="27" t="str">
        <f t="shared" si="414"/>
        <v/>
      </c>
      <c r="BH961" s="27" t="str">
        <f t="shared" si="415"/>
        <v/>
      </c>
      <c r="BI961" s="27" t="str">
        <f t="shared" si="416"/>
        <v/>
      </c>
      <c r="BJ961" s="27" t="str">
        <f t="shared" si="417"/>
        <v/>
      </c>
      <c r="BK961" s="27" t="str">
        <f t="shared" si="418"/>
        <v/>
      </c>
      <c r="BL961" s="27" t="str">
        <f t="shared" si="419"/>
        <v/>
      </c>
      <c r="BM961" s="21" t="s">
        <v>5581</v>
      </c>
    </row>
    <row r="962" spans="1:65" ht="15">
      <c r="A962" s="25" t="str">
        <f>IFERROR(INDEX('Hun Demand'!W:W,MATCH(O962,'Hun Demand'!A:A,0)),"")</f>
        <v/>
      </c>
      <c r="B962" s="25" t="str">
        <f>IFERROR(INDEX('Hun Demand'!V:V,MATCH(O962,'Hun Demand'!A:A,0)),"")</f>
        <v/>
      </c>
      <c r="C962" s="25" t="str">
        <f>IFERROR(INDEX('Hun Demand'!U:U,MATCH(O962,'Hun Demand'!A:A,0)),"")</f>
        <v/>
      </c>
      <c r="D962" s="25" t="str">
        <f>IFERROR(INDEX('Hun Demand'!T:T,MATCH(O962,'Hun Demand'!A:A,0)),"")</f>
        <v/>
      </c>
      <c r="E962" s="25" t="str">
        <f>IFERROR(INDEX('Hun Demand'!S:S,MATCH(O962,'Hun Demand'!A:A,0)),"")</f>
        <v/>
      </c>
      <c r="F962" s="25" t="str">
        <f>IFERROR(INDEX('Hun Demand'!R:R,MATCH(O962,'Hun Demand'!A:A,0)),"")</f>
        <v/>
      </c>
      <c r="G962" s="25">
        <f>IFERROR(INDEX('Aub Demand'!W:W,MATCH(O962,'Aub Demand'!A:A,0)),"")</f>
        <v>0</v>
      </c>
      <c r="H962" s="25">
        <f>IFERROR(INDEX('Aub Demand'!V:V,MATCH(O962,'Aub Demand'!A:A,0)),"")</f>
        <v>0</v>
      </c>
      <c r="I962" s="25">
        <f>IFERROR(INDEX('Aub Demand'!U:U,MATCH(O962,'Aub Demand'!A:A,0)),"")</f>
        <v>0</v>
      </c>
      <c r="J962" s="25">
        <f>IFERROR(INDEX('Aub Demand'!T:T,MATCH(O962,'Aub Demand'!A:A,0)),"")</f>
        <v>0</v>
      </c>
      <c r="K962" s="25">
        <f>IFERROR(INDEX('Aub Demand'!S:S,MATCH(O962,'Aub Demand'!A:A,0)),"")</f>
        <v>0</v>
      </c>
      <c r="L962" s="25">
        <f>IFERROR(INDEX('Aub Demand'!R:R,MATCH(O962,'Aub Demand'!A:A,0)),"")</f>
        <v>0</v>
      </c>
      <c r="O962" s="27" t="s">
        <v>2537</v>
      </c>
      <c r="P962" s="27" t="str">
        <f>IFERROR(INDEX('Aub Demand'!B:B,MATCH($O962,'Aub Demand'!$A:$A,0)),"")</f>
        <v>KOOL KIWI 60"</v>
      </c>
      <c r="Q962" s="27" t="str">
        <f>IFERROR(INDEX('Aub Demand'!C:C,MATCH($O962,'Aub Demand'!$A:$A,0)),"")</f>
        <v>AHLST</v>
      </c>
      <c r="R962" s="52">
        <f>IFERROR(IF(AR963=AR962,INDEX('Aub Demand'!K:K,MATCH($O962,'Aub Demand'!$A:$A,0))-IF(AN962="",0,AN962)+AP963,INDEX('Aub Demand'!K:K,MATCH($O962,'Aub Demand'!$A:$A,0))-IF(AN962="",0,AN962)),"")</f>
        <v>2206</v>
      </c>
      <c r="S962" s="53" t="str">
        <f t="shared" si="392"/>
        <v>n/a</v>
      </c>
      <c r="T962" s="52" t="str">
        <f t="shared" si="393"/>
        <v/>
      </c>
      <c r="U962" s="52">
        <f>IFERROR(IF(AR963=AR962,INDEX('Aub Demand'!Q:Q,MATCH($O962,'Aub Demand'!$A:$A,0))-IF(AN962="",0,AN962)+AP963,INDEX('Aub Demand'!Q:Q,MATCH($O962,'Aub Demand'!$A:$A,0))-IF(AN962="",0,AN962)),"")</f>
        <v>2206</v>
      </c>
      <c r="V962" s="53" t="str">
        <f t="shared" si="394"/>
        <v>n/a</v>
      </c>
      <c r="W962" s="52" t="str">
        <f t="shared" si="395"/>
        <v/>
      </c>
      <c r="X962" s="52">
        <f>IFERROR(IF(AND(AR963=AR962,AM962&lt;&gt;""),INDEX('Aub Demand'!Q:Q,MATCH($O962,'Aub Demand'!$A:$A,0))-IF(AN962="",0,AN962)+AP963+AD962+AL962,IF(AR963=AR962,INDEX('Aub Demand'!Q:Q,MATCH($O962,'Aub Demand'!$A:$A,0))-IF(AN962="",0,AN962)+AP963+AD962,IF(AM962&lt;&gt;"",INDEX('Aub Demand'!Q:Q,MATCH($O962,'Aub Demand'!$A:$A,0))-IF(AN962="",0,AN962)+AD962+AL962,INDEX('Aub Demand'!Q:Q,MATCH($O962,'Aub Demand'!$A:$A,0))-IF(AN962="",0,AN962)+AD962))),"")</f>
        <v>2206</v>
      </c>
      <c r="Y962" s="53" t="str">
        <f t="shared" si="396"/>
        <v>n/a</v>
      </c>
      <c r="Z962" s="52">
        <f>IF(L962="","",INDEX('Aub Demand'!H:H,MATCH($O962,'Aub Demand'!$A:$A,0)))</f>
        <v>0</v>
      </c>
      <c r="AA962" s="52" t="str">
        <f t="shared" si="397"/>
        <v>-spike-</v>
      </c>
      <c r="AB962" s="52">
        <f>IFERROR(INDEX('Aub Demand'!L:L,MATCH($O962,'Aub Demand'!$A:$A,0)),"")</f>
        <v>19</v>
      </c>
      <c r="AC962" s="52">
        <f>IFERROR(IF(O962="","",SUMIFS('CPL Mats'!F:F,'CPL Mats'!Q:Q,AR962,'CPL Mats'!S:S,AS962)),"")</f>
        <v>0</v>
      </c>
      <c r="AF962" s="25" t="str">
        <f>IF(SUMIFS('Supp Consol'!S:S,'Supp Consol'!Y:Y,"Releasable",'Supp Consol'!A:A,O962)=0,"",SUMIFS('Supp Consol'!S:S,'Supp Consol'!Y:Y,"Releasable",'Supp Consol'!A:A,O962))</f>
        <v/>
      </c>
      <c r="AG962" s="25" t="str">
        <f>IFERROR(INDEX('Hun Demand'!Q:Q,MATCH(O962,'Hun Demand'!A:A,0)),"")</f>
        <v/>
      </c>
      <c r="AH962" s="25" t="str">
        <f>IFERROR(INDEX('Hun Demand'!H:H,MATCH($O962,'Hun Demand'!$A:$A,0)),"")</f>
        <v/>
      </c>
      <c r="AI962" s="25" t="str">
        <f>IF(SUMIFS('Supp Consol'!AA:AA,'Supp Consol'!Z:Z,"Expires this month",'Supp Consol'!A:A,O962)=0,"",SUMIFS('Supp Consol'!AA:AA,'Supp Consol'!Z:Z,"Expires this month",'Supp Consol'!A:A,O962))</f>
        <v/>
      </c>
      <c r="AJ962" s="25" t="str">
        <f>IF(SUMIFS('Supp Consol'!AA:AA,'Supp Consol'!Z:Z,"Expired Previous Months",'Supp Consol'!A:A,O962)=0,"",SUMIFS('Supp Consol'!AA:AA,'Supp Consol'!Z:Z,"Expired Previous Months",'Supp Consol'!A:A,O962))</f>
        <v/>
      </c>
      <c r="AK962" s="25" t="str">
        <f>IFERROR(INDEX('Hun Release Current'!B:B,MATCH(O962,'Hun Release Current'!A:A,0)),"")</f>
        <v/>
      </c>
      <c r="AL962" s="25" t="str">
        <f>IF(SUMIF('Prev Aub'!A:A,O962,'Prev Aub'!B:B)=0,"",SUMIF('Prev Aub'!A:A,O962,'Prev Aub'!B:B))</f>
        <v/>
      </c>
      <c r="AN962" s="25" t="s">
        <v>3790</v>
      </c>
      <c r="AO962" s="25" t="s">
        <v>3790</v>
      </c>
      <c r="AP962" s="25">
        <f t="shared" si="398"/>
        <v>0</v>
      </c>
      <c r="AQ962" s="151" t="str">
        <f>IF(SUMIFS('Supp Consol'!S:S,'Supp Consol'!A:A,O962,'Supp Consol'!I:I,"PENDING")=0,"",SUMIFS('Supp Consol'!S:S,'Supp Consol'!A:A,O962,'Supp Consol'!I:I,"PENDING"))</f>
        <v/>
      </c>
      <c r="AR962" s="27" t="str">
        <f t="shared" si="399"/>
        <v>S5057</v>
      </c>
      <c r="AS962" s="27" t="str">
        <f t="shared" si="400"/>
        <v>62</v>
      </c>
      <c r="AT962" s="27" t="str">
        <f t="shared" si="401"/>
        <v/>
      </c>
      <c r="AU962" s="27" t="str">
        <f t="shared" si="402"/>
        <v/>
      </c>
      <c r="AV962" s="27" t="str">
        <f t="shared" si="403"/>
        <v/>
      </c>
      <c r="AW962" s="27" t="str">
        <f t="shared" si="404"/>
        <v/>
      </c>
      <c r="AX962" s="27" t="str">
        <f t="shared" si="405"/>
        <v/>
      </c>
      <c r="AY962" s="27" t="str">
        <f t="shared" si="406"/>
        <v/>
      </c>
      <c r="AZ962" s="27" t="str">
        <f t="shared" si="407"/>
        <v/>
      </c>
      <c r="BA962" s="27" t="str">
        <f t="shared" si="408"/>
        <v/>
      </c>
      <c r="BB962" s="27" t="str">
        <f t="shared" si="409"/>
        <v>Gross</v>
      </c>
      <c r="BC962" s="27" t="str">
        <f t="shared" si="410"/>
        <v>Net</v>
      </c>
      <c r="BD962" s="27" t="str">
        <f t="shared" si="411"/>
        <v>Net</v>
      </c>
      <c r="BE962" s="27" t="str">
        <f t="shared" si="412"/>
        <v/>
      </c>
      <c r="BF962" s="27" t="str">
        <f t="shared" si="413"/>
        <v/>
      </c>
      <c r="BG962" s="27" t="str">
        <f t="shared" si="414"/>
        <v/>
      </c>
      <c r="BH962" s="27" t="str">
        <f t="shared" si="415"/>
        <v/>
      </c>
      <c r="BI962" s="27" t="str">
        <f t="shared" si="416"/>
        <v/>
      </c>
      <c r="BJ962" s="27" t="str">
        <f t="shared" si="417"/>
        <v/>
      </c>
      <c r="BK962" s="27" t="str">
        <f t="shared" si="418"/>
        <v/>
      </c>
      <c r="BL962" s="27" t="str">
        <f t="shared" si="419"/>
        <v/>
      </c>
      <c r="BM962" s="21" t="s">
        <v>5581</v>
      </c>
    </row>
    <row r="963" spans="1:65" ht="15">
      <c r="A963" s="25" t="str">
        <f>IFERROR(INDEX('Hun Demand'!W:W,MATCH(O963,'Hun Demand'!A:A,0)),"")</f>
        <v/>
      </c>
      <c r="B963" s="25" t="str">
        <f>IFERROR(INDEX('Hun Demand'!V:V,MATCH(O963,'Hun Demand'!A:A,0)),"")</f>
        <v/>
      </c>
      <c r="C963" s="25" t="str">
        <f>IFERROR(INDEX('Hun Demand'!U:U,MATCH(O963,'Hun Demand'!A:A,0)),"")</f>
        <v/>
      </c>
      <c r="D963" s="25" t="str">
        <f>IFERROR(INDEX('Hun Demand'!T:T,MATCH(O963,'Hun Demand'!A:A,0)),"")</f>
        <v/>
      </c>
      <c r="E963" s="25" t="str">
        <f>IFERROR(INDEX('Hun Demand'!S:S,MATCH(O963,'Hun Demand'!A:A,0)),"")</f>
        <v/>
      </c>
      <c r="F963" s="25" t="str">
        <f>IFERROR(INDEX('Hun Demand'!R:R,MATCH(O963,'Hun Demand'!A:A,0)),"")</f>
        <v/>
      </c>
      <c r="G963" s="25">
        <f>IFERROR(INDEX('Aub Demand'!W:W,MATCH(O963,'Aub Demand'!A:A,0)),"")</f>
        <v>0</v>
      </c>
      <c r="H963" s="25">
        <f>IFERROR(INDEX('Aub Demand'!V:V,MATCH(O963,'Aub Demand'!A:A,0)),"")</f>
        <v>0</v>
      </c>
      <c r="I963" s="25">
        <f>IFERROR(INDEX('Aub Demand'!U:U,MATCH(O963,'Aub Demand'!A:A,0)),"")</f>
        <v>0</v>
      </c>
      <c r="J963" s="25">
        <f>IFERROR(INDEX('Aub Demand'!T:T,MATCH(O963,'Aub Demand'!A:A,0)),"")</f>
        <v>0</v>
      </c>
      <c r="K963" s="25">
        <f>IFERROR(INDEX('Aub Demand'!S:S,MATCH(O963,'Aub Demand'!A:A,0)),"")</f>
        <v>0</v>
      </c>
      <c r="L963" s="25">
        <f>IFERROR(INDEX('Aub Demand'!R:R,MATCH(O963,'Aub Demand'!A:A,0)),"")</f>
        <v>0</v>
      </c>
      <c r="O963" s="27" t="s">
        <v>2539</v>
      </c>
      <c r="P963" s="27" t="str">
        <f>IFERROR(INDEX('Aub Demand'!B:B,MATCH($O963,'Aub Demand'!$A:$A,0)),"")</f>
        <v>COCONUT BARK 48"</v>
      </c>
      <c r="Q963" s="27" t="str">
        <f>IFERROR(INDEX('Aub Demand'!C:C,MATCH($O963,'Aub Demand'!$A:$A,0)),"")</f>
        <v>AHLST</v>
      </c>
      <c r="R963" s="52">
        <f>IFERROR(IF(AR964=AR963,INDEX('Aub Demand'!K:K,MATCH($O963,'Aub Demand'!$A:$A,0))-IF(AN963="",0,AN963)+AP964,INDEX('Aub Demand'!K:K,MATCH($O963,'Aub Demand'!$A:$A,0))-IF(AN963="",0,AN963)),"")</f>
        <v>1180</v>
      </c>
      <c r="S963" s="53" t="str">
        <f t="shared" ref="S963:S1026" si="420">IFERROR(IF(O963="","",ROUND(R963/((Z963/30)*7),1)),"n/a")</f>
        <v>n/a</v>
      </c>
      <c r="T963" s="52" t="str">
        <f t="shared" ref="T963:T1026" si="421">IFERROR(IF(S963&lt;3.1,IF(AA963="spike",(3-S963)*(Z963/4),(3-S963)*(AA963/4)),""),"")</f>
        <v/>
      </c>
      <c r="U963" s="52">
        <f>IFERROR(IF(AR964=AR963,INDEX('Aub Demand'!Q:Q,MATCH($O963,'Aub Demand'!$A:$A,0))-IF(AN963="",0,AN963)+AP964,INDEX('Aub Demand'!Q:Q,MATCH($O963,'Aub Demand'!$A:$A,0))-IF(AN963="",0,AN963)),"")</f>
        <v>1180</v>
      </c>
      <c r="V963" s="53" t="str">
        <f t="shared" ref="V963:V1026" si="422">IFERROR(IF(O963="","",ROUND(U963/((Z963/30)*7),1)),"n/a")</f>
        <v>n/a</v>
      </c>
      <c r="W963" s="52" t="str">
        <f t="shared" ref="W963:W1026" si="423">IF(IFERROR(IF(V963&lt;3.1,IF(AA963="spike",(3-V963)*(Z963/4),(3-V963)*(AA963/4)),""),"")&lt;0,0,IFERROR(IF(V963&lt;3.1,IF(AA963="spike",(3-V963)*(Z963/4),(3-V963)*(AA963/4)),""),""))</f>
        <v/>
      </c>
      <c r="X963" s="52">
        <f>IFERROR(IF(AND(AR964=AR963,AM963&lt;&gt;""),INDEX('Aub Demand'!Q:Q,MATCH($O963,'Aub Demand'!$A:$A,0))-IF(AN963="",0,AN963)+AP964+AD963+AL963,IF(AR964=AR963,INDEX('Aub Demand'!Q:Q,MATCH($O963,'Aub Demand'!$A:$A,0))-IF(AN963="",0,AN963)+AP964+AD963,IF(AM963&lt;&gt;"",INDEX('Aub Demand'!Q:Q,MATCH($O963,'Aub Demand'!$A:$A,0))-IF(AN963="",0,AN963)+AD963+AL963,INDEX('Aub Demand'!Q:Q,MATCH($O963,'Aub Demand'!$A:$A,0))-IF(AN963="",0,AN963)+AD963))),"")</f>
        <v>1180</v>
      </c>
      <c r="Y963" s="53" t="str">
        <f t="shared" ref="Y963:Y1026" si="424">IFERROR(IF(O963="","",ROUND(X963/((Z963/30)*7),1)),"n/a")</f>
        <v>n/a</v>
      </c>
      <c r="Z963" s="52">
        <f>IF(L963="","",INDEX('Aub Demand'!H:H,MATCH($O963,'Aub Demand'!$A:$A,0)))</f>
        <v>0</v>
      </c>
      <c r="AA963" s="52" t="str">
        <f t="shared" ref="AA963:AA1026" si="425">IF(L963="","",IF(LARGE(I963:L963,2)=0,"-spike-",AVERAGE(LARGE(I963:L963,1),LARGE(I963:L963,2))))</f>
        <v>-spike-</v>
      </c>
      <c r="AB963" s="52">
        <f>IFERROR(INDEX('Aub Demand'!L:L,MATCH($O963,'Aub Demand'!$A:$A,0)),"")</f>
        <v>0</v>
      </c>
      <c r="AC963" s="52">
        <f>IFERROR(IF(O963="","",SUMIFS('CPL Mats'!F:F,'CPL Mats'!Q:Q,AR963,'CPL Mats'!S:S,AS963)),"")</f>
        <v>0</v>
      </c>
      <c r="AF963" s="25" t="str">
        <f>IF(SUMIFS('Supp Consol'!S:S,'Supp Consol'!Y:Y,"Releasable",'Supp Consol'!A:A,O963)=0,"",SUMIFS('Supp Consol'!S:S,'Supp Consol'!Y:Y,"Releasable",'Supp Consol'!A:A,O963))</f>
        <v/>
      </c>
      <c r="AG963" s="25" t="str">
        <f>IFERROR(INDEX('Hun Demand'!Q:Q,MATCH(O963,'Hun Demand'!A:A,0)),"")</f>
        <v/>
      </c>
      <c r="AH963" s="25" t="str">
        <f>IFERROR(INDEX('Hun Demand'!H:H,MATCH($O963,'Hun Demand'!$A:$A,0)),"")</f>
        <v/>
      </c>
      <c r="AI963" s="25" t="str">
        <f>IF(SUMIFS('Supp Consol'!AA:AA,'Supp Consol'!Z:Z,"Expires this month",'Supp Consol'!A:A,O963)=0,"",SUMIFS('Supp Consol'!AA:AA,'Supp Consol'!Z:Z,"Expires this month",'Supp Consol'!A:A,O963))</f>
        <v/>
      </c>
      <c r="AJ963" s="25" t="str">
        <f>IF(SUMIFS('Supp Consol'!AA:AA,'Supp Consol'!Z:Z,"Expired Previous Months",'Supp Consol'!A:A,O963)=0,"",SUMIFS('Supp Consol'!AA:AA,'Supp Consol'!Z:Z,"Expired Previous Months",'Supp Consol'!A:A,O963))</f>
        <v/>
      </c>
      <c r="AK963" s="25" t="str">
        <f>IFERROR(INDEX('Hun Release Current'!B:B,MATCH(O963,'Hun Release Current'!A:A,0)),"")</f>
        <v/>
      </c>
      <c r="AL963" s="25" t="str">
        <f>IF(SUMIF('Prev Aub'!A:A,O963,'Prev Aub'!B:B)=0,"",SUMIF('Prev Aub'!A:A,O963,'Prev Aub'!B:B))</f>
        <v/>
      </c>
      <c r="AN963" s="25" t="s">
        <v>3790</v>
      </c>
      <c r="AO963" s="25" t="s">
        <v>3790</v>
      </c>
      <c r="AP963" s="25">
        <f t="shared" ref="AP963:AP1026" si="426">IFERROR(IF(O963="","",IF(AN963="",0,VALUE(AN963)-(VALUE(AN963)*0.2))),"")</f>
        <v>0</v>
      </c>
      <c r="AQ963" s="151" t="str">
        <f>IF(SUMIFS('Supp Consol'!S:S,'Supp Consol'!A:A,O963,'Supp Consol'!I:I,"PENDING")=0,"",SUMIFS('Supp Consol'!S:S,'Supp Consol'!A:A,O963,'Supp Consol'!I:I,"PENDING"))</f>
        <v/>
      </c>
      <c r="AR963" s="27" t="str">
        <f t="shared" ref="AR963:AR1026" si="427">MID(O963,4,5)</f>
        <v>S5058</v>
      </c>
      <c r="AS963" s="27" t="str">
        <f t="shared" ref="AS963:AS1026" si="428">MID(O963,10,2)</f>
        <v>50</v>
      </c>
      <c r="AT963" s="27" t="str">
        <f t="shared" ref="AT963:AT1026" si="429">IF(S963&lt;3.1,AR963,"")</f>
        <v/>
      </c>
      <c r="AU963" s="27" t="str">
        <f t="shared" ref="AU963:AU1026" si="430">IF(Y963&lt;3.1,AR963,"")</f>
        <v/>
      </c>
      <c r="AV963" s="27" t="str">
        <f t="shared" ref="AV963:AV1026" si="431">IF(AND(AA963="Spike",L963=0,K963=0,X963&gt;=0),"",IF(Y963&lt;3.1,AR963,""))</f>
        <v/>
      </c>
      <c r="AW963" s="27" t="str">
        <f t="shared" ref="AW963:AW1026" si="432">IF(AI963=AL963,"",IF(OR(AI963&lt;&gt;"",AJ963&lt;&gt;""),AR963,""))</f>
        <v/>
      </c>
      <c r="AX963" s="27" t="str">
        <f t="shared" ref="AX963:AX1026" si="433">IF(AF963&lt;&gt;"",AR963,"")</f>
        <v/>
      </c>
      <c r="AY963" s="27" t="str">
        <f t="shared" ref="AY963:AY1026" si="434">IF(AND(AG963&lt;&gt;"",AG963&gt;AH963),AR963,"")</f>
        <v/>
      </c>
      <c r="AZ963" s="27" t="str">
        <f t="shared" ref="AZ963:AZ1026" si="435">IFERROR(IF(O963="","",IF(ISERROR(MATCH(AR963,AX:AX,0)),"","Supp")),"")</f>
        <v/>
      </c>
      <c r="BA963" s="27" t="str">
        <f t="shared" ref="BA963:BA1026" si="436">IFERROR(IF(O963="","",IF(ISERROR(MATCH(AR963,AY:AY,0)),"","Hun")),"")</f>
        <v/>
      </c>
      <c r="BB963" s="27" t="str">
        <f t="shared" ref="BB963:BB1026" si="437">IFERROR(IF(O963="","",IF(ISERROR(MATCH(AR963,AT:AT,0)),"","Gross")),"")</f>
        <v/>
      </c>
      <c r="BC963" s="27" t="str">
        <f t="shared" ref="BC963:BC1026" si="438">IFERROR(IF(O963="","",IF(ISERROR(MATCH(AR963,AU:AU,0)),"","Net")),"")</f>
        <v/>
      </c>
      <c r="BD963" s="27" t="str">
        <f t="shared" ref="BD963:BD1026" si="439">IFERROR(IF(O963="","",IF(ISERROR(MATCH(AR963,AV:AV,0)),"","Net")),"")</f>
        <v/>
      </c>
      <c r="BE963" s="27" t="str">
        <f t="shared" ref="BE963:BE1026" si="440">IFERROR(IF(O963="","",IF(ISERROR(MATCH(AR963,AW:AW,0)),"","Exp")),"")</f>
        <v/>
      </c>
      <c r="BF963" s="27" t="str">
        <f t="shared" ref="BF963:BF1026" si="441">IFERROR(IF(O963="","",IF(AND(AZ963="Supp",BC963="Net"),"S+N","")),"")</f>
        <v/>
      </c>
      <c r="BG963" s="27" t="str">
        <f t="shared" ref="BG963:BG1026" si="442">IFERROR(IF(O963="","",IF(OR(BE963&lt;&gt;"",BF963&lt;&gt;""),"S+NorE","")),"")</f>
        <v/>
      </c>
      <c r="BH963" s="27" t="str">
        <f t="shared" ref="BH963:BH1026" si="443">IFERROR(IF(O963="","",IF(AND(BA963&lt;&gt;"",BC963&lt;&gt;""),"H+N","")),"")</f>
        <v/>
      </c>
      <c r="BI963" s="27" t="str">
        <f t="shared" ref="BI963:BI1026" si="444">IFERROR(IF(O963="","",IF(AND(BA963&lt;&gt;"",BD963&lt;&gt;""),"H+Nex","")),"")</f>
        <v/>
      </c>
      <c r="BJ963" s="27" t="str">
        <f t="shared" ref="BJ963:BJ1026" si="445">IF(OR(AZ963&lt;&gt;"",BA963&lt;&gt;""),"Supp or Hun","")</f>
        <v/>
      </c>
      <c r="BK963" s="27" t="str">
        <f t="shared" ref="BK963:BK1026" si="446">IF(AND(BJ963&lt;&gt;"",BC963&lt;&gt;""),"Supp or Hun Need","")</f>
        <v/>
      </c>
      <c r="BL963" s="27" t="str">
        <f t="shared" ref="BL963:BL1026" si="447">IF(OR(BK963&lt;&gt;"",BE963&lt;&gt;""),"SorHandNandE","")</f>
        <v/>
      </c>
      <c r="BM963" s="21" t="s">
        <v>3790</v>
      </c>
    </row>
    <row r="964" spans="1:65" ht="15">
      <c r="A964" s="25" t="str">
        <f>IFERROR(INDEX('Hun Demand'!W:W,MATCH(O964,'Hun Demand'!A:A,0)),"")</f>
        <v/>
      </c>
      <c r="B964" s="25" t="str">
        <f>IFERROR(INDEX('Hun Demand'!V:V,MATCH(O964,'Hun Demand'!A:A,0)),"")</f>
        <v/>
      </c>
      <c r="C964" s="25" t="str">
        <f>IFERROR(INDEX('Hun Demand'!U:U,MATCH(O964,'Hun Demand'!A:A,0)),"")</f>
        <v/>
      </c>
      <c r="D964" s="25" t="str">
        <f>IFERROR(INDEX('Hun Demand'!T:T,MATCH(O964,'Hun Demand'!A:A,0)),"")</f>
        <v/>
      </c>
      <c r="E964" s="25" t="str">
        <f>IFERROR(INDEX('Hun Demand'!S:S,MATCH(O964,'Hun Demand'!A:A,0)),"")</f>
        <v/>
      </c>
      <c r="F964" s="25" t="str">
        <f>IFERROR(INDEX('Hun Demand'!R:R,MATCH(O964,'Hun Demand'!A:A,0)),"")</f>
        <v/>
      </c>
      <c r="G964" s="25">
        <f>IFERROR(INDEX('Aub Demand'!W:W,MATCH(O964,'Aub Demand'!A:A,0)),"")</f>
        <v>99</v>
      </c>
      <c r="H964" s="25">
        <f>IFERROR(INDEX('Aub Demand'!V:V,MATCH(O964,'Aub Demand'!A:A,0)),"")</f>
        <v>196</v>
      </c>
      <c r="I964" s="25">
        <f>IFERROR(INDEX('Aub Demand'!U:U,MATCH(O964,'Aub Demand'!A:A,0)),"")</f>
        <v>0</v>
      </c>
      <c r="J964" s="25">
        <f>IFERROR(INDEX('Aub Demand'!T:T,MATCH(O964,'Aub Demand'!A:A,0)),"")</f>
        <v>134</v>
      </c>
      <c r="K964" s="25">
        <f>IFERROR(INDEX('Aub Demand'!S:S,MATCH(O964,'Aub Demand'!A:A,0)),"")</f>
        <v>0</v>
      </c>
      <c r="L964" s="25">
        <f>IFERROR(INDEX('Aub Demand'!R:R,MATCH(O964,'Aub Demand'!A:A,0)),"")</f>
        <v>0</v>
      </c>
      <c r="O964" s="27" t="s">
        <v>2541</v>
      </c>
      <c r="P964" s="27" t="str">
        <f>IFERROR(INDEX('Aub Demand'!B:B,MATCH($O964,'Aub Demand'!$A:$A,0)),"")</f>
        <v>AQUA LAGOON 48"</v>
      </c>
      <c r="Q964" s="27" t="str">
        <f>IFERROR(INDEX('Aub Demand'!C:C,MATCH($O964,'Aub Demand'!$A:$A,0)),"")</f>
        <v>AHLST</v>
      </c>
      <c r="R964" s="52">
        <f>IFERROR(IF(AR965=AR964,INDEX('Aub Demand'!K:K,MATCH($O964,'Aub Demand'!$A:$A,0))-IF(AN964="",0,AN964)+AP965,INDEX('Aub Demand'!K:K,MATCH($O964,'Aub Demand'!$A:$A,0))-IF(AN964="",0,AN964)),"")</f>
        <v>451</v>
      </c>
      <c r="S964" s="53">
        <f t="shared" si="420"/>
        <v>43</v>
      </c>
      <c r="T964" s="52" t="str">
        <f t="shared" si="421"/>
        <v/>
      </c>
      <c r="U964" s="52">
        <f>IFERROR(IF(AR965=AR964,INDEX('Aub Demand'!Q:Q,MATCH($O964,'Aub Demand'!$A:$A,0))-IF(AN964="",0,AN964)+AP965,INDEX('Aub Demand'!Q:Q,MATCH($O964,'Aub Demand'!$A:$A,0))-IF(AN964="",0,AN964)),"")</f>
        <v>437</v>
      </c>
      <c r="V964" s="53">
        <f t="shared" si="422"/>
        <v>41.6</v>
      </c>
      <c r="W964" s="52" t="str">
        <f t="shared" si="423"/>
        <v/>
      </c>
      <c r="X964" s="52">
        <f>IFERROR(IF(AND(AR965=AR964,AM964&lt;&gt;""),INDEX('Aub Demand'!Q:Q,MATCH($O964,'Aub Demand'!$A:$A,0))-IF(AN964="",0,AN964)+AP965+AD964+AL964,IF(AR965=AR964,INDEX('Aub Demand'!Q:Q,MATCH($O964,'Aub Demand'!$A:$A,0))-IF(AN964="",0,AN964)+AP965+AD964,IF(AM964&lt;&gt;"",INDEX('Aub Demand'!Q:Q,MATCH($O964,'Aub Demand'!$A:$A,0))-IF(AN964="",0,AN964)+AD964+AL964,INDEX('Aub Demand'!Q:Q,MATCH($O964,'Aub Demand'!$A:$A,0))-IF(AN964="",0,AN964)+AD964))),"")</f>
        <v>437</v>
      </c>
      <c r="Y964" s="53">
        <f t="shared" si="424"/>
        <v>41.6</v>
      </c>
      <c r="Z964" s="52">
        <f>IF(L964="","",INDEX('Aub Demand'!H:H,MATCH($O964,'Aub Demand'!$A:$A,0)))</f>
        <v>45</v>
      </c>
      <c r="AA964" s="52" t="str">
        <f t="shared" si="425"/>
        <v>-spike-</v>
      </c>
      <c r="AB964" s="52">
        <f>IFERROR(INDEX('Aub Demand'!L:L,MATCH($O964,'Aub Demand'!$A:$A,0)),"")</f>
        <v>116</v>
      </c>
      <c r="AC964" s="52">
        <f>IFERROR(IF(O964="","",SUMIFS('CPL Mats'!F:F,'CPL Mats'!Q:Q,AR964,'CPL Mats'!S:S,AS964)),"")</f>
        <v>0</v>
      </c>
      <c r="AF964" s="25" t="str">
        <f>IF(SUMIFS('Supp Consol'!S:S,'Supp Consol'!Y:Y,"Releasable",'Supp Consol'!A:A,O964)=0,"",SUMIFS('Supp Consol'!S:S,'Supp Consol'!Y:Y,"Releasable",'Supp Consol'!A:A,O964))</f>
        <v/>
      </c>
      <c r="AG964" s="25" t="str">
        <f>IFERROR(INDEX('Hun Demand'!Q:Q,MATCH(O964,'Hun Demand'!A:A,0)),"")</f>
        <v/>
      </c>
      <c r="AH964" s="25" t="str">
        <f>IFERROR(INDEX('Hun Demand'!H:H,MATCH($O964,'Hun Demand'!$A:$A,0)),"")</f>
        <v/>
      </c>
      <c r="AI964" s="25" t="str">
        <f>IF(SUMIFS('Supp Consol'!AA:AA,'Supp Consol'!Z:Z,"Expires this month",'Supp Consol'!A:A,O964)=0,"",SUMIFS('Supp Consol'!AA:AA,'Supp Consol'!Z:Z,"Expires this month",'Supp Consol'!A:A,O964))</f>
        <v/>
      </c>
      <c r="AJ964" s="25" t="str">
        <f>IF(SUMIFS('Supp Consol'!AA:AA,'Supp Consol'!Z:Z,"Expired Previous Months",'Supp Consol'!A:A,O964)=0,"",SUMIFS('Supp Consol'!AA:AA,'Supp Consol'!Z:Z,"Expired Previous Months",'Supp Consol'!A:A,O964))</f>
        <v/>
      </c>
      <c r="AK964" s="25" t="str">
        <f>IFERROR(INDEX('Hun Release Current'!B:B,MATCH(O964,'Hun Release Current'!A:A,0)),"")</f>
        <v/>
      </c>
      <c r="AL964" s="25" t="str">
        <f>IF(SUMIF('Prev Aub'!A:A,O964,'Prev Aub'!B:B)=0,"",SUMIF('Prev Aub'!A:A,O964,'Prev Aub'!B:B))</f>
        <v/>
      </c>
      <c r="AN964" s="25" t="s">
        <v>3790</v>
      </c>
      <c r="AO964" s="25" t="s">
        <v>3790</v>
      </c>
      <c r="AP964" s="25">
        <f t="shared" si="426"/>
        <v>0</v>
      </c>
      <c r="AQ964" s="151" t="str">
        <f>IF(SUMIFS('Supp Consol'!S:S,'Supp Consol'!A:A,O964,'Supp Consol'!I:I,"PENDING")=0,"",SUMIFS('Supp Consol'!S:S,'Supp Consol'!A:A,O964,'Supp Consol'!I:I,"PENDING"))</f>
        <v/>
      </c>
      <c r="AR964" s="27" t="str">
        <f t="shared" si="427"/>
        <v>S5059</v>
      </c>
      <c r="AS964" s="27" t="str">
        <f t="shared" si="428"/>
        <v>50</v>
      </c>
      <c r="AT964" s="27" t="str">
        <f t="shared" si="429"/>
        <v/>
      </c>
      <c r="AU964" s="27" t="str">
        <f t="shared" si="430"/>
        <v/>
      </c>
      <c r="AV964" s="27" t="str">
        <f t="shared" si="431"/>
        <v/>
      </c>
      <c r="AW964" s="27" t="str">
        <f t="shared" si="432"/>
        <v/>
      </c>
      <c r="AX964" s="27" t="str">
        <f t="shared" si="433"/>
        <v/>
      </c>
      <c r="AY964" s="27" t="str">
        <f t="shared" si="434"/>
        <v/>
      </c>
      <c r="AZ964" s="27" t="str">
        <f t="shared" si="435"/>
        <v/>
      </c>
      <c r="BA964" s="27" t="str">
        <f t="shared" si="436"/>
        <v>Hun</v>
      </c>
      <c r="BB964" s="27" t="str">
        <f t="shared" si="437"/>
        <v/>
      </c>
      <c r="BC964" s="27" t="str">
        <f t="shared" si="438"/>
        <v/>
      </c>
      <c r="BD964" s="27" t="str">
        <f t="shared" si="439"/>
        <v/>
      </c>
      <c r="BE964" s="27" t="str">
        <f t="shared" si="440"/>
        <v/>
      </c>
      <c r="BF964" s="27" t="str">
        <f t="shared" si="441"/>
        <v/>
      </c>
      <c r="BG964" s="27" t="str">
        <f t="shared" si="442"/>
        <v/>
      </c>
      <c r="BH964" s="27" t="str">
        <f t="shared" si="443"/>
        <v/>
      </c>
      <c r="BI964" s="27" t="str">
        <f t="shared" si="444"/>
        <v/>
      </c>
      <c r="BJ964" s="27" t="str">
        <f t="shared" si="445"/>
        <v>Supp or Hun</v>
      </c>
      <c r="BK964" s="27" t="str">
        <f t="shared" si="446"/>
        <v/>
      </c>
      <c r="BL964" s="27" t="str">
        <f t="shared" si="447"/>
        <v/>
      </c>
      <c r="BM964" s="21" t="s">
        <v>5581</v>
      </c>
    </row>
    <row r="965" spans="1:65" ht="15">
      <c r="A965" s="25">
        <f>IFERROR(INDEX('Hun Demand'!W:W,MATCH(O965,'Hun Demand'!A:A,0)),"")</f>
        <v>0</v>
      </c>
      <c r="B965" s="25">
        <f>IFERROR(INDEX('Hun Demand'!V:V,MATCH(O965,'Hun Demand'!A:A,0)),"")</f>
        <v>0</v>
      </c>
      <c r="C965" s="25">
        <f>IFERROR(INDEX('Hun Demand'!U:U,MATCH(O965,'Hun Demand'!A:A,0)),"")</f>
        <v>0</v>
      </c>
      <c r="D965" s="25">
        <f>IFERROR(INDEX('Hun Demand'!T:T,MATCH(O965,'Hun Demand'!A:A,0)),"")</f>
        <v>0</v>
      </c>
      <c r="E965" s="25">
        <f>IFERROR(INDEX('Hun Demand'!S:S,MATCH(O965,'Hun Demand'!A:A,0)),"")</f>
        <v>0</v>
      </c>
      <c r="F965" s="25">
        <f>IFERROR(INDEX('Hun Demand'!R:R,MATCH(O965,'Hun Demand'!A:A,0)),"")</f>
        <v>0</v>
      </c>
      <c r="G965" s="25">
        <f>IFERROR(INDEX('Aub Demand'!W:W,MATCH(O965,'Aub Demand'!A:A,0)),"")</f>
        <v>140</v>
      </c>
      <c r="H965" s="25">
        <f>IFERROR(INDEX('Aub Demand'!V:V,MATCH(O965,'Aub Demand'!A:A,0)),"")</f>
        <v>48</v>
      </c>
      <c r="I965" s="25">
        <f>IFERROR(INDEX('Aub Demand'!U:U,MATCH(O965,'Aub Demand'!A:A,0)),"")</f>
        <v>0</v>
      </c>
      <c r="J965" s="25">
        <f>IFERROR(INDEX('Aub Demand'!T:T,MATCH(O965,'Aub Demand'!A:A,0)),"")</f>
        <v>0</v>
      </c>
      <c r="K965" s="25">
        <f>IFERROR(INDEX('Aub Demand'!S:S,MATCH(O965,'Aub Demand'!A:A,0)),"")</f>
        <v>0</v>
      </c>
      <c r="L965" s="25">
        <f>IFERROR(INDEX('Aub Demand'!R:R,MATCH(O965,'Aub Demand'!A:A,0)),"")</f>
        <v>0</v>
      </c>
      <c r="O965" s="27" t="s">
        <v>2543</v>
      </c>
      <c r="P965" s="27" t="str">
        <f>IFERROR(INDEX('Aub Demand'!B:B,MATCH($O965,'Aub Demand'!$A:$A,0)),"")</f>
        <v>AQUA LAGOON 60"</v>
      </c>
      <c r="Q965" s="27" t="str">
        <f>IFERROR(INDEX('Aub Demand'!C:C,MATCH($O965,'Aub Demand'!$A:$A,0)),"")</f>
        <v>AHLST</v>
      </c>
      <c r="R965" s="52">
        <f>IFERROR(IF(AR966=AR965,INDEX('Aub Demand'!K:K,MATCH($O965,'Aub Demand'!$A:$A,0))-IF(AN965="",0,AN965)+AP966,INDEX('Aub Demand'!K:K,MATCH($O965,'Aub Demand'!$A:$A,0))-IF(AN965="",0,AN965)),"")</f>
        <v>1552</v>
      </c>
      <c r="S965" s="53" t="str">
        <f t="shared" si="420"/>
        <v>n/a</v>
      </c>
      <c r="T965" s="52" t="str">
        <f t="shared" si="421"/>
        <v/>
      </c>
      <c r="U965" s="52">
        <f>IFERROR(IF(AR966=AR965,INDEX('Aub Demand'!Q:Q,MATCH($O965,'Aub Demand'!$A:$A,0))-IF(AN965="",0,AN965)+AP966,INDEX('Aub Demand'!Q:Q,MATCH($O965,'Aub Demand'!$A:$A,0))-IF(AN965="",0,AN965)),"")</f>
        <v>1552</v>
      </c>
      <c r="V965" s="53" t="str">
        <f t="shared" si="422"/>
        <v>n/a</v>
      </c>
      <c r="W965" s="52" t="str">
        <f t="shared" si="423"/>
        <v/>
      </c>
      <c r="X965" s="52">
        <f>IFERROR(IF(AND(AR966=AR965,AM965&lt;&gt;""),INDEX('Aub Demand'!Q:Q,MATCH($O965,'Aub Demand'!$A:$A,0))-IF(AN965="",0,AN965)+AP966+AD965+AL965,IF(AR966=AR965,INDEX('Aub Demand'!Q:Q,MATCH($O965,'Aub Demand'!$A:$A,0))-IF(AN965="",0,AN965)+AP966+AD965,IF(AM965&lt;&gt;"",INDEX('Aub Demand'!Q:Q,MATCH($O965,'Aub Demand'!$A:$A,0))-IF(AN965="",0,AN965)+AD965+AL965,INDEX('Aub Demand'!Q:Q,MATCH($O965,'Aub Demand'!$A:$A,0))-IF(AN965="",0,AN965)+AD965))),"")</f>
        <v>1552</v>
      </c>
      <c r="Y965" s="53" t="str">
        <f t="shared" si="424"/>
        <v>n/a</v>
      </c>
      <c r="Z965" s="52">
        <f>IF(L965="","",INDEX('Aub Demand'!H:H,MATCH($O965,'Aub Demand'!$A:$A,0)))</f>
        <v>0</v>
      </c>
      <c r="AA965" s="52" t="str">
        <f t="shared" si="425"/>
        <v>-spike-</v>
      </c>
      <c r="AB965" s="52">
        <f>IFERROR(INDEX('Aub Demand'!L:L,MATCH($O965,'Aub Demand'!$A:$A,0)),"")</f>
        <v>36</v>
      </c>
      <c r="AC965" s="52">
        <f>IFERROR(IF(O965="","",SUMIFS('CPL Mats'!F:F,'CPL Mats'!Q:Q,AR965,'CPL Mats'!S:S,AS965)),"")</f>
        <v>0</v>
      </c>
      <c r="AF965" s="25" t="str">
        <f>IF(SUMIFS('Supp Consol'!S:S,'Supp Consol'!Y:Y,"Releasable",'Supp Consol'!A:A,O965)=0,"",SUMIFS('Supp Consol'!S:S,'Supp Consol'!Y:Y,"Releasable",'Supp Consol'!A:A,O965))</f>
        <v/>
      </c>
      <c r="AG965" s="25">
        <f>IFERROR(INDEX('Hun Demand'!Q:Q,MATCH(O965,'Hun Demand'!A:A,0)),"")</f>
        <v>102</v>
      </c>
      <c r="AH965" s="25">
        <f>IFERROR(INDEX('Hun Demand'!H:H,MATCH($O965,'Hun Demand'!$A:$A,0)),"")</f>
        <v>0</v>
      </c>
      <c r="AI965" s="25" t="str">
        <f>IF(SUMIFS('Supp Consol'!AA:AA,'Supp Consol'!Z:Z,"Expires this month",'Supp Consol'!A:A,O965)=0,"",SUMIFS('Supp Consol'!AA:AA,'Supp Consol'!Z:Z,"Expires this month",'Supp Consol'!A:A,O965))</f>
        <v/>
      </c>
      <c r="AJ965" s="25" t="str">
        <f>IF(SUMIFS('Supp Consol'!AA:AA,'Supp Consol'!Z:Z,"Expired Previous Months",'Supp Consol'!A:A,O965)=0,"",SUMIFS('Supp Consol'!AA:AA,'Supp Consol'!Z:Z,"Expired Previous Months",'Supp Consol'!A:A,O965))</f>
        <v/>
      </c>
      <c r="AK965" s="25" t="str">
        <f>IFERROR(INDEX('Hun Release Current'!B:B,MATCH(O965,'Hun Release Current'!A:A,0)),"")</f>
        <v/>
      </c>
      <c r="AL965" s="25" t="str">
        <f>IF(SUMIF('Prev Aub'!A:A,O965,'Prev Aub'!B:B)=0,"",SUMIF('Prev Aub'!A:A,O965,'Prev Aub'!B:B))</f>
        <v/>
      </c>
      <c r="AN965" s="25" t="s">
        <v>3790</v>
      </c>
      <c r="AO965" s="25" t="s">
        <v>3790</v>
      </c>
      <c r="AP965" s="25">
        <f t="shared" si="426"/>
        <v>0</v>
      </c>
      <c r="AQ965" s="151" t="str">
        <f>IF(SUMIFS('Supp Consol'!S:S,'Supp Consol'!A:A,O965,'Supp Consol'!I:I,"PENDING")=0,"",SUMIFS('Supp Consol'!S:S,'Supp Consol'!A:A,O965,'Supp Consol'!I:I,"PENDING"))</f>
        <v/>
      </c>
      <c r="AR965" s="27" t="str">
        <f t="shared" si="427"/>
        <v>S5059</v>
      </c>
      <c r="AS965" s="27" t="str">
        <f t="shared" si="428"/>
        <v>62</v>
      </c>
      <c r="AT965" s="27" t="str">
        <f t="shared" si="429"/>
        <v/>
      </c>
      <c r="AU965" s="27" t="str">
        <f t="shared" si="430"/>
        <v/>
      </c>
      <c r="AV965" s="27" t="str">
        <f t="shared" si="431"/>
        <v/>
      </c>
      <c r="AW965" s="27" t="str">
        <f t="shared" si="432"/>
        <v/>
      </c>
      <c r="AX965" s="27" t="str">
        <f t="shared" si="433"/>
        <v/>
      </c>
      <c r="AY965" s="27" t="str">
        <f t="shared" si="434"/>
        <v>S5059</v>
      </c>
      <c r="AZ965" s="27" t="str">
        <f t="shared" si="435"/>
        <v/>
      </c>
      <c r="BA965" s="27" t="str">
        <f t="shared" si="436"/>
        <v>Hun</v>
      </c>
      <c r="BB965" s="27" t="str">
        <f t="shared" si="437"/>
        <v/>
      </c>
      <c r="BC965" s="27" t="str">
        <f t="shared" si="438"/>
        <v/>
      </c>
      <c r="BD965" s="27" t="str">
        <f t="shared" si="439"/>
        <v/>
      </c>
      <c r="BE965" s="27" t="str">
        <f t="shared" si="440"/>
        <v/>
      </c>
      <c r="BF965" s="27" t="str">
        <f t="shared" si="441"/>
        <v/>
      </c>
      <c r="BG965" s="27" t="str">
        <f t="shared" si="442"/>
        <v/>
      </c>
      <c r="BH965" s="27" t="str">
        <f t="shared" si="443"/>
        <v/>
      </c>
      <c r="BI965" s="27" t="str">
        <f t="shared" si="444"/>
        <v/>
      </c>
      <c r="BJ965" s="27" t="str">
        <f t="shared" si="445"/>
        <v>Supp or Hun</v>
      </c>
      <c r="BK965" s="27" t="str">
        <f t="shared" si="446"/>
        <v/>
      </c>
      <c r="BL965" s="27" t="str">
        <f t="shared" si="447"/>
        <v/>
      </c>
      <c r="BM965" s="21" t="s">
        <v>5581</v>
      </c>
    </row>
    <row r="966" spans="1:65" ht="15">
      <c r="A966" s="25" t="str">
        <f>IFERROR(INDEX('Hun Demand'!W:W,MATCH(O966,'Hun Demand'!A:A,0)),"")</f>
        <v/>
      </c>
      <c r="B966" s="25" t="str">
        <f>IFERROR(INDEX('Hun Demand'!V:V,MATCH(O966,'Hun Demand'!A:A,0)),"")</f>
        <v/>
      </c>
      <c r="C966" s="25" t="str">
        <f>IFERROR(INDEX('Hun Demand'!U:U,MATCH(O966,'Hun Demand'!A:A,0)),"")</f>
        <v/>
      </c>
      <c r="D966" s="25" t="str">
        <f>IFERROR(INDEX('Hun Demand'!T:T,MATCH(O966,'Hun Demand'!A:A,0)),"")</f>
        <v/>
      </c>
      <c r="E966" s="25" t="str">
        <f>IFERROR(INDEX('Hun Demand'!S:S,MATCH(O966,'Hun Demand'!A:A,0)),"")</f>
        <v/>
      </c>
      <c r="F966" s="25" t="str">
        <f>IFERROR(INDEX('Hun Demand'!R:R,MATCH(O966,'Hun Demand'!A:A,0)),"")</f>
        <v/>
      </c>
      <c r="G966" s="25">
        <f>IFERROR(INDEX('Aub Demand'!W:W,MATCH(O966,'Aub Demand'!A:A,0)),"")</f>
        <v>36</v>
      </c>
      <c r="H966" s="25">
        <f>IFERROR(INDEX('Aub Demand'!V:V,MATCH(O966,'Aub Demand'!A:A,0)),"")</f>
        <v>74</v>
      </c>
      <c r="I966" s="25">
        <f>IFERROR(INDEX('Aub Demand'!U:U,MATCH(O966,'Aub Demand'!A:A,0)),"")</f>
        <v>199</v>
      </c>
      <c r="J966" s="25">
        <f>IFERROR(INDEX('Aub Demand'!T:T,MATCH(O966,'Aub Demand'!A:A,0)),"")</f>
        <v>133</v>
      </c>
      <c r="K966" s="25">
        <f>IFERROR(INDEX('Aub Demand'!S:S,MATCH(O966,'Aub Demand'!A:A,0)),"")</f>
        <v>216</v>
      </c>
      <c r="L966" s="25">
        <f>IFERROR(INDEX('Aub Demand'!R:R,MATCH(O966,'Aub Demand'!A:A,0)),"")</f>
        <v>0</v>
      </c>
      <c r="O966" s="27" t="s">
        <v>2545</v>
      </c>
      <c r="P966" s="27" t="str">
        <f>IFERROR(INDEX('Aub Demand'!B:B,MATCH($O966,'Aub Demand'!$A:$A,0)),"")</f>
        <v>STUDIO GRAY</v>
      </c>
      <c r="Q966" s="27" t="str">
        <f>IFERROR(INDEX('Aub Demand'!C:C,MATCH($O966,'Aub Demand'!$A:$A,0)),"")</f>
        <v>ONYX</v>
      </c>
      <c r="R966" s="52">
        <f>IFERROR(IF(AR967=AR966,INDEX('Aub Demand'!K:K,MATCH($O966,'Aub Demand'!$A:$A,0))-IF(AN966="",0,AN966)+AP967,INDEX('Aub Demand'!K:K,MATCH($O966,'Aub Demand'!$A:$A,0))-IF(AN966="",0,AN966)),"")</f>
        <v>262</v>
      </c>
      <c r="S966" s="53">
        <f t="shared" si="420"/>
        <v>6.1</v>
      </c>
      <c r="T966" s="52" t="str">
        <f t="shared" si="421"/>
        <v/>
      </c>
      <c r="U966" s="52">
        <f>IFERROR(IF(AR967=AR966,INDEX('Aub Demand'!Q:Q,MATCH($O966,'Aub Demand'!$A:$A,0))-IF(AN966="",0,AN966)+AP967,INDEX('Aub Demand'!Q:Q,MATCH($O966,'Aub Demand'!$A:$A,0))-IF(AN966="",0,AN966)),"")</f>
        <v>-190</v>
      </c>
      <c r="V966" s="53">
        <f t="shared" si="422"/>
        <v>-4.4000000000000004</v>
      </c>
      <c r="W966" s="52">
        <f t="shared" si="423"/>
        <v>383.875</v>
      </c>
      <c r="X966" s="52">
        <f>IFERROR(IF(AND(AR967=AR966,AM966&lt;&gt;""),INDEX('Aub Demand'!Q:Q,MATCH($O966,'Aub Demand'!$A:$A,0))-IF(AN966="",0,AN966)+AP967+AD966+AL966,IF(AR967=AR966,INDEX('Aub Demand'!Q:Q,MATCH($O966,'Aub Demand'!$A:$A,0))-IF(AN966="",0,AN966)+AP967+AD966,IF(AM966&lt;&gt;"",INDEX('Aub Demand'!Q:Q,MATCH($O966,'Aub Demand'!$A:$A,0))-IF(AN966="",0,AN966)+AD966+AL966,INDEX('Aub Demand'!Q:Q,MATCH($O966,'Aub Demand'!$A:$A,0))-IF(AN966="",0,AN966)+AD966))),"")</f>
        <v>310</v>
      </c>
      <c r="Y966" s="53">
        <f t="shared" si="424"/>
        <v>7.3</v>
      </c>
      <c r="Z966" s="52">
        <f>IF(L966="","",INDEX('Aub Demand'!H:H,MATCH($O966,'Aub Demand'!$A:$A,0)))</f>
        <v>183</v>
      </c>
      <c r="AA966" s="52">
        <f t="shared" si="425"/>
        <v>207.5</v>
      </c>
      <c r="AB966" s="52">
        <f>IFERROR(INDEX('Aub Demand'!L:L,MATCH($O966,'Aub Demand'!$A:$A,0)),"")</f>
        <v>118</v>
      </c>
      <c r="AC966" s="52">
        <f>IFERROR(IF(O966="","",SUMIFS('CPL Mats'!F:F,'CPL Mats'!Q:Q,AR966,'CPL Mats'!S:S,AS966)),"")</f>
        <v>0</v>
      </c>
      <c r="AF966" s="25">
        <f>IF(SUMIFS('Supp Consol'!S:S,'Supp Consol'!Y:Y,"Releasable",'Supp Consol'!A:A,O966)=0,"",SUMIFS('Supp Consol'!S:S,'Supp Consol'!Y:Y,"Releasable",'Supp Consol'!A:A,O966))</f>
        <v>1441</v>
      </c>
      <c r="AG966" s="25" t="str">
        <f>IFERROR(INDEX('Hun Demand'!Q:Q,MATCH(O966,'Hun Demand'!A:A,0)),"")</f>
        <v/>
      </c>
      <c r="AH966" s="25" t="str">
        <f>IFERROR(INDEX('Hun Demand'!H:H,MATCH($O966,'Hun Demand'!$A:$A,0)),"")</f>
        <v/>
      </c>
      <c r="AI966" s="25" t="str">
        <f>IF(SUMIFS('Supp Consol'!AA:AA,'Supp Consol'!Z:Z,"Expires this month",'Supp Consol'!A:A,O966)=0,"",SUMIFS('Supp Consol'!AA:AA,'Supp Consol'!Z:Z,"Expires this month",'Supp Consol'!A:A,O966))</f>
        <v/>
      </c>
      <c r="AJ966" s="25" t="str">
        <f>IF(SUMIFS('Supp Consol'!AA:AA,'Supp Consol'!Z:Z,"Expired Previous Months",'Supp Consol'!A:A,O966)=0,"",SUMIFS('Supp Consol'!AA:AA,'Supp Consol'!Z:Z,"Expired Previous Months",'Supp Consol'!A:A,O966))</f>
        <v/>
      </c>
      <c r="AK966" s="25" t="str">
        <f>IFERROR(INDEX('Hun Release Current'!B:B,MATCH(O966,'Hun Release Current'!A:A,0)),"")</f>
        <v/>
      </c>
      <c r="AL966" s="25">
        <f>IF(SUMIF('Prev Aub'!A:A,O966,'Prev Aub'!B:B)=0,"",SUMIF('Prev Aub'!A:A,O966,'Prev Aub'!B:B))</f>
        <v>500</v>
      </c>
      <c r="AM966" s="52" t="s">
        <v>3891</v>
      </c>
      <c r="AN966" s="25" t="s">
        <v>3790</v>
      </c>
      <c r="AO966" s="25" t="s">
        <v>3790</v>
      </c>
      <c r="AP966" s="25">
        <f t="shared" si="426"/>
        <v>0</v>
      </c>
      <c r="AQ966" s="151" t="str">
        <f>IF(SUMIFS('Supp Consol'!S:S,'Supp Consol'!A:A,O966,'Supp Consol'!I:I,"PENDING")=0,"",SUMIFS('Supp Consol'!S:S,'Supp Consol'!A:A,O966,'Supp Consol'!I:I,"PENDING"))</f>
        <v/>
      </c>
      <c r="AR966" s="27" t="str">
        <f t="shared" si="427"/>
        <v>S6037</v>
      </c>
      <c r="AS966" s="27" t="str">
        <f t="shared" si="428"/>
        <v>50</v>
      </c>
      <c r="AT966" s="27" t="str">
        <f t="shared" si="429"/>
        <v/>
      </c>
      <c r="AU966" s="27" t="str">
        <f t="shared" si="430"/>
        <v/>
      </c>
      <c r="AV966" s="27" t="str">
        <f t="shared" si="431"/>
        <v/>
      </c>
      <c r="AW966" s="27" t="str">
        <f t="shared" si="432"/>
        <v/>
      </c>
      <c r="AX966" s="27" t="str">
        <f t="shared" si="433"/>
        <v>S6037</v>
      </c>
      <c r="AY966" s="27" t="str">
        <f t="shared" si="434"/>
        <v/>
      </c>
      <c r="AZ966" s="27" t="str">
        <f t="shared" si="435"/>
        <v>Supp</v>
      </c>
      <c r="BA966" s="27" t="str">
        <f t="shared" si="436"/>
        <v/>
      </c>
      <c r="BB966" s="27" t="str">
        <f t="shared" si="437"/>
        <v/>
      </c>
      <c r="BC966" s="27" t="str">
        <f t="shared" si="438"/>
        <v/>
      </c>
      <c r="BD966" s="27" t="str">
        <f t="shared" si="439"/>
        <v/>
      </c>
      <c r="BE966" s="27" t="str">
        <f t="shared" si="440"/>
        <v/>
      </c>
      <c r="BF966" s="27" t="str">
        <f t="shared" si="441"/>
        <v/>
      </c>
      <c r="BG966" s="27" t="str">
        <f t="shared" si="442"/>
        <v/>
      </c>
      <c r="BH966" s="27" t="str">
        <f t="shared" si="443"/>
        <v/>
      </c>
      <c r="BI966" s="27" t="str">
        <f t="shared" si="444"/>
        <v/>
      </c>
      <c r="BJ966" s="27" t="str">
        <f t="shared" si="445"/>
        <v>Supp or Hun</v>
      </c>
      <c r="BK966" s="27" t="str">
        <f t="shared" si="446"/>
        <v/>
      </c>
      <c r="BL966" s="27" t="str">
        <f t="shared" si="447"/>
        <v/>
      </c>
      <c r="BM966" s="21" t="s">
        <v>5581</v>
      </c>
    </row>
    <row r="967" spans="1:65" ht="15">
      <c r="A967" s="25" t="str">
        <f>IFERROR(INDEX('Hun Demand'!W:W,MATCH(O967,'Hun Demand'!A:A,0)),"")</f>
        <v/>
      </c>
      <c r="B967" s="25" t="str">
        <f>IFERROR(INDEX('Hun Demand'!V:V,MATCH(O967,'Hun Demand'!A:A,0)),"")</f>
        <v/>
      </c>
      <c r="C967" s="25" t="str">
        <f>IFERROR(INDEX('Hun Demand'!U:U,MATCH(O967,'Hun Demand'!A:A,0)),"")</f>
        <v/>
      </c>
      <c r="D967" s="25" t="str">
        <f>IFERROR(INDEX('Hun Demand'!T:T,MATCH(O967,'Hun Demand'!A:A,0)),"")</f>
        <v/>
      </c>
      <c r="E967" s="25" t="str">
        <f>IFERROR(INDEX('Hun Demand'!S:S,MATCH(O967,'Hun Demand'!A:A,0)),"")</f>
        <v/>
      </c>
      <c r="F967" s="25" t="str">
        <f>IFERROR(INDEX('Hun Demand'!R:R,MATCH(O967,'Hun Demand'!A:A,0)),"")</f>
        <v/>
      </c>
      <c r="G967" s="25">
        <f>IFERROR(INDEX('Aub Demand'!W:W,MATCH(O967,'Aub Demand'!A:A,0)),"")</f>
        <v>70</v>
      </c>
      <c r="H967" s="25">
        <f>IFERROR(INDEX('Aub Demand'!V:V,MATCH(O967,'Aub Demand'!A:A,0)),"")</f>
        <v>0</v>
      </c>
      <c r="I967" s="25">
        <f>IFERROR(INDEX('Aub Demand'!U:U,MATCH(O967,'Aub Demand'!A:A,0)),"")</f>
        <v>85</v>
      </c>
      <c r="J967" s="25">
        <f>IFERROR(INDEX('Aub Demand'!T:T,MATCH(O967,'Aub Demand'!A:A,0)),"")</f>
        <v>206</v>
      </c>
      <c r="K967" s="25">
        <f>IFERROR(INDEX('Aub Demand'!S:S,MATCH(O967,'Aub Demand'!A:A,0)),"")</f>
        <v>173</v>
      </c>
      <c r="L967" s="25">
        <f>IFERROR(INDEX('Aub Demand'!R:R,MATCH(O967,'Aub Demand'!A:A,0)),"")</f>
        <v>0</v>
      </c>
      <c r="O967" s="27" t="s">
        <v>2548</v>
      </c>
      <c r="P967" s="27" t="str">
        <f>IFERROR(INDEX('Aub Demand'!B:B,MATCH($O967,'Aub Demand'!$A:$A,0)),"")</f>
        <v>STUDIO GRAY</v>
      </c>
      <c r="Q967" s="27" t="str">
        <f>IFERROR(INDEX('Aub Demand'!C:C,MATCH($O967,'Aub Demand'!$A:$A,0)),"")</f>
        <v>ONYX</v>
      </c>
      <c r="R967" s="52">
        <f>IFERROR(IF(AR968=AR967,INDEX('Aub Demand'!K:K,MATCH($O967,'Aub Demand'!$A:$A,0))-IF(AN967="",0,AN967)+AP968,INDEX('Aub Demand'!K:K,MATCH($O967,'Aub Demand'!$A:$A,0))-IF(AN967="",0,AN967)),"")</f>
        <v>443</v>
      </c>
      <c r="S967" s="53">
        <f t="shared" si="420"/>
        <v>12.2</v>
      </c>
      <c r="T967" s="52" t="str">
        <f t="shared" si="421"/>
        <v/>
      </c>
      <c r="U967" s="52">
        <f>IFERROR(IF(AR968=AR967,INDEX('Aub Demand'!Q:Q,MATCH($O967,'Aub Demand'!$A:$A,0))-IF(AN967="",0,AN967)+AP968,INDEX('Aub Demand'!Q:Q,MATCH($O967,'Aub Demand'!$A:$A,0))-IF(AN967="",0,AN967)),"")</f>
        <v>256</v>
      </c>
      <c r="V967" s="53">
        <f t="shared" si="422"/>
        <v>7.1</v>
      </c>
      <c r="W967" s="52" t="str">
        <f t="shared" si="423"/>
        <v/>
      </c>
      <c r="X967" s="52">
        <f>IFERROR(IF(AND(AR968=AR967,AM967&lt;&gt;""),INDEX('Aub Demand'!Q:Q,MATCH($O967,'Aub Demand'!$A:$A,0))-IF(AN967="",0,AN967)+AP968+AD967+AL967,IF(AR968=AR967,INDEX('Aub Demand'!Q:Q,MATCH($O967,'Aub Demand'!$A:$A,0))-IF(AN967="",0,AN967)+AP968+AD967,IF(AM967&lt;&gt;"",INDEX('Aub Demand'!Q:Q,MATCH($O967,'Aub Demand'!$A:$A,0))-IF(AN967="",0,AN967)+AD967+AL967,INDEX('Aub Demand'!Q:Q,MATCH($O967,'Aub Demand'!$A:$A,0))-IF(AN967="",0,AN967)+AD967))),"")</f>
        <v>256</v>
      </c>
      <c r="Y967" s="53">
        <f t="shared" si="424"/>
        <v>7.1</v>
      </c>
      <c r="Z967" s="52">
        <f>IF(L967="","",INDEX('Aub Demand'!H:H,MATCH($O967,'Aub Demand'!$A:$A,0)))</f>
        <v>155</v>
      </c>
      <c r="AA967" s="52">
        <f t="shared" si="425"/>
        <v>189.5</v>
      </c>
      <c r="AB967" s="52">
        <f>IFERROR(INDEX('Aub Demand'!L:L,MATCH($O967,'Aub Demand'!$A:$A,0)),"")</f>
        <v>170</v>
      </c>
      <c r="AC967" s="52">
        <f>IFERROR(IF(O967="","",SUMIFS('CPL Mats'!F:F,'CPL Mats'!Q:Q,AR967,'CPL Mats'!S:S,AS967)),"")</f>
        <v>0</v>
      </c>
      <c r="AF967" s="25">
        <f>IF(SUMIFS('Supp Consol'!S:S,'Supp Consol'!Y:Y,"Releasable",'Supp Consol'!A:A,O967)=0,"",SUMIFS('Supp Consol'!S:S,'Supp Consol'!Y:Y,"Releasable",'Supp Consol'!A:A,O967))</f>
        <v>1603</v>
      </c>
      <c r="AG967" s="25" t="str">
        <f>IFERROR(INDEX('Hun Demand'!Q:Q,MATCH(O967,'Hun Demand'!A:A,0)),"")</f>
        <v/>
      </c>
      <c r="AH967" s="25" t="str">
        <f>IFERROR(INDEX('Hun Demand'!H:H,MATCH($O967,'Hun Demand'!$A:$A,0)),"")</f>
        <v/>
      </c>
      <c r="AI967" s="25" t="str">
        <f>IF(SUMIFS('Supp Consol'!AA:AA,'Supp Consol'!Z:Z,"Expires this month",'Supp Consol'!A:A,O967)=0,"",SUMIFS('Supp Consol'!AA:AA,'Supp Consol'!Z:Z,"Expires this month",'Supp Consol'!A:A,O967))</f>
        <v/>
      </c>
      <c r="AJ967" s="25" t="str">
        <f>IF(SUMIFS('Supp Consol'!AA:AA,'Supp Consol'!Z:Z,"Expired Previous Months",'Supp Consol'!A:A,O967)=0,"",SUMIFS('Supp Consol'!AA:AA,'Supp Consol'!Z:Z,"Expired Previous Months",'Supp Consol'!A:A,O967))</f>
        <v/>
      </c>
      <c r="AK967" s="25" t="str">
        <f>IFERROR(INDEX('Hun Release Current'!B:B,MATCH(O967,'Hun Release Current'!A:A,0)),"")</f>
        <v/>
      </c>
      <c r="AL967" s="25" t="str">
        <f>IF(SUMIF('Prev Aub'!A:A,O967,'Prev Aub'!B:B)=0,"",SUMIF('Prev Aub'!A:A,O967,'Prev Aub'!B:B))</f>
        <v/>
      </c>
      <c r="AN967" s="25" t="s">
        <v>3790</v>
      </c>
      <c r="AO967" s="25" t="s">
        <v>3790</v>
      </c>
      <c r="AP967" s="25">
        <f t="shared" si="426"/>
        <v>0</v>
      </c>
      <c r="AQ967" s="151" t="str">
        <f>IF(SUMIFS('Supp Consol'!S:S,'Supp Consol'!A:A,O967,'Supp Consol'!I:I,"PENDING")=0,"",SUMIFS('Supp Consol'!S:S,'Supp Consol'!A:A,O967,'Supp Consol'!I:I,"PENDING"))</f>
        <v/>
      </c>
      <c r="AR967" s="27" t="str">
        <f t="shared" si="427"/>
        <v>S6037</v>
      </c>
      <c r="AS967" s="27" t="str">
        <f t="shared" si="428"/>
        <v>62</v>
      </c>
      <c r="AT967" s="27" t="str">
        <f t="shared" si="429"/>
        <v/>
      </c>
      <c r="AU967" s="27" t="str">
        <f t="shared" si="430"/>
        <v/>
      </c>
      <c r="AV967" s="27" t="str">
        <f t="shared" si="431"/>
        <v/>
      </c>
      <c r="AW967" s="27" t="str">
        <f t="shared" si="432"/>
        <v/>
      </c>
      <c r="AX967" s="27" t="str">
        <f t="shared" si="433"/>
        <v>S6037</v>
      </c>
      <c r="AY967" s="27" t="str">
        <f t="shared" si="434"/>
        <v/>
      </c>
      <c r="AZ967" s="27" t="str">
        <f t="shared" si="435"/>
        <v>Supp</v>
      </c>
      <c r="BA967" s="27" t="str">
        <f t="shared" si="436"/>
        <v/>
      </c>
      <c r="BB967" s="27" t="str">
        <f t="shared" si="437"/>
        <v/>
      </c>
      <c r="BC967" s="27" t="str">
        <f t="shared" si="438"/>
        <v/>
      </c>
      <c r="BD967" s="27" t="str">
        <f t="shared" si="439"/>
        <v/>
      </c>
      <c r="BE967" s="27" t="str">
        <f t="shared" si="440"/>
        <v/>
      </c>
      <c r="BF967" s="27" t="str">
        <f t="shared" si="441"/>
        <v/>
      </c>
      <c r="BG967" s="27" t="str">
        <f t="shared" si="442"/>
        <v/>
      </c>
      <c r="BH967" s="27" t="str">
        <f t="shared" si="443"/>
        <v/>
      </c>
      <c r="BI967" s="27" t="str">
        <f t="shared" si="444"/>
        <v/>
      </c>
      <c r="BJ967" s="27" t="str">
        <f t="shared" si="445"/>
        <v>Supp or Hun</v>
      </c>
      <c r="BK967" s="27" t="str">
        <f t="shared" si="446"/>
        <v/>
      </c>
      <c r="BL967" s="27" t="str">
        <f t="shared" si="447"/>
        <v/>
      </c>
      <c r="BM967" s="21" t="s">
        <v>5581</v>
      </c>
    </row>
    <row r="968" spans="1:65" ht="15">
      <c r="A968" s="25" t="str">
        <f>IFERROR(INDEX('Hun Demand'!W:W,MATCH(O968,'Hun Demand'!A:A,0)),"")</f>
        <v/>
      </c>
      <c r="B968" s="25" t="str">
        <f>IFERROR(INDEX('Hun Demand'!V:V,MATCH(O968,'Hun Demand'!A:A,0)),"")</f>
        <v/>
      </c>
      <c r="C968" s="25" t="str">
        <f>IFERROR(INDEX('Hun Demand'!U:U,MATCH(O968,'Hun Demand'!A:A,0)),"")</f>
        <v/>
      </c>
      <c r="D968" s="25" t="str">
        <f>IFERROR(INDEX('Hun Demand'!T:T,MATCH(O968,'Hun Demand'!A:A,0)),"")</f>
        <v/>
      </c>
      <c r="E968" s="25" t="str">
        <f>IFERROR(INDEX('Hun Demand'!S:S,MATCH(O968,'Hun Demand'!A:A,0)),"")</f>
        <v/>
      </c>
      <c r="F968" s="25" t="str">
        <f>IFERROR(INDEX('Hun Demand'!R:R,MATCH(O968,'Hun Demand'!A:A,0)),"")</f>
        <v/>
      </c>
      <c r="G968" s="25">
        <f>IFERROR(INDEX('Aub Demand'!W:W,MATCH(O968,'Aub Demand'!A:A,0)),"")</f>
        <v>1957</v>
      </c>
      <c r="H968" s="25">
        <f>IFERROR(INDEX('Aub Demand'!V:V,MATCH(O968,'Aub Demand'!A:A,0)),"")</f>
        <v>1712</v>
      </c>
      <c r="I968" s="25">
        <f>IFERROR(INDEX('Aub Demand'!U:U,MATCH(O968,'Aub Demand'!A:A,0)),"")</f>
        <v>2808</v>
      </c>
      <c r="J968" s="25">
        <f>IFERROR(INDEX('Aub Demand'!T:T,MATCH(O968,'Aub Demand'!A:A,0)),"")</f>
        <v>2010</v>
      </c>
      <c r="K968" s="25">
        <f>IFERROR(INDEX('Aub Demand'!S:S,MATCH(O968,'Aub Demand'!A:A,0)),"")</f>
        <v>1932</v>
      </c>
      <c r="L968" s="25">
        <f>IFERROR(INDEX('Aub Demand'!R:R,MATCH(O968,'Aub Demand'!A:A,0)),"")</f>
        <v>0</v>
      </c>
      <c r="O968" s="27" t="s">
        <v>2550</v>
      </c>
      <c r="P968" s="27" t="str">
        <f>IFERROR(INDEX('Aub Demand'!B:B,MATCH($O968,'Aub Demand'!$A:$A,0)),"")</f>
        <v>JETT BLACK</v>
      </c>
      <c r="Q968" s="27" t="str">
        <f>IFERROR(INDEX('Aub Demand'!C:C,MATCH($O968,'Aub Demand'!$A:$A,0)),"")</f>
        <v>ONYX</v>
      </c>
      <c r="R968" s="52">
        <f>IFERROR(IF(AR969=AR968,INDEX('Aub Demand'!K:K,MATCH($O968,'Aub Demand'!$A:$A,0))-IF(AN968="",0,AN968)+AP969,INDEX('Aub Demand'!K:K,MATCH($O968,'Aub Demand'!$A:$A,0))-IF(AN968="",0,AN968)),"")</f>
        <v>2865</v>
      </c>
      <c r="S968" s="53">
        <f t="shared" si="420"/>
        <v>5.5</v>
      </c>
      <c r="T968" s="52" t="str">
        <f t="shared" si="421"/>
        <v/>
      </c>
      <c r="U968" s="52">
        <f>IFERROR(IF(AR969=AR968,INDEX('Aub Demand'!Q:Q,MATCH($O968,'Aub Demand'!$A:$A,0))-IF(AN968="",0,AN968)+AP969,INDEX('Aub Demand'!Q:Q,MATCH($O968,'Aub Demand'!$A:$A,0))-IF(AN968="",0,AN968)),"")</f>
        <v>1278</v>
      </c>
      <c r="V968" s="53">
        <f t="shared" si="422"/>
        <v>2.4</v>
      </c>
      <c r="W968" s="52">
        <f t="shared" si="423"/>
        <v>361.35000000000008</v>
      </c>
      <c r="X968" s="52">
        <f>IFERROR(IF(AND(AR969=AR968,AM968&lt;&gt;""),INDEX('Aub Demand'!Q:Q,MATCH($O968,'Aub Demand'!$A:$A,0))-IF(AN968="",0,AN968)+AP969+AD968+AL968,IF(AR969=AR968,INDEX('Aub Demand'!Q:Q,MATCH($O968,'Aub Demand'!$A:$A,0))-IF(AN968="",0,AN968)+AP969+AD968,IF(AM968&lt;&gt;"",INDEX('Aub Demand'!Q:Q,MATCH($O968,'Aub Demand'!$A:$A,0))-IF(AN968="",0,AN968)+AD968+AL968,INDEX('Aub Demand'!Q:Q,MATCH($O968,'Aub Demand'!$A:$A,0))-IF(AN968="",0,AN968)+AD968))),"")</f>
        <v>1278</v>
      </c>
      <c r="Y968" s="53">
        <f t="shared" si="424"/>
        <v>2.4</v>
      </c>
      <c r="Z968" s="52">
        <f>IF(L968="","",INDEX('Aub Demand'!H:H,MATCH($O968,'Aub Demand'!$A:$A,0)))</f>
        <v>2250</v>
      </c>
      <c r="AA968" s="52">
        <f t="shared" si="425"/>
        <v>2409</v>
      </c>
      <c r="AB968" s="52">
        <f>IFERROR(INDEX('Aub Demand'!L:L,MATCH($O968,'Aub Demand'!$A:$A,0)),"")</f>
        <v>1026</v>
      </c>
      <c r="AC968" s="52">
        <f>IFERROR(IF(O968="","",SUMIFS('CPL Mats'!F:F,'CPL Mats'!Q:Q,AR968,'CPL Mats'!S:S,AS968)),"")</f>
        <v>0</v>
      </c>
      <c r="AF968" s="25">
        <f>IF(SUMIFS('Supp Consol'!S:S,'Supp Consol'!Y:Y,"Releasable",'Supp Consol'!A:A,O968)=0,"",SUMIFS('Supp Consol'!S:S,'Supp Consol'!Y:Y,"Releasable",'Supp Consol'!A:A,O968))</f>
        <v>7668</v>
      </c>
      <c r="AG968" s="25" t="str">
        <f>IFERROR(INDEX('Hun Demand'!Q:Q,MATCH(O968,'Hun Demand'!A:A,0)),"")</f>
        <v/>
      </c>
      <c r="AH968" s="25" t="str">
        <f>IFERROR(INDEX('Hun Demand'!H:H,MATCH($O968,'Hun Demand'!$A:$A,0)),"")</f>
        <v/>
      </c>
      <c r="AI968" s="25" t="str">
        <f>IF(SUMIFS('Supp Consol'!AA:AA,'Supp Consol'!Z:Z,"Expires this month",'Supp Consol'!A:A,O968)=0,"",SUMIFS('Supp Consol'!AA:AA,'Supp Consol'!Z:Z,"Expires this month",'Supp Consol'!A:A,O968))</f>
        <v/>
      </c>
      <c r="AJ968" s="25" t="str">
        <f>IF(SUMIFS('Supp Consol'!AA:AA,'Supp Consol'!Z:Z,"Expired Previous Months",'Supp Consol'!A:A,O968)=0,"",SUMIFS('Supp Consol'!AA:AA,'Supp Consol'!Z:Z,"Expired Previous Months",'Supp Consol'!A:A,O968))</f>
        <v/>
      </c>
      <c r="AK968" s="25" t="str">
        <f>IFERROR(INDEX('Hun Release Current'!B:B,MATCH(O968,'Hun Release Current'!A:A,0)),"")</f>
        <v/>
      </c>
      <c r="AL968" s="25" t="str">
        <f>IF(SUMIF('Prev Aub'!A:A,O968,'Prev Aub'!B:B)=0,"",SUMIF('Prev Aub'!A:A,O968,'Prev Aub'!B:B))</f>
        <v/>
      </c>
      <c r="AN968" s="25" t="s">
        <v>3790</v>
      </c>
      <c r="AO968" s="25" t="s">
        <v>3790</v>
      </c>
      <c r="AP968" s="25">
        <f t="shared" si="426"/>
        <v>0</v>
      </c>
      <c r="AQ968" s="151" t="str">
        <f>IF(SUMIFS('Supp Consol'!S:S,'Supp Consol'!A:A,O968,'Supp Consol'!I:I,"PENDING")=0,"",SUMIFS('Supp Consol'!S:S,'Supp Consol'!A:A,O968,'Supp Consol'!I:I,"PENDING"))</f>
        <v/>
      </c>
      <c r="AR968" s="27" t="str">
        <f t="shared" si="427"/>
        <v>S6053</v>
      </c>
      <c r="AS968" s="27" t="str">
        <f t="shared" si="428"/>
        <v>50</v>
      </c>
      <c r="AT968" s="27" t="str">
        <f t="shared" si="429"/>
        <v/>
      </c>
      <c r="AU968" s="27" t="str">
        <f t="shared" si="430"/>
        <v>S6053</v>
      </c>
      <c r="AV968" s="27" t="str">
        <f t="shared" si="431"/>
        <v>S6053</v>
      </c>
      <c r="AW968" s="27" t="str">
        <f t="shared" si="432"/>
        <v/>
      </c>
      <c r="AX968" s="27" t="str">
        <f t="shared" si="433"/>
        <v>S6053</v>
      </c>
      <c r="AY968" s="27" t="str">
        <f t="shared" si="434"/>
        <v/>
      </c>
      <c r="AZ968" s="27" t="str">
        <f t="shared" si="435"/>
        <v>Supp</v>
      </c>
      <c r="BA968" s="27" t="str">
        <f t="shared" si="436"/>
        <v/>
      </c>
      <c r="BB968" s="27" t="str">
        <f t="shared" si="437"/>
        <v>Gross</v>
      </c>
      <c r="BC968" s="27" t="str">
        <f t="shared" si="438"/>
        <v>Net</v>
      </c>
      <c r="BD968" s="27" t="str">
        <f t="shared" si="439"/>
        <v>Net</v>
      </c>
      <c r="BE968" s="27" t="str">
        <f t="shared" si="440"/>
        <v>Exp</v>
      </c>
      <c r="BF968" s="27" t="str">
        <f t="shared" si="441"/>
        <v>S+N</v>
      </c>
      <c r="BG968" s="27" t="str">
        <f t="shared" si="442"/>
        <v>S+NorE</v>
      </c>
      <c r="BH968" s="27" t="str">
        <f t="shared" si="443"/>
        <v/>
      </c>
      <c r="BI968" s="27" t="str">
        <f t="shared" si="444"/>
        <v/>
      </c>
      <c r="BJ968" s="27" t="str">
        <f t="shared" si="445"/>
        <v>Supp or Hun</v>
      </c>
      <c r="BK968" s="27" t="str">
        <f t="shared" si="446"/>
        <v>Supp or Hun Need</v>
      </c>
      <c r="BL968" s="27" t="str">
        <f t="shared" si="447"/>
        <v>SorHandNandE</v>
      </c>
      <c r="BM968" s="21" t="s">
        <v>5581</v>
      </c>
    </row>
    <row r="969" spans="1:65" ht="15">
      <c r="A969" s="25" t="str">
        <f>IFERROR(INDEX('Hun Demand'!W:W,MATCH(O969,'Hun Demand'!A:A,0)),"")</f>
        <v/>
      </c>
      <c r="B969" s="25" t="str">
        <f>IFERROR(INDEX('Hun Demand'!V:V,MATCH(O969,'Hun Demand'!A:A,0)),"")</f>
        <v/>
      </c>
      <c r="C969" s="25" t="str">
        <f>IFERROR(INDEX('Hun Demand'!U:U,MATCH(O969,'Hun Demand'!A:A,0)),"")</f>
        <v/>
      </c>
      <c r="D969" s="25" t="str">
        <f>IFERROR(INDEX('Hun Demand'!T:T,MATCH(O969,'Hun Demand'!A:A,0)),"")</f>
        <v/>
      </c>
      <c r="E969" s="25" t="str">
        <f>IFERROR(INDEX('Hun Demand'!S:S,MATCH(O969,'Hun Demand'!A:A,0)),"")</f>
        <v/>
      </c>
      <c r="F969" s="25" t="str">
        <f>IFERROR(INDEX('Hun Demand'!R:R,MATCH(O969,'Hun Demand'!A:A,0)),"")</f>
        <v/>
      </c>
      <c r="G969" s="25">
        <f>IFERROR(INDEX('Aub Demand'!W:W,MATCH(O969,'Aub Demand'!A:A,0)),"")</f>
        <v>446</v>
      </c>
      <c r="H969" s="25">
        <f>IFERROR(INDEX('Aub Demand'!V:V,MATCH(O969,'Aub Demand'!A:A,0)),"")</f>
        <v>1193</v>
      </c>
      <c r="I969" s="25">
        <f>IFERROR(INDEX('Aub Demand'!U:U,MATCH(O969,'Aub Demand'!A:A,0)),"")</f>
        <v>965</v>
      </c>
      <c r="J969" s="25">
        <f>IFERROR(INDEX('Aub Demand'!T:T,MATCH(O969,'Aub Demand'!A:A,0)),"")</f>
        <v>1118</v>
      </c>
      <c r="K969" s="25">
        <f>IFERROR(INDEX('Aub Demand'!S:S,MATCH(O969,'Aub Demand'!A:A,0)),"")</f>
        <v>1439</v>
      </c>
      <c r="L969" s="25">
        <f>IFERROR(INDEX('Aub Demand'!R:R,MATCH(O969,'Aub Demand'!A:A,0)),"")</f>
        <v>0</v>
      </c>
      <c r="O969" s="27" t="s">
        <v>2552</v>
      </c>
      <c r="P969" s="27" t="str">
        <f>IFERROR(INDEX('Aub Demand'!B:B,MATCH($O969,'Aub Demand'!$A:$A,0)),"")</f>
        <v>JETT BLACK</v>
      </c>
      <c r="Q969" s="27" t="str">
        <f>IFERROR(INDEX('Aub Demand'!C:C,MATCH($O969,'Aub Demand'!$A:$A,0)),"")</f>
        <v>ONYX</v>
      </c>
      <c r="R969" s="52">
        <f>IFERROR(IF(AR970=AR969,INDEX('Aub Demand'!K:K,MATCH($O969,'Aub Demand'!$A:$A,0))-IF(AN969="",0,AN969)+AP970,INDEX('Aub Demand'!K:K,MATCH($O969,'Aub Demand'!$A:$A,0))-IF(AN969="",0,AN969)),"")</f>
        <v>177</v>
      </c>
      <c r="S969" s="53">
        <f t="shared" si="420"/>
        <v>0.6</v>
      </c>
      <c r="T969" s="52">
        <f t="shared" si="421"/>
        <v>767.1</v>
      </c>
      <c r="U969" s="52">
        <f>IFERROR(IF(AR970=AR969,INDEX('Aub Demand'!Q:Q,MATCH($O969,'Aub Demand'!$A:$A,0))-IF(AN969="",0,AN969)+AP970,INDEX('Aub Demand'!Q:Q,MATCH($O969,'Aub Demand'!$A:$A,0))-IF(AN969="",0,AN969)),"")</f>
        <v>-197</v>
      </c>
      <c r="V969" s="53">
        <f t="shared" si="422"/>
        <v>-0.7</v>
      </c>
      <c r="W969" s="52">
        <f t="shared" si="423"/>
        <v>1182.6125</v>
      </c>
      <c r="X969" s="52">
        <f>IFERROR(IF(AND(AR970=AR969,AM969&lt;&gt;""),INDEX('Aub Demand'!Q:Q,MATCH($O969,'Aub Demand'!$A:$A,0))-IF(AN969="",0,AN969)+AP970+AD969+AL969,IF(AR970=AR969,INDEX('Aub Demand'!Q:Q,MATCH($O969,'Aub Demand'!$A:$A,0))-IF(AN969="",0,AN969)+AP970+AD969,IF(AM969&lt;&gt;"",INDEX('Aub Demand'!Q:Q,MATCH($O969,'Aub Demand'!$A:$A,0))-IF(AN969="",0,AN969)+AD969+AL969,INDEX('Aub Demand'!Q:Q,MATCH($O969,'Aub Demand'!$A:$A,0))-IF(AN969="",0,AN969)+AD969))),"")</f>
        <v>803</v>
      </c>
      <c r="Y969" s="53">
        <f t="shared" si="424"/>
        <v>2.9</v>
      </c>
      <c r="Z969" s="52">
        <f>IF(L969="","",INDEX('Aub Demand'!H:H,MATCH($O969,'Aub Demand'!$A:$A,0)))</f>
        <v>1174</v>
      </c>
      <c r="AA969" s="52">
        <f t="shared" si="425"/>
        <v>1278.5</v>
      </c>
      <c r="AB969" s="52">
        <f>IFERROR(INDEX('Aub Demand'!L:L,MATCH($O969,'Aub Demand'!$A:$A,0)),"")</f>
        <v>1452</v>
      </c>
      <c r="AC969" s="52">
        <f>IFERROR(IF(O969="","",SUMIFS('CPL Mats'!F:F,'CPL Mats'!Q:Q,AR969,'CPL Mats'!S:S,AS969)),"")</f>
        <v>0</v>
      </c>
      <c r="AF969" s="25">
        <f>IF(SUMIFS('Supp Consol'!S:S,'Supp Consol'!Y:Y,"Releasable",'Supp Consol'!A:A,O969)=0,"",SUMIFS('Supp Consol'!S:S,'Supp Consol'!Y:Y,"Releasable",'Supp Consol'!A:A,O969))</f>
        <v>2379</v>
      </c>
      <c r="AG969" s="25" t="str">
        <f>IFERROR(INDEX('Hun Demand'!Q:Q,MATCH(O969,'Hun Demand'!A:A,0)),"")</f>
        <v/>
      </c>
      <c r="AH969" s="25" t="str">
        <f>IFERROR(INDEX('Hun Demand'!H:H,MATCH($O969,'Hun Demand'!$A:$A,0)),"")</f>
        <v/>
      </c>
      <c r="AI969" s="25" t="str">
        <f>IF(SUMIFS('Supp Consol'!AA:AA,'Supp Consol'!Z:Z,"Expires this month",'Supp Consol'!A:A,O969)=0,"",SUMIFS('Supp Consol'!AA:AA,'Supp Consol'!Z:Z,"Expires this month",'Supp Consol'!A:A,O969))</f>
        <v/>
      </c>
      <c r="AJ969" s="25">
        <f>IF(SUMIFS('Supp Consol'!AA:AA,'Supp Consol'!Z:Z,"Expired Previous Months",'Supp Consol'!A:A,O969)=0,"",SUMIFS('Supp Consol'!AA:AA,'Supp Consol'!Z:Z,"Expired Previous Months",'Supp Consol'!A:A,O969))</f>
        <v>92</v>
      </c>
      <c r="AK969" s="25" t="str">
        <f>IFERROR(INDEX('Hun Release Current'!B:B,MATCH(O969,'Hun Release Current'!A:A,0)),"")</f>
        <v/>
      </c>
      <c r="AL969" s="25">
        <f>IF(SUMIF('Prev Aub'!A:A,O969,'Prev Aub'!B:B)=0,"",SUMIF('Prev Aub'!A:A,O969,'Prev Aub'!B:B))</f>
        <v>1000</v>
      </c>
      <c r="AM969" s="52" t="s">
        <v>3891</v>
      </c>
      <c r="AN969" s="25" t="s">
        <v>3790</v>
      </c>
      <c r="AO969" s="25" t="s">
        <v>3790</v>
      </c>
      <c r="AP969" s="25">
        <f t="shared" si="426"/>
        <v>0</v>
      </c>
      <c r="AQ969" s="151" t="str">
        <f>IF(SUMIFS('Supp Consol'!S:S,'Supp Consol'!A:A,O969,'Supp Consol'!I:I,"PENDING")=0,"",SUMIFS('Supp Consol'!S:S,'Supp Consol'!A:A,O969,'Supp Consol'!I:I,"PENDING"))</f>
        <v/>
      </c>
      <c r="AR969" s="27" t="str">
        <f t="shared" si="427"/>
        <v>S6053</v>
      </c>
      <c r="AS969" s="27" t="str">
        <f t="shared" si="428"/>
        <v>62</v>
      </c>
      <c r="AT969" s="27" t="str">
        <f t="shared" si="429"/>
        <v>S6053</v>
      </c>
      <c r="AU969" s="27" t="str">
        <f t="shared" si="430"/>
        <v>S6053</v>
      </c>
      <c r="AV969" s="27" t="str">
        <f t="shared" si="431"/>
        <v>S6053</v>
      </c>
      <c r="AW969" s="27" t="str">
        <f t="shared" si="432"/>
        <v>S6053</v>
      </c>
      <c r="AX969" s="27" t="str">
        <f t="shared" si="433"/>
        <v>S6053</v>
      </c>
      <c r="AY969" s="27" t="str">
        <f t="shared" si="434"/>
        <v/>
      </c>
      <c r="AZ969" s="27" t="str">
        <f t="shared" si="435"/>
        <v>Supp</v>
      </c>
      <c r="BA969" s="27" t="str">
        <f t="shared" si="436"/>
        <v/>
      </c>
      <c r="BB969" s="27" t="str">
        <f t="shared" si="437"/>
        <v>Gross</v>
      </c>
      <c r="BC969" s="27" t="str">
        <f t="shared" si="438"/>
        <v>Net</v>
      </c>
      <c r="BD969" s="27" t="str">
        <f t="shared" si="439"/>
        <v>Net</v>
      </c>
      <c r="BE969" s="27" t="str">
        <f t="shared" si="440"/>
        <v>Exp</v>
      </c>
      <c r="BF969" s="27" t="str">
        <f t="shared" si="441"/>
        <v>S+N</v>
      </c>
      <c r="BG969" s="27" t="str">
        <f t="shared" si="442"/>
        <v>S+NorE</v>
      </c>
      <c r="BH969" s="27" t="str">
        <f t="shared" si="443"/>
        <v/>
      </c>
      <c r="BI969" s="27" t="str">
        <f t="shared" si="444"/>
        <v/>
      </c>
      <c r="BJ969" s="27" t="str">
        <f t="shared" si="445"/>
        <v>Supp or Hun</v>
      </c>
      <c r="BK969" s="27" t="str">
        <f t="shared" si="446"/>
        <v>Supp or Hun Need</v>
      </c>
      <c r="BL969" s="27" t="str">
        <f t="shared" si="447"/>
        <v>SorHandNandE</v>
      </c>
      <c r="BM969" s="21" t="s">
        <v>5581</v>
      </c>
    </row>
    <row r="970" spans="1:65" ht="15">
      <c r="A970" s="25" t="str">
        <f>IFERROR(INDEX('Hun Demand'!W:W,MATCH(O970,'Hun Demand'!A:A,0)),"")</f>
        <v/>
      </c>
      <c r="B970" s="25" t="str">
        <f>IFERROR(INDEX('Hun Demand'!V:V,MATCH(O970,'Hun Demand'!A:A,0)),"")</f>
        <v/>
      </c>
      <c r="C970" s="25" t="str">
        <f>IFERROR(INDEX('Hun Demand'!U:U,MATCH(O970,'Hun Demand'!A:A,0)),"")</f>
        <v/>
      </c>
      <c r="D970" s="25" t="str">
        <f>IFERROR(INDEX('Hun Demand'!T:T,MATCH(O970,'Hun Demand'!A:A,0)),"")</f>
        <v/>
      </c>
      <c r="E970" s="25" t="str">
        <f>IFERROR(INDEX('Hun Demand'!S:S,MATCH(O970,'Hun Demand'!A:A,0)),"")</f>
        <v/>
      </c>
      <c r="F970" s="25" t="str">
        <f>IFERROR(INDEX('Hun Demand'!R:R,MATCH(O970,'Hun Demand'!A:A,0)),"")</f>
        <v/>
      </c>
      <c r="G970" s="25">
        <f>IFERROR(INDEX('Aub Demand'!W:W,MATCH(O970,'Aub Demand'!A:A,0)),"")</f>
        <v>0</v>
      </c>
      <c r="H970" s="25">
        <f>IFERROR(INDEX('Aub Demand'!V:V,MATCH(O970,'Aub Demand'!A:A,0)),"")</f>
        <v>0</v>
      </c>
      <c r="I970" s="25">
        <f>IFERROR(INDEX('Aub Demand'!U:U,MATCH(O970,'Aub Demand'!A:A,0)),"")</f>
        <v>0</v>
      </c>
      <c r="J970" s="25">
        <f>IFERROR(INDEX('Aub Demand'!T:T,MATCH(O970,'Aub Demand'!A:A,0)),"")</f>
        <v>0</v>
      </c>
      <c r="K970" s="25">
        <f>IFERROR(INDEX('Aub Demand'!S:S,MATCH(O970,'Aub Demand'!A:A,0)),"")</f>
        <v>35</v>
      </c>
      <c r="L970" s="25">
        <f>IFERROR(INDEX('Aub Demand'!R:R,MATCH(O970,'Aub Demand'!A:A,0)),"")</f>
        <v>0</v>
      </c>
      <c r="O970" s="27" t="s">
        <v>2554</v>
      </c>
      <c r="P970" s="27" t="str">
        <f>IFERROR(INDEX('Aub Demand'!B:B,MATCH($O970,'Aub Demand'!$A:$A,0)),"")</f>
        <v>FOLKSTONE</v>
      </c>
      <c r="Q970" s="27" t="str">
        <f>IFERROR(INDEX('Aub Demand'!C:C,MATCH($O970,'Aub Demand'!$A:$A,0)),"")</f>
        <v>ONYX</v>
      </c>
      <c r="R970" s="52">
        <f>IFERROR(IF(AR971=AR970,INDEX('Aub Demand'!K:K,MATCH($O970,'Aub Demand'!$A:$A,0))-IF(AN970="",0,AN970)+AP971,INDEX('Aub Demand'!K:K,MATCH($O970,'Aub Demand'!$A:$A,0))-IF(AN970="",0,AN970)),"")</f>
        <v>133</v>
      </c>
      <c r="S970" s="53">
        <f t="shared" si="420"/>
        <v>47.5</v>
      </c>
      <c r="T970" s="52" t="str">
        <f t="shared" si="421"/>
        <v/>
      </c>
      <c r="U970" s="52">
        <f>IFERROR(IF(AR971=AR970,INDEX('Aub Demand'!Q:Q,MATCH($O970,'Aub Demand'!$A:$A,0))-IF(AN970="",0,AN970)+AP971,INDEX('Aub Demand'!Q:Q,MATCH($O970,'Aub Demand'!$A:$A,0))-IF(AN970="",0,AN970)),"")</f>
        <v>132</v>
      </c>
      <c r="V970" s="53">
        <f t="shared" si="422"/>
        <v>47.1</v>
      </c>
      <c r="W970" s="52" t="str">
        <f t="shared" si="423"/>
        <v/>
      </c>
      <c r="X970" s="52">
        <f>IFERROR(IF(AND(AR971=AR970,AM970&lt;&gt;""),INDEX('Aub Demand'!Q:Q,MATCH($O970,'Aub Demand'!$A:$A,0))-IF(AN970="",0,AN970)+AP971+AD970+AL970,IF(AR971=AR970,INDEX('Aub Demand'!Q:Q,MATCH($O970,'Aub Demand'!$A:$A,0))-IF(AN970="",0,AN970)+AP971+AD970,IF(AM970&lt;&gt;"",INDEX('Aub Demand'!Q:Q,MATCH($O970,'Aub Demand'!$A:$A,0))-IF(AN970="",0,AN970)+AD970+AL970,INDEX('Aub Demand'!Q:Q,MATCH($O970,'Aub Demand'!$A:$A,0))-IF(AN970="",0,AN970)+AD970))),"")</f>
        <v>132</v>
      </c>
      <c r="Y970" s="53">
        <f t="shared" si="424"/>
        <v>47.1</v>
      </c>
      <c r="Z970" s="52">
        <f>IF(L970="","",INDEX('Aub Demand'!H:H,MATCH($O970,'Aub Demand'!$A:$A,0)))</f>
        <v>12</v>
      </c>
      <c r="AA970" s="52" t="str">
        <f t="shared" si="425"/>
        <v>-spike-</v>
      </c>
      <c r="AB970" s="52">
        <f>IFERROR(INDEX('Aub Demand'!L:L,MATCH($O970,'Aub Demand'!$A:$A,0)),"")</f>
        <v>32</v>
      </c>
      <c r="AC970" s="52">
        <f>IFERROR(IF(O970="","",SUMIFS('CPL Mats'!F:F,'CPL Mats'!Q:Q,AR970,'CPL Mats'!S:S,AS970)),"")</f>
        <v>0</v>
      </c>
      <c r="AF970" s="25" t="str">
        <f>IF(SUMIFS('Supp Consol'!S:S,'Supp Consol'!Y:Y,"Releasable",'Supp Consol'!A:A,O970)=0,"",SUMIFS('Supp Consol'!S:S,'Supp Consol'!Y:Y,"Releasable",'Supp Consol'!A:A,O970))</f>
        <v/>
      </c>
      <c r="AG970" s="25" t="str">
        <f>IFERROR(INDEX('Hun Demand'!Q:Q,MATCH(O970,'Hun Demand'!A:A,0)),"")</f>
        <v/>
      </c>
      <c r="AH970" s="25" t="str">
        <f>IFERROR(INDEX('Hun Demand'!H:H,MATCH($O970,'Hun Demand'!$A:$A,0)),"")</f>
        <v/>
      </c>
      <c r="AI970" s="25" t="str">
        <f>IF(SUMIFS('Supp Consol'!AA:AA,'Supp Consol'!Z:Z,"Expires this month",'Supp Consol'!A:A,O970)=0,"",SUMIFS('Supp Consol'!AA:AA,'Supp Consol'!Z:Z,"Expires this month",'Supp Consol'!A:A,O970))</f>
        <v/>
      </c>
      <c r="AJ970" s="25" t="str">
        <f>IF(SUMIFS('Supp Consol'!AA:AA,'Supp Consol'!Z:Z,"Expired Previous Months",'Supp Consol'!A:A,O970)=0,"",SUMIFS('Supp Consol'!AA:AA,'Supp Consol'!Z:Z,"Expired Previous Months",'Supp Consol'!A:A,O970))</f>
        <v/>
      </c>
      <c r="AK970" s="25" t="str">
        <f>IFERROR(INDEX('Hun Release Current'!B:B,MATCH(O970,'Hun Release Current'!A:A,0)),"")</f>
        <v/>
      </c>
      <c r="AL970" s="25" t="str">
        <f>IF(SUMIF('Prev Aub'!A:A,O970,'Prev Aub'!B:B)=0,"",SUMIF('Prev Aub'!A:A,O970,'Prev Aub'!B:B))</f>
        <v/>
      </c>
      <c r="AN970" s="25" t="s">
        <v>3790</v>
      </c>
      <c r="AO970" s="25" t="s">
        <v>3790</v>
      </c>
      <c r="AP970" s="25">
        <f t="shared" si="426"/>
        <v>0</v>
      </c>
      <c r="AQ970" s="151" t="str">
        <f>IF(SUMIFS('Supp Consol'!S:S,'Supp Consol'!A:A,O970,'Supp Consol'!I:I,"PENDING")=0,"",SUMIFS('Supp Consol'!S:S,'Supp Consol'!A:A,O970,'Supp Consol'!I:I,"PENDING"))</f>
        <v/>
      </c>
      <c r="AR970" s="27" t="str">
        <f t="shared" si="427"/>
        <v>S6055</v>
      </c>
      <c r="AS970" s="27" t="str">
        <f t="shared" si="428"/>
        <v>50</v>
      </c>
      <c r="AT970" s="27" t="str">
        <f t="shared" si="429"/>
        <v/>
      </c>
      <c r="AU970" s="27" t="str">
        <f t="shared" si="430"/>
        <v/>
      </c>
      <c r="AV970" s="27" t="str">
        <f t="shared" si="431"/>
        <v/>
      </c>
      <c r="AW970" s="27" t="str">
        <f t="shared" si="432"/>
        <v/>
      </c>
      <c r="AX970" s="27" t="str">
        <f t="shared" si="433"/>
        <v/>
      </c>
      <c r="AY970" s="27" t="str">
        <f t="shared" si="434"/>
        <v/>
      </c>
      <c r="AZ970" s="27" t="str">
        <f t="shared" si="435"/>
        <v/>
      </c>
      <c r="BA970" s="27" t="str">
        <f t="shared" si="436"/>
        <v/>
      </c>
      <c r="BB970" s="27" t="str">
        <f t="shared" si="437"/>
        <v/>
      </c>
      <c r="BC970" s="27" t="str">
        <f t="shared" si="438"/>
        <v/>
      </c>
      <c r="BD970" s="27" t="str">
        <f t="shared" si="439"/>
        <v/>
      </c>
      <c r="BE970" s="27" t="str">
        <f t="shared" si="440"/>
        <v/>
      </c>
      <c r="BF970" s="27" t="str">
        <f t="shared" si="441"/>
        <v/>
      </c>
      <c r="BG970" s="27" t="str">
        <f t="shared" si="442"/>
        <v/>
      </c>
      <c r="BH970" s="27" t="str">
        <f t="shared" si="443"/>
        <v/>
      </c>
      <c r="BI970" s="27" t="str">
        <f t="shared" si="444"/>
        <v/>
      </c>
      <c r="BJ970" s="27" t="str">
        <f t="shared" si="445"/>
        <v/>
      </c>
      <c r="BK970" s="27" t="str">
        <f t="shared" si="446"/>
        <v/>
      </c>
      <c r="BL970" s="27" t="str">
        <f t="shared" si="447"/>
        <v/>
      </c>
      <c r="BM970" s="21" t="s">
        <v>5581</v>
      </c>
    </row>
    <row r="971" spans="1:65" ht="15">
      <c r="A971" s="25" t="str">
        <f>IFERROR(INDEX('Hun Demand'!W:W,MATCH(O971,'Hun Demand'!A:A,0)),"")</f>
        <v/>
      </c>
      <c r="B971" s="25" t="str">
        <f>IFERROR(INDEX('Hun Demand'!V:V,MATCH(O971,'Hun Demand'!A:A,0)),"")</f>
        <v/>
      </c>
      <c r="C971" s="25" t="str">
        <f>IFERROR(INDEX('Hun Demand'!U:U,MATCH(O971,'Hun Demand'!A:A,0)),"")</f>
        <v/>
      </c>
      <c r="D971" s="25" t="str">
        <f>IFERROR(INDEX('Hun Demand'!T:T,MATCH(O971,'Hun Demand'!A:A,0)),"")</f>
        <v/>
      </c>
      <c r="E971" s="25" t="str">
        <f>IFERROR(INDEX('Hun Demand'!S:S,MATCH(O971,'Hun Demand'!A:A,0)),"")</f>
        <v/>
      </c>
      <c r="F971" s="25" t="str">
        <f>IFERROR(INDEX('Hun Demand'!R:R,MATCH(O971,'Hun Demand'!A:A,0)),"")</f>
        <v/>
      </c>
      <c r="G971" s="25">
        <f>IFERROR(INDEX('Aub Demand'!W:W,MATCH(O971,'Aub Demand'!A:A,0)),"")</f>
        <v>357</v>
      </c>
      <c r="H971" s="25">
        <f>IFERROR(INDEX('Aub Demand'!V:V,MATCH(O971,'Aub Demand'!A:A,0)),"")</f>
        <v>0</v>
      </c>
      <c r="I971" s="25">
        <f>IFERROR(INDEX('Aub Demand'!U:U,MATCH(O971,'Aub Demand'!A:A,0)),"")</f>
        <v>520</v>
      </c>
      <c r="J971" s="25">
        <f>IFERROR(INDEX('Aub Demand'!T:T,MATCH(O971,'Aub Demand'!A:A,0)),"")</f>
        <v>0</v>
      </c>
      <c r="K971" s="25">
        <f>IFERROR(INDEX('Aub Demand'!S:S,MATCH(O971,'Aub Demand'!A:A,0)),"")</f>
        <v>156</v>
      </c>
      <c r="L971" s="25">
        <f>IFERROR(INDEX('Aub Demand'!R:R,MATCH(O971,'Aub Demand'!A:A,0)),"")</f>
        <v>0</v>
      </c>
      <c r="O971" s="27" t="s">
        <v>2557</v>
      </c>
      <c r="P971" s="27" t="str">
        <f>IFERROR(INDEX('Aub Demand'!B:B,MATCH($O971,'Aub Demand'!$A:$A,0)),"")</f>
        <v>FOLKSTONE</v>
      </c>
      <c r="Q971" s="27" t="str">
        <f>IFERROR(INDEX('Aub Demand'!C:C,MATCH($O971,'Aub Demand'!$A:$A,0)),"")</f>
        <v>ONYX</v>
      </c>
      <c r="R971" s="52">
        <f>IFERROR(IF(AR972=AR971,INDEX('Aub Demand'!K:K,MATCH($O971,'Aub Demand'!$A:$A,0))-IF(AN971="",0,AN971)+AP972,INDEX('Aub Demand'!K:K,MATCH($O971,'Aub Demand'!$A:$A,0))-IF(AN971="",0,AN971)),"")</f>
        <v>1131</v>
      </c>
      <c r="S971" s="53">
        <f t="shared" si="420"/>
        <v>21.5</v>
      </c>
      <c r="T971" s="52" t="str">
        <f t="shared" si="421"/>
        <v/>
      </c>
      <c r="U971" s="52">
        <f>IFERROR(IF(AR972=AR971,INDEX('Aub Demand'!Q:Q,MATCH($O971,'Aub Demand'!$A:$A,0))-IF(AN971="",0,AN971)+AP972,INDEX('Aub Demand'!Q:Q,MATCH($O971,'Aub Demand'!$A:$A,0))-IF(AN971="",0,AN971)),"")</f>
        <v>1100</v>
      </c>
      <c r="V971" s="53">
        <f t="shared" si="422"/>
        <v>21</v>
      </c>
      <c r="W971" s="52" t="str">
        <f t="shared" si="423"/>
        <v/>
      </c>
      <c r="X971" s="52">
        <f>IFERROR(IF(AND(AR972=AR971,AM971&lt;&gt;""),INDEX('Aub Demand'!Q:Q,MATCH($O971,'Aub Demand'!$A:$A,0))-IF(AN971="",0,AN971)+AP972+AD971+AL971,IF(AR972=AR971,INDEX('Aub Demand'!Q:Q,MATCH($O971,'Aub Demand'!$A:$A,0))-IF(AN971="",0,AN971)+AP972+AD971,IF(AM971&lt;&gt;"",INDEX('Aub Demand'!Q:Q,MATCH($O971,'Aub Demand'!$A:$A,0))-IF(AN971="",0,AN971)+AD971+AL971,INDEX('Aub Demand'!Q:Q,MATCH($O971,'Aub Demand'!$A:$A,0))-IF(AN971="",0,AN971)+AD971))),"")</f>
        <v>1100</v>
      </c>
      <c r="Y971" s="53">
        <f t="shared" si="424"/>
        <v>21</v>
      </c>
      <c r="Z971" s="52">
        <f>IF(L971="","",INDEX('Aub Demand'!H:H,MATCH($O971,'Aub Demand'!$A:$A,0)))</f>
        <v>225</v>
      </c>
      <c r="AA971" s="52">
        <f t="shared" si="425"/>
        <v>338</v>
      </c>
      <c r="AB971" s="52">
        <f>IFERROR(INDEX('Aub Demand'!L:L,MATCH($O971,'Aub Demand'!$A:$A,0)),"")</f>
        <v>241</v>
      </c>
      <c r="AC971" s="52">
        <f>IFERROR(IF(O971="","",SUMIFS('CPL Mats'!F:F,'CPL Mats'!Q:Q,AR971,'CPL Mats'!S:S,AS971)),"")</f>
        <v>0</v>
      </c>
      <c r="AF971" s="25" t="str">
        <f>IF(SUMIFS('Supp Consol'!S:S,'Supp Consol'!Y:Y,"Releasable",'Supp Consol'!A:A,O971)=0,"",SUMIFS('Supp Consol'!S:S,'Supp Consol'!Y:Y,"Releasable",'Supp Consol'!A:A,O971))</f>
        <v/>
      </c>
      <c r="AG971" s="25" t="str">
        <f>IFERROR(INDEX('Hun Demand'!Q:Q,MATCH(O971,'Hun Demand'!A:A,0)),"")</f>
        <v/>
      </c>
      <c r="AH971" s="25" t="str">
        <f>IFERROR(INDEX('Hun Demand'!H:H,MATCH($O971,'Hun Demand'!$A:$A,0)),"")</f>
        <v/>
      </c>
      <c r="AI971" s="25" t="str">
        <f>IF(SUMIFS('Supp Consol'!AA:AA,'Supp Consol'!Z:Z,"Expires this month",'Supp Consol'!A:A,O971)=0,"",SUMIFS('Supp Consol'!AA:AA,'Supp Consol'!Z:Z,"Expires this month",'Supp Consol'!A:A,O971))</f>
        <v/>
      </c>
      <c r="AJ971" s="25" t="str">
        <f>IF(SUMIFS('Supp Consol'!AA:AA,'Supp Consol'!Z:Z,"Expired Previous Months",'Supp Consol'!A:A,O971)=0,"",SUMIFS('Supp Consol'!AA:AA,'Supp Consol'!Z:Z,"Expired Previous Months",'Supp Consol'!A:A,O971))</f>
        <v/>
      </c>
      <c r="AK971" s="25" t="str">
        <f>IFERROR(INDEX('Hun Release Current'!B:B,MATCH(O971,'Hun Release Current'!A:A,0)),"")</f>
        <v/>
      </c>
      <c r="AL971" s="25" t="str">
        <f>IF(SUMIF('Prev Aub'!A:A,O971,'Prev Aub'!B:B)=0,"",SUMIF('Prev Aub'!A:A,O971,'Prev Aub'!B:B))</f>
        <v/>
      </c>
      <c r="AN971" s="25" t="s">
        <v>3790</v>
      </c>
      <c r="AO971" s="25" t="s">
        <v>3790</v>
      </c>
      <c r="AP971" s="25">
        <f t="shared" si="426"/>
        <v>0</v>
      </c>
      <c r="AQ971" s="151" t="str">
        <f>IF(SUMIFS('Supp Consol'!S:S,'Supp Consol'!A:A,O971,'Supp Consol'!I:I,"PENDING")=0,"",SUMIFS('Supp Consol'!S:S,'Supp Consol'!A:A,O971,'Supp Consol'!I:I,"PENDING"))</f>
        <v/>
      </c>
      <c r="AR971" s="27" t="str">
        <f t="shared" si="427"/>
        <v>S6055</v>
      </c>
      <c r="AS971" s="27" t="str">
        <f t="shared" si="428"/>
        <v>62</v>
      </c>
      <c r="AT971" s="27" t="str">
        <f t="shared" si="429"/>
        <v/>
      </c>
      <c r="AU971" s="27" t="str">
        <f t="shared" si="430"/>
        <v/>
      </c>
      <c r="AV971" s="27" t="str">
        <f t="shared" si="431"/>
        <v/>
      </c>
      <c r="AW971" s="27" t="str">
        <f t="shared" si="432"/>
        <v/>
      </c>
      <c r="AX971" s="27" t="str">
        <f t="shared" si="433"/>
        <v/>
      </c>
      <c r="AY971" s="27" t="str">
        <f t="shared" si="434"/>
        <v/>
      </c>
      <c r="AZ971" s="27" t="str">
        <f t="shared" si="435"/>
        <v/>
      </c>
      <c r="BA971" s="27" t="str">
        <f t="shared" si="436"/>
        <v/>
      </c>
      <c r="BB971" s="27" t="str">
        <f t="shared" si="437"/>
        <v/>
      </c>
      <c r="BC971" s="27" t="str">
        <f t="shared" si="438"/>
        <v/>
      </c>
      <c r="BD971" s="27" t="str">
        <f t="shared" si="439"/>
        <v/>
      </c>
      <c r="BE971" s="27" t="str">
        <f t="shared" si="440"/>
        <v/>
      </c>
      <c r="BF971" s="27" t="str">
        <f t="shared" si="441"/>
        <v/>
      </c>
      <c r="BG971" s="27" t="str">
        <f t="shared" si="442"/>
        <v/>
      </c>
      <c r="BH971" s="27" t="str">
        <f t="shared" si="443"/>
        <v/>
      </c>
      <c r="BI971" s="27" t="str">
        <f t="shared" si="444"/>
        <v/>
      </c>
      <c r="BJ971" s="27" t="str">
        <f t="shared" si="445"/>
        <v/>
      </c>
      <c r="BK971" s="27" t="str">
        <f t="shared" si="446"/>
        <v/>
      </c>
      <c r="BL971" s="27" t="str">
        <f t="shared" si="447"/>
        <v/>
      </c>
      <c r="BM971" s="21" t="s">
        <v>5581</v>
      </c>
    </row>
    <row r="972" spans="1:65" ht="15">
      <c r="A972" s="25" t="str">
        <f>IFERROR(INDEX('Hun Demand'!W:W,MATCH(O972,'Hun Demand'!A:A,0)),"")</f>
        <v/>
      </c>
      <c r="B972" s="25" t="str">
        <f>IFERROR(INDEX('Hun Demand'!V:V,MATCH(O972,'Hun Demand'!A:A,0)),"")</f>
        <v/>
      </c>
      <c r="C972" s="25" t="str">
        <f>IFERROR(INDEX('Hun Demand'!U:U,MATCH(O972,'Hun Demand'!A:A,0)),"")</f>
        <v/>
      </c>
      <c r="D972" s="25" t="str">
        <f>IFERROR(INDEX('Hun Demand'!T:T,MATCH(O972,'Hun Demand'!A:A,0)),"")</f>
        <v/>
      </c>
      <c r="E972" s="25" t="str">
        <f>IFERROR(INDEX('Hun Demand'!S:S,MATCH(O972,'Hun Demand'!A:A,0)),"")</f>
        <v/>
      </c>
      <c r="F972" s="25" t="str">
        <f>IFERROR(INDEX('Hun Demand'!R:R,MATCH(O972,'Hun Demand'!A:A,0)),"")</f>
        <v/>
      </c>
      <c r="G972" s="25">
        <f>IFERROR(INDEX('Aub Demand'!W:W,MATCH(O972,'Aub Demand'!A:A,0)),"")</f>
        <v>0</v>
      </c>
      <c r="H972" s="25">
        <f>IFERROR(INDEX('Aub Demand'!V:V,MATCH(O972,'Aub Demand'!A:A,0)),"")</f>
        <v>0</v>
      </c>
      <c r="I972" s="25">
        <f>IFERROR(INDEX('Aub Demand'!U:U,MATCH(O972,'Aub Demand'!A:A,0)),"")</f>
        <v>51</v>
      </c>
      <c r="J972" s="25">
        <f>IFERROR(INDEX('Aub Demand'!T:T,MATCH(O972,'Aub Demand'!A:A,0)),"")</f>
        <v>0</v>
      </c>
      <c r="K972" s="25">
        <f>IFERROR(INDEX('Aub Demand'!S:S,MATCH(O972,'Aub Demand'!A:A,0)),"")</f>
        <v>0</v>
      </c>
      <c r="L972" s="25">
        <f>IFERROR(INDEX('Aub Demand'!R:R,MATCH(O972,'Aub Demand'!A:A,0)),"")</f>
        <v>0</v>
      </c>
      <c r="O972" s="27" t="s">
        <v>2558</v>
      </c>
      <c r="P972" s="27" t="str">
        <f>IFERROR(INDEX('Aub Demand'!B:B,MATCH($O972,'Aub Demand'!$A:$A,0)),"")</f>
        <v>CHALK WHITE</v>
      </c>
      <c r="Q972" s="27" t="str">
        <f>IFERROR(INDEX('Aub Demand'!C:C,MATCH($O972,'Aub Demand'!$A:$A,0)),"")</f>
        <v>ONYX</v>
      </c>
      <c r="R972" s="52">
        <f>IFERROR(IF(AR973=AR972,INDEX('Aub Demand'!K:K,MATCH($O972,'Aub Demand'!$A:$A,0))-IF(AN972="",0,AN972)+AP973,INDEX('Aub Demand'!K:K,MATCH($O972,'Aub Demand'!$A:$A,0))-IF(AN972="",0,AN972)),"")</f>
        <v>399</v>
      </c>
      <c r="S972" s="53">
        <f t="shared" si="420"/>
        <v>100.6</v>
      </c>
      <c r="T972" s="52" t="str">
        <f t="shared" si="421"/>
        <v/>
      </c>
      <c r="U972" s="52">
        <f>IFERROR(IF(AR973=AR972,INDEX('Aub Demand'!Q:Q,MATCH($O972,'Aub Demand'!$A:$A,0))-IF(AN972="",0,AN972)+AP973,INDEX('Aub Demand'!Q:Q,MATCH($O972,'Aub Demand'!$A:$A,0))-IF(AN972="",0,AN972)),"")</f>
        <v>391</v>
      </c>
      <c r="V972" s="53">
        <f t="shared" si="422"/>
        <v>98.6</v>
      </c>
      <c r="W972" s="52" t="str">
        <f t="shared" si="423"/>
        <v/>
      </c>
      <c r="X972" s="52">
        <f>IFERROR(IF(AND(AR973=AR972,AM972&lt;&gt;""),INDEX('Aub Demand'!Q:Q,MATCH($O972,'Aub Demand'!$A:$A,0))-IF(AN972="",0,AN972)+AP973+AD972+AL972,IF(AR973=AR972,INDEX('Aub Demand'!Q:Q,MATCH($O972,'Aub Demand'!$A:$A,0))-IF(AN972="",0,AN972)+AP973+AD972,IF(AM972&lt;&gt;"",INDEX('Aub Demand'!Q:Q,MATCH($O972,'Aub Demand'!$A:$A,0))-IF(AN972="",0,AN972)+AD972+AL972,INDEX('Aub Demand'!Q:Q,MATCH($O972,'Aub Demand'!$A:$A,0))-IF(AN972="",0,AN972)+AD972))),"")</f>
        <v>391</v>
      </c>
      <c r="Y972" s="53">
        <f t="shared" si="424"/>
        <v>98.6</v>
      </c>
      <c r="Z972" s="52">
        <f>IF(L972="","",INDEX('Aub Demand'!H:H,MATCH($O972,'Aub Demand'!$A:$A,0)))</f>
        <v>17</v>
      </c>
      <c r="AA972" s="52" t="str">
        <f t="shared" si="425"/>
        <v>-spike-</v>
      </c>
      <c r="AB972" s="52">
        <f>IFERROR(INDEX('Aub Demand'!L:L,MATCH($O972,'Aub Demand'!$A:$A,0)),"")</f>
        <v>48</v>
      </c>
      <c r="AC972" s="52">
        <f>IFERROR(IF(O972="","",SUMIFS('CPL Mats'!F:F,'CPL Mats'!Q:Q,AR972,'CPL Mats'!S:S,AS972)),"")</f>
        <v>0</v>
      </c>
      <c r="AF972" s="25" t="str">
        <f>IF(SUMIFS('Supp Consol'!S:S,'Supp Consol'!Y:Y,"Releasable",'Supp Consol'!A:A,O972)=0,"",SUMIFS('Supp Consol'!S:S,'Supp Consol'!Y:Y,"Releasable",'Supp Consol'!A:A,O972))</f>
        <v/>
      </c>
      <c r="AG972" s="25" t="str">
        <f>IFERROR(INDEX('Hun Demand'!Q:Q,MATCH(O972,'Hun Demand'!A:A,0)),"")</f>
        <v/>
      </c>
      <c r="AH972" s="25" t="str">
        <f>IFERROR(INDEX('Hun Demand'!H:H,MATCH($O972,'Hun Demand'!$A:$A,0)),"")</f>
        <v/>
      </c>
      <c r="AI972" s="25" t="str">
        <f>IF(SUMIFS('Supp Consol'!AA:AA,'Supp Consol'!Z:Z,"Expires this month",'Supp Consol'!A:A,O972)=0,"",SUMIFS('Supp Consol'!AA:AA,'Supp Consol'!Z:Z,"Expires this month",'Supp Consol'!A:A,O972))</f>
        <v/>
      </c>
      <c r="AJ972" s="25" t="str">
        <f>IF(SUMIFS('Supp Consol'!AA:AA,'Supp Consol'!Z:Z,"Expired Previous Months",'Supp Consol'!A:A,O972)=0,"",SUMIFS('Supp Consol'!AA:AA,'Supp Consol'!Z:Z,"Expired Previous Months",'Supp Consol'!A:A,O972))</f>
        <v/>
      </c>
      <c r="AK972" s="25" t="str">
        <f>IFERROR(INDEX('Hun Release Current'!B:B,MATCH(O972,'Hun Release Current'!A:A,0)),"")</f>
        <v/>
      </c>
      <c r="AL972" s="25" t="str">
        <f>IF(SUMIF('Prev Aub'!A:A,O972,'Prev Aub'!B:B)=0,"",SUMIF('Prev Aub'!A:A,O972,'Prev Aub'!B:B))</f>
        <v/>
      </c>
      <c r="AN972" s="25" t="s">
        <v>3790</v>
      </c>
      <c r="AO972" s="25" t="s">
        <v>3790</v>
      </c>
      <c r="AP972" s="25">
        <f t="shared" si="426"/>
        <v>0</v>
      </c>
      <c r="AQ972" s="151" t="str">
        <f>IF(SUMIFS('Supp Consol'!S:S,'Supp Consol'!A:A,O972,'Supp Consol'!I:I,"PENDING")=0,"",SUMIFS('Supp Consol'!S:S,'Supp Consol'!A:A,O972,'Supp Consol'!I:I,"PENDING"))</f>
        <v/>
      </c>
      <c r="AR972" s="27" t="str">
        <f t="shared" si="427"/>
        <v>S7024</v>
      </c>
      <c r="AS972" s="27" t="str">
        <f t="shared" si="428"/>
        <v>37</v>
      </c>
      <c r="AT972" s="27" t="str">
        <f t="shared" si="429"/>
        <v/>
      </c>
      <c r="AU972" s="27" t="str">
        <f t="shared" si="430"/>
        <v/>
      </c>
      <c r="AV972" s="27" t="str">
        <f t="shared" si="431"/>
        <v/>
      </c>
      <c r="AW972" s="27" t="str">
        <f t="shared" si="432"/>
        <v/>
      </c>
      <c r="AX972" s="27" t="str">
        <f t="shared" si="433"/>
        <v/>
      </c>
      <c r="AY972" s="27" t="str">
        <f t="shared" si="434"/>
        <v/>
      </c>
      <c r="AZ972" s="27" t="str">
        <f t="shared" si="435"/>
        <v>Supp</v>
      </c>
      <c r="BA972" s="27" t="str">
        <f t="shared" si="436"/>
        <v/>
      </c>
      <c r="BB972" s="27" t="str">
        <f t="shared" si="437"/>
        <v/>
      </c>
      <c r="BC972" s="27" t="str">
        <f t="shared" si="438"/>
        <v/>
      </c>
      <c r="BD972" s="27" t="str">
        <f t="shared" si="439"/>
        <v/>
      </c>
      <c r="BE972" s="27" t="str">
        <f t="shared" si="440"/>
        <v/>
      </c>
      <c r="BF972" s="27" t="str">
        <f t="shared" si="441"/>
        <v/>
      </c>
      <c r="BG972" s="27" t="str">
        <f t="shared" si="442"/>
        <v/>
      </c>
      <c r="BH972" s="27" t="str">
        <f t="shared" si="443"/>
        <v/>
      </c>
      <c r="BI972" s="27" t="str">
        <f t="shared" si="444"/>
        <v/>
      </c>
      <c r="BJ972" s="27" t="str">
        <f t="shared" si="445"/>
        <v>Supp or Hun</v>
      </c>
      <c r="BK972" s="27" t="str">
        <f t="shared" si="446"/>
        <v/>
      </c>
      <c r="BL972" s="27" t="str">
        <f t="shared" si="447"/>
        <v/>
      </c>
      <c r="BM972" s="21" t="s">
        <v>5581</v>
      </c>
    </row>
    <row r="973" spans="1:65" ht="15">
      <c r="A973" s="25" t="str">
        <f>IFERROR(INDEX('Hun Demand'!W:W,MATCH(O973,'Hun Demand'!A:A,0)),"")</f>
        <v/>
      </c>
      <c r="B973" s="25" t="str">
        <f>IFERROR(INDEX('Hun Demand'!V:V,MATCH(O973,'Hun Demand'!A:A,0)),"")</f>
        <v/>
      </c>
      <c r="C973" s="25" t="str">
        <f>IFERROR(INDEX('Hun Demand'!U:U,MATCH(O973,'Hun Demand'!A:A,0)),"")</f>
        <v/>
      </c>
      <c r="D973" s="25" t="str">
        <f>IFERROR(INDEX('Hun Demand'!T:T,MATCH(O973,'Hun Demand'!A:A,0)),"")</f>
        <v/>
      </c>
      <c r="E973" s="25" t="str">
        <f>IFERROR(INDEX('Hun Demand'!S:S,MATCH(O973,'Hun Demand'!A:A,0)),"")</f>
        <v/>
      </c>
      <c r="F973" s="25" t="str">
        <f>IFERROR(INDEX('Hun Demand'!R:R,MATCH(O973,'Hun Demand'!A:A,0)),"")</f>
        <v/>
      </c>
      <c r="G973" s="25">
        <f>IFERROR(INDEX('Aub Demand'!W:W,MATCH(O973,'Aub Demand'!A:A,0)),"")</f>
        <v>1606</v>
      </c>
      <c r="H973" s="25">
        <f>IFERROR(INDEX('Aub Demand'!V:V,MATCH(O973,'Aub Demand'!A:A,0)),"")</f>
        <v>1804</v>
      </c>
      <c r="I973" s="25">
        <f>IFERROR(INDEX('Aub Demand'!U:U,MATCH(O973,'Aub Demand'!A:A,0)),"")</f>
        <v>3033</v>
      </c>
      <c r="J973" s="25">
        <f>IFERROR(INDEX('Aub Demand'!T:T,MATCH(O973,'Aub Demand'!A:A,0)),"")</f>
        <v>2477</v>
      </c>
      <c r="K973" s="25">
        <f>IFERROR(INDEX('Aub Demand'!S:S,MATCH(O973,'Aub Demand'!A:A,0)),"")</f>
        <v>2864</v>
      </c>
      <c r="L973" s="25">
        <f>IFERROR(INDEX('Aub Demand'!R:R,MATCH(O973,'Aub Demand'!A:A,0)),"")</f>
        <v>0</v>
      </c>
      <c r="O973" s="27" t="s">
        <v>2561</v>
      </c>
      <c r="P973" s="27" t="str">
        <f>IFERROR(INDEX('Aub Demand'!B:B,MATCH($O973,'Aub Demand'!$A:$A,0)),"")</f>
        <v>CHALK WHITE</v>
      </c>
      <c r="Q973" s="27" t="str">
        <f>IFERROR(INDEX('Aub Demand'!C:C,MATCH($O973,'Aub Demand'!$A:$A,0)),"")</f>
        <v>ONYX</v>
      </c>
      <c r="R973" s="52">
        <f>IFERROR(IF(AR974=AR973,INDEX('Aub Demand'!K:K,MATCH($O973,'Aub Demand'!$A:$A,0))-IF(AN973="",0,AN973)+AP974,INDEX('Aub Demand'!K:K,MATCH($O973,'Aub Demand'!$A:$A,0))-IF(AN973="",0,AN973)),"")</f>
        <v>4312</v>
      </c>
      <c r="S973" s="53">
        <f t="shared" si="420"/>
        <v>6.6</v>
      </c>
      <c r="T973" s="52" t="str">
        <f t="shared" si="421"/>
        <v/>
      </c>
      <c r="U973" s="52">
        <f>IFERROR(IF(AR974=AR973,INDEX('Aub Demand'!Q:Q,MATCH($O973,'Aub Demand'!$A:$A,0))-IF(AN973="",0,AN973)+AP974,INDEX('Aub Demand'!Q:Q,MATCH($O973,'Aub Demand'!$A:$A,0))-IF(AN973="",0,AN973)),"")</f>
        <v>3418</v>
      </c>
      <c r="V973" s="53">
        <f t="shared" si="422"/>
        <v>5.2</v>
      </c>
      <c r="W973" s="52" t="str">
        <f t="shared" si="423"/>
        <v/>
      </c>
      <c r="X973" s="52">
        <f>IFERROR(IF(AND(AR974=AR973,AM973&lt;&gt;""),INDEX('Aub Demand'!Q:Q,MATCH($O973,'Aub Demand'!$A:$A,0))-IF(AN973="",0,AN973)+AP974+AD973+AL973,IF(AR974=AR973,INDEX('Aub Demand'!Q:Q,MATCH($O973,'Aub Demand'!$A:$A,0))-IF(AN973="",0,AN973)+AP974+AD973,IF(AM973&lt;&gt;"",INDEX('Aub Demand'!Q:Q,MATCH($O973,'Aub Demand'!$A:$A,0))-IF(AN973="",0,AN973)+AD973+AL973,INDEX('Aub Demand'!Q:Q,MATCH($O973,'Aub Demand'!$A:$A,0))-IF(AN973="",0,AN973)+AD973))),"")</f>
        <v>3418</v>
      </c>
      <c r="Y973" s="53">
        <f t="shared" si="424"/>
        <v>5.2</v>
      </c>
      <c r="Z973" s="52">
        <f>IF(L973="","",INDEX('Aub Demand'!H:H,MATCH($O973,'Aub Demand'!$A:$A,0)))</f>
        <v>2791</v>
      </c>
      <c r="AA973" s="52">
        <f t="shared" si="425"/>
        <v>2948.5</v>
      </c>
      <c r="AB973" s="52">
        <f>IFERROR(INDEX('Aub Demand'!L:L,MATCH($O973,'Aub Demand'!$A:$A,0)),"")</f>
        <v>1233</v>
      </c>
      <c r="AC973" s="52">
        <f>IFERROR(IF(O973="","",SUMIFS('CPL Mats'!F:F,'CPL Mats'!Q:Q,AR973,'CPL Mats'!S:S,AS973)),"")</f>
        <v>0</v>
      </c>
      <c r="AF973" s="25">
        <f>IF(SUMIFS('Supp Consol'!S:S,'Supp Consol'!Y:Y,"Releasable",'Supp Consol'!A:A,O973)=0,"",SUMIFS('Supp Consol'!S:S,'Supp Consol'!Y:Y,"Releasable",'Supp Consol'!A:A,O973))</f>
        <v>4778</v>
      </c>
      <c r="AG973" s="25" t="str">
        <f>IFERROR(INDEX('Hun Demand'!Q:Q,MATCH(O973,'Hun Demand'!A:A,0)),"")</f>
        <v/>
      </c>
      <c r="AH973" s="25" t="str">
        <f>IFERROR(INDEX('Hun Demand'!H:H,MATCH($O973,'Hun Demand'!$A:$A,0)),"")</f>
        <v/>
      </c>
      <c r="AI973" s="25" t="str">
        <f>IF(SUMIFS('Supp Consol'!AA:AA,'Supp Consol'!Z:Z,"Expires this month",'Supp Consol'!A:A,O973)=0,"",SUMIFS('Supp Consol'!AA:AA,'Supp Consol'!Z:Z,"Expires this month",'Supp Consol'!A:A,O973))</f>
        <v/>
      </c>
      <c r="AJ973" s="25" t="str">
        <f>IF(SUMIFS('Supp Consol'!AA:AA,'Supp Consol'!Z:Z,"Expired Previous Months",'Supp Consol'!A:A,O973)=0,"",SUMIFS('Supp Consol'!AA:AA,'Supp Consol'!Z:Z,"Expired Previous Months",'Supp Consol'!A:A,O973))</f>
        <v/>
      </c>
      <c r="AK973" s="25" t="str">
        <f>IFERROR(INDEX('Hun Release Current'!B:B,MATCH(O973,'Hun Release Current'!A:A,0)),"")</f>
        <v/>
      </c>
      <c r="AL973" s="25" t="str">
        <f>IF(SUMIF('Prev Aub'!A:A,O973,'Prev Aub'!B:B)=0,"",SUMIF('Prev Aub'!A:A,O973,'Prev Aub'!B:B))</f>
        <v/>
      </c>
      <c r="AN973" s="25" t="s">
        <v>3790</v>
      </c>
      <c r="AO973" s="25" t="s">
        <v>3790</v>
      </c>
      <c r="AP973" s="25">
        <f t="shared" si="426"/>
        <v>0</v>
      </c>
      <c r="AQ973" s="151" t="str">
        <f>IF(SUMIFS('Supp Consol'!S:S,'Supp Consol'!A:A,O973,'Supp Consol'!I:I,"PENDING")=0,"",SUMIFS('Supp Consol'!S:S,'Supp Consol'!A:A,O973,'Supp Consol'!I:I,"PENDING"))</f>
        <v/>
      </c>
      <c r="AR973" s="27" t="str">
        <f t="shared" si="427"/>
        <v>S7024</v>
      </c>
      <c r="AS973" s="27" t="str">
        <f t="shared" si="428"/>
        <v>50</v>
      </c>
      <c r="AT973" s="27" t="str">
        <f t="shared" si="429"/>
        <v/>
      </c>
      <c r="AU973" s="27" t="str">
        <f t="shared" si="430"/>
        <v/>
      </c>
      <c r="AV973" s="27" t="str">
        <f t="shared" si="431"/>
        <v/>
      </c>
      <c r="AW973" s="27" t="str">
        <f t="shared" si="432"/>
        <v/>
      </c>
      <c r="AX973" s="27" t="str">
        <f t="shared" si="433"/>
        <v>S7024</v>
      </c>
      <c r="AY973" s="27" t="str">
        <f t="shared" si="434"/>
        <v/>
      </c>
      <c r="AZ973" s="27" t="str">
        <f t="shared" si="435"/>
        <v>Supp</v>
      </c>
      <c r="BA973" s="27" t="str">
        <f t="shared" si="436"/>
        <v/>
      </c>
      <c r="BB973" s="27" t="str">
        <f t="shared" si="437"/>
        <v/>
      </c>
      <c r="BC973" s="27" t="str">
        <f t="shared" si="438"/>
        <v/>
      </c>
      <c r="BD973" s="27" t="str">
        <f t="shared" si="439"/>
        <v/>
      </c>
      <c r="BE973" s="27" t="str">
        <f t="shared" si="440"/>
        <v/>
      </c>
      <c r="BF973" s="27" t="str">
        <f t="shared" si="441"/>
        <v/>
      </c>
      <c r="BG973" s="27" t="str">
        <f t="shared" si="442"/>
        <v/>
      </c>
      <c r="BH973" s="27" t="str">
        <f t="shared" si="443"/>
        <v/>
      </c>
      <c r="BI973" s="27" t="str">
        <f t="shared" si="444"/>
        <v/>
      </c>
      <c r="BJ973" s="27" t="str">
        <f t="shared" si="445"/>
        <v>Supp or Hun</v>
      </c>
      <c r="BK973" s="27" t="str">
        <f t="shared" si="446"/>
        <v/>
      </c>
      <c r="BL973" s="27" t="str">
        <f t="shared" si="447"/>
        <v/>
      </c>
      <c r="BM973" s="21" t="s">
        <v>5581</v>
      </c>
    </row>
    <row r="974" spans="1:65" ht="15">
      <c r="A974" s="25" t="str">
        <f>IFERROR(INDEX('Hun Demand'!W:W,MATCH(O974,'Hun Demand'!A:A,0)),"")</f>
        <v/>
      </c>
      <c r="B974" s="25" t="str">
        <f>IFERROR(INDEX('Hun Demand'!V:V,MATCH(O974,'Hun Demand'!A:A,0)),"")</f>
        <v/>
      </c>
      <c r="C974" s="25" t="str">
        <f>IFERROR(INDEX('Hun Demand'!U:U,MATCH(O974,'Hun Demand'!A:A,0)),"")</f>
        <v/>
      </c>
      <c r="D974" s="25" t="str">
        <f>IFERROR(INDEX('Hun Demand'!T:T,MATCH(O974,'Hun Demand'!A:A,0)),"")</f>
        <v/>
      </c>
      <c r="E974" s="25" t="str">
        <f>IFERROR(INDEX('Hun Demand'!S:S,MATCH(O974,'Hun Demand'!A:A,0)),"")</f>
        <v/>
      </c>
      <c r="F974" s="25" t="str">
        <f>IFERROR(INDEX('Hun Demand'!R:R,MATCH(O974,'Hun Demand'!A:A,0)),"")</f>
        <v/>
      </c>
      <c r="G974" s="25">
        <f>IFERROR(INDEX('Aub Demand'!W:W,MATCH(O974,'Aub Demand'!A:A,0)),"")</f>
        <v>1208</v>
      </c>
      <c r="H974" s="25">
        <f>IFERROR(INDEX('Aub Demand'!V:V,MATCH(O974,'Aub Demand'!A:A,0)),"")</f>
        <v>1260</v>
      </c>
      <c r="I974" s="25">
        <f>IFERROR(INDEX('Aub Demand'!U:U,MATCH(O974,'Aub Demand'!A:A,0)),"")</f>
        <v>1702</v>
      </c>
      <c r="J974" s="25">
        <f>IFERROR(INDEX('Aub Demand'!T:T,MATCH(O974,'Aub Demand'!A:A,0)),"")</f>
        <v>160</v>
      </c>
      <c r="K974" s="25">
        <f>IFERROR(INDEX('Aub Demand'!S:S,MATCH(O974,'Aub Demand'!A:A,0)),"")</f>
        <v>1442</v>
      </c>
      <c r="L974" s="25">
        <f>IFERROR(INDEX('Aub Demand'!R:R,MATCH(O974,'Aub Demand'!A:A,0)),"")</f>
        <v>0</v>
      </c>
      <c r="O974" s="27" t="s">
        <v>2562</v>
      </c>
      <c r="P974" s="27" t="str">
        <f>IFERROR(INDEX('Aub Demand'!B:B,MATCH($O974,'Aub Demand'!$A:$A,0)),"")</f>
        <v>CHALK WHITE</v>
      </c>
      <c r="Q974" s="27" t="str">
        <f>IFERROR(INDEX('Aub Demand'!C:C,MATCH($O974,'Aub Demand'!$A:$A,0)),"")</f>
        <v>ONYX</v>
      </c>
      <c r="R974" s="52">
        <f>IFERROR(IF(AR975=AR974,INDEX('Aub Demand'!K:K,MATCH($O974,'Aub Demand'!$A:$A,0))-IF(AN974="",0,AN974)+AP975,INDEX('Aub Demand'!K:K,MATCH($O974,'Aub Demand'!$A:$A,0))-IF(AN974="",0,AN974)),"")</f>
        <v>1544</v>
      </c>
      <c r="S974" s="53">
        <f t="shared" si="420"/>
        <v>6</v>
      </c>
      <c r="T974" s="52" t="str">
        <f t="shared" si="421"/>
        <v/>
      </c>
      <c r="U974" s="52">
        <f>IFERROR(IF(AR975=AR974,INDEX('Aub Demand'!Q:Q,MATCH($O974,'Aub Demand'!$A:$A,0))-IF(AN974="",0,AN974)+AP975,INDEX('Aub Demand'!Q:Q,MATCH($O974,'Aub Demand'!$A:$A,0))-IF(AN974="",0,AN974)),"")</f>
        <v>1278</v>
      </c>
      <c r="V974" s="53">
        <f t="shared" si="422"/>
        <v>5</v>
      </c>
      <c r="W974" s="52" t="str">
        <f t="shared" si="423"/>
        <v/>
      </c>
      <c r="X974" s="52">
        <f>IFERROR(IF(AND(AR975=AR974,AM974&lt;&gt;""),INDEX('Aub Demand'!Q:Q,MATCH($O974,'Aub Demand'!$A:$A,0))-IF(AN974="",0,AN974)+AP975+AD974+AL974,IF(AR975=AR974,INDEX('Aub Demand'!Q:Q,MATCH($O974,'Aub Demand'!$A:$A,0))-IF(AN974="",0,AN974)+AP975+AD974,IF(AM974&lt;&gt;"",INDEX('Aub Demand'!Q:Q,MATCH($O974,'Aub Demand'!$A:$A,0))-IF(AN974="",0,AN974)+AD974+AL974,INDEX('Aub Demand'!Q:Q,MATCH($O974,'Aub Demand'!$A:$A,0))-IF(AN974="",0,AN974)+AD974))),"")</f>
        <v>1278</v>
      </c>
      <c r="Y974" s="53">
        <f t="shared" si="424"/>
        <v>5</v>
      </c>
      <c r="Z974" s="52">
        <f>IF(L974="","",INDEX('Aub Demand'!H:H,MATCH($O974,'Aub Demand'!$A:$A,0)))</f>
        <v>1101</v>
      </c>
      <c r="AA974" s="52">
        <f t="shared" si="425"/>
        <v>1572</v>
      </c>
      <c r="AB974" s="52">
        <f>IFERROR(INDEX('Aub Demand'!L:L,MATCH($O974,'Aub Demand'!$A:$A,0)),"")</f>
        <v>781</v>
      </c>
      <c r="AC974" s="52">
        <f>IFERROR(IF(O974="","",SUMIFS('CPL Mats'!F:F,'CPL Mats'!Q:Q,AR974,'CPL Mats'!S:S,AS974)),"")</f>
        <v>0</v>
      </c>
      <c r="AF974" s="25">
        <f>IF(SUMIFS('Supp Consol'!S:S,'Supp Consol'!Y:Y,"Releasable",'Supp Consol'!A:A,O974)=0,"",SUMIFS('Supp Consol'!S:S,'Supp Consol'!Y:Y,"Releasable",'Supp Consol'!A:A,O974))</f>
        <v>4111</v>
      </c>
      <c r="AG974" s="25" t="str">
        <f>IFERROR(INDEX('Hun Demand'!Q:Q,MATCH(O974,'Hun Demand'!A:A,0)),"")</f>
        <v/>
      </c>
      <c r="AH974" s="25" t="str">
        <f>IFERROR(INDEX('Hun Demand'!H:H,MATCH($O974,'Hun Demand'!$A:$A,0)),"")</f>
        <v/>
      </c>
      <c r="AI974" s="25" t="str">
        <f>IF(SUMIFS('Supp Consol'!AA:AA,'Supp Consol'!Z:Z,"Expires this month",'Supp Consol'!A:A,O974)=0,"",SUMIFS('Supp Consol'!AA:AA,'Supp Consol'!Z:Z,"Expires this month",'Supp Consol'!A:A,O974))</f>
        <v/>
      </c>
      <c r="AJ974" s="25" t="str">
        <f>IF(SUMIFS('Supp Consol'!AA:AA,'Supp Consol'!Z:Z,"Expired Previous Months",'Supp Consol'!A:A,O974)=0,"",SUMIFS('Supp Consol'!AA:AA,'Supp Consol'!Z:Z,"Expired Previous Months",'Supp Consol'!A:A,O974))</f>
        <v/>
      </c>
      <c r="AK974" s="25" t="str">
        <f>IFERROR(INDEX('Hun Release Current'!B:B,MATCH(O974,'Hun Release Current'!A:A,0)),"")</f>
        <v/>
      </c>
      <c r="AL974" s="25" t="str">
        <f>IF(SUMIF('Prev Aub'!A:A,O974,'Prev Aub'!B:B)=0,"",SUMIF('Prev Aub'!A:A,O974,'Prev Aub'!B:B))</f>
        <v/>
      </c>
      <c r="AN974" s="25" t="s">
        <v>3790</v>
      </c>
      <c r="AO974" s="25" t="s">
        <v>3790</v>
      </c>
      <c r="AP974" s="25">
        <f t="shared" si="426"/>
        <v>0</v>
      </c>
      <c r="AQ974" s="151" t="str">
        <f>IF(SUMIFS('Supp Consol'!S:S,'Supp Consol'!A:A,O974,'Supp Consol'!I:I,"PENDING")=0,"",SUMIFS('Supp Consol'!S:S,'Supp Consol'!A:A,O974,'Supp Consol'!I:I,"PENDING"))</f>
        <v/>
      </c>
      <c r="AR974" s="27" t="str">
        <f t="shared" si="427"/>
        <v>S7024</v>
      </c>
      <c r="AS974" s="27" t="str">
        <f t="shared" si="428"/>
        <v>62</v>
      </c>
      <c r="AT974" s="27" t="str">
        <f t="shared" si="429"/>
        <v/>
      </c>
      <c r="AU974" s="27" t="str">
        <f t="shared" si="430"/>
        <v/>
      </c>
      <c r="AV974" s="27" t="str">
        <f t="shared" si="431"/>
        <v/>
      </c>
      <c r="AW974" s="27" t="str">
        <f t="shared" si="432"/>
        <v/>
      </c>
      <c r="AX974" s="27" t="str">
        <f t="shared" si="433"/>
        <v>S7024</v>
      </c>
      <c r="AY974" s="27" t="str">
        <f t="shared" si="434"/>
        <v/>
      </c>
      <c r="AZ974" s="27" t="str">
        <f t="shared" si="435"/>
        <v>Supp</v>
      </c>
      <c r="BA974" s="27" t="str">
        <f t="shared" si="436"/>
        <v/>
      </c>
      <c r="BB974" s="27" t="str">
        <f t="shared" si="437"/>
        <v/>
      </c>
      <c r="BC974" s="27" t="str">
        <f t="shared" si="438"/>
        <v/>
      </c>
      <c r="BD974" s="27" t="str">
        <f t="shared" si="439"/>
        <v/>
      </c>
      <c r="BE974" s="27" t="str">
        <f t="shared" si="440"/>
        <v/>
      </c>
      <c r="BF974" s="27" t="str">
        <f t="shared" si="441"/>
        <v/>
      </c>
      <c r="BG974" s="27" t="str">
        <f t="shared" si="442"/>
        <v/>
      </c>
      <c r="BH974" s="27" t="str">
        <f t="shared" si="443"/>
        <v/>
      </c>
      <c r="BI974" s="27" t="str">
        <f t="shared" si="444"/>
        <v/>
      </c>
      <c r="BJ974" s="27" t="str">
        <f t="shared" si="445"/>
        <v>Supp or Hun</v>
      </c>
      <c r="BK974" s="27" t="str">
        <f t="shared" si="446"/>
        <v/>
      </c>
      <c r="BL974" s="27" t="str">
        <f t="shared" si="447"/>
        <v/>
      </c>
      <c r="BM974" s="21" t="s">
        <v>5581</v>
      </c>
    </row>
    <row r="975" spans="1:65" ht="15">
      <c r="A975" s="25" t="str">
        <f>IFERROR(INDEX('Hun Demand'!W:W,MATCH(O975,'Hun Demand'!A:A,0)),"")</f>
        <v/>
      </c>
      <c r="B975" s="25" t="str">
        <f>IFERROR(INDEX('Hun Demand'!V:V,MATCH(O975,'Hun Demand'!A:A,0)),"")</f>
        <v/>
      </c>
      <c r="C975" s="25" t="str">
        <f>IFERROR(INDEX('Hun Demand'!U:U,MATCH(O975,'Hun Demand'!A:A,0)),"")</f>
        <v/>
      </c>
      <c r="D975" s="25" t="str">
        <f>IFERROR(INDEX('Hun Demand'!T:T,MATCH(O975,'Hun Demand'!A:A,0)),"")</f>
        <v/>
      </c>
      <c r="E975" s="25" t="str">
        <f>IFERROR(INDEX('Hun Demand'!S:S,MATCH(O975,'Hun Demand'!A:A,0)),"")</f>
        <v/>
      </c>
      <c r="F975" s="25" t="str">
        <f>IFERROR(INDEX('Hun Demand'!R:R,MATCH(O975,'Hun Demand'!A:A,0)),"")</f>
        <v/>
      </c>
      <c r="G975" s="25">
        <f>IFERROR(INDEX('Aub Demand'!W:W,MATCH(O975,'Aub Demand'!A:A,0)),"")</f>
        <v>229</v>
      </c>
      <c r="H975" s="25">
        <f>IFERROR(INDEX('Aub Demand'!V:V,MATCH(O975,'Aub Demand'!A:A,0)),"")</f>
        <v>6</v>
      </c>
      <c r="I975" s="25">
        <f>IFERROR(INDEX('Aub Demand'!U:U,MATCH(O975,'Aub Demand'!A:A,0)),"")</f>
        <v>0</v>
      </c>
      <c r="J975" s="25">
        <f>IFERROR(INDEX('Aub Demand'!T:T,MATCH(O975,'Aub Demand'!A:A,0)),"")</f>
        <v>0</v>
      </c>
      <c r="K975" s="25">
        <f>IFERROR(INDEX('Aub Demand'!S:S,MATCH(O975,'Aub Demand'!A:A,0)),"")</f>
        <v>121</v>
      </c>
      <c r="L975" s="25">
        <f>IFERROR(INDEX('Aub Demand'!R:R,MATCH(O975,'Aub Demand'!A:A,0)),"")</f>
        <v>0</v>
      </c>
      <c r="O975" s="27" t="s">
        <v>2563</v>
      </c>
      <c r="P975" s="27" t="str">
        <f>IFERROR(INDEX('Aub Demand'!B:B,MATCH($O975,'Aub Demand'!$A:$A,0)),"")</f>
        <v>FRESH PAPAYA 48"</v>
      </c>
      <c r="Q975" s="27" t="str">
        <f>IFERROR(INDEX('Aub Demand'!C:C,MATCH($O975,'Aub Demand'!$A:$A,0)),"")</f>
        <v>AHLST</v>
      </c>
      <c r="R975" s="52">
        <f>IFERROR(IF(AR976=AR975,INDEX('Aub Demand'!K:K,MATCH($O975,'Aub Demand'!$A:$A,0))-IF(AN975="",0,AN975)+AP976,INDEX('Aub Demand'!K:K,MATCH($O975,'Aub Demand'!$A:$A,0))-IF(AN975="",0,AN975)),"")</f>
        <v>687</v>
      </c>
      <c r="S975" s="53">
        <f t="shared" si="420"/>
        <v>73.599999999999994</v>
      </c>
      <c r="T975" s="52" t="str">
        <f t="shared" si="421"/>
        <v/>
      </c>
      <c r="U975" s="52">
        <f>IFERROR(IF(AR976=AR975,INDEX('Aub Demand'!Q:Q,MATCH($O975,'Aub Demand'!$A:$A,0))-IF(AN975="",0,AN975)+AP976,INDEX('Aub Demand'!Q:Q,MATCH($O975,'Aub Demand'!$A:$A,0))-IF(AN975="",0,AN975)),"")</f>
        <v>449</v>
      </c>
      <c r="V975" s="53">
        <f t="shared" si="422"/>
        <v>48.1</v>
      </c>
      <c r="W975" s="52" t="str">
        <f t="shared" si="423"/>
        <v/>
      </c>
      <c r="X975" s="52">
        <f>IFERROR(IF(AND(AR976=AR975,AM975&lt;&gt;""),INDEX('Aub Demand'!Q:Q,MATCH($O975,'Aub Demand'!$A:$A,0))-IF(AN975="",0,AN975)+AP976+AD975+AL975,IF(AR976=AR975,INDEX('Aub Demand'!Q:Q,MATCH($O975,'Aub Demand'!$A:$A,0))-IF(AN975="",0,AN975)+AP976+AD975,IF(AM975&lt;&gt;"",INDEX('Aub Demand'!Q:Q,MATCH($O975,'Aub Demand'!$A:$A,0))-IF(AN975="",0,AN975)+AD975+AL975,INDEX('Aub Demand'!Q:Q,MATCH($O975,'Aub Demand'!$A:$A,0))-IF(AN975="",0,AN975)+AD975))),"")</f>
        <v>449</v>
      </c>
      <c r="Y975" s="53">
        <f t="shared" si="424"/>
        <v>48.1</v>
      </c>
      <c r="Z975" s="52">
        <f>IF(L975="","",INDEX('Aub Demand'!H:H,MATCH($O975,'Aub Demand'!$A:$A,0)))</f>
        <v>40</v>
      </c>
      <c r="AA975" s="52" t="str">
        <f t="shared" si="425"/>
        <v>-spike-</v>
      </c>
      <c r="AB975" s="52">
        <f>IFERROR(INDEX('Aub Demand'!L:L,MATCH($O975,'Aub Demand'!$A:$A,0)),"")</f>
        <v>67</v>
      </c>
      <c r="AC975" s="52">
        <f>IFERROR(IF(O975="","",SUMIFS('CPL Mats'!F:F,'CPL Mats'!Q:Q,AR975,'CPL Mats'!S:S,AS975)),"")</f>
        <v>0</v>
      </c>
      <c r="AF975" s="25" t="str">
        <f>IF(SUMIFS('Supp Consol'!S:S,'Supp Consol'!Y:Y,"Releasable",'Supp Consol'!A:A,O975)=0,"",SUMIFS('Supp Consol'!S:S,'Supp Consol'!Y:Y,"Releasable",'Supp Consol'!A:A,O975))</f>
        <v/>
      </c>
      <c r="AG975" s="25" t="str">
        <f>IFERROR(INDEX('Hun Demand'!Q:Q,MATCH(O975,'Hun Demand'!A:A,0)),"")</f>
        <v/>
      </c>
      <c r="AH975" s="25" t="str">
        <f>IFERROR(INDEX('Hun Demand'!H:H,MATCH($O975,'Hun Demand'!$A:$A,0)),"")</f>
        <v/>
      </c>
      <c r="AI975" s="25" t="str">
        <f>IF(SUMIFS('Supp Consol'!AA:AA,'Supp Consol'!Z:Z,"Expires this month",'Supp Consol'!A:A,O975)=0,"",SUMIFS('Supp Consol'!AA:AA,'Supp Consol'!Z:Z,"Expires this month",'Supp Consol'!A:A,O975))</f>
        <v/>
      </c>
      <c r="AJ975" s="25" t="str">
        <f>IF(SUMIFS('Supp Consol'!AA:AA,'Supp Consol'!Z:Z,"Expired Previous Months",'Supp Consol'!A:A,O975)=0,"",SUMIFS('Supp Consol'!AA:AA,'Supp Consol'!Z:Z,"Expired Previous Months",'Supp Consol'!A:A,O975))</f>
        <v/>
      </c>
      <c r="AK975" s="25" t="str">
        <f>IFERROR(INDEX('Hun Release Current'!B:B,MATCH(O975,'Hun Release Current'!A:A,0)),"")</f>
        <v/>
      </c>
      <c r="AL975" s="25" t="str">
        <f>IF(SUMIF('Prev Aub'!A:A,O975,'Prev Aub'!B:B)=0,"",SUMIF('Prev Aub'!A:A,O975,'Prev Aub'!B:B))</f>
        <v/>
      </c>
      <c r="AN975" s="25" t="s">
        <v>3790</v>
      </c>
      <c r="AO975" s="25" t="s">
        <v>3790</v>
      </c>
      <c r="AP975" s="25">
        <f t="shared" si="426"/>
        <v>0</v>
      </c>
      <c r="AQ975" s="151" t="str">
        <f>IF(SUMIFS('Supp Consol'!S:S,'Supp Consol'!A:A,O975,'Supp Consol'!I:I,"PENDING")=0,"",SUMIFS('Supp Consol'!S:S,'Supp Consol'!A:A,O975,'Supp Consol'!I:I,"PENDING"))</f>
        <v/>
      </c>
      <c r="AR975" s="27" t="str">
        <f t="shared" si="427"/>
        <v>S8001</v>
      </c>
      <c r="AS975" s="27" t="str">
        <f t="shared" si="428"/>
        <v>50</v>
      </c>
      <c r="AT975" s="27" t="str">
        <f t="shared" si="429"/>
        <v/>
      </c>
      <c r="AU975" s="27" t="str">
        <f t="shared" si="430"/>
        <v/>
      </c>
      <c r="AV975" s="27" t="str">
        <f t="shared" si="431"/>
        <v/>
      </c>
      <c r="AW975" s="27" t="str">
        <f t="shared" si="432"/>
        <v/>
      </c>
      <c r="AX975" s="27" t="str">
        <f t="shared" si="433"/>
        <v/>
      </c>
      <c r="AY975" s="27" t="str">
        <f t="shared" si="434"/>
        <v/>
      </c>
      <c r="AZ975" s="27" t="str">
        <f t="shared" si="435"/>
        <v/>
      </c>
      <c r="BA975" s="27" t="str">
        <f t="shared" si="436"/>
        <v/>
      </c>
      <c r="BB975" s="27" t="str">
        <f t="shared" si="437"/>
        <v/>
      </c>
      <c r="BC975" s="27" t="str">
        <f t="shared" si="438"/>
        <v/>
      </c>
      <c r="BD975" s="27" t="str">
        <f t="shared" si="439"/>
        <v/>
      </c>
      <c r="BE975" s="27" t="str">
        <f t="shared" si="440"/>
        <v/>
      </c>
      <c r="BF975" s="27" t="str">
        <f t="shared" si="441"/>
        <v/>
      </c>
      <c r="BG975" s="27" t="str">
        <f t="shared" si="442"/>
        <v/>
      </c>
      <c r="BH975" s="27" t="str">
        <f t="shared" si="443"/>
        <v/>
      </c>
      <c r="BI975" s="27" t="str">
        <f t="shared" si="444"/>
        <v/>
      </c>
      <c r="BJ975" s="27" t="str">
        <f t="shared" si="445"/>
        <v/>
      </c>
      <c r="BK975" s="27" t="str">
        <f t="shared" si="446"/>
        <v/>
      </c>
      <c r="BL975" s="27" t="str">
        <f t="shared" si="447"/>
        <v/>
      </c>
      <c r="BM975" s="21" t="s">
        <v>5581</v>
      </c>
    </row>
    <row r="976" spans="1:65" ht="15">
      <c r="A976" s="25" t="str">
        <f>IFERROR(INDEX('Hun Demand'!W:W,MATCH(O976,'Hun Demand'!A:A,0)),"")</f>
        <v/>
      </c>
      <c r="B976" s="25" t="str">
        <f>IFERROR(INDEX('Hun Demand'!V:V,MATCH(O976,'Hun Demand'!A:A,0)),"")</f>
        <v/>
      </c>
      <c r="C976" s="25" t="str">
        <f>IFERROR(INDEX('Hun Demand'!U:U,MATCH(O976,'Hun Demand'!A:A,0)),"")</f>
        <v/>
      </c>
      <c r="D976" s="25" t="str">
        <f>IFERROR(INDEX('Hun Demand'!T:T,MATCH(O976,'Hun Demand'!A:A,0)),"")</f>
        <v/>
      </c>
      <c r="E976" s="25" t="str">
        <f>IFERROR(INDEX('Hun Demand'!S:S,MATCH(O976,'Hun Demand'!A:A,0)),"")</f>
        <v/>
      </c>
      <c r="F976" s="25" t="str">
        <f>IFERROR(INDEX('Hun Demand'!R:R,MATCH(O976,'Hun Demand'!A:A,0)),"")</f>
        <v/>
      </c>
      <c r="G976" s="25">
        <f>IFERROR(INDEX('Aub Demand'!W:W,MATCH(O976,'Aub Demand'!A:A,0)),"")</f>
        <v>58</v>
      </c>
      <c r="H976" s="25">
        <f>IFERROR(INDEX('Aub Demand'!V:V,MATCH(O976,'Aub Demand'!A:A,0)),"")</f>
        <v>79</v>
      </c>
      <c r="I976" s="25">
        <f>IFERROR(INDEX('Aub Demand'!U:U,MATCH(O976,'Aub Demand'!A:A,0)),"")</f>
        <v>97</v>
      </c>
      <c r="J976" s="25">
        <f>IFERROR(INDEX('Aub Demand'!T:T,MATCH(O976,'Aub Demand'!A:A,0)),"")</f>
        <v>0</v>
      </c>
      <c r="K976" s="25">
        <f>IFERROR(INDEX('Aub Demand'!S:S,MATCH(O976,'Aub Demand'!A:A,0)),"")</f>
        <v>0</v>
      </c>
      <c r="L976" s="25">
        <f>IFERROR(INDEX('Aub Demand'!R:R,MATCH(O976,'Aub Demand'!A:A,0)),"")</f>
        <v>0</v>
      </c>
      <c r="O976" s="27" t="s">
        <v>2565</v>
      </c>
      <c r="P976" s="27" t="str">
        <f>IFERROR(INDEX('Aub Demand'!B:B,MATCH($O976,'Aub Demand'!$A:$A,0)),"")</f>
        <v>FRESH PAPAYA 60"</v>
      </c>
      <c r="Q976" s="27" t="str">
        <f>IFERROR(INDEX('Aub Demand'!C:C,MATCH($O976,'Aub Demand'!$A:$A,0)),"")</f>
        <v>AHLST</v>
      </c>
      <c r="R976" s="52">
        <f>IFERROR(IF(AR977=AR976,INDEX('Aub Demand'!K:K,MATCH($O976,'Aub Demand'!$A:$A,0))-IF(AN976="",0,AN976)+AP977,INDEX('Aub Demand'!K:K,MATCH($O976,'Aub Demand'!$A:$A,0))-IF(AN976="",0,AN976)),"")</f>
        <v>1730</v>
      </c>
      <c r="S976" s="53">
        <f t="shared" si="420"/>
        <v>231.7</v>
      </c>
      <c r="T976" s="52" t="str">
        <f t="shared" si="421"/>
        <v/>
      </c>
      <c r="U976" s="52">
        <f>IFERROR(IF(AR977=AR976,INDEX('Aub Demand'!Q:Q,MATCH($O976,'Aub Demand'!$A:$A,0))-IF(AN976="",0,AN976)+AP977,INDEX('Aub Demand'!Q:Q,MATCH($O976,'Aub Demand'!$A:$A,0))-IF(AN976="",0,AN976)),"")</f>
        <v>1702</v>
      </c>
      <c r="V976" s="53">
        <f t="shared" si="422"/>
        <v>227.9</v>
      </c>
      <c r="W976" s="52" t="str">
        <f t="shared" si="423"/>
        <v/>
      </c>
      <c r="X976" s="52">
        <f>IFERROR(IF(AND(AR977=AR976,AM976&lt;&gt;""),INDEX('Aub Demand'!Q:Q,MATCH($O976,'Aub Demand'!$A:$A,0))-IF(AN976="",0,AN976)+AP977+AD976+AL976,IF(AR977=AR976,INDEX('Aub Demand'!Q:Q,MATCH($O976,'Aub Demand'!$A:$A,0))-IF(AN976="",0,AN976)+AP977+AD976,IF(AM976&lt;&gt;"",INDEX('Aub Demand'!Q:Q,MATCH($O976,'Aub Demand'!$A:$A,0))-IF(AN976="",0,AN976)+AD976+AL976,INDEX('Aub Demand'!Q:Q,MATCH($O976,'Aub Demand'!$A:$A,0))-IF(AN976="",0,AN976)+AD976))),"")</f>
        <v>1702</v>
      </c>
      <c r="Y976" s="53">
        <f t="shared" si="424"/>
        <v>227.9</v>
      </c>
      <c r="Z976" s="52">
        <f>IF(L976="","",INDEX('Aub Demand'!H:H,MATCH($O976,'Aub Demand'!$A:$A,0)))</f>
        <v>32</v>
      </c>
      <c r="AA976" s="52" t="str">
        <f t="shared" si="425"/>
        <v>-spike-</v>
      </c>
      <c r="AB976" s="52">
        <f>IFERROR(INDEX('Aub Demand'!L:L,MATCH($O976,'Aub Demand'!$A:$A,0)),"")</f>
        <v>92</v>
      </c>
      <c r="AC976" s="52">
        <f>IFERROR(IF(O976="","",SUMIFS('CPL Mats'!F:F,'CPL Mats'!Q:Q,AR976,'CPL Mats'!S:S,AS976)),"")</f>
        <v>0</v>
      </c>
      <c r="AF976" s="25" t="str">
        <f>IF(SUMIFS('Supp Consol'!S:S,'Supp Consol'!Y:Y,"Releasable",'Supp Consol'!A:A,O976)=0,"",SUMIFS('Supp Consol'!S:S,'Supp Consol'!Y:Y,"Releasable",'Supp Consol'!A:A,O976))</f>
        <v/>
      </c>
      <c r="AG976" s="25" t="str">
        <f>IFERROR(INDEX('Hun Demand'!Q:Q,MATCH(O976,'Hun Demand'!A:A,0)),"")</f>
        <v/>
      </c>
      <c r="AH976" s="25" t="str">
        <f>IFERROR(INDEX('Hun Demand'!H:H,MATCH($O976,'Hun Demand'!$A:$A,0)),"")</f>
        <v/>
      </c>
      <c r="AI976" s="25" t="str">
        <f>IF(SUMIFS('Supp Consol'!AA:AA,'Supp Consol'!Z:Z,"Expires this month",'Supp Consol'!A:A,O976)=0,"",SUMIFS('Supp Consol'!AA:AA,'Supp Consol'!Z:Z,"Expires this month",'Supp Consol'!A:A,O976))</f>
        <v/>
      </c>
      <c r="AJ976" s="25" t="str">
        <f>IF(SUMIFS('Supp Consol'!AA:AA,'Supp Consol'!Z:Z,"Expired Previous Months",'Supp Consol'!A:A,O976)=0,"",SUMIFS('Supp Consol'!AA:AA,'Supp Consol'!Z:Z,"Expired Previous Months",'Supp Consol'!A:A,O976))</f>
        <v/>
      </c>
      <c r="AK976" s="25" t="str">
        <f>IFERROR(INDEX('Hun Release Current'!B:B,MATCH(O976,'Hun Release Current'!A:A,0)),"")</f>
        <v/>
      </c>
      <c r="AL976" s="25" t="str">
        <f>IF(SUMIF('Prev Aub'!A:A,O976,'Prev Aub'!B:B)=0,"",SUMIF('Prev Aub'!A:A,O976,'Prev Aub'!B:B))</f>
        <v/>
      </c>
      <c r="AN976" s="25" t="s">
        <v>3790</v>
      </c>
      <c r="AO976" s="25" t="s">
        <v>3790</v>
      </c>
      <c r="AP976" s="25">
        <f t="shared" si="426"/>
        <v>0</v>
      </c>
      <c r="AQ976" s="151" t="str">
        <f>IF(SUMIFS('Supp Consol'!S:S,'Supp Consol'!A:A,O976,'Supp Consol'!I:I,"PENDING")=0,"",SUMIFS('Supp Consol'!S:S,'Supp Consol'!A:A,O976,'Supp Consol'!I:I,"PENDING"))</f>
        <v/>
      </c>
      <c r="AR976" s="27" t="str">
        <f t="shared" si="427"/>
        <v>S8001</v>
      </c>
      <c r="AS976" s="27" t="str">
        <f t="shared" si="428"/>
        <v>62</v>
      </c>
      <c r="AT976" s="27" t="str">
        <f t="shared" si="429"/>
        <v/>
      </c>
      <c r="AU976" s="27" t="str">
        <f t="shared" si="430"/>
        <v/>
      </c>
      <c r="AV976" s="27" t="str">
        <f t="shared" si="431"/>
        <v/>
      </c>
      <c r="AW976" s="27" t="str">
        <f t="shared" si="432"/>
        <v/>
      </c>
      <c r="AX976" s="27" t="str">
        <f t="shared" si="433"/>
        <v/>
      </c>
      <c r="AY976" s="27" t="str">
        <f t="shared" si="434"/>
        <v/>
      </c>
      <c r="AZ976" s="27" t="str">
        <f t="shared" si="435"/>
        <v/>
      </c>
      <c r="BA976" s="27" t="str">
        <f t="shared" si="436"/>
        <v/>
      </c>
      <c r="BB976" s="27" t="str">
        <f t="shared" si="437"/>
        <v/>
      </c>
      <c r="BC976" s="27" t="str">
        <f t="shared" si="438"/>
        <v/>
      </c>
      <c r="BD976" s="27" t="str">
        <f t="shared" si="439"/>
        <v/>
      </c>
      <c r="BE976" s="27" t="str">
        <f t="shared" si="440"/>
        <v/>
      </c>
      <c r="BF976" s="27" t="str">
        <f t="shared" si="441"/>
        <v/>
      </c>
      <c r="BG976" s="27" t="str">
        <f t="shared" si="442"/>
        <v/>
      </c>
      <c r="BH976" s="27" t="str">
        <f t="shared" si="443"/>
        <v/>
      </c>
      <c r="BI976" s="27" t="str">
        <f t="shared" si="444"/>
        <v/>
      </c>
      <c r="BJ976" s="27" t="str">
        <f t="shared" si="445"/>
        <v/>
      </c>
      <c r="BK976" s="27" t="str">
        <f t="shared" si="446"/>
        <v/>
      </c>
      <c r="BL976" s="27" t="str">
        <f t="shared" si="447"/>
        <v/>
      </c>
      <c r="BM976" s="21" t="s">
        <v>5581</v>
      </c>
    </row>
    <row r="977" spans="1:65" ht="15">
      <c r="A977" s="25" t="str">
        <f>IFERROR(INDEX('Hun Demand'!W:W,MATCH(O977,'Hun Demand'!A:A,0)),"")</f>
        <v/>
      </c>
      <c r="B977" s="25" t="str">
        <f>IFERROR(INDEX('Hun Demand'!V:V,MATCH(O977,'Hun Demand'!A:A,0)),"")</f>
        <v/>
      </c>
      <c r="C977" s="25" t="str">
        <f>IFERROR(INDEX('Hun Demand'!U:U,MATCH(O977,'Hun Demand'!A:A,0)),"")</f>
        <v/>
      </c>
      <c r="D977" s="25" t="str">
        <f>IFERROR(INDEX('Hun Demand'!T:T,MATCH(O977,'Hun Demand'!A:A,0)),"")</f>
        <v/>
      </c>
      <c r="E977" s="25" t="str">
        <f>IFERROR(INDEX('Hun Demand'!S:S,MATCH(O977,'Hun Demand'!A:A,0)),"")</f>
        <v/>
      </c>
      <c r="F977" s="25" t="str">
        <f>IFERROR(INDEX('Hun Demand'!R:R,MATCH(O977,'Hun Demand'!A:A,0)),"")</f>
        <v/>
      </c>
      <c r="G977" s="25">
        <f>IFERROR(INDEX('Aub Demand'!W:W,MATCH(O977,'Aub Demand'!A:A,0)),"")</f>
        <v>121</v>
      </c>
      <c r="H977" s="25">
        <f>IFERROR(INDEX('Aub Demand'!V:V,MATCH(O977,'Aub Demand'!A:A,0)),"")</f>
        <v>0</v>
      </c>
      <c r="I977" s="25">
        <f>IFERROR(INDEX('Aub Demand'!U:U,MATCH(O977,'Aub Demand'!A:A,0)),"")</f>
        <v>0</v>
      </c>
      <c r="J977" s="25">
        <f>IFERROR(INDEX('Aub Demand'!T:T,MATCH(O977,'Aub Demand'!A:A,0)),"")</f>
        <v>0</v>
      </c>
      <c r="K977" s="25">
        <f>IFERROR(INDEX('Aub Demand'!S:S,MATCH(O977,'Aub Demand'!A:A,0)),"")</f>
        <v>0</v>
      </c>
      <c r="L977" s="25">
        <f>IFERROR(INDEX('Aub Demand'!R:R,MATCH(O977,'Aub Demand'!A:A,0)),"")</f>
        <v>0</v>
      </c>
      <c r="O977" s="27" t="s">
        <v>2567</v>
      </c>
      <c r="P977" s="27" t="str">
        <f>IFERROR(INDEX('Aub Demand'!B:B,MATCH($O977,'Aub Demand'!$A:$A,0)),"")</f>
        <v>SPICY FLAVORS 48"</v>
      </c>
      <c r="Q977" s="27" t="str">
        <f>IFERROR(INDEX('Aub Demand'!C:C,MATCH($O977,'Aub Demand'!$A:$A,0)),"")</f>
        <v>AHLST</v>
      </c>
      <c r="R977" s="52">
        <f>IFERROR(IF(AR978=AR977,INDEX('Aub Demand'!K:K,MATCH($O977,'Aub Demand'!$A:$A,0))-IF(AN977="",0,AN977)+AP978,INDEX('Aub Demand'!K:K,MATCH($O977,'Aub Demand'!$A:$A,0))-IF(AN977="",0,AN977)),"")</f>
        <v>0</v>
      </c>
      <c r="S977" s="53" t="str">
        <f t="shared" si="420"/>
        <v>n/a</v>
      </c>
      <c r="T977" s="52" t="str">
        <f t="shared" si="421"/>
        <v/>
      </c>
      <c r="U977" s="52">
        <f>IFERROR(IF(AR978=AR977,INDEX('Aub Demand'!Q:Q,MATCH($O977,'Aub Demand'!$A:$A,0))-IF(AN977="",0,AN977)+AP978,INDEX('Aub Demand'!Q:Q,MATCH($O977,'Aub Demand'!$A:$A,0))-IF(AN977="",0,AN977)),"")</f>
        <v>-8</v>
      </c>
      <c r="V977" s="53" t="str">
        <f t="shared" si="422"/>
        <v>n/a</v>
      </c>
      <c r="W977" s="52" t="str">
        <f t="shared" si="423"/>
        <v/>
      </c>
      <c r="X977" s="52">
        <f>IFERROR(IF(AND(AR978=AR977,AM977&lt;&gt;""),INDEX('Aub Demand'!Q:Q,MATCH($O977,'Aub Demand'!$A:$A,0))-IF(AN977="",0,AN977)+AP978+AD977+AL977,IF(AR978=AR977,INDEX('Aub Demand'!Q:Q,MATCH($O977,'Aub Demand'!$A:$A,0))-IF(AN977="",0,AN977)+AP978+AD977,IF(AM977&lt;&gt;"",INDEX('Aub Demand'!Q:Q,MATCH($O977,'Aub Demand'!$A:$A,0))-IF(AN977="",0,AN977)+AD977+AL977,INDEX('Aub Demand'!Q:Q,MATCH($O977,'Aub Demand'!$A:$A,0))-IF(AN977="",0,AN977)+AD977))),"")</f>
        <v>-8</v>
      </c>
      <c r="Y977" s="53" t="str">
        <f t="shared" si="424"/>
        <v>n/a</v>
      </c>
      <c r="Z977" s="52">
        <f>IF(L977="","",INDEX('Aub Demand'!H:H,MATCH($O977,'Aub Demand'!$A:$A,0)))</f>
        <v>0</v>
      </c>
      <c r="AA977" s="52" t="str">
        <f t="shared" si="425"/>
        <v>-spike-</v>
      </c>
      <c r="AB977" s="52">
        <f>IFERROR(INDEX('Aub Demand'!L:L,MATCH($O977,'Aub Demand'!$A:$A,0)),"")</f>
        <v>21</v>
      </c>
      <c r="AC977" s="52">
        <f>IFERROR(IF(O977="","",SUMIFS('CPL Mats'!F:F,'CPL Mats'!Q:Q,AR977,'CPL Mats'!S:S,AS977)),"")</f>
        <v>0</v>
      </c>
      <c r="AF977" s="25" t="str">
        <f>IF(SUMIFS('Supp Consol'!S:S,'Supp Consol'!Y:Y,"Releasable",'Supp Consol'!A:A,O977)=0,"",SUMIFS('Supp Consol'!S:S,'Supp Consol'!Y:Y,"Releasable",'Supp Consol'!A:A,O977))</f>
        <v/>
      </c>
      <c r="AG977" s="25" t="str">
        <f>IFERROR(INDEX('Hun Demand'!Q:Q,MATCH(O977,'Hun Demand'!A:A,0)),"")</f>
        <v/>
      </c>
      <c r="AH977" s="25" t="str">
        <f>IFERROR(INDEX('Hun Demand'!H:H,MATCH($O977,'Hun Demand'!$A:$A,0)),"")</f>
        <v/>
      </c>
      <c r="AI977" s="25" t="str">
        <f>IF(SUMIFS('Supp Consol'!AA:AA,'Supp Consol'!Z:Z,"Expires this month",'Supp Consol'!A:A,O977)=0,"",SUMIFS('Supp Consol'!AA:AA,'Supp Consol'!Z:Z,"Expires this month",'Supp Consol'!A:A,O977))</f>
        <v/>
      </c>
      <c r="AJ977" s="25" t="str">
        <f>IF(SUMIFS('Supp Consol'!AA:AA,'Supp Consol'!Z:Z,"Expired Previous Months",'Supp Consol'!A:A,O977)=0,"",SUMIFS('Supp Consol'!AA:AA,'Supp Consol'!Z:Z,"Expired Previous Months",'Supp Consol'!A:A,O977))</f>
        <v/>
      </c>
      <c r="AK977" s="25" t="str">
        <f>IFERROR(INDEX('Hun Release Current'!B:B,MATCH(O977,'Hun Release Current'!A:A,0)),"")</f>
        <v/>
      </c>
      <c r="AL977" s="25" t="str">
        <f>IF(SUMIF('Prev Aub'!A:A,O977,'Prev Aub'!B:B)=0,"",SUMIF('Prev Aub'!A:A,O977,'Prev Aub'!B:B))</f>
        <v/>
      </c>
      <c r="AN977" s="25" t="s">
        <v>3790</v>
      </c>
      <c r="AO977" s="25" t="s">
        <v>3790</v>
      </c>
      <c r="AP977" s="25">
        <f t="shared" si="426"/>
        <v>0</v>
      </c>
      <c r="AQ977" s="151" t="str">
        <f>IF(SUMIFS('Supp Consol'!S:S,'Supp Consol'!A:A,O977,'Supp Consol'!I:I,"PENDING")=0,"",SUMIFS('Supp Consol'!S:S,'Supp Consol'!A:A,O977,'Supp Consol'!I:I,"PENDING"))</f>
        <v/>
      </c>
      <c r="AR977" s="27" t="str">
        <f t="shared" si="427"/>
        <v>S8002</v>
      </c>
      <c r="AS977" s="27" t="str">
        <f t="shared" si="428"/>
        <v>50</v>
      </c>
      <c r="AT977" s="27" t="str">
        <f t="shared" si="429"/>
        <v/>
      </c>
      <c r="AU977" s="27" t="str">
        <f t="shared" si="430"/>
        <v/>
      </c>
      <c r="AV977" s="27" t="str">
        <f t="shared" si="431"/>
        <v/>
      </c>
      <c r="AW977" s="27" t="str">
        <f t="shared" si="432"/>
        <v/>
      </c>
      <c r="AX977" s="27" t="str">
        <f t="shared" si="433"/>
        <v/>
      </c>
      <c r="AY977" s="27" t="str">
        <f t="shared" si="434"/>
        <v/>
      </c>
      <c r="AZ977" s="27" t="str">
        <f t="shared" si="435"/>
        <v/>
      </c>
      <c r="BA977" s="27" t="str">
        <f t="shared" si="436"/>
        <v/>
      </c>
      <c r="BB977" s="27" t="str">
        <f t="shared" si="437"/>
        <v/>
      </c>
      <c r="BC977" s="27" t="str">
        <f t="shared" si="438"/>
        <v/>
      </c>
      <c r="BD977" s="27" t="str">
        <f t="shared" si="439"/>
        <v/>
      </c>
      <c r="BE977" s="27" t="str">
        <f t="shared" si="440"/>
        <v/>
      </c>
      <c r="BF977" s="27" t="str">
        <f t="shared" si="441"/>
        <v/>
      </c>
      <c r="BG977" s="27" t="str">
        <f t="shared" si="442"/>
        <v/>
      </c>
      <c r="BH977" s="27" t="str">
        <f t="shared" si="443"/>
        <v/>
      </c>
      <c r="BI977" s="27" t="str">
        <f t="shared" si="444"/>
        <v/>
      </c>
      <c r="BJ977" s="27" t="str">
        <f t="shared" si="445"/>
        <v/>
      </c>
      <c r="BK977" s="27" t="str">
        <f t="shared" si="446"/>
        <v/>
      </c>
      <c r="BL977" s="27" t="str">
        <f t="shared" si="447"/>
        <v/>
      </c>
      <c r="BM977" s="21" t="s">
        <v>3790</v>
      </c>
    </row>
    <row r="978" spans="1:65" ht="15">
      <c r="A978" s="25" t="str">
        <f>IFERROR(INDEX('Hun Demand'!W:W,MATCH(O978,'Hun Demand'!A:A,0)),"")</f>
        <v/>
      </c>
      <c r="B978" s="25" t="str">
        <f>IFERROR(INDEX('Hun Demand'!V:V,MATCH(O978,'Hun Demand'!A:A,0)),"")</f>
        <v/>
      </c>
      <c r="C978" s="25" t="str">
        <f>IFERROR(INDEX('Hun Demand'!U:U,MATCH(O978,'Hun Demand'!A:A,0)),"")</f>
        <v/>
      </c>
      <c r="D978" s="25" t="str">
        <f>IFERROR(INDEX('Hun Demand'!T:T,MATCH(O978,'Hun Demand'!A:A,0)),"")</f>
        <v/>
      </c>
      <c r="E978" s="25" t="str">
        <f>IFERROR(INDEX('Hun Demand'!S:S,MATCH(O978,'Hun Demand'!A:A,0)),"")</f>
        <v/>
      </c>
      <c r="F978" s="25" t="str">
        <f>IFERROR(INDEX('Hun Demand'!R:R,MATCH(O978,'Hun Demand'!A:A,0)),"")</f>
        <v/>
      </c>
      <c r="G978" s="25">
        <f>IFERROR(INDEX('Aub Demand'!W:W,MATCH(O978,'Aub Demand'!A:A,0)),"")</f>
        <v>0</v>
      </c>
      <c r="H978" s="25">
        <f>IFERROR(INDEX('Aub Demand'!V:V,MATCH(O978,'Aub Demand'!A:A,0)),"")</f>
        <v>0</v>
      </c>
      <c r="I978" s="25">
        <f>IFERROR(INDEX('Aub Demand'!U:U,MATCH(O978,'Aub Demand'!A:A,0)),"")</f>
        <v>0</v>
      </c>
      <c r="J978" s="25">
        <f>IFERROR(INDEX('Aub Demand'!T:T,MATCH(O978,'Aub Demand'!A:A,0)),"")</f>
        <v>0</v>
      </c>
      <c r="K978" s="25">
        <f>IFERROR(INDEX('Aub Demand'!S:S,MATCH(O978,'Aub Demand'!A:A,0)),"")</f>
        <v>0</v>
      </c>
      <c r="L978" s="25">
        <f>IFERROR(INDEX('Aub Demand'!R:R,MATCH(O978,'Aub Demand'!A:A,0)),"")</f>
        <v>0</v>
      </c>
      <c r="O978" s="27" t="s">
        <v>2568</v>
      </c>
      <c r="P978" s="27" t="str">
        <f>IFERROR(INDEX('Aub Demand'!B:B,MATCH($O978,'Aub Demand'!$A:$A,0)),"")</f>
        <v>SPICY FLAVORS 60"</v>
      </c>
      <c r="Q978" s="27" t="str">
        <f>IFERROR(INDEX('Aub Demand'!C:C,MATCH($O978,'Aub Demand'!$A:$A,0)),"")</f>
        <v>AHLST</v>
      </c>
      <c r="R978" s="52">
        <f>IFERROR(IF(AR979=AR978,INDEX('Aub Demand'!K:K,MATCH($O978,'Aub Demand'!$A:$A,0))-IF(AN978="",0,AN978)+AP979,INDEX('Aub Demand'!K:K,MATCH($O978,'Aub Demand'!$A:$A,0))-IF(AN978="",0,AN978)),"")</f>
        <v>1435</v>
      </c>
      <c r="S978" s="53" t="str">
        <f t="shared" si="420"/>
        <v>n/a</v>
      </c>
      <c r="T978" s="52" t="str">
        <f t="shared" si="421"/>
        <v/>
      </c>
      <c r="U978" s="52">
        <f>IFERROR(IF(AR979=AR978,INDEX('Aub Demand'!Q:Q,MATCH($O978,'Aub Demand'!$A:$A,0))-IF(AN978="",0,AN978)+AP979,INDEX('Aub Demand'!Q:Q,MATCH($O978,'Aub Demand'!$A:$A,0))-IF(AN978="",0,AN978)),"")</f>
        <v>1435</v>
      </c>
      <c r="V978" s="53" t="str">
        <f t="shared" si="422"/>
        <v>n/a</v>
      </c>
      <c r="W978" s="52" t="str">
        <f t="shared" si="423"/>
        <v/>
      </c>
      <c r="X978" s="52">
        <f>IFERROR(IF(AND(AR979=AR978,AM978&lt;&gt;""),INDEX('Aub Demand'!Q:Q,MATCH($O978,'Aub Demand'!$A:$A,0))-IF(AN978="",0,AN978)+AP979+AD978+AL978,IF(AR979=AR978,INDEX('Aub Demand'!Q:Q,MATCH($O978,'Aub Demand'!$A:$A,0))-IF(AN978="",0,AN978)+AP979+AD978,IF(AM978&lt;&gt;"",INDEX('Aub Demand'!Q:Q,MATCH($O978,'Aub Demand'!$A:$A,0))-IF(AN978="",0,AN978)+AD978+AL978,INDEX('Aub Demand'!Q:Q,MATCH($O978,'Aub Demand'!$A:$A,0))-IF(AN978="",0,AN978)+AD978))),"")</f>
        <v>1435</v>
      </c>
      <c r="Y978" s="53" t="str">
        <f t="shared" si="424"/>
        <v>n/a</v>
      </c>
      <c r="Z978" s="52">
        <f>IF(L978="","",INDEX('Aub Demand'!H:H,MATCH($O978,'Aub Demand'!$A:$A,0)))</f>
        <v>0</v>
      </c>
      <c r="AA978" s="52" t="str">
        <f t="shared" si="425"/>
        <v>-spike-</v>
      </c>
      <c r="AB978" s="52">
        <f>IFERROR(INDEX('Aub Demand'!L:L,MATCH($O978,'Aub Demand'!$A:$A,0)),"")</f>
        <v>12</v>
      </c>
      <c r="AC978" s="52">
        <f>IFERROR(IF(O978="","",SUMIFS('CPL Mats'!F:F,'CPL Mats'!Q:Q,AR978,'CPL Mats'!S:S,AS978)),"")</f>
        <v>0</v>
      </c>
      <c r="AF978" s="25" t="str">
        <f>IF(SUMIFS('Supp Consol'!S:S,'Supp Consol'!Y:Y,"Releasable",'Supp Consol'!A:A,O978)=0,"",SUMIFS('Supp Consol'!S:S,'Supp Consol'!Y:Y,"Releasable",'Supp Consol'!A:A,O978))</f>
        <v/>
      </c>
      <c r="AG978" s="25" t="str">
        <f>IFERROR(INDEX('Hun Demand'!Q:Q,MATCH(O978,'Hun Demand'!A:A,0)),"")</f>
        <v/>
      </c>
      <c r="AH978" s="25" t="str">
        <f>IFERROR(INDEX('Hun Demand'!H:H,MATCH($O978,'Hun Demand'!$A:$A,0)),"")</f>
        <v/>
      </c>
      <c r="AI978" s="25" t="str">
        <f>IF(SUMIFS('Supp Consol'!AA:AA,'Supp Consol'!Z:Z,"Expires this month",'Supp Consol'!A:A,O978)=0,"",SUMIFS('Supp Consol'!AA:AA,'Supp Consol'!Z:Z,"Expires this month",'Supp Consol'!A:A,O978))</f>
        <v/>
      </c>
      <c r="AJ978" s="25" t="str">
        <f>IF(SUMIFS('Supp Consol'!AA:AA,'Supp Consol'!Z:Z,"Expired Previous Months",'Supp Consol'!A:A,O978)=0,"",SUMIFS('Supp Consol'!AA:AA,'Supp Consol'!Z:Z,"Expired Previous Months",'Supp Consol'!A:A,O978))</f>
        <v/>
      </c>
      <c r="AK978" s="25" t="str">
        <f>IFERROR(INDEX('Hun Release Current'!B:B,MATCH(O978,'Hun Release Current'!A:A,0)),"")</f>
        <v/>
      </c>
      <c r="AL978" s="25" t="str">
        <f>IF(SUMIF('Prev Aub'!A:A,O978,'Prev Aub'!B:B)=0,"",SUMIF('Prev Aub'!A:A,O978,'Prev Aub'!B:B))</f>
        <v/>
      </c>
      <c r="AN978" s="25" t="s">
        <v>3790</v>
      </c>
      <c r="AO978" s="25" t="s">
        <v>3790</v>
      </c>
      <c r="AP978" s="25">
        <f t="shared" si="426"/>
        <v>0</v>
      </c>
      <c r="AQ978" s="151" t="str">
        <f>IF(SUMIFS('Supp Consol'!S:S,'Supp Consol'!A:A,O978,'Supp Consol'!I:I,"PENDING")=0,"",SUMIFS('Supp Consol'!S:S,'Supp Consol'!A:A,O978,'Supp Consol'!I:I,"PENDING"))</f>
        <v/>
      </c>
      <c r="AR978" s="27" t="str">
        <f t="shared" si="427"/>
        <v>S8002</v>
      </c>
      <c r="AS978" s="27" t="str">
        <f t="shared" si="428"/>
        <v>62</v>
      </c>
      <c r="AT978" s="27" t="str">
        <f t="shared" si="429"/>
        <v/>
      </c>
      <c r="AU978" s="27" t="str">
        <f t="shared" si="430"/>
        <v/>
      </c>
      <c r="AV978" s="27" t="str">
        <f t="shared" si="431"/>
        <v/>
      </c>
      <c r="AW978" s="27" t="str">
        <f t="shared" si="432"/>
        <v/>
      </c>
      <c r="AX978" s="27" t="str">
        <f t="shared" si="433"/>
        <v/>
      </c>
      <c r="AY978" s="27" t="str">
        <f t="shared" si="434"/>
        <v/>
      </c>
      <c r="AZ978" s="27" t="str">
        <f t="shared" si="435"/>
        <v/>
      </c>
      <c r="BA978" s="27" t="str">
        <f t="shared" si="436"/>
        <v/>
      </c>
      <c r="BB978" s="27" t="str">
        <f t="shared" si="437"/>
        <v/>
      </c>
      <c r="BC978" s="27" t="str">
        <f t="shared" si="438"/>
        <v/>
      </c>
      <c r="BD978" s="27" t="str">
        <f t="shared" si="439"/>
        <v/>
      </c>
      <c r="BE978" s="27" t="str">
        <f t="shared" si="440"/>
        <v/>
      </c>
      <c r="BF978" s="27" t="str">
        <f t="shared" si="441"/>
        <v/>
      </c>
      <c r="BG978" s="27" t="str">
        <f t="shared" si="442"/>
        <v/>
      </c>
      <c r="BH978" s="27" t="str">
        <f t="shared" si="443"/>
        <v/>
      </c>
      <c r="BI978" s="27" t="str">
        <f t="shared" si="444"/>
        <v/>
      </c>
      <c r="BJ978" s="27" t="str">
        <f t="shared" si="445"/>
        <v/>
      </c>
      <c r="BK978" s="27" t="str">
        <f t="shared" si="446"/>
        <v/>
      </c>
      <c r="BL978" s="27" t="str">
        <f t="shared" si="447"/>
        <v/>
      </c>
      <c r="BM978" s="21" t="s">
        <v>5581</v>
      </c>
    </row>
    <row r="979" spans="1:65" ht="15">
      <c r="A979" s="25" t="str">
        <f>IFERROR(INDEX('Hun Demand'!W:W,MATCH(O979,'Hun Demand'!A:A,0)),"")</f>
        <v/>
      </c>
      <c r="B979" s="25" t="str">
        <f>IFERROR(INDEX('Hun Demand'!V:V,MATCH(O979,'Hun Demand'!A:A,0)),"")</f>
        <v/>
      </c>
      <c r="C979" s="25" t="str">
        <f>IFERROR(INDEX('Hun Demand'!U:U,MATCH(O979,'Hun Demand'!A:A,0)),"")</f>
        <v/>
      </c>
      <c r="D979" s="25" t="str">
        <f>IFERROR(INDEX('Hun Demand'!T:T,MATCH(O979,'Hun Demand'!A:A,0)),"")</f>
        <v/>
      </c>
      <c r="E979" s="25" t="str">
        <f>IFERROR(INDEX('Hun Demand'!S:S,MATCH(O979,'Hun Demand'!A:A,0)),"")</f>
        <v/>
      </c>
      <c r="F979" s="25" t="str">
        <f>IFERROR(INDEX('Hun Demand'!R:R,MATCH(O979,'Hun Demand'!A:A,0)),"")</f>
        <v/>
      </c>
      <c r="G979" s="25">
        <f>IFERROR(INDEX('Aub Demand'!W:W,MATCH(O979,'Aub Demand'!A:A,0)),"")</f>
        <v>187</v>
      </c>
      <c r="H979" s="25">
        <f>IFERROR(INDEX('Aub Demand'!V:V,MATCH(O979,'Aub Demand'!A:A,0)),"")</f>
        <v>0</v>
      </c>
      <c r="I979" s="25">
        <f>IFERROR(INDEX('Aub Demand'!U:U,MATCH(O979,'Aub Demand'!A:A,0)),"")</f>
        <v>0</v>
      </c>
      <c r="J979" s="25">
        <f>IFERROR(INDEX('Aub Demand'!T:T,MATCH(O979,'Aub Demand'!A:A,0)),"")</f>
        <v>0</v>
      </c>
      <c r="K979" s="25">
        <f>IFERROR(INDEX('Aub Demand'!S:S,MATCH(O979,'Aub Demand'!A:A,0)),"")</f>
        <v>12</v>
      </c>
      <c r="L979" s="25">
        <f>IFERROR(INDEX('Aub Demand'!R:R,MATCH(O979,'Aub Demand'!A:A,0)),"")</f>
        <v>0</v>
      </c>
      <c r="O979" s="27" t="s">
        <v>2570</v>
      </c>
      <c r="P979" s="27" t="str">
        <f>IFERROR(INDEX('Aub Demand'!B:B,MATCH($O979,'Aub Demand'!$A:$A,0)),"")</f>
        <v>SUMMER NIGHT GLOW 48</v>
      </c>
      <c r="Q979" s="27" t="str">
        <f>IFERROR(INDEX('Aub Demand'!C:C,MATCH($O979,'Aub Demand'!$A:$A,0)),"")</f>
        <v>AHLST</v>
      </c>
      <c r="R979" s="52">
        <f>IFERROR(IF(AR980=AR979,INDEX('Aub Demand'!K:K,MATCH($O979,'Aub Demand'!$A:$A,0))-IF(AN979="",0,AN979)+AP980,INDEX('Aub Demand'!K:K,MATCH($O979,'Aub Demand'!$A:$A,0))-IF(AN979="",0,AN979)),"")</f>
        <v>0</v>
      </c>
      <c r="S979" s="53">
        <f t="shared" si="420"/>
        <v>0</v>
      </c>
      <c r="T979" s="52" t="str">
        <f t="shared" si="421"/>
        <v/>
      </c>
      <c r="U979" s="52">
        <f>IFERROR(IF(AR980=AR979,INDEX('Aub Demand'!Q:Q,MATCH($O979,'Aub Demand'!$A:$A,0))-IF(AN979="",0,AN979)+AP980,INDEX('Aub Demand'!Q:Q,MATCH($O979,'Aub Demand'!$A:$A,0))-IF(AN979="",0,AN979)),"")</f>
        <v>-9</v>
      </c>
      <c r="V979" s="53">
        <f t="shared" si="422"/>
        <v>-9.6</v>
      </c>
      <c r="W979" s="52" t="str">
        <f t="shared" si="423"/>
        <v/>
      </c>
      <c r="X979" s="52">
        <f>IFERROR(IF(AND(AR980=AR979,AM979&lt;&gt;""),INDEX('Aub Demand'!Q:Q,MATCH($O979,'Aub Demand'!$A:$A,0))-IF(AN979="",0,AN979)+AP980+AD979+AL979,IF(AR980=AR979,INDEX('Aub Demand'!Q:Q,MATCH($O979,'Aub Demand'!$A:$A,0))-IF(AN979="",0,AN979)+AP980+AD979,IF(AM979&lt;&gt;"",INDEX('Aub Demand'!Q:Q,MATCH($O979,'Aub Demand'!$A:$A,0))-IF(AN979="",0,AN979)+AD979+AL979,INDEX('Aub Demand'!Q:Q,MATCH($O979,'Aub Demand'!$A:$A,0))-IF(AN979="",0,AN979)+AD979))),"")</f>
        <v>-9</v>
      </c>
      <c r="Y979" s="53">
        <f t="shared" si="424"/>
        <v>-9.6</v>
      </c>
      <c r="Z979" s="52">
        <f>IF(L979="","",INDEX('Aub Demand'!H:H,MATCH($O979,'Aub Demand'!$A:$A,0)))</f>
        <v>4</v>
      </c>
      <c r="AA979" s="52" t="str">
        <f t="shared" si="425"/>
        <v>-spike-</v>
      </c>
      <c r="AB979" s="52">
        <f>IFERROR(INDEX('Aub Demand'!L:L,MATCH($O979,'Aub Demand'!$A:$A,0)),"")</f>
        <v>47</v>
      </c>
      <c r="AC979" s="52">
        <f>IFERROR(IF(O979="","",SUMIFS('CPL Mats'!F:F,'CPL Mats'!Q:Q,AR979,'CPL Mats'!S:S,AS979)),"")</f>
        <v>0</v>
      </c>
      <c r="AF979" s="25" t="str">
        <f>IF(SUMIFS('Supp Consol'!S:S,'Supp Consol'!Y:Y,"Releasable",'Supp Consol'!A:A,O979)=0,"",SUMIFS('Supp Consol'!S:S,'Supp Consol'!Y:Y,"Releasable",'Supp Consol'!A:A,O979))</f>
        <v/>
      </c>
      <c r="AG979" s="25" t="str">
        <f>IFERROR(INDEX('Hun Demand'!Q:Q,MATCH(O979,'Hun Demand'!A:A,0)),"")</f>
        <v/>
      </c>
      <c r="AH979" s="25" t="str">
        <f>IFERROR(INDEX('Hun Demand'!H:H,MATCH($O979,'Hun Demand'!$A:$A,0)),"")</f>
        <v/>
      </c>
      <c r="AI979" s="25" t="str">
        <f>IF(SUMIFS('Supp Consol'!AA:AA,'Supp Consol'!Z:Z,"Expires this month",'Supp Consol'!A:A,O979)=0,"",SUMIFS('Supp Consol'!AA:AA,'Supp Consol'!Z:Z,"Expires this month",'Supp Consol'!A:A,O979))</f>
        <v/>
      </c>
      <c r="AJ979" s="25" t="str">
        <f>IF(SUMIFS('Supp Consol'!AA:AA,'Supp Consol'!Z:Z,"Expired Previous Months",'Supp Consol'!A:A,O979)=0,"",SUMIFS('Supp Consol'!AA:AA,'Supp Consol'!Z:Z,"Expired Previous Months",'Supp Consol'!A:A,O979))</f>
        <v/>
      </c>
      <c r="AK979" s="25" t="str">
        <f>IFERROR(INDEX('Hun Release Current'!B:B,MATCH(O979,'Hun Release Current'!A:A,0)),"")</f>
        <v/>
      </c>
      <c r="AL979" s="25" t="str">
        <f>IF(SUMIF('Prev Aub'!A:A,O979,'Prev Aub'!B:B)=0,"",SUMIF('Prev Aub'!A:A,O979,'Prev Aub'!B:B))</f>
        <v/>
      </c>
      <c r="AN979" s="25" t="s">
        <v>3790</v>
      </c>
      <c r="AO979" s="25" t="s">
        <v>3790</v>
      </c>
      <c r="AP979" s="25">
        <f t="shared" si="426"/>
        <v>0</v>
      </c>
      <c r="AQ979" s="151" t="str">
        <f>IF(SUMIFS('Supp Consol'!S:S,'Supp Consol'!A:A,O979,'Supp Consol'!I:I,"PENDING")=0,"",SUMIFS('Supp Consol'!S:S,'Supp Consol'!A:A,O979,'Supp Consol'!I:I,"PENDING"))</f>
        <v/>
      </c>
      <c r="AR979" s="27" t="str">
        <f t="shared" si="427"/>
        <v>S8003</v>
      </c>
      <c r="AS979" s="27" t="str">
        <f t="shared" si="428"/>
        <v>50</v>
      </c>
      <c r="AT979" s="27" t="str">
        <f t="shared" si="429"/>
        <v>S8003</v>
      </c>
      <c r="AU979" s="27" t="str">
        <f t="shared" si="430"/>
        <v>S8003</v>
      </c>
      <c r="AV979" s="27" t="str">
        <f t="shared" si="431"/>
        <v>S8003</v>
      </c>
      <c r="AW979" s="27" t="str">
        <f t="shared" si="432"/>
        <v/>
      </c>
      <c r="AX979" s="27" t="str">
        <f t="shared" si="433"/>
        <v/>
      </c>
      <c r="AY979" s="27" t="str">
        <f t="shared" si="434"/>
        <v/>
      </c>
      <c r="AZ979" s="27" t="str">
        <f t="shared" si="435"/>
        <v>Supp</v>
      </c>
      <c r="BA979" s="27" t="str">
        <f t="shared" si="436"/>
        <v/>
      </c>
      <c r="BB979" s="27" t="str">
        <f t="shared" si="437"/>
        <v>Gross</v>
      </c>
      <c r="BC979" s="27" t="str">
        <f t="shared" si="438"/>
        <v>Net</v>
      </c>
      <c r="BD979" s="27" t="str">
        <f t="shared" si="439"/>
        <v>Net</v>
      </c>
      <c r="BE979" s="27" t="str">
        <f t="shared" si="440"/>
        <v/>
      </c>
      <c r="BF979" s="27" t="str">
        <f t="shared" si="441"/>
        <v>S+N</v>
      </c>
      <c r="BG979" s="27" t="str">
        <f t="shared" si="442"/>
        <v>S+NorE</v>
      </c>
      <c r="BH979" s="27" t="str">
        <f t="shared" si="443"/>
        <v/>
      </c>
      <c r="BI979" s="27" t="str">
        <f t="shared" si="444"/>
        <v/>
      </c>
      <c r="BJ979" s="27" t="str">
        <f t="shared" si="445"/>
        <v>Supp or Hun</v>
      </c>
      <c r="BK979" s="27" t="str">
        <f t="shared" si="446"/>
        <v>Supp or Hun Need</v>
      </c>
      <c r="BL979" s="27" t="str">
        <f t="shared" si="447"/>
        <v>SorHandNandE</v>
      </c>
      <c r="BM979" s="21" t="s">
        <v>5581</v>
      </c>
    </row>
    <row r="980" spans="1:65" ht="15">
      <c r="A980" s="25" t="str">
        <f>IFERROR(INDEX('Hun Demand'!W:W,MATCH(O980,'Hun Demand'!A:A,0)),"")</f>
        <v/>
      </c>
      <c r="B980" s="25" t="str">
        <f>IFERROR(INDEX('Hun Demand'!V:V,MATCH(O980,'Hun Demand'!A:A,0)),"")</f>
        <v/>
      </c>
      <c r="C980" s="25" t="str">
        <f>IFERROR(INDEX('Hun Demand'!U:U,MATCH(O980,'Hun Demand'!A:A,0)),"")</f>
        <v/>
      </c>
      <c r="D980" s="25" t="str">
        <f>IFERROR(INDEX('Hun Demand'!T:T,MATCH(O980,'Hun Demand'!A:A,0)),"")</f>
        <v/>
      </c>
      <c r="E980" s="25" t="str">
        <f>IFERROR(INDEX('Hun Demand'!S:S,MATCH(O980,'Hun Demand'!A:A,0)),"")</f>
        <v/>
      </c>
      <c r="F980" s="25" t="str">
        <f>IFERROR(INDEX('Hun Demand'!R:R,MATCH(O980,'Hun Demand'!A:A,0)),"")</f>
        <v/>
      </c>
      <c r="G980" s="25">
        <f>IFERROR(INDEX('Aub Demand'!W:W,MATCH(O980,'Aub Demand'!A:A,0)),"")</f>
        <v>0</v>
      </c>
      <c r="H980" s="25">
        <f>IFERROR(INDEX('Aub Demand'!V:V,MATCH(O980,'Aub Demand'!A:A,0)),"")</f>
        <v>0</v>
      </c>
      <c r="I980" s="25">
        <f>IFERROR(INDEX('Aub Demand'!U:U,MATCH(O980,'Aub Demand'!A:A,0)),"")</f>
        <v>0</v>
      </c>
      <c r="J980" s="25">
        <f>IFERROR(INDEX('Aub Demand'!T:T,MATCH(O980,'Aub Demand'!A:A,0)),"")</f>
        <v>0</v>
      </c>
      <c r="K980" s="25">
        <f>IFERROR(INDEX('Aub Demand'!S:S,MATCH(O980,'Aub Demand'!A:A,0)),"")</f>
        <v>20</v>
      </c>
      <c r="L980" s="25">
        <f>IFERROR(INDEX('Aub Demand'!R:R,MATCH(O980,'Aub Demand'!A:A,0)),"")</f>
        <v>0</v>
      </c>
      <c r="O980" s="27" t="s">
        <v>2572</v>
      </c>
      <c r="P980" s="27" t="str">
        <f>IFERROR(INDEX('Aub Demand'!B:B,MATCH($O980,'Aub Demand'!$A:$A,0)),"")</f>
        <v>SUMMER NIGHT GLOW 60</v>
      </c>
      <c r="Q980" s="27" t="str">
        <f>IFERROR(INDEX('Aub Demand'!C:C,MATCH($O980,'Aub Demand'!$A:$A,0)),"")</f>
        <v>AHLST</v>
      </c>
      <c r="R980" s="52">
        <f>IFERROR(IF(AR981=AR980,INDEX('Aub Demand'!K:K,MATCH($O980,'Aub Demand'!$A:$A,0))-IF(AN980="",0,AN980)+AP981,INDEX('Aub Demand'!K:K,MATCH($O980,'Aub Demand'!$A:$A,0))-IF(AN980="",0,AN980)),"")</f>
        <v>170</v>
      </c>
      <c r="S980" s="53">
        <f t="shared" si="420"/>
        <v>104.1</v>
      </c>
      <c r="T980" s="52" t="str">
        <f t="shared" si="421"/>
        <v/>
      </c>
      <c r="U980" s="52">
        <f>IFERROR(IF(AR981=AR980,INDEX('Aub Demand'!Q:Q,MATCH($O980,'Aub Demand'!$A:$A,0))-IF(AN980="",0,AN980)+AP981,INDEX('Aub Demand'!Q:Q,MATCH($O980,'Aub Demand'!$A:$A,0))-IF(AN980="",0,AN980)),"")</f>
        <v>161</v>
      </c>
      <c r="V980" s="53">
        <f t="shared" si="422"/>
        <v>98.6</v>
      </c>
      <c r="W980" s="52" t="str">
        <f t="shared" si="423"/>
        <v/>
      </c>
      <c r="X980" s="52">
        <f>IFERROR(IF(AND(AR981=AR980,AM980&lt;&gt;""),INDEX('Aub Demand'!Q:Q,MATCH($O980,'Aub Demand'!$A:$A,0))-IF(AN980="",0,AN980)+AP981+AD980+AL980,IF(AR981=AR980,INDEX('Aub Demand'!Q:Q,MATCH($O980,'Aub Demand'!$A:$A,0))-IF(AN980="",0,AN980)+AP981+AD980,IF(AM980&lt;&gt;"",INDEX('Aub Demand'!Q:Q,MATCH($O980,'Aub Demand'!$A:$A,0))-IF(AN980="",0,AN980)+AD980+AL980,INDEX('Aub Demand'!Q:Q,MATCH($O980,'Aub Demand'!$A:$A,0))-IF(AN980="",0,AN980)+AD980))),"")</f>
        <v>161</v>
      </c>
      <c r="Y980" s="53">
        <f t="shared" si="424"/>
        <v>98.6</v>
      </c>
      <c r="Z980" s="52">
        <f>IF(L980="","",INDEX('Aub Demand'!H:H,MATCH($O980,'Aub Demand'!$A:$A,0)))</f>
        <v>7</v>
      </c>
      <c r="AA980" s="52" t="str">
        <f t="shared" si="425"/>
        <v>-spike-</v>
      </c>
      <c r="AB980" s="52">
        <f>IFERROR(INDEX('Aub Demand'!L:L,MATCH($O980,'Aub Demand'!$A:$A,0)),"")</f>
        <v>0</v>
      </c>
      <c r="AC980" s="52">
        <f>IFERROR(IF(O980="","",SUMIFS('CPL Mats'!F:F,'CPL Mats'!Q:Q,AR980,'CPL Mats'!S:S,AS980)),"")</f>
        <v>0</v>
      </c>
      <c r="AF980" s="25">
        <f>IF(SUMIFS('Supp Consol'!S:S,'Supp Consol'!Y:Y,"Releasable",'Supp Consol'!A:A,O980)=0,"",SUMIFS('Supp Consol'!S:S,'Supp Consol'!Y:Y,"Releasable",'Supp Consol'!A:A,O980))</f>
        <v>2535</v>
      </c>
      <c r="AG980" s="25" t="str">
        <f>IFERROR(INDEX('Hun Demand'!Q:Q,MATCH(O980,'Hun Demand'!A:A,0)),"")</f>
        <v/>
      </c>
      <c r="AH980" s="25" t="str">
        <f>IFERROR(INDEX('Hun Demand'!H:H,MATCH($O980,'Hun Demand'!$A:$A,0)),"")</f>
        <v/>
      </c>
      <c r="AI980" s="25" t="str">
        <f>IF(SUMIFS('Supp Consol'!AA:AA,'Supp Consol'!Z:Z,"Expires this month",'Supp Consol'!A:A,O980)=0,"",SUMIFS('Supp Consol'!AA:AA,'Supp Consol'!Z:Z,"Expires this month",'Supp Consol'!A:A,O980))</f>
        <v/>
      </c>
      <c r="AJ980" s="25" t="str">
        <f>IF(SUMIFS('Supp Consol'!AA:AA,'Supp Consol'!Z:Z,"Expired Previous Months",'Supp Consol'!A:A,O980)=0,"",SUMIFS('Supp Consol'!AA:AA,'Supp Consol'!Z:Z,"Expired Previous Months",'Supp Consol'!A:A,O980))</f>
        <v/>
      </c>
      <c r="AK980" s="25" t="str">
        <f>IFERROR(INDEX('Hun Release Current'!B:B,MATCH(O980,'Hun Release Current'!A:A,0)),"")</f>
        <v/>
      </c>
      <c r="AL980" s="25" t="str">
        <f>IF(SUMIF('Prev Aub'!A:A,O980,'Prev Aub'!B:B)=0,"",SUMIF('Prev Aub'!A:A,O980,'Prev Aub'!B:B))</f>
        <v/>
      </c>
      <c r="AN980" s="25" t="s">
        <v>3790</v>
      </c>
      <c r="AO980" s="25" t="s">
        <v>3790</v>
      </c>
      <c r="AP980" s="25">
        <f t="shared" si="426"/>
        <v>0</v>
      </c>
      <c r="AQ980" s="151" t="str">
        <f>IF(SUMIFS('Supp Consol'!S:S,'Supp Consol'!A:A,O980,'Supp Consol'!I:I,"PENDING")=0,"",SUMIFS('Supp Consol'!S:S,'Supp Consol'!A:A,O980,'Supp Consol'!I:I,"PENDING"))</f>
        <v/>
      </c>
      <c r="AR980" s="27" t="str">
        <f t="shared" si="427"/>
        <v>S8003</v>
      </c>
      <c r="AS980" s="27" t="str">
        <f t="shared" si="428"/>
        <v>62</v>
      </c>
      <c r="AT980" s="27" t="str">
        <f t="shared" si="429"/>
        <v/>
      </c>
      <c r="AU980" s="27" t="str">
        <f t="shared" si="430"/>
        <v/>
      </c>
      <c r="AV980" s="27" t="str">
        <f t="shared" si="431"/>
        <v/>
      </c>
      <c r="AW980" s="27" t="str">
        <f t="shared" si="432"/>
        <v/>
      </c>
      <c r="AX980" s="27" t="str">
        <f t="shared" si="433"/>
        <v>S8003</v>
      </c>
      <c r="AY980" s="27" t="str">
        <f t="shared" si="434"/>
        <v/>
      </c>
      <c r="AZ980" s="27" t="str">
        <f t="shared" si="435"/>
        <v>Supp</v>
      </c>
      <c r="BA980" s="27" t="str">
        <f t="shared" si="436"/>
        <v/>
      </c>
      <c r="BB980" s="27" t="str">
        <f t="shared" si="437"/>
        <v>Gross</v>
      </c>
      <c r="BC980" s="27" t="str">
        <f t="shared" si="438"/>
        <v>Net</v>
      </c>
      <c r="BD980" s="27" t="str">
        <f t="shared" si="439"/>
        <v>Net</v>
      </c>
      <c r="BE980" s="27" t="str">
        <f t="shared" si="440"/>
        <v/>
      </c>
      <c r="BF980" s="27" t="str">
        <f t="shared" si="441"/>
        <v>S+N</v>
      </c>
      <c r="BG980" s="27" t="str">
        <f t="shared" si="442"/>
        <v>S+NorE</v>
      </c>
      <c r="BH980" s="27" t="str">
        <f t="shared" si="443"/>
        <v/>
      </c>
      <c r="BI980" s="27" t="str">
        <f t="shared" si="444"/>
        <v/>
      </c>
      <c r="BJ980" s="27" t="str">
        <f t="shared" si="445"/>
        <v>Supp or Hun</v>
      </c>
      <c r="BK980" s="27" t="str">
        <f t="shared" si="446"/>
        <v>Supp or Hun Need</v>
      </c>
      <c r="BL980" s="27" t="str">
        <f t="shared" si="447"/>
        <v>SorHandNandE</v>
      </c>
      <c r="BM980" s="21" t="s">
        <v>5581</v>
      </c>
    </row>
    <row r="981" spans="1:65" ht="15">
      <c r="A981" s="25" t="str">
        <f>IFERROR(INDEX('Hun Demand'!W:W,MATCH(O981,'Hun Demand'!A:A,0)),"")</f>
        <v/>
      </c>
      <c r="B981" s="25" t="str">
        <f>IFERROR(INDEX('Hun Demand'!V:V,MATCH(O981,'Hun Demand'!A:A,0)),"")</f>
        <v/>
      </c>
      <c r="C981" s="25" t="str">
        <f>IFERROR(INDEX('Hun Demand'!U:U,MATCH(O981,'Hun Demand'!A:A,0)),"")</f>
        <v/>
      </c>
      <c r="D981" s="25" t="str">
        <f>IFERROR(INDEX('Hun Demand'!T:T,MATCH(O981,'Hun Demand'!A:A,0)),"")</f>
        <v/>
      </c>
      <c r="E981" s="25" t="str">
        <f>IFERROR(INDEX('Hun Demand'!S:S,MATCH(O981,'Hun Demand'!A:A,0)),"")</f>
        <v/>
      </c>
      <c r="F981" s="25" t="str">
        <f>IFERROR(INDEX('Hun Demand'!R:R,MATCH(O981,'Hun Demand'!A:A,0)),"")</f>
        <v/>
      </c>
      <c r="G981" s="25">
        <f>IFERROR(INDEX('Aub Demand'!W:W,MATCH(O981,'Aub Demand'!A:A,0)),"")</f>
        <v>0</v>
      </c>
      <c r="H981" s="25">
        <f>IFERROR(INDEX('Aub Demand'!V:V,MATCH(O981,'Aub Demand'!A:A,0)),"")</f>
        <v>0</v>
      </c>
      <c r="I981" s="25">
        <f>IFERROR(INDEX('Aub Demand'!U:U,MATCH(O981,'Aub Demand'!A:A,0)),"")</f>
        <v>0</v>
      </c>
      <c r="J981" s="25">
        <f>IFERROR(INDEX('Aub Demand'!T:T,MATCH(O981,'Aub Demand'!A:A,0)),"")</f>
        <v>0</v>
      </c>
      <c r="K981" s="25">
        <f>IFERROR(INDEX('Aub Demand'!S:S,MATCH(O981,'Aub Demand'!A:A,0)),"")</f>
        <v>0</v>
      </c>
      <c r="L981" s="25">
        <f>IFERROR(INDEX('Aub Demand'!R:R,MATCH(O981,'Aub Demand'!A:A,0)),"")</f>
        <v>0</v>
      </c>
      <c r="O981" s="27" t="s">
        <v>2574</v>
      </c>
      <c r="P981" s="27" t="str">
        <f>IFERROR(INDEX('Aub Demand'!B:B,MATCH($O981,'Aub Demand'!$A:$A,0)),"")</f>
        <v>ISLAND ORCHID 48"</v>
      </c>
      <c r="Q981" s="27" t="str">
        <f>IFERROR(INDEX('Aub Demand'!C:C,MATCH($O981,'Aub Demand'!$A:$A,0)),"")</f>
        <v>AHLST</v>
      </c>
      <c r="R981" s="52">
        <f>IFERROR(IF(AR982=AR981,INDEX('Aub Demand'!K:K,MATCH($O981,'Aub Demand'!$A:$A,0))-IF(AN981="",0,AN981)+AP982,INDEX('Aub Demand'!K:K,MATCH($O981,'Aub Demand'!$A:$A,0))-IF(AN981="",0,AN981)),"")</f>
        <v>77</v>
      </c>
      <c r="S981" s="53" t="str">
        <f t="shared" si="420"/>
        <v>n/a</v>
      </c>
      <c r="T981" s="52" t="str">
        <f t="shared" si="421"/>
        <v/>
      </c>
      <c r="U981" s="52">
        <f>IFERROR(IF(AR982=AR981,INDEX('Aub Demand'!Q:Q,MATCH($O981,'Aub Demand'!$A:$A,0))-IF(AN981="",0,AN981)+AP982,INDEX('Aub Demand'!Q:Q,MATCH($O981,'Aub Demand'!$A:$A,0))-IF(AN981="",0,AN981)),"")</f>
        <v>77</v>
      </c>
      <c r="V981" s="53" t="str">
        <f t="shared" si="422"/>
        <v>n/a</v>
      </c>
      <c r="W981" s="52" t="str">
        <f t="shared" si="423"/>
        <v/>
      </c>
      <c r="X981" s="52">
        <f>IFERROR(IF(AND(AR982=AR981,AM981&lt;&gt;""),INDEX('Aub Demand'!Q:Q,MATCH($O981,'Aub Demand'!$A:$A,0))-IF(AN981="",0,AN981)+AP982+AD981+AL981,IF(AR982=AR981,INDEX('Aub Demand'!Q:Q,MATCH($O981,'Aub Demand'!$A:$A,0))-IF(AN981="",0,AN981)+AP982+AD981,IF(AM981&lt;&gt;"",INDEX('Aub Demand'!Q:Q,MATCH($O981,'Aub Demand'!$A:$A,0))-IF(AN981="",0,AN981)+AD981+AL981,INDEX('Aub Demand'!Q:Q,MATCH($O981,'Aub Demand'!$A:$A,0))-IF(AN981="",0,AN981)+AD981))),"")</f>
        <v>77</v>
      </c>
      <c r="Y981" s="53" t="str">
        <f t="shared" si="424"/>
        <v>n/a</v>
      </c>
      <c r="Z981" s="52">
        <f>IF(L981="","",INDEX('Aub Demand'!H:H,MATCH($O981,'Aub Demand'!$A:$A,0)))</f>
        <v>0</v>
      </c>
      <c r="AA981" s="52" t="str">
        <f t="shared" si="425"/>
        <v>-spike-</v>
      </c>
      <c r="AB981" s="52">
        <f>IFERROR(INDEX('Aub Demand'!L:L,MATCH($O981,'Aub Demand'!$A:$A,0)),"")</f>
        <v>39</v>
      </c>
      <c r="AC981" s="52">
        <f>IFERROR(IF(O981="","",SUMIFS('CPL Mats'!F:F,'CPL Mats'!Q:Q,AR981,'CPL Mats'!S:S,AS981)),"")</f>
        <v>0</v>
      </c>
      <c r="AF981" s="25" t="str">
        <f>IF(SUMIFS('Supp Consol'!S:S,'Supp Consol'!Y:Y,"Releasable",'Supp Consol'!A:A,O981)=0,"",SUMIFS('Supp Consol'!S:S,'Supp Consol'!Y:Y,"Releasable",'Supp Consol'!A:A,O981))</f>
        <v/>
      </c>
      <c r="AG981" s="25" t="str">
        <f>IFERROR(INDEX('Hun Demand'!Q:Q,MATCH(O981,'Hun Demand'!A:A,0)),"")</f>
        <v/>
      </c>
      <c r="AH981" s="25" t="str">
        <f>IFERROR(INDEX('Hun Demand'!H:H,MATCH($O981,'Hun Demand'!$A:$A,0)),"")</f>
        <v/>
      </c>
      <c r="AI981" s="25" t="str">
        <f>IF(SUMIFS('Supp Consol'!AA:AA,'Supp Consol'!Z:Z,"Expires this month",'Supp Consol'!A:A,O981)=0,"",SUMIFS('Supp Consol'!AA:AA,'Supp Consol'!Z:Z,"Expires this month",'Supp Consol'!A:A,O981))</f>
        <v/>
      </c>
      <c r="AJ981" s="25" t="str">
        <f>IF(SUMIFS('Supp Consol'!AA:AA,'Supp Consol'!Z:Z,"Expired Previous Months",'Supp Consol'!A:A,O981)=0,"",SUMIFS('Supp Consol'!AA:AA,'Supp Consol'!Z:Z,"Expired Previous Months",'Supp Consol'!A:A,O981))</f>
        <v/>
      </c>
      <c r="AK981" s="25" t="str">
        <f>IFERROR(INDEX('Hun Release Current'!B:B,MATCH(O981,'Hun Release Current'!A:A,0)),"")</f>
        <v/>
      </c>
      <c r="AL981" s="25" t="str">
        <f>IF(SUMIF('Prev Aub'!A:A,O981,'Prev Aub'!B:B)=0,"",SUMIF('Prev Aub'!A:A,O981,'Prev Aub'!B:B))</f>
        <v/>
      </c>
      <c r="AN981" s="25" t="s">
        <v>3790</v>
      </c>
      <c r="AO981" s="25" t="s">
        <v>3790</v>
      </c>
      <c r="AP981" s="25">
        <f t="shared" si="426"/>
        <v>0</v>
      </c>
      <c r="AQ981" s="151" t="str">
        <f>IF(SUMIFS('Supp Consol'!S:S,'Supp Consol'!A:A,O981,'Supp Consol'!I:I,"PENDING")=0,"",SUMIFS('Supp Consol'!S:S,'Supp Consol'!A:A,O981,'Supp Consol'!I:I,"PENDING"))</f>
        <v/>
      </c>
      <c r="AR981" s="27" t="str">
        <f t="shared" si="427"/>
        <v>S9001</v>
      </c>
      <c r="AS981" s="27" t="str">
        <f t="shared" si="428"/>
        <v>50</v>
      </c>
      <c r="AT981" s="27" t="str">
        <f t="shared" si="429"/>
        <v/>
      </c>
      <c r="AU981" s="27" t="str">
        <f t="shared" si="430"/>
        <v/>
      </c>
      <c r="AV981" s="27" t="str">
        <f t="shared" si="431"/>
        <v/>
      </c>
      <c r="AW981" s="27" t="str">
        <f t="shared" si="432"/>
        <v/>
      </c>
      <c r="AX981" s="27" t="str">
        <f t="shared" si="433"/>
        <v/>
      </c>
      <c r="AY981" s="27" t="str">
        <f t="shared" si="434"/>
        <v/>
      </c>
      <c r="AZ981" s="27" t="str">
        <f t="shared" si="435"/>
        <v/>
      </c>
      <c r="BA981" s="27" t="str">
        <f t="shared" si="436"/>
        <v/>
      </c>
      <c r="BB981" s="27" t="str">
        <f t="shared" si="437"/>
        <v/>
      </c>
      <c r="BC981" s="27" t="str">
        <f t="shared" si="438"/>
        <v/>
      </c>
      <c r="BD981" s="27" t="str">
        <f t="shared" si="439"/>
        <v/>
      </c>
      <c r="BE981" s="27" t="str">
        <f t="shared" si="440"/>
        <v/>
      </c>
      <c r="BF981" s="27" t="str">
        <f t="shared" si="441"/>
        <v/>
      </c>
      <c r="BG981" s="27" t="str">
        <f t="shared" si="442"/>
        <v/>
      </c>
      <c r="BH981" s="27" t="str">
        <f t="shared" si="443"/>
        <v/>
      </c>
      <c r="BI981" s="27" t="str">
        <f t="shared" si="444"/>
        <v/>
      </c>
      <c r="BJ981" s="27" t="str">
        <f t="shared" si="445"/>
        <v/>
      </c>
      <c r="BK981" s="27" t="str">
        <f t="shared" si="446"/>
        <v/>
      </c>
      <c r="BL981" s="27" t="str">
        <f t="shared" si="447"/>
        <v/>
      </c>
      <c r="BM981" s="21" t="s">
        <v>3790</v>
      </c>
    </row>
    <row r="982" spans="1:65" ht="15">
      <c r="A982" s="25" t="str">
        <f>IFERROR(INDEX('Hun Demand'!W:W,MATCH(O982,'Hun Demand'!A:A,0)),"")</f>
        <v/>
      </c>
      <c r="B982" s="25" t="str">
        <f>IFERROR(INDEX('Hun Demand'!V:V,MATCH(O982,'Hun Demand'!A:A,0)),"")</f>
        <v/>
      </c>
      <c r="C982" s="25" t="str">
        <f>IFERROR(INDEX('Hun Demand'!U:U,MATCH(O982,'Hun Demand'!A:A,0)),"")</f>
        <v/>
      </c>
      <c r="D982" s="25" t="str">
        <f>IFERROR(INDEX('Hun Demand'!T:T,MATCH(O982,'Hun Demand'!A:A,0)),"")</f>
        <v/>
      </c>
      <c r="E982" s="25" t="str">
        <f>IFERROR(INDEX('Hun Demand'!S:S,MATCH(O982,'Hun Demand'!A:A,0)),"")</f>
        <v/>
      </c>
      <c r="F982" s="25" t="str">
        <f>IFERROR(INDEX('Hun Demand'!R:R,MATCH(O982,'Hun Demand'!A:A,0)),"")</f>
        <v/>
      </c>
      <c r="G982" s="25">
        <f>IFERROR(INDEX('Aub Demand'!W:W,MATCH(O982,'Aub Demand'!A:A,0)),"")</f>
        <v>0</v>
      </c>
      <c r="H982" s="25">
        <f>IFERROR(INDEX('Aub Demand'!V:V,MATCH(O982,'Aub Demand'!A:A,0)),"")</f>
        <v>62</v>
      </c>
      <c r="I982" s="25">
        <f>IFERROR(INDEX('Aub Demand'!U:U,MATCH(O982,'Aub Demand'!A:A,0)),"")</f>
        <v>180</v>
      </c>
      <c r="J982" s="25">
        <f>IFERROR(INDEX('Aub Demand'!T:T,MATCH(O982,'Aub Demand'!A:A,0)),"")</f>
        <v>0</v>
      </c>
      <c r="K982" s="25">
        <f>IFERROR(INDEX('Aub Demand'!S:S,MATCH(O982,'Aub Demand'!A:A,0)),"")</f>
        <v>0</v>
      </c>
      <c r="L982" s="25">
        <f>IFERROR(INDEX('Aub Demand'!R:R,MATCH(O982,'Aub Demand'!A:A,0)),"")</f>
        <v>0</v>
      </c>
      <c r="O982" s="27" t="s">
        <v>3391</v>
      </c>
      <c r="P982" s="27" t="str">
        <f>IFERROR(INDEX('Aub Demand'!B:B,MATCH($O982,'Aub Demand'!$A:$A,0)),"")</f>
        <v>APOLLO BLUE</v>
      </c>
      <c r="Q982" s="27" t="str">
        <f>IFERROR(INDEX('Aub Demand'!C:C,MATCH($O982,'Aub Demand'!$A:$A,0)),"")</f>
        <v>ONYX</v>
      </c>
      <c r="R982" s="52">
        <f>IFERROR(IF(AR983=AR982,INDEX('Aub Demand'!K:K,MATCH($O982,'Aub Demand'!$A:$A,0))-IF(AN982="",0,AN982)+AP983,INDEX('Aub Demand'!K:K,MATCH($O982,'Aub Demand'!$A:$A,0))-IF(AN982="",0,AN982)),"")</f>
        <v>314</v>
      </c>
      <c r="S982" s="53">
        <f t="shared" si="420"/>
        <v>22.4</v>
      </c>
      <c r="T982" s="52" t="str">
        <f t="shared" si="421"/>
        <v/>
      </c>
      <c r="U982" s="52">
        <f>IFERROR(IF(AR983=AR982,INDEX('Aub Demand'!Q:Q,MATCH($O982,'Aub Demand'!$A:$A,0))-IF(AN982="",0,AN982)+AP983,INDEX('Aub Demand'!Q:Q,MATCH($O982,'Aub Demand'!$A:$A,0))-IF(AN982="",0,AN982)),"")</f>
        <v>253</v>
      </c>
      <c r="V982" s="53">
        <f t="shared" si="422"/>
        <v>18.100000000000001</v>
      </c>
      <c r="W982" s="52" t="str">
        <f t="shared" si="423"/>
        <v/>
      </c>
      <c r="X982" s="52">
        <f>IFERROR(IF(AND(AR983=AR982,AM982&lt;&gt;""),INDEX('Aub Demand'!Q:Q,MATCH($O982,'Aub Demand'!$A:$A,0))-IF(AN982="",0,AN982)+AP983+AD982+AL982,IF(AR983=AR982,INDEX('Aub Demand'!Q:Q,MATCH($O982,'Aub Demand'!$A:$A,0))-IF(AN982="",0,AN982)+AP983+AD982,IF(AM982&lt;&gt;"",INDEX('Aub Demand'!Q:Q,MATCH($O982,'Aub Demand'!$A:$A,0))-IF(AN982="",0,AN982)+AD982+AL982,INDEX('Aub Demand'!Q:Q,MATCH($O982,'Aub Demand'!$A:$A,0))-IF(AN982="",0,AN982)+AD982))),"")</f>
        <v>253</v>
      </c>
      <c r="Y982" s="53">
        <f t="shared" si="424"/>
        <v>18.100000000000001</v>
      </c>
      <c r="Z982" s="52">
        <f>IF(L982="","",INDEX('Aub Demand'!H:H,MATCH($O982,'Aub Demand'!$A:$A,0)))</f>
        <v>60</v>
      </c>
      <c r="AA982" s="52" t="str">
        <f t="shared" si="425"/>
        <v>-spike-</v>
      </c>
      <c r="AB982" s="52">
        <f>IFERROR(INDEX('Aub Demand'!L:L,MATCH($O982,'Aub Demand'!$A:$A,0)),"")</f>
        <v>53</v>
      </c>
      <c r="AC982" s="52">
        <f>IFERROR(IF(O982="","",SUMIFS('CPL Mats'!F:F,'CPL Mats'!Q:Q,AR982,'CPL Mats'!S:S,AS982)),"")</f>
        <v>0</v>
      </c>
      <c r="AF982" s="25" t="str">
        <f>IF(SUMIFS('Supp Consol'!S:S,'Supp Consol'!Y:Y,"Releasable",'Supp Consol'!A:A,O982)=0,"",SUMIFS('Supp Consol'!S:S,'Supp Consol'!Y:Y,"Releasable",'Supp Consol'!A:A,O982))</f>
        <v/>
      </c>
      <c r="AG982" s="25" t="str">
        <f>IFERROR(INDEX('Hun Demand'!Q:Q,MATCH(O982,'Hun Demand'!A:A,0)),"")</f>
        <v/>
      </c>
      <c r="AH982" s="25" t="str">
        <f>IFERROR(INDEX('Hun Demand'!H:H,MATCH($O982,'Hun Demand'!$A:$A,0)),"")</f>
        <v/>
      </c>
      <c r="AI982" s="25" t="str">
        <f>IF(SUMIFS('Supp Consol'!AA:AA,'Supp Consol'!Z:Z,"Expires this month",'Supp Consol'!A:A,O982)=0,"",SUMIFS('Supp Consol'!AA:AA,'Supp Consol'!Z:Z,"Expires this month",'Supp Consol'!A:A,O982))</f>
        <v/>
      </c>
      <c r="AJ982" s="25" t="str">
        <f>IF(SUMIFS('Supp Consol'!AA:AA,'Supp Consol'!Z:Z,"Expired Previous Months",'Supp Consol'!A:A,O982)=0,"",SUMIFS('Supp Consol'!AA:AA,'Supp Consol'!Z:Z,"Expired Previous Months",'Supp Consol'!A:A,O982))</f>
        <v/>
      </c>
      <c r="AK982" s="25" t="str">
        <f>IFERROR(INDEX('Hun Release Current'!B:B,MATCH(O982,'Hun Release Current'!A:A,0)),"")</f>
        <v/>
      </c>
      <c r="AL982" s="25" t="str">
        <f>IF(SUMIF('Prev Aub'!A:A,O982,'Prev Aub'!B:B)=0,"",SUMIF('Prev Aub'!A:A,O982,'Prev Aub'!B:B))</f>
        <v/>
      </c>
      <c r="AN982" s="25" t="s">
        <v>3790</v>
      </c>
      <c r="AO982" s="25" t="s">
        <v>3790</v>
      </c>
      <c r="AP982" s="25">
        <f t="shared" si="426"/>
        <v>0</v>
      </c>
      <c r="AQ982" s="151" t="str">
        <f>IF(SUMIFS('Supp Consol'!S:S,'Supp Consol'!A:A,O982,'Supp Consol'!I:I,"PENDING")=0,"",SUMIFS('Supp Consol'!S:S,'Supp Consol'!A:A,O982,'Supp Consol'!I:I,"PENDING"))</f>
        <v/>
      </c>
      <c r="AR982" s="27" t="str">
        <f t="shared" si="427"/>
        <v>S9043</v>
      </c>
      <c r="AS982" s="27" t="str">
        <f t="shared" si="428"/>
        <v>62</v>
      </c>
      <c r="AT982" s="27" t="str">
        <f t="shared" si="429"/>
        <v/>
      </c>
      <c r="AU982" s="27" t="str">
        <f t="shared" si="430"/>
        <v/>
      </c>
      <c r="AV982" s="27" t="str">
        <f t="shared" si="431"/>
        <v/>
      </c>
      <c r="AW982" s="27" t="str">
        <f t="shared" si="432"/>
        <v/>
      </c>
      <c r="AX982" s="27" t="str">
        <f t="shared" si="433"/>
        <v/>
      </c>
      <c r="AY982" s="27" t="str">
        <f t="shared" si="434"/>
        <v/>
      </c>
      <c r="AZ982" s="27" t="str">
        <f t="shared" si="435"/>
        <v/>
      </c>
      <c r="BA982" s="27" t="str">
        <f t="shared" si="436"/>
        <v/>
      </c>
      <c r="BB982" s="27" t="str">
        <f t="shared" si="437"/>
        <v/>
      </c>
      <c r="BC982" s="27" t="str">
        <f t="shared" si="438"/>
        <v/>
      </c>
      <c r="BD982" s="27" t="str">
        <f t="shared" si="439"/>
        <v/>
      </c>
      <c r="BE982" s="27" t="str">
        <f t="shared" si="440"/>
        <v/>
      </c>
      <c r="BF982" s="27" t="str">
        <f t="shared" si="441"/>
        <v/>
      </c>
      <c r="BG982" s="27" t="str">
        <f t="shared" si="442"/>
        <v/>
      </c>
      <c r="BH982" s="27" t="str">
        <f t="shared" si="443"/>
        <v/>
      </c>
      <c r="BI982" s="27" t="str">
        <f t="shared" si="444"/>
        <v/>
      </c>
      <c r="BJ982" s="27" t="str">
        <f t="shared" si="445"/>
        <v/>
      </c>
      <c r="BK982" s="27" t="str">
        <f t="shared" si="446"/>
        <v/>
      </c>
      <c r="BL982" s="27" t="str">
        <f t="shared" si="447"/>
        <v/>
      </c>
      <c r="BM982" s="21" t="s">
        <v>5581</v>
      </c>
    </row>
    <row r="983" spans="1:65" ht="15">
      <c r="A983" s="25" t="str">
        <f>IFERROR(INDEX('Hun Demand'!W:W,MATCH(O983,'Hun Demand'!A:A,0)),"")</f>
        <v/>
      </c>
      <c r="B983" s="25" t="str">
        <f>IFERROR(INDEX('Hun Demand'!V:V,MATCH(O983,'Hun Demand'!A:A,0)),"")</f>
        <v/>
      </c>
      <c r="C983" s="25" t="str">
        <f>IFERROR(INDEX('Hun Demand'!U:U,MATCH(O983,'Hun Demand'!A:A,0)),"")</f>
        <v/>
      </c>
      <c r="D983" s="25" t="str">
        <f>IFERROR(INDEX('Hun Demand'!T:T,MATCH(O983,'Hun Demand'!A:A,0)),"")</f>
        <v/>
      </c>
      <c r="E983" s="25" t="str">
        <f>IFERROR(INDEX('Hun Demand'!S:S,MATCH(O983,'Hun Demand'!A:A,0)),"")</f>
        <v/>
      </c>
      <c r="F983" s="25" t="str">
        <f>IFERROR(INDEX('Hun Demand'!R:R,MATCH(O983,'Hun Demand'!A:A,0)),"")</f>
        <v/>
      </c>
      <c r="G983" s="25">
        <f>IFERROR(INDEX('Aub Demand'!W:W,MATCH(O983,'Aub Demand'!A:A,0)),"")</f>
        <v>0</v>
      </c>
      <c r="H983" s="25">
        <f>IFERROR(INDEX('Aub Demand'!V:V,MATCH(O983,'Aub Demand'!A:A,0)),"")</f>
        <v>70</v>
      </c>
      <c r="I983" s="25">
        <f>IFERROR(INDEX('Aub Demand'!U:U,MATCH(O983,'Aub Demand'!A:A,0)),"")</f>
        <v>149</v>
      </c>
      <c r="J983" s="25">
        <f>IFERROR(INDEX('Aub Demand'!T:T,MATCH(O983,'Aub Demand'!A:A,0)),"")</f>
        <v>0</v>
      </c>
      <c r="K983" s="25">
        <f>IFERROR(INDEX('Aub Demand'!S:S,MATCH(O983,'Aub Demand'!A:A,0)),"")</f>
        <v>440</v>
      </c>
      <c r="L983" s="25">
        <f>IFERROR(INDEX('Aub Demand'!R:R,MATCH(O983,'Aub Demand'!A:A,0)),"")</f>
        <v>0</v>
      </c>
      <c r="O983" s="27" t="s">
        <v>3394</v>
      </c>
      <c r="P983" s="27" t="str">
        <f>IFERROR(INDEX('Aub Demand'!B:B,MATCH($O983,'Aub Demand'!$A:$A,0)),"")</f>
        <v>HEATHER ROSE</v>
      </c>
      <c r="Q983" s="27" t="str">
        <f>IFERROR(INDEX('Aub Demand'!C:C,MATCH($O983,'Aub Demand'!$A:$A,0)),"")</f>
        <v>ONYX</v>
      </c>
      <c r="R983" s="52">
        <f>IFERROR(IF(AR984=AR983,INDEX('Aub Demand'!K:K,MATCH($O983,'Aub Demand'!$A:$A,0))-IF(AN983="",0,AN983)+AP984,INDEX('Aub Demand'!K:K,MATCH($O983,'Aub Demand'!$A:$A,0))-IF(AN983="",0,AN983)),"")</f>
        <v>5237</v>
      </c>
      <c r="S983" s="53">
        <f t="shared" si="420"/>
        <v>114.5</v>
      </c>
      <c r="T983" s="52" t="str">
        <f t="shared" si="421"/>
        <v/>
      </c>
      <c r="U983" s="52">
        <f>IFERROR(IF(AR984=AR983,INDEX('Aub Demand'!Q:Q,MATCH($O983,'Aub Demand'!$A:$A,0))-IF(AN983="",0,AN983)+AP984,INDEX('Aub Demand'!Q:Q,MATCH($O983,'Aub Demand'!$A:$A,0))-IF(AN983="",0,AN983)),"")</f>
        <v>5215</v>
      </c>
      <c r="V983" s="53">
        <f t="shared" si="422"/>
        <v>114</v>
      </c>
      <c r="W983" s="52" t="str">
        <f t="shared" si="423"/>
        <v/>
      </c>
      <c r="X983" s="52">
        <f>IFERROR(IF(AND(AR984=AR983,AM983&lt;&gt;""),INDEX('Aub Demand'!Q:Q,MATCH($O983,'Aub Demand'!$A:$A,0))-IF(AN983="",0,AN983)+AP984+AD983+AL983,IF(AR984=AR983,INDEX('Aub Demand'!Q:Q,MATCH($O983,'Aub Demand'!$A:$A,0))-IF(AN983="",0,AN983)+AP984+AD983,IF(AM983&lt;&gt;"",INDEX('Aub Demand'!Q:Q,MATCH($O983,'Aub Demand'!$A:$A,0))-IF(AN983="",0,AN983)+AD983+AL983,INDEX('Aub Demand'!Q:Q,MATCH($O983,'Aub Demand'!$A:$A,0))-IF(AN983="",0,AN983)+AD983))),"")</f>
        <v>5215</v>
      </c>
      <c r="Y983" s="53">
        <f t="shared" si="424"/>
        <v>114</v>
      </c>
      <c r="Z983" s="52">
        <f>IF(L983="","",INDEX('Aub Demand'!H:H,MATCH($O983,'Aub Demand'!$A:$A,0)))</f>
        <v>196</v>
      </c>
      <c r="AA983" s="52">
        <f t="shared" si="425"/>
        <v>294.5</v>
      </c>
      <c r="AB983" s="52">
        <f>IFERROR(INDEX('Aub Demand'!L:L,MATCH($O983,'Aub Demand'!$A:$A,0)),"")</f>
        <v>215</v>
      </c>
      <c r="AC983" s="52">
        <f>IFERROR(IF(O983="","",SUMIFS('CPL Mats'!F:F,'CPL Mats'!Q:Q,AR983,'CPL Mats'!S:S,AS983)),"")</f>
        <v>0</v>
      </c>
      <c r="AF983" s="25" t="str">
        <f>IF(SUMIFS('Supp Consol'!S:S,'Supp Consol'!Y:Y,"Releasable",'Supp Consol'!A:A,O983)=0,"",SUMIFS('Supp Consol'!S:S,'Supp Consol'!Y:Y,"Releasable",'Supp Consol'!A:A,O983))</f>
        <v/>
      </c>
      <c r="AG983" s="25" t="str">
        <f>IFERROR(INDEX('Hun Demand'!Q:Q,MATCH(O983,'Hun Demand'!A:A,0)),"")</f>
        <v/>
      </c>
      <c r="AH983" s="25" t="str">
        <f>IFERROR(INDEX('Hun Demand'!H:H,MATCH($O983,'Hun Demand'!$A:$A,0)),"")</f>
        <v/>
      </c>
      <c r="AI983" s="25" t="str">
        <f>IF(SUMIFS('Supp Consol'!AA:AA,'Supp Consol'!Z:Z,"Expires this month",'Supp Consol'!A:A,O983)=0,"",SUMIFS('Supp Consol'!AA:AA,'Supp Consol'!Z:Z,"Expires this month",'Supp Consol'!A:A,O983))</f>
        <v/>
      </c>
      <c r="AJ983" s="25" t="str">
        <f>IF(SUMIFS('Supp Consol'!AA:AA,'Supp Consol'!Z:Z,"Expired Previous Months",'Supp Consol'!A:A,O983)=0,"",SUMIFS('Supp Consol'!AA:AA,'Supp Consol'!Z:Z,"Expired Previous Months",'Supp Consol'!A:A,O983))</f>
        <v/>
      </c>
      <c r="AK983" s="25" t="str">
        <f>IFERROR(INDEX('Hun Release Current'!B:B,MATCH(O983,'Hun Release Current'!A:A,0)),"")</f>
        <v/>
      </c>
      <c r="AL983" s="25" t="str">
        <f>IF(SUMIF('Prev Aub'!A:A,O983,'Prev Aub'!B:B)=0,"",SUMIF('Prev Aub'!A:A,O983,'Prev Aub'!B:B))</f>
        <v/>
      </c>
      <c r="AN983" s="25" t="s">
        <v>3790</v>
      </c>
      <c r="AO983" s="25" t="s">
        <v>3790</v>
      </c>
      <c r="AP983" s="25">
        <f t="shared" si="426"/>
        <v>0</v>
      </c>
      <c r="AQ983" s="151" t="str">
        <f>IF(SUMIFS('Supp Consol'!S:S,'Supp Consol'!A:A,O983,'Supp Consol'!I:I,"PENDING")=0,"",SUMIFS('Supp Consol'!S:S,'Supp Consol'!A:A,O983,'Supp Consol'!I:I,"PENDING"))</f>
        <v/>
      </c>
      <c r="AR983" s="27" t="str">
        <f t="shared" si="427"/>
        <v>S9177</v>
      </c>
      <c r="AS983" s="27" t="str">
        <f t="shared" si="428"/>
        <v>50</v>
      </c>
      <c r="AT983" s="27" t="str">
        <f t="shared" si="429"/>
        <v/>
      </c>
      <c r="AU983" s="27" t="str">
        <f t="shared" si="430"/>
        <v/>
      </c>
      <c r="AV983" s="27" t="str">
        <f t="shared" si="431"/>
        <v/>
      </c>
      <c r="AW983" s="27" t="str">
        <f t="shared" si="432"/>
        <v/>
      </c>
      <c r="AX983" s="27" t="str">
        <f t="shared" si="433"/>
        <v/>
      </c>
      <c r="AY983" s="27" t="str">
        <f t="shared" si="434"/>
        <v/>
      </c>
      <c r="AZ983" s="27" t="str">
        <f t="shared" si="435"/>
        <v/>
      </c>
      <c r="BA983" s="27" t="str">
        <f t="shared" si="436"/>
        <v/>
      </c>
      <c r="BB983" s="27" t="str">
        <f t="shared" si="437"/>
        <v/>
      </c>
      <c r="BC983" s="27" t="str">
        <f t="shared" si="438"/>
        <v/>
      </c>
      <c r="BD983" s="27" t="str">
        <f t="shared" si="439"/>
        <v/>
      </c>
      <c r="BE983" s="27" t="str">
        <f t="shared" si="440"/>
        <v/>
      </c>
      <c r="BF983" s="27" t="str">
        <f t="shared" si="441"/>
        <v/>
      </c>
      <c r="BG983" s="27" t="str">
        <f t="shared" si="442"/>
        <v/>
      </c>
      <c r="BH983" s="27" t="str">
        <f t="shared" si="443"/>
        <v/>
      </c>
      <c r="BI983" s="27" t="str">
        <f t="shared" si="444"/>
        <v/>
      </c>
      <c r="BJ983" s="27" t="str">
        <f t="shared" si="445"/>
        <v/>
      </c>
      <c r="BK983" s="27" t="str">
        <f t="shared" si="446"/>
        <v/>
      </c>
      <c r="BL983" s="27" t="str">
        <f t="shared" si="447"/>
        <v/>
      </c>
      <c r="BM983" s="21" t="s">
        <v>3790</v>
      </c>
    </row>
    <row r="984" spans="1:65" ht="15">
      <c r="A984" s="25" t="str">
        <f>IFERROR(INDEX('Hun Demand'!W:W,MATCH(O984,'Hun Demand'!A:A,0)),"")</f>
        <v/>
      </c>
      <c r="B984" s="25" t="str">
        <f>IFERROR(INDEX('Hun Demand'!V:V,MATCH(O984,'Hun Demand'!A:A,0)),"")</f>
        <v/>
      </c>
      <c r="C984" s="25" t="str">
        <f>IFERROR(INDEX('Hun Demand'!U:U,MATCH(O984,'Hun Demand'!A:A,0)),"")</f>
        <v/>
      </c>
      <c r="D984" s="25" t="str">
        <f>IFERROR(INDEX('Hun Demand'!T:T,MATCH(O984,'Hun Demand'!A:A,0)),"")</f>
        <v/>
      </c>
      <c r="E984" s="25" t="str">
        <f>IFERROR(INDEX('Hun Demand'!S:S,MATCH(O984,'Hun Demand'!A:A,0)),"")</f>
        <v/>
      </c>
      <c r="F984" s="25" t="str">
        <f>IFERROR(INDEX('Hun Demand'!R:R,MATCH(O984,'Hun Demand'!A:A,0)),"")</f>
        <v/>
      </c>
      <c r="G984" s="25">
        <f>IFERROR(INDEX('Aub Demand'!W:W,MATCH(O984,'Aub Demand'!A:A,0)),"")</f>
        <v>158</v>
      </c>
      <c r="H984" s="25">
        <f>IFERROR(INDEX('Aub Demand'!V:V,MATCH(O984,'Aub Demand'!A:A,0)),"")</f>
        <v>0</v>
      </c>
      <c r="I984" s="25">
        <f>IFERROR(INDEX('Aub Demand'!U:U,MATCH(O984,'Aub Demand'!A:A,0)),"")</f>
        <v>96</v>
      </c>
      <c r="J984" s="25">
        <f>IFERROR(INDEX('Aub Demand'!T:T,MATCH(O984,'Aub Demand'!A:A,0)),"")</f>
        <v>0</v>
      </c>
      <c r="K984" s="25">
        <f>IFERROR(INDEX('Aub Demand'!S:S,MATCH(O984,'Aub Demand'!A:A,0)),"")</f>
        <v>0</v>
      </c>
      <c r="L984" s="25">
        <f>IFERROR(INDEX('Aub Demand'!R:R,MATCH(O984,'Aub Demand'!A:A,0)),"")</f>
        <v>0</v>
      </c>
      <c r="O984" s="27" t="s">
        <v>1370</v>
      </c>
      <c r="P984" s="27" t="str">
        <f>IFERROR(INDEX('Aub Demand'!B:B,MATCH($O984,'Aub Demand'!$A:$A,0)),"")</f>
        <v>FRENCH BLUE</v>
      </c>
      <c r="Q984" s="27" t="str">
        <f>IFERROR(INDEX('Aub Demand'!C:C,MATCH($O984,'Aub Demand'!$A:$A,0)),"")</f>
        <v>ONYX</v>
      </c>
      <c r="R984" s="52">
        <f>IFERROR(IF(AR985=AR984,INDEX('Aub Demand'!K:K,MATCH($O984,'Aub Demand'!$A:$A,0))-IF(AN984="",0,AN984)+AP985,INDEX('Aub Demand'!K:K,MATCH($O984,'Aub Demand'!$A:$A,0))-IF(AN984="",0,AN984)),"")</f>
        <v>0</v>
      </c>
      <c r="S984" s="53">
        <f t="shared" si="420"/>
        <v>0</v>
      </c>
      <c r="T984" s="52" t="str">
        <f t="shared" si="421"/>
        <v/>
      </c>
      <c r="U984" s="52">
        <f>IFERROR(IF(AR985=AR984,INDEX('Aub Demand'!Q:Q,MATCH($O984,'Aub Demand'!$A:$A,0))-IF(AN984="",0,AN984)+AP985,INDEX('Aub Demand'!Q:Q,MATCH($O984,'Aub Demand'!$A:$A,0))-IF(AN984="",0,AN984)),"")</f>
        <v>-32</v>
      </c>
      <c r="V984" s="53">
        <f t="shared" si="422"/>
        <v>-4.3</v>
      </c>
      <c r="W984" s="52" t="str">
        <f t="shared" si="423"/>
        <v/>
      </c>
      <c r="X984" s="52">
        <f>IFERROR(IF(AND(AR985=AR984,AM984&lt;&gt;""),INDEX('Aub Demand'!Q:Q,MATCH($O984,'Aub Demand'!$A:$A,0))-IF(AN984="",0,AN984)+AP985+AD984+AL984,IF(AR985=AR984,INDEX('Aub Demand'!Q:Q,MATCH($O984,'Aub Demand'!$A:$A,0))-IF(AN984="",0,AN984)+AP985+AD984,IF(AM984&lt;&gt;"",INDEX('Aub Demand'!Q:Q,MATCH($O984,'Aub Demand'!$A:$A,0))-IF(AN984="",0,AN984)+AD984+AL984,INDEX('Aub Demand'!Q:Q,MATCH($O984,'Aub Demand'!$A:$A,0))-IF(AN984="",0,AN984)+AD984))),"")</f>
        <v>-32</v>
      </c>
      <c r="Y984" s="53">
        <f t="shared" si="424"/>
        <v>-4.3</v>
      </c>
      <c r="Z984" s="52">
        <f>IF(L984="","",INDEX('Aub Demand'!H:H,MATCH($O984,'Aub Demand'!$A:$A,0)))</f>
        <v>32</v>
      </c>
      <c r="AA984" s="52" t="str">
        <f t="shared" si="425"/>
        <v>-spike-</v>
      </c>
      <c r="AB984" s="52">
        <f>IFERROR(INDEX('Aub Demand'!L:L,MATCH($O984,'Aub Demand'!$A:$A,0)),"")</f>
        <v>94</v>
      </c>
      <c r="AC984" s="52">
        <f>IFERROR(IF(O984="","",SUMIFS('CPL Mats'!F:F,'CPL Mats'!Q:Q,AR984,'CPL Mats'!S:S,AS984)),"")</f>
        <v>0</v>
      </c>
      <c r="AF984" s="25" t="str">
        <f>IF(SUMIFS('Supp Consol'!S:S,'Supp Consol'!Y:Y,"Releasable",'Supp Consol'!A:A,O984)=0,"",SUMIFS('Supp Consol'!S:S,'Supp Consol'!Y:Y,"Releasable",'Supp Consol'!A:A,O984))</f>
        <v/>
      </c>
      <c r="AG984" s="25" t="str">
        <f>IFERROR(INDEX('Hun Demand'!Q:Q,MATCH(O984,'Hun Demand'!A:A,0)),"")</f>
        <v/>
      </c>
      <c r="AH984" s="25" t="str">
        <f>IFERROR(INDEX('Hun Demand'!H:H,MATCH($O984,'Hun Demand'!$A:$A,0)),"")</f>
        <v/>
      </c>
      <c r="AI984" s="25" t="str">
        <f>IF(SUMIFS('Supp Consol'!AA:AA,'Supp Consol'!Z:Z,"Expires this month",'Supp Consol'!A:A,O984)=0,"",SUMIFS('Supp Consol'!AA:AA,'Supp Consol'!Z:Z,"Expires this month",'Supp Consol'!A:A,O984))</f>
        <v/>
      </c>
      <c r="AJ984" s="25" t="str">
        <f>IF(SUMIFS('Supp Consol'!AA:AA,'Supp Consol'!Z:Z,"Expired Previous Months",'Supp Consol'!A:A,O984)=0,"",SUMIFS('Supp Consol'!AA:AA,'Supp Consol'!Z:Z,"Expired Previous Months",'Supp Consol'!A:A,O984))</f>
        <v/>
      </c>
      <c r="AK984" s="25" t="str">
        <f>IFERROR(INDEX('Hun Release Current'!B:B,MATCH(O984,'Hun Release Current'!A:A,0)),"")</f>
        <v/>
      </c>
      <c r="AL984" s="25" t="str">
        <f>IF(SUMIF('Prev Aub'!A:A,O984,'Prev Aub'!B:B)=0,"",SUMIF('Prev Aub'!A:A,O984,'Prev Aub'!B:B))</f>
        <v/>
      </c>
      <c r="AN984" s="25" t="s">
        <v>3790</v>
      </c>
      <c r="AO984" s="25" t="s">
        <v>3790</v>
      </c>
      <c r="AP984" s="25">
        <f t="shared" si="426"/>
        <v>0</v>
      </c>
      <c r="AQ984" s="151" t="str">
        <f>IF(SUMIFS('Supp Consol'!S:S,'Supp Consol'!A:A,O984,'Supp Consol'!I:I,"PENDING")=0,"",SUMIFS('Supp Consol'!S:S,'Supp Consol'!A:A,O984,'Supp Consol'!I:I,"PENDING"))</f>
        <v/>
      </c>
      <c r="AR984" s="27" t="str">
        <f t="shared" si="427"/>
        <v>SB005</v>
      </c>
      <c r="AS984" s="27" t="str">
        <f t="shared" si="428"/>
        <v>50</v>
      </c>
      <c r="AT984" s="27" t="str">
        <f t="shared" si="429"/>
        <v>SB005</v>
      </c>
      <c r="AU984" s="27" t="str">
        <f t="shared" si="430"/>
        <v>SB005</v>
      </c>
      <c r="AV984" s="27" t="str">
        <f t="shared" si="431"/>
        <v>SB005</v>
      </c>
      <c r="AW984" s="27" t="str">
        <f t="shared" si="432"/>
        <v/>
      </c>
      <c r="AX984" s="27" t="str">
        <f t="shared" si="433"/>
        <v/>
      </c>
      <c r="AY984" s="27" t="str">
        <f t="shared" si="434"/>
        <v/>
      </c>
      <c r="AZ984" s="27" t="str">
        <f t="shared" si="435"/>
        <v/>
      </c>
      <c r="BA984" s="27" t="str">
        <f t="shared" si="436"/>
        <v/>
      </c>
      <c r="BB984" s="27" t="str">
        <f t="shared" si="437"/>
        <v>Gross</v>
      </c>
      <c r="BC984" s="27" t="str">
        <f t="shared" si="438"/>
        <v>Net</v>
      </c>
      <c r="BD984" s="27" t="str">
        <f t="shared" si="439"/>
        <v>Net</v>
      </c>
      <c r="BE984" s="27" t="str">
        <f t="shared" si="440"/>
        <v/>
      </c>
      <c r="BF984" s="27" t="str">
        <f t="shared" si="441"/>
        <v/>
      </c>
      <c r="BG984" s="27" t="str">
        <f t="shared" si="442"/>
        <v/>
      </c>
      <c r="BH984" s="27" t="str">
        <f t="shared" si="443"/>
        <v/>
      </c>
      <c r="BI984" s="27" t="str">
        <f t="shared" si="444"/>
        <v/>
      </c>
      <c r="BJ984" s="27" t="str">
        <f t="shared" si="445"/>
        <v/>
      </c>
      <c r="BK984" s="27" t="str">
        <f t="shared" si="446"/>
        <v/>
      </c>
      <c r="BL984" s="27" t="str">
        <f t="shared" si="447"/>
        <v/>
      </c>
      <c r="BM984" s="21" t="s">
        <v>5581</v>
      </c>
    </row>
    <row r="985" spans="1:65" ht="15">
      <c r="A985" s="25" t="str">
        <f>IFERROR(INDEX('Hun Demand'!W:W,MATCH(O985,'Hun Demand'!A:A,0)),"")</f>
        <v/>
      </c>
      <c r="B985" s="25" t="str">
        <f>IFERROR(INDEX('Hun Demand'!V:V,MATCH(O985,'Hun Demand'!A:A,0)),"")</f>
        <v/>
      </c>
      <c r="C985" s="25" t="str">
        <f>IFERROR(INDEX('Hun Demand'!U:U,MATCH(O985,'Hun Demand'!A:A,0)),"")</f>
        <v/>
      </c>
      <c r="D985" s="25" t="str">
        <f>IFERROR(INDEX('Hun Demand'!T:T,MATCH(O985,'Hun Demand'!A:A,0)),"")</f>
        <v/>
      </c>
      <c r="E985" s="25" t="str">
        <f>IFERROR(INDEX('Hun Demand'!S:S,MATCH(O985,'Hun Demand'!A:A,0)),"")</f>
        <v/>
      </c>
      <c r="F985" s="25" t="str">
        <f>IFERROR(INDEX('Hun Demand'!R:R,MATCH(O985,'Hun Demand'!A:A,0)),"")</f>
        <v/>
      </c>
      <c r="G985" s="25">
        <f>IFERROR(INDEX('Aub Demand'!W:W,MATCH(O985,'Aub Demand'!A:A,0)),"")</f>
        <v>66</v>
      </c>
      <c r="H985" s="25">
        <f>IFERROR(INDEX('Aub Demand'!V:V,MATCH(O985,'Aub Demand'!A:A,0)),"")</f>
        <v>55</v>
      </c>
      <c r="I985" s="25">
        <f>IFERROR(INDEX('Aub Demand'!U:U,MATCH(O985,'Aub Demand'!A:A,0)),"")</f>
        <v>48</v>
      </c>
      <c r="J985" s="25">
        <f>IFERROR(INDEX('Aub Demand'!T:T,MATCH(O985,'Aub Demand'!A:A,0)),"")</f>
        <v>32</v>
      </c>
      <c r="K985" s="25">
        <f>IFERROR(INDEX('Aub Demand'!S:S,MATCH(O985,'Aub Demand'!A:A,0)),"")</f>
        <v>0</v>
      </c>
      <c r="L985" s="25">
        <f>IFERROR(INDEX('Aub Demand'!R:R,MATCH(O985,'Aub Demand'!A:A,0)),"")</f>
        <v>0</v>
      </c>
      <c r="O985" s="27" t="s">
        <v>1371</v>
      </c>
      <c r="P985" s="27" t="str">
        <f>IFERROR(INDEX('Aub Demand'!B:B,MATCH($O985,'Aub Demand'!$A:$A,0)),"")</f>
        <v>FRENCH BLUE</v>
      </c>
      <c r="Q985" s="27" t="str">
        <f>IFERROR(INDEX('Aub Demand'!C:C,MATCH($O985,'Aub Demand'!$A:$A,0)),"")</f>
        <v>ONYX</v>
      </c>
      <c r="R985" s="52">
        <f>IFERROR(IF(AR986=AR985,INDEX('Aub Demand'!K:K,MATCH($O985,'Aub Demand'!$A:$A,0))-IF(AN985="",0,AN985)+AP986,INDEX('Aub Demand'!K:K,MATCH($O985,'Aub Demand'!$A:$A,0))-IF(AN985="",0,AN985)),"")</f>
        <v>2065</v>
      </c>
      <c r="S985" s="53">
        <f t="shared" si="420"/>
        <v>327.8</v>
      </c>
      <c r="T985" s="52" t="str">
        <f t="shared" si="421"/>
        <v/>
      </c>
      <c r="U985" s="52">
        <f>IFERROR(IF(AR986=AR985,INDEX('Aub Demand'!Q:Q,MATCH($O985,'Aub Demand'!$A:$A,0))-IF(AN985="",0,AN985)+AP986,INDEX('Aub Demand'!Q:Q,MATCH($O985,'Aub Demand'!$A:$A,0))-IF(AN985="",0,AN985)),"")</f>
        <v>2051</v>
      </c>
      <c r="V985" s="53">
        <f t="shared" si="422"/>
        <v>325.60000000000002</v>
      </c>
      <c r="W985" s="52" t="str">
        <f t="shared" si="423"/>
        <v/>
      </c>
      <c r="X985" s="52">
        <f>IFERROR(IF(AND(AR986=AR985,AM985&lt;&gt;""),INDEX('Aub Demand'!Q:Q,MATCH($O985,'Aub Demand'!$A:$A,0))-IF(AN985="",0,AN985)+AP986+AD985+AL985,IF(AR986=AR985,INDEX('Aub Demand'!Q:Q,MATCH($O985,'Aub Demand'!$A:$A,0))-IF(AN985="",0,AN985)+AP986+AD985,IF(AM985&lt;&gt;"",INDEX('Aub Demand'!Q:Q,MATCH($O985,'Aub Demand'!$A:$A,0))-IF(AN985="",0,AN985)+AD985+AL985,INDEX('Aub Demand'!Q:Q,MATCH($O985,'Aub Demand'!$A:$A,0))-IF(AN985="",0,AN985)+AD985))),"")</f>
        <v>2051</v>
      </c>
      <c r="Y985" s="53">
        <f t="shared" si="424"/>
        <v>325.60000000000002</v>
      </c>
      <c r="Z985" s="52">
        <f>IF(L985="","",INDEX('Aub Demand'!H:H,MATCH($O985,'Aub Demand'!$A:$A,0)))</f>
        <v>27</v>
      </c>
      <c r="AA985" s="52">
        <f t="shared" si="425"/>
        <v>40</v>
      </c>
      <c r="AB985" s="52">
        <f>IFERROR(INDEX('Aub Demand'!L:L,MATCH($O985,'Aub Demand'!$A:$A,0)),"")</f>
        <v>0</v>
      </c>
      <c r="AC985" s="52">
        <f>IFERROR(IF(O985="","",SUMIFS('CPL Mats'!F:F,'CPL Mats'!Q:Q,AR985,'CPL Mats'!S:S,AS985)),"")</f>
        <v>0</v>
      </c>
      <c r="AF985" s="25" t="str">
        <f>IF(SUMIFS('Supp Consol'!S:S,'Supp Consol'!Y:Y,"Releasable",'Supp Consol'!A:A,O985)=0,"",SUMIFS('Supp Consol'!S:S,'Supp Consol'!Y:Y,"Releasable",'Supp Consol'!A:A,O985))</f>
        <v/>
      </c>
      <c r="AG985" s="25" t="str">
        <f>IFERROR(INDEX('Hun Demand'!Q:Q,MATCH(O985,'Hun Demand'!A:A,0)),"")</f>
        <v/>
      </c>
      <c r="AH985" s="25" t="str">
        <f>IFERROR(INDEX('Hun Demand'!H:H,MATCH($O985,'Hun Demand'!$A:$A,0)),"")</f>
        <v/>
      </c>
      <c r="AI985" s="25" t="str">
        <f>IF(SUMIFS('Supp Consol'!AA:AA,'Supp Consol'!Z:Z,"Expires this month",'Supp Consol'!A:A,O985)=0,"",SUMIFS('Supp Consol'!AA:AA,'Supp Consol'!Z:Z,"Expires this month",'Supp Consol'!A:A,O985))</f>
        <v/>
      </c>
      <c r="AJ985" s="25" t="str">
        <f>IF(SUMIFS('Supp Consol'!AA:AA,'Supp Consol'!Z:Z,"Expired Previous Months",'Supp Consol'!A:A,O985)=0,"",SUMIFS('Supp Consol'!AA:AA,'Supp Consol'!Z:Z,"Expired Previous Months",'Supp Consol'!A:A,O985))</f>
        <v/>
      </c>
      <c r="AK985" s="25" t="str">
        <f>IFERROR(INDEX('Hun Release Current'!B:B,MATCH(O985,'Hun Release Current'!A:A,0)),"")</f>
        <v/>
      </c>
      <c r="AL985" s="25" t="str">
        <f>IF(SUMIF('Prev Aub'!A:A,O985,'Prev Aub'!B:B)=0,"",SUMIF('Prev Aub'!A:A,O985,'Prev Aub'!B:B))</f>
        <v/>
      </c>
      <c r="AN985" s="25" t="s">
        <v>3790</v>
      </c>
      <c r="AO985" s="25" t="s">
        <v>3790</v>
      </c>
      <c r="AP985" s="25">
        <f t="shared" si="426"/>
        <v>0</v>
      </c>
      <c r="AQ985" s="151" t="str">
        <f>IF(SUMIFS('Supp Consol'!S:S,'Supp Consol'!A:A,O985,'Supp Consol'!I:I,"PENDING")=0,"",SUMIFS('Supp Consol'!S:S,'Supp Consol'!A:A,O985,'Supp Consol'!I:I,"PENDING"))</f>
        <v/>
      </c>
      <c r="AR985" s="27" t="str">
        <f t="shared" si="427"/>
        <v>SB005</v>
      </c>
      <c r="AS985" s="27" t="str">
        <f t="shared" si="428"/>
        <v>62</v>
      </c>
      <c r="AT985" s="27" t="str">
        <f t="shared" si="429"/>
        <v/>
      </c>
      <c r="AU985" s="27" t="str">
        <f t="shared" si="430"/>
        <v/>
      </c>
      <c r="AV985" s="27" t="str">
        <f t="shared" si="431"/>
        <v/>
      </c>
      <c r="AW985" s="27" t="str">
        <f t="shared" si="432"/>
        <v/>
      </c>
      <c r="AX985" s="27" t="str">
        <f t="shared" si="433"/>
        <v/>
      </c>
      <c r="AY985" s="27" t="str">
        <f t="shared" si="434"/>
        <v/>
      </c>
      <c r="AZ985" s="27" t="str">
        <f t="shared" si="435"/>
        <v/>
      </c>
      <c r="BA985" s="27" t="str">
        <f t="shared" si="436"/>
        <v/>
      </c>
      <c r="BB985" s="27" t="str">
        <f t="shared" si="437"/>
        <v>Gross</v>
      </c>
      <c r="BC985" s="27" t="str">
        <f t="shared" si="438"/>
        <v>Net</v>
      </c>
      <c r="BD985" s="27" t="str">
        <f t="shared" si="439"/>
        <v>Net</v>
      </c>
      <c r="BE985" s="27" t="str">
        <f t="shared" si="440"/>
        <v/>
      </c>
      <c r="BF985" s="27" t="str">
        <f t="shared" si="441"/>
        <v/>
      </c>
      <c r="BG985" s="27" t="str">
        <f t="shared" si="442"/>
        <v/>
      </c>
      <c r="BH985" s="27" t="str">
        <f t="shared" si="443"/>
        <v/>
      </c>
      <c r="BI985" s="27" t="str">
        <f t="shared" si="444"/>
        <v/>
      </c>
      <c r="BJ985" s="27" t="str">
        <f t="shared" si="445"/>
        <v/>
      </c>
      <c r="BK985" s="27" t="str">
        <f t="shared" si="446"/>
        <v/>
      </c>
      <c r="BL985" s="27" t="str">
        <f t="shared" si="447"/>
        <v/>
      </c>
      <c r="BM985" s="21" t="s">
        <v>5581</v>
      </c>
    </row>
    <row r="986" spans="1:65" ht="15">
      <c r="A986" s="25">
        <f>IFERROR(INDEX('Hun Demand'!W:W,MATCH(O986,'Hun Demand'!A:A,0)),"")</f>
        <v>0</v>
      </c>
      <c r="B986" s="25">
        <f>IFERROR(INDEX('Hun Demand'!V:V,MATCH(O986,'Hun Demand'!A:A,0)),"")</f>
        <v>0</v>
      </c>
      <c r="C986" s="25">
        <f>IFERROR(INDEX('Hun Demand'!U:U,MATCH(O986,'Hun Demand'!A:A,0)),"")</f>
        <v>0</v>
      </c>
      <c r="D986" s="25">
        <f>IFERROR(INDEX('Hun Demand'!T:T,MATCH(O986,'Hun Demand'!A:A,0)),"")</f>
        <v>266</v>
      </c>
      <c r="E986" s="25">
        <f>IFERROR(INDEX('Hun Demand'!S:S,MATCH(O986,'Hun Demand'!A:A,0)),"")</f>
        <v>0</v>
      </c>
      <c r="F986" s="25">
        <f>IFERROR(INDEX('Hun Demand'!R:R,MATCH(O986,'Hun Demand'!A:A,0)),"")</f>
        <v>0</v>
      </c>
      <c r="G986" s="25">
        <f>IFERROR(INDEX('Aub Demand'!W:W,MATCH(O986,'Aub Demand'!A:A,0)),"")</f>
        <v>253</v>
      </c>
      <c r="H986" s="25">
        <f>IFERROR(INDEX('Aub Demand'!V:V,MATCH(O986,'Aub Demand'!A:A,0)),"")</f>
        <v>0</v>
      </c>
      <c r="I986" s="25">
        <f>IFERROR(INDEX('Aub Demand'!U:U,MATCH(O986,'Aub Demand'!A:A,0)),"")</f>
        <v>450</v>
      </c>
      <c r="J986" s="25">
        <f>IFERROR(INDEX('Aub Demand'!T:T,MATCH(O986,'Aub Demand'!A:A,0)),"")</f>
        <v>0</v>
      </c>
      <c r="K986" s="25">
        <f>IFERROR(INDEX('Aub Demand'!S:S,MATCH(O986,'Aub Demand'!A:A,0)),"")</f>
        <v>210</v>
      </c>
      <c r="L986" s="25">
        <f>IFERROR(INDEX('Aub Demand'!R:R,MATCH(O986,'Aub Demand'!A:A,0)),"")</f>
        <v>0</v>
      </c>
      <c r="O986" s="27" t="s">
        <v>1372</v>
      </c>
      <c r="P986" s="27" t="str">
        <f>IFERROR(INDEX('Aub Demand'!B:B,MATCH($O986,'Aub Demand'!$A:$A,0)),"")</f>
        <v>INDIGO BLUE</v>
      </c>
      <c r="Q986" s="27" t="str">
        <f>IFERROR(INDEX('Aub Demand'!C:C,MATCH($O986,'Aub Demand'!$A:$A,0)),"")</f>
        <v>ONYX</v>
      </c>
      <c r="R986" s="52">
        <f>IFERROR(IF(AR987=AR986,INDEX('Aub Demand'!K:K,MATCH($O986,'Aub Demand'!$A:$A,0))-IF(AN986="",0,AN986)+AP987,INDEX('Aub Demand'!K:K,MATCH($O986,'Aub Demand'!$A:$A,0))-IF(AN986="",0,AN986)),"")</f>
        <v>879</v>
      </c>
      <c r="S986" s="53">
        <f t="shared" si="420"/>
        <v>17.100000000000001</v>
      </c>
      <c r="T986" s="52" t="str">
        <f t="shared" si="421"/>
        <v/>
      </c>
      <c r="U986" s="52">
        <f>IFERROR(IF(AR987=AR986,INDEX('Aub Demand'!Q:Q,MATCH($O986,'Aub Demand'!$A:$A,0))-IF(AN986="",0,AN986)+AP987,INDEX('Aub Demand'!Q:Q,MATCH($O986,'Aub Demand'!$A:$A,0))-IF(AN986="",0,AN986)),"")</f>
        <v>803</v>
      </c>
      <c r="V986" s="53">
        <f t="shared" si="422"/>
        <v>15.6</v>
      </c>
      <c r="W986" s="52" t="str">
        <f t="shared" si="423"/>
        <v/>
      </c>
      <c r="X986" s="52">
        <f>IFERROR(IF(AND(AR987=AR986,AM986&lt;&gt;""),INDEX('Aub Demand'!Q:Q,MATCH($O986,'Aub Demand'!$A:$A,0))-IF(AN986="",0,AN986)+AP987+AD986+AL986,IF(AR987=AR986,INDEX('Aub Demand'!Q:Q,MATCH($O986,'Aub Demand'!$A:$A,0))-IF(AN986="",0,AN986)+AP987+AD986,IF(AM986&lt;&gt;"",INDEX('Aub Demand'!Q:Q,MATCH($O986,'Aub Demand'!$A:$A,0))-IF(AN986="",0,AN986)+AD986+AL986,INDEX('Aub Demand'!Q:Q,MATCH($O986,'Aub Demand'!$A:$A,0))-IF(AN986="",0,AN986)+AD986))),"")</f>
        <v>803</v>
      </c>
      <c r="Y986" s="53">
        <f t="shared" si="424"/>
        <v>15.6</v>
      </c>
      <c r="Z986" s="52">
        <f>IF(L986="","",INDEX('Aub Demand'!H:H,MATCH($O986,'Aub Demand'!$A:$A,0)))</f>
        <v>220</v>
      </c>
      <c r="AA986" s="52">
        <f t="shared" si="425"/>
        <v>330</v>
      </c>
      <c r="AB986" s="52">
        <f>IFERROR(INDEX('Aub Demand'!L:L,MATCH($O986,'Aub Demand'!$A:$A,0)),"")</f>
        <v>373</v>
      </c>
      <c r="AC986" s="52">
        <f>IFERROR(IF(O986="","",SUMIFS('CPL Mats'!F:F,'CPL Mats'!Q:Q,AR986,'CPL Mats'!S:S,AS986)),"")</f>
        <v>0</v>
      </c>
      <c r="AF986" s="25" t="str">
        <f>IF(SUMIFS('Supp Consol'!S:S,'Supp Consol'!Y:Y,"Releasable",'Supp Consol'!A:A,O986)=0,"",SUMIFS('Supp Consol'!S:S,'Supp Consol'!Y:Y,"Releasable",'Supp Consol'!A:A,O986))</f>
        <v/>
      </c>
      <c r="AG986" s="25">
        <f>IFERROR(INDEX('Hun Demand'!Q:Q,MATCH(O986,'Hun Demand'!A:A,0)),"")</f>
        <v>168</v>
      </c>
      <c r="AH986" s="25">
        <f>IFERROR(INDEX('Hun Demand'!H:H,MATCH($O986,'Hun Demand'!$A:$A,0)),"")</f>
        <v>89</v>
      </c>
      <c r="AI986" s="25" t="str">
        <f>IF(SUMIFS('Supp Consol'!AA:AA,'Supp Consol'!Z:Z,"Expires this month",'Supp Consol'!A:A,O986)=0,"",SUMIFS('Supp Consol'!AA:AA,'Supp Consol'!Z:Z,"Expires this month",'Supp Consol'!A:A,O986))</f>
        <v/>
      </c>
      <c r="AJ986" s="25" t="str">
        <f>IF(SUMIFS('Supp Consol'!AA:AA,'Supp Consol'!Z:Z,"Expired Previous Months",'Supp Consol'!A:A,O986)=0,"",SUMIFS('Supp Consol'!AA:AA,'Supp Consol'!Z:Z,"Expired Previous Months",'Supp Consol'!A:A,O986))</f>
        <v/>
      </c>
      <c r="AK986" s="25" t="str">
        <f>IFERROR(INDEX('Hun Release Current'!B:B,MATCH(O986,'Hun Release Current'!A:A,0)),"")</f>
        <v/>
      </c>
      <c r="AL986" s="25" t="str">
        <f>IF(SUMIF('Prev Aub'!A:A,O986,'Prev Aub'!B:B)=0,"",SUMIF('Prev Aub'!A:A,O986,'Prev Aub'!B:B))</f>
        <v/>
      </c>
      <c r="AN986" s="25" t="s">
        <v>3790</v>
      </c>
      <c r="AO986" s="25" t="s">
        <v>3790</v>
      </c>
      <c r="AP986" s="25">
        <f t="shared" si="426"/>
        <v>0</v>
      </c>
      <c r="AQ986" s="151" t="str">
        <f>IF(SUMIFS('Supp Consol'!S:S,'Supp Consol'!A:A,O986,'Supp Consol'!I:I,"PENDING")=0,"",SUMIFS('Supp Consol'!S:S,'Supp Consol'!A:A,O986,'Supp Consol'!I:I,"PENDING"))</f>
        <v/>
      </c>
      <c r="AR986" s="27" t="str">
        <f t="shared" si="427"/>
        <v>SB006</v>
      </c>
      <c r="AS986" s="27" t="str">
        <f t="shared" si="428"/>
        <v>50</v>
      </c>
      <c r="AT986" s="27" t="str">
        <f t="shared" si="429"/>
        <v/>
      </c>
      <c r="AU986" s="27" t="str">
        <f t="shared" si="430"/>
        <v/>
      </c>
      <c r="AV986" s="27" t="str">
        <f t="shared" si="431"/>
        <v/>
      </c>
      <c r="AW986" s="27" t="str">
        <f t="shared" si="432"/>
        <v/>
      </c>
      <c r="AX986" s="27" t="str">
        <f t="shared" si="433"/>
        <v/>
      </c>
      <c r="AY986" s="27" t="str">
        <f t="shared" si="434"/>
        <v>SB006</v>
      </c>
      <c r="AZ986" s="27" t="str">
        <f t="shared" si="435"/>
        <v/>
      </c>
      <c r="BA986" s="27" t="str">
        <f t="shared" si="436"/>
        <v>Hun</v>
      </c>
      <c r="BB986" s="27" t="str">
        <f t="shared" si="437"/>
        <v/>
      </c>
      <c r="BC986" s="27" t="str">
        <f t="shared" si="438"/>
        <v/>
      </c>
      <c r="BD986" s="27" t="str">
        <f t="shared" si="439"/>
        <v/>
      </c>
      <c r="BE986" s="27" t="str">
        <f t="shared" si="440"/>
        <v/>
      </c>
      <c r="BF986" s="27" t="str">
        <f t="shared" si="441"/>
        <v/>
      </c>
      <c r="BG986" s="27" t="str">
        <f t="shared" si="442"/>
        <v/>
      </c>
      <c r="BH986" s="27" t="str">
        <f t="shared" si="443"/>
        <v/>
      </c>
      <c r="BI986" s="27" t="str">
        <f t="shared" si="444"/>
        <v/>
      </c>
      <c r="BJ986" s="27" t="str">
        <f t="shared" si="445"/>
        <v>Supp or Hun</v>
      </c>
      <c r="BK986" s="27" t="str">
        <f t="shared" si="446"/>
        <v/>
      </c>
      <c r="BL986" s="27" t="str">
        <f t="shared" si="447"/>
        <v/>
      </c>
      <c r="BM986" s="21" t="s">
        <v>5581</v>
      </c>
    </row>
    <row r="987" spans="1:65" ht="15">
      <c r="A987" s="25">
        <f>IFERROR(INDEX('Hun Demand'!W:W,MATCH(O987,'Hun Demand'!A:A,0)),"")</f>
        <v>0</v>
      </c>
      <c r="B987" s="25">
        <f>IFERROR(INDEX('Hun Demand'!V:V,MATCH(O987,'Hun Demand'!A:A,0)),"")</f>
        <v>0</v>
      </c>
      <c r="C987" s="25">
        <f>IFERROR(INDEX('Hun Demand'!U:U,MATCH(O987,'Hun Demand'!A:A,0)),"")</f>
        <v>0</v>
      </c>
      <c r="D987" s="25">
        <f>IFERROR(INDEX('Hun Demand'!T:T,MATCH(O987,'Hun Demand'!A:A,0)),"")</f>
        <v>255</v>
      </c>
      <c r="E987" s="25">
        <f>IFERROR(INDEX('Hun Demand'!S:S,MATCH(O987,'Hun Demand'!A:A,0)),"")</f>
        <v>0</v>
      </c>
      <c r="F987" s="25">
        <f>IFERROR(INDEX('Hun Demand'!R:R,MATCH(O987,'Hun Demand'!A:A,0)),"")</f>
        <v>0</v>
      </c>
      <c r="G987" s="25">
        <f>IFERROR(INDEX('Aub Demand'!W:W,MATCH(O987,'Aub Demand'!A:A,0)),"")</f>
        <v>63</v>
      </c>
      <c r="H987" s="25">
        <f>IFERROR(INDEX('Aub Demand'!V:V,MATCH(O987,'Aub Demand'!A:A,0)),"")</f>
        <v>0</v>
      </c>
      <c r="I987" s="25">
        <f>IFERROR(INDEX('Aub Demand'!U:U,MATCH(O987,'Aub Demand'!A:A,0)),"")</f>
        <v>255</v>
      </c>
      <c r="J987" s="25">
        <f>IFERROR(INDEX('Aub Demand'!T:T,MATCH(O987,'Aub Demand'!A:A,0)),"")</f>
        <v>0</v>
      </c>
      <c r="K987" s="25">
        <f>IFERROR(INDEX('Aub Demand'!S:S,MATCH(O987,'Aub Demand'!A:A,0)),"")</f>
        <v>40</v>
      </c>
      <c r="L987" s="25">
        <f>IFERROR(INDEX('Aub Demand'!R:R,MATCH(O987,'Aub Demand'!A:A,0)),"")</f>
        <v>0</v>
      </c>
      <c r="O987" s="27" t="s">
        <v>1374</v>
      </c>
      <c r="P987" s="27" t="str">
        <f>IFERROR(INDEX('Aub Demand'!B:B,MATCH($O987,'Aub Demand'!$A:$A,0)),"")</f>
        <v>INDIGO BLUE</v>
      </c>
      <c r="Q987" s="27" t="str">
        <f>IFERROR(INDEX('Aub Demand'!C:C,MATCH($O987,'Aub Demand'!$A:$A,0)),"")</f>
        <v>ONYX</v>
      </c>
      <c r="R987" s="52">
        <f>IFERROR(IF(AR988=AR987,INDEX('Aub Demand'!K:K,MATCH($O987,'Aub Demand'!$A:$A,0))-IF(AN987="",0,AN987)+AP988,INDEX('Aub Demand'!K:K,MATCH($O987,'Aub Demand'!$A:$A,0))-IF(AN987="",0,AN987)),"")</f>
        <v>539</v>
      </c>
      <c r="S987" s="53">
        <f t="shared" si="420"/>
        <v>23.6</v>
      </c>
      <c r="T987" s="52" t="str">
        <f t="shared" si="421"/>
        <v/>
      </c>
      <c r="U987" s="52">
        <f>IFERROR(IF(AR988=AR987,INDEX('Aub Demand'!Q:Q,MATCH($O987,'Aub Demand'!$A:$A,0))-IF(AN987="",0,AN987)+AP988,INDEX('Aub Demand'!Q:Q,MATCH($O987,'Aub Demand'!$A:$A,0))-IF(AN987="",0,AN987)),"")</f>
        <v>491</v>
      </c>
      <c r="V987" s="53">
        <f t="shared" si="422"/>
        <v>21.5</v>
      </c>
      <c r="W987" s="52" t="str">
        <f t="shared" si="423"/>
        <v/>
      </c>
      <c r="X987" s="52">
        <f>IFERROR(IF(AND(AR988=AR987,AM987&lt;&gt;""),INDEX('Aub Demand'!Q:Q,MATCH($O987,'Aub Demand'!$A:$A,0))-IF(AN987="",0,AN987)+AP988+AD987+AL987,IF(AR988=AR987,INDEX('Aub Demand'!Q:Q,MATCH($O987,'Aub Demand'!$A:$A,0))-IF(AN987="",0,AN987)+AP988+AD987,IF(AM987&lt;&gt;"",INDEX('Aub Demand'!Q:Q,MATCH($O987,'Aub Demand'!$A:$A,0))-IF(AN987="",0,AN987)+AD987+AL987,INDEX('Aub Demand'!Q:Q,MATCH($O987,'Aub Demand'!$A:$A,0))-IF(AN987="",0,AN987)+AD987))),"")</f>
        <v>491</v>
      </c>
      <c r="Y987" s="53">
        <f t="shared" si="424"/>
        <v>21.5</v>
      </c>
      <c r="Z987" s="52">
        <f>IF(L987="","",INDEX('Aub Demand'!H:H,MATCH($O987,'Aub Demand'!$A:$A,0)))</f>
        <v>98</v>
      </c>
      <c r="AA987" s="52">
        <f t="shared" si="425"/>
        <v>147.5</v>
      </c>
      <c r="AB987" s="52">
        <f>IFERROR(INDEX('Aub Demand'!L:L,MATCH($O987,'Aub Demand'!$A:$A,0)),"")</f>
        <v>7</v>
      </c>
      <c r="AC987" s="52">
        <f>IFERROR(IF(O987="","",SUMIFS('CPL Mats'!F:F,'CPL Mats'!Q:Q,AR987,'CPL Mats'!S:S,AS987)),"")</f>
        <v>0</v>
      </c>
      <c r="AF987" s="25" t="str">
        <f>IF(SUMIFS('Supp Consol'!S:S,'Supp Consol'!Y:Y,"Releasable",'Supp Consol'!A:A,O987)=0,"",SUMIFS('Supp Consol'!S:S,'Supp Consol'!Y:Y,"Releasable",'Supp Consol'!A:A,O987))</f>
        <v/>
      </c>
      <c r="AG987" s="25">
        <f>IFERROR(INDEX('Hun Demand'!Q:Q,MATCH(O987,'Hun Demand'!A:A,0)),"")</f>
        <v>0</v>
      </c>
      <c r="AH987" s="25">
        <f>IFERROR(INDEX('Hun Demand'!H:H,MATCH($O987,'Hun Demand'!$A:$A,0)),"")</f>
        <v>85</v>
      </c>
      <c r="AI987" s="25" t="str">
        <f>IF(SUMIFS('Supp Consol'!AA:AA,'Supp Consol'!Z:Z,"Expires this month",'Supp Consol'!A:A,O987)=0,"",SUMIFS('Supp Consol'!AA:AA,'Supp Consol'!Z:Z,"Expires this month",'Supp Consol'!A:A,O987))</f>
        <v/>
      </c>
      <c r="AJ987" s="25" t="str">
        <f>IF(SUMIFS('Supp Consol'!AA:AA,'Supp Consol'!Z:Z,"Expired Previous Months",'Supp Consol'!A:A,O987)=0,"",SUMIFS('Supp Consol'!AA:AA,'Supp Consol'!Z:Z,"Expired Previous Months",'Supp Consol'!A:A,O987))</f>
        <v/>
      </c>
      <c r="AK987" s="25" t="str">
        <f>IFERROR(INDEX('Hun Release Current'!B:B,MATCH(O987,'Hun Release Current'!A:A,0)),"")</f>
        <v/>
      </c>
      <c r="AL987" s="25" t="str">
        <f>IF(SUMIF('Prev Aub'!A:A,O987,'Prev Aub'!B:B)=0,"",SUMIF('Prev Aub'!A:A,O987,'Prev Aub'!B:B))</f>
        <v/>
      </c>
      <c r="AN987" s="25" t="s">
        <v>3790</v>
      </c>
      <c r="AO987" s="25" t="s">
        <v>3790</v>
      </c>
      <c r="AP987" s="25">
        <f t="shared" si="426"/>
        <v>0</v>
      </c>
      <c r="AQ987" s="151" t="str">
        <f>IF(SUMIFS('Supp Consol'!S:S,'Supp Consol'!A:A,O987,'Supp Consol'!I:I,"PENDING")=0,"",SUMIFS('Supp Consol'!S:S,'Supp Consol'!A:A,O987,'Supp Consol'!I:I,"PENDING"))</f>
        <v/>
      </c>
      <c r="AR987" s="27" t="str">
        <f t="shared" si="427"/>
        <v>SB006</v>
      </c>
      <c r="AS987" s="27" t="str">
        <f t="shared" si="428"/>
        <v>62</v>
      </c>
      <c r="AT987" s="27" t="str">
        <f t="shared" si="429"/>
        <v/>
      </c>
      <c r="AU987" s="27" t="str">
        <f t="shared" si="430"/>
        <v/>
      </c>
      <c r="AV987" s="27" t="str">
        <f t="shared" si="431"/>
        <v/>
      </c>
      <c r="AW987" s="27" t="str">
        <f t="shared" si="432"/>
        <v/>
      </c>
      <c r="AX987" s="27" t="str">
        <f t="shared" si="433"/>
        <v/>
      </c>
      <c r="AY987" s="27" t="str">
        <f t="shared" si="434"/>
        <v/>
      </c>
      <c r="AZ987" s="27" t="str">
        <f t="shared" si="435"/>
        <v/>
      </c>
      <c r="BA987" s="27" t="str">
        <f t="shared" si="436"/>
        <v>Hun</v>
      </c>
      <c r="BB987" s="27" t="str">
        <f t="shared" si="437"/>
        <v/>
      </c>
      <c r="BC987" s="27" t="str">
        <f t="shared" si="438"/>
        <v/>
      </c>
      <c r="BD987" s="27" t="str">
        <f t="shared" si="439"/>
        <v/>
      </c>
      <c r="BE987" s="27" t="str">
        <f t="shared" si="440"/>
        <v/>
      </c>
      <c r="BF987" s="27" t="str">
        <f t="shared" si="441"/>
        <v/>
      </c>
      <c r="BG987" s="27" t="str">
        <f t="shared" si="442"/>
        <v/>
      </c>
      <c r="BH987" s="27" t="str">
        <f t="shared" si="443"/>
        <v/>
      </c>
      <c r="BI987" s="27" t="str">
        <f t="shared" si="444"/>
        <v/>
      </c>
      <c r="BJ987" s="27" t="str">
        <f t="shared" si="445"/>
        <v>Supp or Hun</v>
      </c>
      <c r="BK987" s="27" t="str">
        <f t="shared" si="446"/>
        <v/>
      </c>
      <c r="BL987" s="27" t="str">
        <f t="shared" si="447"/>
        <v/>
      </c>
      <c r="BM987" s="21" t="s">
        <v>5581</v>
      </c>
    </row>
    <row r="988" spans="1:65" ht="15">
      <c r="A988" s="25" t="str">
        <f>IFERROR(INDEX('Hun Demand'!W:W,MATCH(O988,'Hun Demand'!A:A,0)),"")</f>
        <v/>
      </c>
      <c r="B988" s="25" t="str">
        <f>IFERROR(INDEX('Hun Demand'!V:V,MATCH(O988,'Hun Demand'!A:A,0)),"")</f>
        <v/>
      </c>
      <c r="C988" s="25" t="str">
        <f>IFERROR(INDEX('Hun Demand'!U:U,MATCH(O988,'Hun Demand'!A:A,0)),"")</f>
        <v/>
      </c>
      <c r="D988" s="25" t="str">
        <f>IFERROR(INDEX('Hun Demand'!T:T,MATCH(O988,'Hun Demand'!A:A,0)),"")</f>
        <v/>
      </c>
      <c r="E988" s="25" t="str">
        <f>IFERROR(INDEX('Hun Demand'!S:S,MATCH(O988,'Hun Demand'!A:A,0)),"")</f>
        <v/>
      </c>
      <c r="F988" s="25" t="str">
        <f>IFERROR(INDEX('Hun Demand'!R:R,MATCH(O988,'Hun Demand'!A:A,0)),"")</f>
        <v/>
      </c>
      <c r="G988" s="25">
        <f>IFERROR(INDEX('Aub Demand'!W:W,MATCH(O988,'Aub Demand'!A:A,0)),"")</f>
        <v>777</v>
      </c>
      <c r="H988" s="25">
        <f>IFERROR(INDEX('Aub Demand'!V:V,MATCH(O988,'Aub Demand'!A:A,0)),"")</f>
        <v>0</v>
      </c>
      <c r="I988" s="25">
        <f>IFERROR(INDEX('Aub Demand'!U:U,MATCH(O988,'Aub Demand'!A:A,0)),"")</f>
        <v>545</v>
      </c>
      <c r="J988" s="25">
        <f>IFERROR(INDEX('Aub Demand'!T:T,MATCH(O988,'Aub Demand'!A:A,0)),"")</f>
        <v>0</v>
      </c>
      <c r="K988" s="25">
        <f>IFERROR(INDEX('Aub Demand'!S:S,MATCH(O988,'Aub Demand'!A:A,0)),"")</f>
        <v>31</v>
      </c>
      <c r="L988" s="25">
        <f>IFERROR(INDEX('Aub Demand'!R:R,MATCH(O988,'Aub Demand'!A:A,0)),"")</f>
        <v>0</v>
      </c>
      <c r="O988" s="27" t="s">
        <v>1375</v>
      </c>
      <c r="P988" s="27" t="str">
        <f>IFERROR(INDEX('Aub Demand'!B:B,MATCH($O988,'Aub Demand'!$A:$A,0)),"")</f>
        <v>NAVY BLUE</v>
      </c>
      <c r="Q988" s="27" t="str">
        <f>IFERROR(INDEX('Aub Demand'!C:C,MATCH($O988,'Aub Demand'!$A:$A,0)),"")</f>
        <v>ONYX</v>
      </c>
      <c r="R988" s="52">
        <f>IFERROR(IF(AR989=AR988,INDEX('Aub Demand'!K:K,MATCH($O988,'Aub Demand'!$A:$A,0))-IF(AN988="",0,AN988)+AP989,INDEX('Aub Demand'!K:K,MATCH($O988,'Aub Demand'!$A:$A,0))-IF(AN988="",0,AN988)),"")</f>
        <v>166</v>
      </c>
      <c r="S988" s="53">
        <f t="shared" si="420"/>
        <v>3.7</v>
      </c>
      <c r="T988" s="52" t="str">
        <f t="shared" si="421"/>
        <v/>
      </c>
      <c r="U988" s="52">
        <f>IFERROR(IF(AR989=AR988,INDEX('Aub Demand'!Q:Q,MATCH($O988,'Aub Demand'!$A:$A,0))-IF(AN988="",0,AN988)+AP989,INDEX('Aub Demand'!Q:Q,MATCH($O988,'Aub Demand'!$A:$A,0))-IF(AN988="",0,AN988)),"")</f>
        <v>156</v>
      </c>
      <c r="V988" s="53">
        <f t="shared" si="422"/>
        <v>3.5</v>
      </c>
      <c r="W988" s="52" t="str">
        <f t="shared" si="423"/>
        <v/>
      </c>
      <c r="X988" s="52">
        <f>IFERROR(IF(AND(AR989=AR988,AM988&lt;&gt;""),INDEX('Aub Demand'!Q:Q,MATCH($O988,'Aub Demand'!$A:$A,0))-IF(AN988="",0,AN988)+AP989+AD988+AL988,IF(AR989=AR988,INDEX('Aub Demand'!Q:Q,MATCH($O988,'Aub Demand'!$A:$A,0))-IF(AN988="",0,AN988)+AP989+AD988,IF(AM988&lt;&gt;"",INDEX('Aub Demand'!Q:Q,MATCH($O988,'Aub Demand'!$A:$A,0))-IF(AN988="",0,AN988)+AD988+AL988,INDEX('Aub Demand'!Q:Q,MATCH($O988,'Aub Demand'!$A:$A,0))-IF(AN988="",0,AN988)+AD988))),"")</f>
        <v>156</v>
      </c>
      <c r="Y988" s="53">
        <f t="shared" si="424"/>
        <v>3.5</v>
      </c>
      <c r="Z988" s="52">
        <f>IF(L988="","",INDEX('Aub Demand'!H:H,MATCH($O988,'Aub Demand'!$A:$A,0)))</f>
        <v>192</v>
      </c>
      <c r="AA988" s="52">
        <f t="shared" si="425"/>
        <v>288</v>
      </c>
      <c r="AB988" s="52">
        <f>IFERROR(INDEX('Aub Demand'!L:L,MATCH($O988,'Aub Demand'!$A:$A,0)),"")</f>
        <v>19</v>
      </c>
      <c r="AC988" s="52">
        <f>IFERROR(IF(O988="","",SUMIFS('CPL Mats'!F:F,'CPL Mats'!Q:Q,AR988,'CPL Mats'!S:S,AS988)),"")</f>
        <v>0</v>
      </c>
      <c r="AF988" s="25" t="str">
        <f>IF(SUMIFS('Supp Consol'!S:S,'Supp Consol'!Y:Y,"Releasable",'Supp Consol'!A:A,O988)=0,"",SUMIFS('Supp Consol'!S:S,'Supp Consol'!Y:Y,"Releasable",'Supp Consol'!A:A,O988))</f>
        <v/>
      </c>
      <c r="AG988" s="25" t="str">
        <f>IFERROR(INDEX('Hun Demand'!Q:Q,MATCH(O988,'Hun Demand'!A:A,0)),"")</f>
        <v/>
      </c>
      <c r="AH988" s="25" t="str">
        <f>IFERROR(INDEX('Hun Demand'!H:H,MATCH($O988,'Hun Demand'!$A:$A,0)),"")</f>
        <v/>
      </c>
      <c r="AI988" s="25" t="str">
        <f>IF(SUMIFS('Supp Consol'!AA:AA,'Supp Consol'!Z:Z,"Expires this month",'Supp Consol'!A:A,O988)=0,"",SUMIFS('Supp Consol'!AA:AA,'Supp Consol'!Z:Z,"Expires this month",'Supp Consol'!A:A,O988))</f>
        <v/>
      </c>
      <c r="AJ988" s="25" t="str">
        <f>IF(SUMIFS('Supp Consol'!AA:AA,'Supp Consol'!Z:Z,"Expired Previous Months",'Supp Consol'!A:A,O988)=0,"",SUMIFS('Supp Consol'!AA:AA,'Supp Consol'!Z:Z,"Expired Previous Months",'Supp Consol'!A:A,O988))</f>
        <v/>
      </c>
      <c r="AK988" s="25" t="str">
        <f>IFERROR(INDEX('Hun Release Current'!B:B,MATCH(O988,'Hun Release Current'!A:A,0)),"")</f>
        <v/>
      </c>
      <c r="AL988" s="25" t="str">
        <f>IF(SUMIF('Prev Aub'!A:A,O988,'Prev Aub'!B:B)=0,"",SUMIF('Prev Aub'!A:A,O988,'Prev Aub'!B:B))</f>
        <v/>
      </c>
      <c r="AN988" s="25" t="s">
        <v>3790</v>
      </c>
      <c r="AO988" s="25" t="s">
        <v>3790</v>
      </c>
      <c r="AP988" s="25">
        <f t="shared" si="426"/>
        <v>0</v>
      </c>
      <c r="AQ988" s="151" t="str">
        <f>IF(SUMIFS('Supp Consol'!S:S,'Supp Consol'!A:A,O988,'Supp Consol'!I:I,"PENDING")=0,"",SUMIFS('Supp Consol'!S:S,'Supp Consol'!A:A,O988,'Supp Consol'!I:I,"PENDING"))</f>
        <v/>
      </c>
      <c r="AR988" s="27" t="str">
        <f t="shared" si="427"/>
        <v>SB007</v>
      </c>
      <c r="AS988" s="27" t="str">
        <f t="shared" si="428"/>
        <v>37</v>
      </c>
      <c r="AT988" s="27" t="str">
        <f t="shared" si="429"/>
        <v/>
      </c>
      <c r="AU988" s="27" t="str">
        <f t="shared" si="430"/>
        <v/>
      </c>
      <c r="AV988" s="27" t="str">
        <f t="shared" si="431"/>
        <v/>
      </c>
      <c r="AW988" s="27" t="str">
        <f t="shared" si="432"/>
        <v/>
      </c>
      <c r="AX988" s="27" t="str">
        <f t="shared" si="433"/>
        <v/>
      </c>
      <c r="AY988" s="27" t="str">
        <f t="shared" si="434"/>
        <v/>
      </c>
      <c r="AZ988" s="27" t="str">
        <f t="shared" si="435"/>
        <v>Supp</v>
      </c>
      <c r="BA988" s="27" t="str">
        <f t="shared" si="436"/>
        <v>Hun</v>
      </c>
      <c r="BB988" s="27" t="str">
        <f t="shared" si="437"/>
        <v/>
      </c>
      <c r="BC988" s="27" t="str">
        <f t="shared" si="438"/>
        <v/>
      </c>
      <c r="BD988" s="27" t="str">
        <f t="shared" si="439"/>
        <v/>
      </c>
      <c r="BE988" s="27" t="str">
        <f t="shared" si="440"/>
        <v/>
      </c>
      <c r="BF988" s="27" t="str">
        <f t="shared" si="441"/>
        <v/>
      </c>
      <c r="BG988" s="27" t="str">
        <f t="shared" si="442"/>
        <v/>
      </c>
      <c r="BH988" s="27" t="str">
        <f t="shared" si="443"/>
        <v/>
      </c>
      <c r="BI988" s="27" t="str">
        <f t="shared" si="444"/>
        <v/>
      </c>
      <c r="BJ988" s="27" t="str">
        <f t="shared" si="445"/>
        <v>Supp or Hun</v>
      </c>
      <c r="BK988" s="27" t="str">
        <f t="shared" si="446"/>
        <v/>
      </c>
      <c r="BL988" s="27" t="str">
        <f t="shared" si="447"/>
        <v/>
      </c>
      <c r="BM988" s="21" t="s">
        <v>5581</v>
      </c>
    </row>
    <row r="989" spans="1:65" ht="15">
      <c r="A989" s="25" t="str">
        <f>IFERROR(INDEX('Hun Demand'!W:W,MATCH(O989,'Hun Demand'!A:A,0)),"")</f>
        <v/>
      </c>
      <c r="B989" s="25" t="str">
        <f>IFERROR(INDEX('Hun Demand'!V:V,MATCH(O989,'Hun Demand'!A:A,0)),"")</f>
        <v/>
      </c>
      <c r="C989" s="25" t="str">
        <f>IFERROR(INDEX('Hun Demand'!U:U,MATCH(O989,'Hun Demand'!A:A,0)),"")</f>
        <v/>
      </c>
      <c r="D989" s="25" t="str">
        <f>IFERROR(INDEX('Hun Demand'!T:T,MATCH(O989,'Hun Demand'!A:A,0)),"")</f>
        <v/>
      </c>
      <c r="E989" s="25" t="str">
        <f>IFERROR(INDEX('Hun Demand'!S:S,MATCH(O989,'Hun Demand'!A:A,0)),"")</f>
        <v/>
      </c>
      <c r="F989" s="25" t="str">
        <f>IFERROR(INDEX('Hun Demand'!R:R,MATCH(O989,'Hun Demand'!A:A,0)),"")</f>
        <v/>
      </c>
      <c r="G989" s="25">
        <f>IFERROR(INDEX('Aub Demand'!W:W,MATCH(O989,'Aub Demand'!A:A,0)),"")</f>
        <v>633</v>
      </c>
      <c r="H989" s="25">
        <f>IFERROR(INDEX('Aub Demand'!V:V,MATCH(O989,'Aub Demand'!A:A,0)),"")</f>
        <v>206</v>
      </c>
      <c r="I989" s="25">
        <f>IFERROR(INDEX('Aub Demand'!U:U,MATCH(O989,'Aub Demand'!A:A,0)),"")</f>
        <v>122</v>
      </c>
      <c r="J989" s="25">
        <f>IFERROR(INDEX('Aub Demand'!T:T,MATCH(O989,'Aub Demand'!A:A,0)),"")</f>
        <v>120</v>
      </c>
      <c r="K989" s="25">
        <f>IFERROR(INDEX('Aub Demand'!S:S,MATCH(O989,'Aub Demand'!A:A,0)),"")</f>
        <v>0</v>
      </c>
      <c r="L989" s="25">
        <f>IFERROR(INDEX('Aub Demand'!R:R,MATCH(O989,'Aub Demand'!A:A,0)),"")</f>
        <v>0</v>
      </c>
      <c r="O989" s="27" t="s">
        <v>1377</v>
      </c>
      <c r="P989" s="27" t="str">
        <f>IFERROR(INDEX('Aub Demand'!B:B,MATCH($O989,'Aub Demand'!$A:$A,0)),"")</f>
        <v>NAVY BLUE</v>
      </c>
      <c r="Q989" s="27" t="str">
        <f>IFERROR(INDEX('Aub Demand'!C:C,MATCH($O989,'Aub Demand'!$A:$A,0)),"")</f>
        <v>ONYX</v>
      </c>
      <c r="R989" s="52">
        <f>IFERROR(IF(AR990=AR989,INDEX('Aub Demand'!K:K,MATCH($O989,'Aub Demand'!$A:$A,0))-IF(AN989="",0,AN989)+AP990,INDEX('Aub Demand'!K:K,MATCH($O989,'Aub Demand'!$A:$A,0))-IF(AN989="",0,AN989)),"")</f>
        <v>1066</v>
      </c>
      <c r="S989" s="53">
        <f t="shared" si="420"/>
        <v>56.4</v>
      </c>
      <c r="T989" s="52" t="str">
        <f t="shared" si="421"/>
        <v/>
      </c>
      <c r="U989" s="52">
        <f>IFERROR(IF(AR990=AR989,INDEX('Aub Demand'!Q:Q,MATCH($O989,'Aub Demand'!$A:$A,0))-IF(AN989="",0,AN989)+AP990,INDEX('Aub Demand'!Q:Q,MATCH($O989,'Aub Demand'!$A:$A,0))-IF(AN989="",0,AN989)),"")</f>
        <v>1033</v>
      </c>
      <c r="V989" s="53">
        <f t="shared" si="422"/>
        <v>54.7</v>
      </c>
      <c r="W989" s="52" t="str">
        <f t="shared" si="423"/>
        <v/>
      </c>
      <c r="X989" s="52">
        <f>IFERROR(IF(AND(AR990=AR989,AM989&lt;&gt;""),INDEX('Aub Demand'!Q:Q,MATCH($O989,'Aub Demand'!$A:$A,0))-IF(AN989="",0,AN989)+AP990+AD989+AL989,IF(AR990=AR989,INDEX('Aub Demand'!Q:Q,MATCH($O989,'Aub Demand'!$A:$A,0))-IF(AN989="",0,AN989)+AP990+AD989,IF(AM989&lt;&gt;"",INDEX('Aub Demand'!Q:Q,MATCH($O989,'Aub Demand'!$A:$A,0))-IF(AN989="",0,AN989)+AD989+AL989,INDEX('Aub Demand'!Q:Q,MATCH($O989,'Aub Demand'!$A:$A,0))-IF(AN989="",0,AN989)+AD989))),"")</f>
        <v>1033</v>
      </c>
      <c r="Y989" s="53">
        <f t="shared" si="424"/>
        <v>54.7</v>
      </c>
      <c r="Z989" s="52">
        <f>IF(L989="","",INDEX('Aub Demand'!H:H,MATCH($O989,'Aub Demand'!$A:$A,0)))</f>
        <v>81</v>
      </c>
      <c r="AA989" s="52">
        <f t="shared" si="425"/>
        <v>121</v>
      </c>
      <c r="AB989" s="52">
        <f>IFERROR(INDEX('Aub Demand'!L:L,MATCH($O989,'Aub Demand'!$A:$A,0)),"")</f>
        <v>92</v>
      </c>
      <c r="AC989" s="52">
        <f>IFERROR(IF(O989="","",SUMIFS('CPL Mats'!F:F,'CPL Mats'!Q:Q,AR989,'CPL Mats'!S:S,AS989)),"")</f>
        <v>0</v>
      </c>
      <c r="AF989" s="25">
        <f>IF(SUMIFS('Supp Consol'!S:S,'Supp Consol'!Y:Y,"Releasable",'Supp Consol'!A:A,O989)=0,"",SUMIFS('Supp Consol'!S:S,'Supp Consol'!Y:Y,"Releasable",'Supp Consol'!A:A,O989))</f>
        <v>1870</v>
      </c>
      <c r="AG989" s="25" t="str">
        <f>IFERROR(INDEX('Hun Demand'!Q:Q,MATCH(O989,'Hun Demand'!A:A,0)),"")</f>
        <v/>
      </c>
      <c r="AH989" s="25" t="str">
        <f>IFERROR(INDEX('Hun Demand'!H:H,MATCH($O989,'Hun Demand'!$A:$A,0)),"")</f>
        <v/>
      </c>
      <c r="AI989" s="25" t="str">
        <f>IF(SUMIFS('Supp Consol'!AA:AA,'Supp Consol'!Z:Z,"Expires this month",'Supp Consol'!A:A,O989)=0,"",SUMIFS('Supp Consol'!AA:AA,'Supp Consol'!Z:Z,"Expires this month",'Supp Consol'!A:A,O989))</f>
        <v/>
      </c>
      <c r="AJ989" s="25" t="str">
        <f>IF(SUMIFS('Supp Consol'!AA:AA,'Supp Consol'!Z:Z,"Expired Previous Months",'Supp Consol'!A:A,O989)=0,"",SUMIFS('Supp Consol'!AA:AA,'Supp Consol'!Z:Z,"Expired Previous Months",'Supp Consol'!A:A,O989))</f>
        <v/>
      </c>
      <c r="AK989" s="25" t="str">
        <f>IFERROR(INDEX('Hun Release Current'!B:B,MATCH(O989,'Hun Release Current'!A:A,0)),"")</f>
        <v/>
      </c>
      <c r="AL989" s="25" t="str">
        <f>IF(SUMIF('Prev Aub'!A:A,O989,'Prev Aub'!B:B)=0,"",SUMIF('Prev Aub'!A:A,O989,'Prev Aub'!B:B))</f>
        <v/>
      </c>
      <c r="AN989" s="25">
        <v>75</v>
      </c>
      <c r="AO989" s="25" t="s">
        <v>3790</v>
      </c>
      <c r="AP989" s="25">
        <f t="shared" si="426"/>
        <v>60</v>
      </c>
      <c r="AQ989" s="151" t="str">
        <f>IF(SUMIFS('Supp Consol'!S:S,'Supp Consol'!A:A,O989,'Supp Consol'!I:I,"PENDING")=0,"",SUMIFS('Supp Consol'!S:S,'Supp Consol'!A:A,O989,'Supp Consol'!I:I,"PENDING"))</f>
        <v/>
      </c>
      <c r="AR989" s="27" t="str">
        <f t="shared" si="427"/>
        <v>SB007</v>
      </c>
      <c r="AS989" s="27" t="str">
        <f t="shared" si="428"/>
        <v>50</v>
      </c>
      <c r="AT989" s="27" t="str">
        <f t="shared" si="429"/>
        <v/>
      </c>
      <c r="AU989" s="27" t="str">
        <f t="shared" si="430"/>
        <v/>
      </c>
      <c r="AV989" s="27" t="str">
        <f t="shared" si="431"/>
        <v/>
      </c>
      <c r="AW989" s="27" t="str">
        <f t="shared" si="432"/>
        <v/>
      </c>
      <c r="AX989" s="27" t="str">
        <f t="shared" si="433"/>
        <v>SB007</v>
      </c>
      <c r="AY989" s="27" t="str">
        <f t="shared" si="434"/>
        <v/>
      </c>
      <c r="AZ989" s="27" t="str">
        <f t="shared" si="435"/>
        <v>Supp</v>
      </c>
      <c r="BA989" s="27" t="str">
        <f t="shared" si="436"/>
        <v>Hun</v>
      </c>
      <c r="BB989" s="27" t="str">
        <f t="shared" si="437"/>
        <v/>
      </c>
      <c r="BC989" s="27" t="str">
        <f t="shared" si="438"/>
        <v/>
      </c>
      <c r="BD989" s="27" t="str">
        <f t="shared" si="439"/>
        <v/>
      </c>
      <c r="BE989" s="27" t="str">
        <f t="shared" si="440"/>
        <v/>
      </c>
      <c r="BF989" s="27" t="str">
        <f t="shared" si="441"/>
        <v/>
      </c>
      <c r="BG989" s="27" t="str">
        <f t="shared" si="442"/>
        <v/>
      </c>
      <c r="BH989" s="27" t="str">
        <f t="shared" si="443"/>
        <v/>
      </c>
      <c r="BI989" s="27" t="str">
        <f t="shared" si="444"/>
        <v/>
      </c>
      <c r="BJ989" s="27" t="str">
        <f t="shared" si="445"/>
        <v>Supp or Hun</v>
      </c>
      <c r="BK989" s="27" t="str">
        <f t="shared" si="446"/>
        <v/>
      </c>
      <c r="BL989" s="27" t="str">
        <f t="shared" si="447"/>
        <v/>
      </c>
      <c r="BM989" s="21" t="s">
        <v>5581</v>
      </c>
    </row>
    <row r="990" spans="1:65" ht="15">
      <c r="A990" s="25">
        <f>IFERROR(INDEX('Hun Demand'!W:W,MATCH(O990,'Hun Demand'!A:A,0)),"")</f>
        <v>420</v>
      </c>
      <c r="B990" s="25">
        <f>IFERROR(INDEX('Hun Demand'!V:V,MATCH(O990,'Hun Demand'!A:A,0)),"")</f>
        <v>168</v>
      </c>
      <c r="C990" s="25">
        <f>IFERROR(INDEX('Hun Demand'!U:U,MATCH(O990,'Hun Demand'!A:A,0)),"")</f>
        <v>0</v>
      </c>
      <c r="D990" s="25">
        <f>IFERROR(INDEX('Hun Demand'!T:T,MATCH(O990,'Hun Demand'!A:A,0)),"")</f>
        <v>0</v>
      </c>
      <c r="E990" s="25">
        <f>IFERROR(INDEX('Hun Demand'!S:S,MATCH(O990,'Hun Demand'!A:A,0)),"")</f>
        <v>0</v>
      </c>
      <c r="F990" s="25">
        <f>IFERROR(INDEX('Hun Demand'!R:R,MATCH(O990,'Hun Demand'!A:A,0)),"")</f>
        <v>0</v>
      </c>
      <c r="G990" s="25">
        <f>IFERROR(INDEX('Aub Demand'!W:W,MATCH(O990,'Aub Demand'!A:A,0)),"")</f>
        <v>495</v>
      </c>
      <c r="H990" s="25">
        <f>IFERROR(INDEX('Aub Demand'!V:V,MATCH(O990,'Aub Demand'!A:A,0)),"")</f>
        <v>28</v>
      </c>
      <c r="I990" s="25">
        <f>IFERROR(INDEX('Aub Demand'!U:U,MATCH(O990,'Aub Demand'!A:A,0)),"")</f>
        <v>0</v>
      </c>
      <c r="J990" s="25">
        <f>IFERROR(INDEX('Aub Demand'!T:T,MATCH(O990,'Aub Demand'!A:A,0)),"")</f>
        <v>0</v>
      </c>
      <c r="K990" s="25">
        <f>IFERROR(INDEX('Aub Demand'!S:S,MATCH(O990,'Aub Demand'!A:A,0)),"")</f>
        <v>110</v>
      </c>
      <c r="L990" s="25">
        <f>IFERROR(INDEX('Aub Demand'!R:R,MATCH(O990,'Aub Demand'!A:A,0)),"")</f>
        <v>0</v>
      </c>
      <c r="O990" s="27" t="s">
        <v>1378</v>
      </c>
      <c r="P990" s="27" t="str">
        <f>IFERROR(INDEX('Aub Demand'!B:B,MATCH($O990,'Aub Demand'!$A:$A,0)),"")</f>
        <v>NAVY BLUE</v>
      </c>
      <c r="Q990" s="27" t="str">
        <f>IFERROR(INDEX('Aub Demand'!C:C,MATCH($O990,'Aub Demand'!$A:$A,0)),"")</f>
        <v>ONYX</v>
      </c>
      <c r="R990" s="52">
        <f>IFERROR(IF(AR991=AR990,INDEX('Aub Demand'!K:K,MATCH($O990,'Aub Demand'!$A:$A,0))-IF(AN990="",0,AN990)+AP991,INDEX('Aub Demand'!K:K,MATCH($O990,'Aub Demand'!$A:$A,0))-IF(AN990="",0,AN990)),"")</f>
        <v>1295</v>
      </c>
      <c r="S990" s="53">
        <f t="shared" si="420"/>
        <v>150</v>
      </c>
      <c r="T990" s="52" t="str">
        <f t="shared" si="421"/>
        <v/>
      </c>
      <c r="U990" s="52">
        <f>IFERROR(IF(AR991=AR990,INDEX('Aub Demand'!Q:Q,MATCH($O990,'Aub Demand'!$A:$A,0))-IF(AN990="",0,AN990)+AP991,INDEX('Aub Demand'!Q:Q,MATCH($O990,'Aub Demand'!$A:$A,0))-IF(AN990="",0,AN990)),"")</f>
        <v>1294</v>
      </c>
      <c r="V990" s="53">
        <f t="shared" si="422"/>
        <v>149.9</v>
      </c>
      <c r="W990" s="52" t="str">
        <f t="shared" si="423"/>
        <v/>
      </c>
      <c r="X990" s="52">
        <f>IFERROR(IF(AND(AR991=AR990,AM990&lt;&gt;""),INDEX('Aub Demand'!Q:Q,MATCH($O990,'Aub Demand'!$A:$A,0))-IF(AN990="",0,AN990)+AP991+AD990+AL990,IF(AR991=AR990,INDEX('Aub Demand'!Q:Q,MATCH($O990,'Aub Demand'!$A:$A,0))-IF(AN990="",0,AN990)+AP991+AD990,IF(AM990&lt;&gt;"",INDEX('Aub Demand'!Q:Q,MATCH($O990,'Aub Demand'!$A:$A,0))-IF(AN990="",0,AN990)+AD990+AL990,INDEX('Aub Demand'!Q:Q,MATCH($O990,'Aub Demand'!$A:$A,0))-IF(AN990="",0,AN990)+AD990))),"")</f>
        <v>1294</v>
      </c>
      <c r="Y990" s="53">
        <f t="shared" si="424"/>
        <v>149.9</v>
      </c>
      <c r="Z990" s="52">
        <f>IF(L990="","",INDEX('Aub Demand'!H:H,MATCH($O990,'Aub Demand'!$A:$A,0)))</f>
        <v>37</v>
      </c>
      <c r="AA990" s="52" t="str">
        <f t="shared" si="425"/>
        <v>-spike-</v>
      </c>
      <c r="AB990" s="52">
        <f>IFERROR(INDEX('Aub Demand'!L:L,MATCH($O990,'Aub Demand'!$A:$A,0)),"")</f>
        <v>58</v>
      </c>
      <c r="AC990" s="52">
        <f>IFERROR(IF(O990="","",SUMIFS('CPL Mats'!F:F,'CPL Mats'!Q:Q,AR990,'CPL Mats'!S:S,AS990)),"")</f>
        <v>0</v>
      </c>
      <c r="AF990" s="25">
        <f>IF(SUMIFS('Supp Consol'!S:S,'Supp Consol'!Y:Y,"Releasable",'Supp Consol'!A:A,O990)=0,"",SUMIFS('Supp Consol'!S:S,'Supp Consol'!Y:Y,"Releasable",'Supp Consol'!A:A,O990))</f>
        <v>1996</v>
      </c>
      <c r="AG990" s="25">
        <f>IFERROR(INDEX('Hun Demand'!Q:Q,MATCH(O990,'Hun Demand'!A:A,0)),"")</f>
        <v>364</v>
      </c>
      <c r="AH990" s="25">
        <f>IFERROR(INDEX('Hun Demand'!H:H,MATCH($O990,'Hun Demand'!$A:$A,0)),"")</f>
        <v>0</v>
      </c>
      <c r="AI990" s="25" t="str">
        <f>IF(SUMIFS('Supp Consol'!AA:AA,'Supp Consol'!Z:Z,"Expires this month",'Supp Consol'!A:A,O990)=0,"",SUMIFS('Supp Consol'!AA:AA,'Supp Consol'!Z:Z,"Expires this month",'Supp Consol'!A:A,O990))</f>
        <v/>
      </c>
      <c r="AJ990" s="25" t="str">
        <f>IF(SUMIFS('Supp Consol'!AA:AA,'Supp Consol'!Z:Z,"Expired Previous Months",'Supp Consol'!A:A,O990)=0,"",SUMIFS('Supp Consol'!AA:AA,'Supp Consol'!Z:Z,"Expired Previous Months",'Supp Consol'!A:A,O990))</f>
        <v/>
      </c>
      <c r="AK990" s="25" t="str">
        <f>IFERROR(INDEX('Hun Release Current'!B:B,MATCH(O990,'Hun Release Current'!A:A,0)),"")</f>
        <v/>
      </c>
      <c r="AL990" s="25" t="str">
        <f>IF(SUMIF('Prev Aub'!A:A,O990,'Prev Aub'!B:B)=0,"",SUMIF('Prev Aub'!A:A,O990,'Prev Aub'!B:B))</f>
        <v/>
      </c>
      <c r="AN990" s="25" t="s">
        <v>3790</v>
      </c>
      <c r="AO990" s="25" t="s">
        <v>3790</v>
      </c>
      <c r="AP990" s="25">
        <f t="shared" si="426"/>
        <v>0</v>
      </c>
      <c r="AQ990" s="151" t="str">
        <f>IF(SUMIFS('Supp Consol'!S:S,'Supp Consol'!A:A,O990,'Supp Consol'!I:I,"PENDING")=0,"",SUMIFS('Supp Consol'!S:S,'Supp Consol'!A:A,O990,'Supp Consol'!I:I,"PENDING"))</f>
        <v/>
      </c>
      <c r="AR990" s="27" t="str">
        <f t="shared" si="427"/>
        <v>SB007</v>
      </c>
      <c r="AS990" s="27" t="str">
        <f t="shared" si="428"/>
        <v>62</v>
      </c>
      <c r="AT990" s="27" t="str">
        <f t="shared" si="429"/>
        <v/>
      </c>
      <c r="AU990" s="27" t="str">
        <f t="shared" si="430"/>
        <v/>
      </c>
      <c r="AV990" s="27" t="str">
        <f t="shared" si="431"/>
        <v/>
      </c>
      <c r="AW990" s="27" t="str">
        <f t="shared" si="432"/>
        <v/>
      </c>
      <c r="AX990" s="27" t="str">
        <f t="shared" si="433"/>
        <v>SB007</v>
      </c>
      <c r="AY990" s="27" t="str">
        <f t="shared" si="434"/>
        <v>SB007</v>
      </c>
      <c r="AZ990" s="27" t="str">
        <f t="shared" si="435"/>
        <v>Supp</v>
      </c>
      <c r="BA990" s="27" t="str">
        <f t="shared" si="436"/>
        <v>Hun</v>
      </c>
      <c r="BB990" s="27" t="str">
        <f t="shared" si="437"/>
        <v/>
      </c>
      <c r="BC990" s="27" t="str">
        <f t="shared" si="438"/>
        <v/>
      </c>
      <c r="BD990" s="27" t="str">
        <f t="shared" si="439"/>
        <v/>
      </c>
      <c r="BE990" s="27" t="str">
        <f t="shared" si="440"/>
        <v/>
      </c>
      <c r="BF990" s="27" t="str">
        <f t="shared" si="441"/>
        <v/>
      </c>
      <c r="BG990" s="27" t="str">
        <f t="shared" si="442"/>
        <v/>
      </c>
      <c r="BH990" s="27" t="str">
        <f t="shared" si="443"/>
        <v/>
      </c>
      <c r="BI990" s="27" t="str">
        <f t="shared" si="444"/>
        <v/>
      </c>
      <c r="BJ990" s="27" t="str">
        <f t="shared" si="445"/>
        <v>Supp or Hun</v>
      </c>
      <c r="BK990" s="27" t="str">
        <f t="shared" si="446"/>
        <v/>
      </c>
      <c r="BL990" s="27" t="str">
        <f t="shared" si="447"/>
        <v/>
      </c>
      <c r="BM990" s="21" t="s">
        <v>5581</v>
      </c>
    </row>
    <row r="991" spans="1:65" ht="15">
      <c r="A991" s="25" t="str">
        <f>IFERROR(INDEX('Hun Demand'!W:W,MATCH(O991,'Hun Demand'!A:A,0)),"")</f>
        <v/>
      </c>
      <c r="B991" s="25" t="str">
        <f>IFERROR(INDEX('Hun Demand'!V:V,MATCH(O991,'Hun Demand'!A:A,0)),"")</f>
        <v/>
      </c>
      <c r="C991" s="25" t="str">
        <f>IFERROR(INDEX('Hun Demand'!U:U,MATCH(O991,'Hun Demand'!A:A,0)),"")</f>
        <v/>
      </c>
      <c r="D991" s="25" t="str">
        <f>IFERROR(INDEX('Hun Demand'!T:T,MATCH(O991,'Hun Demand'!A:A,0)),"")</f>
        <v/>
      </c>
      <c r="E991" s="25" t="str">
        <f>IFERROR(INDEX('Hun Demand'!S:S,MATCH(O991,'Hun Demand'!A:A,0)),"")</f>
        <v/>
      </c>
      <c r="F991" s="25" t="str">
        <f>IFERROR(INDEX('Hun Demand'!R:R,MATCH(O991,'Hun Demand'!A:A,0)),"")</f>
        <v/>
      </c>
      <c r="G991" s="25">
        <f>IFERROR(INDEX('Aub Demand'!W:W,MATCH(O991,'Aub Demand'!A:A,0)),"")</f>
        <v>98</v>
      </c>
      <c r="H991" s="25">
        <f>IFERROR(INDEX('Aub Demand'!V:V,MATCH(O991,'Aub Demand'!A:A,0)),"")</f>
        <v>181</v>
      </c>
      <c r="I991" s="25">
        <f>IFERROR(INDEX('Aub Demand'!U:U,MATCH(O991,'Aub Demand'!A:A,0)),"")</f>
        <v>204</v>
      </c>
      <c r="J991" s="25">
        <f>IFERROR(INDEX('Aub Demand'!T:T,MATCH(O991,'Aub Demand'!A:A,0)),"")</f>
        <v>221</v>
      </c>
      <c r="K991" s="25">
        <f>IFERROR(INDEX('Aub Demand'!S:S,MATCH(O991,'Aub Demand'!A:A,0)),"")</f>
        <v>164</v>
      </c>
      <c r="L991" s="25">
        <f>IFERROR(INDEX('Aub Demand'!R:R,MATCH(O991,'Aub Demand'!A:A,0)),"")</f>
        <v>0</v>
      </c>
      <c r="O991" s="27" t="s">
        <v>1379</v>
      </c>
      <c r="P991" s="27" t="str">
        <f>IFERROR(INDEX('Aub Demand'!B:B,MATCH($O991,'Aub Demand'!$A:$A,0)),"")</f>
        <v>ROYAL BLUE</v>
      </c>
      <c r="Q991" s="27" t="str">
        <f>IFERROR(INDEX('Aub Demand'!C:C,MATCH($O991,'Aub Demand'!$A:$A,0)),"")</f>
        <v>ONYX</v>
      </c>
      <c r="R991" s="52">
        <f>IFERROR(IF(AR992=AR991,INDEX('Aub Demand'!K:K,MATCH($O991,'Aub Demand'!$A:$A,0))-IF(AN991="",0,AN991)+AP992,INDEX('Aub Demand'!K:K,MATCH($O991,'Aub Demand'!$A:$A,0))-IF(AN991="",0,AN991)),"")</f>
        <v>1435</v>
      </c>
      <c r="S991" s="53">
        <f t="shared" si="420"/>
        <v>31.4</v>
      </c>
      <c r="T991" s="52" t="str">
        <f t="shared" si="421"/>
        <v/>
      </c>
      <c r="U991" s="52">
        <f>IFERROR(IF(AR992=AR991,INDEX('Aub Demand'!Q:Q,MATCH($O991,'Aub Demand'!$A:$A,0))-IF(AN991="",0,AN991)+AP992,INDEX('Aub Demand'!Q:Q,MATCH($O991,'Aub Demand'!$A:$A,0))-IF(AN991="",0,AN991)),"")</f>
        <v>1294</v>
      </c>
      <c r="V991" s="53">
        <f t="shared" si="422"/>
        <v>28.3</v>
      </c>
      <c r="W991" s="52" t="str">
        <f t="shared" si="423"/>
        <v/>
      </c>
      <c r="X991" s="52">
        <f>IFERROR(IF(AND(AR992=AR991,AM991&lt;&gt;""),INDEX('Aub Demand'!Q:Q,MATCH($O991,'Aub Demand'!$A:$A,0))-IF(AN991="",0,AN991)+AP992+AD991+AL991,IF(AR992=AR991,INDEX('Aub Demand'!Q:Q,MATCH($O991,'Aub Demand'!$A:$A,0))-IF(AN991="",0,AN991)+AP992+AD991,IF(AM991&lt;&gt;"",INDEX('Aub Demand'!Q:Q,MATCH($O991,'Aub Demand'!$A:$A,0))-IF(AN991="",0,AN991)+AD991+AL991,INDEX('Aub Demand'!Q:Q,MATCH($O991,'Aub Demand'!$A:$A,0))-IF(AN991="",0,AN991)+AD991))),"")</f>
        <v>1294</v>
      </c>
      <c r="Y991" s="53">
        <f t="shared" si="424"/>
        <v>28.3</v>
      </c>
      <c r="Z991" s="52">
        <f>IF(L991="","",INDEX('Aub Demand'!H:H,MATCH($O991,'Aub Demand'!$A:$A,0)))</f>
        <v>196</v>
      </c>
      <c r="AA991" s="52">
        <f t="shared" si="425"/>
        <v>212.5</v>
      </c>
      <c r="AB991" s="52">
        <f>IFERROR(INDEX('Aub Demand'!L:L,MATCH($O991,'Aub Demand'!$A:$A,0)),"")</f>
        <v>202</v>
      </c>
      <c r="AC991" s="52">
        <f>IFERROR(IF(O991="","",SUMIFS('CPL Mats'!F:F,'CPL Mats'!Q:Q,AR991,'CPL Mats'!S:S,AS991)),"")</f>
        <v>0</v>
      </c>
      <c r="AF991" s="25" t="str">
        <f>IF(SUMIFS('Supp Consol'!S:S,'Supp Consol'!Y:Y,"Releasable",'Supp Consol'!A:A,O991)=0,"",SUMIFS('Supp Consol'!S:S,'Supp Consol'!Y:Y,"Releasable",'Supp Consol'!A:A,O991))</f>
        <v/>
      </c>
      <c r="AG991" s="25" t="str">
        <f>IFERROR(INDEX('Hun Demand'!Q:Q,MATCH(O991,'Hun Demand'!A:A,0)),"")</f>
        <v/>
      </c>
      <c r="AH991" s="25" t="str">
        <f>IFERROR(INDEX('Hun Demand'!H:H,MATCH($O991,'Hun Demand'!$A:$A,0)),"")</f>
        <v/>
      </c>
      <c r="AI991" s="25" t="str">
        <f>IF(SUMIFS('Supp Consol'!AA:AA,'Supp Consol'!Z:Z,"Expires this month",'Supp Consol'!A:A,O991)=0,"",SUMIFS('Supp Consol'!AA:AA,'Supp Consol'!Z:Z,"Expires this month",'Supp Consol'!A:A,O991))</f>
        <v/>
      </c>
      <c r="AJ991" s="25" t="str">
        <f>IF(SUMIFS('Supp Consol'!AA:AA,'Supp Consol'!Z:Z,"Expired Previous Months",'Supp Consol'!A:A,O991)=0,"",SUMIFS('Supp Consol'!AA:AA,'Supp Consol'!Z:Z,"Expired Previous Months",'Supp Consol'!A:A,O991))</f>
        <v/>
      </c>
      <c r="AK991" s="25" t="str">
        <f>IFERROR(INDEX('Hun Release Current'!B:B,MATCH(O991,'Hun Release Current'!A:A,0)),"")</f>
        <v/>
      </c>
      <c r="AL991" s="25" t="str">
        <f>IF(SUMIF('Prev Aub'!A:A,O991,'Prev Aub'!B:B)=0,"",SUMIF('Prev Aub'!A:A,O991,'Prev Aub'!B:B))</f>
        <v/>
      </c>
      <c r="AN991" s="25" t="s">
        <v>3790</v>
      </c>
      <c r="AO991" s="25" t="s">
        <v>3790</v>
      </c>
      <c r="AP991" s="25">
        <f t="shared" si="426"/>
        <v>0</v>
      </c>
      <c r="AQ991" s="151" t="str">
        <f>IF(SUMIFS('Supp Consol'!S:S,'Supp Consol'!A:A,O991,'Supp Consol'!I:I,"PENDING")=0,"",SUMIFS('Supp Consol'!S:S,'Supp Consol'!A:A,O991,'Supp Consol'!I:I,"PENDING"))</f>
        <v/>
      </c>
      <c r="AR991" s="27" t="str">
        <f t="shared" si="427"/>
        <v>SB009</v>
      </c>
      <c r="AS991" s="27" t="str">
        <f t="shared" si="428"/>
        <v>50</v>
      </c>
      <c r="AT991" s="27" t="str">
        <f t="shared" si="429"/>
        <v/>
      </c>
      <c r="AU991" s="27" t="str">
        <f t="shared" si="430"/>
        <v/>
      </c>
      <c r="AV991" s="27" t="str">
        <f t="shared" si="431"/>
        <v/>
      </c>
      <c r="AW991" s="27" t="str">
        <f t="shared" si="432"/>
        <v/>
      </c>
      <c r="AX991" s="27" t="str">
        <f t="shared" si="433"/>
        <v/>
      </c>
      <c r="AY991" s="27" t="str">
        <f t="shared" si="434"/>
        <v/>
      </c>
      <c r="AZ991" s="27" t="str">
        <f t="shared" si="435"/>
        <v/>
      </c>
      <c r="BA991" s="27" t="str">
        <f t="shared" si="436"/>
        <v/>
      </c>
      <c r="BB991" s="27" t="str">
        <f t="shared" si="437"/>
        <v/>
      </c>
      <c r="BC991" s="27" t="str">
        <f t="shared" si="438"/>
        <v/>
      </c>
      <c r="BD991" s="27" t="str">
        <f t="shared" si="439"/>
        <v/>
      </c>
      <c r="BE991" s="27" t="str">
        <f t="shared" si="440"/>
        <v/>
      </c>
      <c r="BF991" s="27" t="str">
        <f t="shared" si="441"/>
        <v/>
      </c>
      <c r="BG991" s="27" t="str">
        <f t="shared" si="442"/>
        <v/>
      </c>
      <c r="BH991" s="27" t="str">
        <f t="shared" si="443"/>
        <v/>
      </c>
      <c r="BI991" s="27" t="str">
        <f t="shared" si="444"/>
        <v/>
      </c>
      <c r="BJ991" s="27" t="str">
        <f t="shared" si="445"/>
        <v/>
      </c>
      <c r="BK991" s="27" t="str">
        <f t="shared" si="446"/>
        <v/>
      </c>
      <c r="BL991" s="27" t="str">
        <f t="shared" si="447"/>
        <v/>
      </c>
      <c r="BM991" s="21" t="s">
        <v>5581</v>
      </c>
    </row>
    <row r="992" spans="1:65" ht="15">
      <c r="A992" s="25" t="str">
        <f>IFERROR(INDEX('Hun Demand'!W:W,MATCH(O992,'Hun Demand'!A:A,0)),"")</f>
        <v/>
      </c>
      <c r="B992" s="25" t="str">
        <f>IFERROR(INDEX('Hun Demand'!V:V,MATCH(O992,'Hun Demand'!A:A,0)),"")</f>
        <v/>
      </c>
      <c r="C992" s="25" t="str">
        <f>IFERROR(INDEX('Hun Demand'!U:U,MATCH(O992,'Hun Demand'!A:A,0)),"")</f>
        <v/>
      </c>
      <c r="D992" s="25" t="str">
        <f>IFERROR(INDEX('Hun Demand'!T:T,MATCH(O992,'Hun Demand'!A:A,0)),"")</f>
        <v/>
      </c>
      <c r="E992" s="25" t="str">
        <f>IFERROR(INDEX('Hun Demand'!S:S,MATCH(O992,'Hun Demand'!A:A,0)),"")</f>
        <v/>
      </c>
      <c r="F992" s="25" t="str">
        <f>IFERROR(INDEX('Hun Demand'!R:R,MATCH(O992,'Hun Demand'!A:A,0)),"")</f>
        <v/>
      </c>
      <c r="G992" s="25">
        <f>IFERROR(INDEX('Aub Demand'!W:W,MATCH(O992,'Aub Demand'!A:A,0)),"")</f>
        <v>96</v>
      </c>
      <c r="H992" s="25">
        <f>IFERROR(INDEX('Aub Demand'!V:V,MATCH(O992,'Aub Demand'!A:A,0)),"")</f>
        <v>44</v>
      </c>
      <c r="I992" s="25">
        <f>IFERROR(INDEX('Aub Demand'!U:U,MATCH(O992,'Aub Demand'!A:A,0)),"")</f>
        <v>161</v>
      </c>
      <c r="J992" s="25">
        <f>IFERROR(INDEX('Aub Demand'!T:T,MATCH(O992,'Aub Demand'!A:A,0)),"")</f>
        <v>95</v>
      </c>
      <c r="K992" s="25">
        <f>IFERROR(INDEX('Aub Demand'!S:S,MATCH(O992,'Aub Demand'!A:A,0)),"")</f>
        <v>146</v>
      </c>
      <c r="L992" s="25">
        <f>IFERROR(INDEX('Aub Demand'!R:R,MATCH(O992,'Aub Demand'!A:A,0)),"")</f>
        <v>0</v>
      </c>
      <c r="O992" s="27" t="s">
        <v>1382</v>
      </c>
      <c r="P992" s="27" t="str">
        <f>IFERROR(INDEX('Aub Demand'!B:B,MATCH($O992,'Aub Demand'!$A:$A,0)),"")</f>
        <v>ROYAL BLUE</v>
      </c>
      <c r="Q992" s="27" t="str">
        <f>IFERROR(INDEX('Aub Demand'!C:C,MATCH($O992,'Aub Demand'!$A:$A,0)),"")</f>
        <v>ONYX</v>
      </c>
      <c r="R992" s="52">
        <f>IFERROR(IF(AR993=AR992,INDEX('Aub Demand'!K:K,MATCH($O992,'Aub Demand'!$A:$A,0))-IF(AN992="",0,AN992)+AP993,INDEX('Aub Demand'!K:K,MATCH($O992,'Aub Demand'!$A:$A,0))-IF(AN992="",0,AN992)),"")</f>
        <v>3139</v>
      </c>
      <c r="S992" s="53">
        <f t="shared" si="420"/>
        <v>100.4</v>
      </c>
      <c r="T992" s="52" t="str">
        <f t="shared" si="421"/>
        <v/>
      </c>
      <c r="U992" s="52">
        <f>IFERROR(IF(AR993=AR992,INDEX('Aub Demand'!Q:Q,MATCH($O992,'Aub Demand'!$A:$A,0))-IF(AN992="",0,AN992)+AP993,INDEX('Aub Demand'!Q:Q,MATCH($O992,'Aub Demand'!$A:$A,0))-IF(AN992="",0,AN992)),"")</f>
        <v>3113</v>
      </c>
      <c r="V992" s="53">
        <f t="shared" si="422"/>
        <v>99.6</v>
      </c>
      <c r="W992" s="52" t="str">
        <f t="shared" si="423"/>
        <v/>
      </c>
      <c r="X992" s="52">
        <f>IFERROR(IF(AND(AR993=AR992,AM992&lt;&gt;""),INDEX('Aub Demand'!Q:Q,MATCH($O992,'Aub Demand'!$A:$A,0))-IF(AN992="",0,AN992)+AP993+AD992+AL992,IF(AR993=AR992,INDEX('Aub Demand'!Q:Q,MATCH($O992,'Aub Demand'!$A:$A,0))-IF(AN992="",0,AN992)+AP993+AD992,IF(AM992&lt;&gt;"",INDEX('Aub Demand'!Q:Q,MATCH($O992,'Aub Demand'!$A:$A,0))-IF(AN992="",0,AN992)+AD992+AL992,INDEX('Aub Demand'!Q:Q,MATCH($O992,'Aub Demand'!$A:$A,0))-IF(AN992="",0,AN992)+AD992))),"")</f>
        <v>3113</v>
      </c>
      <c r="Y992" s="53">
        <f t="shared" si="424"/>
        <v>99.6</v>
      </c>
      <c r="Z992" s="52">
        <f>IF(L992="","",INDEX('Aub Demand'!H:H,MATCH($O992,'Aub Demand'!$A:$A,0)))</f>
        <v>134</v>
      </c>
      <c r="AA992" s="52">
        <f t="shared" si="425"/>
        <v>153.5</v>
      </c>
      <c r="AB992" s="52">
        <f>IFERROR(INDEX('Aub Demand'!L:L,MATCH($O992,'Aub Demand'!$A:$A,0)),"")</f>
        <v>248</v>
      </c>
      <c r="AC992" s="52">
        <f>IFERROR(IF(O992="","",SUMIFS('CPL Mats'!F:F,'CPL Mats'!Q:Q,AR992,'CPL Mats'!S:S,AS992)),"")</f>
        <v>0</v>
      </c>
      <c r="AF992" s="25" t="str">
        <f>IF(SUMIFS('Supp Consol'!S:S,'Supp Consol'!Y:Y,"Releasable",'Supp Consol'!A:A,O992)=0,"",SUMIFS('Supp Consol'!S:S,'Supp Consol'!Y:Y,"Releasable",'Supp Consol'!A:A,O992))</f>
        <v/>
      </c>
      <c r="AG992" s="25" t="str">
        <f>IFERROR(INDEX('Hun Demand'!Q:Q,MATCH(O992,'Hun Demand'!A:A,0)),"")</f>
        <v/>
      </c>
      <c r="AH992" s="25" t="str">
        <f>IFERROR(INDEX('Hun Demand'!H:H,MATCH($O992,'Hun Demand'!$A:$A,0)),"")</f>
        <v/>
      </c>
      <c r="AI992" s="25" t="str">
        <f>IF(SUMIFS('Supp Consol'!AA:AA,'Supp Consol'!Z:Z,"Expires this month",'Supp Consol'!A:A,O992)=0,"",SUMIFS('Supp Consol'!AA:AA,'Supp Consol'!Z:Z,"Expires this month",'Supp Consol'!A:A,O992))</f>
        <v/>
      </c>
      <c r="AJ992" s="25" t="str">
        <f>IF(SUMIFS('Supp Consol'!AA:AA,'Supp Consol'!Z:Z,"Expired Previous Months",'Supp Consol'!A:A,O992)=0,"",SUMIFS('Supp Consol'!AA:AA,'Supp Consol'!Z:Z,"Expired Previous Months",'Supp Consol'!A:A,O992))</f>
        <v/>
      </c>
      <c r="AK992" s="25" t="str">
        <f>IFERROR(INDEX('Hun Release Current'!B:B,MATCH(O992,'Hun Release Current'!A:A,0)),"")</f>
        <v/>
      </c>
      <c r="AL992" s="25" t="str">
        <f>IF(SUMIF('Prev Aub'!A:A,O992,'Prev Aub'!B:B)=0,"",SUMIF('Prev Aub'!A:A,O992,'Prev Aub'!B:B))</f>
        <v/>
      </c>
      <c r="AN992" s="25" t="s">
        <v>3790</v>
      </c>
      <c r="AO992" s="25" t="s">
        <v>3790</v>
      </c>
      <c r="AP992" s="25">
        <f t="shared" si="426"/>
        <v>0</v>
      </c>
      <c r="AQ992" s="151" t="str">
        <f>IF(SUMIFS('Supp Consol'!S:S,'Supp Consol'!A:A,O992,'Supp Consol'!I:I,"PENDING")=0,"",SUMIFS('Supp Consol'!S:S,'Supp Consol'!A:A,O992,'Supp Consol'!I:I,"PENDING"))</f>
        <v/>
      </c>
      <c r="AR992" s="27" t="str">
        <f t="shared" si="427"/>
        <v>SB009</v>
      </c>
      <c r="AS992" s="27" t="str">
        <f t="shared" si="428"/>
        <v>62</v>
      </c>
      <c r="AT992" s="27" t="str">
        <f t="shared" si="429"/>
        <v/>
      </c>
      <c r="AU992" s="27" t="str">
        <f t="shared" si="430"/>
        <v/>
      </c>
      <c r="AV992" s="27" t="str">
        <f t="shared" si="431"/>
        <v/>
      </c>
      <c r="AW992" s="27" t="str">
        <f t="shared" si="432"/>
        <v/>
      </c>
      <c r="AX992" s="27" t="str">
        <f t="shared" si="433"/>
        <v/>
      </c>
      <c r="AY992" s="27" t="str">
        <f t="shared" si="434"/>
        <v/>
      </c>
      <c r="AZ992" s="27" t="str">
        <f t="shared" si="435"/>
        <v/>
      </c>
      <c r="BA992" s="27" t="str">
        <f t="shared" si="436"/>
        <v/>
      </c>
      <c r="BB992" s="27" t="str">
        <f t="shared" si="437"/>
        <v/>
      </c>
      <c r="BC992" s="27" t="str">
        <f t="shared" si="438"/>
        <v/>
      </c>
      <c r="BD992" s="27" t="str">
        <f t="shared" si="439"/>
        <v/>
      </c>
      <c r="BE992" s="27" t="str">
        <f t="shared" si="440"/>
        <v/>
      </c>
      <c r="BF992" s="27" t="str">
        <f t="shared" si="441"/>
        <v/>
      </c>
      <c r="BG992" s="27" t="str">
        <f t="shared" si="442"/>
        <v/>
      </c>
      <c r="BH992" s="27" t="str">
        <f t="shared" si="443"/>
        <v/>
      </c>
      <c r="BI992" s="27" t="str">
        <f t="shared" si="444"/>
        <v/>
      </c>
      <c r="BJ992" s="27" t="str">
        <f t="shared" si="445"/>
        <v/>
      </c>
      <c r="BK992" s="27" t="str">
        <f t="shared" si="446"/>
        <v/>
      </c>
      <c r="BL992" s="27" t="str">
        <f t="shared" si="447"/>
        <v/>
      </c>
      <c r="BM992" s="21" t="s">
        <v>5581</v>
      </c>
    </row>
    <row r="993" spans="1:65" ht="15">
      <c r="A993" s="25" t="str">
        <f>IFERROR(INDEX('Hun Demand'!W:W,MATCH(O993,'Hun Demand'!A:A,0)),"")</f>
        <v/>
      </c>
      <c r="B993" s="25" t="str">
        <f>IFERROR(INDEX('Hun Demand'!V:V,MATCH(O993,'Hun Demand'!A:A,0)),"")</f>
        <v/>
      </c>
      <c r="C993" s="25" t="str">
        <f>IFERROR(INDEX('Hun Demand'!U:U,MATCH(O993,'Hun Demand'!A:A,0)),"")</f>
        <v/>
      </c>
      <c r="D993" s="25" t="str">
        <f>IFERROR(INDEX('Hun Demand'!T:T,MATCH(O993,'Hun Demand'!A:A,0)),"")</f>
        <v/>
      </c>
      <c r="E993" s="25" t="str">
        <f>IFERROR(INDEX('Hun Demand'!S:S,MATCH(O993,'Hun Demand'!A:A,0)),"")</f>
        <v/>
      </c>
      <c r="F993" s="25" t="str">
        <f>IFERROR(INDEX('Hun Demand'!R:R,MATCH(O993,'Hun Demand'!A:A,0)),"")</f>
        <v/>
      </c>
      <c r="G993" s="25">
        <f>IFERROR(INDEX('Aub Demand'!W:W,MATCH(O993,'Aub Demand'!A:A,0)),"")</f>
        <v>601</v>
      </c>
      <c r="H993" s="25">
        <f>IFERROR(INDEX('Aub Demand'!V:V,MATCH(O993,'Aub Demand'!A:A,0)),"")</f>
        <v>0</v>
      </c>
      <c r="I993" s="25">
        <f>IFERROR(INDEX('Aub Demand'!U:U,MATCH(O993,'Aub Demand'!A:A,0)),"")</f>
        <v>840</v>
      </c>
      <c r="J993" s="25">
        <f>IFERROR(INDEX('Aub Demand'!T:T,MATCH(O993,'Aub Demand'!A:A,0)),"")</f>
        <v>282</v>
      </c>
      <c r="K993" s="25">
        <f>IFERROR(INDEX('Aub Demand'!S:S,MATCH(O993,'Aub Demand'!A:A,0)),"")</f>
        <v>182</v>
      </c>
      <c r="L993" s="25">
        <f>IFERROR(INDEX('Aub Demand'!R:R,MATCH(O993,'Aub Demand'!A:A,0)),"")</f>
        <v>0</v>
      </c>
      <c r="O993" s="27" t="s">
        <v>1383</v>
      </c>
      <c r="P993" s="27" t="str">
        <f>IFERROR(INDEX('Aub Demand'!B:B,MATCH($O993,'Aub Demand'!$A:$A,0)),"")</f>
        <v>SUMMER VACATION</v>
      </c>
      <c r="Q993" s="27" t="str">
        <f>IFERROR(INDEX('Aub Demand'!C:C,MATCH($O993,'Aub Demand'!$A:$A,0)),"")</f>
        <v>AHLST</v>
      </c>
      <c r="R993" s="52">
        <f>IFERROR(IF(AR994=AR993,INDEX('Aub Demand'!K:K,MATCH($O993,'Aub Demand'!$A:$A,0))-IF(AN993="",0,AN993)+AP994,INDEX('Aub Demand'!K:K,MATCH($O993,'Aub Demand'!$A:$A,0))-IF(AN993="",0,AN993)),"")</f>
        <v>0</v>
      </c>
      <c r="S993" s="53">
        <f t="shared" si="420"/>
        <v>0</v>
      </c>
      <c r="T993" s="52">
        <f t="shared" si="421"/>
        <v>420.75</v>
      </c>
      <c r="U993" s="52">
        <f>IFERROR(IF(AR994=AR993,INDEX('Aub Demand'!Q:Q,MATCH($O993,'Aub Demand'!$A:$A,0))-IF(AN993="",0,AN993)+AP994,INDEX('Aub Demand'!Q:Q,MATCH($O993,'Aub Demand'!$A:$A,0))-IF(AN993="",0,AN993)),"")</f>
        <v>-299</v>
      </c>
      <c r="V993" s="53">
        <f t="shared" si="422"/>
        <v>-2.9</v>
      </c>
      <c r="W993" s="52">
        <f t="shared" si="423"/>
        <v>827.47500000000002</v>
      </c>
      <c r="X993" s="52">
        <f>IFERROR(IF(AND(AR994=AR993,AM993&lt;&gt;""),INDEX('Aub Demand'!Q:Q,MATCH($O993,'Aub Demand'!$A:$A,0))-IF(AN993="",0,AN993)+AP994+AD993+AL993,IF(AR994=AR993,INDEX('Aub Demand'!Q:Q,MATCH($O993,'Aub Demand'!$A:$A,0))-IF(AN993="",0,AN993)+AP994+AD993,IF(AM993&lt;&gt;"",INDEX('Aub Demand'!Q:Q,MATCH($O993,'Aub Demand'!$A:$A,0))-IF(AN993="",0,AN993)+AD993+AL993,INDEX('Aub Demand'!Q:Q,MATCH($O993,'Aub Demand'!$A:$A,0))-IF(AN993="",0,AN993)+AD993))),"")</f>
        <v>-299</v>
      </c>
      <c r="Y993" s="53">
        <f t="shared" si="424"/>
        <v>-2.9</v>
      </c>
      <c r="Z993" s="52">
        <f>IF(L993="","",INDEX('Aub Demand'!H:H,MATCH($O993,'Aub Demand'!$A:$A,0)))</f>
        <v>435</v>
      </c>
      <c r="AA993" s="52">
        <f t="shared" si="425"/>
        <v>561</v>
      </c>
      <c r="AB993" s="52">
        <f>IFERROR(INDEX('Aub Demand'!L:L,MATCH($O993,'Aub Demand'!$A:$A,0)),"")</f>
        <v>155</v>
      </c>
      <c r="AC993" s="52">
        <f>IFERROR(IF(O993="","",SUMIFS('CPL Mats'!F:F,'CPL Mats'!Q:Q,AR993,'CPL Mats'!S:S,AS993)),"")</f>
        <v>0</v>
      </c>
      <c r="AF993" s="25" t="str">
        <f>IF(SUMIFS('Supp Consol'!S:S,'Supp Consol'!Y:Y,"Releasable",'Supp Consol'!A:A,O993)=0,"",SUMIFS('Supp Consol'!S:S,'Supp Consol'!Y:Y,"Releasable",'Supp Consol'!A:A,O993))</f>
        <v/>
      </c>
      <c r="AG993" s="25" t="str">
        <f>IFERROR(INDEX('Hun Demand'!Q:Q,MATCH(O993,'Hun Demand'!A:A,0)),"")</f>
        <v/>
      </c>
      <c r="AH993" s="25" t="str">
        <f>IFERROR(INDEX('Hun Demand'!H:H,MATCH($O993,'Hun Demand'!$A:$A,0)),"")</f>
        <v/>
      </c>
      <c r="AI993" s="25" t="str">
        <f>IF(SUMIFS('Supp Consol'!AA:AA,'Supp Consol'!Z:Z,"Expires this month",'Supp Consol'!A:A,O993)=0,"",SUMIFS('Supp Consol'!AA:AA,'Supp Consol'!Z:Z,"Expires this month",'Supp Consol'!A:A,O993))</f>
        <v/>
      </c>
      <c r="AJ993" s="25" t="str">
        <f>IF(SUMIFS('Supp Consol'!AA:AA,'Supp Consol'!Z:Z,"Expired Previous Months",'Supp Consol'!A:A,O993)=0,"",SUMIFS('Supp Consol'!AA:AA,'Supp Consol'!Z:Z,"Expired Previous Months",'Supp Consol'!A:A,O993))</f>
        <v/>
      </c>
      <c r="AK993" s="25" t="str">
        <f>IFERROR(INDEX('Hun Release Current'!B:B,MATCH(O993,'Hun Release Current'!A:A,0)),"")</f>
        <v/>
      </c>
      <c r="AL993" s="25" t="str">
        <f>IF(SUMIF('Prev Aub'!A:A,O993,'Prev Aub'!B:B)=0,"",SUMIF('Prev Aub'!A:A,O993,'Prev Aub'!B:B))</f>
        <v/>
      </c>
      <c r="AN993" s="25" t="s">
        <v>3790</v>
      </c>
      <c r="AO993" s="25" t="s">
        <v>3790</v>
      </c>
      <c r="AP993" s="25">
        <f t="shared" si="426"/>
        <v>0</v>
      </c>
      <c r="AQ993" s="151" t="str">
        <f>IF(SUMIFS('Supp Consol'!S:S,'Supp Consol'!A:A,O993,'Supp Consol'!I:I,"PENDING")=0,"",SUMIFS('Supp Consol'!S:S,'Supp Consol'!A:A,O993,'Supp Consol'!I:I,"PENDING"))</f>
        <v/>
      </c>
      <c r="AR993" s="27" t="str">
        <f t="shared" si="427"/>
        <v>SB027</v>
      </c>
      <c r="AS993" s="27" t="str">
        <f t="shared" si="428"/>
        <v>50</v>
      </c>
      <c r="AT993" s="27" t="str">
        <f t="shared" si="429"/>
        <v>SB027</v>
      </c>
      <c r="AU993" s="27" t="str">
        <f t="shared" si="430"/>
        <v>SB027</v>
      </c>
      <c r="AV993" s="27" t="str">
        <f t="shared" si="431"/>
        <v>SB027</v>
      </c>
      <c r="AW993" s="27" t="str">
        <f t="shared" si="432"/>
        <v/>
      </c>
      <c r="AX993" s="27" t="str">
        <f t="shared" si="433"/>
        <v/>
      </c>
      <c r="AY993" s="27" t="str">
        <f t="shared" si="434"/>
        <v/>
      </c>
      <c r="AZ993" s="27" t="str">
        <f t="shared" si="435"/>
        <v/>
      </c>
      <c r="BA993" s="27" t="str">
        <f t="shared" si="436"/>
        <v>Hun</v>
      </c>
      <c r="BB993" s="27" t="str">
        <f t="shared" si="437"/>
        <v>Gross</v>
      </c>
      <c r="BC993" s="27" t="str">
        <f t="shared" si="438"/>
        <v>Net</v>
      </c>
      <c r="BD993" s="27" t="str">
        <f t="shared" si="439"/>
        <v>Net</v>
      </c>
      <c r="BE993" s="27" t="str">
        <f t="shared" si="440"/>
        <v/>
      </c>
      <c r="BF993" s="27" t="str">
        <f t="shared" si="441"/>
        <v/>
      </c>
      <c r="BG993" s="27" t="str">
        <f t="shared" si="442"/>
        <v/>
      </c>
      <c r="BH993" s="27" t="str">
        <f t="shared" si="443"/>
        <v>H+N</v>
      </c>
      <c r="BI993" s="27" t="str">
        <f t="shared" si="444"/>
        <v>H+Nex</v>
      </c>
      <c r="BJ993" s="27" t="str">
        <f t="shared" si="445"/>
        <v>Supp or Hun</v>
      </c>
      <c r="BK993" s="27" t="str">
        <f t="shared" si="446"/>
        <v>Supp or Hun Need</v>
      </c>
      <c r="BL993" s="27" t="str">
        <f t="shared" si="447"/>
        <v>SorHandNandE</v>
      </c>
      <c r="BM993" s="21" t="s">
        <v>5581</v>
      </c>
    </row>
    <row r="994" spans="1:65" ht="15">
      <c r="A994" s="25">
        <f>IFERROR(INDEX('Hun Demand'!W:W,MATCH(O994,'Hun Demand'!A:A,0)),"")</f>
        <v>260</v>
      </c>
      <c r="B994" s="25">
        <f>IFERROR(INDEX('Hun Demand'!V:V,MATCH(O994,'Hun Demand'!A:A,0)),"")</f>
        <v>0</v>
      </c>
      <c r="C994" s="25">
        <f>IFERROR(INDEX('Hun Demand'!U:U,MATCH(O994,'Hun Demand'!A:A,0)),"")</f>
        <v>0</v>
      </c>
      <c r="D994" s="25">
        <f>IFERROR(INDEX('Hun Demand'!T:T,MATCH(O994,'Hun Demand'!A:A,0)),"")</f>
        <v>0</v>
      </c>
      <c r="E994" s="25">
        <f>IFERROR(INDEX('Hun Demand'!S:S,MATCH(O994,'Hun Demand'!A:A,0)),"")</f>
        <v>0</v>
      </c>
      <c r="F994" s="25">
        <f>IFERROR(INDEX('Hun Demand'!R:R,MATCH(O994,'Hun Demand'!A:A,0)),"")</f>
        <v>0</v>
      </c>
      <c r="G994" s="25">
        <f>IFERROR(INDEX('Aub Demand'!W:W,MATCH(O994,'Aub Demand'!A:A,0)),"")</f>
        <v>139</v>
      </c>
      <c r="H994" s="25">
        <f>IFERROR(INDEX('Aub Demand'!V:V,MATCH(O994,'Aub Demand'!A:A,0)),"")</f>
        <v>18</v>
      </c>
      <c r="I994" s="25">
        <f>IFERROR(INDEX('Aub Demand'!U:U,MATCH(O994,'Aub Demand'!A:A,0)),"")</f>
        <v>374</v>
      </c>
      <c r="J994" s="25">
        <f>IFERROR(INDEX('Aub Demand'!T:T,MATCH(O994,'Aub Demand'!A:A,0)),"")</f>
        <v>0</v>
      </c>
      <c r="K994" s="25">
        <f>IFERROR(INDEX('Aub Demand'!S:S,MATCH(O994,'Aub Demand'!A:A,0)),"")</f>
        <v>182</v>
      </c>
      <c r="L994" s="25">
        <f>IFERROR(INDEX('Aub Demand'!R:R,MATCH(O994,'Aub Demand'!A:A,0)),"")</f>
        <v>0</v>
      </c>
      <c r="O994" s="27" t="s">
        <v>1385</v>
      </c>
      <c r="P994" s="27" t="str">
        <f>IFERROR(INDEX('Aub Demand'!B:B,MATCH($O994,'Aub Demand'!$A:$A,0)),"")</f>
        <v>SUMMER VACATION</v>
      </c>
      <c r="Q994" s="27" t="str">
        <f>IFERROR(INDEX('Aub Demand'!C:C,MATCH($O994,'Aub Demand'!$A:$A,0)),"")</f>
        <v>AHLST</v>
      </c>
      <c r="R994" s="52">
        <f>IFERROR(IF(AR995=AR994,INDEX('Aub Demand'!K:K,MATCH($O994,'Aub Demand'!$A:$A,0))-IF(AN994="",0,AN994)+AP995,INDEX('Aub Demand'!K:K,MATCH($O994,'Aub Demand'!$A:$A,0))-IF(AN994="",0,AN994)),"")</f>
        <v>1141</v>
      </c>
      <c r="S994" s="53">
        <f t="shared" si="420"/>
        <v>26.4</v>
      </c>
      <c r="T994" s="52" t="str">
        <f t="shared" si="421"/>
        <v/>
      </c>
      <c r="U994" s="52">
        <f>IFERROR(IF(AR995=AR994,INDEX('Aub Demand'!Q:Q,MATCH($O994,'Aub Demand'!$A:$A,0))-IF(AN994="",0,AN994)+AP995,INDEX('Aub Demand'!Q:Q,MATCH($O994,'Aub Demand'!$A:$A,0))-IF(AN994="",0,AN994)),"")</f>
        <v>1033</v>
      </c>
      <c r="V994" s="53">
        <f t="shared" si="422"/>
        <v>23.9</v>
      </c>
      <c r="W994" s="52" t="str">
        <f t="shared" si="423"/>
        <v/>
      </c>
      <c r="X994" s="52">
        <f>IFERROR(IF(AND(AR995=AR994,AM994&lt;&gt;""),INDEX('Aub Demand'!Q:Q,MATCH($O994,'Aub Demand'!$A:$A,0))-IF(AN994="",0,AN994)+AP995+AD994+AL994,IF(AR995=AR994,INDEX('Aub Demand'!Q:Q,MATCH($O994,'Aub Demand'!$A:$A,0))-IF(AN994="",0,AN994)+AP995+AD994,IF(AM994&lt;&gt;"",INDEX('Aub Demand'!Q:Q,MATCH($O994,'Aub Demand'!$A:$A,0))-IF(AN994="",0,AN994)+AD994+AL994,INDEX('Aub Demand'!Q:Q,MATCH($O994,'Aub Demand'!$A:$A,0))-IF(AN994="",0,AN994)+AD994))),"")</f>
        <v>1033</v>
      </c>
      <c r="Y994" s="53">
        <f t="shared" si="424"/>
        <v>23.9</v>
      </c>
      <c r="Z994" s="52">
        <f>IF(L994="","",INDEX('Aub Demand'!H:H,MATCH($O994,'Aub Demand'!$A:$A,0)))</f>
        <v>185</v>
      </c>
      <c r="AA994" s="52">
        <f t="shared" si="425"/>
        <v>278</v>
      </c>
      <c r="AB994" s="52">
        <f>IFERROR(INDEX('Aub Demand'!L:L,MATCH($O994,'Aub Demand'!$A:$A,0)),"")</f>
        <v>31</v>
      </c>
      <c r="AC994" s="52">
        <f>IFERROR(IF(O994="","",SUMIFS('CPL Mats'!F:F,'CPL Mats'!Q:Q,AR994,'CPL Mats'!S:S,AS994)),"")</f>
        <v>0</v>
      </c>
      <c r="AF994" s="25" t="str">
        <f>IF(SUMIFS('Supp Consol'!S:S,'Supp Consol'!Y:Y,"Releasable",'Supp Consol'!A:A,O994)=0,"",SUMIFS('Supp Consol'!S:S,'Supp Consol'!Y:Y,"Releasable",'Supp Consol'!A:A,O994))</f>
        <v/>
      </c>
      <c r="AG994" s="25">
        <f>IFERROR(INDEX('Hun Demand'!Q:Q,MATCH(O994,'Hun Demand'!A:A,0)),"")</f>
        <v>188</v>
      </c>
      <c r="AH994" s="25">
        <f>IFERROR(INDEX('Hun Demand'!H:H,MATCH($O994,'Hun Demand'!$A:$A,0)),"")</f>
        <v>0</v>
      </c>
      <c r="AI994" s="25" t="str">
        <f>IF(SUMIFS('Supp Consol'!AA:AA,'Supp Consol'!Z:Z,"Expires this month",'Supp Consol'!A:A,O994)=0,"",SUMIFS('Supp Consol'!AA:AA,'Supp Consol'!Z:Z,"Expires this month",'Supp Consol'!A:A,O994))</f>
        <v/>
      </c>
      <c r="AJ994" s="25" t="str">
        <f>IF(SUMIFS('Supp Consol'!AA:AA,'Supp Consol'!Z:Z,"Expired Previous Months",'Supp Consol'!A:A,O994)=0,"",SUMIFS('Supp Consol'!AA:AA,'Supp Consol'!Z:Z,"Expired Previous Months",'Supp Consol'!A:A,O994))</f>
        <v/>
      </c>
      <c r="AK994" s="25" t="str">
        <f>IFERROR(INDEX('Hun Release Current'!B:B,MATCH(O994,'Hun Release Current'!A:A,0)),"")</f>
        <v/>
      </c>
      <c r="AL994" s="25" t="str">
        <f>IF(SUMIF('Prev Aub'!A:A,O994,'Prev Aub'!B:B)=0,"",SUMIF('Prev Aub'!A:A,O994,'Prev Aub'!B:B))</f>
        <v/>
      </c>
      <c r="AN994" s="25" t="s">
        <v>3790</v>
      </c>
      <c r="AO994" s="25" t="s">
        <v>3790</v>
      </c>
      <c r="AP994" s="25">
        <f t="shared" si="426"/>
        <v>0</v>
      </c>
      <c r="AQ994" s="151" t="str">
        <f>IF(SUMIFS('Supp Consol'!S:S,'Supp Consol'!A:A,O994,'Supp Consol'!I:I,"PENDING")=0,"",SUMIFS('Supp Consol'!S:S,'Supp Consol'!A:A,O994,'Supp Consol'!I:I,"PENDING"))</f>
        <v/>
      </c>
      <c r="AR994" s="27" t="str">
        <f t="shared" si="427"/>
        <v>SB027</v>
      </c>
      <c r="AS994" s="27" t="str">
        <f t="shared" si="428"/>
        <v>62</v>
      </c>
      <c r="AT994" s="27" t="str">
        <f t="shared" si="429"/>
        <v/>
      </c>
      <c r="AU994" s="27" t="str">
        <f t="shared" si="430"/>
        <v/>
      </c>
      <c r="AV994" s="27" t="str">
        <f t="shared" si="431"/>
        <v/>
      </c>
      <c r="AW994" s="27" t="str">
        <f t="shared" si="432"/>
        <v/>
      </c>
      <c r="AX994" s="27" t="str">
        <f t="shared" si="433"/>
        <v/>
      </c>
      <c r="AY994" s="27" t="str">
        <f t="shared" si="434"/>
        <v>SB027</v>
      </c>
      <c r="AZ994" s="27" t="str">
        <f t="shared" si="435"/>
        <v/>
      </c>
      <c r="BA994" s="27" t="str">
        <f t="shared" si="436"/>
        <v>Hun</v>
      </c>
      <c r="BB994" s="27" t="str">
        <f t="shared" si="437"/>
        <v>Gross</v>
      </c>
      <c r="BC994" s="27" t="str">
        <f t="shared" si="438"/>
        <v>Net</v>
      </c>
      <c r="BD994" s="27" t="str">
        <f t="shared" si="439"/>
        <v>Net</v>
      </c>
      <c r="BE994" s="27" t="str">
        <f t="shared" si="440"/>
        <v/>
      </c>
      <c r="BF994" s="27" t="str">
        <f t="shared" si="441"/>
        <v/>
      </c>
      <c r="BG994" s="27" t="str">
        <f t="shared" si="442"/>
        <v/>
      </c>
      <c r="BH994" s="27" t="str">
        <f t="shared" si="443"/>
        <v>H+N</v>
      </c>
      <c r="BI994" s="27" t="str">
        <f t="shared" si="444"/>
        <v>H+Nex</v>
      </c>
      <c r="BJ994" s="27" t="str">
        <f t="shared" si="445"/>
        <v>Supp or Hun</v>
      </c>
      <c r="BK994" s="27" t="str">
        <f t="shared" si="446"/>
        <v>Supp or Hun Need</v>
      </c>
      <c r="BL994" s="27" t="str">
        <f t="shared" si="447"/>
        <v>SorHandNandE</v>
      </c>
      <c r="BM994" s="21" t="s">
        <v>5581</v>
      </c>
    </row>
    <row r="995" spans="1:65" ht="15">
      <c r="A995" s="25" t="str">
        <f>IFERROR(INDEX('Hun Demand'!W:W,MATCH(O995,'Hun Demand'!A:A,0)),"")</f>
        <v/>
      </c>
      <c r="B995" s="25" t="str">
        <f>IFERROR(INDEX('Hun Demand'!V:V,MATCH(O995,'Hun Demand'!A:A,0)),"")</f>
        <v/>
      </c>
      <c r="C995" s="25" t="str">
        <f>IFERROR(INDEX('Hun Demand'!U:U,MATCH(O995,'Hun Demand'!A:A,0)),"")</f>
        <v/>
      </c>
      <c r="D995" s="25" t="str">
        <f>IFERROR(INDEX('Hun Demand'!T:T,MATCH(O995,'Hun Demand'!A:A,0)),"")</f>
        <v/>
      </c>
      <c r="E995" s="25" t="str">
        <f>IFERROR(INDEX('Hun Demand'!S:S,MATCH(O995,'Hun Demand'!A:A,0)),"")</f>
        <v/>
      </c>
      <c r="F995" s="25" t="str">
        <f>IFERROR(INDEX('Hun Demand'!R:R,MATCH(O995,'Hun Demand'!A:A,0)),"")</f>
        <v/>
      </c>
      <c r="G995" s="25">
        <f>IFERROR(INDEX('Aub Demand'!W:W,MATCH(O995,'Aub Demand'!A:A,0)),"")</f>
        <v>0</v>
      </c>
      <c r="H995" s="25">
        <f>IFERROR(INDEX('Aub Demand'!V:V,MATCH(O995,'Aub Demand'!A:A,0)),"")</f>
        <v>0</v>
      </c>
      <c r="I995" s="25">
        <f>IFERROR(INDEX('Aub Demand'!U:U,MATCH(O995,'Aub Demand'!A:A,0)),"")</f>
        <v>0</v>
      </c>
      <c r="J995" s="25">
        <f>IFERROR(INDEX('Aub Demand'!T:T,MATCH(O995,'Aub Demand'!A:A,0)),"")</f>
        <v>0</v>
      </c>
      <c r="K995" s="25">
        <f>IFERROR(INDEX('Aub Demand'!S:S,MATCH(O995,'Aub Demand'!A:A,0)),"")</f>
        <v>0</v>
      </c>
      <c r="L995" s="25">
        <f>IFERROR(INDEX('Aub Demand'!R:R,MATCH(O995,'Aub Demand'!A:A,0)),"")</f>
        <v>0</v>
      </c>
      <c r="O995" s="27" t="s">
        <v>3397</v>
      </c>
      <c r="P995" s="27" t="str">
        <f>IFERROR(INDEX('Aub Demand'!B:B,MATCH($O995,'Aub Demand'!$A:$A,0)),"")</f>
        <v>BAHAMA BREEZE (Retai</v>
      </c>
      <c r="Q995" s="27">
        <f>IFERROR(INDEX('Aub Demand'!C:C,MATCH($O995,'Aub Demand'!$A:$A,0)),"")</f>
        <v>0</v>
      </c>
      <c r="R995" s="52">
        <f>IFERROR(IF(AR996=AR995,INDEX('Aub Demand'!K:K,MATCH($O995,'Aub Demand'!$A:$A,0))-IF(AN995="",0,AN995)+AP996,INDEX('Aub Demand'!K:K,MATCH($O995,'Aub Demand'!$A:$A,0))-IF(AN995="",0,AN995)),"")</f>
        <v>3519</v>
      </c>
      <c r="S995" s="53" t="str">
        <f t="shared" si="420"/>
        <v>n/a</v>
      </c>
      <c r="T995" s="52" t="str">
        <f t="shared" si="421"/>
        <v/>
      </c>
      <c r="U995" s="52">
        <f>IFERROR(IF(AR996=AR995,INDEX('Aub Demand'!Q:Q,MATCH($O995,'Aub Demand'!$A:$A,0))-IF(AN995="",0,AN995)+AP996,INDEX('Aub Demand'!Q:Q,MATCH($O995,'Aub Demand'!$A:$A,0))-IF(AN995="",0,AN995)),"")</f>
        <v>3519</v>
      </c>
      <c r="V995" s="53" t="str">
        <f t="shared" si="422"/>
        <v>n/a</v>
      </c>
      <c r="W995" s="52" t="str">
        <f t="shared" si="423"/>
        <v/>
      </c>
      <c r="X995" s="52">
        <f>IFERROR(IF(AND(AR996=AR995,AM995&lt;&gt;""),INDEX('Aub Demand'!Q:Q,MATCH($O995,'Aub Demand'!$A:$A,0))-IF(AN995="",0,AN995)+AP996+AD995+AL995,IF(AR996=AR995,INDEX('Aub Demand'!Q:Q,MATCH($O995,'Aub Demand'!$A:$A,0))-IF(AN995="",0,AN995)+AP996+AD995,IF(AM995&lt;&gt;"",INDEX('Aub Demand'!Q:Q,MATCH($O995,'Aub Demand'!$A:$A,0))-IF(AN995="",0,AN995)+AD995+AL995,INDEX('Aub Demand'!Q:Q,MATCH($O995,'Aub Demand'!$A:$A,0))-IF(AN995="",0,AN995)+AD995))),"")</f>
        <v>3519</v>
      </c>
      <c r="Y995" s="53" t="str">
        <f t="shared" si="424"/>
        <v>n/a</v>
      </c>
      <c r="Z995" s="52">
        <f>IF(L995="","",INDEX('Aub Demand'!H:H,MATCH($O995,'Aub Demand'!$A:$A,0)))</f>
        <v>0</v>
      </c>
      <c r="AA995" s="52" t="str">
        <f t="shared" si="425"/>
        <v>-spike-</v>
      </c>
      <c r="AB995" s="52">
        <f>IFERROR(INDEX('Aub Demand'!L:L,MATCH($O995,'Aub Demand'!$A:$A,0)),"")</f>
        <v>0</v>
      </c>
      <c r="AC995" s="52">
        <f>IFERROR(IF(O995="","",SUMIFS('CPL Mats'!F:F,'CPL Mats'!Q:Q,AR995,'CPL Mats'!S:S,AS995)),"")</f>
        <v>0</v>
      </c>
      <c r="AF995" s="25" t="str">
        <f>IF(SUMIFS('Supp Consol'!S:S,'Supp Consol'!Y:Y,"Releasable",'Supp Consol'!A:A,O995)=0,"",SUMIFS('Supp Consol'!S:S,'Supp Consol'!Y:Y,"Releasable",'Supp Consol'!A:A,O995))</f>
        <v/>
      </c>
      <c r="AG995" s="25" t="str">
        <f>IFERROR(INDEX('Hun Demand'!Q:Q,MATCH(O995,'Hun Demand'!A:A,0)),"")</f>
        <v/>
      </c>
      <c r="AH995" s="25" t="str">
        <f>IFERROR(INDEX('Hun Demand'!H:H,MATCH($O995,'Hun Demand'!$A:$A,0)),"")</f>
        <v/>
      </c>
      <c r="AI995" s="25" t="str">
        <f>IF(SUMIFS('Supp Consol'!AA:AA,'Supp Consol'!Z:Z,"Expires this month",'Supp Consol'!A:A,O995)=0,"",SUMIFS('Supp Consol'!AA:AA,'Supp Consol'!Z:Z,"Expires this month",'Supp Consol'!A:A,O995))</f>
        <v/>
      </c>
      <c r="AJ995" s="25" t="str">
        <f>IF(SUMIFS('Supp Consol'!AA:AA,'Supp Consol'!Z:Z,"Expired Previous Months",'Supp Consol'!A:A,O995)=0,"",SUMIFS('Supp Consol'!AA:AA,'Supp Consol'!Z:Z,"Expired Previous Months",'Supp Consol'!A:A,O995))</f>
        <v/>
      </c>
      <c r="AK995" s="25" t="str">
        <f>IFERROR(INDEX('Hun Release Current'!B:B,MATCH(O995,'Hun Release Current'!A:A,0)),"")</f>
        <v/>
      </c>
      <c r="AL995" s="25" t="str">
        <f>IF(SUMIF('Prev Aub'!A:A,O995,'Prev Aub'!B:B)=0,"",SUMIF('Prev Aub'!A:A,O995,'Prev Aub'!B:B))</f>
        <v/>
      </c>
      <c r="AN995" s="25" t="s">
        <v>3790</v>
      </c>
      <c r="AO995" s="25" t="s">
        <v>3790</v>
      </c>
      <c r="AP995" s="25">
        <f t="shared" si="426"/>
        <v>0</v>
      </c>
      <c r="AQ995" s="151" t="str">
        <f>IF(SUMIFS('Supp Consol'!S:S,'Supp Consol'!A:A,O995,'Supp Consol'!I:I,"PENDING")=0,"",SUMIFS('Supp Consol'!S:S,'Supp Consol'!A:A,O995,'Supp Consol'!I:I,"PENDING"))</f>
        <v/>
      </c>
      <c r="AR995" s="27" t="str">
        <f t="shared" si="427"/>
        <v>SB028</v>
      </c>
      <c r="AS995" s="27" t="str">
        <f t="shared" si="428"/>
        <v>50</v>
      </c>
      <c r="AT995" s="27" t="str">
        <f t="shared" si="429"/>
        <v/>
      </c>
      <c r="AU995" s="27" t="str">
        <f t="shared" si="430"/>
        <v/>
      </c>
      <c r="AV995" s="27" t="str">
        <f t="shared" si="431"/>
        <v/>
      </c>
      <c r="AW995" s="27" t="str">
        <f t="shared" si="432"/>
        <v/>
      </c>
      <c r="AX995" s="27" t="str">
        <f t="shared" si="433"/>
        <v/>
      </c>
      <c r="AY995" s="27" t="str">
        <f t="shared" si="434"/>
        <v/>
      </c>
      <c r="AZ995" s="27" t="str">
        <f t="shared" si="435"/>
        <v/>
      </c>
      <c r="BA995" s="27" t="str">
        <f t="shared" si="436"/>
        <v/>
      </c>
      <c r="BB995" s="27" t="str">
        <f t="shared" si="437"/>
        <v/>
      </c>
      <c r="BC995" s="27" t="str">
        <f t="shared" si="438"/>
        <v/>
      </c>
      <c r="BD995" s="27" t="str">
        <f t="shared" si="439"/>
        <v/>
      </c>
      <c r="BE995" s="27" t="str">
        <f t="shared" si="440"/>
        <v/>
      </c>
      <c r="BF995" s="27" t="str">
        <f t="shared" si="441"/>
        <v/>
      </c>
      <c r="BG995" s="27" t="str">
        <f t="shared" si="442"/>
        <v/>
      </c>
      <c r="BH995" s="27" t="str">
        <f t="shared" si="443"/>
        <v/>
      </c>
      <c r="BI995" s="27" t="str">
        <f t="shared" si="444"/>
        <v/>
      </c>
      <c r="BJ995" s="27" t="str">
        <f t="shared" si="445"/>
        <v/>
      </c>
      <c r="BK995" s="27" t="str">
        <f t="shared" si="446"/>
        <v/>
      </c>
      <c r="BL995" s="27" t="str">
        <f t="shared" si="447"/>
        <v/>
      </c>
      <c r="BM995" s="21" t="s">
        <v>5581</v>
      </c>
    </row>
    <row r="996" spans="1:65" ht="15">
      <c r="A996" s="25" t="str">
        <f>IFERROR(INDEX('Hun Demand'!W:W,MATCH(O996,'Hun Demand'!A:A,0)),"")</f>
        <v/>
      </c>
      <c r="B996" s="25" t="str">
        <f>IFERROR(INDEX('Hun Demand'!V:V,MATCH(O996,'Hun Demand'!A:A,0)),"")</f>
        <v/>
      </c>
      <c r="C996" s="25" t="str">
        <f>IFERROR(INDEX('Hun Demand'!U:U,MATCH(O996,'Hun Demand'!A:A,0)),"")</f>
        <v/>
      </c>
      <c r="D996" s="25" t="str">
        <f>IFERROR(INDEX('Hun Demand'!T:T,MATCH(O996,'Hun Demand'!A:A,0)),"")</f>
        <v/>
      </c>
      <c r="E996" s="25" t="str">
        <f>IFERROR(INDEX('Hun Demand'!S:S,MATCH(O996,'Hun Demand'!A:A,0)),"")</f>
        <v/>
      </c>
      <c r="F996" s="25" t="str">
        <f>IFERROR(INDEX('Hun Demand'!R:R,MATCH(O996,'Hun Demand'!A:A,0)),"")</f>
        <v/>
      </c>
      <c r="G996" s="25">
        <f>IFERROR(INDEX('Aub Demand'!W:W,MATCH(O996,'Aub Demand'!A:A,0)),"")</f>
        <v>213</v>
      </c>
      <c r="H996" s="25">
        <f>IFERROR(INDEX('Aub Demand'!V:V,MATCH(O996,'Aub Demand'!A:A,0)),"")</f>
        <v>0</v>
      </c>
      <c r="I996" s="25">
        <f>IFERROR(INDEX('Aub Demand'!U:U,MATCH(O996,'Aub Demand'!A:A,0)),"")</f>
        <v>0</v>
      </c>
      <c r="J996" s="25">
        <f>IFERROR(INDEX('Aub Demand'!T:T,MATCH(O996,'Aub Demand'!A:A,0)),"")</f>
        <v>40</v>
      </c>
      <c r="K996" s="25">
        <f>IFERROR(INDEX('Aub Demand'!S:S,MATCH(O996,'Aub Demand'!A:A,0)),"")</f>
        <v>0</v>
      </c>
      <c r="L996" s="25">
        <f>IFERROR(INDEX('Aub Demand'!R:R,MATCH(O996,'Aub Demand'!A:A,0)),"")</f>
        <v>0</v>
      </c>
      <c r="O996" s="27" t="s">
        <v>2576</v>
      </c>
      <c r="P996" s="27" t="str">
        <f>IFERROR(INDEX('Aub Demand'!B:B,MATCH($O996,'Aub Demand'!$A:$A,0)),"")</f>
        <v>FIJI</v>
      </c>
      <c r="Q996" s="27" t="str">
        <f>IFERROR(INDEX('Aub Demand'!C:C,MATCH($O996,'Aub Demand'!$A:$A,0)),"")</f>
        <v>AHLST</v>
      </c>
      <c r="R996" s="52">
        <f>IFERROR(IF(AR997=AR996,INDEX('Aub Demand'!K:K,MATCH($O996,'Aub Demand'!$A:$A,0))-IF(AN996="",0,AN996)+AP997,INDEX('Aub Demand'!K:K,MATCH($O996,'Aub Demand'!$A:$A,0))-IF(AN996="",0,AN996)),"")</f>
        <v>0</v>
      </c>
      <c r="S996" s="53">
        <f t="shared" si="420"/>
        <v>0</v>
      </c>
      <c r="T996" s="52" t="str">
        <f t="shared" si="421"/>
        <v/>
      </c>
      <c r="U996" s="52">
        <f>IFERROR(IF(AR997=AR996,INDEX('Aub Demand'!Q:Q,MATCH($O996,'Aub Demand'!$A:$A,0))-IF(AN996="",0,AN996)+AP997,INDEX('Aub Demand'!Q:Q,MATCH($O996,'Aub Demand'!$A:$A,0))-IF(AN996="",0,AN996)),"")</f>
        <v>-40</v>
      </c>
      <c r="V996" s="53">
        <f t="shared" si="422"/>
        <v>-13.2</v>
      </c>
      <c r="W996" s="52" t="str">
        <f t="shared" si="423"/>
        <v/>
      </c>
      <c r="X996" s="52">
        <f>IFERROR(IF(AND(AR997=AR996,AM996&lt;&gt;""),INDEX('Aub Demand'!Q:Q,MATCH($O996,'Aub Demand'!$A:$A,0))-IF(AN996="",0,AN996)+AP997+AD996+AL996,IF(AR997=AR996,INDEX('Aub Demand'!Q:Q,MATCH($O996,'Aub Demand'!$A:$A,0))-IF(AN996="",0,AN996)+AP997+AD996,IF(AM996&lt;&gt;"",INDEX('Aub Demand'!Q:Q,MATCH($O996,'Aub Demand'!$A:$A,0))-IF(AN996="",0,AN996)+AD996+AL996,INDEX('Aub Demand'!Q:Q,MATCH($O996,'Aub Demand'!$A:$A,0))-IF(AN996="",0,AN996)+AD996))),"")</f>
        <v>-40</v>
      </c>
      <c r="Y996" s="53">
        <f t="shared" si="424"/>
        <v>-13.2</v>
      </c>
      <c r="Z996" s="52">
        <f>IF(L996="","",INDEX('Aub Demand'!H:H,MATCH($O996,'Aub Demand'!$A:$A,0)))</f>
        <v>13</v>
      </c>
      <c r="AA996" s="52" t="str">
        <f t="shared" si="425"/>
        <v>-spike-</v>
      </c>
      <c r="AB996" s="52">
        <f>IFERROR(INDEX('Aub Demand'!L:L,MATCH($O996,'Aub Demand'!$A:$A,0)),"")</f>
        <v>102</v>
      </c>
      <c r="AC996" s="52">
        <f>IFERROR(IF(O996="","",SUMIFS('CPL Mats'!F:F,'CPL Mats'!Q:Q,AR996,'CPL Mats'!S:S,AS996)),"")</f>
        <v>0</v>
      </c>
      <c r="AF996" s="25" t="str">
        <f>IF(SUMIFS('Supp Consol'!S:S,'Supp Consol'!Y:Y,"Releasable",'Supp Consol'!A:A,O996)=0,"",SUMIFS('Supp Consol'!S:S,'Supp Consol'!Y:Y,"Releasable",'Supp Consol'!A:A,O996))</f>
        <v/>
      </c>
      <c r="AG996" s="25" t="str">
        <f>IFERROR(INDEX('Hun Demand'!Q:Q,MATCH(O996,'Hun Demand'!A:A,0)),"")</f>
        <v/>
      </c>
      <c r="AH996" s="25" t="str">
        <f>IFERROR(INDEX('Hun Demand'!H:H,MATCH($O996,'Hun Demand'!$A:$A,0)),"")</f>
        <v/>
      </c>
      <c r="AI996" s="25" t="str">
        <f>IF(SUMIFS('Supp Consol'!AA:AA,'Supp Consol'!Z:Z,"Expires this month",'Supp Consol'!A:A,O996)=0,"",SUMIFS('Supp Consol'!AA:AA,'Supp Consol'!Z:Z,"Expires this month",'Supp Consol'!A:A,O996))</f>
        <v/>
      </c>
      <c r="AJ996" s="25" t="str">
        <f>IF(SUMIFS('Supp Consol'!AA:AA,'Supp Consol'!Z:Z,"Expired Previous Months",'Supp Consol'!A:A,O996)=0,"",SUMIFS('Supp Consol'!AA:AA,'Supp Consol'!Z:Z,"Expired Previous Months",'Supp Consol'!A:A,O996))</f>
        <v/>
      </c>
      <c r="AK996" s="25" t="str">
        <f>IFERROR(INDEX('Hun Release Current'!B:B,MATCH(O996,'Hun Release Current'!A:A,0)),"")</f>
        <v/>
      </c>
      <c r="AL996" s="25" t="str">
        <f>IF(SUMIF('Prev Aub'!A:A,O996,'Prev Aub'!B:B)=0,"",SUMIF('Prev Aub'!A:A,O996,'Prev Aub'!B:B))</f>
        <v/>
      </c>
      <c r="AN996" s="25" t="s">
        <v>3790</v>
      </c>
      <c r="AO996" s="25" t="s">
        <v>3790</v>
      </c>
      <c r="AP996" s="25">
        <f t="shared" si="426"/>
        <v>0</v>
      </c>
      <c r="AQ996" s="151" t="str">
        <f>IF(SUMIFS('Supp Consol'!S:S,'Supp Consol'!A:A,O996,'Supp Consol'!I:I,"PENDING")=0,"",SUMIFS('Supp Consol'!S:S,'Supp Consol'!A:A,O996,'Supp Consol'!I:I,"PENDING"))</f>
        <v/>
      </c>
      <c r="AR996" s="27" t="str">
        <f t="shared" si="427"/>
        <v>SB030</v>
      </c>
      <c r="AS996" s="27" t="str">
        <f t="shared" si="428"/>
        <v>50</v>
      </c>
      <c r="AT996" s="27" t="str">
        <f t="shared" si="429"/>
        <v>SB030</v>
      </c>
      <c r="AU996" s="27" t="str">
        <f t="shared" si="430"/>
        <v>SB030</v>
      </c>
      <c r="AV996" s="27" t="str">
        <f t="shared" si="431"/>
        <v>SB030</v>
      </c>
      <c r="AW996" s="27" t="str">
        <f t="shared" si="432"/>
        <v/>
      </c>
      <c r="AX996" s="27" t="str">
        <f t="shared" si="433"/>
        <v/>
      </c>
      <c r="AY996" s="27" t="str">
        <f t="shared" si="434"/>
        <v/>
      </c>
      <c r="AZ996" s="27" t="str">
        <f t="shared" si="435"/>
        <v/>
      </c>
      <c r="BA996" s="27" t="str">
        <f t="shared" si="436"/>
        <v>Hun</v>
      </c>
      <c r="BB996" s="27" t="str">
        <f t="shared" si="437"/>
        <v>Gross</v>
      </c>
      <c r="BC996" s="27" t="str">
        <f t="shared" si="438"/>
        <v>Net</v>
      </c>
      <c r="BD996" s="27" t="str">
        <f t="shared" si="439"/>
        <v>Net</v>
      </c>
      <c r="BE996" s="27" t="str">
        <f t="shared" si="440"/>
        <v/>
      </c>
      <c r="BF996" s="27" t="str">
        <f t="shared" si="441"/>
        <v/>
      </c>
      <c r="BG996" s="27" t="str">
        <f t="shared" si="442"/>
        <v/>
      </c>
      <c r="BH996" s="27" t="str">
        <f t="shared" si="443"/>
        <v>H+N</v>
      </c>
      <c r="BI996" s="27" t="str">
        <f t="shared" si="444"/>
        <v>H+Nex</v>
      </c>
      <c r="BJ996" s="27" t="str">
        <f t="shared" si="445"/>
        <v>Supp or Hun</v>
      </c>
      <c r="BK996" s="27" t="str">
        <f t="shared" si="446"/>
        <v>Supp or Hun Need</v>
      </c>
      <c r="BL996" s="27" t="str">
        <f t="shared" si="447"/>
        <v>SorHandNandE</v>
      </c>
      <c r="BM996" s="21" t="s">
        <v>5581</v>
      </c>
    </row>
    <row r="997" spans="1:65" ht="15">
      <c r="A997" s="25">
        <f>IFERROR(INDEX('Hun Demand'!W:W,MATCH(O997,'Hun Demand'!A:A,0)),"")</f>
        <v>0</v>
      </c>
      <c r="B997" s="25">
        <f>IFERROR(INDEX('Hun Demand'!V:V,MATCH(O997,'Hun Demand'!A:A,0)),"")</f>
        <v>0</v>
      </c>
      <c r="C997" s="25">
        <f>IFERROR(INDEX('Hun Demand'!U:U,MATCH(O997,'Hun Demand'!A:A,0)),"")</f>
        <v>0</v>
      </c>
      <c r="D997" s="25">
        <f>IFERROR(INDEX('Hun Demand'!T:T,MATCH(O997,'Hun Demand'!A:A,0)),"")</f>
        <v>0</v>
      </c>
      <c r="E997" s="25">
        <f>IFERROR(INDEX('Hun Demand'!S:S,MATCH(O997,'Hun Demand'!A:A,0)),"")</f>
        <v>0</v>
      </c>
      <c r="F997" s="25">
        <f>IFERROR(INDEX('Hun Demand'!R:R,MATCH(O997,'Hun Demand'!A:A,0)),"")</f>
        <v>0</v>
      </c>
      <c r="G997" s="25">
        <f>IFERROR(INDEX('Aub Demand'!W:W,MATCH(O997,'Aub Demand'!A:A,0)),"")</f>
        <v>0</v>
      </c>
      <c r="H997" s="25">
        <f>IFERROR(INDEX('Aub Demand'!V:V,MATCH(O997,'Aub Demand'!A:A,0)),"")</f>
        <v>11</v>
      </c>
      <c r="I997" s="25">
        <f>IFERROR(INDEX('Aub Demand'!U:U,MATCH(O997,'Aub Demand'!A:A,0)),"")</f>
        <v>115</v>
      </c>
      <c r="J997" s="25">
        <f>IFERROR(INDEX('Aub Demand'!T:T,MATCH(O997,'Aub Demand'!A:A,0)),"")</f>
        <v>0</v>
      </c>
      <c r="K997" s="25">
        <f>IFERROR(INDEX('Aub Demand'!S:S,MATCH(O997,'Aub Demand'!A:A,0)),"")</f>
        <v>0</v>
      </c>
      <c r="L997" s="25">
        <f>IFERROR(INDEX('Aub Demand'!R:R,MATCH(O997,'Aub Demand'!A:A,0)),"")</f>
        <v>0</v>
      </c>
      <c r="O997" s="27" t="s">
        <v>2578</v>
      </c>
      <c r="P997" s="27" t="str">
        <f>IFERROR(INDEX('Aub Demand'!B:B,MATCH($O997,'Aub Demand'!$A:$A,0)),"")</f>
        <v>FIJI</v>
      </c>
      <c r="Q997" s="27" t="str">
        <f>IFERROR(INDEX('Aub Demand'!C:C,MATCH($O997,'Aub Demand'!$A:$A,0)),"")</f>
        <v>AHLST</v>
      </c>
      <c r="R997" s="52">
        <f>IFERROR(IF(AR998=AR997,INDEX('Aub Demand'!K:K,MATCH($O997,'Aub Demand'!$A:$A,0))-IF(AN997="",0,AN997)+AP998,INDEX('Aub Demand'!K:K,MATCH($O997,'Aub Demand'!$A:$A,0))-IF(AN997="",0,AN997)),"")</f>
        <v>2413</v>
      </c>
      <c r="S997" s="53">
        <f t="shared" si="420"/>
        <v>272.10000000000002</v>
      </c>
      <c r="T997" s="52" t="str">
        <f t="shared" si="421"/>
        <v/>
      </c>
      <c r="U997" s="52">
        <f>IFERROR(IF(AR998=AR997,INDEX('Aub Demand'!Q:Q,MATCH($O997,'Aub Demand'!$A:$A,0))-IF(AN997="",0,AN997)+AP998,INDEX('Aub Demand'!Q:Q,MATCH($O997,'Aub Demand'!$A:$A,0))-IF(AN997="",0,AN997)),"")</f>
        <v>2413</v>
      </c>
      <c r="V997" s="53">
        <f t="shared" si="422"/>
        <v>272.10000000000002</v>
      </c>
      <c r="W997" s="52" t="str">
        <f t="shared" si="423"/>
        <v/>
      </c>
      <c r="X997" s="52">
        <f>IFERROR(IF(AND(AR998=AR997,AM997&lt;&gt;""),INDEX('Aub Demand'!Q:Q,MATCH($O997,'Aub Demand'!$A:$A,0))-IF(AN997="",0,AN997)+AP998+AD997+AL997,IF(AR998=AR997,INDEX('Aub Demand'!Q:Q,MATCH($O997,'Aub Demand'!$A:$A,0))-IF(AN997="",0,AN997)+AP998+AD997,IF(AM997&lt;&gt;"",INDEX('Aub Demand'!Q:Q,MATCH($O997,'Aub Demand'!$A:$A,0))-IF(AN997="",0,AN997)+AD997+AL997,INDEX('Aub Demand'!Q:Q,MATCH($O997,'Aub Demand'!$A:$A,0))-IF(AN997="",0,AN997)+AD997))),"")</f>
        <v>2413</v>
      </c>
      <c r="Y997" s="53">
        <f t="shared" si="424"/>
        <v>272.10000000000002</v>
      </c>
      <c r="Z997" s="52">
        <f>IF(L997="","",INDEX('Aub Demand'!H:H,MATCH($O997,'Aub Demand'!$A:$A,0)))</f>
        <v>38</v>
      </c>
      <c r="AA997" s="52" t="str">
        <f t="shared" si="425"/>
        <v>-spike-</v>
      </c>
      <c r="AB997" s="52">
        <f>IFERROR(INDEX('Aub Demand'!L:L,MATCH($O997,'Aub Demand'!$A:$A,0)),"")</f>
        <v>13</v>
      </c>
      <c r="AC997" s="52">
        <f>IFERROR(IF(O997="","",SUMIFS('CPL Mats'!F:F,'CPL Mats'!Q:Q,AR997,'CPL Mats'!S:S,AS997)),"")</f>
        <v>0</v>
      </c>
      <c r="AF997" s="25" t="str">
        <f>IF(SUMIFS('Supp Consol'!S:S,'Supp Consol'!Y:Y,"Releasable",'Supp Consol'!A:A,O997)=0,"",SUMIFS('Supp Consol'!S:S,'Supp Consol'!Y:Y,"Releasable",'Supp Consol'!A:A,O997))</f>
        <v/>
      </c>
      <c r="AG997" s="25">
        <f>IFERROR(INDEX('Hun Demand'!Q:Q,MATCH(O997,'Hun Demand'!A:A,0)),"")</f>
        <v>230</v>
      </c>
      <c r="AH997" s="25">
        <f>IFERROR(INDEX('Hun Demand'!H:H,MATCH($O997,'Hun Demand'!$A:$A,0)),"")</f>
        <v>0</v>
      </c>
      <c r="AI997" s="25" t="str">
        <f>IF(SUMIFS('Supp Consol'!AA:AA,'Supp Consol'!Z:Z,"Expires this month",'Supp Consol'!A:A,O997)=0,"",SUMIFS('Supp Consol'!AA:AA,'Supp Consol'!Z:Z,"Expires this month",'Supp Consol'!A:A,O997))</f>
        <v/>
      </c>
      <c r="AJ997" s="25" t="str">
        <f>IF(SUMIFS('Supp Consol'!AA:AA,'Supp Consol'!Z:Z,"Expired Previous Months",'Supp Consol'!A:A,O997)=0,"",SUMIFS('Supp Consol'!AA:AA,'Supp Consol'!Z:Z,"Expired Previous Months",'Supp Consol'!A:A,O997))</f>
        <v/>
      </c>
      <c r="AK997" s="25" t="str">
        <f>IFERROR(INDEX('Hun Release Current'!B:B,MATCH(O997,'Hun Release Current'!A:A,0)),"")</f>
        <v/>
      </c>
      <c r="AL997" s="25" t="str">
        <f>IF(SUMIF('Prev Aub'!A:A,O997,'Prev Aub'!B:B)=0,"",SUMIF('Prev Aub'!A:A,O997,'Prev Aub'!B:B))</f>
        <v/>
      </c>
      <c r="AN997" s="25" t="s">
        <v>3790</v>
      </c>
      <c r="AO997" s="25" t="s">
        <v>3790</v>
      </c>
      <c r="AP997" s="25">
        <f t="shared" si="426"/>
        <v>0</v>
      </c>
      <c r="AQ997" s="151" t="str">
        <f>IF(SUMIFS('Supp Consol'!S:S,'Supp Consol'!A:A,O997,'Supp Consol'!I:I,"PENDING")=0,"",SUMIFS('Supp Consol'!S:S,'Supp Consol'!A:A,O997,'Supp Consol'!I:I,"PENDING"))</f>
        <v/>
      </c>
      <c r="AR997" s="27" t="str">
        <f t="shared" si="427"/>
        <v>SB030</v>
      </c>
      <c r="AS997" s="27" t="str">
        <f t="shared" si="428"/>
        <v>62</v>
      </c>
      <c r="AT997" s="27" t="str">
        <f t="shared" si="429"/>
        <v/>
      </c>
      <c r="AU997" s="27" t="str">
        <f t="shared" si="430"/>
        <v/>
      </c>
      <c r="AV997" s="27" t="str">
        <f t="shared" si="431"/>
        <v/>
      </c>
      <c r="AW997" s="27" t="str">
        <f t="shared" si="432"/>
        <v/>
      </c>
      <c r="AX997" s="27" t="str">
        <f t="shared" si="433"/>
        <v/>
      </c>
      <c r="AY997" s="27" t="str">
        <f t="shared" si="434"/>
        <v>SB030</v>
      </c>
      <c r="AZ997" s="27" t="str">
        <f t="shared" si="435"/>
        <v/>
      </c>
      <c r="BA997" s="27" t="str">
        <f t="shared" si="436"/>
        <v>Hun</v>
      </c>
      <c r="BB997" s="27" t="str">
        <f t="shared" si="437"/>
        <v>Gross</v>
      </c>
      <c r="BC997" s="27" t="str">
        <f t="shared" si="438"/>
        <v>Net</v>
      </c>
      <c r="BD997" s="27" t="str">
        <f t="shared" si="439"/>
        <v>Net</v>
      </c>
      <c r="BE997" s="27" t="str">
        <f t="shared" si="440"/>
        <v/>
      </c>
      <c r="BF997" s="27" t="str">
        <f t="shared" si="441"/>
        <v/>
      </c>
      <c r="BG997" s="27" t="str">
        <f t="shared" si="442"/>
        <v/>
      </c>
      <c r="BH997" s="27" t="str">
        <f t="shared" si="443"/>
        <v>H+N</v>
      </c>
      <c r="BI997" s="27" t="str">
        <f t="shared" si="444"/>
        <v>H+Nex</v>
      </c>
      <c r="BJ997" s="27" t="str">
        <f t="shared" si="445"/>
        <v>Supp or Hun</v>
      </c>
      <c r="BK997" s="27" t="str">
        <f t="shared" si="446"/>
        <v>Supp or Hun Need</v>
      </c>
      <c r="BL997" s="27" t="str">
        <f t="shared" si="447"/>
        <v>SorHandNandE</v>
      </c>
      <c r="BM997" s="21" t="s">
        <v>5581</v>
      </c>
    </row>
    <row r="998" spans="1:65" ht="15">
      <c r="A998" s="25" t="str">
        <f>IFERROR(INDEX('Hun Demand'!W:W,MATCH(O998,'Hun Demand'!A:A,0)),"")</f>
        <v/>
      </c>
      <c r="B998" s="25" t="str">
        <f>IFERROR(INDEX('Hun Demand'!V:V,MATCH(O998,'Hun Demand'!A:A,0)),"")</f>
        <v/>
      </c>
      <c r="C998" s="25" t="str">
        <f>IFERROR(INDEX('Hun Demand'!U:U,MATCH(O998,'Hun Demand'!A:A,0)),"")</f>
        <v/>
      </c>
      <c r="D998" s="25" t="str">
        <f>IFERROR(INDEX('Hun Demand'!T:T,MATCH(O998,'Hun Demand'!A:A,0)),"")</f>
        <v/>
      </c>
      <c r="E998" s="25" t="str">
        <f>IFERROR(INDEX('Hun Demand'!S:S,MATCH(O998,'Hun Demand'!A:A,0)),"")</f>
        <v/>
      </c>
      <c r="F998" s="25" t="str">
        <f>IFERROR(INDEX('Hun Demand'!R:R,MATCH(O998,'Hun Demand'!A:A,0)),"")</f>
        <v/>
      </c>
      <c r="G998" s="25">
        <f>IFERROR(INDEX('Aub Demand'!W:W,MATCH(O998,'Aub Demand'!A:A,0)),"")</f>
        <v>0</v>
      </c>
      <c r="H998" s="25">
        <f>IFERROR(INDEX('Aub Demand'!V:V,MATCH(O998,'Aub Demand'!A:A,0)),"")</f>
        <v>0</v>
      </c>
      <c r="I998" s="25">
        <f>IFERROR(INDEX('Aub Demand'!U:U,MATCH(O998,'Aub Demand'!A:A,0)),"")</f>
        <v>9</v>
      </c>
      <c r="J998" s="25">
        <f>IFERROR(INDEX('Aub Demand'!T:T,MATCH(O998,'Aub Demand'!A:A,0)),"")</f>
        <v>375</v>
      </c>
      <c r="K998" s="25">
        <f>IFERROR(INDEX('Aub Demand'!S:S,MATCH(O998,'Aub Demand'!A:A,0)),"")</f>
        <v>0</v>
      </c>
      <c r="L998" s="25">
        <f>IFERROR(INDEX('Aub Demand'!R:R,MATCH(O998,'Aub Demand'!A:A,0)),"")</f>
        <v>0</v>
      </c>
      <c r="O998" s="27" t="s">
        <v>1386</v>
      </c>
      <c r="P998" s="27" t="str">
        <f>IFERROR(INDEX('Aub Demand'!B:B,MATCH($O998,'Aub Demand'!$A:$A,0)),"")</f>
        <v>SAPPHIRE BLUE (treat</v>
      </c>
      <c r="Q998" s="27" t="str">
        <f>IFERROR(INDEX('Aub Demand'!C:C,MATCH($O998,'Aub Demand'!$A:$A,0)),"")</f>
        <v>ELESG</v>
      </c>
      <c r="R998" s="52">
        <f>IFERROR(IF(AR999=AR998,INDEX('Aub Demand'!K:K,MATCH($O998,'Aub Demand'!$A:$A,0))-IF(AN998="",0,AN998)+AP999,INDEX('Aub Demand'!K:K,MATCH($O998,'Aub Demand'!$A:$A,0))-IF(AN998="",0,AN998)),"")</f>
        <v>773</v>
      </c>
      <c r="S998" s="53">
        <f t="shared" si="420"/>
        <v>25.9</v>
      </c>
      <c r="T998" s="52" t="str">
        <f t="shared" si="421"/>
        <v/>
      </c>
      <c r="U998" s="52">
        <f>IFERROR(IF(AR999=AR998,INDEX('Aub Demand'!Q:Q,MATCH($O998,'Aub Demand'!$A:$A,0))-IF(AN998="",0,AN998)+AP999,INDEX('Aub Demand'!Q:Q,MATCH($O998,'Aub Demand'!$A:$A,0))-IF(AN998="",0,AN998)),"")</f>
        <v>646</v>
      </c>
      <c r="V998" s="53">
        <f t="shared" si="422"/>
        <v>21.6</v>
      </c>
      <c r="W998" s="52" t="str">
        <f t="shared" si="423"/>
        <v/>
      </c>
      <c r="X998" s="52">
        <f>IFERROR(IF(AND(AR999=AR998,AM998&lt;&gt;""),INDEX('Aub Demand'!Q:Q,MATCH($O998,'Aub Demand'!$A:$A,0))-IF(AN998="",0,AN998)+AP999+AD998+AL998,IF(AR999=AR998,INDEX('Aub Demand'!Q:Q,MATCH($O998,'Aub Demand'!$A:$A,0))-IF(AN998="",0,AN998)+AP999+AD998,IF(AM998&lt;&gt;"",INDEX('Aub Demand'!Q:Q,MATCH($O998,'Aub Demand'!$A:$A,0))-IF(AN998="",0,AN998)+AD998+AL998,INDEX('Aub Demand'!Q:Q,MATCH($O998,'Aub Demand'!$A:$A,0))-IF(AN998="",0,AN998)+AD998))),"")</f>
        <v>646</v>
      </c>
      <c r="Y998" s="53">
        <f t="shared" si="424"/>
        <v>21.6</v>
      </c>
      <c r="Z998" s="52">
        <f>IF(L998="","",INDEX('Aub Demand'!H:H,MATCH($O998,'Aub Demand'!$A:$A,0)))</f>
        <v>128</v>
      </c>
      <c r="AA998" s="52">
        <f t="shared" si="425"/>
        <v>192</v>
      </c>
      <c r="AB998" s="52">
        <f>IFERROR(INDEX('Aub Demand'!L:L,MATCH($O998,'Aub Demand'!$A:$A,0)),"")</f>
        <v>220</v>
      </c>
      <c r="AC998" s="52">
        <f>IFERROR(IF(O998="","",SUMIFS('CPL Mats'!F:F,'CPL Mats'!Q:Q,AR998,'CPL Mats'!S:S,AS998)),"")</f>
        <v>0</v>
      </c>
      <c r="AF998" s="25" t="str">
        <f>IF(SUMIFS('Supp Consol'!S:S,'Supp Consol'!Y:Y,"Releasable",'Supp Consol'!A:A,O998)=0,"",SUMIFS('Supp Consol'!S:S,'Supp Consol'!Y:Y,"Releasable",'Supp Consol'!A:A,O998))</f>
        <v/>
      </c>
      <c r="AG998" s="25" t="str">
        <f>IFERROR(INDEX('Hun Demand'!Q:Q,MATCH(O998,'Hun Demand'!A:A,0)),"")</f>
        <v/>
      </c>
      <c r="AH998" s="25" t="str">
        <f>IFERROR(INDEX('Hun Demand'!H:H,MATCH($O998,'Hun Demand'!$A:$A,0)),"")</f>
        <v/>
      </c>
      <c r="AI998" s="25" t="str">
        <f>IF(SUMIFS('Supp Consol'!AA:AA,'Supp Consol'!Z:Z,"Expires this month",'Supp Consol'!A:A,O998)=0,"",SUMIFS('Supp Consol'!AA:AA,'Supp Consol'!Z:Z,"Expires this month",'Supp Consol'!A:A,O998))</f>
        <v/>
      </c>
      <c r="AJ998" s="25" t="str">
        <f>IF(SUMIFS('Supp Consol'!AA:AA,'Supp Consol'!Z:Z,"Expired Previous Months",'Supp Consol'!A:A,O998)=0,"",SUMIFS('Supp Consol'!AA:AA,'Supp Consol'!Z:Z,"Expired Previous Months",'Supp Consol'!A:A,O998))</f>
        <v/>
      </c>
      <c r="AK998" s="25" t="str">
        <f>IFERROR(INDEX('Hun Release Current'!B:B,MATCH(O998,'Hun Release Current'!A:A,0)),"")</f>
        <v/>
      </c>
      <c r="AL998" s="25" t="str">
        <f>IF(SUMIF('Prev Aub'!A:A,O998,'Prev Aub'!B:B)=0,"",SUMIF('Prev Aub'!A:A,O998,'Prev Aub'!B:B))</f>
        <v/>
      </c>
      <c r="AN998" s="25" t="s">
        <v>3790</v>
      </c>
      <c r="AO998" s="25" t="s">
        <v>3790</v>
      </c>
      <c r="AP998" s="25">
        <f t="shared" si="426"/>
        <v>0</v>
      </c>
      <c r="AQ998" s="151" t="str">
        <f>IF(SUMIFS('Supp Consol'!S:S,'Supp Consol'!A:A,O998,'Supp Consol'!I:I,"PENDING")=0,"",SUMIFS('Supp Consol'!S:S,'Supp Consol'!A:A,O998,'Supp Consol'!I:I,"PENDING"))</f>
        <v/>
      </c>
      <c r="AR998" s="27" t="str">
        <f t="shared" si="427"/>
        <v>SB035</v>
      </c>
      <c r="AS998" s="27" t="str">
        <f t="shared" si="428"/>
        <v>50</v>
      </c>
      <c r="AT998" s="27" t="str">
        <f t="shared" si="429"/>
        <v/>
      </c>
      <c r="AU998" s="27" t="str">
        <f t="shared" si="430"/>
        <v/>
      </c>
      <c r="AV998" s="27" t="str">
        <f t="shared" si="431"/>
        <v/>
      </c>
      <c r="AW998" s="27" t="str">
        <f t="shared" si="432"/>
        <v/>
      </c>
      <c r="AX998" s="27" t="str">
        <f t="shared" si="433"/>
        <v/>
      </c>
      <c r="AY998" s="27" t="str">
        <f t="shared" si="434"/>
        <v/>
      </c>
      <c r="AZ998" s="27" t="str">
        <f t="shared" si="435"/>
        <v/>
      </c>
      <c r="BA998" s="27" t="str">
        <f t="shared" si="436"/>
        <v/>
      </c>
      <c r="BB998" s="27" t="str">
        <f t="shared" si="437"/>
        <v/>
      </c>
      <c r="BC998" s="27" t="str">
        <f t="shared" si="438"/>
        <v/>
      </c>
      <c r="BD998" s="27" t="str">
        <f t="shared" si="439"/>
        <v/>
      </c>
      <c r="BE998" s="27" t="str">
        <f t="shared" si="440"/>
        <v/>
      </c>
      <c r="BF998" s="27" t="str">
        <f t="shared" si="441"/>
        <v/>
      </c>
      <c r="BG998" s="27" t="str">
        <f t="shared" si="442"/>
        <v/>
      </c>
      <c r="BH998" s="27" t="str">
        <f t="shared" si="443"/>
        <v/>
      </c>
      <c r="BI998" s="27" t="str">
        <f t="shared" si="444"/>
        <v/>
      </c>
      <c r="BJ998" s="27" t="str">
        <f t="shared" si="445"/>
        <v/>
      </c>
      <c r="BK998" s="27" t="str">
        <f t="shared" si="446"/>
        <v/>
      </c>
      <c r="BL998" s="27" t="str">
        <f t="shared" si="447"/>
        <v/>
      </c>
      <c r="BM998" s="21" t="s">
        <v>5581</v>
      </c>
    </row>
    <row r="999" spans="1:65" ht="15">
      <c r="A999" s="25" t="str">
        <f>IFERROR(INDEX('Hun Demand'!W:W,MATCH(O999,'Hun Demand'!A:A,0)),"")</f>
        <v/>
      </c>
      <c r="B999" s="25" t="str">
        <f>IFERROR(INDEX('Hun Demand'!V:V,MATCH(O999,'Hun Demand'!A:A,0)),"")</f>
        <v/>
      </c>
      <c r="C999" s="25" t="str">
        <f>IFERROR(INDEX('Hun Demand'!U:U,MATCH(O999,'Hun Demand'!A:A,0)),"")</f>
        <v/>
      </c>
      <c r="D999" s="25" t="str">
        <f>IFERROR(INDEX('Hun Demand'!T:T,MATCH(O999,'Hun Demand'!A:A,0)),"")</f>
        <v/>
      </c>
      <c r="E999" s="25" t="str">
        <f>IFERROR(INDEX('Hun Demand'!S:S,MATCH(O999,'Hun Demand'!A:A,0)),"")</f>
        <v/>
      </c>
      <c r="F999" s="25" t="str">
        <f>IFERROR(INDEX('Hun Demand'!R:R,MATCH(O999,'Hun Demand'!A:A,0)),"")</f>
        <v/>
      </c>
      <c r="G999" s="25">
        <f>IFERROR(INDEX('Aub Demand'!W:W,MATCH(O999,'Aub Demand'!A:A,0)),"")</f>
        <v>41</v>
      </c>
      <c r="H999" s="25">
        <f>IFERROR(INDEX('Aub Demand'!V:V,MATCH(O999,'Aub Demand'!A:A,0)),"")</f>
        <v>120</v>
      </c>
      <c r="I999" s="25">
        <f>IFERROR(INDEX('Aub Demand'!U:U,MATCH(O999,'Aub Demand'!A:A,0)),"")</f>
        <v>244</v>
      </c>
      <c r="J999" s="25">
        <f>IFERROR(INDEX('Aub Demand'!T:T,MATCH(O999,'Aub Demand'!A:A,0)),"")</f>
        <v>0</v>
      </c>
      <c r="K999" s="25">
        <f>IFERROR(INDEX('Aub Demand'!S:S,MATCH(O999,'Aub Demand'!A:A,0)),"")</f>
        <v>234</v>
      </c>
      <c r="L999" s="25">
        <f>IFERROR(INDEX('Aub Demand'!R:R,MATCH(O999,'Aub Demand'!A:A,0)),"")</f>
        <v>0</v>
      </c>
      <c r="O999" s="27" t="s">
        <v>1388</v>
      </c>
      <c r="P999" s="27" t="str">
        <f>IFERROR(INDEX('Aub Demand'!B:B,MATCH($O999,'Aub Demand'!$A:$A,0)),"")</f>
        <v>BLUEBERRY HILL</v>
      </c>
      <c r="Q999" s="27" t="str">
        <f>IFERROR(INDEX('Aub Demand'!C:C,MATCH($O999,'Aub Demand'!$A:$A,0)),"")</f>
        <v>ONYX</v>
      </c>
      <c r="R999" s="52">
        <f>IFERROR(IF(AR1000=AR999,INDEX('Aub Demand'!K:K,MATCH($O999,'Aub Demand'!$A:$A,0))-IF(AN999="",0,AN999)+AP1000,INDEX('Aub Demand'!K:K,MATCH($O999,'Aub Demand'!$A:$A,0))-IF(AN999="",0,AN999)),"")</f>
        <v>158</v>
      </c>
      <c r="S999" s="53">
        <f t="shared" si="420"/>
        <v>4.3</v>
      </c>
      <c r="T999" s="52" t="str">
        <f t="shared" si="421"/>
        <v/>
      </c>
      <c r="U999" s="52">
        <f>IFERROR(IF(AR1000=AR999,INDEX('Aub Demand'!Q:Q,MATCH($O999,'Aub Demand'!$A:$A,0))-IF(AN999="",0,AN999)+AP1000,INDEX('Aub Demand'!Q:Q,MATCH($O999,'Aub Demand'!$A:$A,0))-IF(AN999="",0,AN999)),"")</f>
        <v>55</v>
      </c>
      <c r="V999" s="53">
        <f t="shared" si="422"/>
        <v>1.5</v>
      </c>
      <c r="W999" s="52">
        <f t="shared" si="423"/>
        <v>89.625</v>
      </c>
      <c r="X999" s="52">
        <f>IFERROR(IF(AND(AR1000=AR999,AM999&lt;&gt;""),INDEX('Aub Demand'!Q:Q,MATCH($O999,'Aub Demand'!$A:$A,0))-IF(AN999="",0,AN999)+AP1000+AD999+AL999,IF(AR1000=AR999,INDEX('Aub Demand'!Q:Q,MATCH($O999,'Aub Demand'!$A:$A,0))-IF(AN999="",0,AN999)+AP1000+AD999,IF(AM999&lt;&gt;"",INDEX('Aub Demand'!Q:Q,MATCH($O999,'Aub Demand'!$A:$A,0))-IF(AN999="",0,AN999)+AD999+AL999,INDEX('Aub Demand'!Q:Q,MATCH($O999,'Aub Demand'!$A:$A,0))-IF(AN999="",0,AN999)+AD999))),"")</f>
        <v>55</v>
      </c>
      <c r="Y999" s="53">
        <f t="shared" si="424"/>
        <v>1.5</v>
      </c>
      <c r="Z999" s="52">
        <f>IF(L999="","",INDEX('Aub Demand'!H:H,MATCH($O999,'Aub Demand'!$A:$A,0)))</f>
        <v>159</v>
      </c>
      <c r="AA999" s="52">
        <f t="shared" si="425"/>
        <v>239</v>
      </c>
      <c r="AB999" s="52">
        <f>IFERROR(INDEX('Aub Demand'!L:L,MATCH($O999,'Aub Demand'!$A:$A,0)),"")</f>
        <v>53</v>
      </c>
      <c r="AC999" s="52">
        <f>IFERROR(IF(O999="","",SUMIFS('CPL Mats'!F:F,'CPL Mats'!Q:Q,AR999,'CPL Mats'!S:S,AS999)),"")</f>
        <v>0</v>
      </c>
      <c r="AF999" s="25" t="str">
        <f>IF(SUMIFS('Supp Consol'!S:S,'Supp Consol'!Y:Y,"Releasable",'Supp Consol'!A:A,O999)=0,"",SUMIFS('Supp Consol'!S:S,'Supp Consol'!Y:Y,"Releasable",'Supp Consol'!A:A,O999))</f>
        <v/>
      </c>
      <c r="AG999" s="25" t="str">
        <f>IFERROR(INDEX('Hun Demand'!Q:Q,MATCH(O999,'Hun Demand'!A:A,0)),"")</f>
        <v/>
      </c>
      <c r="AH999" s="25" t="str">
        <f>IFERROR(INDEX('Hun Demand'!H:H,MATCH($O999,'Hun Demand'!$A:$A,0)),"")</f>
        <v/>
      </c>
      <c r="AI999" s="25" t="str">
        <f>IF(SUMIFS('Supp Consol'!AA:AA,'Supp Consol'!Z:Z,"Expires this month",'Supp Consol'!A:A,O999)=0,"",SUMIFS('Supp Consol'!AA:AA,'Supp Consol'!Z:Z,"Expires this month",'Supp Consol'!A:A,O999))</f>
        <v/>
      </c>
      <c r="AJ999" s="25" t="str">
        <f>IF(SUMIFS('Supp Consol'!AA:AA,'Supp Consol'!Z:Z,"Expired Previous Months",'Supp Consol'!A:A,O999)=0,"",SUMIFS('Supp Consol'!AA:AA,'Supp Consol'!Z:Z,"Expired Previous Months",'Supp Consol'!A:A,O999))</f>
        <v/>
      </c>
      <c r="AK999" s="25" t="str">
        <f>IFERROR(INDEX('Hun Release Current'!B:B,MATCH(O999,'Hun Release Current'!A:A,0)),"")</f>
        <v/>
      </c>
      <c r="AL999" s="25" t="str">
        <f>IF(SUMIF('Prev Aub'!A:A,O999,'Prev Aub'!B:B)=0,"",SUMIF('Prev Aub'!A:A,O999,'Prev Aub'!B:B))</f>
        <v/>
      </c>
      <c r="AN999" s="25" t="s">
        <v>3790</v>
      </c>
      <c r="AO999" s="25" t="s">
        <v>3790</v>
      </c>
      <c r="AP999" s="25">
        <f t="shared" si="426"/>
        <v>0</v>
      </c>
      <c r="AQ999" s="151" t="str">
        <f>IF(SUMIFS('Supp Consol'!S:S,'Supp Consol'!A:A,O999,'Supp Consol'!I:I,"PENDING")=0,"",SUMIFS('Supp Consol'!S:S,'Supp Consol'!A:A,O999,'Supp Consol'!I:I,"PENDING"))</f>
        <v/>
      </c>
      <c r="AR999" s="27" t="str">
        <f t="shared" si="427"/>
        <v>SB040</v>
      </c>
      <c r="AS999" s="27" t="str">
        <f t="shared" si="428"/>
        <v>50</v>
      </c>
      <c r="AT999" s="27" t="str">
        <f t="shared" si="429"/>
        <v/>
      </c>
      <c r="AU999" s="27" t="str">
        <f t="shared" si="430"/>
        <v>SB040</v>
      </c>
      <c r="AV999" s="27" t="str">
        <f t="shared" si="431"/>
        <v>SB040</v>
      </c>
      <c r="AW999" s="27" t="str">
        <f t="shared" si="432"/>
        <v/>
      </c>
      <c r="AX999" s="27" t="str">
        <f t="shared" si="433"/>
        <v/>
      </c>
      <c r="AY999" s="27" t="str">
        <f t="shared" si="434"/>
        <v/>
      </c>
      <c r="AZ999" s="27" t="str">
        <f t="shared" si="435"/>
        <v/>
      </c>
      <c r="BA999" s="27" t="str">
        <f t="shared" si="436"/>
        <v/>
      </c>
      <c r="BB999" s="27" t="str">
        <f t="shared" si="437"/>
        <v/>
      </c>
      <c r="BC999" s="27" t="str">
        <f t="shared" si="438"/>
        <v>Net</v>
      </c>
      <c r="BD999" s="27" t="str">
        <f t="shared" si="439"/>
        <v>Net</v>
      </c>
      <c r="BE999" s="27" t="str">
        <f t="shared" si="440"/>
        <v/>
      </c>
      <c r="BF999" s="27" t="str">
        <f t="shared" si="441"/>
        <v/>
      </c>
      <c r="BG999" s="27" t="str">
        <f t="shared" si="442"/>
        <v/>
      </c>
      <c r="BH999" s="27" t="str">
        <f t="shared" si="443"/>
        <v/>
      </c>
      <c r="BI999" s="27" t="str">
        <f t="shared" si="444"/>
        <v/>
      </c>
      <c r="BJ999" s="27" t="str">
        <f t="shared" si="445"/>
        <v/>
      </c>
      <c r="BK999" s="27" t="str">
        <f t="shared" si="446"/>
        <v/>
      </c>
      <c r="BL999" s="27" t="str">
        <f t="shared" si="447"/>
        <v/>
      </c>
      <c r="BM999" s="21" t="s">
        <v>5581</v>
      </c>
    </row>
    <row r="1000" spans="1:65" ht="15">
      <c r="A1000" s="25" t="str">
        <f>IFERROR(INDEX('Hun Demand'!W:W,MATCH(O1000,'Hun Demand'!A:A,0)),"")</f>
        <v/>
      </c>
      <c r="B1000" s="25" t="str">
        <f>IFERROR(INDEX('Hun Demand'!V:V,MATCH(O1000,'Hun Demand'!A:A,0)),"")</f>
        <v/>
      </c>
      <c r="C1000" s="25" t="str">
        <f>IFERROR(INDEX('Hun Demand'!U:U,MATCH(O1000,'Hun Demand'!A:A,0)),"")</f>
        <v/>
      </c>
      <c r="D1000" s="25" t="str">
        <f>IFERROR(INDEX('Hun Demand'!T:T,MATCH(O1000,'Hun Demand'!A:A,0)),"")</f>
        <v/>
      </c>
      <c r="E1000" s="25" t="str">
        <f>IFERROR(INDEX('Hun Demand'!S:S,MATCH(O1000,'Hun Demand'!A:A,0)),"")</f>
        <v/>
      </c>
      <c r="F1000" s="25" t="str">
        <f>IFERROR(INDEX('Hun Demand'!R:R,MATCH(O1000,'Hun Demand'!A:A,0)),"")</f>
        <v/>
      </c>
      <c r="G1000" s="25">
        <f>IFERROR(INDEX('Aub Demand'!W:W,MATCH(O1000,'Aub Demand'!A:A,0)),"")</f>
        <v>40</v>
      </c>
      <c r="H1000" s="25">
        <f>IFERROR(INDEX('Aub Demand'!V:V,MATCH(O1000,'Aub Demand'!A:A,0)),"")</f>
        <v>0</v>
      </c>
      <c r="I1000" s="25">
        <f>IFERROR(INDEX('Aub Demand'!U:U,MATCH(O1000,'Aub Demand'!A:A,0)),"")</f>
        <v>49</v>
      </c>
      <c r="J1000" s="25">
        <f>IFERROR(INDEX('Aub Demand'!T:T,MATCH(O1000,'Aub Demand'!A:A,0)),"")</f>
        <v>97</v>
      </c>
      <c r="K1000" s="25">
        <f>IFERROR(INDEX('Aub Demand'!S:S,MATCH(O1000,'Aub Demand'!A:A,0)),"")</f>
        <v>153</v>
      </c>
      <c r="L1000" s="25">
        <f>IFERROR(INDEX('Aub Demand'!R:R,MATCH(O1000,'Aub Demand'!A:A,0)),"")</f>
        <v>0</v>
      </c>
      <c r="O1000" s="27" t="s">
        <v>1391</v>
      </c>
      <c r="P1000" s="27" t="str">
        <f>IFERROR(INDEX('Aub Demand'!B:B,MATCH($O1000,'Aub Demand'!$A:$A,0)),"")</f>
        <v>BLUEBERRY HILL</v>
      </c>
      <c r="Q1000" s="27" t="str">
        <f>IFERROR(INDEX('Aub Demand'!C:C,MATCH($O1000,'Aub Demand'!$A:$A,0)),"")</f>
        <v>ONYX</v>
      </c>
      <c r="R1000" s="52">
        <f>IFERROR(IF(AR1001=AR1000,INDEX('Aub Demand'!K:K,MATCH($O1000,'Aub Demand'!$A:$A,0))-IF(AN1000="",0,AN1000)+AP1001,INDEX('Aub Demand'!K:K,MATCH($O1000,'Aub Demand'!$A:$A,0))-IF(AN1000="",0,AN1000)),"")</f>
        <v>802</v>
      </c>
      <c r="S1000" s="53">
        <f t="shared" si="420"/>
        <v>34.4</v>
      </c>
      <c r="T1000" s="52" t="str">
        <f t="shared" si="421"/>
        <v/>
      </c>
      <c r="U1000" s="52">
        <f>IFERROR(IF(AR1001=AR1000,INDEX('Aub Demand'!Q:Q,MATCH($O1000,'Aub Demand'!$A:$A,0))-IF(AN1000="",0,AN1000)+AP1001,INDEX('Aub Demand'!Q:Q,MATCH($O1000,'Aub Demand'!$A:$A,0))-IF(AN1000="",0,AN1000)),"")</f>
        <v>781</v>
      </c>
      <c r="V1000" s="53">
        <f t="shared" si="422"/>
        <v>33.5</v>
      </c>
      <c r="W1000" s="52" t="str">
        <f t="shared" si="423"/>
        <v/>
      </c>
      <c r="X1000" s="52">
        <f>IFERROR(IF(AND(AR1001=AR1000,AM1000&lt;&gt;""),INDEX('Aub Demand'!Q:Q,MATCH($O1000,'Aub Demand'!$A:$A,0))-IF(AN1000="",0,AN1000)+AP1001+AD1000+AL1000,IF(AR1001=AR1000,INDEX('Aub Demand'!Q:Q,MATCH($O1000,'Aub Demand'!$A:$A,0))-IF(AN1000="",0,AN1000)+AP1001+AD1000,IF(AM1000&lt;&gt;"",INDEX('Aub Demand'!Q:Q,MATCH($O1000,'Aub Demand'!$A:$A,0))-IF(AN1000="",0,AN1000)+AD1000+AL1000,INDEX('Aub Demand'!Q:Q,MATCH($O1000,'Aub Demand'!$A:$A,0))-IF(AN1000="",0,AN1000)+AD1000))),"")</f>
        <v>781</v>
      </c>
      <c r="Y1000" s="53">
        <f t="shared" si="424"/>
        <v>33.5</v>
      </c>
      <c r="Z1000" s="52">
        <f>IF(L1000="","",INDEX('Aub Demand'!H:H,MATCH($O1000,'Aub Demand'!$A:$A,0)))</f>
        <v>100</v>
      </c>
      <c r="AA1000" s="52">
        <f t="shared" si="425"/>
        <v>125</v>
      </c>
      <c r="AB1000" s="52">
        <f>IFERROR(INDEX('Aub Demand'!L:L,MATCH($O1000,'Aub Demand'!$A:$A,0)),"")</f>
        <v>26</v>
      </c>
      <c r="AC1000" s="52">
        <f>IFERROR(IF(O1000="","",SUMIFS('CPL Mats'!F:F,'CPL Mats'!Q:Q,AR1000,'CPL Mats'!S:S,AS1000)),"")</f>
        <v>0</v>
      </c>
      <c r="AF1000" s="25" t="str">
        <f>IF(SUMIFS('Supp Consol'!S:S,'Supp Consol'!Y:Y,"Releasable",'Supp Consol'!A:A,O1000)=0,"",SUMIFS('Supp Consol'!S:S,'Supp Consol'!Y:Y,"Releasable",'Supp Consol'!A:A,O1000))</f>
        <v/>
      </c>
      <c r="AG1000" s="25" t="str">
        <f>IFERROR(INDEX('Hun Demand'!Q:Q,MATCH(O1000,'Hun Demand'!A:A,0)),"")</f>
        <v/>
      </c>
      <c r="AH1000" s="25" t="str">
        <f>IFERROR(INDEX('Hun Demand'!H:H,MATCH($O1000,'Hun Demand'!$A:$A,0)),"")</f>
        <v/>
      </c>
      <c r="AI1000" s="25" t="str">
        <f>IF(SUMIFS('Supp Consol'!AA:AA,'Supp Consol'!Z:Z,"Expires this month",'Supp Consol'!A:A,O1000)=0,"",SUMIFS('Supp Consol'!AA:AA,'Supp Consol'!Z:Z,"Expires this month",'Supp Consol'!A:A,O1000))</f>
        <v/>
      </c>
      <c r="AJ1000" s="25" t="str">
        <f>IF(SUMIFS('Supp Consol'!AA:AA,'Supp Consol'!Z:Z,"Expired Previous Months",'Supp Consol'!A:A,O1000)=0,"",SUMIFS('Supp Consol'!AA:AA,'Supp Consol'!Z:Z,"Expired Previous Months",'Supp Consol'!A:A,O1000))</f>
        <v/>
      </c>
      <c r="AK1000" s="25" t="str">
        <f>IFERROR(INDEX('Hun Release Current'!B:B,MATCH(O1000,'Hun Release Current'!A:A,0)),"")</f>
        <v/>
      </c>
      <c r="AL1000" s="25" t="str">
        <f>IF(SUMIF('Prev Aub'!A:A,O1000,'Prev Aub'!B:B)=0,"",SUMIF('Prev Aub'!A:A,O1000,'Prev Aub'!B:B))</f>
        <v/>
      </c>
      <c r="AN1000" s="25" t="s">
        <v>3790</v>
      </c>
      <c r="AO1000" s="25" t="s">
        <v>3790</v>
      </c>
      <c r="AP1000" s="25">
        <f t="shared" si="426"/>
        <v>0</v>
      </c>
      <c r="AQ1000" s="151" t="str">
        <f>IF(SUMIFS('Supp Consol'!S:S,'Supp Consol'!A:A,O1000,'Supp Consol'!I:I,"PENDING")=0,"",SUMIFS('Supp Consol'!S:S,'Supp Consol'!A:A,O1000,'Supp Consol'!I:I,"PENDING"))</f>
        <v/>
      </c>
      <c r="AR1000" s="27" t="str">
        <f t="shared" si="427"/>
        <v>SB040</v>
      </c>
      <c r="AS1000" s="27" t="str">
        <f t="shared" si="428"/>
        <v>62</v>
      </c>
      <c r="AT1000" s="27" t="str">
        <f t="shared" si="429"/>
        <v/>
      </c>
      <c r="AU1000" s="27" t="str">
        <f t="shared" si="430"/>
        <v/>
      </c>
      <c r="AV1000" s="27" t="str">
        <f t="shared" si="431"/>
        <v/>
      </c>
      <c r="AW1000" s="27" t="str">
        <f t="shared" si="432"/>
        <v/>
      </c>
      <c r="AX1000" s="27" t="str">
        <f t="shared" si="433"/>
        <v/>
      </c>
      <c r="AY1000" s="27" t="str">
        <f t="shared" si="434"/>
        <v/>
      </c>
      <c r="AZ1000" s="27" t="str">
        <f t="shared" si="435"/>
        <v/>
      </c>
      <c r="BA1000" s="27" t="str">
        <f t="shared" si="436"/>
        <v/>
      </c>
      <c r="BB1000" s="27" t="str">
        <f t="shared" si="437"/>
        <v/>
      </c>
      <c r="BC1000" s="27" t="str">
        <f t="shared" si="438"/>
        <v>Net</v>
      </c>
      <c r="BD1000" s="27" t="str">
        <f t="shared" si="439"/>
        <v>Net</v>
      </c>
      <c r="BE1000" s="27" t="str">
        <f t="shared" si="440"/>
        <v/>
      </c>
      <c r="BF1000" s="27" t="str">
        <f t="shared" si="441"/>
        <v/>
      </c>
      <c r="BG1000" s="27" t="str">
        <f t="shared" si="442"/>
        <v/>
      </c>
      <c r="BH1000" s="27" t="str">
        <f t="shared" si="443"/>
        <v/>
      </c>
      <c r="BI1000" s="27" t="str">
        <f t="shared" si="444"/>
        <v/>
      </c>
      <c r="BJ1000" s="27" t="str">
        <f t="shared" si="445"/>
        <v/>
      </c>
      <c r="BK1000" s="27" t="str">
        <f t="shared" si="446"/>
        <v/>
      </c>
      <c r="BL1000" s="27" t="str">
        <f t="shared" si="447"/>
        <v/>
      </c>
      <c r="BM1000" s="21" t="s">
        <v>5581</v>
      </c>
    </row>
    <row r="1001" spans="1:65" ht="15">
      <c r="A1001" s="25" t="str">
        <f>IFERROR(INDEX('Hun Demand'!W:W,MATCH(O1001,'Hun Demand'!A:A,0)),"")</f>
        <v/>
      </c>
      <c r="B1001" s="25" t="str">
        <f>IFERROR(INDEX('Hun Demand'!V:V,MATCH(O1001,'Hun Demand'!A:A,0)),"")</f>
        <v/>
      </c>
      <c r="C1001" s="25" t="str">
        <f>IFERROR(INDEX('Hun Demand'!U:U,MATCH(O1001,'Hun Demand'!A:A,0)),"")</f>
        <v/>
      </c>
      <c r="D1001" s="25" t="str">
        <f>IFERROR(INDEX('Hun Demand'!T:T,MATCH(O1001,'Hun Demand'!A:A,0)),"")</f>
        <v/>
      </c>
      <c r="E1001" s="25" t="str">
        <f>IFERROR(INDEX('Hun Demand'!S:S,MATCH(O1001,'Hun Demand'!A:A,0)),"")</f>
        <v/>
      </c>
      <c r="F1001" s="25" t="str">
        <f>IFERROR(INDEX('Hun Demand'!R:R,MATCH(O1001,'Hun Demand'!A:A,0)),"")</f>
        <v/>
      </c>
      <c r="G1001" s="25">
        <f>IFERROR(INDEX('Aub Demand'!W:W,MATCH(O1001,'Aub Demand'!A:A,0)),"")</f>
        <v>144</v>
      </c>
      <c r="H1001" s="25">
        <f>IFERROR(INDEX('Aub Demand'!V:V,MATCH(O1001,'Aub Demand'!A:A,0)),"")</f>
        <v>434</v>
      </c>
      <c r="I1001" s="25">
        <f>IFERROR(INDEX('Aub Demand'!U:U,MATCH(O1001,'Aub Demand'!A:A,0)),"")</f>
        <v>0</v>
      </c>
      <c r="J1001" s="25">
        <f>IFERROR(INDEX('Aub Demand'!T:T,MATCH(O1001,'Aub Demand'!A:A,0)),"")</f>
        <v>0</v>
      </c>
      <c r="K1001" s="25">
        <f>IFERROR(INDEX('Aub Demand'!S:S,MATCH(O1001,'Aub Demand'!A:A,0)),"")</f>
        <v>158</v>
      </c>
      <c r="L1001" s="25">
        <f>IFERROR(INDEX('Aub Demand'!R:R,MATCH(O1001,'Aub Demand'!A:A,0)),"")</f>
        <v>0</v>
      </c>
      <c r="O1001" s="27" t="s">
        <v>2579</v>
      </c>
      <c r="P1001" s="27" t="str">
        <f>IFERROR(INDEX('Aub Demand'!B:B,MATCH($O1001,'Aub Demand'!$A:$A,0)),"")</f>
        <v>REGIMENTAL BLUE 50"</v>
      </c>
      <c r="Q1001" s="27" t="str">
        <f>IFERROR(INDEX('Aub Demand'!C:C,MATCH($O1001,'Aub Demand'!$A:$A,0)),"")</f>
        <v>ONYX</v>
      </c>
      <c r="R1001" s="52">
        <f>IFERROR(IF(AR1002=AR1001,INDEX('Aub Demand'!K:K,MATCH($O1001,'Aub Demand'!$A:$A,0))-IF(AN1001="",0,AN1001)+AP1002,INDEX('Aub Demand'!K:K,MATCH($O1001,'Aub Demand'!$A:$A,0))-IF(AN1001="",0,AN1001)),"")</f>
        <v>719</v>
      </c>
      <c r="S1001" s="53">
        <f t="shared" si="420"/>
        <v>58.1</v>
      </c>
      <c r="T1001" s="52" t="str">
        <f t="shared" si="421"/>
        <v/>
      </c>
      <c r="U1001" s="52">
        <f>IFERROR(IF(AR1002=AR1001,INDEX('Aub Demand'!Q:Q,MATCH($O1001,'Aub Demand'!$A:$A,0))-IF(AN1001="",0,AN1001)+AP1002,INDEX('Aub Demand'!Q:Q,MATCH($O1001,'Aub Demand'!$A:$A,0))-IF(AN1001="",0,AN1001)),"")</f>
        <v>663</v>
      </c>
      <c r="V1001" s="53">
        <f t="shared" si="422"/>
        <v>53.6</v>
      </c>
      <c r="W1001" s="52" t="str">
        <f t="shared" si="423"/>
        <v/>
      </c>
      <c r="X1001" s="52">
        <f>IFERROR(IF(AND(AR1002=AR1001,AM1001&lt;&gt;""),INDEX('Aub Demand'!Q:Q,MATCH($O1001,'Aub Demand'!$A:$A,0))-IF(AN1001="",0,AN1001)+AP1002+AD1001+AL1001,IF(AR1002=AR1001,INDEX('Aub Demand'!Q:Q,MATCH($O1001,'Aub Demand'!$A:$A,0))-IF(AN1001="",0,AN1001)+AP1002+AD1001,IF(AM1001&lt;&gt;"",INDEX('Aub Demand'!Q:Q,MATCH($O1001,'Aub Demand'!$A:$A,0))-IF(AN1001="",0,AN1001)+AD1001+AL1001,INDEX('Aub Demand'!Q:Q,MATCH($O1001,'Aub Demand'!$A:$A,0))-IF(AN1001="",0,AN1001)+AD1001))),"")</f>
        <v>663</v>
      </c>
      <c r="Y1001" s="53">
        <f t="shared" si="424"/>
        <v>53.6</v>
      </c>
      <c r="Z1001" s="52">
        <f>IF(L1001="","",INDEX('Aub Demand'!H:H,MATCH($O1001,'Aub Demand'!$A:$A,0)))</f>
        <v>53</v>
      </c>
      <c r="AA1001" s="52" t="str">
        <f t="shared" si="425"/>
        <v>-spike-</v>
      </c>
      <c r="AB1001" s="52">
        <f>IFERROR(INDEX('Aub Demand'!L:L,MATCH($O1001,'Aub Demand'!$A:$A,0)),"")</f>
        <v>136</v>
      </c>
      <c r="AC1001" s="52">
        <f>IFERROR(IF(O1001="","",SUMIFS('CPL Mats'!F:F,'CPL Mats'!Q:Q,AR1001,'CPL Mats'!S:S,AS1001)),"")</f>
        <v>0</v>
      </c>
      <c r="AF1001" s="25" t="str">
        <f>IF(SUMIFS('Supp Consol'!S:S,'Supp Consol'!Y:Y,"Releasable",'Supp Consol'!A:A,O1001)=0,"",SUMIFS('Supp Consol'!S:S,'Supp Consol'!Y:Y,"Releasable",'Supp Consol'!A:A,O1001))</f>
        <v/>
      </c>
      <c r="AG1001" s="25" t="str">
        <f>IFERROR(INDEX('Hun Demand'!Q:Q,MATCH(O1001,'Hun Demand'!A:A,0)),"")</f>
        <v/>
      </c>
      <c r="AH1001" s="25" t="str">
        <f>IFERROR(INDEX('Hun Demand'!H:H,MATCH($O1001,'Hun Demand'!$A:$A,0)),"")</f>
        <v/>
      </c>
      <c r="AI1001" s="25" t="str">
        <f>IF(SUMIFS('Supp Consol'!AA:AA,'Supp Consol'!Z:Z,"Expires this month",'Supp Consol'!A:A,O1001)=0,"",SUMIFS('Supp Consol'!AA:AA,'Supp Consol'!Z:Z,"Expires this month",'Supp Consol'!A:A,O1001))</f>
        <v/>
      </c>
      <c r="AJ1001" s="25" t="str">
        <f>IF(SUMIFS('Supp Consol'!AA:AA,'Supp Consol'!Z:Z,"Expired Previous Months",'Supp Consol'!A:A,O1001)=0,"",SUMIFS('Supp Consol'!AA:AA,'Supp Consol'!Z:Z,"Expired Previous Months",'Supp Consol'!A:A,O1001))</f>
        <v/>
      </c>
      <c r="AK1001" s="25" t="str">
        <f>IFERROR(INDEX('Hun Release Current'!B:B,MATCH(O1001,'Hun Release Current'!A:A,0)),"")</f>
        <v/>
      </c>
      <c r="AL1001" s="25" t="str">
        <f>IF(SUMIF('Prev Aub'!A:A,O1001,'Prev Aub'!B:B)=0,"",SUMIF('Prev Aub'!A:A,O1001,'Prev Aub'!B:B))</f>
        <v/>
      </c>
      <c r="AN1001" s="25" t="s">
        <v>3790</v>
      </c>
      <c r="AO1001" s="25" t="s">
        <v>3790</v>
      </c>
      <c r="AP1001" s="25">
        <f t="shared" si="426"/>
        <v>0</v>
      </c>
      <c r="AQ1001" s="151" t="str">
        <f>IF(SUMIFS('Supp Consol'!S:S,'Supp Consol'!A:A,O1001,'Supp Consol'!I:I,"PENDING")=0,"",SUMIFS('Supp Consol'!S:S,'Supp Consol'!A:A,O1001,'Supp Consol'!I:I,"PENDING"))</f>
        <v/>
      </c>
      <c r="AR1001" s="27" t="str">
        <f t="shared" si="427"/>
        <v>SB316</v>
      </c>
      <c r="AS1001" s="27" t="str">
        <f t="shared" si="428"/>
        <v>50</v>
      </c>
      <c r="AT1001" s="27" t="str">
        <f t="shared" si="429"/>
        <v/>
      </c>
      <c r="AU1001" s="27" t="str">
        <f t="shared" si="430"/>
        <v/>
      </c>
      <c r="AV1001" s="27" t="str">
        <f t="shared" si="431"/>
        <v/>
      </c>
      <c r="AW1001" s="27" t="str">
        <f t="shared" si="432"/>
        <v/>
      </c>
      <c r="AX1001" s="27" t="str">
        <f t="shared" si="433"/>
        <v/>
      </c>
      <c r="AY1001" s="27" t="str">
        <f t="shared" si="434"/>
        <v/>
      </c>
      <c r="AZ1001" s="27" t="str">
        <f t="shared" si="435"/>
        <v/>
      </c>
      <c r="BA1001" s="27" t="str">
        <f t="shared" si="436"/>
        <v/>
      </c>
      <c r="BB1001" s="27" t="str">
        <f t="shared" si="437"/>
        <v/>
      </c>
      <c r="BC1001" s="27" t="str">
        <f t="shared" si="438"/>
        <v/>
      </c>
      <c r="BD1001" s="27" t="str">
        <f t="shared" si="439"/>
        <v/>
      </c>
      <c r="BE1001" s="27" t="str">
        <f t="shared" si="440"/>
        <v/>
      </c>
      <c r="BF1001" s="27" t="str">
        <f t="shared" si="441"/>
        <v/>
      </c>
      <c r="BG1001" s="27" t="str">
        <f t="shared" si="442"/>
        <v/>
      </c>
      <c r="BH1001" s="27" t="str">
        <f t="shared" si="443"/>
        <v/>
      </c>
      <c r="BI1001" s="27" t="str">
        <f t="shared" si="444"/>
        <v/>
      </c>
      <c r="BJ1001" s="27" t="str">
        <f t="shared" si="445"/>
        <v/>
      </c>
      <c r="BK1001" s="27" t="str">
        <f t="shared" si="446"/>
        <v/>
      </c>
      <c r="BL1001" s="27" t="str">
        <f t="shared" si="447"/>
        <v/>
      </c>
      <c r="BM1001" s="21" t="s">
        <v>5581</v>
      </c>
    </row>
    <row r="1002" spans="1:65" ht="15">
      <c r="A1002" s="25" t="str">
        <f>IFERROR(INDEX('Hun Demand'!W:W,MATCH(O1002,'Hun Demand'!A:A,0)),"")</f>
        <v/>
      </c>
      <c r="B1002" s="25" t="str">
        <f>IFERROR(INDEX('Hun Demand'!V:V,MATCH(O1002,'Hun Demand'!A:A,0)),"")</f>
        <v/>
      </c>
      <c r="C1002" s="25" t="str">
        <f>IFERROR(INDEX('Hun Demand'!U:U,MATCH(O1002,'Hun Demand'!A:A,0)),"")</f>
        <v/>
      </c>
      <c r="D1002" s="25" t="str">
        <f>IFERROR(INDEX('Hun Demand'!T:T,MATCH(O1002,'Hun Demand'!A:A,0)),"")</f>
        <v/>
      </c>
      <c r="E1002" s="25" t="str">
        <f>IFERROR(INDEX('Hun Demand'!S:S,MATCH(O1002,'Hun Demand'!A:A,0)),"")</f>
        <v/>
      </c>
      <c r="F1002" s="25" t="str">
        <f>IFERROR(INDEX('Hun Demand'!R:R,MATCH(O1002,'Hun Demand'!A:A,0)),"")</f>
        <v/>
      </c>
      <c r="G1002" s="25">
        <f>IFERROR(INDEX('Aub Demand'!W:W,MATCH(O1002,'Aub Demand'!A:A,0)),"")</f>
        <v>0</v>
      </c>
      <c r="H1002" s="25">
        <f>IFERROR(INDEX('Aub Demand'!V:V,MATCH(O1002,'Aub Demand'!A:A,0)),"")</f>
        <v>87</v>
      </c>
      <c r="I1002" s="25">
        <f>IFERROR(INDEX('Aub Demand'!U:U,MATCH(O1002,'Aub Demand'!A:A,0)),"")</f>
        <v>194</v>
      </c>
      <c r="J1002" s="25">
        <f>IFERROR(INDEX('Aub Demand'!T:T,MATCH(O1002,'Aub Demand'!A:A,0)),"")</f>
        <v>0</v>
      </c>
      <c r="K1002" s="25">
        <f>IFERROR(INDEX('Aub Demand'!S:S,MATCH(O1002,'Aub Demand'!A:A,0)),"")</f>
        <v>0</v>
      </c>
      <c r="L1002" s="25">
        <f>IFERROR(INDEX('Aub Demand'!R:R,MATCH(O1002,'Aub Demand'!A:A,0)),"")</f>
        <v>133</v>
      </c>
      <c r="O1002" s="27" t="s">
        <v>2582</v>
      </c>
      <c r="P1002" s="27" t="str">
        <f>IFERROR(INDEX('Aub Demand'!B:B,MATCH($O1002,'Aub Demand'!$A:$A,0)),"")</f>
        <v>REGIMENTAL BLUE 62"</v>
      </c>
      <c r="Q1002" s="27" t="str">
        <f>IFERROR(INDEX('Aub Demand'!C:C,MATCH($O1002,'Aub Demand'!$A:$A,0)),"")</f>
        <v>ONYX</v>
      </c>
      <c r="R1002" s="52">
        <f>IFERROR(IF(AR1003=AR1002,INDEX('Aub Demand'!K:K,MATCH($O1002,'Aub Demand'!$A:$A,0))-IF(AN1002="",0,AN1002)+AP1003,INDEX('Aub Demand'!K:K,MATCH($O1002,'Aub Demand'!$A:$A,0))-IF(AN1002="",0,AN1002)),"")</f>
        <v>436</v>
      </c>
      <c r="S1002" s="53">
        <f t="shared" si="420"/>
        <v>28.7</v>
      </c>
      <c r="T1002" s="52" t="str">
        <f t="shared" si="421"/>
        <v/>
      </c>
      <c r="U1002" s="52">
        <f>IFERROR(IF(AR1003=AR1002,INDEX('Aub Demand'!Q:Q,MATCH($O1002,'Aub Demand'!$A:$A,0))-IF(AN1002="",0,AN1002)+AP1003,INDEX('Aub Demand'!Q:Q,MATCH($O1002,'Aub Demand'!$A:$A,0))-IF(AN1002="",0,AN1002)),"")</f>
        <v>393</v>
      </c>
      <c r="V1002" s="53">
        <f t="shared" si="422"/>
        <v>25.9</v>
      </c>
      <c r="W1002" s="52" t="str">
        <f t="shared" si="423"/>
        <v/>
      </c>
      <c r="X1002" s="52">
        <f>IFERROR(IF(AND(AR1003=AR1002,AM1002&lt;&gt;""),INDEX('Aub Demand'!Q:Q,MATCH($O1002,'Aub Demand'!$A:$A,0))-IF(AN1002="",0,AN1002)+AP1003+AD1002+AL1002,IF(AR1003=AR1002,INDEX('Aub Demand'!Q:Q,MATCH($O1002,'Aub Demand'!$A:$A,0))-IF(AN1002="",0,AN1002)+AP1003+AD1002,IF(AM1002&lt;&gt;"",INDEX('Aub Demand'!Q:Q,MATCH($O1002,'Aub Demand'!$A:$A,0))-IF(AN1002="",0,AN1002)+AD1002+AL1002,INDEX('Aub Demand'!Q:Q,MATCH($O1002,'Aub Demand'!$A:$A,0))-IF(AN1002="",0,AN1002)+AD1002))),"")</f>
        <v>393</v>
      </c>
      <c r="Y1002" s="53">
        <f t="shared" si="424"/>
        <v>25.9</v>
      </c>
      <c r="Z1002" s="52">
        <f>IF(L1002="","",INDEX('Aub Demand'!H:H,MATCH($O1002,'Aub Demand'!$A:$A,0)))</f>
        <v>65</v>
      </c>
      <c r="AA1002" s="52">
        <f t="shared" si="425"/>
        <v>163.5</v>
      </c>
      <c r="AB1002" s="52">
        <f>IFERROR(INDEX('Aub Demand'!L:L,MATCH($O1002,'Aub Demand'!$A:$A,0)),"")</f>
        <v>167</v>
      </c>
      <c r="AC1002" s="52">
        <f>IFERROR(IF(O1002="","",SUMIFS('CPL Mats'!F:F,'CPL Mats'!Q:Q,AR1002,'CPL Mats'!S:S,AS1002)),"")</f>
        <v>0</v>
      </c>
      <c r="AF1002" s="25" t="str">
        <f>IF(SUMIFS('Supp Consol'!S:S,'Supp Consol'!Y:Y,"Releasable",'Supp Consol'!A:A,O1002)=0,"",SUMIFS('Supp Consol'!S:S,'Supp Consol'!Y:Y,"Releasable",'Supp Consol'!A:A,O1002))</f>
        <v/>
      </c>
      <c r="AG1002" s="25" t="str">
        <f>IFERROR(INDEX('Hun Demand'!Q:Q,MATCH(O1002,'Hun Demand'!A:A,0)),"")</f>
        <v/>
      </c>
      <c r="AH1002" s="25" t="str">
        <f>IFERROR(INDEX('Hun Demand'!H:H,MATCH($O1002,'Hun Demand'!$A:$A,0)),"")</f>
        <v/>
      </c>
      <c r="AI1002" s="25" t="str">
        <f>IF(SUMIFS('Supp Consol'!AA:AA,'Supp Consol'!Z:Z,"Expires this month",'Supp Consol'!A:A,O1002)=0,"",SUMIFS('Supp Consol'!AA:AA,'Supp Consol'!Z:Z,"Expires this month",'Supp Consol'!A:A,O1002))</f>
        <v/>
      </c>
      <c r="AJ1002" s="25" t="str">
        <f>IF(SUMIFS('Supp Consol'!AA:AA,'Supp Consol'!Z:Z,"Expired Previous Months",'Supp Consol'!A:A,O1002)=0,"",SUMIFS('Supp Consol'!AA:AA,'Supp Consol'!Z:Z,"Expired Previous Months",'Supp Consol'!A:A,O1002))</f>
        <v/>
      </c>
      <c r="AK1002" s="25" t="str">
        <f>IFERROR(INDEX('Hun Release Current'!B:B,MATCH(O1002,'Hun Release Current'!A:A,0)),"")</f>
        <v/>
      </c>
      <c r="AL1002" s="25" t="str">
        <f>IF(SUMIF('Prev Aub'!A:A,O1002,'Prev Aub'!B:B)=0,"",SUMIF('Prev Aub'!A:A,O1002,'Prev Aub'!B:B))</f>
        <v/>
      </c>
      <c r="AN1002" s="25" t="s">
        <v>3790</v>
      </c>
      <c r="AO1002" s="25" t="s">
        <v>3790</v>
      </c>
      <c r="AP1002" s="25">
        <f t="shared" si="426"/>
        <v>0</v>
      </c>
      <c r="AQ1002" s="151" t="str">
        <f>IF(SUMIFS('Supp Consol'!S:S,'Supp Consol'!A:A,O1002,'Supp Consol'!I:I,"PENDING")=0,"",SUMIFS('Supp Consol'!S:S,'Supp Consol'!A:A,O1002,'Supp Consol'!I:I,"PENDING"))</f>
        <v/>
      </c>
      <c r="AR1002" s="27" t="str">
        <f t="shared" si="427"/>
        <v>SB316</v>
      </c>
      <c r="AS1002" s="27" t="str">
        <f t="shared" si="428"/>
        <v>62</v>
      </c>
      <c r="AT1002" s="27" t="str">
        <f t="shared" si="429"/>
        <v/>
      </c>
      <c r="AU1002" s="27" t="str">
        <f t="shared" si="430"/>
        <v/>
      </c>
      <c r="AV1002" s="27" t="str">
        <f t="shared" si="431"/>
        <v/>
      </c>
      <c r="AW1002" s="27" t="str">
        <f t="shared" si="432"/>
        <v/>
      </c>
      <c r="AX1002" s="27" t="str">
        <f t="shared" si="433"/>
        <v/>
      </c>
      <c r="AY1002" s="27" t="str">
        <f t="shared" si="434"/>
        <v/>
      </c>
      <c r="AZ1002" s="27" t="str">
        <f t="shared" si="435"/>
        <v/>
      </c>
      <c r="BA1002" s="27" t="str">
        <f t="shared" si="436"/>
        <v/>
      </c>
      <c r="BB1002" s="27" t="str">
        <f t="shared" si="437"/>
        <v/>
      </c>
      <c r="BC1002" s="27" t="str">
        <f t="shared" si="438"/>
        <v/>
      </c>
      <c r="BD1002" s="27" t="str">
        <f t="shared" si="439"/>
        <v/>
      </c>
      <c r="BE1002" s="27" t="str">
        <f t="shared" si="440"/>
        <v/>
      </c>
      <c r="BF1002" s="27" t="str">
        <f t="shared" si="441"/>
        <v/>
      </c>
      <c r="BG1002" s="27" t="str">
        <f t="shared" si="442"/>
        <v/>
      </c>
      <c r="BH1002" s="27" t="str">
        <f t="shared" si="443"/>
        <v/>
      </c>
      <c r="BI1002" s="27" t="str">
        <f t="shared" si="444"/>
        <v/>
      </c>
      <c r="BJ1002" s="27" t="str">
        <f t="shared" si="445"/>
        <v/>
      </c>
      <c r="BK1002" s="27" t="str">
        <f t="shared" si="446"/>
        <v/>
      </c>
      <c r="BL1002" s="27" t="str">
        <f t="shared" si="447"/>
        <v/>
      </c>
      <c r="BM1002" s="21" t="s">
        <v>5581</v>
      </c>
    </row>
    <row r="1003" spans="1:65" ht="15">
      <c r="A1003" s="25">
        <f>IFERROR(INDEX('Hun Demand'!W:W,MATCH(O1003,'Hun Demand'!A:A,0)),"")</f>
        <v>0</v>
      </c>
      <c r="B1003" s="25">
        <f>IFERROR(INDEX('Hun Demand'!V:V,MATCH(O1003,'Hun Demand'!A:A,0)),"")</f>
        <v>0</v>
      </c>
      <c r="C1003" s="25">
        <f>IFERROR(INDEX('Hun Demand'!U:U,MATCH(O1003,'Hun Demand'!A:A,0)),"")</f>
        <v>0</v>
      </c>
      <c r="D1003" s="25">
        <f>IFERROR(INDEX('Hun Demand'!T:T,MATCH(O1003,'Hun Demand'!A:A,0)),"")</f>
        <v>0</v>
      </c>
      <c r="E1003" s="25">
        <f>IFERROR(INDEX('Hun Demand'!S:S,MATCH(O1003,'Hun Demand'!A:A,0)),"")</f>
        <v>0</v>
      </c>
      <c r="F1003" s="25">
        <f>IFERROR(INDEX('Hun Demand'!R:R,MATCH(O1003,'Hun Demand'!A:A,0)),"")</f>
        <v>0</v>
      </c>
      <c r="G1003" s="25">
        <f>IFERROR(INDEX('Aub Demand'!W:W,MATCH(O1003,'Aub Demand'!A:A,0)),"")</f>
        <v>156</v>
      </c>
      <c r="H1003" s="25">
        <f>IFERROR(INDEX('Aub Demand'!V:V,MATCH(O1003,'Aub Demand'!A:A,0)),"")</f>
        <v>307</v>
      </c>
      <c r="I1003" s="25">
        <f>IFERROR(INDEX('Aub Demand'!U:U,MATCH(O1003,'Aub Demand'!A:A,0)),"")</f>
        <v>154</v>
      </c>
      <c r="J1003" s="25">
        <f>IFERROR(INDEX('Aub Demand'!T:T,MATCH(O1003,'Aub Demand'!A:A,0)),"")</f>
        <v>56</v>
      </c>
      <c r="K1003" s="25">
        <f>IFERROR(INDEX('Aub Demand'!S:S,MATCH(O1003,'Aub Demand'!A:A,0)),"")</f>
        <v>234</v>
      </c>
      <c r="L1003" s="25">
        <f>IFERROR(INDEX('Aub Demand'!R:R,MATCH(O1003,'Aub Demand'!A:A,0)),"")</f>
        <v>0</v>
      </c>
      <c r="O1003" s="27" t="s">
        <v>2584</v>
      </c>
      <c r="P1003" s="27" t="str">
        <f>IFERROR(INDEX('Aub Demand'!B:B,MATCH($O1003,'Aub Demand'!$A:$A,0)),"")</f>
        <v>DEEP BLUE 50"</v>
      </c>
      <c r="Q1003" s="27" t="str">
        <f>IFERROR(INDEX('Aub Demand'!C:C,MATCH($O1003,'Aub Demand'!$A:$A,0)),"")</f>
        <v>ONYX</v>
      </c>
      <c r="R1003" s="52">
        <f>IFERROR(IF(AR1004=AR1003,INDEX('Aub Demand'!K:K,MATCH($O1003,'Aub Demand'!$A:$A,0))-IF(AN1003="",0,AN1003)+AP1004,INDEX('Aub Demand'!K:K,MATCH($O1003,'Aub Demand'!$A:$A,0))-IF(AN1003="",0,AN1003)),"")</f>
        <v>1098</v>
      </c>
      <c r="S1003" s="53">
        <f t="shared" si="420"/>
        <v>31.8</v>
      </c>
      <c r="T1003" s="52" t="str">
        <f t="shared" si="421"/>
        <v/>
      </c>
      <c r="U1003" s="52">
        <f>IFERROR(IF(AR1004=AR1003,INDEX('Aub Demand'!Q:Q,MATCH($O1003,'Aub Demand'!$A:$A,0))-IF(AN1003="",0,AN1003)+AP1004,INDEX('Aub Demand'!Q:Q,MATCH($O1003,'Aub Demand'!$A:$A,0))-IF(AN1003="",0,AN1003)),"")</f>
        <v>944</v>
      </c>
      <c r="V1003" s="53">
        <f t="shared" si="422"/>
        <v>27.3</v>
      </c>
      <c r="W1003" s="52" t="str">
        <f t="shared" si="423"/>
        <v/>
      </c>
      <c r="X1003" s="52">
        <f>IFERROR(IF(AND(AR1004=AR1003,AM1003&lt;&gt;""),INDEX('Aub Demand'!Q:Q,MATCH($O1003,'Aub Demand'!$A:$A,0))-IF(AN1003="",0,AN1003)+AP1004+AD1003+AL1003,IF(AR1004=AR1003,INDEX('Aub Demand'!Q:Q,MATCH($O1003,'Aub Demand'!$A:$A,0))-IF(AN1003="",0,AN1003)+AP1004+AD1003,IF(AM1003&lt;&gt;"",INDEX('Aub Demand'!Q:Q,MATCH($O1003,'Aub Demand'!$A:$A,0))-IF(AN1003="",0,AN1003)+AD1003+AL1003,INDEX('Aub Demand'!Q:Q,MATCH($O1003,'Aub Demand'!$A:$A,0))-IF(AN1003="",0,AN1003)+AD1003))),"")</f>
        <v>944</v>
      </c>
      <c r="Y1003" s="53">
        <f t="shared" si="424"/>
        <v>27.3</v>
      </c>
      <c r="Z1003" s="52">
        <f>IF(L1003="","",INDEX('Aub Demand'!H:H,MATCH($O1003,'Aub Demand'!$A:$A,0)))</f>
        <v>148</v>
      </c>
      <c r="AA1003" s="52">
        <f t="shared" si="425"/>
        <v>194</v>
      </c>
      <c r="AB1003" s="52">
        <f>IFERROR(INDEX('Aub Demand'!L:L,MATCH($O1003,'Aub Demand'!$A:$A,0)),"")</f>
        <v>149</v>
      </c>
      <c r="AC1003" s="52">
        <f>IFERROR(IF(O1003="","",SUMIFS('CPL Mats'!F:F,'CPL Mats'!Q:Q,AR1003,'CPL Mats'!S:S,AS1003)),"")</f>
        <v>0</v>
      </c>
      <c r="AF1003" s="25" t="str">
        <f>IF(SUMIFS('Supp Consol'!S:S,'Supp Consol'!Y:Y,"Releasable",'Supp Consol'!A:A,O1003)=0,"",SUMIFS('Supp Consol'!S:S,'Supp Consol'!Y:Y,"Releasable",'Supp Consol'!A:A,O1003))</f>
        <v/>
      </c>
      <c r="AG1003" s="25">
        <f>IFERROR(INDEX('Hun Demand'!Q:Q,MATCH(O1003,'Hun Demand'!A:A,0)),"")</f>
        <v>58</v>
      </c>
      <c r="AH1003" s="25">
        <f>IFERROR(INDEX('Hun Demand'!H:H,MATCH($O1003,'Hun Demand'!$A:$A,0)),"")</f>
        <v>0</v>
      </c>
      <c r="AI1003" s="25" t="str">
        <f>IF(SUMIFS('Supp Consol'!AA:AA,'Supp Consol'!Z:Z,"Expires this month",'Supp Consol'!A:A,O1003)=0,"",SUMIFS('Supp Consol'!AA:AA,'Supp Consol'!Z:Z,"Expires this month",'Supp Consol'!A:A,O1003))</f>
        <v/>
      </c>
      <c r="AJ1003" s="25" t="str">
        <f>IF(SUMIFS('Supp Consol'!AA:AA,'Supp Consol'!Z:Z,"Expired Previous Months",'Supp Consol'!A:A,O1003)=0,"",SUMIFS('Supp Consol'!AA:AA,'Supp Consol'!Z:Z,"Expired Previous Months",'Supp Consol'!A:A,O1003))</f>
        <v/>
      </c>
      <c r="AK1003" s="25" t="str">
        <f>IFERROR(INDEX('Hun Release Current'!B:B,MATCH(O1003,'Hun Release Current'!A:A,0)),"")</f>
        <v/>
      </c>
      <c r="AL1003" s="25" t="str">
        <f>IF(SUMIF('Prev Aub'!A:A,O1003,'Prev Aub'!B:B)=0,"",SUMIF('Prev Aub'!A:A,O1003,'Prev Aub'!B:B))</f>
        <v/>
      </c>
      <c r="AN1003" s="25" t="s">
        <v>3790</v>
      </c>
      <c r="AO1003" s="25" t="s">
        <v>3790</v>
      </c>
      <c r="AP1003" s="25">
        <f t="shared" si="426"/>
        <v>0</v>
      </c>
      <c r="AQ1003" s="151" t="str">
        <f>IF(SUMIFS('Supp Consol'!S:S,'Supp Consol'!A:A,O1003,'Supp Consol'!I:I,"PENDING")=0,"",SUMIFS('Supp Consol'!S:S,'Supp Consol'!A:A,O1003,'Supp Consol'!I:I,"PENDING"))</f>
        <v/>
      </c>
      <c r="AR1003" s="27" t="str">
        <f t="shared" si="427"/>
        <v>SB322</v>
      </c>
      <c r="AS1003" s="27" t="str">
        <f t="shared" si="428"/>
        <v>50</v>
      </c>
      <c r="AT1003" s="27" t="str">
        <f t="shared" si="429"/>
        <v/>
      </c>
      <c r="AU1003" s="27" t="str">
        <f t="shared" si="430"/>
        <v/>
      </c>
      <c r="AV1003" s="27" t="str">
        <f t="shared" si="431"/>
        <v/>
      </c>
      <c r="AW1003" s="27" t="str">
        <f t="shared" si="432"/>
        <v/>
      </c>
      <c r="AX1003" s="27" t="str">
        <f t="shared" si="433"/>
        <v/>
      </c>
      <c r="AY1003" s="27" t="str">
        <f t="shared" si="434"/>
        <v>SB322</v>
      </c>
      <c r="AZ1003" s="27" t="str">
        <f t="shared" si="435"/>
        <v/>
      </c>
      <c r="BA1003" s="27" t="str">
        <f t="shared" si="436"/>
        <v>Hun</v>
      </c>
      <c r="BB1003" s="27" t="str">
        <f t="shared" si="437"/>
        <v/>
      </c>
      <c r="BC1003" s="27" t="str">
        <f t="shared" si="438"/>
        <v/>
      </c>
      <c r="BD1003" s="27" t="str">
        <f t="shared" si="439"/>
        <v/>
      </c>
      <c r="BE1003" s="27" t="str">
        <f t="shared" si="440"/>
        <v/>
      </c>
      <c r="BF1003" s="27" t="str">
        <f t="shared" si="441"/>
        <v/>
      </c>
      <c r="BG1003" s="27" t="str">
        <f t="shared" si="442"/>
        <v/>
      </c>
      <c r="BH1003" s="27" t="str">
        <f t="shared" si="443"/>
        <v/>
      </c>
      <c r="BI1003" s="27" t="str">
        <f t="shared" si="444"/>
        <v/>
      </c>
      <c r="BJ1003" s="27" t="str">
        <f t="shared" si="445"/>
        <v>Supp or Hun</v>
      </c>
      <c r="BK1003" s="27" t="str">
        <f t="shared" si="446"/>
        <v/>
      </c>
      <c r="BL1003" s="27" t="str">
        <f t="shared" si="447"/>
        <v/>
      </c>
      <c r="BM1003" s="21" t="s">
        <v>5581</v>
      </c>
    </row>
    <row r="1004" spans="1:65" ht="15">
      <c r="A1004" s="25" t="str">
        <f>IFERROR(INDEX('Hun Demand'!W:W,MATCH(O1004,'Hun Demand'!A:A,0)),"")</f>
        <v/>
      </c>
      <c r="B1004" s="25" t="str">
        <f>IFERROR(INDEX('Hun Demand'!V:V,MATCH(O1004,'Hun Demand'!A:A,0)),"")</f>
        <v/>
      </c>
      <c r="C1004" s="25" t="str">
        <f>IFERROR(INDEX('Hun Demand'!U:U,MATCH(O1004,'Hun Demand'!A:A,0)),"")</f>
        <v/>
      </c>
      <c r="D1004" s="25" t="str">
        <f>IFERROR(INDEX('Hun Demand'!T:T,MATCH(O1004,'Hun Demand'!A:A,0)),"")</f>
        <v/>
      </c>
      <c r="E1004" s="25" t="str">
        <f>IFERROR(INDEX('Hun Demand'!S:S,MATCH(O1004,'Hun Demand'!A:A,0)),"")</f>
        <v/>
      </c>
      <c r="F1004" s="25" t="str">
        <f>IFERROR(INDEX('Hun Demand'!R:R,MATCH(O1004,'Hun Demand'!A:A,0)),"")</f>
        <v/>
      </c>
      <c r="G1004" s="25">
        <f>IFERROR(INDEX('Aub Demand'!W:W,MATCH(O1004,'Aub Demand'!A:A,0)),"")</f>
        <v>0</v>
      </c>
      <c r="H1004" s="25">
        <f>IFERROR(INDEX('Aub Demand'!V:V,MATCH(O1004,'Aub Demand'!A:A,0)),"")</f>
        <v>46</v>
      </c>
      <c r="I1004" s="25">
        <f>IFERROR(INDEX('Aub Demand'!U:U,MATCH(O1004,'Aub Demand'!A:A,0)),"")</f>
        <v>115</v>
      </c>
      <c r="J1004" s="25">
        <f>IFERROR(INDEX('Aub Demand'!T:T,MATCH(O1004,'Aub Demand'!A:A,0)),"")</f>
        <v>0</v>
      </c>
      <c r="K1004" s="25">
        <f>IFERROR(INDEX('Aub Demand'!S:S,MATCH(O1004,'Aub Demand'!A:A,0)),"")</f>
        <v>145</v>
      </c>
      <c r="L1004" s="25">
        <f>IFERROR(INDEX('Aub Demand'!R:R,MATCH(O1004,'Aub Demand'!A:A,0)),"")</f>
        <v>0</v>
      </c>
      <c r="O1004" s="27" t="s">
        <v>2587</v>
      </c>
      <c r="P1004" s="27" t="str">
        <f>IFERROR(INDEX('Aub Demand'!B:B,MATCH($O1004,'Aub Demand'!$A:$A,0)),"")</f>
        <v>DEEP BLUE 62"</v>
      </c>
      <c r="Q1004" s="27" t="str">
        <f>IFERROR(INDEX('Aub Demand'!C:C,MATCH($O1004,'Aub Demand'!$A:$A,0)),"")</f>
        <v>ONYX</v>
      </c>
      <c r="R1004" s="52">
        <f>IFERROR(IF(AR1005=AR1004,INDEX('Aub Demand'!K:K,MATCH($O1004,'Aub Demand'!$A:$A,0))-IF(AN1004="",0,AN1004)+AP1005,INDEX('Aub Demand'!K:K,MATCH($O1004,'Aub Demand'!$A:$A,0))-IF(AN1004="",0,AN1004)),"")</f>
        <v>1908</v>
      </c>
      <c r="S1004" s="53">
        <f t="shared" si="420"/>
        <v>94</v>
      </c>
      <c r="T1004" s="52" t="str">
        <f t="shared" si="421"/>
        <v/>
      </c>
      <c r="U1004" s="52">
        <f>IFERROR(IF(AR1005=AR1004,INDEX('Aub Demand'!Q:Q,MATCH($O1004,'Aub Demand'!$A:$A,0))-IF(AN1004="",0,AN1004)+AP1005,INDEX('Aub Demand'!Q:Q,MATCH($O1004,'Aub Demand'!$A:$A,0))-IF(AN1004="",0,AN1004)),"")</f>
        <v>1856</v>
      </c>
      <c r="V1004" s="53">
        <f t="shared" si="422"/>
        <v>91.4</v>
      </c>
      <c r="W1004" s="52" t="str">
        <f t="shared" si="423"/>
        <v/>
      </c>
      <c r="X1004" s="52">
        <f>IFERROR(IF(AND(AR1005=AR1004,AM1004&lt;&gt;""),INDEX('Aub Demand'!Q:Q,MATCH($O1004,'Aub Demand'!$A:$A,0))-IF(AN1004="",0,AN1004)+AP1005+AD1004+AL1004,IF(AR1005=AR1004,INDEX('Aub Demand'!Q:Q,MATCH($O1004,'Aub Demand'!$A:$A,0))-IF(AN1004="",0,AN1004)+AP1005+AD1004,IF(AM1004&lt;&gt;"",INDEX('Aub Demand'!Q:Q,MATCH($O1004,'Aub Demand'!$A:$A,0))-IF(AN1004="",0,AN1004)+AD1004+AL1004,INDEX('Aub Demand'!Q:Q,MATCH($O1004,'Aub Demand'!$A:$A,0))-IF(AN1004="",0,AN1004)+AD1004))),"")</f>
        <v>1856</v>
      </c>
      <c r="Y1004" s="53">
        <f t="shared" si="424"/>
        <v>91.4</v>
      </c>
      <c r="Z1004" s="52">
        <f>IF(L1004="","",INDEX('Aub Demand'!H:H,MATCH($O1004,'Aub Demand'!$A:$A,0)))</f>
        <v>87</v>
      </c>
      <c r="AA1004" s="52">
        <f t="shared" si="425"/>
        <v>130</v>
      </c>
      <c r="AB1004" s="52">
        <f>IFERROR(INDEX('Aub Demand'!L:L,MATCH($O1004,'Aub Demand'!$A:$A,0)),"")</f>
        <v>168</v>
      </c>
      <c r="AC1004" s="52">
        <f>IFERROR(IF(O1004="","",SUMIFS('CPL Mats'!F:F,'CPL Mats'!Q:Q,AR1004,'CPL Mats'!S:S,AS1004)),"")</f>
        <v>0</v>
      </c>
      <c r="AF1004" s="25" t="str">
        <f>IF(SUMIFS('Supp Consol'!S:S,'Supp Consol'!Y:Y,"Releasable",'Supp Consol'!A:A,O1004)=0,"",SUMIFS('Supp Consol'!S:S,'Supp Consol'!Y:Y,"Releasable",'Supp Consol'!A:A,O1004))</f>
        <v/>
      </c>
      <c r="AG1004" s="25" t="str">
        <f>IFERROR(INDEX('Hun Demand'!Q:Q,MATCH(O1004,'Hun Demand'!A:A,0)),"")</f>
        <v/>
      </c>
      <c r="AH1004" s="25" t="str">
        <f>IFERROR(INDEX('Hun Demand'!H:H,MATCH($O1004,'Hun Demand'!$A:$A,0)),"")</f>
        <v/>
      </c>
      <c r="AI1004" s="25" t="str">
        <f>IF(SUMIFS('Supp Consol'!AA:AA,'Supp Consol'!Z:Z,"Expires this month",'Supp Consol'!A:A,O1004)=0,"",SUMIFS('Supp Consol'!AA:AA,'Supp Consol'!Z:Z,"Expires this month",'Supp Consol'!A:A,O1004))</f>
        <v/>
      </c>
      <c r="AJ1004" s="25" t="str">
        <f>IF(SUMIFS('Supp Consol'!AA:AA,'Supp Consol'!Z:Z,"Expired Previous Months",'Supp Consol'!A:A,O1004)=0,"",SUMIFS('Supp Consol'!AA:AA,'Supp Consol'!Z:Z,"Expired Previous Months",'Supp Consol'!A:A,O1004))</f>
        <v/>
      </c>
      <c r="AK1004" s="25" t="str">
        <f>IFERROR(INDEX('Hun Release Current'!B:B,MATCH(O1004,'Hun Release Current'!A:A,0)),"")</f>
        <v/>
      </c>
      <c r="AL1004" s="25" t="str">
        <f>IF(SUMIF('Prev Aub'!A:A,O1004,'Prev Aub'!B:B)=0,"",SUMIF('Prev Aub'!A:A,O1004,'Prev Aub'!B:B))</f>
        <v/>
      </c>
      <c r="AN1004" s="25" t="s">
        <v>3790</v>
      </c>
      <c r="AO1004" s="25" t="s">
        <v>3790</v>
      </c>
      <c r="AP1004" s="25">
        <f t="shared" si="426"/>
        <v>0</v>
      </c>
      <c r="AQ1004" s="151" t="str">
        <f>IF(SUMIFS('Supp Consol'!S:S,'Supp Consol'!A:A,O1004,'Supp Consol'!I:I,"PENDING")=0,"",SUMIFS('Supp Consol'!S:S,'Supp Consol'!A:A,O1004,'Supp Consol'!I:I,"PENDING"))</f>
        <v/>
      </c>
      <c r="AR1004" s="27" t="str">
        <f t="shared" si="427"/>
        <v>SB322</v>
      </c>
      <c r="AS1004" s="27" t="str">
        <f t="shared" si="428"/>
        <v>62</v>
      </c>
      <c r="AT1004" s="27" t="str">
        <f t="shared" si="429"/>
        <v/>
      </c>
      <c r="AU1004" s="27" t="str">
        <f t="shared" si="430"/>
        <v/>
      </c>
      <c r="AV1004" s="27" t="str">
        <f t="shared" si="431"/>
        <v/>
      </c>
      <c r="AW1004" s="27" t="str">
        <f t="shared" si="432"/>
        <v/>
      </c>
      <c r="AX1004" s="27" t="str">
        <f t="shared" si="433"/>
        <v/>
      </c>
      <c r="AY1004" s="27" t="str">
        <f t="shared" si="434"/>
        <v/>
      </c>
      <c r="AZ1004" s="27" t="str">
        <f t="shared" si="435"/>
        <v/>
      </c>
      <c r="BA1004" s="27" t="str">
        <f t="shared" si="436"/>
        <v>Hun</v>
      </c>
      <c r="BB1004" s="27" t="str">
        <f t="shared" si="437"/>
        <v/>
      </c>
      <c r="BC1004" s="27" t="str">
        <f t="shared" si="438"/>
        <v/>
      </c>
      <c r="BD1004" s="27" t="str">
        <f t="shared" si="439"/>
        <v/>
      </c>
      <c r="BE1004" s="27" t="str">
        <f t="shared" si="440"/>
        <v/>
      </c>
      <c r="BF1004" s="27" t="str">
        <f t="shared" si="441"/>
        <v/>
      </c>
      <c r="BG1004" s="27" t="str">
        <f t="shared" si="442"/>
        <v/>
      </c>
      <c r="BH1004" s="27" t="str">
        <f t="shared" si="443"/>
        <v/>
      </c>
      <c r="BI1004" s="27" t="str">
        <f t="shared" si="444"/>
        <v/>
      </c>
      <c r="BJ1004" s="27" t="str">
        <f t="shared" si="445"/>
        <v>Supp or Hun</v>
      </c>
      <c r="BK1004" s="27" t="str">
        <f t="shared" si="446"/>
        <v/>
      </c>
      <c r="BL1004" s="27" t="str">
        <f t="shared" si="447"/>
        <v/>
      </c>
      <c r="BM1004" s="21" t="s">
        <v>5581</v>
      </c>
    </row>
    <row r="1005" spans="1:65" ht="15">
      <c r="A1005" s="25" t="str">
        <f>IFERROR(INDEX('Hun Demand'!W:W,MATCH(O1005,'Hun Demand'!A:A,0)),"")</f>
        <v/>
      </c>
      <c r="B1005" s="25" t="str">
        <f>IFERROR(INDEX('Hun Demand'!V:V,MATCH(O1005,'Hun Demand'!A:A,0)),"")</f>
        <v/>
      </c>
      <c r="C1005" s="25" t="str">
        <f>IFERROR(INDEX('Hun Demand'!U:U,MATCH(O1005,'Hun Demand'!A:A,0)),"")</f>
        <v/>
      </c>
      <c r="D1005" s="25" t="str">
        <f>IFERROR(INDEX('Hun Demand'!T:T,MATCH(O1005,'Hun Demand'!A:A,0)),"")</f>
        <v/>
      </c>
      <c r="E1005" s="25" t="str">
        <f>IFERROR(INDEX('Hun Demand'!S:S,MATCH(O1005,'Hun Demand'!A:A,0)),"")</f>
        <v/>
      </c>
      <c r="F1005" s="25" t="str">
        <f>IFERROR(INDEX('Hun Demand'!R:R,MATCH(O1005,'Hun Demand'!A:A,0)),"")</f>
        <v/>
      </c>
      <c r="G1005" s="25">
        <f>IFERROR(INDEX('Aub Demand'!W:W,MATCH(O1005,'Aub Demand'!A:A,0)),"")</f>
        <v>113</v>
      </c>
      <c r="H1005" s="25">
        <f>IFERROR(INDEX('Aub Demand'!V:V,MATCH(O1005,'Aub Demand'!A:A,0)),"")</f>
        <v>94</v>
      </c>
      <c r="I1005" s="25">
        <f>IFERROR(INDEX('Aub Demand'!U:U,MATCH(O1005,'Aub Demand'!A:A,0)),"")</f>
        <v>297</v>
      </c>
      <c r="J1005" s="25">
        <f>IFERROR(INDEX('Aub Demand'!T:T,MATCH(O1005,'Aub Demand'!A:A,0)),"")</f>
        <v>136</v>
      </c>
      <c r="K1005" s="25">
        <f>IFERROR(INDEX('Aub Demand'!S:S,MATCH(O1005,'Aub Demand'!A:A,0)),"")</f>
        <v>0</v>
      </c>
      <c r="L1005" s="25">
        <f>IFERROR(INDEX('Aub Demand'!R:R,MATCH(O1005,'Aub Demand'!A:A,0)),"")</f>
        <v>0</v>
      </c>
      <c r="O1005" s="27" t="s">
        <v>2589</v>
      </c>
      <c r="P1005" s="27" t="str">
        <f>IFERROR(INDEX('Aub Demand'!B:B,MATCH($O1005,'Aub Demand'!$A:$A,0)),"")</f>
        <v>PATRIOT BLUE 48"</v>
      </c>
      <c r="Q1005" s="27" t="str">
        <f>IFERROR(INDEX('Aub Demand'!C:C,MATCH($O1005,'Aub Demand'!$A:$A,0)),"")</f>
        <v>ONYX</v>
      </c>
      <c r="R1005" s="52">
        <f>IFERROR(IF(AR1006=AR1005,INDEX('Aub Demand'!K:K,MATCH($O1005,'Aub Demand'!$A:$A,0))-IF(AN1005="",0,AN1005)+AP1006,INDEX('Aub Demand'!K:K,MATCH($O1005,'Aub Demand'!$A:$A,0))-IF(AN1005="",0,AN1005)),"")</f>
        <v>0</v>
      </c>
      <c r="S1005" s="53">
        <f t="shared" si="420"/>
        <v>0</v>
      </c>
      <c r="T1005" s="52">
        <f t="shared" si="421"/>
        <v>162.375</v>
      </c>
      <c r="U1005" s="52">
        <f>IFERROR(IF(AR1006=AR1005,INDEX('Aub Demand'!Q:Q,MATCH($O1005,'Aub Demand'!$A:$A,0))-IF(AN1005="",0,AN1005)+AP1006,INDEX('Aub Demand'!Q:Q,MATCH($O1005,'Aub Demand'!$A:$A,0))-IF(AN1005="",0,AN1005)),"")</f>
        <v>-87</v>
      </c>
      <c r="V1005" s="53">
        <f t="shared" si="422"/>
        <v>-2.6</v>
      </c>
      <c r="W1005" s="52">
        <f t="shared" si="423"/>
        <v>303.09999999999997</v>
      </c>
      <c r="X1005" s="52">
        <f>IFERROR(IF(AND(AR1006=AR1005,AM1005&lt;&gt;""),INDEX('Aub Demand'!Q:Q,MATCH($O1005,'Aub Demand'!$A:$A,0))-IF(AN1005="",0,AN1005)+AP1006+AD1005+AL1005,IF(AR1006=AR1005,INDEX('Aub Demand'!Q:Q,MATCH($O1005,'Aub Demand'!$A:$A,0))-IF(AN1005="",0,AN1005)+AP1006+AD1005,IF(AM1005&lt;&gt;"",INDEX('Aub Demand'!Q:Q,MATCH($O1005,'Aub Demand'!$A:$A,0))-IF(AN1005="",0,AN1005)+AD1005+AL1005,INDEX('Aub Demand'!Q:Q,MATCH($O1005,'Aub Demand'!$A:$A,0))-IF(AN1005="",0,AN1005)+AD1005))),"")</f>
        <v>-87</v>
      </c>
      <c r="Y1005" s="53">
        <f t="shared" si="424"/>
        <v>-2.6</v>
      </c>
      <c r="Z1005" s="52">
        <f>IF(L1005="","",INDEX('Aub Demand'!H:H,MATCH($O1005,'Aub Demand'!$A:$A,0)))</f>
        <v>144</v>
      </c>
      <c r="AA1005" s="52">
        <f t="shared" si="425"/>
        <v>216.5</v>
      </c>
      <c r="AB1005" s="52">
        <f>IFERROR(INDEX('Aub Demand'!L:L,MATCH($O1005,'Aub Demand'!$A:$A,0)),"")</f>
        <v>32</v>
      </c>
      <c r="AC1005" s="52">
        <f>IFERROR(IF(O1005="","",SUMIFS('CPL Mats'!F:F,'CPL Mats'!Q:Q,AR1005,'CPL Mats'!S:S,AS1005)),"")</f>
        <v>0</v>
      </c>
      <c r="AF1005" s="25" t="str">
        <f>IF(SUMIFS('Supp Consol'!S:S,'Supp Consol'!Y:Y,"Releasable",'Supp Consol'!A:A,O1005)=0,"",SUMIFS('Supp Consol'!S:S,'Supp Consol'!Y:Y,"Releasable",'Supp Consol'!A:A,O1005))</f>
        <v/>
      </c>
      <c r="AG1005" s="25" t="str">
        <f>IFERROR(INDEX('Hun Demand'!Q:Q,MATCH(O1005,'Hun Demand'!A:A,0)),"")</f>
        <v/>
      </c>
      <c r="AH1005" s="25" t="str">
        <f>IFERROR(INDEX('Hun Demand'!H:H,MATCH($O1005,'Hun Demand'!$A:$A,0)),"")</f>
        <v/>
      </c>
      <c r="AI1005" s="25" t="str">
        <f>IF(SUMIFS('Supp Consol'!AA:AA,'Supp Consol'!Z:Z,"Expires this month",'Supp Consol'!A:A,O1005)=0,"",SUMIFS('Supp Consol'!AA:AA,'Supp Consol'!Z:Z,"Expires this month",'Supp Consol'!A:A,O1005))</f>
        <v/>
      </c>
      <c r="AJ1005" s="25" t="str">
        <f>IF(SUMIFS('Supp Consol'!AA:AA,'Supp Consol'!Z:Z,"Expired Previous Months",'Supp Consol'!A:A,O1005)=0,"",SUMIFS('Supp Consol'!AA:AA,'Supp Consol'!Z:Z,"Expired Previous Months",'Supp Consol'!A:A,O1005))</f>
        <v/>
      </c>
      <c r="AK1005" s="25" t="str">
        <f>IFERROR(INDEX('Hun Release Current'!B:B,MATCH(O1005,'Hun Release Current'!A:A,0)),"")</f>
        <v/>
      </c>
      <c r="AL1005" s="25" t="str">
        <f>IF(SUMIF('Prev Aub'!A:A,O1005,'Prev Aub'!B:B)=0,"",SUMIF('Prev Aub'!A:A,O1005,'Prev Aub'!B:B))</f>
        <v/>
      </c>
      <c r="AN1005" s="25" t="s">
        <v>3790</v>
      </c>
      <c r="AO1005" s="25" t="s">
        <v>3790</v>
      </c>
      <c r="AP1005" s="25">
        <f t="shared" si="426"/>
        <v>0</v>
      </c>
      <c r="AQ1005" s="151" t="str">
        <f>IF(SUMIFS('Supp Consol'!S:S,'Supp Consol'!A:A,O1005,'Supp Consol'!I:I,"PENDING")=0,"",SUMIFS('Supp Consol'!S:S,'Supp Consol'!A:A,O1005,'Supp Consol'!I:I,"PENDING"))</f>
        <v/>
      </c>
      <c r="AR1005" s="27" t="str">
        <f t="shared" si="427"/>
        <v>SB348</v>
      </c>
      <c r="AS1005" s="27" t="str">
        <f t="shared" si="428"/>
        <v>50</v>
      </c>
      <c r="AT1005" s="27" t="str">
        <f t="shared" si="429"/>
        <v>SB348</v>
      </c>
      <c r="AU1005" s="27" t="str">
        <f t="shared" si="430"/>
        <v>SB348</v>
      </c>
      <c r="AV1005" s="27" t="str">
        <f t="shared" si="431"/>
        <v>SB348</v>
      </c>
      <c r="AW1005" s="27" t="str">
        <f t="shared" si="432"/>
        <v/>
      </c>
      <c r="AX1005" s="27" t="str">
        <f t="shared" si="433"/>
        <v/>
      </c>
      <c r="AY1005" s="27" t="str">
        <f t="shared" si="434"/>
        <v/>
      </c>
      <c r="AZ1005" s="27" t="str">
        <f t="shared" si="435"/>
        <v/>
      </c>
      <c r="BA1005" s="27" t="str">
        <f t="shared" si="436"/>
        <v/>
      </c>
      <c r="BB1005" s="27" t="str">
        <f t="shared" si="437"/>
        <v>Gross</v>
      </c>
      <c r="BC1005" s="27" t="str">
        <f t="shared" si="438"/>
        <v>Net</v>
      </c>
      <c r="BD1005" s="27" t="str">
        <f t="shared" si="439"/>
        <v>Net</v>
      </c>
      <c r="BE1005" s="27" t="str">
        <f t="shared" si="440"/>
        <v/>
      </c>
      <c r="BF1005" s="27" t="str">
        <f t="shared" si="441"/>
        <v/>
      </c>
      <c r="BG1005" s="27" t="str">
        <f t="shared" si="442"/>
        <v/>
      </c>
      <c r="BH1005" s="27" t="str">
        <f t="shared" si="443"/>
        <v/>
      </c>
      <c r="BI1005" s="27" t="str">
        <f t="shared" si="444"/>
        <v/>
      </c>
      <c r="BJ1005" s="27" t="str">
        <f t="shared" si="445"/>
        <v/>
      </c>
      <c r="BK1005" s="27" t="str">
        <f t="shared" si="446"/>
        <v/>
      </c>
      <c r="BL1005" s="27" t="str">
        <f t="shared" si="447"/>
        <v/>
      </c>
      <c r="BM1005" s="21" t="s">
        <v>5581</v>
      </c>
    </row>
    <row r="1006" spans="1:65" ht="15">
      <c r="A1006" s="25" t="str">
        <f>IFERROR(INDEX('Hun Demand'!W:W,MATCH(O1006,'Hun Demand'!A:A,0)),"")</f>
        <v/>
      </c>
      <c r="B1006" s="25" t="str">
        <f>IFERROR(INDEX('Hun Demand'!V:V,MATCH(O1006,'Hun Demand'!A:A,0)),"")</f>
        <v/>
      </c>
      <c r="C1006" s="25" t="str">
        <f>IFERROR(INDEX('Hun Demand'!U:U,MATCH(O1006,'Hun Demand'!A:A,0)),"")</f>
        <v/>
      </c>
      <c r="D1006" s="25" t="str">
        <f>IFERROR(INDEX('Hun Demand'!T:T,MATCH(O1006,'Hun Demand'!A:A,0)),"")</f>
        <v/>
      </c>
      <c r="E1006" s="25" t="str">
        <f>IFERROR(INDEX('Hun Demand'!S:S,MATCH(O1006,'Hun Demand'!A:A,0)),"")</f>
        <v/>
      </c>
      <c r="F1006" s="25" t="str">
        <f>IFERROR(INDEX('Hun Demand'!R:R,MATCH(O1006,'Hun Demand'!A:A,0)),"")</f>
        <v/>
      </c>
      <c r="G1006" s="25">
        <f>IFERROR(INDEX('Aub Demand'!W:W,MATCH(O1006,'Aub Demand'!A:A,0)),"")</f>
        <v>184</v>
      </c>
      <c r="H1006" s="25">
        <f>IFERROR(INDEX('Aub Demand'!V:V,MATCH(O1006,'Aub Demand'!A:A,0)),"")</f>
        <v>65</v>
      </c>
      <c r="I1006" s="25">
        <f>IFERROR(INDEX('Aub Demand'!U:U,MATCH(O1006,'Aub Demand'!A:A,0)),"")</f>
        <v>211</v>
      </c>
      <c r="J1006" s="25">
        <f>IFERROR(INDEX('Aub Demand'!T:T,MATCH(O1006,'Aub Demand'!A:A,0)),"")</f>
        <v>0</v>
      </c>
      <c r="K1006" s="25">
        <f>IFERROR(INDEX('Aub Demand'!S:S,MATCH(O1006,'Aub Demand'!A:A,0)),"")</f>
        <v>152</v>
      </c>
      <c r="L1006" s="25">
        <f>IFERROR(INDEX('Aub Demand'!R:R,MATCH(O1006,'Aub Demand'!A:A,0)),"")</f>
        <v>0</v>
      </c>
      <c r="O1006" s="27" t="s">
        <v>2592</v>
      </c>
      <c r="P1006" s="27" t="str">
        <f>IFERROR(INDEX('Aub Demand'!B:B,MATCH($O1006,'Aub Demand'!$A:$A,0)),"")</f>
        <v>PATRIOT BLUE 62"</v>
      </c>
      <c r="Q1006" s="27" t="str">
        <f>IFERROR(INDEX('Aub Demand'!C:C,MATCH($O1006,'Aub Demand'!$A:$A,0)),"")</f>
        <v>ONYX</v>
      </c>
      <c r="R1006" s="52">
        <f>IFERROR(IF(AR1007=AR1006,INDEX('Aub Demand'!K:K,MATCH($O1006,'Aub Demand'!$A:$A,0))-IF(AN1006="",0,AN1006)+AP1007,INDEX('Aub Demand'!K:K,MATCH($O1006,'Aub Demand'!$A:$A,0))-IF(AN1006="",0,AN1006)),"")</f>
        <v>2123</v>
      </c>
      <c r="S1006" s="53">
        <f t="shared" si="420"/>
        <v>75.2</v>
      </c>
      <c r="T1006" s="52" t="str">
        <f t="shared" si="421"/>
        <v/>
      </c>
      <c r="U1006" s="52">
        <f>IFERROR(IF(AR1007=AR1006,INDEX('Aub Demand'!Q:Q,MATCH($O1006,'Aub Demand'!$A:$A,0))-IF(AN1006="",0,AN1006)+AP1007,INDEX('Aub Demand'!Q:Q,MATCH($O1006,'Aub Demand'!$A:$A,0))-IF(AN1006="",0,AN1006)),"")</f>
        <v>1905</v>
      </c>
      <c r="V1006" s="53">
        <f t="shared" si="422"/>
        <v>67.5</v>
      </c>
      <c r="W1006" s="52" t="str">
        <f t="shared" si="423"/>
        <v/>
      </c>
      <c r="X1006" s="52">
        <f>IFERROR(IF(AND(AR1007=AR1006,AM1006&lt;&gt;""),INDEX('Aub Demand'!Q:Q,MATCH($O1006,'Aub Demand'!$A:$A,0))-IF(AN1006="",0,AN1006)+AP1007+AD1006+AL1006,IF(AR1007=AR1006,INDEX('Aub Demand'!Q:Q,MATCH($O1006,'Aub Demand'!$A:$A,0))-IF(AN1006="",0,AN1006)+AP1007+AD1006,IF(AM1006&lt;&gt;"",INDEX('Aub Demand'!Q:Q,MATCH($O1006,'Aub Demand'!$A:$A,0))-IF(AN1006="",0,AN1006)+AD1006+AL1006,INDEX('Aub Demand'!Q:Q,MATCH($O1006,'Aub Demand'!$A:$A,0))-IF(AN1006="",0,AN1006)+AD1006))),"")</f>
        <v>1905</v>
      </c>
      <c r="Y1006" s="53">
        <f t="shared" si="424"/>
        <v>67.5</v>
      </c>
      <c r="Z1006" s="52">
        <f>IF(L1006="","",INDEX('Aub Demand'!H:H,MATCH($O1006,'Aub Demand'!$A:$A,0)))</f>
        <v>121</v>
      </c>
      <c r="AA1006" s="52">
        <f t="shared" si="425"/>
        <v>181.5</v>
      </c>
      <c r="AB1006" s="52">
        <f>IFERROR(INDEX('Aub Demand'!L:L,MATCH($O1006,'Aub Demand'!$A:$A,0)),"")</f>
        <v>54</v>
      </c>
      <c r="AC1006" s="52">
        <f>IFERROR(IF(O1006="","",SUMIFS('CPL Mats'!F:F,'CPL Mats'!Q:Q,AR1006,'CPL Mats'!S:S,AS1006)),"")</f>
        <v>0</v>
      </c>
      <c r="AF1006" s="25" t="str">
        <f>IF(SUMIFS('Supp Consol'!S:S,'Supp Consol'!Y:Y,"Releasable",'Supp Consol'!A:A,O1006)=0,"",SUMIFS('Supp Consol'!S:S,'Supp Consol'!Y:Y,"Releasable",'Supp Consol'!A:A,O1006))</f>
        <v/>
      </c>
      <c r="AG1006" s="25" t="str">
        <f>IFERROR(INDEX('Hun Demand'!Q:Q,MATCH(O1006,'Hun Demand'!A:A,0)),"")</f>
        <v/>
      </c>
      <c r="AH1006" s="25" t="str">
        <f>IFERROR(INDEX('Hun Demand'!H:H,MATCH($O1006,'Hun Demand'!$A:$A,0)),"")</f>
        <v/>
      </c>
      <c r="AI1006" s="25" t="str">
        <f>IF(SUMIFS('Supp Consol'!AA:AA,'Supp Consol'!Z:Z,"Expires this month",'Supp Consol'!A:A,O1006)=0,"",SUMIFS('Supp Consol'!AA:AA,'Supp Consol'!Z:Z,"Expires this month",'Supp Consol'!A:A,O1006))</f>
        <v/>
      </c>
      <c r="AJ1006" s="25" t="str">
        <f>IF(SUMIFS('Supp Consol'!AA:AA,'Supp Consol'!Z:Z,"Expired Previous Months",'Supp Consol'!A:A,O1006)=0,"",SUMIFS('Supp Consol'!AA:AA,'Supp Consol'!Z:Z,"Expired Previous Months",'Supp Consol'!A:A,O1006))</f>
        <v/>
      </c>
      <c r="AK1006" s="25" t="str">
        <f>IFERROR(INDEX('Hun Release Current'!B:B,MATCH(O1006,'Hun Release Current'!A:A,0)),"")</f>
        <v/>
      </c>
      <c r="AL1006" s="25" t="str">
        <f>IF(SUMIF('Prev Aub'!A:A,O1006,'Prev Aub'!B:B)=0,"",SUMIF('Prev Aub'!A:A,O1006,'Prev Aub'!B:B))</f>
        <v/>
      </c>
      <c r="AN1006" s="25" t="s">
        <v>3790</v>
      </c>
      <c r="AO1006" s="25" t="s">
        <v>3790</v>
      </c>
      <c r="AP1006" s="25">
        <f t="shared" si="426"/>
        <v>0</v>
      </c>
      <c r="AQ1006" s="151" t="str">
        <f>IF(SUMIFS('Supp Consol'!S:S,'Supp Consol'!A:A,O1006,'Supp Consol'!I:I,"PENDING")=0,"",SUMIFS('Supp Consol'!S:S,'Supp Consol'!A:A,O1006,'Supp Consol'!I:I,"PENDING"))</f>
        <v/>
      </c>
      <c r="AR1006" s="27" t="str">
        <f t="shared" si="427"/>
        <v>SB348</v>
      </c>
      <c r="AS1006" s="27" t="str">
        <f t="shared" si="428"/>
        <v>62</v>
      </c>
      <c r="AT1006" s="27" t="str">
        <f t="shared" si="429"/>
        <v/>
      </c>
      <c r="AU1006" s="27" t="str">
        <f t="shared" si="430"/>
        <v/>
      </c>
      <c r="AV1006" s="27" t="str">
        <f t="shared" si="431"/>
        <v/>
      </c>
      <c r="AW1006" s="27" t="str">
        <f t="shared" si="432"/>
        <v/>
      </c>
      <c r="AX1006" s="27" t="str">
        <f t="shared" si="433"/>
        <v/>
      </c>
      <c r="AY1006" s="27" t="str">
        <f t="shared" si="434"/>
        <v/>
      </c>
      <c r="AZ1006" s="27" t="str">
        <f t="shared" si="435"/>
        <v/>
      </c>
      <c r="BA1006" s="27" t="str">
        <f t="shared" si="436"/>
        <v/>
      </c>
      <c r="BB1006" s="27" t="str">
        <f t="shared" si="437"/>
        <v>Gross</v>
      </c>
      <c r="BC1006" s="27" t="str">
        <f t="shared" si="438"/>
        <v>Net</v>
      </c>
      <c r="BD1006" s="27" t="str">
        <f t="shared" si="439"/>
        <v>Net</v>
      </c>
      <c r="BE1006" s="27" t="str">
        <f t="shared" si="440"/>
        <v/>
      </c>
      <c r="BF1006" s="27" t="str">
        <f t="shared" si="441"/>
        <v/>
      </c>
      <c r="BG1006" s="27" t="str">
        <f t="shared" si="442"/>
        <v/>
      </c>
      <c r="BH1006" s="27" t="str">
        <f t="shared" si="443"/>
        <v/>
      </c>
      <c r="BI1006" s="27" t="str">
        <f t="shared" si="444"/>
        <v/>
      </c>
      <c r="BJ1006" s="27" t="str">
        <f t="shared" si="445"/>
        <v/>
      </c>
      <c r="BK1006" s="27" t="str">
        <f t="shared" si="446"/>
        <v/>
      </c>
      <c r="BL1006" s="27" t="str">
        <f t="shared" si="447"/>
        <v/>
      </c>
      <c r="BM1006" s="21" t="s">
        <v>5581</v>
      </c>
    </row>
    <row r="1007" spans="1:65" ht="15">
      <c r="A1007" s="25" t="str">
        <f>IFERROR(INDEX('Hun Demand'!W:W,MATCH(O1007,'Hun Demand'!A:A,0)),"")</f>
        <v/>
      </c>
      <c r="B1007" s="25" t="str">
        <f>IFERROR(INDEX('Hun Demand'!V:V,MATCH(O1007,'Hun Demand'!A:A,0)),"")</f>
        <v/>
      </c>
      <c r="C1007" s="25" t="str">
        <f>IFERROR(INDEX('Hun Demand'!U:U,MATCH(O1007,'Hun Demand'!A:A,0)),"")</f>
        <v/>
      </c>
      <c r="D1007" s="25" t="str">
        <f>IFERROR(INDEX('Hun Demand'!T:T,MATCH(O1007,'Hun Demand'!A:A,0)),"")</f>
        <v/>
      </c>
      <c r="E1007" s="25" t="str">
        <f>IFERROR(INDEX('Hun Demand'!S:S,MATCH(O1007,'Hun Demand'!A:A,0)),"")</f>
        <v/>
      </c>
      <c r="F1007" s="25" t="str">
        <f>IFERROR(INDEX('Hun Demand'!R:R,MATCH(O1007,'Hun Demand'!A:A,0)),"")</f>
        <v/>
      </c>
      <c r="G1007" s="25">
        <f>IFERROR(INDEX('Aub Demand'!W:W,MATCH(O1007,'Aub Demand'!A:A,0)),"")</f>
        <v>0</v>
      </c>
      <c r="H1007" s="25">
        <f>IFERROR(INDEX('Aub Demand'!V:V,MATCH(O1007,'Aub Demand'!A:A,0)),"")</f>
        <v>242</v>
      </c>
      <c r="I1007" s="25">
        <f>IFERROR(INDEX('Aub Demand'!U:U,MATCH(O1007,'Aub Demand'!A:A,0)),"")</f>
        <v>244</v>
      </c>
      <c r="J1007" s="25">
        <f>IFERROR(INDEX('Aub Demand'!T:T,MATCH(O1007,'Aub Demand'!A:A,0)),"")</f>
        <v>0</v>
      </c>
      <c r="K1007" s="25">
        <f>IFERROR(INDEX('Aub Demand'!S:S,MATCH(O1007,'Aub Demand'!A:A,0)),"")</f>
        <v>268</v>
      </c>
      <c r="L1007" s="25">
        <f>IFERROR(INDEX('Aub Demand'!R:R,MATCH(O1007,'Aub Demand'!A:A,0)),"")</f>
        <v>0</v>
      </c>
      <c r="O1007" s="27" t="s">
        <v>1392</v>
      </c>
      <c r="P1007" s="27" t="str">
        <f>IFERROR(INDEX('Aub Demand'!B:B,MATCH($O1007,'Aub Demand'!$A:$A,0)),"")</f>
        <v>BLACK UMBER</v>
      </c>
      <c r="Q1007" s="27" t="str">
        <f>IFERROR(INDEX('Aub Demand'!C:C,MATCH($O1007,'Aub Demand'!$A:$A,0)),"")</f>
        <v>ONYX</v>
      </c>
      <c r="R1007" s="52">
        <f>IFERROR(IF(AR1008=AR1007,INDEX('Aub Demand'!K:K,MATCH($O1007,'Aub Demand'!$A:$A,0))-IF(AN1007="",0,AN1007)+AP1008,INDEX('Aub Demand'!K:K,MATCH($O1007,'Aub Demand'!$A:$A,0))-IF(AN1007="",0,AN1007)),"")</f>
        <v>231</v>
      </c>
      <c r="S1007" s="53">
        <f t="shared" si="420"/>
        <v>5.8</v>
      </c>
      <c r="T1007" s="52" t="str">
        <f t="shared" si="421"/>
        <v/>
      </c>
      <c r="U1007" s="52">
        <f>IFERROR(IF(AR1008=AR1007,INDEX('Aub Demand'!Q:Q,MATCH($O1007,'Aub Demand'!$A:$A,0))-IF(AN1007="",0,AN1007)+AP1008,INDEX('Aub Demand'!Q:Q,MATCH($O1007,'Aub Demand'!$A:$A,0))-IF(AN1007="",0,AN1007)),"")</f>
        <v>153</v>
      </c>
      <c r="V1007" s="53">
        <f t="shared" si="422"/>
        <v>3.8</v>
      </c>
      <c r="W1007" s="52" t="str">
        <f t="shared" si="423"/>
        <v/>
      </c>
      <c r="X1007" s="52">
        <f>IFERROR(IF(AND(AR1008=AR1007,AM1007&lt;&gt;""),INDEX('Aub Demand'!Q:Q,MATCH($O1007,'Aub Demand'!$A:$A,0))-IF(AN1007="",0,AN1007)+AP1008+AD1007+AL1007,IF(AR1008=AR1007,INDEX('Aub Demand'!Q:Q,MATCH($O1007,'Aub Demand'!$A:$A,0))-IF(AN1007="",0,AN1007)+AP1008+AD1007,IF(AM1007&lt;&gt;"",INDEX('Aub Demand'!Q:Q,MATCH($O1007,'Aub Demand'!$A:$A,0))-IF(AN1007="",0,AN1007)+AD1007+AL1007,INDEX('Aub Demand'!Q:Q,MATCH($O1007,'Aub Demand'!$A:$A,0))-IF(AN1007="",0,AN1007)+AD1007))),"")</f>
        <v>153</v>
      </c>
      <c r="Y1007" s="53">
        <f t="shared" si="424"/>
        <v>3.8</v>
      </c>
      <c r="Z1007" s="52">
        <f>IF(L1007="","",INDEX('Aub Demand'!H:H,MATCH($O1007,'Aub Demand'!$A:$A,0)))</f>
        <v>171</v>
      </c>
      <c r="AA1007" s="52">
        <f t="shared" si="425"/>
        <v>256</v>
      </c>
      <c r="AB1007" s="52">
        <f>IFERROR(INDEX('Aub Demand'!L:L,MATCH($O1007,'Aub Demand'!$A:$A,0)),"")</f>
        <v>72</v>
      </c>
      <c r="AC1007" s="52">
        <f>IFERROR(IF(O1007="","",SUMIFS('CPL Mats'!F:F,'CPL Mats'!Q:Q,AR1007,'CPL Mats'!S:S,AS1007)),"")</f>
        <v>0</v>
      </c>
      <c r="AF1007" s="25" t="str">
        <f>IF(SUMIFS('Supp Consol'!S:S,'Supp Consol'!Y:Y,"Releasable",'Supp Consol'!A:A,O1007)=0,"",SUMIFS('Supp Consol'!S:S,'Supp Consol'!Y:Y,"Releasable",'Supp Consol'!A:A,O1007))</f>
        <v/>
      </c>
      <c r="AG1007" s="25" t="str">
        <f>IFERROR(INDEX('Hun Demand'!Q:Q,MATCH(O1007,'Hun Demand'!A:A,0)),"")</f>
        <v/>
      </c>
      <c r="AH1007" s="25" t="str">
        <f>IFERROR(INDEX('Hun Demand'!H:H,MATCH($O1007,'Hun Demand'!$A:$A,0)),"")</f>
        <v/>
      </c>
      <c r="AI1007" s="25" t="str">
        <f>IF(SUMIFS('Supp Consol'!AA:AA,'Supp Consol'!Z:Z,"Expires this month",'Supp Consol'!A:A,O1007)=0,"",SUMIFS('Supp Consol'!AA:AA,'Supp Consol'!Z:Z,"Expires this month",'Supp Consol'!A:A,O1007))</f>
        <v/>
      </c>
      <c r="AJ1007" s="25" t="str">
        <f>IF(SUMIFS('Supp Consol'!AA:AA,'Supp Consol'!Z:Z,"Expired Previous Months",'Supp Consol'!A:A,O1007)=0,"",SUMIFS('Supp Consol'!AA:AA,'Supp Consol'!Z:Z,"Expired Previous Months",'Supp Consol'!A:A,O1007))</f>
        <v/>
      </c>
      <c r="AK1007" s="25" t="str">
        <f>IFERROR(INDEX('Hun Release Current'!B:B,MATCH(O1007,'Hun Release Current'!A:A,0)),"")</f>
        <v/>
      </c>
      <c r="AL1007" s="25" t="str">
        <f>IF(SUMIF('Prev Aub'!A:A,O1007,'Prev Aub'!B:B)=0,"",SUMIF('Prev Aub'!A:A,O1007,'Prev Aub'!B:B))</f>
        <v/>
      </c>
      <c r="AN1007" s="25" t="s">
        <v>3790</v>
      </c>
      <c r="AO1007" s="25" t="s">
        <v>3790</v>
      </c>
      <c r="AP1007" s="25">
        <f t="shared" si="426"/>
        <v>0</v>
      </c>
      <c r="AQ1007" s="151" t="str">
        <f>IF(SUMIFS('Supp Consol'!S:S,'Supp Consol'!A:A,O1007,'Supp Consol'!I:I,"PENDING")=0,"",SUMIFS('Supp Consol'!S:S,'Supp Consol'!A:A,O1007,'Supp Consol'!I:I,"PENDING"))</f>
        <v/>
      </c>
      <c r="AR1007" s="27" t="str">
        <f t="shared" si="427"/>
        <v>SE105</v>
      </c>
      <c r="AS1007" s="27" t="str">
        <f t="shared" si="428"/>
        <v>50</v>
      </c>
      <c r="AT1007" s="27" t="str">
        <f t="shared" si="429"/>
        <v/>
      </c>
      <c r="AU1007" s="27" t="str">
        <f t="shared" si="430"/>
        <v/>
      </c>
      <c r="AV1007" s="27" t="str">
        <f t="shared" si="431"/>
        <v/>
      </c>
      <c r="AW1007" s="27" t="str">
        <f t="shared" si="432"/>
        <v/>
      </c>
      <c r="AX1007" s="27" t="str">
        <f t="shared" si="433"/>
        <v/>
      </c>
      <c r="AY1007" s="27" t="str">
        <f t="shared" si="434"/>
        <v/>
      </c>
      <c r="AZ1007" s="27" t="str">
        <f t="shared" si="435"/>
        <v>Supp</v>
      </c>
      <c r="BA1007" s="27" t="str">
        <f t="shared" si="436"/>
        <v/>
      </c>
      <c r="BB1007" s="27" t="str">
        <f t="shared" si="437"/>
        <v/>
      </c>
      <c r="BC1007" s="27" t="str">
        <f t="shared" si="438"/>
        <v/>
      </c>
      <c r="BD1007" s="27" t="str">
        <f t="shared" si="439"/>
        <v/>
      </c>
      <c r="BE1007" s="27" t="str">
        <f t="shared" si="440"/>
        <v>Exp</v>
      </c>
      <c r="BF1007" s="27" t="str">
        <f t="shared" si="441"/>
        <v/>
      </c>
      <c r="BG1007" s="27" t="str">
        <f t="shared" si="442"/>
        <v>S+NorE</v>
      </c>
      <c r="BH1007" s="27" t="str">
        <f t="shared" si="443"/>
        <v/>
      </c>
      <c r="BI1007" s="27" t="str">
        <f t="shared" si="444"/>
        <v/>
      </c>
      <c r="BJ1007" s="27" t="str">
        <f t="shared" si="445"/>
        <v>Supp or Hun</v>
      </c>
      <c r="BK1007" s="27" t="str">
        <f t="shared" si="446"/>
        <v/>
      </c>
      <c r="BL1007" s="27" t="str">
        <f t="shared" si="447"/>
        <v>SorHandNandE</v>
      </c>
      <c r="BM1007" s="21" t="s">
        <v>5581</v>
      </c>
    </row>
    <row r="1008" spans="1:65" ht="15">
      <c r="A1008" s="25" t="str">
        <f>IFERROR(INDEX('Hun Demand'!W:W,MATCH(O1008,'Hun Demand'!A:A,0)),"")</f>
        <v/>
      </c>
      <c r="B1008" s="25" t="str">
        <f>IFERROR(INDEX('Hun Demand'!V:V,MATCH(O1008,'Hun Demand'!A:A,0)),"")</f>
        <v/>
      </c>
      <c r="C1008" s="25" t="str">
        <f>IFERROR(INDEX('Hun Demand'!U:U,MATCH(O1008,'Hun Demand'!A:A,0)),"")</f>
        <v/>
      </c>
      <c r="D1008" s="25" t="str">
        <f>IFERROR(INDEX('Hun Demand'!T:T,MATCH(O1008,'Hun Demand'!A:A,0)),"")</f>
        <v/>
      </c>
      <c r="E1008" s="25" t="str">
        <f>IFERROR(INDEX('Hun Demand'!S:S,MATCH(O1008,'Hun Demand'!A:A,0)),"")</f>
        <v/>
      </c>
      <c r="F1008" s="25" t="str">
        <f>IFERROR(INDEX('Hun Demand'!R:R,MATCH(O1008,'Hun Demand'!A:A,0)),"")</f>
        <v/>
      </c>
      <c r="G1008" s="25">
        <f>IFERROR(INDEX('Aub Demand'!W:W,MATCH(O1008,'Aub Demand'!A:A,0)),"")</f>
        <v>624</v>
      </c>
      <c r="H1008" s="25">
        <f>IFERROR(INDEX('Aub Demand'!V:V,MATCH(O1008,'Aub Demand'!A:A,0)),"")</f>
        <v>0</v>
      </c>
      <c r="I1008" s="25">
        <f>IFERROR(INDEX('Aub Demand'!U:U,MATCH(O1008,'Aub Demand'!A:A,0)),"")</f>
        <v>26</v>
      </c>
      <c r="J1008" s="25">
        <f>IFERROR(INDEX('Aub Demand'!T:T,MATCH(O1008,'Aub Demand'!A:A,0)),"")</f>
        <v>0</v>
      </c>
      <c r="K1008" s="25">
        <f>IFERROR(INDEX('Aub Demand'!S:S,MATCH(O1008,'Aub Demand'!A:A,0)),"")</f>
        <v>345</v>
      </c>
      <c r="L1008" s="25">
        <f>IFERROR(INDEX('Aub Demand'!R:R,MATCH(O1008,'Aub Demand'!A:A,0)),"")</f>
        <v>0</v>
      </c>
      <c r="O1008" s="27" t="s">
        <v>1394</v>
      </c>
      <c r="P1008" s="27" t="str">
        <f>IFERROR(INDEX('Aub Demand'!B:B,MATCH($O1008,'Aub Demand'!$A:$A,0)),"")</f>
        <v>BLACK UMBER</v>
      </c>
      <c r="Q1008" s="27" t="str">
        <f>IFERROR(INDEX('Aub Demand'!C:C,MATCH($O1008,'Aub Demand'!$A:$A,0)),"")</f>
        <v>ONYX</v>
      </c>
      <c r="R1008" s="52">
        <f>IFERROR(IF(AR1009=AR1008,INDEX('Aub Demand'!K:K,MATCH($O1008,'Aub Demand'!$A:$A,0))-IF(AN1008="",0,AN1008)+AP1009,INDEX('Aub Demand'!K:K,MATCH($O1008,'Aub Demand'!$A:$A,0))-IF(AN1008="",0,AN1008)),"")</f>
        <v>393</v>
      </c>
      <c r="S1008" s="53">
        <f t="shared" si="420"/>
        <v>13.6</v>
      </c>
      <c r="T1008" s="52" t="str">
        <f t="shared" si="421"/>
        <v/>
      </c>
      <c r="U1008" s="52">
        <f>IFERROR(IF(AR1009=AR1008,INDEX('Aub Demand'!Q:Q,MATCH($O1008,'Aub Demand'!$A:$A,0))-IF(AN1008="",0,AN1008)+AP1009,INDEX('Aub Demand'!Q:Q,MATCH($O1008,'Aub Demand'!$A:$A,0))-IF(AN1008="",0,AN1008)),"")</f>
        <v>68</v>
      </c>
      <c r="V1008" s="53">
        <f t="shared" si="422"/>
        <v>2.4</v>
      </c>
      <c r="W1008" s="52">
        <f t="shared" si="423"/>
        <v>27.825000000000003</v>
      </c>
      <c r="X1008" s="52">
        <f>IFERROR(IF(AND(AR1009=AR1008,AM1008&lt;&gt;""),INDEX('Aub Demand'!Q:Q,MATCH($O1008,'Aub Demand'!$A:$A,0))-IF(AN1008="",0,AN1008)+AP1009+AD1008+AL1008,IF(AR1009=AR1008,INDEX('Aub Demand'!Q:Q,MATCH($O1008,'Aub Demand'!$A:$A,0))-IF(AN1008="",0,AN1008)+AP1009+AD1008,IF(AM1008&lt;&gt;"",INDEX('Aub Demand'!Q:Q,MATCH($O1008,'Aub Demand'!$A:$A,0))-IF(AN1008="",0,AN1008)+AD1008+AL1008,INDEX('Aub Demand'!Q:Q,MATCH($O1008,'Aub Demand'!$A:$A,0))-IF(AN1008="",0,AN1008)+AD1008))),"")</f>
        <v>568</v>
      </c>
      <c r="Y1008" s="53">
        <f t="shared" si="424"/>
        <v>19.600000000000001</v>
      </c>
      <c r="Z1008" s="52">
        <f>IF(L1008="","",INDEX('Aub Demand'!H:H,MATCH($O1008,'Aub Demand'!$A:$A,0)))</f>
        <v>124</v>
      </c>
      <c r="AA1008" s="52">
        <f t="shared" si="425"/>
        <v>185.5</v>
      </c>
      <c r="AB1008" s="52">
        <f>IFERROR(INDEX('Aub Demand'!L:L,MATCH($O1008,'Aub Demand'!$A:$A,0)),"")</f>
        <v>118</v>
      </c>
      <c r="AC1008" s="52">
        <f>IFERROR(IF(O1008="","",SUMIFS('CPL Mats'!F:F,'CPL Mats'!Q:Q,AR1008,'CPL Mats'!S:S,AS1008)),"")</f>
        <v>0</v>
      </c>
      <c r="AF1008" s="25">
        <f>IF(SUMIFS('Supp Consol'!S:S,'Supp Consol'!Y:Y,"Releasable",'Supp Consol'!A:A,O1008)=0,"",SUMIFS('Supp Consol'!S:S,'Supp Consol'!Y:Y,"Releasable",'Supp Consol'!A:A,O1008))</f>
        <v>965</v>
      </c>
      <c r="AG1008" s="25" t="str">
        <f>IFERROR(INDEX('Hun Demand'!Q:Q,MATCH(O1008,'Hun Demand'!A:A,0)),"")</f>
        <v/>
      </c>
      <c r="AH1008" s="25" t="str">
        <f>IFERROR(INDEX('Hun Demand'!H:H,MATCH($O1008,'Hun Demand'!$A:$A,0)),"")</f>
        <v/>
      </c>
      <c r="AI1008" s="25">
        <f>IF(SUMIFS('Supp Consol'!AA:AA,'Supp Consol'!Z:Z,"Expires this month",'Supp Consol'!A:A,O1008)=0,"",SUMIFS('Supp Consol'!AA:AA,'Supp Consol'!Z:Z,"Expires this month",'Supp Consol'!A:A,O1008))</f>
        <v>965</v>
      </c>
      <c r="AJ1008" s="25" t="str">
        <f>IF(SUMIFS('Supp Consol'!AA:AA,'Supp Consol'!Z:Z,"Expired Previous Months",'Supp Consol'!A:A,O1008)=0,"",SUMIFS('Supp Consol'!AA:AA,'Supp Consol'!Z:Z,"Expired Previous Months",'Supp Consol'!A:A,O1008))</f>
        <v/>
      </c>
      <c r="AK1008" s="25" t="str">
        <f>IFERROR(INDEX('Hun Release Current'!B:B,MATCH(O1008,'Hun Release Current'!A:A,0)),"")</f>
        <v/>
      </c>
      <c r="AL1008" s="25">
        <f>IF(SUMIF('Prev Aub'!A:A,O1008,'Prev Aub'!B:B)=0,"",SUMIF('Prev Aub'!A:A,O1008,'Prev Aub'!B:B))</f>
        <v>500</v>
      </c>
      <c r="AM1008" s="52" t="s">
        <v>3891</v>
      </c>
      <c r="AN1008" s="25">
        <v>250</v>
      </c>
      <c r="AO1008" s="25" t="s">
        <v>3790</v>
      </c>
      <c r="AP1008" s="25">
        <f t="shared" si="426"/>
        <v>200</v>
      </c>
      <c r="AQ1008" s="151" t="str">
        <f>IF(SUMIFS('Supp Consol'!S:S,'Supp Consol'!A:A,O1008,'Supp Consol'!I:I,"PENDING")=0,"",SUMIFS('Supp Consol'!S:S,'Supp Consol'!A:A,O1008,'Supp Consol'!I:I,"PENDING"))</f>
        <v/>
      </c>
      <c r="AR1008" s="27" t="str">
        <f t="shared" si="427"/>
        <v>SE105</v>
      </c>
      <c r="AS1008" s="27" t="str">
        <f t="shared" si="428"/>
        <v>62</v>
      </c>
      <c r="AT1008" s="27" t="str">
        <f t="shared" si="429"/>
        <v/>
      </c>
      <c r="AU1008" s="27" t="str">
        <f t="shared" si="430"/>
        <v/>
      </c>
      <c r="AV1008" s="27" t="str">
        <f t="shared" si="431"/>
        <v/>
      </c>
      <c r="AW1008" s="27" t="str">
        <f t="shared" si="432"/>
        <v>SE105</v>
      </c>
      <c r="AX1008" s="27" t="str">
        <f t="shared" si="433"/>
        <v>SE105</v>
      </c>
      <c r="AY1008" s="27" t="str">
        <f t="shared" si="434"/>
        <v/>
      </c>
      <c r="AZ1008" s="27" t="str">
        <f t="shared" si="435"/>
        <v>Supp</v>
      </c>
      <c r="BA1008" s="27" t="str">
        <f t="shared" si="436"/>
        <v/>
      </c>
      <c r="BB1008" s="27" t="str">
        <f t="shared" si="437"/>
        <v/>
      </c>
      <c r="BC1008" s="27" t="str">
        <f t="shared" si="438"/>
        <v/>
      </c>
      <c r="BD1008" s="27" t="str">
        <f t="shared" si="439"/>
        <v/>
      </c>
      <c r="BE1008" s="27" t="str">
        <f t="shared" si="440"/>
        <v>Exp</v>
      </c>
      <c r="BF1008" s="27" t="str">
        <f t="shared" si="441"/>
        <v/>
      </c>
      <c r="BG1008" s="27" t="str">
        <f t="shared" si="442"/>
        <v>S+NorE</v>
      </c>
      <c r="BH1008" s="27" t="str">
        <f t="shared" si="443"/>
        <v/>
      </c>
      <c r="BI1008" s="27" t="str">
        <f t="shared" si="444"/>
        <v/>
      </c>
      <c r="BJ1008" s="27" t="str">
        <f t="shared" si="445"/>
        <v>Supp or Hun</v>
      </c>
      <c r="BK1008" s="27" t="str">
        <f t="shared" si="446"/>
        <v/>
      </c>
      <c r="BL1008" s="27" t="str">
        <f t="shared" si="447"/>
        <v>SorHandNandE</v>
      </c>
      <c r="BM1008" s="21" t="s">
        <v>5581</v>
      </c>
    </row>
    <row r="1009" spans="1:65" ht="15">
      <c r="A1009" s="25" t="str">
        <f>IFERROR(INDEX('Hun Demand'!W:W,MATCH(O1009,'Hun Demand'!A:A,0)),"")</f>
        <v/>
      </c>
      <c r="B1009" s="25" t="str">
        <f>IFERROR(INDEX('Hun Demand'!V:V,MATCH(O1009,'Hun Demand'!A:A,0)),"")</f>
        <v/>
      </c>
      <c r="C1009" s="25" t="str">
        <f>IFERROR(INDEX('Hun Demand'!U:U,MATCH(O1009,'Hun Demand'!A:A,0)),"")</f>
        <v/>
      </c>
      <c r="D1009" s="25" t="str">
        <f>IFERROR(INDEX('Hun Demand'!T:T,MATCH(O1009,'Hun Demand'!A:A,0)),"")</f>
        <v/>
      </c>
      <c r="E1009" s="25" t="str">
        <f>IFERROR(INDEX('Hun Demand'!S:S,MATCH(O1009,'Hun Demand'!A:A,0)),"")</f>
        <v/>
      </c>
      <c r="F1009" s="25" t="str">
        <f>IFERROR(INDEX('Hun Demand'!R:R,MATCH(O1009,'Hun Demand'!A:A,0)),"")</f>
        <v/>
      </c>
      <c r="G1009" s="25">
        <f>IFERROR(INDEX('Aub Demand'!W:W,MATCH(O1009,'Aub Demand'!A:A,0)),"")</f>
        <v>158</v>
      </c>
      <c r="H1009" s="25">
        <f>IFERROR(INDEX('Aub Demand'!V:V,MATCH(O1009,'Aub Demand'!A:A,0)),"")</f>
        <v>268</v>
      </c>
      <c r="I1009" s="25">
        <f>IFERROR(INDEX('Aub Demand'!U:U,MATCH(O1009,'Aub Demand'!A:A,0)),"")</f>
        <v>84</v>
      </c>
      <c r="J1009" s="25">
        <f>IFERROR(INDEX('Aub Demand'!T:T,MATCH(O1009,'Aub Demand'!A:A,0)),"")</f>
        <v>232</v>
      </c>
      <c r="K1009" s="25">
        <f>IFERROR(INDEX('Aub Demand'!S:S,MATCH(O1009,'Aub Demand'!A:A,0)),"")</f>
        <v>255</v>
      </c>
      <c r="L1009" s="25">
        <f>IFERROR(INDEX('Aub Demand'!R:R,MATCH(O1009,'Aub Demand'!A:A,0)),"")</f>
        <v>0</v>
      </c>
      <c r="O1009" s="27" t="s">
        <v>1395</v>
      </c>
      <c r="P1009" s="27" t="str">
        <f>IFERROR(INDEX('Aub Demand'!B:B,MATCH($O1009,'Aub Demand'!$A:$A,0)),"")</f>
        <v>BLACKJACK</v>
      </c>
      <c r="Q1009" s="27" t="str">
        <f>IFERROR(INDEX('Aub Demand'!C:C,MATCH($O1009,'Aub Demand'!$A:$A,0)),"")</f>
        <v>ONYX</v>
      </c>
      <c r="R1009" s="52">
        <f>IFERROR(IF(AR1010=AR1009,INDEX('Aub Demand'!K:K,MATCH($O1009,'Aub Demand'!$A:$A,0))-IF(AN1009="",0,AN1009)+AP1010,INDEX('Aub Demand'!K:K,MATCH($O1009,'Aub Demand'!$A:$A,0))-IF(AN1009="",0,AN1009)),"")</f>
        <v>4650</v>
      </c>
      <c r="S1009" s="53">
        <f t="shared" si="420"/>
        <v>104.9</v>
      </c>
      <c r="T1009" s="52" t="str">
        <f t="shared" si="421"/>
        <v/>
      </c>
      <c r="U1009" s="52">
        <f>IFERROR(IF(AR1010=AR1009,INDEX('Aub Demand'!Q:Q,MATCH($O1009,'Aub Demand'!$A:$A,0))-IF(AN1009="",0,AN1009)+AP1010,INDEX('Aub Demand'!Q:Q,MATCH($O1009,'Aub Demand'!$A:$A,0))-IF(AN1009="",0,AN1009)),"")</f>
        <v>4573</v>
      </c>
      <c r="V1009" s="53">
        <f t="shared" si="422"/>
        <v>103.2</v>
      </c>
      <c r="W1009" s="52" t="str">
        <f t="shared" si="423"/>
        <v/>
      </c>
      <c r="X1009" s="52">
        <f>IFERROR(IF(AND(AR1010=AR1009,AM1009&lt;&gt;""),INDEX('Aub Demand'!Q:Q,MATCH($O1009,'Aub Demand'!$A:$A,0))-IF(AN1009="",0,AN1009)+AP1010+AD1009+AL1009,IF(AR1010=AR1009,INDEX('Aub Demand'!Q:Q,MATCH($O1009,'Aub Demand'!$A:$A,0))-IF(AN1009="",0,AN1009)+AP1010+AD1009,IF(AM1009&lt;&gt;"",INDEX('Aub Demand'!Q:Q,MATCH($O1009,'Aub Demand'!$A:$A,0))-IF(AN1009="",0,AN1009)+AD1009+AL1009,INDEX('Aub Demand'!Q:Q,MATCH($O1009,'Aub Demand'!$A:$A,0))-IF(AN1009="",0,AN1009)+AD1009))),"")</f>
        <v>4573</v>
      </c>
      <c r="Y1009" s="53">
        <f t="shared" si="424"/>
        <v>103.2</v>
      </c>
      <c r="Z1009" s="52">
        <f>IF(L1009="","",INDEX('Aub Demand'!H:H,MATCH($O1009,'Aub Demand'!$A:$A,0)))</f>
        <v>190</v>
      </c>
      <c r="AA1009" s="52">
        <f t="shared" si="425"/>
        <v>243.5</v>
      </c>
      <c r="AB1009" s="52">
        <f>IFERROR(INDEX('Aub Demand'!L:L,MATCH($O1009,'Aub Demand'!$A:$A,0)),"")</f>
        <v>207</v>
      </c>
      <c r="AC1009" s="52">
        <f>IFERROR(IF(O1009="","",SUMIFS('CPL Mats'!F:F,'CPL Mats'!Q:Q,AR1009,'CPL Mats'!S:S,AS1009)),"")</f>
        <v>0</v>
      </c>
      <c r="AF1009" s="25" t="str">
        <f>IF(SUMIFS('Supp Consol'!S:S,'Supp Consol'!Y:Y,"Releasable",'Supp Consol'!A:A,O1009)=0,"",SUMIFS('Supp Consol'!S:S,'Supp Consol'!Y:Y,"Releasable",'Supp Consol'!A:A,O1009))</f>
        <v/>
      </c>
      <c r="AG1009" s="25" t="str">
        <f>IFERROR(INDEX('Hun Demand'!Q:Q,MATCH(O1009,'Hun Demand'!A:A,0)),"")</f>
        <v/>
      </c>
      <c r="AH1009" s="25" t="str">
        <f>IFERROR(INDEX('Hun Demand'!H:H,MATCH($O1009,'Hun Demand'!$A:$A,0)),"")</f>
        <v/>
      </c>
      <c r="AI1009" s="25" t="str">
        <f>IF(SUMIFS('Supp Consol'!AA:AA,'Supp Consol'!Z:Z,"Expires this month",'Supp Consol'!A:A,O1009)=0,"",SUMIFS('Supp Consol'!AA:AA,'Supp Consol'!Z:Z,"Expires this month",'Supp Consol'!A:A,O1009))</f>
        <v/>
      </c>
      <c r="AJ1009" s="25" t="str">
        <f>IF(SUMIFS('Supp Consol'!AA:AA,'Supp Consol'!Z:Z,"Expired Previous Months",'Supp Consol'!A:A,O1009)=0,"",SUMIFS('Supp Consol'!AA:AA,'Supp Consol'!Z:Z,"Expired Previous Months",'Supp Consol'!A:A,O1009))</f>
        <v/>
      </c>
      <c r="AK1009" s="25" t="str">
        <f>IFERROR(INDEX('Hun Release Current'!B:B,MATCH(O1009,'Hun Release Current'!A:A,0)),"")</f>
        <v/>
      </c>
      <c r="AL1009" s="25" t="str">
        <f>IF(SUMIF('Prev Aub'!A:A,O1009,'Prev Aub'!B:B)=0,"",SUMIF('Prev Aub'!A:A,O1009,'Prev Aub'!B:B))</f>
        <v/>
      </c>
      <c r="AN1009" s="25" t="s">
        <v>3790</v>
      </c>
      <c r="AO1009" s="25" t="s">
        <v>3790</v>
      </c>
      <c r="AP1009" s="25">
        <f t="shared" si="426"/>
        <v>0</v>
      </c>
      <c r="AQ1009" s="151" t="str">
        <f>IF(SUMIFS('Supp Consol'!S:S,'Supp Consol'!A:A,O1009,'Supp Consol'!I:I,"PENDING")=0,"",SUMIFS('Supp Consol'!S:S,'Supp Consol'!A:A,O1009,'Supp Consol'!I:I,"PENDING"))</f>
        <v/>
      </c>
      <c r="AR1009" s="27" t="str">
        <f t="shared" si="427"/>
        <v>SE113</v>
      </c>
      <c r="AS1009" s="27" t="str">
        <f t="shared" si="428"/>
        <v>50</v>
      </c>
      <c r="AT1009" s="27" t="str">
        <f t="shared" si="429"/>
        <v/>
      </c>
      <c r="AU1009" s="27" t="str">
        <f t="shared" si="430"/>
        <v/>
      </c>
      <c r="AV1009" s="27" t="str">
        <f t="shared" si="431"/>
        <v/>
      </c>
      <c r="AW1009" s="27" t="str">
        <f t="shared" si="432"/>
        <v/>
      </c>
      <c r="AX1009" s="27" t="str">
        <f t="shared" si="433"/>
        <v/>
      </c>
      <c r="AY1009" s="27" t="str">
        <f t="shared" si="434"/>
        <v/>
      </c>
      <c r="AZ1009" s="27" t="str">
        <f t="shared" si="435"/>
        <v/>
      </c>
      <c r="BA1009" s="27" t="str">
        <f t="shared" si="436"/>
        <v/>
      </c>
      <c r="BB1009" s="27" t="str">
        <f t="shared" si="437"/>
        <v/>
      </c>
      <c r="BC1009" s="27" t="str">
        <f t="shared" si="438"/>
        <v/>
      </c>
      <c r="BD1009" s="27" t="str">
        <f t="shared" si="439"/>
        <v/>
      </c>
      <c r="BE1009" s="27" t="str">
        <f t="shared" si="440"/>
        <v/>
      </c>
      <c r="BF1009" s="27" t="str">
        <f t="shared" si="441"/>
        <v/>
      </c>
      <c r="BG1009" s="27" t="str">
        <f t="shared" si="442"/>
        <v/>
      </c>
      <c r="BH1009" s="27" t="str">
        <f t="shared" si="443"/>
        <v/>
      </c>
      <c r="BI1009" s="27" t="str">
        <f t="shared" si="444"/>
        <v/>
      </c>
      <c r="BJ1009" s="27" t="str">
        <f t="shared" si="445"/>
        <v/>
      </c>
      <c r="BK1009" s="27" t="str">
        <f t="shared" si="446"/>
        <v/>
      </c>
      <c r="BL1009" s="27" t="str">
        <f t="shared" si="447"/>
        <v/>
      </c>
      <c r="BM1009" s="21" t="s">
        <v>5581</v>
      </c>
    </row>
    <row r="1010" spans="1:65" ht="15">
      <c r="A1010" s="25" t="str">
        <f>IFERROR(INDEX('Hun Demand'!W:W,MATCH(O1010,'Hun Demand'!A:A,0)),"")</f>
        <v/>
      </c>
      <c r="B1010" s="25" t="str">
        <f>IFERROR(INDEX('Hun Demand'!V:V,MATCH(O1010,'Hun Demand'!A:A,0)),"")</f>
        <v/>
      </c>
      <c r="C1010" s="25" t="str">
        <f>IFERROR(INDEX('Hun Demand'!U:U,MATCH(O1010,'Hun Demand'!A:A,0)),"")</f>
        <v/>
      </c>
      <c r="D1010" s="25" t="str">
        <f>IFERROR(INDEX('Hun Demand'!T:T,MATCH(O1010,'Hun Demand'!A:A,0)),"")</f>
        <v/>
      </c>
      <c r="E1010" s="25" t="str">
        <f>IFERROR(INDEX('Hun Demand'!S:S,MATCH(O1010,'Hun Demand'!A:A,0)),"")</f>
        <v/>
      </c>
      <c r="F1010" s="25" t="str">
        <f>IFERROR(INDEX('Hun Demand'!R:R,MATCH(O1010,'Hun Demand'!A:A,0)),"")</f>
        <v/>
      </c>
      <c r="G1010" s="25">
        <f>IFERROR(INDEX('Aub Demand'!W:W,MATCH(O1010,'Aub Demand'!A:A,0)),"")</f>
        <v>173</v>
      </c>
      <c r="H1010" s="25">
        <f>IFERROR(INDEX('Aub Demand'!V:V,MATCH(O1010,'Aub Demand'!A:A,0)),"")</f>
        <v>26</v>
      </c>
      <c r="I1010" s="25">
        <f>IFERROR(INDEX('Aub Demand'!U:U,MATCH(O1010,'Aub Demand'!A:A,0)),"")</f>
        <v>254</v>
      </c>
      <c r="J1010" s="25">
        <f>IFERROR(INDEX('Aub Demand'!T:T,MATCH(O1010,'Aub Demand'!A:A,0)),"")</f>
        <v>0</v>
      </c>
      <c r="K1010" s="25">
        <f>IFERROR(INDEX('Aub Demand'!S:S,MATCH(O1010,'Aub Demand'!A:A,0)),"")</f>
        <v>161</v>
      </c>
      <c r="L1010" s="25">
        <f>IFERROR(INDEX('Aub Demand'!R:R,MATCH(O1010,'Aub Demand'!A:A,0)),"")</f>
        <v>0</v>
      </c>
      <c r="O1010" s="27" t="s">
        <v>1398</v>
      </c>
      <c r="P1010" s="27" t="str">
        <f>IFERROR(INDEX('Aub Demand'!B:B,MATCH($O1010,'Aub Demand'!$A:$A,0)),"")</f>
        <v>BLACKJACK</v>
      </c>
      <c r="Q1010" s="27" t="str">
        <f>IFERROR(INDEX('Aub Demand'!C:C,MATCH($O1010,'Aub Demand'!$A:$A,0)),"")</f>
        <v>ONYX</v>
      </c>
      <c r="R1010" s="52">
        <f>IFERROR(IF(AR1011=AR1010,INDEX('Aub Demand'!K:K,MATCH($O1010,'Aub Demand'!$A:$A,0))-IF(AN1010="",0,AN1010)+AP1011,INDEX('Aub Demand'!K:K,MATCH($O1010,'Aub Demand'!$A:$A,0))-IF(AN1010="",0,AN1010)),"")</f>
        <v>4682</v>
      </c>
      <c r="S1010" s="53">
        <f t="shared" si="420"/>
        <v>145.4</v>
      </c>
      <c r="T1010" s="52" t="str">
        <f t="shared" si="421"/>
        <v/>
      </c>
      <c r="U1010" s="52">
        <f>IFERROR(IF(AR1011=AR1010,INDEX('Aub Demand'!Q:Q,MATCH($O1010,'Aub Demand'!$A:$A,0))-IF(AN1010="",0,AN1010)+AP1011,INDEX('Aub Demand'!Q:Q,MATCH($O1010,'Aub Demand'!$A:$A,0))-IF(AN1010="",0,AN1010)),"")</f>
        <v>4589</v>
      </c>
      <c r="V1010" s="53">
        <f t="shared" si="422"/>
        <v>142.5</v>
      </c>
      <c r="W1010" s="52" t="str">
        <f t="shared" si="423"/>
        <v/>
      </c>
      <c r="X1010" s="52">
        <f>IFERROR(IF(AND(AR1011=AR1010,AM1010&lt;&gt;""),INDEX('Aub Demand'!Q:Q,MATCH($O1010,'Aub Demand'!$A:$A,0))-IF(AN1010="",0,AN1010)+AP1011+AD1010+AL1010,IF(AR1011=AR1010,INDEX('Aub Demand'!Q:Q,MATCH($O1010,'Aub Demand'!$A:$A,0))-IF(AN1010="",0,AN1010)+AP1011+AD1010,IF(AM1010&lt;&gt;"",INDEX('Aub Demand'!Q:Q,MATCH($O1010,'Aub Demand'!$A:$A,0))-IF(AN1010="",0,AN1010)+AD1010+AL1010,INDEX('Aub Demand'!Q:Q,MATCH($O1010,'Aub Demand'!$A:$A,0))-IF(AN1010="",0,AN1010)+AD1010))),"")</f>
        <v>4589</v>
      </c>
      <c r="Y1010" s="53">
        <f t="shared" si="424"/>
        <v>142.5</v>
      </c>
      <c r="Z1010" s="52">
        <f>IF(L1010="","",INDEX('Aub Demand'!H:H,MATCH($O1010,'Aub Demand'!$A:$A,0)))</f>
        <v>138</v>
      </c>
      <c r="AA1010" s="52">
        <f t="shared" si="425"/>
        <v>207.5</v>
      </c>
      <c r="AB1010" s="52">
        <f>IFERROR(INDEX('Aub Demand'!L:L,MATCH($O1010,'Aub Demand'!$A:$A,0)),"")</f>
        <v>0</v>
      </c>
      <c r="AC1010" s="52">
        <f>IFERROR(IF(O1010="","",SUMIFS('CPL Mats'!F:F,'CPL Mats'!Q:Q,AR1010,'CPL Mats'!S:S,AS1010)),"")</f>
        <v>0</v>
      </c>
      <c r="AF1010" s="25" t="str">
        <f>IF(SUMIFS('Supp Consol'!S:S,'Supp Consol'!Y:Y,"Releasable",'Supp Consol'!A:A,O1010)=0,"",SUMIFS('Supp Consol'!S:S,'Supp Consol'!Y:Y,"Releasable",'Supp Consol'!A:A,O1010))</f>
        <v/>
      </c>
      <c r="AG1010" s="25" t="str">
        <f>IFERROR(INDEX('Hun Demand'!Q:Q,MATCH(O1010,'Hun Demand'!A:A,0)),"")</f>
        <v/>
      </c>
      <c r="AH1010" s="25" t="str">
        <f>IFERROR(INDEX('Hun Demand'!H:H,MATCH($O1010,'Hun Demand'!$A:$A,0)),"")</f>
        <v/>
      </c>
      <c r="AI1010" s="25" t="str">
        <f>IF(SUMIFS('Supp Consol'!AA:AA,'Supp Consol'!Z:Z,"Expires this month",'Supp Consol'!A:A,O1010)=0,"",SUMIFS('Supp Consol'!AA:AA,'Supp Consol'!Z:Z,"Expires this month",'Supp Consol'!A:A,O1010))</f>
        <v/>
      </c>
      <c r="AJ1010" s="25" t="str">
        <f>IF(SUMIFS('Supp Consol'!AA:AA,'Supp Consol'!Z:Z,"Expired Previous Months",'Supp Consol'!A:A,O1010)=0,"",SUMIFS('Supp Consol'!AA:AA,'Supp Consol'!Z:Z,"Expired Previous Months",'Supp Consol'!A:A,O1010))</f>
        <v/>
      </c>
      <c r="AK1010" s="25" t="str">
        <f>IFERROR(INDEX('Hun Release Current'!B:B,MATCH(O1010,'Hun Release Current'!A:A,0)),"")</f>
        <v/>
      </c>
      <c r="AL1010" s="25" t="str">
        <f>IF(SUMIF('Prev Aub'!A:A,O1010,'Prev Aub'!B:B)=0,"",SUMIF('Prev Aub'!A:A,O1010,'Prev Aub'!B:B))</f>
        <v/>
      </c>
      <c r="AN1010" s="25" t="s">
        <v>3790</v>
      </c>
      <c r="AO1010" s="25" t="s">
        <v>3790</v>
      </c>
      <c r="AP1010" s="25">
        <f t="shared" si="426"/>
        <v>0</v>
      </c>
      <c r="AQ1010" s="151" t="str">
        <f>IF(SUMIFS('Supp Consol'!S:S,'Supp Consol'!A:A,O1010,'Supp Consol'!I:I,"PENDING")=0,"",SUMIFS('Supp Consol'!S:S,'Supp Consol'!A:A,O1010,'Supp Consol'!I:I,"PENDING"))</f>
        <v/>
      </c>
      <c r="AR1010" s="27" t="str">
        <f t="shared" si="427"/>
        <v>SE113</v>
      </c>
      <c r="AS1010" s="27" t="str">
        <f t="shared" si="428"/>
        <v>62</v>
      </c>
      <c r="AT1010" s="27" t="str">
        <f t="shared" si="429"/>
        <v/>
      </c>
      <c r="AU1010" s="27" t="str">
        <f t="shared" si="430"/>
        <v/>
      </c>
      <c r="AV1010" s="27" t="str">
        <f t="shared" si="431"/>
        <v/>
      </c>
      <c r="AW1010" s="27" t="str">
        <f t="shared" si="432"/>
        <v/>
      </c>
      <c r="AX1010" s="27" t="str">
        <f t="shared" si="433"/>
        <v/>
      </c>
      <c r="AY1010" s="27" t="str">
        <f t="shared" si="434"/>
        <v/>
      </c>
      <c r="AZ1010" s="27" t="str">
        <f t="shared" si="435"/>
        <v/>
      </c>
      <c r="BA1010" s="27" t="str">
        <f t="shared" si="436"/>
        <v/>
      </c>
      <c r="BB1010" s="27" t="str">
        <f t="shared" si="437"/>
        <v/>
      </c>
      <c r="BC1010" s="27" t="str">
        <f t="shared" si="438"/>
        <v/>
      </c>
      <c r="BD1010" s="27" t="str">
        <f t="shared" si="439"/>
        <v/>
      </c>
      <c r="BE1010" s="27" t="str">
        <f t="shared" si="440"/>
        <v/>
      </c>
      <c r="BF1010" s="27" t="str">
        <f t="shared" si="441"/>
        <v/>
      </c>
      <c r="BG1010" s="27" t="str">
        <f t="shared" si="442"/>
        <v/>
      </c>
      <c r="BH1010" s="27" t="str">
        <f t="shared" si="443"/>
        <v/>
      </c>
      <c r="BI1010" s="27" t="str">
        <f t="shared" si="444"/>
        <v/>
      </c>
      <c r="BJ1010" s="27" t="str">
        <f t="shared" si="445"/>
        <v/>
      </c>
      <c r="BK1010" s="27" t="str">
        <f t="shared" si="446"/>
        <v/>
      </c>
      <c r="BL1010" s="27" t="str">
        <f t="shared" si="447"/>
        <v/>
      </c>
      <c r="BM1010" s="21" t="s">
        <v>5581</v>
      </c>
    </row>
    <row r="1011" spans="1:65" ht="15">
      <c r="A1011" s="25" t="str">
        <f>IFERROR(INDEX('Hun Demand'!W:W,MATCH(O1011,'Hun Demand'!A:A,0)),"")</f>
        <v/>
      </c>
      <c r="B1011" s="25" t="str">
        <f>IFERROR(INDEX('Hun Demand'!V:V,MATCH(O1011,'Hun Demand'!A:A,0)),"")</f>
        <v/>
      </c>
      <c r="C1011" s="25" t="str">
        <f>IFERROR(INDEX('Hun Demand'!U:U,MATCH(O1011,'Hun Demand'!A:A,0)),"")</f>
        <v/>
      </c>
      <c r="D1011" s="25" t="str">
        <f>IFERROR(INDEX('Hun Demand'!T:T,MATCH(O1011,'Hun Demand'!A:A,0)),"")</f>
        <v/>
      </c>
      <c r="E1011" s="25" t="str">
        <f>IFERROR(INDEX('Hun Demand'!S:S,MATCH(O1011,'Hun Demand'!A:A,0)),"")</f>
        <v/>
      </c>
      <c r="F1011" s="25" t="str">
        <f>IFERROR(INDEX('Hun Demand'!R:R,MATCH(O1011,'Hun Demand'!A:A,0)),"")</f>
        <v/>
      </c>
      <c r="G1011" s="25">
        <f>IFERROR(INDEX('Aub Demand'!W:W,MATCH(O1011,'Aub Demand'!A:A,0)),"")</f>
        <v>0</v>
      </c>
      <c r="H1011" s="25">
        <f>IFERROR(INDEX('Aub Demand'!V:V,MATCH(O1011,'Aub Demand'!A:A,0)),"")</f>
        <v>0</v>
      </c>
      <c r="I1011" s="25">
        <f>IFERROR(INDEX('Aub Demand'!U:U,MATCH(O1011,'Aub Demand'!A:A,0)),"")</f>
        <v>0</v>
      </c>
      <c r="J1011" s="25">
        <f>IFERROR(INDEX('Aub Demand'!T:T,MATCH(O1011,'Aub Demand'!A:A,0)),"")</f>
        <v>153</v>
      </c>
      <c r="K1011" s="25">
        <f>IFERROR(INDEX('Aub Demand'!S:S,MATCH(O1011,'Aub Demand'!A:A,0)),"")</f>
        <v>0</v>
      </c>
      <c r="L1011" s="25">
        <f>IFERROR(INDEX('Aub Demand'!R:R,MATCH(O1011,'Aub Demand'!A:A,0)),"")</f>
        <v>0</v>
      </c>
      <c r="O1011" s="27" t="s">
        <v>1399</v>
      </c>
      <c r="P1011" s="27" t="str">
        <f>IFERROR(INDEX('Aub Demand'!B:B,MATCH($O1011,'Aub Demand'!$A:$A,0)),"")</f>
        <v>BLACK DIAMOND (treat</v>
      </c>
      <c r="Q1011" s="27" t="str">
        <f>IFERROR(INDEX('Aub Demand'!C:C,MATCH($O1011,'Aub Demand'!$A:$A,0)),"")</f>
        <v>ELESG</v>
      </c>
      <c r="R1011" s="52">
        <f>IFERROR(IF(AR1012=AR1011,INDEX('Aub Demand'!K:K,MATCH($O1011,'Aub Demand'!$A:$A,0))-IF(AN1011="",0,AN1011)+AP1012,INDEX('Aub Demand'!K:K,MATCH($O1011,'Aub Demand'!$A:$A,0))-IF(AN1011="",0,AN1011)),"")</f>
        <v>1360</v>
      </c>
      <c r="S1011" s="53">
        <f t="shared" si="420"/>
        <v>114.3</v>
      </c>
      <c r="T1011" s="52" t="str">
        <f t="shared" si="421"/>
        <v/>
      </c>
      <c r="U1011" s="52">
        <f>IFERROR(IF(AR1012=AR1011,INDEX('Aub Demand'!Q:Q,MATCH($O1011,'Aub Demand'!$A:$A,0))-IF(AN1011="",0,AN1011)+AP1012,INDEX('Aub Demand'!Q:Q,MATCH($O1011,'Aub Demand'!$A:$A,0))-IF(AN1011="",0,AN1011)),"")</f>
        <v>1360</v>
      </c>
      <c r="V1011" s="53">
        <f t="shared" si="422"/>
        <v>114.3</v>
      </c>
      <c r="W1011" s="52" t="str">
        <f t="shared" si="423"/>
        <v/>
      </c>
      <c r="X1011" s="52">
        <f>IFERROR(IF(AND(AR1012=AR1011,AM1011&lt;&gt;""),INDEX('Aub Demand'!Q:Q,MATCH($O1011,'Aub Demand'!$A:$A,0))-IF(AN1011="",0,AN1011)+AP1012+AD1011+AL1011,IF(AR1012=AR1011,INDEX('Aub Demand'!Q:Q,MATCH($O1011,'Aub Demand'!$A:$A,0))-IF(AN1011="",0,AN1011)+AP1012+AD1011,IF(AM1011&lt;&gt;"",INDEX('Aub Demand'!Q:Q,MATCH($O1011,'Aub Demand'!$A:$A,0))-IF(AN1011="",0,AN1011)+AD1011+AL1011,INDEX('Aub Demand'!Q:Q,MATCH($O1011,'Aub Demand'!$A:$A,0))-IF(AN1011="",0,AN1011)+AD1011))),"")</f>
        <v>1360</v>
      </c>
      <c r="Y1011" s="53">
        <f t="shared" si="424"/>
        <v>114.3</v>
      </c>
      <c r="Z1011" s="52">
        <f>IF(L1011="","",INDEX('Aub Demand'!H:H,MATCH($O1011,'Aub Demand'!$A:$A,0)))</f>
        <v>51</v>
      </c>
      <c r="AA1011" s="52" t="str">
        <f t="shared" si="425"/>
        <v>-spike-</v>
      </c>
      <c r="AB1011" s="52">
        <f>IFERROR(INDEX('Aub Demand'!L:L,MATCH($O1011,'Aub Demand'!$A:$A,0)),"")</f>
        <v>0</v>
      </c>
      <c r="AC1011" s="52">
        <f>IFERROR(IF(O1011="","",SUMIFS('CPL Mats'!F:F,'CPL Mats'!Q:Q,AR1011,'CPL Mats'!S:S,AS1011)),"")</f>
        <v>0</v>
      </c>
      <c r="AF1011" s="25" t="str">
        <f>IF(SUMIFS('Supp Consol'!S:S,'Supp Consol'!Y:Y,"Releasable",'Supp Consol'!A:A,O1011)=0,"",SUMIFS('Supp Consol'!S:S,'Supp Consol'!Y:Y,"Releasable",'Supp Consol'!A:A,O1011))</f>
        <v/>
      </c>
      <c r="AG1011" s="25" t="str">
        <f>IFERROR(INDEX('Hun Demand'!Q:Q,MATCH(O1011,'Hun Demand'!A:A,0)),"")</f>
        <v/>
      </c>
      <c r="AH1011" s="25" t="str">
        <f>IFERROR(INDEX('Hun Demand'!H:H,MATCH($O1011,'Hun Demand'!$A:$A,0)),"")</f>
        <v/>
      </c>
      <c r="AI1011" s="25" t="str">
        <f>IF(SUMIFS('Supp Consol'!AA:AA,'Supp Consol'!Z:Z,"Expires this month",'Supp Consol'!A:A,O1011)=0,"",SUMIFS('Supp Consol'!AA:AA,'Supp Consol'!Z:Z,"Expires this month",'Supp Consol'!A:A,O1011))</f>
        <v/>
      </c>
      <c r="AJ1011" s="25" t="str">
        <f>IF(SUMIFS('Supp Consol'!AA:AA,'Supp Consol'!Z:Z,"Expired Previous Months",'Supp Consol'!A:A,O1011)=0,"",SUMIFS('Supp Consol'!AA:AA,'Supp Consol'!Z:Z,"Expired Previous Months",'Supp Consol'!A:A,O1011))</f>
        <v/>
      </c>
      <c r="AK1011" s="25" t="str">
        <f>IFERROR(INDEX('Hun Release Current'!B:B,MATCH(O1011,'Hun Release Current'!A:A,0)),"")</f>
        <v/>
      </c>
      <c r="AL1011" s="25" t="str">
        <f>IF(SUMIF('Prev Aub'!A:A,O1011,'Prev Aub'!B:B)=0,"",SUMIF('Prev Aub'!A:A,O1011,'Prev Aub'!B:B))</f>
        <v/>
      </c>
      <c r="AN1011" s="25" t="s">
        <v>3790</v>
      </c>
      <c r="AO1011" s="25" t="s">
        <v>3790</v>
      </c>
      <c r="AP1011" s="25">
        <f t="shared" si="426"/>
        <v>0</v>
      </c>
      <c r="AQ1011" s="151" t="str">
        <f>IF(SUMIFS('Supp Consol'!S:S,'Supp Consol'!A:A,O1011,'Supp Consol'!I:I,"PENDING")=0,"",SUMIFS('Supp Consol'!S:S,'Supp Consol'!A:A,O1011,'Supp Consol'!I:I,"PENDING"))</f>
        <v/>
      </c>
      <c r="AR1011" s="27" t="str">
        <f t="shared" si="427"/>
        <v>SE115</v>
      </c>
      <c r="AS1011" s="27" t="str">
        <f t="shared" si="428"/>
        <v>50</v>
      </c>
      <c r="AT1011" s="27" t="str">
        <f t="shared" si="429"/>
        <v/>
      </c>
      <c r="AU1011" s="27" t="str">
        <f t="shared" si="430"/>
        <v/>
      </c>
      <c r="AV1011" s="27" t="str">
        <f t="shared" si="431"/>
        <v/>
      </c>
      <c r="AW1011" s="27" t="str">
        <f t="shared" si="432"/>
        <v/>
      </c>
      <c r="AX1011" s="27" t="str">
        <f t="shared" si="433"/>
        <v/>
      </c>
      <c r="AY1011" s="27" t="str">
        <f t="shared" si="434"/>
        <v/>
      </c>
      <c r="AZ1011" s="27" t="str">
        <f t="shared" si="435"/>
        <v/>
      </c>
      <c r="BA1011" s="27" t="str">
        <f t="shared" si="436"/>
        <v/>
      </c>
      <c r="BB1011" s="27" t="str">
        <f t="shared" si="437"/>
        <v/>
      </c>
      <c r="BC1011" s="27" t="str">
        <f t="shared" si="438"/>
        <v/>
      </c>
      <c r="BD1011" s="27" t="str">
        <f t="shared" si="439"/>
        <v/>
      </c>
      <c r="BE1011" s="27" t="str">
        <f t="shared" si="440"/>
        <v/>
      </c>
      <c r="BF1011" s="27" t="str">
        <f t="shared" si="441"/>
        <v/>
      </c>
      <c r="BG1011" s="27" t="str">
        <f t="shared" si="442"/>
        <v/>
      </c>
      <c r="BH1011" s="27" t="str">
        <f t="shared" si="443"/>
        <v/>
      </c>
      <c r="BI1011" s="27" t="str">
        <f t="shared" si="444"/>
        <v/>
      </c>
      <c r="BJ1011" s="27" t="str">
        <f t="shared" si="445"/>
        <v/>
      </c>
      <c r="BK1011" s="27" t="str">
        <f t="shared" si="446"/>
        <v/>
      </c>
      <c r="BL1011" s="27" t="str">
        <f t="shared" si="447"/>
        <v/>
      </c>
      <c r="BM1011" s="21" t="s">
        <v>5581</v>
      </c>
    </row>
    <row r="1012" spans="1:65" ht="15">
      <c r="A1012" s="25" t="str">
        <f>IFERROR(INDEX('Hun Demand'!W:W,MATCH(O1012,'Hun Demand'!A:A,0)),"")</f>
        <v/>
      </c>
      <c r="B1012" s="25" t="str">
        <f>IFERROR(INDEX('Hun Demand'!V:V,MATCH(O1012,'Hun Demand'!A:A,0)),"")</f>
        <v/>
      </c>
      <c r="C1012" s="25" t="str">
        <f>IFERROR(INDEX('Hun Demand'!U:U,MATCH(O1012,'Hun Demand'!A:A,0)),"")</f>
        <v/>
      </c>
      <c r="D1012" s="25" t="str">
        <f>IFERROR(INDEX('Hun Demand'!T:T,MATCH(O1012,'Hun Demand'!A:A,0)),"")</f>
        <v/>
      </c>
      <c r="E1012" s="25" t="str">
        <f>IFERROR(INDEX('Hun Demand'!S:S,MATCH(O1012,'Hun Demand'!A:A,0)),"")</f>
        <v/>
      </c>
      <c r="F1012" s="25" t="str">
        <f>IFERROR(INDEX('Hun Demand'!R:R,MATCH(O1012,'Hun Demand'!A:A,0)),"")</f>
        <v/>
      </c>
      <c r="G1012" s="25">
        <f>IFERROR(INDEX('Aub Demand'!W:W,MATCH(O1012,'Aub Demand'!A:A,0)),"")</f>
        <v>688</v>
      </c>
      <c r="H1012" s="25">
        <f>IFERROR(INDEX('Aub Demand'!V:V,MATCH(O1012,'Aub Demand'!A:A,0)),"")</f>
        <v>0</v>
      </c>
      <c r="I1012" s="25">
        <f>IFERROR(INDEX('Aub Demand'!U:U,MATCH(O1012,'Aub Demand'!A:A,0)),"")</f>
        <v>554</v>
      </c>
      <c r="J1012" s="25">
        <f>IFERROR(INDEX('Aub Demand'!T:T,MATCH(O1012,'Aub Demand'!A:A,0)),"")</f>
        <v>0</v>
      </c>
      <c r="K1012" s="25">
        <f>IFERROR(INDEX('Aub Demand'!S:S,MATCH(O1012,'Aub Demand'!A:A,0)),"")</f>
        <v>43</v>
      </c>
      <c r="L1012" s="25">
        <f>IFERROR(INDEX('Aub Demand'!R:R,MATCH(O1012,'Aub Demand'!A:A,0)),"")</f>
        <v>0</v>
      </c>
      <c r="O1012" s="27" t="s">
        <v>2594</v>
      </c>
      <c r="P1012" s="27" t="str">
        <f>IFERROR(INDEX('Aub Demand'!B:B,MATCH($O1012,'Aub Demand'!$A:$A,0)),"")</f>
        <v>BLACK 36"</v>
      </c>
      <c r="Q1012" s="27" t="str">
        <f>IFERROR(INDEX('Aub Demand'!C:C,MATCH($O1012,'Aub Demand'!$A:$A,0)),"")</f>
        <v>ONYX</v>
      </c>
      <c r="R1012" s="52">
        <f>IFERROR(IF(AR1013=AR1012,INDEX('Aub Demand'!K:K,MATCH($O1012,'Aub Demand'!$A:$A,0))-IF(AN1012="",0,AN1012)+AP1013,INDEX('Aub Demand'!K:K,MATCH($O1012,'Aub Demand'!$A:$A,0))-IF(AN1012="",0,AN1012)),"")</f>
        <v>20</v>
      </c>
      <c r="S1012" s="53">
        <f t="shared" si="420"/>
        <v>0.4</v>
      </c>
      <c r="T1012" s="52">
        <f t="shared" si="421"/>
        <v>194.02500000000001</v>
      </c>
      <c r="U1012" s="52">
        <f>IFERROR(IF(AR1013=AR1012,INDEX('Aub Demand'!Q:Q,MATCH($O1012,'Aub Demand'!$A:$A,0))-IF(AN1012="",0,AN1012)+AP1013,INDEX('Aub Demand'!Q:Q,MATCH($O1012,'Aub Demand'!$A:$A,0))-IF(AN1012="",0,AN1012)),"")</f>
        <v>6</v>
      </c>
      <c r="V1012" s="53">
        <f t="shared" si="422"/>
        <v>0.1</v>
      </c>
      <c r="W1012" s="52">
        <f t="shared" si="423"/>
        <v>216.41249999999999</v>
      </c>
      <c r="X1012" s="52">
        <f>IFERROR(IF(AND(AR1013=AR1012,AM1012&lt;&gt;""),INDEX('Aub Demand'!Q:Q,MATCH($O1012,'Aub Demand'!$A:$A,0))-IF(AN1012="",0,AN1012)+AP1013+AD1012+AL1012,IF(AR1013=AR1012,INDEX('Aub Demand'!Q:Q,MATCH($O1012,'Aub Demand'!$A:$A,0))-IF(AN1012="",0,AN1012)+AP1013+AD1012,IF(AM1012&lt;&gt;"",INDEX('Aub Demand'!Q:Q,MATCH($O1012,'Aub Demand'!$A:$A,0))-IF(AN1012="",0,AN1012)+AD1012+AL1012,INDEX('Aub Demand'!Q:Q,MATCH($O1012,'Aub Demand'!$A:$A,0))-IF(AN1012="",0,AN1012)+AD1012))),"")</f>
        <v>6</v>
      </c>
      <c r="Y1012" s="53">
        <f t="shared" si="424"/>
        <v>0.1</v>
      </c>
      <c r="Z1012" s="52">
        <f>IF(L1012="","",INDEX('Aub Demand'!H:H,MATCH($O1012,'Aub Demand'!$A:$A,0)))</f>
        <v>199</v>
      </c>
      <c r="AA1012" s="52">
        <f t="shared" si="425"/>
        <v>298.5</v>
      </c>
      <c r="AB1012" s="52">
        <f>IFERROR(INDEX('Aub Demand'!L:L,MATCH($O1012,'Aub Demand'!$A:$A,0)),"")</f>
        <v>7</v>
      </c>
      <c r="AC1012" s="52">
        <f>IFERROR(IF(O1012="","",SUMIFS('CPL Mats'!F:F,'CPL Mats'!Q:Q,AR1012,'CPL Mats'!S:S,AS1012)),"")</f>
        <v>0</v>
      </c>
      <c r="AF1012" s="25" t="str">
        <f>IF(SUMIFS('Supp Consol'!S:S,'Supp Consol'!Y:Y,"Releasable",'Supp Consol'!A:A,O1012)=0,"",SUMIFS('Supp Consol'!S:S,'Supp Consol'!Y:Y,"Releasable",'Supp Consol'!A:A,O1012))</f>
        <v/>
      </c>
      <c r="AG1012" s="25" t="str">
        <f>IFERROR(INDEX('Hun Demand'!Q:Q,MATCH(O1012,'Hun Demand'!A:A,0)),"")</f>
        <v/>
      </c>
      <c r="AH1012" s="25" t="str">
        <f>IFERROR(INDEX('Hun Demand'!H:H,MATCH($O1012,'Hun Demand'!$A:$A,0)),"")</f>
        <v/>
      </c>
      <c r="AI1012" s="25" t="str">
        <f>IF(SUMIFS('Supp Consol'!AA:AA,'Supp Consol'!Z:Z,"Expires this month",'Supp Consol'!A:A,O1012)=0,"",SUMIFS('Supp Consol'!AA:AA,'Supp Consol'!Z:Z,"Expires this month",'Supp Consol'!A:A,O1012))</f>
        <v/>
      </c>
      <c r="AJ1012" s="25" t="str">
        <f>IF(SUMIFS('Supp Consol'!AA:AA,'Supp Consol'!Z:Z,"Expired Previous Months",'Supp Consol'!A:A,O1012)=0,"",SUMIFS('Supp Consol'!AA:AA,'Supp Consol'!Z:Z,"Expired Previous Months",'Supp Consol'!A:A,O1012))</f>
        <v/>
      </c>
      <c r="AK1012" s="25" t="str">
        <f>IFERROR(INDEX('Hun Release Current'!B:B,MATCH(O1012,'Hun Release Current'!A:A,0)),"")</f>
        <v/>
      </c>
      <c r="AL1012" s="25" t="str">
        <f>IF(SUMIF('Prev Aub'!A:A,O1012,'Prev Aub'!B:B)=0,"",SUMIF('Prev Aub'!A:A,O1012,'Prev Aub'!B:B))</f>
        <v/>
      </c>
      <c r="AN1012" s="25" t="s">
        <v>3790</v>
      </c>
      <c r="AO1012" s="25" t="s">
        <v>3790</v>
      </c>
      <c r="AP1012" s="25">
        <f t="shared" si="426"/>
        <v>0</v>
      </c>
      <c r="AQ1012" s="151" t="str">
        <f>IF(SUMIFS('Supp Consol'!S:S,'Supp Consol'!A:A,O1012,'Supp Consol'!I:I,"PENDING")=0,"",SUMIFS('Supp Consol'!S:S,'Supp Consol'!A:A,O1012,'Supp Consol'!I:I,"PENDING"))</f>
        <v/>
      </c>
      <c r="AR1012" s="27" t="str">
        <f t="shared" si="427"/>
        <v>SE601</v>
      </c>
      <c r="AS1012" s="27" t="str">
        <f t="shared" si="428"/>
        <v>37</v>
      </c>
      <c r="AT1012" s="27" t="str">
        <f t="shared" si="429"/>
        <v>SE601</v>
      </c>
      <c r="AU1012" s="27" t="str">
        <f t="shared" si="430"/>
        <v>SE601</v>
      </c>
      <c r="AV1012" s="27" t="str">
        <f t="shared" si="431"/>
        <v>SE601</v>
      </c>
      <c r="AW1012" s="27" t="str">
        <f t="shared" si="432"/>
        <v/>
      </c>
      <c r="AX1012" s="27" t="str">
        <f t="shared" si="433"/>
        <v/>
      </c>
      <c r="AY1012" s="27" t="str">
        <f t="shared" si="434"/>
        <v/>
      </c>
      <c r="AZ1012" s="27" t="str">
        <f t="shared" si="435"/>
        <v>Supp</v>
      </c>
      <c r="BA1012" s="27" t="str">
        <f t="shared" si="436"/>
        <v/>
      </c>
      <c r="BB1012" s="27" t="str">
        <f t="shared" si="437"/>
        <v>Gross</v>
      </c>
      <c r="BC1012" s="27" t="str">
        <f t="shared" si="438"/>
        <v>Net</v>
      </c>
      <c r="BD1012" s="27" t="str">
        <f t="shared" si="439"/>
        <v>Net</v>
      </c>
      <c r="BE1012" s="27" t="str">
        <f t="shared" si="440"/>
        <v>Exp</v>
      </c>
      <c r="BF1012" s="27" t="str">
        <f t="shared" si="441"/>
        <v>S+N</v>
      </c>
      <c r="BG1012" s="27" t="str">
        <f t="shared" si="442"/>
        <v>S+NorE</v>
      </c>
      <c r="BH1012" s="27" t="str">
        <f t="shared" si="443"/>
        <v/>
      </c>
      <c r="BI1012" s="27" t="str">
        <f t="shared" si="444"/>
        <v/>
      </c>
      <c r="BJ1012" s="27" t="str">
        <f t="shared" si="445"/>
        <v>Supp or Hun</v>
      </c>
      <c r="BK1012" s="27" t="str">
        <f t="shared" si="446"/>
        <v>Supp or Hun Need</v>
      </c>
      <c r="BL1012" s="27" t="str">
        <f t="shared" si="447"/>
        <v>SorHandNandE</v>
      </c>
      <c r="BM1012" s="21" t="s">
        <v>5581</v>
      </c>
    </row>
    <row r="1013" spans="1:65" ht="15">
      <c r="A1013" s="25" t="str">
        <f>IFERROR(INDEX('Hun Demand'!W:W,MATCH(O1013,'Hun Demand'!A:A,0)),"")</f>
        <v/>
      </c>
      <c r="B1013" s="25" t="str">
        <f>IFERROR(INDEX('Hun Demand'!V:V,MATCH(O1013,'Hun Demand'!A:A,0)),"")</f>
        <v/>
      </c>
      <c r="C1013" s="25" t="str">
        <f>IFERROR(INDEX('Hun Demand'!U:U,MATCH(O1013,'Hun Demand'!A:A,0)),"")</f>
        <v/>
      </c>
      <c r="D1013" s="25" t="str">
        <f>IFERROR(INDEX('Hun Demand'!T:T,MATCH(O1013,'Hun Demand'!A:A,0)),"")</f>
        <v/>
      </c>
      <c r="E1013" s="25" t="str">
        <f>IFERROR(INDEX('Hun Demand'!S:S,MATCH(O1013,'Hun Demand'!A:A,0)),"")</f>
        <v/>
      </c>
      <c r="F1013" s="25" t="str">
        <f>IFERROR(INDEX('Hun Demand'!R:R,MATCH(O1013,'Hun Demand'!A:A,0)),"")</f>
        <v/>
      </c>
      <c r="G1013" s="25">
        <f>IFERROR(INDEX('Aub Demand'!W:W,MATCH(O1013,'Aub Demand'!A:A,0)),"")</f>
        <v>121</v>
      </c>
      <c r="H1013" s="25">
        <f>IFERROR(INDEX('Aub Demand'!V:V,MATCH(O1013,'Aub Demand'!A:A,0)),"")</f>
        <v>0</v>
      </c>
      <c r="I1013" s="25">
        <f>IFERROR(INDEX('Aub Demand'!U:U,MATCH(O1013,'Aub Demand'!A:A,0)),"")</f>
        <v>1578</v>
      </c>
      <c r="J1013" s="25">
        <f>IFERROR(INDEX('Aub Demand'!T:T,MATCH(O1013,'Aub Demand'!A:A,0)),"")</f>
        <v>307</v>
      </c>
      <c r="K1013" s="25">
        <f>IFERROR(INDEX('Aub Demand'!S:S,MATCH(O1013,'Aub Demand'!A:A,0)),"")</f>
        <v>326</v>
      </c>
      <c r="L1013" s="25">
        <f>IFERROR(INDEX('Aub Demand'!R:R,MATCH(O1013,'Aub Demand'!A:A,0)),"")</f>
        <v>0</v>
      </c>
      <c r="O1013" s="27" t="s">
        <v>2596</v>
      </c>
      <c r="P1013" s="27" t="str">
        <f>IFERROR(INDEX('Aub Demand'!B:B,MATCH($O1013,'Aub Demand'!$A:$A,0)),"")</f>
        <v>BLACK 50"</v>
      </c>
      <c r="Q1013" s="27" t="str">
        <f>IFERROR(INDEX('Aub Demand'!C:C,MATCH($O1013,'Aub Demand'!$A:$A,0)),"")</f>
        <v>ONYX</v>
      </c>
      <c r="R1013" s="52">
        <f>IFERROR(IF(AR1014=AR1013,INDEX('Aub Demand'!K:K,MATCH($O1013,'Aub Demand'!$A:$A,0))-IF(AN1013="",0,AN1013)+AP1014,INDEX('Aub Demand'!K:K,MATCH($O1013,'Aub Demand'!$A:$A,0))-IF(AN1013="",0,AN1013)),"")</f>
        <v>922</v>
      </c>
      <c r="S1013" s="53">
        <f t="shared" si="420"/>
        <v>5.4</v>
      </c>
      <c r="T1013" s="52" t="str">
        <f t="shared" si="421"/>
        <v/>
      </c>
      <c r="U1013" s="52">
        <f>IFERROR(IF(AR1014=AR1013,INDEX('Aub Demand'!Q:Q,MATCH($O1013,'Aub Demand'!$A:$A,0))-IF(AN1013="",0,AN1013)+AP1014,INDEX('Aub Demand'!Q:Q,MATCH($O1013,'Aub Demand'!$A:$A,0))-IF(AN1013="",0,AN1013)),"")</f>
        <v>522</v>
      </c>
      <c r="V1013" s="53">
        <f t="shared" si="422"/>
        <v>3</v>
      </c>
      <c r="W1013" s="52">
        <f t="shared" si="423"/>
        <v>0</v>
      </c>
      <c r="X1013" s="52">
        <f>IFERROR(IF(AND(AR1014=AR1013,AM1013&lt;&gt;""),INDEX('Aub Demand'!Q:Q,MATCH($O1013,'Aub Demand'!$A:$A,0))-IF(AN1013="",0,AN1013)+AP1014+AD1013+AL1013,IF(AR1014=AR1013,INDEX('Aub Demand'!Q:Q,MATCH($O1013,'Aub Demand'!$A:$A,0))-IF(AN1013="",0,AN1013)+AP1014+AD1013,IF(AM1013&lt;&gt;"",INDEX('Aub Demand'!Q:Q,MATCH($O1013,'Aub Demand'!$A:$A,0))-IF(AN1013="",0,AN1013)+AD1013+AL1013,INDEX('Aub Demand'!Q:Q,MATCH($O1013,'Aub Demand'!$A:$A,0))-IF(AN1013="",0,AN1013)+AD1013))),"")</f>
        <v>522</v>
      </c>
      <c r="Y1013" s="53">
        <f t="shared" si="424"/>
        <v>3</v>
      </c>
      <c r="Z1013" s="52">
        <f>IF(L1013="","",INDEX('Aub Demand'!H:H,MATCH($O1013,'Aub Demand'!$A:$A,0)))</f>
        <v>737</v>
      </c>
      <c r="AA1013" s="52">
        <f t="shared" si="425"/>
        <v>952</v>
      </c>
      <c r="AB1013" s="52">
        <f>IFERROR(INDEX('Aub Demand'!L:L,MATCH($O1013,'Aub Demand'!$A:$A,0)),"")</f>
        <v>264</v>
      </c>
      <c r="AC1013" s="52">
        <f>IFERROR(IF(O1013="","",SUMIFS('CPL Mats'!F:F,'CPL Mats'!Q:Q,AR1013,'CPL Mats'!S:S,AS1013)),"")</f>
        <v>0</v>
      </c>
      <c r="AF1013" s="25" t="str">
        <f>IF(SUMIFS('Supp Consol'!S:S,'Supp Consol'!Y:Y,"Releasable",'Supp Consol'!A:A,O1013)=0,"",SUMIFS('Supp Consol'!S:S,'Supp Consol'!Y:Y,"Releasable",'Supp Consol'!A:A,O1013))</f>
        <v/>
      </c>
      <c r="AG1013" s="25" t="str">
        <f>IFERROR(INDEX('Hun Demand'!Q:Q,MATCH(O1013,'Hun Demand'!A:A,0)),"")</f>
        <v/>
      </c>
      <c r="AH1013" s="25" t="str">
        <f>IFERROR(INDEX('Hun Demand'!H:H,MATCH($O1013,'Hun Demand'!$A:$A,0)),"")</f>
        <v/>
      </c>
      <c r="AI1013" s="25" t="str">
        <f>IF(SUMIFS('Supp Consol'!AA:AA,'Supp Consol'!Z:Z,"Expires this month",'Supp Consol'!A:A,O1013)=0,"",SUMIFS('Supp Consol'!AA:AA,'Supp Consol'!Z:Z,"Expires this month",'Supp Consol'!A:A,O1013))</f>
        <v/>
      </c>
      <c r="AJ1013" s="25" t="str">
        <f>IF(SUMIFS('Supp Consol'!AA:AA,'Supp Consol'!Z:Z,"Expired Previous Months",'Supp Consol'!A:A,O1013)=0,"",SUMIFS('Supp Consol'!AA:AA,'Supp Consol'!Z:Z,"Expired Previous Months",'Supp Consol'!A:A,O1013))</f>
        <v/>
      </c>
      <c r="AK1013" s="25" t="str">
        <f>IFERROR(INDEX('Hun Release Current'!B:B,MATCH(O1013,'Hun Release Current'!A:A,0)),"")</f>
        <v/>
      </c>
      <c r="AL1013" s="25" t="str">
        <f>IF(SUMIF('Prev Aub'!A:A,O1013,'Prev Aub'!B:B)=0,"",SUMIF('Prev Aub'!A:A,O1013,'Prev Aub'!B:B))</f>
        <v/>
      </c>
      <c r="AN1013" s="25">
        <v>25</v>
      </c>
      <c r="AO1013" s="25" t="s">
        <v>3790</v>
      </c>
      <c r="AP1013" s="25">
        <f t="shared" si="426"/>
        <v>20</v>
      </c>
      <c r="AQ1013" s="151" t="str">
        <f>IF(SUMIFS('Supp Consol'!S:S,'Supp Consol'!A:A,O1013,'Supp Consol'!I:I,"PENDING")=0,"",SUMIFS('Supp Consol'!S:S,'Supp Consol'!A:A,O1013,'Supp Consol'!I:I,"PENDING"))</f>
        <v/>
      </c>
      <c r="AR1013" s="27" t="str">
        <f t="shared" si="427"/>
        <v>SE601</v>
      </c>
      <c r="AS1013" s="27" t="str">
        <f t="shared" si="428"/>
        <v>50</v>
      </c>
      <c r="AT1013" s="27" t="str">
        <f t="shared" si="429"/>
        <v/>
      </c>
      <c r="AU1013" s="27" t="str">
        <f t="shared" si="430"/>
        <v>SE601</v>
      </c>
      <c r="AV1013" s="27" t="str">
        <f t="shared" si="431"/>
        <v>SE601</v>
      </c>
      <c r="AW1013" s="27" t="str">
        <f t="shared" si="432"/>
        <v/>
      </c>
      <c r="AX1013" s="27" t="str">
        <f t="shared" si="433"/>
        <v/>
      </c>
      <c r="AY1013" s="27" t="str">
        <f t="shared" si="434"/>
        <v/>
      </c>
      <c r="AZ1013" s="27" t="str">
        <f t="shared" si="435"/>
        <v>Supp</v>
      </c>
      <c r="BA1013" s="27" t="str">
        <f t="shared" si="436"/>
        <v/>
      </c>
      <c r="BB1013" s="27" t="str">
        <f t="shared" si="437"/>
        <v>Gross</v>
      </c>
      <c r="BC1013" s="27" t="str">
        <f t="shared" si="438"/>
        <v>Net</v>
      </c>
      <c r="BD1013" s="27" t="str">
        <f t="shared" si="439"/>
        <v>Net</v>
      </c>
      <c r="BE1013" s="27" t="str">
        <f t="shared" si="440"/>
        <v>Exp</v>
      </c>
      <c r="BF1013" s="27" t="str">
        <f t="shared" si="441"/>
        <v>S+N</v>
      </c>
      <c r="BG1013" s="27" t="str">
        <f t="shared" si="442"/>
        <v>S+NorE</v>
      </c>
      <c r="BH1013" s="27" t="str">
        <f t="shared" si="443"/>
        <v/>
      </c>
      <c r="BI1013" s="27" t="str">
        <f t="shared" si="444"/>
        <v/>
      </c>
      <c r="BJ1013" s="27" t="str">
        <f t="shared" si="445"/>
        <v>Supp or Hun</v>
      </c>
      <c r="BK1013" s="27" t="str">
        <f t="shared" si="446"/>
        <v>Supp or Hun Need</v>
      </c>
      <c r="BL1013" s="27" t="str">
        <f t="shared" si="447"/>
        <v>SorHandNandE</v>
      </c>
      <c r="BM1013" s="21" t="s">
        <v>5581</v>
      </c>
    </row>
    <row r="1014" spans="1:65" ht="15">
      <c r="A1014" s="25" t="str">
        <f>IFERROR(INDEX('Hun Demand'!W:W,MATCH(O1014,'Hun Demand'!A:A,0)),"")</f>
        <v/>
      </c>
      <c r="B1014" s="25" t="str">
        <f>IFERROR(INDEX('Hun Demand'!V:V,MATCH(O1014,'Hun Demand'!A:A,0)),"")</f>
        <v/>
      </c>
      <c r="C1014" s="25" t="str">
        <f>IFERROR(INDEX('Hun Demand'!U:U,MATCH(O1014,'Hun Demand'!A:A,0)),"")</f>
        <v/>
      </c>
      <c r="D1014" s="25" t="str">
        <f>IFERROR(INDEX('Hun Demand'!T:T,MATCH(O1014,'Hun Demand'!A:A,0)),"")</f>
        <v/>
      </c>
      <c r="E1014" s="25" t="str">
        <f>IFERROR(INDEX('Hun Demand'!S:S,MATCH(O1014,'Hun Demand'!A:A,0)),"")</f>
        <v/>
      </c>
      <c r="F1014" s="25" t="str">
        <f>IFERROR(INDEX('Hun Demand'!R:R,MATCH(O1014,'Hun Demand'!A:A,0)),"")</f>
        <v/>
      </c>
      <c r="G1014" s="25">
        <f>IFERROR(INDEX('Aub Demand'!W:W,MATCH(O1014,'Aub Demand'!A:A,0)),"")</f>
        <v>0</v>
      </c>
      <c r="H1014" s="25">
        <f>IFERROR(INDEX('Aub Demand'!V:V,MATCH(O1014,'Aub Demand'!A:A,0)),"")</f>
        <v>0</v>
      </c>
      <c r="I1014" s="25">
        <f>IFERROR(INDEX('Aub Demand'!U:U,MATCH(O1014,'Aub Demand'!A:A,0)),"")</f>
        <v>560</v>
      </c>
      <c r="J1014" s="25">
        <f>IFERROR(INDEX('Aub Demand'!T:T,MATCH(O1014,'Aub Demand'!A:A,0)),"")</f>
        <v>417</v>
      </c>
      <c r="K1014" s="25">
        <f>IFERROR(INDEX('Aub Demand'!S:S,MATCH(O1014,'Aub Demand'!A:A,0)),"")</f>
        <v>302</v>
      </c>
      <c r="L1014" s="25">
        <f>IFERROR(INDEX('Aub Demand'!R:R,MATCH(O1014,'Aub Demand'!A:A,0)),"")</f>
        <v>0</v>
      </c>
      <c r="O1014" s="27" t="s">
        <v>2599</v>
      </c>
      <c r="P1014" s="27" t="str">
        <f>IFERROR(INDEX('Aub Demand'!B:B,MATCH($O1014,'Aub Demand'!$A:$A,0)),"")</f>
        <v>BLACK 62"</v>
      </c>
      <c r="Q1014" s="27" t="str">
        <f>IFERROR(INDEX('Aub Demand'!C:C,MATCH($O1014,'Aub Demand'!$A:$A,0)),"")</f>
        <v>ONYX</v>
      </c>
      <c r="R1014" s="52">
        <f>IFERROR(IF(AR1015=AR1014,INDEX('Aub Demand'!K:K,MATCH($O1014,'Aub Demand'!$A:$A,0))-IF(AN1014="",0,AN1014)+AP1015,INDEX('Aub Demand'!K:K,MATCH($O1014,'Aub Demand'!$A:$A,0))-IF(AN1014="",0,AN1014)),"")</f>
        <v>566</v>
      </c>
      <c r="S1014" s="53">
        <f t="shared" si="420"/>
        <v>5.7</v>
      </c>
      <c r="T1014" s="52" t="str">
        <f t="shared" si="421"/>
        <v/>
      </c>
      <c r="U1014" s="52">
        <f>IFERROR(IF(AR1015=AR1014,INDEX('Aub Demand'!Q:Q,MATCH($O1014,'Aub Demand'!$A:$A,0))-IF(AN1014="",0,AN1014)+AP1015,INDEX('Aub Demand'!Q:Q,MATCH($O1014,'Aub Demand'!$A:$A,0))-IF(AN1014="",0,AN1014)),"")</f>
        <v>324</v>
      </c>
      <c r="V1014" s="53">
        <f t="shared" si="422"/>
        <v>3.3</v>
      </c>
      <c r="W1014" s="52" t="str">
        <f t="shared" si="423"/>
        <v/>
      </c>
      <c r="X1014" s="52">
        <f>IFERROR(IF(AND(AR1015=AR1014,AM1014&lt;&gt;""),INDEX('Aub Demand'!Q:Q,MATCH($O1014,'Aub Demand'!$A:$A,0))-IF(AN1014="",0,AN1014)+AP1015+AD1014+AL1014,IF(AR1015=AR1014,INDEX('Aub Demand'!Q:Q,MATCH($O1014,'Aub Demand'!$A:$A,0))-IF(AN1014="",0,AN1014)+AP1015+AD1014,IF(AM1014&lt;&gt;"",INDEX('Aub Demand'!Q:Q,MATCH($O1014,'Aub Demand'!$A:$A,0))-IF(AN1014="",0,AN1014)+AD1014+AL1014,INDEX('Aub Demand'!Q:Q,MATCH($O1014,'Aub Demand'!$A:$A,0))-IF(AN1014="",0,AN1014)+AD1014))),"")</f>
        <v>824</v>
      </c>
      <c r="Y1014" s="53">
        <f t="shared" si="424"/>
        <v>8.3000000000000007</v>
      </c>
      <c r="Z1014" s="52">
        <f>IF(L1014="","",INDEX('Aub Demand'!H:H,MATCH($O1014,'Aub Demand'!$A:$A,0)))</f>
        <v>426</v>
      </c>
      <c r="AA1014" s="52">
        <f t="shared" si="425"/>
        <v>488.5</v>
      </c>
      <c r="AB1014" s="52">
        <f>IFERROR(INDEX('Aub Demand'!L:L,MATCH($O1014,'Aub Demand'!$A:$A,0)),"")</f>
        <v>208</v>
      </c>
      <c r="AC1014" s="52">
        <f>IFERROR(IF(O1014="","",SUMIFS('CPL Mats'!F:F,'CPL Mats'!Q:Q,AR1014,'CPL Mats'!S:S,AS1014)),"")</f>
        <v>0</v>
      </c>
      <c r="AF1014" s="25">
        <f>IF(SUMIFS('Supp Consol'!S:S,'Supp Consol'!Y:Y,"Releasable",'Supp Consol'!A:A,O1014)=0,"",SUMIFS('Supp Consol'!S:S,'Supp Consol'!Y:Y,"Releasable",'Supp Consol'!A:A,O1014))</f>
        <v>522</v>
      </c>
      <c r="AG1014" s="25" t="str">
        <f>IFERROR(INDEX('Hun Demand'!Q:Q,MATCH(O1014,'Hun Demand'!A:A,0)),"")</f>
        <v/>
      </c>
      <c r="AH1014" s="25" t="str">
        <f>IFERROR(INDEX('Hun Demand'!H:H,MATCH($O1014,'Hun Demand'!$A:$A,0)),"")</f>
        <v/>
      </c>
      <c r="AI1014" s="25">
        <f>IF(SUMIFS('Supp Consol'!AA:AA,'Supp Consol'!Z:Z,"Expires this month",'Supp Consol'!A:A,O1014)=0,"",SUMIFS('Supp Consol'!AA:AA,'Supp Consol'!Z:Z,"Expires this month",'Supp Consol'!A:A,O1014))</f>
        <v>426</v>
      </c>
      <c r="AJ1014" s="25" t="str">
        <f>IF(SUMIFS('Supp Consol'!AA:AA,'Supp Consol'!Z:Z,"Expired Previous Months",'Supp Consol'!A:A,O1014)=0,"",SUMIFS('Supp Consol'!AA:AA,'Supp Consol'!Z:Z,"Expired Previous Months",'Supp Consol'!A:A,O1014))</f>
        <v/>
      </c>
      <c r="AK1014" s="25" t="str">
        <f>IFERROR(INDEX('Hun Release Current'!B:B,MATCH(O1014,'Hun Release Current'!A:A,0)),"")</f>
        <v/>
      </c>
      <c r="AL1014" s="25">
        <f>IF(SUMIF('Prev Aub'!A:A,O1014,'Prev Aub'!B:B)=0,"",SUMIF('Prev Aub'!A:A,O1014,'Prev Aub'!B:B))</f>
        <v>500</v>
      </c>
      <c r="AM1014" s="52" t="s">
        <v>3891</v>
      </c>
      <c r="AN1014" s="25">
        <v>75</v>
      </c>
      <c r="AO1014" s="25" t="s">
        <v>3790</v>
      </c>
      <c r="AP1014" s="25">
        <f t="shared" si="426"/>
        <v>60</v>
      </c>
      <c r="AQ1014" s="151" t="str">
        <f>IF(SUMIFS('Supp Consol'!S:S,'Supp Consol'!A:A,O1014,'Supp Consol'!I:I,"PENDING")=0,"",SUMIFS('Supp Consol'!S:S,'Supp Consol'!A:A,O1014,'Supp Consol'!I:I,"PENDING"))</f>
        <v/>
      </c>
      <c r="AR1014" s="27" t="str">
        <f t="shared" si="427"/>
        <v>SE601</v>
      </c>
      <c r="AS1014" s="27" t="str">
        <f t="shared" si="428"/>
        <v>62</v>
      </c>
      <c r="AT1014" s="27" t="str">
        <f t="shared" si="429"/>
        <v/>
      </c>
      <c r="AU1014" s="27" t="str">
        <f t="shared" si="430"/>
        <v/>
      </c>
      <c r="AV1014" s="27" t="str">
        <f t="shared" si="431"/>
        <v/>
      </c>
      <c r="AW1014" s="27" t="str">
        <f t="shared" si="432"/>
        <v>SE601</v>
      </c>
      <c r="AX1014" s="27" t="str">
        <f t="shared" si="433"/>
        <v>SE601</v>
      </c>
      <c r="AY1014" s="27" t="str">
        <f t="shared" si="434"/>
        <v/>
      </c>
      <c r="AZ1014" s="27" t="str">
        <f t="shared" si="435"/>
        <v>Supp</v>
      </c>
      <c r="BA1014" s="27" t="str">
        <f t="shared" si="436"/>
        <v/>
      </c>
      <c r="BB1014" s="27" t="str">
        <f t="shared" si="437"/>
        <v>Gross</v>
      </c>
      <c r="BC1014" s="27" t="str">
        <f t="shared" si="438"/>
        <v>Net</v>
      </c>
      <c r="BD1014" s="27" t="str">
        <f t="shared" si="439"/>
        <v>Net</v>
      </c>
      <c r="BE1014" s="27" t="str">
        <f t="shared" si="440"/>
        <v>Exp</v>
      </c>
      <c r="BF1014" s="27" t="str">
        <f t="shared" si="441"/>
        <v>S+N</v>
      </c>
      <c r="BG1014" s="27" t="str">
        <f t="shared" si="442"/>
        <v>S+NorE</v>
      </c>
      <c r="BH1014" s="27" t="str">
        <f t="shared" si="443"/>
        <v/>
      </c>
      <c r="BI1014" s="27" t="str">
        <f t="shared" si="444"/>
        <v/>
      </c>
      <c r="BJ1014" s="27" t="str">
        <f t="shared" si="445"/>
        <v>Supp or Hun</v>
      </c>
      <c r="BK1014" s="27" t="str">
        <f t="shared" si="446"/>
        <v>Supp or Hun Need</v>
      </c>
      <c r="BL1014" s="27" t="str">
        <f t="shared" si="447"/>
        <v>SorHandNandE</v>
      </c>
      <c r="BM1014" s="21" t="s">
        <v>5581</v>
      </c>
    </row>
    <row r="1015" spans="1:65" ht="15">
      <c r="A1015" s="25" t="str">
        <f>IFERROR(INDEX('Hun Demand'!W:W,MATCH(O1015,'Hun Demand'!A:A,0)),"")</f>
        <v/>
      </c>
      <c r="B1015" s="25" t="str">
        <f>IFERROR(INDEX('Hun Demand'!V:V,MATCH(O1015,'Hun Demand'!A:A,0)),"")</f>
        <v/>
      </c>
      <c r="C1015" s="25" t="str">
        <f>IFERROR(INDEX('Hun Demand'!U:U,MATCH(O1015,'Hun Demand'!A:A,0)),"")</f>
        <v/>
      </c>
      <c r="D1015" s="25" t="str">
        <f>IFERROR(INDEX('Hun Demand'!T:T,MATCH(O1015,'Hun Demand'!A:A,0)),"")</f>
        <v/>
      </c>
      <c r="E1015" s="25" t="str">
        <f>IFERROR(INDEX('Hun Demand'!S:S,MATCH(O1015,'Hun Demand'!A:A,0)),"")</f>
        <v/>
      </c>
      <c r="F1015" s="25" t="str">
        <f>IFERROR(INDEX('Hun Demand'!R:R,MATCH(O1015,'Hun Demand'!A:A,0)),"")</f>
        <v/>
      </c>
      <c r="G1015" s="25">
        <f>IFERROR(INDEX('Aub Demand'!W:W,MATCH(O1015,'Aub Demand'!A:A,0)),"")</f>
        <v>0</v>
      </c>
      <c r="H1015" s="25">
        <f>IFERROR(INDEX('Aub Demand'!V:V,MATCH(O1015,'Aub Demand'!A:A,0)),"")</f>
        <v>0</v>
      </c>
      <c r="I1015" s="25">
        <f>IFERROR(INDEX('Aub Demand'!U:U,MATCH(O1015,'Aub Demand'!A:A,0)),"")</f>
        <v>0</v>
      </c>
      <c r="J1015" s="25">
        <f>IFERROR(INDEX('Aub Demand'!T:T,MATCH(O1015,'Aub Demand'!A:A,0)),"")</f>
        <v>0</v>
      </c>
      <c r="K1015" s="25">
        <f>IFERROR(INDEX('Aub Demand'!S:S,MATCH(O1015,'Aub Demand'!A:A,0)),"")</f>
        <v>0</v>
      </c>
      <c r="L1015" s="25">
        <f>IFERROR(INDEX('Aub Demand'!R:R,MATCH(O1015,'Aub Demand'!A:A,0)),"")</f>
        <v>0</v>
      </c>
      <c r="O1015" s="27" t="s">
        <v>5354</v>
      </c>
      <c r="P1015" s="27" t="str">
        <f>IFERROR(INDEX('Aub Demand'!B:B,MATCH($O1015,'Aub Demand'!$A:$A,0)),"")</f>
        <v>OBSOLETE PAPER</v>
      </c>
      <c r="Q1015" s="27">
        <f>IFERROR(INDEX('Aub Demand'!C:C,MATCH($O1015,'Aub Demand'!$A:$A,0)),"")</f>
        <v>0</v>
      </c>
      <c r="R1015" s="52">
        <f>IFERROR(IF(AR1016=AR1015,INDEX('Aub Demand'!K:K,MATCH($O1015,'Aub Demand'!$A:$A,0))-IF(AN1015="",0,AN1015)+AP1016,INDEX('Aub Demand'!K:K,MATCH($O1015,'Aub Demand'!$A:$A,0))-IF(AN1015="",0,AN1015)),"")</f>
        <v>591</v>
      </c>
      <c r="S1015" s="53" t="str">
        <f t="shared" si="420"/>
        <v>n/a</v>
      </c>
      <c r="T1015" s="52" t="str">
        <f t="shared" si="421"/>
        <v/>
      </c>
      <c r="U1015" s="52">
        <f>IFERROR(IF(AR1016=AR1015,INDEX('Aub Demand'!Q:Q,MATCH($O1015,'Aub Demand'!$A:$A,0))-IF(AN1015="",0,AN1015)+AP1016,INDEX('Aub Demand'!Q:Q,MATCH($O1015,'Aub Demand'!$A:$A,0))-IF(AN1015="",0,AN1015)),"")</f>
        <v>591</v>
      </c>
      <c r="V1015" s="53" t="str">
        <f t="shared" si="422"/>
        <v>n/a</v>
      </c>
      <c r="W1015" s="52" t="str">
        <f t="shared" si="423"/>
        <v/>
      </c>
      <c r="X1015" s="52">
        <f>IFERROR(IF(AND(AR1016=AR1015,AM1015&lt;&gt;""),INDEX('Aub Demand'!Q:Q,MATCH($O1015,'Aub Demand'!$A:$A,0))-IF(AN1015="",0,AN1015)+AP1016+AD1015+AL1015,IF(AR1016=AR1015,INDEX('Aub Demand'!Q:Q,MATCH($O1015,'Aub Demand'!$A:$A,0))-IF(AN1015="",0,AN1015)+AP1016+AD1015,IF(AM1015&lt;&gt;"",INDEX('Aub Demand'!Q:Q,MATCH($O1015,'Aub Demand'!$A:$A,0))-IF(AN1015="",0,AN1015)+AD1015+AL1015,INDEX('Aub Demand'!Q:Q,MATCH($O1015,'Aub Demand'!$A:$A,0))-IF(AN1015="",0,AN1015)+AD1015))),"")</f>
        <v>591</v>
      </c>
      <c r="Y1015" s="53" t="str">
        <f t="shared" si="424"/>
        <v>n/a</v>
      </c>
      <c r="Z1015" s="52">
        <f>IF(L1015="","",INDEX('Aub Demand'!H:H,MATCH($O1015,'Aub Demand'!$A:$A,0)))</f>
        <v>0</v>
      </c>
      <c r="AA1015" s="52" t="str">
        <f t="shared" si="425"/>
        <v>-spike-</v>
      </c>
      <c r="AB1015" s="52">
        <f>IFERROR(INDEX('Aub Demand'!L:L,MATCH($O1015,'Aub Demand'!$A:$A,0)),"")</f>
        <v>0</v>
      </c>
      <c r="AC1015" s="52">
        <f>IFERROR(IF(O1015="","",SUMIFS('CPL Mats'!F:F,'CPL Mats'!Q:Q,AR1015,'CPL Mats'!S:S,AS1015)),"")</f>
        <v>0</v>
      </c>
      <c r="AF1015" s="25" t="str">
        <f>IF(SUMIFS('Supp Consol'!S:S,'Supp Consol'!Y:Y,"Releasable",'Supp Consol'!A:A,O1015)=0,"",SUMIFS('Supp Consol'!S:S,'Supp Consol'!Y:Y,"Releasable",'Supp Consol'!A:A,O1015))</f>
        <v/>
      </c>
      <c r="AG1015" s="25" t="str">
        <f>IFERROR(INDEX('Hun Demand'!Q:Q,MATCH(O1015,'Hun Demand'!A:A,0)),"")</f>
        <v/>
      </c>
      <c r="AH1015" s="25" t="str">
        <f>IFERROR(INDEX('Hun Demand'!H:H,MATCH($O1015,'Hun Demand'!$A:$A,0)),"")</f>
        <v/>
      </c>
      <c r="AI1015" s="25" t="str">
        <f>IF(SUMIFS('Supp Consol'!AA:AA,'Supp Consol'!Z:Z,"Expires this month",'Supp Consol'!A:A,O1015)=0,"",SUMIFS('Supp Consol'!AA:AA,'Supp Consol'!Z:Z,"Expires this month",'Supp Consol'!A:A,O1015))</f>
        <v/>
      </c>
      <c r="AJ1015" s="25" t="str">
        <f>IF(SUMIFS('Supp Consol'!AA:AA,'Supp Consol'!Z:Z,"Expired Previous Months",'Supp Consol'!A:A,O1015)=0,"",SUMIFS('Supp Consol'!AA:AA,'Supp Consol'!Z:Z,"Expired Previous Months",'Supp Consol'!A:A,O1015))</f>
        <v/>
      </c>
      <c r="AK1015" s="25" t="str">
        <f>IFERROR(INDEX('Hun Release Current'!B:B,MATCH(O1015,'Hun Release Current'!A:A,0)),"")</f>
        <v/>
      </c>
      <c r="AL1015" s="25" t="str">
        <f>IF(SUMIF('Prev Aub'!A:A,O1015,'Prev Aub'!B:B)=0,"",SUMIF('Prev Aub'!A:A,O1015,'Prev Aub'!B:B))</f>
        <v/>
      </c>
      <c r="AN1015" s="25" t="s">
        <v>3790</v>
      </c>
      <c r="AO1015" s="25" t="s">
        <v>3790</v>
      </c>
      <c r="AP1015" s="25">
        <f t="shared" si="426"/>
        <v>0</v>
      </c>
      <c r="AQ1015" s="151" t="str">
        <f>IF(SUMIFS('Supp Consol'!S:S,'Supp Consol'!A:A,O1015,'Supp Consol'!I:I,"PENDING")=0,"",SUMIFS('Supp Consol'!S:S,'Supp Consol'!A:A,O1015,'Supp Consol'!I:I,"PENDING"))</f>
        <v/>
      </c>
      <c r="AR1015" s="27" t="str">
        <f t="shared" si="427"/>
        <v>SECND</v>
      </c>
      <c r="AS1015" s="27" t="str">
        <f t="shared" si="428"/>
        <v>50</v>
      </c>
      <c r="AT1015" s="27" t="str">
        <f t="shared" si="429"/>
        <v/>
      </c>
      <c r="AU1015" s="27" t="str">
        <f t="shared" si="430"/>
        <v/>
      </c>
      <c r="AV1015" s="27" t="str">
        <f t="shared" si="431"/>
        <v/>
      </c>
      <c r="AW1015" s="27" t="str">
        <f t="shared" si="432"/>
        <v/>
      </c>
      <c r="AX1015" s="27" t="str">
        <f t="shared" si="433"/>
        <v/>
      </c>
      <c r="AY1015" s="27" t="str">
        <f t="shared" si="434"/>
        <v/>
      </c>
      <c r="AZ1015" s="27" t="str">
        <f t="shared" si="435"/>
        <v/>
      </c>
      <c r="BA1015" s="27" t="str">
        <f t="shared" si="436"/>
        <v/>
      </c>
      <c r="BB1015" s="27" t="str">
        <f t="shared" si="437"/>
        <v/>
      </c>
      <c r="BC1015" s="27" t="str">
        <f t="shared" si="438"/>
        <v/>
      </c>
      <c r="BD1015" s="27" t="str">
        <f t="shared" si="439"/>
        <v/>
      </c>
      <c r="BE1015" s="27" t="str">
        <f t="shared" si="440"/>
        <v/>
      </c>
      <c r="BF1015" s="27" t="str">
        <f t="shared" si="441"/>
        <v/>
      </c>
      <c r="BG1015" s="27" t="str">
        <f t="shared" si="442"/>
        <v/>
      </c>
      <c r="BH1015" s="27" t="str">
        <f t="shared" si="443"/>
        <v/>
      </c>
      <c r="BI1015" s="27" t="str">
        <f t="shared" si="444"/>
        <v/>
      </c>
      <c r="BJ1015" s="27" t="str">
        <f t="shared" si="445"/>
        <v/>
      </c>
      <c r="BK1015" s="27" t="str">
        <f t="shared" si="446"/>
        <v/>
      </c>
      <c r="BL1015" s="27" t="str">
        <f t="shared" si="447"/>
        <v/>
      </c>
      <c r="BM1015" s="21" t="s">
        <v>3790</v>
      </c>
    </row>
    <row r="1016" spans="1:65" ht="15">
      <c r="A1016" s="25" t="str">
        <f>IFERROR(INDEX('Hun Demand'!W:W,MATCH(O1016,'Hun Demand'!A:A,0)),"")</f>
        <v/>
      </c>
      <c r="B1016" s="25" t="str">
        <f>IFERROR(INDEX('Hun Demand'!V:V,MATCH(O1016,'Hun Demand'!A:A,0)),"")</f>
        <v/>
      </c>
      <c r="C1016" s="25" t="str">
        <f>IFERROR(INDEX('Hun Demand'!U:U,MATCH(O1016,'Hun Demand'!A:A,0)),"")</f>
        <v/>
      </c>
      <c r="D1016" s="25" t="str">
        <f>IFERROR(INDEX('Hun Demand'!T:T,MATCH(O1016,'Hun Demand'!A:A,0)),"")</f>
        <v/>
      </c>
      <c r="E1016" s="25" t="str">
        <f>IFERROR(INDEX('Hun Demand'!S:S,MATCH(O1016,'Hun Demand'!A:A,0)),"")</f>
        <v/>
      </c>
      <c r="F1016" s="25" t="str">
        <f>IFERROR(INDEX('Hun Demand'!R:R,MATCH(O1016,'Hun Demand'!A:A,0)),"")</f>
        <v/>
      </c>
      <c r="G1016" s="25">
        <f>IFERROR(INDEX('Aub Demand'!W:W,MATCH(O1016,'Aub Demand'!A:A,0)),"")</f>
        <v>0</v>
      </c>
      <c r="H1016" s="25">
        <f>IFERROR(INDEX('Aub Demand'!V:V,MATCH(O1016,'Aub Demand'!A:A,0)),"")</f>
        <v>0</v>
      </c>
      <c r="I1016" s="25">
        <f>IFERROR(INDEX('Aub Demand'!U:U,MATCH(O1016,'Aub Demand'!A:A,0)),"")</f>
        <v>0</v>
      </c>
      <c r="J1016" s="25">
        <f>IFERROR(INDEX('Aub Demand'!T:T,MATCH(O1016,'Aub Demand'!A:A,0)),"")</f>
        <v>0</v>
      </c>
      <c r="K1016" s="25">
        <f>IFERROR(INDEX('Aub Demand'!S:S,MATCH(O1016,'Aub Demand'!A:A,0)),"")</f>
        <v>0</v>
      </c>
      <c r="L1016" s="25">
        <f>IFERROR(INDEX('Aub Demand'!R:R,MATCH(O1016,'Aub Demand'!A:A,0)),"")</f>
        <v>0</v>
      </c>
      <c r="O1016" s="27" t="s">
        <v>5356</v>
      </c>
      <c r="P1016" s="27" t="str">
        <f>IFERROR(INDEX('Aub Demand'!B:B,MATCH($O1016,'Aub Demand'!$A:$A,0)),"")</f>
        <v>OBSOLETE PAPER</v>
      </c>
      <c r="Q1016" s="27">
        <f>IFERROR(INDEX('Aub Demand'!C:C,MATCH($O1016,'Aub Demand'!$A:$A,0)),"")</f>
        <v>0</v>
      </c>
      <c r="R1016" s="52">
        <f>IFERROR(IF(AR1017=AR1016,INDEX('Aub Demand'!K:K,MATCH($O1016,'Aub Demand'!$A:$A,0))-IF(AN1016="",0,AN1016)+AP1017,INDEX('Aub Demand'!K:K,MATCH($O1016,'Aub Demand'!$A:$A,0))-IF(AN1016="",0,AN1016)),"")</f>
        <v>984</v>
      </c>
      <c r="S1016" s="53" t="str">
        <f t="shared" si="420"/>
        <v>n/a</v>
      </c>
      <c r="T1016" s="52" t="str">
        <f t="shared" si="421"/>
        <v/>
      </c>
      <c r="U1016" s="52">
        <f>IFERROR(IF(AR1017=AR1016,INDEX('Aub Demand'!Q:Q,MATCH($O1016,'Aub Demand'!$A:$A,0))-IF(AN1016="",0,AN1016)+AP1017,INDEX('Aub Demand'!Q:Q,MATCH($O1016,'Aub Demand'!$A:$A,0))-IF(AN1016="",0,AN1016)),"")</f>
        <v>984</v>
      </c>
      <c r="V1016" s="53" t="str">
        <f t="shared" si="422"/>
        <v>n/a</v>
      </c>
      <c r="W1016" s="52" t="str">
        <f t="shared" si="423"/>
        <v/>
      </c>
      <c r="X1016" s="52">
        <f>IFERROR(IF(AND(AR1017=AR1016,AM1016&lt;&gt;""),INDEX('Aub Demand'!Q:Q,MATCH($O1016,'Aub Demand'!$A:$A,0))-IF(AN1016="",0,AN1016)+AP1017+AD1016+AL1016,IF(AR1017=AR1016,INDEX('Aub Demand'!Q:Q,MATCH($O1016,'Aub Demand'!$A:$A,0))-IF(AN1016="",0,AN1016)+AP1017+AD1016,IF(AM1016&lt;&gt;"",INDEX('Aub Demand'!Q:Q,MATCH($O1016,'Aub Demand'!$A:$A,0))-IF(AN1016="",0,AN1016)+AD1016+AL1016,INDEX('Aub Demand'!Q:Q,MATCH($O1016,'Aub Demand'!$A:$A,0))-IF(AN1016="",0,AN1016)+AD1016))),"")</f>
        <v>984</v>
      </c>
      <c r="Y1016" s="53" t="str">
        <f t="shared" si="424"/>
        <v>n/a</v>
      </c>
      <c r="Z1016" s="52">
        <f>IF(L1016="","",INDEX('Aub Demand'!H:H,MATCH($O1016,'Aub Demand'!$A:$A,0)))</f>
        <v>0</v>
      </c>
      <c r="AA1016" s="52" t="str">
        <f t="shared" si="425"/>
        <v>-spike-</v>
      </c>
      <c r="AB1016" s="52">
        <f>IFERROR(INDEX('Aub Demand'!L:L,MATCH($O1016,'Aub Demand'!$A:$A,0)),"")</f>
        <v>306</v>
      </c>
      <c r="AC1016" s="52">
        <f>IFERROR(IF(O1016="","",SUMIFS('CPL Mats'!F:F,'CPL Mats'!Q:Q,AR1016,'CPL Mats'!S:S,AS1016)),"")</f>
        <v>0</v>
      </c>
      <c r="AF1016" s="25" t="str">
        <f>IF(SUMIFS('Supp Consol'!S:S,'Supp Consol'!Y:Y,"Releasable",'Supp Consol'!A:A,O1016)=0,"",SUMIFS('Supp Consol'!S:S,'Supp Consol'!Y:Y,"Releasable",'Supp Consol'!A:A,O1016))</f>
        <v/>
      </c>
      <c r="AG1016" s="25" t="str">
        <f>IFERROR(INDEX('Hun Demand'!Q:Q,MATCH(O1016,'Hun Demand'!A:A,0)),"")</f>
        <v/>
      </c>
      <c r="AH1016" s="25" t="str">
        <f>IFERROR(INDEX('Hun Demand'!H:H,MATCH($O1016,'Hun Demand'!$A:$A,0)),"")</f>
        <v/>
      </c>
      <c r="AI1016" s="25" t="str">
        <f>IF(SUMIFS('Supp Consol'!AA:AA,'Supp Consol'!Z:Z,"Expires this month",'Supp Consol'!A:A,O1016)=0,"",SUMIFS('Supp Consol'!AA:AA,'Supp Consol'!Z:Z,"Expires this month",'Supp Consol'!A:A,O1016))</f>
        <v/>
      </c>
      <c r="AJ1016" s="25" t="str">
        <f>IF(SUMIFS('Supp Consol'!AA:AA,'Supp Consol'!Z:Z,"Expired Previous Months",'Supp Consol'!A:A,O1016)=0,"",SUMIFS('Supp Consol'!AA:AA,'Supp Consol'!Z:Z,"Expired Previous Months",'Supp Consol'!A:A,O1016))</f>
        <v/>
      </c>
      <c r="AK1016" s="25" t="str">
        <f>IFERROR(INDEX('Hun Release Current'!B:B,MATCH(O1016,'Hun Release Current'!A:A,0)),"")</f>
        <v/>
      </c>
      <c r="AL1016" s="25" t="str">
        <f>IF(SUMIF('Prev Aub'!A:A,O1016,'Prev Aub'!B:B)=0,"",SUMIF('Prev Aub'!A:A,O1016,'Prev Aub'!B:B))</f>
        <v/>
      </c>
      <c r="AN1016" s="25" t="s">
        <v>3790</v>
      </c>
      <c r="AO1016" s="25" t="s">
        <v>3790</v>
      </c>
      <c r="AP1016" s="25">
        <f t="shared" si="426"/>
        <v>0</v>
      </c>
      <c r="AQ1016" s="151" t="str">
        <f>IF(SUMIFS('Supp Consol'!S:S,'Supp Consol'!A:A,O1016,'Supp Consol'!I:I,"PENDING")=0,"",SUMIFS('Supp Consol'!S:S,'Supp Consol'!A:A,O1016,'Supp Consol'!I:I,"PENDING"))</f>
        <v/>
      </c>
      <c r="AR1016" s="27" t="str">
        <f t="shared" si="427"/>
        <v>SECND</v>
      </c>
      <c r="AS1016" s="27" t="str">
        <f t="shared" si="428"/>
        <v>62</v>
      </c>
      <c r="AT1016" s="27" t="str">
        <f t="shared" si="429"/>
        <v/>
      </c>
      <c r="AU1016" s="27" t="str">
        <f t="shared" si="430"/>
        <v/>
      </c>
      <c r="AV1016" s="27" t="str">
        <f t="shared" si="431"/>
        <v/>
      </c>
      <c r="AW1016" s="27" t="str">
        <f t="shared" si="432"/>
        <v/>
      </c>
      <c r="AX1016" s="27" t="str">
        <f t="shared" si="433"/>
        <v/>
      </c>
      <c r="AY1016" s="27" t="str">
        <f t="shared" si="434"/>
        <v/>
      </c>
      <c r="AZ1016" s="27" t="str">
        <f t="shared" si="435"/>
        <v/>
      </c>
      <c r="BA1016" s="27" t="str">
        <f t="shared" si="436"/>
        <v/>
      </c>
      <c r="BB1016" s="27" t="str">
        <f t="shared" si="437"/>
        <v/>
      </c>
      <c r="BC1016" s="27" t="str">
        <f t="shared" si="438"/>
        <v/>
      </c>
      <c r="BD1016" s="27" t="str">
        <f t="shared" si="439"/>
        <v/>
      </c>
      <c r="BE1016" s="27" t="str">
        <f t="shared" si="440"/>
        <v/>
      </c>
      <c r="BF1016" s="27" t="str">
        <f t="shared" si="441"/>
        <v/>
      </c>
      <c r="BG1016" s="27" t="str">
        <f t="shared" si="442"/>
        <v/>
      </c>
      <c r="BH1016" s="27" t="str">
        <f t="shared" si="443"/>
        <v/>
      </c>
      <c r="BI1016" s="27" t="str">
        <f t="shared" si="444"/>
        <v/>
      </c>
      <c r="BJ1016" s="27" t="str">
        <f t="shared" si="445"/>
        <v/>
      </c>
      <c r="BK1016" s="27" t="str">
        <f t="shared" si="446"/>
        <v/>
      </c>
      <c r="BL1016" s="27" t="str">
        <f t="shared" si="447"/>
        <v/>
      </c>
      <c r="BM1016" s="21" t="s">
        <v>3790</v>
      </c>
    </row>
    <row r="1017" spans="1:65" ht="15">
      <c r="A1017" s="25" t="str">
        <f>IFERROR(INDEX('Hun Demand'!W:W,MATCH(O1017,'Hun Demand'!A:A,0)),"")</f>
        <v/>
      </c>
      <c r="B1017" s="25" t="str">
        <f>IFERROR(INDEX('Hun Demand'!V:V,MATCH(O1017,'Hun Demand'!A:A,0)),"")</f>
        <v/>
      </c>
      <c r="C1017" s="25" t="str">
        <f>IFERROR(INDEX('Hun Demand'!U:U,MATCH(O1017,'Hun Demand'!A:A,0)),"")</f>
        <v/>
      </c>
      <c r="D1017" s="25" t="str">
        <f>IFERROR(INDEX('Hun Demand'!T:T,MATCH(O1017,'Hun Demand'!A:A,0)),"")</f>
        <v/>
      </c>
      <c r="E1017" s="25" t="str">
        <f>IFERROR(INDEX('Hun Demand'!S:S,MATCH(O1017,'Hun Demand'!A:A,0)),"")</f>
        <v/>
      </c>
      <c r="F1017" s="25" t="str">
        <f>IFERROR(INDEX('Hun Demand'!R:R,MATCH(O1017,'Hun Demand'!A:A,0)),"")</f>
        <v/>
      </c>
      <c r="G1017" s="25">
        <f>IFERROR(INDEX('Aub Demand'!W:W,MATCH(O1017,'Aub Demand'!A:A,0)),"")</f>
        <v>0</v>
      </c>
      <c r="H1017" s="25">
        <f>IFERROR(INDEX('Aub Demand'!V:V,MATCH(O1017,'Aub Demand'!A:A,0)),"")</f>
        <v>19</v>
      </c>
      <c r="I1017" s="25">
        <f>IFERROR(INDEX('Aub Demand'!U:U,MATCH(O1017,'Aub Demand'!A:A,0)),"")</f>
        <v>58</v>
      </c>
      <c r="J1017" s="25">
        <f>IFERROR(INDEX('Aub Demand'!T:T,MATCH(O1017,'Aub Demand'!A:A,0)),"")</f>
        <v>26</v>
      </c>
      <c r="K1017" s="25">
        <f>IFERROR(INDEX('Aub Demand'!S:S,MATCH(O1017,'Aub Demand'!A:A,0)),"")</f>
        <v>260</v>
      </c>
      <c r="L1017" s="25">
        <f>IFERROR(INDEX('Aub Demand'!R:R,MATCH(O1017,'Aub Demand'!A:A,0)),"")</f>
        <v>0</v>
      </c>
      <c r="O1017" s="27" t="s">
        <v>2601</v>
      </c>
      <c r="P1017" s="27" t="str">
        <f>IFERROR(INDEX('Aub Demand'!B:B,MATCH($O1017,'Aub Demand'!$A:$A,0)),"")</f>
        <v>GARDEN MIST 48"</v>
      </c>
      <c r="Q1017" s="27" t="str">
        <f>IFERROR(INDEX('Aub Demand'!C:C,MATCH($O1017,'Aub Demand'!$A:$A,0)),"")</f>
        <v>ONYX</v>
      </c>
      <c r="R1017" s="52">
        <f>IFERROR(IF(AR1018=AR1017,INDEX('Aub Demand'!K:K,MATCH($O1017,'Aub Demand'!$A:$A,0))-IF(AN1017="",0,AN1017)+AP1018,INDEX('Aub Demand'!K:K,MATCH($O1017,'Aub Demand'!$A:$A,0))-IF(AN1017="",0,AN1017)),"")</f>
        <v>0</v>
      </c>
      <c r="S1017" s="53">
        <f t="shared" si="420"/>
        <v>0</v>
      </c>
      <c r="T1017" s="52">
        <f t="shared" si="421"/>
        <v>119.25</v>
      </c>
      <c r="U1017" s="52">
        <f>IFERROR(IF(AR1018=AR1017,INDEX('Aub Demand'!Q:Q,MATCH($O1017,'Aub Demand'!$A:$A,0))-IF(AN1017="",0,AN1017)+AP1018,INDEX('Aub Demand'!Q:Q,MATCH($O1017,'Aub Demand'!$A:$A,0))-IF(AN1017="",0,AN1017)),"")</f>
        <v>-165</v>
      </c>
      <c r="V1017" s="53">
        <f t="shared" si="422"/>
        <v>-6.1</v>
      </c>
      <c r="W1017" s="52">
        <f t="shared" si="423"/>
        <v>361.72499999999997</v>
      </c>
      <c r="X1017" s="52">
        <f>IFERROR(IF(AND(AR1018=AR1017,AM1017&lt;&gt;""),INDEX('Aub Demand'!Q:Q,MATCH($O1017,'Aub Demand'!$A:$A,0))-IF(AN1017="",0,AN1017)+AP1018+AD1017+AL1017,IF(AR1018=AR1017,INDEX('Aub Demand'!Q:Q,MATCH($O1017,'Aub Demand'!$A:$A,0))-IF(AN1017="",0,AN1017)+AP1018+AD1017,IF(AM1017&lt;&gt;"",INDEX('Aub Demand'!Q:Q,MATCH($O1017,'Aub Demand'!$A:$A,0))-IF(AN1017="",0,AN1017)+AD1017+AL1017,INDEX('Aub Demand'!Q:Q,MATCH($O1017,'Aub Demand'!$A:$A,0))-IF(AN1017="",0,AN1017)+AD1017))),"")</f>
        <v>-165</v>
      </c>
      <c r="Y1017" s="53">
        <f t="shared" si="424"/>
        <v>-6.1</v>
      </c>
      <c r="Z1017" s="52">
        <f>IF(L1017="","",INDEX('Aub Demand'!H:H,MATCH($O1017,'Aub Demand'!$A:$A,0)))</f>
        <v>115</v>
      </c>
      <c r="AA1017" s="52">
        <f t="shared" si="425"/>
        <v>159</v>
      </c>
      <c r="AB1017" s="52">
        <f>IFERROR(INDEX('Aub Demand'!L:L,MATCH($O1017,'Aub Demand'!$A:$A,0)),"")</f>
        <v>41</v>
      </c>
      <c r="AC1017" s="52">
        <f>IFERROR(IF(O1017="","",SUMIFS('CPL Mats'!F:F,'CPL Mats'!Q:Q,AR1017,'CPL Mats'!S:S,AS1017)),"")</f>
        <v>0</v>
      </c>
      <c r="AF1017" s="25" t="str">
        <f>IF(SUMIFS('Supp Consol'!S:S,'Supp Consol'!Y:Y,"Releasable",'Supp Consol'!A:A,O1017)=0,"",SUMIFS('Supp Consol'!S:S,'Supp Consol'!Y:Y,"Releasable",'Supp Consol'!A:A,O1017))</f>
        <v/>
      </c>
      <c r="AG1017" s="25" t="str">
        <f>IFERROR(INDEX('Hun Demand'!Q:Q,MATCH(O1017,'Hun Demand'!A:A,0)),"")</f>
        <v/>
      </c>
      <c r="AH1017" s="25" t="str">
        <f>IFERROR(INDEX('Hun Demand'!H:H,MATCH($O1017,'Hun Demand'!$A:$A,0)),"")</f>
        <v/>
      </c>
      <c r="AI1017" s="25" t="str">
        <f>IF(SUMIFS('Supp Consol'!AA:AA,'Supp Consol'!Z:Z,"Expires this month",'Supp Consol'!A:A,O1017)=0,"",SUMIFS('Supp Consol'!AA:AA,'Supp Consol'!Z:Z,"Expires this month",'Supp Consol'!A:A,O1017))</f>
        <v/>
      </c>
      <c r="AJ1017" s="25" t="str">
        <f>IF(SUMIFS('Supp Consol'!AA:AA,'Supp Consol'!Z:Z,"Expired Previous Months",'Supp Consol'!A:A,O1017)=0,"",SUMIFS('Supp Consol'!AA:AA,'Supp Consol'!Z:Z,"Expired Previous Months",'Supp Consol'!A:A,O1017))</f>
        <v/>
      </c>
      <c r="AK1017" s="25" t="str">
        <f>IFERROR(INDEX('Hun Release Current'!B:B,MATCH(O1017,'Hun Release Current'!A:A,0)),"")</f>
        <v/>
      </c>
      <c r="AL1017" s="25" t="str">
        <f>IF(SUMIF('Prev Aub'!A:A,O1017,'Prev Aub'!B:B)=0,"",SUMIF('Prev Aub'!A:A,O1017,'Prev Aub'!B:B))</f>
        <v/>
      </c>
      <c r="AN1017" s="25" t="s">
        <v>3790</v>
      </c>
      <c r="AO1017" s="25" t="s">
        <v>3790</v>
      </c>
      <c r="AP1017" s="25">
        <f t="shared" si="426"/>
        <v>0</v>
      </c>
      <c r="AQ1017" s="151" t="str">
        <f>IF(SUMIFS('Supp Consol'!S:S,'Supp Consol'!A:A,O1017,'Supp Consol'!I:I,"PENDING")=0,"",SUMIFS('Supp Consol'!S:S,'Supp Consol'!A:A,O1017,'Supp Consol'!I:I,"PENDING"))</f>
        <v/>
      </c>
      <c r="AR1017" s="27" t="str">
        <f t="shared" si="427"/>
        <v>SG004</v>
      </c>
      <c r="AS1017" s="27" t="str">
        <f t="shared" si="428"/>
        <v>50</v>
      </c>
      <c r="AT1017" s="27" t="str">
        <f t="shared" si="429"/>
        <v>SG004</v>
      </c>
      <c r="AU1017" s="27" t="str">
        <f t="shared" si="430"/>
        <v>SG004</v>
      </c>
      <c r="AV1017" s="27" t="str">
        <f t="shared" si="431"/>
        <v>SG004</v>
      </c>
      <c r="AW1017" s="27" t="str">
        <f t="shared" si="432"/>
        <v/>
      </c>
      <c r="AX1017" s="27" t="str">
        <f t="shared" si="433"/>
        <v/>
      </c>
      <c r="AY1017" s="27" t="str">
        <f t="shared" si="434"/>
        <v/>
      </c>
      <c r="AZ1017" s="27" t="str">
        <f t="shared" si="435"/>
        <v/>
      </c>
      <c r="BA1017" s="27" t="str">
        <f t="shared" si="436"/>
        <v/>
      </c>
      <c r="BB1017" s="27" t="str">
        <f t="shared" si="437"/>
        <v>Gross</v>
      </c>
      <c r="BC1017" s="27" t="str">
        <f t="shared" si="438"/>
        <v>Net</v>
      </c>
      <c r="BD1017" s="27" t="str">
        <f t="shared" si="439"/>
        <v>Net</v>
      </c>
      <c r="BE1017" s="27" t="str">
        <f t="shared" si="440"/>
        <v/>
      </c>
      <c r="BF1017" s="27" t="str">
        <f t="shared" si="441"/>
        <v/>
      </c>
      <c r="BG1017" s="27" t="str">
        <f t="shared" si="442"/>
        <v/>
      </c>
      <c r="BH1017" s="27" t="str">
        <f t="shared" si="443"/>
        <v/>
      </c>
      <c r="BI1017" s="27" t="str">
        <f t="shared" si="444"/>
        <v/>
      </c>
      <c r="BJ1017" s="27" t="str">
        <f t="shared" si="445"/>
        <v/>
      </c>
      <c r="BK1017" s="27" t="str">
        <f t="shared" si="446"/>
        <v/>
      </c>
      <c r="BL1017" s="27" t="str">
        <f t="shared" si="447"/>
        <v/>
      </c>
      <c r="BM1017" s="21" t="s">
        <v>5581</v>
      </c>
    </row>
    <row r="1018" spans="1:65" ht="15">
      <c r="A1018" s="25" t="str">
        <f>IFERROR(INDEX('Hun Demand'!W:W,MATCH(O1018,'Hun Demand'!A:A,0)),"")</f>
        <v/>
      </c>
      <c r="B1018" s="25" t="str">
        <f>IFERROR(INDEX('Hun Demand'!V:V,MATCH(O1018,'Hun Demand'!A:A,0)),"")</f>
        <v/>
      </c>
      <c r="C1018" s="25" t="str">
        <f>IFERROR(INDEX('Hun Demand'!U:U,MATCH(O1018,'Hun Demand'!A:A,0)),"")</f>
        <v/>
      </c>
      <c r="D1018" s="25" t="str">
        <f>IFERROR(INDEX('Hun Demand'!T:T,MATCH(O1018,'Hun Demand'!A:A,0)),"")</f>
        <v/>
      </c>
      <c r="E1018" s="25" t="str">
        <f>IFERROR(INDEX('Hun Demand'!S:S,MATCH(O1018,'Hun Demand'!A:A,0)),"")</f>
        <v/>
      </c>
      <c r="F1018" s="25" t="str">
        <f>IFERROR(INDEX('Hun Demand'!R:R,MATCH(O1018,'Hun Demand'!A:A,0)),"")</f>
        <v/>
      </c>
      <c r="G1018" s="25">
        <f>IFERROR(INDEX('Aub Demand'!W:W,MATCH(O1018,'Aub Demand'!A:A,0)),"")</f>
        <v>0</v>
      </c>
      <c r="H1018" s="25">
        <f>IFERROR(INDEX('Aub Demand'!V:V,MATCH(O1018,'Aub Demand'!A:A,0)),"")</f>
        <v>0</v>
      </c>
      <c r="I1018" s="25">
        <f>IFERROR(INDEX('Aub Demand'!U:U,MATCH(O1018,'Aub Demand'!A:A,0)),"")</f>
        <v>0</v>
      </c>
      <c r="J1018" s="25">
        <f>IFERROR(INDEX('Aub Demand'!T:T,MATCH(O1018,'Aub Demand'!A:A,0)),"")</f>
        <v>125</v>
      </c>
      <c r="K1018" s="25">
        <f>IFERROR(INDEX('Aub Demand'!S:S,MATCH(O1018,'Aub Demand'!A:A,0)),"")</f>
        <v>104</v>
      </c>
      <c r="L1018" s="25">
        <f>IFERROR(INDEX('Aub Demand'!R:R,MATCH(O1018,'Aub Demand'!A:A,0)),"")</f>
        <v>0</v>
      </c>
      <c r="O1018" s="27" t="s">
        <v>2604</v>
      </c>
      <c r="P1018" s="27" t="str">
        <f>IFERROR(INDEX('Aub Demand'!B:B,MATCH($O1018,'Aub Demand'!$A:$A,0)),"")</f>
        <v>GARDEN MIST 62"</v>
      </c>
      <c r="Q1018" s="27" t="str">
        <f>IFERROR(INDEX('Aub Demand'!C:C,MATCH($O1018,'Aub Demand'!$A:$A,0)),"")</f>
        <v>ONYX</v>
      </c>
      <c r="R1018" s="52">
        <f>IFERROR(IF(AR1019=AR1018,INDEX('Aub Demand'!K:K,MATCH($O1018,'Aub Demand'!$A:$A,0))-IF(AN1018="",0,AN1018)+AP1019,INDEX('Aub Demand'!K:K,MATCH($O1018,'Aub Demand'!$A:$A,0))-IF(AN1018="",0,AN1018)),"")</f>
        <v>1135</v>
      </c>
      <c r="S1018" s="53">
        <f t="shared" si="420"/>
        <v>64</v>
      </c>
      <c r="T1018" s="52" t="str">
        <f t="shared" si="421"/>
        <v/>
      </c>
      <c r="U1018" s="52">
        <f>IFERROR(IF(AR1019=AR1018,INDEX('Aub Demand'!Q:Q,MATCH($O1018,'Aub Demand'!$A:$A,0))-IF(AN1018="",0,AN1018)+AP1019,INDEX('Aub Demand'!Q:Q,MATCH($O1018,'Aub Demand'!$A:$A,0))-IF(AN1018="",0,AN1018)),"")</f>
        <v>1058</v>
      </c>
      <c r="V1018" s="53">
        <f t="shared" si="422"/>
        <v>59.7</v>
      </c>
      <c r="W1018" s="52" t="str">
        <f t="shared" si="423"/>
        <v/>
      </c>
      <c r="X1018" s="52">
        <f>IFERROR(IF(AND(AR1019=AR1018,AM1018&lt;&gt;""),INDEX('Aub Demand'!Q:Q,MATCH($O1018,'Aub Demand'!$A:$A,0))-IF(AN1018="",0,AN1018)+AP1019+AD1018+AL1018,IF(AR1019=AR1018,INDEX('Aub Demand'!Q:Q,MATCH($O1018,'Aub Demand'!$A:$A,0))-IF(AN1018="",0,AN1018)+AP1019+AD1018,IF(AM1018&lt;&gt;"",INDEX('Aub Demand'!Q:Q,MATCH($O1018,'Aub Demand'!$A:$A,0))-IF(AN1018="",0,AN1018)+AD1018+AL1018,INDEX('Aub Demand'!Q:Q,MATCH($O1018,'Aub Demand'!$A:$A,0))-IF(AN1018="",0,AN1018)+AD1018))),"")</f>
        <v>1058</v>
      </c>
      <c r="Y1018" s="53">
        <f t="shared" si="424"/>
        <v>59.7</v>
      </c>
      <c r="Z1018" s="52">
        <f>IF(L1018="","",INDEX('Aub Demand'!H:H,MATCH($O1018,'Aub Demand'!$A:$A,0)))</f>
        <v>76</v>
      </c>
      <c r="AA1018" s="52">
        <f t="shared" si="425"/>
        <v>114.5</v>
      </c>
      <c r="AB1018" s="52">
        <f>IFERROR(INDEX('Aub Demand'!L:L,MATCH($O1018,'Aub Demand'!$A:$A,0)),"")</f>
        <v>87</v>
      </c>
      <c r="AC1018" s="52">
        <f>IFERROR(IF(O1018="","",SUMIFS('CPL Mats'!F:F,'CPL Mats'!Q:Q,AR1018,'CPL Mats'!S:S,AS1018)),"")</f>
        <v>0</v>
      </c>
      <c r="AF1018" s="25" t="str">
        <f>IF(SUMIFS('Supp Consol'!S:S,'Supp Consol'!Y:Y,"Releasable",'Supp Consol'!A:A,O1018)=0,"",SUMIFS('Supp Consol'!S:S,'Supp Consol'!Y:Y,"Releasable",'Supp Consol'!A:A,O1018))</f>
        <v/>
      </c>
      <c r="AG1018" s="25" t="str">
        <f>IFERROR(INDEX('Hun Demand'!Q:Q,MATCH(O1018,'Hun Demand'!A:A,0)),"")</f>
        <v/>
      </c>
      <c r="AH1018" s="25" t="str">
        <f>IFERROR(INDEX('Hun Demand'!H:H,MATCH($O1018,'Hun Demand'!$A:$A,0)),"")</f>
        <v/>
      </c>
      <c r="AI1018" s="25" t="str">
        <f>IF(SUMIFS('Supp Consol'!AA:AA,'Supp Consol'!Z:Z,"Expires this month",'Supp Consol'!A:A,O1018)=0,"",SUMIFS('Supp Consol'!AA:AA,'Supp Consol'!Z:Z,"Expires this month",'Supp Consol'!A:A,O1018))</f>
        <v/>
      </c>
      <c r="AJ1018" s="25" t="str">
        <f>IF(SUMIFS('Supp Consol'!AA:AA,'Supp Consol'!Z:Z,"Expired Previous Months",'Supp Consol'!A:A,O1018)=0,"",SUMIFS('Supp Consol'!AA:AA,'Supp Consol'!Z:Z,"Expired Previous Months",'Supp Consol'!A:A,O1018))</f>
        <v/>
      </c>
      <c r="AK1018" s="25" t="str">
        <f>IFERROR(INDEX('Hun Release Current'!B:B,MATCH(O1018,'Hun Release Current'!A:A,0)),"")</f>
        <v/>
      </c>
      <c r="AL1018" s="25" t="str">
        <f>IF(SUMIF('Prev Aub'!A:A,O1018,'Prev Aub'!B:B)=0,"",SUMIF('Prev Aub'!A:A,O1018,'Prev Aub'!B:B))</f>
        <v/>
      </c>
      <c r="AN1018" s="25" t="s">
        <v>3790</v>
      </c>
      <c r="AO1018" s="25" t="s">
        <v>3790</v>
      </c>
      <c r="AP1018" s="25">
        <f t="shared" si="426"/>
        <v>0</v>
      </c>
      <c r="AQ1018" s="151" t="str">
        <f>IF(SUMIFS('Supp Consol'!S:S,'Supp Consol'!A:A,O1018,'Supp Consol'!I:I,"PENDING")=0,"",SUMIFS('Supp Consol'!S:S,'Supp Consol'!A:A,O1018,'Supp Consol'!I:I,"PENDING"))</f>
        <v/>
      </c>
      <c r="AR1018" s="27" t="str">
        <f t="shared" si="427"/>
        <v>SG004</v>
      </c>
      <c r="AS1018" s="27" t="str">
        <f t="shared" si="428"/>
        <v>62</v>
      </c>
      <c r="AT1018" s="27" t="str">
        <f t="shared" si="429"/>
        <v/>
      </c>
      <c r="AU1018" s="27" t="str">
        <f t="shared" si="430"/>
        <v/>
      </c>
      <c r="AV1018" s="27" t="str">
        <f t="shared" si="431"/>
        <v/>
      </c>
      <c r="AW1018" s="27" t="str">
        <f t="shared" si="432"/>
        <v/>
      </c>
      <c r="AX1018" s="27" t="str">
        <f t="shared" si="433"/>
        <v/>
      </c>
      <c r="AY1018" s="27" t="str">
        <f t="shared" si="434"/>
        <v/>
      </c>
      <c r="AZ1018" s="27" t="str">
        <f t="shared" si="435"/>
        <v/>
      </c>
      <c r="BA1018" s="27" t="str">
        <f t="shared" si="436"/>
        <v/>
      </c>
      <c r="BB1018" s="27" t="str">
        <f t="shared" si="437"/>
        <v>Gross</v>
      </c>
      <c r="BC1018" s="27" t="str">
        <f t="shared" si="438"/>
        <v>Net</v>
      </c>
      <c r="BD1018" s="27" t="str">
        <f t="shared" si="439"/>
        <v>Net</v>
      </c>
      <c r="BE1018" s="27" t="str">
        <f t="shared" si="440"/>
        <v/>
      </c>
      <c r="BF1018" s="27" t="str">
        <f t="shared" si="441"/>
        <v/>
      </c>
      <c r="BG1018" s="27" t="str">
        <f t="shared" si="442"/>
        <v/>
      </c>
      <c r="BH1018" s="27" t="str">
        <f t="shared" si="443"/>
        <v/>
      </c>
      <c r="BI1018" s="27" t="str">
        <f t="shared" si="444"/>
        <v/>
      </c>
      <c r="BJ1018" s="27" t="str">
        <f t="shared" si="445"/>
        <v/>
      </c>
      <c r="BK1018" s="27" t="str">
        <f t="shared" si="446"/>
        <v/>
      </c>
      <c r="BL1018" s="27" t="str">
        <f t="shared" si="447"/>
        <v/>
      </c>
      <c r="BM1018" s="21" t="s">
        <v>5581</v>
      </c>
    </row>
    <row r="1019" spans="1:65" ht="15">
      <c r="A1019" s="25" t="str">
        <f>IFERROR(INDEX('Hun Demand'!W:W,MATCH(O1019,'Hun Demand'!A:A,0)),"")</f>
        <v/>
      </c>
      <c r="B1019" s="25" t="str">
        <f>IFERROR(INDEX('Hun Demand'!V:V,MATCH(O1019,'Hun Demand'!A:A,0)),"")</f>
        <v/>
      </c>
      <c r="C1019" s="25" t="str">
        <f>IFERROR(INDEX('Hun Demand'!U:U,MATCH(O1019,'Hun Demand'!A:A,0)),"")</f>
        <v/>
      </c>
      <c r="D1019" s="25" t="str">
        <f>IFERROR(INDEX('Hun Demand'!T:T,MATCH(O1019,'Hun Demand'!A:A,0)),"")</f>
        <v/>
      </c>
      <c r="E1019" s="25" t="str">
        <f>IFERROR(INDEX('Hun Demand'!S:S,MATCH(O1019,'Hun Demand'!A:A,0)),"")</f>
        <v/>
      </c>
      <c r="F1019" s="25" t="str">
        <f>IFERROR(INDEX('Hun Demand'!R:R,MATCH(O1019,'Hun Demand'!A:A,0)),"")</f>
        <v/>
      </c>
      <c r="G1019" s="25">
        <f>IFERROR(INDEX('Aub Demand'!W:W,MATCH(O1019,'Aub Demand'!A:A,0)),"")</f>
        <v>0</v>
      </c>
      <c r="H1019" s="25">
        <f>IFERROR(INDEX('Aub Demand'!V:V,MATCH(O1019,'Aub Demand'!A:A,0)),"")</f>
        <v>0</v>
      </c>
      <c r="I1019" s="25">
        <f>IFERROR(INDEX('Aub Demand'!U:U,MATCH(O1019,'Aub Demand'!A:A,0)),"")</f>
        <v>0</v>
      </c>
      <c r="J1019" s="25">
        <f>IFERROR(INDEX('Aub Demand'!T:T,MATCH(O1019,'Aub Demand'!A:A,0)),"")</f>
        <v>0</v>
      </c>
      <c r="K1019" s="25">
        <f>IFERROR(INDEX('Aub Demand'!S:S,MATCH(O1019,'Aub Demand'!A:A,0)),"")</f>
        <v>0</v>
      </c>
      <c r="L1019" s="25">
        <f>IFERROR(INDEX('Aub Demand'!R:R,MATCH(O1019,'Aub Demand'!A:A,0)),"")</f>
        <v>0</v>
      </c>
      <c r="O1019" s="27" t="s">
        <v>1401</v>
      </c>
      <c r="P1019" s="27" t="str">
        <f>IFERROR(INDEX('Aub Demand'!B:B,MATCH($O1019,'Aub Demand'!$A:$A,0)),"")</f>
        <v>PUMICE</v>
      </c>
      <c r="Q1019" s="27" t="str">
        <f>IFERROR(INDEX('Aub Demand'!C:C,MATCH($O1019,'Aub Demand'!$A:$A,0)),"")</f>
        <v>ONYX</v>
      </c>
      <c r="R1019" s="52">
        <f>IFERROR(IF(AR1020=AR1019,INDEX('Aub Demand'!K:K,MATCH($O1019,'Aub Demand'!$A:$A,0))-IF(AN1019="",0,AN1019)+AP1020,INDEX('Aub Demand'!K:K,MATCH($O1019,'Aub Demand'!$A:$A,0))-IF(AN1019="",0,AN1019)),"")</f>
        <v>2001</v>
      </c>
      <c r="S1019" s="53" t="str">
        <f t="shared" si="420"/>
        <v>n/a</v>
      </c>
      <c r="T1019" s="52" t="str">
        <f t="shared" si="421"/>
        <v/>
      </c>
      <c r="U1019" s="52">
        <f>IFERROR(IF(AR1020=AR1019,INDEX('Aub Demand'!Q:Q,MATCH($O1019,'Aub Demand'!$A:$A,0))-IF(AN1019="",0,AN1019)+AP1020,INDEX('Aub Demand'!Q:Q,MATCH($O1019,'Aub Demand'!$A:$A,0))-IF(AN1019="",0,AN1019)),"")</f>
        <v>2001</v>
      </c>
      <c r="V1019" s="53" t="str">
        <f t="shared" si="422"/>
        <v>n/a</v>
      </c>
      <c r="W1019" s="52" t="str">
        <f t="shared" si="423"/>
        <v/>
      </c>
      <c r="X1019" s="52">
        <f>IFERROR(IF(AND(AR1020=AR1019,AM1019&lt;&gt;""),INDEX('Aub Demand'!Q:Q,MATCH($O1019,'Aub Demand'!$A:$A,0))-IF(AN1019="",0,AN1019)+AP1020+AD1019+AL1019,IF(AR1020=AR1019,INDEX('Aub Demand'!Q:Q,MATCH($O1019,'Aub Demand'!$A:$A,0))-IF(AN1019="",0,AN1019)+AP1020+AD1019,IF(AM1019&lt;&gt;"",INDEX('Aub Demand'!Q:Q,MATCH($O1019,'Aub Demand'!$A:$A,0))-IF(AN1019="",0,AN1019)+AD1019+AL1019,INDEX('Aub Demand'!Q:Q,MATCH($O1019,'Aub Demand'!$A:$A,0))-IF(AN1019="",0,AN1019)+AD1019))),"")</f>
        <v>2001</v>
      </c>
      <c r="Y1019" s="53" t="str">
        <f t="shared" si="424"/>
        <v>n/a</v>
      </c>
      <c r="Z1019" s="52">
        <f>IF(L1019="","",INDEX('Aub Demand'!H:H,MATCH($O1019,'Aub Demand'!$A:$A,0)))</f>
        <v>0</v>
      </c>
      <c r="AA1019" s="52" t="str">
        <f t="shared" si="425"/>
        <v>-spike-</v>
      </c>
      <c r="AB1019" s="52">
        <f>IFERROR(INDEX('Aub Demand'!L:L,MATCH($O1019,'Aub Demand'!$A:$A,0)),"")</f>
        <v>0</v>
      </c>
      <c r="AC1019" s="52">
        <f>IFERROR(IF(O1019="","",SUMIFS('CPL Mats'!F:F,'CPL Mats'!Q:Q,AR1019,'CPL Mats'!S:S,AS1019)),"")</f>
        <v>0</v>
      </c>
      <c r="AF1019" s="25" t="str">
        <f>IF(SUMIFS('Supp Consol'!S:S,'Supp Consol'!Y:Y,"Releasable",'Supp Consol'!A:A,O1019)=0,"",SUMIFS('Supp Consol'!S:S,'Supp Consol'!Y:Y,"Releasable",'Supp Consol'!A:A,O1019))</f>
        <v/>
      </c>
      <c r="AG1019" s="25" t="str">
        <f>IFERROR(INDEX('Hun Demand'!Q:Q,MATCH(O1019,'Hun Demand'!A:A,0)),"")</f>
        <v/>
      </c>
      <c r="AH1019" s="25" t="str">
        <f>IFERROR(INDEX('Hun Demand'!H:H,MATCH($O1019,'Hun Demand'!$A:$A,0)),"")</f>
        <v/>
      </c>
      <c r="AI1019" s="25" t="str">
        <f>IF(SUMIFS('Supp Consol'!AA:AA,'Supp Consol'!Z:Z,"Expires this month",'Supp Consol'!A:A,O1019)=0,"",SUMIFS('Supp Consol'!AA:AA,'Supp Consol'!Z:Z,"Expires this month",'Supp Consol'!A:A,O1019))</f>
        <v/>
      </c>
      <c r="AJ1019" s="25" t="str">
        <f>IF(SUMIFS('Supp Consol'!AA:AA,'Supp Consol'!Z:Z,"Expired Previous Months",'Supp Consol'!A:A,O1019)=0,"",SUMIFS('Supp Consol'!AA:AA,'Supp Consol'!Z:Z,"Expired Previous Months",'Supp Consol'!A:A,O1019))</f>
        <v/>
      </c>
      <c r="AK1019" s="25" t="str">
        <f>IFERROR(INDEX('Hun Release Current'!B:B,MATCH(O1019,'Hun Release Current'!A:A,0)),"")</f>
        <v/>
      </c>
      <c r="AL1019" s="25" t="str">
        <f>IF(SUMIF('Prev Aub'!A:A,O1019,'Prev Aub'!B:B)=0,"",SUMIF('Prev Aub'!A:A,O1019,'Prev Aub'!B:B))</f>
        <v/>
      </c>
      <c r="AN1019" s="25" t="s">
        <v>3790</v>
      </c>
      <c r="AO1019" s="25" t="s">
        <v>3790</v>
      </c>
      <c r="AP1019" s="25">
        <f t="shared" si="426"/>
        <v>0</v>
      </c>
      <c r="AQ1019" s="151" t="str">
        <f>IF(SUMIFS('Supp Consol'!S:S,'Supp Consol'!A:A,O1019,'Supp Consol'!I:I,"PENDING")=0,"",SUMIFS('Supp Consol'!S:S,'Supp Consol'!A:A,O1019,'Supp Consol'!I:I,"PENDING"))</f>
        <v/>
      </c>
      <c r="AR1019" s="27" t="str">
        <f t="shared" si="427"/>
        <v>SG203</v>
      </c>
      <c r="AS1019" s="27" t="str">
        <f t="shared" si="428"/>
        <v>37</v>
      </c>
      <c r="AT1019" s="27" t="str">
        <f t="shared" si="429"/>
        <v/>
      </c>
      <c r="AU1019" s="27" t="str">
        <f t="shared" si="430"/>
        <v/>
      </c>
      <c r="AV1019" s="27" t="str">
        <f t="shared" si="431"/>
        <v/>
      </c>
      <c r="AW1019" s="27" t="str">
        <f t="shared" si="432"/>
        <v/>
      </c>
      <c r="AX1019" s="27" t="str">
        <f t="shared" si="433"/>
        <v/>
      </c>
      <c r="AY1019" s="27" t="str">
        <f t="shared" si="434"/>
        <v/>
      </c>
      <c r="AZ1019" s="27" t="str">
        <f t="shared" si="435"/>
        <v/>
      </c>
      <c r="BA1019" s="27" t="str">
        <f t="shared" si="436"/>
        <v/>
      </c>
      <c r="BB1019" s="27" t="str">
        <f t="shared" si="437"/>
        <v>Gross</v>
      </c>
      <c r="BC1019" s="27" t="str">
        <f t="shared" si="438"/>
        <v>Net</v>
      </c>
      <c r="BD1019" s="27" t="str">
        <f t="shared" si="439"/>
        <v>Net</v>
      </c>
      <c r="BE1019" s="27" t="str">
        <f t="shared" si="440"/>
        <v/>
      </c>
      <c r="BF1019" s="27" t="str">
        <f t="shared" si="441"/>
        <v/>
      </c>
      <c r="BG1019" s="27" t="str">
        <f t="shared" si="442"/>
        <v/>
      </c>
      <c r="BH1019" s="27" t="str">
        <f t="shared" si="443"/>
        <v/>
      </c>
      <c r="BI1019" s="27" t="str">
        <f t="shared" si="444"/>
        <v/>
      </c>
      <c r="BJ1019" s="27" t="str">
        <f t="shared" si="445"/>
        <v/>
      </c>
      <c r="BK1019" s="27" t="str">
        <f t="shared" si="446"/>
        <v/>
      </c>
      <c r="BL1019" s="27" t="str">
        <f t="shared" si="447"/>
        <v/>
      </c>
      <c r="BM1019" s="21" t="s">
        <v>5581</v>
      </c>
    </row>
    <row r="1020" spans="1:65" ht="15">
      <c r="A1020" s="25" t="str">
        <f>IFERROR(INDEX('Hun Demand'!W:W,MATCH(O1020,'Hun Demand'!A:A,0)),"")</f>
        <v/>
      </c>
      <c r="B1020" s="25" t="str">
        <f>IFERROR(INDEX('Hun Demand'!V:V,MATCH(O1020,'Hun Demand'!A:A,0)),"")</f>
        <v/>
      </c>
      <c r="C1020" s="25" t="str">
        <f>IFERROR(INDEX('Hun Demand'!U:U,MATCH(O1020,'Hun Demand'!A:A,0)),"")</f>
        <v/>
      </c>
      <c r="D1020" s="25" t="str">
        <f>IFERROR(INDEX('Hun Demand'!T:T,MATCH(O1020,'Hun Demand'!A:A,0)),"")</f>
        <v/>
      </c>
      <c r="E1020" s="25" t="str">
        <f>IFERROR(INDEX('Hun Demand'!S:S,MATCH(O1020,'Hun Demand'!A:A,0)),"")</f>
        <v/>
      </c>
      <c r="F1020" s="25" t="str">
        <f>IFERROR(INDEX('Hun Demand'!R:R,MATCH(O1020,'Hun Demand'!A:A,0)),"")</f>
        <v/>
      </c>
      <c r="G1020" s="25">
        <f>IFERROR(INDEX('Aub Demand'!W:W,MATCH(O1020,'Aub Demand'!A:A,0)),"")</f>
        <v>298</v>
      </c>
      <c r="H1020" s="25">
        <f>IFERROR(INDEX('Aub Demand'!V:V,MATCH(O1020,'Aub Demand'!A:A,0)),"")</f>
        <v>201</v>
      </c>
      <c r="I1020" s="25">
        <f>IFERROR(INDEX('Aub Demand'!U:U,MATCH(O1020,'Aub Demand'!A:A,0)),"")</f>
        <v>153</v>
      </c>
      <c r="J1020" s="25">
        <f>IFERROR(INDEX('Aub Demand'!T:T,MATCH(O1020,'Aub Demand'!A:A,0)),"")</f>
        <v>230</v>
      </c>
      <c r="K1020" s="25">
        <f>IFERROR(INDEX('Aub Demand'!S:S,MATCH(O1020,'Aub Demand'!A:A,0)),"")</f>
        <v>476</v>
      </c>
      <c r="L1020" s="25">
        <f>IFERROR(INDEX('Aub Demand'!R:R,MATCH(O1020,'Aub Demand'!A:A,0)),"")</f>
        <v>0</v>
      </c>
      <c r="O1020" s="27" t="s">
        <v>1404</v>
      </c>
      <c r="P1020" s="27" t="str">
        <f>IFERROR(INDEX('Aub Demand'!B:B,MATCH($O1020,'Aub Demand'!$A:$A,0)),"")</f>
        <v>PUMICE</v>
      </c>
      <c r="Q1020" s="27" t="str">
        <f>IFERROR(INDEX('Aub Demand'!C:C,MATCH($O1020,'Aub Demand'!$A:$A,0)),"")</f>
        <v>ONYX</v>
      </c>
      <c r="R1020" s="52">
        <f>IFERROR(IF(AR1021=AR1020,INDEX('Aub Demand'!K:K,MATCH($O1020,'Aub Demand'!$A:$A,0))-IF(AN1020="",0,AN1020)+AP1021,INDEX('Aub Demand'!K:K,MATCH($O1020,'Aub Demand'!$A:$A,0))-IF(AN1020="",0,AN1020)),"")</f>
        <v>0</v>
      </c>
      <c r="S1020" s="53">
        <f t="shared" si="420"/>
        <v>0</v>
      </c>
      <c r="T1020" s="52">
        <f t="shared" si="421"/>
        <v>264.75</v>
      </c>
      <c r="U1020" s="52">
        <f>IFERROR(IF(AR1021=AR1020,INDEX('Aub Demand'!Q:Q,MATCH($O1020,'Aub Demand'!$A:$A,0))-IF(AN1020="",0,AN1020)+AP1021,INDEX('Aub Demand'!Q:Q,MATCH($O1020,'Aub Demand'!$A:$A,0))-IF(AN1020="",0,AN1020)),"")</f>
        <v>-153</v>
      </c>
      <c r="V1020" s="53">
        <f t="shared" si="422"/>
        <v>-2.2999999999999998</v>
      </c>
      <c r="W1020" s="52">
        <f t="shared" si="423"/>
        <v>467.72499999999997</v>
      </c>
      <c r="X1020" s="52">
        <f>IFERROR(IF(AND(AR1021=AR1020,AM1020&lt;&gt;""),INDEX('Aub Demand'!Q:Q,MATCH($O1020,'Aub Demand'!$A:$A,0))-IF(AN1020="",0,AN1020)+AP1021+AD1020+AL1020,IF(AR1021=AR1020,INDEX('Aub Demand'!Q:Q,MATCH($O1020,'Aub Demand'!$A:$A,0))-IF(AN1020="",0,AN1020)+AP1021+AD1020,IF(AM1020&lt;&gt;"",INDEX('Aub Demand'!Q:Q,MATCH($O1020,'Aub Demand'!$A:$A,0))-IF(AN1020="",0,AN1020)+AD1020+AL1020,INDEX('Aub Demand'!Q:Q,MATCH($O1020,'Aub Demand'!$A:$A,0))-IF(AN1020="",0,AN1020)+AD1020))),"")</f>
        <v>-153</v>
      </c>
      <c r="Y1020" s="53">
        <f t="shared" si="424"/>
        <v>-2.2999999999999998</v>
      </c>
      <c r="Z1020" s="52">
        <f>IF(L1020="","",INDEX('Aub Demand'!H:H,MATCH($O1020,'Aub Demand'!$A:$A,0)))</f>
        <v>286</v>
      </c>
      <c r="AA1020" s="52">
        <f t="shared" si="425"/>
        <v>353</v>
      </c>
      <c r="AB1020" s="52">
        <f>IFERROR(INDEX('Aub Demand'!L:L,MATCH($O1020,'Aub Demand'!$A:$A,0)),"")</f>
        <v>67</v>
      </c>
      <c r="AC1020" s="52">
        <f>IFERROR(IF(O1020="","",SUMIFS('CPL Mats'!F:F,'CPL Mats'!Q:Q,AR1020,'CPL Mats'!S:S,AS1020)),"")</f>
        <v>0</v>
      </c>
      <c r="AF1020" s="25" t="str">
        <f>IF(SUMIFS('Supp Consol'!S:S,'Supp Consol'!Y:Y,"Releasable",'Supp Consol'!A:A,O1020)=0,"",SUMIFS('Supp Consol'!S:S,'Supp Consol'!Y:Y,"Releasable",'Supp Consol'!A:A,O1020))</f>
        <v/>
      </c>
      <c r="AG1020" s="25" t="str">
        <f>IFERROR(INDEX('Hun Demand'!Q:Q,MATCH(O1020,'Hun Demand'!A:A,0)),"")</f>
        <v/>
      </c>
      <c r="AH1020" s="25" t="str">
        <f>IFERROR(INDEX('Hun Demand'!H:H,MATCH($O1020,'Hun Demand'!$A:$A,0)),"")</f>
        <v/>
      </c>
      <c r="AI1020" s="25" t="str">
        <f>IF(SUMIFS('Supp Consol'!AA:AA,'Supp Consol'!Z:Z,"Expires this month",'Supp Consol'!A:A,O1020)=0,"",SUMIFS('Supp Consol'!AA:AA,'Supp Consol'!Z:Z,"Expires this month",'Supp Consol'!A:A,O1020))</f>
        <v/>
      </c>
      <c r="AJ1020" s="25" t="str">
        <f>IF(SUMIFS('Supp Consol'!AA:AA,'Supp Consol'!Z:Z,"Expired Previous Months",'Supp Consol'!A:A,O1020)=0,"",SUMIFS('Supp Consol'!AA:AA,'Supp Consol'!Z:Z,"Expired Previous Months",'Supp Consol'!A:A,O1020))</f>
        <v/>
      </c>
      <c r="AK1020" s="25" t="str">
        <f>IFERROR(INDEX('Hun Release Current'!B:B,MATCH(O1020,'Hun Release Current'!A:A,0)),"")</f>
        <v/>
      </c>
      <c r="AL1020" s="25" t="str">
        <f>IF(SUMIF('Prev Aub'!A:A,O1020,'Prev Aub'!B:B)=0,"",SUMIF('Prev Aub'!A:A,O1020,'Prev Aub'!B:B))</f>
        <v/>
      </c>
      <c r="AN1020" s="25" t="s">
        <v>3790</v>
      </c>
      <c r="AO1020" s="25" t="s">
        <v>3790</v>
      </c>
      <c r="AP1020" s="25">
        <f t="shared" si="426"/>
        <v>0</v>
      </c>
      <c r="AQ1020" s="151" t="str">
        <f>IF(SUMIFS('Supp Consol'!S:S,'Supp Consol'!A:A,O1020,'Supp Consol'!I:I,"PENDING")=0,"",SUMIFS('Supp Consol'!S:S,'Supp Consol'!A:A,O1020,'Supp Consol'!I:I,"PENDING"))</f>
        <v/>
      </c>
      <c r="AR1020" s="27" t="str">
        <f t="shared" si="427"/>
        <v>SG203</v>
      </c>
      <c r="AS1020" s="27" t="str">
        <f t="shared" si="428"/>
        <v>50</v>
      </c>
      <c r="AT1020" s="27" t="str">
        <f t="shared" si="429"/>
        <v>SG203</v>
      </c>
      <c r="AU1020" s="27" t="str">
        <f t="shared" si="430"/>
        <v>SG203</v>
      </c>
      <c r="AV1020" s="27" t="str">
        <f t="shared" si="431"/>
        <v>SG203</v>
      </c>
      <c r="AW1020" s="27" t="str">
        <f t="shared" si="432"/>
        <v/>
      </c>
      <c r="AX1020" s="27" t="str">
        <f t="shared" si="433"/>
        <v/>
      </c>
      <c r="AY1020" s="27" t="str">
        <f t="shared" si="434"/>
        <v/>
      </c>
      <c r="AZ1020" s="27" t="str">
        <f t="shared" si="435"/>
        <v/>
      </c>
      <c r="BA1020" s="27" t="str">
        <f t="shared" si="436"/>
        <v/>
      </c>
      <c r="BB1020" s="27" t="str">
        <f t="shared" si="437"/>
        <v>Gross</v>
      </c>
      <c r="BC1020" s="27" t="str">
        <f t="shared" si="438"/>
        <v>Net</v>
      </c>
      <c r="BD1020" s="27" t="str">
        <f t="shared" si="439"/>
        <v>Net</v>
      </c>
      <c r="BE1020" s="27" t="str">
        <f t="shared" si="440"/>
        <v/>
      </c>
      <c r="BF1020" s="27" t="str">
        <f t="shared" si="441"/>
        <v/>
      </c>
      <c r="BG1020" s="27" t="str">
        <f t="shared" si="442"/>
        <v/>
      </c>
      <c r="BH1020" s="27" t="str">
        <f t="shared" si="443"/>
        <v/>
      </c>
      <c r="BI1020" s="27" t="str">
        <f t="shared" si="444"/>
        <v/>
      </c>
      <c r="BJ1020" s="27" t="str">
        <f t="shared" si="445"/>
        <v/>
      </c>
      <c r="BK1020" s="27" t="str">
        <f t="shared" si="446"/>
        <v/>
      </c>
      <c r="BL1020" s="27" t="str">
        <f t="shared" si="447"/>
        <v/>
      </c>
      <c r="BM1020" s="21" t="s">
        <v>5581</v>
      </c>
    </row>
    <row r="1021" spans="1:65" ht="15">
      <c r="A1021" s="25" t="str">
        <f>IFERROR(INDEX('Hun Demand'!W:W,MATCH(O1021,'Hun Demand'!A:A,0)),"")</f>
        <v/>
      </c>
      <c r="B1021" s="25" t="str">
        <f>IFERROR(INDEX('Hun Demand'!V:V,MATCH(O1021,'Hun Demand'!A:A,0)),"")</f>
        <v/>
      </c>
      <c r="C1021" s="25" t="str">
        <f>IFERROR(INDEX('Hun Demand'!U:U,MATCH(O1021,'Hun Demand'!A:A,0)),"")</f>
        <v/>
      </c>
      <c r="D1021" s="25" t="str">
        <f>IFERROR(INDEX('Hun Demand'!T:T,MATCH(O1021,'Hun Demand'!A:A,0)),"")</f>
        <v/>
      </c>
      <c r="E1021" s="25" t="str">
        <f>IFERROR(INDEX('Hun Demand'!S:S,MATCH(O1021,'Hun Demand'!A:A,0)),"")</f>
        <v/>
      </c>
      <c r="F1021" s="25" t="str">
        <f>IFERROR(INDEX('Hun Demand'!R:R,MATCH(O1021,'Hun Demand'!A:A,0)),"")</f>
        <v/>
      </c>
      <c r="G1021" s="25">
        <f>IFERROR(INDEX('Aub Demand'!W:W,MATCH(O1021,'Aub Demand'!A:A,0)),"")</f>
        <v>57</v>
      </c>
      <c r="H1021" s="25">
        <f>IFERROR(INDEX('Aub Demand'!V:V,MATCH(O1021,'Aub Demand'!A:A,0)),"")</f>
        <v>86</v>
      </c>
      <c r="I1021" s="25">
        <f>IFERROR(INDEX('Aub Demand'!U:U,MATCH(O1021,'Aub Demand'!A:A,0)),"")</f>
        <v>27</v>
      </c>
      <c r="J1021" s="25">
        <f>IFERROR(INDEX('Aub Demand'!T:T,MATCH(O1021,'Aub Demand'!A:A,0)),"")</f>
        <v>0</v>
      </c>
      <c r="K1021" s="25">
        <f>IFERROR(INDEX('Aub Demand'!S:S,MATCH(O1021,'Aub Demand'!A:A,0)),"")</f>
        <v>0</v>
      </c>
      <c r="L1021" s="25">
        <f>IFERROR(INDEX('Aub Demand'!R:R,MATCH(O1021,'Aub Demand'!A:A,0)),"")</f>
        <v>0</v>
      </c>
      <c r="O1021" s="27" t="s">
        <v>1405</v>
      </c>
      <c r="P1021" s="27" t="str">
        <f>IFERROR(INDEX('Aub Demand'!B:B,MATCH($O1021,'Aub Demand'!$A:$A,0)),"")</f>
        <v>PUMICE</v>
      </c>
      <c r="Q1021" s="27" t="str">
        <f>IFERROR(INDEX('Aub Demand'!C:C,MATCH($O1021,'Aub Demand'!$A:$A,0)),"")</f>
        <v>ONYX</v>
      </c>
      <c r="R1021" s="52">
        <f>IFERROR(IF(AR1022=AR1021,INDEX('Aub Demand'!K:K,MATCH($O1021,'Aub Demand'!$A:$A,0))-IF(AN1021="",0,AN1021)+AP1022,INDEX('Aub Demand'!K:K,MATCH($O1021,'Aub Demand'!$A:$A,0))-IF(AN1021="",0,AN1021)),"")</f>
        <v>1187</v>
      </c>
      <c r="S1021" s="53">
        <f t="shared" si="420"/>
        <v>565.20000000000005</v>
      </c>
      <c r="T1021" s="52" t="str">
        <f t="shared" si="421"/>
        <v/>
      </c>
      <c r="U1021" s="52">
        <f>IFERROR(IF(AR1022=AR1021,INDEX('Aub Demand'!Q:Q,MATCH($O1021,'Aub Demand'!$A:$A,0))-IF(AN1021="",0,AN1021)+AP1022,INDEX('Aub Demand'!Q:Q,MATCH($O1021,'Aub Demand'!$A:$A,0))-IF(AN1021="",0,AN1021)),"")</f>
        <v>1187</v>
      </c>
      <c r="V1021" s="53">
        <f t="shared" si="422"/>
        <v>565.20000000000005</v>
      </c>
      <c r="W1021" s="52" t="str">
        <f t="shared" si="423"/>
        <v/>
      </c>
      <c r="X1021" s="52">
        <f>IFERROR(IF(AND(AR1022=AR1021,AM1021&lt;&gt;""),INDEX('Aub Demand'!Q:Q,MATCH($O1021,'Aub Demand'!$A:$A,0))-IF(AN1021="",0,AN1021)+AP1022+AD1021+AL1021,IF(AR1022=AR1021,INDEX('Aub Demand'!Q:Q,MATCH($O1021,'Aub Demand'!$A:$A,0))-IF(AN1021="",0,AN1021)+AP1022+AD1021,IF(AM1021&lt;&gt;"",INDEX('Aub Demand'!Q:Q,MATCH($O1021,'Aub Demand'!$A:$A,0))-IF(AN1021="",0,AN1021)+AD1021+AL1021,INDEX('Aub Demand'!Q:Q,MATCH($O1021,'Aub Demand'!$A:$A,0))-IF(AN1021="",0,AN1021)+AD1021))),"")</f>
        <v>1187</v>
      </c>
      <c r="Y1021" s="53">
        <f t="shared" si="424"/>
        <v>565.20000000000005</v>
      </c>
      <c r="Z1021" s="52">
        <f>IF(L1021="","",INDEX('Aub Demand'!H:H,MATCH($O1021,'Aub Demand'!$A:$A,0)))</f>
        <v>9</v>
      </c>
      <c r="AA1021" s="52" t="str">
        <f t="shared" si="425"/>
        <v>-spike-</v>
      </c>
      <c r="AB1021" s="52">
        <f>IFERROR(INDEX('Aub Demand'!L:L,MATCH($O1021,'Aub Demand'!$A:$A,0)),"")</f>
        <v>48</v>
      </c>
      <c r="AC1021" s="52">
        <f>IFERROR(IF(O1021="","",SUMIFS('CPL Mats'!F:F,'CPL Mats'!Q:Q,AR1021,'CPL Mats'!S:S,AS1021)),"")</f>
        <v>0</v>
      </c>
      <c r="AF1021" s="25" t="str">
        <f>IF(SUMIFS('Supp Consol'!S:S,'Supp Consol'!Y:Y,"Releasable",'Supp Consol'!A:A,O1021)=0,"",SUMIFS('Supp Consol'!S:S,'Supp Consol'!Y:Y,"Releasable",'Supp Consol'!A:A,O1021))</f>
        <v/>
      </c>
      <c r="AG1021" s="25" t="str">
        <f>IFERROR(INDEX('Hun Demand'!Q:Q,MATCH(O1021,'Hun Demand'!A:A,0)),"")</f>
        <v/>
      </c>
      <c r="AH1021" s="25" t="str">
        <f>IFERROR(INDEX('Hun Demand'!H:H,MATCH($O1021,'Hun Demand'!$A:$A,0)),"")</f>
        <v/>
      </c>
      <c r="AI1021" s="25" t="str">
        <f>IF(SUMIFS('Supp Consol'!AA:AA,'Supp Consol'!Z:Z,"Expires this month",'Supp Consol'!A:A,O1021)=0,"",SUMIFS('Supp Consol'!AA:AA,'Supp Consol'!Z:Z,"Expires this month",'Supp Consol'!A:A,O1021))</f>
        <v/>
      </c>
      <c r="AJ1021" s="25" t="str">
        <f>IF(SUMIFS('Supp Consol'!AA:AA,'Supp Consol'!Z:Z,"Expired Previous Months",'Supp Consol'!A:A,O1021)=0,"",SUMIFS('Supp Consol'!AA:AA,'Supp Consol'!Z:Z,"Expired Previous Months",'Supp Consol'!A:A,O1021))</f>
        <v/>
      </c>
      <c r="AK1021" s="25" t="str">
        <f>IFERROR(INDEX('Hun Release Current'!B:B,MATCH(O1021,'Hun Release Current'!A:A,0)),"")</f>
        <v/>
      </c>
      <c r="AL1021" s="25" t="str">
        <f>IF(SUMIF('Prev Aub'!A:A,O1021,'Prev Aub'!B:B)=0,"",SUMIF('Prev Aub'!A:A,O1021,'Prev Aub'!B:B))</f>
        <v/>
      </c>
      <c r="AN1021" s="25" t="s">
        <v>3790</v>
      </c>
      <c r="AO1021" s="25" t="s">
        <v>3790</v>
      </c>
      <c r="AP1021" s="25">
        <f t="shared" si="426"/>
        <v>0</v>
      </c>
      <c r="AQ1021" s="151" t="str">
        <f>IF(SUMIFS('Supp Consol'!S:S,'Supp Consol'!A:A,O1021,'Supp Consol'!I:I,"PENDING")=0,"",SUMIFS('Supp Consol'!S:S,'Supp Consol'!A:A,O1021,'Supp Consol'!I:I,"PENDING"))</f>
        <v/>
      </c>
      <c r="AR1021" s="27" t="str">
        <f t="shared" si="427"/>
        <v>SG203</v>
      </c>
      <c r="AS1021" s="27" t="str">
        <f t="shared" si="428"/>
        <v>62</v>
      </c>
      <c r="AT1021" s="27" t="str">
        <f t="shared" si="429"/>
        <v/>
      </c>
      <c r="AU1021" s="27" t="str">
        <f t="shared" si="430"/>
        <v/>
      </c>
      <c r="AV1021" s="27" t="str">
        <f t="shared" si="431"/>
        <v/>
      </c>
      <c r="AW1021" s="27" t="str">
        <f t="shared" si="432"/>
        <v/>
      </c>
      <c r="AX1021" s="27" t="str">
        <f t="shared" si="433"/>
        <v/>
      </c>
      <c r="AY1021" s="27" t="str">
        <f t="shared" si="434"/>
        <v/>
      </c>
      <c r="AZ1021" s="27" t="str">
        <f t="shared" si="435"/>
        <v/>
      </c>
      <c r="BA1021" s="27" t="str">
        <f t="shared" si="436"/>
        <v/>
      </c>
      <c r="BB1021" s="27" t="str">
        <f t="shared" si="437"/>
        <v>Gross</v>
      </c>
      <c r="BC1021" s="27" t="str">
        <f t="shared" si="438"/>
        <v>Net</v>
      </c>
      <c r="BD1021" s="27" t="str">
        <f t="shared" si="439"/>
        <v>Net</v>
      </c>
      <c r="BE1021" s="27" t="str">
        <f t="shared" si="440"/>
        <v/>
      </c>
      <c r="BF1021" s="27" t="str">
        <f t="shared" si="441"/>
        <v/>
      </c>
      <c r="BG1021" s="27" t="str">
        <f t="shared" si="442"/>
        <v/>
      </c>
      <c r="BH1021" s="27" t="str">
        <f t="shared" si="443"/>
        <v/>
      </c>
      <c r="BI1021" s="27" t="str">
        <f t="shared" si="444"/>
        <v/>
      </c>
      <c r="BJ1021" s="27" t="str">
        <f t="shared" si="445"/>
        <v/>
      </c>
      <c r="BK1021" s="27" t="str">
        <f t="shared" si="446"/>
        <v/>
      </c>
      <c r="BL1021" s="27" t="str">
        <f t="shared" si="447"/>
        <v/>
      </c>
      <c r="BM1021" s="21" t="s">
        <v>5581</v>
      </c>
    </row>
    <row r="1022" spans="1:65" ht="15">
      <c r="A1022" s="25" t="str">
        <f>IFERROR(INDEX('Hun Demand'!W:W,MATCH(O1022,'Hun Demand'!A:A,0)),"")</f>
        <v/>
      </c>
      <c r="B1022" s="25" t="str">
        <f>IFERROR(INDEX('Hun Demand'!V:V,MATCH(O1022,'Hun Demand'!A:A,0)),"")</f>
        <v/>
      </c>
      <c r="C1022" s="25" t="str">
        <f>IFERROR(INDEX('Hun Demand'!U:U,MATCH(O1022,'Hun Demand'!A:A,0)),"")</f>
        <v/>
      </c>
      <c r="D1022" s="25" t="str">
        <f>IFERROR(INDEX('Hun Demand'!T:T,MATCH(O1022,'Hun Demand'!A:A,0)),"")</f>
        <v/>
      </c>
      <c r="E1022" s="25" t="str">
        <f>IFERROR(INDEX('Hun Demand'!S:S,MATCH(O1022,'Hun Demand'!A:A,0)),"")</f>
        <v/>
      </c>
      <c r="F1022" s="25" t="str">
        <f>IFERROR(INDEX('Hun Demand'!R:R,MATCH(O1022,'Hun Demand'!A:A,0)),"")</f>
        <v/>
      </c>
      <c r="G1022" s="25">
        <f>IFERROR(INDEX('Aub Demand'!W:W,MATCH(O1022,'Aub Demand'!A:A,0)),"")</f>
        <v>95</v>
      </c>
      <c r="H1022" s="25">
        <f>IFERROR(INDEX('Aub Demand'!V:V,MATCH(O1022,'Aub Demand'!A:A,0)),"")</f>
        <v>378</v>
      </c>
      <c r="I1022" s="25">
        <f>IFERROR(INDEX('Aub Demand'!U:U,MATCH(O1022,'Aub Demand'!A:A,0)),"")</f>
        <v>1136</v>
      </c>
      <c r="J1022" s="25">
        <f>IFERROR(INDEX('Aub Demand'!T:T,MATCH(O1022,'Aub Demand'!A:A,0)),"")</f>
        <v>0</v>
      </c>
      <c r="K1022" s="25">
        <f>IFERROR(INDEX('Aub Demand'!S:S,MATCH(O1022,'Aub Demand'!A:A,0)),"")</f>
        <v>403</v>
      </c>
      <c r="L1022" s="25">
        <f>IFERROR(INDEX('Aub Demand'!R:R,MATCH(O1022,'Aub Demand'!A:A,0)),"")</f>
        <v>0</v>
      </c>
      <c r="O1022" s="27" t="s">
        <v>1406</v>
      </c>
      <c r="P1022" s="27" t="str">
        <f>IFERROR(INDEX('Aub Demand'!B:B,MATCH($O1022,'Aub Demand'!$A:$A,0)),"")</f>
        <v>MERCURY 50"</v>
      </c>
      <c r="Q1022" s="27" t="str">
        <f>IFERROR(INDEX('Aub Demand'!C:C,MATCH($O1022,'Aub Demand'!$A:$A,0)),"")</f>
        <v>ONYX</v>
      </c>
      <c r="R1022" s="52">
        <f>IFERROR(IF(AR1023=AR1022,INDEX('Aub Demand'!K:K,MATCH($O1022,'Aub Demand'!$A:$A,0))-IF(AN1022="",0,AN1022)+AP1023,INDEX('Aub Demand'!K:K,MATCH($O1022,'Aub Demand'!$A:$A,0))-IF(AN1022="",0,AN1022)),"")</f>
        <v>891</v>
      </c>
      <c r="S1022" s="53">
        <f t="shared" si="420"/>
        <v>7.4</v>
      </c>
      <c r="T1022" s="52" t="str">
        <f t="shared" si="421"/>
        <v/>
      </c>
      <c r="U1022" s="52">
        <f>IFERROR(IF(AR1023=AR1022,INDEX('Aub Demand'!Q:Q,MATCH($O1022,'Aub Demand'!$A:$A,0))-IF(AN1022="",0,AN1022)+AP1023,INDEX('Aub Demand'!Q:Q,MATCH($O1022,'Aub Demand'!$A:$A,0))-IF(AN1022="",0,AN1022)),"")</f>
        <v>839</v>
      </c>
      <c r="V1022" s="53">
        <f t="shared" si="422"/>
        <v>7</v>
      </c>
      <c r="W1022" s="52" t="str">
        <f t="shared" si="423"/>
        <v/>
      </c>
      <c r="X1022" s="52">
        <f>IFERROR(IF(AND(AR1023=AR1022,AM1022&lt;&gt;""),INDEX('Aub Demand'!Q:Q,MATCH($O1022,'Aub Demand'!$A:$A,0))-IF(AN1022="",0,AN1022)+AP1023+AD1022+AL1022,IF(AR1023=AR1022,INDEX('Aub Demand'!Q:Q,MATCH($O1022,'Aub Demand'!$A:$A,0))-IF(AN1022="",0,AN1022)+AP1023+AD1022,IF(AM1022&lt;&gt;"",INDEX('Aub Demand'!Q:Q,MATCH($O1022,'Aub Demand'!$A:$A,0))-IF(AN1022="",0,AN1022)+AD1022+AL1022,INDEX('Aub Demand'!Q:Q,MATCH($O1022,'Aub Demand'!$A:$A,0))-IF(AN1022="",0,AN1022)+AD1022))),"")</f>
        <v>839</v>
      </c>
      <c r="Y1022" s="53">
        <f t="shared" si="424"/>
        <v>7</v>
      </c>
      <c r="Z1022" s="52">
        <f>IF(L1022="","",INDEX('Aub Demand'!H:H,MATCH($O1022,'Aub Demand'!$A:$A,0)))</f>
        <v>513</v>
      </c>
      <c r="AA1022" s="52">
        <f t="shared" si="425"/>
        <v>769.5</v>
      </c>
      <c r="AB1022" s="52">
        <f>IFERROR(INDEX('Aub Demand'!L:L,MATCH($O1022,'Aub Demand'!$A:$A,0)),"")</f>
        <v>322</v>
      </c>
      <c r="AC1022" s="52">
        <f>IFERROR(IF(O1022="","",SUMIFS('CPL Mats'!F:F,'CPL Mats'!Q:Q,AR1022,'CPL Mats'!S:S,AS1022)),"")</f>
        <v>0</v>
      </c>
      <c r="AF1022" s="25" t="str">
        <f>IF(SUMIFS('Supp Consol'!S:S,'Supp Consol'!Y:Y,"Releasable",'Supp Consol'!A:A,O1022)=0,"",SUMIFS('Supp Consol'!S:S,'Supp Consol'!Y:Y,"Releasable",'Supp Consol'!A:A,O1022))</f>
        <v/>
      </c>
      <c r="AG1022" s="25" t="str">
        <f>IFERROR(INDEX('Hun Demand'!Q:Q,MATCH(O1022,'Hun Demand'!A:A,0)),"")</f>
        <v/>
      </c>
      <c r="AH1022" s="25" t="str">
        <f>IFERROR(INDEX('Hun Demand'!H:H,MATCH($O1022,'Hun Demand'!$A:$A,0)),"")</f>
        <v/>
      </c>
      <c r="AI1022" s="25" t="str">
        <f>IF(SUMIFS('Supp Consol'!AA:AA,'Supp Consol'!Z:Z,"Expires this month",'Supp Consol'!A:A,O1022)=0,"",SUMIFS('Supp Consol'!AA:AA,'Supp Consol'!Z:Z,"Expires this month",'Supp Consol'!A:A,O1022))</f>
        <v/>
      </c>
      <c r="AJ1022" s="25" t="str">
        <f>IF(SUMIFS('Supp Consol'!AA:AA,'Supp Consol'!Z:Z,"Expired Previous Months",'Supp Consol'!A:A,O1022)=0,"",SUMIFS('Supp Consol'!AA:AA,'Supp Consol'!Z:Z,"Expired Previous Months",'Supp Consol'!A:A,O1022))</f>
        <v/>
      </c>
      <c r="AK1022" s="25" t="str">
        <f>IFERROR(INDEX('Hun Release Current'!B:B,MATCH(O1022,'Hun Release Current'!A:A,0)),"")</f>
        <v/>
      </c>
      <c r="AL1022" s="25" t="str">
        <f>IF(SUMIF('Prev Aub'!A:A,O1022,'Prev Aub'!B:B)=0,"",SUMIF('Prev Aub'!A:A,O1022,'Prev Aub'!B:B))</f>
        <v/>
      </c>
      <c r="AN1022" s="25" t="s">
        <v>3790</v>
      </c>
      <c r="AO1022" s="25" t="s">
        <v>3790</v>
      </c>
      <c r="AP1022" s="25">
        <f t="shared" si="426"/>
        <v>0</v>
      </c>
      <c r="AQ1022" s="151" t="str">
        <f>IF(SUMIFS('Supp Consol'!S:S,'Supp Consol'!A:A,O1022,'Supp Consol'!I:I,"PENDING")=0,"",SUMIFS('Supp Consol'!S:S,'Supp Consol'!A:A,O1022,'Supp Consol'!I:I,"PENDING"))</f>
        <v/>
      </c>
      <c r="AR1022" s="27" t="str">
        <f t="shared" si="427"/>
        <v>SG204</v>
      </c>
      <c r="AS1022" s="27" t="str">
        <f t="shared" si="428"/>
        <v>50</v>
      </c>
      <c r="AT1022" s="27" t="str">
        <f t="shared" si="429"/>
        <v/>
      </c>
      <c r="AU1022" s="27" t="str">
        <f t="shared" si="430"/>
        <v/>
      </c>
      <c r="AV1022" s="27" t="str">
        <f t="shared" si="431"/>
        <v/>
      </c>
      <c r="AW1022" s="27" t="str">
        <f t="shared" si="432"/>
        <v/>
      </c>
      <c r="AX1022" s="27" t="str">
        <f t="shared" si="433"/>
        <v/>
      </c>
      <c r="AY1022" s="27" t="str">
        <f t="shared" si="434"/>
        <v/>
      </c>
      <c r="AZ1022" s="27" t="str">
        <f t="shared" si="435"/>
        <v/>
      </c>
      <c r="BA1022" s="27" t="str">
        <f t="shared" si="436"/>
        <v/>
      </c>
      <c r="BB1022" s="27" t="str">
        <f t="shared" si="437"/>
        <v/>
      </c>
      <c r="BC1022" s="27" t="str">
        <f t="shared" si="438"/>
        <v/>
      </c>
      <c r="BD1022" s="27" t="str">
        <f t="shared" si="439"/>
        <v/>
      </c>
      <c r="BE1022" s="27" t="str">
        <f t="shared" si="440"/>
        <v/>
      </c>
      <c r="BF1022" s="27" t="str">
        <f t="shared" si="441"/>
        <v/>
      </c>
      <c r="BG1022" s="27" t="str">
        <f t="shared" si="442"/>
        <v/>
      </c>
      <c r="BH1022" s="27" t="str">
        <f t="shared" si="443"/>
        <v/>
      </c>
      <c r="BI1022" s="27" t="str">
        <f t="shared" si="444"/>
        <v/>
      </c>
      <c r="BJ1022" s="27" t="str">
        <f t="shared" si="445"/>
        <v/>
      </c>
      <c r="BK1022" s="27" t="str">
        <f t="shared" si="446"/>
        <v/>
      </c>
      <c r="BL1022" s="27" t="str">
        <f t="shared" si="447"/>
        <v/>
      </c>
      <c r="BM1022" s="21" t="s">
        <v>5581</v>
      </c>
    </row>
    <row r="1023" spans="1:65" ht="15">
      <c r="A1023" s="25" t="str">
        <f>IFERROR(INDEX('Hun Demand'!W:W,MATCH(O1023,'Hun Demand'!A:A,0)),"")</f>
        <v/>
      </c>
      <c r="B1023" s="25" t="str">
        <f>IFERROR(INDEX('Hun Demand'!V:V,MATCH(O1023,'Hun Demand'!A:A,0)),"")</f>
        <v/>
      </c>
      <c r="C1023" s="25" t="str">
        <f>IFERROR(INDEX('Hun Demand'!U:U,MATCH(O1023,'Hun Demand'!A:A,0)),"")</f>
        <v/>
      </c>
      <c r="D1023" s="25" t="str">
        <f>IFERROR(INDEX('Hun Demand'!T:T,MATCH(O1023,'Hun Demand'!A:A,0)),"")</f>
        <v/>
      </c>
      <c r="E1023" s="25" t="str">
        <f>IFERROR(INDEX('Hun Demand'!S:S,MATCH(O1023,'Hun Demand'!A:A,0)),"")</f>
        <v/>
      </c>
      <c r="F1023" s="25" t="str">
        <f>IFERROR(INDEX('Hun Demand'!R:R,MATCH(O1023,'Hun Demand'!A:A,0)),"")</f>
        <v/>
      </c>
      <c r="G1023" s="25">
        <f>IFERROR(INDEX('Aub Demand'!W:W,MATCH(O1023,'Aub Demand'!A:A,0)),"")</f>
        <v>0</v>
      </c>
      <c r="H1023" s="25">
        <f>IFERROR(INDEX('Aub Demand'!V:V,MATCH(O1023,'Aub Demand'!A:A,0)),"")</f>
        <v>543</v>
      </c>
      <c r="I1023" s="25">
        <f>IFERROR(INDEX('Aub Demand'!U:U,MATCH(O1023,'Aub Demand'!A:A,0)),"")</f>
        <v>588</v>
      </c>
      <c r="J1023" s="25">
        <f>IFERROR(INDEX('Aub Demand'!T:T,MATCH(O1023,'Aub Demand'!A:A,0)),"")</f>
        <v>177</v>
      </c>
      <c r="K1023" s="25">
        <f>IFERROR(INDEX('Aub Demand'!S:S,MATCH(O1023,'Aub Demand'!A:A,0)),"")</f>
        <v>304</v>
      </c>
      <c r="L1023" s="25">
        <f>IFERROR(INDEX('Aub Demand'!R:R,MATCH(O1023,'Aub Demand'!A:A,0)),"")</f>
        <v>0</v>
      </c>
      <c r="O1023" s="27" t="s">
        <v>1409</v>
      </c>
      <c r="P1023" s="27" t="str">
        <f>IFERROR(INDEX('Aub Demand'!B:B,MATCH($O1023,'Aub Demand'!$A:$A,0)),"")</f>
        <v>MERCURY</v>
      </c>
      <c r="Q1023" s="27" t="str">
        <f>IFERROR(INDEX('Aub Demand'!C:C,MATCH($O1023,'Aub Demand'!$A:$A,0)),"")</f>
        <v>ONYX</v>
      </c>
      <c r="R1023" s="52">
        <f>IFERROR(IF(AR1024=AR1023,INDEX('Aub Demand'!K:K,MATCH($O1023,'Aub Demand'!$A:$A,0))-IF(AN1023="",0,AN1023)+AP1024,INDEX('Aub Demand'!K:K,MATCH($O1023,'Aub Demand'!$A:$A,0))-IF(AN1023="",0,AN1023)),"")</f>
        <v>2726</v>
      </c>
      <c r="S1023" s="53">
        <f t="shared" si="420"/>
        <v>32.799999999999997</v>
      </c>
      <c r="T1023" s="52" t="str">
        <f t="shared" si="421"/>
        <v/>
      </c>
      <c r="U1023" s="52">
        <f>IFERROR(IF(AR1024=AR1023,INDEX('Aub Demand'!Q:Q,MATCH($O1023,'Aub Demand'!$A:$A,0))-IF(AN1023="",0,AN1023)+AP1024,INDEX('Aub Demand'!Q:Q,MATCH($O1023,'Aub Demand'!$A:$A,0))-IF(AN1023="",0,AN1023)),"")</f>
        <v>2668</v>
      </c>
      <c r="V1023" s="53">
        <f t="shared" si="422"/>
        <v>32.1</v>
      </c>
      <c r="W1023" s="52" t="str">
        <f t="shared" si="423"/>
        <v/>
      </c>
      <c r="X1023" s="52">
        <f>IFERROR(IF(AND(AR1024=AR1023,AM1023&lt;&gt;""),INDEX('Aub Demand'!Q:Q,MATCH($O1023,'Aub Demand'!$A:$A,0))-IF(AN1023="",0,AN1023)+AP1024+AD1023+AL1023,IF(AR1024=AR1023,INDEX('Aub Demand'!Q:Q,MATCH($O1023,'Aub Demand'!$A:$A,0))-IF(AN1023="",0,AN1023)+AP1024+AD1023,IF(AM1023&lt;&gt;"",INDEX('Aub Demand'!Q:Q,MATCH($O1023,'Aub Demand'!$A:$A,0))-IF(AN1023="",0,AN1023)+AD1023+AL1023,INDEX('Aub Demand'!Q:Q,MATCH($O1023,'Aub Demand'!$A:$A,0))-IF(AN1023="",0,AN1023)+AD1023))),"")</f>
        <v>2668</v>
      </c>
      <c r="Y1023" s="53">
        <f t="shared" si="424"/>
        <v>32.1</v>
      </c>
      <c r="Z1023" s="52">
        <f>IF(L1023="","",INDEX('Aub Demand'!H:H,MATCH($O1023,'Aub Demand'!$A:$A,0)))</f>
        <v>356</v>
      </c>
      <c r="AA1023" s="52">
        <f t="shared" si="425"/>
        <v>446</v>
      </c>
      <c r="AB1023" s="52">
        <f>IFERROR(INDEX('Aub Demand'!L:L,MATCH($O1023,'Aub Demand'!$A:$A,0)),"")</f>
        <v>236</v>
      </c>
      <c r="AC1023" s="52">
        <f>IFERROR(IF(O1023="","",SUMIFS('CPL Mats'!F:F,'CPL Mats'!Q:Q,AR1023,'CPL Mats'!S:S,AS1023)),"")</f>
        <v>0</v>
      </c>
      <c r="AF1023" s="25" t="str">
        <f>IF(SUMIFS('Supp Consol'!S:S,'Supp Consol'!Y:Y,"Releasable",'Supp Consol'!A:A,O1023)=0,"",SUMIFS('Supp Consol'!S:S,'Supp Consol'!Y:Y,"Releasable",'Supp Consol'!A:A,O1023))</f>
        <v/>
      </c>
      <c r="AG1023" s="25" t="str">
        <f>IFERROR(INDEX('Hun Demand'!Q:Q,MATCH(O1023,'Hun Demand'!A:A,0)),"")</f>
        <v/>
      </c>
      <c r="AH1023" s="25" t="str">
        <f>IFERROR(INDEX('Hun Demand'!H:H,MATCH($O1023,'Hun Demand'!$A:$A,0)),"")</f>
        <v/>
      </c>
      <c r="AI1023" s="25" t="str">
        <f>IF(SUMIFS('Supp Consol'!AA:AA,'Supp Consol'!Z:Z,"Expires this month",'Supp Consol'!A:A,O1023)=0,"",SUMIFS('Supp Consol'!AA:AA,'Supp Consol'!Z:Z,"Expires this month",'Supp Consol'!A:A,O1023))</f>
        <v/>
      </c>
      <c r="AJ1023" s="25" t="str">
        <f>IF(SUMIFS('Supp Consol'!AA:AA,'Supp Consol'!Z:Z,"Expired Previous Months",'Supp Consol'!A:A,O1023)=0,"",SUMIFS('Supp Consol'!AA:AA,'Supp Consol'!Z:Z,"Expired Previous Months",'Supp Consol'!A:A,O1023))</f>
        <v/>
      </c>
      <c r="AK1023" s="25" t="str">
        <f>IFERROR(INDEX('Hun Release Current'!B:B,MATCH(O1023,'Hun Release Current'!A:A,0)),"")</f>
        <v/>
      </c>
      <c r="AL1023" s="25" t="str">
        <f>IF(SUMIF('Prev Aub'!A:A,O1023,'Prev Aub'!B:B)=0,"",SUMIF('Prev Aub'!A:A,O1023,'Prev Aub'!B:B))</f>
        <v/>
      </c>
      <c r="AN1023" s="25" t="s">
        <v>3790</v>
      </c>
      <c r="AO1023" s="25" t="s">
        <v>3790</v>
      </c>
      <c r="AP1023" s="25">
        <f t="shared" si="426"/>
        <v>0</v>
      </c>
      <c r="AQ1023" s="151" t="str">
        <f>IF(SUMIFS('Supp Consol'!S:S,'Supp Consol'!A:A,O1023,'Supp Consol'!I:I,"PENDING")=0,"",SUMIFS('Supp Consol'!S:S,'Supp Consol'!A:A,O1023,'Supp Consol'!I:I,"PENDING"))</f>
        <v/>
      </c>
      <c r="AR1023" s="27" t="str">
        <f t="shared" si="427"/>
        <v>SG204</v>
      </c>
      <c r="AS1023" s="27" t="str">
        <f t="shared" si="428"/>
        <v>62</v>
      </c>
      <c r="AT1023" s="27" t="str">
        <f t="shared" si="429"/>
        <v/>
      </c>
      <c r="AU1023" s="27" t="str">
        <f t="shared" si="430"/>
        <v/>
      </c>
      <c r="AV1023" s="27" t="str">
        <f t="shared" si="431"/>
        <v/>
      </c>
      <c r="AW1023" s="27" t="str">
        <f t="shared" si="432"/>
        <v/>
      </c>
      <c r="AX1023" s="27" t="str">
        <f t="shared" si="433"/>
        <v/>
      </c>
      <c r="AY1023" s="27" t="str">
        <f t="shared" si="434"/>
        <v/>
      </c>
      <c r="AZ1023" s="27" t="str">
        <f t="shared" si="435"/>
        <v/>
      </c>
      <c r="BA1023" s="27" t="str">
        <f t="shared" si="436"/>
        <v/>
      </c>
      <c r="BB1023" s="27" t="str">
        <f t="shared" si="437"/>
        <v/>
      </c>
      <c r="BC1023" s="27" t="str">
        <f t="shared" si="438"/>
        <v/>
      </c>
      <c r="BD1023" s="27" t="str">
        <f t="shared" si="439"/>
        <v/>
      </c>
      <c r="BE1023" s="27" t="str">
        <f t="shared" si="440"/>
        <v/>
      </c>
      <c r="BF1023" s="27" t="str">
        <f t="shared" si="441"/>
        <v/>
      </c>
      <c r="BG1023" s="27" t="str">
        <f t="shared" si="442"/>
        <v/>
      </c>
      <c r="BH1023" s="27" t="str">
        <f t="shared" si="443"/>
        <v/>
      </c>
      <c r="BI1023" s="27" t="str">
        <f t="shared" si="444"/>
        <v/>
      </c>
      <c r="BJ1023" s="27" t="str">
        <f t="shared" si="445"/>
        <v/>
      </c>
      <c r="BK1023" s="27" t="str">
        <f t="shared" si="446"/>
        <v/>
      </c>
      <c r="BL1023" s="27" t="str">
        <f t="shared" si="447"/>
        <v/>
      </c>
      <c r="BM1023" s="21" t="s">
        <v>5581</v>
      </c>
    </row>
    <row r="1024" spans="1:65" ht="15">
      <c r="A1024" s="25">
        <f>IFERROR(INDEX('Hun Demand'!W:W,MATCH(O1024,'Hun Demand'!A:A,0)),"")</f>
        <v>0</v>
      </c>
      <c r="B1024" s="25">
        <f>IFERROR(INDEX('Hun Demand'!V:V,MATCH(O1024,'Hun Demand'!A:A,0)),"")</f>
        <v>0</v>
      </c>
      <c r="C1024" s="25">
        <f>IFERROR(INDEX('Hun Demand'!U:U,MATCH(O1024,'Hun Demand'!A:A,0)),"")</f>
        <v>0</v>
      </c>
      <c r="D1024" s="25">
        <f>IFERROR(INDEX('Hun Demand'!T:T,MATCH(O1024,'Hun Demand'!A:A,0)),"")</f>
        <v>0</v>
      </c>
      <c r="E1024" s="25">
        <f>IFERROR(INDEX('Hun Demand'!S:S,MATCH(O1024,'Hun Demand'!A:A,0)),"")</f>
        <v>0</v>
      </c>
      <c r="F1024" s="25">
        <f>IFERROR(INDEX('Hun Demand'!R:R,MATCH(O1024,'Hun Demand'!A:A,0)),"")</f>
        <v>0</v>
      </c>
      <c r="G1024" s="25">
        <f>IFERROR(INDEX('Aub Demand'!W:W,MATCH(O1024,'Aub Demand'!A:A,0)),"")</f>
        <v>495</v>
      </c>
      <c r="H1024" s="25">
        <f>IFERROR(INDEX('Aub Demand'!V:V,MATCH(O1024,'Aub Demand'!A:A,0)),"")</f>
        <v>377</v>
      </c>
      <c r="I1024" s="25">
        <f>IFERROR(INDEX('Aub Demand'!U:U,MATCH(O1024,'Aub Demand'!A:A,0)),"")</f>
        <v>89</v>
      </c>
      <c r="J1024" s="25">
        <f>IFERROR(INDEX('Aub Demand'!T:T,MATCH(O1024,'Aub Demand'!A:A,0)),"")</f>
        <v>86</v>
      </c>
      <c r="K1024" s="25">
        <f>IFERROR(INDEX('Aub Demand'!S:S,MATCH(O1024,'Aub Demand'!A:A,0)),"")</f>
        <v>122</v>
      </c>
      <c r="L1024" s="25">
        <f>IFERROR(INDEX('Aub Demand'!R:R,MATCH(O1024,'Aub Demand'!A:A,0)),"")</f>
        <v>0</v>
      </c>
      <c r="O1024" s="27" t="s">
        <v>1411</v>
      </c>
      <c r="P1024" s="27" t="str">
        <f>IFERROR(INDEX('Aub Demand'!B:B,MATCH($O1024,'Aub Demand'!$A:$A,0)),"")</f>
        <v>LIMESTONE</v>
      </c>
      <c r="Q1024" s="27" t="str">
        <f>IFERROR(INDEX('Aub Demand'!C:C,MATCH($O1024,'Aub Demand'!$A:$A,0)),"")</f>
        <v>ONYX</v>
      </c>
      <c r="R1024" s="52">
        <f>IFERROR(IF(AR1025=AR1024,INDEX('Aub Demand'!K:K,MATCH($O1024,'Aub Demand'!$A:$A,0))-IF(AN1024="",0,AN1024)+AP1025,INDEX('Aub Demand'!K:K,MATCH($O1024,'Aub Demand'!$A:$A,0))-IF(AN1024="",0,AN1024)),"")</f>
        <v>873</v>
      </c>
      <c r="S1024" s="53">
        <f t="shared" si="420"/>
        <v>37.799999999999997</v>
      </c>
      <c r="T1024" s="52" t="str">
        <f t="shared" si="421"/>
        <v/>
      </c>
      <c r="U1024" s="52">
        <f>IFERROR(IF(AR1025=AR1024,INDEX('Aub Demand'!Q:Q,MATCH($O1024,'Aub Demand'!$A:$A,0))-IF(AN1024="",0,AN1024)+AP1025,INDEX('Aub Demand'!Q:Q,MATCH($O1024,'Aub Demand'!$A:$A,0))-IF(AN1024="",0,AN1024)),"")</f>
        <v>76</v>
      </c>
      <c r="V1024" s="53">
        <f t="shared" si="422"/>
        <v>3.3</v>
      </c>
      <c r="W1024" s="52" t="str">
        <f t="shared" si="423"/>
        <v/>
      </c>
      <c r="X1024" s="52">
        <f>IFERROR(IF(AND(AR1025=AR1024,AM1024&lt;&gt;""),INDEX('Aub Demand'!Q:Q,MATCH($O1024,'Aub Demand'!$A:$A,0))-IF(AN1024="",0,AN1024)+AP1025+AD1024+AL1024,IF(AR1025=AR1024,INDEX('Aub Demand'!Q:Q,MATCH($O1024,'Aub Demand'!$A:$A,0))-IF(AN1024="",0,AN1024)+AP1025+AD1024,IF(AM1024&lt;&gt;"",INDEX('Aub Demand'!Q:Q,MATCH($O1024,'Aub Demand'!$A:$A,0))-IF(AN1024="",0,AN1024)+AD1024+AL1024,INDEX('Aub Demand'!Q:Q,MATCH($O1024,'Aub Demand'!$A:$A,0))-IF(AN1024="",0,AN1024)+AD1024))),"")</f>
        <v>76</v>
      </c>
      <c r="Y1024" s="53">
        <f t="shared" si="424"/>
        <v>3.3</v>
      </c>
      <c r="Z1024" s="52">
        <f>IF(L1024="","",INDEX('Aub Demand'!H:H,MATCH($O1024,'Aub Demand'!$A:$A,0)))</f>
        <v>99</v>
      </c>
      <c r="AA1024" s="52">
        <f t="shared" si="425"/>
        <v>105.5</v>
      </c>
      <c r="AB1024" s="52">
        <f>IFERROR(INDEX('Aub Demand'!L:L,MATCH($O1024,'Aub Demand'!$A:$A,0)),"")</f>
        <v>327</v>
      </c>
      <c r="AC1024" s="52">
        <f>IFERROR(IF(O1024="","",SUMIFS('CPL Mats'!F:F,'CPL Mats'!Q:Q,AR1024,'CPL Mats'!S:S,AS1024)),"")</f>
        <v>0</v>
      </c>
      <c r="AF1024" s="25" t="str">
        <f>IF(SUMIFS('Supp Consol'!S:S,'Supp Consol'!Y:Y,"Releasable",'Supp Consol'!A:A,O1024)=0,"",SUMIFS('Supp Consol'!S:S,'Supp Consol'!Y:Y,"Releasable",'Supp Consol'!A:A,O1024))</f>
        <v/>
      </c>
      <c r="AG1024" s="25">
        <f>IFERROR(INDEX('Hun Demand'!Q:Q,MATCH(O1024,'Hun Demand'!A:A,0)),"")</f>
        <v>288</v>
      </c>
      <c r="AH1024" s="25">
        <f>IFERROR(INDEX('Hun Demand'!H:H,MATCH($O1024,'Hun Demand'!$A:$A,0)),"")</f>
        <v>0</v>
      </c>
      <c r="AI1024" s="25" t="str">
        <f>IF(SUMIFS('Supp Consol'!AA:AA,'Supp Consol'!Z:Z,"Expires this month",'Supp Consol'!A:A,O1024)=0,"",SUMIFS('Supp Consol'!AA:AA,'Supp Consol'!Z:Z,"Expires this month",'Supp Consol'!A:A,O1024))</f>
        <v/>
      </c>
      <c r="AJ1024" s="25" t="str">
        <f>IF(SUMIFS('Supp Consol'!AA:AA,'Supp Consol'!Z:Z,"Expired Previous Months",'Supp Consol'!A:A,O1024)=0,"",SUMIFS('Supp Consol'!AA:AA,'Supp Consol'!Z:Z,"Expired Previous Months",'Supp Consol'!A:A,O1024))</f>
        <v/>
      </c>
      <c r="AK1024" s="25" t="str">
        <f>IFERROR(INDEX('Hun Release Current'!B:B,MATCH(O1024,'Hun Release Current'!A:A,0)),"")</f>
        <v/>
      </c>
      <c r="AL1024" s="25" t="str">
        <f>IF(SUMIF('Prev Aub'!A:A,O1024,'Prev Aub'!B:B)=0,"",SUMIF('Prev Aub'!A:A,O1024,'Prev Aub'!B:B))</f>
        <v/>
      </c>
      <c r="AN1024" s="25" t="s">
        <v>3790</v>
      </c>
      <c r="AO1024" s="25" t="s">
        <v>3790</v>
      </c>
      <c r="AP1024" s="25">
        <f t="shared" si="426"/>
        <v>0</v>
      </c>
      <c r="AQ1024" s="151" t="str">
        <f>IF(SUMIFS('Supp Consol'!S:S,'Supp Consol'!A:A,O1024,'Supp Consol'!I:I,"PENDING")=0,"",SUMIFS('Supp Consol'!S:S,'Supp Consol'!A:A,O1024,'Supp Consol'!I:I,"PENDING"))</f>
        <v/>
      </c>
      <c r="AR1024" s="27" t="str">
        <f t="shared" si="427"/>
        <v>SG208</v>
      </c>
      <c r="AS1024" s="27" t="str">
        <f t="shared" si="428"/>
        <v>50</v>
      </c>
      <c r="AT1024" s="27" t="str">
        <f t="shared" si="429"/>
        <v/>
      </c>
      <c r="AU1024" s="27" t="str">
        <f t="shared" si="430"/>
        <v/>
      </c>
      <c r="AV1024" s="27" t="str">
        <f t="shared" si="431"/>
        <v/>
      </c>
      <c r="AW1024" s="27" t="str">
        <f t="shared" si="432"/>
        <v/>
      </c>
      <c r="AX1024" s="27" t="str">
        <f t="shared" si="433"/>
        <v/>
      </c>
      <c r="AY1024" s="27" t="str">
        <f t="shared" si="434"/>
        <v>SG208</v>
      </c>
      <c r="AZ1024" s="27" t="str">
        <f t="shared" si="435"/>
        <v>Supp</v>
      </c>
      <c r="BA1024" s="27" t="str">
        <f t="shared" si="436"/>
        <v>Hun</v>
      </c>
      <c r="BB1024" s="27" t="str">
        <f t="shared" si="437"/>
        <v/>
      </c>
      <c r="BC1024" s="27" t="str">
        <f t="shared" si="438"/>
        <v/>
      </c>
      <c r="BD1024" s="27" t="str">
        <f t="shared" si="439"/>
        <v/>
      </c>
      <c r="BE1024" s="27" t="str">
        <f t="shared" si="440"/>
        <v/>
      </c>
      <c r="BF1024" s="27" t="str">
        <f t="shared" si="441"/>
        <v/>
      </c>
      <c r="BG1024" s="27" t="str">
        <f t="shared" si="442"/>
        <v/>
      </c>
      <c r="BH1024" s="27" t="str">
        <f t="shared" si="443"/>
        <v/>
      </c>
      <c r="BI1024" s="27" t="str">
        <f t="shared" si="444"/>
        <v/>
      </c>
      <c r="BJ1024" s="27" t="str">
        <f t="shared" si="445"/>
        <v>Supp or Hun</v>
      </c>
      <c r="BK1024" s="27" t="str">
        <f t="shared" si="446"/>
        <v/>
      </c>
      <c r="BL1024" s="27" t="str">
        <f t="shared" si="447"/>
        <v/>
      </c>
      <c r="BM1024" s="21" t="s">
        <v>5581</v>
      </c>
    </row>
    <row r="1025" spans="1:65" ht="15">
      <c r="A1025" s="25">
        <f>IFERROR(INDEX('Hun Demand'!W:W,MATCH(O1025,'Hun Demand'!A:A,0)),"")</f>
        <v>0</v>
      </c>
      <c r="B1025" s="25">
        <f>IFERROR(INDEX('Hun Demand'!V:V,MATCH(O1025,'Hun Demand'!A:A,0)),"")</f>
        <v>0</v>
      </c>
      <c r="C1025" s="25">
        <f>IFERROR(INDEX('Hun Demand'!U:U,MATCH(O1025,'Hun Demand'!A:A,0)),"")</f>
        <v>2015</v>
      </c>
      <c r="D1025" s="25">
        <f>IFERROR(INDEX('Hun Demand'!T:T,MATCH(O1025,'Hun Demand'!A:A,0)),"")</f>
        <v>0</v>
      </c>
      <c r="E1025" s="25">
        <f>IFERROR(INDEX('Hun Demand'!S:S,MATCH(O1025,'Hun Demand'!A:A,0)),"")</f>
        <v>0</v>
      </c>
      <c r="F1025" s="25">
        <f>IFERROR(INDEX('Hun Demand'!R:R,MATCH(O1025,'Hun Demand'!A:A,0)),"")</f>
        <v>0</v>
      </c>
      <c r="G1025" s="25">
        <f>IFERROR(INDEX('Aub Demand'!W:W,MATCH(O1025,'Aub Demand'!A:A,0)),"")</f>
        <v>82</v>
      </c>
      <c r="H1025" s="25">
        <f>IFERROR(INDEX('Aub Demand'!V:V,MATCH(O1025,'Aub Demand'!A:A,0)),"")</f>
        <v>31</v>
      </c>
      <c r="I1025" s="25">
        <f>IFERROR(INDEX('Aub Demand'!U:U,MATCH(O1025,'Aub Demand'!A:A,0)),"")</f>
        <v>122</v>
      </c>
      <c r="J1025" s="25">
        <f>IFERROR(INDEX('Aub Demand'!T:T,MATCH(O1025,'Aub Demand'!A:A,0)),"")</f>
        <v>0</v>
      </c>
      <c r="K1025" s="25">
        <f>IFERROR(INDEX('Aub Demand'!S:S,MATCH(O1025,'Aub Demand'!A:A,0)),"")</f>
        <v>64</v>
      </c>
      <c r="L1025" s="25">
        <f>IFERROR(INDEX('Aub Demand'!R:R,MATCH(O1025,'Aub Demand'!A:A,0)),"")</f>
        <v>0</v>
      </c>
      <c r="O1025" s="27" t="s">
        <v>1414</v>
      </c>
      <c r="P1025" s="27" t="str">
        <f>IFERROR(INDEX('Aub Demand'!B:B,MATCH($O1025,'Aub Demand'!$A:$A,0)),"")</f>
        <v>LIMESTONE</v>
      </c>
      <c r="Q1025" s="27" t="str">
        <f>IFERROR(INDEX('Aub Demand'!C:C,MATCH($O1025,'Aub Demand'!$A:$A,0)),"")</f>
        <v>ONYX</v>
      </c>
      <c r="R1025" s="52">
        <f>IFERROR(IF(AR1026=AR1025,INDEX('Aub Demand'!K:K,MATCH($O1025,'Aub Demand'!$A:$A,0))-IF(AN1025="",0,AN1025)+AP1026,INDEX('Aub Demand'!K:K,MATCH($O1025,'Aub Demand'!$A:$A,0))-IF(AN1025="",0,AN1025)),"")</f>
        <v>698</v>
      </c>
      <c r="S1025" s="53">
        <f t="shared" si="420"/>
        <v>48.2</v>
      </c>
      <c r="T1025" s="52" t="str">
        <f t="shared" si="421"/>
        <v/>
      </c>
      <c r="U1025" s="52">
        <f>IFERROR(IF(AR1026=AR1025,INDEX('Aub Demand'!Q:Q,MATCH($O1025,'Aub Demand'!$A:$A,0))-IF(AN1025="",0,AN1025)+AP1026,INDEX('Aub Demand'!Q:Q,MATCH($O1025,'Aub Demand'!$A:$A,0))-IF(AN1025="",0,AN1025)),"")</f>
        <v>672</v>
      </c>
      <c r="V1025" s="53">
        <f t="shared" si="422"/>
        <v>46.5</v>
      </c>
      <c r="W1025" s="52" t="str">
        <f t="shared" si="423"/>
        <v/>
      </c>
      <c r="X1025" s="52">
        <f>IFERROR(IF(AND(AR1026=AR1025,AM1025&lt;&gt;""),INDEX('Aub Demand'!Q:Q,MATCH($O1025,'Aub Demand'!$A:$A,0))-IF(AN1025="",0,AN1025)+AP1026+AD1025+AL1025,IF(AR1026=AR1025,INDEX('Aub Demand'!Q:Q,MATCH($O1025,'Aub Demand'!$A:$A,0))-IF(AN1025="",0,AN1025)+AP1026+AD1025,IF(AM1025&lt;&gt;"",INDEX('Aub Demand'!Q:Q,MATCH($O1025,'Aub Demand'!$A:$A,0))-IF(AN1025="",0,AN1025)+AD1025+AL1025,INDEX('Aub Demand'!Q:Q,MATCH($O1025,'Aub Demand'!$A:$A,0))-IF(AN1025="",0,AN1025)+AD1025))),"")</f>
        <v>672</v>
      </c>
      <c r="Y1025" s="53">
        <f t="shared" si="424"/>
        <v>46.5</v>
      </c>
      <c r="Z1025" s="52">
        <f>IF(L1025="","",INDEX('Aub Demand'!H:H,MATCH($O1025,'Aub Demand'!$A:$A,0)))</f>
        <v>62</v>
      </c>
      <c r="AA1025" s="52">
        <f t="shared" si="425"/>
        <v>93</v>
      </c>
      <c r="AB1025" s="52">
        <f>IFERROR(INDEX('Aub Demand'!L:L,MATCH($O1025,'Aub Demand'!$A:$A,0)),"")</f>
        <v>22</v>
      </c>
      <c r="AC1025" s="52">
        <f>IFERROR(IF(O1025="","",SUMIFS('CPL Mats'!F:F,'CPL Mats'!Q:Q,AR1025,'CPL Mats'!S:S,AS1025)),"")</f>
        <v>0</v>
      </c>
      <c r="AF1025" s="25">
        <f>IF(SUMIFS('Supp Consol'!S:S,'Supp Consol'!Y:Y,"Releasable",'Supp Consol'!A:A,O1025)=0,"",SUMIFS('Supp Consol'!S:S,'Supp Consol'!Y:Y,"Releasable",'Supp Consol'!A:A,O1025))</f>
        <v>436</v>
      </c>
      <c r="AG1025" s="25">
        <f>IFERROR(INDEX('Hun Demand'!Q:Q,MATCH(O1025,'Hun Demand'!A:A,0)),"")</f>
        <v>0</v>
      </c>
      <c r="AH1025" s="25">
        <f>IFERROR(INDEX('Hun Demand'!H:H,MATCH($O1025,'Hun Demand'!$A:$A,0)),"")</f>
        <v>672</v>
      </c>
      <c r="AI1025" s="25" t="str">
        <f>IF(SUMIFS('Supp Consol'!AA:AA,'Supp Consol'!Z:Z,"Expires this month",'Supp Consol'!A:A,O1025)=0,"",SUMIFS('Supp Consol'!AA:AA,'Supp Consol'!Z:Z,"Expires this month",'Supp Consol'!A:A,O1025))</f>
        <v/>
      </c>
      <c r="AJ1025" s="25" t="str">
        <f>IF(SUMIFS('Supp Consol'!AA:AA,'Supp Consol'!Z:Z,"Expired Previous Months",'Supp Consol'!A:A,O1025)=0,"",SUMIFS('Supp Consol'!AA:AA,'Supp Consol'!Z:Z,"Expired Previous Months",'Supp Consol'!A:A,O1025))</f>
        <v/>
      </c>
      <c r="AK1025" s="25" t="str">
        <f>IFERROR(INDEX('Hun Release Current'!B:B,MATCH(O1025,'Hun Release Current'!A:A,0)),"")</f>
        <v/>
      </c>
      <c r="AL1025" s="25" t="str">
        <f>IF(SUMIF('Prev Aub'!A:A,O1025,'Prev Aub'!B:B)=0,"",SUMIF('Prev Aub'!A:A,O1025,'Prev Aub'!B:B))</f>
        <v/>
      </c>
      <c r="AN1025" s="25">
        <v>200</v>
      </c>
      <c r="AO1025" s="25" t="s">
        <v>3790</v>
      </c>
      <c r="AP1025" s="25">
        <f t="shared" si="426"/>
        <v>160</v>
      </c>
      <c r="AQ1025" s="151" t="str">
        <f>IF(SUMIFS('Supp Consol'!S:S,'Supp Consol'!A:A,O1025,'Supp Consol'!I:I,"PENDING")=0,"",SUMIFS('Supp Consol'!S:S,'Supp Consol'!A:A,O1025,'Supp Consol'!I:I,"PENDING"))</f>
        <v/>
      </c>
      <c r="AR1025" s="27" t="str">
        <f t="shared" si="427"/>
        <v>SG208</v>
      </c>
      <c r="AS1025" s="27" t="str">
        <f t="shared" si="428"/>
        <v>62</v>
      </c>
      <c r="AT1025" s="27" t="str">
        <f t="shared" si="429"/>
        <v/>
      </c>
      <c r="AU1025" s="27" t="str">
        <f t="shared" si="430"/>
        <v/>
      </c>
      <c r="AV1025" s="27" t="str">
        <f t="shared" si="431"/>
        <v/>
      </c>
      <c r="AW1025" s="27" t="str">
        <f t="shared" si="432"/>
        <v/>
      </c>
      <c r="AX1025" s="27" t="str">
        <f t="shared" si="433"/>
        <v>SG208</v>
      </c>
      <c r="AY1025" s="27" t="str">
        <f t="shared" si="434"/>
        <v/>
      </c>
      <c r="AZ1025" s="27" t="str">
        <f t="shared" si="435"/>
        <v>Supp</v>
      </c>
      <c r="BA1025" s="27" t="str">
        <f t="shared" si="436"/>
        <v>Hun</v>
      </c>
      <c r="BB1025" s="27" t="str">
        <f t="shared" si="437"/>
        <v/>
      </c>
      <c r="BC1025" s="27" t="str">
        <f t="shared" si="438"/>
        <v/>
      </c>
      <c r="BD1025" s="27" t="str">
        <f t="shared" si="439"/>
        <v/>
      </c>
      <c r="BE1025" s="27" t="str">
        <f t="shared" si="440"/>
        <v/>
      </c>
      <c r="BF1025" s="27" t="str">
        <f t="shared" si="441"/>
        <v/>
      </c>
      <c r="BG1025" s="27" t="str">
        <f t="shared" si="442"/>
        <v/>
      </c>
      <c r="BH1025" s="27" t="str">
        <f t="shared" si="443"/>
        <v/>
      </c>
      <c r="BI1025" s="27" t="str">
        <f t="shared" si="444"/>
        <v/>
      </c>
      <c r="BJ1025" s="27" t="str">
        <f t="shared" si="445"/>
        <v>Supp or Hun</v>
      </c>
      <c r="BK1025" s="27" t="str">
        <f t="shared" si="446"/>
        <v/>
      </c>
      <c r="BL1025" s="27" t="str">
        <f t="shared" si="447"/>
        <v/>
      </c>
      <c r="BM1025" s="21" t="s">
        <v>5581</v>
      </c>
    </row>
    <row r="1026" spans="1:65" ht="15">
      <c r="A1026" s="25" t="str">
        <f>IFERROR(INDEX('Hun Demand'!W:W,MATCH(O1026,'Hun Demand'!A:A,0)),"")</f>
        <v/>
      </c>
      <c r="B1026" s="25" t="str">
        <f>IFERROR(INDEX('Hun Demand'!V:V,MATCH(O1026,'Hun Demand'!A:A,0)),"")</f>
        <v/>
      </c>
      <c r="C1026" s="25" t="str">
        <f>IFERROR(INDEX('Hun Demand'!U:U,MATCH(O1026,'Hun Demand'!A:A,0)),"")</f>
        <v/>
      </c>
      <c r="D1026" s="25" t="str">
        <f>IFERROR(INDEX('Hun Demand'!T:T,MATCH(O1026,'Hun Demand'!A:A,0)),"")</f>
        <v/>
      </c>
      <c r="E1026" s="25" t="str">
        <f>IFERROR(INDEX('Hun Demand'!S:S,MATCH(O1026,'Hun Demand'!A:A,0)),"")</f>
        <v/>
      </c>
      <c r="F1026" s="25" t="str">
        <f>IFERROR(INDEX('Hun Demand'!R:R,MATCH(O1026,'Hun Demand'!A:A,0)),"")</f>
        <v/>
      </c>
      <c r="G1026" s="25">
        <f>IFERROR(INDEX('Aub Demand'!W:W,MATCH(O1026,'Aub Demand'!A:A,0)),"")</f>
        <v>266</v>
      </c>
      <c r="H1026" s="25">
        <f>IFERROR(INDEX('Aub Demand'!V:V,MATCH(O1026,'Aub Demand'!A:A,0)),"")</f>
        <v>0</v>
      </c>
      <c r="I1026" s="25">
        <f>IFERROR(INDEX('Aub Demand'!U:U,MATCH(O1026,'Aub Demand'!A:A,0)),"")</f>
        <v>140</v>
      </c>
      <c r="J1026" s="25">
        <f>IFERROR(INDEX('Aub Demand'!T:T,MATCH(O1026,'Aub Demand'!A:A,0)),"")</f>
        <v>140</v>
      </c>
      <c r="K1026" s="25">
        <f>IFERROR(INDEX('Aub Demand'!S:S,MATCH(O1026,'Aub Demand'!A:A,0)),"")</f>
        <v>253</v>
      </c>
      <c r="L1026" s="25">
        <f>IFERROR(INDEX('Aub Demand'!R:R,MATCH(O1026,'Aub Demand'!A:A,0)),"")</f>
        <v>0</v>
      </c>
      <c r="O1026" s="27" t="s">
        <v>1415</v>
      </c>
      <c r="P1026" s="27" t="str">
        <f>IFERROR(INDEX('Aub Demand'!B:B,MATCH($O1026,'Aub Demand'!$A:$A,0)),"")</f>
        <v>GREIGE</v>
      </c>
      <c r="Q1026" s="27" t="str">
        <f>IFERROR(INDEX('Aub Demand'!C:C,MATCH($O1026,'Aub Demand'!$A:$A,0)),"")</f>
        <v>TECHN</v>
      </c>
      <c r="R1026" s="52">
        <f>IFERROR(IF(AR1027=AR1026,INDEX('Aub Demand'!K:K,MATCH($O1026,'Aub Demand'!$A:$A,0))-IF(AN1026="",0,AN1026)+AP1027,INDEX('Aub Demand'!K:K,MATCH($O1026,'Aub Demand'!$A:$A,0))-IF(AN1026="",0,AN1026)),"")</f>
        <v>455</v>
      </c>
      <c r="S1026" s="53">
        <f t="shared" si="420"/>
        <v>11</v>
      </c>
      <c r="T1026" s="52" t="str">
        <f t="shared" si="421"/>
        <v/>
      </c>
      <c r="U1026" s="52">
        <f>IFERROR(IF(AR1027=AR1026,INDEX('Aub Demand'!Q:Q,MATCH($O1026,'Aub Demand'!$A:$A,0))-IF(AN1026="",0,AN1026)+AP1027,INDEX('Aub Demand'!Q:Q,MATCH($O1026,'Aub Demand'!$A:$A,0))-IF(AN1026="",0,AN1026)),"")</f>
        <v>437</v>
      </c>
      <c r="V1026" s="53">
        <f t="shared" si="422"/>
        <v>10.5</v>
      </c>
      <c r="W1026" s="52" t="str">
        <f t="shared" si="423"/>
        <v/>
      </c>
      <c r="X1026" s="52">
        <f>IFERROR(IF(AND(AR1027=AR1026,AM1026&lt;&gt;""),INDEX('Aub Demand'!Q:Q,MATCH($O1026,'Aub Demand'!$A:$A,0))-IF(AN1026="",0,AN1026)+AP1027+AD1026+AL1026,IF(AR1027=AR1026,INDEX('Aub Demand'!Q:Q,MATCH($O1026,'Aub Demand'!$A:$A,0))-IF(AN1026="",0,AN1026)+AP1027+AD1026,IF(AM1026&lt;&gt;"",INDEX('Aub Demand'!Q:Q,MATCH($O1026,'Aub Demand'!$A:$A,0))-IF(AN1026="",0,AN1026)+AD1026+AL1026,INDEX('Aub Demand'!Q:Q,MATCH($O1026,'Aub Demand'!$A:$A,0))-IF(AN1026="",0,AN1026)+AD1026))),"")</f>
        <v>437</v>
      </c>
      <c r="Y1026" s="53">
        <f t="shared" si="424"/>
        <v>10.5</v>
      </c>
      <c r="Z1026" s="52">
        <f>IF(L1026="","",INDEX('Aub Demand'!H:H,MATCH($O1026,'Aub Demand'!$A:$A,0)))</f>
        <v>178</v>
      </c>
      <c r="AA1026" s="52">
        <f t="shared" si="425"/>
        <v>196.5</v>
      </c>
      <c r="AB1026" s="52">
        <f>IFERROR(INDEX('Aub Demand'!L:L,MATCH($O1026,'Aub Demand'!$A:$A,0)),"")</f>
        <v>242</v>
      </c>
      <c r="AC1026" s="52">
        <f>IFERROR(IF(O1026="","",SUMIFS('CPL Mats'!F:F,'CPL Mats'!Q:Q,AR1026,'CPL Mats'!S:S,AS1026)),"")</f>
        <v>0</v>
      </c>
      <c r="AF1026" s="25" t="str">
        <f>IF(SUMIFS('Supp Consol'!S:S,'Supp Consol'!Y:Y,"Releasable",'Supp Consol'!A:A,O1026)=0,"",SUMIFS('Supp Consol'!S:S,'Supp Consol'!Y:Y,"Releasable",'Supp Consol'!A:A,O1026))</f>
        <v/>
      </c>
      <c r="AG1026" s="25" t="str">
        <f>IFERROR(INDEX('Hun Demand'!Q:Q,MATCH(O1026,'Hun Demand'!A:A,0)),"")</f>
        <v/>
      </c>
      <c r="AH1026" s="25" t="str">
        <f>IFERROR(INDEX('Hun Demand'!H:H,MATCH($O1026,'Hun Demand'!$A:$A,0)),"")</f>
        <v/>
      </c>
      <c r="AI1026" s="25" t="str">
        <f>IF(SUMIFS('Supp Consol'!AA:AA,'Supp Consol'!Z:Z,"Expires this month",'Supp Consol'!A:A,O1026)=0,"",SUMIFS('Supp Consol'!AA:AA,'Supp Consol'!Z:Z,"Expires this month",'Supp Consol'!A:A,O1026))</f>
        <v/>
      </c>
      <c r="AJ1026" s="25" t="str">
        <f>IF(SUMIFS('Supp Consol'!AA:AA,'Supp Consol'!Z:Z,"Expired Previous Months",'Supp Consol'!A:A,O1026)=0,"",SUMIFS('Supp Consol'!AA:AA,'Supp Consol'!Z:Z,"Expired Previous Months",'Supp Consol'!A:A,O1026))</f>
        <v/>
      </c>
      <c r="AK1026" s="25" t="str">
        <f>IFERROR(INDEX('Hun Release Current'!B:B,MATCH(O1026,'Hun Release Current'!A:A,0)),"")</f>
        <v/>
      </c>
      <c r="AL1026" s="25" t="str">
        <f>IF(SUMIF('Prev Aub'!A:A,O1026,'Prev Aub'!B:B)=0,"",SUMIF('Prev Aub'!A:A,O1026,'Prev Aub'!B:B))</f>
        <v/>
      </c>
      <c r="AN1026" s="25" t="s">
        <v>3790</v>
      </c>
      <c r="AO1026" s="25" t="s">
        <v>3790</v>
      </c>
      <c r="AP1026" s="25">
        <f t="shared" si="426"/>
        <v>0</v>
      </c>
      <c r="AQ1026" s="151" t="str">
        <f>IF(SUMIFS('Supp Consol'!S:S,'Supp Consol'!A:A,O1026,'Supp Consol'!I:I,"PENDING")=0,"",SUMIFS('Supp Consol'!S:S,'Supp Consol'!A:A,O1026,'Supp Consol'!I:I,"PENDING"))</f>
        <v/>
      </c>
      <c r="AR1026" s="27" t="str">
        <f t="shared" si="427"/>
        <v>SG210</v>
      </c>
      <c r="AS1026" s="27" t="str">
        <f t="shared" si="428"/>
        <v>50</v>
      </c>
      <c r="AT1026" s="27" t="str">
        <f t="shared" si="429"/>
        <v/>
      </c>
      <c r="AU1026" s="27" t="str">
        <f t="shared" si="430"/>
        <v/>
      </c>
      <c r="AV1026" s="27" t="str">
        <f t="shared" si="431"/>
        <v/>
      </c>
      <c r="AW1026" s="27" t="str">
        <f t="shared" si="432"/>
        <v/>
      </c>
      <c r="AX1026" s="27" t="str">
        <f t="shared" si="433"/>
        <v/>
      </c>
      <c r="AY1026" s="27" t="str">
        <f t="shared" si="434"/>
        <v/>
      </c>
      <c r="AZ1026" s="27" t="str">
        <f t="shared" si="435"/>
        <v/>
      </c>
      <c r="BA1026" s="27" t="str">
        <f t="shared" si="436"/>
        <v/>
      </c>
      <c r="BB1026" s="27" t="str">
        <f t="shared" si="437"/>
        <v/>
      </c>
      <c r="BC1026" s="27" t="str">
        <f t="shared" si="438"/>
        <v/>
      </c>
      <c r="BD1026" s="27" t="str">
        <f t="shared" si="439"/>
        <v/>
      </c>
      <c r="BE1026" s="27" t="str">
        <f t="shared" si="440"/>
        <v/>
      </c>
      <c r="BF1026" s="27" t="str">
        <f t="shared" si="441"/>
        <v/>
      </c>
      <c r="BG1026" s="27" t="str">
        <f t="shared" si="442"/>
        <v/>
      </c>
      <c r="BH1026" s="27" t="str">
        <f t="shared" si="443"/>
        <v/>
      </c>
      <c r="BI1026" s="27" t="str">
        <f t="shared" si="444"/>
        <v/>
      </c>
      <c r="BJ1026" s="27" t="str">
        <f t="shared" si="445"/>
        <v/>
      </c>
      <c r="BK1026" s="27" t="str">
        <f t="shared" si="446"/>
        <v/>
      </c>
      <c r="BL1026" s="27" t="str">
        <f t="shared" si="447"/>
        <v/>
      </c>
      <c r="BM1026" s="21" t="s">
        <v>5581</v>
      </c>
    </row>
    <row r="1027" spans="1:65" ht="15">
      <c r="A1027" s="25" t="str">
        <f>IFERROR(INDEX('Hun Demand'!W:W,MATCH(O1027,'Hun Demand'!A:A,0)),"")</f>
        <v/>
      </c>
      <c r="B1027" s="25" t="str">
        <f>IFERROR(INDEX('Hun Demand'!V:V,MATCH(O1027,'Hun Demand'!A:A,0)),"")</f>
        <v/>
      </c>
      <c r="C1027" s="25" t="str">
        <f>IFERROR(INDEX('Hun Demand'!U:U,MATCH(O1027,'Hun Demand'!A:A,0)),"")</f>
        <v/>
      </c>
      <c r="D1027" s="25" t="str">
        <f>IFERROR(INDEX('Hun Demand'!T:T,MATCH(O1027,'Hun Demand'!A:A,0)),"")</f>
        <v/>
      </c>
      <c r="E1027" s="25" t="str">
        <f>IFERROR(INDEX('Hun Demand'!S:S,MATCH(O1027,'Hun Demand'!A:A,0)),"")</f>
        <v/>
      </c>
      <c r="F1027" s="25" t="str">
        <f>IFERROR(INDEX('Hun Demand'!R:R,MATCH(O1027,'Hun Demand'!A:A,0)),"")</f>
        <v/>
      </c>
      <c r="G1027" s="25">
        <f>IFERROR(INDEX('Aub Demand'!W:W,MATCH(O1027,'Aub Demand'!A:A,0)),"")</f>
        <v>0</v>
      </c>
      <c r="H1027" s="25">
        <f>IFERROR(INDEX('Aub Demand'!V:V,MATCH(O1027,'Aub Demand'!A:A,0)),"")</f>
        <v>152</v>
      </c>
      <c r="I1027" s="25">
        <f>IFERROR(INDEX('Aub Demand'!U:U,MATCH(O1027,'Aub Demand'!A:A,0)),"")</f>
        <v>0</v>
      </c>
      <c r="J1027" s="25">
        <f>IFERROR(INDEX('Aub Demand'!T:T,MATCH(O1027,'Aub Demand'!A:A,0)),"")</f>
        <v>36</v>
      </c>
      <c r="K1027" s="25">
        <f>IFERROR(INDEX('Aub Demand'!S:S,MATCH(O1027,'Aub Demand'!A:A,0)),"")</f>
        <v>150</v>
      </c>
      <c r="L1027" s="25">
        <f>IFERROR(INDEX('Aub Demand'!R:R,MATCH(O1027,'Aub Demand'!A:A,0)),"")</f>
        <v>0</v>
      </c>
      <c r="O1027" s="27" t="s">
        <v>1418</v>
      </c>
      <c r="P1027" s="27" t="str">
        <f>IFERROR(INDEX('Aub Demand'!B:B,MATCH($O1027,'Aub Demand'!$A:$A,0)),"")</f>
        <v>GREIGE</v>
      </c>
      <c r="Q1027" s="27" t="str">
        <f>IFERROR(INDEX('Aub Demand'!C:C,MATCH($O1027,'Aub Demand'!$A:$A,0)),"")</f>
        <v>TECHN</v>
      </c>
      <c r="R1027" s="52">
        <f>IFERROR(IF(AR1028=AR1027,INDEX('Aub Demand'!K:K,MATCH($O1027,'Aub Demand'!$A:$A,0))-IF(AN1027="",0,AN1027)+AP1028,INDEX('Aub Demand'!K:K,MATCH($O1027,'Aub Demand'!$A:$A,0))-IF(AN1027="",0,AN1027)),"")</f>
        <v>1456</v>
      </c>
      <c r="S1027" s="53">
        <f t="shared" ref="S1027:S1090" si="448">IFERROR(IF(O1027="","",ROUND(R1027/((Z1027/30)*7),1)),"n/a")</f>
        <v>100.6</v>
      </c>
      <c r="T1027" s="52" t="str">
        <f t="shared" ref="T1027:T1090" si="449">IFERROR(IF(S1027&lt;3.1,IF(AA1027="spike",(3-S1027)*(Z1027/4),(3-S1027)*(AA1027/4)),""),"")</f>
        <v/>
      </c>
      <c r="U1027" s="52">
        <f>IFERROR(IF(AR1028=AR1027,INDEX('Aub Demand'!Q:Q,MATCH($O1027,'Aub Demand'!$A:$A,0))-IF(AN1027="",0,AN1027)+AP1028,INDEX('Aub Demand'!Q:Q,MATCH($O1027,'Aub Demand'!$A:$A,0))-IF(AN1027="",0,AN1027)),"")</f>
        <v>1349</v>
      </c>
      <c r="V1027" s="53">
        <f t="shared" ref="V1027:V1090" si="450">IFERROR(IF(O1027="","",ROUND(U1027/((Z1027/30)*7),1)),"n/a")</f>
        <v>93.2</v>
      </c>
      <c r="W1027" s="52" t="str">
        <f t="shared" ref="W1027:W1090" si="451">IF(IFERROR(IF(V1027&lt;3.1,IF(AA1027="spike",(3-V1027)*(Z1027/4),(3-V1027)*(AA1027/4)),""),"")&lt;0,0,IFERROR(IF(V1027&lt;3.1,IF(AA1027="spike",(3-V1027)*(Z1027/4),(3-V1027)*(AA1027/4)),""),""))</f>
        <v/>
      </c>
      <c r="X1027" s="52">
        <f>IFERROR(IF(AND(AR1028=AR1027,AM1027&lt;&gt;""),INDEX('Aub Demand'!Q:Q,MATCH($O1027,'Aub Demand'!$A:$A,0))-IF(AN1027="",0,AN1027)+AP1028+AD1027+AL1027,IF(AR1028=AR1027,INDEX('Aub Demand'!Q:Q,MATCH($O1027,'Aub Demand'!$A:$A,0))-IF(AN1027="",0,AN1027)+AP1028+AD1027,IF(AM1027&lt;&gt;"",INDEX('Aub Demand'!Q:Q,MATCH($O1027,'Aub Demand'!$A:$A,0))-IF(AN1027="",0,AN1027)+AD1027+AL1027,INDEX('Aub Demand'!Q:Q,MATCH($O1027,'Aub Demand'!$A:$A,0))-IF(AN1027="",0,AN1027)+AD1027))),"")</f>
        <v>1349</v>
      </c>
      <c r="Y1027" s="53">
        <f t="shared" ref="Y1027:Y1090" si="452">IFERROR(IF(O1027="","",ROUND(X1027/((Z1027/30)*7),1)),"n/a")</f>
        <v>93.2</v>
      </c>
      <c r="Z1027" s="52">
        <f>IF(L1027="","",INDEX('Aub Demand'!H:H,MATCH($O1027,'Aub Demand'!$A:$A,0)))</f>
        <v>62</v>
      </c>
      <c r="AA1027" s="52">
        <f t="shared" ref="AA1027:AA1090" si="453">IF(L1027="","",IF(LARGE(I1027:L1027,2)=0,"-spike-",AVERAGE(LARGE(I1027:L1027,1),LARGE(I1027:L1027,2))))</f>
        <v>93</v>
      </c>
      <c r="AB1027" s="52">
        <f>IFERROR(INDEX('Aub Demand'!L:L,MATCH($O1027,'Aub Demand'!$A:$A,0)),"")</f>
        <v>86</v>
      </c>
      <c r="AC1027" s="52">
        <f>IFERROR(IF(O1027="","",SUMIFS('CPL Mats'!F:F,'CPL Mats'!Q:Q,AR1027,'CPL Mats'!S:S,AS1027)),"")</f>
        <v>0</v>
      </c>
      <c r="AF1027" s="25" t="str">
        <f>IF(SUMIFS('Supp Consol'!S:S,'Supp Consol'!Y:Y,"Releasable",'Supp Consol'!A:A,O1027)=0,"",SUMIFS('Supp Consol'!S:S,'Supp Consol'!Y:Y,"Releasable",'Supp Consol'!A:A,O1027))</f>
        <v/>
      </c>
      <c r="AG1027" s="25" t="str">
        <f>IFERROR(INDEX('Hun Demand'!Q:Q,MATCH(O1027,'Hun Demand'!A:A,0)),"")</f>
        <v/>
      </c>
      <c r="AH1027" s="25" t="str">
        <f>IFERROR(INDEX('Hun Demand'!H:H,MATCH($O1027,'Hun Demand'!$A:$A,0)),"")</f>
        <v/>
      </c>
      <c r="AI1027" s="25" t="str">
        <f>IF(SUMIFS('Supp Consol'!AA:AA,'Supp Consol'!Z:Z,"Expires this month",'Supp Consol'!A:A,O1027)=0,"",SUMIFS('Supp Consol'!AA:AA,'Supp Consol'!Z:Z,"Expires this month",'Supp Consol'!A:A,O1027))</f>
        <v/>
      </c>
      <c r="AJ1027" s="25" t="str">
        <f>IF(SUMIFS('Supp Consol'!AA:AA,'Supp Consol'!Z:Z,"Expired Previous Months",'Supp Consol'!A:A,O1027)=0,"",SUMIFS('Supp Consol'!AA:AA,'Supp Consol'!Z:Z,"Expired Previous Months",'Supp Consol'!A:A,O1027))</f>
        <v/>
      </c>
      <c r="AK1027" s="25" t="str">
        <f>IFERROR(INDEX('Hun Release Current'!B:B,MATCH(O1027,'Hun Release Current'!A:A,0)),"")</f>
        <v/>
      </c>
      <c r="AL1027" s="25" t="str">
        <f>IF(SUMIF('Prev Aub'!A:A,O1027,'Prev Aub'!B:B)=0,"",SUMIF('Prev Aub'!A:A,O1027,'Prev Aub'!B:B))</f>
        <v/>
      </c>
      <c r="AN1027" s="25" t="s">
        <v>3790</v>
      </c>
      <c r="AO1027" s="25" t="s">
        <v>3790</v>
      </c>
      <c r="AP1027" s="25">
        <f t="shared" ref="AP1027:AP1090" si="454">IFERROR(IF(O1027="","",IF(AN1027="",0,VALUE(AN1027)-(VALUE(AN1027)*0.2))),"")</f>
        <v>0</v>
      </c>
      <c r="AQ1027" s="151" t="str">
        <f>IF(SUMIFS('Supp Consol'!S:S,'Supp Consol'!A:A,O1027,'Supp Consol'!I:I,"PENDING")=0,"",SUMIFS('Supp Consol'!S:S,'Supp Consol'!A:A,O1027,'Supp Consol'!I:I,"PENDING"))</f>
        <v/>
      </c>
      <c r="AR1027" s="27" t="str">
        <f t="shared" ref="AR1027:AR1090" si="455">MID(O1027,4,5)</f>
        <v>SG210</v>
      </c>
      <c r="AS1027" s="27" t="str">
        <f t="shared" ref="AS1027:AS1090" si="456">MID(O1027,10,2)</f>
        <v>62</v>
      </c>
      <c r="AT1027" s="27" t="str">
        <f t="shared" ref="AT1027:AT1090" si="457">IF(S1027&lt;3.1,AR1027,"")</f>
        <v/>
      </c>
      <c r="AU1027" s="27" t="str">
        <f t="shared" ref="AU1027:AU1090" si="458">IF(Y1027&lt;3.1,AR1027,"")</f>
        <v/>
      </c>
      <c r="AV1027" s="27" t="str">
        <f t="shared" ref="AV1027:AV1090" si="459">IF(AND(AA1027="Spike",L1027=0,K1027=0,X1027&gt;=0),"",IF(Y1027&lt;3.1,AR1027,""))</f>
        <v/>
      </c>
      <c r="AW1027" s="27" t="str">
        <f t="shared" ref="AW1027:AW1090" si="460">IF(AI1027=AL1027,"",IF(OR(AI1027&lt;&gt;"",AJ1027&lt;&gt;""),AR1027,""))</f>
        <v/>
      </c>
      <c r="AX1027" s="27" t="str">
        <f t="shared" ref="AX1027:AX1090" si="461">IF(AF1027&lt;&gt;"",AR1027,"")</f>
        <v/>
      </c>
      <c r="AY1027" s="27" t="str">
        <f t="shared" ref="AY1027:AY1090" si="462">IF(AND(AG1027&lt;&gt;"",AG1027&gt;AH1027),AR1027,"")</f>
        <v/>
      </c>
      <c r="AZ1027" s="27" t="str">
        <f t="shared" ref="AZ1027:AZ1090" si="463">IFERROR(IF(O1027="","",IF(ISERROR(MATCH(AR1027,AX:AX,0)),"","Supp")),"")</f>
        <v/>
      </c>
      <c r="BA1027" s="27" t="str">
        <f t="shared" ref="BA1027:BA1090" si="464">IFERROR(IF(O1027="","",IF(ISERROR(MATCH(AR1027,AY:AY,0)),"","Hun")),"")</f>
        <v/>
      </c>
      <c r="BB1027" s="27" t="str">
        <f t="shared" ref="BB1027:BB1090" si="465">IFERROR(IF(O1027="","",IF(ISERROR(MATCH(AR1027,AT:AT,0)),"","Gross")),"")</f>
        <v/>
      </c>
      <c r="BC1027" s="27" t="str">
        <f t="shared" ref="BC1027:BC1090" si="466">IFERROR(IF(O1027="","",IF(ISERROR(MATCH(AR1027,AU:AU,0)),"","Net")),"")</f>
        <v/>
      </c>
      <c r="BD1027" s="27" t="str">
        <f t="shared" ref="BD1027:BD1090" si="467">IFERROR(IF(O1027="","",IF(ISERROR(MATCH(AR1027,AV:AV,0)),"","Net")),"")</f>
        <v/>
      </c>
      <c r="BE1027" s="27" t="str">
        <f t="shared" ref="BE1027:BE1090" si="468">IFERROR(IF(O1027="","",IF(ISERROR(MATCH(AR1027,AW:AW,0)),"","Exp")),"")</f>
        <v/>
      </c>
      <c r="BF1027" s="27" t="str">
        <f t="shared" ref="BF1027:BF1090" si="469">IFERROR(IF(O1027="","",IF(AND(AZ1027="Supp",BC1027="Net"),"S+N","")),"")</f>
        <v/>
      </c>
      <c r="BG1027" s="27" t="str">
        <f t="shared" ref="BG1027:BG1090" si="470">IFERROR(IF(O1027="","",IF(OR(BE1027&lt;&gt;"",BF1027&lt;&gt;""),"S+NorE","")),"")</f>
        <v/>
      </c>
      <c r="BH1027" s="27" t="str">
        <f t="shared" ref="BH1027:BH1090" si="471">IFERROR(IF(O1027="","",IF(AND(BA1027&lt;&gt;"",BC1027&lt;&gt;""),"H+N","")),"")</f>
        <v/>
      </c>
      <c r="BI1027" s="27" t="str">
        <f t="shared" ref="BI1027:BI1090" si="472">IFERROR(IF(O1027="","",IF(AND(BA1027&lt;&gt;"",BD1027&lt;&gt;""),"H+Nex","")),"")</f>
        <v/>
      </c>
      <c r="BJ1027" s="27" t="str">
        <f t="shared" ref="BJ1027:BJ1090" si="473">IF(OR(AZ1027&lt;&gt;"",BA1027&lt;&gt;""),"Supp or Hun","")</f>
        <v/>
      </c>
      <c r="BK1027" s="27" t="str">
        <f t="shared" ref="BK1027:BK1090" si="474">IF(AND(BJ1027&lt;&gt;"",BC1027&lt;&gt;""),"Supp or Hun Need","")</f>
        <v/>
      </c>
      <c r="BL1027" s="27" t="str">
        <f t="shared" ref="BL1027:BL1090" si="475">IF(OR(BK1027&lt;&gt;"",BE1027&lt;&gt;""),"SorHandNandE","")</f>
        <v/>
      </c>
      <c r="BM1027" s="21" t="s">
        <v>5581</v>
      </c>
    </row>
    <row r="1028" spans="1:65" ht="15">
      <c r="A1028" s="25">
        <f>IFERROR(INDEX('Hun Demand'!W:W,MATCH(O1028,'Hun Demand'!A:A,0)),"")</f>
        <v>0</v>
      </c>
      <c r="B1028" s="25">
        <f>IFERROR(INDEX('Hun Demand'!V:V,MATCH(O1028,'Hun Demand'!A:A,0)),"")</f>
        <v>156</v>
      </c>
      <c r="C1028" s="25">
        <f>IFERROR(INDEX('Hun Demand'!U:U,MATCH(O1028,'Hun Demand'!A:A,0)),"")</f>
        <v>376</v>
      </c>
      <c r="D1028" s="25">
        <f>IFERROR(INDEX('Hun Demand'!T:T,MATCH(O1028,'Hun Demand'!A:A,0)),"")</f>
        <v>0</v>
      </c>
      <c r="E1028" s="25">
        <f>IFERROR(INDEX('Hun Demand'!S:S,MATCH(O1028,'Hun Demand'!A:A,0)),"")</f>
        <v>0</v>
      </c>
      <c r="F1028" s="25">
        <f>IFERROR(INDEX('Hun Demand'!R:R,MATCH(O1028,'Hun Demand'!A:A,0)),"")</f>
        <v>0</v>
      </c>
      <c r="G1028" s="25">
        <f>IFERROR(INDEX('Aub Demand'!W:W,MATCH(O1028,'Aub Demand'!A:A,0)),"")</f>
        <v>242</v>
      </c>
      <c r="H1028" s="25">
        <f>IFERROR(INDEX('Aub Demand'!V:V,MATCH(O1028,'Aub Demand'!A:A,0)),"")</f>
        <v>30</v>
      </c>
      <c r="I1028" s="25">
        <f>IFERROR(INDEX('Aub Demand'!U:U,MATCH(O1028,'Aub Demand'!A:A,0)),"")</f>
        <v>239</v>
      </c>
      <c r="J1028" s="25">
        <f>IFERROR(INDEX('Aub Demand'!T:T,MATCH(O1028,'Aub Demand'!A:A,0)),"")</f>
        <v>176</v>
      </c>
      <c r="K1028" s="25">
        <f>IFERROR(INDEX('Aub Demand'!S:S,MATCH(O1028,'Aub Demand'!A:A,0)),"")</f>
        <v>171</v>
      </c>
      <c r="L1028" s="25">
        <f>IFERROR(INDEX('Aub Demand'!R:R,MATCH(O1028,'Aub Demand'!A:A,0)),"")</f>
        <v>0</v>
      </c>
      <c r="O1028" s="27" t="s">
        <v>1419</v>
      </c>
      <c r="P1028" s="27" t="str">
        <f>IFERROR(INDEX('Aub Demand'!B:B,MATCH($O1028,'Aub Demand'!$A:$A,0)),"")</f>
        <v>INGOT GRAY</v>
      </c>
      <c r="Q1028" s="27" t="str">
        <f>IFERROR(INDEX('Aub Demand'!C:C,MATCH($O1028,'Aub Demand'!$A:$A,0)),"")</f>
        <v>ONYX</v>
      </c>
      <c r="R1028" s="52">
        <f>IFERROR(IF(AR1029=AR1028,INDEX('Aub Demand'!K:K,MATCH($O1028,'Aub Demand'!$A:$A,0))-IF(AN1028="",0,AN1028)+AP1029,INDEX('Aub Demand'!K:K,MATCH($O1028,'Aub Demand'!$A:$A,0))-IF(AN1028="",0,AN1028)),"")</f>
        <v>529</v>
      </c>
      <c r="S1028" s="53">
        <f t="shared" si="448"/>
        <v>11.6</v>
      </c>
      <c r="T1028" s="52" t="str">
        <f t="shared" si="449"/>
        <v/>
      </c>
      <c r="U1028" s="52">
        <f>IFERROR(IF(AR1029=AR1028,INDEX('Aub Demand'!Q:Q,MATCH($O1028,'Aub Demand'!$A:$A,0))-IF(AN1028="",0,AN1028)+AP1029,INDEX('Aub Demand'!Q:Q,MATCH($O1028,'Aub Demand'!$A:$A,0))-IF(AN1028="",0,AN1028)),"")</f>
        <v>202</v>
      </c>
      <c r="V1028" s="53">
        <f t="shared" si="450"/>
        <v>4.4000000000000004</v>
      </c>
      <c r="W1028" s="52" t="str">
        <f t="shared" si="451"/>
        <v/>
      </c>
      <c r="X1028" s="52">
        <f>IFERROR(IF(AND(AR1029=AR1028,AM1028&lt;&gt;""),INDEX('Aub Demand'!Q:Q,MATCH($O1028,'Aub Demand'!$A:$A,0))-IF(AN1028="",0,AN1028)+AP1029+AD1028+AL1028,IF(AR1029=AR1028,INDEX('Aub Demand'!Q:Q,MATCH($O1028,'Aub Demand'!$A:$A,0))-IF(AN1028="",0,AN1028)+AP1029+AD1028,IF(AM1028&lt;&gt;"",INDEX('Aub Demand'!Q:Q,MATCH($O1028,'Aub Demand'!$A:$A,0))-IF(AN1028="",0,AN1028)+AD1028+AL1028,INDEX('Aub Demand'!Q:Q,MATCH($O1028,'Aub Demand'!$A:$A,0))-IF(AN1028="",0,AN1028)+AD1028))),"")</f>
        <v>202</v>
      </c>
      <c r="Y1028" s="53">
        <f t="shared" si="452"/>
        <v>4.4000000000000004</v>
      </c>
      <c r="Z1028" s="52">
        <f>IF(L1028="","",INDEX('Aub Demand'!H:H,MATCH($O1028,'Aub Demand'!$A:$A,0)))</f>
        <v>195</v>
      </c>
      <c r="AA1028" s="52">
        <f t="shared" si="453"/>
        <v>207.5</v>
      </c>
      <c r="AB1028" s="52">
        <f>IFERROR(INDEX('Aub Demand'!L:L,MATCH($O1028,'Aub Demand'!$A:$A,0)),"")</f>
        <v>232</v>
      </c>
      <c r="AC1028" s="52">
        <f>IFERROR(IF(O1028="","",SUMIFS('CPL Mats'!F:F,'CPL Mats'!Q:Q,AR1028,'CPL Mats'!S:S,AS1028)),"")</f>
        <v>0</v>
      </c>
      <c r="AF1028" s="25">
        <f>IF(SUMIFS('Supp Consol'!S:S,'Supp Consol'!Y:Y,"Releasable",'Supp Consol'!A:A,O1028)=0,"",SUMIFS('Supp Consol'!S:S,'Supp Consol'!Y:Y,"Releasable",'Supp Consol'!A:A,O1028))</f>
        <v>2187</v>
      </c>
      <c r="AG1028" s="25">
        <f>IFERROR(INDEX('Hun Demand'!Q:Q,MATCH(O1028,'Hun Demand'!A:A,0)),"")</f>
        <v>160</v>
      </c>
      <c r="AH1028" s="25">
        <f>IFERROR(INDEX('Hun Demand'!H:H,MATCH($O1028,'Hun Demand'!$A:$A,0)),"")</f>
        <v>125</v>
      </c>
      <c r="AI1028" s="25">
        <f>IF(SUMIFS('Supp Consol'!AA:AA,'Supp Consol'!Z:Z,"Expires this month",'Supp Consol'!A:A,O1028)=0,"",SUMIFS('Supp Consol'!AA:AA,'Supp Consol'!Z:Z,"Expires this month",'Supp Consol'!A:A,O1028))</f>
        <v>2187</v>
      </c>
      <c r="AJ1028" s="25" t="str">
        <f>IF(SUMIFS('Supp Consol'!AA:AA,'Supp Consol'!Z:Z,"Expired Previous Months",'Supp Consol'!A:A,O1028)=0,"",SUMIFS('Supp Consol'!AA:AA,'Supp Consol'!Z:Z,"Expired Previous Months",'Supp Consol'!A:A,O1028))</f>
        <v/>
      </c>
      <c r="AK1028" s="25" t="str">
        <f>IFERROR(INDEX('Hun Release Current'!B:B,MATCH(O1028,'Hun Release Current'!A:A,0)),"")</f>
        <v/>
      </c>
      <c r="AL1028" s="25" t="str">
        <f>IF(SUMIF('Prev Aub'!A:A,O1028,'Prev Aub'!B:B)=0,"",SUMIF('Prev Aub'!A:A,O1028,'Prev Aub'!B:B))</f>
        <v/>
      </c>
      <c r="AN1028" s="25" t="s">
        <v>3790</v>
      </c>
      <c r="AO1028" s="25" t="s">
        <v>3790</v>
      </c>
      <c r="AP1028" s="25">
        <f t="shared" si="454"/>
        <v>0</v>
      </c>
      <c r="AQ1028" s="151" t="str">
        <f>IF(SUMIFS('Supp Consol'!S:S,'Supp Consol'!A:A,O1028,'Supp Consol'!I:I,"PENDING")=0,"",SUMIFS('Supp Consol'!S:S,'Supp Consol'!A:A,O1028,'Supp Consol'!I:I,"PENDING"))</f>
        <v/>
      </c>
      <c r="AR1028" s="27" t="str">
        <f t="shared" si="455"/>
        <v>SG211</v>
      </c>
      <c r="AS1028" s="27" t="str">
        <f t="shared" si="456"/>
        <v>50</v>
      </c>
      <c r="AT1028" s="27" t="str">
        <f t="shared" si="457"/>
        <v/>
      </c>
      <c r="AU1028" s="27" t="str">
        <f t="shared" si="458"/>
        <v/>
      </c>
      <c r="AV1028" s="27" t="str">
        <f t="shared" si="459"/>
        <v/>
      </c>
      <c r="AW1028" s="27" t="str">
        <f t="shared" si="460"/>
        <v>SG211</v>
      </c>
      <c r="AX1028" s="27" t="str">
        <f t="shared" si="461"/>
        <v>SG211</v>
      </c>
      <c r="AY1028" s="27" t="str">
        <f t="shared" si="462"/>
        <v>SG211</v>
      </c>
      <c r="AZ1028" s="27" t="str">
        <f t="shared" si="463"/>
        <v>Supp</v>
      </c>
      <c r="BA1028" s="27" t="str">
        <f t="shared" si="464"/>
        <v>Hun</v>
      </c>
      <c r="BB1028" s="27" t="str">
        <f t="shared" si="465"/>
        <v/>
      </c>
      <c r="BC1028" s="27" t="str">
        <f t="shared" si="466"/>
        <v/>
      </c>
      <c r="BD1028" s="27" t="str">
        <f t="shared" si="467"/>
        <v/>
      </c>
      <c r="BE1028" s="27" t="str">
        <f t="shared" si="468"/>
        <v>Exp</v>
      </c>
      <c r="BF1028" s="27" t="str">
        <f t="shared" si="469"/>
        <v/>
      </c>
      <c r="BG1028" s="27" t="str">
        <f t="shared" si="470"/>
        <v>S+NorE</v>
      </c>
      <c r="BH1028" s="27" t="str">
        <f t="shared" si="471"/>
        <v/>
      </c>
      <c r="BI1028" s="27" t="str">
        <f t="shared" si="472"/>
        <v/>
      </c>
      <c r="BJ1028" s="27" t="str">
        <f t="shared" si="473"/>
        <v>Supp or Hun</v>
      </c>
      <c r="BK1028" s="27" t="str">
        <f t="shared" si="474"/>
        <v/>
      </c>
      <c r="BL1028" s="27" t="str">
        <f t="shared" si="475"/>
        <v>SorHandNandE</v>
      </c>
      <c r="BM1028" s="21" t="s">
        <v>5581</v>
      </c>
    </row>
    <row r="1029" spans="1:65" ht="15">
      <c r="A1029" s="25" t="str">
        <f>IFERROR(INDEX('Hun Demand'!W:W,MATCH(O1029,'Hun Demand'!A:A,0)),"")</f>
        <v/>
      </c>
      <c r="B1029" s="25" t="str">
        <f>IFERROR(INDEX('Hun Demand'!V:V,MATCH(O1029,'Hun Demand'!A:A,0)),"")</f>
        <v/>
      </c>
      <c r="C1029" s="25" t="str">
        <f>IFERROR(INDEX('Hun Demand'!U:U,MATCH(O1029,'Hun Demand'!A:A,0)),"")</f>
        <v/>
      </c>
      <c r="D1029" s="25" t="str">
        <f>IFERROR(INDEX('Hun Demand'!T:T,MATCH(O1029,'Hun Demand'!A:A,0)),"")</f>
        <v/>
      </c>
      <c r="E1029" s="25" t="str">
        <f>IFERROR(INDEX('Hun Demand'!S:S,MATCH(O1029,'Hun Demand'!A:A,0)),"")</f>
        <v/>
      </c>
      <c r="F1029" s="25" t="str">
        <f>IFERROR(INDEX('Hun Demand'!R:R,MATCH(O1029,'Hun Demand'!A:A,0)),"")</f>
        <v/>
      </c>
      <c r="G1029" s="25">
        <f>IFERROR(INDEX('Aub Demand'!W:W,MATCH(O1029,'Aub Demand'!A:A,0)),"")</f>
        <v>172</v>
      </c>
      <c r="H1029" s="25">
        <f>IFERROR(INDEX('Aub Demand'!V:V,MATCH(O1029,'Aub Demand'!A:A,0)),"")</f>
        <v>0</v>
      </c>
      <c r="I1029" s="25">
        <f>IFERROR(INDEX('Aub Demand'!U:U,MATCH(O1029,'Aub Demand'!A:A,0)),"")</f>
        <v>0</v>
      </c>
      <c r="J1029" s="25">
        <f>IFERROR(INDEX('Aub Demand'!T:T,MATCH(O1029,'Aub Demand'!A:A,0)),"")</f>
        <v>147</v>
      </c>
      <c r="K1029" s="25">
        <f>IFERROR(INDEX('Aub Demand'!S:S,MATCH(O1029,'Aub Demand'!A:A,0)),"")</f>
        <v>96</v>
      </c>
      <c r="L1029" s="25">
        <f>IFERROR(INDEX('Aub Demand'!R:R,MATCH(O1029,'Aub Demand'!A:A,0)),"")</f>
        <v>0</v>
      </c>
      <c r="O1029" s="27" t="s">
        <v>1421</v>
      </c>
      <c r="P1029" s="27" t="str">
        <f>IFERROR(INDEX('Aub Demand'!B:B,MATCH($O1029,'Aub Demand'!$A:$A,0)),"")</f>
        <v>INGOT GRAY</v>
      </c>
      <c r="Q1029" s="27" t="str">
        <f>IFERROR(INDEX('Aub Demand'!C:C,MATCH($O1029,'Aub Demand'!$A:$A,0)),"")</f>
        <v>ONYX</v>
      </c>
      <c r="R1029" s="52">
        <f>IFERROR(IF(AR1030=AR1029,INDEX('Aub Demand'!K:K,MATCH($O1029,'Aub Demand'!$A:$A,0))-IF(AN1029="",0,AN1029)+AP1030,INDEX('Aub Demand'!K:K,MATCH($O1029,'Aub Demand'!$A:$A,0))-IF(AN1029="",0,AN1029)),"")</f>
        <v>312</v>
      </c>
      <c r="S1029" s="53">
        <f t="shared" si="448"/>
        <v>16.5</v>
      </c>
      <c r="T1029" s="52" t="str">
        <f t="shared" si="449"/>
        <v/>
      </c>
      <c r="U1029" s="52">
        <f>IFERROR(IF(AR1030=AR1029,INDEX('Aub Demand'!Q:Q,MATCH($O1029,'Aub Demand'!$A:$A,0))-IF(AN1029="",0,AN1029)+AP1030,INDEX('Aub Demand'!Q:Q,MATCH($O1029,'Aub Demand'!$A:$A,0))-IF(AN1029="",0,AN1029)),"")</f>
        <v>274</v>
      </c>
      <c r="V1029" s="53">
        <f t="shared" si="450"/>
        <v>14.5</v>
      </c>
      <c r="W1029" s="52" t="str">
        <f t="shared" si="451"/>
        <v/>
      </c>
      <c r="X1029" s="52">
        <f>IFERROR(IF(AND(AR1030=AR1029,AM1029&lt;&gt;""),INDEX('Aub Demand'!Q:Q,MATCH($O1029,'Aub Demand'!$A:$A,0))-IF(AN1029="",0,AN1029)+AP1030+AD1029+AL1029,IF(AR1030=AR1029,INDEX('Aub Demand'!Q:Q,MATCH($O1029,'Aub Demand'!$A:$A,0))-IF(AN1029="",0,AN1029)+AP1030+AD1029,IF(AM1029&lt;&gt;"",INDEX('Aub Demand'!Q:Q,MATCH($O1029,'Aub Demand'!$A:$A,0))-IF(AN1029="",0,AN1029)+AD1029+AL1029,INDEX('Aub Demand'!Q:Q,MATCH($O1029,'Aub Demand'!$A:$A,0))-IF(AN1029="",0,AN1029)+AD1029))),"")</f>
        <v>274</v>
      </c>
      <c r="Y1029" s="53">
        <f t="shared" si="452"/>
        <v>14.5</v>
      </c>
      <c r="Z1029" s="52">
        <f>IF(L1029="","",INDEX('Aub Demand'!H:H,MATCH($O1029,'Aub Demand'!$A:$A,0)))</f>
        <v>81</v>
      </c>
      <c r="AA1029" s="52">
        <f t="shared" si="453"/>
        <v>121.5</v>
      </c>
      <c r="AB1029" s="52">
        <f>IFERROR(INDEX('Aub Demand'!L:L,MATCH($O1029,'Aub Demand'!$A:$A,0)),"")</f>
        <v>64</v>
      </c>
      <c r="AC1029" s="52">
        <f>IFERROR(IF(O1029="","",SUMIFS('CPL Mats'!F:F,'CPL Mats'!Q:Q,AR1029,'CPL Mats'!S:S,AS1029)),"")</f>
        <v>0</v>
      </c>
      <c r="AF1029" s="25">
        <f>IF(SUMIFS('Supp Consol'!S:S,'Supp Consol'!Y:Y,"Releasable",'Supp Consol'!A:A,O1029)=0,"",SUMIFS('Supp Consol'!S:S,'Supp Consol'!Y:Y,"Releasable",'Supp Consol'!A:A,O1029))</f>
        <v>788</v>
      </c>
      <c r="AG1029" s="25" t="str">
        <f>IFERROR(INDEX('Hun Demand'!Q:Q,MATCH(O1029,'Hun Demand'!A:A,0)),"")</f>
        <v/>
      </c>
      <c r="AH1029" s="25" t="str">
        <f>IFERROR(INDEX('Hun Demand'!H:H,MATCH($O1029,'Hun Demand'!$A:$A,0)),"")</f>
        <v/>
      </c>
      <c r="AI1029" s="25">
        <f>IF(SUMIFS('Supp Consol'!AA:AA,'Supp Consol'!Z:Z,"Expires this month",'Supp Consol'!A:A,O1029)=0,"",SUMIFS('Supp Consol'!AA:AA,'Supp Consol'!Z:Z,"Expires this month",'Supp Consol'!A:A,O1029))</f>
        <v>697</v>
      </c>
      <c r="AJ1029" s="25" t="str">
        <f>IF(SUMIFS('Supp Consol'!AA:AA,'Supp Consol'!Z:Z,"Expired Previous Months",'Supp Consol'!A:A,O1029)=0,"",SUMIFS('Supp Consol'!AA:AA,'Supp Consol'!Z:Z,"Expired Previous Months",'Supp Consol'!A:A,O1029))</f>
        <v/>
      </c>
      <c r="AK1029" s="25" t="str">
        <f>IFERROR(INDEX('Hun Release Current'!B:B,MATCH(O1029,'Hun Release Current'!A:A,0)),"")</f>
        <v/>
      </c>
      <c r="AL1029" s="25" t="str">
        <f>IF(SUMIF('Prev Aub'!A:A,O1029,'Prev Aub'!B:B)=0,"",SUMIF('Prev Aub'!A:A,O1029,'Prev Aub'!B:B))</f>
        <v/>
      </c>
      <c r="AN1029" s="25" t="s">
        <v>3790</v>
      </c>
      <c r="AO1029" s="25" t="s">
        <v>3790</v>
      </c>
      <c r="AP1029" s="25">
        <f t="shared" si="454"/>
        <v>0</v>
      </c>
      <c r="AQ1029" s="151" t="str">
        <f>IF(SUMIFS('Supp Consol'!S:S,'Supp Consol'!A:A,O1029,'Supp Consol'!I:I,"PENDING")=0,"",SUMIFS('Supp Consol'!S:S,'Supp Consol'!A:A,O1029,'Supp Consol'!I:I,"PENDING"))</f>
        <v/>
      </c>
      <c r="AR1029" s="27" t="str">
        <f t="shared" si="455"/>
        <v>SG211</v>
      </c>
      <c r="AS1029" s="27" t="str">
        <f t="shared" si="456"/>
        <v>62</v>
      </c>
      <c r="AT1029" s="27" t="str">
        <f t="shared" si="457"/>
        <v/>
      </c>
      <c r="AU1029" s="27" t="str">
        <f t="shared" si="458"/>
        <v/>
      </c>
      <c r="AV1029" s="27" t="str">
        <f t="shared" si="459"/>
        <v/>
      </c>
      <c r="AW1029" s="27" t="str">
        <f t="shared" si="460"/>
        <v>SG211</v>
      </c>
      <c r="AX1029" s="27" t="str">
        <f t="shared" si="461"/>
        <v>SG211</v>
      </c>
      <c r="AY1029" s="27" t="str">
        <f t="shared" si="462"/>
        <v/>
      </c>
      <c r="AZ1029" s="27" t="str">
        <f t="shared" si="463"/>
        <v>Supp</v>
      </c>
      <c r="BA1029" s="27" t="str">
        <f t="shared" si="464"/>
        <v>Hun</v>
      </c>
      <c r="BB1029" s="27" t="str">
        <f t="shared" si="465"/>
        <v/>
      </c>
      <c r="BC1029" s="27" t="str">
        <f t="shared" si="466"/>
        <v/>
      </c>
      <c r="BD1029" s="27" t="str">
        <f t="shared" si="467"/>
        <v/>
      </c>
      <c r="BE1029" s="27" t="str">
        <f t="shared" si="468"/>
        <v>Exp</v>
      </c>
      <c r="BF1029" s="27" t="str">
        <f t="shared" si="469"/>
        <v/>
      </c>
      <c r="BG1029" s="27" t="str">
        <f t="shared" si="470"/>
        <v>S+NorE</v>
      </c>
      <c r="BH1029" s="27" t="str">
        <f t="shared" si="471"/>
        <v/>
      </c>
      <c r="BI1029" s="27" t="str">
        <f t="shared" si="472"/>
        <v/>
      </c>
      <c r="BJ1029" s="27" t="str">
        <f t="shared" si="473"/>
        <v>Supp or Hun</v>
      </c>
      <c r="BK1029" s="27" t="str">
        <f t="shared" si="474"/>
        <v/>
      </c>
      <c r="BL1029" s="27" t="str">
        <f t="shared" si="475"/>
        <v>SorHandNandE</v>
      </c>
      <c r="BM1029" s="21" t="s">
        <v>5581</v>
      </c>
    </row>
    <row r="1030" spans="1:65" ht="15">
      <c r="A1030" s="25" t="str">
        <f>IFERROR(INDEX('Hun Demand'!W:W,MATCH(O1030,'Hun Demand'!A:A,0)),"")</f>
        <v/>
      </c>
      <c r="B1030" s="25" t="str">
        <f>IFERROR(INDEX('Hun Demand'!V:V,MATCH(O1030,'Hun Demand'!A:A,0)),"")</f>
        <v/>
      </c>
      <c r="C1030" s="25" t="str">
        <f>IFERROR(INDEX('Hun Demand'!U:U,MATCH(O1030,'Hun Demand'!A:A,0)),"")</f>
        <v/>
      </c>
      <c r="D1030" s="25" t="str">
        <f>IFERROR(INDEX('Hun Demand'!T:T,MATCH(O1030,'Hun Demand'!A:A,0)),"")</f>
        <v/>
      </c>
      <c r="E1030" s="25" t="str">
        <f>IFERROR(INDEX('Hun Demand'!S:S,MATCH(O1030,'Hun Demand'!A:A,0)),"")</f>
        <v/>
      </c>
      <c r="F1030" s="25" t="str">
        <f>IFERROR(INDEX('Hun Demand'!R:R,MATCH(O1030,'Hun Demand'!A:A,0)),"")</f>
        <v/>
      </c>
      <c r="G1030" s="25">
        <f>IFERROR(INDEX('Aub Demand'!W:W,MATCH(O1030,'Aub Demand'!A:A,0)),"")</f>
        <v>0</v>
      </c>
      <c r="H1030" s="25">
        <f>IFERROR(INDEX('Aub Demand'!V:V,MATCH(O1030,'Aub Demand'!A:A,0)),"")</f>
        <v>0</v>
      </c>
      <c r="I1030" s="25">
        <f>IFERROR(INDEX('Aub Demand'!U:U,MATCH(O1030,'Aub Demand'!A:A,0)),"")</f>
        <v>0</v>
      </c>
      <c r="J1030" s="25">
        <f>IFERROR(INDEX('Aub Demand'!T:T,MATCH(O1030,'Aub Demand'!A:A,0)),"")</f>
        <v>0</v>
      </c>
      <c r="K1030" s="25">
        <f>IFERROR(INDEX('Aub Demand'!S:S,MATCH(O1030,'Aub Demand'!A:A,0)),"")</f>
        <v>116</v>
      </c>
      <c r="L1030" s="25">
        <f>IFERROR(INDEX('Aub Demand'!R:R,MATCH(O1030,'Aub Demand'!A:A,0)),"")</f>
        <v>0</v>
      </c>
      <c r="O1030" s="27" t="s">
        <v>3399</v>
      </c>
      <c r="P1030" s="27" t="str">
        <f>IFERROR(INDEX('Aub Demand'!B:B,MATCH($O1030,'Aub Demand'!$A:$A,0)),"")</f>
        <v>SP HEATHER</v>
      </c>
      <c r="Q1030" s="27">
        <f>IFERROR(INDEX('Aub Demand'!C:C,MATCH($O1030,'Aub Demand'!$A:$A,0)),"")</f>
        <v>0</v>
      </c>
      <c r="R1030" s="52">
        <f>IFERROR(IF(AR1031=AR1030,INDEX('Aub Demand'!K:K,MATCH($O1030,'Aub Demand'!$A:$A,0))-IF(AN1030="",0,AN1030)+AP1031,INDEX('Aub Demand'!K:K,MATCH($O1030,'Aub Demand'!$A:$A,0))-IF(AN1030="",0,AN1030)),"")</f>
        <v>715</v>
      </c>
      <c r="S1030" s="53">
        <f t="shared" si="448"/>
        <v>78.599999999999994</v>
      </c>
      <c r="T1030" s="52" t="str">
        <f t="shared" si="449"/>
        <v/>
      </c>
      <c r="U1030" s="52">
        <f>IFERROR(IF(AR1031=AR1030,INDEX('Aub Demand'!Q:Q,MATCH($O1030,'Aub Demand'!$A:$A,0))-IF(AN1030="",0,AN1030)+AP1031,INDEX('Aub Demand'!Q:Q,MATCH($O1030,'Aub Demand'!$A:$A,0))-IF(AN1030="",0,AN1030)),"")</f>
        <v>672</v>
      </c>
      <c r="V1030" s="53">
        <f t="shared" si="450"/>
        <v>73.8</v>
      </c>
      <c r="W1030" s="52" t="str">
        <f t="shared" si="451"/>
        <v/>
      </c>
      <c r="X1030" s="52">
        <f>IFERROR(IF(AND(AR1031=AR1030,AM1030&lt;&gt;""),INDEX('Aub Demand'!Q:Q,MATCH($O1030,'Aub Demand'!$A:$A,0))-IF(AN1030="",0,AN1030)+AP1031+AD1030+AL1030,IF(AR1031=AR1030,INDEX('Aub Demand'!Q:Q,MATCH($O1030,'Aub Demand'!$A:$A,0))-IF(AN1030="",0,AN1030)+AP1031+AD1030,IF(AM1030&lt;&gt;"",INDEX('Aub Demand'!Q:Q,MATCH($O1030,'Aub Demand'!$A:$A,0))-IF(AN1030="",0,AN1030)+AD1030+AL1030,INDEX('Aub Demand'!Q:Q,MATCH($O1030,'Aub Demand'!$A:$A,0))-IF(AN1030="",0,AN1030)+AD1030))),"")</f>
        <v>672</v>
      </c>
      <c r="Y1030" s="53">
        <f t="shared" si="452"/>
        <v>73.8</v>
      </c>
      <c r="Z1030" s="52">
        <f>IF(L1030="","",INDEX('Aub Demand'!H:H,MATCH($O1030,'Aub Demand'!$A:$A,0)))</f>
        <v>39</v>
      </c>
      <c r="AA1030" s="52" t="str">
        <f t="shared" si="453"/>
        <v>-spike-</v>
      </c>
      <c r="AB1030" s="52">
        <f>IFERROR(INDEX('Aub Demand'!L:L,MATCH($O1030,'Aub Demand'!$A:$A,0)),"")</f>
        <v>5</v>
      </c>
      <c r="AC1030" s="52">
        <f>IFERROR(IF(O1030="","",SUMIFS('CPL Mats'!F:F,'CPL Mats'!Q:Q,AR1030,'CPL Mats'!S:S,AS1030)),"")</f>
        <v>0</v>
      </c>
      <c r="AF1030" s="25" t="str">
        <f>IF(SUMIFS('Supp Consol'!S:S,'Supp Consol'!Y:Y,"Releasable",'Supp Consol'!A:A,O1030)=0,"",SUMIFS('Supp Consol'!S:S,'Supp Consol'!Y:Y,"Releasable",'Supp Consol'!A:A,O1030))</f>
        <v/>
      </c>
      <c r="AG1030" s="25" t="str">
        <f>IFERROR(INDEX('Hun Demand'!Q:Q,MATCH(O1030,'Hun Demand'!A:A,0)),"")</f>
        <v/>
      </c>
      <c r="AH1030" s="25" t="str">
        <f>IFERROR(INDEX('Hun Demand'!H:H,MATCH($O1030,'Hun Demand'!$A:$A,0)),"")</f>
        <v/>
      </c>
      <c r="AI1030" s="25" t="str">
        <f>IF(SUMIFS('Supp Consol'!AA:AA,'Supp Consol'!Z:Z,"Expires this month",'Supp Consol'!A:A,O1030)=0,"",SUMIFS('Supp Consol'!AA:AA,'Supp Consol'!Z:Z,"Expires this month",'Supp Consol'!A:A,O1030))</f>
        <v/>
      </c>
      <c r="AJ1030" s="25" t="str">
        <f>IF(SUMIFS('Supp Consol'!AA:AA,'Supp Consol'!Z:Z,"Expired Previous Months",'Supp Consol'!A:A,O1030)=0,"",SUMIFS('Supp Consol'!AA:AA,'Supp Consol'!Z:Z,"Expired Previous Months",'Supp Consol'!A:A,O1030))</f>
        <v/>
      </c>
      <c r="AK1030" s="25" t="str">
        <f>IFERROR(INDEX('Hun Release Current'!B:B,MATCH(O1030,'Hun Release Current'!A:A,0)),"")</f>
        <v/>
      </c>
      <c r="AL1030" s="25" t="str">
        <f>IF(SUMIF('Prev Aub'!A:A,O1030,'Prev Aub'!B:B)=0,"",SUMIF('Prev Aub'!A:A,O1030,'Prev Aub'!B:B))</f>
        <v/>
      </c>
      <c r="AN1030" s="25" t="s">
        <v>3790</v>
      </c>
      <c r="AO1030" s="25" t="s">
        <v>3790</v>
      </c>
      <c r="AP1030" s="25">
        <f t="shared" si="454"/>
        <v>0</v>
      </c>
      <c r="AQ1030" s="151" t="str">
        <f>IF(SUMIFS('Supp Consol'!S:S,'Supp Consol'!A:A,O1030,'Supp Consol'!I:I,"PENDING")=0,"",SUMIFS('Supp Consol'!S:S,'Supp Consol'!A:A,O1030,'Supp Consol'!I:I,"PENDING"))</f>
        <v/>
      </c>
      <c r="AR1030" s="27" t="str">
        <f t="shared" si="455"/>
        <v>SG212</v>
      </c>
      <c r="AS1030" s="27" t="str">
        <f t="shared" si="456"/>
        <v>50</v>
      </c>
      <c r="AT1030" s="27" t="str">
        <f t="shared" si="457"/>
        <v/>
      </c>
      <c r="AU1030" s="27" t="str">
        <f t="shared" si="458"/>
        <v/>
      </c>
      <c r="AV1030" s="27" t="str">
        <f t="shared" si="459"/>
        <v/>
      </c>
      <c r="AW1030" s="27" t="str">
        <f t="shared" si="460"/>
        <v/>
      </c>
      <c r="AX1030" s="27" t="str">
        <f t="shared" si="461"/>
        <v/>
      </c>
      <c r="AY1030" s="27" t="str">
        <f t="shared" si="462"/>
        <v/>
      </c>
      <c r="AZ1030" s="27" t="str">
        <f t="shared" si="463"/>
        <v/>
      </c>
      <c r="BA1030" s="27" t="str">
        <f t="shared" si="464"/>
        <v/>
      </c>
      <c r="BB1030" s="27" t="str">
        <f t="shared" si="465"/>
        <v/>
      </c>
      <c r="BC1030" s="27" t="str">
        <f t="shared" si="466"/>
        <v/>
      </c>
      <c r="BD1030" s="27" t="str">
        <f t="shared" si="467"/>
        <v/>
      </c>
      <c r="BE1030" s="27" t="str">
        <f t="shared" si="468"/>
        <v/>
      </c>
      <c r="BF1030" s="27" t="str">
        <f t="shared" si="469"/>
        <v/>
      </c>
      <c r="BG1030" s="27" t="str">
        <f t="shared" si="470"/>
        <v/>
      </c>
      <c r="BH1030" s="27" t="str">
        <f t="shared" si="471"/>
        <v/>
      </c>
      <c r="BI1030" s="27" t="str">
        <f t="shared" si="472"/>
        <v/>
      </c>
      <c r="BJ1030" s="27" t="str">
        <f t="shared" si="473"/>
        <v/>
      </c>
      <c r="BK1030" s="27" t="str">
        <f t="shared" si="474"/>
        <v/>
      </c>
      <c r="BL1030" s="27" t="str">
        <f t="shared" si="475"/>
        <v/>
      </c>
      <c r="BM1030" s="21" t="s">
        <v>5581</v>
      </c>
    </row>
    <row r="1031" spans="1:65" ht="15">
      <c r="A1031" s="25" t="str">
        <f>IFERROR(INDEX('Hun Demand'!W:W,MATCH(O1031,'Hun Demand'!A:A,0)),"")</f>
        <v/>
      </c>
      <c r="B1031" s="25" t="str">
        <f>IFERROR(INDEX('Hun Demand'!V:V,MATCH(O1031,'Hun Demand'!A:A,0)),"")</f>
        <v/>
      </c>
      <c r="C1031" s="25" t="str">
        <f>IFERROR(INDEX('Hun Demand'!U:U,MATCH(O1031,'Hun Demand'!A:A,0)),"")</f>
        <v/>
      </c>
      <c r="D1031" s="25" t="str">
        <f>IFERROR(INDEX('Hun Demand'!T:T,MATCH(O1031,'Hun Demand'!A:A,0)),"")</f>
        <v/>
      </c>
      <c r="E1031" s="25" t="str">
        <f>IFERROR(INDEX('Hun Demand'!S:S,MATCH(O1031,'Hun Demand'!A:A,0)),"")</f>
        <v/>
      </c>
      <c r="F1031" s="25" t="str">
        <f>IFERROR(INDEX('Hun Demand'!R:R,MATCH(O1031,'Hun Demand'!A:A,0)),"")</f>
        <v/>
      </c>
      <c r="G1031" s="25">
        <f>IFERROR(INDEX('Aub Demand'!W:W,MATCH(O1031,'Aub Demand'!A:A,0)),"")</f>
        <v>0</v>
      </c>
      <c r="H1031" s="25">
        <f>IFERROR(INDEX('Aub Demand'!V:V,MATCH(O1031,'Aub Demand'!A:A,0)),"")</f>
        <v>0</v>
      </c>
      <c r="I1031" s="25">
        <f>IFERROR(INDEX('Aub Demand'!U:U,MATCH(O1031,'Aub Demand'!A:A,0)),"")</f>
        <v>0</v>
      </c>
      <c r="J1031" s="25">
        <f>IFERROR(INDEX('Aub Demand'!T:T,MATCH(O1031,'Aub Demand'!A:A,0)),"")</f>
        <v>42</v>
      </c>
      <c r="K1031" s="25">
        <f>IFERROR(INDEX('Aub Demand'!S:S,MATCH(O1031,'Aub Demand'!A:A,0)),"")</f>
        <v>0</v>
      </c>
      <c r="L1031" s="25">
        <f>IFERROR(INDEX('Aub Demand'!R:R,MATCH(O1031,'Aub Demand'!A:A,0)),"")</f>
        <v>0</v>
      </c>
      <c r="O1031" s="27" t="s">
        <v>3402</v>
      </c>
      <c r="P1031" s="27" t="str">
        <f>IFERROR(INDEX('Aub Demand'!B:B,MATCH($O1031,'Aub Demand'!$A:$A,0)),"")</f>
        <v>SP HEATHER</v>
      </c>
      <c r="Q1031" s="27">
        <f>IFERROR(INDEX('Aub Demand'!C:C,MATCH($O1031,'Aub Demand'!$A:$A,0)),"")</f>
        <v>0</v>
      </c>
      <c r="R1031" s="52">
        <f>IFERROR(IF(AR1032=AR1031,INDEX('Aub Demand'!K:K,MATCH($O1031,'Aub Demand'!$A:$A,0))-IF(AN1031="",0,AN1031)+AP1032,INDEX('Aub Demand'!K:K,MATCH($O1031,'Aub Demand'!$A:$A,0))-IF(AN1031="",0,AN1031)),"")</f>
        <v>1520</v>
      </c>
      <c r="S1031" s="53">
        <f t="shared" si="448"/>
        <v>465.3</v>
      </c>
      <c r="T1031" s="52" t="str">
        <f t="shared" si="449"/>
        <v/>
      </c>
      <c r="U1031" s="52">
        <f>IFERROR(IF(AR1032=AR1031,INDEX('Aub Demand'!Q:Q,MATCH($O1031,'Aub Demand'!$A:$A,0))-IF(AN1031="",0,AN1031)+AP1032,INDEX('Aub Demand'!Q:Q,MATCH($O1031,'Aub Demand'!$A:$A,0))-IF(AN1031="",0,AN1031)),"")</f>
        <v>1520</v>
      </c>
      <c r="V1031" s="53">
        <f t="shared" si="450"/>
        <v>465.3</v>
      </c>
      <c r="W1031" s="52" t="str">
        <f t="shared" si="451"/>
        <v/>
      </c>
      <c r="X1031" s="52">
        <f>IFERROR(IF(AND(AR1032=AR1031,AM1031&lt;&gt;""),INDEX('Aub Demand'!Q:Q,MATCH($O1031,'Aub Demand'!$A:$A,0))-IF(AN1031="",0,AN1031)+AP1032+AD1031+AL1031,IF(AR1032=AR1031,INDEX('Aub Demand'!Q:Q,MATCH($O1031,'Aub Demand'!$A:$A,0))-IF(AN1031="",0,AN1031)+AP1032+AD1031,IF(AM1031&lt;&gt;"",INDEX('Aub Demand'!Q:Q,MATCH($O1031,'Aub Demand'!$A:$A,0))-IF(AN1031="",0,AN1031)+AD1031+AL1031,INDEX('Aub Demand'!Q:Q,MATCH($O1031,'Aub Demand'!$A:$A,0))-IF(AN1031="",0,AN1031)+AD1031))),"")</f>
        <v>1520</v>
      </c>
      <c r="Y1031" s="53">
        <f t="shared" si="452"/>
        <v>465.3</v>
      </c>
      <c r="Z1031" s="52">
        <f>IF(L1031="","",INDEX('Aub Demand'!H:H,MATCH($O1031,'Aub Demand'!$A:$A,0)))</f>
        <v>14</v>
      </c>
      <c r="AA1031" s="52" t="str">
        <f t="shared" si="453"/>
        <v>-spike-</v>
      </c>
      <c r="AB1031" s="52">
        <f>IFERROR(INDEX('Aub Demand'!L:L,MATCH($O1031,'Aub Demand'!$A:$A,0)),"")</f>
        <v>0</v>
      </c>
      <c r="AC1031" s="52">
        <f>IFERROR(IF(O1031="","",SUMIFS('CPL Mats'!F:F,'CPL Mats'!Q:Q,AR1031,'CPL Mats'!S:S,AS1031)),"")</f>
        <v>0</v>
      </c>
      <c r="AF1031" s="25" t="str">
        <f>IF(SUMIFS('Supp Consol'!S:S,'Supp Consol'!Y:Y,"Releasable",'Supp Consol'!A:A,O1031)=0,"",SUMIFS('Supp Consol'!S:S,'Supp Consol'!Y:Y,"Releasable",'Supp Consol'!A:A,O1031))</f>
        <v/>
      </c>
      <c r="AG1031" s="25" t="str">
        <f>IFERROR(INDEX('Hun Demand'!Q:Q,MATCH(O1031,'Hun Demand'!A:A,0)),"")</f>
        <v/>
      </c>
      <c r="AH1031" s="25" t="str">
        <f>IFERROR(INDEX('Hun Demand'!H:H,MATCH($O1031,'Hun Demand'!$A:$A,0)),"")</f>
        <v/>
      </c>
      <c r="AI1031" s="25" t="str">
        <f>IF(SUMIFS('Supp Consol'!AA:AA,'Supp Consol'!Z:Z,"Expires this month",'Supp Consol'!A:A,O1031)=0,"",SUMIFS('Supp Consol'!AA:AA,'Supp Consol'!Z:Z,"Expires this month",'Supp Consol'!A:A,O1031))</f>
        <v/>
      </c>
      <c r="AJ1031" s="25" t="str">
        <f>IF(SUMIFS('Supp Consol'!AA:AA,'Supp Consol'!Z:Z,"Expired Previous Months",'Supp Consol'!A:A,O1031)=0,"",SUMIFS('Supp Consol'!AA:AA,'Supp Consol'!Z:Z,"Expired Previous Months",'Supp Consol'!A:A,O1031))</f>
        <v/>
      </c>
      <c r="AK1031" s="25" t="str">
        <f>IFERROR(INDEX('Hun Release Current'!B:B,MATCH(O1031,'Hun Release Current'!A:A,0)),"")</f>
        <v/>
      </c>
      <c r="AL1031" s="25" t="str">
        <f>IF(SUMIF('Prev Aub'!A:A,O1031,'Prev Aub'!B:B)=0,"",SUMIF('Prev Aub'!A:A,O1031,'Prev Aub'!B:B))</f>
        <v/>
      </c>
      <c r="AN1031" s="25" t="s">
        <v>3790</v>
      </c>
      <c r="AO1031" s="25" t="s">
        <v>3790</v>
      </c>
      <c r="AP1031" s="25">
        <f t="shared" si="454"/>
        <v>0</v>
      </c>
      <c r="AQ1031" s="151" t="str">
        <f>IF(SUMIFS('Supp Consol'!S:S,'Supp Consol'!A:A,O1031,'Supp Consol'!I:I,"PENDING")=0,"",SUMIFS('Supp Consol'!S:S,'Supp Consol'!A:A,O1031,'Supp Consol'!I:I,"PENDING"))</f>
        <v/>
      </c>
      <c r="AR1031" s="27" t="str">
        <f t="shared" si="455"/>
        <v>SG212</v>
      </c>
      <c r="AS1031" s="27" t="str">
        <f t="shared" si="456"/>
        <v>62</v>
      </c>
      <c r="AT1031" s="27" t="str">
        <f t="shared" si="457"/>
        <v/>
      </c>
      <c r="AU1031" s="27" t="str">
        <f t="shared" si="458"/>
        <v/>
      </c>
      <c r="AV1031" s="27" t="str">
        <f t="shared" si="459"/>
        <v/>
      </c>
      <c r="AW1031" s="27" t="str">
        <f t="shared" si="460"/>
        <v/>
      </c>
      <c r="AX1031" s="27" t="str">
        <f t="shared" si="461"/>
        <v/>
      </c>
      <c r="AY1031" s="27" t="str">
        <f t="shared" si="462"/>
        <v/>
      </c>
      <c r="AZ1031" s="27" t="str">
        <f t="shared" si="463"/>
        <v/>
      </c>
      <c r="BA1031" s="27" t="str">
        <f t="shared" si="464"/>
        <v/>
      </c>
      <c r="BB1031" s="27" t="str">
        <f t="shared" si="465"/>
        <v/>
      </c>
      <c r="BC1031" s="27" t="str">
        <f t="shared" si="466"/>
        <v/>
      </c>
      <c r="BD1031" s="27" t="str">
        <f t="shared" si="467"/>
        <v/>
      </c>
      <c r="BE1031" s="27" t="str">
        <f t="shared" si="468"/>
        <v/>
      </c>
      <c r="BF1031" s="27" t="str">
        <f t="shared" si="469"/>
        <v/>
      </c>
      <c r="BG1031" s="27" t="str">
        <f t="shared" si="470"/>
        <v/>
      </c>
      <c r="BH1031" s="27" t="str">
        <f t="shared" si="471"/>
        <v/>
      </c>
      <c r="BI1031" s="27" t="str">
        <f t="shared" si="472"/>
        <v/>
      </c>
      <c r="BJ1031" s="27" t="str">
        <f t="shared" si="473"/>
        <v/>
      </c>
      <c r="BK1031" s="27" t="str">
        <f t="shared" si="474"/>
        <v/>
      </c>
      <c r="BL1031" s="27" t="str">
        <f t="shared" si="475"/>
        <v/>
      </c>
      <c r="BM1031" s="21" t="s">
        <v>5581</v>
      </c>
    </row>
    <row r="1032" spans="1:65" ht="15">
      <c r="A1032" s="25">
        <f>IFERROR(INDEX('Hun Demand'!W:W,MATCH(O1032,'Hun Demand'!A:A,0)),"")</f>
        <v>0</v>
      </c>
      <c r="B1032" s="25">
        <f>IFERROR(INDEX('Hun Demand'!V:V,MATCH(O1032,'Hun Demand'!A:A,0)),"")</f>
        <v>0</v>
      </c>
      <c r="C1032" s="25">
        <f>IFERROR(INDEX('Hun Demand'!U:U,MATCH(O1032,'Hun Demand'!A:A,0)),"")</f>
        <v>0</v>
      </c>
      <c r="D1032" s="25">
        <f>IFERROR(INDEX('Hun Demand'!T:T,MATCH(O1032,'Hun Demand'!A:A,0)),"")</f>
        <v>0</v>
      </c>
      <c r="E1032" s="25">
        <f>IFERROR(INDEX('Hun Demand'!S:S,MATCH(O1032,'Hun Demand'!A:A,0)),"")</f>
        <v>0</v>
      </c>
      <c r="F1032" s="25">
        <f>IFERROR(INDEX('Hun Demand'!R:R,MATCH(O1032,'Hun Demand'!A:A,0)),"")</f>
        <v>0</v>
      </c>
      <c r="G1032" s="25">
        <f>IFERROR(INDEX('Aub Demand'!W:W,MATCH(O1032,'Aub Demand'!A:A,0)),"")</f>
        <v>1488</v>
      </c>
      <c r="H1032" s="25">
        <f>IFERROR(INDEX('Aub Demand'!V:V,MATCH(O1032,'Aub Demand'!A:A,0)),"")</f>
        <v>1092</v>
      </c>
      <c r="I1032" s="25">
        <f>IFERROR(INDEX('Aub Demand'!U:U,MATCH(O1032,'Aub Demand'!A:A,0)),"")</f>
        <v>150</v>
      </c>
      <c r="J1032" s="25">
        <f>IFERROR(INDEX('Aub Demand'!T:T,MATCH(O1032,'Aub Demand'!A:A,0)),"")</f>
        <v>155</v>
      </c>
      <c r="K1032" s="25">
        <f>IFERROR(INDEX('Aub Demand'!S:S,MATCH(O1032,'Aub Demand'!A:A,0)),"")</f>
        <v>422</v>
      </c>
      <c r="L1032" s="25">
        <f>IFERROR(INDEX('Aub Demand'!R:R,MATCH(O1032,'Aub Demand'!A:A,0)),"")</f>
        <v>0</v>
      </c>
      <c r="O1032" s="27" t="s">
        <v>1426</v>
      </c>
      <c r="P1032" s="27" t="str">
        <f>IFERROR(INDEX('Aub Demand'!B:B,MATCH($O1032,'Aub Demand'!$A:$A,0)),"")</f>
        <v>OPTI GRAY</v>
      </c>
      <c r="Q1032" s="27" t="str">
        <f>IFERROR(INDEX('Aub Demand'!C:C,MATCH($O1032,'Aub Demand'!$A:$A,0)),"")</f>
        <v>ONYX</v>
      </c>
      <c r="R1032" s="52">
        <f>IFERROR(IF(AR1033=AR1032,INDEX('Aub Demand'!K:K,MATCH($O1032,'Aub Demand'!$A:$A,0))-IF(AN1032="",0,AN1032)+AP1033,INDEX('Aub Demand'!K:K,MATCH($O1032,'Aub Demand'!$A:$A,0))-IF(AN1032="",0,AN1032)),"")</f>
        <v>0</v>
      </c>
      <c r="S1032" s="53">
        <f t="shared" si="448"/>
        <v>0</v>
      </c>
      <c r="T1032" s="52">
        <f t="shared" si="449"/>
        <v>216.375</v>
      </c>
      <c r="U1032" s="52">
        <f>IFERROR(IF(AR1033=AR1032,INDEX('Aub Demand'!Q:Q,MATCH($O1032,'Aub Demand'!$A:$A,0))-IF(AN1032="",0,AN1032)+AP1033,INDEX('Aub Demand'!Q:Q,MATCH($O1032,'Aub Demand'!$A:$A,0))-IF(AN1032="",0,AN1032)),"")</f>
        <v>-181</v>
      </c>
      <c r="V1032" s="53">
        <f t="shared" si="450"/>
        <v>-3.2</v>
      </c>
      <c r="W1032" s="52">
        <f t="shared" si="451"/>
        <v>447.17500000000001</v>
      </c>
      <c r="X1032" s="52">
        <f>IFERROR(IF(AND(AR1033=AR1032,AM1032&lt;&gt;""),INDEX('Aub Demand'!Q:Q,MATCH($O1032,'Aub Demand'!$A:$A,0))-IF(AN1032="",0,AN1032)+AP1033+AD1032+AL1032,IF(AR1033=AR1032,INDEX('Aub Demand'!Q:Q,MATCH($O1032,'Aub Demand'!$A:$A,0))-IF(AN1032="",0,AN1032)+AP1033+AD1032,IF(AM1032&lt;&gt;"",INDEX('Aub Demand'!Q:Q,MATCH($O1032,'Aub Demand'!$A:$A,0))-IF(AN1032="",0,AN1032)+AD1032+AL1032,INDEX('Aub Demand'!Q:Q,MATCH($O1032,'Aub Demand'!$A:$A,0))-IF(AN1032="",0,AN1032)+AD1032))),"")</f>
        <v>-181</v>
      </c>
      <c r="Y1032" s="53">
        <f t="shared" si="452"/>
        <v>-3.2</v>
      </c>
      <c r="Z1032" s="52">
        <f>IF(L1032="","",INDEX('Aub Demand'!H:H,MATCH($O1032,'Aub Demand'!$A:$A,0)))</f>
        <v>242</v>
      </c>
      <c r="AA1032" s="52">
        <f t="shared" si="453"/>
        <v>288.5</v>
      </c>
      <c r="AB1032" s="52">
        <f>IFERROR(INDEX('Aub Demand'!L:L,MATCH($O1032,'Aub Demand'!$A:$A,0)),"")</f>
        <v>73</v>
      </c>
      <c r="AC1032" s="52">
        <f>IFERROR(IF(O1032="","",SUMIFS('CPL Mats'!F:F,'CPL Mats'!Q:Q,AR1032,'CPL Mats'!S:S,AS1032)),"")</f>
        <v>0</v>
      </c>
      <c r="AF1032" s="25" t="str">
        <f>IF(SUMIFS('Supp Consol'!S:S,'Supp Consol'!Y:Y,"Releasable",'Supp Consol'!A:A,O1032)=0,"",SUMIFS('Supp Consol'!S:S,'Supp Consol'!Y:Y,"Releasable",'Supp Consol'!A:A,O1032))</f>
        <v/>
      </c>
      <c r="AG1032" s="25">
        <f>IFERROR(INDEX('Hun Demand'!Q:Q,MATCH(O1032,'Hun Demand'!A:A,0)),"")</f>
        <v>81</v>
      </c>
      <c r="AH1032" s="25">
        <f>IFERROR(INDEX('Hun Demand'!H:H,MATCH($O1032,'Hun Demand'!$A:$A,0)),"")</f>
        <v>0</v>
      </c>
      <c r="AI1032" s="25" t="str">
        <f>IF(SUMIFS('Supp Consol'!AA:AA,'Supp Consol'!Z:Z,"Expires this month",'Supp Consol'!A:A,O1032)=0,"",SUMIFS('Supp Consol'!AA:AA,'Supp Consol'!Z:Z,"Expires this month",'Supp Consol'!A:A,O1032))</f>
        <v/>
      </c>
      <c r="AJ1032" s="25" t="str">
        <f>IF(SUMIFS('Supp Consol'!AA:AA,'Supp Consol'!Z:Z,"Expired Previous Months",'Supp Consol'!A:A,O1032)=0,"",SUMIFS('Supp Consol'!AA:AA,'Supp Consol'!Z:Z,"Expired Previous Months",'Supp Consol'!A:A,O1032))</f>
        <v/>
      </c>
      <c r="AK1032" s="25" t="str">
        <f>IFERROR(INDEX('Hun Release Current'!B:B,MATCH(O1032,'Hun Release Current'!A:A,0)),"")</f>
        <v/>
      </c>
      <c r="AL1032" s="25" t="str">
        <f>IF(SUMIF('Prev Aub'!A:A,O1032,'Prev Aub'!B:B)=0,"",SUMIF('Prev Aub'!A:A,O1032,'Prev Aub'!B:B))</f>
        <v/>
      </c>
      <c r="AN1032" s="25" t="s">
        <v>3790</v>
      </c>
      <c r="AO1032" s="25" t="s">
        <v>3790</v>
      </c>
      <c r="AP1032" s="25">
        <f t="shared" si="454"/>
        <v>0</v>
      </c>
      <c r="AQ1032" s="151" t="str">
        <f>IF(SUMIFS('Supp Consol'!S:S,'Supp Consol'!A:A,O1032,'Supp Consol'!I:I,"PENDING")=0,"",SUMIFS('Supp Consol'!S:S,'Supp Consol'!A:A,O1032,'Supp Consol'!I:I,"PENDING"))</f>
        <v/>
      </c>
      <c r="AR1032" s="27" t="str">
        <f t="shared" si="455"/>
        <v>SG213</v>
      </c>
      <c r="AS1032" s="27" t="str">
        <f t="shared" si="456"/>
        <v>50</v>
      </c>
      <c r="AT1032" s="27" t="str">
        <f t="shared" si="457"/>
        <v>SG213</v>
      </c>
      <c r="AU1032" s="27" t="str">
        <f t="shared" si="458"/>
        <v>SG213</v>
      </c>
      <c r="AV1032" s="27" t="str">
        <f t="shared" si="459"/>
        <v>SG213</v>
      </c>
      <c r="AW1032" s="27" t="str">
        <f t="shared" si="460"/>
        <v/>
      </c>
      <c r="AX1032" s="27" t="str">
        <f t="shared" si="461"/>
        <v/>
      </c>
      <c r="AY1032" s="27" t="str">
        <f t="shared" si="462"/>
        <v>SG213</v>
      </c>
      <c r="AZ1032" s="27" t="str">
        <f t="shared" si="463"/>
        <v/>
      </c>
      <c r="BA1032" s="27" t="str">
        <f t="shared" si="464"/>
        <v>Hun</v>
      </c>
      <c r="BB1032" s="27" t="str">
        <f t="shared" si="465"/>
        <v>Gross</v>
      </c>
      <c r="BC1032" s="27" t="str">
        <f t="shared" si="466"/>
        <v>Net</v>
      </c>
      <c r="BD1032" s="27" t="str">
        <f t="shared" si="467"/>
        <v>Net</v>
      </c>
      <c r="BE1032" s="27" t="str">
        <f t="shared" si="468"/>
        <v/>
      </c>
      <c r="BF1032" s="27" t="str">
        <f t="shared" si="469"/>
        <v/>
      </c>
      <c r="BG1032" s="27" t="str">
        <f t="shared" si="470"/>
        <v/>
      </c>
      <c r="BH1032" s="27" t="str">
        <f t="shared" si="471"/>
        <v>H+N</v>
      </c>
      <c r="BI1032" s="27" t="str">
        <f t="shared" si="472"/>
        <v>H+Nex</v>
      </c>
      <c r="BJ1032" s="27" t="str">
        <f t="shared" si="473"/>
        <v>Supp or Hun</v>
      </c>
      <c r="BK1032" s="27" t="str">
        <f t="shared" si="474"/>
        <v>Supp or Hun Need</v>
      </c>
      <c r="BL1032" s="27" t="str">
        <f t="shared" si="475"/>
        <v>SorHandNandE</v>
      </c>
      <c r="BM1032" s="21" t="s">
        <v>5581</v>
      </c>
    </row>
    <row r="1033" spans="1:65" ht="15">
      <c r="A1033" s="25" t="str">
        <f>IFERROR(INDEX('Hun Demand'!W:W,MATCH(O1033,'Hun Demand'!A:A,0)),"")</f>
        <v/>
      </c>
      <c r="B1033" s="25" t="str">
        <f>IFERROR(INDEX('Hun Demand'!V:V,MATCH(O1033,'Hun Demand'!A:A,0)),"")</f>
        <v/>
      </c>
      <c r="C1033" s="25" t="str">
        <f>IFERROR(INDEX('Hun Demand'!U:U,MATCH(O1033,'Hun Demand'!A:A,0)),"")</f>
        <v/>
      </c>
      <c r="D1033" s="25" t="str">
        <f>IFERROR(INDEX('Hun Demand'!T:T,MATCH(O1033,'Hun Demand'!A:A,0)),"")</f>
        <v/>
      </c>
      <c r="E1033" s="25" t="str">
        <f>IFERROR(INDEX('Hun Demand'!S:S,MATCH(O1033,'Hun Demand'!A:A,0)),"")</f>
        <v/>
      </c>
      <c r="F1033" s="25" t="str">
        <f>IFERROR(INDEX('Hun Demand'!R:R,MATCH(O1033,'Hun Demand'!A:A,0)),"")</f>
        <v/>
      </c>
      <c r="G1033" s="25">
        <f>IFERROR(INDEX('Aub Demand'!W:W,MATCH(O1033,'Aub Demand'!A:A,0)),"")</f>
        <v>1038</v>
      </c>
      <c r="H1033" s="25">
        <f>IFERROR(INDEX('Aub Demand'!V:V,MATCH(O1033,'Aub Demand'!A:A,0)),"")</f>
        <v>344</v>
      </c>
      <c r="I1033" s="25">
        <f>IFERROR(INDEX('Aub Demand'!U:U,MATCH(O1033,'Aub Demand'!A:A,0)),"")</f>
        <v>266</v>
      </c>
      <c r="J1033" s="25">
        <f>IFERROR(INDEX('Aub Demand'!T:T,MATCH(O1033,'Aub Demand'!A:A,0)),"")</f>
        <v>95</v>
      </c>
      <c r="K1033" s="25">
        <f>IFERROR(INDEX('Aub Demand'!S:S,MATCH(O1033,'Aub Demand'!A:A,0)),"")</f>
        <v>0</v>
      </c>
      <c r="L1033" s="25">
        <f>IFERROR(INDEX('Aub Demand'!R:R,MATCH(O1033,'Aub Demand'!A:A,0)),"")</f>
        <v>0</v>
      </c>
      <c r="O1033" s="27" t="s">
        <v>1427</v>
      </c>
      <c r="P1033" s="27" t="str">
        <f>IFERROR(INDEX('Aub Demand'!B:B,MATCH($O1033,'Aub Demand'!$A:$A,0)),"")</f>
        <v>OPTI GRAY</v>
      </c>
      <c r="Q1033" s="27" t="str">
        <f>IFERROR(INDEX('Aub Demand'!C:C,MATCH($O1033,'Aub Demand'!$A:$A,0)),"")</f>
        <v>ONYX</v>
      </c>
      <c r="R1033" s="52">
        <f>IFERROR(IF(AR1034=AR1033,INDEX('Aub Demand'!K:K,MATCH($O1033,'Aub Demand'!$A:$A,0))-IF(AN1033="",0,AN1033)+AP1034,INDEX('Aub Demand'!K:K,MATCH($O1033,'Aub Demand'!$A:$A,0))-IF(AN1033="",0,AN1033)),"")</f>
        <v>3178</v>
      </c>
      <c r="S1033" s="53">
        <f t="shared" si="448"/>
        <v>113.5</v>
      </c>
      <c r="T1033" s="52" t="str">
        <f t="shared" si="449"/>
        <v/>
      </c>
      <c r="U1033" s="52">
        <f>IFERROR(IF(AR1034=AR1033,INDEX('Aub Demand'!Q:Q,MATCH($O1033,'Aub Demand'!$A:$A,0))-IF(AN1033="",0,AN1033)+AP1034,INDEX('Aub Demand'!Q:Q,MATCH($O1033,'Aub Demand'!$A:$A,0))-IF(AN1033="",0,AN1033)),"")</f>
        <v>3178</v>
      </c>
      <c r="V1033" s="53">
        <f t="shared" si="450"/>
        <v>113.5</v>
      </c>
      <c r="W1033" s="52" t="str">
        <f t="shared" si="451"/>
        <v/>
      </c>
      <c r="X1033" s="52">
        <f>IFERROR(IF(AND(AR1034=AR1033,AM1033&lt;&gt;""),INDEX('Aub Demand'!Q:Q,MATCH($O1033,'Aub Demand'!$A:$A,0))-IF(AN1033="",0,AN1033)+AP1034+AD1033+AL1033,IF(AR1034=AR1033,INDEX('Aub Demand'!Q:Q,MATCH($O1033,'Aub Demand'!$A:$A,0))-IF(AN1033="",0,AN1033)+AP1034+AD1033,IF(AM1033&lt;&gt;"",INDEX('Aub Demand'!Q:Q,MATCH($O1033,'Aub Demand'!$A:$A,0))-IF(AN1033="",0,AN1033)+AD1033+AL1033,INDEX('Aub Demand'!Q:Q,MATCH($O1033,'Aub Demand'!$A:$A,0))-IF(AN1033="",0,AN1033)+AD1033))),"")</f>
        <v>3178</v>
      </c>
      <c r="Y1033" s="53">
        <f t="shared" si="452"/>
        <v>113.5</v>
      </c>
      <c r="Z1033" s="52">
        <f>IF(L1033="","",INDEX('Aub Demand'!H:H,MATCH($O1033,'Aub Demand'!$A:$A,0)))</f>
        <v>120</v>
      </c>
      <c r="AA1033" s="52">
        <f t="shared" si="453"/>
        <v>180.5</v>
      </c>
      <c r="AB1033" s="52">
        <f>IFERROR(INDEX('Aub Demand'!L:L,MATCH($O1033,'Aub Demand'!$A:$A,0)),"")</f>
        <v>208</v>
      </c>
      <c r="AC1033" s="52">
        <f>IFERROR(IF(O1033="","",SUMIFS('CPL Mats'!F:F,'CPL Mats'!Q:Q,AR1033,'CPL Mats'!S:S,AS1033)),"")</f>
        <v>0</v>
      </c>
      <c r="AF1033" s="25" t="str">
        <f>IF(SUMIFS('Supp Consol'!S:S,'Supp Consol'!Y:Y,"Releasable",'Supp Consol'!A:A,O1033)=0,"",SUMIFS('Supp Consol'!S:S,'Supp Consol'!Y:Y,"Releasable",'Supp Consol'!A:A,O1033))</f>
        <v/>
      </c>
      <c r="AG1033" s="25" t="str">
        <f>IFERROR(INDEX('Hun Demand'!Q:Q,MATCH(O1033,'Hun Demand'!A:A,0)),"")</f>
        <v/>
      </c>
      <c r="AH1033" s="25" t="str">
        <f>IFERROR(INDEX('Hun Demand'!H:H,MATCH($O1033,'Hun Demand'!$A:$A,0)),"")</f>
        <v/>
      </c>
      <c r="AI1033" s="25" t="str">
        <f>IF(SUMIFS('Supp Consol'!AA:AA,'Supp Consol'!Z:Z,"Expires this month",'Supp Consol'!A:A,O1033)=0,"",SUMIFS('Supp Consol'!AA:AA,'Supp Consol'!Z:Z,"Expires this month",'Supp Consol'!A:A,O1033))</f>
        <v/>
      </c>
      <c r="AJ1033" s="25" t="str">
        <f>IF(SUMIFS('Supp Consol'!AA:AA,'Supp Consol'!Z:Z,"Expired Previous Months",'Supp Consol'!A:A,O1033)=0,"",SUMIFS('Supp Consol'!AA:AA,'Supp Consol'!Z:Z,"Expired Previous Months",'Supp Consol'!A:A,O1033))</f>
        <v/>
      </c>
      <c r="AK1033" s="25" t="str">
        <f>IFERROR(INDEX('Hun Release Current'!B:B,MATCH(O1033,'Hun Release Current'!A:A,0)),"")</f>
        <v/>
      </c>
      <c r="AL1033" s="25" t="str">
        <f>IF(SUMIF('Prev Aub'!A:A,O1033,'Prev Aub'!B:B)=0,"",SUMIF('Prev Aub'!A:A,O1033,'Prev Aub'!B:B))</f>
        <v/>
      </c>
      <c r="AN1033" s="25" t="s">
        <v>3790</v>
      </c>
      <c r="AO1033" s="25" t="s">
        <v>3790</v>
      </c>
      <c r="AP1033" s="25">
        <f t="shared" si="454"/>
        <v>0</v>
      </c>
      <c r="AQ1033" s="151" t="str">
        <f>IF(SUMIFS('Supp Consol'!S:S,'Supp Consol'!A:A,O1033,'Supp Consol'!I:I,"PENDING")=0,"",SUMIFS('Supp Consol'!S:S,'Supp Consol'!A:A,O1033,'Supp Consol'!I:I,"PENDING"))</f>
        <v/>
      </c>
      <c r="AR1033" s="27" t="str">
        <f t="shared" si="455"/>
        <v>SG213</v>
      </c>
      <c r="AS1033" s="27" t="str">
        <f t="shared" si="456"/>
        <v>62</v>
      </c>
      <c r="AT1033" s="27" t="str">
        <f t="shared" si="457"/>
        <v/>
      </c>
      <c r="AU1033" s="27" t="str">
        <f t="shared" si="458"/>
        <v/>
      </c>
      <c r="AV1033" s="27" t="str">
        <f t="shared" si="459"/>
        <v/>
      </c>
      <c r="AW1033" s="27" t="str">
        <f t="shared" si="460"/>
        <v/>
      </c>
      <c r="AX1033" s="27" t="str">
        <f t="shared" si="461"/>
        <v/>
      </c>
      <c r="AY1033" s="27" t="str">
        <f t="shared" si="462"/>
        <v/>
      </c>
      <c r="AZ1033" s="27" t="str">
        <f t="shared" si="463"/>
        <v/>
      </c>
      <c r="BA1033" s="27" t="str">
        <f t="shared" si="464"/>
        <v>Hun</v>
      </c>
      <c r="BB1033" s="27" t="str">
        <f t="shared" si="465"/>
        <v>Gross</v>
      </c>
      <c r="BC1033" s="27" t="str">
        <f t="shared" si="466"/>
        <v>Net</v>
      </c>
      <c r="BD1033" s="27" t="str">
        <f t="shared" si="467"/>
        <v>Net</v>
      </c>
      <c r="BE1033" s="27" t="str">
        <f t="shared" si="468"/>
        <v/>
      </c>
      <c r="BF1033" s="27" t="str">
        <f t="shared" si="469"/>
        <v/>
      </c>
      <c r="BG1033" s="27" t="str">
        <f t="shared" si="470"/>
        <v/>
      </c>
      <c r="BH1033" s="27" t="str">
        <f t="shared" si="471"/>
        <v>H+N</v>
      </c>
      <c r="BI1033" s="27" t="str">
        <f t="shared" si="472"/>
        <v>H+Nex</v>
      </c>
      <c r="BJ1033" s="27" t="str">
        <f t="shared" si="473"/>
        <v>Supp or Hun</v>
      </c>
      <c r="BK1033" s="27" t="str">
        <f t="shared" si="474"/>
        <v>Supp or Hun Need</v>
      </c>
      <c r="BL1033" s="27" t="str">
        <f t="shared" si="475"/>
        <v>SorHandNandE</v>
      </c>
      <c r="BM1033" s="21" t="s">
        <v>5581</v>
      </c>
    </row>
    <row r="1034" spans="1:65" ht="15">
      <c r="A1034" s="25">
        <f>IFERROR(INDEX('Hun Demand'!W:W,MATCH(O1034,'Hun Demand'!A:A,0)),"")</f>
        <v>1000</v>
      </c>
      <c r="B1034" s="25">
        <f>IFERROR(INDEX('Hun Demand'!V:V,MATCH(O1034,'Hun Demand'!A:A,0)),"")</f>
        <v>190</v>
      </c>
      <c r="C1034" s="25">
        <f>IFERROR(INDEX('Hun Demand'!U:U,MATCH(O1034,'Hun Demand'!A:A,0)),"")</f>
        <v>2475</v>
      </c>
      <c r="D1034" s="25">
        <f>IFERROR(INDEX('Hun Demand'!T:T,MATCH(O1034,'Hun Demand'!A:A,0)),"")</f>
        <v>0</v>
      </c>
      <c r="E1034" s="25">
        <f>IFERROR(INDEX('Hun Demand'!S:S,MATCH(O1034,'Hun Demand'!A:A,0)),"")</f>
        <v>494</v>
      </c>
      <c r="F1034" s="25">
        <f>IFERROR(INDEX('Hun Demand'!R:R,MATCH(O1034,'Hun Demand'!A:A,0)),"")</f>
        <v>0</v>
      </c>
      <c r="G1034" s="25">
        <f>IFERROR(INDEX('Aub Demand'!W:W,MATCH(O1034,'Aub Demand'!A:A,0)),"")</f>
        <v>510</v>
      </c>
      <c r="H1034" s="25">
        <f>IFERROR(INDEX('Aub Demand'!V:V,MATCH(O1034,'Aub Demand'!A:A,0)),"")</f>
        <v>279</v>
      </c>
      <c r="I1034" s="25">
        <f>IFERROR(INDEX('Aub Demand'!U:U,MATCH(O1034,'Aub Demand'!A:A,0)),"")</f>
        <v>1079</v>
      </c>
      <c r="J1034" s="25">
        <f>IFERROR(INDEX('Aub Demand'!T:T,MATCH(O1034,'Aub Demand'!A:A,0)),"")</f>
        <v>492</v>
      </c>
      <c r="K1034" s="25">
        <f>IFERROR(INDEX('Aub Demand'!S:S,MATCH(O1034,'Aub Demand'!A:A,0)),"")</f>
        <v>234</v>
      </c>
      <c r="L1034" s="25">
        <f>IFERROR(INDEX('Aub Demand'!R:R,MATCH(O1034,'Aub Demand'!A:A,0)),"")</f>
        <v>139</v>
      </c>
      <c r="O1034" s="27" t="s">
        <v>1428</v>
      </c>
      <c r="P1034" s="27" t="str">
        <f>IFERROR(INDEX('Aub Demand'!B:B,MATCH($O1034,'Aub Demand'!$A:$A,0)),"")</f>
        <v>BANKERS GRAY</v>
      </c>
      <c r="Q1034" s="27" t="str">
        <f>IFERROR(INDEX('Aub Demand'!C:C,MATCH($O1034,'Aub Demand'!$A:$A,0)),"")</f>
        <v>TECHN</v>
      </c>
      <c r="R1034" s="52">
        <f>IFERROR(IF(AR1035=AR1034,INDEX('Aub Demand'!K:K,MATCH($O1034,'Aub Demand'!$A:$A,0))-IF(AN1034="",0,AN1034)+AP1035,INDEX('Aub Demand'!K:K,MATCH($O1034,'Aub Demand'!$A:$A,0))-IF(AN1034="",0,AN1034)),"")</f>
        <v>0</v>
      </c>
      <c r="S1034" s="53">
        <f t="shared" si="448"/>
        <v>0</v>
      </c>
      <c r="T1034" s="52">
        <f t="shared" si="449"/>
        <v>589.125</v>
      </c>
      <c r="U1034" s="52">
        <f>IFERROR(IF(AR1035=AR1034,INDEX('Aub Demand'!Q:Q,MATCH($O1034,'Aub Demand'!$A:$A,0))-IF(AN1034="",0,AN1034)+AP1035,INDEX('Aub Demand'!Q:Q,MATCH($O1034,'Aub Demand'!$A:$A,0))-IF(AN1034="",0,AN1034)),"")</f>
        <v>-283</v>
      </c>
      <c r="V1034" s="53">
        <f t="shared" si="450"/>
        <v>-2</v>
      </c>
      <c r="W1034" s="52">
        <f t="shared" si="451"/>
        <v>981.875</v>
      </c>
      <c r="X1034" s="52">
        <f>IFERROR(IF(AND(AR1035=AR1034,AM1034&lt;&gt;""),INDEX('Aub Demand'!Q:Q,MATCH($O1034,'Aub Demand'!$A:$A,0))-IF(AN1034="",0,AN1034)+AP1035+AD1034+AL1034,IF(AR1035=AR1034,INDEX('Aub Demand'!Q:Q,MATCH($O1034,'Aub Demand'!$A:$A,0))-IF(AN1034="",0,AN1034)+AP1035+AD1034,IF(AM1034&lt;&gt;"",INDEX('Aub Demand'!Q:Q,MATCH($O1034,'Aub Demand'!$A:$A,0))-IF(AN1034="",0,AN1034)+AD1034+AL1034,INDEX('Aub Demand'!Q:Q,MATCH($O1034,'Aub Demand'!$A:$A,0))-IF(AN1034="",0,AN1034)+AD1034))),"")</f>
        <v>-283</v>
      </c>
      <c r="Y1034" s="53">
        <f t="shared" si="452"/>
        <v>-2</v>
      </c>
      <c r="Z1034" s="52">
        <f>IF(L1034="","",INDEX('Aub Demand'!H:H,MATCH($O1034,'Aub Demand'!$A:$A,0)))</f>
        <v>602</v>
      </c>
      <c r="AA1034" s="52">
        <f t="shared" si="453"/>
        <v>785.5</v>
      </c>
      <c r="AB1034" s="52">
        <f>IFERROR(INDEX('Aub Demand'!L:L,MATCH($O1034,'Aub Demand'!$A:$A,0)),"")</f>
        <v>434</v>
      </c>
      <c r="AC1034" s="52">
        <f>IFERROR(IF(O1034="","",SUMIFS('CPL Mats'!F:F,'CPL Mats'!Q:Q,AR1034,'CPL Mats'!S:S,AS1034)),"")</f>
        <v>0</v>
      </c>
      <c r="AF1034" s="25" t="str">
        <f>IF(SUMIFS('Supp Consol'!S:S,'Supp Consol'!Y:Y,"Releasable",'Supp Consol'!A:A,O1034)=0,"",SUMIFS('Supp Consol'!S:S,'Supp Consol'!Y:Y,"Releasable",'Supp Consol'!A:A,O1034))</f>
        <v/>
      </c>
      <c r="AG1034" s="25">
        <f>IFERROR(INDEX('Hun Demand'!Q:Q,MATCH(O1034,'Hun Demand'!A:A,0)),"")</f>
        <v>-201</v>
      </c>
      <c r="AH1034" s="25">
        <f>IFERROR(INDEX('Hun Demand'!H:H,MATCH($O1034,'Hun Demand'!$A:$A,0)),"")</f>
        <v>990</v>
      </c>
      <c r="AI1034" s="25" t="str">
        <f>IF(SUMIFS('Supp Consol'!AA:AA,'Supp Consol'!Z:Z,"Expires this month",'Supp Consol'!A:A,O1034)=0,"",SUMIFS('Supp Consol'!AA:AA,'Supp Consol'!Z:Z,"Expires this month",'Supp Consol'!A:A,O1034))</f>
        <v/>
      </c>
      <c r="AJ1034" s="25" t="str">
        <f>IF(SUMIFS('Supp Consol'!AA:AA,'Supp Consol'!Z:Z,"Expired Previous Months",'Supp Consol'!A:A,O1034)=0,"",SUMIFS('Supp Consol'!AA:AA,'Supp Consol'!Z:Z,"Expired Previous Months",'Supp Consol'!A:A,O1034))</f>
        <v/>
      </c>
      <c r="AK1034" s="25" t="str">
        <f>IFERROR(INDEX('Hun Release Current'!B:B,MATCH(O1034,'Hun Release Current'!A:A,0)),"")</f>
        <v/>
      </c>
      <c r="AL1034" s="25" t="str">
        <f>IF(SUMIF('Prev Aub'!A:A,O1034,'Prev Aub'!B:B)=0,"",SUMIF('Prev Aub'!A:A,O1034,'Prev Aub'!B:B))</f>
        <v/>
      </c>
      <c r="AN1034" s="25" t="s">
        <v>3790</v>
      </c>
      <c r="AO1034" s="25" t="s">
        <v>3790</v>
      </c>
      <c r="AP1034" s="25">
        <f t="shared" si="454"/>
        <v>0</v>
      </c>
      <c r="AQ1034" s="151" t="str">
        <f>IF(SUMIFS('Supp Consol'!S:S,'Supp Consol'!A:A,O1034,'Supp Consol'!I:I,"PENDING")=0,"",SUMIFS('Supp Consol'!S:S,'Supp Consol'!A:A,O1034,'Supp Consol'!I:I,"PENDING"))</f>
        <v/>
      </c>
      <c r="AR1034" s="27" t="str">
        <f t="shared" si="455"/>
        <v>SG214</v>
      </c>
      <c r="AS1034" s="27" t="str">
        <f t="shared" si="456"/>
        <v>50</v>
      </c>
      <c r="AT1034" s="27" t="str">
        <f t="shared" si="457"/>
        <v>SG214</v>
      </c>
      <c r="AU1034" s="27" t="str">
        <f t="shared" si="458"/>
        <v>SG214</v>
      </c>
      <c r="AV1034" s="27" t="str">
        <f t="shared" si="459"/>
        <v>SG214</v>
      </c>
      <c r="AW1034" s="27" t="str">
        <f t="shared" si="460"/>
        <v/>
      </c>
      <c r="AX1034" s="27" t="str">
        <f t="shared" si="461"/>
        <v/>
      </c>
      <c r="AY1034" s="27" t="str">
        <f t="shared" si="462"/>
        <v/>
      </c>
      <c r="AZ1034" s="27" t="str">
        <f t="shared" si="463"/>
        <v/>
      </c>
      <c r="BA1034" s="27" t="str">
        <f t="shared" si="464"/>
        <v>Hun</v>
      </c>
      <c r="BB1034" s="27" t="str">
        <f t="shared" si="465"/>
        <v>Gross</v>
      </c>
      <c r="BC1034" s="27" t="str">
        <f t="shared" si="466"/>
        <v>Net</v>
      </c>
      <c r="BD1034" s="27" t="str">
        <f t="shared" si="467"/>
        <v>Net</v>
      </c>
      <c r="BE1034" s="27" t="str">
        <f t="shared" si="468"/>
        <v/>
      </c>
      <c r="BF1034" s="27" t="str">
        <f t="shared" si="469"/>
        <v/>
      </c>
      <c r="BG1034" s="27" t="str">
        <f t="shared" si="470"/>
        <v/>
      </c>
      <c r="BH1034" s="27" t="str">
        <f t="shared" si="471"/>
        <v>H+N</v>
      </c>
      <c r="BI1034" s="27" t="str">
        <f t="shared" si="472"/>
        <v>H+Nex</v>
      </c>
      <c r="BJ1034" s="27" t="str">
        <f t="shared" si="473"/>
        <v>Supp or Hun</v>
      </c>
      <c r="BK1034" s="27" t="str">
        <f t="shared" si="474"/>
        <v>Supp or Hun Need</v>
      </c>
      <c r="BL1034" s="27" t="str">
        <f t="shared" si="475"/>
        <v>SorHandNandE</v>
      </c>
      <c r="BM1034" s="21" t="s">
        <v>5581</v>
      </c>
    </row>
    <row r="1035" spans="1:65" ht="15">
      <c r="A1035" s="25">
        <f>IFERROR(INDEX('Hun Demand'!W:W,MATCH(O1035,'Hun Demand'!A:A,0)),"")</f>
        <v>210</v>
      </c>
      <c r="B1035" s="25">
        <f>IFERROR(INDEX('Hun Demand'!V:V,MATCH(O1035,'Hun Demand'!A:A,0)),"")</f>
        <v>166</v>
      </c>
      <c r="C1035" s="25">
        <f>IFERROR(INDEX('Hun Demand'!U:U,MATCH(O1035,'Hun Demand'!A:A,0)),"")</f>
        <v>0</v>
      </c>
      <c r="D1035" s="25">
        <f>IFERROR(INDEX('Hun Demand'!T:T,MATCH(O1035,'Hun Demand'!A:A,0)),"")</f>
        <v>0</v>
      </c>
      <c r="E1035" s="25">
        <f>IFERROR(INDEX('Hun Demand'!S:S,MATCH(O1035,'Hun Demand'!A:A,0)),"")</f>
        <v>0</v>
      </c>
      <c r="F1035" s="25">
        <f>IFERROR(INDEX('Hun Demand'!R:R,MATCH(O1035,'Hun Demand'!A:A,0)),"")</f>
        <v>0</v>
      </c>
      <c r="G1035" s="25">
        <f>IFERROR(INDEX('Aub Demand'!W:W,MATCH(O1035,'Aub Demand'!A:A,0)),"")</f>
        <v>95</v>
      </c>
      <c r="H1035" s="25">
        <f>IFERROR(INDEX('Aub Demand'!V:V,MATCH(O1035,'Aub Demand'!A:A,0)),"")</f>
        <v>1210</v>
      </c>
      <c r="I1035" s="25">
        <f>IFERROR(INDEX('Aub Demand'!U:U,MATCH(O1035,'Aub Demand'!A:A,0)),"")</f>
        <v>0</v>
      </c>
      <c r="J1035" s="25">
        <f>IFERROR(INDEX('Aub Demand'!T:T,MATCH(O1035,'Aub Demand'!A:A,0)),"")</f>
        <v>360</v>
      </c>
      <c r="K1035" s="25">
        <f>IFERROR(INDEX('Aub Demand'!S:S,MATCH(O1035,'Aub Demand'!A:A,0)),"")</f>
        <v>498</v>
      </c>
      <c r="L1035" s="25">
        <f>IFERROR(INDEX('Aub Demand'!R:R,MATCH(O1035,'Aub Demand'!A:A,0)),"")</f>
        <v>0</v>
      </c>
      <c r="O1035" s="27" t="s">
        <v>1431</v>
      </c>
      <c r="P1035" s="27" t="str">
        <f>IFERROR(INDEX('Aub Demand'!B:B,MATCH($O1035,'Aub Demand'!$A:$A,0)),"")</f>
        <v>BANKERS GRAY</v>
      </c>
      <c r="Q1035" s="27" t="str">
        <f>IFERROR(INDEX('Aub Demand'!C:C,MATCH($O1035,'Aub Demand'!$A:$A,0)),"")</f>
        <v>TECHN</v>
      </c>
      <c r="R1035" s="52">
        <f>IFERROR(IF(AR1036=AR1035,INDEX('Aub Demand'!K:K,MATCH($O1035,'Aub Demand'!$A:$A,0))-IF(AN1035="",0,AN1035)+AP1036,INDEX('Aub Demand'!K:K,MATCH($O1035,'Aub Demand'!$A:$A,0))-IF(AN1035="",0,AN1035)),"")</f>
        <v>14653</v>
      </c>
      <c r="S1035" s="53">
        <f t="shared" si="448"/>
        <v>219.6</v>
      </c>
      <c r="T1035" s="52" t="str">
        <f t="shared" si="449"/>
        <v/>
      </c>
      <c r="U1035" s="52">
        <f>IFERROR(IF(AR1036=AR1035,INDEX('Aub Demand'!Q:Q,MATCH($O1035,'Aub Demand'!$A:$A,0))-IF(AN1035="",0,AN1035)+AP1036,INDEX('Aub Demand'!Q:Q,MATCH($O1035,'Aub Demand'!$A:$A,0))-IF(AN1035="",0,AN1035)),"")</f>
        <v>14610</v>
      </c>
      <c r="V1035" s="53">
        <f t="shared" si="450"/>
        <v>218.9</v>
      </c>
      <c r="W1035" s="52" t="str">
        <f t="shared" si="451"/>
        <v/>
      </c>
      <c r="X1035" s="52">
        <f>IFERROR(IF(AND(AR1036=AR1035,AM1035&lt;&gt;""),INDEX('Aub Demand'!Q:Q,MATCH($O1035,'Aub Demand'!$A:$A,0))-IF(AN1035="",0,AN1035)+AP1036+AD1035+AL1035,IF(AR1036=AR1035,INDEX('Aub Demand'!Q:Q,MATCH($O1035,'Aub Demand'!$A:$A,0))-IF(AN1035="",0,AN1035)+AP1036+AD1035,IF(AM1035&lt;&gt;"",INDEX('Aub Demand'!Q:Q,MATCH($O1035,'Aub Demand'!$A:$A,0))-IF(AN1035="",0,AN1035)+AD1035+AL1035,INDEX('Aub Demand'!Q:Q,MATCH($O1035,'Aub Demand'!$A:$A,0))-IF(AN1035="",0,AN1035)+AD1035))),"")</f>
        <v>14610</v>
      </c>
      <c r="Y1035" s="53">
        <f t="shared" si="452"/>
        <v>218.9</v>
      </c>
      <c r="Z1035" s="52">
        <f>IF(L1035="","",INDEX('Aub Demand'!H:H,MATCH($O1035,'Aub Demand'!$A:$A,0)))</f>
        <v>286</v>
      </c>
      <c r="AA1035" s="52">
        <f t="shared" si="453"/>
        <v>429</v>
      </c>
      <c r="AB1035" s="52">
        <f>IFERROR(INDEX('Aub Demand'!L:L,MATCH($O1035,'Aub Demand'!$A:$A,0)),"")</f>
        <v>373</v>
      </c>
      <c r="AC1035" s="52">
        <f>IFERROR(IF(O1035="","",SUMIFS('CPL Mats'!F:F,'CPL Mats'!Q:Q,AR1035,'CPL Mats'!S:S,AS1035)),"")</f>
        <v>0</v>
      </c>
      <c r="AF1035" s="25" t="str">
        <f>IF(SUMIFS('Supp Consol'!S:S,'Supp Consol'!Y:Y,"Releasable",'Supp Consol'!A:A,O1035)=0,"",SUMIFS('Supp Consol'!S:S,'Supp Consol'!Y:Y,"Releasable",'Supp Consol'!A:A,O1035))</f>
        <v/>
      </c>
      <c r="AG1035" s="25">
        <f>IFERROR(INDEX('Hun Demand'!Q:Q,MATCH(O1035,'Hun Demand'!A:A,0)),"")</f>
        <v>112</v>
      </c>
      <c r="AH1035" s="25">
        <f>IFERROR(INDEX('Hun Demand'!H:H,MATCH($O1035,'Hun Demand'!$A:$A,0)),"")</f>
        <v>0</v>
      </c>
      <c r="AI1035" s="25" t="str">
        <f>IF(SUMIFS('Supp Consol'!AA:AA,'Supp Consol'!Z:Z,"Expires this month",'Supp Consol'!A:A,O1035)=0,"",SUMIFS('Supp Consol'!AA:AA,'Supp Consol'!Z:Z,"Expires this month",'Supp Consol'!A:A,O1035))</f>
        <v/>
      </c>
      <c r="AJ1035" s="25" t="str">
        <f>IF(SUMIFS('Supp Consol'!AA:AA,'Supp Consol'!Z:Z,"Expired Previous Months",'Supp Consol'!A:A,O1035)=0,"",SUMIFS('Supp Consol'!AA:AA,'Supp Consol'!Z:Z,"Expired Previous Months",'Supp Consol'!A:A,O1035))</f>
        <v/>
      </c>
      <c r="AK1035" s="25" t="str">
        <f>IFERROR(INDEX('Hun Release Current'!B:B,MATCH(O1035,'Hun Release Current'!A:A,0)),"")</f>
        <v/>
      </c>
      <c r="AL1035" s="25" t="str">
        <f>IF(SUMIF('Prev Aub'!A:A,O1035,'Prev Aub'!B:B)=0,"",SUMIF('Prev Aub'!A:A,O1035,'Prev Aub'!B:B))</f>
        <v/>
      </c>
      <c r="AN1035" s="25" t="s">
        <v>3790</v>
      </c>
      <c r="AO1035" s="25" t="s">
        <v>3790</v>
      </c>
      <c r="AP1035" s="25">
        <f t="shared" si="454"/>
        <v>0</v>
      </c>
      <c r="AQ1035" s="151" t="str">
        <f>IF(SUMIFS('Supp Consol'!S:S,'Supp Consol'!A:A,O1035,'Supp Consol'!I:I,"PENDING")=0,"",SUMIFS('Supp Consol'!S:S,'Supp Consol'!A:A,O1035,'Supp Consol'!I:I,"PENDING"))</f>
        <v/>
      </c>
      <c r="AR1035" s="27" t="str">
        <f t="shared" si="455"/>
        <v>SG214</v>
      </c>
      <c r="AS1035" s="27" t="str">
        <f t="shared" si="456"/>
        <v>62</v>
      </c>
      <c r="AT1035" s="27" t="str">
        <f t="shared" si="457"/>
        <v/>
      </c>
      <c r="AU1035" s="27" t="str">
        <f t="shared" si="458"/>
        <v/>
      </c>
      <c r="AV1035" s="27" t="str">
        <f t="shared" si="459"/>
        <v/>
      </c>
      <c r="AW1035" s="27" t="str">
        <f t="shared" si="460"/>
        <v/>
      </c>
      <c r="AX1035" s="27" t="str">
        <f t="shared" si="461"/>
        <v/>
      </c>
      <c r="AY1035" s="27" t="str">
        <f t="shared" si="462"/>
        <v>SG214</v>
      </c>
      <c r="AZ1035" s="27" t="str">
        <f t="shared" si="463"/>
        <v/>
      </c>
      <c r="BA1035" s="27" t="str">
        <f t="shared" si="464"/>
        <v>Hun</v>
      </c>
      <c r="BB1035" s="27" t="str">
        <f t="shared" si="465"/>
        <v>Gross</v>
      </c>
      <c r="BC1035" s="27" t="str">
        <f t="shared" si="466"/>
        <v>Net</v>
      </c>
      <c r="BD1035" s="27" t="str">
        <f t="shared" si="467"/>
        <v>Net</v>
      </c>
      <c r="BE1035" s="27" t="str">
        <f t="shared" si="468"/>
        <v/>
      </c>
      <c r="BF1035" s="27" t="str">
        <f t="shared" si="469"/>
        <v/>
      </c>
      <c r="BG1035" s="27" t="str">
        <f t="shared" si="470"/>
        <v/>
      </c>
      <c r="BH1035" s="27" t="str">
        <f t="shared" si="471"/>
        <v>H+N</v>
      </c>
      <c r="BI1035" s="27" t="str">
        <f t="shared" si="472"/>
        <v>H+Nex</v>
      </c>
      <c r="BJ1035" s="27" t="str">
        <f t="shared" si="473"/>
        <v>Supp or Hun</v>
      </c>
      <c r="BK1035" s="27" t="str">
        <f t="shared" si="474"/>
        <v>Supp or Hun Need</v>
      </c>
      <c r="BL1035" s="27" t="str">
        <f t="shared" si="475"/>
        <v>SorHandNandE</v>
      </c>
      <c r="BM1035" s="21" t="s">
        <v>5581</v>
      </c>
    </row>
    <row r="1036" spans="1:65" ht="15">
      <c r="A1036" s="25" t="str">
        <f>IFERROR(INDEX('Hun Demand'!W:W,MATCH(O1036,'Hun Demand'!A:A,0)),"")</f>
        <v/>
      </c>
      <c r="B1036" s="25" t="str">
        <f>IFERROR(INDEX('Hun Demand'!V:V,MATCH(O1036,'Hun Demand'!A:A,0)),"")</f>
        <v/>
      </c>
      <c r="C1036" s="25" t="str">
        <f>IFERROR(INDEX('Hun Demand'!U:U,MATCH(O1036,'Hun Demand'!A:A,0)),"")</f>
        <v/>
      </c>
      <c r="D1036" s="25" t="str">
        <f>IFERROR(INDEX('Hun Demand'!T:T,MATCH(O1036,'Hun Demand'!A:A,0)),"")</f>
        <v/>
      </c>
      <c r="E1036" s="25" t="str">
        <f>IFERROR(INDEX('Hun Demand'!S:S,MATCH(O1036,'Hun Demand'!A:A,0)),"")</f>
        <v/>
      </c>
      <c r="F1036" s="25" t="str">
        <f>IFERROR(INDEX('Hun Demand'!R:R,MATCH(O1036,'Hun Demand'!A:A,0)),"")</f>
        <v/>
      </c>
      <c r="G1036" s="25">
        <f>IFERROR(INDEX('Aub Demand'!W:W,MATCH(O1036,'Aub Demand'!A:A,0)),"")</f>
        <v>0</v>
      </c>
      <c r="H1036" s="25">
        <f>IFERROR(INDEX('Aub Demand'!V:V,MATCH(O1036,'Aub Demand'!A:A,0)),"")</f>
        <v>0</v>
      </c>
      <c r="I1036" s="25">
        <f>IFERROR(INDEX('Aub Demand'!U:U,MATCH(O1036,'Aub Demand'!A:A,0)),"")</f>
        <v>0</v>
      </c>
      <c r="J1036" s="25">
        <f>IFERROR(INDEX('Aub Demand'!T:T,MATCH(O1036,'Aub Demand'!A:A,0)),"")</f>
        <v>0</v>
      </c>
      <c r="K1036" s="25">
        <f>IFERROR(INDEX('Aub Demand'!S:S,MATCH(O1036,'Aub Demand'!A:A,0)),"")</f>
        <v>0</v>
      </c>
      <c r="L1036" s="25">
        <f>IFERROR(INDEX('Aub Demand'!R:R,MATCH(O1036,'Aub Demand'!A:A,0)),"")</f>
        <v>0</v>
      </c>
      <c r="O1036" s="27" t="s">
        <v>3403</v>
      </c>
      <c r="P1036" s="27" t="str">
        <f>IFERROR(INDEX('Aub Demand'!B:B,MATCH($O1036,'Aub Demand'!$A:$A,0)),"")</f>
        <v>SP GRAY</v>
      </c>
      <c r="Q1036" s="27">
        <f>IFERROR(INDEX('Aub Demand'!C:C,MATCH($O1036,'Aub Demand'!$A:$A,0)),"")</f>
        <v>0</v>
      </c>
      <c r="R1036" s="52">
        <f>IFERROR(IF(AR1037=AR1036,INDEX('Aub Demand'!K:K,MATCH($O1036,'Aub Demand'!$A:$A,0))-IF(AN1036="",0,AN1036)+AP1037,INDEX('Aub Demand'!K:K,MATCH($O1036,'Aub Demand'!$A:$A,0))-IF(AN1036="",0,AN1036)),"")</f>
        <v>881</v>
      </c>
      <c r="S1036" s="53" t="str">
        <f t="shared" si="448"/>
        <v>n/a</v>
      </c>
      <c r="T1036" s="52" t="str">
        <f t="shared" si="449"/>
        <v/>
      </c>
      <c r="U1036" s="52">
        <f>IFERROR(IF(AR1037=AR1036,INDEX('Aub Demand'!Q:Q,MATCH($O1036,'Aub Demand'!$A:$A,0))-IF(AN1036="",0,AN1036)+AP1037,INDEX('Aub Demand'!Q:Q,MATCH($O1036,'Aub Demand'!$A:$A,0))-IF(AN1036="",0,AN1036)),"")</f>
        <v>881</v>
      </c>
      <c r="V1036" s="53" t="str">
        <f t="shared" si="450"/>
        <v>n/a</v>
      </c>
      <c r="W1036" s="52" t="str">
        <f t="shared" si="451"/>
        <v/>
      </c>
      <c r="X1036" s="52">
        <f>IFERROR(IF(AND(AR1037=AR1036,AM1036&lt;&gt;""),INDEX('Aub Demand'!Q:Q,MATCH($O1036,'Aub Demand'!$A:$A,0))-IF(AN1036="",0,AN1036)+AP1037+AD1036+AL1036,IF(AR1037=AR1036,INDEX('Aub Demand'!Q:Q,MATCH($O1036,'Aub Demand'!$A:$A,0))-IF(AN1036="",0,AN1036)+AP1037+AD1036,IF(AM1036&lt;&gt;"",INDEX('Aub Demand'!Q:Q,MATCH($O1036,'Aub Demand'!$A:$A,0))-IF(AN1036="",0,AN1036)+AD1036+AL1036,INDEX('Aub Demand'!Q:Q,MATCH($O1036,'Aub Demand'!$A:$A,0))-IF(AN1036="",0,AN1036)+AD1036))),"")</f>
        <v>881</v>
      </c>
      <c r="Y1036" s="53" t="str">
        <f t="shared" si="452"/>
        <v>n/a</v>
      </c>
      <c r="Z1036" s="52">
        <f>IF(L1036="","",INDEX('Aub Demand'!H:H,MATCH($O1036,'Aub Demand'!$A:$A,0)))</f>
        <v>0</v>
      </c>
      <c r="AA1036" s="52" t="str">
        <f t="shared" si="453"/>
        <v>-spike-</v>
      </c>
      <c r="AB1036" s="52">
        <f>IFERROR(INDEX('Aub Demand'!L:L,MATCH($O1036,'Aub Demand'!$A:$A,0)),"")</f>
        <v>12</v>
      </c>
      <c r="AC1036" s="52">
        <f>IFERROR(IF(O1036="","",SUMIFS('CPL Mats'!F:F,'CPL Mats'!Q:Q,AR1036,'CPL Mats'!S:S,AS1036)),"")</f>
        <v>0</v>
      </c>
      <c r="AF1036" s="25" t="str">
        <f>IF(SUMIFS('Supp Consol'!S:S,'Supp Consol'!Y:Y,"Releasable",'Supp Consol'!A:A,O1036)=0,"",SUMIFS('Supp Consol'!S:S,'Supp Consol'!Y:Y,"Releasable",'Supp Consol'!A:A,O1036))</f>
        <v/>
      </c>
      <c r="AG1036" s="25" t="str">
        <f>IFERROR(INDEX('Hun Demand'!Q:Q,MATCH(O1036,'Hun Demand'!A:A,0)),"")</f>
        <v/>
      </c>
      <c r="AH1036" s="25" t="str">
        <f>IFERROR(INDEX('Hun Demand'!H:H,MATCH($O1036,'Hun Demand'!$A:$A,0)),"")</f>
        <v/>
      </c>
      <c r="AI1036" s="25" t="str">
        <f>IF(SUMIFS('Supp Consol'!AA:AA,'Supp Consol'!Z:Z,"Expires this month",'Supp Consol'!A:A,O1036)=0,"",SUMIFS('Supp Consol'!AA:AA,'Supp Consol'!Z:Z,"Expires this month",'Supp Consol'!A:A,O1036))</f>
        <v/>
      </c>
      <c r="AJ1036" s="25" t="str">
        <f>IF(SUMIFS('Supp Consol'!AA:AA,'Supp Consol'!Z:Z,"Expired Previous Months",'Supp Consol'!A:A,O1036)=0,"",SUMIFS('Supp Consol'!AA:AA,'Supp Consol'!Z:Z,"Expired Previous Months",'Supp Consol'!A:A,O1036))</f>
        <v/>
      </c>
      <c r="AK1036" s="25" t="str">
        <f>IFERROR(INDEX('Hun Release Current'!B:B,MATCH(O1036,'Hun Release Current'!A:A,0)),"")</f>
        <v/>
      </c>
      <c r="AL1036" s="25" t="str">
        <f>IF(SUMIF('Prev Aub'!A:A,O1036,'Prev Aub'!B:B)=0,"",SUMIF('Prev Aub'!A:A,O1036,'Prev Aub'!B:B))</f>
        <v/>
      </c>
      <c r="AN1036" s="25" t="s">
        <v>3790</v>
      </c>
      <c r="AO1036" s="25" t="s">
        <v>3790</v>
      </c>
      <c r="AP1036" s="25">
        <f t="shared" si="454"/>
        <v>0</v>
      </c>
      <c r="AQ1036" s="151" t="str">
        <f>IF(SUMIFS('Supp Consol'!S:S,'Supp Consol'!A:A,O1036,'Supp Consol'!I:I,"PENDING")=0,"",SUMIFS('Supp Consol'!S:S,'Supp Consol'!A:A,O1036,'Supp Consol'!I:I,"PENDING"))</f>
        <v/>
      </c>
      <c r="AR1036" s="27" t="str">
        <f t="shared" si="455"/>
        <v>SG215</v>
      </c>
      <c r="AS1036" s="27" t="str">
        <f t="shared" si="456"/>
        <v>50</v>
      </c>
      <c r="AT1036" s="27" t="str">
        <f t="shared" si="457"/>
        <v/>
      </c>
      <c r="AU1036" s="27" t="str">
        <f t="shared" si="458"/>
        <v/>
      </c>
      <c r="AV1036" s="27" t="str">
        <f t="shared" si="459"/>
        <v/>
      </c>
      <c r="AW1036" s="27" t="str">
        <f t="shared" si="460"/>
        <v/>
      </c>
      <c r="AX1036" s="27" t="str">
        <f t="shared" si="461"/>
        <v/>
      </c>
      <c r="AY1036" s="27" t="str">
        <f t="shared" si="462"/>
        <v/>
      </c>
      <c r="AZ1036" s="27" t="str">
        <f t="shared" si="463"/>
        <v/>
      </c>
      <c r="BA1036" s="27" t="str">
        <f t="shared" si="464"/>
        <v/>
      </c>
      <c r="BB1036" s="27" t="str">
        <f t="shared" si="465"/>
        <v/>
      </c>
      <c r="BC1036" s="27" t="str">
        <f t="shared" si="466"/>
        <v/>
      </c>
      <c r="BD1036" s="27" t="str">
        <f t="shared" si="467"/>
        <v/>
      </c>
      <c r="BE1036" s="27" t="str">
        <f t="shared" si="468"/>
        <v/>
      </c>
      <c r="BF1036" s="27" t="str">
        <f t="shared" si="469"/>
        <v/>
      </c>
      <c r="BG1036" s="27" t="str">
        <f t="shared" si="470"/>
        <v/>
      </c>
      <c r="BH1036" s="27" t="str">
        <f t="shared" si="471"/>
        <v/>
      </c>
      <c r="BI1036" s="27" t="str">
        <f t="shared" si="472"/>
        <v/>
      </c>
      <c r="BJ1036" s="27" t="str">
        <f t="shared" si="473"/>
        <v/>
      </c>
      <c r="BK1036" s="27" t="str">
        <f t="shared" si="474"/>
        <v/>
      </c>
      <c r="BL1036" s="27" t="str">
        <f t="shared" si="475"/>
        <v/>
      </c>
      <c r="BM1036" s="21" t="s">
        <v>5581</v>
      </c>
    </row>
    <row r="1037" spans="1:65" ht="15">
      <c r="A1037" s="25" t="str">
        <f>IFERROR(INDEX('Hun Demand'!W:W,MATCH(O1037,'Hun Demand'!A:A,0)),"")</f>
        <v/>
      </c>
      <c r="B1037" s="25" t="str">
        <f>IFERROR(INDEX('Hun Demand'!V:V,MATCH(O1037,'Hun Demand'!A:A,0)),"")</f>
        <v/>
      </c>
      <c r="C1037" s="25" t="str">
        <f>IFERROR(INDEX('Hun Demand'!U:U,MATCH(O1037,'Hun Demand'!A:A,0)),"")</f>
        <v/>
      </c>
      <c r="D1037" s="25" t="str">
        <f>IFERROR(INDEX('Hun Demand'!T:T,MATCH(O1037,'Hun Demand'!A:A,0)),"")</f>
        <v/>
      </c>
      <c r="E1037" s="25" t="str">
        <f>IFERROR(INDEX('Hun Demand'!S:S,MATCH(O1037,'Hun Demand'!A:A,0)),"")</f>
        <v/>
      </c>
      <c r="F1037" s="25" t="str">
        <f>IFERROR(INDEX('Hun Demand'!R:R,MATCH(O1037,'Hun Demand'!A:A,0)),"")</f>
        <v/>
      </c>
      <c r="G1037" s="25">
        <f>IFERROR(INDEX('Aub Demand'!W:W,MATCH(O1037,'Aub Demand'!A:A,0)),"")</f>
        <v>0</v>
      </c>
      <c r="H1037" s="25">
        <f>IFERROR(INDEX('Aub Demand'!V:V,MATCH(O1037,'Aub Demand'!A:A,0)),"")</f>
        <v>0</v>
      </c>
      <c r="I1037" s="25">
        <f>IFERROR(INDEX('Aub Demand'!U:U,MATCH(O1037,'Aub Demand'!A:A,0)),"")</f>
        <v>0</v>
      </c>
      <c r="J1037" s="25">
        <f>IFERROR(INDEX('Aub Demand'!T:T,MATCH(O1037,'Aub Demand'!A:A,0)),"")</f>
        <v>0</v>
      </c>
      <c r="K1037" s="25">
        <f>IFERROR(INDEX('Aub Demand'!S:S,MATCH(O1037,'Aub Demand'!A:A,0)),"")</f>
        <v>0</v>
      </c>
      <c r="L1037" s="25">
        <f>IFERROR(INDEX('Aub Demand'!R:R,MATCH(O1037,'Aub Demand'!A:A,0)),"")</f>
        <v>0</v>
      </c>
      <c r="O1037" s="27" t="s">
        <v>3405</v>
      </c>
      <c r="P1037" s="27" t="str">
        <f>IFERROR(INDEX('Aub Demand'!B:B,MATCH($O1037,'Aub Demand'!$A:$A,0)),"")</f>
        <v>SP GRAY</v>
      </c>
      <c r="Q1037" s="27">
        <f>IFERROR(INDEX('Aub Demand'!C:C,MATCH($O1037,'Aub Demand'!$A:$A,0)),"")</f>
        <v>0</v>
      </c>
      <c r="R1037" s="52">
        <f>IFERROR(IF(AR1038=AR1037,INDEX('Aub Demand'!K:K,MATCH($O1037,'Aub Demand'!$A:$A,0))-IF(AN1037="",0,AN1037)+AP1038,INDEX('Aub Demand'!K:K,MATCH($O1037,'Aub Demand'!$A:$A,0))-IF(AN1037="",0,AN1037)),"")</f>
        <v>1247</v>
      </c>
      <c r="S1037" s="53" t="str">
        <f t="shared" si="448"/>
        <v>n/a</v>
      </c>
      <c r="T1037" s="52" t="str">
        <f t="shared" si="449"/>
        <v/>
      </c>
      <c r="U1037" s="52">
        <f>IFERROR(IF(AR1038=AR1037,INDEX('Aub Demand'!Q:Q,MATCH($O1037,'Aub Demand'!$A:$A,0))-IF(AN1037="",0,AN1037)+AP1038,INDEX('Aub Demand'!Q:Q,MATCH($O1037,'Aub Demand'!$A:$A,0))-IF(AN1037="",0,AN1037)),"")</f>
        <v>1247</v>
      </c>
      <c r="V1037" s="53" t="str">
        <f t="shared" si="450"/>
        <v>n/a</v>
      </c>
      <c r="W1037" s="52" t="str">
        <f t="shared" si="451"/>
        <v/>
      </c>
      <c r="X1037" s="52">
        <f>IFERROR(IF(AND(AR1038=AR1037,AM1037&lt;&gt;""),INDEX('Aub Demand'!Q:Q,MATCH($O1037,'Aub Demand'!$A:$A,0))-IF(AN1037="",0,AN1037)+AP1038+AD1037+AL1037,IF(AR1038=AR1037,INDEX('Aub Demand'!Q:Q,MATCH($O1037,'Aub Demand'!$A:$A,0))-IF(AN1037="",0,AN1037)+AP1038+AD1037,IF(AM1037&lt;&gt;"",INDEX('Aub Demand'!Q:Q,MATCH($O1037,'Aub Demand'!$A:$A,0))-IF(AN1037="",0,AN1037)+AD1037+AL1037,INDEX('Aub Demand'!Q:Q,MATCH($O1037,'Aub Demand'!$A:$A,0))-IF(AN1037="",0,AN1037)+AD1037))),"")</f>
        <v>1247</v>
      </c>
      <c r="Y1037" s="53" t="str">
        <f t="shared" si="452"/>
        <v>n/a</v>
      </c>
      <c r="Z1037" s="52">
        <f>IF(L1037="","",INDEX('Aub Demand'!H:H,MATCH($O1037,'Aub Demand'!$A:$A,0)))</f>
        <v>0</v>
      </c>
      <c r="AA1037" s="52" t="str">
        <f t="shared" si="453"/>
        <v>-spike-</v>
      </c>
      <c r="AB1037" s="52">
        <f>IFERROR(INDEX('Aub Demand'!L:L,MATCH($O1037,'Aub Demand'!$A:$A,0)),"")</f>
        <v>11</v>
      </c>
      <c r="AC1037" s="52">
        <f>IFERROR(IF(O1037="","",SUMIFS('CPL Mats'!F:F,'CPL Mats'!Q:Q,AR1037,'CPL Mats'!S:S,AS1037)),"")</f>
        <v>0</v>
      </c>
      <c r="AF1037" s="25" t="str">
        <f>IF(SUMIFS('Supp Consol'!S:S,'Supp Consol'!Y:Y,"Releasable",'Supp Consol'!A:A,O1037)=0,"",SUMIFS('Supp Consol'!S:S,'Supp Consol'!Y:Y,"Releasable",'Supp Consol'!A:A,O1037))</f>
        <v/>
      </c>
      <c r="AG1037" s="25" t="str">
        <f>IFERROR(INDEX('Hun Demand'!Q:Q,MATCH(O1037,'Hun Demand'!A:A,0)),"")</f>
        <v/>
      </c>
      <c r="AH1037" s="25" t="str">
        <f>IFERROR(INDEX('Hun Demand'!H:H,MATCH($O1037,'Hun Demand'!$A:$A,0)),"")</f>
        <v/>
      </c>
      <c r="AI1037" s="25" t="str">
        <f>IF(SUMIFS('Supp Consol'!AA:AA,'Supp Consol'!Z:Z,"Expires this month",'Supp Consol'!A:A,O1037)=0,"",SUMIFS('Supp Consol'!AA:AA,'Supp Consol'!Z:Z,"Expires this month",'Supp Consol'!A:A,O1037))</f>
        <v/>
      </c>
      <c r="AJ1037" s="25" t="str">
        <f>IF(SUMIFS('Supp Consol'!AA:AA,'Supp Consol'!Z:Z,"Expired Previous Months",'Supp Consol'!A:A,O1037)=0,"",SUMIFS('Supp Consol'!AA:AA,'Supp Consol'!Z:Z,"Expired Previous Months",'Supp Consol'!A:A,O1037))</f>
        <v/>
      </c>
      <c r="AK1037" s="25" t="str">
        <f>IFERROR(INDEX('Hun Release Current'!B:B,MATCH(O1037,'Hun Release Current'!A:A,0)),"")</f>
        <v/>
      </c>
      <c r="AL1037" s="25" t="str">
        <f>IF(SUMIF('Prev Aub'!A:A,O1037,'Prev Aub'!B:B)=0,"",SUMIF('Prev Aub'!A:A,O1037,'Prev Aub'!B:B))</f>
        <v/>
      </c>
      <c r="AN1037" s="25" t="s">
        <v>3790</v>
      </c>
      <c r="AO1037" s="25" t="s">
        <v>3790</v>
      </c>
      <c r="AP1037" s="25">
        <f t="shared" si="454"/>
        <v>0</v>
      </c>
      <c r="AQ1037" s="151" t="str">
        <f>IF(SUMIFS('Supp Consol'!S:S,'Supp Consol'!A:A,O1037,'Supp Consol'!I:I,"PENDING")=0,"",SUMIFS('Supp Consol'!S:S,'Supp Consol'!A:A,O1037,'Supp Consol'!I:I,"PENDING"))</f>
        <v/>
      </c>
      <c r="AR1037" s="27" t="str">
        <f t="shared" si="455"/>
        <v>SG215</v>
      </c>
      <c r="AS1037" s="27" t="str">
        <f t="shared" si="456"/>
        <v>62</v>
      </c>
      <c r="AT1037" s="27" t="str">
        <f t="shared" si="457"/>
        <v/>
      </c>
      <c r="AU1037" s="27" t="str">
        <f t="shared" si="458"/>
        <v/>
      </c>
      <c r="AV1037" s="27" t="str">
        <f t="shared" si="459"/>
        <v/>
      </c>
      <c r="AW1037" s="27" t="str">
        <f t="shared" si="460"/>
        <v/>
      </c>
      <c r="AX1037" s="27" t="str">
        <f t="shared" si="461"/>
        <v/>
      </c>
      <c r="AY1037" s="27" t="str">
        <f t="shared" si="462"/>
        <v/>
      </c>
      <c r="AZ1037" s="27" t="str">
        <f t="shared" si="463"/>
        <v/>
      </c>
      <c r="BA1037" s="27" t="str">
        <f t="shared" si="464"/>
        <v/>
      </c>
      <c r="BB1037" s="27" t="str">
        <f t="shared" si="465"/>
        <v/>
      </c>
      <c r="BC1037" s="27" t="str">
        <f t="shared" si="466"/>
        <v/>
      </c>
      <c r="BD1037" s="27" t="str">
        <f t="shared" si="467"/>
        <v/>
      </c>
      <c r="BE1037" s="27" t="str">
        <f t="shared" si="468"/>
        <v/>
      </c>
      <c r="BF1037" s="27" t="str">
        <f t="shared" si="469"/>
        <v/>
      </c>
      <c r="BG1037" s="27" t="str">
        <f t="shared" si="470"/>
        <v/>
      </c>
      <c r="BH1037" s="27" t="str">
        <f t="shared" si="471"/>
        <v/>
      </c>
      <c r="BI1037" s="27" t="str">
        <f t="shared" si="472"/>
        <v/>
      </c>
      <c r="BJ1037" s="27" t="str">
        <f t="shared" si="473"/>
        <v/>
      </c>
      <c r="BK1037" s="27" t="str">
        <f t="shared" si="474"/>
        <v/>
      </c>
      <c r="BL1037" s="27" t="str">
        <f t="shared" si="475"/>
        <v/>
      </c>
      <c r="BM1037" s="21" t="s">
        <v>5581</v>
      </c>
    </row>
    <row r="1038" spans="1:65" ht="15">
      <c r="A1038" s="25" t="str">
        <f>IFERROR(INDEX('Hun Demand'!W:W,MATCH(O1038,'Hun Demand'!A:A,0)),"")</f>
        <v/>
      </c>
      <c r="B1038" s="25" t="str">
        <f>IFERROR(INDEX('Hun Demand'!V:V,MATCH(O1038,'Hun Demand'!A:A,0)),"")</f>
        <v/>
      </c>
      <c r="C1038" s="25" t="str">
        <f>IFERROR(INDEX('Hun Demand'!U:U,MATCH(O1038,'Hun Demand'!A:A,0)),"")</f>
        <v/>
      </c>
      <c r="D1038" s="25" t="str">
        <f>IFERROR(INDEX('Hun Demand'!T:T,MATCH(O1038,'Hun Demand'!A:A,0)),"")</f>
        <v/>
      </c>
      <c r="E1038" s="25" t="str">
        <f>IFERROR(INDEX('Hun Demand'!S:S,MATCH(O1038,'Hun Demand'!A:A,0)),"")</f>
        <v/>
      </c>
      <c r="F1038" s="25" t="str">
        <f>IFERROR(INDEX('Hun Demand'!R:R,MATCH(O1038,'Hun Demand'!A:A,0)),"")</f>
        <v/>
      </c>
      <c r="G1038" s="25">
        <f>IFERROR(INDEX('Aub Demand'!W:W,MATCH(O1038,'Aub Demand'!A:A,0)),"")</f>
        <v>0</v>
      </c>
      <c r="H1038" s="25">
        <f>IFERROR(INDEX('Aub Demand'!V:V,MATCH(O1038,'Aub Demand'!A:A,0)),"")</f>
        <v>0</v>
      </c>
      <c r="I1038" s="25">
        <f>IFERROR(INDEX('Aub Demand'!U:U,MATCH(O1038,'Aub Demand'!A:A,0)),"")</f>
        <v>0</v>
      </c>
      <c r="J1038" s="25">
        <f>IFERROR(INDEX('Aub Demand'!T:T,MATCH(O1038,'Aub Demand'!A:A,0)),"")</f>
        <v>0</v>
      </c>
      <c r="K1038" s="25">
        <f>IFERROR(INDEX('Aub Demand'!S:S,MATCH(O1038,'Aub Demand'!A:A,0)),"")</f>
        <v>39</v>
      </c>
      <c r="L1038" s="25">
        <f>IFERROR(INDEX('Aub Demand'!R:R,MATCH(O1038,'Aub Demand'!A:A,0)),"")</f>
        <v>0</v>
      </c>
      <c r="O1038" s="27" t="s">
        <v>5940</v>
      </c>
      <c r="P1038" s="27" t="str">
        <f>IFERROR(INDEX('Aub Demand'!B:B,MATCH($O1038,'Aub Demand'!$A:$A,0)),"")</f>
        <v>STONEDUST</v>
      </c>
      <c r="Q1038" s="27" t="str">
        <f>IFERROR(INDEX('Aub Demand'!C:C,MATCH($O1038,'Aub Demand'!$A:$A,0)),"")</f>
        <v>AHLST</v>
      </c>
      <c r="R1038" s="52">
        <f>IFERROR(IF(AR1039=AR1038,INDEX('Aub Demand'!K:K,MATCH($O1038,'Aub Demand'!$A:$A,0))-IF(AN1038="",0,AN1038)+AP1039,INDEX('Aub Demand'!K:K,MATCH($O1038,'Aub Demand'!$A:$A,0))-IF(AN1038="",0,AN1038)),"")</f>
        <v>0</v>
      </c>
      <c r="S1038" s="53">
        <f t="shared" si="448"/>
        <v>0</v>
      </c>
      <c r="T1038" s="52" t="str">
        <f t="shared" si="449"/>
        <v/>
      </c>
      <c r="U1038" s="52">
        <f>IFERROR(IF(AR1039=AR1038,INDEX('Aub Demand'!Q:Q,MATCH($O1038,'Aub Demand'!$A:$A,0))-IF(AN1038="",0,AN1038)+AP1039,INDEX('Aub Demand'!Q:Q,MATCH($O1038,'Aub Demand'!$A:$A,0))-IF(AN1038="",0,AN1038)),"")</f>
        <v>0</v>
      </c>
      <c r="V1038" s="53">
        <f t="shared" si="450"/>
        <v>0</v>
      </c>
      <c r="W1038" s="52" t="str">
        <f t="shared" si="451"/>
        <v/>
      </c>
      <c r="X1038" s="52">
        <f>IFERROR(IF(AND(AR1039=AR1038,AM1038&lt;&gt;""),INDEX('Aub Demand'!Q:Q,MATCH($O1038,'Aub Demand'!$A:$A,0))-IF(AN1038="",0,AN1038)+AP1039+AD1038+AL1038,IF(AR1039=AR1038,INDEX('Aub Demand'!Q:Q,MATCH($O1038,'Aub Demand'!$A:$A,0))-IF(AN1038="",0,AN1038)+AP1039+AD1038,IF(AM1038&lt;&gt;"",INDEX('Aub Demand'!Q:Q,MATCH($O1038,'Aub Demand'!$A:$A,0))-IF(AN1038="",0,AN1038)+AD1038+AL1038,INDEX('Aub Demand'!Q:Q,MATCH($O1038,'Aub Demand'!$A:$A,0))-IF(AN1038="",0,AN1038)+AD1038))),"")</f>
        <v>0</v>
      </c>
      <c r="Y1038" s="53">
        <f t="shared" si="452"/>
        <v>0</v>
      </c>
      <c r="Z1038" s="52">
        <f>IF(L1038="","",INDEX('Aub Demand'!H:H,MATCH($O1038,'Aub Demand'!$A:$A,0)))</f>
        <v>13</v>
      </c>
      <c r="AA1038" s="52" t="str">
        <f t="shared" si="453"/>
        <v>-spike-</v>
      </c>
      <c r="AB1038" s="52">
        <f>IFERROR(INDEX('Aub Demand'!L:L,MATCH($O1038,'Aub Demand'!$A:$A,0)),"")</f>
        <v>7</v>
      </c>
      <c r="AC1038" s="52">
        <f>IFERROR(IF(O1038="","",SUMIFS('CPL Mats'!F:F,'CPL Mats'!Q:Q,AR1038,'CPL Mats'!S:S,AS1038)),"")</f>
        <v>0</v>
      </c>
      <c r="AF1038" s="25" t="str">
        <f>IF(SUMIFS('Supp Consol'!S:S,'Supp Consol'!Y:Y,"Releasable",'Supp Consol'!A:A,O1038)=0,"",SUMIFS('Supp Consol'!S:S,'Supp Consol'!Y:Y,"Releasable",'Supp Consol'!A:A,O1038))</f>
        <v/>
      </c>
      <c r="AG1038" s="25" t="str">
        <f>IFERROR(INDEX('Hun Demand'!Q:Q,MATCH(O1038,'Hun Demand'!A:A,0)),"")</f>
        <v/>
      </c>
      <c r="AH1038" s="25" t="str">
        <f>IFERROR(INDEX('Hun Demand'!H:H,MATCH($O1038,'Hun Demand'!$A:$A,0)),"")</f>
        <v/>
      </c>
      <c r="AI1038" s="25" t="str">
        <f>IF(SUMIFS('Supp Consol'!AA:AA,'Supp Consol'!Z:Z,"Expires this month",'Supp Consol'!A:A,O1038)=0,"",SUMIFS('Supp Consol'!AA:AA,'Supp Consol'!Z:Z,"Expires this month",'Supp Consol'!A:A,O1038))</f>
        <v/>
      </c>
      <c r="AJ1038" s="25" t="str">
        <f>IF(SUMIFS('Supp Consol'!AA:AA,'Supp Consol'!Z:Z,"Expired Previous Months",'Supp Consol'!A:A,O1038)=0,"",SUMIFS('Supp Consol'!AA:AA,'Supp Consol'!Z:Z,"Expired Previous Months",'Supp Consol'!A:A,O1038))</f>
        <v/>
      </c>
      <c r="AK1038" s="25" t="str">
        <f>IFERROR(INDEX('Hun Release Current'!B:B,MATCH(O1038,'Hun Release Current'!A:A,0)),"")</f>
        <v/>
      </c>
      <c r="AL1038" s="25" t="str">
        <f>IF(SUMIF('Prev Aub'!A:A,O1038,'Prev Aub'!B:B)=0,"",SUMIF('Prev Aub'!A:A,O1038,'Prev Aub'!B:B))</f>
        <v/>
      </c>
      <c r="AN1038" s="25" t="s">
        <v>3790</v>
      </c>
      <c r="AO1038" s="25" t="s">
        <v>3790</v>
      </c>
      <c r="AP1038" s="25">
        <f t="shared" si="454"/>
        <v>0</v>
      </c>
      <c r="AQ1038" s="151" t="str">
        <f>IF(SUMIFS('Supp Consol'!S:S,'Supp Consol'!A:A,O1038,'Supp Consol'!I:I,"PENDING")=0,"",SUMIFS('Supp Consol'!S:S,'Supp Consol'!A:A,O1038,'Supp Consol'!I:I,"PENDING"))</f>
        <v/>
      </c>
      <c r="AR1038" s="27" t="str">
        <f t="shared" si="455"/>
        <v>SG224</v>
      </c>
      <c r="AS1038" s="27" t="str">
        <f t="shared" si="456"/>
        <v>37</v>
      </c>
      <c r="AT1038" s="27" t="str">
        <f t="shared" si="457"/>
        <v>SG224</v>
      </c>
      <c r="AU1038" s="27" t="str">
        <f t="shared" si="458"/>
        <v>SG224</v>
      </c>
      <c r="AV1038" s="27" t="str">
        <f t="shared" si="459"/>
        <v>SG224</v>
      </c>
      <c r="AW1038" s="27" t="str">
        <f t="shared" si="460"/>
        <v/>
      </c>
      <c r="AX1038" s="27" t="str">
        <f t="shared" si="461"/>
        <v/>
      </c>
      <c r="AY1038" s="27" t="str">
        <f t="shared" si="462"/>
        <v/>
      </c>
      <c r="AZ1038" s="27" t="str">
        <f t="shared" si="463"/>
        <v>Supp</v>
      </c>
      <c r="BA1038" s="27" t="str">
        <f t="shared" si="464"/>
        <v>Hun</v>
      </c>
      <c r="BB1038" s="27" t="str">
        <f t="shared" si="465"/>
        <v>Gross</v>
      </c>
      <c r="BC1038" s="27" t="str">
        <f t="shared" si="466"/>
        <v>Net</v>
      </c>
      <c r="BD1038" s="27" t="str">
        <f t="shared" si="467"/>
        <v>Net</v>
      </c>
      <c r="BE1038" s="27" t="str">
        <f t="shared" si="468"/>
        <v/>
      </c>
      <c r="BF1038" s="27" t="str">
        <f t="shared" si="469"/>
        <v>S+N</v>
      </c>
      <c r="BG1038" s="27" t="str">
        <f t="shared" si="470"/>
        <v>S+NorE</v>
      </c>
      <c r="BH1038" s="27" t="str">
        <f t="shared" si="471"/>
        <v>H+N</v>
      </c>
      <c r="BI1038" s="27" t="str">
        <f t="shared" si="472"/>
        <v>H+Nex</v>
      </c>
      <c r="BJ1038" s="27" t="str">
        <f t="shared" si="473"/>
        <v>Supp or Hun</v>
      </c>
      <c r="BK1038" s="27" t="str">
        <f t="shared" si="474"/>
        <v>Supp or Hun Need</v>
      </c>
      <c r="BL1038" s="27" t="str">
        <f t="shared" si="475"/>
        <v>SorHandNandE</v>
      </c>
      <c r="BM1038" s="21" t="s">
        <v>3790</v>
      </c>
    </row>
    <row r="1039" spans="1:65" ht="15">
      <c r="A1039" s="25">
        <f>IFERROR(INDEX('Hun Demand'!W:W,MATCH(O1039,'Hun Demand'!A:A,0)),"")</f>
        <v>258</v>
      </c>
      <c r="B1039" s="25">
        <f>IFERROR(INDEX('Hun Demand'!V:V,MATCH(O1039,'Hun Demand'!A:A,0)),"")</f>
        <v>0</v>
      </c>
      <c r="C1039" s="25">
        <f>IFERROR(INDEX('Hun Demand'!U:U,MATCH(O1039,'Hun Demand'!A:A,0)),"")</f>
        <v>0</v>
      </c>
      <c r="D1039" s="25">
        <f>IFERROR(INDEX('Hun Demand'!T:T,MATCH(O1039,'Hun Demand'!A:A,0)),"")</f>
        <v>0</v>
      </c>
      <c r="E1039" s="25">
        <f>IFERROR(INDEX('Hun Demand'!S:S,MATCH(O1039,'Hun Demand'!A:A,0)),"")</f>
        <v>430</v>
      </c>
      <c r="F1039" s="25">
        <f>IFERROR(INDEX('Hun Demand'!R:R,MATCH(O1039,'Hun Demand'!A:A,0)),"")</f>
        <v>160</v>
      </c>
      <c r="G1039" s="25">
        <f>IFERROR(INDEX('Aub Demand'!W:W,MATCH(O1039,'Aub Demand'!A:A,0)),"")</f>
        <v>557</v>
      </c>
      <c r="H1039" s="25">
        <f>IFERROR(INDEX('Aub Demand'!V:V,MATCH(O1039,'Aub Demand'!A:A,0)),"")</f>
        <v>120</v>
      </c>
      <c r="I1039" s="25">
        <f>IFERROR(INDEX('Aub Demand'!U:U,MATCH(O1039,'Aub Demand'!A:A,0)),"")</f>
        <v>302</v>
      </c>
      <c r="J1039" s="25">
        <f>IFERROR(INDEX('Aub Demand'!T:T,MATCH(O1039,'Aub Demand'!A:A,0)),"")</f>
        <v>234</v>
      </c>
      <c r="K1039" s="25">
        <f>IFERROR(INDEX('Aub Demand'!S:S,MATCH(O1039,'Aub Demand'!A:A,0)),"")</f>
        <v>474</v>
      </c>
      <c r="L1039" s="25">
        <f>IFERROR(INDEX('Aub Demand'!R:R,MATCH(O1039,'Aub Demand'!A:A,0)),"")</f>
        <v>0</v>
      </c>
      <c r="O1039" s="27" t="s">
        <v>1433</v>
      </c>
      <c r="P1039" s="27" t="str">
        <f>IFERROR(INDEX('Aub Demand'!B:B,MATCH($O1039,'Aub Demand'!$A:$A,0)),"")</f>
        <v>STONEDUST</v>
      </c>
      <c r="Q1039" s="27" t="str">
        <f>IFERROR(INDEX('Aub Demand'!C:C,MATCH($O1039,'Aub Demand'!$A:$A,0)),"")</f>
        <v>AHLST</v>
      </c>
      <c r="R1039" s="52">
        <f>IFERROR(IF(AR1040=AR1039,INDEX('Aub Demand'!K:K,MATCH($O1039,'Aub Demand'!$A:$A,0))-IF(AN1039="",0,AN1039)+AP1040,INDEX('Aub Demand'!K:K,MATCH($O1039,'Aub Demand'!$A:$A,0))-IF(AN1039="",0,AN1039)),"")</f>
        <v>0</v>
      </c>
      <c r="S1039" s="53">
        <f t="shared" si="448"/>
        <v>0</v>
      </c>
      <c r="T1039" s="52">
        <f t="shared" si="449"/>
        <v>291</v>
      </c>
      <c r="U1039" s="52">
        <f>IFERROR(IF(AR1040=AR1039,INDEX('Aub Demand'!Q:Q,MATCH($O1039,'Aub Demand'!$A:$A,0))-IF(AN1039="",0,AN1039)+AP1040,INDEX('Aub Demand'!Q:Q,MATCH($O1039,'Aub Demand'!$A:$A,0))-IF(AN1039="",0,AN1039)),"")</f>
        <v>-325</v>
      </c>
      <c r="V1039" s="53">
        <f t="shared" si="450"/>
        <v>-4.0999999999999996</v>
      </c>
      <c r="W1039" s="52">
        <f t="shared" si="451"/>
        <v>688.69999999999993</v>
      </c>
      <c r="X1039" s="52">
        <f>IFERROR(IF(AND(AR1040=AR1039,AM1039&lt;&gt;""),INDEX('Aub Demand'!Q:Q,MATCH($O1039,'Aub Demand'!$A:$A,0))-IF(AN1039="",0,AN1039)+AP1040+AD1039+AL1039,IF(AR1040=AR1039,INDEX('Aub Demand'!Q:Q,MATCH($O1039,'Aub Demand'!$A:$A,0))-IF(AN1039="",0,AN1039)+AP1040+AD1039,IF(AM1039&lt;&gt;"",INDEX('Aub Demand'!Q:Q,MATCH($O1039,'Aub Demand'!$A:$A,0))-IF(AN1039="",0,AN1039)+AD1039+AL1039,INDEX('Aub Demand'!Q:Q,MATCH($O1039,'Aub Demand'!$A:$A,0))-IF(AN1039="",0,AN1039)+AD1039))),"")</f>
        <v>175</v>
      </c>
      <c r="Y1039" s="53">
        <f t="shared" si="452"/>
        <v>2.2000000000000002</v>
      </c>
      <c r="Z1039" s="52">
        <f>IF(L1039="","",INDEX('Aub Demand'!H:H,MATCH($O1039,'Aub Demand'!$A:$A,0)))</f>
        <v>337</v>
      </c>
      <c r="AA1039" s="52">
        <f t="shared" si="453"/>
        <v>388</v>
      </c>
      <c r="AB1039" s="52">
        <f>IFERROR(INDEX('Aub Demand'!L:L,MATCH($O1039,'Aub Demand'!$A:$A,0)),"")</f>
        <v>435</v>
      </c>
      <c r="AC1039" s="52">
        <f>IFERROR(IF(O1039="","",SUMIFS('CPL Mats'!F:F,'CPL Mats'!Q:Q,AR1039,'CPL Mats'!S:S,AS1039)),"")</f>
        <v>0</v>
      </c>
      <c r="AD1039" s="25">
        <v>500</v>
      </c>
      <c r="AE1039" s="52" t="s">
        <v>5583</v>
      </c>
      <c r="AF1039" s="25">
        <f>IF(SUMIFS('Supp Consol'!S:S,'Supp Consol'!Y:Y,"Releasable",'Supp Consol'!A:A,O1039)=0,"",SUMIFS('Supp Consol'!S:S,'Supp Consol'!Y:Y,"Releasable",'Supp Consol'!A:A,O1039))</f>
        <v>1554</v>
      </c>
      <c r="AG1039" s="25">
        <f>IFERROR(INDEX('Hun Demand'!Q:Q,MATCH(O1039,'Hun Demand'!A:A,0)),"")</f>
        <v>-40</v>
      </c>
      <c r="AH1039" s="25">
        <f>IFERROR(INDEX('Hun Demand'!H:H,MATCH($O1039,'Hun Demand'!$A:$A,0)),"")</f>
        <v>143</v>
      </c>
      <c r="AI1039" s="25" t="str">
        <f>IF(SUMIFS('Supp Consol'!AA:AA,'Supp Consol'!Z:Z,"Expires this month",'Supp Consol'!A:A,O1039)=0,"",SUMIFS('Supp Consol'!AA:AA,'Supp Consol'!Z:Z,"Expires this month",'Supp Consol'!A:A,O1039))</f>
        <v/>
      </c>
      <c r="AJ1039" s="25" t="str">
        <f>IF(SUMIFS('Supp Consol'!AA:AA,'Supp Consol'!Z:Z,"Expired Previous Months",'Supp Consol'!A:A,O1039)=0,"",SUMIFS('Supp Consol'!AA:AA,'Supp Consol'!Z:Z,"Expired Previous Months",'Supp Consol'!A:A,O1039))</f>
        <v/>
      </c>
      <c r="AK1039" s="25" t="str">
        <f>IFERROR(INDEX('Hun Release Current'!B:B,MATCH(O1039,'Hun Release Current'!A:A,0)),"")</f>
        <v/>
      </c>
      <c r="AL1039" s="25" t="str">
        <f>IF(SUMIF('Prev Aub'!A:A,O1039,'Prev Aub'!B:B)=0,"",SUMIF('Prev Aub'!A:A,O1039,'Prev Aub'!B:B))</f>
        <v/>
      </c>
      <c r="AN1039" s="25" t="s">
        <v>3790</v>
      </c>
      <c r="AO1039" s="25" t="s">
        <v>3790</v>
      </c>
      <c r="AP1039" s="25">
        <f t="shared" si="454"/>
        <v>0</v>
      </c>
      <c r="AQ1039" s="151" t="str">
        <f>IF(SUMIFS('Supp Consol'!S:S,'Supp Consol'!A:A,O1039,'Supp Consol'!I:I,"PENDING")=0,"",SUMIFS('Supp Consol'!S:S,'Supp Consol'!A:A,O1039,'Supp Consol'!I:I,"PENDING"))</f>
        <v/>
      </c>
      <c r="AR1039" s="27" t="str">
        <f t="shared" si="455"/>
        <v>SG224</v>
      </c>
      <c r="AS1039" s="27" t="str">
        <f t="shared" si="456"/>
        <v>50</v>
      </c>
      <c r="AT1039" s="27" t="str">
        <f t="shared" si="457"/>
        <v>SG224</v>
      </c>
      <c r="AU1039" s="27" t="str">
        <f t="shared" si="458"/>
        <v>SG224</v>
      </c>
      <c r="AV1039" s="27" t="str">
        <f t="shared" si="459"/>
        <v>SG224</v>
      </c>
      <c r="AW1039" s="27" t="str">
        <f t="shared" si="460"/>
        <v/>
      </c>
      <c r="AX1039" s="27" t="str">
        <f t="shared" si="461"/>
        <v>SG224</v>
      </c>
      <c r="AY1039" s="27" t="str">
        <f t="shared" si="462"/>
        <v/>
      </c>
      <c r="AZ1039" s="27" t="str">
        <f t="shared" si="463"/>
        <v>Supp</v>
      </c>
      <c r="BA1039" s="27" t="str">
        <f t="shared" si="464"/>
        <v>Hun</v>
      </c>
      <c r="BB1039" s="27" t="str">
        <f t="shared" si="465"/>
        <v>Gross</v>
      </c>
      <c r="BC1039" s="27" t="str">
        <f t="shared" si="466"/>
        <v>Net</v>
      </c>
      <c r="BD1039" s="27" t="str">
        <f t="shared" si="467"/>
        <v>Net</v>
      </c>
      <c r="BE1039" s="27" t="str">
        <f t="shared" si="468"/>
        <v/>
      </c>
      <c r="BF1039" s="27" t="str">
        <f t="shared" si="469"/>
        <v>S+N</v>
      </c>
      <c r="BG1039" s="27" t="str">
        <f t="shared" si="470"/>
        <v>S+NorE</v>
      </c>
      <c r="BH1039" s="27" t="str">
        <f t="shared" si="471"/>
        <v>H+N</v>
      </c>
      <c r="BI1039" s="27" t="str">
        <f t="shared" si="472"/>
        <v>H+Nex</v>
      </c>
      <c r="BJ1039" s="27" t="str">
        <f t="shared" si="473"/>
        <v>Supp or Hun</v>
      </c>
      <c r="BK1039" s="27" t="str">
        <f t="shared" si="474"/>
        <v>Supp or Hun Need</v>
      </c>
      <c r="BL1039" s="27" t="str">
        <f t="shared" si="475"/>
        <v>SorHandNandE</v>
      </c>
      <c r="BM1039" s="21" t="s">
        <v>5581</v>
      </c>
    </row>
    <row r="1040" spans="1:65" ht="15">
      <c r="A1040" s="25">
        <f>IFERROR(INDEX('Hun Demand'!W:W,MATCH(O1040,'Hun Demand'!A:A,0)),"")</f>
        <v>0</v>
      </c>
      <c r="B1040" s="25">
        <f>IFERROR(INDEX('Hun Demand'!V:V,MATCH(O1040,'Hun Demand'!A:A,0)),"")</f>
        <v>0</v>
      </c>
      <c r="C1040" s="25">
        <f>IFERROR(INDEX('Hun Demand'!U:U,MATCH(O1040,'Hun Demand'!A:A,0)),"")</f>
        <v>119</v>
      </c>
      <c r="D1040" s="25">
        <f>IFERROR(INDEX('Hun Demand'!T:T,MATCH(O1040,'Hun Demand'!A:A,0)),"")</f>
        <v>0</v>
      </c>
      <c r="E1040" s="25">
        <f>IFERROR(INDEX('Hun Demand'!S:S,MATCH(O1040,'Hun Demand'!A:A,0)),"")</f>
        <v>502</v>
      </c>
      <c r="F1040" s="25">
        <f>IFERROR(INDEX('Hun Demand'!R:R,MATCH(O1040,'Hun Demand'!A:A,0)),"")</f>
        <v>0</v>
      </c>
      <c r="G1040" s="25">
        <f>IFERROR(INDEX('Aub Demand'!W:W,MATCH(O1040,'Aub Demand'!A:A,0)),"")</f>
        <v>333</v>
      </c>
      <c r="H1040" s="25">
        <f>IFERROR(INDEX('Aub Demand'!V:V,MATCH(O1040,'Aub Demand'!A:A,0)),"")</f>
        <v>0</v>
      </c>
      <c r="I1040" s="25">
        <f>IFERROR(INDEX('Aub Demand'!U:U,MATCH(O1040,'Aub Demand'!A:A,0)),"")</f>
        <v>225</v>
      </c>
      <c r="J1040" s="25">
        <f>IFERROR(INDEX('Aub Demand'!T:T,MATCH(O1040,'Aub Demand'!A:A,0)),"")</f>
        <v>481</v>
      </c>
      <c r="K1040" s="25">
        <f>IFERROR(INDEX('Aub Demand'!S:S,MATCH(O1040,'Aub Demand'!A:A,0)),"")</f>
        <v>154</v>
      </c>
      <c r="L1040" s="25">
        <f>IFERROR(INDEX('Aub Demand'!R:R,MATCH(O1040,'Aub Demand'!A:A,0)),"")</f>
        <v>0</v>
      </c>
      <c r="O1040" s="27" t="s">
        <v>1435</v>
      </c>
      <c r="P1040" s="27" t="str">
        <f>IFERROR(INDEX('Aub Demand'!B:B,MATCH($O1040,'Aub Demand'!$A:$A,0)),"")</f>
        <v>STONEDUST</v>
      </c>
      <c r="Q1040" s="27" t="str">
        <f>IFERROR(INDEX('Aub Demand'!C:C,MATCH($O1040,'Aub Demand'!$A:$A,0)),"")</f>
        <v>AHLST</v>
      </c>
      <c r="R1040" s="52">
        <f>IFERROR(IF(AR1041=AR1040,INDEX('Aub Demand'!K:K,MATCH($O1040,'Aub Demand'!$A:$A,0))-IF(AN1040="",0,AN1040)+AP1041,INDEX('Aub Demand'!K:K,MATCH($O1040,'Aub Demand'!$A:$A,0))-IF(AN1040="",0,AN1040)),"")</f>
        <v>2624</v>
      </c>
      <c r="S1040" s="53">
        <f t="shared" si="448"/>
        <v>39.200000000000003</v>
      </c>
      <c r="T1040" s="52" t="str">
        <f t="shared" si="449"/>
        <v/>
      </c>
      <c r="U1040" s="52">
        <f>IFERROR(IF(AR1041=AR1040,INDEX('Aub Demand'!Q:Q,MATCH($O1040,'Aub Demand'!$A:$A,0))-IF(AN1040="",0,AN1040)+AP1041,INDEX('Aub Demand'!Q:Q,MATCH($O1040,'Aub Demand'!$A:$A,0))-IF(AN1040="",0,AN1040)),"")</f>
        <v>2598</v>
      </c>
      <c r="V1040" s="53">
        <f t="shared" si="450"/>
        <v>38.799999999999997</v>
      </c>
      <c r="W1040" s="52" t="str">
        <f t="shared" si="451"/>
        <v/>
      </c>
      <c r="X1040" s="52">
        <f>IFERROR(IF(AND(AR1041=AR1040,AM1040&lt;&gt;""),INDEX('Aub Demand'!Q:Q,MATCH($O1040,'Aub Demand'!$A:$A,0))-IF(AN1040="",0,AN1040)+AP1041+AD1040+AL1040,IF(AR1041=AR1040,INDEX('Aub Demand'!Q:Q,MATCH($O1040,'Aub Demand'!$A:$A,0))-IF(AN1040="",0,AN1040)+AP1041+AD1040,IF(AM1040&lt;&gt;"",INDEX('Aub Demand'!Q:Q,MATCH($O1040,'Aub Demand'!$A:$A,0))-IF(AN1040="",0,AN1040)+AD1040+AL1040,INDEX('Aub Demand'!Q:Q,MATCH($O1040,'Aub Demand'!$A:$A,0))-IF(AN1040="",0,AN1040)+AD1040))),"")</f>
        <v>2598</v>
      </c>
      <c r="Y1040" s="53">
        <f t="shared" si="452"/>
        <v>38.799999999999997</v>
      </c>
      <c r="Z1040" s="52">
        <f>IF(L1040="","",INDEX('Aub Demand'!H:H,MATCH($O1040,'Aub Demand'!$A:$A,0)))</f>
        <v>287</v>
      </c>
      <c r="AA1040" s="52">
        <f t="shared" si="453"/>
        <v>353</v>
      </c>
      <c r="AB1040" s="52">
        <f>IFERROR(INDEX('Aub Demand'!L:L,MATCH($O1040,'Aub Demand'!$A:$A,0)),"")</f>
        <v>324</v>
      </c>
      <c r="AC1040" s="52">
        <f>IFERROR(IF(O1040="","",SUMIFS('CPL Mats'!F:F,'CPL Mats'!Q:Q,AR1040,'CPL Mats'!S:S,AS1040)),"")</f>
        <v>0</v>
      </c>
      <c r="AF1040" s="25" t="str">
        <f>IF(SUMIFS('Supp Consol'!S:S,'Supp Consol'!Y:Y,"Releasable",'Supp Consol'!A:A,O1040)=0,"",SUMIFS('Supp Consol'!S:S,'Supp Consol'!Y:Y,"Releasable",'Supp Consol'!A:A,O1040))</f>
        <v/>
      </c>
      <c r="AG1040" s="25">
        <f>IFERROR(INDEX('Hun Demand'!Q:Q,MATCH(O1040,'Hun Demand'!A:A,0)),"")</f>
        <v>244</v>
      </c>
      <c r="AH1040" s="25">
        <f>IFERROR(INDEX('Hun Demand'!H:H,MATCH($O1040,'Hun Demand'!$A:$A,0)),"")</f>
        <v>207</v>
      </c>
      <c r="AI1040" s="25" t="str">
        <f>IF(SUMIFS('Supp Consol'!AA:AA,'Supp Consol'!Z:Z,"Expires this month",'Supp Consol'!A:A,O1040)=0,"",SUMIFS('Supp Consol'!AA:AA,'Supp Consol'!Z:Z,"Expires this month",'Supp Consol'!A:A,O1040))</f>
        <v/>
      </c>
      <c r="AJ1040" s="25" t="str">
        <f>IF(SUMIFS('Supp Consol'!AA:AA,'Supp Consol'!Z:Z,"Expired Previous Months",'Supp Consol'!A:A,O1040)=0,"",SUMIFS('Supp Consol'!AA:AA,'Supp Consol'!Z:Z,"Expired Previous Months",'Supp Consol'!A:A,O1040))</f>
        <v/>
      </c>
      <c r="AK1040" s="25" t="str">
        <f>IFERROR(INDEX('Hun Release Current'!B:B,MATCH(O1040,'Hun Release Current'!A:A,0)),"")</f>
        <v/>
      </c>
      <c r="AL1040" s="25" t="str">
        <f>IF(SUMIF('Prev Aub'!A:A,O1040,'Prev Aub'!B:B)=0,"",SUMIF('Prev Aub'!A:A,O1040,'Prev Aub'!B:B))</f>
        <v/>
      </c>
      <c r="AO1040" s="25" t="s">
        <v>3790</v>
      </c>
      <c r="AP1040" s="25">
        <f t="shared" si="454"/>
        <v>0</v>
      </c>
      <c r="AQ1040" s="151" t="str">
        <f>IF(SUMIFS('Supp Consol'!S:S,'Supp Consol'!A:A,O1040,'Supp Consol'!I:I,"PENDING")=0,"",SUMIFS('Supp Consol'!S:S,'Supp Consol'!A:A,O1040,'Supp Consol'!I:I,"PENDING"))</f>
        <v/>
      </c>
      <c r="AR1040" s="27" t="str">
        <f t="shared" si="455"/>
        <v>SG224</v>
      </c>
      <c r="AS1040" s="27" t="str">
        <f t="shared" si="456"/>
        <v>62</v>
      </c>
      <c r="AT1040" s="27" t="str">
        <f t="shared" si="457"/>
        <v/>
      </c>
      <c r="AU1040" s="27" t="str">
        <f t="shared" si="458"/>
        <v/>
      </c>
      <c r="AV1040" s="27" t="str">
        <f t="shared" si="459"/>
        <v/>
      </c>
      <c r="AW1040" s="27" t="str">
        <f t="shared" si="460"/>
        <v/>
      </c>
      <c r="AX1040" s="27" t="str">
        <f t="shared" si="461"/>
        <v/>
      </c>
      <c r="AY1040" s="27" t="str">
        <f t="shared" si="462"/>
        <v>SG224</v>
      </c>
      <c r="AZ1040" s="27" t="str">
        <f t="shared" si="463"/>
        <v>Supp</v>
      </c>
      <c r="BA1040" s="27" t="str">
        <f t="shared" si="464"/>
        <v>Hun</v>
      </c>
      <c r="BB1040" s="27" t="str">
        <f t="shared" si="465"/>
        <v>Gross</v>
      </c>
      <c r="BC1040" s="27" t="str">
        <f t="shared" si="466"/>
        <v>Net</v>
      </c>
      <c r="BD1040" s="27" t="str">
        <f t="shared" si="467"/>
        <v>Net</v>
      </c>
      <c r="BE1040" s="27" t="str">
        <f t="shared" si="468"/>
        <v/>
      </c>
      <c r="BF1040" s="27" t="str">
        <f t="shared" si="469"/>
        <v>S+N</v>
      </c>
      <c r="BG1040" s="27" t="str">
        <f t="shared" si="470"/>
        <v>S+NorE</v>
      </c>
      <c r="BH1040" s="27" t="str">
        <f t="shared" si="471"/>
        <v>H+N</v>
      </c>
      <c r="BI1040" s="27" t="str">
        <f t="shared" si="472"/>
        <v>H+Nex</v>
      </c>
      <c r="BJ1040" s="27" t="str">
        <f t="shared" si="473"/>
        <v>Supp or Hun</v>
      </c>
      <c r="BK1040" s="27" t="str">
        <f t="shared" si="474"/>
        <v>Supp or Hun Need</v>
      </c>
      <c r="BL1040" s="27" t="str">
        <f t="shared" si="475"/>
        <v>SorHandNandE</v>
      </c>
      <c r="BM1040" s="21" t="s">
        <v>5581</v>
      </c>
    </row>
    <row r="1041" spans="1:65" ht="15">
      <c r="A1041" s="25" t="str">
        <f>IFERROR(INDEX('Hun Demand'!W:W,MATCH(O1041,'Hun Demand'!A:A,0)),"")</f>
        <v/>
      </c>
      <c r="B1041" s="25" t="str">
        <f>IFERROR(INDEX('Hun Demand'!V:V,MATCH(O1041,'Hun Demand'!A:A,0)),"")</f>
        <v/>
      </c>
      <c r="C1041" s="25" t="str">
        <f>IFERROR(INDEX('Hun Demand'!U:U,MATCH(O1041,'Hun Demand'!A:A,0)),"")</f>
        <v/>
      </c>
      <c r="D1041" s="25" t="str">
        <f>IFERROR(INDEX('Hun Demand'!T:T,MATCH(O1041,'Hun Demand'!A:A,0)),"")</f>
        <v/>
      </c>
      <c r="E1041" s="25" t="str">
        <f>IFERROR(INDEX('Hun Demand'!S:S,MATCH(O1041,'Hun Demand'!A:A,0)),"")</f>
        <v/>
      </c>
      <c r="F1041" s="25" t="str">
        <f>IFERROR(INDEX('Hun Demand'!R:R,MATCH(O1041,'Hun Demand'!A:A,0)),"")</f>
        <v/>
      </c>
      <c r="G1041" s="25">
        <f>IFERROR(INDEX('Aub Demand'!W:W,MATCH(O1041,'Aub Demand'!A:A,0)),"")</f>
        <v>0</v>
      </c>
      <c r="H1041" s="25">
        <f>IFERROR(INDEX('Aub Demand'!V:V,MATCH(O1041,'Aub Demand'!A:A,0)),"")</f>
        <v>130</v>
      </c>
      <c r="I1041" s="25">
        <f>IFERROR(INDEX('Aub Demand'!U:U,MATCH(O1041,'Aub Demand'!A:A,0)),"")</f>
        <v>145</v>
      </c>
      <c r="J1041" s="25">
        <f>IFERROR(INDEX('Aub Demand'!T:T,MATCH(O1041,'Aub Demand'!A:A,0)),"")</f>
        <v>289</v>
      </c>
      <c r="K1041" s="25">
        <f>IFERROR(INDEX('Aub Demand'!S:S,MATCH(O1041,'Aub Demand'!A:A,0)),"")</f>
        <v>263</v>
      </c>
      <c r="L1041" s="25">
        <f>IFERROR(INDEX('Aub Demand'!R:R,MATCH(O1041,'Aub Demand'!A:A,0)),"")</f>
        <v>0</v>
      </c>
      <c r="O1041" s="27" t="s">
        <v>1436</v>
      </c>
      <c r="P1041" s="27" t="str">
        <f>IFERROR(INDEX('Aub Demand'!B:B,MATCH($O1041,'Aub Demand'!$A:$A,0)),"")</f>
        <v>SLATE</v>
      </c>
      <c r="Q1041" s="27" t="str">
        <f>IFERROR(INDEX('Aub Demand'!C:C,MATCH($O1041,'Aub Demand'!$A:$A,0)),"")</f>
        <v>ONYX</v>
      </c>
      <c r="R1041" s="52">
        <f>IFERROR(IF(AR1042=AR1041,INDEX('Aub Demand'!K:K,MATCH($O1041,'Aub Demand'!$A:$A,0))-IF(AN1041="",0,AN1041)+AP1042,INDEX('Aub Demand'!K:K,MATCH($O1041,'Aub Demand'!$A:$A,0))-IF(AN1041="",0,AN1041)),"")</f>
        <v>1859</v>
      </c>
      <c r="S1041" s="53">
        <f t="shared" si="448"/>
        <v>34.299999999999997</v>
      </c>
      <c r="T1041" s="52" t="str">
        <f t="shared" si="449"/>
        <v/>
      </c>
      <c r="U1041" s="52">
        <f>IFERROR(IF(AR1042=AR1041,INDEX('Aub Demand'!Q:Q,MATCH($O1041,'Aub Demand'!$A:$A,0))-IF(AN1041="",0,AN1041)+AP1042,INDEX('Aub Demand'!Q:Q,MATCH($O1041,'Aub Demand'!$A:$A,0))-IF(AN1041="",0,AN1041)),"")</f>
        <v>1741</v>
      </c>
      <c r="V1041" s="53">
        <f t="shared" si="450"/>
        <v>32.200000000000003</v>
      </c>
      <c r="W1041" s="52" t="str">
        <f t="shared" si="451"/>
        <v/>
      </c>
      <c r="X1041" s="52">
        <f>IFERROR(IF(AND(AR1042=AR1041,AM1041&lt;&gt;""),INDEX('Aub Demand'!Q:Q,MATCH($O1041,'Aub Demand'!$A:$A,0))-IF(AN1041="",0,AN1041)+AP1042+AD1041+AL1041,IF(AR1042=AR1041,INDEX('Aub Demand'!Q:Q,MATCH($O1041,'Aub Demand'!$A:$A,0))-IF(AN1041="",0,AN1041)+AP1042+AD1041,IF(AM1041&lt;&gt;"",INDEX('Aub Demand'!Q:Q,MATCH($O1041,'Aub Demand'!$A:$A,0))-IF(AN1041="",0,AN1041)+AD1041+AL1041,INDEX('Aub Demand'!Q:Q,MATCH($O1041,'Aub Demand'!$A:$A,0))-IF(AN1041="",0,AN1041)+AD1041))),"")</f>
        <v>1741</v>
      </c>
      <c r="Y1041" s="53">
        <f t="shared" si="452"/>
        <v>32.200000000000003</v>
      </c>
      <c r="Z1041" s="52">
        <f>IF(L1041="","",INDEX('Aub Demand'!H:H,MATCH($O1041,'Aub Demand'!$A:$A,0)))</f>
        <v>232</v>
      </c>
      <c r="AA1041" s="52">
        <f t="shared" si="453"/>
        <v>276</v>
      </c>
      <c r="AB1041" s="52">
        <f>IFERROR(INDEX('Aub Demand'!L:L,MATCH($O1041,'Aub Demand'!$A:$A,0)),"")</f>
        <v>333</v>
      </c>
      <c r="AC1041" s="52">
        <f>IFERROR(IF(O1041="","",SUMIFS('CPL Mats'!F:F,'CPL Mats'!Q:Q,AR1041,'CPL Mats'!S:S,AS1041)),"")</f>
        <v>0</v>
      </c>
      <c r="AF1041" s="25" t="str">
        <f>IF(SUMIFS('Supp Consol'!S:S,'Supp Consol'!Y:Y,"Releasable",'Supp Consol'!A:A,O1041)=0,"",SUMIFS('Supp Consol'!S:S,'Supp Consol'!Y:Y,"Releasable",'Supp Consol'!A:A,O1041))</f>
        <v/>
      </c>
      <c r="AG1041" s="25" t="str">
        <f>IFERROR(INDEX('Hun Demand'!Q:Q,MATCH(O1041,'Hun Demand'!A:A,0)),"")</f>
        <v/>
      </c>
      <c r="AH1041" s="25" t="str">
        <f>IFERROR(INDEX('Hun Demand'!H:H,MATCH($O1041,'Hun Demand'!$A:$A,0)),"")</f>
        <v/>
      </c>
      <c r="AI1041" s="25" t="str">
        <f>IF(SUMIFS('Supp Consol'!AA:AA,'Supp Consol'!Z:Z,"Expires this month",'Supp Consol'!A:A,O1041)=0,"",SUMIFS('Supp Consol'!AA:AA,'Supp Consol'!Z:Z,"Expires this month",'Supp Consol'!A:A,O1041))</f>
        <v/>
      </c>
      <c r="AJ1041" s="25" t="str">
        <f>IF(SUMIFS('Supp Consol'!AA:AA,'Supp Consol'!Z:Z,"Expired Previous Months",'Supp Consol'!A:A,O1041)=0,"",SUMIFS('Supp Consol'!AA:AA,'Supp Consol'!Z:Z,"Expired Previous Months",'Supp Consol'!A:A,O1041))</f>
        <v/>
      </c>
      <c r="AK1041" s="25" t="str">
        <f>IFERROR(INDEX('Hun Release Current'!B:B,MATCH(O1041,'Hun Release Current'!A:A,0)),"")</f>
        <v/>
      </c>
      <c r="AL1041" s="25" t="str">
        <f>IF(SUMIF('Prev Aub'!A:A,O1041,'Prev Aub'!B:B)=0,"",SUMIF('Prev Aub'!A:A,O1041,'Prev Aub'!B:B))</f>
        <v/>
      </c>
      <c r="AN1041" s="25" t="s">
        <v>3790</v>
      </c>
      <c r="AO1041" s="25" t="s">
        <v>3790</v>
      </c>
      <c r="AP1041" s="25">
        <f t="shared" si="454"/>
        <v>0</v>
      </c>
      <c r="AQ1041" s="151" t="str">
        <f>IF(SUMIFS('Supp Consol'!S:S,'Supp Consol'!A:A,O1041,'Supp Consol'!I:I,"PENDING")=0,"",SUMIFS('Supp Consol'!S:S,'Supp Consol'!A:A,O1041,'Supp Consol'!I:I,"PENDING"))</f>
        <v/>
      </c>
      <c r="AR1041" s="27" t="str">
        <f t="shared" si="455"/>
        <v>SG228</v>
      </c>
      <c r="AS1041" s="27" t="str">
        <f t="shared" si="456"/>
        <v>50</v>
      </c>
      <c r="AT1041" s="27" t="str">
        <f t="shared" si="457"/>
        <v/>
      </c>
      <c r="AU1041" s="27" t="str">
        <f t="shared" si="458"/>
        <v/>
      </c>
      <c r="AV1041" s="27" t="str">
        <f t="shared" si="459"/>
        <v/>
      </c>
      <c r="AW1041" s="27" t="str">
        <f t="shared" si="460"/>
        <v/>
      </c>
      <c r="AX1041" s="27" t="str">
        <f t="shared" si="461"/>
        <v/>
      </c>
      <c r="AY1041" s="27" t="str">
        <f t="shared" si="462"/>
        <v/>
      </c>
      <c r="AZ1041" s="27" t="str">
        <f t="shared" si="463"/>
        <v/>
      </c>
      <c r="BA1041" s="27" t="str">
        <f t="shared" si="464"/>
        <v/>
      </c>
      <c r="BB1041" s="27" t="str">
        <f t="shared" si="465"/>
        <v/>
      </c>
      <c r="BC1041" s="27" t="str">
        <f t="shared" si="466"/>
        <v/>
      </c>
      <c r="BD1041" s="27" t="str">
        <f t="shared" si="467"/>
        <v/>
      </c>
      <c r="BE1041" s="27" t="str">
        <f t="shared" si="468"/>
        <v/>
      </c>
      <c r="BF1041" s="27" t="str">
        <f t="shared" si="469"/>
        <v/>
      </c>
      <c r="BG1041" s="27" t="str">
        <f t="shared" si="470"/>
        <v/>
      </c>
      <c r="BH1041" s="27" t="str">
        <f t="shared" si="471"/>
        <v/>
      </c>
      <c r="BI1041" s="27" t="str">
        <f t="shared" si="472"/>
        <v/>
      </c>
      <c r="BJ1041" s="27" t="str">
        <f t="shared" si="473"/>
        <v/>
      </c>
      <c r="BK1041" s="27" t="str">
        <f t="shared" si="474"/>
        <v/>
      </c>
      <c r="BL1041" s="27" t="str">
        <f t="shared" si="475"/>
        <v/>
      </c>
      <c r="BM1041" s="21" t="s">
        <v>5581</v>
      </c>
    </row>
    <row r="1042" spans="1:65" ht="15">
      <c r="A1042" s="25" t="str">
        <f>IFERROR(INDEX('Hun Demand'!W:W,MATCH(O1042,'Hun Demand'!A:A,0)),"")</f>
        <v/>
      </c>
      <c r="B1042" s="25" t="str">
        <f>IFERROR(INDEX('Hun Demand'!V:V,MATCH(O1042,'Hun Demand'!A:A,0)),"")</f>
        <v/>
      </c>
      <c r="C1042" s="25" t="str">
        <f>IFERROR(INDEX('Hun Demand'!U:U,MATCH(O1042,'Hun Demand'!A:A,0)),"")</f>
        <v/>
      </c>
      <c r="D1042" s="25" t="str">
        <f>IFERROR(INDEX('Hun Demand'!T:T,MATCH(O1042,'Hun Demand'!A:A,0)),"")</f>
        <v/>
      </c>
      <c r="E1042" s="25" t="str">
        <f>IFERROR(INDEX('Hun Demand'!S:S,MATCH(O1042,'Hun Demand'!A:A,0)),"")</f>
        <v/>
      </c>
      <c r="F1042" s="25" t="str">
        <f>IFERROR(INDEX('Hun Demand'!R:R,MATCH(O1042,'Hun Demand'!A:A,0)),"")</f>
        <v/>
      </c>
      <c r="G1042" s="25">
        <f>IFERROR(INDEX('Aub Demand'!W:W,MATCH(O1042,'Aub Demand'!A:A,0)),"")</f>
        <v>0</v>
      </c>
      <c r="H1042" s="25">
        <f>IFERROR(INDEX('Aub Demand'!V:V,MATCH(O1042,'Aub Demand'!A:A,0)),"")</f>
        <v>77</v>
      </c>
      <c r="I1042" s="25">
        <f>IFERROR(INDEX('Aub Demand'!U:U,MATCH(O1042,'Aub Demand'!A:A,0)),"")</f>
        <v>197</v>
      </c>
      <c r="J1042" s="25">
        <f>IFERROR(INDEX('Aub Demand'!T:T,MATCH(O1042,'Aub Demand'!A:A,0)),"")</f>
        <v>152</v>
      </c>
      <c r="K1042" s="25">
        <f>IFERROR(INDEX('Aub Demand'!S:S,MATCH(O1042,'Aub Demand'!A:A,0)),"")</f>
        <v>394</v>
      </c>
      <c r="L1042" s="25">
        <f>IFERROR(INDEX('Aub Demand'!R:R,MATCH(O1042,'Aub Demand'!A:A,0)),"")</f>
        <v>0</v>
      </c>
      <c r="O1042" s="27" t="s">
        <v>1438</v>
      </c>
      <c r="P1042" s="27" t="str">
        <f>IFERROR(INDEX('Aub Demand'!B:B,MATCH($O1042,'Aub Demand'!$A:$A,0)),"")</f>
        <v>SLATE</v>
      </c>
      <c r="Q1042" s="27" t="str">
        <f>IFERROR(INDEX('Aub Demand'!C:C,MATCH($O1042,'Aub Demand'!$A:$A,0)),"")</f>
        <v>ONYX</v>
      </c>
      <c r="R1042" s="52">
        <f>IFERROR(IF(AR1043=AR1042,INDEX('Aub Demand'!K:K,MATCH($O1042,'Aub Demand'!$A:$A,0))-IF(AN1042="",0,AN1042)+AP1043,INDEX('Aub Demand'!K:K,MATCH($O1042,'Aub Demand'!$A:$A,0))-IF(AN1042="",0,AN1042)),"")</f>
        <v>1393</v>
      </c>
      <c r="S1042" s="53">
        <f t="shared" si="448"/>
        <v>24.1</v>
      </c>
      <c r="T1042" s="52" t="str">
        <f t="shared" si="449"/>
        <v/>
      </c>
      <c r="U1042" s="52">
        <f>IFERROR(IF(AR1043=AR1042,INDEX('Aub Demand'!Q:Q,MATCH($O1042,'Aub Demand'!$A:$A,0))-IF(AN1042="",0,AN1042)+AP1043,INDEX('Aub Demand'!Q:Q,MATCH($O1042,'Aub Demand'!$A:$A,0))-IF(AN1042="",0,AN1042)),"")</f>
        <v>1263</v>
      </c>
      <c r="V1042" s="53">
        <f t="shared" si="450"/>
        <v>21.8</v>
      </c>
      <c r="W1042" s="52" t="str">
        <f t="shared" si="451"/>
        <v/>
      </c>
      <c r="X1042" s="52">
        <f>IFERROR(IF(AND(AR1043=AR1042,AM1042&lt;&gt;""),INDEX('Aub Demand'!Q:Q,MATCH($O1042,'Aub Demand'!$A:$A,0))-IF(AN1042="",0,AN1042)+AP1043+AD1042+AL1042,IF(AR1043=AR1042,INDEX('Aub Demand'!Q:Q,MATCH($O1042,'Aub Demand'!$A:$A,0))-IF(AN1042="",0,AN1042)+AP1043+AD1042,IF(AM1042&lt;&gt;"",INDEX('Aub Demand'!Q:Q,MATCH($O1042,'Aub Demand'!$A:$A,0))-IF(AN1042="",0,AN1042)+AD1042+AL1042,INDEX('Aub Demand'!Q:Q,MATCH($O1042,'Aub Demand'!$A:$A,0))-IF(AN1042="",0,AN1042)+AD1042))),"")</f>
        <v>1263</v>
      </c>
      <c r="Y1042" s="53">
        <f t="shared" si="452"/>
        <v>21.8</v>
      </c>
      <c r="Z1042" s="52">
        <f>IF(L1042="","",INDEX('Aub Demand'!H:H,MATCH($O1042,'Aub Demand'!$A:$A,0)))</f>
        <v>248</v>
      </c>
      <c r="AA1042" s="52">
        <f t="shared" si="453"/>
        <v>295.5</v>
      </c>
      <c r="AB1042" s="52">
        <f>IFERROR(INDEX('Aub Demand'!L:L,MATCH($O1042,'Aub Demand'!$A:$A,0)),"")</f>
        <v>346</v>
      </c>
      <c r="AC1042" s="52">
        <f>IFERROR(IF(O1042="","",SUMIFS('CPL Mats'!F:F,'CPL Mats'!Q:Q,AR1042,'CPL Mats'!S:S,AS1042)),"")</f>
        <v>0</v>
      </c>
      <c r="AF1042" s="25" t="str">
        <f>IF(SUMIFS('Supp Consol'!S:S,'Supp Consol'!Y:Y,"Releasable",'Supp Consol'!A:A,O1042)=0,"",SUMIFS('Supp Consol'!S:S,'Supp Consol'!Y:Y,"Releasable",'Supp Consol'!A:A,O1042))</f>
        <v/>
      </c>
      <c r="AG1042" s="25" t="str">
        <f>IFERROR(INDEX('Hun Demand'!Q:Q,MATCH(O1042,'Hun Demand'!A:A,0)),"")</f>
        <v/>
      </c>
      <c r="AH1042" s="25" t="str">
        <f>IFERROR(INDEX('Hun Demand'!H:H,MATCH($O1042,'Hun Demand'!$A:$A,0)),"")</f>
        <v/>
      </c>
      <c r="AI1042" s="25" t="str">
        <f>IF(SUMIFS('Supp Consol'!AA:AA,'Supp Consol'!Z:Z,"Expires this month",'Supp Consol'!A:A,O1042)=0,"",SUMIFS('Supp Consol'!AA:AA,'Supp Consol'!Z:Z,"Expires this month",'Supp Consol'!A:A,O1042))</f>
        <v/>
      </c>
      <c r="AJ1042" s="25" t="str">
        <f>IF(SUMIFS('Supp Consol'!AA:AA,'Supp Consol'!Z:Z,"Expired Previous Months",'Supp Consol'!A:A,O1042)=0,"",SUMIFS('Supp Consol'!AA:AA,'Supp Consol'!Z:Z,"Expired Previous Months",'Supp Consol'!A:A,O1042))</f>
        <v/>
      </c>
      <c r="AK1042" s="25" t="str">
        <f>IFERROR(INDEX('Hun Release Current'!B:B,MATCH(O1042,'Hun Release Current'!A:A,0)),"")</f>
        <v/>
      </c>
      <c r="AL1042" s="25" t="str">
        <f>IF(SUMIF('Prev Aub'!A:A,O1042,'Prev Aub'!B:B)=0,"",SUMIF('Prev Aub'!A:A,O1042,'Prev Aub'!B:B))</f>
        <v/>
      </c>
      <c r="AN1042" s="25" t="s">
        <v>3790</v>
      </c>
      <c r="AO1042" s="25" t="s">
        <v>3790</v>
      </c>
      <c r="AP1042" s="25">
        <f t="shared" si="454"/>
        <v>0</v>
      </c>
      <c r="AQ1042" s="151" t="str">
        <f>IF(SUMIFS('Supp Consol'!S:S,'Supp Consol'!A:A,O1042,'Supp Consol'!I:I,"PENDING")=0,"",SUMIFS('Supp Consol'!S:S,'Supp Consol'!A:A,O1042,'Supp Consol'!I:I,"PENDING"))</f>
        <v/>
      </c>
      <c r="AR1042" s="27" t="str">
        <f t="shared" si="455"/>
        <v>SG228</v>
      </c>
      <c r="AS1042" s="27" t="str">
        <f t="shared" si="456"/>
        <v>62</v>
      </c>
      <c r="AT1042" s="27" t="str">
        <f t="shared" si="457"/>
        <v/>
      </c>
      <c r="AU1042" s="27" t="str">
        <f t="shared" si="458"/>
        <v/>
      </c>
      <c r="AV1042" s="27" t="str">
        <f t="shared" si="459"/>
        <v/>
      </c>
      <c r="AW1042" s="27" t="str">
        <f t="shared" si="460"/>
        <v/>
      </c>
      <c r="AX1042" s="27" t="str">
        <f t="shared" si="461"/>
        <v/>
      </c>
      <c r="AY1042" s="27" t="str">
        <f t="shared" si="462"/>
        <v/>
      </c>
      <c r="AZ1042" s="27" t="str">
        <f t="shared" si="463"/>
        <v/>
      </c>
      <c r="BA1042" s="27" t="str">
        <f t="shared" si="464"/>
        <v/>
      </c>
      <c r="BB1042" s="27" t="str">
        <f t="shared" si="465"/>
        <v/>
      </c>
      <c r="BC1042" s="27" t="str">
        <f t="shared" si="466"/>
        <v/>
      </c>
      <c r="BD1042" s="27" t="str">
        <f t="shared" si="467"/>
        <v/>
      </c>
      <c r="BE1042" s="27" t="str">
        <f t="shared" si="468"/>
        <v/>
      </c>
      <c r="BF1042" s="27" t="str">
        <f t="shared" si="469"/>
        <v/>
      </c>
      <c r="BG1042" s="27" t="str">
        <f t="shared" si="470"/>
        <v/>
      </c>
      <c r="BH1042" s="27" t="str">
        <f t="shared" si="471"/>
        <v/>
      </c>
      <c r="BI1042" s="27" t="str">
        <f t="shared" si="472"/>
        <v/>
      </c>
      <c r="BJ1042" s="27" t="str">
        <f t="shared" si="473"/>
        <v/>
      </c>
      <c r="BK1042" s="27" t="str">
        <f t="shared" si="474"/>
        <v/>
      </c>
      <c r="BL1042" s="27" t="str">
        <f t="shared" si="475"/>
        <v/>
      </c>
      <c r="BM1042" s="21" t="s">
        <v>5581</v>
      </c>
    </row>
    <row r="1043" spans="1:65" ht="15">
      <c r="A1043" s="25" t="str">
        <f>IFERROR(INDEX('Hun Demand'!W:W,MATCH(O1043,'Hun Demand'!A:A,0)),"")</f>
        <v/>
      </c>
      <c r="B1043" s="25" t="str">
        <f>IFERROR(INDEX('Hun Demand'!V:V,MATCH(O1043,'Hun Demand'!A:A,0)),"")</f>
        <v/>
      </c>
      <c r="C1043" s="25" t="str">
        <f>IFERROR(INDEX('Hun Demand'!U:U,MATCH(O1043,'Hun Demand'!A:A,0)),"")</f>
        <v/>
      </c>
      <c r="D1043" s="25" t="str">
        <f>IFERROR(INDEX('Hun Demand'!T:T,MATCH(O1043,'Hun Demand'!A:A,0)),"")</f>
        <v/>
      </c>
      <c r="E1043" s="25" t="str">
        <f>IFERROR(INDEX('Hun Demand'!S:S,MATCH(O1043,'Hun Demand'!A:A,0)),"")</f>
        <v/>
      </c>
      <c r="F1043" s="25" t="str">
        <f>IFERROR(INDEX('Hun Demand'!R:R,MATCH(O1043,'Hun Demand'!A:A,0)),"")</f>
        <v/>
      </c>
      <c r="G1043" s="25">
        <f>IFERROR(INDEX('Aub Demand'!W:W,MATCH(O1043,'Aub Demand'!A:A,0)),"")</f>
        <v>183</v>
      </c>
      <c r="H1043" s="25">
        <f>IFERROR(INDEX('Aub Demand'!V:V,MATCH(O1043,'Aub Demand'!A:A,0)),"")</f>
        <v>0</v>
      </c>
      <c r="I1043" s="25">
        <f>IFERROR(INDEX('Aub Demand'!U:U,MATCH(O1043,'Aub Demand'!A:A,0)),"")</f>
        <v>80</v>
      </c>
      <c r="J1043" s="25">
        <f>IFERROR(INDEX('Aub Demand'!T:T,MATCH(O1043,'Aub Demand'!A:A,0)),"")</f>
        <v>26</v>
      </c>
      <c r="K1043" s="25">
        <f>IFERROR(INDEX('Aub Demand'!S:S,MATCH(O1043,'Aub Demand'!A:A,0)),"")</f>
        <v>92</v>
      </c>
      <c r="L1043" s="25">
        <f>IFERROR(INDEX('Aub Demand'!R:R,MATCH(O1043,'Aub Demand'!A:A,0)),"")</f>
        <v>0</v>
      </c>
      <c r="O1043" s="27" t="s">
        <v>1439</v>
      </c>
      <c r="P1043" s="27" t="str">
        <f>IFERROR(INDEX('Aub Demand'!B:B,MATCH($O1043,'Aub Demand'!$A:$A,0)),"")</f>
        <v>MOSS GRAY</v>
      </c>
      <c r="Q1043" s="27" t="str">
        <f>IFERROR(INDEX('Aub Demand'!C:C,MATCH($O1043,'Aub Demand'!$A:$A,0)),"")</f>
        <v>ONYX</v>
      </c>
      <c r="R1043" s="52">
        <f>IFERROR(IF(AR1044=AR1043,INDEX('Aub Demand'!K:K,MATCH($O1043,'Aub Demand'!$A:$A,0))-IF(AN1043="",0,AN1043)+AP1044,INDEX('Aub Demand'!K:K,MATCH($O1043,'Aub Demand'!$A:$A,0))-IF(AN1043="",0,AN1043)),"")</f>
        <v>0</v>
      </c>
      <c r="S1043" s="53">
        <f t="shared" si="448"/>
        <v>0</v>
      </c>
      <c r="T1043" s="52">
        <f t="shared" si="449"/>
        <v>64.5</v>
      </c>
      <c r="U1043" s="52">
        <f>IFERROR(IF(AR1044=AR1043,INDEX('Aub Demand'!Q:Q,MATCH($O1043,'Aub Demand'!$A:$A,0))-IF(AN1043="",0,AN1043)+AP1044,INDEX('Aub Demand'!Q:Q,MATCH($O1043,'Aub Demand'!$A:$A,0))-IF(AN1043="",0,AN1043)),"")</f>
        <v>-117</v>
      </c>
      <c r="V1043" s="53">
        <f t="shared" si="450"/>
        <v>-7.6</v>
      </c>
      <c r="W1043" s="52">
        <f t="shared" si="451"/>
        <v>227.9</v>
      </c>
      <c r="X1043" s="52">
        <f>IFERROR(IF(AND(AR1044=AR1043,AM1043&lt;&gt;""),INDEX('Aub Demand'!Q:Q,MATCH($O1043,'Aub Demand'!$A:$A,0))-IF(AN1043="",0,AN1043)+AP1044+AD1043+AL1043,IF(AR1044=AR1043,INDEX('Aub Demand'!Q:Q,MATCH($O1043,'Aub Demand'!$A:$A,0))-IF(AN1043="",0,AN1043)+AP1044+AD1043,IF(AM1043&lt;&gt;"",INDEX('Aub Demand'!Q:Q,MATCH($O1043,'Aub Demand'!$A:$A,0))-IF(AN1043="",0,AN1043)+AD1043+AL1043,INDEX('Aub Demand'!Q:Q,MATCH($O1043,'Aub Demand'!$A:$A,0))-IF(AN1043="",0,AN1043)+AD1043))),"")</f>
        <v>-117</v>
      </c>
      <c r="Y1043" s="53">
        <f t="shared" si="452"/>
        <v>-7.6</v>
      </c>
      <c r="Z1043" s="52">
        <f>IF(L1043="","",INDEX('Aub Demand'!H:H,MATCH($O1043,'Aub Demand'!$A:$A,0)))</f>
        <v>66</v>
      </c>
      <c r="AA1043" s="52">
        <f t="shared" si="453"/>
        <v>86</v>
      </c>
      <c r="AB1043" s="52">
        <f>IFERROR(INDEX('Aub Demand'!L:L,MATCH($O1043,'Aub Demand'!$A:$A,0)),"")</f>
        <v>30</v>
      </c>
      <c r="AC1043" s="52">
        <f>IFERROR(IF(O1043="","",SUMIFS('CPL Mats'!F:F,'CPL Mats'!Q:Q,AR1043,'CPL Mats'!S:S,AS1043)),"")</f>
        <v>0</v>
      </c>
      <c r="AF1043" s="25" t="str">
        <f>IF(SUMIFS('Supp Consol'!S:S,'Supp Consol'!Y:Y,"Releasable",'Supp Consol'!A:A,O1043)=0,"",SUMIFS('Supp Consol'!S:S,'Supp Consol'!Y:Y,"Releasable",'Supp Consol'!A:A,O1043))</f>
        <v/>
      </c>
      <c r="AG1043" s="25" t="str">
        <f>IFERROR(INDEX('Hun Demand'!Q:Q,MATCH(O1043,'Hun Demand'!A:A,0)),"")</f>
        <v/>
      </c>
      <c r="AH1043" s="25" t="str">
        <f>IFERROR(INDEX('Hun Demand'!H:H,MATCH($O1043,'Hun Demand'!$A:$A,0)),"")</f>
        <v/>
      </c>
      <c r="AI1043" s="25" t="str">
        <f>IF(SUMIFS('Supp Consol'!AA:AA,'Supp Consol'!Z:Z,"Expires this month",'Supp Consol'!A:A,O1043)=0,"",SUMIFS('Supp Consol'!AA:AA,'Supp Consol'!Z:Z,"Expires this month",'Supp Consol'!A:A,O1043))</f>
        <v/>
      </c>
      <c r="AJ1043" s="25" t="str">
        <f>IF(SUMIFS('Supp Consol'!AA:AA,'Supp Consol'!Z:Z,"Expired Previous Months",'Supp Consol'!A:A,O1043)=0,"",SUMIFS('Supp Consol'!AA:AA,'Supp Consol'!Z:Z,"Expired Previous Months",'Supp Consol'!A:A,O1043))</f>
        <v/>
      </c>
      <c r="AK1043" s="25" t="str">
        <f>IFERROR(INDEX('Hun Release Current'!B:B,MATCH(O1043,'Hun Release Current'!A:A,0)),"")</f>
        <v/>
      </c>
      <c r="AL1043" s="25" t="str">
        <f>IF(SUMIF('Prev Aub'!A:A,O1043,'Prev Aub'!B:B)=0,"",SUMIF('Prev Aub'!A:A,O1043,'Prev Aub'!B:B))</f>
        <v/>
      </c>
      <c r="AN1043" s="25" t="s">
        <v>3790</v>
      </c>
      <c r="AO1043" s="25" t="s">
        <v>3790</v>
      </c>
      <c r="AP1043" s="25">
        <f t="shared" si="454"/>
        <v>0</v>
      </c>
      <c r="AQ1043" s="151" t="str">
        <f>IF(SUMIFS('Supp Consol'!S:S,'Supp Consol'!A:A,O1043,'Supp Consol'!I:I,"PENDING")=0,"",SUMIFS('Supp Consol'!S:S,'Supp Consol'!A:A,O1043,'Supp Consol'!I:I,"PENDING"))</f>
        <v/>
      </c>
      <c r="AR1043" s="27" t="str">
        <f t="shared" si="455"/>
        <v>SG240</v>
      </c>
      <c r="AS1043" s="27" t="str">
        <f t="shared" si="456"/>
        <v>50</v>
      </c>
      <c r="AT1043" s="27" t="str">
        <f t="shared" si="457"/>
        <v>SG240</v>
      </c>
      <c r="AU1043" s="27" t="str">
        <f t="shared" si="458"/>
        <v>SG240</v>
      </c>
      <c r="AV1043" s="27" t="str">
        <f t="shared" si="459"/>
        <v>SG240</v>
      </c>
      <c r="AW1043" s="27" t="str">
        <f t="shared" si="460"/>
        <v/>
      </c>
      <c r="AX1043" s="27" t="str">
        <f t="shared" si="461"/>
        <v/>
      </c>
      <c r="AY1043" s="27" t="str">
        <f t="shared" si="462"/>
        <v/>
      </c>
      <c r="AZ1043" s="27" t="str">
        <f t="shared" si="463"/>
        <v/>
      </c>
      <c r="BA1043" s="27" t="str">
        <f t="shared" si="464"/>
        <v/>
      </c>
      <c r="BB1043" s="27" t="str">
        <f t="shared" si="465"/>
        <v>Gross</v>
      </c>
      <c r="BC1043" s="27" t="str">
        <f t="shared" si="466"/>
        <v>Net</v>
      </c>
      <c r="BD1043" s="27" t="str">
        <f t="shared" si="467"/>
        <v>Net</v>
      </c>
      <c r="BE1043" s="27" t="str">
        <f t="shared" si="468"/>
        <v/>
      </c>
      <c r="BF1043" s="27" t="str">
        <f t="shared" si="469"/>
        <v/>
      </c>
      <c r="BG1043" s="27" t="str">
        <f t="shared" si="470"/>
        <v/>
      </c>
      <c r="BH1043" s="27" t="str">
        <f t="shared" si="471"/>
        <v/>
      </c>
      <c r="BI1043" s="27" t="str">
        <f t="shared" si="472"/>
        <v/>
      </c>
      <c r="BJ1043" s="27" t="str">
        <f t="shared" si="473"/>
        <v/>
      </c>
      <c r="BK1043" s="27" t="str">
        <f t="shared" si="474"/>
        <v/>
      </c>
      <c r="BL1043" s="27" t="str">
        <f t="shared" si="475"/>
        <v/>
      </c>
      <c r="BM1043" s="21" t="s">
        <v>5581</v>
      </c>
    </row>
    <row r="1044" spans="1:65" ht="15">
      <c r="A1044" s="25" t="str">
        <f>IFERROR(INDEX('Hun Demand'!W:W,MATCH(O1044,'Hun Demand'!A:A,0)),"")</f>
        <v/>
      </c>
      <c r="B1044" s="25" t="str">
        <f>IFERROR(INDEX('Hun Demand'!V:V,MATCH(O1044,'Hun Demand'!A:A,0)),"")</f>
        <v/>
      </c>
      <c r="C1044" s="25" t="str">
        <f>IFERROR(INDEX('Hun Demand'!U:U,MATCH(O1044,'Hun Demand'!A:A,0)),"")</f>
        <v/>
      </c>
      <c r="D1044" s="25" t="str">
        <f>IFERROR(INDEX('Hun Demand'!T:T,MATCH(O1044,'Hun Demand'!A:A,0)),"")</f>
        <v/>
      </c>
      <c r="E1044" s="25" t="str">
        <f>IFERROR(INDEX('Hun Demand'!S:S,MATCH(O1044,'Hun Demand'!A:A,0)),"")</f>
        <v/>
      </c>
      <c r="F1044" s="25" t="str">
        <f>IFERROR(INDEX('Hun Demand'!R:R,MATCH(O1044,'Hun Demand'!A:A,0)),"")</f>
        <v/>
      </c>
      <c r="G1044" s="25">
        <f>IFERROR(INDEX('Aub Demand'!W:W,MATCH(O1044,'Aub Demand'!A:A,0)),"")</f>
        <v>235</v>
      </c>
      <c r="H1044" s="25">
        <f>IFERROR(INDEX('Aub Demand'!V:V,MATCH(O1044,'Aub Demand'!A:A,0)),"")</f>
        <v>61</v>
      </c>
      <c r="I1044" s="25">
        <f>IFERROR(INDEX('Aub Demand'!U:U,MATCH(O1044,'Aub Demand'!A:A,0)),"")</f>
        <v>117</v>
      </c>
      <c r="J1044" s="25">
        <f>IFERROR(INDEX('Aub Demand'!T:T,MATCH(O1044,'Aub Demand'!A:A,0)),"")</f>
        <v>0</v>
      </c>
      <c r="K1044" s="25">
        <f>IFERROR(INDEX('Aub Demand'!S:S,MATCH(O1044,'Aub Demand'!A:A,0)),"")</f>
        <v>0</v>
      </c>
      <c r="L1044" s="25">
        <f>IFERROR(INDEX('Aub Demand'!R:R,MATCH(O1044,'Aub Demand'!A:A,0)),"")</f>
        <v>0</v>
      </c>
      <c r="O1044" s="27" t="s">
        <v>1441</v>
      </c>
      <c r="P1044" s="27" t="str">
        <f>IFERROR(INDEX('Aub Demand'!B:B,MATCH($O1044,'Aub Demand'!$A:$A,0)),"")</f>
        <v>MOSS GRAY</v>
      </c>
      <c r="Q1044" s="27" t="str">
        <f>IFERROR(INDEX('Aub Demand'!C:C,MATCH($O1044,'Aub Demand'!$A:$A,0)),"")</f>
        <v>ONYX</v>
      </c>
      <c r="R1044" s="52">
        <f>IFERROR(IF(AR1045=AR1044,INDEX('Aub Demand'!K:K,MATCH($O1044,'Aub Demand'!$A:$A,0))-IF(AN1044="",0,AN1044)+AP1045,INDEX('Aub Demand'!K:K,MATCH($O1044,'Aub Demand'!$A:$A,0))-IF(AN1044="",0,AN1044)),"")</f>
        <v>1214</v>
      </c>
      <c r="S1044" s="53">
        <f t="shared" si="448"/>
        <v>133.4</v>
      </c>
      <c r="T1044" s="52" t="str">
        <f t="shared" si="449"/>
        <v/>
      </c>
      <c r="U1044" s="52">
        <f>IFERROR(IF(AR1045=AR1044,INDEX('Aub Demand'!Q:Q,MATCH($O1044,'Aub Demand'!$A:$A,0))-IF(AN1044="",0,AN1044)+AP1045,INDEX('Aub Demand'!Q:Q,MATCH($O1044,'Aub Demand'!$A:$A,0))-IF(AN1044="",0,AN1044)),"")</f>
        <v>1214</v>
      </c>
      <c r="V1044" s="53">
        <f t="shared" si="450"/>
        <v>133.4</v>
      </c>
      <c r="W1044" s="52" t="str">
        <f t="shared" si="451"/>
        <v/>
      </c>
      <c r="X1044" s="52">
        <f>IFERROR(IF(AND(AR1045=AR1044,AM1044&lt;&gt;""),INDEX('Aub Demand'!Q:Q,MATCH($O1044,'Aub Demand'!$A:$A,0))-IF(AN1044="",0,AN1044)+AP1045+AD1044+AL1044,IF(AR1045=AR1044,INDEX('Aub Demand'!Q:Q,MATCH($O1044,'Aub Demand'!$A:$A,0))-IF(AN1044="",0,AN1044)+AP1045+AD1044,IF(AM1044&lt;&gt;"",INDEX('Aub Demand'!Q:Q,MATCH($O1044,'Aub Demand'!$A:$A,0))-IF(AN1044="",0,AN1044)+AD1044+AL1044,INDEX('Aub Demand'!Q:Q,MATCH($O1044,'Aub Demand'!$A:$A,0))-IF(AN1044="",0,AN1044)+AD1044))),"")</f>
        <v>1214</v>
      </c>
      <c r="Y1044" s="53">
        <f t="shared" si="452"/>
        <v>133.4</v>
      </c>
      <c r="Z1044" s="52">
        <f>IF(L1044="","",INDEX('Aub Demand'!H:H,MATCH($O1044,'Aub Demand'!$A:$A,0)))</f>
        <v>39</v>
      </c>
      <c r="AA1044" s="52" t="str">
        <f t="shared" si="453"/>
        <v>-spike-</v>
      </c>
      <c r="AB1044" s="52">
        <f>IFERROR(INDEX('Aub Demand'!L:L,MATCH($O1044,'Aub Demand'!$A:$A,0)),"")</f>
        <v>22</v>
      </c>
      <c r="AC1044" s="52">
        <f>IFERROR(IF(O1044="","",SUMIFS('CPL Mats'!F:F,'CPL Mats'!Q:Q,AR1044,'CPL Mats'!S:S,AS1044)),"")</f>
        <v>0</v>
      </c>
      <c r="AF1044" s="25" t="str">
        <f>IF(SUMIFS('Supp Consol'!S:S,'Supp Consol'!Y:Y,"Releasable",'Supp Consol'!A:A,O1044)=0,"",SUMIFS('Supp Consol'!S:S,'Supp Consol'!Y:Y,"Releasable",'Supp Consol'!A:A,O1044))</f>
        <v/>
      </c>
      <c r="AG1044" s="25" t="str">
        <f>IFERROR(INDEX('Hun Demand'!Q:Q,MATCH(O1044,'Hun Demand'!A:A,0)),"")</f>
        <v/>
      </c>
      <c r="AH1044" s="25" t="str">
        <f>IFERROR(INDEX('Hun Demand'!H:H,MATCH($O1044,'Hun Demand'!$A:$A,0)),"")</f>
        <v/>
      </c>
      <c r="AI1044" s="25" t="str">
        <f>IF(SUMIFS('Supp Consol'!AA:AA,'Supp Consol'!Z:Z,"Expires this month",'Supp Consol'!A:A,O1044)=0,"",SUMIFS('Supp Consol'!AA:AA,'Supp Consol'!Z:Z,"Expires this month",'Supp Consol'!A:A,O1044))</f>
        <v/>
      </c>
      <c r="AJ1044" s="25" t="str">
        <f>IF(SUMIFS('Supp Consol'!AA:AA,'Supp Consol'!Z:Z,"Expired Previous Months",'Supp Consol'!A:A,O1044)=0,"",SUMIFS('Supp Consol'!AA:AA,'Supp Consol'!Z:Z,"Expired Previous Months",'Supp Consol'!A:A,O1044))</f>
        <v/>
      </c>
      <c r="AK1044" s="25" t="str">
        <f>IFERROR(INDEX('Hun Release Current'!B:B,MATCH(O1044,'Hun Release Current'!A:A,0)),"")</f>
        <v/>
      </c>
      <c r="AL1044" s="25" t="str">
        <f>IF(SUMIF('Prev Aub'!A:A,O1044,'Prev Aub'!B:B)=0,"",SUMIF('Prev Aub'!A:A,O1044,'Prev Aub'!B:B))</f>
        <v/>
      </c>
      <c r="AN1044" s="25" t="s">
        <v>3790</v>
      </c>
      <c r="AO1044" s="25" t="s">
        <v>3790</v>
      </c>
      <c r="AP1044" s="25">
        <f t="shared" si="454"/>
        <v>0</v>
      </c>
      <c r="AQ1044" s="151" t="str">
        <f>IF(SUMIFS('Supp Consol'!S:S,'Supp Consol'!A:A,O1044,'Supp Consol'!I:I,"PENDING")=0,"",SUMIFS('Supp Consol'!S:S,'Supp Consol'!A:A,O1044,'Supp Consol'!I:I,"PENDING"))</f>
        <v/>
      </c>
      <c r="AR1044" s="27" t="str">
        <f t="shared" si="455"/>
        <v>SG240</v>
      </c>
      <c r="AS1044" s="27" t="str">
        <f t="shared" si="456"/>
        <v>62</v>
      </c>
      <c r="AT1044" s="27" t="str">
        <f t="shared" si="457"/>
        <v/>
      </c>
      <c r="AU1044" s="27" t="str">
        <f t="shared" si="458"/>
        <v/>
      </c>
      <c r="AV1044" s="27" t="str">
        <f t="shared" si="459"/>
        <v/>
      </c>
      <c r="AW1044" s="27" t="str">
        <f t="shared" si="460"/>
        <v/>
      </c>
      <c r="AX1044" s="27" t="str">
        <f t="shared" si="461"/>
        <v/>
      </c>
      <c r="AY1044" s="27" t="str">
        <f t="shared" si="462"/>
        <v/>
      </c>
      <c r="AZ1044" s="27" t="str">
        <f t="shared" si="463"/>
        <v/>
      </c>
      <c r="BA1044" s="27" t="str">
        <f t="shared" si="464"/>
        <v/>
      </c>
      <c r="BB1044" s="27" t="str">
        <f t="shared" si="465"/>
        <v>Gross</v>
      </c>
      <c r="BC1044" s="27" t="str">
        <f t="shared" si="466"/>
        <v>Net</v>
      </c>
      <c r="BD1044" s="27" t="str">
        <f t="shared" si="467"/>
        <v>Net</v>
      </c>
      <c r="BE1044" s="27" t="str">
        <f t="shared" si="468"/>
        <v/>
      </c>
      <c r="BF1044" s="27" t="str">
        <f t="shared" si="469"/>
        <v/>
      </c>
      <c r="BG1044" s="27" t="str">
        <f t="shared" si="470"/>
        <v/>
      </c>
      <c r="BH1044" s="27" t="str">
        <f t="shared" si="471"/>
        <v/>
      </c>
      <c r="BI1044" s="27" t="str">
        <f t="shared" si="472"/>
        <v/>
      </c>
      <c r="BJ1044" s="27" t="str">
        <f t="shared" si="473"/>
        <v/>
      </c>
      <c r="BK1044" s="27" t="str">
        <f t="shared" si="474"/>
        <v/>
      </c>
      <c r="BL1044" s="27" t="str">
        <f t="shared" si="475"/>
        <v/>
      </c>
      <c r="BM1044" s="21" t="s">
        <v>5581</v>
      </c>
    </row>
    <row r="1045" spans="1:65" ht="15">
      <c r="A1045" s="25" t="str">
        <f>IFERROR(INDEX('Hun Demand'!W:W,MATCH(O1045,'Hun Demand'!A:A,0)),"")</f>
        <v/>
      </c>
      <c r="B1045" s="25" t="str">
        <f>IFERROR(INDEX('Hun Demand'!V:V,MATCH(O1045,'Hun Demand'!A:A,0)),"")</f>
        <v/>
      </c>
      <c r="C1045" s="25" t="str">
        <f>IFERROR(INDEX('Hun Demand'!U:U,MATCH(O1045,'Hun Demand'!A:A,0)),"")</f>
        <v/>
      </c>
      <c r="D1045" s="25" t="str">
        <f>IFERROR(INDEX('Hun Demand'!T:T,MATCH(O1045,'Hun Demand'!A:A,0)),"")</f>
        <v/>
      </c>
      <c r="E1045" s="25" t="str">
        <f>IFERROR(INDEX('Hun Demand'!S:S,MATCH(O1045,'Hun Demand'!A:A,0)),"")</f>
        <v/>
      </c>
      <c r="F1045" s="25" t="str">
        <f>IFERROR(INDEX('Hun Demand'!R:R,MATCH(O1045,'Hun Demand'!A:A,0)),"")</f>
        <v/>
      </c>
      <c r="G1045" s="25">
        <f>IFERROR(INDEX('Aub Demand'!W:W,MATCH(O1045,'Aub Demand'!A:A,0)),"")</f>
        <v>0</v>
      </c>
      <c r="H1045" s="25">
        <f>IFERROR(INDEX('Aub Demand'!V:V,MATCH(O1045,'Aub Demand'!A:A,0)),"")</f>
        <v>0</v>
      </c>
      <c r="I1045" s="25">
        <f>IFERROR(INDEX('Aub Demand'!U:U,MATCH(O1045,'Aub Demand'!A:A,0)),"")</f>
        <v>0</v>
      </c>
      <c r="J1045" s="25">
        <f>IFERROR(INDEX('Aub Demand'!T:T,MATCH(O1045,'Aub Demand'!A:A,0)),"")</f>
        <v>342</v>
      </c>
      <c r="K1045" s="25">
        <f>IFERROR(INDEX('Aub Demand'!S:S,MATCH(O1045,'Aub Demand'!A:A,0)),"")</f>
        <v>0</v>
      </c>
      <c r="L1045" s="25">
        <f>IFERROR(INDEX('Aub Demand'!R:R,MATCH(O1045,'Aub Demand'!A:A,0)),"")</f>
        <v>0</v>
      </c>
      <c r="O1045" s="27" t="s">
        <v>1442</v>
      </c>
      <c r="P1045" s="27" t="str">
        <f>IFERROR(INDEX('Aub Demand'!B:B,MATCH($O1045,'Aub Demand'!$A:$A,0)),"")</f>
        <v>FOLKSTONE GRAY</v>
      </c>
      <c r="Q1045" s="27" t="str">
        <f>IFERROR(INDEX('Aub Demand'!C:C,MATCH($O1045,'Aub Demand'!$A:$A,0)),"")</f>
        <v>TECHN</v>
      </c>
      <c r="R1045" s="52">
        <f>IFERROR(IF(AR1046=AR1045,INDEX('Aub Demand'!K:K,MATCH($O1045,'Aub Demand'!$A:$A,0))-IF(AN1045="",0,AN1045)+AP1046,INDEX('Aub Demand'!K:K,MATCH($O1045,'Aub Demand'!$A:$A,0))-IF(AN1045="",0,AN1045)),"")</f>
        <v>0</v>
      </c>
      <c r="S1045" s="53">
        <f t="shared" si="448"/>
        <v>0</v>
      </c>
      <c r="T1045" s="52" t="str">
        <f t="shared" si="449"/>
        <v/>
      </c>
      <c r="U1045" s="52">
        <f>IFERROR(IF(AR1046=AR1045,INDEX('Aub Demand'!Q:Q,MATCH($O1045,'Aub Demand'!$A:$A,0))-IF(AN1045="",0,AN1045)+AP1046,INDEX('Aub Demand'!Q:Q,MATCH($O1045,'Aub Demand'!$A:$A,0))-IF(AN1045="",0,AN1045)),"")</f>
        <v>-29</v>
      </c>
      <c r="V1045" s="53">
        <f t="shared" si="450"/>
        <v>-1.1000000000000001</v>
      </c>
      <c r="W1045" s="52" t="str">
        <f t="shared" si="451"/>
        <v/>
      </c>
      <c r="X1045" s="52">
        <f>IFERROR(IF(AND(AR1046=AR1045,AM1045&lt;&gt;""),INDEX('Aub Demand'!Q:Q,MATCH($O1045,'Aub Demand'!$A:$A,0))-IF(AN1045="",0,AN1045)+AP1046+AD1045+AL1045,IF(AR1046=AR1045,INDEX('Aub Demand'!Q:Q,MATCH($O1045,'Aub Demand'!$A:$A,0))-IF(AN1045="",0,AN1045)+AP1046+AD1045,IF(AM1045&lt;&gt;"",INDEX('Aub Demand'!Q:Q,MATCH($O1045,'Aub Demand'!$A:$A,0))-IF(AN1045="",0,AN1045)+AD1045+AL1045,INDEX('Aub Demand'!Q:Q,MATCH($O1045,'Aub Demand'!$A:$A,0))-IF(AN1045="",0,AN1045)+AD1045))),"")</f>
        <v>-29</v>
      </c>
      <c r="Y1045" s="53">
        <f t="shared" si="452"/>
        <v>-1.1000000000000001</v>
      </c>
      <c r="Z1045" s="52">
        <f>IF(L1045="","",INDEX('Aub Demand'!H:H,MATCH($O1045,'Aub Demand'!$A:$A,0)))</f>
        <v>114</v>
      </c>
      <c r="AA1045" s="52" t="str">
        <f t="shared" si="453"/>
        <v>-spike-</v>
      </c>
      <c r="AB1045" s="52">
        <f>IFERROR(INDEX('Aub Demand'!L:L,MATCH($O1045,'Aub Demand'!$A:$A,0)),"")</f>
        <v>35</v>
      </c>
      <c r="AC1045" s="52">
        <f>IFERROR(IF(O1045="","",SUMIFS('CPL Mats'!F:F,'CPL Mats'!Q:Q,AR1045,'CPL Mats'!S:S,AS1045)),"")</f>
        <v>0</v>
      </c>
      <c r="AF1045" s="25" t="str">
        <f>IF(SUMIFS('Supp Consol'!S:S,'Supp Consol'!Y:Y,"Releasable",'Supp Consol'!A:A,O1045)=0,"",SUMIFS('Supp Consol'!S:S,'Supp Consol'!Y:Y,"Releasable",'Supp Consol'!A:A,O1045))</f>
        <v/>
      </c>
      <c r="AG1045" s="25" t="str">
        <f>IFERROR(INDEX('Hun Demand'!Q:Q,MATCH(O1045,'Hun Demand'!A:A,0)),"")</f>
        <v/>
      </c>
      <c r="AH1045" s="25" t="str">
        <f>IFERROR(INDEX('Hun Demand'!H:H,MATCH($O1045,'Hun Demand'!$A:$A,0)),"")</f>
        <v/>
      </c>
      <c r="AI1045" s="25" t="str">
        <f>IF(SUMIFS('Supp Consol'!AA:AA,'Supp Consol'!Z:Z,"Expires this month",'Supp Consol'!A:A,O1045)=0,"",SUMIFS('Supp Consol'!AA:AA,'Supp Consol'!Z:Z,"Expires this month",'Supp Consol'!A:A,O1045))</f>
        <v/>
      </c>
      <c r="AJ1045" s="25" t="str">
        <f>IF(SUMIFS('Supp Consol'!AA:AA,'Supp Consol'!Z:Z,"Expired Previous Months",'Supp Consol'!A:A,O1045)=0,"",SUMIFS('Supp Consol'!AA:AA,'Supp Consol'!Z:Z,"Expired Previous Months",'Supp Consol'!A:A,O1045))</f>
        <v/>
      </c>
      <c r="AK1045" s="25" t="str">
        <f>IFERROR(INDEX('Hun Release Current'!B:B,MATCH(O1045,'Hun Release Current'!A:A,0)),"")</f>
        <v/>
      </c>
      <c r="AL1045" s="25" t="str">
        <f>IF(SUMIF('Prev Aub'!A:A,O1045,'Prev Aub'!B:B)=0,"",SUMIF('Prev Aub'!A:A,O1045,'Prev Aub'!B:B))</f>
        <v/>
      </c>
      <c r="AN1045" s="25" t="s">
        <v>3790</v>
      </c>
      <c r="AO1045" s="25" t="s">
        <v>3790</v>
      </c>
      <c r="AP1045" s="25">
        <f t="shared" si="454"/>
        <v>0</v>
      </c>
      <c r="AQ1045" s="151" t="str">
        <f>IF(SUMIFS('Supp Consol'!S:S,'Supp Consol'!A:A,O1045,'Supp Consol'!I:I,"PENDING")=0,"",SUMIFS('Supp Consol'!S:S,'Supp Consol'!A:A,O1045,'Supp Consol'!I:I,"PENDING"))</f>
        <v/>
      </c>
      <c r="AR1045" s="27" t="str">
        <f t="shared" si="455"/>
        <v>SG241</v>
      </c>
      <c r="AS1045" s="27" t="str">
        <f t="shared" si="456"/>
        <v>37</v>
      </c>
      <c r="AT1045" s="27" t="str">
        <f t="shared" si="457"/>
        <v>SG241</v>
      </c>
      <c r="AU1045" s="27" t="str">
        <f t="shared" si="458"/>
        <v>SG241</v>
      </c>
      <c r="AV1045" s="27" t="str">
        <f t="shared" si="459"/>
        <v>SG241</v>
      </c>
      <c r="AW1045" s="27" t="str">
        <f t="shared" si="460"/>
        <v/>
      </c>
      <c r="AX1045" s="27" t="str">
        <f t="shared" si="461"/>
        <v/>
      </c>
      <c r="AY1045" s="27" t="str">
        <f t="shared" si="462"/>
        <v/>
      </c>
      <c r="AZ1045" s="27" t="str">
        <f t="shared" si="463"/>
        <v/>
      </c>
      <c r="BA1045" s="27" t="str">
        <f t="shared" si="464"/>
        <v/>
      </c>
      <c r="BB1045" s="27" t="str">
        <f t="shared" si="465"/>
        <v>Gross</v>
      </c>
      <c r="BC1045" s="27" t="str">
        <f t="shared" si="466"/>
        <v>Net</v>
      </c>
      <c r="BD1045" s="27" t="str">
        <f t="shared" si="467"/>
        <v>Net</v>
      </c>
      <c r="BE1045" s="27" t="str">
        <f t="shared" si="468"/>
        <v/>
      </c>
      <c r="BF1045" s="27" t="str">
        <f t="shared" si="469"/>
        <v/>
      </c>
      <c r="BG1045" s="27" t="str">
        <f t="shared" si="470"/>
        <v/>
      </c>
      <c r="BH1045" s="27" t="str">
        <f t="shared" si="471"/>
        <v/>
      </c>
      <c r="BI1045" s="27" t="str">
        <f t="shared" si="472"/>
        <v/>
      </c>
      <c r="BJ1045" s="27" t="str">
        <f t="shared" si="473"/>
        <v/>
      </c>
      <c r="BK1045" s="27" t="str">
        <f t="shared" si="474"/>
        <v/>
      </c>
      <c r="BL1045" s="27" t="str">
        <f t="shared" si="475"/>
        <v/>
      </c>
      <c r="BM1045" s="21" t="s">
        <v>5581</v>
      </c>
    </row>
    <row r="1046" spans="1:65" ht="15">
      <c r="A1046" s="25" t="str">
        <f>IFERROR(INDEX('Hun Demand'!W:W,MATCH(O1046,'Hun Demand'!A:A,0)),"")</f>
        <v/>
      </c>
      <c r="B1046" s="25" t="str">
        <f>IFERROR(INDEX('Hun Demand'!V:V,MATCH(O1046,'Hun Demand'!A:A,0)),"")</f>
        <v/>
      </c>
      <c r="C1046" s="25" t="str">
        <f>IFERROR(INDEX('Hun Demand'!U:U,MATCH(O1046,'Hun Demand'!A:A,0)),"")</f>
        <v/>
      </c>
      <c r="D1046" s="25" t="str">
        <f>IFERROR(INDEX('Hun Demand'!T:T,MATCH(O1046,'Hun Demand'!A:A,0)),"")</f>
        <v/>
      </c>
      <c r="E1046" s="25" t="str">
        <f>IFERROR(INDEX('Hun Demand'!S:S,MATCH(O1046,'Hun Demand'!A:A,0)),"")</f>
        <v/>
      </c>
      <c r="F1046" s="25" t="str">
        <f>IFERROR(INDEX('Hun Demand'!R:R,MATCH(O1046,'Hun Demand'!A:A,0)),"")</f>
        <v/>
      </c>
      <c r="G1046" s="25">
        <f>IFERROR(INDEX('Aub Demand'!W:W,MATCH(O1046,'Aub Demand'!A:A,0)),"")</f>
        <v>437</v>
      </c>
      <c r="H1046" s="25">
        <f>IFERROR(INDEX('Aub Demand'!V:V,MATCH(O1046,'Aub Demand'!A:A,0)),"")</f>
        <v>491</v>
      </c>
      <c r="I1046" s="25">
        <f>IFERROR(INDEX('Aub Demand'!U:U,MATCH(O1046,'Aub Demand'!A:A,0)),"")</f>
        <v>0</v>
      </c>
      <c r="J1046" s="25">
        <f>IFERROR(INDEX('Aub Demand'!T:T,MATCH(O1046,'Aub Demand'!A:A,0)),"")</f>
        <v>606</v>
      </c>
      <c r="K1046" s="25">
        <f>IFERROR(INDEX('Aub Demand'!S:S,MATCH(O1046,'Aub Demand'!A:A,0)),"")</f>
        <v>659</v>
      </c>
      <c r="L1046" s="25">
        <f>IFERROR(INDEX('Aub Demand'!R:R,MATCH(O1046,'Aub Demand'!A:A,0)),"")</f>
        <v>0</v>
      </c>
      <c r="O1046" s="27" t="s">
        <v>1445</v>
      </c>
      <c r="P1046" s="27" t="str">
        <f>IFERROR(INDEX('Aub Demand'!B:B,MATCH($O1046,'Aub Demand'!$A:$A,0)),"")</f>
        <v>FOLKSTONE GRAY</v>
      </c>
      <c r="Q1046" s="27" t="str">
        <f>IFERROR(INDEX('Aub Demand'!C:C,MATCH($O1046,'Aub Demand'!$A:$A,0)),"")</f>
        <v>TECHN</v>
      </c>
      <c r="R1046" s="52">
        <f>IFERROR(IF(AR1047=AR1046,INDEX('Aub Demand'!K:K,MATCH($O1046,'Aub Demand'!$A:$A,0))-IF(AN1046="",0,AN1046)+AP1047,INDEX('Aub Demand'!K:K,MATCH($O1046,'Aub Demand'!$A:$A,0))-IF(AN1046="",0,AN1046)),"")</f>
        <v>5015</v>
      </c>
      <c r="S1046" s="53">
        <f t="shared" si="448"/>
        <v>50.9</v>
      </c>
      <c r="T1046" s="52" t="str">
        <f t="shared" si="449"/>
        <v/>
      </c>
      <c r="U1046" s="52">
        <f>IFERROR(IF(AR1047=AR1046,INDEX('Aub Demand'!Q:Q,MATCH($O1046,'Aub Demand'!$A:$A,0))-IF(AN1046="",0,AN1046)+AP1047,INDEX('Aub Demand'!Q:Q,MATCH($O1046,'Aub Demand'!$A:$A,0))-IF(AN1046="",0,AN1046)),"")</f>
        <v>4770</v>
      </c>
      <c r="V1046" s="53">
        <f t="shared" si="450"/>
        <v>48.4</v>
      </c>
      <c r="W1046" s="52" t="str">
        <f t="shared" si="451"/>
        <v/>
      </c>
      <c r="X1046" s="52">
        <f>IFERROR(IF(AND(AR1047=AR1046,AM1046&lt;&gt;""),INDEX('Aub Demand'!Q:Q,MATCH($O1046,'Aub Demand'!$A:$A,0))-IF(AN1046="",0,AN1046)+AP1047+AD1046+AL1046,IF(AR1047=AR1046,INDEX('Aub Demand'!Q:Q,MATCH($O1046,'Aub Demand'!$A:$A,0))-IF(AN1046="",0,AN1046)+AP1047+AD1046,IF(AM1046&lt;&gt;"",INDEX('Aub Demand'!Q:Q,MATCH($O1046,'Aub Demand'!$A:$A,0))-IF(AN1046="",0,AN1046)+AD1046+AL1046,INDEX('Aub Demand'!Q:Q,MATCH($O1046,'Aub Demand'!$A:$A,0))-IF(AN1046="",0,AN1046)+AD1046))),"")</f>
        <v>4770</v>
      </c>
      <c r="Y1046" s="53">
        <f t="shared" si="452"/>
        <v>48.4</v>
      </c>
      <c r="Z1046" s="52">
        <f>IF(L1046="","",INDEX('Aub Demand'!H:H,MATCH($O1046,'Aub Demand'!$A:$A,0)))</f>
        <v>422</v>
      </c>
      <c r="AA1046" s="52">
        <f t="shared" si="453"/>
        <v>632.5</v>
      </c>
      <c r="AB1046" s="52">
        <f>IFERROR(INDEX('Aub Demand'!L:L,MATCH($O1046,'Aub Demand'!$A:$A,0)),"")</f>
        <v>854</v>
      </c>
      <c r="AC1046" s="52">
        <f>IFERROR(IF(O1046="","",SUMIFS('CPL Mats'!F:F,'CPL Mats'!Q:Q,AR1046,'CPL Mats'!S:S,AS1046)),"")</f>
        <v>0</v>
      </c>
      <c r="AF1046" s="25" t="str">
        <f>IF(SUMIFS('Supp Consol'!S:S,'Supp Consol'!Y:Y,"Releasable",'Supp Consol'!A:A,O1046)=0,"",SUMIFS('Supp Consol'!S:S,'Supp Consol'!Y:Y,"Releasable",'Supp Consol'!A:A,O1046))</f>
        <v/>
      </c>
      <c r="AG1046" s="25" t="str">
        <f>IFERROR(INDEX('Hun Demand'!Q:Q,MATCH(O1046,'Hun Demand'!A:A,0)),"")</f>
        <v/>
      </c>
      <c r="AH1046" s="25" t="str">
        <f>IFERROR(INDEX('Hun Demand'!H:H,MATCH($O1046,'Hun Demand'!$A:$A,0)),"")</f>
        <v/>
      </c>
      <c r="AI1046" s="25" t="str">
        <f>IF(SUMIFS('Supp Consol'!AA:AA,'Supp Consol'!Z:Z,"Expires this month",'Supp Consol'!A:A,O1046)=0,"",SUMIFS('Supp Consol'!AA:AA,'Supp Consol'!Z:Z,"Expires this month",'Supp Consol'!A:A,O1046))</f>
        <v/>
      </c>
      <c r="AJ1046" s="25" t="str">
        <f>IF(SUMIFS('Supp Consol'!AA:AA,'Supp Consol'!Z:Z,"Expired Previous Months",'Supp Consol'!A:A,O1046)=0,"",SUMIFS('Supp Consol'!AA:AA,'Supp Consol'!Z:Z,"Expired Previous Months",'Supp Consol'!A:A,O1046))</f>
        <v/>
      </c>
      <c r="AK1046" s="25" t="str">
        <f>IFERROR(INDEX('Hun Release Current'!B:B,MATCH(O1046,'Hun Release Current'!A:A,0)),"")</f>
        <v/>
      </c>
      <c r="AL1046" s="25" t="str">
        <f>IF(SUMIF('Prev Aub'!A:A,O1046,'Prev Aub'!B:B)=0,"",SUMIF('Prev Aub'!A:A,O1046,'Prev Aub'!B:B))</f>
        <v/>
      </c>
      <c r="AN1046" s="25" t="s">
        <v>3790</v>
      </c>
      <c r="AO1046" s="25" t="s">
        <v>3790</v>
      </c>
      <c r="AP1046" s="25">
        <f t="shared" si="454"/>
        <v>0</v>
      </c>
      <c r="AQ1046" s="151" t="str">
        <f>IF(SUMIFS('Supp Consol'!S:S,'Supp Consol'!A:A,O1046,'Supp Consol'!I:I,"PENDING")=0,"",SUMIFS('Supp Consol'!S:S,'Supp Consol'!A:A,O1046,'Supp Consol'!I:I,"PENDING"))</f>
        <v/>
      </c>
      <c r="AR1046" s="27" t="str">
        <f t="shared" si="455"/>
        <v>SG241</v>
      </c>
      <c r="AS1046" s="27" t="str">
        <f t="shared" si="456"/>
        <v>50</v>
      </c>
      <c r="AT1046" s="27" t="str">
        <f t="shared" si="457"/>
        <v/>
      </c>
      <c r="AU1046" s="27" t="str">
        <f t="shared" si="458"/>
        <v/>
      </c>
      <c r="AV1046" s="27" t="str">
        <f t="shared" si="459"/>
        <v/>
      </c>
      <c r="AW1046" s="27" t="str">
        <f t="shared" si="460"/>
        <v/>
      </c>
      <c r="AX1046" s="27" t="str">
        <f t="shared" si="461"/>
        <v/>
      </c>
      <c r="AY1046" s="27" t="str">
        <f t="shared" si="462"/>
        <v/>
      </c>
      <c r="AZ1046" s="27" t="str">
        <f t="shared" si="463"/>
        <v/>
      </c>
      <c r="BA1046" s="27" t="str">
        <f t="shared" si="464"/>
        <v/>
      </c>
      <c r="BB1046" s="27" t="str">
        <f t="shared" si="465"/>
        <v>Gross</v>
      </c>
      <c r="BC1046" s="27" t="str">
        <f t="shared" si="466"/>
        <v>Net</v>
      </c>
      <c r="BD1046" s="27" t="str">
        <f t="shared" si="467"/>
        <v>Net</v>
      </c>
      <c r="BE1046" s="27" t="str">
        <f t="shared" si="468"/>
        <v/>
      </c>
      <c r="BF1046" s="27" t="str">
        <f t="shared" si="469"/>
        <v/>
      </c>
      <c r="BG1046" s="27" t="str">
        <f t="shared" si="470"/>
        <v/>
      </c>
      <c r="BH1046" s="27" t="str">
        <f t="shared" si="471"/>
        <v/>
      </c>
      <c r="BI1046" s="27" t="str">
        <f t="shared" si="472"/>
        <v/>
      </c>
      <c r="BJ1046" s="27" t="str">
        <f t="shared" si="473"/>
        <v/>
      </c>
      <c r="BK1046" s="27" t="str">
        <f t="shared" si="474"/>
        <v/>
      </c>
      <c r="BL1046" s="27" t="str">
        <f t="shared" si="475"/>
        <v/>
      </c>
      <c r="BM1046" s="21" t="s">
        <v>5581</v>
      </c>
    </row>
    <row r="1047" spans="1:65" ht="15">
      <c r="A1047" s="25" t="str">
        <f>IFERROR(INDEX('Hun Demand'!W:W,MATCH(O1047,'Hun Demand'!A:A,0)),"")</f>
        <v/>
      </c>
      <c r="B1047" s="25" t="str">
        <f>IFERROR(INDEX('Hun Demand'!V:V,MATCH(O1047,'Hun Demand'!A:A,0)),"")</f>
        <v/>
      </c>
      <c r="C1047" s="25" t="str">
        <f>IFERROR(INDEX('Hun Demand'!U:U,MATCH(O1047,'Hun Demand'!A:A,0)),"")</f>
        <v/>
      </c>
      <c r="D1047" s="25" t="str">
        <f>IFERROR(INDEX('Hun Demand'!T:T,MATCH(O1047,'Hun Demand'!A:A,0)),"")</f>
        <v/>
      </c>
      <c r="E1047" s="25" t="str">
        <f>IFERROR(INDEX('Hun Demand'!S:S,MATCH(O1047,'Hun Demand'!A:A,0)),"")</f>
        <v/>
      </c>
      <c r="F1047" s="25" t="str">
        <f>IFERROR(INDEX('Hun Demand'!R:R,MATCH(O1047,'Hun Demand'!A:A,0)),"")</f>
        <v/>
      </c>
      <c r="G1047" s="25">
        <f>IFERROR(INDEX('Aub Demand'!W:W,MATCH(O1047,'Aub Demand'!A:A,0)),"")</f>
        <v>268</v>
      </c>
      <c r="H1047" s="25">
        <f>IFERROR(INDEX('Aub Demand'!V:V,MATCH(O1047,'Aub Demand'!A:A,0)),"")</f>
        <v>255</v>
      </c>
      <c r="I1047" s="25">
        <f>IFERROR(INDEX('Aub Demand'!U:U,MATCH(O1047,'Aub Demand'!A:A,0)),"")</f>
        <v>360</v>
      </c>
      <c r="J1047" s="25">
        <f>IFERROR(INDEX('Aub Demand'!T:T,MATCH(O1047,'Aub Demand'!A:A,0)),"")</f>
        <v>223</v>
      </c>
      <c r="K1047" s="25">
        <f>IFERROR(INDEX('Aub Demand'!S:S,MATCH(O1047,'Aub Demand'!A:A,0)),"")</f>
        <v>0</v>
      </c>
      <c r="L1047" s="25">
        <f>IFERROR(INDEX('Aub Demand'!R:R,MATCH(O1047,'Aub Demand'!A:A,0)),"")</f>
        <v>0</v>
      </c>
      <c r="O1047" s="27" t="s">
        <v>1446</v>
      </c>
      <c r="P1047" s="27" t="str">
        <f>IFERROR(INDEX('Aub Demand'!B:B,MATCH($O1047,'Aub Demand'!$A:$A,0)),"")</f>
        <v>FOLKSTONE GRAY</v>
      </c>
      <c r="Q1047" s="27" t="str">
        <f>IFERROR(INDEX('Aub Demand'!C:C,MATCH($O1047,'Aub Demand'!$A:$A,0)),"")</f>
        <v>TECHN</v>
      </c>
      <c r="R1047" s="52">
        <f>IFERROR(IF(AR1048=AR1047,INDEX('Aub Demand'!K:K,MATCH($O1047,'Aub Demand'!$A:$A,0))-IF(AN1047="",0,AN1047)+AP1048,INDEX('Aub Demand'!K:K,MATCH($O1047,'Aub Demand'!$A:$A,0))-IF(AN1047="",0,AN1047)),"")</f>
        <v>16603</v>
      </c>
      <c r="S1047" s="53">
        <f t="shared" si="448"/>
        <v>366.8</v>
      </c>
      <c r="T1047" s="52" t="str">
        <f t="shared" si="449"/>
        <v/>
      </c>
      <c r="U1047" s="52">
        <f>IFERROR(IF(AR1048=AR1047,INDEX('Aub Demand'!Q:Q,MATCH($O1047,'Aub Demand'!$A:$A,0))-IF(AN1047="",0,AN1047)+AP1048,INDEX('Aub Demand'!Q:Q,MATCH($O1047,'Aub Demand'!$A:$A,0))-IF(AN1047="",0,AN1047)),"")</f>
        <v>16154</v>
      </c>
      <c r="V1047" s="53">
        <f t="shared" si="450"/>
        <v>356.9</v>
      </c>
      <c r="W1047" s="52" t="str">
        <f t="shared" si="451"/>
        <v/>
      </c>
      <c r="X1047" s="52">
        <f>IFERROR(IF(AND(AR1048=AR1047,AM1047&lt;&gt;""),INDEX('Aub Demand'!Q:Q,MATCH($O1047,'Aub Demand'!$A:$A,0))-IF(AN1047="",0,AN1047)+AP1048+AD1047+AL1047,IF(AR1048=AR1047,INDEX('Aub Demand'!Q:Q,MATCH($O1047,'Aub Demand'!$A:$A,0))-IF(AN1047="",0,AN1047)+AP1048+AD1047,IF(AM1047&lt;&gt;"",INDEX('Aub Demand'!Q:Q,MATCH($O1047,'Aub Demand'!$A:$A,0))-IF(AN1047="",0,AN1047)+AD1047+AL1047,INDEX('Aub Demand'!Q:Q,MATCH($O1047,'Aub Demand'!$A:$A,0))-IF(AN1047="",0,AN1047)+AD1047))),"")</f>
        <v>16154</v>
      </c>
      <c r="Y1047" s="53">
        <f t="shared" si="452"/>
        <v>356.9</v>
      </c>
      <c r="Z1047" s="52">
        <f>IF(L1047="","",INDEX('Aub Demand'!H:H,MATCH($O1047,'Aub Demand'!$A:$A,0)))</f>
        <v>194</v>
      </c>
      <c r="AA1047" s="52">
        <f t="shared" si="453"/>
        <v>291.5</v>
      </c>
      <c r="AB1047" s="52">
        <f>IFERROR(INDEX('Aub Demand'!L:L,MATCH($O1047,'Aub Demand'!$A:$A,0)),"")</f>
        <v>786</v>
      </c>
      <c r="AC1047" s="52">
        <f>IFERROR(IF(O1047="","",SUMIFS('CPL Mats'!F:F,'CPL Mats'!Q:Q,AR1047,'CPL Mats'!S:S,AS1047)),"")</f>
        <v>0</v>
      </c>
      <c r="AF1047" s="25" t="str">
        <f>IF(SUMIFS('Supp Consol'!S:S,'Supp Consol'!Y:Y,"Releasable",'Supp Consol'!A:A,O1047)=0,"",SUMIFS('Supp Consol'!S:S,'Supp Consol'!Y:Y,"Releasable",'Supp Consol'!A:A,O1047))</f>
        <v/>
      </c>
      <c r="AG1047" s="25" t="str">
        <f>IFERROR(INDEX('Hun Demand'!Q:Q,MATCH(O1047,'Hun Demand'!A:A,0)),"")</f>
        <v/>
      </c>
      <c r="AH1047" s="25" t="str">
        <f>IFERROR(INDEX('Hun Demand'!H:H,MATCH($O1047,'Hun Demand'!$A:$A,0)),"")</f>
        <v/>
      </c>
      <c r="AI1047" s="25" t="str">
        <f>IF(SUMIFS('Supp Consol'!AA:AA,'Supp Consol'!Z:Z,"Expires this month",'Supp Consol'!A:A,O1047)=0,"",SUMIFS('Supp Consol'!AA:AA,'Supp Consol'!Z:Z,"Expires this month",'Supp Consol'!A:A,O1047))</f>
        <v/>
      </c>
      <c r="AJ1047" s="25" t="str">
        <f>IF(SUMIFS('Supp Consol'!AA:AA,'Supp Consol'!Z:Z,"Expired Previous Months",'Supp Consol'!A:A,O1047)=0,"",SUMIFS('Supp Consol'!AA:AA,'Supp Consol'!Z:Z,"Expired Previous Months",'Supp Consol'!A:A,O1047))</f>
        <v/>
      </c>
      <c r="AK1047" s="25" t="str">
        <f>IFERROR(INDEX('Hun Release Current'!B:B,MATCH(O1047,'Hun Release Current'!A:A,0)),"")</f>
        <v/>
      </c>
      <c r="AL1047" s="25" t="str">
        <f>IF(SUMIF('Prev Aub'!A:A,O1047,'Prev Aub'!B:B)=0,"",SUMIF('Prev Aub'!A:A,O1047,'Prev Aub'!B:B))</f>
        <v/>
      </c>
      <c r="AN1047" s="25" t="s">
        <v>3790</v>
      </c>
      <c r="AO1047" s="25" t="s">
        <v>3790</v>
      </c>
      <c r="AP1047" s="25">
        <f t="shared" si="454"/>
        <v>0</v>
      </c>
      <c r="AQ1047" s="151" t="str">
        <f>IF(SUMIFS('Supp Consol'!S:S,'Supp Consol'!A:A,O1047,'Supp Consol'!I:I,"PENDING")=0,"",SUMIFS('Supp Consol'!S:S,'Supp Consol'!A:A,O1047,'Supp Consol'!I:I,"PENDING"))</f>
        <v/>
      </c>
      <c r="AR1047" s="27" t="str">
        <f t="shared" si="455"/>
        <v>SG241</v>
      </c>
      <c r="AS1047" s="27" t="str">
        <f t="shared" si="456"/>
        <v>62</v>
      </c>
      <c r="AT1047" s="27" t="str">
        <f t="shared" si="457"/>
        <v/>
      </c>
      <c r="AU1047" s="27" t="str">
        <f t="shared" si="458"/>
        <v/>
      </c>
      <c r="AV1047" s="27" t="str">
        <f t="shared" si="459"/>
        <v/>
      </c>
      <c r="AW1047" s="27" t="str">
        <f t="shared" si="460"/>
        <v/>
      </c>
      <c r="AX1047" s="27" t="str">
        <f t="shared" si="461"/>
        <v/>
      </c>
      <c r="AY1047" s="27" t="str">
        <f t="shared" si="462"/>
        <v/>
      </c>
      <c r="AZ1047" s="27" t="str">
        <f t="shared" si="463"/>
        <v/>
      </c>
      <c r="BA1047" s="27" t="str">
        <f t="shared" si="464"/>
        <v/>
      </c>
      <c r="BB1047" s="27" t="str">
        <f t="shared" si="465"/>
        <v>Gross</v>
      </c>
      <c r="BC1047" s="27" t="str">
        <f t="shared" si="466"/>
        <v>Net</v>
      </c>
      <c r="BD1047" s="27" t="str">
        <f t="shared" si="467"/>
        <v>Net</v>
      </c>
      <c r="BE1047" s="27" t="str">
        <f t="shared" si="468"/>
        <v/>
      </c>
      <c r="BF1047" s="27" t="str">
        <f t="shared" si="469"/>
        <v/>
      </c>
      <c r="BG1047" s="27" t="str">
        <f t="shared" si="470"/>
        <v/>
      </c>
      <c r="BH1047" s="27" t="str">
        <f t="shared" si="471"/>
        <v/>
      </c>
      <c r="BI1047" s="27" t="str">
        <f t="shared" si="472"/>
        <v/>
      </c>
      <c r="BJ1047" s="27" t="str">
        <f t="shared" si="473"/>
        <v/>
      </c>
      <c r="BK1047" s="27" t="str">
        <f t="shared" si="474"/>
        <v/>
      </c>
      <c r="BL1047" s="27" t="str">
        <f t="shared" si="475"/>
        <v/>
      </c>
      <c r="BM1047" s="21" t="s">
        <v>5581</v>
      </c>
    </row>
    <row r="1048" spans="1:65" ht="15">
      <c r="A1048" s="25" t="str">
        <f>IFERROR(INDEX('Hun Demand'!W:W,MATCH(O1048,'Hun Demand'!A:A,0)),"")</f>
        <v/>
      </c>
      <c r="B1048" s="25" t="str">
        <f>IFERROR(INDEX('Hun Demand'!V:V,MATCH(O1048,'Hun Demand'!A:A,0)),"")</f>
        <v/>
      </c>
      <c r="C1048" s="25" t="str">
        <f>IFERROR(INDEX('Hun Demand'!U:U,MATCH(O1048,'Hun Demand'!A:A,0)),"")</f>
        <v/>
      </c>
      <c r="D1048" s="25" t="str">
        <f>IFERROR(INDEX('Hun Demand'!T:T,MATCH(O1048,'Hun Demand'!A:A,0)),"")</f>
        <v/>
      </c>
      <c r="E1048" s="25" t="str">
        <f>IFERROR(INDEX('Hun Demand'!S:S,MATCH(O1048,'Hun Demand'!A:A,0)),"")</f>
        <v/>
      </c>
      <c r="F1048" s="25" t="str">
        <f>IFERROR(INDEX('Hun Demand'!R:R,MATCH(O1048,'Hun Demand'!A:A,0)),"")</f>
        <v/>
      </c>
      <c r="G1048" s="25">
        <f>IFERROR(INDEX('Aub Demand'!W:W,MATCH(O1048,'Aub Demand'!A:A,0)),"")</f>
        <v>0</v>
      </c>
      <c r="H1048" s="25">
        <f>IFERROR(INDEX('Aub Demand'!V:V,MATCH(O1048,'Aub Demand'!A:A,0)),"")</f>
        <v>0</v>
      </c>
      <c r="I1048" s="25">
        <f>IFERROR(INDEX('Aub Demand'!U:U,MATCH(O1048,'Aub Demand'!A:A,0)),"")</f>
        <v>0</v>
      </c>
      <c r="J1048" s="25">
        <f>IFERROR(INDEX('Aub Demand'!T:T,MATCH(O1048,'Aub Demand'!A:A,0)),"")</f>
        <v>0</v>
      </c>
      <c r="K1048" s="25">
        <f>IFERROR(INDEX('Aub Demand'!S:S,MATCH(O1048,'Aub Demand'!A:A,0)),"")</f>
        <v>0</v>
      </c>
      <c r="L1048" s="25">
        <f>IFERROR(INDEX('Aub Demand'!R:R,MATCH(O1048,'Aub Demand'!A:A,0)),"")</f>
        <v>0</v>
      </c>
      <c r="O1048" s="27" t="s">
        <v>1447</v>
      </c>
      <c r="P1048" s="27" t="str">
        <f>IFERROR(INDEX('Aub Demand'!B:B,MATCH($O1048,'Aub Demand'!$A:$A,0)),"")</f>
        <v>HM GRAY</v>
      </c>
      <c r="Q1048" s="27" t="str">
        <f>IFERROR(INDEX('Aub Demand'!C:C,MATCH($O1048,'Aub Demand'!$A:$A,0)),"")</f>
        <v>ONYX</v>
      </c>
      <c r="R1048" s="52">
        <f>IFERROR(IF(AR1049=AR1048,INDEX('Aub Demand'!K:K,MATCH($O1048,'Aub Demand'!$A:$A,0))-IF(AN1048="",0,AN1048)+AP1049,INDEX('Aub Demand'!K:K,MATCH($O1048,'Aub Demand'!$A:$A,0))-IF(AN1048="",0,AN1048)),"")</f>
        <v>1254</v>
      </c>
      <c r="S1048" s="53" t="str">
        <f t="shared" si="448"/>
        <v>n/a</v>
      </c>
      <c r="T1048" s="52" t="str">
        <f t="shared" si="449"/>
        <v/>
      </c>
      <c r="U1048" s="52">
        <f>IFERROR(IF(AR1049=AR1048,INDEX('Aub Demand'!Q:Q,MATCH($O1048,'Aub Demand'!$A:$A,0))-IF(AN1048="",0,AN1048)+AP1049,INDEX('Aub Demand'!Q:Q,MATCH($O1048,'Aub Demand'!$A:$A,0))-IF(AN1048="",0,AN1048)),"")</f>
        <v>1254</v>
      </c>
      <c r="V1048" s="53" t="str">
        <f t="shared" si="450"/>
        <v>n/a</v>
      </c>
      <c r="W1048" s="52" t="str">
        <f t="shared" si="451"/>
        <v/>
      </c>
      <c r="X1048" s="52">
        <f>IFERROR(IF(AND(AR1049=AR1048,AM1048&lt;&gt;""),INDEX('Aub Demand'!Q:Q,MATCH($O1048,'Aub Demand'!$A:$A,0))-IF(AN1048="",0,AN1048)+AP1049+AD1048+AL1048,IF(AR1049=AR1048,INDEX('Aub Demand'!Q:Q,MATCH($O1048,'Aub Demand'!$A:$A,0))-IF(AN1048="",0,AN1048)+AP1049+AD1048,IF(AM1048&lt;&gt;"",INDEX('Aub Demand'!Q:Q,MATCH($O1048,'Aub Demand'!$A:$A,0))-IF(AN1048="",0,AN1048)+AD1048+AL1048,INDEX('Aub Demand'!Q:Q,MATCH($O1048,'Aub Demand'!$A:$A,0))-IF(AN1048="",0,AN1048)+AD1048))),"")</f>
        <v>1254</v>
      </c>
      <c r="Y1048" s="53" t="str">
        <f t="shared" si="452"/>
        <v>n/a</v>
      </c>
      <c r="Z1048" s="52">
        <f>IF(L1048="","",INDEX('Aub Demand'!H:H,MATCH($O1048,'Aub Demand'!$A:$A,0)))</f>
        <v>0</v>
      </c>
      <c r="AA1048" s="52" t="str">
        <f t="shared" si="453"/>
        <v>-spike-</v>
      </c>
      <c r="AB1048" s="52">
        <f>IFERROR(INDEX('Aub Demand'!L:L,MATCH($O1048,'Aub Demand'!$A:$A,0)),"")</f>
        <v>16</v>
      </c>
      <c r="AC1048" s="52">
        <f>IFERROR(IF(O1048="","",SUMIFS('CPL Mats'!F:F,'CPL Mats'!Q:Q,AR1048,'CPL Mats'!S:S,AS1048)),"")</f>
        <v>0</v>
      </c>
      <c r="AF1048" s="25" t="str">
        <f>IF(SUMIFS('Supp Consol'!S:S,'Supp Consol'!Y:Y,"Releasable",'Supp Consol'!A:A,O1048)=0,"",SUMIFS('Supp Consol'!S:S,'Supp Consol'!Y:Y,"Releasable",'Supp Consol'!A:A,O1048))</f>
        <v/>
      </c>
      <c r="AG1048" s="25" t="str">
        <f>IFERROR(INDEX('Hun Demand'!Q:Q,MATCH(O1048,'Hun Demand'!A:A,0)),"")</f>
        <v/>
      </c>
      <c r="AH1048" s="25" t="str">
        <f>IFERROR(INDEX('Hun Demand'!H:H,MATCH($O1048,'Hun Demand'!$A:$A,0)),"")</f>
        <v/>
      </c>
      <c r="AI1048" s="25" t="str">
        <f>IF(SUMIFS('Supp Consol'!AA:AA,'Supp Consol'!Z:Z,"Expires this month",'Supp Consol'!A:A,O1048)=0,"",SUMIFS('Supp Consol'!AA:AA,'Supp Consol'!Z:Z,"Expires this month",'Supp Consol'!A:A,O1048))</f>
        <v/>
      </c>
      <c r="AJ1048" s="25" t="str">
        <f>IF(SUMIFS('Supp Consol'!AA:AA,'Supp Consol'!Z:Z,"Expired Previous Months",'Supp Consol'!A:A,O1048)=0,"",SUMIFS('Supp Consol'!AA:AA,'Supp Consol'!Z:Z,"Expired Previous Months",'Supp Consol'!A:A,O1048))</f>
        <v/>
      </c>
      <c r="AK1048" s="25" t="str">
        <f>IFERROR(INDEX('Hun Release Current'!B:B,MATCH(O1048,'Hun Release Current'!A:A,0)),"")</f>
        <v/>
      </c>
      <c r="AL1048" s="25" t="str">
        <f>IF(SUMIF('Prev Aub'!A:A,O1048,'Prev Aub'!B:B)=0,"",SUMIF('Prev Aub'!A:A,O1048,'Prev Aub'!B:B))</f>
        <v/>
      </c>
      <c r="AN1048" s="25" t="s">
        <v>3790</v>
      </c>
      <c r="AO1048" s="25" t="s">
        <v>3790</v>
      </c>
      <c r="AP1048" s="25">
        <f t="shared" si="454"/>
        <v>0</v>
      </c>
      <c r="AQ1048" s="151" t="str">
        <f>IF(SUMIFS('Supp Consol'!S:S,'Supp Consol'!A:A,O1048,'Supp Consol'!I:I,"PENDING")=0,"",SUMIFS('Supp Consol'!S:S,'Supp Consol'!A:A,O1048,'Supp Consol'!I:I,"PENDING"))</f>
        <v/>
      </c>
      <c r="AR1048" s="27" t="str">
        <f t="shared" si="455"/>
        <v>SG243</v>
      </c>
      <c r="AS1048" s="27" t="str">
        <f t="shared" si="456"/>
        <v>50</v>
      </c>
      <c r="AT1048" s="27" t="str">
        <f t="shared" si="457"/>
        <v/>
      </c>
      <c r="AU1048" s="27" t="str">
        <f t="shared" si="458"/>
        <v/>
      </c>
      <c r="AV1048" s="27" t="str">
        <f t="shared" si="459"/>
        <v/>
      </c>
      <c r="AW1048" s="27" t="str">
        <f t="shared" si="460"/>
        <v/>
      </c>
      <c r="AX1048" s="27" t="str">
        <f t="shared" si="461"/>
        <v/>
      </c>
      <c r="AY1048" s="27" t="str">
        <f t="shared" si="462"/>
        <v/>
      </c>
      <c r="AZ1048" s="27" t="str">
        <f t="shared" si="463"/>
        <v/>
      </c>
      <c r="BA1048" s="27" t="str">
        <f t="shared" si="464"/>
        <v/>
      </c>
      <c r="BB1048" s="27" t="str">
        <f t="shared" si="465"/>
        <v/>
      </c>
      <c r="BC1048" s="27" t="str">
        <f t="shared" si="466"/>
        <v/>
      </c>
      <c r="BD1048" s="27" t="str">
        <f t="shared" si="467"/>
        <v/>
      </c>
      <c r="BE1048" s="27" t="str">
        <f t="shared" si="468"/>
        <v/>
      </c>
      <c r="BF1048" s="27" t="str">
        <f t="shared" si="469"/>
        <v/>
      </c>
      <c r="BG1048" s="27" t="str">
        <f t="shared" si="470"/>
        <v/>
      </c>
      <c r="BH1048" s="27" t="str">
        <f t="shared" si="471"/>
        <v/>
      </c>
      <c r="BI1048" s="27" t="str">
        <f t="shared" si="472"/>
        <v/>
      </c>
      <c r="BJ1048" s="27" t="str">
        <f t="shared" si="473"/>
        <v/>
      </c>
      <c r="BK1048" s="27" t="str">
        <f t="shared" si="474"/>
        <v/>
      </c>
      <c r="BL1048" s="27" t="str">
        <f t="shared" si="475"/>
        <v/>
      </c>
      <c r="BM1048" s="21" t="s">
        <v>5581</v>
      </c>
    </row>
    <row r="1049" spans="1:65" ht="15">
      <c r="A1049" s="25" t="str">
        <f>IFERROR(INDEX('Hun Demand'!W:W,MATCH(O1049,'Hun Demand'!A:A,0)),"")</f>
        <v/>
      </c>
      <c r="B1049" s="25" t="str">
        <f>IFERROR(INDEX('Hun Demand'!V:V,MATCH(O1049,'Hun Demand'!A:A,0)),"")</f>
        <v/>
      </c>
      <c r="C1049" s="25" t="str">
        <f>IFERROR(INDEX('Hun Demand'!U:U,MATCH(O1049,'Hun Demand'!A:A,0)),"")</f>
        <v/>
      </c>
      <c r="D1049" s="25" t="str">
        <f>IFERROR(INDEX('Hun Demand'!T:T,MATCH(O1049,'Hun Demand'!A:A,0)),"")</f>
        <v/>
      </c>
      <c r="E1049" s="25" t="str">
        <f>IFERROR(INDEX('Hun Demand'!S:S,MATCH(O1049,'Hun Demand'!A:A,0)),"")</f>
        <v/>
      </c>
      <c r="F1049" s="25" t="str">
        <f>IFERROR(INDEX('Hun Demand'!R:R,MATCH(O1049,'Hun Demand'!A:A,0)),"")</f>
        <v/>
      </c>
      <c r="G1049" s="25">
        <f>IFERROR(INDEX('Aub Demand'!W:W,MATCH(O1049,'Aub Demand'!A:A,0)),"")</f>
        <v>0</v>
      </c>
      <c r="H1049" s="25">
        <f>IFERROR(INDEX('Aub Demand'!V:V,MATCH(O1049,'Aub Demand'!A:A,0)),"")</f>
        <v>0</v>
      </c>
      <c r="I1049" s="25">
        <f>IFERROR(INDEX('Aub Demand'!U:U,MATCH(O1049,'Aub Demand'!A:A,0)),"")</f>
        <v>0</v>
      </c>
      <c r="J1049" s="25">
        <f>IFERROR(INDEX('Aub Demand'!T:T,MATCH(O1049,'Aub Demand'!A:A,0)),"")</f>
        <v>0</v>
      </c>
      <c r="K1049" s="25">
        <f>IFERROR(INDEX('Aub Demand'!S:S,MATCH(O1049,'Aub Demand'!A:A,0)),"")</f>
        <v>0</v>
      </c>
      <c r="L1049" s="25">
        <f>IFERROR(INDEX('Aub Demand'!R:R,MATCH(O1049,'Aub Demand'!A:A,0)),"")</f>
        <v>0</v>
      </c>
      <c r="O1049" s="27" t="s">
        <v>1450</v>
      </c>
      <c r="P1049" s="27" t="str">
        <f>IFERROR(INDEX('Aub Demand'!B:B,MATCH($O1049,'Aub Demand'!$A:$A,0)),"")</f>
        <v>HM GRAY</v>
      </c>
      <c r="Q1049" s="27" t="str">
        <f>IFERROR(INDEX('Aub Demand'!C:C,MATCH($O1049,'Aub Demand'!$A:$A,0)),"")</f>
        <v>ONYX</v>
      </c>
      <c r="R1049" s="52">
        <f>IFERROR(IF(AR1050=AR1049,INDEX('Aub Demand'!K:K,MATCH($O1049,'Aub Demand'!$A:$A,0))-IF(AN1049="",0,AN1049)+AP1050,INDEX('Aub Demand'!K:K,MATCH($O1049,'Aub Demand'!$A:$A,0))-IF(AN1049="",0,AN1049)),"")</f>
        <v>1161</v>
      </c>
      <c r="S1049" s="53" t="str">
        <f t="shared" si="448"/>
        <v>n/a</v>
      </c>
      <c r="T1049" s="52" t="str">
        <f t="shared" si="449"/>
        <v/>
      </c>
      <c r="U1049" s="52">
        <f>IFERROR(IF(AR1050=AR1049,INDEX('Aub Demand'!Q:Q,MATCH($O1049,'Aub Demand'!$A:$A,0))-IF(AN1049="",0,AN1049)+AP1050,INDEX('Aub Demand'!Q:Q,MATCH($O1049,'Aub Demand'!$A:$A,0))-IF(AN1049="",0,AN1049)),"")</f>
        <v>1161</v>
      </c>
      <c r="V1049" s="53" t="str">
        <f t="shared" si="450"/>
        <v>n/a</v>
      </c>
      <c r="W1049" s="52" t="str">
        <f t="shared" si="451"/>
        <v/>
      </c>
      <c r="X1049" s="52">
        <f>IFERROR(IF(AND(AR1050=AR1049,AM1049&lt;&gt;""),INDEX('Aub Demand'!Q:Q,MATCH($O1049,'Aub Demand'!$A:$A,0))-IF(AN1049="",0,AN1049)+AP1050+AD1049+AL1049,IF(AR1050=AR1049,INDEX('Aub Demand'!Q:Q,MATCH($O1049,'Aub Demand'!$A:$A,0))-IF(AN1049="",0,AN1049)+AP1050+AD1049,IF(AM1049&lt;&gt;"",INDEX('Aub Demand'!Q:Q,MATCH($O1049,'Aub Demand'!$A:$A,0))-IF(AN1049="",0,AN1049)+AD1049+AL1049,INDEX('Aub Demand'!Q:Q,MATCH($O1049,'Aub Demand'!$A:$A,0))-IF(AN1049="",0,AN1049)+AD1049))),"")</f>
        <v>1161</v>
      </c>
      <c r="Y1049" s="53" t="str">
        <f t="shared" si="452"/>
        <v>n/a</v>
      </c>
      <c r="Z1049" s="52">
        <f>IF(L1049="","",INDEX('Aub Demand'!H:H,MATCH($O1049,'Aub Demand'!$A:$A,0)))</f>
        <v>0</v>
      </c>
      <c r="AA1049" s="52" t="str">
        <f t="shared" si="453"/>
        <v>-spike-</v>
      </c>
      <c r="AB1049" s="52">
        <f>IFERROR(INDEX('Aub Demand'!L:L,MATCH($O1049,'Aub Demand'!$A:$A,0)),"")</f>
        <v>0</v>
      </c>
      <c r="AC1049" s="52">
        <f>IFERROR(IF(O1049="","",SUMIFS('CPL Mats'!F:F,'CPL Mats'!Q:Q,AR1049,'CPL Mats'!S:S,AS1049)),"")</f>
        <v>0</v>
      </c>
      <c r="AF1049" s="25" t="str">
        <f>IF(SUMIFS('Supp Consol'!S:S,'Supp Consol'!Y:Y,"Releasable",'Supp Consol'!A:A,O1049)=0,"",SUMIFS('Supp Consol'!S:S,'Supp Consol'!Y:Y,"Releasable",'Supp Consol'!A:A,O1049))</f>
        <v/>
      </c>
      <c r="AG1049" s="25" t="str">
        <f>IFERROR(INDEX('Hun Demand'!Q:Q,MATCH(O1049,'Hun Demand'!A:A,0)),"")</f>
        <v/>
      </c>
      <c r="AH1049" s="25" t="str">
        <f>IFERROR(INDEX('Hun Demand'!H:H,MATCH($O1049,'Hun Demand'!$A:$A,0)),"")</f>
        <v/>
      </c>
      <c r="AI1049" s="25" t="str">
        <f>IF(SUMIFS('Supp Consol'!AA:AA,'Supp Consol'!Z:Z,"Expires this month",'Supp Consol'!A:A,O1049)=0,"",SUMIFS('Supp Consol'!AA:AA,'Supp Consol'!Z:Z,"Expires this month",'Supp Consol'!A:A,O1049))</f>
        <v/>
      </c>
      <c r="AJ1049" s="25" t="str">
        <f>IF(SUMIFS('Supp Consol'!AA:AA,'Supp Consol'!Z:Z,"Expired Previous Months",'Supp Consol'!A:A,O1049)=0,"",SUMIFS('Supp Consol'!AA:AA,'Supp Consol'!Z:Z,"Expired Previous Months",'Supp Consol'!A:A,O1049))</f>
        <v/>
      </c>
      <c r="AK1049" s="25" t="str">
        <f>IFERROR(INDEX('Hun Release Current'!B:B,MATCH(O1049,'Hun Release Current'!A:A,0)),"")</f>
        <v/>
      </c>
      <c r="AL1049" s="25" t="str">
        <f>IF(SUMIF('Prev Aub'!A:A,O1049,'Prev Aub'!B:B)=0,"",SUMIF('Prev Aub'!A:A,O1049,'Prev Aub'!B:B))</f>
        <v/>
      </c>
      <c r="AN1049" s="25" t="s">
        <v>3790</v>
      </c>
      <c r="AO1049" s="25" t="s">
        <v>3790</v>
      </c>
      <c r="AP1049" s="25">
        <f t="shared" si="454"/>
        <v>0</v>
      </c>
      <c r="AQ1049" s="151" t="str">
        <f>IF(SUMIFS('Supp Consol'!S:S,'Supp Consol'!A:A,O1049,'Supp Consol'!I:I,"PENDING")=0,"",SUMIFS('Supp Consol'!S:S,'Supp Consol'!A:A,O1049,'Supp Consol'!I:I,"PENDING"))</f>
        <v/>
      </c>
      <c r="AR1049" s="27" t="str">
        <f t="shared" si="455"/>
        <v>SG243</v>
      </c>
      <c r="AS1049" s="27" t="str">
        <f t="shared" si="456"/>
        <v>62</v>
      </c>
      <c r="AT1049" s="27" t="str">
        <f t="shared" si="457"/>
        <v/>
      </c>
      <c r="AU1049" s="27" t="str">
        <f t="shared" si="458"/>
        <v/>
      </c>
      <c r="AV1049" s="27" t="str">
        <f t="shared" si="459"/>
        <v/>
      </c>
      <c r="AW1049" s="27" t="str">
        <f t="shared" si="460"/>
        <v/>
      </c>
      <c r="AX1049" s="27" t="str">
        <f t="shared" si="461"/>
        <v/>
      </c>
      <c r="AY1049" s="27" t="str">
        <f t="shared" si="462"/>
        <v/>
      </c>
      <c r="AZ1049" s="27" t="str">
        <f t="shared" si="463"/>
        <v/>
      </c>
      <c r="BA1049" s="27" t="str">
        <f t="shared" si="464"/>
        <v/>
      </c>
      <c r="BB1049" s="27" t="str">
        <f t="shared" si="465"/>
        <v/>
      </c>
      <c r="BC1049" s="27" t="str">
        <f t="shared" si="466"/>
        <v/>
      </c>
      <c r="BD1049" s="27" t="str">
        <f t="shared" si="467"/>
        <v/>
      </c>
      <c r="BE1049" s="27" t="str">
        <f t="shared" si="468"/>
        <v/>
      </c>
      <c r="BF1049" s="27" t="str">
        <f t="shared" si="469"/>
        <v/>
      </c>
      <c r="BG1049" s="27" t="str">
        <f t="shared" si="470"/>
        <v/>
      </c>
      <c r="BH1049" s="27" t="str">
        <f t="shared" si="471"/>
        <v/>
      </c>
      <c r="BI1049" s="27" t="str">
        <f t="shared" si="472"/>
        <v/>
      </c>
      <c r="BJ1049" s="27" t="str">
        <f t="shared" si="473"/>
        <v/>
      </c>
      <c r="BK1049" s="27" t="str">
        <f t="shared" si="474"/>
        <v/>
      </c>
      <c r="BL1049" s="27" t="str">
        <f t="shared" si="475"/>
        <v/>
      </c>
      <c r="BM1049" s="21" t="s">
        <v>5581</v>
      </c>
    </row>
    <row r="1050" spans="1:65" ht="15">
      <c r="A1050" s="25" t="str">
        <f>IFERROR(INDEX('Hun Demand'!W:W,MATCH(O1050,'Hun Demand'!A:A,0)),"")</f>
        <v/>
      </c>
      <c r="B1050" s="25" t="str">
        <f>IFERROR(INDEX('Hun Demand'!V:V,MATCH(O1050,'Hun Demand'!A:A,0)),"")</f>
        <v/>
      </c>
      <c r="C1050" s="25" t="str">
        <f>IFERROR(INDEX('Hun Demand'!U:U,MATCH(O1050,'Hun Demand'!A:A,0)),"")</f>
        <v/>
      </c>
      <c r="D1050" s="25" t="str">
        <f>IFERROR(INDEX('Hun Demand'!T:T,MATCH(O1050,'Hun Demand'!A:A,0)),"")</f>
        <v/>
      </c>
      <c r="E1050" s="25" t="str">
        <f>IFERROR(INDEX('Hun Demand'!S:S,MATCH(O1050,'Hun Demand'!A:A,0)),"")</f>
        <v/>
      </c>
      <c r="F1050" s="25" t="str">
        <f>IFERROR(INDEX('Hun Demand'!R:R,MATCH(O1050,'Hun Demand'!A:A,0)),"")</f>
        <v/>
      </c>
      <c r="G1050" s="25">
        <f>IFERROR(INDEX('Aub Demand'!W:W,MATCH(O1050,'Aub Demand'!A:A,0)),"")</f>
        <v>0</v>
      </c>
      <c r="H1050" s="25">
        <f>IFERROR(INDEX('Aub Demand'!V:V,MATCH(O1050,'Aub Demand'!A:A,0)),"")</f>
        <v>0</v>
      </c>
      <c r="I1050" s="25">
        <f>IFERROR(INDEX('Aub Demand'!U:U,MATCH(O1050,'Aub Demand'!A:A,0)),"")</f>
        <v>0</v>
      </c>
      <c r="J1050" s="25">
        <f>IFERROR(INDEX('Aub Demand'!T:T,MATCH(O1050,'Aub Demand'!A:A,0)),"")</f>
        <v>0</v>
      </c>
      <c r="K1050" s="25">
        <f>IFERROR(INDEX('Aub Demand'!S:S,MATCH(O1050,'Aub Demand'!A:A,0)),"")</f>
        <v>85</v>
      </c>
      <c r="L1050" s="25">
        <f>IFERROR(INDEX('Aub Demand'!R:R,MATCH(O1050,'Aub Demand'!A:A,0)),"")</f>
        <v>0</v>
      </c>
      <c r="O1050" s="27" t="s">
        <v>6426</v>
      </c>
      <c r="P1050" s="27" t="str">
        <f>IFERROR(INDEX('Aub Demand'!B:B,MATCH($O1050,'Aub Demand'!$A:$A,0)),"")</f>
        <v>DOLPHIN GRAY</v>
      </c>
      <c r="Q1050" s="27" t="str">
        <f>IFERROR(INDEX('Aub Demand'!C:C,MATCH($O1050,'Aub Demand'!$A:$A,0)),"")</f>
        <v>ONYX</v>
      </c>
      <c r="R1050" s="52">
        <f>IFERROR(IF(AR1051=AR1050,INDEX('Aub Demand'!K:K,MATCH($O1050,'Aub Demand'!$A:$A,0))-IF(AN1050="",0,AN1050)+AP1051,INDEX('Aub Demand'!K:K,MATCH($O1050,'Aub Demand'!$A:$A,0))-IF(AN1050="",0,AN1050)),"")</f>
        <v>0</v>
      </c>
      <c r="S1050" s="53">
        <f t="shared" si="448"/>
        <v>0</v>
      </c>
      <c r="T1050" s="52" t="str">
        <f t="shared" si="449"/>
        <v/>
      </c>
      <c r="U1050" s="52">
        <f>IFERROR(IF(AR1051=AR1050,INDEX('Aub Demand'!Q:Q,MATCH($O1050,'Aub Demand'!$A:$A,0))-IF(AN1050="",0,AN1050)+AP1051,INDEX('Aub Demand'!Q:Q,MATCH($O1050,'Aub Demand'!$A:$A,0))-IF(AN1050="",0,AN1050)),"")</f>
        <v>-79</v>
      </c>
      <c r="V1050" s="53">
        <f t="shared" si="450"/>
        <v>-12.1</v>
      </c>
      <c r="W1050" s="52" t="str">
        <f t="shared" si="451"/>
        <v/>
      </c>
      <c r="X1050" s="52">
        <f>IFERROR(IF(AND(AR1051=AR1050,AM1050&lt;&gt;""),INDEX('Aub Demand'!Q:Q,MATCH($O1050,'Aub Demand'!$A:$A,0))-IF(AN1050="",0,AN1050)+AP1051+AD1050+AL1050,IF(AR1051=AR1050,INDEX('Aub Demand'!Q:Q,MATCH($O1050,'Aub Demand'!$A:$A,0))-IF(AN1050="",0,AN1050)+AP1051+AD1050,IF(AM1050&lt;&gt;"",INDEX('Aub Demand'!Q:Q,MATCH($O1050,'Aub Demand'!$A:$A,0))-IF(AN1050="",0,AN1050)+AD1050+AL1050,INDEX('Aub Demand'!Q:Q,MATCH($O1050,'Aub Demand'!$A:$A,0))-IF(AN1050="",0,AN1050)+AD1050))),"")</f>
        <v>-79</v>
      </c>
      <c r="Y1050" s="53">
        <f t="shared" si="452"/>
        <v>-12.1</v>
      </c>
      <c r="Z1050" s="52">
        <f>IF(L1050="","",INDEX('Aub Demand'!H:H,MATCH($O1050,'Aub Demand'!$A:$A,0)))</f>
        <v>28</v>
      </c>
      <c r="AA1050" s="52" t="str">
        <f t="shared" si="453"/>
        <v>-spike-</v>
      </c>
      <c r="AB1050" s="52">
        <f>IFERROR(INDEX('Aub Demand'!L:L,MATCH($O1050,'Aub Demand'!$A:$A,0)),"")</f>
        <v>3</v>
      </c>
      <c r="AC1050" s="52">
        <f>IFERROR(IF(O1050="","",SUMIFS('CPL Mats'!F:F,'CPL Mats'!Q:Q,AR1050,'CPL Mats'!S:S,AS1050)),"")</f>
        <v>0</v>
      </c>
      <c r="AF1050" s="25" t="str">
        <f>IF(SUMIFS('Supp Consol'!S:S,'Supp Consol'!Y:Y,"Releasable",'Supp Consol'!A:A,O1050)=0,"",SUMIFS('Supp Consol'!S:S,'Supp Consol'!Y:Y,"Releasable",'Supp Consol'!A:A,O1050))</f>
        <v/>
      </c>
      <c r="AG1050" s="25" t="str">
        <f>IFERROR(INDEX('Hun Demand'!Q:Q,MATCH(O1050,'Hun Demand'!A:A,0)),"")</f>
        <v/>
      </c>
      <c r="AH1050" s="25" t="str">
        <f>IFERROR(INDEX('Hun Demand'!H:H,MATCH($O1050,'Hun Demand'!$A:$A,0)),"")</f>
        <v/>
      </c>
      <c r="AI1050" s="25" t="str">
        <f>IF(SUMIFS('Supp Consol'!AA:AA,'Supp Consol'!Z:Z,"Expires this month",'Supp Consol'!A:A,O1050)=0,"",SUMIFS('Supp Consol'!AA:AA,'Supp Consol'!Z:Z,"Expires this month",'Supp Consol'!A:A,O1050))</f>
        <v/>
      </c>
      <c r="AJ1050" s="25" t="str">
        <f>IF(SUMIFS('Supp Consol'!AA:AA,'Supp Consol'!Z:Z,"Expired Previous Months",'Supp Consol'!A:A,O1050)=0,"",SUMIFS('Supp Consol'!AA:AA,'Supp Consol'!Z:Z,"Expired Previous Months",'Supp Consol'!A:A,O1050))</f>
        <v/>
      </c>
      <c r="AK1050" s="25" t="str">
        <f>IFERROR(INDEX('Hun Release Current'!B:B,MATCH(O1050,'Hun Release Current'!A:A,0)),"")</f>
        <v/>
      </c>
      <c r="AL1050" s="25" t="str">
        <f>IF(SUMIF('Prev Aub'!A:A,O1050,'Prev Aub'!B:B)=0,"",SUMIF('Prev Aub'!A:A,O1050,'Prev Aub'!B:B))</f>
        <v/>
      </c>
      <c r="AN1050" s="25" t="s">
        <v>3790</v>
      </c>
      <c r="AO1050" s="25" t="s">
        <v>3790</v>
      </c>
      <c r="AP1050" s="25">
        <f t="shared" si="454"/>
        <v>0</v>
      </c>
      <c r="AQ1050" s="151" t="str">
        <f>IF(SUMIFS('Supp Consol'!S:S,'Supp Consol'!A:A,O1050,'Supp Consol'!I:I,"PENDING")=0,"",SUMIFS('Supp Consol'!S:S,'Supp Consol'!A:A,O1050,'Supp Consol'!I:I,"PENDING"))</f>
        <v/>
      </c>
      <c r="AR1050" s="27" t="str">
        <f t="shared" si="455"/>
        <v>SG246</v>
      </c>
      <c r="AS1050" s="27" t="str">
        <f t="shared" si="456"/>
        <v>37</v>
      </c>
      <c r="AT1050" s="27" t="str">
        <f t="shared" si="457"/>
        <v>SG246</v>
      </c>
      <c r="AU1050" s="27" t="str">
        <f t="shared" si="458"/>
        <v>SG246</v>
      </c>
      <c r="AV1050" s="27" t="str">
        <f t="shared" si="459"/>
        <v>SG246</v>
      </c>
      <c r="AW1050" s="27" t="str">
        <f t="shared" si="460"/>
        <v/>
      </c>
      <c r="AX1050" s="27" t="str">
        <f t="shared" si="461"/>
        <v/>
      </c>
      <c r="AY1050" s="27" t="str">
        <f t="shared" si="462"/>
        <v/>
      </c>
      <c r="AZ1050" s="27" t="str">
        <f t="shared" si="463"/>
        <v/>
      </c>
      <c r="BA1050" s="27" t="str">
        <f t="shared" si="464"/>
        <v>Hun</v>
      </c>
      <c r="BB1050" s="27" t="str">
        <f t="shared" si="465"/>
        <v>Gross</v>
      </c>
      <c r="BC1050" s="27" t="str">
        <f t="shared" si="466"/>
        <v>Net</v>
      </c>
      <c r="BD1050" s="27" t="str">
        <f t="shared" si="467"/>
        <v>Net</v>
      </c>
      <c r="BE1050" s="27" t="str">
        <f t="shared" si="468"/>
        <v/>
      </c>
      <c r="BF1050" s="27" t="str">
        <f t="shared" si="469"/>
        <v/>
      </c>
      <c r="BG1050" s="27" t="str">
        <f t="shared" si="470"/>
        <v/>
      </c>
      <c r="BH1050" s="27" t="str">
        <f t="shared" si="471"/>
        <v>H+N</v>
      </c>
      <c r="BI1050" s="27" t="str">
        <f t="shared" si="472"/>
        <v>H+Nex</v>
      </c>
      <c r="BJ1050" s="27" t="str">
        <f t="shared" si="473"/>
        <v>Supp or Hun</v>
      </c>
      <c r="BK1050" s="27" t="str">
        <f t="shared" si="474"/>
        <v>Supp or Hun Need</v>
      </c>
      <c r="BL1050" s="27" t="str">
        <f t="shared" si="475"/>
        <v>SorHandNandE</v>
      </c>
      <c r="BM1050" s="21" t="s">
        <v>3790</v>
      </c>
    </row>
    <row r="1051" spans="1:65" ht="15">
      <c r="A1051" s="25">
        <f>IFERROR(INDEX('Hun Demand'!W:W,MATCH(O1051,'Hun Demand'!A:A,0)),"")</f>
        <v>0</v>
      </c>
      <c r="B1051" s="25">
        <f>IFERROR(INDEX('Hun Demand'!V:V,MATCH(O1051,'Hun Demand'!A:A,0)),"")</f>
        <v>0</v>
      </c>
      <c r="C1051" s="25">
        <f>IFERROR(INDEX('Hun Demand'!U:U,MATCH(O1051,'Hun Demand'!A:A,0)),"")</f>
        <v>0</v>
      </c>
      <c r="D1051" s="25">
        <f>IFERROR(INDEX('Hun Demand'!T:T,MATCH(O1051,'Hun Demand'!A:A,0)),"")</f>
        <v>0</v>
      </c>
      <c r="E1051" s="25">
        <f>IFERROR(INDEX('Hun Demand'!S:S,MATCH(O1051,'Hun Demand'!A:A,0)),"")</f>
        <v>0</v>
      </c>
      <c r="F1051" s="25">
        <f>IFERROR(INDEX('Hun Demand'!R:R,MATCH(O1051,'Hun Demand'!A:A,0)),"")</f>
        <v>0</v>
      </c>
      <c r="G1051" s="25">
        <f>IFERROR(INDEX('Aub Demand'!W:W,MATCH(O1051,'Aub Demand'!A:A,0)),"")</f>
        <v>0</v>
      </c>
      <c r="H1051" s="25">
        <f>IFERROR(INDEX('Aub Demand'!V:V,MATCH(O1051,'Aub Demand'!A:A,0)),"")</f>
        <v>26</v>
      </c>
      <c r="I1051" s="25">
        <f>IFERROR(INDEX('Aub Demand'!U:U,MATCH(O1051,'Aub Demand'!A:A,0)),"")</f>
        <v>139</v>
      </c>
      <c r="J1051" s="25">
        <f>IFERROR(INDEX('Aub Demand'!T:T,MATCH(O1051,'Aub Demand'!A:A,0)),"")</f>
        <v>0</v>
      </c>
      <c r="K1051" s="25">
        <f>IFERROR(INDEX('Aub Demand'!S:S,MATCH(O1051,'Aub Demand'!A:A,0)),"")</f>
        <v>60</v>
      </c>
      <c r="L1051" s="25">
        <f>IFERROR(INDEX('Aub Demand'!R:R,MATCH(O1051,'Aub Demand'!A:A,0)),"")</f>
        <v>0</v>
      </c>
      <c r="O1051" s="27" t="s">
        <v>1451</v>
      </c>
      <c r="P1051" s="27" t="str">
        <f>IFERROR(INDEX('Aub Demand'!B:B,MATCH($O1051,'Aub Demand'!$A:$A,0)),"")</f>
        <v>DOLPHIN GRAY</v>
      </c>
      <c r="Q1051" s="27" t="str">
        <f>IFERROR(INDEX('Aub Demand'!C:C,MATCH($O1051,'Aub Demand'!$A:$A,0)),"")</f>
        <v>ONYX</v>
      </c>
      <c r="R1051" s="52">
        <f>IFERROR(IF(AR1052=AR1051,INDEX('Aub Demand'!K:K,MATCH($O1051,'Aub Demand'!$A:$A,0))-IF(AN1051="",0,AN1051)+AP1052,INDEX('Aub Demand'!K:K,MATCH($O1051,'Aub Demand'!$A:$A,0))-IF(AN1051="",0,AN1051)),"")</f>
        <v>9282</v>
      </c>
      <c r="S1051" s="53">
        <f t="shared" si="448"/>
        <v>602.70000000000005</v>
      </c>
      <c r="T1051" s="52" t="str">
        <f t="shared" si="449"/>
        <v/>
      </c>
      <c r="U1051" s="52">
        <f>IFERROR(IF(AR1052=AR1051,INDEX('Aub Demand'!Q:Q,MATCH($O1051,'Aub Demand'!$A:$A,0))-IF(AN1051="",0,AN1051)+AP1052,INDEX('Aub Demand'!Q:Q,MATCH($O1051,'Aub Demand'!$A:$A,0))-IF(AN1051="",0,AN1051)),"")</f>
        <v>9103</v>
      </c>
      <c r="V1051" s="53">
        <f t="shared" si="450"/>
        <v>591.1</v>
      </c>
      <c r="W1051" s="52" t="str">
        <f t="shared" si="451"/>
        <v/>
      </c>
      <c r="X1051" s="52">
        <f>IFERROR(IF(AND(AR1052=AR1051,AM1051&lt;&gt;""),INDEX('Aub Demand'!Q:Q,MATCH($O1051,'Aub Demand'!$A:$A,0))-IF(AN1051="",0,AN1051)+AP1052+AD1051+AL1051,IF(AR1052=AR1051,INDEX('Aub Demand'!Q:Q,MATCH($O1051,'Aub Demand'!$A:$A,0))-IF(AN1051="",0,AN1051)+AP1052+AD1051,IF(AM1051&lt;&gt;"",INDEX('Aub Demand'!Q:Q,MATCH($O1051,'Aub Demand'!$A:$A,0))-IF(AN1051="",0,AN1051)+AD1051+AL1051,INDEX('Aub Demand'!Q:Q,MATCH($O1051,'Aub Demand'!$A:$A,0))-IF(AN1051="",0,AN1051)+AD1051))),"")</f>
        <v>9103</v>
      </c>
      <c r="Y1051" s="53">
        <f t="shared" si="452"/>
        <v>591.1</v>
      </c>
      <c r="Z1051" s="52">
        <f>IF(L1051="","",INDEX('Aub Demand'!H:H,MATCH($O1051,'Aub Demand'!$A:$A,0)))</f>
        <v>66</v>
      </c>
      <c r="AA1051" s="52">
        <f t="shared" si="453"/>
        <v>99.5</v>
      </c>
      <c r="AB1051" s="52">
        <f>IFERROR(INDEX('Aub Demand'!L:L,MATCH($O1051,'Aub Demand'!$A:$A,0)),"")</f>
        <v>2173</v>
      </c>
      <c r="AC1051" s="52">
        <f>IFERROR(IF(O1051="","",SUMIFS('CPL Mats'!F:F,'CPL Mats'!Q:Q,AR1051,'CPL Mats'!S:S,AS1051)),"")</f>
        <v>0</v>
      </c>
      <c r="AF1051" s="25" t="str">
        <f>IF(SUMIFS('Supp Consol'!S:S,'Supp Consol'!Y:Y,"Releasable",'Supp Consol'!A:A,O1051)=0,"",SUMIFS('Supp Consol'!S:S,'Supp Consol'!Y:Y,"Releasable",'Supp Consol'!A:A,O1051))</f>
        <v/>
      </c>
      <c r="AG1051" s="25">
        <f>IFERROR(INDEX('Hun Demand'!Q:Q,MATCH(O1051,'Hun Demand'!A:A,0)),"")</f>
        <v>773</v>
      </c>
      <c r="AH1051" s="25">
        <f>IFERROR(INDEX('Hun Demand'!H:H,MATCH($O1051,'Hun Demand'!$A:$A,0)),"")</f>
        <v>0</v>
      </c>
      <c r="AI1051" s="25" t="str">
        <f>IF(SUMIFS('Supp Consol'!AA:AA,'Supp Consol'!Z:Z,"Expires this month",'Supp Consol'!A:A,O1051)=0,"",SUMIFS('Supp Consol'!AA:AA,'Supp Consol'!Z:Z,"Expires this month",'Supp Consol'!A:A,O1051))</f>
        <v/>
      </c>
      <c r="AJ1051" s="25" t="str">
        <f>IF(SUMIFS('Supp Consol'!AA:AA,'Supp Consol'!Z:Z,"Expired Previous Months",'Supp Consol'!A:A,O1051)=0,"",SUMIFS('Supp Consol'!AA:AA,'Supp Consol'!Z:Z,"Expired Previous Months",'Supp Consol'!A:A,O1051))</f>
        <v/>
      </c>
      <c r="AK1051" s="25" t="str">
        <f>IFERROR(INDEX('Hun Release Current'!B:B,MATCH(O1051,'Hun Release Current'!A:A,0)),"")</f>
        <v/>
      </c>
      <c r="AL1051" s="25" t="str">
        <f>IF(SUMIF('Prev Aub'!A:A,O1051,'Prev Aub'!B:B)=0,"",SUMIF('Prev Aub'!A:A,O1051,'Prev Aub'!B:B))</f>
        <v/>
      </c>
      <c r="AN1051" s="25" t="s">
        <v>3790</v>
      </c>
      <c r="AO1051" s="25" t="s">
        <v>3790</v>
      </c>
      <c r="AP1051" s="25">
        <f t="shared" si="454"/>
        <v>0</v>
      </c>
      <c r="AQ1051" s="151" t="str">
        <f>IF(SUMIFS('Supp Consol'!S:S,'Supp Consol'!A:A,O1051,'Supp Consol'!I:I,"PENDING")=0,"",SUMIFS('Supp Consol'!S:S,'Supp Consol'!A:A,O1051,'Supp Consol'!I:I,"PENDING"))</f>
        <v/>
      </c>
      <c r="AR1051" s="27" t="str">
        <f t="shared" si="455"/>
        <v>SG246</v>
      </c>
      <c r="AS1051" s="27" t="str">
        <f t="shared" si="456"/>
        <v>50</v>
      </c>
      <c r="AT1051" s="27" t="str">
        <f t="shared" si="457"/>
        <v/>
      </c>
      <c r="AU1051" s="27" t="str">
        <f t="shared" si="458"/>
        <v/>
      </c>
      <c r="AV1051" s="27" t="str">
        <f t="shared" si="459"/>
        <v/>
      </c>
      <c r="AW1051" s="27" t="str">
        <f t="shared" si="460"/>
        <v/>
      </c>
      <c r="AX1051" s="27" t="str">
        <f t="shared" si="461"/>
        <v/>
      </c>
      <c r="AY1051" s="27" t="str">
        <f t="shared" si="462"/>
        <v>SG246</v>
      </c>
      <c r="AZ1051" s="27" t="str">
        <f t="shared" si="463"/>
        <v/>
      </c>
      <c r="BA1051" s="27" t="str">
        <f t="shared" si="464"/>
        <v>Hun</v>
      </c>
      <c r="BB1051" s="27" t="str">
        <f t="shared" si="465"/>
        <v>Gross</v>
      </c>
      <c r="BC1051" s="27" t="str">
        <f t="shared" si="466"/>
        <v>Net</v>
      </c>
      <c r="BD1051" s="27" t="str">
        <f t="shared" si="467"/>
        <v>Net</v>
      </c>
      <c r="BE1051" s="27" t="str">
        <f t="shared" si="468"/>
        <v/>
      </c>
      <c r="BF1051" s="27" t="str">
        <f t="shared" si="469"/>
        <v/>
      </c>
      <c r="BG1051" s="27" t="str">
        <f t="shared" si="470"/>
        <v/>
      </c>
      <c r="BH1051" s="27" t="str">
        <f t="shared" si="471"/>
        <v>H+N</v>
      </c>
      <c r="BI1051" s="27" t="str">
        <f t="shared" si="472"/>
        <v>H+Nex</v>
      </c>
      <c r="BJ1051" s="27" t="str">
        <f t="shared" si="473"/>
        <v>Supp or Hun</v>
      </c>
      <c r="BK1051" s="27" t="str">
        <f t="shared" si="474"/>
        <v>Supp or Hun Need</v>
      </c>
      <c r="BL1051" s="27" t="str">
        <f t="shared" si="475"/>
        <v>SorHandNandE</v>
      </c>
      <c r="BM1051" s="21" t="s">
        <v>5581</v>
      </c>
    </row>
    <row r="1052" spans="1:65" ht="15">
      <c r="A1052" s="25" t="str">
        <f>IFERROR(INDEX('Hun Demand'!W:W,MATCH(O1052,'Hun Demand'!A:A,0)),"")</f>
        <v/>
      </c>
      <c r="B1052" s="25" t="str">
        <f>IFERROR(INDEX('Hun Demand'!V:V,MATCH(O1052,'Hun Demand'!A:A,0)),"")</f>
        <v/>
      </c>
      <c r="C1052" s="25" t="str">
        <f>IFERROR(INDEX('Hun Demand'!U:U,MATCH(O1052,'Hun Demand'!A:A,0)),"")</f>
        <v/>
      </c>
      <c r="D1052" s="25" t="str">
        <f>IFERROR(INDEX('Hun Demand'!T:T,MATCH(O1052,'Hun Demand'!A:A,0)),"")</f>
        <v/>
      </c>
      <c r="E1052" s="25" t="str">
        <f>IFERROR(INDEX('Hun Demand'!S:S,MATCH(O1052,'Hun Demand'!A:A,0)),"")</f>
        <v/>
      </c>
      <c r="F1052" s="25" t="str">
        <f>IFERROR(INDEX('Hun Demand'!R:R,MATCH(O1052,'Hun Demand'!A:A,0)),"")</f>
        <v/>
      </c>
      <c r="G1052" s="25">
        <f>IFERROR(INDEX('Aub Demand'!W:W,MATCH(O1052,'Aub Demand'!A:A,0)),"")</f>
        <v>0</v>
      </c>
      <c r="H1052" s="25">
        <f>IFERROR(INDEX('Aub Demand'!V:V,MATCH(O1052,'Aub Demand'!A:A,0)),"")</f>
        <v>139</v>
      </c>
      <c r="I1052" s="25">
        <f>IFERROR(INDEX('Aub Demand'!U:U,MATCH(O1052,'Aub Demand'!A:A,0)),"")</f>
        <v>89</v>
      </c>
      <c r="J1052" s="25">
        <f>IFERROR(INDEX('Aub Demand'!T:T,MATCH(O1052,'Aub Demand'!A:A,0)),"")</f>
        <v>0</v>
      </c>
      <c r="K1052" s="25">
        <f>IFERROR(INDEX('Aub Demand'!S:S,MATCH(O1052,'Aub Demand'!A:A,0)),"")</f>
        <v>0</v>
      </c>
      <c r="L1052" s="25">
        <f>IFERROR(INDEX('Aub Demand'!R:R,MATCH(O1052,'Aub Demand'!A:A,0)),"")</f>
        <v>0</v>
      </c>
      <c r="O1052" s="27" t="s">
        <v>1453</v>
      </c>
      <c r="P1052" s="27" t="str">
        <f>IFERROR(INDEX('Aub Demand'!B:B,MATCH($O1052,'Aub Demand'!$A:$A,0)),"")</f>
        <v>DOLPHIN GRAY</v>
      </c>
      <c r="Q1052" s="27" t="str">
        <f>IFERROR(INDEX('Aub Demand'!C:C,MATCH($O1052,'Aub Demand'!$A:$A,0)),"")</f>
        <v>ONYX</v>
      </c>
      <c r="R1052" s="52">
        <f>IFERROR(IF(AR1053=AR1052,INDEX('Aub Demand'!K:K,MATCH($O1052,'Aub Demand'!$A:$A,0))-IF(AN1052="",0,AN1052)+AP1053,INDEX('Aub Demand'!K:K,MATCH($O1052,'Aub Demand'!$A:$A,0))-IF(AN1052="",0,AN1052)),"")</f>
        <v>2201</v>
      </c>
      <c r="S1052" s="53">
        <f t="shared" si="448"/>
        <v>314.39999999999998</v>
      </c>
      <c r="T1052" s="52" t="str">
        <f t="shared" si="449"/>
        <v/>
      </c>
      <c r="U1052" s="52">
        <f>IFERROR(IF(AR1053=AR1052,INDEX('Aub Demand'!Q:Q,MATCH($O1052,'Aub Demand'!$A:$A,0))-IF(AN1052="",0,AN1052)+AP1053,INDEX('Aub Demand'!Q:Q,MATCH($O1052,'Aub Demand'!$A:$A,0))-IF(AN1052="",0,AN1052)),"")</f>
        <v>2166</v>
      </c>
      <c r="V1052" s="53">
        <f t="shared" si="450"/>
        <v>309.39999999999998</v>
      </c>
      <c r="W1052" s="52" t="str">
        <f t="shared" si="451"/>
        <v/>
      </c>
      <c r="X1052" s="52">
        <f>IFERROR(IF(AND(AR1053=AR1052,AM1052&lt;&gt;""),INDEX('Aub Demand'!Q:Q,MATCH($O1052,'Aub Demand'!$A:$A,0))-IF(AN1052="",0,AN1052)+AP1053+AD1052+AL1052,IF(AR1053=AR1052,INDEX('Aub Demand'!Q:Q,MATCH($O1052,'Aub Demand'!$A:$A,0))-IF(AN1052="",0,AN1052)+AP1053+AD1052,IF(AM1052&lt;&gt;"",INDEX('Aub Demand'!Q:Q,MATCH($O1052,'Aub Demand'!$A:$A,0))-IF(AN1052="",0,AN1052)+AD1052+AL1052,INDEX('Aub Demand'!Q:Q,MATCH($O1052,'Aub Demand'!$A:$A,0))-IF(AN1052="",0,AN1052)+AD1052))),"")</f>
        <v>2166</v>
      </c>
      <c r="Y1052" s="53">
        <f t="shared" si="452"/>
        <v>309.39999999999998</v>
      </c>
      <c r="Z1052" s="52">
        <f>IF(L1052="","",INDEX('Aub Demand'!H:H,MATCH($O1052,'Aub Demand'!$A:$A,0)))</f>
        <v>30</v>
      </c>
      <c r="AA1052" s="52" t="str">
        <f t="shared" si="453"/>
        <v>-spike-</v>
      </c>
      <c r="AB1052" s="52">
        <f>IFERROR(INDEX('Aub Demand'!L:L,MATCH($O1052,'Aub Demand'!$A:$A,0)),"")</f>
        <v>79</v>
      </c>
      <c r="AC1052" s="52">
        <f>IFERROR(IF(O1052="","",SUMIFS('CPL Mats'!F:F,'CPL Mats'!Q:Q,AR1052,'CPL Mats'!S:S,AS1052)),"")</f>
        <v>0</v>
      </c>
      <c r="AF1052" s="25" t="str">
        <f>IF(SUMIFS('Supp Consol'!S:S,'Supp Consol'!Y:Y,"Releasable",'Supp Consol'!A:A,O1052)=0,"",SUMIFS('Supp Consol'!S:S,'Supp Consol'!Y:Y,"Releasable",'Supp Consol'!A:A,O1052))</f>
        <v/>
      </c>
      <c r="AG1052" s="25" t="str">
        <f>IFERROR(INDEX('Hun Demand'!Q:Q,MATCH(O1052,'Hun Demand'!A:A,0)),"")</f>
        <v/>
      </c>
      <c r="AH1052" s="25" t="str">
        <f>IFERROR(INDEX('Hun Demand'!H:H,MATCH($O1052,'Hun Demand'!$A:$A,0)),"")</f>
        <v/>
      </c>
      <c r="AI1052" s="25" t="str">
        <f>IF(SUMIFS('Supp Consol'!AA:AA,'Supp Consol'!Z:Z,"Expires this month",'Supp Consol'!A:A,O1052)=0,"",SUMIFS('Supp Consol'!AA:AA,'Supp Consol'!Z:Z,"Expires this month",'Supp Consol'!A:A,O1052))</f>
        <v/>
      </c>
      <c r="AJ1052" s="25" t="str">
        <f>IF(SUMIFS('Supp Consol'!AA:AA,'Supp Consol'!Z:Z,"Expired Previous Months",'Supp Consol'!A:A,O1052)=0,"",SUMIFS('Supp Consol'!AA:AA,'Supp Consol'!Z:Z,"Expired Previous Months",'Supp Consol'!A:A,O1052))</f>
        <v/>
      </c>
      <c r="AK1052" s="25" t="str">
        <f>IFERROR(INDEX('Hun Release Current'!B:B,MATCH(O1052,'Hun Release Current'!A:A,0)),"")</f>
        <v/>
      </c>
      <c r="AL1052" s="25" t="str">
        <f>IF(SUMIF('Prev Aub'!A:A,O1052,'Prev Aub'!B:B)=0,"",SUMIF('Prev Aub'!A:A,O1052,'Prev Aub'!B:B))</f>
        <v/>
      </c>
      <c r="AN1052" s="25" t="s">
        <v>3790</v>
      </c>
      <c r="AO1052" s="25" t="s">
        <v>3790</v>
      </c>
      <c r="AP1052" s="25">
        <f t="shared" si="454"/>
        <v>0</v>
      </c>
      <c r="AQ1052" s="151" t="str">
        <f>IF(SUMIFS('Supp Consol'!S:S,'Supp Consol'!A:A,O1052,'Supp Consol'!I:I,"PENDING")=0,"",SUMIFS('Supp Consol'!S:S,'Supp Consol'!A:A,O1052,'Supp Consol'!I:I,"PENDING"))</f>
        <v/>
      </c>
      <c r="AR1052" s="27" t="str">
        <f t="shared" si="455"/>
        <v>SG246</v>
      </c>
      <c r="AS1052" s="27" t="str">
        <f t="shared" si="456"/>
        <v>62</v>
      </c>
      <c r="AT1052" s="27" t="str">
        <f t="shared" si="457"/>
        <v/>
      </c>
      <c r="AU1052" s="27" t="str">
        <f t="shared" si="458"/>
        <v/>
      </c>
      <c r="AV1052" s="27" t="str">
        <f t="shared" si="459"/>
        <v/>
      </c>
      <c r="AW1052" s="27" t="str">
        <f t="shared" si="460"/>
        <v/>
      </c>
      <c r="AX1052" s="27" t="str">
        <f t="shared" si="461"/>
        <v/>
      </c>
      <c r="AY1052" s="27" t="str">
        <f t="shared" si="462"/>
        <v/>
      </c>
      <c r="AZ1052" s="27" t="str">
        <f t="shared" si="463"/>
        <v/>
      </c>
      <c r="BA1052" s="27" t="str">
        <f t="shared" si="464"/>
        <v>Hun</v>
      </c>
      <c r="BB1052" s="27" t="str">
        <f t="shared" si="465"/>
        <v>Gross</v>
      </c>
      <c r="BC1052" s="27" t="str">
        <f t="shared" si="466"/>
        <v>Net</v>
      </c>
      <c r="BD1052" s="27" t="str">
        <f t="shared" si="467"/>
        <v>Net</v>
      </c>
      <c r="BE1052" s="27" t="str">
        <f t="shared" si="468"/>
        <v/>
      </c>
      <c r="BF1052" s="27" t="str">
        <f t="shared" si="469"/>
        <v/>
      </c>
      <c r="BG1052" s="27" t="str">
        <f t="shared" si="470"/>
        <v/>
      </c>
      <c r="BH1052" s="27" t="str">
        <f t="shared" si="471"/>
        <v>H+N</v>
      </c>
      <c r="BI1052" s="27" t="str">
        <f t="shared" si="472"/>
        <v>H+Nex</v>
      </c>
      <c r="BJ1052" s="27" t="str">
        <f t="shared" si="473"/>
        <v>Supp or Hun</v>
      </c>
      <c r="BK1052" s="27" t="str">
        <f t="shared" si="474"/>
        <v>Supp or Hun Need</v>
      </c>
      <c r="BL1052" s="27" t="str">
        <f t="shared" si="475"/>
        <v>SorHandNandE</v>
      </c>
      <c r="BM1052" s="21" t="s">
        <v>5581</v>
      </c>
    </row>
    <row r="1053" spans="1:65" ht="15">
      <c r="A1053" s="25" t="str">
        <f>IFERROR(INDEX('Hun Demand'!W:W,MATCH(O1053,'Hun Demand'!A:A,0)),"")</f>
        <v/>
      </c>
      <c r="B1053" s="25" t="str">
        <f>IFERROR(INDEX('Hun Demand'!V:V,MATCH(O1053,'Hun Demand'!A:A,0)),"")</f>
        <v/>
      </c>
      <c r="C1053" s="25" t="str">
        <f>IFERROR(INDEX('Hun Demand'!U:U,MATCH(O1053,'Hun Demand'!A:A,0)),"")</f>
        <v/>
      </c>
      <c r="D1053" s="25" t="str">
        <f>IFERROR(INDEX('Hun Demand'!T:T,MATCH(O1053,'Hun Demand'!A:A,0)),"")</f>
        <v/>
      </c>
      <c r="E1053" s="25" t="str">
        <f>IFERROR(INDEX('Hun Demand'!S:S,MATCH(O1053,'Hun Demand'!A:A,0)),"")</f>
        <v/>
      </c>
      <c r="F1053" s="25" t="str">
        <f>IFERROR(INDEX('Hun Demand'!R:R,MATCH(O1053,'Hun Demand'!A:A,0)),"")</f>
        <v/>
      </c>
      <c r="G1053" s="25">
        <f>IFERROR(INDEX('Aub Demand'!W:W,MATCH(O1053,'Aub Demand'!A:A,0)),"")</f>
        <v>0</v>
      </c>
      <c r="H1053" s="25">
        <f>IFERROR(INDEX('Aub Demand'!V:V,MATCH(O1053,'Aub Demand'!A:A,0)),"")</f>
        <v>0</v>
      </c>
      <c r="I1053" s="25">
        <f>IFERROR(INDEX('Aub Demand'!U:U,MATCH(O1053,'Aub Demand'!A:A,0)),"")</f>
        <v>0</v>
      </c>
      <c r="J1053" s="25">
        <f>IFERROR(INDEX('Aub Demand'!T:T,MATCH(O1053,'Aub Demand'!A:A,0)),"")</f>
        <v>0</v>
      </c>
      <c r="K1053" s="25">
        <f>IFERROR(INDEX('Aub Demand'!S:S,MATCH(O1053,'Aub Demand'!A:A,0)),"")</f>
        <v>0</v>
      </c>
      <c r="L1053" s="25">
        <f>IFERROR(INDEX('Aub Demand'!R:R,MATCH(O1053,'Aub Demand'!A:A,0)),"")</f>
        <v>0</v>
      </c>
      <c r="O1053" s="27" t="s">
        <v>5857</v>
      </c>
      <c r="P1053" s="27" t="str">
        <f>IFERROR(INDEX('Aub Demand'!B:B,MATCH($O1053,'Aub Demand'!$A:$A,0)),"")</f>
        <v>ASH GRAY</v>
      </c>
      <c r="Q1053" s="27" t="str">
        <f>IFERROR(INDEX('Aub Demand'!C:C,MATCH($O1053,'Aub Demand'!$A:$A,0)),"")</f>
        <v>ONYX</v>
      </c>
      <c r="R1053" s="52">
        <f>IFERROR(IF(AR1054=AR1053,INDEX('Aub Demand'!K:K,MATCH($O1053,'Aub Demand'!$A:$A,0))-IF(AN1053="",0,AN1053)+AP1054,INDEX('Aub Demand'!K:K,MATCH($O1053,'Aub Demand'!$A:$A,0))-IF(AN1053="",0,AN1053)),"")</f>
        <v>0</v>
      </c>
      <c r="S1053" s="53" t="str">
        <f t="shared" si="448"/>
        <v>n/a</v>
      </c>
      <c r="T1053" s="52" t="str">
        <f t="shared" si="449"/>
        <v/>
      </c>
      <c r="U1053" s="52">
        <f>IFERROR(IF(AR1054=AR1053,INDEX('Aub Demand'!Q:Q,MATCH($O1053,'Aub Demand'!$A:$A,0))-IF(AN1053="",0,AN1053)+AP1054,INDEX('Aub Demand'!Q:Q,MATCH($O1053,'Aub Demand'!$A:$A,0))-IF(AN1053="",0,AN1053)),"")</f>
        <v>-8</v>
      </c>
      <c r="V1053" s="53" t="str">
        <f t="shared" si="450"/>
        <v>n/a</v>
      </c>
      <c r="W1053" s="52" t="str">
        <f t="shared" si="451"/>
        <v/>
      </c>
      <c r="X1053" s="52">
        <f>IFERROR(IF(AND(AR1054=AR1053,AM1053&lt;&gt;""),INDEX('Aub Demand'!Q:Q,MATCH($O1053,'Aub Demand'!$A:$A,0))-IF(AN1053="",0,AN1053)+AP1054+AD1053+AL1053,IF(AR1054=AR1053,INDEX('Aub Demand'!Q:Q,MATCH($O1053,'Aub Demand'!$A:$A,0))-IF(AN1053="",0,AN1053)+AP1054+AD1053,IF(AM1053&lt;&gt;"",INDEX('Aub Demand'!Q:Q,MATCH($O1053,'Aub Demand'!$A:$A,0))-IF(AN1053="",0,AN1053)+AD1053+AL1053,INDEX('Aub Demand'!Q:Q,MATCH($O1053,'Aub Demand'!$A:$A,0))-IF(AN1053="",0,AN1053)+AD1053))),"")</f>
        <v>-8</v>
      </c>
      <c r="Y1053" s="53" t="str">
        <f t="shared" si="452"/>
        <v>n/a</v>
      </c>
      <c r="Z1053" s="52">
        <f>IF(L1053="","",INDEX('Aub Demand'!H:H,MATCH($O1053,'Aub Demand'!$A:$A,0)))</f>
        <v>0</v>
      </c>
      <c r="AA1053" s="52" t="str">
        <f t="shared" si="453"/>
        <v>-spike-</v>
      </c>
      <c r="AB1053" s="52">
        <f>IFERROR(INDEX('Aub Demand'!L:L,MATCH($O1053,'Aub Demand'!$A:$A,0)),"")</f>
        <v>0</v>
      </c>
      <c r="AC1053" s="52">
        <f>IFERROR(IF(O1053="","",SUMIFS('CPL Mats'!F:F,'CPL Mats'!Q:Q,AR1053,'CPL Mats'!S:S,AS1053)),"")</f>
        <v>0</v>
      </c>
      <c r="AF1053" s="25" t="str">
        <f>IF(SUMIFS('Supp Consol'!S:S,'Supp Consol'!Y:Y,"Releasable",'Supp Consol'!A:A,O1053)=0,"",SUMIFS('Supp Consol'!S:S,'Supp Consol'!Y:Y,"Releasable",'Supp Consol'!A:A,O1053))</f>
        <v/>
      </c>
      <c r="AG1053" s="25" t="str">
        <f>IFERROR(INDEX('Hun Demand'!Q:Q,MATCH(O1053,'Hun Demand'!A:A,0)),"")</f>
        <v/>
      </c>
      <c r="AH1053" s="25" t="str">
        <f>IFERROR(INDEX('Hun Demand'!H:H,MATCH($O1053,'Hun Demand'!$A:$A,0)),"")</f>
        <v/>
      </c>
      <c r="AI1053" s="25" t="str">
        <f>IF(SUMIFS('Supp Consol'!AA:AA,'Supp Consol'!Z:Z,"Expires this month",'Supp Consol'!A:A,O1053)=0,"",SUMIFS('Supp Consol'!AA:AA,'Supp Consol'!Z:Z,"Expires this month",'Supp Consol'!A:A,O1053))</f>
        <v/>
      </c>
      <c r="AJ1053" s="25" t="str">
        <f>IF(SUMIFS('Supp Consol'!AA:AA,'Supp Consol'!Z:Z,"Expired Previous Months",'Supp Consol'!A:A,O1053)=0,"",SUMIFS('Supp Consol'!AA:AA,'Supp Consol'!Z:Z,"Expired Previous Months",'Supp Consol'!A:A,O1053))</f>
        <v/>
      </c>
      <c r="AK1053" s="25" t="str">
        <f>IFERROR(INDEX('Hun Release Current'!B:B,MATCH(O1053,'Hun Release Current'!A:A,0)),"")</f>
        <v/>
      </c>
      <c r="AL1053" s="25" t="str">
        <f>IF(SUMIF('Prev Aub'!A:A,O1053,'Prev Aub'!B:B)=0,"",SUMIF('Prev Aub'!A:A,O1053,'Prev Aub'!B:B))</f>
        <v/>
      </c>
      <c r="AN1053" s="25" t="s">
        <v>3790</v>
      </c>
      <c r="AO1053" s="25" t="s">
        <v>3790</v>
      </c>
      <c r="AP1053" s="25">
        <f t="shared" si="454"/>
        <v>0</v>
      </c>
      <c r="AQ1053" s="151" t="str">
        <f>IF(SUMIFS('Supp Consol'!S:S,'Supp Consol'!A:A,O1053,'Supp Consol'!I:I,"PENDING")=0,"",SUMIFS('Supp Consol'!S:S,'Supp Consol'!A:A,O1053,'Supp Consol'!I:I,"PENDING"))</f>
        <v/>
      </c>
      <c r="AR1053" s="27" t="str">
        <f t="shared" si="455"/>
        <v>SG254</v>
      </c>
      <c r="AS1053" s="27" t="str">
        <f t="shared" si="456"/>
        <v>37</v>
      </c>
      <c r="AT1053" s="27" t="str">
        <f t="shared" si="457"/>
        <v/>
      </c>
      <c r="AU1053" s="27" t="str">
        <f t="shared" si="458"/>
        <v/>
      </c>
      <c r="AV1053" s="27" t="str">
        <f t="shared" si="459"/>
        <v/>
      </c>
      <c r="AW1053" s="27" t="str">
        <f t="shared" si="460"/>
        <v/>
      </c>
      <c r="AX1053" s="27" t="str">
        <f t="shared" si="461"/>
        <v/>
      </c>
      <c r="AY1053" s="27" t="str">
        <f t="shared" si="462"/>
        <v/>
      </c>
      <c r="AZ1053" s="27" t="str">
        <f t="shared" si="463"/>
        <v>Supp</v>
      </c>
      <c r="BA1053" s="27" t="str">
        <f t="shared" si="464"/>
        <v/>
      </c>
      <c r="BB1053" s="27" t="str">
        <f t="shared" si="465"/>
        <v>Gross</v>
      </c>
      <c r="BC1053" s="27" t="str">
        <f t="shared" si="466"/>
        <v>Net</v>
      </c>
      <c r="BD1053" s="27" t="str">
        <f t="shared" si="467"/>
        <v>Net</v>
      </c>
      <c r="BE1053" s="27" t="str">
        <f t="shared" si="468"/>
        <v/>
      </c>
      <c r="BF1053" s="27" t="str">
        <f t="shared" si="469"/>
        <v>S+N</v>
      </c>
      <c r="BG1053" s="27" t="str">
        <f t="shared" si="470"/>
        <v>S+NorE</v>
      </c>
      <c r="BH1053" s="27" t="str">
        <f t="shared" si="471"/>
        <v/>
      </c>
      <c r="BI1053" s="27" t="str">
        <f t="shared" si="472"/>
        <v/>
      </c>
      <c r="BJ1053" s="27" t="str">
        <f t="shared" si="473"/>
        <v>Supp or Hun</v>
      </c>
      <c r="BK1053" s="27" t="str">
        <f t="shared" si="474"/>
        <v>Supp or Hun Need</v>
      </c>
      <c r="BL1053" s="27" t="str">
        <f t="shared" si="475"/>
        <v>SorHandNandE</v>
      </c>
      <c r="BM1053" s="21" t="s">
        <v>3790</v>
      </c>
    </row>
    <row r="1054" spans="1:65" ht="15">
      <c r="A1054" s="25">
        <f>IFERROR(INDEX('Hun Demand'!W:W,MATCH(O1054,'Hun Demand'!A:A,0)),"")</f>
        <v>494</v>
      </c>
      <c r="B1054" s="25">
        <f>IFERROR(INDEX('Hun Demand'!V:V,MATCH(O1054,'Hun Demand'!A:A,0)),"")</f>
        <v>0</v>
      </c>
      <c r="C1054" s="25">
        <f>IFERROR(INDEX('Hun Demand'!U:U,MATCH(O1054,'Hun Demand'!A:A,0)),"")</f>
        <v>791</v>
      </c>
      <c r="D1054" s="25">
        <f>IFERROR(INDEX('Hun Demand'!T:T,MATCH(O1054,'Hun Demand'!A:A,0)),"")</f>
        <v>250</v>
      </c>
      <c r="E1054" s="25">
        <f>IFERROR(INDEX('Hun Demand'!S:S,MATCH(O1054,'Hun Demand'!A:A,0)),"")</f>
        <v>0</v>
      </c>
      <c r="F1054" s="25">
        <f>IFERROR(INDEX('Hun Demand'!R:R,MATCH(O1054,'Hun Demand'!A:A,0)),"")</f>
        <v>0</v>
      </c>
      <c r="G1054" s="25">
        <f>IFERROR(INDEX('Aub Demand'!W:W,MATCH(O1054,'Aub Demand'!A:A,0)),"")</f>
        <v>614</v>
      </c>
      <c r="H1054" s="25">
        <f>IFERROR(INDEX('Aub Demand'!V:V,MATCH(O1054,'Aub Demand'!A:A,0)),"")</f>
        <v>0</v>
      </c>
      <c r="I1054" s="25">
        <f>IFERROR(INDEX('Aub Demand'!U:U,MATCH(O1054,'Aub Demand'!A:A,0)),"")</f>
        <v>609</v>
      </c>
      <c r="J1054" s="25">
        <f>IFERROR(INDEX('Aub Demand'!T:T,MATCH(O1054,'Aub Demand'!A:A,0)),"")</f>
        <v>106</v>
      </c>
      <c r="K1054" s="25">
        <f>IFERROR(INDEX('Aub Demand'!S:S,MATCH(O1054,'Aub Demand'!A:A,0)),"")</f>
        <v>1947</v>
      </c>
      <c r="L1054" s="25">
        <f>IFERROR(INDEX('Aub Demand'!R:R,MATCH(O1054,'Aub Demand'!A:A,0)),"")</f>
        <v>0</v>
      </c>
      <c r="O1054" s="27" t="s">
        <v>1454</v>
      </c>
      <c r="P1054" s="27" t="str">
        <f>IFERROR(INDEX('Aub Demand'!B:B,MATCH($O1054,'Aub Demand'!$A:$A,0)),"")</f>
        <v>ASH GRAY</v>
      </c>
      <c r="Q1054" s="27" t="str">
        <f>IFERROR(INDEX('Aub Demand'!C:C,MATCH($O1054,'Aub Demand'!$A:$A,0)),"")</f>
        <v>ONYX</v>
      </c>
      <c r="R1054" s="52">
        <f>IFERROR(IF(AR1055=AR1054,INDEX('Aub Demand'!K:K,MATCH($O1054,'Aub Demand'!$A:$A,0))-IF(AN1054="",0,AN1054)+AP1055,INDEX('Aub Demand'!K:K,MATCH($O1054,'Aub Demand'!$A:$A,0))-IF(AN1054="",0,AN1054)),"")</f>
        <v>2400</v>
      </c>
      <c r="S1054" s="53">
        <f t="shared" si="448"/>
        <v>11.6</v>
      </c>
      <c r="T1054" s="52" t="str">
        <f t="shared" si="449"/>
        <v/>
      </c>
      <c r="U1054" s="52">
        <f>IFERROR(IF(AR1055=AR1054,INDEX('Aub Demand'!Q:Q,MATCH($O1054,'Aub Demand'!$A:$A,0))-IF(AN1054="",0,AN1054)+AP1055,INDEX('Aub Demand'!Q:Q,MATCH($O1054,'Aub Demand'!$A:$A,0))-IF(AN1054="",0,AN1054)),"")</f>
        <v>994</v>
      </c>
      <c r="V1054" s="53">
        <f t="shared" si="450"/>
        <v>4.8</v>
      </c>
      <c r="W1054" s="52" t="str">
        <f t="shared" si="451"/>
        <v/>
      </c>
      <c r="X1054" s="52">
        <f>IFERROR(IF(AND(AR1055=AR1054,AM1054&lt;&gt;""),INDEX('Aub Demand'!Q:Q,MATCH($O1054,'Aub Demand'!$A:$A,0))-IF(AN1054="",0,AN1054)+AP1055+AD1054+AL1054,IF(AR1055=AR1054,INDEX('Aub Demand'!Q:Q,MATCH($O1054,'Aub Demand'!$A:$A,0))-IF(AN1054="",0,AN1054)+AP1055+AD1054,IF(AM1054&lt;&gt;"",INDEX('Aub Demand'!Q:Q,MATCH($O1054,'Aub Demand'!$A:$A,0))-IF(AN1054="",0,AN1054)+AD1054+AL1054,INDEX('Aub Demand'!Q:Q,MATCH($O1054,'Aub Demand'!$A:$A,0))-IF(AN1054="",0,AN1054)+AD1054))),"")</f>
        <v>994</v>
      </c>
      <c r="Y1054" s="53">
        <f t="shared" si="452"/>
        <v>4.8</v>
      </c>
      <c r="Z1054" s="52">
        <f>IF(L1054="","",INDEX('Aub Demand'!H:H,MATCH($O1054,'Aub Demand'!$A:$A,0)))</f>
        <v>887</v>
      </c>
      <c r="AA1054" s="52">
        <f t="shared" si="453"/>
        <v>1278</v>
      </c>
      <c r="AB1054" s="52">
        <f>IFERROR(INDEX('Aub Demand'!L:L,MATCH($O1054,'Aub Demand'!$A:$A,0)),"")</f>
        <v>303</v>
      </c>
      <c r="AC1054" s="52">
        <f>IFERROR(IF(O1054="","",SUMIFS('CPL Mats'!F:F,'CPL Mats'!Q:Q,AR1054,'CPL Mats'!S:S,AS1054)),"")</f>
        <v>0</v>
      </c>
      <c r="AF1054" s="25" t="str">
        <f>IF(SUMIFS('Supp Consol'!S:S,'Supp Consol'!Y:Y,"Releasable",'Supp Consol'!A:A,O1054)=0,"",SUMIFS('Supp Consol'!S:S,'Supp Consol'!Y:Y,"Releasable",'Supp Consol'!A:A,O1054))</f>
        <v/>
      </c>
      <c r="AG1054" s="25">
        <f>IFERROR(INDEX('Hun Demand'!Q:Q,MATCH(O1054,'Hun Demand'!A:A,0)),"")</f>
        <v>0</v>
      </c>
      <c r="AH1054" s="25">
        <f>IFERROR(INDEX('Hun Demand'!H:H,MATCH($O1054,'Hun Demand'!$A:$A,0)),"")</f>
        <v>347</v>
      </c>
      <c r="AI1054" s="25" t="str">
        <f>IF(SUMIFS('Supp Consol'!AA:AA,'Supp Consol'!Z:Z,"Expires this month",'Supp Consol'!A:A,O1054)=0,"",SUMIFS('Supp Consol'!AA:AA,'Supp Consol'!Z:Z,"Expires this month",'Supp Consol'!A:A,O1054))</f>
        <v/>
      </c>
      <c r="AJ1054" s="25" t="str">
        <f>IF(SUMIFS('Supp Consol'!AA:AA,'Supp Consol'!Z:Z,"Expired Previous Months",'Supp Consol'!A:A,O1054)=0,"",SUMIFS('Supp Consol'!AA:AA,'Supp Consol'!Z:Z,"Expired Previous Months",'Supp Consol'!A:A,O1054))</f>
        <v/>
      </c>
      <c r="AK1054" s="25" t="str">
        <f>IFERROR(INDEX('Hun Release Current'!B:B,MATCH(O1054,'Hun Release Current'!A:A,0)),"")</f>
        <v/>
      </c>
      <c r="AL1054" s="25" t="str">
        <f>IF(SUMIF('Prev Aub'!A:A,O1054,'Prev Aub'!B:B)=0,"",SUMIF('Prev Aub'!A:A,O1054,'Prev Aub'!B:B))</f>
        <v/>
      </c>
      <c r="AN1054" s="25" t="s">
        <v>3790</v>
      </c>
      <c r="AO1054" s="25" t="s">
        <v>3790</v>
      </c>
      <c r="AP1054" s="25">
        <f t="shared" si="454"/>
        <v>0</v>
      </c>
      <c r="AQ1054" s="151" t="str">
        <f>IF(SUMIFS('Supp Consol'!S:S,'Supp Consol'!A:A,O1054,'Supp Consol'!I:I,"PENDING")=0,"",SUMIFS('Supp Consol'!S:S,'Supp Consol'!A:A,O1054,'Supp Consol'!I:I,"PENDING"))</f>
        <v/>
      </c>
      <c r="AR1054" s="27" t="str">
        <f t="shared" si="455"/>
        <v>SG254</v>
      </c>
      <c r="AS1054" s="27" t="str">
        <f t="shared" si="456"/>
        <v>50</v>
      </c>
      <c r="AT1054" s="27" t="str">
        <f t="shared" si="457"/>
        <v/>
      </c>
      <c r="AU1054" s="27" t="str">
        <f t="shared" si="458"/>
        <v/>
      </c>
      <c r="AV1054" s="27" t="str">
        <f t="shared" si="459"/>
        <v/>
      </c>
      <c r="AW1054" s="27" t="str">
        <f t="shared" si="460"/>
        <v/>
      </c>
      <c r="AX1054" s="27" t="str">
        <f t="shared" si="461"/>
        <v/>
      </c>
      <c r="AY1054" s="27" t="str">
        <f t="shared" si="462"/>
        <v/>
      </c>
      <c r="AZ1054" s="27" t="str">
        <f t="shared" si="463"/>
        <v>Supp</v>
      </c>
      <c r="BA1054" s="27" t="str">
        <f t="shared" si="464"/>
        <v/>
      </c>
      <c r="BB1054" s="27" t="str">
        <f t="shared" si="465"/>
        <v>Gross</v>
      </c>
      <c r="BC1054" s="27" t="str">
        <f t="shared" si="466"/>
        <v>Net</v>
      </c>
      <c r="BD1054" s="27" t="str">
        <f t="shared" si="467"/>
        <v>Net</v>
      </c>
      <c r="BE1054" s="27" t="str">
        <f t="shared" si="468"/>
        <v/>
      </c>
      <c r="BF1054" s="27" t="str">
        <f t="shared" si="469"/>
        <v>S+N</v>
      </c>
      <c r="BG1054" s="27" t="str">
        <f t="shared" si="470"/>
        <v>S+NorE</v>
      </c>
      <c r="BH1054" s="27" t="str">
        <f t="shared" si="471"/>
        <v/>
      </c>
      <c r="BI1054" s="27" t="str">
        <f t="shared" si="472"/>
        <v/>
      </c>
      <c r="BJ1054" s="27" t="str">
        <f t="shared" si="473"/>
        <v>Supp or Hun</v>
      </c>
      <c r="BK1054" s="27" t="str">
        <f t="shared" si="474"/>
        <v>Supp or Hun Need</v>
      </c>
      <c r="BL1054" s="27" t="str">
        <f t="shared" si="475"/>
        <v>SorHandNandE</v>
      </c>
      <c r="BM1054" s="21" t="s">
        <v>5581</v>
      </c>
    </row>
    <row r="1055" spans="1:65" ht="15">
      <c r="A1055" s="25" t="str">
        <f>IFERROR(INDEX('Hun Demand'!W:W,MATCH(O1055,'Hun Demand'!A:A,0)),"")</f>
        <v/>
      </c>
      <c r="B1055" s="25" t="str">
        <f>IFERROR(INDEX('Hun Demand'!V:V,MATCH(O1055,'Hun Demand'!A:A,0)),"")</f>
        <v/>
      </c>
      <c r="C1055" s="25" t="str">
        <f>IFERROR(INDEX('Hun Demand'!U:U,MATCH(O1055,'Hun Demand'!A:A,0)),"")</f>
        <v/>
      </c>
      <c r="D1055" s="25" t="str">
        <f>IFERROR(INDEX('Hun Demand'!T:T,MATCH(O1055,'Hun Demand'!A:A,0)),"")</f>
        <v/>
      </c>
      <c r="E1055" s="25" t="str">
        <f>IFERROR(INDEX('Hun Demand'!S:S,MATCH(O1055,'Hun Demand'!A:A,0)),"")</f>
        <v/>
      </c>
      <c r="F1055" s="25" t="str">
        <f>IFERROR(INDEX('Hun Demand'!R:R,MATCH(O1055,'Hun Demand'!A:A,0)),"")</f>
        <v/>
      </c>
      <c r="G1055" s="25">
        <f>IFERROR(INDEX('Aub Demand'!W:W,MATCH(O1055,'Aub Demand'!A:A,0)),"")</f>
        <v>184</v>
      </c>
      <c r="H1055" s="25">
        <f>IFERROR(INDEX('Aub Demand'!V:V,MATCH(O1055,'Aub Demand'!A:A,0)),"")</f>
        <v>265</v>
      </c>
      <c r="I1055" s="25">
        <f>IFERROR(INDEX('Aub Demand'!U:U,MATCH(O1055,'Aub Demand'!A:A,0)),"")</f>
        <v>144</v>
      </c>
      <c r="J1055" s="25">
        <f>IFERROR(INDEX('Aub Demand'!T:T,MATCH(O1055,'Aub Demand'!A:A,0)),"")</f>
        <v>181</v>
      </c>
      <c r="K1055" s="25">
        <f>IFERROR(INDEX('Aub Demand'!S:S,MATCH(O1055,'Aub Demand'!A:A,0)),"")</f>
        <v>0</v>
      </c>
      <c r="L1055" s="25">
        <f>IFERROR(INDEX('Aub Demand'!R:R,MATCH(O1055,'Aub Demand'!A:A,0)),"")</f>
        <v>0</v>
      </c>
      <c r="O1055" s="27" t="s">
        <v>1456</v>
      </c>
      <c r="P1055" s="27" t="str">
        <f>IFERROR(INDEX('Aub Demand'!B:B,MATCH($O1055,'Aub Demand'!$A:$A,0)),"")</f>
        <v>ASH GRAY</v>
      </c>
      <c r="Q1055" s="27" t="str">
        <f>IFERROR(INDEX('Aub Demand'!C:C,MATCH($O1055,'Aub Demand'!$A:$A,0)),"")</f>
        <v>ONYX</v>
      </c>
      <c r="R1055" s="52">
        <f>IFERROR(IF(AR1056=AR1055,INDEX('Aub Demand'!K:K,MATCH($O1055,'Aub Demand'!$A:$A,0))-IF(AN1055="",0,AN1055)+AP1056,INDEX('Aub Demand'!K:K,MATCH($O1055,'Aub Demand'!$A:$A,0))-IF(AN1055="",0,AN1055)),"")</f>
        <v>-2541</v>
      </c>
      <c r="S1055" s="53">
        <f t="shared" si="448"/>
        <v>-100.8</v>
      </c>
      <c r="T1055" s="52">
        <f t="shared" si="449"/>
        <v>4216.875</v>
      </c>
      <c r="U1055" s="52">
        <f>IFERROR(IF(AR1056=AR1055,INDEX('Aub Demand'!Q:Q,MATCH($O1055,'Aub Demand'!$A:$A,0))-IF(AN1055="",0,AN1055)+AP1056,INDEX('Aub Demand'!Q:Q,MATCH($O1055,'Aub Demand'!$A:$A,0))-IF(AN1055="",0,AN1055)),"")</f>
        <v>-2561</v>
      </c>
      <c r="V1055" s="53">
        <f t="shared" si="450"/>
        <v>-101.6</v>
      </c>
      <c r="W1055" s="52">
        <f t="shared" si="451"/>
        <v>4249.375</v>
      </c>
      <c r="X1055" s="52">
        <f>IFERROR(IF(AND(AR1056=AR1055,AM1055&lt;&gt;""),INDEX('Aub Demand'!Q:Q,MATCH($O1055,'Aub Demand'!$A:$A,0))-IF(AN1055="",0,AN1055)+AP1056+AD1055+AL1055,IF(AR1056=AR1055,INDEX('Aub Demand'!Q:Q,MATCH($O1055,'Aub Demand'!$A:$A,0))-IF(AN1055="",0,AN1055)+AP1056+AD1055,IF(AM1055&lt;&gt;"",INDEX('Aub Demand'!Q:Q,MATCH($O1055,'Aub Demand'!$A:$A,0))-IF(AN1055="",0,AN1055)+AD1055+AL1055,INDEX('Aub Demand'!Q:Q,MATCH($O1055,'Aub Demand'!$A:$A,0))-IF(AN1055="",0,AN1055)+AD1055))),"")</f>
        <v>-490</v>
      </c>
      <c r="Y1055" s="53">
        <f t="shared" si="452"/>
        <v>-19.399999999999999</v>
      </c>
      <c r="Z1055" s="52">
        <f>IF(L1055="","",INDEX('Aub Demand'!H:H,MATCH($O1055,'Aub Demand'!$A:$A,0)))</f>
        <v>108</v>
      </c>
      <c r="AA1055" s="52">
        <f t="shared" si="453"/>
        <v>162.5</v>
      </c>
      <c r="AB1055" s="52">
        <f>IFERROR(INDEX('Aub Demand'!L:L,MATCH($O1055,'Aub Demand'!$A:$A,0)),"")</f>
        <v>112</v>
      </c>
      <c r="AC1055" s="52">
        <f>IFERROR(IF(O1055="","",SUMIFS('CPL Mats'!F:F,'CPL Mats'!Q:Q,AR1055,'CPL Mats'!S:S,AS1055)),"")</f>
        <v>0</v>
      </c>
      <c r="AF1055" s="25">
        <f>IF(SUMIFS('Supp Consol'!S:S,'Supp Consol'!Y:Y,"Releasable",'Supp Consol'!A:A,O1055)=0,"",SUMIFS('Supp Consol'!S:S,'Supp Consol'!Y:Y,"Releasable",'Supp Consol'!A:A,O1055))</f>
        <v>2071</v>
      </c>
      <c r="AG1055" s="25" t="str">
        <f>IFERROR(INDEX('Hun Demand'!Q:Q,MATCH(O1055,'Hun Demand'!A:A,0)),"")</f>
        <v/>
      </c>
      <c r="AH1055" s="25" t="str">
        <f>IFERROR(INDEX('Hun Demand'!H:H,MATCH($O1055,'Hun Demand'!$A:$A,0)),"")</f>
        <v/>
      </c>
      <c r="AI1055" s="25" t="str">
        <f>IF(SUMIFS('Supp Consol'!AA:AA,'Supp Consol'!Z:Z,"Expires this month",'Supp Consol'!A:A,O1055)=0,"",SUMIFS('Supp Consol'!AA:AA,'Supp Consol'!Z:Z,"Expires this month",'Supp Consol'!A:A,O1055))</f>
        <v/>
      </c>
      <c r="AJ1055" s="25" t="str">
        <f>IF(SUMIFS('Supp Consol'!AA:AA,'Supp Consol'!Z:Z,"Expired Previous Months",'Supp Consol'!A:A,O1055)=0,"",SUMIFS('Supp Consol'!AA:AA,'Supp Consol'!Z:Z,"Expired Previous Months",'Supp Consol'!A:A,O1055))</f>
        <v/>
      </c>
      <c r="AK1055" s="25" t="str">
        <f>IFERROR(INDEX('Hun Release Current'!B:B,MATCH(O1055,'Hun Release Current'!A:A,0)),"")</f>
        <v/>
      </c>
      <c r="AL1055" s="25">
        <f>IF(SUMIF('Prev Aub'!A:A,O1055,'Prev Aub'!B:B)=0,"",SUMIF('Prev Aub'!A:A,O1055,'Prev Aub'!B:B))</f>
        <v>2071</v>
      </c>
      <c r="AM1055" s="52" t="s">
        <v>3891</v>
      </c>
      <c r="AN1055" s="25">
        <v>3000</v>
      </c>
      <c r="AO1055" s="25" t="s">
        <v>3790</v>
      </c>
      <c r="AP1055" s="25">
        <f t="shared" si="454"/>
        <v>2400</v>
      </c>
      <c r="AQ1055" s="151" t="str">
        <f>IF(SUMIFS('Supp Consol'!S:S,'Supp Consol'!A:A,O1055,'Supp Consol'!I:I,"PENDING")=0,"",SUMIFS('Supp Consol'!S:S,'Supp Consol'!A:A,O1055,'Supp Consol'!I:I,"PENDING"))</f>
        <v/>
      </c>
      <c r="AR1055" s="27" t="str">
        <f t="shared" si="455"/>
        <v>SG254</v>
      </c>
      <c r="AS1055" s="27" t="str">
        <f t="shared" si="456"/>
        <v>62</v>
      </c>
      <c r="AT1055" s="27" t="str">
        <f t="shared" si="457"/>
        <v>SG254</v>
      </c>
      <c r="AU1055" s="27" t="str">
        <f t="shared" si="458"/>
        <v>SG254</v>
      </c>
      <c r="AV1055" s="27" t="str">
        <f t="shared" si="459"/>
        <v>SG254</v>
      </c>
      <c r="AW1055" s="27" t="str">
        <f t="shared" si="460"/>
        <v/>
      </c>
      <c r="AX1055" s="27" t="str">
        <f t="shared" si="461"/>
        <v>SG254</v>
      </c>
      <c r="AY1055" s="27" t="str">
        <f t="shared" si="462"/>
        <v/>
      </c>
      <c r="AZ1055" s="27" t="str">
        <f t="shared" si="463"/>
        <v>Supp</v>
      </c>
      <c r="BA1055" s="27" t="str">
        <f t="shared" si="464"/>
        <v/>
      </c>
      <c r="BB1055" s="27" t="str">
        <f t="shared" si="465"/>
        <v>Gross</v>
      </c>
      <c r="BC1055" s="27" t="str">
        <f t="shared" si="466"/>
        <v>Net</v>
      </c>
      <c r="BD1055" s="27" t="str">
        <f t="shared" si="467"/>
        <v>Net</v>
      </c>
      <c r="BE1055" s="27" t="str">
        <f t="shared" si="468"/>
        <v/>
      </c>
      <c r="BF1055" s="27" t="str">
        <f t="shared" si="469"/>
        <v>S+N</v>
      </c>
      <c r="BG1055" s="27" t="str">
        <f t="shared" si="470"/>
        <v>S+NorE</v>
      </c>
      <c r="BH1055" s="27" t="str">
        <f t="shared" si="471"/>
        <v/>
      </c>
      <c r="BI1055" s="27" t="str">
        <f t="shared" si="472"/>
        <v/>
      </c>
      <c r="BJ1055" s="27" t="str">
        <f t="shared" si="473"/>
        <v>Supp or Hun</v>
      </c>
      <c r="BK1055" s="27" t="str">
        <f t="shared" si="474"/>
        <v>Supp or Hun Need</v>
      </c>
      <c r="BL1055" s="27" t="str">
        <f t="shared" si="475"/>
        <v>SorHandNandE</v>
      </c>
      <c r="BM1055" s="21" t="s">
        <v>5581</v>
      </c>
    </row>
    <row r="1056" spans="1:65" ht="15">
      <c r="A1056" s="25" t="str">
        <f>IFERROR(INDEX('Hun Demand'!W:W,MATCH(O1056,'Hun Demand'!A:A,0)),"")</f>
        <v/>
      </c>
      <c r="B1056" s="25" t="str">
        <f>IFERROR(INDEX('Hun Demand'!V:V,MATCH(O1056,'Hun Demand'!A:A,0)),"")</f>
        <v/>
      </c>
      <c r="C1056" s="25" t="str">
        <f>IFERROR(INDEX('Hun Demand'!U:U,MATCH(O1056,'Hun Demand'!A:A,0)),"")</f>
        <v/>
      </c>
      <c r="D1056" s="25" t="str">
        <f>IFERROR(INDEX('Hun Demand'!T:T,MATCH(O1056,'Hun Demand'!A:A,0)),"")</f>
        <v/>
      </c>
      <c r="E1056" s="25" t="str">
        <f>IFERROR(INDEX('Hun Demand'!S:S,MATCH(O1056,'Hun Demand'!A:A,0)),"")</f>
        <v/>
      </c>
      <c r="F1056" s="25" t="str">
        <f>IFERROR(INDEX('Hun Demand'!R:R,MATCH(O1056,'Hun Demand'!A:A,0)),"")</f>
        <v/>
      </c>
      <c r="G1056" s="25">
        <f>IFERROR(INDEX('Aub Demand'!W:W,MATCH(O1056,'Aub Demand'!A:A,0)),"")</f>
        <v>0</v>
      </c>
      <c r="H1056" s="25">
        <f>IFERROR(INDEX('Aub Demand'!V:V,MATCH(O1056,'Aub Demand'!A:A,0)),"")</f>
        <v>15</v>
      </c>
      <c r="I1056" s="25">
        <f>IFERROR(INDEX('Aub Demand'!U:U,MATCH(O1056,'Aub Demand'!A:A,0)),"")</f>
        <v>0</v>
      </c>
      <c r="J1056" s="25">
        <f>IFERROR(INDEX('Aub Demand'!T:T,MATCH(O1056,'Aub Demand'!A:A,0)),"")</f>
        <v>0</v>
      </c>
      <c r="K1056" s="25">
        <f>IFERROR(INDEX('Aub Demand'!S:S,MATCH(O1056,'Aub Demand'!A:A,0)),"")</f>
        <v>0</v>
      </c>
      <c r="L1056" s="25">
        <f>IFERROR(INDEX('Aub Demand'!R:R,MATCH(O1056,'Aub Demand'!A:A,0)),"")</f>
        <v>0</v>
      </c>
      <c r="O1056" s="27" t="s">
        <v>1457</v>
      </c>
      <c r="P1056" s="27" t="str">
        <f>IFERROR(INDEX('Aub Demand'!B:B,MATCH($O1056,'Aub Demand'!$A:$A,0)),"")</f>
        <v>GRAY HEMATITE (treat</v>
      </c>
      <c r="Q1056" s="27" t="str">
        <f>IFERROR(INDEX('Aub Demand'!C:C,MATCH($O1056,'Aub Demand'!$A:$A,0)),"")</f>
        <v>ELESG</v>
      </c>
      <c r="R1056" s="52">
        <f>IFERROR(IF(AR1057=AR1056,INDEX('Aub Demand'!K:K,MATCH($O1056,'Aub Demand'!$A:$A,0))-IF(AN1056="",0,AN1056)+AP1057,INDEX('Aub Demand'!K:K,MATCH($O1056,'Aub Demand'!$A:$A,0))-IF(AN1056="",0,AN1056)),"")</f>
        <v>1330</v>
      </c>
      <c r="S1056" s="53" t="str">
        <f t="shared" si="448"/>
        <v>n/a</v>
      </c>
      <c r="T1056" s="52" t="str">
        <f t="shared" si="449"/>
        <v/>
      </c>
      <c r="U1056" s="52">
        <f>IFERROR(IF(AR1057=AR1056,INDEX('Aub Demand'!Q:Q,MATCH($O1056,'Aub Demand'!$A:$A,0))-IF(AN1056="",0,AN1056)+AP1057,INDEX('Aub Demand'!Q:Q,MATCH($O1056,'Aub Demand'!$A:$A,0))-IF(AN1056="",0,AN1056)),"")</f>
        <v>964</v>
      </c>
      <c r="V1056" s="53" t="str">
        <f t="shared" si="450"/>
        <v>n/a</v>
      </c>
      <c r="W1056" s="52" t="str">
        <f t="shared" si="451"/>
        <v/>
      </c>
      <c r="X1056" s="52">
        <f>IFERROR(IF(AND(AR1057=AR1056,AM1056&lt;&gt;""),INDEX('Aub Demand'!Q:Q,MATCH($O1056,'Aub Demand'!$A:$A,0))-IF(AN1056="",0,AN1056)+AP1057+AD1056+AL1056,IF(AR1057=AR1056,INDEX('Aub Demand'!Q:Q,MATCH($O1056,'Aub Demand'!$A:$A,0))-IF(AN1056="",0,AN1056)+AP1057+AD1056,IF(AM1056&lt;&gt;"",INDEX('Aub Demand'!Q:Q,MATCH($O1056,'Aub Demand'!$A:$A,0))-IF(AN1056="",0,AN1056)+AD1056+AL1056,INDEX('Aub Demand'!Q:Q,MATCH($O1056,'Aub Demand'!$A:$A,0))-IF(AN1056="",0,AN1056)+AD1056))),"")</f>
        <v>964</v>
      </c>
      <c r="Y1056" s="53" t="str">
        <f t="shared" si="452"/>
        <v>n/a</v>
      </c>
      <c r="Z1056" s="52">
        <f>IF(L1056="","",INDEX('Aub Demand'!H:H,MATCH($O1056,'Aub Demand'!$A:$A,0)))</f>
        <v>0</v>
      </c>
      <c r="AA1056" s="52" t="str">
        <f t="shared" si="453"/>
        <v>-spike-</v>
      </c>
      <c r="AB1056" s="52">
        <f>IFERROR(INDEX('Aub Demand'!L:L,MATCH($O1056,'Aub Demand'!$A:$A,0)),"")</f>
        <v>17</v>
      </c>
      <c r="AC1056" s="52">
        <f>IFERROR(IF(O1056="","",SUMIFS('CPL Mats'!F:F,'CPL Mats'!Q:Q,AR1056,'CPL Mats'!S:S,AS1056)),"")</f>
        <v>0</v>
      </c>
      <c r="AF1056" s="25" t="str">
        <f>IF(SUMIFS('Supp Consol'!S:S,'Supp Consol'!Y:Y,"Releasable",'Supp Consol'!A:A,O1056)=0,"",SUMIFS('Supp Consol'!S:S,'Supp Consol'!Y:Y,"Releasable",'Supp Consol'!A:A,O1056))</f>
        <v/>
      </c>
      <c r="AG1056" s="25" t="str">
        <f>IFERROR(INDEX('Hun Demand'!Q:Q,MATCH(O1056,'Hun Demand'!A:A,0)),"")</f>
        <v/>
      </c>
      <c r="AH1056" s="25" t="str">
        <f>IFERROR(INDEX('Hun Demand'!H:H,MATCH($O1056,'Hun Demand'!$A:$A,0)),"")</f>
        <v/>
      </c>
      <c r="AI1056" s="25" t="str">
        <f>IF(SUMIFS('Supp Consol'!AA:AA,'Supp Consol'!Z:Z,"Expires this month",'Supp Consol'!A:A,O1056)=0,"",SUMIFS('Supp Consol'!AA:AA,'Supp Consol'!Z:Z,"Expires this month",'Supp Consol'!A:A,O1056))</f>
        <v/>
      </c>
      <c r="AJ1056" s="25" t="str">
        <f>IF(SUMIFS('Supp Consol'!AA:AA,'Supp Consol'!Z:Z,"Expired Previous Months",'Supp Consol'!A:A,O1056)=0,"",SUMIFS('Supp Consol'!AA:AA,'Supp Consol'!Z:Z,"Expired Previous Months",'Supp Consol'!A:A,O1056))</f>
        <v/>
      </c>
      <c r="AK1056" s="25" t="str">
        <f>IFERROR(INDEX('Hun Release Current'!B:B,MATCH(O1056,'Hun Release Current'!A:A,0)),"")</f>
        <v/>
      </c>
      <c r="AL1056" s="25" t="str">
        <f>IF(SUMIF('Prev Aub'!A:A,O1056,'Prev Aub'!B:B)=0,"",SUMIF('Prev Aub'!A:A,O1056,'Prev Aub'!B:B))</f>
        <v/>
      </c>
      <c r="AN1056" s="25" t="s">
        <v>3790</v>
      </c>
      <c r="AO1056" s="25" t="s">
        <v>3790</v>
      </c>
      <c r="AP1056" s="25">
        <f t="shared" si="454"/>
        <v>0</v>
      </c>
      <c r="AQ1056" s="151" t="str">
        <f>IF(SUMIFS('Supp Consol'!S:S,'Supp Consol'!A:A,O1056,'Supp Consol'!I:I,"PENDING")=0,"",SUMIFS('Supp Consol'!S:S,'Supp Consol'!A:A,O1056,'Supp Consol'!I:I,"PENDING"))</f>
        <v/>
      </c>
      <c r="AR1056" s="27" t="str">
        <f t="shared" si="455"/>
        <v>SG263</v>
      </c>
      <c r="AS1056" s="27" t="str">
        <f t="shared" si="456"/>
        <v>50</v>
      </c>
      <c r="AT1056" s="27" t="str">
        <f t="shared" si="457"/>
        <v/>
      </c>
      <c r="AU1056" s="27" t="str">
        <f t="shared" si="458"/>
        <v/>
      </c>
      <c r="AV1056" s="27" t="str">
        <f t="shared" si="459"/>
        <v/>
      </c>
      <c r="AW1056" s="27" t="str">
        <f t="shared" si="460"/>
        <v/>
      </c>
      <c r="AX1056" s="27" t="str">
        <f t="shared" si="461"/>
        <v/>
      </c>
      <c r="AY1056" s="27" t="str">
        <f t="shared" si="462"/>
        <v/>
      </c>
      <c r="AZ1056" s="27" t="str">
        <f t="shared" si="463"/>
        <v/>
      </c>
      <c r="BA1056" s="27" t="str">
        <f t="shared" si="464"/>
        <v/>
      </c>
      <c r="BB1056" s="27" t="str">
        <f t="shared" si="465"/>
        <v/>
      </c>
      <c r="BC1056" s="27" t="str">
        <f t="shared" si="466"/>
        <v/>
      </c>
      <c r="BD1056" s="27" t="str">
        <f t="shared" si="467"/>
        <v/>
      </c>
      <c r="BE1056" s="27" t="str">
        <f t="shared" si="468"/>
        <v/>
      </c>
      <c r="BF1056" s="27" t="str">
        <f t="shared" si="469"/>
        <v/>
      </c>
      <c r="BG1056" s="27" t="str">
        <f t="shared" si="470"/>
        <v/>
      </c>
      <c r="BH1056" s="27" t="str">
        <f t="shared" si="471"/>
        <v/>
      </c>
      <c r="BI1056" s="27" t="str">
        <f t="shared" si="472"/>
        <v/>
      </c>
      <c r="BJ1056" s="27" t="str">
        <f t="shared" si="473"/>
        <v/>
      </c>
      <c r="BK1056" s="27" t="str">
        <f t="shared" si="474"/>
        <v/>
      </c>
      <c r="BL1056" s="27" t="str">
        <f t="shared" si="475"/>
        <v/>
      </c>
      <c r="BM1056" s="21" t="s">
        <v>5581</v>
      </c>
    </row>
    <row r="1057" spans="1:65" ht="15">
      <c r="A1057" s="25" t="str">
        <f>IFERROR(INDEX('Hun Demand'!W:W,MATCH(O1057,'Hun Demand'!A:A,0)),"")</f>
        <v/>
      </c>
      <c r="B1057" s="25" t="str">
        <f>IFERROR(INDEX('Hun Demand'!V:V,MATCH(O1057,'Hun Demand'!A:A,0)),"")</f>
        <v/>
      </c>
      <c r="C1057" s="25" t="str">
        <f>IFERROR(INDEX('Hun Demand'!U:U,MATCH(O1057,'Hun Demand'!A:A,0)),"")</f>
        <v/>
      </c>
      <c r="D1057" s="25" t="str">
        <f>IFERROR(INDEX('Hun Demand'!T:T,MATCH(O1057,'Hun Demand'!A:A,0)),"")</f>
        <v/>
      </c>
      <c r="E1057" s="25" t="str">
        <f>IFERROR(INDEX('Hun Demand'!S:S,MATCH(O1057,'Hun Demand'!A:A,0)),"")</f>
        <v/>
      </c>
      <c r="F1057" s="25" t="str">
        <f>IFERROR(INDEX('Hun Demand'!R:R,MATCH(O1057,'Hun Demand'!A:A,0)),"")</f>
        <v/>
      </c>
      <c r="G1057" s="25">
        <f>IFERROR(INDEX('Aub Demand'!W:W,MATCH(O1057,'Aub Demand'!A:A,0)),"")</f>
        <v>0</v>
      </c>
      <c r="H1057" s="25">
        <f>IFERROR(INDEX('Aub Demand'!V:V,MATCH(O1057,'Aub Demand'!A:A,0)),"")</f>
        <v>0</v>
      </c>
      <c r="I1057" s="25">
        <f>IFERROR(INDEX('Aub Demand'!U:U,MATCH(O1057,'Aub Demand'!A:A,0)),"")</f>
        <v>0</v>
      </c>
      <c r="J1057" s="25">
        <f>IFERROR(INDEX('Aub Demand'!T:T,MATCH(O1057,'Aub Demand'!A:A,0)),"")</f>
        <v>0</v>
      </c>
      <c r="K1057" s="25">
        <f>IFERROR(INDEX('Aub Demand'!S:S,MATCH(O1057,'Aub Demand'!A:A,0)),"")</f>
        <v>0</v>
      </c>
      <c r="L1057" s="25">
        <f>IFERROR(INDEX('Aub Demand'!R:R,MATCH(O1057,'Aub Demand'!A:A,0)),"")</f>
        <v>0</v>
      </c>
      <c r="O1057" s="27" t="s">
        <v>1459</v>
      </c>
      <c r="P1057" s="27" t="str">
        <f>IFERROR(INDEX('Aub Demand'!B:B,MATCH($O1057,'Aub Demand'!$A:$A,0)),"")</f>
        <v>ANTIQUITY</v>
      </c>
      <c r="Q1057" s="27" t="str">
        <f>IFERROR(INDEX('Aub Demand'!C:C,MATCH($O1057,'Aub Demand'!$A:$A,0)),"")</f>
        <v>ONYX</v>
      </c>
      <c r="R1057" s="52">
        <f>IFERROR(IF(AR1058=AR1057,INDEX('Aub Demand'!K:K,MATCH($O1057,'Aub Demand'!$A:$A,0))-IF(AN1057="",0,AN1057)+AP1058,INDEX('Aub Demand'!K:K,MATCH($O1057,'Aub Demand'!$A:$A,0))-IF(AN1057="",0,AN1057)),"")</f>
        <v>4577</v>
      </c>
      <c r="S1057" s="53" t="str">
        <f t="shared" si="448"/>
        <v>n/a</v>
      </c>
      <c r="T1057" s="52" t="str">
        <f t="shared" si="449"/>
        <v/>
      </c>
      <c r="U1057" s="52">
        <f>IFERROR(IF(AR1058=AR1057,INDEX('Aub Demand'!Q:Q,MATCH($O1057,'Aub Demand'!$A:$A,0))-IF(AN1057="",0,AN1057)+AP1058,INDEX('Aub Demand'!Q:Q,MATCH($O1057,'Aub Demand'!$A:$A,0))-IF(AN1057="",0,AN1057)),"")</f>
        <v>4577</v>
      </c>
      <c r="V1057" s="53" t="str">
        <f t="shared" si="450"/>
        <v>n/a</v>
      </c>
      <c r="W1057" s="52" t="str">
        <f t="shared" si="451"/>
        <v/>
      </c>
      <c r="X1057" s="52">
        <f>IFERROR(IF(AND(AR1058=AR1057,AM1057&lt;&gt;""),INDEX('Aub Demand'!Q:Q,MATCH($O1057,'Aub Demand'!$A:$A,0))-IF(AN1057="",0,AN1057)+AP1058+AD1057+AL1057,IF(AR1058=AR1057,INDEX('Aub Demand'!Q:Q,MATCH($O1057,'Aub Demand'!$A:$A,0))-IF(AN1057="",0,AN1057)+AP1058+AD1057,IF(AM1057&lt;&gt;"",INDEX('Aub Demand'!Q:Q,MATCH($O1057,'Aub Demand'!$A:$A,0))-IF(AN1057="",0,AN1057)+AD1057+AL1057,INDEX('Aub Demand'!Q:Q,MATCH($O1057,'Aub Demand'!$A:$A,0))-IF(AN1057="",0,AN1057)+AD1057))),"")</f>
        <v>4577</v>
      </c>
      <c r="Y1057" s="53" t="str">
        <f t="shared" si="452"/>
        <v>n/a</v>
      </c>
      <c r="Z1057" s="52">
        <f>IF(L1057="","",INDEX('Aub Demand'!H:H,MATCH($O1057,'Aub Demand'!$A:$A,0)))</f>
        <v>0</v>
      </c>
      <c r="AA1057" s="52" t="str">
        <f t="shared" si="453"/>
        <v>-spike-</v>
      </c>
      <c r="AB1057" s="52">
        <f>IFERROR(INDEX('Aub Demand'!L:L,MATCH($O1057,'Aub Demand'!$A:$A,0)),"")</f>
        <v>15</v>
      </c>
      <c r="AC1057" s="52">
        <f>IFERROR(IF(O1057="","",SUMIFS('CPL Mats'!F:F,'CPL Mats'!Q:Q,AR1057,'CPL Mats'!S:S,AS1057)),"")</f>
        <v>0</v>
      </c>
      <c r="AF1057" s="25" t="str">
        <f>IF(SUMIFS('Supp Consol'!S:S,'Supp Consol'!Y:Y,"Releasable",'Supp Consol'!A:A,O1057)=0,"",SUMIFS('Supp Consol'!S:S,'Supp Consol'!Y:Y,"Releasable",'Supp Consol'!A:A,O1057))</f>
        <v/>
      </c>
      <c r="AG1057" s="25" t="str">
        <f>IFERROR(INDEX('Hun Demand'!Q:Q,MATCH(O1057,'Hun Demand'!A:A,0)),"")</f>
        <v/>
      </c>
      <c r="AH1057" s="25" t="str">
        <f>IFERROR(INDEX('Hun Demand'!H:H,MATCH($O1057,'Hun Demand'!$A:$A,0)),"")</f>
        <v/>
      </c>
      <c r="AI1057" s="25" t="str">
        <f>IF(SUMIFS('Supp Consol'!AA:AA,'Supp Consol'!Z:Z,"Expires this month",'Supp Consol'!A:A,O1057)=0,"",SUMIFS('Supp Consol'!AA:AA,'Supp Consol'!Z:Z,"Expires this month",'Supp Consol'!A:A,O1057))</f>
        <v/>
      </c>
      <c r="AJ1057" s="25" t="str">
        <f>IF(SUMIFS('Supp Consol'!AA:AA,'Supp Consol'!Z:Z,"Expired Previous Months",'Supp Consol'!A:A,O1057)=0,"",SUMIFS('Supp Consol'!AA:AA,'Supp Consol'!Z:Z,"Expired Previous Months",'Supp Consol'!A:A,O1057))</f>
        <v/>
      </c>
      <c r="AK1057" s="25" t="str">
        <f>IFERROR(INDEX('Hun Release Current'!B:B,MATCH(O1057,'Hun Release Current'!A:A,0)),"")</f>
        <v/>
      </c>
      <c r="AL1057" s="25" t="str">
        <f>IF(SUMIF('Prev Aub'!A:A,O1057,'Prev Aub'!B:B)=0,"",SUMIF('Prev Aub'!A:A,O1057,'Prev Aub'!B:B))</f>
        <v/>
      </c>
      <c r="AN1057" s="25" t="s">
        <v>3790</v>
      </c>
      <c r="AO1057" s="25" t="s">
        <v>3790</v>
      </c>
      <c r="AP1057" s="25">
        <f t="shared" si="454"/>
        <v>0</v>
      </c>
      <c r="AQ1057" s="151" t="str">
        <f>IF(SUMIFS('Supp Consol'!S:S,'Supp Consol'!A:A,O1057,'Supp Consol'!I:I,"PENDING")=0,"",SUMIFS('Supp Consol'!S:S,'Supp Consol'!A:A,O1057,'Supp Consol'!I:I,"PENDING"))</f>
        <v/>
      </c>
      <c r="AR1057" s="27" t="str">
        <f t="shared" si="455"/>
        <v>SG266</v>
      </c>
      <c r="AS1057" s="27" t="str">
        <f t="shared" si="456"/>
        <v>50</v>
      </c>
      <c r="AT1057" s="27" t="str">
        <f t="shared" si="457"/>
        <v/>
      </c>
      <c r="AU1057" s="27" t="str">
        <f t="shared" si="458"/>
        <v/>
      </c>
      <c r="AV1057" s="27" t="str">
        <f t="shared" si="459"/>
        <v/>
      </c>
      <c r="AW1057" s="27" t="str">
        <f t="shared" si="460"/>
        <v/>
      </c>
      <c r="AX1057" s="27" t="str">
        <f t="shared" si="461"/>
        <v/>
      </c>
      <c r="AY1057" s="27" t="str">
        <f t="shared" si="462"/>
        <v/>
      </c>
      <c r="AZ1057" s="27" t="str">
        <f t="shared" si="463"/>
        <v/>
      </c>
      <c r="BA1057" s="27" t="str">
        <f t="shared" si="464"/>
        <v/>
      </c>
      <c r="BB1057" s="27" t="str">
        <f t="shared" si="465"/>
        <v/>
      </c>
      <c r="BC1057" s="27" t="str">
        <f t="shared" si="466"/>
        <v/>
      </c>
      <c r="BD1057" s="27" t="str">
        <f t="shared" si="467"/>
        <v/>
      </c>
      <c r="BE1057" s="27" t="str">
        <f t="shared" si="468"/>
        <v/>
      </c>
      <c r="BF1057" s="27" t="str">
        <f t="shared" si="469"/>
        <v/>
      </c>
      <c r="BG1057" s="27" t="str">
        <f t="shared" si="470"/>
        <v/>
      </c>
      <c r="BH1057" s="27" t="str">
        <f t="shared" si="471"/>
        <v/>
      </c>
      <c r="BI1057" s="27" t="str">
        <f t="shared" si="472"/>
        <v/>
      </c>
      <c r="BJ1057" s="27" t="str">
        <f t="shared" si="473"/>
        <v/>
      </c>
      <c r="BK1057" s="27" t="str">
        <f t="shared" si="474"/>
        <v/>
      </c>
      <c r="BL1057" s="27" t="str">
        <f t="shared" si="475"/>
        <v/>
      </c>
      <c r="BM1057" s="21" t="s">
        <v>5581</v>
      </c>
    </row>
    <row r="1058" spans="1:65" ht="15">
      <c r="A1058" s="25" t="str">
        <f>IFERROR(INDEX('Hun Demand'!W:W,MATCH(O1058,'Hun Demand'!A:A,0)),"")</f>
        <v/>
      </c>
      <c r="B1058" s="25" t="str">
        <f>IFERROR(INDEX('Hun Demand'!V:V,MATCH(O1058,'Hun Demand'!A:A,0)),"")</f>
        <v/>
      </c>
      <c r="C1058" s="25" t="str">
        <f>IFERROR(INDEX('Hun Demand'!U:U,MATCH(O1058,'Hun Demand'!A:A,0)),"")</f>
        <v/>
      </c>
      <c r="D1058" s="25" t="str">
        <f>IFERROR(INDEX('Hun Demand'!T:T,MATCH(O1058,'Hun Demand'!A:A,0)),"")</f>
        <v/>
      </c>
      <c r="E1058" s="25" t="str">
        <f>IFERROR(INDEX('Hun Demand'!S:S,MATCH(O1058,'Hun Demand'!A:A,0)),"")</f>
        <v/>
      </c>
      <c r="F1058" s="25" t="str">
        <f>IFERROR(INDEX('Hun Demand'!R:R,MATCH(O1058,'Hun Demand'!A:A,0)),"")</f>
        <v/>
      </c>
      <c r="G1058" s="25">
        <f>IFERROR(INDEX('Aub Demand'!W:W,MATCH(O1058,'Aub Demand'!A:A,0)),"")</f>
        <v>319</v>
      </c>
      <c r="H1058" s="25">
        <f>IFERROR(INDEX('Aub Demand'!V:V,MATCH(O1058,'Aub Demand'!A:A,0)),"")</f>
        <v>0</v>
      </c>
      <c r="I1058" s="25">
        <f>IFERROR(INDEX('Aub Demand'!U:U,MATCH(O1058,'Aub Demand'!A:A,0)),"")</f>
        <v>0</v>
      </c>
      <c r="J1058" s="25">
        <f>IFERROR(INDEX('Aub Demand'!T:T,MATCH(O1058,'Aub Demand'!A:A,0)),"")</f>
        <v>0</v>
      </c>
      <c r="K1058" s="25">
        <f>IFERROR(INDEX('Aub Demand'!S:S,MATCH(O1058,'Aub Demand'!A:A,0)),"")</f>
        <v>0</v>
      </c>
      <c r="L1058" s="25">
        <f>IFERROR(INDEX('Aub Demand'!R:R,MATCH(O1058,'Aub Demand'!A:A,0)),"")</f>
        <v>0</v>
      </c>
      <c r="O1058" s="27" t="s">
        <v>1461</v>
      </c>
      <c r="P1058" s="27" t="str">
        <f>IFERROR(INDEX('Aub Demand'!B:B,MATCH($O1058,'Aub Demand'!$A:$A,0)),"")</f>
        <v>ANTIQUITY</v>
      </c>
      <c r="Q1058" s="27" t="str">
        <f>IFERROR(INDEX('Aub Demand'!C:C,MATCH($O1058,'Aub Demand'!$A:$A,0)),"")</f>
        <v>ONYX</v>
      </c>
      <c r="R1058" s="52">
        <f>IFERROR(IF(AR1059=AR1058,INDEX('Aub Demand'!K:K,MATCH($O1058,'Aub Demand'!$A:$A,0))-IF(AN1058="",0,AN1058)+AP1059,INDEX('Aub Demand'!K:K,MATCH($O1058,'Aub Demand'!$A:$A,0))-IF(AN1058="",0,AN1058)),"")</f>
        <v>2274</v>
      </c>
      <c r="S1058" s="53" t="str">
        <f t="shared" si="448"/>
        <v>n/a</v>
      </c>
      <c r="T1058" s="52" t="str">
        <f t="shared" si="449"/>
        <v/>
      </c>
      <c r="U1058" s="52">
        <f>IFERROR(IF(AR1059=AR1058,INDEX('Aub Demand'!Q:Q,MATCH($O1058,'Aub Demand'!$A:$A,0))-IF(AN1058="",0,AN1058)+AP1059,INDEX('Aub Demand'!Q:Q,MATCH($O1058,'Aub Demand'!$A:$A,0))-IF(AN1058="",0,AN1058)),"")</f>
        <v>2274</v>
      </c>
      <c r="V1058" s="53" t="str">
        <f t="shared" si="450"/>
        <v>n/a</v>
      </c>
      <c r="W1058" s="52" t="str">
        <f t="shared" si="451"/>
        <v/>
      </c>
      <c r="X1058" s="52">
        <f>IFERROR(IF(AND(AR1059=AR1058,AM1058&lt;&gt;""),INDEX('Aub Demand'!Q:Q,MATCH($O1058,'Aub Demand'!$A:$A,0))-IF(AN1058="",0,AN1058)+AP1059+AD1058+AL1058,IF(AR1059=AR1058,INDEX('Aub Demand'!Q:Q,MATCH($O1058,'Aub Demand'!$A:$A,0))-IF(AN1058="",0,AN1058)+AP1059+AD1058,IF(AM1058&lt;&gt;"",INDEX('Aub Demand'!Q:Q,MATCH($O1058,'Aub Demand'!$A:$A,0))-IF(AN1058="",0,AN1058)+AD1058+AL1058,INDEX('Aub Demand'!Q:Q,MATCH($O1058,'Aub Demand'!$A:$A,0))-IF(AN1058="",0,AN1058)+AD1058))),"")</f>
        <v>2274</v>
      </c>
      <c r="Y1058" s="53" t="str">
        <f t="shared" si="452"/>
        <v>n/a</v>
      </c>
      <c r="Z1058" s="52">
        <f>IF(L1058="","",INDEX('Aub Demand'!H:H,MATCH($O1058,'Aub Demand'!$A:$A,0)))</f>
        <v>0</v>
      </c>
      <c r="AA1058" s="52" t="str">
        <f t="shared" si="453"/>
        <v>-spike-</v>
      </c>
      <c r="AB1058" s="52">
        <f>IFERROR(INDEX('Aub Demand'!L:L,MATCH($O1058,'Aub Demand'!$A:$A,0)),"")</f>
        <v>52</v>
      </c>
      <c r="AC1058" s="52">
        <f>IFERROR(IF(O1058="","",SUMIFS('CPL Mats'!F:F,'CPL Mats'!Q:Q,AR1058,'CPL Mats'!S:S,AS1058)),"")</f>
        <v>0</v>
      </c>
      <c r="AF1058" s="25" t="str">
        <f>IF(SUMIFS('Supp Consol'!S:S,'Supp Consol'!Y:Y,"Releasable",'Supp Consol'!A:A,O1058)=0,"",SUMIFS('Supp Consol'!S:S,'Supp Consol'!Y:Y,"Releasable",'Supp Consol'!A:A,O1058))</f>
        <v/>
      </c>
      <c r="AG1058" s="25" t="str">
        <f>IFERROR(INDEX('Hun Demand'!Q:Q,MATCH(O1058,'Hun Demand'!A:A,0)),"")</f>
        <v/>
      </c>
      <c r="AH1058" s="25" t="str">
        <f>IFERROR(INDEX('Hun Demand'!H:H,MATCH($O1058,'Hun Demand'!$A:$A,0)),"")</f>
        <v/>
      </c>
      <c r="AI1058" s="25" t="str">
        <f>IF(SUMIFS('Supp Consol'!AA:AA,'Supp Consol'!Z:Z,"Expires this month",'Supp Consol'!A:A,O1058)=0,"",SUMIFS('Supp Consol'!AA:AA,'Supp Consol'!Z:Z,"Expires this month",'Supp Consol'!A:A,O1058))</f>
        <v/>
      </c>
      <c r="AJ1058" s="25" t="str">
        <f>IF(SUMIFS('Supp Consol'!AA:AA,'Supp Consol'!Z:Z,"Expired Previous Months",'Supp Consol'!A:A,O1058)=0,"",SUMIFS('Supp Consol'!AA:AA,'Supp Consol'!Z:Z,"Expired Previous Months",'Supp Consol'!A:A,O1058))</f>
        <v/>
      </c>
      <c r="AK1058" s="25" t="str">
        <f>IFERROR(INDEX('Hun Release Current'!B:B,MATCH(O1058,'Hun Release Current'!A:A,0)),"")</f>
        <v/>
      </c>
      <c r="AL1058" s="25" t="str">
        <f>IF(SUMIF('Prev Aub'!A:A,O1058,'Prev Aub'!B:B)=0,"",SUMIF('Prev Aub'!A:A,O1058,'Prev Aub'!B:B))</f>
        <v/>
      </c>
      <c r="AN1058" s="25" t="s">
        <v>3790</v>
      </c>
      <c r="AO1058" s="25" t="s">
        <v>3790</v>
      </c>
      <c r="AP1058" s="25">
        <f t="shared" si="454"/>
        <v>0</v>
      </c>
      <c r="AQ1058" s="151" t="str">
        <f>IF(SUMIFS('Supp Consol'!S:S,'Supp Consol'!A:A,O1058,'Supp Consol'!I:I,"PENDING")=0,"",SUMIFS('Supp Consol'!S:S,'Supp Consol'!A:A,O1058,'Supp Consol'!I:I,"PENDING"))</f>
        <v/>
      </c>
      <c r="AR1058" s="27" t="str">
        <f t="shared" si="455"/>
        <v>SG266</v>
      </c>
      <c r="AS1058" s="27" t="str">
        <f t="shared" si="456"/>
        <v>62</v>
      </c>
      <c r="AT1058" s="27" t="str">
        <f t="shared" si="457"/>
        <v/>
      </c>
      <c r="AU1058" s="27" t="str">
        <f t="shared" si="458"/>
        <v/>
      </c>
      <c r="AV1058" s="27" t="str">
        <f t="shared" si="459"/>
        <v/>
      </c>
      <c r="AW1058" s="27" t="str">
        <f t="shared" si="460"/>
        <v/>
      </c>
      <c r="AX1058" s="27" t="str">
        <f t="shared" si="461"/>
        <v/>
      </c>
      <c r="AY1058" s="27" t="str">
        <f t="shared" si="462"/>
        <v/>
      </c>
      <c r="AZ1058" s="27" t="str">
        <f t="shared" si="463"/>
        <v/>
      </c>
      <c r="BA1058" s="27" t="str">
        <f t="shared" si="464"/>
        <v/>
      </c>
      <c r="BB1058" s="27" t="str">
        <f t="shared" si="465"/>
        <v/>
      </c>
      <c r="BC1058" s="27" t="str">
        <f t="shared" si="466"/>
        <v/>
      </c>
      <c r="BD1058" s="27" t="str">
        <f t="shared" si="467"/>
        <v/>
      </c>
      <c r="BE1058" s="27" t="str">
        <f t="shared" si="468"/>
        <v/>
      </c>
      <c r="BF1058" s="27" t="str">
        <f t="shared" si="469"/>
        <v/>
      </c>
      <c r="BG1058" s="27" t="str">
        <f t="shared" si="470"/>
        <v/>
      </c>
      <c r="BH1058" s="27" t="str">
        <f t="shared" si="471"/>
        <v/>
      </c>
      <c r="BI1058" s="27" t="str">
        <f t="shared" si="472"/>
        <v/>
      </c>
      <c r="BJ1058" s="27" t="str">
        <f t="shared" si="473"/>
        <v/>
      </c>
      <c r="BK1058" s="27" t="str">
        <f t="shared" si="474"/>
        <v/>
      </c>
      <c r="BL1058" s="27" t="str">
        <f t="shared" si="475"/>
        <v/>
      </c>
      <c r="BM1058" s="21" t="s">
        <v>5581</v>
      </c>
    </row>
    <row r="1059" spans="1:65" ht="15">
      <c r="A1059" s="25" t="str">
        <f>IFERROR(INDEX('Hun Demand'!W:W,MATCH(O1059,'Hun Demand'!A:A,0)),"")</f>
        <v/>
      </c>
      <c r="B1059" s="25" t="str">
        <f>IFERROR(INDEX('Hun Demand'!V:V,MATCH(O1059,'Hun Demand'!A:A,0)),"")</f>
        <v/>
      </c>
      <c r="C1059" s="25" t="str">
        <f>IFERROR(INDEX('Hun Demand'!U:U,MATCH(O1059,'Hun Demand'!A:A,0)),"")</f>
        <v/>
      </c>
      <c r="D1059" s="25" t="str">
        <f>IFERROR(INDEX('Hun Demand'!T:T,MATCH(O1059,'Hun Demand'!A:A,0)),"")</f>
        <v/>
      </c>
      <c r="E1059" s="25" t="str">
        <f>IFERROR(INDEX('Hun Demand'!S:S,MATCH(O1059,'Hun Demand'!A:A,0)),"")</f>
        <v/>
      </c>
      <c r="F1059" s="25" t="str">
        <f>IFERROR(INDEX('Hun Demand'!R:R,MATCH(O1059,'Hun Demand'!A:A,0)),"")</f>
        <v/>
      </c>
      <c r="G1059" s="25">
        <f>IFERROR(INDEX('Aub Demand'!W:W,MATCH(O1059,'Aub Demand'!A:A,0)),"")</f>
        <v>0</v>
      </c>
      <c r="H1059" s="25">
        <f>IFERROR(INDEX('Aub Demand'!V:V,MATCH(O1059,'Aub Demand'!A:A,0)),"")</f>
        <v>0</v>
      </c>
      <c r="I1059" s="25">
        <f>IFERROR(INDEX('Aub Demand'!U:U,MATCH(O1059,'Aub Demand'!A:A,0)),"")</f>
        <v>0</v>
      </c>
      <c r="J1059" s="25">
        <f>IFERROR(INDEX('Aub Demand'!T:T,MATCH(O1059,'Aub Demand'!A:A,0)),"")</f>
        <v>0</v>
      </c>
      <c r="K1059" s="25">
        <f>IFERROR(INDEX('Aub Demand'!S:S,MATCH(O1059,'Aub Demand'!A:A,0)),"")</f>
        <v>0</v>
      </c>
      <c r="L1059" s="25">
        <f>IFERROR(INDEX('Aub Demand'!R:R,MATCH(O1059,'Aub Demand'!A:A,0)),"")</f>
        <v>0</v>
      </c>
      <c r="O1059" s="27" t="s">
        <v>1463</v>
      </c>
      <c r="P1059" s="27" t="str">
        <f>IFERROR(INDEX('Aub Demand'!B:B,MATCH($O1059,'Aub Demand'!$A:$A,0)),"")</f>
        <v>CADET GREY</v>
      </c>
      <c r="Q1059" s="27" t="str">
        <f>IFERROR(INDEX('Aub Demand'!C:C,MATCH($O1059,'Aub Demand'!$A:$A,0)),"")</f>
        <v>TECHN</v>
      </c>
      <c r="R1059" s="52">
        <f>IFERROR(IF(AR1060=AR1059,INDEX('Aub Demand'!K:K,MATCH($O1059,'Aub Demand'!$A:$A,0))-IF(AN1059="",0,AN1059)+AP1060,INDEX('Aub Demand'!K:K,MATCH($O1059,'Aub Demand'!$A:$A,0))-IF(AN1059="",0,AN1059)),"")</f>
        <v>6671</v>
      </c>
      <c r="S1059" s="53" t="str">
        <f t="shared" si="448"/>
        <v>n/a</v>
      </c>
      <c r="T1059" s="52" t="str">
        <f t="shared" si="449"/>
        <v/>
      </c>
      <c r="U1059" s="52">
        <f>IFERROR(IF(AR1060=AR1059,INDEX('Aub Demand'!Q:Q,MATCH($O1059,'Aub Demand'!$A:$A,0))-IF(AN1059="",0,AN1059)+AP1060,INDEX('Aub Demand'!Q:Q,MATCH($O1059,'Aub Demand'!$A:$A,0))-IF(AN1059="",0,AN1059)),"")</f>
        <v>6671</v>
      </c>
      <c r="V1059" s="53" t="str">
        <f t="shared" si="450"/>
        <v>n/a</v>
      </c>
      <c r="W1059" s="52" t="str">
        <f t="shared" si="451"/>
        <v/>
      </c>
      <c r="X1059" s="52">
        <f>IFERROR(IF(AND(AR1060=AR1059,AM1059&lt;&gt;""),INDEX('Aub Demand'!Q:Q,MATCH($O1059,'Aub Demand'!$A:$A,0))-IF(AN1059="",0,AN1059)+AP1060+AD1059+AL1059,IF(AR1060=AR1059,INDEX('Aub Demand'!Q:Q,MATCH($O1059,'Aub Demand'!$A:$A,0))-IF(AN1059="",0,AN1059)+AP1060+AD1059,IF(AM1059&lt;&gt;"",INDEX('Aub Demand'!Q:Q,MATCH($O1059,'Aub Demand'!$A:$A,0))-IF(AN1059="",0,AN1059)+AD1059+AL1059,INDEX('Aub Demand'!Q:Q,MATCH($O1059,'Aub Demand'!$A:$A,0))-IF(AN1059="",0,AN1059)+AD1059))),"")</f>
        <v>6671</v>
      </c>
      <c r="Y1059" s="53" t="str">
        <f t="shared" si="452"/>
        <v>n/a</v>
      </c>
      <c r="Z1059" s="52">
        <f>IF(L1059="","",INDEX('Aub Demand'!H:H,MATCH($O1059,'Aub Demand'!$A:$A,0)))</f>
        <v>0</v>
      </c>
      <c r="AA1059" s="52" t="str">
        <f t="shared" si="453"/>
        <v>-spike-</v>
      </c>
      <c r="AB1059" s="52">
        <f>IFERROR(INDEX('Aub Demand'!L:L,MATCH($O1059,'Aub Demand'!$A:$A,0)),"")</f>
        <v>0</v>
      </c>
      <c r="AC1059" s="52">
        <f>IFERROR(IF(O1059="","",SUMIFS('CPL Mats'!F:F,'CPL Mats'!Q:Q,AR1059,'CPL Mats'!S:S,AS1059)),"")</f>
        <v>0</v>
      </c>
      <c r="AF1059" s="25" t="str">
        <f>IF(SUMIFS('Supp Consol'!S:S,'Supp Consol'!Y:Y,"Releasable",'Supp Consol'!A:A,O1059)=0,"",SUMIFS('Supp Consol'!S:S,'Supp Consol'!Y:Y,"Releasable",'Supp Consol'!A:A,O1059))</f>
        <v/>
      </c>
      <c r="AG1059" s="25" t="str">
        <f>IFERROR(INDEX('Hun Demand'!Q:Q,MATCH(O1059,'Hun Demand'!A:A,0)),"")</f>
        <v/>
      </c>
      <c r="AH1059" s="25" t="str">
        <f>IFERROR(INDEX('Hun Demand'!H:H,MATCH($O1059,'Hun Demand'!$A:$A,0)),"")</f>
        <v/>
      </c>
      <c r="AI1059" s="25" t="str">
        <f>IF(SUMIFS('Supp Consol'!AA:AA,'Supp Consol'!Z:Z,"Expires this month",'Supp Consol'!A:A,O1059)=0,"",SUMIFS('Supp Consol'!AA:AA,'Supp Consol'!Z:Z,"Expires this month",'Supp Consol'!A:A,O1059))</f>
        <v/>
      </c>
      <c r="AJ1059" s="25" t="str">
        <f>IF(SUMIFS('Supp Consol'!AA:AA,'Supp Consol'!Z:Z,"Expired Previous Months",'Supp Consol'!A:A,O1059)=0,"",SUMIFS('Supp Consol'!AA:AA,'Supp Consol'!Z:Z,"Expired Previous Months",'Supp Consol'!A:A,O1059))</f>
        <v/>
      </c>
      <c r="AK1059" s="25" t="str">
        <f>IFERROR(INDEX('Hun Release Current'!B:B,MATCH(O1059,'Hun Release Current'!A:A,0)),"")</f>
        <v/>
      </c>
      <c r="AL1059" s="25" t="str">
        <f>IF(SUMIF('Prev Aub'!A:A,O1059,'Prev Aub'!B:B)=0,"",SUMIF('Prev Aub'!A:A,O1059,'Prev Aub'!B:B))</f>
        <v/>
      </c>
      <c r="AN1059" s="25" t="s">
        <v>3790</v>
      </c>
      <c r="AO1059" s="25" t="s">
        <v>3790</v>
      </c>
      <c r="AP1059" s="25">
        <f t="shared" si="454"/>
        <v>0</v>
      </c>
      <c r="AQ1059" s="151" t="str">
        <f>IF(SUMIFS('Supp Consol'!S:S,'Supp Consol'!A:A,O1059,'Supp Consol'!I:I,"PENDING")=0,"",SUMIFS('Supp Consol'!S:S,'Supp Consol'!A:A,O1059,'Supp Consol'!I:I,"PENDING"))</f>
        <v/>
      </c>
      <c r="AR1059" s="27" t="str">
        <f t="shared" si="455"/>
        <v>SG292</v>
      </c>
      <c r="AS1059" s="27" t="str">
        <f t="shared" si="456"/>
        <v>62</v>
      </c>
      <c r="AT1059" s="27" t="str">
        <f t="shared" si="457"/>
        <v/>
      </c>
      <c r="AU1059" s="27" t="str">
        <f t="shared" si="458"/>
        <v/>
      </c>
      <c r="AV1059" s="27" t="str">
        <f t="shared" si="459"/>
        <v/>
      </c>
      <c r="AW1059" s="27" t="str">
        <f t="shared" si="460"/>
        <v/>
      </c>
      <c r="AX1059" s="27" t="str">
        <f t="shared" si="461"/>
        <v/>
      </c>
      <c r="AY1059" s="27" t="str">
        <f t="shared" si="462"/>
        <v/>
      </c>
      <c r="AZ1059" s="27" t="str">
        <f t="shared" si="463"/>
        <v/>
      </c>
      <c r="BA1059" s="27" t="str">
        <f t="shared" si="464"/>
        <v/>
      </c>
      <c r="BB1059" s="27" t="str">
        <f t="shared" si="465"/>
        <v/>
      </c>
      <c r="BC1059" s="27" t="str">
        <f t="shared" si="466"/>
        <v/>
      </c>
      <c r="BD1059" s="27" t="str">
        <f t="shared" si="467"/>
        <v/>
      </c>
      <c r="BE1059" s="27" t="str">
        <f t="shared" si="468"/>
        <v/>
      </c>
      <c r="BF1059" s="27" t="str">
        <f t="shared" si="469"/>
        <v/>
      </c>
      <c r="BG1059" s="27" t="str">
        <f t="shared" si="470"/>
        <v/>
      </c>
      <c r="BH1059" s="27" t="str">
        <f t="shared" si="471"/>
        <v/>
      </c>
      <c r="BI1059" s="27" t="str">
        <f t="shared" si="472"/>
        <v/>
      </c>
      <c r="BJ1059" s="27" t="str">
        <f t="shared" si="473"/>
        <v/>
      </c>
      <c r="BK1059" s="27" t="str">
        <f t="shared" si="474"/>
        <v/>
      </c>
      <c r="BL1059" s="27" t="str">
        <f t="shared" si="475"/>
        <v/>
      </c>
      <c r="BM1059" s="21" t="s">
        <v>5581</v>
      </c>
    </row>
    <row r="1060" spans="1:65" ht="15">
      <c r="A1060" s="25" t="str">
        <f>IFERROR(INDEX('Hun Demand'!W:W,MATCH(O1060,'Hun Demand'!A:A,0)),"")</f>
        <v/>
      </c>
      <c r="B1060" s="25" t="str">
        <f>IFERROR(INDEX('Hun Demand'!V:V,MATCH(O1060,'Hun Demand'!A:A,0)),"")</f>
        <v/>
      </c>
      <c r="C1060" s="25" t="str">
        <f>IFERROR(INDEX('Hun Demand'!U:U,MATCH(O1060,'Hun Demand'!A:A,0)),"")</f>
        <v/>
      </c>
      <c r="D1060" s="25" t="str">
        <f>IFERROR(INDEX('Hun Demand'!T:T,MATCH(O1060,'Hun Demand'!A:A,0)),"")</f>
        <v/>
      </c>
      <c r="E1060" s="25" t="str">
        <f>IFERROR(INDEX('Hun Demand'!S:S,MATCH(O1060,'Hun Demand'!A:A,0)),"")</f>
        <v/>
      </c>
      <c r="F1060" s="25" t="str">
        <f>IFERROR(INDEX('Hun Demand'!R:R,MATCH(O1060,'Hun Demand'!A:A,0)),"")</f>
        <v/>
      </c>
      <c r="G1060" s="25">
        <f>IFERROR(INDEX('Aub Demand'!W:W,MATCH(O1060,'Aub Demand'!A:A,0)),"")</f>
        <v>113</v>
      </c>
      <c r="H1060" s="25">
        <f>IFERROR(INDEX('Aub Demand'!V:V,MATCH(O1060,'Aub Demand'!A:A,0)),"")</f>
        <v>27</v>
      </c>
      <c r="I1060" s="25">
        <f>IFERROR(INDEX('Aub Demand'!U:U,MATCH(O1060,'Aub Demand'!A:A,0)),"")</f>
        <v>60</v>
      </c>
      <c r="J1060" s="25">
        <f>IFERROR(INDEX('Aub Demand'!T:T,MATCH(O1060,'Aub Demand'!A:A,0)),"")</f>
        <v>0</v>
      </c>
      <c r="K1060" s="25">
        <f>IFERROR(INDEX('Aub Demand'!S:S,MATCH(O1060,'Aub Demand'!A:A,0)),"")</f>
        <v>57</v>
      </c>
      <c r="L1060" s="25">
        <f>IFERROR(INDEX('Aub Demand'!R:R,MATCH(O1060,'Aub Demand'!A:A,0)),"")</f>
        <v>0</v>
      </c>
      <c r="O1060" s="27" t="s">
        <v>2606</v>
      </c>
      <c r="P1060" s="27" t="str">
        <f>IFERROR(INDEX('Aub Demand'!B:B,MATCH($O1060,'Aub Demand'!$A:$A,0)),"")</f>
        <v>WOODVINE</v>
      </c>
      <c r="Q1060" s="27" t="str">
        <f>IFERROR(INDEX('Aub Demand'!C:C,MATCH($O1060,'Aub Demand'!$A:$A,0)),"")</f>
        <v>ONYX</v>
      </c>
      <c r="R1060" s="52">
        <f>IFERROR(IF(AR1061=AR1060,INDEX('Aub Demand'!K:K,MATCH($O1060,'Aub Demand'!$A:$A,0))-IF(AN1060="",0,AN1060)+AP1061,INDEX('Aub Demand'!K:K,MATCH($O1060,'Aub Demand'!$A:$A,0))-IF(AN1060="",0,AN1060)),"")</f>
        <v>240</v>
      </c>
      <c r="S1060" s="53">
        <f t="shared" si="448"/>
        <v>26.4</v>
      </c>
      <c r="T1060" s="52" t="str">
        <f t="shared" si="449"/>
        <v/>
      </c>
      <c r="U1060" s="52">
        <f>IFERROR(IF(AR1061=AR1060,INDEX('Aub Demand'!Q:Q,MATCH($O1060,'Aub Demand'!$A:$A,0))-IF(AN1060="",0,AN1060)+AP1061,INDEX('Aub Demand'!Q:Q,MATCH($O1060,'Aub Demand'!$A:$A,0))-IF(AN1060="",0,AN1060)),"")</f>
        <v>201</v>
      </c>
      <c r="V1060" s="53">
        <f t="shared" si="450"/>
        <v>22.1</v>
      </c>
      <c r="W1060" s="52" t="str">
        <f t="shared" si="451"/>
        <v/>
      </c>
      <c r="X1060" s="52">
        <f>IFERROR(IF(AND(AR1061=AR1060,AM1060&lt;&gt;""),INDEX('Aub Demand'!Q:Q,MATCH($O1060,'Aub Demand'!$A:$A,0))-IF(AN1060="",0,AN1060)+AP1061+AD1060+AL1060,IF(AR1061=AR1060,INDEX('Aub Demand'!Q:Q,MATCH($O1060,'Aub Demand'!$A:$A,0))-IF(AN1060="",0,AN1060)+AP1061+AD1060,IF(AM1060&lt;&gt;"",INDEX('Aub Demand'!Q:Q,MATCH($O1060,'Aub Demand'!$A:$A,0))-IF(AN1060="",0,AN1060)+AD1060+AL1060,INDEX('Aub Demand'!Q:Q,MATCH($O1060,'Aub Demand'!$A:$A,0))-IF(AN1060="",0,AN1060)+AD1060))),"")</f>
        <v>201</v>
      </c>
      <c r="Y1060" s="53">
        <f t="shared" si="452"/>
        <v>22.1</v>
      </c>
      <c r="Z1060" s="52">
        <f>IF(L1060="","",INDEX('Aub Demand'!H:H,MATCH($O1060,'Aub Demand'!$A:$A,0)))</f>
        <v>39</v>
      </c>
      <c r="AA1060" s="52">
        <f t="shared" si="453"/>
        <v>58.5</v>
      </c>
      <c r="AB1060" s="52">
        <f>IFERROR(INDEX('Aub Demand'!L:L,MATCH($O1060,'Aub Demand'!$A:$A,0)),"")</f>
        <v>89</v>
      </c>
      <c r="AC1060" s="52">
        <f>IFERROR(IF(O1060="","",SUMIFS('CPL Mats'!F:F,'CPL Mats'!Q:Q,AR1060,'CPL Mats'!S:S,AS1060)),"")</f>
        <v>0</v>
      </c>
      <c r="AF1060" s="25" t="str">
        <f>IF(SUMIFS('Supp Consol'!S:S,'Supp Consol'!Y:Y,"Releasable",'Supp Consol'!A:A,O1060)=0,"",SUMIFS('Supp Consol'!S:S,'Supp Consol'!Y:Y,"Releasable",'Supp Consol'!A:A,O1060))</f>
        <v/>
      </c>
      <c r="AG1060" s="25" t="str">
        <f>IFERROR(INDEX('Hun Demand'!Q:Q,MATCH(O1060,'Hun Demand'!A:A,0)),"")</f>
        <v/>
      </c>
      <c r="AH1060" s="25" t="str">
        <f>IFERROR(INDEX('Hun Demand'!H:H,MATCH($O1060,'Hun Demand'!$A:$A,0)),"")</f>
        <v/>
      </c>
      <c r="AI1060" s="25" t="str">
        <f>IF(SUMIFS('Supp Consol'!AA:AA,'Supp Consol'!Z:Z,"Expires this month",'Supp Consol'!A:A,O1060)=0,"",SUMIFS('Supp Consol'!AA:AA,'Supp Consol'!Z:Z,"Expires this month",'Supp Consol'!A:A,O1060))</f>
        <v/>
      </c>
      <c r="AJ1060" s="25" t="str">
        <f>IF(SUMIFS('Supp Consol'!AA:AA,'Supp Consol'!Z:Z,"Expired Previous Months",'Supp Consol'!A:A,O1060)=0,"",SUMIFS('Supp Consol'!AA:AA,'Supp Consol'!Z:Z,"Expired Previous Months",'Supp Consol'!A:A,O1060))</f>
        <v/>
      </c>
      <c r="AK1060" s="25" t="str">
        <f>IFERROR(INDEX('Hun Release Current'!B:B,MATCH(O1060,'Hun Release Current'!A:A,0)),"")</f>
        <v/>
      </c>
      <c r="AL1060" s="25" t="str">
        <f>IF(SUMIF('Prev Aub'!A:A,O1060,'Prev Aub'!B:B)=0,"",SUMIF('Prev Aub'!A:A,O1060,'Prev Aub'!B:B))</f>
        <v/>
      </c>
      <c r="AN1060" s="25" t="s">
        <v>3790</v>
      </c>
      <c r="AO1060" s="25" t="s">
        <v>3790</v>
      </c>
      <c r="AP1060" s="25">
        <f t="shared" si="454"/>
        <v>0</v>
      </c>
      <c r="AQ1060" s="151" t="str">
        <f>IF(SUMIFS('Supp Consol'!S:S,'Supp Consol'!A:A,O1060,'Supp Consol'!I:I,"PENDING")=0,"",SUMIFS('Supp Consol'!S:S,'Supp Consol'!A:A,O1060,'Supp Consol'!I:I,"PENDING"))</f>
        <v/>
      </c>
      <c r="AR1060" s="27" t="str">
        <f t="shared" si="455"/>
        <v>SG552</v>
      </c>
      <c r="AS1060" s="27" t="str">
        <f t="shared" si="456"/>
        <v>50</v>
      </c>
      <c r="AT1060" s="27" t="str">
        <f t="shared" si="457"/>
        <v/>
      </c>
      <c r="AU1060" s="27" t="str">
        <f t="shared" si="458"/>
        <v/>
      </c>
      <c r="AV1060" s="27" t="str">
        <f t="shared" si="459"/>
        <v/>
      </c>
      <c r="AW1060" s="27" t="str">
        <f t="shared" si="460"/>
        <v/>
      </c>
      <c r="AX1060" s="27" t="str">
        <f t="shared" si="461"/>
        <v/>
      </c>
      <c r="AY1060" s="27" t="str">
        <f t="shared" si="462"/>
        <v/>
      </c>
      <c r="AZ1060" s="27" t="str">
        <f t="shared" si="463"/>
        <v/>
      </c>
      <c r="BA1060" s="27" t="str">
        <f t="shared" si="464"/>
        <v/>
      </c>
      <c r="BB1060" s="27" t="str">
        <f t="shared" si="465"/>
        <v/>
      </c>
      <c r="BC1060" s="27" t="str">
        <f t="shared" si="466"/>
        <v/>
      </c>
      <c r="BD1060" s="27" t="str">
        <f t="shared" si="467"/>
        <v/>
      </c>
      <c r="BE1060" s="27" t="str">
        <f t="shared" si="468"/>
        <v/>
      </c>
      <c r="BF1060" s="27" t="str">
        <f t="shared" si="469"/>
        <v/>
      </c>
      <c r="BG1060" s="27" t="str">
        <f t="shared" si="470"/>
        <v/>
      </c>
      <c r="BH1060" s="27" t="str">
        <f t="shared" si="471"/>
        <v/>
      </c>
      <c r="BI1060" s="27" t="str">
        <f t="shared" si="472"/>
        <v/>
      </c>
      <c r="BJ1060" s="27" t="str">
        <f t="shared" si="473"/>
        <v/>
      </c>
      <c r="BK1060" s="27" t="str">
        <f t="shared" si="474"/>
        <v/>
      </c>
      <c r="BL1060" s="27" t="str">
        <f t="shared" si="475"/>
        <v/>
      </c>
      <c r="BM1060" s="21" t="s">
        <v>5581</v>
      </c>
    </row>
    <row r="1061" spans="1:65" ht="15">
      <c r="A1061" s="25" t="str">
        <f>IFERROR(INDEX('Hun Demand'!W:W,MATCH(O1061,'Hun Demand'!A:A,0)),"")</f>
        <v/>
      </c>
      <c r="B1061" s="25" t="str">
        <f>IFERROR(INDEX('Hun Demand'!V:V,MATCH(O1061,'Hun Demand'!A:A,0)),"")</f>
        <v/>
      </c>
      <c r="C1061" s="25" t="str">
        <f>IFERROR(INDEX('Hun Demand'!U:U,MATCH(O1061,'Hun Demand'!A:A,0)),"")</f>
        <v/>
      </c>
      <c r="D1061" s="25" t="str">
        <f>IFERROR(INDEX('Hun Demand'!T:T,MATCH(O1061,'Hun Demand'!A:A,0)),"")</f>
        <v/>
      </c>
      <c r="E1061" s="25" t="str">
        <f>IFERROR(INDEX('Hun Demand'!S:S,MATCH(O1061,'Hun Demand'!A:A,0)),"")</f>
        <v/>
      </c>
      <c r="F1061" s="25" t="str">
        <f>IFERROR(INDEX('Hun Demand'!R:R,MATCH(O1061,'Hun Demand'!A:A,0)),"")</f>
        <v/>
      </c>
      <c r="G1061" s="25">
        <f>IFERROR(INDEX('Aub Demand'!W:W,MATCH(O1061,'Aub Demand'!A:A,0)),"")</f>
        <v>46</v>
      </c>
      <c r="H1061" s="25">
        <f>IFERROR(INDEX('Aub Demand'!V:V,MATCH(O1061,'Aub Demand'!A:A,0)),"")</f>
        <v>0</v>
      </c>
      <c r="I1061" s="25">
        <f>IFERROR(INDEX('Aub Demand'!U:U,MATCH(O1061,'Aub Demand'!A:A,0)),"")</f>
        <v>26</v>
      </c>
      <c r="J1061" s="25">
        <f>IFERROR(INDEX('Aub Demand'!T:T,MATCH(O1061,'Aub Demand'!A:A,0)),"")</f>
        <v>0</v>
      </c>
      <c r="K1061" s="25">
        <f>IFERROR(INDEX('Aub Demand'!S:S,MATCH(O1061,'Aub Demand'!A:A,0)),"")</f>
        <v>0</v>
      </c>
      <c r="L1061" s="25">
        <f>IFERROR(INDEX('Aub Demand'!R:R,MATCH(O1061,'Aub Demand'!A:A,0)),"")</f>
        <v>0</v>
      </c>
      <c r="O1061" s="27" t="s">
        <v>2609</v>
      </c>
      <c r="P1061" s="27" t="str">
        <f>IFERROR(INDEX('Aub Demand'!B:B,MATCH($O1061,'Aub Demand'!$A:$A,0)),"")</f>
        <v>WOODVINE</v>
      </c>
      <c r="Q1061" s="27" t="str">
        <f>IFERROR(INDEX('Aub Demand'!C:C,MATCH($O1061,'Aub Demand'!$A:$A,0)),"")</f>
        <v>ONYX</v>
      </c>
      <c r="R1061" s="52">
        <f>IFERROR(IF(AR1062=AR1061,INDEX('Aub Demand'!K:K,MATCH($O1061,'Aub Demand'!$A:$A,0))-IF(AN1061="",0,AN1061)+AP1062,INDEX('Aub Demand'!K:K,MATCH($O1061,'Aub Demand'!$A:$A,0))-IF(AN1061="",0,AN1061)),"")</f>
        <v>1423</v>
      </c>
      <c r="S1061" s="53">
        <f t="shared" si="448"/>
        <v>677.6</v>
      </c>
      <c r="T1061" s="52" t="str">
        <f t="shared" si="449"/>
        <v/>
      </c>
      <c r="U1061" s="52">
        <f>IFERROR(IF(AR1062=AR1061,INDEX('Aub Demand'!Q:Q,MATCH($O1061,'Aub Demand'!$A:$A,0))-IF(AN1061="",0,AN1061)+AP1062,INDEX('Aub Demand'!Q:Q,MATCH($O1061,'Aub Demand'!$A:$A,0))-IF(AN1061="",0,AN1061)),"")</f>
        <v>1421</v>
      </c>
      <c r="V1061" s="53">
        <f t="shared" si="450"/>
        <v>676.7</v>
      </c>
      <c r="W1061" s="52" t="str">
        <f t="shared" si="451"/>
        <v/>
      </c>
      <c r="X1061" s="52">
        <f>IFERROR(IF(AND(AR1062=AR1061,AM1061&lt;&gt;""),INDEX('Aub Demand'!Q:Q,MATCH($O1061,'Aub Demand'!$A:$A,0))-IF(AN1061="",0,AN1061)+AP1062+AD1061+AL1061,IF(AR1062=AR1061,INDEX('Aub Demand'!Q:Q,MATCH($O1061,'Aub Demand'!$A:$A,0))-IF(AN1061="",0,AN1061)+AP1062+AD1061,IF(AM1061&lt;&gt;"",INDEX('Aub Demand'!Q:Q,MATCH($O1061,'Aub Demand'!$A:$A,0))-IF(AN1061="",0,AN1061)+AD1061+AL1061,INDEX('Aub Demand'!Q:Q,MATCH($O1061,'Aub Demand'!$A:$A,0))-IF(AN1061="",0,AN1061)+AD1061))),"")</f>
        <v>1421</v>
      </c>
      <c r="Y1061" s="53">
        <f t="shared" si="452"/>
        <v>676.7</v>
      </c>
      <c r="Z1061" s="52">
        <f>IF(L1061="","",INDEX('Aub Demand'!H:H,MATCH($O1061,'Aub Demand'!$A:$A,0)))</f>
        <v>9</v>
      </c>
      <c r="AA1061" s="52" t="str">
        <f t="shared" si="453"/>
        <v>-spike-</v>
      </c>
      <c r="AB1061" s="52">
        <f>IFERROR(INDEX('Aub Demand'!L:L,MATCH($O1061,'Aub Demand'!$A:$A,0)),"")</f>
        <v>7</v>
      </c>
      <c r="AC1061" s="52">
        <f>IFERROR(IF(O1061="","",SUMIFS('CPL Mats'!F:F,'CPL Mats'!Q:Q,AR1061,'CPL Mats'!S:S,AS1061)),"")</f>
        <v>0</v>
      </c>
      <c r="AF1061" s="25" t="str">
        <f>IF(SUMIFS('Supp Consol'!S:S,'Supp Consol'!Y:Y,"Releasable",'Supp Consol'!A:A,O1061)=0,"",SUMIFS('Supp Consol'!S:S,'Supp Consol'!Y:Y,"Releasable",'Supp Consol'!A:A,O1061))</f>
        <v/>
      </c>
      <c r="AG1061" s="25" t="str">
        <f>IFERROR(INDEX('Hun Demand'!Q:Q,MATCH(O1061,'Hun Demand'!A:A,0)),"")</f>
        <v/>
      </c>
      <c r="AH1061" s="25" t="str">
        <f>IFERROR(INDEX('Hun Demand'!H:H,MATCH($O1061,'Hun Demand'!$A:$A,0)),"")</f>
        <v/>
      </c>
      <c r="AI1061" s="25" t="str">
        <f>IF(SUMIFS('Supp Consol'!AA:AA,'Supp Consol'!Z:Z,"Expires this month",'Supp Consol'!A:A,O1061)=0,"",SUMIFS('Supp Consol'!AA:AA,'Supp Consol'!Z:Z,"Expires this month",'Supp Consol'!A:A,O1061))</f>
        <v/>
      </c>
      <c r="AJ1061" s="25" t="str">
        <f>IF(SUMIFS('Supp Consol'!AA:AA,'Supp Consol'!Z:Z,"Expired Previous Months",'Supp Consol'!A:A,O1061)=0,"",SUMIFS('Supp Consol'!AA:AA,'Supp Consol'!Z:Z,"Expired Previous Months",'Supp Consol'!A:A,O1061))</f>
        <v/>
      </c>
      <c r="AK1061" s="25" t="str">
        <f>IFERROR(INDEX('Hun Release Current'!B:B,MATCH(O1061,'Hun Release Current'!A:A,0)),"")</f>
        <v/>
      </c>
      <c r="AL1061" s="25" t="str">
        <f>IF(SUMIF('Prev Aub'!A:A,O1061,'Prev Aub'!B:B)=0,"",SUMIF('Prev Aub'!A:A,O1061,'Prev Aub'!B:B))</f>
        <v/>
      </c>
      <c r="AN1061" s="25" t="s">
        <v>3790</v>
      </c>
      <c r="AO1061" s="25" t="s">
        <v>3790</v>
      </c>
      <c r="AP1061" s="25">
        <f t="shared" si="454"/>
        <v>0</v>
      </c>
      <c r="AQ1061" s="151" t="str">
        <f>IF(SUMIFS('Supp Consol'!S:S,'Supp Consol'!A:A,O1061,'Supp Consol'!I:I,"PENDING")=0,"",SUMIFS('Supp Consol'!S:S,'Supp Consol'!A:A,O1061,'Supp Consol'!I:I,"PENDING"))</f>
        <v/>
      </c>
      <c r="AR1061" s="27" t="str">
        <f t="shared" si="455"/>
        <v>SG552</v>
      </c>
      <c r="AS1061" s="27" t="str">
        <f t="shared" si="456"/>
        <v>62</v>
      </c>
      <c r="AT1061" s="27" t="str">
        <f t="shared" si="457"/>
        <v/>
      </c>
      <c r="AU1061" s="27" t="str">
        <f t="shared" si="458"/>
        <v/>
      </c>
      <c r="AV1061" s="27" t="str">
        <f t="shared" si="459"/>
        <v/>
      </c>
      <c r="AW1061" s="27" t="str">
        <f t="shared" si="460"/>
        <v/>
      </c>
      <c r="AX1061" s="27" t="str">
        <f t="shared" si="461"/>
        <v/>
      </c>
      <c r="AY1061" s="27" t="str">
        <f t="shared" si="462"/>
        <v/>
      </c>
      <c r="AZ1061" s="27" t="str">
        <f t="shared" si="463"/>
        <v/>
      </c>
      <c r="BA1061" s="27" t="str">
        <f t="shared" si="464"/>
        <v/>
      </c>
      <c r="BB1061" s="27" t="str">
        <f t="shared" si="465"/>
        <v/>
      </c>
      <c r="BC1061" s="27" t="str">
        <f t="shared" si="466"/>
        <v/>
      </c>
      <c r="BD1061" s="27" t="str">
        <f t="shared" si="467"/>
        <v/>
      </c>
      <c r="BE1061" s="27" t="str">
        <f t="shared" si="468"/>
        <v/>
      </c>
      <c r="BF1061" s="27" t="str">
        <f t="shared" si="469"/>
        <v/>
      </c>
      <c r="BG1061" s="27" t="str">
        <f t="shared" si="470"/>
        <v/>
      </c>
      <c r="BH1061" s="27" t="str">
        <f t="shared" si="471"/>
        <v/>
      </c>
      <c r="BI1061" s="27" t="str">
        <f t="shared" si="472"/>
        <v/>
      </c>
      <c r="BJ1061" s="27" t="str">
        <f t="shared" si="473"/>
        <v/>
      </c>
      <c r="BK1061" s="27" t="str">
        <f t="shared" si="474"/>
        <v/>
      </c>
      <c r="BL1061" s="27" t="str">
        <f t="shared" si="475"/>
        <v/>
      </c>
      <c r="BM1061" s="21" t="s">
        <v>5581</v>
      </c>
    </row>
    <row r="1062" spans="1:65" ht="15">
      <c r="A1062" s="25" t="str">
        <f>IFERROR(INDEX('Hun Demand'!W:W,MATCH(O1062,'Hun Demand'!A:A,0)),"")</f>
        <v/>
      </c>
      <c r="B1062" s="25" t="str">
        <f>IFERROR(INDEX('Hun Demand'!V:V,MATCH(O1062,'Hun Demand'!A:A,0)),"")</f>
        <v/>
      </c>
      <c r="C1062" s="25" t="str">
        <f>IFERROR(INDEX('Hun Demand'!U:U,MATCH(O1062,'Hun Demand'!A:A,0)),"")</f>
        <v/>
      </c>
      <c r="D1062" s="25" t="str">
        <f>IFERROR(INDEX('Hun Demand'!T:T,MATCH(O1062,'Hun Demand'!A:A,0)),"")</f>
        <v/>
      </c>
      <c r="E1062" s="25" t="str">
        <f>IFERROR(INDEX('Hun Demand'!S:S,MATCH(O1062,'Hun Demand'!A:A,0)),"")</f>
        <v/>
      </c>
      <c r="F1062" s="25" t="str">
        <f>IFERROR(INDEX('Hun Demand'!R:R,MATCH(O1062,'Hun Demand'!A:A,0)),"")</f>
        <v/>
      </c>
      <c r="G1062" s="25">
        <f>IFERROR(INDEX('Aub Demand'!W:W,MATCH(O1062,'Aub Demand'!A:A,0)),"")</f>
        <v>0</v>
      </c>
      <c r="H1062" s="25">
        <f>IFERROR(INDEX('Aub Demand'!V:V,MATCH(O1062,'Aub Demand'!A:A,0)),"")</f>
        <v>0</v>
      </c>
      <c r="I1062" s="25">
        <f>IFERROR(INDEX('Aub Demand'!U:U,MATCH(O1062,'Aub Demand'!A:A,0)),"")</f>
        <v>0</v>
      </c>
      <c r="J1062" s="25">
        <f>IFERROR(INDEX('Aub Demand'!T:T,MATCH(O1062,'Aub Demand'!A:A,0)),"")</f>
        <v>0</v>
      </c>
      <c r="K1062" s="25">
        <f>IFERROR(INDEX('Aub Demand'!S:S,MATCH(O1062,'Aub Demand'!A:A,0)),"")</f>
        <v>0</v>
      </c>
      <c r="L1062" s="25">
        <f>IFERROR(INDEX('Aub Demand'!R:R,MATCH(O1062,'Aub Demand'!A:A,0)),"")</f>
        <v>0</v>
      </c>
      <c r="O1062" s="27" t="s">
        <v>2611</v>
      </c>
      <c r="P1062" s="27" t="str">
        <f>IFERROR(INDEX('Aub Demand'!B:B,MATCH($O1062,'Aub Demand'!$A:$A,0)),"")</f>
        <v>MAIZE SHIBORI 62"</v>
      </c>
      <c r="Q1062" s="27" t="str">
        <f>IFERROR(INDEX('Aub Demand'!C:C,MATCH($O1062,'Aub Demand'!$A:$A,0)),"")</f>
        <v>TOPPA</v>
      </c>
      <c r="R1062" s="52">
        <f>IFERROR(IF(AR1063=AR1062,INDEX('Aub Demand'!K:K,MATCH($O1062,'Aub Demand'!$A:$A,0))-IF(AN1062="",0,AN1062)+AP1063,INDEX('Aub Demand'!K:K,MATCH($O1062,'Aub Demand'!$A:$A,0))-IF(AN1062="",0,AN1062)),"")</f>
        <v>254</v>
      </c>
      <c r="S1062" s="53" t="str">
        <f t="shared" si="448"/>
        <v>n/a</v>
      </c>
      <c r="T1062" s="52" t="str">
        <f t="shared" si="449"/>
        <v/>
      </c>
      <c r="U1062" s="52">
        <f>IFERROR(IF(AR1063=AR1062,INDEX('Aub Demand'!Q:Q,MATCH($O1062,'Aub Demand'!$A:$A,0))-IF(AN1062="",0,AN1062)+AP1063,INDEX('Aub Demand'!Q:Q,MATCH($O1062,'Aub Demand'!$A:$A,0))-IF(AN1062="",0,AN1062)),"")</f>
        <v>254</v>
      </c>
      <c r="V1062" s="53" t="str">
        <f t="shared" si="450"/>
        <v>n/a</v>
      </c>
      <c r="W1062" s="52" t="str">
        <f t="shared" si="451"/>
        <v/>
      </c>
      <c r="X1062" s="52">
        <f>IFERROR(IF(AND(AR1063=AR1062,AM1062&lt;&gt;""),INDEX('Aub Demand'!Q:Q,MATCH($O1062,'Aub Demand'!$A:$A,0))-IF(AN1062="",0,AN1062)+AP1063+AD1062+AL1062,IF(AR1063=AR1062,INDEX('Aub Demand'!Q:Q,MATCH($O1062,'Aub Demand'!$A:$A,0))-IF(AN1062="",0,AN1062)+AP1063+AD1062,IF(AM1062&lt;&gt;"",INDEX('Aub Demand'!Q:Q,MATCH($O1062,'Aub Demand'!$A:$A,0))-IF(AN1062="",0,AN1062)+AD1062+AL1062,INDEX('Aub Demand'!Q:Q,MATCH($O1062,'Aub Demand'!$A:$A,0))-IF(AN1062="",0,AN1062)+AD1062))),"")</f>
        <v>254</v>
      </c>
      <c r="Y1062" s="53" t="str">
        <f t="shared" si="452"/>
        <v>n/a</v>
      </c>
      <c r="Z1062" s="52">
        <f>IF(L1062="","",INDEX('Aub Demand'!H:H,MATCH($O1062,'Aub Demand'!$A:$A,0)))</f>
        <v>0</v>
      </c>
      <c r="AA1062" s="52" t="str">
        <f t="shared" si="453"/>
        <v>-spike-</v>
      </c>
      <c r="AB1062" s="52">
        <f>IFERROR(INDEX('Aub Demand'!L:L,MATCH($O1062,'Aub Demand'!$A:$A,0)),"")</f>
        <v>0</v>
      </c>
      <c r="AC1062" s="52">
        <f>IFERROR(IF(O1062="","",SUMIFS('CPL Mats'!F:F,'CPL Mats'!Q:Q,AR1062,'CPL Mats'!S:S,AS1062)),"")</f>
        <v>0</v>
      </c>
      <c r="AF1062" s="25" t="str">
        <f>IF(SUMIFS('Supp Consol'!S:S,'Supp Consol'!Y:Y,"Releasable",'Supp Consol'!A:A,O1062)=0,"",SUMIFS('Supp Consol'!S:S,'Supp Consol'!Y:Y,"Releasable",'Supp Consol'!A:A,O1062))</f>
        <v/>
      </c>
      <c r="AG1062" s="25" t="str">
        <f>IFERROR(INDEX('Hun Demand'!Q:Q,MATCH(O1062,'Hun Demand'!A:A,0)),"")</f>
        <v/>
      </c>
      <c r="AH1062" s="25" t="str">
        <f>IFERROR(INDEX('Hun Demand'!H:H,MATCH($O1062,'Hun Demand'!$A:$A,0)),"")</f>
        <v/>
      </c>
      <c r="AI1062" s="25" t="str">
        <f>IF(SUMIFS('Supp Consol'!AA:AA,'Supp Consol'!Z:Z,"Expires this month",'Supp Consol'!A:A,O1062)=0,"",SUMIFS('Supp Consol'!AA:AA,'Supp Consol'!Z:Z,"Expires this month",'Supp Consol'!A:A,O1062))</f>
        <v/>
      </c>
      <c r="AJ1062" s="25" t="str">
        <f>IF(SUMIFS('Supp Consol'!AA:AA,'Supp Consol'!Z:Z,"Expired Previous Months",'Supp Consol'!A:A,O1062)=0,"",SUMIFS('Supp Consol'!AA:AA,'Supp Consol'!Z:Z,"Expired Previous Months",'Supp Consol'!A:A,O1062))</f>
        <v/>
      </c>
      <c r="AK1062" s="25" t="str">
        <f>IFERROR(INDEX('Hun Release Current'!B:B,MATCH(O1062,'Hun Release Current'!A:A,0)),"")</f>
        <v/>
      </c>
      <c r="AL1062" s="25" t="str">
        <f>IF(SUMIF('Prev Aub'!A:A,O1062,'Prev Aub'!B:B)=0,"",SUMIF('Prev Aub'!A:A,O1062,'Prev Aub'!B:B))</f>
        <v/>
      </c>
      <c r="AN1062" s="25" t="s">
        <v>3790</v>
      </c>
      <c r="AO1062" s="25" t="s">
        <v>3790</v>
      </c>
      <c r="AP1062" s="25">
        <f t="shared" si="454"/>
        <v>0</v>
      </c>
      <c r="AQ1062" s="151" t="str">
        <f>IF(SUMIFS('Supp Consol'!S:S,'Supp Consol'!A:A,O1062,'Supp Consol'!I:I,"PENDING")=0,"",SUMIFS('Supp Consol'!S:S,'Supp Consol'!A:A,O1062,'Supp Consol'!I:I,"PENDING"))</f>
        <v/>
      </c>
      <c r="AR1062" s="27" t="str">
        <f t="shared" si="455"/>
        <v>SH202</v>
      </c>
      <c r="AS1062" s="27" t="str">
        <f t="shared" si="456"/>
        <v>62</v>
      </c>
      <c r="AT1062" s="27" t="str">
        <f t="shared" si="457"/>
        <v/>
      </c>
      <c r="AU1062" s="27" t="str">
        <f t="shared" si="458"/>
        <v/>
      </c>
      <c r="AV1062" s="27" t="str">
        <f t="shared" si="459"/>
        <v/>
      </c>
      <c r="AW1062" s="27" t="str">
        <f t="shared" si="460"/>
        <v/>
      </c>
      <c r="AX1062" s="27" t="str">
        <f t="shared" si="461"/>
        <v/>
      </c>
      <c r="AY1062" s="27" t="str">
        <f t="shared" si="462"/>
        <v/>
      </c>
      <c r="AZ1062" s="27" t="str">
        <f t="shared" si="463"/>
        <v/>
      </c>
      <c r="BA1062" s="27" t="str">
        <f t="shared" si="464"/>
        <v/>
      </c>
      <c r="BB1062" s="27" t="str">
        <f t="shared" si="465"/>
        <v/>
      </c>
      <c r="BC1062" s="27" t="str">
        <f t="shared" si="466"/>
        <v/>
      </c>
      <c r="BD1062" s="27" t="str">
        <f t="shared" si="467"/>
        <v/>
      </c>
      <c r="BE1062" s="27" t="str">
        <f t="shared" si="468"/>
        <v/>
      </c>
      <c r="BF1062" s="27" t="str">
        <f t="shared" si="469"/>
        <v/>
      </c>
      <c r="BG1062" s="27" t="str">
        <f t="shared" si="470"/>
        <v/>
      </c>
      <c r="BH1062" s="27" t="str">
        <f t="shared" si="471"/>
        <v/>
      </c>
      <c r="BI1062" s="27" t="str">
        <f t="shared" si="472"/>
        <v/>
      </c>
      <c r="BJ1062" s="27" t="str">
        <f t="shared" si="473"/>
        <v/>
      </c>
      <c r="BK1062" s="27" t="str">
        <f t="shared" si="474"/>
        <v/>
      </c>
      <c r="BL1062" s="27" t="str">
        <f t="shared" si="475"/>
        <v/>
      </c>
      <c r="BM1062" s="21" t="s">
        <v>3790</v>
      </c>
    </row>
    <row r="1063" spans="1:65" ht="15">
      <c r="A1063" s="25" t="str">
        <f>IFERROR(INDEX('Hun Demand'!W:W,MATCH(O1063,'Hun Demand'!A:A,0)),"")</f>
        <v/>
      </c>
      <c r="B1063" s="25" t="str">
        <f>IFERROR(INDEX('Hun Demand'!V:V,MATCH(O1063,'Hun Demand'!A:A,0)),"")</f>
        <v/>
      </c>
      <c r="C1063" s="25" t="str">
        <f>IFERROR(INDEX('Hun Demand'!U:U,MATCH(O1063,'Hun Demand'!A:A,0)),"")</f>
        <v/>
      </c>
      <c r="D1063" s="25" t="str">
        <f>IFERROR(INDEX('Hun Demand'!T:T,MATCH(O1063,'Hun Demand'!A:A,0)),"")</f>
        <v/>
      </c>
      <c r="E1063" s="25" t="str">
        <f>IFERROR(INDEX('Hun Demand'!S:S,MATCH(O1063,'Hun Demand'!A:A,0)),"")</f>
        <v/>
      </c>
      <c r="F1063" s="25" t="str">
        <f>IFERROR(INDEX('Hun Demand'!R:R,MATCH(O1063,'Hun Demand'!A:A,0)),"")</f>
        <v/>
      </c>
      <c r="G1063" s="25">
        <f>IFERROR(INDEX('Aub Demand'!W:W,MATCH(O1063,'Aub Demand'!A:A,0)),"")</f>
        <v>0</v>
      </c>
      <c r="H1063" s="25">
        <f>IFERROR(INDEX('Aub Demand'!V:V,MATCH(O1063,'Aub Demand'!A:A,0)),"")</f>
        <v>20</v>
      </c>
      <c r="I1063" s="25">
        <f>IFERROR(INDEX('Aub Demand'!U:U,MATCH(O1063,'Aub Demand'!A:A,0)),"")</f>
        <v>0</v>
      </c>
      <c r="J1063" s="25">
        <f>IFERROR(INDEX('Aub Demand'!T:T,MATCH(O1063,'Aub Demand'!A:A,0)),"")</f>
        <v>0</v>
      </c>
      <c r="K1063" s="25">
        <f>IFERROR(INDEX('Aub Demand'!S:S,MATCH(O1063,'Aub Demand'!A:A,0)),"")</f>
        <v>15</v>
      </c>
      <c r="L1063" s="25">
        <f>IFERROR(INDEX('Aub Demand'!R:R,MATCH(O1063,'Aub Demand'!A:A,0)),"")</f>
        <v>0</v>
      </c>
      <c r="O1063" s="27" t="s">
        <v>2613</v>
      </c>
      <c r="P1063" s="27" t="str">
        <f>IFERROR(INDEX('Aub Demand'!B:B,MATCH($O1063,'Aub Demand'!$A:$A,0)),"")</f>
        <v>PUMICE PIETRA 50"</v>
      </c>
      <c r="Q1063" s="27" t="str">
        <f>IFERROR(INDEX('Aub Demand'!C:C,MATCH($O1063,'Aub Demand'!$A:$A,0)),"")</f>
        <v>SCHAT</v>
      </c>
      <c r="R1063" s="52">
        <f>IFERROR(IF(AR1064=AR1063,INDEX('Aub Demand'!K:K,MATCH($O1063,'Aub Demand'!$A:$A,0))-IF(AN1063="",0,AN1063)+AP1064,INDEX('Aub Demand'!K:K,MATCH($O1063,'Aub Demand'!$A:$A,0))-IF(AN1063="",0,AN1063)),"")</f>
        <v>468</v>
      </c>
      <c r="S1063" s="53">
        <f t="shared" si="448"/>
        <v>401.1</v>
      </c>
      <c r="T1063" s="52" t="str">
        <f t="shared" si="449"/>
        <v/>
      </c>
      <c r="U1063" s="52">
        <f>IFERROR(IF(AR1064=AR1063,INDEX('Aub Demand'!Q:Q,MATCH($O1063,'Aub Demand'!$A:$A,0))-IF(AN1063="",0,AN1063)+AP1064,INDEX('Aub Demand'!Q:Q,MATCH($O1063,'Aub Demand'!$A:$A,0))-IF(AN1063="",0,AN1063)),"")</f>
        <v>459</v>
      </c>
      <c r="V1063" s="53">
        <f t="shared" si="450"/>
        <v>393.4</v>
      </c>
      <c r="W1063" s="52" t="str">
        <f t="shared" si="451"/>
        <v/>
      </c>
      <c r="X1063" s="52">
        <f>IFERROR(IF(AND(AR1064=AR1063,AM1063&lt;&gt;""),INDEX('Aub Demand'!Q:Q,MATCH($O1063,'Aub Demand'!$A:$A,0))-IF(AN1063="",0,AN1063)+AP1064+AD1063+AL1063,IF(AR1064=AR1063,INDEX('Aub Demand'!Q:Q,MATCH($O1063,'Aub Demand'!$A:$A,0))-IF(AN1063="",0,AN1063)+AP1064+AD1063,IF(AM1063&lt;&gt;"",INDEX('Aub Demand'!Q:Q,MATCH($O1063,'Aub Demand'!$A:$A,0))-IF(AN1063="",0,AN1063)+AD1063+AL1063,INDEX('Aub Demand'!Q:Q,MATCH($O1063,'Aub Demand'!$A:$A,0))-IF(AN1063="",0,AN1063)+AD1063))),"")</f>
        <v>459</v>
      </c>
      <c r="Y1063" s="53">
        <f t="shared" si="452"/>
        <v>393.4</v>
      </c>
      <c r="Z1063" s="52">
        <f>IF(L1063="","",INDEX('Aub Demand'!H:H,MATCH($O1063,'Aub Demand'!$A:$A,0)))</f>
        <v>5</v>
      </c>
      <c r="AA1063" s="52" t="str">
        <f t="shared" si="453"/>
        <v>-spike-</v>
      </c>
      <c r="AB1063" s="52">
        <f>IFERROR(INDEX('Aub Demand'!L:L,MATCH($O1063,'Aub Demand'!$A:$A,0)),"")</f>
        <v>0</v>
      </c>
      <c r="AC1063" s="52">
        <f>IFERROR(IF(O1063="","",SUMIFS('CPL Mats'!F:F,'CPL Mats'!Q:Q,AR1063,'CPL Mats'!S:S,AS1063)),"")</f>
        <v>0</v>
      </c>
      <c r="AF1063" s="25" t="str">
        <f>IF(SUMIFS('Supp Consol'!S:S,'Supp Consol'!Y:Y,"Releasable",'Supp Consol'!A:A,O1063)=0,"",SUMIFS('Supp Consol'!S:S,'Supp Consol'!Y:Y,"Releasable",'Supp Consol'!A:A,O1063))</f>
        <v/>
      </c>
      <c r="AG1063" s="25" t="str">
        <f>IFERROR(INDEX('Hun Demand'!Q:Q,MATCH(O1063,'Hun Demand'!A:A,0)),"")</f>
        <v/>
      </c>
      <c r="AH1063" s="25" t="str">
        <f>IFERROR(INDEX('Hun Demand'!H:H,MATCH($O1063,'Hun Demand'!$A:$A,0)),"")</f>
        <v/>
      </c>
      <c r="AI1063" s="25" t="str">
        <f>IF(SUMIFS('Supp Consol'!AA:AA,'Supp Consol'!Z:Z,"Expires this month",'Supp Consol'!A:A,O1063)=0,"",SUMIFS('Supp Consol'!AA:AA,'Supp Consol'!Z:Z,"Expires this month",'Supp Consol'!A:A,O1063))</f>
        <v/>
      </c>
      <c r="AJ1063" s="25" t="str">
        <f>IF(SUMIFS('Supp Consol'!AA:AA,'Supp Consol'!Z:Z,"Expired Previous Months",'Supp Consol'!A:A,O1063)=0,"",SUMIFS('Supp Consol'!AA:AA,'Supp Consol'!Z:Z,"Expired Previous Months",'Supp Consol'!A:A,O1063))</f>
        <v/>
      </c>
      <c r="AK1063" s="25" t="str">
        <f>IFERROR(INDEX('Hun Release Current'!B:B,MATCH(O1063,'Hun Release Current'!A:A,0)),"")</f>
        <v/>
      </c>
      <c r="AL1063" s="25" t="str">
        <f>IF(SUMIF('Prev Aub'!A:A,O1063,'Prev Aub'!B:B)=0,"",SUMIF('Prev Aub'!A:A,O1063,'Prev Aub'!B:B))</f>
        <v/>
      </c>
      <c r="AN1063" s="25" t="s">
        <v>3790</v>
      </c>
      <c r="AO1063" s="25" t="s">
        <v>3790</v>
      </c>
      <c r="AP1063" s="25">
        <f t="shared" si="454"/>
        <v>0</v>
      </c>
      <c r="AQ1063" s="151" t="str">
        <f>IF(SUMIFS('Supp Consol'!S:S,'Supp Consol'!A:A,O1063,'Supp Consol'!I:I,"PENDING")=0,"",SUMIFS('Supp Consol'!S:S,'Supp Consol'!A:A,O1063,'Supp Consol'!I:I,"PENDING"))</f>
        <v/>
      </c>
      <c r="AR1063" s="27" t="str">
        <f t="shared" si="455"/>
        <v>SL201</v>
      </c>
      <c r="AS1063" s="27" t="str">
        <f t="shared" si="456"/>
        <v>50</v>
      </c>
      <c r="AT1063" s="27" t="str">
        <f t="shared" si="457"/>
        <v/>
      </c>
      <c r="AU1063" s="27" t="str">
        <f t="shared" si="458"/>
        <v/>
      </c>
      <c r="AV1063" s="27" t="str">
        <f t="shared" si="459"/>
        <v/>
      </c>
      <c r="AW1063" s="27" t="str">
        <f t="shared" si="460"/>
        <v/>
      </c>
      <c r="AX1063" s="27" t="str">
        <f t="shared" si="461"/>
        <v/>
      </c>
      <c r="AY1063" s="27" t="str">
        <f t="shared" si="462"/>
        <v/>
      </c>
      <c r="AZ1063" s="27" t="str">
        <f t="shared" si="463"/>
        <v/>
      </c>
      <c r="BA1063" s="27" t="str">
        <f t="shared" si="464"/>
        <v/>
      </c>
      <c r="BB1063" s="27" t="str">
        <f t="shared" si="465"/>
        <v/>
      </c>
      <c r="BC1063" s="27" t="str">
        <f t="shared" si="466"/>
        <v/>
      </c>
      <c r="BD1063" s="27" t="str">
        <f t="shared" si="467"/>
        <v/>
      </c>
      <c r="BE1063" s="27" t="str">
        <f t="shared" si="468"/>
        <v/>
      </c>
      <c r="BF1063" s="27" t="str">
        <f t="shared" si="469"/>
        <v/>
      </c>
      <c r="BG1063" s="27" t="str">
        <f t="shared" si="470"/>
        <v/>
      </c>
      <c r="BH1063" s="27" t="str">
        <f t="shared" si="471"/>
        <v/>
      </c>
      <c r="BI1063" s="27" t="str">
        <f t="shared" si="472"/>
        <v/>
      </c>
      <c r="BJ1063" s="27" t="str">
        <f t="shared" si="473"/>
        <v/>
      </c>
      <c r="BK1063" s="27" t="str">
        <f t="shared" si="474"/>
        <v/>
      </c>
      <c r="BL1063" s="27" t="str">
        <f t="shared" si="475"/>
        <v/>
      </c>
      <c r="BM1063" s="21" t="s">
        <v>5581</v>
      </c>
    </row>
    <row r="1064" spans="1:65" ht="15">
      <c r="A1064" s="25" t="str">
        <f>IFERROR(INDEX('Hun Demand'!W:W,MATCH(O1064,'Hun Demand'!A:A,0)),"")</f>
        <v/>
      </c>
      <c r="B1064" s="25" t="str">
        <f>IFERROR(INDEX('Hun Demand'!V:V,MATCH(O1064,'Hun Demand'!A:A,0)),"")</f>
        <v/>
      </c>
      <c r="C1064" s="25" t="str">
        <f>IFERROR(INDEX('Hun Demand'!U:U,MATCH(O1064,'Hun Demand'!A:A,0)),"")</f>
        <v/>
      </c>
      <c r="D1064" s="25" t="str">
        <f>IFERROR(INDEX('Hun Demand'!T:T,MATCH(O1064,'Hun Demand'!A:A,0)),"")</f>
        <v/>
      </c>
      <c r="E1064" s="25" t="str">
        <f>IFERROR(INDEX('Hun Demand'!S:S,MATCH(O1064,'Hun Demand'!A:A,0)),"")</f>
        <v/>
      </c>
      <c r="F1064" s="25" t="str">
        <f>IFERROR(INDEX('Hun Demand'!R:R,MATCH(O1064,'Hun Demand'!A:A,0)),"")</f>
        <v/>
      </c>
      <c r="G1064" s="25">
        <f>IFERROR(INDEX('Aub Demand'!W:W,MATCH(O1064,'Aub Demand'!A:A,0)),"")</f>
        <v>0</v>
      </c>
      <c r="H1064" s="25">
        <f>IFERROR(INDEX('Aub Demand'!V:V,MATCH(O1064,'Aub Demand'!A:A,0)),"")</f>
        <v>0</v>
      </c>
      <c r="I1064" s="25">
        <f>IFERROR(INDEX('Aub Demand'!U:U,MATCH(O1064,'Aub Demand'!A:A,0)),"")</f>
        <v>0</v>
      </c>
      <c r="J1064" s="25">
        <f>IFERROR(INDEX('Aub Demand'!T:T,MATCH(O1064,'Aub Demand'!A:A,0)),"")</f>
        <v>0</v>
      </c>
      <c r="K1064" s="25">
        <f>IFERROR(INDEX('Aub Demand'!S:S,MATCH(O1064,'Aub Demand'!A:A,0)),"")</f>
        <v>0</v>
      </c>
      <c r="L1064" s="25">
        <f>IFERROR(INDEX('Aub Demand'!R:R,MATCH(O1064,'Aub Demand'!A:A,0)),"")</f>
        <v>0</v>
      </c>
      <c r="O1064" s="27" t="s">
        <v>2615</v>
      </c>
      <c r="P1064" s="27" t="str">
        <f>IFERROR(INDEX('Aub Demand'!B:B,MATCH($O1064,'Aub Demand'!$A:$A,0)),"")</f>
        <v>PUMICE PIETRA 60"</v>
      </c>
      <c r="Q1064" s="27" t="str">
        <f>IFERROR(INDEX('Aub Demand'!C:C,MATCH($O1064,'Aub Demand'!$A:$A,0)),"")</f>
        <v>SCHAT</v>
      </c>
      <c r="R1064" s="52">
        <f>IFERROR(IF(AR1065=AR1064,INDEX('Aub Demand'!K:K,MATCH($O1064,'Aub Demand'!$A:$A,0))-IF(AN1064="",0,AN1064)+AP1065,INDEX('Aub Demand'!K:K,MATCH($O1064,'Aub Demand'!$A:$A,0))-IF(AN1064="",0,AN1064)),"")</f>
        <v>1268</v>
      </c>
      <c r="S1064" s="53" t="str">
        <f t="shared" si="448"/>
        <v>n/a</v>
      </c>
      <c r="T1064" s="52" t="str">
        <f t="shared" si="449"/>
        <v/>
      </c>
      <c r="U1064" s="52">
        <f>IFERROR(IF(AR1065=AR1064,INDEX('Aub Demand'!Q:Q,MATCH($O1064,'Aub Demand'!$A:$A,0))-IF(AN1064="",0,AN1064)+AP1065,INDEX('Aub Demand'!Q:Q,MATCH($O1064,'Aub Demand'!$A:$A,0))-IF(AN1064="",0,AN1064)),"")</f>
        <v>1268</v>
      </c>
      <c r="V1064" s="53" t="str">
        <f t="shared" si="450"/>
        <v>n/a</v>
      </c>
      <c r="W1064" s="52" t="str">
        <f t="shared" si="451"/>
        <v/>
      </c>
      <c r="X1064" s="52">
        <f>IFERROR(IF(AND(AR1065=AR1064,AM1064&lt;&gt;""),INDEX('Aub Demand'!Q:Q,MATCH($O1064,'Aub Demand'!$A:$A,0))-IF(AN1064="",0,AN1064)+AP1065+AD1064+AL1064,IF(AR1065=AR1064,INDEX('Aub Demand'!Q:Q,MATCH($O1064,'Aub Demand'!$A:$A,0))-IF(AN1064="",0,AN1064)+AP1065+AD1064,IF(AM1064&lt;&gt;"",INDEX('Aub Demand'!Q:Q,MATCH($O1064,'Aub Demand'!$A:$A,0))-IF(AN1064="",0,AN1064)+AD1064+AL1064,INDEX('Aub Demand'!Q:Q,MATCH($O1064,'Aub Demand'!$A:$A,0))-IF(AN1064="",0,AN1064)+AD1064))),"")</f>
        <v>1268</v>
      </c>
      <c r="Y1064" s="53" t="str">
        <f t="shared" si="452"/>
        <v>n/a</v>
      </c>
      <c r="Z1064" s="52">
        <f>IF(L1064="","",INDEX('Aub Demand'!H:H,MATCH($O1064,'Aub Demand'!$A:$A,0)))</f>
        <v>0</v>
      </c>
      <c r="AA1064" s="52" t="str">
        <f t="shared" si="453"/>
        <v>-spike-</v>
      </c>
      <c r="AB1064" s="52">
        <f>IFERROR(INDEX('Aub Demand'!L:L,MATCH($O1064,'Aub Demand'!$A:$A,0)),"")</f>
        <v>0</v>
      </c>
      <c r="AC1064" s="52">
        <f>IFERROR(IF(O1064="","",SUMIFS('CPL Mats'!F:F,'CPL Mats'!Q:Q,AR1064,'CPL Mats'!S:S,AS1064)),"")</f>
        <v>0</v>
      </c>
      <c r="AF1064" s="25" t="str">
        <f>IF(SUMIFS('Supp Consol'!S:S,'Supp Consol'!Y:Y,"Releasable",'Supp Consol'!A:A,O1064)=0,"",SUMIFS('Supp Consol'!S:S,'Supp Consol'!Y:Y,"Releasable",'Supp Consol'!A:A,O1064))</f>
        <v/>
      </c>
      <c r="AG1064" s="25" t="str">
        <f>IFERROR(INDEX('Hun Demand'!Q:Q,MATCH(O1064,'Hun Demand'!A:A,0)),"")</f>
        <v/>
      </c>
      <c r="AH1064" s="25" t="str">
        <f>IFERROR(INDEX('Hun Demand'!H:H,MATCH($O1064,'Hun Demand'!$A:$A,0)),"")</f>
        <v/>
      </c>
      <c r="AI1064" s="25" t="str">
        <f>IF(SUMIFS('Supp Consol'!AA:AA,'Supp Consol'!Z:Z,"Expires this month",'Supp Consol'!A:A,O1064)=0,"",SUMIFS('Supp Consol'!AA:AA,'Supp Consol'!Z:Z,"Expires this month",'Supp Consol'!A:A,O1064))</f>
        <v/>
      </c>
      <c r="AJ1064" s="25" t="str">
        <f>IF(SUMIFS('Supp Consol'!AA:AA,'Supp Consol'!Z:Z,"Expired Previous Months",'Supp Consol'!A:A,O1064)=0,"",SUMIFS('Supp Consol'!AA:AA,'Supp Consol'!Z:Z,"Expired Previous Months",'Supp Consol'!A:A,O1064))</f>
        <v/>
      </c>
      <c r="AK1064" s="25" t="str">
        <f>IFERROR(INDEX('Hun Release Current'!B:B,MATCH(O1064,'Hun Release Current'!A:A,0)),"")</f>
        <v/>
      </c>
      <c r="AL1064" s="25" t="str">
        <f>IF(SUMIF('Prev Aub'!A:A,O1064,'Prev Aub'!B:B)=0,"",SUMIF('Prev Aub'!A:A,O1064,'Prev Aub'!B:B))</f>
        <v/>
      </c>
      <c r="AN1064" s="25" t="s">
        <v>3790</v>
      </c>
      <c r="AO1064" s="25" t="s">
        <v>3790</v>
      </c>
      <c r="AP1064" s="25">
        <f t="shared" si="454"/>
        <v>0</v>
      </c>
      <c r="AQ1064" s="151" t="str">
        <f>IF(SUMIFS('Supp Consol'!S:S,'Supp Consol'!A:A,O1064,'Supp Consol'!I:I,"PENDING")=0,"",SUMIFS('Supp Consol'!S:S,'Supp Consol'!A:A,O1064,'Supp Consol'!I:I,"PENDING"))</f>
        <v/>
      </c>
      <c r="AR1064" s="27" t="str">
        <f t="shared" si="455"/>
        <v>SL201</v>
      </c>
      <c r="AS1064" s="27" t="str">
        <f t="shared" si="456"/>
        <v>62</v>
      </c>
      <c r="AT1064" s="27" t="str">
        <f t="shared" si="457"/>
        <v/>
      </c>
      <c r="AU1064" s="27" t="str">
        <f t="shared" si="458"/>
        <v/>
      </c>
      <c r="AV1064" s="27" t="str">
        <f t="shared" si="459"/>
        <v/>
      </c>
      <c r="AW1064" s="27" t="str">
        <f t="shared" si="460"/>
        <v/>
      </c>
      <c r="AX1064" s="27" t="str">
        <f t="shared" si="461"/>
        <v/>
      </c>
      <c r="AY1064" s="27" t="str">
        <f t="shared" si="462"/>
        <v/>
      </c>
      <c r="AZ1064" s="27" t="str">
        <f t="shared" si="463"/>
        <v/>
      </c>
      <c r="BA1064" s="27" t="str">
        <f t="shared" si="464"/>
        <v/>
      </c>
      <c r="BB1064" s="27" t="str">
        <f t="shared" si="465"/>
        <v/>
      </c>
      <c r="BC1064" s="27" t="str">
        <f t="shared" si="466"/>
        <v/>
      </c>
      <c r="BD1064" s="27" t="str">
        <f t="shared" si="467"/>
        <v/>
      </c>
      <c r="BE1064" s="27" t="str">
        <f t="shared" si="468"/>
        <v/>
      </c>
      <c r="BF1064" s="27" t="str">
        <f t="shared" si="469"/>
        <v/>
      </c>
      <c r="BG1064" s="27" t="str">
        <f t="shared" si="470"/>
        <v/>
      </c>
      <c r="BH1064" s="27" t="str">
        <f t="shared" si="471"/>
        <v/>
      </c>
      <c r="BI1064" s="27" t="str">
        <f t="shared" si="472"/>
        <v/>
      </c>
      <c r="BJ1064" s="27" t="str">
        <f t="shared" si="473"/>
        <v/>
      </c>
      <c r="BK1064" s="27" t="str">
        <f t="shared" si="474"/>
        <v/>
      </c>
      <c r="BL1064" s="27" t="str">
        <f t="shared" si="475"/>
        <v/>
      </c>
      <c r="BM1064" s="21" t="s">
        <v>5581</v>
      </c>
    </row>
    <row r="1065" spans="1:65" ht="15">
      <c r="A1065" s="25" t="str">
        <f>IFERROR(INDEX('Hun Demand'!W:W,MATCH(O1065,'Hun Demand'!A:A,0)),"")</f>
        <v/>
      </c>
      <c r="B1065" s="25" t="str">
        <f>IFERROR(INDEX('Hun Demand'!V:V,MATCH(O1065,'Hun Demand'!A:A,0)),"")</f>
        <v/>
      </c>
      <c r="C1065" s="25" t="str">
        <f>IFERROR(INDEX('Hun Demand'!U:U,MATCH(O1065,'Hun Demand'!A:A,0)),"")</f>
        <v/>
      </c>
      <c r="D1065" s="25" t="str">
        <f>IFERROR(INDEX('Hun Demand'!T:T,MATCH(O1065,'Hun Demand'!A:A,0)),"")</f>
        <v/>
      </c>
      <c r="E1065" s="25" t="str">
        <f>IFERROR(INDEX('Hun Demand'!S:S,MATCH(O1065,'Hun Demand'!A:A,0)),"")</f>
        <v/>
      </c>
      <c r="F1065" s="25" t="str">
        <f>IFERROR(INDEX('Hun Demand'!R:R,MATCH(O1065,'Hun Demand'!A:A,0)),"")</f>
        <v/>
      </c>
      <c r="G1065" s="25">
        <f>IFERROR(INDEX('Aub Demand'!W:W,MATCH(O1065,'Aub Demand'!A:A,0)),"")</f>
        <v>12</v>
      </c>
      <c r="H1065" s="25">
        <f>IFERROR(INDEX('Aub Demand'!V:V,MATCH(O1065,'Aub Demand'!A:A,0)),"")</f>
        <v>0</v>
      </c>
      <c r="I1065" s="25">
        <f>IFERROR(INDEX('Aub Demand'!U:U,MATCH(O1065,'Aub Demand'!A:A,0)),"")</f>
        <v>0</v>
      </c>
      <c r="J1065" s="25">
        <f>IFERROR(INDEX('Aub Demand'!T:T,MATCH(O1065,'Aub Demand'!A:A,0)),"")</f>
        <v>0</v>
      </c>
      <c r="K1065" s="25">
        <f>IFERROR(INDEX('Aub Demand'!S:S,MATCH(O1065,'Aub Demand'!A:A,0)),"")</f>
        <v>0</v>
      </c>
      <c r="L1065" s="25">
        <f>IFERROR(INDEX('Aub Demand'!R:R,MATCH(O1065,'Aub Demand'!A:A,0)),"")</f>
        <v>0</v>
      </c>
      <c r="O1065" s="27" t="s">
        <v>2617</v>
      </c>
      <c r="P1065" s="27" t="str">
        <f>IFERROR(INDEX('Aub Demand'!B:B,MATCH($O1065,'Aub Demand'!$A:$A,0)),"")</f>
        <v>HYBRID SLATE 50"</v>
      </c>
      <c r="Q1065" s="27" t="str">
        <f>IFERROR(INDEX('Aub Demand'!C:C,MATCH($O1065,'Aub Demand'!$A:$A,0)),"")</f>
        <v>DNP A</v>
      </c>
      <c r="R1065" s="52">
        <f>IFERROR(IF(AR1066=AR1065,INDEX('Aub Demand'!K:K,MATCH($O1065,'Aub Demand'!$A:$A,0))-IF(AN1065="",0,AN1065)+AP1066,INDEX('Aub Demand'!K:K,MATCH($O1065,'Aub Demand'!$A:$A,0))-IF(AN1065="",0,AN1065)),"")</f>
        <v>416</v>
      </c>
      <c r="S1065" s="53" t="str">
        <f t="shared" si="448"/>
        <v>n/a</v>
      </c>
      <c r="T1065" s="52" t="str">
        <f t="shared" si="449"/>
        <v/>
      </c>
      <c r="U1065" s="52">
        <f>IFERROR(IF(AR1066=AR1065,INDEX('Aub Demand'!Q:Q,MATCH($O1065,'Aub Demand'!$A:$A,0))-IF(AN1065="",0,AN1065)+AP1066,INDEX('Aub Demand'!Q:Q,MATCH($O1065,'Aub Demand'!$A:$A,0))-IF(AN1065="",0,AN1065)),"")</f>
        <v>416</v>
      </c>
      <c r="V1065" s="53" t="str">
        <f t="shared" si="450"/>
        <v>n/a</v>
      </c>
      <c r="W1065" s="52" t="str">
        <f t="shared" si="451"/>
        <v/>
      </c>
      <c r="X1065" s="52">
        <f>IFERROR(IF(AND(AR1066=AR1065,AM1065&lt;&gt;""),INDEX('Aub Demand'!Q:Q,MATCH($O1065,'Aub Demand'!$A:$A,0))-IF(AN1065="",0,AN1065)+AP1066+AD1065+AL1065,IF(AR1066=AR1065,INDEX('Aub Demand'!Q:Q,MATCH($O1065,'Aub Demand'!$A:$A,0))-IF(AN1065="",0,AN1065)+AP1066+AD1065,IF(AM1065&lt;&gt;"",INDEX('Aub Demand'!Q:Q,MATCH($O1065,'Aub Demand'!$A:$A,0))-IF(AN1065="",0,AN1065)+AD1065+AL1065,INDEX('Aub Demand'!Q:Q,MATCH($O1065,'Aub Demand'!$A:$A,0))-IF(AN1065="",0,AN1065)+AD1065))),"")</f>
        <v>416</v>
      </c>
      <c r="Y1065" s="53" t="str">
        <f t="shared" si="452"/>
        <v>n/a</v>
      </c>
      <c r="Z1065" s="52">
        <f>IF(L1065="","",INDEX('Aub Demand'!H:H,MATCH($O1065,'Aub Demand'!$A:$A,0)))</f>
        <v>0</v>
      </c>
      <c r="AA1065" s="52" t="str">
        <f t="shared" si="453"/>
        <v>-spike-</v>
      </c>
      <c r="AB1065" s="52">
        <f>IFERROR(INDEX('Aub Demand'!L:L,MATCH($O1065,'Aub Demand'!$A:$A,0)),"")</f>
        <v>5</v>
      </c>
      <c r="AC1065" s="52">
        <f>IFERROR(IF(O1065="","",SUMIFS('CPL Mats'!F:F,'CPL Mats'!Q:Q,AR1065,'CPL Mats'!S:S,AS1065)),"")</f>
        <v>0</v>
      </c>
      <c r="AF1065" s="25" t="str">
        <f>IF(SUMIFS('Supp Consol'!S:S,'Supp Consol'!Y:Y,"Releasable",'Supp Consol'!A:A,O1065)=0,"",SUMIFS('Supp Consol'!S:S,'Supp Consol'!Y:Y,"Releasable",'Supp Consol'!A:A,O1065))</f>
        <v/>
      </c>
      <c r="AG1065" s="25" t="str">
        <f>IFERROR(INDEX('Hun Demand'!Q:Q,MATCH(O1065,'Hun Demand'!A:A,0)),"")</f>
        <v/>
      </c>
      <c r="AH1065" s="25" t="str">
        <f>IFERROR(INDEX('Hun Demand'!H:H,MATCH($O1065,'Hun Demand'!$A:$A,0)),"")</f>
        <v/>
      </c>
      <c r="AI1065" s="25" t="str">
        <f>IF(SUMIFS('Supp Consol'!AA:AA,'Supp Consol'!Z:Z,"Expires this month",'Supp Consol'!A:A,O1065)=0,"",SUMIFS('Supp Consol'!AA:AA,'Supp Consol'!Z:Z,"Expires this month",'Supp Consol'!A:A,O1065))</f>
        <v/>
      </c>
      <c r="AJ1065" s="25" t="str">
        <f>IF(SUMIFS('Supp Consol'!AA:AA,'Supp Consol'!Z:Z,"Expired Previous Months",'Supp Consol'!A:A,O1065)=0,"",SUMIFS('Supp Consol'!AA:AA,'Supp Consol'!Z:Z,"Expired Previous Months",'Supp Consol'!A:A,O1065))</f>
        <v/>
      </c>
      <c r="AK1065" s="25" t="str">
        <f>IFERROR(INDEX('Hun Release Current'!B:B,MATCH(O1065,'Hun Release Current'!A:A,0)),"")</f>
        <v/>
      </c>
      <c r="AL1065" s="25" t="str">
        <f>IF(SUMIF('Prev Aub'!A:A,O1065,'Prev Aub'!B:B)=0,"",SUMIF('Prev Aub'!A:A,O1065,'Prev Aub'!B:B))</f>
        <v/>
      </c>
      <c r="AN1065" s="25" t="s">
        <v>3790</v>
      </c>
      <c r="AO1065" s="25" t="s">
        <v>3790</v>
      </c>
      <c r="AP1065" s="25">
        <f t="shared" si="454"/>
        <v>0</v>
      </c>
      <c r="AQ1065" s="151" t="str">
        <f>IF(SUMIFS('Supp Consol'!S:S,'Supp Consol'!A:A,O1065,'Supp Consol'!I:I,"PENDING")=0,"",SUMIFS('Supp Consol'!S:S,'Supp Consol'!A:A,O1065,'Supp Consol'!I:I,"PENDING"))</f>
        <v/>
      </c>
      <c r="AR1065" s="27" t="str">
        <f t="shared" si="455"/>
        <v>SL602</v>
      </c>
      <c r="AS1065" s="27" t="str">
        <f t="shared" si="456"/>
        <v>50</v>
      </c>
      <c r="AT1065" s="27" t="str">
        <f t="shared" si="457"/>
        <v/>
      </c>
      <c r="AU1065" s="27" t="str">
        <f t="shared" si="458"/>
        <v/>
      </c>
      <c r="AV1065" s="27" t="str">
        <f t="shared" si="459"/>
        <v/>
      </c>
      <c r="AW1065" s="27" t="str">
        <f t="shared" si="460"/>
        <v/>
      </c>
      <c r="AX1065" s="27" t="str">
        <f t="shared" si="461"/>
        <v/>
      </c>
      <c r="AY1065" s="27" t="str">
        <f t="shared" si="462"/>
        <v/>
      </c>
      <c r="AZ1065" s="27" t="str">
        <f t="shared" si="463"/>
        <v/>
      </c>
      <c r="BA1065" s="27" t="str">
        <f t="shared" si="464"/>
        <v/>
      </c>
      <c r="BB1065" s="27" t="str">
        <f t="shared" si="465"/>
        <v/>
      </c>
      <c r="BC1065" s="27" t="str">
        <f t="shared" si="466"/>
        <v/>
      </c>
      <c r="BD1065" s="27" t="str">
        <f t="shared" si="467"/>
        <v/>
      </c>
      <c r="BE1065" s="27" t="str">
        <f t="shared" si="468"/>
        <v/>
      </c>
      <c r="BF1065" s="27" t="str">
        <f t="shared" si="469"/>
        <v/>
      </c>
      <c r="BG1065" s="27" t="str">
        <f t="shared" si="470"/>
        <v/>
      </c>
      <c r="BH1065" s="27" t="str">
        <f t="shared" si="471"/>
        <v/>
      </c>
      <c r="BI1065" s="27" t="str">
        <f t="shared" si="472"/>
        <v/>
      </c>
      <c r="BJ1065" s="27" t="str">
        <f t="shared" si="473"/>
        <v/>
      </c>
      <c r="BK1065" s="27" t="str">
        <f t="shared" si="474"/>
        <v/>
      </c>
      <c r="BL1065" s="27" t="str">
        <f t="shared" si="475"/>
        <v/>
      </c>
      <c r="BM1065" s="21" t="s">
        <v>5581</v>
      </c>
    </row>
    <row r="1066" spans="1:65" ht="15">
      <c r="A1066" s="25" t="str">
        <f>IFERROR(INDEX('Hun Demand'!W:W,MATCH(O1066,'Hun Demand'!A:A,0)),"")</f>
        <v/>
      </c>
      <c r="B1066" s="25" t="str">
        <f>IFERROR(INDEX('Hun Demand'!V:V,MATCH(O1066,'Hun Demand'!A:A,0)),"")</f>
        <v/>
      </c>
      <c r="C1066" s="25" t="str">
        <f>IFERROR(INDEX('Hun Demand'!U:U,MATCH(O1066,'Hun Demand'!A:A,0)),"")</f>
        <v/>
      </c>
      <c r="D1066" s="25" t="str">
        <f>IFERROR(INDEX('Hun Demand'!T:T,MATCH(O1066,'Hun Demand'!A:A,0)),"")</f>
        <v/>
      </c>
      <c r="E1066" s="25" t="str">
        <f>IFERROR(INDEX('Hun Demand'!S:S,MATCH(O1066,'Hun Demand'!A:A,0)),"")</f>
        <v/>
      </c>
      <c r="F1066" s="25" t="str">
        <f>IFERROR(INDEX('Hun Demand'!R:R,MATCH(O1066,'Hun Demand'!A:A,0)),"")</f>
        <v/>
      </c>
      <c r="G1066" s="25">
        <f>IFERROR(INDEX('Aub Demand'!W:W,MATCH(O1066,'Aub Demand'!A:A,0)),"")</f>
        <v>80</v>
      </c>
      <c r="H1066" s="25">
        <f>IFERROR(INDEX('Aub Demand'!V:V,MATCH(O1066,'Aub Demand'!A:A,0)),"")</f>
        <v>0</v>
      </c>
      <c r="I1066" s="25">
        <f>IFERROR(INDEX('Aub Demand'!U:U,MATCH(O1066,'Aub Demand'!A:A,0)),"")</f>
        <v>0</v>
      </c>
      <c r="J1066" s="25">
        <f>IFERROR(INDEX('Aub Demand'!T:T,MATCH(O1066,'Aub Demand'!A:A,0)),"")</f>
        <v>0</v>
      </c>
      <c r="K1066" s="25">
        <f>IFERROR(INDEX('Aub Demand'!S:S,MATCH(O1066,'Aub Demand'!A:A,0)),"")</f>
        <v>4</v>
      </c>
      <c r="L1066" s="25">
        <f>IFERROR(INDEX('Aub Demand'!R:R,MATCH(O1066,'Aub Demand'!A:A,0)),"")</f>
        <v>0</v>
      </c>
      <c r="O1066" s="27" t="s">
        <v>2619</v>
      </c>
      <c r="P1066" s="27" t="str">
        <f>IFERROR(INDEX('Aub Demand'!B:B,MATCH($O1066,'Aub Demand'!$A:$A,0)),"")</f>
        <v>HYBRID SLATE 60"</v>
      </c>
      <c r="Q1066" s="27" t="str">
        <f>IFERROR(INDEX('Aub Demand'!C:C,MATCH($O1066,'Aub Demand'!$A:$A,0)),"")</f>
        <v>DNP A</v>
      </c>
      <c r="R1066" s="52">
        <f>IFERROR(IF(AR1067=AR1066,INDEX('Aub Demand'!K:K,MATCH($O1066,'Aub Demand'!$A:$A,0))-IF(AN1066="",0,AN1066)+AP1067,INDEX('Aub Demand'!K:K,MATCH($O1066,'Aub Demand'!$A:$A,0))-IF(AN1066="",0,AN1066)),"")</f>
        <v>2151</v>
      </c>
      <c r="S1066" s="53">
        <f t="shared" si="448"/>
        <v>9218.6</v>
      </c>
      <c r="T1066" s="52" t="str">
        <f t="shared" si="449"/>
        <v/>
      </c>
      <c r="U1066" s="52">
        <f>IFERROR(IF(AR1067=AR1066,INDEX('Aub Demand'!Q:Q,MATCH($O1066,'Aub Demand'!$A:$A,0))-IF(AN1066="",0,AN1066)+AP1067,INDEX('Aub Demand'!Q:Q,MATCH($O1066,'Aub Demand'!$A:$A,0))-IF(AN1066="",0,AN1066)),"")</f>
        <v>2124</v>
      </c>
      <c r="V1066" s="53">
        <f t="shared" si="450"/>
        <v>9102.9</v>
      </c>
      <c r="W1066" s="52" t="str">
        <f t="shared" si="451"/>
        <v/>
      </c>
      <c r="X1066" s="52">
        <f>IFERROR(IF(AND(AR1067=AR1066,AM1066&lt;&gt;""),INDEX('Aub Demand'!Q:Q,MATCH($O1066,'Aub Demand'!$A:$A,0))-IF(AN1066="",0,AN1066)+AP1067+AD1066+AL1066,IF(AR1067=AR1066,INDEX('Aub Demand'!Q:Q,MATCH($O1066,'Aub Demand'!$A:$A,0))-IF(AN1066="",0,AN1066)+AP1067+AD1066,IF(AM1066&lt;&gt;"",INDEX('Aub Demand'!Q:Q,MATCH($O1066,'Aub Demand'!$A:$A,0))-IF(AN1066="",0,AN1066)+AD1066+AL1066,INDEX('Aub Demand'!Q:Q,MATCH($O1066,'Aub Demand'!$A:$A,0))-IF(AN1066="",0,AN1066)+AD1066))),"")</f>
        <v>2124</v>
      </c>
      <c r="Y1066" s="53">
        <f t="shared" si="452"/>
        <v>9102.9</v>
      </c>
      <c r="Z1066" s="52">
        <f>IF(L1066="","",INDEX('Aub Demand'!H:H,MATCH($O1066,'Aub Demand'!$A:$A,0)))</f>
        <v>1</v>
      </c>
      <c r="AA1066" s="52" t="str">
        <f t="shared" si="453"/>
        <v>-spike-</v>
      </c>
      <c r="AB1066" s="52">
        <f>IFERROR(INDEX('Aub Demand'!L:L,MATCH($O1066,'Aub Demand'!$A:$A,0)),"")</f>
        <v>38</v>
      </c>
      <c r="AC1066" s="52">
        <f>IFERROR(IF(O1066="","",SUMIFS('CPL Mats'!F:F,'CPL Mats'!Q:Q,AR1066,'CPL Mats'!S:S,AS1066)),"")</f>
        <v>0</v>
      </c>
      <c r="AF1066" s="25" t="str">
        <f>IF(SUMIFS('Supp Consol'!S:S,'Supp Consol'!Y:Y,"Releasable",'Supp Consol'!A:A,O1066)=0,"",SUMIFS('Supp Consol'!S:S,'Supp Consol'!Y:Y,"Releasable",'Supp Consol'!A:A,O1066))</f>
        <v/>
      </c>
      <c r="AG1066" s="25" t="str">
        <f>IFERROR(INDEX('Hun Demand'!Q:Q,MATCH(O1066,'Hun Demand'!A:A,0)),"")</f>
        <v/>
      </c>
      <c r="AH1066" s="25" t="str">
        <f>IFERROR(INDEX('Hun Demand'!H:H,MATCH($O1066,'Hun Demand'!$A:$A,0)),"")</f>
        <v/>
      </c>
      <c r="AI1066" s="25" t="str">
        <f>IF(SUMIFS('Supp Consol'!AA:AA,'Supp Consol'!Z:Z,"Expires this month",'Supp Consol'!A:A,O1066)=0,"",SUMIFS('Supp Consol'!AA:AA,'Supp Consol'!Z:Z,"Expires this month",'Supp Consol'!A:A,O1066))</f>
        <v/>
      </c>
      <c r="AJ1066" s="25" t="str">
        <f>IF(SUMIFS('Supp Consol'!AA:AA,'Supp Consol'!Z:Z,"Expired Previous Months",'Supp Consol'!A:A,O1066)=0,"",SUMIFS('Supp Consol'!AA:AA,'Supp Consol'!Z:Z,"Expired Previous Months",'Supp Consol'!A:A,O1066))</f>
        <v/>
      </c>
      <c r="AK1066" s="25" t="str">
        <f>IFERROR(INDEX('Hun Release Current'!B:B,MATCH(O1066,'Hun Release Current'!A:A,0)),"")</f>
        <v/>
      </c>
      <c r="AL1066" s="25" t="str">
        <f>IF(SUMIF('Prev Aub'!A:A,O1066,'Prev Aub'!B:B)=0,"",SUMIF('Prev Aub'!A:A,O1066,'Prev Aub'!B:B))</f>
        <v/>
      </c>
      <c r="AN1066" s="25" t="s">
        <v>3790</v>
      </c>
      <c r="AO1066" s="25" t="s">
        <v>3790</v>
      </c>
      <c r="AP1066" s="25">
        <f t="shared" si="454"/>
        <v>0</v>
      </c>
      <c r="AQ1066" s="151" t="str">
        <f>IF(SUMIFS('Supp Consol'!S:S,'Supp Consol'!A:A,O1066,'Supp Consol'!I:I,"PENDING")=0,"",SUMIFS('Supp Consol'!S:S,'Supp Consol'!A:A,O1066,'Supp Consol'!I:I,"PENDING"))</f>
        <v/>
      </c>
      <c r="AR1066" s="27" t="str">
        <f t="shared" si="455"/>
        <v>SL602</v>
      </c>
      <c r="AS1066" s="27" t="str">
        <f t="shared" si="456"/>
        <v>62</v>
      </c>
      <c r="AT1066" s="27" t="str">
        <f t="shared" si="457"/>
        <v/>
      </c>
      <c r="AU1066" s="27" t="str">
        <f t="shared" si="458"/>
        <v/>
      </c>
      <c r="AV1066" s="27" t="str">
        <f t="shared" si="459"/>
        <v/>
      </c>
      <c r="AW1066" s="27" t="str">
        <f t="shared" si="460"/>
        <v/>
      </c>
      <c r="AX1066" s="27" t="str">
        <f t="shared" si="461"/>
        <v/>
      </c>
      <c r="AY1066" s="27" t="str">
        <f t="shared" si="462"/>
        <v/>
      </c>
      <c r="AZ1066" s="27" t="str">
        <f t="shared" si="463"/>
        <v/>
      </c>
      <c r="BA1066" s="27" t="str">
        <f t="shared" si="464"/>
        <v/>
      </c>
      <c r="BB1066" s="27" t="str">
        <f t="shared" si="465"/>
        <v/>
      </c>
      <c r="BC1066" s="27" t="str">
        <f t="shared" si="466"/>
        <v/>
      </c>
      <c r="BD1066" s="27" t="str">
        <f t="shared" si="467"/>
        <v/>
      </c>
      <c r="BE1066" s="27" t="str">
        <f t="shared" si="468"/>
        <v/>
      </c>
      <c r="BF1066" s="27" t="str">
        <f t="shared" si="469"/>
        <v/>
      </c>
      <c r="BG1066" s="27" t="str">
        <f t="shared" si="470"/>
        <v/>
      </c>
      <c r="BH1066" s="27" t="str">
        <f t="shared" si="471"/>
        <v/>
      </c>
      <c r="BI1066" s="27" t="str">
        <f t="shared" si="472"/>
        <v/>
      </c>
      <c r="BJ1066" s="27" t="str">
        <f t="shared" si="473"/>
        <v/>
      </c>
      <c r="BK1066" s="27" t="str">
        <f t="shared" si="474"/>
        <v/>
      </c>
      <c r="BL1066" s="27" t="str">
        <f t="shared" si="475"/>
        <v/>
      </c>
      <c r="BM1066" s="21" t="s">
        <v>5581</v>
      </c>
    </row>
    <row r="1067" spans="1:65" ht="15">
      <c r="A1067" s="25" t="str">
        <f>IFERROR(INDEX('Hun Demand'!W:W,MATCH(O1067,'Hun Demand'!A:A,0)),"")</f>
        <v/>
      </c>
      <c r="B1067" s="25" t="str">
        <f>IFERROR(INDEX('Hun Demand'!V:V,MATCH(O1067,'Hun Demand'!A:A,0)),"")</f>
        <v/>
      </c>
      <c r="C1067" s="25" t="str">
        <f>IFERROR(INDEX('Hun Demand'!U:U,MATCH(O1067,'Hun Demand'!A:A,0)),"")</f>
        <v/>
      </c>
      <c r="D1067" s="25" t="str">
        <f>IFERROR(INDEX('Hun Demand'!T:T,MATCH(O1067,'Hun Demand'!A:A,0)),"")</f>
        <v/>
      </c>
      <c r="E1067" s="25" t="str">
        <f>IFERROR(INDEX('Hun Demand'!S:S,MATCH(O1067,'Hun Demand'!A:A,0)),"")</f>
        <v/>
      </c>
      <c r="F1067" s="25" t="str">
        <f>IFERROR(INDEX('Hun Demand'!R:R,MATCH(O1067,'Hun Demand'!A:A,0)),"")</f>
        <v/>
      </c>
      <c r="G1067" s="25">
        <f>IFERROR(INDEX('Aub Demand'!W:W,MATCH(O1067,'Aub Demand'!A:A,0)),"")</f>
        <v>0</v>
      </c>
      <c r="H1067" s="25">
        <f>IFERROR(INDEX('Aub Demand'!V:V,MATCH(O1067,'Aub Demand'!A:A,0)),"")</f>
        <v>0</v>
      </c>
      <c r="I1067" s="25">
        <f>IFERROR(INDEX('Aub Demand'!U:U,MATCH(O1067,'Aub Demand'!A:A,0)),"")</f>
        <v>26</v>
      </c>
      <c r="J1067" s="25">
        <f>IFERROR(INDEX('Aub Demand'!T:T,MATCH(O1067,'Aub Demand'!A:A,0)),"")</f>
        <v>12</v>
      </c>
      <c r="K1067" s="25">
        <f>IFERROR(INDEX('Aub Demand'!S:S,MATCH(O1067,'Aub Demand'!A:A,0)),"")</f>
        <v>15</v>
      </c>
      <c r="L1067" s="25">
        <f>IFERROR(INDEX('Aub Demand'!R:R,MATCH(O1067,'Aub Demand'!A:A,0)),"")</f>
        <v>20</v>
      </c>
      <c r="O1067" s="27" t="s">
        <v>2621</v>
      </c>
      <c r="P1067" s="27" t="str">
        <f>IFERROR(INDEX('Aub Demand'!B:B,MATCH($O1067,'Aub Demand'!$A:$A,0)),"")</f>
        <v>RARE EARTH SLATE 50"</v>
      </c>
      <c r="Q1067" s="27" t="str">
        <f>IFERROR(INDEX('Aub Demand'!C:C,MATCH($O1067,'Aub Demand'!$A:$A,0)),"")</f>
        <v>DNP A</v>
      </c>
      <c r="R1067" s="52">
        <f>IFERROR(IF(AR1068=AR1067,INDEX('Aub Demand'!K:K,MATCH($O1067,'Aub Demand'!$A:$A,0))-IF(AN1067="",0,AN1067)+AP1068,INDEX('Aub Demand'!K:K,MATCH($O1067,'Aub Demand'!$A:$A,0))-IF(AN1067="",0,AN1067)),"")</f>
        <v>1711</v>
      </c>
      <c r="S1067" s="53">
        <f t="shared" si="448"/>
        <v>407.4</v>
      </c>
      <c r="T1067" s="52" t="str">
        <f t="shared" si="449"/>
        <v/>
      </c>
      <c r="U1067" s="52">
        <f>IFERROR(IF(AR1068=AR1067,INDEX('Aub Demand'!Q:Q,MATCH($O1067,'Aub Demand'!$A:$A,0))-IF(AN1067="",0,AN1067)+AP1068,INDEX('Aub Demand'!Q:Q,MATCH($O1067,'Aub Demand'!$A:$A,0))-IF(AN1067="",0,AN1067)),"")</f>
        <v>1692</v>
      </c>
      <c r="V1067" s="53">
        <f t="shared" si="450"/>
        <v>402.9</v>
      </c>
      <c r="W1067" s="52" t="str">
        <f t="shared" si="451"/>
        <v/>
      </c>
      <c r="X1067" s="52">
        <f>IFERROR(IF(AND(AR1068=AR1067,AM1067&lt;&gt;""),INDEX('Aub Demand'!Q:Q,MATCH($O1067,'Aub Demand'!$A:$A,0))-IF(AN1067="",0,AN1067)+AP1068+AD1067+AL1067,IF(AR1068=AR1067,INDEX('Aub Demand'!Q:Q,MATCH($O1067,'Aub Demand'!$A:$A,0))-IF(AN1067="",0,AN1067)+AP1068+AD1067,IF(AM1067&lt;&gt;"",INDEX('Aub Demand'!Q:Q,MATCH($O1067,'Aub Demand'!$A:$A,0))-IF(AN1067="",0,AN1067)+AD1067+AL1067,INDEX('Aub Demand'!Q:Q,MATCH($O1067,'Aub Demand'!$A:$A,0))-IF(AN1067="",0,AN1067)+AD1067))),"")</f>
        <v>1692</v>
      </c>
      <c r="Y1067" s="53">
        <f t="shared" si="452"/>
        <v>402.9</v>
      </c>
      <c r="Z1067" s="52">
        <f>IF(L1067="","",INDEX('Aub Demand'!H:H,MATCH($O1067,'Aub Demand'!$A:$A,0)))</f>
        <v>18</v>
      </c>
      <c r="AA1067" s="52">
        <f t="shared" si="453"/>
        <v>23</v>
      </c>
      <c r="AB1067" s="52">
        <f>IFERROR(INDEX('Aub Demand'!L:L,MATCH($O1067,'Aub Demand'!$A:$A,0)),"")</f>
        <v>29</v>
      </c>
      <c r="AC1067" s="52">
        <f>IFERROR(IF(O1067="","",SUMIFS('CPL Mats'!F:F,'CPL Mats'!Q:Q,AR1067,'CPL Mats'!S:S,AS1067)),"")</f>
        <v>0</v>
      </c>
      <c r="AF1067" s="25" t="str">
        <f>IF(SUMIFS('Supp Consol'!S:S,'Supp Consol'!Y:Y,"Releasable",'Supp Consol'!A:A,O1067)=0,"",SUMIFS('Supp Consol'!S:S,'Supp Consol'!Y:Y,"Releasable",'Supp Consol'!A:A,O1067))</f>
        <v/>
      </c>
      <c r="AG1067" s="25" t="str">
        <f>IFERROR(INDEX('Hun Demand'!Q:Q,MATCH(O1067,'Hun Demand'!A:A,0)),"")</f>
        <v/>
      </c>
      <c r="AH1067" s="25" t="str">
        <f>IFERROR(INDEX('Hun Demand'!H:H,MATCH($O1067,'Hun Demand'!$A:$A,0)),"")</f>
        <v/>
      </c>
      <c r="AI1067" s="25" t="str">
        <f>IF(SUMIFS('Supp Consol'!AA:AA,'Supp Consol'!Z:Z,"Expires this month",'Supp Consol'!A:A,O1067)=0,"",SUMIFS('Supp Consol'!AA:AA,'Supp Consol'!Z:Z,"Expires this month",'Supp Consol'!A:A,O1067))</f>
        <v/>
      </c>
      <c r="AJ1067" s="25" t="str">
        <f>IF(SUMIFS('Supp Consol'!AA:AA,'Supp Consol'!Z:Z,"Expired Previous Months",'Supp Consol'!A:A,O1067)=0,"",SUMIFS('Supp Consol'!AA:AA,'Supp Consol'!Z:Z,"Expired Previous Months",'Supp Consol'!A:A,O1067))</f>
        <v/>
      </c>
      <c r="AK1067" s="25" t="str">
        <f>IFERROR(INDEX('Hun Release Current'!B:B,MATCH(O1067,'Hun Release Current'!A:A,0)),"")</f>
        <v/>
      </c>
      <c r="AL1067" s="25" t="str">
        <f>IF(SUMIF('Prev Aub'!A:A,O1067,'Prev Aub'!B:B)=0,"",SUMIF('Prev Aub'!A:A,O1067,'Prev Aub'!B:B))</f>
        <v/>
      </c>
      <c r="AN1067" s="25" t="s">
        <v>3790</v>
      </c>
      <c r="AO1067" s="25" t="s">
        <v>3790</v>
      </c>
      <c r="AP1067" s="25">
        <f t="shared" si="454"/>
        <v>0</v>
      </c>
      <c r="AQ1067" s="151" t="str">
        <f>IF(SUMIFS('Supp Consol'!S:S,'Supp Consol'!A:A,O1067,'Supp Consol'!I:I,"PENDING")=0,"",SUMIFS('Supp Consol'!S:S,'Supp Consol'!A:A,O1067,'Supp Consol'!I:I,"PENDING"))</f>
        <v/>
      </c>
      <c r="AR1067" s="27" t="str">
        <f t="shared" si="455"/>
        <v>SL603</v>
      </c>
      <c r="AS1067" s="27" t="str">
        <f t="shared" si="456"/>
        <v>50</v>
      </c>
      <c r="AT1067" s="27" t="str">
        <f t="shared" si="457"/>
        <v/>
      </c>
      <c r="AU1067" s="27" t="str">
        <f t="shared" si="458"/>
        <v/>
      </c>
      <c r="AV1067" s="27" t="str">
        <f t="shared" si="459"/>
        <v/>
      </c>
      <c r="AW1067" s="27" t="str">
        <f t="shared" si="460"/>
        <v/>
      </c>
      <c r="AX1067" s="27" t="str">
        <f t="shared" si="461"/>
        <v/>
      </c>
      <c r="AY1067" s="27" t="str">
        <f t="shared" si="462"/>
        <v/>
      </c>
      <c r="AZ1067" s="27" t="str">
        <f t="shared" si="463"/>
        <v/>
      </c>
      <c r="BA1067" s="27" t="str">
        <f t="shared" si="464"/>
        <v/>
      </c>
      <c r="BB1067" s="27" t="str">
        <f t="shared" si="465"/>
        <v/>
      </c>
      <c r="BC1067" s="27" t="str">
        <f t="shared" si="466"/>
        <v/>
      </c>
      <c r="BD1067" s="27" t="str">
        <f t="shared" si="467"/>
        <v/>
      </c>
      <c r="BE1067" s="27" t="str">
        <f t="shared" si="468"/>
        <v/>
      </c>
      <c r="BF1067" s="27" t="str">
        <f t="shared" si="469"/>
        <v/>
      </c>
      <c r="BG1067" s="27" t="str">
        <f t="shared" si="470"/>
        <v/>
      </c>
      <c r="BH1067" s="27" t="str">
        <f t="shared" si="471"/>
        <v/>
      </c>
      <c r="BI1067" s="27" t="str">
        <f t="shared" si="472"/>
        <v/>
      </c>
      <c r="BJ1067" s="27" t="str">
        <f t="shared" si="473"/>
        <v/>
      </c>
      <c r="BK1067" s="27" t="str">
        <f t="shared" si="474"/>
        <v/>
      </c>
      <c r="BL1067" s="27" t="str">
        <f t="shared" si="475"/>
        <v/>
      </c>
      <c r="BM1067" s="21" t="s">
        <v>5581</v>
      </c>
    </row>
    <row r="1068" spans="1:65" ht="15">
      <c r="A1068" s="25" t="str">
        <f>IFERROR(INDEX('Hun Demand'!W:W,MATCH(O1068,'Hun Demand'!A:A,0)),"")</f>
        <v/>
      </c>
      <c r="B1068" s="25" t="str">
        <f>IFERROR(INDEX('Hun Demand'!V:V,MATCH(O1068,'Hun Demand'!A:A,0)),"")</f>
        <v/>
      </c>
      <c r="C1068" s="25" t="str">
        <f>IFERROR(INDEX('Hun Demand'!U:U,MATCH(O1068,'Hun Demand'!A:A,0)),"")</f>
        <v/>
      </c>
      <c r="D1068" s="25" t="str">
        <f>IFERROR(INDEX('Hun Demand'!T:T,MATCH(O1068,'Hun Demand'!A:A,0)),"")</f>
        <v/>
      </c>
      <c r="E1068" s="25" t="str">
        <f>IFERROR(INDEX('Hun Demand'!S:S,MATCH(O1068,'Hun Demand'!A:A,0)),"")</f>
        <v/>
      </c>
      <c r="F1068" s="25" t="str">
        <f>IFERROR(INDEX('Hun Demand'!R:R,MATCH(O1068,'Hun Demand'!A:A,0)),"")</f>
        <v/>
      </c>
      <c r="G1068" s="25">
        <f>IFERROR(INDEX('Aub Demand'!W:W,MATCH(O1068,'Aub Demand'!A:A,0)),"")</f>
        <v>1</v>
      </c>
      <c r="H1068" s="25">
        <f>IFERROR(INDEX('Aub Demand'!V:V,MATCH(O1068,'Aub Demand'!A:A,0)),"")</f>
        <v>35</v>
      </c>
      <c r="I1068" s="25">
        <f>IFERROR(INDEX('Aub Demand'!U:U,MATCH(O1068,'Aub Demand'!A:A,0)),"")</f>
        <v>24</v>
      </c>
      <c r="J1068" s="25">
        <f>IFERROR(INDEX('Aub Demand'!T:T,MATCH(O1068,'Aub Demand'!A:A,0)),"")</f>
        <v>57</v>
      </c>
      <c r="K1068" s="25">
        <f>IFERROR(INDEX('Aub Demand'!S:S,MATCH(O1068,'Aub Demand'!A:A,0)),"")</f>
        <v>65</v>
      </c>
      <c r="L1068" s="25">
        <f>IFERROR(INDEX('Aub Demand'!R:R,MATCH(O1068,'Aub Demand'!A:A,0)),"")</f>
        <v>0</v>
      </c>
      <c r="O1068" s="27" t="s">
        <v>2623</v>
      </c>
      <c r="P1068" s="27" t="str">
        <f>IFERROR(INDEX('Aub Demand'!B:B,MATCH($O1068,'Aub Demand'!$A:$A,0)),"")</f>
        <v>RARE EARTH SLATE 60"</v>
      </c>
      <c r="Q1068" s="27" t="str">
        <f>IFERROR(INDEX('Aub Demand'!C:C,MATCH($O1068,'Aub Demand'!$A:$A,0)),"")</f>
        <v>DNP A</v>
      </c>
      <c r="R1068" s="52">
        <f>IFERROR(IF(AR1069=AR1068,INDEX('Aub Demand'!K:K,MATCH($O1068,'Aub Demand'!$A:$A,0))-IF(AN1068="",0,AN1068)+AP1069,INDEX('Aub Demand'!K:K,MATCH($O1068,'Aub Demand'!$A:$A,0))-IF(AN1068="",0,AN1068)),"")</f>
        <v>1973</v>
      </c>
      <c r="S1068" s="53">
        <f t="shared" si="448"/>
        <v>172.6</v>
      </c>
      <c r="T1068" s="52" t="str">
        <f t="shared" si="449"/>
        <v/>
      </c>
      <c r="U1068" s="52">
        <f>IFERROR(IF(AR1069=AR1068,INDEX('Aub Demand'!Q:Q,MATCH($O1068,'Aub Demand'!$A:$A,0))-IF(AN1068="",0,AN1068)+AP1069,INDEX('Aub Demand'!Q:Q,MATCH($O1068,'Aub Demand'!$A:$A,0))-IF(AN1068="",0,AN1068)),"")</f>
        <v>1925</v>
      </c>
      <c r="V1068" s="53">
        <f t="shared" si="450"/>
        <v>168.4</v>
      </c>
      <c r="W1068" s="52" t="str">
        <f t="shared" si="451"/>
        <v/>
      </c>
      <c r="X1068" s="52">
        <f>IFERROR(IF(AND(AR1069=AR1068,AM1068&lt;&gt;""),INDEX('Aub Demand'!Q:Q,MATCH($O1068,'Aub Demand'!$A:$A,0))-IF(AN1068="",0,AN1068)+AP1069+AD1068+AL1068,IF(AR1069=AR1068,INDEX('Aub Demand'!Q:Q,MATCH($O1068,'Aub Demand'!$A:$A,0))-IF(AN1068="",0,AN1068)+AP1069+AD1068,IF(AM1068&lt;&gt;"",INDEX('Aub Demand'!Q:Q,MATCH($O1068,'Aub Demand'!$A:$A,0))-IF(AN1068="",0,AN1068)+AD1068+AL1068,INDEX('Aub Demand'!Q:Q,MATCH($O1068,'Aub Demand'!$A:$A,0))-IF(AN1068="",0,AN1068)+AD1068))),"")</f>
        <v>1925</v>
      </c>
      <c r="Y1068" s="53">
        <f t="shared" si="452"/>
        <v>168.4</v>
      </c>
      <c r="Z1068" s="52">
        <f>IF(L1068="","",INDEX('Aub Demand'!H:H,MATCH($O1068,'Aub Demand'!$A:$A,0)))</f>
        <v>49</v>
      </c>
      <c r="AA1068" s="52">
        <f t="shared" si="453"/>
        <v>61</v>
      </c>
      <c r="AB1068" s="52">
        <f>IFERROR(INDEX('Aub Demand'!L:L,MATCH($O1068,'Aub Demand'!$A:$A,0)),"")</f>
        <v>38</v>
      </c>
      <c r="AC1068" s="52">
        <f>IFERROR(IF(O1068="","",SUMIFS('CPL Mats'!F:F,'CPL Mats'!Q:Q,AR1068,'CPL Mats'!S:S,AS1068)),"")</f>
        <v>0</v>
      </c>
      <c r="AF1068" s="25" t="str">
        <f>IF(SUMIFS('Supp Consol'!S:S,'Supp Consol'!Y:Y,"Releasable",'Supp Consol'!A:A,O1068)=0,"",SUMIFS('Supp Consol'!S:S,'Supp Consol'!Y:Y,"Releasable",'Supp Consol'!A:A,O1068))</f>
        <v/>
      </c>
      <c r="AG1068" s="25" t="str">
        <f>IFERROR(INDEX('Hun Demand'!Q:Q,MATCH(O1068,'Hun Demand'!A:A,0)),"")</f>
        <v/>
      </c>
      <c r="AH1068" s="25" t="str">
        <f>IFERROR(INDEX('Hun Demand'!H:H,MATCH($O1068,'Hun Demand'!$A:$A,0)),"")</f>
        <v/>
      </c>
      <c r="AI1068" s="25" t="str">
        <f>IF(SUMIFS('Supp Consol'!AA:AA,'Supp Consol'!Z:Z,"Expires this month",'Supp Consol'!A:A,O1068)=0,"",SUMIFS('Supp Consol'!AA:AA,'Supp Consol'!Z:Z,"Expires this month",'Supp Consol'!A:A,O1068))</f>
        <v/>
      </c>
      <c r="AJ1068" s="25" t="str">
        <f>IF(SUMIFS('Supp Consol'!AA:AA,'Supp Consol'!Z:Z,"Expired Previous Months",'Supp Consol'!A:A,O1068)=0,"",SUMIFS('Supp Consol'!AA:AA,'Supp Consol'!Z:Z,"Expired Previous Months",'Supp Consol'!A:A,O1068))</f>
        <v/>
      </c>
      <c r="AK1068" s="25" t="str">
        <f>IFERROR(INDEX('Hun Release Current'!B:B,MATCH(O1068,'Hun Release Current'!A:A,0)),"")</f>
        <v/>
      </c>
      <c r="AL1068" s="25" t="str">
        <f>IF(SUMIF('Prev Aub'!A:A,O1068,'Prev Aub'!B:B)=0,"",SUMIF('Prev Aub'!A:A,O1068,'Prev Aub'!B:B))</f>
        <v/>
      </c>
      <c r="AN1068" s="25" t="s">
        <v>3790</v>
      </c>
      <c r="AO1068" s="25" t="s">
        <v>3790</v>
      </c>
      <c r="AP1068" s="25">
        <f t="shared" si="454"/>
        <v>0</v>
      </c>
      <c r="AQ1068" s="151" t="str">
        <f>IF(SUMIFS('Supp Consol'!S:S,'Supp Consol'!A:A,O1068,'Supp Consol'!I:I,"PENDING")=0,"",SUMIFS('Supp Consol'!S:S,'Supp Consol'!A:A,O1068,'Supp Consol'!I:I,"PENDING"))</f>
        <v/>
      </c>
      <c r="AR1068" s="27" t="str">
        <f t="shared" si="455"/>
        <v>SL603</v>
      </c>
      <c r="AS1068" s="27" t="str">
        <f t="shared" si="456"/>
        <v>62</v>
      </c>
      <c r="AT1068" s="27" t="str">
        <f t="shared" si="457"/>
        <v/>
      </c>
      <c r="AU1068" s="27" t="str">
        <f t="shared" si="458"/>
        <v/>
      </c>
      <c r="AV1068" s="27" t="str">
        <f t="shared" si="459"/>
        <v/>
      </c>
      <c r="AW1068" s="27" t="str">
        <f t="shared" si="460"/>
        <v/>
      </c>
      <c r="AX1068" s="27" t="str">
        <f t="shared" si="461"/>
        <v/>
      </c>
      <c r="AY1068" s="27" t="str">
        <f t="shared" si="462"/>
        <v/>
      </c>
      <c r="AZ1068" s="27" t="str">
        <f t="shared" si="463"/>
        <v/>
      </c>
      <c r="BA1068" s="27" t="str">
        <f t="shared" si="464"/>
        <v/>
      </c>
      <c r="BB1068" s="27" t="str">
        <f t="shared" si="465"/>
        <v/>
      </c>
      <c r="BC1068" s="27" t="str">
        <f t="shared" si="466"/>
        <v/>
      </c>
      <c r="BD1068" s="27" t="str">
        <f t="shared" si="467"/>
        <v/>
      </c>
      <c r="BE1068" s="27" t="str">
        <f t="shared" si="468"/>
        <v/>
      </c>
      <c r="BF1068" s="27" t="str">
        <f t="shared" si="469"/>
        <v/>
      </c>
      <c r="BG1068" s="27" t="str">
        <f t="shared" si="470"/>
        <v/>
      </c>
      <c r="BH1068" s="27" t="str">
        <f t="shared" si="471"/>
        <v/>
      </c>
      <c r="BI1068" s="27" t="str">
        <f t="shared" si="472"/>
        <v/>
      </c>
      <c r="BJ1068" s="27" t="str">
        <f t="shared" si="473"/>
        <v/>
      </c>
      <c r="BK1068" s="27" t="str">
        <f t="shared" si="474"/>
        <v/>
      </c>
      <c r="BL1068" s="27" t="str">
        <f t="shared" si="475"/>
        <v/>
      </c>
      <c r="BM1068" s="21" t="s">
        <v>5581</v>
      </c>
    </row>
    <row r="1069" spans="1:65" ht="15">
      <c r="A1069" s="25" t="str">
        <f>IFERROR(INDEX('Hun Demand'!W:W,MATCH(O1069,'Hun Demand'!A:A,0)),"")</f>
        <v/>
      </c>
      <c r="B1069" s="25" t="str">
        <f>IFERROR(INDEX('Hun Demand'!V:V,MATCH(O1069,'Hun Demand'!A:A,0)),"")</f>
        <v/>
      </c>
      <c r="C1069" s="25" t="str">
        <f>IFERROR(INDEX('Hun Demand'!U:U,MATCH(O1069,'Hun Demand'!A:A,0)),"")</f>
        <v/>
      </c>
      <c r="D1069" s="25" t="str">
        <f>IFERROR(INDEX('Hun Demand'!T:T,MATCH(O1069,'Hun Demand'!A:A,0)),"")</f>
        <v/>
      </c>
      <c r="E1069" s="25" t="str">
        <f>IFERROR(INDEX('Hun Demand'!S:S,MATCH(O1069,'Hun Demand'!A:A,0)),"")</f>
        <v/>
      </c>
      <c r="F1069" s="25" t="str">
        <f>IFERROR(INDEX('Hun Demand'!R:R,MATCH(O1069,'Hun Demand'!A:A,0)),"")</f>
        <v/>
      </c>
      <c r="G1069" s="25">
        <f>IFERROR(INDEX('Aub Demand'!W:W,MATCH(O1069,'Aub Demand'!A:A,0)),"")</f>
        <v>0</v>
      </c>
      <c r="H1069" s="25">
        <f>IFERROR(INDEX('Aub Demand'!V:V,MATCH(O1069,'Aub Demand'!A:A,0)),"")</f>
        <v>0</v>
      </c>
      <c r="I1069" s="25">
        <f>IFERROR(INDEX('Aub Demand'!U:U,MATCH(O1069,'Aub Demand'!A:A,0)),"")</f>
        <v>0</v>
      </c>
      <c r="J1069" s="25">
        <f>IFERROR(INDEX('Aub Demand'!T:T,MATCH(O1069,'Aub Demand'!A:A,0)),"")</f>
        <v>6</v>
      </c>
      <c r="K1069" s="25">
        <f>IFERROR(INDEX('Aub Demand'!S:S,MATCH(O1069,'Aub Demand'!A:A,0)),"")</f>
        <v>0</v>
      </c>
      <c r="L1069" s="25">
        <f>IFERROR(INDEX('Aub Demand'!R:R,MATCH(O1069,'Aub Demand'!A:A,0)),"")</f>
        <v>0</v>
      </c>
      <c r="O1069" s="27" t="s">
        <v>2625</v>
      </c>
      <c r="P1069" s="27" t="str">
        <f>IFERROR(INDEX('Aub Demand'!B:B,MATCH($O1069,'Aub Demand'!$A:$A,0)),"")</f>
        <v>PEWTER PIETRA 50"</v>
      </c>
      <c r="Q1069" s="27" t="str">
        <f>IFERROR(INDEX('Aub Demand'!C:C,MATCH($O1069,'Aub Demand'!$A:$A,0)),"")</f>
        <v>SCHAT</v>
      </c>
      <c r="R1069" s="52">
        <f>IFERROR(IF(AR1070=AR1069,INDEX('Aub Demand'!K:K,MATCH($O1069,'Aub Demand'!$A:$A,0))-IF(AN1069="",0,AN1069)+AP1070,INDEX('Aub Demand'!K:K,MATCH($O1069,'Aub Demand'!$A:$A,0))-IF(AN1069="",0,AN1069)),"")</f>
        <v>889</v>
      </c>
      <c r="S1069" s="53">
        <f t="shared" si="448"/>
        <v>1905</v>
      </c>
      <c r="T1069" s="52" t="str">
        <f t="shared" si="449"/>
        <v/>
      </c>
      <c r="U1069" s="52">
        <f>IFERROR(IF(AR1070=AR1069,INDEX('Aub Demand'!Q:Q,MATCH($O1069,'Aub Demand'!$A:$A,0))-IF(AN1069="",0,AN1069)+AP1070,INDEX('Aub Demand'!Q:Q,MATCH($O1069,'Aub Demand'!$A:$A,0))-IF(AN1069="",0,AN1069)),"")</f>
        <v>889</v>
      </c>
      <c r="V1069" s="53">
        <f t="shared" si="450"/>
        <v>1905</v>
      </c>
      <c r="W1069" s="52" t="str">
        <f t="shared" si="451"/>
        <v/>
      </c>
      <c r="X1069" s="52">
        <f>IFERROR(IF(AND(AR1070=AR1069,AM1069&lt;&gt;""),INDEX('Aub Demand'!Q:Q,MATCH($O1069,'Aub Demand'!$A:$A,0))-IF(AN1069="",0,AN1069)+AP1070+AD1069+AL1069,IF(AR1070=AR1069,INDEX('Aub Demand'!Q:Q,MATCH($O1069,'Aub Demand'!$A:$A,0))-IF(AN1069="",0,AN1069)+AP1070+AD1069,IF(AM1069&lt;&gt;"",INDEX('Aub Demand'!Q:Q,MATCH($O1069,'Aub Demand'!$A:$A,0))-IF(AN1069="",0,AN1069)+AD1069+AL1069,INDEX('Aub Demand'!Q:Q,MATCH($O1069,'Aub Demand'!$A:$A,0))-IF(AN1069="",0,AN1069)+AD1069))),"")</f>
        <v>889</v>
      </c>
      <c r="Y1069" s="53">
        <f t="shared" si="452"/>
        <v>1905</v>
      </c>
      <c r="Z1069" s="52">
        <f>IF(L1069="","",INDEX('Aub Demand'!H:H,MATCH($O1069,'Aub Demand'!$A:$A,0)))</f>
        <v>2</v>
      </c>
      <c r="AA1069" s="52" t="str">
        <f t="shared" si="453"/>
        <v>-spike-</v>
      </c>
      <c r="AB1069" s="52">
        <f>IFERROR(INDEX('Aub Demand'!L:L,MATCH($O1069,'Aub Demand'!$A:$A,0)),"")</f>
        <v>0</v>
      </c>
      <c r="AC1069" s="52">
        <f>IFERROR(IF(O1069="","",SUMIFS('CPL Mats'!F:F,'CPL Mats'!Q:Q,AR1069,'CPL Mats'!S:S,AS1069)),"")</f>
        <v>0</v>
      </c>
      <c r="AF1069" s="25" t="str">
        <f>IF(SUMIFS('Supp Consol'!S:S,'Supp Consol'!Y:Y,"Releasable",'Supp Consol'!A:A,O1069)=0,"",SUMIFS('Supp Consol'!S:S,'Supp Consol'!Y:Y,"Releasable",'Supp Consol'!A:A,O1069))</f>
        <v/>
      </c>
      <c r="AG1069" s="25" t="str">
        <f>IFERROR(INDEX('Hun Demand'!Q:Q,MATCH(O1069,'Hun Demand'!A:A,0)),"")</f>
        <v/>
      </c>
      <c r="AH1069" s="25" t="str">
        <f>IFERROR(INDEX('Hun Demand'!H:H,MATCH($O1069,'Hun Demand'!$A:$A,0)),"")</f>
        <v/>
      </c>
      <c r="AI1069" s="25" t="str">
        <f>IF(SUMIFS('Supp Consol'!AA:AA,'Supp Consol'!Z:Z,"Expires this month",'Supp Consol'!A:A,O1069)=0,"",SUMIFS('Supp Consol'!AA:AA,'Supp Consol'!Z:Z,"Expires this month",'Supp Consol'!A:A,O1069))</f>
        <v/>
      </c>
      <c r="AJ1069" s="25" t="str">
        <f>IF(SUMIFS('Supp Consol'!AA:AA,'Supp Consol'!Z:Z,"Expired Previous Months",'Supp Consol'!A:A,O1069)=0,"",SUMIFS('Supp Consol'!AA:AA,'Supp Consol'!Z:Z,"Expired Previous Months",'Supp Consol'!A:A,O1069))</f>
        <v/>
      </c>
      <c r="AK1069" s="25" t="str">
        <f>IFERROR(INDEX('Hun Release Current'!B:B,MATCH(O1069,'Hun Release Current'!A:A,0)),"")</f>
        <v/>
      </c>
      <c r="AL1069" s="25" t="str">
        <f>IF(SUMIF('Prev Aub'!A:A,O1069,'Prev Aub'!B:B)=0,"",SUMIF('Prev Aub'!A:A,O1069,'Prev Aub'!B:B))</f>
        <v/>
      </c>
      <c r="AN1069" s="25" t="s">
        <v>3790</v>
      </c>
      <c r="AO1069" s="25" t="s">
        <v>3790</v>
      </c>
      <c r="AP1069" s="25">
        <f t="shared" si="454"/>
        <v>0</v>
      </c>
      <c r="AQ1069" s="151" t="str">
        <f>IF(SUMIFS('Supp Consol'!S:S,'Supp Consol'!A:A,O1069,'Supp Consol'!I:I,"PENDING")=0,"",SUMIFS('Supp Consol'!S:S,'Supp Consol'!A:A,O1069,'Supp Consol'!I:I,"PENDING"))</f>
        <v/>
      </c>
      <c r="AR1069" s="27" t="str">
        <f t="shared" si="455"/>
        <v>SL604</v>
      </c>
      <c r="AS1069" s="27" t="str">
        <f t="shared" si="456"/>
        <v>50</v>
      </c>
      <c r="AT1069" s="27" t="str">
        <f t="shared" si="457"/>
        <v/>
      </c>
      <c r="AU1069" s="27" t="str">
        <f t="shared" si="458"/>
        <v/>
      </c>
      <c r="AV1069" s="27" t="str">
        <f t="shared" si="459"/>
        <v/>
      </c>
      <c r="AW1069" s="27" t="str">
        <f t="shared" si="460"/>
        <v/>
      </c>
      <c r="AX1069" s="27" t="str">
        <f t="shared" si="461"/>
        <v/>
      </c>
      <c r="AY1069" s="27" t="str">
        <f t="shared" si="462"/>
        <v/>
      </c>
      <c r="AZ1069" s="27" t="str">
        <f t="shared" si="463"/>
        <v/>
      </c>
      <c r="BA1069" s="27" t="str">
        <f t="shared" si="464"/>
        <v/>
      </c>
      <c r="BB1069" s="27" t="str">
        <f t="shared" si="465"/>
        <v/>
      </c>
      <c r="BC1069" s="27" t="str">
        <f t="shared" si="466"/>
        <v/>
      </c>
      <c r="BD1069" s="27" t="str">
        <f t="shared" si="467"/>
        <v/>
      </c>
      <c r="BE1069" s="27" t="str">
        <f t="shared" si="468"/>
        <v/>
      </c>
      <c r="BF1069" s="27" t="str">
        <f t="shared" si="469"/>
        <v/>
      </c>
      <c r="BG1069" s="27" t="str">
        <f t="shared" si="470"/>
        <v/>
      </c>
      <c r="BH1069" s="27" t="str">
        <f t="shared" si="471"/>
        <v/>
      </c>
      <c r="BI1069" s="27" t="str">
        <f t="shared" si="472"/>
        <v/>
      </c>
      <c r="BJ1069" s="27" t="str">
        <f t="shared" si="473"/>
        <v/>
      </c>
      <c r="BK1069" s="27" t="str">
        <f t="shared" si="474"/>
        <v/>
      </c>
      <c r="BL1069" s="27" t="str">
        <f t="shared" si="475"/>
        <v/>
      </c>
      <c r="BM1069" s="21" t="s">
        <v>3790</v>
      </c>
    </row>
    <row r="1070" spans="1:65" ht="15">
      <c r="A1070" s="25" t="str">
        <f>IFERROR(INDEX('Hun Demand'!W:W,MATCH(O1070,'Hun Demand'!A:A,0)),"")</f>
        <v/>
      </c>
      <c r="B1070" s="25" t="str">
        <f>IFERROR(INDEX('Hun Demand'!V:V,MATCH(O1070,'Hun Demand'!A:A,0)),"")</f>
        <v/>
      </c>
      <c r="C1070" s="25" t="str">
        <f>IFERROR(INDEX('Hun Demand'!U:U,MATCH(O1070,'Hun Demand'!A:A,0)),"")</f>
        <v/>
      </c>
      <c r="D1070" s="25" t="str">
        <f>IFERROR(INDEX('Hun Demand'!T:T,MATCH(O1070,'Hun Demand'!A:A,0)),"")</f>
        <v/>
      </c>
      <c r="E1070" s="25" t="str">
        <f>IFERROR(INDEX('Hun Demand'!S:S,MATCH(O1070,'Hun Demand'!A:A,0)),"")</f>
        <v/>
      </c>
      <c r="F1070" s="25" t="str">
        <f>IFERROR(INDEX('Hun Demand'!R:R,MATCH(O1070,'Hun Demand'!A:A,0)),"")</f>
        <v/>
      </c>
      <c r="G1070" s="25">
        <f>IFERROR(INDEX('Aub Demand'!W:W,MATCH(O1070,'Aub Demand'!A:A,0)),"")</f>
        <v>0</v>
      </c>
      <c r="H1070" s="25">
        <f>IFERROR(INDEX('Aub Demand'!V:V,MATCH(O1070,'Aub Demand'!A:A,0)),"")</f>
        <v>0</v>
      </c>
      <c r="I1070" s="25">
        <f>IFERROR(INDEX('Aub Demand'!U:U,MATCH(O1070,'Aub Demand'!A:A,0)),"")</f>
        <v>0</v>
      </c>
      <c r="J1070" s="25">
        <f>IFERROR(INDEX('Aub Demand'!T:T,MATCH(O1070,'Aub Demand'!A:A,0)),"")</f>
        <v>0</v>
      </c>
      <c r="K1070" s="25">
        <f>IFERROR(INDEX('Aub Demand'!S:S,MATCH(O1070,'Aub Demand'!A:A,0)),"")</f>
        <v>0</v>
      </c>
      <c r="L1070" s="25">
        <f>IFERROR(INDEX('Aub Demand'!R:R,MATCH(O1070,'Aub Demand'!A:A,0)),"")</f>
        <v>0</v>
      </c>
      <c r="O1070" s="27" t="s">
        <v>2628</v>
      </c>
      <c r="P1070" s="27" t="str">
        <f>IFERROR(INDEX('Aub Demand'!B:B,MATCH($O1070,'Aub Demand'!$A:$A,0)),"")</f>
        <v>PEWTER PIETRA 60"</v>
      </c>
      <c r="Q1070" s="27" t="str">
        <f>IFERROR(INDEX('Aub Demand'!C:C,MATCH($O1070,'Aub Demand'!$A:$A,0)),"")</f>
        <v>SCHAT</v>
      </c>
      <c r="R1070" s="52">
        <f>IFERROR(IF(AR1071=AR1070,INDEX('Aub Demand'!K:K,MATCH($O1070,'Aub Demand'!$A:$A,0))-IF(AN1070="",0,AN1070)+AP1071,INDEX('Aub Demand'!K:K,MATCH($O1070,'Aub Demand'!$A:$A,0))-IF(AN1070="",0,AN1070)),"")</f>
        <v>1458</v>
      </c>
      <c r="S1070" s="53" t="str">
        <f t="shared" si="448"/>
        <v>n/a</v>
      </c>
      <c r="T1070" s="52" t="str">
        <f t="shared" si="449"/>
        <v/>
      </c>
      <c r="U1070" s="52">
        <f>IFERROR(IF(AR1071=AR1070,INDEX('Aub Demand'!Q:Q,MATCH($O1070,'Aub Demand'!$A:$A,0))-IF(AN1070="",0,AN1070)+AP1071,INDEX('Aub Demand'!Q:Q,MATCH($O1070,'Aub Demand'!$A:$A,0))-IF(AN1070="",0,AN1070)),"")</f>
        <v>1458</v>
      </c>
      <c r="V1070" s="53" t="str">
        <f t="shared" si="450"/>
        <v>n/a</v>
      </c>
      <c r="W1070" s="52" t="str">
        <f t="shared" si="451"/>
        <v/>
      </c>
      <c r="X1070" s="52">
        <f>IFERROR(IF(AND(AR1071=AR1070,AM1070&lt;&gt;""),INDEX('Aub Demand'!Q:Q,MATCH($O1070,'Aub Demand'!$A:$A,0))-IF(AN1070="",0,AN1070)+AP1071+AD1070+AL1070,IF(AR1071=AR1070,INDEX('Aub Demand'!Q:Q,MATCH($O1070,'Aub Demand'!$A:$A,0))-IF(AN1070="",0,AN1070)+AP1071+AD1070,IF(AM1070&lt;&gt;"",INDEX('Aub Demand'!Q:Q,MATCH($O1070,'Aub Demand'!$A:$A,0))-IF(AN1070="",0,AN1070)+AD1070+AL1070,INDEX('Aub Demand'!Q:Q,MATCH($O1070,'Aub Demand'!$A:$A,0))-IF(AN1070="",0,AN1070)+AD1070))),"")</f>
        <v>1458</v>
      </c>
      <c r="Y1070" s="53" t="str">
        <f t="shared" si="452"/>
        <v>n/a</v>
      </c>
      <c r="Z1070" s="52">
        <f>IF(L1070="","",INDEX('Aub Demand'!H:H,MATCH($O1070,'Aub Demand'!$A:$A,0)))</f>
        <v>0</v>
      </c>
      <c r="AA1070" s="52" t="str">
        <f t="shared" si="453"/>
        <v>-spike-</v>
      </c>
      <c r="AB1070" s="52">
        <f>IFERROR(INDEX('Aub Demand'!L:L,MATCH($O1070,'Aub Demand'!$A:$A,0)),"")</f>
        <v>0</v>
      </c>
      <c r="AC1070" s="52">
        <f>IFERROR(IF(O1070="","",SUMIFS('CPL Mats'!F:F,'CPL Mats'!Q:Q,AR1070,'CPL Mats'!S:S,AS1070)),"")</f>
        <v>0</v>
      </c>
      <c r="AF1070" s="25" t="str">
        <f>IF(SUMIFS('Supp Consol'!S:S,'Supp Consol'!Y:Y,"Releasable",'Supp Consol'!A:A,O1070)=0,"",SUMIFS('Supp Consol'!S:S,'Supp Consol'!Y:Y,"Releasable",'Supp Consol'!A:A,O1070))</f>
        <v/>
      </c>
      <c r="AG1070" s="25" t="str">
        <f>IFERROR(INDEX('Hun Demand'!Q:Q,MATCH(O1070,'Hun Demand'!A:A,0)),"")</f>
        <v/>
      </c>
      <c r="AH1070" s="25" t="str">
        <f>IFERROR(INDEX('Hun Demand'!H:H,MATCH($O1070,'Hun Demand'!$A:$A,0)),"")</f>
        <v/>
      </c>
      <c r="AI1070" s="25" t="str">
        <f>IF(SUMIFS('Supp Consol'!AA:AA,'Supp Consol'!Z:Z,"Expires this month",'Supp Consol'!A:A,O1070)=0,"",SUMIFS('Supp Consol'!AA:AA,'Supp Consol'!Z:Z,"Expires this month",'Supp Consol'!A:A,O1070))</f>
        <v/>
      </c>
      <c r="AJ1070" s="25" t="str">
        <f>IF(SUMIFS('Supp Consol'!AA:AA,'Supp Consol'!Z:Z,"Expired Previous Months",'Supp Consol'!A:A,O1070)=0,"",SUMIFS('Supp Consol'!AA:AA,'Supp Consol'!Z:Z,"Expired Previous Months",'Supp Consol'!A:A,O1070))</f>
        <v/>
      </c>
      <c r="AK1070" s="25" t="str">
        <f>IFERROR(INDEX('Hun Release Current'!B:B,MATCH(O1070,'Hun Release Current'!A:A,0)),"")</f>
        <v/>
      </c>
      <c r="AL1070" s="25" t="str">
        <f>IF(SUMIF('Prev Aub'!A:A,O1070,'Prev Aub'!B:B)=0,"",SUMIF('Prev Aub'!A:A,O1070,'Prev Aub'!B:B))</f>
        <v/>
      </c>
      <c r="AN1070" s="25" t="s">
        <v>3790</v>
      </c>
      <c r="AO1070" s="25" t="s">
        <v>3790</v>
      </c>
      <c r="AP1070" s="25">
        <f t="shared" si="454"/>
        <v>0</v>
      </c>
      <c r="AQ1070" s="151" t="str">
        <f>IF(SUMIFS('Supp Consol'!S:S,'Supp Consol'!A:A,O1070,'Supp Consol'!I:I,"PENDING")=0,"",SUMIFS('Supp Consol'!S:S,'Supp Consol'!A:A,O1070,'Supp Consol'!I:I,"PENDING"))</f>
        <v/>
      </c>
      <c r="AR1070" s="27" t="str">
        <f t="shared" si="455"/>
        <v>SL604</v>
      </c>
      <c r="AS1070" s="27" t="str">
        <f t="shared" si="456"/>
        <v>62</v>
      </c>
      <c r="AT1070" s="27" t="str">
        <f t="shared" si="457"/>
        <v/>
      </c>
      <c r="AU1070" s="27" t="str">
        <f t="shared" si="458"/>
        <v/>
      </c>
      <c r="AV1070" s="27" t="str">
        <f t="shared" si="459"/>
        <v/>
      </c>
      <c r="AW1070" s="27" t="str">
        <f t="shared" si="460"/>
        <v/>
      </c>
      <c r="AX1070" s="27" t="str">
        <f t="shared" si="461"/>
        <v/>
      </c>
      <c r="AY1070" s="27" t="str">
        <f t="shared" si="462"/>
        <v/>
      </c>
      <c r="AZ1070" s="27" t="str">
        <f t="shared" si="463"/>
        <v/>
      </c>
      <c r="BA1070" s="27" t="str">
        <f t="shared" si="464"/>
        <v/>
      </c>
      <c r="BB1070" s="27" t="str">
        <f t="shared" si="465"/>
        <v/>
      </c>
      <c r="BC1070" s="27" t="str">
        <f t="shared" si="466"/>
        <v/>
      </c>
      <c r="BD1070" s="27" t="str">
        <f t="shared" si="467"/>
        <v/>
      </c>
      <c r="BE1070" s="27" t="str">
        <f t="shared" si="468"/>
        <v/>
      </c>
      <c r="BF1070" s="27" t="str">
        <f t="shared" si="469"/>
        <v/>
      </c>
      <c r="BG1070" s="27" t="str">
        <f t="shared" si="470"/>
        <v/>
      </c>
      <c r="BH1070" s="27" t="str">
        <f t="shared" si="471"/>
        <v/>
      </c>
      <c r="BI1070" s="27" t="str">
        <f t="shared" si="472"/>
        <v/>
      </c>
      <c r="BJ1070" s="27" t="str">
        <f t="shared" si="473"/>
        <v/>
      </c>
      <c r="BK1070" s="27" t="str">
        <f t="shared" si="474"/>
        <v/>
      </c>
      <c r="BL1070" s="27" t="str">
        <f t="shared" si="475"/>
        <v/>
      </c>
      <c r="BM1070" s="21" t="s">
        <v>3790</v>
      </c>
    </row>
    <row r="1071" spans="1:65" ht="15">
      <c r="A1071" s="25" t="str">
        <f>IFERROR(INDEX('Hun Demand'!W:W,MATCH(O1071,'Hun Demand'!A:A,0)),"")</f>
        <v/>
      </c>
      <c r="B1071" s="25" t="str">
        <f>IFERROR(INDEX('Hun Demand'!V:V,MATCH(O1071,'Hun Demand'!A:A,0)),"")</f>
        <v/>
      </c>
      <c r="C1071" s="25" t="str">
        <f>IFERROR(INDEX('Hun Demand'!U:U,MATCH(O1071,'Hun Demand'!A:A,0)),"")</f>
        <v/>
      </c>
      <c r="D1071" s="25" t="str">
        <f>IFERROR(INDEX('Hun Demand'!T:T,MATCH(O1071,'Hun Demand'!A:A,0)),"")</f>
        <v/>
      </c>
      <c r="E1071" s="25" t="str">
        <f>IFERROR(INDEX('Hun Demand'!S:S,MATCH(O1071,'Hun Demand'!A:A,0)),"")</f>
        <v/>
      </c>
      <c r="F1071" s="25" t="str">
        <f>IFERROR(INDEX('Hun Demand'!R:R,MATCH(O1071,'Hun Demand'!A:A,0)),"")</f>
        <v/>
      </c>
      <c r="G1071" s="25">
        <f>IFERROR(INDEX('Aub Demand'!W:W,MATCH(O1071,'Aub Demand'!A:A,0)),"")</f>
        <v>0</v>
      </c>
      <c r="H1071" s="25">
        <f>IFERROR(INDEX('Aub Demand'!V:V,MATCH(O1071,'Aub Demand'!A:A,0)),"")</f>
        <v>0</v>
      </c>
      <c r="I1071" s="25">
        <f>IFERROR(INDEX('Aub Demand'!U:U,MATCH(O1071,'Aub Demand'!A:A,0)),"")</f>
        <v>0</v>
      </c>
      <c r="J1071" s="25">
        <f>IFERROR(INDEX('Aub Demand'!T:T,MATCH(O1071,'Aub Demand'!A:A,0)),"")</f>
        <v>0</v>
      </c>
      <c r="K1071" s="25">
        <f>IFERROR(INDEX('Aub Demand'!S:S,MATCH(O1071,'Aub Demand'!A:A,0)),"")</f>
        <v>0</v>
      </c>
      <c r="L1071" s="25">
        <f>IFERROR(INDEX('Aub Demand'!R:R,MATCH(O1071,'Aub Demand'!A:A,0)),"")</f>
        <v>0</v>
      </c>
      <c r="O1071" s="27" t="s">
        <v>2630</v>
      </c>
      <c r="P1071" s="27" t="str">
        <f>IFERROR(INDEX('Aub Demand'!B:B,MATCH($O1071,'Aub Demand'!$A:$A,0)),"")</f>
        <v>POLAR PIETRA 50"</v>
      </c>
      <c r="Q1071" s="27" t="str">
        <f>IFERROR(INDEX('Aub Demand'!C:C,MATCH($O1071,'Aub Demand'!$A:$A,0)),"")</f>
        <v>SCHAT</v>
      </c>
      <c r="R1071" s="52">
        <f>IFERROR(IF(AR1072=AR1071,INDEX('Aub Demand'!K:K,MATCH($O1071,'Aub Demand'!$A:$A,0))-IF(AN1071="",0,AN1071)+AP1072,INDEX('Aub Demand'!K:K,MATCH($O1071,'Aub Demand'!$A:$A,0))-IF(AN1071="",0,AN1071)),"")</f>
        <v>999</v>
      </c>
      <c r="S1071" s="53" t="str">
        <f t="shared" si="448"/>
        <v>n/a</v>
      </c>
      <c r="T1071" s="52" t="str">
        <f t="shared" si="449"/>
        <v/>
      </c>
      <c r="U1071" s="52">
        <f>IFERROR(IF(AR1072=AR1071,INDEX('Aub Demand'!Q:Q,MATCH($O1071,'Aub Demand'!$A:$A,0))-IF(AN1071="",0,AN1071)+AP1072,INDEX('Aub Demand'!Q:Q,MATCH($O1071,'Aub Demand'!$A:$A,0))-IF(AN1071="",0,AN1071)),"")</f>
        <v>998</v>
      </c>
      <c r="V1071" s="53" t="str">
        <f t="shared" si="450"/>
        <v>n/a</v>
      </c>
      <c r="W1071" s="52" t="str">
        <f t="shared" si="451"/>
        <v/>
      </c>
      <c r="X1071" s="52">
        <f>IFERROR(IF(AND(AR1072=AR1071,AM1071&lt;&gt;""),INDEX('Aub Demand'!Q:Q,MATCH($O1071,'Aub Demand'!$A:$A,0))-IF(AN1071="",0,AN1071)+AP1072+AD1071+AL1071,IF(AR1072=AR1071,INDEX('Aub Demand'!Q:Q,MATCH($O1071,'Aub Demand'!$A:$A,0))-IF(AN1071="",0,AN1071)+AP1072+AD1071,IF(AM1071&lt;&gt;"",INDEX('Aub Demand'!Q:Q,MATCH($O1071,'Aub Demand'!$A:$A,0))-IF(AN1071="",0,AN1071)+AD1071+AL1071,INDEX('Aub Demand'!Q:Q,MATCH($O1071,'Aub Demand'!$A:$A,0))-IF(AN1071="",0,AN1071)+AD1071))),"")</f>
        <v>998</v>
      </c>
      <c r="Y1071" s="53" t="str">
        <f t="shared" si="452"/>
        <v>n/a</v>
      </c>
      <c r="Z1071" s="52">
        <f>IF(L1071="","",INDEX('Aub Demand'!H:H,MATCH($O1071,'Aub Demand'!$A:$A,0)))</f>
        <v>0</v>
      </c>
      <c r="AA1071" s="52" t="str">
        <f t="shared" si="453"/>
        <v>-spike-</v>
      </c>
      <c r="AB1071" s="52">
        <f>IFERROR(INDEX('Aub Demand'!L:L,MATCH($O1071,'Aub Demand'!$A:$A,0)),"")</f>
        <v>0</v>
      </c>
      <c r="AC1071" s="52">
        <f>IFERROR(IF(O1071="","",SUMIFS('CPL Mats'!F:F,'CPL Mats'!Q:Q,AR1071,'CPL Mats'!S:S,AS1071)),"")</f>
        <v>0</v>
      </c>
      <c r="AF1071" s="25" t="str">
        <f>IF(SUMIFS('Supp Consol'!S:S,'Supp Consol'!Y:Y,"Releasable",'Supp Consol'!A:A,O1071)=0,"",SUMIFS('Supp Consol'!S:S,'Supp Consol'!Y:Y,"Releasable",'Supp Consol'!A:A,O1071))</f>
        <v/>
      </c>
      <c r="AG1071" s="25" t="str">
        <f>IFERROR(INDEX('Hun Demand'!Q:Q,MATCH(O1071,'Hun Demand'!A:A,0)),"")</f>
        <v/>
      </c>
      <c r="AH1071" s="25" t="str">
        <f>IFERROR(INDEX('Hun Demand'!H:H,MATCH($O1071,'Hun Demand'!$A:$A,0)),"")</f>
        <v/>
      </c>
      <c r="AI1071" s="25" t="str">
        <f>IF(SUMIFS('Supp Consol'!AA:AA,'Supp Consol'!Z:Z,"Expires this month",'Supp Consol'!A:A,O1071)=0,"",SUMIFS('Supp Consol'!AA:AA,'Supp Consol'!Z:Z,"Expires this month",'Supp Consol'!A:A,O1071))</f>
        <v/>
      </c>
      <c r="AJ1071" s="25" t="str">
        <f>IF(SUMIFS('Supp Consol'!AA:AA,'Supp Consol'!Z:Z,"Expired Previous Months",'Supp Consol'!A:A,O1071)=0,"",SUMIFS('Supp Consol'!AA:AA,'Supp Consol'!Z:Z,"Expired Previous Months",'Supp Consol'!A:A,O1071))</f>
        <v/>
      </c>
      <c r="AK1071" s="25" t="str">
        <f>IFERROR(INDEX('Hun Release Current'!B:B,MATCH(O1071,'Hun Release Current'!A:A,0)),"")</f>
        <v/>
      </c>
      <c r="AL1071" s="25" t="str">
        <f>IF(SUMIF('Prev Aub'!A:A,O1071,'Prev Aub'!B:B)=0,"",SUMIF('Prev Aub'!A:A,O1071,'Prev Aub'!B:B))</f>
        <v/>
      </c>
      <c r="AN1071" s="25" t="s">
        <v>3790</v>
      </c>
      <c r="AO1071" s="25" t="s">
        <v>3790</v>
      </c>
      <c r="AP1071" s="25">
        <f t="shared" si="454"/>
        <v>0</v>
      </c>
      <c r="AQ1071" s="151" t="str">
        <f>IF(SUMIFS('Supp Consol'!S:S,'Supp Consol'!A:A,O1071,'Supp Consol'!I:I,"PENDING")=0,"",SUMIFS('Supp Consol'!S:S,'Supp Consol'!A:A,O1071,'Supp Consol'!I:I,"PENDING"))</f>
        <v/>
      </c>
      <c r="AR1071" s="27" t="str">
        <f t="shared" si="455"/>
        <v>SL701</v>
      </c>
      <c r="AS1071" s="27" t="str">
        <f t="shared" si="456"/>
        <v>50</v>
      </c>
      <c r="AT1071" s="27" t="str">
        <f t="shared" si="457"/>
        <v/>
      </c>
      <c r="AU1071" s="27" t="str">
        <f t="shared" si="458"/>
        <v/>
      </c>
      <c r="AV1071" s="27" t="str">
        <f t="shared" si="459"/>
        <v/>
      </c>
      <c r="AW1071" s="27" t="str">
        <f t="shared" si="460"/>
        <v/>
      </c>
      <c r="AX1071" s="27" t="str">
        <f t="shared" si="461"/>
        <v/>
      </c>
      <c r="AY1071" s="27" t="str">
        <f t="shared" si="462"/>
        <v/>
      </c>
      <c r="AZ1071" s="27" t="str">
        <f t="shared" si="463"/>
        <v/>
      </c>
      <c r="BA1071" s="27" t="str">
        <f t="shared" si="464"/>
        <v/>
      </c>
      <c r="BB1071" s="27" t="str">
        <f t="shared" si="465"/>
        <v/>
      </c>
      <c r="BC1071" s="27" t="str">
        <f t="shared" si="466"/>
        <v/>
      </c>
      <c r="BD1071" s="27" t="str">
        <f t="shared" si="467"/>
        <v/>
      </c>
      <c r="BE1071" s="27" t="str">
        <f t="shared" si="468"/>
        <v/>
      </c>
      <c r="BF1071" s="27" t="str">
        <f t="shared" si="469"/>
        <v/>
      </c>
      <c r="BG1071" s="27" t="str">
        <f t="shared" si="470"/>
        <v/>
      </c>
      <c r="BH1071" s="27" t="str">
        <f t="shared" si="471"/>
        <v/>
      </c>
      <c r="BI1071" s="27" t="str">
        <f t="shared" si="472"/>
        <v/>
      </c>
      <c r="BJ1071" s="27" t="str">
        <f t="shared" si="473"/>
        <v/>
      </c>
      <c r="BK1071" s="27" t="str">
        <f t="shared" si="474"/>
        <v/>
      </c>
      <c r="BL1071" s="27" t="str">
        <f t="shared" si="475"/>
        <v/>
      </c>
      <c r="BM1071" s="21" t="s">
        <v>3790</v>
      </c>
    </row>
    <row r="1072" spans="1:65" ht="15">
      <c r="A1072" s="25" t="str">
        <f>IFERROR(INDEX('Hun Demand'!W:W,MATCH(O1072,'Hun Demand'!A:A,0)),"")</f>
        <v/>
      </c>
      <c r="B1072" s="25" t="str">
        <f>IFERROR(INDEX('Hun Demand'!V:V,MATCH(O1072,'Hun Demand'!A:A,0)),"")</f>
        <v/>
      </c>
      <c r="C1072" s="25" t="str">
        <f>IFERROR(INDEX('Hun Demand'!U:U,MATCH(O1072,'Hun Demand'!A:A,0)),"")</f>
        <v/>
      </c>
      <c r="D1072" s="25" t="str">
        <f>IFERROR(INDEX('Hun Demand'!T:T,MATCH(O1072,'Hun Demand'!A:A,0)),"")</f>
        <v/>
      </c>
      <c r="E1072" s="25" t="str">
        <f>IFERROR(INDEX('Hun Demand'!S:S,MATCH(O1072,'Hun Demand'!A:A,0)),"")</f>
        <v/>
      </c>
      <c r="F1072" s="25" t="str">
        <f>IFERROR(INDEX('Hun Demand'!R:R,MATCH(O1072,'Hun Demand'!A:A,0)),"")</f>
        <v/>
      </c>
      <c r="G1072" s="25">
        <f>IFERROR(INDEX('Aub Demand'!W:W,MATCH(O1072,'Aub Demand'!A:A,0)),"")</f>
        <v>0</v>
      </c>
      <c r="H1072" s="25">
        <f>IFERROR(INDEX('Aub Demand'!V:V,MATCH(O1072,'Aub Demand'!A:A,0)),"")</f>
        <v>0</v>
      </c>
      <c r="I1072" s="25">
        <f>IFERROR(INDEX('Aub Demand'!U:U,MATCH(O1072,'Aub Demand'!A:A,0)),"")</f>
        <v>0</v>
      </c>
      <c r="J1072" s="25">
        <f>IFERROR(INDEX('Aub Demand'!T:T,MATCH(O1072,'Aub Demand'!A:A,0)),"")</f>
        <v>0</v>
      </c>
      <c r="K1072" s="25">
        <f>IFERROR(INDEX('Aub Demand'!S:S,MATCH(O1072,'Aub Demand'!A:A,0)),"")</f>
        <v>0</v>
      </c>
      <c r="L1072" s="25">
        <f>IFERROR(INDEX('Aub Demand'!R:R,MATCH(O1072,'Aub Demand'!A:A,0)),"")</f>
        <v>0</v>
      </c>
      <c r="O1072" s="27" t="s">
        <v>2632</v>
      </c>
      <c r="P1072" s="27" t="str">
        <f>IFERROR(INDEX('Aub Demand'!B:B,MATCH($O1072,'Aub Demand'!$A:$A,0)),"")</f>
        <v>POLAR PIETRA 60"</v>
      </c>
      <c r="Q1072" s="27" t="str">
        <f>IFERROR(INDEX('Aub Demand'!C:C,MATCH($O1072,'Aub Demand'!$A:$A,0)),"")</f>
        <v>SCHAT</v>
      </c>
      <c r="R1072" s="52">
        <f>IFERROR(IF(AR1073=AR1072,INDEX('Aub Demand'!K:K,MATCH($O1072,'Aub Demand'!$A:$A,0))-IF(AN1072="",0,AN1072)+AP1073,INDEX('Aub Demand'!K:K,MATCH($O1072,'Aub Demand'!$A:$A,0))-IF(AN1072="",0,AN1072)),"")</f>
        <v>1554</v>
      </c>
      <c r="S1072" s="53" t="str">
        <f t="shared" si="448"/>
        <v>n/a</v>
      </c>
      <c r="T1072" s="52" t="str">
        <f t="shared" si="449"/>
        <v/>
      </c>
      <c r="U1072" s="52">
        <f>IFERROR(IF(AR1073=AR1072,INDEX('Aub Demand'!Q:Q,MATCH($O1072,'Aub Demand'!$A:$A,0))-IF(AN1072="",0,AN1072)+AP1073,INDEX('Aub Demand'!Q:Q,MATCH($O1072,'Aub Demand'!$A:$A,0))-IF(AN1072="",0,AN1072)),"")</f>
        <v>1549</v>
      </c>
      <c r="V1072" s="53" t="str">
        <f t="shared" si="450"/>
        <v>n/a</v>
      </c>
      <c r="W1072" s="52" t="str">
        <f t="shared" si="451"/>
        <v/>
      </c>
      <c r="X1072" s="52">
        <f>IFERROR(IF(AND(AR1073=AR1072,AM1072&lt;&gt;""),INDEX('Aub Demand'!Q:Q,MATCH($O1072,'Aub Demand'!$A:$A,0))-IF(AN1072="",0,AN1072)+AP1073+AD1072+AL1072,IF(AR1073=AR1072,INDEX('Aub Demand'!Q:Q,MATCH($O1072,'Aub Demand'!$A:$A,0))-IF(AN1072="",0,AN1072)+AP1073+AD1072,IF(AM1072&lt;&gt;"",INDEX('Aub Demand'!Q:Q,MATCH($O1072,'Aub Demand'!$A:$A,0))-IF(AN1072="",0,AN1072)+AD1072+AL1072,INDEX('Aub Demand'!Q:Q,MATCH($O1072,'Aub Demand'!$A:$A,0))-IF(AN1072="",0,AN1072)+AD1072))),"")</f>
        <v>1549</v>
      </c>
      <c r="Y1072" s="53" t="str">
        <f t="shared" si="452"/>
        <v>n/a</v>
      </c>
      <c r="Z1072" s="52">
        <f>IF(L1072="","",INDEX('Aub Demand'!H:H,MATCH($O1072,'Aub Demand'!$A:$A,0)))</f>
        <v>0</v>
      </c>
      <c r="AA1072" s="52" t="str">
        <f t="shared" si="453"/>
        <v>-spike-</v>
      </c>
      <c r="AB1072" s="52">
        <f>IFERROR(INDEX('Aub Demand'!L:L,MATCH($O1072,'Aub Demand'!$A:$A,0)),"")</f>
        <v>8</v>
      </c>
      <c r="AC1072" s="52">
        <f>IFERROR(IF(O1072="","",SUMIFS('CPL Mats'!F:F,'CPL Mats'!Q:Q,AR1072,'CPL Mats'!S:S,AS1072)),"")</f>
        <v>0</v>
      </c>
      <c r="AF1072" s="25" t="str">
        <f>IF(SUMIFS('Supp Consol'!S:S,'Supp Consol'!Y:Y,"Releasable",'Supp Consol'!A:A,O1072)=0,"",SUMIFS('Supp Consol'!S:S,'Supp Consol'!Y:Y,"Releasable",'Supp Consol'!A:A,O1072))</f>
        <v/>
      </c>
      <c r="AG1072" s="25" t="str">
        <f>IFERROR(INDEX('Hun Demand'!Q:Q,MATCH(O1072,'Hun Demand'!A:A,0)),"")</f>
        <v/>
      </c>
      <c r="AH1072" s="25" t="str">
        <f>IFERROR(INDEX('Hun Demand'!H:H,MATCH($O1072,'Hun Demand'!$A:$A,0)),"")</f>
        <v/>
      </c>
      <c r="AI1072" s="25" t="str">
        <f>IF(SUMIFS('Supp Consol'!AA:AA,'Supp Consol'!Z:Z,"Expires this month",'Supp Consol'!A:A,O1072)=0,"",SUMIFS('Supp Consol'!AA:AA,'Supp Consol'!Z:Z,"Expires this month",'Supp Consol'!A:A,O1072))</f>
        <v/>
      </c>
      <c r="AJ1072" s="25" t="str">
        <f>IF(SUMIFS('Supp Consol'!AA:AA,'Supp Consol'!Z:Z,"Expired Previous Months",'Supp Consol'!A:A,O1072)=0,"",SUMIFS('Supp Consol'!AA:AA,'Supp Consol'!Z:Z,"Expired Previous Months",'Supp Consol'!A:A,O1072))</f>
        <v/>
      </c>
      <c r="AK1072" s="25" t="str">
        <f>IFERROR(INDEX('Hun Release Current'!B:B,MATCH(O1072,'Hun Release Current'!A:A,0)),"")</f>
        <v/>
      </c>
      <c r="AL1072" s="25" t="str">
        <f>IF(SUMIF('Prev Aub'!A:A,O1072,'Prev Aub'!B:B)=0,"",SUMIF('Prev Aub'!A:A,O1072,'Prev Aub'!B:B))</f>
        <v/>
      </c>
      <c r="AN1072" s="25" t="s">
        <v>3790</v>
      </c>
      <c r="AO1072" s="25" t="s">
        <v>3790</v>
      </c>
      <c r="AP1072" s="25">
        <f t="shared" si="454"/>
        <v>0</v>
      </c>
      <c r="AQ1072" s="151" t="str">
        <f>IF(SUMIFS('Supp Consol'!S:S,'Supp Consol'!A:A,O1072,'Supp Consol'!I:I,"PENDING")=0,"",SUMIFS('Supp Consol'!S:S,'Supp Consol'!A:A,O1072,'Supp Consol'!I:I,"PENDING"))</f>
        <v/>
      </c>
      <c r="AR1072" s="27" t="str">
        <f t="shared" si="455"/>
        <v>SL701</v>
      </c>
      <c r="AS1072" s="27" t="str">
        <f t="shared" si="456"/>
        <v>62</v>
      </c>
      <c r="AT1072" s="27" t="str">
        <f t="shared" si="457"/>
        <v/>
      </c>
      <c r="AU1072" s="27" t="str">
        <f t="shared" si="458"/>
        <v/>
      </c>
      <c r="AV1072" s="27" t="str">
        <f t="shared" si="459"/>
        <v/>
      </c>
      <c r="AW1072" s="27" t="str">
        <f t="shared" si="460"/>
        <v/>
      </c>
      <c r="AX1072" s="27" t="str">
        <f t="shared" si="461"/>
        <v/>
      </c>
      <c r="AY1072" s="27" t="str">
        <f t="shared" si="462"/>
        <v/>
      </c>
      <c r="AZ1072" s="27" t="str">
        <f t="shared" si="463"/>
        <v/>
      </c>
      <c r="BA1072" s="27" t="str">
        <f t="shared" si="464"/>
        <v/>
      </c>
      <c r="BB1072" s="27" t="str">
        <f t="shared" si="465"/>
        <v/>
      </c>
      <c r="BC1072" s="27" t="str">
        <f t="shared" si="466"/>
        <v/>
      </c>
      <c r="BD1072" s="27" t="str">
        <f t="shared" si="467"/>
        <v/>
      </c>
      <c r="BE1072" s="27" t="str">
        <f t="shared" si="468"/>
        <v/>
      </c>
      <c r="BF1072" s="27" t="str">
        <f t="shared" si="469"/>
        <v/>
      </c>
      <c r="BG1072" s="27" t="str">
        <f t="shared" si="470"/>
        <v/>
      </c>
      <c r="BH1072" s="27" t="str">
        <f t="shared" si="471"/>
        <v/>
      </c>
      <c r="BI1072" s="27" t="str">
        <f t="shared" si="472"/>
        <v/>
      </c>
      <c r="BJ1072" s="27" t="str">
        <f t="shared" si="473"/>
        <v/>
      </c>
      <c r="BK1072" s="27" t="str">
        <f t="shared" si="474"/>
        <v/>
      </c>
      <c r="BL1072" s="27" t="str">
        <f t="shared" si="475"/>
        <v/>
      </c>
      <c r="BM1072" s="21" t="s">
        <v>3790</v>
      </c>
    </row>
    <row r="1073" spans="1:65" ht="15">
      <c r="A1073" s="25" t="str">
        <f>IFERROR(INDEX('Hun Demand'!W:W,MATCH(O1073,'Hun Demand'!A:A,0)),"")</f>
        <v/>
      </c>
      <c r="B1073" s="25" t="str">
        <f>IFERROR(INDEX('Hun Demand'!V:V,MATCH(O1073,'Hun Demand'!A:A,0)),"")</f>
        <v/>
      </c>
      <c r="C1073" s="25" t="str">
        <f>IFERROR(INDEX('Hun Demand'!U:U,MATCH(O1073,'Hun Demand'!A:A,0)),"")</f>
        <v/>
      </c>
      <c r="D1073" s="25" t="str">
        <f>IFERROR(INDEX('Hun Demand'!T:T,MATCH(O1073,'Hun Demand'!A:A,0)),"")</f>
        <v/>
      </c>
      <c r="E1073" s="25" t="str">
        <f>IFERROR(INDEX('Hun Demand'!S:S,MATCH(O1073,'Hun Demand'!A:A,0)),"")</f>
        <v/>
      </c>
      <c r="F1073" s="25" t="str">
        <f>IFERROR(INDEX('Hun Demand'!R:R,MATCH(O1073,'Hun Demand'!A:A,0)),"")</f>
        <v/>
      </c>
      <c r="G1073" s="25">
        <f>IFERROR(INDEX('Aub Demand'!W:W,MATCH(O1073,'Aub Demand'!A:A,0)),"")</f>
        <v>0</v>
      </c>
      <c r="H1073" s="25">
        <f>IFERROR(INDEX('Aub Demand'!V:V,MATCH(O1073,'Aub Demand'!A:A,0)),"")</f>
        <v>0</v>
      </c>
      <c r="I1073" s="25">
        <f>IFERROR(INDEX('Aub Demand'!U:U,MATCH(O1073,'Aub Demand'!A:A,0)),"")</f>
        <v>46</v>
      </c>
      <c r="J1073" s="25">
        <f>IFERROR(INDEX('Aub Demand'!T:T,MATCH(O1073,'Aub Demand'!A:A,0)),"")</f>
        <v>0</v>
      </c>
      <c r="K1073" s="25">
        <f>IFERROR(INDEX('Aub Demand'!S:S,MATCH(O1073,'Aub Demand'!A:A,0)),"")</f>
        <v>0</v>
      </c>
      <c r="L1073" s="25">
        <f>IFERROR(INDEX('Aub Demand'!R:R,MATCH(O1073,'Aub Demand'!A:A,0)),"")</f>
        <v>27</v>
      </c>
      <c r="O1073" s="27" t="s">
        <v>2634</v>
      </c>
      <c r="P1073" s="27" t="str">
        <f>IFERROR(INDEX('Aub Demand'!B:B,MATCH($O1073,'Aub Demand'!$A:$A,0)),"")</f>
        <v>BASIC SOLID</v>
      </c>
      <c r="Q1073" s="27" t="str">
        <f>IFERROR(INDEX('Aub Demand'!C:C,MATCH($O1073,'Aub Demand'!$A:$A,0)),"")</f>
        <v>ONYX</v>
      </c>
      <c r="R1073" s="52">
        <f>IFERROR(IF(AR1074=AR1073,INDEX('Aub Demand'!K:K,MATCH($O1073,'Aub Demand'!$A:$A,0))-IF(AN1073="",0,AN1073)+AP1074,INDEX('Aub Demand'!K:K,MATCH($O1073,'Aub Demand'!$A:$A,0))-IF(AN1073="",0,AN1073)),"")</f>
        <v>2808</v>
      </c>
      <c r="S1073" s="53">
        <f t="shared" si="448"/>
        <v>802.3</v>
      </c>
      <c r="T1073" s="52" t="str">
        <f t="shared" si="449"/>
        <v/>
      </c>
      <c r="U1073" s="52">
        <f>IFERROR(IF(AR1074=AR1073,INDEX('Aub Demand'!Q:Q,MATCH($O1073,'Aub Demand'!$A:$A,0))-IF(AN1073="",0,AN1073)+AP1074,INDEX('Aub Demand'!Q:Q,MATCH($O1073,'Aub Demand'!$A:$A,0))-IF(AN1073="",0,AN1073)),"")</f>
        <v>2785</v>
      </c>
      <c r="V1073" s="53">
        <f t="shared" si="450"/>
        <v>795.7</v>
      </c>
      <c r="W1073" s="52" t="str">
        <f t="shared" si="451"/>
        <v/>
      </c>
      <c r="X1073" s="52">
        <f>IFERROR(IF(AND(AR1074=AR1073,AM1073&lt;&gt;""),INDEX('Aub Demand'!Q:Q,MATCH($O1073,'Aub Demand'!$A:$A,0))-IF(AN1073="",0,AN1073)+AP1074+AD1073+AL1073,IF(AR1074=AR1073,INDEX('Aub Demand'!Q:Q,MATCH($O1073,'Aub Demand'!$A:$A,0))-IF(AN1073="",0,AN1073)+AP1074+AD1073,IF(AM1073&lt;&gt;"",INDEX('Aub Demand'!Q:Q,MATCH($O1073,'Aub Demand'!$A:$A,0))-IF(AN1073="",0,AN1073)+AD1073+AL1073,INDEX('Aub Demand'!Q:Q,MATCH($O1073,'Aub Demand'!$A:$A,0))-IF(AN1073="",0,AN1073)+AD1073))),"")</f>
        <v>2785</v>
      </c>
      <c r="Y1073" s="53">
        <f t="shared" si="452"/>
        <v>795.7</v>
      </c>
      <c r="Z1073" s="52">
        <f>IF(L1073="","",INDEX('Aub Demand'!H:H,MATCH($O1073,'Aub Demand'!$A:$A,0)))</f>
        <v>15</v>
      </c>
      <c r="AA1073" s="52">
        <f t="shared" si="453"/>
        <v>36.5</v>
      </c>
      <c r="AB1073" s="52">
        <f>IFERROR(INDEX('Aub Demand'!L:L,MATCH($O1073,'Aub Demand'!$A:$A,0)),"")</f>
        <v>37</v>
      </c>
      <c r="AC1073" s="52">
        <f>IFERROR(IF(O1073="","",SUMIFS('CPL Mats'!F:F,'CPL Mats'!Q:Q,AR1073,'CPL Mats'!S:S,AS1073)),"")</f>
        <v>0</v>
      </c>
      <c r="AF1073" s="25" t="str">
        <f>IF(SUMIFS('Supp Consol'!S:S,'Supp Consol'!Y:Y,"Releasable",'Supp Consol'!A:A,O1073)=0,"",SUMIFS('Supp Consol'!S:S,'Supp Consol'!Y:Y,"Releasable",'Supp Consol'!A:A,O1073))</f>
        <v/>
      </c>
      <c r="AG1073" s="25" t="str">
        <f>IFERROR(INDEX('Hun Demand'!Q:Q,MATCH(O1073,'Hun Demand'!A:A,0)),"")</f>
        <v/>
      </c>
      <c r="AH1073" s="25" t="str">
        <f>IFERROR(INDEX('Hun Demand'!H:H,MATCH($O1073,'Hun Demand'!$A:$A,0)),"")</f>
        <v/>
      </c>
      <c r="AI1073" s="25" t="str">
        <f>IF(SUMIFS('Supp Consol'!AA:AA,'Supp Consol'!Z:Z,"Expires this month",'Supp Consol'!A:A,O1073)=0,"",SUMIFS('Supp Consol'!AA:AA,'Supp Consol'!Z:Z,"Expires this month",'Supp Consol'!A:A,O1073))</f>
        <v/>
      </c>
      <c r="AJ1073" s="25" t="str">
        <f>IF(SUMIFS('Supp Consol'!AA:AA,'Supp Consol'!Z:Z,"Expired Previous Months",'Supp Consol'!A:A,O1073)=0,"",SUMIFS('Supp Consol'!AA:AA,'Supp Consol'!Z:Z,"Expired Previous Months",'Supp Consol'!A:A,O1073))</f>
        <v/>
      </c>
      <c r="AK1073" s="25" t="str">
        <f>IFERROR(INDEX('Hun Release Current'!B:B,MATCH(O1073,'Hun Release Current'!A:A,0)),"")</f>
        <v/>
      </c>
      <c r="AL1073" s="25" t="str">
        <f>IF(SUMIF('Prev Aub'!A:A,O1073,'Prev Aub'!B:B)=0,"",SUMIF('Prev Aub'!A:A,O1073,'Prev Aub'!B:B))</f>
        <v/>
      </c>
      <c r="AN1073" s="25" t="s">
        <v>3790</v>
      </c>
      <c r="AO1073" s="25" t="s">
        <v>3790</v>
      </c>
      <c r="AP1073" s="25">
        <f t="shared" si="454"/>
        <v>0</v>
      </c>
      <c r="AQ1073" s="151" t="str">
        <f>IF(SUMIFS('Supp Consol'!S:S,'Supp Consol'!A:A,O1073,'Supp Consol'!I:I,"PENDING")=0,"",SUMIFS('Supp Consol'!S:S,'Supp Consol'!A:A,O1073,'Supp Consol'!I:I,"PENDING"))</f>
        <v/>
      </c>
      <c r="AR1073" s="27" t="str">
        <f t="shared" si="455"/>
        <v>SN210</v>
      </c>
      <c r="AS1073" s="27" t="str">
        <f t="shared" si="456"/>
        <v>50</v>
      </c>
      <c r="AT1073" s="27" t="str">
        <f t="shared" si="457"/>
        <v/>
      </c>
      <c r="AU1073" s="27" t="str">
        <f t="shared" si="458"/>
        <v/>
      </c>
      <c r="AV1073" s="27" t="str">
        <f t="shared" si="459"/>
        <v/>
      </c>
      <c r="AW1073" s="27" t="str">
        <f t="shared" si="460"/>
        <v/>
      </c>
      <c r="AX1073" s="27" t="str">
        <f t="shared" si="461"/>
        <v/>
      </c>
      <c r="AY1073" s="27" t="str">
        <f t="shared" si="462"/>
        <v/>
      </c>
      <c r="AZ1073" s="27" t="str">
        <f t="shared" si="463"/>
        <v/>
      </c>
      <c r="BA1073" s="27" t="str">
        <f t="shared" si="464"/>
        <v/>
      </c>
      <c r="BB1073" s="27" t="str">
        <f t="shared" si="465"/>
        <v/>
      </c>
      <c r="BC1073" s="27" t="str">
        <f t="shared" si="466"/>
        <v/>
      </c>
      <c r="BD1073" s="27" t="str">
        <f t="shared" si="467"/>
        <v/>
      </c>
      <c r="BE1073" s="27" t="str">
        <f t="shared" si="468"/>
        <v/>
      </c>
      <c r="BF1073" s="27" t="str">
        <f t="shared" si="469"/>
        <v/>
      </c>
      <c r="BG1073" s="27" t="str">
        <f t="shared" si="470"/>
        <v/>
      </c>
      <c r="BH1073" s="27" t="str">
        <f t="shared" si="471"/>
        <v/>
      </c>
      <c r="BI1073" s="27" t="str">
        <f t="shared" si="472"/>
        <v/>
      </c>
      <c r="BJ1073" s="27" t="str">
        <f t="shared" si="473"/>
        <v/>
      </c>
      <c r="BK1073" s="27" t="str">
        <f t="shared" si="474"/>
        <v/>
      </c>
      <c r="BL1073" s="27" t="str">
        <f t="shared" si="475"/>
        <v/>
      </c>
      <c r="BM1073" s="21" t="s">
        <v>5581</v>
      </c>
    </row>
    <row r="1074" spans="1:65" ht="15">
      <c r="A1074" s="25" t="str">
        <f>IFERROR(INDEX('Hun Demand'!W:W,MATCH(O1074,'Hun Demand'!A:A,0)),"")</f>
        <v/>
      </c>
      <c r="B1074" s="25" t="str">
        <f>IFERROR(INDEX('Hun Demand'!V:V,MATCH(O1074,'Hun Demand'!A:A,0)),"")</f>
        <v/>
      </c>
      <c r="C1074" s="25" t="str">
        <f>IFERROR(INDEX('Hun Demand'!U:U,MATCH(O1074,'Hun Demand'!A:A,0)),"")</f>
        <v/>
      </c>
      <c r="D1074" s="25" t="str">
        <f>IFERROR(INDEX('Hun Demand'!T:T,MATCH(O1074,'Hun Demand'!A:A,0)),"")</f>
        <v/>
      </c>
      <c r="E1074" s="25" t="str">
        <f>IFERROR(INDEX('Hun Demand'!S:S,MATCH(O1074,'Hun Demand'!A:A,0)),"")</f>
        <v/>
      </c>
      <c r="F1074" s="25" t="str">
        <f>IFERROR(INDEX('Hun Demand'!R:R,MATCH(O1074,'Hun Demand'!A:A,0)),"")</f>
        <v/>
      </c>
      <c r="G1074" s="25">
        <f>IFERROR(INDEX('Aub Demand'!W:W,MATCH(O1074,'Aub Demand'!A:A,0)),"")</f>
        <v>0</v>
      </c>
      <c r="H1074" s="25">
        <f>IFERROR(INDEX('Aub Demand'!V:V,MATCH(O1074,'Aub Demand'!A:A,0)),"")</f>
        <v>0</v>
      </c>
      <c r="I1074" s="25">
        <f>IFERROR(INDEX('Aub Demand'!U:U,MATCH(O1074,'Aub Demand'!A:A,0)),"")</f>
        <v>0</v>
      </c>
      <c r="J1074" s="25">
        <f>IFERROR(INDEX('Aub Demand'!T:T,MATCH(O1074,'Aub Demand'!A:A,0)),"")</f>
        <v>0</v>
      </c>
      <c r="K1074" s="25">
        <f>IFERROR(INDEX('Aub Demand'!S:S,MATCH(O1074,'Aub Demand'!A:A,0)),"")</f>
        <v>0</v>
      </c>
      <c r="L1074" s="25">
        <f>IFERROR(INDEX('Aub Demand'!R:R,MATCH(O1074,'Aub Demand'!A:A,0)),"")</f>
        <v>0</v>
      </c>
      <c r="O1074" s="27" t="s">
        <v>2637</v>
      </c>
      <c r="P1074" s="27" t="str">
        <f>IFERROR(INDEX('Aub Demand'!B:B,MATCH($O1074,'Aub Demand'!$A:$A,0)),"")</f>
        <v>BASIC SOLID</v>
      </c>
      <c r="Q1074" s="27" t="str">
        <f>IFERROR(INDEX('Aub Demand'!C:C,MATCH($O1074,'Aub Demand'!$A:$A,0)),"")</f>
        <v>ONYX</v>
      </c>
      <c r="R1074" s="52">
        <f>IFERROR(IF(AR1075=AR1074,INDEX('Aub Demand'!K:K,MATCH($O1074,'Aub Demand'!$A:$A,0))-IF(AN1074="",0,AN1074)+AP1075,INDEX('Aub Demand'!K:K,MATCH($O1074,'Aub Demand'!$A:$A,0))-IF(AN1074="",0,AN1074)),"")</f>
        <v>751</v>
      </c>
      <c r="S1074" s="53" t="str">
        <f t="shared" si="448"/>
        <v>n/a</v>
      </c>
      <c r="T1074" s="52" t="str">
        <f t="shared" si="449"/>
        <v/>
      </c>
      <c r="U1074" s="52">
        <f>IFERROR(IF(AR1075=AR1074,INDEX('Aub Demand'!Q:Q,MATCH($O1074,'Aub Demand'!$A:$A,0))-IF(AN1074="",0,AN1074)+AP1075,INDEX('Aub Demand'!Q:Q,MATCH($O1074,'Aub Demand'!$A:$A,0))-IF(AN1074="",0,AN1074)),"")</f>
        <v>751</v>
      </c>
      <c r="V1074" s="53" t="str">
        <f t="shared" si="450"/>
        <v>n/a</v>
      </c>
      <c r="W1074" s="52" t="str">
        <f t="shared" si="451"/>
        <v/>
      </c>
      <c r="X1074" s="52">
        <f>IFERROR(IF(AND(AR1075=AR1074,AM1074&lt;&gt;""),INDEX('Aub Demand'!Q:Q,MATCH($O1074,'Aub Demand'!$A:$A,0))-IF(AN1074="",0,AN1074)+AP1075+AD1074+AL1074,IF(AR1075=AR1074,INDEX('Aub Demand'!Q:Q,MATCH($O1074,'Aub Demand'!$A:$A,0))-IF(AN1074="",0,AN1074)+AP1075+AD1074,IF(AM1074&lt;&gt;"",INDEX('Aub Demand'!Q:Q,MATCH($O1074,'Aub Demand'!$A:$A,0))-IF(AN1074="",0,AN1074)+AD1074+AL1074,INDEX('Aub Demand'!Q:Q,MATCH($O1074,'Aub Demand'!$A:$A,0))-IF(AN1074="",0,AN1074)+AD1074))),"")</f>
        <v>751</v>
      </c>
      <c r="Y1074" s="53" t="str">
        <f t="shared" si="452"/>
        <v>n/a</v>
      </c>
      <c r="Z1074" s="52">
        <f>IF(L1074="","",INDEX('Aub Demand'!H:H,MATCH($O1074,'Aub Demand'!$A:$A,0)))</f>
        <v>0</v>
      </c>
      <c r="AA1074" s="52" t="str">
        <f t="shared" si="453"/>
        <v>-spike-</v>
      </c>
      <c r="AB1074" s="52">
        <f>IFERROR(INDEX('Aub Demand'!L:L,MATCH($O1074,'Aub Demand'!$A:$A,0)),"")</f>
        <v>16</v>
      </c>
      <c r="AC1074" s="52">
        <f>IFERROR(IF(O1074="","",SUMIFS('CPL Mats'!F:F,'CPL Mats'!Q:Q,AR1074,'CPL Mats'!S:S,AS1074)),"")</f>
        <v>0</v>
      </c>
      <c r="AF1074" s="25" t="str">
        <f>IF(SUMIFS('Supp Consol'!S:S,'Supp Consol'!Y:Y,"Releasable",'Supp Consol'!A:A,O1074)=0,"",SUMIFS('Supp Consol'!S:S,'Supp Consol'!Y:Y,"Releasable",'Supp Consol'!A:A,O1074))</f>
        <v/>
      </c>
      <c r="AG1074" s="25" t="str">
        <f>IFERROR(INDEX('Hun Demand'!Q:Q,MATCH(O1074,'Hun Demand'!A:A,0)),"")</f>
        <v/>
      </c>
      <c r="AH1074" s="25" t="str">
        <f>IFERROR(INDEX('Hun Demand'!H:H,MATCH($O1074,'Hun Demand'!$A:$A,0)),"")</f>
        <v/>
      </c>
      <c r="AI1074" s="25" t="str">
        <f>IF(SUMIFS('Supp Consol'!AA:AA,'Supp Consol'!Z:Z,"Expires this month",'Supp Consol'!A:A,O1074)=0,"",SUMIFS('Supp Consol'!AA:AA,'Supp Consol'!Z:Z,"Expires this month",'Supp Consol'!A:A,O1074))</f>
        <v/>
      </c>
      <c r="AJ1074" s="25" t="str">
        <f>IF(SUMIFS('Supp Consol'!AA:AA,'Supp Consol'!Z:Z,"Expired Previous Months",'Supp Consol'!A:A,O1074)=0,"",SUMIFS('Supp Consol'!AA:AA,'Supp Consol'!Z:Z,"Expired Previous Months",'Supp Consol'!A:A,O1074))</f>
        <v/>
      </c>
      <c r="AK1074" s="25" t="str">
        <f>IFERROR(INDEX('Hun Release Current'!B:B,MATCH(O1074,'Hun Release Current'!A:A,0)),"")</f>
        <v/>
      </c>
      <c r="AL1074" s="25" t="str">
        <f>IF(SUMIF('Prev Aub'!A:A,O1074,'Prev Aub'!B:B)=0,"",SUMIF('Prev Aub'!A:A,O1074,'Prev Aub'!B:B))</f>
        <v/>
      </c>
      <c r="AN1074" s="25" t="s">
        <v>3790</v>
      </c>
      <c r="AO1074" s="25" t="s">
        <v>3790</v>
      </c>
      <c r="AP1074" s="25">
        <f t="shared" si="454"/>
        <v>0</v>
      </c>
      <c r="AQ1074" s="151" t="str">
        <f>IF(SUMIFS('Supp Consol'!S:S,'Supp Consol'!A:A,O1074,'Supp Consol'!I:I,"PENDING")=0,"",SUMIFS('Supp Consol'!S:S,'Supp Consol'!A:A,O1074,'Supp Consol'!I:I,"PENDING"))</f>
        <v/>
      </c>
      <c r="AR1074" s="27" t="str">
        <f t="shared" si="455"/>
        <v>SN210</v>
      </c>
      <c r="AS1074" s="27" t="str">
        <f t="shared" si="456"/>
        <v>62</v>
      </c>
      <c r="AT1074" s="27" t="str">
        <f t="shared" si="457"/>
        <v/>
      </c>
      <c r="AU1074" s="27" t="str">
        <f t="shared" si="458"/>
        <v/>
      </c>
      <c r="AV1074" s="27" t="str">
        <f t="shared" si="459"/>
        <v/>
      </c>
      <c r="AW1074" s="27" t="str">
        <f t="shared" si="460"/>
        <v/>
      </c>
      <c r="AX1074" s="27" t="str">
        <f t="shared" si="461"/>
        <v/>
      </c>
      <c r="AY1074" s="27" t="str">
        <f t="shared" si="462"/>
        <v/>
      </c>
      <c r="AZ1074" s="27" t="str">
        <f t="shared" si="463"/>
        <v/>
      </c>
      <c r="BA1074" s="27" t="str">
        <f t="shared" si="464"/>
        <v/>
      </c>
      <c r="BB1074" s="27" t="str">
        <f t="shared" si="465"/>
        <v/>
      </c>
      <c r="BC1074" s="27" t="str">
        <f t="shared" si="466"/>
        <v/>
      </c>
      <c r="BD1074" s="27" t="str">
        <f t="shared" si="467"/>
        <v/>
      </c>
      <c r="BE1074" s="27" t="str">
        <f t="shared" si="468"/>
        <v/>
      </c>
      <c r="BF1074" s="27" t="str">
        <f t="shared" si="469"/>
        <v/>
      </c>
      <c r="BG1074" s="27" t="str">
        <f t="shared" si="470"/>
        <v/>
      </c>
      <c r="BH1074" s="27" t="str">
        <f t="shared" si="471"/>
        <v/>
      </c>
      <c r="BI1074" s="27" t="str">
        <f t="shared" si="472"/>
        <v/>
      </c>
      <c r="BJ1074" s="27" t="str">
        <f t="shared" si="473"/>
        <v/>
      </c>
      <c r="BK1074" s="27" t="str">
        <f t="shared" si="474"/>
        <v/>
      </c>
      <c r="BL1074" s="27" t="str">
        <f t="shared" si="475"/>
        <v/>
      </c>
      <c r="BM1074" s="21" t="s">
        <v>5581</v>
      </c>
    </row>
    <row r="1075" spans="1:65" ht="15">
      <c r="A1075" s="25" t="str">
        <f>IFERROR(INDEX('Hun Demand'!W:W,MATCH(O1075,'Hun Demand'!A:A,0)),"")</f>
        <v/>
      </c>
      <c r="B1075" s="25" t="str">
        <f>IFERROR(INDEX('Hun Demand'!V:V,MATCH(O1075,'Hun Demand'!A:A,0)),"")</f>
        <v/>
      </c>
      <c r="C1075" s="25" t="str">
        <f>IFERROR(INDEX('Hun Demand'!U:U,MATCH(O1075,'Hun Demand'!A:A,0)),"")</f>
        <v/>
      </c>
      <c r="D1075" s="25" t="str">
        <f>IFERROR(INDEX('Hun Demand'!T:T,MATCH(O1075,'Hun Demand'!A:A,0)),"")</f>
        <v/>
      </c>
      <c r="E1075" s="25" t="str">
        <f>IFERROR(INDEX('Hun Demand'!S:S,MATCH(O1075,'Hun Demand'!A:A,0)),"")</f>
        <v/>
      </c>
      <c r="F1075" s="25" t="str">
        <f>IFERROR(INDEX('Hun Demand'!R:R,MATCH(O1075,'Hun Demand'!A:A,0)),"")</f>
        <v/>
      </c>
      <c r="G1075" s="25">
        <f>IFERROR(INDEX('Aub Demand'!W:W,MATCH(O1075,'Aub Demand'!A:A,0)),"")</f>
        <v>847</v>
      </c>
      <c r="H1075" s="25">
        <f>IFERROR(INDEX('Aub Demand'!V:V,MATCH(O1075,'Aub Demand'!A:A,0)),"")</f>
        <v>0</v>
      </c>
      <c r="I1075" s="25">
        <f>IFERROR(INDEX('Aub Demand'!U:U,MATCH(O1075,'Aub Demand'!A:A,0)),"")</f>
        <v>109</v>
      </c>
      <c r="J1075" s="25">
        <f>IFERROR(INDEX('Aub Demand'!T:T,MATCH(O1075,'Aub Demand'!A:A,0)),"")</f>
        <v>0</v>
      </c>
      <c r="K1075" s="25">
        <f>IFERROR(INDEX('Aub Demand'!S:S,MATCH(O1075,'Aub Demand'!A:A,0)),"")</f>
        <v>0</v>
      </c>
      <c r="L1075" s="25">
        <f>IFERROR(INDEX('Aub Demand'!R:R,MATCH(O1075,'Aub Demand'!A:A,0)),"")</f>
        <v>0</v>
      </c>
      <c r="O1075" s="27" t="s">
        <v>2638</v>
      </c>
      <c r="P1075" s="27" t="str">
        <f>IFERROR(INDEX('Aub Demand'!B:B,MATCH($O1075,'Aub Demand'!$A:$A,0)),"")</f>
        <v>BEIGE</v>
      </c>
      <c r="Q1075" s="27" t="str">
        <f>IFERROR(INDEX('Aub Demand'!C:C,MATCH($O1075,'Aub Demand'!$A:$A,0)),"")</f>
        <v>ONYX</v>
      </c>
      <c r="R1075" s="52">
        <f>IFERROR(IF(AR1076=AR1075,INDEX('Aub Demand'!K:K,MATCH($O1075,'Aub Demand'!$A:$A,0))-IF(AN1075="",0,AN1075)+AP1076,INDEX('Aub Demand'!K:K,MATCH($O1075,'Aub Demand'!$A:$A,0))-IF(AN1075="",0,AN1075)),"")</f>
        <v>40</v>
      </c>
      <c r="S1075" s="53">
        <f t="shared" si="448"/>
        <v>4.8</v>
      </c>
      <c r="T1075" s="52" t="str">
        <f t="shared" si="449"/>
        <v/>
      </c>
      <c r="U1075" s="52">
        <f>IFERROR(IF(AR1076=AR1075,INDEX('Aub Demand'!Q:Q,MATCH($O1075,'Aub Demand'!$A:$A,0))-IF(AN1075="",0,AN1075)+AP1076,INDEX('Aub Demand'!Q:Q,MATCH($O1075,'Aub Demand'!$A:$A,0))-IF(AN1075="",0,AN1075)),"")</f>
        <v>40</v>
      </c>
      <c r="V1075" s="53">
        <f t="shared" si="450"/>
        <v>4.8</v>
      </c>
      <c r="W1075" s="52" t="str">
        <f t="shared" si="451"/>
        <v/>
      </c>
      <c r="X1075" s="52">
        <f>IFERROR(IF(AND(AR1076=AR1075,AM1075&lt;&gt;""),INDEX('Aub Demand'!Q:Q,MATCH($O1075,'Aub Demand'!$A:$A,0))-IF(AN1075="",0,AN1075)+AP1076+AD1075+AL1075,IF(AR1076=AR1075,INDEX('Aub Demand'!Q:Q,MATCH($O1075,'Aub Demand'!$A:$A,0))-IF(AN1075="",0,AN1075)+AP1076+AD1075,IF(AM1075&lt;&gt;"",INDEX('Aub Demand'!Q:Q,MATCH($O1075,'Aub Demand'!$A:$A,0))-IF(AN1075="",0,AN1075)+AD1075+AL1075,INDEX('Aub Demand'!Q:Q,MATCH($O1075,'Aub Demand'!$A:$A,0))-IF(AN1075="",0,AN1075)+AD1075))),"")</f>
        <v>40</v>
      </c>
      <c r="Y1075" s="53">
        <f t="shared" si="452"/>
        <v>4.8</v>
      </c>
      <c r="Z1075" s="52">
        <f>IF(L1075="","",INDEX('Aub Demand'!H:H,MATCH($O1075,'Aub Demand'!$A:$A,0)))</f>
        <v>36</v>
      </c>
      <c r="AA1075" s="52" t="str">
        <f t="shared" si="453"/>
        <v>-spike-</v>
      </c>
      <c r="AB1075" s="52">
        <f>IFERROR(INDEX('Aub Demand'!L:L,MATCH($O1075,'Aub Demand'!$A:$A,0)),"")</f>
        <v>0</v>
      </c>
      <c r="AC1075" s="52">
        <f>IFERROR(IF(O1075="","",SUMIFS('CPL Mats'!F:F,'CPL Mats'!Q:Q,AR1075,'CPL Mats'!S:S,AS1075)),"")</f>
        <v>0</v>
      </c>
      <c r="AF1075" s="25">
        <f>IF(SUMIFS('Supp Consol'!S:S,'Supp Consol'!Y:Y,"Releasable",'Supp Consol'!A:A,O1075)=0,"",SUMIFS('Supp Consol'!S:S,'Supp Consol'!Y:Y,"Releasable",'Supp Consol'!A:A,O1075))</f>
        <v>698</v>
      </c>
      <c r="AG1075" s="25" t="str">
        <f>IFERROR(INDEX('Hun Demand'!Q:Q,MATCH(O1075,'Hun Demand'!A:A,0)),"")</f>
        <v/>
      </c>
      <c r="AH1075" s="25" t="str">
        <f>IFERROR(INDEX('Hun Demand'!H:H,MATCH($O1075,'Hun Demand'!$A:$A,0)),"")</f>
        <v/>
      </c>
      <c r="AI1075" s="25" t="str">
        <f>IF(SUMIFS('Supp Consol'!AA:AA,'Supp Consol'!Z:Z,"Expires this month",'Supp Consol'!A:A,O1075)=0,"",SUMIFS('Supp Consol'!AA:AA,'Supp Consol'!Z:Z,"Expires this month",'Supp Consol'!A:A,O1075))</f>
        <v/>
      </c>
      <c r="AJ1075" s="25" t="str">
        <f>IF(SUMIFS('Supp Consol'!AA:AA,'Supp Consol'!Z:Z,"Expired Previous Months",'Supp Consol'!A:A,O1075)=0,"",SUMIFS('Supp Consol'!AA:AA,'Supp Consol'!Z:Z,"Expired Previous Months",'Supp Consol'!A:A,O1075))</f>
        <v/>
      </c>
      <c r="AK1075" s="25" t="str">
        <f>IFERROR(INDEX('Hun Release Current'!B:B,MATCH(O1075,'Hun Release Current'!A:A,0)),"")</f>
        <v/>
      </c>
      <c r="AL1075" s="25" t="str">
        <f>IF(SUMIF('Prev Aub'!A:A,O1075,'Prev Aub'!B:B)=0,"",SUMIF('Prev Aub'!A:A,O1075,'Prev Aub'!B:B))</f>
        <v/>
      </c>
      <c r="AN1075" s="25" t="s">
        <v>3790</v>
      </c>
      <c r="AO1075" s="25" t="s">
        <v>3790</v>
      </c>
      <c r="AP1075" s="25">
        <f t="shared" si="454"/>
        <v>0</v>
      </c>
      <c r="AQ1075" s="151" t="str">
        <f>IF(SUMIFS('Supp Consol'!S:S,'Supp Consol'!A:A,O1075,'Supp Consol'!I:I,"PENDING")=0,"",SUMIFS('Supp Consol'!S:S,'Supp Consol'!A:A,O1075,'Supp Consol'!I:I,"PENDING"))</f>
        <v/>
      </c>
      <c r="AR1075" s="27" t="str">
        <f t="shared" si="455"/>
        <v>SN219</v>
      </c>
      <c r="AS1075" s="27" t="str">
        <f t="shared" si="456"/>
        <v>37</v>
      </c>
      <c r="AT1075" s="27" t="str">
        <f t="shared" si="457"/>
        <v/>
      </c>
      <c r="AU1075" s="27" t="str">
        <f t="shared" si="458"/>
        <v/>
      </c>
      <c r="AV1075" s="27" t="str">
        <f t="shared" si="459"/>
        <v/>
      </c>
      <c r="AW1075" s="27" t="str">
        <f t="shared" si="460"/>
        <v/>
      </c>
      <c r="AX1075" s="27" t="str">
        <f t="shared" si="461"/>
        <v>SN219</v>
      </c>
      <c r="AY1075" s="27" t="str">
        <f t="shared" si="462"/>
        <v/>
      </c>
      <c r="AZ1075" s="27" t="str">
        <f t="shared" si="463"/>
        <v>Supp</v>
      </c>
      <c r="BA1075" s="27" t="str">
        <f t="shared" si="464"/>
        <v/>
      </c>
      <c r="BB1075" s="27" t="str">
        <f t="shared" si="465"/>
        <v/>
      </c>
      <c r="BC1075" s="27" t="str">
        <f t="shared" si="466"/>
        <v/>
      </c>
      <c r="BD1075" s="27" t="str">
        <f t="shared" si="467"/>
        <v/>
      </c>
      <c r="BE1075" s="27" t="str">
        <f t="shared" si="468"/>
        <v/>
      </c>
      <c r="BF1075" s="27" t="str">
        <f t="shared" si="469"/>
        <v/>
      </c>
      <c r="BG1075" s="27" t="str">
        <f t="shared" si="470"/>
        <v/>
      </c>
      <c r="BH1075" s="27" t="str">
        <f t="shared" si="471"/>
        <v/>
      </c>
      <c r="BI1075" s="27" t="str">
        <f t="shared" si="472"/>
        <v/>
      </c>
      <c r="BJ1075" s="27" t="str">
        <f t="shared" si="473"/>
        <v>Supp or Hun</v>
      </c>
      <c r="BK1075" s="27" t="str">
        <f t="shared" si="474"/>
        <v/>
      </c>
      <c r="BL1075" s="27" t="str">
        <f t="shared" si="475"/>
        <v/>
      </c>
      <c r="BM1075" s="21" t="s">
        <v>5581</v>
      </c>
    </row>
    <row r="1076" spans="1:65" ht="15">
      <c r="A1076" s="25" t="str">
        <f>IFERROR(INDEX('Hun Demand'!W:W,MATCH(O1076,'Hun Demand'!A:A,0)),"")</f>
        <v/>
      </c>
      <c r="B1076" s="25" t="str">
        <f>IFERROR(INDEX('Hun Demand'!V:V,MATCH(O1076,'Hun Demand'!A:A,0)),"")</f>
        <v/>
      </c>
      <c r="C1076" s="25" t="str">
        <f>IFERROR(INDEX('Hun Demand'!U:U,MATCH(O1076,'Hun Demand'!A:A,0)),"")</f>
        <v/>
      </c>
      <c r="D1076" s="25" t="str">
        <f>IFERROR(INDEX('Hun Demand'!T:T,MATCH(O1076,'Hun Demand'!A:A,0)),"")</f>
        <v/>
      </c>
      <c r="E1076" s="25" t="str">
        <f>IFERROR(INDEX('Hun Demand'!S:S,MATCH(O1076,'Hun Demand'!A:A,0)),"")</f>
        <v/>
      </c>
      <c r="F1076" s="25" t="str">
        <f>IFERROR(INDEX('Hun Demand'!R:R,MATCH(O1076,'Hun Demand'!A:A,0)),"")</f>
        <v/>
      </c>
      <c r="G1076" s="25">
        <f>IFERROR(INDEX('Aub Demand'!W:W,MATCH(O1076,'Aub Demand'!A:A,0)),"")</f>
        <v>888</v>
      </c>
      <c r="H1076" s="25">
        <f>IFERROR(INDEX('Aub Demand'!V:V,MATCH(O1076,'Aub Demand'!A:A,0)),"")</f>
        <v>0</v>
      </c>
      <c r="I1076" s="25">
        <f>IFERROR(INDEX('Aub Demand'!U:U,MATCH(O1076,'Aub Demand'!A:A,0)),"")</f>
        <v>0</v>
      </c>
      <c r="J1076" s="25">
        <f>IFERROR(INDEX('Aub Demand'!T:T,MATCH(O1076,'Aub Demand'!A:A,0)),"")</f>
        <v>35</v>
      </c>
      <c r="K1076" s="25">
        <f>IFERROR(INDEX('Aub Demand'!S:S,MATCH(O1076,'Aub Demand'!A:A,0)),"")</f>
        <v>165</v>
      </c>
      <c r="L1076" s="25">
        <f>IFERROR(INDEX('Aub Demand'!R:R,MATCH(O1076,'Aub Demand'!A:A,0)),"")</f>
        <v>0</v>
      </c>
      <c r="O1076" s="27" t="s">
        <v>2641</v>
      </c>
      <c r="P1076" s="27" t="str">
        <f>IFERROR(INDEX('Aub Demand'!B:B,MATCH($O1076,'Aub Demand'!$A:$A,0)),"")</f>
        <v>BEIGE 50"</v>
      </c>
      <c r="Q1076" s="27" t="str">
        <f>IFERROR(INDEX('Aub Demand'!C:C,MATCH($O1076,'Aub Demand'!$A:$A,0)),"")</f>
        <v>ONYX</v>
      </c>
      <c r="R1076" s="52">
        <f>IFERROR(IF(AR1077=AR1076,INDEX('Aub Demand'!K:K,MATCH($O1076,'Aub Demand'!$A:$A,0))-IF(AN1076="",0,AN1076)+AP1077,INDEX('Aub Demand'!K:K,MATCH($O1076,'Aub Demand'!$A:$A,0))-IF(AN1076="",0,AN1076)),"")</f>
        <v>458</v>
      </c>
      <c r="S1076" s="53">
        <f t="shared" si="448"/>
        <v>29.3</v>
      </c>
      <c r="T1076" s="52" t="str">
        <f t="shared" si="449"/>
        <v/>
      </c>
      <c r="U1076" s="52">
        <f>IFERROR(IF(AR1077=AR1076,INDEX('Aub Demand'!Q:Q,MATCH($O1076,'Aub Demand'!$A:$A,0))-IF(AN1076="",0,AN1076)+AP1077,INDEX('Aub Demand'!Q:Q,MATCH($O1076,'Aub Demand'!$A:$A,0))-IF(AN1076="",0,AN1076)),"")</f>
        <v>382</v>
      </c>
      <c r="V1076" s="53">
        <f t="shared" si="450"/>
        <v>24.4</v>
      </c>
      <c r="W1076" s="52" t="str">
        <f t="shared" si="451"/>
        <v/>
      </c>
      <c r="X1076" s="52">
        <f>IFERROR(IF(AND(AR1077=AR1076,AM1076&lt;&gt;""),INDEX('Aub Demand'!Q:Q,MATCH($O1076,'Aub Demand'!$A:$A,0))-IF(AN1076="",0,AN1076)+AP1077+AD1076+AL1076,IF(AR1077=AR1076,INDEX('Aub Demand'!Q:Q,MATCH($O1076,'Aub Demand'!$A:$A,0))-IF(AN1076="",0,AN1076)+AP1077+AD1076,IF(AM1076&lt;&gt;"",INDEX('Aub Demand'!Q:Q,MATCH($O1076,'Aub Demand'!$A:$A,0))-IF(AN1076="",0,AN1076)+AD1076+AL1076,INDEX('Aub Demand'!Q:Q,MATCH($O1076,'Aub Demand'!$A:$A,0))-IF(AN1076="",0,AN1076)+AD1076))),"")</f>
        <v>382</v>
      </c>
      <c r="Y1076" s="53">
        <f t="shared" si="452"/>
        <v>24.4</v>
      </c>
      <c r="Z1076" s="52">
        <f>IF(L1076="","",INDEX('Aub Demand'!H:H,MATCH($O1076,'Aub Demand'!$A:$A,0)))</f>
        <v>67</v>
      </c>
      <c r="AA1076" s="52">
        <f t="shared" si="453"/>
        <v>100</v>
      </c>
      <c r="AB1076" s="52">
        <f>IFERROR(INDEX('Aub Demand'!L:L,MATCH($O1076,'Aub Demand'!$A:$A,0)),"")</f>
        <v>43</v>
      </c>
      <c r="AC1076" s="52">
        <f>IFERROR(IF(O1076="","",SUMIFS('CPL Mats'!F:F,'CPL Mats'!Q:Q,AR1076,'CPL Mats'!S:S,AS1076)),"")</f>
        <v>0</v>
      </c>
      <c r="AF1076" s="25">
        <f>IF(SUMIFS('Supp Consol'!S:S,'Supp Consol'!Y:Y,"Releasable",'Supp Consol'!A:A,O1076)=0,"",SUMIFS('Supp Consol'!S:S,'Supp Consol'!Y:Y,"Releasable",'Supp Consol'!A:A,O1076))</f>
        <v>475</v>
      </c>
      <c r="AG1076" s="25" t="str">
        <f>IFERROR(INDEX('Hun Demand'!Q:Q,MATCH(O1076,'Hun Demand'!A:A,0)),"")</f>
        <v/>
      </c>
      <c r="AH1076" s="25" t="str">
        <f>IFERROR(INDEX('Hun Demand'!H:H,MATCH($O1076,'Hun Demand'!$A:$A,0)),"")</f>
        <v/>
      </c>
      <c r="AI1076" s="25" t="str">
        <f>IF(SUMIFS('Supp Consol'!AA:AA,'Supp Consol'!Z:Z,"Expires this month",'Supp Consol'!A:A,O1076)=0,"",SUMIFS('Supp Consol'!AA:AA,'Supp Consol'!Z:Z,"Expires this month",'Supp Consol'!A:A,O1076))</f>
        <v/>
      </c>
      <c r="AJ1076" s="25" t="str">
        <f>IF(SUMIFS('Supp Consol'!AA:AA,'Supp Consol'!Z:Z,"Expired Previous Months",'Supp Consol'!A:A,O1076)=0,"",SUMIFS('Supp Consol'!AA:AA,'Supp Consol'!Z:Z,"Expired Previous Months",'Supp Consol'!A:A,O1076))</f>
        <v/>
      </c>
      <c r="AK1076" s="25" t="str">
        <f>IFERROR(INDEX('Hun Release Current'!B:B,MATCH(O1076,'Hun Release Current'!A:A,0)),"")</f>
        <v/>
      </c>
      <c r="AL1076" s="25" t="str">
        <f>IF(SUMIF('Prev Aub'!A:A,O1076,'Prev Aub'!B:B)=0,"",SUMIF('Prev Aub'!A:A,O1076,'Prev Aub'!B:B))</f>
        <v/>
      </c>
      <c r="AN1076" s="25">
        <v>50</v>
      </c>
      <c r="AO1076" s="25" t="s">
        <v>3891</v>
      </c>
      <c r="AP1076" s="25">
        <f t="shared" si="454"/>
        <v>40</v>
      </c>
      <c r="AQ1076" s="151" t="str">
        <f>IF(SUMIFS('Supp Consol'!S:S,'Supp Consol'!A:A,O1076,'Supp Consol'!I:I,"PENDING")=0,"",SUMIFS('Supp Consol'!S:S,'Supp Consol'!A:A,O1076,'Supp Consol'!I:I,"PENDING"))</f>
        <v/>
      </c>
      <c r="AR1076" s="27" t="str">
        <f t="shared" si="455"/>
        <v>SN219</v>
      </c>
      <c r="AS1076" s="27" t="str">
        <f t="shared" si="456"/>
        <v>50</v>
      </c>
      <c r="AT1076" s="27" t="str">
        <f t="shared" si="457"/>
        <v/>
      </c>
      <c r="AU1076" s="27" t="str">
        <f t="shared" si="458"/>
        <v/>
      </c>
      <c r="AV1076" s="27" t="str">
        <f t="shared" si="459"/>
        <v/>
      </c>
      <c r="AW1076" s="27" t="str">
        <f t="shared" si="460"/>
        <v/>
      </c>
      <c r="AX1076" s="27" t="str">
        <f t="shared" si="461"/>
        <v>SN219</v>
      </c>
      <c r="AY1076" s="27" t="str">
        <f t="shared" si="462"/>
        <v/>
      </c>
      <c r="AZ1076" s="27" t="str">
        <f t="shared" si="463"/>
        <v>Supp</v>
      </c>
      <c r="BA1076" s="27" t="str">
        <f t="shared" si="464"/>
        <v/>
      </c>
      <c r="BB1076" s="27" t="str">
        <f t="shared" si="465"/>
        <v/>
      </c>
      <c r="BC1076" s="27" t="str">
        <f t="shared" si="466"/>
        <v/>
      </c>
      <c r="BD1076" s="27" t="str">
        <f t="shared" si="467"/>
        <v/>
      </c>
      <c r="BE1076" s="27" t="str">
        <f t="shared" si="468"/>
        <v/>
      </c>
      <c r="BF1076" s="27" t="str">
        <f t="shared" si="469"/>
        <v/>
      </c>
      <c r="BG1076" s="27" t="str">
        <f t="shared" si="470"/>
        <v/>
      </c>
      <c r="BH1076" s="27" t="str">
        <f t="shared" si="471"/>
        <v/>
      </c>
      <c r="BI1076" s="27" t="str">
        <f t="shared" si="472"/>
        <v/>
      </c>
      <c r="BJ1076" s="27" t="str">
        <f t="shared" si="473"/>
        <v>Supp or Hun</v>
      </c>
      <c r="BK1076" s="27" t="str">
        <f t="shared" si="474"/>
        <v/>
      </c>
      <c r="BL1076" s="27" t="str">
        <f t="shared" si="475"/>
        <v/>
      </c>
      <c r="BM1076" s="21" t="s">
        <v>5581</v>
      </c>
    </row>
    <row r="1077" spans="1:65" ht="15">
      <c r="A1077" s="25" t="str">
        <f>IFERROR(INDEX('Hun Demand'!W:W,MATCH(O1077,'Hun Demand'!A:A,0)),"")</f>
        <v/>
      </c>
      <c r="B1077" s="25" t="str">
        <f>IFERROR(INDEX('Hun Demand'!V:V,MATCH(O1077,'Hun Demand'!A:A,0)),"")</f>
        <v/>
      </c>
      <c r="C1077" s="25" t="str">
        <f>IFERROR(INDEX('Hun Demand'!U:U,MATCH(O1077,'Hun Demand'!A:A,0)),"")</f>
        <v/>
      </c>
      <c r="D1077" s="25" t="str">
        <f>IFERROR(INDEX('Hun Demand'!T:T,MATCH(O1077,'Hun Demand'!A:A,0)),"")</f>
        <v/>
      </c>
      <c r="E1077" s="25" t="str">
        <f>IFERROR(INDEX('Hun Demand'!S:S,MATCH(O1077,'Hun Demand'!A:A,0)),"")</f>
        <v/>
      </c>
      <c r="F1077" s="25" t="str">
        <f>IFERROR(INDEX('Hun Demand'!R:R,MATCH(O1077,'Hun Demand'!A:A,0)),"")</f>
        <v/>
      </c>
      <c r="G1077" s="25">
        <f>IFERROR(INDEX('Aub Demand'!W:W,MATCH(O1077,'Aub Demand'!A:A,0)),"")</f>
        <v>943</v>
      </c>
      <c r="H1077" s="25">
        <f>IFERROR(INDEX('Aub Demand'!V:V,MATCH(O1077,'Aub Demand'!A:A,0)),"")</f>
        <v>0</v>
      </c>
      <c r="I1077" s="25">
        <f>IFERROR(INDEX('Aub Demand'!U:U,MATCH(O1077,'Aub Demand'!A:A,0)),"")</f>
        <v>54</v>
      </c>
      <c r="J1077" s="25">
        <f>IFERROR(INDEX('Aub Demand'!T:T,MATCH(O1077,'Aub Demand'!A:A,0)),"")</f>
        <v>32</v>
      </c>
      <c r="K1077" s="25">
        <f>IFERROR(INDEX('Aub Demand'!S:S,MATCH(O1077,'Aub Demand'!A:A,0)),"")</f>
        <v>0</v>
      </c>
      <c r="L1077" s="25">
        <f>IFERROR(INDEX('Aub Demand'!R:R,MATCH(O1077,'Aub Demand'!A:A,0)),"")</f>
        <v>0</v>
      </c>
      <c r="O1077" s="27" t="s">
        <v>2644</v>
      </c>
      <c r="P1077" s="27" t="str">
        <f>IFERROR(INDEX('Aub Demand'!B:B,MATCH($O1077,'Aub Demand'!$A:$A,0)),"")</f>
        <v>BEIGE 62"</v>
      </c>
      <c r="Q1077" s="27" t="str">
        <f>IFERROR(INDEX('Aub Demand'!C:C,MATCH($O1077,'Aub Demand'!$A:$A,0)),"")</f>
        <v>ONYX</v>
      </c>
      <c r="R1077" s="52">
        <f>IFERROR(IF(AR1078=AR1077,INDEX('Aub Demand'!K:K,MATCH($O1077,'Aub Demand'!$A:$A,0))-IF(AN1077="",0,AN1077)+AP1078,INDEX('Aub Demand'!K:K,MATCH($O1077,'Aub Demand'!$A:$A,0))-IF(AN1077="",0,AN1077)),"")</f>
        <v>914</v>
      </c>
      <c r="S1077" s="53">
        <f t="shared" si="448"/>
        <v>135.1</v>
      </c>
      <c r="T1077" s="52" t="str">
        <f t="shared" si="449"/>
        <v/>
      </c>
      <c r="U1077" s="52">
        <f>IFERROR(IF(AR1078=AR1077,INDEX('Aub Demand'!Q:Q,MATCH($O1077,'Aub Demand'!$A:$A,0))-IF(AN1077="",0,AN1077)+AP1078,INDEX('Aub Demand'!Q:Q,MATCH($O1077,'Aub Demand'!$A:$A,0))-IF(AN1077="",0,AN1077)),"")</f>
        <v>897</v>
      </c>
      <c r="V1077" s="53">
        <f t="shared" si="450"/>
        <v>132.6</v>
      </c>
      <c r="W1077" s="52" t="str">
        <f t="shared" si="451"/>
        <v/>
      </c>
      <c r="X1077" s="52">
        <f>IFERROR(IF(AND(AR1078=AR1077,AM1077&lt;&gt;""),INDEX('Aub Demand'!Q:Q,MATCH($O1077,'Aub Demand'!$A:$A,0))-IF(AN1077="",0,AN1077)+AP1078+AD1077+AL1077,IF(AR1078=AR1077,INDEX('Aub Demand'!Q:Q,MATCH($O1077,'Aub Demand'!$A:$A,0))-IF(AN1077="",0,AN1077)+AP1078+AD1077,IF(AM1077&lt;&gt;"",INDEX('Aub Demand'!Q:Q,MATCH($O1077,'Aub Demand'!$A:$A,0))-IF(AN1077="",0,AN1077)+AD1077+AL1077,INDEX('Aub Demand'!Q:Q,MATCH($O1077,'Aub Demand'!$A:$A,0))-IF(AN1077="",0,AN1077)+AD1077))),"")</f>
        <v>897</v>
      </c>
      <c r="Y1077" s="53">
        <f t="shared" si="452"/>
        <v>132.6</v>
      </c>
      <c r="Z1077" s="52">
        <f>IF(L1077="","",INDEX('Aub Demand'!H:H,MATCH($O1077,'Aub Demand'!$A:$A,0)))</f>
        <v>29</v>
      </c>
      <c r="AA1077" s="52">
        <f t="shared" si="453"/>
        <v>43</v>
      </c>
      <c r="AB1077" s="52">
        <f>IFERROR(INDEX('Aub Demand'!L:L,MATCH($O1077,'Aub Demand'!$A:$A,0)),"")</f>
        <v>167</v>
      </c>
      <c r="AC1077" s="52">
        <f>IFERROR(IF(O1077="","",SUMIFS('CPL Mats'!F:F,'CPL Mats'!Q:Q,AR1077,'CPL Mats'!S:S,AS1077)),"")</f>
        <v>0</v>
      </c>
      <c r="AF1077" s="25">
        <f>IF(SUMIFS('Supp Consol'!S:S,'Supp Consol'!Y:Y,"Releasable",'Supp Consol'!A:A,O1077)=0,"",SUMIFS('Supp Consol'!S:S,'Supp Consol'!Y:Y,"Releasable",'Supp Consol'!A:A,O1077))</f>
        <v>860</v>
      </c>
      <c r="AG1077" s="25" t="str">
        <f>IFERROR(INDEX('Hun Demand'!Q:Q,MATCH(O1077,'Hun Demand'!A:A,0)),"")</f>
        <v/>
      </c>
      <c r="AH1077" s="25" t="str">
        <f>IFERROR(INDEX('Hun Demand'!H:H,MATCH($O1077,'Hun Demand'!$A:$A,0)),"")</f>
        <v/>
      </c>
      <c r="AI1077" s="25" t="str">
        <f>IF(SUMIFS('Supp Consol'!AA:AA,'Supp Consol'!Z:Z,"Expires this month",'Supp Consol'!A:A,O1077)=0,"",SUMIFS('Supp Consol'!AA:AA,'Supp Consol'!Z:Z,"Expires this month",'Supp Consol'!A:A,O1077))</f>
        <v/>
      </c>
      <c r="AJ1077" s="25" t="str">
        <f>IF(SUMIFS('Supp Consol'!AA:AA,'Supp Consol'!Z:Z,"Expired Previous Months",'Supp Consol'!A:A,O1077)=0,"",SUMIFS('Supp Consol'!AA:AA,'Supp Consol'!Z:Z,"Expired Previous Months",'Supp Consol'!A:A,O1077))</f>
        <v/>
      </c>
      <c r="AK1077" s="25" t="str">
        <f>IFERROR(INDEX('Hun Release Current'!B:B,MATCH(O1077,'Hun Release Current'!A:A,0)),"")</f>
        <v/>
      </c>
      <c r="AL1077" s="25" t="str">
        <f>IF(SUMIF('Prev Aub'!A:A,O1077,'Prev Aub'!B:B)=0,"",SUMIF('Prev Aub'!A:A,O1077,'Prev Aub'!B:B))</f>
        <v/>
      </c>
      <c r="AN1077" s="25" t="s">
        <v>3790</v>
      </c>
      <c r="AO1077" s="25" t="s">
        <v>3790</v>
      </c>
      <c r="AP1077" s="25">
        <f t="shared" si="454"/>
        <v>0</v>
      </c>
      <c r="AQ1077" s="151" t="str">
        <f>IF(SUMIFS('Supp Consol'!S:S,'Supp Consol'!A:A,O1077,'Supp Consol'!I:I,"PENDING")=0,"",SUMIFS('Supp Consol'!S:S,'Supp Consol'!A:A,O1077,'Supp Consol'!I:I,"PENDING"))</f>
        <v/>
      </c>
      <c r="AR1077" s="27" t="str">
        <f t="shared" si="455"/>
        <v>SN219</v>
      </c>
      <c r="AS1077" s="27" t="str">
        <f t="shared" si="456"/>
        <v>62</v>
      </c>
      <c r="AT1077" s="27" t="str">
        <f t="shared" si="457"/>
        <v/>
      </c>
      <c r="AU1077" s="27" t="str">
        <f t="shared" si="458"/>
        <v/>
      </c>
      <c r="AV1077" s="27" t="str">
        <f t="shared" si="459"/>
        <v/>
      </c>
      <c r="AW1077" s="27" t="str">
        <f t="shared" si="460"/>
        <v/>
      </c>
      <c r="AX1077" s="27" t="str">
        <f t="shared" si="461"/>
        <v>SN219</v>
      </c>
      <c r="AY1077" s="27" t="str">
        <f t="shared" si="462"/>
        <v/>
      </c>
      <c r="AZ1077" s="27" t="str">
        <f t="shared" si="463"/>
        <v>Supp</v>
      </c>
      <c r="BA1077" s="27" t="str">
        <f t="shared" si="464"/>
        <v/>
      </c>
      <c r="BB1077" s="27" t="str">
        <f t="shared" si="465"/>
        <v/>
      </c>
      <c r="BC1077" s="27" t="str">
        <f t="shared" si="466"/>
        <v/>
      </c>
      <c r="BD1077" s="27" t="str">
        <f t="shared" si="467"/>
        <v/>
      </c>
      <c r="BE1077" s="27" t="str">
        <f t="shared" si="468"/>
        <v/>
      </c>
      <c r="BF1077" s="27" t="str">
        <f t="shared" si="469"/>
        <v/>
      </c>
      <c r="BG1077" s="27" t="str">
        <f t="shared" si="470"/>
        <v/>
      </c>
      <c r="BH1077" s="27" t="str">
        <f t="shared" si="471"/>
        <v/>
      </c>
      <c r="BI1077" s="27" t="str">
        <f t="shared" si="472"/>
        <v/>
      </c>
      <c r="BJ1077" s="27" t="str">
        <f t="shared" si="473"/>
        <v>Supp or Hun</v>
      </c>
      <c r="BK1077" s="27" t="str">
        <f t="shared" si="474"/>
        <v/>
      </c>
      <c r="BL1077" s="27" t="str">
        <f t="shared" si="475"/>
        <v/>
      </c>
      <c r="BM1077" s="21" t="s">
        <v>5581</v>
      </c>
    </row>
    <row r="1078" spans="1:65" ht="15">
      <c r="A1078" s="25">
        <f>IFERROR(INDEX('Hun Demand'!W:W,MATCH(O1078,'Hun Demand'!A:A,0)),"")</f>
        <v>0</v>
      </c>
      <c r="B1078" s="25">
        <f>IFERROR(INDEX('Hun Demand'!V:V,MATCH(O1078,'Hun Demand'!A:A,0)),"")</f>
        <v>0</v>
      </c>
      <c r="C1078" s="25">
        <f>IFERROR(INDEX('Hun Demand'!U:U,MATCH(O1078,'Hun Demand'!A:A,0)),"")</f>
        <v>0</v>
      </c>
      <c r="D1078" s="25">
        <f>IFERROR(INDEX('Hun Demand'!T:T,MATCH(O1078,'Hun Demand'!A:A,0)),"")</f>
        <v>0</v>
      </c>
      <c r="E1078" s="25">
        <f>IFERROR(INDEX('Hun Demand'!S:S,MATCH(O1078,'Hun Demand'!A:A,0)),"")</f>
        <v>0</v>
      </c>
      <c r="F1078" s="25">
        <f>IFERROR(INDEX('Hun Demand'!R:R,MATCH(O1078,'Hun Demand'!A:A,0)),"")</f>
        <v>0</v>
      </c>
      <c r="G1078" s="25">
        <f>IFERROR(INDEX('Aub Demand'!W:W,MATCH(O1078,'Aub Demand'!A:A,0)),"")</f>
        <v>0</v>
      </c>
      <c r="H1078" s="25">
        <f>IFERROR(INDEX('Aub Demand'!V:V,MATCH(O1078,'Aub Demand'!A:A,0)),"")</f>
        <v>0</v>
      </c>
      <c r="I1078" s="25">
        <f>IFERROR(INDEX('Aub Demand'!U:U,MATCH(O1078,'Aub Demand'!A:A,0)),"")</f>
        <v>0</v>
      </c>
      <c r="J1078" s="25">
        <f>IFERROR(INDEX('Aub Demand'!T:T,MATCH(O1078,'Aub Demand'!A:A,0)),"")</f>
        <v>0</v>
      </c>
      <c r="K1078" s="25">
        <f>IFERROR(INDEX('Aub Demand'!S:S,MATCH(O1078,'Aub Demand'!A:A,0)),"")</f>
        <v>0</v>
      </c>
      <c r="L1078" s="25">
        <f>IFERROR(INDEX('Aub Demand'!R:R,MATCH(O1078,'Aub Demand'!A:A,0)),"")</f>
        <v>0</v>
      </c>
      <c r="O1078" s="27" t="s">
        <v>2647</v>
      </c>
      <c r="P1078" s="27" t="str">
        <f>IFERROR(INDEX('Aub Demand'!B:B,MATCH($O1078,'Aub Demand'!$A:$A,0)),"")</f>
        <v>PORCELAIN 62"</v>
      </c>
      <c r="Q1078" s="27" t="str">
        <f>IFERROR(INDEX('Aub Demand'!C:C,MATCH($O1078,'Aub Demand'!$A:$A,0)),"")</f>
        <v>ONYX</v>
      </c>
      <c r="R1078" s="52">
        <f>IFERROR(IF(AR1079=AR1078,INDEX('Aub Demand'!K:K,MATCH($O1078,'Aub Demand'!$A:$A,0))-IF(AN1078="",0,AN1078)+AP1079,INDEX('Aub Demand'!K:K,MATCH($O1078,'Aub Demand'!$A:$A,0))-IF(AN1078="",0,AN1078)),"")</f>
        <v>728</v>
      </c>
      <c r="S1078" s="53" t="str">
        <f t="shared" si="448"/>
        <v>n/a</v>
      </c>
      <c r="T1078" s="52" t="str">
        <f t="shared" si="449"/>
        <v/>
      </c>
      <c r="U1078" s="52">
        <f>IFERROR(IF(AR1079=AR1078,INDEX('Aub Demand'!Q:Q,MATCH($O1078,'Aub Demand'!$A:$A,0))-IF(AN1078="",0,AN1078)+AP1079,INDEX('Aub Demand'!Q:Q,MATCH($O1078,'Aub Demand'!$A:$A,0))-IF(AN1078="",0,AN1078)),"")</f>
        <v>728</v>
      </c>
      <c r="V1078" s="53" t="str">
        <f t="shared" si="450"/>
        <v>n/a</v>
      </c>
      <c r="W1078" s="52" t="str">
        <f t="shared" si="451"/>
        <v/>
      </c>
      <c r="X1078" s="52">
        <f>IFERROR(IF(AND(AR1079=AR1078,AM1078&lt;&gt;""),INDEX('Aub Demand'!Q:Q,MATCH($O1078,'Aub Demand'!$A:$A,0))-IF(AN1078="",0,AN1078)+AP1079+AD1078+AL1078,IF(AR1079=AR1078,INDEX('Aub Demand'!Q:Q,MATCH($O1078,'Aub Demand'!$A:$A,0))-IF(AN1078="",0,AN1078)+AP1079+AD1078,IF(AM1078&lt;&gt;"",INDEX('Aub Demand'!Q:Q,MATCH($O1078,'Aub Demand'!$A:$A,0))-IF(AN1078="",0,AN1078)+AD1078+AL1078,INDEX('Aub Demand'!Q:Q,MATCH($O1078,'Aub Demand'!$A:$A,0))-IF(AN1078="",0,AN1078)+AD1078))),"")</f>
        <v>728</v>
      </c>
      <c r="Y1078" s="53" t="str">
        <f t="shared" si="452"/>
        <v>n/a</v>
      </c>
      <c r="Z1078" s="52">
        <f>IF(L1078="","",INDEX('Aub Demand'!H:H,MATCH($O1078,'Aub Demand'!$A:$A,0)))</f>
        <v>0</v>
      </c>
      <c r="AA1078" s="52" t="str">
        <f t="shared" si="453"/>
        <v>-spike-</v>
      </c>
      <c r="AB1078" s="52">
        <f>IFERROR(INDEX('Aub Demand'!L:L,MATCH($O1078,'Aub Demand'!$A:$A,0)),"")</f>
        <v>13</v>
      </c>
      <c r="AC1078" s="52">
        <f>IFERROR(IF(O1078="","",SUMIFS('CPL Mats'!F:F,'CPL Mats'!Q:Q,AR1078,'CPL Mats'!S:S,AS1078)),"")</f>
        <v>0</v>
      </c>
      <c r="AF1078" s="25" t="str">
        <f>IF(SUMIFS('Supp Consol'!S:S,'Supp Consol'!Y:Y,"Releasable",'Supp Consol'!A:A,O1078)=0,"",SUMIFS('Supp Consol'!S:S,'Supp Consol'!Y:Y,"Releasable",'Supp Consol'!A:A,O1078))</f>
        <v/>
      </c>
      <c r="AG1078" s="25">
        <f>IFERROR(INDEX('Hun Demand'!Q:Q,MATCH(O1078,'Hun Demand'!A:A,0)),"")</f>
        <v>152</v>
      </c>
      <c r="AH1078" s="25">
        <f>IFERROR(INDEX('Hun Demand'!H:H,MATCH($O1078,'Hun Demand'!$A:$A,0)),"")</f>
        <v>0</v>
      </c>
      <c r="AI1078" s="25" t="str">
        <f>IF(SUMIFS('Supp Consol'!AA:AA,'Supp Consol'!Z:Z,"Expires this month",'Supp Consol'!A:A,O1078)=0,"",SUMIFS('Supp Consol'!AA:AA,'Supp Consol'!Z:Z,"Expires this month",'Supp Consol'!A:A,O1078))</f>
        <v/>
      </c>
      <c r="AJ1078" s="25" t="str">
        <f>IF(SUMIFS('Supp Consol'!AA:AA,'Supp Consol'!Z:Z,"Expired Previous Months",'Supp Consol'!A:A,O1078)=0,"",SUMIFS('Supp Consol'!AA:AA,'Supp Consol'!Z:Z,"Expired Previous Months",'Supp Consol'!A:A,O1078))</f>
        <v/>
      </c>
      <c r="AK1078" s="25" t="str">
        <f>IFERROR(INDEX('Hun Release Current'!B:B,MATCH(O1078,'Hun Release Current'!A:A,0)),"")</f>
        <v/>
      </c>
      <c r="AL1078" s="25" t="str">
        <f>IF(SUMIF('Prev Aub'!A:A,O1078,'Prev Aub'!B:B)=0,"",SUMIF('Prev Aub'!A:A,O1078,'Prev Aub'!B:B))</f>
        <v/>
      </c>
      <c r="AN1078" s="25">
        <v>25</v>
      </c>
      <c r="AO1078" s="25" t="s">
        <v>3891</v>
      </c>
      <c r="AP1078" s="25">
        <f t="shared" si="454"/>
        <v>20</v>
      </c>
      <c r="AQ1078" s="151" t="str">
        <f>IF(SUMIFS('Supp Consol'!S:S,'Supp Consol'!A:A,O1078,'Supp Consol'!I:I,"PENDING")=0,"",SUMIFS('Supp Consol'!S:S,'Supp Consol'!A:A,O1078,'Supp Consol'!I:I,"PENDING"))</f>
        <v/>
      </c>
      <c r="AR1078" s="27" t="str">
        <f t="shared" si="455"/>
        <v>SN250</v>
      </c>
      <c r="AS1078" s="27" t="str">
        <f t="shared" si="456"/>
        <v>62</v>
      </c>
      <c r="AT1078" s="27" t="str">
        <f t="shared" si="457"/>
        <v/>
      </c>
      <c r="AU1078" s="27" t="str">
        <f t="shared" si="458"/>
        <v/>
      </c>
      <c r="AV1078" s="27" t="str">
        <f t="shared" si="459"/>
        <v/>
      </c>
      <c r="AW1078" s="27" t="str">
        <f t="shared" si="460"/>
        <v/>
      </c>
      <c r="AX1078" s="27" t="str">
        <f t="shared" si="461"/>
        <v/>
      </c>
      <c r="AY1078" s="27" t="str">
        <f t="shared" si="462"/>
        <v>SN250</v>
      </c>
      <c r="AZ1078" s="27" t="str">
        <f t="shared" si="463"/>
        <v/>
      </c>
      <c r="BA1078" s="27" t="str">
        <f t="shared" si="464"/>
        <v>Hun</v>
      </c>
      <c r="BB1078" s="27" t="str">
        <f t="shared" si="465"/>
        <v/>
      </c>
      <c r="BC1078" s="27" t="str">
        <f t="shared" si="466"/>
        <v/>
      </c>
      <c r="BD1078" s="27" t="str">
        <f t="shared" si="467"/>
        <v/>
      </c>
      <c r="BE1078" s="27" t="str">
        <f t="shared" si="468"/>
        <v/>
      </c>
      <c r="BF1078" s="27" t="str">
        <f t="shared" si="469"/>
        <v/>
      </c>
      <c r="BG1078" s="27" t="str">
        <f t="shared" si="470"/>
        <v/>
      </c>
      <c r="BH1078" s="27" t="str">
        <f t="shared" si="471"/>
        <v/>
      </c>
      <c r="BI1078" s="27" t="str">
        <f t="shared" si="472"/>
        <v/>
      </c>
      <c r="BJ1078" s="27" t="str">
        <f t="shared" si="473"/>
        <v>Supp or Hun</v>
      </c>
      <c r="BK1078" s="27" t="str">
        <f t="shared" si="474"/>
        <v/>
      </c>
      <c r="BL1078" s="27" t="str">
        <f t="shared" si="475"/>
        <v/>
      </c>
      <c r="BM1078" s="21" t="s">
        <v>5581</v>
      </c>
    </row>
    <row r="1079" spans="1:65" ht="15">
      <c r="A1079" s="25" t="str">
        <f>IFERROR(INDEX('Hun Demand'!W:W,MATCH(O1079,'Hun Demand'!A:A,0)),"")</f>
        <v/>
      </c>
      <c r="B1079" s="25" t="str">
        <f>IFERROR(INDEX('Hun Demand'!V:V,MATCH(O1079,'Hun Demand'!A:A,0)),"")</f>
        <v/>
      </c>
      <c r="C1079" s="25" t="str">
        <f>IFERROR(INDEX('Hun Demand'!U:U,MATCH(O1079,'Hun Demand'!A:A,0)),"")</f>
        <v/>
      </c>
      <c r="D1079" s="25" t="str">
        <f>IFERROR(INDEX('Hun Demand'!T:T,MATCH(O1079,'Hun Demand'!A:A,0)),"")</f>
        <v/>
      </c>
      <c r="E1079" s="25" t="str">
        <f>IFERROR(INDEX('Hun Demand'!S:S,MATCH(O1079,'Hun Demand'!A:A,0)),"")</f>
        <v/>
      </c>
      <c r="F1079" s="25" t="str">
        <f>IFERROR(INDEX('Hun Demand'!R:R,MATCH(O1079,'Hun Demand'!A:A,0)),"")</f>
        <v/>
      </c>
      <c r="G1079" s="25">
        <f>IFERROR(INDEX('Aub Demand'!W:W,MATCH(O1079,'Aub Demand'!A:A,0)),"")</f>
        <v>81</v>
      </c>
      <c r="H1079" s="25">
        <f>IFERROR(INDEX('Aub Demand'!V:V,MATCH(O1079,'Aub Demand'!A:A,0)),"")</f>
        <v>22</v>
      </c>
      <c r="I1079" s="25">
        <f>IFERROR(INDEX('Aub Demand'!U:U,MATCH(O1079,'Aub Demand'!A:A,0)),"")</f>
        <v>52</v>
      </c>
      <c r="J1079" s="25">
        <f>IFERROR(INDEX('Aub Demand'!T:T,MATCH(O1079,'Aub Demand'!A:A,0)),"")</f>
        <v>0</v>
      </c>
      <c r="K1079" s="25">
        <f>IFERROR(INDEX('Aub Demand'!S:S,MATCH(O1079,'Aub Demand'!A:A,0)),"")</f>
        <v>202</v>
      </c>
      <c r="L1079" s="25">
        <f>IFERROR(INDEX('Aub Demand'!R:R,MATCH(O1079,'Aub Demand'!A:A,0)),"")</f>
        <v>0</v>
      </c>
      <c r="O1079" s="27" t="s">
        <v>2649</v>
      </c>
      <c r="P1079" s="27" t="str">
        <f>IFERROR(INDEX('Aub Demand'!B:B,MATCH($O1079,'Aub Demand'!$A:$A,0)),"")</f>
        <v>BETHANY BEIGE 48"</v>
      </c>
      <c r="Q1079" s="27" t="str">
        <f>IFERROR(INDEX('Aub Demand'!C:C,MATCH($O1079,'Aub Demand'!$A:$A,0)),"")</f>
        <v>ONYX</v>
      </c>
      <c r="R1079" s="52">
        <f>IFERROR(IF(AR1080=AR1079,INDEX('Aub Demand'!K:K,MATCH($O1079,'Aub Demand'!$A:$A,0))-IF(AN1079="",0,AN1079)+AP1080,INDEX('Aub Demand'!K:K,MATCH($O1079,'Aub Demand'!$A:$A,0))-IF(AN1079="",0,AN1079)),"")</f>
        <v>1176</v>
      </c>
      <c r="S1079" s="53">
        <f t="shared" si="448"/>
        <v>59.3</v>
      </c>
      <c r="T1079" s="52" t="str">
        <f t="shared" si="449"/>
        <v/>
      </c>
      <c r="U1079" s="52">
        <f>IFERROR(IF(AR1080=AR1079,INDEX('Aub Demand'!Q:Q,MATCH($O1079,'Aub Demand'!$A:$A,0))-IF(AN1079="",0,AN1079)+AP1080,INDEX('Aub Demand'!Q:Q,MATCH($O1079,'Aub Demand'!$A:$A,0))-IF(AN1079="",0,AN1079)),"")</f>
        <v>1113</v>
      </c>
      <c r="V1079" s="53">
        <f t="shared" si="450"/>
        <v>56.1</v>
      </c>
      <c r="W1079" s="52" t="str">
        <f t="shared" si="451"/>
        <v/>
      </c>
      <c r="X1079" s="52">
        <f>IFERROR(IF(AND(AR1080=AR1079,AM1079&lt;&gt;""),INDEX('Aub Demand'!Q:Q,MATCH($O1079,'Aub Demand'!$A:$A,0))-IF(AN1079="",0,AN1079)+AP1080+AD1079+AL1079,IF(AR1080=AR1079,INDEX('Aub Demand'!Q:Q,MATCH($O1079,'Aub Demand'!$A:$A,0))-IF(AN1079="",0,AN1079)+AP1080+AD1079,IF(AM1079&lt;&gt;"",INDEX('Aub Demand'!Q:Q,MATCH($O1079,'Aub Demand'!$A:$A,0))-IF(AN1079="",0,AN1079)+AD1079+AL1079,INDEX('Aub Demand'!Q:Q,MATCH($O1079,'Aub Demand'!$A:$A,0))-IF(AN1079="",0,AN1079)+AD1079))),"")</f>
        <v>1113</v>
      </c>
      <c r="Y1079" s="53">
        <f t="shared" si="452"/>
        <v>56.1</v>
      </c>
      <c r="Z1079" s="52">
        <f>IF(L1079="","",INDEX('Aub Demand'!H:H,MATCH($O1079,'Aub Demand'!$A:$A,0)))</f>
        <v>85</v>
      </c>
      <c r="AA1079" s="52">
        <f t="shared" si="453"/>
        <v>127</v>
      </c>
      <c r="AB1079" s="52">
        <f>IFERROR(INDEX('Aub Demand'!L:L,MATCH($O1079,'Aub Demand'!$A:$A,0)),"")</f>
        <v>24</v>
      </c>
      <c r="AC1079" s="52">
        <f>IFERROR(IF(O1079="","",SUMIFS('CPL Mats'!F:F,'CPL Mats'!Q:Q,AR1079,'CPL Mats'!S:S,AS1079)),"")</f>
        <v>0</v>
      </c>
      <c r="AF1079" s="25" t="str">
        <f>IF(SUMIFS('Supp Consol'!S:S,'Supp Consol'!Y:Y,"Releasable",'Supp Consol'!A:A,O1079)=0,"",SUMIFS('Supp Consol'!S:S,'Supp Consol'!Y:Y,"Releasable",'Supp Consol'!A:A,O1079))</f>
        <v/>
      </c>
      <c r="AG1079" s="25" t="str">
        <f>IFERROR(INDEX('Hun Demand'!Q:Q,MATCH(O1079,'Hun Demand'!A:A,0)),"")</f>
        <v/>
      </c>
      <c r="AH1079" s="25" t="str">
        <f>IFERROR(INDEX('Hun Demand'!H:H,MATCH($O1079,'Hun Demand'!$A:$A,0)),"")</f>
        <v/>
      </c>
      <c r="AI1079" s="25" t="str">
        <f>IF(SUMIFS('Supp Consol'!AA:AA,'Supp Consol'!Z:Z,"Expires this month",'Supp Consol'!A:A,O1079)=0,"",SUMIFS('Supp Consol'!AA:AA,'Supp Consol'!Z:Z,"Expires this month",'Supp Consol'!A:A,O1079))</f>
        <v/>
      </c>
      <c r="AJ1079" s="25" t="str">
        <f>IF(SUMIFS('Supp Consol'!AA:AA,'Supp Consol'!Z:Z,"Expired Previous Months",'Supp Consol'!A:A,O1079)=0,"",SUMIFS('Supp Consol'!AA:AA,'Supp Consol'!Z:Z,"Expired Previous Months",'Supp Consol'!A:A,O1079))</f>
        <v/>
      </c>
      <c r="AK1079" s="25" t="str">
        <f>IFERROR(INDEX('Hun Release Current'!B:B,MATCH(O1079,'Hun Release Current'!A:A,0)),"")</f>
        <v/>
      </c>
      <c r="AL1079" s="25" t="str">
        <f>IF(SUMIF('Prev Aub'!A:A,O1079,'Prev Aub'!B:B)=0,"",SUMIF('Prev Aub'!A:A,O1079,'Prev Aub'!B:B))</f>
        <v/>
      </c>
      <c r="AN1079" s="25" t="s">
        <v>3790</v>
      </c>
      <c r="AO1079" s="25" t="s">
        <v>3790</v>
      </c>
      <c r="AP1079" s="25">
        <f t="shared" si="454"/>
        <v>0</v>
      </c>
      <c r="AQ1079" s="151" t="str">
        <f>IF(SUMIFS('Supp Consol'!S:S,'Supp Consol'!A:A,O1079,'Supp Consol'!I:I,"PENDING")=0,"",SUMIFS('Supp Consol'!S:S,'Supp Consol'!A:A,O1079,'Supp Consol'!I:I,"PENDING"))</f>
        <v/>
      </c>
      <c r="AR1079" s="27" t="str">
        <f t="shared" si="455"/>
        <v>SN269</v>
      </c>
      <c r="AS1079" s="27" t="str">
        <f t="shared" si="456"/>
        <v>50</v>
      </c>
      <c r="AT1079" s="27" t="str">
        <f t="shared" si="457"/>
        <v/>
      </c>
      <c r="AU1079" s="27" t="str">
        <f t="shared" si="458"/>
        <v/>
      </c>
      <c r="AV1079" s="27" t="str">
        <f t="shared" si="459"/>
        <v/>
      </c>
      <c r="AW1079" s="27" t="str">
        <f t="shared" si="460"/>
        <v/>
      </c>
      <c r="AX1079" s="27" t="str">
        <f t="shared" si="461"/>
        <v/>
      </c>
      <c r="AY1079" s="27" t="str">
        <f t="shared" si="462"/>
        <v/>
      </c>
      <c r="AZ1079" s="27" t="str">
        <f t="shared" si="463"/>
        <v/>
      </c>
      <c r="BA1079" s="27" t="str">
        <f t="shared" si="464"/>
        <v/>
      </c>
      <c r="BB1079" s="27" t="str">
        <f t="shared" si="465"/>
        <v/>
      </c>
      <c r="BC1079" s="27" t="str">
        <f t="shared" si="466"/>
        <v/>
      </c>
      <c r="BD1079" s="27" t="str">
        <f t="shared" si="467"/>
        <v/>
      </c>
      <c r="BE1079" s="27" t="str">
        <f t="shared" si="468"/>
        <v/>
      </c>
      <c r="BF1079" s="27" t="str">
        <f t="shared" si="469"/>
        <v/>
      </c>
      <c r="BG1079" s="27" t="str">
        <f t="shared" si="470"/>
        <v/>
      </c>
      <c r="BH1079" s="27" t="str">
        <f t="shared" si="471"/>
        <v/>
      </c>
      <c r="BI1079" s="27" t="str">
        <f t="shared" si="472"/>
        <v/>
      </c>
      <c r="BJ1079" s="27" t="str">
        <f t="shared" si="473"/>
        <v/>
      </c>
      <c r="BK1079" s="27" t="str">
        <f t="shared" si="474"/>
        <v/>
      </c>
      <c r="BL1079" s="27" t="str">
        <f t="shared" si="475"/>
        <v/>
      </c>
      <c r="BM1079" s="21" t="s">
        <v>5581</v>
      </c>
    </row>
    <row r="1080" spans="1:65" ht="15">
      <c r="A1080" s="25" t="str">
        <f>IFERROR(INDEX('Hun Demand'!W:W,MATCH(O1080,'Hun Demand'!A:A,0)),"")</f>
        <v/>
      </c>
      <c r="B1080" s="25" t="str">
        <f>IFERROR(INDEX('Hun Demand'!V:V,MATCH(O1080,'Hun Demand'!A:A,0)),"")</f>
        <v/>
      </c>
      <c r="C1080" s="25" t="str">
        <f>IFERROR(INDEX('Hun Demand'!U:U,MATCH(O1080,'Hun Demand'!A:A,0)),"")</f>
        <v/>
      </c>
      <c r="D1080" s="25" t="str">
        <f>IFERROR(INDEX('Hun Demand'!T:T,MATCH(O1080,'Hun Demand'!A:A,0)),"")</f>
        <v/>
      </c>
      <c r="E1080" s="25" t="str">
        <f>IFERROR(INDEX('Hun Demand'!S:S,MATCH(O1080,'Hun Demand'!A:A,0)),"")</f>
        <v/>
      </c>
      <c r="F1080" s="25" t="str">
        <f>IFERROR(INDEX('Hun Demand'!R:R,MATCH(O1080,'Hun Demand'!A:A,0)),"")</f>
        <v/>
      </c>
      <c r="G1080" s="25">
        <f>IFERROR(INDEX('Aub Demand'!W:W,MATCH(O1080,'Aub Demand'!A:A,0)),"")</f>
        <v>0</v>
      </c>
      <c r="H1080" s="25">
        <f>IFERROR(INDEX('Aub Demand'!V:V,MATCH(O1080,'Aub Demand'!A:A,0)),"")</f>
        <v>46</v>
      </c>
      <c r="I1080" s="25">
        <f>IFERROR(INDEX('Aub Demand'!U:U,MATCH(O1080,'Aub Demand'!A:A,0)),"")</f>
        <v>0</v>
      </c>
      <c r="J1080" s="25">
        <f>IFERROR(INDEX('Aub Demand'!T:T,MATCH(O1080,'Aub Demand'!A:A,0)),"")</f>
        <v>40</v>
      </c>
      <c r="K1080" s="25">
        <f>IFERROR(INDEX('Aub Demand'!S:S,MATCH(O1080,'Aub Demand'!A:A,0)),"")</f>
        <v>124</v>
      </c>
      <c r="L1080" s="25">
        <f>IFERROR(INDEX('Aub Demand'!R:R,MATCH(O1080,'Aub Demand'!A:A,0)),"")</f>
        <v>64</v>
      </c>
      <c r="O1080" s="27" t="s">
        <v>2652</v>
      </c>
      <c r="P1080" s="27" t="str">
        <f>IFERROR(INDEX('Aub Demand'!B:B,MATCH($O1080,'Aub Demand'!$A:$A,0)),"")</f>
        <v>BETHANY BEIGE 60"</v>
      </c>
      <c r="Q1080" s="27" t="str">
        <f>IFERROR(INDEX('Aub Demand'!C:C,MATCH($O1080,'Aub Demand'!$A:$A,0)),"")</f>
        <v>ONYX</v>
      </c>
      <c r="R1080" s="52">
        <f>IFERROR(IF(AR1081=AR1080,INDEX('Aub Demand'!K:K,MATCH($O1080,'Aub Demand'!$A:$A,0))-IF(AN1080="",0,AN1080)+AP1081,INDEX('Aub Demand'!K:K,MATCH($O1080,'Aub Demand'!$A:$A,0))-IF(AN1080="",0,AN1080)),"")</f>
        <v>1175</v>
      </c>
      <c r="S1080" s="53">
        <f t="shared" si="448"/>
        <v>91.6</v>
      </c>
      <c r="T1080" s="52" t="str">
        <f t="shared" si="449"/>
        <v/>
      </c>
      <c r="U1080" s="52">
        <f>IFERROR(IF(AR1081=AR1080,INDEX('Aub Demand'!Q:Q,MATCH($O1080,'Aub Demand'!$A:$A,0))-IF(AN1080="",0,AN1080)+AP1081,INDEX('Aub Demand'!Q:Q,MATCH($O1080,'Aub Demand'!$A:$A,0))-IF(AN1080="",0,AN1080)),"")</f>
        <v>1106</v>
      </c>
      <c r="V1080" s="53">
        <f t="shared" si="450"/>
        <v>86.2</v>
      </c>
      <c r="W1080" s="52" t="str">
        <f t="shared" si="451"/>
        <v/>
      </c>
      <c r="X1080" s="52">
        <f>IFERROR(IF(AND(AR1081=AR1080,AM1080&lt;&gt;""),INDEX('Aub Demand'!Q:Q,MATCH($O1080,'Aub Demand'!$A:$A,0))-IF(AN1080="",0,AN1080)+AP1081+AD1080+AL1080,IF(AR1081=AR1080,INDEX('Aub Demand'!Q:Q,MATCH($O1080,'Aub Demand'!$A:$A,0))-IF(AN1080="",0,AN1080)+AP1081+AD1080,IF(AM1080&lt;&gt;"",INDEX('Aub Demand'!Q:Q,MATCH($O1080,'Aub Demand'!$A:$A,0))-IF(AN1080="",0,AN1080)+AD1080+AL1080,INDEX('Aub Demand'!Q:Q,MATCH($O1080,'Aub Demand'!$A:$A,0))-IF(AN1080="",0,AN1080)+AD1080))),"")</f>
        <v>1106</v>
      </c>
      <c r="Y1080" s="53">
        <f t="shared" si="452"/>
        <v>86.2</v>
      </c>
      <c r="Z1080" s="52">
        <f>IF(L1080="","",INDEX('Aub Demand'!H:H,MATCH($O1080,'Aub Demand'!$A:$A,0)))</f>
        <v>55</v>
      </c>
      <c r="AA1080" s="52">
        <f t="shared" si="453"/>
        <v>94</v>
      </c>
      <c r="AB1080" s="52">
        <f>IFERROR(INDEX('Aub Demand'!L:L,MATCH($O1080,'Aub Demand'!$A:$A,0)),"")</f>
        <v>39</v>
      </c>
      <c r="AC1080" s="52">
        <f>IFERROR(IF(O1080="","",SUMIFS('CPL Mats'!F:F,'CPL Mats'!Q:Q,AR1080,'CPL Mats'!S:S,AS1080)),"")</f>
        <v>0</v>
      </c>
      <c r="AF1080" s="25" t="str">
        <f>IF(SUMIFS('Supp Consol'!S:S,'Supp Consol'!Y:Y,"Releasable",'Supp Consol'!A:A,O1080)=0,"",SUMIFS('Supp Consol'!S:S,'Supp Consol'!Y:Y,"Releasable",'Supp Consol'!A:A,O1080))</f>
        <v/>
      </c>
      <c r="AG1080" s="25" t="str">
        <f>IFERROR(INDEX('Hun Demand'!Q:Q,MATCH(O1080,'Hun Demand'!A:A,0)),"")</f>
        <v/>
      </c>
      <c r="AH1080" s="25" t="str">
        <f>IFERROR(INDEX('Hun Demand'!H:H,MATCH($O1080,'Hun Demand'!$A:$A,0)),"")</f>
        <v/>
      </c>
      <c r="AI1080" s="25" t="str">
        <f>IF(SUMIFS('Supp Consol'!AA:AA,'Supp Consol'!Z:Z,"Expires this month",'Supp Consol'!A:A,O1080)=0,"",SUMIFS('Supp Consol'!AA:AA,'Supp Consol'!Z:Z,"Expires this month",'Supp Consol'!A:A,O1080))</f>
        <v/>
      </c>
      <c r="AJ1080" s="25" t="str">
        <f>IF(SUMIFS('Supp Consol'!AA:AA,'Supp Consol'!Z:Z,"Expired Previous Months",'Supp Consol'!A:A,O1080)=0,"",SUMIFS('Supp Consol'!AA:AA,'Supp Consol'!Z:Z,"Expired Previous Months",'Supp Consol'!A:A,O1080))</f>
        <v/>
      </c>
      <c r="AK1080" s="25" t="str">
        <f>IFERROR(INDEX('Hun Release Current'!B:B,MATCH(O1080,'Hun Release Current'!A:A,0)),"")</f>
        <v/>
      </c>
      <c r="AL1080" s="25" t="str">
        <f>IF(SUMIF('Prev Aub'!A:A,O1080,'Prev Aub'!B:B)=0,"",SUMIF('Prev Aub'!A:A,O1080,'Prev Aub'!B:B))</f>
        <v/>
      </c>
      <c r="AN1080" s="25" t="s">
        <v>3790</v>
      </c>
      <c r="AO1080" s="25" t="s">
        <v>3790</v>
      </c>
      <c r="AP1080" s="25">
        <f t="shared" si="454"/>
        <v>0</v>
      </c>
      <c r="AQ1080" s="151" t="str">
        <f>IF(SUMIFS('Supp Consol'!S:S,'Supp Consol'!A:A,O1080,'Supp Consol'!I:I,"PENDING")=0,"",SUMIFS('Supp Consol'!S:S,'Supp Consol'!A:A,O1080,'Supp Consol'!I:I,"PENDING"))</f>
        <v/>
      </c>
      <c r="AR1080" s="27" t="str">
        <f t="shared" si="455"/>
        <v>SN269</v>
      </c>
      <c r="AS1080" s="27" t="str">
        <f t="shared" si="456"/>
        <v>62</v>
      </c>
      <c r="AT1080" s="27" t="str">
        <f t="shared" si="457"/>
        <v/>
      </c>
      <c r="AU1080" s="27" t="str">
        <f t="shared" si="458"/>
        <v/>
      </c>
      <c r="AV1080" s="27" t="str">
        <f t="shared" si="459"/>
        <v/>
      </c>
      <c r="AW1080" s="27" t="str">
        <f t="shared" si="460"/>
        <v/>
      </c>
      <c r="AX1080" s="27" t="str">
        <f t="shared" si="461"/>
        <v/>
      </c>
      <c r="AY1080" s="27" t="str">
        <f t="shared" si="462"/>
        <v/>
      </c>
      <c r="AZ1080" s="27" t="str">
        <f t="shared" si="463"/>
        <v/>
      </c>
      <c r="BA1080" s="27" t="str">
        <f t="shared" si="464"/>
        <v/>
      </c>
      <c r="BB1080" s="27" t="str">
        <f t="shared" si="465"/>
        <v/>
      </c>
      <c r="BC1080" s="27" t="str">
        <f t="shared" si="466"/>
        <v/>
      </c>
      <c r="BD1080" s="27" t="str">
        <f t="shared" si="467"/>
        <v/>
      </c>
      <c r="BE1080" s="27" t="str">
        <f t="shared" si="468"/>
        <v/>
      </c>
      <c r="BF1080" s="27" t="str">
        <f t="shared" si="469"/>
        <v/>
      </c>
      <c r="BG1080" s="27" t="str">
        <f t="shared" si="470"/>
        <v/>
      </c>
      <c r="BH1080" s="27" t="str">
        <f t="shared" si="471"/>
        <v/>
      </c>
      <c r="BI1080" s="27" t="str">
        <f t="shared" si="472"/>
        <v/>
      </c>
      <c r="BJ1080" s="27" t="str">
        <f t="shared" si="473"/>
        <v/>
      </c>
      <c r="BK1080" s="27" t="str">
        <f t="shared" si="474"/>
        <v/>
      </c>
      <c r="BL1080" s="27" t="str">
        <f t="shared" si="475"/>
        <v/>
      </c>
      <c r="BM1080" s="21" t="s">
        <v>5581</v>
      </c>
    </row>
    <row r="1081" spans="1:65" ht="15">
      <c r="A1081" s="25" t="str">
        <f>IFERROR(INDEX('Hun Demand'!W:W,MATCH(O1081,'Hun Demand'!A:A,0)),"")</f>
        <v/>
      </c>
      <c r="B1081" s="25" t="str">
        <f>IFERROR(INDEX('Hun Demand'!V:V,MATCH(O1081,'Hun Demand'!A:A,0)),"")</f>
        <v/>
      </c>
      <c r="C1081" s="25" t="str">
        <f>IFERROR(INDEX('Hun Demand'!U:U,MATCH(O1081,'Hun Demand'!A:A,0)),"")</f>
        <v/>
      </c>
      <c r="D1081" s="25" t="str">
        <f>IFERROR(INDEX('Hun Demand'!T:T,MATCH(O1081,'Hun Demand'!A:A,0)),"")</f>
        <v/>
      </c>
      <c r="E1081" s="25" t="str">
        <f>IFERROR(INDEX('Hun Demand'!S:S,MATCH(O1081,'Hun Demand'!A:A,0)),"")</f>
        <v/>
      </c>
      <c r="F1081" s="25" t="str">
        <f>IFERROR(INDEX('Hun Demand'!R:R,MATCH(O1081,'Hun Demand'!A:A,0)),"")</f>
        <v/>
      </c>
      <c r="G1081" s="25">
        <f>IFERROR(INDEX('Aub Demand'!W:W,MATCH(O1081,'Aub Demand'!A:A,0)),"")</f>
        <v>162</v>
      </c>
      <c r="H1081" s="25">
        <f>IFERROR(INDEX('Aub Demand'!V:V,MATCH(O1081,'Aub Demand'!A:A,0)),"")</f>
        <v>482</v>
      </c>
      <c r="I1081" s="25">
        <f>IFERROR(INDEX('Aub Demand'!U:U,MATCH(O1081,'Aub Demand'!A:A,0)),"")</f>
        <v>0</v>
      </c>
      <c r="J1081" s="25">
        <f>IFERROR(INDEX('Aub Demand'!T:T,MATCH(O1081,'Aub Demand'!A:A,0)),"")</f>
        <v>106</v>
      </c>
      <c r="K1081" s="25">
        <f>IFERROR(INDEX('Aub Demand'!S:S,MATCH(O1081,'Aub Demand'!A:A,0)),"")</f>
        <v>220</v>
      </c>
      <c r="L1081" s="25">
        <f>IFERROR(INDEX('Aub Demand'!R:R,MATCH(O1081,'Aub Demand'!A:A,0)),"")</f>
        <v>22</v>
      </c>
      <c r="O1081" s="27" t="s">
        <v>2654</v>
      </c>
      <c r="P1081" s="27" t="str">
        <f>IFERROR(INDEX('Aub Demand'!B:B,MATCH($O1081,'Aub Demand'!$A:$A,0)),"")</f>
        <v>FOUNDRY 50"</v>
      </c>
      <c r="Q1081" s="27" t="str">
        <f>IFERROR(INDEX('Aub Demand'!C:C,MATCH($O1081,'Aub Demand'!$A:$A,0)),"")</f>
        <v>AHLST</v>
      </c>
      <c r="R1081" s="52">
        <f>IFERROR(IF(AR1082=AR1081,INDEX('Aub Demand'!K:K,MATCH($O1081,'Aub Demand'!$A:$A,0))-IF(AN1081="",0,AN1081)+AP1082,INDEX('Aub Demand'!K:K,MATCH($O1081,'Aub Demand'!$A:$A,0))-IF(AN1081="",0,AN1081)),"")</f>
        <v>1673</v>
      </c>
      <c r="S1081" s="53">
        <f t="shared" si="448"/>
        <v>65.8</v>
      </c>
      <c r="T1081" s="52" t="str">
        <f t="shared" si="449"/>
        <v/>
      </c>
      <c r="U1081" s="52">
        <f>IFERROR(IF(AR1082=AR1081,INDEX('Aub Demand'!Q:Q,MATCH($O1081,'Aub Demand'!$A:$A,0))-IF(AN1081="",0,AN1081)+AP1082,INDEX('Aub Demand'!Q:Q,MATCH($O1081,'Aub Demand'!$A:$A,0))-IF(AN1081="",0,AN1081)),"")</f>
        <v>1446</v>
      </c>
      <c r="V1081" s="53">
        <f t="shared" si="450"/>
        <v>56.9</v>
      </c>
      <c r="W1081" s="52" t="str">
        <f t="shared" si="451"/>
        <v/>
      </c>
      <c r="X1081" s="52">
        <f>IFERROR(IF(AND(AR1082=AR1081,AM1081&lt;&gt;""),INDEX('Aub Demand'!Q:Q,MATCH($O1081,'Aub Demand'!$A:$A,0))-IF(AN1081="",0,AN1081)+AP1082+AD1081+AL1081,IF(AR1082=AR1081,INDEX('Aub Demand'!Q:Q,MATCH($O1081,'Aub Demand'!$A:$A,0))-IF(AN1081="",0,AN1081)+AP1082+AD1081,IF(AM1081&lt;&gt;"",INDEX('Aub Demand'!Q:Q,MATCH($O1081,'Aub Demand'!$A:$A,0))-IF(AN1081="",0,AN1081)+AD1081+AL1081,INDEX('Aub Demand'!Q:Q,MATCH($O1081,'Aub Demand'!$A:$A,0))-IF(AN1081="",0,AN1081)+AD1081))),"")</f>
        <v>1446</v>
      </c>
      <c r="Y1081" s="53">
        <f t="shared" si="452"/>
        <v>56.9</v>
      </c>
      <c r="Z1081" s="52">
        <f>IF(L1081="","",INDEX('Aub Demand'!H:H,MATCH($O1081,'Aub Demand'!$A:$A,0)))</f>
        <v>109</v>
      </c>
      <c r="AA1081" s="52">
        <f t="shared" si="453"/>
        <v>163</v>
      </c>
      <c r="AB1081" s="52">
        <f>IFERROR(INDEX('Aub Demand'!L:L,MATCH($O1081,'Aub Demand'!$A:$A,0)),"")</f>
        <v>241</v>
      </c>
      <c r="AC1081" s="52">
        <f>IFERROR(IF(O1081="","",SUMIFS('CPL Mats'!F:F,'CPL Mats'!Q:Q,AR1081,'CPL Mats'!S:S,AS1081)),"")</f>
        <v>0</v>
      </c>
      <c r="AF1081" s="25">
        <f>IF(SUMIFS('Supp Consol'!S:S,'Supp Consol'!Y:Y,"Releasable",'Supp Consol'!A:A,O1081)=0,"",SUMIFS('Supp Consol'!S:S,'Supp Consol'!Y:Y,"Releasable",'Supp Consol'!A:A,O1081))</f>
        <v>644</v>
      </c>
      <c r="AG1081" s="25" t="str">
        <f>IFERROR(INDEX('Hun Demand'!Q:Q,MATCH(O1081,'Hun Demand'!A:A,0)),"")</f>
        <v/>
      </c>
      <c r="AH1081" s="25" t="str">
        <f>IFERROR(INDEX('Hun Demand'!H:H,MATCH($O1081,'Hun Demand'!$A:$A,0)),"")</f>
        <v/>
      </c>
      <c r="AI1081" s="25">
        <f>IF(SUMIFS('Supp Consol'!AA:AA,'Supp Consol'!Z:Z,"Expires this month",'Supp Consol'!A:A,O1081)=0,"",SUMIFS('Supp Consol'!AA:AA,'Supp Consol'!Z:Z,"Expires this month",'Supp Consol'!A:A,O1081))</f>
        <v>501</v>
      </c>
      <c r="AJ1081" s="25" t="str">
        <f>IF(SUMIFS('Supp Consol'!AA:AA,'Supp Consol'!Z:Z,"Expired Previous Months",'Supp Consol'!A:A,O1081)=0,"",SUMIFS('Supp Consol'!AA:AA,'Supp Consol'!Z:Z,"Expired Previous Months",'Supp Consol'!A:A,O1081))</f>
        <v/>
      </c>
      <c r="AK1081" s="25" t="str">
        <f>IFERROR(INDEX('Hun Release Current'!B:B,MATCH(O1081,'Hun Release Current'!A:A,0)),"")</f>
        <v/>
      </c>
      <c r="AL1081" s="25" t="str">
        <f>IF(SUMIF('Prev Aub'!A:A,O1081,'Prev Aub'!B:B)=0,"",SUMIF('Prev Aub'!A:A,O1081,'Prev Aub'!B:B))</f>
        <v/>
      </c>
      <c r="AN1081" s="25" t="s">
        <v>3790</v>
      </c>
      <c r="AO1081" s="25" t="s">
        <v>3790</v>
      </c>
      <c r="AP1081" s="25">
        <f t="shared" si="454"/>
        <v>0</v>
      </c>
      <c r="AQ1081" s="151" t="str">
        <f>IF(SUMIFS('Supp Consol'!S:S,'Supp Consol'!A:A,O1081,'Supp Consol'!I:I,"PENDING")=0,"",SUMIFS('Supp Consol'!S:S,'Supp Consol'!A:A,O1081,'Supp Consol'!I:I,"PENDING"))</f>
        <v/>
      </c>
      <c r="AR1081" s="27" t="str">
        <f t="shared" si="455"/>
        <v>SN284</v>
      </c>
      <c r="AS1081" s="27" t="str">
        <f t="shared" si="456"/>
        <v>50</v>
      </c>
      <c r="AT1081" s="27" t="str">
        <f t="shared" si="457"/>
        <v/>
      </c>
      <c r="AU1081" s="27" t="str">
        <f t="shared" si="458"/>
        <v/>
      </c>
      <c r="AV1081" s="27" t="str">
        <f t="shared" si="459"/>
        <v/>
      </c>
      <c r="AW1081" s="27" t="str">
        <f t="shared" si="460"/>
        <v>SN284</v>
      </c>
      <c r="AX1081" s="27" t="str">
        <f t="shared" si="461"/>
        <v>SN284</v>
      </c>
      <c r="AY1081" s="27" t="str">
        <f t="shared" si="462"/>
        <v/>
      </c>
      <c r="AZ1081" s="27" t="str">
        <f t="shared" si="463"/>
        <v>Supp</v>
      </c>
      <c r="BA1081" s="27" t="str">
        <f t="shared" si="464"/>
        <v/>
      </c>
      <c r="BB1081" s="27" t="str">
        <f t="shared" si="465"/>
        <v/>
      </c>
      <c r="BC1081" s="27" t="str">
        <f t="shared" si="466"/>
        <v/>
      </c>
      <c r="BD1081" s="27" t="str">
        <f t="shared" si="467"/>
        <v/>
      </c>
      <c r="BE1081" s="27" t="str">
        <f t="shared" si="468"/>
        <v>Exp</v>
      </c>
      <c r="BF1081" s="27" t="str">
        <f t="shared" si="469"/>
        <v/>
      </c>
      <c r="BG1081" s="27" t="str">
        <f t="shared" si="470"/>
        <v>S+NorE</v>
      </c>
      <c r="BH1081" s="27" t="str">
        <f t="shared" si="471"/>
        <v/>
      </c>
      <c r="BI1081" s="27" t="str">
        <f t="shared" si="472"/>
        <v/>
      </c>
      <c r="BJ1081" s="27" t="str">
        <f t="shared" si="473"/>
        <v>Supp or Hun</v>
      </c>
      <c r="BK1081" s="27" t="str">
        <f t="shared" si="474"/>
        <v/>
      </c>
      <c r="BL1081" s="27" t="str">
        <f t="shared" si="475"/>
        <v>SorHandNandE</v>
      </c>
      <c r="BM1081" s="21" t="s">
        <v>5581</v>
      </c>
    </row>
    <row r="1082" spans="1:65" ht="15">
      <c r="A1082" s="25">
        <f>IFERROR(INDEX('Hun Demand'!W:W,MATCH(O1082,'Hun Demand'!A:A,0)),"")</f>
        <v>0</v>
      </c>
      <c r="B1082" s="25">
        <f>IFERROR(INDEX('Hun Demand'!V:V,MATCH(O1082,'Hun Demand'!A:A,0)),"")</f>
        <v>0</v>
      </c>
      <c r="C1082" s="25">
        <f>IFERROR(INDEX('Hun Demand'!U:U,MATCH(O1082,'Hun Demand'!A:A,0)),"")</f>
        <v>0</v>
      </c>
      <c r="D1082" s="25">
        <f>IFERROR(INDEX('Hun Demand'!T:T,MATCH(O1082,'Hun Demand'!A:A,0)),"")</f>
        <v>0</v>
      </c>
      <c r="E1082" s="25">
        <f>IFERROR(INDEX('Hun Demand'!S:S,MATCH(O1082,'Hun Demand'!A:A,0)),"")</f>
        <v>195</v>
      </c>
      <c r="F1082" s="25">
        <f>IFERROR(INDEX('Hun Demand'!R:R,MATCH(O1082,'Hun Demand'!A:A,0)),"")</f>
        <v>0</v>
      </c>
      <c r="G1082" s="25">
        <f>IFERROR(INDEX('Aub Demand'!W:W,MATCH(O1082,'Aub Demand'!A:A,0)),"")</f>
        <v>193</v>
      </c>
      <c r="H1082" s="25">
        <f>IFERROR(INDEX('Aub Demand'!V:V,MATCH(O1082,'Aub Demand'!A:A,0)),"")</f>
        <v>0</v>
      </c>
      <c r="I1082" s="25">
        <f>IFERROR(INDEX('Aub Demand'!U:U,MATCH(O1082,'Aub Demand'!A:A,0)),"")</f>
        <v>0</v>
      </c>
      <c r="J1082" s="25">
        <f>IFERROR(INDEX('Aub Demand'!T:T,MATCH(O1082,'Aub Demand'!A:A,0)),"")</f>
        <v>286</v>
      </c>
      <c r="K1082" s="25">
        <f>IFERROR(INDEX('Aub Demand'!S:S,MATCH(O1082,'Aub Demand'!A:A,0)),"")</f>
        <v>156</v>
      </c>
      <c r="L1082" s="25">
        <f>IFERROR(INDEX('Aub Demand'!R:R,MATCH(O1082,'Aub Demand'!A:A,0)),"")</f>
        <v>0</v>
      </c>
      <c r="O1082" s="27" t="s">
        <v>2657</v>
      </c>
      <c r="P1082" s="27" t="str">
        <f>IFERROR(INDEX('Aub Demand'!B:B,MATCH($O1082,'Aub Demand'!$A:$A,0)),"")</f>
        <v>FOUNDRY 60"</v>
      </c>
      <c r="Q1082" s="27" t="str">
        <f>IFERROR(INDEX('Aub Demand'!C:C,MATCH($O1082,'Aub Demand'!$A:$A,0)),"")</f>
        <v>AHLST</v>
      </c>
      <c r="R1082" s="52">
        <f>IFERROR(IF(AR1083=AR1082,INDEX('Aub Demand'!K:K,MATCH($O1082,'Aub Demand'!$A:$A,0))-IF(AN1082="",0,AN1082)+AP1083,INDEX('Aub Demand'!K:K,MATCH($O1082,'Aub Demand'!$A:$A,0))-IF(AN1082="",0,AN1082)),"")</f>
        <v>194</v>
      </c>
      <c r="S1082" s="53">
        <f t="shared" si="448"/>
        <v>5.7</v>
      </c>
      <c r="T1082" s="52" t="str">
        <f t="shared" si="449"/>
        <v/>
      </c>
      <c r="U1082" s="52">
        <f>IFERROR(IF(AR1083=AR1082,INDEX('Aub Demand'!Q:Q,MATCH($O1082,'Aub Demand'!$A:$A,0))-IF(AN1082="",0,AN1082)+AP1083,INDEX('Aub Demand'!Q:Q,MATCH($O1082,'Aub Demand'!$A:$A,0))-IF(AN1082="",0,AN1082)),"")</f>
        <v>72</v>
      </c>
      <c r="V1082" s="53">
        <f t="shared" si="450"/>
        <v>2.1</v>
      </c>
      <c r="W1082" s="52">
        <f t="shared" si="451"/>
        <v>49.724999999999994</v>
      </c>
      <c r="X1082" s="52">
        <f>IFERROR(IF(AND(AR1083=AR1082,AM1082&lt;&gt;""),INDEX('Aub Demand'!Q:Q,MATCH($O1082,'Aub Demand'!$A:$A,0))-IF(AN1082="",0,AN1082)+AP1083+AD1082+AL1082,IF(AR1083=AR1082,INDEX('Aub Demand'!Q:Q,MATCH($O1082,'Aub Demand'!$A:$A,0))-IF(AN1082="",0,AN1082)+AP1083+AD1082,IF(AM1082&lt;&gt;"",INDEX('Aub Demand'!Q:Q,MATCH($O1082,'Aub Demand'!$A:$A,0))-IF(AN1082="",0,AN1082)+AD1082+AL1082,INDEX('Aub Demand'!Q:Q,MATCH($O1082,'Aub Demand'!$A:$A,0))-IF(AN1082="",0,AN1082)+AD1082))),"")</f>
        <v>572</v>
      </c>
      <c r="Y1082" s="53">
        <f t="shared" si="452"/>
        <v>16.7</v>
      </c>
      <c r="Z1082" s="52">
        <f>IF(L1082="","",INDEX('Aub Demand'!H:H,MATCH($O1082,'Aub Demand'!$A:$A,0)))</f>
        <v>147</v>
      </c>
      <c r="AA1082" s="52">
        <f t="shared" si="453"/>
        <v>221</v>
      </c>
      <c r="AB1082" s="52">
        <f>IFERROR(INDEX('Aub Demand'!L:L,MATCH($O1082,'Aub Demand'!$A:$A,0)),"")</f>
        <v>91</v>
      </c>
      <c r="AC1082" s="52">
        <f>IFERROR(IF(O1082="","",SUMIFS('CPL Mats'!F:F,'CPL Mats'!Q:Q,AR1082,'CPL Mats'!S:S,AS1082)),"")</f>
        <v>0</v>
      </c>
      <c r="AD1082" s="25">
        <v>500</v>
      </c>
      <c r="AE1082" s="52" t="s">
        <v>5583</v>
      </c>
      <c r="AF1082" s="25">
        <f>IF(SUMIFS('Supp Consol'!S:S,'Supp Consol'!Y:Y,"Releasable",'Supp Consol'!A:A,O1082)=0,"",SUMIFS('Supp Consol'!S:S,'Supp Consol'!Y:Y,"Releasable",'Supp Consol'!A:A,O1082))</f>
        <v>3699</v>
      </c>
      <c r="AG1082" s="25">
        <f>IFERROR(INDEX('Hun Demand'!Q:Q,MATCH(O1082,'Hun Demand'!A:A,0)),"")</f>
        <v>0</v>
      </c>
      <c r="AH1082" s="25">
        <f>IFERROR(INDEX('Hun Demand'!H:H,MATCH($O1082,'Hun Demand'!$A:$A,0)),"")</f>
        <v>65</v>
      </c>
      <c r="AI1082" s="25">
        <f>IF(SUMIFS('Supp Consol'!AA:AA,'Supp Consol'!Z:Z,"Expires this month",'Supp Consol'!A:A,O1082)=0,"",SUMIFS('Supp Consol'!AA:AA,'Supp Consol'!Z:Z,"Expires this month",'Supp Consol'!A:A,O1082))</f>
        <v>3699</v>
      </c>
      <c r="AJ1082" s="25" t="str">
        <f>IF(SUMIFS('Supp Consol'!AA:AA,'Supp Consol'!Z:Z,"Expired Previous Months",'Supp Consol'!A:A,O1082)=0,"",SUMIFS('Supp Consol'!AA:AA,'Supp Consol'!Z:Z,"Expired Previous Months",'Supp Consol'!A:A,O1082))</f>
        <v/>
      </c>
      <c r="AK1082" s="25" t="str">
        <f>IFERROR(INDEX('Hun Release Current'!B:B,MATCH(O1082,'Hun Release Current'!A:A,0)),"")</f>
        <v/>
      </c>
      <c r="AL1082" s="25" t="str">
        <f>IF(SUMIF('Prev Aub'!A:A,O1082,'Prev Aub'!B:B)=0,"",SUMIF('Prev Aub'!A:A,O1082,'Prev Aub'!B:B))</f>
        <v/>
      </c>
      <c r="AN1082" s="25" t="s">
        <v>3790</v>
      </c>
      <c r="AO1082" s="25" t="s">
        <v>3790</v>
      </c>
      <c r="AP1082" s="25">
        <f t="shared" si="454"/>
        <v>0</v>
      </c>
      <c r="AQ1082" s="151" t="str">
        <f>IF(SUMIFS('Supp Consol'!S:S,'Supp Consol'!A:A,O1082,'Supp Consol'!I:I,"PENDING")=0,"",SUMIFS('Supp Consol'!S:S,'Supp Consol'!A:A,O1082,'Supp Consol'!I:I,"PENDING"))</f>
        <v/>
      </c>
      <c r="AR1082" s="27" t="str">
        <f t="shared" si="455"/>
        <v>SN284</v>
      </c>
      <c r="AS1082" s="27" t="str">
        <f t="shared" si="456"/>
        <v>62</v>
      </c>
      <c r="AT1082" s="27" t="str">
        <f t="shared" si="457"/>
        <v/>
      </c>
      <c r="AU1082" s="27" t="str">
        <f t="shared" si="458"/>
        <v/>
      </c>
      <c r="AV1082" s="27" t="str">
        <f t="shared" si="459"/>
        <v/>
      </c>
      <c r="AW1082" s="27" t="str">
        <f t="shared" si="460"/>
        <v>SN284</v>
      </c>
      <c r="AX1082" s="27" t="str">
        <f t="shared" si="461"/>
        <v>SN284</v>
      </c>
      <c r="AY1082" s="27" t="str">
        <f t="shared" si="462"/>
        <v/>
      </c>
      <c r="AZ1082" s="27" t="str">
        <f t="shared" si="463"/>
        <v>Supp</v>
      </c>
      <c r="BA1082" s="27" t="str">
        <f t="shared" si="464"/>
        <v/>
      </c>
      <c r="BB1082" s="27" t="str">
        <f t="shared" si="465"/>
        <v/>
      </c>
      <c r="BC1082" s="27" t="str">
        <f t="shared" si="466"/>
        <v/>
      </c>
      <c r="BD1082" s="27" t="str">
        <f t="shared" si="467"/>
        <v/>
      </c>
      <c r="BE1082" s="27" t="str">
        <f t="shared" si="468"/>
        <v>Exp</v>
      </c>
      <c r="BF1082" s="27" t="str">
        <f t="shared" si="469"/>
        <v/>
      </c>
      <c r="BG1082" s="27" t="str">
        <f t="shared" si="470"/>
        <v>S+NorE</v>
      </c>
      <c r="BH1082" s="27" t="str">
        <f t="shared" si="471"/>
        <v/>
      </c>
      <c r="BI1082" s="27" t="str">
        <f t="shared" si="472"/>
        <v/>
      </c>
      <c r="BJ1082" s="27" t="str">
        <f t="shared" si="473"/>
        <v>Supp or Hun</v>
      </c>
      <c r="BK1082" s="27" t="str">
        <f t="shared" si="474"/>
        <v/>
      </c>
      <c r="BL1082" s="27" t="str">
        <f t="shared" si="475"/>
        <v>SorHandNandE</v>
      </c>
      <c r="BM1082" s="21" t="s">
        <v>5581</v>
      </c>
    </row>
    <row r="1083" spans="1:65" ht="15">
      <c r="A1083" s="25" t="str">
        <f>IFERROR(INDEX('Hun Demand'!W:W,MATCH(O1083,'Hun Demand'!A:A,0)),"")</f>
        <v/>
      </c>
      <c r="B1083" s="25" t="str">
        <f>IFERROR(INDEX('Hun Demand'!V:V,MATCH(O1083,'Hun Demand'!A:A,0)),"")</f>
        <v/>
      </c>
      <c r="C1083" s="25" t="str">
        <f>IFERROR(INDEX('Hun Demand'!U:U,MATCH(O1083,'Hun Demand'!A:A,0)),"")</f>
        <v/>
      </c>
      <c r="D1083" s="25" t="str">
        <f>IFERROR(INDEX('Hun Demand'!T:T,MATCH(O1083,'Hun Demand'!A:A,0)),"")</f>
        <v/>
      </c>
      <c r="E1083" s="25" t="str">
        <f>IFERROR(INDEX('Hun Demand'!S:S,MATCH(O1083,'Hun Demand'!A:A,0)),"")</f>
        <v/>
      </c>
      <c r="F1083" s="25" t="str">
        <f>IFERROR(INDEX('Hun Demand'!R:R,MATCH(O1083,'Hun Demand'!A:A,0)),"")</f>
        <v/>
      </c>
      <c r="G1083" s="25">
        <f>IFERROR(INDEX('Aub Demand'!W:W,MATCH(O1083,'Aub Demand'!A:A,0)),"")</f>
        <v>227</v>
      </c>
      <c r="H1083" s="25">
        <f>IFERROR(INDEX('Aub Demand'!V:V,MATCH(O1083,'Aub Demand'!A:A,0)),"")</f>
        <v>92</v>
      </c>
      <c r="I1083" s="25">
        <f>IFERROR(INDEX('Aub Demand'!U:U,MATCH(O1083,'Aub Demand'!A:A,0)),"")</f>
        <v>80</v>
      </c>
      <c r="J1083" s="25">
        <f>IFERROR(INDEX('Aub Demand'!T:T,MATCH(O1083,'Aub Demand'!A:A,0)),"")</f>
        <v>124</v>
      </c>
      <c r="K1083" s="25">
        <f>IFERROR(INDEX('Aub Demand'!S:S,MATCH(O1083,'Aub Demand'!A:A,0)),"")</f>
        <v>352</v>
      </c>
      <c r="L1083" s="25">
        <f>IFERROR(INDEX('Aub Demand'!R:R,MATCH(O1083,'Aub Demand'!A:A,0)),"")</f>
        <v>0</v>
      </c>
      <c r="O1083" s="27" t="s">
        <v>2659</v>
      </c>
      <c r="P1083" s="27" t="str">
        <f>IFERROR(INDEX('Aub Demand'!B:B,MATCH($O1083,'Aub Demand'!$A:$A,0)),"")</f>
        <v>JUTE 48"</v>
      </c>
      <c r="Q1083" s="27" t="str">
        <f>IFERROR(INDEX('Aub Demand'!C:C,MATCH($O1083,'Aub Demand'!$A:$A,0)),"")</f>
        <v>ONYX</v>
      </c>
      <c r="R1083" s="52">
        <f>IFERROR(IF(AR1084=AR1083,INDEX('Aub Demand'!K:K,MATCH($O1083,'Aub Demand'!$A:$A,0))-IF(AN1083="",0,AN1083)+AP1084,INDEX('Aub Demand'!K:K,MATCH($O1083,'Aub Demand'!$A:$A,0))-IF(AN1083="",0,AN1083)),"")</f>
        <v>1430</v>
      </c>
      <c r="S1083" s="53">
        <f t="shared" si="448"/>
        <v>33.1</v>
      </c>
      <c r="T1083" s="52" t="str">
        <f t="shared" si="449"/>
        <v/>
      </c>
      <c r="U1083" s="52">
        <f>IFERROR(IF(AR1084=AR1083,INDEX('Aub Demand'!Q:Q,MATCH($O1083,'Aub Demand'!$A:$A,0))-IF(AN1083="",0,AN1083)+AP1084,INDEX('Aub Demand'!Q:Q,MATCH($O1083,'Aub Demand'!$A:$A,0))-IF(AN1083="",0,AN1083)),"")</f>
        <v>1228</v>
      </c>
      <c r="V1083" s="53">
        <f t="shared" si="450"/>
        <v>28.4</v>
      </c>
      <c r="W1083" s="52" t="str">
        <f t="shared" si="451"/>
        <v/>
      </c>
      <c r="X1083" s="52">
        <f>IFERROR(IF(AND(AR1084=AR1083,AM1083&lt;&gt;""),INDEX('Aub Demand'!Q:Q,MATCH($O1083,'Aub Demand'!$A:$A,0))-IF(AN1083="",0,AN1083)+AP1084+AD1083+AL1083,IF(AR1084=AR1083,INDEX('Aub Demand'!Q:Q,MATCH($O1083,'Aub Demand'!$A:$A,0))-IF(AN1083="",0,AN1083)+AP1084+AD1083,IF(AM1083&lt;&gt;"",INDEX('Aub Demand'!Q:Q,MATCH($O1083,'Aub Demand'!$A:$A,0))-IF(AN1083="",0,AN1083)+AD1083+AL1083,INDEX('Aub Demand'!Q:Q,MATCH($O1083,'Aub Demand'!$A:$A,0))-IF(AN1083="",0,AN1083)+AD1083))),"")</f>
        <v>1228</v>
      </c>
      <c r="Y1083" s="53">
        <f t="shared" si="452"/>
        <v>28.4</v>
      </c>
      <c r="Z1083" s="52">
        <f>IF(L1083="","",INDEX('Aub Demand'!H:H,MATCH($O1083,'Aub Demand'!$A:$A,0)))</f>
        <v>185</v>
      </c>
      <c r="AA1083" s="52">
        <f t="shared" si="453"/>
        <v>238</v>
      </c>
      <c r="AB1083" s="52">
        <f>IFERROR(INDEX('Aub Demand'!L:L,MATCH($O1083,'Aub Demand'!$A:$A,0)),"")</f>
        <v>108</v>
      </c>
      <c r="AC1083" s="52">
        <f>IFERROR(IF(O1083="","",SUMIFS('CPL Mats'!F:F,'CPL Mats'!Q:Q,AR1083,'CPL Mats'!S:S,AS1083)),"")</f>
        <v>0</v>
      </c>
      <c r="AF1083" s="25" t="str">
        <f>IF(SUMIFS('Supp Consol'!S:S,'Supp Consol'!Y:Y,"Releasable",'Supp Consol'!A:A,O1083)=0,"",SUMIFS('Supp Consol'!S:S,'Supp Consol'!Y:Y,"Releasable",'Supp Consol'!A:A,O1083))</f>
        <v/>
      </c>
      <c r="AG1083" s="25" t="str">
        <f>IFERROR(INDEX('Hun Demand'!Q:Q,MATCH(O1083,'Hun Demand'!A:A,0)),"")</f>
        <v/>
      </c>
      <c r="AH1083" s="25" t="str">
        <f>IFERROR(INDEX('Hun Demand'!H:H,MATCH($O1083,'Hun Demand'!$A:$A,0)),"")</f>
        <v/>
      </c>
      <c r="AI1083" s="25" t="str">
        <f>IF(SUMIFS('Supp Consol'!AA:AA,'Supp Consol'!Z:Z,"Expires this month",'Supp Consol'!A:A,O1083)=0,"",SUMIFS('Supp Consol'!AA:AA,'Supp Consol'!Z:Z,"Expires this month",'Supp Consol'!A:A,O1083))</f>
        <v/>
      </c>
      <c r="AJ1083" s="25" t="str">
        <f>IF(SUMIFS('Supp Consol'!AA:AA,'Supp Consol'!Z:Z,"Expired Previous Months",'Supp Consol'!A:A,O1083)=0,"",SUMIFS('Supp Consol'!AA:AA,'Supp Consol'!Z:Z,"Expired Previous Months",'Supp Consol'!A:A,O1083))</f>
        <v/>
      </c>
      <c r="AK1083" s="25" t="str">
        <f>IFERROR(INDEX('Hun Release Current'!B:B,MATCH(O1083,'Hun Release Current'!A:A,0)),"")</f>
        <v/>
      </c>
      <c r="AL1083" s="25" t="str">
        <f>IF(SUMIF('Prev Aub'!A:A,O1083,'Prev Aub'!B:B)=0,"",SUMIF('Prev Aub'!A:A,O1083,'Prev Aub'!B:B))</f>
        <v/>
      </c>
      <c r="AN1083" s="25" t="s">
        <v>3790</v>
      </c>
      <c r="AO1083" s="25" t="s">
        <v>3790</v>
      </c>
      <c r="AP1083" s="25">
        <f t="shared" si="454"/>
        <v>0</v>
      </c>
      <c r="AQ1083" s="151" t="str">
        <f>IF(SUMIFS('Supp Consol'!S:S,'Supp Consol'!A:A,O1083,'Supp Consol'!I:I,"PENDING")=0,"",SUMIFS('Supp Consol'!S:S,'Supp Consol'!A:A,O1083,'Supp Consol'!I:I,"PENDING"))</f>
        <v/>
      </c>
      <c r="AR1083" s="27" t="str">
        <f t="shared" si="455"/>
        <v>SN286</v>
      </c>
      <c r="AS1083" s="27" t="str">
        <f t="shared" si="456"/>
        <v>50</v>
      </c>
      <c r="AT1083" s="27" t="str">
        <f t="shared" si="457"/>
        <v/>
      </c>
      <c r="AU1083" s="27" t="str">
        <f t="shared" si="458"/>
        <v/>
      </c>
      <c r="AV1083" s="27" t="str">
        <f t="shared" si="459"/>
        <v/>
      </c>
      <c r="AW1083" s="27" t="str">
        <f t="shared" si="460"/>
        <v/>
      </c>
      <c r="AX1083" s="27" t="str">
        <f t="shared" si="461"/>
        <v/>
      </c>
      <c r="AY1083" s="27" t="str">
        <f t="shared" si="462"/>
        <v/>
      </c>
      <c r="AZ1083" s="27" t="str">
        <f t="shared" si="463"/>
        <v/>
      </c>
      <c r="BA1083" s="27" t="str">
        <f t="shared" si="464"/>
        <v/>
      </c>
      <c r="BB1083" s="27" t="str">
        <f t="shared" si="465"/>
        <v/>
      </c>
      <c r="BC1083" s="27" t="str">
        <f t="shared" si="466"/>
        <v/>
      </c>
      <c r="BD1083" s="27" t="str">
        <f t="shared" si="467"/>
        <v/>
      </c>
      <c r="BE1083" s="27" t="str">
        <f t="shared" si="468"/>
        <v/>
      </c>
      <c r="BF1083" s="27" t="str">
        <f t="shared" si="469"/>
        <v/>
      </c>
      <c r="BG1083" s="27" t="str">
        <f t="shared" si="470"/>
        <v/>
      </c>
      <c r="BH1083" s="27" t="str">
        <f t="shared" si="471"/>
        <v/>
      </c>
      <c r="BI1083" s="27" t="str">
        <f t="shared" si="472"/>
        <v/>
      </c>
      <c r="BJ1083" s="27" t="str">
        <f t="shared" si="473"/>
        <v/>
      </c>
      <c r="BK1083" s="27" t="str">
        <f t="shared" si="474"/>
        <v/>
      </c>
      <c r="BL1083" s="27" t="str">
        <f t="shared" si="475"/>
        <v/>
      </c>
      <c r="BM1083" s="21" t="s">
        <v>5581</v>
      </c>
    </row>
    <row r="1084" spans="1:65" ht="15">
      <c r="A1084" s="25" t="str">
        <f>IFERROR(INDEX('Hun Demand'!W:W,MATCH(O1084,'Hun Demand'!A:A,0)),"")</f>
        <v/>
      </c>
      <c r="B1084" s="25" t="str">
        <f>IFERROR(INDEX('Hun Demand'!V:V,MATCH(O1084,'Hun Demand'!A:A,0)),"")</f>
        <v/>
      </c>
      <c r="C1084" s="25" t="str">
        <f>IFERROR(INDEX('Hun Demand'!U:U,MATCH(O1084,'Hun Demand'!A:A,0)),"")</f>
        <v/>
      </c>
      <c r="D1084" s="25" t="str">
        <f>IFERROR(INDEX('Hun Demand'!T:T,MATCH(O1084,'Hun Demand'!A:A,0)),"")</f>
        <v/>
      </c>
      <c r="E1084" s="25" t="str">
        <f>IFERROR(INDEX('Hun Demand'!S:S,MATCH(O1084,'Hun Demand'!A:A,0)),"")</f>
        <v/>
      </c>
      <c r="F1084" s="25" t="str">
        <f>IFERROR(INDEX('Hun Demand'!R:R,MATCH(O1084,'Hun Demand'!A:A,0)),"")</f>
        <v/>
      </c>
      <c r="G1084" s="25">
        <f>IFERROR(INDEX('Aub Demand'!W:W,MATCH(O1084,'Aub Demand'!A:A,0)),"")</f>
        <v>0</v>
      </c>
      <c r="H1084" s="25">
        <f>IFERROR(INDEX('Aub Demand'!V:V,MATCH(O1084,'Aub Demand'!A:A,0)),"")</f>
        <v>26</v>
      </c>
      <c r="I1084" s="25">
        <f>IFERROR(INDEX('Aub Demand'!U:U,MATCH(O1084,'Aub Demand'!A:A,0)),"")</f>
        <v>0</v>
      </c>
      <c r="J1084" s="25">
        <f>IFERROR(INDEX('Aub Demand'!T:T,MATCH(O1084,'Aub Demand'!A:A,0)),"")</f>
        <v>118</v>
      </c>
      <c r="K1084" s="25">
        <f>IFERROR(INDEX('Aub Demand'!S:S,MATCH(O1084,'Aub Demand'!A:A,0)),"")</f>
        <v>33</v>
      </c>
      <c r="L1084" s="25">
        <f>IFERROR(INDEX('Aub Demand'!R:R,MATCH(O1084,'Aub Demand'!A:A,0)),"")</f>
        <v>0</v>
      </c>
      <c r="O1084" s="27" t="s">
        <v>2662</v>
      </c>
      <c r="P1084" s="27" t="str">
        <f>IFERROR(INDEX('Aub Demand'!B:B,MATCH($O1084,'Aub Demand'!$A:$A,0)),"")</f>
        <v>JUTE 60"</v>
      </c>
      <c r="Q1084" s="27" t="str">
        <f>IFERROR(INDEX('Aub Demand'!C:C,MATCH($O1084,'Aub Demand'!$A:$A,0)),"")</f>
        <v>ONYX</v>
      </c>
      <c r="R1084" s="52">
        <f>IFERROR(IF(AR1085=AR1084,INDEX('Aub Demand'!K:K,MATCH($O1084,'Aub Demand'!$A:$A,0))-IF(AN1084="",0,AN1084)+AP1085,INDEX('Aub Demand'!K:K,MATCH($O1084,'Aub Demand'!$A:$A,0))-IF(AN1084="",0,AN1084)),"")</f>
        <v>2031</v>
      </c>
      <c r="S1084" s="53">
        <f t="shared" si="448"/>
        <v>174.1</v>
      </c>
      <c r="T1084" s="52" t="str">
        <f t="shared" si="449"/>
        <v/>
      </c>
      <c r="U1084" s="52">
        <f>IFERROR(IF(AR1085=AR1084,INDEX('Aub Demand'!Q:Q,MATCH($O1084,'Aub Demand'!$A:$A,0))-IF(AN1084="",0,AN1084)+AP1085,INDEX('Aub Demand'!Q:Q,MATCH($O1084,'Aub Demand'!$A:$A,0))-IF(AN1084="",0,AN1084)),"")</f>
        <v>2031</v>
      </c>
      <c r="V1084" s="53">
        <f t="shared" si="450"/>
        <v>174.1</v>
      </c>
      <c r="W1084" s="52" t="str">
        <f t="shared" si="451"/>
        <v/>
      </c>
      <c r="X1084" s="52">
        <f>IFERROR(IF(AND(AR1085=AR1084,AM1084&lt;&gt;""),INDEX('Aub Demand'!Q:Q,MATCH($O1084,'Aub Demand'!$A:$A,0))-IF(AN1084="",0,AN1084)+AP1085+AD1084+AL1084,IF(AR1085=AR1084,INDEX('Aub Demand'!Q:Q,MATCH($O1084,'Aub Demand'!$A:$A,0))-IF(AN1084="",0,AN1084)+AP1085+AD1084,IF(AM1084&lt;&gt;"",INDEX('Aub Demand'!Q:Q,MATCH($O1084,'Aub Demand'!$A:$A,0))-IF(AN1084="",0,AN1084)+AD1084+AL1084,INDEX('Aub Demand'!Q:Q,MATCH($O1084,'Aub Demand'!$A:$A,0))-IF(AN1084="",0,AN1084)+AD1084))),"")</f>
        <v>2031</v>
      </c>
      <c r="Y1084" s="53">
        <f t="shared" si="452"/>
        <v>174.1</v>
      </c>
      <c r="Z1084" s="52">
        <f>IF(L1084="","",INDEX('Aub Demand'!H:H,MATCH($O1084,'Aub Demand'!$A:$A,0)))</f>
        <v>50</v>
      </c>
      <c r="AA1084" s="52">
        <f t="shared" si="453"/>
        <v>75.5</v>
      </c>
      <c r="AB1084" s="52">
        <f>IFERROR(INDEX('Aub Demand'!L:L,MATCH($O1084,'Aub Demand'!$A:$A,0)),"")</f>
        <v>24</v>
      </c>
      <c r="AC1084" s="52">
        <f>IFERROR(IF(O1084="","",SUMIFS('CPL Mats'!F:F,'CPL Mats'!Q:Q,AR1084,'CPL Mats'!S:S,AS1084)),"")</f>
        <v>0</v>
      </c>
      <c r="AF1084" s="25" t="str">
        <f>IF(SUMIFS('Supp Consol'!S:S,'Supp Consol'!Y:Y,"Releasable",'Supp Consol'!A:A,O1084)=0,"",SUMIFS('Supp Consol'!S:S,'Supp Consol'!Y:Y,"Releasable",'Supp Consol'!A:A,O1084))</f>
        <v/>
      </c>
      <c r="AG1084" s="25" t="str">
        <f>IFERROR(INDEX('Hun Demand'!Q:Q,MATCH(O1084,'Hun Demand'!A:A,0)),"")</f>
        <v/>
      </c>
      <c r="AH1084" s="25" t="str">
        <f>IFERROR(INDEX('Hun Demand'!H:H,MATCH($O1084,'Hun Demand'!$A:$A,0)),"")</f>
        <v/>
      </c>
      <c r="AI1084" s="25" t="str">
        <f>IF(SUMIFS('Supp Consol'!AA:AA,'Supp Consol'!Z:Z,"Expires this month",'Supp Consol'!A:A,O1084)=0,"",SUMIFS('Supp Consol'!AA:AA,'Supp Consol'!Z:Z,"Expires this month",'Supp Consol'!A:A,O1084))</f>
        <v/>
      </c>
      <c r="AJ1084" s="25" t="str">
        <f>IF(SUMIFS('Supp Consol'!AA:AA,'Supp Consol'!Z:Z,"Expired Previous Months",'Supp Consol'!A:A,O1084)=0,"",SUMIFS('Supp Consol'!AA:AA,'Supp Consol'!Z:Z,"Expired Previous Months",'Supp Consol'!A:A,O1084))</f>
        <v/>
      </c>
      <c r="AK1084" s="25" t="str">
        <f>IFERROR(INDEX('Hun Release Current'!B:B,MATCH(O1084,'Hun Release Current'!A:A,0)),"")</f>
        <v/>
      </c>
      <c r="AL1084" s="25" t="str">
        <f>IF(SUMIF('Prev Aub'!A:A,O1084,'Prev Aub'!B:B)=0,"",SUMIF('Prev Aub'!A:A,O1084,'Prev Aub'!B:B))</f>
        <v/>
      </c>
      <c r="AN1084" s="25" t="s">
        <v>3790</v>
      </c>
      <c r="AO1084" s="25" t="s">
        <v>3790</v>
      </c>
      <c r="AP1084" s="25">
        <f t="shared" si="454"/>
        <v>0</v>
      </c>
      <c r="AQ1084" s="151" t="str">
        <f>IF(SUMIFS('Supp Consol'!S:S,'Supp Consol'!A:A,O1084,'Supp Consol'!I:I,"PENDING")=0,"",SUMIFS('Supp Consol'!S:S,'Supp Consol'!A:A,O1084,'Supp Consol'!I:I,"PENDING"))</f>
        <v/>
      </c>
      <c r="AR1084" s="27" t="str">
        <f t="shared" si="455"/>
        <v>SN286</v>
      </c>
      <c r="AS1084" s="27" t="str">
        <f t="shared" si="456"/>
        <v>62</v>
      </c>
      <c r="AT1084" s="27" t="str">
        <f t="shared" si="457"/>
        <v/>
      </c>
      <c r="AU1084" s="27" t="str">
        <f t="shared" si="458"/>
        <v/>
      </c>
      <c r="AV1084" s="27" t="str">
        <f t="shared" si="459"/>
        <v/>
      </c>
      <c r="AW1084" s="27" t="str">
        <f t="shared" si="460"/>
        <v/>
      </c>
      <c r="AX1084" s="27" t="str">
        <f t="shared" si="461"/>
        <v/>
      </c>
      <c r="AY1084" s="27" t="str">
        <f t="shared" si="462"/>
        <v/>
      </c>
      <c r="AZ1084" s="27" t="str">
        <f t="shared" si="463"/>
        <v/>
      </c>
      <c r="BA1084" s="27" t="str">
        <f t="shared" si="464"/>
        <v/>
      </c>
      <c r="BB1084" s="27" t="str">
        <f t="shared" si="465"/>
        <v/>
      </c>
      <c r="BC1084" s="27" t="str">
        <f t="shared" si="466"/>
        <v/>
      </c>
      <c r="BD1084" s="27" t="str">
        <f t="shared" si="467"/>
        <v/>
      </c>
      <c r="BE1084" s="27" t="str">
        <f t="shared" si="468"/>
        <v/>
      </c>
      <c r="BF1084" s="27" t="str">
        <f t="shared" si="469"/>
        <v/>
      </c>
      <c r="BG1084" s="27" t="str">
        <f t="shared" si="470"/>
        <v/>
      </c>
      <c r="BH1084" s="27" t="str">
        <f t="shared" si="471"/>
        <v/>
      </c>
      <c r="BI1084" s="27" t="str">
        <f t="shared" si="472"/>
        <v/>
      </c>
      <c r="BJ1084" s="27" t="str">
        <f t="shared" si="473"/>
        <v/>
      </c>
      <c r="BK1084" s="27" t="str">
        <f t="shared" si="474"/>
        <v/>
      </c>
      <c r="BL1084" s="27" t="str">
        <f t="shared" si="475"/>
        <v/>
      </c>
      <c r="BM1084" s="21" t="s">
        <v>5581</v>
      </c>
    </row>
    <row r="1085" spans="1:65" ht="15">
      <c r="A1085" s="25" t="str">
        <f>IFERROR(INDEX('Hun Demand'!W:W,MATCH(O1085,'Hun Demand'!A:A,0)),"")</f>
        <v/>
      </c>
      <c r="B1085" s="25" t="str">
        <f>IFERROR(INDEX('Hun Demand'!V:V,MATCH(O1085,'Hun Demand'!A:A,0)),"")</f>
        <v/>
      </c>
      <c r="C1085" s="25" t="str">
        <f>IFERROR(INDEX('Hun Demand'!U:U,MATCH(O1085,'Hun Demand'!A:A,0)),"")</f>
        <v/>
      </c>
      <c r="D1085" s="25" t="str">
        <f>IFERROR(INDEX('Hun Demand'!T:T,MATCH(O1085,'Hun Demand'!A:A,0)),"")</f>
        <v/>
      </c>
      <c r="E1085" s="25" t="str">
        <f>IFERROR(INDEX('Hun Demand'!S:S,MATCH(O1085,'Hun Demand'!A:A,0)),"")</f>
        <v/>
      </c>
      <c r="F1085" s="25" t="str">
        <f>IFERROR(INDEX('Hun Demand'!R:R,MATCH(O1085,'Hun Demand'!A:A,0)),"")</f>
        <v/>
      </c>
      <c r="G1085" s="25">
        <f>IFERROR(INDEX('Aub Demand'!W:W,MATCH(O1085,'Aub Demand'!A:A,0)),"")</f>
        <v>142</v>
      </c>
      <c r="H1085" s="25">
        <f>IFERROR(INDEX('Aub Demand'!V:V,MATCH(O1085,'Aub Demand'!A:A,0)),"")</f>
        <v>24</v>
      </c>
      <c r="I1085" s="25">
        <f>IFERROR(INDEX('Aub Demand'!U:U,MATCH(O1085,'Aub Demand'!A:A,0)),"")</f>
        <v>164</v>
      </c>
      <c r="J1085" s="25">
        <f>IFERROR(INDEX('Aub Demand'!T:T,MATCH(O1085,'Aub Demand'!A:A,0)),"")</f>
        <v>0</v>
      </c>
      <c r="K1085" s="25">
        <f>IFERROR(INDEX('Aub Demand'!S:S,MATCH(O1085,'Aub Demand'!A:A,0)),"")</f>
        <v>0</v>
      </c>
      <c r="L1085" s="25">
        <f>IFERROR(INDEX('Aub Demand'!R:R,MATCH(O1085,'Aub Demand'!A:A,0)),"")</f>
        <v>0</v>
      </c>
      <c r="O1085" s="27" t="s">
        <v>2664</v>
      </c>
      <c r="P1085" s="27" t="str">
        <f>IFERROR(INDEX('Aub Demand'!B:B,MATCH($O1085,'Aub Demand'!$A:$A,0)),"")</f>
        <v>SANDCASTLE 48"</v>
      </c>
      <c r="Q1085" s="27" t="str">
        <f>IFERROR(INDEX('Aub Demand'!C:C,MATCH($O1085,'Aub Demand'!$A:$A,0)),"")</f>
        <v>ONYX</v>
      </c>
      <c r="R1085" s="52">
        <f>IFERROR(IF(AR1086=AR1085,INDEX('Aub Demand'!K:K,MATCH($O1085,'Aub Demand'!$A:$A,0))-IF(AN1085="",0,AN1085)+AP1086,INDEX('Aub Demand'!K:K,MATCH($O1085,'Aub Demand'!$A:$A,0))-IF(AN1085="",0,AN1085)),"")</f>
        <v>1627</v>
      </c>
      <c r="S1085" s="53">
        <f t="shared" si="448"/>
        <v>126.8</v>
      </c>
      <c r="T1085" s="52" t="str">
        <f t="shared" si="449"/>
        <v/>
      </c>
      <c r="U1085" s="52">
        <f>IFERROR(IF(AR1086=AR1085,INDEX('Aub Demand'!Q:Q,MATCH($O1085,'Aub Demand'!$A:$A,0))-IF(AN1085="",0,AN1085)+AP1086,INDEX('Aub Demand'!Q:Q,MATCH($O1085,'Aub Demand'!$A:$A,0))-IF(AN1085="",0,AN1085)),"")</f>
        <v>1597</v>
      </c>
      <c r="V1085" s="53">
        <f t="shared" si="450"/>
        <v>124.4</v>
      </c>
      <c r="W1085" s="52" t="str">
        <f t="shared" si="451"/>
        <v/>
      </c>
      <c r="X1085" s="52">
        <f>IFERROR(IF(AND(AR1086=AR1085,AM1085&lt;&gt;""),INDEX('Aub Demand'!Q:Q,MATCH($O1085,'Aub Demand'!$A:$A,0))-IF(AN1085="",0,AN1085)+AP1086+AD1085+AL1085,IF(AR1086=AR1085,INDEX('Aub Demand'!Q:Q,MATCH($O1085,'Aub Demand'!$A:$A,0))-IF(AN1085="",0,AN1085)+AP1086+AD1085,IF(AM1085&lt;&gt;"",INDEX('Aub Demand'!Q:Q,MATCH($O1085,'Aub Demand'!$A:$A,0))-IF(AN1085="",0,AN1085)+AD1085+AL1085,INDEX('Aub Demand'!Q:Q,MATCH($O1085,'Aub Demand'!$A:$A,0))-IF(AN1085="",0,AN1085)+AD1085))),"")</f>
        <v>1597</v>
      </c>
      <c r="Y1085" s="53">
        <f t="shared" si="452"/>
        <v>124.4</v>
      </c>
      <c r="Z1085" s="52">
        <f>IF(L1085="","",INDEX('Aub Demand'!H:H,MATCH($O1085,'Aub Demand'!$A:$A,0)))</f>
        <v>55</v>
      </c>
      <c r="AA1085" s="52" t="str">
        <f t="shared" si="453"/>
        <v>-spike-</v>
      </c>
      <c r="AB1085" s="52">
        <f>IFERROR(INDEX('Aub Demand'!L:L,MATCH($O1085,'Aub Demand'!$A:$A,0)),"")</f>
        <v>147</v>
      </c>
      <c r="AC1085" s="52">
        <f>IFERROR(IF(O1085="","",SUMIFS('CPL Mats'!F:F,'CPL Mats'!Q:Q,AR1085,'CPL Mats'!S:S,AS1085)),"")</f>
        <v>0</v>
      </c>
      <c r="AF1085" s="25" t="str">
        <f>IF(SUMIFS('Supp Consol'!S:S,'Supp Consol'!Y:Y,"Releasable",'Supp Consol'!A:A,O1085)=0,"",SUMIFS('Supp Consol'!S:S,'Supp Consol'!Y:Y,"Releasable",'Supp Consol'!A:A,O1085))</f>
        <v/>
      </c>
      <c r="AG1085" s="25" t="str">
        <f>IFERROR(INDEX('Hun Demand'!Q:Q,MATCH(O1085,'Hun Demand'!A:A,0)),"")</f>
        <v/>
      </c>
      <c r="AH1085" s="25" t="str">
        <f>IFERROR(INDEX('Hun Demand'!H:H,MATCH($O1085,'Hun Demand'!$A:$A,0)),"")</f>
        <v/>
      </c>
      <c r="AI1085" s="25" t="str">
        <f>IF(SUMIFS('Supp Consol'!AA:AA,'Supp Consol'!Z:Z,"Expires this month",'Supp Consol'!A:A,O1085)=0,"",SUMIFS('Supp Consol'!AA:AA,'Supp Consol'!Z:Z,"Expires this month",'Supp Consol'!A:A,O1085))</f>
        <v/>
      </c>
      <c r="AJ1085" s="25" t="str">
        <f>IF(SUMIFS('Supp Consol'!AA:AA,'Supp Consol'!Z:Z,"Expired Previous Months",'Supp Consol'!A:A,O1085)=0,"",SUMIFS('Supp Consol'!AA:AA,'Supp Consol'!Z:Z,"Expired Previous Months",'Supp Consol'!A:A,O1085))</f>
        <v/>
      </c>
      <c r="AK1085" s="25" t="str">
        <f>IFERROR(INDEX('Hun Release Current'!B:B,MATCH(O1085,'Hun Release Current'!A:A,0)),"")</f>
        <v/>
      </c>
      <c r="AL1085" s="25" t="str">
        <f>IF(SUMIF('Prev Aub'!A:A,O1085,'Prev Aub'!B:B)=0,"",SUMIF('Prev Aub'!A:A,O1085,'Prev Aub'!B:B))</f>
        <v/>
      </c>
      <c r="AN1085" s="25" t="s">
        <v>3790</v>
      </c>
      <c r="AO1085" s="25" t="s">
        <v>3790</v>
      </c>
      <c r="AP1085" s="25">
        <f t="shared" si="454"/>
        <v>0</v>
      </c>
      <c r="AQ1085" s="151" t="str">
        <f>IF(SUMIFS('Supp Consol'!S:S,'Supp Consol'!A:A,O1085,'Supp Consol'!I:I,"PENDING")=0,"",SUMIFS('Supp Consol'!S:S,'Supp Consol'!A:A,O1085,'Supp Consol'!I:I,"PENDING"))</f>
        <v/>
      </c>
      <c r="AR1085" s="27" t="str">
        <f t="shared" si="455"/>
        <v>SN293</v>
      </c>
      <c r="AS1085" s="27" t="str">
        <f t="shared" si="456"/>
        <v>50</v>
      </c>
      <c r="AT1085" s="27" t="str">
        <f t="shared" si="457"/>
        <v/>
      </c>
      <c r="AU1085" s="27" t="str">
        <f t="shared" si="458"/>
        <v/>
      </c>
      <c r="AV1085" s="27" t="str">
        <f t="shared" si="459"/>
        <v/>
      </c>
      <c r="AW1085" s="27" t="str">
        <f t="shared" si="460"/>
        <v/>
      </c>
      <c r="AX1085" s="27" t="str">
        <f t="shared" si="461"/>
        <v/>
      </c>
      <c r="AY1085" s="27" t="str">
        <f t="shared" si="462"/>
        <v/>
      </c>
      <c r="AZ1085" s="27" t="str">
        <f t="shared" si="463"/>
        <v/>
      </c>
      <c r="BA1085" s="27" t="str">
        <f t="shared" si="464"/>
        <v/>
      </c>
      <c r="BB1085" s="27" t="str">
        <f t="shared" si="465"/>
        <v/>
      </c>
      <c r="BC1085" s="27" t="str">
        <f t="shared" si="466"/>
        <v/>
      </c>
      <c r="BD1085" s="27" t="str">
        <f t="shared" si="467"/>
        <v/>
      </c>
      <c r="BE1085" s="27" t="str">
        <f t="shared" si="468"/>
        <v/>
      </c>
      <c r="BF1085" s="27" t="str">
        <f t="shared" si="469"/>
        <v/>
      </c>
      <c r="BG1085" s="27" t="str">
        <f t="shared" si="470"/>
        <v/>
      </c>
      <c r="BH1085" s="27" t="str">
        <f t="shared" si="471"/>
        <v/>
      </c>
      <c r="BI1085" s="27" t="str">
        <f t="shared" si="472"/>
        <v/>
      </c>
      <c r="BJ1085" s="27" t="str">
        <f t="shared" si="473"/>
        <v/>
      </c>
      <c r="BK1085" s="27" t="str">
        <f t="shared" si="474"/>
        <v/>
      </c>
      <c r="BL1085" s="27" t="str">
        <f t="shared" si="475"/>
        <v/>
      </c>
      <c r="BM1085" s="21" t="s">
        <v>5581</v>
      </c>
    </row>
    <row r="1086" spans="1:65" ht="15">
      <c r="A1086" s="25" t="str">
        <f>IFERROR(INDEX('Hun Demand'!W:W,MATCH(O1086,'Hun Demand'!A:A,0)),"")</f>
        <v/>
      </c>
      <c r="B1086" s="25" t="str">
        <f>IFERROR(INDEX('Hun Demand'!V:V,MATCH(O1086,'Hun Demand'!A:A,0)),"")</f>
        <v/>
      </c>
      <c r="C1086" s="25" t="str">
        <f>IFERROR(INDEX('Hun Demand'!U:U,MATCH(O1086,'Hun Demand'!A:A,0)),"")</f>
        <v/>
      </c>
      <c r="D1086" s="25" t="str">
        <f>IFERROR(INDEX('Hun Demand'!T:T,MATCH(O1086,'Hun Demand'!A:A,0)),"")</f>
        <v/>
      </c>
      <c r="E1086" s="25" t="str">
        <f>IFERROR(INDEX('Hun Demand'!S:S,MATCH(O1086,'Hun Demand'!A:A,0)),"")</f>
        <v/>
      </c>
      <c r="F1086" s="25" t="str">
        <f>IFERROR(INDEX('Hun Demand'!R:R,MATCH(O1086,'Hun Demand'!A:A,0)),"")</f>
        <v/>
      </c>
      <c r="G1086" s="25">
        <f>IFERROR(INDEX('Aub Demand'!W:W,MATCH(O1086,'Aub Demand'!A:A,0)),"")</f>
        <v>66</v>
      </c>
      <c r="H1086" s="25">
        <f>IFERROR(INDEX('Aub Demand'!V:V,MATCH(O1086,'Aub Demand'!A:A,0)),"")</f>
        <v>72</v>
      </c>
      <c r="I1086" s="25">
        <f>IFERROR(INDEX('Aub Demand'!U:U,MATCH(O1086,'Aub Demand'!A:A,0)),"")</f>
        <v>65</v>
      </c>
      <c r="J1086" s="25">
        <f>IFERROR(INDEX('Aub Demand'!T:T,MATCH(O1086,'Aub Demand'!A:A,0)),"")</f>
        <v>45</v>
      </c>
      <c r="K1086" s="25">
        <f>IFERROR(INDEX('Aub Demand'!S:S,MATCH(O1086,'Aub Demand'!A:A,0)),"")</f>
        <v>0</v>
      </c>
      <c r="L1086" s="25">
        <f>IFERROR(INDEX('Aub Demand'!R:R,MATCH(O1086,'Aub Demand'!A:A,0)),"")</f>
        <v>50</v>
      </c>
      <c r="O1086" s="27" t="s">
        <v>2667</v>
      </c>
      <c r="P1086" s="27" t="str">
        <f>IFERROR(INDEX('Aub Demand'!B:B,MATCH($O1086,'Aub Demand'!$A:$A,0)),"")</f>
        <v>SANDCASTLE 62"</v>
      </c>
      <c r="Q1086" s="27" t="str">
        <f>IFERROR(INDEX('Aub Demand'!C:C,MATCH($O1086,'Aub Demand'!$A:$A,0)),"")</f>
        <v>ONYX</v>
      </c>
      <c r="R1086" s="52">
        <f>IFERROR(IF(AR1087=AR1086,INDEX('Aub Demand'!K:K,MATCH($O1086,'Aub Demand'!$A:$A,0))-IF(AN1086="",0,AN1086)+AP1087,INDEX('Aub Demand'!K:K,MATCH($O1086,'Aub Demand'!$A:$A,0))-IF(AN1086="",0,AN1086)),"")</f>
        <v>2175</v>
      </c>
      <c r="S1086" s="53">
        <f t="shared" si="448"/>
        <v>251.9</v>
      </c>
      <c r="T1086" s="52" t="str">
        <f t="shared" si="449"/>
        <v/>
      </c>
      <c r="U1086" s="52">
        <f>IFERROR(IF(AR1087=AR1086,INDEX('Aub Demand'!Q:Q,MATCH($O1086,'Aub Demand'!$A:$A,0))-IF(AN1086="",0,AN1086)+AP1087,INDEX('Aub Demand'!Q:Q,MATCH($O1086,'Aub Demand'!$A:$A,0))-IF(AN1086="",0,AN1086)),"")</f>
        <v>2137</v>
      </c>
      <c r="V1086" s="53">
        <f t="shared" si="450"/>
        <v>247.5</v>
      </c>
      <c r="W1086" s="52" t="str">
        <f t="shared" si="451"/>
        <v/>
      </c>
      <c r="X1086" s="52">
        <f>IFERROR(IF(AND(AR1087=AR1086,AM1086&lt;&gt;""),INDEX('Aub Demand'!Q:Q,MATCH($O1086,'Aub Demand'!$A:$A,0))-IF(AN1086="",0,AN1086)+AP1087+AD1086+AL1086,IF(AR1087=AR1086,INDEX('Aub Demand'!Q:Q,MATCH($O1086,'Aub Demand'!$A:$A,0))-IF(AN1086="",0,AN1086)+AP1087+AD1086,IF(AM1086&lt;&gt;"",INDEX('Aub Demand'!Q:Q,MATCH($O1086,'Aub Demand'!$A:$A,0))-IF(AN1086="",0,AN1086)+AD1086+AL1086,INDEX('Aub Demand'!Q:Q,MATCH($O1086,'Aub Demand'!$A:$A,0))-IF(AN1086="",0,AN1086)+AD1086))),"")</f>
        <v>2137</v>
      </c>
      <c r="Y1086" s="53">
        <f t="shared" si="452"/>
        <v>247.5</v>
      </c>
      <c r="Z1086" s="52">
        <f>IF(L1086="","",INDEX('Aub Demand'!H:H,MATCH($O1086,'Aub Demand'!$A:$A,0)))</f>
        <v>37</v>
      </c>
      <c r="AA1086" s="52">
        <f t="shared" si="453"/>
        <v>57.5</v>
      </c>
      <c r="AB1086" s="52">
        <f>IFERROR(INDEX('Aub Demand'!L:L,MATCH($O1086,'Aub Demand'!$A:$A,0)),"")</f>
        <v>184</v>
      </c>
      <c r="AC1086" s="52">
        <f>IFERROR(IF(O1086="","",SUMIFS('CPL Mats'!F:F,'CPL Mats'!Q:Q,AR1086,'CPL Mats'!S:S,AS1086)),"")</f>
        <v>0</v>
      </c>
      <c r="AF1086" s="25" t="str">
        <f>IF(SUMIFS('Supp Consol'!S:S,'Supp Consol'!Y:Y,"Releasable",'Supp Consol'!A:A,O1086)=0,"",SUMIFS('Supp Consol'!S:S,'Supp Consol'!Y:Y,"Releasable",'Supp Consol'!A:A,O1086))</f>
        <v/>
      </c>
      <c r="AG1086" s="25" t="str">
        <f>IFERROR(INDEX('Hun Demand'!Q:Q,MATCH(O1086,'Hun Demand'!A:A,0)),"")</f>
        <v/>
      </c>
      <c r="AH1086" s="25" t="str">
        <f>IFERROR(INDEX('Hun Demand'!H:H,MATCH($O1086,'Hun Demand'!$A:$A,0)),"")</f>
        <v/>
      </c>
      <c r="AI1086" s="25" t="str">
        <f>IF(SUMIFS('Supp Consol'!AA:AA,'Supp Consol'!Z:Z,"Expires this month",'Supp Consol'!A:A,O1086)=0,"",SUMIFS('Supp Consol'!AA:AA,'Supp Consol'!Z:Z,"Expires this month",'Supp Consol'!A:A,O1086))</f>
        <v/>
      </c>
      <c r="AJ1086" s="25" t="str">
        <f>IF(SUMIFS('Supp Consol'!AA:AA,'Supp Consol'!Z:Z,"Expired Previous Months",'Supp Consol'!A:A,O1086)=0,"",SUMIFS('Supp Consol'!AA:AA,'Supp Consol'!Z:Z,"Expired Previous Months",'Supp Consol'!A:A,O1086))</f>
        <v/>
      </c>
      <c r="AK1086" s="25" t="str">
        <f>IFERROR(INDEX('Hun Release Current'!B:B,MATCH(O1086,'Hun Release Current'!A:A,0)),"")</f>
        <v/>
      </c>
      <c r="AL1086" s="25" t="str">
        <f>IF(SUMIF('Prev Aub'!A:A,O1086,'Prev Aub'!B:B)=0,"",SUMIF('Prev Aub'!A:A,O1086,'Prev Aub'!B:B))</f>
        <v/>
      </c>
      <c r="AN1086" s="25" t="s">
        <v>3790</v>
      </c>
      <c r="AO1086" s="25" t="s">
        <v>3790</v>
      </c>
      <c r="AP1086" s="25">
        <f t="shared" si="454"/>
        <v>0</v>
      </c>
      <c r="AQ1086" s="151" t="str">
        <f>IF(SUMIFS('Supp Consol'!S:S,'Supp Consol'!A:A,O1086,'Supp Consol'!I:I,"PENDING")=0,"",SUMIFS('Supp Consol'!S:S,'Supp Consol'!A:A,O1086,'Supp Consol'!I:I,"PENDING"))</f>
        <v/>
      </c>
      <c r="AR1086" s="27" t="str">
        <f t="shared" si="455"/>
        <v>SN293</v>
      </c>
      <c r="AS1086" s="27" t="str">
        <f t="shared" si="456"/>
        <v>62</v>
      </c>
      <c r="AT1086" s="27" t="str">
        <f t="shared" si="457"/>
        <v/>
      </c>
      <c r="AU1086" s="27" t="str">
        <f t="shared" si="458"/>
        <v/>
      </c>
      <c r="AV1086" s="27" t="str">
        <f t="shared" si="459"/>
        <v/>
      </c>
      <c r="AW1086" s="27" t="str">
        <f t="shared" si="460"/>
        <v/>
      </c>
      <c r="AX1086" s="27" t="str">
        <f t="shared" si="461"/>
        <v/>
      </c>
      <c r="AY1086" s="27" t="str">
        <f t="shared" si="462"/>
        <v/>
      </c>
      <c r="AZ1086" s="27" t="str">
        <f t="shared" si="463"/>
        <v/>
      </c>
      <c r="BA1086" s="27" t="str">
        <f t="shared" si="464"/>
        <v/>
      </c>
      <c r="BB1086" s="27" t="str">
        <f t="shared" si="465"/>
        <v/>
      </c>
      <c r="BC1086" s="27" t="str">
        <f t="shared" si="466"/>
        <v/>
      </c>
      <c r="BD1086" s="27" t="str">
        <f t="shared" si="467"/>
        <v/>
      </c>
      <c r="BE1086" s="27" t="str">
        <f t="shared" si="468"/>
        <v/>
      </c>
      <c r="BF1086" s="27" t="str">
        <f t="shared" si="469"/>
        <v/>
      </c>
      <c r="BG1086" s="27" t="str">
        <f t="shared" si="470"/>
        <v/>
      </c>
      <c r="BH1086" s="27" t="str">
        <f t="shared" si="471"/>
        <v/>
      </c>
      <c r="BI1086" s="27" t="str">
        <f t="shared" si="472"/>
        <v/>
      </c>
      <c r="BJ1086" s="27" t="str">
        <f t="shared" si="473"/>
        <v/>
      </c>
      <c r="BK1086" s="27" t="str">
        <f t="shared" si="474"/>
        <v/>
      </c>
      <c r="BL1086" s="27" t="str">
        <f t="shared" si="475"/>
        <v/>
      </c>
      <c r="BM1086" s="21" t="s">
        <v>5581</v>
      </c>
    </row>
    <row r="1087" spans="1:65" ht="15">
      <c r="A1087" s="25" t="str">
        <f>IFERROR(INDEX('Hun Demand'!W:W,MATCH(O1087,'Hun Demand'!A:A,0)),"")</f>
        <v/>
      </c>
      <c r="B1087" s="25" t="str">
        <f>IFERROR(INDEX('Hun Demand'!V:V,MATCH(O1087,'Hun Demand'!A:A,0)),"")</f>
        <v/>
      </c>
      <c r="C1087" s="25" t="str">
        <f>IFERROR(INDEX('Hun Demand'!U:U,MATCH(O1087,'Hun Demand'!A:A,0)),"")</f>
        <v/>
      </c>
      <c r="D1087" s="25" t="str">
        <f>IFERROR(INDEX('Hun Demand'!T:T,MATCH(O1087,'Hun Demand'!A:A,0)),"")</f>
        <v/>
      </c>
      <c r="E1087" s="25" t="str">
        <f>IFERROR(INDEX('Hun Demand'!S:S,MATCH(O1087,'Hun Demand'!A:A,0)),"")</f>
        <v/>
      </c>
      <c r="F1087" s="25" t="str">
        <f>IFERROR(INDEX('Hun Demand'!R:R,MATCH(O1087,'Hun Demand'!A:A,0)),"")</f>
        <v/>
      </c>
      <c r="G1087" s="25">
        <f>IFERROR(INDEX('Aub Demand'!W:W,MATCH(O1087,'Aub Demand'!A:A,0)),"")</f>
        <v>0</v>
      </c>
      <c r="H1087" s="25">
        <f>IFERROR(INDEX('Aub Demand'!V:V,MATCH(O1087,'Aub Demand'!A:A,0)),"")</f>
        <v>0</v>
      </c>
      <c r="I1087" s="25">
        <f>IFERROR(INDEX('Aub Demand'!U:U,MATCH(O1087,'Aub Demand'!A:A,0)),"")</f>
        <v>0</v>
      </c>
      <c r="J1087" s="25">
        <f>IFERROR(INDEX('Aub Demand'!T:T,MATCH(O1087,'Aub Demand'!A:A,0)),"")</f>
        <v>0</v>
      </c>
      <c r="K1087" s="25">
        <f>IFERROR(INDEX('Aub Demand'!S:S,MATCH(O1087,'Aub Demand'!A:A,0)),"")</f>
        <v>0</v>
      </c>
      <c r="L1087" s="25">
        <f>IFERROR(INDEX('Aub Demand'!R:R,MATCH(O1087,'Aub Demand'!A:A,0)),"")</f>
        <v>0</v>
      </c>
      <c r="O1087" s="27" t="s">
        <v>6181</v>
      </c>
      <c r="P1087" s="27" t="str">
        <f>IFERROR(INDEX('Aub Demand'!B:B,MATCH($O1087,'Aub Demand'!$A:$A,0)),"")</f>
        <v>BITTERSWEET</v>
      </c>
      <c r="Q1087" s="27" t="str">
        <f>IFERROR(INDEX('Aub Demand'!C:C,MATCH($O1087,'Aub Demand'!$A:$A,0)),"")</f>
        <v>ONYX</v>
      </c>
      <c r="R1087" s="52">
        <f>IFERROR(IF(AR1088=AR1087,INDEX('Aub Demand'!K:K,MATCH($O1087,'Aub Demand'!$A:$A,0))-IF(AN1087="",0,AN1087)+AP1088,INDEX('Aub Demand'!K:K,MATCH($O1087,'Aub Demand'!$A:$A,0))-IF(AN1087="",0,AN1087)),"")</f>
        <v>0</v>
      </c>
      <c r="S1087" s="53" t="str">
        <f t="shared" si="448"/>
        <v>n/a</v>
      </c>
      <c r="T1087" s="52" t="str">
        <f t="shared" si="449"/>
        <v/>
      </c>
      <c r="U1087" s="52">
        <f>IFERROR(IF(AR1088=AR1087,INDEX('Aub Demand'!Q:Q,MATCH($O1087,'Aub Demand'!$A:$A,0))-IF(AN1087="",0,AN1087)+AP1088,INDEX('Aub Demand'!Q:Q,MATCH($O1087,'Aub Demand'!$A:$A,0))-IF(AN1087="",0,AN1087)),"")</f>
        <v>-1</v>
      </c>
      <c r="V1087" s="53" t="str">
        <f t="shared" si="450"/>
        <v>n/a</v>
      </c>
      <c r="W1087" s="52" t="str">
        <f t="shared" si="451"/>
        <v/>
      </c>
      <c r="X1087" s="52">
        <f>IFERROR(IF(AND(AR1088=AR1087,AM1087&lt;&gt;""),INDEX('Aub Demand'!Q:Q,MATCH($O1087,'Aub Demand'!$A:$A,0))-IF(AN1087="",0,AN1087)+AP1088+AD1087+AL1087,IF(AR1088=AR1087,INDEX('Aub Demand'!Q:Q,MATCH($O1087,'Aub Demand'!$A:$A,0))-IF(AN1087="",0,AN1087)+AP1088+AD1087,IF(AM1087&lt;&gt;"",INDEX('Aub Demand'!Q:Q,MATCH($O1087,'Aub Demand'!$A:$A,0))-IF(AN1087="",0,AN1087)+AD1087+AL1087,INDEX('Aub Demand'!Q:Q,MATCH($O1087,'Aub Demand'!$A:$A,0))-IF(AN1087="",0,AN1087)+AD1087))),"")</f>
        <v>-1</v>
      </c>
      <c r="Y1087" s="53" t="str">
        <f t="shared" si="452"/>
        <v>n/a</v>
      </c>
      <c r="Z1087" s="52">
        <f>IF(L1087="","",INDEX('Aub Demand'!H:H,MATCH($O1087,'Aub Demand'!$A:$A,0)))</f>
        <v>0</v>
      </c>
      <c r="AA1087" s="52" t="str">
        <f t="shared" si="453"/>
        <v>-spike-</v>
      </c>
      <c r="AB1087" s="52">
        <f>IFERROR(INDEX('Aub Demand'!L:L,MATCH($O1087,'Aub Demand'!$A:$A,0)),"")</f>
        <v>3</v>
      </c>
      <c r="AC1087" s="52">
        <f>IFERROR(IF(O1087="","",SUMIFS('CPL Mats'!F:F,'CPL Mats'!Q:Q,AR1087,'CPL Mats'!S:S,AS1087)),"")</f>
        <v>0</v>
      </c>
      <c r="AF1087" s="25" t="str">
        <f>IF(SUMIFS('Supp Consol'!S:S,'Supp Consol'!Y:Y,"Releasable",'Supp Consol'!A:A,O1087)=0,"",SUMIFS('Supp Consol'!S:S,'Supp Consol'!Y:Y,"Releasable",'Supp Consol'!A:A,O1087))</f>
        <v/>
      </c>
      <c r="AG1087" s="25" t="str">
        <f>IFERROR(INDEX('Hun Demand'!Q:Q,MATCH(O1087,'Hun Demand'!A:A,0)),"")</f>
        <v/>
      </c>
      <c r="AH1087" s="25" t="str">
        <f>IFERROR(INDEX('Hun Demand'!H:H,MATCH($O1087,'Hun Demand'!$A:$A,0)),"")</f>
        <v/>
      </c>
      <c r="AI1087" s="25" t="str">
        <f>IF(SUMIFS('Supp Consol'!AA:AA,'Supp Consol'!Z:Z,"Expires this month",'Supp Consol'!A:A,O1087)=0,"",SUMIFS('Supp Consol'!AA:AA,'Supp Consol'!Z:Z,"Expires this month",'Supp Consol'!A:A,O1087))</f>
        <v/>
      </c>
      <c r="AJ1087" s="25" t="str">
        <f>IF(SUMIFS('Supp Consol'!AA:AA,'Supp Consol'!Z:Z,"Expired Previous Months",'Supp Consol'!A:A,O1087)=0,"",SUMIFS('Supp Consol'!AA:AA,'Supp Consol'!Z:Z,"Expired Previous Months",'Supp Consol'!A:A,O1087))</f>
        <v/>
      </c>
      <c r="AK1087" s="25" t="str">
        <f>IFERROR(INDEX('Hun Release Current'!B:B,MATCH(O1087,'Hun Release Current'!A:A,0)),"")</f>
        <v/>
      </c>
      <c r="AL1087" s="25" t="str">
        <f>IF(SUMIF('Prev Aub'!A:A,O1087,'Prev Aub'!B:B)=0,"",SUMIF('Prev Aub'!A:A,O1087,'Prev Aub'!B:B))</f>
        <v/>
      </c>
      <c r="AN1087" s="25" t="s">
        <v>3790</v>
      </c>
      <c r="AO1087" s="25" t="s">
        <v>3790</v>
      </c>
      <c r="AP1087" s="25">
        <f t="shared" si="454"/>
        <v>0</v>
      </c>
      <c r="AQ1087" s="151" t="str">
        <f>IF(SUMIFS('Supp Consol'!S:S,'Supp Consol'!A:A,O1087,'Supp Consol'!I:I,"PENDING")=0,"",SUMIFS('Supp Consol'!S:S,'Supp Consol'!A:A,O1087,'Supp Consol'!I:I,"PENDING"))</f>
        <v/>
      </c>
      <c r="AR1087" s="27" t="str">
        <f t="shared" si="455"/>
        <v>SO312</v>
      </c>
      <c r="AS1087" s="27" t="str">
        <f t="shared" si="456"/>
        <v>37</v>
      </c>
      <c r="AT1087" s="27" t="str">
        <f t="shared" si="457"/>
        <v/>
      </c>
      <c r="AU1087" s="27" t="str">
        <f t="shared" si="458"/>
        <v/>
      </c>
      <c r="AV1087" s="27" t="str">
        <f t="shared" si="459"/>
        <v/>
      </c>
      <c r="AW1087" s="27" t="str">
        <f t="shared" si="460"/>
        <v/>
      </c>
      <c r="AX1087" s="27" t="str">
        <f t="shared" si="461"/>
        <v/>
      </c>
      <c r="AY1087" s="27" t="str">
        <f t="shared" si="462"/>
        <v/>
      </c>
      <c r="AZ1087" s="27" t="str">
        <f t="shared" si="463"/>
        <v/>
      </c>
      <c r="BA1087" s="27" t="str">
        <f t="shared" si="464"/>
        <v/>
      </c>
      <c r="BB1087" s="27" t="str">
        <f t="shared" si="465"/>
        <v/>
      </c>
      <c r="BC1087" s="27" t="str">
        <f t="shared" si="466"/>
        <v/>
      </c>
      <c r="BD1087" s="27" t="str">
        <f t="shared" si="467"/>
        <v/>
      </c>
      <c r="BE1087" s="27" t="str">
        <f t="shared" si="468"/>
        <v/>
      </c>
      <c r="BF1087" s="27" t="str">
        <f t="shared" si="469"/>
        <v/>
      </c>
      <c r="BG1087" s="27" t="str">
        <f t="shared" si="470"/>
        <v/>
      </c>
      <c r="BH1087" s="27" t="str">
        <f t="shared" si="471"/>
        <v/>
      </c>
      <c r="BI1087" s="27" t="str">
        <f t="shared" si="472"/>
        <v/>
      </c>
      <c r="BJ1087" s="27" t="str">
        <f t="shared" si="473"/>
        <v/>
      </c>
      <c r="BK1087" s="27" t="str">
        <f t="shared" si="474"/>
        <v/>
      </c>
      <c r="BL1087" s="27" t="str">
        <f t="shared" si="475"/>
        <v/>
      </c>
      <c r="BM1087" s="21" t="s">
        <v>3790</v>
      </c>
    </row>
    <row r="1088" spans="1:65" ht="15">
      <c r="A1088" s="25" t="str">
        <f>IFERROR(INDEX('Hun Demand'!W:W,MATCH(O1088,'Hun Demand'!A:A,0)),"")</f>
        <v/>
      </c>
      <c r="B1088" s="25" t="str">
        <f>IFERROR(INDEX('Hun Demand'!V:V,MATCH(O1088,'Hun Demand'!A:A,0)),"")</f>
        <v/>
      </c>
      <c r="C1088" s="25" t="str">
        <f>IFERROR(INDEX('Hun Demand'!U:U,MATCH(O1088,'Hun Demand'!A:A,0)),"")</f>
        <v/>
      </c>
      <c r="D1088" s="25" t="str">
        <f>IFERROR(INDEX('Hun Demand'!T:T,MATCH(O1088,'Hun Demand'!A:A,0)),"")</f>
        <v/>
      </c>
      <c r="E1088" s="25" t="str">
        <f>IFERROR(INDEX('Hun Demand'!S:S,MATCH(O1088,'Hun Demand'!A:A,0)),"")</f>
        <v/>
      </c>
      <c r="F1088" s="25" t="str">
        <f>IFERROR(INDEX('Hun Demand'!R:R,MATCH(O1088,'Hun Demand'!A:A,0)),"")</f>
        <v/>
      </c>
      <c r="G1088" s="25">
        <f>IFERROR(INDEX('Aub Demand'!W:W,MATCH(O1088,'Aub Demand'!A:A,0)),"")</f>
        <v>0</v>
      </c>
      <c r="H1088" s="25">
        <f>IFERROR(INDEX('Aub Demand'!V:V,MATCH(O1088,'Aub Demand'!A:A,0)),"")</f>
        <v>0</v>
      </c>
      <c r="I1088" s="25">
        <f>IFERROR(INDEX('Aub Demand'!U:U,MATCH(O1088,'Aub Demand'!A:A,0)),"")</f>
        <v>77</v>
      </c>
      <c r="J1088" s="25">
        <f>IFERROR(INDEX('Aub Demand'!T:T,MATCH(O1088,'Aub Demand'!A:A,0)),"")</f>
        <v>0</v>
      </c>
      <c r="K1088" s="25">
        <f>IFERROR(INDEX('Aub Demand'!S:S,MATCH(O1088,'Aub Demand'!A:A,0)),"")</f>
        <v>0</v>
      </c>
      <c r="L1088" s="25">
        <f>IFERROR(INDEX('Aub Demand'!R:R,MATCH(O1088,'Aub Demand'!A:A,0)),"")</f>
        <v>0</v>
      </c>
      <c r="O1088" s="27" t="s">
        <v>1464</v>
      </c>
      <c r="P1088" s="27" t="str">
        <f>IFERROR(INDEX('Aub Demand'!B:B,MATCH($O1088,'Aub Demand'!$A:$A,0)),"")</f>
        <v>BITTERSWEET</v>
      </c>
      <c r="Q1088" s="27" t="str">
        <f>IFERROR(INDEX('Aub Demand'!C:C,MATCH($O1088,'Aub Demand'!$A:$A,0)),"")</f>
        <v>ONYX</v>
      </c>
      <c r="R1088" s="52">
        <f>IFERROR(IF(AR1089=AR1088,INDEX('Aub Demand'!K:K,MATCH($O1088,'Aub Demand'!$A:$A,0))-IF(AN1088="",0,AN1088)+AP1089,INDEX('Aub Demand'!K:K,MATCH($O1088,'Aub Demand'!$A:$A,0))-IF(AN1088="",0,AN1088)),"")</f>
        <v>1543</v>
      </c>
      <c r="S1088" s="53">
        <f t="shared" si="448"/>
        <v>254.3</v>
      </c>
      <c r="T1088" s="52" t="str">
        <f t="shared" si="449"/>
        <v/>
      </c>
      <c r="U1088" s="52">
        <f>IFERROR(IF(AR1089=AR1088,INDEX('Aub Demand'!Q:Q,MATCH($O1088,'Aub Demand'!$A:$A,0))-IF(AN1088="",0,AN1088)+AP1089,INDEX('Aub Demand'!Q:Q,MATCH($O1088,'Aub Demand'!$A:$A,0))-IF(AN1088="",0,AN1088)),"")</f>
        <v>1491</v>
      </c>
      <c r="V1088" s="53">
        <f t="shared" si="450"/>
        <v>245.8</v>
      </c>
      <c r="W1088" s="52" t="str">
        <f t="shared" si="451"/>
        <v/>
      </c>
      <c r="X1088" s="52">
        <f>IFERROR(IF(AND(AR1089=AR1088,AM1088&lt;&gt;""),INDEX('Aub Demand'!Q:Q,MATCH($O1088,'Aub Demand'!$A:$A,0))-IF(AN1088="",0,AN1088)+AP1089+AD1088+AL1088,IF(AR1089=AR1088,INDEX('Aub Demand'!Q:Q,MATCH($O1088,'Aub Demand'!$A:$A,0))-IF(AN1088="",0,AN1088)+AP1089+AD1088,IF(AM1088&lt;&gt;"",INDEX('Aub Demand'!Q:Q,MATCH($O1088,'Aub Demand'!$A:$A,0))-IF(AN1088="",0,AN1088)+AD1088+AL1088,INDEX('Aub Demand'!Q:Q,MATCH($O1088,'Aub Demand'!$A:$A,0))-IF(AN1088="",0,AN1088)+AD1088))),"")</f>
        <v>1491</v>
      </c>
      <c r="Y1088" s="53">
        <f t="shared" si="452"/>
        <v>245.8</v>
      </c>
      <c r="Z1088" s="52">
        <f>IF(L1088="","",INDEX('Aub Demand'!H:H,MATCH($O1088,'Aub Demand'!$A:$A,0)))</f>
        <v>26</v>
      </c>
      <c r="AA1088" s="52" t="str">
        <f t="shared" si="453"/>
        <v>-spike-</v>
      </c>
      <c r="AB1088" s="52">
        <f>IFERROR(INDEX('Aub Demand'!L:L,MATCH($O1088,'Aub Demand'!$A:$A,0)),"")</f>
        <v>13</v>
      </c>
      <c r="AC1088" s="52">
        <f>IFERROR(IF(O1088="","",SUMIFS('CPL Mats'!F:F,'CPL Mats'!Q:Q,AR1088,'CPL Mats'!S:S,AS1088)),"")</f>
        <v>0</v>
      </c>
      <c r="AF1088" s="25" t="str">
        <f>IF(SUMIFS('Supp Consol'!S:S,'Supp Consol'!Y:Y,"Releasable",'Supp Consol'!A:A,O1088)=0,"",SUMIFS('Supp Consol'!S:S,'Supp Consol'!Y:Y,"Releasable",'Supp Consol'!A:A,O1088))</f>
        <v/>
      </c>
      <c r="AG1088" s="25" t="str">
        <f>IFERROR(INDEX('Hun Demand'!Q:Q,MATCH(O1088,'Hun Demand'!A:A,0)),"")</f>
        <v/>
      </c>
      <c r="AH1088" s="25" t="str">
        <f>IFERROR(INDEX('Hun Demand'!H:H,MATCH($O1088,'Hun Demand'!$A:$A,0)),"")</f>
        <v/>
      </c>
      <c r="AI1088" s="25" t="str">
        <f>IF(SUMIFS('Supp Consol'!AA:AA,'Supp Consol'!Z:Z,"Expires this month",'Supp Consol'!A:A,O1088)=0,"",SUMIFS('Supp Consol'!AA:AA,'Supp Consol'!Z:Z,"Expires this month",'Supp Consol'!A:A,O1088))</f>
        <v/>
      </c>
      <c r="AJ1088" s="25" t="str">
        <f>IF(SUMIFS('Supp Consol'!AA:AA,'Supp Consol'!Z:Z,"Expired Previous Months",'Supp Consol'!A:A,O1088)=0,"",SUMIFS('Supp Consol'!AA:AA,'Supp Consol'!Z:Z,"Expired Previous Months",'Supp Consol'!A:A,O1088))</f>
        <v/>
      </c>
      <c r="AK1088" s="25" t="str">
        <f>IFERROR(INDEX('Hun Release Current'!B:B,MATCH(O1088,'Hun Release Current'!A:A,0)),"")</f>
        <v/>
      </c>
      <c r="AL1088" s="25" t="str">
        <f>IF(SUMIF('Prev Aub'!A:A,O1088,'Prev Aub'!B:B)=0,"",SUMIF('Prev Aub'!A:A,O1088,'Prev Aub'!B:B))</f>
        <v/>
      </c>
      <c r="AN1088" s="25" t="s">
        <v>3790</v>
      </c>
      <c r="AO1088" s="25" t="s">
        <v>3790</v>
      </c>
      <c r="AP1088" s="25">
        <f t="shared" si="454"/>
        <v>0</v>
      </c>
      <c r="AQ1088" s="151" t="str">
        <f>IF(SUMIFS('Supp Consol'!S:S,'Supp Consol'!A:A,O1088,'Supp Consol'!I:I,"PENDING")=0,"",SUMIFS('Supp Consol'!S:S,'Supp Consol'!A:A,O1088,'Supp Consol'!I:I,"PENDING"))</f>
        <v/>
      </c>
      <c r="AR1088" s="27" t="str">
        <f t="shared" si="455"/>
        <v>SO312</v>
      </c>
      <c r="AS1088" s="27" t="str">
        <f t="shared" si="456"/>
        <v>50</v>
      </c>
      <c r="AT1088" s="27" t="str">
        <f t="shared" si="457"/>
        <v/>
      </c>
      <c r="AU1088" s="27" t="str">
        <f t="shared" si="458"/>
        <v/>
      </c>
      <c r="AV1088" s="27" t="str">
        <f t="shared" si="459"/>
        <v/>
      </c>
      <c r="AW1088" s="27" t="str">
        <f t="shared" si="460"/>
        <v/>
      </c>
      <c r="AX1088" s="27" t="str">
        <f t="shared" si="461"/>
        <v/>
      </c>
      <c r="AY1088" s="27" t="str">
        <f t="shared" si="462"/>
        <v/>
      </c>
      <c r="AZ1088" s="27" t="str">
        <f t="shared" si="463"/>
        <v/>
      </c>
      <c r="BA1088" s="27" t="str">
        <f t="shared" si="464"/>
        <v/>
      </c>
      <c r="BB1088" s="27" t="str">
        <f t="shared" si="465"/>
        <v/>
      </c>
      <c r="BC1088" s="27" t="str">
        <f t="shared" si="466"/>
        <v/>
      </c>
      <c r="BD1088" s="27" t="str">
        <f t="shared" si="467"/>
        <v/>
      </c>
      <c r="BE1088" s="27" t="str">
        <f t="shared" si="468"/>
        <v/>
      </c>
      <c r="BF1088" s="27" t="str">
        <f t="shared" si="469"/>
        <v/>
      </c>
      <c r="BG1088" s="27" t="str">
        <f t="shared" si="470"/>
        <v/>
      </c>
      <c r="BH1088" s="27" t="str">
        <f t="shared" si="471"/>
        <v/>
      </c>
      <c r="BI1088" s="27" t="str">
        <f t="shared" si="472"/>
        <v/>
      </c>
      <c r="BJ1088" s="27" t="str">
        <f t="shared" si="473"/>
        <v/>
      </c>
      <c r="BK1088" s="27" t="str">
        <f t="shared" si="474"/>
        <v/>
      </c>
      <c r="BL1088" s="27" t="str">
        <f t="shared" si="475"/>
        <v/>
      </c>
      <c r="BM1088" s="21" t="s">
        <v>5581</v>
      </c>
    </row>
    <row r="1089" spans="1:65" ht="15">
      <c r="A1089" s="25" t="str">
        <f>IFERROR(INDEX('Hun Demand'!W:W,MATCH(O1089,'Hun Demand'!A:A,0)),"")</f>
        <v/>
      </c>
      <c r="B1089" s="25" t="str">
        <f>IFERROR(INDEX('Hun Demand'!V:V,MATCH(O1089,'Hun Demand'!A:A,0)),"")</f>
        <v/>
      </c>
      <c r="C1089" s="25" t="str">
        <f>IFERROR(INDEX('Hun Demand'!U:U,MATCH(O1089,'Hun Demand'!A:A,0)),"")</f>
        <v/>
      </c>
      <c r="D1089" s="25" t="str">
        <f>IFERROR(INDEX('Hun Demand'!T:T,MATCH(O1089,'Hun Demand'!A:A,0)),"")</f>
        <v/>
      </c>
      <c r="E1089" s="25" t="str">
        <f>IFERROR(INDEX('Hun Demand'!S:S,MATCH(O1089,'Hun Demand'!A:A,0)),"")</f>
        <v/>
      </c>
      <c r="F1089" s="25" t="str">
        <f>IFERROR(INDEX('Hun Demand'!R:R,MATCH(O1089,'Hun Demand'!A:A,0)),"")</f>
        <v/>
      </c>
      <c r="G1089" s="25">
        <f>IFERROR(INDEX('Aub Demand'!W:W,MATCH(O1089,'Aub Demand'!A:A,0)),"")</f>
        <v>0</v>
      </c>
      <c r="H1089" s="25">
        <f>IFERROR(INDEX('Aub Demand'!V:V,MATCH(O1089,'Aub Demand'!A:A,0)),"")</f>
        <v>67</v>
      </c>
      <c r="I1089" s="25">
        <f>IFERROR(INDEX('Aub Demand'!U:U,MATCH(O1089,'Aub Demand'!A:A,0)),"")</f>
        <v>54</v>
      </c>
      <c r="J1089" s="25">
        <f>IFERROR(INDEX('Aub Demand'!T:T,MATCH(O1089,'Aub Demand'!A:A,0)),"")</f>
        <v>0</v>
      </c>
      <c r="K1089" s="25">
        <f>IFERROR(INDEX('Aub Demand'!S:S,MATCH(O1089,'Aub Demand'!A:A,0)),"")</f>
        <v>126</v>
      </c>
      <c r="L1089" s="25">
        <f>IFERROR(INDEX('Aub Demand'!R:R,MATCH(O1089,'Aub Demand'!A:A,0)),"")</f>
        <v>0</v>
      </c>
      <c r="O1089" s="27" t="s">
        <v>1466</v>
      </c>
      <c r="P1089" s="27" t="str">
        <f>IFERROR(INDEX('Aub Demand'!B:B,MATCH($O1089,'Aub Demand'!$A:$A,0)),"")</f>
        <v>BITTERSWEET</v>
      </c>
      <c r="Q1089" s="27" t="str">
        <f>IFERROR(INDEX('Aub Demand'!C:C,MATCH($O1089,'Aub Demand'!$A:$A,0)),"")</f>
        <v>ONYX</v>
      </c>
      <c r="R1089" s="52">
        <f>IFERROR(IF(AR1090=AR1089,INDEX('Aub Demand'!K:K,MATCH($O1089,'Aub Demand'!$A:$A,0))-IF(AN1089="",0,AN1089)+AP1090,INDEX('Aub Demand'!K:K,MATCH($O1089,'Aub Demand'!$A:$A,0))-IF(AN1089="",0,AN1089)),"")</f>
        <v>1091</v>
      </c>
      <c r="S1089" s="53">
        <f t="shared" si="448"/>
        <v>77.900000000000006</v>
      </c>
      <c r="T1089" s="52" t="str">
        <f t="shared" si="449"/>
        <v/>
      </c>
      <c r="U1089" s="52">
        <f>IFERROR(IF(AR1090=AR1089,INDEX('Aub Demand'!Q:Q,MATCH($O1089,'Aub Demand'!$A:$A,0))-IF(AN1089="",0,AN1089)+AP1090,INDEX('Aub Demand'!Q:Q,MATCH($O1089,'Aub Demand'!$A:$A,0))-IF(AN1089="",0,AN1089)),"")</f>
        <v>1085</v>
      </c>
      <c r="V1089" s="53">
        <f t="shared" si="450"/>
        <v>77.5</v>
      </c>
      <c r="W1089" s="52" t="str">
        <f t="shared" si="451"/>
        <v/>
      </c>
      <c r="X1089" s="52">
        <f>IFERROR(IF(AND(AR1090=AR1089,AM1089&lt;&gt;""),INDEX('Aub Demand'!Q:Q,MATCH($O1089,'Aub Demand'!$A:$A,0))-IF(AN1089="",0,AN1089)+AP1090+AD1089+AL1089,IF(AR1090=AR1089,INDEX('Aub Demand'!Q:Q,MATCH($O1089,'Aub Demand'!$A:$A,0))-IF(AN1089="",0,AN1089)+AP1090+AD1089,IF(AM1089&lt;&gt;"",INDEX('Aub Demand'!Q:Q,MATCH($O1089,'Aub Demand'!$A:$A,0))-IF(AN1089="",0,AN1089)+AD1089+AL1089,INDEX('Aub Demand'!Q:Q,MATCH($O1089,'Aub Demand'!$A:$A,0))-IF(AN1089="",0,AN1089)+AD1089))),"")</f>
        <v>1085</v>
      </c>
      <c r="Y1089" s="53">
        <f t="shared" si="452"/>
        <v>77.5</v>
      </c>
      <c r="Z1089" s="52">
        <f>IF(L1089="","",INDEX('Aub Demand'!H:H,MATCH($O1089,'Aub Demand'!$A:$A,0)))</f>
        <v>60</v>
      </c>
      <c r="AA1089" s="52">
        <f t="shared" si="453"/>
        <v>90</v>
      </c>
      <c r="AB1089" s="52">
        <f>IFERROR(INDEX('Aub Demand'!L:L,MATCH($O1089,'Aub Demand'!$A:$A,0)),"")</f>
        <v>58</v>
      </c>
      <c r="AC1089" s="52">
        <f>IFERROR(IF(O1089="","",SUMIFS('CPL Mats'!F:F,'CPL Mats'!Q:Q,AR1089,'CPL Mats'!S:S,AS1089)),"")</f>
        <v>0</v>
      </c>
      <c r="AF1089" s="25" t="str">
        <f>IF(SUMIFS('Supp Consol'!S:S,'Supp Consol'!Y:Y,"Releasable",'Supp Consol'!A:A,O1089)=0,"",SUMIFS('Supp Consol'!S:S,'Supp Consol'!Y:Y,"Releasable",'Supp Consol'!A:A,O1089))</f>
        <v/>
      </c>
      <c r="AG1089" s="25" t="str">
        <f>IFERROR(INDEX('Hun Demand'!Q:Q,MATCH(O1089,'Hun Demand'!A:A,0)),"")</f>
        <v/>
      </c>
      <c r="AH1089" s="25" t="str">
        <f>IFERROR(INDEX('Hun Demand'!H:H,MATCH($O1089,'Hun Demand'!$A:$A,0)),"")</f>
        <v/>
      </c>
      <c r="AI1089" s="25" t="str">
        <f>IF(SUMIFS('Supp Consol'!AA:AA,'Supp Consol'!Z:Z,"Expires this month",'Supp Consol'!A:A,O1089)=0,"",SUMIFS('Supp Consol'!AA:AA,'Supp Consol'!Z:Z,"Expires this month",'Supp Consol'!A:A,O1089))</f>
        <v/>
      </c>
      <c r="AJ1089" s="25" t="str">
        <f>IF(SUMIFS('Supp Consol'!AA:AA,'Supp Consol'!Z:Z,"Expired Previous Months",'Supp Consol'!A:A,O1089)=0,"",SUMIFS('Supp Consol'!AA:AA,'Supp Consol'!Z:Z,"Expired Previous Months",'Supp Consol'!A:A,O1089))</f>
        <v/>
      </c>
      <c r="AK1089" s="25" t="str">
        <f>IFERROR(INDEX('Hun Release Current'!B:B,MATCH(O1089,'Hun Release Current'!A:A,0)),"")</f>
        <v/>
      </c>
      <c r="AL1089" s="25" t="str">
        <f>IF(SUMIF('Prev Aub'!A:A,O1089,'Prev Aub'!B:B)=0,"",SUMIF('Prev Aub'!A:A,O1089,'Prev Aub'!B:B))</f>
        <v/>
      </c>
      <c r="AN1089" s="25" t="s">
        <v>3790</v>
      </c>
      <c r="AO1089" s="25" t="s">
        <v>3790</v>
      </c>
      <c r="AP1089" s="25">
        <f t="shared" si="454"/>
        <v>0</v>
      </c>
      <c r="AQ1089" s="151" t="str">
        <f>IF(SUMIFS('Supp Consol'!S:S,'Supp Consol'!A:A,O1089,'Supp Consol'!I:I,"PENDING")=0,"",SUMIFS('Supp Consol'!S:S,'Supp Consol'!A:A,O1089,'Supp Consol'!I:I,"PENDING"))</f>
        <v/>
      </c>
      <c r="AR1089" s="27" t="str">
        <f t="shared" si="455"/>
        <v>SO312</v>
      </c>
      <c r="AS1089" s="27" t="str">
        <f t="shared" si="456"/>
        <v>62</v>
      </c>
      <c r="AT1089" s="27" t="str">
        <f t="shared" si="457"/>
        <v/>
      </c>
      <c r="AU1089" s="27" t="str">
        <f t="shared" si="458"/>
        <v/>
      </c>
      <c r="AV1089" s="27" t="str">
        <f t="shared" si="459"/>
        <v/>
      </c>
      <c r="AW1089" s="27" t="str">
        <f t="shared" si="460"/>
        <v/>
      </c>
      <c r="AX1089" s="27" t="str">
        <f t="shared" si="461"/>
        <v/>
      </c>
      <c r="AY1089" s="27" t="str">
        <f t="shared" si="462"/>
        <v/>
      </c>
      <c r="AZ1089" s="27" t="str">
        <f t="shared" si="463"/>
        <v/>
      </c>
      <c r="BA1089" s="27" t="str">
        <f t="shared" si="464"/>
        <v/>
      </c>
      <c r="BB1089" s="27" t="str">
        <f t="shared" si="465"/>
        <v/>
      </c>
      <c r="BC1089" s="27" t="str">
        <f t="shared" si="466"/>
        <v/>
      </c>
      <c r="BD1089" s="27" t="str">
        <f t="shared" si="467"/>
        <v/>
      </c>
      <c r="BE1089" s="27" t="str">
        <f t="shared" si="468"/>
        <v/>
      </c>
      <c r="BF1089" s="27" t="str">
        <f t="shared" si="469"/>
        <v/>
      </c>
      <c r="BG1089" s="27" t="str">
        <f t="shared" si="470"/>
        <v/>
      </c>
      <c r="BH1089" s="27" t="str">
        <f t="shared" si="471"/>
        <v/>
      </c>
      <c r="BI1089" s="27" t="str">
        <f t="shared" si="472"/>
        <v/>
      </c>
      <c r="BJ1089" s="27" t="str">
        <f t="shared" si="473"/>
        <v/>
      </c>
      <c r="BK1089" s="27" t="str">
        <f t="shared" si="474"/>
        <v/>
      </c>
      <c r="BL1089" s="27" t="str">
        <f t="shared" si="475"/>
        <v/>
      </c>
      <c r="BM1089" s="21" t="s">
        <v>5581</v>
      </c>
    </row>
    <row r="1090" spans="1:65" ht="15">
      <c r="A1090" s="25" t="str">
        <f>IFERROR(INDEX('Hun Demand'!W:W,MATCH(O1090,'Hun Demand'!A:A,0)),"")</f>
        <v/>
      </c>
      <c r="B1090" s="25" t="str">
        <f>IFERROR(INDEX('Hun Demand'!V:V,MATCH(O1090,'Hun Demand'!A:A,0)),"")</f>
        <v/>
      </c>
      <c r="C1090" s="25" t="str">
        <f>IFERROR(INDEX('Hun Demand'!U:U,MATCH(O1090,'Hun Demand'!A:A,0)),"")</f>
        <v/>
      </c>
      <c r="D1090" s="25" t="str">
        <f>IFERROR(INDEX('Hun Demand'!T:T,MATCH(O1090,'Hun Demand'!A:A,0)),"")</f>
        <v/>
      </c>
      <c r="E1090" s="25" t="str">
        <f>IFERROR(INDEX('Hun Demand'!S:S,MATCH(O1090,'Hun Demand'!A:A,0)),"")</f>
        <v/>
      </c>
      <c r="F1090" s="25" t="str">
        <f>IFERROR(INDEX('Hun Demand'!R:R,MATCH(O1090,'Hun Demand'!A:A,0)),"")</f>
        <v/>
      </c>
      <c r="G1090" s="25">
        <f>IFERROR(INDEX('Aub Demand'!W:W,MATCH(O1090,'Aub Demand'!A:A,0)),"")</f>
        <v>0</v>
      </c>
      <c r="H1090" s="25">
        <f>IFERROR(INDEX('Aub Demand'!V:V,MATCH(O1090,'Aub Demand'!A:A,0)),"")</f>
        <v>49</v>
      </c>
      <c r="I1090" s="25">
        <f>IFERROR(INDEX('Aub Demand'!U:U,MATCH(O1090,'Aub Demand'!A:A,0)),"")</f>
        <v>72</v>
      </c>
      <c r="J1090" s="25">
        <f>IFERROR(INDEX('Aub Demand'!T:T,MATCH(O1090,'Aub Demand'!A:A,0)),"")</f>
        <v>0</v>
      </c>
      <c r="K1090" s="25">
        <f>IFERROR(INDEX('Aub Demand'!S:S,MATCH(O1090,'Aub Demand'!A:A,0)),"")</f>
        <v>78</v>
      </c>
      <c r="L1090" s="25">
        <f>IFERROR(INDEX('Aub Demand'!R:R,MATCH(O1090,'Aub Demand'!A:A,0)),"")</f>
        <v>18</v>
      </c>
      <c r="O1090" s="27" t="s">
        <v>2669</v>
      </c>
      <c r="P1090" s="27" t="str">
        <f>IFERROR(INDEX('Aub Demand'!B:B,MATCH($O1090,'Aub Demand'!$A:$A,0)),"")</f>
        <v>CAFE SIENNA 50"</v>
      </c>
      <c r="Q1090" s="27" t="str">
        <f>IFERROR(INDEX('Aub Demand'!C:C,MATCH($O1090,'Aub Demand'!$A:$A,0)),"")</f>
        <v>AHLST</v>
      </c>
      <c r="R1090" s="52">
        <f>IFERROR(IF(AR1091=AR1090,INDEX('Aub Demand'!K:K,MATCH($O1090,'Aub Demand'!$A:$A,0))-IF(AN1090="",0,AN1090)+AP1091,INDEX('Aub Demand'!K:K,MATCH($O1090,'Aub Demand'!$A:$A,0))-IF(AN1090="",0,AN1090)),"")</f>
        <v>1425</v>
      </c>
      <c r="S1090" s="53">
        <f t="shared" si="448"/>
        <v>122.1</v>
      </c>
      <c r="T1090" s="52" t="str">
        <f t="shared" si="449"/>
        <v/>
      </c>
      <c r="U1090" s="52">
        <f>IFERROR(IF(AR1091=AR1090,INDEX('Aub Demand'!Q:Q,MATCH($O1090,'Aub Demand'!$A:$A,0))-IF(AN1090="",0,AN1090)+AP1091,INDEX('Aub Demand'!Q:Q,MATCH($O1090,'Aub Demand'!$A:$A,0))-IF(AN1090="",0,AN1090)),"")</f>
        <v>1391</v>
      </c>
      <c r="V1090" s="53">
        <f t="shared" si="450"/>
        <v>119.2</v>
      </c>
      <c r="W1090" s="52" t="str">
        <f t="shared" si="451"/>
        <v/>
      </c>
      <c r="X1090" s="52">
        <f>IFERROR(IF(AND(AR1091=AR1090,AM1090&lt;&gt;""),INDEX('Aub Demand'!Q:Q,MATCH($O1090,'Aub Demand'!$A:$A,0))-IF(AN1090="",0,AN1090)+AP1091+AD1090+AL1090,IF(AR1091=AR1090,INDEX('Aub Demand'!Q:Q,MATCH($O1090,'Aub Demand'!$A:$A,0))-IF(AN1090="",0,AN1090)+AP1091+AD1090,IF(AM1090&lt;&gt;"",INDEX('Aub Demand'!Q:Q,MATCH($O1090,'Aub Demand'!$A:$A,0))-IF(AN1090="",0,AN1090)+AD1090+AL1090,INDEX('Aub Demand'!Q:Q,MATCH($O1090,'Aub Demand'!$A:$A,0))-IF(AN1090="",0,AN1090)+AD1090))),"")</f>
        <v>1391</v>
      </c>
      <c r="Y1090" s="53">
        <f t="shared" si="452"/>
        <v>119.2</v>
      </c>
      <c r="Z1090" s="52">
        <f>IF(L1090="","",INDEX('Aub Demand'!H:H,MATCH($O1090,'Aub Demand'!$A:$A,0)))</f>
        <v>50</v>
      </c>
      <c r="AA1090" s="52">
        <f t="shared" si="453"/>
        <v>75</v>
      </c>
      <c r="AB1090" s="52">
        <f>IFERROR(INDEX('Aub Demand'!L:L,MATCH($O1090,'Aub Demand'!$A:$A,0)),"")</f>
        <v>44</v>
      </c>
      <c r="AC1090" s="52">
        <f>IFERROR(IF(O1090="","",SUMIFS('CPL Mats'!F:F,'CPL Mats'!Q:Q,AR1090,'CPL Mats'!S:S,AS1090)),"")</f>
        <v>0</v>
      </c>
      <c r="AF1090" s="25" t="str">
        <f>IF(SUMIFS('Supp Consol'!S:S,'Supp Consol'!Y:Y,"Releasable",'Supp Consol'!A:A,O1090)=0,"",SUMIFS('Supp Consol'!S:S,'Supp Consol'!Y:Y,"Releasable",'Supp Consol'!A:A,O1090))</f>
        <v/>
      </c>
      <c r="AG1090" s="25" t="str">
        <f>IFERROR(INDEX('Hun Demand'!Q:Q,MATCH(O1090,'Hun Demand'!A:A,0)),"")</f>
        <v/>
      </c>
      <c r="AH1090" s="25" t="str">
        <f>IFERROR(INDEX('Hun Demand'!H:H,MATCH($O1090,'Hun Demand'!$A:$A,0)),"")</f>
        <v/>
      </c>
      <c r="AI1090" s="25" t="str">
        <f>IF(SUMIFS('Supp Consol'!AA:AA,'Supp Consol'!Z:Z,"Expires this month",'Supp Consol'!A:A,O1090)=0,"",SUMIFS('Supp Consol'!AA:AA,'Supp Consol'!Z:Z,"Expires this month",'Supp Consol'!A:A,O1090))</f>
        <v/>
      </c>
      <c r="AJ1090" s="25" t="str">
        <f>IF(SUMIFS('Supp Consol'!AA:AA,'Supp Consol'!Z:Z,"Expired Previous Months",'Supp Consol'!A:A,O1090)=0,"",SUMIFS('Supp Consol'!AA:AA,'Supp Consol'!Z:Z,"Expired Previous Months",'Supp Consol'!A:A,O1090))</f>
        <v/>
      </c>
      <c r="AK1090" s="25" t="str">
        <f>IFERROR(INDEX('Hun Release Current'!B:B,MATCH(O1090,'Hun Release Current'!A:A,0)),"")</f>
        <v/>
      </c>
      <c r="AL1090" s="25" t="str">
        <f>IF(SUMIF('Prev Aub'!A:A,O1090,'Prev Aub'!B:B)=0,"",SUMIF('Prev Aub'!A:A,O1090,'Prev Aub'!B:B))</f>
        <v/>
      </c>
      <c r="AN1090" s="25" t="s">
        <v>3790</v>
      </c>
      <c r="AO1090" s="25" t="s">
        <v>3790</v>
      </c>
      <c r="AP1090" s="25">
        <f t="shared" si="454"/>
        <v>0</v>
      </c>
      <c r="AQ1090" s="151" t="str">
        <f>IF(SUMIFS('Supp Consol'!S:S,'Supp Consol'!A:A,O1090,'Supp Consol'!I:I,"PENDING")=0,"",SUMIFS('Supp Consol'!S:S,'Supp Consol'!A:A,O1090,'Supp Consol'!I:I,"PENDING"))</f>
        <v/>
      </c>
      <c r="AR1090" s="27" t="str">
        <f t="shared" si="455"/>
        <v>SO330</v>
      </c>
      <c r="AS1090" s="27" t="str">
        <f t="shared" si="456"/>
        <v>50</v>
      </c>
      <c r="AT1090" s="27" t="str">
        <f t="shared" si="457"/>
        <v/>
      </c>
      <c r="AU1090" s="27" t="str">
        <f t="shared" si="458"/>
        <v/>
      </c>
      <c r="AV1090" s="27" t="str">
        <f t="shared" si="459"/>
        <v/>
      </c>
      <c r="AW1090" s="27" t="str">
        <f t="shared" si="460"/>
        <v/>
      </c>
      <c r="AX1090" s="27" t="str">
        <f t="shared" si="461"/>
        <v/>
      </c>
      <c r="AY1090" s="27" t="str">
        <f t="shared" si="462"/>
        <v/>
      </c>
      <c r="AZ1090" s="27" t="str">
        <f t="shared" si="463"/>
        <v/>
      </c>
      <c r="BA1090" s="27" t="str">
        <f t="shared" si="464"/>
        <v>Hun</v>
      </c>
      <c r="BB1090" s="27" t="str">
        <f t="shared" si="465"/>
        <v/>
      </c>
      <c r="BC1090" s="27" t="str">
        <f t="shared" si="466"/>
        <v/>
      </c>
      <c r="BD1090" s="27" t="str">
        <f t="shared" si="467"/>
        <v/>
      </c>
      <c r="BE1090" s="27" t="str">
        <f t="shared" si="468"/>
        <v/>
      </c>
      <c r="BF1090" s="27" t="str">
        <f t="shared" si="469"/>
        <v/>
      </c>
      <c r="BG1090" s="27" t="str">
        <f t="shared" si="470"/>
        <v/>
      </c>
      <c r="BH1090" s="27" t="str">
        <f t="shared" si="471"/>
        <v/>
      </c>
      <c r="BI1090" s="27" t="str">
        <f t="shared" si="472"/>
        <v/>
      </c>
      <c r="BJ1090" s="27" t="str">
        <f t="shared" si="473"/>
        <v>Supp or Hun</v>
      </c>
      <c r="BK1090" s="27" t="str">
        <f t="shared" si="474"/>
        <v/>
      </c>
      <c r="BL1090" s="27" t="str">
        <f t="shared" si="475"/>
        <v/>
      </c>
      <c r="BM1090" s="21" t="s">
        <v>5581</v>
      </c>
    </row>
    <row r="1091" spans="1:65" ht="15">
      <c r="A1091" s="25">
        <f>IFERROR(INDEX('Hun Demand'!W:W,MATCH(O1091,'Hun Demand'!A:A,0)),"")</f>
        <v>0</v>
      </c>
      <c r="B1091" s="25">
        <f>IFERROR(INDEX('Hun Demand'!V:V,MATCH(O1091,'Hun Demand'!A:A,0)),"")</f>
        <v>0</v>
      </c>
      <c r="C1091" s="25">
        <f>IFERROR(INDEX('Hun Demand'!U:U,MATCH(O1091,'Hun Demand'!A:A,0)),"")</f>
        <v>0</v>
      </c>
      <c r="D1091" s="25">
        <f>IFERROR(INDEX('Hun Demand'!T:T,MATCH(O1091,'Hun Demand'!A:A,0)),"")</f>
        <v>0</v>
      </c>
      <c r="E1091" s="25">
        <f>IFERROR(INDEX('Hun Demand'!S:S,MATCH(O1091,'Hun Demand'!A:A,0)),"")</f>
        <v>0</v>
      </c>
      <c r="F1091" s="25">
        <f>IFERROR(INDEX('Hun Demand'!R:R,MATCH(O1091,'Hun Demand'!A:A,0)),"")</f>
        <v>0</v>
      </c>
      <c r="G1091" s="25">
        <f>IFERROR(INDEX('Aub Demand'!W:W,MATCH(O1091,'Aub Demand'!A:A,0)),"")</f>
        <v>0</v>
      </c>
      <c r="H1091" s="25">
        <f>IFERROR(INDEX('Aub Demand'!V:V,MATCH(O1091,'Aub Demand'!A:A,0)),"")</f>
        <v>66</v>
      </c>
      <c r="I1091" s="25">
        <f>IFERROR(INDEX('Aub Demand'!U:U,MATCH(O1091,'Aub Demand'!A:A,0)),"")</f>
        <v>69</v>
      </c>
      <c r="J1091" s="25">
        <f>IFERROR(INDEX('Aub Demand'!T:T,MATCH(O1091,'Aub Demand'!A:A,0)),"")</f>
        <v>0</v>
      </c>
      <c r="K1091" s="25">
        <f>IFERROR(INDEX('Aub Demand'!S:S,MATCH(O1091,'Aub Demand'!A:A,0)),"")</f>
        <v>0</v>
      </c>
      <c r="L1091" s="25">
        <f>IFERROR(INDEX('Aub Demand'!R:R,MATCH(O1091,'Aub Demand'!A:A,0)),"")</f>
        <v>0</v>
      </c>
      <c r="O1091" s="27" t="s">
        <v>2671</v>
      </c>
      <c r="P1091" s="27" t="str">
        <f>IFERROR(INDEX('Aub Demand'!B:B,MATCH($O1091,'Aub Demand'!$A:$A,0)),"")</f>
        <v>CAFE SIENNA 62"</v>
      </c>
      <c r="Q1091" s="27" t="str">
        <f>IFERROR(INDEX('Aub Demand'!C:C,MATCH($O1091,'Aub Demand'!$A:$A,0)),"")</f>
        <v>AHLST</v>
      </c>
      <c r="R1091" s="52">
        <f>IFERROR(IF(AR1092=AR1091,INDEX('Aub Demand'!K:K,MATCH($O1091,'Aub Demand'!$A:$A,0))-IF(AN1091="",0,AN1091)+AP1092,INDEX('Aub Demand'!K:K,MATCH($O1091,'Aub Demand'!$A:$A,0))-IF(AN1091="",0,AN1091)),"")</f>
        <v>2323</v>
      </c>
      <c r="S1091" s="53">
        <f t="shared" ref="S1091:S1154" si="476">IFERROR(IF(O1091="","",ROUND(R1091/((Z1091/30)*7),1)),"n/a")</f>
        <v>432.9</v>
      </c>
      <c r="T1091" s="52" t="str">
        <f t="shared" ref="T1091:T1154" si="477">IFERROR(IF(S1091&lt;3.1,IF(AA1091="spike",(3-S1091)*(Z1091/4),(3-S1091)*(AA1091/4)),""),"")</f>
        <v/>
      </c>
      <c r="U1091" s="52">
        <f>IFERROR(IF(AR1092=AR1091,INDEX('Aub Demand'!Q:Q,MATCH($O1091,'Aub Demand'!$A:$A,0))-IF(AN1091="",0,AN1091)+AP1092,INDEX('Aub Demand'!Q:Q,MATCH($O1091,'Aub Demand'!$A:$A,0))-IF(AN1091="",0,AN1091)),"")</f>
        <v>2323</v>
      </c>
      <c r="V1091" s="53">
        <f t="shared" ref="V1091:V1154" si="478">IFERROR(IF(O1091="","",ROUND(U1091/((Z1091/30)*7),1)),"n/a")</f>
        <v>432.9</v>
      </c>
      <c r="W1091" s="52" t="str">
        <f t="shared" ref="W1091:W1154" si="479">IF(IFERROR(IF(V1091&lt;3.1,IF(AA1091="spike",(3-V1091)*(Z1091/4),(3-V1091)*(AA1091/4)),""),"")&lt;0,0,IFERROR(IF(V1091&lt;3.1,IF(AA1091="spike",(3-V1091)*(Z1091/4),(3-V1091)*(AA1091/4)),""),""))</f>
        <v/>
      </c>
      <c r="X1091" s="52">
        <f>IFERROR(IF(AND(AR1092=AR1091,AM1091&lt;&gt;""),INDEX('Aub Demand'!Q:Q,MATCH($O1091,'Aub Demand'!$A:$A,0))-IF(AN1091="",0,AN1091)+AP1092+AD1091+AL1091,IF(AR1092=AR1091,INDEX('Aub Demand'!Q:Q,MATCH($O1091,'Aub Demand'!$A:$A,0))-IF(AN1091="",0,AN1091)+AP1092+AD1091,IF(AM1091&lt;&gt;"",INDEX('Aub Demand'!Q:Q,MATCH($O1091,'Aub Demand'!$A:$A,0))-IF(AN1091="",0,AN1091)+AD1091+AL1091,INDEX('Aub Demand'!Q:Q,MATCH($O1091,'Aub Demand'!$A:$A,0))-IF(AN1091="",0,AN1091)+AD1091))),"")</f>
        <v>2323</v>
      </c>
      <c r="Y1091" s="53">
        <f t="shared" ref="Y1091:Y1154" si="480">IFERROR(IF(O1091="","",ROUND(X1091/((Z1091/30)*7),1)),"n/a")</f>
        <v>432.9</v>
      </c>
      <c r="Z1091" s="52">
        <f>IF(L1091="","",INDEX('Aub Demand'!H:H,MATCH($O1091,'Aub Demand'!$A:$A,0)))</f>
        <v>23</v>
      </c>
      <c r="AA1091" s="52" t="str">
        <f t="shared" ref="AA1091:AA1154" si="481">IF(L1091="","",IF(LARGE(I1091:L1091,2)=0,"-spike-",AVERAGE(LARGE(I1091:L1091,1),LARGE(I1091:L1091,2))))</f>
        <v>-spike-</v>
      </c>
      <c r="AB1091" s="52">
        <f>IFERROR(INDEX('Aub Demand'!L:L,MATCH($O1091,'Aub Demand'!$A:$A,0)),"")</f>
        <v>52</v>
      </c>
      <c r="AC1091" s="52">
        <f>IFERROR(IF(O1091="","",SUMIFS('CPL Mats'!F:F,'CPL Mats'!Q:Q,AR1091,'CPL Mats'!S:S,AS1091)),"")</f>
        <v>0</v>
      </c>
      <c r="AF1091" s="25" t="str">
        <f>IF(SUMIFS('Supp Consol'!S:S,'Supp Consol'!Y:Y,"Releasable",'Supp Consol'!A:A,O1091)=0,"",SUMIFS('Supp Consol'!S:S,'Supp Consol'!Y:Y,"Releasable",'Supp Consol'!A:A,O1091))</f>
        <v/>
      </c>
      <c r="AG1091" s="25">
        <f>IFERROR(INDEX('Hun Demand'!Q:Q,MATCH(O1091,'Hun Demand'!A:A,0)),"")</f>
        <v>295</v>
      </c>
      <c r="AH1091" s="25">
        <f>IFERROR(INDEX('Hun Demand'!H:H,MATCH($O1091,'Hun Demand'!$A:$A,0)),"")</f>
        <v>0</v>
      </c>
      <c r="AI1091" s="25" t="str">
        <f>IF(SUMIFS('Supp Consol'!AA:AA,'Supp Consol'!Z:Z,"Expires this month",'Supp Consol'!A:A,O1091)=0,"",SUMIFS('Supp Consol'!AA:AA,'Supp Consol'!Z:Z,"Expires this month",'Supp Consol'!A:A,O1091))</f>
        <v/>
      </c>
      <c r="AJ1091" s="25" t="str">
        <f>IF(SUMIFS('Supp Consol'!AA:AA,'Supp Consol'!Z:Z,"Expired Previous Months",'Supp Consol'!A:A,O1091)=0,"",SUMIFS('Supp Consol'!AA:AA,'Supp Consol'!Z:Z,"Expired Previous Months",'Supp Consol'!A:A,O1091))</f>
        <v/>
      </c>
      <c r="AK1091" s="25" t="str">
        <f>IFERROR(INDEX('Hun Release Current'!B:B,MATCH(O1091,'Hun Release Current'!A:A,0)),"")</f>
        <v/>
      </c>
      <c r="AL1091" s="25" t="str">
        <f>IF(SUMIF('Prev Aub'!A:A,O1091,'Prev Aub'!B:B)=0,"",SUMIF('Prev Aub'!A:A,O1091,'Prev Aub'!B:B))</f>
        <v/>
      </c>
      <c r="AN1091" s="25" t="s">
        <v>3790</v>
      </c>
      <c r="AO1091" s="25" t="s">
        <v>3790</v>
      </c>
      <c r="AP1091" s="25">
        <f t="shared" ref="AP1091:AP1154" si="482">IFERROR(IF(O1091="","",IF(AN1091="",0,VALUE(AN1091)-(VALUE(AN1091)*0.2))),"")</f>
        <v>0</v>
      </c>
      <c r="AQ1091" s="151" t="str">
        <f>IF(SUMIFS('Supp Consol'!S:S,'Supp Consol'!A:A,O1091,'Supp Consol'!I:I,"PENDING")=0,"",SUMIFS('Supp Consol'!S:S,'Supp Consol'!A:A,O1091,'Supp Consol'!I:I,"PENDING"))</f>
        <v/>
      </c>
      <c r="AR1091" s="27" t="str">
        <f t="shared" ref="AR1091:AR1154" si="483">MID(O1091,4,5)</f>
        <v>SO330</v>
      </c>
      <c r="AS1091" s="27" t="str">
        <f t="shared" ref="AS1091:AS1154" si="484">MID(O1091,10,2)</f>
        <v>62</v>
      </c>
      <c r="AT1091" s="27" t="str">
        <f t="shared" ref="AT1091:AT1154" si="485">IF(S1091&lt;3.1,AR1091,"")</f>
        <v/>
      </c>
      <c r="AU1091" s="27" t="str">
        <f t="shared" ref="AU1091:AU1154" si="486">IF(Y1091&lt;3.1,AR1091,"")</f>
        <v/>
      </c>
      <c r="AV1091" s="27" t="str">
        <f t="shared" ref="AV1091:AV1154" si="487">IF(AND(AA1091="Spike",L1091=0,K1091=0,X1091&gt;=0),"",IF(Y1091&lt;3.1,AR1091,""))</f>
        <v/>
      </c>
      <c r="AW1091" s="27" t="str">
        <f t="shared" ref="AW1091:AW1154" si="488">IF(AI1091=AL1091,"",IF(OR(AI1091&lt;&gt;"",AJ1091&lt;&gt;""),AR1091,""))</f>
        <v/>
      </c>
      <c r="AX1091" s="27" t="str">
        <f t="shared" ref="AX1091:AX1154" si="489">IF(AF1091&lt;&gt;"",AR1091,"")</f>
        <v/>
      </c>
      <c r="AY1091" s="27" t="str">
        <f t="shared" ref="AY1091:AY1154" si="490">IF(AND(AG1091&lt;&gt;"",AG1091&gt;AH1091),AR1091,"")</f>
        <v>SO330</v>
      </c>
      <c r="AZ1091" s="27" t="str">
        <f t="shared" ref="AZ1091:AZ1154" si="491">IFERROR(IF(O1091="","",IF(ISERROR(MATCH(AR1091,AX:AX,0)),"","Supp")),"")</f>
        <v/>
      </c>
      <c r="BA1091" s="27" t="str">
        <f t="shared" ref="BA1091:BA1154" si="492">IFERROR(IF(O1091="","",IF(ISERROR(MATCH(AR1091,AY:AY,0)),"","Hun")),"")</f>
        <v>Hun</v>
      </c>
      <c r="BB1091" s="27" t="str">
        <f t="shared" ref="BB1091:BB1154" si="493">IFERROR(IF(O1091="","",IF(ISERROR(MATCH(AR1091,AT:AT,0)),"","Gross")),"")</f>
        <v/>
      </c>
      <c r="BC1091" s="27" t="str">
        <f t="shared" ref="BC1091:BC1154" si="494">IFERROR(IF(O1091="","",IF(ISERROR(MATCH(AR1091,AU:AU,0)),"","Net")),"")</f>
        <v/>
      </c>
      <c r="BD1091" s="27" t="str">
        <f t="shared" ref="BD1091:BD1154" si="495">IFERROR(IF(O1091="","",IF(ISERROR(MATCH(AR1091,AV:AV,0)),"","Net")),"")</f>
        <v/>
      </c>
      <c r="BE1091" s="27" t="str">
        <f t="shared" ref="BE1091:BE1154" si="496">IFERROR(IF(O1091="","",IF(ISERROR(MATCH(AR1091,AW:AW,0)),"","Exp")),"")</f>
        <v/>
      </c>
      <c r="BF1091" s="27" t="str">
        <f t="shared" ref="BF1091:BF1154" si="497">IFERROR(IF(O1091="","",IF(AND(AZ1091="Supp",BC1091="Net"),"S+N","")),"")</f>
        <v/>
      </c>
      <c r="BG1091" s="27" t="str">
        <f t="shared" ref="BG1091:BG1154" si="498">IFERROR(IF(O1091="","",IF(OR(BE1091&lt;&gt;"",BF1091&lt;&gt;""),"S+NorE","")),"")</f>
        <v/>
      </c>
      <c r="BH1091" s="27" t="str">
        <f t="shared" ref="BH1091:BH1154" si="499">IFERROR(IF(O1091="","",IF(AND(BA1091&lt;&gt;"",BC1091&lt;&gt;""),"H+N","")),"")</f>
        <v/>
      </c>
      <c r="BI1091" s="27" t="str">
        <f t="shared" ref="BI1091:BI1154" si="500">IFERROR(IF(O1091="","",IF(AND(BA1091&lt;&gt;"",BD1091&lt;&gt;""),"H+Nex","")),"")</f>
        <v/>
      </c>
      <c r="BJ1091" s="27" t="str">
        <f t="shared" ref="BJ1091:BJ1154" si="501">IF(OR(AZ1091&lt;&gt;"",BA1091&lt;&gt;""),"Supp or Hun","")</f>
        <v>Supp or Hun</v>
      </c>
      <c r="BK1091" s="27" t="str">
        <f t="shared" ref="BK1091:BK1154" si="502">IF(AND(BJ1091&lt;&gt;"",BC1091&lt;&gt;""),"Supp or Hun Need","")</f>
        <v/>
      </c>
      <c r="BL1091" s="27" t="str">
        <f t="shared" ref="BL1091:BL1154" si="503">IF(OR(BK1091&lt;&gt;"",BE1091&lt;&gt;""),"SorHandNandE","")</f>
        <v/>
      </c>
      <c r="BM1091" s="21" t="s">
        <v>5581</v>
      </c>
    </row>
    <row r="1092" spans="1:65" ht="15">
      <c r="A1092" s="25" t="str">
        <f>IFERROR(INDEX('Hun Demand'!W:W,MATCH(O1092,'Hun Demand'!A:A,0)),"")</f>
        <v/>
      </c>
      <c r="B1092" s="25" t="str">
        <f>IFERROR(INDEX('Hun Demand'!V:V,MATCH(O1092,'Hun Demand'!A:A,0)),"")</f>
        <v/>
      </c>
      <c r="C1092" s="25" t="str">
        <f>IFERROR(INDEX('Hun Demand'!U:U,MATCH(O1092,'Hun Demand'!A:A,0)),"")</f>
        <v/>
      </c>
      <c r="D1092" s="25" t="str">
        <f>IFERROR(INDEX('Hun Demand'!T:T,MATCH(O1092,'Hun Demand'!A:A,0)),"")</f>
        <v/>
      </c>
      <c r="E1092" s="25" t="str">
        <f>IFERROR(INDEX('Hun Demand'!S:S,MATCH(O1092,'Hun Demand'!A:A,0)),"")</f>
        <v/>
      </c>
      <c r="F1092" s="25" t="str">
        <f>IFERROR(INDEX('Hun Demand'!R:R,MATCH(O1092,'Hun Demand'!A:A,0)),"")</f>
        <v/>
      </c>
      <c r="G1092" s="25">
        <f>IFERROR(INDEX('Aub Demand'!W:W,MATCH(O1092,'Aub Demand'!A:A,0)),"")</f>
        <v>110</v>
      </c>
      <c r="H1092" s="25">
        <f>IFERROR(INDEX('Aub Demand'!V:V,MATCH(O1092,'Aub Demand'!A:A,0)),"")</f>
        <v>0</v>
      </c>
      <c r="I1092" s="25">
        <f>IFERROR(INDEX('Aub Demand'!U:U,MATCH(O1092,'Aub Demand'!A:A,0)),"")</f>
        <v>0</v>
      </c>
      <c r="J1092" s="25">
        <f>IFERROR(INDEX('Aub Demand'!T:T,MATCH(O1092,'Aub Demand'!A:A,0)),"")</f>
        <v>0</v>
      </c>
      <c r="K1092" s="25">
        <f>IFERROR(INDEX('Aub Demand'!S:S,MATCH(O1092,'Aub Demand'!A:A,0)),"")</f>
        <v>0</v>
      </c>
      <c r="L1092" s="25">
        <f>IFERROR(INDEX('Aub Demand'!R:R,MATCH(O1092,'Aub Demand'!A:A,0)),"")</f>
        <v>0</v>
      </c>
      <c r="O1092" s="27" t="s">
        <v>1467</v>
      </c>
      <c r="P1092" s="27" t="str">
        <f>IFERROR(INDEX('Aub Demand'!B:B,MATCH($O1092,'Aub Demand'!$A:$A,0)),"")</f>
        <v>ROYAL BURGUNDY</v>
      </c>
      <c r="Q1092" s="27" t="str">
        <f>IFERROR(INDEX('Aub Demand'!C:C,MATCH($O1092,'Aub Demand'!$A:$A,0)),"")</f>
        <v>ONYX</v>
      </c>
      <c r="R1092" s="52">
        <f>IFERROR(IF(AR1093=AR1092,INDEX('Aub Demand'!K:K,MATCH($O1092,'Aub Demand'!$A:$A,0))-IF(AN1092="",0,AN1092)+AP1093,INDEX('Aub Demand'!K:K,MATCH($O1092,'Aub Demand'!$A:$A,0))-IF(AN1092="",0,AN1092)),"")</f>
        <v>466</v>
      </c>
      <c r="S1092" s="53" t="str">
        <f t="shared" si="476"/>
        <v>n/a</v>
      </c>
      <c r="T1092" s="52" t="str">
        <f t="shared" si="477"/>
        <v/>
      </c>
      <c r="U1092" s="52">
        <f>IFERROR(IF(AR1093=AR1092,INDEX('Aub Demand'!Q:Q,MATCH($O1092,'Aub Demand'!$A:$A,0))-IF(AN1092="",0,AN1092)+AP1093,INDEX('Aub Demand'!Q:Q,MATCH($O1092,'Aub Demand'!$A:$A,0))-IF(AN1092="",0,AN1092)),"")</f>
        <v>466</v>
      </c>
      <c r="V1092" s="53" t="str">
        <f t="shared" si="478"/>
        <v>n/a</v>
      </c>
      <c r="W1092" s="52" t="str">
        <f t="shared" si="479"/>
        <v/>
      </c>
      <c r="X1092" s="52">
        <f>IFERROR(IF(AND(AR1093=AR1092,AM1092&lt;&gt;""),INDEX('Aub Demand'!Q:Q,MATCH($O1092,'Aub Demand'!$A:$A,0))-IF(AN1092="",0,AN1092)+AP1093+AD1092+AL1092,IF(AR1093=AR1092,INDEX('Aub Demand'!Q:Q,MATCH($O1092,'Aub Demand'!$A:$A,0))-IF(AN1092="",0,AN1092)+AP1093+AD1092,IF(AM1092&lt;&gt;"",INDEX('Aub Demand'!Q:Q,MATCH($O1092,'Aub Demand'!$A:$A,0))-IF(AN1092="",0,AN1092)+AD1092+AL1092,INDEX('Aub Demand'!Q:Q,MATCH($O1092,'Aub Demand'!$A:$A,0))-IF(AN1092="",0,AN1092)+AD1092))),"")</f>
        <v>466</v>
      </c>
      <c r="Y1092" s="53" t="str">
        <f t="shared" si="480"/>
        <v>n/a</v>
      </c>
      <c r="Z1092" s="52">
        <f>IF(L1092="","",INDEX('Aub Demand'!H:H,MATCH($O1092,'Aub Demand'!$A:$A,0)))</f>
        <v>0</v>
      </c>
      <c r="AA1092" s="52" t="str">
        <f t="shared" si="481"/>
        <v>-spike-</v>
      </c>
      <c r="AB1092" s="52">
        <f>IFERROR(INDEX('Aub Demand'!L:L,MATCH($O1092,'Aub Demand'!$A:$A,0)),"")</f>
        <v>166</v>
      </c>
      <c r="AC1092" s="52">
        <f>IFERROR(IF(O1092="","",SUMIFS('CPL Mats'!F:F,'CPL Mats'!Q:Q,AR1092,'CPL Mats'!S:S,AS1092)),"")</f>
        <v>0</v>
      </c>
      <c r="AF1092" s="25" t="str">
        <f>IF(SUMIFS('Supp Consol'!S:S,'Supp Consol'!Y:Y,"Releasable",'Supp Consol'!A:A,O1092)=0,"",SUMIFS('Supp Consol'!S:S,'Supp Consol'!Y:Y,"Releasable",'Supp Consol'!A:A,O1092))</f>
        <v/>
      </c>
      <c r="AG1092" s="25" t="str">
        <f>IFERROR(INDEX('Hun Demand'!Q:Q,MATCH(O1092,'Hun Demand'!A:A,0)),"")</f>
        <v/>
      </c>
      <c r="AH1092" s="25" t="str">
        <f>IFERROR(INDEX('Hun Demand'!H:H,MATCH($O1092,'Hun Demand'!$A:$A,0)),"")</f>
        <v/>
      </c>
      <c r="AI1092" s="25" t="str">
        <f>IF(SUMIFS('Supp Consol'!AA:AA,'Supp Consol'!Z:Z,"Expires this month",'Supp Consol'!A:A,O1092)=0,"",SUMIFS('Supp Consol'!AA:AA,'Supp Consol'!Z:Z,"Expires this month",'Supp Consol'!A:A,O1092))</f>
        <v/>
      </c>
      <c r="AJ1092" s="25" t="str">
        <f>IF(SUMIFS('Supp Consol'!AA:AA,'Supp Consol'!Z:Z,"Expired Previous Months",'Supp Consol'!A:A,O1092)=0,"",SUMIFS('Supp Consol'!AA:AA,'Supp Consol'!Z:Z,"Expired Previous Months",'Supp Consol'!A:A,O1092))</f>
        <v/>
      </c>
      <c r="AK1092" s="25" t="str">
        <f>IFERROR(INDEX('Hun Release Current'!B:B,MATCH(O1092,'Hun Release Current'!A:A,0)),"")</f>
        <v/>
      </c>
      <c r="AL1092" s="25" t="str">
        <f>IF(SUMIF('Prev Aub'!A:A,O1092,'Prev Aub'!B:B)=0,"",SUMIF('Prev Aub'!A:A,O1092,'Prev Aub'!B:B))</f>
        <v/>
      </c>
      <c r="AN1092" s="25" t="s">
        <v>3790</v>
      </c>
      <c r="AO1092" s="25" t="s">
        <v>3790</v>
      </c>
      <c r="AP1092" s="25">
        <f t="shared" si="482"/>
        <v>0</v>
      </c>
      <c r="AQ1092" s="151" t="str">
        <f>IF(SUMIFS('Supp Consol'!S:S,'Supp Consol'!A:A,O1092,'Supp Consol'!I:I,"PENDING")=0,"",SUMIFS('Supp Consol'!S:S,'Supp Consol'!A:A,O1092,'Supp Consol'!I:I,"PENDING"))</f>
        <v/>
      </c>
      <c r="AR1092" s="27" t="str">
        <f t="shared" si="483"/>
        <v>SP401</v>
      </c>
      <c r="AS1092" s="27" t="str">
        <f t="shared" si="484"/>
        <v>50</v>
      </c>
      <c r="AT1092" s="27" t="str">
        <f t="shared" si="485"/>
        <v/>
      </c>
      <c r="AU1092" s="27" t="str">
        <f t="shared" si="486"/>
        <v/>
      </c>
      <c r="AV1092" s="27" t="str">
        <f t="shared" si="487"/>
        <v/>
      </c>
      <c r="AW1092" s="27" t="str">
        <f t="shared" si="488"/>
        <v/>
      </c>
      <c r="AX1092" s="27" t="str">
        <f t="shared" si="489"/>
        <v/>
      </c>
      <c r="AY1092" s="27" t="str">
        <f t="shared" si="490"/>
        <v/>
      </c>
      <c r="AZ1092" s="27" t="str">
        <f t="shared" si="491"/>
        <v/>
      </c>
      <c r="BA1092" s="27" t="str">
        <f t="shared" si="492"/>
        <v/>
      </c>
      <c r="BB1092" s="27" t="str">
        <f t="shared" si="493"/>
        <v/>
      </c>
      <c r="BC1092" s="27" t="str">
        <f t="shared" si="494"/>
        <v/>
      </c>
      <c r="BD1092" s="27" t="str">
        <f t="shared" si="495"/>
        <v/>
      </c>
      <c r="BE1092" s="27" t="str">
        <f t="shared" si="496"/>
        <v/>
      </c>
      <c r="BF1092" s="27" t="str">
        <f t="shared" si="497"/>
        <v/>
      </c>
      <c r="BG1092" s="27" t="str">
        <f t="shared" si="498"/>
        <v/>
      </c>
      <c r="BH1092" s="27" t="str">
        <f t="shared" si="499"/>
        <v/>
      </c>
      <c r="BI1092" s="27" t="str">
        <f t="shared" si="500"/>
        <v/>
      </c>
      <c r="BJ1092" s="27" t="str">
        <f t="shared" si="501"/>
        <v/>
      </c>
      <c r="BK1092" s="27" t="str">
        <f t="shared" si="502"/>
        <v/>
      </c>
      <c r="BL1092" s="27" t="str">
        <f t="shared" si="503"/>
        <v/>
      </c>
      <c r="BM1092" s="21" t="s">
        <v>5581</v>
      </c>
    </row>
    <row r="1093" spans="1:65" ht="15">
      <c r="A1093" s="25" t="str">
        <f>IFERROR(INDEX('Hun Demand'!W:W,MATCH(O1093,'Hun Demand'!A:A,0)),"")</f>
        <v/>
      </c>
      <c r="B1093" s="25" t="str">
        <f>IFERROR(INDEX('Hun Demand'!V:V,MATCH(O1093,'Hun Demand'!A:A,0)),"")</f>
        <v/>
      </c>
      <c r="C1093" s="25" t="str">
        <f>IFERROR(INDEX('Hun Demand'!U:U,MATCH(O1093,'Hun Demand'!A:A,0)),"")</f>
        <v/>
      </c>
      <c r="D1093" s="25" t="str">
        <f>IFERROR(INDEX('Hun Demand'!T:T,MATCH(O1093,'Hun Demand'!A:A,0)),"")</f>
        <v/>
      </c>
      <c r="E1093" s="25" t="str">
        <f>IFERROR(INDEX('Hun Demand'!S:S,MATCH(O1093,'Hun Demand'!A:A,0)),"")</f>
        <v/>
      </c>
      <c r="F1093" s="25" t="str">
        <f>IFERROR(INDEX('Hun Demand'!R:R,MATCH(O1093,'Hun Demand'!A:A,0)),"")</f>
        <v/>
      </c>
      <c r="G1093" s="25">
        <f>IFERROR(INDEX('Aub Demand'!W:W,MATCH(O1093,'Aub Demand'!A:A,0)),"")</f>
        <v>207</v>
      </c>
      <c r="H1093" s="25">
        <f>IFERROR(INDEX('Aub Demand'!V:V,MATCH(O1093,'Aub Demand'!A:A,0)),"")</f>
        <v>63</v>
      </c>
      <c r="I1093" s="25">
        <f>IFERROR(INDEX('Aub Demand'!U:U,MATCH(O1093,'Aub Demand'!A:A,0)),"")</f>
        <v>90</v>
      </c>
      <c r="J1093" s="25">
        <f>IFERROR(INDEX('Aub Demand'!T:T,MATCH(O1093,'Aub Demand'!A:A,0)),"")</f>
        <v>0</v>
      </c>
      <c r="K1093" s="25">
        <f>IFERROR(INDEX('Aub Demand'!S:S,MATCH(O1093,'Aub Demand'!A:A,0)),"")</f>
        <v>0</v>
      </c>
      <c r="L1093" s="25">
        <f>IFERROR(INDEX('Aub Demand'!R:R,MATCH(O1093,'Aub Demand'!A:A,0)),"")</f>
        <v>0</v>
      </c>
      <c r="O1093" s="27" t="s">
        <v>1469</v>
      </c>
      <c r="P1093" s="27" t="str">
        <f>IFERROR(INDEX('Aub Demand'!B:B,MATCH($O1093,'Aub Demand'!$A:$A,0)),"")</f>
        <v>ROYAL BURGUNDY</v>
      </c>
      <c r="Q1093" s="27" t="str">
        <f>IFERROR(INDEX('Aub Demand'!C:C,MATCH($O1093,'Aub Demand'!$A:$A,0)),"")</f>
        <v>ONYX</v>
      </c>
      <c r="R1093" s="52">
        <f>IFERROR(IF(AR1094=AR1093,INDEX('Aub Demand'!K:K,MATCH($O1093,'Aub Demand'!$A:$A,0))-IF(AN1093="",0,AN1093)+AP1094,INDEX('Aub Demand'!K:K,MATCH($O1093,'Aub Demand'!$A:$A,0))-IF(AN1093="",0,AN1093)),"")</f>
        <v>1890</v>
      </c>
      <c r="S1093" s="53">
        <f t="shared" si="476"/>
        <v>270</v>
      </c>
      <c r="T1093" s="52" t="str">
        <f t="shared" si="477"/>
        <v/>
      </c>
      <c r="U1093" s="52">
        <f>IFERROR(IF(AR1094=AR1093,INDEX('Aub Demand'!Q:Q,MATCH($O1093,'Aub Demand'!$A:$A,0))-IF(AN1093="",0,AN1093)+AP1094,INDEX('Aub Demand'!Q:Q,MATCH($O1093,'Aub Demand'!$A:$A,0))-IF(AN1093="",0,AN1093)),"")</f>
        <v>1890</v>
      </c>
      <c r="V1093" s="53">
        <f t="shared" si="478"/>
        <v>270</v>
      </c>
      <c r="W1093" s="52" t="str">
        <f t="shared" si="479"/>
        <v/>
      </c>
      <c r="X1093" s="52">
        <f>IFERROR(IF(AND(AR1094=AR1093,AM1093&lt;&gt;""),INDEX('Aub Demand'!Q:Q,MATCH($O1093,'Aub Demand'!$A:$A,0))-IF(AN1093="",0,AN1093)+AP1094+AD1093+AL1093,IF(AR1094=AR1093,INDEX('Aub Demand'!Q:Q,MATCH($O1093,'Aub Demand'!$A:$A,0))-IF(AN1093="",0,AN1093)+AP1094+AD1093,IF(AM1093&lt;&gt;"",INDEX('Aub Demand'!Q:Q,MATCH($O1093,'Aub Demand'!$A:$A,0))-IF(AN1093="",0,AN1093)+AD1093+AL1093,INDEX('Aub Demand'!Q:Q,MATCH($O1093,'Aub Demand'!$A:$A,0))-IF(AN1093="",0,AN1093)+AD1093))),"")</f>
        <v>1890</v>
      </c>
      <c r="Y1093" s="53">
        <f t="shared" si="480"/>
        <v>270</v>
      </c>
      <c r="Z1093" s="52">
        <f>IF(L1093="","",INDEX('Aub Demand'!H:H,MATCH($O1093,'Aub Demand'!$A:$A,0)))</f>
        <v>30</v>
      </c>
      <c r="AA1093" s="52" t="str">
        <f t="shared" si="481"/>
        <v>-spike-</v>
      </c>
      <c r="AB1093" s="52">
        <f>IFERROR(INDEX('Aub Demand'!L:L,MATCH($O1093,'Aub Demand'!$A:$A,0)),"")</f>
        <v>53</v>
      </c>
      <c r="AC1093" s="52">
        <f>IFERROR(IF(O1093="","",SUMIFS('CPL Mats'!F:F,'CPL Mats'!Q:Q,AR1093,'CPL Mats'!S:S,AS1093)),"")</f>
        <v>0</v>
      </c>
      <c r="AF1093" s="25" t="str">
        <f>IF(SUMIFS('Supp Consol'!S:S,'Supp Consol'!Y:Y,"Releasable",'Supp Consol'!A:A,O1093)=0,"",SUMIFS('Supp Consol'!S:S,'Supp Consol'!Y:Y,"Releasable",'Supp Consol'!A:A,O1093))</f>
        <v/>
      </c>
      <c r="AG1093" s="25" t="str">
        <f>IFERROR(INDEX('Hun Demand'!Q:Q,MATCH(O1093,'Hun Demand'!A:A,0)),"")</f>
        <v/>
      </c>
      <c r="AH1093" s="25" t="str">
        <f>IFERROR(INDEX('Hun Demand'!H:H,MATCH($O1093,'Hun Demand'!$A:$A,0)),"")</f>
        <v/>
      </c>
      <c r="AI1093" s="25" t="str">
        <f>IF(SUMIFS('Supp Consol'!AA:AA,'Supp Consol'!Z:Z,"Expires this month",'Supp Consol'!A:A,O1093)=0,"",SUMIFS('Supp Consol'!AA:AA,'Supp Consol'!Z:Z,"Expires this month",'Supp Consol'!A:A,O1093))</f>
        <v/>
      </c>
      <c r="AJ1093" s="25" t="str">
        <f>IF(SUMIFS('Supp Consol'!AA:AA,'Supp Consol'!Z:Z,"Expired Previous Months",'Supp Consol'!A:A,O1093)=0,"",SUMIFS('Supp Consol'!AA:AA,'Supp Consol'!Z:Z,"Expired Previous Months",'Supp Consol'!A:A,O1093))</f>
        <v/>
      </c>
      <c r="AK1093" s="25" t="str">
        <f>IFERROR(INDEX('Hun Release Current'!B:B,MATCH(O1093,'Hun Release Current'!A:A,0)),"")</f>
        <v/>
      </c>
      <c r="AL1093" s="25" t="str">
        <f>IF(SUMIF('Prev Aub'!A:A,O1093,'Prev Aub'!B:B)=0,"",SUMIF('Prev Aub'!A:A,O1093,'Prev Aub'!B:B))</f>
        <v/>
      </c>
      <c r="AN1093" s="25" t="s">
        <v>3790</v>
      </c>
      <c r="AO1093" s="25" t="s">
        <v>3790</v>
      </c>
      <c r="AP1093" s="25">
        <f t="shared" si="482"/>
        <v>0</v>
      </c>
      <c r="AQ1093" s="151" t="str">
        <f>IF(SUMIFS('Supp Consol'!S:S,'Supp Consol'!A:A,O1093,'Supp Consol'!I:I,"PENDING")=0,"",SUMIFS('Supp Consol'!S:S,'Supp Consol'!A:A,O1093,'Supp Consol'!I:I,"PENDING"))</f>
        <v/>
      </c>
      <c r="AR1093" s="27" t="str">
        <f t="shared" si="483"/>
        <v>SP401</v>
      </c>
      <c r="AS1093" s="27" t="str">
        <f t="shared" si="484"/>
        <v>62</v>
      </c>
      <c r="AT1093" s="27" t="str">
        <f t="shared" si="485"/>
        <v/>
      </c>
      <c r="AU1093" s="27" t="str">
        <f t="shared" si="486"/>
        <v/>
      </c>
      <c r="AV1093" s="27" t="str">
        <f t="shared" si="487"/>
        <v/>
      </c>
      <c r="AW1093" s="27" t="str">
        <f t="shared" si="488"/>
        <v/>
      </c>
      <c r="AX1093" s="27" t="str">
        <f t="shared" si="489"/>
        <v/>
      </c>
      <c r="AY1093" s="27" t="str">
        <f t="shared" si="490"/>
        <v/>
      </c>
      <c r="AZ1093" s="27" t="str">
        <f t="shared" si="491"/>
        <v/>
      </c>
      <c r="BA1093" s="27" t="str">
        <f t="shared" si="492"/>
        <v/>
      </c>
      <c r="BB1093" s="27" t="str">
        <f t="shared" si="493"/>
        <v/>
      </c>
      <c r="BC1093" s="27" t="str">
        <f t="shared" si="494"/>
        <v/>
      </c>
      <c r="BD1093" s="27" t="str">
        <f t="shared" si="495"/>
        <v/>
      </c>
      <c r="BE1093" s="27" t="str">
        <f t="shared" si="496"/>
        <v/>
      </c>
      <c r="BF1093" s="27" t="str">
        <f t="shared" si="497"/>
        <v/>
      </c>
      <c r="BG1093" s="27" t="str">
        <f t="shared" si="498"/>
        <v/>
      </c>
      <c r="BH1093" s="27" t="str">
        <f t="shared" si="499"/>
        <v/>
      </c>
      <c r="BI1093" s="27" t="str">
        <f t="shared" si="500"/>
        <v/>
      </c>
      <c r="BJ1093" s="27" t="str">
        <f t="shared" si="501"/>
        <v/>
      </c>
      <c r="BK1093" s="27" t="str">
        <f t="shared" si="502"/>
        <v/>
      </c>
      <c r="BL1093" s="27" t="str">
        <f t="shared" si="503"/>
        <v/>
      </c>
      <c r="BM1093" s="21" t="s">
        <v>5581</v>
      </c>
    </row>
    <row r="1094" spans="1:65" ht="15">
      <c r="A1094" s="25">
        <f>IFERROR(INDEX('Hun Demand'!W:W,MATCH(O1094,'Hun Demand'!A:A,0)),"")</f>
        <v>0</v>
      </c>
      <c r="B1094" s="25">
        <f>IFERROR(INDEX('Hun Demand'!V:V,MATCH(O1094,'Hun Demand'!A:A,0)),"")</f>
        <v>0</v>
      </c>
      <c r="C1094" s="25">
        <f>IFERROR(INDEX('Hun Demand'!U:U,MATCH(O1094,'Hun Demand'!A:A,0)),"")</f>
        <v>0</v>
      </c>
      <c r="D1094" s="25">
        <f>IFERROR(INDEX('Hun Demand'!T:T,MATCH(O1094,'Hun Demand'!A:A,0)),"")</f>
        <v>200</v>
      </c>
      <c r="E1094" s="25">
        <f>IFERROR(INDEX('Hun Demand'!S:S,MATCH(O1094,'Hun Demand'!A:A,0)),"")</f>
        <v>0</v>
      </c>
      <c r="F1094" s="25">
        <f>IFERROR(INDEX('Hun Demand'!R:R,MATCH(O1094,'Hun Demand'!A:A,0)),"")</f>
        <v>0</v>
      </c>
      <c r="G1094" s="25">
        <f>IFERROR(INDEX('Aub Demand'!W:W,MATCH(O1094,'Aub Demand'!A:A,0)),"")</f>
        <v>0</v>
      </c>
      <c r="H1094" s="25">
        <f>IFERROR(INDEX('Aub Demand'!V:V,MATCH(O1094,'Aub Demand'!A:A,0)),"")</f>
        <v>508</v>
      </c>
      <c r="I1094" s="25">
        <f>IFERROR(INDEX('Aub Demand'!U:U,MATCH(O1094,'Aub Demand'!A:A,0)),"")</f>
        <v>200</v>
      </c>
      <c r="J1094" s="25">
        <f>IFERROR(INDEX('Aub Demand'!T:T,MATCH(O1094,'Aub Demand'!A:A,0)),"")</f>
        <v>45</v>
      </c>
      <c r="K1094" s="25">
        <f>IFERROR(INDEX('Aub Demand'!S:S,MATCH(O1094,'Aub Demand'!A:A,0)),"")</f>
        <v>171</v>
      </c>
      <c r="L1094" s="25">
        <f>IFERROR(INDEX('Aub Demand'!R:R,MATCH(O1094,'Aub Demand'!A:A,0)),"")</f>
        <v>0</v>
      </c>
      <c r="O1094" s="27" t="s">
        <v>1470</v>
      </c>
      <c r="P1094" s="27" t="str">
        <f>IFERROR(INDEX('Aub Demand'!B:B,MATCH($O1094,'Aub Demand'!$A:$A,0)),"")</f>
        <v>TUTTI FRUTTI</v>
      </c>
      <c r="Q1094" s="27" t="str">
        <f>IFERROR(INDEX('Aub Demand'!C:C,MATCH($O1094,'Aub Demand'!$A:$A,0)),"")</f>
        <v>AHLST</v>
      </c>
      <c r="R1094" s="52">
        <f>IFERROR(IF(AR1095=AR1094,INDEX('Aub Demand'!K:K,MATCH($O1094,'Aub Demand'!$A:$A,0))-IF(AN1094="",0,AN1094)+AP1095,INDEX('Aub Demand'!K:K,MATCH($O1094,'Aub Demand'!$A:$A,0))-IF(AN1094="",0,AN1094)),"")</f>
        <v>2683</v>
      </c>
      <c r="S1094" s="53">
        <f t="shared" si="476"/>
        <v>82.7</v>
      </c>
      <c r="T1094" s="52" t="str">
        <f t="shared" si="477"/>
        <v/>
      </c>
      <c r="U1094" s="52">
        <f>IFERROR(IF(AR1095=AR1094,INDEX('Aub Demand'!Q:Q,MATCH($O1094,'Aub Demand'!$A:$A,0))-IF(AN1094="",0,AN1094)+AP1095,INDEX('Aub Demand'!Q:Q,MATCH($O1094,'Aub Demand'!$A:$A,0))-IF(AN1094="",0,AN1094)),"")</f>
        <v>2647</v>
      </c>
      <c r="V1094" s="53">
        <f t="shared" si="478"/>
        <v>81.599999999999994</v>
      </c>
      <c r="W1094" s="52" t="str">
        <f t="shared" si="479"/>
        <v/>
      </c>
      <c r="X1094" s="52">
        <f>IFERROR(IF(AND(AR1095=AR1094,AM1094&lt;&gt;""),INDEX('Aub Demand'!Q:Q,MATCH($O1094,'Aub Demand'!$A:$A,0))-IF(AN1094="",0,AN1094)+AP1095+AD1094+AL1094,IF(AR1095=AR1094,INDEX('Aub Demand'!Q:Q,MATCH($O1094,'Aub Demand'!$A:$A,0))-IF(AN1094="",0,AN1094)+AP1095+AD1094,IF(AM1094&lt;&gt;"",INDEX('Aub Demand'!Q:Q,MATCH($O1094,'Aub Demand'!$A:$A,0))-IF(AN1094="",0,AN1094)+AD1094+AL1094,INDEX('Aub Demand'!Q:Q,MATCH($O1094,'Aub Demand'!$A:$A,0))-IF(AN1094="",0,AN1094)+AD1094))),"")</f>
        <v>2647</v>
      </c>
      <c r="Y1094" s="53">
        <f t="shared" si="480"/>
        <v>81.599999999999994</v>
      </c>
      <c r="Z1094" s="52">
        <f>IF(L1094="","",INDEX('Aub Demand'!H:H,MATCH($O1094,'Aub Demand'!$A:$A,0)))</f>
        <v>139</v>
      </c>
      <c r="AA1094" s="52">
        <f t="shared" si="481"/>
        <v>185.5</v>
      </c>
      <c r="AB1094" s="52">
        <f>IFERROR(INDEX('Aub Demand'!L:L,MATCH($O1094,'Aub Demand'!$A:$A,0)),"")</f>
        <v>73</v>
      </c>
      <c r="AC1094" s="52">
        <f>IFERROR(IF(O1094="","",SUMIFS('CPL Mats'!F:F,'CPL Mats'!Q:Q,AR1094,'CPL Mats'!S:S,AS1094)),"")</f>
        <v>0</v>
      </c>
      <c r="AF1094" s="25" t="str">
        <f>IF(SUMIFS('Supp Consol'!S:S,'Supp Consol'!Y:Y,"Releasable",'Supp Consol'!A:A,O1094)=0,"",SUMIFS('Supp Consol'!S:S,'Supp Consol'!Y:Y,"Releasable",'Supp Consol'!A:A,O1094))</f>
        <v/>
      </c>
      <c r="AG1094" s="25">
        <f>IFERROR(INDEX('Hun Demand'!Q:Q,MATCH(O1094,'Hun Demand'!A:A,0)),"")</f>
        <v>0</v>
      </c>
      <c r="AH1094" s="25">
        <f>IFERROR(INDEX('Hun Demand'!H:H,MATCH($O1094,'Hun Demand'!$A:$A,0)),"")</f>
        <v>67</v>
      </c>
      <c r="AI1094" s="25" t="str">
        <f>IF(SUMIFS('Supp Consol'!AA:AA,'Supp Consol'!Z:Z,"Expires this month",'Supp Consol'!A:A,O1094)=0,"",SUMIFS('Supp Consol'!AA:AA,'Supp Consol'!Z:Z,"Expires this month",'Supp Consol'!A:A,O1094))</f>
        <v/>
      </c>
      <c r="AJ1094" s="25" t="str">
        <f>IF(SUMIFS('Supp Consol'!AA:AA,'Supp Consol'!Z:Z,"Expired Previous Months",'Supp Consol'!A:A,O1094)=0,"",SUMIFS('Supp Consol'!AA:AA,'Supp Consol'!Z:Z,"Expired Previous Months",'Supp Consol'!A:A,O1094))</f>
        <v/>
      </c>
      <c r="AK1094" s="25" t="str">
        <f>IFERROR(INDEX('Hun Release Current'!B:B,MATCH(O1094,'Hun Release Current'!A:A,0)),"")</f>
        <v/>
      </c>
      <c r="AL1094" s="25" t="str">
        <f>IF(SUMIF('Prev Aub'!A:A,O1094,'Prev Aub'!B:B)=0,"",SUMIF('Prev Aub'!A:A,O1094,'Prev Aub'!B:B))</f>
        <v/>
      </c>
      <c r="AN1094" s="25" t="s">
        <v>3790</v>
      </c>
      <c r="AO1094" s="25" t="s">
        <v>3790</v>
      </c>
      <c r="AP1094" s="25">
        <f t="shared" si="482"/>
        <v>0</v>
      </c>
      <c r="AQ1094" s="151" t="str">
        <f>IF(SUMIFS('Supp Consol'!S:S,'Supp Consol'!A:A,O1094,'Supp Consol'!I:I,"PENDING")=0,"",SUMIFS('Supp Consol'!S:S,'Supp Consol'!A:A,O1094,'Supp Consol'!I:I,"PENDING"))</f>
        <v/>
      </c>
      <c r="AR1094" s="27" t="str">
        <f t="shared" si="483"/>
        <v>SP414</v>
      </c>
      <c r="AS1094" s="27" t="str">
        <f t="shared" si="484"/>
        <v>50</v>
      </c>
      <c r="AT1094" s="27" t="str">
        <f t="shared" si="485"/>
        <v/>
      </c>
      <c r="AU1094" s="27" t="str">
        <f t="shared" si="486"/>
        <v/>
      </c>
      <c r="AV1094" s="27" t="str">
        <f t="shared" si="487"/>
        <v/>
      </c>
      <c r="AW1094" s="27" t="str">
        <f t="shared" si="488"/>
        <v/>
      </c>
      <c r="AX1094" s="27" t="str">
        <f t="shared" si="489"/>
        <v/>
      </c>
      <c r="AY1094" s="27" t="str">
        <f t="shared" si="490"/>
        <v/>
      </c>
      <c r="AZ1094" s="27" t="str">
        <f t="shared" si="491"/>
        <v/>
      </c>
      <c r="BA1094" s="27" t="str">
        <f t="shared" si="492"/>
        <v/>
      </c>
      <c r="BB1094" s="27" t="str">
        <f t="shared" si="493"/>
        <v/>
      </c>
      <c r="BC1094" s="27" t="str">
        <f t="shared" si="494"/>
        <v/>
      </c>
      <c r="BD1094" s="27" t="str">
        <f t="shared" si="495"/>
        <v/>
      </c>
      <c r="BE1094" s="27" t="str">
        <f t="shared" si="496"/>
        <v/>
      </c>
      <c r="BF1094" s="27" t="str">
        <f t="shared" si="497"/>
        <v/>
      </c>
      <c r="BG1094" s="27" t="str">
        <f t="shared" si="498"/>
        <v/>
      </c>
      <c r="BH1094" s="27" t="str">
        <f t="shared" si="499"/>
        <v/>
      </c>
      <c r="BI1094" s="27" t="str">
        <f t="shared" si="500"/>
        <v/>
      </c>
      <c r="BJ1094" s="27" t="str">
        <f t="shared" si="501"/>
        <v/>
      </c>
      <c r="BK1094" s="27" t="str">
        <f t="shared" si="502"/>
        <v/>
      </c>
      <c r="BL1094" s="27" t="str">
        <f t="shared" si="503"/>
        <v/>
      </c>
      <c r="BM1094" s="21" t="s">
        <v>5581</v>
      </c>
    </row>
    <row r="1095" spans="1:65" ht="15">
      <c r="A1095" s="25" t="str">
        <f>IFERROR(INDEX('Hun Demand'!W:W,MATCH(O1095,'Hun Demand'!A:A,0)),"")</f>
        <v/>
      </c>
      <c r="B1095" s="25" t="str">
        <f>IFERROR(INDEX('Hun Demand'!V:V,MATCH(O1095,'Hun Demand'!A:A,0)),"")</f>
        <v/>
      </c>
      <c r="C1095" s="25" t="str">
        <f>IFERROR(INDEX('Hun Demand'!U:U,MATCH(O1095,'Hun Demand'!A:A,0)),"")</f>
        <v/>
      </c>
      <c r="D1095" s="25" t="str">
        <f>IFERROR(INDEX('Hun Demand'!T:T,MATCH(O1095,'Hun Demand'!A:A,0)),"")</f>
        <v/>
      </c>
      <c r="E1095" s="25" t="str">
        <f>IFERROR(INDEX('Hun Demand'!S:S,MATCH(O1095,'Hun Demand'!A:A,0)),"")</f>
        <v/>
      </c>
      <c r="F1095" s="25" t="str">
        <f>IFERROR(INDEX('Hun Demand'!R:R,MATCH(O1095,'Hun Demand'!A:A,0)),"")</f>
        <v/>
      </c>
      <c r="G1095" s="25">
        <f>IFERROR(INDEX('Aub Demand'!W:W,MATCH(O1095,'Aub Demand'!A:A,0)),"")</f>
        <v>0</v>
      </c>
      <c r="H1095" s="25">
        <f>IFERROR(INDEX('Aub Demand'!V:V,MATCH(O1095,'Aub Demand'!A:A,0)),"")</f>
        <v>0</v>
      </c>
      <c r="I1095" s="25">
        <f>IFERROR(INDEX('Aub Demand'!U:U,MATCH(O1095,'Aub Demand'!A:A,0)),"")</f>
        <v>0</v>
      </c>
      <c r="J1095" s="25">
        <f>IFERROR(INDEX('Aub Demand'!T:T,MATCH(O1095,'Aub Demand'!A:A,0)),"")</f>
        <v>92</v>
      </c>
      <c r="K1095" s="25">
        <f>IFERROR(INDEX('Aub Demand'!S:S,MATCH(O1095,'Aub Demand'!A:A,0)),"")</f>
        <v>0</v>
      </c>
      <c r="L1095" s="25">
        <f>IFERROR(INDEX('Aub Demand'!R:R,MATCH(O1095,'Aub Demand'!A:A,0)),"")</f>
        <v>0</v>
      </c>
      <c r="O1095" s="27" t="s">
        <v>1472</v>
      </c>
      <c r="P1095" s="27" t="str">
        <f>IFERROR(INDEX('Aub Demand'!B:B,MATCH($O1095,'Aub Demand'!$A:$A,0)),"")</f>
        <v>TUTTI FRUTTI</v>
      </c>
      <c r="Q1095" s="27" t="str">
        <f>IFERROR(INDEX('Aub Demand'!C:C,MATCH($O1095,'Aub Demand'!$A:$A,0)),"")</f>
        <v>AHLST</v>
      </c>
      <c r="R1095" s="52">
        <f>IFERROR(IF(AR1096=AR1095,INDEX('Aub Demand'!K:K,MATCH($O1095,'Aub Demand'!$A:$A,0))-IF(AN1095="",0,AN1095)+AP1096,INDEX('Aub Demand'!K:K,MATCH($O1095,'Aub Demand'!$A:$A,0))-IF(AN1095="",0,AN1095)),"")</f>
        <v>2141</v>
      </c>
      <c r="S1095" s="53">
        <f t="shared" si="476"/>
        <v>296</v>
      </c>
      <c r="T1095" s="52" t="str">
        <f t="shared" si="477"/>
        <v/>
      </c>
      <c r="U1095" s="52">
        <f>IFERROR(IF(AR1096=AR1095,INDEX('Aub Demand'!Q:Q,MATCH($O1095,'Aub Demand'!$A:$A,0))-IF(AN1095="",0,AN1095)+AP1096,INDEX('Aub Demand'!Q:Q,MATCH($O1095,'Aub Demand'!$A:$A,0))-IF(AN1095="",0,AN1095)),"")</f>
        <v>2141</v>
      </c>
      <c r="V1095" s="53">
        <f t="shared" si="478"/>
        <v>296</v>
      </c>
      <c r="W1095" s="52" t="str">
        <f t="shared" si="479"/>
        <v/>
      </c>
      <c r="X1095" s="52">
        <f>IFERROR(IF(AND(AR1096=AR1095,AM1095&lt;&gt;""),INDEX('Aub Demand'!Q:Q,MATCH($O1095,'Aub Demand'!$A:$A,0))-IF(AN1095="",0,AN1095)+AP1096+AD1095+AL1095,IF(AR1096=AR1095,INDEX('Aub Demand'!Q:Q,MATCH($O1095,'Aub Demand'!$A:$A,0))-IF(AN1095="",0,AN1095)+AP1096+AD1095,IF(AM1095&lt;&gt;"",INDEX('Aub Demand'!Q:Q,MATCH($O1095,'Aub Demand'!$A:$A,0))-IF(AN1095="",0,AN1095)+AD1095+AL1095,INDEX('Aub Demand'!Q:Q,MATCH($O1095,'Aub Demand'!$A:$A,0))-IF(AN1095="",0,AN1095)+AD1095))),"")</f>
        <v>2141</v>
      </c>
      <c r="Y1095" s="53">
        <f t="shared" si="480"/>
        <v>296</v>
      </c>
      <c r="Z1095" s="52">
        <f>IF(L1095="","",INDEX('Aub Demand'!H:H,MATCH($O1095,'Aub Demand'!$A:$A,0)))</f>
        <v>31</v>
      </c>
      <c r="AA1095" s="52" t="str">
        <f t="shared" si="481"/>
        <v>-spike-</v>
      </c>
      <c r="AB1095" s="52">
        <f>IFERROR(INDEX('Aub Demand'!L:L,MATCH($O1095,'Aub Demand'!$A:$A,0)),"")</f>
        <v>74</v>
      </c>
      <c r="AC1095" s="52">
        <f>IFERROR(IF(O1095="","",SUMIFS('CPL Mats'!F:F,'CPL Mats'!Q:Q,AR1095,'CPL Mats'!S:S,AS1095)),"")</f>
        <v>0</v>
      </c>
      <c r="AF1095" s="25" t="str">
        <f>IF(SUMIFS('Supp Consol'!S:S,'Supp Consol'!Y:Y,"Releasable",'Supp Consol'!A:A,O1095)=0,"",SUMIFS('Supp Consol'!S:S,'Supp Consol'!Y:Y,"Releasable",'Supp Consol'!A:A,O1095))</f>
        <v/>
      </c>
      <c r="AG1095" s="25" t="str">
        <f>IFERROR(INDEX('Hun Demand'!Q:Q,MATCH(O1095,'Hun Demand'!A:A,0)),"")</f>
        <v/>
      </c>
      <c r="AH1095" s="25" t="str">
        <f>IFERROR(INDEX('Hun Demand'!H:H,MATCH($O1095,'Hun Demand'!$A:$A,0)),"")</f>
        <v/>
      </c>
      <c r="AI1095" s="25" t="str">
        <f>IF(SUMIFS('Supp Consol'!AA:AA,'Supp Consol'!Z:Z,"Expires this month",'Supp Consol'!A:A,O1095)=0,"",SUMIFS('Supp Consol'!AA:AA,'Supp Consol'!Z:Z,"Expires this month",'Supp Consol'!A:A,O1095))</f>
        <v/>
      </c>
      <c r="AJ1095" s="25" t="str">
        <f>IF(SUMIFS('Supp Consol'!AA:AA,'Supp Consol'!Z:Z,"Expired Previous Months",'Supp Consol'!A:A,O1095)=0,"",SUMIFS('Supp Consol'!AA:AA,'Supp Consol'!Z:Z,"Expired Previous Months",'Supp Consol'!A:A,O1095))</f>
        <v/>
      </c>
      <c r="AK1095" s="25" t="str">
        <f>IFERROR(INDEX('Hun Release Current'!B:B,MATCH(O1095,'Hun Release Current'!A:A,0)),"")</f>
        <v/>
      </c>
      <c r="AL1095" s="25" t="str">
        <f>IF(SUMIF('Prev Aub'!A:A,O1095,'Prev Aub'!B:B)=0,"",SUMIF('Prev Aub'!A:A,O1095,'Prev Aub'!B:B))</f>
        <v/>
      </c>
      <c r="AN1095" s="25" t="s">
        <v>3790</v>
      </c>
      <c r="AO1095" s="25" t="s">
        <v>3790</v>
      </c>
      <c r="AP1095" s="25">
        <f t="shared" si="482"/>
        <v>0</v>
      </c>
      <c r="AQ1095" s="151" t="str">
        <f>IF(SUMIFS('Supp Consol'!S:S,'Supp Consol'!A:A,O1095,'Supp Consol'!I:I,"PENDING")=0,"",SUMIFS('Supp Consol'!S:S,'Supp Consol'!A:A,O1095,'Supp Consol'!I:I,"PENDING"))</f>
        <v/>
      </c>
      <c r="AR1095" s="27" t="str">
        <f t="shared" si="483"/>
        <v>SP414</v>
      </c>
      <c r="AS1095" s="27" t="str">
        <f t="shared" si="484"/>
        <v>62</v>
      </c>
      <c r="AT1095" s="27" t="str">
        <f t="shared" si="485"/>
        <v/>
      </c>
      <c r="AU1095" s="27" t="str">
        <f t="shared" si="486"/>
        <v/>
      </c>
      <c r="AV1095" s="27" t="str">
        <f t="shared" si="487"/>
        <v/>
      </c>
      <c r="AW1095" s="27" t="str">
        <f t="shared" si="488"/>
        <v/>
      </c>
      <c r="AX1095" s="27" t="str">
        <f t="shared" si="489"/>
        <v/>
      </c>
      <c r="AY1095" s="27" t="str">
        <f t="shared" si="490"/>
        <v/>
      </c>
      <c r="AZ1095" s="27" t="str">
        <f t="shared" si="491"/>
        <v/>
      </c>
      <c r="BA1095" s="27" t="str">
        <f t="shared" si="492"/>
        <v/>
      </c>
      <c r="BB1095" s="27" t="str">
        <f t="shared" si="493"/>
        <v/>
      </c>
      <c r="BC1095" s="27" t="str">
        <f t="shared" si="494"/>
        <v/>
      </c>
      <c r="BD1095" s="27" t="str">
        <f t="shared" si="495"/>
        <v/>
      </c>
      <c r="BE1095" s="27" t="str">
        <f t="shared" si="496"/>
        <v/>
      </c>
      <c r="BF1095" s="27" t="str">
        <f t="shared" si="497"/>
        <v/>
      </c>
      <c r="BG1095" s="27" t="str">
        <f t="shared" si="498"/>
        <v/>
      </c>
      <c r="BH1095" s="27" t="str">
        <f t="shared" si="499"/>
        <v/>
      </c>
      <c r="BI1095" s="27" t="str">
        <f t="shared" si="500"/>
        <v/>
      </c>
      <c r="BJ1095" s="27" t="str">
        <f t="shared" si="501"/>
        <v/>
      </c>
      <c r="BK1095" s="27" t="str">
        <f t="shared" si="502"/>
        <v/>
      </c>
      <c r="BL1095" s="27" t="str">
        <f t="shared" si="503"/>
        <v/>
      </c>
      <c r="BM1095" s="21" t="s">
        <v>5581</v>
      </c>
    </row>
    <row r="1096" spans="1:65" ht="15">
      <c r="A1096" s="25">
        <f>IFERROR(INDEX('Hun Demand'!W:W,MATCH(O1096,'Hun Demand'!A:A,0)),"")</f>
        <v>0</v>
      </c>
      <c r="B1096" s="25">
        <f>IFERROR(INDEX('Hun Demand'!V:V,MATCH(O1096,'Hun Demand'!A:A,0)),"")</f>
        <v>0</v>
      </c>
      <c r="C1096" s="25">
        <f>IFERROR(INDEX('Hun Demand'!U:U,MATCH(O1096,'Hun Demand'!A:A,0)),"")</f>
        <v>0</v>
      </c>
      <c r="D1096" s="25">
        <f>IFERROR(INDEX('Hun Demand'!T:T,MATCH(O1096,'Hun Demand'!A:A,0)),"")</f>
        <v>0</v>
      </c>
      <c r="E1096" s="25">
        <f>IFERROR(INDEX('Hun Demand'!S:S,MATCH(O1096,'Hun Demand'!A:A,0)),"")</f>
        <v>0</v>
      </c>
      <c r="F1096" s="25">
        <f>IFERROR(INDEX('Hun Demand'!R:R,MATCH(O1096,'Hun Demand'!A:A,0)),"")</f>
        <v>0</v>
      </c>
      <c r="G1096" s="25">
        <f>IFERROR(INDEX('Aub Demand'!W:W,MATCH(O1096,'Aub Demand'!A:A,0)),"")</f>
        <v>45</v>
      </c>
      <c r="H1096" s="25">
        <f>IFERROR(INDEX('Aub Demand'!V:V,MATCH(O1096,'Aub Demand'!A:A,0)),"")</f>
        <v>0</v>
      </c>
      <c r="I1096" s="25">
        <f>IFERROR(INDEX('Aub Demand'!U:U,MATCH(O1096,'Aub Demand'!A:A,0)),"")</f>
        <v>0</v>
      </c>
      <c r="J1096" s="25">
        <f>IFERROR(INDEX('Aub Demand'!T:T,MATCH(O1096,'Aub Demand'!A:A,0)),"")</f>
        <v>12</v>
      </c>
      <c r="K1096" s="25">
        <f>IFERROR(INDEX('Aub Demand'!S:S,MATCH(O1096,'Aub Demand'!A:A,0)),"")</f>
        <v>0</v>
      </c>
      <c r="L1096" s="25">
        <f>IFERROR(INDEX('Aub Demand'!R:R,MATCH(O1096,'Aub Demand'!A:A,0)),"")</f>
        <v>0</v>
      </c>
      <c r="O1096" s="27" t="s">
        <v>2673</v>
      </c>
      <c r="P1096" s="27" t="str">
        <f>IFERROR(INDEX('Aub Demand'!B:B,MATCH($O1096,'Aub Demand'!$A:$A,0)),"")</f>
        <v>TYRIAN PURPLE</v>
      </c>
      <c r="Q1096" s="27" t="str">
        <f>IFERROR(INDEX('Aub Demand'!C:C,MATCH($O1096,'Aub Demand'!$A:$A,0)),"")</f>
        <v>AHLST</v>
      </c>
      <c r="R1096" s="52">
        <f>IFERROR(IF(AR1097=AR1096,INDEX('Aub Demand'!K:K,MATCH($O1096,'Aub Demand'!$A:$A,0))-IF(AN1096="",0,AN1096)+AP1097,INDEX('Aub Demand'!K:K,MATCH($O1096,'Aub Demand'!$A:$A,0))-IF(AN1096="",0,AN1096)),"")</f>
        <v>1079</v>
      </c>
      <c r="S1096" s="53">
        <f t="shared" si="476"/>
        <v>1156.0999999999999</v>
      </c>
      <c r="T1096" s="52" t="str">
        <f t="shared" si="477"/>
        <v/>
      </c>
      <c r="U1096" s="52">
        <f>IFERROR(IF(AR1097=AR1096,INDEX('Aub Demand'!Q:Q,MATCH($O1096,'Aub Demand'!$A:$A,0))-IF(AN1096="",0,AN1096)+AP1097,INDEX('Aub Demand'!Q:Q,MATCH($O1096,'Aub Demand'!$A:$A,0))-IF(AN1096="",0,AN1096)),"")</f>
        <v>1079</v>
      </c>
      <c r="V1096" s="53">
        <f t="shared" si="478"/>
        <v>1156.0999999999999</v>
      </c>
      <c r="W1096" s="52" t="str">
        <f t="shared" si="479"/>
        <v/>
      </c>
      <c r="X1096" s="52">
        <f>IFERROR(IF(AND(AR1097=AR1096,AM1096&lt;&gt;""),INDEX('Aub Demand'!Q:Q,MATCH($O1096,'Aub Demand'!$A:$A,0))-IF(AN1096="",0,AN1096)+AP1097+AD1096+AL1096,IF(AR1097=AR1096,INDEX('Aub Demand'!Q:Q,MATCH($O1096,'Aub Demand'!$A:$A,0))-IF(AN1096="",0,AN1096)+AP1097+AD1096,IF(AM1096&lt;&gt;"",INDEX('Aub Demand'!Q:Q,MATCH($O1096,'Aub Demand'!$A:$A,0))-IF(AN1096="",0,AN1096)+AD1096+AL1096,INDEX('Aub Demand'!Q:Q,MATCH($O1096,'Aub Demand'!$A:$A,0))-IF(AN1096="",0,AN1096)+AD1096))),"")</f>
        <v>1079</v>
      </c>
      <c r="Y1096" s="53">
        <f t="shared" si="480"/>
        <v>1156.0999999999999</v>
      </c>
      <c r="Z1096" s="52">
        <f>IF(L1096="","",INDEX('Aub Demand'!H:H,MATCH($O1096,'Aub Demand'!$A:$A,0)))</f>
        <v>4</v>
      </c>
      <c r="AA1096" s="52" t="str">
        <f t="shared" si="481"/>
        <v>-spike-</v>
      </c>
      <c r="AB1096" s="52">
        <f>IFERROR(INDEX('Aub Demand'!L:L,MATCH($O1096,'Aub Demand'!$A:$A,0)),"")</f>
        <v>38</v>
      </c>
      <c r="AC1096" s="52">
        <f>IFERROR(IF(O1096="","",SUMIFS('CPL Mats'!F:F,'CPL Mats'!Q:Q,AR1096,'CPL Mats'!S:S,AS1096)),"")</f>
        <v>0</v>
      </c>
      <c r="AF1096" s="25" t="str">
        <f>IF(SUMIFS('Supp Consol'!S:S,'Supp Consol'!Y:Y,"Releasable",'Supp Consol'!A:A,O1096)=0,"",SUMIFS('Supp Consol'!S:S,'Supp Consol'!Y:Y,"Releasable",'Supp Consol'!A:A,O1096))</f>
        <v/>
      </c>
      <c r="AG1096" s="25">
        <f>IFERROR(INDEX('Hun Demand'!Q:Q,MATCH(O1096,'Hun Demand'!A:A,0)),"")</f>
        <v>215</v>
      </c>
      <c r="AH1096" s="25">
        <f>IFERROR(INDEX('Hun Demand'!H:H,MATCH($O1096,'Hun Demand'!$A:$A,0)),"")</f>
        <v>0</v>
      </c>
      <c r="AI1096" s="25" t="str">
        <f>IF(SUMIFS('Supp Consol'!AA:AA,'Supp Consol'!Z:Z,"Expires this month",'Supp Consol'!A:A,O1096)=0,"",SUMIFS('Supp Consol'!AA:AA,'Supp Consol'!Z:Z,"Expires this month",'Supp Consol'!A:A,O1096))</f>
        <v/>
      </c>
      <c r="AJ1096" s="25" t="str">
        <f>IF(SUMIFS('Supp Consol'!AA:AA,'Supp Consol'!Z:Z,"Expired Previous Months",'Supp Consol'!A:A,O1096)=0,"",SUMIFS('Supp Consol'!AA:AA,'Supp Consol'!Z:Z,"Expired Previous Months",'Supp Consol'!A:A,O1096))</f>
        <v/>
      </c>
      <c r="AK1096" s="25" t="str">
        <f>IFERROR(INDEX('Hun Release Current'!B:B,MATCH(O1096,'Hun Release Current'!A:A,0)),"")</f>
        <v/>
      </c>
      <c r="AL1096" s="25" t="str">
        <f>IF(SUMIF('Prev Aub'!A:A,O1096,'Prev Aub'!B:B)=0,"",SUMIF('Prev Aub'!A:A,O1096,'Prev Aub'!B:B))</f>
        <v/>
      </c>
      <c r="AN1096" s="25" t="s">
        <v>3790</v>
      </c>
      <c r="AO1096" s="25" t="s">
        <v>3790</v>
      </c>
      <c r="AP1096" s="25">
        <f t="shared" si="482"/>
        <v>0</v>
      </c>
      <c r="AQ1096" s="151" t="str">
        <f>IF(SUMIFS('Supp Consol'!S:S,'Supp Consol'!A:A,O1096,'Supp Consol'!I:I,"PENDING")=0,"",SUMIFS('Supp Consol'!S:S,'Supp Consol'!A:A,O1096,'Supp Consol'!I:I,"PENDING"))</f>
        <v/>
      </c>
      <c r="AR1096" s="27" t="str">
        <f t="shared" si="483"/>
        <v>SP417</v>
      </c>
      <c r="AS1096" s="27" t="str">
        <f t="shared" si="484"/>
        <v>50</v>
      </c>
      <c r="AT1096" s="27" t="str">
        <f t="shared" si="485"/>
        <v/>
      </c>
      <c r="AU1096" s="27" t="str">
        <f t="shared" si="486"/>
        <v/>
      </c>
      <c r="AV1096" s="27" t="str">
        <f t="shared" si="487"/>
        <v/>
      </c>
      <c r="AW1096" s="27" t="str">
        <f t="shared" si="488"/>
        <v/>
      </c>
      <c r="AX1096" s="27" t="str">
        <f t="shared" si="489"/>
        <v/>
      </c>
      <c r="AY1096" s="27" t="str">
        <f t="shared" si="490"/>
        <v>SP417</v>
      </c>
      <c r="AZ1096" s="27" t="str">
        <f t="shared" si="491"/>
        <v/>
      </c>
      <c r="BA1096" s="27" t="str">
        <f t="shared" si="492"/>
        <v>Hun</v>
      </c>
      <c r="BB1096" s="27" t="str">
        <f t="shared" si="493"/>
        <v/>
      </c>
      <c r="BC1096" s="27" t="str">
        <f t="shared" si="494"/>
        <v/>
      </c>
      <c r="BD1096" s="27" t="str">
        <f t="shared" si="495"/>
        <v/>
      </c>
      <c r="BE1096" s="27" t="str">
        <f t="shared" si="496"/>
        <v/>
      </c>
      <c r="BF1096" s="27" t="str">
        <f t="shared" si="497"/>
        <v/>
      </c>
      <c r="BG1096" s="27" t="str">
        <f t="shared" si="498"/>
        <v/>
      </c>
      <c r="BH1096" s="27" t="str">
        <f t="shared" si="499"/>
        <v/>
      </c>
      <c r="BI1096" s="27" t="str">
        <f t="shared" si="500"/>
        <v/>
      </c>
      <c r="BJ1096" s="27" t="str">
        <f t="shared" si="501"/>
        <v>Supp or Hun</v>
      </c>
      <c r="BK1096" s="27" t="str">
        <f t="shared" si="502"/>
        <v/>
      </c>
      <c r="BL1096" s="27" t="str">
        <f t="shared" si="503"/>
        <v/>
      </c>
      <c r="BM1096" s="21" t="s">
        <v>5581</v>
      </c>
    </row>
    <row r="1097" spans="1:65" ht="15">
      <c r="A1097" s="25" t="str">
        <f>IFERROR(INDEX('Hun Demand'!W:W,MATCH(O1097,'Hun Demand'!A:A,0)),"")</f>
        <v/>
      </c>
      <c r="B1097" s="25" t="str">
        <f>IFERROR(INDEX('Hun Demand'!V:V,MATCH(O1097,'Hun Demand'!A:A,0)),"")</f>
        <v/>
      </c>
      <c r="C1097" s="25" t="str">
        <f>IFERROR(INDEX('Hun Demand'!U:U,MATCH(O1097,'Hun Demand'!A:A,0)),"")</f>
        <v/>
      </c>
      <c r="D1097" s="25" t="str">
        <f>IFERROR(INDEX('Hun Demand'!T:T,MATCH(O1097,'Hun Demand'!A:A,0)),"")</f>
        <v/>
      </c>
      <c r="E1097" s="25" t="str">
        <f>IFERROR(INDEX('Hun Demand'!S:S,MATCH(O1097,'Hun Demand'!A:A,0)),"")</f>
        <v/>
      </c>
      <c r="F1097" s="25" t="str">
        <f>IFERROR(INDEX('Hun Demand'!R:R,MATCH(O1097,'Hun Demand'!A:A,0)),"")</f>
        <v/>
      </c>
      <c r="G1097" s="25">
        <f>IFERROR(INDEX('Aub Demand'!W:W,MATCH(O1097,'Aub Demand'!A:A,0)),"")</f>
        <v>0</v>
      </c>
      <c r="H1097" s="25">
        <f>IFERROR(INDEX('Aub Demand'!V:V,MATCH(O1097,'Aub Demand'!A:A,0)),"")</f>
        <v>0</v>
      </c>
      <c r="I1097" s="25">
        <f>IFERROR(INDEX('Aub Demand'!U:U,MATCH(O1097,'Aub Demand'!A:A,0)),"")</f>
        <v>0</v>
      </c>
      <c r="J1097" s="25">
        <f>IFERROR(INDEX('Aub Demand'!T:T,MATCH(O1097,'Aub Demand'!A:A,0)),"")</f>
        <v>0</v>
      </c>
      <c r="K1097" s="25">
        <f>IFERROR(INDEX('Aub Demand'!S:S,MATCH(O1097,'Aub Demand'!A:A,0)),"")</f>
        <v>0</v>
      </c>
      <c r="L1097" s="25">
        <f>IFERROR(INDEX('Aub Demand'!R:R,MATCH(O1097,'Aub Demand'!A:A,0)),"")</f>
        <v>0</v>
      </c>
      <c r="O1097" s="27" t="s">
        <v>2675</v>
      </c>
      <c r="P1097" s="27" t="str">
        <f>IFERROR(INDEX('Aub Demand'!B:B,MATCH($O1097,'Aub Demand'!$A:$A,0)),"")</f>
        <v>TYRIAN PURPLE</v>
      </c>
      <c r="Q1097" s="27" t="str">
        <f>IFERROR(INDEX('Aub Demand'!C:C,MATCH($O1097,'Aub Demand'!$A:$A,0)),"")</f>
        <v>AHLST</v>
      </c>
      <c r="R1097" s="52">
        <f>IFERROR(IF(AR1098=AR1097,INDEX('Aub Demand'!K:K,MATCH($O1097,'Aub Demand'!$A:$A,0))-IF(AN1097="",0,AN1097)+AP1098,INDEX('Aub Demand'!K:K,MATCH($O1097,'Aub Demand'!$A:$A,0))-IF(AN1097="",0,AN1097)),"")</f>
        <v>910</v>
      </c>
      <c r="S1097" s="53" t="str">
        <f t="shared" si="476"/>
        <v>n/a</v>
      </c>
      <c r="T1097" s="52" t="str">
        <f t="shared" si="477"/>
        <v/>
      </c>
      <c r="U1097" s="52">
        <f>IFERROR(IF(AR1098=AR1097,INDEX('Aub Demand'!Q:Q,MATCH($O1097,'Aub Demand'!$A:$A,0))-IF(AN1097="",0,AN1097)+AP1098,INDEX('Aub Demand'!Q:Q,MATCH($O1097,'Aub Demand'!$A:$A,0))-IF(AN1097="",0,AN1097)),"")</f>
        <v>910</v>
      </c>
      <c r="V1097" s="53" t="str">
        <f t="shared" si="478"/>
        <v>n/a</v>
      </c>
      <c r="W1097" s="52" t="str">
        <f t="shared" si="479"/>
        <v/>
      </c>
      <c r="X1097" s="52">
        <f>IFERROR(IF(AND(AR1098=AR1097,AM1097&lt;&gt;""),INDEX('Aub Demand'!Q:Q,MATCH($O1097,'Aub Demand'!$A:$A,0))-IF(AN1097="",0,AN1097)+AP1098+AD1097+AL1097,IF(AR1098=AR1097,INDEX('Aub Demand'!Q:Q,MATCH($O1097,'Aub Demand'!$A:$A,0))-IF(AN1097="",0,AN1097)+AP1098+AD1097,IF(AM1097&lt;&gt;"",INDEX('Aub Demand'!Q:Q,MATCH($O1097,'Aub Demand'!$A:$A,0))-IF(AN1097="",0,AN1097)+AD1097+AL1097,INDEX('Aub Demand'!Q:Q,MATCH($O1097,'Aub Demand'!$A:$A,0))-IF(AN1097="",0,AN1097)+AD1097))),"")</f>
        <v>910</v>
      </c>
      <c r="Y1097" s="53" t="str">
        <f t="shared" si="480"/>
        <v>n/a</v>
      </c>
      <c r="Z1097" s="52">
        <f>IF(L1097="","",INDEX('Aub Demand'!H:H,MATCH($O1097,'Aub Demand'!$A:$A,0)))</f>
        <v>0</v>
      </c>
      <c r="AA1097" s="52" t="str">
        <f t="shared" si="481"/>
        <v>-spike-</v>
      </c>
      <c r="AB1097" s="52">
        <f>IFERROR(INDEX('Aub Demand'!L:L,MATCH($O1097,'Aub Demand'!$A:$A,0)),"")</f>
        <v>13</v>
      </c>
      <c r="AC1097" s="52">
        <f>IFERROR(IF(O1097="","",SUMIFS('CPL Mats'!F:F,'CPL Mats'!Q:Q,AR1097,'CPL Mats'!S:S,AS1097)),"")</f>
        <v>0</v>
      </c>
      <c r="AF1097" s="25" t="str">
        <f>IF(SUMIFS('Supp Consol'!S:S,'Supp Consol'!Y:Y,"Releasable",'Supp Consol'!A:A,O1097)=0,"",SUMIFS('Supp Consol'!S:S,'Supp Consol'!Y:Y,"Releasable",'Supp Consol'!A:A,O1097))</f>
        <v/>
      </c>
      <c r="AG1097" s="25" t="str">
        <f>IFERROR(INDEX('Hun Demand'!Q:Q,MATCH(O1097,'Hun Demand'!A:A,0)),"")</f>
        <v/>
      </c>
      <c r="AH1097" s="25" t="str">
        <f>IFERROR(INDEX('Hun Demand'!H:H,MATCH($O1097,'Hun Demand'!$A:$A,0)),"")</f>
        <v/>
      </c>
      <c r="AI1097" s="25" t="str">
        <f>IF(SUMIFS('Supp Consol'!AA:AA,'Supp Consol'!Z:Z,"Expires this month",'Supp Consol'!A:A,O1097)=0,"",SUMIFS('Supp Consol'!AA:AA,'Supp Consol'!Z:Z,"Expires this month",'Supp Consol'!A:A,O1097))</f>
        <v/>
      </c>
      <c r="AJ1097" s="25" t="str">
        <f>IF(SUMIFS('Supp Consol'!AA:AA,'Supp Consol'!Z:Z,"Expired Previous Months",'Supp Consol'!A:A,O1097)=0,"",SUMIFS('Supp Consol'!AA:AA,'Supp Consol'!Z:Z,"Expired Previous Months",'Supp Consol'!A:A,O1097))</f>
        <v/>
      </c>
      <c r="AK1097" s="25" t="str">
        <f>IFERROR(INDEX('Hun Release Current'!B:B,MATCH(O1097,'Hun Release Current'!A:A,0)),"")</f>
        <v/>
      </c>
      <c r="AL1097" s="25" t="str">
        <f>IF(SUMIF('Prev Aub'!A:A,O1097,'Prev Aub'!B:B)=0,"",SUMIF('Prev Aub'!A:A,O1097,'Prev Aub'!B:B))</f>
        <v/>
      </c>
      <c r="AN1097" s="25" t="s">
        <v>3790</v>
      </c>
      <c r="AO1097" s="25" t="s">
        <v>3790</v>
      </c>
      <c r="AP1097" s="25">
        <f t="shared" si="482"/>
        <v>0</v>
      </c>
      <c r="AQ1097" s="151" t="str">
        <f>IF(SUMIFS('Supp Consol'!S:S,'Supp Consol'!A:A,O1097,'Supp Consol'!I:I,"PENDING")=0,"",SUMIFS('Supp Consol'!S:S,'Supp Consol'!A:A,O1097,'Supp Consol'!I:I,"PENDING"))</f>
        <v/>
      </c>
      <c r="AR1097" s="27" t="str">
        <f t="shared" si="483"/>
        <v>SP417</v>
      </c>
      <c r="AS1097" s="27" t="str">
        <f t="shared" si="484"/>
        <v>62</v>
      </c>
      <c r="AT1097" s="27" t="str">
        <f t="shared" si="485"/>
        <v/>
      </c>
      <c r="AU1097" s="27" t="str">
        <f t="shared" si="486"/>
        <v/>
      </c>
      <c r="AV1097" s="27" t="str">
        <f t="shared" si="487"/>
        <v/>
      </c>
      <c r="AW1097" s="27" t="str">
        <f t="shared" si="488"/>
        <v/>
      </c>
      <c r="AX1097" s="27" t="str">
        <f t="shared" si="489"/>
        <v/>
      </c>
      <c r="AY1097" s="27" t="str">
        <f t="shared" si="490"/>
        <v/>
      </c>
      <c r="AZ1097" s="27" t="str">
        <f t="shared" si="491"/>
        <v/>
      </c>
      <c r="BA1097" s="27" t="str">
        <f t="shared" si="492"/>
        <v>Hun</v>
      </c>
      <c r="BB1097" s="27" t="str">
        <f t="shared" si="493"/>
        <v/>
      </c>
      <c r="BC1097" s="27" t="str">
        <f t="shared" si="494"/>
        <v/>
      </c>
      <c r="BD1097" s="27" t="str">
        <f t="shared" si="495"/>
        <v/>
      </c>
      <c r="BE1097" s="27" t="str">
        <f t="shared" si="496"/>
        <v/>
      </c>
      <c r="BF1097" s="27" t="str">
        <f t="shared" si="497"/>
        <v/>
      </c>
      <c r="BG1097" s="27" t="str">
        <f t="shared" si="498"/>
        <v/>
      </c>
      <c r="BH1097" s="27" t="str">
        <f t="shared" si="499"/>
        <v/>
      </c>
      <c r="BI1097" s="27" t="str">
        <f t="shared" si="500"/>
        <v/>
      </c>
      <c r="BJ1097" s="27" t="str">
        <f t="shared" si="501"/>
        <v>Supp or Hun</v>
      </c>
      <c r="BK1097" s="27" t="str">
        <f t="shared" si="502"/>
        <v/>
      </c>
      <c r="BL1097" s="27" t="str">
        <f t="shared" si="503"/>
        <v/>
      </c>
      <c r="BM1097" s="21" t="s">
        <v>5581</v>
      </c>
    </row>
    <row r="1098" spans="1:65" ht="15">
      <c r="A1098" s="25">
        <f>IFERROR(INDEX('Hun Demand'!W:W,MATCH(O1098,'Hun Demand'!A:A,0)),"")</f>
        <v>186</v>
      </c>
      <c r="B1098" s="25">
        <f>IFERROR(INDEX('Hun Demand'!V:V,MATCH(O1098,'Hun Demand'!A:A,0)),"")</f>
        <v>0</v>
      </c>
      <c r="C1098" s="25">
        <f>IFERROR(INDEX('Hun Demand'!U:U,MATCH(O1098,'Hun Demand'!A:A,0)),"")</f>
        <v>0</v>
      </c>
      <c r="D1098" s="25">
        <f>IFERROR(INDEX('Hun Demand'!T:T,MATCH(O1098,'Hun Demand'!A:A,0)),"")</f>
        <v>0</v>
      </c>
      <c r="E1098" s="25">
        <f>IFERROR(INDEX('Hun Demand'!S:S,MATCH(O1098,'Hun Demand'!A:A,0)),"")</f>
        <v>0</v>
      </c>
      <c r="F1098" s="25">
        <f>IFERROR(INDEX('Hun Demand'!R:R,MATCH(O1098,'Hun Demand'!A:A,0)),"")</f>
        <v>0</v>
      </c>
      <c r="G1098" s="25">
        <f>IFERROR(INDEX('Aub Demand'!W:W,MATCH(O1098,'Aub Demand'!A:A,0)),"")</f>
        <v>84</v>
      </c>
      <c r="H1098" s="25">
        <f>IFERROR(INDEX('Aub Demand'!V:V,MATCH(O1098,'Aub Demand'!A:A,0)),"")</f>
        <v>90</v>
      </c>
      <c r="I1098" s="25">
        <f>IFERROR(INDEX('Aub Demand'!U:U,MATCH(O1098,'Aub Demand'!A:A,0)),"")</f>
        <v>0</v>
      </c>
      <c r="J1098" s="25">
        <f>IFERROR(INDEX('Aub Demand'!T:T,MATCH(O1098,'Aub Demand'!A:A,0)),"")</f>
        <v>0</v>
      </c>
      <c r="K1098" s="25">
        <f>IFERROR(INDEX('Aub Demand'!S:S,MATCH(O1098,'Aub Demand'!A:A,0)),"")</f>
        <v>225</v>
      </c>
      <c r="L1098" s="25">
        <f>IFERROR(INDEX('Aub Demand'!R:R,MATCH(O1098,'Aub Demand'!A:A,0)),"")</f>
        <v>0</v>
      </c>
      <c r="O1098" s="27" t="s">
        <v>2676</v>
      </c>
      <c r="P1098" s="27" t="str">
        <f>IFERROR(INDEX('Aub Demand'!B:B,MATCH($O1098,'Aub Demand'!$A:$A,0)),"")</f>
        <v>LIBERTY RED 48"</v>
      </c>
      <c r="Q1098" s="27" t="str">
        <f>IFERROR(INDEX('Aub Demand'!C:C,MATCH($O1098,'Aub Demand'!$A:$A,0)),"")</f>
        <v>ONYX</v>
      </c>
      <c r="R1098" s="52">
        <f>IFERROR(IF(AR1099=AR1098,INDEX('Aub Demand'!K:K,MATCH($O1098,'Aub Demand'!$A:$A,0))-IF(AN1098="",0,AN1098)+AP1099,INDEX('Aub Demand'!K:K,MATCH($O1098,'Aub Demand'!$A:$A,0))-IF(AN1098="",0,AN1098)),"")</f>
        <v>1927</v>
      </c>
      <c r="S1098" s="53">
        <f t="shared" si="476"/>
        <v>110.1</v>
      </c>
      <c r="T1098" s="52" t="str">
        <f t="shared" si="477"/>
        <v/>
      </c>
      <c r="U1098" s="52">
        <f>IFERROR(IF(AR1099=AR1098,INDEX('Aub Demand'!Q:Q,MATCH($O1098,'Aub Demand'!$A:$A,0))-IF(AN1098="",0,AN1098)+AP1099,INDEX('Aub Demand'!Q:Q,MATCH($O1098,'Aub Demand'!$A:$A,0))-IF(AN1098="",0,AN1098)),"")</f>
        <v>1826</v>
      </c>
      <c r="V1098" s="53">
        <f t="shared" si="478"/>
        <v>104.3</v>
      </c>
      <c r="W1098" s="52" t="str">
        <f t="shared" si="479"/>
        <v/>
      </c>
      <c r="X1098" s="52">
        <f>IFERROR(IF(AND(AR1099=AR1098,AM1098&lt;&gt;""),INDEX('Aub Demand'!Q:Q,MATCH($O1098,'Aub Demand'!$A:$A,0))-IF(AN1098="",0,AN1098)+AP1099+AD1098+AL1098,IF(AR1099=AR1098,INDEX('Aub Demand'!Q:Q,MATCH($O1098,'Aub Demand'!$A:$A,0))-IF(AN1098="",0,AN1098)+AP1099+AD1098,IF(AM1098&lt;&gt;"",INDEX('Aub Demand'!Q:Q,MATCH($O1098,'Aub Demand'!$A:$A,0))-IF(AN1098="",0,AN1098)+AD1098+AL1098,INDEX('Aub Demand'!Q:Q,MATCH($O1098,'Aub Demand'!$A:$A,0))-IF(AN1098="",0,AN1098)+AD1098))),"")</f>
        <v>1826</v>
      </c>
      <c r="Y1098" s="53">
        <f t="shared" si="480"/>
        <v>104.3</v>
      </c>
      <c r="Z1098" s="52">
        <f>IF(L1098="","",INDEX('Aub Demand'!H:H,MATCH($O1098,'Aub Demand'!$A:$A,0)))</f>
        <v>75</v>
      </c>
      <c r="AA1098" s="52" t="str">
        <f t="shared" si="481"/>
        <v>-spike-</v>
      </c>
      <c r="AB1098" s="52">
        <f>IFERROR(INDEX('Aub Demand'!L:L,MATCH($O1098,'Aub Demand'!$A:$A,0)),"")</f>
        <v>96</v>
      </c>
      <c r="AC1098" s="52">
        <f>IFERROR(IF(O1098="","",SUMIFS('CPL Mats'!F:F,'CPL Mats'!Q:Q,AR1098,'CPL Mats'!S:S,AS1098)),"")</f>
        <v>0</v>
      </c>
      <c r="AF1098" s="25" t="str">
        <f>IF(SUMIFS('Supp Consol'!S:S,'Supp Consol'!Y:Y,"Releasable",'Supp Consol'!A:A,O1098)=0,"",SUMIFS('Supp Consol'!S:S,'Supp Consol'!Y:Y,"Releasable",'Supp Consol'!A:A,O1098))</f>
        <v/>
      </c>
      <c r="AG1098" s="25">
        <f>IFERROR(INDEX('Hun Demand'!Q:Q,MATCH(O1098,'Hun Demand'!A:A,0)),"")</f>
        <v>934</v>
      </c>
      <c r="AH1098" s="25">
        <f>IFERROR(INDEX('Hun Demand'!H:H,MATCH($O1098,'Hun Demand'!$A:$A,0)),"")</f>
        <v>0</v>
      </c>
      <c r="AI1098" s="25" t="str">
        <f>IF(SUMIFS('Supp Consol'!AA:AA,'Supp Consol'!Z:Z,"Expires this month",'Supp Consol'!A:A,O1098)=0,"",SUMIFS('Supp Consol'!AA:AA,'Supp Consol'!Z:Z,"Expires this month",'Supp Consol'!A:A,O1098))</f>
        <v/>
      </c>
      <c r="AJ1098" s="25" t="str">
        <f>IF(SUMIFS('Supp Consol'!AA:AA,'Supp Consol'!Z:Z,"Expired Previous Months",'Supp Consol'!A:A,O1098)=0,"",SUMIFS('Supp Consol'!AA:AA,'Supp Consol'!Z:Z,"Expired Previous Months",'Supp Consol'!A:A,O1098))</f>
        <v/>
      </c>
      <c r="AK1098" s="25" t="str">
        <f>IFERROR(INDEX('Hun Release Current'!B:B,MATCH(O1098,'Hun Release Current'!A:A,0)),"")</f>
        <v/>
      </c>
      <c r="AL1098" s="25" t="str">
        <f>IF(SUMIF('Prev Aub'!A:A,O1098,'Prev Aub'!B:B)=0,"",SUMIF('Prev Aub'!A:A,O1098,'Prev Aub'!B:B))</f>
        <v/>
      </c>
      <c r="AN1098" s="25" t="s">
        <v>3790</v>
      </c>
      <c r="AO1098" s="25" t="s">
        <v>3790</v>
      </c>
      <c r="AP1098" s="25">
        <f t="shared" si="482"/>
        <v>0</v>
      </c>
      <c r="AQ1098" s="151" t="str">
        <f>IF(SUMIFS('Supp Consol'!S:S,'Supp Consol'!A:A,O1098,'Supp Consol'!I:I,"PENDING")=0,"",SUMIFS('Supp Consol'!S:S,'Supp Consol'!A:A,O1098,'Supp Consol'!I:I,"PENDING"))</f>
        <v/>
      </c>
      <c r="AR1098" s="27" t="str">
        <f t="shared" si="483"/>
        <v>SR127</v>
      </c>
      <c r="AS1098" s="27" t="str">
        <f t="shared" si="484"/>
        <v>50</v>
      </c>
      <c r="AT1098" s="27" t="str">
        <f t="shared" si="485"/>
        <v/>
      </c>
      <c r="AU1098" s="27" t="str">
        <f t="shared" si="486"/>
        <v/>
      </c>
      <c r="AV1098" s="27" t="str">
        <f t="shared" si="487"/>
        <v/>
      </c>
      <c r="AW1098" s="27" t="str">
        <f t="shared" si="488"/>
        <v/>
      </c>
      <c r="AX1098" s="27" t="str">
        <f t="shared" si="489"/>
        <v/>
      </c>
      <c r="AY1098" s="27" t="str">
        <f t="shared" si="490"/>
        <v>SR127</v>
      </c>
      <c r="AZ1098" s="27" t="str">
        <f t="shared" si="491"/>
        <v/>
      </c>
      <c r="BA1098" s="27" t="str">
        <f t="shared" si="492"/>
        <v>Hun</v>
      </c>
      <c r="BB1098" s="27" t="str">
        <f t="shared" si="493"/>
        <v/>
      </c>
      <c r="BC1098" s="27" t="str">
        <f t="shared" si="494"/>
        <v/>
      </c>
      <c r="BD1098" s="27" t="str">
        <f t="shared" si="495"/>
        <v/>
      </c>
      <c r="BE1098" s="27" t="str">
        <f t="shared" si="496"/>
        <v/>
      </c>
      <c r="BF1098" s="27" t="str">
        <f t="shared" si="497"/>
        <v/>
      </c>
      <c r="BG1098" s="27" t="str">
        <f t="shared" si="498"/>
        <v/>
      </c>
      <c r="BH1098" s="27" t="str">
        <f t="shared" si="499"/>
        <v/>
      </c>
      <c r="BI1098" s="27" t="str">
        <f t="shared" si="500"/>
        <v/>
      </c>
      <c r="BJ1098" s="27" t="str">
        <f t="shared" si="501"/>
        <v>Supp or Hun</v>
      </c>
      <c r="BK1098" s="27" t="str">
        <f t="shared" si="502"/>
        <v/>
      </c>
      <c r="BL1098" s="27" t="str">
        <f t="shared" si="503"/>
        <v/>
      </c>
      <c r="BM1098" s="21" t="s">
        <v>5581</v>
      </c>
    </row>
    <row r="1099" spans="1:65" ht="15">
      <c r="A1099" s="25">
        <f>IFERROR(INDEX('Hun Demand'!W:W,MATCH(O1099,'Hun Demand'!A:A,0)),"")</f>
        <v>0</v>
      </c>
      <c r="B1099" s="25">
        <f>IFERROR(INDEX('Hun Demand'!V:V,MATCH(O1099,'Hun Demand'!A:A,0)),"")</f>
        <v>0</v>
      </c>
      <c r="C1099" s="25">
        <f>IFERROR(INDEX('Hun Demand'!U:U,MATCH(O1099,'Hun Demand'!A:A,0)),"")</f>
        <v>0</v>
      </c>
      <c r="D1099" s="25">
        <f>IFERROR(INDEX('Hun Demand'!T:T,MATCH(O1099,'Hun Demand'!A:A,0)),"")</f>
        <v>0</v>
      </c>
      <c r="E1099" s="25">
        <f>IFERROR(INDEX('Hun Demand'!S:S,MATCH(O1099,'Hun Demand'!A:A,0)),"")</f>
        <v>704</v>
      </c>
      <c r="F1099" s="25">
        <f>IFERROR(INDEX('Hun Demand'!R:R,MATCH(O1099,'Hun Demand'!A:A,0)),"")</f>
        <v>0</v>
      </c>
      <c r="G1099" s="25">
        <f>IFERROR(INDEX('Aub Demand'!W:W,MATCH(O1099,'Aub Demand'!A:A,0)),"")</f>
        <v>128</v>
      </c>
      <c r="H1099" s="25">
        <f>IFERROR(INDEX('Aub Demand'!V:V,MATCH(O1099,'Aub Demand'!A:A,0)),"")</f>
        <v>104</v>
      </c>
      <c r="I1099" s="25">
        <f>IFERROR(INDEX('Aub Demand'!U:U,MATCH(O1099,'Aub Demand'!A:A,0)),"")</f>
        <v>0</v>
      </c>
      <c r="J1099" s="25">
        <f>IFERROR(INDEX('Aub Demand'!T:T,MATCH(O1099,'Aub Demand'!A:A,0)),"")</f>
        <v>0</v>
      </c>
      <c r="K1099" s="25">
        <f>IFERROR(INDEX('Aub Demand'!S:S,MATCH(O1099,'Aub Demand'!A:A,0)),"")</f>
        <v>115</v>
      </c>
      <c r="L1099" s="25">
        <f>IFERROR(INDEX('Aub Demand'!R:R,MATCH(O1099,'Aub Demand'!A:A,0)),"")</f>
        <v>0</v>
      </c>
      <c r="O1099" s="27" t="s">
        <v>2679</v>
      </c>
      <c r="P1099" s="27" t="str">
        <f>IFERROR(INDEX('Aub Demand'!B:B,MATCH($O1099,'Aub Demand'!$A:$A,0)),"")</f>
        <v>LIBERTY RED 62"</v>
      </c>
      <c r="Q1099" s="27" t="str">
        <f>IFERROR(INDEX('Aub Demand'!C:C,MATCH($O1099,'Aub Demand'!$A:$A,0)),"")</f>
        <v>ONYX</v>
      </c>
      <c r="R1099" s="52">
        <f>IFERROR(IF(AR1100=AR1099,INDEX('Aub Demand'!K:K,MATCH($O1099,'Aub Demand'!$A:$A,0))-IF(AN1099="",0,AN1099)+AP1100,INDEX('Aub Demand'!K:K,MATCH($O1099,'Aub Demand'!$A:$A,0))-IF(AN1099="",0,AN1099)),"")</f>
        <v>15087</v>
      </c>
      <c r="S1099" s="53">
        <f t="shared" si="476"/>
        <v>1701.5</v>
      </c>
      <c r="T1099" s="52" t="str">
        <f t="shared" si="477"/>
        <v/>
      </c>
      <c r="U1099" s="52">
        <f>IFERROR(IF(AR1100=AR1099,INDEX('Aub Demand'!Q:Q,MATCH($O1099,'Aub Demand'!$A:$A,0))-IF(AN1099="",0,AN1099)+AP1100,INDEX('Aub Demand'!Q:Q,MATCH($O1099,'Aub Demand'!$A:$A,0))-IF(AN1099="",0,AN1099)),"")</f>
        <v>14936</v>
      </c>
      <c r="V1099" s="53">
        <f t="shared" si="478"/>
        <v>1684.5</v>
      </c>
      <c r="W1099" s="52" t="str">
        <f t="shared" si="479"/>
        <v/>
      </c>
      <c r="X1099" s="52">
        <f>IFERROR(IF(AND(AR1100=AR1099,AM1099&lt;&gt;""),INDEX('Aub Demand'!Q:Q,MATCH($O1099,'Aub Demand'!$A:$A,0))-IF(AN1099="",0,AN1099)+AP1100+AD1099+AL1099,IF(AR1100=AR1099,INDEX('Aub Demand'!Q:Q,MATCH($O1099,'Aub Demand'!$A:$A,0))-IF(AN1099="",0,AN1099)+AP1100+AD1099,IF(AM1099&lt;&gt;"",INDEX('Aub Demand'!Q:Q,MATCH($O1099,'Aub Demand'!$A:$A,0))-IF(AN1099="",0,AN1099)+AD1099+AL1099,INDEX('Aub Demand'!Q:Q,MATCH($O1099,'Aub Demand'!$A:$A,0))-IF(AN1099="",0,AN1099)+AD1099))),"")</f>
        <v>14936</v>
      </c>
      <c r="Y1099" s="53">
        <f t="shared" si="480"/>
        <v>1684.5</v>
      </c>
      <c r="Z1099" s="52">
        <f>IF(L1099="","",INDEX('Aub Demand'!H:H,MATCH($O1099,'Aub Demand'!$A:$A,0)))</f>
        <v>38</v>
      </c>
      <c r="AA1099" s="52" t="str">
        <f t="shared" si="481"/>
        <v>-spike-</v>
      </c>
      <c r="AB1099" s="52">
        <f>IFERROR(INDEX('Aub Demand'!L:L,MATCH($O1099,'Aub Demand'!$A:$A,0)),"")</f>
        <v>44</v>
      </c>
      <c r="AC1099" s="52">
        <f>IFERROR(IF(O1099="","",SUMIFS('CPL Mats'!F:F,'CPL Mats'!Q:Q,AR1099,'CPL Mats'!S:S,AS1099)),"")</f>
        <v>0</v>
      </c>
      <c r="AF1099" s="25" t="str">
        <f>IF(SUMIFS('Supp Consol'!S:S,'Supp Consol'!Y:Y,"Releasable",'Supp Consol'!A:A,O1099)=0,"",SUMIFS('Supp Consol'!S:S,'Supp Consol'!Y:Y,"Releasable",'Supp Consol'!A:A,O1099))</f>
        <v/>
      </c>
      <c r="AG1099" s="25">
        <f>IFERROR(INDEX('Hun Demand'!Q:Q,MATCH(O1099,'Hun Demand'!A:A,0)),"")</f>
        <v>2292</v>
      </c>
      <c r="AH1099" s="25">
        <f>IFERROR(INDEX('Hun Demand'!H:H,MATCH($O1099,'Hun Demand'!$A:$A,0)),"")</f>
        <v>235</v>
      </c>
      <c r="AI1099" s="25" t="str">
        <f>IF(SUMIFS('Supp Consol'!AA:AA,'Supp Consol'!Z:Z,"Expires this month",'Supp Consol'!A:A,O1099)=0,"",SUMIFS('Supp Consol'!AA:AA,'Supp Consol'!Z:Z,"Expires this month",'Supp Consol'!A:A,O1099))</f>
        <v/>
      </c>
      <c r="AJ1099" s="25" t="str">
        <f>IF(SUMIFS('Supp Consol'!AA:AA,'Supp Consol'!Z:Z,"Expired Previous Months",'Supp Consol'!A:A,O1099)=0,"",SUMIFS('Supp Consol'!AA:AA,'Supp Consol'!Z:Z,"Expired Previous Months",'Supp Consol'!A:A,O1099))</f>
        <v/>
      </c>
      <c r="AK1099" s="25" t="str">
        <f>IFERROR(INDEX('Hun Release Current'!B:B,MATCH(O1099,'Hun Release Current'!A:A,0)),"")</f>
        <v/>
      </c>
      <c r="AL1099" s="25" t="str">
        <f>IF(SUMIF('Prev Aub'!A:A,O1099,'Prev Aub'!B:B)=0,"",SUMIF('Prev Aub'!A:A,O1099,'Prev Aub'!B:B))</f>
        <v/>
      </c>
      <c r="AN1099" s="25" t="s">
        <v>3790</v>
      </c>
      <c r="AO1099" s="25" t="s">
        <v>3790</v>
      </c>
      <c r="AP1099" s="25">
        <f t="shared" si="482"/>
        <v>0</v>
      </c>
      <c r="AQ1099" s="151" t="str">
        <f>IF(SUMIFS('Supp Consol'!S:S,'Supp Consol'!A:A,O1099,'Supp Consol'!I:I,"PENDING")=0,"",SUMIFS('Supp Consol'!S:S,'Supp Consol'!A:A,O1099,'Supp Consol'!I:I,"PENDING"))</f>
        <v/>
      </c>
      <c r="AR1099" s="27" t="str">
        <f t="shared" si="483"/>
        <v>SR127</v>
      </c>
      <c r="AS1099" s="27" t="str">
        <f t="shared" si="484"/>
        <v>62</v>
      </c>
      <c r="AT1099" s="27" t="str">
        <f t="shared" si="485"/>
        <v/>
      </c>
      <c r="AU1099" s="27" t="str">
        <f t="shared" si="486"/>
        <v/>
      </c>
      <c r="AV1099" s="27" t="str">
        <f t="shared" si="487"/>
        <v/>
      </c>
      <c r="AW1099" s="27" t="str">
        <f t="shared" si="488"/>
        <v/>
      </c>
      <c r="AX1099" s="27" t="str">
        <f t="shared" si="489"/>
        <v/>
      </c>
      <c r="AY1099" s="27" t="str">
        <f t="shared" si="490"/>
        <v>SR127</v>
      </c>
      <c r="AZ1099" s="27" t="str">
        <f t="shared" si="491"/>
        <v/>
      </c>
      <c r="BA1099" s="27" t="str">
        <f t="shared" si="492"/>
        <v>Hun</v>
      </c>
      <c r="BB1099" s="27" t="str">
        <f t="shared" si="493"/>
        <v/>
      </c>
      <c r="BC1099" s="27" t="str">
        <f t="shared" si="494"/>
        <v/>
      </c>
      <c r="BD1099" s="27" t="str">
        <f t="shared" si="495"/>
        <v/>
      </c>
      <c r="BE1099" s="27" t="str">
        <f t="shared" si="496"/>
        <v/>
      </c>
      <c r="BF1099" s="27" t="str">
        <f t="shared" si="497"/>
        <v/>
      </c>
      <c r="BG1099" s="27" t="str">
        <f t="shared" si="498"/>
        <v/>
      </c>
      <c r="BH1099" s="27" t="str">
        <f t="shared" si="499"/>
        <v/>
      </c>
      <c r="BI1099" s="27" t="str">
        <f t="shared" si="500"/>
        <v/>
      </c>
      <c r="BJ1099" s="27" t="str">
        <f t="shared" si="501"/>
        <v>Supp or Hun</v>
      </c>
      <c r="BK1099" s="27" t="str">
        <f t="shared" si="502"/>
        <v/>
      </c>
      <c r="BL1099" s="27" t="str">
        <f t="shared" si="503"/>
        <v/>
      </c>
      <c r="BM1099" s="21" t="s">
        <v>5581</v>
      </c>
    </row>
    <row r="1100" spans="1:65" ht="15">
      <c r="A1100" s="25" t="str">
        <f>IFERROR(INDEX('Hun Demand'!W:W,MATCH(O1100,'Hun Demand'!A:A,0)),"")</f>
        <v/>
      </c>
      <c r="B1100" s="25" t="str">
        <f>IFERROR(INDEX('Hun Demand'!V:V,MATCH(O1100,'Hun Demand'!A:A,0)),"")</f>
        <v/>
      </c>
      <c r="C1100" s="25" t="str">
        <f>IFERROR(INDEX('Hun Demand'!U:U,MATCH(O1100,'Hun Demand'!A:A,0)),"")</f>
        <v/>
      </c>
      <c r="D1100" s="25" t="str">
        <f>IFERROR(INDEX('Hun Demand'!T:T,MATCH(O1100,'Hun Demand'!A:A,0)),"")</f>
        <v/>
      </c>
      <c r="E1100" s="25" t="str">
        <f>IFERROR(INDEX('Hun Demand'!S:S,MATCH(O1100,'Hun Demand'!A:A,0)),"")</f>
        <v/>
      </c>
      <c r="F1100" s="25" t="str">
        <f>IFERROR(INDEX('Hun Demand'!R:R,MATCH(O1100,'Hun Demand'!A:A,0)),"")</f>
        <v/>
      </c>
      <c r="G1100" s="25">
        <f>IFERROR(INDEX('Aub Demand'!W:W,MATCH(O1100,'Aub Demand'!A:A,0)),"")</f>
        <v>0</v>
      </c>
      <c r="H1100" s="25">
        <f>IFERROR(INDEX('Aub Demand'!V:V,MATCH(O1100,'Aub Demand'!A:A,0)),"")</f>
        <v>58</v>
      </c>
      <c r="I1100" s="25">
        <f>IFERROR(INDEX('Aub Demand'!U:U,MATCH(O1100,'Aub Demand'!A:A,0)),"")</f>
        <v>0</v>
      </c>
      <c r="J1100" s="25">
        <f>IFERROR(INDEX('Aub Demand'!T:T,MATCH(O1100,'Aub Demand'!A:A,0)),"")</f>
        <v>51</v>
      </c>
      <c r="K1100" s="25">
        <f>IFERROR(INDEX('Aub Demand'!S:S,MATCH(O1100,'Aub Demand'!A:A,0)),"")</f>
        <v>73</v>
      </c>
      <c r="L1100" s="25">
        <f>IFERROR(INDEX('Aub Demand'!R:R,MATCH(O1100,'Aub Demand'!A:A,0)),"")</f>
        <v>0</v>
      </c>
      <c r="O1100" s="27" t="s">
        <v>2681</v>
      </c>
      <c r="P1100" s="27" t="str">
        <f>IFERROR(INDEX('Aub Demand'!B:B,MATCH($O1100,'Aub Demand'!$A:$A,0)),"")</f>
        <v>CARMEN RED 50"</v>
      </c>
      <c r="Q1100" s="27" t="str">
        <f>IFERROR(INDEX('Aub Demand'!C:C,MATCH($O1100,'Aub Demand'!$A:$A,0)),"")</f>
        <v>ONYX</v>
      </c>
      <c r="R1100" s="52">
        <f>IFERROR(IF(AR1101=AR1100,INDEX('Aub Demand'!K:K,MATCH($O1100,'Aub Demand'!$A:$A,0))-IF(AN1100="",0,AN1100)+AP1101,INDEX('Aub Demand'!K:K,MATCH($O1100,'Aub Demand'!$A:$A,0))-IF(AN1100="",0,AN1100)),"")</f>
        <v>744</v>
      </c>
      <c r="S1100" s="53">
        <f t="shared" si="476"/>
        <v>77.8</v>
      </c>
      <c r="T1100" s="52" t="str">
        <f t="shared" si="477"/>
        <v/>
      </c>
      <c r="U1100" s="52">
        <f>IFERROR(IF(AR1101=AR1100,INDEX('Aub Demand'!Q:Q,MATCH($O1100,'Aub Demand'!$A:$A,0))-IF(AN1100="",0,AN1100)+AP1101,INDEX('Aub Demand'!Q:Q,MATCH($O1100,'Aub Demand'!$A:$A,0))-IF(AN1100="",0,AN1100)),"")</f>
        <v>703</v>
      </c>
      <c r="V1100" s="53">
        <f t="shared" si="478"/>
        <v>73.5</v>
      </c>
      <c r="W1100" s="52" t="str">
        <f t="shared" si="479"/>
        <v/>
      </c>
      <c r="X1100" s="52">
        <f>IFERROR(IF(AND(AR1101=AR1100,AM1100&lt;&gt;""),INDEX('Aub Demand'!Q:Q,MATCH($O1100,'Aub Demand'!$A:$A,0))-IF(AN1100="",0,AN1100)+AP1101+AD1100+AL1100,IF(AR1101=AR1100,INDEX('Aub Demand'!Q:Q,MATCH($O1100,'Aub Demand'!$A:$A,0))-IF(AN1100="",0,AN1100)+AP1101+AD1100,IF(AM1100&lt;&gt;"",INDEX('Aub Demand'!Q:Q,MATCH($O1100,'Aub Demand'!$A:$A,0))-IF(AN1100="",0,AN1100)+AD1100+AL1100,INDEX('Aub Demand'!Q:Q,MATCH($O1100,'Aub Demand'!$A:$A,0))-IF(AN1100="",0,AN1100)+AD1100))),"")</f>
        <v>703</v>
      </c>
      <c r="Y1100" s="53">
        <f t="shared" si="480"/>
        <v>73.5</v>
      </c>
      <c r="Z1100" s="52">
        <f>IF(L1100="","",INDEX('Aub Demand'!H:H,MATCH($O1100,'Aub Demand'!$A:$A,0)))</f>
        <v>41</v>
      </c>
      <c r="AA1100" s="52">
        <f t="shared" si="481"/>
        <v>62</v>
      </c>
      <c r="AB1100" s="52">
        <f>IFERROR(INDEX('Aub Demand'!L:L,MATCH($O1100,'Aub Demand'!$A:$A,0)),"")</f>
        <v>34</v>
      </c>
      <c r="AC1100" s="52">
        <f>IFERROR(IF(O1100="","",SUMIFS('CPL Mats'!F:F,'CPL Mats'!Q:Q,AR1100,'CPL Mats'!S:S,AS1100)),"")</f>
        <v>0</v>
      </c>
      <c r="AF1100" s="25" t="str">
        <f>IF(SUMIFS('Supp Consol'!S:S,'Supp Consol'!Y:Y,"Releasable",'Supp Consol'!A:A,O1100)=0,"",SUMIFS('Supp Consol'!S:S,'Supp Consol'!Y:Y,"Releasable",'Supp Consol'!A:A,O1100))</f>
        <v/>
      </c>
      <c r="AG1100" s="25" t="str">
        <f>IFERROR(INDEX('Hun Demand'!Q:Q,MATCH(O1100,'Hun Demand'!A:A,0)),"")</f>
        <v/>
      </c>
      <c r="AH1100" s="25" t="str">
        <f>IFERROR(INDEX('Hun Demand'!H:H,MATCH($O1100,'Hun Demand'!$A:$A,0)),"")</f>
        <v/>
      </c>
      <c r="AI1100" s="25" t="str">
        <f>IF(SUMIFS('Supp Consol'!AA:AA,'Supp Consol'!Z:Z,"Expires this month",'Supp Consol'!A:A,O1100)=0,"",SUMIFS('Supp Consol'!AA:AA,'Supp Consol'!Z:Z,"Expires this month",'Supp Consol'!A:A,O1100))</f>
        <v/>
      </c>
      <c r="AJ1100" s="25" t="str">
        <f>IF(SUMIFS('Supp Consol'!AA:AA,'Supp Consol'!Z:Z,"Expired Previous Months",'Supp Consol'!A:A,O1100)=0,"",SUMIFS('Supp Consol'!AA:AA,'Supp Consol'!Z:Z,"Expired Previous Months",'Supp Consol'!A:A,O1100))</f>
        <v/>
      </c>
      <c r="AK1100" s="25" t="str">
        <f>IFERROR(INDEX('Hun Release Current'!B:B,MATCH(O1100,'Hun Release Current'!A:A,0)),"")</f>
        <v/>
      </c>
      <c r="AL1100" s="25" t="str">
        <f>IF(SUMIF('Prev Aub'!A:A,O1100,'Prev Aub'!B:B)=0,"",SUMIF('Prev Aub'!A:A,O1100,'Prev Aub'!B:B))</f>
        <v/>
      </c>
      <c r="AN1100" s="25" t="s">
        <v>3790</v>
      </c>
      <c r="AO1100" s="25" t="s">
        <v>3790</v>
      </c>
      <c r="AP1100" s="25">
        <f t="shared" si="482"/>
        <v>0</v>
      </c>
      <c r="AQ1100" s="151" t="str">
        <f>IF(SUMIFS('Supp Consol'!S:S,'Supp Consol'!A:A,O1100,'Supp Consol'!I:I,"PENDING")=0,"",SUMIFS('Supp Consol'!S:S,'Supp Consol'!A:A,O1100,'Supp Consol'!I:I,"PENDING"))</f>
        <v/>
      </c>
      <c r="AR1100" s="27" t="str">
        <f t="shared" si="483"/>
        <v>SR149</v>
      </c>
      <c r="AS1100" s="27" t="str">
        <f t="shared" si="484"/>
        <v>50</v>
      </c>
      <c r="AT1100" s="27" t="str">
        <f t="shared" si="485"/>
        <v/>
      </c>
      <c r="AU1100" s="27" t="str">
        <f t="shared" si="486"/>
        <v/>
      </c>
      <c r="AV1100" s="27" t="str">
        <f t="shared" si="487"/>
        <v/>
      </c>
      <c r="AW1100" s="27" t="str">
        <f t="shared" si="488"/>
        <v/>
      </c>
      <c r="AX1100" s="27" t="str">
        <f t="shared" si="489"/>
        <v/>
      </c>
      <c r="AY1100" s="27" t="str">
        <f t="shared" si="490"/>
        <v/>
      </c>
      <c r="AZ1100" s="27" t="str">
        <f t="shared" si="491"/>
        <v/>
      </c>
      <c r="BA1100" s="27" t="str">
        <f t="shared" si="492"/>
        <v/>
      </c>
      <c r="BB1100" s="27" t="str">
        <f t="shared" si="493"/>
        <v/>
      </c>
      <c r="BC1100" s="27" t="str">
        <f t="shared" si="494"/>
        <v/>
      </c>
      <c r="BD1100" s="27" t="str">
        <f t="shared" si="495"/>
        <v/>
      </c>
      <c r="BE1100" s="27" t="str">
        <f t="shared" si="496"/>
        <v/>
      </c>
      <c r="BF1100" s="27" t="str">
        <f t="shared" si="497"/>
        <v/>
      </c>
      <c r="BG1100" s="27" t="str">
        <f t="shared" si="498"/>
        <v/>
      </c>
      <c r="BH1100" s="27" t="str">
        <f t="shared" si="499"/>
        <v/>
      </c>
      <c r="BI1100" s="27" t="str">
        <f t="shared" si="500"/>
        <v/>
      </c>
      <c r="BJ1100" s="27" t="str">
        <f t="shared" si="501"/>
        <v/>
      </c>
      <c r="BK1100" s="27" t="str">
        <f t="shared" si="502"/>
        <v/>
      </c>
      <c r="BL1100" s="27" t="str">
        <f t="shared" si="503"/>
        <v/>
      </c>
      <c r="BM1100" s="21" t="s">
        <v>5581</v>
      </c>
    </row>
    <row r="1101" spans="1:65" ht="15">
      <c r="A1101" s="25" t="str">
        <f>IFERROR(INDEX('Hun Demand'!W:W,MATCH(O1101,'Hun Demand'!A:A,0)),"")</f>
        <v/>
      </c>
      <c r="B1101" s="25" t="str">
        <f>IFERROR(INDEX('Hun Demand'!V:V,MATCH(O1101,'Hun Demand'!A:A,0)),"")</f>
        <v/>
      </c>
      <c r="C1101" s="25" t="str">
        <f>IFERROR(INDEX('Hun Demand'!U:U,MATCH(O1101,'Hun Demand'!A:A,0)),"")</f>
        <v/>
      </c>
      <c r="D1101" s="25" t="str">
        <f>IFERROR(INDEX('Hun Demand'!T:T,MATCH(O1101,'Hun Demand'!A:A,0)),"")</f>
        <v/>
      </c>
      <c r="E1101" s="25" t="str">
        <f>IFERROR(INDEX('Hun Demand'!S:S,MATCH(O1101,'Hun Demand'!A:A,0)),"")</f>
        <v/>
      </c>
      <c r="F1101" s="25" t="str">
        <f>IFERROR(INDEX('Hun Demand'!R:R,MATCH(O1101,'Hun Demand'!A:A,0)),"")</f>
        <v/>
      </c>
      <c r="G1101" s="25">
        <f>IFERROR(INDEX('Aub Demand'!W:W,MATCH(O1101,'Aub Demand'!A:A,0)),"")</f>
        <v>0</v>
      </c>
      <c r="H1101" s="25">
        <f>IFERROR(INDEX('Aub Demand'!V:V,MATCH(O1101,'Aub Demand'!A:A,0)),"")</f>
        <v>0</v>
      </c>
      <c r="I1101" s="25">
        <f>IFERROR(INDEX('Aub Demand'!U:U,MATCH(O1101,'Aub Demand'!A:A,0)),"")</f>
        <v>354</v>
      </c>
      <c r="J1101" s="25">
        <f>IFERROR(INDEX('Aub Demand'!T:T,MATCH(O1101,'Aub Demand'!A:A,0)),"")</f>
        <v>236</v>
      </c>
      <c r="K1101" s="25">
        <f>IFERROR(INDEX('Aub Demand'!S:S,MATCH(O1101,'Aub Demand'!A:A,0)),"")</f>
        <v>64</v>
      </c>
      <c r="L1101" s="25">
        <f>IFERROR(INDEX('Aub Demand'!R:R,MATCH(O1101,'Aub Demand'!A:A,0)),"")</f>
        <v>0</v>
      </c>
      <c r="O1101" s="27" t="s">
        <v>2683</v>
      </c>
      <c r="P1101" s="27" t="str">
        <f>IFERROR(INDEX('Aub Demand'!B:B,MATCH($O1101,'Aub Demand'!$A:$A,0)),"")</f>
        <v>CARMEN RED 62"</v>
      </c>
      <c r="Q1101" s="27" t="str">
        <f>IFERROR(INDEX('Aub Demand'!C:C,MATCH($O1101,'Aub Demand'!$A:$A,0)),"")</f>
        <v>ONYX</v>
      </c>
      <c r="R1101" s="52">
        <f>IFERROR(IF(AR1102=AR1101,INDEX('Aub Demand'!K:K,MATCH($O1101,'Aub Demand'!$A:$A,0))-IF(AN1101="",0,AN1101)+AP1102,INDEX('Aub Demand'!K:K,MATCH($O1101,'Aub Demand'!$A:$A,0))-IF(AN1101="",0,AN1101)),"")</f>
        <v>2435</v>
      </c>
      <c r="S1101" s="53">
        <f t="shared" si="476"/>
        <v>47.9</v>
      </c>
      <c r="T1101" s="52" t="str">
        <f t="shared" si="477"/>
        <v/>
      </c>
      <c r="U1101" s="52">
        <f>IFERROR(IF(AR1102=AR1101,INDEX('Aub Demand'!Q:Q,MATCH($O1101,'Aub Demand'!$A:$A,0))-IF(AN1101="",0,AN1101)+AP1102,INDEX('Aub Demand'!Q:Q,MATCH($O1101,'Aub Demand'!$A:$A,0))-IF(AN1101="",0,AN1101)),"")</f>
        <v>2382</v>
      </c>
      <c r="V1101" s="53">
        <f t="shared" si="478"/>
        <v>46.8</v>
      </c>
      <c r="W1101" s="52" t="str">
        <f t="shared" si="479"/>
        <v/>
      </c>
      <c r="X1101" s="52">
        <f>IFERROR(IF(AND(AR1102=AR1101,AM1101&lt;&gt;""),INDEX('Aub Demand'!Q:Q,MATCH($O1101,'Aub Demand'!$A:$A,0))-IF(AN1101="",0,AN1101)+AP1102+AD1101+AL1101,IF(AR1102=AR1101,INDEX('Aub Demand'!Q:Q,MATCH($O1101,'Aub Demand'!$A:$A,0))-IF(AN1101="",0,AN1101)+AP1102+AD1101,IF(AM1101&lt;&gt;"",INDEX('Aub Demand'!Q:Q,MATCH($O1101,'Aub Demand'!$A:$A,0))-IF(AN1101="",0,AN1101)+AD1101+AL1101,INDEX('Aub Demand'!Q:Q,MATCH($O1101,'Aub Demand'!$A:$A,0))-IF(AN1101="",0,AN1101)+AD1101))),"")</f>
        <v>2382</v>
      </c>
      <c r="Y1101" s="53">
        <f t="shared" si="480"/>
        <v>46.8</v>
      </c>
      <c r="Z1101" s="52">
        <f>IF(L1101="","",INDEX('Aub Demand'!H:H,MATCH($O1101,'Aub Demand'!$A:$A,0)))</f>
        <v>218</v>
      </c>
      <c r="AA1101" s="52">
        <f t="shared" si="481"/>
        <v>295</v>
      </c>
      <c r="AB1101" s="52">
        <f>IFERROR(INDEX('Aub Demand'!L:L,MATCH($O1101,'Aub Demand'!$A:$A,0)),"")</f>
        <v>194</v>
      </c>
      <c r="AC1101" s="52">
        <f>IFERROR(IF(O1101="","",SUMIFS('CPL Mats'!F:F,'CPL Mats'!Q:Q,AR1101,'CPL Mats'!S:S,AS1101)),"")</f>
        <v>0</v>
      </c>
      <c r="AF1101" s="25" t="str">
        <f>IF(SUMIFS('Supp Consol'!S:S,'Supp Consol'!Y:Y,"Releasable",'Supp Consol'!A:A,O1101)=0,"",SUMIFS('Supp Consol'!S:S,'Supp Consol'!Y:Y,"Releasable",'Supp Consol'!A:A,O1101))</f>
        <v/>
      </c>
      <c r="AG1101" s="25" t="str">
        <f>IFERROR(INDEX('Hun Demand'!Q:Q,MATCH(O1101,'Hun Demand'!A:A,0)),"")</f>
        <v/>
      </c>
      <c r="AH1101" s="25" t="str">
        <f>IFERROR(INDEX('Hun Demand'!H:H,MATCH($O1101,'Hun Demand'!$A:$A,0)),"")</f>
        <v/>
      </c>
      <c r="AI1101" s="25" t="str">
        <f>IF(SUMIFS('Supp Consol'!AA:AA,'Supp Consol'!Z:Z,"Expires this month",'Supp Consol'!A:A,O1101)=0,"",SUMIFS('Supp Consol'!AA:AA,'Supp Consol'!Z:Z,"Expires this month",'Supp Consol'!A:A,O1101))</f>
        <v/>
      </c>
      <c r="AJ1101" s="25" t="str">
        <f>IF(SUMIFS('Supp Consol'!AA:AA,'Supp Consol'!Z:Z,"Expired Previous Months",'Supp Consol'!A:A,O1101)=0,"",SUMIFS('Supp Consol'!AA:AA,'Supp Consol'!Z:Z,"Expired Previous Months",'Supp Consol'!A:A,O1101))</f>
        <v/>
      </c>
      <c r="AK1101" s="25" t="str">
        <f>IFERROR(INDEX('Hun Release Current'!B:B,MATCH(O1101,'Hun Release Current'!A:A,0)),"")</f>
        <v/>
      </c>
      <c r="AL1101" s="25" t="str">
        <f>IF(SUMIF('Prev Aub'!A:A,O1101,'Prev Aub'!B:B)=0,"",SUMIF('Prev Aub'!A:A,O1101,'Prev Aub'!B:B))</f>
        <v/>
      </c>
      <c r="AN1101" s="25" t="s">
        <v>3790</v>
      </c>
      <c r="AO1101" s="25" t="s">
        <v>3790</v>
      </c>
      <c r="AP1101" s="25">
        <f t="shared" si="482"/>
        <v>0</v>
      </c>
      <c r="AQ1101" s="151" t="str">
        <f>IF(SUMIFS('Supp Consol'!S:S,'Supp Consol'!A:A,O1101,'Supp Consol'!I:I,"PENDING")=0,"",SUMIFS('Supp Consol'!S:S,'Supp Consol'!A:A,O1101,'Supp Consol'!I:I,"PENDING"))</f>
        <v/>
      </c>
      <c r="AR1101" s="27" t="str">
        <f t="shared" si="483"/>
        <v>SR149</v>
      </c>
      <c r="AS1101" s="27" t="str">
        <f t="shared" si="484"/>
        <v>62</v>
      </c>
      <c r="AT1101" s="27" t="str">
        <f t="shared" si="485"/>
        <v/>
      </c>
      <c r="AU1101" s="27" t="str">
        <f t="shared" si="486"/>
        <v/>
      </c>
      <c r="AV1101" s="27" t="str">
        <f t="shared" si="487"/>
        <v/>
      </c>
      <c r="AW1101" s="27" t="str">
        <f t="shared" si="488"/>
        <v/>
      </c>
      <c r="AX1101" s="27" t="str">
        <f t="shared" si="489"/>
        <v/>
      </c>
      <c r="AY1101" s="27" t="str">
        <f t="shared" si="490"/>
        <v/>
      </c>
      <c r="AZ1101" s="27" t="str">
        <f t="shared" si="491"/>
        <v/>
      </c>
      <c r="BA1101" s="27" t="str">
        <f t="shared" si="492"/>
        <v/>
      </c>
      <c r="BB1101" s="27" t="str">
        <f t="shared" si="493"/>
        <v/>
      </c>
      <c r="BC1101" s="27" t="str">
        <f t="shared" si="494"/>
        <v/>
      </c>
      <c r="BD1101" s="27" t="str">
        <f t="shared" si="495"/>
        <v/>
      </c>
      <c r="BE1101" s="27" t="str">
        <f t="shared" si="496"/>
        <v/>
      </c>
      <c r="BF1101" s="27" t="str">
        <f t="shared" si="497"/>
        <v/>
      </c>
      <c r="BG1101" s="27" t="str">
        <f t="shared" si="498"/>
        <v/>
      </c>
      <c r="BH1101" s="27" t="str">
        <f t="shared" si="499"/>
        <v/>
      </c>
      <c r="BI1101" s="27" t="str">
        <f t="shared" si="500"/>
        <v/>
      </c>
      <c r="BJ1101" s="27" t="str">
        <f t="shared" si="501"/>
        <v/>
      </c>
      <c r="BK1101" s="27" t="str">
        <f t="shared" si="502"/>
        <v/>
      </c>
      <c r="BL1101" s="27" t="str">
        <f t="shared" si="503"/>
        <v/>
      </c>
      <c r="BM1101" s="21" t="s">
        <v>5581</v>
      </c>
    </row>
    <row r="1102" spans="1:65" ht="15">
      <c r="A1102" s="25" t="str">
        <f>IFERROR(INDEX('Hun Demand'!W:W,MATCH(O1102,'Hun Demand'!A:A,0)),"")</f>
        <v/>
      </c>
      <c r="B1102" s="25" t="str">
        <f>IFERROR(INDEX('Hun Demand'!V:V,MATCH(O1102,'Hun Demand'!A:A,0)),"")</f>
        <v/>
      </c>
      <c r="C1102" s="25" t="str">
        <f>IFERROR(INDEX('Hun Demand'!U:U,MATCH(O1102,'Hun Demand'!A:A,0)),"")</f>
        <v/>
      </c>
      <c r="D1102" s="25" t="str">
        <f>IFERROR(INDEX('Hun Demand'!T:T,MATCH(O1102,'Hun Demand'!A:A,0)),"")</f>
        <v/>
      </c>
      <c r="E1102" s="25" t="str">
        <f>IFERROR(INDEX('Hun Demand'!S:S,MATCH(O1102,'Hun Demand'!A:A,0)),"")</f>
        <v/>
      </c>
      <c r="F1102" s="25" t="str">
        <f>IFERROR(INDEX('Hun Demand'!R:R,MATCH(O1102,'Hun Demand'!A:A,0)),"")</f>
        <v/>
      </c>
      <c r="G1102" s="25">
        <f>IFERROR(INDEX('Aub Demand'!W:W,MATCH(O1102,'Aub Demand'!A:A,0)),"")</f>
        <v>111</v>
      </c>
      <c r="H1102" s="25">
        <f>IFERROR(INDEX('Aub Demand'!V:V,MATCH(O1102,'Aub Demand'!A:A,0)),"")</f>
        <v>332</v>
      </c>
      <c r="I1102" s="25">
        <f>IFERROR(INDEX('Aub Demand'!U:U,MATCH(O1102,'Aub Demand'!A:A,0)),"")</f>
        <v>42</v>
      </c>
      <c r="J1102" s="25">
        <f>IFERROR(INDEX('Aub Demand'!T:T,MATCH(O1102,'Aub Demand'!A:A,0)),"")</f>
        <v>89</v>
      </c>
      <c r="K1102" s="25">
        <f>IFERROR(INDEX('Aub Demand'!S:S,MATCH(O1102,'Aub Demand'!A:A,0)),"")</f>
        <v>85</v>
      </c>
      <c r="L1102" s="25">
        <f>IFERROR(INDEX('Aub Demand'!R:R,MATCH(O1102,'Aub Demand'!A:A,0)),"")</f>
        <v>0</v>
      </c>
      <c r="O1102" s="27" t="s">
        <v>1473</v>
      </c>
      <c r="P1102" s="27" t="str">
        <f>IFERROR(INDEX('Aub Demand'!B:B,MATCH($O1102,'Aub Demand'!$A:$A,0)),"")</f>
        <v>NAVAJO RED</v>
      </c>
      <c r="Q1102" s="27" t="str">
        <f>IFERROR(INDEX('Aub Demand'!C:C,MATCH($O1102,'Aub Demand'!$A:$A,0)),"")</f>
        <v>ONYX</v>
      </c>
      <c r="R1102" s="52">
        <f>IFERROR(IF(AR1103=AR1102,INDEX('Aub Demand'!K:K,MATCH($O1102,'Aub Demand'!$A:$A,0))-IF(AN1102="",0,AN1102)+AP1103,INDEX('Aub Demand'!K:K,MATCH($O1102,'Aub Demand'!$A:$A,0))-IF(AN1102="",0,AN1102)),"")</f>
        <v>1878</v>
      </c>
      <c r="S1102" s="53">
        <f t="shared" si="476"/>
        <v>111.8</v>
      </c>
      <c r="T1102" s="52" t="str">
        <f t="shared" si="477"/>
        <v/>
      </c>
      <c r="U1102" s="52">
        <f>IFERROR(IF(AR1103=AR1102,INDEX('Aub Demand'!Q:Q,MATCH($O1102,'Aub Demand'!$A:$A,0))-IF(AN1102="",0,AN1102)+AP1103,INDEX('Aub Demand'!Q:Q,MATCH($O1102,'Aub Demand'!$A:$A,0))-IF(AN1102="",0,AN1102)),"")</f>
        <v>1826</v>
      </c>
      <c r="V1102" s="53">
        <f t="shared" si="478"/>
        <v>108.7</v>
      </c>
      <c r="W1102" s="52" t="str">
        <f t="shared" si="479"/>
        <v/>
      </c>
      <c r="X1102" s="52">
        <f>IFERROR(IF(AND(AR1103=AR1102,AM1102&lt;&gt;""),INDEX('Aub Demand'!Q:Q,MATCH($O1102,'Aub Demand'!$A:$A,0))-IF(AN1102="",0,AN1102)+AP1103+AD1102+AL1102,IF(AR1103=AR1102,INDEX('Aub Demand'!Q:Q,MATCH($O1102,'Aub Demand'!$A:$A,0))-IF(AN1102="",0,AN1102)+AP1103+AD1102,IF(AM1102&lt;&gt;"",INDEX('Aub Demand'!Q:Q,MATCH($O1102,'Aub Demand'!$A:$A,0))-IF(AN1102="",0,AN1102)+AD1102+AL1102,INDEX('Aub Demand'!Q:Q,MATCH($O1102,'Aub Demand'!$A:$A,0))-IF(AN1102="",0,AN1102)+AD1102))),"")</f>
        <v>1826</v>
      </c>
      <c r="Y1102" s="53">
        <f t="shared" si="480"/>
        <v>108.7</v>
      </c>
      <c r="Z1102" s="52">
        <f>IF(L1102="","",INDEX('Aub Demand'!H:H,MATCH($O1102,'Aub Demand'!$A:$A,0)))</f>
        <v>72</v>
      </c>
      <c r="AA1102" s="52">
        <f t="shared" si="481"/>
        <v>87</v>
      </c>
      <c r="AB1102" s="52">
        <f>IFERROR(INDEX('Aub Demand'!L:L,MATCH($O1102,'Aub Demand'!$A:$A,0)),"")</f>
        <v>126</v>
      </c>
      <c r="AC1102" s="52">
        <f>IFERROR(IF(O1102="","",SUMIFS('CPL Mats'!F:F,'CPL Mats'!Q:Q,AR1102,'CPL Mats'!S:S,AS1102)),"")</f>
        <v>0</v>
      </c>
      <c r="AF1102" s="25" t="str">
        <f>IF(SUMIFS('Supp Consol'!S:S,'Supp Consol'!Y:Y,"Releasable",'Supp Consol'!A:A,O1102)=0,"",SUMIFS('Supp Consol'!S:S,'Supp Consol'!Y:Y,"Releasable",'Supp Consol'!A:A,O1102))</f>
        <v/>
      </c>
      <c r="AG1102" s="25" t="str">
        <f>IFERROR(INDEX('Hun Demand'!Q:Q,MATCH(O1102,'Hun Demand'!A:A,0)),"")</f>
        <v/>
      </c>
      <c r="AH1102" s="25" t="str">
        <f>IFERROR(INDEX('Hun Demand'!H:H,MATCH($O1102,'Hun Demand'!$A:$A,0)),"")</f>
        <v/>
      </c>
      <c r="AI1102" s="25" t="str">
        <f>IF(SUMIFS('Supp Consol'!AA:AA,'Supp Consol'!Z:Z,"Expires this month",'Supp Consol'!A:A,O1102)=0,"",SUMIFS('Supp Consol'!AA:AA,'Supp Consol'!Z:Z,"Expires this month",'Supp Consol'!A:A,O1102))</f>
        <v/>
      </c>
      <c r="AJ1102" s="25" t="str">
        <f>IF(SUMIFS('Supp Consol'!AA:AA,'Supp Consol'!Z:Z,"Expired Previous Months",'Supp Consol'!A:A,O1102)=0,"",SUMIFS('Supp Consol'!AA:AA,'Supp Consol'!Z:Z,"Expired Previous Months",'Supp Consol'!A:A,O1102))</f>
        <v/>
      </c>
      <c r="AK1102" s="25" t="str">
        <f>IFERROR(INDEX('Hun Release Current'!B:B,MATCH(O1102,'Hun Release Current'!A:A,0)),"")</f>
        <v/>
      </c>
      <c r="AL1102" s="25" t="str">
        <f>IF(SUMIF('Prev Aub'!A:A,O1102,'Prev Aub'!B:B)=0,"",SUMIF('Prev Aub'!A:A,O1102,'Prev Aub'!B:B))</f>
        <v/>
      </c>
      <c r="AN1102" s="25" t="s">
        <v>3790</v>
      </c>
      <c r="AO1102" s="25" t="s">
        <v>3790</v>
      </c>
      <c r="AP1102" s="25">
        <f t="shared" si="482"/>
        <v>0</v>
      </c>
      <c r="AQ1102" s="151" t="str">
        <f>IF(SUMIFS('Supp Consol'!S:S,'Supp Consol'!A:A,O1102,'Supp Consol'!I:I,"PENDING")=0,"",SUMIFS('Supp Consol'!S:S,'Supp Consol'!A:A,O1102,'Supp Consol'!I:I,"PENDING"))</f>
        <v/>
      </c>
      <c r="AR1102" s="27" t="str">
        <f t="shared" si="483"/>
        <v>SR505</v>
      </c>
      <c r="AS1102" s="27" t="str">
        <f t="shared" si="484"/>
        <v>50</v>
      </c>
      <c r="AT1102" s="27" t="str">
        <f t="shared" si="485"/>
        <v/>
      </c>
      <c r="AU1102" s="27" t="str">
        <f t="shared" si="486"/>
        <v/>
      </c>
      <c r="AV1102" s="27" t="str">
        <f t="shared" si="487"/>
        <v/>
      </c>
      <c r="AW1102" s="27" t="str">
        <f t="shared" si="488"/>
        <v/>
      </c>
      <c r="AX1102" s="27" t="str">
        <f t="shared" si="489"/>
        <v/>
      </c>
      <c r="AY1102" s="27" t="str">
        <f t="shared" si="490"/>
        <v/>
      </c>
      <c r="AZ1102" s="27" t="str">
        <f t="shared" si="491"/>
        <v/>
      </c>
      <c r="BA1102" s="27" t="str">
        <f t="shared" si="492"/>
        <v/>
      </c>
      <c r="BB1102" s="27" t="str">
        <f t="shared" si="493"/>
        <v/>
      </c>
      <c r="BC1102" s="27" t="str">
        <f t="shared" si="494"/>
        <v/>
      </c>
      <c r="BD1102" s="27" t="str">
        <f t="shared" si="495"/>
        <v/>
      </c>
      <c r="BE1102" s="27" t="str">
        <f t="shared" si="496"/>
        <v/>
      </c>
      <c r="BF1102" s="27" t="str">
        <f t="shared" si="497"/>
        <v/>
      </c>
      <c r="BG1102" s="27" t="str">
        <f t="shared" si="498"/>
        <v/>
      </c>
      <c r="BH1102" s="27" t="str">
        <f t="shared" si="499"/>
        <v/>
      </c>
      <c r="BI1102" s="27" t="str">
        <f t="shared" si="500"/>
        <v/>
      </c>
      <c r="BJ1102" s="27" t="str">
        <f t="shared" si="501"/>
        <v/>
      </c>
      <c r="BK1102" s="27" t="str">
        <f t="shared" si="502"/>
        <v/>
      </c>
      <c r="BL1102" s="27" t="str">
        <f t="shared" si="503"/>
        <v/>
      </c>
      <c r="BM1102" s="21" t="s">
        <v>5581</v>
      </c>
    </row>
    <row r="1103" spans="1:65" ht="15">
      <c r="A1103" s="25" t="str">
        <f>IFERROR(INDEX('Hun Demand'!W:W,MATCH(O1103,'Hun Demand'!A:A,0)),"")</f>
        <v/>
      </c>
      <c r="B1103" s="25" t="str">
        <f>IFERROR(INDEX('Hun Demand'!V:V,MATCH(O1103,'Hun Demand'!A:A,0)),"")</f>
        <v/>
      </c>
      <c r="C1103" s="25" t="str">
        <f>IFERROR(INDEX('Hun Demand'!U:U,MATCH(O1103,'Hun Demand'!A:A,0)),"")</f>
        <v/>
      </c>
      <c r="D1103" s="25" t="str">
        <f>IFERROR(INDEX('Hun Demand'!T:T,MATCH(O1103,'Hun Demand'!A:A,0)),"")</f>
        <v/>
      </c>
      <c r="E1103" s="25" t="str">
        <f>IFERROR(INDEX('Hun Demand'!S:S,MATCH(O1103,'Hun Demand'!A:A,0)),"")</f>
        <v/>
      </c>
      <c r="F1103" s="25" t="str">
        <f>IFERROR(INDEX('Hun Demand'!R:R,MATCH(O1103,'Hun Demand'!A:A,0)),"")</f>
        <v/>
      </c>
      <c r="G1103" s="25">
        <f>IFERROR(INDEX('Aub Demand'!W:W,MATCH(O1103,'Aub Demand'!A:A,0)),"")</f>
        <v>51</v>
      </c>
      <c r="H1103" s="25">
        <f>IFERROR(INDEX('Aub Demand'!V:V,MATCH(O1103,'Aub Demand'!A:A,0)),"")</f>
        <v>385</v>
      </c>
      <c r="I1103" s="25">
        <f>IFERROR(INDEX('Aub Demand'!U:U,MATCH(O1103,'Aub Demand'!A:A,0)),"")</f>
        <v>87</v>
      </c>
      <c r="J1103" s="25">
        <f>IFERROR(INDEX('Aub Demand'!T:T,MATCH(O1103,'Aub Demand'!A:A,0)),"")</f>
        <v>0</v>
      </c>
      <c r="K1103" s="25">
        <f>IFERROR(INDEX('Aub Demand'!S:S,MATCH(O1103,'Aub Demand'!A:A,0)),"")</f>
        <v>105</v>
      </c>
      <c r="L1103" s="25">
        <f>IFERROR(INDEX('Aub Demand'!R:R,MATCH(O1103,'Aub Demand'!A:A,0)),"")</f>
        <v>0</v>
      </c>
      <c r="O1103" s="27" t="s">
        <v>1476</v>
      </c>
      <c r="P1103" s="27" t="str">
        <f>IFERROR(INDEX('Aub Demand'!B:B,MATCH($O1103,'Aub Demand'!$A:$A,0)),"")</f>
        <v>NAVAJO RED</v>
      </c>
      <c r="Q1103" s="27" t="str">
        <f>IFERROR(INDEX('Aub Demand'!C:C,MATCH($O1103,'Aub Demand'!$A:$A,0)),"")</f>
        <v>ONYX</v>
      </c>
      <c r="R1103" s="52">
        <f>IFERROR(IF(AR1104=AR1103,INDEX('Aub Demand'!K:K,MATCH($O1103,'Aub Demand'!$A:$A,0))-IF(AN1103="",0,AN1103)+AP1104,INDEX('Aub Demand'!K:K,MATCH($O1103,'Aub Demand'!$A:$A,0))-IF(AN1103="",0,AN1103)),"")</f>
        <v>757</v>
      </c>
      <c r="S1103" s="53">
        <f t="shared" si="476"/>
        <v>50.7</v>
      </c>
      <c r="T1103" s="52" t="str">
        <f t="shared" si="477"/>
        <v/>
      </c>
      <c r="U1103" s="52">
        <f>IFERROR(IF(AR1104=AR1103,INDEX('Aub Demand'!Q:Q,MATCH($O1103,'Aub Demand'!$A:$A,0))-IF(AN1103="",0,AN1103)+AP1104,INDEX('Aub Demand'!Q:Q,MATCH($O1103,'Aub Demand'!$A:$A,0))-IF(AN1103="",0,AN1103)),"")</f>
        <v>757</v>
      </c>
      <c r="V1103" s="53">
        <f t="shared" si="478"/>
        <v>50.7</v>
      </c>
      <c r="W1103" s="52" t="str">
        <f t="shared" si="479"/>
        <v/>
      </c>
      <c r="X1103" s="52">
        <f>IFERROR(IF(AND(AR1104=AR1103,AM1103&lt;&gt;""),INDEX('Aub Demand'!Q:Q,MATCH($O1103,'Aub Demand'!$A:$A,0))-IF(AN1103="",0,AN1103)+AP1104+AD1103+AL1103,IF(AR1104=AR1103,INDEX('Aub Demand'!Q:Q,MATCH($O1103,'Aub Demand'!$A:$A,0))-IF(AN1103="",0,AN1103)+AP1104+AD1103,IF(AM1103&lt;&gt;"",INDEX('Aub Demand'!Q:Q,MATCH($O1103,'Aub Demand'!$A:$A,0))-IF(AN1103="",0,AN1103)+AD1103+AL1103,INDEX('Aub Demand'!Q:Q,MATCH($O1103,'Aub Demand'!$A:$A,0))-IF(AN1103="",0,AN1103)+AD1103))),"")</f>
        <v>757</v>
      </c>
      <c r="Y1103" s="53">
        <f t="shared" si="480"/>
        <v>50.7</v>
      </c>
      <c r="Z1103" s="52">
        <f>IF(L1103="","",INDEX('Aub Demand'!H:H,MATCH($O1103,'Aub Demand'!$A:$A,0)))</f>
        <v>64</v>
      </c>
      <c r="AA1103" s="52">
        <f t="shared" si="481"/>
        <v>96</v>
      </c>
      <c r="AB1103" s="52">
        <f>IFERROR(INDEX('Aub Demand'!L:L,MATCH($O1103,'Aub Demand'!$A:$A,0)),"")</f>
        <v>162</v>
      </c>
      <c r="AC1103" s="52">
        <f>IFERROR(IF(O1103="","",SUMIFS('CPL Mats'!F:F,'CPL Mats'!Q:Q,AR1103,'CPL Mats'!S:S,AS1103)),"")</f>
        <v>0</v>
      </c>
      <c r="AF1103" s="25" t="str">
        <f>IF(SUMIFS('Supp Consol'!S:S,'Supp Consol'!Y:Y,"Releasable",'Supp Consol'!A:A,O1103)=0,"",SUMIFS('Supp Consol'!S:S,'Supp Consol'!Y:Y,"Releasable",'Supp Consol'!A:A,O1103))</f>
        <v/>
      </c>
      <c r="AG1103" s="25" t="str">
        <f>IFERROR(INDEX('Hun Demand'!Q:Q,MATCH(O1103,'Hun Demand'!A:A,0)),"")</f>
        <v/>
      </c>
      <c r="AH1103" s="25" t="str">
        <f>IFERROR(INDEX('Hun Demand'!H:H,MATCH($O1103,'Hun Demand'!$A:$A,0)),"")</f>
        <v/>
      </c>
      <c r="AI1103" s="25" t="str">
        <f>IF(SUMIFS('Supp Consol'!AA:AA,'Supp Consol'!Z:Z,"Expires this month",'Supp Consol'!A:A,O1103)=0,"",SUMIFS('Supp Consol'!AA:AA,'Supp Consol'!Z:Z,"Expires this month",'Supp Consol'!A:A,O1103))</f>
        <v/>
      </c>
      <c r="AJ1103" s="25" t="str">
        <f>IF(SUMIFS('Supp Consol'!AA:AA,'Supp Consol'!Z:Z,"Expired Previous Months",'Supp Consol'!A:A,O1103)=0,"",SUMIFS('Supp Consol'!AA:AA,'Supp Consol'!Z:Z,"Expired Previous Months",'Supp Consol'!A:A,O1103))</f>
        <v/>
      </c>
      <c r="AK1103" s="25" t="str">
        <f>IFERROR(INDEX('Hun Release Current'!B:B,MATCH(O1103,'Hun Release Current'!A:A,0)),"")</f>
        <v/>
      </c>
      <c r="AL1103" s="25" t="str">
        <f>IF(SUMIF('Prev Aub'!A:A,O1103,'Prev Aub'!B:B)=0,"",SUMIF('Prev Aub'!A:A,O1103,'Prev Aub'!B:B))</f>
        <v/>
      </c>
      <c r="AN1103" s="25" t="s">
        <v>3790</v>
      </c>
      <c r="AO1103" s="25" t="s">
        <v>3790</v>
      </c>
      <c r="AP1103" s="25">
        <f t="shared" si="482"/>
        <v>0</v>
      </c>
      <c r="AQ1103" s="151" t="str">
        <f>IF(SUMIFS('Supp Consol'!S:S,'Supp Consol'!A:A,O1103,'Supp Consol'!I:I,"PENDING")=0,"",SUMIFS('Supp Consol'!S:S,'Supp Consol'!A:A,O1103,'Supp Consol'!I:I,"PENDING"))</f>
        <v/>
      </c>
      <c r="AR1103" s="27" t="str">
        <f t="shared" si="483"/>
        <v>SR505</v>
      </c>
      <c r="AS1103" s="27" t="str">
        <f t="shared" si="484"/>
        <v>62</v>
      </c>
      <c r="AT1103" s="27" t="str">
        <f t="shared" si="485"/>
        <v/>
      </c>
      <c r="AU1103" s="27" t="str">
        <f t="shared" si="486"/>
        <v/>
      </c>
      <c r="AV1103" s="27" t="str">
        <f t="shared" si="487"/>
        <v/>
      </c>
      <c r="AW1103" s="27" t="str">
        <f t="shared" si="488"/>
        <v/>
      </c>
      <c r="AX1103" s="27" t="str">
        <f t="shared" si="489"/>
        <v/>
      </c>
      <c r="AY1103" s="27" t="str">
        <f t="shared" si="490"/>
        <v/>
      </c>
      <c r="AZ1103" s="27" t="str">
        <f t="shared" si="491"/>
        <v/>
      </c>
      <c r="BA1103" s="27" t="str">
        <f t="shared" si="492"/>
        <v/>
      </c>
      <c r="BB1103" s="27" t="str">
        <f t="shared" si="493"/>
        <v/>
      </c>
      <c r="BC1103" s="27" t="str">
        <f t="shared" si="494"/>
        <v/>
      </c>
      <c r="BD1103" s="27" t="str">
        <f t="shared" si="495"/>
        <v/>
      </c>
      <c r="BE1103" s="27" t="str">
        <f t="shared" si="496"/>
        <v/>
      </c>
      <c r="BF1103" s="27" t="str">
        <f t="shared" si="497"/>
        <v/>
      </c>
      <c r="BG1103" s="27" t="str">
        <f t="shared" si="498"/>
        <v/>
      </c>
      <c r="BH1103" s="27" t="str">
        <f t="shared" si="499"/>
        <v/>
      </c>
      <c r="BI1103" s="27" t="str">
        <f t="shared" si="500"/>
        <v/>
      </c>
      <c r="BJ1103" s="27" t="str">
        <f t="shared" si="501"/>
        <v/>
      </c>
      <c r="BK1103" s="27" t="str">
        <f t="shared" si="502"/>
        <v/>
      </c>
      <c r="BL1103" s="27" t="str">
        <f t="shared" si="503"/>
        <v/>
      </c>
      <c r="BM1103" s="21" t="s">
        <v>5581</v>
      </c>
    </row>
    <row r="1104" spans="1:65" ht="15">
      <c r="A1104" s="25">
        <f>IFERROR(INDEX('Hun Demand'!W:W,MATCH(O1104,'Hun Demand'!A:A,0)),"")</f>
        <v>0</v>
      </c>
      <c r="B1104" s="25">
        <f>IFERROR(INDEX('Hun Demand'!V:V,MATCH(O1104,'Hun Demand'!A:A,0)),"")</f>
        <v>0</v>
      </c>
      <c r="C1104" s="25">
        <f>IFERROR(INDEX('Hun Demand'!U:U,MATCH(O1104,'Hun Demand'!A:A,0)),"")</f>
        <v>0</v>
      </c>
      <c r="D1104" s="25">
        <f>IFERROR(INDEX('Hun Demand'!T:T,MATCH(O1104,'Hun Demand'!A:A,0)),"")</f>
        <v>0</v>
      </c>
      <c r="E1104" s="25">
        <f>IFERROR(INDEX('Hun Demand'!S:S,MATCH(O1104,'Hun Demand'!A:A,0)),"")</f>
        <v>0</v>
      </c>
      <c r="F1104" s="25">
        <f>IFERROR(INDEX('Hun Demand'!R:R,MATCH(O1104,'Hun Demand'!A:A,0)),"")</f>
        <v>0</v>
      </c>
      <c r="G1104" s="25">
        <f>IFERROR(INDEX('Aub Demand'!W:W,MATCH(O1104,'Aub Demand'!A:A,0)),"")</f>
        <v>72</v>
      </c>
      <c r="H1104" s="25">
        <f>IFERROR(INDEX('Aub Demand'!V:V,MATCH(O1104,'Aub Demand'!A:A,0)),"")</f>
        <v>0</v>
      </c>
      <c r="I1104" s="25">
        <f>IFERROR(INDEX('Aub Demand'!U:U,MATCH(O1104,'Aub Demand'!A:A,0)),"")</f>
        <v>0</v>
      </c>
      <c r="J1104" s="25">
        <f>IFERROR(INDEX('Aub Demand'!T:T,MATCH(O1104,'Aub Demand'!A:A,0)),"")</f>
        <v>14</v>
      </c>
      <c r="K1104" s="25">
        <f>IFERROR(INDEX('Aub Demand'!S:S,MATCH(O1104,'Aub Demand'!A:A,0)),"")</f>
        <v>0</v>
      </c>
      <c r="L1104" s="25">
        <f>IFERROR(INDEX('Aub Demand'!R:R,MATCH(O1104,'Aub Demand'!A:A,0)),"")</f>
        <v>0</v>
      </c>
      <c r="O1104" s="27" t="s">
        <v>2685</v>
      </c>
      <c r="P1104" s="27" t="str">
        <f>IFERROR(INDEX('Aub Demand'!B:B,MATCH($O1104,'Aub Demand'!$A:$A,0)),"")</f>
        <v>BLUSHING PINK</v>
      </c>
      <c r="Q1104" s="27" t="str">
        <f>IFERROR(INDEX('Aub Demand'!C:C,MATCH($O1104,'Aub Demand'!$A:$A,0)),"")</f>
        <v>AHLST</v>
      </c>
      <c r="R1104" s="52">
        <f>IFERROR(IF(AR1105=AR1104,INDEX('Aub Demand'!K:K,MATCH($O1104,'Aub Demand'!$A:$A,0))-IF(AN1104="",0,AN1104)+AP1105,INDEX('Aub Demand'!K:K,MATCH($O1104,'Aub Demand'!$A:$A,0))-IF(AN1104="",0,AN1104)),"")</f>
        <v>887</v>
      </c>
      <c r="S1104" s="53">
        <f t="shared" si="476"/>
        <v>760.3</v>
      </c>
      <c r="T1104" s="52" t="str">
        <f t="shared" si="477"/>
        <v/>
      </c>
      <c r="U1104" s="52">
        <f>IFERROR(IF(AR1105=AR1104,INDEX('Aub Demand'!Q:Q,MATCH($O1104,'Aub Demand'!$A:$A,0))-IF(AN1104="",0,AN1104)+AP1105,INDEX('Aub Demand'!Q:Q,MATCH($O1104,'Aub Demand'!$A:$A,0))-IF(AN1104="",0,AN1104)),"")</f>
        <v>887</v>
      </c>
      <c r="V1104" s="53">
        <f t="shared" si="478"/>
        <v>760.3</v>
      </c>
      <c r="W1104" s="52" t="str">
        <f t="shared" si="479"/>
        <v/>
      </c>
      <c r="X1104" s="52">
        <f>IFERROR(IF(AND(AR1105=AR1104,AM1104&lt;&gt;""),INDEX('Aub Demand'!Q:Q,MATCH($O1104,'Aub Demand'!$A:$A,0))-IF(AN1104="",0,AN1104)+AP1105+AD1104+AL1104,IF(AR1105=AR1104,INDEX('Aub Demand'!Q:Q,MATCH($O1104,'Aub Demand'!$A:$A,0))-IF(AN1104="",0,AN1104)+AP1105+AD1104,IF(AM1104&lt;&gt;"",INDEX('Aub Demand'!Q:Q,MATCH($O1104,'Aub Demand'!$A:$A,0))-IF(AN1104="",0,AN1104)+AD1104+AL1104,INDEX('Aub Demand'!Q:Q,MATCH($O1104,'Aub Demand'!$A:$A,0))-IF(AN1104="",0,AN1104)+AD1104))),"")</f>
        <v>887</v>
      </c>
      <c r="Y1104" s="53">
        <f t="shared" si="480"/>
        <v>760.3</v>
      </c>
      <c r="Z1104" s="52">
        <f>IF(L1104="","",INDEX('Aub Demand'!H:H,MATCH($O1104,'Aub Demand'!$A:$A,0)))</f>
        <v>5</v>
      </c>
      <c r="AA1104" s="52" t="str">
        <f t="shared" si="481"/>
        <v>-spike-</v>
      </c>
      <c r="AB1104" s="52">
        <f>IFERROR(INDEX('Aub Demand'!L:L,MATCH($O1104,'Aub Demand'!$A:$A,0)),"")</f>
        <v>4</v>
      </c>
      <c r="AC1104" s="52">
        <f>IFERROR(IF(O1104="","",SUMIFS('CPL Mats'!F:F,'CPL Mats'!Q:Q,AR1104,'CPL Mats'!S:S,AS1104)),"")</f>
        <v>0</v>
      </c>
      <c r="AF1104" s="25" t="str">
        <f>IF(SUMIFS('Supp Consol'!S:S,'Supp Consol'!Y:Y,"Releasable",'Supp Consol'!A:A,O1104)=0,"",SUMIFS('Supp Consol'!S:S,'Supp Consol'!Y:Y,"Releasable",'Supp Consol'!A:A,O1104))</f>
        <v/>
      </c>
      <c r="AG1104" s="25">
        <f>IFERROR(INDEX('Hun Demand'!Q:Q,MATCH(O1104,'Hun Demand'!A:A,0)),"")</f>
        <v>108</v>
      </c>
      <c r="AH1104" s="25">
        <f>IFERROR(INDEX('Hun Demand'!H:H,MATCH($O1104,'Hun Demand'!$A:$A,0)),"")</f>
        <v>0</v>
      </c>
      <c r="AI1104" s="25" t="str">
        <f>IF(SUMIFS('Supp Consol'!AA:AA,'Supp Consol'!Z:Z,"Expires this month",'Supp Consol'!A:A,O1104)=0,"",SUMIFS('Supp Consol'!AA:AA,'Supp Consol'!Z:Z,"Expires this month",'Supp Consol'!A:A,O1104))</f>
        <v/>
      </c>
      <c r="AJ1104" s="25" t="str">
        <f>IF(SUMIFS('Supp Consol'!AA:AA,'Supp Consol'!Z:Z,"Expired Previous Months",'Supp Consol'!A:A,O1104)=0,"",SUMIFS('Supp Consol'!AA:AA,'Supp Consol'!Z:Z,"Expired Previous Months",'Supp Consol'!A:A,O1104))</f>
        <v/>
      </c>
      <c r="AK1104" s="25" t="str">
        <f>IFERROR(INDEX('Hun Release Current'!B:B,MATCH(O1104,'Hun Release Current'!A:A,0)),"")</f>
        <v/>
      </c>
      <c r="AL1104" s="25" t="str">
        <f>IF(SUMIF('Prev Aub'!A:A,O1104,'Prev Aub'!B:B)=0,"",SUMIF('Prev Aub'!A:A,O1104,'Prev Aub'!B:B))</f>
        <v/>
      </c>
      <c r="AN1104" s="25" t="s">
        <v>3790</v>
      </c>
      <c r="AO1104" s="25" t="s">
        <v>3790</v>
      </c>
      <c r="AP1104" s="25">
        <f t="shared" si="482"/>
        <v>0</v>
      </c>
      <c r="AQ1104" s="151" t="str">
        <f>IF(SUMIFS('Supp Consol'!S:S,'Supp Consol'!A:A,O1104,'Supp Consol'!I:I,"PENDING")=0,"",SUMIFS('Supp Consol'!S:S,'Supp Consol'!A:A,O1104,'Supp Consol'!I:I,"PENDING"))</f>
        <v/>
      </c>
      <c r="AR1104" s="27" t="str">
        <f t="shared" si="483"/>
        <v>SR510</v>
      </c>
      <c r="AS1104" s="27" t="str">
        <f t="shared" si="484"/>
        <v>50</v>
      </c>
      <c r="AT1104" s="27" t="str">
        <f t="shared" si="485"/>
        <v/>
      </c>
      <c r="AU1104" s="27" t="str">
        <f t="shared" si="486"/>
        <v/>
      </c>
      <c r="AV1104" s="27" t="str">
        <f t="shared" si="487"/>
        <v/>
      </c>
      <c r="AW1104" s="27" t="str">
        <f t="shared" si="488"/>
        <v/>
      </c>
      <c r="AX1104" s="27" t="str">
        <f t="shared" si="489"/>
        <v/>
      </c>
      <c r="AY1104" s="27" t="str">
        <f t="shared" si="490"/>
        <v>SR510</v>
      </c>
      <c r="AZ1104" s="27" t="str">
        <f t="shared" si="491"/>
        <v/>
      </c>
      <c r="BA1104" s="27" t="str">
        <f t="shared" si="492"/>
        <v>Hun</v>
      </c>
      <c r="BB1104" s="27" t="str">
        <f t="shared" si="493"/>
        <v/>
      </c>
      <c r="BC1104" s="27" t="str">
        <f t="shared" si="494"/>
        <v/>
      </c>
      <c r="BD1104" s="27" t="str">
        <f t="shared" si="495"/>
        <v/>
      </c>
      <c r="BE1104" s="27" t="str">
        <f t="shared" si="496"/>
        <v/>
      </c>
      <c r="BF1104" s="27" t="str">
        <f t="shared" si="497"/>
        <v/>
      </c>
      <c r="BG1104" s="27" t="str">
        <f t="shared" si="498"/>
        <v/>
      </c>
      <c r="BH1104" s="27" t="str">
        <f t="shared" si="499"/>
        <v/>
      </c>
      <c r="BI1104" s="27" t="str">
        <f t="shared" si="500"/>
        <v/>
      </c>
      <c r="BJ1104" s="27" t="str">
        <f t="shared" si="501"/>
        <v>Supp or Hun</v>
      </c>
      <c r="BK1104" s="27" t="str">
        <f t="shared" si="502"/>
        <v/>
      </c>
      <c r="BL1104" s="27" t="str">
        <f t="shared" si="503"/>
        <v/>
      </c>
      <c r="BM1104" s="21" t="s">
        <v>5581</v>
      </c>
    </row>
    <row r="1105" spans="1:65" ht="15">
      <c r="A1105" s="25" t="str">
        <f>IFERROR(INDEX('Hun Demand'!W:W,MATCH(O1105,'Hun Demand'!A:A,0)),"")</f>
        <v/>
      </c>
      <c r="B1105" s="25" t="str">
        <f>IFERROR(INDEX('Hun Demand'!V:V,MATCH(O1105,'Hun Demand'!A:A,0)),"")</f>
        <v/>
      </c>
      <c r="C1105" s="25" t="str">
        <f>IFERROR(INDEX('Hun Demand'!U:U,MATCH(O1105,'Hun Demand'!A:A,0)),"")</f>
        <v/>
      </c>
      <c r="D1105" s="25" t="str">
        <f>IFERROR(INDEX('Hun Demand'!T:T,MATCH(O1105,'Hun Demand'!A:A,0)),"")</f>
        <v/>
      </c>
      <c r="E1105" s="25" t="str">
        <f>IFERROR(INDEX('Hun Demand'!S:S,MATCH(O1105,'Hun Demand'!A:A,0)),"")</f>
        <v/>
      </c>
      <c r="F1105" s="25" t="str">
        <f>IFERROR(INDEX('Hun Demand'!R:R,MATCH(O1105,'Hun Demand'!A:A,0)),"")</f>
        <v/>
      </c>
      <c r="G1105" s="25">
        <f>IFERROR(INDEX('Aub Demand'!W:W,MATCH(O1105,'Aub Demand'!A:A,0)),"")</f>
        <v>0</v>
      </c>
      <c r="H1105" s="25">
        <f>IFERROR(INDEX('Aub Demand'!V:V,MATCH(O1105,'Aub Demand'!A:A,0)),"")</f>
        <v>0</v>
      </c>
      <c r="I1105" s="25">
        <f>IFERROR(INDEX('Aub Demand'!U:U,MATCH(O1105,'Aub Demand'!A:A,0)),"")</f>
        <v>16</v>
      </c>
      <c r="J1105" s="25">
        <f>IFERROR(INDEX('Aub Demand'!T:T,MATCH(O1105,'Aub Demand'!A:A,0)),"")</f>
        <v>0</v>
      </c>
      <c r="K1105" s="25">
        <f>IFERROR(INDEX('Aub Demand'!S:S,MATCH(O1105,'Aub Demand'!A:A,0)),"")</f>
        <v>0</v>
      </c>
      <c r="L1105" s="25">
        <f>IFERROR(INDEX('Aub Demand'!R:R,MATCH(O1105,'Aub Demand'!A:A,0)),"")</f>
        <v>0</v>
      </c>
      <c r="O1105" s="27" t="s">
        <v>2687</v>
      </c>
      <c r="P1105" s="27" t="str">
        <f>IFERROR(INDEX('Aub Demand'!B:B,MATCH($O1105,'Aub Demand'!$A:$A,0)),"")</f>
        <v>BLUSHING PINK</v>
      </c>
      <c r="Q1105" s="27" t="str">
        <f>IFERROR(INDEX('Aub Demand'!C:C,MATCH($O1105,'Aub Demand'!$A:$A,0)),"")</f>
        <v>AHLST</v>
      </c>
      <c r="R1105" s="52">
        <f>IFERROR(IF(AR1106=AR1105,INDEX('Aub Demand'!K:K,MATCH($O1105,'Aub Demand'!$A:$A,0))-IF(AN1105="",0,AN1105)+AP1106,INDEX('Aub Demand'!K:K,MATCH($O1105,'Aub Demand'!$A:$A,0))-IF(AN1105="",0,AN1105)),"")</f>
        <v>1064</v>
      </c>
      <c r="S1105" s="53">
        <f t="shared" si="476"/>
        <v>912</v>
      </c>
      <c r="T1105" s="52" t="str">
        <f t="shared" si="477"/>
        <v/>
      </c>
      <c r="U1105" s="52">
        <f>IFERROR(IF(AR1106=AR1105,INDEX('Aub Demand'!Q:Q,MATCH($O1105,'Aub Demand'!$A:$A,0))-IF(AN1105="",0,AN1105)+AP1106,INDEX('Aub Demand'!Q:Q,MATCH($O1105,'Aub Demand'!$A:$A,0))-IF(AN1105="",0,AN1105)),"")</f>
        <v>1064</v>
      </c>
      <c r="V1105" s="53">
        <f t="shared" si="478"/>
        <v>912</v>
      </c>
      <c r="W1105" s="52" t="str">
        <f t="shared" si="479"/>
        <v/>
      </c>
      <c r="X1105" s="52">
        <f>IFERROR(IF(AND(AR1106=AR1105,AM1105&lt;&gt;""),INDEX('Aub Demand'!Q:Q,MATCH($O1105,'Aub Demand'!$A:$A,0))-IF(AN1105="",0,AN1105)+AP1106+AD1105+AL1105,IF(AR1106=AR1105,INDEX('Aub Demand'!Q:Q,MATCH($O1105,'Aub Demand'!$A:$A,0))-IF(AN1105="",0,AN1105)+AP1106+AD1105,IF(AM1105&lt;&gt;"",INDEX('Aub Demand'!Q:Q,MATCH($O1105,'Aub Demand'!$A:$A,0))-IF(AN1105="",0,AN1105)+AD1105+AL1105,INDEX('Aub Demand'!Q:Q,MATCH($O1105,'Aub Demand'!$A:$A,0))-IF(AN1105="",0,AN1105)+AD1105))),"")</f>
        <v>1064</v>
      </c>
      <c r="Y1105" s="53">
        <f t="shared" si="480"/>
        <v>912</v>
      </c>
      <c r="Z1105" s="52">
        <f>IF(L1105="","",INDEX('Aub Demand'!H:H,MATCH($O1105,'Aub Demand'!$A:$A,0)))</f>
        <v>5</v>
      </c>
      <c r="AA1105" s="52" t="str">
        <f t="shared" si="481"/>
        <v>-spike-</v>
      </c>
      <c r="AB1105" s="52">
        <f>IFERROR(INDEX('Aub Demand'!L:L,MATCH($O1105,'Aub Demand'!$A:$A,0)),"")</f>
        <v>0</v>
      </c>
      <c r="AC1105" s="52">
        <f>IFERROR(IF(O1105="","",SUMIFS('CPL Mats'!F:F,'CPL Mats'!Q:Q,AR1105,'CPL Mats'!S:S,AS1105)),"")</f>
        <v>0</v>
      </c>
      <c r="AF1105" s="25" t="str">
        <f>IF(SUMIFS('Supp Consol'!S:S,'Supp Consol'!Y:Y,"Releasable",'Supp Consol'!A:A,O1105)=0,"",SUMIFS('Supp Consol'!S:S,'Supp Consol'!Y:Y,"Releasable",'Supp Consol'!A:A,O1105))</f>
        <v/>
      </c>
      <c r="AG1105" s="25" t="str">
        <f>IFERROR(INDEX('Hun Demand'!Q:Q,MATCH(O1105,'Hun Demand'!A:A,0)),"")</f>
        <v/>
      </c>
      <c r="AH1105" s="25" t="str">
        <f>IFERROR(INDEX('Hun Demand'!H:H,MATCH($O1105,'Hun Demand'!$A:$A,0)),"")</f>
        <v/>
      </c>
      <c r="AI1105" s="25" t="str">
        <f>IF(SUMIFS('Supp Consol'!AA:AA,'Supp Consol'!Z:Z,"Expires this month",'Supp Consol'!A:A,O1105)=0,"",SUMIFS('Supp Consol'!AA:AA,'Supp Consol'!Z:Z,"Expires this month",'Supp Consol'!A:A,O1105))</f>
        <v/>
      </c>
      <c r="AJ1105" s="25" t="str">
        <f>IF(SUMIFS('Supp Consol'!AA:AA,'Supp Consol'!Z:Z,"Expired Previous Months",'Supp Consol'!A:A,O1105)=0,"",SUMIFS('Supp Consol'!AA:AA,'Supp Consol'!Z:Z,"Expired Previous Months",'Supp Consol'!A:A,O1105))</f>
        <v/>
      </c>
      <c r="AK1105" s="25" t="str">
        <f>IFERROR(INDEX('Hun Release Current'!B:B,MATCH(O1105,'Hun Release Current'!A:A,0)),"")</f>
        <v/>
      </c>
      <c r="AL1105" s="25" t="str">
        <f>IF(SUMIF('Prev Aub'!A:A,O1105,'Prev Aub'!B:B)=0,"",SUMIF('Prev Aub'!A:A,O1105,'Prev Aub'!B:B))</f>
        <v/>
      </c>
      <c r="AN1105" s="25" t="s">
        <v>3790</v>
      </c>
      <c r="AO1105" s="25" t="s">
        <v>3790</v>
      </c>
      <c r="AP1105" s="25">
        <f t="shared" si="482"/>
        <v>0</v>
      </c>
      <c r="AQ1105" s="151" t="str">
        <f>IF(SUMIFS('Supp Consol'!S:S,'Supp Consol'!A:A,O1105,'Supp Consol'!I:I,"PENDING")=0,"",SUMIFS('Supp Consol'!S:S,'Supp Consol'!A:A,O1105,'Supp Consol'!I:I,"PENDING"))</f>
        <v/>
      </c>
      <c r="AR1105" s="27" t="str">
        <f t="shared" si="483"/>
        <v>SR510</v>
      </c>
      <c r="AS1105" s="27" t="str">
        <f t="shared" si="484"/>
        <v>62</v>
      </c>
      <c r="AT1105" s="27" t="str">
        <f t="shared" si="485"/>
        <v/>
      </c>
      <c r="AU1105" s="27" t="str">
        <f t="shared" si="486"/>
        <v/>
      </c>
      <c r="AV1105" s="27" t="str">
        <f t="shared" si="487"/>
        <v/>
      </c>
      <c r="AW1105" s="27" t="str">
        <f t="shared" si="488"/>
        <v/>
      </c>
      <c r="AX1105" s="27" t="str">
        <f t="shared" si="489"/>
        <v/>
      </c>
      <c r="AY1105" s="27" t="str">
        <f t="shared" si="490"/>
        <v/>
      </c>
      <c r="AZ1105" s="27" t="str">
        <f t="shared" si="491"/>
        <v/>
      </c>
      <c r="BA1105" s="27" t="str">
        <f t="shared" si="492"/>
        <v>Hun</v>
      </c>
      <c r="BB1105" s="27" t="str">
        <f t="shared" si="493"/>
        <v/>
      </c>
      <c r="BC1105" s="27" t="str">
        <f t="shared" si="494"/>
        <v/>
      </c>
      <c r="BD1105" s="27" t="str">
        <f t="shared" si="495"/>
        <v/>
      </c>
      <c r="BE1105" s="27" t="str">
        <f t="shared" si="496"/>
        <v/>
      </c>
      <c r="BF1105" s="27" t="str">
        <f t="shared" si="497"/>
        <v/>
      </c>
      <c r="BG1105" s="27" t="str">
        <f t="shared" si="498"/>
        <v/>
      </c>
      <c r="BH1105" s="27" t="str">
        <f t="shared" si="499"/>
        <v/>
      </c>
      <c r="BI1105" s="27" t="str">
        <f t="shared" si="500"/>
        <v/>
      </c>
      <c r="BJ1105" s="27" t="str">
        <f t="shared" si="501"/>
        <v>Supp or Hun</v>
      </c>
      <c r="BK1105" s="27" t="str">
        <f t="shared" si="502"/>
        <v/>
      </c>
      <c r="BL1105" s="27" t="str">
        <f t="shared" si="503"/>
        <v/>
      </c>
      <c r="BM1105" s="21" t="s">
        <v>5581</v>
      </c>
    </row>
    <row r="1106" spans="1:65" ht="15">
      <c r="A1106" s="25" t="str">
        <f>IFERROR(INDEX('Hun Demand'!W:W,MATCH(O1106,'Hun Demand'!A:A,0)),"")</f>
        <v/>
      </c>
      <c r="B1106" s="25" t="str">
        <f>IFERROR(INDEX('Hun Demand'!V:V,MATCH(O1106,'Hun Demand'!A:A,0)),"")</f>
        <v/>
      </c>
      <c r="C1106" s="25" t="str">
        <f>IFERROR(INDEX('Hun Demand'!U:U,MATCH(O1106,'Hun Demand'!A:A,0)),"")</f>
        <v/>
      </c>
      <c r="D1106" s="25" t="str">
        <f>IFERROR(INDEX('Hun Demand'!T:T,MATCH(O1106,'Hun Demand'!A:A,0)),"")</f>
        <v/>
      </c>
      <c r="E1106" s="25" t="str">
        <f>IFERROR(INDEX('Hun Demand'!S:S,MATCH(O1106,'Hun Demand'!A:A,0)),"")</f>
        <v/>
      </c>
      <c r="F1106" s="25" t="str">
        <f>IFERROR(INDEX('Hun Demand'!R:R,MATCH(O1106,'Hun Demand'!A:A,0)),"")</f>
        <v/>
      </c>
      <c r="G1106" s="25">
        <f>IFERROR(INDEX('Aub Demand'!W:W,MATCH(O1106,'Aub Demand'!A:A,0)),"")</f>
        <v>427</v>
      </c>
      <c r="H1106" s="25">
        <f>IFERROR(INDEX('Aub Demand'!V:V,MATCH(O1106,'Aub Demand'!A:A,0)),"")</f>
        <v>125</v>
      </c>
      <c r="I1106" s="25">
        <f>IFERROR(INDEX('Aub Demand'!U:U,MATCH(O1106,'Aub Demand'!A:A,0)),"")</f>
        <v>0</v>
      </c>
      <c r="J1106" s="25">
        <f>IFERROR(INDEX('Aub Demand'!T:T,MATCH(O1106,'Aub Demand'!A:A,0)),"")</f>
        <v>260</v>
      </c>
      <c r="K1106" s="25">
        <f>IFERROR(INDEX('Aub Demand'!S:S,MATCH(O1106,'Aub Demand'!A:A,0)),"")</f>
        <v>102</v>
      </c>
      <c r="L1106" s="25">
        <f>IFERROR(INDEX('Aub Demand'!R:R,MATCH(O1106,'Aub Demand'!A:A,0)),"")</f>
        <v>0</v>
      </c>
      <c r="O1106" s="27" t="s">
        <v>1477</v>
      </c>
      <c r="P1106" s="27" t="str">
        <f>IFERROR(INDEX('Aub Demand'!B:B,MATCH($O1106,'Aub Demand'!$A:$A,0)),"")</f>
        <v>PRIMARY RED</v>
      </c>
      <c r="Q1106" s="27" t="str">
        <f>IFERROR(INDEX('Aub Demand'!C:C,MATCH($O1106,'Aub Demand'!$A:$A,0)),"")</f>
        <v>ONYX</v>
      </c>
      <c r="R1106" s="52">
        <f>IFERROR(IF(AR1107=AR1106,INDEX('Aub Demand'!K:K,MATCH($O1106,'Aub Demand'!$A:$A,0))-IF(AN1106="",0,AN1106)+AP1107,INDEX('Aub Demand'!K:K,MATCH($O1106,'Aub Demand'!$A:$A,0))-IF(AN1106="",0,AN1106)),"")</f>
        <v>239</v>
      </c>
      <c r="S1106" s="53">
        <f t="shared" si="476"/>
        <v>8.5</v>
      </c>
      <c r="T1106" s="52" t="str">
        <f t="shared" si="477"/>
        <v/>
      </c>
      <c r="U1106" s="52">
        <f>IFERROR(IF(AR1107=AR1106,INDEX('Aub Demand'!Q:Q,MATCH($O1106,'Aub Demand'!$A:$A,0))-IF(AN1106="",0,AN1106)+AP1107,INDEX('Aub Demand'!Q:Q,MATCH($O1106,'Aub Demand'!$A:$A,0))-IF(AN1106="",0,AN1106)),"")</f>
        <v>71</v>
      </c>
      <c r="V1106" s="53">
        <f t="shared" si="478"/>
        <v>2.5</v>
      </c>
      <c r="W1106" s="52">
        <f t="shared" si="479"/>
        <v>22.625</v>
      </c>
      <c r="X1106" s="52">
        <f>IFERROR(IF(AND(AR1107=AR1106,AM1106&lt;&gt;""),INDEX('Aub Demand'!Q:Q,MATCH($O1106,'Aub Demand'!$A:$A,0))-IF(AN1106="",0,AN1106)+AP1107+AD1106+AL1106,IF(AR1107=AR1106,INDEX('Aub Demand'!Q:Q,MATCH($O1106,'Aub Demand'!$A:$A,0))-IF(AN1106="",0,AN1106)+AP1107+AD1106,IF(AM1106&lt;&gt;"",INDEX('Aub Demand'!Q:Q,MATCH($O1106,'Aub Demand'!$A:$A,0))-IF(AN1106="",0,AN1106)+AD1106+AL1106,INDEX('Aub Demand'!Q:Q,MATCH($O1106,'Aub Demand'!$A:$A,0))-IF(AN1106="",0,AN1106)+AD1106))),"")</f>
        <v>71</v>
      </c>
      <c r="Y1106" s="53">
        <f t="shared" si="480"/>
        <v>2.5</v>
      </c>
      <c r="Z1106" s="52">
        <f>IF(L1106="","",INDEX('Aub Demand'!H:H,MATCH($O1106,'Aub Demand'!$A:$A,0)))</f>
        <v>121</v>
      </c>
      <c r="AA1106" s="52">
        <f t="shared" si="481"/>
        <v>181</v>
      </c>
      <c r="AB1106" s="52">
        <f>IFERROR(INDEX('Aub Demand'!L:L,MATCH($O1106,'Aub Demand'!$A:$A,0)),"")</f>
        <v>53</v>
      </c>
      <c r="AC1106" s="52">
        <f>IFERROR(IF(O1106="","",SUMIFS('CPL Mats'!F:F,'CPL Mats'!Q:Q,AR1106,'CPL Mats'!S:S,AS1106)),"")</f>
        <v>0</v>
      </c>
      <c r="AF1106" s="25">
        <f>IF(SUMIFS('Supp Consol'!S:S,'Supp Consol'!Y:Y,"Releasable",'Supp Consol'!A:A,O1106)=0,"",SUMIFS('Supp Consol'!S:S,'Supp Consol'!Y:Y,"Releasable",'Supp Consol'!A:A,O1106))</f>
        <v>542</v>
      </c>
      <c r="AG1106" s="25" t="str">
        <f>IFERROR(INDEX('Hun Demand'!Q:Q,MATCH(O1106,'Hun Demand'!A:A,0)),"")</f>
        <v/>
      </c>
      <c r="AH1106" s="25" t="str">
        <f>IFERROR(INDEX('Hun Demand'!H:H,MATCH($O1106,'Hun Demand'!$A:$A,0)),"")</f>
        <v/>
      </c>
      <c r="AI1106" s="25">
        <f>IF(SUMIFS('Supp Consol'!AA:AA,'Supp Consol'!Z:Z,"Expires this month",'Supp Consol'!A:A,O1106)=0,"",SUMIFS('Supp Consol'!AA:AA,'Supp Consol'!Z:Z,"Expires this month",'Supp Consol'!A:A,O1106))</f>
        <v>429</v>
      </c>
      <c r="AJ1106" s="25" t="str">
        <f>IF(SUMIFS('Supp Consol'!AA:AA,'Supp Consol'!Z:Z,"Expired Previous Months",'Supp Consol'!A:A,O1106)=0,"",SUMIFS('Supp Consol'!AA:AA,'Supp Consol'!Z:Z,"Expired Previous Months",'Supp Consol'!A:A,O1106))</f>
        <v/>
      </c>
      <c r="AK1106" s="25" t="str">
        <f>IFERROR(INDEX('Hun Release Current'!B:B,MATCH(O1106,'Hun Release Current'!A:A,0)),"")</f>
        <v/>
      </c>
      <c r="AL1106" s="25" t="str">
        <f>IF(SUMIF('Prev Aub'!A:A,O1106,'Prev Aub'!B:B)=0,"",SUMIF('Prev Aub'!A:A,O1106,'Prev Aub'!B:B))</f>
        <v/>
      </c>
      <c r="AN1106" s="25" t="s">
        <v>3790</v>
      </c>
      <c r="AO1106" s="25" t="s">
        <v>3790</v>
      </c>
      <c r="AP1106" s="25">
        <f t="shared" si="482"/>
        <v>0</v>
      </c>
      <c r="AQ1106" s="151" t="str">
        <f>IF(SUMIFS('Supp Consol'!S:S,'Supp Consol'!A:A,O1106,'Supp Consol'!I:I,"PENDING")=0,"",SUMIFS('Supp Consol'!S:S,'Supp Consol'!A:A,O1106,'Supp Consol'!I:I,"PENDING"))</f>
        <v/>
      </c>
      <c r="AR1106" s="27" t="str">
        <f t="shared" si="483"/>
        <v>SR520</v>
      </c>
      <c r="AS1106" s="27" t="str">
        <f t="shared" si="484"/>
        <v>50</v>
      </c>
      <c r="AT1106" s="27" t="str">
        <f t="shared" si="485"/>
        <v/>
      </c>
      <c r="AU1106" s="27" t="str">
        <f t="shared" si="486"/>
        <v>SR520</v>
      </c>
      <c r="AV1106" s="27" t="str">
        <f t="shared" si="487"/>
        <v>SR520</v>
      </c>
      <c r="AW1106" s="27" t="str">
        <f t="shared" si="488"/>
        <v>SR520</v>
      </c>
      <c r="AX1106" s="27" t="str">
        <f t="shared" si="489"/>
        <v>SR520</v>
      </c>
      <c r="AY1106" s="27" t="str">
        <f t="shared" si="490"/>
        <v/>
      </c>
      <c r="AZ1106" s="27" t="str">
        <f t="shared" si="491"/>
        <v>Supp</v>
      </c>
      <c r="BA1106" s="27" t="str">
        <f t="shared" si="492"/>
        <v/>
      </c>
      <c r="BB1106" s="27" t="str">
        <f t="shared" si="493"/>
        <v/>
      </c>
      <c r="BC1106" s="27" t="str">
        <f t="shared" si="494"/>
        <v>Net</v>
      </c>
      <c r="BD1106" s="27" t="str">
        <f t="shared" si="495"/>
        <v>Net</v>
      </c>
      <c r="BE1106" s="27" t="str">
        <f t="shared" si="496"/>
        <v>Exp</v>
      </c>
      <c r="BF1106" s="27" t="str">
        <f t="shared" si="497"/>
        <v>S+N</v>
      </c>
      <c r="BG1106" s="27" t="str">
        <f t="shared" si="498"/>
        <v>S+NorE</v>
      </c>
      <c r="BH1106" s="27" t="str">
        <f t="shared" si="499"/>
        <v/>
      </c>
      <c r="BI1106" s="27" t="str">
        <f t="shared" si="500"/>
        <v/>
      </c>
      <c r="BJ1106" s="27" t="str">
        <f t="shared" si="501"/>
        <v>Supp or Hun</v>
      </c>
      <c r="BK1106" s="27" t="str">
        <f t="shared" si="502"/>
        <v>Supp or Hun Need</v>
      </c>
      <c r="BL1106" s="27" t="str">
        <f t="shared" si="503"/>
        <v>SorHandNandE</v>
      </c>
      <c r="BM1106" s="21" t="s">
        <v>5581</v>
      </c>
    </row>
    <row r="1107" spans="1:65" ht="15">
      <c r="A1107" s="25" t="str">
        <f>IFERROR(INDEX('Hun Demand'!W:W,MATCH(O1107,'Hun Demand'!A:A,0)),"")</f>
        <v/>
      </c>
      <c r="B1107" s="25" t="str">
        <f>IFERROR(INDEX('Hun Demand'!V:V,MATCH(O1107,'Hun Demand'!A:A,0)),"")</f>
        <v/>
      </c>
      <c r="C1107" s="25" t="str">
        <f>IFERROR(INDEX('Hun Demand'!U:U,MATCH(O1107,'Hun Demand'!A:A,0)),"")</f>
        <v/>
      </c>
      <c r="D1107" s="25" t="str">
        <f>IFERROR(INDEX('Hun Demand'!T:T,MATCH(O1107,'Hun Demand'!A:A,0)),"")</f>
        <v/>
      </c>
      <c r="E1107" s="25" t="str">
        <f>IFERROR(INDEX('Hun Demand'!S:S,MATCH(O1107,'Hun Demand'!A:A,0)),"")</f>
        <v/>
      </c>
      <c r="F1107" s="25" t="str">
        <f>IFERROR(INDEX('Hun Demand'!R:R,MATCH(O1107,'Hun Demand'!A:A,0)),"")</f>
        <v/>
      </c>
      <c r="G1107" s="25">
        <f>IFERROR(INDEX('Aub Demand'!W:W,MATCH(O1107,'Aub Demand'!A:A,0)),"")</f>
        <v>211</v>
      </c>
      <c r="H1107" s="25">
        <f>IFERROR(INDEX('Aub Demand'!V:V,MATCH(O1107,'Aub Demand'!A:A,0)),"")</f>
        <v>0</v>
      </c>
      <c r="I1107" s="25">
        <f>IFERROR(INDEX('Aub Demand'!U:U,MATCH(O1107,'Aub Demand'!A:A,0)),"")</f>
        <v>485</v>
      </c>
      <c r="J1107" s="25">
        <f>IFERROR(INDEX('Aub Demand'!T:T,MATCH(O1107,'Aub Demand'!A:A,0)),"")</f>
        <v>80</v>
      </c>
      <c r="K1107" s="25">
        <f>IFERROR(INDEX('Aub Demand'!S:S,MATCH(O1107,'Aub Demand'!A:A,0)),"")</f>
        <v>0</v>
      </c>
      <c r="L1107" s="25">
        <f>IFERROR(INDEX('Aub Demand'!R:R,MATCH(O1107,'Aub Demand'!A:A,0)),"")</f>
        <v>0</v>
      </c>
      <c r="O1107" s="27" t="s">
        <v>1479</v>
      </c>
      <c r="P1107" s="27" t="str">
        <f>IFERROR(INDEX('Aub Demand'!B:B,MATCH($O1107,'Aub Demand'!$A:$A,0)),"")</f>
        <v>PRIMARY RED</v>
      </c>
      <c r="Q1107" s="27" t="str">
        <f>IFERROR(INDEX('Aub Demand'!C:C,MATCH($O1107,'Aub Demand'!$A:$A,0)),"")</f>
        <v>ONYX</v>
      </c>
      <c r="R1107" s="52">
        <f>IFERROR(IF(AR1108=AR1107,INDEX('Aub Demand'!K:K,MATCH($O1107,'Aub Demand'!$A:$A,0))-IF(AN1107="",0,AN1107)+AP1108,INDEX('Aub Demand'!K:K,MATCH($O1107,'Aub Demand'!$A:$A,0))-IF(AN1107="",0,AN1107)),"")</f>
        <v>1469</v>
      </c>
      <c r="S1107" s="53">
        <f t="shared" si="476"/>
        <v>33.5</v>
      </c>
      <c r="T1107" s="52" t="str">
        <f t="shared" si="477"/>
        <v/>
      </c>
      <c r="U1107" s="52">
        <f>IFERROR(IF(AR1108=AR1107,INDEX('Aub Demand'!Q:Q,MATCH($O1107,'Aub Demand'!$A:$A,0))-IF(AN1107="",0,AN1107)+AP1108,INDEX('Aub Demand'!Q:Q,MATCH($O1107,'Aub Demand'!$A:$A,0))-IF(AN1107="",0,AN1107)),"")</f>
        <v>1409</v>
      </c>
      <c r="V1107" s="53">
        <f t="shared" si="478"/>
        <v>32.1</v>
      </c>
      <c r="W1107" s="52" t="str">
        <f t="shared" si="479"/>
        <v/>
      </c>
      <c r="X1107" s="52">
        <f>IFERROR(IF(AND(AR1108=AR1107,AM1107&lt;&gt;""),INDEX('Aub Demand'!Q:Q,MATCH($O1107,'Aub Demand'!$A:$A,0))-IF(AN1107="",0,AN1107)+AP1108+AD1107+AL1107,IF(AR1108=AR1107,INDEX('Aub Demand'!Q:Q,MATCH($O1107,'Aub Demand'!$A:$A,0))-IF(AN1107="",0,AN1107)+AP1108+AD1107,IF(AM1107&lt;&gt;"",INDEX('Aub Demand'!Q:Q,MATCH($O1107,'Aub Demand'!$A:$A,0))-IF(AN1107="",0,AN1107)+AD1107+AL1107,INDEX('Aub Demand'!Q:Q,MATCH($O1107,'Aub Demand'!$A:$A,0))-IF(AN1107="",0,AN1107)+AD1107))),"")</f>
        <v>1409</v>
      </c>
      <c r="Y1107" s="53">
        <f t="shared" si="480"/>
        <v>32.1</v>
      </c>
      <c r="Z1107" s="52">
        <f>IF(L1107="","",INDEX('Aub Demand'!H:H,MATCH($O1107,'Aub Demand'!$A:$A,0)))</f>
        <v>188</v>
      </c>
      <c r="AA1107" s="52">
        <f t="shared" si="481"/>
        <v>282.5</v>
      </c>
      <c r="AB1107" s="52">
        <f>IFERROR(INDEX('Aub Demand'!L:L,MATCH($O1107,'Aub Demand'!$A:$A,0)),"")</f>
        <v>67</v>
      </c>
      <c r="AC1107" s="52">
        <f>IFERROR(IF(O1107="","",SUMIFS('CPL Mats'!F:F,'CPL Mats'!Q:Q,AR1107,'CPL Mats'!S:S,AS1107)),"")</f>
        <v>0</v>
      </c>
      <c r="AF1107" s="25">
        <f>IF(SUMIFS('Supp Consol'!S:S,'Supp Consol'!Y:Y,"Releasable",'Supp Consol'!A:A,O1107)=0,"",SUMIFS('Supp Consol'!S:S,'Supp Consol'!Y:Y,"Releasable",'Supp Consol'!A:A,O1107))</f>
        <v>1083</v>
      </c>
      <c r="AG1107" s="25" t="str">
        <f>IFERROR(INDEX('Hun Demand'!Q:Q,MATCH(O1107,'Hun Demand'!A:A,0)),"")</f>
        <v/>
      </c>
      <c r="AH1107" s="25" t="str">
        <f>IFERROR(INDEX('Hun Demand'!H:H,MATCH($O1107,'Hun Demand'!$A:$A,0)),"")</f>
        <v/>
      </c>
      <c r="AI1107" s="25">
        <f>IF(SUMIFS('Supp Consol'!AA:AA,'Supp Consol'!Z:Z,"Expires this month",'Supp Consol'!A:A,O1107)=0,"",SUMIFS('Supp Consol'!AA:AA,'Supp Consol'!Z:Z,"Expires this month",'Supp Consol'!A:A,O1107))</f>
        <v>959</v>
      </c>
      <c r="AJ1107" s="25" t="str">
        <f>IF(SUMIFS('Supp Consol'!AA:AA,'Supp Consol'!Z:Z,"Expired Previous Months",'Supp Consol'!A:A,O1107)=0,"",SUMIFS('Supp Consol'!AA:AA,'Supp Consol'!Z:Z,"Expired Previous Months",'Supp Consol'!A:A,O1107))</f>
        <v/>
      </c>
      <c r="AK1107" s="25" t="str">
        <f>IFERROR(INDEX('Hun Release Current'!B:B,MATCH(O1107,'Hun Release Current'!A:A,0)),"")</f>
        <v/>
      </c>
      <c r="AL1107" s="25" t="str">
        <f>IF(SUMIF('Prev Aub'!A:A,O1107,'Prev Aub'!B:B)=0,"",SUMIF('Prev Aub'!A:A,O1107,'Prev Aub'!B:B))</f>
        <v/>
      </c>
      <c r="AN1107" s="25" t="s">
        <v>3790</v>
      </c>
      <c r="AO1107" s="25" t="s">
        <v>3790</v>
      </c>
      <c r="AP1107" s="25">
        <f t="shared" si="482"/>
        <v>0</v>
      </c>
      <c r="AQ1107" s="151" t="str">
        <f>IF(SUMIFS('Supp Consol'!S:S,'Supp Consol'!A:A,O1107,'Supp Consol'!I:I,"PENDING")=0,"",SUMIFS('Supp Consol'!S:S,'Supp Consol'!A:A,O1107,'Supp Consol'!I:I,"PENDING"))</f>
        <v/>
      </c>
      <c r="AR1107" s="27" t="str">
        <f t="shared" si="483"/>
        <v>SR520</v>
      </c>
      <c r="AS1107" s="27" t="str">
        <f t="shared" si="484"/>
        <v>62</v>
      </c>
      <c r="AT1107" s="27" t="str">
        <f t="shared" si="485"/>
        <v/>
      </c>
      <c r="AU1107" s="27" t="str">
        <f t="shared" si="486"/>
        <v/>
      </c>
      <c r="AV1107" s="27" t="str">
        <f t="shared" si="487"/>
        <v/>
      </c>
      <c r="AW1107" s="27" t="str">
        <f t="shared" si="488"/>
        <v>SR520</v>
      </c>
      <c r="AX1107" s="27" t="str">
        <f t="shared" si="489"/>
        <v>SR520</v>
      </c>
      <c r="AY1107" s="27" t="str">
        <f t="shared" si="490"/>
        <v/>
      </c>
      <c r="AZ1107" s="27" t="str">
        <f t="shared" si="491"/>
        <v>Supp</v>
      </c>
      <c r="BA1107" s="27" t="str">
        <f t="shared" si="492"/>
        <v/>
      </c>
      <c r="BB1107" s="27" t="str">
        <f t="shared" si="493"/>
        <v/>
      </c>
      <c r="BC1107" s="27" t="str">
        <f t="shared" si="494"/>
        <v>Net</v>
      </c>
      <c r="BD1107" s="27" t="str">
        <f t="shared" si="495"/>
        <v>Net</v>
      </c>
      <c r="BE1107" s="27" t="str">
        <f t="shared" si="496"/>
        <v>Exp</v>
      </c>
      <c r="BF1107" s="27" t="str">
        <f t="shared" si="497"/>
        <v>S+N</v>
      </c>
      <c r="BG1107" s="27" t="str">
        <f t="shared" si="498"/>
        <v>S+NorE</v>
      </c>
      <c r="BH1107" s="27" t="str">
        <f t="shared" si="499"/>
        <v/>
      </c>
      <c r="BI1107" s="27" t="str">
        <f t="shared" si="500"/>
        <v/>
      </c>
      <c r="BJ1107" s="27" t="str">
        <f t="shared" si="501"/>
        <v>Supp or Hun</v>
      </c>
      <c r="BK1107" s="27" t="str">
        <f t="shared" si="502"/>
        <v>Supp or Hun Need</v>
      </c>
      <c r="BL1107" s="27" t="str">
        <f t="shared" si="503"/>
        <v>SorHandNandE</v>
      </c>
      <c r="BM1107" s="21" t="s">
        <v>5581</v>
      </c>
    </row>
    <row r="1108" spans="1:65" ht="15">
      <c r="A1108" s="25">
        <f>IFERROR(INDEX('Hun Demand'!W:W,MATCH(O1108,'Hun Demand'!A:A,0)),"")</f>
        <v>0</v>
      </c>
      <c r="B1108" s="25">
        <f>IFERROR(INDEX('Hun Demand'!V:V,MATCH(O1108,'Hun Demand'!A:A,0)),"")</f>
        <v>0</v>
      </c>
      <c r="C1108" s="25">
        <f>IFERROR(INDEX('Hun Demand'!U:U,MATCH(O1108,'Hun Demand'!A:A,0)),"")</f>
        <v>0</v>
      </c>
      <c r="D1108" s="25">
        <f>IFERROR(INDEX('Hun Demand'!T:T,MATCH(O1108,'Hun Demand'!A:A,0)),"")</f>
        <v>48</v>
      </c>
      <c r="E1108" s="25">
        <f>IFERROR(INDEX('Hun Demand'!S:S,MATCH(O1108,'Hun Demand'!A:A,0)),"")</f>
        <v>0</v>
      </c>
      <c r="F1108" s="25">
        <f>IFERROR(INDEX('Hun Demand'!R:R,MATCH(O1108,'Hun Demand'!A:A,0)),"")</f>
        <v>0</v>
      </c>
      <c r="G1108" s="25">
        <f>IFERROR(INDEX('Aub Demand'!W:W,MATCH(O1108,'Aub Demand'!A:A,0)),"")</f>
        <v>222</v>
      </c>
      <c r="H1108" s="25">
        <f>IFERROR(INDEX('Aub Demand'!V:V,MATCH(O1108,'Aub Demand'!A:A,0)),"")</f>
        <v>0</v>
      </c>
      <c r="I1108" s="25">
        <f>IFERROR(INDEX('Aub Demand'!U:U,MATCH(O1108,'Aub Demand'!A:A,0)),"")</f>
        <v>0</v>
      </c>
      <c r="J1108" s="25">
        <f>IFERROR(INDEX('Aub Demand'!T:T,MATCH(O1108,'Aub Demand'!A:A,0)),"")</f>
        <v>0</v>
      </c>
      <c r="K1108" s="25">
        <f>IFERROR(INDEX('Aub Demand'!S:S,MATCH(O1108,'Aub Demand'!A:A,0)),"")</f>
        <v>0</v>
      </c>
      <c r="L1108" s="25">
        <f>IFERROR(INDEX('Aub Demand'!R:R,MATCH(O1108,'Aub Demand'!A:A,0)),"")</f>
        <v>0</v>
      </c>
      <c r="O1108" s="27" t="s">
        <v>1483</v>
      </c>
      <c r="P1108" s="27" t="str">
        <f>IFERROR(INDEX('Aub Demand'!B:B,MATCH($O1108,'Aub Demand'!$A:$A,0)),"")</f>
        <v>BURGUNDY</v>
      </c>
      <c r="Q1108" s="27" t="str">
        <f>IFERROR(INDEX('Aub Demand'!C:C,MATCH($O1108,'Aub Demand'!$A:$A,0)),"")</f>
        <v>ONYX</v>
      </c>
      <c r="R1108" s="52">
        <f>IFERROR(IF(AR1109=AR1108,INDEX('Aub Demand'!K:K,MATCH($O1108,'Aub Demand'!$A:$A,0))-IF(AN1108="",0,AN1108)+AP1109,INDEX('Aub Demand'!K:K,MATCH($O1108,'Aub Demand'!$A:$A,0))-IF(AN1108="",0,AN1108)),"")</f>
        <v>64</v>
      </c>
      <c r="S1108" s="53" t="str">
        <f t="shared" si="476"/>
        <v>n/a</v>
      </c>
      <c r="T1108" s="52" t="str">
        <f t="shared" si="477"/>
        <v/>
      </c>
      <c r="U1108" s="52">
        <f>IFERROR(IF(AR1109=AR1108,INDEX('Aub Demand'!Q:Q,MATCH($O1108,'Aub Demand'!$A:$A,0))-IF(AN1108="",0,AN1108)+AP1109,INDEX('Aub Demand'!Q:Q,MATCH($O1108,'Aub Demand'!$A:$A,0))-IF(AN1108="",0,AN1108)),"")</f>
        <v>64</v>
      </c>
      <c r="V1108" s="53" t="str">
        <f t="shared" si="478"/>
        <v>n/a</v>
      </c>
      <c r="W1108" s="52" t="str">
        <f t="shared" si="479"/>
        <v/>
      </c>
      <c r="X1108" s="52">
        <f>IFERROR(IF(AND(AR1109=AR1108,AM1108&lt;&gt;""),INDEX('Aub Demand'!Q:Q,MATCH($O1108,'Aub Demand'!$A:$A,0))-IF(AN1108="",0,AN1108)+AP1109+AD1108+AL1108,IF(AR1109=AR1108,INDEX('Aub Demand'!Q:Q,MATCH($O1108,'Aub Demand'!$A:$A,0))-IF(AN1108="",0,AN1108)+AP1109+AD1108,IF(AM1108&lt;&gt;"",INDEX('Aub Demand'!Q:Q,MATCH($O1108,'Aub Demand'!$A:$A,0))-IF(AN1108="",0,AN1108)+AD1108+AL1108,INDEX('Aub Demand'!Q:Q,MATCH($O1108,'Aub Demand'!$A:$A,0))-IF(AN1108="",0,AN1108)+AD1108))),"")</f>
        <v>64</v>
      </c>
      <c r="Y1108" s="53" t="str">
        <f t="shared" si="480"/>
        <v>n/a</v>
      </c>
      <c r="Z1108" s="52">
        <f>IF(L1108="","",INDEX('Aub Demand'!H:H,MATCH($O1108,'Aub Demand'!$A:$A,0)))</f>
        <v>0</v>
      </c>
      <c r="AA1108" s="52" t="str">
        <f t="shared" si="481"/>
        <v>-spike-</v>
      </c>
      <c r="AB1108" s="52">
        <f>IFERROR(INDEX('Aub Demand'!L:L,MATCH($O1108,'Aub Demand'!$A:$A,0)),"")</f>
        <v>0</v>
      </c>
      <c r="AC1108" s="52">
        <f>IFERROR(IF(O1108="","",SUMIFS('CPL Mats'!F:F,'CPL Mats'!Q:Q,AR1108,'CPL Mats'!S:S,AS1108)),"")</f>
        <v>0</v>
      </c>
      <c r="AF1108" s="25" t="str">
        <f>IF(SUMIFS('Supp Consol'!S:S,'Supp Consol'!Y:Y,"Releasable",'Supp Consol'!A:A,O1108)=0,"",SUMIFS('Supp Consol'!S:S,'Supp Consol'!Y:Y,"Releasable",'Supp Consol'!A:A,O1108))</f>
        <v/>
      </c>
      <c r="AG1108" s="25">
        <f>IFERROR(INDEX('Hun Demand'!Q:Q,MATCH(O1108,'Hun Demand'!A:A,0)),"")</f>
        <v>0</v>
      </c>
      <c r="AH1108" s="25">
        <f>IFERROR(INDEX('Hun Demand'!H:H,MATCH($O1108,'Hun Demand'!$A:$A,0)),"")</f>
        <v>16</v>
      </c>
      <c r="AI1108" s="25" t="str">
        <f>IF(SUMIFS('Supp Consol'!AA:AA,'Supp Consol'!Z:Z,"Expires this month",'Supp Consol'!A:A,O1108)=0,"",SUMIFS('Supp Consol'!AA:AA,'Supp Consol'!Z:Z,"Expires this month",'Supp Consol'!A:A,O1108))</f>
        <v/>
      </c>
      <c r="AJ1108" s="25" t="str">
        <f>IF(SUMIFS('Supp Consol'!AA:AA,'Supp Consol'!Z:Z,"Expired Previous Months",'Supp Consol'!A:A,O1108)=0,"",SUMIFS('Supp Consol'!AA:AA,'Supp Consol'!Z:Z,"Expired Previous Months",'Supp Consol'!A:A,O1108))</f>
        <v/>
      </c>
      <c r="AK1108" s="25" t="str">
        <f>IFERROR(INDEX('Hun Release Current'!B:B,MATCH(O1108,'Hun Release Current'!A:A,0)),"")</f>
        <v/>
      </c>
      <c r="AL1108" s="25" t="str">
        <f>IF(SUMIF('Prev Aub'!A:A,O1108,'Prev Aub'!B:B)=0,"",SUMIF('Prev Aub'!A:A,O1108,'Prev Aub'!B:B))</f>
        <v/>
      </c>
      <c r="AN1108" s="25" t="s">
        <v>3790</v>
      </c>
      <c r="AO1108" s="25" t="s">
        <v>3790</v>
      </c>
      <c r="AP1108" s="25">
        <f t="shared" si="482"/>
        <v>0</v>
      </c>
      <c r="AQ1108" s="151" t="str">
        <f>IF(SUMIFS('Supp Consol'!S:S,'Supp Consol'!A:A,O1108,'Supp Consol'!I:I,"PENDING")=0,"",SUMIFS('Supp Consol'!S:S,'Supp Consol'!A:A,O1108,'Supp Consol'!I:I,"PENDING"))</f>
        <v/>
      </c>
      <c r="AR1108" s="27" t="str">
        <f t="shared" si="483"/>
        <v>SR521</v>
      </c>
      <c r="AS1108" s="27" t="str">
        <f t="shared" si="484"/>
        <v>62</v>
      </c>
      <c r="AT1108" s="27" t="str">
        <f t="shared" si="485"/>
        <v/>
      </c>
      <c r="AU1108" s="27" t="str">
        <f t="shared" si="486"/>
        <v/>
      </c>
      <c r="AV1108" s="27" t="str">
        <f t="shared" si="487"/>
        <v/>
      </c>
      <c r="AW1108" s="27" t="str">
        <f t="shared" si="488"/>
        <v/>
      </c>
      <c r="AX1108" s="27" t="str">
        <f t="shared" si="489"/>
        <v/>
      </c>
      <c r="AY1108" s="27" t="str">
        <f t="shared" si="490"/>
        <v/>
      </c>
      <c r="AZ1108" s="27" t="str">
        <f t="shared" si="491"/>
        <v/>
      </c>
      <c r="BA1108" s="27" t="str">
        <f t="shared" si="492"/>
        <v/>
      </c>
      <c r="BB1108" s="27" t="str">
        <f t="shared" si="493"/>
        <v/>
      </c>
      <c r="BC1108" s="27" t="str">
        <f t="shared" si="494"/>
        <v/>
      </c>
      <c r="BD1108" s="27" t="str">
        <f t="shared" si="495"/>
        <v/>
      </c>
      <c r="BE1108" s="27" t="str">
        <f t="shared" si="496"/>
        <v/>
      </c>
      <c r="BF1108" s="27" t="str">
        <f t="shared" si="497"/>
        <v/>
      </c>
      <c r="BG1108" s="27" t="str">
        <f t="shared" si="498"/>
        <v/>
      </c>
      <c r="BH1108" s="27" t="str">
        <f t="shared" si="499"/>
        <v/>
      </c>
      <c r="BI1108" s="27" t="str">
        <f t="shared" si="500"/>
        <v/>
      </c>
      <c r="BJ1108" s="27" t="str">
        <f t="shared" si="501"/>
        <v/>
      </c>
      <c r="BK1108" s="27" t="str">
        <f t="shared" si="502"/>
        <v/>
      </c>
      <c r="BL1108" s="27" t="str">
        <f t="shared" si="503"/>
        <v/>
      </c>
      <c r="BM1108" s="21" t="s">
        <v>3790</v>
      </c>
    </row>
    <row r="1109" spans="1:65" ht="15">
      <c r="A1109" s="25" t="str">
        <f>IFERROR(INDEX('Hun Demand'!W:W,MATCH(O1109,'Hun Demand'!A:A,0)),"")</f>
        <v/>
      </c>
      <c r="B1109" s="25" t="str">
        <f>IFERROR(INDEX('Hun Demand'!V:V,MATCH(O1109,'Hun Demand'!A:A,0)),"")</f>
        <v/>
      </c>
      <c r="C1109" s="25" t="str">
        <f>IFERROR(INDEX('Hun Demand'!U:U,MATCH(O1109,'Hun Demand'!A:A,0)),"")</f>
        <v/>
      </c>
      <c r="D1109" s="25" t="str">
        <f>IFERROR(INDEX('Hun Demand'!T:T,MATCH(O1109,'Hun Demand'!A:A,0)),"")</f>
        <v/>
      </c>
      <c r="E1109" s="25" t="str">
        <f>IFERROR(INDEX('Hun Demand'!S:S,MATCH(O1109,'Hun Demand'!A:A,0)),"")</f>
        <v/>
      </c>
      <c r="F1109" s="25" t="str">
        <f>IFERROR(INDEX('Hun Demand'!R:R,MATCH(O1109,'Hun Demand'!A:A,0)),"")</f>
        <v/>
      </c>
      <c r="G1109" s="25">
        <f>IFERROR(INDEX('Aub Demand'!W:W,MATCH(O1109,'Aub Demand'!A:A,0)),"")</f>
        <v>52</v>
      </c>
      <c r="H1109" s="25">
        <f>IFERROR(INDEX('Aub Demand'!V:V,MATCH(O1109,'Aub Demand'!A:A,0)),"")</f>
        <v>0</v>
      </c>
      <c r="I1109" s="25">
        <f>IFERROR(INDEX('Aub Demand'!U:U,MATCH(O1109,'Aub Demand'!A:A,0)),"")</f>
        <v>165</v>
      </c>
      <c r="J1109" s="25">
        <f>IFERROR(INDEX('Aub Demand'!T:T,MATCH(O1109,'Aub Demand'!A:A,0)),"")</f>
        <v>0</v>
      </c>
      <c r="K1109" s="25">
        <f>IFERROR(INDEX('Aub Demand'!S:S,MATCH(O1109,'Aub Demand'!A:A,0)),"")</f>
        <v>102</v>
      </c>
      <c r="L1109" s="25">
        <f>IFERROR(INDEX('Aub Demand'!R:R,MATCH(O1109,'Aub Demand'!A:A,0)),"")</f>
        <v>0</v>
      </c>
      <c r="O1109" s="27" t="s">
        <v>2688</v>
      </c>
      <c r="P1109" s="27" t="str">
        <f>IFERROR(INDEX('Aub Demand'!B:B,MATCH($O1109,'Aub Demand'!$A:$A,0)),"")</f>
        <v>PASSIONFRUIT</v>
      </c>
      <c r="Q1109" s="27" t="str">
        <f>IFERROR(INDEX('Aub Demand'!C:C,MATCH($O1109,'Aub Demand'!$A:$A,0)),"")</f>
        <v>AHLST</v>
      </c>
      <c r="R1109" s="52">
        <f>IFERROR(IF(AR1110=AR1109,INDEX('Aub Demand'!K:K,MATCH($O1109,'Aub Demand'!$A:$A,0))-IF(AN1109="",0,AN1109)+AP1110,INDEX('Aub Demand'!K:K,MATCH($O1109,'Aub Demand'!$A:$A,0))-IF(AN1109="",0,AN1109)),"")</f>
        <v>0</v>
      </c>
      <c r="S1109" s="53">
        <f t="shared" si="476"/>
        <v>0</v>
      </c>
      <c r="T1109" s="52">
        <f t="shared" si="477"/>
        <v>100.125</v>
      </c>
      <c r="U1109" s="52">
        <f>IFERROR(IF(AR1110=AR1109,INDEX('Aub Demand'!Q:Q,MATCH($O1109,'Aub Demand'!$A:$A,0))-IF(AN1109="",0,AN1109)+AP1110,INDEX('Aub Demand'!Q:Q,MATCH($O1109,'Aub Demand'!$A:$A,0))-IF(AN1109="",0,AN1109)),"")</f>
        <v>-94</v>
      </c>
      <c r="V1109" s="53">
        <f t="shared" si="478"/>
        <v>-4.5</v>
      </c>
      <c r="W1109" s="52">
        <f t="shared" si="479"/>
        <v>250.3125</v>
      </c>
      <c r="X1109" s="52">
        <f>IFERROR(IF(AND(AR1110=AR1109,AM1109&lt;&gt;""),INDEX('Aub Demand'!Q:Q,MATCH($O1109,'Aub Demand'!$A:$A,0))-IF(AN1109="",0,AN1109)+AP1110+AD1109+AL1109,IF(AR1110=AR1109,INDEX('Aub Demand'!Q:Q,MATCH($O1109,'Aub Demand'!$A:$A,0))-IF(AN1109="",0,AN1109)+AP1110+AD1109,IF(AM1109&lt;&gt;"",INDEX('Aub Demand'!Q:Q,MATCH($O1109,'Aub Demand'!$A:$A,0))-IF(AN1109="",0,AN1109)+AD1109+AL1109,INDEX('Aub Demand'!Q:Q,MATCH($O1109,'Aub Demand'!$A:$A,0))-IF(AN1109="",0,AN1109)+AD1109))),"")</f>
        <v>-94</v>
      </c>
      <c r="Y1109" s="53">
        <f t="shared" si="480"/>
        <v>-4.5</v>
      </c>
      <c r="Z1109" s="52">
        <f>IF(L1109="","",INDEX('Aub Demand'!H:H,MATCH($O1109,'Aub Demand'!$A:$A,0)))</f>
        <v>89</v>
      </c>
      <c r="AA1109" s="52">
        <f t="shared" si="481"/>
        <v>133.5</v>
      </c>
      <c r="AB1109" s="52">
        <f>IFERROR(INDEX('Aub Demand'!L:L,MATCH($O1109,'Aub Demand'!$A:$A,0)),"")</f>
        <v>32</v>
      </c>
      <c r="AC1109" s="52">
        <f>IFERROR(IF(O1109="","",SUMIFS('CPL Mats'!F:F,'CPL Mats'!Q:Q,AR1109,'CPL Mats'!S:S,AS1109)),"")</f>
        <v>0</v>
      </c>
      <c r="AF1109" s="25" t="str">
        <f>IF(SUMIFS('Supp Consol'!S:S,'Supp Consol'!Y:Y,"Releasable",'Supp Consol'!A:A,O1109)=0,"",SUMIFS('Supp Consol'!S:S,'Supp Consol'!Y:Y,"Releasable",'Supp Consol'!A:A,O1109))</f>
        <v/>
      </c>
      <c r="AG1109" s="25" t="str">
        <f>IFERROR(INDEX('Hun Demand'!Q:Q,MATCH(O1109,'Hun Demand'!A:A,0)),"")</f>
        <v/>
      </c>
      <c r="AH1109" s="25" t="str">
        <f>IFERROR(INDEX('Hun Demand'!H:H,MATCH($O1109,'Hun Demand'!$A:$A,0)),"")</f>
        <v/>
      </c>
      <c r="AI1109" s="25" t="str">
        <f>IF(SUMIFS('Supp Consol'!AA:AA,'Supp Consol'!Z:Z,"Expires this month",'Supp Consol'!A:A,O1109)=0,"",SUMIFS('Supp Consol'!AA:AA,'Supp Consol'!Z:Z,"Expires this month",'Supp Consol'!A:A,O1109))</f>
        <v/>
      </c>
      <c r="AJ1109" s="25" t="str">
        <f>IF(SUMIFS('Supp Consol'!AA:AA,'Supp Consol'!Z:Z,"Expired Previous Months",'Supp Consol'!A:A,O1109)=0,"",SUMIFS('Supp Consol'!AA:AA,'Supp Consol'!Z:Z,"Expired Previous Months",'Supp Consol'!A:A,O1109))</f>
        <v/>
      </c>
      <c r="AK1109" s="25" t="str">
        <f>IFERROR(INDEX('Hun Release Current'!B:B,MATCH(O1109,'Hun Release Current'!A:A,0)),"")</f>
        <v/>
      </c>
      <c r="AL1109" s="25" t="str">
        <f>IF(SUMIF('Prev Aub'!A:A,O1109,'Prev Aub'!B:B)=0,"",SUMIF('Prev Aub'!A:A,O1109,'Prev Aub'!B:B))</f>
        <v/>
      </c>
      <c r="AN1109" s="25" t="s">
        <v>3790</v>
      </c>
      <c r="AO1109" s="25" t="s">
        <v>3790</v>
      </c>
      <c r="AP1109" s="25">
        <f t="shared" si="482"/>
        <v>0</v>
      </c>
      <c r="AQ1109" s="151" t="str">
        <f>IF(SUMIFS('Supp Consol'!S:S,'Supp Consol'!A:A,O1109,'Supp Consol'!I:I,"PENDING")=0,"",SUMIFS('Supp Consol'!S:S,'Supp Consol'!A:A,O1109,'Supp Consol'!I:I,"PENDING"))</f>
        <v/>
      </c>
      <c r="AR1109" s="27" t="str">
        <f t="shared" si="483"/>
        <v>SR524</v>
      </c>
      <c r="AS1109" s="27" t="str">
        <f t="shared" si="484"/>
        <v>50</v>
      </c>
      <c r="AT1109" s="27" t="str">
        <f t="shared" si="485"/>
        <v>SR524</v>
      </c>
      <c r="AU1109" s="27" t="str">
        <f t="shared" si="486"/>
        <v>SR524</v>
      </c>
      <c r="AV1109" s="27" t="str">
        <f t="shared" si="487"/>
        <v>SR524</v>
      </c>
      <c r="AW1109" s="27" t="str">
        <f t="shared" si="488"/>
        <v/>
      </c>
      <c r="AX1109" s="27" t="str">
        <f t="shared" si="489"/>
        <v/>
      </c>
      <c r="AY1109" s="27" t="str">
        <f t="shared" si="490"/>
        <v/>
      </c>
      <c r="AZ1109" s="27" t="str">
        <f t="shared" si="491"/>
        <v/>
      </c>
      <c r="BA1109" s="27" t="str">
        <f t="shared" si="492"/>
        <v/>
      </c>
      <c r="BB1109" s="27" t="str">
        <f t="shared" si="493"/>
        <v>Gross</v>
      </c>
      <c r="BC1109" s="27" t="str">
        <f t="shared" si="494"/>
        <v>Net</v>
      </c>
      <c r="BD1109" s="27" t="str">
        <f t="shared" si="495"/>
        <v>Net</v>
      </c>
      <c r="BE1109" s="27" t="str">
        <f t="shared" si="496"/>
        <v/>
      </c>
      <c r="BF1109" s="27" t="str">
        <f t="shared" si="497"/>
        <v/>
      </c>
      <c r="BG1109" s="27" t="str">
        <f t="shared" si="498"/>
        <v/>
      </c>
      <c r="BH1109" s="27" t="str">
        <f t="shared" si="499"/>
        <v/>
      </c>
      <c r="BI1109" s="27" t="str">
        <f t="shared" si="500"/>
        <v/>
      </c>
      <c r="BJ1109" s="27" t="str">
        <f t="shared" si="501"/>
        <v/>
      </c>
      <c r="BK1109" s="27" t="str">
        <f t="shared" si="502"/>
        <v/>
      </c>
      <c r="BL1109" s="27" t="str">
        <f t="shared" si="503"/>
        <v/>
      </c>
      <c r="BM1109" s="21" t="s">
        <v>5581</v>
      </c>
    </row>
    <row r="1110" spans="1:65" ht="15">
      <c r="A1110" s="25" t="str">
        <f>IFERROR(INDEX('Hun Demand'!W:W,MATCH(O1110,'Hun Demand'!A:A,0)),"")</f>
        <v/>
      </c>
      <c r="B1110" s="25" t="str">
        <f>IFERROR(INDEX('Hun Demand'!V:V,MATCH(O1110,'Hun Demand'!A:A,0)),"")</f>
        <v/>
      </c>
      <c r="C1110" s="25" t="str">
        <f>IFERROR(INDEX('Hun Demand'!U:U,MATCH(O1110,'Hun Demand'!A:A,0)),"")</f>
        <v/>
      </c>
      <c r="D1110" s="25" t="str">
        <f>IFERROR(INDEX('Hun Demand'!T:T,MATCH(O1110,'Hun Demand'!A:A,0)),"")</f>
        <v/>
      </c>
      <c r="E1110" s="25" t="str">
        <f>IFERROR(INDEX('Hun Demand'!S:S,MATCH(O1110,'Hun Demand'!A:A,0)),"")</f>
        <v/>
      </c>
      <c r="F1110" s="25" t="str">
        <f>IFERROR(INDEX('Hun Demand'!R:R,MATCH(O1110,'Hun Demand'!A:A,0)),"")</f>
        <v/>
      </c>
      <c r="G1110" s="25">
        <f>IFERROR(INDEX('Aub Demand'!W:W,MATCH(O1110,'Aub Demand'!A:A,0)),"")</f>
        <v>0</v>
      </c>
      <c r="H1110" s="25">
        <f>IFERROR(INDEX('Aub Demand'!V:V,MATCH(O1110,'Aub Demand'!A:A,0)),"")</f>
        <v>0</v>
      </c>
      <c r="I1110" s="25">
        <f>IFERROR(INDEX('Aub Demand'!U:U,MATCH(O1110,'Aub Demand'!A:A,0)),"")</f>
        <v>64</v>
      </c>
      <c r="J1110" s="25">
        <f>IFERROR(INDEX('Aub Demand'!T:T,MATCH(O1110,'Aub Demand'!A:A,0)),"")</f>
        <v>23</v>
      </c>
      <c r="K1110" s="25">
        <f>IFERROR(INDEX('Aub Demand'!S:S,MATCH(O1110,'Aub Demand'!A:A,0)),"")</f>
        <v>49</v>
      </c>
      <c r="L1110" s="25">
        <f>IFERROR(INDEX('Aub Demand'!R:R,MATCH(O1110,'Aub Demand'!A:A,0)),"")</f>
        <v>0</v>
      </c>
      <c r="O1110" s="27" t="s">
        <v>2691</v>
      </c>
      <c r="P1110" s="27" t="str">
        <f>IFERROR(INDEX('Aub Demand'!B:B,MATCH($O1110,'Aub Demand'!$A:$A,0)),"")</f>
        <v>PASSIONFRUIT</v>
      </c>
      <c r="Q1110" s="27" t="str">
        <f>IFERROR(INDEX('Aub Demand'!C:C,MATCH($O1110,'Aub Demand'!$A:$A,0)),"")</f>
        <v>AHLST</v>
      </c>
      <c r="R1110" s="52">
        <f>IFERROR(IF(AR1111=AR1110,INDEX('Aub Demand'!K:K,MATCH($O1110,'Aub Demand'!$A:$A,0))-IF(AN1110="",0,AN1110)+AP1111,INDEX('Aub Demand'!K:K,MATCH($O1110,'Aub Demand'!$A:$A,0))-IF(AN1110="",0,AN1110)),"")</f>
        <v>1419</v>
      </c>
      <c r="S1110" s="53">
        <f t="shared" si="476"/>
        <v>135.1</v>
      </c>
      <c r="T1110" s="52" t="str">
        <f t="shared" si="477"/>
        <v/>
      </c>
      <c r="U1110" s="52">
        <f>IFERROR(IF(AR1111=AR1110,INDEX('Aub Demand'!Q:Q,MATCH($O1110,'Aub Demand'!$A:$A,0))-IF(AN1110="",0,AN1110)+AP1111,INDEX('Aub Demand'!Q:Q,MATCH($O1110,'Aub Demand'!$A:$A,0))-IF(AN1110="",0,AN1110)),"")</f>
        <v>1381</v>
      </c>
      <c r="V1110" s="53">
        <f t="shared" si="478"/>
        <v>131.5</v>
      </c>
      <c r="W1110" s="52" t="str">
        <f t="shared" si="479"/>
        <v/>
      </c>
      <c r="X1110" s="52">
        <f>IFERROR(IF(AND(AR1111=AR1110,AM1110&lt;&gt;""),INDEX('Aub Demand'!Q:Q,MATCH($O1110,'Aub Demand'!$A:$A,0))-IF(AN1110="",0,AN1110)+AP1111+AD1110+AL1110,IF(AR1111=AR1110,INDEX('Aub Demand'!Q:Q,MATCH($O1110,'Aub Demand'!$A:$A,0))-IF(AN1110="",0,AN1110)+AP1111+AD1110,IF(AM1110&lt;&gt;"",INDEX('Aub Demand'!Q:Q,MATCH($O1110,'Aub Demand'!$A:$A,0))-IF(AN1110="",0,AN1110)+AD1110+AL1110,INDEX('Aub Demand'!Q:Q,MATCH($O1110,'Aub Demand'!$A:$A,0))-IF(AN1110="",0,AN1110)+AD1110))),"")</f>
        <v>1381</v>
      </c>
      <c r="Y1110" s="53">
        <f t="shared" si="480"/>
        <v>131.5</v>
      </c>
      <c r="Z1110" s="52">
        <f>IF(L1110="","",INDEX('Aub Demand'!H:H,MATCH($O1110,'Aub Demand'!$A:$A,0)))</f>
        <v>45</v>
      </c>
      <c r="AA1110" s="52">
        <f t="shared" si="481"/>
        <v>56.5</v>
      </c>
      <c r="AB1110" s="52">
        <f>IFERROR(INDEX('Aub Demand'!L:L,MATCH($O1110,'Aub Demand'!$A:$A,0)),"")</f>
        <v>30</v>
      </c>
      <c r="AC1110" s="52">
        <f>IFERROR(IF(O1110="","",SUMIFS('CPL Mats'!F:F,'CPL Mats'!Q:Q,AR1110,'CPL Mats'!S:S,AS1110)),"")</f>
        <v>0</v>
      </c>
      <c r="AF1110" s="25" t="str">
        <f>IF(SUMIFS('Supp Consol'!S:S,'Supp Consol'!Y:Y,"Releasable",'Supp Consol'!A:A,O1110)=0,"",SUMIFS('Supp Consol'!S:S,'Supp Consol'!Y:Y,"Releasable",'Supp Consol'!A:A,O1110))</f>
        <v/>
      </c>
      <c r="AG1110" s="25" t="str">
        <f>IFERROR(INDEX('Hun Demand'!Q:Q,MATCH(O1110,'Hun Demand'!A:A,0)),"")</f>
        <v/>
      </c>
      <c r="AH1110" s="25" t="str">
        <f>IFERROR(INDEX('Hun Demand'!H:H,MATCH($O1110,'Hun Demand'!$A:$A,0)),"")</f>
        <v/>
      </c>
      <c r="AI1110" s="25" t="str">
        <f>IF(SUMIFS('Supp Consol'!AA:AA,'Supp Consol'!Z:Z,"Expires this month",'Supp Consol'!A:A,O1110)=0,"",SUMIFS('Supp Consol'!AA:AA,'Supp Consol'!Z:Z,"Expires this month",'Supp Consol'!A:A,O1110))</f>
        <v/>
      </c>
      <c r="AJ1110" s="25" t="str">
        <f>IF(SUMIFS('Supp Consol'!AA:AA,'Supp Consol'!Z:Z,"Expired Previous Months",'Supp Consol'!A:A,O1110)=0,"",SUMIFS('Supp Consol'!AA:AA,'Supp Consol'!Z:Z,"Expired Previous Months",'Supp Consol'!A:A,O1110))</f>
        <v/>
      </c>
      <c r="AK1110" s="25" t="str">
        <f>IFERROR(INDEX('Hun Release Current'!B:B,MATCH(O1110,'Hun Release Current'!A:A,0)),"")</f>
        <v/>
      </c>
      <c r="AL1110" s="25" t="str">
        <f>IF(SUMIF('Prev Aub'!A:A,O1110,'Prev Aub'!B:B)=0,"",SUMIF('Prev Aub'!A:A,O1110,'Prev Aub'!B:B))</f>
        <v/>
      </c>
      <c r="AN1110" s="25" t="s">
        <v>3790</v>
      </c>
      <c r="AO1110" s="25" t="s">
        <v>3790</v>
      </c>
      <c r="AP1110" s="25">
        <f t="shared" si="482"/>
        <v>0</v>
      </c>
      <c r="AQ1110" s="151" t="str">
        <f>IF(SUMIFS('Supp Consol'!S:S,'Supp Consol'!A:A,O1110,'Supp Consol'!I:I,"PENDING")=0,"",SUMIFS('Supp Consol'!S:S,'Supp Consol'!A:A,O1110,'Supp Consol'!I:I,"PENDING"))</f>
        <v/>
      </c>
      <c r="AR1110" s="27" t="str">
        <f t="shared" si="483"/>
        <v>SR524</v>
      </c>
      <c r="AS1110" s="27" t="str">
        <f t="shared" si="484"/>
        <v>62</v>
      </c>
      <c r="AT1110" s="27" t="str">
        <f t="shared" si="485"/>
        <v/>
      </c>
      <c r="AU1110" s="27" t="str">
        <f t="shared" si="486"/>
        <v/>
      </c>
      <c r="AV1110" s="27" t="str">
        <f t="shared" si="487"/>
        <v/>
      </c>
      <c r="AW1110" s="27" t="str">
        <f t="shared" si="488"/>
        <v/>
      </c>
      <c r="AX1110" s="27" t="str">
        <f t="shared" si="489"/>
        <v/>
      </c>
      <c r="AY1110" s="27" t="str">
        <f t="shared" si="490"/>
        <v/>
      </c>
      <c r="AZ1110" s="27" t="str">
        <f t="shared" si="491"/>
        <v/>
      </c>
      <c r="BA1110" s="27" t="str">
        <f t="shared" si="492"/>
        <v/>
      </c>
      <c r="BB1110" s="27" t="str">
        <f t="shared" si="493"/>
        <v>Gross</v>
      </c>
      <c r="BC1110" s="27" t="str">
        <f t="shared" si="494"/>
        <v>Net</v>
      </c>
      <c r="BD1110" s="27" t="str">
        <f t="shared" si="495"/>
        <v>Net</v>
      </c>
      <c r="BE1110" s="27" t="str">
        <f t="shared" si="496"/>
        <v/>
      </c>
      <c r="BF1110" s="27" t="str">
        <f t="shared" si="497"/>
        <v/>
      </c>
      <c r="BG1110" s="27" t="str">
        <f t="shared" si="498"/>
        <v/>
      </c>
      <c r="BH1110" s="27" t="str">
        <f t="shared" si="499"/>
        <v/>
      </c>
      <c r="BI1110" s="27" t="str">
        <f t="shared" si="500"/>
        <v/>
      </c>
      <c r="BJ1110" s="27" t="str">
        <f t="shared" si="501"/>
        <v/>
      </c>
      <c r="BK1110" s="27" t="str">
        <f t="shared" si="502"/>
        <v/>
      </c>
      <c r="BL1110" s="27" t="str">
        <f t="shared" si="503"/>
        <v/>
      </c>
      <c r="BM1110" s="21" t="s">
        <v>5581</v>
      </c>
    </row>
    <row r="1111" spans="1:65" ht="15">
      <c r="A1111" s="25" t="str">
        <f>IFERROR(INDEX('Hun Demand'!W:W,MATCH(O1111,'Hun Demand'!A:A,0)),"")</f>
        <v/>
      </c>
      <c r="B1111" s="25" t="str">
        <f>IFERROR(INDEX('Hun Demand'!V:V,MATCH(O1111,'Hun Demand'!A:A,0)),"")</f>
        <v/>
      </c>
      <c r="C1111" s="25" t="str">
        <f>IFERROR(INDEX('Hun Demand'!U:U,MATCH(O1111,'Hun Demand'!A:A,0)),"")</f>
        <v/>
      </c>
      <c r="D1111" s="25" t="str">
        <f>IFERROR(INDEX('Hun Demand'!T:T,MATCH(O1111,'Hun Demand'!A:A,0)),"")</f>
        <v/>
      </c>
      <c r="E1111" s="25" t="str">
        <f>IFERROR(INDEX('Hun Demand'!S:S,MATCH(O1111,'Hun Demand'!A:A,0)),"")</f>
        <v/>
      </c>
      <c r="F1111" s="25" t="str">
        <f>IFERROR(INDEX('Hun Demand'!R:R,MATCH(O1111,'Hun Demand'!A:A,0)),"")</f>
        <v/>
      </c>
      <c r="G1111" s="25">
        <f>IFERROR(INDEX('Aub Demand'!W:W,MATCH(O1111,'Aub Demand'!A:A,0)),"")</f>
        <v>0</v>
      </c>
      <c r="H1111" s="25">
        <f>IFERROR(INDEX('Aub Demand'!V:V,MATCH(O1111,'Aub Demand'!A:A,0)),"")</f>
        <v>0</v>
      </c>
      <c r="I1111" s="25">
        <f>IFERROR(INDEX('Aub Demand'!U:U,MATCH(O1111,'Aub Demand'!A:A,0)),"")</f>
        <v>0</v>
      </c>
      <c r="J1111" s="25">
        <f>IFERROR(INDEX('Aub Demand'!T:T,MATCH(O1111,'Aub Demand'!A:A,0)),"")</f>
        <v>0</v>
      </c>
      <c r="K1111" s="25">
        <f>IFERROR(INDEX('Aub Demand'!S:S,MATCH(O1111,'Aub Demand'!A:A,0)),"")</f>
        <v>94</v>
      </c>
      <c r="L1111" s="25">
        <f>IFERROR(INDEX('Aub Demand'!R:R,MATCH(O1111,'Aub Demand'!A:A,0)),"")</f>
        <v>0</v>
      </c>
      <c r="O1111" s="27" t="s">
        <v>1485</v>
      </c>
      <c r="P1111" s="27" t="str">
        <f>IFERROR(INDEX('Aub Demand'!B:B,MATCH($O1111,'Aub Demand'!$A:$A,0)),"")</f>
        <v>SWEET 16</v>
      </c>
      <c r="Q1111" s="27" t="str">
        <f>IFERROR(INDEX('Aub Demand'!C:C,MATCH($O1111,'Aub Demand'!$A:$A,0)),"")</f>
        <v>AHLST</v>
      </c>
      <c r="R1111" s="52">
        <f>IFERROR(IF(AR1112=AR1111,INDEX('Aub Demand'!K:K,MATCH($O1111,'Aub Demand'!$A:$A,0))-IF(AN1111="",0,AN1111)+AP1112,INDEX('Aub Demand'!K:K,MATCH($O1111,'Aub Demand'!$A:$A,0))-IF(AN1111="",0,AN1111)),"")</f>
        <v>230</v>
      </c>
      <c r="S1111" s="53">
        <f t="shared" si="476"/>
        <v>31.8</v>
      </c>
      <c r="T1111" s="52" t="str">
        <f t="shared" si="477"/>
        <v/>
      </c>
      <c r="U1111" s="52">
        <f>IFERROR(IF(AR1112=AR1111,INDEX('Aub Demand'!Q:Q,MATCH($O1111,'Aub Demand'!$A:$A,0))-IF(AN1111="",0,AN1111)+AP1112,INDEX('Aub Demand'!Q:Q,MATCH($O1111,'Aub Demand'!$A:$A,0))-IF(AN1111="",0,AN1111)),"")</f>
        <v>193</v>
      </c>
      <c r="V1111" s="53">
        <f t="shared" si="478"/>
        <v>26.7</v>
      </c>
      <c r="W1111" s="52" t="str">
        <f t="shared" si="479"/>
        <v/>
      </c>
      <c r="X1111" s="52">
        <f>IFERROR(IF(AND(AR1112=AR1111,AM1111&lt;&gt;""),INDEX('Aub Demand'!Q:Q,MATCH($O1111,'Aub Demand'!$A:$A,0))-IF(AN1111="",0,AN1111)+AP1112+AD1111+AL1111,IF(AR1112=AR1111,INDEX('Aub Demand'!Q:Q,MATCH($O1111,'Aub Demand'!$A:$A,0))-IF(AN1111="",0,AN1111)+AP1112+AD1111,IF(AM1111&lt;&gt;"",INDEX('Aub Demand'!Q:Q,MATCH($O1111,'Aub Demand'!$A:$A,0))-IF(AN1111="",0,AN1111)+AD1111+AL1111,INDEX('Aub Demand'!Q:Q,MATCH($O1111,'Aub Demand'!$A:$A,0))-IF(AN1111="",0,AN1111)+AD1111))),"")</f>
        <v>193</v>
      </c>
      <c r="Y1111" s="53">
        <f t="shared" si="480"/>
        <v>26.7</v>
      </c>
      <c r="Z1111" s="52">
        <f>IF(L1111="","",INDEX('Aub Demand'!H:H,MATCH($O1111,'Aub Demand'!$A:$A,0)))</f>
        <v>31</v>
      </c>
      <c r="AA1111" s="52" t="str">
        <f t="shared" si="481"/>
        <v>-spike-</v>
      </c>
      <c r="AB1111" s="52">
        <f>IFERROR(INDEX('Aub Demand'!L:L,MATCH($O1111,'Aub Demand'!$A:$A,0)),"")</f>
        <v>43</v>
      </c>
      <c r="AC1111" s="52">
        <f>IFERROR(IF(O1111="","",SUMIFS('CPL Mats'!F:F,'CPL Mats'!Q:Q,AR1111,'CPL Mats'!S:S,AS1111)),"")</f>
        <v>0</v>
      </c>
      <c r="AF1111" s="25" t="str">
        <f>IF(SUMIFS('Supp Consol'!S:S,'Supp Consol'!Y:Y,"Releasable",'Supp Consol'!A:A,O1111)=0,"",SUMIFS('Supp Consol'!S:S,'Supp Consol'!Y:Y,"Releasable",'Supp Consol'!A:A,O1111))</f>
        <v/>
      </c>
      <c r="AG1111" s="25" t="str">
        <f>IFERROR(INDEX('Hun Demand'!Q:Q,MATCH(O1111,'Hun Demand'!A:A,0)),"")</f>
        <v/>
      </c>
      <c r="AH1111" s="25" t="str">
        <f>IFERROR(INDEX('Hun Demand'!H:H,MATCH($O1111,'Hun Demand'!$A:$A,0)),"")</f>
        <v/>
      </c>
      <c r="AI1111" s="25" t="str">
        <f>IF(SUMIFS('Supp Consol'!AA:AA,'Supp Consol'!Z:Z,"Expires this month",'Supp Consol'!A:A,O1111)=0,"",SUMIFS('Supp Consol'!AA:AA,'Supp Consol'!Z:Z,"Expires this month",'Supp Consol'!A:A,O1111))</f>
        <v/>
      </c>
      <c r="AJ1111" s="25" t="str">
        <f>IF(SUMIFS('Supp Consol'!AA:AA,'Supp Consol'!Z:Z,"Expired Previous Months",'Supp Consol'!A:A,O1111)=0,"",SUMIFS('Supp Consol'!AA:AA,'Supp Consol'!Z:Z,"Expired Previous Months",'Supp Consol'!A:A,O1111))</f>
        <v/>
      </c>
      <c r="AK1111" s="25" t="str">
        <f>IFERROR(INDEX('Hun Release Current'!B:B,MATCH(O1111,'Hun Release Current'!A:A,0)),"")</f>
        <v/>
      </c>
      <c r="AL1111" s="25" t="str">
        <f>IF(SUMIF('Prev Aub'!A:A,O1111,'Prev Aub'!B:B)=0,"",SUMIF('Prev Aub'!A:A,O1111,'Prev Aub'!B:B))</f>
        <v/>
      </c>
      <c r="AN1111" s="25" t="s">
        <v>3790</v>
      </c>
      <c r="AO1111" s="25" t="s">
        <v>3790</v>
      </c>
      <c r="AP1111" s="25">
        <f t="shared" si="482"/>
        <v>0</v>
      </c>
      <c r="AQ1111" s="151" t="str">
        <f>IF(SUMIFS('Supp Consol'!S:S,'Supp Consol'!A:A,O1111,'Supp Consol'!I:I,"PENDING")=0,"",SUMIFS('Supp Consol'!S:S,'Supp Consol'!A:A,O1111,'Supp Consol'!I:I,"PENDING"))</f>
        <v/>
      </c>
      <c r="AR1111" s="27" t="str">
        <f t="shared" si="483"/>
        <v>SR525</v>
      </c>
      <c r="AS1111" s="27" t="str">
        <f t="shared" si="484"/>
        <v>50</v>
      </c>
      <c r="AT1111" s="27" t="str">
        <f t="shared" si="485"/>
        <v/>
      </c>
      <c r="AU1111" s="27" t="str">
        <f t="shared" si="486"/>
        <v/>
      </c>
      <c r="AV1111" s="27" t="str">
        <f t="shared" si="487"/>
        <v/>
      </c>
      <c r="AW1111" s="27" t="str">
        <f t="shared" si="488"/>
        <v/>
      </c>
      <c r="AX1111" s="27" t="str">
        <f t="shared" si="489"/>
        <v/>
      </c>
      <c r="AY1111" s="27" t="str">
        <f t="shared" si="490"/>
        <v/>
      </c>
      <c r="AZ1111" s="27" t="str">
        <f t="shared" si="491"/>
        <v/>
      </c>
      <c r="BA1111" s="27" t="str">
        <f t="shared" si="492"/>
        <v/>
      </c>
      <c r="BB1111" s="27" t="str">
        <f t="shared" si="493"/>
        <v/>
      </c>
      <c r="BC1111" s="27" t="str">
        <f t="shared" si="494"/>
        <v/>
      </c>
      <c r="BD1111" s="27" t="str">
        <f t="shared" si="495"/>
        <v/>
      </c>
      <c r="BE1111" s="27" t="str">
        <f t="shared" si="496"/>
        <v/>
      </c>
      <c r="BF1111" s="27" t="str">
        <f t="shared" si="497"/>
        <v/>
      </c>
      <c r="BG1111" s="27" t="str">
        <f t="shared" si="498"/>
        <v/>
      </c>
      <c r="BH1111" s="27" t="str">
        <f t="shared" si="499"/>
        <v/>
      </c>
      <c r="BI1111" s="27" t="str">
        <f t="shared" si="500"/>
        <v/>
      </c>
      <c r="BJ1111" s="27" t="str">
        <f t="shared" si="501"/>
        <v/>
      </c>
      <c r="BK1111" s="27" t="str">
        <f t="shared" si="502"/>
        <v/>
      </c>
      <c r="BL1111" s="27" t="str">
        <f t="shared" si="503"/>
        <v/>
      </c>
      <c r="BM1111" s="21" t="s">
        <v>5581</v>
      </c>
    </row>
    <row r="1112" spans="1:65" ht="15">
      <c r="A1112" s="25" t="str">
        <f>IFERROR(INDEX('Hun Demand'!W:W,MATCH(O1112,'Hun Demand'!A:A,0)),"")</f>
        <v/>
      </c>
      <c r="B1112" s="25" t="str">
        <f>IFERROR(INDEX('Hun Demand'!V:V,MATCH(O1112,'Hun Demand'!A:A,0)),"")</f>
        <v/>
      </c>
      <c r="C1112" s="25" t="str">
        <f>IFERROR(INDEX('Hun Demand'!U:U,MATCH(O1112,'Hun Demand'!A:A,0)),"")</f>
        <v/>
      </c>
      <c r="D1112" s="25" t="str">
        <f>IFERROR(INDEX('Hun Demand'!T:T,MATCH(O1112,'Hun Demand'!A:A,0)),"")</f>
        <v/>
      </c>
      <c r="E1112" s="25" t="str">
        <f>IFERROR(INDEX('Hun Demand'!S:S,MATCH(O1112,'Hun Demand'!A:A,0)),"")</f>
        <v/>
      </c>
      <c r="F1112" s="25" t="str">
        <f>IFERROR(INDEX('Hun Demand'!R:R,MATCH(O1112,'Hun Demand'!A:A,0)),"")</f>
        <v/>
      </c>
      <c r="G1112" s="25">
        <f>IFERROR(INDEX('Aub Demand'!W:W,MATCH(O1112,'Aub Demand'!A:A,0)),"")</f>
        <v>0</v>
      </c>
      <c r="H1112" s="25">
        <f>IFERROR(INDEX('Aub Demand'!V:V,MATCH(O1112,'Aub Demand'!A:A,0)),"")</f>
        <v>0</v>
      </c>
      <c r="I1112" s="25">
        <f>IFERROR(INDEX('Aub Demand'!U:U,MATCH(O1112,'Aub Demand'!A:A,0)),"")</f>
        <v>30</v>
      </c>
      <c r="J1112" s="25">
        <f>IFERROR(INDEX('Aub Demand'!T:T,MATCH(O1112,'Aub Demand'!A:A,0)),"")</f>
        <v>0</v>
      </c>
      <c r="K1112" s="25">
        <f>IFERROR(INDEX('Aub Demand'!S:S,MATCH(O1112,'Aub Demand'!A:A,0)),"")</f>
        <v>39</v>
      </c>
      <c r="L1112" s="25">
        <f>IFERROR(INDEX('Aub Demand'!R:R,MATCH(O1112,'Aub Demand'!A:A,0)),"")</f>
        <v>0</v>
      </c>
      <c r="O1112" s="27" t="s">
        <v>1487</v>
      </c>
      <c r="P1112" s="27" t="str">
        <f>IFERROR(INDEX('Aub Demand'!B:B,MATCH($O1112,'Aub Demand'!$A:$A,0)),"")</f>
        <v>SWEET 16</v>
      </c>
      <c r="Q1112" s="27" t="str">
        <f>IFERROR(INDEX('Aub Demand'!C:C,MATCH($O1112,'Aub Demand'!$A:$A,0)),"")</f>
        <v>AHLST</v>
      </c>
      <c r="R1112" s="52">
        <f>IFERROR(IF(AR1113=AR1112,INDEX('Aub Demand'!K:K,MATCH($O1112,'Aub Demand'!$A:$A,0))-IF(AN1112="",0,AN1112)+AP1113,INDEX('Aub Demand'!K:K,MATCH($O1112,'Aub Demand'!$A:$A,0))-IF(AN1112="",0,AN1112)),"")</f>
        <v>1040</v>
      </c>
      <c r="S1112" s="53">
        <f t="shared" si="476"/>
        <v>193.8</v>
      </c>
      <c r="T1112" s="52" t="str">
        <f t="shared" si="477"/>
        <v/>
      </c>
      <c r="U1112" s="52">
        <f>IFERROR(IF(AR1113=AR1112,INDEX('Aub Demand'!Q:Q,MATCH($O1112,'Aub Demand'!$A:$A,0))-IF(AN1112="",0,AN1112)+AP1113,INDEX('Aub Demand'!Q:Q,MATCH($O1112,'Aub Demand'!$A:$A,0))-IF(AN1112="",0,AN1112)),"")</f>
        <v>1040</v>
      </c>
      <c r="V1112" s="53">
        <f t="shared" si="478"/>
        <v>193.8</v>
      </c>
      <c r="W1112" s="52" t="str">
        <f t="shared" si="479"/>
        <v/>
      </c>
      <c r="X1112" s="52">
        <f>IFERROR(IF(AND(AR1113=AR1112,AM1112&lt;&gt;""),INDEX('Aub Demand'!Q:Q,MATCH($O1112,'Aub Demand'!$A:$A,0))-IF(AN1112="",0,AN1112)+AP1113+AD1112+AL1112,IF(AR1113=AR1112,INDEX('Aub Demand'!Q:Q,MATCH($O1112,'Aub Demand'!$A:$A,0))-IF(AN1112="",0,AN1112)+AP1113+AD1112,IF(AM1112&lt;&gt;"",INDEX('Aub Demand'!Q:Q,MATCH($O1112,'Aub Demand'!$A:$A,0))-IF(AN1112="",0,AN1112)+AD1112+AL1112,INDEX('Aub Demand'!Q:Q,MATCH($O1112,'Aub Demand'!$A:$A,0))-IF(AN1112="",0,AN1112)+AD1112))),"")</f>
        <v>1040</v>
      </c>
      <c r="Y1112" s="53">
        <f t="shared" si="480"/>
        <v>193.8</v>
      </c>
      <c r="Z1112" s="52">
        <f>IF(L1112="","",INDEX('Aub Demand'!H:H,MATCH($O1112,'Aub Demand'!$A:$A,0)))</f>
        <v>23</v>
      </c>
      <c r="AA1112" s="52">
        <f t="shared" si="481"/>
        <v>34.5</v>
      </c>
      <c r="AB1112" s="52">
        <f>IFERROR(INDEX('Aub Demand'!L:L,MATCH($O1112,'Aub Demand'!$A:$A,0)),"")</f>
        <v>0</v>
      </c>
      <c r="AC1112" s="52">
        <f>IFERROR(IF(O1112="","",SUMIFS('CPL Mats'!F:F,'CPL Mats'!Q:Q,AR1112,'CPL Mats'!S:S,AS1112)),"")</f>
        <v>0</v>
      </c>
      <c r="AF1112" s="25" t="str">
        <f>IF(SUMIFS('Supp Consol'!S:S,'Supp Consol'!Y:Y,"Releasable",'Supp Consol'!A:A,O1112)=0,"",SUMIFS('Supp Consol'!S:S,'Supp Consol'!Y:Y,"Releasable",'Supp Consol'!A:A,O1112))</f>
        <v/>
      </c>
      <c r="AG1112" s="25" t="str">
        <f>IFERROR(INDEX('Hun Demand'!Q:Q,MATCH(O1112,'Hun Demand'!A:A,0)),"")</f>
        <v/>
      </c>
      <c r="AH1112" s="25" t="str">
        <f>IFERROR(INDEX('Hun Demand'!H:H,MATCH($O1112,'Hun Demand'!$A:$A,0)),"")</f>
        <v/>
      </c>
      <c r="AI1112" s="25" t="str">
        <f>IF(SUMIFS('Supp Consol'!AA:AA,'Supp Consol'!Z:Z,"Expires this month",'Supp Consol'!A:A,O1112)=0,"",SUMIFS('Supp Consol'!AA:AA,'Supp Consol'!Z:Z,"Expires this month",'Supp Consol'!A:A,O1112))</f>
        <v/>
      </c>
      <c r="AJ1112" s="25" t="str">
        <f>IF(SUMIFS('Supp Consol'!AA:AA,'Supp Consol'!Z:Z,"Expired Previous Months",'Supp Consol'!A:A,O1112)=0,"",SUMIFS('Supp Consol'!AA:AA,'Supp Consol'!Z:Z,"Expired Previous Months",'Supp Consol'!A:A,O1112))</f>
        <v/>
      </c>
      <c r="AK1112" s="25" t="str">
        <f>IFERROR(INDEX('Hun Release Current'!B:B,MATCH(O1112,'Hun Release Current'!A:A,0)),"")</f>
        <v/>
      </c>
      <c r="AL1112" s="25" t="str">
        <f>IF(SUMIF('Prev Aub'!A:A,O1112,'Prev Aub'!B:B)=0,"",SUMIF('Prev Aub'!A:A,O1112,'Prev Aub'!B:B))</f>
        <v/>
      </c>
      <c r="AN1112" s="25" t="s">
        <v>3790</v>
      </c>
      <c r="AO1112" s="25" t="s">
        <v>3790</v>
      </c>
      <c r="AP1112" s="25">
        <f t="shared" si="482"/>
        <v>0</v>
      </c>
      <c r="AQ1112" s="151" t="str">
        <f>IF(SUMIFS('Supp Consol'!S:S,'Supp Consol'!A:A,O1112,'Supp Consol'!I:I,"PENDING")=0,"",SUMIFS('Supp Consol'!S:S,'Supp Consol'!A:A,O1112,'Supp Consol'!I:I,"PENDING"))</f>
        <v/>
      </c>
      <c r="AR1112" s="27" t="str">
        <f t="shared" si="483"/>
        <v>SR525</v>
      </c>
      <c r="AS1112" s="27" t="str">
        <f t="shared" si="484"/>
        <v>62</v>
      </c>
      <c r="AT1112" s="27" t="str">
        <f t="shared" si="485"/>
        <v/>
      </c>
      <c r="AU1112" s="27" t="str">
        <f t="shared" si="486"/>
        <v/>
      </c>
      <c r="AV1112" s="27" t="str">
        <f t="shared" si="487"/>
        <v/>
      </c>
      <c r="AW1112" s="27" t="str">
        <f t="shared" si="488"/>
        <v/>
      </c>
      <c r="AX1112" s="27" t="str">
        <f t="shared" si="489"/>
        <v/>
      </c>
      <c r="AY1112" s="27" t="str">
        <f t="shared" si="490"/>
        <v/>
      </c>
      <c r="AZ1112" s="27" t="str">
        <f t="shared" si="491"/>
        <v/>
      </c>
      <c r="BA1112" s="27" t="str">
        <f t="shared" si="492"/>
        <v/>
      </c>
      <c r="BB1112" s="27" t="str">
        <f t="shared" si="493"/>
        <v/>
      </c>
      <c r="BC1112" s="27" t="str">
        <f t="shared" si="494"/>
        <v/>
      </c>
      <c r="BD1112" s="27" t="str">
        <f t="shared" si="495"/>
        <v/>
      </c>
      <c r="BE1112" s="27" t="str">
        <f t="shared" si="496"/>
        <v/>
      </c>
      <c r="BF1112" s="27" t="str">
        <f t="shared" si="497"/>
        <v/>
      </c>
      <c r="BG1112" s="27" t="str">
        <f t="shared" si="498"/>
        <v/>
      </c>
      <c r="BH1112" s="27" t="str">
        <f t="shared" si="499"/>
        <v/>
      </c>
      <c r="BI1112" s="27" t="str">
        <f t="shared" si="500"/>
        <v/>
      </c>
      <c r="BJ1112" s="27" t="str">
        <f t="shared" si="501"/>
        <v/>
      </c>
      <c r="BK1112" s="27" t="str">
        <f t="shared" si="502"/>
        <v/>
      </c>
      <c r="BL1112" s="27" t="str">
        <f t="shared" si="503"/>
        <v/>
      </c>
      <c r="BM1112" s="21" t="s">
        <v>5581</v>
      </c>
    </row>
    <row r="1113" spans="1:65" ht="15">
      <c r="A1113" s="25">
        <f>IFERROR(INDEX('Hun Demand'!W:W,MATCH(O1113,'Hun Demand'!A:A,0)),"")</f>
        <v>0</v>
      </c>
      <c r="B1113" s="25">
        <f>IFERROR(INDEX('Hun Demand'!V:V,MATCH(O1113,'Hun Demand'!A:A,0)),"")</f>
        <v>0</v>
      </c>
      <c r="C1113" s="25">
        <f>IFERROR(INDEX('Hun Demand'!U:U,MATCH(O1113,'Hun Demand'!A:A,0)),"")</f>
        <v>0</v>
      </c>
      <c r="D1113" s="25">
        <f>IFERROR(INDEX('Hun Demand'!T:T,MATCH(O1113,'Hun Demand'!A:A,0)),"")</f>
        <v>0</v>
      </c>
      <c r="E1113" s="25">
        <f>IFERROR(INDEX('Hun Demand'!S:S,MATCH(O1113,'Hun Demand'!A:A,0)),"")</f>
        <v>0</v>
      </c>
      <c r="F1113" s="25">
        <f>IFERROR(INDEX('Hun Demand'!R:R,MATCH(O1113,'Hun Demand'!A:A,0)),"")</f>
        <v>0</v>
      </c>
      <c r="G1113" s="25">
        <f>IFERROR(INDEX('Aub Demand'!W:W,MATCH(O1113,'Aub Demand'!A:A,0)),"")</f>
        <v>0</v>
      </c>
      <c r="H1113" s="25">
        <f>IFERROR(INDEX('Aub Demand'!V:V,MATCH(O1113,'Aub Demand'!A:A,0)),"")</f>
        <v>0</v>
      </c>
      <c r="I1113" s="25">
        <f>IFERROR(INDEX('Aub Demand'!U:U,MATCH(O1113,'Aub Demand'!A:A,0)),"")</f>
        <v>0</v>
      </c>
      <c r="J1113" s="25">
        <f>IFERROR(INDEX('Aub Demand'!T:T,MATCH(O1113,'Aub Demand'!A:A,0)),"")</f>
        <v>0</v>
      </c>
      <c r="K1113" s="25">
        <f>IFERROR(INDEX('Aub Demand'!S:S,MATCH(O1113,'Aub Demand'!A:A,0)),"")</f>
        <v>0</v>
      </c>
      <c r="L1113" s="25">
        <f>IFERROR(INDEX('Aub Demand'!R:R,MATCH(O1113,'Aub Demand'!A:A,0)),"")</f>
        <v>0</v>
      </c>
      <c r="O1113" s="27" t="s">
        <v>1488</v>
      </c>
      <c r="P1113" s="27" t="str">
        <f>IFERROR(INDEX('Aub Demand'!B:B,MATCH($O1113,'Aub Demand'!$A:$A,0)),"")</f>
        <v>FIRST KISS</v>
      </c>
      <c r="Q1113" s="27" t="str">
        <f>IFERROR(INDEX('Aub Demand'!C:C,MATCH($O1113,'Aub Demand'!$A:$A,0)),"")</f>
        <v>AHLST</v>
      </c>
      <c r="R1113" s="52">
        <f>IFERROR(IF(AR1114=AR1113,INDEX('Aub Demand'!K:K,MATCH($O1113,'Aub Demand'!$A:$A,0))-IF(AN1113="",0,AN1113)+AP1114,INDEX('Aub Demand'!K:K,MATCH($O1113,'Aub Demand'!$A:$A,0))-IF(AN1113="",0,AN1113)),"")</f>
        <v>889</v>
      </c>
      <c r="S1113" s="53" t="str">
        <f t="shared" si="476"/>
        <v>n/a</v>
      </c>
      <c r="T1113" s="52" t="str">
        <f t="shared" si="477"/>
        <v/>
      </c>
      <c r="U1113" s="52">
        <f>IFERROR(IF(AR1114=AR1113,INDEX('Aub Demand'!Q:Q,MATCH($O1113,'Aub Demand'!$A:$A,0))-IF(AN1113="",0,AN1113)+AP1114,INDEX('Aub Demand'!Q:Q,MATCH($O1113,'Aub Demand'!$A:$A,0))-IF(AN1113="",0,AN1113)),"")</f>
        <v>871</v>
      </c>
      <c r="V1113" s="53" t="str">
        <f t="shared" si="478"/>
        <v>n/a</v>
      </c>
      <c r="W1113" s="52" t="str">
        <f t="shared" si="479"/>
        <v/>
      </c>
      <c r="X1113" s="52">
        <f>IFERROR(IF(AND(AR1114=AR1113,AM1113&lt;&gt;""),INDEX('Aub Demand'!Q:Q,MATCH($O1113,'Aub Demand'!$A:$A,0))-IF(AN1113="",0,AN1113)+AP1114+AD1113+AL1113,IF(AR1114=AR1113,INDEX('Aub Demand'!Q:Q,MATCH($O1113,'Aub Demand'!$A:$A,0))-IF(AN1113="",0,AN1113)+AP1114+AD1113,IF(AM1113&lt;&gt;"",INDEX('Aub Demand'!Q:Q,MATCH($O1113,'Aub Demand'!$A:$A,0))-IF(AN1113="",0,AN1113)+AD1113+AL1113,INDEX('Aub Demand'!Q:Q,MATCH($O1113,'Aub Demand'!$A:$A,0))-IF(AN1113="",0,AN1113)+AD1113))),"")</f>
        <v>871</v>
      </c>
      <c r="Y1113" s="53" t="str">
        <f t="shared" si="480"/>
        <v>n/a</v>
      </c>
      <c r="Z1113" s="52">
        <f>IF(L1113="","",INDEX('Aub Demand'!H:H,MATCH($O1113,'Aub Demand'!$A:$A,0)))</f>
        <v>0</v>
      </c>
      <c r="AA1113" s="52" t="str">
        <f t="shared" si="481"/>
        <v>-spike-</v>
      </c>
      <c r="AB1113" s="52">
        <f>IFERROR(INDEX('Aub Demand'!L:L,MATCH($O1113,'Aub Demand'!$A:$A,0)),"")</f>
        <v>121</v>
      </c>
      <c r="AC1113" s="52">
        <f>IFERROR(IF(O1113="","",SUMIFS('CPL Mats'!F:F,'CPL Mats'!Q:Q,AR1113,'CPL Mats'!S:S,AS1113)),"")</f>
        <v>0</v>
      </c>
      <c r="AF1113" s="25" t="str">
        <f>IF(SUMIFS('Supp Consol'!S:S,'Supp Consol'!Y:Y,"Releasable",'Supp Consol'!A:A,O1113)=0,"",SUMIFS('Supp Consol'!S:S,'Supp Consol'!Y:Y,"Releasable",'Supp Consol'!A:A,O1113))</f>
        <v/>
      </c>
      <c r="AG1113" s="25">
        <f>IFERROR(INDEX('Hun Demand'!Q:Q,MATCH(O1113,'Hun Demand'!A:A,0)),"")</f>
        <v>112</v>
      </c>
      <c r="AH1113" s="25">
        <f>IFERROR(INDEX('Hun Demand'!H:H,MATCH($O1113,'Hun Demand'!$A:$A,0)),"")</f>
        <v>0</v>
      </c>
      <c r="AI1113" s="25" t="str">
        <f>IF(SUMIFS('Supp Consol'!AA:AA,'Supp Consol'!Z:Z,"Expires this month",'Supp Consol'!A:A,O1113)=0,"",SUMIFS('Supp Consol'!AA:AA,'Supp Consol'!Z:Z,"Expires this month",'Supp Consol'!A:A,O1113))</f>
        <v/>
      </c>
      <c r="AJ1113" s="25" t="str">
        <f>IF(SUMIFS('Supp Consol'!AA:AA,'Supp Consol'!Z:Z,"Expired Previous Months",'Supp Consol'!A:A,O1113)=0,"",SUMIFS('Supp Consol'!AA:AA,'Supp Consol'!Z:Z,"Expired Previous Months",'Supp Consol'!A:A,O1113))</f>
        <v/>
      </c>
      <c r="AK1113" s="25" t="str">
        <f>IFERROR(INDEX('Hun Release Current'!B:B,MATCH(O1113,'Hun Release Current'!A:A,0)),"")</f>
        <v/>
      </c>
      <c r="AL1113" s="25" t="str">
        <f>IF(SUMIF('Prev Aub'!A:A,O1113,'Prev Aub'!B:B)=0,"",SUMIF('Prev Aub'!A:A,O1113,'Prev Aub'!B:B))</f>
        <v/>
      </c>
      <c r="AN1113" s="25" t="s">
        <v>3790</v>
      </c>
      <c r="AO1113" s="25" t="s">
        <v>3790</v>
      </c>
      <c r="AP1113" s="25">
        <f t="shared" si="482"/>
        <v>0</v>
      </c>
      <c r="AQ1113" s="151" t="str">
        <f>IF(SUMIFS('Supp Consol'!S:S,'Supp Consol'!A:A,O1113,'Supp Consol'!I:I,"PENDING")=0,"",SUMIFS('Supp Consol'!S:S,'Supp Consol'!A:A,O1113,'Supp Consol'!I:I,"PENDING"))</f>
        <v/>
      </c>
      <c r="AR1113" s="27" t="str">
        <f t="shared" si="483"/>
        <v>SR537</v>
      </c>
      <c r="AS1113" s="27" t="str">
        <f t="shared" si="484"/>
        <v>50</v>
      </c>
      <c r="AT1113" s="27" t="str">
        <f t="shared" si="485"/>
        <v/>
      </c>
      <c r="AU1113" s="27" t="str">
        <f t="shared" si="486"/>
        <v/>
      </c>
      <c r="AV1113" s="27" t="str">
        <f t="shared" si="487"/>
        <v/>
      </c>
      <c r="AW1113" s="27" t="str">
        <f t="shared" si="488"/>
        <v/>
      </c>
      <c r="AX1113" s="27" t="str">
        <f t="shared" si="489"/>
        <v/>
      </c>
      <c r="AY1113" s="27" t="str">
        <f t="shared" si="490"/>
        <v>SR537</v>
      </c>
      <c r="AZ1113" s="27" t="str">
        <f t="shared" si="491"/>
        <v/>
      </c>
      <c r="BA1113" s="27" t="str">
        <f t="shared" si="492"/>
        <v>Hun</v>
      </c>
      <c r="BB1113" s="27" t="str">
        <f t="shared" si="493"/>
        <v/>
      </c>
      <c r="BC1113" s="27" t="str">
        <f t="shared" si="494"/>
        <v/>
      </c>
      <c r="BD1113" s="27" t="str">
        <f t="shared" si="495"/>
        <v/>
      </c>
      <c r="BE1113" s="27" t="str">
        <f t="shared" si="496"/>
        <v/>
      </c>
      <c r="BF1113" s="27" t="str">
        <f t="shared" si="497"/>
        <v/>
      </c>
      <c r="BG1113" s="27" t="str">
        <f t="shared" si="498"/>
        <v/>
      </c>
      <c r="BH1113" s="27" t="str">
        <f t="shared" si="499"/>
        <v/>
      </c>
      <c r="BI1113" s="27" t="str">
        <f t="shared" si="500"/>
        <v/>
      </c>
      <c r="BJ1113" s="27" t="str">
        <f t="shared" si="501"/>
        <v>Supp or Hun</v>
      </c>
      <c r="BK1113" s="27" t="str">
        <f t="shared" si="502"/>
        <v/>
      </c>
      <c r="BL1113" s="27" t="str">
        <f t="shared" si="503"/>
        <v/>
      </c>
      <c r="BM1113" s="21" t="s">
        <v>5581</v>
      </c>
    </row>
    <row r="1114" spans="1:65" ht="15">
      <c r="A1114" s="25" t="str">
        <f>IFERROR(INDEX('Hun Demand'!W:W,MATCH(O1114,'Hun Demand'!A:A,0)),"")</f>
        <v/>
      </c>
      <c r="B1114" s="25" t="str">
        <f>IFERROR(INDEX('Hun Demand'!V:V,MATCH(O1114,'Hun Demand'!A:A,0)),"")</f>
        <v/>
      </c>
      <c r="C1114" s="25" t="str">
        <f>IFERROR(INDEX('Hun Demand'!U:U,MATCH(O1114,'Hun Demand'!A:A,0)),"")</f>
        <v/>
      </c>
      <c r="D1114" s="25" t="str">
        <f>IFERROR(INDEX('Hun Demand'!T:T,MATCH(O1114,'Hun Demand'!A:A,0)),"")</f>
        <v/>
      </c>
      <c r="E1114" s="25" t="str">
        <f>IFERROR(INDEX('Hun Demand'!S:S,MATCH(O1114,'Hun Demand'!A:A,0)),"")</f>
        <v/>
      </c>
      <c r="F1114" s="25" t="str">
        <f>IFERROR(INDEX('Hun Demand'!R:R,MATCH(O1114,'Hun Demand'!A:A,0)),"")</f>
        <v/>
      </c>
      <c r="G1114" s="25">
        <f>IFERROR(INDEX('Aub Demand'!W:W,MATCH(O1114,'Aub Demand'!A:A,0)),"")</f>
        <v>0</v>
      </c>
      <c r="H1114" s="25">
        <f>IFERROR(INDEX('Aub Demand'!V:V,MATCH(O1114,'Aub Demand'!A:A,0)),"")</f>
        <v>0</v>
      </c>
      <c r="I1114" s="25">
        <f>IFERROR(INDEX('Aub Demand'!U:U,MATCH(O1114,'Aub Demand'!A:A,0)),"")</f>
        <v>0</v>
      </c>
      <c r="J1114" s="25">
        <f>IFERROR(INDEX('Aub Demand'!T:T,MATCH(O1114,'Aub Demand'!A:A,0)),"")</f>
        <v>15</v>
      </c>
      <c r="K1114" s="25">
        <f>IFERROR(INDEX('Aub Demand'!S:S,MATCH(O1114,'Aub Demand'!A:A,0)),"")</f>
        <v>0</v>
      </c>
      <c r="L1114" s="25">
        <f>IFERROR(INDEX('Aub Demand'!R:R,MATCH(O1114,'Aub Demand'!A:A,0)),"")</f>
        <v>0</v>
      </c>
      <c r="O1114" s="27" t="s">
        <v>1490</v>
      </c>
      <c r="P1114" s="27" t="str">
        <f>IFERROR(INDEX('Aub Demand'!B:B,MATCH($O1114,'Aub Demand'!$A:$A,0)),"")</f>
        <v>FIRST KISS</v>
      </c>
      <c r="Q1114" s="27" t="str">
        <f>IFERROR(INDEX('Aub Demand'!C:C,MATCH($O1114,'Aub Demand'!$A:$A,0)),"")</f>
        <v>AHLST</v>
      </c>
      <c r="R1114" s="52">
        <f>IFERROR(IF(AR1115=AR1114,INDEX('Aub Demand'!K:K,MATCH($O1114,'Aub Demand'!$A:$A,0))-IF(AN1114="",0,AN1114)+AP1115,INDEX('Aub Demand'!K:K,MATCH($O1114,'Aub Demand'!$A:$A,0))-IF(AN1114="",0,AN1114)),"")</f>
        <v>2475</v>
      </c>
      <c r="S1114" s="53">
        <f t="shared" si="476"/>
        <v>2121.4</v>
      </c>
      <c r="T1114" s="52" t="str">
        <f t="shared" si="477"/>
        <v/>
      </c>
      <c r="U1114" s="52">
        <f>IFERROR(IF(AR1115=AR1114,INDEX('Aub Demand'!Q:Q,MATCH($O1114,'Aub Demand'!$A:$A,0))-IF(AN1114="",0,AN1114)+AP1115,INDEX('Aub Demand'!Q:Q,MATCH($O1114,'Aub Demand'!$A:$A,0))-IF(AN1114="",0,AN1114)),"")</f>
        <v>2475</v>
      </c>
      <c r="V1114" s="53">
        <f t="shared" si="478"/>
        <v>2121.4</v>
      </c>
      <c r="W1114" s="52" t="str">
        <f t="shared" si="479"/>
        <v/>
      </c>
      <c r="X1114" s="52">
        <f>IFERROR(IF(AND(AR1115=AR1114,AM1114&lt;&gt;""),INDEX('Aub Demand'!Q:Q,MATCH($O1114,'Aub Demand'!$A:$A,0))-IF(AN1114="",0,AN1114)+AP1115+AD1114+AL1114,IF(AR1115=AR1114,INDEX('Aub Demand'!Q:Q,MATCH($O1114,'Aub Demand'!$A:$A,0))-IF(AN1114="",0,AN1114)+AP1115+AD1114,IF(AM1114&lt;&gt;"",INDEX('Aub Demand'!Q:Q,MATCH($O1114,'Aub Demand'!$A:$A,0))-IF(AN1114="",0,AN1114)+AD1114+AL1114,INDEX('Aub Demand'!Q:Q,MATCH($O1114,'Aub Demand'!$A:$A,0))-IF(AN1114="",0,AN1114)+AD1114))),"")</f>
        <v>2475</v>
      </c>
      <c r="Y1114" s="53">
        <f t="shared" si="480"/>
        <v>2121.4</v>
      </c>
      <c r="Z1114" s="52">
        <f>IF(L1114="","",INDEX('Aub Demand'!H:H,MATCH($O1114,'Aub Demand'!$A:$A,0)))</f>
        <v>5</v>
      </c>
      <c r="AA1114" s="52" t="str">
        <f t="shared" si="481"/>
        <v>-spike-</v>
      </c>
      <c r="AB1114" s="52">
        <f>IFERROR(INDEX('Aub Demand'!L:L,MATCH($O1114,'Aub Demand'!$A:$A,0)),"")</f>
        <v>0</v>
      </c>
      <c r="AC1114" s="52">
        <f>IFERROR(IF(O1114="","",SUMIFS('CPL Mats'!F:F,'CPL Mats'!Q:Q,AR1114,'CPL Mats'!S:S,AS1114)),"")</f>
        <v>0</v>
      </c>
      <c r="AF1114" s="25" t="str">
        <f>IF(SUMIFS('Supp Consol'!S:S,'Supp Consol'!Y:Y,"Releasable",'Supp Consol'!A:A,O1114)=0,"",SUMIFS('Supp Consol'!S:S,'Supp Consol'!Y:Y,"Releasable",'Supp Consol'!A:A,O1114))</f>
        <v/>
      </c>
      <c r="AG1114" s="25" t="str">
        <f>IFERROR(INDEX('Hun Demand'!Q:Q,MATCH(O1114,'Hun Demand'!A:A,0)),"")</f>
        <v/>
      </c>
      <c r="AH1114" s="25" t="str">
        <f>IFERROR(INDEX('Hun Demand'!H:H,MATCH($O1114,'Hun Demand'!$A:$A,0)),"")</f>
        <v/>
      </c>
      <c r="AI1114" s="25" t="str">
        <f>IF(SUMIFS('Supp Consol'!AA:AA,'Supp Consol'!Z:Z,"Expires this month",'Supp Consol'!A:A,O1114)=0,"",SUMIFS('Supp Consol'!AA:AA,'Supp Consol'!Z:Z,"Expires this month",'Supp Consol'!A:A,O1114))</f>
        <v/>
      </c>
      <c r="AJ1114" s="25" t="str">
        <f>IF(SUMIFS('Supp Consol'!AA:AA,'Supp Consol'!Z:Z,"Expired Previous Months",'Supp Consol'!A:A,O1114)=0,"",SUMIFS('Supp Consol'!AA:AA,'Supp Consol'!Z:Z,"Expired Previous Months",'Supp Consol'!A:A,O1114))</f>
        <v/>
      </c>
      <c r="AK1114" s="25" t="str">
        <f>IFERROR(INDEX('Hun Release Current'!B:B,MATCH(O1114,'Hun Release Current'!A:A,0)),"")</f>
        <v/>
      </c>
      <c r="AL1114" s="25" t="str">
        <f>IF(SUMIF('Prev Aub'!A:A,O1114,'Prev Aub'!B:B)=0,"",SUMIF('Prev Aub'!A:A,O1114,'Prev Aub'!B:B))</f>
        <v/>
      </c>
      <c r="AN1114" s="25" t="s">
        <v>3790</v>
      </c>
      <c r="AO1114" s="25" t="s">
        <v>3790</v>
      </c>
      <c r="AP1114" s="25">
        <f t="shared" si="482"/>
        <v>0</v>
      </c>
      <c r="AQ1114" s="151" t="str">
        <f>IF(SUMIFS('Supp Consol'!S:S,'Supp Consol'!A:A,O1114,'Supp Consol'!I:I,"PENDING")=0,"",SUMIFS('Supp Consol'!S:S,'Supp Consol'!A:A,O1114,'Supp Consol'!I:I,"PENDING"))</f>
        <v/>
      </c>
      <c r="AR1114" s="27" t="str">
        <f t="shared" si="483"/>
        <v>SR537</v>
      </c>
      <c r="AS1114" s="27" t="str">
        <f t="shared" si="484"/>
        <v>62</v>
      </c>
      <c r="AT1114" s="27" t="str">
        <f t="shared" si="485"/>
        <v/>
      </c>
      <c r="AU1114" s="27" t="str">
        <f t="shared" si="486"/>
        <v/>
      </c>
      <c r="AV1114" s="27" t="str">
        <f t="shared" si="487"/>
        <v/>
      </c>
      <c r="AW1114" s="27" t="str">
        <f t="shared" si="488"/>
        <v/>
      </c>
      <c r="AX1114" s="27" t="str">
        <f t="shared" si="489"/>
        <v/>
      </c>
      <c r="AY1114" s="27" t="str">
        <f t="shared" si="490"/>
        <v/>
      </c>
      <c r="AZ1114" s="27" t="str">
        <f t="shared" si="491"/>
        <v/>
      </c>
      <c r="BA1114" s="27" t="str">
        <f t="shared" si="492"/>
        <v>Hun</v>
      </c>
      <c r="BB1114" s="27" t="str">
        <f t="shared" si="493"/>
        <v/>
      </c>
      <c r="BC1114" s="27" t="str">
        <f t="shared" si="494"/>
        <v/>
      </c>
      <c r="BD1114" s="27" t="str">
        <f t="shared" si="495"/>
        <v/>
      </c>
      <c r="BE1114" s="27" t="str">
        <f t="shared" si="496"/>
        <v/>
      </c>
      <c r="BF1114" s="27" t="str">
        <f t="shared" si="497"/>
        <v/>
      </c>
      <c r="BG1114" s="27" t="str">
        <f t="shared" si="498"/>
        <v/>
      </c>
      <c r="BH1114" s="27" t="str">
        <f t="shared" si="499"/>
        <v/>
      </c>
      <c r="BI1114" s="27" t="str">
        <f t="shared" si="500"/>
        <v/>
      </c>
      <c r="BJ1114" s="27" t="str">
        <f t="shared" si="501"/>
        <v>Supp or Hun</v>
      </c>
      <c r="BK1114" s="27" t="str">
        <f t="shared" si="502"/>
        <v/>
      </c>
      <c r="BL1114" s="27" t="str">
        <f t="shared" si="503"/>
        <v/>
      </c>
      <c r="BM1114" s="21" t="s">
        <v>5581</v>
      </c>
    </row>
    <row r="1115" spans="1:65" ht="15">
      <c r="A1115" s="25">
        <f>IFERROR(INDEX('Hun Demand'!W:W,MATCH(O1115,'Hun Demand'!A:A,0)),"")</f>
        <v>0</v>
      </c>
      <c r="B1115" s="25">
        <f>IFERROR(INDEX('Hun Demand'!V:V,MATCH(O1115,'Hun Demand'!A:A,0)),"")</f>
        <v>0</v>
      </c>
      <c r="C1115" s="25">
        <f>IFERROR(INDEX('Hun Demand'!U:U,MATCH(O1115,'Hun Demand'!A:A,0)),"")</f>
        <v>0</v>
      </c>
      <c r="D1115" s="25">
        <f>IFERROR(INDEX('Hun Demand'!T:T,MATCH(O1115,'Hun Demand'!A:A,0)),"")</f>
        <v>0</v>
      </c>
      <c r="E1115" s="25">
        <f>IFERROR(INDEX('Hun Demand'!S:S,MATCH(O1115,'Hun Demand'!A:A,0)),"")</f>
        <v>416</v>
      </c>
      <c r="F1115" s="25">
        <f>IFERROR(INDEX('Hun Demand'!R:R,MATCH(O1115,'Hun Demand'!A:A,0)),"")</f>
        <v>0</v>
      </c>
      <c r="G1115" s="25">
        <f>IFERROR(INDEX('Aub Demand'!W:W,MATCH(O1115,'Aub Demand'!A:A,0)),"")</f>
        <v>116</v>
      </c>
      <c r="H1115" s="25">
        <f>IFERROR(INDEX('Aub Demand'!V:V,MATCH(O1115,'Aub Demand'!A:A,0)),"")</f>
        <v>20</v>
      </c>
      <c r="I1115" s="25">
        <f>IFERROR(INDEX('Aub Demand'!U:U,MATCH(O1115,'Aub Demand'!A:A,0)),"")</f>
        <v>53</v>
      </c>
      <c r="J1115" s="25">
        <f>IFERROR(INDEX('Aub Demand'!T:T,MATCH(O1115,'Aub Demand'!A:A,0)),"")</f>
        <v>97</v>
      </c>
      <c r="K1115" s="25">
        <f>IFERROR(INDEX('Aub Demand'!S:S,MATCH(O1115,'Aub Demand'!A:A,0)),"")</f>
        <v>186</v>
      </c>
      <c r="L1115" s="25">
        <f>IFERROR(INDEX('Aub Demand'!R:R,MATCH(O1115,'Aub Demand'!A:A,0)),"")</f>
        <v>88</v>
      </c>
      <c r="O1115" s="27" t="s">
        <v>2692</v>
      </c>
      <c r="P1115" s="27" t="str">
        <f>IFERROR(INDEX('Aub Demand'!B:B,MATCH($O1115,'Aub Demand'!$A:$A,0)),"")</f>
        <v>DOVE GRAY</v>
      </c>
      <c r="Q1115" s="27" t="str">
        <f>IFERROR(INDEX('Aub Demand'!C:C,MATCH($O1115,'Aub Demand'!$A:$A,0)),"")</f>
        <v>PANOL</v>
      </c>
      <c r="R1115" s="52">
        <f>IFERROR(IF(AR1116=AR1115,INDEX('Aub Demand'!K:K,MATCH($O1115,'Aub Demand'!$A:$A,0))-IF(AN1115="",0,AN1115)+AP1116,INDEX('Aub Demand'!K:K,MATCH($O1115,'Aub Demand'!$A:$A,0))-IF(AN1115="",0,AN1115)),"")</f>
        <v>40</v>
      </c>
      <c r="S1115" s="53">
        <f t="shared" si="476"/>
        <v>1.5</v>
      </c>
      <c r="T1115" s="52">
        <f t="shared" si="477"/>
        <v>53.0625</v>
      </c>
      <c r="U1115" s="52">
        <f>IFERROR(IF(AR1116=AR1115,INDEX('Aub Demand'!Q:Q,MATCH($O1115,'Aub Demand'!$A:$A,0))-IF(AN1115="",0,AN1115)+AP1116,INDEX('Aub Demand'!Q:Q,MATCH($O1115,'Aub Demand'!$A:$A,0))-IF(AN1115="",0,AN1115)),"")</f>
        <v>-153</v>
      </c>
      <c r="V1115" s="53">
        <f t="shared" si="478"/>
        <v>-5.9</v>
      </c>
      <c r="W1115" s="52">
        <f t="shared" si="479"/>
        <v>314.83750000000003</v>
      </c>
      <c r="X1115" s="52">
        <f>IFERROR(IF(AND(AR1116=AR1115,AM1115&lt;&gt;""),INDEX('Aub Demand'!Q:Q,MATCH($O1115,'Aub Demand'!$A:$A,0))-IF(AN1115="",0,AN1115)+AP1116+AD1115+AL1115,IF(AR1116=AR1115,INDEX('Aub Demand'!Q:Q,MATCH($O1115,'Aub Demand'!$A:$A,0))-IF(AN1115="",0,AN1115)+AP1116+AD1115,IF(AM1115&lt;&gt;"",INDEX('Aub Demand'!Q:Q,MATCH($O1115,'Aub Demand'!$A:$A,0))-IF(AN1115="",0,AN1115)+AD1115+AL1115,INDEX('Aub Demand'!Q:Q,MATCH($O1115,'Aub Demand'!$A:$A,0))-IF(AN1115="",0,AN1115)+AD1115))),"")</f>
        <v>-153</v>
      </c>
      <c r="Y1115" s="53">
        <f t="shared" si="480"/>
        <v>-5.9</v>
      </c>
      <c r="Z1115" s="52">
        <f>IF(L1115="","",INDEX('Aub Demand'!H:H,MATCH($O1115,'Aub Demand'!$A:$A,0)))</f>
        <v>112</v>
      </c>
      <c r="AA1115" s="52">
        <f t="shared" si="481"/>
        <v>141.5</v>
      </c>
      <c r="AB1115" s="52">
        <f>IFERROR(INDEX('Aub Demand'!L:L,MATCH($O1115,'Aub Demand'!$A:$A,0)),"")</f>
        <v>67</v>
      </c>
      <c r="AC1115" s="52">
        <f>IFERROR(IF(O1115="","",SUMIFS('CPL Mats'!F:F,'CPL Mats'!Q:Q,AR1115,'CPL Mats'!S:S,AS1115)),"")</f>
        <v>0</v>
      </c>
      <c r="AF1115" s="25" t="str">
        <f>IF(SUMIFS('Supp Consol'!S:S,'Supp Consol'!Y:Y,"Releasable",'Supp Consol'!A:A,O1115)=0,"",SUMIFS('Supp Consol'!S:S,'Supp Consol'!Y:Y,"Releasable",'Supp Consol'!A:A,O1115))</f>
        <v/>
      </c>
      <c r="AG1115" s="25">
        <f>IFERROR(INDEX('Hun Demand'!Q:Q,MATCH(O1115,'Hun Demand'!A:A,0)),"")</f>
        <v>-192</v>
      </c>
      <c r="AH1115" s="25">
        <f>IFERROR(INDEX('Hun Demand'!H:H,MATCH($O1115,'Hun Demand'!$A:$A,0)),"")</f>
        <v>139</v>
      </c>
      <c r="AI1115" s="25" t="str">
        <f>IF(SUMIFS('Supp Consol'!AA:AA,'Supp Consol'!Z:Z,"Expires this month",'Supp Consol'!A:A,O1115)=0,"",SUMIFS('Supp Consol'!AA:AA,'Supp Consol'!Z:Z,"Expires this month",'Supp Consol'!A:A,O1115))</f>
        <v/>
      </c>
      <c r="AJ1115" s="25" t="str">
        <f>IF(SUMIFS('Supp Consol'!AA:AA,'Supp Consol'!Z:Z,"Expired Previous Months",'Supp Consol'!A:A,O1115)=0,"",SUMIFS('Supp Consol'!AA:AA,'Supp Consol'!Z:Z,"Expired Previous Months",'Supp Consol'!A:A,O1115))</f>
        <v/>
      </c>
      <c r="AK1115" s="25" t="str">
        <f>IFERROR(INDEX('Hun Release Current'!B:B,MATCH(O1115,'Hun Release Current'!A:A,0)),"")</f>
        <v/>
      </c>
      <c r="AL1115" s="25" t="str">
        <f>IF(SUMIF('Prev Aub'!A:A,O1115,'Prev Aub'!B:B)=0,"",SUMIF('Prev Aub'!A:A,O1115,'Prev Aub'!B:B))</f>
        <v/>
      </c>
      <c r="AN1115" s="25" t="s">
        <v>3790</v>
      </c>
      <c r="AO1115" s="25" t="s">
        <v>3790</v>
      </c>
      <c r="AP1115" s="25">
        <f t="shared" si="482"/>
        <v>0</v>
      </c>
      <c r="AQ1115" s="151" t="str">
        <f>IF(SUMIFS('Supp Consol'!S:S,'Supp Consol'!A:A,O1115,'Supp Consol'!I:I,"PENDING")=0,"",SUMIFS('Supp Consol'!S:S,'Supp Consol'!A:A,O1115,'Supp Consol'!I:I,"PENDING"))</f>
        <v/>
      </c>
      <c r="AR1115" s="27" t="str">
        <f t="shared" si="483"/>
        <v>ST003</v>
      </c>
      <c r="AS1115" s="27" t="str">
        <f t="shared" si="484"/>
        <v>50</v>
      </c>
      <c r="AT1115" s="27" t="str">
        <f t="shared" si="485"/>
        <v>ST003</v>
      </c>
      <c r="AU1115" s="27" t="str">
        <f t="shared" si="486"/>
        <v>ST003</v>
      </c>
      <c r="AV1115" s="27" t="str">
        <f t="shared" si="487"/>
        <v>ST003</v>
      </c>
      <c r="AW1115" s="27" t="str">
        <f t="shared" si="488"/>
        <v/>
      </c>
      <c r="AX1115" s="27" t="str">
        <f t="shared" si="489"/>
        <v/>
      </c>
      <c r="AY1115" s="27" t="str">
        <f t="shared" si="490"/>
        <v/>
      </c>
      <c r="AZ1115" s="27" t="str">
        <f t="shared" si="491"/>
        <v/>
      </c>
      <c r="BA1115" s="27" t="str">
        <f t="shared" si="492"/>
        <v/>
      </c>
      <c r="BB1115" s="27" t="str">
        <f t="shared" si="493"/>
        <v>Gross</v>
      </c>
      <c r="BC1115" s="27" t="str">
        <f t="shared" si="494"/>
        <v>Net</v>
      </c>
      <c r="BD1115" s="27" t="str">
        <f t="shared" si="495"/>
        <v>Net</v>
      </c>
      <c r="BE1115" s="27" t="str">
        <f t="shared" si="496"/>
        <v/>
      </c>
      <c r="BF1115" s="27" t="str">
        <f t="shared" si="497"/>
        <v/>
      </c>
      <c r="BG1115" s="27" t="str">
        <f t="shared" si="498"/>
        <v/>
      </c>
      <c r="BH1115" s="27" t="str">
        <f t="shared" si="499"/>
        <v/>
      </c>
      <c r="BI1115" s="27" t="str">
        <f t="shared" si="500"/>
        <v/>
      </c>
      <c r="BJ1115" s="27" t="str">
        <f t="shared" si="501"/>
        <v/>
      </c>
      <c r="BK1115" s="27" t="str">
        <f t="shared" si="502"/>
        <v/>
      </c>
      <c r="BL1115" s="27" t="str">
        <f t="shared" si="503"/>
        <v/>
      </c>
      <c r="BM1115" s="21" t="s">
        <v>5581</v>
      </c>
    </row>
    <row r="1116" spans="1:65" ht="15">
      <c r="A1116" s="25" t="str">
        <f>IFERROR(INDEX('Hun Demand'!W:W,MATCH(O1116,'Hun Demand'!A:A,0)),"")</f>
        <v/>
      </c>
      <c r="B1116" s="25" t="str">
        <f>IFERROR(INDEX('Hun Demand'!V:V,MATCH(O1116,'Hun Demand'!A:A,0)),"")</f>
        <v/>
      </c>
      <c r="C1116" s="25" t="str">
        <f>IFERROR(INDEX('Hun Demand'!U:U,MATCH(O1116,'Hun Demand'!A:A,0)),"")</f>
        <v/>
      </c>
      <c r="D1116" s="25" t="str">
        <f>IFERROR(INDEX('Hun Demand'!T:T,MATCH(O1116,'Hun Demand'!A:A,0)),"")</f>
        <v/>
      </c>
      <c r="E1116" s="25" t="str">
        <f>IFERROR(INDEX('Hun Demand'!S:S,MATCH(O1116,'Hun Demand'!A:A,0)),"")</f>
        <v/>
      </c>
      <c r="F1116" s="25" t="str">
        <f>IFERROR(INDEX('Hun Demand'!R:R,MATCH(O1116,'Hun Demand'!A:A,0)),"")</f>
        <v/>
      </c>
      <c r="G1116" s="25">
        <f>IFERROR(INDEX('Aub Demand'!W:W,MATCH(O1116,'Aub Demand'!A:A,0)),"")</f>
        <v>0</v>
      </c>
      <c r="H1116" s="25">
        <f>IFERROR(INDEX('Aub Demand'!V:V,MATCH(O1116,'Aub Demand'!A:A,0)),"")</f>
        <v>0</v>
      </c>
      <c r="I1116" s="25">
        <f>IFERROR(INDEX('Aub Demand'!U:U,MATCH(O1116,'Aub Demand'!A:A,0)),"")</f>
        <v>0</v>
      </c>
      <c r="J1116" s="25">
        <f>IFERROR(INDEX('Aub Demand'!T:T,MATCH(O1116,'Aub Demand'!A:A,0)),"")</f>
        <v>0</v>
      </c>
      <c r="K1116" s="25">
        <f>IFERROR(INDEX('Aub Demand'!S:S,MATCH(O1116,'Aub Demand'!A:A,0)),"")</f>
        <v>53</v>
      </c>
      <c r="L1116" s="25">
        <f>IFERROR(INDEX('Aub Demand'!R:R,MATCH(O1116,'Aub Demand'!A:A,0)),"")</f>
        <v>530</v>
      </c>
      <c r="O1116" s="27" t="s">
        <v>2695</v>
      </c>
      <c r="P1116" s="27" t="str">
        <f>IFERROR(INDEX('Aub Demand'!B:B,MATCH($O1116,'Aub Demand'!$A:$A,0)),"")</f>
        <v>DOVE GRAY</v>
      </c>
      <c r="Q1116" s="27" t="str">
        <f>IFERROR(INDEX('Aub Demand'!C:C,MATCH($O1116,'Aub Demand'!$A:$A,0)),"")</f>
        <v>ONYX</v>
      </c>
      <c r="R1116" s="52">
        <f>IFERROR(IF(AR1117=AR1116,INDEX('Aub Demand'!K:K,MATCH($O1116,'Aub Demand'!$A:$A,0))-IF(AN1116="",0,AN1116)+AP1117,INDEX('Aub Demand'!K:K,MATCH($O1116,'Aub Demand'!$A:$A,0))-IF(AN1116="",0,AN1116)),"")</f>
        <v>2802</v>
      </c>
      <c r="S1116" s="53">
        <f t="shared" si="476"/>
        <v>667.1</v>
      </c>
      <c r="T1116" s="52" t="str">
        <f t="shared" si="477"/>
        <v/>
      </c>
      <c r="U1116" s="52">
        <f>IFERROR(IF(AR1117=AR1116,INDEX('Aub Demand'!Q:Q,MATCH($O1116,'Aub Demand'!$A:$A,0))-IF(AN1116="",0,AN1116)+AP1117,INDEX('Aub Demand'!Q:Q,MATCH($O1116,'Aub Demand'!$A:$A,0))-IF(AN1116="",0,AN1116)),"")</f>
        <v>2802</v>
      </c>
      <c r="V1116" s="53">
        <f t="shared" si="478"/>
        <v>667.1</v>
      </c>
      <c r="W1116" s="52" t="str">
        <f t="shared" si="479"/>
        <v/>
      </c>
      <c r="X1116" s="52">
        <f>IFERROR(IF(AND(AR1117=AR1116,AM1116&lt;&gt;""),INDEX('Aub Demand'!Q:Q,MATCH($O1116,'Aub Demand'!$A:$A,0))-IF(AN1116="",0,AN1116)+AP1117+AD1116+AL1116,IF(AR1117=AR1116,INDEX('Aub Demand'!Q:Q,MATCH($O1116,'Aub Demand'!$A:$A,0))-IF(AN1116="",0,AN1116)+AP1117+AD1116,IF(AM1116&lt;&gt;"",INDEX('Aub Demand'!Q:Q,MATCH($O1116,'Aub Demand'!$A:$A,0))-IF(AN1116="",0,AN1116)+AD1116+AL1116,INDEX('Aub Demand'!Q:Q,MATCH($O1116,'Aub Demand'!$A:$A,0))-IF(AN1116="",0,AN1116)+AD1116))),"")</f>
        <v>2802</v>
      </c>
      <c r="Y1116" s="53">
        <f t="shared" si="480"/>
        <v>667.1</v>
      </c>
      <c r="Z1116" s="52">
        <f>IF(L1116="","",INDEX('Aub Demand'!H:H,MATCH($O1116,'Aub Demand'!$A:$A,0)))</f>
        <v>18</v>
      </c>
      <c r="AA1116" s="52">
        <f t="shared" si="481"/>
        <v>291.5</v>
      </c>
      <c r="AB1116" s="52">
        <f>IFERROR(INDEX('Aub Demand'!L:L,MATCH($O1116,'Aub Demand'!$A:$A,0)),"")</f>
        <v>78</v>
      </c>
      <c r="AC1116" s="52">
        <f>IFERROR(IF(O1116="","",SUMIFS('CPL Mats'!F:F,'CPL Mats'!Q:Q,AR1116,'CPL Mats'!S:S,AS1116)),"")</f>
        <v>0</v>
      </c>
      <c r="AF1116" s="25" t="str">
        <f>IF(SUMIFS('Supp Consol'!S:S,'Supp Consol'!Y:Y,"Releasable",'Supp Consol'!A:A,O1116)=0,"",SUMIFS('Supp Consol'!S:S,'Supp Consol'!Y:Y,"Releasable",'Supp Consol'!A:A,O1116))</f>
        <v/>
      </c>
      <c r="AG1116" s="25" t="str">
        <f>IFERROR(INDEX('Hun Demand'!Q:Q,MATCH(O1116,'Hun Demand'!A:A,0)),"")</f>
        <v/>
      </c>
      <c r="AH1116" s="25" t="str">
        <f>IFERROR(INDEX('Hun Demand'!H:H,MATCH($O1116,'Hun Demand'!$A:$A,0)),"")</f>
        <v/>
      </c>
      <c r="AI1116" s="25" t="str">
        <f>IF(SUMIFS('Supp Consol'!AA:AA,'Supp Consol'!Z:Z,"Expires this month",'Supp Consol'!A:A,O1116)=0,"",SUMIFS('Supp Consol'!AA:AA,'Supp Consol'!Z:Z,"Expires this month",'Supp Consol'!A:A,O1116))</f>
        <v/>
      </c>
      <c r="AJ1116" s="25" t="str">
        <f>IF(SUMIFS('Supp Consol'!AA:AA,'Supp Consol'!Z:Z,"Expired Previous Months",'Supp Consol'!A:A,O1116)=0,"",SUMIFS('Supp Consol'!AA:AA,'Supp Consol'!Z:Z,"Expired Previous Months",'Supp Consol'!A:A,O1116))</f>
        <v/>
      </c>
      <c r="AK1116" s="25" t="str">
        <f>IFERROR(INDEX('Hun Release Current'!B:B,MATCH(O1116,'Hun Release Current'!A:A,0)),"")</f>
        <v/>
      </c>
      <c r="AL1116" s="25" t="str">
        <f>IF(SUMIF('Prev Aub'!A:A,O1116,'Prev Aub'!B:B)=0,"",SUMIF('Prev Aub'!A:A,O1116,'Prev Aub'!B:B))</f>
        <v/>
      </c>
      <c r="AN1116" s="25" t="s">
        <v>3790</v>
      </c>
      <c r="AO1116" s="25" t="s">
        <v>3790</v>
      </c>
      <c r="AP1116" s="25">
        <f t="shared" si="482"/>
        <v>0</v>
      </c>
      <c r="AQ1116" s="151" t="str">
        <f>IF(SUMIFS('Supp Consol'!S:S,'Supp Consol'!A:A,O1116,'Supp Consol'!I:I,"PENDING")=0,"",SUMIFS('Supp Consol'!S:S,'Supp Consol'!A:A,O1116,'Supp Consol'!I:I,"PENDING"))</f>
        <v/>
      </c>
      <c r="AR1116" s="27" t="str">
        <f t="shared" si="483"/>
        <v>ST003</v>
      </c>
      <c r="AS1116" s="27" t="str">
        <f t="shared" si="484"/>
        <v>62</v>
      </c>
      <c r="AT1116" s="27" t="str">
        <f t="shared" si="485"/>
        <v/>
      </c>
      <c r="AU1116" s="27" t="str">
        <f t="shared" si="486"/>
        <v/>
      </c>
      <c r="AV1116" s="27" t="str">
        <f t="shared" si="487"/>
        <v/>
      </c>
      <c r="AW1116" s="27" t="str">
        <f t="shared" si="488"/>
        <v/>
      </c>
      <c r="AX1116" s="27" t="str">
        <f t="shared" si="489"/>
        <v/>
      </c>
      <c r="AY1116" s="27" t="str">
        <f t="shared" si="490"/>
        <v/>
      </c>
      <c r="AZ1116" s="27" t="str">
        <f t="shared" si="491"/>
        <v/>
      </c>
      <c r="BA1116" s="27" t="str">
        <f t="shared" si="492"/>
        <v/>
      </c>
      <c r="BB1116" s="27" t="str">
        <f t="shared" si="493"/>
        <v>Gross</v>
      </c>
      <c r="BC1116" s="27" t="str">
        <f t="shared" si="494"/>
        <v>Net</v>
      </c>
      <c r="BD1116" s="27" t="str">
        <f t="shared" si="495"/>
        <v>Net</v>
      </c>
      <c r="BE1116" s="27" t="str">
        <f t="shared" si="496"/>
        <v/>
      </c>
      <c r="BF1116" s="27" t="str">
        <f t="shared" si="497"/>
        <v/>
      </c>
      <c r="BG1116" s="27" t="str">
        <f t="shared" si="498"/>
        <v/>
      </c>
      <c r="BH1116" s="27" t="str">
        <f t="shared" si="499"/>
        <v/>
      </c>
      <c r="BI1116" s="27" t="str">
        <f t="shared" si="500"/>
        <v/>
      </c>
      <c r="BJ1116" s="27" t="str">
        <f t="shared" si="501"/>
        <v/>
      </c>
      <c r="BK1116" s="27" t="str">
        <f t="shared" si="502"/>
        <v/>
      </c>
      <c r="BL1116" s="27" t="str">
        <f t="shared" si="503"/>
        <v/>
      </c>
      <c r="BM1116" s="21" t="s">
        <v>5581</v>
      </c>
    </row>
    <row r="1117" spans="1:65" ht="15">
      <c r="A1117" s="25">
        <f>IFERROR(INDEX('Hun Demand'!W:W,MATCH(O1117,'Hun Demand'!A:A,0)),"")</f>
        <v>0</v>
      </c>
      <c r="B1117" s="25">
        <f>IFERROR(INDEX('Hun Demand'!V:V,MATCH(O1117,'Hun Demand'!A:A,0)),"")</f>
        <v>135</v>
      </c>
      <c r="C1117" s="25">
        <f>IFERROR(INDEX('Hun Demand'!U:U,MATCH(O1117,'Hun Demand'!A:A,0)),"")</f>
        <v>0</v>
      </c>
      <c r="D1117" s="25">
        <f>IFERROR(INDEX('Hun Demand'!T:T,MATCH(O1117,'Hun Demand'!A:A,0)),"")</f>
        <v>360</v>
      </c>
      <c r="E1117" s="25">
        <f>IFERROR(INDEX('Hun Demand'!S:S,MATCH(O1117,'Hun Demand'!A:A,0)),"")</f>
        <v>0</v>
      </c>
      <c r="F1117" s="25">
        <f>IFERROR(INDEX('Hun Demand'!R:R,MATCH(O1117,'Hun Demand'!A:A,0)),"")</f>
        <v>0</v>
      </c>
      <c r="G1117" s="25">
        <f>IFERROR(INDEX('Aub Demand'!W:W,MATCH(O1117,'Aub Demand'!A:A,0)),"")</f>
        <v>287</v>
      </c>
      <c r="H1117" s="25">
        <f>IFERROR(INDEX('Aub Demand'!V:V,MATCH(O1117,'Aub Demand'!A:A,0)),"")</f>
        <v>123</v>
      </c>
      <c r="I1117" s="25">
        <f>IFERROR(INDEX('Aub Demand'!U:U,MATCH(O1117,'Aub Demand'!A:A,0)),"")</f>
        <v>212</v>
      </c>
      <c r="J1117" s="25">
        <f>IFERROR(INDEX('Aub Demand'!T:T,MATCH(O1117,'Aub Demand'!A:A,0)),"")</f>
        <v>234</v>
      </c>
      <c r="K1117" s="25">
        <f>IFERROR(INDEX('Aub Demand'!S:S,MATCH(O1117,'Aub Demand'!A:A,0)),"")</f>
        <v>210</v>
      </c>
      <c r="L1117" s="25">
        <f>IFERROR(INDEX('Aub Demand'!R:R,MATCH(O1117,'Aub Demand'!A:A,0)),"")</f>
        <v>206</v>
      </c>
      <c r="O1117" s="27" t="s">
        <v>2696</v>
      </c>
      <c r="P1117" s="27" t="str">
        <f>IFERROR(INDEX('Aub Demand'!B:B,MATCH($O1117,'Aub Demand'!$A:$A,0)),"")</f>
        <v>NEUTRAL GRAY 48"</v>
      </c>
      <c r="Q1117" s="27" t="str">
        <f>IFERROR(INDEX('Aub Demand'!C:C,MATCH($O1117,'Aub Demand'!$A:$A,0)),"")</f>
        <v>ONYX</v>
      </c>
      <c r="R1117" s="52">
        <f>IFERROR(IF(AR1118=AR1117,INDEX('Aub Demand'!K:K,MATCH($O1117,'Aub Demand'!$A:$A,0))-IF(AN1117="",0,AN1117)+AP1118,INDEX('Aub Demand'!K:K,MATCH($O1117,'Aub Demand'!$A:$A,0))-IF(AN1117="",0,AN1117)),"")</f>
        <v>3174</v>
      </c>
      <c r="S1117" s="53">
        <f t="shared" si="476"/>
        <v>62.1</v>
      </c>
      <c r="T1117" s="52" t="str">
        <f t="shared" si="477"/>
        <v/>
      </c>
      <c r="U1117" s="52">
        <f>IFERROR(IF(AR1118=AR1117,INDEX('Aub Demand'!Q:Q,MATCH($O1117,'Aub Demand'!$A:$A,0))-IF(AN1117="",0,AN1117)+AP1118,INDEX('Aub Demand'!Q:Q,MATCH($O1117,'Aub Demand'!$A:$A,0))-IF(AN1117="",0,AN1117)),"")</f>
        <v>2940</v>
      </c>
      <c r="V1117" s="53">
        <f t="shared" si="478"/>
        <v>57.5</v>
      </c>
      <c r="W1117" s="52" t="str">
        <f t="shared" si="479"/>
        <v/>
      </c>
      <c r="X1117" s="52">
        <f>IFERROR(IF(AND(AR1118=AR1117,AM1117&lt;&gt;""),INDEX('Aub Demand'!Q:Q,MATCH($O1117,'Aub Demand'!$A:$A,0))-IF(AN1117="",0,AN1117)+AP1118+AD1117+AL1117,IF(AR1118=AR1117,INDEX('Aub Demand'!Q:Q,MATCH($O1117,'Aub Demand'!$A:$A,0))-IF(AN1117="",0,AN1117)+AP1118+AD1117,IF(AM1117&lt;&gt;"",INDEX('Aub Demand'!Q:Q,MATCH($O1117,'Aub Demand'!$A:$A,0))-IF(AN1117="",0,AN1117)+AD1117+AL1117,INDEX('Aub Demand'!Q:Q,MATCH($O1117,'Aub Demand'!$A:$A,0))-IF(AN1117="",0,AN1117)+AD1117))),"")</f>
        <v>2940</v>
      </c>
      <c r="Y1117" s="53">
        <f t="shared" si="480"/>
        <v>57.5</v>
      </c>
      <c r="Z1117" s="52">
        <f>IF(L1117="","",INDEX('Aub Demand'!H:H,MATCH($O1117,'Aub Demand'!$A:$A,0)))</f>
        <v>219</v>
      </c>
      <c r="AA1117" s="52">
        <f t="shared" si="481"/>
        <v>223</v>
      </c>
      <c r="AB1117" s="52">
        <f>IFERROR(INDEX('Aub Demand'!L:L,MATCH($O1117,'Aub Demand'!$A:$A,0)),"")</f>
        <v>312</v>
      </c>
      <c r="AC1117" s="52">
        <f>IFERROR(IF(O1117="","",SUMIFS('CPL Mats'!F:F,'CPL Mats'!Q:Q,AR1117,'CPL Mats'!S:S,AS1117)),"")</f>
        <v>0</v>
      </c>
      <c r="AF1117" s="25" t="str">
        <f>IF(SUMIFS('Supp Consol'!S:S,'Supp Consol'!Y:Y,"Releasable",'Supp Consol'!A:A,O1117)=0,"",SUMIFS('Supp Consol'!S:S,'Supp Consol'!Y:Y,"Releasable",'Supp Consol'!A:A,O1117))</f>
        <v/>
      </c>
      <c r="AG1117" s="25">
        <f>IFERROR(INDEX('Hun Demand'!Q:Q,MATCH(O1117,'Hun Demand'!A:A,0)),"")</f>
        <v>-190</v>
      </c>
      <c r="AH1117" s="25">
        <f>IFERROR(INDEX('Hun Demand'!H:H,MATCH($O1117,'Hun Demand'!$A:$A,0)),"")</f>
        <v>120</v>
      </c>
      <c r="AI1117" s="25" t="str">
        <f>IF(SUMIFS('Supp Consol'!AA:AA,'Supp Consol'!Z:Z,"Expires this month",'Supp Consol'!A:A,O1117)=0,"",SUMIFS('Supp Consol'!AA:AA,'Supp Consol'!Z:Z,"Expires this month",'Supp Consol'!A:A,O1117))</f>
        <v/>
      </c>
      <c r="AJ1117" s="25" t="str">
        <f>IF(SUMIFS('Supp Consol'!AA:AA,'Supp Consol'!Z:Z,"Expired Previous Months",'Supp Consol'!A:A,O1117)=0,"",SUMIFS('Supp Consol'!AA:AA,'Supp Consol'!Z:Z,"Expired Previous Months",'Supp Consol'!A:A,O1117))</f>
        <v/>
      </c>
      <c r="AK1117" s="25" t="str">
        <f>IFERROR(INDEX('Hun Release Current'!B:B,MATCH(O1117,'Hun Release Current'!A:A,0)),"")</f>
        <v/>
      </c>
      <c r="AL1117" s="25" t="str">
        <f>IF(SUMIF('Prev Aub'!A:A,O1117,'Prev Aub'!B:B)=0,"",SUMIF('Prev Aub'!A:A,O1117,'Prev Aub'!B:B))</f>
        <v/>
      </c>
      <c r="AN1117" s="25" t="s">
        <v>3790</v>
      </c>
      <c r="AO1117" s="25" t="s">
        <v>3790</v>
      </c>
      <c r="AP1117" s="25">
        <f t="shared" si="482"/>
        <v>0</v>
      </c>
      <c r="AQ1117" s="151" t="str">
        <f>IF(SUMIFS('Supp Consol'!S:S,'Supp Consol'!A:A,O1117,'Supp Consol'!I:I,"PENDING")=0,"",SUMIFS('Supp Consol'!S:S,'Supp Consol'!A:A,O1117,'Supp Consol'!I:I,"PENDING"))</f>
        <v/>
      </c>
      <c r="AR1117" s="27" t="str">
        <f t="shared" si="483"/>
        <v>ST012</v>
      </c>
      <c r="AS1117" s="27" t="str">
        <f t="shared" si="484"/>
        <v>50</v>
      </c>
      <c r="AT1117" s="27" t="str">
        <f t="shared" si="485"/>
        <v/>
      </c>
      <c r="AU1117" s="27" t="str">
        <f t="shared" si="486"/>
        <v/>
      </c>
      <c r="AV1117" s="27" t="str">
        <f t="shared" si="487"/>
        <v/>
      </c>
      <c r="AW1117" s="27" t="str">
        <f t="shared" si="488"/>
        <v/>
      </c>
      <c r="AX1117" s="27" t="str">
        <f t="shared" si="489"/>
        <v/>
      </c>
      <c r="AY1117" s="27" t="str">
        <f t="shared" si="490"/>
        <v/>
      </c>
      <c r="AZ1117" s="27" t="str">
        <f t="shared" si="491"/>
        <v/>
      </c>
      <c r="BA1117" s="27" t="str">
        <f t="shared" si="492"/>
        <v>Hun</v>
      </c>
      <c r="BB1117" s="27" t="str">
        <f t="shared" si="493"/>
        <v/>
      </c>
      <c r="BC1117" s="27" t="str">
        <f t="shared" si="494"/>
        <v/>
      </c>
      <c r="BD1117" s="27" t="str">
        <f t="shared" si="495"/>
        <v/>
      </c>
      <c r="BE1117" s="27" t="str">
        <f t="shared" si="496"/>
        <v/>
      </c>
      <c r="BF1117" s="27" t="str">
        <f t="shared" si="497"/>
        <v/>
      </c>
      <c r="BG1117" s="27" t="str">
        <f t="shared" si="498"/>
        <v/>
      </c>
      <c r="BH1117" s="27" t="str">
        <f t="shared" si="499"/>
        <v/>
      </c>
      <c r="BI1117" s="27" t="str">
        <f t="shared" si="500"/>
        <v/>
      </c>
      <c r="BJ1117" s="27" t="str">
        <f t="shared" si="501"/>
        <v>Supp or Hun</v>
      </c>
      <c r="BK1117" s="27" t="str">
        <f t="shared" si="502"/>
        <v/>
      </c>
      <c r="BL1117" s="27" t="str">
        <f t="shared" si="503"/>
        <v/>
      </c>
      <c r="BM1117" s="21" t="s">
        <v>5581</v>
      </c>
    </row>
    <row r="1118" spans="1:65" ht="15">
      <c r="A1118" s="25">
        <f>IFERROR(INDEX('Hun Demand'!W:W,MATCH(O1118,'Hun Demand'!A:A,0)),"")</f>
        <v>0</v>
      </c>
      <c r="B1118" s="25">
        <f>IFERROR(INDEX('Hun Demand'!V:V,MATCH(O1118,'Hun Demand'!A:A,0)),"")</f>
        <v>0</v>
      </c>
      <c r="C1118" s="25">
        <f>IFERROR(INDEX('Hun Demand'!U:U,MATCH(O1118,'Hun Demand'!A:A,0)),"")</f>
        <v>75</v>
      </c>
      <c r="D1118" s="25">
        <f>IFERROR(INDEX('Hun Demand'!T:T,MATCH(O1118,'Hun Demand'!A:A,0)),"")</f>
        <v>221</v>
      </c>
      <c r="E1118" s="25">
        <f>IFERROR(INDEX('Hun Demand'!S:S,MATCH(O1118,'Hun Demand'!A:A,0)),"")</f>
        <v>0</v>
      </c>
      <c r="F1118" s="25">
        <f>IFERROR(INDEX('Hun Demand'!R:R,MATCH(O1118,'Hun Demand'!A:A,0)),"")</f>
        <v>251</v>
      </c>
      <c r="G1118" s="25">
        <f>IFERROR(INDEX('Aub Demand'!W:W,MATCH(O1118,'Aub Demand'!A:A,0)),"")</f>
        <v>1127</v>
      </c>
      <c r="H1118" s="25">
        <f>IFERROR(INDEX('Aub Demand'!V:V,MATCH(O1118,'Aub Demand'!A:A,0)),"")</f>
        <v>0</v>
      </c>
      <c r="I1118" s="25">
        <f>IFERROR(INDEX('Aub Demand'!U:U,MATCH(O1118,'Aub Demand'!A:A,0)),"")</f>
        <v>1102</v>
      </c>
      <c r="J1118" s="25">
        <f>IFERROR(INDEX('Aub Demand'!T:T,MATCH(O1118,'Aub Demand'!A:A,0)),"")</f>
        <v>470</v>
      </c>
      <c r="K1118" s="25">
        <f>IFERROR(INDEX('Aub Demand'!S:S,MATCH(O1118,'Aub Demand'!A:A,0)),"")</f>
        <v>678</v>
      </c>
      <c r="L1118" s="25">
        <f>IFERROR(INDEX('Aub Demand'!R:R,MATCH(O1118,'Aub Demand'!A:A,0)),"")</f>
        <v>0</v>
      </c>
      <c r="O1118" s="27" t="s">
        <v>2698</v>
      </c>
      <c r="P1118" s="27" t="str">
        <f>IFERROR(INDEX('Aub Demand'!B:B,MATCH($O1118,'Aub Demand'!$A:$A,0)),"")</f>
        <v>NEUTRAL GRAY 60"</v>
      </c>
      <c r="Q1118" s="27" t="str">
        <f>IFERROR(INDEX('Aub Demand'!C:C,MATCH($O1118,'Aub Demand'!$A:$A,0)),"")</f>
        <v>ONYX</v>
      </c>
      <c r="R1118" s="52">
        <f>IFERROR(IF(AR1119=AR1118,INDEX('Aub Demand'!K:K,MATCH($O1118,'Aub Demand'!$A:$A,0))-IF(AN1118="",0,AN1118)+AP1119,INDEX('Aub Demand'!K:K,MATCH($O1118,'Aub Demand'!$A:$A,0))-IF(AN1118="",0,AN1118)),"")</f>
        <v>5528</v>
      </c>
      <c r="S1118" s="53">
        <f t="shared" si="476"/>
        <v>31.6</v>
      </c>
      <c r="T1118" s="52" t="str">
        <f t="shared" si="477"/>
        <v/>
      </c>
      <c r="U1118" s="52">
        <f>IFERROR(IF(AR1119=AR1118,INDEX('Aub Demand'!Q:Q,MATCH($O1118,'Aub Demand'!$A:$A,0))-IF(AN1118="",0,AN1118)+AP1119,INDEX('Aub Demand'!Q:Q,MATCH($O1118,'Aub Demand'!$A:$A,0))-IF(AN1118="",0,AN1118)),"")</f>
        <v>4705</v>
      </c>
      <c r="V1118" s="53">
        <f t="shared" si="478"/>
        <v>26.9</v>
      </c>
      <c r="W1118" s="52" t="str">
        <f t="shared" si="479"/>
        <v/>
      </c>
      <c r="X1118" s="52">
        <f>IFERROR(IF(AND(AR1119=AR1118,AM1118&lt;&gt;""),INDEX('Aub Demand'!Q:Q,MATCH($O1118,'Aub Demand'!$A:$A,0))-IF(AN1118="",0,AN1118)+AP1119+AD1118+AL1118,IF(AR1119=AR1118,INDEX('Aub Demand'!Q:Q,MATCH($O1118,'Aub Demand'!$A:$A,0))-IF(AN1118="",0,AN1118)+AP1119+AD1118,IF(AM1118&lt;&gt;"",INDEX('Aub Demand'!Q:Q,MATCH($O1118,'Aub Demand'!$A:$A,0))-IF(AN1118="",0,AN1118)+AD1118+AL1118,INDEX('Aub Demand'!Q:Q,MATCH($O1118,'Aub Demand'!$A:$A,0))-IF(AN1118="",0,AN1118)+AD1118))),"")</f>
        <v>4705</v>
      </c>
      <c r="Y1118" s="53">
        <f t="shared" si="480"/>
        <v>26.9</v>
      </c>
      <c r="Z1118" s="52">
        <f>IF(L1118="","",INDEX('Aub Demand'!H:H,MATCH($O1118,'Aub Demand'!$A:$A,0)))</f>
        <v>750</v>
      </c>
      <c r="AA1118" s="52">
        <f t="shared" si="481"/>
        <v>890</v>
      </c>
      <c r="AB1118" s="52">
        <f>IFERROR(INDEX('Aub Demand'!L:L,MATCH($O1118,'Aub Demand'!$A:$A,0)),"")</f>
        <v>457</v>
      </c>
      <c r="AC1118" s="52">
        <f>IFERROR(IF(O1118="","",SUMIFS('CPL Mats'!F:F,'CPL Mats'!Q:Q,AR1118,'CPL Mats'!S:S,AS1118)),"")</f>
        <v>0</v>
      </c>
      <c r="AF1118" s="25" t="str">
        <f>IF(SUMIFS('Supp Consol'!S:S,'Supp Consol'!Y:Y,"Releasable",'Supp Consol'!A:A,O1118)=0,"",SUMIFS('Supp Consol'!S:S,'Supp Consol'!Y:Y,"Releasable",'Supp Consol'!A:A,O1118))</f>
        <v/>
      </c>
      <c r="AG1118" s="25">
        <f>IFERROR(INDEX('Hun Demand'!Q:Q,MATCH(O1118,'Hun Demand'!A:A,0)),"")</f>
        <v>1284</v>
      </c>
      <c r="AH1118" s="25">
        <f>IFERROR(INDEX('Hun Demand'!H:H,MATCH($O1118,'Hun Demand'!$A:$A,0)),"")</f>
        <v>99</v>
      </c>
      <c r="AI1118" s="25" t="str">
        <f>IF(SUMIFS('Supp Consol'!AA:AA,'Supp Consol'!Z:Z,"Expires this month",'Supp Consol'!A:A,O1118)=0,"",SUMIFS('Supp Consol'!AA:AA,'Supp Consol'!Z:Z,"Expires this month",'Supp Consol'!A:A,O1118))</f>
        <v/>
      </c>
      <c r="AJ1118" s="25" t="str">
        <f>IF(SUMIFS('Supp Consol'!AA:AA,'Supp Consol'!Z:Z,"Expired Previous Months",'Supp Consol'!A:A,O1118)=0,"",SUMIFS('Supp Consol'!AA:AA,'Supp Consol'!Z:Z,"Expired Previous Months",'Supp Consol'!A:A,O1118))</f>
        <v/>
      </c>
      <c r="AK1118" s="25" t="str">
        <f>IFERROR(INDEX('Hun Release Current'!B:B,MATCH(O1118,'Hun Release Current'!A:A,0)),"")</f>
        <v/>
      </c>
      <c r="AL1118" s="25" t="str">
        <f>IF(SUMIF('Prev Aub'!A:A,O1118,'Prev Aub'!B:B)=0,"",SUMIF('Prev Aub'!A:A,O1118,'Prev Aub'!B:B))</f>
        <v/>
      </c>
      <c r="AN1118" s="25" t="s">
        <v>3790</v>
      </c>
      <c r="AO1118" s="25" t="s">
        <v>3790</v>
      </c>
      <c r="AP1118" s="25">
        <f t="shared" si="482"/>
        <v>0</v>
      </c>
      <c r="AQ1118" s="151" t="str">
        <f>IF(SUMIFS('Supp Consol'!S:S,'Supp Consol'!A:A,O1118,'Supp Consol'!I:I,"PENDING")=0,"",SUMIFS('Supp Consol'!S:S,'Supp Consol'!A:A,O1118,'Supp Consol'!I:I,"PENDING"))</f>
        <v/>
      </c>
      <c r="AR1118" s="27" t="str">
        <f t="shared" si="483"/>
        <v>ST012</v>
      </c>
      <c r="AS1118" s="27" t="str">
        <f t="shared" si="484"/>
        <v>62</v>
      </c>
      <c r="AT1118" s="27" t="str">
        <f t="shared" si="485"/>
        <v/>
      </c>
      <c r="AU1118" s="27" t="str">
        <f t="shared" si="486"/>
        <v/>
      </c>
      <c r="AV1118" s="27" t="str">
        <f t="shared" si="487"/>
        <v/>
      </c>
      <c r="AW1118" s="27" t="str">
        <f t="shared" si="488"/>
        <v/>
      </c>
      <c r="AX1118" s="27" t="str">
        <f t="shared" si="489"/>
        <v/>
      </c>
      <c r="AY1118" s="27" t="str">
        <f t="shared" si="490"/>
        <v>ST012</v>
      </c>
      <c r="AZ1118" s="27" t="str">
        <f t="shared" si="491"/>
        <v/>
      </c>
      <c r="BA1118" s="27" t="str">
        <f t="shared" si="492"/>
        <v>Hun</v>
      </c>
      <c r="BB1118" s="27" t="str">
        <f t="shared" si="493"/>
        <v/>
      </c>
      <c r="BC1118" s="27" t="str">
        <f t="shared" si="494"/>
        <v/>
      </c>
      <c r="BD1118" s="27" t="str">
        <f t="shared" si="495"/>
        <v/>
      </c>
      <c r="BE1118" s="27" t="str">
        <f t="shared" si="496"/>
        <v/>
      </c>
      <c r="BF1118" s="27" t="str">
        <f t="shared" si="497"/>
        <v/>
      </c>
      <c r="BG1118" s="27" t="str">
        <f t="shared" si="498"/>
        <v/>
      </c>
      <c r="BH1118" s="27" t="str">
        <f t="shared" si="499"/>
        <v/>
      </c>
      <c r="BI1118" s="27" t="str">
        <f t="shared" si="500"/>
        <v/>
      </c>
      <c r="BJ1118" s="27" t="str">
        <f t="shared" si="501"/>
        <v>Supp or Hun</v>
      </c>
      <c r="BK1118" s="27" t="str">
        <f t="shared" si="502"/>
        <v/>
      </c>
      <c r="BL1118" s="27" t="str">
        <f t="shared" si="503"/>
        <v/>
      </c>
      <c r="BM1118" s="21" t="s">
        <v>5581</v>
      </c>
    </row>
    <row r="1119" spans="1:65" ht="15">
      <c r="A1119" s="25" t="str">
        <f>IFERROR(INDEX('Hun Demand'!W:W,MATCH(O1119,'Hun Demand'!A:A,0)),"")</f>
        <v/>
      </c>
      <c r="B1119" s="25" t="str">
        <f>IFERROR(INDEX('Hun Demand'!V:V,MATCH(O1119,'Hun Demand'!A:A,0)),"")</f>
        <v/>
      </c>
      <c r="C1119" s="25" t="str">
        <f>IFERROR(INDEX('Hun Demand'!U:U,MATCH(O1119,'Hun Demand'!A:A,0)),"")</f>
        <v/>
      </c>
      <c r="D1119" s="25" t="str">
        <f>IFERROR(INDEX('Hun Demand'!T:T,MATCH(O1119,'Hun Demand'!A:A,0)),"")</f>
        <v/>
      </c>
      <c r="E1119" s="25" t="str">
        <f>IFERROR(INDEX('Hun Demand'!S:S,MATCH(O1119,'Hun Demand'!A:A,0)),"")</f>
        <v/>
      </c>
      <c r="F1119" s="25" t="str">
        <f>IFERROR(INDEX('Hun Demand'!R:R,MATCH(O1119,'Hun Demand'!A:A,0)),"")</f>
        <v/>
      </c>
      <c r="G1119" s="25">
        <f>IFERROR(INDEX('Aub Demand'!W:W,MATCH(O1119,'Aub Demand'!A:A,0)),"")</f>
        <v>0</v>
      </c>
      <c r="H1119" s="25">
        <f>IFERROR(INDEX('Aub Demand'!V:V,MATCH(O1119,'Aub Demand'!A:A,0)),"")</f>
        <v>126</v>
      </c>
      <c r="I1119" s="25">
        <f>IFERROR(INDEX('Aub Demand'!U:U,MATCH(O1119,'Aub Demand'!A:A,0)),"")</f>
        <v>212</v>
      </c>
      <c r="J1119" s="25">
        <f>IFERROR(INDEX('Aub Demand'!T:T,MATCH(O1119,'Aub Demand'!A:A,0)),"")</f>
        <v>0</v>
      </c>
      <c r="K1119" s="25">
        <f>IFERROR(INDEX('Aub Demand'!S:S,MATCH(O1119,'Aub Demand'!A:A,0)),"")</f>
        <v>124</v>
      </c>
      <c r="L1119" s="25">
        <f>IFERROR(INDEX('Aub Demand'!R:R,MATCH(O1119,'Aub Demand'!A:A,0)),"")</f>
        <v>130</v>
      </c>
      <c r="O1119" s="27" t="s">
        <v>2700</v>
      </c>
      <c r="P1119" s="27" t="str">
        <f>IFERROR(INDEX('Aub Demand'!B:B,MATCH($O1119,'Aub Demand'!$A:$A,0)),"")</f>
        <v>BLACK PEARL 48"</v>
      </c>
      <c r="Q1119" s="27" t="str">
        <f>IFERROR(INDEX('Aub Demand'!C:C,MATCH($O1119,'Aub Demand'!$A:$A,0)),"")</f>
        <v>ONYX</v>
      </c>
      <c r="R1119" s="52">
        <f>IFERROR(IF(AR1120=AR1119,INDEX('Aub Demand'!K:K,MATCH($O1119,'Aub Demand'!$A:$A,0))-IF(AN1119="",0,AN1119)+AP1120,INDEX('Aub Demand'!K:K,MATCH($O1119,'Aub Demand'!$A:$A,0))-IF(AN1119="",0,AN1119)),"")</f>
        <v>475</v>
      </c>
      <c r="S1119" s="53">
        <f t="shared" si="476"/>
        <v>18.2</v>
      </c>
      <c r="T1119" s="52" t="str">
        <f t="shared" si="477"/>
        <v/>
      </c>
      <c r="U1119" s="52">
        <f>IFERROR(IF(AR1120=AR1119,INDEX('Aub Demand'!Q:Q,MATCH($O1119,'Aub Demand'!$A:$A,0))-IF(AN1119="",0,AN1119)+AP1120,INDEX('Aub Demand'!Q:Q,MATCH($O1119,'Aub Demand'!$A:$A,0))-IF(AN1119="",0,AN1119)),"")</f>
        <v>353</v>
      </c>
      <c r="V1119" s="53">
        <f t="shared" si="478"/>
        <v>13.5</v>
      </c>
      <c r="W1119" s="52" t="str">
        <f t="shared" si="479"/>
        <v/>
      </c>
      <c r="X1119" s="52">
        <f>IFERROR(IF(AND(AR1120=AR1119,AM1119&lt;&gt;""),INDEX('Aub Demand'!Q:Q,MATCH($O1119,'Aub Demand'!$A:$A,0))-IF(AN1119="",0,AN1119)+AP1120+AD1119+AL1119,IF(AR1120=AR1119,INDEX('Aub Demand'!Q:Q,MATCH($O1119,'Aub Demand'!$A:$A,0))-IF(AN1119="",0,AN1119)+AP1120+AD1119,IF(AM1119&lt;&gt;"",INDEX('Aub Demand'!Q:Q,MATCH($O1119,'Aub Demand'!$A:$A,0))-IF(AN1119="",0,AN1119)+AD1119+AL1119,INDEX('Aub Demand'!Q:Q,MATCH($O1119,'Aub Demand'!$A:$A,0))-IF(AN1119="",0,AN1119)+AD1119))),"")</f>
        <v>353</v>
      </c>
      <c r="Y1119" s="53">
        <f t="shared" si="480"/>
        <v>13.5</v>
      </c>
      <c r="Z1119" s="52">
        <f>IF(L1119="","",INDEX('Aub Demand'!H:H,MATCH($O1119,'Aub Demand'!$A:$A,0)))</f>
        <v>112</v>
      </c>
      <c r="AA1119" s="52">
        <f t="shared" si="481"/>
        <v>171</v>
      </c>
      <c r="AB1119" s="52">
        <f>IFERROR(INDEX('Aub Demand'!L:L,MATCH($O1119,'Aub Demand'!$A:$A,0)),"")</f>
        <v>125</v>
      </c>
      <c r="AC1119" s="52">
        <f>IFERROR(IF(O1119="","",SUMIFS('CPL Mats'!F:F,'CPL Mats'!Q:Q,AR1119,'CPL Mats'!S:S,AS1119)),"")</f>
        <v>0</v>
      </c>
      <c r="AF1119" s="25" t="str">
        <f>IF(SUMIFS('Supp Consol'!S:S,'Supp Consol'!Y:Y,"Releasable",'Supp Consol'!A:A,O1119)=0,"",SUMIFS('Supp Consol'!S:S,'Supp Consol'!Y:Y,"Releasable",'Supp Consol'!A:A,O1119))</f>
        <v/>
      </c>
      <c r="AG1119" s="25" t="str">
        <f>IFERROR(INDEX('Hun Demand'!Q:Q,MATCH(O1119,'Hun Demand'!A:A,0)),"")</f>
        <v/>
      </c>
      <c r="AH1119" s="25" t="str">
        <f>IFERROR(INDEX('Hun Demand'!H:H,MATCH($O1119,'Hun Demand'!$A:$A,0)),"")</f>
        <v/>
      </c>
      <c r="AI1119" s="25" t="str">
        <f>IF(SUMIFS('Supp Consol'!AA:AA,'Supp Consol'!Z:Z,"Expires this month",'Supp Consol'!A:A,O1119)=0,"",SUMIFS('Supp Consol'!AA:AA,'Supp Consol'!Z:Z,"Expires this month",'Supp Consol'!A:A,O1119))</f>
        <v/>
      </c>
      <c r="AJ1119" s="25" t="str">
        <f>IF(SUMIFS('Supp Consol'!AA:AA,'Supp Consol'!Z:Z,"Expired Previous Months",'Supp Consol'!A:A,O1119)=0,"",SUMIFS('Supp Consol'!AA:AA,'Supp Consol'!Z:Z,"Expired Previous Months",'Supp Consol'!A:A,O1119))</f>
        <v/>
      </c>
      <c r="AK1119" s="25" t="str">
        <f>IFERROR(INDEX('Hun Release Current'!B:B,MATCH(O1119,'Hun Release Current'!A:A,0)),"")</f>
        <v/>
      </c>
      <c r="AL1119" s="25" t="str">
        <f>IF(SUMIF('Prev Aub'!A:A,O1119,'Prev Aub'!B:B)=0,"",SUMIF('Prev Aub'!A:A,O1119,'Prev Aub'!B:B))</f>
        <v/>
      </c>
      <c r="AN1119" s="25" t="s">
        <v>3790</v>
      </c>
      <c r="AO1119" s="25" t="s">
        <v>3790</v>
      </c>
      <c r="AP1119" s="25">
        <f t="shared" si="482"/>
        <v>0</v>
      </c>
      <c r="AQ1119" s="151" t="str">
        <f>IF(SUMIFS('Supp Consol'!S:S,'Supp Consol'!A:A,O1119,'Supp Consol'!I:I,"PENDING")=0,"",SUMIFS('Supp Consol'!S:S,'Supp Consol'!A:A,O1119,'Supp Consol'!I:I,"PENDING"))</f>
        <v/>
      </c>
      <c r="AR1119" s="27" t="str">
        <f t="shared" si="483"/>
        <v>ST014</v>
      </c>
      <c r="AS1119" s="27" t="str">
        <f t="shared" si="484"/>
        <v>50</v>
      </c>
      <c r="AT1119" s="27" t="str">
        <f t="shared" si="485"/>
        <v/>
      </c>
      <c r="AU1119" s="27" t="str">
        <f t="shared" si="486"/>
        <v/>
      </c>
      <c r="AV1119" s="27" t="str">
        <f t="shared" si="487"/>
        <v/>
      </c>
      <c r="AW1119" s="27" t="str">
        <f t="shared" si="488"/>
        <v/>
      </c>
      <c r="AX1119" s="27" t="str">
        <f t="shared" si="489"/>
        <v/>
      </c>
      <c r="AY1119" s="27" t="str">
        <f t="shared" si="490"/>
        <v/>
      </c>
      <c r="AZ1119" s="27" t="str">
        <f t="shared" si="491"/>
        <v/>
      </c>
      <c r="BA1119" s="27" t="str">
        <f t="shared" si="492"/>
        <v>Hun</v>
      </c>
      <c r="BB1119" s="27" t="str">
        <f t="shared" si="493"/>
        <v/>
      </c>
      <c r="BC1119" s="27" t="str">
        <f t="shared" si="494"/>
        <v/>
      </c>
      <c r="BD1119" s="27" t="str">
        <f t="shared" si="495"/>
        <v/>
      </c>
      <c r="BE1119" s="27" t="str">
        <f t="shared" si="496"/>
        <v/>
      </c>
      <c r="BF1119" s="27" t="str">
        <f t="shared" si="497"/>
        <v/>
      </c>
      <c r="BG1119" s="27" t="str">
        <f t="shared" si="498"/>
        <v/>
      </c>
      <c r="BH1119" s="27" t="str">
        <f t="shared" si="499"/>
        <v/>
      </c>
      <c r="BI1119" s="27" t="str">
        <f t="shared" si="500"/>
        <v/>
      </c>
      <c r="BJ1119" s="27" t="str">
        <f t="shared" si="501"/>
        <v>Supp or Hun</v>
      </c>
      <c r="BK1119" s="27" t="str">
        <f t="shared" si="502"/>
        <v/>
      </c>
      <c r="BL1119" s="27" t="str">
        <f t="shared" si="503"/>
        <v/>
      </c>
      <c r="BM1119" s="21" t="s">
        <v>5581</v>
      </c>
    </row>
    <row r="1120" spans="1:65" ht="15">
      <c r="A1120" s="25">
        <f>IFERROR(INDEX('Hun Demand'!W:W,MATCH(O1120,'Hun Demand'!A:A,0)),"")</f>
        <v>454</v>
      </c>
      <c r="B1120" s="25">
        <f>IFERROR(INDEX('Hun Demand'!V:V,MATCH(O1120,'Hun Demand'!A:A,0)),"")</f>
        <v>0</v>
      </c>
      <c r="C1120" s="25">
        <f>IFERROR(INDEX('Hun Demand'!U:U,MATCH(O1120,'Hun Demand'!A:A,0)),"")</f>
        <v>0</v>
      </c>
      <c r="D1120" s="25">
        <f>IFERROR(INDEX('Hun Demand'!T:T,MATCH(O1120,'Hun Demand'!A:A,0)),"")</f>
        <v>0</v>
      </c>
      <c r="E1120" s="25">
        <f>IFERROR(INDEX('Hun Demand'!S:S,MATCH(O1120,'Hun Demand'!A:A,0)),"")</f>
        <v>360</v>
      </c>
      <c r="F1120" s="25">
        <f>IFERROR(INDEX('Hun Demand'!R:R,MATCH(O1120,'Hun Demand'!A:A,0)),"")</f>
        <v>0</v>
      </c>
      <c r="G1120" s="25">
        <f>IFERROR(INDEX('Aub Demand'!W:W,MATCH(O1120,'Aub Demand'!A:A,0)),"")</f>
        <v>213</v>
      </c>
      <c r="H1120" s="25">
        <f>IFERROR(INDEX('Aub Demand'!V:V,MATCH(O1120,'Aub Demand'!A:A,0)),"")</f>
        <v>60</v>
      </c>
      <c r="I1120" s="25">
        <f>IFERROR(INDEX('Aub Demand'!U:U,MATCH(O1120,'Aub Demand'!A:A,0)),"")</f>
        <v>25</v>
      </c>
      <c r="J1120" s="25">
        <f>IFERROR(INDEX('Aub Demand'!T:T,MATCH(O1120,'Aub Demand'!A:A,0)),"")</f>
        <v>93</v>
      </c>
      <c r="K1120" s="25">
        <f>IFERROR(INDEX('Aub Demand'!S:S,MATCH(O1120,'Aub Demand'!A:A,0)),"")</f>
        <v>0</v>
      </c>
      <c r="L1120" s="25">
        <f>IFERROR(INDEX('Aub Demand'!R:R,MATCH(O1120,'Aub Demand'!A:A,0)),"")</f>
        <v>37</v>
      </c>
      <c r="O1120" s="27" t="s">
        <v>2702</v>
      </c>
      <c r="P1120" s="27" t="str">
        <f>IFERROR(INDEX('Aub Demand'!B:B,MATCH($O1120,'Aub Demand'!$A:$A,0)),"")</f>
        <v>BLACK PEARL 60"</v>
      </c>
      <c r="Q1120" s="27" t="str">
        <f>IFERROR(INDEX('Aub Demand'!C:C,MATCH($O1120,'Aub Demand'!$A:$A,0)),"")</f>
        <v>ONYX</v>
      </c>
      <c r="R1120" s="52">
        <f>IFERROR(IF(AR1121=AR1120,INDEX('Aub Demand'!K:K,MATCH($O1120,'Aub Demand'!$A:$A,0))-IF(AN1120="",0,AN1120)+AP1121,INDEX('Aub Demand'!K:K,MATCH($O1120,'Aub Demand'!$A:$A,0))-IF(AN1120="",0,AN1120)),"")</f>
        <v>1708</v>
      </c>
      <c r="S1120" s="53">
        <f t="shared" si="476"/>
        <v>187.7</v>
      </c>
      <c r="T1120" s="52" t="str">
        <f t="shared" si="477"/>
        <v/>
      </c>
      <c r="U1120" s="52">
        <f>IFERROR(IF(AR1121=AR1120,INDEX('Aub Demand'!Q:Q,MATCH($O1120,'Aub Demand'!$A:$A,0))-IF(AN1120="",0,AN1120)+AP1121,INDEX('Aub Demand'!Q:Q,MATCH($O1120,'Aub Demand'!$A:$A,0))-IF(AN1120="",0,AN1120)),"")</f>
        <v>1621</v>
      </c>
      <c r="V1120" s="53">
        <f t="shared" si="478"/>
        <v>178.1</v>
      </c>
      <c r="W1120" s="52" t="str">
        <f t="shared" si="479"/>
        <v/>
      </c>
      <c r="X1120" s="52">
        <f>IFERROR(IF(AND(AR1121=AR1120,AM1120&lt;&gt;""),INDEX('Aub Demand'!Q:Q,MATCH($O1120,'Aub Demand'!$A:$A,0))-IF(AN1120="",0,AN1120)+AP1121+AD1120+AL1120,IF(AR1121=AR1120,INDEX('Aub Demand'!Q:Q,MATCH($O1120,'Aub Demand'!$A:$A,0))-IF(AN1120="",0,AN1120)+AP1121+AD1120,IF(AM1120&lt;&gt;"",INDEX('Aub Demand'!Q:Q,MATCH($O1120,'Aub Demand'!$A:$A,0))-IF(AN1120="",0,AN1120)+AD1120+AL1120,INDEX('Aub Demand'!Q:Q,MATCH($O1120,'Aub Demand'!$A:$A,0))-IF(AN1120="",0,AN1120)+AD1120))),"")</f>
        <v>1621</v>
      </c>
      <c r="Y1120" s="53">
        <f t="shared" si="480"/>
        <v>178.1</v>
      </c>
      <c r="Z1120" s="52">
        <f>IF(L1120="","",INDEX('Aub Demand'!H:H,MATCH($O1120,'Aub Demand'!$A:$A,0)))</f>
        <v>39</v>
      </c>
      <c r="AA1120" s="52">
        <f t="shared" si="481"/>
        <v>65</v>
      </c>
      <c r="AB1120" s="52">
        <f>IFERROR(INDEX('Aub Demand'!L:L,MATCH($O1120,'Aub Demand'!$A:$A,0)),"")</f>
        <v>52</v>
      </c>
      <c r="AC1120" s="52">
        <f>IFERROR(IF(O1120="","",SUMIFS('CPL Mats'!F:F,'CPL Mats'!Q:Q,AR1120,'CPL Mats'!S:S,AS1120)),"")</f>
        <v>0</v>
      </c>
      <c r="AF1120" s="25" t="str">
        <f>IF(SUMIFS('Supp Consol'!S:S,'Supp Consol'!Y:Y,"Releasable",'Supp Consol'!A:A,O1120)=0,"",SUMIFS('Supp Consol'!S:S,'Supp Consol'!Y:Y,"Releasable",'Supp Consol'!A:A,O1120))</f>
        <v/>
      </c>
      <c r="AG1120" s="25">
        <f>IFERROR(INDEX('Hun Demand'!Q:Q,MATCH(O1120,'Hun Demand'!A:A,0)),"")</f>
        <v>248</v>
      </c>
      <c r="AH1120" s="25">
        <f>IFERROR(INDEX('Hun Demand'!H:H,MATCH($O1120,'Hun Demand'!$A:$A,0)),"")</f>
        <v>120</v>
      </c>
      <c r="AI1120" s="25" t="str">
        <f>IF(SUMIFS('Supp Consol'!AA:AA,'Supp Consol'!Z:Z,"Expires this month",'Supp Consol'!A:A,O1120)=0,"",SUMIFS('Supp Consol'!AA:AA,'Supp Consol'!Z:Z,"Expires this month",'Supp Consol'!A:A,O1120))</f>
        <v/>
      </c>
      <c r="AJ1120" s="25" t="str">
        <f>IF(SUMIFS('Supp Consol'!AA:AA,'Supp Consol'!Z:Z,"Expired Previous Months",'Supp Consol'!A:A,O1120)=0,"",SUMIFS('Supp Consol'!AA:AA,'Supp Consol'!Z:Z,"Expired Previous Months",'Supp Consol'!A:A,O1120))</f>
        <v/>
      </c>
      <c r="AK1120" s="25" t="str">
        <f>IFERROR(INDEX('Hun Release Current'!B:B,MATCH(O1120,'Hun Release Current'!A:A,0)),"")</f>
        <v/>
      </c>
      <c r="AL1120" s="25" t="str">
        <f>IF(SUMIF('Prev Aub'!A:A,O1120,'Prev Aub'!B:B)=0,"",SUMIF('Prev Aub'!A:A,O1120,'Prev Aub'!B:B))</f>
        <v/>
      </c>
      <c r="AN1120" s="25" t="s">
        <v>3790</v>
      </c>
      <c r="AO1120" s="25" t="s">
        <v>3790</v>
      </c>
      <c r="AP1120" s="25">
        <f t="shared" si="482"/>
        <v>0</v>
      </c>
      <c r="AQ1120" s="151" t="str">
        <f>IF(SUMIFS('Supp Consol'!S:S,'Supp Consol'!A:A,O1120,'Supp Consol'!I:I,"PENDING")=0,"",SUMIFS('Supp Consol'!S:S,'Supp Consol'!A:A,O1120,'Supp Consol'!I:I,"PENDING"))</f>
        <v/>
      </c>
      <c r="AR1120" s="27" t="str">
        <f t="shared" si="483"/>
        <v>ST014</v>
      </c>
      <c r="AS1120" s="27" t="str">
        <f t="shared" si="484"/>
        <v>62</v>
      </c>
      <c r="AT1120" s="27" t="str">
        <f t="shared" si="485"/>
        <v/>
      </c>
      <c r="AU1120" s="27" t="str">
        <f t="shared" si="486"/>
        <v/>
      </c>
      <c r="AV1120" s="27" t="str">
        <f t="shared" si="487"/>
        <v/>
      </c>
      <c r="AW1120" s="27" t="str">
        <f t="shared" si="488"/>
        <v/>
      </c>
      <c r="AX1120" s="27" t="str">
        <f t="shared" si="489"/>
        <v/>
      </c>
      <c r="AY1120" s="27" t="str">
        <f t="shared" si="490"/>
        <v>ST014</v>
      </c>
      <c r="AZ1120" s="27" t="str">
        <f t="shared" si="491"/>
        <v/>
      </c>
      <c r="BA1120" s="27" t="str">
        <f t="shared" si="492"/>
        <v>Hun</v>
      </c>
      <c r="BB1120" s="27" t="str">
        <f t="shared" si="493"/>
        <v/>
      </c>
      <c r="BC1120" s="27" t="str">
        <f t="shared" si="494"/>
        <v/>
      </c>
      <c r="BD1120" s="27" t="str">
        <f t="shared" si="495"/>
        <v/>
      </c>
      <c r="BE1120" s="27" t="str">
        <f t="shared" si="496"/>
        <v/>
      </c>
      <c r="BF1120" s="27" t="str">
        <f t="shared" si="497"/>
        <v/>
      </c>
      <c r="BG1120" s="27" t="str">
        <f t="shared" si="498"/>
        <v/>
      </c>
      <c r="BH1120" s="27" t="str">
        <f t="shared" si="499"/>
        <v/>
      </c>
      <c r="BI1120" s="27" t="str">
        <f t="shared" si="500"/>
        <v/>
      </c>
      <c r="BJ1120" s="27" t="str">
        <f t="shared" si="501"/>
        <v>Supp or Hun</v>
      </c>
      <c r="BK1120" s="27" t="str">
        <f t="shared" si="502"/>
        <v/>
      </c>
      <c r="BL1120" s="27" t="str">
        <f t="shared" si="503"/>
        <v/>
      </c>
      <c r="BM1120" s="21" t="s">
        <v>5581</v>
      </c>
    </row>
    <row r="1121" spans="1:65" ht="15">
      <c r="A1121" s="25" t="str">
        <f>IFERROR(INDEX('Hun Demand'!W:W,MATCH(O1121,'Hun Demand'!A:A,0)),"")</f>
        <v/>
      </c>
      <c r="B1121" s="25" t="str">
        <f>IFERROR(INDEX('Hun Demand'!V:V,MATCH(O1121,'Hun Demand'!A:A,0)),"")</f>
        <v/>
      </c>
      <c r="C1121" s="25" t="str">
        <f>IFERROR(INDEX('Hun Demand'!U:U,MATCH(O1121,'Hun Demand'!A:A,0)),"")</f>
        <v/>
      </c>
      <c r="D1121" s="25" t="str">
        <f>IFERROR(INDEX('Hun Demand'!T:T,MATCH(O1121,'Hun Demand'!A:A,0)),"")</f>
        <v/>
      </c>
      <c r="E1121" s="25" t="str">
        <f>IFERROR(INDEX('Hun Demand'!S:S,MATCH(O1121,'Hun Demand'!A:A,0)),"")</f>
        <v/>
      </c>
      <c r="F1121" s="25" t="str">
        <f>IFERROR(INDEX('Hun Demand'!R:R,MATCH(O1121,'Hun Demand'!A:A,0)),"")</f>
        <v/>
      </c>
      <c r="G1121" s="25">
        <f>IFERROR(INDEX('Aub Demand'!W:W,MATCH(O1121,'Aub Demand'!A:A,0)),"")</f>
        <v>0</v>
      </c>
      <c r="H1121" s="25">
        <f>IFERROR(INDEX('Aub Demand'!V:V,MATCH(O1121,'Aub Demand'!A:A,0)),"")</f>
        <v>0</v>
      </c>
      <c r="I1121" s="25">
        <f>IFERROR(INDEX('Aub Demand'!U:U,MATCH(O1121,'Aub Demand'!A:A,0)),"")</f>
        <v>0</v>
      </c>
      <c r="J1121" s="25">
        <f>IFERROR(INDEX('Aub Demand'!T:T,MATCH(O1121,'Aub Demand'!A:A,0)),"")</f>
        <v>0</v>
      </c>
      <c r="K1121" s="25">
        <f>IFERROR(INDEX('Aub Demand'!S:S,MATCH(O1121,'Aub Demand'!A:A,0)),"")</f>
        <v>0</v>
      </c>
      <c r="L1121" s="25">
        <f>IFERROR(INDEX('Aub Demand'!R:R,MATCH(O1121,'Aub Demand'!A:A,0)),"")</f>
        <v>0</v>
      </c>
      <c r="O1121" s="27" t="s">
        <v>2704</v>
      </c>
      <c r="P1121" s="27" t="str">
        <f>IFERROR(INDEX('Aub Demand'!B:B,MATCH($O1121,'Aub Demand'!$A:$A,0)),"")</f>
        <v>CHINCHILLA</v>
      </c>
      <c r="Q1121" s="27" t="str">
        <f>IFERROR(INDEX('Aub Demand'!C:C,MATCH($O1121,'Aub Demand'!$A:$A,0)),"")</f>
        <v>TECHN</v>
      </c>
      <c r="R1121" s="52">
        <f>IFERROR(IF(AR1122=AR1121,INDEX('Aub Demand'!K:K,MATCH($O1121,'Aub Demand'!$A:$A,0))-IF(AN1121="",0,AN1121)+AP1122,INDEX('Aub Demand'!K:K,MATCH($O1121,'Aub Demand'!$A:$A,0))-IF(AN1121="",0,AN1121)),"")</f>
        <v>260</v>
      </c>
      <c r="S1121" s="53" t="str">
        <f t="shared" si="476"/>
        <v>n/a</v>
      </c>
      <c r="T1121" s="52" t="str">
        <f t="shared" si="477"/>
        <v/>
      </c>
      <c r="U1121" s="52">
        <f>IFERROR(IF(AR1122=AR1121,INDEX('Aub Demand'!Q:Q,MATCH($O1121,'Aub Demand'!$A:$A,0))-IF(AN1121="",0,AN1121)+AP1122,INDEX('Aub Demand'!Q:Q,MATCH($O1121,'Aub Demand'!$A:$A,0))-IF(AN1121="",0,AN1121)),"")</f>
        <v>260</v>
      </c>
      <c r="V1121" s="53" t="str">
        <f t="shared" si="478"/>
        <v>n/a</v>
      </c>
      <c r="W1121" s="52" t="str">
        <f t="shared" si="479"/>
        <v/>
      </c>
      <c r="X1121" s="52">
        <f>IFERROR(IF(AND(AR1122=AR1121,AM1121&lt;&gt;""),INDEX('Aub Demand'!Q:Q,MATCH($O1121,'Aub Demand'!$A:$A,0))-IF(AN1121="",0,AN1121)+AP1122+AD1121+AL1121,IF(AR1122=AR1121,INDEX('Aub Demand'!Q:Q,MATCH($O1121,'Aub Demand'!$A:$A,0))-IF(AN1121="",0,AN1121)+AP1122+AD1121,IF(AM1121&lt;&gt;"",INDEX('Aub Demand'!Q:Q,MATCH($O1121,'Aub Demand'!$A:$A,0))-IF(AN1121="",0,AN1121)+AD1121+AL1121,INDEX('Aub Demand'!Q:Q,MATCH($O1121,'Aub Demand'!$A:$A,0))-IF(AN1121="",0,AN1121)+AD1121))),"")</f>
        <v>260</v>
      </c>
      <c r="Y1121" s="53" t="str">
        <f t="shared" si="480"/>
        <v>n/a</v>
      </c>
      <c r="Z1121" s="52">
        <f>IF(L1121="","",INDEX('Aub Demand'!H:H,MATCH($O1121,'Aub Demand'!$A:$A,0)))</f>
        <v>0</v>
      </c>
      <c r="AA1121" s="52" t="str">
        <f t="shared" si="481"/>
        <v>-spike-</v>
      </c>
      <c r="AB1121" s="52">
        <f>IFERROR(INDEX('Aub Demand'!L:L,MATCH($O1121,'Aub Demand'!$A:$A,0)),"")</f>
        <v>19</v>
      </c>
      <c r="AC1121" s="52">
        <f>IFERROR(IF(O1121="","",SUMIFS('CPL Mats'!F:F,'CPL Mats'!Q:Q,AR1121,'CPL Mats'!S:S,AS1121)),"")</f>
        <v>0</v>
      </c>
      <c r="AF1121" s="25" t="str">
        <f>IF(SUMIFS('Supp Consol'!S:S,'Supp Consol'!Y:Y,"Releasable",'Supp Consol'!A:A,O1121)=0,"",SUMIFS('Supp Consol'!S:S,'Supp Consol'!Y:Y,"Releasable",'Supp Consol'!A:A,O1121))</f>
        <v/>
      </c>
      <c r="AG1121" s="25" t="str">
        <f>IFERROR(INDEX('Hun Demand'!Q:Q,MATCH(O1121,'Hun Demand'!A:A,0)),"")</f>
        <v/>
      </c>
      <c r="AH1121" s="25" t="str">
        <f>IFERROR(INDEX('Hun Demand'!H:H,MATCH($O1121,'Hun Demand'!$A:$A,0)),"")</f>
        <v/>
      </c>
      <c r="AI1121" s="25" t="str">
        <f>IF(SUMIFS('Supp Consol'!AA:AA,'Supp Consol'!Z:Z,"Expires this month",'Supp Consol'!A:A,O1121)=0,"",SUMIFS('Supp Consol'!AA:AA,'Supp Consol'!Z:Z,"Expires this month",'Supp Consol'!A:A,O1121))</f>
        <v/>
      </c>
      <c r="AJ1121" s="25" t="str">
        <f>IF(SUMIFS('Supp Consol'!AA:AA,'Supp Consol'!Z:Z,"Expired Previous Months",'Supp Consol'!A:A,O1121)=0,"",SUMIFS('Supp Consol'!AA:AA,'Supp Consol'!Z:Z,"Expired Previous Months",'Supp Consol'!A:A,O1121))</f>
        <v/>
      </c>
      <c r="AK1121" s="25" t="str">
        <f>IFERROR(INDEX('Hun Release Current'!B:B,MATCH(O1121,'Hun Release Current'!A:A,0)),"")</f>
        <v/>
      </c>
      <c r="AL1121" s="25" t="str">
        <f>IF(SUMIF('Prev Aub'!A:A,O1121,'Prev Aub'!B:B)=0,"",SUMIF('Prev Aub'!A:A,O1121,'Prev Aub'!B:B))</f>
        <v/>
      </c>
      <c r="AN1121" s="25" t="s">
        <v>3790</v>
      </c>
      <c r="AO1121" s="25" t="s">
        <v>3790</v>
      </c>
      <c r="AP1121" s="25">
        <f t="shared" si="482"/>
        <v>0</v>
      </c>
      <c r="AQ1121" s="151" t="str">
        <f>IF(SUMIFS('Supp Consol'!S:S,'Supp Consol'!A:A,O1121,'Supp Consol'!I:I,"PENDING")=0,"",SUMIFS('Supp Consol'!S:S,'Supp Consol'!A:A,O1121,'Supp Consol'!I:I,"PENDING"))</f>
        <v/>
      </c>
      <c r="AR1121" s="27" t="str">
        <f t="shared" si="483"/>
        <v>ST018</v>
      </c>
      <c r="AS1121" s="27" t="str">
        <f t="shared" si="484"/>
        <v>62</v>
      </c>
      <c r="AT1121" s="27" t="str">
        <f t="shared" si="485"/>
        <v/>
      </c>
      <c r="AU1121" s="27" t="str">
        <f t="shared" si="486"/>
        <v/>
      </c>
      <c r="AV1121" s="27" t="str">
        <f t="shared" si="487"/>
        <v/>
      </c>
      <c r="AW1121" s="27" t="str">
        <f t="shared" si="488"/>
        <v/>
      </c>
      <c r="AX1121" s="27" t="str">
        <f t="shared" si="489"/>
        <v/>
      </c>
      <c r="AY1121" s="27" t="str">
        <f t="shared" si="490"/>
        <v/>
      </c>
      <c r="AZ1121" s="27" t="str">
        <f t="shared" si="491"/>
        <v/>
      </c>
      <c r="BA1121" s="27" t="str">
        <f t="shared" si="492"/>
        <v/>
      </c>
      <c r="BB1121" s="27" t="str">
        <f t="shared" si="493"/>
        <v/>
      </c>
      <c r="BC1121" s="27" t="str">
        <f t="shared" si="494"/>
        <v/>
      </c>
      <c r="BD1121" s="27" t="str">
        <f t="shared" si="495"/>
        <v/>
      </c>
      <c r="BE1121" s="27" t="str">
        <f t="shared" si="496"/>
        <v/>
      </c>
      <c r="BF1121" s="27" t="str">
        <f t="shared" si="497"/>
        <v/>
      </c>
      <c r="BG1121" s="27" t="str">
        <f t="shared" si="498"/>
        <v/>
      </c>
      <c r="BH1121" s="27" t="str">
        <f t="shared" si="499"/>
        <v/>
      </c>
      <c r="BI1121" s="27" t="str">
        <f t="shared" si="500"/>
        <v/>
      </c>
      <c r="BJ1121" s="27" t="str">
        <f t="shared" si="501"/>
        <v/>
      </c>
      <c r="BK1121" s="27" t="str">
        <f t="shared" si="502"/>
        <v/>
      </c>
      <c r="BL1121" s="27" t="str">
        <f t="shared" si="503"/>
        <v/>
      </c>
      <c r="BM1121" s="21" t="s">
        <v>3790</v>
      </c>
    </row>
    <row r="1122" spans="1:65" ht="15">
      <c r="A1122" s="25" t="str">
        <f>IFERROR(INDEX('Hun Demand'!W:W,MATCH(O1122,'Hun Demand'!A:A,0)),"")</f>
        <v/>
      </c>
      <c r="B1122" s="25" t="str">
        <f>IFERROR(INDEX('Hun Demand'!V:V,MATCH(O1122,'Hun Demand'!A:A,0)),"")</f>
        <v/>
      </c>
      <c r="C1122" s="25" t="str">
        <f>IFERROR(INDEX('Hun Demand'!U:U,MATCH(O1122,'Hun Demand'!A:A,0)),"")</f>
        <v/>
      </c>
      <c r="D1122" s="25" t="str">
        <f>IFERROR(INDEX('Hun Demand'!T:T,MATCH(O1122,'Hun Demand'!A:A,0)),"")</f>
        <v/>
      </c>
      <c r="E1122" s="25" t="str">
        <f>IFERROR(INDEX('Hun Demand'!S:S,MATCH(O1122,'Hun Demand'!A:A,0)),"")</f>
        <v/>
      </c>
      <c r="F1122" s="25" t="str">
        <f>IFERROR(INDEX('Hun Demand'!R:R,MATCH(O1122,'Hun Demand'!A:A,0)),"")</f>
        <v/>
      </c>
      <c r="G1122" s="25">
        <f>IFERROR(INDEX('Aub Demand'!W:W,MATCH(O1122,'Aub Demand'!A:A,0)),"")</f>
        <v>77</v>
      </c>
      <c r="H1122" s="25">
        <f>IFERROR(INDEX('Aub Demand'!V:V,MATCH(O1122,'Aub Demand'!A:A,0)),"")</f>
        <v>0</v>
      </c>
      <c r="I1122" s="25">
        <f>IFERROR(INDEX('Aub Demand'!U:U,MATCH(O1122,'Aub Demand'!A:A,0)),"")</f>
        <v>571</v>
      </c>
      <c r="J1122" s="25">
        <f>IFERROR(INDEX('Aub Demand'!T:T,MATCH(O1122,'Aub Demand'!A:A,0)),"")</f>
        <v>360</v>
      </c>
      <c r="K1122" s="25">
        <f>IFERROR(INDEX('Aub Demand'!S:S,MATCH(O1122,'Aub Demand'!A:A,0)),"")</f>
        <v>480</v>
      </c>
      <c r="L1122" s="25">
        <f>IFERROR(INDEX('Aub Demand'!R:R,MATCH(O1122,'Aub Demand'!A:A,0)),"")</f>
        <v>86</v>
      </c>
      <c r="O1122" s="27" t="s">
        <v>2707</v>
      </c>
      <c r="P1122" s="27" t="str">
        <f>IFERROR(INDEX('Aub Demand'!B:B,MATCH($O1122,'Aub Demand'!$A:$A,0)),"")</f>
        <v>FOSSIL GRAY</v>
      </c>
      <c r="Q1122" s="27" t="str">
        <f>IFERROR(INDEX('Aub Demand'!C:C,MATCH($O1122,'Aub Demand'!$A:$A,0)),"")</f>
        <v>TECHN</v>
      </c>
      <c r="R1122" s="52">
        <f>IFERROR(IF(AR1123=AR1122,INDEX('Aub Demand'!K:K,MATCH($O1122,'Aub Demand'!$A:$A,0))-IF(AN1122="",0,AN1122)+AP1123,INDEX('Aub Demand'!K:K,MATCH($O1122,'Aub Demand'!$A:$A,0))-IF(AN1122="",0,AN1122)),"")</f>
        <v>1859</v>
      </c>
      <c r="S1122" s="53">
        <f t="shared" si="476"/>
        <v>17</v>
      </c>
      <c r="T1122" s="52" t="str">
        <f t="shared" si="477"/>
        <v/>
      </c>
      <c r="U1122" s="52">
        <f>IFERROR(IF(AR1123=AR1122,INDEX('Aub Demand'!Q:Q,MATCH($O1122,'Aub Demand'!$A:$A,0))-IF(AN1122="",0,AN1122)+AP1123,INDEX('Aub Demand'!Q:Q,MATCH($O1122,'Aub Demand'!$A:$A,0))-IF(AN1122="",0,AN1122)),"")</f>
        <v>1471</v>
      </c>
      <c r="V1122" s="53">
        <f t="shared" si="478"/>
        <v>13.4</v>
      </c>
      <c r="W1122" s="52" t="str">
        <f t="shared" si="479"/>
        <v/>
      </c>
      <c r="X1122" s="52">
        <f>IFERROR(IF(AND(AR1123=AR1122,AM1122&lt;&gt;""),INDEX('Aub Demand'!Q:Q,MATCH($O1122,'Aub Demand'!$A:$A,0))-IF(AN1122="",0,AN1122)+AP1123+AD1122+AL1122,IF(AR1123=AR1122,INDEX('Aub Demand'!Q:Q,MATCH($O1122,'Aub Demand'!$A:$A,0))-IF(AN1122="",0,AN1122)+AP1123+AD1122,IF(AM1122&lt;&gt;"",INDEX('Aub Demand'!Q:Q,MATCH($O1122,'Aub Demand'!$A:$A,0))-IF(AN1122="",0,AN1122)+AD1122+AL1122,INDEX('Aub Demand'!Q:Q,MATCH($O1122,'Aub Demand'!$A:$A,0))-IF(AN1122="",0,AN1122)+AD1122))),"")</f>
        <v>1471</v>
      </c>
      <c r="Y1122" s="53">
        <f t="shared" si="480"/>
        <v>13.4</v>
      </c>
      <c r="Z1122" s="52">
        <f>IF(L1122="","",INDEX('Aub Demand'!H:H,MATCH($O1122,'Aub Demand'!$A:$A,0)))</f>
        <v>470</v>
      </c>
      <c r="AA1122" s="52">
        <f t="shared" si="481"/>
        <v>525.5</v>
      </c>
      <c r="AB1122" s="52">
        <f>IFERROR(INDEX('Aub Demand'!L:L,MATCH($O1122,'Aub Demand'!$A:$A,0)),"")</f>
        <v>405</v>
      </c>
      <c r="AC1122" s="52">
        <f>IFERROR(IF(O1122="","",SUMIFS('CPL Mats'!F:F,'CPL Mats'!Q:Q,AR1122,'CPL Mats'!S:S,AS1122)),"")</f>
        <v>0</v>
      </c>
      <c r="AF1122" s="25" t="str">
        <f>IF(SUMIFS('Supp Consol'!S:S,'Supp Consol'!Y:Y,"Releasable",'Supp Consol'!A:A,O1122)=0,"",SUMIFS('Supp Consol'!S:S,'Supp Consol'!Y:Y,"Releasable",'Supp Consol'!A:A,O1122))</f>
        <v/>
      </c>
      <c r="AG1122" s="25" t="str">
        <f>IFERROR(INDEX('Hun Demand'!Q:Q,MATCH(O1122,'Hun Demand'!A:A,0)),"")</f>
        <v/>
      </c>
      <c r="AH1122" s="25" t="str">
        <f>IFERROR(INDEX('Hun Demand'!H:H,MATCH($O1122,'Hun Demand'!$A:$A,0)),"")</f>
        <v/>
      </c>
      <c r="AI1122" s="25" t="str">
        <f>IF(SUMIFS('Supp Consol'!AA:AA,'Supp Consol'!Z:Z,"Expires this month",'Supp Consol'!A:A,O1122)=0,"",SUMIFS('Supp Consol'!AA:AA,'Supp Consol'!Z:Z,"Expires this month",'Supp Consol'!A:A,O1122))</f>
        <v/>
      </c>
      <c r="AJ1122" s="25" t="str">
        <f>IF(SUMIFS('Supp Consol'!AA:AA,'Supp Consol'!Z:Z,"Expired Previous Months",'Supp Consol'!A:A,O1122)=0,"",SUMIFS('Supp Consol'!AA:AA,'Supp Consol'!Z:Z,"Expired Previous Months",'Supp Consol'!A:A,O1122))</f>
        <v/>
      </c>
      <c r="AK1122" s="25" t="str">
        <f>IFERROR(INDEX('Hun Release Current'!B:B,MATCH(O1122,'Hun Release Current'!A:A,0)),"")</f>
        <v/>
      </c>
      <c r="AL1122" s="25" t="str">
        <f>IF(SUMIF('Prev Aub'!A:A,O1122,'Prev Aub'!B:B)=0,"",SUMIF('Prev Aub'!A:A,O1122,'Prev Aub'!B:B))</f>
        <v/>
      </c>
      <c r="AN1122" s="25" t="s">
        <v>3790</v>
      </c>
      <c r="AO1122" s="25" t="s">
        <v>3790</v>
      </c>
      <c r="AP1122" s="25">
        <f t="shared" si="482"/>
        <v>0</v>
      </c>
      <c r="AQ1122" s="151" t="str">
        <f>IF(SUMIFS('Supp Consol'!S:S,'Supp Consol'!A:A,O1122,'Supp Consol'!I:I,"PENDING")=0,"",SUMIFS('Supp Consol'!S:S,'Supp Consol'!A:A,O1122,'Supp Consol'!I:I,"PENDING"))</f>
        <v/>
      </c>
      <c r="AR1122" s="27" t="str">
        <f t="shared" si="483"/>
        <v>ST031</v>
      </c>
      <c r="AS1122" s="27" t="str">
        <f t="shared" si="484"/>
        <v>50</v>
      </c>
      <c r="AT1122" s="27" t="str">
        <f t="shared" si="485"/>
        <v/>
      </c>
      <c r="AU1122" s="27" t="str">
        <f t="shared" si="486"/>
        <v/>
      </c>
      <c r="AV1122" s="27" t="str">
        <f t="shared" si="487"/>
        <v/>
      </c>
      <c r="AW1122" s="27" t="str">
        <f t="shared" si="488"/>
        <v/>
      </c>
      <c r="AX1122" s="27" t="str">
        <f t="shared" si="489"/>
        <v/>
      </c>
      <c r="AY1122" s="27" t="str">
        <f t="shared" si="490"/>
        <v/>
      </c>
      <c r="AZ1122" s="27" t="str">
        <f t="shared" si="491"/>
        <v/>
      </c>
      <c r="BA1122" s="27" t="str">
        <f t="shared" si="492"/>
        <v/>
      </c>
      <c r="BB1122" s="27" t="str">
        <f t="shared" si="493"/>
        <v/>
      </c>
      <c r="BC1122" s="27" t="str">
        <f t="shared" si="494"/>
        <v/>
      </c>
      <c r="BD1122" s="27" t="str">
        <f t="shared" si="495"/>
        <v/>
      </c>
      <c r="BE1122" s="27" t="str">
        <f t="shared" si="496"/>
        <v/>
      </c>
      <c r="BF1122" s="27" t="str">
        <f t="shared" si="497"/>
        <v/>
      </c>
      <c r="BG1122" s="27" t="str">
        <f t="shared" si="498"/>
        <v/>
      </c>
      <c r="BH1122" s="27" t="str">
        <f t="shared" si="499"/>
        <v/>
      </c>
      <c r="BI1122" s="27" t="str">
        <f t="shared" si="500"/>
        <v/>
      </c>
      <c r="BJ1122" s="27" t="str">
        <f t="shared" si="501"/>
        <v/>
      </c>
      <c r="BK1122" s="27" t="str">
        <f t="shared" si="502"/>
        <v/>
      </c>
      <c r="BL1122" s="27" t="str">
        <f t="shared" si="503"/>
        <v/>
      </c>
      <c r="BM1122" s="21" t="s">
        <v>5581</v>
      </c>
    </row>
    <row r="1123" spans="1:65" ht="15">
      <c r="A1123" s="25" t="str">
        <f>IFERROR(INDEX('Hun Demand'!W:W,MATCH(O1123,'Hun Demand'!A:A,0)),"")</f>
        <v/>
      </c>
      <c r="B1123" s="25" t="str">
        <f>IFERROR(INDEX('Hun Demand'!V:V,MATCH(O1123,'Hun Demand'!A:A,0)),"")</f>
        <v/>
      </c>
      <c r="C1123" s="25" t="str">
        <f>IFERROR(INDEX('Hun Demand'!U:U,MATCH(O1123,'Hun Demand'!A:A,0)),"")</f>
        <v/>
      </c>
      <c r="D1123" s="25" t="str">
        <f>IFERROR(INDEX('Hun Demand'!T:T,MATCH(O1123,'Hun Demand'!A:A,0)),"")</f>
        <v/>
      </c>
      <c r="E1123" s="25" t="str">
        <f>IFERROR(INDEX('Hun Demand'!S:S,MATCH(O1123,'Hun Demand'!A:A,0)),"")</f>
        <v/>
      </c>
      <c r="F1123" s="25" t="str">
        <f>IFERROR(INDEX('Hun Demand'!R:R,MATCH(O1123,'Hun Demand'!A:A,0)),"")</f>
        <v/>
      </c>
      <c r="G1123" s="25">
        <f>IFERROR(INDEX('Aub Demand'!W:W,MATCH(O1123,'Aub Demand'!A:A,0)),"")</f>
        <v>0</v>
      </c>
      <c r="H1123" s="25">
        <f>IFERROR(INDEX('Aub Demand'!V:V,MATCH(O1123,'Aub Demand'!A:A,0)),"")</f>
        <v>57</v>
      </c>
      <c r="I1123" s="25">
        <f>IFERROR(INDEX('Aub Demand'!U:U,MATCH(O1123,'Aub Demand'!A:A,0)),"")</f>
        <v>82</v>
      </c>
      <c r="J1123" s="25">
        <f>IFERROR(INDEX('Aub Demand'!T:T,MATCH(O1123,'Aub Demand'!A:A,0)),"")</f>
        <v>45</v>
      </c>
      <c r="K1123" s="25">
        <f>IFERROR(INDEX('Aub Demand'!S:S,MATCH(O1123,'Aub Demand'!A:A,0)),"")</f>
        <v>96</v>
      </c>
      <c r="L1123" s="25">
        <f>IFERROR(INDEX('Aub Demand'!R:R,MATCH(O1123,'Aub Demand'!A:A,0)),"")</f>
        <v>59</v>
      </c>
      <c r="O1123" s="27" t="s">
        <v>2710</v>
      </c>
      <c r="P1123" s="27" t="str">
        <f>IFERROR(INDEX('Aub Demand'!B:B,MATCH($O1123,'Aub Demand'!$A:$A,0)),"")</f>
        <v>FOSSIL GRAY</v>
      </c>
      <c r="Q1123" s="27" t="str">
        <f>IFERROR(INDEX('Aub Demand'!C:C,MATCH($O1123,'Aub Demand'!$A:$A,0)),"")</f>
        <v>TECHN</v>
      </c>
      <c r="R1123" s="52">
        <f>IFERROR(IF(AR1124=AR1123,INDEX('Aub Demand'!K:K,MATCH($O1123,'Aub Demand'!$A:$A,0))-IF(AN1123="",0,AN1123)+AP1124,INDEX('Aub Demand'!K:K,MATCH($O1123,'Aub Demand'!$A:$A,0))-IF(AN1123="",0,AN1123)),"")</f>
        <v>1090</v>
      </c>
      <c r="S1123" s="53">
        <f t="shared" si="476"/>
        <v>63.1</v>
      </c>
      <c r="T1123" s="52" t="str">
        <f t="shared" si="477"/>
        <v/>
      </c>
      <c r="U1123" s="52">
        <f>IFERROR(IF(AR1124=AR1123,INDEX('Aub Demand'!Q:Q,MATCH($O1123,'Aub Demand'!$A:$A,0))-IF(AN1123="",0,AN1123)+AP1124,INDEX('Aub Demand'!Q:Q,MATCH($O1123,'Aub Demand'!$A:$A,0))-IF(AN1123="",0,AN1123)),"")</f>
        <v>1048</v>
      </c>
      <c r="V1123" s="53">
        <f t="shared" si="478"/>
        <v>60.7</v>
      </c>
      <c r="W1123" s="52" t="str">
        <f t="shared" si="479"/>
        <v/>
      </c>
      <c r="X1123" s="52">
        <f>IFERROR(IF(AND(AR1124=AR1123,AM1123&lt;&gt;""),INDEX('Aub Demand'!Q:Q,MATCH($O1123,'Aub Demand'!$A:$A,0))-IF(AN1123="",0,AN1123)+AP1124+AD1123+AL1123,IF(AR1124=AR1123,INDEX('Aub Demand'!Q:Q,MATCH($O1123,'Aub Demand'!$A:$A,0))-IF(AN1123="",0,AN1123)+AP1124+AD1123,IF(AM1123&lt;&gt;"",INDEX('Aub Demand'!Q:Q,MATCH($O1123,'Aub Demand'!$A:$A,0))-IF(AN1123="",0,AN1123)+AD1123+AL1123,INDEX('Aub Demand'!Q:Q,MATCH($O1123,'Aub Demand'!$A:$A,0))-IF(AN1123="",0,AN1123)+AD1123))),"")</f>
        <v>1048</v>
      </c>
      <c r="Y1123" s="53">
        <f t="shared" si="480"/>
        <v>60.7</v>
      </c>
      <c r="Z1123" s="52">
        <f>IF(L1123="","",INDEX('Aub Demand'!H:H,MATCH($O1123,'Aub Demand'!$A:$A,0)))</f>
        <v>74</v>
      </c>
      <c r="AA1123" s="52">
        <f t="shared" si="481"/>
        <v>89</v>
      </c>
      <c r="AB1123" s="52">
        <f>IFERROR(INDEX('Aub Demand'!L:L,MATCH($O1123,'Aub Demand'!$A:$A,0)),"")</f>
        <v>97</v>
      </c>
      <c r="AC1123" s="52">
        <f>IFERROR(IF(O1123="","",SUMIFS('CPL Mats'!F:F,'CPL Mats'!Q:Q,AR1123,'CPL Mats'!S:S,AS1123)),"")</f>
        <v>0</v>
      </c>
      <c r="AF1123" s="25" t="str">
        <f>IF(SUMIFS('Supp Consol'!S:S,'Supp Consol'!Y:Y,"Releasable",'Supp Consol'!A:A,O1123)=0,"",SUMIFS('Supp Consol'!S:S,'Supp Consol'!Y:Y,"Releasable",'Supp Consol'!A:A,O1123))</f>
        <v/>
      </c>
      <c r="AG1123" s="25" t="str">
        <f>IFERROR(INDEX('Hun Demand'!Q:Q,MATCH(O1123,'Hun Demand'!A:A,0)),"")</f>
        <v/>
      </c>
      <c r="AH1123" s="25" t="str">
        <f>IFERROR(INDEX('Hun Demand'!H:H,MATCH($O1123,'Hun Demand'!$A:$A,0)),"")</f>
        <v/>
      </c>
      <c r="AI1123" s="25" t="str">
        <f>IF(SUMIFS('Supp Consol'!AA:AA,'Supp Consol'!Z:Z,"Expires this month",'Supp Consol'!A:A,O1123)=0,"",SUMIFS('Supp Consol'!AA:AA,'Supp Consol'!Z:Z,"Expires this month",'Supp Consol'!A:A,O1123))</f>
        <v/>
      </c>
      <c r="AJ1123" s="25" t="str">
        <f>IF(SUMIFS('Supp Consol'!AA:AA,'Supp Consol'!Z:Z,"Expired Previous Months",'Supp Consol'!A:A,O1123)=0,"",SUMIFS('Supp Consol'!AA:AA,'Supp Consol'!Z:Z,"Expired Previous Months",'Supp Consol'!A:A,O1123))</f>
        <v/>
      </c>
      <c r="AK1123" s="25" t="str">
        <f>IFERROR(INDEX('Hun Release Current'!B:B,MATCH(O1123,'Hun Release Current'!A:A,0)),"")</f>
        <v/>
      </c>
      <c r="AL1123" s="25" t="str">
        <f>IF(SUMIF('Prev Aub'!A:A,O1123,'Prev Aub'!B:B)=0,"",SUMIF('Prev Aub'!A:A,O1123,'Prev Aub'!B:B))</f>
        <v/>
      </c>
      <c r="AN1123" s="25" t="s">
        <v>3790</v>
      </c>
      <c r="AO1123" s="25" t="s">
        <v>3790</v>
      </c>
      <c r="AP1123" s="25">
        <f t="shared" si="482"/>
        <v>0</v>
      </c>
      <c r="AQ1123" s="151" t="str">
        <f>IF(SUMIFS('Supp Consol'!S:S,'Supp Consol'!A:A,O1123,'Supp Consol'!I:I,"PENDING")=0,"",SUMIFS('Supp Consol'!S:S,'Supp Consol'!A:A,O1123,'Supp Consol'!I:I,"PENDING"))</f>
        <v/>
      </c>
      <c r="AR1123" s="27" t="str">
        <f t="shared" si="483"/>
        <v>ST031</v>
      </c>
      <c r="AS1123" s="27" t="str">
        <f t="shared" si="484"/>
        <v>62</v>
      </c>
      <c r="AT1123" s="27" t="str">
        <f t="shared" si="485"/>
        <v/>
      </c>
      <c r="AU1123" s="27" t="str">
        <f t="shared" si="486"/>
        <v/>
      </c>
      <c r="AV1123" s="27" t="str">
        <f t="shared" si="487"/>
        <v/>
      </c>
      <c r="AW1123" s="27" t="str">
        <f t="shared" si="488"/>
        <v/>
      </c>
      <c r="AX1123" s="27" t="str">
        <f t="shared" si="489"/>
        <v/>
      </c>
      <c r="AY1123" s="27" t="str">
        <f t="shared" si="490"/>
        <v/>
      </c>
      <c r="AZ1123" s="27" t="str">
        <f t="shared" si="491"/>
        <v/>
      </c>
      <c r="BA1123" s="27" t="str">
        <f t="shared" si="492"/>
        <v/>
      </c>
      <c r="BB1123" s="27" t="str">
        <f t="shared" si="493"/>
        <v/>
      </c>
      <c r="BC1123" s="27" t="str">
        <f t="shared" si="494"/>
        <v/>
      </c>
      <c r="BD1123" s="27" t="str">
        <f t="shared" si="495"/>
        <v/>
      </c>
      <c r="BE1123" s="27" t="str">
        <f t="shared" si="496"/>
        <v/>
      </c>
      <c r="BF1123" s="27" t="str">
        <f t="shared" si="497"/>
        <v/>
      </c>
      <c r="BG1123" s="27" t="str">
        <f t="shared" si="498"/>
        <v/>
      </c>
      <c r="BH1123" s="27" t="str">
        <f t="shared" si="499"/>
        <v/>
      </c>
      <c r="BI1123" s="27" t="str">
        <f t="shared" si="500"/>
        <v/>
      </c>
      <c r="BJ1123" s="27" t="str">
        <f t="shared" si="501"/>
        <v/>
      </c>
      <c r="BK1123" s="27" t="str">
        <f t="shared" si="502"/>
        <v/>
      </c>
      <c r="BL1123" s="27" t="str">
        <f t="shared" si="503"/>
        <v/>
      </c>
      <c r="BM1123" s="21" t="s">
        <v>5581</v>
      </c>
    </row>
    <row r="1124" spans="1:65" ht="15">
      <c r="A1124" s="25">
        <f>IFERROR(INDEX('Hun Demand'!W:W,MATCH(O1124,'Hun Demand'!A:A,0)),"")</f>
        <v>0</v>
      </c>
      <c r="B1124" s="25">
        <f>IFERROR(INDEX('Hun Demand'!V:V,MATCH(O1124,'Hun Demand'!A:A,0)),"")</f>
        <v>0</v>
      </c>
      <c r="C1124" s="25">
        <f>IFERROR(INDEX('Hun Demand'!U:U,MATCH(O1124,'Hun Demand'!A:A,0)),"")</f>
        <v>0</v>
      </c>
      <c r="D1124" s="25">
        <f>IFERROR(INDEX('Hun Demand'!T:T,MATCH(O1124,'Hun Demand'!A:A,0)),"")</f>
        <v>0</v>
      </c>
      <c r="E1124" s="25">
        <f>IFERROR(INDEX('Hun Demand'!S:S,MATCH(O1124,'Hun Demand'!A:A,0)),"")</f>
        <v>0</v>
      </c>
      <c r="F1124" s="25">
        <f>IFERROR(INDEX('Hun Demand'!R:R,MATCH(O1124,'Hun Demand'!A:A,0)),"")</f>
        <v>0</v>
      </c>
      <c r="G1124" s="25">
        <f>IFERROR(INDEX('Aub Demand'!W:W,MATCH(O1124,'Aub Demand'!A:A,0)),"")</f>
        <v>0</v>
      </c>
      <c r="H1124" s="25">
        <f>IFERROR(INDEX('Aub Demand'!V:V,MATCH(O1124,'Aub Demand'!A:A,0)),"")</f>
        <v>154</v>
      </c>
      <c r="I1124" s="25">
        <f>IFERROR(INDEX('Aub Demand'!U:U,MATCH(O1124,'Aub Demand'!A:A,0)),"")</f>
        <v>157</v>
      </c>
      <c r="J1124" s="25">
        <f>IFERROR(INDEX('Aub Demand'!T:T,MATCH(O1124,'Aub Demand'!A:A,0)),"")</f>
        <v>255</v>
      </c>
      <c r="K1124" s="25">
        <f>IFERROR(INDEX('Aub Demand'!S:S,MATCH(O1124,'Aub Demand'!A:A,0)),"")</f>
        <v>514</v>
      </c>
      <c r="L1124" s="25">
        <f>IFERROR(INDEX('Aub Demand'!R:R,MATCH(O1124,'Aub Demand'!A:A,0)),"")</f>
        <v>131</v>
      </c>
      <c r="O1124" s="27" t="s">
        <v>2712</v>
      </c>
      <c r="P1124" s="27" t="str">
        <f>IFERROR(INDEX('Aub Demand'!B:B,MATCH($O1124,'Aub Demand'!$A:$A,0)),"")</f>
        <v>RAVEN 48"</v>
      </c>
      <c r="Q1124" s="27" t="str">
        <f>IFERROR(INDEX('Aub Demand'!C:C,MATCH($O1124,'Aub Demand'!$A:$A,0)),"")</f>
        <v>ONYX</v>
      </c>
      <c r="R1124" s="52">
        <f>IFERROR(IF(AR1125=AR1124,INDEX('Aub Demand'!K:K,MATCH($O1124,'Aub Demand'!$A:$A,0))-IF(AN1124="",0,AN1124)+AP1125,INDEX('Aub Demand'!K:K,MATCH($O1124,'Aub Demand'!$A:$A,0))-IF(AN1124="",0,AN1124)),"")</f>
        <v>0</v>
      </c>
      <c r="S1124" s="53">
        <f t="shared" si="476"/>
        <v>0</v>
      </c>
      <c r="T1124" s="52">
        <f t="shared" si="477"/>
        <v>288.375</v>
      </c>
      <c r="U1124" s="52">
        <f>IFERROR(IF(AR1125=AR1124,INDEX('Aub Demand'!Q:Q,MATCH($O1124,'Aub Demand'!$A:$A,0))-IF(AN1124="",0,AN1124)+AP1125,INDEX('Aub Demand'!Q:Q,MATCH($O1124,'Aub Demand'!$A:$A,0))-IF(AN1124="",0,AN1124)),"")</f>
        <v>-573</v>
      </c>
      <c r="V1124" s="53">
        <f t="shared" si="478"/>
        <v>-7.9</v>
      </c>
      <c r="W1124" s="52">
        <f t="shared" si="479"/>
        <v>1047.7625</v>
      </c>
      <c r="X1124" s="52">
        <f>IFERROR(IF(AND(AR1125=AR1124,AM1124&lt;&gt;""),INDEX('Aub Demand'!Q:Q,MATCH($O1124,'Aub Demand'!$A:$A,0))-IF(AN1124="",0,AN1124)+AP1125+AD1124+AL1124,IF(AR1125=AR1124,INDEX('Aub Demand'!Q:Q,MATCH($O1124,'Aub Demand'!$A:$A,0))-IF(AN1124="",0,AN1124)+AP1125+AD1124,IF(AM1124&lt;&gt;"",INDEX('Aub Demand'!Q:Q,MATCH($O1124,'Aub Demand'!$A:$A,0))-IF(AN1124="",0,AN1124)+AD1124+AL1124,INDEX('Aub Demand'!Q:Q,MATCH($O1124,'Aub Demand'!$A:$A,0))-IF(AN1124="",0,AN1124)+AD1124))),"")</f>
        <v>-573</v>
      </c>
      <c r="Y1124" s="53">
        <f t="shared" si="480"/>
        <v>-7.9</v>
      </c>
      <c r="Z1124" s="52">
        <f>IF(L1124="","",INDEX('Aub Demand'!H:H,MATCH($O1124,'Aub Demand'!$A:$A,0)))</f>
        <v>309</v>
      </c>
      <c r="AA1124" s="52">
        <f t="shared" si="481"/>
        <v>384.5</v>
      </c>
      <c r="AB1124" s="52">
        <f>IFERROR(INDEX('Aub Demand'!L:L,MATCH($O1124,'Aub Demand'!$A:$A,0)),"")</f>
        <v>238</v>
      </c>
      <c r="AC1124" s="52">
        <f>IFERROR(IF(O1124="","",SUMIFS('CPL Mats'!F:F,'CPL Mats'!Q:Q,AR1124,'CPL Mats'!S:S,AS1124)),"")</f>
        <v>0</v>
      </c>
      <c r="AF1124" s="25" t="str">
        <f>IF(SUMIFS('Supp Consol'!S:S,'Supp Consol'!Y:Y,"Releasable",'Supp Consol'!A:A,O1124)=0,"",SUMIFS('Supp Consol'!S:S,'Supp Consol'!Y:Y,"Releasable",'Supp Consol'!A:A,O1124))</f>
        <v/>
      </c>
      <c r="AG1124" s="25">
        <f>IFERROR(INDEX('Hun Demand'!Q:Q,MATCH(O1124,'Hun Demand'!A:A,0)),"")</f>
        <v>155</v>
      </c>
      <c r="AH1124" s="25">
        <f>IFERROR(INDEX('Hun Demand'!H:H,MATCH($O1124,'Hun Demand'!$A:$A,0)),"")</f>
        <v>0</v>
      </c>
      <c r="AI1124" s="25" t="str">
        <f>IF(SUMIFS('Supp Consol'!AA:AA,'Supp Consol'!Z:Z,"Expires this month",'Supp Consol'!A:A,O1124)=0,"",SUMIFS('Supp Consol'!AA:AA,'Supp Consol'!Z:Z,"Expires this month",'Supp Consol'!A:A,O1124))</f>
        <v/>
      </c>
      <c r="AJ1124" s="25" t="str">
        <f>IF(SUMIFS('Supp Consol'!AA:AA,'Supp Consol'!Z:Z,"Expired Previous Months",'Supp Consol'!A:A,O1124)=0,"",SUMIFS('Supp Consol'!AA:AA,'Supp Consol'!Z:Z,"Expired Previous Months",'Supp Consol'!A:A,O1124))</f>
        <v/>
      </c>
      <c r="AK1124" s="25" t="str">
        <f>IFERROR(INDEX('Hun Release Current'!B:B,MATCH(O1124,'Hun Release Current'!A:A,0)),"")</f>
        <v/>
      </c>
      <c r="AL1124" s="25" t="str">
        <f>IF(SUMIF('Prev Aub'!A:A,O1124,'Prev Aub'!B:B)=0,"",SUMIF('Prev Aub'!A:A,O1124,'Prev Aub'!B:B))</f>
        <v/>
      </c>
      <c r="AN1124" s="25" t="s">
        <v>3790</v>
      </c>
      <c r="AO1124" s="25" t="s">
        <v>3790</v>
      </c>
      <c r="AP1124" s="25">
        <f t="shared" si="482"/>
        <v>0</v>
      </c>
      <c r="AQ1124" s="151" t="str">
        <f>IF(SUMIFS('Supp Consol'!S:S,'Supp Consol'!A:A,O1124,'Supp Consol'!I:I,"PENDING")=0,"",SUMIFS('Supp Consol'!S:S,'Supp Consol'!A:A,O1124,'Supp Consol'!I:I,"PENDING"))</f>
        <v/>
      </c>
      <c r="AR1124" s="27" t="str">
        <f t="shared" si="483"/>
        <v>ST033</v>
      </c>
      <c r="AS1124" s="27" t="str">
        <f t="shared" si="484"/>
        <v>50</v>
      </c>
      <c r="AT1124" s="27" t="str">
        <f t="shared" si="485"/>
        <v>ST033</v>
      </c>
      <c r="AU1124" s="27" t="str">
        <f t="shared" si="486"/>
        <v>ST033</v>
      </c>
      <c r="AV1124" s="27" t="str">
        <f t="shared" si="487"/>
        <v>ST033</v>
      </c>
      <c r="AW1124" s="27" t="str">
        <f t="shared" si="488"/>
        <v/>
      </c>
      <c r="AX1124" s="27" t="str">
        <f t="shared" si="489"/>
        <v/>
      </c>
      <c r="AY1124" s="27" t="str">
        <f t="shared" si="490"/>
        <v>ST033</v>
      </c>
      <c r="AZ1124" s="27" t="str">
        <f t="shared" si="491"/>
        <v/>
      </c>
      <c r="BA1124" s="27" t="str">
        <f t="shared" si="492"/>
        <v>Hun</v>
      </c>
      <c r="BB1124" s="27" t="str">
        <f t="shared" si="493"/>
        <v>Gross</v>
      </c>
      <c r="BC1124" s="27" t="str">
        <f t="shared" si="494"/>
        <v>Net</v>
      </c>
      <c r="BD1124" s="27" t="str">
        <f t="shared" si="495"/>
        <v>Net</v>
      </c>
      <c r="BE1124" s="27" t="str">
        <f t="shared" si="496"/>
        <v/>
      </c>
      <c r="BF1124" s="27" t="str">
        <f t="shared" si="497"/>
        <v/>
      </c>
      <c r="BG1124" s="27" t="str">
        <f t="shared" si="498"/>
        <v/>
      </c>
      <c r="BH1124" s="27" t="str">
        <f t="shared" si="499"/>
        <v>H+N</v>
      </c>
      <c r="BI1124" s="27" t="str">
        <f t="shared" si="500"/>
        <v>H+Nex</v>
      </c>
      <c r="BJ1124" s="27" t="str">
        <f t="shared" si="501"/>
        <v>Supp or Hun</v>
      </c>
      <c r="BK1124" s="27" t="str">
        <f t="shared" si="502"/>
        <v>Supp or Hun Need</v>
      </c>
      <c r="BL1124" s="27" t="str">
        <f t="shared" si="503"/>
        <v>SorHandNandE</v>
      </c>
      <c r="BM1124" s="21" t="s">
        <v>5581</v>
      </c>
    </row>
    <row r="1125" spans="1:65" ht="15">
      <c r="A1125" s="25">
        <f>IFERROR(INDEX('Hun Demand'!W:W,MATCH(O1125,'Hun Demand'!A:A,0)),"")</f>
        <v>0</v>
      </c>
      <c r="B1125" s="25">
        <f>IFERROR(INDEX('Hun Demand'!V:V,MATCH(O1125,'Hun Demand'!A:A,0)),"")</f>
        <v>0</v>
      </c>
      <c r="C1125" s="25">
        <f>IFERROR(INDEX('Hun Demand'!U:U,MATCH(O1125,'Hun Demand'!A:A,0)),"")</f>
        <v>0</v>
      </c>
      <c r="D1125" s="25">
        <f>IFERROR(INDEX('Hun Demand'!T:T,MATCH(O1125,'Hun Demand'!A:A,0)),"")</f>
        <v>0</v>
      </c>
      <c r="E1125" s="25">
        <f>IFERROR(INDEX('Hun Demand'!S:S,MATCH(O1125,'Hun Demand'!A:A,0)),"")</f>
        <v>0</v>
      </c>
      <c r="F1125" s="25">
        <f>IFERROR(INDEX('Hun Demand'!R:R,MATCH(O1125,'Hun Demand'!A:A,0)),"")</f>
        <v>0</v>
      </c>
      <c r="G1125" s="25">
        <f>IFERROR(INDEX('Aub Demand'!W:W,MATCH(O1125,'Aub Demand'!A:A,0)),"")</f>
        <v>0</v>
      </c>
      <c r="H1125" s="25">
        <f>IFERROR(INDEX('Aub Demand'!V:V,MATCH(O1125,'Aub Demand'!A:A,0)),"")</f>
        <v>38</v>
      </c>
      <c r="I1125" s="25">
        <f>IFERROR(INDEX('Aub Demand'!U:U,MATCH(O1125,'Aub Demand'!A:A,0)),"")</f>
        <v>844</v>
      </c>
      <c r="J1125" s="25">
        <f>IFERROR(INDEX('Aub Demand'!T:T,MATCH(O1125,'Aub Demand'!A:A,0)),"")</f>
        <v>93</v>
      </c>
      <c r="K1125" s="25">
        <f>IFERROR(INDEX('Aub Demand'!S:S,MATCH(O1125,'Aub Demand'!A:A,0)),"")</f>
        <v>52</v>
      </c>
      <c r="L1125" s="25">
        <f>IFERROR(INDEX('Aub Demand'!R:R,MATCH(O1125,'Aub Demand'!A:A,0)),"")</f>
        <v>0</v>
      </c>
      <c r="O1125" s="27" t="s">
        <v>2715</v>
      </c>
      <c r="P1125" s="27" t="str">
        <f>IFERROR(INDEX('Aub Demand'!B:B,MATCH($O1125,'Aub Demand'!$A:$A,0)),"")</f>
        <v>RAVEN 60"</v>
      </c>
      <c r="Q1125" s="27" t="str">
        <f>IFERROR(INDEX('Aub Demand'!C:C,MATCH($O1125,'Aub Demand'!$A:$A,0)),"")</f>
        <v>ONYX</v>
      </c>
      <c r="R1125" s="52">
        <f>IFERROR(IF(AR1126=AR1125,INDEX('Aub Demand'!K:K,MATCH($O1125,'Aub Demand'!$A:$A,0))-IF(AN1125="",0,AN1125)+AP1126,INDEX('Aub Demand'!K:K,MATCH($O1125,'Aub Demand'!$A:$A,0))-IF(AN1125="",0,AN1125)),"")</f>
        <v>1350</v>
      </c>
      <c r="S1125" s="53">
        <f t="shared" si="476"/>
        <v>17.5</v>
      </c>
      <c r="T1125" s="52" t="str">
        <f t="shared" si="477"/>
        <v/>
      </c>
      <c r="U1125" s="52">
        <f>IFERROR(IF(AR1126=AR1125,INDEX('Aub Demand'!Q:Q,MATCH($O1125,'Aub Demand'!$A:$A,0))-IF(AN1125="",0,AN1125)+AP1126,INDEX('Aub Demand'!Q:Q,MATCH($O1125,'Aub Demand'!$A:$A,0))-IF(AN1125="",0,AN1125)),"")</f>
        <v>1333</v>
      </c>
      <c r="V1125" s="53">
        <f t="shared" si="478"/>
        <v>17.3</v>
      </c>
      <c r="W1125" s="52" t="str">
        <f t="shared" si="479"/>
        <v/>
      </c>
      <c r="X1125" s="52">
        <f>IFERROR(IF(AND(AR1126=AR1125,AM1125&lt;&gt;""),INDEX('Aub Demand'!Q:Q,MATCH($O1125,'Aub Demand'!$A:$A,0))-IF(AN1125="",0,AN1125)+AP1126+AD1125+AL1125,IF(AR1126=AR1125,INDEX('Aub Demand'!Q:Q,MATCH($O1125,'Aub Demand'!$A:$A,0))-IF(AN1125="",0,AN1125)+AP1126+AD1125,IF(AM1125&lt;&gt;"",INDEX('Aub Demand'!Q:Q,MATCH($O1125,'Aub Demand'!$A:$A,0))-IF(AN1125="",0,AN1125)+AD1125+AL1125,INDEX('Aub Demand'!Q:Q,MATCH($O1125,'Aub Demand'!$A:$A,0))-IF(AN1125="",0,AN1125)+AD1125))),"")</f>
        <v>1333</v>
      </c>
      <c r="Y1125" s="53">
        <f t="shared" si="480"/>
        <v>17.3</v>
      </c>
      <c r="Z1125" s="52">
        <f>IF(L1125="","",INDEX('Aub Demand'!H:H,MATCH($O1125,'Aub Demand'!$A:$A,0)))</f>
        <v>330</v>
      </c>
      <c r="AA1125" s="52">
        <f t="shared" si="481"/>
        <v>468.5</v>
      </c>
      <c r="AB1125" s="52">
        <f>IFERROR(INDEX('Aub Demand'!L:L,MATCH($O1125,'Aub Demand'!$A:$A,0)),"")</f>
        <v>95</v>
      </c>
      <c r="AC1125" s="52">
        <f>IFERROR(IF(O1125="","",SUMIFS('CPL Mats'!F:F,'CPL Mats'!Q:Q,AR1125,'CPL Mats'!S:S,AS1125)),"")</f>
        <v>0</v>
      </c>
      <c r="AF1125" s="25" t="str">
        <f>IF(SUMIFS('Supp Consol'!S:S,'Supp Consol'!Y:Y,"Releasable",'Supp Consol'!A:A,O1125)=0,"",SUMIFS('Supp Consol'!S:S,'Supp Consol'!Y:Y,"Releasable",'Supp Consol'!A:A,O1125))</f>
        <v/>
      </c>
      <c r="AG1125" s="25">
        <f>IFERROR(INDEX('Hun Demand'!Q:Q,MATCH(O1125,'Hun Demand'!A:A,0)),"")</f>
        <v>309</v>
      </c>
      <c r="AH1125" s="25">
        <f>IFERROR(INDEX('Hun Demand'!H:H,MATCH($O1125,'Hun Demand'!$A:$A,0)),"")</f>
        <v>0</v>
      </c>
      <c r="AI1125" s="25" t="str">
        <f>IF(SUMIFS('Supp Consol'!AA:AA,'Supp Consol'!Z:Z,"Expires this month",'Supp Consol'!A:A,O1125)=0,"",SUMIFS('Supp Consol'!AA:AA,'Supp Consol'!Z:Z,"Expires this month",'Supp Consol'!A:A,O1125))</f>
        <v/>
      </c>
      <c r="AJ1125" s="25" t="str">
        <f>IF(SUMIFS('Supp Consol'!AA:AA,'Supp Consol'!Z:Z,"Expired Previous Months",'Supp Consol'!A:A,O1125)=0,"",SUMIFS('Supp Consol'!AA:AA,'Supp Consol'!Z:Z,"Expired Previous Months",'Supp Consol'!A:A,O1125))</f>
        <v/>
      </c>
      <c r="AK1125" s="25" t="str">
        <f>IFERROR(INDEX('Hun Release Current'!B:B,MATCH(O1125,'Hun Release Current'!A:A,0)),"")</f>
        <v/>
      </c>
      <c r="AL1125" s="25" t="str">
        <f>IF(SUMIF('Prev Aub'!A:A,O1125,'Prev Aub'!B:B)=0,"",SUMIF('Prev Aub'!A:A,O1125,'Prev Aub'!B:B))</f>
        <v/>
      </c>
      <c r="AN1125" s="25" t="s">
        <v>3790</v>
      </c>
      <c r="AO1125" s="25" t="s">
        <v>3790</v>
      </c>
      <c r="AP1125" s="25">
        <f t="shared" si="482"/>
        <v>0</v>
      </c>
      <c r="AQ1125" s="151" t="str">
        <f>IF(SUMIFS('Supp Consol'!S:S,'Supp Consol'!A:A,O1125,'Supp Consol'!I:I,"PENDING")=0,"",SUMIFS('Supp Consol'!S:S,'Supp Consol'!A:A,O1125,'Supp Consol'!I:I,"PENDING"))</f>
        <v/>
      </c>
      <c r="AR1125" s="27" t="str">
        <f t="shared" si="483"/>
        <v>ST033</v>
      </c>
      <c r="AS1125" s="27" t="str">
        <f t="shared" si="484"/>
        <v>62</v>
      </c>
      <c r="AT1125" s="27" t="str">
        <f t="shared" si="485"/>
        <v/>
      </c>
      <c r="AU1125" s="27" t="str">
        <f t="shared" si="486"/>
        <v/>
      </c>
      <c r="AV1125" s="27" t="str">
        <f t="shared" si="487"/>
        <v/>
      </c>
      <c r="AW1125" s="27" t="str">
        <f t="shared" si="488"/>
        <v/>
      </c>
      <c r="AX1125" s="27" t="str">
        <f t="shared" si="489"/>
        <v/>
      </c>
      <c r="AY1125" s="27" t="str">
        <f t="shared" si="490"/>
        <v>ST033</v>
      </c>
      <c r="AZ1125" s="27" t="str">
        <f t="shared" si="491"/>
        <v/>
      </c>
      <c r="BA1125" s="27" t="str">
        <f t="shared" si="492"/>
        <v>Hun</v>
      </c>
      <c r="BB1125" s="27" t="str">
        <f t="shared" si="493"/>
        <v>Gross</v>
      </c>
      <c r="BC1125" s="27" t="str">
        <f t="shared" si="494"/>
        <v>Net</v>
      </c>
      <c r="BD1125" s="27" t="str">
        <f t="shared" si="495"/>
        <v>Net</v>
      </c>
      <c r="BE1125" s="27" t="str">
        <f t="shared" si="496"/>
        <v/>
      </c>
      <c r="BF1125" s="27" t="str">
        <f t="shared" si="497"/>
        <v/>
      </c>
      <c r="BG1125" s="27" t="str">
        <f t="shared" si="498"/>
        <v/>
      </c>
      <c r="BH1125" s="27" t="str">
        <f t="shared" si="499"/>
        <v>H+N</v>
      </c>
      <c r="BI1125" s="27" t="str">
        <f t="shared" si="500"/>
        <v>H+Nex</v>
      </c>
      <c r="BJ1125" s="27" t="str">
        <f t="shared" si="501"/>
        <v>Supp or Hun</v>
      </c>
      <c r="BK1125" s="27" t="str">
        <f t="shared" si="502"/>
        <v>Supp or Hun Need</v>
      </c>
      <c r="BL1125" s="27" t="str">
        <f t="shared" si="503"/>
        <v>SorHandNandE</v>
      </c>
      <c r="BM1125" s="21" t="s">
        <v>5581</v>
      </c>
    </row>
    <row r="1126" spans="1:65" ht="15">
      <c r="A1126" s="25" t="str">
        <f>IFERROR(INDEX('Hun Demand'!W:W,MATCH(O1126,'Hun Demand'!A:A,0)),"")</f>
        <v/>
      </c>
      <c r="B1126" s="25" t="str">
        <f>IFERROR(INDEX('Hun Demand'!V:V,MATCH(O1126,'Hun Demand'!A:A,0)),"")</f>
        <v/>
      </c>
      <c r="C1126" s="25" t="str">
        <f>IFERROR(INDEX('Hun Demand'!U:U,MATCH(O1126,'Hun Demand'!A:A,0)),"")</f>
        <v/>
      </c>
      <c r="D1126" s="25" t="str">
        <f>IFERROR(INDEX('Hun Demand'!T:T,MATCH(O1126,'Hun Demand'!A:A,0)),"")</f>
        <v/>
      </c>
      <c r="E1126" s="25" t="str">
        <f>IFERROR(INDEX('Hun Demand'!S:S,MATCH(O1126,'Hun Demand'!A:A,0)),"")</f>
        <v/>
      </c>
      <c r="F1126" s="25" t="str">
        <f>IFERROR(INDEX('Hun Demand'!R:R,MATCH(O1126,'Hun Demand'!A:A,0)),"")</f>
        <v/>
      </c>
      <c r="G1126" s="25">
        <f>IFERROR(INDEX('Aub Demand'!W:W,MATCH(O1126,'Aub Demand'!A:A,0)),"")</f>
        <v>101</v>
      </c>
      <c r="H1126" s="25">
        <f>IFERROR(INDEX('Aub Demand'!V:V,MATCH(O1126,'Aub Demand'!A:A,0)),"")</f>
        <v>0</v>
      </c>
      <c r="I1126" s="25">
        <f>IFERROR(INDEX('Aub Demand'!U:U,MATCH(O1126,'Aub Demand'!A:A,0)),"")</f>
        <v>0</v>
      </c>
      <c r="J1126" s="25">
        <f>IFERROR(INDEX('Aub Demand'!T:T,MATCH(O1126,'Aub Demand'!A:A,0)),"")</f>
        <v>0</v>
      </c>
      <c r="K1126" s="25">
        <f>IFERROR(INDEX('Aub Demand'!S:S,MATCH(O1126,'Aub Demand'!A:A,0)),"")</f>
        <v>0</v>
      </c>
      <c r="L1126" s="25">
        <f>IFERROR(INDEX('Aub Demand'!R:R,MATCH(O1126,'Aub Demand'!A:A,0)),"")</f>
        <v>0</v>
      </c>
      <c r="O1126" s="27" t="s">
        <v>2718</v>
      </c>
      <c r="P1126" s="27" t="str">
        <f>IFERROR(INDEX('Aub Demand'!B:B,MATCH($O1126,'Aub Demand'!$A:$A,0)),"")</f>
        <v>SANDPIPER 48"</v>
      </c>
      <c r="Q1126" s="27" t="str">
        <f>IFERROR(INDEX('Aub Demand'!C:C,MATCH($O1126,'Aub Demand'!$A:$A,0)),"")</f>
        <v>ONYX</v>
      </c>
      <c r="R1126" s="52">
        <f>IFERROR(IF(AR1127=AR1126,INDEX('Aub Demand'!K:K,MATCH($O1126,'Aub Demand'!$A:$A,0))-IF(AN1126="",0,AN1126)+AP1127,INDEX('Aub Demand'!K:K,MATCH($O1126,'Aub Demand'!$A:$A,0))-IF(AN1126="",0,AN1126)),"")</f>
        <v>83</v>
      </c>
      <c r="S1126" s="53" t="str">
        <f t="shared" si="476"/>
        <v>n/a</v>
      </c>
      <c r="T1126" s="52" t="str">
        <f t="shared" si="477"/>
        <v/>
      </c>
      <c r="U1126" s="52">
        <f>IFERROR(IF(AR1127=AR1126,INDEX('Aub Demand'!Q:Q,MATCH($O1126,'Aub Demand'!$A:$A,0))-IF(AN1126="",0,AN1126)+AP1127,INDEX('Aub Demand'!Q:Q,MATCH($O1126,'Aub Demand'!$A:$A,0))-IF(AN1126="",0,AN1126)),"")</f>
        <v>60</v>
      </c>
      <c r="V1126" s="53" t="str">
        <f t="shared" si="478"/>
        <v>n/a</v>
      </c>
      <c r="W1126" s="52" t="str">
        <f t="shared" si="479"/>
        <v/>
      </c>
      <c r="X1126" s="52">
        <f>IFERROR(IF(AND(AR1127=AR1126,AM1126&lt;&gt;""),INDEX('Aub Demand'!Q:Q,MATCH($O1126,'Aub Demand'!$A:$A,0))-IF(AN1126="",0,AN1126)+AP1127+AD1126+AL1126,IF(AR1127=AR1126,INDEX('Aub Demand'!Q:Q,MATCH($O1126,'Aub Demand'!$A:$A,0))-IF(AN1126="",0,AN1126)+AP1127+AD1126,IF(AM1126&lt;&gt;"",INDEX('Aub Demand'!Q:Q,MATCH($O1126,'Aub Demand'!$A:$A,0))-IF(AN1126="",0,AN1126)+AD1126+AL1126,INDEX('Aub Demand'!Q:Q,MATCH($O1126,'Aub Demand'!$A:$A,0))-IF(AN1126="",0,AN1126)+AD1126))),"")</f>
        <v>60</v>
      </c>
      <c r="Y1126" s="53" t="str">
        <f t="shared" si="480"/>
        <v>n/a</v>
      </c>
      <c r="Z1126" s="52">
        <f>IF(L1126="","",INDEX('Aub Demand'!H:H,MATCH($O1126,'Aub Demand'!$A:$A,0)))</f>
        <v>0</v>
      </c>
      <c r="AA1126" s="52" t="str">
        <f t="shared" si="481"/>
        <v>-spike-</v>
      </c>
      <c r="AB1126" s="52">
        <f>IFERROR(INDEX('Aub Demand'!L:L,MATCH($O1126,'Aub Demand'!$A:$A,0)),"")</f>
        <v>196</v>
      </c>
      <c r="AC1126" s="52">
        <f>IFERROR(IF(O1126="","",SUMIFS('CPL Mats'!F:F,'CPL Mats'!Q:Q,AR1126,'CPL Mats'!S:S,AS1126)),"")</f>
        <v>0</v>
      </c>
      <c r="AF1126" s="25" t="str">
        <f>IF(SUMIFS('Supp Consol'!S:S,'Supp Consol'!Y:Y,"Releasable",'Supp Consol'!A:A,O1126)=0,"",SUMIFS('Supp Consol'!S:S,'Supp Consol'!Y:Y,"Releasable",'Supp Consol'!A:A,O1126))</f>
        <v/>
      </c>
      <c r="AG1126" s="25" t="str">
        <f>IFERROR(INDEX('Hun Demand'!Q:Q,MATCH(O1126,'Hun Demand'!A:A,0)),"")</f>
        <v/>
      </c>
      <c r="AH1126" s="25" t="str">
        <f>IFERROR(INDEX('Hun Demand'!H:H,MATCH($O1126,'Hun Demand'!$A:$A,0)),"")</f>
        <v/>
      </c>
      <c r="AI1126" s="25" t="str">
        <f>IF(SUMIFS('Supp Consol'!AA:AA,'Supp Consol'!Z:Z,"Expires this month",'Supp Consol'!A:A,O1126)=0,"",SUMIFS('Supp Consol'!AA:AA,'Supp Consol'!Z:Z,"Expires this month",'Supp Consol'!A:A,O1126))</f>
        <v/>
      </c>
      <c r="AJ1126" s="25" t="str">
        <f>IF(SUMIFS('Supp Consol'!AA:AA,'Supp Consol'!Z:Z,"Expired Previous Months",'Supp Consol'!A:A,O1126)=0,"",SUMIFS('Supp Consol'!AA:AA,'Supp Consol'!Z:Z,"Expired Previous Months",'Supp Consol'!A:A,O1126))</f>
        <v/>
      </c>
      <c r="AK1126" s="25" t="str">
        <f>IFERROR(INDEX('Hun Release Current'!B:B,MATCH(O1126,'Hun Release Current'!A:A,0)),"")</f>
        <v/>
      </c>
      <c r="AL1126" s="25" t="str">
        <f>IF(SUMIF('Prev Aub'!A:A,O1126,'Prev Aub'!B:B)=0,"",SUMIF('Prev Aub'!A:A,O1126,'Prev Aub'!B:B))</f>
        <v/>
      </c>
      <c r="AN1126" s="25" t="s">
        <v>3790</v>
      </c>
      <c r="AO1126" s="25" t="s">
        <v>3790</v>
      </c>
      <c r="AP1126" s="25">
        <f t="shared" si="482"/>
        <v>0</v>
      </c>
      <c r="AQ1126" s="151" t="str">
        <f>IF(SUMIFS('Supp Consol'!S:S,'Supp Consol'!A:A,O1126,'Supp Consol'!I:I,"PENDING")=0,"",SUMIFS('Supp Consol'!S:S,'Supp Consol'!A:A,O1126,'Supp Consol'!I:I,"PENDING"))</f>
        <v/>
      </c>
      <c r="AR1126" s="27" t="str">
        <f t="shared" si="483"/>
        <v>ST047</v>
      </c>
      <c r="AS1126" s="27" t="str">
        <f t="shared" si="484"/>
        <v>50</v>
      </c>
      <c r="AT1126" s="27" t="str">
        <f t="shared" si="485"/>
        <v/>
      </c>
      <c r="AU1126" s="27" t="str">
        <f t="shared" si="486"/>
        <v/>
      </c>
      <c r="AV1126" s="27" t="str">
        <f t="shared" si="487"/>
        <v/>
      </c>
      <c r="AW1126" s="27" t="str">
        <f t="shared" si="488"/>
        <v/>
      </c>
      <c r="AX1126" s="27" t="str">
        <f t="shared" si="489"/>
        <v/>
      </c>
      <c r="AY1126" s="27" t="str">
        <f t="shared" si="490"/>
        <v/>
      </c>
      <c r="AZ1126" s="27" t="str">
        <f t="shared" si="491"/>
        <v/>
      </c>
      <c r="BA1126" s="27" t="str">
        <f t="shared" si="492"/>
        <v/>
      </c>
      <c r="BB1126" s="27" t="str">
        <f t="shared" si="493"/>
        <v/>
      </c>
      <c r="BC1126" s="27" t="str">
        <f t="shared" si="494"/>
        <v/>
      </c>
      <c r="BD1126" s="27" t="str">
        <f t="shared" si="495"/>
        <v/>
      </c>
      <c r="BE1126" s="27" t="str">
        <f t="shared" si="496"/>
        <v/>
      </c>
      <c r="BF1126" s="27" t="str">
        <f t="shared" si="497"/>
        <v/>
      </c>
      <c r="BG1126" s="27" t="str">
        <f t="shared" si="498"/>
        <v/>
      </c>
      <c r="BH1126" s="27" t="str">
        <f t="shared" si="499"/>
        <v/>
      </c>
      <c r="BI1126" s="27" t="str">
        <f t="shared" si="500"/>
        <v/>
      </c>
      <c r="BJ1126" s="27" t="str">
        <f t="shared" si="501"/>
        <v/>
      </c>
      <c r="BK1126" s="27" t="str">
        <f t="shared" si="502"/>
        <v/>
      </c>
      <c r="BL1126" s="27" t="str">
        <f t="shared" si="503"/>
        <v/>
      </c>
      <c r="BM1126" s="21" t="s">
        <v>5581</v>
      </c>
    </row>
    <row r="1127" spans="1:65" ht="15">
      <c r="A1127" s="25" t="str">
        <f>IFERROR(INDEX('Hun Demand'!W:W,MATCH(O1127,'Hun Demand'!A:A,0)),"")</f>
        <v/>
      </c>
      <c r="B1127" s="25" t="str">
        <f>IFERROR(INDEX('Hun Demand'!V:V,MATCH(O1127,'Hun Demand'!A:A,0)),"")</f>
        <v/>
      </c>
      <c r="C1127" s="25" t="str">
        <f>IFERROR(INDEX('Hun Demand'!U:U,MATCH(O1127,'Hun Demand'!A:A,0)),"")</f>
        <v/>
      </c>
      <c r="D1127" s="25" t="str">
        <f>IFERROR(INDEX('Hun Demand'!T:T,MATCH(O1127,'Hun Demand'!A:A,0)),"")</f>
        <v/>
      </c>
      <c r="E1127" s="25" t="str">
        <f>IFERROR(INDEX('Hun Demand'!S:S,MATCH(O1127,'Hun Demand'!A:A,0)),"")</f>
        <v/>
      </c>
      <c r="F1127" s="25" t="str">
        <f>IFERROR(INDEX('Hun Demand'!R:R,MATCH(O1127,'Hun Demand'!A:A,0)),"")</f>
        <v/>
      </c>
      <c r="G1127" s="25">
        <f>IFERROR(INDEX('Aub Demand'!W:W,MATCH(O1127,'Aub Demand'!A:A,0)),"")</f>
        <v>0</v>
      </c>
      <c r="H1127" s="25">
        <f>IFERROR(INDEX('Aub Demand'!V:V,MATCH(O1127,'Aub Demand'!A:A,0)),"")</f>
        <v>186</v>
      </c>
      <c r="I1127" s="25">
        <f>IFERROR(INDEX('Aub Demand'!U:U,MATCH(O1127,'Aub Demand'!A:A,0)),"")</f>
        <v>184</v>
      </c>
      <c r="J1127" s="25">
        <f>IFERROR(INDEX('Aub Demand'!T:T,MATCH(O1127,'Aub Demand'!A:A,0)),"")</f>
        <v>0</v>
      </c>
      <c r="K1127" s="25">
        <f>IFERROR(INDEX('Aub Demand'!S:S,MATCH(O1127,'Aub Demand'!A:A,0)),"")</f>
        <v>34</v>
      </c>
      <c r="L1127" s="25">
        <f>IFERROR(INDEX('Aub Demand'!R:R,MATCH(O1127,'Aub Demand'!A:A,0)),"")</f>
        <v>0</v>
      </c>
      <c r="O1127" s="27" t="s">
        <v>2720</v>
      </c>
      <c r="P1127" s="27" t="str">
        <f>IFERROR(INDEX('Aub Demand'!B:B,MATCH($O1127,'Aub Demand'!$A:$A,0)),"")</f>
        <v>SANDPIPER 60"</v>
      </c>
      <c r="Q1127" s="27" t="str">
        <f>IFERROR(INDEX('Aub Demand'!C:C,MATCH($O1127,'Aub Demand'!$A:$A,0)),"")</f>
        <v>ONYX</v>
      </c>
      <c r="R1127" s="52">
        <f>IFERROR(IF(AR1128=AR1127,INDEX('Aub Demand'!K:K,MATCH($O1127,'Aub Demand'!$A:$A,0))-IF(AN1127="",0,AN1127)+AP1128,INDEX('Aub Demand'!K:K,MATCH($O1127,'Aub Demand'!$A:$A,0))-IF(AN1127="",0,AN1127)),"")</f>
        <v>2391</v>
      </c>
      <c r="S1127" s="53">
        <f t="shared" si="476"/>
        <v>140.4</v>
      </c>
      <c r="T1127" s="52" t="str">
        <f t="shared" si="477"/>
        <v/>
      </c>
      <c r="U1127" s="52">
        <f>IFERROR(IF(AR1128=AR1127,INDEX('Aub Demand'!Q:Q,MATCH($O1127,'Aub Demand'!$A:$A,0))-IF(AN1127="",0,AN1127)+AP1128,INDEX('Aub Demand'!Q:Q,MATCH($O1127,'Aub Demand'!$A:$A,0))-IF(AN1127="",0,AN1127)),"")</f>
        <v>2391</v>
      </c>
      <c r="V1127" s="53">
        <f t="shared" si="478"/>
        <v>140.4</v>
      </c>
      <c r="W1127" s="52" t="str">
        <f t="shared" si="479"/>
        <v/>
      </c>
      <c r="X1127" s="52">
        <f>IFERROR(IF(AND(AR1128=AR1127,AM1127&lt;&gt;""),INDEX('Aub Demand'!Q:Q,MATCH($O1127,'Aub Demand'!$A:$A,0))-IF(AN1127="",0,AN1127)+AP1128+AD1127+AL1127,IF(AR1128=AR1127,INDEX('Aub Demand'!Q:Q,MATCH($O1127,'Aub Demand'!$A:$A,0))-IF(AN1127="",0,AN1127)+AP1128+AD1127,IF(AM1127&lt;&gt;"",INDEX('Aub Demand'!Q:Q,MATCH($O1127,'Aub Demand'!$A:$A,0))-IF(AN1127="",0,AN1127)+AD1127+AL1127,INDEX('Aub Demand'!Q:Q,MATCH($O1127,'Aub Demand'!$A:$A,0))-IF(AN1127="",0,AN1127)+AD1127))),"")</f>
        <v>2391</v>
      </c>
      <c r="Y1127" s="53">
        <f t="shared" si="480"/>
        <v>140.4</v>
      </c>
      <c r="Z1127" s="52">
        <f>IF(L1127="","",INDEX('Aub Demand'!H:H,MATCH($O1127,'Aub Demand'!$A:$A,0)))</f>
        <v>73</v>
      </c>
      <c r="AA1127" s="52">
        <f t="shared" si="481"/>
        <v>109</v>
      </c>
      <c r="AB1127" s="52">
        <f>IFERROR(INDEX('Aub Demand'!L:L,MATCH($O1127,'Aub Demand'!$A:$A,0)),"")</f>
        <v>234</v>
      </c>
      <c r="AC1127" s="52">
        <f>IFERROR(IF(O1127="","",SUMIFS('CPL Mats'!F:F,'CPL Mats'!Q:Q,AR1127,'CPL Mats'!S:S,AS1127)),"")</f>
        <v>0</v>
      </c>
      <c r="AF1127" s="25" t="str">
        <f>IF(SUMIFS('Supp Consol'!S:S,'Supp Consol'!Y:Y,"Releasable",'Supp Consol'!A:A,O1127)=0,"",SUMIFS('Supp Consol'!S:S,'Supp Consol'!Y:Y,"Releasable",'Supp Consol'!A:A,O1127))</f>
        <v/>
      </c>
      <c r="AG1127" s="25" t="str">
        <f>IFERROR(INDEX('Hun Demand'!Q:Q,MATCH(O1127,'Hun Demand'!A:A,0)),"")</f>
        <v/>
      </c>
      <c r="AH1127" s="25" t="str">
        <f>IFERROR(INDEX('Hun Demand'!H:H,MATCH($O1127,'Hun Demand'!$A:$A,0)),"")</f>
        <v/>
      </c>
      <c r="AI1127" s="25" t="str">
        <f>IF(SUMIFS('Supp Consol'!AA:AA,'Supp Consol'!Z:Z,"Expires this month",'Supp Consol'!A:A,O1127)=0,"",SUMIFS('Supp Consol'!AA:AA,'Supp Consol'!Z:Z,"Expires this month",'Supp Consol'!A:A,O1127))</f>
        <v/>
      </c>
      <c r="AJ1127" s="25" t="str">
        <f>IF(SUMIFS('Supp Consol'!AA:AA,'Supp Consol'!Z:Z,"Expired Previous Months",'Supp Consol'!A:A,O1127)=0,"",SUMIFS('Supp Consol'!AA:AA,'Supp Consol'!Z:Z,"Expired Previous Months",'Supp Consol'!A:A,O1127))</f>
        <v/>
      </c>
      <c r="AK1127" s="25" t="str">
        <f>IFERROR(INDEX('Hun Release Current'!B:B,MATCH(O1127,'Hun Release Current'!A:A,0)),"")</f>
        <v/>
      </c>
      <c r="AL1127" s="25" t="str">
        <f>IF(SUMIF('Prev Aub'!A:A,O1127,'Prev Aub'!B:B)=0,"",SUMIF('Prev Aub'!A:A,O1127,'Prev Aub'!B:B))</f>
        <v/>
      </c>
      <c r="AN1127" s="25" t="s">
        <v>3790</v>
      </c>
      <c r="AO1127" s="25" t="s">
        <v>3790</v>
      </c>
      <c r="AP1127" s="25">
        <f t="shared" si="482"/>
        <v>0</v>
      </c>
      <c r="AQ1127" s="151" t="str">
        <f>IF(SUMIFS('Supp Consol'!S:S,'Supp Consol'!A:A,O1127,'Supp Consol'!I:I,"PENDING")=0,"",SUMIFS('Supp Consol'!S:S,'Supp Consol'!A:A,O1127,'Supp Consol'!I:I,"PENDING"))</f>
        <v/>
      </c>
      <c r="AR1127" s="27" t="str">
        <f t="shared" si="483"/>
        <v>ST047</v>
      </c>
      <c r="AS1127" s="27" t="str">
        <f t="shared" si="484"/>
        <v>62</v>
      </c>
      <c r="AT1127" s="27" t="str">
        <f t="shared" si="485"/>
        <v/>
      </c>
      <c r="AU1127" s="27" t="str">
        <f t="shared" si="486"/>
        <v/>
      </c>
      <c r="AV1127" s="27" t="str">
        <f t="shared" si="487"/>
        <v/>
      </c>
      <c r="AW1127" s="27" t="str">
        <f t="shared" si="488"/>
        <v/>
      </c>
      <c r="AX1127" s="27" t="str">
        <f t="shared" si="489"/>
        <v/>
      </c>
      <c r="AY1127" s="27" t="str">
        <f t="shared" si="490"/>
        <v/>
      </c>
      <c r="AZ1127" s="27" t="str">
        <f t="shared" si="491"/>
        <v/>
      </c>
      <c r="BA1127" s="27" t="str">
        <f t="shared" si="492"/>
        <v/>
      </c>
      <c r="BB1127" s="27" t="str">
        <f t="shared" si="493"/>
        <v/>
      </c>
      <c r="BC1127" s="27" t="str">
        <f t="shared" si="494"/>
        <v/>
      </c>
      <c r="BD1127" s="27" t="str">
        <f t="shared" si="495"/>
        <v/>
      </c>
      <c r="BE1127" s="27" t="str">
        <f t="shared" si="496"/>
        <v/>
      </c>
      <c r="BF1127" s="27" t="str">
        <f t="shared" si="497"/>
        <v/>
      </c>
      <c r="BG1127" s="27" t="str">
        <f t="shared" si="498"/>
        <v/>
      </c>
      <c r="BH1127" s="27" t="str">
        <f t="shared" si="499"/>
        <v/>
      </c>
      <c r="BI1127" s="27" t="str">
        <f t="shared" si="500"/>
        <v/>
      </c>
      <c r="BJ1127" s="27" t="str">
        <f t="shared" si="501"/>
        <v/>
      </c>
      <c r="BK1127" s="27" t="str">
        <f t="shared" si="502"/>
        <v/>
      </c>
      <c r="BL1127" s="27" t="str">
        <f t="shared" si="503"/>
        <v/>
      </c>
      <c r="BM1127" s="21" t="s">
        <v>5581</v>
      </c>
    </row>
    <row r="1128" spans="1:65" ht="15">
      <c r="A1128" s="25" t="str">
        <f>IFERROR(INDEX('Hun Demand'!W:W,MATCH(O1128,'Hun Demand'!A:A,0)),"")</f>
        <v/>
      </c>
      <c r="B1128" s="25" t="str">
        <f>IFERROR(INDEX('Hun Demand'!V:V,MATCH(O1128,'Hun Demand'!A:A,0)),"")</f>
        <v/>
      </c>
      <c r="C1128" s="25" t="str">
        <f>IFERROR(INDEX('Hun Demand'!U:U,MATCH(O1128,'Hun Demand'!A:A,0)),"")</f>
        <v/>
      </c>
      <c r="D1128" s="25" t="str">
        <f>IFERROR(INDEX('Hun Demand'!T:T,MATCH(O1128,'Hun Demand'!A:A,0)),"")</f>
        <v/>
      </c>
      <c r="E1128" s="25" t="str">
        <f>IFERROR(INDEX('Hun Demand'!S:S,MATCH(O1128,'Hun Demand'!A:A,0)),"")</f>
        <v/>
      </c>
      <c r="F1128" s="25" t="str">
        <f>IFERROR(INDEX('Hun Demand'!R:R,MATCH(O1128,'Hun Demand'!A:A,0)),"")</f>
        <v/>
      </c>
      <c r="G1128" s="25">
        <f>IFERROR(INDEX('Aub Demand'!W:W,MATCH(O1128,'Aub Demand'!A:A,0)),"")</f>
        <v>385</v>
      </c>
      <c r="H1128" s="25">
        <f>IFERROR(INDEX('Aub Demand'!V:V,MATCH(O1128,'Aub Demand'!A:A,0)),"")</f>
        <v>284</v>
      </c>
      <c r="I1128" s="25">
        <f>IFERROR(INDEX('Aub Demand'!U:U,MATCH(O1128,'Aub Demand'!A:A,0)),"")</f>
        <v>0</v>
      </c>
      <c r="J1128" s="25">
        <f>IFERROR(INDEX('Aub Demand'!T:T,MATCH(O1128,'Aub Demand'!A:A,0)),"")</f>
        <v>0</v>
      </c>
      <c r="K1128" s="25">
        <f>IFERROR(INDEX('Aub Demand'!S:S,MATCH(O1128,'Aub Demand'!A:A,0)),"")</f>
        <v>0</v>
      </c>
      <c r="L1128" s="25">
        <f>IFERROR(INDEX('Aub Demand'!R:R,MATCH(O1128,'Aub Demand'!A:A,0)),"")</f>
        <v>42</v>
      </c>
      <c r="O1128" s="27" t="s">
        <v>2722</v>
      </c>
      <c r="P1128" s="27" t="str">
        <f>IFERROR(INDEX('Aub Demand'!B:B,MATCH($O1128,'Aub Demand'!$A:$A,0)),"")</f>
        <v>STRING 50"</v>
      </c>
      <c r="Q1128" s="27" t="str">
        <f>IFERROR(INDEX('Aub Demand'!C:C,MATCH($O1128,'Aub Demand'!$A:$A,0)),"")</f>
        <v>ONYX</v>
      </c>
      <c r="R1128" s="52">
        <f>IFERROR(IF(AR1129=AR1128,INDEX('Aub Demand'!K:K,MATCH($O1128,'Aub Demand'!$A:$A,0))-IF(AN1128="",0,AN1128)+AP1129,INDEX('Aub Demand'!K:K,MATCH($O1128,'Aub Demand'!$A:$A,0))-IF(AN1128="",0,AN1128)),"")</f>
        <v>0</v>
      </c>
      <c r="S1128" s="53" t="str">
        <f t="shared" si="476"/>
        <v>n/a</v>
      </c>
      <c r="T1128" s="52" t="str">
        <f t="shared" si="477"/>
        <v/>
      </c>
      <c r="U1128" s="52">
        <f>IFERROR(IF(AR1129=AR1128,INDEX('Aub Demand'!Q:Q,MATCH($O1128,'Aub Demand'!$A:$A,0))-IF(AN1128="",0,AN1128)+AP1129,INDEX('Aub Demand'!Q:Q,MATCH($O1128,'Aub Demand'!$A:$A,0))-IF(AN1128="",0,AN1128)),"")</f>
        <v>-56</v>
      </c>
      <c r="V1128" s="53" t="str">
        <f t="shared" si="478"/>
        <v>n/a</v>
      </c>
      <c r="W1128" s="52" t="str">
        <f t="shared" si="479"/>
        <v/>
      </c>
      <c r="X1128" s="52">
        <f>IFERROR(IF(AND(AR1129=AR1128,AM1128&lt;&gt;""),INDEX('Aub Demand'!Q:Q,MATCH($O1128,'Aub Demand'!$A:$A,0))-IF(AN1128="",0,AN1128)+AP1129+AD1128+AL1128,IF(AR1129=AR1128,INDEX('Aub Demand'!Q:Q,MATCH($O1128,'Aub Demand'!$A:$A,0))-IF(AN1128="",0,AN1128)+AP1129+AD1128,IF(AM1128&lt;&gt;"",INDEX('Aub Demand'!Q:Q,MATCH($O1128,'Aub Demand'!$A:$A,0))-IF(AN1128="",0,AN1128)+AD1128+AL1128,INDEX('Aub Demand'!Q:Q,MATCH($O1128,'Aub Demand'!$A:$A,0))-IF(AN1128="",0,AN1128)+AD1128))),"")</f>
        <v>-56</v>
      </c>
      <c r="Y1128" s="53" t="str">
        <f t="shared" si="480"/>
        <v>n/a</v>
      </c>
      <c r="Z1128" s="52">
        <f>IF(L1128="","",INDEX('Aub Demand'!H:H,MATCH($O1128,'Aub Demand'!$A:$A,0)))</f>
        <v>0</v>
      </c>
      <c r="AA1128" s="52" t="str">
        <f t="shared" si="481"/>
        <v>-spike-</v>
      </c>
      <c r="AB1128" s="52">
        <f>IFERROR(INDEX('Aub Demand'!L:L,MATCH($O1128,'Aub Demand'!$A:$A,0)),"")</f>
        <v>40</v>
      </c>
      <c r="AC1128" s="52">
        <f>IFERROR(IF(O1128="","",SUMIFS('CPL Mats'!F:F,'CPL Mats'!Q:Q,AR1128,'CPL Mats'!S:S,AS1128)),"")</f>
        <v>0</v>
      </c>
      <c r="AF1128" s="25">
        <f>IF(SUMIFS('Supp Consol'!S:S,'Supp Consol'!Y:Y,"Releasable",'Supp Consol'!A:A,O1128)=0,"",SUMIFS('Supp Consol'!S:S,'Supp Consol'!Y:Y,"Releasable",'Supp Consol'!A:A,O1128))</f>
        <v>1484</v>
      </c>
      <c r="AG1128" s="25" t="str">
        <f>IFERROR(INDEX('Hun Demand'!Q:Q,MATCH(O1128,'Hun Demand'!A:A,0)),"")</f>
        <v/>
      </c>
      <c r="AH1128" s="25" t="str">
        <f>IFERROR(INDEX('Hun Demand'!H:H,MATCH($O1128,'Hun Demand'!$A:$A,0)),"")</f>
        <v/>
      </c>
      <c r="AI1128" s="25" t="str">
        <f>IF(SUMIFS('Supp Consol'!AA:AA,'Supp Consol'!Z:Z,"Expires this month",'Supp Consol'!A:A,O1128)=0,"",SUMIFS('Supp Consol'!AA:AA,'Supp Consol'!Z:Z,"Expires this month",'Supp Consol'!A:A,O1128))</f>
        <v/>
      </c>
      <c r="AJ1128" s="25" t="str">
        <f>IF(SUMIFS('Supp Consol'!AA:AA,'Supp Consol'!Z:Z,"Expired Previous Months",'Supp Consol'!A:A,O1128)=0,"",SUMIFS('Supp Consol'!AA:AA,'Supp Consol'!Z:Z,"Expired Previous Months",'Supp Consol'!A:A,O1128))</f>
        <v/>
      </c>
      <c r="AK1128" s="25" t="str">
        <f>IFERROR(INDEX('Hun Release Current'!B:B,MATCH(O1128,'Hun Release Current'!A:A,0)),"")</f>
        <v/>
      </c>
      <c r="AL1128" s="25" t="str">
        <f>IF(SUMIF('Prev Aub'!A:A,O1128,'Prev Aub'!B:B)=0,"",SUMIF('Prev Aub'!A:A,O1128,'Prev Aub'!B:B))</f>
        <v/>
      </c>
      <c r="AN1128" s="25" t="s">
        <v>3790</v>
      </c>
      <c r="AO1128" s="25" t="s">
        <v>3790</v>
      </c>
      <c r="AP1128" s="25">
        <f t="shared" si="482"/>
        <v>0</v>
      </c>
      <c r="AQ1128" s="151" t="str">
        <f>IF(SUMIFS('Supp Consol'!S:S,'Supp Consol'!A:A,O1128,'Supp Consol'!I:I,"PENDING")=0,"",SUMIFS('Supp Consol'!S:S,'Supp Consol'!A:A,O1128,'Supp Consol'!I:I,"PENDING"))</f>
        <v/>
      </c>
      <c r="AR1128" s="27" t="str">
        <f t="shared" si="483"/>
        <v>ST052</v>
      </c>
      <c r="AS1128" s="27" t="str">
        <f t="shared" si="484"/>
        <v>50</v>
      </c>
      <c r="AT1128" s="27" t="str">
        <f t="shared" si="485"/>
        <v/>
      </c>
      <c r="AU1128" s="27" t="str">
        <f t="shared" si="486"/>
        <v/>
      </c>
      <c r="AV1128" s="27" t="str">
        <f t="shared" si="487"/>
        <v/>
      </c>
      <c r="AW1128" s="27" t="str">
        <f t="shared" si="488"/>
        <v/>
      </c>
      <c r="AX1128" s="27" t="str">
        <f t="shared" si="489"/>
        <v>ST052</v>
      </c>
      <c r="AY1128" s="27" t="str">
        <f t="shared" si="490"/>
        <v/>
      </c>
      <c r="AZ1128" s="27" t="str">
        <f t="shared" si="491"/>
        <v>Supp</v>
      </c>
      <c r="BA1128" s="27" t="str">
        <f t="shared" si="492"/>
        <v/>
      </c>
      <c r="BB1128" s="27" t="str">
        <f t="shared" si="493"/>
        <v/>
      </c>
      <c r="BC1128" s="27" t="str">
        <f t="shared" si="494"/>
        <v/>
      </c>
      <c r="BD1128" s="27" t="str">
        <f t="shared" si="495"/>
        <v/>
      </c>
      <c r="BE1128" s="27" t="str">
        <f t="shared" si="496"/>
        <v/>
      </c>
      <c r="BF1128" s="27" t="str">
        <f t="shared" si="497"/>
        <v/>
      </c>
      <c r="BG1128" s="27" t="str">
        <f t="shared" si="498"/>
        <v/>
      </c>
      <c r="BH1128" s="27" t="str">
        <f t="shared" si="499"/>
        <v/>
      </c>
      <c r="BI1128" s="27" t="str">
        <f t="shared" si="500"/>
        <v/>
      </c>
      <c r="BJ1128" s="27" t="str">
        <f t="shared" si="501"/>
        <v>Supp or Hun</v>
      </c>
      <c r="BK1128" s="27" t="str">
        <f t="shared" si="502"/>
        <v/>
      </c>
      <c r="BL1128" s="27" t="str">
        <f t="shared" si="503"/>
        <v/>
      </c>
      <c r="BM1128" s="21" t="s">
        <v>5581</v>
      </c>
    </row>
    <row r="1129" spans="1:65" ht="15">
      <c r="A1129" s="25">
        <f>IFERROR(INDEX('Hun Demand'!W:W,MATCH(O1129,'Hun Demand'!A:A,0)),"")</f>
        <v>0</v>
      </c>
      <c r="B1129" s="25">
        <f>IFERROR(INDEX('Hun Demand'!V:V,MATCH(O1129,'Hun Demand'!A:A,0)),"")</f>
        <v>0</v>
      </c>
      <c r="C1129" s="25">
        <f>IFERROR(INDEX('Hun Demand'!U:U,MATCH(O1129,'Hun Demand'!A:A,0)),"")</f>
        <v>183</v>
      </c>
      <c r="D1129" s="25">
        <f>IFERROR(INDEX('Hun Demand'!T:T,MATCH(O1129,'Hun Demand'!A:A,0)),"")</f>
        <v>0</v>
      </c>
      <c r="E1129" s="25">
        <f>IFERROR(INDEX('Hun Demand'!S:S,MATCH(O1129,'Hun Demand'!A:A,0)),"")</f>
        <v>666</v>
      </c>
      <c r="F1129" s="25">
        <f>IFERROR(INDEX('Hun Demand'!R:R,MATCH(O1129,'Hun Demand'!A:A,0)),"")</f>
        <v>150</v>
      </c>
      <c r="G1129" s="25">
        <f>IFERROR(INDEX('Aub Demand'!W:W,MATCH(O1129,'Aub Demand'!A:A,0)),"")</f>
        <v>56</v>
      </c>
      <c r="H1129" s="25">
        <f>IFERROR(INDEX('Aub Demand'!V:V,MATCH(O1129,'Aub Demand'!A:A,0)),"")</f>
        <v>0</v>
      </c>
      <c r="I1129" s="25">
        <f>IFERROR(INDEX('Aub Demand'!U:U,MATCH(O1129,'Aub Demand'!A:A,0)),"")</f>
        <v>49</v>
      </c>
      <c r="J1129" s="25">
        <f>IFERROR(INDEX('Aub Demand'!T:T,MATCH(O1129,'Aub Demand'!A:A,0)),"")</f>
        <v>0</v>
      </c>
      <c r="K1129" s="25">
        <f>IFERROR(INDEX('Aub Demand'!S:S,MATCH(O1129,'Aub Demand'!A:A,0)),"")</f>
        <v>229</v>
      </c>
      <c r="L1129" s="25">
        <f>IFERROR(INDEX('Aub Demand'!R:R,MATCH(O1129,'Aub Demand'!A:A,0)),"")</f>
        <v>0</v>
      </c>
      <c r="O1129" s="27" t="s">
        <v>2724</v>
      </c>
      <c r="P1129" s="27" t="str">
        <f>IFERROR(INDEX('Aub Demand'!B:B,MATCH($O1129,'Aub Demand'!$A:$A,0)),"")</f>
        <v>STRING 62"</v>
      </c>
      <c r="Q1129" s="27" t="str">
        <f>IFERROR(INDEX('Aub Demand'!C:C,MATCH($O1129,'Aub Demand'!$A:$A,0)),"")</f>
        <v>ONYX</v>
      </c>
      <c r="R1129" s="52">
        <f>IFERROR(IF(AR1130=AR1129,INDEX('Aub Demand'!K:K,MATCH($O1129,'Aub Demand'!$A:$A,0))-IF(AN1129="",0,AN1129)+AP1130,INDEX('Aub Demand'!K:K,MATCH($O1129,'Aub Demand'!$A:$A,0))-IF(AN1129="",0,AN1129)),"")</f>
        <v>761</v>
      </c>
      <c r="S1129" s="53">
        <f t="shared" si="476"/>
        <v>35.1</v>
      </c>
      <c r="T1129" s="52" t="str">
        <f t="shared" si="477"/>
        <v/>
      </c>
      <c r="U1129" s="52">
        <f>IFERROR(IF(AR1130=AR1129,INDEX('Aub Demand'!Q:Q,MATCH($O1129,'Aub Demand'!$A:$A,0))-IF(AN1129="",0,AN1129)+AP1130,INDEX('Aub Demand'!Q:Q,MATCH($O1129,'Aub Demand'!$A:$A,0))-IF(AN1129="",0,AN1129)),"")</f>
        <v>761</v>
      </c>
      <c r="V1129" s="53">
        <f t="shared" si="478"/>
        <v>35.1</v>
      </c>
      <c r="W1129" s="52" t="str">
        <f t="shared" si="479"/>
        <v/>
      </c>
      <c r="X1129" s="52">
        <f>IFERROR(IF(AND(AR1130=AR1129,AM1129&lt;&gt;""),INDEX('Aub Demand'!Q:Q,MATCH($O1129,'Aub Demand'!$A:$A,0))-IF(AN1129="",0,AN1129)+AP1130+AD1129+AL1129,IF(AR1130=AR1129,INDEX('Aub Demand'!Q:Q,MATCH($O1129,'Aub Demand'!$A:$A,0))-IF(AN1129="",0,AN1129)+AP1130+AD1129,IF(AM1129&lt;&gt;"",INDEX('Aub Demand'!Q:Q,MATCH($O1129,'Aub Demand'!$A:$A,0))-IF(AN1129="",0,AN1129)+AD1129+AL1129,INDEX('Aub Demand'!Q:Q,MATCH($O1129,'Aub Demand'!$A:$A,0))-IF(AN1129="",0,AN1129)+AD1129))),"")</f>
        <v>761</v>
      </c>
      <c r="Y1129" s="53">
        <f t="shared" si="480"/>
        <v>35.1</v>
      </c>
      <c r="Z1129" s="52">
        <f>IF(L1129="","",INDEX('Aub Demand'!H:H,MATCH($O1129,'Aub Demand'!$A:$A,0)))</f>
        <v>93</v>
      </c>
      <c r="AA1129" s="52">
        <f t="shared" si="481"/>
        <v>139</v>
      </c>
      <c r="AB1129" s="52">
        <f>IFERROR(INDEX('Aub Demand'!L:L,MATCH($O1129,'Aub Demand'!$A:$A,0)),"")</f>
        <v>23</v>
      </c>
      <c r="AC1129" s="52">
        <f>IFERROR(IF(O1129="","",SUMIFS('CPL Mats'!F:F,'CPL Mats'!Q:Q,AR1129,'CPL Mats'!S:S,AS1129)),"")</f>
        <v>0</v>
      </c>
      <c r="AF1129" s="25">
        <f>IF(SUMIFS('Supp Consol'!S:S,'Supp Consol'!Y:Y,"Releasable",'Supp Consol'!A:A,O1129)=0,"",SUMIFS('Supp Consol'!S:S,'Supp Consol'!Y:Y,"Releasable",'Supp Consol'!A:A,O1129))</f>
        <v>1692</v>
      </c>
      <c r="AG1129" s="25">
        <f>IFERROR(INDEX('Hun Demand'!Q:Q,MATCH(O1129,'Hun Demand'!A:A,0)),"")</f>
        <v>-225</v>
      </c>
      <c r="AH1129" s="25">
        <f>IFERROR(INDEX('Hun Demand'!H:H,MATCH($O1129,'Hun Demand'!$A:$A,0)),"")</f>
        <v>283</v>
      </c>
      <c r="AI1129" s="25" t="str">
        <f>IF(SUMIFS('Supp Consol'!AA:AA,'Supp Consol'!Z:Z,"Expires this month",'Supp Consol'!A:A,O1129)=0,"",SUMIFS('Supp Consol'!AA:AA,'Supp Consol'!Z:Z,"Expires this month",'Supp Consol'!A:A,O1129))</f>
        <v/>
      </c>
      <c r="AJ1129" s="25" t="str">
        <f>IF(SUMIFS('Supp Consol'!AA:AA,'Supp Consol'!Z:Z,"Expired Previous Months",'Supp Consol'!A:A,O1129)=0,"",SUMIFS('Supp Consol'!AA:AA,'Supp Consol'!Z:Z,"Expired Previous Months",'Supp Consol'!A:A,O1129))</f>
        <v/>
      </c>
      <c r="AK1129" s="25" t="str">
        <f>IFERROR(INDEX('Hun Release Current'!B:B,MATCH(O1129,'Hun Release Current'!A:A,0)),"")</f>
        <v/>
      </c>
      <c r="AL1129" s="25" t="str">
        <f>IF(SUMIF('Prev Aub'!A:A,O1129,'Prev Aub'!B:B)=0,"",SUMIF('Prev Aub'!A:A,O1129,'Prev Aub'!B:B))</f>
        <v/>
      </c>
      <c r="AN1129" s="25" t="s">
        <v>3790</v>
      </c>
      <c r="AO1129" s="25" t="s">
        <v>3790</v>
      </c>
      <c r="AP1129" s="25">
        <f t="shared" si="482"/>
        <v>0</v>
      </c>
      <c r="AQ1129" s="151" t="str">
        <f>IF(SUMIFS('Supp Consol'!S:S,'Supp Consol'!A:A,O1129,'Supp Consol'!I:I,"PENDING")=0,"",SUMIFS('Supp Consol'!S:S,'Supp Consol'!A:A,O1129,'Supp Consol'!I:I,"PENDING"))</f>
        <v/>
      </c>
      <c r="AR1129" s="27" t="str">
        <f t="shared" si="483"/>
        <v>ST052</v>
      </c>
      <c r="AS1129" s="27" t="str">
        <f t="shared" si="484"/>
        <v>62</v>
      </c>
      <c r="AT1129" s="27" t="str">
        <f t="shared" si="485"/>
        <v/>
      </c>
      <c r="AU1129" s="27" t="str">
        <f t="shared" si="486"/>
        <v/>
      </c>
      <c r="AV1129" s="27" t="str">
        <f t="shared" si="487"/>
        <v/>
      </c>
      <c r="AW1129" s="27" t="str">
        <f t="shared" si="488"/>
        <v/>
      </c>
      <c r="AX1129" s="27" t="str">
        <f t="shared" si="489"/>
        <v>ST052</v>
      </c>
      <c r="AY1129" s="27" t="str">
        <f t="shared" si="490"/>
        <v/>
      </c>
      <c r="AZ1129" s="27" t="str">
        <f t="shared" si="491"/>
        <v>Supp</v>
      </c>
      <c r="BA1129" s="27" t="str">
        <f t="shared" si="492"/>
        <v/>
      </c>
      <c r="BB1129" s="27" t="str">
        <f t="shared" si="493"/>
        <v/>
      </c>
      <c r="BC1129" s="27" t="str">
        <f t="shared" si="494"/>
        <v/>
      </c>
      <c r="BD1129" s="27" t="str">
        <f t="shared" si="495"/>
        <v/>
      </c>
      <c r="BE1129" s="27" t="str">
        <f t="shared" si="496"/>
        <v/>
      </c>
      <c r="BF1129" s="27" t="str">
        <f t="shared" si="497"/>
        <v/>
      </c>
      <c r="BG1129" s="27" t="str">
        <f t="shared" si="498"/>
        <v/>
      </c>
      <c r="BH1129" s="27" t="str">
        <f t="shared" si="499"/>
        <v/>
      </c>
      <c r="BI1129" s="27" t="str">
        <f t="shared" si="500"/>
        <v/>
      </c>
      <c r="BJ1129" s="27" t="str">
        <f t="shared" si="501"/>
        <v>Supp or Hun</v>
      </c>
      <c r="BK1129" s="27" t="str">
        <f t="shared" si="502"/>
        <v/>
      </c>
      <c r="BL1129" s="27" t="str">
        <f t="shared" si="503"/>
        <v/>
      </c>
      <c r="BM1129" s="21" t="s">
        <v>5581</v>
      </c>
    </row>
    <row r="1130" spans="1:65" ht="15">
      <c r="A1130" s="25">
        <f>IFERROR(INDEX('Hun Demand'!W:W,MATCH(O1130,'Hun Demand'!A:A,0)),"")</f>
        <v>288</v>
      </c>
      <c r="B1130" s="25">
        <f>IFERROR(INDEX('Hun Demand'!V:V,MATCH(O1130,'Hun Demand'!A:A,0)),"")</f>
        <v>0</v>
      </c>
      <c r="C1130" s="25">
        <f>IFERROR(INDEX('Hun Demand'!U:U,MATCH(O1130,'Hun Demand'!A:A,0)),"")</f>
        <v>0</v>
      </c>
      <c r="D1130" s="25">
        <f>IFERROR(INDEX('Hun Demand'!T:T,MATCH(O1130,'Hun Demand'!A:A,0)),"")</f>
        <v>0</v>
      </c>
      <c r="E1130" s="25">
        <f>IFERROR(INDEX('Hun Demand'!S:S,MATCH(O1130,'Hun Demand'!A:A,0)),"")</f>
        <v>180</v>
      </c>
      <c r="F1130" s="25">
        <f>IFERROR(INDEX('Hun Demand'!R:R,MATCH(O1130,'Hun Demand'!A:A,0)),"")</f>
        <v>0</v>
      </c>
      <c r="G1130" s="25">
        <f>IFERROR(INDEX('Aub Demand'!W:W,MATCH(O1130,'Aub Demand'!A:A,0)),"")</f>
        <v>1567</v>
      </c>
      <c r="H1130" s="25">
        <f>IFERROR(INDEX('Aub Demand'!V:V,MATCH(O1130,'Aub Demand'!A:A,0)),"")</f>
        <v>387</v>
      </c>
      <c r="I1130" s="25">
        <f>IFERROR(INDEX('Aub Demand'!U:U,MATCH(O1130,'Aub Demand'!A:A,0)),"")</f>
        <v>1580</v>
      </c>
      <c r="J1130" s="25">
        <f>IFERROR(INDEX('Aub Demand'!T:T,MATCH(O1130,'Aub Demand'!A:A,0)),"")</f>
        <v>544</v>
      </c>
      <c r="K1130" s="25">
        <f>IFERROR(INDEX('Aub Demand'!S:S,MATCH(O1130,'Aub Demand'!A:A,0)),"")</f>
        <v>1387</v>
      </c>
      <c r="L1130" s="25">
        <f>IFERROR(INDEX('Aub Demand'!R:R,MATCH(O1130,'Aub Demand'!A:A,0)),"")</f>
        <v>0</v>
      </c>
      <c r="O1130" s="27" t="s">
        <v>2726</v>
      </c>
      <c r="P1130" s="27" t="str">
        <f>IFERROR(INDEX('Aub Demand'!B:B,MATCH($O1130,'Aub Demand'!$A:$A,0)),"")</f>
        <v>WROUGHT IRON 48"</v>
      </c>
      <c r="Q1130" s="27" t="str">
        <f>IFERROR(INDEX('Aub Demand'!C:C,MATCH($O1130,'Aub Demand'!$A:$A,0)),"")</f>
        <v>ONYX</v>
      </c>
      <c r="R1130" s="52">
        <f>IFERROR(IF(AR1131=AR1130,INDEX('Aub Demand'!K:K,MATCH($O1130,'Aub Demand'!$A:$A,0))-IF(AN1130="",0,AN1130)+AP1131,INDEX('Aub Demand'!K:K,MATCH($O1130,'Aub Demand'!$A:$A,0))-IF(AN1130="",0,AN1130)),"")</f>
        <v>966</v>
      </c>
      <c r="S1130" s="53">
        <f t="shared" si="476"/>
        <v>3.5</v>
      </c>
      <c r="T1130" s="52" t="str">
        <f t="shared" si="477"/>
        <v/>
      </c>
      <c r="U1130" s="52">
        <f>IFERROR(IF(AR1131=AR1130,INDEX('Aub Demand'!Q:Q,MATCH($O1130,'Aub Demand'!$A:$A,0))-IF(AN1130="",0,AN1130)+AP1131,INDEX('Aub Demand'!Q:Q,MATCH($O1130,'Aub Demand'!$A:$A,0))-IF(AN1130="",0,AN1130)),"")</f>
        <v>527</v>
      </c>
      <c r="V1130" s="53">
        <f t="shared" si="478"/>
        <v>1.9</v>
      </c>
      <c r="W1130" s="52">
        <f t="shared" si="479"/>
        <v>407.96250000000003</v>
      </c>
      <c r="X1130" s="52">
        <f>IFERROR(IF(AND(AR1131=AR1130,AM1130&lt;&gt;""),INDEX('Aub Demand'!Q:Q,MATCH($O1130,'Aub Demand'!$A:$A,0))-IF(AN1130="",0,AN1130)+AP1131+AD1130+AL1130,IF(AR1131=AR1130,INDEX('Aub Demand'!Q:Q,MATCH($O1130,'Aub Demand'!$A:$A,0))-IF(AN1130="",0,AN1130)+AP1131+AD1130,IF(AM1130&lt;&gt;"",INDEX('Aub Demand'!Q:Q,MATCH($O1130,'Aub Demand'!$A:$A,0))-IF(AN1130="",0,AN1130)+AD1130+AL1130,INDEX('Aub Demand'!Q:Q,MATCH($O1130,'Aub Demand'!$A:$A,0))-IF(AN1130="",0,AN1130)+AD1130))),"")</f>
        <v>1027</v>
      </c>
      <c r="Y1130" s="53">
        <f t="shared" si="480"/>
        <v>3.8</v>
      </c>
      <c r="Z1130" s="52">
        <f>IF(L1130="","",INDEX('Aub Demand'!H:H,MATCH($O1130,'Aub Demand'!$A:$A,0)))</f>
        <v>1170</v>
      </c>
      <c r="AA1130" s="52">
        <f t="shared" si="481"/>
        <v>1483.5</v>
      </c>
      <c r="AB1130" s="52">
        <f>IFERROR(INDEX('Aub Demand'!L:L,MATCH($O1130,'Aub Demand'!$A:$A,0)),"")</f>
        <v>483</v>
      </c>
      <c r="AC1130" s="52">
        <f>IFERROR(IF(O1130="","",SUMIFS('CPL Mats'!F:F,'CPL Mats'!Q:Q,AR1130,'CPL Mats'!S:S,AS1130)),"")</f>
        <v>0</v>
      </c>
      <c r="AD1130" s="25">
        <v>500</v>
      </c>
      <c r="AE1130" s="52" t="s">
        <v>5583</v>
      </c>
      <c r="AF1130" s="25">
        <f>IF(SUMIFS('Supp Consol'!S:S,'Supp Consol'!Y:Y,"Releasable",'Supp Consol'!A:A,O1130)=0,"",SUMIFS('Supp Consol'!S:S,'Supp Consol'!Y:Y,"Releasable",'Supp Consol'!A:A,O1130))</f>
        <v>5032</v>
      </c>
      <c r="AG1130" s="25">
        <f>IFERROR(INDEX('Hun Demand'!Q:Q,MATCH(O1130,'Hun Demand'!A:A,0)),"")</f>
        <v>511</v>
      </c>
      <c r="AH1130" s="25">
        <f>IFERROR(INDEX('Hun Demand'!H:H,MATCH($O1130,'Hun Demand'!$A:$A,0)),"")</f>
        <v>60</v>
      </c>
      <c r="AI1130" s="25" t="str">
        <f>IF(SUMIFS('Supp Consol'!AA:AA,'Supp Consol'!Z:Z,"Expires this month",'Supp Consol'!A:A,O1130)=0,"",SUMIFS('Supp Consol'!AA:AA,'Supp Consol'!Z:Z,"Expires this month",'Supp Consol'!A:A,O1130))</f>
        <v/>
      </c>
      <c r="AJ1130" s="25" t="str">
        <f>IF(SUMIFS('Supp Consol'!AA:AA,'Supp Consol'!Z:Z,"Expired Previous Months",'Supp Consol'!A:A,O1130)=0,"",SUMIFS('Supp Consol'!AA:AA,'Supp Consol'!Z:Z,"Expired Previous Months",'Supp Consol'!A:A,O1130))</f>
        <v/>
      </c>
      <c r="AK1130" s="25" t="str">
        <f>IFERROR(INDEX('Hun Release Current'!B:B,MATCH(O1130,'Hun Release Current'!A:A,0)),"")</f>
        <v/>
      </c>
      <c r="AL1130" s="25" t="str">
        <f>IF(SUMIF('Prev Aub'!A:A,O1130,'Prev Aub'!B:B)=0,"",SUMIF('Prev Aub'!A:A,O1130,'Prev Aub'!B:B))</f>
        <v/>
      </c>
      <c r="AN1130" s="25" t="s">
        <v>3790</v>
      </c>
      <c r="AO1130" s="25" t="s">
        <v>3790</v>
      </c>
      <c r="AP1130" s="25">
        <f t="shared" si="482"/>
        <v>0</v>
      </c>
      <c r="AQ1130" s="151" t="str">
        <f>IF(SUMIFS('Supp Consol'!S:S,'Supp Consol'!A:A,O1130,'Supp Consol'!I:I,"PENDING")=0,"",SUMIFS('Supp Consol'!S:S,'Supp Consol'!A:A,O1130,'Supp Consol'!I:I,"PENDING"))</f>
        <v/>
      </c>
      <c r="AR1130" s="27" t="str">
        <f t="shared" si="483"/>
        <v>ST054</v>
      </c>
      <c r="AS1130" s="27" t="str">
        <f t="shared" si="484"/>
        <v>50</v>
      </c>
      <c r="AT1130" s="27" t="str">
        <f t="shared" si="485"/>
        <v/>
      </c>
      <c r="AU1130" s="27" t="str">
        <f t="shared" si="486"/>
        <v/>
      </c>
      <c r="AV1130" s="27" t="str">
        <f t="shared" si="487"/>
        <v/>
      </c>
      <c r="AW1130" s="27" t="str">
        <f t="shared" si="488"/>
        <v/>
      </c>
      <c r="AX1130" s="27" t="str">
        <f t="shared" si="489"/>
        <v>ST054</v>
      </c>
      <c r="AY1130" s="27" t="str">
        <f t="shared" si="490"/>
        <v>ST054</v>
      </c>
      <c r="AZ1130" s="27" t="str">
        <f t="shared" si="491"/>
        <v>Supp</v>
      </c>
      <c r="BA1130" s="27" t="str">
        <f t="shared" si="492"/>
        <v>Hun</v>
      </c>
      <c r="BB1130" s="27" t="str">
        <f t="shared" si="493"/>
        <v/>
      </c>
      <c r="BC1130" s="27" t="str">
        <f t="shared" si="494"/>
        <v/>
      </c>
      <c r="BD1130" s="27" t="str">
        <f t="shared" si="495"/>
        <v/>
      </c>
      <c r="BE1130" s="27" t="str">
        <f t="shared" si="496"/>
        <v/>
      </c>
      <c r="BF1130" s="27" t="str">
        <f t="shared" si="497"/>
        <v/>
      </c>
      <c r="BG1130" s="27" t="str">
        <f t="shared" si="498"/>
        <v/>
      </c>
      <c r="BH1130" s="27" t="str">
        <f t="shared" si="499"/>
        <v/>
      </c>
      <c r="BI1130" s="27" t="str">
        <f t="shared" si="500"/>
        <v/>
      </c>
      <c r="BJ1130" s="27" t="str">
        <f t="shared" si="501"/>
        <v>Supp or Hun</v>
      </c>
      <c r="BK1130" s="27" t="str">
        <f t="shared" si="502"/>
        <v/>
      </c>
      <c r="BL1130" s="27" t="str">
        <f t="shared" si="503"/>
        <v/>
      </c>
      <c r="BM1130" s="21" t="s">
        <v>5581</v>
      </c>
    </row>
    <row r="1131" spans="1:65" ht="15">
      <c r="A1131" s="25">
        <f>IFERROR(INDEX('Hun Demand'!W:W,MATCH(O1131,'Hun Demand'!A:A,0)),"")</f>
        <v>328</v>
      </c>
      <c r="B1131" s="25">
        <f>IFERROR(INDEX('Hun Demand'!V:V,MATCH(O1131,'Hun Demand'!A:A,0)),"")</f>
        <v>392</v>
      </c>
      <c r="C1131" s="25">
        <f>IFERROR(INDEX('Hun Demand'!U:U,MATCH(O1131,'Hun Demand'!A:A,0)),"")</f>
        <v>274</v>
      </c>
      <c r="D1131" s="25">
        <f>IFERROR(INDEX('Hun Demand'!T:T,MATCH(O1131,'Hun Demand'!A:A,0)),"")</f>
        <v>202</v>
      </c>
      <c r="E1131" s="25">
        <f>IFERROR(INDEX('Hun Demand'!S:S,MATCH(O1131,'Hun Demand'!A:A,0)),"")</f>
        <v>0</v>
      </c>
      <c r="F1131" s="25">
        <f>IFERROR(INDEX('Hun Demand'!R:R,MATCH(O1131,'Hun Demand'!A:A,0)),"")</f>
        <v>0</v>
      </c>
      <c r="G1131" s="25">
        <f>IFERROR(INDEX('Aub Demand'!W:W,MATCH(O1131,'Aub Demand'!A:A,0)),"")</f>
        <v>559</v>
      </c>
      <c r="H1131" s="25">
        <f>IFERROR(INDEX('Aub Demand'!V:V,MATCH(O1131,'Aub Demand'!A:A,0)),"")</f>
        <v>1060</v>
      </c>
      <c r="I1131" s="25">
        <f>IFERROR(INDEX('Aub Demand'!U:U,MATCH(O1131,'Aub Demand'!A:A,0)),"")</f>
        <v>815</v>
      </c>
      <c r="J1131" s="25">
        <f>IFERROR(INDEX('Aub Demand'!T:T,MATCH(O1131,'Aub Demand'!A:A,0)),"")</f>
        <v>0</v>
      </c>
      <c r="K1131" s="25">
        <f>IFERROR(INDEX('Aub Demand'!S:S,MATCH(O1131,'Aub Demand'!A:A,0)),"")</f>
        <v>457</v>
      </c>
      <c r="L1131" s="25">
        <f>IFERROR(INDEX('Aub Demand'!R:R,MATCH(O1131,'Aub Demand'!A:A,0)),"")</f>
        <v>0</v>
      </c>
      <c r="O1131" s="27" t="s">
        <v>2729</v>
      </c>
      <c r="P1131" s="27" t="str">
        <f>IFERROR(INDEX('Aub Demand'!B:B,MATCH($O1131,'Aub Demand'!$A:$A,0)),"")</f>
        <v>WROUGHT IRON 62"</v>
      </c>
      <c r="Q1131" s="27" t="str">
        <f>IFERROR(INDEX('Aub Demand'!C:C,MATCH($O1131,'Aub Demand'!$A:$A,0)),"")</f>
        <v>ONYX</v>
      </c>
      <c r="R1131" s="52">
        <f>IFERROR(IF(AR1132=AR1131,INDEX('Aub Demand'!K:K,MATCH($O1131,'Aub Demand'!$A:$A,0))-IF(AN1131="",0,AN1131)+AP1132,INDEX('Aub Demand'!K:K,MATCH($O1131,'Aub Demand'!$A:$A,0))-IF(AN1131="",0,AN1131)),"")</f>
        <v>895</v>
      </c>
      <c r="S1131" s="53">
        <f t="shared" si="476"/>
        <v>9</v>
      </c>
      <c r="T1131" s="52" t="str">
        <f t="shared" si="477"/>
        <v/>
      </c>
      <c r="U1131" s="52">
        <f>IFERROR(IF(AR1132=AR1131,INDEX('Aub Demand'!Q:Q,MATCH($O1131,'Aub Demand'!$A:$A,0))-IF(AN1131="",0,AN1131)+AP1132,INDEX('Aub Demand'!Q:Q,MATCH($O1131,'Aub Demand'!$A:$A,0))-IF(AN1131="",0,AN1131)),"")</f>
        <v>752</v>
      </c>
      <c r="V1131" s="53">
        <f t="shared" si="478"/>
        <v>7.6</v>
      </c>
      <c r="W1131" s="52" t="str">
        <f t="shared" si="479"/>
        <v/>
      </c>
      <c r="X1131" s="52">
        <f>IFERROR(IF(AND(AR1132=AR1131,AM1131&lt;&gt;""),INDEX('Aub Demand'!Q:Q,MATCH($O1131,'Aub Demand'!$A:$A,0))-IF(AN1131="",0,AN1131)+AP1132+AD1131+AL1131,IF(AR1132=AR1131,INDEX('Aub Demand'!Q:Q,MATCH($O1131,'Aub Demand'!$A:$A,0))-IF(AN1131="",0,AN1131)+AP1132+AD1131,IF(AM1131&lt;&gt;"",INDEX('Aub Demand'!Q:Q,MATCH($O1131,'Aub Demand'!$A:$A,0))-IF(AN1131="",0,AN1131)+AD1131+AL1131,INDEX('Aub Demand'!Q:Q,MATCH($O1131,'Aub Demand'!$A:$A,0))-IF(AN1131="",0,AN1131)+AD1131))),"")</f>
        <v>752</v>
      </c>
      <c r="Y1131" s="53">
        <f t="shared" si="480"/>
        <v>7.6</v>
      </c>
      <c r="Z1131" s="52">
        <f>IF(L1131="","",INDEX('Aub Demand'!H:H,MATCH($O1131,'Aub Demand'!$A:$A,0)))</f>
        <v>424</v>
      </c>
      <c r="AA1131" s="52">
        <f t="shared" si="481"/>
        <v>636</v>
      </c>
      <c r="AB1131" s="52">
        <f>IFERROR(INDEX('Aub Demand'!L:L,MATCH($O1131,'Aub Demand'!$A:$A,0)),"")</f>
        <v>232</v>
      </c>
      <c r="AC1131" s="52">
        <f>IFERROR(IF(O1131="","",SUMIFS('CPL Mats'!F:F,'CPL Mats'!Q:Q,AR1131,'CPL Mats'!S:S,AS1131)),"")</f>
        <v>0</v>
      </c>
      <c r="AF1131" s="25">
        <f>IF(SUMIFS('Supp Consol'!S:S,'Supp Consol'!Y:Y,"Releasable",'Supp Consol'!A:A,O1131)=0,"",SUMIFS('Supp Consol'!S:S,'Supp Consol'!Y:Y,"Releasable",'Supp Consol'!A:A,O1131))</f>
        <v>5280</v>
      </c>
      <c r="AG1131" s="25">
        <f>IFERROR(INDEX('Hun Demand'!Q:Q,MATCH(O1131,'Hun Demand'!A:A,0)),"")</f>
        <v>-64</v>
      </c>
      <c r="AH1131" s="25">
        <f>IFERROR(INDEX('Hun Demand'!H:H,MATCH($O1131,'Hun Demand'!$A:$A,0)),"")</f>
        <v>159</v>
      </c>
      <c r="AI1131" s="25" t="str">
        <f>IF(SUMIFS('Supp Consol'!AA:AA,'Supp Consol'!Z:Z,"Expires this month",'Supp Consol'!A:A,O1131)=0,"",SUMIFS('Supp Consol'!AA:AA,'Supp Consol'!Z:Z,"Expires this month",'Supp Consol'!A:A,O1131))</f>
        <v/>
      </c>
      <c r="AJ1131" s="25" t="str">
        <f>IF(SUMIFS('Supp Consol'!AA:AA,'Supp Consol'!Z:Z,"Expired Previous Months",'Supp Consol'!A:A,O1131)=0,"",SUMIFS('Supp Consol'!AA:AA,'Supp Consol'!Z:Z,"Expired Previous Months",'Supp Consol'!A:A,O1131))</f>
        <v/>
      </c>
      <c r="AK1131" s="25">
        <f>IFERROR(INDEX('Hun Release Current'!B:B,MATCH(O1131,'Hun Release Current'!A:A,0)),"")</f>
        <v>1000</v>
      </c>
      <c r="AL1131" s="25" t="str">
        <f>IF(SUMIF('Prev Aub'!A:A,O1131,'Prev Aub'!B:B)=0,"",SUMIF('Prev Aub'!A:A,O1131,'Prev Aub'!B:B))</f>
        <v/>
      </c>
      <c r="AN1131" s="25" t="s">
        <v>3790</v>
      </c>
      <c r="AO1131" s="25" t="s">
        <v>3790</v>
      </c>
      <c r="AP1131" s="25">
        <f t="shared" si="482"/>
        <v>0</v>
      </c>
      <c r="AQ1131" s="151" t="str">
        <f>IF(SUMIFS('Supp Consol'!S:S,'Supp Consol'!A:A,O1131,'Supp Consol'!I:I,"PENDING")=0,"",SUMIFS('Supp Consol'!S:S,'Supp Consol'!A:A,O1131,'Supp Consol'!I:I,"PENDING"))</f>
        <v/>
      </c>
      <c r="AR1131" s="27" t="str">
        <f t="shared" si="483"/>
        <v>ST054</v>
      </c>
      <c r="AS1131" s="27" t="str">
        <f t="shared" si="484"/>
        <v>62</v>
      </c>
      <c r="AT1131" s="27" t="str">
        <f t="shared" si="485"/>
        <v/>
      </c>
      <c r="AU1131" s="27" t="str">
        <f t="shared" si="486"/>
        <v/>
      </c>
      <c r="AV1131" s="27" t="str">
        <f t="shared" si="487"/>
        <v/>
      </c>
      <c r="AW1131" s="27" t="str">
        <f t="shared" si="488"/>
        <v/>
      </c>
      <c r="AX1131" s="27" t="str">
        <f t="shared" si="489"/>
        <v>ST054</v>
      </c>
      <c r="AY1131" s="27" t="str">
        <f t="shared" si="490"/>
        <v/>
      </c>
      <c r="AZ1131" s="27" t="str">
        <f t="shared" si="491"/>
        <v>Supp</v>
      </c>
      <c r="BA1131" s="27" t="str">
        <f t="shared" si="492"/>
        <v>Hun</v>
      </c>
      <c r="BB1131" s="27" t="str">
        <f t="shared" si="493"/>
        <v/>
      </c>
      <c r="BC1131" s="27" t="str">
        <f t="shared" si="494"/>
        <v/>
      </c>
      <c r="BD1131" s="27" t="str">
        <f t="shared" si="495"/>
        <v/>
      </c>
      <c r="BE1131" s="27" t="str">
        <f t="shared" si="496"/>
        <v/>
      </c>
      <c r="BF1131" s="27" t="str">
        <f t="shared" si="497"/>
        <v/>
      </c>
      <c r="BG1131" s="27" t="str">
        <f t="shared" si="498"/>
        <v/>
      </c>
      <c r="BH1131" s="27" t="str">
        <f t="shared" si="499"/>
        <v/>
      </c>
      <c r="BI1131" s="27" t="str">
        <f t="shared" si="500"/>
        <v/>
      </c>
      <c r="BJ1131" s="27" t="str">
        <f t="shared" si="501"/>
        <v>Supp or Hun</v>
      </c>
      <c r="BK1131" s="27" t="str">
        <f t="shared" si="502"/>
        <v/>
      </c>
      <c r="BL1131" s="27" t="str">
        <f t="shared" si="503"/>
        <v/>
      </c>
      <c r="BM1131" s="21" t="s">
        <v>5581</v>
      </c>
    </row>
    <row r="1132" spans="1:65" ht="15">
      <c r="A1132" s="25" t="str">
        <f>IFERROR(INDEX('Hun Demand'!W:W,MATCH(O1132,'Hun Demand'!A:A,0)),"")</f>
        <v/>
      </c>
      <c r="B1132" s="25" t="str">
        <f>IFERROR(INDEX('Hun Demand'!V:V,MATCH(O1132,'Hun Demand'!A:A,0)),"")</f>
        <v/>
      </c>
      <c r="C1132" s="25" t="str">
        <f>IFERROR(INDEX('Hun Demand'!U:U,MATCH(O1132,'Hun Demand'!A:A,0)),"")</f>
        <v/>
      </c>
      <c r="D1132" s="25" t="str">
        <f>IFERROR(INDEX('Hun Demand'!T:T,MATCH(O1132,'Hun Demand'!A:A,0)),"")</f>
        <v/>
      </c>
      <c r="E1132" s="25" t="str">
        <f>IFERROR(INDEX('Hun Demand'!S:S,MATCH(O1132,'Hun Demand'!A:A,0)),"")</f>
        <v/>
      </c>
      <c r="F1132" s="25" t="str">
        <f>IFERROR(INDEX('Hun Demand'!R:R,MATCH(O1132,'Hun Demand'!A:A,0)),"")</f>
        <v/>
      </c>
      <c r="G1132" s="25">
        <f>IFERROR(INDEX('Aub Demand'!W:W,MATCH(O1132,'Aub Demand'!A:A,0)),"")</f>
        <v>0</v>
      </c>
      <c r="H1132" s="25">
        <f>IFERROR(INDEX('Aub Demand'!V:V,MATCH(O1132,'Aub Demand'!A:A,0)),"")</f>
        <v>0</v>
      </c>
      <c r="I1132" s="25">
        <f>IFERROR(INDEX('Aub Demand'!U:U,MATCH(O1132,'Aub Demand'!A:A,0)),"")</f>
        <v>0</v>
      </c>
      <c r="J1132" s="25">
        <f>IFERROR(INDEX('Aub Demand'!T:T,MATCH(O1132,'Aub Demand'!A:A,0)),"")</f>
        <v>0</v>
      </c>
      <c r="K1132" s="25">
        <f>IFERROR(INDEX('Aub Demand'!S:S,MATCH(O1132,'Aub Demand'!A:A,0)),"")</f>
        <v>0</v>
      </c>
      <c r="L1132" s="25">
        <f>IFERROR(INDEX('Aub Demand'!R:R,MATCH(O1132,'Aub Demand'!A:A,0)),"")</f>
        <v>0</v>
      </c>
      <c r="O1132" s="27" t="s">
        <v>2731</v>
      </c>
      <c r="P1132" s="27" t="str">
        <f>IFERROR(INDEX('Aub Demand'!B:B,MATCH($O1132,'Aub Demand'!$A:$A,0)),"")</f>
        <v>GOLDEN STARLIGHT</v>
      </c>
      <c r="Q1132" s="27" t="str">
        <f>IFERROR(INDEX('Aub Demand'!C:C,MATCH($O1132,'Aub Demand'!$A:$A,0)),"")</f>
        <v>TOPPA</v>
      </c>
      <c r="R1132" s="52">
        <f>IFERROR(IF(AR1133=AR1132,INDEX('Aub Demand'!K:K,MATCH($O1132,'Aub Demand'!$A:$A,0))-IF(AN1132="",0,AN1132)+AP1133,INDEX('Aub Demand'!K:K,MATCH($O1132,'Aub Demand'!$A:$A,0))-IF(AN1132="",0,AN1132)),"")</f>
        <v>1085</v>
      </c>
      <c r="S1132" s="53" t="str">
        <f t="shared" si="476"/>
        <v>n/a</v>
      </c>
      <c r="T1132" s="52" t="str">
        <f t="shared" si="477"/>
        <v/>
      </c>
      <c r="U1132" s="52">
        <f>IFERROR(IF(AR1133=AR1132,INDEX('Aub Demand'!Q:Q,MATCH($O1132,'Aub Demand'!$A:$A,0))-IF(AN1132="",0,AN1132)+AP1133,INDEX('Aub Demand'!Q:Q,MATCH($O1132,'Aub Demand'!$A:$A,0))-IF(AN1132="",0,AN1132)),"")</f>
        <v>1085</v>
      </c>
      <c r="V1132" s="53" t="str">
        <f t="shared" si="478"/>
        <v>n/a</v>
      </c>
      <c r="W1132" s="52" t="str">
        <f t="shared" si="479"/>
        <v/>
      </c>
      <c r="X1132" s="52">
        <f>IFERROR(IF(AND(AR1133=AR1132,AM1132&lt;&gt;""),INDEX('Aub Demand'!Q:Q,MATCH($O1132,'Aub Demand'!$A:$A,0))-IF(AN1132="",0,AN1132)+AP1133+AD1132+AL1132,IF(AR1133=AR1132,INDEX('Aub Demand'!Q:Q,MATCH($O1132,'Aub Demand'!$A:$A,0))-IF(AN1132="",0,AN1132)+AP1133+AD1132,IF(AM1132&lt;&gt;"",INDEX('Aub Demand'!Q:Q,MATCH($O1132,'Aub Demand'!$A:$A,0))-IF(AN1132="",0,AN1132)+AD1132+AL1132,INDEX('Aub Demand'!Q:Q,MATCH($O1132,'Aub Demand'!$A:$A,0))-IF(AN1132="",0,AN1132)+AD1132))),"")</f>
        <v>1085</v>
      </c>
      <c r="Y1132" s="53" t="str">
        <f t="shared" si="480"/>
        <v>n/a</v>
      </c>
      <c r="Z1132" s="52">
        <f>IF(L1132="","",INDEX('Aub Demand'!H:H,MATCH($O1132,'Aub Demand'!$A:$A,0)))</f>
        <v>0</v>
      </c>
      <c r="AA1132" s="52" t="str">
        <f t="shared" si="481"/>
        <v>-spike-</v>
      </c>
      <c r="AB1132" s="52">
        <f>IFERROR(INDEX('Aub Demand'!L:L,MATCH($O1132,'Aub Demand'!$A:$A,0)),"")</f>
        <v>196</v>
      </c>
      <c r="AC1132" s="52">
        <f>IFERROR(IF(O1132="","",SUMIFS('CPL Mats'!F:F,'CPL Mats'!Q:Q,AR1132,'CPL Mats'!S:S,AS1132)),"")</f>
        <v>0</v>
      </c>
      <c r="AF1132" s="25" t="str">
        <f>IF(SUMIFS('Supp Consol'!S:S,'Supp Consol'!Y:Y,"Releasable",'Supp Consol'!A:A,O1132)=0,"",SUMIFS('Supp Consol'!S:S,'Supp Consol'!Y:Y,"Releasable",'Supp Consol'!A:A,O1132))</f>
        <v/>
      </c>
      <c r="AG1132" s="25" t="str">
        <f>IFERROR(INDEX('Hun Demand'!Q:Q,MATCH(O1132,'Hun Demand'!A:A,0)),"")</f>
        <v/>
      </c>
      <c r="AH1132" s="25" t="str">
        <f>IFERROR(INDEX('Hun Demand'!H:H,MATCH($O1132,'Hun Demand'!$A:$A,0)),"")</f>
        <v/>
      </c>
      <c r="AI1132" s="25" t="str">
        <f>IF(SUMIFS('Supp Consol'!AA:AA,'Supp Consol'!Z:Z,"Expires this month",'Supp Consol'!A:A,O1132)=0,"",SUMIFS('Supp Consol'!AA:AA,'Supp Consol'!Z:Z,"Expires this month",'Supp Consol'!A:A,O1132))</f>
        <v/>
      </c>
      <c r="AJ1132" s="25" t="str">
        <f>IF(SUMIFS('Supp Consol'!AA:AA,'Supp Consol'!Z:Z,"Expired Previous Months",'Supp Consol'!A:A,O1132)=0,"",SUMIFS('Supp Consol'!AA:AA,'Supp Consol'!Z:Z,"Expired Previous Months",'Supp Consol'!A:A,O1132))</f>
        <v/>
      </c>
      <c r="AK1132" s="25" t="str">
        <f>IFERROR(INDEX('Hun Release Current'!B:B,MATCH(O1132,'Hun Release Current'!A:A,0)),"")</f>
        <v/>
      </c>
      <c r="AL1132" s="25" t="str">
        <f>IF(SUMIF('Prev Aub'!A:A,O1132,'Prev Aub'!B:B)=0,"",SUMIF('Prev Aub'!A:A,O1132,'Prev Aub'!B:B))</f>
        <v/>
      </c>
      <c r="AN1132" s="25" t="s">
        <v>3790</v>
      </c>
      <c r="AO1132" s="25" t="s">
        <v>3790</v>
      </c>
      <c r="AP1132" s="25">
        <f t="shared" si="482"/>
        <v>0</v>
      </c>
      <c r="AQ1132" s="151" t="str">
        <f>IF(SUMIFS('Supp Consol'!S:S,'Supp Consol'!A:A,O1132,'Supp Consol'!I:I,"PENDING")=0,"",SUMIFS('Supp Consol'!S:S,'Supp Consol'!A:A,O1132,'Supp Consol'!I:I,"PENDING"))</f>
        <v/>
      </c>
      <c r="AR1132" s="27" t="str">
        <f t="shared" si="483"/>
        <v>ST202</v>
      </c>
      <c r="AS1132" s="27" t="str">
        <f t="shared" si="484"/>
        <v>50</v>
      </c>
      <c r="AT1132" s="27" t="str">
        <f t="shared" si="485"/>
        <v/>
      </c>
      <c r="AU1132" s="27" t="str">
        <f t="shared" si="486"/>
        <v/>
      </c>
      <c r="AV1132" s="27" t="str">
        <f t="shared" si="487"/>
        <v/>
      </c>
      <c r="AW1132" s="27" t="str">
        <f t="shared" si="488"/>
        <v/>
      </c>
      <c r="AX1132" s="27" t="str">
        <f t="shared" si="489"/>
        <v/>
      </c>
      <c r="AY1132" s="27" t="str">
        <f t="shared" si="490"/>
        <v/>
      </c>
      <c r="AZ1132" s="27" t="str">
        <f t="shared" si="491"/>
        <v/>
      </c>
      <c r="BA1132" s="27" t="str">
        <f t="shared" si="492"/>
        <v/>
      </c>
      <c r="BB1132" s="27" t="str">
        <f t="shared" si="493"/>
        <v/>
      </c>
      <c r="BC1132" s="27" t="str">
        <f t="shared" si="494"/>
        <v/>
      </c>
      <c r="BD1132" s="27" t="str">
        <f t="shared" si="495"/>
        <v/>
      </c>
      <c r="BE1132" s="27" t="str">
        <f t="shared" si="496"/>
        <v/>
      </c>
      <c r="BF1132" s="27" t="str">
        <f t="shared" si="497"/>
        <v/>
      </c>
      <c r="BG1132" s="27" t="str">
        <f t="shared" si="498"/>
        <v/>
      </c>
      <c r="BH1132" s="27" t="str">
        <f t="shared" si="499"/>
        <v/>
      </c>
      <c r="BI1132" s="27" t="str">
        <f t="shared" si="500"/>
        <v/>
      </c>
      <c r="BJ1132" s="27" t="str">
        <f t="shared" si="501"/>
        <v/>
      </c>
      <c r="BK1132" s="27" t="str">
        <f t="shared" si="502"/>
        <v/>
      </c>
      <c r="BL1132" s="27" t="str">
        <f t="shared" si="503"/>
        <v/>
      </c>
      <c r="BM1132" s="21" t="s">
        <v>5581</v>
      </c>
    </row>
    <row r="1133" spans="1:65" ht="15">
      <c r="A1133" s="25" t="str">
        <f>IFERROR(INDEX('Hun Demand'!W:W,MATCH(O1133,'Hun Demand'!A:A,0)),"")</f>
        <v/>
      </c>
      <c r="B1133" s="25" t="str">
        <f>IFERROR(INDEX('Hun Demand'!V:V,MATCH(O1133,'Hun Demand'!A:A,0)),"")</f>
        <v/>
      </c>
      <c r="C1133" s="25" t="str">
        <f>IFERROR(INDEX('Hun Demand'!U:U,MATCH(O1133,'Hun Demand'!A:A,0)),"")</f>
        <v/>
      </c>
      <c r="D1133" s="25" t="str">
        <f>IFERROR(INDEX('Hun Demand'!T:T,MATCH(O1133,'Hun Demand'!A:A,0)),"")</f>
        <v/>
      </c>
      <c r="E1133" s="25" t="str">
        <f>IFERROR(INDEX('Hun Demand'!S:S,MATCH(O1133,'Hun Demand'!A:A,0)),"")</f>
        <v/>
      </c>
      <c r="F1133" s="25" t="str">
        <f>IFERROR(INDEX('Hun Demand'!R:R,MATCH(O1133,'Hun Demand'!A:A,0)),"")</f>
        <v/>
      </c>
      <c r="G1133" s="25">
        <f>IFERROR(INDEX('Aub Demand'!W:W,MATCH(O1133,'Aub Demand'!A:A,0)),"")</f>
        <v>0</v>
      </c>
      <c r="H1133" s="25">
        <f>IFERROR(INDEX('Aub Demand'!V:V,MATCH(O1133,'Aub Demand'!A:A,0)),"")</f>
        <v>183</v>
      </c>
      <c r="I1133" s="25">
        <f>IFERROR(INDEX('Aub Demand'!U:U,MATCH(O1133,'Aub Demand'!A:A,0)),"")</f>
        <v>200</v>
      </c>
      <c r="J1133" s="25">
        <f>IFERROR(INDEX('Aub Demand'!T:T,MATCH(O1133,'Aub Demand'!A:A,0)),"")</f>
        <v>0</v>
      </c>
      <c r="K1133" s="25">
        <f>IFERROR(INDEX('Aub Demand'!S:S,MATCH(O1133,'Aub Demand'!A:A,0)),"")</f>
        <v>405</v>
      </c>
      <c r="L1133" s="25">
        <f>IFERROR(INDEX('Aub Demand'!R:R,MATCH(O1133,'Aub Demand'!A:A,0)),"")</f>
        <v>0</v>
      </c>
      <c r="O1133" s="27" t="s">
        <v>2734</v>
      </c>
      <c r="P1133" s="27" t="str">
        <f>IFERROR(INDEX('Aub Demand'!B:B,MATCH($O1133,'Aub Demand'!$A:$A,0)),"")</f>
        <v>TAN BASEPAPER (PINDE</v>
      </c>
      <c r="Q1133" s="27" t="str">
        <f>IFERROR(INDEX('Aub Demand'!C:C,MATCH($O1133,'Aub Demand'!$A:$A,0)),"")</f>
        <v>INTER</v>
      </c>
      <c r="R1133" s="52">
        <f>IFERROR(IF(AR1134=AR1133,INDEX('Aub Demand'!K:K,MATCH($O1133,'Aub Demand'!$A:$A,0))-IF(AN1133="",0,AN1133)+AP1134,INDEX('Aub Demand'!K:K,MATCH($O1133,'Aub Demand'!$A:$A,0))-IF(AN1133="",0,AN1133)),"")</f>
        <v>886</v>
      </c>
      <c r="S1133" s="53">
        <f t="shared" si="476"/>
        <v>18.8</v>
      </c>
      <c r="T1133" s="52" t="str">
        <f t="shared" si="477"/>
        <v/>
      </c>
      <c r="U1133" s="52">
        <f>IFERROR(IF(AR1134=AR1133,INDEX('Aub Demand'!Q:Q,MATCH($O1133,'Aub Demand'!$A:$A,0))-IF(AN1133="",0,AN1133)+AP1134,INDEX('Aub Demand'!Q:Q,MATCH($O1133,'Aub Demand'!$A:$A,0))-IF(AN1133="",0,AN1133)),"")</f>
        <v>760</v>
      </c>
      <c r="V1133" s="53">
        <f t="shared" si="478"/>
        <v>16.100000000000001</v>
      </c>
      <c r="W1133" s="52" t="str">
        <f t="shared" si="479"/>
        <v/>
      </c>
      <c r="X1133" s="52">
        <f>IFERROR(IF(AND(AR1134=AR1133,AM1133&lt;&gt;""),INDEX('Aub Demand'!Q:Q,MATCH($O1133,'Aub Demand'!$A:$A,0))-IF(AN1133="",0,AN1133)+AP1134+AD1133+AL1133,IF(AR1134=AR1133,INDEX('Aub Demand'!Q:Q,MATCH($O1133,'Aub Demand'!$A:$A,0))-IF(AN1133="",0,AN1133)+AP1134+AD1133,IF(AM1133&lt;&gt;"",INDEX('Aub Demand'!Q:Q,MATCH($O1133,'Aub Demand'!$A:$A,0))-IF(AN1133="",0,AN1133)+AD1133+AL1133,INDEX('Aub Demand'!Q:Q,MATCH($O1133,'Aub Demand'!$A:$A,0))-IF(AN1133="",0,AN1133)+AD1133))),"")</f>
        <v>760</v>
      </c>
      <c r="Y1133" s="53">
        <f t="shared" si="480"/>
        <v>16.100000000000001</v>
      </c>
      <c r="Z1133" s="52">
        <f>IF(L1133="","",INDEX('Aub Demand'!H:H,MATCH($O1133,'Aub Demand'!$A:$A,0)))</f>
        <v>202</v>
      </c>
      <c r="AA1133" s="52">
        <f t="shared" si="481"/>
        <v>302.5</v>
      </c>
      <c r="AB1133" s="52">
        <f>IFERROR(INDEX('Aub Demand'!L:L,MATCH($O1133,'Aub Demand'!$A:$A,0)),"")</f>
        <v>79</v>
      </c>
      <c r="AC1133" s="52">
        <f>IFERROR(IF(O1133="","",SUMIFS('CPL Mats'!F:F,'CPL Mats'!Q:Q,AR1133,'CPL Mats'!S:S,AS1133)),"")</f>
        <v>0</v>
      </c>
      <c r="AF1133" s="25" t="str">
        <f>IF(SUMIFS('Supp Consol'!S:S,'Supp Consol'!Y:Y,"Releasable",'Supp Consol'!A:A,O1133)=0,"",SUMIFS('Supp Consol'!S:S,'Supp Consol'!Y:Y,"Releasable",'Supp Consol'!A:A,O1133))</f>
        <v/>
      </c>
      <c r="AG1133" s="25" t="str">
        <f>IFERROR(INDEX('Hun Demand'!Q:Q,MATCH(O1133,'Hun Demand'!A:A,0)),"")</f>
        <v/>
      </c>
      <c r="AH1133" s="25" t="str">
        <f>IFERROR(INDEX('Hun Demand'!H:H,MATCH($O1133,'Hun Demand'!$A:$A,0)),"")</f>
        <v/>
      </c>
      <c r="AI1133" s="25" t="str">
        <f>IF(SUMIFS('Supp Consol'!AA:AA,'Supp Consol'!Z:Z,"Expires this month",'Supp Consol'!A:A,O1133)=0,"",SUMIFS('Supp Consol'!AA:AA,'Supp Consol'!Z:Z,"Expires this month",'Supp Consol'!A:A,O1133))</f>
        <v/>
      </c>
      <c r="AJ1133" s="25" t="str">
        <f>IF(SUMIFS('Supp Consol'!AA:AA,'Supp Consol'!Z:Z,"Expired Previous Months",'Supp Consol'!A:A,O1133)=0,"",SUMIFS('Supp Consol'!AA:AA,'Supp Consol'!Z:Z,"Expired Previous Months",'Supp Consol'!A:A,O1133))</f>
        <v/>
      </c>
      <c r="AK1133" s="25" t="str">
        <f>IFERROR(INDEX('Hun Release Current'!B:B,MATCH(O1133,'Hun Release Current'!A:A,0)),"")</f>
        <v/>
      </c>
      <c r="AL1133" s="25" t="str">
        <f>IF(SUMIF('Prev Aub'!A:A,O1133,'Prev Aub'!B:B)=0,"",SUMIF('Prev Aub'!A:A,O1133,'Prev Aub'!B:B))</f>
        <v/>
      </c>
      <c r="AN1133" s="25" t="s">
        <v>3790</v>
      </c>
      <c r="AO1133" s="25" t="s">
        <v>3790</v>
      </c>
      <c r="AP1133" s="25">
        <f t="shared" si="482"/>
        <v>0</v>
      </c>
      <c r="AQ1133" s="151" t="str">
        <f>IF(SUMIFS('Supp Consol'!S:S,'Supp Consol'!A:A,O1133,'Supp Consol'!I:I,"PENDING")=0,"",SUMIFS('Supp Consol'!S:S,'Supp Consol'!A:A,O1133,'Supp Consol'!I:I,"PENDING"))</f>
        <v/>
      </c>
      <c r="AR1133" s="27" t="str">
        <f t="shared" si="483"/>
        <v>ST600</v>
      </c>
      <c r="AS1133" s="27" t="str">
        <f t="shared" si="484"/>
        <v>50</v>
      </c>
      <c r="AT1133" s="27" t="str">
        <f t="shared" si="485"/>
        <v/>
      </c>
      <c r="AU1133" s="27" t="str">
        <f t="shared" si="486"/>
        <v/>
      </c>
      <c r="AV1133" s="27" t="str">
        <f t="shared" si="487"/>
        <v/>
      </c>
      <c r="AW1133" s="27" t="str">
        <f t="shared" si="488"/>
        <v/>
      </c>
      <c r="AX1133" s="27" t="str">
        <f t="shared" si="489"/>
        <v/>
      </c>
      <c r="AY1133" s="27" t="str">
        <f t="shared" si="490"/>
        <v/>
      </c>
      <c r="AZ1133" s="27" t="str">
        <f t="shared" si="491"/>
        <v/>
      </c>
      <c r="BA1133" s="27" t="str">
        <f t="shared" si="492"/>
        <v/>
      </c>
      <c r="BB1133" s="27" t="str">
        <f t="shared" si="493"/>
        <v/>
      </c>
      <c r="BC1133" s="27" t="str">
        <f t="shared" si="494"/>
        <v/>
      </c>
      <c r="BD1133" s="27" t="str">
        <f t="shared" si="495"/>
        <v/>
      </c>
      <c r="BE1133" s="27" t="str">
        <f t="shared" si="496"/>
        <v/>
      </c>
      <c r="BF1133" s="27" t="str">
        <f t="shared" si="497"/>
        <v/>
      </c>
      <c r="BG1133" s="27" t="str">
        <f t="shared" si="498"/>
        <v/>
      </c>
      <c r="BH1133" s="27" t="str">
        <f t="shared" si="499"/>
        <v/>
      </c>
      <c r="BI1133" s="27" t="str">
        <f t="shared" si="500"/>
        <v/>
      </c>
      <c r="BJ1133" s="27" t="str">
        <f t="shared" si="501"/>
        <v/>
      </c>
      <c r="BK1133" s="27" t="str">
        <f t="shared" si="502"/>
        <v/>
      </c>
      <c r="BL1133" s="27" t="str">
        <f t="shared" si="503"/>
        <v/>
      </c>
      <c r="BM1133" s="21" t="s">
        <v>5581</v>
      </c>
    </row>
    <row r="1134" spans="1:65" ht="15">
      <c r="A1134" s="25" t="str">
        <f>IFERROR(INDEX('Hun Demand'!W:W,MATCH(O1134,'Hun Demand'!A:A,0)),"")</f>
        <v/>
      </c>
      <c r="B1134" s="25" t="str">
        <f>IFERROR(INDEX('Hun Demand'!V:V,MATCH(O1134,'Hun Demand'!A:A,0)),"")</f>
        <v/>
      </c>
      <c r="C1134" s="25" t="str">
        <f>IFERROR(INDEX('Hun Demand'!U:U,MATCH(O1134,'Hun Demand'!A:A,0)),"")</f>
        <v/>
      </c>
      <c r="D1134" s="25" t="str">
        <f>IFERROR(INDEX('Hun Demand'!T:T,MATCH(O1134,'Hun Demand'!A:A,0)),"")</f>
        <v/>
      </c>
      <c r="E1134" s="25" t="str">
        <f>IFERROR(INDEX('Hun Demand'!S:S,MATCH(O1134,'Hun Demand'!A:A,0)),"")</f>
        <v/>
      </c>
      <c r="F1134" s="25" t="str">
        <f>IFERROR(INDEX('Hun Demand'!R:R,MATCH(O1134,'Hun Demand'!A:A,0)),"")</f>
        <v/>
      </c>
      <c r="G1134" s="25">
        <f>IFERROR(INDEX('Aub Demand'!W:W,MATCH(O1134,'Aub Demand'!A:A,0)),"")</f>
        <v>852</v>
      </c>
      <c r="H1134" s="25">
        <f>IFERROR(INDEX('Aub Demand'!V:V,MATCH(O1134,'Aub Demand'!A:A,0)),"")</f>
        <v>0</v>
      </c>
      <c r="I1134" s="25">
        <f>IFERROR(INDEX('Aub Demand'!U:U,MATCH(O1134,'Aub Demand'!A:A,0)),"")</f>
        <v>0</v>
      </c>
      <c r="J1134" s="25">
        <f>IFERROR(INDEX('Aub Demand'!T:T,MATCH(O1134,'Aub Demand'!A:A,0)),"")</f>
        <v>0</v>
      </c>
      <c r="K1134" s="25">
        <f>IFERROR(INDEX('Aub Demand'!S:S,MATCH(O1134,'Aub Demand'!A:A,0)),"")</f>
        <v>0</v>
      </c>
      <c r="L1134" s="25">
        <f>IFERROR(INDEX('Aub Demand'!R:R,MATCH(O1134,'Aub Demand'!A:A,0)),"")</f>
        <v>0</v>
      </c>
      <c r="O1134" s="27" t="s">
        <v>2736</v>
      </c>
      <c r="P1134" s="27" t="str">
        <f>IFERROR(INDEX('Aub Demand'!B:B,MATCH($O1134,'Aub Demand'!$A:$A,0)),"")</f>
        <v>GRAY STARLITE</v>
      </c>
      <c r="Q1134" s="27" t="str">
        <f>IFERROR(INDEX('Aub Demand'!C:C,MATCH($O1134,'Aub Demand'!$A:$A,0)),"")</f>
        <v>TOPPA</v>
      </c>
      <c r="R1134" s="52">
        <f>IFERROR(IF(AR1135=AR1134,INDEX('Aub Demand'!K:K,MATCH($O1134,'Aub Demand'!$A:$A,0))-IF(AN1134="",0,AN1134)+AP1135,INDEX('Aub Demand'!K:K,MATCH($O1134,'Aub Demand'!$A:$A,0))-IF(AN1134="",0,AN1134)),"")</f>
        <v>4859</v>
      </c>
      <c r="S1134" s="53" t="str">
        <f t="shared" si="476"/>
        <v>n/a</v>
      </c>
      <c r="T1134" s="52" t="str">
        <f t="shared" si="477"/>
        <v/>
      </c>
      <c r="U1134" s="52">
        <f>IFERROR(IF(AR1135=AR1134,INDEX('Aub Demand'!Q:Q,MATCH($O1134,'Aub Demand'!$A:$A,0))-IF(AN1134="",0,AN1134)+AP1135,INDEX('Aub Demand'!Q:Q,MATCH($O1134,'Aub Demand'!$A:$A,0))-IF(AN1134="",0,AN1134)),"")</f>
        <v>4721</v>
      </c>
      <c r="V1134" s="53" t="str">
        <f t="shared" si="478"/>
        <v>n/a</v>
      </c>
      <c r="W1134" s="52" t="str">
        <f t="shared" si="479"/>
        <v/>
      </c>
      <c r="X1134" s="52">
        <f>IFERROR(IF(AND(AR1135=AR1134,AM1134&lt;&gt;""),INDEX('Aub Demand'!Q:Q,MATCH($O1134,'Aub Demand'!$A:$A,0))-IF(AN1134="",0,AN1134)+AP1135+AD1134+AL1134,IF(AR1135=AR1134,INDEX('Aub Demand'!Q:Q,MATCH($O1134,'Aub Demand'!$A:$A,0))-IF(AN1134="",0,AN1134)+AP1135+AD1134,IF(AM1134&lt;&gt;"",INDEX('Aub Demand'!Q:Q,MATCH($O1134,'Aub Demand'!$A:$A,0))-IF(AN1134="",0,AN1134)+AD1134+AL1134,INDEX('Aub Demand'!Q:Q,MATCH($O1134,'Aub Demand'!$A:$A,0))-IF(AN1134="",0,AN1134)+AD1134))),"")</f>
        <v>4721</v>
      </c>
      <c r="Y1134" s="53" t="str">
        <f t="shared" si="480"/>
        <v>n/a</v>
      </c>
      <c r="Z1134" s="52">
        <f>IF(L1134="","",INDEX('Aub Demand'!H:H,MATCH($O1134,'Aub Demand'!$A:$A,0)))</f>
        <v>0</v>
      </c>
      <c r="AA1134" s="52" t="str">
        <f t="shared" si="481"/>
        <v>-spike-</v>
      </c>
      <c r="AB1134" s="52">
        <f>IFERROR(INDEX('Aub Demand'!L:L,MATCH($O1134,'Aub Demand'!$A:$A,0)),"")</f>
        <v>910</v>
      </c>
      <c r="AC1134" s="52">
        <f>IFERROR(IF(O1134="","",SUMIFS('CPL Mats'!F:F,'CPL Mats'!Q:Q,AR1134,'CPL Mats'!S:S,AS1134)),"")</f>
        <v>0</v>
      </c>
      <c r="AF1134" s="25" t="str">
        <f>IF(SUMIFS('Supp Consol'!S:S,'Supp Consol'!Y:Y,"Releasable",'Supp Consol'!A:A,O1134)=0,"",SUMIFS('Supp Consol'!S:S,'Supp Consol'!Y:Y,"Releasable",'Supp Consol'!A:A,O1134))</f>
        <v/>
      </c>
      <c r="AG1134" s="25" t="str">
        <f>IFERROR(INDEX('Hun Demand'!Q:Q,MATCH(O1134,'Hun Demand'!A:A,0)),"")</f>
        <v/>
      </c>
      <c r="AH1134" s="25" t="str">
        <f>IFERROR(INDEX('Hun Demand'!H:H,MATCH($O1134,'Hun Demand'!$A:$A,0)),"")</f>
        <v/>
      </c>
      <c r="AI1134" s="25" t="str">
        <f>IF(SUMIFS('Supp Consol'!AA:AA,'Supp Consol'!Z:Z,"Expires this month",'Supp Consol'!A:A,O1134)=0,"",SUMIFS('Supp Consol'!AA:AA,'Supp Consol'!Z:Z,"Expires this month",'Supp Consol'!A:A,O1134))</f>
        <v/>
      </c>
      <c r="AJ1134" s="25" t="str">
        <f>IF(SUMIFS('Supp Consol'!AA:AA,'Supp Consol'!Z:Z,"Expired Previous Months",'Supp Consol'!A:A,O1134)=0,"",SUMIFS('Supp Consol'!AA:AA,'Supp Consol'!Z:Z,"Expired Previous Months",'Supp Consol'!A:A,O1134))</f>
        <v/>
      </c>
      <c r="AK1134" s="25" t="str">
        <f>IFERROR(INDEX('Hun Release Current'!B:B,MATCH(O1134,'Hun Release Current'!A:A,0)),"")</f>
        <v/>
      </c>
      <c r="AL1134" s="25" t="str">
        <f>IF(SUMIF('Prev Aub'!A:A,O1134,'Prev Aub'!B:B)=0,"",SUMIF('Prev Aub'!A:A,O1134,'Prev Aub'!B:B))</f>
        <v/>
      </c>
      <c r="AN1134" s="25" t="s">
        <v>3790</v>
      </c>
      <c r="AO1134" s="25" t="s">
        <v>3790</v>
      </c>
      <c r="AP1134" s="25">
        <f t="shared" si="482"/>
        <v>0</v>
      </c>
      <c r="AQ1134" s="151" t="str">
        <f>IF(SUMIFS('Supp Consol'!S:S,'Supp Consol'!A:A,O1134,'Supp Consol'!I:I,"PENDING")=0,"",SUMIFS('Supp Consol'!S:S,'Supp Consol'!A:A,O1134,'Supp Consol'!I:I,"PENDING"))</f>
        <v/>
      </c>
      <c r="AR1134" s="27" t="str">
        <f t="shared" si="483"/>
        <v>ST601</v>
      </c>
      <c r="AS1134" s="27" t="str">
        <f t="shared" si="484"/>
        <v>50</v>
      </c>
      <c r="AT1134" s="27" t="str">
        <f t="shared" si="485"/>
        <v/>
      </c>
      <c r="AU1134" s="27" t="str">
        <f t="shared" si="486"/>
        <v/>
      </c>
      <c r="AV1134" s="27" t="str">
        <f t="shared" si="487"/>
        <v/>
      </c>
      <c r="AW1134" s="27" t="str">
        <f t="shared" si="488"/>
        <v/>
      </c>
      <c r="AX1134" s="27" t="str">
        <f t="shared" si="489"/>
        <v/>
      </c>
      <c r="AY1134" s="27" t="str">
        <f t="shared" si="490"/>
        <v/>
      </c>
      <c r="AZ1134" s="27" t="str">
        <f t="shared" si="491"/>
        <v/>
      </c>
      <c r="BA1134" s="27" t="str">
        <f t="shared" si="492"/>
        <v/>
      </c>
      <c r="BB1134" s="27" t="str">
        <f t="shared" si="493"/>
        <v/>
      </c>
      <c r="BC1134" s="27" t="str">
        <f t="shared" si="494"/>
        <v/>
      </c>
      <c r="BD1134" s="27" t="str">
        <f t="shared" si="495"/>
        <v/>
      </c>
      <c r="BE1134" s="27" t="str">
        <f t="shared" si="496"/>
        <v/>
      </c>
      <c r="BF1134" s="27" t="str">
        <f t="shared" si="497"/>
        <v/>
      </c>
      <c r="BG1134" s="27" t="str">
        <f t="shared" si="498"/>
        <v/>
      </c>
      <c r="BH1134" s="27" t="str">
        <f t="shared" si="499"/>
        <v/>
      </c>
      <c r="BI1134" s="27" t="str">
        <f t="shared" si="500"/>
        <v/>
      </c>
      <c r="BJ1134" s="27" t="str">
        <f t="shared" si="501"/>
        <v/>
      </c>
      <c r="BK1134" s="27" t="str">
        <f t="shared" si="502"/>
        <v/>
      </c>
      <c r="BL1134" s="27" t="str">
        <f t="shared" si="503"/>
        <v/>
      </c>
      <c r="BM1134" s="21" t="s">
        <v>5581</v>
      </c>
    </row>
    <row r="1135" spans="1:65" ht="15">
      <c r="A1135" s="25" t="str">
        <f>IFERROR(INDEX('Hun Demand'!W:W,MATCH(O1135,'Hun Demand'!A:A,0)),"")</f>
        <v/>
      </c>
      <c r="B1135" s="25" t="str">
        <f>IFERROR(INDEX('Hun Demand'!V:V,MATCH(O1135,'Hun Demand'!A:A,0)),"")</f>
        <v/>
      </c>
      <c r="C1135" s="25" t="str">
        <f>IFERROR(INDEX('Hun Demand'!U:U,MATCH(O1135,'Hun Demand'!A:A,0)),"")</f>
        <v/>
      </c>
      <c r="D1135" s="25" t="str">
        <f>IFERROR(INDEX('Hun Demand'!T:T,MATCH(O1135,'Hun Demand'!A:A,0)),"")</f>
        <v/>
      </c>
      <c r="E1135" s="25" t="str">
        <f>IFERROR(INDEX('Hun Demand'!S:S,MATCH(O1135,'Hun Demand'!A:A,0)),"")</f>
        <v/>
      </c>
      <c r="F1135" s="25" t="str">
        <f>IFERROR(INDEX('Hun Demand'!R:R,MATCH(O1135,'Hun Demand'!A:A,0)),"")</f>
        <v/>
      </c>
      <c r="G1135" s="25">
        <f>IFERROR(INDEX('Aub Demand'!W:W,MATCH(O1135,'Aub Demand'!A:A,0)),"")</f>
        <v>107</v>
      </c>
      <c r="H1135" s="25">
        <f>IFERROR(INDEX('Aub Demand'!V:V,MATCH(O1135,'Aub Demand'!A:A,0)),"")</f>
        <v>179</v>
      </c>
      <c r="I1135" s="25">
        <f>IFERROR(INDEX('Aub Demand'!U:U,MATCH(O1135,'Aub Demand'!A:A,0)),"")</f>
        <v>56</v>
      </c>
      <c r="J1135" s="25">
        <f>IFERROR(INDEX('Aub Demand'!T:T,MATCH(O1135,'Aub Demand'!A:A,0)),"")</f>
        <v>391</v>
      </c>
      <c r="K1135" s="25">
        <f>IFERROR(INDEX('Aub Demand'!S:S,MATCH(O1135,'Aub Demand'!A:A,0)),"")</f>
        <v>86</v>
      </c>
      <c r="L1135" s="25">
        <f>IFERROR(INDEX('Aub Demand'!R:R,MATCH(O1135,'Aub Demand'!A:A,0)),"")</f>
        <v>0</v>
      </c>
      <c r="O1135" s="27" t="s">
        <v>1491</v>
      </c>
      <c r="P1135" s="27" t="str">
        <f>IFERROR(INDEX('Aub Demand'!B:B,MATCH($O1135,'Aub Demand'!$A:$A,0)),"")</f>
        <v>NUBIAN BROWN</v>
      </c>
      <c r="Q1135" s="27" t="str">
        <f>IFERROR(INDEX('Aub Demand'!C:C,MATCH($O1135,'Aub Demand'!$A:$A,0)),"")</f>
        <v>ONYX</v>
      </c>
      <c r="R1135" s="52">
        <f>IFERROR(IF(AR1136=AR1135,INDEX('Aub Demand'!K:K,MATCH($O1135,'Aub Demand'!$A:$A,0))-IF(AN1135="",0,AN1135)+AP1136,INDEX('Aub Demand'!K:K,MATCH($O1135,'Aub Demand'!$A:$A,0))-IF(AN1135="",0,AN1135)),"")</f>
        <v>160</v>
      </c>
      <c r="S1135" s="53">
        <f t="shared" si="476"/>
        <v>3.9</v>
      </c>
      <c r="T1135" s="52" t="str">
        <f t="shared" si="477"/>
        <v/>
      </c>
      <c r="U1135" s="52">
        <f>IFERROR(IF(AR1136=AR1135,INDEX('Aub Demand'!Q:Q,MATCH($O1135,'Aub Demand'!$A:$A,0))-IF(AN1135="",0,AN1135)+AP1136,INDEX('Aub Demand'!Q:Q,MATCH($O1135,'Aub Demand'!$A:$A,0))-IF(AN1135="",0,AN1135)),"")</f>
        <v>133</v>
      </c>
      <c r="V1135" s="53">
        <f t="shared" si="478"/>
        <v>3.2</v>
      </c>
      <c r="W1135" s="52" t="str">
        <f t="shared" si="479"/>
        <v/>
      </c>
      <c r="X1135" s="52">
        <f>IFERROR(IF(AND(AR1136=AR1135,AM1135&lt;&gt;""),INDEX('Aub Demand'!Q:Q,MATCH($O1135,'Aub Demand'!$A:$A,0))-IF(AN1135="",0,AN1135)+AP1136+AD1135+AL1135,IF(AR1136=AR1135,INDEX('Aub Demand'!Q:Q,MATCH($O1135,'Aub Demand'!$A:$A,0))-IF(AN1135="",0,AN1135)+AP1136+AD1135,IF(AM1135&lt;&gt;"",INDEX('Aub Demand'!Q:Q,MATCH($O1135,'Aub Demand'!$A:$A,0))-IF(AN1135="",0,AN1135)+AD1135+AL1135,INDEX('Aub Demand'!Q:Q,MATCH($O1135,'Aub Demand'!$A:$A,0))-IF(AN1135="",0,AN1135)+AD1135))),"")</f>
        <v>133</v>
      </c>
      <c r="Y1135" s="53">
        <f t="shared" si="480"/>
        <v>3.2</v>
      </c>
      <c r="Z1135" s="52">
        <f>IF(L1135="","",INDEX('Aub Demand'!H:H,MATCH($O1135,'Aub Demand'!$A:$A,0)))</f>
        <v>178</v>
      </c>
      <c r="AA1135" s="52">
        <f t="shared" si="481"/>
        <v>238.5</v>
      </c>
      <c r="AB1135" s="52">
        <f>IFERROR(INDEX('Aub Demand'!L:L,MATCH($O1135,'Aub Demand'!$A:$A,0)),"")</f>
        <v>37</v>
      </c>
      <c r="AC1135" s="52">
        <f>IFERROR(IF(O1135="","",SUMIFS('CPL Mats'!F:F,'CPL Mats'!Q:Q,AR1135,'CPL Mats'!S:S,AS1135)),"")</f>
        <v>0</v>
      </c>
      <c r="AF1135" s="25" t="str">
        <f>IF(SUMIFS('Supp Consol'!S:S,'Supp Consol'!Y:Y,"Releasable",'Supp Consol'!A:A,O1135)=0,"",SUMIFS('Supp Consol'!S:S,'Supp Consol'!Y:Y,"Releasable",'Supp Consol'!A:A,O1135))</f>
        <v/>
      </c>
      <c r="AG1135" s="25" t="str">
        <f>IFERROR(INDEX('Hun Demand'!Q:Q,MATCH(O1135,'Hun Demand'!A:A,0)),"")</f>
        <v/>
      </c>
      <c r="AH1135" s="25" t="str">
        <f>IFERROR(INDEX('Hun Demand'!H:H,MATCH($O1135,'Hun Demand'!$A:$A,0)),"")</f>
        <v/>
      </c>
      <c r="AI1135" s="25" t="str">
        <f>IF(SUMIFS('Supp Consol'!AA:AA,'Supp Consol'!Z:Z,"Expires this month",'Supp Consol'!A:A,O1135)=0,"",SUMIFS('Supp Consol'!AA:AA,'Supp Consol'!Z:Z,"Expires this month",'Supp Consol'!A:A,O1135))</f>
        <v/>
      </c>
      <c r="AJ1135" s="25" t="str">
        <f>IF(SUMIFS('Supp Consol'!AA:AA,'Supp Consol'!Z:Z,"Expired Previous Months",'Supp Consol'!A:A,O1135)=0,"",SUMIFS('Supp Consol'!AA:AA,'Supp Consol'!Z:Z,"Expired Previous Months",'Supp Consol'!A:A,O1135))</f>
        <v/>
      </c>
      <c r="AK1135" s="25" t="str">
        <f>IFERROR(INDEX('Hun Release Current'!B:B,MATCH(O1135,'Hun Release Current'!A:A,0)),"")</f>
        <v/>
      </c>
      <c r="AL1135" s="25" t="str">
        <f>IF(SUMIF('Prev Aub'!A:A,O1135,'Prev Aub'!B:B)=0,"",SUMIF('Prev Aub'!A:A,O1135,'Prev Aub'!B:B))</f>
        <v/>
      </c>
      <c r="AN1135" s="25" t="s">
        <v>3790</v>
      </c>
      <c r="AO1135" s="25" t="s">
        <v>3790</v>
      </c>
      <c r="AP1135" s="25">
        <f t="shared" si="482"/>
        <v>0</v>
      </c>
      <c r="AQ1135" s="151" t="str">
        <f>IF(SUMIFS('Supp Consol'!S:S,'Supp Consol'!A:A,O1135,'Supp Consol'!I:I,"PENDING")=0,"",SUMIFS('Supp Consol'!S:S,'Supp Consol'!A:A,O1135,'Supp Consol'!I:I,"PENDING"))</f>
        <v/>
      </c>
      <c r="AR1135" s="27" t="str">
        <f t="shared" si="483"/>
        <v>ST604</v>
      </c>
      <c r="AS1135" s="27" t="str">
        <f t="shared" si="484"/>
        <v>50</v>
      </c>
      <c r="AT1135" s="27" t="str">
        <f t="shared" si="485"/>
        <v/>
      </c>
      <c r="AU1135" s="27" t="str">
        <f t="shared" si="486"/>
        <v/>
      </c>
      <c r="AV1135" s="27" t="str">
        <f t="shared" si="487"/>
        <v/>
      </c>
      <c r="AW1135" s="27" t="str">
        <f t="shared" si="488"/>
        <v/>
      </c>
      <c r="AX1135" s="27" t="str">
        <f t="shared" si="489"/>
        <v/>
      </c>
      <c r="AY1135" s="27" t="str">
        <f t="shared" si="490"/>
        <v/>
      </c>
      <c r="AZ1135" s="27" t="str">
        <f t="shared" si="491"/>
        <v>Supp</v>
      </c>
      <c r="BA1135" s="27" t="str">
        <f t="shared" si="492"/>
        <v/>
      </c>
      <c r="BB1135" s="27" t="str">
        <f t="shared" si="493"/>
        <v/>
      </c>
      <c r="BC1135" s="27" t="str">
        <f t="shared" si="494"/>
        <v/>
      </c>
      <c r="BD1135" s="27" t="str">
        <f t="shared" si="495"/>
        <v/>
      </c>
      <c r="BE1135" s="27" t="str">
        <f t="shared" si="496"/>
        <v/>
      </c>
      <c r="BF1135" s="27" t="str">
        <f t="shared" si="497"/>
        <v/>
      </c>
      <c r="BG1135" s="27" t="str">
        <f t="shared" si="498"/>
        <v/>
      </c>
      <c r="BH1135" s="27" t="str">
        <f t="shared" si="499"/>
        <v/>
      </c>
      <c r="BI1135" s="27" t="str">
        <f t="shared" si="500"/>
        <v/>
      </c>
      <c r="BJ1135" s="27" t="str">
        <f t="shared" si="501"/>
        <v>Supp or Hun</v>
      </c>
      <c r="BK1135" s="27" t="str">
        <f t="shared" si="502"/>
        <v/>
      </c>
      <c r="BL1135" s="27" t="str">
        <f t="shared" si="503"/>
        <v/>
      </c>
      <c r="BM1135" s="21" t="s">
        <v>5581</v>
      </c>
    </row>
    <row r="1136" spans="1:65" ht="15">
      <c r="A1136" s="25" t="str">
        <f>IFERROR(INDEX('Hun Demand'!W:W,MATCH(O1136,'Hun Demand'!A:A,0)),"")</f>
        <v/>
      </c>
      <c r="B1136" s="25" t="str">
        <f>IFERROR(INDEX('Hun Demand'!V:V,MATCH(O1136,'Hun Demand'!A:A,0)),"")</f>
        <v/>
      </c>
      <c r="C1136" s="25" t="str">
        <f>IFERROR(INDEX('Hun Demand'!U:U,MATCH(O1136,'Hun Demand'!A:A,0)),"")</f>
        <v/>
      </c>
      <c r="D1136" s="25" t="str">
        <f>IFERROR(INDEX('Hun Demand'!T:T,MATCH(O1136,'Hun Demand'!A:A,0)),"")</f>
        <v/>
      </c>
      <c r="E1136" s="25" t="str">
        <f>IFERROR(INDEX('Hun Demand'!S:S,MATCH(O1136,'Hun Demand'!A:A,0)),"")</f>
        <v/>
      </c>
      <c r="F1136" s="25" t="str">
        <f>IFERROR(INDEX('Hun Demand'!R:R,MATCH(O1136,'Hun Demand'!A:A,0)),"")</f>
        <v/>
      </c>
      <c r="G1136" s="25">
        <f>IFERROR(INDEX('Aub Demand'!W:W,MATCH(O1136,'Aub Demand'!A:A,0)),"")</f>
        <v>161</v>
      </c>
      <c r="H1136" s="25">
        <f>IFERROR(INDEX('Aub Demand'!V:V,MATCH(O1136,'Aub Demand'!A:A,0)),"")</f>
        <v>96</v>
      </c>
      <c r="I1136" s="25">
        <f>IFERROR(INDEX('Aub Demand'!U:U,MATCH(O1136,'Aub Demand'!A:A,0)),"")</f>
        <v>43</v>
      </c>
      <c r="J1136" s="25">
        <f>IFERROR(INDEX('Aub Demand'!T:T,MATCH(O1136,'Aub Demand'!A:A,0)),"")</f>
        <v>90</v>
      </c>
      <c r="K1136" s="25">
        <f>IFERROR(INDEX('Aub Demand'!S:S,MATCH(O1136,'Aub Demand'!A:A,0)),"")</f>
        <v>0</v>
      </c>
      <c r="L1136" s="25">
        <f>IFERROR(INDEX('Aub Demand'!R:R,MATCH(O1136,'Aub Demand'!A:A,0)),"")</f>
        <v>0</v>
      </c>
      <c r="O1136" s="27" t="s">
        <v>1493</v>
      </c>
      <c r="P1136" s="27" t="str">
        <f>IFERROR(INDEX('Aub Demand'!B:B,MATCH($O1136,'Aub Demand'!$A:$A,0)),"")</f>
        <v>NUBIAN BROWN</v>
      </c>
      <c r="Q1136" s="27" t="str">
        <f>IFERROR(INDEX('Aub Demand'!C:C,MATCH($O1136,'Aub Demand'!$A:$A,0)),"")</f>
        <v>ONYX</v>
      </c>
      <c r="R1136" s="52">
        <f>IFERROR(IF(AR1137=AR1136,INDEX('Aub Demand'!K:K,MATCH($O1136,'Aub Demand'!$A:$A,0))-IF(AN1136="",0,AN1136)+AP1137,INDEX('Aub Demand'!K:K,MATCH($O1136,'Aub Demand'!$A:$A,0))-IF(AN1136="",0,AN1136)),"")</f>
        <v>616</v>
      </c>
      <c r="S1136" s="53">
        <f t="shared" si="476"/>
        <v>60</v>
      </c>
      <c r="T1136" s="52" t="str">
        <f t="shared" si="477"/>
        <v/>
      </c>
      <c r="U1136" s="52">
        <f>IFERROR(IF(AR1137=AR1136,INDEX('Aub Demand'!Q:Q,MATCH($O1136,'Aub Demand'!$A:$A,0))-IF(AN1136="",0,AN1136)+AP1137,INDEX('Aub Demand'!Q:Q,MATCH($O1136,'Aub Demand'!$A:$A,0))-IF(AN1136="",0,AN1136)),"")</f>
        <v>590</v>
      </c>
      <c r="V1136" s="53">
        <f t="shared" si="478"/>
        <v>57.5</v>
      </c>
      <c r="W1136" s="52" t="str">
        <f t="shared" si="479"/>
        <v/>
      </c>
      <c r="X1136" s="52">
        <f>IFERROR(IF(AND(AR1137=AR1136,AM1136&lt;&gt;""),INDEX('Aub Demand'!Q:Q,MATCH($O1136,'Aub Demand'!$A:$A,0))-IF(AN1136="",0,AN1136)+AP1137+AD1136+AL1136,IF(AR1137=AR1136,INDEX('Aub Demand'!Q:Q,MATCH($O1136,'Aub Demand'!$A:$A,0))-IF(AN1136="",0,AN1136)+AP1137+AD1136,IF(AM1136&lt;&gt;"",INDEX('Aub Demand'!Q:Q,MATCH($O1136,'Aub Demand'!$A:$A,0))-IF(AN1136="",0,AN1136)+AD1136+AL1136,INDEX('Aub Demand'!Q:Q,MATCH($O1136,'Aub Demand'!$A:$A,0))-IF(AN1136="",0,AN1136)+AD1136))),"")</f>
        <v>590</v>
      </c>
      <c r="Y1136" s="53">
        <f t="shared" si="480"/>
        <v>57.5</v>
      </c>
      <c r="Z1136" s="52">
        <f>IF(L1136="","",INDEX('Aub Demand'!H:H,MATCH($O1136,'Aub Demand'!$A:$A,0)))</f>
        <v>44</v>
      </c>
      <c r="AA1136" s="52">
        <f t="shared" si="481"/>
        <v>66.5</v>
      </c>
      <c r="AB1136" s="52">
        <f>IFERROR(INDEX('Aub Demand'!L:L,MATCH($O1136,'Aub Demand'!$A:$A,0)),"")</f>
        <v>118</v>
      </c>
      <c r="AC1136" s="52">
        <f>IFERROR(IF(O1136="","",SUMIFS('CPL Mats'!F:F,'CPL Mats'!Q:Q,AR1136,'CPL Mats'!S:S,AS1136)),"")</f>
        <v>0</v>
      </c>
      <c r="AF1136" s="25">
        <f>IF(SUMIFS('Supp Consol'!S:S,'Supp Consol'!Y:Y,"Releasable",'Supp Consol'!A:A,O1136)=0,"",SUMIFS('Supp Consol'!S:S,'Supp Consol'!Y:Y,"Releasable",'Supp Consol'!A:A,O1136))</f>
        <v>2412</v>
      </c>
      <c r="AG1136" s="25" t="str">
        <f>IFERROR(INDEX('Hun Demand'!Q:Q,MATCH(O1136,'Hun Demand'!A:A,0)),"")</f>
        <v/>
      </c>
      <c r="AH1136" s="25" t="str">
        <f>IFERROR(INDEX('Hun Demand'!H:H,MATCH($O1136,'Hun Demand'!$A:$A,0)),"")</f>
        <v/>
      </c>
      <c r="AI1136" s="25" t="str">
        <f>IF(SUMIFS('Supp Consol'!AA:AA,'Supp Consol'!Z:Z,"Expires this month",'Supp Consol'!A:A,O1136)=0,"",SUMIFS('Supp Consol'!AA:AA,'Supp Consol'!Z:Z,"Expires this month",'Supp Consol'!A:A,O1136))</f>
        <v/>
      </c>
      <c r="AJ1136" s="25" t="str">
        <f>IF(SUMIFS('Supp Consol'!AA:AA,'Supp Consol'!Z:Z,"Expired Previous Months",'Supp Consol'!A:A,O1136)=0,"",SUMIFS('Supp Consol'!AA:AA,'Supp Consol'!Z:Z,"Expired Previous Months",'Supp Consol'!A:A,O1136))</f>
        <v/>
      </c>
      <c r="AK1136" s="25" t="str">
        <f>IFERROR(INDEX('Hun Release Current'!B:B,MATCH(O1136,'Hun Release Current'!A:A,0)),"")</f>
        <v/>
      </c>
      <c r="AL1136" s="25" t="str">
        <f>IF(SUMIF('Prev Aub'!A:A,O1136,'Prev Aub'!B:B)=0,"",SUMIF('Prev Aub'!A:A,O1136,'Prev Aub'!B:B))</f>
        <v/>
      </c>
      <c r="AN1136" s="25">
        <v>200</v>
      </c>
      <c r="AO1136" s="25" t="s">
        <v>3790</v>
      </c>
      <c r="AP1136" s="25">
        <f t="shared" si="482"/>
        <v>160</v>
      </c>
      <c r="AQ1136" s="151" t="str">
        <f>IF(SUMIFS('Supp Consol'!S:S,'Supp Consol'!A:A,O1136,'Supp Consol'!I:I,"PENDING")=0,"",SUMIFS('Supp Consol'!S:S,'Supp Consol'!A:A,O1136,'Supp Consol'!I:I,"PENDING"))</f>
        <v/>
      </c>
      <c r="AR1136" s="27" t="str">
        <f t="shared" si="483"/>
        <v>ST604</v>
      </c>
      <c r="AS1136" s="27" t="str">
        <f t="shared" si="484"/>
        <v>62</v>
      </c>
      <c r="AT1136" s="27" t="str">
        <f t="shared" si="485"/>
        <v/>
      </c>
      <c r="AU1136" s="27" t="str">
        <f t="shared" si="486"/>
        <v/>
      </c>
      <c r="AV1136" s="27" t="str">
        <f t="shared" si="487"/>
        <v/>
      </c>
      <c r="AW1136" s="27" t="str">
        <f t="shared" si="488"/>
        <v/>
      </c>
      <c r="AX1136" s="27" t="str">
        <f t="shared" si="489"/>
        <v>ST604</v>
      </c>
      <c r="AY1136" s="27" t="str">
        <f t="shared" si="490"/>
        <v/>
      </c>
      <c r="AZ1136" s="27" t="str">
        <f t="shared" si="491"/>
        <v>Supp</v>
      </c>
      <c r="BA1136" s="27" t="str">
        <f t="shared" si="492"/>
        <v/>
      </c>
      <c r="BB1136" s="27" t="str">
        <f t="shared" si="493"/>
        <v/>
      </c>
      <c r="BC1136" s="27" t="str">
        <f t="shared" si="494"/>
        <v/>
      </c>
      <c r="BD1136" s="27" t="str">
        <f t="shared" si="495"/>
        <v/>
      </c>
      <c r="BE1136" s="27" t="str">
        <f t="shared" si="496"/>
        <v/>
      </c>
      <c r="BF1136" s="27" t="str">
        <f t="shared" si="497"/>
        <v/>
      </c>
      <c r="BG1136" s="27" t="str">
        <f t="shared" si="498"/>
        <v/>
      </c>
      <c r="BH1136" s="27" t="str">
        <f t="shared" si="499"/>
        <v/>
      </c>
      <c r="BI1136" s="27" t="str">
        <f t="shared" si="500"/>
        <v/>
      </c>
      <c r="BJ1136" s="27" t="str">
        <f t="shared" si="501"/>
        <v>Supp or Hun</v>
      </c>
      <c r="BK1136" s="27" t="str">
        <f t="shared" si="502"/>
        <v/>
      </c>
      <c r="BL1136" s="27" t="str">
        <f t="shared" si="503"/>
        <v/>
      </c>
      <c r="BM1136" s="21" t="s">
        <v>5581</v>
      </c>
    </row>
    <row r="1137" spans="1:65" ht="15">
      <c r="A1137" s="25">
        <f>IFERROR(INDEX('Hun Demand'!W:W,MATCH(O1137,'Hun Demand'!A:A,0)),"")</f>
        <v>0</v>
      </c>
      <c r="B1137" s="25">
        <f>IFERROR(INDEX('Hun Demand'!V:V,MATCH(O1137,'Hun Demand'!A:A,0)),"")</f>
        <v>0</v>
      </c>
      <c r="C1137" s="25">
        <f>IFERROR(INDEX('Hun Demand'!U:U,MATCH(O1137,'Hun Demand'!A:A,0)),"")</f>
        <v>0</v>
      </c>
      <c r="D1137" s="25">
        <f>IFERROR(INDEX('Hun Demand'!T:T,MATCH(O1137,'Hun Demand'!A:A,0)),"")</f>
        <v>0</v>
      </c>
      <c r="E1137" s="25">
        <f>IFERROR(INDEX('Hun Demand'!S:S,MATCH(O1137,'Hun Demand'!A:A,0)),"")</f>
        <v>0</v>
      </c>
      <c r="F1137" s="25">
        <f>IFERROR(INDEX('Hun Demand'!R:R,MATCH(O1137,'Hun Demand'!A:A,0)),"")</f>
        <v>0</v>
      </c>
      <c r="G1137" s="25">
        <f>IFERROR(INDEX('Aub Demand'!W:W,MATCH(O1137,'Aub Demand'!A:A,0)),"")</f>
        <v>77</v>
      </c>
      <c r="H1137" s="25">
        <f>IFERROR(INDEX('Aub Demand'!V:V,MATCH(O1137,'Aub Demand'!A:A,0)),"")</f>
        <v>97</v>
      </c>
      <c r="I1137" s="25">
        <f>IFERROR(INDEX('Aub Demand'!U:U,MATCH(O1137,'Aub Demand'!A:A,0)),"")</f>
        <v>0</v>
      </c>
      <c r="J1137" s="25">
        <f>IFERROR(INDEX('Aub Demand'!T:T,MATCH(O1137,'Aub Demand'!A:A,0)),"")</f>
        <v>0</v>
      </c>
      <c r="K1137" s="25">
        <f>IFERROR(INDEX('Aub Demand'!S:S,MATCH(O1137,'Aub Demand'!A:A,0)),"")</f>
        <v>0</v>
      </c>
      <c r="L1137" s="25">
        <f>IFERROR(INDEX('Aub Demand'!R:R,MATCH(O1137,'Aub Demand'!A:A,0)),"")</f>
        <v>0</v>
      </c>
      <c r="O1137" s="27" t="s">
        <v>1494</v>
      </c>
      <c r="P1137" s="27" t="str">
        <f>IFERROR(INDEX('Aub Demand'!B:B,MATCH($O1137,'Aub Demand'!$A:$A,0)),"")</f>
        <v>TAUPE</v>
      </c>
      <c r="Q1137" s="27" t="str">
        <f>IFERROR(INDEX('Aub Demand'!C:C,MATCH($O1137,'Aub Demand'!$A:$A,0)),"")</f>
        <v>AHLST</v>
      </c>
      <c r="R1137" s="52">
        <f>IFERROR(IF(AR1138=AR1137,INDEX('Aub Demand'!K:K,MATCH($O1137,'Aub Demand'!$A:$A,0))-IF(AN1137="",0,AN1137)+AP1138,INDEX('Aub Demand'!K:K,MATCH($O1137,'Aub Demand'!$A:$A,0))-IF(AN1137="",0,AN1137)),"")</f>
        <v>1125</v>
      </c>
      <c r="S1137" s="53" t="str">
        <f t="shared" si="476"/>
        <v>n/a</v>
      </c>
      <c r="T1137" s="52" t="str">
        <f t="shared" si="477"/>
        <v/>
      </c>
      <c r="U1137" s="52">
        <f>IFERROR(IF(AR1138=AR1137,INDEX('Aub Demand'!Q:Q,MATCH($O1137,'Aub Demand'!$A:$A,0))-IF(AN1137="",0,AN1137)+AP1138,INDEX('Aub Demand'!Q:Q,MATCH($O1137,'Aub Demand'!$A:$A,0))-IF(AN1137="",0,AN1137)),"")</f>
        <v>1082</v>
      </c>
      <c r="V1137" s="53" t="str">
        <f t="shared" si="478"/>
        <v>n/a</v>
      </c>
      <c r="W1137" s="52" t="str">
        <f t="shared" si="479"/>
        <v/>
      </c>
      <c r="X1137" s="52">
        <f>IFERROR(IF(AND(AR1138=AR1137,AM1137&lt;&gt;""),INDEX('Aub Demand'!Q:Q,MATCH($O1137,'Aub Demand'!$A:$A,0))-IF(AN1137="",0,AN1137)+AP1138+AD1137+AL1137,IF(AR1138=AR1137,INDEX('Aub Demand'!Q:Q,MATCH($O1137,'Aub Demand'!$A:$A,0))-IF(AN1137="",0,AN1137)+AP1138+AD1137,IF(AM1137&lt;&gt;"",INDEX('Aub Demand'!Q:Q,MATCH($O1137,'Aub Demand'!$A:$A,0))-IF(AN1137="",0,AN1137)+AD1137+AL1137,INDEX('Aub Demand'!Q:Q,MATCH($O1137,'Aub Demand'!$A:$A,0))-IF(AN1137="",0,AN1137)+AD1137))),"")</f>
        <v>1082</v>
      </c>
      <c r="Y1137" s="53" t="str">
        <f t="shared" si="480"/>
        <v>n/a</v>
      </c>
      <c r="Z1137" s="52">
        <f>IF(L1137="","",INDEX('Aub Demand'!H:H,MATCH($O1137,'Aub Demand'!$A:$A,0)))</f>
        <v>0</v>
      </c>
      <c r="AA1137" s="52" t="str">
        <f t="shared" si="481"/>
        <v>-spike-</v>
      </c>
      <c r="AB1137" s="52">
        <f>IFERROR(INDEX('Aub Demand'!L:L,MATCH($O1137,'Aub Demand'!$A:$A,0)),"")</f>
        <v>52</v>
      </c>
      <c r="AC1137" s="52">
        <f>IFERROR(IF(O1137="","",SUMIFS('CPL Mats'!F:F,'CPL Mats'!Q:Q,AR1137,'CPL Mats'!S:S,AS1137)),"")</f>
        <v>0</v>
      </c>
      <c r="AF1137" s="25" t="str">
        <f>IF(SUMIFS('Supp Consol'!S:S,'Supp Consol'!Y:Y,"Releasable",'Supp Consol'!A:A,O1137)=0,"",SUMIFS('Supp Consol'!S:S,'Supp Consol'!Y:Y,"Releasable",'Supp Consol'!A:A,O1137))</f>
        <v/>
      </c>
      <c r="AG1137" s="25">
        <f>IFERROR(INDEX('Hun Demand'!Q:Q,MATCH(O1137,'Hun Demand'!A:A,0)),"")</f>
        <v>497</v>
      </c>
      <c r="AH1137" s="25">
        <f>IFERROR(INDEX('Hun Demand'!H:H,MATCH($O1137,'Hun Demand'!$A:$A,0)),"")</f>
        <v>0</v>
      </c>
      <c r="AI1137" s="25" t="str">
        <f>IF(SUMIFS('Supp Consol'!AA:AA,'Supp Consol'!Z:Z,"Expires this month",'Supp Consol'!A:A,O1137)=0,"",SUMIFS('Supp Consol'!AA:AA,'Supp Consol'!Z:Z,"Expires this month",'Supp Consol'!A:A,O1137))</f>
        <v/>
      </c>
      <c r="AJ1137" s="25" t="str">
        <f>IF(SUMIFS('Supp Consol'!AA:AA,'Supp Consol'!Z:Z,"Expired Previous Months",'Supp Consol'!A:A,O1137)=0,"",SUMIFS('Supp Consol'!AA:AA,'Supp Consol'!Z:Z,"Expired Previous Months",'Supp Consol'!A:A,O1137))</f>
        <v/>
      </c>
      <c r="AK1137" s="25" t="str">
        <f>IFERROR(INDEX('Hun Release Current'!B:B,MATCH(O1137,'Hun Release Current'!A:A,0)),"")</f>
        <v/>
      </c>
      <c r="AL1137" s="25" t="str">
        <f>IF(SUMIF('Prev Aub'!A:A,O1137,'Prev Aub'!B:B)=0,"",SUMIF('Prev Aub'!A:A,O1137,'Prev Aub'!B:B))</f>
        <v/>
      </c>
      <c r="AN1137" s="25" t="s">
        <v>3790</v>
      </c>
      <c r="AO1137" s="25" t="s">
        <v>3790</v>
      </c>
      <c r="AP1137" s="25">
        <f t="shared" si="482"/>
        <v>0</v>
      </c>
      <c r="AQ1137" s="151" t="str">
        <f>IF(SUMIFS('Supp Consol'!S:S,'Supp Consol'!A:A,O1137,'Supp Consol'!I:I,"PENDING")=0,"",SUMIFS('Supp Consol'!S:S,'Supp Consol'!A:A,O1137,'Supp Consol'!I:I,"PENDING"))</f>
        <v/>
      </c>
      <c r="AR1137" s="27" t="str">
        <f t="shared" si="483"/>
        <v>ST606</v>
      </c>
      <c r="AS1137" s="27" t="str">
        <f t="shared" si="484"/>
        <v>50</v>
      </c>
      <c r="AT1137" s="27" t="str">
        <f t="shared" si="485"/>
        <v/>
      </c>
      <c r="AU1137" s="27" t="str">
        <f t="shared" si="486"/>
        <v/>
      </c>
      <c r="AV1137" s="27" t="str">
        <f t="shared" si="487"/>
        <v/>
      </c>
      <c r="AW1137" s="27" t="str">
        <f t="shared" si="488"/>
        <v/>
      </c>
      <c r="AX1137" s="27" t="str">
        <f t="shared" si="489"/>
        <v/>
      </c>
      <c r="AY1137" s="27" t="str">
        <f t="shared" si="490"/>
        <v>ST606</v>
      </c>
      <c r="AZ1137" s="27" t="str">
        <f t="shared" si="491"/>
        <v/>
      </c>
      <c r="BA1137" s="27" t="str">
        <f t="shared" si="492"/>
        <v>Hun</v>
      </c>
      <c r="BB1137" s="27" t="str">
        <f t="shared" si="493"/>
        <v/>
      </c>
      <c r="BC1137" s="27" t="str">
        <f t="shared" si="494"/>
        <v/>
      </c>
      <c r="BD1137" s="27" t="str">
        <f t="shared" si="495"/>
        <v/>
      </c>
      <c r="BE1137" s="27" t="str">
        <f t="shared" si="496"/>
        <v/>
      </c>
      <c r="BF1137" s="27" t="str">
        <f t="shared" si="497"/>
        <v/>
      </c>
      <c r="BG1137" s="27" t="str">
        <f t="shared" si="498"/>
        <v/>
      </c>
      <c r="BH1137" s="27" t="str">
        <f t="shared" si="499"/>
        <v/>
      </c>
      <c r="BI1137" s="27" t="str">
        <f t="shared" si="500"/>
        <v/>
      </c>
      <c r="BJ1137" s="27" t="str">
        <f t="shared" si="501"/>
        <v>Supp or Hun</v>
      </c>
      <c r="BK1137" s="27" t="str">
        <f t="shared" si="502"/>
        <v/>
      </c>
      <c r="BL1137" s="27" t="str">
        <f t="shared" si="503"/>
        <v/>
      </c>
      <c r="BM1137" s="21" t="s">
        <v>5581</v>
      </c>
    </row>
    <row r="1138" spans="1:65" ht="15">
      <c r="A1138" s="25">
        <f>IFERROR(INDEX('Hun Demand'!W:W,MATCH(O1138,'Hun Demand'!A:A,0)),"")</f>
        <v>0</v>
      </c>
      <c r="B1138" s="25">
        <f>IFERROR(INDEX('Hun Demand'!V:V,MATCH(O1138,'Hun Demand'!A:A,0)),"")</f>
        <v>0</v>
      </c>
      <c r="C1138" s="25">
        <f>IFERROR(INDEX('Hun Demand'!U:U,MATCH(O1138,'Hun Demand'!A:A,0)),"")</f>
        <v>0</v>
      </c>
      <c r="D1138" s="25">
        <f>IFERROR(INDEX('Hun Demand'!T:T,MATCH(O1138,'Hun Demand'!A:A,0)),"")</f>
        <v>475</v>
      </c>
      <c r="E1138" s="25">
        <f>IFERROR(INDEX('Hun Demand'!S:S,MATCH(O1138,'Hun Demand'!A:A,0)),"")</f>
        <v>0</v>
      </c>
      <c r="F1138" s="25">
        <f>IFERROR(INDEX('Hun Demand'!R:R,MATCH(O1138,'Hun Demand'!A:A,0)),"")</f>
        <v>0</v>
      </c>
      <c r="G1138" s="25">
        <f>IFERROR(INDEX('Aub Demand'!W:W,MATCH(O1138,'Aub Demand'!A:A,0)),"")</f>
        <v>516</v>
      </c>
      <c r="H1138" s="25">
        <f>IFERROR(INDEX('Aub Demand'!V:V,MATCH(O1138,'Aub Demand'!A:A,0)),"")</f>
        <v>0</v>
      </c>
      <c r="I1138" s="25">
        <f>IFERROR(INDEX('Aub Demand'!U:U,MATCH(O1138,'Aub Demand'!A:A,0)),"")</f>
        <v>0</v>
      </c>
      <c r="J1138" s="25">
        <f>IFERROR(INDEX('Aub Demand'!T:T,MATCH(O1138,'Aub Demand'!A:A,0)),"")</f>
        <v>448</v>
      </c>
      <c r="K1138" s="25">
        <f>IFERROR(INDEX('Aub Demand'!S:S,MATCH(O1138,'Aub Demand'!A:A,0)),"")</f>
        <v>35</v>
      </c>
      <c r="L1138" s="25">
        <f>IFERROR(INDEX('Aub Demand'!R:R,MATCH(O1138,'Aub Demand'!A:A,0)),"")</f>
        <v>0</v>
      </c>
      <c r="O1138" s="27" t="s">
        <v>1496</v>
      </c>
      <c r="P1138" s="27" t="str">
        <f>IFERROR(INDEX('Aub Demand'!B:B,MATCH($O1138,'Aub Demand'!$A:$A,0)),"")</f>
        <v>TAUPE</v>
      </c>
      <c r="Q1138" s="27" t="str">
        <f>IFERROR(INDEX('Aub Demand'!C:C,MATCH($O1138,'Aub Demand'!$A:$A,0)),"")</f>
        <v>AHLST</v>
      </c>
      <c r="R1138" s="52">
        <f>IFERROR(IF(AR1139=AR1138,INDEX('Aub Demand'!K:K,MATCH($O1138,'Aub Demand'!$A:$A,0))-IF(AN1138="",0,AN1138)+AP1139,INDEX('Aub Demand'!K:K,MATCH($O1138,'Aub Demand'!$A:$A,0))-IF(AN1138="",0,AN1138)),"")</f>
        <v>684</v>
      </c>
      <c r="S1138" s="53">
        <f t="shared" si="476"/>
        <v>18.2</v>
      </c>
      <c r="T1138" s="52" t="str">
        <f t="shared" si="477"/>
        <v/>
      </c>
      <c r="U1138" s="52">
        <f>IFERROR(IF(AR1139=AR1138,INDEX('Aub Demand'!Q:Q,MATCH($O1138,'Aub Demand'!$A:$A,0))-IF(AN1138="",0,AN1138)+AP1139,INDEX('Aub Demand'!Q:Q,MATCH($O1138,'Aub Demand'!$A:$A,0))-IF(AN1138="",0,AN1138)),"")</f>
        <v>684</v>
      </c>
      <c r="V1138" s="53">
        <f t="shared" si="478"/>
        <v>18.2</v>
      </c>
      <c r="W1138" s="52" t="str">
        <f t="shared" si="479"/>
        <v/>
      </c>
      <c r="X1138" s="52">
        <f>IFERROR(IF(AND(AR1139=AR1138,AM1138&lt;&gt;""),INDEX('Aub Demand'!Q:Q,MATCH($O1138,'Aub Demand'!$A:$A,0))-IF(AN1138="",0,AN1138)+AP1139+AD1138+AL1138,IF(AR1139=AR1138,INDEX('Aub Demand'!Q:Q,MATCH($O1138,'Aub Demand'!$A:$A,0))-IF(AN1138="",0,AN1138)+AP1139+AD1138,IF(AM1138&lt;&gt;"",INDEX('Aub Demand'!Q:Q,MATCH($O1138,'Aub Demand'!$A:$A,0))-IF(AN1138="",0,AN1138)+AD1138+AL1138,INDEX('Aub Demand'!Q:Q,MATCH($O1138,'Aub Demand'!$A:$A,0))-IF(AN1138="",0,AN1138)+AD1138))),"")</f>
        <v>684</v>
      </c>
      <c r="Y1138" s="53">
        <f t="shared" si="480"/>
        <v>18.2</v>
      </c>
      <c r="Z1138" s="52">
        <f>IF(L1138="","",INDEX('Aub Demand'!H:H,MATCH($O1138,'Aub Demand'!$A:$A,0)))</f>
        <v>161</v>
      </c>
      <c r="AA1138" s="52">
        <f t="shared" si="481"/>
        <v>241.5</v>
      </c>
      <c r="AB1138" s="52">
        <f>IFERROR(INDEX('Aub Demand'!L:L,MATCH($O1138,'Aub Demand'!$A:$A,0)),"")</f>
        <v>15</v>
      </c>
      <c r="AC1138" s="52">
        <f>IFERROR(IF(O1138="","",SUMIFS('CPL Mats'!F:F,'CPL Mats'!Q:Q,AR1138,'CPL Mats'!S:S,AS1138)),"")</f>
        <v>0</v>
      </c>
      <c r="AF1138" s="25" t="str">
        <f>IF(SUMIFS('Supp Consol'!S:S,'Supp Consol'!Y:Y,"Releasable",'Supp Consol'!A:A,O1138)=0,"",SUMIFS('Supp Consol'!S:S,'Supp Consol'!Y:Y,"Releasable",'Supp Consol'!A:A,O1138))</f>
        <v/>
      </c>
      <c r="AG1138" s="25">
        <f>IFERROR(INDEX('Hun Demand'!Q:Q,MATCH(O1138,'Hun Demand'!A:A,0)),"")</f>
        <v>448</v>
      </c>
      <c r="AH1138" s="25">
        <f>IFERROR(INDEX('Hun Demand'!H:H,MATCH($O1138,'Hun Demand'!$A:$A,0)),"")</f>
        <v>158</v>
      </c>
      <c r="AI1138" s="25" t="str">
        <f>IF(SUMIFS('Supp Consol'!AA:AA,'Supp Consol'!Z:Z,"Expires this month",'Supp Consol'!A:A,O1138)=0,"",SUMIFS('Supp Consol'!AA:AA,'Supp Consol'!Z:Z,"Expires this month",'Supp Consol'!A:A,O1138))</f>
        <v/>
      </c>
      <c r="AJ1138" s="25" t="str">
        <f>IF(SUMIFS('Supp Consol'!AA:AA,'Supp Consol'!Z:Z,"Expired Previous Months",'Supp Consol'!A:A,O1138)=0,"",SUMIFS('Supp Consol'!AA:AA,'Supp Consol'!Z:Z,"Expired Previous Months",'Supp Consol'!A:A,O1138))</f>
        <v/>
      </c>
      <c r="AK1138" s="25" t="str">
        <f>IFERROR(INDEX('Hun Release Current'!B:B,MATCH(O1138,'Hun Release Current'!A:A,0)),"")</f>
        <v/>
      </c>
      <c r="AL1138" s="25" t="str">
        <f>IF(SUMIF('Prev Aub'!A:A,O1138,'Prev Aub'!B:B)=0,"",SUMIF('Prev Aub'!A:A,O1138,'Prev Aub'!B:B))</f>
        <v/>
      </c>
      <c r="AN1138" s="25" t="s">
        <v>3790</v>
      </c>
      <c r="AO1138" s="25" t="s">
        <v>3790</v>
      </c>
      <c r="AP1138" s="25">
        <f t="shared" si="482"/>
        <v>0</v>
      </c>
      <c r="AQ1138" s="151" t="str">
        <f>IF(SUMIFS('Supp Consol'!S:S,'Supp Consol'!A:A,O1138,'Supp Consol'!I:I,"PENDING")=0,"",SUMIFS('Supp Consol'!S:S,'Supp Consol'!A:A,O1138,'Supp Consol'!I:I,"PENDING"))</f>
        <v/>
      </c>
      <c r="AR1138" s="27" t="str">
        <f t="shared" si="483"/>
        <v>ST606</v>
      </c>
      <c r="AS1138" s="27" t="str">
        <f t="shared" si="484"/>
        <v>62</v>
      </c>
      <c r="AT1138" s="27" t="str">
        <f t="shared" si="485"/>
        <v/>
      </c>
      <c r="AU1138" s="27" t="str">
        <f t="shared" si="486"/>
        <v/>
      </c>
      <c r="AV1138" s="27" t="str">
        <f t="shared" si="487"/>
        <v/>
      </c>
      <c r="AW1138" s="27" t="str">
        <f t="shared" si="488"/>
        <v/>
      </c>
      <c r="AX1138" s="27" t="str">
        <f t="shared" si="489"/>
        <v/>
      </c>
      <c r="AY1138" s="27" t="str">
        <f t="shared" si="490"/>
        <v>ST606</v>
      </c>
      <c r="AZ1138" s="27" t="str">
        <f t="shared" si="491"/>
        <v/>
      </c>
      <c r="BA1138" s="27" t="str">
        <f t="shared" si="492"/>
        <v>Hun</v>
      </c>
      <c r="BB1138" s="27" t="str">
        <f t="shared" si="493"/>
        <v/>
      </c>
      <c r="BC1138" s="27" t="str">
        <f t="shared" si="494"/>
        <v/>
      </c>
      <c r="BD1138" s="27" t="str">
        <f t="shared" si="495"/>
        <v/>
      </c>
      <c r="BE1138" s="27" t="str">
        <f t="shared" si="496"/>
        <v/>
      </c>
      <c r="BF1138" s="27" t="str">
        <f t="shared" si="497"/>
        <v/>
      </c>
      <c r="BG1138" s="27" t="str">
        <f t="shared" si="498"/>
        <v/>
      </c>
      <c r="BH1138" s="27" t="str">
        <f t="shared" si="499"/>
        <v/>
      </c>
      <c r="BI1138" s="27" t="str">
        <f t="shared" si="500"/>
        <v/>
      </c>
      <c r="BJ1138" s="27" t="str">
        <f t="shared" si="501"/>
        <v>Supp or Hun</v>
      </c>
      <c r="BK1138" s="27" t="str">
        <f t="shared" si="502"/>
        <v/>
      </c>
      <c r="BL1138" s="27" t="str">
        <f t="shared" si="503"/>
        <v/>
      </c>
      <c r="BM1138" s="21" t="s">
        <v>5581</v>
      </c>
    </row>
    <row r="1139" spans="1:65" ht="15">
      <c r="A1139" s="25" t="str">
        <f>IFERROR(INDEX('Hun Demand'!W:W,MATCH(O1139,'Hun Demand'!A:A,0)),"")</f>
        <v/>
      </c>
      <c r="B1139" s="25" t="str">
        <f>IFERROR(INDEX('Hun Demand'!V:V,MATCH(O1139,'Hun Demand'!A:A,0)),"")</f>
        <v/>
      </c>
      <c r="C1139" s="25" t="str">
        <f>IFERROR(INDEX('Hun Demand'!U:U,MATCH(O1139,'Hun Demand'!A:A,0)),"")</f>
        <v/>
      </c>
      <c r="D1139" s="25" t="str">
        <f>IFERROR(INDEX('Hun Demand'!T:T,MATCH(O1139,'Hun Demand'!A:A,0)),"")</f>
        <v/>
      </c>
      <c r="E1139" s="25" t="str">
        <f>IFERROR(INDEX('Hun Demand'!S:S,MATCH(O1139,'Hun Demand'!A:A,0)),"")</f>
        <v/>
      </c>
      <c r="F1139" s="25" t="str">
        <f>IFERROR(INDEX('Hun Demand'!R:R,MATCH(O1139,'Hun Demand'!A:A,0)),"")</f>
        <v/>
      </c>
      <c r="G1139" s="25">
        <f>IFERROR(INDEX('Aub Demand'!W:W,MATCH(O1139,'Aub Demand'!A:A,0)),"")</f>
        <v>0</v>
      </c>
      <c r="H1139" s="25">
        <f>IFERROR(INDEX('Aub Demand'!V:V,MATCH(O1139,'Aub Demand'!A:A,0)),"")</f>
        <v>0</v>
      </c>
      <c r="I1139" s="25">
        <f>IFERROR(INDEX('Aub Demand'!U:U,MATCH(O1139,'Aub Demand'!A:A,0)),"")</f>
        <v>57</v>
      </c>
      <c r="J1139" s="25">
        <f>IFERROR(INDEX('Aub Demand'!T:T,MATCH(O1139,'Aub Demand'!A:A,0)),"")</f>
        <v>0</v>
      </c>
      <c r="K1139" s="25">
        <f>IFERROR(INDEX('Aub Demand'!S:S,MATCH(O1139,'Aub Demand'!A:A,0)),"")</f>
        <v>0</v>
      </c>
      <c r="L1139" s="25">
        <f>IFERROR(INDEX('Aub Demand'!R:R,MATCH(O1139,'Aub Demand'!A:A,0)),"")</f>
        <v>0</v>
      </c>
      <c r="O1139" s="27" t="s">
        <v>5494</v>
      </c>
      <c r="P1139" s="27" t="str">
        <f>IFERROR(INDEX('Aub Demand'!B:B,MATCH($O1139,'Aub Demand'!$A:$A,0)),"")</f>
        <v>SQUASH</v>
      </c>
      <c r="Q1139" s="27" t="str">
        <f>IFERROR(INDEX('Aub Demand'!C:C,MATCH($O1139,'Aub Demand'!$A:$A,0)),"")</f>
        <v>ONYX</v>
      </c>
      <c r="R1139" s="52">
        <f>IFERROR(IF(AR1140=AR1139,INDEX('Aub Demand'!K:K,MATCH($O1139,'Aub Demand'!$A:$A,0))-IF(AN1139="",0,AN1139)+AP1140,INDEX('Aub Demand'!K:K,MATCH($O1139,'Aub Demand'!$A:$A,0))-IF(AN1139="",0,AN1139)),"")</f>
        <v>20</v>
      </c>
      <c r="S1139" s="53">
        <f t="shared" si="476"/>
        <v>4.5</v>
      </c>
      <c r="T1139" s="52" t="str">
        <f t="shared" si="477"/>
        <v/>
      </c>
      <c r="U1139" s="52">
        <f>IFERROR(IF(AR1140=AR1139,INDEX('Aub Demand'!Q:Q,MATCH($O1139,'Aub Demand'!$A:$A,0))-IF(AN1139="",0,AN1139)+AP1140,INDEX('Aub Demand'!Q:Q,MATCH($O1139,'Aub Demand'!$A:$A,0))-IF(AN1139="",0,AN1139)),"")</f>
        <v>20</v>
      </c>
      <c r="V1139" s="53">
        <f t="shared" si="478"/>
        <v>4.5</v>
      </c>
      <c r="W1139" s="52" t="str">
        <f t="shared" si="479"/>
        <v/>
      </c>
      <c r="X1139" s="52">
        <f>IFERROR(IF(AND(AR1140=AR1139,AM1139&lt;&gt;""),INDEX('Aub Demand'!Q:Q,MATCH($O1139,'Aub Demand'!$A:$A,0))-IF(AN1139="",0,AN1139)+AP1140+AD1139+AL1139,IF(AR1140=AR1139,INDEX('Aub Demand'!Q:Q,MATCH($O1139,'Aub Demand'!$A:$A,0))-IF(AN1139="",0,AN1139)+AP1140+AD1139,IF(AM1139&lt;&gt;"",INDEX('Aub Demand'!Q:Q,MATCH($O1139,'Aub Demand'!$A:$A,0))-IF(AN1139="",0,AN1139)+AD1139+AL1139,INDEX('Aub Demand'!Q:Q,MATCH($O1139,'Aub Demand'!$A:$A,0))-IF(AN1139="",0,AN1139)+AD1139))),"")</f>
        <v>20</v>
      </c>
      <c r="Y1139" s="53">
        <f t="shared" si="480"/>
        <v>4.5</v>
      </c>
      <c r="Z1139" s="52">
        <f>IF(L1139="","",INDEX('Aub Demand'!H:H,MATCH($O1139,'Aub Demand'!$A:$A,0)))</f>
        <v>19</v>
      </c>
      <c r="AA1139" s="52" t="str">
        <f t="shared" si="481"/>
        <v>-spike-</v>
      </c>
      <c r="AB1139" s="52">
        <f>IFERROR(INDEX('Aub Demand'!L:L,MATCH($O1139,'Aub Demand'!$A:$A,0)),"")</f>
        <v>11</v>
      </c>
      <c r="AC1139" s="52">
        <f>IFERROR(IF(O1139="","",SUMIFS('CPL Mats'!F:F,'CPL Mats'!Q:Q,AR1139,'CPL Mats'!S:S,AS1139)),"")</f>
        <v>0</v>
      </c>
      <c r="AF1139" s="25" t="str">
        <f>IF(SUMIFS('Supp Consol'!S:S,'Supp Consol'!Y:Y,"Releasable",'Supp Consol'!A:A,O1139)=0,"",SUMIFS('Supp Consol'!S:S,'Supp Consol'!Y:Y,"Releasable",'Supp Consol'!A:A,O1139))</f>
        <v/>
      </c>
      <c r="AG1139" s="25" t="str">
        <f>IFERROR(INDEX('Hun Demand'!Q:Q,MATCH(O1139,'Hun Demand'!A:A,0)),"")</f>
        <v/>
      </c>
      <c r="AH1139" s="25" t="str">
        <f>IFERROR(INDEX('Hun Demand'!H:H,MATCH($O1139,'Hun Demand'!$A:$A,0)),"")</f>
        <v/>
      </c>
      <c r="AI1139" s="25" t="str">
        <f>IF(SUMIFS('Supp Consol'!AA:AA,'Supp Consol'!Z:Z,"Expires this month",'Supp Consol'!A:A,O1139)=0,"",SUMIFS('Supp Consol'!AA:AA,'Supp Consol'!Z:Z,"Expires this month",'Supp Consol'!A:A,O1139))</f>
        <v/>
      </c>
      <c r="AJ1139" s="25" t="str">
        <f>IF(SUMIFS('Supp Consol'!AA:AA,'Supp Consol'!Z:Z,"Expired Previous Months",'Supp Consol'!A:A,O1139)=0,"",SUMIFS('Supp Consol'!AA:AA,'Supp Consol'!Z:Z,"Expired Previous Months",'Supp Consol'!A:A,O1139))</f>
        <v/>
      </c>
      <c r="AK1139" s="25" t="str">
        <f>IFERROR(INDEX('Hun Release Current'!B:B,MATCH(O1139,'Hun Release Current'!A:A,0)),"")</f>
        <v/>
      </c>
      <c r="AL1139" s="25" t="str">
        <f>IF(SUMIF('Prev Aub'!A:A,O1139,'Prev Aub'!B:B)=0,"",SUMIF('Prev Aub'!A:A,O1139,'Prev Aub'!B:B))</f>
        <v/>
      </c>
      <c r="AN1139" s="25" t="s">
        <v>3790</v>
      </c>
      <c r="AO1139" s="25" t="s">
        <v>3790</v>
      </c>
      <c r="AP1139" s="25">
        <f t="shared" si="482"/>
        <v>0</v>
      </c>
      <c r="AQ1139" s="151" t="str">
        <f>IF(SUMIFS('Supp Consol'!S:S,'Supp Consol'!A:A,O1139,'Supp Consol'!I:I,"PENDING")=0,"",SUMIFS('Supp Consol'!S:S,'Supp Consol'!A:A,O1139,'Supp Consol'!I:I,"PENDING"))</f>
        <v/>
      </c>
      <c r="AR1139" s="27" t="str">
        <f t="shared" si="483"/>
        <v>ST610</v>
      </c>
      <c r="AS1139" s="27" t="str">
        <f t="shared" si="484"/>
        <v>37</v>
      </c>
      <c r="AT1139" s="27" t="str">
        <f t="shared" si="485"/>
        <v/>
      </c>
      <c r="AU1139" s="27" t="str">
        <f t="shared" si="486"/>
        <v/>
      </c>
      <c r="AV1139" s="27" t="str">
        <f t="shared" si="487"/>
        <v/>
      </c>
      <c r="AW1139" s="27" t="str">
        <f t="shared" si="488"/>
        <v/>
      </c>
      <c r="AX1139" s="27" t="str">
        <f t="shared" si="489"/>
        <v/>
      </c>
      <c r="AY1139" s="27" t="str">
        <f t="shared" si="490"/>
        <v/>
      </c>
      <c r="AZ1139" s="27" t="str">
        <f t="shared" si="491"/>
        <v>Supp</v>
      </c>
      <c r="BA1139" s="27" t="str">
        <f t="shared" si="492"/>
        <v/>
      </c>
      <c r="BB1139" s="27" t="str">
        <f t="shared" si="493"/>
        <v/>
      </c>
      <c r="BC1139" s="27" t="str">
        <f t="shared" si="494"/>
        <v/>
      </c>
      <c r="BD1139" s="27" t="str">
        <f t="shared" si="495"/>
        <v/>
      </c>
      <c r="BE1139" s="27" t="str">
        <f t="shared" si="496"/>
        <v>Exp</v>
      </c>
      <c r="BF1139" s="27" t="str">
        <f t="shared" si="497"/>
        <v/>
      </c>
      <c r="BG1139" s="27" t="str">
        <f t="shared" si="498"/>
        <v>S+NorE</v>
      </c>
      <c r="BH1139" s="27" t="str">
        <f t="shared" si="499"/>
        <v/>
      </c>
      <c r="BI1139" s="27" t="str">
        <f t="shared" si="500"/>
        <v/>
      </c>
      <c r="BJ1139" s="27" t="str">
        <f t="shared" si="501"/>
        <v>Supp or Hun</v>
      </c>
      <c r="BK1139" s="27" t="str">
        <f t="shared" si="502"/>
        <v/>
      </c>
      <c r="BL1139" s="27" t="str">
        <f t="shared" si="503"/>
        <v>SorHandNandE</v>
      </c>
      <c r="BM1139" s="21" t="s">
        <v>5581</v>
      </c>
    </row>
    <row r="1140" spans="1:65" ht="15">
      <c r="A1140" s="25" t="str">
        <f>IFERROR(INDEX('Hun Demand'!W:W,MATCH(O1140,'Hun Demand'!A:A,0)),"")</f>
        <v/>
      </c>
      <c r="B1140" s="25" t="str">
        <f>IFERROR(INDEX('Hun Demand'!V:V,MATCH(O1140,'Hun Demand'!A:A,0)),"")</f>
        <v/>
      </c>
      <c r="C1140" s="25" t="str">
        <f>IFERROR(INDEX('Hun Demand'!U:U,MATCH(O1140,'Hun Demand'!A:A,0)),"")</f>
        <v/>
      </c>
      <c r="D1140" s="25" t="str">
        <f>IFERROR(INDEX('Hun Demand'!T:T,MATCH(O1140,'Hun Demand'!A:A,0)),"")</f>
        <v/>
      </c>
      <c r="E1140" s="25" t="str">
        <f>IFERROR(INDEX('Hun Demand'!S:S,MATCH(O1140,'Hun Demand'!A:A,0)),"")</f>
        <v/>
      </c>
      <c r="F1140" s="25" t="str">
        <f>IFERROR(INDEX('Hun Demand'!R:R,MATCH(O1140,'Hun Demand'!A:A,0)),"")</f>
        <v/>
      </c>
      <c r="G1140" s="25">
        <f>IFERROR(INDEX('Aub Demand'!W:W,MATCH(O1140,'Aub Demand'!A:A,0)),"")</f>
        <v>250</v>
      </c>
      <c r="H1140" s="25">
        <f>IFERROR(INDEX('Aub Demand'!V:V,MATCH(O1140,'Aub Demand'!A:A,0)),"")</f>
        <v>180</v>
      </c>
      <c r="I1140" s="25">
        <f>IFERROR(INDEX('Aub Demand'!U:U,MATCH(O1140,'Aub Demand'!A:A,0)),"")</f>
        <v>72</v>
      </c>
      <c r="J1140" s="25">
        <f>IFERROR(INDEX('Aub Demand'!T:T,MATCH(O1140,'Aub Demand'!A:A,0)),"")</f>
        <v>0</v>
      </c>
      <c r="K1140" s="25">
        <f>IFERROR(INDEX('Aub Demand'!S:S,MATCH(O1140,'Aub Demand'!A:A,0)),"")</f>
        <v>0</v>
      </c>
      <c r="L1140" s="25">
        <f>IFERROR(INDEX('Aub Demand'!R:R,MATCH(O1140,'Aub Demand'!A:A,0)),"")</f>
        <v>0</v>
      </c>
      <c r="O1140" s="27" t="s">
        <v>1497</v>
      </c>
      <c r="P1140" s="27" t="str">
        <f>IFERROR(INDEX('Aub Demand'!B:B,MATCH($O1140,'Aub Demand'!$A:$A,0)),"")</f>
        <v>SQUASH</v>
      </c>
      <c r="Q1140" s="27" t="str">
        <f>IFERROR(INDEX('Aub Demand'!C:C,MATCH($O1140,'Aub Demand'!$A:$A,0)),"")</f>
        <v>ONYX</v>
      </c>
      <c r="R1140" s="52">
        <f>IFERROR(IF(AR1141=AR1140,INDEX('Aub Demand'!K:K,MATCH($O1140,'Aub Demand'!$A:$A,0))-IF(AN1140="",0,AN1140)+AP1141,INDEX('Aub Demand'!K:K,MATCH($O1140,'Aub Demand'!$A:$A,0))-IF(AN1140="",0,AN1140)),"")</f>
        <v>1581</v>
      </c>
      <c r="S1140" s="53">
        <f t="shared" si="476"/>
        <v>282.3</v>
      </c>
      <c r="T1140" s="52" t="str">
        <f t="shared" si="477"/>
        <v/>
      </c>
      <c r="U1140" s="52">
        <f>IFERROR(IF(AR1141=AR1140,INDEX('Aub Demand'!Q:Q,MATCH($O1140,'Aub Demand'!$A:$A,0))-IF(AN1140="",0,AN1140)+AP1141,INDEX('Aub Demand'!Q:Q,MATCH($O1140,'Aub Demand'!$A:$A,0))-IF(AN1140="",0,AN1140)),"")</f>
        <v>1581</v>
      </c>
      <c r="V1140" s="53">
        <f t="shared" si="478"/>
        <v>282.3</v>
      </c>
      <c r="W1140" s="52" t="str">
        <f t="shared" si="479"/>
        <v/>
      </c>
      <c r="X1140" s="52">
        <f>IFERROR(IF(AND(AR1141=AR1140,AM1140&lt;&gt;""),INDEX('Aub Demand'!Q:Q,MATCH($O1140,'Aub Demand'!$A:$A,0))-IF(AN1140="",0,AN1140)+AP1141+AD1140+AL1140,IF(AR1141=AR1140,INDEX('Aub Demand'!Q:Q,MATCH($O1140,'Aub Demand'!$A:$A,0))-IF(AN1140="",0,AN1140)+AP1141+AD1140,IF(AM1140&lt;&gt;"",INDEX('Aub Demand'!Q:Q,MATCH($O1140,'Aub Demand'!$A:$A,0))-IF(AN1140="",0,AN1140)+AD1140+AL1140,INDEX('Aub Demand'!Q:Q,MATCH($O1140,'Aub Demand'!$A:$A,0))-IF(AN1140="",0,AN1140)+AD1140))),"")</f>
        <v>1581</v>
      </c>
      <c r="Y1140" s="53">
        <f t="shared" si="480"/>
        <v>282.3</v>
      </c>
      <c r="Z1140" s="52">
        <f>IF(L1140="","",INDEX('Aub Demand'!H:H,MATCH($O1140,'Aub Demand'!$A:$A,0)))</f>
        <v>24</v>
      </c>
      <c r="AA1140" s="52" t="str">
        <f t="shared" si="481"/>
        <v>-spike-</v>
      </c>
      <c r="AB1140" s="52">
        <f>IFERROR(INDEX('Aub Demand'!L:L,MATCH($O1140,'Aub Demand'!$A:$A,0)),"")</f>
        <v>0</v>
      </c>
      <c r="AC1140" s="52">
        <f>IFERROR(IF(O1140="","",SUMIFS('CPL Mats'!F:F,'CPL Mats'!Q:Q,AR1140,'CPL Mats'!S:S,AS1140)),"")</f>
        <v>0</v>
      </c>
      <c r="AF1140" s="25" t="str">
        <f>IF(SUMIFS('Supp Consol'!S:S,'Supp Consol'!Y:Y,"Releasable",'Supp Consol'!A:A,O1140)=0,"",SUMIFS('Supp Consol'!S:S,'Supp Consol'!Y:Y,"Releasable",'Supp Consol'!A:A,O1140))</f>
        <v/>
      </c>
      <c r="AG1140" s="25" t="str">
        <f>IFERROR(INDEX('Hun Demand'!Q:Q,MATCH(O1140,'Hun Demand'!A:A,0)),"")</f>
        <v/>
      </c>
      <c r="AH1140" s="25" t="str">
        <f>IFERROR(INDEX('Hun Demand'!H:H,MATCH($O1140,'Hun Demand'!$A:$A,0)),"")</f>
        <v/>
      </c>
      <c r="AI1140" s="25" t="str">
        <f>IF(SUMIFS('Supp Consol'!AA:AA,'Supp Consol'!Z:Z,"Expires this month",'Supp Consol'!A:A,O1140)=0,"",SUMIFS('Supp Consol'!AA:AA,'Supp Consol'!Z:Z,"Expires this month",'Supp Consol'!A:A,O1140))</f>
        <v/>
      </c>
      <c r="AJ1140" s="25" t="str">
        <f>IF(SUMIFS('Supp Consol'!AA:AA,'Supp Consol'!Z:Z,"Expired Previous Months",'Supp Consol'!A:A,O1140)=0,"",SUMIFS('Supp Consol'!AA:AA,'Supp Consol'!Z:Z,"Expired Previous Months",'Supp Consol'!A:A,O1140))</f>
        <v/>
      </c>
      <c r="AK1140" s="25" t="str">
        <f>IFERROR(INDEX('Hun Release Current'!B:B,MATCH(O1140,'Hun Release Current'!A:A,0)),"")</f>
        <v/>
      </c>
      <c r="AL1140" s="25" t="str">
        <f>IF(SUMIF('Prev Aub'!A:A,O1140,'Prev Aub'!B:B)=0,"",SUMIF('Prev Aub'!A:A,O1140,'Prev Aub'!B:B))</f>
        <v/>
      </c>
      <c r="AN1140" s="25">
        <v>25</v>
      </c>
      <c r="AO1140" s="25" t="s">
        <v>3891</v>
      </c>
      <c r="AP1140" s="25">
        <f t="shared" si="482"/>
        <v>20</v>
      </c>
      <c r="AQ1140" s="151" t="str">
        <f>IF(SUMIFS('Supp Consol'!S:S,'Supp Consol'!A:A,O1140,'Supp Consol'!I:I,"PENDING")=0,"",SUMIFS('Supp Consol'!S:S,'Supp Consol'!A:A,O1140,'Supp Consol'!I:I,"PENDING"))</f>
        <v/>
      </c>
      <c r="AR1140" s="27" t="str">
        <f t="shared" si="483"/>
        <v>ST610</v>
      </c>
      <c r="AS1140" s="27" t="str">
        <f t="shared" si="484"/>
        <v>50</v>
      </c>
      <c r="AT1140" s="27" t="str">
        <f t="shared" si="485"/>
        <v/>
      </c>
      <c r="AU1140" s="27" t="str">
        <f t="shared" si="486"/>
        <v/>
      </c>
      <c r="AV1140" s="27" t="str">
        <f t="shared" si="487"/>
        <v/>
      </c>
      <c r="AW1140" s="27" t="str">
        <f t="shared" si="488"/>
        <v/>
      </c>
      <c r="AX1140" s="27" t="str">
        <f t="shared" si="489"/>
        <v/>
      </c>
      <c r="AY1140" s="27" t="str">
        <f t="shared" si="490"/>
        <v/>
      </c>
      <c r="AZ1140" s="27" t="str">
        <f t="shared" si="491"/>
        <v>Supp</v>
      </c>
      <c r="BA1140" s="27" t="str">
        <f t="shared" si="492"/>
        <v/>
      </c>
      <c r="BB1140" s="27" t="str">
        <f t="shared" si="493"/>
        <v/>
      </c>
      <c r="BC1140" s="27" t="str">
        <f t="shared" si="494"/>
        <v/>
      </c>
      <c r="BD1140" s="27" t="str">
        <f t="shared" si="495"/>
        <v/>
      </c>
      <c r="BE1140" s="27" t="str">
        <f t="shared" si="496"/>
        <v>Exp</v>
      </c>
      <c r="BF1140" s="27" t="str">
        <f t="shared" si="497"/>
        <v/>
      </c>
      <c r="BG1140" s="27" t="str">
        <f t="shared" si="498"/>
        <v>S+NorE</v>
      </c>
      <c r="BH1140" s="27" t="str">
        <f t="shared" si="499"/>
        <v/>
      </c>
      <c r="BI1140" s="27" t="str">
        <f t="shared" si="500"/>
        <v/>
      </c>
      <c r="BJ1140" s="27" t="str">
        <f t="shared" si="501"/>
        <v>Supp or Hun</v>
      </c>
      <c r="BK1140" s="27" t="str">
        <f t="shared" si="502"/>
        <v/>
      </c>
      <c r="BL1140" s="27" t="str">
        <f t="shared" si="503"/>
        <v>SorHandNandE</v>
      </c>
      <c r="BM1140" s="21" t="s">
        <v>5581</v>
      </c>
    </row>
    <row r="1141" spans="1:65" ht="15">
      <c r="A1141" s="25" t="str">
        <f>IFERROR(INDEX('Hun Demand'!W:W,MATCH(O1141,'Hun Demand'!A:A,0)),"")</f>
        <v/>
      </c>
      <c r="B1141" s="25" t="str">
        <f>IFERROR(INDEX('Hun Demand'!V:V,MATCH(O1141,'Hun Demand'!A:A,0)),"")</f>
        <v/>
      </c>
      <c r="C1141" s="25" t="str">
        <f>IFERROR(INDEX('Hun Demand'!U:U,MATCH(O1141,'Hun Demand'!A:A,0)),"")</f>
        <v/>
      </c>
      <c r="D1141" s="25" t="str">
        <f>IFERROR(INDEX('Hun Demand'!T:T,MATCH(O1141,'Hun Demand'!A:A,0)),"")</f>
        <v/>
      </c>
      <c r="E1141" s="25" t="str">
        <f>IFERROR(INDEX('Hun Demand'!S:S,MATCH(O1141,'Hun Demand'!A:A,0)),"")</f>
        <v/>
      </c>
      <c r="F1141" s="25" t="str">
        <f>IFERROR(INDEX('Hun Demand'!R:R,MATCH(O1141,'Hun Demand'!A:A,0)),"")</f>
        <v/>
      </c>
      <c r="G1141" s="25">
        <f>IFERROR(INDEX('Aub Demand'!W:W,MATCH(O1141,'Aub Demand'!A:A,0)),"")</f>
        <v>0</v>
      </c>
      <c r="H1141" s="25">
        <f>IFERROR(INDEX('Aub Demand'!V:V,MATCH(O1141,'Aub Demand'!A:A,0)),"")</f>
        <v>0</v>
      </c>
      <c r="I1141" s="25">
        <f>IFERROR(INDEX('Aub Demand'!U:U,MATCH(O1141,'Aub Demand'!A:A,0)),"")</f>
        <v>0</v>
      </c>
      <c r="J1141" s="25">
        <f>IFERROR(INDEX('Aub Demand'!T:T,MATCH(O1141,'Aub Demand'!A:A,0)),"")</f>
        <v>22</v>
      </c>
      <c r="K1141" s="25">
        <f>IFERROR(INDEX('Aub Demand'!S:S,MATCH(O1141,'Aub Demand'!A:A,0)),"")</f>
        <v>183</v>
      </c>
      <c r="L1141" s="25">
        <f>IFERROR(INDEX('Aub Demand'!R:R,MATCH(O1141,'Aub Demand'!A:A,0)),"")</f>
        <v>0</v>
      </c>
      <c r="O1141" s="27" t="s">
        <v>1500</v>
      </c>
      <c r="P1141" s="27" t="str">
        <f>IFERROR(INDEX('Aub Demand'!B:B,MATCH($O1141,'Aub Demand'!$A:$A,0)),"")</f>
        <v>SQUASH</v>
      </c>
      <c r="Q1141" s="27" t="str">
        <f>IFERROR(INDEX('Aub Demand'!C:C,MATCH($O1141,'Aub Demand'!$A:$A,0)),"")</f>
        <v>ONYX</v>
      </c>
      <c r="R1141" s="52">
        <f>IFERROR(IF(AR1142=AR1141,INDEX('Aub Demand'!K:K,MATCH($O1141,'Aub Demand'!$A:$A,0))-IF(AN1141="",0,AN1141)+AP1142,INDEX('Aub Demand'!K:K,MATCH($O1141,'Aub Demand'!$A:$A,0))-IF(AN1141="",0,AN1141)),"")</f>
        <v>100</v>
      </c>
      <c r="S1141" s="53">
        <f t="shared" si="476"/>
        <v>6.3</v>
      </c>
      <c r="T1141" s="52" t="str">
        <f t="shared" si="477"/>
        <v/>
      </c>
      <c r="U1141" s="52">
        <f>IFERROR(IF(AR1142=AR1141,INDEX('Aub Demand'!Q:Q,MATCH($O1141,'Aub Demand'!$A:$A,0))-IF(AN1141="",0,AN1141)+AP1142,INDEX('Aub Demand'!Q:Q,MATCH($O1141,'Aub Demand'!$A:$A,0))-IF(AN1141="",0,AN1141)),"")</f>
        <v>42</v>
      </c>
      <c r="V1141" s="53">
        <f t="shared" si="478"/>
        <v>2.6</v>
      </c>
      <c r="W1141" s="52">
        <f t="shared" si="479"/>
        <v>10.249999999999998</v>
      </c>
      <c r="X1141" s="52">
        <f>IFERROR(IF(AND(AR1142=AR1141,AM1141&lt;&gt;""),INDEX('Aub Demand'!Q:Q,MATCH($O1141,'Aub Demand'!$A:$A,0))-IF(AN1141="",0,AN1141)+AP1142+AD1141+AL1141,IF(AR1142=AR1141,INDEX('Aub Demand'!Q:Q,MATCH($O1141,'Aub Demand'!$A:$A,0))-IF(AN1141="",0,AN1141)+AP1142+AD1141,IF(AM1141&lt;&gt;"",INDEX('Aub Demand'!Q:Q,MATCH($O1141,'Aub Demand'!$A:$A,0))-IF(AN1141="",0,AN1141)+AD1141+AL1141,INDEX('Aub Demand'!Q:Q,MATCH($O1141,'Aub Demand'!$A:$A,0))-IF(AN1141="",0,AN1141)+AD1141))),"")</f>
        <v>542</v>
      </c>
      <c r="Y1141" s="53">
        <f t="shared" si="480"/>
        <v>34.200000000000003</v>
      </c>
      <c r="Z1141" s="52">
        <f>IF(L1141="","",INDEX('Aub Demand'!H:H,MATCH($O1141,'Aub Demand'!$A:$A,0)))</f>
        <v>68</v>
      </c>
      <c r="AA1141" s="52">
        <f t="shared" si="481"/>
        <v>102.5</v>
      </c>
      <c r="AB1141" s="52">
        <f>IFERROR(INDEX('Aub Demand'!L:L,MATCH($O1141,'Aub Demand'!$A:$A,0)),"")</f>
        <v>47</v>
      </c>
      <c r="AC1141" s="52">
        <f>IFERROR(IF(O1141="","",SUMIFS('CPL Mats'!F:F,'CPL Mats'!Q:Q,AR1141,'CPL Mats'!S:S,AS1141)),"")</f>
        <v>0</v>
      </c>
      <c r="AD1141" s="25">
        <v>500</v>
      </c>
      <c r="AE1141" s="52" t="s">
        <v>5583</v>
      </c>
      <c r="AF1141" s="25">
        <f>IF(SUMIFS('Supp Consol'!S:S,'Supp Consol'!Y:Y,"Releasable",'Supp Consol'!A:A,O1141)=0,"",SUMIFS('Supp Consol'!S:S,'Supp Consol'!Y:Y,"Releasable",'Supp Consol'!A:A,O1141))</f>
        <v>3660</v>
      </c>
      <c r="AG1141" s="25" t="str">
        <f>IFERROR(INDEX('Hun Demand'!Q:Q,MATCH(O1141,'Hun Demand'!A:A,0)),"")</f>
        <v/>
      </c>
      <c r="AH1141" s="25" t="str">
        <f>IFERROR(INDEX('Hun Demand'!H:H,MATCH($O1141,'Hun Demand'!$A:$A,0)),"")</f>
        <v/>
      </c>
      <c r="AI1141" s="25">
        <f>IF(SUMIFS('Supp Consol'!AA:AA,'Supp Consol'!Z:Z,"Expires this month",'Supp Consol'!A:A,O1141)=0,"",SUMIFS('Supp Consol'!AA:AA,'Supp Consol'!Z:Z,"Expires this month",'Supp Consol'!A:A,O1141))</f>
        <v>3471</v>
      </c>
      <c r="AJ1141" s="25" t="str">
        <f>IF(SUMIFS('Supp Consol'!AA:AA,'Supp Consol'!Z:Z,"Expired Previous Months",'Supp Consol'!A:A,O1141)=0,"",SUMIFS('Supp Consol'!AA:AA,'Supp Consol'!Z:Z,"Expired Previous Months",'Supp Consol'!A:A,O1141))</f>
        <v/>
      </c>
      <c r="AK1141" s="25" t="str">
        <f>IFERROR(INDEX('Hun Release Current'!B:B,MATCH(O1141,'Hun Release Current'!A:A,0)),"")</f>
        <v/>
      </c>
      <c r="AL1141" s="25" t="str">
        <f>IF(SUMIF('Prev Aub'!A:A,O1141,'Prev Aub'!B:B)=0,"",SUMIF('Prev Aub'!A:A,O1141,'Prev Aub'!B:B))</f>
        <v/>
      </c>
      <c r="AN1141" s="25" t="s">
        <v>3790</v>
      </c>
      <c r="AO1141" s="25" t="s">
        <v>3790</v>
      </c>
      <c r="AP1141" s="25">
        <f t="shared" si="482"/>
        <v>0</v>
      </c>
      <c r="AQ1141" s="151" t="str">
        <f>IF(SUMIFS('Supp Consol'!S:S,'Supp Consol'!A:A,O1141,'Supp Consol'!I:I,"PENDING")=0,"",SUMIFS('Supp Consol'!S:S,'Supp Consol'!A:A,O1141,'Supp Consol'!I:I,"PENDING"))</f>
        <v/>
      </c>
      <c r="AR1141" s="27" t="str">
        <f t="shared" si="483"/>
        <v>ST610</v>
      </c>
      <c r="AS1141" s="27" t="str">
        <f t="shared" si="484"/>
        <v>62</v>
      </c>
      <c r="AT1141" s="27" t="str">
        <f t="shared" si="485"/>
        <v/>
      </c>
      <c r="AU1141" s="27" t="str">
        <f t="shared" si="486"/>
        <v/>
      </c>
      <c r="AV1141" s="27" t="str">
        <f t="shared" si="487"/>
        <v/>
      </c>
      <c r="AW1141" s="27" t="str">
        <f t="shared" si="488"/>
        <v>ST610</v>
      </c>
      <c r="AX1141" s="27" t="str">
        <f t="shared" si="489"/>
        <v>ST610</v>
      </c>
      <c r="AY1141" s="27" t="str">
        <f t="shared" si="490"/>
        <v/>
      </c>
      <c r="AZ1141" s="27" t="str">
        <f t="shared" si="491"/>
        <v>Supp</v>
      </c>
      <c r="BA1141" s="27" t="str">
        <f t="shared" si="492"/>
        <v/>
      </c>
      <c r="BB1141" s="27" t="str">
        <f t="shared" si="493"/>
        <v/>
      </c>
      <c r="BC1141" s="27" t="str">
        <f t="shared" si="494"/>
        <v/>
      </c>
      <c r="BD1141" s="27" t="str">
        <f t="shared" si="495"/>
        <v/>
      </c>
      <c r="BE1141" s="27" t="str">
        <f t="shared" si="496"/>
        <v>Exp</v>
      </c>
      <c r="BF1141" s="27" t="str">
        <f t="shared" si="497"/>
        <v/>
      </c>
      <c r="BG1141" s="27" t="str">
        <f t="shared" si="498"/>
        <v>S+NorE</v>
      </c>
      <c r="BH1141" s="27" t="str">
        <f t="shared" si="499"/>
        <v/>
      </c>
      <c r="BI1141" s="27" t="str">
        <f t="shared" si="500"/>
        <v/>
      </c>
      <c r="BJ1141" s="27" t="str">
        <f t="shared" si="501"/>
        <v>Supp or Hun</v>
      </c>
      <c r="BK1141" s="27" t="str">
        <f t="shared" si="502"/>
        <v/>
      </c>
      <c r="BL1141" s="27" t="str">
        <f t="shared" si="503"/>
        <v>SorHandNandE</v>
      </c>
      <c r="BM1141" s="21" t="s">
        <v>5581</v>
      </c>
    </row>
    <row r="1142" spans="1:65" ht="15">
      <c r="A1142" s="25">
        <f>IFERROR(INDEX('Hun Demand'!W:W,MATCH(O1142,'Hun Demand'!A:A,0)),"")</f>
        <v>0</v>
      </c>
      <c r="B1142" s="25">
        <f>IFERROR(INDEX('Hun Demand'!V:V,MATCH(O1142,'Hun Demand'!A:A,0)),"")</f>
        <v>0</v>
      </c>
      <c r="C1142" s="25">
        <f>IFERROR(INDEX('Hun Demand'!U:U,MATCH(O1142,'Hun Demand'!A:A,0)),"")</f>
        <v>0</v>
      </c>
      <c r="D1142" s="25">
        <f>IFERROR(INDEX('Hun Demand'!T:T,MATCH(O1142,'Hun Demand'!A:A,0)),"")</f>
        <v>0</v>
      </c>
      <c r="E1142" s="25">
        <f>IFERROR(INDEX('Hun Demand'!S:S,MATCH(O1142,'Hun Demand'!A:A,0)),"")</f>
        <v>0</v>
      </c>
      <c r="F1142" s="25">
        <f>IFERROR(INDEX('Hun Demand'!R:R,MATCH(O1142,'Hun Demand'!A:A,0)),"")</f>
        <v>0</v>
      </c>
      <c r="G1142" s="25">
        <f>IFERROR(INDEX('Aub Demand'!W:W,MATCH(O1142,'Aub Demand'!A:A,0)),"")</f>
        <v>475</v>
      </c>
      <c r="H1142" s="25">
        <f>IFERROR(INDEX('Aub Demand'!V:V,MATCH(O1142,'Aub Demand'!A:A,0)),"")</f>
        <v>109</v>
      </c>
      <c r="I1142" s="25">
        <f>IFERROR(INDEX('Aub Demand'!U:U,MATCH(O1142,'Aub Demand'!A:A,0)),"")</f>
        <v>149</v>
      </c>
      <c r="J1142" s="25">
        <f>IFERROR(INDEX('Aub Demand'!T:T,MATCH(O1142,'Aub Demand'!A:A,0)),"")</f>
        <v>215</v>
      </c>
      <c r="K1142" s="25">
        <f>IFERROR(INDEX('Aub Demand'!S:S,MATCH(O1142,'Aub Demand'!A:A,0)),"")</f>
        <v>205</v>
      </c>
      <c r="L1142" s="25">
        <f>IFERROR(INDEX('Aub Demand'!R:R,MATCH(O1142,'Aub Demand'!A:A,0)),"")</f>
        <v>120</v>
      </c>
      <c r="O1142" s="27" t="s">
        <v>2739</v>
      </c>
      <c r="P1142" s="27" t="str">
        <f>IFERROR(INDEX('Aub Demand'!B:B,MATCH($O1142,'Aub Demand'!$A:$A,0)),"")</f>
        <v>GUN METAL 50"</v>
      </c>
      <c r="Q1142" s="27" t="str">
        <f>IFERROR(INDEX('Aub Demand'!C:C,MATCH($O1142,'Aub Demand'!$A:$A,0)),"")</f>
        <v>ONYX</v>
      </c>
      <c r="R1142" s="52">
        <f>IFERROR(IF(AR1143=AR1142,INDEX('Aub Demand'!K:K,MATCH($O1142,'Aub Demand'!$A:$A,0))-IF(AN1142="",0,AN1142)+AP1143,INDEX('Aub Demand'!K:K,MATCH($O1142,'Aub Demand'!$A:$A,0))-IF(AN1142="",0,AN1142)),"")</f>
        <v>1602</v>
      </c>
      <c r="S1142" s="53">
        <f t="shared" si="476"/>
        <v>36.1</v>
      </c>
      <c r="T1142" s="52" t="str">
        <f t="shared" si="477"/>
        <v/>
      </c>
      <c r="U1142" s="52">
        <f>IFERROR(IF(AR1143=AR1142,INDEX('Aub Demand'!Q:Q,MATCH($O1142,'Aub Demand'!$A:$A,0))-IF(AN1142="",0,AN1142)+AP1143,INDEX('Aub Demand'!Q:Q,MATCH($O1142,'Aub Demand'!$A:$A,0))-IF(AN1142="",0,AN1142)),"")</f>
        <v>1402</v>
      </c>
      <c r="V1142" s="53">
        <f t="shared" si="478"/>
        <v>31.6</v>
      </c>
      <c r="W1142" s="52" t="str">
        <f t="shared" si="479"/>
        <v/>
      </c>
      <c r="X1142" s="52">
        <f>IFERROR(IF(AND(AR1143=AR1142,AM1142&lt;&gt;""),INDEX('Aub Demand'!Q:Q,MATCH($O1142,'Aub Demand'!$A:$A,0))-IF(AN1142="",0,AN1142)+AP1143+AD1142+AL1142,IF(AR1143=AR1142,INDEX('Aub Demand'!Q:Q,MATCH($O1142,'Aub Demand'!$A:$A,0))-IF(AN1142="",0,AN1142)+AP1143+AD1142,IF(AM1142&lt;&gt;"",INDEX('Aub Demand'!Q:Q,MATCH($O1142,'Aub Demand'!$A:$A,0))-IF(AN1142="",0,AN1142)+AD1142+AL1142,INDEX('Aub Demand'!Q:Q,MATCH($O1142,'Aub Demand'!$A:$A,0))-IF(AN1142="",0,AN1142)+AD1142))),"")</f>
        <v>1402</v>
      </c>
      <c r="Y1142" s="53">
        <f t="shared" si="480"/>
        <v>31.6</v>
      </c>
      <c r="Z1142" s="52">
        <f>IF(L1142="","",INDEX('Aub Demand'!H:H,MATCH($O1142,'Aub Demand'!$A:$A,0)))</f>
        <v>190</v>
      </c>
      <c r="AA1142" s="52">
        <f t="shared" si="481"/>
        <v>210</v>
      </c>
      <c r="AB1142" s="52">
        <f>IFERROR(INDEX('Aub Demand'!L:L,MATCH($O1142,'Aub Demand'!$A:$A,0)),"")</f>
        <v>481</v>
      </c>
      <c r="AC1142" s="52">
        <f>IFERROR(IF(O1142="","",SUMIFS('CPL Mats'!F:F,'CPL Mats'!Q:Q,AR1142,'CPL Mats'!S:S,AS1142)),"")</f>
        <v>0</v>
      </c>
      <c r="AF1142" s="25" t="str">
        <f>IF(SUMIFS('Supp Consol'!S:S,'Supp Consol'!Y:Y,"Releasable",'Supp Consol'!A:A,O1142)=0,"",SUMIFS('Supp Consol'!S:S,'Supp Consol'!Y:Y,"Releasable",'Supp Consol'!A:A,O1142))</f>
        <v/>
      </c>
      <c r="AG1142" s="25">
        <f>IFERROR(INDEX('Hun Demand'!Q:Q,MATCH(O1142,'Hun Demand'!A:A,0)),"")</f>
        <v>60</v>
      </c>
      <c r="AH1142" s="25">
        <f>IFERROR(INDEX('Hun Demand'!H:H,MATCH($O1142,'Hun Demand'!$A:$A,0)),"")</f>
        <v>0</v>
      </c>
      <c r="AI1142" s="25" t="str">
        <f>IF(SUMIFS('Supp Consol'!AA:AA,'Supp Consol'!Z:Z,"Expires this month",'Supp Consol'!A:A,O1142)=0,"",SUMIFS('Supp Consol'!AA:AA,'Supp Consol'!Z:Z,"Expires this month",'Supp Consol'!A:A,O1142))</f>
        <v/>
      </c>
      <c r="AJ1142" s="25" t="str">
        <f>IF(SUMIFS('Supp Consol'!AA:AA,'Supp Consol'!Z:Z,"Expired Previous Months",'Supp Consol'!A:A,O1142)=0,"",SUMIFS('Supp Consol'!AA:AA,'Supp Consol'!Z:Z,"Expired Previous Months",'Supp Consol'!A:A,O1142))</f>
        <v/>
      </c>
      <c r="AK1142" s="25" t="str">
        <f>IFERROR(INDEX('Hun Release Current'!B:B,MATCH(O1142,'Hun Release Current'!A:A,0)),"")</f>
        <v/>
      </c>
      <c r="AL1142" s="25" t="str">
        <f>IF(SUMIF('Prev Aub'!A:A,O1142,'Prev Aub'!B:B)=0,"",SUMIF('Prev Aub'!A:A,O1142,'Prev Aub'!B:B))</f>
        <v/>
      </c>
      <c r="AN1142" s="25" t="s">
        <v>3790</v>
      </c>
      <c r="AO1142" s="25" t="s">
        <v>3790</v>
      </c>
      <c r="AP1142" s="25">
        <f t="shared" si="482"/>
        <v>0</v>
      </c>
      <c r="AQ1142" s="151" t="str">
        <f>IF(SUMIFS('Supp Consol'!S:S,'Supp Consol'!A:A,O1142,'Supp Consol'!I:I,"PENDING")=0,"",SUMIFS('Supp Consol'!S:S,'Supp Consol'!A:A,O1142,'Supp Consol'!I:I,"PENDING"))</f>
        <v/>
      </c>
      <c r="AR1142" s="27" t="str">
        <f t="shared" si="483"/>
        <v>ST620</v>
      </c>
      <c r="AS1142" s="27" t="str">
        <f t="shared" si="484"/>
        <v>50</v>
      </c>
      <c r="AT1142" s="27" t="str">
        <f t="shared" si="485"/>
        <v/>
      </c>
      <c r="AU1142" s="27" t="str">
        <f t="shared" si="486"/>
        <v/>
      </c>
      <c r="AV1142" s="27" t="str">
        <f t="shared" si="487"/>
        <v/>
      </c>
      <c r="AW1142" s="27" t="str">
        <f t="shared" si="488"/>
        <v/>
      </c>
      <c r="AX1142" s="27" t="str">
        <f t="shared" si="489"/>
        <v/>
      </c>
      <c r="AY1142" s="27" t="str">
        <f t="shared" si="490"/>
        <v>ST620</v>
      </c>
      <c r="AZ1142" s="27" t="str">
        <f t="shared" si="491"/>
        <v/>
      </c>
      <c r="BA1142" s="27" t="str">
        <f t="shared" si="492"/>
        <v>Hun</v>
      </c>
      <c r="BB1142" s="27" t="str">
        <f t="shared" si="493"/>
        <v/>
      </c>
      <c r="BC1142" s="27" t="str">
        <f t="shared" si="494"/>
        <v/>
      </c>
      <c r="BD1142" s="27" t="str">
        <f t="shared" si="495"/>
        <v/>
      </c>
      <c r="BE1142" s="27" t="str">
        <f t="shared" si="496"/>
        <v/>
      </c>
      <c r="BF1142" s="27" t="str">
        <f t="shared" si="497"/>
        <v/>
      </c>
      <c r="BG1142" s="27" t="str">
        <f t="shared" si="498"/>
        <v/>
      </c>
      <c r="BH1142" s="27" t="str">
        <f t="shared" si="499"/>
        <v/>
      </c>
      <c r="BI1142" s="27" t="str">
        <f t="shared" si="500"/>
        <v/>
      </c>
      <c r="BJ1142" s="27" t="str">
        <f t="shared" si="501"/>
        <v>Supp or Hun</v>
      </c>
      <c r="BK1142" s="27" t="str">
        <f t="shared" si="502"/>
        <v/>
      </c>
      <c r="BL1142" s="27" t="str">
        <f t="shared" si="503"/>
        <v/>
      </c>
      <c r="BM1142" s="21" t="s">
        <v>5581</v>
      </c>
    </row>
    <row r="1143" spans="1:65" ht="15">
      <c r="A1143" s="25">
        <f>IFERROR(INDEX('Hun Demand'!W:W,MATCH(O1143,'Hun Demand'!A:A,0)),"")</f>
        <v>0</v>
      </c>
      <c r="B1143" s="25">
        <f>IFERROR(INDEX('Hun Demand'!V:V,MATCH(O1143,'Hun Demand'!A:A,0)),"")</f>
        <v>0</v>
      </c>
      <c r="C1143" s="25">
        <f>IFERROR(INDEX('Hun Demand'!U:U,MATCH(O1143,'Hun Demand'!A:A,0)),"")</f>
        <v>0</v>
      </c>
      <c r="D1143" s="25">
        <f>IFERROR(INDEX('Hun Demand'!T:T,MATCH(O1143,'Hun Demand'!A:A,0)),"")</f>
        <v>0</v>
      </c>
      <c r="E1143" s="25">
        <f>IFERROR(INDEX('Hun Demand'!S:S,MATCH(O1143,'Hun Demand'!A:A,0)),"")</f>
        <v>0</v>
      </c>
      <c r="F1143" s="25">
        <f>IFERROR(INDEX('Hun Demand'!R:R,MATCH(O1143,'Hun Demand'!A:A,0)),"")</f>
        <v>0</v>
      </c>
      <c r="G1143" s="25">
        <f>IFERROR(INDEX('Aub Demand'!W:W,MATCH(O1143,'Aub Demand'!A:A,0)),"")</f>
        <v>0</v>
      </c>
      <c r="H1143" s="25">
        <f>IFERROR(INDEX('Aub Demand'!V:V,MATCH(O1143,'Aub Demand'!A:A,0)),"")</f>
        <v>17</v>
      </c>
      <c r="I1143" s="25">
        <f>IFERROR(INDEX('Aub Demand'!U:U,MATCH(O1143,'Aub Demand'!A:A,0)),"")</f>
        <v>136</v>
      </c>
      <c r="J1143" s="25">
        <f>IFERROR(INDEX('Aub Demand'!T:T,MATCH(O1143,'Aub Demand'!A:A,0)),"")</f>
        <v>71</v>
      </c>
      <c r="K1143" s="25">
        <f>IFERROR(INDEX('Aub Demand'!S:S,MATCH(O1143,'Aub Demand'!A:A,0)),"")</f>
        <v>0</v>
      </c>
      <c r="L1143" s="25">
        <f>IFERROR(INDEX('Aub Demand'!R:R,MATCH(O1143,'Aub Demand'!A:A,0)),"")</f>
        <v>0</v>
      </c>
      <c r="O1143" s="27" t="s">
        <v>2742</v>
      </c>
      <c r="P1143" s="27" t="str">
        <f>IFERROR(INDEX('Aub Demand'!B:B,MATCH($O1143,'Aub Demand'!$A:$A,0)),"")</f>
        <v>GUN METAL 62"</v>
      </c>
      <c r="Q1143" s="27" t="str">
        <f>IFERROR(INDEX('Aub Demand'!C:C,MATCH($O1143,'Aub Demand'!$A:$A,0)),"")</f>
        <v>ONYX</v>
      </c>
      <c r="R1143" s="52">
        <f>IFERROR(IF(AR1144=AR1143,INDEX('Aub Demand'!K:K,MATCH($O1143,'Aub Demand'!$A:$A,0))-IF(AN1143="",0,AN1143)+AP1144,INDEX('Aub Demand'!K:K,MATCH($O1143,'Aub Demand'!$A:$A,0))-IF(AN1143="",0,AN1143)),"")</f>
        <v>710</v>
      </c>
      <c r="S1143" s="53">
        <f t="shared" si="476"/>
        <v>44.1</v>
      </c>
      <c r="T1143" s="52" t="str">
        <f t="shared" si="477"/>
        <v/>
      </c>
      <c r="U1143" s="52">
        <f>IFERROR(IF(AR1144=AR1143,INDEX('Aub Demand'!Q:Q,MATCH($O1143,'Aub Demand'!$A:$A,0))-IF(AN1143="",0,AN1143)+AP1144,INDEX('Aub Demand'!Q:Q,MATCH($O1143,'Aub Demand'!$A:$A,0))-IF(AN1143="",0,AN1143)),"")</f>
        <v>623</v>
      </c>
      <c r="V1143" s="53">
        <f t="shared" si="478"/>
        <v>38.700000000000003</v>
      </c>
      <c r="W1143" s="52" t="str">
        <f t="shared" si="479"/>
        <v/>
      </c>
      <c r="X1143" s="52">
        <f>IFERROR(IF(AND(AR1144=AR1143,AM1143&lt;&gt;""),INDEX('Aub Demand'!Q:Q,MATCH($O1143,'Aub Demand'!$A:$A,0))-IF(AN1143="",0,AN1143)+AP1144+AD1143+AL1143,IF(AR1144=AR1143,INDEX('Aub Demand'!Q:Q,MATCH($O1143,'Aub Demand'!$A:$A,0))-IF(AN1143="",0,AN1143)+AP1144+AD1143,IF(AM1143&lt;&gt;"",INDEX('Aub Demand'!Q:Q,MATCH($O1143,'Aub Demand'!$A:$A,0))-IF(AN1143="",0,AN1143)+AD1143+AL1143,INDEX('Aub Demand'!Q:Q,MATCH($O1143,'Aub Demand'!$A:$A,0))-IF(AN1143="",0,AN1143)+AD1143))),"")</f>
        <v>623</v>
      </c>
      <c r="Y1143" s="53">
        <f t="shared" si="480"/>
        <v>38.700000000000003</v>
      </c>
      <c r="Z1143" s="52">
        <f>IF(L1143="","",INDEX('Aub Demand'!H:H,MATCH($O1143,'Aub Demand'!$A:$A,0)))</f>
        <v>69</v>
      </c>
      <c r="AA1143" s="52">
        <f t="shared" si="481"/>
        <v>103.5</v>
      </c>
      <c r="AB1143" s="52">
        <f>IFERROR(INDEX('Aub Demand'!L:L,MATCH($O1143,'Aub Demand'!$A:$A,0)),"")</f>
        <v>142</v>
      </c>
      <c r="AC1143" s="52">
        <f>IFERROR(IF(O1143="","",SUMIFS('CPL Mats'!F:F,'CPL Mats'!Q:Q,AR1143,'CPL Mats'!S:S,AS1143)),"")</f>
        <v>0</v>
      </c>
      <c r="AF1143" s="25" t="str">
        <f>IF(SUMIFS('Supp Consol'!S:S,'Supp Consol'!Y:Y,"Releasable",'Supp Consol'!A:A,O1143)=0,"",SUMIFS('Supp Consol'!S:S,'Supp Consol'!Y:Y,"Releasable",'Supp Consol'!A:A,O1143))</f>
        <v/>
      </c>
      <c r="AG1143" s="25">
        <f>IFERROR(INDEX('Hun Demand'!Q:Q,MATCH(O1143,'Hun Demand'!A:A,0)),"")</f>
        <v>138</v>
      </c>
      <c r="AH1143" s="25">
        <f>IFERROR(INDEX('Hun Demand'!H:H,MATCH($O1143,'Hun Demand'!$A:$A,0)),"")</f>
        <v>0</v>
      </c>
      <c r="AI1143" s="25" t="str">
        <f>IF(SUMIFS('Supp Consol'!AA:AA,'Supp Consol'!Z:Z,"Expires this month",'Supp Consol'!A:A,O1143)=0,"",SUMIFS('Supp Consol'!AA:AA,'Supp Consol'!Z:Z,"Expires this month",'Supp Consol'!A:A,O1143))</f>
        <v/>
      </c>
      <c r="AJ1143" s="25" t="str">
        <f>IF(SUMIFS('Supp Consol'!AA:AA,'Supp Consol'!Z:Z,"Expired Previous Months",'Supp Consol'!A:A,O1143)=0,"",SUMIFS('Supp Consol'!AA:AA,'Supp Consol'!Z:Z,"Expired Previous Months",'Supp Consol'!A:A,O1143))</f>
        <v/>
      </c>
      <c r="AK1143" s="25" t="str">
        <f>IFERROR(INDEX('Hun Release Current'!B:B,MATCH(O1143,'Hun Release Current'!A:A,0)),"")</f>
        <v/>
      </c>
      <c r="AL1143" s="25" t="str">
        <f>IF(SUMIF('Prev Aub'!A:A,O1143,'Prev Aub'!B:B)=0,"",SUMIF('Prev Aub'!A:A,O1143,'Prev Aub'!B:B))</f>
        <v/>
      </c>
      <c r="AN1143" s="25" t="s">
        <v>3790</v>
      </c>
      <c r="AO1143" s="25" t="s">
        <v>3790</v>
      </c>
      <c r="AP1143" s="25">
        <f t="shared" si="482"/>
        <v>0</v>
      </c>
      <c r="AQ1143" s="151" t="str">
        <f>IF(SUMIFS('Supp Consol'!S:S,'Supp Consol'!A:A,O1143,'Supp Consol'!I:I,"PENDING")=0,"",SUMIFS('Supp Consol'!S:S,'Supp Consol'!A:A,O1143,'Supp Consol'!I:I,"PENDING"))</f>
        <v/>
      </c>
      <c r="AR1143" s="27" t="str">
        <f t="shared" si="483"/>
        <v>ST620</v>
      </c>
      <c r="AS1143" s="27" t="str">
        <f t="shared" si="484"/>
        <v>62</v>
      </c>
      <c r="AT1143" s="27" t="str">
        <f t="shared" si="485"/>
        <v/>
      </c>
      <c r="AU1143" s="27" t="str">
        <f t="shared" si="486"/>
        <v/>
      </c>
      <c r="AV1143" s="27" t="str">
        <f t="shared" si="487"/>
        <v/>
      </c>
      <c r="AW1143" s="27" t="str">
        <f t="shared" si="488"/>
        <v/>
      </c>
      <c r="AX1143" s="27" t="str">
        <f t="shared" si="489"/>
        <v/>
      </c>
      <c r="AY1143" s="27" t="str">
        <f t="shared" si="490"/>
        <v>ST620</v>
      </c>
      <c r="AZ1143" s="27" t="str">
        <f t="shared" si="491"/>
        <v/>
      </c>
      <c r="BA1143" s="27" t="str">
        <f t="shared" si="492"/>
        <v>Hun</v>
      </c>
      <c r="BB1143" s="27" t="str">
        <f t="shared" si="493"/>
        <v/>
      </c>
      <c r="BC1143" s="27" t="str">
        <f t="shared" si="494"/>
        <v/>
      </c>
      <c r="BD1143" s="27" t="str">
        <f t="shared" si="495"/>
        <v/>
      </c>
      <c r="BE1143" s="27" t="str">
        <f t="shared" si="496"/>
        <v/>
      </c>
      <c r="BF1143" s="27" t="str">
        <f t="shared" si="497"/>
        <v/>
      </c>
      <c r="BG1143" s="27" t="str">
        <f t="shared" si="498"/>
        <v/>
      </c>
      <c r="BH1143" s="27" t="str">
        <f t="shared" si="499"/>
        <v/>
      </c>
      <c r="BI1143" s="27" t="str">
        <f t="shared" si="500"/>
        <v/>
      </c>
      <c r="BJ1143" s="27" t="str">
        <f t="shared" si="501"/>
        <v>Supp or Hun</v>
      </c>
      <c r="BK1143" s="27" t="str">
        <f t="shared" si="502"/>
        <v/>
      </c>
      <c r="BL1143" s="27" t="str">
        <f t="shared" si="503"/>
        <v/>
      </c>
      <c r="BM1143" s="21" t="s">
        <v>5581</v>
      </c>
    </row>
    <row r="1144" spans="1:65" ht="15">
      <c r="A1144" s="25" t="str">
        <f>IFERROR(INDEX('Hun Demand'!W:W,MATCH(O1144,'Hun Demand'!A:A,0)),"")</f>
        <v/>
      </c>
      <c r="B1144" s="25" t="str">
        <f>IFERROR(INDEX('Hun Demand'!V:V,MATCH(O1144,'Hun Demand'!A:A,0)),"")</f>
        <v/>
      </c>
      <c r="C1144" s="25" t="str">
        <f>IFERROR(INDEX('Hun Demand'!U:U,MATCH(O1144,'Hun Demand'!A:A,0)),"")</f>
        <v/>
      </c>
      <c r="D1144" s="25" t="str">
        <f>IFERROR(INDEX('Hun Demand'!T:T,MATCH(O1144,'Hun Demand'!A:A,0)),"")</f>
        <v/>
      </c>
      <c r="E1144" s="25" t="str">
        <f>IFERROR(INDEX('Hun Demand'!S:S,MATCH(O1144,'Hun Demand'!A:A,0)),"")</f>
        <v/>
      </c>
      <c r="F1144" s="25" t="str">
        <f>IFERROR(INDEX('Hun Demand'!R:R,MATCH(O1144,'Hun Demand'!A:A,0)),"")</f>
        <v/>
      </c>
      <c r="G1144" s="25">
        <f>IFERROR(INDEX('Aub Demand'!W:W,MATCH(O1144,'Aub Demand'!A:A,0)),"")</f>
        <v>0</v>
      </c>
      <c r="H1144" s="25">
        <f>IFERROR(INDEX('Aub Demand'!V:V,MATCH(O1144,'Aub Demand'!A:A,0)),"")</f>
        <v>0</v>
      </c>
      <c r="I1144" s="25">
        <f>IFERROR(INDEX('Aub Demand'!U:U,MATCH(O1144,'Aub Demand'!A:A,0)),"")</f>
        <v>0</v>
      </c>
      <c r="J1144" s="25">
        <f>IFERROR(INDEX('Aub Demand'!T:T,MATCH(O1144,'Aub Demand'!A:A,0)),"")</f>
        <v>0</v>
      </c>
      <c r="K1144" s="25">
        <f>IFERROR(INDEX('Aub Demand'!S:S,MATCH(O1144,'Aub Demand'!A:A,0)),"")</f>
        <v>18</v>
      </c>
      <c r="L1144" s="25">
        <f>IFERROR(INDEX('Aub Demand'!R:R,MATCH(O1144,'Aub Demand'!A:A,0)),"")</f>
        <v>0</v>
      </c>
      <c r="O1144" s="27" t="s">
        <v>1501</v>
      </c>
      <c r="P1144" s="27" t="str">
        <f>IFERROR(INDEX('Aub Demand'!B:B,MATCH($O1144,'Aub Demand'!$A:$A,0)),"")</f>
        <v>CARAMEL</v>
      </c>
      <c r="Q1144" s="27" t="str">
        <f>IFERROR(INDEX('Aub Demand'!C:C,MATCH($O1144,'Aub Demand'!$A:$A,0)),"")</f>
        <v>ONYX</v>
      </c>
      <c r="R1144" s="52">
        <f>IFERROR(IF(AR1145=AR1144,INDEX('Aub Demand'!K:K,MATCH($O1144,'Aub Demand'!$A:$A,0))-IF(AN1144="",0,AN1144)+AP1145,INDEX('Aub Demand'!K:K,MATCH($O1144,'Aub Demand'!$A:$A,0))-IF(AN1144="",0,AN1144)),"")</f>
        <v>742</v>
      </c>
      <c r="S1144" s="53">
        <f t="shared" si="476"/>
        <v>530</v>
      </c>
      <c r="T1144" s="52" t="str">
        <f t="shared" si="477"/>
        <v/>
      </c>
      <c r="U1144" s="52">
        <f>IFERROR(IF(AR1145=AR1144,INDEX('Aub Demand'!Q:Q,MATCH($O1144,'Aub Demand'!$A:$A,0))-IF(AN1144="",0,AN1144)+AP1145,INDEX('Aub Demand'!Q:Q,MATCH($O1144,'Aub Demand'!$A:$A,0))-IF(AN1144="",0,AN1144)),"")</f>
        <v>672</v>
      </c>
      <c r="V1144" s="53">
        <f t="shared" si="478"/>
        <v>480</v>
      </c>
      <c r="W1144" s="52" t="str">
        <f t="shared" si="479"/>
        <v/>
      </c>
      <c r="X1144" s="52">
        <f>IFERROR(IF(AND(AR1145=AR1144,AM1144&lt;&gt;""),INDEX('Aub Demand'!Q:Q,MATCH($O1144,'Aub Demand'!$A:$A,0))-IF(AN1144="",0,AN1144)+AP1145+AD1144+AL1144,IF(AR1145=AR1144,INDEX('Aub Demand'!Q:Q,MATCH($O1144,'Aub Demand'!$A:$A,0))-IF(AN1144="",0,AN1144)+AP1145+AD1144,IF(AM1144&lt;&gt;"",INDEX('Aub Demand'!Q:Q,MATCH($O1144,'Aub Demand'!$A:$A,0))-IF(AN1144="",0,AN1144)+AD1144+AL1144,INDEX('Aub Demand'!Q:Q,MATCH($O1144,'Aub Demand'!$A:$A,0))-IF(AN1144="",0,AN1144)+AD1144))),"")</f>
        <v>672</v>
      </c>
      <c r="Y1144" s="53">
        <f t="shared" si="480"/>
        <v>480</v>
      </c>
      <c r="Z1144" s="52">
        <f>IF(L1144="","",INDEX('Aub Demand'!H:H,MATCH($O1144,'Aub Demand'!$A:$A,0)))</f>
        <v>6</v>
      </c>
      <c r="AA1144" s="52" t="str">
        <f t="shared" si="481"/>
        <v>-spike-</v>
      </c>
      <c r="AB1144" s="52">
        <f>IFERROR(INDEX('Aub Demand'!L:L,MATCH($O1144,'Aub Demand'!$A:$A,0)),"")</f>
        <v>257</v>
      </c>
      <c r="AC1144" s="52">
        <f>IFERROR(IF(O1144="","",SUMIFS('CPL Mats'!F:F,'CPL Mats'!Q:Q,AR1144,'CPL Mats'!S:S,AS1144)),"")</f>
        <v>0</v>
      </c>
      <c r="AF1144" s="25" t="str">
        <f>IF(SUMIFS('Supp Consol'!S:S,'Supp Consol'!Y:Y,"Releasable",'Supp Consol'!A:A,O1144)=0,"",SUMIFS('Supp Consol'!S:S,'Supp Consol'!Y:Y,"Releasable",'Supp Consol'!A:A,O1144))</f>
        <v/>
      </c>
      <c r="AG1144" s="25" t="str">
        <f>IFERROR(INDEX('Hun Demand'!Q:Q,MATCH(O1144,'Hun Demand'!A:A,0)),"")</f>
        <v/>
      </c>
      <c r="AH1144" s="25" t="str">
        <f>IFERROR(INDEX('Hun Demand'!H:H,MATCH($O1144,'Hun Demand'!$A:$A,0)),"")</f>
        <v/>
      </c>
      <c r="AI1144" s="25" t="str">
        <f>IF(SUMIFS('Supp Consol'!AA:AA,'Supp Consol'!Z:Z,"Expires this month",'Supp Consol'!A:A,O1144)=0,"",SUMIFS('Supp Consol'!AA:AA,'Supp Consol'!Z:Z,"Expires this month",'Supp Consol'!A:A,O1144))</f>
        <v/>
      </c>
      <c r="AJ1144" s="25" t="str">
        <f>IF(SUMIFS('Supp Consol'!AA:AA,'Supp Consol'!Z:Z,"Expired Previous Months",'Supp Consol'!A:A,O1144)=0,"",SUMIFS('Supp Consol'!AA:AA,'Supp Consol'!Z:Z,"Expired Previous Months",'Supp Consol'!A:A,O1144))</f>
        <v/>
      </c>
      <c r="AK1144" s="25" t="str">
        <f>IFERROR(INDEX('Hun Release Current'!B:B,MATCH(O1144,'Hun Release Current'!A:A,0)),"")</f>
        <v/>
      </c>
      <c r="AL1144" s="25" t="str">
        <f>IF(SUMIF('Prev Aub'!A:A,O1144,'Prev Aub'!B:B)=0,"",SUMIF('Prev Aub'!A:A,O1144,'Prev Aub'!B:B))</f>
        <v/>
      </c>
      <c r="AN1144" s="25" t="s">
        <v>3790</v>
      </c>
      <c r="AO1144" s="25" t="s">
        <v>3790</v>
      </c>
      <c r="AP1144" s="25">
        <f t="shared" si="482"/>
        <v>0</v>
      </c>
      <c r="AQ1144" s="151" t="str">
        <f>IF(SUMIFS('Supp Consol'!S:S,'Supp Consol'!A:A,O1144,'Supp Consol'!I:I,"PENDING")=0,"",SUMIFS('Supp Consol'!S:S,'Supp Consol'!A:A,O1144,'Supp Consol'!I:I,"PENDING"))</f>
        <v/>
      </c>
      <c r="AR1144" s="27" t="str">
        <f t="shared" si="483"/>
        <v>ST622</v>
      </c>
      <c r="AS1144" s="27" t="str">
        <f t="shared" si="484"/>
        <v>50</v>
      </c>
      <c r="AT1144" s="27" t="str">
        <f t="shared" si="485"/>
        <v/>
      </c>
      <c r="AU1144" s="27" t="str">
        <f t="shared" si="486"/>
        <v/>
      </c>
      <c r="AV1144" s="27" t="str">
        <f t="shared" si="487"/>
        <v/>
      </c>
      <c r="AW1144" s="27" t="str">
        <f t="shared" si="488"/>
        <v/>
      </c>
      <c r="AX1144" s="27" t="str">
        <f t="shared" si="489"/>
        <v/>
      </c>
      <c r="AY1144" s="27" t="str">
        <f t="shared" si="490"/>
        <v/>
      </c>
      <c r="AZ1144" s="27" t="str">
        <f t="shared" si="491"/>
        <v/>
      </c>
      <c r="BA1144" s="27" t="str">
        <f t="shared" si="492"/>
        <v/>
      </c>
      <c r="BB1144" s="27" t="str">
        <f t="shared" si="493"/>
        <v/>
      </c>
      <c r="BC1144" s="27" t="str">
        <f t="shared" si="494"/>
        <v/>
      </c>
      <c r="BD1144" s="27" t="str">
        <f t="shared" si="495"/>
        <v/>
      </c>
      <c r="BE1144" s="27" t="str">
        <f t="shared" si="496"/>
        <v/>
      </c>
      <c r="BF1144" s="27" t="str">
        <f t="shared" si="497"/>
        <v/>
      </c>
      <c r="BG1144" s="27" t="str">
        <f t="shared" si="498"/>
        <v/>
      </c>
      <c r="BH1144" s="27" t="str">
        <f t="shared" si="499"/>
        <v/>
      </c>
      <c r="BI1144" s="27" t="str">
        <f t="shared" si="500"/>
        <v/>
      </c>
      <c r="BJ1144" s="27" t="str">
        <f t="shared" si="501"/>
        <v/>
      </c>
      <c r="BK1144" s="27" t="str">
        <f t="shared" si="502"/>
        <v/>
      </c>
      <c r="BL1144" s="27" t="str">
        <f t="shared" si="503"/>
        <v/>
      </c>
      <c r="BM1144" s="21" t="s">
        <v>5581</v>
      </c>
    </row>
    <row r="1145" spans="1:65" ht="15">
      <c r="A1145" s="25" t="str">
        <f>IFERROR(INDEX('Hun Demand'!W:W,MATCH(O1145,'Hun Demand'!A:A,0)),"")</f>
        <v/>
      </c>
      <c r="B1145" s="25" t="str">
        <f>IFERROR(INDEX('Hun Demand'!V:V,MATCH(O1145,'Hun Demand'!A:A,0)),"")</f>
        <v/>
      </c>
      <c r="C1145" s="25" t="str">
        <f>IFERROR(INDEX('Hun Demand'!U:U,MATCH(O1145,'Hun Demand'!A:A,0)),"")</f>
        <v/>
      </c>
      <c r="D1145" s="25" t="str">
        <f>IFERROR(INDEX('Hun Demand'!T:T,MATCH(O1145,'Hun Demand'!A:A,0)),"")</f>
        <v/>
      </c>
      <c r="E1145" s="25" t="str">
        <f>IFERROR(INDEX('Hun Demand'!S:S,MATCH(O1145,'Hun Demand'!A:A,0)),"")</f>
        <v/>
      </c>
      <c r="F1145" s="25" t="str">
        <f>IFERROR(INDEX('Hun Demand'!R:R,MATCH(O1145,'Hun Demand'!A:A,0)),"")</f>
        <v/>
      </c>
      <c r="G1145" s="25">
        <f>IFERROR(INDEX('Aub Demand'!W:W,MATCH(O1145,'Aub Demand'!A:A,0)),"")</f>
        <v>0</v>
      </c>
      <c r="H1145" s="25">
        <f>IFERROR(INDEX('Aub Demand'!V:V,MATCH(O1145,'Aub Demand'!A:A,0)),"")</f>
        <v>0</v>
      </c>
      <c r="I1145" s="25">
        <f>IFERROR(INDEX('Aub Demand'!U:U,MATCH(O1145,'Aub Demand'!A:A,0)),"")</f>
        <v>0</v>
      </c>
      <c r="J1145" s="25">
        <f>IFERROR(INDEX('Aub Demand'!T:T,MATCH(O1145,'Aub Demand'!A:A,0)),"")</f>
        <v>0</v>
      </c>
      <c r="K1145" s="25">
        <f>IFERROR(INDEX('Aub Demand'!S:S,MATCH(O1145,'Aub Demand'!A:A,0)),"")</f>
        <v>0</v>
      </c>
      <c r="L1145" s="25">
        <f>IFERROR(INDEX('Aub Demand'!R:R,MATCH(O1145,'Aub Demand'!A:A,0)),"")</f>
        <v>0</v>
      </c>
      <c r="O1145" s="27" t="s">
        <v>1504</v>
      </c>
      <c r="P1145" s="27" t="str">
        <f>IFERROR(INDEX('Aub Demand'!B:B,MATCH($O1145,'Aub Demand'!$A:$A,0)),"")</f>
        <v>CARAMEL</v>
      </c>
      <c r="Q1145" s="27" t="str">
        <f>IFERROR(INDEX('Aub Demand'!C:C,MATCH($O1145,'Aub Demand'!$A:$A,0)),"")</f>
        <v>ONYX</v>
      </c>
      <c r="R1145" s="52">
        <f>IFERROR(IF(AR1146=AR1145,INDEX('Aub Demand'!K:K,MATCH($O1145,'Aub Demand'!$A:$A,0))-IF(AN1145="",0,AN1145)+AP1146,INDEX('Aub Demand'!K:K,MATCH($O1145,'Aub Demand'!$A:$A,0))-IF(AN1145="",0,AN1145)),"")</f>
        <v>1137</v>
      </c>
      <c r="S1145" s="53" t="str">
        <f t="shared" si="476"/>
        <v>n/a</v>
      </c>
      <c r="T1145" s="52" t="str">
        <f t="shared" si="477"/>
        <v/>
      </c>
      <c r="U1145" s="52">
        <f>IFERROR(IF(AR1146=AR1145,INDEX('Aub Demand'!Q:Q,MATCH($O1145,'Aub Demand'!$A:$A,0))-IF(AN1145="",0,AN1145)+AP1146,INDEX('Aub Demand'!Q:Q,MATCH($O1145,'Aub Demand'!$A:$A,0))-IF(AN1145="",0,AN1145)),"")</f>
        <v>1137</v>
      </c>
      <c r="V1145" s="53" t="str">
        <f t="shared" si="478"/>
        <v>n/a</v>
      </c>
      <c r="W1145" s="52" t="str">
        <f t="shared" si="479"/>
        <v/>
      </c>
      <c r="X1145" s="52">
        <f>IFERROR(IF(AND(AR1146=AR1145,AM1145&lt;&gt;""),INDEX('Aub Demand'!Q:Q,MATCH($O1145,'Aub Demand'!$A:$A,0))-IF(AN1145="",0,AN1145)+AP1146+AD1145+AL1145,IF(AR1146=AR1145,INDEX('Aub Demand'!Q:Q,MATCH($O1145,'Aub Demand'!$A:$A,0))-IF(AN1145="",0,AN1145)+AP1146+AD1145,IF(AM1145&lt;&gt;"",INDEX('Aub Demand'!Q:Q,MATCH($O1145,'Aub Demand'!$A:$A,0))-IF(AN1145="",0,AN1145)+AD1145+AL1145,INDEX('Aub Demand'!Q:Q,MATCH($O1145,'Aub Demand'!$A:$A,0))-IF(AN1145="",0,AN1145)+AD1145))),"")</f>
        <v>1137</v>
      </c>
      <c r="Y1145" s="53" t="str">
        <f t="shared" si="480"/>
        <v>n/a</v>
      </c>
      <c r="Z1145" s="52">
        <f>IF(L1145="","",INDEX('Aub Demand'!H:H,MATCH($O1145,'Aub Demand'!$A:$A,0)))</f>
        <v>0</v>
      </c>
      <c r="AA1145" s="52" t="str">
        <f t="shared" si="481"/>
        <v>-spike-</v>
      </c>
      <c r="AB1145" s="52">
        <f>IFERROR(INDEX('Aub Demand'!L:L,MATCH($O1145,'Aub Demand'!$A:$A,0)),"")</f>
        <v>33</v>
      </c>
      <c r="AC1145" s="52">
        <f>IFERROR(IF(O1145="","",SUMIFS('CPL Mats'!F:F,'CPL Mats'!Q:Q,AR1145,'CPL Mats'!S:S,AS1145)),"")</f>
        <v>0</v>
      </c>
      <c r="AF1145" s="25" t="str">
        <f>IF(SUMIFS('Supp Consol'!S:S,'Supp Consol'!Y:Y,"Releasable",'Supp Consol'!A:A,O1145)=0,"",SUMIFS('Supp Consol'!S:S,'Supp Consol'!Y:Y,"Releasable",'Supp Consol'!A:A,O1145))</f>
        <v/>
      </c>
      <c r="AG1145" s="25" t="str">
        <f>IFERROR(INDEX('Hun Demand'!Q:Q,MATCH(O1145,'Hun Demand'!A:A,0)),"")</f>
        <v/>
      </c>
      <c r="AH1145" s="25" t="str">
        <f>IFERROR(INDEX('Hun Demand'!H:H,MATCH($O1145,'Hun Demand'!$A:$A,0)),"")</f>
        <v/>
      </c>
      <c r="AI1145" s="25" t="str">
        <f>IF(SUMIFS('Supp Consol'!AA:AA,'Supp Consol'!Z:Z,"Expires this month",'Supp Consol'!A:A,O1145)=0,"",SUMIFS('Supp Consol'!AA:AA,'Supp Consol'!Z:Z,"Expires this month",'Supp Consol'!A:A,O1145))</f>
        <v/>
      </c>
      <c r="AJ1145" s="25" t="str">
        <f>IF(SUMIFS('Supp Consol'!AA:AA,'Supp Consol'!Z:Z,"Expired Previous Months",'Supp Consol'!A:A,O1145)=0,"",SUMIFS('Supp Consol'!AA:AA,'Supp Consol'!Z:Z,"Expired Previous Months",'Supp Consol'!A:A,O1145))</f>
        <v/>
      </c>
      <c r="AK1145" s="25" t="str">
        <f>IFERROR(INDEX('Hun Release Current'!B:B,MATCH(O1145,'Hun Release Current'!A:A,0)),"")</f>
        <v/>
      </c>
      <c r="AL1145" s="25" t="str">
        <f>IF(SUMIF('Prev Aub'!A:A,O1145,'Prev Aub'!B:B)=0,"",SUMIF('Prev Aub'!A:A,O1145,'Prev Aub'!B:B))</f>
        <v/>
      </c>
      <c r="AN1145" s="25" t="s">
        <v>3790</v>
      </c>
      <c r="AO1145" s="25" t="s">
        <v>3790</v>
      </c>
      <c r="AP1145" s="25">
        <f t="shared" si="482"/>
        <v>0</v>
      </c>
      <c r="AQ1145" s="151" t="str">
        <f>IF(SUMIFS('Supp Consol'!S:S,'Supp Consol'!A:A,O1145,'Supp Consol'!I:I,"PENDING")=0,"",SUMIFS('Supp Consol'!S:S,'Supp Consol'!A:A,O1145,'Supp Consol'!I:I,"PENDING"))</f>
        <v/>
      </c>
      <c r="AR1145" s="27" t="str">
        <f t="shared" si="483"/>
        <v>ST622</v>
      </c>
      <c r="AS1145" s="27" t="str">
        <f t="shared" si="484"/>
        <v>62</v>
      </c>
      <c r="AT1145" s="27" t="str">
        <f t="shared" si="485"/>
        <v/>
      </c>
      <c r="AU1145" s="27" t="str">
        <f t="shared" si="486"/>
        <v/>
      </c>
      <c r="AV1145" s="27" t="str">
        <f t="shared" si="487"/>
        <v/>
      </c>
      <c r="AW1145" s="27" t="str">
        <f t="shared" si="488"/>
        <v/>
      </c>
      <c r="AX1145" s="27" t="str">
        <f t="shared" si="489"/>
        <v/>
      </c>
      <c r="AY1145" s="27" t="str">
        <f t="shared" si="490"/>
        <v/>
      </c>
      <c r="AZ1145" s="27" t="str">
        <f t="shared" si="491"/>
        <v/>
      </c>
      <c r="BA1145" s="27" t="str">
        <f t="shared" si="492"/>
        <v/>
      </c>
      <c r="BB1145" s="27" t="str">
        <f t="shared" si="493"/>
        <v/>
      </c>
      <c r="BC1145" s="27" t="str">
        <f t="shared" si="494"/>
        <v/>
      </c>
      <c r="BD1145" s="27" t="str">
        <f t="shared" si="495"/>
        <v/>
      </c>
      <c r="BE1145" s="27" t="str">
        <f t="shared" si="496"/>
        <v/>
      </c>
      <c r="BF1145" s="27" t="str">
        <f t="shared" si="497"/>
        <v/>
      </c>
      <c r="BG1145" s="27" t="str">
        <f t="shared" si="498"/>
        <v/>
      </c>
      <c r="BH1145" s="27" t="str">
        <f t="shared" si="499"/>
        <v/>
      </c>
      <c r="BI1145" s="27" t="str">
        <f t="shared" si="500"/>
        <v/>
      </c>
      <c r="BJ1145" s="27" t="str">
        <f t="shared" si="501"/>
        <v/>
      </c>
      <c r="BK1145" s="27" t="str">
        <f t="shared" si="502"/>
        <v/>
      </c>
      <c r="BL1145" s="27" t="str">
        <f t="shared" si="503"/>
        <v/>
      </c>
      <c r="BM1145" s="21" t="s">
        <v>5581</v>
      </c>
    </row>
    <row r="1146" spans="1:65" ht="15">
      <c r="A1146" s="25" t="str">
        <f>IFERROR(INDEX('Hun Demand'!W:W,MATCH(O1146,'Hun Demand'!A:A,0)),"")</f>
        <v/>
      </c>
      <c r="B1146" s="25" t="str">
        <f>IFERROR(INDEX('Hun Demand'!V:V,MATCH(O1146,'Hun Demand'!A:A,0)),"")</f>
        <v/>
      </c>
      <c r="C1146" s="25" t="str">
        <f>IFERROR(INDEX('Hun Demand'!U:U,MATCH(O1146,'Hun Demand'!A:A,0)),"")</f>
        <v/>
      </c>
      <c r="D1146" s="25" t="str">
        <f>IFERROR(INDEX('Hun Demand'!T:T,MATCH(O1146,'Hun Demand'!A:A,0)),"")</f>
        <v/>
      </c>
      <c r="E1146" s="25" t="str">
        <f>IFERROR(INDEX('Hun Demand'!S:S,MATCH(O1146,'Hun Demand'!A:A,0)),"")</f>
        <v/>
      </c>
      <c r="F1146" s="25" t="str">
        <f>IFERROR(INDEX('Hun Demand'!R:R,MATCH(O1146,'Hun Demand'!A:A,0)),"")</f>
        <v/>
      </c>
      <c r="G1146" s="25">
        <f>IFERROR(INDEX('Aub Demand'!W:W,MATCH(O1146,'Aub Demand'!A:A,0)),"")</f>
        <v>193</v>
      </c>
      <c r="H1146" s="25">
        <f>IFERROR(INDEX('Aub Demand'!V:V,MATCH(O1146,'Aub Demand'!A:A,0)),"")</f>
        <v>434</v>
      </c>
      <c r="I1146" s="25">
        <f>IFERROR(INDEX('Aub Demand'!U:U,MATCH(O1146,'Aub Demand'!A:A,0)),"")</f>
        <v>420</v>
      </c>
      <c r="J1146" s="25">
        <f>IFERROR(INDEX('Aub Demand'!T:T,MATCH(O1146,'Aub Demand'!A:A,0)),"")</f>
        <v>329</v>
      </c>
      <c r="K1146" s="25">
        <f>IFERROR(INDEX('Aub Demand'!S:S,MATCH(O1146,'Aub Demand'!A:A,0)),"")</f>
        <v>0</v>
      </c>
      <c r="L1146" s="25">
        <f>IFERROR(INDEX('Aub Demand'!R:R,MATCH(O1146,'Aub Demand'!A:A,0)),"")</f>
        <v>120</v>
      </c>
      <c r="O1146" s="27" t="s">
        <v>2744</v>
      </c>
      <c r="P1146" s="27" t="str">
        <f>IFERROR(INDEX('Aub Demand'!B:B,MATCH($O1146,'Aub Demand'!$A:$A,0)),"")</f>
        <v>PLATINUM GRAY 50"</v>
      </c>
      <c r="Q1146" s="27" t="str">
        <f>IFERROR(INDEX('Aub Demand'!C:C,MATCH($O1146,'Aub Demand'!$A:$A,0)),"")</f>
        <v>ONYX</v>
      </c>
      <c r="R1146" s="52">
        <f>IFERROR(IF(AR1147=AR1146,INDEX('Aub Demand'!K:K,MATCH($O1146,'Aub Demand'!$A:$A,0))-IF(AN1146="",0,AN1146)+AP1147,INDEX('Aub Demand'!K:K,MATCH($O1146,'Aub Demand'!$A:$A,0))-IF(AN1146="",0,AN1146)),"")</f>
        <v>1020</v>
      </c>
      <c r="S1146" s="53">
        <f t="shared" si="476"/>
        <v>17.5</v>
      </c>
      <c r="T1146" s="52" t="str">
        <f t="shared" si="477"/>
        <v/>
      </c>
      <c r="U1146" s="52">
        <f>IFERROR(IF(AR1147=AR1146,INDEX('Aub Demand'!Q:Q,MATCH($O1146,'Aub Demand'!$A:$A,0))-IF(AN1146="",0,AN1146)+AP1147,INDEX('Aub Demand'!Q:Q,MATCH($O1146,'Aub Demand'!$A:$A,0))-IF(AN1146="",0,AN1146)),"")</f>
        <v>755</v>
      </c>
      <c r="V1146" s="53">
        <f t="shared" si="478"/>
        <v>12.9</v>
      </c>
      <c r="W1146" s="52" t="str">
        <f t="shared" si="479"/>
        <v/>
      </c>
      <c r="X1146" s="52">
        <f>IFERROR(IF(AND(AR1147=AR1146,AM1146&lt;&gt;""),INDEX('Aub Demand'!Q:Q,MATCH($O1146,'Aub Demand'!$A:$A,0))-IF(AN1146="",0,AN1146)+AP1147+AD1146+AL1146,IF(AR1147=AR1146,INDEX('Aub Demand'!Q:Q,MATCH($O1146,'Aub Demand'!$A:$A,0))-IF(AN1146="",0,AN1146)+AP1147+AD1146,IF(AM1146&lt;&gt;"",INDEX('Aub Demand'!Q:Q,MATCH($O1146,'Aub Demand'!$A:$A,0))-IF(AN1146="",0,AN1146)+AD1146+AL1146,INDEX('Aub Demand'!Q:Q,MATCH($O1146,'Aub Demand'!$A:$A,0))-IF(AN1146="",0,AN1146)+AD1146))),"")</f>
        <v>755</v>
      </c>
      <c r="Y1146" s="53">
        <f t="shared" si="480"/>
        <v>12.9</v>
      </c>
      <c r="Z1146" s="52">
        <f>IF(L1146="","",INDEX('Aub Demand'!H:H,MATCH($O1146,'Aub Demand'!$A:$A,0)))</f>
        <v>250</v>
      </c>
      <c r="AA1146" s="52">
        <f t="shared" si="481"/>
        <v>374.5</v>
      </c>
      <c r="AB1146" s="52">
        <f>IFERROR(INDEX('Aub Demand'!L:L,MATCH($O1146,'Aub Demand'!$A:$A,0)),"")</f>
        <v>391</v>
      </c>
      <c r="AC1146" s="52">
        <f>IFERROR(IF(O1146="","",SUMIFS('CPL Mats'!F:F,'CPL Mats'!Q:Q,AR1146,'CPL Mats'!S:S,AS1146)),"")</f>
        <v>0</v>
      </c>
      <c r="AF1146" s="25" t="str">
        <f>IF(SUMIFS('Supp Consol'!S:S,'Supp Consol'!Y:Y,"Releasable",'Supp Consol'!A:A,O1146)=0,"",SUMIFS('Supp Consol'!S:S,'Supp Consol'!Y:Y,"Releasable",'Supp Consol'!A:A,O1146))</f>
        <v/>
      </c>
      <c r="AG1146" s="25" t="str">
        <f>IFERROR(INDEX('Hun Demand'!Q:Q,MATCH(O1146,'Hun Demand'!A:A,0)),"")</f>
        <v/>
      </c>
      <c r="AH1146" s="25" t="str">
        <f>IFERROR(INDEX('Hun Demand'!H:H,MATCH($O1146,'Hun Demand'!$A:$A,0)),"")</f>
        <v/>
      </c>
      <c r="AI1146" s="25" t="str">
        <f>IF(SUMIFS('Supp Consol'!AA:AA,'Supp Consol'!Z:Z,"Expires this month",'Supp Consol'!A:A,O1146)=0,"",SUMIFS('Supp Consol'!AA:AA,'Supp Consol'!Z:Z,"Expires this month",'Supp Consol'!A:A,O1146))</f>
        <v/>
      </c>
      <c r="AJ1146" s="25" t="str">
        <f>IF(SUMIFS('Supp Consol'!AA:AA,'Supp Consol'!Z:Z,"Expired Previous Months",'Supp Consol'!A:A,O1146)=0,"",SUMIFS('Supp Consol'!AA:AA,'Supp Consol'!Z:Z,"Expired Previous Months",'Supp Consol'!A:A,O1146))</f>
        <v/>
      </c>
      <c r="AK1146" s="25" t="str">
        <f>IFERROR(INDEX('Hun Release Current'!B:B,MATCH(O1146,'Hun Release Current'!A:A,0)),"")</f>
        <v/>
      </c>
      <c r="AL1146" s="25" t="str">
        <f>IF(SUMIF('Prev Aub'!A:A,O1146,'Prev Aub'!B:B)=0,"",SUMIF('Prev Aub'!A:A,O1146,'Prev Aub'!B:B))</f>
        <v/>
      </c>
      <c r="AN1146" s="25" t="s">
        <v>3790</v>
      </c>
      <c r="AO1146" s="25" t="s">
        <v>3790</v>
      </c>
      <c r="AP1146" s="25">
        <f t="shared" si="482"/>
        <v>0</v>
      </c>
      <c r="AQ1146" s="151" t="str">
        <f>IF(SUMIFS('Supp Consol'!S:S,'Supp Consol'!A:A,O1146,'Supp Consol'!I:I,"PENDING")=0,"",SUMIFS('Supp Consol'!S:S,'Supp Consol'!A:A,O1146,'Supp Consol'!I:I,"PENDING"))</f>
        <v/>
      </c>
      <c r="AR1146" s="27" t="str">
        <f t="shared" si="483"/>
        <v>ST623</v>
      </c>
      <c r="AS1146" s="27" t="str">
        <f t="shared" si="484"/>
        <v>50</v>
      </c>
      <c r="AT1146" s="27" t="str">
        <f t="shared" si="485"/>
        <v/>
      </c>
      <c r="AU1146" s="27" t="str">
        <f t="shared" si="486"/>
        <v/>
      </c>
      <c r="AV1146" s="27" t="str">
        <f t="shared" si="487"/>
        <v/>
      </c>
      <c r="AW1146" s="27" t="str">
        <f t="shared" si="488"/>
        <v/>
      </c>
      <c r="AX1146" s="27" t="str">
        <f t="shared" si="489"/>
        <v/>
      </c>
      <c r="AY1146" s="27" t="str">
        <f t="shared" si="490"/>
        <v/>
      </c>
      <c r="AZ1146" s="27" t="str">
        <f t="shared" si="491"/>
        <v/>
      </c>
      <c r="BA1146" s="27" t="str">
        <f t="shared" si="492"/>
        <v>Hun</v>
      </c>
      <c r="BB1146" s="27" t="str">
        <f t="shared" si="493"/>
        <v/>
      </c>
      <c r="BC1146" s="27" t="str">
        <f t="shared" si="494"/>
        <v/>
      </c>
      <c r="BD1146" s="27" t="str">
        <f t="shared" si="495"/>
        <v/>
      </c>
      <c r="BE1146" s="27" t="str">
        <f t="shared" si="496"/>
        <v/>
      </c>
      <c r="BF1146" s="27" t="str">
        <f t="shared" si="497"/>
        <v/>
      </c>
      <c r="BG1146" s="27" t="str">
        <f t="shared" si="498"/>
        <v/>
      </c>
      <c r="BH1146" s="27" t="str">
        <f t="shared" si="499"/>
        <v/>
      </c>
      <c r="BI1146" s="27" t="str">
        <f t="shared" si="500"/>
        <v/>
      </c>
      <c r="BJ1146" s="27" t="str">
        <f t="shared" si="501"/>
        <v>Supp or Hun</v>
      </c>
      <c r="BK1146" s="27" t="str">
        <f t="shared" si="502"/>
        <v/>
      </c>
      <c r="BL1146" s="27" t="str">
        <f t="shared" si="503"/>
        <v/>
      </c>
      <c r="BM1146" s="21" t="s">
        <v>5581</v>
      </c>
    </row>
    <row r="1147" spans="1:65" ht="15">
      <c r="A1147" s="25">
        <f>IFERROR(INDEX('Hun Demand'!W:W,MATCH(O1147,'Hun Demand'!A:A,0)),"")</f>
        <v>0</v>
      </c>
      <c r="B1147" s="25">
        <f>IFERROR(INDEX('Hun Demand'!V:V,MATCH(O1147,'Hun Demand'!A:A,0)),"")</f>
        <v>0</v>
      </c>
      <c r="C1147" s="25">
        <f>IFERROR(INDEX('Hun Demand'!U:U,MATCH(O1147,'Hun Demand'!A:A,0)),"")</f>
        <v>0</v>
      </c>
      <c r="D1147" s="25">
        <f>IFERROR(INDEX('Hun Demand'!T:T,MATCH(O1147,'Hun Demand'!A:A,0)),"")</f>
        <v>0</v>
      </c>
      <c r="E1147" s="25">
        <f>IFERROR(INDEX('Hun Demand'!S:S,MATCH(O1147,'Hun Demand'!A:A,0)),"")</f>
        <v>0</v>
      </c>
      <c r="F1147" s="25">
        <f>IFERROR(INDEX('Hun Demand'!R:R,MATCH(O1147,'Hun Demand'!A:A,0)),"")</f>
        <v>0</v>
      </c>
      <c r="G1147" s="25">
        <f>IFERROR(INDEX('Aub Demand'!W:W,MATCH(O1147,'Aub Demand'!A:A,0)),"")</f>
        <v>0</v>
      </c>
      <c r="H1147" s="25">
        <f>IFERROR(INDEX('Aub Demand'!V:V,MATCH(O1147,'Aub Demand'!A:A,0)),"")</f>
        <v>205</v>
      </c>
      <c r="I1147" s="25">
        <f>IFERROR(INDEX('Aub Demand'!U:U,MATCH(O1147,'Aub Demand'!A:A,0)),"")</f>
        <v>282</v>
      </c>
      <c r="J1147" s="25">
        <f>IFERROR(INDEX('Aub Demand'!T:T,MATCH(O1147,'Aub Demand'!A:A,0)),"")</f>
        <v>0</v>
      </c>
      <c r="K1147" s="25">
        <f>IFERROR(INDEX('Aub Demand'!S:S,MATCH(O1147,'Aub Demand'!A:A,0)),"")</f>
        <v>0</v>
      </c>
      <c r="L1147" s="25">
        <f>IFERROR(INDEX('Aub Demand'!R:R,MATCH(O1147,'Aub Demand'!A:A,0)),"")</f>
        <v>0</v>
      </c>
      <c r="O1147" s="27" t="s">
        <v>2747</v>
      </c>
      <c r="P1147" s="27" t="str">
        <f>IFERROR(INDEX('Aub Demand'!B:B,MATCH($O1147,'Aub Demand'!$A:$A,0)),"")</f>
        <v>PLATINUM GRAY 62"</v>
      </c>
      <c r="Q1147" s="27" t="str">
        <f>IFERROR(INDEX('Aub Demand'!C:C,MATCH($O1147,'Aub Demand'!$A:$A,0)),"")</f>
        <v>ONYX</v>
      </c>
      <c r="R1147" s="52">
        <f>IFERROR(IF(AR1148=AR1147,INDEX('Aub Demand'!K:K,MATCH($O1147,'Aub Demand'!$A:$A,0))-IF(AN1147="",0,AN1147)+AP1148,INDEX('Aub Demand'!K:K,MATCH($O1147,'Aub Demand'!$A:$A,0))-IF(AN1147="",0,AN1147)),"")</f>
        <v>994</v>
      </c>
      <c r="S1147" s="53">
        <f t="shared" si="476"/>
        <v>45.3</v>
      </c>
      <c r="T1147" s="52" t="str">
        <f t="shared" si="477"/>
        <v/>
      </c>
      <c r="U1147" s="52">
        <f>IFERROR(IF(AR1148=AR1147,INDEX('Aub Demand'!Q:Q,MATCH($O1147,'Aub Demand'!$A:$A,0))-IF(AN1147="",0,AN1147)+AP1148,INDEX('Aub Demand'!Q:Q,MATCH($O1147,'Aub Demand'!$A:$A,0))-IF(AN1147="",0,AN1147)),"")</f>
        <v>959</v>
      </c>
      <c r="V1147" s="53">
        <f t="shared" si="478"/>
        <v>43.7</v>
      </c>
      <c r="W1147" s="52" t="str">
        <f t="shared" si="479"/>
        <v/>
      </c>
      <c r="X1147" s="52">
        <f>IFERROR(IF(AND(AR1148=AR1147,AM1147&lt;&gt;""),INDEX('Aub Demand'!Q:Q,MATCH($O1147,'Aub Demand'!$A:$A,0))-IF(AN1147="",0,AN1147)+AP1148+AD1147+AL1147,IF(AR1148=AR1147,INDEX('Aub Demand'!Q:Q,MATCH($O1147,'Aub Demand'!$A:$A,0))-IF(AN1147="",0,AN1147)+AP1148+AD1147,IF(AM1147&lt;&gt;"",INDEX('Aub Demand'!Q:Q,MATCH($O1147,'Aub Demand'!$A:$A,0))-IF(AN1147="",0,AN1147)+AD1147+AL1147,INDEX('Aub Demand'!Q:Q,MATCH($O1147,'Aub Demand'!$A:$A,0))-IF(AN1147="",0,AN1147)+AD1147))),"")</f>
        <v>959</v>
      </c>
      <c r="Y1147" s="53">
        <f t="shared" si="480"/>
        <v>43.7</v>
      </c>
      <c r="Z1147" s="52">
        <f>IF(L1147="","",INDEX('Aub Demand'!H:H,MATCH($O1147,'Aub Demand'!$A:$A,0)))</f>
        <v>94</v>
      </c>
      <c r="AA1147" s="52" t="str">
        <f t="shared" si="481"/>
        <v>-spike-</v>
      </c>
      <c r="AB1147" s="52">
        <f>IFERROR(INDEX('Aub Demand'!L:L,MATCH($O1147,'Aub Demand'!$A:$A,0)),"")</f>
        <v>273</v>
      </c>
      <c r="AC1147" s="52">
        <f>IFERROR(IF(O1147="","",SUMIFS('CPL Mats'!F:F,'CPL Mats'!Q:Q,AR1147,'CPL Mats'!S:S,AS1147)),"")</f>
        <v>0</v>
      </c>
      <c r="AF1147" s="25" t="str">
        <f>IF(SUMIFS('Supp Consol'!S:S,'Supp Consol'!Y:Y,"Releasable",'Supp Consol'!A:A,O1147)=0,"",SUMIFS('Supp Consol'!S:S,'Supp Consol'!Y:Y,"Releasable",'Supp Consol'!A:A,O1147))</f>
        <v/>
      </c>
      <c r="AG1147" s="25">
        <f>IFERROR(INDEX('Hun Demand'!Q:Q,MATCH(O1147,'Hun Demand'!A:A,0)),"")</f>
        <v>421</v>
      </c>
      <c r="AH1147" s="25">
        <f>IFERROR(INDEX('Hun Demand'!H:H,MATCH($O1147,'Hun Demand'!$A:$A,0)),"")</f>
        <v>0</v>
      </c>
      <c r="AI1147" s="25" t="str">
        <f>IF(SUMIFS('Supp Consol'!AA:AA,'Supp Consol'!Z:Z,"Expires this month",'Supp Consol'!A:A,O1147)=0,"",SUMIFS('Supp Consol'!AA:AA,'Supp Consol'!Z:Z,"Expires this month",'Supp Consol'!A:A,O1147))</f>
        <v/>
      </c>
      <c r="AJ1147" s="25" t="str">
        <f>IF(SUMIFS('Supp Consol'!AA:AA,'Supp Consol'!Z:Z,"Expired Previous Months",'Supp Consol'!A:A,O1147)=0,"",SUMIFS('Supp Consol'!AA:AA,'Supp Consol'!Z:Z,"Expired Previous Months",'Supp Consol'!A:A,O1147))</f>
        <v/>
      </c>
      <c r="AK1147" s="25" t="str">
        <f>IFERROR(INDEX('Hun Release Current'!B:B,MATCH(O1147,'Hun Release Current'!A:A,0)),"")</f>
        <v/>
      </c>
      <c r="AL1147" s="25" t="str">
        <f>IF(SUMIF('Prev Aub'!A:A,O1147,'Prev Aub'!B:B)=0,"",SUMIF('Prev Aub'!A:A,O1147,'Prev Aub'!B:B))</f>
        <v/>
      </c>
      <c r="AN1147" s="25" t="s">
        <v>3790</v>
      </c>
      <c r="AO1147" s="25" t="s">
        <v>3790</v>
      </c>
      <c r="AP1147" s="25">
        <f t="shared" si="482"/>
        <v>0</v>
      </c>
      <c r="AQ1147" s="151" t="str">
        <f>IF(SUMIFS('Supp Consol'!S:S,'Supp Consol'!A:A,O1147,'Supp Consol'!I:I,"PENDING")=0,"",SUMIFS('Supp Consol'!S:S,'Supp Consol'!A:A,O1147,'Supp Consol'!I:I,"PENDING"))</f>
        <v/>
      </c>
      <c r="AR1147" s="27" t="str">
        <f t="shared" si="483"/>
        <v>ST623</v>
      </c>
      <c r="AS1147" s="27" t="str">
        <f t="shared" si="484"/>
        <v>62</v>
      </c>
      <c r="AT1147" s="27" t="str">
        <f t="shared" si="485"/>
        <v/>
      </c>
      <c r="AU1147" s="27" t="str">
        <f t="shared" si="486"/>
        <v/>
      </c>
      <c r="AV1147" s="27" t="str">
        <f t="shared" si="487"/>
        <v/>
      </c>
      <c r="AW1147" s="27" t="str">
        <f t="shared" si="488"/>
        <v/>
      </c>
      <c r="AX1147" s="27" t="str">
        <f t="shared" si="489"/>
        <v/>
      </c>
      <c r="AY1147" s="27" t="str">
        <f t="shared" si="490"/>
        <v>ST623</v>
      </c>
      <c r="AZ1147" s="27" t="str">
        <f t="shared" si="491"/>
        <v/>
      </c>
      <c r="BA1147" s="27" t="str">
        <f t="shared" si="492"/>
        <v>Hun</v>
      </c>
      <c r="BB1147" s="27" t="str">
        <f t="shared" si="493"/>
        <v/>
      </c>
      <c r="BC1147" s="27" t="str">
        <f t="shared" si="494"/>
        <v/>
      </c>
      <c r="BD1147" s="27" t="str">
        <f t="shared" si="495"/>
        <v/>
      </c>
      <c r="BE1147" s="27" t="str">
        <f t="shared" si="496"/>
        <v/>
      </c>
      <c r="BF1147" s="27" t="str">
        <f t="shared" si="497"/>
        <v/>
      </c>
      <c r="BG1147" s="27" t="str">
        <f t="shared" si="498"/>
        <v/>
      </c>
      <c r="BH1147" s="27" t="str">
        <f t="shared" si="499"/>
        <v/>
      </c>
      <c r="BI1147" s="27" t="str">
        <f t="shared" si="500"/>
        <v/>
      </c>
      <c r="BJ1147" s="27" t="str">
        <f t="shared" si="501"/>
        <v>Supp or Hun</v>
      </c>
      <c r="BK1147" s="27" t="str">
        <f t="shared" si="502"/>
        <v/>
      </c>
      <c r="BL1147" s="27" t="str">
        <f t="shared" si="503"/>
        <v/>
      </c>
      <c r="BM1147" s="21" t="s">
        <v>5581</v>
      </c>
    </row>
    <row r="1148" spans="1:65" ht="15">
      <c r="A1148" s="25" t="str">
        <f>IFERROR(INDEX('Hun Demand'!W:W,MATCH(O1148,'Hun Demand'!A:A,0)),"")</f>
        <v/>
      </c>
      <c r="B1148" s="25" t="str">
        <f>IFERROR(INDEX('Hun Demand'!V:V,MATCH(O1148,'Hun Demand'!A:A,0)),"")</f>
        <v/>
      </c>
      <c r="C1148" s="25" t="str">
        <f>IFERROR(INDEX('Hun Demand'!U:U,MATCH(O1148,'Hun Demand'!A:A,0)),"")</f>
        <v/>
      </c>
      <c r="D1148" s="25" t="str">
        <f>IFERROR(INDEX('Hun Demand'!T:T,MATCH(O1148,'Hun Demand'!A:A,0)),"")</f>
        <v/>
      </c>
      <c r="E1148" s="25" t="str">
        <f>IFERROR(INDEX('Hun Demand'!S:S,MATCH(O1148,'Hun Demand'!A:A,0)),"")</f>
        <v/>
      </c>
      <c r="F1148" s="25" t="str">
        <f>IFERROR(INDEX('Hun Demand'!R:R,MATCH(O1148,'Hun Demand'!A:A,0)),"")</f>
        <v/>
      </c>
      <c r="G1148" s="25">
        <f>IFERROR(INDEX('Aub Demand'!W:W,MATCH(O1148,'Aub Demand'!A:A,0)),"")</f>
        <v>0</v>
      </c>
      <c r="H1148" s="25">
        <f>IFERROR(INDEX('Aub Demand'!V:V,MATCH(O1148,'Aub Demand'!A:A,0)),"")</f>
        <v>0</v>
      </c>
      <c r="I1148" s="25">
        <f>IFERROR(INDEX('Aub Demand'!U:U,MATCH(O1148,'Aub Demand'!A:A,0)),"")</f>
        <v>0</v>
      </c>
      <c r="J1148" s="25">
        <f>IFERROR(INDEX('Aub Demand'!T:T,MATCH(O1148,'Aub Demand'!A:A,0)),"")</f>
        <v>0</v>
      </c>
      <c r="K1148" s="25">
        <f>IFERROR(INDEX('Aub Demand'!S:S,MATCH(O1148,'Aub Demand'!A:A,0)),"")</f>
        <v>0</v>
      </c>
      <c r="L1148" s="25">
        <f>IFERROR(INDEX('Aub Demand'!R:R,MATCH(O1148,'Aub Demand'!A:A,0)),"")</f>
        <v>0</v>
      </c>
      <c r="O1148" s="27" t="s">
        <v>2750</v>
      </c>
      <c r="P1148" s="27" t="str">
        <f>IFERROR(INDEX('Aub Demand'!B:B,MATCH($O1148,'Aub Demand'!$A:$A,0)),"")</f>
        <v>CORDIAL GRAY</v>
      </c>
      <c r="Q1148" s="27" t="str">
        <f>IFERROR(INDEX('Aub Demand'!C:C,MATCH($O1148,'Aub Demand'!$A:$A,0)),"")</f>
        <v>TECHN</v>
      </c>
      <c r="R1148" s="52">
        <f>IFERROR(IF(AR1149=AR1148,INDEX('Aub Demand'!K:K,MATCH($O1148,'Aub Demand'!$A:$A,0))-IF(AN1148="",0,AN1148)+AP1149,INDEX('Aub Demand'!K:K,MATCH($O1148,'Aub Demand'!$A:$A,0))-IF(AN1148="",0,AN1148)),"")</f>
        <v>0</v>
      </c>
      <c r="S1148" s="53" t="str">
        <f t="shared" si="476"/>
        <v>n/a</v>
      </c>
      <c r="T1148" s="52" t="str">
        <f t="shared" si="477"/>
        <v/>
      </c>
      <c r="U1148" s="52">
        <f>IFERROR(IF(AR1149=AR1148,INDEX('Aub Demand'!Q:Q,MATCH($O1148,'Aub Demand'!$A:$A,0))-IF(AN1148="",0,AN1148)+AP1149,INDEX('Aub Demand'!Q:Q,MATCH($O1148,'Aub Demand'!$A:$A,0))-IF(AN1148="",0,AN1148)),"")</f>
        <v>-14</v>
      </c>
      <c r="V1148" s="53" t="str">
        <f t="shared" si="478"/>
        <v>n/a</v>
      </c>
      <c r="W1148" s="52" t="str">
        <f t="shared" si="479"/>
        <v/>
      </c>
      <c r="X1148" s="52">
        <f>IFERROR(IF(AND(AR1149=AR1148,AM1148&lt;&gt;""),INDEX('Aub Demand'!Q:Q,MATCH($O1148,'Aub Demand'!$A:$A,0))-IF(AN1148="",0,AN1148)+AP1149+AD1148+AL1148,IF(AR1149=AR1148,INDEX('Aub Demand'!Q:Q,MATCH($O1148,'Aub Demand'!$A:$A,0))-IF(AN1148="",0,AN1148)+AP1149+AD1148,IF(AM1148&lt;&gt;"",INDEX('Aub Demand'!Q:Q,MATCH($O1148,'Aub Demand'!$A:$A,0))-IF(AN1148="",0,AN1148)+AD1148+AL1148,INDEX('Aub Demand'!Q:Q,MATCH($O1148,'Aub Demand'!$A:$A,0))-IF(AN1148="",0,AN1148)+AD1148))),"")</f>
        <v>-14</v>
      </c>
      <c r="Y1148" s="53" t="str">
        <f t="shared" si="480"/>
        <v>n/a</v>
      </c>
      <c r="Z1148" s="52">
        <f>IF(L1148="","",INDEX('Aub Demand'!H:H,MATCH($O1148,'Aub Demand'!$A:$A,0)))</f>
        <v>0</v>
      </c>
      <c r="AA1148" s="52" t="str">
        <f t="shared" si="481"/>
        <v>-spike-</v>
      </c>
      <c r="AB1148" s="52">
        <f>IFERROR(INDEX('Aub Demand'!L:L,MATCH($O1148,'Aub Demand'!$A:$A,0)),"")</f>
        <v>75</v>
      </c>
      <c r="AC1148" s="52">
        <f>IFERROR(IF(O1148="","",SUMIFS('CPL Mats'!F:F,'CPL Mats'!Q:Q,AR1148,'CPL Mats'!S:S,AS1148)),"")</f>
        <v>0</v>
      </c>
      <c r="AF1148" s="25" t="str">
        <f>IF(SUMIFS('Supp Consol'!S:S,'Supp Consol'!Y:Y,"Releasable",'Supp Consol'!A:A,O1148)=0,"",SUMIFS('Supp Consol'!S:S,'Supp Consol'!Y:Y,"Releasable",'Supp Consol'!A:A,O1148))</f>
        <v/>
      </c>
      <c r="AG1148" s="25" t="str">
        <f>IFERROR(INDEX('Hun Demand'!Q:Q,MATCH(O1148,'Hun Demand'!A:A,0)),"")</f>
        <v/>
      </c>
      <c r="AH1148" s="25" t="str">
        <f>IFERROR(INDEX('Hun Demand'!H:H,MATCH($O1148,'Hun Demand'!$A:$A,0)),"")</f>
        <v/>
      </c>
      <c r="AI1148" s="25" t="str">
        <f>IF(SUMIFS('Supp Consol'!AA:AA,'Supp Consol'!Z:Z,"Expires this month",'Supp Consol'!A:A,O1148)=0,"",SUMIFS('Supp Consol'!AA:AA,'Supp Consol'!Z:Z,"Expires this month",'Supp Consol'!A:A,O1148))</f>
        <v/>
      </c>
      <c r="AJ1148" s="25" t="str">
        <f>IF(SUMIFS('Supp Consol'!AA:AA,'Supp Consol'!Z:Z,"Expired Previous Months",'Supp Consol'!A:A,O1148)=0,"",SUMIFS('Supp Consol'!AA:AA,'Supp Consol'!Z:Z,"Expired Previous Months",'Supp Consol'!A:A,O1148))</f>
        <v/>
      </c>
      <c r="AK1148" s="25" t="str">
        <f>IFERROR(INDEX('Hun Release Current'!B:B,MATCH(O1148,'Hun Release Current'!A:A,0)),"")</f>
        <v/>
      </c>
      <c r="AL1148" s="25" t="str">
        <f>IF(SUMIF('Prev Aub'!A:A,O1148,'Prev Aub'!B:B)=0,"",SUMIF('Prev Aub'!A:A,O1148,'Prev Aub'!B:B))</f>
        <v/>
      </c>
      <c r="AN1148" s="25" t="s">
        <v>3790</v>
      </c>
      <c r="AO1148" s="25" t="s">
        <v>3790</v>
      </c>
      <c r="AP1148" s="25">
        <f t="shared" si="482"/>
        <v>0</v>
      </c>
      <c r="AQ1148" s="151" t="str">
        <f>IF(SUMIFS('Supp Consol'!S:S,'Supp Consol'!A:A,O1148,'Supp Consol'!I:I,"PENDING")=0,"",SUMIFS('Supp Consol'!S:S,'Supp Consol'!A:A,O1148,'Supp Consol'!I:I,"PENDING"))</f>
        <v/>
      </c>
      <c r="AR1148" s="27" t="str">
        <f t="shared" si="483"/>
        <v>ST624</v>
      </c>
      <c r="AS1148" s="27" t="str">
        <f t="shared" si="484"/>
        <v>50</v>
      </c>
      <c r="AT1148" s="27" t="str">
        <f t="shared" si="485"/>
        <v/>
      </c>
      <c r="AU1148" s="27" t="str">
        <f t="shared" si="486"/>
        <v/>
      </c>
      <c r="AV1148" s="27" t="str">
        <f t="shared" si="487"/>
        <v/>
      </c>
      <c r="AW1148" s="27" t="str">
        <f t="shared" si="488"/>
        <v/>
      </c>
      <c r="AX1148" s="27" t="str">
        <f t="shared" si="489"/>
        <v/>
      </c>
      <c r="AY1148" s="27" t="str">
        <f t="shared" si="490"/>
        <v/>
      </c>
      <c r="AZ1148" s="27" t="str">
        <f t="shared" si="491"/>
        <v/>
      </c>
      <c r="BA1148" s="27" t="str">
        <f t="shared" si="492"/>
        <v>Hun</v>
      </c>
      <c r="BB1148" s="27" t="str">
        <f t="shared" si="493"/>
        <v/>
      </c>
      <c r="BC1148" s="27" t="str">
        <f t="shared" si="494"/>
        <v/>
      </c>
      <c r="BD1148" s="27" t="str">
        <f t="shared" si="495"/>
        <v/>
      </c>
      <c r="BE1148" s="27" t="str">
        <f t="shared" si="496"/>
        <v/>
      </c>
      <c r="BF1148" s="27" t="str">
        <f t="shared" si="497"/>
        <v/>
      </c>
      <c r="BG1148" s="27" t="str">
        <f t="shared" si="498"/>
        <v/>
      </c>
      <c r="BH1148" s="27" t="str">
        <f t="shared" si="499"/>
        <v/>
      </c>
      <c r="BI1148" s="27" t="str">
        <f t="shared" si="500"/>
        <v/>
      </c>
      <c r="BJ1148" s="27" t="str">
        <f t="shared" si="501"/>
        <v>Supp or Hun</v>
      </c>
      <c r="BK1148" s="27" t="str">
        <f t="shared" si="502"/>
        <v/>
      </c>
      <c r="BL1148" s="27" t="str">
        <f t="shared" si="503"/>
        <v/>
      </c>
      <c r="BM1148" s="21" t="s">
        <v>3790</v>
      </c>
    </row>
    <row r="1149" spans="1:65" ht="15">
      <c r="A1149" s="25">
        <f>IFERROR(INDEX('Hun Demand'!W:W,MATCH(O1149,'Hun Demand'!A:A,0)),"")</f>
        <v>0</v>
      </c>
      <c r="B1149" s="25">
        <f>IFERROR(INDEX('Hun Demand'!V:V,MATCH(O1149,'Hun Demand'!A:A,0)),"")</f>
        <v>0</v>
      </c>
      <c r="C1149" s="25">
        <f>IFERROR(INDEX('Hun Demand'!U:U,MATCH(O1149,'Hun Demand'!A:A,0)),"")</f>
        <v>0</v>
      </c>
      <c r="D1149" s="25">
        <f>IFERROR(INDEX('Hun Demand'!T:T,MATCH(O1149,'Hun Demand'!A:A,0)),"")</f>
        <v>0</v>
      </c>
      <c r="E1149" s="25">
        <f>IFERROR(INDEX('Hun Demand'!S:S,MATCH(O1149,'Hun Demand'!A:A,0)),"")</f>
        <v>408</v>
      </c>
      <c r="F1149" s="25">
        <f>IFERROR(INDEX('Hun Demand'!R:R,MATCH(O1149,'Hun Demand'!A:A,0)),"")</f>
        <v>0</v>
      </c>
      <c r="G1149" s="25">
        <f>IFERROR(INDEX('Aub Demand'!W:W,MATCH(O1149,'Aub Demand'!A:A,0)),"")</f>
        <v>0</v>
      </c>
      <c r="H1149" s="25">
        <f>IFERROR(INDEX('Aub Demand'!V:V,MATCH(O1149,'Aub Demand'!A:A,0)),"")</f>
        <v>0</v>
      </c>
      <c r="I1149" s="25">
        <f>IFERROR(INDEX('Aub Demand'!U:U,MATCH(O1149,'Aub Demand'!A:A,0)),"")</f>
        <v>0</v>
      </c>
      <c r="J1149" s="25">
        <f>IFERROR(INDEX('Aub Demand'!T:T,MATCH(O1149,'Aub Demand'!A:A,0)),"")</f>
        <v>0</v>
      </c>
      <c r="K1149" s="25">
        <f>IFERROR(INDEX('Aub Demand'!S:S,MATCH(O1149,'Aub Demand'!A:A,0)),"")</f>
        <v>0</v>
      </c>
      <c r="L1149" s="25">
        <f>IFERROR(INDEX('Aub Demand'!R:R,MATCH(O1149,'Aub Demand'!A:A,0)),"")</f>
        <v>0</v>
      </c>
      <c r="O1149" s="27" t="s">
        <v>2752</v>
      </c>
      <c r="P1149" s="27" t="str">
        <f>IFERROR(INDEX('Aub Demand'!B:B,MATCH($O1149,'Aub Demand'!$A:$A,0)),"")</f>
        <v>CORDIAL GRAY</v>
      </c>
      <c r="Q1149" s="27" t="str">
        <f>IFERROR(INDEX('Aub Demand'!C:C,MATCH($O1149,'Aub Demand'!$A:$A,0)),"")</f>
        <v>TECHN</v>
      </c>
      <c r="R1149" s="52">
        <f>IFERROR(IF(AR1150=AR1149,INDEX('Aub Demand'!K:K,MATCH($O1149,'Aub Demand'!$A:$A,0))-IF(AN1149="",0,AN1149)+AP1150,INDEX('Aub Demand'!K:K,MATCH($O1149,'Aub Demand'!$A:$A,0))-IF(AN1149="",0,AN1149)),"")</f>
        <v>4252</v>
      </c>
      <c r="S1149" s="53" t="str">
        <f t="shared" si="476"/>
        <v>n/a</v>
      </c>
      <c r="T1149" s="52" t="str">
        <f t="shared" si="477"/>
        <v/>
      </c>
      <c r="U1149" s="52">
        <f>IFERROR(IF(AR1150=AR1149,INDEX('Aub Demand'!Q:Q,MATCH($O1149,'Aub Demand'!$A:$A,0))-IF(AN1149="",0,AN1149)+AP1150,INDEX('Aub Demand'!Q:Q,MATCH($O1149,'Aub Demand'!$A:$A,0))-IF(AN1149="",0,AN1149)),"")</f>
        <v>4235</v>
      </c>
      <c r="V1149" s="53" t="str">
        <f t="shared" si="478"/>
        <v>n/a</v>
      </c>
      <c r="W1149" s="52" t="str">
        <f t="shared" si="479"/>
        <v/>
      </c>
      <c r="X1149" s="52">
        <f>IFERROR(IF(AND(AR1150=AR1149,AM1149&lt;&gt;""),INDEX('Aub Demand'!Q:Q,MATCH($O1149,'Aub Demand'!$A:$A,0))-IF(AN1149="",0,AN1149)+AP1150+AD1149+AL1149,IF(AR1150=AR1149,INDEX('Aub Demand'!Q:Q,MATCH($O1149,'Aub Demand'!$A:$A,0))-IF(AN1149="",0,AN1149)+AP1150+AD1149,IF(AM1149&lt;&gt;"",INDEX('Aub Demand'!Q:Q,MATCH($O1149,'Aub Demand'!$A:$A,0))-IF(AN1149="",0,AN1149)+AD1149+AL1149,INDEX('Aub Demand'!Q:Q,MATCH($O1149,'Aub Demand'!$A:$A,0))-IF(AN1149="",0,AN1149)+AD1149))),"")</f>
        <v>4235</v>
      </c>
      <c r="Y1149" s="53" t="str">
        <f t="shared" si="480"/>
        <v>n/a</v>
      </c>
      <c r="Z1149" s="52">
        <f>IF(L1149="","",INDEX('Aub Demand'!H:H,MATCH($O1149,'Aub Demand'!$A:$A,0)))</f>
        <v>0</v>
      </c>
      <c r="AA1149" s="52" t="str">
        <f t="shared" si="481"/>
        <v>-spike-</v>
      </c>
      <c r="AB1149" s="52">
        <f>IFERROR(INDEX('Aub Demand'!L:L,MATCH($O1149,'Aub Demand'!$A:$A,0)),"")</f>
        <v>116</v>
      </c>
      <c r="AC1149" s="52">
        <f>IFERROR(IF(O1149="","",SUMIFS('CPL Mats'!F:F,'CPL Mats'!Q:Q,AR1149,'CPL Mats'!S:S,AS1149)),"")</f>
        <v>0</v>
      </c>
      <c r="AF1149" s="25" t="str">
        <f>IF(SUMIFS('Supp Consol'!S:S,'Supp Consol'!Y:Y,"Releasable",'Supp Consol'!A:A,O1149)=0,"",SUMIFS('Supp Consol'!S:S,'Supp Consol'!Y:Y,"Releasable",'Supp Consol'!A:A,O1149))</f>
        <v/>
      </c>
      <c r="AG1149" s="25">
        <f>IFERROR(INDEX('Hun Demand'!Q:Q,MATCH(O1149,'Hun Demand'!A:A,0)),"")</f>
        <v>958</v>
      </c>
      <c r="AH1149" s="25">
        <f>IFERROR(INDEX('Hun Demand'!H:H,MATCH($O1149,'Hun Demand'!$A:$A,0)),"")</f>
        <v>136</v>
      </c>
      <c r="AI1149" s="25" t="str">
        <f>IF(SUMIFS('Supp Consol'!AA:AA,'Supp Consol'!Z:Z,"Expires this month",'Supp Consol'!A:A,O1149)=0,"",SUMIFS('Supp Consol'!AA:AA,'Supp Consol'!Z:Z,"Expires this month",'Supp Consol'!A:A,O1149))</f>
        <v/>
      </c>
      <c r="AJ1149" s="25" t="str">
        <f>IF(SUMIFS('Supp Consol'!AA:AA,'Supp Consol'!Z:Z,"Expired Previous Months",'Supp Consol'!A:A,O1149)=0,"",SUMIFS('Supp Consol'!AA:AA,'Supp Consol'!Z:Z,"Expired Previous Months",'Supp Consol'!A:A,O1149))</f>
        <v/>
      </c>
      <c r="AK1149" s="25" t="str">
        <f>IFERROR(INDEX('Hun Release Current'!B:B,MATCH(O1149,'Hun Release Current'!A:A,0)),"")</f>
        <v/>
      </c>
      <c r="AL1149" s="25" t="str">
        <f>IF(SUMIF('Prev Aub'!A:A,O1149,'Prev Aub'!B:B)=0,"",SUMIF('Prev Aub'!A:A,O1149,'Prev Aub'!B:B))</f>
        <v/>
      </c>
      <c r="AN1149" s="25" t="s">
        <v>3790</v>
      </c>
      <c r="AO1149" s="25" t="s">
        <v>3790</v>
      </c>
      <c r="AP1149" s="25">
        <f t="shared" si="482"/>
        <v>0</v>
      </c>
      <c r="AQ1149" s="151" t="str">
        <f>IF(SUMIFS('Supp Consol'!S:S,'Supp Consol'!A:A,O1149,'Supp Consol'!I:I,"PENDING")=0,"",SUMIFS('Supp Consol'!S:S,'Supp Consol'!A:A,O1149,'Supp Consol'!I:I,"PENDING"))</f>
        <v/>
      </c>
      <c r="AR1149" s="27" t="str">
        <f t="shared" si="483"/>
        <v>ST624</v>
      </c>
      <c r="AS1149" s="27" t="str">
        <f t="shared" si="484"/>
        <v>62</v>
      </c>
      <c r="AT1149" s="27" t="str">
        <f t="shared" si="485"/>
        <v/>
      </c>
      <c r="AU1149" s="27" t="str">
        <f t="shared" si="486"/>
        <v/>
      </c>
      <c r="AV1149" s="27" t="str">
        <f t="shared" si="487"/>
        <v/>
      </c>
      <c r="AW1149" s="27" t="str">
        <f t="shared" si="488"/>
        <v/>
      </c>
      <c r="AX1149" s="27" t="str">
        <f t="shared" si="489"/>
        <v/>
      </c>
      <c r="AY1149" s="27" t="str">
        <f t="shared" si="490"/>
        <v>ST624</v>
      </c>
      <c r="AZ1149" s="27" t="str">
        <f t="shared" si="491"/>
        <v/>
      </c>
      <c r="BA1149" s="27" t="str">
        <f t="shared" si="492"/>
        <v>Hun</v>
      </c>
      <c r="BB1149" s="27" t="str">
        <f t="shared" si="493"/>
        <v/>
      </c>
      <c r="BC1149" s="27" t="str">
        <f t="shared" si="494"/>
        <v/>
      </c>
      <c r="BD1149" s="27" t="str">
        <f t="shared" si="495"/>
        <v/>
      </c>
      <c r="BE1149" s="27" t="str">
        <f t="shared" si="496"/>
        <v/>
      </c>
      <c r="BF1149" s="27" t="str">
        <f t="shared" si="497"/>
        <v/>
      </c>
      <c r="BG1149" s="27" t="str">
        <f t="shared" si="498"/>
        <v/>
      </c>
      <c r="BH1149" s="27" t="str">
        <f t="shared" si="499"/>
        <v/>
      </c>
      <c r="BI1149" s="27" t="str">
        <f t="shared" si="500"/>
        <v/>
      </c>
      <c r="BJ1149" s="27" t="str">
        <f t="shared" si="501"/>
        <v>Supp or Hun</v>
      </c>
      <c r="BK1149" s="27" t="str">
        <f t="shared" si="502"/>
        <v/>
      </c>
      <c r="BL1149" s="27" t="str">
        <f t="shared" si="503"/>
        <v/>
      </c>
      <c r="BM1149" s="21" t="s">
        <v>5581</v>
      </c>
    </row>
    <row r="1150" spans="1:65" ht="15">
      <c r="A1150" s="25" t="str">
        <f>IFERROR(INDEX('Hun Demand'!W:W,MATCH(O1150,'Hun Demand'!A:A,0)),"")</f>
        <v/>
      </c>
      <c r="B1150" s="25" t="str">
        <f>IFERROR(INDEX('Hun Demand'!V:V,MATCH(O1150,'Hun Demand'!A:A,0)),"")</f>
        <v/>
      </c>
      <c r="C1150" s="25" t="str">
        <f>IFERROR(INDEX('Hun Demand'!U:U,MATCH(O1150,'Hun Demand'!A:A,0)),"")</f>
        <v/>
      </c>
      <c r="D1150" s="25" t="str">
        <f>IFERROR(INDEX('Hun Demand'!T:T,MATCH(O1150,'Hun Demand'!A:A,0)),"")</f>
        <v/>
      </c>
      <c r="E1150" s="25" t="str">
        <f>IFERROR(INDEX('Hun Demand'!S:S,MATCH(O1150,'Hun Demand'!A:A,0)),"")</f>
        <v/>
      </c>
      <c r="F1150" s="25" t="str">
        <f>IFERROR(INDEX('Hun Demand'!R:R,MATCH(O1150,'Hun Demand'!A:A,0)),"")</f>
        <v/>
      </c>
      <c r="G1150" s="25">
        <f>IFERROR(INDEX('Aub Demand'!W:W,MATCH(O1150,'Aub Demand'!A:A,0)),"")</f>
        <v>0</v>
      </c>
      <c r="H1150" s="25">
        <f>IFERROR(INDEX('Aub Demand'!V:V,MATCH(O1150,'Aub Demand'!A:A,0)),"")</f>
        <v>276</v>
      </c>
      <c r="I1150" s="25">
        <f>IFERROR(INDEX('Aub Demand'!U:U,MATCH(O1150,'Aub Demand'!A:A,0)),"")</f>
        <v>272</v>
      </c>
      <c r="J1150" s="25">
        <f>IFERROR(INDEX('Aub Demand'!T:T,MATCH(O1150,'Aub Demand'!A:A,0)),"")</f>
        <v>441</v>
      </c>
      <c r="K1150" s="25">
        <f>IFERROR(INDEX('Aub Demand'!S:S,MATCH(O1150,'Aub Demand'!A:A,0)),"")</f>
        <v>257</v>
      </c>
      <c r="L1150" s="25">
        <f>IFERROR(INDEX('Aub Demand'!R:R,MATCH(O1150,'Aub Demand'!A:A,0)),"")</f>
        <v>0</v>
      </c>
      <c r="O1150" s="27" t="s">
        <v>2753</v>
      </c>
      <c r="P1150" s="27" t="str">
        <f>IFERROR(INDEX('Aub Demand'!B:B,MATCH($O1150,'Aub Demand'!$A:$A,0)),"")</f>
        <v>MARITIME GRAY 48"</v>
      </c>
      <c r="Q1150" s="27" t="str">
        <f>IFERROR(INDEX('Aub Demand'!C:C,MATCH($O1150,'Aub Demand'!$A:$A,0)),"")</f>
        <v>ONYX</v>
      </c>
      <c r="R1150" s="52">
        <f>IFERROR(IF(AR1151=AR1150,INDEX('Aub Demand'!K:K,MATCH($O1150,'Aub Demand'!$A:$A,0))-IF(AN1150="",0,AN1150)+AP1151,INDEX('Aub Demand'!K:K,MATCH($O1150,'Aub Demand'!$A:$A,0))-IF(AN1150="",0,AN1150)),"")</f>
        <v>986</v>
      </c>
      <c r="S1150" s="53">
        <f t="shared" si="476"/>
        <v>13.1</v>
      </c>
      <c r="T1150" s="52" t="str">
        <f t="shared" si="477"/>
        <v/>
      </c>
      <c r="U1150" s="52">
        <f>IFERROR(IF(AR1151=AR1150,INDEX('Aub Demand'!Q:Q,MATCH($O1150,'Aub Demand'!$A:$A,0))-IF(AN1150="",0,AN1150)+AP1151,INDEX('Aub Demand'!Q:Q,MATCH($O1150,'Aub Demand'!$A:$A,0))-IF(AN1150="",0,AN1150)),"")</f>
        <v>636</v>
      </c>
      <c r="V1150" s="53">
        <f t="shared" si="478"/>
        <v>8.4</v>
      </c>
      <c r="W1150" s="52" t="str">
        <f t="shared" si="479"/>
        <v/>
      </c>
      <c r="X1150" s="52">
        <f>IFERROR(IF(AND(AR1151=AR1150,AM1150&lt;&gt;""),INDEX('Aub Demand'!Q:Q,MATCH($O1150,'Aub Demand'!$A:$A,0))-IF(AN1150="",0,AN1150)+AP1151+AD1150+AL1150,IF(AR1151=AR1150,INDEX('Aub Demand'!Q:Q,MATCH($O1150,'Aub Demand'!$A:$A,0))-IF(AN1150="",0,AN1150)+AP1151+AD1150,IF(AM1150&lt;&gt;"",INDEX('Aub Demand'!Q:Q,MATCH($O1150,'Aub Demand'!$A:$A,0))-IF(AN1150="",0,AN1150)+AD1150+AL1150,INDEX('Aub Demand'!Q:Q,MATCH($O1150,'Aub Demand'!$A:$A,0))-IF(AN1150="",0,AN1150)+AD1150))),"")</f>
        <v>636</v>
      </c>
      <c r="Y1150" s="53">
        <f t="shared" si="480"/>
        <v>8.4</v>
      </c>
      <c r="Z1150" s="52">
        <f>IF(L1150="","",INDEX('Aub Demand'!H:H,MATCH($O1150,'Aub Demand'!$A:$A,0)))</f>
        <v>323</v>
      </c>
      <c r="AA1150" s="52">
        <f t="shared" si="481"/>
        <v>356.5</v>
      </c>
      <c r="AB1150" s="52">
        <f>IFERROR(INDEX('Aub Demand'!L:L,MATCH($O1150,'Aub Demand'!$A:$A,0)),"")</f>
        <v>218</v>
      </c>
      <c r="AC1150" s="52">
        <f>IFERROR(IF(O1150="","",SUMIFS('CPL Mats'!F:F,'CPL Mats'!Q:Q,AR1150,'CPL Mats'!S:S,AS1150)),"")</f>
        <v>0</v>
      </c>
      <c r="AF1150" s="25" t="str">
        <f>IF(SUMIFS('Supp Consol'!S:S,'Supp Consol'!Y:Y,"Releasable",'Supp Consol'!A:A,O1150)=0,"",SUMIFS('Supp Consol'!S:S,'Supp Consol'!Y:Y,"Releasable",'Supp Consol'!A:A,O1150))</f>
        <v/>
      </c>
      <c r="AG1150" s="25" t="str">
        <f>IFERROR(INDEX('Hun Demand'!Q:Q,MATCH(O1150,'Hun Demand'!A:A,0)),"")</f>
        <v/>
      </c>
      <c r="AH1150" s="25" t="str">
        <f>IFERROR(INDEX('Hun Demand'!H:H,MATCH($O1150,'Hun Demand'!$A:$A,0)),"")</f>
        <v/>
      </c>
      <c r="AI1150" s="25" t="str">
        <f>IF(SUMIFS('Supp Consol'!AA:AA,'Supp Consol'!Z:Z,"Expires this month",'Supp Consol'!A:A,O1150)=0,"",SUMIFS('Supp Consol'!AA:AA,'Supp Consol'!Z:Z,"Expires this month",'Supp Consol'!A:A,O1150))</f>
        <v/>
      </c>
      <c r="AJ1150" s="25" t="str">
        <f>IF(SUMIFS('Supp Consol'!AA:AA,'Supp Consol'!Z:Z,"Expired Previous Months",'Supp Consol'!A:A,O1150)=0,"",SUMIFS('Supp Consol'!AA:AA,'Supp Consol'!Z:Z,"Expired Previous Months",'Supp Consol'!A:A,O1150))</f>
        <v/>
      </c>
      <c r="AK1150" s="25" t="str">
        <f>IFERROR(INDEX('Hun Release Current'!B:B,MATCH(O1150,'Hun Release Current'!A:A,0)),"")</f>
        <v/>
      </c>
      <c r="AL1150" s="25" t="str">
        <f>IF(SUMIF('Prev Aub'!A:A,O1150,'Prev Aub'!B:B)=0,"",SUMIF('Prev Aub'!A:A,O1150,'Prev Aub'!B:B))</f>
        <v/>
      </c>
      <c r="AN1150" s="25" t="s">
        <v>3790</v>
      </c>
      <c r="AO1150" s="25" t="s">
        <v>3790</v>
      </c>
      <c r="AP1150" s="25">
        <f t="shared" si="482"/>
        <v>0</v>
      </c>
      <c r="AQ1150" s="151" t="str">
        <f>IF(SUMIFS('Supp Consol'!S:S,'Supp Consol'!A:A,O1150,'Supp Consol'!I:I,"PENDING")=0,"",SUMIFS('Supp Consol'!S:S,'Supp Consol'!A:A,O1150,'Supp Consol'!I:I,"PENDING"))</f>
        <v/>
      </c>
      <c r="AR1150" s="27" t="str">
        <f t="shared" si="483"/>
        <v>ST627</v>
      </c>
      <c r="AS1150" s="27" t="str">
        <f t="shared" si="484"/>
        <v>50</v>
      </c>
      <c r="AT1150" s="27" t="str">
        <f t="shared" si="485"/>
        <v/>
      </c>
      <c r="AU1150" s="27" t="str">
        <f t="shared" si="486"/>
        <v/>
      </c>
      <c r="AV1150" s="27" t="str">
        <f t="shared" si="487"/>
        <v/>
      </c>
      <c r="AW1150" s="27" t="str">
        <f t="shared" si="488"/>
        <v/>
      </c>
      <c r="AX1150" s="27" t="str">
        <f t="shared" si="489"/>
        <v/>
      </c>
      <c r="AY1150" s="27" t="str">
        <f t="shared" si="490"/>
        <v/>
      </c>
      <c r="AZ1150" s="27" t="str">
        <f t="shared" si="491"/>
        <v>Supp</v>
      </c>
      <c r="BA1150" s="27" t="str">
        <f t="shared" si="492"/>
        <v/>
      </c>
      <c r="BB1150" s="27" t="str">
        <f t="shared" si="493"/>
        <v/>
      </c>
      <c r="BC1150" s="27" t="str">
        <f t="shared" si="494"/>
        <v/>
      </c>
      <c r="BD1150" s="27" t="str">
        <f t="shared" si="495"/>
        <v/>
      </c>
      <c r="BE1150" s="27" t="str">
        <f t="shared" si="496"/>
        <v>Exp</v>
      </c>
      <c r="BF1150" s="27" t="str">
        <f t="shared" si="497"/>
        <v/>
      </c>
      <c r="BG1150" s="27" t="str">
        <f t="shared" si="498"/>
        <v>S+NorE</v>
      </c>
      <c r="BH1150" s="27" t="str">
        <f t="shared" si="499"/>
        <v/>
      </c>
      <c r="BI1150" s="27" t="str">
        <f t="shared" si="500"/>
        <v/>
      </c>
      <c r="BJ1150" s="27" t="str">
        <f t="shared" si="501"/>
        <v>Supp or Hun</v>
      </c>
      <c r="BK1150" s="27" t="str">
        <f t="shared" si="502"/>
        <v/>
      </c>
      <c r="BL1150" s="27" t="str">
        <f t="shared" si="503"/>
        <v>SorHandNandE</v>
      </c>
      <c r="BM1150" s="21" t="s">
        <v>5581</v>
      </c>
    </row>
    <row r="1151" spans="1:65" ht="15">
      <c r="A1151" s="25" t="str">
        <f>IFERROR(INDEX('Hun Demand'!W:W,MATCH(O1151,'Hun Demand'!A:A,0)),"")</f>
        <v/>
      </c>
      <c r="B1151" s="25" t="str">
        <f>IFERROR(INDEX('Hun Demand'!V:V,MATCH(O1151,'Hun Demand'!A:A,0)),"")</f>
        <v/>
      </c>
      <c r="C1151" s="25" t="str">
        <f>IFERROR(INDEX('Hun Demand'!U:U,MATCH(O1151,'Hun Demand'!A:A,0)),"")</f>
        <v/>
      </c>
      <c r="D1151" s="25" t="str">
        <f>IFERROR(INDEX('Hun Demand'!T:T,MATCH(O1151,'Hun Demand'!A:A,0)),"")</f>
        <v/>
      </c>
      <c r="E1151" s="25" t="str">
        <f>IFERROR(INDEX('Hun Demand'!S:S,MATCH(O1151,'Hun Demand'!A:A,0)),"")</f>
        <v/>
      </c>
      <c r="F1151" s="25" t="str">
        <f>IFERROR(INDEX('Hun Demand'!R:R,MATCH(O1151,'Hun Demand'!A:A,0)),"")</f>
        <v/>
      </c>
      <c r="G1151" s="25">
        <f>IFERROR(INDEX('Aub Demand'!W:W,MATCH(O1151,'Aub Demand'!A:A,0)),"")</f>
        <v>0</v>
      </c>
      <c r="H1151" s="25">
        <f>IFERROR(INDEX('Aub Demand'!V:V,MATCH(O1151,'Aub Demand'!A:A,0)),"")</f>
        <v>219</v>
      </c>
      <c r="I1151" s="25">
        <f>IFERROR(INDEX('Aub Demand'!U:U,MATCH(O1151,'Aub Demand'!A:A,0)),"")</f>
        <v>90</v>
      </c>
      <c r="J1151" s="25">
        <f>IFERROR(INDEX('Aub Demand'!T:T,MATCH(O1151,'Aub Demand'!A:A,0)),"")</f>
        <v>0</v>
      </c>
      <c r="K1151" s="25">
        <f>IFERROR(INDEX('Aub Demand'!S:S,MATCH(O1151,'Aub Demand'!A:A,0)),"")</f>
        <v>134</v>
      </c>
      <c r="L1151" s="25">
        <f>IFERROR(INDEX('Aub Demand'!R:R,MATCH(O1151,'Aub Demand'!A:A,0)),"")</f>
        <v>0</v>
      </c>
      <c r="O1151" s="27" t="s">
        <v>2756</v>
      </c>
      <c r="P1151" s="27" t="str">
        <f>IFERROR(INDEX('Aub Demand'!B:B,MATCH($O1151,'Aub Demand'!$A:$A,0)),"")</f>
        <v>MARITIME GRAY 60"</v>
      </c>
      <c r="Q1151" s="27" t="str">
        <f>IFERROR(INDEX('Aub Demand'!C:C,MATCH($O1151,'Aub Demand'!$A:$A,0)),"")</f>
        <v>ONYX</v>
      </c>
      <c r="R1151" s="52">
        <f>IFERROR(IF(AR1152=AR1151,INDEX('Aub Demand'!K:K,MATCH($O1151,'Aub Demand'!$A:$A,0))-IF(AN1151="",0,AN1151)+AP1152,INDEX('Aub Demand'!K:K,MATCH($O1151,'Aub Demand'!$A:$A,0))-IF(AN1151="",0,AN1151)),"")</f>
        <v>389</v>
      </c>
      <c r="S1151" s="53">
        <f t="shared" si="476"/>
        <v>22.2</v>
      </c>
      <c r="T1151" s="52" t="str">
        <f t="shared" si="477"/>
        <v/>
      </c>
      <c r="U1151" s="52">
        <f>IFERROR(IF(AR1152=AR1151,INDEX('Aub Demand'!Q:Q,MATCH($O1151,'Aub Demand'!$A:$A,0))-IF(AN1151="",0,AN1151)+AP1152,INDEX('Aub Demand'!Q:Q,MATCH($O1151,'Aub Demand'!$A:$A,0))-IF(AN1151="",0,AN1151)),"")</f>
        <v>283</v>
      </c>
      <c r="V1151" s="53">
        <f t="shared" si="478"/>
        <v>16.2</v>
      </c>
      <c r="W1151" s="52" t="str">
        <f t="shared" si="479"/>
        <v/>
      </c>
      <c r="X1151" s="52">
        <f>IFERROR(IF(AND(AR1152=AR1151,AM1151&lt;&gt;""),INDEX('Aub Demand'!Q:Q,MATCH($O1151,'Aub Demand'!$A:$A,0))-IF(AN1151="",0,AN1151)+AP1152+AD1151+AL1151,IF(AR1152=AR1151,INDEX('Aub Demand'!Q:Q,MATCH($O1151,'Aub Demand'!$A:$A,0))-IF(AN1151="",0,AN1151)+AP1152+AD1151,IF(AM1151&lt;&gt;"",INDEX('Aub Demand'!Q:Q,MATCH($O1151,'Aub Demand'!$A:$A,0))-IF(AN1151="",0,AN1151)+AD1151+AL1151,INDEX('Aub Demand'!Q:Q,MATCH($O1151,'Aub Demand'!$A:$A,0))-IF(AN1151="",0,AN1151)+AD1151))),"")</f>
        <v>283</v>
      </c>
      <c r="Y1151" s="53">
        <f t="shared" si="480"/>
        <v>16.2</v>
      </c>
      <c r="Z1151" s="52">
        <f>IF(L1151="","",INDEX('Aub Demand'!H:H,MATCH($O1151,'Aub Demand'!$A:$A,0)))</f>
        <v>75</v>
      </c>
      <c r="AA1151" s="52">
        <f t="shared" si="481"/>
        <v>112</v>
      </c>
      <c r="AB1151" s="52">
        <f>IFERROR(INDEX('Aub Demand'!L:L,MATCH($O1151,'Aub Demand'!$A:$A,0)),"")</f>
        <v>105</v>
      </c>
      <c r="AC1151" s="52">
        <f>IFERROR(IF(O1151="","",SUMIFS('CPL Mats'!F:F,'CPL Mats'!Q:Q,AR1151,'CPL Mats'!S:S,AS1151)),"")</f>
        <v>0</v>
      </c>
      <c r="AF1151" s="25">
        <f>IF(SUMIFS('Supp Consol'!S:S,'Supp Consol'!Y:Y,"Releasable",'Supp Consol'!A:A,O1151)=0,"",SUMIFS('Supp Consol'!S:S,'Supp Consol'!Y:Y,"Releasable",'Supp Consol'!A:A,O1151))</f>
        <v>2988</v>
      </c>
      <c r="AG1151" s="25" t="str">
        <f>IFERROR(INDEX('Hun Demand'!Q:Q,MATCH(O1151,'Hun Demand'!A:A,0)),"")</f>
        <v/>
      </c>
      <c r="AH1151" s="25" t="str">
        <f>IFERROR(INDEX('Hun Demand'!H:H,MATCH($O1151,'Hun Demand'!$A:$A,0)),"")</f>
        <v/>
      </c>
      <c r="AI1151" s="25">
        <f>IF(SUMIFS('Supp Consol'!AA:AA,'Supp Consol'!Z:Z,"Expires this month",'Supp Consol'!A:A,O1151)=0,"",SUMIFS('Supp Consol'!AA:AA,'Supp Consol'!Z:Z,"Expires this month",'Supp Consol'!A:A,O1151))</f>
        <v>2951</v>
      </c>
      <c r="AJ1151" s="25" t="str">
        <f>IF(SUMIFS('Supp Consol'!AA:AA,'Supp Consol'!Z:Z,"Expired Previous Months",'Supp Consol'!A:A,O1151)=0,"",SUMIFS('Supp Consol'!AA:AA,'Supp Consol'!Z:Z,"Expired Previous Months",'Supp Consol'!A:A,O1151))</f>
        <v/>
      </c>
      <c r="AK1151" s="25" t="str">
        <f>IFERROR(INDEX('Hun Release Current'!B:B,MATCH(O1151,'Hun Release Current'!A:A,0)),"")</f>
        <v/>
      </c>
      <c r="AL1151" s="25" t="str">
        <f>IF(SUMIF('Prev Aub'!A:A,O1151,'Prev Aub'!B:B)=0,"",SUMIF('Prev Aub'!A:A,O1151,'Prev Aub'!B:B))</f>
        <v/>
      </c>
      <c r="AN1151" s="25" t="s">
        <v>3790</v>
      </c>
      <c r="AO1151" s="25" t="s">
        <v>3790</v>
      </c>
      <c r="AP1151" s="25">
        <f t="shared" si="482"/>
        <v>0</v>
      </c>
      <c r="AQ1151" s="151" t="str">
        <f>IF(SUMIFS('Supp Consol'!S:S,'Supp Consol'!A:A,O1151,'Supp Consol'!I:I,"PENDING")=0,"",SUMIFS('Supp Consol'!S:S,'Supp Consol'!A:A,O1151,'Supp Consol'!I:I,"PENDING"))</f>
        <v/>
      </c>
      <c r="AR1151" s="27" t="str">
        <f t="shared" si="483"/>
        <v>ST627</v>
      </c>
      <c r="AS1151" s="27" t="str">
        <f t="shared" si="484"/>
        <v>62</v>
      </c>
      <c r="AT1151" s="27" t="str">
        <f t="shared" si="485"/>
        <v/>
      </c>
      <c r="AU1151" s="27" t="str">
        <f t="shared" si="486"/>
        <v/>
      </c>
      <c r="AV1151" s="27" t="str">
        <f t="shared" si="487"/>
        <v/>
      </c>
      <c r="AW1151" s="27" t="str">
        <f t="shared" si="488"/>
        <v>ST627</v>
      </c>
      <c r="AX1151" s="27" t="str">
        <f t="shared" si="489"/>
        <v>ST627</v>
      </c>
      <c r="AY1151" s="27" t="str">
        <f t="shared" si="490"/>
        <v/>
      </c>
      <c r="AZ1151" s="27" t="str">
        <f t="shared" si="491"/>
        <v>Supp</v>
      </c>
      <c r="BA1151" s="27" t="str">
        <f t="shared" si="492"/>
        <v/>
      </c>
      <c r="BB1151" s="27" t="str">
        <f t="shared" si="493"/>
        <v/>
      </c>
      <c r="BC1151" s="27" t="str">
        <f t="shared" si="494"/>
        <v/>
      </c>
      <c r="BD1151" s="27" t="str">
        <f t="shared" si="495"/>
        <v/>
      </c>
      <c r="BE1151" s="27" t="str">
        <f t="shared" si="496"/>
        <v>Exp</v>
      </c>
      <c r="BF1151" s="27" t="str">
        <f t="shared" si="497"/>
        <v/>
      </c>
      <c r="BG1151" s="27" t="str">
        <f t="shared" si="498"/>
        <v>S+NorE</v>
      </c>
      <c r="BH1151" s="27" t="str">
        <f t="shared" si="499"/>
        <v/>
      </c>
      <c r="BI1151" s="27" t="str">
        <f t="shared" si="500"/>
        <v/>
      </c>
      <c r="BJ1151" s="27" t="str">
        <f t="shared" si="501"/>
        <v>Supp or Hun</v>
      </c>
      <c r="BK1151" s="27" t="str">
        <f t="shared" si="502"/>
        <v/>
      </c>
      <c r="BL1151" s="27" t="str">
        <f t="shared" si="503"/>
        <v>SorHandNandE</v>
      </c>
      <c r="BM1151" s="21" t="s">
        <v>5581</v>
      </c>
    </row>
    <row r="1152" spans="1:65" ht="15">
      <c r="A1152" s="25" t="str">
        <f>IFERROR(INDEX('Hun Demand'!W:W,MATCH(O1152,'Hun Demand'!A:A,0)),"")</f>
        <v/>
      </c>
      <c r="B1152" s="25" t="str">
        <f>IFERROR(INDEX('Hun Demand'!V:V,MATCH(O1152,'Hun Demand'!A:A,0)),"")</f>
        <v/>
      </c>
      <c r="C1152" s="25" t="str">
        <f>IFERROR(INDEX('Hun Demand'!U:U,MATCH(O1152,'Hun Demand'!A:A,0)),"")</f>
        <v/>
      </c>
      <c r="D1152" s="25" t="str">
        <f>IFERROR(INDEX('Hun Demand'!T:T,MATCH(O1152,'Hun Demand'!A:A,0)),"")</f>
        <v/>
      </c>
      <c r="E1152" s="25" t="str">
        <f>IFERROR(INDEX('Hun Demand'!S:S,MATCH(O1152,'Hun Demand'!A:A,0)),"")</f>
        <v/>
      </c>
      <c r="F1152" s="25" t="str">
        <f>IFERROR(INDEX('Hun Demand'!R:R,MATCH(O1152,'Hun Demand'!A:A,0)),"")</f>
        <v/>
      </c>
      <c r="G1152" s="25">
        <f>IFERROR(INDEX('Aub Demand'!W:W,MATCH(O1152,'Aub Demand'!A:A,0)),"")</f>
        <v>0</v>
      </c>
      <c r="H1152" s="25">
        <f>IFERROR(INDEX('Aub Demand'!V:V,MATCH(O1152,'Aub Demand'!A:A,0)),"")</f>
        <v>0</v>
      </c>
      <c r="I1152" s="25">
        <f>IFERROR(INDEX('Aub Demand'!U:U,MATCH(O1152,'Aub Demand'!A:A,0)),"")</f>
        <v>0</v>
      </c>
      <c r="J1152" s="25">
        <f>IFERROR(INDEX('Aub Demand'!T:T,MATCH(O1152,'Aub Demand'!A:A,0)),"")</f>
        <v>0</v>
      </c>
      <c r="K1152" s="25">
        <f>IFERROR(INDEX('Aub Demand'!S:S,MATCH(O1152,'Aub Demand'!A:A,0)),"")</f>
        <v>0</v>
      </c>
      <c r="L1152" s="25">
        <f>IFERROR(INDEX('Aub Demand'!R:R,MATCH(O1152,'Aub Demand'!A:A,0)),"")</f>
        <v>0</v>
      </c>
      <c r="O1152" s="27" t="s">
        <v>5307</v>
      </c>
      <c r="P1152" s="27" t="str">
        <f>IFERROR(INDEX('Aub Demand'!B:B,MATCH($O1152,'Aub Demand'!$A:$A,0)),"")</f>
        <v>MEDIUM TONE</v>
      </c>
      <c r="Q1152" s="27">
        <f>IFERROR(INDEX('Aub Demand'!C:C,MATCH($O1152,'Aub Demand'!$A:$A,0)),"")</f>
        <v>0</v>
      </c>
      <c r="R1152" s="52">
        <f>IFERROR(IF(AR1153=AR1152,INDEX('Aub Demand'!K:K,MATCH($O1152,'Aub Demand'!$A:$A,0))-IF(AN1152="",0,AN1152)+AP1153,INDEX('Aub Demand'!K:K,MATCH($O1152,'Aub Demand'!$A:$A,0))-IF(AN1152="",0,AN1152)),"")</f>
        <v>1281</v>
      </c>
      <c r="S1152" s="53" t="str">
        <f t="shared" si="476"/>
        <v>n/a</v>
      </c>
      <c r="T1152" s="52" t="str">
        <f t="shared" si="477"/>
        <v/>
      </c>
      <c r="U1152" s="52">
        <f>IFERROR(IF(AR1153=AR1152,INDEX('Aub Demand'!Q:Q,MATCH($O1152,'Aub Demand'!$A:$A,0))-IF(AN1152="",0,AN1152)+AP1153,INDEX('Aub Demand'!Q:Q,MATCH($O1152,'Aub Demand'!$A:$A,0))-IF(AN1152="",0,AN1152)),"")</f>
        <v>1281</v>
      </c>
      <c r="V1152" s="53" t="str">
        <f t="shared" si="478"/>
        <v>n/a</v>
      </c>
      <c r="W1152" s="52" t="str">
        <f t="shared" si="479"/>
        <v/>
      </c>
      <c r="X1152" s="52">
        <f>IFERROR(IF(AND(AR1153=AR1152,AM1152&lt;&gt;""),INDEX('Aub Demand'!Q:Q,MATCH($O1152,'Aub Demand'!$A:$A,0))-IF(AN1152="",0,AN1152)+AP1153+AD1152+AL1152,IF(AR1153=AR1152,INDEX('Aub Demand'!Q:Q,MATCH($O1152,'Aub Demand'!$A:$A,0))-IF(AN1152="",0,AN1152)+AP1153+AD1152,IF(AM1152&lt;&gt;"",INDEX('Aub Demand'!Q:Q,MATCH($O1152,'Aub Demand'!$A:$A,0))-IF(AN1152="",0,AN1152)+AD1152+AL1152,INDEX('Aub Demand'!Q:Q,MATCH($O1152,'Aub Demand'!$A:$A,0))-IF(AN1152="",0,AN1152)+AD1152))),"")</f>
        <v>1281</v>
      </c>
      <c r="Y1152" s="53" t="str">
        <f t="shared" si="480"/>
        <v>n/a</v>
      </c>
      <c r="Z1152" s="52">
        <f>IF(L1152="","",INDEX('Aub Demand'!H:H,MATCH($O1152,'Aub Demand'!$A:$A,0)))</f>
        <v>0</v>
      </c>
      <c r="AA1152" s="52" t="str">
        <f t="shared" si="481"/>
        <v>-spike-</v>
      </c>
      <c r="AB1152" s="52">
        <f>IFERROR(INDEX('Aub Demand'!L:L,MATCH($O1152,'Aub Demand'!$A:$A,0)),"")</f>
        <v>200</v>
      </c>
      <c r="AC1152" s="52">
        <f>IFERROR(IF(O1152="","",SUMIFS('CPL Mats'!F:F,'CPL Mats'!Q:Q,AR1152,'CPL Mats'!S:S,AS1152)),"")</f>
        <v>0</v>
      </c>
      <c r="AF1152" s="25" t="str">
        <f>IF(SUMIFS('Supp Consol'!S:S,'Supp Consol'!Y:Y,"Releasable",'Supp Consol'!A:A,O1152)=0,"",SUMIFS('Supp Consol'!S:S,'Supp Consol'!Y:Y,"Releasable",'Supp Consol'!A:A,O1152))</f>
        <v/>
      </c>
      <c r="AG1152" s="25" t="str">
        <f>IFERROR(INDEX('Hun Demand'!Q:Q,MATCH(O1152,'Hun Demand'!A:A,0)),"")</f>
        <v/>
      </c>
      <c r="AH1152" s="25" t="str">
        <f>IFERROR(INDEX('Hun Demand'!H:H,MATCH($O1152,'Hun Demand'!$A:$A,0)),"")</f>
        <v/>
      </c>
      <c r="AI1152" s="25" t="str">
        <f>IF(SUMIFS('Supp Consol'!AA:AA,'Supp Consol'!Z:Z,"Expires this month",'Supp Consol'!A:A,O1152)=0,"",SUMIFS('Supp Consol'!AA:AA,'Supp Consol'!Z:Z,"Expires this month",'Supp Consol'!A:A,O1152))</f>
        <v/>
      </c>
      <c r="AJ1152" s="25" t="str">
        <f>IF(SUMIFS('Supp Consol'!AA:AA,'Supp Consol'!Z:Z,"Expired Previous Months",'Supp Consol'!A:A,O1152)=0,"",SUMIFS('Supp Consol'!AA:AA,'Supp Consol'!Z:Z,"Expired Previous Months",'Supp Consol'!A:A,O1152))</f>
        <v/>
      </c>
      <c r="AK1152" s="25" t="str">
        <f>IFERROR(INDEX('Hun Release Current'!B:B,MATCH(O1152,'Hun Release Current'!A:A,0)),"")</f>
        <v/>
      </c>
      <c r="AL1152" s="25" t="str">
        <f>IF(SUMIF('Prev Aub'!A:A,O1152,'Prev Aub'!B:B)=0,"",SUMIF('Prev Aub'!A:A,O1152,'Prev Aub'!B:B))</f>
        <v/>
      </c>
      <c r="AN1152" s="25" t="s">
        <v>3790</v>
      </c>
      <c r="AO1152" s="25" t="s">
        <v>3790</v>
      </c>
      <c r="AP1152" s="25">
        <f t="shared" si="482"/>
        <v>0</v>
      </c>
      <c r="AQ1152" s="151" t="str">
        <f>IF(SUMIFS('Supp Consol'!S:S,'Supp Consol'!A:A,O1152,'Supp Consol'!I:I,"PENDING")=0,"",SUMIFS('Supp Consol'!S:S,'Supp Consol'!A:A,O1152,'Supp Consol'!I:I,"PENDING"))</f>
        <v/>
      </c>
      <c r="AR1152" s="27" t="str">
        <f t="shared" si="483"/>
        <v>ST628</v>
      </c>
      <c r="AS1152" s="27" t="str">
        <f t="shared" si="484"/>
        <v>50</v>
      </c>
      <c r="AT1152" s="27" t="str">
        <f t="shared" si="485"/>
        <v/>
      </c>
      <c r="AU1152" s="27" t="str">
        <f t="shared" si="486"/>
        <v/>
      </c>
      <c r="AV1152" s="27" t="str">
        <f t="shared" si="487"/>
        <v/>
      </c>
      <c r="AW1152" s="27" t="str">
        <f t="shared" si="488"/>
        <v/>
      </c>
      <c r="AX1152" s="27" t="str">
        <f t="shared" si="489"/>
        <v/>
      </c>
      <c r="AY1152" s="27" t="str">
        <f t="shared" si="490"/>
        <v/>
      </c>
      <c r="AZ1152" s="27" t="str">
        <f t="shared" si="491"/>
        <v/>
      </c>
      <c r="BA1152" s="27" t="str">
        <f t="shared" si="492"/>
        <v/>
      </c>
      <c r="BB1152" s="27" t="str">
        <f t="shared" si="493"/>
        <v/>
      </c>
      <c r="BC1152" s="27" t="str">
        <f t="shared" si="494"/>
        <v/>
      </c>
      <c r="BD1152" s="27" t="str">
        <f t="shared" si="495"/>
        <v/>
      </c>
      <c r="BE1152" s="27" t="str">
        <f t="shared" si="496"/>
        <v/>
      </c>
      <c r="BF1152" s="27" t="str">
        <f t="shared" si="497"/>
        <v/>
      </c>
      <c r="BG1152" s="27" t="str">
        <f t="shared" si="498"/>
        <v/>
      </c>
      <c r="BH1152" s="27" t="str">
        <f t="shared" si="499"/>
        <v/>
      </c>
      <c r="BI1152" s="27" t="str">
        <f t="shared" si="500"/>
        <v/>
      </c>
      <c r="BJ1152" s="27" t="str">
        <f t="shared" si="501"/>
        <v/>
      </c>
      <c r="BK1152" s="27" t="str">
        <f t="shared" si="502"/>
        <v/>
      </c>
      <c r="BL1152" s="27" t="str">
        <f t="shared" si="503"/>
        <v/>
      </c>
      <c r="BM1152" s="21" t="s">
        <v>3790</v>
      </c>
    </row>
    <row r="1153" spans="1:65" ht="15">
      <c r="A1153" s="25" t="str">
        <f>IFERROR(INDEX('Hun Demand'!W:W,MATCH(O1153,'Hun Demand'!A:A,0)),"")</f>
        <v/>
      </c>
      <c r="B1153" s="25" t="str">
        <f>IFERROR(INDEX('Hun Demand'!V:V,MATCH(O1153,'Hun Demand'!A:A,0)),"")</f>
        <v/>
      </c>
      <c r="C1153" s="25" t="str">
        <f>IFERROR(INDEX('Hun Demand'!U:U,MATCH(O1153,'Hun Demand'!A:A,0)),"")</f>
        <v/>
      </c>
      <c r="D1153" s="25" t="str">
        <f>IFERROR(INDEX('Hun Demand'!T:T,MATCH(O1153,'Hun Demand'!A:A,0)),"")</f>
        <v/>
      </c>
      <c r="E1153" s="25" t="str">
        <f>IFERROR(INDEX('Hun Demand'!S:S,MATCH(O1153,'Hun Demand'!A:A,0)),"")</f>
        <v/>
      </c>
      <c r="F1153" s="25" t="str">
        <f>IFERROR(INDEX('Hun Demand'!R:R,MATCH(O1153,'Hun Demand'!A:A,0)),"")</f>
        <v/>
      </c>
      <c r="G1153" s="25">
        <f>IFERROR(INDEX('Aub Demand'!W:W,MATCH(O1153,'Aub Demand'!A:A,0)),"")</f>
        <v>0</v>
      </c>
      <c r="H1153" s="25">
        <f>IFERROR(INDEX('Aub Demand'!V:V,MATCH(O1153,'Aub Demand'!A:A,0)),"")</f>
        <v>0</v>
      </c>
      <c r="I1153" s="25">
        <f>IFERROR(INDEX('Aub Demand'!U:U,MATCH(O1153,'Aub Demand'!A:A,0)),"")</f>
        <v>57</v>
      </c>
      <c r="J1153" s="25">
        <f>IFERROR(INDEX('Aub Demand'!T:T,MATCH(O1153,'Aub Demand'!A:A,0)),"")</f>
        <v>0</v>
      </c>
      <c r="K1153" s="25">
        <f>IFERROR(INDEX('Aub Demand'!S:S,MATCH(O1153,'Aub Demand'!A:A,0)),"")</f>
        <v>58</v>
      </c>
      <c r="L1153" s="25">
        <f>IFERROR(INDEX('Aub Demand'!R:R,MATCH(O1153,'Aub Demand'!A:A,0)),"")</f>
        <v>0</v>
      </c>
      <c r="O1153" s="27" t="s">
        <v>1507</v>
      </c>
      <c r="P1153" s="27" t="str">
        <f>IFERROR(INDEX('Aub Demand'!B:B,MATCH($O1153,'Aub Demand'!$A:$A,0)),"")</f>
        <v>ALMOND</v>
      </c>
      <c r="Q1153" s="27" t="str">
        <f>IFERROR(INDEX('Aub Demand'!C:C,MATCH($O1153,'Aub Demand'!$A:$A,0)),"")</f>
        <v>ONYX</v>
      </c>
      <c r="R1153" s="52">
        <f>IFERROR(IF(AR1154=AR1153,INDEX('Aub Demand'!K:K,MATCH($O1153,'Aub Demand'!$A:$A,0))-IF(AN1153="",0,AN1153)+AP1154,INDEX('Aub Demand'!K:K,MATCH($O1153,'Aub Demand'!$A:$A,0))-IF(AN1153="",0,AN1153)),"")</f>
        <v>661</v>
      </c>
      <c r="S1153" s="53">
        <f t="shared" si="476"/>
        <v>74.5</v>
      </c>
      <c r="T1153" s="52" t="str">
        <f t="shared" si="477"/>
        <v/>
      </c>
      <c r="U1153" s="52">
        <f>IFERROR(IF(AR1154=AR1153,INDEX('Aub Demand'!Q:Q,MATCH($O1153,'Aub Demand'!$A:$A,0))-IF(AN1153="",0,AN1153)+AP1154,INDEX('Aub Demand'!Q:Q,MATCH($O1153,'Aub Demand'!$A:$A,0))-IF(AN1153="",0,AN1153)),"")</f>
        <v>617</v>
      </c>
      <c r="V1153" s="53">
        <f t="shared" si="478"/>
        <v>69.599999999999994</v>
      </c>
      <c r="W1153" s="52" t="str">
        <f t="shared" si="479"/>
        <v/>
      </c>
      <c r="X1153" s="52">
        <f>IFERROR(IF(AND(AR1154=AR1153,AM1153&lt;&gt;""),INDEX('Aub Demand'!Q:Q,MATCH($O1153,'Aub Demand'!$A:$A,0))-IF(AN1153="",0,AN1153)+AP1154+AD1153+AL1153,IF(AR1154=AR1153,INDEX('Aub Demand'!Q:Q,MATCH($O1153,'Aub Demand'!$A:$A,0))-IF(AN1153="",0,AN1153)+AP1154+AD1153,IF(AM1153&lt;&gt;"",INDEX('Aub Demand'!Q:Q,MATCH($O1153,'Aub Demand'!$A:$A,0))-IF(AN1153="",0,AN1153)+AD1153+AL1153,INDEX('Aub Demand'!Q:Q,MATCH($O1153,'Aub Demand'!$A:$A,0))-IF(AN1153="",0,AN1153)+AD1153))),"")</f>
        <v>617</v>
      </c>
      <c r="Y1153" s="53">
        <f t="shared" si="480"/>
        <v>69.599999999999994</v>
      </c>
      <c r="Z1153" s="52">
        <f>IF(L1153="","",INDEX('Aub Demand'!H:H,MATCH($O1153,'Aub Demand'!$A:$A,0)))</f>
        <v>38</v>
      </c>
      <c r="AA1153" s="52">
        <f t="shared" si="481"/>
        <v>57.5</v>
      </c>
      <c r="AB1153" s="52">
        <f>IFERROR(INDEX('Aub Demand'!L:L,MATCH($O1153,'Aub Demand'!$A:$A,0)),"")</f>
        <v>60</v>
      </c>
      <c r="AC1153" s="52">
        <f>IFERROR(IF(O1153="","",SUMIFS('CPL Mats'!F:F,'CPL Mats'!Q:Q,AR1153,'CPL Mats'!S:S,AS1153)),"")</f>
        <v>0</v>
      </c>
      <c r="AF1153" s="25" t="str">
        <f>IF(SUMIFS('Supp Consol'!S:S,'Supp Consol'!Y:Y,"Releasable",'Supp Consol'!A:A,O1153)=0,"",SUMIFS('Supp Consol'!S:S,'Supp Consol'!Y:Y,"Releasable",'Supp Consol'!A:A,O1153))</f>
        <v/>
      </c>
      <c r="AG1153" s="25" t="str">
        <f>IFERROR(INDEX('Hun Demand'!Q:Q,MATCH(O1153,'Hun Demand'!A:A,0)),"")</f>
        <v/>
      </c>
      <c r="AH1153" s="25" t="str">
        <f>IFERROR(INDEX('Hun Demand'!H:H,MATCH($O1153,'Hun Demand'!$A:$A,0)),"")</f>
        <v/>
      </c>
      <c r="AI1153" s="25" t="str">
        <f>IF(SUMIFS('Supp Consol'!AA:AA,'Supp Consol'!Z:Z,"Expires this month",'Supp Consol'!A:A,O1153)=0,"",SUMIFS('Supp Consol'!AA:AA,'Supp Consol'!Z:Z,"Expires this month",'Supp Consol'!A:A,O1153))</f>
        <v/>
      </c>
      <c r="AJ1153" s="25" t="str">
        <f>IF(SUMIFS('Supp Consol'!AA:AA,'Supp Consol'!Z:Z,"Expired Previous Months",'Supp Consol'!A:A,O1153)=0,"",SUMIFS('Supp Consol'!AA:AA,'Supp Consol'!Z:Z,"Expired Previous Months",'Supp Consol'!A:A,O1153))</f>
        <v/>
      </c>
      <c r="AK1153" s="25" t="str">
        <f>IFERROR(INDEX('Hun Release Current'!B:B,MATCH(O1153,'Hun Release Current'!A:A,0)),"")</f>
        <v/>
      </c>
      <c r="AL1153" s="25" t="str">
        <f>IF(SUMIF('Prev Aub'!A:A,O1153,'Prev Aub'!B:B)=0,"",SUMIF('Prev Aub'!A:A,O1153,'Prev Aub'!B:B))</f>
        <v/>
      </c>
      <c r="AN1153" s="25" t="s">
        <v>3790</v>
      </c>
      <c r="AO1153" s="25" t="s">
        <v>3790</v>
      </c>
      <c r="AP1153" s="25">
        <f t="shared" si="482"/>
        <v>0</v>
      </c>
      <c r="AQ1153" s="151" t="str">
        <f>IF(SUMIFS('Supp Consol'!S:S,'Supp Consol'!A:A,O1153,'Supp Consol'!I:I,"PENDING")=0,"",SUMIFS('Supp Consol'!S:S,'Supp Consol'!A:A,O1153,'Supp Consol'!I:I,"PENDING"))</f>
        <v/>
      </c>
      <c r="AR1153" s="27" t="str">
        <f t="shared" si="483"/>
        <v>ST655</v>
      </c>
      <c r="AS1153" s="27" t="str">
        <f t="shared" si="484"/>
        <v>50</v>
      </c>
      <c r="AT1153" s="27" t="str">
        <f t="shared" si="485"/>
        <v/>
      </c>
      <c r="AU1153" s="27" t="str">
        <f t="shared" si="486"/>
        <v/>
      </c>
      <c r="AV1153" s="27" t="str">
        <f t="shared" si="487"/>
        <v/>
      </c>
      <c r="AW1153" s="27" t="str">
        <f t="shared" si="488"/>
        <v/>
      </c>
      <c r="AX1153" s="27" t="str">
        <f t="shared" si="489"/>
        <v/>
      </c>
      <c r="AY1153" s="27" t="str">
        <f t="shared" si="490"/>
        <v/>
      </c>
      <c r="AZ1153" s="27" t="str">
        <f t="shared" si="491"/>
        <v/>
      </c>
      <c r="BA1153" s="27" t="str">
        <f t="shared" si="492"/>
        <v/>
      </c>
      <c r="BB1153" s="27" t="str">
        <f t="shared" si="493"/>
        <v/>
      </c>
      <c r="BC1153" s="27" t="str">
        <f t="shared" si="494"/>
        <v/>
      </c>
      <c r="BD1153" s="27" t="str">
        <f t="shared" si="495"/>
        <v/>
      </c>
      <c r="BE1153" s="27" t="str">
        <f t="shared" si="496"/>
        <v/>
      </c>
      <c r="BF1153" s="27" t="str">
        <f t="shared" si="497"/>
        <v/>
      </c>
      <c r="BG1153" s="27" t="str">
        <f t="shared" si="498"/>
        <v/>
      </c>
      <c r="BH1153" s="27" t="str">
        <f t="shared" si="499"/>
        <v/>
      </c>
      <c r="BI1153" s="27" t="str">
        <f t="shared" si="500"/>
        <v/>
      </c>
      <c r="BJ1153" s="27" t="str">
        <f t="shared" si="501"/>
        <v/>
      </c>
      <c r="BK1153" s="27" t="str">
        <f t="shared" si="502"/>
        <v/>
      </c>
      <c r="BL1153" s="27" t="str">
        <f t="shared" si="503"/>
        <v/>
      </c>
      <c r="BM1153" s="21" t="s">
        <v>5581</v>
      </c>
    </row>
    <row r="1154" spans="1:65" ht="15">
      <c r="A1154" s="25" t="str">
        <f>IFERROR(INDEX('Hun Demand'!W:W,MATCH(O1154,'Hun Demand'!A:A,0)),"")</f>
        <v/>
      </c>
      <c r="B1154" s="25" t="str">
        <f>IFERROR(INDEX('Hun Demand'!V:V,MATCH(O1154,'Hun Demand'!A:A,0)),"")</f>
        <v/>
      </c>
      <c r="C1154" s="25" t="str">
        <f>IFERROR(INDEX('Hun Demand'!U:U,MATCH(O1154,'Hun Demand'!A:A,0)),"")</f>
        <v/>
      </c>
      <c r="D1154" s="25" t="str">
        <f>IFERROR(INDEX('Hun Demand'!T:T,MATCH(O1154,'Hun Demand'!A:A,0)),"")</f>
        <v/>
      </c>
      <c r="E1154" s="25" t="str">
        <f>IFERROR(INDEX('Hun Demand'!S:S,MATCH(O1154,'Hun Demand'!A:A,0)),"")</f>
        <v/>
      </c>
      <c r="F1154" s="25" t="str">
        <f>IFERROR(INDEX('Hun Demand'!R:R,MATCH(O1154,'Hun Demand'!A:A,0)),"")</f>
        <v/>
      </c>
      <c r="G1154" s="25">
        <f>IFERROR(INDEX('Aub Demand'!W:W,MATCH(O1154,'Aub Demand'!A:A,0)),"")</f>
        <v>0</v>
      </c>
      <c r="H1154" s="25">
        <f>IFERROR(INDEX('Aub Demand'!V:V,MATCH(O1154,'Aub Demand'!A:A,0)),"")</f>
        <v>0</v>
      </c>
      <c r="I1154" s="25">
        <f>IFERROR(INDEX('Aub Demand'!U:U,MATCH(O1154,'Aub Demand'!A:A,0)),"")</f>
        <v>239</v>
      </c>
      <c r="J1154" s="25">
        <f>IFERROR(INDEX('Aub Demand'!T:T,MATCH(O1154,'Aub Demand'!A:A,0)),"")</f>
        <v>219</v>
      </c>
      <c r="K1154" s="25">
        <f>IFERROR(INDEX('Aub Demand'!S:S,MATCH(O1154,'Aub Demand'!A:A,0)),"")</f>
        <v>0</v>
      </c>
      <c r="L1154" s="25">
        <f>IFERROR(INDEX('Aub Demand'!R:R,MATCH(O1154,'Aub Demand'!A:A,0)),"")</f>
        <v>0</v>
      </c>
      <c r="O1154" s="27" t="s">
        <v>1509</v>
      </c>
      <c r="P1154" s="27" t="str">
        <f>IFERROR(INDEX('Aub Demand'!B:B,MATCH($O1154,'Aub Demand'!$A:$A,0)),"")</f>
        <v>ALMOND</v>
      </c>
      <c r="Q1154" s="27" t="str">
        <f>IFERROR(INDEX('Aub Demand'!C:C,MATCH($O1154,'Aub Demand'!$A:$A,0)),"")</f>
        <v>ONYX</v>
      </c>
      <c r="R1154" s="52">
        <f>IFERROR(IF(AR1155=AR1154,INDEX('Aub Demand'!K:K,MATCH($O1154,'Aub Demand'!$A:$A,0))-IF(AN1154="",0,AN1154)+AP1155,INDEX('Aub Demand'!K:K,MATCH($O1154,'Aub Demand'!$A:$A,0))-IF(AN1154="",0,AN1154)),"")</f>
        <v>599</v>
      </c>
      <c r="S1154" s="53">
        <f t="shared" si="476"/>
        <v>16.8</v>
      </c>
      <c r="T1154" s="52" t="str">
        <f t="shared" si="477"/>
        <v/>
      </c>
      <c r="U1154" s="52">
        <f>IFERROR(IF(AR1155=AR1154,INDEX('Aub Demand'!Q:Q,MATCH($O1154,'Aub Demand'!$A:$A,0))-IF(AN1154="",0,AN1154)+AP1155,INDEX('Aub Demand'!Q:Q,MATCH($O1154,'Aub Demand'!$A:$A,0))-IF(AN1154="",0,AN1154)),"")</f>
        <v>599</v>
      </c>
      <c r="V1154" s="53">
        <f t="shared" si="478"/>
        <v>16.8</v>
      </c>
      <c r="W1154" s="52" t="str">
        <f t="shared" si="479"/>
        <v/>
      </c>
      <c r="X1154" s="52">
        <f>IFERROR(IF(AND(AR1155=AR1154,AM1154&lt;&gt;""),INDEX('Aub Demand'!Q:Q,MATCH($O1154,'Aub Demand'!$A:$A,0))-IF(AN1154="",0,AN1154)+AP1155+AD1154+AL1154,IF(AR1155=AR1154,INDEX('Aub Demand'!Q:Q,MATCH($O1154,'Aub Demand'!$A:$A,0))-IF(AN1154="",0,AN1154)+AP1155+AD1154,IF(AM1154&lt;&gt;"",INDEX('Aub Demand'!Q:Q,MATCH($O1154,'Aub Demand'!$A:$A,0))-IF(AN1154="",0,AN1154)+AD1154+AL1154,INDEX('Aub Demand'!Q:Q,MATCH($O1154,'Aub Demand'!$A:$A,0))-IF(AN1154="",0,AN1154)+AD1154))),"")</f>
        <v>599</v>
      </c>
      <c r="Y1154" s="53">
        <f t="shared" si="480"/>
        <v>16.8</v>
      </c>
      <c r="Z1154" s="52">
        <f>IF(L1154="","",INDEX('Aub Demand'!H:H,MATCH($O1154,'Aub Demand'!$A:$A,0)))</f>
        <v>153</v>
      </c>
      <c r="AA1154" s="52">
        <f t="shared" si="481"/>
        <v>229</v>
      </c>
      <c r="AB1154" s="52">
        <f>IFERROR(INDEX('Aub Demand'!L:L,MATCH($O1154,'Aub Demand'!$A:$A,0)),"")</f>
        <v>33</v>
      </c>
      <c r="AC1154" s="52">
        <f>IFERROR(IF(O1154="","",SUMIFS('CPL Mats'!F:F,'CPL Mats'!Q:Q,AR1154,'CPL Mats'!S:S,AS1154)),"")</f>
        <v>0</v>
      </c>
      <c r="AF1154" s="25" t="str">
        <f>IF(SUMIFS('Supp Consol'!S:S,'Supp Consol'!Y:Y,"Releasable",'Supp Consol'!A:A,O1154)=0,"",SUMIFS('Supp Consol'!S:S,'Supp Consol'!Y:Y,"Releasable",'Supp Consol'!A:A,O1154))</f>
        <v/>
      </c>
      <c r="AG1154" s="25" t="str">
        <f>IFERROR(INDEX('Hun Demand'!Q:Q,MATCH(O1154,'Hun Demand'!A:A,0)),"")</f>
        <v/>
      </c>
      <c r="AH1154" s="25" t="str">
        <f>IFERROR(INDEX('Hun Demand'!H:H,MATCH($O1154,'Hun Demand'!$A:$A,0)),"")</f>
        <v/>
      </c>
      <c r="AI1154" s="25" t="str">
        <f>IF(SUMIFS('Supp Consol'!AA:AA,'Supp Consol'!Z:Z,"Expires this month",'Supp Consol'!A:A,O1154)=0,"",SUMIFS('Supp Consol'!AA:AA,'Supp Consol'!Z:Z,"Expires this month",'Supp Consol'!A:A,O1154))</f>
        <v/>
      </c>
      <c r="AJ1154" s="25" t="str">
        <f>IF(SUMIFS('Supp Consol'!AA:AA,'Supp Consol'!Z:Z,"Expired Previous Months",'Supp Consol'!A:A,O1154)=0,"",SUMIFS('Supp Consol'!AA:AA,'Supp Consol'!Z:Z,"Expired Previous Months",'Supp Consol'!A:A,O1154))</f>
        <v/>
      </c>
      <c r="AK1154" s="25" t="str">
        <f>IFERROR(INDEX('Hun Release Current'!B:B,MATCH(O1154,'Hun Release Current'!A:A,0)),"")</f>
        <v/>
      </c>
      <c r="AL1154" s="25" t="str">
        <f>IF(SUMIF('Prev Aub'!A:A,O1154,'Prev Aub'!B:B)=0,"",SUMIF('Prev Aub'!A:A,O1154,'Prev Aub'!B:B))</f>
        <v/>
      </c>
      <c r="AN1154" s="25" t="s">
        <v>3790</v>
      </c>
      <c r="AO1154" s="25" t="s">
        <v>3790</v>
      </c>
      <c r="AP1154" s="25">
        <f t="shared" si="482"/>
        <v>0</v>
      </c>
      <c r="AQ1154" s="151" t="str">
        <f>IF(SUMIFS('Supp Consol'!S:S,'Supp Consol'!A:A,O1154,'Supp Consol'!I:I,"PENDING")=0,"",SUMIFS('Supp Consol'!S:S,'Supp Consol'!A:A,O1154,'Supp Consol'!I:I,"PENDING"))</f>
        <v/>
      </c>
      <c r="AR1154" s="27" t="str">
        <f t="shared" si="483"/>
        <v>ST655</v>
      </c>
      <c r="AS1154" s="27" t="str">
        <f t="shared" si="484"/>
        <v>62</v>
      </c>
      <c r="AT1154" s="27" t="str">
        <f t="shared" si="485"/>
        <v/>
      </c>
      <c r="AU1154" s="27" t="str">
        <f t="shared" si="486"/>
        <v/>
      </c>
      <c r="AV1154" s="27" t="str">
        <f t="shared" si="487"/>
        <v/>
      </c>
      <c r="AW1154" s="27" t="str">
        <f t="shared" si="488"/>
        <v/>
      </c>
      <c r="AX1154" s="27" t="str">
        <f t="shared" si="489"/>
        <v/>
      </c>
      <c r="AY1154" s="27" t="str">
        <f t="shared" si="490"/>
        <v/>
      </c>
      <c r="AZ1154" s="27" t="str">
        <f t="shared" si="491"/>
        <v/>
      </c>
      <c r="BA1154" s="27" t="str">
        <f t="shared" si="492"/>
        <v/>
      </c>
      <c r="BB1154" s="27" t="str">
        <f t="shared" si="493"/>
        <v/>
      </c>
      <c r="BC1154" s="27" t="str">
        <f t="shared" si="494"/>
        <v/>
      </c>
      <c r="BD1154" s="27" t="str">
        <f t="shared" si="495"/>
        <v/>
      </c>
      <c r="BE1154" s="27" t="str">
        <f t="shared" si="496"/>
        <v/>
      </c>
      <c r="BF1154" s="27" t="str">
        <f t="shared" si="497"/>
        <v/>
      </c>
      <c r="BG1154" s="27" t="str">
        <f t="shared" si="498"/>
        <v/>
      </c>
      <c r="BH1154" s="27" t="str">
        <f t="shared" si="499"/>
        <v/>
      </c>
      <c r="BI1154" s="27" t="str">
        <f t="shared" si="500"/>
        <v/>
      </c>
      <c r="BJ1154" s="27" t="str">
        <f t="shared" si="501"/>
        <v/>
      </c>
      <c r="BK1154" s="27" t="str">
        <f t="shared" si="502"/>
        <v/>
      </c>
      <c r="BL1154" s="27" t="str">
        <f t="shared" si="503"/>
        <v/>
      </c>
      <c r="BM1154" s="21" t="s">
        <v>5581</v>
      </c>
    </row>
    <row r="1155" spans="1:65" ht="15">
      <c r="A1155" s="25" t="str">
        <f>IFERROR(INDEX('Hun Demand'!W:W,MATCH(O1155,'Hun Demand'!A:A,0)),"")</f>
        <v/>
      </c>
      <c r="B1155" s="25" t="str">
        <f>IFERROR(INDEX('Hun Demand'!V:V,MATCH(O1155,'Hun Demand'!A:A,0)),"")</f>
        <v/>
      </c>
      <c r="C1155" s="25" t="str">
        <f>IFERROR(INDEX('Hun Demand'!U:U,MATCH(O1155,'Hun Demand'!A:A,0)),"")</f>
        <v/>
      </c>
      <c r="D1155" s="25" t="str">
        <f>IFERROR(INDEX('Hun Demand'!T:T,MATCH(O1155,'Hun Demand'!A:A,0)),"")</f>
        <v/>
      </c>
      <c r="E1155" s="25" t="str">
        <f>IFERROR(INDEX('Hun Demand'!S:S,MATCH(O1155,'Hun Demand'!A:A,0)),"")</f>
        <v/>
      </c>
      <c r="F1155" s="25" t="str">
        <f>IFERROR(INDEX('Hun Demand'!R:R,MATCH(O1155,'Hun Demand'!A:A,0)),"")</f>
        <v/>
      </c>
      <c r="G1155" s="25">
        <f>IFERROR(INDEX('Aub Demand'!W:W,MATCH(O1155,'Aub Demand'!A:A,0)),"")</f>
        <v>0</v>
      </c>
      <c r="H1155" s="25">
        <f>IFERROR(INDEX('Aub Demand'!V:V,MATCH(O1155,'Aub Demand'!A:A,0)),"")</f>
        <v>53</v>
      </c>
      <c r="I1155" s="25">
        <f>IFERROR(INDEX('Aub Demand'!U:U,MATCH(O1155,'Aub Demand'!A:A,0)),"")</f>
        <v>0</v>
      </c>
      <c r="J1155" s="25">
        <f>IFERROR(INDEX('Aub Demand'!T:T,MATCH(O1155,'Aub Demand'!A:A,0)),"")</f>
        <v>0</v>
      </c>
      <c r="K1155" s="25">
        <f>IFERROR(INDEX('Aub Demand'!S:S,MATCH(O1155,'Aub Demand'!A:A,0)),"")</f>
        <v>0</v>
      </c>
      <c r="L1155" s="25">
        <f>IFERROR(INDEX('Aub Demand'!R:R,MATCH(O1155,'Aub Demand'!A:A,0)),"")</f>
        <v>0</v>
      </c>
      <c r="O1155" s="27" t="s">
        <v>1510</v>
      </c>
      <c r="P1155" s="27" t="str">
        <f>IFERROR(INDEX('Aub Demand'!B:B,MATCH($O1155,'Aub Demand'!$A:$A,0)),"")</f>
        <v>MYSTIC MOONSTONE (tr</v>
      </c>
      <c r="Q1155" s="27" t="str">
        <f>IFERROR(INDEX('Aub Demand'!C:C,MATCH($O1155,'Aub Demand'!$A:$A,0)),"")</f>
        <v>ELESG</v>
      </c>
      <c r="R1155" s="52">
        <f>IFERROR(IF(AR1156=AR1155,INDEX('Aub Demand'!K:K,MATCH($O1155,'Aub Demand'!$A:$A,0))-IF(AN1155="",0,AN1155)+AP1156,INDEX('Aub Demand'!K:K,MATCH($O1155,'Aub Demand'!$A:$A,0))-IF(AN1155="",0,AN1155)),"")</f>
        <v>1091</v>
      </c>
      <c r="S1155" s="53" t="str">
        <f t="shared" ref="S1155:S1218" si="504">IFERROR(IF(O1155="","",ROUND(R1155/((Z1155/30)*7),1)),"n/a")</f>
        <v>n/a</v>
      </c>
      <c r="T1155" s="52" t="str">
        <f t="shared" ref="T1155:T1218" si="505">IFERROR(IF(S1155&lt;3.1,IF(AA1155="spike",(3-S1155)*(Z1155/4),(3-S1155)*(AA1155/4)),""),"")</f>
        <v/>
      </c>
      <c r="U1155" s="52">
        <f>IFERROR(IF(AR1156=AR1155,INDEX('Aub Demand'!Q:Q,MATCH($O1155,'Aub Demand'!$A:$A,0))-IF(AN1155="",0,AN1155)+AP1156,INDEX('Aub Demand'!Q:Q,MATCH($O1155,'Aub Demand'!$A:$A,0))-IF(AN1155="",0,AN1155)),"")</f>
        <v>1091</v>
      </c>
      <c r="V1155" s="53" t="str">
        <f t="shared" ref="V1155:V1218" si="506">IFERROR(IF(O1155="","",ROUND(U1155/((Z1155/30)*7),1)),"n/a")</f>
        <v>n/a</v>
      </c>
      <c r="W1155" s="52" t="str">
        <f t="shared" ref="W1155:W1218" si="507">IF(IFERROR(IF(V1155&lt;3.1,IF(AA1155="spike",(3-V1155)*(Z1155/4),(3-V1155)*(AA1155/4)),""),"")&lt;0,0,IFERROR(IF(V1155&lt;3.1,IF(AA1155="spike",(3-V1155)*(Z1155/4),(3-V1155)*(AA1155/4)),""),""))</f>
        <v/>
      </c>
      <c r="X1155" s="52">
        <f>IFERROR(IF(AND(AR1156=AR1155,AM1155&lt;&gt;""),INDEX('Aub Demand'!Q:Q,MATCH($O1155,'Aub Demand'!$A:$A,0))-IF(AN1155="",0,AN1155)+AP1156+AD1155+AL1155,IF(AR1156=AR1155,INDEX('Aub Demand'!Q:Q,MATCH($O1155,'Aub Demand'!$A:$A,0))-IF(AN1155="",0,AN1155)+AP1156+AD1155,IF(AM1155&lt;&gt;"",INDEX('Aub Demand'!Q:Q,MATCH($O1155,'Aub Demand'!$A:$A,0))-IF(AN1155="",0,AN1155)+AD1155+AL1155,INDEX('Aub Demand'!Q:Q,MATCH($O1155,'Aub Demand'!$A:$A,0))-IF(AN1155="",0,AN1155)+AD1155))),"")</f>
        <v>1091</v>
      </c>
      <c r="Y1155" s="53" t="str">
        <f t="shared" ref="Y1155:Y1218" si="508">IFERROR(IF(O1155="","",ROUND(X1155/((Z1155/30)*7),1)),"n/a")</f>
        <v>n/a</v>
      </c>
      <c r="Z1155" s="52">
        <f>IF(L1155="","",INDEX('Aub Demand'!H:H,MATCH($O1155,'Aub Demand'!$A:$A,0)))</f>
        <v>0</v>
      </c>
      <c r="AA1155" s="52" t="str">
        <f t="shared" ref="AA1155:AA1218" si="509">IF(L1155="","",IF(LARGE(I1155:L1155,2)=0,"-spike-",AVERAGE(LARGE(I1155:L1155,1),LARGE(I1155:L1155,2))))</f>
        <v>-spike-</v>
      </c>
      <c r="AB1155" s="52">
        <f>IFERROR(INDEX('Aub Demand'!L:L,MATCH($O1155,'Aub Demand'!$A:$A,0)),"")</f>
        <v>0</v>
      </c>
      <c r="AC1155" s="52">
        <f>IFERROR(IF(O1155="","",SUMIFS('CPL Mats'!F:F,'CPL Mats'!Q:Q,AR1155,'CPL Mats'!S:S,AS1155)),"")</f>
        <v>0</v>
      </c>
      <c r="AF1155" s="25" t="str">
        <f>IF(SUMIFS('Supp Consol'!S:S,'Supp Consol'!Y:Y,"Releasable",'Supp Consol'!A:A,O1155)=0,"",SUMIFS('Supp Consol'!S:S,'Supp Consol'!Y:Y,"Releasable",'Supp Consol'!A:A,O1155))</f>
        <v/>
      </c>
      <c r="AG1155" s="25" t="str">
        <f>IFERROR(INDEX('Hun Demand'!Q:Q,MATCH(O1155,'Hun Demand'!A:A,0)),"")</f>
        <v/>
      </c>
      <c r="AH1155" s="25" t="str">
        <f>IFERROR(INDEX('Hun Demand'!H:H,MATCH($O1155,'Hun Demand'!$A:$A,0)),"")</f>
        <v/>
      </c>
      <c r="AI1155" s="25" t="str">
        <f>IF(SUMIFS('Supp Consol'!AA:AA,'Supp Consol'!Z:Z,"Expires this month",'Supp Consol'!A:A,O1155)=0,"",SUMIFS('Supp Consol'!AA:AA,'Supp Consol'!Z:Z,"Expires this month",'Supp Consol'!A:A,O1155))</f>
        <v/>
      </c>
      <c r="AJ1155" s="25" t="str">
        <f>IF(SUMIFS('Supp Consol'!AA:AA,'Supp Consol'!Z:Z,"Expired Previous Months",'Supp Consol'!A:A,O1155)=0,"",SUMIFS('Supp Consol'!AA:AA,'Supp Consol'!Z:Z,"Expired Previous Months",'Supp Consol'!A:A,O1155))</f>
        <v/>
      </c>
      <c r="AK1155" s="25" t="str">
        <f>IFERROR(INDEX('Hun Release Current'!B:B,MATCH(O1155,'Hun Release Current'!A:A,0)),"")</f>
        <v/>
      </c>
      <c r="AL1155" s="25" t="str">
        <f>IF(SUMIF('Prev Aub'!A:A,O1155,'Prev Aub'!B:B)=0,"",SUMIF('Prev Aub'!A:A,O1155,'Prev Aub'!B:B))</f>
        <v/>
      </c>
      <c r="AN1155" s="25" t="s">
        <v>3790</v>
      </c>
      <c r="AO1155" s="25" t="s">
        <v>3790</v>
      </c>
      <c r="AP1155" s="25">
        <f t="shared" ref="AP1155:AP1218" si="510">IFERROR(IF(O1155="","",IF(AN1155="",0,VALUE(AN1155)-(VALUE(AN1155)*0.2))),"")</f>
        <v>0</v>
      </c>
      <c r="AQ1155" s="151" t="str">
        <f>IF(SUMIFS('Supp Consol'!S:S,'Supp Consol'!A:A,O1155,'Supp Consol'!I:I,"PENDING")=0,"",SUMIFS('Supp Consol'!S:S,'Supp Consol'!A:A,O1155,'Supp Consol'!I:I,"PENDING"))</f>
        <v/>
      </c>
      <c r="AR1155" s="27" t="str">
        <f t="shared" ref="AR1155:AR1218" si="511">MID(O1155,4,5)</f>
        <v>ST658</v>
      </c>
      <c r="AS1155" s="27" t="str">
        <f t="shared" ref="AS1155:AS1218" si="512">MID(O1155,10,2)</f>
        <v>50</v>
      </c>
      <c r="AT1155" s="27" t="str">
        <f t="shared" ref="AT1155:AT1218" si="513">IF(S1155&lt;3.1,AR1155,"")</f>
        <v/>
      </c>
      <c r="AU1155" s="27" t="str">
        <f t="shared" ref="AU1155:AU1218" si="514">IF(Y1155&lt;3.1,AR1155,"")</f>
        <v/>
      </c>
      <c r="AV1155" s="27" t="str">
        <f t="shared" ref="AV1155:AV1218" si="515">IF(AND(AA1155="Spike",L1155=0,K1155=0,X1155&gt;=0),"",IF(Y1155&lt;3.1,AR1155,""))</f>
        <v/>
      </c>
      <c r="AW1155" s="27" t="str">
        <f t="shared" ref="AW1155:AW1218" si="516">IF(AI1155=AL1155,"",IF(OR(AI1155&lt;&gt;"",AJ1155&lt;&gt;""),AR1155,""))</f>
        <v/>
      </c>
      <c r="AX1155" s="27" t="str">
        <f t="shared" ref="AX1155:AX1218" si="517">IF(AF1155&lt;&gt;"",AR1155,"")</f>
        <v/>
      </c>
      <c r="AY1155" s="27" t="str">
        <f t="shared" ref="AY1155:AY1218" si="518">IF(AND(AG1155&lt;&gt;"",AG1155&gt;AH1155),AR1155,"")</f>
        <v/>
      </c>
      <c r="AZ1155" s="27" t="str">
        <f t="shared" ref="AZ1155:AZ1218" si="519">IFERROR(IF(O1155="","",IF(ISERROR(MATCH(AR1155,AX:AX,0)),"","Supp")),"")</f>
        <v/>
      </c>
      <c r="BA1155" s="27" t="str">
        <f t="shared" ref="BA1155:BA1218" si="520">IFERROR(IF(O1155="","",IF(ISERROR(MATCH(AR1155,AY:AY,0)),"","Hun")),"")</f>
        <v/>
      </c>
      <c r="BB1155" s="27" t="str">
        <f t="shared" ref="BB1155:BB1218" si="521">IFERROR(IF(O1155="","",IF(ISERROR(MATCH(AR1155,AT:AT,0)),"","Gross")),"")</f>
        <v/>
      </c>
      <c r="BC1155" s="27" t="str">
        <f t="shared" ref="BC1155:BC1218" si="522">IFERROR(IF(O1155="","",IF(ISERROR(MATCH(AR1155,AU:AU,0)),"","Net")),"")</f>
        <v/>
      </c>
      <c r="BD1155" s="27" t="str">
        <f t="shared" ref="BD1155:BD1218" si="523">IFERROR(IF(O1155="","",IF(ISERROR(MATCH(AR1155,AV:AV,0)),"","Net")),"")</f>
        <v/>
      </c>
      <c r="BE1155" s="27" t="str">
        <f t="shared" ref="BE1155:BE1218" si="524">IFERROR(IF(O1155="","",IF(ISERROR(MATCH(AR1155,AW:AW,0)),"","Exp")),"")</f>
        <v/>
      </c>
      <c r="BF1155" s="27" t="str">
        <f t="shared" ref="BF1155:BF1218" si="525">IFERROR(IF(O1155="","",IF(AND(AZ1155="Supp",BC1155="Net"),"S+N","")),"")</f>
        <v/>
      </c>
      <c r="BG1155" s="27" t="str">
        <f t="shared" ref="BG1155:BG1218" si="526">IFERROR(IF(O1155="","",IF(OR(BE1155&lt;&gt;"",BF1155&lt;&gt;""),"S+NorE","")),"")</f>
        <v/>
      </c>
      <c r="BH1155" s="27" t="str">
        <f t="shared" ref="BH1155:BH1218" si="527">IFERROR(IF(O1155="","",IF(AND(BA1155&lt;&gt;"",BC1155&lt;&gt;""),"H+N","")),"")</f>
        <v/>
      </c>
      <c r="BI1155" s="27" t="str">
        <f t="shared" ref="BI1155:BI1218" si="528">IFERROR(IF(O1155="","",IF(AND(BA1155&lt;&gt;"",BD1155&lt;&gt;""),"H+Nex","")),"")</f>
        <v/>
      </c>
      <c r="BJ1155" s="27" t="str">
        <f t="shared" ref="BJ1155:BJ1218" si="529">IF(OR(AZ1155&lt;&gt;"",BA1155&lt;&gt;""),"Supp or Hun","")</f>
        <v/>
      </c>
      <c r="BK1155" s="27" t="str">
        <f t="shared" ref="BK1155:BK1218" si="530">IF(AND(BJ1155&lt;&gt;"",BC1155&lt;&gt;""),"Supp or Hun Need","")</f>
        <v/>
      </c>
      <c r="BL1155" s="27" t="str">
        <f t="shared" ref="BL1155:BL1218" si="531">IF(OR(BK1155&lt;&gt;"",BE1155&lt;&gt;""),"SorHandNandE","")</f>
        <v/>
      </c>
      <c r="BM1155" s="21" t="s">
        <v>5581</v>
      </c>
    </row>
    <row r="1156" spans="1:65" ht="15">
      <c r="A1156" s="25" t="str">
        <f>IFERROR(INDEX('Hun Demand'!W:W,MATCH(O1156,'Hun Demand'!A:A,0)),"")</f>
        <v/>
      </c>
      <c r="B1156" s="25" t="str">
        <f>IFERROR(INDEX('Hun Demand'!V:V,MATCH(O1156,'Hun Demand'!A:A,0)),"")</f>
        <v/>
      </c>
      <c r="C1156" s="25" t="str">
        <f>IFERROR(INDEX('Hun Demand'!U:U,MATCH(O1156,'Hun Demand'!A:A,0)),"")</f>
        <v/>
      </c>
      <c r="D1156" s="25" t="str">
        <f>IFERROR(INDEX('Hun Demand'!T:T,MATCH(O1156,'Hun Demand'!A:A,0)),"")</f>
        <v/>
      </c>
      <c r="E1156" s="25" t="str">
        <f>IFERROR(INDEX('Hun Demand'!S:S,MATCH(O1156,'Hun Demand'!A:A,0)),"")</f>
        <v/>
      </c>
      <c r="F1156" s="25" t="str">
        <f>IFERROR(INDEX('Hun Demand'!R:R,MATCH(O1156,'Hun Demand'!A:A,0)),"")</f>
        <v/>
      </c>
      <c r="G1156" s="25">
        <f>IFERROR(INDEX('Aub Demand'!W:W,MATCH(O1156,'Aub Demand'!A:A,0)),"")</f>
        <v>0</v>
      </c>
      <c r="H1156" s="25">
        <f>IFERROR(INDEX('Aub Demand'!V:V,MATCH(O1156,'Aub Demand'!A:A,0)),"")</f>
        <v>0</v>
      </c>
      <c r="I1156" s="25">
        <f>IFERROR(INDEX('Aub Demand'!U:U,MATCH(O1156,'Aub Demand'!A:A,0)),"")</f>
        <v>0</v>
      </c>
      <c r="J1156" s="25">
        <f>IFERROR(INDEX('Aub Demand'!T:T,MATCH(O1156,'Aub Demand'!A:A,0)),"")</f>
        <v>0</v>
      </c>
      <c r="K1156" s="25">
        <f>IFERROR(INDEX('Aub Demand'!S:S,MATCH(O1156,'Aub Demand'!A:A,0)),"")</f>
        <v>0</v>
      </c>
      <c r="L1156" s="25">
        <f>IFERROR(INDEX('Aub Demand'!R:R,MATCH(O1156,'Aub Demand'!A:A,0)),"")</f>
        <v>0</v>
      </c>
      <c r="O1156" s="27" t="s">
        <v>1512</v>
      </c>
      <c r="P1156" s="27" t="str">
        <f>IFERROR(INDEX('Aub Demand'!B:B,MATCH($O1156,'Aub Demand'!$A:$A,0)),"")</f>
        <v>CASHMERE C55</v>
      </c>
      <c r="Q1156" s="27" t="str">
        <f>IFERROR(INDEX('Aub Demand'!C:C,MATCH($O1156,'Aub Demand'!$A:$A,0)),"")</f>
        <v>STEVE</v>
      </c>
      <c r="R1156" s="52">
        <f>IFERROR(IF(AR1157=AR1156,INDEX('Aub Demand'!K:K,MATCH($O1156,'Aub Demand'!$A:$A,0))-IF(AN1156="",0,AN1156)+AP1157,INDEX('Aub Demand'!K:K,MATCH($O1156,'Aub Demand'!$A:$A,0))-IF(AN1156="",0,AN1156)),"")</f>
        <v>467</v>
      </c>
      <c r="S1156" s="53" t="str">
        <f t="shared" si="504"/>
        <v>n/a</v>
      </c>
      <c r="T1156" s="52" t="str">
        <f t="shared" si="505"/>
        <v/>
      </c>
      <c r="U1156" s="52">
        <f>IFERROR(IF(AR1157=AR1156,INDEX('Aub Demand'!Q:Q,MATCH($O1156,'Aub Demand'!$A:$A,0))-IF(AN1156="",0,AN1156)+AP1157,INDEX('Aub Demand'!Q:Q,MATCH($O1156,'Aub Demand'!$A:$A,0))-IF(AN1156="",0,AN1156)),"")</f>
        <v>467</v>
      </c>
      <c r="V1156" s="53" t="str">
        <f t="shared" si="506"/>
        <v>n/a</v>
      </c>
      <c r="W1156" s="52" t="str">
        <f t="shared" si="507"/>
        <v/>
      </c>
      <c r="X1156" s="52">
        <f>IFERROR(IF(AND(AR1157=AR1156,AM1156&lt;&gt;""),INDEX('Aub Demand'!Q:Q,MATCH($O1156,'Aub Demand'!$A:$A,0))-IF(AN1156="",0,AN1156)+AP1157+AD1156+AL1156,IF(AR1157=AR1156,INDEX('Aub Demand'!Q:Q,MATCH($O1156,'Aub Demand'!$A:$A,0))-IF(AN1156="",0,AN1156)+AP1157+AD1156,IF(AM1156&lt;&gt;"",INDEX('Aub Demand'!Q:Q,MATCH($O1156,'Aub Demand'!$A:$A,0))-IF(AN1156="",0,AN1156)+AD1156+AL1156,INDEX('Aub Demand'!Q:Q,MATCH($O1156,'Aub Demand'!$A:$A,0))-IF(AN1156="",0,AN1156)+AD1156))),"")</f>
        <v>467</v>
      </c>
      <c r="Y1156" s="53" t="str">
        <f t="shared" si="508"/>
        <v>n/a</v>
      </c>
      <c r="Z1156" s="52">
        <f>IF(L1156="","",INDEX('Aub Demand'!H:H,MATCH($O1156,'Aub Demand'!$A:$A,0)))</f>
        <v>0</v>
      </c>
      <c r="AA1156" s="52" t="str">
        <f t="shared" si="509"/>
        <v>-spike-</v>
      </c>
      <c r="AB1156" s="52">
        <f>IFERROR(INDEX('Aub Demand'!L:L,MATCH($O1156,'Aub Demand'!$A:$A,0)),"")</f>
        <v>2</v>
      </c>
      <c r="AC1156" s="52">
        <f>IFERROR(IF(O1156="","",SUMIFS('CPL Mats'!F:F,'CPL Mats'!Q:Q,AR1156,'CPL Mats'!S:S,AS1156)),"")</f>
        <v>0</v>
      </c>
      <c r="AF1156" s="25" t="str">
        <f>IF(SUMIFS('Supp Consol'!S:S,'Supp Consol'!Y:Y,"Releasable",'Supp Consol'!A:A,O1156)=0,"",SUMIFS('Supp Consol'!S:S,'Supp Consol'!Y:Y,"Releasable",'Supp Consol'!A:A,O1156))</f>
        <v/>
      </c>
      <c r="AG1156" s="25" t="str">
        <f>IFERROR(INDEX('Hun Demand'!Q:Q,MATCH(O1156,'Hun Demand'!A:A,0)),"")</f>
        <v/>
      </c>
      <c r="AH1156" s="25" t="str">
        <f>IFERROR(INDEX('Hun Demand'!H:H,MATCH($O1156,'Hun Demand'!$A:$A,0)),"")</f>
        <v/>
      </c>
      <c r="AI1156" s="25" t="str">
        <f>IF(SUMIFS('Supp Consol'!AA:AA,'Supp Consol'!Z:Z,"Expires this month",'Supp Consol'!A:A,O1156)=0,"",SUMIFS('Supp Consol'!AA:AA,'Supp Consol'!Z:Z,"Expires this month",'Supp Consol'!A:A,O1156))</f>
        <v/>
      </c>
      <c r="AJ1156" s="25" t="str">
        <f>IF(SUMIFS('Supp Consol'!AA:AA,'Supp Consol'!Z:Z,"Expired Previous Months",'Supp Consol'!A:A,O1156)=0,"",SUMIFS('Supp Consol'!AA:AA,'Supp Consol'!Z:Z,"Expired Previous Months",'Supp Consol'!A:A,O1156))</f>
        <v/>
      </c>
      <c r="AK1156" s="25" t="str">
        <f>IFERROR(INDEX('Hun Release Current'!B:B,MATCH(O1156,'Hun Release Current'!A:A,0)),"")</f>
        <v/>
      </c>
      <c r="AL1156" s="25" t="str">
        <f>IF(SUMIF('Prev Aub'!A:A,O1156,'Prev Aub'!B:B)=0,"",SUMIF('Prev Aub'!A:A,O1156,'Prev Aub'!B:B))</f>
        <v/>
      </c>
      <c r="AN1156" s="25" t="s">
        <v>3790</v>
      </c>
      <c r="AO1156" s="25" t="s">
        <v>3790</v>
      </c>
      <c r="AP1156" s="25">
        <f t="shared" si="510"/>
        <v>0</v>
      </c>
      <c r="AQ1156" s="151" t="str">
        <f>IF(SUMIFS('Supp Consol'!S:S,'Supp Consol'!A:A,O1156,'Supp Consol'!I:I,"PENDING")=0,"",SUMIFS('Supp Consol'!S:S,'Supp Consol'!A:A,O1156,'Supp Consol'!I:I,"PENDING"))</f>
        <v/>
      </c>
      <c r="AR1156" s="27" t="str">
        <f t="shared" si="511"/>
        <v>ST665</v>
      </c>
      <c r="AS1156" s="27" t="str">
        <f t="shared" si="512"/>
        <v>62</v>
      </c>
      <c r="AT1156" s="27" t="str">
        <f t="shared" si="513"/>
        <v/>
      </c>
      <c r="AU1156" s="27" t="str">
        <f t="shared" si="514"/>
        <v/>
      </c>
      <c r="AV1156" s="27" t="str">
        <f t="shared" si="515"/>
        <v/>
      </c>
      <c r="AW1156" s="27" t="str">
        <f t="shared" si="516"/>
        <v/>
      </c>
      <c r="AX1156" s="27" t="str">
        <f t="shared" si="517"/>
        <v/>
      </c>
      <c r="AY1156" s="27" t="str">
        <f t="shared" si="518"/>
        <v/>
      </c>
      <c r="AZ1156" s="27" t="str">
        <f t="shared" si="519"/>
        <v/>
      </c>
      <c r="BA1156" s="27" t="str">
        <f t="shared" si="520"/>
        <v/>
      </c>
      <c r="BB1156" s="27" t="str">
        <f t="shared" si="521"/>
        <v/>
      </c>
      <c r="BC1156" s="27" t="str">
        <f t="shared" si="522"/>
        <v/>
      </c>
      <c r="BD1156" s="27" t="str">
        <f t="shared" si="523"/>
        <v/>
      </c>
      <c r="BE1156" s="27" t="str">
        <f t="shared" si="524"/>
        <v/>
      </c>
      <c r="BF1156" s="27" t="str">
        <f t="shared" si="525"/>
        <v/>
      </c>
      <c r="BG1156" s="27" t="str">
        <f t="shared" si="526"/>
        <v/>
      </c>
      <c r="BH1156" s="27" t="str">
        <f t="shared" si="527"/>
        <v/>
      </c>
      <c r="BI1156" s="27" t="str">
        <f t="shared" si="528"/>
        <v/>
      </c>
      <c r="BJ1156" s="27" t="str">
        <f t="shared" si="529"/>
        <v/>
      </c>
      <c r="BK1156" s="27" t="str">
        <f t="shared" si="530"/>
        <v/>
      </c>
      <c r="BL1156" s="27" t="str">
        <f t="shared" si="531"/>
        <v/>
      </c>
      <c r="BM1156" s="21" t="s">
        <v>3790</v>
      </c>
    </row>
    <row r="1157" spans="1:65" ht="15">
      <c r="A1157" s="25" t="str">
        <f>IFERROR(INDEX('Hun Demand'!W:W,MATCH(O1157,'Hun Demand'!A:A,0)),"")</f>
        <v/>
      </c>
      <c r="B1157" s="25" t="str">
        <f>IFERROR(INDEX('Hun Demand'!V:V,MATCH(O1157,'Hun Demand'!A:A,0)),"")</f>
        <v/>
      </c>
      <c r="C1157" s="25" t="str">
        <f>IFERROR(INDEX('Hun Demand'!U:U,MATCH(O1157,'Hun Demand'!A:A,0)),"")</f>
        <v/>
      </c>
      <c r="D1157" s="25" t="str">
        <f>IFERROR(INDEX('Hun Demand'!T:T,MATCH(O1157,'Hun Demand'!A:A,0)),"")</f>
        <v/>
      </c>
      <c r="E1157" s="25" t="str">
        <f>IFERROR(INDEX('Hun Demand'!S:S,MATCH(O1157,'Hun Demand'!A:A,0)),"")</f>
        <v/>
      </c>
      <c r="F1157" s="25" t="str">
        <f>IFERROR(INDEX('Hun Demand'!R:R,MATCH(O1157,'Hun Demand'!A:A,0)),"")</f>
        <v/>
      </c>
      <c r="G1157" s="25">
        <f>IFERROR(INDEX('Aub Demand'!W:W,MATCH(O1157,'Aub Demand'!A:A,0)),"")</f>
        <v>0</v>
      </c>
      <c r="H1157" s="25">
        <f>IFERROR(INDEX('Aub Demand'!V:V,MATCH(O1157,'Aub Demand'!A:A,0)),"")</f>
        <v>0</v>
      </c>
      <c r="I1157" s="25">
        <f>IFERROR(INDEX('Aub Demand'!U:U,MATCH(O1157,'Aub Demand'!A:A,0)),"")</f>
        <v>0</v>
      </c>
      <c r="J1157" s="25">
        <f>IFERROR(INDEX('Aub Demand'!T:T,MATCH(O1157,'Aub Demand'!A:A,0)),"")</f>
        <v>0</v>
      </c>
      <c r="K1157" s="25">
        <f>IFERROR(INDEX('Aub Demand'!S:S,MATCH(O1157,'Aub Demand'!A:A,0)),"")</f>
        <v>0</v>
      </c>
      <c r="L1157" s="25">
        <f>IFERROR(INDEX('Aub Demand'!R:R,MATCH(O1157,'Aub Demand'!A:A,0)),"")</f>
        <v>0</v>
      </c>
      <c r="O1157" s="27" t="s">
        <v>1515</v>
      </c>
      <c r="P1157" s="27" t="str">
        <f>IFERROR(INDEX('Aub Demand'!B:B,MATCH($O1157,'Aub Demand'!$A:$A,0)),"")</f>
        <v>CORNSILK</v>
      </c>
      <c r="Q1157" s="27" t="str">
        <f>IFERROR(INDEX('Aub Demand'!C:C,MATCH($O1157,'Aub Demand'!$A:$A,0)),"")</f>
        <v>ONYX</v>
      </c>
      <c r="R1157" s="52">
        <f>IFERROR(IF(AR1158=AR1157,INDEX('Aub Demand'!K:K,MATCH($O1157,'Aub Demand'!$A:$A,0))-IF(AN1157="",0,AN1157)+AP1158,INDEX('Aub Demand'!K:K,MATCH($O1157,'Aub Demand'!$A:$A,0))-IF(AN1157="",0,AN1157)),"")</f>
        <v>4922</v>
      </c>
      <c r="S1157" s="53" t="str">
        <f t="shared" si="504"/>
        <v>n/a</v>
      </c>
      <c r="T1157" s="52" t="str">
        <f t="shared" si="505"/>
        <v/>
      </c>
      <c r="U1157" s="52">
        <f>IFERROR(IF(AR1158=AR1157,INDEX('Aub Demand'!Q:Q,MATCH($O1157,'Aub Demand'!$A:$A,0))-IF(AN1157="",0,AN1157)+AP1158,INDEX('Aub Demand'!Q:Q,MATCH($O1157,'Aub Demand'!$A:$A,0))-IF(AN1157="",0,AN1157)),"")</f>
        <v>4922</v>
      </c>
      <c r="V1157" s="53" t="str">
        <f t="shared" si="506"/>
        <v>n/a</v>
      </c>
      <c r="W1157" s="52" t="str">
        <f t="shared" si="507"/>
        <v/>
      </c>
      <c r="X1157" s="52">
        <f>IFERROR(IF(AND(AR1158=AR1157,AM1157&lt;&gt;""),INDEX('Aub Demand'!Q:Q,MATCH($O1157,'Aub Demand'!$A:$A,0))-IF(AN1157="",0,AN1157)+AP1158+AD1157+AL1157,IF(AR1158=AR1157,INDEX('Aub Demand'!Q:Q,MATCH($O1157,'Aub Demand'!$A:$A,0))-IF(AN1157="",0,AN1157)+AP1158+AD1157,IF(AM1157&lt;&gt;"",INDEX('Aub Demand'!Q:Q,MATCH($O1157,'Aub Demand'!$A:$A,0))-IF(AN1157="",0,AN1157)+AD1157+AL1157,INDEX('Aub Demand'!Q:Q,MATCH($O1157,'Aub Demand'!$A:$A,0))-IF(AN1157="",0,AN1157)+AD1157))),"")</f>
        <v>4922</v>
      </c>
      <c r="Y1157" s="53" t="str">
        <f t="shared" si="508"/>
        <v>n/a</v>
      </c>
      <c r="Z1157" s="52">
        <f>IF(L1157="","",INDEX('Aub Demand'!H:H,MATCH($O1157,'Aub Demand'!$A:$A,0)))</f>
        <v>0</v>
      </c>
      <c r="AA1157" s="52" t="str">
        <f t="shared" si="509"/>
        <v>-spike-</v>
      </c>
      <c r="AB1157" s="52">
        <f>IFERROR(INDEX('Aub Demand'!L:L,MATCH($O1157,'Aub Demand'!$A:$A,0)),"")</f>
        <v>0</v>
      </c>
      <c r="AC1157" s="52">
        <f>IFERROR(IF(O1157="","",SUMIFS('CPL Mats'!F:F,'CPL Mats'!Q:Q,AR1157,'CPL Mats'!S:S,AS1157)),"")</f>
        <v>0</v>
      </c>
      <c r="AF1157" s="25" t="str">
        <f>IF(SUMIFS('Supp Consol'!S:S,'Supp Consol'!Y:Y,"Releasable",'Supp Consol'!A:A,O1157)=0,"",SUMIFS('Supp Consol'!S:S,'Supp Consol'!Y:Y,"Releasable",'Supp Consol'!A:A,O1157))</f>
        <v/>
      </c>
      <c r="AG1157" s="25" t="str">
        <f>IFERROR(INDEX('Hun Demand'!Q:Q,MATCH(O1157,'Hun Demand'!A:A,0)),"")</f>
        <v/>
      </c>
      <c r="AH1157" s="25" t="str">
        <f>IFERROR(INDEX('Hun Demand'!H:H,MATCH($O1157,'Hun Demand'!$A:$A,0)),"")</f>
        <v/>
      </c>
      <c r="AI1157" s="25" t="str">
        <f>IF(SUMIFS('Supp Consol'!AA:AA,'Supp Consol'!Z:Z,"Expires this month",'Supp Consol'!A:A,O1157)=0,"",SUMIFS('Supp Consol'!AA:AA,'Supp Consol'!Z:Z,"Expires this month",'Supp Consol'!A:A,O1157))</f>
        <v/>
      </c>
      <c r="AJ1157" s="25" t="str">
        <f>IF(SUMIFS('Supp Consol'!AA:AA,'Supp Consol'!Z:Z,"Expired Previous Months",'Supp Consol'!A:A,O1157)=0,"",SUMIFS('Supp Consol'!AA:AA,'Supp Consol'!Z:Z,"Expired Previous Months",'Supp Consol'!A:A,O1157))</f>
        <v/>
      </c>
      <c r="AK1157" s="25" t="str">
        <f>IFERROR(INDEX('Hun Release Current'!B:B,MATCH(O1157,'Hun Release Current'!A:A,0)),"")</f>
        <v/>
      </c>
      <c r="AL1157" s="25" t="str">
        <f>IF(SUMIF('Prev Aub'!A:A,O1157,'Prev Aub'!B:B)=0,"",SUMIF('Prev Aub'!A:A,O1157,'Prev Aub'!B:B))</f>
        <v/>
      </c>
      <c r="AN1157" s="25" t="s">
        <v>3790</v>
      </c>
      <c r="AO1157" s="25" t="s">
        <v>3790</v>
      </c>
      <c r="AP1157" s="25">
        <f t="shared" si="510"/>
        <v>0</v>
      </c>
      <c r="AQ1157" s="151" t="str">
        <f>IF(SUMIFS('Supp Consol'!S:S,'Supp Consol'!A:A,O1157,'Supp Consol'!I:I,"PENDING")=0,"",SUMIFS('Supp Consol'!S:S,'Supp Consol'!A:A,O1157,'Supp Consol'!I:I,"PENDING"))</f>
        <v/>
      </c>
      <c r="AR1157" s="27" t="str">
        <f t="shared" si="511"/>
        <v>ST678</v>
      </c>
      <c r="AS1157" s="27" t="str">
        <f t="shared" si="512"/>
        <v>50</v>
      </c>
      <c r="AT1157" s="27" t="str">
        <f t="shared" si="513"/>
        <v/>
      </c>
      <c r="AU1157" s="27" t="str">
        <f t="shared" si="514"/>
        <v/>
      </c>
      <c r="AV1157" s="27" t="str">
        <f t="shared" si="515"/>
        <v/>
      </c>
      <c r="AW1157" s="27" t="str">
        <f t="shared" si="516"/>
        <v/>
      </c>
      <c r="AX1157" s="27" t="str">
        <f t="shared" si="517"/>
        <v/>
      </c>
      <c r="AY1157" s="27" t="str">
        <f t="shared" si="518"/>
        <v/>
      </c>
      <c r="AZ1157" s="27" t="str">
        <f t="shared" si="519"/>
        <v/>
      </c>
      <c r="BA1157" s="27" t="str">
        <f t="shared" si="520"/>
        <v/>
      </c>
      <c r="BB1157" s="27" t="str">
        <f t="shared" si="521"/>
        <v/>
      </c>
      <c r="BC1157" s="27" t="str">
        <f t="shared" si="522"/>
        <v/>
      </c>
      <c r="BD1157" s="27" t="str">
        <f t="shared" si="523"/>
        <v/>
      </c>
      <c r="BE1157" s="27" t="str">
        <f t="shared" si="524"/>
        <v/>
      </c>
      <c r="BF1157" s="27" t="str">
        <f t="shared" si="525"/>
        <v/>
      </c>
      <c r="BG1157" s="27" t="str">
        <f t="shared" si="526"/>
        <v/>
      </c>
      <c r="BH1157" s="27" t="str">
        <f t="shared" si="527"/>
        <v/>
      </c>
      <c r="BI1157" s="27" t="str">
        <f t="shared" si="528"/>
        <v/>
      </c>
      <c r="BJ1157" s="27" t="str">
        <f t="shared" si="529"/>
        <v/>
      </c>
      <c r="BK1157" s="27" t="str">
        <f t="shared" si="530"/>
        <v/>
      </c>
      <c r="BL1157" s="27" t="str">
        <f t="shared" si="531"/>
        <v/>
      </c>
      <c r="BM1157" s="21" t="s">
        <v>5581</v>
      </c>
    </row>
    <row r="1158" spans="1:65" ht="15">
      <c r="A1158" s="25" t="str">
        <f>IFERROR(INDEX('Hun Demand'!W:W,MATCH(O1158,'Hun Demand'!A:A,0)),"")</f>
        <v/>
      </c>
      <c r="B1158" s="25" t="str">
        <f>IFERROR(INDEX('Hun Demand'!V:V,MATCH(O1158,'Hun Demand'!A:A,0)),"")</f>
        <v/>
      </c>
      <c r="C1158" s="25" t="str">
        <f>IFERROR(INDEX('Hun Demand'!U:U,MATCH(O1158,'Hun Demand'!A:A,0)),"")</f>
        <v/>
      </c>
      <c r="D1158" s="25" t="str">
        <f>IFERROR(INDEX('Hun Demand'!T:T,MATCH(O1158,'Hun Demand'!A:A,0)),"")</f>
        <v/>
      </c>
      <c r="E1158" s="25" t="str">
        <f>IFERROR(INDEX('Hun Demand'!S:S,MATCH(O1158,'Hun Demand'!A:A,0)),"")</f>
        <v/>
      </c>
      <c r="F1158" s="25" t="str">
        <f>IFERROR(INDEX('Hun Demand'!R:R,MATCH(O1158,'Hun Demand'!A:A,0)),"")</f>
        <v/>
      </c>
      <c r="G1158" s="25">
        <f>IFERROR(INDEX('Aub Demand'!W:W,MATCH(O1158,'Aub Demand'!A:A,0)),"")</f>
        <v>0</v>
      </c>
      <c r="H1158" s="25">
        <f>IFERROR(INDEX('Aub Demand'!V:V,MATCH(O1158,'Aub Demand'!A:A,0)),"")</f>
        <v>0</v>
      </c>
      <c r="I1158" s="25">
        <f>IFERROR(INDEX('Aub Demand'!U:U,MATCH(O1158,'Aub Demand'!A:A,0)),"")</f>
        <v>0</v>
      </c>
      <c r="J1158" s="25">
        <f>IFERROR(INDEX('Aub Demand'!T:T,MATCH(O1158,'Aub Demand'!A:A,0)),"")</f>
        <v>0</v>
      </c>
      <c r="K1158" s="25">
        <f>IFERROR(INDEX('Aub Demand'!S:S,MATCH(O1158,'Aub Demand'!A:A,0)),"")</f>
        <v>0</v>
      </c>
      <c r="L1158" s="25">
        <f>IFERROR(INDEX('Aub Demand'!R:R,MATCH(O1158,'Aub Demand'!A:A,0)),"")</f>
        <v>0</v>
      </c>
      <c r="O1158" s="27" t="s">
        <v>1517</v>
      </c>
      <c r="P1158" s="27" t="str">
        <f>IFERROR(INDEX('Aub Demand'!B:B,MATCH($O1158,'Aub Demand'!$A:$A,0)),"")</f>
        <v>CORNSILK</v>
      </c>
      <c r="Q1158" s="27" t="str">
        <f>IFERROR(INDEX('Aub Demand'!C:C,MATCH($O1158,'Aub Demand'!$A:$A,0)),"")</f>
        <v>ONYX</v>
      </c>
      <c r="R1158" s="52">
        <f>IFERROR(IF(AR1159=AR1158,INDEX('Aub Demand'!K:K,MATCH($O1158,'Aub Demand'!$A:$A,0))-IF(AN1158="",0,AN1158)+AP1159,INDEX('Aub Demand'!K:K,MATCH($O1158,'Aub Demand'!$A:$A,0))-IF(AN1158="",0,AN1158)),"")</f>
        <v>2263</v>
      </c>
      <c r="S1158" s="53" t="str">
        <f t="shared" si="504"/>
        <v>n/a</v>
      </c>
      <c r="T1158" s="52" t="str">
        <f t="shared" si="505"/>
        <v/>
      </c>
      <c r="U1158" s="52">
        <f>IFERROR(IF(AR1159=AR1158,INDEX('Aub Demand'!Q:Q,MATCH($O1158,'Aub Demand'!$A:$A,0))-IF(AN1158="",0,AN1158)+AP1159,INDEX('Aub Demand'!Q:Q,MATCH($O1158,'Aub Demand'!$A:$A,0))-IF(AN1158="",0,AN1158)),"")</f>
        <v>2263</v>
      </c>
      <c r="V1158" s="53" t="str">
        <f t="shared" si="506"/>
        <v>n/a</v>
      </c>
      <c r="W1158" s="52" t="str">
        <f t="shared" si="507"/>
        <v/>
      </c>
      <c r="X1158" s="52">
        <f>IFERROR(IF(AND(AR1159=AR1158,AM1158&lt;&gt;""),INDEX('Aub Demand'!Q:Q,MATCH($O1158,'Aub Demand'!$A:$A,0))-IF(AN1158="",0,AN1158)+AP1159+AD1158+AL1158,IF(AR1159=AR1158,INDEX('Aub Demand'!Q:Q,MATCH($O1158,'Aub Demand'!$A:$A,0))-IF(AN1158="",0,AN1158)+AP1159+AD1158,IF(AM1158&lt;&gt;"",INDEX('Aub Demand'!Q:Q,MATCH($O1158,'Aub Demand'!$A:$A,0))-IF(AN1158="",0,AN1158)+AD1158+AL1158,INDEX('Aub Demand'!Q:Q,MATCH($O1158,'Aub Demand'!$A:$A,0))-IF(AN1158="",0,AN1158)+AD1158))),"")</f>
        <v>2263</v>
      </c>
      <c r="Y1158" s="53" t="str">
        <f t="shared" si="508"/>
        <v>n/a</v>
      </c>
      <c r="Z1158" s="52">
        <f>IF(L1158="","",INDEX('Aub Demand'!H:H,MATCH($O1158,'Aub Demand'!$A:$A,0)))</f>
        <v>0</v>
      </c>
      <c r="AA1158" s="52" t="str">
        <f t="shared" si="509"/>
        <v>-spike-</v>
      </c>
      <c r="AB1158" s="52">
        <f>IFERROR(INDEX('Aub Demand'!L:L,MATCH($O1158,'Aub Demand'!$A:$A,0)),"")</f>
        <v>0</v>
      </c>
      <c r="AC1158" s="52">
        <f>IFERROR(IF(O1158="","",SUMIFS('CPL Mats'!F:F,'CPL Mats'!Q:Q,AR1158,'CPL Mats'!S:S,AS1158)),"")</f>
        <v>0</v>
      </c>
      <c r="AF1158" s="25" t="str">
        <f>IF(SUMIFS('Supp Consol'!S:S,'Supp Consol'!Y:Y,"Releasable",'Supp Consol'!A:A,O1158)=0,"",SUMIFS('Supp Consol'!S:S,'Supp Consol'!Y:Y,"Releasable",'Supp Consol'!A:A,O1158))</f>
        <v/>
      </c>
      <c r="AG1158" s="25" t="str">
        <f>IFERROR(INDEX('Hun Demand'!Q:Q,MATCH(O1158,'Hun Demand'!A:A,0)),"")</f>
        <v/>
      </c>
      <c r="AH1158" s="25" t="str">
        <f>IFERROR(INDEX('Hun Demand'!H:H,MATCH($O1158,'Hun Demand'!$A:$A,0)),"")</f>
        <v/>
      </c>
      <c r="AI1158" s="25" t="str">
        <f>IF(SUMIFS('Supp Consol'!AA:AA,'Supp Consol'!Z:Z,"Expires this month",'Supp Consol'!A:A,O1158)=0,"",SUMIFS('Supp Consol'!AA:AA,'Supp Consol'!Z:Z,"Expires this month",'Supp Consol'!A:A,O1158))</f>
        <v/>
      </c>
      <c r="AJ1158" s="25" t="str">
        <f>IF(SUMIFS('Supp Consol'!AA:AA,'Supp Consol'!Z:Z,"Expired Previous Months",'Supp Consol'!A:A,O1158)=0,"",SUMIFS('Supp Consol'!AA:AA,'Supp Consol'!Z:Z,"Expired Previous Months",'Supp Consol'!A:A,O1158))</f>
        <v/>
      </c>
      <c r="AK1158" s="25" t="str">
        <f>IFERROR(INDEX('Hun Release Current'!B:B,MATCH(O1158,'Hun Release Current'!A:A,0)),"")</f>
        <v/>
      </c>
      <c r="AL1158" s="25" t="str">
        <f>IF(SUMIF('Prev Aub'!A:A,O1158,'Prev Aub'!B:B)=0,"",SUMIF('Prev Aub'!A:A,O1158,'Prev Aub'!B:B))</f>
        <v/>
      </c>
      <c r="AN1158" s="25" t="s">
        <v>3790</v>
      </c>
      <c r="AO1158" s="25" t="s">
        <v>3790</v>
      </c>
      <c r="AP1158" s="25">
        <f t="shared" si="510"/>
        <v>0</v>
      </c>
      <c r="AQ1158" s="151" t="str">
        <f>IF(SUMIFS('Supp Consol'!S:S,'Supp Consol'!A:A,O1158,'Supp Consol'!I:I,"PENDING")=0,"",SUMIFS('Supp Consol'!S:S,'Supp Consol'!A:A,O1158,'Supp Consol'!I:I,"PENDING"))</f>
        <v/>
      </c>
      <c r="AR1158" s="27" t="str">
        <f t="shared" si="511"/>
        <v>ST678</v>
      </c>
      <c r="AS1158" s="27" t="str">
        <f t="shared" si="512"/>
        <v>62</v>
      </c>
      <c r="AT1158" s="27" t="str">
        <f t="shared" si="513"/>
        <v/>
      </c>
      <c r="AU1158" s="27" t="str">
        <f t="shared" si="514"/>
        <v/>
      </c>
      <c r="AV1158" s="27" t="str">
        <f t="shared" si="515"/>
        <v/>
      </c>
      <c r="AW1158" s="27" t="str">
        <f t="shared" si="516"/>
        <v/>
      </c>
      <c r="AX1158" s="27" t="str">
        <f t="shared" si="517"/>
        <v/>
      </c>
      <c r="AY1158" s="27" t="str">
        <f t="shared" si="518"/>
        <v/>
      </c>
      <c r="AZ1158" s="27" t="str">
        <f t="shared" si="519"/>
        <v/>
      </c>
      <c r="BA1158" s="27" t="str">
        <f t="shared" si="520"/>
        <v/>
      </c>
      <c r="BB1158" s="27" t="str">
        <f t="shared" si="521"/>
        <v/>
      </c>
      <c r="BC1158" s="27" t="str">
        <f t="shared" si="522"/>
        <v/>
      </c>
      <c r="BD1158" s="27" t="str">
        <f t="shared" si="523"/>
        <v/>
      </c>
      <c r="BE1158" s="27" t="str">
        <f t="shared" si="524"/>
        <v/>
      </c>
      <c r="BF1158" s="27" t="str">
        <f t="shared" si="525"/>
        <v/>
      </c>
      <c r="BG1158" s="27" t="str">
        <f t="shared" si="526"/>
        <v/>
      </c>
      <c r="BH1158" s="27" t="str">
        <f t="shared" si="527"/>
        <v/>
      </c>
      <c r="BI1158" s="27" t="str">
        <f t="shared" si="528"/>
        <v/>
      </c>
      <c r="BJ1158" s="27" t="str">
        <f t="shared" si="529"/>
        <v/>
      </c>
      <c r="BK1158" s="27" t="str">
        <f t="shared" si="530"/>
        <v/>
      </c>
      <c r="BL1158" s="27" t="str">
        <f t="shared" si="531"/>
        <v/>
      </c>
      <c r="BM1158" s="21" t="s">
        <v>5581</v>
      </c>
    </row>
    <row r="1159" spans="1:65" ht="15">
      <c r="A1159" s="25" t="str">
        <f>IFERROR(INDEX('Hun Demand'!W:W,MATCH(O1159,'Hun Demand'!A:A,0)),"")</f>
        <v/>
      </c>
      <c r="B1159" s="25" t="str">
        <f>IFERROR(INDEX('Hun Demand'!V:V,MATCH(O1159,'Hun Demand'!A:A,0)),"")</f>
        <v/>
      </c>
      <c r="C1159" s="25" t="str">
        <f>IFERROR(INDEX('Hun Demand'!U:U,MATCH(O1159,'Hun Demand'!A:A,0)),"")</f>
        <v/>
      </c>
      <c r="D1159" s="25" t="str">
        <f>IFERROR(INDEX('Hun Demand'!T:T,MATCH(O1159,'Hun Demand'!A:A,0)),"")</f>
        <v/>
      </c>
      <c r="E1159" s="25" t="str">
        <f>IFERROR(INDEX('Hun Demand'!S:S,MATCH(O1159,'Hun Demand'!A:A,0)),"")</f>
        <v/>
      </c>
      <c r="F1159" s="25" t="str">
        <f>IFERROR(INDEX('Hun Demand'!R:R,MATCH(O1159,'Hun Demand'!A:A,0)),"")</f>
        <v/>
      </c>
      <c r="G1159" s="25">
        <f>IFERROR(INDEX('Aub Demand'!W:W,MATCH(O1159,'Aub Demand'!A:A,0)),"")</f>
        <v>0</v>
      </c>
      <c r="H1159" s="25">
        <f>IFERROR(INDEX('Aub Demand'!V:V,MATCH(O1159,'Aub Demand'!A:A,0)),"")</f>
        <v>105</v>
      </c>
      <c r="I1159" s="25">
        <f>IFERROR(INDEX('Aub Demand'!U:U,MATCH(O1159,'Aub Demand'!A:A,0)),"")</f>
        <v>169</v>
      </c>
      <c r="J1159" s="25">
        <f>IFERROR(INDEX('Aub Demand'!T:T,MATCH(O1159,'Aub Demand'!A:A,0)),"")</f>
        <v>0</v>
      </c>
      <c r="K1159" s="25">
        <f>IFERROR(INDEX('Aub Demand'!S:S,MATCH(O1159,'Aub Demand'!A:A,0)),"")</f>
        <v>169</v>
      </c>
      <c r="L1159" s="25">
        <f>IFERROR(INDEX('Aub Demand'!R:R,MATCH(O1159,'Aub Demand'!A:A,0)),"")</f>
        <v>0</v>
      </c>
      <c r="O1159" s="27" t="s">
        <v>2758</v>
      </c>
      <c r="P1159" s="27" t="str">
        <f>IFERROR(INDEX('Aub Demand'!B:B,MATCH($O1159,'Aub Demand'!$A:$A,0)),"")</f>
        <v>VIOLINE 48"</v>
      </c>
      <c r="Q1159" s="27" t="str">
        <f>IFERROR(INDEX('Aub Demand'!C:C,MATCH($O1159,'Aub Demand'!$A:$A,0)),"")</f>
        <v>ONYX</v>
      </c>
      <c r="R1159" s="52">
        <f>IFERROR(IF(AR1160=AR1159,INDEX('Aub Demand'!K:K,MATCH($O1159,'Aub Demand'!$A:$A,0))-IF(AN1159="",0,AN1159)+AP1160,INDEX('Aub Demand'!K:K,MATCH($O1159,'Aub Demand'!$A:$A,0))-IF(AN1159="",0,AN1159)),"")</f>
        <v>120</v>
      </c>
      <c r="S1159" s="53">
        <f t="shared" si="504"/>
        <v>4.5999999999999996</v>
      </c>
      <c r="T1159" s="52" t="str">
        <f t="shared" si="505"/>
        <v/>
      </c>
      <c r="U1159" s="52">
        <f>IFERROR(IF(AR1160=AR1159,INDEX('Aub Demand'!Q:Q,MATCH($O1159,'Aub Demand'!$A:$A,0))-IF(AN1159="",0,AN1159)+AP1160,INDEX('Aub Demand'!Q:Q,MATCH($O1159,'Aub Demand'!$A:$A,0))-IF(AN1159="",0,AN1159)),"")</f>
        <v>104</v>
      </c>
      <c r="V1159" s="53">
        <f t="shared" si="506"/>
        <v>3.9</v>
      </c>
      <c r="W1159" s="52" t="str">
        <f t="shared" si="507"/>
        <v/>
      </c>
      <c r="X1159" s="52">
        <f>IFERROR(IF(AND(AR1160=AR1159,AM1159&lt;&gt;""),INDEX('Aub Demand'!Q:Q,MATCH($O1159,'Aub Demand'!$A:$A,0))-IF(AN1159="",0,AN1159)+AP1160+AD1159+AL1159,IF(AR1160=AR1159,INDEX('Aub Demand'!Q:Q,MATCH($O1159,'Aub Demand'!$A:$A,0))-IF(AN1159="",0,AN1159)+AP1160+AD1159,IF(AM1159&lt;&gt;"",INDEX('Aub Demand'!Q:Q,MATCH($O1159,'Aub Demand'!$A:$A,0))-IF(AN1159="",0,AN1159)+AD1159+AL1159,INDEX('Aub Demand'!Q:Q,MATCH($O1159,'Aub Demand'!$A:$A,0))-IF(AN1159="",0,AN1159)+AD1159))),"")</f>
        <v>104</v>
      </c>
      <c r="Y1159" s="53">
        <f t="shared" si="508"/>
        <v>3.9</v>
      </c>
      <c r="Z1159" s="52">
        <f>IF(L1159="","",INDEX('Aub Demand'!H:H,MATCH($O1159,'Aub Demand'!$A:$A,0)))</f>
        <v>113</v>
      </c>
      <c r="AA1159" s="52">
        <f t="shared" si="509"/>
        <v>169</v>
      </c>
      <c r="AB1159" s="52">
        <f>IFERROR(INDEX('Aub Demand'!L:L,MATCH($O1159,'Aub Demand'!$A:$A,0)),"")</f>
        <v>100</v>
      </c>
      <c r="AC1159" s="52">
        <f>IFERROR(IF(O1159="","",SUMIFS('CPL Mats'!F:F,'CPL Mats'!Q:Q,AR1159,'CPL Mats'!S:S,AS1159)),"")</f>
        <v>0</v>
      </c>
      <c r="AF1159" s="25" t="str">
        <f>IF(SUMIFS('Supp Consol'!S:S,'Supp Consol'!Y:Y,"Releasable",'Supp Consol'!A:A,O1159)=0,"",SUMIFS('Supp Consol'!S:S,'Supp Consol'!Y:Y,"Releasable",'Supp Consol'!A:A,O1159))</f>
        <v/>
      </c>
      <c r="AG1159" s="25" t="str">
        <f>IFERROR(INDEX('Hun Demand'!Q:Q,MATCH(O1159,'Hun Demand'!A:A,0)),"")</f>
        <v/>
      </c>
      <c r="AH1159" s="25" t="str">
        <f>IFERROR(INDEX('Hun Demand'!H:H,MATCH($O1159,'Hun Demand'!$A:$A,0)),"")</f>
        <v/>
      </c>
      <c r="AI1159" s="25" t="str">
        <f>IF(SUMIFS('Supp Consol'!AA:AA,'Supp Consol'!Z:Z,"Expires this month",'Supp Consol'!A:A,O1159)=0,"",SUMIFS('Supp Consol'!AA:AA,'Supp Consol'!Z:Z,"Expires this month",'Supp Consol'!A:A,O1159))</f>
        <v/>
      </c>
      <c r="AJ1159" s="25" t="str">
        <f>IF(SUMIFS('Supp Consol'!AA:AA,'Supp Consol'!Z:Z,"Expired Previous Months",'Supp Consol'!A:A,O1159)=0,"",SUMIFS('Supp Consol'!AA:AA,'Supp Consol'!Z:Z,"Expired Previous Months",'Supp Consol'!A:A,O1159))</f>
        <v/>
      </c>
      <c r="AK1159" s="25" t="str">
        <f>IFERROR(INDEX('Hun Release Current'!B:B,MATCH(O1159,'Hun Release Current'!A:A,0)),"")</f>
        <v/>
      </c>
      <c r="AL1159" s="25" t="str">
        <f>IF(SUMIF('Prev Aub'!A:A,O1159,'Prev Aub'!B:B)=0,"",SUMIF('Prev Aub'!A:A,O1159,'Prev Aub'!B:B))</f>
        <v/>
      </c>
      <c r="AN1159" s="25" t="s">
        <v>3790</v>
      </c>
      <c r="AO1159" s="25" t="s">
        <v>3790</v>
      </c>
      <c r="AP1159" s="25">
        <f t="shared" si="510"/>
        <v>0</v>
      </c>
      <c r="AQ1159" s="151" t="str">
        <f>IF(SUMIFS('Supp Consol'!S:S,'Supp Consol'!A:A,O1159,'Supp Consol'!I:I,"PENDING")=0,"",SUMIFS('Supp Consol'!S:S,'Supp Consol'!A:A,O1159,'Supp Consol'!I:I,"PENDING"))</f>
        <v/>
      </c>
      <c r="AR1159" s="27" t="str">
        <f t="shared" si="511"/>
        <v>SV355</v>
      </c>
      <c r="AS1159" s="27" t="str">
        <f t="shared" si="512"/>
        <v>50</v>
      </c>
      <c r="AT1159" s="27" t="str">
        <f t="shared" si="513"/>
        <v/>
      </c>
      <c r="AU1159" s="27" t="str">
        <f t="shared" si="514"/>
        <v/>
      </c>
      <c r="AV1159" s="27" t="str">
        <f t="shared" si="515"/>
        <v/>
      </c>
      <c r="AW1159" s="27" t="str">
        <f t="shared" si="516"/>
        <v/>
      </c>
      <c r="AX1159" s="27" t="str">
        <f t="shared" si="517"/>
        <v/>
      </c>
      <c r="AY1159" s="27" t="str">
        <f t="shared" si="518"/>
        <v/>
      </c>
      <c r="AZ1159" s="27" t="str">
        <f t="shared" si="519"/>
        <v>Supp</v>
      </c>
      <c r="BA1159" s="27" t="str">
        <f t="shared" si="520"/>
        <v/>
      </c>
      <c r="BB1159" s="27" t="str">
        <f t="shared" si="521"/>
        <v>Gross</v>
      </c>
      <c r="BC1159" s="27" t="str">
        <f t="shared" si="522"/>
        <v/>
      </c>
      <c r="BD1159" s="27" t="str">
        <f t="shared" si="523"/>
        <v/>
      </c>
      <c r="BE1159" s="27" t="str">
        <f t="shared" si="524"/>
        <v/>
      </c>
      <c r="BF1159" s="27" t="str">
        <f t="shared" si="525"/>
        <v/>
      </c>
      <c r="BG1159" s="27" t="str">
        <f t="shared" si="526"/>
        <v/>
      </c>
      <c r="BH1159" s="27" t="str">
        <f t="shared" si="527"/>
        <v/>
      </c>
      <c r="BI1159" s="27" t="str">
        <f t="shared" si="528"/>
        <v/>
      </c>
      <c r="BJ1159" s="27" t="str">
        <f t="shared" si="529"/>
        <v>Supp or Hun</v>
      </c>
      <c r="BK1159" s="27" t="str">
        <f t="shared" si="530"/>
        <v/>
      </c>
      <c r="BL1159" s="27" t="str">
        <f t="shared" si="531"/>
        <v/>
      </c>
      <c r="BM1159" s="21" t="s">
        <v>5581</v>
      </c>
    </row>
    <row r="1160" spans="1:65" ht="15">
      <c r="A1160" s="25">
        <f>IFERROR(INDEX('Hun Demand'!W:W,MATCH(O1160,'Hun Demand'!A:A,0)),"")</f>
        <v>360</v>
      </c>
      <c r="B1160" s="25">
        <f>IFERROR(INDEX('Hun Demand'!V:V,MATCH(O1160,'Hun Demand'!A:A,0)),"")</f>
        <v>0</v>
      </c>
      <c r="C1160" s="25">
        <f>IFERROR(INDEX('Hun Demand'!U:U,MATCH(O1160,'Hun Demand'!A:A,0)),"")</f>
        <v>0</v>
      </c>
      <c r="D1160" s="25">
        <f>IFERROR(INDEX('Hun Demand'!T:T,MATCH(O1160,'Hun Demand'!A:A,0)),"")</f>
        <v>939</v>
      </c>
      <c r="E1160" s="25">
        <f>IFERROR(INDEX('Hun Demand'!S:S,MATCH(O1160,'Hun Demand'!A:A,0)),"")</f>
        <v>739</v>
      </c>
      <c r="F1160" s="25">
        <f>IFERROR(INDEX('Hun Demand'!R:R,MATCH(O1160,'Hun Demand'!A:A,0)),"")</f>
        <v>0</v>
      </c>
      <c r="G1160" s="25">
        <f>IFERROR(INDEX('Aub Demand'!W:W,MATCH(O1160,'Aub Demand'!A:A,0)),"")</f>
        <v>195</v>
      </c>
      <c r="H1160" s="25">
        <f>IFERROR(INDEX('Aub Demand'!V:V,MATCH(O1160,'Aub Demand'!A:A,0)),"")</f>
        <v>52</v>
      </c>
      <c r="I1160" s="25">
        <f>IFERROR(INDEX('Aub Demand'!U:U,MATCH(O1160,'Aub Demand'!A:A,0)),"")</f>
        <v>192</v>
      </c>
      <c r="J1160" s="25">
        <f>IFERROR(INDEX('Aub Demand'!T:T,MATCH(O1160,'Aub Demand'!A:A,0)),"")</f>
        <v>0</v>
      </c>
      <c r="K1160" s="25">
        <f>IFERROR(INDEX('Aub Demand'!S:S,MATCH(O1160,'Aub Demand'!A:A,0)),"")</f>
        <v>188</v>
      </c>
      <c r="L1160" s="25">
        <f>IFERROR(INDEX('Aub Demand'!R:R,MATCH(O1160,'Aub Demand'!A:A,0)),"")</f>
        <v>0</v>
      </c>
      <c r="O1160" s="27" t="s">
        <v>2760</v>
      </c>
      <c r="P1160" s="27" t="str">
        <f>IFERROR(INDEX('Aub Demand'!B:B,MATCH($O1160,'Aub Demand'!$A:$A,0)),"")</f>
        <v>VIOLINE 60"</v>
      </c>
      <c r="Q1160" s="27" t="str">
        <f>IFERROR(INDEX('Aub Demand'!C:C,MATCH($O1160,'Aub Demand'!$A:$A,0)),"")</f>
        <v>ONYX</v>
      </c>
      <c r="R1160" s="52">
        <f>IFERROR(IF(AR1161=AR1160,INDEX('Aub Demand'!K:K,MATCH($O1160,'Aub Demand'!$A:$A,0))-IF(AN1160="",0,AN1160)+AP1161,INDEX('Aub Demand'!K:K,MATCH($O1160,'Aub Demand'!$A:$A,0))-IF(AN1160="",0,AN1160)),"")</f>
        <v>-11</v>
      </c>
      <c r="S1160" s="53">
        <f t="shared" si="504"/>
        <v>-0.4</v>
      </c>
      <c r="T1160" s="52">
        <f t="shared" si="505"/>
        <v>161.5</v>
      </c>
      <c r="U1160" s="52">
        <f>IFERROR(IF(AR1161=AR1160,INDEX('Aub Demand'!Q:Q,MATCH($O1160,'Aub Demand'!$A:$A,0))-IF(AN1160="",0,AN1160)+AP1161,INDEX('Aub Demand'!Q:Q,MATCH($O1160,'Aub Demand'!$A:$A,0))-IF(AN1160="",0,AN1160)),"")</f>
        <v>-17</v>
      </c>
      <c r="V1160" s="53">
        <f t="shared" si="506"/>
        <v>-0.6</v>
      </c>
      <c r="W1160" s="52">
        <f t="shared" si="507"/>
        <v>171</v>
      </c>
      <c r="X1160" s="52">
        <f>IFERROR(IF(AND(AR1161=AR1160,AM1160&lt;&gt;""),INDEX('Aub Demand'!Q:Q,MATCH($O1160,'Aub Demand'!$A:$A,0))-IF(AN1160="",0,AN1160)+AP1161+AD1160+AL1160,IF(AR1161=AR1160,INDEX('Aub Demand'!Q:Q,MATCH($O1160,'Aub Demand'!$A:$A,0))-IF(AN1160="",0,AN1160)+AP1161+AD1160,IF(AM1160&lt;&gt;"",INDEX('Aub Demand'!Q:Q,MATCH($O1160,'Aub Demand'!$A:$A,0))-IF(AN1160="",0,AN1160)+AD1160+AL1160,INDEX('Aub Demand'!Q:Q,MATCH($O1160,'Aub Demand'!$A:$A,0))-IF(AN1160="",0,AN1160)+AD1160))),"")</f>
        <v>483</v>
      </c>
      <c r="Y1160" s="53">
        <f t="shared" si="508"/>
        <v>16.3</v>
      </c>
      <c r="Z1160" s="52">
        <f>IF(L1160="","",INDEX('Aub Demand'!H:H,MATCH($O1160,'Aub Demand'!$A:$A,0)))</f>
        <v>127</v>
      </c>
      <c r="AA1160" s="52">
        <f t="shared" si="509"/>
        <v>190</v>
      </c>
      <c r="AB1160" s="52">
        <f>IFERROR(INDEX('Aub Demand'!L:L,MATCH($O1160,'Aub Demand'!$A:$A,0)),"")</f>
        <v>88</v>
      </c>
      <c r="AC1160" s="52">
        <f>IFERROR(IF(O1160="","",SUMIFS('CPL Mats'!F:F,'CPL Mats'!Q:Q,AR1160,'CPL Mats'!S:S,AS1160)),"")</f>
        <v>0</v>
      </c>
      <c r="AF1160" s="25">
        <f>IF(SUMIFS('Supp Consol'!S:S,'Supp Consol'!Y:Y,"Releasable",'Supp Consol'!A:A,O1160)=0,"",SUMIFS('Supp Consol'!S:S,'Supp Consol'!Y:Y,"Releasable",'Supp Consol'!A:A,O1160))</f>
        <v>1010</v>
      </c>
      <c r="AG1160" s="25">
        <f>IFERROR(INDEX('Hun Demand'!Q:Q,MATCH(O1160,'Hun Demand'!A:A,0)),"")</f>
        <v>354</v>
      </c>
      <c r="AH1160" s="25">
        <f>IFERROR(INDEX('Hun Demand'!H:H,MATCH($O1160,'Hun Demand'!$A:$A,0)),"")</f>
        <v>559</v>
      </c>
      <c r="AI1160" s="25" t="str">
        <f>IF(SUMIFS('Supp Consol'!AA:AA,'Supp Consol'!Z:Z,"Expires this month",'Supp Consol'!A:A,O1160)=0,"",SUMIFS('Supp Consol'!AA:AA,'Supp Consol'!Z:Z,"Expires this month",'Supp Consol'!A:A,O1160))</f>
        <v/>
      </c>
      <c r="AJ1160" s="25" t="str">
        <f>IF(SUMIFS('Supp Consol'!AA:AA,'Supp Consol'!Z:Z,"Expired Previous Months",'Supp Consol'!A:A,O1160)=0,"",SUMIFS('Supp Consol'!AA:AA,'Supp Consol'!Z:Z,"Expired Previous Months",'Supp Consol'!A:A,O1160))</f>
        <v/>
      </c>
      <c r="AK1160" s="25" t="str">
        <f>IFERROR(INDEX('Hun Release Current'!B:B,MATCH(O1160,'Hun Release Current'!A:A,0)),"")</f>
        <v/>
      </c>
      <c r="AL1160" s="25">
        <f>IF(SUMIF('Prev Aub'!A:A,O1160,'Prev Aub'!B:B)=0,"",SUMIF('Prev Aub'!A:A,O1160,'Prev Aub'!B:B))</f>
        <v>500</v>
      </c>
      <c r="AM1160" s="52" t="s">
        <v>3891</v>
      </c>
      <c r="AN1160" s="25">
        <v>150</v>
      </c>
      <c r="AO1160" s="25" t="s">
        <v>3790</v>
      </c>
      <c r="AP1160" s="25">
        <f t="shared" si="510"/>
        <v>120</v>
      </c>
      <c r="AQ1160" s="151" t="str">
        <f>IF(SUMIFS('Supp Consol'!S:S,'Supp Consol'!A:A,O1160,'Supp Consol'!I:I,"PENDING")=0,"",SUMIFS('Supp Consol'!S:S,'Supp Consol'!A:A,O1160,'Supp Consol'!I:I,"PENDING"))</f>
        <v/>
      </c>
      <c r="AR1160" s="27" t="str">
        <f t="shared" si="511"/>
        <v>SV355</v>
      </c>
      <c r="AS1160" s="27" t="str">
        <f t="shared" si="512"/>
        <v>62</v>
      </c>
      <c r="AT1160" s="27" t="str">
        <f t="shared" si="513"/>
        <v>SV355</v>
      </c>
      <c r="AU1160" s="27" t="str">
        <f t="shared" si="514"/>
        <v/>
      </c>
      <c r="AV1160" s="27" t="str">
        <f t="shared" si="515"/>
        <v/>
      </c>
      <c r="AW1160" s="27" t="str">
        <f t="shared" si="516"/>
        <v/>
      </c>
      <c r="AX1160" s="27" t="str">
        <f t="shared" si="517"/>
        <v>SV355</v>
      </c>
      <c r="AY1160" s="27" t="str">
        <f t="shared" si="518"/>
        <v/>
      </c>
      <c r="AZ1160" s="27" t="str">
        <f t="shared" si="519"/>
        <v>Supp</v>
      </c>
      <c r="BA1160" s="27" t="str">
        <f t="shared" si="520"/>
        <v/>
      </c>
      <c r="BB1160" s="27" t="str">
        <f t="shared" si="521"/>
        <v>Gross</v>
      </c>
      <c r="BC1160" s="27" t="str">
        <f t="shared" si="522"/>
        <v/>
      </c>
      <c r="BD1160" s="27" t="str">
        <f t="shared" si="523"/>
        <v/>
      </c>
      <c r="BE1160" s="27" t="str">
        <f t="shared" si="524"/>
        <v/>
      </c>
      <c r="BF1160" s="27" t="str">
        <f t="shared" si="525"/>
        <v/>
      </c>
      <c r="BG1160" s="27" t="str">
        <f t="shared" si="526"/>
        <v/>
      </c>
      <c r="BH1160" s="27" t="str">
        <f t="shared" si="527"/>
        <v/>
      </c>
      <c r="BI1160" s="27" t="str">
        <f t="shared" si="528"/>
        <v/>
      </c>
      <c r="BJ1160" s="27" t="str">
        <f t="shared" si="529"/>
        <v>Supp or Hun</v>
      </c>
      <c r="BK1160" s="27" t="str">
        <f t="shared" si="530"/>
        <v/>
      </c>
      <c r="BL1160" s="27" t="str">
        <f t="shared" si="531"/>
        <v/>
      </c>
      <c r="BM1160" s="21" t="s">
        <v>5581</v>
      </c>
    </row>
    <row r="1161" spans="1:65" ht="15">
      <c r="A1161" s="25" t="str">
        <f>IFERROR(INDEX('Hun Demand'!W:W,MATCH(O1161,'Hun Demand'!A:A,0)),"")</f>
        <v/>
      </c>
      <c r="B1161" s="25" t="str">
        <f>IFERROR(INDEX('Hun Demand'!V:V,MATCH(O1161,'Hun Demand'!A:A,0)),"")</f>
        <v/>
      </c>
      <c r="C1161" s="25" t="str">
        <f>IFERROR(INDEX('Hun Demand'!U:U,MATCH(O1161,'Hun Demand'!A:A,0)),"")</f>
        <v/>
      </c>
      <c r="D1161" s="25" t="str">
        <f>IFERROR(INDEX('Hun Demand'!T:T,MATCH(O1161,'Hun Demand'!A:A,0)),"")</f>
        <v/>
      </c>
      <c r="E1161" s="25" t="str">
        <f>IFERROR(INDEX('Hun Demand'!S:S,MATCH(O1161,'Hun Demand'!A:A,0)),"")</f>
        <v/>
      </c>
      <c r="F1161" s="25" t="str">
        <f>IFERROR(INDEX('Hun Demand'!R:R,MATCH(O1161,'Hun Demand'!A:A,0)),"")</f>
        <v/>
      </c>
      <c r="G1161" s="25">
        <f>IFERROR(INDEX('Aub Demand'!W:W,MATCH(O1161,'Aub Demand'!A:A,0)),"")</f>
        <v>153</v>
      </c>
      <c r="H1161" s="25">
        <f>IFERROR(INDEX('Aub Demand'!V:V,MATCH(O1161,'Aub Demand'!A:A,0)),"")</f>
        <v>0</v>
      </c>
      <c r="I1161" s="25">
        <f>IFERROR(INDEX('Aub Demand'!U:U,MATCH(O1161,'Aub Demand'!A:A,0)),"")</f>
        <v>102</v>
      </c>
      <c r="J1161" s="25">
        <f>IFERROR(INDEX('Aub Demand'!T:T,MATCH(O1161,'Aub Demand'!A:A,0)),"")</f>
        <v>150</v>
      </c>
      <c r="K1161" s="25">
        <f>IFERROR(INDEX('Aub Demand'!S:S,MATCH(O1161,'Aub Demand'!A:A,0)),"")</f>
        <v>121</v>
      </c>
      <c r="L1161" s="25">
        <f>IFERROR(INDEX('Aub Demand'!R:R,MATCH(O1161,'Aub Demand'!A:A,0)),"")</f>
        <v>0</v>
      </c>
      <c r="O1161" s="27" t="s">
        <v>1518</v>
      </c>
      <c r="P1161" s="27" t="str">
        <f>IFERROR(INDEX('Aub Demand'!B:B,MATCH($O1161,'Aub Demand'!$A:$A,0)),"")</f>
        <v>SPRINGTIME</v>
      </c>
      <c r="Q1161" s="27" t="str">
        <f>IFERROR(INDEX('Aub Demand'!C:C,MATCH($O1161,'Aub Demand'!$A:$A,0)),"")</f>
        <v>ONYX</v>
      </c>
      <c r="R1161" s="52">
        <f>IFERROR(IF(AR1162=AR1161,INDEX('Aub Demand'!K:K,MATCH($O1161,'Aub Demand'!$A:$A,0))-IF(AN1161="",0,AN1161)+AP1162,INDEX('Aub Demand'!K:K,MATCH($O1161,'Aub Demand'!$A:$A,0))-IF(AN1161="",0,AN1161)),"")</f>
        <v>2030</v>
      </c>
      <c r="S1161" s="53">
        <f t="shared" si="504"/>
        <v>70.2</v>
      </c>
      <c r="T1161" s="52" t="str">
        <f t="shared" si="505"/>
        <v/>
      </c>
      <c r="U1161" s="52">
        <f>IFERROR(IF(AR1162=AR1161,INDEX('Aub Demand'!Q:Q,MATCH($O1161,'Aub Demand'!$A:$A,0))-IF(AN1161="",0,AN1161)+AP1162,INDEX('Aub Demand'!Q:Q,MATCH($O1161,'Aub Demand'!$A:$A,0))-IF(AN1161="",0,AN1161)),"")</f>
        <v>2030</v>
      </c>
      <c r="V1161" s="53">
        <f t="shared" si="506"/>
        <v>70.2</v>
      </c>
      <c r="W1161" s="52" t="str">
        <f t="shared" si="507"/>
        <v/>
      </c>
      <c r="X1161" s="52">
        <f>IFERROR(IF(AND(AR1162=AR1161,AM1161&lt;&gt;""),INDEX('Aub Demand'!Q:Q,MATCH($O1161,'Aub Demand'!$A:$A,0))-IF(AN1161="",0,AN1161)+AP1162+AD1161+AL1161,IF(AR1162=AR1161,INDEX('Aub Demand'!Q:Q,MATCH($O1161,'Aub Demand'!$A:$A,0))-IF(AN1161="",0,AN1161)+AP1162+AD1161,IF(AM1161&lt;&gt;"",INDEX('Aub Demand'!Q:Q,MATCH($O1161,'Aub Demand'!$A:$A,0))-IF(AN1161="",0,AN1161)+AD1161+AL1161,INDEX('Aub Demand'!Q:Q,MATCH($O1161,'Aub Demand'!$A:$A,0))-IF(AN1161="",0,AN1161)+AD1161))),"")</f>
        <v>2030</v>
      </c>
      <c r="Y1161" s="53">
        <f t="shared" si="508"/>
        <v>70.2</v>
      </c>
      <c r="Z1161" s="52">
        <f>IF(L1161="","",INDEX('Aub Demand'!H:H,MATCH($O1161,'Aub Demand'!$A:$A,0)))</f>
        <v>124</v>
      </c>
      <c r="AA1161" s="52">
        <f t="shared" si="509"/>
        <v>135.5</v>
      </c>
      <c r="AB1161" s="52">
        <f>IFERROR(INDEX('Aub Demand'!L:L,MATCH($O1161,'Aub Demand'!$A:$A,0)),"")</f>
        <v>209</v>
      </c>
      <c r="AC1161" s="52">
        <f>IFERROR(IF(O1161="","",SUMIFS('CPL Mats'!F:F,'CPL Mats'!Q:Q,AR1161,'CPL Mats'!S:S,AS1161)),"")</f>
        <v>0</v>
      </c>
      <c r="AF1161" s="25" t="str">
        <f>IF(SUMIFS('Supp Consol'!S:S,'Supp Consol'!Y:Y,"Releasable",'Supp Consol'!A:A,O1161)=0,"",SUMIFS('Supp Consol'!S:S,'Supp Consol'!Y:Y,"Releasable",'Supp Consol'!A:A,O1161))</f>
        <v/>
      </c>
      <c r="AG1161" s="25" t="str">
        <f>IFERROR(INDEX('Hun Demand'!Q:Q,MATCH(O1161,'Hun Demand'!A:A,0)),"")</f>
        <v/>
      </c>
      <c r="AH1161" s="25" t="str">
        <f>IFERROR(INDEX('Hun Demand'!H:H,MATCH($O1161,'Hun Demand'!$A:$A,0)),"")</f>
        <v/>
      </c>
      <c r="AI1161" s="25" t="str">
        <f>IF(SUMIFS('Supp Consol'!AA:AA,'Supp Consol'!Z:Z,"Expires this month",'Supp Consol'!A:A,O1161)=0,"",SUMIFS('Supp Consol'!AA:AA,'Supp Consol'!Z:Z,"Expires this month",'Supp Consol'!A:A,O1161))</f>
        <v/>
      </c>
      <c r="AJ1161" s="25" t="str">
        <f>IF(SUMIFS('Supp Consol'!AA:AA,'Supp Consol'!Z:Z,"Expired Previous Months",'Supp Consol'!A:A,O1161)=0,"",SUMIFS('Supp Consol'!AA:AA,'Supp Consol'!Z:Z,"Expired Previous Months",'Supp Consol'!A:A,O1161))</f>
        <v/>
      </c>
      <c r="AK1161" s="25" t="str">
        <f>IFERROR(INDEX('Hun Release Current'!B:B,MATCH(O1161,'Hun Release Current'!A:A,0)),"")</f>
        <v/>
      </c>
      <c r="AL1161" s="25" t="str">
        <f>IF(SUMIF('Prev Aub'!A:A,O1161,'Prev Aub'!B:B)=0,"",SUMIF('Prev Aub'!A:A,O1161,'Prev Aub'!B:B))</f>
        <v/>
      </c>
      <c r="AN1161" s="25" t="s">
        <v>3790</v>
      </c>
      <c r="AO1161" s="25" t="s">
        <v>3790</v>
      </c>
      <c r="AP1161" s="25">
        <f t="shared" si="510"/>
        <v>0</v>
      </c>
      <c r="AQ1161" s="151" t="str">
        <f>IF(SUMIFS('Supp Consol'!S:S,'Supp Consol'!A:A,O1161,'Supp Consol'!I:I,"PENDING")=0,"",SUMIFS('Supp Consol'!S:S,'Supp Consol'!A:A,O1161,'Supp Consol'!I:I,"PENDING"))</f>
        <v/>
      </c>
      <c r="AR1161" s="27" t="str">
        <f t="shared" si="511"/>
        <v>SV709</v>
      </c>
      <c r="AS1161" s="27" t="str">
        <f t="shared" si="512"/>
        <v>50</v>
      </c>
      <c r="AT1161" s="27" t="str">
        <f t="shared" si="513"/>
        <v/>
      </c>
      <c r="AU1161" s="27" t="str">
        <f t="shared" si="514"/>
        <v/>
      </c>
      <c r="AV1161" s="27" t="str">
        <f t="shared" si="515"/>
        <v/>
      </c>
      <c r="AW1161" s="27" t="str">
        <f t="shared" si="516"/>
        <v/>
      </c>
      <c r="AX1161" s="27" t="str">
        <f t="shared" si="517"/>
        <v/>
      </c>
      <c r="AY1161" s="27" t="str">
        <f t="shared" si="518"/>
        <v/>
      </c>
      <c r="AZ1161" s="27" t="str">
        <f t="shared" si="519"/>
        <v/>
      </c>
      <c r="BA1161" s="27" t="str">
        <f t="shared" si="520"/>
        <v>Hun</v>
      </c>
      <c r="BB1161" s="27" t="str">
        <f t="shared" si="521"/>
        <v/>
      </c>
      <c r="BC1161" s="27" t="str">
        <f t="shared" si="522"/>
        <v/>
      </c>
      <c r="BD1161" s="27" t="str">
        <f t="shared" si="523"/>
        <v/>
      </c>
      <c r="BE1161" s="27" t="str">
        <f t="shared" si="524"/>
        <v/>
      </c>
      <c r="BF1161" s="27" t="str">
        <f t="shared" si="525"/>
        <v/>
      </c>
      <c r="BG1161" s="27" t="str">
        <f t="shared" si="526"/>
        <v/>
      </c>
      <c r="BH1161" s="27" t="str">
        <f t="shared" si="527"/>
        <v/>
      </c>
      <c r="BI1161" s="27" t="str">
        <f t="shared" si="528"/>
        <v/>
      </c>
      <c r="BJ1161" s="27" t="str">
        <f t="shared" si="529"/>
        <v>Supp or Hun</v>
      </c>
      <c r="BK1161" s="27" t="str">
        <f t="shared" si="530"/>
        <v/>
      </c>
      <c r="BL1161" s="27" t="str">
        <f t="shared" si="531"/>
        <v/>
      </c>
      <c r="BM1161" s="21" t="s">
        <v>5581</v>
      </c>
    </row>
    <row r="1162" spans="1:65" ht="15">
      <c r="A1162" s="25">
        <f>IFERROR(INDEX('Hun Demand'!W:W,MATCH(O1162,'Hun Demand'!A:A,0)),"")</f>
        <v>0</v>
      </c>
      <c r="B1162" s="25">
        <f>IFERROR(INDEX('Hun Demand'!V:V,MATCH(O1162,'Hun Demand'!A:A,0)),"")</f>
        <v>0</v>
      </c>
      <c r="C1162" s="25">
        <f>IFERROR(INDEX('Hun Demand'!U:U,MATCH(O1162,'Hun Demand'!A:A,0)),"")</f>
        <v>0</v>
      </c>
      <c r="D1162" s="25">
        <f>IFERROR(INDEX('Hun Demand'!T:T,MATCH(O1162,'Hun Demand'!A:A,0)),"")</f>
        <v>0</v>
      </c>
      <c r="E1162" s="25">
        <f>IFERROR(INDEX('Hun Demand'!S:S,MATCH(O1162,'Hun Demand'!A:A,0)),"")</f>
        <v>0</v>
      </c>
      <c r="F1162" s="25">
        <f>IFERROR(INDEX('Hun Demand'!R:R,MATCH(O1162,'Hun Demand'!A:A,0)),"")</f>
        <v>0</v>
      </c>
      <c r="G1162" s="25">
        <f>IFERROR(INDEX('Aub Demand'!W:W,MATCH(O1162,'Aub Demand'!A:A,0)),"")</f>
        <v>247</v>
      </c>
      <c r="H1162" s="25">
        <f>IFERROR(INDEX('Aub Demand'!V:V,MATCH(O1162,'Aub Demand'!A:A,0)),"")</f>
        <v>45</v>
      </c>
      <c r="I1162" s="25">
        <f>IFERROR(INDEX('Aub Demand'!U:U,MATCH(O1162,'Aub Demand'!A:A,0)),"")</f>
        <v>0</v>
      </c>
      <c r="J1162" s="25">
        <f>IFERROR(INDEX('Aub Demand'!T:T,MATCH(O1162,'Aub Demand'!A:A,0)),"")</f>
        <v>0</v>
      </c>
      <c r="K1162" s="25">
        <f>IFERROR(INDEX('Aub Demand'!S:S,MATCH(O1162,'Aub Demand'!A:A,0)),"")</f>
        <v>36</v>
      </c>
      <c r="L1162" s="25">
        <f>IFERROR(INDEX('Aub Demand'!R:R,MATCH(O1162,'Aub Demand'!A:A,0)),"")</f>
        <v>0</v>
      </c>
      <c r="O1162" s="27" t="s">
        <v>1521</v>
      </c>
      <c r="P1162" s="27" t="str">
        <f>IFERROR(INDEX('Aub Demand'!B:B,MATCH($O1162,'Aub Demand'!$A:$A,0)),"")</f>
        <v>SPRINGTIME</v>
      </c>
      <c r="Q1162" s="27" t="str">
        <f>IFERROR(INDEX('Aub Demand'!C:C,MATCH($O1162,'Aub Demand'!$A:$A,0)),"")</f>
        <v>ONYX</v>
      </c>
      <c r="R1162" s="52">
        <f>IFERROR(IF(AR1163=AR1162,INDEX('Aub Demand'!K:K,MATCH($O1162,'Aub Demand'!$A:$A,0))-IF(AN1162="",0,AN1162)+AP1163,INDEX('Aub Demand'!K:K,MATCH($O1162,'Aub Demand'!$A:$A,0))-IF(AN1162="",0,AN1162)),"")</f>
        <v>1846</v>
      </c>
      <c r="S1162" s="53">
        <f t="shared" si="504"/>
        <v>659.3</v>
      </c>
      <c r="T1162" s="52" t="str">
        <f t="shared" si="505"/>
        <v/>
      </c>
      <c r="U1162" s="52">
        <f>IFERROR(IF(AR1163=AR1162,INDEX('Aub Demand'!Q:Q,MATCH($O1162,'Aub Demand'!$A:$A,0))-IF(AN1162="",0,AN1162)+AP1163,INDEX('Aub Demand'!Q:Q,MATCH($O1162,'Aub Demand'!$A:$A,0))-IF(AN1162="",0,AN1162)),"")</f>
        <v>1834</v>
      </c>
      <c r="V1162" s="53">
        <f t="shared" si="506"/>
        <v>655</v>
      </c>
      <c r="W1162" s="52" t="str">
        <f t="shared" si="507"/>
        <v/>
      </c>
      <c r="X1162" s="52">
        <f>IFERROR(IF(AND(AR1163=AR1162,AM1162&lt;&gt;""),INDEX('Aub Demand'!Q:Q,MATCH($O1162,'Aub Demand'!$A:$A,0))-IF(AN1162="",0,AN1162)+AP1163+AD1162+AL1162,IF(AR1163=AR1162,INDEX('Aub Demand'!Q:Q,MATCH($O1162,'Aub Demand'!$A:$A,0))-IF(AN1162="",0,AN1162)+AP1163+AD1162,IF(AM1162&lt;&gt;"",INDEX('Aub Demand'!Q:Q,MATCH($O1162,'Aub Demand'!$A:$A,0))-IF(AN1162="",0,AN1162)+AD1162+AL1162,INDEX('Aub Demand'!Q:Q,MATCH($O1162,'Aub Demand'!$A:$A,0))-IF(AN1162="",0,AN1162)+AD1162))),"")</f>
        <v>1834</v>
      </c>
      <c r="Y1162" s="53">
        <f t="shared" si="508"/>
        <v>655</v>
      </c>
      <c r="Z1162" s="52">
        <f>IF(L1162="","",INDEX('Aub Demand'!H:H,MATCH($O1162,'Aub Demand'!$A:$A,0)))</f>
        <v>12</v>
      </c>
      <c r="AA1162" s="52" t="str">
        <f t="shared" si="509"/>
        <v>-spike-</v>
      </c>
      <c r="AB1162" s="52">
        <f>IFERROR(INDEX('Aub Demand'!L:L,MATCH($O1162,'Aub Demand'!$A:$A,0)),"")</f>
        <v>0</v>
      </c>
      <c r="AC1162" s="52">
        <f>IFERROR(IF(O1162="","",SUMIFS('CPL Mats'!F:F,'CPL Mats'!Q:Q,AR1162,'CPL Mats'!S:S,AS1162)),"")</f>
        <v>0</v>
      </c>
      <c r="AF1162" s="25" t="str">
        <f>IF(SUMIFS('Supp Consol'!S:S,'Supp Consol'!Y:Y,"Releasable",'Supp Consol'!A:A,O1162)=0,"",SUMIFS('Supp Consol'!S:S,'Supp Consol'!Y:Y,"Releasable",'Supp Consol'!A:A,O1162))</f>
        <v/>
      </c>
      <c r="AG1162" s="25">
        <f>IFERROR(INDEX('Hun Demand'!Q:Q,MATCH(O1162,'Hun Demand'!A:A,0)),"")</f>
        <v>256</v>
      </c>
      <c r="AH1162" s="25">
        <f>IFERROR(INDEX('Hun Demand'!H:H,MATCH($O1162,'Hun Demand'!$A:$A,0)),"")</f>
        <v>0</v>
      </c>
      <c r="AI1162" s="25" t="str">
        <f>IF(SUMIFS('Supp Consol'!AA:AA,'Supp Consol'!Z:Z,"Expires this month",'Supp Consol'!A:A,O1162)=0,"",SUMIFS('Supp Consol'!AA:AA,'Supp Consol'!Z:Z,"Expires this month",'Supp Consol'!A:A,O1162))</f>
        <v/>
      </c>
      <c r="AJ1162" s="25" t="str">
        <f>IF(SUMIFS('Supp Consol'!AA:AA,'Supp Consol'!Z:Z,"Expired Previous Months",'Supp Consol'!A:A,O1162)=0,"",SUMIFS('Supp Consol'!AA:AA,'Supp Consol'!Z:Z,"Expired Previous Months",'Supp Consol'!A:A,O1162))</f>
        <v/>
      </c>
      <c r="AK1162" s="25" t="str">
        <f>IFERROR(INDEX('Hun Release Current'!B:B,MATCH(O1162,'Hun Release Current'!A:A,0)),"")</f>
        <v/>
      </c>
      <c r="AL1162" s="25" t="str">
        <f>IF(SUMIF('Prev Aub'!A:A,O1162,'Prev Aub'!B:B)=0,"",SUMIF('Prev Aub'!A:A,O1162,'Prev Aub'!B:B))</f>
        <v/>
      </c>
      <c r="AN1162" s="25" t="s">
        <v>3790</v>
      </c>
      <c r="AO1162" s="25" t="s">
        <v>3790</v>
      </c>
      <c r="AP1162" s="25">
        <f t="shared" si="510"/>
        <v>0</v>
      </c>
      <c r="AQ1162" s="151" t="str">
        <f>IF(SUMIFS('Supp Consol'!S:S,'Supp Consol'!A:A,O1162,'Supp Consol'!I:I,"PENDING")=0,"",SUMIFS('Supp Consol'!S:S,'Supp Consol'!A:A,O1162,'Supp Consol'!I:I,"PENDING"))</f>
        <v/>
      </c>
      <c r="AR1162" s="27" t="str">
        <f t="shared" si="511"/>
        <v>SV709</v>
      </c>
      <c r="AS1162" s="27" t="str">
        <f t="shared" si="512"/>
        <v>62</v>
      </c>
      <c r="AT1162" s="27" t="str">
        <f t="shared" si="513"/>
        <v/>
      </c>
      <c r="AU1162" s="27" t="str">
        <f t="shared" si="514"/>
        <v/>
      </c>
      <c r="AV1162" s="27" t="str">
        <f t="shared" si="515"/>
        <v/>
      </c>
      <c r="AW1162" s="27" t="str">
        <f t="shared" si="516"/>
        <v/>
      </c>
      <c r="AX1162" s="27" t="str">
        <f t="shared" si="517"/>
        <v/>
      </c>
      <c r="AY1162" s="27" t="str">
        <f t="shared" si="518"/>
        <v>SV709</v>
      </c>
      <c r="AZ1162" s="27" t="str">
        <f t="shared" si="519"/>
        <v/>
      </c>
      <c r="BA1162" s="27" t="str">
        <f t="shared" si="520"/>
        <v>Hun</v>
      </c>
      <c r="BB1162" s="27" t="str">
        <f t="shared" si="521"/>
        <v/>
      </c>
      <c r="BC1162" s="27" t="str">
        <f t="shared" si="522"/>
        <v/>
      </c>
      <c r="BD1162" s="27" t="str">
        <f t="shared" si="523"/>
        <v/>
      </c>
      <c r="BE1162" s="27" t="str">
        <f t="shared" si="524"/>
        <v/>
      </c>
      <c r="BF1162" s="27" t="str">
        <f t="shared" si="525"/>
        <v/>
      </c>
      <c r="BG1162" s="27" t="str">
        <f t="shared" si="526"/>
        <v/>
      </c>
      <c r="BH1162" s="27" t="str">
        <f t="shared" si="527"/>
        <v/>
      </c>
      <c r="BI1162" s="27" t="str">
        <f t="shared" si="528"/>
        <v/>
      </c>
      <c r="BJ1162" s="27" t="str">
        <f t="shared" si="529"/>
        <v>Supp or Hun</v>
      </c>
      <c r="BK1162" s="27" t="str">
        <f t="shared" si="530"/>
        <v/>
      </c>
      <c r="BL1162" s="27" t="str">
        <f t="shared" si="531"/>
        <v/>
      </c>
      <c r="BM1162" s="21" t="s">
        <v>5581</v>
      </c>
    </row>
    <row r="1163" spans="1:65" ht="15">
      <c r="A1163" s="25" t="str">
        <f>IFERROR(INDEX('Hun Demand'!W:W,MATCH(O1163,'Hun Demand'!A:A,0)),"")</f>
        <v/>
      </c>
      <c r="B1163" s="25" t="str">
        <f>IFERROR(INDEX('Hun Demand'!V:V,MATCH(O1163,'Hun Demand'!A:A,0)),"")</f>
        <v/>
      </c>
      <c r="C1163" s="25" t="str">
        <f>IFERROR(INDEX('Hun Demand'!U:U,MATCH(O1163,'Hun Demand'!A:A,0)),"")</f>
        <v/>
      </c>
      <c r="D1163" s="25" t="str">
        <f>IFERROR(INDEX('Hun Demand'!T:T,MATCH(O1163,'Hun Demand'!A:A,0)),"")</f>
        <v/>
      </c>
      <c r="E1163" s="25" t="str">
        <f>IFERROR(INDEX('Hun Demand'!S:S,MATCH(O1163,'Hun Demand'!A:A,0)),"")</f>
        <v/>
      </c>
      <c r="F1163" s="25" t="str">
        <f>IFERROR(INDEX('Hun Demand'!R:R,MATCH(O1163,'Hun Demand'!A:A,0)),"")</f>
        <v/>
      </c>
      <c r="G1163" s="25">
        <f>IFERROR(INDEX('Aub Demand'!W:W,MATCH(O1163,'Aub Demand'!A:A,0)),"")</f>
        <v>123</v>
      </c>
      <c r="H1163" s="25">
        <f>IFERROR(INDEX('Aub Demand'!V:V,MATCH(O1163,'Aub Demand'!A:A,0)),"")</f>
        <v>0</v>
      </c>
      <c r="I1163" s="25">
        <f>IFERROR(INDEX('Aub Demand'!U:U,MATCH(O1163,'Aub Demand'!A:A,0)),"")</f>
        <v>177</v>
      </c>
      <c r="J1163" s="25">
        <f>IFERROR(INDEX('Aub Demand'!T:T,MATCH(O1163,'Aub Demand'!A:A,0)),"")</f>
        <v>70</v>
      </c>
      <c r="K1163" s="25">
        <f>IFERROR(INDEX('Aub Demand'!S:S,MATCH(O1163,'Aub Demand'!A:A,0)),"")</f>
        <v>805</v>
      </c>
      <c r="L1163" s="25">
        <f>IFERROR(INDEX('Aub Demand'!R:R,MATCH(O1163,'Aub Demand'!A:A,0)),"")</f>
        <v>0</v>
      </c>
      <c r="O1163" s="27" t="s">
        <v>1522</v>
      </c>
      <c r="P1163" s="27" t="str">
        <f>IFERROR(INDEX('Aub Demand'!B:B,MATCH($O1163,'Aub Demand'!$A:$A,0)),"")</f>
        <v>SURFIN' USA</v>
      </c>
      <c r="Q1163" s="27" t="str">
        <f>IFERROR(INDEX('Aub Demand'!C:C,MATCH($O1163,'Aub Demand'!$A:$A,0)),"")</f>
        <v>ONYX</v>
      </c>
      <c r="R1163" s="52">
        <f>IFERROR(IF(AR1164=AR1163,INDEX('Aub Demand'!K:K,MATCH($O1163,'Aub Demand'!$A:$A,0))-IF(AN1163="",0,AN1163)+AP1164,INDEX('Aub Demand'!K:K,MATCH($O1163,'Aub Demand'!$A:$A,0))-IF(AN1163="",0,AN1163)),"")</f>
        <v>550</v>
      </c>
      <c r="S1163" s="53">
        <f t="shared" si="504"/>
        <v>6.7</v>
      </c>
      <c r="T1163" s="52" t="str">
        <f t="shared" si="505"/>
        <v/>
      </c>
      <c r="U1163" s="52">
        <f>IFERROR(IF(AR1164=AR1163,INDEX('Aub Demand'!Q:Q,MATCH($O1163,'Aub Demand'!$A:$A,0))-IF(AN1163="",0,AN1163)+AP1164,INDEX('Aub Demand'!Q:Q,MATCH($O1163,'Aub Demand'!$A:$A,0))-IF(AN1163="",0,AN1163)),"")</f>
        <v>490</v>
      </c>
      <c r="V1163" s="53">
        <f t="shared" si="506"/>
        <v>6</v>
      </c>
      <c r="W1163" s="52" t="str">
        <f t="shared" si="507"/>
        <v/>
      </c>
      <c r="X1163" s="52">
        <f>IFERROR(IF(AND(AR1164=AR1163,AM1163&lt;&gt;""),INDEX('Aub Demand'!Q:Q,MATCH($O1163,'Aub Demand'!$A:$A,0))-IF(AN1163="",0,AN1163)+AP1164+AD1163+AL1163,IF(AR1164=AR1163,INDEX('Aub Demand'!Q:Q,MATCH($O1163,'Aub Demand'!$A:$A,0))-IF(AN1163="",0,AN1163)+AP1164+AD1163,IF(AM1163&lt;&gt;"",INDEX('Aub Demand'!Q:Q,MATCH($O1163,'Aub Demand'!$A:$A,0))-IF(AN1163="",0,AN1163)+AD1163+AL1163,INDEX('Aub Demand'!Q:Q,MATCH($O1163,'Aub Demand'!$A:$A,0))-IF(AN1163="",0,AN1163)+AD1163))),"")</f>
        <v>490</v>
      </c>
      <c r="Y1163" s="53">
        <f t="shared" si="508"/>
        <v>6</v>
      </c>
      <c r="Z1163" s="52">
        <f>IF(L1163="","",INDEX('Aub Demand'!H:H,MATCH($O1163,'Aub Demand'!$A:$A,0)))</f>
        <v>351</v>
      </c>
      <c r="AA1163" s="52">
        <f t="shared" si="509"/>
        <v>491</v>
      </c>
      <c r="AB1163" s="52">
        <f>IFERROR(INDEX('Aub Demand'!L:L,MATCH($O1163,'Aub Demand'!$A:$A,0)),"")</f>
        <v>554</v>
      </c>
      <c r="AC1163" s="52">
        <f>IFERROR(IF(O1163="","",SUMIFS('CPL Mats'!F:F,'CPL Mats'!Q:Q,AR1163,'CPL Mats'!S:S,AS1163)),"")</f>
        <v>0</v>
      </c>
      <c r="AF1163" s="25" t="str">
        <f>IF(SUMIFS('Supp Consol'!S:S,'Supp Consol'!Y:Y,"Releasable",'Supp Consol'!A:A,O1163)=0,"",SUMIFS('Supp Consol'!S:S,'Supp Consol'!Y:Y,"Releasable",'Supp Consol'!A:A,O1163))</f>
        <v/>
      </c>
      <c r="AG1163" s="25" t="str">
        <f>IFERROR(INDEX('Hun Demand'!Q:Q,MATCH(O1163,'Hun Demand'!A:A,0)),"")</f>
        <v/>
      </c>
      <c r="AH1163" s="25" t="str">
        <f>IFERROR(INDEX('Hun Demand'!H:H,MATCH($O1163,'Hun Demand'!$A:$A,0)),"")</f>
        <v/>
      </c>
      <c r="AI1163" s="25" t="str">
        <f>IF(SUMIFS('Supp Consol'!AA:AA,'Supp Consol'!Z:Z,"Expires this month",'Supp Consol'!A:A,O1163)=0,"",SUMIFS('Supp Consol'!AA:AA,'Supp Consol'!Z:Z,"Expires this month",'Supp Consol'!A:A,O1163))</f>
        <v/>
      </c>
      <c r="AJ1163" s="25" t="str">
        <f>IF(SUMIFS('Supp Consol'!AA:AA,'Supp Consol'!Z:Z,"Expired Previous Months",'Supp Consol'!A:A,O1163)=0,"",SUMIFS('Supp Consol'!AA:AA,'Supp Consol'!Z:Z,"Expired Previous Months",'Supp Consol'!A:A,O1163))</f>
        <v/>
      </c>
      <c r="AK1163" s="25" t="str">
        <f>IFERROR(INDEX('Hun Release Current'!B:B,MATCH(O1163,'Hun Release Current'!A:A,0)),"")</f>
        <v/>
      </c>
      <c r="AL1163" s="25" t="str">
        <f>IF(SUMIF('Prev Aub'!A:A,O1163,'Prev Aub'!B:B)=0,"",SUMIF('Prev Aub'!A:A,O1163,'Prev Aub'!B:B))</f>
        <v/>
      </c>
      <c r="AN1163" s="25" t="s">
        <v>3790</v>
      </c>
      <c r="AO1163" s="25" t="s">
        <v>3790</v>
      </c>
      <c r="AP1163" s="25">
        <f t="shared" si="510"/>
        <v>0</v>
      </c>
      <c r="AQ1163" s="151" t="str">
        <f>IF(SUMIFS('Supp Consol'!S:S,'Supp Consol'!A:A,O1163,'Supp Consol'!I:I,"PENDING")=0,"",SUMIFS('Supp Consol'!S:S,'Supp Consol'!A:A,O1163,'Supp Consol'!I:I,"PENDING"))</f>
        <v/>
      </c>
      <c r="AR1163" s="27" t="str">
        <f t="shared" si="511"/>
        <v>SV713</v>
      </c>
      <c r="AS1163" s="27" t="str">
        <f t="shared" si="512"/>
        <v>50</v>
      </c>
      <c r="AT1163" s="27" t="str">
        <f t="shared" si="513"/>
        <v/>
      </c>
      <c r="AU1163" s="27" t="str">
        <f t="shared" si="514"/>
        <v/>
      </c>
      <c r="AV1163" s="27" t="str">
        <f t="shared" si="515"/>
        <v/>
      </c>
      <c r="AW1163" s="27" t="str">
        <f t="shared" si="516"/>
        <v/>
      </c>
      <c r="AX1163" s="27" t="str">
        <f t="shared" si="517"/>
        <v/>
      </c>
      <c r="AY1163" s="27" t="str">
        <f t="shared" si="518"/>
        <v/>
      </c>
      <c r="AZ1163" s="27" t="str">
        <f t="shared" si="519"/>
        <v/>
      </c>
      <c r="BA1163" s="27" t="str">
        <f t="shared" si="520"/>
        <v>Hun</v>
      </c>
      <c r="BB1163" s="27" t="str">
        <f t="shared" si="521"/>
        <v/>
      </c>
      <c r="BC1163" s="27" t="str">
        <f t="shared" si="522"/>
        <v/>
      </c>
      <c r="BD1163" s="27" t="str">
        <f t="shared" si="523"/>
        <v/>
      </c>
      <c r="BE1163" s="27" t="str">
        <f t="shared" si="524"/>
        <v/>
      </c>
      <c r="BF1163" s="27" t="str">
        <f t="shared" si="525"/>
        <v/>
      </c>
      <c r="BG1163" s="27" t="str">
        <f t="shared" si="526"/>
        <v/>
      </c>
      <c r="BH1163" s="27" t="str">
        <f t="shared" si="527"/>
        <v/>
      </c>
      <c r="BI1163" s="27" t="str">
        <f t="shared" si="528"/>
        <v/>
      </c>
      <c r="BJ1163" s="27" t="str">
        <f t="shared" si="529"/>
        <v>Supp or Hun</v>
      </c>
      <c r="BK1163" s="27" t="str">
        <f t="shared" si="530"/>
        <v/>
      </c>
      <c r="BL1163" s="27" t="str">
        <f t="shared" si="531"/>
        <v/>
      </c>
      <c r="BM1163" s="21" t="s">
        <v>5581</v>
      </c>
    </row>
    <row r="1164" spans="1:65" ht="15">
      <c r="A1164" s="25">
        <f>IFERROR(INDEX('Hun Demand'!W:W,MATCH(O1164,'Hun Demand'!A:A,0)),"")</f>
        <v>0</v>
      </c>
      <c r="B1164" s="25">
        <f>IFERROR(INDEX('Hun Demand'!V:V,MATCH(O1164,'Hun Demand'!A:A,0)),"")</f>
        <v>0</v>
      </c>
      <c r="C1164" s="25">
        <f>IFERROR(INDEX('Hun Demand'!U:U,MATCH(O1164,'Hun Demand'!A:A,0)),"")</f>
        <v>0</v>
      </c>
      <c r="D1164" s="25">
        <f>IFERROR(INDEX('Hun Demand'!T:T,MATCH(O1164,'Hun Demand'!A:A,0)),"")</f>
        <v>0</v>
      </c>
      <c r="E1164" s="25">
        <f>IFERROR(INDEX('Hun Demand'!S:S,MATCH(O1164,'Hun Demand'!A:A,0)),"")</f>
        <v>0</v>
      </c>
      <c r="F1164" s="25">
        <f>IFERROR(INDEX('Hun Demand'!R:R,MATCH(O1164,'Hun Demand'!A:A,0)),"")</f>
        <v>0</v>
      </c>
      <c r="G1164" s="25">
        <f>IFERROR(INDEX('Aub Demand'!W:W,MATCH(O1164,'Aub Demand'!A:A,0)),"")</f>
        <v>0</v>
      </c>
      <c r="H1164" s="25">
        <f>IFERROR(INDEX('Aub Demand'!V:V,MATCH(O1164,'Aub Demand'!A:A,0)),"")</f>
        <v>21</v>
      </c>
      <c r="I1164" s="25">
        <f>IFERROR(INDEX('Aub Demand'!U:U,MATCH(O1164,'Aub Demand'!A:A,0)),"")</f>
        <v>11</v>
      </c>
      <c r="J1164" s="25">
        <f>IFERROR(INDEX('Aub Demand'!T:T,MATCH(O1164,'Aub Demand'!A:A,0)),"")</f>
        <v>0</v>
      </c>
      <c r="K1164" s="25">
        <f>IFERROR(INDEX('Aub Demand'!S:S,MATCH(O1164,'Aub Demand'!A:A,0)),"")</f>
        <v>27</v>
      </c>
      <c r="L1164" s="25">
        <f>IFERROR(INDEX('Aub Demand'!R:R,MATCH(O1164,'Aub Demand'!A:A,0)),"")</f>
        <v>0</v>
      </c>
      <c r="O1164" s="27" t="s">
        <v>1524</v>
      </c>
      <c r="P1164" s="27" t="str">
        <f>IFERROR(INDEX('Aub Demand'!B:B,MATCH($O1164,'Aub Demand'!$A:$A,0)),"")</f>
        <v>SURFIN' USA</v>
      </c>
      <c r="Q1164" s="27" t="str">
        <f>IFERROR(INDEX('Aub Demand'!C:C,MATCH($O1164,'Aub Demand'!$A:$A,0)),"")</f>
        <v>ONYX</v>
      </c>
      <c r="R1164" s="52">
        <f>IFERROR(IF(AR1165=AR1164,INDEX('Aub Demand'!K:K,MATCH($O1164,'Aub Demand'!$A:$A,0))-IF(AN1164="",0,AN1164)+AP1165,INDEX('Aub Demand'!K:K,MATCH($O1164,'Aub Demand'!$A:$A,0))-IF(AN1164="",0,AN1164)),"")</f>
        <v>1391</v>
      </c>
      <c r="S1164" s="53">
        <f t="shared" si="504"/>
        <v>458.6</v>
      </c>
      <c r="T1164" s="52" t="str">
        <f t="shared" si="505"/>
        <v/>
      </c>
      <c r="U1164" s="52">
        <f>IFERROR(IF(AR1165=AR1164,INDEX('Aub Demand'!Q:Q,MATCH($O1164,'Aub Demand'!$A:$A,0))-IF(AN1164="",0,AN1164)+AP1165,INDEX('Aub Demand'!Q:Q,MATCH($O1164,'Aub Demand'!$A:$A,0))-IF(AN1164="",0,AN1164)),"")</f>
        <v>1369</v>
      </c>
      <c r="V1164" s="53">
        <f t="shared" si="506"/>
        <v>451.3</v>
      </c>
      <c r="W1164" s="52" t="str">
        <f t="shared" si="507"/>
        <v/>
      </c>
      <c r="X1164" s="52">
        <f>IFERROR(IF(AND(AR1165=AR1164,AM1164&lt;&gt;""),INDEX('Aub Demand'!Q:Q,MATCH($O1164,'Aub Demand'!$A:$A,0))-IF(AN1164="",0,AN1164)+AP1165+AD1164+AL1164,IF(AR1165=AR1164,INDEX('Aub Demand'!Q:Q,MATCH($O1164,'Aub Demand'!$A:$A,0))-IF(AN1164="",0,AN1164)+AP1165+AD1164,IF(AM1164&lt;&gt;"",INDEX('Aub Demand'!Q:Q,MATCH($O1164,'Aub Demand'!$A:$A,0))-IF(AN1164="",0,AN1164)+AD1164+AL1164,INDEX('Aub Demand'!Q:Q,MATCH($O1164,'Aub Demand'!$A:$A,0))-IF(AN1164="",0,AN1164)+AD1164))),"")</f>
        <v>1369</v>
      </c>
      <c r="Y1164" s="53">
        <f t="shared" si="508"/>
        <v>451.3</v>
      </c>
      <c r="Z1164" s="52">
        <f>IF(L1164="","",INDEX('Aub Demand'!H:H,MATCH($O1164,'Aub Demand'!$A:$A,0)))</f>
        <v>13</v>
      </c>
      <c r="AA1164" s="52">
        <f t="shared" si="509"/>
        <v>19</v>
      </c>
      <c r="AB1164" s="52">
        <f>IFERROR(INDEX('Aub Demand'!L:L,MATCH($O1164,'Aub Demand'!$A:$A,0)),"")</f>
        <v>32</v>
      </c>
      <c r="AC1164" s="52">
        <f>IFERROR(IF(O1164="","",SUMIFS('CPL Mats'!F:F,'CPL Mats'!Q:Q,AR1164,'CPL Mats'!S:S,AS1164)),"")</f>
        <v>0</v>
      </c>
      <c r="AF1164" s="25" t="str">
        <f>IF(SUMIFS('Supp Consol'!S:S,'Supp Consol'!Y:Y,"Releasable",'Supp Consol'!A:A,O1164)=0,"",SUMIFS('Supp Consol'!S:S,'Supp Consol'!Y:Y,"Releasable",'Supp Consol'!A:A,O1164))</f>
        <v/>
      </c>
      <c r="AG1164" s="25">
        <f>IFERROR(INDEX('Hun Demand'!Q:Q,MATCH(O1164,'Hun Demand'!A:A,0)),"")</f>
        <v>211</v>
      </c>
      <c r="AH1164" s="25">
        <f>IFERROR(INDEX('Hun Demand'!H:H,MATCH($O1164,'Hun Demand'!$A:$A,0)),"")</f>
        <v>0</v>
      </c>
      <c r="AI1164" s="25" t="str">
        <f>IF(SUMIFS('Supp Consol'!AA:AA,'Supp Consol'!Z:Z,"Expires this month",'Supp Consol'!A:A,O1164)=0,"",SUMIFS('Supp Consol'!AA:AA,'Supp Consol'!Z:Z,"Expires this month",'Supp Consol'!A:A,O1164))</f>
        <v/>
      </c>
      <c r="AJ1164" s="25" t="str">
        <f>IF(SUMIFS('Supp Consol'!AA:AA,'Supp Consol'!Z:Z,"Expired Previous Months",'Supp Consol'!A:A,O1164)=0,"",SUMIFS('Supp Consol'!AA:AA,'Supp Consol'!Z:Z,"Expired Previous Months",'Supp Consol'!A:A,O1164))</f>
        <v/>
      </c>
      <c r="AK1164" s="25" t="str">
        <f>IFERROR(INDEX('Hun Release Current'!B:B,MATCH(O1164,'Hun Release Current'!A:A,0)),"")</f>
        <v/>
      </c>
      <c r="AL1164" s="25" t="str">
        <f>IF(SUMIF('Prev Aub'!A:A,O1164,'Prev Aub'!B:B)=0,"",SUMIF('Prev Aub'!A:A,O1164,'Prev Aub'!B:B))</f>
        <v/>
      </c>
      <c r="AN1164" s="25" t="s">
        <v>3790</v>
      </c>
      <c r="AO1164" s="25" t="s">
        <v>3790</v>
      </c>
      <c r="AP1164" s="25">
        <f t="shared" si="510"/>
        <v>0</v>
      </c>
      <c r="AQ1164" s="151" t="str">
        <f>IF(SUMIFS('Supp Consol'!S:S,'Supp Consol'!A:A,O1164,'Supp Consol'!I:I,"PENDING")=0,"",SUMIFS('Supp Consol'!S:S,'Supp Consol'!A:A,O1164,'Supp Consol'!I:I,"PENDING"))</f>
        <v/>
      </c>
      <c r="AR1164" s="27" t="str">
        <f t="shared" si="511"/>
        <v>SV713</v>
      </c>
      <c r="AS1164" s="27" t="str">
        <f t="shared" si="512"/>
        <v>62</v>
      </c>
      <c r="AT1164" s="27" t="str">
        <f t="shared" si="513"/>
        <v/>
      </c>
      <c r="AU1164" s="27" t="str">
        <f t="shared" si="514"/>
        <v/>
      </c>
      <c r="AV1164" s="27" t="str">
        <f t="shared" si="515"/>
        <v/>
      </c>
      <c r="AW1164" s="27" t="str">
        <f t="shared" si="516"/>
        <v/>
      </c>
      <c r="AX1164" s="27" t="str">
        <f t="shared" si="517"/>
        <v/>
      </c>
      <c r="AY1164" s="27" t="str">
        <f t="shared" si="518"/>
        <v>SV713</v>
      </c>
      <c r="AZ1164" s="27" t="str">
        <f t="shared" si="519"/>
        <v/>
      </c>
      <c r="BA1164" s="27" t="str">
        <f t="shared" si="520"/>
        <v>Hun</v>
      </c>
      <c r="BB1164" s="27" t="str">
        <f t="shared" si="521"/>
        <v/>
      </c>
      <c r="BC1164" s="27" t="str">
        <f t="shared" si="522"/>
        <v/>
      </c>
      <c r="BD1164" s="27" t="str">
        <f t="shared" si="523"/>
        <v/>
      </c>
      <c r="BE1164" s="27" t="str">
        <f t="shared" si="524"/>
        <v/>
      </c>
      <c r="BF1164" s="27" t="str">
        <f t="shared" si="525"/>
        <v/>
      </c>
      <c r="BG1164" s="27" t="str">
        <f t="shared" si="526"/>
        <v/>
      </c>
      <c r="BH1164" s="27" t="str">
        <f t="shared" si="527"/>
        <v/>
      </c>
      <c r="BI1164" s="27" t="str">
        <f t="shared" si="528"/>
        <v/>
      </c>
      <c r="BJ1164" s="27" t="str">
        <f t="shared" si="529"/>
        <v>Supp or Hun</v>
      </c>
      <c r="BK1164" s="27" t="str">
        <f t="shared" si="530"/>
        <v/>
      </c>
      <c r="BL1164" s="27" t="str">
        <f t="shared" si="531"/>
        <v/>
      </c>
      <c r="BM1164" s="21" t="s">
        <v>5581</v>
      </c>
    </row>
    <row r="1165" spans="1:65" ht="15">
      <c r="A1165" s="25">
        <f>IFERROR(INDEX('Hun Demand'!W:W,MATCH(O1165,'Hun Demand'!A:A,0)),"")</f>
        <v>0</v>
      </c>
      <c r="B1165" s="25">
        <f>IFERROR(INDEX('Hun Demand'!V:V,MATCH(O1165,'Hun Demand'!A:A,0)),"")</f>
        <v>0</v>
      </c>
      <c r="C1165" s="25">
        <f>IFERROR(INDEX('Hun Demand'!U:U,MATCH(O1165,'Hun Demand'!A:A,0)),"")</f>
        <v>0</v>
      </c>
      <c r="D1165" s="25">
        <f>IFERROR(INDEX('Hun Demand'!T:T,MATCH(O1165,'Hun Demand'!A:A,0)),"")</f>
        <v>0</v>
      </c>
      <c r="E1165" s="25">
        <f>IFERROR(INDEX('Hun Demand'!S:S,MATCH(O1165,'Hun Demand'!A:A,0)),"")</f>
        <v>0</v>
      </c>
      <c r="F1165" s="25">
        <f>IFERROR(INDEX('Hun Demand'!R:R,MATCH(O1165,'Hun Demand'!A:A,0)),"")</f>
        <v>0</v>
      </c>
      <c r="G1165" s="25">
        <f>IFERROR(INDEX('Aub Demand'!W:W,MATCH(O1165,'Aub Demand'!A:A,0)),"")</f>
        <v>73</v>
      </c>
      <c r="H1165" s="25">
        <f>IFERROR(INDEX('Aub Demand'!V:V,MATCH(O1165,'Aub Demand'!A:A,0)),"")</f>
        <v>0</v>
      </c>
      <c r="I1165" s="25">
        <f>IFERROR(INDEX('Aub Demand'!U:U,MATCH(O1165,'Aub Demand'!A:A,0)),"")</f>
        <v>0</v>
      </c>
      <c r="J1165" s="25">
        <f>IFERROR(INDEX('Aub Demand'!T:T,MATCH(O1165,'Aub Demand'!A:A,0)),"")</f>
        <v>0</v>
      </c>
      <c r="K1165" s="25">
        <f>IFERROR(INDEX('Aub Demand'!S:S,MATCH(O1165,'Aub Demand'!A:A,0)),"")</f>
        <v>5</v>
      </c>
      <c r="L1165" s="25">
        <f>IFERROR(INDEX('Aub Demand'!R:R,MATCH(O1165,'Aub Demand'!A:A,0)),"")</f>
        <v>0</v>
      </c>
      <c r="O1165" s="27" t="s">
        <v>2762</v>
      </c>
      <c r="P1165" s="27" t="str">
        <f>IFERROR(INDEX('Aub Demand'!B:B,MATCH($O1165,'Aub Demand'!$A:$A,0)),"")</f>
        <v>PEAR GREEN</v>
      </c>
      <c r="Q1165" s="27" t="str">
        <f>IFERROR(INDEX('Aub Demand'!C:C,MATCH($O1165,'Aub Demand'!$A:$A,0)),"")</f>
        <v>AHLST</v>
      </c>
      <c r="R1165" s="52">
        <f>IFERROR(IF(AR1166=AR1165,INDEX('Aub Demand'!K:K,MATCH($O1165,'Aub Demand'!$A:$A,0))-IF(AN1165="",0,AN1165)+AP1166,INDEX('Aub Demand'!K:K,MATCH($O1165,'Aub Demand'!$A:$A,0))-IF(AN1165="",0,AN1165)),"")</f>
        <v>993</v>
      </c>
      <c r="S1165" s="53">
        <f t="shared" si="504"/>
        <v>2127.9</v>
      </c>
      <c r="T1165" s="52" t="str">
        <f t="shared" si="505"/>
        <v/>
      </c>
      <c r="U1165" s="52">
        <f>IFERROR(IF(AR1166=AR1165,INDEX('Aub Demand'!Q:Q,MATCH($O1165,'Aub Demand'!$A:$A,0))-IF(AN1165="",0,AN1165)+AP1166,INDEX('Aub Demand'!Q:Q,MATCH($O1165,'Aub Demand'!$A:$A,0))-IF(AN1165="",0,AN1165)),"")</f>
        <v>982</v>
      </c>
      <c r="V1165" s="53">
        <f t="shared" si="506"/>
        <v>2104.3000000000002</v>
      </c>
      <c r="W1165" s="52" t="str">
        <f t="shared" si="507"/>
        <v/>
      </c>
      <c r="X1165" s="52">
        <f>IFERROR(IF(AND(AR1166=AR1165,AM1165&lt;&gt;""),INDEX('Aub Demand'!Q:Q,MATCH($O1165,'Aub Demand'!$A:$A,0))-IF(AN1165="",0,AN1165)+AP1166+AD1165+AL1165,IF(AR1166=AR1165,INDEX('Aub Demand'!Q:Q,MATCH($O1165,'Aub Demand'!$A:$A,0))-IF(AN1165="",0,AN1165)+AP1166+AD1165,IF(AM1165&lt;&gt;"",INDEX('Aub Demand'!Q:Q,MATCH($O1165,'Aub Demand'!$A:$A,0))-IF(AN1165="",0,AN1165)+AD1165+AL1165,INDEX('Aub Demand'!Q:Q,MATCH($O1165,'Aub Demand'!$A:$A,0))-IF(AN1165="",0,AN1165)+AD1165))),"")</f>
        <v>982</v>
      </c>
      <c r="Y1165" s="53">
        <f t="shared" si="508"/>
        <v>2104.3000000000002</v>
      </c>
      <c r="Z1165" s="52">
        <f>IF(L1165="","",INDEX('Aub Demand'!H:H,MATCH($O1165,'Aub Demand'!$A:$A,0)))</f>
        <v>2</v>
      </c>
      <c r="AA1165" s="52" t="str">
        <f t="shared" si="509"/>
        <v>-spike-</v>
      </c>
      <c r="AB1165" s="52">
        <f>IFERROR(INDEX('Aub Demand'!L:L,MATCH($O1165,'Aub Demand'!$A:$A,0)),"")</f>
        <v>35</v>
      </c>
      <c r="AC1165" s="52">
        <f>IFERROR(IF(O1165="","",SUMIFS('CPL Mats'!F:F,'CPL Mats'!Q:Q,AR1165,'CPL Mats'!S:S,AS1165)),"")</f>
        <v>0</v>
      </c>
      <c r="AF1165" s="25" t="str">
        <f>IF(SUMIFS('Supp Consol'!S:S,'Supp Consol'!Y:Y,"Releasable",'Supp Consol'!A:A,O1165)=0,"",SUMIFS('Supp Consol'!S:S,'Supp Consol'!Y:Y,"Releasable",'Supp Consol'!A:A,O1165))</f>
        <v/>
      </c>
      <c r="AG1165" s="25">
        <f>IFERROR(INDEX('Hun Demand'!Q:Q,MATCH(O1165,'Hun Demand'!A:A,0)),"")</f>
        <v>50</v>
      </c>
      <c r="AH1165" s="25">
        <f>IFERROR(INDEX('Hun Demand'!H:H,MATCH($O1165,'Hun Demand'!$A:$A,0)),"")</f>
        <v>0</v>
      </c>
      <c r="AI1165" s="25" t="str">
        <f>IF(SUMIFS('Supp Consol'!AA:AA,'Supp Consol'!Z:Z,"Expires this month",'Supp Consol'!A:A,O1165)=0,"",SUMIFS('Supp Consol'!AA:AA,'Supp Consol'!Z:Z,"Expires this month",'Supp Consol'!A:A,O1165))</f>
        <v/>
      </c>
      <c r="AJ1165" s="25" t="str">
        <f>IF(SUMIFS('Supp Consol'!AA:AA,'Supp Consol'!Z:Z,"Expired Previous Months",'Supp Consol'!A:A,O1165)=0,"",SUMIFS('Supp Consol'!AA:AA,'Supp Consol'!Z:Z,"Expired Previous Months",'Supp Consol'!A:A,O1165))</f>
        <v/>
      </c>
      <c r="AK1165" s="25" t="str">
        <f>IFERROR(INDEX('Hun Release Current'!B:B,MATCH(O1165,'Hun Release Current'!A:A,0)),"")</f>
        <v/>
      </c>
      <c r="AL1165" s="25" t="str">
        <f>IF(SUMIF('Prev Aub'!A:A,O1165,'Prev Aub'!B:B)=0,"",SUMIF('Prev Aub'!A:A,O1165,'Prev Aub'!B:B))</f>
        <v/>
      </c>
      <c r="AN1165" s="25" t="s">
        <v>3790</v>
      </c>
      <c r="AO1165" s="25" t="s">
        <v>3790</v>
      </c>
      <c r="AP1165" s="25">
        <f t="shared" si="510"/>
        <v>0</v>
      </c>
      <c r="AQ1165" s="151" t="str">
        <f>IF(SUMIFS('Supp Consol'!S:S,'Supp Consol'!A:A,O1165,'Supp Consol'!I:I,"PENDING")=0,"",SUMIFS('Supp Consol'!S:S,'Supp Consol'!A:A,O1165,'Supp Consol'!I:I,"PENDING"))</f>
        <v/>
      </c>
      <c r="AR1165" s="27" t="str">
        <f t="shared" si="511"/>
        <v>SV730</v>
      </c>
      <c r="AS1165" s="27" t="str">
        <f t="shared" si="512"/>
        <v>50</v>
      </c>
      <c r="AT1165" s="27" t="str">
        <f t="shared" si="513"/>
        <v/>
      </c>
      <c r="AU1165" s="27" t="str">
        <f t="shared" si="514"/>
        <v/>
      </c>
      <c r="AV1165" s="27" t="str">
        <f t="shared" si="515"/>
        <v/>
      </c>
      <c r="AW1165" s="27" t="str">
        <f t="shared" si="516"/>
        <v/>
      </c>
      <c r="AX1165" s="27" t="str">
        <f t="shared" si="517"/>
        <v/>
      </c>
      <c r="AY1165" s="27" t="str">
        <f t="shared" si="518"/>
        <v>SV730</v>
      </c>
      <c r="AZ1165" s="27" t="str">
        <f t="shared" si="519"/>
        <v/>
      </c>
      <c r="BA1165" s="27" t="str">
        <f t="shared" si="520"/>
        <v>Hun</v>
      </c>
      <c r="BB1165" s="27" t="str">
        <f t="shared" si="521"/>
        <v/>
      </c>
      <c r="BC1165" s="27" t="str">
        <f t="shared" si="522"/>
        <v/>
      </c>
      <c r="BD1165" s="27" t="str">
        <f t="shared" si="523"/>
        <v/>
      </c>
      <c r="BE1165" s="27" t="str">
        <f t="shared" si="524"/>
        <v/>
      </c>
      <c r="BF1165" s="27" t="str">
        <f t="shared" si="525"/>
        <v/>
      </c>
      <c r="BG1165" s="27" t="str">
        <f t="shared" si="526"/>
        <v/>
      </c>
      <c r="BH1165" s="27" t="str">
        <f t="shared" si="527"/>
        <v/>
      </c>
      <c r="BI1165" s="27" t="str">
        <f t="shared" si="528"/>
        <v/>
      </c>
      <c r="BJ1165" s="27" t="str">
        <f t="shared" si="529"/>
        <v>Supp or Hun</v>
      </c>
      <c r="BK1165" s="27" t="str">
        <f t="shared" si="530"/>
        <v/>
      </c>
      <c r="BL1165" s="27" t="str">
        <f t="shared" si="531"/>
        <v/>
      </c>
      <c r="BM1165" s="21" t="s">
        <v>5581</v>
      </c>
    </row>
    <row r="1166" spans="1:65" ht="15">
      <c r="A1166" s="25" t="str">
        <f>IFERROR(INDEX('Hun Demand'!W:W,MATCH(O1166,'Hun Demand'!A:A,0)),"")</f>
        <v/>
      </c>
      <c r="B1166" s="25" t="str">
        <f>IFERROR(INDEX('Hun Demand'!V:V,MATCH(O1166,'Hun Demand'!A:A,0)),"")</f>
        <v/>
      </c>
      <c r="C1166" s="25" t="str">
        <f>IFERROR(INDEX('Hun Demand'!U:U,MATCH(O1166,'Hun Demand'!A:A,0)),"")</f>
        <v/>
      </c>
      <c r="D1166" s="25" t="str">
        <f>IFERROR(INDEX('Hun Demand'!T:T,MATCH(O1166,'Hun Demand'!A:A,0)),"")</f>
        <v/>
      </c>
      <c r="E1166" s="25" t="str">
        <f>IFERROR(INDEX('Hun Demand'!S:S,MATCH(O1166,'Hun Demand'!A:A,0)),"")</f>
        <v/>
      </c>
      <c r="F1166" s="25" t="str">
        <f>IFERROR(INDEX('Hun Demand'!R:R,MATCH(O1166,'Hun Demand'!A:A,0)),"")</f>
        <v/>
      </c>
      <c r="G1166" s="25">
        <f>IFERROR(INDEX('Aub Demand'!W:W,MATCH(O1166,'Aub Demand'!A:A,0)),"")</f>
        <v>0</v>
      </c>
      <c r="H1166" s="25">
        <f>IFERROR(INDEX('Aub Demand'!V:V,MATCH(O1166,'Aub Demand'!A:A,0)),"")</f>
        <v>0</v>
      </c>
      <c r="I1166" s="25">
        <f>IFERROR(INDEX('Aub Demand'!U:U,MATCH(O1166,'Aub Demand'!A:A,0)),"")</f>
        <v>0</v>
      </c>
      <c r="J1166" s="25">
        <f>IFERROR(INDEX('Aub Demand'!T:T,MATCH(O1166,'Aub Demand'!A:A,0)),"")</f>
        <v>0</v>
      </c>
      <c r="K1166" s="25">
        <f>IFERROR(INDEX('Aub Demand'!S:S,MATCH(O1166,'Aub Demand'!A:A,0)),"")</f>
        <v>0</v>
      </c>
      <c r="L1166" s="25">
        <f>IFERROR(INDEX('Aub Demand'!R:R,MATCH(O1166,'Aub Demand'!A:A,0)),"")</f>
        <v>0</v>
      </c>
      <c r="O1166" s="27" t="s">
        <v>2764</v>
      </c>
      <c r="P1166" s="27" t="str">
        <f>IFERROR(INDEX('Aub Demand'!B:B,MATCH($O1166,'Aub Demand'!$A:$A,0)),"")</f>
        <v>PEAR GREEN</v>
      </c>
      <c r="Q1166" s="27" t="str">
        <f>IFERROR(INDEX('Aub Demand'!C:C,MATCH($O1166,'Aub Demand'!$A:$A,0)),"")</f>
        <v>AHLST</v>
      </c>
      <c r="R1166" s="52">
        <f>IFERROR(IF(AR1167=AR1166,INDEX('Aub Demand'!K:K,MATCH($O1166,'Aub Demand'!$A:$A,0))-IF(AN1166="",0,AN1166)+AP1167,INDEX('Aub Demand'!K:K,MATCH($O1166,'Aub Demand'!$A:$A,0))-IF(AN1166="",0,AN1166)),"")</f>
        <v>2799</v>
      </c>
      <c r="S1166" s="53" t="str">
        <f t="shared" si="504"/>
        <v>n/a</v>
      </c>
      <c r="T1166" s="52" t="str">
        <f t="shared" si="505"/>
        <v/>
      </c>
      <c r="U1166" s="52">
        <f>IFERROR(IF(AR1167=AR1166,INDEX('Aub Demand'!Q:Q,MATCH($O1166,'Aub Demand'!$A:$A,0))-IF(AN1166="",0,AN1166)+AP1167,INDEX('Aub Demand'!Q:Q,MATCH($O1166,'Aub Demand'!$A:$A,0))-IF(AN1166="",0,AN1166)),"")</f>
        <v>2799</v>
      </c>
      <c r="V1166" s="53" t="str">
        <f t="shared" si="506"/>
        <v>n/a</v>
      </c>
      <c r="W1166" s="52" t="str">
        <f t="shared" si="507"/>
        <v/>
      </c>
      <c r="X1166" s="52">
        <f>IFERROR(IF(AND(AR1167=AR1166,AM1166&lt;&gt;""),INDEX('Aub Demand'!Q:Q,MATCH($O1166,'Aub Demand'!$A:$A,0))-IF(AN1166="",0,AN1166)+AP1167+AD1166+AL1166,IF(AR1167=AR1166,INDEX('Aub Demand'!Q:Q,MATCH($O1166,'Aub Demand'!$A:$A,0))-IF(AN1166="",0,AN1166)+AP1167+AD1166,IF(AM1166&lt;&gt;"",INDEX('Aub Demand'!Q:Q,MATCH($O1166,'Aub Demand'!$A:$A,0))-IF(AN1166="",0,AN1166)+AD1166+AL1166,INDEX('Aub Demand'!Q:Q,MATCH($O1166,'Aub Demand'!$A:$A,0))-IF(AN1166="",0,AN1166)+AD1166))),"")</f>
        <v>2799</v>
      </c>
      <c r="Y1166" s="53" t="str">
        <f t="shared" si="508"/>
        <v>n/a</v>
      </c>
      <c r="Z1166" s="52">
        <f>IF(L1166="","",INDEX('Aub Demand'!H:H,MATCH($O1166,'Aub Demand'!$A:$A,0)))</f>
        <v>0</v>
      </c>
      <c r="AA1166" s="52" t="str">
        <f t="shared" si="509"/>
        <v>-spike-</v>
      </c>
      <c r="AB1166" s="52">
        <f>IFERROR(INDEX('Aub Demand'!L:L,MATCH($O1166,'Aub Demand'!$A:$A,0)),"")</f>
        <v>7</v>
      </c>
      <c r="AC1166" s="52">
        <f>IFERROR(IF(O1166="","",SUMIFS('CPL Mats'!F:F,'CPL Mats'!Q:Q,AR1166,'CPL Mats'!S:S,AS1166)),"")</f>
        <v>0</v>
      </c>
      <c r="AF1166" s="25" t="str">
        <f>IF(SUMIFS('Supp Consol'!S:S,'Supp Consol'!Y:Y,"Releasable",'Supp Consol'!A:A,O1166)=0,"",SUMIFS('Supp Consol'!S:S,'Supp Consol'!Y:Y,"Releasable",'Supp Consol'!A:A,O1166))</f>
        <v/>
      </c>
      <c r="AG1166" s="25" t="str">
        <f>IFERROR(INDEX('Hun Demand'!Q:Q,MATCH(O1166,'Hun Demand'!A:A,0)),"")</f>
        <v/>
      </c>
      <c r="AH1166" s="25" t="str">
        <f>IFERROR(INDEX('Hun Demand'!H:H,MATCH($O1166,'Hun Demand'!$A:$A,0)),"")</f>
        <v/>
      </c>
      <c r="AI1166" s="25" t="str">
        <f>IF(SUMIFS('Supp Consol'!AA:AA,'Supp Consol'!Z:Z,"Expires this month",'Supp Consol'!A:A,O1166)=0,"",SUMIFS('Supp Consol'!AA:AA,'Supp Consol'!Z:Z,"Expires this month",'Supp Consol'!A:A,O1166))</f>
        <v/>
      </c>
      <c r="AJ1166" s="25" t="str">
        <f>IF(SUMIFS('Supp Consol'!AA:AA,'Supp Consol'!Z:Z,"Expired Previous Months",'Supp Consol'!A:A,O1166)=0,"",SUMIFS('Supp Consol'!AA:AA,'Supp Consol'!Z:Z,"Expired Previous Months",'Supp Consol'!A:A,O1166))</f>
        <v/>
      </c>
      <c r="AK1166" s="25" t="str">
        <f>IFERROR(INDEX('Hun Release Current'!B:B,MATCH(O1166,'Hun Release Current'!A:A,0)),"")</f>
        <v/>
      </c>
      <c r="AL1166" s="25" t="str">
        <f>IF(SUMIF('Prev Aub'!A:A,O1166,'Prev Aub'!B:B)=0,"",SUMIF('Prev Aub'!A:A,O1166,'Prev Aub'!B:B))</f>
        <v/>
      </c>
      <c r="AN1166" s="25" t="s">
        <v>3790</v>
      </c>
      <c r="AO1166" s="25" t="s">
        <v>3790</v>
      </c>
      <c r="AP1166" s="25">
        <f t="shared" si="510"/>
        <v>0</v>
      </c>
      <c r="AQ1166" s="151" t="str">
        <f>IF(SUMIFS('Supp Consol'!S:S,'Supp Consol'!A:A,O1166,'Supp Consol'!I:I,"PENDING")=0,"",SUMIFS('Supp Consol'!S:S,'Supp Consol'!A:A,O1166,'Supp Consol'!I:I,"PENDING"))</f>
        <v/>
      </c>
      <c r="AR1166" s="27" t="str">
        <f t="shared" si="511"/>
        <v>SV730</v>
      </c>
      <c r="AS1166" s="27" t="str">
        <f t="shared" si="512"/>
        <v>62</v>
      </c>
      <c r="AT1166" s="27" t="str">
        <f t="shared" si="513"/>
        <v/>
      </c>
      <c r="AU1166" s="27" t="str">
        <f t="shared" si="514"/>
        <v/>
      </c>
      <c r="AV1166" s="27" t="str">
        <f t="shared" si="515"/>
        <v/>
      </c>
      <c r="AW1166" s="27" t="str">
        <f t="shared" si="516"/>
        <v/>
      </c>
      <c r="AX1166" s="27" t="str">
        <f t="shared" si="517"/>
        <v/>
      </c>
      <c r="AY1166" s="27" t="str">
        <f t="shared" si="518"/>
        <v/>
      </c>
      <c r="AZ1166" s="27" t="str">
        <f t="shared" si="519"/>
        <v/>
      </c>
      <c r="BA1166" s="27" t="str">
        <f t="shared" si="520"/>
        <v>Hun</v>
      </c>
      <c r="BB1166" s="27" t="str">
        <f t="shared" si="521"/>
        <v/>
      </c>
      <c r="BC1166" s="27" t="str">
        <f t="shared" si="522"/>
        <v/>
      </c>
      <c r="BD1166" s="27" t="str">
        <f t="shared" si="523"/>
        <v/>
      </c>
      <c r="BE1166" s="27" t="str">
        <f t="shared" si="524"/>
        <v/>
      </c>
      <c r="BF1166" s="27" t="str">
        <f t="shared" si="525"/>
        <v/>
      </c>
      <c r="BG1166" s="27" t="str">
        <f t="shared" si="526"/>
        <v/>
      </c>
      <c r="BH1166" s="27" t="str">
        <f t="shared" si="527"/>
        <v/>
      </c>
      <c r="BI1166" s="27" t="str">
        <f t="shared" si="528"/>
        <v/>
      </c>
      <c r="BJ1166" s="27" t="str">
        <f t="shared" si="529"/>
        <v>Supp or Hun</v>
      </c>
      <c r="BK1166" s="27" t="str">
        <f t="shared" si="530"/>
        <v/>
      </c>
      <c r="BL1166" s="27" t="str">
        <f t="shared" si="531"/>
        <v/>
      </c>
      <c r="BM1166" s="21" t="s">
        <v>5581</v>
      </c>
    </row>
    <row r="1167" spans="1:65" ht="15">
      <c r="A1167" s="25" t="str">
        <f>IFERROR(INDEX('Hun Demand'!W:W,MATCH(O1167,'Hun Demand'!A:A,0)),"")</f>
        <v/>
      </c>
      <c r="B1167" s="25" t="str">
        <f>IFERROR(INDEX('Hun Demand'!V:V,MATCH(O1167,'Hun Demand'!A:A,0)),"")</f>
        <v/>
      </c>
      <c r="C1167" s="25" t="str">
        <f>IFERROR(INDEX('Hun Demand'!U:U,MATCH(O1167,'Hun Demand'!A:A,0)),"")</f>
        <v/>
      </c>
      <c r="D1167" s="25" t="str">
        <f>IFERROR(INDEX('Hun Demand'!T:T,MATCH(O1167,'Hun Demand'!A:A,0)),"")</f>
        <v/>
      </c>
      <c r="E1167" s="25" t="str">
        <f>IFERROR(INDEX('Hun Demand'!S:S,MATCH(O1167,'Hun Demand'!A:A,0)),"")</f>
        <v/>
      </c>
      <c r="F1167" s="25" t="str">
        <f>IFERROR(INDEX('Hun Demand'!R:R,MATCH(O1167,'Hun Demand'!A:A,0)),"")</f>
        <v/>
      </c>
      <c r="G1167" s="25">
        <f>IFERROR(INDEX('Aub Demand'!W:W,MATCH(O1167,'Aub Demand'!A:A,0)),"")</f>
        <v>229</v>
      </c>
      <c r="H1167" s="25">
        <f>IFERROR(INDEX('Aub Demand'!V:V,MATCH(O1167,'Aub Demand'!A:A,0)),"")</f>
        <v>69</v>
      </c>
      <c r="I1167" s="25">
        <f>IFERROR(INDEX('Aub Demand'!U:U,MATCH(O1167,'Aub Demand'!A:A,0)),"")</f>
        <v>80</v>
      </c>
      <c r="J1167" s="25">
        <f>IFERROR(INDEX('Aub Demand'!T:T,MATCH(O1167,'Aub Demand'!A:A,0)),"")</f>
        <v>41</v>
      </c>
      <c r="K1167" s="25">
        <f>IFERROR(INDEX('Aub Demand'!S:S,MATCH(O1167,'Aub Demand'!A:A,0)),"")</f>
        <v>111</v>
      </c>
      <c r="L1167" s="25">
        <f>IFERROR(INDEX('Aub Demand'!R:R,MATCH(O1167,'Aub Demand'!A:A,0)),"")</f>
        <v>0</v>
      </c>
      <c r="O1167" s="27" t="s">
        <v>2765</v>
      </c>
      <c r="P1167" s="27" t="str">
        <f>IFERROR(INDEX('Aub Demand'!B:B,MATCH($O1167,'Aub Demand'!$A:$A,0)),"")</f>
        <v>LIMEADE</v>
      </c>
      <c r="Q1167" s="27" t="str">
        <f>IFERROR(INDEX('Aub Demand'!C:C,MATCH($O1167,'Aub Demand'!$A:$A,0)),"")</f>
        <v>AHLST</v>
      </c>
      <c r="R1167" s="52">
        <f>IFERROR(IF(AR1168=AR1167,INDEX('Aub Demand'!K:K,MATCH($O1167,'Aub Demand'!$A:$A,0))-IF(AN1167="",0,AN1167)+AP1168,INDEX('Aub Demand'!K:K,MATCH($O1167,'Aub Demand'!$A:$A,0))-IF(AN1167="",0,AN1167)),"")</f>
        <v>1155</v>
      </c>
      <c r="S1167" s="53">
        <f t="shared" si="504"/>
        <v>64.3</v>
      </c>
      <c r="T1167" s="52" t="str">
        <f t="shared" si="505"/>
        <v/>
      </c>
      <c r="U1167" s="52">
        <f>IFERROR(IF(AR1168=AR1167,INDEX('Aub Demand'!Q:Q,MATCH($O1167,'Aub Demand'!$A:$A,0))-IF(AN1167="",0,AN1167)+AP1168,INDEX('Aub Demand'!Q:Q,MATCH($O1167,'Aub Demand'!$A:$A,0))-IF(AN1167="",0,AN1167)),"")</f>
        <v>819</v>
      </c>
      <c r="V1167" s="53">
        <f t="shared" si="506"/>
        <v>45.6</v>
      </c>
      <c r="W1167" s="52" t="str">
        <f t="shared" si="507"/>
        <v/>
      </c>
      <c r="X1167" s="52">
        <f>IFERROR(IF(AND(AR1168=AR1167,AM1167&lt;&gt;""),INDEX('Aub Demand'!Q:Q,MATCH($O1167,'Aub Demand'!$A:$A,0))-IF(AN1167="",0,AN1167)+AP1168+AD1167+AL1167,IF(AR1168=AR1167,INDEX('Aub Demand'!Q:Q,MATCH($O1167,'Aub Demand'!$A:$A,0))-IF(AN1167="",0,AN1167)+AP1168+AD1167,IF(AM1167&lt;&gt;"",INDEX('Aub Demand'!Q:Q,MATCH($O1167,'Aub Demand'!$A:$A,0))-IF(AN1167="",0,AN1167)+AD1167+AL1167,INDEX('Aub Demand'!Q:Q,MATCH($O1167,'Aub Demand'!$A:$A,0))-IF(AN1167="",0,AN1167)+AD1167))),"")</f>
        <v>819</v>
      </c>
      <c r="Y1167" s="53">
        <f t="shared" si="508"/>
        <v>45.6</v>
      </c>
      <c r="Z1167" s="52">
        <f>IF(L1167="","",INDEX('Aub Demand'!H:H,MATCH($O1167,'Aub Demand'!$A:$A,0)))</f>
        <v>77</v>
      </c>
      <c r="AA1167" s="52">
        <f t="shared" si="509"/>
        <v>95.5</v>
      </c>
      <c r="AB1167" s="52">
        <f>IFERROR(INDEX('Aub Demand'!L:L,MATCH($O1167,'Aub Demand'!$A:$A,0)),"")</f>
        <v>96</v>
      </c>
      <c r="AC1167" s="52">
        <f>IFERROR(IF(O1167="","",SUMIFS('CPL Mats'!F:F,'CPL Mats'!Q:Q,AR1167,'CPL Mats'!S:S,AS1167)),"")</f>
        <v>0</v>
      </c>
      <c r="AF1167" s="25" t="str">
        <f>IF(SUMIFS('Supp Consol'!S:S,'Supp Consol'!Y:Y,"Releasable",'Supp Consol'!A:A,O1167)=0,"",SUMIFS('Supp Consol'!S:S,'Supp Consol'!Y:Y,"Releasable",'Supp Consol'!A:A,O1167))</f>
        <v/>
      </c>
      <c r="AG1167" s="25" t="str">
        <f>IFERROR(INDEX('Hun Demand'!Q:Q,MATCH(O1167,'Hun Demand'!A:A,0)),"")</f>
        <v/>
      </c>
      <c r="AH1167" s="25" t="str">
        <f>IFERROR(INDEX('Hun Demand'!H:H,MATCH($O1167,'Hun Demand'!$A:$A,0)),"")</f>
        <v/>
      </c>
      <c r="AI1167" s="25" t="str">
        <f>IF(SUMIFS('Supp Consol'!AA:AA,'Supp Consol'!Z:Z,"Expires this month",'Supp Consol'!A:A,O1167)=0,"",SUMIFS('Supp Consol'!AA:AA,'Supp Consol'!Z:Z,"Expires this month",'Supp Consol'!A:A,O1167))</f>
        <v/>
      </c>
      <c r="AJ1167" s="25" t="str">
        <f>IF(SUMIFS('Supp Consol'!AA:AA,'Supp Consol'!Z:Z,"Expired Previous Months",'Supp Consol'!A:A,O1167)=0,"",SUMIFS('Supp Consol'!AA:AA,'Supp Consol'!Z:Z,"Expired Previous Months",'Supp Consol'!A:A,O1167))</f>
        <v/>
      </c>
      <c r="AK1167" s="25" t="str">
        <f>IFERROR(INDEX('Hun Release Current'!B:B,MATCH(O1167,'Hun Release Current'!A:A,0)),"")</f>
        <v/>
      </c>
      <c r="AL1167" s="25" t="str">
        <f>IF(SUMIF('Prev Aub'!A:A,O1167,'Prev Aub'!B:B)=0,"",SUMIF('Prev Aub'!A:A,O1167,'Prev Aub'!B:B))</f>
        <v/>
      </c>
      <c r="AN1167" s="25" t="s">
        <v>3790</v>
      </c>
      <c r="AO1167" s="25" t="s">
        <v>3790</v>
      </c>
      <c r="AP1167" s="25">
        <f t="shared" si="510"/>
        <v>0</v>
      </c>
      <c r="AQ1167" s="151" t="str">
        <f>IF(SUMIFS('Supp Consol'!S:S,'Supp Consol'!A:A,O1167,'Supp Consol'!I:I,"PENDING")=0,"",SUMIFS('Supp Consol'!S:S,'Supp Consol'!A:A,O1167,'Supp Consol'!I:I,"PENDING"))</f>
        <v/>
      </c>
      <c r="AR1167" s="27" t="str">
        <f t="shared" si="511"/>
        <v>SV741</v>
      </c>
      <c r="AS1167" s="27" t="str">
        <f t="shared" si="512"/>
        <v>50</v>
      </c>
      <c r="AT1167" s="27" t="str">
        <f t="shared" si="513"/>
        <v/>
      </c>
      <c r="AU1167" s="27" t="str">
        <f t="shared" si="514"/>
        <v/>
      </c>
      <c r="AV1167" s="27" t="str">
        <f t="shared" si="515"/>
        <v/>
      </c>
      <c r="AW1167" s="27" t="str">
        <f t="shared" si="516"/>
        <v/>
      </c>
      <c r="AX1167" s="27" t="str">
        <f t="shared" si="517"/>
        <v/>
      </c>
      <c r="AY1167" s="27" t="str">
        <f t="shared" si="518"/>
        <v/>
      </c>
      <c r="AZ1167" s="27" t="str">
        <f t="shared" si="519"/>
        <v/>
      </c>
      <c r="BA1167" s="27" t="str">
        <f t="shared" si="520"/>
        <v/>
      </c>
      <c r="BB1167" s="27" t="str">
        <f t="shared" si="521"/>
        <v/>
      </c>
      <c r="BC1167" s="27" t="str">
        <f t="shared" si="522"/>
        <v/>
      </c>
      <c r="BD1167" s="27" t="str">
        <f t="shared" si="523"/>
        <v/>
      </c>
      <c r="BE1167" s="27" t="str">
        <f t="shared" si="524"/>
        <v/>
      </c>
      <c r="BF1167" s="27" t="str">
        <f t="shared" si="525"/>
        <v/>
      </c>
      <c r="BG1167" s="27" t="str">
        <f t="shared" si="526"/>
        <v/>
      </c>
      <c r="BH1167" s="27" t="str">
        <f t="shared" si="527"/>
        <v/>
      </c>
      <c r="BI1167" s="27" t="str">
        <f t="shared" si="528"/>
        <v/>
      </c>
      <c r="BJ1167" s="27" t="str">
        <f t="shared" si="529"/>
        <v/>
      </c>
      <c r="BK1167" s="27" t="str">
        <f t="shared" si="530"/>
        <v/>
      </c>
      <c r="BL1167" s="27" t="str">
        <f t="shared" si="531"/>
        <v/>
      </c>
      <c r="BM1167" s="21" t="s">
        <v>5581</v>
      </c>
    </row>
    <row r="1168" spans="1:65" ht="15">
      <c r="A1168" s="25" t="str">
        <f>IFERROR(INDEX('Hun Demand'!W:W,MATCH(O1168,'Hun Demand'!A:A,0)),"")</f>
        <v/>
      </c>
      <c r="B1168" s="25" t="str">
        <f>IFERROR(INDEX('Hun Demand'!V:V,MATCH(O1168,'Hun Demand'!A:A,0)),"")</f>
        <v/>
      </c>
      <c r="C1168" s="25" t="str">
        <f>IFERROR(INDEX('Hun Demand'!U:U,MATCH(O1168,'Hun Demand'!A:A,0)),"")</f>
        <v/>
      </c>
      <c r="D1168" s="25" t="str">
        <f>IFERROR(INDEX('Hun Demand'!T:T,MATCH(O1168,'Hun Demand'!A:A,0)),"")</f>
        <v/>
      </c>
      <c r="E1168" s="25" t="str">
        <f>IFERROR(INDEX('Hun Demand'!S:S,MATCH(O1168,'Hun Demand'!A:A,0)),"")</f>
        <v/>
      </c>
      <c r="F1168" s="25" t="str">
        <f>IFERROR(INDEX('Hun Demand'!R:R,MATCH(O1168,'Hun Demand'!A:A,0)),"")</f>
        <v/>
      </c>
      <c r="G1168" s="25">
        <f>IFERROR(INDEX('Aub Demand'!W:W,MATCH(O1168,'Aub Demand'!A:A,0)),"")</f>
        <v>130</v>
      </c>
      <c r="H1168" s="25">
        <f>IFERROR(INDEX('Aub Demand'!V:V,MATCH(O1168,'Aub Demand'!A:A,0)),"")</f>
        <v>91</v>
      </c>
      <c r="I1168" s="25">
        <f>IFERROR(INDEX('Aub Demand'!U:U,MATCH(O1168,'Aub Demand'!A:A,0)),"")</f>
        <v>0</v>
      </c>
      <c r="J1168" s="25">
        <f>IFERROR(INDEX('Aub Demand'!T:T,MATCH(O1168,'Aub Demand'!A:A,0)),"")</f>
        <v>30</v>
      </c>
      <c r="K1168" s="25">
        <f>IFERROR(INDEX('Aub Demand'!S:S,MATCH(O1168,'Aub Demand'!A:A,0)),"")</f>
        <v>83</v>
      </c>
      <c r="L1168" s="25">
        <f>IFERROR(INDEX('Aub Demand'!R:R,MATCH(O1168,'Aub Demand'!A:A,0)),"")</f>
        <v>0</v>
      </c>
      <c r="O1168" s="27" t="s">
        <v>2767</v>
      </c>
      <c r="P1168" s="27" t="str">
        <f>IFERROR(INDEX('Aub Demand'!B:B,MATCH($O1168,'Aub Demand'!$A:$A,0)),"")</f>
        <v>LIMEADE</v>
      </c>
      <c r="Q1168" s="27" t="str">
        <f>IFERROR(INDEX('Aub Demand'!C:C,MATCH($O1168,'Aub Demand'!$A:$A,0)),"")</f>
        <v>AHLST</v>
      </c>
      <c r="R1168" s="52">
        <f>IFERROR(IF(AR1169=AR1168,INDEX('Aub Demand'!K:K,MATCH($O1168,'Aub Demand'!$A:$A,0))-IF(AN1168="",0,AN1168)+AP1169,INDEX('Aub Demand'!K:K,MATCH($O1168,'Aub Demand'!$A:$A,0))-IF(AN1168="",0,AN1168)),"")</f>
        <v>776</v>
      </c>
      <c r="S1168" s="53">
        <f t="shared" si="504"/>
        <v>87.5</v>
      </c>
      <c r="T1168" s="52" t="str">
        <f t="shared" si="505"/>
        <v/>
      </c>
      <c r="U1168" s="52">
        <f>IFERROR(IF(AR1169=AR1168,INDEX('Aub Demand'!Q:Q,MATCH($O1168,'Aub Demand'!$A:$A,0))-IF(AN1168="",0,AN1168)+AP1169,INDEX('Aub Demand'!Q:Q,MATCH($O1168,'Aub Demand'!$A:$A,0))-IF(AN1168="",0,AN1168)),"")</f>
        <v>666</v>
      </c>
      <c r="V1168" s="53">
        <f t="shared" si="506"/>
        <v>75.099999999999994</v>
      </c>
      <c r="W1168" s="52" t="str">
        <f t="shared" si="507"/>
        <v/>
      </c>
      <c r="X1168" s="52">
        <f>IFERROR(IF(AND(AR1169=AR1168,AM1168&lt;&gt;""),INDEX('Aub Demand'!Q:Q,MATCH($O1168,'Aub Demand'!$A:$A,0))-IF(AN1168="",0,AN1168)+AP1169+AD1168+AL1168,IF(AR1169=AR1168,INDEX('Aub Demand'!Q:Q,MATCH($O1168,'Aub Demand'!$A:$A,0))-IF(AN1168="",0,AN1168)+AP1169+AD1168,IF(AM1168&lt;&gt;"",INDEX('Aub Demand'!Q:Q,MATCH($O1168,'Aub Demand'!$A:$A,0))-IF(AN1168="",0,AN1168)+AD1168+AL1168,INDEX('Aub Demand'!Q:Q,MATCH($O1168,'Aub Demand'!$A:$A,0))-IF(AN1168="",0,AN1168)+AD1168))),"")</f>
        <v>666</v>
      </c>
      <c r="Y1168" s="53">
        <f t="shared" si="508"/>
        <v>75.099999999999994</v>
      </c>
      <c r="Z1168" s="52">
        <f>IF(L1168="","",INDEX('Aub Demand'!H:H,MATCH($O1168,'Aub Demand'!$A:$A,0)))</f>
        <v>38</v>
      </c>
      <c r="AA1168" s="52">
        <f t="shared" si="509"/>
        <v>56.5</v>
      </c>
      <c r="AB1168" s="52">
        <f>IFERROR(INDEX('Aub Demand'!L:L,MATCH($O1168,'Aub Demand'!$A:$A,0)),"")</f>
        <v>110</v>
      </c>
      <c r="AC1168" s="52">
        <f>IFERROR(IF(O1168="","",SUMIFS('CPL Mats'!F:F,'CPL Mats'!Q:Q,AR1168,'CPL Mats'!S:S,AS1168)),"")</f>
        <v>0</v>
      </c>
      <c r="AF1168" s="25" t="str">
        <f>IF(SUMIFS('Supp Consol'!S:S,'Supp Consol'!Y:Y,"Releasable",'Supp Consol'!A:A,O1168)=0,"",SUMIFS('Supp Consol'!S:S,'Supp Consol'!Y:Y,"Releasable",'Supp Consol'!A:A,O1168))</f>
        <v/>
      </c>
      <c r="AG1168" s="25" t="str">
        <f>IFERROR(INDEX('Hun Demand'!Q:Q,MATCH(O1168,'Hun Demand'!A:A,0)),"")</f>
        <v/>
      </c>
      <c r="AH1168" s="25" t="str">
        <f>IFERROR(INDEX('Hun Demand'!H:H,MATCH($O1168,'Hun Demand'!$A:$A,0)),"")</f>
        <v/>
      </c>
      <c r="AI1168" s="25" t="str">
        <f>IF(SUMIFS('Supp Consol'!AA:AA,'Supp Consol'!Z:Z,"Expires this month",'Supp Consol'!A:A,O1168)=0,"",SUMIFS('Supp Consol'!AA:AA,'Supp Consol'!Z:Z,"Expires this month",'Supp Consol'!A:A,O1168))</f>
        <v/>
      </c>
      <c r="AJ1168" s="25" t="str">
        <f>IF(SUMIFS('Supp Consol'!AA:AA,'Supp Consol'!Z:Z,"Expired Previous Months",'Supp Consol'!A:A,O1168)=0,"",SUMIFS('Supp Consol'!AA:AA,'Supp Consol'!Z:Z,"Expired Previous Months",'Supp Consol'!A:A,O1168))</f>
        <v/>
      </c>
      <c r="AK1168" s="25" t="str">
        <f>IFERROR(INDEX('Hun Release Current'!B:B,MATCH(O1168,'Hun Release Current'!A:A,0)),"")</f>
        <v/>
      </c>
      <c r="AL1168" s="25" t="str">
        <f>IF(SUMIF('Prev Aub'!A:A,O1168,'Prev Aub'!B:B)=0,"",SUMIF('Prev Aub'!A:A,O1168,'Prev Aub'!B:B))</f>
        <v/>
      </c>
      <c r="AN1168" s="25" t="s">
        <v>3790</v>
      </c>
      <c r="AO1168" s="25" t="s">
        <v>3790</v>
      </c>
      <c r="AP1168" s="25">
        <f t="shared" si="510"/>
        <v>0</v>
      </c>
      <c r="AQ1168" s="151" t="str">
        <f>IF(SUMIFS('Supp Consol'!S:S,'Supp Consol'!A:A,O1168,'Supp Consol'!I:I,"PENDING")=0,"",SUMIFS('Supp Consol'!S:S,'Supp Consol'!A:A,O1168,'Supp Consol'!I:I,"PENDING"))</f>
        <v/>
      </c>
      <c r="AR1168" s="27" t="str">
        <f t="shared" si="511"/>
        <v>SV741</v>
      </c>
      <c r="AS1168" s="27" t="str">
        <f t="shared" si="512"/>
        <v>62</v>
      </c>
      <c r="AT1168" s="27" t="str">
        <f t="shared" si="513"/>
        <v/>
      </c>
      <c r="AU1168" s="27" t="str">
        <f t="shared" si="514"/>
        <v/>
      </c>
      <c r="AV1168" s="27" t="str">
        <f t="shared" si="515"/>
        <v/>
      </c>
      <c r="AW1168" s="27" t="str">
        <f t="shared" si="516"/>
        <v/>
      </c>
      <c r="AX1168" s="27" t="str">
        <f t="shared" si="517"/>
        <v/>
      </c>
      <c r="AY1168" s="27" t="str">
        <f t="shared" si="518"/>
        <v/>
      </c>
      <c r="AZ1168" s="27" t="str">
        <f t="shared" si="519"/>
        <v/>
      </c>
      <c r="BA1168" s="27" t="str">
        <f t="shared" si="520"/>
        <v/>
      </c>
      <c r="BB1168" s="27" t="str">
        <f t="shared" si="521"/>
        <v/>
      </c>
      <c r="BC1168" s="27" t="str">
        <f t="shared" si="522"/>
        <v/>
      </c>
      <c r="BD1168" s="27" t="str">
        <f t="shared" si="523"/>
        <v/>
      </c>
      <c r="BE1168" s="27" t="str">
        <f t="shared" si="524"/>
        <v/>
      </c>
      <c r="BF1168" s="27" t="str">
        <f t="shared" si="525"/>
        <v/>
      </c>
      <c r="BG1168" s="27" t="str">
        <f t="shared" si="526"/>
        <v/>
      </c>
      <c r="BH1168" s="27" t="str">
        <f t="shared" si="527"/>
        <v/>
      </c>
      <c r="BI1168" s="27" t="str">
        <f t="shared" si="528"/>
        <v/>
      </c>
      <c r="BJ1168" s="27" t="str">
        <f t="shared" si="529"/>
        <v/>
      </c>
      <c r="BK1168" s="27" t="str">
        <f t="shared" si="530"/>
        <v/>
      </c>
      <c r="BL1168" s="27" t="str">
        <f t="shared" si="531"/>
        <v/>
      </c>
      <c r="BM1168" s="21" t="s">
        <v>5581</v>
      </c>
    </row>
    <row r="1169" spans="1:65" ht="15">
      <c r="A1169" s="25" t="str">
        <f>IFERROR(INDEX('Hun Demand'!W:W,MATCH(O1169,'Hun Demand'!A:A,0)),"")</f>
        <v/>
      </c>
      <c r="B1169" s="25" t="str">
        <f>IFERROR(INDEX('Hun Demand'!V:V,MATCH(O1169,'Hun Demand'!A:A,0)),"")</f>
        <v/>
      </c>
      <c r="C1169" s="25" t="str">
        <f>IFERROR(INDEX('Hun Demand'!U:U,MATCH(O1169,'Hun Demand'!A:A,0)),"")</f>
        <v/>
      </c>
      <c r="D1169" s="25" t="str">
        <f>IFERROR(INDEX('Hun Demand'!T:T,MATCH(O1169,'Hun Demand'!A:A,0)),"")</f>
        <v/>
      </c>
      <c r="E1169" s="25" t="str">
        <f>IFERROR(INDEX('Hun Demand'!S:S,MATCH(O1169,'Hun Demand'!A:A,0)),"")</f>
        <v/>
      </c>
      <c r="F1169" s="25" t="str">
        <f>IFERROR(INDEX('Hun Demand'!R:R,MATCH(O1169,'Hun Demand'!A:A,0)),"")</f>
        <v/>
      </c>
      <c r="G1169" s="25">
        <f>IFERROR(INDEX('Aub Demand'!W:W,MATCH(O1169,'Aub Demand'!A:A,0)),"")</f>
        <v>71</v>
      </c>
      <c r="H1169" s="25">
        <f>IFERROR(INDEX('Aub Demand'!V:V,MATCH(O1169,'Aub Demand'!A:A,0)),"")</f>
        <v>69</v>
      </c>
      <c r="I1169" s="25">
        <f>IFERROR(INDEX('Aub Demand'!U:U,MATCH(O1169,'Aub Demand'!A:A,0)),"")</f>
        <v>0</v>
      </c>
      <c r="J1169" s="25">
        <f>IFERROR(INDEX('Aub Demand'!T:T,MATCH(O1169,'Aub Demand'!A:A,0)),"")</f>
        <v>0</v>
      </c>
      <c r="K1169" s="25">
        <f>IFERROR(INDEX('Aub Demand'!S:S,MATCH(O1169,'Aub Demand'!A:A,0)),"")</f>
        <v>206</v>
      </c>
      <c r="L1169" s="25">
        <f>IFERROR(INDEX('Aub Demand'!R:R,MATCH(O1169,'Aub Demand'!A:A,0)),"")</f>
        <v>0</v>
      </c>
      <c r="O1169" s="27" t="s">
        <v>1525</v>
      </c>
      <c r="P1169" s="27" t="str">
        <f>IFERROR(INDEX('Aub Demand'!B:B,MATCH($O1169,'Aub Demand'!$A:$A,0)),"")</f>
        <v>FRESH CUT GRASS</v>
      </c>
      <c r="Q1169" s="27" t="str">
        <f>IFERROR(INDEX('Aub Demand'!C:C,MATCH($O1169,'Aub Demand'!$A:$A,0)),"")</f>
        <v>AHLST</v>
      </c>
      <c r="R1169" s="52">
        <f>IFERROR(IF(AR1170=AR1169,INDEX('Aub Demand'!K:K,MATCH($O1169,'Aub Demand'!$A:$A,0))-IF(AN1169="",0,AN1169)+AP1170,INDEX('Aub Demand'!K:K,MATCH($O1169,'Aub Demand'!$A:$A,0))-IF(AN1169="",0,AN1169)),"")</f>
        <v>747</v>
      </c>
      <c r="S1169" s="53">
        <f t="shared" si="504"/>
        <v>46.4</v>
      </c>
      <c r="T1169" s="52" t="str">
        <f t="shared" si="505"/>
        <v/>
      </c>
      <c r="U1169" s="52">
        <f>IFERROR(IF(AR1170=AR1169,INDEX('Aub Demand'!Q:Q,MATCH($O1169,'Aub Demand'!$A:$A,0))-IF(AN1169="",0,AN1169)+AP1170,INDEX('Aub Demand'!Q:Q,MATCH($O1169,'Aub Demand'!$A:$A,0))-IF(AN1169="",0,AN1169)),"")</f>
        <v>740</v>
      </c>
      <c r="V1169" s="53">
        <f t="shared" si="506"/>
        <v>46</v>
      </c>
      <c r="W1169" s="52" t="str">
        <f t="shared" si="507"/>
        <v/>
      </c>
      <c r="X1169" s="52">
        <f>IFERROR(IF(AND(AR1170=AR1169,AM1169&lt;&gt;""),INDEX('Aub Demand'!Q:Q,MATCH($O1169,'Aub Demand'!$A:$A,0))-IF(AN1169="",0,AN1169)+AP1170+AD1169+AL1169,IF(AR1170=AR1169,INDEX('Aub Demand'!Q:Q,MATCH($O1169,'Aub Demand'!$A:$A,0))-IF(AN1169="",0,AN1169)+AP1170+AD1169,IF(AM1169&lt;&gt;"",INDEX('Aub Demand'!Q:Q,MATCH($O1169,'Aub Demand'!$A:$A,0))-IF(AN1169="",0,AN1169)+AD1169+AL1169,INDEX('Aub Demand'!Q:Q,MATCH($O1169,'Aub Demand'!$A:$A,0))-IF(AN1169="",0,AN1169)+AD1169))),"")</f>
        <v>740</v>
      </c>
      <c r="Y1169" s="53">
        <f t="shared" si="508"/>
        <v>46</v>
      </c>
      <c r="Z1169" s="52">
        <f>IF(L1169="","",INDEX('Aub Demand'!H:H,MATCH($O1169,'Aub Demand'!$A:$A,0)))</f>
        <v>69</v>
      </c>
      <c r="AA1169" s="52" t="str">
        <f t="shared" si="509"/>
        <v>-spike-</v>
      </c>
      <c r="AB1169" s="52">
        <f>IFERROR(INDEX('Aub Demand'!L:L,MATCH($O1169,'Aub Demand'!$A:$A,0)),"")</f>
        <v>118</v>
      </c>
      <c r="AC1169" s="52">
        <f>IFERROR(IF(O1169="","",SUMIFS('CPL Mats'!F:F,'CPL Mats'!Q:Q,AR1169,'CPL Mats'!S:S,AS1169)),"")</f>
        <v>0</v>
      </c>
      <c r="AF1169" s="25" t="str">
        <f>IF(SUMIFS('Supp Consol'!S:S,'Supp Consol'!Y:Y,"Releasable",'Supp Consol'!A:A,O1169)=0,"",SUMIFS('Supp Consol'!S:S,'Supp Consol'!Y:Y,"Releasable",'Supp Consol'!A:A,O1169))</f>
        <v/>
      </c>
      <c r="AG1169" s="25" t="str">
        <f>IFERROR(INDEX('Hun Demand'!Q:Q,MATCH(O1169,'Hun Demand'!A:A,0)),"")</f>
        <v/>
      </c>
      <c r="AH1169" s="25" t="str">
        <f>IFERROR(INDEX('Hun Demand'!H:H,MATCH($O1169,'Hun Demand'!$A:$A,0)),"")</f>
        <v/>
      </c>
      <c r="AI1169" s="25" t="str">
        <f>IF(SUMIFS('Supp Consol'!AA:AA,'Supp Consol'!Z:Z,"Expires this month",'Supp Consol'!A:A,O1169)=0,"",SUMIFS('Supp Consol'!AA:AA,'Supp Consol'!Z:Z,"Expires this month",'Supp Consol'!A:A,O1169))</f>
        <v/>
      </c>
      <c r="AJ1169" s="25" t="str">
        <f>IF(SUMIFS('Supp Consol'!AA:AA,'Supp Consol'!Z:Z,"Expired Previous Months",'Supp Consol'!A:A,O1169)=0,"",SUMIFS('Supp Consol'!AA:AA,'Supp Consol'!Z:Z,"Expired Previous Months",'Supp Consol'!A:A,O1169))</f>
        <v/>
      </c>
      <c r="AK1169" s="25" t="str">
        <f>IFERROR(INDEX('Hun Release Current'!B:B,MATCH(O1169,'Hun Release Current'!A:A,0)),"")</f>
        <v/>
      </c>
      <c r="AL1169" s="25" t="str">
        <f>IF(SUMIF('Prev Aub'!A:A,O1169,'Prev Aub'!B:B)=0,"",SUMIF('Prev Aub'!A:A,O1169,'Prev Aub'!B:B))</f>
        <v/>
      </c>
      <c r="AN1169" s="25" t="s">
        <v>3790</v>
      </c>
      <c r="AO1169" s="25" t="s">
        <v>3790</v>
      </c>
      <c r="AP1169" s="25">
        <f t="shared" si="510"/>
        <v>0</v>
      </c>
      <c r="AQ1169" s="151" t="str">
        <f>IF(SUMIFS('Supp Consol'!S:S,'Supp Consol'!A:A,O1169,'Supp Consol'!I:I,"PENDING")=0,"",SUMIFS('Supp Consol'!S:S,'Supp Consol'!A:A,O1169,'Supp Consol'!I:I,"PENDING"))</f>
        <v/>
      </c>
      <c r="AR1169" s="27" t="str">
        <f t="shared" si="511"/>
        <v>SV750</v>
      </c>
      <c r="AS1169" s="27" t="str">
        <f t="shared" si="512"/>
        <v>50</v>
      </c>
      <c r="AT1169" s="27" t="str">
        <f t="shared" si="513"/>
        <v/>
      </c>
      <c r="AU1169" s="27" t="str">
        <f t="shared" si="514"/>
        <v/>
      </c>
      <c r="AV1169" s="27" t="str">
        <f t="shared" si="515"/>
        <v/>
      </c>
      <c r="AW1169" s="27" t="str">
        <f t="shared" si="516"/>
        <v/>
      </c>
      <c r="AX1169" s="27" t="str">
        <f t="shared" si="517"/>
        <v/>
      </c>
      <c r="AY1169" s="27" t="str">
        <f t="shared" si="518"/>
        <v/>
      </c>
      <c r="AZ1169" s="27" t="str">
        <f t="shared" si="519"/>
        <v/>
      </c>
      <c r="BA1169" s="27" t="str">
        <f t="shared" si="520"/>
        <v>Hun</v>
      </c>
      <c r="BB1169" s="27" t="str">
        <f t="shared" si="521"/>
        <v/>
      </c>
      <c r="BC1169" s="27" t="str">
        <f t="shared" si="522"/>
        <v/>
      </c>
      <c r="BD1169" s="27" t="str">
        <f t="shared" si="523"/>
        <v/>
      </c>
      <c r="BE1169" s="27" t="str">
        <f t="shared" si="524"/>
        <v/>
      </c>
      <c r="BF1169" s="27" t="str">
        <f t="shared" si="525"/>
        <v/>
      </c>
      <c r="BG1169" s="27" t="str">
        <f t="shared" si="526"/>
        <v/>
      </c>
      <c r="BH1169" s="27" t="str">
        <f t="shared" si="527"/>
        <v/>
      </c>
      <c r="BI1169" s="27" t="str">
        <f t="shared" si="528"/>
        <v/>
      </c>
      <c r="BJ1169" s="27" t="str">
        <f t="shared" si="529"/>
        <v>Supp or Hun</v>
      </c>
      <c r="BK1169" s="27" t="str">
        <f t="shared" si="530"/>
        <v/>
      </c>
      <c r="BL1169" s="27" t="str">
        <f t="shared" si="531"/>
        <v/>
      </c>
      <c r="BM1169" s="21" t="s">
        <v>5581</v>
      </c>
    </row>
    <row r="1170" spans="1:65" ht="15">
      <c r="A1170" s="25">
        <f>IFERROR(INDEX('Hun Demand'!W:W,MATCH(O1170,'Hun Demand'!A:A,0)),"")</f>
        <v>0</v>
      </c>
      <c r="B1170" s="25">
        <f>IFERROR(INDEX('Hun Demand'!V:V,MATCH(O1170,'Hun Demand'!A:A,0)),"")</f>
        <v>0</v>
      </c>
      <c r="C1170" s="25">
        <f>IFERROR(INDEX('Hun Demand'!U:U,MATCH(O1170,'Hun Demand'!A:A,0)),"")</f>
        <v>88</v>
      </c>
      <c r="D1170" s="25">
        <f>IFERROR(INDEX('Hun Demand'!T:T,MATCH(O1170,'Hun Demand'!A:A,0)),"")</f>
        <v>0</v>
      </c>
      <c r="E1170" s="25">
        <f>IFERROR(INDEX('Hun Demand'!S:S,MATCH(O1170,'Hun Demand'!A:A,0)),"")</f>
        <v>0</v>
      </c>
      <c r="F1170" s="25">
        <f>IFERROR(INDEX('Hun Demand'!R:R,MATCH(O1170,'Hun Demand'!A:A,0)),"")</f>
        <v>0</v>
      </c>
      <c r="G1170" s="25">
        <f>IFERROR(INDEX('Aub Demand'!W:W,MATCH(O1170,'Aub Demand'!A:A,0)),"")</f>
        <v>0</v>
      </c>
      <c r="H1170" s="25">
        <f>IFERROR(INDEX('Aub Demand'!V:V,MATCH(O1170,'Aub Demand'!A:A,0)),"")</f>
        <v>29</v>
      </c>
      <c r="I1170" s="25">
        <f>IFERROR(INDEX('Aub Demand'!U:U,MATCH(O1170,'Aub Demand'!A:A,0)),"")</f>
        <v>22</v>
      </c>
      <c r="J1170" s="25">
        <f>IFERROR(INDEX('Aub Demand'!T:T,MATCH(O1170,'Aub Demand'!A:A,0)),"")</f>
        <v>111</v>
      </c>
      <c r="K1170" s="25">
        <f>IFERROR(INDEX('Aub Demand'!S:S,MATCH(O1170,'Aub Demand'!A:A,0)),"")</f>
        <v>16</v>
      </c>
      <c r="L1170" s="25">
        <f>IFERROR(INDEX('Aub Demand'!R:R,MATCH(O1170,'Aub Demand'!A:A,0)),"")</f>
        <v>0</v>
      </c>
      <c r="O1170" s="27" t="s">
        <v>1527</v>
      </c>
      <c r="P1170" s="27" t="str">
        <f>IFERROR(INDEX('Aub Demand'!B:B,MATCH($O1170,'Aub Demand'!$A:$A,0)),"")</f>
        <v>FRESH CUT GRASS</v>
      </c>
      <c r="Q1170" s="27" t="str">
        <f>IFERROR(INDEX('Aub Demand'!C:C,MATCH($O1170,'Aub Demand'!$A:$A,0)),"")</f>
        <v>AHLST</v>
      </c>
      <c r="R1170" s="52">
        <f>IFERROR(IF(AR1171=AR1170,INDEX('Aub Demand'!K:K,MATCH($O1170,'Aub Demand'!$A:$A,0))-IF(AN1170="",0,AN1170)+AP1171,INDEX('Aub Demand'!K:K,MATCH($O1170,'Aub Demand'!$A:$A,0))-IF(AN1170="",0,AN1170)),"")</f>
        <v>2943</v>
      </c>
      <c r="S1170" s="53">
        <f t="shared" si="504"/>
        <v>252.3</v>
      </c>
      <c r="T1170" s="52" t="str">
        <f t="shared" si="505"/>
        <v/>
      </c>
      <c r="U1170" s="52">
        <f>IFERROR(IF(AR1171=AR1170,INDEX('Aub Demand'!Q:Q,MATCH($O1170,'Aub Demand'!$A:$A,0))-IF(AN1170="",0,AN1170)+AP1171,INDEX('Aub Demand'!Q:Q,MATCH($O1170,'Aub Demand'!$A:$A,0))-IF(AN1170="",0,AN1170)),"")</f>
        <v>2924</v>
      </c>
      <c r="V1170" s="53">
        <f t="shared" si="506"/>
        <v>250.6</v>
      </c>
      <c r="W1170" s="52" t="str">
        <f t="shared" si="507"/>
        <v/>
      </c>
      <c r="X1170" s="52">
        <f>IFERROR(IF(AND(AR1171=AR1170,AM1170&lt;&gt;""),INDEX('Aub Demand'!Q:Q,MATCH($O1170,'Aub Demand'!$A:$A,0))-IF(AN1170="",0,AN1170)+AP1171+AD1170+AL1170,IF(AR1171=AR1170,INDEX('Aub Demand'!Q:Q,MATCH($O1170,'Aub Demand'!$A:$A,0))-IF(AN1170="",0,AN1170)+AP1171+AD1170,IF(AM1170&lt;&gt;"",INDEX('Aub Demand'!Q:Q,MATCH($O1170,'Aub Demand'!$A:$A,0))-IF(AN1170="",0,AN1170)+AD1170+AL1170,INDEX('Aub Demand'!Q:Q,MATCH($O1170,'Aub Demand'!$A:$A,0))-IF(AN1170="",0,AN1170)+AD1170))),"")</f>
        <v>2924</v>
      </c>
      <c r="Y1170" s="53">
        <f t="shared" si="508"/>
        <v>250.6</v>
      </c>
      <c r="Z1170" s="52">
        <f>IF(L1170="","",INDEX('Aub Demand'!H:H,MATCH($O1170,'Aub Demand'!$A:$A,0)))</f>
        <v>50</v>
      </c>
      <c r="AA1170" s="52">
        <f t="shared" si="509"/>
        <v>66.5</v>
      </c>
      <c r="AB1170" s="52">
        <f>IFERROR(INDEX('Aub Demand'!L:L,MATCH($O1170,'Aub Demand'!$A:$A,0)),"")</f>
        <v>65</v>
      </c>
      <c r="AC1170" s="52">
        <f>IFERROR(IF(O1170="","",SUMIFS('CPL Mats'!F:F,'CPL Mats'!Q:Q,AR1170,'CPL Mats'!S:S,AS1170)),"")</f>
        <v>0</v>
      </c>
      <c r="AF1170" s="25" t="str">
        <f>IF(SUMIFS('Supp Consol'!S:S,'Supp Consol'!Y:Y,"Releasable",'Supp Consol'!A:A,O1170)=0,"",SUMIFS('Supp Consol'!S:S,'Supp Consol'!Y:Y,"Releasable",'Supp Consol'!A:A,O1170))</f>
        <v/>
      </c>
      <c r="AG1170" s="25">
        <f>IFERROR(INDEX('Hun Demand'!Q:Q,MATCH(O1170,'Hun Demand'!A:A,0)),"")</f>
        <v>303</v>
      </c>
      <c r="AH1170" s="25">
        <f>IFERROR(INDEX('Hun Demand'!H:H,MATCH($O1170,'Hun Demand'!$A:$A,0)),"")</f>
        <v>29</v>
      </c>
      <c r="AI1170" s="25" t="str">
        <f>IF(SUMIFS('Supp Consol'!AA:AA,'Supp Consol'!Z:Z,"Expires this month",'Supp Consol'!A:A,O1170)=0,"",SUMIFS('Supp Consol'!AA:AA,'Supp Consol'!Z:Z,"Expires this month",'Supp Consol'!A:A,O1170))</f>
        <v/>
      </c>
      <c r="AJ1170" s="25" t="str">
        <f>IF(SUMIFS('Supp Consol'!AA:AA,'Supp Consol'!Z:Z,"Expired Previous Months",'Supp Consol'!A:A,O1170)=0,"",SUMIFS('Supp Consol'!AA:AA,'Supp Consol'!Z:Z,"Expired Previous Months",'Supp Consol'!A:A,O1170))</f>
        <v/>
      </c>
      <c r="AK1170" s="25" t="str">
        <f>IFERROR(INDEX('Hun Release Current'!B:B,MATCH(O1170,'Hun Release Current'!A:A,0)),"")</f>
        <v/>
      </c>
      <c r="AL1170" s="25" t="str">
        <f>IF(SUMIF('Prev Aub'!A:A,O1170,'Prev Aub'!B:B)=0,"",SUMIF('Prev Aub'!A:A,O1170,'Prev Aub'!B:B))</f>
        <v/>
      </c>
      <c r="AN1170" s="25" t="s">
        <v>3790</v>
      </c>
      <c r="AO1170" s="25" t="s">
        <v>3790</v>
      </c>
      <c r="AP1170" s="25">
        <f t="shared" si="510"/>
        <v>0</v>
      </c>
      <c r="AQ1170" s="151" t="str">
        <f>IF(SUMIFS('Supp Consol'!S:S,'Supp Consol'!A:A,O1170,'Supp Consol'!I:I,"PENDING")=0,"",SUMIFS('Supp Consol'!S:S,'Supp Consol'!A:A,O1170,'Supp Consol'!I:I,"PENDING"))</f>
        <v/>
      </c>
      <c r="AR1170" s="27" t="str">
        <f t="shared" si="511"/>
        <v>SV750</v>
      </c>
      <c r="AS1170" s="27" t="str">
        <f t="shared" si="512"/>
        <v>62</v>
      </c>
      <c r="AT1170" s="27" t="str">
        <f t="shared" si="513"/>
        <v/>
      </c>
      <c r="AU1170" s="27" t="str">
        <f t="shared" si="514"/>
        <v/>
      </c>
      <c r="AV1170" s="27" t="str">
        <f t="shared" si="515"/>
        <v/>
      </c>
      <c r="AW1170" s="27" t="str">
        <f t="shared" si="516"/>
        <v/>
      </c>
      <c r="AX1170" s="27" t="str">
        <f t="shared" si="517"/>
        <v/>
      </c>
      <c r="AY1170" s="27" t="str">
        <f t="shared" si="518"/>
        <v>SV750</v>
      </c>
      <c r="AZ1170" s="27" t="str">
        <f t="shared" si="519"/>
        <v/>
      </c>
      <c r="BA1170" s="27" t="str">
        <f t="shared" si="520"/>
        <v>Hun</v>
      </c>
      <c r="BB1170" s="27" t="str">
        <f t="shared" si="521"/>
        <v/>
      </c>
      <c r="BC1170" s="27" t="str">
        <f t="shared" si="522"/>
        <v/>
      </c>
      <c r="BD1170" s="27" t="str">
        <f t="shared" si="523"/>
        <v/>
      </c>
      <c r="BE1170" s="27" t="str">
        <f t="shared" si="524"/>
        <v/>
      </c>
      <c r="BF1170" s="27" t="str">
        <f t="shared" si="525"/>
        <v/>
      </c>
      <c r="BG1170" s="27" t="str">
        <f t="shared" si="526"/>
        <v/>
      </c>
      <c r="BH1170" s="27" t="str">
        <f t="shared" si="527"/>
        <v/>
      </c>
      <c r="BI1170" s="27" t="str">
        <f t="shared" si="528"/>
        <v/>
      </c>
      <c r="BJ1170" s="27" t="str">
        <f t="shared" si="529"/>
        <v>Supp or Hun</v>
      </c>
      <c r="BK1170" s="27" t="str">
        <f t="shared" si="530"/>
        <v/>
      </c>
      <c r="BL1170" s="27" t="str">
        <f t="shared" si="531"/>
        <v/>
      </c>
      <c r="BM1170" s="21" t="s">
        <v>5581</v>
      </c>
    </row>
    <row r="1171" spans="1:65" ht="15">
      <c r="A1171" s="25" t="str">
        <f>IFERROR(INDEX('Hun Demand'!W:W,MATCH(O1171,'Hun Demand'!A:A,0)),"")</f>
        <v/>
      </c>
      <c r="B1171" s="25" t="str">
        <f>IFERROR(INDEX('Hun Demand'!V:V,MATCH(O1171,'Hun Demand'!A:A,0)),"")</f>
        <v/>
      </c>
      <c r="C1171" s="25" t="str">
        <f>IFERROR(INDEX('Hun Demand'!U:U,MATCH(O1171,'Hun Demand'!A:A,0)),"")</f>
        <v/>
      </c>
      <c r="D1171" s="25" t="str">
        <f>IFERROR(INDEX('Hun Demand'!T:T,MATCH(O1171,'Hun Demand'!A:A,0)),"")</f>
        <v/>
      </c>
      <c r="E1171" s="25" t="str">
        <f>IFERROR(INDEX('Hun Demand'!S:S,MATCH(O1171,'Hun Demand'!A:A,0)),"")</f>
        <v/>
      </c>
      <c r="F1171" s="25" t="str">
        <f>IFERROR(INDEX('Hun Demand'!R:R,MATCH(O1171,'Hun Demand'!A:A,0)),"")</f>
        <v/>
      </c>
      <c r="G1171" s="25">
        <f>IFERROR(INDEX('Aub Demand'!W:W,MATCH(O1171,'Aub Demand'!A:A,0)),"")</f>
        <v>0</v>
      </c>
      <c r="H1171" s="25">
        <f>IFERROR(INDEX('Aub Demand'!V:V,MATCH(O1171,'Aub Demand'!A:A,0)),"")</f>
        <v>2938</v>
      </c>
      <c r="I1171" s="25">
        <f>IFERROR(INDEX('Aub Demand'!U:U,MATCH(O1171,'Aub Demand'!A:A,0)),"")</f>
        <v>562</v>
      </c>
      <c r="J1171" s="25">
        <f>IFERROR(INDEX('Aub Demand'!T:T,MATCH(O1171,'Aub Demand'!A:A,0)),"")</f>
        <v>0</v>
      </c>
      <c r="K1171" s="25">
        <f>IFERROR(INDEX('Aub Demand'!S:S,MATCH(O1171,'Aub Demand'!A:A,0)),"")</f>
        <v>527</v>
      </c>
      <c r="L1171" s="25">
        <f>IFERROR(INDEX('Aub Demand'!R:R,MATCH(O1171,'Aub Demand'!A:A,0)),"")</f>
        <v>0</v>
      </c>
      <c r="O1171" s="27" t="s">
        <v>1528</v>
      </c>
      <c r="P1171" s="27" t="str">
        <f>IFERROR(INDEX('Aub Demand'!B:B,MATCH($O1171,'Aub Demand'!$A:$A,0)),"")</f>
        <v>OLYMPIC WHITE</v>
      </c>
      <c r="Q1171" s="27" t="str">
        <f>IFERROR(INDEX('Aub Demand'!C:C,MATCH($O1171,'Aub Demand'!$A:$A,0)),"")</f>
        <v>TECHN</v>
      </c>
      <c r="R1171" s="52">
        <f>IFERROR(IF(AR1172=AR1171,INDEX('Aub Demand'!K:K,MATCH($O1171,'Aub Demand'!$A:$A,0))-IF(AN1171="",0,AN1171)+AP1172,INDEX('Aub Demand'!K:K,MATCH($O1171,'Aub Demand'!$A:$A,0))-IF(AN1171="",0,AN1171)),"")</f>
        <v>736</v>
      </c>
      <c r="S1171" s="53">
        <f t="shared" si="504"/>
        <v>8.6999999999999993</v>
      </c>
      <c r="T1171" s="52" t="str">
        <f t="shared" si="505"/>
        <v/>
      </c>
      <c r="U1171" s="52">
        <f>IFERROR(IF(AR1172=AR1171,INDEX('Aub Demand'!Q:Q,MATCH($O1171,'Aub Demand'!$A:$A,0))-IF(AN1171="",0,AN1171)+AP1172,INDEX('Aub Demand'!Q:Q,MATCH($O1171,'Aub Demand'!$A:$A,0))-IF(AN1171="",0,AN1171)),"")</f>
        <v>287</v>
      </c>
      <c r="V1171" s="53">
        <f t="shared" si="506"/>
        <v>3.4</v>
      </c>
      <c r="W1171" s="52" t="str">
        <f t="shared" si="507"/>
        <v/>
      </c>
      <c r="X1171" s="52">
        <f>IFERROR(IF(AND(AR1172=AR1171,AM1171&lt;&gt;""),INDEX('Aub Demand'!Q:Q,MATCH($O1171,'Aub Demand'!$A:$A,0))-IF(AN1171="",0,AN1171)+AP1172+AD1171+AL1171,IF(AR1172=AR1171,INDEX('Aub Demand'!Q:Q,MATCH($O1171,'Aub Demand'!$A:$A,0))-IF(AN1171="",0,AN1171)+AP1172+AD1171,IF(AM1171&lt;&gt;"",INDEX('Aub Demand'!Q:Q,MATCH($O1171,'Aub Demand'!$A:$A,0))-IF(AN1171="",0,AN1171)+AD1171+AL1171,INDEX('Aub Demand'!Q:Q,MATCH($O1171,'Aub Demand'!$A:$A,0))-IF(AN1171="",0,AN1171)+AD1171))),"")</f>
        <v>287</v>
      </c>
      <c r="Y1171" s="53">
        <f t="shared" si="508"/>
        <v>3.4</v>
      </c>
      <c r="Z1171" s="52">
        <f>IF(L1171="","",INDEX('Aub Demand'!H:H,MATCH($O1171,'Aub Demand'!$A:$A,0)))</f>
        <v>363</v>
      </c>
      <c r="AA1171" s="52">
        <f t="shared" si="509"/>
        <v>544.5</v>
      </c>
      <c r="AB1171" s="52">
        <f>IFERROR(INDEX('Aub Demand'!L:L,MATCH($O1171,'Aub Demand'!$A:$A,0)),"")</f>
        <v>391</v>
      </c>
      <c r="AC1171" s="52">
        <f>IFERROR(IF(O1171="","",SUMIFS('CPL Mats'!F:F,'CPL Mats'!Q:Q,AR1171,'CPL Mats'!S:S,AS1171)),"")</f>
        <v>0</v>
      </c>
      <c r="AF1171" s="25">
        <f>IF(SUMIFS('Supp Consol'!S:S,'Supp Consol'!Y:Y,"Releasable",'Supp Consol'!A:A,O1171)=0,"",SUMIFS('Supp Consol'!S:S,'Supp Consol'!Y:Y,"Releasable",'Supp Consol'!A:A,O1171))</f>
        <v>9557</v>
      </c>
      <c r="AG1171" s="25" t="str">
        <f>IFERROR(INDEX('Hun Demand'!Q:Q,MATCH(O1171,'Hun Demand'!A:A,0)),"")</f>
        <v/>
      </c>
      <c r="AH1171" s="25" t="str">
        <f>IFERROR(INDEX('Hun Demand'!H:H,MATCH($O1171,'Hun Demand'!$A:$A,0)),"")</f>
        <v/>
      </c>
      <c r="AI1171" s="25" t="str">
        <f>IF(SUMIFS('Supp Consol'!AA:AA,'Supp Consol'!Z:Z,"Expires this month",'Supp Consol'!A:A,O1171)=0,"",SUMIFS('Supp Consol'!AA:AA,'Supp Consol'!Z:Z,"Expires this month",'Supp Consol'!A:A,O1171))</f>
        <v/>
      </c>
      <c r="AJ1171" s="25" t="str">
        <f>IF(SUMIFS('Supp Consol'!AA:AA,'Supp Consol'!Z:Z,"Expired Previous Months",'Supp Consol'!A:A,O1171)=0,"",SUMIFS('Supp Consol'!AA:AA,'Supp Consol'!Z:Z,"Expired Previous Months",'Supp Consol'!A:A,O1171))</f>
        <v/>
      </c>
      <c r="AK1171" s="25" t="str">
        <f>IFERROR(INDEX('Hun Release Current'!B:B,MATCH(O1171,'Hun Release Current'!A:A,0)),"")</f>
        <v/>
      </c>
      <c r="AL1171" s="25" t="str">
        <f>IF(SUMIF('Prev Aub'!A:A,O1171,'Prev Aub'!B:B)=0,"",SUMIF('Prev Aub'!A:A,O1171,'Prev Aub'!B:B))</f>
        <v/>
      </c>
      <c r="AN1171" s="25" t="s">
        <v>3790</v>
      </c>
      <c r="AO1171" s="25" t="s">
        <v>3790</v>
      </c>
      <c r="AP1171" s="25">
        <f t="shared" si="510"/>
        <v>0</v>
      </c>
      <c r="AQ1171" s="151" t="str">
        <f>IF(SUMIFS('Supp Consol'!S:S,'Supp Consol'!A:A,O1171,'Supp Consol'!I:I,"PENDING")=0,"",SUMIFS('Supp Consol'!S:S,'Supp Consol'!A:A,O1171,'Supp Consol'!I:I,"PENDING"))</f>
        <v/>
      </c>
      <c r="AR1171" s="27" t="str">
        <f t="shared" si="511"/>
        <v>SW350</v>
      </c>
      <c r="AS1171" s="27" t="str">
        <f t="shared" si="512"/>
        <v>50</v>
      </c>
      <c r="AT1171" s="27" t="str">
        <f t="shared" si="513"/>
        <v/>
      </c>
      <c r="AU1171" s="27" t="str">
        <f t="shared" si="514"/>
        <v/>
      </c>
      <c r="AV1171" s="27" t="str">
        <f t="shared" si="515"/>
        <v/>
      </c>
      <c r="AW1171" s="27" t="str">
        <f t="shared" si="516"/>
        <v/>
      </c>
      <c r="AX1171" s="27" t="str">
        <f t="shared" si="517"/>
        <v>SW350</v>
      </c>
      <c r="AY1171" s="27" t="str">
        <f t="shared" si="518"/>
        <v/>
      </c>
      <c r="AZ1171" s="27" t="str">
        <f t="shared" si="519"/>
        <v>Supp</v>
      </c>
      <c r="BA1171" s="27" t="str">
        <f t="shared" si="520"/>
        <v/>
      </c>
      <c r="BB1171" s="27" t="str">
        <f t="shared" si="521"/>
        <v/>
      </c>
      <c r="BC1171" s="27" t="str">
        <f t="shared" si="522"/>
        <v/>
      </c>
      <c r="BD1171" s="27" t="str">
        <f t="shared" si="523"/>
        <v/>
      </c>
      <c r="BE1171" s="27" t="str">
        <f t="shared" si="524"/>
        <v/>
      </c>
      <c r="BF1171" s="27" t="str">
        <f t="shared" si="525"/>
        <v/>
      </c>
      <c r="BG1171" s="27" t="str">
        <f t="shared" si="526"/>
        <v/>
      </c>
      <c r="BH1171" s="27" t="str">
        <f t="shared" si="527"/>
        <v/>
      </c>
      <c r="BI1171" s="27" t="str">
        <f t="shared" si="528"/>
        <v/>
      </c>
      <c r="BJ1171" s="27" t="str">
        <f t="shared" si="529"/>
        <v>Supp or Hun</v>
      </c>
      <c r="BK1171" s="27" t="str">
        <f t="shared" si="530"/>
        <v/>
      </c>
      <c r="BL1171" s="27" t="str">
        <f t="shared" si="531"/>
        <v/>
      </c>
      <c r="BM1171" s="21" t="s">
        <v>5581</v>
      </c>
    </row>
    <row r="1172" spans="1:65" ht="15">
      <c r="A1172" s="25" t="str">
        <f>IFERROR(INDEX('Hun Demand'!W:W,MATCH(O1172,'Hun Demand'!A:A,0)),"")</f>
        <v/>
      </c>
      <c r="B1172" s="25" t="str">
        <f>IFERROR(INDEX('Hun Demand'!V:V,MATCH(O1172,'Hun Demand'!A:A,0)),"")</f>
        <v/>
      </c>
      <c r="C1172" s="25" t="str">
        <f>IFERROR(INDEX('Hun Demand'!U:U,MATCH(O1172,'Hun Demand'!A:A,0)),"")</f>
        <v/>
      </c>
      <c r="D1172" s="25" t="str">
        <f>IFERROR(INDEX('Hun Demand'!T:T,MATCH(O1172,'Hun Demand'!A:A,0)),"")</f>
        <v/>
      </c>
      <c r="E1172" s="25" t="str">
        <f>IFERROR(INDEX('Hun Demand'!S:S,MATCH(O1172,'Hun Demand'!A:A,0)),"")</f>
        <v/>
      </c>
      <c r="F1172" s="25" t="str">
        <f>IFERROR(INDEX('Hun Demand'!R:R,MATCH(O1172,'Hun Demand'!A:A,0)),"")</f>
        <v/>
      </c>
      <c r="G1172" s="25">
        <f>IFERROR(INDEX('Aub Demand'!W:W,MATCH(O1172,'Aub Demand'!A:A,0)),"")</f>
        <v>0</v>
      </c>
      <c r="H1172" s="25">
        <f>IFERROR(INDEX('Aub Demand'!V:V,MATCH(O1172,'Aub Demand'!A:A,0)),"")</f>
        <v>992</v>
      </c>
      <c r="I1172" s="25">
        <f>IFERROR(INDEX('Aub Demand'!U:U,MATCH(O1172,'Aub Demand'!A:A,0)),"")</f>
        <v>0</v>
      </c>
      <c r="J1172" s="25">
        <f>IFERROR(INDEX('Aub Demand'!T:T,MATCH(O1172,'Aub Demand'!A:A,0)),"")</f>
        <v>0</v>
      </c>
      <c r="K1172" s="25">
        <f>IFERROR(INDEX('Aub Demand'!S:S,MATCH(O1172,'Aub Demand'!A:A,0)),"")</f>
        <v>99</v>
      </c>
      <c r="L1172" s="25">
        <f>IFERROR(INDEX('Aub Demand'!R:R,MATCH(O1172,'Aub Demand'!A:A,0)),"")</f>
        <v>0</v>
      </c>
      <c r="O1172" s="27" t="s">
        <v>1530</v>
      </c>
      <c r="P1172" s="27" t="str">
        <f>IFERROR(INDEX('Aub Demand'!B:B,MATCH($O1172,'Aub Demand'!$A:$A,0)),"")</f>
        <v>OLYMPIC WHITE</v>
      </c>
      <c r="Q1172" s="27" t="str">
        <f>IFERROR(INDEX('Aub Demand'!C:C,MATCH($O1172,'Aub Demand'!$A:$A,0)),"")</f>
        <v>TECHN</v>
      </c>
      <c r="R1172" s="52">
        <f>IFERROR(IF(AR1173=AR1172,INDEX('Aub Demand'!K:K,MATCH($O1172,'Aub Demand'!$A:$A,0))-IF(AN1172="",0,AN1172)+AP1173,INDEX('Aub Demand'!K:K,MATCH($O1172,'Aub Demand'!$A:$A,0))-IF(AN1172="",0,AN1172)),"")</f>
        <v>5234</v>
      </c>
      <c r="S1172" s="53">
        <f t="shared" si="504"/>
        <v>679.7</v>
      </c>
      <c r="T1172" s="52" t="str">
        <f t="shared" si="505"/>
        <v/>
      </c>
      <c r="U1172" s="52">
        <f>IFERROR(IF(AR1173=AR1172,INDEX('Aub Demand'!Q:Q,MATCH($O1172,'Aub Demand'!$A:$A,0))-IF(AN1172="",0,AN1172)+AP1173,INDEX('Aub Demand'!Q:Q,MATCH($O1172,'Aub Demand'!$A:$A,0))-IF(AN1172="",0,AN1172)),"")</f>
        <v>5234</v>
      </c>
      <c r="V1172" s="53">
        <f t="shared" si="506"/>
        <v>679.7</v>
      </c>
      <c r="W1172" s="52" t="str">
        <f t="shared" si="507"/>
        <v/>
      </c>
      <c r="X1172" s="52">
        <f>IFERROR(IF(AND(AR1173=AR1172,AM1172&lt;&gt;""),INDEX('Aub Demand'!Q:Q,MATCH($O1172,'Aub Demand'!$A:$A,0))-IF(AN1172="",0,AN1172)+AP1173+AD1172+AL1172,IF(AR1173=AR1172,INDEX('Aub Demand'!Q:Q,MATCH($O1172,'Aub Demand'!$A:$A,0))-IF(AN1172="",0,AN1172)+AP1173+AD1172,IF(AM1172&lt;&gt;"",INDEX('Aub Demand'!Q:Q,MATCH($O1172,'Aub Demand'!$A:$A,0))-IF(AN1172="",0,AN1172)+AD1172+AL1172,INDEX('Aub Demand'!Q:Q,MATCH($O1172,'Aub Demand'!$A:$A,0))-IF(AN1172="",0,AN1172)+AD1172))),"")</f>
        <v>5234</v>
      </c>
      <c r="Y1172" s="53">
        <f t="shared" si="508"/>
        <v>679.7</v>
      </c>
      <c r="Z1172" s="52">
        <f>IF(L1172="","",INDEX('Aub Demand'!H:H,MATCH($O1172,'Aub Demand'!$A:$A,0)))</f>
        <v>33</v>
      </c>
      <c r="AA1172" s="52" t="str">
        <f t="shared" si="509"/>
        <v>-spike-</v>
      </c>
      <c r="AB1172" s="52">
        <f>IFERROR(INDEX('Aub Demand'!L:L,MATCH($O1172,'Aub Demand'!$A:$A,0)),"")</f>
        <v>0</v>
      </c>
      <c r="AC1172" s="52">
        <f>IFERROR(IF(O1172="","",SUMIFS('CPL Mats'!F:F,'CPL Mats'!Q:Q,AR1172,'CPL Mats'!S:S,AS1172)),"")</f>
        <v>0</v>
      </c>
      <c r="AF1172" s="25">
        <f>IF(SUMIFS('Supp Consol'!S:S,'Supp Consol'!Y:Y,"Releasable",'Supp Consol'!A:A,O1172)=0,"",SUMIFS('Supp Consol'!S:S,'Supp Consol'!Y:Y,"Releasable",'Supp Consol'!A:A,O1172))</f>
        <v>2520</v>
      </c>
      <c r="AG1172" s="25" t="str">
        <f>IFERROR(INDEX('Hun Demand'!Q:Q,MATCH(O1172,'Hun Demand'!A:A,0)),"")</f>
        <v/>
      </c>
      <c r="AH1172" s="25" t="str">
        <f>IFERROR(INDEX('Hun Demand'!H:H,MATCH($O1172,'Hun Demand'!$A:$A,0)),"")</f>
        <v/>
      </c>
      <c r="AI1172" s="25" t="str">
        <f>IF(SUMIFS('Supp Consol'!AA:AA,'Supp Consol'!Z:Z,"Expires this month",'Supp Consol'!A:A,O1172)=0,"",SUMIFS('Supp Consol'!AA:AA,'Supp Consol'!Z:Z,"Expires this month",'Supp Consol'!A:A,O1172))</f>
        <v/>
      </c>
      <c r="AJ1172" s="25" t="str">
        <f>IF(SUMIFS('Supp Consol'!AA:AA,'Supp Consol'!Z:Z,"Expired Previous Months",'Supp Consol'!A:A,O1172)=0,"",SUMIFS('Supp Consol'!AA:AA,'Supp Consol'!Z:Z,"Expired Previous Months",'Supp Consol'!A:A,O1172))</f>
        <v/>
      </c>
      <c r="AK1172" s="25" t="str">
        <f>IFERROR(INDEX('Hun Release Current'!B:B,MATCH(O1172,'Hun Release Current'!A:A,0)),"")</f>
        <v/>
      </c>
      <c r="AL1172" s="25" t="str">
        <f>IF(SUMIF('Prev Aub'!A:A,O1172,'Prev Aub'!B:B)=0,"",SUMIF('Prev Aub'!A:A,O1172,'Prev Aub'!B:B))</f>
        <v/>
      </c>
      <c r="AN1172" s="25" t="s">
        <v>3790</v>
      </c>
      <c r="AO1172" s="25" t="s">
        <v>3790</v>
      </c>
      <c r="AP1172" s="25">
        <f t="shared" si="510"/>
        <v>0</v>
      </c>
      <c r="AQ1172" s="151" t="str">
        <f>IF(SUMIFS('Supp Consol'!S:S,'Supp Consol'!A:A,O1172,'Supp Consol'!I:I,"PENDING")=0,"",SUMIFS('Supp Consol'!S:S,'Supp Consol'!A:A,O1172,'Supp Consol'!I:I,"PENDING"))</f>
        <v/>
      </c>
      <c r="AR1172" s="27" t="str">
        <f t="shared" si="511"/>
        <v>SW350</v>
      </c>
      <c r="AS1172" s="27" t="str">
        <f t="shared" si="512"/>
        <v>62</v>
      </c>
      <c r="AT1172" s="27" t="str">
        <f t="shared" si="513"/>
        <v/>
      </c>
      <c r="AU1172" s="27" t="str">
        <f t="shared" si="514"/>
        <v/>
      </c>
      <c r="AV1172" s="27" t="str">
        <f t="shared" si="515"/>
        <v/>
      </c>
      <c r="AW1172" s="27" t="str">
        <f t="shared" si="516"/>
        <v/>
      </c>
      <c r="AX1172" s="27" t="str">
        <f t="shared" si="517"/>
        <v>SW350</v>
      </c>
      <c r="AY1172" s="27" t="str">
        <f t="shared" si="518"/>
        <v/>
      </c>
      <c r="AZ1172" s="27" t="str">
        <f t="shared" si="519"/>
        <v>Supp</v>
      </c>
      <c r="BA1172" s="27" t="str">
        <f t="shared" si="520"/>
        <v/>
      </c>
      <c r="BB1172" s="27" t="str">
        <f t="shared" si="521"/>
        <v/>
      </c>
      <c r="BC1172" s="27" t="str">
        <f t="shared" si="522"/>
        <v/>
      </c>
      <c r="BD1172" s="27" t="str">
        <f t="shared" si="523"/>
        <v/>
      </c>
      <c r="BE1172" s="27" t="str">
        <f t="shared" si="524"/>
        <v/>
      </c>
      <c r="BF1172" s="27" t="str">
        <f t="shared" si="525"/>
        <v/>
      </c>
      <c r="BG1172" s="27" t="str">
        <f t="shared" si="526"/>
        <v/>
      </c>
      <c r="BH1172" s="27" t="str">
        <f t="shared" si="527"/>
        <v/>
      </c>
      <c r="BI1172" s="27" t="str">
        <f t="shared" si="528"/>
        <v/>
      </c>
      <c r="BJ1172" s="27" t="str">
        <f t="shared" si="529"/>
        <v>Supp or Hun</v>
      </c>
      <c r="BK1172" s="27" t="str">
        <f t="shared" si="530"/>
        <v/>
      </c>
      <c r="BL1172" s="27" t="str">
        <f t="shared" si="531"/>
        <v/>
      </c>
      <c r="BM1172" s="21" t="s">
        <v>5581</v>
      </c>
    </row>
    <row r="1173" spans="1:65" ht="15">
      <c r="A1173" s="25" t="str">
        <f>IFERROR(INDEX('Hun Demand'!W:W,MATCH(O1173,'Hun Demand'!A:A,0)),"")</f>
        <v/>
      </c>
      <c r="B1173" s="25" t="str">
        <f>IFERROR(INDEX('Hun Demand'!V:V,MATCH(O1173,'Hun Demand'!A:A,0)),"")</f>
        <v/>
      </c>
      <c r="C1173" s="25" t="str">
        <f>IFERROR(INDEX('Hun Demand'!U:U,MATCH(O1173,'Hun Demand'!A:A,0)),"")</f>
        <v/>
      </c>
      <c r="D1173" s="25" t="str">
        <f>IFERROR(INDEX('Hun Demand'!T:T,MATCH(O1173,'Hun Demand'!A:A,0)),"")</f>
        <v/>
      </c>
      <c r="E1173" s="25" t="str">
        <f>IFERROR(INDEX('Hun Demand'!S:S,MATCH(O1173,'Hun Demand'!A:A,0)),"")</f>
        <v/>
      </c>
      <c r="F1173" s="25" t="str">
        <f>IFERROR(INDEX('Hun Demand'!R:R,MATCH(O1173,'Hun Demand'!A:A,0)),"")</f>
        <v/>
      </c>
      <c r="G1173" s="25">
        <f>IFERROR(INDEX('Aub Demand'!W:W,MATCH(O1173,'Aub Demand'!A:A,0)),"")</f>
        <v>974</v>
      </c>
      <c r="H1173" s="25">
        <f>IFERROR(INDEX('Aub Demand'!V:V,MATCH(O1173,'Aub Demand'!A:A,0)),"")</f>
        <v>984</v>
      </c>
      <c r="I1173" s="25">
        <f>IFERROR(INDEX('Aub Demand'!U:U,MATCH(O1173,'Aub Demand'!A:A,0)),"")</f>
        <v>370</v>
      </c>
      <c r="J1173" s="25">
        <f>IFERROR(INDEX('Aub Demand'!T:T,MATCH(O1173,'Aub Demand'!A:A,0)),"")</f>
        <v>1187</v>
      </c>
      <c r="K1173" s="25">
        <f>IFERROR(INDEX('Aub Demand'!S:S,MATCH(O1173,'Aub Demand'!A:A,0)),"")</f>
        <v>618</v>
      </c>
      <c r="L1173" s="25">
        <f>IFERROR(INDEX('Aub Demand'!R:R,MATCH(O1173,'Aub Demand'!A:A,0)),"")</f>
        <v>0</v>
      </c>
      <c r="O1173" s="27" t="s">
        <v>1531</v>
      </c>
      <c r="P1173" s="27" t="str">
        <f>IFERROR(INDEX('Aub Demand'!B:B,MATCH($O1173,'Aub Demand'!$A:$A,0)),"")</f>
        <v>SNOWFALL</v>
      </c>
      <c r="Q1173" s="27" t="str">
        <f>IFERROR(INDEX('Aub Demand'!C:C,MATCH($O1173,'Aub Demand'!$A:$A,0)),"")</f>
        <v>TECHN</v>
      </c>
      <c r="R1173" s="52">
        <f>IFERROR(IF(AR1174=AR1173,INDEX('Aub Demand'!K:K,MATCH($O1173,'Aub Demand'!$A:$A,0))-IF(AN1173="",0,AN1173)+AP1174,INDEX('Aub Demand'!K:K,MATCH($O1173,'Aub Demand'!$A:$A,0))-IF(AN1173="",0,AN1173)),"")</f>
        <v>2400</v>
      </c>
      <c r="S1173" s="53">
        <f t="shared" si="504"/>
        <v>14.2</v>
      </c>
      <c r="T1173" s="52" t="str">
        <f t="shared" si="505"/>
        <v/>
      </c>
      <c r="U1173" s="52">
        <f>IFERROR(IF(AR1174=AR1173,INDEX('Aub Demand'!Q:Q,MATCH($O1173,'Aub Demand'!$A:$A,0))-IF(AN1173="",0,AN1173)+AP1174,INDEX('Aub Demand'!Q:Q,MATCH($O1173,'Aub Demand'!$A:$A,0))-IF(AN1173="",0,AN1173)),"")</f>
        <v>2400</v>
      </c>
      <c r="V1173" s="53">
        <f t="shared" si="506"/>
        <v>14.2</v>
      </c>
      <c r="W1173" s="52" t="str">
        <f t="shared" si="507"/>
        <v/>
      </c>
      <c r="X1173" s="52">
        <f>IFERROR(IF(AND(AR1174=AR1173,AM1173&lt;&gt;""),INDEX('Aub Demand'!Q:Q,MATCH($O1173,'Aub Demand'!$A:$A,0))-IF(AN1173="",0,AN1173)+AP1174+AD1173+AL1173,IF(AR1174=AR1173,INDEX('Aub Demand'!Q:Q,MATCH($O1173,'Aub Demand'!$A:$A,0))-IF(AN1173="",0,AN1173)+AP1174+AD1173,IF(AM1173&lt;&gt;"",INDEX('Aub Demand'!Q:Q,MATCH($O1173,'Aub Demand'!$A:$A,0))-IF(AN1173="",0,AN1173)+AD1173+AL1173,INDEX('Aub Demand'!Q:Q,MATCH($O1173,'Aub Demand'!$A:$A,0))-IF(AN1173="",0,AN1173)+AD1173))),"")</f>
        <v>2400</v>
      </c>
      <c r="Y1173" s="53">
        <f t="shared" si="508"/>
        <v>14.2</v>
      </c>
      <c r="Z1173" s="52">
        <f>IF(L1173="","",INDEX('Aub Demand'!H:H,MATCH($O1173,'Aub Demand'!$A:$A,0)))</f>
        <v>725</v>
      </c>
      <c r="AA1173" s="52">
        <f t="shared" si="509"/>
        <v>902.5</v>
      </c>
      <c r="AB1173" s="52">
        <f>IFERROR(INDEX('Aub Demand'!L:L,MATCH($O1173,'Aub Demand'!$A:$A,0)),"")</f>
        <v>447</v>
      </c>
      <c r="AC1173" s="52">
        <f>IFERROR(IF(O1173="","",SUMIFS('CPL Mats'!F:F,'CPL Mats'!Q:Q,AR1173,'CPL Mats'!S:S,AS1173)),"")</f>
        <v>0</v>
      </c>
      <c r="AF1173" s="25" t="str">
        <f>IF(SUMIFS('Supp Consol'!S:S,'Supp Consol'!Y:Y,"Releasable",'Supp Consol'!A:A,O1173)=0,"",SUMIFS('Supp Consol'!S:S,'Supp Consol'!Y:Y,"Releasable",'Supp Consol'!A:A,O1173))</f>
        <v/>
      </c>
      <c r="AG1173" s="25" t="str">
        <f>IFERROR(INDEX('Hun Demand'!Q:Q,MATCH(O1173,'Hun Demand'!A:A,0)),"")</f>
        <v/>
      </c>
      <c r="AH1173" s="25" t="str">
        <f>IFERROR(INDEX('Hun Demand'!H:H,MATCH($O1173,'Hun Demand'!$A:$A,0)),"")</f>
        <v/>
      </c>
      <c r="AI1173" s="25" t="str">
        <f>IF(SUMIFS('Supp Consol'!AA:AA,'Supp Consol'!Z:Z,"Expires this month",'Supp Consol'!A:A,O1173)=0,"",SUMIFS('Supp Consol'!AA:AA,'Supp Consol'!Z:Z,"Expires this month",'Supp Consol'!A:A,O1173))</f>
        <v/>
      </c>
      <c r="AJ1173" s="25" t="str">
        <f>IF(SUMIFS('Supp Consol'!AA:AA,'Supp Consol'!Z:Z,"Expired Previous Months",'Supp Consol'!A:A,O1173)=0,"",SUMIFS('Supp Consol'!AA:AA,'Supp Consol'!Z:Z,"Expired Previous Months",'Supp Consol'!A:A,O1173))</f>
        <v/>
      </c>
      <c r="AK1173" s="25" t="str">
        <f>IFERROR(INDEX('Hun Release Current'!B:B,MATCH(O1173,'Hun Release Current'!A:A,0)),"")</f>
        <v/>
      </c>
      <c r="AL1173" s="25" t="str">
        <f>IF(SUMIF('Prev Aub'!A:A,O1173,'Prev Aub'!B:B)=0,"",SUMIF('Prev Aub'!A:A,O1173,'Prev Aub'!B:B))</f>
        <v/>
      </c>
      <c r="AN1173" s="25" t="s">
        <v>3790</v>
      </c>
      <c r="AO1173" s="25" t="s">
        <v>3790</v>
      </c>
      <c r="AP1173" s="25">
        <f t="shared" si="510"/>
        <v>0</v>
      </c>
      <c r="AQ1173" s="151" t="str">
        <f>IF(SUMIFS('Supp Consol'!S:S,'Supp Consol'!A:A,O1173,'Supp Consol'!I:I,"PENDING")=0,"",SUMIFS('Supp Consol'!S:S,'Supp Consol'!A:A,O1173,'Supp Consol'!I:I,"PENDING"))</f>
        <v/>
      </c>
      <c r="AR1173" s="27" t="str">
        <f t="shared" si="511"/>
        <v>SW480</v>
      </c>
      <c r="AS1173" s="27" t="str">
        <f t="shared" si="512"/>
        <v>50</v>
      </c>
      <c r="AT1173" s="27" t="str">
        <f t="shared" si="513"/>
        <v/>
      </c>
      <c r="AU1173" s="27" t="str">
        <f t="shared" si="514"/>
        <v/>
      </c>
      <c r="AV1173" s="27" t="str">
        <f t="shared" si="515"/>
        <v/>
      </c>
      <c r="AW1173" s="27" t="str">
        <f t="shared" si="516"/>
        <v/>
      </c>
      <c r="AX1173" s="27" t="str">
        <f t="shared" si="517"/>
        <v/>
      </c>
      <c r="AY1173" s="27" t="str">
        <f t="shared" si="518"/>
        <v/>
      </c>
      <c r="AZ1173" s="27" t="str">
        <f t="shared" si="519"/>
        <v/>
      </c>
      <c r="BA1173" s="27" t="str">
        <f t="shared" si="520"/>
        <v/>
      </c>
      <c r="BB1173" s="27" t="str">
        <f t="shared" si="521"/>
        <v/>
      </c>
      <c r="BC1173" s="27" t="str">
        <f t="shared" si="522"/>
        <v/>
      </c>
      <c r="BD1173" s="27" t="str">
        <f t="shared" si="523"/>
        <v/>
      </c>
      <c r="BE1173" s="27" t="str">
        <f t="shared" si="524"/>
        <v/>
      </c>
      <c r="BF1173" s="27" t="str">
        <f t="shared" si="525"/>
        <v/>
      </c>
      <c r="BG1173" s="27" t="str">
        <f t="shared" si="526"/>
        <v/>
      </c>
      <c r="BH1173" s="27" t="str">
        <f t="shared" si="527"/>
        <v/>
      </c>
      <c r="BI1173" s="27" t="str">
        <f t="shared" si="528"/>
        <v/>
      </c>
      <c r="BJ1173" s="27" t="str">
        <f t="shared" si="529"/>
        <v/>
      </c>
      <c r="BK1173" s="27" t="str">
        <f t="shared" si="530"/>
        <v/>
      </c>
      <c r="BL1173" s="27" t="str">
        <f t="shared" si="531"/>
        <v/>
      </c>
      <c r="BM1173" s="21" t="s">
        <v>5581</v>
      </c>
    </row>
    <row r="1174" spans="1:65" ht="15">
      <c r="A1174" s="25" t="str">
        <f>IFERROR(INDEX('Hun Demand'!W:W,MATCH(O1174,'Hun Demand'!A:A,0)),"")</f>
        <v/>
      </c>
      <c r="B1174" s="25" t="str">
        <f>IFERROR(INDEX('Hun Demand'!V:V,MATCH(O1174,'Hun Demand'!A:A,0)),"")</f>
        <v/>
      </c>
      <c r="C1174" s="25" t="str">
        <f>IFERROR(INDEX('Hun Demand'!U:U,MATCH(O1174,'Hun Demand'!A:A,0)),"")</f>
        <v/>
      </c>
      <c r="D1174" s="25" t="str">
        <f>IFERROR(INDEX('Hun Demand'!T:T,MATCH(O1174,'Hun Demand'!A:A,0)),"")</f>
        <v/>
      </c>
      <c r="E1174" s="25" t="str">
        <f>IFERROR(INDEX('Hun Demand'!S:S,MATCH(O1174,'Hun Demand'!A:A,0)),"")</f>
        <v/>
      </c>
      <c r="F1174" s="25" t="str">
        <f>IFERROR(INDEX('Hun Demand'!R:R,MATCH(O1174,'Hun Demand'!A:A,0)),"")</f>
        <v/>
      </c>
      <c r="G1174" s="25">
        <f>IFERROR(INDEX('Aub Demand'!W:W,MATCH(O1174,'Aub Demand'!A:A,0)),"")</f>
        <v>127</v>
      </c>
      <c r="H1174" s="25">
        <f>IFERROR(INDEX('Aub Demand'!V:V,MATCH(O1174,'Aub Demand'!A:A,0)),"")</f>
        <v>84</v>
      </c>
      <c r="I1174" s="25">
        <f>IFERROR(INDEX('Aub Demand'!U:U,MATCH(O1174,'Aub Demand'!A:A,0)),"")</f>
        <v>0</v>
      </c>
      <c r="J1174" s="25">
        <f>IFERROR(INDEX('Aub Demand'!T:T,MATCH(O1174,'Aub Demand'!A:A,0)),"")</f>
        <v>73</v>
      </c>
      <c r="K1174" s="25">
        <f>IFERROR(INDEX('Aub Demand'!S:S,MATCH(O1174,'Aub Demand'!A:A,0)),"")</f>
        <v>153</v>
      </c>
      <c r="L1174" s="25">
        <f>IFERROR(INDEX('Aub Demand'!R:R,MATCH(O1174,'Aub Demand'!A:A,0)),"")</f>
        <v>0</v>
      </c>
      <c r="O1174" s="27" t="s">
        <v>1533</v>
      </c>
      <c r="P1174" s="27" t="str">
        <f>IFERROR(INDEX('Aub Demand'!B:B,MATCH($O1174,'Aub Demand'!$A:$A,0)),"")</f>
        <v>SNOWFALL</v>
      </c>
      <c r="Q1174" s="27" t="str">
        <f>IFERROR(INDEX('Aub Demand'!C:C,MATCH($O1174,'Aub Demand'!$A:$A,0)),"")</f>
        <v>TECHN</v>
      </c>
      <c r="R1174" s="52">
        <f>IFERROR(IF(AR1175=AR1174,INDEX('Aub Demand'!K:K,MATCH($O1174,'Aub Demand'!$A:$A,0))-IF(AN1174="",0,AN1174)+AP1175,INDEX('Aub Demand'!K:K,MATCH($O1174,'Aub Demand'!$A:$A,0))-IF(AN1174="",0,AN1174)),"")</f>
        <v>8539</v>
      </c>
      <c r="S1174" s="53">
        <f t="shared" si="504"/>
        <v>487.9</v>
      </c>
      <c r="T1174" s="52" t="str">
        <f t="shared" si="505"/>
        <v/>
      </c>
      <c r="U1174" s="52">
        <f>IFERROR(IF(AR1175=AR1174,INDEX('Aub Demand'!Q:Q,MATCH($O1174,'Aub Demand'!$A:$A,0))-IF(AN1174="",0,AN1174)+AP1175,INDEX('Aub Demand'!Q:Q,MATCH($O1174,'Aub Demand'!$A:$A,0))-IF(AN1174="",0,AN1174)),"")</f>
        <v>8539</v>
      </c>
      <c r="V1174" s="53">
        <f t="shared" si="506"/>
        <v>487.9</v>
      </c>
      <c r="W1174" s="52" t="str">
        <f t="shared" si="507"/>
        <v/>
      </c>
      <c r="X1174" s="52">
        <f>IFERROR(IF(AND(AR1175=AR1174,AM1174&lt;&gt;""),INDEX('Aub Demand'!Q:Q,MATCH($O1174,'Aub Demand'!$A:$A,0))-IF(AN1174="",0,AN1174)+AP1175+AD1174+AL1174,IF(AR1175=AR1174,INDEX('Aub Demand'!Q:Q,MATCH($O1174,'Aub Demand'!$A:$A,0))-IF(AN1174="",0,AN1174)+AP1175+AD1174,IF(AM1174&lt;&gt;"",INDEX('Aub Demand'!Q:Q,MATCH($O1174,'Aub Demand'!$A:$A,0))-IF(AN1174="",0,AN1174)+AD1174+AL1174,INDEX('Aub Demand'!Q:Q,MATCH($O1174,'Aub Demand'!$A:$A,0))-IF(AN1174="",0,AN1174)+AD1174))),"")</f>
        <v>8539</v>
      </c>
      <c r="Y1174" s="53">
        <f t="shared" si="508"/>
        <v>487.9</v>
      </c>
      <c r="Z1174" s="52">
        <f>IF(L1174="","",INDEX('Aub Demand'!H:H,MATCH($O1174,'Aub Demand'!$A:$A,0)))</f>
        <v>75</v>
      </c>
      <c r="AA1174" s="52">
        <f t="shared" si="509"/>
        <v>113</v>
      </c>
      <c r="AB1174" s="52">
        <f>IFERROR(INDEX('Aub Demand'!L:L,MATCH($O1174,'Aub Demand'!$A:$A,0)),"")</f>
        <v>26</v>
      </c>
      <c r="AC1174" s="52">
        <f>IFERROR(IF(O1174="","",SUMIFS('CPL Mats'!F:F,'CPL Mats'!Q:Q,AR1174,'CPL Mats'!S:S,AS1174)),"")</f>
        <v>0</v>
      </c>
      <c r="AF1174" s="25" t="str">
        <f>IF(SUMIFS('Supp Consol'!S:S,'Supp Consol'!Y:Y,"Releasable",'Supp Consol'!A:A,O1174)=0,"",SUMIFS('Supp Consol'!S:S,'Supp Consol'!Y:Y,"Releasable",'Supp Consol'!A:A,O1174))</f>
        <v/>
      </c>
      <c r="AG1174" s="25" t="str">
        <f>IFERROR(INDEX('Hun Demand'!Q:Q,MATCH(O1174,'Hun Demand'!A:A,0)),"")</f>
        <v/>
      </c>
      <c r="AH1174" s="25" t="str">
        <f>IFERROR(INDEX('Hun Demand'!H:H,MATCH($O1174,'Hun Demand'!$A:$A,0)),"")</f>
        <v/>
      </c>
      <c r="AI1174" s="25" t="str">
        <f>IF(SUMIFS('Supp Consol'!AA:AA,'Supp Consol'!Z:Z,"Expires this month",'Supp Consol'!A:A,O1174)=0,"",SUMIFS('Supp Consol'!AA:AA,'Supp Consol'!Z:Z,"Expires this month",'Supp Consol'!A:A,O1174))</f>
        <v/>
      </c>
      <c r="AJ1174" s="25" t="str">
        <f>IF(SUMIFS('Supp Consol'!AA:AA,'Supp Consol'!Z:Z,"Expired Previous Months",'Supp Consol'!A:A,O1174)=0,"",SUMIFS('Supp Consol'!AA:AA,'Supp Consol'!Z:Z,"Expired Previous Months",'Supp Consol'!A:A,O1174))</f>
        <v/>
      </c>
      <c r="AK1174" s="25" t="str">
        <f>IFERROR(INDEX('Hun Release Current'!B:B,MATCH(O1174,'Hun Release Current'!A:A,0)),"")</f>
        <v/>
      </c>
      <c r="AL1174" s="25" t="str">
        <f>IF(SUMIF('Prev Aub'!A:A,O1174,'Prev Aub'!B:B)=0,"",SUMIF('Prev Aub'!A:A,O1174,'Prev Aub'!B:B))</f>
        <v/>
      </c>
      <c r="AN1174" s="25" t="s">
        <v>3790</v>
      </c>
      <c r="AO1174" s="25" t="s">
        <v>3790</v>
      </c>
      <c r="AP1174" s="25">
        <f t="shared" si="510"/>
        <v>0</v>
      </c>
      <c r="AQ1174" s="151" t="str">
        <f>IF(SUMIFS('Supp Consol'!S:S,'Supp Consol'!A:A,O1174,'Supp Consol'!I:I,"PENDING")=0,"",SUMIFS('Supp Consol'!S:S,'Supp Consol'!A:A,O1174,'Supp Consol'!I:I,"PENDING"))</f>
        <v/>
      </c>
      <c r="AR1174" s="27" t="str">
        <f t="shared" si="511"/>
        <v>SW480</v>
      </c>
      <c r="AS1174" s="27" t="str">
        <f t="shared" si="512"/>
        <v>62</v>
      </c>
      <c r="AT1174" s="27" t="str">
        <f t="shared" si="513"/>
        <v/>
      </c>
      <c r="AU1174" s="27" t="str">
        <f t="shared" si="514"/>
        <v/>
      </c>
      <c r="AV1174" s="27" t="str">
        <f t="shared" si="515"/>
        <v/>
      </c>
      <c r="AW1174" s="27" t="str">
        <f t="shared" si="516"/>
        <v/>
      </c>
      <c r="AX1174" s="27" t="str">
        <f t="shared" si="517"/>
        <v/>
      </c>
      <c r="AY1174" s="27" t="str">
        <f t="shared" si="518"/>
        <v/>
      </c>
      <c r="AZ1174" s="27" t="str">
        <f t="shared" si="519"/>
        <v/>
      </c>
      <c r="BA1174" s="27" t="str">
        <f t="shared" si="520"/>
        <v/>
      </c>
      <c r="BB1174" s="27" t="str">
        <f t="shared" si="521"/>
        <v/>
      </c>
      <c r="BC1174" s="27" t="str">
        <f t="shared" si="522"/>
        <v/>
      </c>
      <c r="BD1174" s="27" t="str">
        <f t="shared" si="523"/>
        <v/>
      </c>
      <c r="BE1174" s="27" t="str">
        <f t="shared" si="524"/>
        <v/>
      </c>
      <c r="BF1174" s="27" t="str">
        <f t="shared" si="525"/>
        <v/>
      </c>
      <c r="BG1174" s="27" t="str">
        <f t="shared" si="526"/>
        <v/>
      </c>
      <c r="BH1174" s="27" t="str">
        <f t="shared" si="527"/>
        <v/>
      </c>
      <c r="BI1174" s="27" t="str">
        <f t="shared" si="528"/>
        <v/>
      </c>
      <c r="BJ1174" s="27" t="str">
        <f t="shared" si="529"/>
        <v/>
      </c>
      <c r="BK1174" s="27" t="str">
        <f t="shared" si="530"/>
        <v/>
      </c>
      <c r="BL1174" s="27" t="str">
        <f t="shared" si="531"/>
        <v/>
      </c>
      <c r="BM1174" s="21" t="s">
        <v>5581</v>
      </c>
    </row>
    <row r="1175" spans="1:65" ht="15">
      <c r="A1175" s="25" t="str">
        <f>IFERROR(INDEX('Hun Demand'!W:W,MATCH(O1175,'Hun Demand'!A:A,0)),"")</f>
        <v/>
      </c>
      <c r="B1175" s="25" t="str">
        <f>IFERROR(INDEX('Hun Demand'!V:V,MATCH(O1175,'Hun Demand'!A:A,0)),"")</f>
        <v/>
      </c>
      <c r="C1175" s="25" t="str">
        <f>IFERROR(INDEX('Hun Demand'!U:U,MATCH(O1175,'Hun Demand'!A:A,0)),"")</f>
        <v/>
      </c>
      <c r="D1175" s="25" t="str">
        <f>IFERROR(INDEX('Hun Demand'!T:T,MATCH(O1175,'Hun Demand'!A:A,0)),"")</f>
        <v/>
      </c>
      <c r="E1175" s="25" t="str">
        <f>IFERROR(INDEX('Hun Demand'!S:S,MATCH(O1175,'Hun Demand'!A:A,0)),"")</f>
        <v/>
      </c>
      <c r="F1175" s="25" t="str">
        <f>IFERROR(INDEX('Hun Demand'!R:R,MATCH(O1175,'Hun Demand'!A:A,0)),"")</f>
        <v/>
      </c>
      <c r="G1175" s="25">
        <f>IFERROR(INDEX('Aub Demand'!W:W,MATCH(O1175,'Aub Demand'!A:A,0)),"")</f>
        <v>162</v>
      </c>
      <c r="H1175" s="25">
        <f>IFERROR(INDEX('Aub Demand'!V:V,MATCH(O1175,'Aub Demand'!A:A,0)),"")</f>
        <v>150</v>
      </c>
      <c r="I1175" s="25">
        <f>IFERROR(INDEX('Aub Demand'!U:U,MATCH(O1175,'Aub Demand'!A:A,0)),"")</f>
        <v>142</v>
      </c>
      <c r="J1175" s="25">
        <f>IFERROR(INDEX('Aub Demand'!T:T,MATCH(O1175,'Aub Demand'!A:A,0)),"")</f>
        <v>0</v>
      </c>
      <c r="K1175" s="25">
        <f>IFERROR(INDEX('Aub Demand'!S:S,MATCH(O1175,'Aub Demand'!A:A,0)),"")</f>
        <v>23</v>
      </c>
      <c r="L1175" s="25">
        <f>IFERROR(INDEX('Aub Demand'!R:R,MATCH(O1175,'Aub Demand'!A:A,0)),"")</f>
        <v>0</v>
      </c>
      <c r="O1175" s="27" t="s">
        <v>2768</v>
      </c>
      <c r="P1175" s="27" t="str">
        <f>IFERROR(INDEX('Aub Demand'!B:B,MATCH($O1175,'Aub Demand'!$A:$A,0)),"")</f>
        <v>SOLID WHITE 48"</v>
      </c>
      <c r="Q1175" s="27" t="str">
        <f>IFERROR(INDEX('Aub Demand'!C:C,MATCH($O1175,'Aub Demand'!$A:$A,0)),"")</f>
        <v>ONYX</v>
      </c>
      <c r="R1175" s="52">
        <f>IFERROR(IF(AR1176=AR1175,INDEX('Aub Demand'!K:K,MATCH($O1175,'Aub Demand'!$A:$A,0))-IF(AN1175="",0,AN1175)+AP1176,INDEX('Aub Demand'!K:K,MATCH($O1175,'Aub Demand'!$A:$A,0))-IF(AN1175="",0,AN1175)),"")</f>
        <v>491</v>
      </c>
      <c r="S1175" s="53">
        <f t="shared" si="504"/>
        <v>38.299999999999997</v>
      </c>
      <c r="T1175" s="52" t="str">
        <f t="shared" si="505"/>
        <v/>
      </c>
      <c r="U1175" s="52">
        <f>IFERROR(IF(AR1176=AR1175,INDEX('Aub Demand'!Q:Q,MATCH($O1175,'Aub Demand'!$A:$A,0))-IF(AN1175="",0,AN1175)+AP1176,INDEX('Aub Demand'!Q:Q,MATCH($O1175,'Aub Demand'!$A:$A,0))-IF(AN1175="",0,AN1175)),"")</f>
        <v>317</v>
      </c>
      <c r="V1175" s="53">
        <f t="shared" si="506"/>
        <v>24.7</v>
      </c>
      <c r="W1175" s="52" t="str">
        <f t="shared" si="507"/>
        <v/>
      </c>
      <c r="X1175" s="52">
        <f>IFERROR(IF(AND(AR1176=AR1175,AM1175&lt;&gt;""),INDEX('Aub Demand'!Q:Q,MATCH($O1175,'Aub Demand'!$A:$A,0))-IF(AN1175="",0,AN1175)+AP1176+AD1175+AL1175,IF(AR1176=AR1175,INDEX('Aub Demand'!Q:Q,MATCH($O1175,'Aub Demand'!$A:$A,0))-IF(AN1175="",0,AN1175)+AP1176+AD1175,IF(AM1175&lt;&gt;"",INDEX('Aub Demand'!Q:Q,MATCH($O1175,'Aub Demand'!$A:$A,0))-IF(AN1175="",0,AN1175)+AD1175+AL1175,INDEX('Aub Demand'!Q:Q,MATCH($O1175,'Aub Demand'!$A:$A,0))-IF(AN1175="",0,AN1175)+AD1175))),"")</f>
        <v>317</v>
      </c>
      <c r="Y1175" s="53">
        <f t="shared" si="508"/>
        <v>24.7</v>
      </c>
      <c r="Z1175" s="52">
        <f>IF(L1175="","",INDEX('Aub Demand'!H:H,MATCH($O1175,'Aub Demand'!$A:$A,0)))</f>
        <v>55</v>
      </c>
      <c r="AA1175" s="52">
        <f t="shared" si="509"/>
        <v>82.5</v>
      </c>
      <c r="AB1175" s="52">
        <f>IFERROR(INDEX('Aub Demand'!L:L,MATCH($O1175,'Aub Demand'!$A:$A,0)),"")</f>
        <v>42</v>
      </c>
      <c r="AC1175" s="52">
        <f>IFERROR(IF(O1175="","",SUMIFS('CPL Mats'!F:F,'CPL Mats'!Q:Q,AR1175,'CPL Mats'!S:S,AS1175)),"")</f>
        <v>0</v>
      </c>
      <c r="AF1175" s="25">
        <f>IF(SUMIFS('Supp Consol'!S:S,'Supp Consol'!Y:Y,"Releasable",'Supp Consol'!A:A,O1175)=0,"",SUMIFS('Supp Consol'!S:S,'Supp Consol'!Y:Y,"Releasable",'Supp Consol'!A:A,O1175))</f>
        <v>2836</v>
      </c>
      <c r="AG1175" s="25" t="str">
        <f>IFERROR(INDEX('Hun Demand'!Q:Q,MATCH(O1175,'Hun Demand'!A:A,0)),"")</f>
        <v/>
      </c>
      <c r="AH1175" s="25" t="str">
        <f>IFERROR(INDEX('Hun Demand'!H:H,MATCH($O1175,'Hun Demand'!$A:$A,0)),"")</f>
        <v/>
      </c>
      <c r="AI1175" s="25" t="str">
        <f>IF(SUMIFS('Supp Consol'!AA:AA,'Supp Consol'!Z:Z,"Expires this month",'Supp Consol'!A:A,O1175)=0,"",SUMIFS('Supp Consol'!AA:AA,'Supp Consol'!Z:Z,"Expires this month",'Supp Consol'!A:A,O1175))</f>
        <v/>
      </c>
      <c r="AJ1175" s="25" t="str">
        <f>IF(SUMIFS('Supp Consol'!AA:AA,'Supp Consol'!Z:Z,"Expired Previous Months",'Supp Consol'!A:A,O1175)=0,"",SUMIFS('Supp Consol'!AA:AA,'Supp Consol'!Z:Z,"Expired Previous Months",'Supp Consol'!A:A,O1175))</f>
        <v/>
      </c>
      <c r="AK1175" s="25" t="str">
        <f>IFERROR(INDEX('Hun Release Current'!B:B,MATCH(O1175,'Hun Release Current'!A:A,0)),"")</f>
        <v/>
      </c>
      <c r="AL1175" s="25" t="str">
        <f>IF(SUMIF('Prev Aub'!A:A,O1175,'Prev Aub'!B:B)=0,"",SUMIF('Prev Aub'!A:A,O1175,'Prev Aub'!B:B))</f>
        <v/>
      </c>
      <c r="AN1175" s="25" t="s">
        <v>3790</v>
      </c>
      <c r="AO1175" s="25" t="s">
        <v>3790</v>
      </c>
      <c r="AP1175" s="25">
        <f t="shared" si="510"/>
        <v>0</v>
      </c>
      <c r="AQ1175" s="151" t="str">
        <f>IF(SUMIFS('Supp Consol'!S:S,'Supp Consol'!A:A,O1175,'Supp Consol'!I:I,"PENDING")=0,"",SUMIFS('Supp Consol'!S:S,'Supp Consol'!A:A,O1175,'Supp Consol'!I:I,"PENDING"))</f>
        <v/>
      </c>
      <c r="AR1175" s="27" t="str">
        <f t="shared" si="511"/>
        <v>SW704</v>
      </c>
      <c r="AS1175" s="27" t="str">
        <f t="shared" si="512"/>
        <v>50</v>
      </c>
      <c r="AT1175" s="27" t="str">
        <f t="shared" si="513"/>
        <v/>
      </c>
      <c r="AU1175" s="27" t="str">
        <f t="shared" si="514"/>
        <v/>
      </c>
      <c r="AV1175" s="27" t="str">
        <f t="shared" si="515"/>
        <v/>
      </c>
      <c r="AW1175" s="27" t="str">
        <f t="shared" si="516"/>
        <v/>
      </c>
      <c r="AX1175" s="27" t="str">
        <f t="shared" si="517"/>
        <v>SW704</v>
      </c>
      <c r="AY1175" s="27" t="str">
        <f t="shared" si="518"/>
        <v/>
      </c>
      <c r="AZ1175" s="27" t="str">
        <f t="shared" si="519"/>
        <v>Supp</v>
      </c>
      <c r="BA1175" s="27" t="str">
        <f t="shared" si="520"/>
        <v/>
      </c>
      <c r="BB1175" s="27" t="str">
        <f t="shared" si="521"/>
        <v/>
      </c>
      <c r="BC1175" s="27" t="str">
        <f t="shared" si="522"/>
        <v/>
      </c>
      <c r="BD1175" s="27" t="str">
        <f t="shared" si="523"/>
        <v/>
      </c>
      <c r="BE1175" s="27" t="str">
        <f t="shared" si="524"/>
        <v/>
      </c>
      <c r="BF1175" s="27" t="str">
        <f t="shared" si="525"/>
        <v/>
      </c>
      <c r="BG1175" s="27" t="str">
        <f t="shared" si="526"/>
        <v/>
      </c>
      <c r="BH1175" s="27" t="str">
        <f t="shared" si="527"/>
        <v/>
      </c>
      <c r="BI1175" s="27" t="str">
        <f t="shared" si="528"/>
        <v/>
      </c>
      <c r="BJ1175" s="27" t="str">
        <f t="shared" si="529"/>
        <v>Supp or Hun</v>
      </c>
      <c r="BK1175" s="27" t="str">
        <f t="shared" si="530"/>
        <v/>
      </c>
      <c r="BL1175" s="27" t="str">
        <f t="shared" si="531"/>
        <v/>
      </c>
      <c r="BM1175" s="21" t="s">
        <v>5581</v>
      </c>
    </row>
    <row r="1176" spans="1:65" ht="15">
      <c r="A1176" s="25" t="str">
        <f>IFERROR(INDEX('Hun Demand'!W:W,MATCH(O1176,'Hun Demand'!A:A,0)),"")</f>
        <v/>
      </c>
      <c r="B1176" s="25" t="str">
        <f>IFERROR(INDEX('Hun Demand'!V:V,MATCH(O1176,'Hun Demand'!A:A,0)),"")</f>
        <v/>
      </c>
      <c r="C1176" s="25" t="str">
        <f>IFERROR(INDEX('Hun Demand'!U:U,MATCH(O1176,'Hun Demand'!A:A,0)),"")</f>
        <v/>
      </c>
      <c r="D1176" s="25" t="str">
        <f>IFERROR(INDEX('Hun Demand'!T:T,MATCH(O1176,'Hun Demand'!A:A,0)),"")</f>
        <v/>
      </c>
      <c r="E1176" s="25" t="str">
        <f>IFERROR(INDEX('Hun Demand'!S:S,MATCH(O1176,'Hun Demand'!A:A,0)),"")</f>
        <v/>
      </c>
      <c r="F1176" s="25" t="str">
        <f>IFERROR(INDEX('Hun Demand'!R:R,MATCH(O1176,'Hun Demand'!A:A,0)),"")</f>
        <v/>
      </c>
      <c r="G1176" s="25">
        <f>IFERROR(INDEX('Aub Demand'!W:W,MATCH(O1176,'Aub Demand'!A:A,0)),"")</f>
        <v>238</v>
      </c>
      <c r="H1176" s="25">
        <f>IFERROR(INDEX('Aub Demand'!V:V,MATCH(O1176,'Aub Demand'!A:A,0)),"")</f>
        <v>0</v>
      </c>
      <c r="I1176" s="25">
        <f>IFERROR(INDEX('Aub Demand'!U:U,MATCH(O1176,'Aub Demand'!A:A,0)),"")</f>
        <v>173</v>
      </c>
      <c r="J1176" s="25">
        <f>IFERROR(INDEX('Aub Demand'!T:T,MATCH(O1176,'Aub Demand'!A:A,0)),"")</f>
        <v>0</v>
      </c>
      <c r="K1176" s="25">
        <f>IFERROR(INDEX('Aub Demand'!S:S,MATCH(O1176,'Aub Demand'!A:A,0)),"")</f>
        <v>85</v>
      </c>
      <c r="L1176" s="25">
        <f>IFERROR(INDEX('Aub Demand'!R:R,MATCH(O1176,'Aub Demand'!A:A,0)),"")</f>
        <v>103</v>
      </c>
      <c r="O1176" s="27" t="s">
        <v>2771</v>
      </c>
      <c r="P1176" s="27" t="str">
        <f>IFERROR(INDEX('Aub Demand'!B:B,MATCH($O1176,'Aub Demand'!$A:$A,0)),"")</f>
        <v>SOLID WHITE 60"</v>
      </c>
      <c r="Q1176" s="27" t="str">
        <f>IFERROR(INDEX('Aub Demand'!C:C,MATCH($O1176,'Aub Demand'!$A:$A,0)),"")</f>
        <v>ONYX</v>
      </c>
      <c r="R1176" s="52">
        <f>IFERROR(IF(AR1177=AR1176,INDEX('Aub Demand'!K:K,MATCH($O1176,'Aub Demand'!$A:$A,0))-IF(AN1176="",0,AN1176)+AP1177,INDEX('Aub Demand'!K:K,MATCH($O1176,'Aub Demand'!$A:$A,0))-IF(AN1176="",0,AN1176)),"")</f>
        <v>857</v>
      </c>
      <c r="S1176" s="53">
        <f t="shared" si="504"/>
        <v>42.7</v>
      </c>
      <c r="T1176" s="52" t="str">
        <f t="shared" si="505"/>
        <v/>
      </c>
      <c r="U1176" s="52">
        <f>IFERROR(IF(AR1177=AR1176,INDEX('Aub Demand'!Q:Q,MATCH($O1176,'Aub Demand'!$A:$A,0))-IF(AN1176="",0,AN1176)+AP1177,INDEX('Aub Demand'!Q:Q,MATCH($O1176,'Aub Demand'!$A:$A,0))-IF(AN1176="",0,AN1176)),"")</f>
        <v>790</v>
      </c>
      <c r="V1176" s="53">
        <f t="shared" si="506"/>
        <v>39.4</v>
      </c>
      <c r="W1176" s="52" t="str">
        <f t="shared" si="507"/>
        <v/>
      </c>
      <c r="X1176" s="52">
        <f>IFERROR(IF(AND(AR1177=AR1176,AM1176&lt;&gt;""),INDEX('Aub Demand'!Q:Q,MATCH($O1176,'Aub Demand'!$A:$A,0))-IF(AN1176="",0,AN1176)+AP1177+AD1176+AL1176,IF(AR1177=AR1176,INDEX('Aub Demand'!Q:Q,MATCH($O1176,'Aub Demand'!$A:$A,0))-IF(AN1176="",0,AN1176)+AP1177+AD1176,IF(AM1176&lt;&gt;"",INDEX('Aub Demand'!Q:Q,MATCH($O1176,'Aub Demand'!$A:$A,0))-IF(AN1176="",0,AN1176)+AD1176+AL1176,INDEX('Aub Demand'!Q:Q,MATCH($O1176,'Aub Demand'!$A:$A,0))-IF(AN1176="",0,AN1176)+AD1176))),"")</f>
        <v>790</v>
      </c>
      <c r="Y1176" s="53">
        <f t="shared" si="508"/>
        <v>39.4</v>
      </c>
      <c r="Z1176" s="52">
        <f>IF(L1176="","",INDEX('Aub Demand'!H:H,MATCH($O1176,'Aub Demand'!$A:$A,0)))</f>
        <v>86</v>
      </c>
      <c r="AA1176" s="52">
        <f t="shared" si="509"/>
        <v>138</v>
      </c>
      <c r="AB1176" s="52">
        <f>IFERROR(INDEX('Aub Demand'!L:L,MATCH($O1176,'Aub Demand'!$A:$A,0)),"")</f>
        <v>140</v>
      </c>
      <c r="AC1176" s="52">
        <f>IFERROR(IF(O1176="","",SUMIFS('CPL Mats'!F:F,'CPL Mats'!Q:Q,AR1176,'CPL Mats'!S:S,AS1176)),"")</f>
        <v>0</v>
      </c>
      <c r="AF1176" s="25">
        <f>IF(SUMIFS('Supp Consol'!S:S,'Supp Consol'!Y:Y,"Releasable",'Supp Consol'!A:A,O1176)=0,"",SUMIFS('Supp Consol'!S:S,'Supp Consol'!Y:Y,"Releasable",'Supp Consol'!A:A,O1176))</f>
        <v>543</v>
      </c>
      <c r="AG1176" s="25" t="str">
        <f>IFERROR(INDEX('Hun Demand'!Q:Q,MATCH(O1176,'Hun Demand'!A:A,0)),"")</f>
        <v/>
      </c>
      <c r="AH1176" s="25" t="str">
        <f>IFERROR(INDEX('Hun Demand'!H:H,MATCH($O1176,'Hun Demand'!$A:$A,0)),"")</f>
        <v/>
      </c>
      <c r="AI1176" s="25" t="str">
        <f>IF(SUMIFS('Supp Consol'!AA:AA,'Supp Consol'!Z:Z,"Expires this month",'Supp Consol'!A:A,O1176)=0,"",SUMIFS('Supp Consol'!AA:AA,'Supp Consol'!Z:Z,"Expires this month",'Supp Consol'!A:A,O1176))</f>
        <v/>
      </c>
      <c r="AJ1176" s="25" t="str">
        <f>IF(SUMIFS('Supp Consol'!AA:AA,'Supp Consol'!Z:Z,"Expired Previous Months",'Supp Consol'!A:A,O1176)=0,"",SUMIFS('Supp Consol'!AA:AA,'Supp Consol'!Z:Z,"Expired Previous Months",'Supp Consol'!A:A,O1176))</f>
        <v/>
      </c>
      <c r="AK1176" s="25" t="str">
        <f>IFERROR(INDEX('Hun Release Current'!B:B,MATCH(O1176,'Hun Release Current'!A:A,0)),"")</f>
        <v/>
      </c>
      <c r="AL1176" s="25" t="str">
        <f>IF(SUMIF('Prev Aub'!A:A,O1176,'Prev Aub'!B:B)=0,"",SUMIF('Prev Aub'!A:A,O1176,'Prev Aub'!B:B))</f>
        <v/>
      </c>
      <c r="AN1176" s="25" t="s">
        <v>3790</v>
      </c>
      <c r="AO1176" s="25" t="s">
        <v>3790</v>
      </c>
      <c r="AP1176" s="25">
        <f t="shared" si="510"/>
        <v>0</v>
      </c>
      <c r="AQ1176" s="151" t="str">
        <f>IF(SUMIFS('Supp Consol'!S:S,'Supp Consol'!A:A,O1176,'Supp Consol'!I:I,"PENDING")=0,"",SUMIFS('Supp Consol'!S:S,'Supp Consol'!A:A,O1176,'Supp Consol'!I:I,"PENDING"))</f>
        <v/>
      </c>
      <c r="AR1176" s="27" t="str">
        <f t="shared" si="511"/>
        <v>SW704</v>
      </c>
      <c r="AS1176" s="27" t="str">
        <f t="shared" si="512"/>
        <v>62</v>
      </c>
      <c r="AT1176" s="27" t="str">
        <f t="shared" si="513"/>
        <v/>
      </c>
      <c r="AU1176" s="27" t="str">
        <f t="shared" si="514"/>
        <v/>
      </c>
      <c r="AV1176" s="27" t="str">
        <f t="shared" si="515"/>
        <v/>
      </c>
      <c r="AW1176" s="27" t="str">
        <f t="shared" si="516"/>
        <v/>
      </c>
      <c r="AX1176" s="27" t="str">
        <f t="shared" si="517"/>
        <v>SW704</v>
      </c>
      <c r="AY1176" s="27" t="str">
        <f t="shared" si="518"/>
        <v/>
      </c>
      <c r="AZ1176" s="27" t="str">
        <f t="shared" si="519"/>
        <v>Supp</v>
      </c>
      <c r="BA1176" s="27" t="str">
        <f t="shared" si="520"/>
        <v/>
      </c>
      <c r="BB1176" s="27" t="str">
        <f t="shared" si="521"/>
        <v/>
      </c>
      <c r="BC1176" s="27" t="str">
        <f t="shared" si="522"/>
        <v/>
      </c>
      <c r="BD1176" s="27" t="str">
        <f t="shared" si="523"/>
        <v/>
      </c>
      <c r="BE1176" s="27" t="str">
        <f t="shared" si="524"/>
        <v/>
      </c>
      <c r="BF1176" s="27" t="str">
        <f t="shared" si="525"/>
        <v/>
      </c>
      <c r="BG1176" s="27" t="str">
        <f t="shared" si="526"/>
        <v/>
      </c>
      <c r="BH1176" s="27" t="str">
        <f t="shared" si="527"/>
        <v/>
      </c>
      <c r="BI1176" s="27" t="str">
        <f t="shared" si="528"/>
        <v/>
      </c>
      <c r="BJ1176" s="27" t="str">
        <f t="shared" si="529"/>
        <v>Supp or Hun</v>
      </c>
      <c r="BK1176" s="27" t="str">
        <f t="shared" si="530"/>
        <v/>
      </c>
      <c r="BL1176" s="27" t="str">
        <f t="shared" si="531"/>
        <v/>
      </c>
      <c r="BM1176" s="21" t="s">
        <v>5581</v>
      </c>
    </row>
    <row r="1177" spans="1:65" ht="15">
      <c r="A1177" s="25" t="str">
        <f>IFERROR(INDEX('Hun Demand'!W:W,MATCH(O1177,'Hun Demand'!A:A,0)),"")</f>
        <v/>
      </c>
      <c r="B1177" s="25" t="str">
        <f>IFERROR(INDEX('Hun Demand'!V:V,MATCH(O1177,'Hun Demand'!A:A,0)),"")</f>
        <v/>
      </c>
      <c r="C1177" s="25" t="str">
        <f>IFERROR(INDEX('Hun Demand'!U:U,MATCH(O1177,'Hun Demand'!A:A,0)),"")</f>
        <v/>
      </c>
      <c r="D1177" s="25" t="str">
        <f>IFERROR(INDEX('Hun Demand'!T:T,MATCH(O1177,'Hun Demand'!A:A,0)),"")</f>
        <v/>
      </c>
      <c r="E1177" s="25" t="str">
        <f>IFERROR(INDEX('Hun Demand'!S:S,MATCH(O1177,'Hun Demand'!A:A,0)),"")</f>
        <v/>
      </c>
      <c r="F1177" s="25" t="str">
        <f>IFERROR(INDEX('Hun Demand'!R:R,MATCH(O1177,'Hun Demand'!A:A,0)),"")</f>
        <v/>
      </c>
      <c r="G1177" s="25">
        <f>IFERROR(INDEX('Aub Demand'!W:W,MATCH(O1177,'Aub Demand'!A:A,0)),"")</f>
        <v>297</v>
      </c>
      <c r="H1177" s="25">
        <f>IFERROR(INDEX('Aub Demand'!V:V,MATCH(O1177,'Aub Demand'!A:A,0)),"")</f>
        <v>0</v>
      </c>
      <c r="I1177" s="25">
        <f>IFERROR(INDEX('Aub Demand'!U:U,MATCH(O1177,'Aub Demand'!A:A,0)),"")</f>
        <v>0</v>
      </c>
      <c r="J1177" s="25">
        <f>IFERROR(INDEX('Aub Demand'!T:T,MATCH(O1177,'Aub Demand'!A:A,0)),"")</f>
        <v>0</v>
      </c>
      <c r="K1177" s="25">
        <f>IFERROR(INDEX('Aub Demand'!S:S,MATCH(O1177,'Aub Demand'!A:A,0)),"")</f>
        <v>0</v>
      </c>
      <c r="L1177" s="25">
        <f>IFERROR(INDEX('Aub Demand'!R:R,MATCH(O1177,'Aub Demand'!A:A,0)),"")</f>
        <v>0</v>
      </c>
      <c r="O1177" s="27" t="s">
        <v>2774</v>
      </c>
      <c r="P1177" s="27" t="str">
        <f>IFERROR(INDEX('Aub Demand'!B:B,MATCH($O1177,'Aub Demand'!$A:$A,0)),"")</f>
        <v>ANTIQUE WHITE</v>
      </c>
      <c r="Q1177" s="27" t="str">
        <f>IFERROR(INDEX('Aub Demand'!C:C,MATCH($O1177,'Aub Demand'!$A:$A,0)),"")</f>
        <v>TECHN</v>
      </c>
      <c r="R1177" s="52">
        <f>IFERROR(IF(AR1178=AR1177,INDEX('Aub Demand'!K:K,MATCH($O1177,'Aub Demand'!$A:$A,0))-IF(AN1177="",0,AN1177)+AP1178,INDEX('Aub Demand'!K:K,MATCH($O1177,'Aub Demand'!$A:$A,0))-IF(AN1177="",0,AN1177)),"")</f>
        <v>0</v>
      </c>
      <c r="S1177" s="53" t="str">
        <f t="shared" si="504"/>
        <v>n/a</v>
      </c>
      <c r="T1177" s="52" t="str">
        <f t="shared" si="505"/>
        <v/>
      </c>
      <c r="U1177" s="52">
        <f>IFERROR(IF(AR1178=AR1177,INDEX('Aub Demand'!Q:Q,MATCH($O1177,'Aub Demand'!$A:$A,0))-IF(AN1177="",0,AN1177)+AP1178,INDEX('Aub Demand'!Q:Q,MATCH($O1177,'Aub Demand'!$A:$A,0))-IF(AN1177="",0,AN1177)),"")</f>
        <v>-80</v>
      </c>
      <c r="V1177" s="53" t="str">
        <f t="shared" si="506"/>
        <v>n/a</v>
      </c>
      <c r="W1177" s="52" t="str">
        <f t="shared" si="507"/>
        <v/>
      </c>
      <c r="X1177" s="52">
        <f>IFERROR(IF(AND(AR1178=AR1177,AM1177&lt;&gt;""),INDEX('Aub Demand'!Q:Q,MATCH($O1177,'Aub Demand'!$A:$A,0))-IF(AN1177="",0,AN1177)+AP1178+AD1177+AL1177,IF(AR1178=AR1177,INDEX('Aub Demand'!Q:Q,MATCH($O1177,'Aub Demand'!$A:$A,0))-IF(AN1177="",0,AN1177)+AP1178+AD1177,IF(AM1177&lt;&gt;"",INDEX('Aub Demand'!Q:Q,MATCH($O1177,'Aub Demand'!$A:$A,0))-IF(AN1177="",0,AN1177)+AD1177+AL1177,INDEX('Aub Demand'!Q:Q,MATCH($O1177,'Aub Demand'!$A:$A,0))-IF(AN1177="",0,AN1177)+AD1177))),"")</f>
        <v>-80</v>
      </c>
      <c r="Y1177" s="53" t="str">
        <f t="shared" si="508"/>
        <v>n/a</v>
      </c>
      <c r="Z1177" s="52">
        <f>IF(L1177="","",INDEX('Aub Demand'!H:H,MATCH($O1177,'Aub Demand'!$A:$A,0)))</f>
        <v>0</v>
      </c>
      <c r="AA1177" s="52" t="str">
        <f t="shared" si="509"/>
        <v>-spike-</v>
      </c>
      <c r="AB1177" s="52">
        <f>IFERROR(INDEX('Aub Demand'!L:L,MATCH($O1177,'Aub Demand'!$A:$A,0)),"")</f>
        <v>185</v>
      </c>
      <c r="AC1177" s="52">
        <f>IFERROR(IF(O1177="","",SUMIFS('CPL Mats'!F:F,'CPL Mats'!Q:Q,AR1177,'CPL Mats'!S:S,AS1177)),"")</f>
        <v>0</v>
      </c>
      <c r="AF1177" s="25" t="str">
        <f>IF(SUMIFS('Supp Consol'!S:S,'Supp Consol'!Y:Y,"Releasable",'Supp Consol'!A:A,O1177)=0,"",SUMIFS('Supp Consol'!S:S,'Supp Consol'!Y:Y,"Releasable",'Supp Consol'!A:A,O1177))</f>
        <v/>
      </c>
      <c r="AG1177" s="25" t="str">
        <f>IFERROR(INDEX('Hun Demand'!Q:Q,MATCH(O1177,'Hun Demand'!A:A,0)),"")</f>
        <v/>
      </c>
      <c r="AH1177" s="25" t="str">
        <f>IFERROR(INDEX('Hun Demand'!H:H,MATCH($O1177,'Hun Demand'!$A:$A,0)),"")</f>
        <v/>
      </c>
      <c r="AI1177" s="25" t="str">
        <f>IF(SUMIFS('Supp Consol'!AA:AA,'Supp Consol'!Z:Z,"Expires this month",'Supp Consol'!A:A,O1177)=0,"",SUMIFS('Supp Consol'!AA:AA,'Supp Consol'!Z:Z,"Expires this month",'Supp Consol'!A:A,O1177))</f>
        <v/>
      </c>
      <c r="AJ1177" s="25" t="str">
        <f>IF(SUMIFS('Supp Consol'!AA:AA,'Supp Consol'!Z:Z,"Expired Previous Months",'Supp Consol'!A:A,O1177)=0,"",SUMIFS('Supp Consol'!AA:AA,'Supp Consol'!Z:Z,"Expired Previous Months",'Supp Consol'!A:A,O1177))</f>
        <v/>
      </c>
      <c r="AK1177" s="25" t="str">
        <f>IFERROR(INDEX('Hun Release Current'!B:B,MATCH(O1177,'Hun Release Current'!A:A,0)),"")</f>
        <v/>
      </c>
      <c r="AL1177" s="25" t="str">
        <f>IF(SUMIF('Prev Aub'!A:A,O1177,'Prev Aub'!B:B)=0,"",SUMIF('Prev Aub'!A:A,O1177,'Prev Aub'!B:B))</f>
        <v/>
      </c>
      <c r="AN1177" s="25" t="s">
        <v>3790</v>
      </c>
      <c r="AO1177" s="25" t="s">
        <v>3790</v>
      </c>
      <c r="AP1177" s="25">
        <f t="shared" si="510"/>
        <v>0</v>
      </c>
      <c r="AQ1177" s="151" t="str">
        <f>IF(SUMIFS('Supp Consol'!S:S,'Supp Consol'!A:A,O1177,'Supp Consol'!I:I,"PENDING")=0,"",SUMIFS('Supp Consol'!S:S,'Supp Consol'!A:A,O1177,'Supp Consol'!I:I,"PENDING"))</f>
        <v/>
      </c>
      <c r="AR1177" s="27" t="str">
        <f t="shared" si="511"/>
        <v>SW705</v>
      </c>
      <c r="AS1177" s="27" t="str">
        <f t="shared" si="512"/>
        <v>37</v>
      </c>
      <c r="AT1177" s="27" t="str">
        <f t="shared" si="513"/>
        <v/>
      </c>
      <c r="AU1177" s="27" t="str">
        <f t="shared" si="514"/>
        <v/>
      </c>
      <c r="AV1177" s="27" t="str">
        <f t="shared" si="515"/>
        <v/>
      </c>
      <c r="AW1177" s="27" t="str">
        <f t="shared" si="516"/>
        <v/>
      </c>
      <c r="AX1177" s="27" t="str">
        <f t="shared" si="517"/>
        <v/>
      </c>
      <c r="AY1177" s="27" t="str">
        <f t="shared" si="518"/>
        <v/>
      </c>
      <c r="AZ1177" s="27" t="str">
        <f t="shared" si="519"/>
        <v/>
      </c>
      <c r="BA1177" s="27" t="str">
        <f t="shared" si="520"/>
        <v/>
      </c>
      <c r="BB1177" s="27" t="str">
        <f t="shared" si="521"/>
        <v/>
      </c>
      <c r="BC1177" s="27" t="str">
        <f t="shared" si="522"/>
        <v/>
      </c>
      <c r="BD1177" s="27" t="str">
        <f t="shared" si="523"/>
        <v/>
      </c>
      <c r="BE1177" s="27" t="str">
        <f t="shared" si="524"/>
        <v/>
      </c>
      <c r="BF1177" s="27" t="str">
        <f t="shared" si="525"/>
        <v/>
      </c>
      <c r="BG1177" s="27" t="str">
        <f t="shared" si="526"/>
        <v/>
      </c>
      <c r="BH1177" s="27" t="str">
        <f t="shared" si="527"/>
        <v/>
      </c>
      <c r="BI1177" s="27" t="str">
        <f t="shared" si="528"/>
        <v/>
      </c>
      <c r="BJ1177" s="27" t="str">
        <f t="shared" si="529"/>
        <v/>
      </c>
      <c r="BK1177" s="27" t="str">
        <f t="shared" si="530"/>
        <v/>
      </c>
      <c r="BL1177" s="27" t="str">
        <f t="shared" si="531"/>
        <v/>
      </c>
      <c r="BM1177" s="21" t="s">
        <v>5581</v>
      </c>
    </row>
    <row r="1178" spans="1:65" ht="15">
      <c r="A1178" s="25" t="str">
        <f>IFERROR(INDEX('Hun Demand'!W:W,MATCH(O1178,'Hun Demand'!A:A,0)),"")</f>
        <v/>
      </c>
      <c r="B1178" s="25" t="str">
        <f>IFERROR(INDEX('Hun Demand'!V:V,MATCH(O1178,'Hun Demand'!A:A,0)),"")</f>
        <v/>
      </c>
      <c r="C1178" s="25" t="str">
        <f>IFERROR(INDEX('Hun Demand'!U:U,MATCH(O1178,'Hun Demand'!A:A,0)),"")</f>
        <v/>
      </c>
      <c r="D1178" s="25" t="str">
        <f>IFERROR(INDEX('Hun Demand'!T:T,MATCH(O1178,'Hun Demand'!A:A,0)),"")</f>
        <v/>
      </c>
      <c r="E1178" s="25" t="str">
        <f>IFERROR(INDEX('Hun Demand'!S:S,MATCH(O1178,'Hun Demand'!A:A,0)),"")</f>
        <v/>
      </c>
      <c r="F1178" s="25" t="str">
        <f>IFERROR(INDEX('Hun Demand'!R:R,MATCH(O1178,'Hun Demand'!A:A,0)),"")</f>
        <v/>
      </c>
      <c r="G1178" s="25">
        <f>IFERROR(INDEX('Aub Demand'!W:W,MATCH(O1178,'Aub Demand'!A:A,0)),"")</f>
        <v>0</v>
      </c>
      <c r="H1178" s="25">
        <f>IFERROR(INDEX('Aub Demand'!V:V,MATCH(O1178,'Aub Demand'!A:A,0)),"")</f>
        <v>368</v>
      </c>
      <c r="I1178" s="25">
        <f>IFERROR(INDEX('Aub Demand'!U:U,MATCH(O1178,'Aub Demand'!A:A,0)),"")</f>
        <v>67</v>
      </c>
      <c r="J1178" s="25">
        <f>IFERROR(INDEX('Aub Demand'!T:T,MATCH(O1178,'Aub Demand'!A:A,0)),"")</f>
        <v>480</v>
      </c>
      <c r="K1178" s="25">
        <f>IFERROR(INDEX('Aub Demand'!S:S,MATCH(O1178,'Aub Demand'!A:A,0)),"")</f>
        <v>373</v>
      </c>
      <c r="L1178" s="25">
        <f>IFERROR(INDEX('Aub Demand'!R:R,MATCH(O1178,'Aub Demand'!A:A,0)),"")</f>
        <v>0</v>
      </c>
      <c r="O1178" s="27" t="s">
        <v>2777</v>
      </c>
      <c r="P1178" s="27" t="str">
        <f>IFERROR(INDEX('Aub Demand'!B:B,MATCH($O1178,'Aub Demand'!$A:$A,0)),"")</f>
        <v>ANTIQUE WHITE</v>
      </c>
      <c r="Q1178" s="27" t="str">
        <f>IFERROR(INDEX('Aub Demand'!C:C,MATCH($O1178,'Aub Demand'!$A:$A,0)),"")</f>
        <v>TECHN</v>
      </c>
      <c r="R1178" s="52">
        <f>IFERROR(IF(AR1179=AR1178,INDEX('Aub Demand'!K:K,MATCH($O1178,'Aub Demand'!$A:$A,0))-IF(AN1178="",0,AN1178)+AP1179,INDEX('Aub Demand'!K:K,MATCH($O1178,'Aub Demand'!$A:$A,0))-IF(AN1178="",0,AN1178)),"")</f>
        <v>3201</v>
      </c>
      <c r="S1178" s="53">
        <f t="shared" si="504"/>
        <v>44.7</v>
      </c>
      <c r="T1178" s="52" t="str">
        <f t="shared" si="505"/>
        <v/>
      </c>
      <c r="U1178" s="52">
        <f>IFERROR(IF(AR1179=AR1178,INDEX('Aub Demand'!Q:Q,MATCH($O1178,'Aub Demand'!$A:$A,0))-IF(AN1178="",0,AN1178)+AP1179,INDEX('Aub Demand'!Q:Q,MATCH($O1178,'Aub Demand'!$A:$A,0))-IF(AN1178="",0,AN1178)),"")</f>
        <v>3119</v>
      </c>
      <c r="V1178" s="53">
        <f t="shared" si="506"/>
        <v>43.5</v>
      </c>
      <c r="W1178" s="52" t="str">
        <f t="shared" si="507"/>
        <v/>
      </c>
      <c r="X1178" s="52">
        <f>IFERROR(IF(AND(AR1179=AR1178,AM1178&lt;&gt;""),INDEX('Aub Demand'!Q:Q,MATCH($O1178,'Aub Demand'!$A:$A,0))-IF(AN1178="",0,AN1178)+AP1179+AD1178+AL1178,IF(AR1179=AR1178,INDEX('Aub Demand'!Q:Q,MATCH($O1178,'Aub Demand'!$A:$A,0))-IF(AN1178="",0,AN1178)+AP1179+AD1178,IF(AM1178&lt;&gt;"",INDEX('Aub Demand'!Q:Q,MATCH($O1178,'Aub Demand'!$A:$A,0))-IF(AN1178="",0,AN1178)+AD1178+AL1178,INDEX('Aub Demand'!Q:Q,MATCH($O1178,'Aub Demand'!$A:$A,0))-IF(AN1178="",0,AN1178)+AD1178))),"")</f>
        <v>3119</v>
      </c>
      <c r="Y1178" s="53">
        <f t="shared" si="508"/>
        <v>43.5</v>
      </c>
      <c r="Z1178" s="52">
        <f>IF(L1178="","",INDEX('Aub Demand'!H:H,MATCH($O1178,'Aub Demand'!$A:$A,0)))</f>
        <v>307</v>
      </c>
      <c r="AA1178" s="52">
        <f t="shared" si="509"/>
        <v>426.5</v>
      </c>
      <c r="AB1178" s="52">
        <f>IFERROR(INDEX('Aub Demand'!L:L,MATCH($O1178,'Aub Demand'!$A:$A,0)),"")</f>
        <v>160</v>
      </c>
      <c r="AC1178" s="52">
        <f>IFERROR(IF(O1178="","",SUMIFS('CPL Mats'!F:F,'CPL Mats'!Q:Q,AR1178,'CPL Mats'!S:S,AS1178)),"")</f>
        <v>0</v>
      </c>
      <c r="AF1178" s="25" t="str">
        <f>IF(SUMIFS('Supp Consol'!S:S,'Supp Consol'!Y:Y,"Releasable",'Supp Consol'!A:A,O1178)=0,"",SUMIFS('Supp Consol'!S:S,'Supp Consol'!Y:Y,"Releasable",'Supp Consol'!A:A,O1178))</f>
        <v/>
      </c>
      <c r="AG1178" s="25" t="str">
        <f>IFERROR(INDEX('Hun Demand'!Q:Q,MATCH(O1178,'Hun Demand'!A:A,0)),"")</f>
        <v/>
      </c>
      <c r="AH1178" s="25" t="str">
        <f>IFERROR(INDEX('Hun Demand'!H:H,MATCH($O1178,'Hun Demand'!$A:$A,0)),"")</f>
        <v/>
      </c>
      <c r="AI1178" s="25" t="str">
        <f>IF(SUMIFS('Supp Consol'!AA:AA,'Supp Consol'!Z:Z,"Expires this month",'Supp Consol'!A:A,O1178)=0,"",SUMIFS('Supp Consol'!AA:AA,'Supp Consol'!Z:Z,"Expires this month",'Supp Consol'!A:A,O1178))</f>
        <v/>
      </c>
      <c r="AJ1178" s="25" t="str">
        <f>IF(SUMIFS('Supp Consol'!AA:AA,'Supp Consol'!Z:Z,"Expired Previous Months",'Supp Consol'!A:A,O1178)=0,"",SUMIFS('Supp Consol'!AA:AA,'Supp Consol'!Z:Z,"Expired Previous Months",'Supp Consol'!A:A,O1178))</f>
        <v/>
      </c>
      <c r="AK1178" s="25" t="str">
        <f>IFERROR(INDEX('Hun Release Current'!B:B,MATCH(O1178,'Hun Release Current'!A:A,0)),"")</f>
        <v/>
      </c>
      <c r="AL1178" s="25" t="str">
        <f>IF(SUMIF('Prev Aub'!A:A,O1178,'Prev Aub'!B:B)=0,"",SUMIF('Prev Aub'!A:A,O1178,'Prev Aub'!B:B))</f>
        <v/>
      </c>
      <c r="AN1178" s="25" t="s">
        <v>3790</v>
      </c>
      <c r="AO1178" s="25" t="s">
        <v>3790</v>
      </c>
      <c r="AP1178" s="25">
        <f t="shared" si="510"/>
        <v>0</v>
      </c>
      <c r="AQ1178" s="151" t="str">
        <f>IF(SUMIFS('Supp Consol'!S:S,'Supp Consol'!A:A,O1178,'Supp Consol'!I:I,"PENDING")=0,"",SUMIFS('Supp Consol'!S:S,'Supp Consol'!A:A,O1178,'Supp Consol'!I:I,"PENDING"))</f>
        <v/>
      </c>
      <c r="AR1178" s="27" t="str">
        <f t="shared" si="511"/>
        <v>SW705</v>
      </c>
      <c r="AS1178" s="27" t="str">
        <f t="shared" si="512"/>
        <v>50</v>
      </c>
      <c r="AT1178" s="27" t="str">
        <f t="shared" si="513"/>
        <v/>
      </c>
      <c r="AU1178" s="27" t="str">
        <f t="shared" si="514"/>
        <v/>
      </c>
      <c r="AV1178" s="27" t="str">
        <f t="shared" si="515"/>
        <v/>
      </c>
      <c r="AW1178" s="27" t="str">
        <f t="shared" si="516"/>
        <v/>
      </c>
      <c r="AX1178" s="27" t="str">
        <f t="shared" si="517"/>
        <v/>
      </c>
      <c r="AY1178" s="27" t="str">
        <f t="shared" si="518"/>
        <v/>
      </c>
      <c r="AZ1178" s="27" t="str">
        <f t="shared" si="519"/>
        <v/>
      </c>
      <c r="BA1178" s="27" t="str">
        <f t="shared" si="520"/>
        <v/>
      </c>
      <c r="BB1178" s="27" t="str">
        <f t="shared" si="521"/>
        <v/>
      </c>
      <c r="BC1178" s="27" t="str">
        <f t="shared" si="522"/>
        <v/>
      </c>
      <c r="BD1178" s="27" t="str">
        <f t="shared" si="523"/>
        <v/>
      </c>
      <c r="BE1178" s="27" t="str">
        <f t="shared" si="524"/>
        <v/>
      </c>
      <c r="BF1178" s="27" t="str">
        <f t="shared" si="525"/>
        <v/>
      </c>
      <c r="BG1178" s="27" t="str">
        <f t="shared" si="526"/>
        <v/>
      </c>
      <c r="BH1178" s="27" t="str">
        <f t="shared" si="527"/>
        <v/>
      </c>
      <c r="BI1178" s="27" t="str">
        <f t="shared" si="528"/>
        <v/>
      </c>
      <c r="BJ1178" s="27" t="str">
        <f t="shared" si="529"/>
        <v/>
      </c>
      <c r="BK1178" s="27" t="str">
        <f t="shared" si="530"/>
        <v/>
      </c>
      <c r="BL1178" s="27" t="str">
        <f t="shared" si="531"/>
        <v/>
      </c>
      <c r="BM1178" s="21" t="s">
        <v>5581</v>
      </c>
    </row>
    <row r="1179" spans="1:65" ht="15">
      <c r="A1179" s="25" t="str">
        <f>IFERROR(INDEX('Hun Demand'!W:W,MATCH(O1179,'Hun Demand'!A:A,0)),"")</f>
        <v/>
      </c>
      <c r="B1179" s="25" t="str">
        <f>IFERROR(INDEX('Hun Demand'!V:V,MATCH(O1179,'Hun Demand'!A:A,0)),"")</f>
        <v/>
      </c>
      <c r="C1179" s="25" t="str">
        <f>IFERROR(INDEX('Hun Demand'!U:U,MATCH(O1179,'Hun Demand'!A:A,0)),"")</f>
        <v/>
      </c>
      <c r="D1179" s="25" t="str">
        <f>IFERROR(INDEX('Hun Demand'!T:T,MATCH(O1179,'Hun Demand'!A:A,0)),"")</f>
        <v/>
      </c>
      <c r="E1179" s="25" t="str">
        <f>IFERROR(INDEX('Hun Demand'!S:S,MATCH(O1179,'Hun Demand'!A:A,0)),"")</f>
        <v/>
      </c>
      <c r="F1179" s="25" t="str">
        <f>IFERROR(INDEX('Hun Demand'!R:R,MATCH(O1179,'Hun Demand'!A:A,0)),"")</f>
        <v/>
      </c>
      <c r="G1179" s="25">
        <f>IFERROR(INDEX('Aub Demand'!W:W,MATCH(O1179,'Aub Demand'!A:A,0)),"")</f>
        <v>0</v>
      </c>
      <c r="H1179" s="25">
        <f>IFERROR(INDEX('Aub Demand'!V:V,MATCH(O1179,'Aub Demand'!A:A,0)),"")</f>
        <v>0</v>
      </c>
      <c r="I1179" s="25">
        <f>IFERROR(INDEX('Aub Demand'!U:U,MATCH(O1179,'Aub Demand'!A:A,0)),"")</f>
        <v>45</v>
      </c>
      <c r="J1179" s="25">
        <f>IFERROR(INDEX('Aub Demand'!T:T,MATCH(O1179,'Aub Demand'!A:A,0)),"")</f>
        <v>0</v>
      </c>
      <c r="K1179" s="25">
        <f>IFERROR(INDEX('Aub Demand'!S:S,MATCH(O1179,'Aub Demand'!A:A,0)),"")</f>
        <v>59</v>
      </c>
      <c r="L1179" s="25">
        <f>IFERROR(INDEX('Aub Demand'!R:R,MATCH(O1179,'Aub Demand'!A:A,0)),"")</f>
        <v>0</v>
      </c>
      <c r="O1179" s="27" t="s">
        <v>2779</v>
      </c>
      <c r="P1179" s="27" t="str">
        <f>IFERROR(INDEX('Aub Demand'!B:B,MATCH($O1179,'Aub Demand'!$A:$A,0)),"")</f>
        <v>ANTIQUE WHITE</v>
      </c>
      <c r="Q1179" s="27" t="str">
        <f>IFERROR(INDEX('Aub Demand'!C:C,MATCH($O1179,'Aub Demand'!$A:$A,0)),"")</f>
        <v>TECHN</v>
      </c>
      <c r="R1179" s="52">
        <f>IFERROR(IF(AR1180=AR1179,INDEX('Aub Demand'!K:K,MATCH($O1179,'Aub Demand'!$A:$A,0))-IF(AN1179="",0,AN1179)+AP1180,INDEX('Aub Demand'!K:K,MATCH($O1179,'Aub Demand'!$A:$A,0))-IF(AN1179="",0,AN1179)),"")</f>
        <v>1512</v>
      </c>
      <c r="S1179" s="53">
        <f t="shared" si="504"/>
        <v>185.1</v>
      </c>
      <c r="T1179" s="52" t="str">
        <f t="shared" si="505"/>
        <v/>
      </c>
      <c r="U1179" s="52">
        <f>IFERROR(IF(AR1180=AR1179,INDEX('Aub Demand'!Q:Q,MATCH($O1179,'Aub Demand'!$A:$A,0))-IF(AN1179="",0,AN1179)+AP1180,INDEX('Aub Demand'!Q:Q,MATCH($O1179,'Aub Demand'!$A:$A,0))-IF(AN1179="",0,AN1179)),"")</f>
        <v>1512</v>
      </c>
      <c r="V1179" s="53">
        <f t="shared" si="506"/>
        <v>185.1</v>
      </c>
      <c r="W1179" s="52" t="str">
        <f t="shared" si="507"/>
        <v/>
      </c>
      <c r="X1179" s="52">
        <f>IFERROR(IF(AND(AR1180=AR1179,AM1179&lt;&gt;""),INDEX('Aub Demand'!Q:Q,MATCH($O1179,'Aub Demand'!$A:$A,0))-IF(AN1179="",0,AN1179)+AP1180+AD1179+AL1179,IF(AR1180=AR1179,INDEX('Aub Demand'!Q:Q,MATCH($O1179,'Aub Demand'!$A:$A,0))-IF(AN1179="",0,AN1179)+AP1180+AD1179,IF(AM1179&lt;&gt;"",INDEX('Aub Demand'!Q:Q,MATCH($O1179,'Aub Demand'!$A:$A,0))-IF(AN1179="",0,AN1179)+AD1179+AL1179,INDEX('Aub Demand'!Q:Q,MATCH($O1179,'Aub Demand'!$A:$A,0))-IF(AN1179="",0,AN1179)+AD1179))),"")</f>
        <v>1512</v>
      </c>
      <c r="Y1179" s="53">
        <f t="shared" si="508"/>
        <v>185.1</v>
      </c>
      <c r="Z1179" s="52">
        <f>IF(L1179="","",INDEX('Aub Demand'!H:H,MATCH($O1179,'Aub Demand'!$A:$A,0)))</f>
        <v>35</v>
      </c>
      <c r="AA1179" s="52">
        <f t="shared" si="509"/>
        <v>52</v>
      </c>
      <c r="AB1179" s="52">
        <f>IFERROR(INDEX('Aub Demand'!L:L,MATCH($O1179,'Aub Demand'!$A:$A,0)),"")</f>
        <v>31</v>
      </c>
      <c r="AC1179" s="52">
        <f>IFERROR(IF(O1179="","",SUMIFS('CPL Mats'!F:F,'CPL Mats'!Q:Q,AR1179,'CPL Mats'!S:S,AS1179)),"")</f>
        <v>0</v>
      </c>
      <c r="AF1179" s="25" t="str">
        <f>IF(SUMIFS('Supp Consol'!S:S,'Supp Consol'!Y:Y,"Releasable",'Supp Consol'!A:A,O1179)=0,"",SUMIFS('Supp Consol'!S:S,'Supp Consol'!Y:Y,"Releasable",'Supp Consol'!A:A,O1179))</f>
        <v/>
      </c>
      <c r="AG1179" s="25" t="str">
        <f>IFERROR(INDEX('Hun Demand'!Q:Q,MATCH(O1179,'Hun Demand'!A:A,0)),"")</f>
        <v/>
      </c>
      <c r="AH1179" s="25" t="str">
        <f>IFERROR(INDEX('Hun Demand'!H:H,MATCH($O1179,'Hun Demand'!$A:$A,0)),"")</f>
        <v/>
      </c>
      <c r="AI1179" s="25" t="str">
        <f>IF(SUMIFS('Supp Consol'!AA:AA,'Supp Consol'!Z:Z,"Expires this month",'Supp Consol'!A:A,O1179)=0,"",SUMIFS('Supp Consol'!AA:AA,'Supp Consol'!Z:Z,"Expires this month",'Supp Consol'!A:A,O1179))</f>
        <v/>
      </c>
      <c r="AJ1179" s="25" t="str">
        <f>IF(SUMIFS('Supp Consol'!AA:AA,'Supp Consol'!Z:Z,"Expired Previous Months",'Supp Consol'!A:A,O1179)=0,"",SUMIFS('Supp Consol'!AA:AA,'Supp Consol'!Z:Z,"Expired Previous Months",'Supp Consol'!A:A,O1179))</f>
        <v/>
      </c>
      <c r="AK1179" s="25" t="str">
        <f>IFERROR(INDEX('Hun Release Current'!B:B,MATCH(O1179,'Hun Release Current'!A:A,0)),"")</f>
        <v/>
      </c>
      <c r="AL1179" s="25" t="str">
        <f>IF(SUMIF('Prev Aub'!A:A,O1179,'Prev Aub'!B:B)=0,"",SUMIF('Prev Aub'!A:A,O1179,'Prev Aub'!B:B))</f>
        <v/>
      </c>
      <c r="AN1179" s="25" t="s">
        <v>3790</v>
      </c>
      <c r="AO1179" s="25" t="s">
        <v>3790</v>
      </c>
      <c r="AP1179" s="25">
        <f t="shared" si="510"/>
        <v>0</v>
      </c>
      <c r="AQ1179" s="151" t="str">
        <f>IF(SUMIFS('Supp Consol'!S:S,'Supp Consol'!A:A,O1179,'Supp Consol'!I:I,"PENDING")=0,"",SUMIFS('Supp Consol'!S:S,'Supp Consol'!A:A,O1179,'Supp Consol'!I:I,"PENDING"))</f>
        <v/>
      </c>
      <c r="AR1179" s="27" t="str">
        <f t="shared" si="511"/>
        <v>SW705</v>
      </c>
      <c r="AS1179" s="27" t="str">
        <f t="shared" si="512"/>
        <v>62</v>
      </c>
      <c r="AT1179" s="27" t="str">
        <f t="shared" si="513"/>
        <v/>
      </c>
      <c r="AU1179" s="27" t="str">
        <f t="shared" si="514"/>
        <v/>
      </c>
      <c r="AV1179" s="27" t="str">
        <f t="shared" si="515"/>
        <v/>
      </c>
      <c r="AW1179" s="27" t="str">
        <f t="shared" si="516"/>
        <v/>
      </c>
      <c r="AX1179" s="27" t="str">
        <f t="shared" si="517"/>
        <v/>
      </c>
      <c r="AY1179" s="27" t="str">
        <f t="shared" si="518"/>
        <v/>
      </c>
      <c r="AZ1179" s="27" t="str">
        <f t="shared" si="519"/>
        <v/>
      </c>
      <c r="BA1179" s="27" t="str">
        <f t="shared" si="520"/>
        <v/>
      </c>
      <c r="BB1179" s="27" t="str">
        <f t="shared" si="521"/>
        <v/>
      </c>
      <c r="BC1179" s="27" t="str">
        <f t="shared" si="522"/>
        <v/>
      </c>
      <c r="BD1179" s="27" t="str">
        <f t="shared" si="523"/>
        <v/>
      </c>
      <c r="BE1179" s="27" t="str">
        <f t="shared" si="524"/>
        <v/>
      </c>
      <c r="BF1179" s="27" t="str">
        <f t="shared" si="525"/>
        <v/>
      </c>
      <c r="BG1179" s="27" t="str">
        <f t="shared" si="526"/>
        <v/>
      </c>
      <c r="BH1179" s="27" t="str">
        <f t="shared" si="527"/>
        <v/>
      </c>
      <c r="BI1179" s="27" t="str">
        <f t="shared" si="528"/>
        <v/>
      </c>
      <c r="BJ1179" s="27" t="str">
        <f t="shared" si="529"/>
        <v/>
      </c>
      <c r="BK1179" s="27" t="str">
        <f t="shared" si="530"/>
        <v/>
      </c>
      <c r="BL1179" s="27" t="str">
        <f t="shared" si="531"/>
        <v/>
      </c>
      <c r="BM1179" s="21" t="s">
        <v>5581</v>
      </c>
    </row>
    <row r="1180" spans="1:65" ht="15">
      <c r="A1180" s="25" t="str">
        <f>IFERROR(INDEX('Hun Demand'!W:W,MATCH(O1180,'Hun Demand'!A:A,0)),"")</f>
        <v/>
      </c>
      <c r="B1180" s="25" t="str">
        <f>IFERROR(INDEX('Hun Demand'!V:V,MATCH(O1180,'Hun Demand'!A:A,0)),"")</f>
        <v/>
      </c>
      <c r="C1180" s="25" t="str">
        <f>IFERROR(INDEX('Hun Demand'!U:U,MATCH(O1180,'Hun Demand'!A:A,0)),"")</f>
        <v/>
      </c>
      <c r="D1180" s="25" t="str">
        <f>IFERROR(INDEX('Hun Demand'!T:T,MATCH(O1180,'Hun Demand'!A:A,0)),"")</f>
        <v/>
      </c>
      <c r="E1180" s="25" t="str">
        <f>IFERROR(INDEX('Hun Demand'!S:S,MATCH(O1180,'Hun Demand'!A:A,0)),"")</f>
        <v/>
      </c>
      <c r="F1180" s="25" t="str">
        <f>IFERROR(INDEX('Hun Demand'!R:R,MATCH(O1180,'Hun Demand'!A:A,0)),"")</f>
        <v/>
      </c>
      <c r="G1180" s="25">
        <f>IFERROR(INDEX('Aub Demand'!W:W,MATCH(O1180,'Aub Demand'!A:A,0)),"")</f>
        <v>0</v>
      </c>
      <c r="H1180" s="25">
        <f>IFERROR(INDEX('Aub Demand'!V:V,MATCH(O1180,'Aub Demand'!A:A,0)),"")</f>
        <v>8</v>
      </c>
      <c r="I1180" s="25">
        <f>IFERROR(INDEX('Aub Demand'!U:U,MATCH(O1180,'Aub Demand'!A:A,0)),"")</f>
        <v>40</v>
      </c>
      <c r="J1180" s="25">
        <f>IFERROR(INDEX('Aub Demand'!T:T,MATCH(O1180,'Aub Demand'!A:A,0)),"")</f>
        <v>0</v>
      </c>
      <c r="K1180" s="25">
        <f>IFERROR(INDEX('Aub Demand'!S:S,MATCH(O1180,'Aub Demand'!A:A,0)),"")</f>
        <v>0</v>
      </c>
      <c r="L1180" s="25">
        <f>IFERROR(INDEX('Aub Demand'!R:R,MATCH(O1180,'Aub Demand'!A:A,0)),"")</f>
        <v>0</v>
      </c>
      <c r="O1180" s="27" t="s">
        <v>2780</v>
      </c>
      <c r="P1180" s="27" t="str">
        <f>IFERROR(INDEX('Aub Demand'!B:B,MATCH($O1180,'Aub Demand'!$A:$A,0)),"")</f>
        <v>NEUTRA 48"</v>
      </c>
      <c r="Q1180" s="27" t="str">
        <f>IFERROR(INDEX('Aub Demand'!C:C,MATCH($O1180,'Aub Demand'!$A:$A,0)),"")</f>
        <v>ONYX</v>
      </c>
      <c r="R1180" s="52">
        <f>IFERROR(IF(AR1181=AR1180,INDEX('Aub Demand'!K:K,MATCH($O1180,'Aub Demand'!$A:$A,0))-IF(AN1180="",0,AN1180)+AP1181,INDEX('Aub Demand'!K:K,MATCH($O1180,'Aub Demand'!$A:$A,0))-IF(AN1180="",0,AN1180)),"")</f>
        <v>898</v>
      </c>
      <c r="S1180" s="53">
        <f t="shared" si="504"/>
        <v>296</v>
      </c>
      <c r="T1180" s="52" t="str">
        <f t="shared" si="505"/>
        <v/>
      </c>
      <c r="U1180" s="52">
        <f>IFERROR(IF(AR1181=AR1180,INDEX('Aub Demand'!Q:Q,MATCH($O1180,'Aub Demand'!$A:$A,0))-IF(AN1180="",0,AN1180)+AP1181,INDEX('Aub Demand'!Q:Q,MATCH($O1180,'Aub Demand'!$A:$A,0))-IF(AN1180="",0,AN1180)),"")</f>
        <v>898</v>
      </c>
      <c r="V1180" s="53">
        <f t="shared" si="506"/>
        <v>296</v>
      </c>
      <c r="W1180" s="52" t="str">
        <f t="shared" si="507"/>
        <v/>
      </c>
      <c r="X1180" s="52">
        <f>IFERROR(IF(AND(AR1181=AR1180,AM1180&lt;&gt;""),INDEX('Aub Demand'!Q:Q,MATCH($O1180,'Aub Demand'!$A:$A,0))-IF(AN1180="",0,AN1180)+AP1181+AD1180+AL1180,IF(AR1181=AR1180,INDEX('Aub Demand'!Q:Q,MATCH($O1180,'Aub Demand'!$A:$A,0))-IF(AN1180="",0,AN1180)+AP1181+AD1180,IF(AM1180&lt;&gt;"",INDEX('Aub Demand'!Q:Q,MATCH($O1180,'Aub Demand'!$A:$A,0))-IF(AN1180="",0,AN1180)+AD1180+AL1180,INDEX('Aub Demand'!Q:Q,MATCH($O1180,'Aub Demand'!$A:$A,0))-IF(AN1180="",0,AN1180)+AD1180))),"")</f>
        <v>898</v>
      </c>
      <c r="Y1180" s="53">
        <f t="shared" si="508"/>
        <v>296</v>
      </c>
      <c r="Z1180" s="52">
        <f>IF(L1180="","",INDEX('Aub Demand'!H:H,MATCH($O1180,'Aub Demand'!$A:$A,0)))</f>
        <v>13</v>
      </c>
      <c r="AA1180" s="52" t="str">
        <f t="shared" si="509"/>
        <v>-spike-</v>
      </c>
      <c r="AB1180" s="52">
        <f>IFERROR(INDEX('Aub Demand'!L:L,MATCH($O1180,'Aub Demand'!$A:$A,0)),"")</f>
        <v>9</v>
      </c>
      <c r="AC1180" s="52">
        <f>IFERROR(IF(O1180="","",SUMIFS('CPL Mats'!F:F,'CPL Mats'!Q:Q,AR1180,'CPL Mats'!S:S,AS1180)),"")</f>
        <v>0</v>
      </c>
      <c r="AF1180" s="25" t="str">
        <f>IF(SUMIFS('Supp Consol'!S:S,'Supp Consol'!Y:Y,"Releasable",'Supp Consol'!A:A,O1180)=0,"",SUMIFS('Supp Consol'!S:S,'Supp Consol'!Y:Y,"Releasable",'Supp Consol'!A:A,O1180))</f>
        <v/>
      </c>
      <c r="AG1180" s="25" t="str">
        <f>IFERROR(INDEX('Hun Demand'!Q:Q,MATCH(O1180,'Hun Demand'!A:A,0)),"")</f>
        <v/>
      </c>
      <c r="AH1180" s="25" t="str">
        <f>IFERROR(INDEX('Hun Demand'!H:H,MATCH($O1180,'Hun Demand'!$A:$A,0)),"")</f>
        <v/>
      </c>
      <c r="AI1180" s="25" t="str">
        <f>IF(SUMIFS('Supp Consol'!AA:AA,'Supp Consol'!Z:Z,"Expires this month",'Supp Consol'!A:A,O1180)=0,"",SUMIFS('Supp Consol'!AA:AA,'Supp Consol'!Z:Z,"Expires this month",'Supp Consol'!A:A,O1180))</f>
        <v/>
      </c>
      <c r="AJ1180" s="25" t="str">
        <f>IF(SUMIFS('Supp Consol'!AA:AA,'Supp Consol'!Z:Z,"Expired Previous Months",'Supp Consol'!A:A,O1180)=0,"",SUMIFS('Supp Consol'!AA:AA,'Supp Consol'!Z:Z,"Expired Previous Months",'Supp Consol'!A:A,O1180))</f>
        <v/>
      </c>
      <c r="AK1180" s="25" t="str">
        <f>IFERROR(INDEX('Hun Release Current'!B:B,MATCH(O1180,'Hun Release Current'!A:A,0)),"")</f>
        <v/>
      </c>
      <c r="AL1180" s="25" t="str">
        <f>IF(SUMIF('Prev Aub'!A:A,O1180,'Prev Aub'!B:B)=0,"",SUMIF('Prev Aub'!A:A,O1180,'Prev Aub'!B:B))</f>
        <v/>
      </c>
      <c r="AN1180" s="25" t="s">
        <v>3790</v>
      </c>
      <c r="AO1180" s="25" t="s">
        <v>3790</v>
      </c>
      <c r="AP1180" s="25">
        <f t="shared" si="510"/>
        <v>0</v>
      </c>
      <c r="AQ1180" s="151" t="str">
        <f>IF(SUMIFS('Supp Consol'!S:S,'Supp Consol'!A:A,O1180,'Supp Consol'!I:I,"PENDING")=0,"",SUMIFS('Supp Consol'!S:S,'Supp Consol'!A:A,O1180,'Supp Consol'!I:I,"PENDING"))</f>
        <v/>
      </c>
      <c r="AR1180" s="27" t="str">
        <f t="shared" si="511"/>
        <v>SW725</v>
      </c>
      <c r="AS1180" s="27" t="str">
        <f t="shared" si="512"/>
        <v>50</v>
      </c>
      <c r="AT1180" s="27" t="str">
        <f t="shared" si="513"/>
        <v/>
      </c>
      <c r="AU1180" s="27" t="str">
        <f t="shared" si="514"/>
        <v/>
      </c>
      <c r="AV1180" s="27" t="str">
        <f t="shared" si="515"/>
        <v/>
      </c>
      <c r="AW1180" s="27" t="str">
        <f t="shared" si="516"/>
        <v/>
      </c>
      <c r="AX1180" s="27" t="str">
        <f t="shared" si="517"/>
        <v/>
      </c>
      <c r="AY1180" s="27" t="str">
        <f t="shared" si="518"/>
        <v/>
      </c>
      <c r="AZ1180" s="27" t="str">
        <f t="shared" si="519"/>
        <v/>
      </c>
      <c r="BA1180" s="27" t="str">
        <f t="shared" si="520"/>
        <v/>
      </c>
      <c r="BB1180" s="27" t="str">
        <f t="shared" si="521"/>
        <v/>
      </c>
      <c r="BC1180" s="27" t="str">
        <f t="shared" si="522"/>
        <v/>
      </c>
      <c r="BD1180" s="27" t="str">
        <f t="shared" si="523"/>
        <v/>
      </c>
      <c r="BE1180" s="27" t="str">
        <f t="shared" si="524"/>
        <v/>
      </c>
      <c r="BF1180" s="27" t="str">
        <f t="shared" si="525"/>
        <v/>
      </c>
      <c r="BG1180" s="27" t="str">
        <f t="shared" si="526"/>
        <v/>
      </c>
      <c r="BH1180" s="27" t="str">
        <f t="shared" si="527"/>
        <v/>
      </c>
      <c r="BI1180" s="27" t="str">
        <f t="shared" si="528"/>
        <v/>
      </c>
      <c r="BJ1180" s="27" t="str">
        <f t="shared" si="529"/>
        <v/>
      </c>
      <c r="BK1180" s="27" t="str">
        <f t="shared" si="530"/>
        <v/>
      </c>
      <c r="BL1180" s="27" t="str">
        <f t="shared" si="531"/>
        <v/>
      </c>
      <c r="BM1180" s="21" t="s">
        <v>5581</v>
      </c>
    </row>
    <row r="1181" spans="1:65" ht="15">
      <c r="A1181" s="25" t="str">
        <f>IFERROR(INDEX('Hun Demand'!W:W,MATCH(O1181,'Hun Demand'!A:A,0)),"")</f>
        <v/>
      </c>
      <c r="B1181" s="25" t="str">
        <f>IFERROR(INDEX('Hun Demand'!V:V,MATCH(O1181,'Hun Demand'!A:A,0)),"")</f>
        <v/>
      </c>
      <c r="C1181" s="25" t="str">
        <f>IFERROR(INDEX('Hun Demand'!U:U,MATCH(O1181,'Hun Demand'!A:A,0)),"")</f>
        <v/>
      </c>
      <c r="D1181" s="25" t="str">
        <f>IFERROR(INDEX('Hun Demand'!T:T,MATCH(O1181,'Hun Demand'!A:A,0)),"")</f>
        <v/>
      </c>
      <c r="E1181" s="25" t="str">
        <f>IFERROR(INDEX('Hun Demand'!S:S,MATCH(O1181,'Hun Demand'!A:A,0)),"")</f>
        <v/>
      </c>
      <c r="F1181" s="25" t="str">
        <f>IFERROR(INDEX('Hun Demand'!R:R,MATCH(O1181,'Hun Demand'!A:A,0)),"")</f>
        <v/>
      </c>
      <c r="G1181" s="25">
        <f>IFERROR(INDEX('Aub Demand'!W:W,MATCH(O1181,'Aub Demand'!A:A,0)),"")</f>
        <v>0</v>
      </c>
      <c r="H1181" s="25">
        <f>IFERROR(INDEX('Aub Demand'!V:V,MATCH(O1181,'Aub Demand'!A:A,0)),"")</f>
        <v>0</v>
      </c>
      <c r="I1181" s="25">
        <f>IFERROR(INDEX('Aub Demand'!U:U,MATCH(O1181,'Aub Demand'!A:A,0)),"")</f>
        <v>28</v>
      </c>
      <c r="J1181" s="25">
        <f>IFERROR(INDEX('Aub Demand'!T:T,MATCH(O1181,'Aub Demand'!A:A,0)),"")</f>
        <v>0</v>
      </c>
      <c r="K1181" s="25">
        <f>IFERROR(INDEX('Aub Demand'!S:S,MATCH(O1181,'Aub Demand'!A:A,0)),"")</f>
        <v>0</v>
      </c>
      <c r="L1181" s="25">
        <f>IFERROR(INDEX('Aub Demand'!R:R,MATCH(O1181,'Aub Demand'!A:A,0)),"")</f>
        <v>0</v>
      </c>
      <c r="O1181" s="27" t="s">
        <v>2783</v>
      </c>
      <c r="P1181" s="27" t="str">
        <f>IFERROR(INDEX('Aub Demand'!B:B,MATCH($O1181,'Aub Demand'!$A:$A,0)),"")</f>
        <v>NEUTRA 62"</v>
      </c>
      <c r="Q1181" s="27" t="str">
        <f>IFERROR(INDEX('Aub Demand'!C:C,MATCH($O1181,'Aub Demand'!$A:$A,0)),"")</f>
        <v>ONYX</v>
      </c>
      <c r="R1181" s="52">
        <f>IFERROR(IF(AR1182=AR1181,INDEX('Aub Demand'!K:K,MATCH($O1181,'Aub Demand'!$A:$A,0))-IF(AN1181="",0,AN1181)+AP1182,INDEX('Aub Demand'!K:K,MATCH($O1181,'Aub Demand'!$A:$A,0))-IF(AN1181="",0,AN1181)),"")</f>
        <v>3303</v>
      </c>
      <c r="S1181" s="53">
        <f t="shared" si="504"/>
        <v>1572.9</v>
      </c>
      <c r="T1181" s="52" t="str">
        <f t="shared" si="505"/>
        <v/>
      </c>
      <c r="U1181" s="52">
        <f>IFERROR(IF(AR1182=AR1181,INDEX('Aub Demand'!Q:Q,MATCH($O1181,'Aub Demand'!$A:$A,0))-IF(AN1181="",0,AN1181)+AP1182,INDEX('Aub Demand'!Q:Q,MATCH($O1181,'Aub Demand'!$A:$A,0))-IF(AN1181="",0,AN1181)),"")</f>
        <v>3303</v>
      </c>
      <c r="V1181" s="53">
        <f t="shared" si="506"/>
        <v>1572.9</v>
      </c>
      <c r="W1181" s="52" t="str">
        <f t="shared" si="507"/>
        <v/>
      </c>
      <c r="X1181" s="52">
        <f>IFERROR(IF(AND(AR1182=AR1181,AM1181&lt;&gt;""),INDEX('Aub Demand'!Q:Q,MATCH($O1181,'Aub Demand'!$A:$A,0))-IF(AN1181="",0,AN1181)+AP1182+AD1181+AL1181,IF(AR1182=AR1181,INDEX('Aub Demand'!Q:Q,MATCH($O1181,'Aub Demand'!$A:$A,0))-IF(AN1181="",0,AN1181)+AP1182+AD1181,IF(AM1181&lt;&gt;"",INDEX('Aub Demand'!Q:Q,MATCH($O1181,'Aub Demand'!$A:$A,0))-IF(AN1181="",0,AN1181)+AD1181+AL1181,INDEX('Aub Demand'!Q:Q,MATCH($O1181,'Aub Demand'!$A:$A,0))-IF(AN1181="",0,AN1181)+AD1181))),"")</f>
        <v>3303</v>
      </c>
      <c r="Y1181" s="53">
        <f t="shared" si="508"/>
        <v>1572.9</v>
      </c>
      <c r="Z1181" s="52">
        <f>IF(L1181="","",INDEX('Aub Demand'!H:H,MATCH($O1181,'Aub Demand'!$A:$A,0)))</f>
        <v>9</v>
      </c>
      <c r="AA1181" s="52" t="str">
        <f t="shared" si="509"/>
        <v>-spike-</v>
      </c>
      <c r="AB1181" s="52">
        <f>IFERROR(INDEX('Aub Demand'!L:L,MATCH($O1181,'Aub Demand'!$A:$A,0)),"")</f>
        <v>110</v>
      </c>
      <c r="AC1181" s="52">
        <f>IFERROR(IF(O1181="","",SUMIFS('CPL Mats'!F:F,'CPL Mats'!Q:Q,AR1181,'CPL Mats'!S:S,AS1181)),"")</f>
        <v>0</v>
      </c>
      <c r="AF1181" s="25" t="str">
        <f>IF(SUMIFS('Supp Consol'!S:S,'Supp Consol'!Y:Y,"Releasable",'Supp Consol'!A:A,O1181)=0,"",SUMIFS('Supp Consol'!S:S,'Supp Consol'!Y:Y,"Releasable",'Supp Consol'!A:A,O1181))</f>
        <v/>
      </c>
      <c r="AG1181" s="25" t="str">
        <f>IFERROR(INDEX('Hun Demand'!Q:Q,MATCH(O1181,'Hun Demand'!A:A,0)),"")</f>
        <v/>
      </c>
      <c r="AH1181" s="25" t="str">
        <f>IFERROR(INDEX('Hun Demand'!H:H,MATCH($O1181,'Hun Demand'!$A:$A,0)),"")</f>
        <v/>
      </c>
      <c r="AI1181" s="25" t="str">
        <f>IF(SUMIFS('Supp Consol'!AA:AA,'Supp Consol'!Z:Z,"Expires this month",'Supp Consol'!A:A,O1181)=0,"",SUMIFS('Supp Consol'!AA:AA,'Supp Consol'!Z:Z,"Expires this month",'Supp Consol'!A:A,O1181))</f>
        <v/>
      </c>
      <c r="AJ1181" s="25" t="str">
        <f>IF(SUMIFS('Supp Consol'!AA:AA,'Supp Consol'!Z:Z,"Expired Previous Months",'Supp Consol'!A:A,O1181)=0,"",SUMIFS('Supp Consol'!AA:AA,'Supp Consol'!Z:Z,"Expired Previous Months",'Supp Consol'!A:A,O1181))</f>
        <v/>
      </c>
      <c r="AK1181" s="25" t="str">
        <f>IFERROR(INDEX('Hun Release Current'!B:B,MATCH(O1181,'Hun Release Current'!A:A,0)),"")</f>
        <v/>
      </c>
      <c r="AL1181" s="25" t="str">
        <f>IF(SUMIF('Prev Aub'!A:A,O1181,'Prev Aub'!B:B)=0,"",SUMIF('Prev Aub'!A:A,O1181,'Prev Aub'!B:B))</f>
        <v/>
      </c>
      <c r="AN1181" s="25" t="s">
        <v>3790</v>
      </c>
      <c r="AO1181" s="25" t="s">
        <v>3790</v>
      </c>
      <c r="AP1181" s="25">
        <f t="shared" si="510"/>
        <v>0</v>
      </c>
      <c r="AQ1181" s="151" t="str">
        <f>IF(SUMIFS('Supp Consol'!S:S,'Supp Consol'!A:A,O1181,'Supp Consol'!I:I,"PENDING")=0,"",SUMIFS('Supp Consol'!S:S,'Supp Consol'!A:A,O1181,'Supp Consol'!I:I,"PENDING"))</f>
        <v/>
      </c>
      <c r="AR1181" s="27" t="str">
        <f t="shared" si="511"/>
        <v>SW725</v>
      </c>
      <c r="AS1181" s="27" t="str">
        <f t="shared" si="512"/>
        <v>62</v>
      </c>
      <c r="AT1181" s="27" t="str">
        <f t="shared" si="513"/>
        <v/>
      </c>
      <c r="AU1181" s="27" t="str">
        <f t="shared" si="514"/>
        <v/>
      </c>
      <c r="AV1181" s="27" t="str">
        <f t="shared" si="515"/>
        <v/>
      </c>
      <c r="AW1181" s="27" t="str">
        <f t="shared" si="516"/>
        <v/>
      </c>
      <c r="AX1181" s="27" t="str">
        <f t="shared" si="517"/>
        <v/>
      </c>
      <c r="AY1181" s="27" t="str">
        <f t="shared" si="518"/>
        <v/>
      </c>
      <c r="AZ1181" s="27" t="str">
        <f t="shared" si="519"/>
        <v/>
      </c>
      <c r="BA1181" s="27" t="str">
        <f t="shared" si="520"/>
        <v/>
      </c>
      <c r="BB1181" s="27" t="str">
        <f t="shared" si="521"/>
        <v/>
      </c>
      <c r="BC1181" s="27" t="str">
        <f t="shared" si="522"/>
        <v/>
      </c>
      <c r="BD1181" s="27" t="str">
        <f t="shared" si="523"/>
        <v/>
      </c>
      <c r="BE1181" s="27" t="str">
        <f t="shared" si="524"/>
        <v/>
      </c>
      <c r="BF1181" s="27" t="str">
        <f t="shared" si="525"/>
        <v/>
      </c>
      <c r="BG1181" s="27" t="str">
        <f t="shared" si="526"/>
        <v/>
      </c>
      <c r="BH1181" s="27" t="str">
        <f t="shared" si="527"/>
        <v/>
      </c>
      <c r="BI1181" s="27" t="str">
        <f t="shared" si="528"/>
        <v/>
      </c>
      <c r="BJ1181" s="27" t="str">
        <f t="shared" si="529"/>
        <v/>
      </c>
      <c r="BK1181" s="27" t="str">
        <f t="shared" si="530"/>
        <v/>
      </c>
      <c r="BL1181" s="27" t="str">
        <f t="shared" si="531"/>
        <v/>
      </c>
      <c r="BM1181" s="21" t="s">
        <v>5581</v>
      </c>
    </row>
    <row r="1182" spans="1:65" ht="15">
      <c r="A1182" s="25" t="str">
        <f>IFERROR(INDEX('Hun Demand'!W:W,MATCH(O1182,'Hun Demand'!A:A,0)),"")</f>
        <v/>
      </c>
      <c r="B1182" s="25" t="str">
        <f>IFERROR(INDEX('Hun Demand'!V:V,MATCH(O1182,'Hun Demand'!A:A,0)),"")</f>
        <v/>
      </c>
      <c r="C1182" s="25" t="str">
        <f>IFERROR(INDEX('Hun Demand'!U:U,MATCH(O1182,'Hun Demand'!A:A,0)),"")</f>
        <v/>
      </c>
      <c r="D1182" s="25" t="str">
        <f>IFERROR(INDEX('Hun Demand'!T:T,MATCH(O1182,'Hun Demand'!A:A,0)),"")</f>
        <v/>
      </c>
      <c r="E1182" s="25" t="str">
        <f>IFERROR(INDEX('Hun Demand'!S:S,MATCH(O1182,'Hun Demand'!A:A,0)),"")</f>
        <v/>
      </c>
      <c r="F1182" s="25" t="str">
        <f>IFERROR(INDEX('Hun Demand'!R:R,MATCH(O1182,'Hun Demand'!A:A,0)),"")</f>
        <v/>
      </c>
      <c r="G1182" s="25">
        <f>IFERROR(INDEX('Aub Demand'!W:W,MATCH(O1182,'Aub Demand'!A:A,0)),"")</f>
        <v>0</v>
      </c>
      <c r="H1182" s="25">
        <f>IFERROR(INDEX('Aub Demand'!V:V,MATCH(O1182,'Aub Demand'!A:A,0)),"")</f>
        <v>0</v>
      </c>
      <c r="I1182" s="25">
        <f>IFERROR(INDEX('Aub Demand'!U:U,MATCH(O1182,'Aub Demand'!A:A,0)),"")</f>
        <v>0</v>
      </c>
      <c r="J1182" s="25">
        <f>IFERROR(INDEX('Aub Demand'!T:T,MATCH(O1182,'Aub Demand'!A:A,0)),"")</f>
        <v>0</v>
      </c>
      <c r="K1182" s="25">
        <f>IFERROR(INDEX('Aub Demand'!S:S,MATCH(O1182,'Aub Demand'!A:A,0)),"")</f>
        <v>33</v>
      </c>
      <c r="L1182" s="25">
        <f>IFERROR(INDEX('Aub Demand'!R:R,MATCH(O1182,'Aub Demand'!A:A,0)),"")</f>
        <v>0</v>
      </c>
      <c r="O1182" s="27" t="s">
        <v>5943</v>
      </c>
      <c r="P1182" s="27" t="str">
        <f>IFERROR(INDEX('Aub Demand'!B:B,MATCH($O1182,'Aub Demand'!$A:$A,0)),"")</f>
        <v>SMOKY WHITE</v>
      </c>
      <c r="Q1182" s="27" t="str">
        <f>IFERROR(INDEX('Aub Demand'!C:C,MATCH($O1182,'Aub Demand'!$A:$A,0)),"")</f>
        <v>ONYX</v>
      </c>
      <c r="R1182" s="52">
        <f>IFERROR(IF(AR1183=AR1182,INDEX('Aub Demand'!K:K,MATCH($O1182,'Aub Demand'!$A:$A,0))-IF(AN1182="",0,AN1182)+AP1183,INDEX('Aub Demand'!K:K,MATCH($O1182,'Aub Demand'!$A:$A,0))-IF(AN1182="",0,AN1182)),"")</f>
        <v>0</v>
      </c>
      <c r="S1182" s="53">
        <f t="shared" si="504"/>
        <v>0</v>
      </c>
      <c r="T1182" s="52" t="str">
        <f t="shared" si="505"/>
        <v/>
      </c>
      <c r="U1182" s="52">
        <f>IFERROR(IF(AR1183=AR1182,INDEX('Aub Demand'!Q:Q,MATCH($O1182,'Aub Demand'!$A:$A,0))-IF(AN1182="",0,AN1182)+AP1183,INDEX('Aub Demand'!Q:Q,MATCH($O1182,'Aub Demand'!$A:$A,0))-IF(AN1182="",0,AN1182)),"")</f>
        <v>-11</v>
      </c>
      <c r="V1182" s="53">
        <f t="shared" si="506"/>
        <v>-4.3</v>
      </c>
      <c r="W1182" s="52" t="str">
        <f t="shared" si="507"/>
        <v/>
      </c>
      <c r="X1182" s="52">
        <f>IFERROR(IF(AND(AR1183=AR1182,AM1182&lt;&gt;""),INDEX('Aub Demand'!Q:Q,MATCH($O1182,'Aub Demand'!$A:$A,0))-IF(AN1182="",0,AN1182)+AP1183+AD1182+AL1182,IF(AR1183=AR1182,INDEX('Aub Demand'!Q:Q,MATCH($O1182,'Aub Demand'!$A:$A,0))-IF(AN1182="",0,AN1182)+AP1183+AD1182,IF(AM1182&lt;&gt;"",INDEX('Aub Demand'!Q:Q,MATCH($O1182,'Aub Demand'!$A:$A,0))-IF(AN1182="",0,AN1182)+AD1182+AL1182,INDEX('Aub Demand'!Q:Q,MATCH($O1182,'Aub Demand'!$A:$A,0))-IF(AN1182="",0,AN1182)+AD1182))),"")</f>
        <v>-11</v>
      </c>
      <c r="Y1182" s="53">
        <f t="shared" si="508"/>
        <v>-4.3</v>
      </c>
      <c r="Z1182" s="52">
        <f>IF(L1182="","",INDEX('Aub Demand'!H:H,MATCH($O1182,'Aub Demand'!$A:$A,0)))</f>
        <v>11</v>
      </c>
      <c r="AA1182" s="52" t="str">
        <f t="shared" si="509"/>
        <v>-spike-</v>
      </c>
      <c r="AB1182" s="52">
        <f>IFERROR(INDEX('Aub Demand'!L:L,MATCH($O1182,'Aub Demand'!$A:$A,0)),"")</f>
        <v>20</v>
      </c>
      <c r="AC1182" s="52">
        <f>IFERROR(IF(O1182="","",SUMIFS('CPL Mats'!F:F,'CPL Mats'!Q:Q,AR1182,'CPL Mats'!S:S,AS1182)),"")</f>
        <v>0</v>
      </c>
      <c r="AF1182" s="25" t="str">
        <f>IF(SUMIFS('Supp Consol'!S:S,'Supp Consol'!Y:Y,"Releasable",'Supp Consol'!A:A,O1182)=0,"",SUMIFS('Supp Consol'!S:S,'Supp Consol'!Y:Y,"Releasable",'Supp Consol'!A:A,O1182))</f>
        <v/>
      </c>
      <c r="AG1182" s="25" t="str">
        <f>IFERROR(INDEX('Hun Demand'!Q:Q,MATCH(O1182,'Hun Demand'!A:A,0)),"")</f>
        <v/>
      </c>
      <c r="AH1182" s="25" t="str">
        <f>IFERROR(INDEX('Hun Demand'!H:H,MATCH($O1182,'Hun Demand'!$A:$A,0)),"")</f>
        <v/>
      </c>
      <c r="AI1182" s="25" t="str">
        <f>IF(SUMIFS('Supp Consol'!AA:AA,'Supp Consol'!Z:Z,"Expires this month",'Supp Consol'!A:A,O1182)=0,"",SUMIFS('Supp Consol'!AA:AA,'Supp Consol'!Z:Z,"Expires this month",'Supp Consol'!A:A,O1182))</f>
        <v/>
      </c>
      <c r="AJ1182" s="25" t="str">
        <f>IF(SUMIFS('Supp Consol'!AA:AA,'Supp Consol'!Z:Z,"Expired Previous Months",'Supp Consol'!A:A,O1182)=0,"",SUMIFS('Supp Consol'!AA:AA,'Supp Consol'!Z:Z,"Expired Previous Months",'Supp Consol'!A:A,O1182))</f>
        <v/>
      </c>
      <c r="AK1182" s="25" t="str">
        <f>IFERROR(INDEX('Hun Release Current'!B:B,MATCH(O1182,'Hun Release Current'!A:A,0)),"")</f>
        <v/>
      </c>
      <c r="AL1182" s="25" t="str">
        <f>IF(SUMIF('Prev Aub'!A:A,O1182,'Prev Aub'!B:B)=0,"",SUMIF('Prev Aub'!A:A,O1182,'Prev Aub'!B:B))</f>
        <v/>
      </c>
      <c r="AN1182" s="25" t="s">
        <v>3790</v>
      </c>
      <c r="AO1182" s="25" t="s">
        <v>3790</v>
      </c>
      <c r="AP1182" s="25">
        <f t="shared" si="510"/>
        <v>0</v>
      </c>
      <c r="AQ1182" s="151" t="str">
        <f>IF(SUMIFS('Supp Consol'!S:S,'Supp Consol'!A:A,O1182,'Supp Consol'!I:I,"PENDING")=0,"",SUMIFS('Supp Consol'!S:S,'Supp Consol'!A:A,O1182,'Supp Consol'!I:I,"PENDING"))</f>
        <v/>
      </c>
      <c r="AR1182" s="27" t="str">
        <f t="shared" si="511"/>
        <v>SW727</v>
      </c>
      <c r="AS1182" s="27" t="str">
        <f t="shared" si="512"/>
        <v>37</v>
      </c>
      <c r="AT1182" s="27" t="str">
        <f t="shared" si="513"/>
        <v>SW727</v>
      </c>
      <c r="AU1182" s="27" t="str">
        <f t="shared" si="514"/>
        <v>SW727</v>
      </c>
      <c r="AV1182" s="27" t="str">
        <f t="shared" si="515"/>
        <v>SW727</v>
      </c>
      <c r="AW1182" s="27" t="str">
        <f t="shared" si="516"/>
        <v/>
      </c>
      <c r="AX1182" s="27" t="str">
        <f t="shared" si="517"/>
        <v/>
      </c>
      <c r="AY1182" s="27" t="str">
        <f t="shared" si="518"/>
        <v/>
      </c>
      <c r="AZ1182" s="27" t="str">
        <f t="shared" si="519"/>
        <v/>
      </c>
      <c r="BA1182" s="27" t="str">
        <f t="shared" si="520"/>
        <v/>
      </c>
      <c r="BB1182" s="27" t="str">
        <f t="shared" si="521"/>
        <v>Gross</v>
      </c>
      <c r="BC1182" s="27" t="str">
        <f t="shared" si="522"/>
        <v>Net</v>
      </c>
      <c r="BD1182" s="27" t="str">
        <f t="shared" si="523"/>
        <v>Net</v>
      </c>
      <c r="BE1182" s="27" t="str">
        <f t="shared" si="524"/>
        <v/>
      </c>
      <c r="BF1182" s="27" t="str">
        <f t="shared" si="525"/>
        <v/>
      </c>
      <c r="BG1182" s="27" t="str">
        <f t="shared" si="526"/>
        <v/>
      </c>
      <c r="BH1182" s="27" t="str">
        <f t="shared" si="527"/>
        <v/>
      </c>
      <c r="BI1182" s="27" t="str">
        <f t="shared" si="528"/>
        <v/>
      </c>
      <c r="BJ1182" s="27" t="str">
        <f t="shared" si="529"/>
        <v/>
      </c>
      <c r="BK1182" s="27" t="str">
        <f t="shared" si="530"/>
        <v/>
      </c>
      <c r="BL1182" s="27" t="str">
        <f t="shared" si="531"/>
        <v/>
      </c>
      <c r="BM1182" s="21" t="s">
        <v>3790</v>
      </c>
    </row>
    <row r="1183" spans="1:65" ht="15">
      <c r="A1183" s="25" t="str">
        <f>IFERROR(INDEX('Hun Demand'!W:W,MATCH(O1183,'Hun Demand'!A:A,0)),"")</f>
        <v/>
      </c>
      <c r="B1183" s="25" t="str">
        <f>IFERROR(INDEX('Hun Demand'!V:V,MATCH(O1183,'Hun Demand'!A:A,0)),"")</f>
        <v/>
      </c>
      <c r="C1183" s="25" t="str">
        <f>IFERROR(INDEX('Hun Demand'!U:U,MATCH(O1183,'Hun Demand'!A:A,0)),"")</f>
        <v/>
      </c>
      <c r="D1183" s="25" t="str">
        <f>IFERROR(INDEX('Hun Demand'!T:T,MATCH(O1183,'Hun Demand'!A:A,0)),"")</f>
        <v/>
      </c>
      <c r="E1183" s="25" t="str">
        <f>IFERROR(INDEX('Hun Demand'!S:S,MATCH(O1183,'Hun Demand'!A:A,0)),"")</f>
        <v/>
      </c>
      <c r="F1183" s="25" t="str">
        <f>IFERROR(INDEX('Hun Demand'!R:R,MATCH(O1183,'Hun Demand'!A:A,0)),"")</f>
        <v/>
      </c>
      <c r="G1183" s="25">
        <f>IFERROR(INDEX('Aub Demand'!W:W,MATCH(O1183,'Aub Demand'!A:A,0)),"")</f>
        <v>1911</v>
      </c>
      <c r="H1183" s="25">
        <f>IFERROR(INDEX('Aub Demand'!V:V,MATCH(O1183,'Aub Demand'!A:A,0)),"")</f>
        <v>1772</v>
      </c>
      <c r="I1183" s="25">
        <f>IFERROR(INDEX('Aub Demand'!U:U,MATCH(O1183,'Aub Demand'!A:A,0)),"")</f>
        <v>2058</v>
      </c>
      <c r="J1183" s="25">
        <f>IFERROR(INDEX('Aub Demand'!T:T,MATCH(O1183,'Aub Demand'!A:A,0)),"")</f>
        <v>2213</v>
      </c>
      <c r="K1183" s="25">
        <f>IFERROR(INDEX('Aub Demand'!S:S,MATCH(O1183,'Aub Demand'!A:A,0)),"")</f>
        <v>612</v>
      </c>
      <c r="L1183" s="25">
        <f>IFERROR(INDEX('Aub Demand'!R:R,MATCH(O1183,'Aub Demand'!A:A,0)),"")</f>
        <v>0</v>
      </c>
      <c r="O1183" s="27" t="s">
        <v>2785</v>
      </c>
      <c r="P1183" s="27" t="str">
        <f>IFERROR(INDEX('Aub Demand'!B:B,MATCH($O1183,'Aub Demand'!$A:$A,0)),"")</f>
        <v>SMOKY WHITE 48"</v>
      </c>
      <c r="Q1183" s="27" t="str">
        <f>IFERROR(INDEX('Aub Demand'!C:C,MATCH($O1183,'Aub Demand'!$A:$A,0)),"")</f>
        <v>ONYX</v>
      </c>
      <c r="R1183" s="52">
        <f>IFERROR(IF(AR1184=AR1183,INDEX('Aub Demand'!K:K,MATCH($O1183,'Aub Demand'!$A:$A,0))-IF(AN1183="",0,AN1183)+AP1184,INDEX('Aub Demand'!K:K,MATCH($O1183,'Aub Demand'!$A:$A,0))-IF(AN1183="",0,AN1183)),"")</f>
        <v>6274</v>
      </c>
      <c r="S1183" s="53">
        <f t="shared" si="504"/>
        <v>16.5</v>
      </c>
      <c r="T1183" s="52" t="str">
        <f t="shared" si="505"/>
        <v/>
      </c>
      <c r="U1183" s="52">
        <f>IFERROR(IF(AR1184=AR1183,INDEX('Aub Demand'!Q:Q,MATCH($O1183,'Aub Demand'!$A:$A,0))-IF(AN1183="",0,AN1183)+AP1184,INDEX('Aub Demand'!Q:Q,MATCH($O1183,'Aub Demand'!$A:$A,0))-IF(AN1183="",0,AN1183)),"")</f>
        <v>5139</v>
      </c>
      <c r="V1183" s="53">
        <f t="shared" si="506"/>
        <v>13.5</v>
      </c>
      <c r="W1183" s="52" t="str">
        <f t="shared" si="507"/>
        <v/>
      </c>
      <c r="X1183" s="52">
        <f>IFERROR(IF(AND(AR1184=AR1183,AM1183&lt;&gt;""),INDEX('Aub Demand'!Q:Q,MATCH($O1183,'Aub Demand'!$A:$A,0))-IF(AN1183="",0,AN1183)+AP1184+AD1183+AL1183,IF(AR1184=AR1183,INDEX('Aub Demand'!Q:Q,MATCH($O1183,'Aub Demand'!$A:$A,0))-IF(AN1183="",0,AN1183)+AP1184+AD1183,IF(AM1183&lt;&gt;"",INDEX('Aub Demand'!Q:Q,MATCH($O1183,'Aub Demand'!$A:$A,0))-IF(AN1183="",0,AN1183)+AD1183+AL1183,INDEX('Aub Demand'!Q:Q,MATCH($O1183,'Aub Demand'!$A:$A,0))-IF(AN1183="",0,AN1183)+AD1183))),"")</f>
        <v>5139</v>
      </c>
      <c r="Y1183" s="53">
        <f t="shared" si="508"/>
        <v>13.5</v>
      </c>
      <c r="Z1183" s="52">
        <f>IF(L1183="","",INDEX('Aub Demand'!H:H,MATCH($O1183,'Aub Demand'!$A:$A,0)))</f>
        <v>1628</v>
      </c>
      <c r="AA1183" s="52">
        <f t="shared" si="509"/>
        <v>2135.5</v>
      </c>
      <c r="AB1183" s="52">
        <f>IFERROR(INDEX('Aub Demand'!L:L,MATCH($O1183,'Aub Demand'!$A:$A,0)),"")</f>
        <v>585</v>
      </c>
      <c r="AC1183" s="52">
        <f>IFERROR(IF(O1183="","",SUMIFS('CPL Mats'!F:F,'CPL Mats'!Q:Q,AR1183,'CPL Mats'!S:S,AS1183)),"")</f>
        <v>0</v>
      </c>
      <c r="AF1183" s="25" t="str">
        <f>IF(SUMIFS('Supp Consol'!S:S,'Supp Consol'!Y:Y,"Releasable",'Supp Consol'!A:A,O1183)=0,"",SUMIFS('Supp Consol'!S:S,'Supp Consol'!Y:Y,"Releasable",'Supp Consol'!A:A,O1183))</f>
        <v/>
      </c>
      <c r="AG1183" s="25" t="str">
        <f>IFERROR(INDEX('Hun Demand'!Q:Q,MATCH(O1183,'Hun Demand'!A:A,0)),"")</f>
        <v/>
      </c>
      <c r="AH1183" s="25" t="str">
        <f>IFERROR(INDEX('Hun Demand'!H:H,MATCH($O1183,'Hun Demand'!$A:$A,0)),"")</f>
        <v/>
      </c>
      <c r="AI1183" s="25" t="str">
        <f>IF(SUMIFS('Supp Consol'!AA:AA,'Supp Consol'!Z:Z,"Expires this month",'Supp Consol'!A:A,O1183)=0,"",SUMIFS('Supp Consol'!AA:AA,'Supp Consol'!Z:Z,"Expires this month",'Supp Consol'!A:A,O1183))</f>
        <v/>
      </c>
      <c r="AJ1183" s="25" t="str">
        <f>IF(SUMIFS('Supp Consol'!AA:AA,'Supp Consol'!Z:Z,"Expired Previous Months",'Supp Consol'!A:A,O1183)=0,"",SUMIFS('Supp Consol'!AA:AA,'Supp Consol'!Z:Z,"Expired Previous Months",'Supp Consol'!A:A,O1183))</f>
        <v/>
      </c>
      <c r="AK1183" s="25" t="str">
        <f>IFERROR(INDEX('Hun Release Current'!B:B,MATCH(O1183,'Hun Release Current'!A:A,0)),"")</f>
        <v/>
      </c>
      <c r="AL1183" s="25" t="str">
        <f>IF(SUMIF('Prev Aub'!A:A,O1183,'Prev Aub'!B:B)=0,"",SUMIF('Prev Aub'!A:A,O1183,'Prev Aub'!B:B))</f>
        <v/>
      </c>
      <c r="AN1183" s="25" t="s">
        <v>3790</v>
      </c>
      <c r="AO1183" s="25" t="s">
        <v>3790</v>
      </c>
      <c r="AP1183" s="25">
        <f t="shared" si="510"/>
        <v>0</v>
      </c>
      <c r="AQ1183" s="151" t="str">
        <f>IF(SUMIFS('Supp Consol'!S:S,'Supp Consol'!A:A,O1183,'Supp Consol'!I:I,"PENDING")=0,"",SUMIFS('Supp Consol'!S:S,'Supp Consol'!A:A,O1183,'Supp Consol'!I:I,"PENDING"))</f>
        <v/>
      </c>
      <c r="AR1183" s="27" t="str">
        <f t="shared" si="511"/>
        <v>SW727</v>
      </c>
      <c r="AS1183" s="27" t="str">
        <f t="shared" si="512"/>
        <v>50</v>
      </c>
      <c r="AT1183" s="27" t="str">
        <f t="shared" si="513"/>
        <v/>
      </c>
      <c r="AU1183" s="27" t="str">
        <f t="shared" si="514"/>
        <v/>
      </c>
      <c r="AV1183" s="27" t="str">
        <f t="shared" si="515"/>
        <v/>
      </c>
      <c r="AW1183" s="27" t="str">
        <f t="shared" si="516"/>
        <v/>
      </c>
      <c r="AX1183" s="27" t="str">
        <f t="shared" si="517"/>
        <v/>
      </c>
      <c r="AY1183" s="27" t="str">
        <f t="shared" si="518"/>
        <v/>
      </c>
      <c r="AZ1183" s="27" t="str">
        <f t="shared" si="519"/>
        <v/>
      </c>
      <c r="BA1183" s="27" t="str">
        <f t="shared" si="520"/>
        <v/>
      </c>
      <c r="BB1183" s="27" t="str">
        <f t="shared" si="521"/>
        <v>Gross</v>
      </c>
      <c r="BC1183" s="27" t="str">
        <f t="shared" si="522"/>
        <v>Net</v>
      </c>
      <c r="BD1183" s="27" t="str">
        <f t="shared" si="523"/>
        <v>Net</v>
      </c>
      <c r="BE1183" s="27" t="str">
        <f t="shared" si="524"/>
        <v/>
      </c>
      <c r="BF1183" s="27" t="str">
        <f t="shared" si="525"/>
        <v/>
      </c>
      <c r="BG1183" s="27" t="str">
        <f t="shared" si="526"/>
        <v/>
      </c>
      <c r="BH1183" s="27" t="str">
        <f t="shared" si="527"/>
        <v/>
      </c>
      <c r="BI1183" s="27" t="str">
        <f t="shared" si="528"/>
        <v/>
      </c>
      <c r="BJ1183" s="27" t="str">
        <f t="shared" si="529"/>
        <v/>
      </c>
      <c r="BK1183" s="27" t="str">
        <f t="shared" si="530"/>
        <v/>
      </c>
      <c r="BL1183" s="27" t="str">
        <f t="shared" si="531"/>
        <v/>
      </c>
      <c r="BM1183" s="21" t="s">
        <v>5581</v>
      </c>
    </row>
    <row r="1184" spans="1:65" ht="15">
      <c r="A1184" s="25" t="str">
        <f>IFERROR(INDEX('Hun Demand'!W:W,MATCH(O1184,'Hun Demand'!A:A,0)),"")</f>
        <v/>
      </c>
      <c r="B1184" s="25" t="str">
        <f>IFERROR(INDEX('Hun Demand'!V:V,MATCH(O1184,'Hun Demand'!A:A,0)),"")</f>
        <v/>
      </c>
      <c r="C1184" s="25" t="str">
        <f>IFERROR(INDEX('Hun Demand'!U:U,MATCH(O1184,'Hun Demand'!A:A,0)),"")</f>
        <v/>
      </c>
      <c r="D1184" s="25" t="str">
        <f>IFERROR(INDEX('Hun Demand'!T:T,MATCH(O1184,'Hun Demand'!A:A,0)),"")</f>
        <v/>
      </c>
      <c r="E1184" s="25" t="str">
        <f>IFERROR(INDEX('Hun Demand'!S:S,MATCH(O1184,'Hun Demand'!A:A,0)),"")</f>
        <v/>
      </c>
      <c r="F1184" s="25" t="str">
        <f>IFERROR(INDEX('Hun Demand'!R:R,MATCH(O1184,'Hun Demand'!A:A,0)),"")</f>
        <v/>
      </c>
      <c r="G1184" s="25">
        <f>IFERROR(INDEX('Aub Demand'!W:W,MATCH(O1184,'Aub Demand'!A:A,0)),"")</f>
        <v>912</v>
      </c>
      <c r="H1184" s="25">
        <f>IFERROR(INDEX('Aub Demand'!V:V,MATCH(O1184,'Aub Demand'!A:A,0)),"")</f>
        <v>694</v>
      </c>
      <c r="I1184" s="25">
        <f>IFERROR(INDEX('Aub Demand'!U:U,MATCH(O1184,'Aub Demand'!A:A,0)),"")</f>
        <v>973</v>
      </c>
      <c r="J1184" s="25">
        <f>IFERROR(INDEX('Aub Demand'!T:T,MATCH(O1184,'Aub Demand'!A:A,0)),"")</f>
        <v>379</v>
      </c>
      <c r="K1184" s="25">
        <f>IFERROR(INDEX('Aub Demand'!S:S,MATCH(O1184,'Aub Demand'!A:A,0)),"")</f>
        <v>780</v>
      </c>
      <c r="L1184" s="25">
        <f>IFERROR(INDEX('Aub Demand'!R:R,MATCH(O1184,'Aub Demand'!A:A,0)),"")</f>
        <v>0</v>
      </c>
      <c r="O1184" s="27" t="s">
        <v>2788</v>
      </c>
      <c r="P1184" s="27" t="str">
        <f>IFERROR(INDEX('Aub Demand'!B:B,MATCH($O1184,'Aub Demand'!$A:$A,0)),"")</f>
        <v>SMOKY WHITE 62"</v>
      </c>
      <c r="Q1184" s="27" t="str">
        <f>IFERROR(INDEX('Aub Demand'!C:C,MATCH($O1184,'Aub Demand'!$A:$A,0)),"")</f>
        <v>ONYX</v>
      </c>
      <c r="R1184" s="52">
        <f>IFERROR(IF(AR1185=AR1184,INDEX('Aub Demand'!K:K,MATCH($O1184,'Aub Demand'!$A:$A,0))-IF(AN1184="",0,AN1184)+AP1185,INDEX('Aub Demand'!K:K,MATCH($O1184,'Aub Demand'!$A:$A,0))-IF(AN1184="",0,AN1184)),"")</f>
        <v>3869</v>
      </c>
      <c r="S1184" s="53">
        <f t="shared" si="504"/>
        <v>23.3</v>
      </c>
      <c r="T1184" s="52" t="str">
        <f t="shared" si="505"/>
        <v/>
      </c>
      <c r="U1184" s="52">
        <f>IFERROR(IF(AR1185=AR1184,INDEX('Aub Demand'!Q:Q,MATCH($O1184,'Aub Demand'!$A:$A,0))-IF(AN1184="",0,AN1184)+AP1185,INDEX('Aub Demand'!Q:Q,MATCH($O1184,'Aub Demand'!$A:$A,0))-IF(AN1184="",0,AN1184)),"")</f>
        <v>3263</v>
      </c>
      <c r="V1184" s="53">
        <f t="shared" si="506"/>
        <v>19.7</v>
      </c>
      <c r="W1184" s="52" t="str">
        <f t="shared" si="507"/>
        <v/>
      </c>
      <c r="X1184" s="52">
        <f>IFERROR(IF(AND(AR1185=AR1184,AM1184&lt;&gt;""),INDEX('Aub Demand'!Q:Q,MATCH($O1184,'Aub Demand'!$A:$A,0))-IF(AN1184="",0,AN1184)+AP1185+AD1184+AL1184,IF(AR1185=AR1184,INDEX('Aub Demand'!Q:Q,MATCH($O1184,'Aub Demand'!$A:$A,0))-IF(AN1184="",0,AN1184)+AP1185+AD1184,IF(AM1184&lt;&gt;"",INDEX('Aub Demand'!Q:Q,MATCH($O1184,'Aub Demand'!$A:$A,0))-IF(AN1184="",0,AN1184)+AD1184+AL1184,INDEX('Aub Demand'!Q:Q,MATCH($O1184,'Aub Demand'!$A:$A,0))-IF(AN1184="",0,AN1184)+AD1184))),"")</f>
        <v>3263</v>
      </c>
      <c r="Y1184" s="53">
        <f t="shared" si="508"/>
        <v>19.7</v>
      </c>
      <c r="Z1184" s="52">
        <f>IF(L1184="","",INDEX('Aub Demand'!H:H,MATCH($O1184,'Aub Demand'!$A:$A,0)))</f>
        <v>711</v>
      </c>
      <c r="AA1184" s="52">
        <f t="shared" si="509"/>
        <v>876.5</v>
      </c>
      <c r="AB1184" s="52">
        <f>IFERROR(INDEX('Aub Demand'!L:L,MATCH($O1184,'Aub Demand'!$A:$A,0)),"")</f>
        <v>624</v>
      </c>
      <c r="AC1184" s="52">
        <f>IFERROR(IF(O1184="","",SUMIFS('CPL Mats'!F:F,'CPL Mats'!Q:Q,AR1184,'CPL Mats'!S:S,AS1184)),"")</f>
        <v>0</v>
      </c>
      <c r="AF1184" s="25" t="str">
        <f>IF(SUMIFS('Supp Consol'!S:S,'Supp Consol'!Y:Y,"Releasable",'Supp Consol'!A:A,O1184)=0,"",SUMIFS('Supp Consol'!S:S,'Supp Consol'!Y:Y,"Releasable",'Supp Consol'!A:A,O1184))</f>
        <v/>
      </c>
      <c r="AG1184" s="25" t="str">
        <f>IFERROR(INDEX('Hun Demand'!Q:Q,MATCH(O1184,'Hun Demand'!A:A,0)),"")</f>
        <v/>
      </c>
      <c r="AH1184" s="25" t="str">
        <f>IFERROR(INDEX('Hun Demand'!H:H,MATCH($O1184,'Hun Demand'!$A:$A,0)),"")</f>
        <v/>
      </c>
      <c r="AI1184" s="25" t="str">
        <f>IF(SUMIFS('Supp Consol'!AA:AA,'Supp Consol'!Z:Z,"Expires this month",'Supp Consol'!A:A,O1184)=0,"",SUMIFS('Supp Consol'!AA:AA,'Supp Consol'!Z:Z,"Expires this month",'Supp Consol'!A:A,O1184))</f>
        <v/>
      </c>
      <c r="AJ1184" s="25" t="str">
        <f>IF(SUMIFS('Supp Consol'!AA:AA,'Supp Consol'!Z:Z,"Expired Previous Months",'Supp Consol'!A:A,O1184)=0,"",SUMIFS('Supp Consol'!AA:AA,'Supp Consol'!Z:Z,"Expired Previous Months",'Supp Consol'!A:A,O1184))</f>
        <v/>
      </c>
      <c r="AK1184" s="25" t="str">
        <f>IFERROR(INDEX('Hun Release Current'!B:B,MATCH(O1184,'Hun Release Current'!A:A,0)),"")</f>
        <v/>
      </c>
      <c r="AL1184" s="25" t="str">
        <f>IF(SUMIF('Prev Aub'!A:A,O1184,'Prev Aub'!B:B)=0,"",SUMIF('Prev Aub'!A:A,O1184,'Prev Aub'!B:B))</f>
        <v/>
      </c>
      <c r="AN1184" s="25" t="s">
        <v>3790</v>
      </c>
      <c r="AO1184" s="25" t="s">
        <v>3790</v>
      </c>
      <c r="AP1184" s="25">
        <f t="shared" si="510"/>
        <v>0</v>
      </c>
      <c r="AQ1184" s="151" t="str">
        <f>IF(SUMIFS('Supp Consol'!S:S,'Supp Consol'!A:A,O1184,'Supp Consol'!I:I,"PENDING")=0,"",SUMIFS('Supp Consol'!S:S,'Supp Consol'!A:A,O1184,'Supp Consol'!I:I,"PENDING"))</f>
        <v/>
      </c>
      <c r="AR1184" s="27" t="str">
        <f t="shared" si="511"/>
        <v>SW727</v>
      </c>
      <c r="AS1184" s="27" t="str">
        <f t="shared" si="512"/>
        <v>62</v>
      </c>
      <c r="AT1184" s="27" t="str">
        <f t="shared" si="513"/>
        <v/>
      </c>
      <c r="AU1184" s="27" t="str">
        <f t="shared" si="514"/>
        <v/>
      </c>
      <c r="AV1184" s="27" t="str">
        <f t="shared" si="515"/>
        <v/>
      </c>
      <c r="AW1184" s="27" t="str">
        <f t="shared" si="516"/>
        <v/>
      </c>
      <c r="AX1184" s="27" t="str">
        <f t="shared" si="517"/>
        <v/>
      </c>
      <c r="AY1184" s="27" t="str">
        <f t="shared" si="518"/>
        <v/>
      </c>
      <c r="AZ1184" s="27" t="str">
        <f t="shared" si="519"/>
        <v/>
      </c>
      <c r="BA1184" s="27" t="str">
        <f t="shared" si="520"/>
        <v/>
      </c>
      <c r="BB1184" s="27" t="str">
        <f t="shared" si="521"/>
        <v>Gross</v>
      </c>
      <c r="BC1184" s="27" t="str">
        <f t="shared" si="522"/>
        <v>Net</v>
      </c>
      <c r="BD1184" s="27" t="str">
        <f t="shared" si="523"/>
        <v>Net</v>
      </c>
      <c r="BE1184" s="27" t="str">
        <f t="shared" si="524"/>
        <v/>
      </c>
      <c r="BF1184" s="27" t="str">
        <f t="shared" si="525"/>
        <v/>
      </c>
      <c r="BG1184" s="27" t="str">
        <f t="shared" si="526"/>
        <v/>
      </c>
      <c r="BH1184" s="27" t="str">
        <f t="shared" si="527"/>
        <v/>
      </c>
      <c r="BI1184" s="27" t="str">
        <f t="shared" si="528"/>
        <v/>
      </c>
      <c r="BJ1184" s="27" t="str">
        <f t="shared" si="529"/>
        <v/>
      </c>
      <c r="BK1184" s="27" t="str">
        <f t="shared" si="530"/>
        <v/>
      </c>
      <c r="BL1184" s="27" t="str">
        <f t="shared" si="531"/>
        <v/>
      </c>
      <c r="BM1184" s="21" t="s">
        <v>5581</v>
      </c>
    </row>
    <row r="1185" spans="1:65" ht="15">
      <c r="A1185" s="25" t="str">
        <f>IFERROR(INDEX('Hun Demand'!W:W,MATCH(O1185,'Hun Demand'!A:A,0)),"")</f>
        <v/>
      </c>
      <c r="B1185" s="25" t="str">
        <f>IFERROR(INDEX('Hun Demand'!V:V,MATCH(O1185,'Hun Demand'!A:A,0)),"")</f>
        <v/>
      </c>
      <c r="C1185" s="25" t="str">
        <f>IFERROR(INDEX('Hun Demand'!U:U,MATCH(O1185,'Hun Demand'!A:A,0)),"")</f>
        <v/>
      </c>
      <c r="D1185" s="25" t="str">
        <f>IFERROR(INDEX('Hun Demand'!T:T,MATCH(O1185,'Hun Demand'!A:A,0)),"")</f>
        <v/>
      </c>
      <c r="E1185" s="25" t="str">
        <f>IFERROR(INDEX('Hun Demand'!S:S,MATCH(O1185,'Hun Demand'!A:A,0)),"")</f>
        <v/>
      </c>
      <c r="F1185" s="25" t="str">
        <f>IFERROR(INDEX('Hun Demand'!R:R,MATCH(O1185,'Hun Demand'!A:A,0)),"")</f>
        <v/>
      </c>
      <c r="G1185" s="25">
        <f>IFERROR(INDEX('Aub Demand'!W:W,MATCH(O1185,'Aub Demand'!A:A,0)),"")</f>
        <v>296</v>
      </c>
      <c r="H1185" s="25">
        <f>IFERROR(INDEX('Aub Demand'!V:V,MATCH(O1185,'Aub Demand'!A:A,0)),"")</f>
        <v>394</v>
      </c>
      <c r="I1185" s="25">
        <f>IFERROR(INDEX('Aub Demand'!U:U,MATCH(O1185,'Aub Demand'!A:A,0)),"")</f>
        <v>130</v>
      </c>
      <c r="J1185" s="25">
        <f>IFERROR(INDEX('Aub Demand'!T:T,MATCH(O1185,'Aub Demand'!A:A,0)),"")</f>
        <v>182</v>
      </c>
      <c r="K1185" s="25">
        <f>IFERROR(INDEX('Aub Demand'!S:S,MATCH(O1185,'Aub Demand'!A:A,0)),"")</f>
        <v>0</v>
      </c>
      <c r="L1185" s="25">
        <f>IFERROR(INDEX('Aub Demand'!R:R,MATCH(O1185,'Aub Demand'!A:A,0)),"")</f>
        <v>0</v>
      </c>
      <c r="O1185" s="27" t="s">
        <v>2791</v>
      </c>
      <c r="P1185" s="27" t="str">
        <f>IFERROR(INDEX('Aub Demand'!B:B,MATCH($O1185,'Aub Demand'!$A:$A,0)),"")</f>
        <v>BONE WHITE</v>
      </c>
      <c r="Q1185" s="27" t="str">
        <f>IFERROR(INDEX('Aub Demand'!C:C,MATCH($O1185,'Aub Demand'!$A:$A,0)),"")</f>
        <v>ONYX</v>
      </c>
      <c r="R1185" s="52">
        <f>IFERROR(IF(AR1186=AR1185,INDEX('Aub Demand'!K:K,MATCH($O1185,'Aub Demand'!$A:$A,0))-IF(AN1185="",0,AN1185)+AP1186,INDEX('Aub Demand'!K:K,MATCH($O1185,'Aub Demand'!$A:$A,0))-IF(AN1185="",0,AN1185)),"")</f>
        <v>793</v>
      </c>
      <c r="S1185" s="53">
        <f t="shared" si="504"/>
        <v>32.700000000000003</v>
      </c>
      <c r="T1185" s="52" t="str">
        <f t="shared" si="505"/>
        <v/>
      </c>
      <c r="U1185" s="52">
        <f>IFERROR(IF(AR1186=AR1185,INDEX('Aub Demand'!Q:Q,MATCH($O1185,'Aub Demand'!$A:$A,0))-IF(AN1185="",0,AN1185)+AP1186,INDEX('Aub Demand'!Q:Q,MATCH($O1185,'Aub Demand'!$A:$A,0))-IF(AN1185="",0,AN1185)),"")</f>
        <v>652</v>
      </c>
      <c r="V1185" s="53">
        <f t="shared" si="506"/>
        <v>26.9</v>
      </c>
      <c r="W1185" s="52" t="str">
        <f t="shared" si="507"/>
        <v/>
      </c>
      <c r="X1185" s="52">
        <f>IFERROR(IF(AND(AR1186=AR1185,AM1185&lt;&gt;""),INDEX('Aub Demand'!Q:Q,MATCH($O1185,'Aub Demand'!$A:$A,0))-IF(AN1185="",0,AN1185)+AP1186+AD1185+AL1185,IF(AR1186=AR1185,INDEX('Aub Demand'!Q:Q,MATCH($O1185,'Aub Demand'!$A:$A,0))-IF(AN1185="",0,AN1185)+AP1186+AD1185,IF(AM1185&lt;&gt;"",INDEX('Aub Demand'!Q:Q,MATCH($O1185,'Aub Demand'!$A:$A,0))-IF(AN1185="",0,AN1185)+AD1185+AL1185,INDEX('Aub Demand'!Q:Q,MATCH($O1185,'Aub Demand'!$A:$A,0))-IF(AN1185="",0,AN1185)+AD1185))),"")</f>
        <v>652</v>
      </c>
      <c r="Y1185" s="53">
        <f t="shared" si="508"/>
        <v>26.9</v>
      </c>
      <c r="Z1185" s="52">
        <f>IF(L1185="","",INDEX('Aub Demand'!H:H,MATCH($O1185,'Aub Demand'!$A:$A,0)))</f>
        <v>104</v>
      </c>
      <c r="AA1185" s="52">
        <f t="shared" si="509"/>
        <v>156</v>
      </c>
      <c r="AB1185" s="52">
        <f>IFERROR(INDEX('Aub Demand'!L:L,MATCH($O1185,'Aub Demand'!$A:$A,0)),"")</f>
        <v>259</v>
      </c>
      <c r="AC1185" s="52">
        <f>IFERROR(IF(O1185="","",SUMIFS('CPL Mats'!F:F,'CPL Mats'!Q:Q,AR1185,'CPL Mats'!S:S,AS1185)),"")</f>
        <v>0</v>
      </c>
      <c r="AF1185" s="25" t="str">
        <f>IF(SUMIFS('Supp Consol'!S:S,'Supp Consol'!Y:Y,"Releasable",'Supp Consol'!A:A,O1185)=0,"",SUMIFS('Supp Consol'!S:S,'Supp Consol'!Y:Y,"Releasable",'Supp Consol'!A:A,O1185))</f>
        <v/>
      </c>
      <c r="AG1185" s="25" t="str">
        <f>IFERROR(INDEX('Hun Demand'!Q:Q,MATCH(O1185,'Hun Demand'!A:A,0)),"")</f>
        <v/>
      </c>
      <c r="AH1185" s="25" t="str">
        <f>IFERROR(INDEX('Hun Demand'!H:H,MATCH($O1185,'Hun Demand'!$A:$A,0)),"")</f>
        <v/>
      </c>
      <c r="AI1185" s="25" t="str">
        <f>IF(SUMIFS('Supp Consol'!AA:AA,'Supp Consol'!Z:Z,"Expires this month",'Supp Consol'!A:A,O1185)=0,"",SUMIFS('Supp Consol'!AA:AA,'Supp Consol'!Z:Z,"Expires this month",'Supp Consol'!A:A,O1185))</f>
        <v/>
      </c>
      <c r="AJ1185" s="25" t="str">
        <f>IF(SUMIFS('Supp Consol'!AA:AA,'Supp Consol'!Z:Z,"Expired Previous Months",'Supp Consol'!A:A,O1185)=0,"",SUMIFS('Supp Consol'!AA:AA,'Supp Consol'!Z:Z,"Expired Previous Months",'Supp Consol'!A:A,O1185))</f>
        <v/>
      </c>
      <c r="AK1185" s="25" t="str">
        <f>IFERROR(INDEX('Hun Release Current'!B:B,MATCH(O1185,'Hun Release Current'!A:A,0)),"")</f>
        <v/>
      </c>
      <c r="AL1185" s="25" t="str">
        <f>IF(SUMIF('Prev Aub'!A:A,O1185,'Prev Aub'!B:B)=0,"",SUMIF('Prev Aub'!A:A,O1185,'Prev Aub'!B:B))</f>
        <v/>
      </c>
      <c r="AN1185" s="25" t="s">
        <v>3790</v>
      </c>
      <c r="AO1185" s="25" t="s">
        <v>3790</v>
      </c>
      <c r="AP1185" s="25">
        <f t="shared" si="510"/>
        <v>0</v>
      </c>
      <c r="AQ1185" s="151" t="str">
        <f>IF(SUMIFS('Supp Consol'!S:S,'Supp Consol'!A:A,O1185,'Supp Consol'!I:I,"PENDING")=0,"",SUMIFS('Supp Consol'!S:S,'Supp Consol'!A:A,O1185,'Supp Consol'!I:I,"PENDING"))</f>
        <v/>
      </c>
      <c r="AR1185" s="27" t="str">
        <f t="shared" si="511"/>
        <v>SW732</v>
      </c>
      <c r="AS1185" s="27" t="str">
        <f t="shared" si="512"/>
        <v>50</v>
      </c>
      <c r="AT1185" s="27" t="str">
        <f t="shared" si="513"/>
        <v/>
      </c>
      <c r="AU1185" s="27" t="str">
        <f t="shared" si="514"/>
        <v/>
      </c>
      <c r="AV1185" s="27" t="str">
        <f t="shared" si="515"/>
        <v/>
      </c>
      <c r="AW1185" s="27" t="str">
        <f t="shared" si="516"/>
        <v/>
      </c>
      <c r="AX1185" s="27" t="str">
        <f t="shared" si="517"/>
        <v/>
      </c>
      <c r="AY1185" s="27" t="str">
        <f t="shared" si="518"/>
        <v/>
      </c>
      <c r="AZ1185" s="27" t="str">
        <f t="shared" si="519"/>
        <v/>
      </c>
      <c r="BA1185" s="27" t="str">
        <f t="shared" si="520"/>
        <v/>
      </c>
      <c r="BB1185" s="27" t="str">
        <f t="shared" si="521"/>
        <v/>
      </c>
      <c r="BC1185" s="27" t="str">
        <f t="shared" si="522"/>
        <v/>
      </c>
      <c r="BD1185" s="27" t="str">
        <f t="shared" si="523"/>
        <v/>
      </c>
      <c r="BE1185" s="27" t="str">
        <f t="shared" si="524"/>
        <v/>
      </c>
      <c r="BF1185" s="27" t="str">
        <f t="shared" si="525"/>
        <v/>
      </c>
      <c r="BG1185" s="27" t="str">
        <f t="shared" si="526"/>
        <v/>
      </c>
      <c r="BH1185" s="27" t="str">
        <f t="shared" si="527"/>
        <v/>
      </c>
      <c r="BI1185" s="27" t="str">
        <f t="shared" si="528"/>
        <v/>
      </c>
      <c r="BJ1185" s="27" t="str">
        <f t="shared" si="529"/>
        <v/>
      </c>
      <c r="BK1185" s="27" t="str">
        <f t="shared" si="530"/>
        <v/>
      </c>
      <c r="BL1185" s="27" t="str">
        <f t="shared" si="531"/>
        <v/>
      </c>
      <c r="BM1185" s="21" t="s">
        <v>5581</v>
      </c>
    </row>
    <row r="1186" spans="1:65" ht="15">
      <c r="A1186" s="25" t="str">
        <f>IFERROR(INDEX('Hun Demand'!W:W,MATCH(O1186,'Hun Demand'!A:A,0)),"")</f>
        <v/>
      </c>
      <c r="B1186" s="25" t="str">
        <f>IFERROR(INDEX('Hun Demand'!V:V,MATCH(O1186,'Hun Demand'!A:A,0)),"")</f>
        <v/>
      </c>
      <c r="C1186" s="25" t="str">
        <f>IFERROR(INDEX('Hun Demand'!U:U,MATCH(O1186,'Hun Demand'!A:A,0)),"")</f>
        <v/>
      </c>
      <c r="D1186" s="25" t="str">
        <f>IFERROR(INDEX('Hun Demand'!T:T,MATCH(O1186,'Hun Demand'!A:A,0)),"")</f>
        <v/>
      </c>
      <c r="E1186" s="25" t="str">
        <f>IFERROR(INDEX('Hun Demand'!S:S,MATCH(O1186,'Hun Demand'!A:A,0)),"")</f>
        <v/>
      </c>
      <c r="F1186" s="25" t="str">
        <f>IFERROR(INDEX('Hun Demand'!R:R,MATCH(O1186,'Hun Demand'!A:A,0)),"")</f>
        <v/>
      </c>
      <c r="G1186" s="25">
        <f>IFERROR(INDEX('Aub Demand'!W:W,MATCH(O1186,'Aub Demand'!A:A,0)),"")</f>
        <v>69</v>
      </c>
      <c r="H1186" s="25">
        <f>IFERROR(INDEX('Aub Demand'!V:V,MATCH(O1186,'Aub Demand'!A:A,0)),"")</f>
        <v>40</v>
      </c>
      <c r="I1186" s="25">
        <f>IFERROR(INDEX('Aub Demand'!U:U,MATCH(O1186,'Aub Demand'!A:A,0)),"")</f>
        <v>171</v>
      </c>
      <c r="J1186" s="25">
        <f>IFERROR(INDEX('Aub Demand'!T:T,MATCH(O1186,'Aub Demand'!A:A,0)),"")</f>
        <v>139</v>
      </c>
      <c r="K1186" s="25">
        <f>IFERROR(INDEX('Aub Demand'!S:S,MATCH(O1186,'Aub Demand'!A:A,0)),"")</f>
        <v>0</v>
      </c>
      <c r="L1186" s="25">
        <f>IFERROR(INDEX('Aub Demand'!R:R,MATCH(O1186,'Aub Demand'!A:A,0)),"")</f>
        <v>0</v>
      </c>
      <c r="O1186" s="27" t="s">
        <v>2793</v>
      </c>
      <c r="P1186" s="27" t="str">
        <f>IFERROR(INDEX('Aub Demand'!B:B,MATCH($O1186,'Aub Demand'!$A:$A,0)),"")</f>
        <v>BONE WHITE 60"</v>
      </c>
      <c r="Q1186" s="27" t="str">
        <f>IFERROR(INDEX('Aub Demand'!C:C,MATCH($O1186,'Aub Demand'!$A:$A,0)),"")</f>
        <v>ONYX</v>
      </c>
      <c r="R1186" s="52">
        <f>IFERROR(IF(AR1187=AR1186,INDEX('Aub Demand'!K:K,MATCH($O1186,'Aub Demand'!$A:$A,0))-IF(AN1186="",0,AN1186)+AP1187,INDEX('Aub Demand'!K:K,MATCH($O1186,'Aub Demand'!$A:$A,0))-IF(AN1186="",0,AN1186)),"")</f>
        <v>1731</v>
      </c>
      <c r="S1186" s="53">
        <f t="shared" si="504"/>
        <v>72</v>
      </c>
      <c r="T1186" s="52" t="str">
        <f t="shared" si="505"/>
        <v/>
      </c>
      <c r="U1186" s="52">
        <f>IFERROR(IF(AR1187=AR1186,INDEX('Aub Demand'!Q:Q,MATCH($O1186,'Aub Demand'!$A:$A,0))-IF(AN1186="",0,AN1186)+AP1187,INDEX('Aub Demand'!Q:Q,MATCH($O1186,'Aub Demand'!$A:$A,0))-IF(AN1186="",0,AN1186)),"")</f>
        <v>1701</v>
      </c>
      <c r="V1186" s="53">
        <f t="shared" si="506"/>
        <v>70.8</v>
      </c>
      <c r="W1186" s="52" t="str">
        <f t="shared" si="507"/>
        <v/>
      </c>
      <c r="X1186" s="52">
        <f>IFERROR(IF(AND(AR1187=AR1186,AM1186&lt;&gt;""),INDEX('Aub Demand'!Q:Q,MATCH($O1186,'Aub Demand'!$A:$A,0))-IF(AN1186="",0,AN1186)+AP1187+AD1186+AL1186,IF(AR1187=AR1186,INDEX('Aub Demand'!Q:Q,MATCH($O1186,'Aub Demand'!$A:$A,0))-IF(AN1186="",0,AN1186)+AP1187+AD1186,IF(AM1186&lt;&gt;"",INDEX('Aub Demand'!Q:Q,MATCH($O1186,'Aub Demand'!$A:$A,0))-IF(AN1186="",0,AN1186)+AD1186+AL1186,INDEX('Aub Demand'!Q:Q,MATCH($O1186,'Aub Demand'!$A:$A,0))-IF(AN1186="",0,AN1186)+AD1186))),"")</f>
        <v>1701</v>
      </c>
      <c r="Y1186" s="53">
        <f t="shared" si="508"/>
        <v>70.8</v>
      </c>
      <c r="Z1186" s="52">
        <f>IF(L1186="","",INDEX('Aub Demand'!H:H,MATCH($O1186,'Aub Demand'!$A:$A,0)))</f>
        <v>103</v>
      </c>
      <c r="AA1186" s="52">
        <f t="shared" si="509"/>
        <v>155</v>
      </c>
      <c r="AB1186" s="52">
        <f>IFERROR(INDEX('Aub Demand'!L:L,MATCH($O1186,'Aub Demand'!$A:$A,0)),"")</f>
        <v>208</v>
      </c>
      <c r="AC1186" s="52">
        <f>IFERROR(IF(O1186="","",SUMIFS('CPL Mats'!F:F,'CPL Mats'!Q:Q,AR1186,'CPL Mats'!S:S,AS1186)),"")</f>
        <v>0</v>
      </c>
      <c r="AF1186" s="25" t="str">
        <f>IF(SUMIFS('Supp Consol'!S:S,'Supp Consol'!Y:Y,"Releasable",'Supp Consol'!A:A,O1186)=0,"",SUMIFS('Supp Consol'!S:S,'Supp Consol'!Y:Y,"Releasable",'Supp Consol'!A:A,O1186))</f>
        <v/>
      </c>
      <c r="AG1186" s="25" t="str">
        <f>IFERROR(INDEX('Hun Demand'!Q:Q,MATCH(O1186,'Hun Demand'!A:A,0)),"")</f>
        <v/>
      </c>
      <c r="AH1186" s="25" t="str">
        <f>IFERROR(INDEX('Hun Demand'!H:H,MATCH($O1186,'Hun Demand'!$A:$A,0)),"")</f>
        <v/>
      </c>
      <c r="AI1186" s="25" t="str">
        <f>IF(SUMIFS('Supp Consol'!AA:AA,'Supp Consol'!Z:Z,"Expires this month",'Supp Consol'!A:A,O1186)=0,"",SUMIFS('Supp Consol'!AA:AA,'Supp Consol'!Z:Z,"Expires this month",'Supp Consol'!A:A,O1186))</f>
        <v/>
      </c>
      <c r="AJ1186" s="25" t="str">
        <f>IF(SUMIFS('Supp Consol'!AA:AA,'Supp Consol'!Z:Z,"Expired Previous Months",'Supp Consol'!A:A,O1186)=0,"",SUMIFS('Supp Consol'!AA:AA,'Supp Consol'!Z:Z,"Expired Previous Months",'Supp Consol'!A:A,O1186))</f>
        <v/>
      </c>
      <c r="AK1186" s="25" t="str">
        <f>IFERROR(INDEX('Hun Release Current'!B:B,MATCH(O1186,'Hun Release Current'!A:A,0)),"")</f>
        <v/>
      </c>
      <c r="AL1186" s="25" t="str">
        <f>IF(SUMIF('Prev Aub'!A:A,O1186,'Prev Aub'!B:B)=0,"",SUMIF('Prev Aub'!A:A,O1186,'Prev Aub'!B:B))</f>
        <v/>
      </c>
      <c r="AN1186" s="25" t="s">
        <v>3790</v>
      </c>
      <c r="AO1186" s="25" t="s">
        <v>3790</v>
      </c>
      <c r="AP1186" s="25">
        <f t="shared" si="510"/>
        <v>0</v>
      </c>
      <c r="AQ1186" s="151" t="str">
        <f>IF(SUMIFS('Supp Consol'!S:S,'Supp Consol'!A:A,O1186,'Supp Consol'!I:I,"PENDING")=0,"",SUMIFS('Supp Consol'!S:S,'Supp Consol'!A:A,O1186,'Supp Consol'!I:I,"PENDING"))</f>
        <v/>
      </c>
      <c r="AR1186" s="27" t="str">
        <f t="shared" si="511"/>
        <v>SW732</v>
      </c>
      <c r="AS1186" s="27" t="str">
        <f t="shared" si="512"/>
        <v>62</v>
      </c>
      <c r="AT1186" s="27" t="str">
        <f t="shared" si="513"/>
        <v/>
      </c>
      <c r="AU1186" s="27" t="str">
        <f t="shared" si="514"/>
        <v/>
      </c>
      <c r="AV1186" s="27" t="str">
        <f t="shared" si="515"/>
        <v/>
      </c>
      <c r="AW1186" s="27" t="str">
        <f t="shared" si="516"/>
        <v/>
      </c>
      <c r="AX1186" s="27" t="str">
        <f t="shared" si="517"/>
        <v/>
      </c>
      <c r="AY1186" s="27" t="str">
        <f t="shared" si="518"/>
        <v/>
      </c>
      <c r="AZ1186" s="27" t="str">
        <f t="shared" si="519"/>
        <v/>
      </c>
      <c r="BA1186" s="27" t="str">
        <f t="shared" si="520"/>
        <v/>
      </c>
      <c r="BB1186" s="27" t="str">
        <f t="shared" si="521"/>
        <v/>
      </c>
      <c r="BC1186" s="27" t="str">
        <f t="shared" si="522"/>
        <v/>
      </c>
      <c r="BD1186" s="27" t="str">
        <f t="shared" si="523"/>
        <v/>
      </c>
      <c r="BE1186" s="27" t="str">
        <f t="shared" si="524"/>
        <v/>
      </c>
      <c r="BF1186" s="27" t="str">
        <f t="shared" si="525"/>
        <v/>
      </c>
      <c r="BG1186" s="27" t="str">
        <f t="shared" si="526"/>
        <v/>
      </c>
      <c r="BH1186" s="27" t="str">
        <f t="shared" si="527"/>
        <v/>
      </c>
      <c r="BI1186" s="27" t="str">
        <f t="shared" si="528"/>
        <v/>
      </c>
      <c r="BJ1186" s="27" t="str">
        <f t="shared" si="529"/>
        <v/>
      </c>
      <c r="BK1186" s="27" t="str">
        <f t="shared" si="530"/>
        <v/>
      </c>
      <c r="BL1186" s="27" t="str">
        <f t="shared" si="531"/>
        <v/>
      </c>
      <c r="BM1186" s="21" t="s">
        <v>5581</v>
      </c>
    </row>
    <row r="1187" spans="1:65" ht="15">
      <c r="A1187" s="25">
        <f>IFERROR(INDEX('Hun Demand'!W:W,MATCH(O1187,'Hun Demand'!A:A,0)),"")</f>
        <v>0</v>
      </c>
      <c r="B1187" s="25">
        <f>IFERROR(INDEX('Hun Demand'!V:V,MATCH(O1187,'Hun Demand'!A:A,0)),"")</f>
        <v>0</v>
      </c>
      <c r="C1187" s="25">
        <f>IFERROR(INDEX('Hun Demand'!U:U,MATCH(O1187,'Hun Demand'!A:A,0)),"")</f>
        <v>0</v>
      </c>
      <c r="D1187" s="25">
        <f>IFERROR(INDEX('Hun Demand'!T:T,MATCH(O1187,'Hun Demand'!A:A,0)),"")</f>
        <v>0</v>
      </c>
      <c r="E1187" s="25">
        <f>IFERROR(INDEX('Hun Demand'!S:S,MATCH(O1187,'Hun Demand'!A:A,0)),"")</f>
        <v>0</v>
      </c>
      <c r="F1187" s="25">
        <f>IFERROR(INDEX('Hun Demand'!R:R,MATCH(O1187,'Hun Demand'!A:A,0)),"")</f>
        <v>0</v>
      </c>
      <c r="G1187" s="25">
        <f>IFERROR(INDEX('Aub Demand'!W:W,MATCH(O1187,'Aub Demand'!A:A,0)),"")</f>
        <v>2165</v>
      </c>
      <c r="H1187" s="25">
        <f>IFERROR(INDEX('Aub Demand'!V:V,MATCH(O1187,'Aub Demand'!A:A,0)),"")</f>
        <v>2319</v>
      </c>
      <c r="I1187" s="25">
        <f>IFERROR(INDEX('Aub Demand'!U:U,MATCH(O1187,'Aub Demand'!A:A,0)),"")</f>
        <v>2088</v>
      </c>
      <c r="J1187" s="25">
        <f>IFERROR(INDEX('Aub Demand'!T:T,MATCH(O1187,'Aub Demand'!A:A,0)),"")</f>
        <v>2249</v>
      </c>
      <c r="K1187" s="25">
        <f>IFERROR(INDEX('Aub Demand'!S:S,MATCH(O1187,'Aub Demand'!A:A,0)),"")</f>
        <v>1389</v>
      </c>
      <c r="L1187" s="25">
        <f>IFERROR(INDEX('Aub Demand'!R:R,MATCH(O1187,'Aub Demand'!A:A,0)),"")</f>
        <v>552</v>
      </c>
      <c r="O1187" s="27" t="s">
        <v>2796</v>
      </c>
      <c r="P1187" s="27" t="str">
        <f>IFERROR(INDEX('Aub Demand'!B:B,MATCH($O1187,'Aub Demand'!$A:$A,0)),"")</f>
        <v>PRECISION WHITE 48"</v>
      </c>
      <c r="Q1187" s="27" t="str">
        <f>IFERROR(INDEX('Aub Demand'!C:C,MATCH($O1187,'Aub Demand'!$A:$A,0)),"")</f>
        <v>PANOL</v>
      </c>
      <c r="R1187" s="52">
        <f>IFERROR(IF(AR1188=AR1187,INDEX('Aub Demand'!K:K,MATCH($O1187,'Aub Demand'!$A:$A,0))-IF(AN1187="",0,AN1187)+AP1188,INDEX('Aub Demand'!K:K,MATCH($O1187,'Aub Demand'!$A:$A,0))-IF(AN1187="",0,AN1187)),"")</f>
        <v>12603</v>
      </c>
      <c r="S1187" s="53">
        <f t="shared" si="504"/>
        <v>28.3</v>
      </c>
      <c r="T1187" s="52" t="str">
        <f t="shared" si="505"/>
        <v/>
      </c>
      <c r="U1187" s="52">
        <f>IFERROR(IF(AR1188=AR1187,INDEX('Aub Demand'!Q:Q,MATCH($O1187,'Aub Demand'!$A:$A,0))-IF(AN1187="",0,AN1187)+AP1188,INDEX('Aub Demand'!Q:Q,MATCH($O1187,'Aub Demand'!$A:$A,0))-IF(AN1187="",0,AN1187)),"")</f>
        <v>11749</v>
      </c>
      <c r="V1187" s="53">
        <f t="shared" si="506"/>
        <v>26.4</v>
      </c>
      <c r="W1187" s="52" t="str">
        <f t="shared" si="507"/>
        <v/>
      </c>
      <c r="X1187" s="52">
        <f>IFERROR(IF(AND(AR1188=AR1187,AM1187&lt;&gt;""),INDEX('Aub Demand'!Q:Q,MATCH($O1187,'Aub Demand'!$A:$A,0))-IF(AN1187="",0,AN1187)+AP1188+AD1187+AL1187,IF(AR1188=AR1187,INDEX('Aub Demand'!Q:Q,MATCH($O1187,'Aub Demand'!$A:$A,0))-IF(AN1187="",0,AN1187)+AP1188+AD1187,IF(AM1187&lt;&gt;"",INDEX('Aub Demand'!Q:Q,MATCH($O1187,'Aub Demand'!$A:$A,0))-IF(AN1187="",0,AN1187)+AD1187+AL1187,INDEX('Aub Demand'!Q:Q,MATCH($O1187,'Aub Demand'!$A:$A,0))-IF(AN1187="",0,AN1187)+AD1187))),"")</f>
        <v>11749</v>
      </c>
      <c r="Y1187" s="53">
        <f t="shared" si="508"/>
        <v>26.4</v>
      </c>
      <c r="Z1187" s="52">
        <f>IF(L1187="","",INDEX('Aub Demand'!H:H,MATCH($O1187,'Aub Demand'!$A:$A,0)))</f>
        <v>1909</v>
      </c>
      <c r="AA1187" s="52">
        <f t="shared" si="509"/>
        <v>2168.5</v>
      </c>
      <c r="AB1187" s="52">
        <f>IFERROR(INDEX('Aub Demand'!L:L,MATCH($O1187,'Aub Demand'!$A:$A,0)),"")</f>
        <v>1724</v>
      </c>
      <c r="AC1187" s="52">
        <f>IFERROR(IF(O1187="","",SUMIFS('CPL Mats'!F:F,'CPL Mats'!Q:Q,AR1187,'CPL Mats'!S:S,AS1187)),"")</f>
        <v>0</v>
      </c>
      <c r="AF1187" s="25" t="str">
        <f>IF(SUMIFS('Supp Consol'!S:S,'Supp Consol'!Y:Y,"Releasable",'Supp Consol'!A:A,O1187)=0,"",SUMIFS('Supp Consol'!S:S,'Supp Consol'!Y:Y,"Releasable",'Supp Consol'!A:A,O1187))</f>
        <v/>
      </c>
      <c r="AG1187" s="25">
        <f>IFERROR(INDEX('Hun Demand'!Q:Q,MATCH(O1187,'Hun Demand'!A:A,0)),"")</f>
        <v>893</v>
      </c>
      <c r="AH1187" s="25">
        <f>IFERROR(INDEX('Hun Demand'!H:H,MATCH($O1187,'Hun Demand'!$A:$A,0)),"")</f>
        <v>0</v>
      </c>
      <c r="AI1187" s="25" t="str">
        <f>IF(SUMIFS('Supp Consol'!AA:AA,'Supp Consol'!Z:Z,"Expires this month",'Supp Consol'!A:A,O1187)=0,"",SUMIFS('Supp Consol'!AA:AA,'Supp Consol'!Z:Z,"Expires this month",'Supp Consol'!A:A,O1187))</f>
        <v/>
      </c>
      <c r="AJ1187" s="25" t="str">
        <f>IF(SUMIFS('Supp Consol'!AA:AA,'Supp Consol'!Z:Z,"Expired Previous Months",'Supp Consol'!A:A,O1187)=0,"",SUMIFS('Supp Consol'!AA:AA,'Supp Consol'!Z:Z,"Expired Previous Months",'Supp Consol'!A:A,O1187))</f>
        <v/>
      </c>
      <c r="AK1187" s="25" t="str">
        <f>IFERROR(INDEX('Hun Release Current'!B:B,MATCH(O1187,'Hun Release Current'!A:A,0)),"")</f>
        <v/>
      </c>
      <c r="AL1187" s="25" t="str">
        <f>IF(SUMIF('Prev Aub'!A:A,O1187,'Prev Aub'!B:B)=0,"",SUMIF('Prev Aub'!A:A,O1187,'Prev Aub'!B:B))</f>
        <v/>
      </c>
      <c r="AN1187" s="25" t="s">
        <v>3790</v>
      </c>
      <c r="AO1187" s="25" t="s">
        <v>3790</v>
      </c>
      <c r="AP1187" s="25">
        <f t="shared" si="510"/>
        <v>0</v>
      </c>
      <c r="AQ1187" s="151" t="str">
        <f>IF(SUMIFS('Supp Consol'!S:S,'Supp Consol'!A:A,O1187,'Supp Consol'!I:I,"PENDING")=0,"",SUMIFS('Supp Consol'!S:S,'Supp Consol'!A:A,O1187,'Supp Consol'!I:I,"PENDING"))</f>
        <v/>
      </c>
      <c r="AR1187" s="27" t="str">
        <f t="shared" si="511"/>
        <v>SW736</v>
      </c>
      <c r="AS1187" s="27" t="str">
        <f t="shared" si="512"/>
        <v>50</v>
      </c>
      <c r="AT1187" s="27" t="str">
        <f t="shared" si="513"/>
        <v/>
      </c>
      <c r="AU1187" s="27" t="str">
        <f t="shared" si="514"/>
        <v/>
      </c>
      <c r="AV1187" s="27" t="str">
        <f t="shared" si="515"/>
        <v/>
      </c>
      <c r="AW1187" s="27" t="str">
        <f t="shared" si="516"/>
        <v/>
      </c>
      <c r="AX1187" s="27" t="str">
        <f t="shared" si="517"/>
        <v/>
      </c>
      <c r="AY1187" s="27" t="str">
        <f t="shared" si="518"/>
        <v>SW736</v>
      </c>
      <c r="AZ1187" s="27" t="str">
        <f t="shared" si="519"/>
        <v/>
      </c>
      <c r="BA1187" s="27" t="str">
        <f t="shared" si="520"/>
        <v>Hun</v>
      </c>
      <c r="BB1187" s="27" t="str">
        <f t="shared" si="521"/>
        <v/>
      </c>
      <c r="BC1187" s="27" t="str">
        <f t="shared" si="522"/>
        <v/>
      </c>
      <c r="BD1187" s="27" t="str">
        <f t="shared" si="523"/>
        <v/>
      </c>
      <c r="BE1187" s="27" t="str">
        <f t="shared" si="524"/>
        <v/>
      </c>
      <c r="BF1187" s="27" t="str">
        <f t="shared" si="525"/>
        <v/>
      </c>
      <c r="BG1187" s="27" t="str">
        <f t="shared" si="526"/>
        <v/>
      </c>
      <c r="BH1187" s="27" t="str">
        <f t="shared" si="527"/>
        <v/>
      </c>
      <c r="BI1187" s="27" t="str">
        <f t="shared" si="528"/>
        <v/>
      </c>
      <c r="BJ1187" s="27" t="str">
        <f t="shared" si="529"/>
        <v>Supp or Hun</v>
      </c>
      <c r="BK1187" s="27" t="str">
        <f t="shared" si="530"/>
        <v/>
      </c>
      <c r="BL1187" s="27" t="str">
        <f t="shared" si="531"/>
        <v/>
      </c>
      <c r="BM1187" s="21" t="s">
        <v>5581</v>
      </c>
    </row>
    <row r="1188" spans="1:65" ht="15">
      <c r="A1188" s="25" t="str">
        <f>IFERROR(INDEX('Hun Demand'!W:W,MATCH(O1188,'Hun Demand'!A:A,0)),"")</f>
        <v/>
      </c>
      <c r="B1188" s="25" t="str">
        <f>IFERROR(INDEX('Hun Demand'!V:V,MATCH(O1188,'Hun Demand'!A:A,0)),"")</f>
        <v/>
      </c>
      <c r="C1188" s="25" t="str">
        <f>IFERROR(INDEX('Hun Demand'!U:U,MATCH(O1188,'Hun Demand'!A:A,0)),"")</f>
        <v/>
      </c>
      <c r="D1188" s="25" t="str">
        <f>IFERROR(INDEX('Hun Demand'!T:T,MATCH(O1188,'Hun Demand'!A:A,0)),"")</f>
        <v/>
      </c>
      <c r="E1188" s="25" t="str">
        <f>IFERROR(INDEX('Hun Demand'!S:S,MATCH(O1188,'Hun Demand'!A:A,0)),"")</f>
        <v/>
      </c>
      <c r="F1188" s="25" t="str">
        <f>IFERROR(INDEX('Hun Demand'!R:R,MATCH(O1188,'Hun Demand'!A:A,0)),"")</f>
        <v/>
      </c>
      <c r="G1188" s="25">
        <f>IFERROR(INDEX('Aub Demand'!W:W,MATCH(O1188,'Aub Demand'!A:A,0)),"")</f>
        <v>82</v>
      </c>
      <c r="H1188" s="25">
        <f>IFERROR(INDEX('Aub Demand'!V:V,MATCH(O1188,'Aub Demand'!A:A,0)),"")</f>
        <v>591</v>
      </c>
      <c r="I1188" s="25">
        <f>IFERROR(INDEX('Aub Demand'!U:U,MATCH(O1188,'Aub Demand'!A:A,0)),"")</f>
        <v>450</v>
      </c>
      <c r="J1188" s="25">
        <f>IFERROR(INDEX('Aub Demand'!T:T,MATCH(O1188,'Aub Demand'!A:A,0)),"")</f>
        <v>86</v>
      </c>
      <c r="K1188" s="25">
        <f>IFERROR(INDEX('Aub Demand'!S:S,MATCH(O1188,'Aub Demand'!A:A,0)),"")</f>
        <v>1266</v>
      </c>
      <c r="L1188" s="25">
        <f>IFERROR(INDEX('Aub Demand'!R:R,MATCH(O1188,'Aub Demand'!A:A,0)),"")</f>
        <v>0</v>
      </c>
      <c r="O1188" s="27" t="s">
        <v>2800</v>
      </c>
      <c r="P1188" s="27" t="str">
        <f>IFERROR(INDEX('Aub Demand'!B:B,MATCH($O1188,'Aub Demand'!$A:$A,0)),"")</f>
        <v>PRECISION WHITE 62"</v>
      </c>
      <c r="Q1188" s="27" t="str">
        <f>IFERROR(INDEX('Aub Demand'!C:C,MATCH($O1188,'Aub Demand'!$A:$A,0)),"")</f>
        <v>AHLST</v>
      </c>
      <c r="R1188" s="52">
        <f>IFERROR(IF(AR1189=AR1188,INDEX('Aub Demand'!K:K,MATCH($O1188,'Aub Demand'!$A:$A,0))-IF(AN1188="",0,AN1188)+AP1189,INDEX('Aub Demand'!K:K,MATCH($O1188,'Aub Demand'!$A:$A,0))-IF(AN1188="",0,AN1188)),"")</f>
        <v>9878</v>
      </c>
      <c r="S1188" s="53">
        <f t="shared" si="504"/>
        <v>70.400000000000006</v>
      </c>
      <c r="T1188" s="52" t="str">
        <f t="shared" si="505"/>
        <v/>
      </c>
      <c r="U1188" s="52">
        <f>IFERROR(IF(AR1189=AR1188,INDEX('Aub Demand'!Q:Q,MATCH($O1188,'Aub Demand'!$A:$A,0))-IF(AN1188="",0,AN1188)+AP1189,INDEX('Aub Demand'!Q:Q,MATCH($O1188,'Aub Demand'!$A:$A,0))-IF(AN1188="",0,AN1188)),"")</f>
        <v>9620</v>
      </c>
      <c r="V1188" s="53">
        <f t="shared" si="506"/>
        <v>68.599999999999994</v>
      </c>
      <c r="W1188" s="52" t="str">
        <f t="shared" si="507"/>
        <v/>
      </c>
      <c r="X1188" s="52">
        <f>IFERROR(IF(AND(AR1189=AR1188,AM1188&lt;&gt;""),INDEX('Aub Demand'!Q:Q,MATCH($O1188,'Aub Demand'!$A:$A,0))-IF(AN1188="",0,AN1188)+AP1189+AD1188+AL1188,IF(AR1189=AR1188,INDEX('Aub Demand'!Q:Q,MATCH($O1188,'Aub Demand'!$A:$A,0))-IF(AN1188="",0,AN1188)+AP1189+AD1188,IF(AM1188&lt;&gt;"",INDEX('Aub Demand'!Q:Q,MATCH($O1188,'Aub Demand'!$A:$A,0))-IF(AN1188="",0,AN1188)+AD1188+AL1188,INDEX('Aub Demand'!Q:Q,MATCH($O1188,'Aub Demand'!$A:$A,0))-IF(AN1188="",0,AN1188)+AD1188))),"")</f>
        <v>9620</v>
      </c>
      <c r="Y1188" s="53">
        <f t="shared" si="508"/>
        <v>68.599999999999994</v>
      </c>
      <c r="Z1188" s="52">
        <f>IF(L1188="","",INDEX('Aub Demand'!H:H,MATCH($O1188,'Aub Demand'!$A:$A,0)))</f>
        <v>601</v>
      </c>
      <c r="AA1188" s="52">
        <f t="shared" si="509"/>
        <v>858</v>
      </c>
      <c r="AB1188" s="52">
        <f>IFERROR(INDEX('Aub Demand'!L:L,MATCH($O1188,'Aub Demand'!$A:$A,0)),"")</f>
        <v>984</v>
      </c>
      <c r="AC1188" s="52">
        <f>IFERROR(IF(O1188="","",SUMIFS('CPL Mats'!F:F,'CPL Mats'!Q:Q,AR1188,'CPL Mats'!S:S,AS1188)),"")</f>
        <v>0</v>
      </c>
      <c r="AF1188" s="25" t="str">
        <f>IF(SUMIFS('Supp Consol'!S:S,'Supp Consol'!Y:Y,"Releasable",'Supp Consol'!A:A,O1188)=0,"",SUMIFS('Supp Consol'!S:S,'Supp Consol'!Y:Y,"Releasable",'Supp Consol'!A:A,O1188))</f>
        <v/>
      </c>
      <c r="AG1188" s="25" t="str">
        <f>IFERROR(INDEX('Hun Demand'!Q:Q,MATCH(O1188,'Hun Demand'!A:A,0)),"")</f>
        <v/>
      </c>
      <c r="AH1188" s="25" t="str">
        <f>IFERROR(INDEX('Hun Demand'!H:H,MATCH($O1188,'Hun Demand'!$A:$A,0)),"")</f>
        <v/>
      </c>
      <c r="AI1188" s="25" t="str">
        <f>IF(SUMIFS('Supp Consol'!AA:AA,'Supp Consol'!Z:Z,"Expires this month",'Supp Consol'!A:A,O1188)=0,"",SUMIFS('Supp Consol'!AA:AA,'Supp Consol'!Z:Z,"Expires this month",'Supp Consol'!A:A,O1188))</f>
        <v/>
      </c>
      <c r="AJ1188" s="25" t="str">
        <f>IF(SUMIFS('Supp Consol'!AA:AA,'Supp Consol'!Z:Z,"Expired Previous Months",'Supp Consol'!A:A,O1188)=0,"",SUMIFS('Supp Consol'!AA:AA,'Supp Consol'!Z:Z,"Expired Previous Months",'Supp Consol'!A:A,O1188))</f>
        <v/>
      </c>
      <c r="AK1188" s="25" t="str">
        <f>IFERROR(INDEX('Hun Release Current'!B:B,MATCH(O1188,'Hun Release Current'!A:A,0)),"")</f>
        <v/>
      </c>
      <c r="AL1188" s="25" t="str">
        <f>IF(SUMIF('Prev Aub'!A:A,O1188,'Prev Aub'!B:B)=0,"",SUMIF('Prev Aub'!A:A,O1188,'Prev Aub'!B:B))</f>
        <v/>
      </c>
      <c r="AN1188" s="25" t="s">
        <v>3790</v>
      </c>
      <c r="AO1188" s="25" t="s">
        <v>3790</v>
      </c>
      <c r="AP1188" s="25">
        <f t="shared" si="510"/>
        <v>0</v>
      </c>
      <c r="AQ1188" s="151" t="str">
        <f>IF(SUMIFS('Supp Consol'!S:S,'Supp Consol'!A:A,O1188,'Supp Consol'!I:I,"PENDING")=0,"",SUMIFS('Supp Consol'!S:S,'Supp Consol'!A:A,O1188,'Supp Consol'!I:I,"PENDING"))</f>
        <v/>
      </c>
      <c r="AR1188" s="27" t="str">
        <f t="shared" si="511"/>
        <v>SW736</v>
      </c>
      <c r="AS1188" s="27" t="str">
        <f t="shared" si="512"/>
        <v>62</v>
      </c>
      <c r="AT1188" s="27" t="str">
        <f t="shared" si="513"/>
        <v/>
      </c>
      <c r="AU1188" s="27" t="str">
        <f t="shared" si="514"/>
        <v/>
      </c>
      <c r="AV1188" s="27" t="str">
        <f t="shared" si="515"/>
        <v/>
      </c>
      <c r="AW1188" s="27" t="str">
        <f t="shared" si="516"/>
        <v/>
      </c>
      <c r="AX1188" s="27" t="str">
        <f t="shared" si="517"/>
        <v/>
      </c>
      <c r="AY1188" s="27" t="str">
        <f t="shared" si="518"/>
        <v/>
      </c>
      <c r="AZ1188" s="27" t="str">
        <f t="shared" si="519"/>
        <v/>
      </c>
      <c r="BA1188" s="27" t="str">
        <f t="shared" si="520"/>
        <v>Hun</v>
      </c>
      <c r="BB1188" s="27" t="str">
        <f t="shared" si="521"/>
        <v/>
      </c>
      <c r="BC1188" s="27" t="str">
        <f t="shared" si="522"/>
        <v/>
      </c>
      <c r="BD1188" s="27" t="str">
        <f t="shared" si="523"/>
        <v/>
      </c>
      <c r="BE1188" s="27" t="str">
        <f t="shared" si="524"/>
        <v/>
      </c>
      <c r="BF1188" s="27" t="str">
        <f t="shared" si="525"/>
        <v/>
      </c>
      <c r="BG1188" s="27" t="str">
        <f t="shared" si="526"/>
        <v/>
      </c>
      <c r="BH1188" s="27" t="str">
        <f t="shared" si="527"/>
        <v/>
      </c>
      <c r="BI1188" s="27" t="str">
        <f t="shared" si="528"/>
        <v/>
      </c>
      <c r="BJ1188" s="27" t="str">
        <f t="shared" si="529"/>
        <v>Supp or Hun</v>
      </c>
      <c r="BK1188" s="27" t="str">
        <f t="shared" si="530"/>
        <v/>
      </c>
      <c r="BL1188" s="27" t="str">
        <f t="shared" si="531"/>
        <v/>
      </c>
      <c r="BM1188" s="21" t="s">
        <v>5581</v>
      </c>
    </row>
    <row r="1189" spans="1:65" ht="15">
      <c r="A1189" s="25" t="str">
        <f>IFERROR(INDEX('Hun Demand'!W:W,MATCH(O1189,'Hun Demand'!A:A,0)),"")</f>
        <v/>
      </c>
      <c r="B1189" s="25" t="str">
        <f>IFERROR(INDEX('Hun Demand'!V:V,MATCH(O1189,'Hun Demand'!A:A,0)),"")</f>
        <v/>
      </c>
      <c r="C1189" s="25" t="str">
        <f>IFERROR(INDEX('Hun Demand'!U:U,MATCH(O1189,'Hun Demand'!A:A,0)),"")</f>
        <v/>
      </c>
      <c r="D1189" s="25" t="str">
        <f>IFERROR(INDEX('Hun Demand'!T:T,MATCH(O1189,'Hun Demand'!A:A,0)),"")</f>
        <v/>
      </c>
      <c r="E1189" s="25" t="str">
        <f>IFERROR(INDEX('Hun Demand'!S:S,MATCH(O1189,'Hun Demand'!A:A,0)),"")</f>
        <v/>
      </c>
      <c r="F1189" s="25" t="str">
        <f>IFERROR(INDEX('Hun Demand'!R:R,MATCH(O1189,'Hun Demand'!A:A,0)),"")</f>
        <v/>
      </c>
      <c r="G1189" s="25">
        <f>IFERROR(INDEX('Aub Demand'!W:W,MATCH(O1189,'Aub Demand'!A:A,0)),"")</f>
        <v>0</v>
      </c>
      <c r="H1189" s="25">
        <f>IFERROR(INDEX('Aub Demand'!V:V,MATCH(O1189,'Aub Demand'!A:A,0)),"")</f>
        <v>0</v>
      </c>
      <c r="I1189" s="25">
        <f>IFERROR(INDEX('Aub Demand'!U:U,MATCH(O1189,'Aub Demand'!A:A,0)),"")</f>
        <v>18</v>
      </c>
      <c r="J1189" s="25">
        <f>IFERROR(INDEX('Aub Demand'!T:T,MATCH(O1189,'Aub Demand'!A:A,0)),"")</f>
        <v>0</v>
      </c>
      <c r="K1189" s="25">
        <f>IFERROR(INDEX('Aub Demand'!S:S,MATCH(O1189,'Aub Demand'!A:A,0)),"")</f>
        <v>0</v>
      </c>
      <c r="L1189" s="25">
        <f>IFERROR(INDEX('Aub Demand'!R:R,MATCH(O1189,'Aub Demand'!A:A,0)),"")</f>
        <v>0</v>
      </c>
      <c r="O1189" s="27" t="s">
        <v>2802</v>
      </c>
      <c r="P1189" s="27" t="str">
        <f>IFERROR(INDEX('Aub Demand'!B:B,MATCH($O1189,'Aub Demand'!$A:$A,0)),"")</f>
        <v>MALLOW WHITE 48"</v>
      </c>
      <c r="Q1189" s="27" t="str">
        <f>IFERROR(INDEX('Aub Demand'!C:C,MATCH($O1189,'Aub Demand'!$A:$A,0)),"")</f>
        <v>ONYX</v>
      </c>
      <c r="R1189" s="52">
        <f>IFERROR(IF(AR1190=AR1189,INDEX('Aub Demand'!K:K,MATCH($O1189,'Aub Demand'!$A:$A,0))-IF(AN1189="",0,AN1189)+AP1190,INDEX('Aub Demand'!K:K,MATCH($O1189,'Aub Demand'!$A:$A,0))-IF(AN1189="",0,AN1189)),"")</f>
        <v>0</v>
      </c>
      <c r="S1189" s="53">
        <f t="shared" si="504"/>
        <v>0</v>
      </c>
      <c r="T1189" s="52" t="str">
        <f t="shared" si="505"/>
        <v/>
      </c>
      <c r="U1189" s="52">
        <f>IFERROR(IF(AR1190=AR1189,INDEX('Aub Demand'!Q:Q,MATCH($O1189,'Aub Demand'!$A:$A,0))-IF(AN1189="",0,AN1189)+AP1190,INDEX('Aub Demand'!Q:Q,MATCH($O1189,'Aub Demand'!$A:$A,0))-IF(AN1189="",0,AN1189)),"")</f>
        <v>0</v>
      </c>
      <c r="V1189" s="53">
        <f t="shared" si="506"/>
        <v>0</v>
      </c>
      <c r="W1189" s="52" t="str">
        <f t="shared" si="507"/>
        <v/>
      </c>
      <c r="X1189" s="52">
        <f>IFERROR(IF(AND(AR1190=AR1189,AM1189&lt;&gt;""),INDEX('Aub Demand'!Q:Q,MATCH($O1189,'Aub Demand'!$A:$A,0))-IF(AN1189="",0,AN1189)+AP1190+AD1189+AL1189,IF(AR1190=AR1189,INDEX('Aub Demand'!Q:Q,MATCH($O1189,'Aub Demand'!$A:$A,0))-IF(AN1189="",0,AN1189)+AP1190+AD1189,IF(AM1189&lt;&gt;"",INDEX('Aub Demand'!Q:Q,MATCH($O1189,'Aub Demand'!$A:$A,0))-IF(AN1189="",0,AN1189)+AD1189+AL1189,INDEX('Aub Demand'!Q:Q,MATCH($O1189,'Aub Demand'!$A:$A,0))-IF(AN1189="",0,AN1189)+AD1189))),"")</f>
        <v>0</v>
      </c>
      <c r="Y1189" s="53">
        <f t="shared" si="508"/>
        <v>0</v>
      </c>
      <c r="Z1189" s="52">
        <f>IF(L1189="","",INDEX('Aub Demand'!H:H,MATCH($O1189,'Aub Demand'!$A:$A,0)))</f>
        <v>6</v>
      </c>
      <c r="AA1189" s="52" t="str">
        <f t="shared" si="509"/>
        <v>-spike-</v>
      </c>
      <c r="AB1189" s="52">
        <f>IFERROR(INDEX('Aub Demand'!L:L,MATCH($O1189,'Aub Demand'!$A:$A,0)),"")</f>
        <v>0</v>
      </c>
      <c r="AC1189" s="52">
        <f>IFERROR(IF(O1189="","",SUMIFS('CPL Mats'!F:F,'CPL Mats'!Q:Q,AR1189,'CPL Mats'!S:S,AS1189)),"")</f>
        <v>0</v>
      </c>
      <c r="AF1189" s="25" t="str">
        <f>IF(SUMIFS('Supp Consol'!S:S,'Supp Consol'!Y:Y,"Releasable",'Supp Consol'!A:A,O1189)=0,"",SUMIFS('Supp Consol'!S:S,'Supp Consol'!Y:Y,"Releasable",'Supp Consol'!A:A,O1189))</f>
        <v/>
      </c>
      <c r="AG1189" s="25" t="str">
        <f>IFERROR(INDEX('Hun Demand'!Q:Q,MATCH(O1189,'Hun Demand'!A:A,0)),"")</f>
        <v/>
      </c>
      <c r="AH1189" s="25" t="str">
        <f>IFERROR(INDEX('Hun Demand'!H:H,MATCH($O1189,'Hun Demand'!$A:$A,0)),"")</f>
        <v/>
      </c>
      <c r="AI1189" s="25" t="str">
        <f>IF(SUMIFS('Supp Consol'!AA:AA,'Supp Consol'!Z:Z,"Expires this month",'Supp Consol'!A:A,O1189)=0,"",SUMIFS('Supp Consol'!AA:AA,'Supp Consol'!Z:Z,"Expires this month",'Supp Consol'!A:A,O1189))</f>
        <v/>
      </c>
      <c r="AJ1189" s="25" t="str">
        <f>IF(SUMIFS('Supp Consol'!AA:AA,'Supp Consol'!Z:Z,"Expired Previous Months",'Supp Consol'!A:A,O1189)=0,"",SUMIFS('Supp Consol'!AA:AA,'Supp Consol'!Z:Z,"Expired Previous Months",'Supp Consol'!A:A,O1189))</f>
        <v/>
      </c>
      <c r="AK1189" s="25" t="str">
        <f>IFERROR(INDEX('Hun Release Current'!B:B,MATCH(O1189,'Hun Release Current'!A:A,0)),"")</f>
        <v/>
      </c>
      <c r="AL1189" s="25" t="str">
        <f>IF(SUMIF('Prev Aub'!A:A,O1189,'Prev Aub'!B:B)=0,"",SUMIF('Prev Aub'!A:A,O1189,'Prev Aub'!B:B))</f>
        <v/>
      </c>
      <c r="AN1189" s="25" t="s">
        <v>3790</v>
      </c>
      <c r="AO1189" s="25" t="s">
        <v>3790</v>
      </c>
      <c r="AP1189" s="25">
        <f t="shared" si="510"/>
        <v>0</v>
      </c>
      <c r="AQ1189" s="151" t="str">
        <f>IF(SUMIFS('Supp Consol'!S:S,'Supp Consol'!A:A,O1189,'Supp Consol'!I:I,"PENDING")=0,"",SUMIFS('Supp Consol'!S:S,'Supp Consol'!A:A,O1189,'Supp Consol'!I:I,"PENDING"))</f>
        <v/>
      </c>
      <c r="AR1189" s="27" t="str">
        <f t="shared" si="511"/>
        <v>SW738</v>
      </c>
      <c r="AS1189" s="27" t="str">
        <f t="shared" si="512"/>
        <v>50</v>
      </c>
      <c r="AT1189" s="27" t="str">
        <f t="shared" si="513"/>
        <v>SW738</v>
      </c>
      <c r="AU1189" s="27" t="str">
        <f t="shared" si="514"/>
        <v>SW738</v>
      </c>
      <c r="AV1189" s="27" t="str">
        <f t="shared" si="515"/>
        <v>SW738</v>
      </c>
      <c r="AW1189" s="27" t="str">
        <f t="shared" si="516"/>
        <v/>
      </c>
      <c r="AX1189" s="27" t="str">
        <f t="shared" si="517"/>
        <v/>
      </c>
      <c r="AY1189" s="27" t="str">
        <f t="shared" si="518"/>
        <v/>
      </c>
      <c r="AZ1189" s="27" t="str">
        <f t="shared" si="519"/>
        <v/>
      </c>
      <c r="BA1189" s="27" t="str">
        <f t="shared" si="520"/>
        <v/>
      </c>
      <c r="BB1189" s="27" t="str">
        <f t="shared" si="521"/>
        <v>Gross</v>
      </c>
      <c r="BC1189" s="27" t="str">
        <f t="shared" si="522"/>
        <v>Net</v>
      </c>
      <c r="BD1189" s="27" t="str">
        <f t="shared" si="523"/>
        <v>Net</v>
      </c>
      <c r="BE1189" s="27" t="str">
        <f t="shared" si="524"/>
        <v/>
      </c>
      <c r="BF1189" s="27" t="str">
        <f t="shared" si="525"/>
        <v/>
      </c>
      <c r="BG1189" s="27" t="str">
        <f t="shared" si="526"/>
        <v/>
      </c>
      <c r="BH1189" s="27" t="str">
        <f t="shared" si="527"/>
        <v/>
      </c>
      <c r="BI1189" s="27" t="str">
        <f t="shared" si="528"/>
        <v/>
      </c>
      <c r="BJ1189" s="27" t="str">
        <f t="shared" si="529"/>
        <v/>
      </c>
      <c r="BK1189" s="27" t="str">
        <f t="shared" si="530"/>
        <v/>
      </c>
      <c r="BL1189" s="27" t="str">
        <f t="shared" si="531"/>
        <v/>
      </c>
      <c r="BM1189" s="21" t="s">
        <v>5581</v>
      </c>
    </row>
    <row r="1190" spans="1:65" ht="15">
      <c r="A1190" s="25" t="str">
        <f>IFERROR(INDEX('Hun Demand'!W:W,MATCH(O1190,'Hun Demand'!A:A,0)),"")</f>
        <v/>
      </c>
      <c r="B1190" s="25" t="str">
        <f>IFERROR(INDEX('Hun Demand'!V:V,MATCH(O1190,'Hun Demand'!A:A,0)),"")</f>
        <v/>
      </c>
      <c r="C1190" s="25" t="str">
        <f>IFERROR(INDEX('Hun Demand'!U:U,MATCH(O1190,'Hun Demand'!A:A,0)),"")</f>
        <v/>
      </c>
      <c r="D1190" s="25" t="str">
        <f>IFERROR(INDEX('Hun Demand'!T:T,MATCH(O1190,'Hun Demand'!A:A,0)),"")</f>
        <v/>
      </c>
      <c r="E1190" s="25" t="str">
        <f>IFERROR(INDEX('Hun Demand'!S:S,MATCH(O1190,'Hun Demand'!A:A,0)),"")</f>
        <v/>
      </c>
      <c r="F1190" s="25" t="str">
        <f>IFERROR(INDEX('Hun Demand'!R:R,MATCH(O1190,'Hun Demand'!A:A,0)),"")</f>
        <v/>
      </c>
      <c r="G1190" s="25">
        <f>IFERROR(INDEX('Aub Demand'!W:W,MATCH(O1190,'Aub Demand'!A:A,0)),"")</f>
        <v>0</v>
      </c>
      <c r="H1190" s="25">
        <f>IFERROR(INDEX('Aub Demand'!V:V,MATCH(O1190,'Aub Demand'!A:A,0)),"")</f>
        <v>0</v>
      </c>
      <c r="I1190" s="25">
        <f>IFERROR(INDEX('Aub Demand'!U:U,MATCH(O1190,'Aub Demand'!A:A,0)),"")</f>
        <v>0</v>
      </c>
      <c r="J1190" s="25">
        <f>IFERROR(INDEX('Aub Demand'!T:T,MATCH(O1190,'Aub Demand'!A:A,0)),"")</f>
        <v>0</v>
      </c>
      <c r="K1190" s="25">
        <f>IFERROR(INDEX('Aub Demand'!S:S,MATCH(O1190,'Aub Demand'!A:A,0)),"")</f>
        <v>0</v>
      </c>
      <c r="L1190" s="25">
        <f>IFERROR(INDEX('Aub Demand'!R:R,MATCH(O1190,'Aub Demand'!A:A,0)),"")</f>
        <v>0</v>
      </c>
      <c r="O1190" s="27" t="s">
        <v>2804</v>
      </c>
      <c r="P1190" s="27" t="str">
        <f>IFERROR(INDEX('Aub Demand'!B:B,MATCH($O1190,'Aub Demand'!$A:$A,0)),"")</f>
        <v>MALLOW WHITE 60"</v>
      </c>
      <c r="Q1190" s="27" t="str">
        <f>IFERROR(INDEX('Aub Demand'!C:C,MATCH($O1190,'Aub Demand'!$A:$A,0)),"")</f>
        <v>ONYX</v>
      </c>
      <c r="R1190" s="52">
        <f>IFERROR(IF(AR1191=AR1190,INDEX('Aub Demand'!K:K,MATCH($O1190,'Aub Demand'!$A:$A,0))-IF(AN1190="",0,AN1190)+AP1191,INDEX('Aub Demand'!K:K,MATCH($O1190,'Aub Demand'!$A:$A,0))-IF(AN1190="",0,AN1190)),"")</f>
        <v>628</v>
      </c>
      <c r="S1190" s="53" t="str">
        <f t="shared" si="504"/>
        <v>n/a</v>
      </c>
      <c r="T1190" s="52" t="str">
        <f t="shared" si="505"/>
        <v/>
      </c>
      <c r="U1190" s="52">
        <f>IFERROR(IF(AR1191=AR1190,INDEX('Aub Demand'!Q:Q,MATCH($O1190,'Aub Demand'!$A:$A,0))-IF(AN1190="",0,AN1190)+AP1191,INDEX('Aub Demand'!Q:Q,MATCH($O1190,'Aub Demand'!$A:$A,0))-IF(AN1190="",0,AN1190)),"")</f>
        <v>628</v>
      </c>
      <c r="V1190" s="53" t="str">
        <f t="shared" si="506"/>
        <v>n/a</v>
      </c>
      <c r="W1190" s="52" t="str">
        <f t="shared" si="507"/>
        <v/>
      </c>
      <c r="X1190" s="52">
        <f>IFERROR(IF(AND(AR1191=AR1190,AM1190&lt;&gt;""),INDEX('Aub Demand'!Q:Q,MATCH($O1190,'Aub Demand'!$A:$A,0))-IF(AN1190="",0,AN1190)+AP1191+AD1190+AL1190,IF(AR1191=AR1190,INDEX('Aub Demand'!Q:Q,MATCH($O1190,'Aub Demand'!$A:$A,0))-IF(AN1190="",0,AN1190)+AP1191+AD1190,IF(AM1190&lt;&gt;"",INDEX('Aub Demand'!Q:Q,MATCH($O1190,'Aub Demand'!$A:$A,0))-IF(AN1190="",0,AN1190)+AD1190+AL1190,INDEX('Aub Demand'!Q:Q,MATCH($O1190,'Aub Demand'!$A:$A,0))-IF(AN1190="",0,AN1190)+AD1190))),"")</f>
        <v>628</v>
      </c>
      <c r="Y1190" s="53" t="str">
        <f t="shared" si="508"/>
        <v>n/a</v>
      </c>
      <c r="Z1190" s="52">
        <f>IF(L1190="","",INDEX('Aub Demand'!H:H,MATCH($O1190,'Aub Demand'!$A:$A,0)))</f>
        <v>0</v>
      </c>
      <c r="AA1190" s="52" t="str">
        <f t="shared" si="509"/>
        <v>-spike-</v>
      </c>
      <c r="AB1190" s="52">
        <f>IFERROR(INDEX('Aub Demand'!L:L,MATCH($O1190,'Aub Demand'!$A:$A,0)),"")</f>
        <v>24</v>
      </c>
      <c r="AC1190" s="52">
        <f>IFERROR(IF(O1190="","",SUMIFS('CPL Mats'!F:F,'CPL Mats'!Q:Q,AR1190,'CPL Mats'!S:S,AS1190)),"")</f>
        <v>0</v>
      </c>
      <c r="AF1190" s="25" t="str">
        <f>IF(SUMIFS('Supp Consol'!S:S,'Supp Consol'!Y:Y,"Releasable",'Supp Consol'!A:A,O1190)=0,"",SUMIFS('Supp Consol'!S:S,'Supp Consol'!Y:Y,"Releasable",'Supp Consol'!A:A,O1190))</f>
        <v/>
      </c>
      <c r="AG1190" s="25" t="str">
        <f>IFERROR(INDEX('Hun Demand'!Q:Q,MATCH(O1190,'Hun Demand'!A:A,0)),"")</f>
        <v/>
      </c>
      <c r="AH1190" s="25" t="str">
        <f>IFERROR(INDEX('Hun Demand'!H:H,MATCH($O1190,'Hun Demand'!$A:$A,0)),"")</f>
        <v/>
      </c>
      <c r="AI1190" s="25" t="str">
        <f>IF(SUMIFS('Supp Consol'!AA:AA,'Supp Consol'!Z:Z,"Expires this month",'Supp Consol'!A:A,O1190)=0,"",SUMIFS('Supp Consol'!AA:AA,'Supp Consol'!Z:Z,"Expires this month",'Supp Consol'!A:A,O1190))</f>
        <v/>
      </c>
      <c r="AJ1190" s="25" t="str">
        <f>IF(SUMIFS('Supp Consol'!AA:AA,'Supp Consol'!Z:Z,"Expired Previous Months",'Supp Consol'!A:A,O1190)=0,"",SUMIFS('Supp Consol'!AA:AA,'Supp Consol'!Z:Z,"Expired Previous Months",'Supp Consol'!A:A,O1190))</f>
        <v/>
      </c>
      <c r="AK1190" s="25" t="str">
        <f>IFERROR(INDEX('Hun Release Current'!B:B,MATCH(O1190,'Hun Release Current'!A:A,0)),"")</f>
        <v/>
      </c>
      <c r="AL1190" s="25" t="str">
        <f>IF(SUMIF('Prev Aub'!A:A,O1190,'Prev Aub'!B:B)=0,"",SUMIF('Prev Aub'!A:A,O1190,'Prev Aub'!B:B))</f>
        <v/>
      </c>
      <c r="AN1190" s="25" t="s">
        <v>3790</v>
      </c>
      <c r="AO1190" s="25" t="s">
        <v>3790</v>
      </c>
      <c r="AP1190" s="25">
        <f t="shared" si="510"/>
        <v>0</v>
      </c>
      <c r="AQ1190" s="151" t="str">
        <f>IF(SUMIFS('Supp Consol'!S:S,'Supp Consol'!A:A,O1190,'Supp Consol'!I:I,"PENDING")=0,"",SUMIFS('Supp Consol'!S:S,'Supp Consol'!A:A,O1190,'Supp Consol'!I:I,"PENDING"))</f>
        <v/>
      </c>
      <c r="AR1190" s="27" t="str">
        <f t="shared" si="511"/>
        <v>SW738</v>
      </c>
      <c r="AS1190" s="27" t="str">
        <f t="shared" si="512"/>
        <v>62</v>
      </c>
      <c r="AT1190" s="27" t="str">
        <f t="shared" si="513"/>
        <v/>
      </c>
      <c r="AU1190" s="27" t="str">
        <f t="shared" si="514"/>
        <v/>
      </c>
      <c r="AV1190" s="27" t="str">
        <f t="shared" si="515"/>
        <v/>
      </c>
      <c r="AW1190" s="27" t="str">
        <f t="shared" si="516"/>
        <v/>
      </c>
      <c r="AX1190" s="27" t="str">
        <f t="shared" si="517"/>
        <v/>
      </c>
      <c r="AY1190" s="27" t="str">
        <f t="shared" si="518"/>
        <v/>
      </c>
      <c r="AZ1190" s="27" t="str">
        <f t="shared" si="519"/>
        <v/>
      </c>
      <c r="BA1190" s="27" t="str">
        <f t="shared" si="520"/>
        <v/>
      </c>
      <c r="BB1190" s="27" t="str">
        <f t="shared" si="521"/>
        <v>Gross</v>
      </c>
      <c r="BC1190" s="27" t="str">
        <f t="shared" si="522"/>
        <v>Net</v>
      </c>
      <c r="BD1190" s="27" t="str">
        <f t="shared" si="523"/>
        <v>Net</v>
      </c>
      <c r="BE1190" s="27" t="str">
        <f t="shared" si="524"/>
        <v/>
      </c>
      <c r="BF1190" s="27" t="str">
        <f t="shared" si="525"/>
        <v/>
      </c>
      <c r="BG1190" s="27" t="str">
        <f t="shared" si="526"/>
        <v/>
      </c>
      <c r="BH1190" s="27" t="str">
        <f t="shared" si="527"/>
        <v/>
      </c>
      <c r="BI1190" s="27" t="str">
        <f t="shared" si="528"/>
        <v/>
      </c>
      <c r="BJ1190" s="27" t="str">
        <f t="shared" si="529"/>
        <v/>
      </c>
      <c r="BK1190" s="27" t="str">
        <f t="shared" si="530"/>
        <v/>
      </c>
      <c r="BL1190" s="27" t="str">
        <f t="shared" si="531"/>
        <v/>
      </c>
      <c r="BM1190" s="21" t="s">
        <v>5581</v>
      </c>
    </row>
    <row r="1191" spans="1:65" ht="15">
      <c r="A1191" s="25" t="str">
        <f>IFERROR(INDEX('Hun Demand'!W:W,MATCH(O1191,'Hun Demand'!A:A,0)),"")</f>
        <v/>
      </c>
      <c r="B1191" s="25" t="str">
        <f>IFERROR(INDEX('Hun Demand'!V:V,MATCH(O1191,'Hun Demand'!A:A,0)),"")</f>
        <v/>
      </c>
      <c r="C1191" s="25" t="str">
        <f>IFERROR(INDEX('Hun Demand'!U:U,MATCH(O1191,'Hun Demand'!A:A,0)),"")</f>
        <v/>
      </c>
      <c r="D1191" s="25" t="str">
        <f>IFERROR(INDEX('Hun Demand'!T:T,MATCH(O1191,'Hun Demand'!A:A,0)),"")</f>
        <v/>
      </c>
      <c r="E1191" s="25" t="str">
        <f>IFERROR(INDEX('Hun Demand'!S:S,MATCH(O1191,'Hun Demand'!A:A,0)),"")</f>
        <v/>
      </c>
      <c r="F1191" s="25" t="str">
        <f>IFERROR(INDEX('Hun Demand'!R:R,MATCH(O1191,'Hun Demand'!A:A,0)),"")</f>
        <v/>
      </c>
      <c r="G1191" s="25">
        <f>IFERROR(INDEX('Aub Demand'!W:W,MATCH(O1191,'Aub Demand'!A:A,0)),"")</f>
        <v>112</v>
      </c>
      <c r="H1191" s="25">
        <f>IFERROR(INDEX('Aub Demand'!V:V,MATCH(O1191,'Aub Demand'!A:A,0)),"")</f>
        <v>0</v>
      </c>
      <c r="I1191" s="25">
        <f>IFERROR(INDEX('Aub Demand'!U:U,MATCH(O1191,'Aub Demand'!A:A,0)),"")</f>
        <v>112</v>
      </c>
      <c r="J1191" s="25">
        <f>IFERROR(INDEX('Aub Demand'!T:T,MATCH(O1191,'Aub Demand'!A:A,0)),"")</f>
        <v>79</v>
      </c>
      <c r="K1191" s="25">
        <f>IFERROR(INDEX('Aub Demand'!S:S,MATCH(O1191,'Aub Demand'!A:A,0)),"")</f>
        <v>133</v>
      </c>
      <c r="L1191" s="25">
        <f>IFERROR(INDEX('Aub Demand'!R:R,MATCH(O1191,'Aub Demand'!A:A,0)),"")</f>
        <v>0</v>
      </c>
      <c r="O1191" s="27" t="s">
        <v>2806</v>
      </c>
      <c r="P1191" s="27" t="str">
        <f>IFERROR(INDEX('Aub Demand'!B:B,MATCH($O1191,'Aub Demand'!$A:$A,0)),"")</f>
        <v>SPA WHITE 48"</v>
      </c>
      <c r="Q1191" s="27" t="str">
        <f>IFERROR(INDEX('Aub Demand'!C:C,MATCH($O1191,'Aub Demand'!$A:$A,0)),"")</f>
        <v>ONYX</v>
      </c>
      <c r="R1191" s="52">
        <f>IFERROR(IF(AR1192=AR1191,INDEX('Aub Demand'!K:K,MATCH($O1191,'Aub Demand'!$A:$A,0))-IF(AN1191="",0,AN1191)+AP1192,INDEX('Aub Demand'!K:K,MATCH($O1191,'Aub Demand'!$A:$A,0))-IF(AN1191="",0,AN1191)),"")</f>
        <v>0</v>
      </c>
      <c r="S1191" s="53">
        <f t="shared" si="504"/>
        <v>0</v>
      </c>
      <c r="T1191" s="52">
        <f t="shared" si="505"/>
        <v>91.875</v>
      </c>
      <c r="U1191" s="52">
        <f>IFERROR(IF(AR1192=AR1191,INDEX('Aub Demand'!Q:Q,MATCH($O1191,'Aub Demand'!$A:$A,0))-IF(AN1191="",0,AN1191)+AP1192,INDEX('Aub Demand'!Q:Q,MATCH($O1191,'Aub Demand'!$A:$A,0))-IF(AN1191="",0,AN1191)),"")</f>
        <v>-93</v>
      </c>
      <c r="V1191" s="53">
        <f t="shared" si="506"/>
        <v>-3.7</v>
      </c>
      <c r="W1191" s="52">
        <f t="shared" si="507"/>
        <v>205.1875</v>
      </c>
      <c r="X1191" s="52">
        <f>IFERROR(IF(AND(AR1192=AR1191,AM1191&lt;&gt;""),INDEX('Aub Demand'!Q:Q,MATCH($O1191,'Aub Demand'!$A:$A,0))-IF(AN1191="",0,AN1191)+AP1192+AD1191+AL1191,IF(AR1192=AR1191,INDEX('Aub Demand'!Q:Q,MATCH($O1191,'Aub Demand'!$A:$A,0))-IF(AN1191="",0,AN1191)+AP1192+AD1191,IF(AM1191&lt;&gt;"",INDEX('Aub Demand'!Q:Q,MATCH($O1191,'Aub Demand'!$A:$A,0))-IF(AN1191="",0,AN1191)+AD1191+AL1191,INDEX('Aub Demand'!Q:Q,MATCH($O1191,'Aub Demand'!$A:$A,0))-IF(AN1191="",0,AN1191)+AD1191))),"")</f>
        <v>-93</v>
      </c>
      <c r="Y1191" s="53">
        <f t="shared" si="508"/>
        <v>-3.7</v>
      </c>
      <c r="Z1191" s="52">
        <f>IF(L1191="","",INDEX('Aub Demand'!H:H,MATCH($O1191,'Aub Demand'!$A:$A,0)))</f>
        <v>108</v>
      </c>
      <c r="AA1191" s="52">
        <f t="shared" si="509"/>
        <v>122.5</v>
      </c>
      <c r="AB1191" s="52">
        <f>IFERROR(INDEX('Aub Demand'!L:L,MATCH($O1191,'Aub Demand'!$A:$A,0)),"")</f>
        <v>430</v>
      </c>
      <c r="AC1191" s="52">
        <f>IFERROR(IF(O1191="","",SUMIFS('CPL Mats'!F:F,'CPL Mats'!Q:Q,AR1191,'CPL Mats'!S:S,AS1191)),"")</f>
        <v>0</v>
      </c>
      <c r="AF1191" s="25" t="str">
        <f>IF(SUMIFS('Supp Consol'!S:S,'Supp Consol'!Y:Y,"Releasable",'Supp Consol'!A:A,O1191)=0,"",SUMIFS('Supp Consol'!S:S,'Supp Consol'!Y:Y,"Releasable",'Supp Consol'!A:A,O1191))</f>
        <v/>
      </c>
      <c r="AG1191" s="25" t="str">
        <f>IFERROR(INDEX('Hun Demand'!Q:Q,MATCH(O1191,'Hun Demand'!A:A,0)),"")</f>
        <v/>
      </c>
      <c r="AH1191" s="25" t="str">
        <f>IFERROR(INDEX('Hun Demand'!H:H,MATCH($O1191,'Hun Demand'!$A:$A,0)),"")</f>
        <v/>
      </c>
      <c r="AI1191" s="25" t="str">
        <f>IF(SUMIFS('Supp Consol'!AA:AA,'Supp Consol'!Z:Z,"Expires this month",'Supp Consol'!A:A,O1191)=0,"",SUMIFS('Supp Consol'!AA:AA,'Supp Consol'!Z:Z,"Expires this month",'Supp Consol'!A:A,O1191))</f>
        <v/>
      </c>
      <c r="AJ1191" s="25" t="str">
        <f>IF(SUMIFS('Supp Consol'!AA:AA,'Supp Consol'!Z:Z,"Expired Previous Months",'Supp Consol'!A:A,O1191)=0,"",SUMIFS('Supp Consol'!AA:AA,'Supp Consol'!Z:Z,"Expired Previous Months",'Supp Consol'!A:A,O1191))</f>
        <v/>
      </c>
      <c r="AK1191" s="25" t="str">
        <f>IFERROR(INDEX('Hun Release Current'!B:B,MATCH(O1191,'Hun Release Current'!A:A,0)),"")</f>
        <v/>
      </c>
      <c r="AL1191" s="25" t="str">
        <f>IF(SUMIF('Prev Aub'!A:A,O1191,'Prev Aub'!B:B)=0,"",SUMIF('Prev Aub'!A:A,O1191,'Prev Aub'!B:B))</f>
        <v/>
      </c>
      <c r="AN1191" s="25" t="s">
        <v>3790</v>
      </c>
      <c r="AO1191" s="25" t="s">
        <v>3790</v>
      </c>
      <c r="AP1191" s="25">
        <f t="shared" si="510"/>
        <v>0</v>
      </c>
      <c r="AQ1191" s="151" t="str">
        <f>IF(SUMIFS('Supp Consol'!S:S,'Supp Consol'!A:A,O1191,'Supp Consol'!I:I,"PENDING")=0,"",SUMIFS('Supp Consol'!S:S,'Supp Consol'!A:A,O1191,'Supp Consol'!I:I,"PENDING"))</f>
        <v/>
      </c>
      <c r="AR1191" s="27" t="str">
        <f t="shared" si="511"/>
        <v>SW740</v>
      </c>
      <c r="AS1191" s="27" t="str">
        <f t="shared" si="512"/>
        <v>50</v>
      </c>
      <c r="AT1191" s="27" t="str">
        <f t="shared" si="513"/>
        <v>SW740</v>
      </c>
      <c r="AU1191" s="27" t="str">
        <f t="shared" si="514"/>
        <v>SW740</v>
      </c>
      <c r="AV1191" s="27" t="str">
        <f t="shared" si="515"/>
        <v>SW740</v>
      </c>
      <c r="AW1191" s="27" t="str">
        <f t="shared" si="516"/>
        <v/>
      </c>
      <c r="AX1191" s="27" t="str">
        <f t="shared" si="517"/>
        <v/>
      </c>
      <c r="AY1191" s="27" t="str">
        <f t="shared" si="518"/>
        <v/>
      </c>
      <c r="AZ1191" s="27" t="str">
        <f t="shared" si="519"/>
        <v/>
      </c>
      <c r="BA1191" s="27" t="str">
        <f t="shared" si="520"/>
        <v/>
      </c>
      <c r="BB1191" s="27" t="str">
        <f t="shared" si="521"/>
        <v>Gross</v>
      </c>
      <c r="BC1191" s="27" t="str">
        <f t="shared" si="522"/>
        <v>Net</v>
      </c>
      <c r="BD1191" s="27" t="str">
        <f t="shared" si="523"/>
        <v>Net</v>
      </c>
      <c r="BE1191" s="27" t="str">
        <f t="shared" si="524"/>
        <v/>
      </c>
      <c r="BF1191" s="27" t="str">
        <f t="shared" si="525"/>
        <v/>
      </c>
      <c r="BG1191" s="27" t="str">
        <f t="shared" si="526"/>
        <v/>
      </c>
      <c r="BH1191" s="27" t="str">
        <f t="shared" si="527"/>
        <v/>
      </c>
      <c r="BI1191" s="27" t="str">
        <f t="shared" si="528"/>
        <v/>
      </c>
      <c r="BJ1191" s="27" t="str">
        <f t="shared" si="529"/>
        <v/>
      </c>
      <c r="BK1191" s="27" t="str">
        <f t="shared" si="530"/>
        <v/>
      </c>
      <c r="BL1191" s="27" t="str">
        <f t="shared" si="531"/>
        <v/>
      </c>
      <c r="BM1191" s="21" t="s">
        <v>5581</v>
      </c>
    </row>
    <row r="1192" spans="1:65" ht="15">
      <c r="A1192" s="25" t="str">
        <f>IFERROR(INDEX('Hun Demand'!W:W,MATCH(O1192,'Hun Demand'!A:A,0)),"")</f>
        <v/>
      </c>
      <c r="B1192" s="25" t="str">
        <f>IFERROR(INDEX('Hun Demand'!V:V,MATCH(O1192,'Hun Demand'!A:A,0)),"")</f>
        <v/>
      </c>
      <c r="C1192" s="25" t="str">
        <f>IFERROR(INDEX('Hun Demand'!U:U,MATCH(O1192,'Hun Demand'!A:A,0)),"")</f>
        <v/>
      </c>
      <c r="D1192" s="25" t="str">
        <f>IFERROR(INDEX('Hun Demand'!T:T,MATCH(O1192,'Hun Demand'!A:A,0)),"")</f>
        <v/>
      </c>
      <c r="E1192" s="25" t="str">
        <f>IFERROR(INDEX('Hun Demand'!S:S,MATCH(O1192,'Hun Demand'!A:A,0)),"")</f>
        <v/>
      </c>
      <c r="F1192" s="25" t="str">
        <f>IFERROR(INDEX('Hun Demand'!R:R,MATCH(O1192,'Hun Demand'!A:A,0)),"")</f>
        <v/>
      </c>
      <c r="G1192" s="25">
        <f>IFERROR(INDEX('Aub Demand'!W:W,MATCH(O1192,'Aub Demand'!A:A,0)),"")</f>
        <v>0</v>
      </c>
      <c r="H1192" s="25">
        <f>IFERROR(INDEX('Aub Demand'!V:V,MATCH(O1192,'Aub Demand'!A:A,0)),"")</f>
        <v>0</v>
      </c>
      <c r="I1192" s="25">
        <f>IFERROR(INDEX('Aub Demand'!U:U,MATCH(O1192,'Aub Demand'!A:A,0)),"")</f>
        <v>201</v>
      </c>
      <c r="J1192" s="25">
        <f>IFERROR(INDEX('Aub Demand'!T:T,MATCH(O1192,'Aub Demand'!A:A,0)),"")</f>
        <v>65</v>
      </c>
      <c r="K1192" s="25">
        <f>IFERROR(INDEX('Aub Demand'!S:S,MATCH(O1192,'Aub Demand'!A:A,0)),"")</f>
        <v>0</v>
      </c>
      <c r="L1192" s="25">
        <f>IFERROR(INDEX('Aub Demand'!R:R,MATCH(O1192,'Aub Demand'!A:A,0)),"")</f>
        <v>71</v>
      </c>
      <c r="O1192" s="27" t="s">
        <v>2809</v>
      </c>
      <c r="P1192" s="27" t="str">
        <f>IFERROR(INDEX('Aub Demand'!B:B,MATCH($O1192,'Aub Demand'!$A:$A,0)),"")</f>
        <v>SPA WHITE 62"</v>
      </c>
      <c r="Q1192" s="27" t="str">
        <f>IFERROR(INDEX('Aub Demand'!C:C,MATCH($O1192,'Aub Demand'!$A:$A,0)),"")</f>
        <v>ONYX</v>
      </c>
      <c r="R1192" s="52">
        <f>IFERROR(IF(AR1193=AR1192,INDEX('Aub Demand'!K:K,MATCH($O1192,'Aub Demand'!$A:$A,0))-IF(AN1192="",0,AN1192)+AP1193,INDEX('Aub Demand'!K:K,MATCH($O1192,'Aub Demand'!$A:$A,0))-IF(AN1192="",0,AN1192)),"")</f>
        <v>2789</v>
      </c>
      <c r="S1192" s="53">
        <f t="shared" si="504"/>
        <v>134.30000000000001</v>
      </c>
      <c r="T1192" s="52" t="str">
        <f t="shared" si="505"/>
        <v/>
      </c>
      <c r="U1192" s="52">
        <f>IFERROR(IF(AR1193=AR1192,INDEX('Aub Demand'!Q:Q,MATCH($O1192,'Aub Demand'!$A:$A,0))-IF(AN1192="",0,AN1192)+AP1193,INDEX('Aub Demand'!Q:Q,MATCH($O1192,'Aub Demand'!$A:$A,0))-IF(AN1192="",0,AN1192)),"")</f>
        <v>2760</v>
      </c>
      <c r="V1192" s="53">
        <f t="shared" si="506"/>
        <v>132.9</v>
      </c>
      <c r="W1192" s="52" t="str">
        <f t="shared" si="507"/>
        <v/>
      </c>
      <c r="X1192" s="52">
        <f>IFERROR(IF(AND(AR1193=AR1192,AM1192&lt;&gt;""),INDEX('Aub Demand'!Q:Q,MATCH($O1192,'Aub Demand'!$A:$A,0))-IF(AN1192="",0,AN1192)+AP1193+AD1192+AL1192,IF(AR1193=AR1192,INDEX('Aub Demand'!Q:Q,MATCH($O1192,'Aub Demand'!$A:$A,0))-IF(AN1192="",0,AN1192)+AP1193+AD1192,IF(AM1192&lt;&gt;"",INDEX('Aub Demand'!Q:Q,MATCH($O1192,'Aub Demand'!$A:$A,0))-IF(AN1192="",0,AN1192)+AD1192+AL1192,INDEX('Aub Demand'!Q:Q,MATCH($O1192,'Aub Demand'!$A:$A,0))-IF(AN1192="",0,AN1192)+AD1192))),"")</f>
        <v>2760</v>
      </c>
      <c r="Y1192" s="53">
        <f t="shared" si="508"/>
        <v>132.9</v>
      </c>
      <c r="Z1192" s="52">
        <f>IF(L1192="","",INDEX('Aub Demand'!H:H,MATCH($O1192,'Aub Demand'!$A:$A,0)))</f>
        <v>89</v>
      </c>
      <c r="AA1192" s="52">
        <f t="shared" si="509"/>
        <v>136</v>
      </c>
      <c r="AB1192" s="52">
        <f>IFERROR(INDEX('Aub Demand'!L:L,MATCH($O1192,'Aub Demand'!$A:$A,0)),"")</f>
        <v>135</v>
      </c>
      <c r="AC1192" s="52">
        <f>IFERROR(IF(O1192="","",SUMIFS('CPL Mats'!F:F,'CPL Mats'!Q:Q,AR1192,'CPL Mats'!S:S,AS1192)),"")</f>
        <v>0</v>
      </c>
      <c r="AF1192" s="25" t="str">
        <f>IF(SUMIFS('Supp Consol'!S:S,'Supp Consol'!Y:Y,"Releasable",'Supp Consol'!A:A,O1192)=0,"",SUMIFS('Supp Consol'!S:S,'Supp Consol'!Y:Y,"Releasable",'Supp Consol'!A:A,O1192))</f>
        <v/>
      </c>
      <c r="AG1192" s="25" t="str">
        <f>IFERROR(INDEX('Hun Demand'!Q:Q,MATCH(O1192,'Hun Demand'!A:A,0)),"")</f>
        <v/>
      </c>
      <c r="AH1192" s="25" t="str">
        <f>IFERROR(INDEX('Hun Demand'!H:H,MATCH($O1192,'Hun Demand'!$A:$A,0)),"")</f>
        <v/>
      </c>
      <c r="AI1192" s="25" t="str">
        <f>IF(SUMIFS('Supp Consol'!AA:AA,'Supp Consol'!Z:Z,"Expires this month",'Supp Consol'!A:A,O1192)=0,"",SUMIFS('Supp Consol'!AA:AA,'Supp Consol'!Z:Z,"Expires this month",'Supp Consol'!A:A,O1192))</f>
        <v/>
      </c>
      <c r="AJ1192" s="25" t="str">
        <f>IF(SUMIFS('Supp Consol'!AA:AA,'Supp Consol'!Z:Z,"Expired Previous Months",'Supp Consol'!A:A,O1192)=0,"",SUMIFS('Supp Consol'!AA:AA,'Supp Consol'!Z:Z,"Expired Previous Months",'Supp Consol'!A:A,O1192))</f>
        <v/>
      </c>
      <c r="AK1192" s="25" t="str">
        <f>IFERROR(INDEX('Hun Release Current'!B:B,MATCH(O1192,'Hun Release Current'!A:A,0)),"")</f>
        <v/>
      </c>
      <c r="AL1192" s="25" t="str">
        <f>IF(SUMIF('Prev Aub'!A:A,O1192,'Prev Aub'!B:B)=0,"",SUMIF('Prev Aub'!A:A,O1192,'Prev Aub'!B:B))</f>
        <v/>
      </c>
      <c r="AN1192" s="25" t="s">
        <v>3790</v>
      </c>
      <c r="AO1192" s="25" t="s">
        <v>3790</v>
      </c>
      <c r="AP1192" s="25">
        <f t="shared" si="510"/>
        <v>0</v>
      </c>
      <c r="AQ1192" s="151" t="str">
        <f>IF(SUMIFS('Supp Consol'!S:S,'Supp Consol'!A:A,O1192,'Supp Consol'!I:I,"PENDING")=0,"",SUMIFS('Supp Consol'!S:S,'Supp Consol'!A:A,O1192,'Supp Consol'!I:I,"PENDING"))</f>
        <v/>
      </c>
      <c r="AR1192" s="27" t="str">
        <f t="shared" si="511"/>
        <v>SW740</v>
      </c>
      <c r="AS1192" s="27" t="str">
        <f t="shared" si="512"/>
        <v>62</v>
      </c>
      <c r="AT1192" s="27" t="str">
        <f t="shared" si="513"/>
        <v/>
      </c>
      <c r="AU1192" s="27" t="str">
        <f t="shared" si="514"/>
        <v/>
      </c>
      <c r="AV1192" s="27" t="str">
        <f t="shared" si="515"/>
        <v/>
      </c>
      <c r="AW1192" s="27" t="str">
        <f t="shared" si="516"/>
        <v/>
      </c>
      <c r="AX1192" s="27" t="str">
        <f t="shared" si="517"/>
        <v/>
      </c>
      <c r="AY1192" s="27" t="str">
        <f t="shared" si="518"/>
        <v/>
      </c>
      <c r="AZ1192" s="27" t="str">
        <f t="shared" si="519"/>
        <v/>
      </c>
      <c r="BA1192" s="27" t="str">
        <f t="shared" si="520"/>
        <v/>
      </c>
      <c r="BB1192" s="27" t="str">
        <f t="shared" si="521"/>
        <v>Gross</v>
      </c>
      <c r="BC1192" s="27" t="str">
        <f t="shared" si="522"/>
        <v>Net</v>
      </c>
      <c r="BD1192" s="27" t="str">
        <f t="shared" si="523"/>
        <v>Net</v>
      </c>
      <c r="BE1192" s="27" t="str">
        <f t="shared" si="524"/>
        <v/>
      </c>
      <c r="BF1192" s="27" t="str">
        <f t="shared" si="525"/>
        <v/>
      </c>
      <c r="BG1192" s="27" t="str">
        <f t="shared" si="526"/>
        <v/>
      </c>
      <c r="BH1192" s="27" t="str">
        <f t="shared" si="527"/>
        <v/>
      </c>
      <c r="BI1192" s="27" t="str">
        <f t="shared" si="528"/>
        <v/>
      </c>
      <c r="BJ1192" s="27" t="str">
        <f t="shared" si="529"/>
        <v/>
      </c>
      <c r="BK1192" s="27" t="str">
        <f t="shared" si="530"/>
        <v/>
      </c>
      <c r="BL1192" s="27" t="str">
        <f t="shared" si="531"/>
        <v/>
      </c>
      <c r="BM1192" s="21" t="s">
        <v>5581</v>
      </c>
    </row>
    <row r="1193" spans="1:65" ht="15">
      <c r="A1193" s="25">
        <f>IFERROR(INDEX('Hun Demand'!W:W,MATCH(O1193,'Hun Demand'!A:A,0)),"")</f>
        <v>10565</v>
      </c>
      <c r="B1193" s="25">
        <f>IFERROR(INDEX('Hun Demand'!V:V,MATCH(O1193,'Hun Demand'!A:A,0)),"")</f>
        <v>6451</v>
      </c>
      <c r="C1193" s="25">
        <f>IFERROR(INDEX('Hun Demand'!U:U,MATCH(O1193,'Hun Demand'!A:A,0)),"")</f>
        <v>7512</v>
      </c>
      <c r="D1193" s="25">
        <f>IFERROR(INDEX('Hun Demand'!T:T,MATCH(O1193,'Hun Demand'!A:A,0)),"")</f>
        <v>1123</v>
      </c>
      <c r="E1193" s="25">
        <f>IFERROR(INDEX('Hun Demand'!S:S,MATCH(O1193,'Hun Demand'!A:A,0)),"")</f>
        <v>2656</v>
      </c>
      <c r="F1193" s="25">
        <f>IFERROR(INDEX('Hun Demand'!R:R,MATCH(O1193,'Hun Demand'!A:A,0)),"")</f>
        <v>1989</v>
      </c>
      <c r="G1193" s="25">
        <f>IFERROR(INDEX('Aub Demand'!W:W,MATCH(O1193,'Aub Demand'!A:A,0)),"")</f>
        <v>0</v>
      </c>
      <c r="H1193" s="25">
        <f>IFERROR(INDEX('Aub Demand'!V:V,MATCH(O1193,'Aub Demand'!A:A,0)),"")</f>
        <v>0</v>
      </c>
      <c r="I1193" s="25">
        <f>IFERROR(INDEX('Aub Demand'!U:U,MATCH(O1193,'Aub Demand'!A:A,0)),"")</f>
        <v>0</v>
      </c>
      <c r="J1193" s="25">
        <f>IFERROR(INDEX('Aub Demand'!T:T,MATCH(O1193,'Aub Demand'!A:A,0)),"")</f>
        <v>0</v>
      </c>
      <c r="K1193" s="25">
        <f>IFERROR(INDEX('Aub Demand'!S:S,MATCH(O1193,'Aub Demand'!A:A,0)),"")</f>
        <v>0</v>
      </c>
      <c r="L1193" s="25">
        <f>IFERROR(INDEX('Aub Demand'!R:R,MATCH(O1193,'Aub Demand'!A:A,0)),"")</f>
        <v>0</v>
      </c>
      <c r="O1193" s="27" t="s">
        <v>2812</v>
      </c>
      <c r="P1193" s="27" t="str">
        <f>IFERROR(INDEX('Aub Demand'!B:B,MATCH($O1193,'Aub Demand'!$A:$A,0)),"")</f>
        <v>SOUTHERN CHIC WT TFL</v>
      </c>
      <c r="Q1193" s="27" t="str">
        <f>IFERROR(INDEX('Aub Demand'!C:C,MATCH($O1193,'Aub Demand'!$A:$A,0)),"")</f>
        <v>ONYX</v>
      </c>
      <c r="R1193" s="52">
        <f>IFERROR(IF(AR1194=AR1193,INDEX('Aub Demand'!K:K,MATCH($O1193,'Aub Demand'!$A:$A,0))-IF(AN1193="",0,AN1193)+AP1194,INDEX('Aub Demand'!K:K,MATCH($O1193,'Aub Demand'!$A:$A,0))-IF(AN1193="",0,AN1193)),"")</f>
        <v>146</v>
      </c>
      <c r="S1193" s="53" t="str">
        <f t="shared" si="504"/>
        <v>n/a</v>
      </c>
      <c r="T1193" s="52" t="str">
        <f t="shared" si="505"/>
        <v/>
      </c>
      <c r="U1193" s="52">
        <f>IFERROR(IF(AR1194=AR1193,INDEX('Aub Demand'!Q:Q,MATCH($O1193,'Aub Demand'!$A:$A,0))-IF(AN1193="",0,AN1193)+AP1194,INDEX('Aub Demand'!Q:Q,MATCH($O1193,'Aub Demand'!$A:$A,0))-IF(AN1193="",0,AN1193)),"")</f>
        <v>146</v>
      </c>
      <c r="V1193" s="53" t="str">
        <f t="shared" si="506"/>
        <v>n/a</v>
      </c>
      <c r="W1193" s="52" t="str">
        <f t="shared" si="507"/>
        <v/>
      </c>
      <c r="X1193" s="52">
        <f>IFERROR(IF(AND(AR1194=AR1193,AM1193&lt;&gt;""),INDEX('Aub Demand'!Q:Q,MATCH($O1193,'Aub Demand'!$A:$A,0))-IF(AN1193="",0,AN1193)+AP1194+AD1193+AL1193,IF(AR1194=AR1193,INDEX('Aub Demand'!Q:Q,MATCH($O1193,'Aub Demand'!$A:$A,0))-IF(AN1193="",0,AN1193)+AP1194+AD1193,IF(AM1193&lt;&gt;"",INDEX('Aub Demand'!Q:Q,MATCH($O1193,'Aub Demand'!$A:$A,0))-IF(AN1193="",0,AN1193)+AD1193+AL1193,INDEX('Aub Demand'!Q:Q,MATCH($O1193,'Aub Demand'!$A:$A,0))-IF(AN1193="",0,AN1193)+AD1193))),"")</f>
        <v>146</v>
      </c>
      <c r="Y1193" s="53" t="str">
        <f t="shared" si="508"/>
        <v>n/a</v>
      </c>
      <c r="Z1193" s="52">
        <f>IF(L1193="","",INDEX('Aub Demand'!H:H,MATCH($O1193,'Aub Demand'!$A:$A,0)))</f>
        <v>0</v>
      </c>
      <c r="AA1193" s="52" t="str">
        <f t="shared" si="509"/>
        <v>-spike-</v>
      </c>
      <c r="AB1193" s="52">
        <f>IFERROR(INDEX('Aub Demand'!L:L,MATCH($O1193,'Aub Demand'!$A:$A,0)),"")</f>
        <v>0</v>
      </c>
      <c r="AC1193" s="52">
        <f>IFERROR(IF(O1193="","",SUMIFS('CPL Mats'!F:F,'CPL Mats'!Q:Q,AR1193,'CPL Mats'!S:S,AS1193)),"")</f>
        <v>0</v>
      </c>
      <c r="AF1193" s="25">
        <f>IF(SUMIFS('Supp Consol'!S:S,'Supp Consol'!Y:Y,"Releasable",'Supp Consol'!A:A,O1193)=0,"",SUMIFS('Supp Consol'!S:S,'Supp Consol'!Y:Y,"Releasable",'Supp Consol'!A:A,O1193))</f>
        <v>18198</v>
      </c>
      <c r="AG1193" s="25">
        <f>IFERROR(INDEX('Hun Demand'!Q:Q,MATCH(O1193,'Hun Demand'!A:A,0)),"")</f>
        <v>7268</v>
      </c>
      <c r="AH1193" s="25">
        <f>IFERROR(INDEX('Hun Demand'!H:H,MATCH($O1193,'Hun Demand'!$A:$A,0)),"")</f>
        <v>3764</v>
      </c>
      <c r="AI1193" s="25" t="str">
        <f>IF(SUMIFS('Supp Consol'!AA:AA,'Supp Consol'!Z:Z,"Expires this month",'Supp Consol'!A:A,O1193)=0,"",SUMIFS('Supp Consol'!AA:AA,'Supp Consol'!Z:Z,"Expires this month",'Supp Consol'!A:A,O1193))</f>
        <v/>
      </c>
      <c r="AJ1193" s="25" t="str">
        <f>IF(SUMIFS('Supp Consol'!AA:AA,'Supp Consol'!Z:Z,"Expired Previous Months",'Supp Consol'!A:A,O1193)=0,"",SUMIFS('Supp Consol'!AA:AA,'Supp Consol'!Z:Z,"Expired Previous Months",'Supp Consol'!A:A,O1193))</f>
        <v/>
      </c>
      <c r="AK1193" s="25" t="str">
        <f>IFERROR(INDEX('Hun Release Current'!B:B,MATCH(O1193,'Hun Release Current'!A:A,0)),"")</f>
        <v/>
      </c>
      <c r="AL1193" s="25" t="str">
        <f>IF(SUMIF('Prev Aub'!A:A,O1193,'Prev Aub'!B:B)=0,"",SUMIF('Prev Aub'!A:A,O1193,'Prev Aub'!B:B))</f>
        <v/>
      </c>
      <c r="AN1193" s="25" t="s">
        <v>3790</v>
      </c>
      <c r="AO1193" s="25" t="s">
        <v>3790</v>
      </c>
      <c r="AP1193" s="25">
        <f t="shared" si="510"/>
        <v>0</v>
      </c>
      <c r="AQ1193" s="151" t="str">
        <f>IF(SUMIFS('Supp Consol'!S:S,'Supp Consol'!A:A,O1193,'Supp Consol'!I:I,"PENDING")=0,"",SUMIFS('Supp Consol'!S:S,'Supp Consol'!A:A,O1193,'Supp Consol'!I:I,"PENDING"))</f>
        <v/>
      </c>
      <c r="AR1193" s="27" t="str">
        <f t="shared" si="511"/>
        <v>SW775</v>
      </c>
      <c r="AS1193" s="27" t="str">
        <f t="shared" si="512"/>
        <v>62</v>
      </c>
      <c r="AT1193" s="27" t="str">
        <f t="shared" si="513"/>
        <v/>
      </c>
      <c r="AU1193" s="27" t="str">
        <f t="shared" si="514"/>
        <v/>
      </c>
      <c r="AV1193" s="27" t="str">
        <f t="shared" si="515"/>
        <v/>
      </c>
      <c r="AW1193" s="27" t="str">
        <f t="shared" si="516"/>
        <v/>
      </c>
      <c r="AX1193" s="27" t="str">
        <f t="shared" si="517"/>
        <v>SW775</v>
      </c>
      <c r="AY1193" s="27" t="str">
        <f t="shared" si="518"/>
        <v>SW775</v>
      </c>
      <c r="AZ1193" s="27" t="str">
        <f t="shared" si="519"/>
        <v>Supp</v>
      </c>
      <c r="BA1193" s="27" t="str">
        <f t="shared" si="520"/>
        <v>Hun</v>
      </c>
      <c r="BB1193" s="27" t="str">
        <f t="shared" si="521"/>
        <v/>
      </c>
      <c r="BC1193" s="27" t="str">
        <f t="shared" si="522"/>
        <v/>
      </c>
      <c r="BD1193" s="27" t="str">
        <f t="shared" si="523"/>
        <v/>
      </c>
      <c r="BE1193" s="27" t="str">
        <f t="shared" si="524"/>
        <v/>
      </c>
      <c r="BF1193" s="27" t="str">
        <f t="shared" si="525"/>
        <v/>
      </c>
      <c r="BG1193" s="27" t="str">
        <f t="shared" si="526"/>
        <v/>
      </c>
      <c r="BH1193" s="27" t="str">
        <f t="shared" si="527"/>
        <v/>
      </c>
      <c r="BI1193" s="27" t="str">
        <f t="shared" si="528"/>
        <v/>
      </c>
      <c r="BJ1193" s="27" t="str">
        <f t="shared" si="529"/>
        <v>Supp or Hun</v>
      </c>
      <c r="BK1193" s="27" t="str">
        <f t="shared" si="530"/>
        <v/>
      </c>
      <c r="BL1193" s="27" t="str">
        <f t="shared" si="531"/>
        <v/>
      </c>
      <c r="BM1193" s="21" t="s">
        <v>5582</v>
      </c>
    </row>
    <row r="1194" spans="1:65" ht="15">
      <c r="A1194" s="25" t="str">
        <f>IFERROR(INDEX('Hun Demand'!W:W,MATCH(O1194,'Hun Demand'!A:A,0)),"")</f>
        <v/>
      </c>
      <c r="B1194" s="25" t="str">
        <f>IFERROR(INDEX('Hun Demand'!V:V,MATCH(O1194,'Hun Demand'!A:A,0)),"")</f>
        <v/>
      </c>
      <c r="C1194" s="25" t="str">
        <f>IFERROR(INDEX('Hun Demand'!U:U,MATCH(O1194,'Hun Demand'!A:A,0)),"")</f>
        <v/>
      </c>
      <c r="D1194" s="25" t="str">
        <f>IFERROR(INDEX('Hun Demand'!T:T,MATCH(O1194,'Hun Demand'!A:A,0)),"")</f>
        <v/>
      </c>
      <c r="E1194" s="25" t="str">
        <f>IFERROR(INDEX('Hun Demand'!S:S,MATCH(O1194,'Hun Demand'!A:A,0)),"")</f>
        <v/>
      </c>
      <c r="F1194" s="25" t="str">
        <f>IFERROR(INDEX('Hun Demand'!R:R,MATCH(O1194,'Hun Demand'!A:A,0)),"")</f>
        <v/>
      </c>
      <c r="G1194" s="25">
        <f>IFERROR(INDEX('Aub Demand'!W:W,MATCH(O1194,'Aub Demand'!A:A,0)),"")</f>
        <v>0</v>
      </c>
      <c r="H1194" s="25">
        <f>IFERROR(INDEX('Aub Demand'!V:V,MATCH(O1194,'Aub Demand'!A:A,0)),"")</f>
        <v>0</v>
      </c>
      <c r="I1194" s="25">
        <f>IFERROR(INDEX('Aub Demand'!U:U,MATCH(O1194,'Aub Demand'!A:A,0)),"")</f>
        <v>0</v>
      </c>
      <c r="J1194" s="25">
        <f>IFERROR(INDEX('Aub Demand'!T:T,MATCH(O1194,'Aub Demand'!A:A,0)),"")</f>
        <v>0</v>
      </c>
      <c r="K1194" s="25">
        <f>IFERROR(INDEX('Aub Demand'!S:S,MATCH(O1194,'Aub Demand'!A:A,0)),"")</f>
        <v>0</v>
      </c>
      <c r="L1194" s="25">
        <f>IFERROR(INDEX('Aub Demand'!R:R,MATCH(O1194,'Aub Demand'!A:A,0)),"")</f>
        <v>0</v>
      </c>
      <c r="O1194" s="27" t="s">
        <v>3407</v>
      </c>
      <c r="P1194" s="27" t="str">
        <f>IFERROR(INDEX('Aub Demand'!B:B,MATCH($O1194,'Aub Demand'!$A:$A,0)),"")</f>
        <v>SOFT CHAMOIS</v>
      </c>
      <c r="Q1194" s="27">
        <f>IFERROR(INDEX('Aub Demand'!C:C,MATCH($O1194,'Aub Demand'!$A:$A,0)),"")</f>
        <v>0</v>
      </c>
      <c r="R1194" s="52">
        <f>IFERROR(IF(AR1195=AR1194,INDEX('Aub Demand'!K:K,MATCH($O1194,'Aub Demand'!$A:$A,0))-IF(AN1194="",0,AN1194)+AP1195,INDEX('Aub Demand'!K:K,MATCH($O1194,'Aub Demand'!$A:$A,0))-IF(AN1194="",0,AN1194)),"")</f>
        <v>440</v>
      </c>
      <c r="S1194" s="53" t="str">
        <f t="shared" si="504"/>
        <v>n/a</v>
      </c>
      <c r="T1194" s="52" t="str">
        <f t="shared" si="505"/>
        <v/>
      </c>
      <c r="U1194" s="52">
        <f>IFERROR(IF(AR1195=AR1194,INDEX('Aub Demand'!Q:Q,MATCH($O1194,'Aub Demand'!$A:$A,0))-IF(AN1194="",0,AN1194)+AP1195,INDEX('Aub Demand'!Q:Q,MATCH($O1194,'Aub Demand'!$A:$A,0))-IF(AN1194="",0,AN1194)),"")</f>
        <v>440</v>
      </c>
      <c r="V1194" s="53" t="str">
        <f t="shared" si="506"/>
        <v>n/a</v>
      </c>
      <c r="W1194" s="52" t="str">
        <f t="shared" si="507"/>
        <v/>
      </c>
      <c r="X1194" s="52">
        <f>IFERROR(IF(AND(AR1195=AR1194,AM1194&lt;&gt;""),INDEX('Aub Demand'!Q:Q,MATCH($O1194,'Aub Demand'!$A:$A,0))-IF(AN1194="",0,AN1194)+AP1195+AD1194+AL1194,IF(AR1195=AR1194,INDEX('Aub Demand'!Q:Q,MATCH($O1194,'Aub Demand'!$A:$A,0))-IF(AN1194="",0,AN1194)+AP1195+AD1194,IF(AM1194&lt;&gt;"",INDEX('Aub Demand'!Q:Q,MATCH($O1194,'Aub Demand'!$A:$A,0))-IF(AN1194="",0,AN1194)+AD1194+AL1194,INDEX('Aub Demand'!Q:Q,MATCH($O1194,'Aub Demand'!$A:$A,0))-IF(AN1194="",0,AN1194)+AD1194))),"")</f>
        <v>440</v>
      </c>
      <c r="Y1194" s="53" t="str">
        <f t="shared" si="508"/>
        <v>n/a</v>
      </c>
      <c r="Z1194" s="52">
        <f>IF(L1194="","",INDEX('Aub Demand'!H:H,MATCH($O1194,'Aub Demand'!$A:$A,0)))</f>
        <v>0</v>
      </c>
      <c r="AA1194" s="52" t="str">
        <f t="shared" si="509"/>
        <v>-spike-</v>
      </c>
      <c r="AB1194" s="52">
        <f>IFERROR(INDEX('Aub Demand'!L:L,MATCH($O1194,'Aub Demand'!$A:$A,0)),"")</f>
        <v>0</v>
      </c>
      <c r="AC1194" s="52">
        <f>IFERROR(IF(O1194="","",SUMIFS('CPL Mats'!F:F,'CPL Mats'!Q:Q,AR1194,'CPL Mats'!S:S,AS1194)),"")</f>
        <v>0</v>
      </c>
      <c r="AF1194" s="25" t="str">
        <f>IF(SUMIFS('Supp Consol'!S:S,'Supp Consol'!Y:Y,"Releasable",'Supp Consol'!A:A,O1194)=0,"",SUMIFS('Supp Consol'!S:S,'Supp Consol'!Y:Y,"Releasable",'Supp Consol'!A:A,O1194))</f>
        <v/>
      </c>
      <c r="AG1194" s="25" t="str">
        <f>IFERROR(INDEX('Hun Demand'!Q:Q,MATCH(O1194,'Hun Demand'!A:A,0)),"")</f>
        <v/>
      </c>
      <c r="AH1194" s="25" t="str">
        <f>IFERROR(INDEX('Hun Demand'!H:H,MATCH($O1194,'Hun Demand'!$A:$A,0)),"")</f>
        <v/>
      </c>
      <c r="AI1194" s="25" t="str">
        <f>IF(SUMIFS('Supp Consol'!AA:AA,'Supp Consol'!Z:Z,"Expires this month",'Supp Consol'!A:A,O1194)=0,"",SUMIFS('Supp Consol'!AA:AA,'Supp Consol'!Z:Z,"Expires this month",'Supp Consol'!A:A,O1194))</f>
        <v/>
      </c>
      <c r="AJ1194" s="25" t="str">
        <f>IF(SUMIFS('Supp Consol'!AA:AA,'Supp Consol'!Z:Z,"Expired Previous Months",'Supp Consol'!A:A,O1194)=0,"",SUMIFS('Supp Consol'!AA:AA,'Supp Consol'!Z:Z,"Expired Previous Months",'Supp Consol'!A:A,O1194))</f>
        <v/>
      </c>
      <c r="AK1194" s="25" t="str">
        <f>IFERROR(INDEX('Hun Release Current'!B:B,MATCH(O1194,'Hun Release Current'!A:A,0)),"")</f>
        <v/>
      </c>
      <c r="AL1194" s="25" t="str">
        <f>IF(SUMIF('Prev Aub'!A:A,O1194,'Prev Aub'!B:B)=0,"",SUMIF('Prev Aub'!A:A,O1194,'Prev Aub'!B:B))</f>
        <v/>
      </c>
      <c r="AN1194" s="25" t="s">
        <v>3790</v>
      </c>
      <c r="AO1194" s="25" t="s">
        <v>3790</v>
      </c>
      <c r="AP1194" s="25">
        <f t="shared" si="510"/>
        <v>0</v>
      </c>
      <c r="AQ1194" s="151" t="str">
        <f>IF(SUMIFS('Supp Consol'!S:S,'Supp Consol'!A:A,O1194,'Supp Consol'!I:I,"PENDING")=0,"",SUMIFS('Supp Consol'!S:S,'Supp Consol'!A:A,O1194,'Supp Consol'!I:I,"PENDING"))</f>
        <v/>
      </c>
      <c r="AR1194" s="27" t="str">
        <f t="shared" si="511"/>
        <v>SW780</v>
      </c>
      <c r="AS1194" s="27" t="str">
        <f t="shared" si="512"/>
        <v>50</v>
      </c>
      <c r="AT1194" s="27" t="str">
        <f t="shared" si="513"/>
        <v/>
      </c>
      <c r="AU1194" s="27" t="str">
        <f t="shared" si="514"/>
        <v/>
      </c>
      <c r="AV1194" s="27" t="str">
        <f t="shared" si="515"/>
        <v/>
      </c>
      <c r="AW1194" s="27" t="str">
        <f t="shared" si="516"/>
        <v/>
      </c>
      <c r="AX1194" s="27" t="str">
        <f t="shared" si="517"/>
        <v/>
      </c>
      <c r="AY1194" s="27" t="str">
        <f t="shared" si="518"/>
        <v/>
      </c>
      <c r="AZ1194" s="27" t="str">
        <f t="shared" si="519"/>
        <v/>
      </c>
      <c r="BA1194" s="27" t="str">
        <f t="shared" si="520"/>
        <v/>
      </c>
      <c r="BB1194" s="27" t="str">
        <f t="shared" si="521"/>
        <v/>
      </c>
      <c r="BC1194" s="27" t="str">
        <f t="shared" si="522"/>
        <v/>
      </c>
      <c r="BD1194" s="27" t="str">
        <f t="shared" si="523"/>
        <v/>
      </c>
      <c r="BE1194" s="27" t="str">
        <f t="shared" si="524"/>
        <v/>
      </c>
      <c r="BF1194" s="27" t="str">
        <f t="shared" si="525"/>
        <v/>
      </c>
      <c r="BG1194" s="27" t="str">
        <f t="shared" si="526"/>
        <v/>
      </c>
      <c r="BH1194" s="27" t="str">
        <f t="shared" si="527"/>
        <v/>
      </c>
      <c r="BI1194" s="27" t="str">
        <f t="shared" si="528"/>
        <v/>
      </c>
      <c r="BJ1194" s="27" t="str">
        <f t="shared" si="529"/>
        <v/>
      </c>
      <c r="BK1194" s="27" t="str">
        <f t="shared" si="530"/>
        <v/>
      </c>
      <c r="BL1194" s="27" t="str">
        <f t="shared" si="531"/>
        <v/>
      </c>
      <c r="BM1194" s="21" t="s">
        <v>5582</v>
      </c>
    </row>
    <row r="1195" spans="1:65" ht="15">
      <c r="A1195" s="25" t="str">
        <f>IFERROR(INDEX('Hun Demand'!W:W,MATCH(O1195,'Hun Demand'!A:A,0)),"")</f>
        <v/>
      </c>
      <c r="B1195" s="25" t="str">
        <f>IFERROR(INDEX('Hun Demand'!V:V,MATCH(O1195,'Hun Demand'!A:A,0)),"")</f>
        <v/>
      </c>
      <c r="C1195" s="25" t="str">
        <f>IFERROR(INDEX('Hun Demand'!U:U,MATCH(O1195,'Hun Demand'!A:A,0)),"")</f>
        <v/>
      </c>
      <c r="D1195" s="25" t="str">
        <f>IFERROR(INDEX('Hun Demand'!T:T,MATCH(O1195,'Hun Demand'!A:A,0)),"")</f>
        <v/>
      </c>
      <c r="E1195" s="25" t="str">
        <f>IFERROR(INDEX('Hun Demand'!S:S,MATCH(O1195,'Hun Demand'!A:A,0)),"")</f>
        <v/>
      </c>
      <c r="F1195" s="25" t="str">
        <f>IFERROR(INDEX('Hun Demand'!R:R,MATCH(O1195,'Hun Demand'!A:A,0)),"")</f>
        <v/>
      </c>
      <c r="G1195" s="25">
        <f>IFERROR(INDEX('Aub Demand'!W:W,MATCH(O1195,'Aub Demand'!A:A,0)),"")</f>
        <v>0</v>
      </c>
      <c r="H1195" s="25">
        <f>IFERROR(INDEX('Aub Demand'!V:V,MATCH(O1195,'Aub Demand'!A:A,0)),"")</f>
        <v>0</v>
      </c>
      <c r="I1195" s="25">
        <f>IFERROR(INDEX('Aub Demand'!U:U,MATCH(O1195,'Aub Demand'!A:A,0)),"")</f>
        <v>0</v>
      </c>
      <c r="J1195" s="25">
        <f>IFERROR(INDEX('Aub Demand'!T:T,MATCH(O1195,'Aub Demand'!A:A,0)),"")</f>
        <v>0</v>
      </c>
      <c r="K1195" s="25">
        <f>IFERROR(INDEX('Aub Demand'!S:S,MATCH(O1195,'Aub Demand'!A:A,0)),"")</f>
        <v>0</v>
      </c>
      <c r="L1195" s="25">
        <f>IFERROR(INDEX('Aub Demand'!R:R,MATCH(O1195,'Aub Demand'!A:A,0)),"")</f>
        <v>0</v>
      </c>
      <c r="O1195" s="27" t="s">
        <v>3409</v>
      </c>
      <c r="P1195" s="27" t="str">
        <f>IFERROR(INDEX('Aub Demand'!B:B,MATCH($O1195,'Aub Demand'!$A:$A,0)),"")</f>
        <v>SOFT CHAMOIS</v>
      </c>
      <c r="Q1195" s="27">
        <f>IFERROR(INDEX('Aub Demand'!C:C,MATCH($O1195,'Aub Demand'!$A:$A,0)),"")</f>
        <v>0</v>
      </c>
      <c r="R1195" s="52">
        <f>IFERROR(IF(AR1196=AR1195,INDEX('Aub Demand'!K:K,MATCH($O1195,'Aub Demand'!$A:$A,0))-IF(AN1195="",0,AN1195)+AP1196,INDEX('Aub Demand'!K:K,MATCH($O1195,'Aub Demand'!$A:$A,0))-IF(AN1195="",0,AN1195)),"")</f>
        <v>51</v>
      </c>
      <c r="S1195" s="53" t="str">
        <f t="shared" si="504"/>
        <v>n/a</v>
      </c>
      <c r="T1195" s="52" t="str">
        <f t="shared" si="505"/>
        <v/>
      </c>
      <c r="U1195" s="52">
        <f>IFERROR(IF(AR1196=AR1195,INDEX('Aub Demand'!Q:Q,MATCH($O1195,'Aub Demand'!$A:$A,0))-IF(AN1195="",0,AN1195)+AP1196,INDEX('Aub Demand'!Q:Q,MATCH($O1195,'Aub Demand'!$A:$A,0))-IF(AN1195="",0,AN1195)),"")</f>
        <v>51</v>
      </c>
      <c r="V1195" s="53" t="str">
        <f t="shared" si="506"/>
        <v>n/a</v>
      </c>
      <c r="W1195" s="52" t="str">
        <f t="shared" si="507"/>
        <v/>
      </c>
      <c r="X1195" s="52">
        <f>IFERROR(IF(AND(AR1196=AR1195,AM1195&lt;&gt;""),INDEX('Aub Demand'!Q:Q,MATCH($O1195,'Aub Demand'!$A:$A,0))-IF(AN1195="",0,AN1195)+AP1196+AD1195+AL1195,IF(AR1196=AR1195,INDEX('Aub Demand'!Q:Q,MATCH($O1195,'Aub Demand'!$A:$A,0))-IF(AN1195="",0,AN1195)+AP1196+AD1195,IF(AM1195&lt;&gt;"",INDEX('Aub Demand'!Q:Q,MATCH($O1195,'Aub Demand'!$A:$A,0))-IF(AN1195="",0,AN1195)+AD1195+AL1195,INDEX('Aub Demand'!Q:Q,MATCH($O1195,'Aub Demand'!$A:$A,0))-IF(AN1195="",0,AN1195)+AD1195))),"")</f>
        <v>51</v>
      </c>
      <c r="Y1195" s="53" t="str">
        <f t="shared" si="508"/>
        <v>n/a</v>
      </c>
      <c r="Z1195" s="52">
        <f>IF(L1195="","",INDEX('Aub Demand'!H:H,MATCH($O1195,'Aub Demand'!$A:$A,0)))</f>
        <v>0</v>
      </c>
      <c r="AA1195" s="52" t="str">
        <f t="shared" si="509"/>
        <v>-spike-</v>
      </c>
      <c r="AB1195" s="52">
        <f>IFERROR(INDEX('Aub Demand'!L:L,MATCH($O1195,'Aub Demand'!$A:$A,0)),"")</f>
        <v>0</v>
      </c>
      <c r="AC1195" s="52">
        <f>IFERROR(IF(O1195="","",SUMIFS('CPL Mats'!F:F,'CPL Mats'!Q:Q,AR1195,'CPL Mats'!S:S,AS1195)),"")</f>
        <v>0</v>
      </c>
      <c r="AF1195" s="25" t="str">
        <f>IF(SUMIFS('Supp Consol'!S:S,'Supp Consol'!Y:Y,"Releasable",'Supp Consol'!A:A,O1195)=0,"",SUMIFS('Supp Consol'!S:S,'Supp Consol'!Y:Y,"Releasable",'Supp Consol'!A:A,O1195))</f>
        <v/>
      </c>
      <c r="AG1195" s="25" t="str">
        <f>IFERROR(INDEX('Hun Demand'!Q:Q,MATCH(O1195,'Hun Demand'!A:A,0)),"")</f>
        <v/>
      </c>
      <c r="AH1195" s="25" t="str">
        <f>IFERROR(INDEX('Hun Demand'!H:H,MATCH($O1195,'Hun Demand'!$A:$A,0)),"")</f>
        <v/>
      </c>
      <c r="AI1195" s="25" t="str">
        <f>IF(SUMIFS('Supp Consol'!AA:AA,'Supp Consol'!Z:Z,"Expires this month",'Supp Consol'!A:A,O1195)=0,"",SUMIFS('Supp Consol'!AA:AA,'Supp Consol'!Z:Z,"Expires this month",'Supp Consol'!A:A,O1195))</f>
        <v/>
      </c>
      <c r="AJ1195" s="25" t="str">
        <f>IF(SUMIFS('Supp Consol'!AA:AA,'Supp Consol'!Z:Z,"Expired Previous Months",'Supp Consol'!A:A,O1195)=0,"",SUMIFS('Supp Consol'!AA:AA,'Supp Consol'!Z:Z,"Expired Previous Months",'Supp Consol'!A:A,O1195))</f>
        <v/>
      </c>
      <c r="AK1195" s="25" t="str">
        <f>IFERROR(INDEX('Hun Release Current'!B:B,MATCH(O1195,'Hun Release Current'!A:A,0)),"")</f>
        <v/>
      </c>
      <c r="AL1195" s="25" t="str">
        <f>IF(SUMIF('Prev Aub'!A:A,O1195,'Prev Aub'!B:B)=0,"",SUMIF('Prev Aub'!A:A,O1195,'Prev Aub'!B:B))</f>
        <v/>
      </c>
      <c r="AN1195" s="25" t="s">
        <v>3790</v>
      </c>
      <c r="AO1195" s="25" t="s">
        <v>3790</v>
      </c>
      <c r="AP1195" s="25">
        <f t="shared" si="510"/>
        <v>0</v>
      </c>
      <c r="AQ1195" s="151" t="str">
        <f>IF(SUMIFS('Supp Consol'!S:S,'Supp Consol'!A:A,O1195,'Supp Consol'!I:I,"PENDING")=0,"",SUMIFS('Supp Consol'!S:S,'Supp Consol'!A:A,O1195,'Supp Consol'!I:I,"PENDING"))</f>
        <v/>
      </c>
      <c r="AR1195" s="27" t="str">
        <f t="shared" si="511"/>
        <v>SW780</v>
      </c>
      <c r="AS1195" s="27" t="str">
        <f t="shared" si="512"/>
        <v>62</v>
      </c>
      <c r="AT1195" s="27" t="str">
        <f t="shared" si="513"/>
        <v/>
      </c>
      <c r="AU1195" s="27" t="str">
        <f t="shared" si="514"/>
        <v/>
      </c>
      <c r="AV1195" s="27" t="str">
        <f t="shared" si="515"/>
        <v/>
      </c>
      <c r="AW1195" s="27" t="str">
        <f t="shared" si="516"/>
        <v/>
      </c>
      <c r="AX1195" s="27" t="str">
        <f t="shared" si="517"/>
        <v/>
      </c>
      <c r="AY1195" s="27" t="str">
        <f t="shared" si="518"/>
        <v/>
      </c>
      <c r="AZ1195" s="27" t="str">
        <f t="shared" si="519"/>
        <v/>
      </c>
      <c r="BA1195" s="27" t="str">
        <f t="shared" si="520"/>
        <v/>
      </c>
      <c r="BB1195" s="27" t="str">
        <f t="shared" si="521"/>
        <v/>
      </c>
      <c r="BC1195" s="27" t="str">
        <f t="shared" si="522"/>
        <v/>
      </c>
      <c r="BD1195" s="27" t="str">
        <f t="shared" si="523"/>
        <v/>
      </c>
      <c r="BE1195" s="27" t="str">
        <f t="shared" si="524"/>
        <v/>
      </c>
      <c r="BF1195" s="27" t="str">
        <f t="shared" si="525"/>
        <v/>
      </c>
      <c r="BG1195" s="27" t="str">
        <f t="shared" si="526"/>
        <v/>
      </c>
      <c r="BH1195" s="27" t="str">
        <f t="shared" si="527"/>
        <v/>
      </c>
      <c r="BI1195" s="27" t="str">
        <f t="shared" si="528"/>
        <v/>
      </c>
      <c r="BJ1195" s="27" t="str">
        <f t="shared" si="529"/>
        <v/>
      </c>
      <c r="BK1195" s="27" t="str">
        <f t="shared" si="530"/>
        <v/>
      </c>
      <c r="BL1195" s="27" t="str">
        <f t="shared" si="531"/>
        <v/>
      </c>
      <c r="BM1195" s="21" t="s">
        <v>5582</v>
      </c>
    </row>
    <row r="1196" spans="1:65" ht="15">
      <c r="A1196" s="25" t="str">
        <f>IFERROR(INDEX('Hun Demand'!W:W,MATCH(O1196,'Hun Demand'!A:A,0)),"")</f>
        <v/>
      </c>
      <c r="B1196" s="25" t="str">
        <f>IFERROR(INDEX('Hun Demand'!V:V,MATCH(O1196,'Hun Demand'!A:A,0)),"")</f>
        <v/>
      </c>
      <c r="C1196" s="25" t="str">
        <f>IFERROR(INDEX('Hun Demand'!U:U,MATCH(O1196,'Hun Demand'!A:A,0)),"")</f>
        <v/>
      </c>
      <c r="D1196" s="25" t="str">
        <f>IFERROR(INDEX('Hun Demand'!T:T,MATCH(O1196,'Hun Demand'!A:A,0)),"")</f>
        <v/>
      </c>
      <c r="E1196" s="25" t="str">
        <f>IFERROR(INDEX('Hun Demand'!S:S,MATCH(O1196,'Hun Demand'!A:A,0)),"")</f>
        <v/>
      </c>
      <c r="F1196" s="25" t="str">
        <f>IFERROR(INDEX('Hun Demand'!R:R,MATCH(O1196,'Hun Demand'!A:A,0)),"")</f>
        <v/>
      </c>
      <c r="G1196" s="25">
        <f>IFERROR(INDEX('Aub Demand'!W:W,MATCH(O1196,'Aub Demand'!A:A,0)),"")</f>
        <v>0</v>
      </c>
      <c r="H1196" s="25">
        <f>IFERROR(INDEX('Aub Demand'!V:V,MATCH(O1196,'Aub Demand'!A:A,0)),"")</f>
        <v>0</v>
      </c>
      <c r="I1196" s="25">
        <f>IFERROR(INDEX('Aub Demand'!U:U,MATCH(O1196,'Aub Demand'!A:A,0)),"")</f>
        <v>0</v>
      </c>
      <c r="J1196" s="25">
        <f>IFERROR(INDEX('Aub Demand'!T:T,MATCH(O1196,'Aub Demand'!A:A,0)),"")</f>
        <v>0</v>
      </c>
      <c r="K1196" s="25">
        <f>IFERROR(INDEX('Aub Demand'!S:S,MATCH(O1196,'Aub Demand'!A:A,0)),"")</f>
        <v>0</v>
      </c>
      <c r="L1196" s="25">
        <f>IFERROR(INDEX('Aub Demand'!R:R,MATCH(O1196,'Aub Demand'!A:A,0)),"")</f>
        <v>0</v>
      </c>
      <c r="O1196" s="27" t="s">
        <v>1534</v>
      </c>
      <c r="P1196" s="27" t="str">
        <f>IFERROR(INDEX('Aub Demand'!B:B,MATCH($O1196,'Aub Demand'!$A:$A,0)),"")</f>
        <v>EGGSHELL WHITE</v>
      </c>
      <c r="Q1196" s="27" t="str">
        <f>IFERROR(INDEX('Aub Demand'!C:C,MATCH($O1196,'Aub Demand'!$A:$A,0)),"")</f>
        <v>ONYX</v>
      </c>
      <c r="R1196" s="52">
        <f>IFERROR(IF(AR1197=AR1196,INDEX('Aub Demand'!K:K,MATCH($O1196,'Aub Demand'!$A:$A,0))-IF(AN1196="",0,AN1196)+AP1197,INDEX('Aub Demand'!K:K,MATCH($O1196,'Aub Demand'!$A:$A,0))-IF(AN1196="",0,AN1196)),"")</f>
        <v>346</v>
      </c>
      <c r="S1196" s="53" t="str">
        <f t="shared" si="504"/>
        <v>n/a</v>
      </c>
      <c r="T1196" s="52" t="str">
        <f t="shared" si="505"/>
        <v/>
      </c>
      <c r="U1196" s="52">
        <f>IFERROR(IF(AR1197=AR1196,INDEX('Aub Demand'!Q:Q,MATCH($O1196,'Aub Demand'!$A:$A,0))-IF(AN1196="",0,AN1196)+AP1197,INDEX('Aub Demand'!Q:Q,MATCH($O1196,'Aub Demand'!$A:$A,0))-IF(AN1196="",0,AN1196)),"")</f>
        <v>346</v>
      </c>
      <c r="V1196" s="53" t="str">
        <f t="shared" si="506"/>
        <v>n/a</v>
      </c>
      <c r="W1196" s="52" t="str">
        <f t="shared" si="507"/>
        <v/>
      </c>
      <c r="X1196" s="52">
        <f>IFERROR(IF(AND(AR1197=AR1196,AM1196&lt;&gt;""),INDEX('Aub Demand'!Q:Q,MATCH($O1196,'Aub Demand'!$A:$A,0))-IF(AN1196="",0,AN1196)+AP1197+AD1196+AL1196,IF(AR1197=AR1196,INDEX('Aub Demand'!Q:Q,MATCH($O1196,'Aub Demand'!$A:$A,0))-IF(AN1196="",0,AN1196)+AP1197+AD1196,IF(AM1196&lt;&gt;"",INDEX('Aub Demand'!Q:Q,MATCH($O1196,'Aub Demand'!$A:$A,0))-IF(AN1196="",0,AN1196)+AD1196+AL1196,INDEX('Aub Demand'!Q:Q,MATCH($O1196,'Aub Demand'!$A:$A,0))-IF(AN1196="",0,AN1196)+AD1196))),"")</f>
        <v>346</v>
      </c>
      <c r="Y1196" s="53" t="str">
        <f t="shared" si="508"/>
        <v>n/a</v>
      </c>
      <c r="Z1196" s="52">
        <f>IF(L1196="","",INDEX('Aub Demand'!H:H,MATCH($O1196,'Aub Demand'!$A:$A,0)))</f>
        <v>0</v>
      </c>
      <c r="AA1196" s="52" t="str">
        <f t="shared" si="509"/>
        <v>-spike-</v>
      </c>
      <c r="AB1196" s="52">
        <f>IFERROR(INDEX('Aub Demand'!L:L,MATCH($O1196,'Aub Demand'!$A:$A,0)),"")</f>
        <v>22</v>
      </c>
      <c r="AC1196" s="52">
        <f>IFERROR(IF(O1196="","",SUMIFS('CPL Mats'!F:F,'CPL Mats'!Q:Q,AR1196,'CPL Mats'!S:S,AS1196)),"")</f>
        <v>0</v>
      </c>
      <c r="AF1196" s="25" t="str">
        <f>IF(SUMIFS('Supp Consol'!S:S,'Supp Consol'!Y:Y,"Releasable",'Supp Consol'!A:A,O1196)=0,"",SUMIFS('Supp Consol'!S:S,'Supp Consol'!Y:Y,"Releasable",'Supp Consol'!A:A,O1196))</f>
        <v/>
      </c>
      <c r="AG1196" s="25" t="str">
        <f>IFERROR(INDEX('Hun Demand'!Q:Q,MATCH(O1196,'Hun Demand'!A:A,0)),"")</f>
        <v/>
      </c>
      <c r="AH1196" s="25" t="str">
        <f>IFERROR(INDEX('Hun Demand'!H:H,MATCH($O1196,'Hun Demand'!$A:$A,0)),"")</f>
        <v/>
      </c>
      <c r="AI1196" s="25" t="str">
        <f>IF(SUMIFS('Supp Consol'!AA:AA,'Supp Consol'!Z:Z,"Expires this month",'Supp Consol'!A:A,O1196)=0,"",SUMIFS('Supp Consol'!AA:AA,'Supp Consol'!Z:Z,"Expires this month",'Supp Consol'!A:A,O1196))</f>
        <v/>
      </c>
      <c r="AJ1196" s="25" t="str">
        <f>IF(SUMIFS('Supp Consol'!AA:AA,'Supp Consol'!Z:Z,"Expired Previous Months",'Supp Consol'!A:A,O1196)=0,"",SUMIFS('Supp Consol'!AA:AA,'Supp Consol'!Z:Z,"Expired Previous Months",'Supp Consol'!A:A,O1196))</f>
        <v/>
      </c>
      <c r="AK1196" s="25" t="str">
        <f>IFERROR(INDEX('Hun Release Current'!B:B,MATCH(O1196,'Hun Release Current'!A:A,0)),"")</f>
        <v/>
      </c>
      <c r="AL1196" s="25" t="str">
        <f>IF(SUMIF('Prev Aub'!A:A,O1196,'Prev Aub'!B:B)=0,"",SUMIF('Prev Aub'!A:A,O1196,'Prev Aub'!B:B))</f>
        <v/>
      </c>
      <c r="AN1196" s="25" t="s">
        <v>3790</v>
      </c>
      <c r="AO1196" s="25" t="s">
        <v>3790</v>
      </c>
      <c r="AP1196" s="25">
        <f t="shared" si="510"/>
        <v>0</v>
      </c>
      <c r="AQ1196" s="151" t="str">
        <f>IF(SUMIFS('Supp Consol'!S:S,'Supp Consol'!A:A,O1196,'Supp Consol'!I:I,"PENDING")=0,"",SUMIFS('Supp Consol'!S:S,'Supp Consol'!A:A,O1196,'Supp Consol'!I:I,"PENDING"))</f>
        <v/>
      </c>
      <c r="AR1196" s="27" t="str">
        <f t="shared" si="511"/>
        <v>SW803</v>
      </c>
      <c r="AS1196" s="27" t="str">
        <f t="shared" si="512"/>
        <v>37</v>
      </c>
      <c r="AT1196" s="27" t="str">
        <f t="shared" si="513"/>
        <v/>
      </c>
      <c r="AU1196" s="27" t="str">
        <f t="shared" si="514"/>
        <v/>
      </c>
      <c r="AV1196" s="27" t="str">
        <f t="shared" si="515"/>
        <v/>
      </c>
      <c r="AW1196" s="27" t="str">
        <f t="shared" si="516"/>
        <v/>
      </c>
      <c r="AX1196" s="27" t="str">
        <f t="shared" si="517"/>
        <v/>
      </c>
      <c r="AY1196" s="27" t="str">
        <f t="shared" si="518"/>
        <v/>
      </c>
      <c r="AZ1196" s="27" t="str">
        <f t="shared" si="519"/>
        <v>Supp</v>
      </c>
      <c r="BA1196" s="27" t="str">
        <f t="shared" si="520"/>
        <v/>
      </c>
      <c r="BB1196" s="27" t="str">
        <f t="shared" si="521"/>
        <v/>
      </c>
      <c r="BC1196" s="27" t="str">
        <f t="shared" si="522"/>
        <v/>
      </c>
      <c r="BD1196" s="27" t="str">
        <f t="shared" si="523"/>
        <v/>
      </c>
      <c r="BE1196" s="27" t="str">
        <f t="shared" si="524"/>
        <v/>
      </c>
      <c r="BF1196" s="27" t="str">
        <f t="shared" si="525"/>
        <v/>
      </c>
      <c r="BG1196" s="27" t="str">
        <f t="shared" si="526"/>
        <v/>
      </c>
      <c r="BH1196" s="27" t="str">
        <f t="shared" si="527"/>
        <v/>
      </c>
      <c r="BI1196" s="27" t="str">
        <f t="shared" si="528"/>
        <v/>
      </c>
      <c r="BJ1196" s="27" t="str">
        <f t="shared" si="529"/>
        <v>Supp or Hun</v>
      </c>
      <c r="BK1196" s="27" t="str">
        <f t="shared" si="530"/>
        <v/>
      </c>
      <c r="BL1196" s="27" t="str">
        <f t="shared" si="531"/>
        <v/>
      </c>
      <c r="BM1196" s="21" t="s">
        <v>5581</v>
      </c>
    </row>
    <row r="1197" spans="1:65" ht="15">
      <c r="A1197" s="25" t="str">
        <f>IFERROR(INDEX('Hun Demand'!W:W,MATCH(O1197,'Hun Demand'!A:A,0)),"")</f>
        <v/>
      </c>
      <c r="B1197" s="25" t="str">
        <f>IFERROR(INDEX('Hun Demand'!V:V,MATCH(O1197,'Hun Demand'!A:A,0)),"")</f>
        <v/>
      </c>
      <c r="C1197" s="25" t="str">
        <f>IFERROR(INDEX('Hun Demand'!U:U,MATCH(O1197,'Hun Demand'!A:A,0)),"")</f>
        <v/>
      </c>
      <c r="D1197" s="25" t="str">
        <f>IFERROR(INDEX('Hun Demand'!T:T,MATCH(O1197,'Hun Demand'!A:A,0)),"")</f>
        <v/>
      </c>
      <c r="E1197" s="25" t="str">
        <f>IFERROR(INDEX('Hun Demand'!S:S,MATCH(O1197,'Hun Demand'!A:A,0)),"")</f>
        <v/>
      </c>
      <c r="F1197" s="25" t="str">
        <f>IFERROR(INDEX('Hun Demand'!R:R,MATCH(O1197,'Hun Demand'!A:A,0)),"")</f>
        <v/>
      </c>
      <c r="G1197" s="25">
        <f>IFERROR(INDEX('Aub Demand'!W:W,MATCH(O1197,'Aub Demand'!A:A,0)),"")</f>
        <v>538</v>
      </c>
      <c r="H1197" s="25">
        <f>IFERROR(INDEX('Aub Demand'!V:V,MATCH(O1197,'Aub Demand'!A:A,0)),"")</f>
        <v>175</v>
      </c>
      <c r="I1197" s="25">
        <f>IFERROR(INDEX('Aub Demand'!U:U,MATCH(O1197,'Aub Demand'!A:A,0)),"")</f>
        <v>735</v>
      </c>
      <c r="J1197" s="25">
        <f>IFERROR(INDEX('Aub Demand'!T:T,MATCH(O1197,'Aub Demand'!A:A,0)),"")</f>
        <v>70</v>
      </c>
      <c r="K1197" s="25">
        <f>IFERROR(INDEX('Aub Demand'!S:S,MATCH(O1197,'Aub Demand'!A:A,0)),"")</f>
        <v>150</v>
      </c>
      <c r="L1197" s="25">
        <f>IFERROR(INDEX('Aub Demand'!R:R,MATCH(O1197,'Aub Demand'!A:A,0)),"")</f>
        <v>0</v>
      </c>
      <c r="O1197" s="27" t="s">
        <v>1537</v>
      </c>
      <c r="P1197" s="27" t="str">
        <f>IFERROR(INDEX('Aub Demand'!B:B,MATCH($O1197,'Aub Demand'!$A:$A,0)),"")</f>
        <v>EGGSHELL WHITE</v>
      </c>
      <c r="Q1197" s="27" t="str">
        <f>IFERROR(INDEX('Aub Demand'!C:C,MATCH($O1197,'Aub Demand'!$A:$A,0)),"")</f>
        <v>ONYX</v>
      </c>
      <c r="R1197" s="52">
        <f>IFERROR(IF(AR1198=AR1197,INDEX('Aub Demand'!K:K,MATCH($O1197,'Aub Demand'!$A:$A,0))-IF(AN1197="",0,AN1197)+AP1198,INDEX('Aub Demand'!K:K,MATCH($O1197,'Aub Demand'!$A:$A,0))-IF(AN1197="",0,AN1197)),"")</f>
        <v>3998</v>
      </c>
      <c r="S1197" s="53">
        <f t="shared" si="504"/>
        <v>53.9</v>
      </c>
      <c r="T1197" s="52" t="str">
        <f t="shared" si="505"/>
        <v/>
      </c>
      <c r="U1197" s="52">
        <f>IFERROR(IF(AR1198=AR1197,INDEX('Aub Demand'!Q:Q,MATCH($O1197,'Aub Demand'!$A:$A,0))-IF(AN1197="",0,AN1197)+AP1198,INDEX('Aub Demand'!Q:Q,MATCH($O1197,'Aub Demand'!$A:$A,0))-IF(AN1197="",0,AN1197)),"")</f>
        <v>3862</v>
      </c>
      <c r="V1197" s="53">
        <f t="shared" si="506"/>
        <v>52</v>
      </c>
      <c r="W1197" s="52" t="str">
        <f t="shared" si="507"/>
        <v/>
      </c>
      <c r="X1197" s="52">
        <f>IFERROR(IF(AND(AR1198=AR1197,AM1197&lt;&gt;""),INDEX('Aub Demand'!Q:Q,MATCH($O1197,'Aub Demand'!$A:$A,0))-IF(AN1197="",0,AN1197)+AP1198+AD1197+AL1197,IF(AR1198=AR1197,INDEX('Aub Demand'!Q:Q,MATCH($O1197,'Aub Demand'!$A:$A,0))-IF(AN1197="",0,AN1197)+AP1198+AD1197,IF(AM1197&lt;&gt;"",INDEX('Aub Demand'!Q:Q,MATCH($O1197,'Aub Demand'!$A:$A,0))-IF(AN1197="",0,AN1197)+AD1197+AL1197,INDEX('Aub Demand'!Q:Q,MATCH($O1197,'Aub Demand'!$A:$A,0))-IF(AN1197="",0,AN1197)+AD1197))),"")</f>
        <v>3862</v>
      </c>
      <c r="Y1197" s="53">
        <f t="shared" si="508"/>
        <v>52</v>
      </c>
      <c r="Z1197" s="52">
        <f>IF(L1197="","",INDEX('Aub Demand'!H:H,MATCH($O1197,'Aub Demand'!$A:$A,0)))</f>
        <v>318</v>
      </c>
      <c r="AA1197" s="52">
        <f t="shared" si="509"/>
        <v>442.5</v>
      </c>
      <c r="AB1197" s="52">
        <f>IFERROR(INDEX('Aub Demand'!L:L,MATCH($O1197,'Aub Demand'!$A:$A,0)),"")</f>
        <v>201</v>
      </c>
      <c r="AC1197" s="52">
        <f>IFERROR(IF(O1197="","",SUMIFS('CPL Mats'!F:F,'CPL Mats'!Q:Q,AR1197,'CPL Mats'!S:S,AS1197)),"")</f>
        <v>0</v>
      </c>
      <c r="AF1197" s="25" t="str">
        <f>IF(SUMIFS('Supp Consol'!S:S,'Supp Consol'!Y:Y,"Releasable",'Supp Consol'!A:A,O1197)=0,"",SUMIFS('Supp Consol'!S:S,'Supp Consol'!Y:Y,"Releasable",'Supp Consol'!A:A,O1197))</f>
        <v/>
      </c>
      <c r="AG1197" s="25" t="str">
        <f>IFERROR(INDEX('Hun Demand'!Q:Q,MATCH(O1197,'Hun Demand'!A:A,0)),"")</f>
        <v/>
      </c>
      <c r="AH1197" s="25" t="str">
        <f>IFERROR(INDEX('Hun Demand'!H:H,MATCH($O1197,'Hun Demand'!$A:$A,0)),"")</f>
        <v/>
      </c>
      <c r="AI1197" s="25" t="str">
        <f>IF(SUMIFS('Supp Consol'!AA:AA,'Supp Consol'!Z:Z,"Expires this month",'Supp Consol'!A:A,O1197)=0,"",SUMIFS('Supp Consol'!AA:AA,'Supp Consol'!Z:Z,"Expires this month",'Supp Consol'!A:A,O1197))</f>
        <v/>
      </c>
      <c r="AJ1197" s="25" t="str">
        <f>IF(SUMIFS('Supp Consol'!AA:AA,'Supp Consol'!Z:Z,"Expired Previous Months",'Supp Consol'!A:A,O1197)=0,"",SUMIFS('Supp Consol'!AA:AA,'Supp Consol'!Z:Z,"Expired Previous Months",'Supp Consol'!A:A,O1197))</f>
        <v/>
      </c>
      <c r="AK1197" s="25" t="str">
        <f>IFERROR(INDEX('Hun Release Current'!B:B,MATCH(O1197,'Hun Release Current'!A:A,0)),"")</f>
        <v/>
      </c>
      <c r="AL1197" s="25" t="str">
        <f>IF(SUMIF('Prev Aub'!A:A,O1197,'Prev Aub'!B:B)=0,"",SUMIF('Prev Aub'!A:A,O1197,'Prev Aub'!B:B))</f>
        <v/>
      </c>
      <c r="AN1197" s="25" t="s">
        <v>3790</v>
      </c>
      <c r="AO1197" s="25" t="s">
        <v>3790</v>
      </c>
      <c r="AP1197" s="25">
        <f t="shared" si="510"/>
        <v>0</v>
      </c>
      <c r="AQ1197" s="151" t="str">
        <f>IF(SUMIFS('Supp Consol'!S:S,'Supp Consol'!A:A,O1197,'Supp Consol'!I:I,"PENDING")=0,"",SUMIFS('Supp Consol'!S:S,'Supp Consol'!A:A,O1197,'Supp Consol'!I:I,"PENDING"))</f>
        <v/>
      </c>
      <c r="AR1197" s="27" t="str">
        <f t="shared" si="511"/>
        <v>SW803</v>
      </c>
      <c r="AS1197" s="27" t="str">
        <f t="shared" si="512"/>
        <v>50</v>
      </c>
      <c r="AT1197" s="27" t="str">
        <f t="shared" si="513"/>
        <v/>
      </c>
      <c r="AU1197" s="27" t="str">
        <f t="shared" si="514"/>
        <v/>
      </c>
      <c r="AV1197" s="27" t="str">
        <f t="shared" si="515"/>
        <v/>
      </c>
      <c r="AW1197" s="27" t="str">
        <f t="shared" si="516"/>
        <v/>
      </c>
      <c r="AX1197" s="27" t="str">
        <f t="shared" si="517"/>
        <v/>
      </c>
      <c r="AY1197" s="27" t="str">
        <f t="shared" si="518"/>
        <v/>
      </c>
      <c r="AZ1197" s="27" t="str">
        <f t="shared" si="519"/>
        <v>Supp</v>
      </c>
      <c r="BA1197" s="27" t="str">
        <f t="shared" si="520"/>
        <v/>
      </c>
      <c r="BB1197" s="27" t="str">
        <f t="shared" si="521"/>
        <v/>
      </c>
      <c r="BC1197" s="27" t="str">
        <f t="shared" si="522"/>
        <v/>
      </c>
      <c r="BD1197" s="27" t="str">
        <f t="shared" si="523"/>
        <v/>
      </c>
      <c r="BE1197" s="27" t="str">
        <f t="shared" si="524"/>
        <v/>
      </c>
      <c r="BF1197" s="27" t="str">
        <f t="shared" si="525"/>
        <v/>
      </c>
      <c r="BG1197" s="27" t="str">
        <f t="shared" si="526"/>
        <v/>
      </c>
      <c r="BH1197" s="27" t="str">
        <f t="shared" si="527"/>
        <v/>
      </c>
      <c r="BI1197" s="27" t="str">
        <f t="shared" si="528"/>
        <v/>
      </c>
      <c r="BJ1197" s="27" t="str">
        <f t="shared" si="529"/>
        <v>Supp or Hun</v>
      </c>
      <c r="BK1197" s="27" t="str">
        <f t="shared" si="530"/>
        <v/>
      </c>
      <c r="BL1197" s="27" t="str">
        <f t="shared" si="531"/>
        <v/>
      </c>
      <c r="BM1197" s="21" t="s">
        <v>5581</v>
      </c>
    </row>
    <row r="1198" spans="1:65" ht="15">
      <c r="A1198" s="25" t="str">
        <f>IFERROR(INDEX('Hun Demand'!W:W,MATCH(O1198,'Hun Demand'!A:A,0)),"")</f>
        <v/>
      </c>
      <c r="B1198" s="25" t="str">
        <f>IFERROR(INDEX('Hun Demand'!V:V,MATCH(O1198,'Hun Demand'!A:A,0)),"")</f>
        <v/>
      </c>
      <c r="C1198" s="25" t="str">
        <f>IFERROR(INDEX('Hun Demand'!U:U,MATCH(O1198,'Hun Demand'!A:A,0)),"")</f>
        <v/>
      </c>
      <c r="D1198" s="25" t="str">
        <f>IFERROR(INDEX('Hun Demand'!T:T,MATCH(O1198,'Hun Demand'!A:A,0)),"")</f>
        <v/>
      </c>
      <c r="E1198" s="25" t="str">
        <f>IFERROR(INDEX('Hun Demand'!S:S,MATCH(O1198,'Hun Demand'!A:A,0)),"")</f>
        <v/>
      </c>
      <c r="F1198" s="25" t="str">
        <f>IFERROR(INDEX('Hun Demand'!R:R,MATCH(O1198,'Hun Demand'!A:A,0)),"")</f>
        <v/>
      </c>
      <c r="G1198" s="25">
        <f>IFERROR(INDEX('Aub Demand'!W:W,MATCH(O1198,'Aub Demand'!A:A,0)),"")</f>
        <v>187</v>
      </c>
      <c r="H1198" s="25">
        <f>IFERROR(INDEX('Aub Demand'!V:V,MATCH(O1198,'Aub Demand'!A:A,0)),"")</f>
        <v>678</v>
      </c>
      <c r="I1198" s="25">
        <f>IFERROR(INDEX('Aub Demand'!U:U,MATCH(O1198,'Aub Demand'!A:A,0)),"")</f>
        <v>532</v>
      </c>
      <c r="J1198" s="25">
        <f>IFERROR(INDEX('Aub Demand'!T:T,MATCH(O1198,'Aub Demand'!A:A,0)),"")</f>
        <v>41</v>
      </c>
      <c r="K1198" s="25">
        <f>IFERROR(INDEX('Aub Demand'!S:S,MATCH(O1198,'Aub Demand'!A:A,0)),"")</f>
        <v>347</v>
      </c>
      <c r="L1198" s="25">
        <f>IFERROR(INDEX('Aub Demand'!R:R,MATCH(O1198,'Aub Demand'!A:A,0)),"")</f>
        <v>0</v>
      </c>
      <c r="O1198" s="27" t="s">
        <v>1538</v>
      </c>
      <c r="P1198" s="27" t="str">
        <f>IFERROR(INDEX('Aub Demand'!B:B,MATCH($O1198,'Aub Demand'!$A:$A,0)),"")</f>
        <v>EGGSHELL WHITE</v>
      </c>
      <c r="Q1198" s="27" t="str">
        <f>IFERROR(INDEX('Aub Demand'!C:C,MATCH($O1198,'Aub Demand'!$A:$A,0)),"")</f>
        <v>ONYX</v>
      </c>
      <c r="R1198" s="52">
        <f>IFERROR(IF(AR1199=AR1198,INDEX('Aub Demand'!K:K,MATCH($O1198,'Aub Demand'!$A:$A,0))-IF(AN1198="",0,AN1198)+AP1199,INDEX('Aub Demand'!K:K,MATCH($O1198,'Aub Demand'!$A:$A,0))-IF(AN1198="",0,AN1198)),"")</f>
        <v>2676</v>
      </c>
      <c r="S1198" s="53">
        <f t="shared" si="504"/>
        <v>37.4</v>
      </c>
      <c r="T1198" s="52" t="str">
        <f t="shared" si="505"/>
        <v/>
      </c>
      <c r="U1198" s="52">
        <f>IFERROR(IF(AR1199=AR1198,INDEX('Aub Demand'!Q:Q,MATCH($O1198,'Aub Demand'!$A:$A,0))-IF(AN1198="",0,AN1198)+AP1199,INDEX('Aub Demand'!Q:Q,MATCH($O1198,'Aub Demand'!$A:$A,0))-IF(AN1198="",0,AN1198)),"")</f>
        <v>2676</v>
      </c>
      <c r="V1198" s="53">
        <f t="shared" si="506"/>
        <v>37.4</v>
      </c>
      <c r="W1198" s="52" t="str">
        <f t="shared" si="507"/>
        <v/>
      </c>
      <c r="X1198" s="52">
        <f>IFERROR(IF(AND(AR1199=AR1198,AM1198&lt;&gt;""),INDEX('Aub Demand'!Q:Q,MATCH($O1198,'Aub Demand'!$A:$A,0))-IF(AN1198="",0,AN1198)+AP1199+AD1198+AL1198,IF(AR1199=AR1198,INDEX('Aub Demand'!Q:Q,MATCH($O1198,'Aub Demand'!$A:$A,0))-IF(AN1198="",0,AN1198)+AP1199+AD1198,IF(AM1198&lt;&gt;"",INDEX('Aub Demand'!Q:Q,MATCH($O1198,'Aub Demand'!$A:$A,0))-IF(AN1198="",0,AN1198)+AD1198+AL1198,INDEX('Aub Demand'!Q:Q,MATCH($O1198,'Aub Demand'!$A:$A,0))-IF(AN1198="",0,AN1198)+AD1198))),"")</f>
        <v>2676</v>
      </c>
      <c r="Y1198" s="53">
        <f t="shared" si="508"/>
        <v>37.4</v>
      </c>
      <c r="Z1198" s="52">
        <f>IF(L1198="","",INDEX('Aub Demand'!H:H,MATCH($O1198,'Aub Demand'!$A:$A,0)))</f>
        <v>307</v>
      </c>
      <c r="AA1198" s="52">
        <f t="shared" si="509"/>
        <v>439.5</v>
      </c>
      <c r="AB1198" s="52">
        <f>IFERROR(INDEX('Aub Demand'!L:L,MATCH($O1198,'Aub Demand'!$A:$A,0)),"")</f>
        <v>245</v>
      </c>
      <c r="AC1198" s="52">
        <f>IFERROR(IF(O1198="","",SUMIFS('CPL Mats'!F:F,'CPL Mats'!Q:Q,AR1198,'CPL Mats'!S:S,AS1198)),"")</f>
        <v>0</v>
      </c>
      <c r="AF1198" s="25">
        <f>IF(SUMIFS('Supp Consol'!S:S,'Supp Consol'!Y:Y,"Releasable",'Supp Consol'!A:A,O1198)=0,"",SUMIFS('Supp Consol'!S:S,'Supp Consol'!Y:Y,"Releasable",'Supp Consol'!A:A,O1198))</f>
        <v>505</v>
      </c>
      <c r="AG1198" s="25" t="str">
        <f>IFERROR(INDEX('Hun Demand'!Q:Q,MATCH(O1198,'Hun Demand'!A:A,0)),"")</f>
        <v/>
      </c>
      <c r="AH1198" s="25" t="str">
        <f>IFERROR(INDEX('Hun Demand'!H:H,MATCH($O1198,'Hun Demand'!$A:$A,0)),"")</f>
        <v/>
      </c>
      <c r="AI1198" s="25" t="str">
        <f>IF(SUMIFS('Supp Consol'!AA:AA,'Supp Consol'!Z:Z,"Expires this month",'Supp Consol'!A:A,O1198)=0,"",SUMIFS('Supp Consol'!AA:AA,'Supp Consol'!Z:Z,"Expires this month",'Supp Consol'!A:A,O1198))</f>
        <v/>
      </c>
      <c r="AJ1198" s="25">
        <f>IF(SUMIFS('Supp Consol'!AA:AA,'Supp Consol'!Z:Z,"Expired Previous Months",'Supp Consol'!A:A,O1198)=0,"",SUMIFS('Supp Consol'!AA:AA,'Supp Consol'!Z:Z,"Expired Previous Months",'Supp Consol'!A:A,O1198))</f>
        <v>-73</v>
      </c>
      <c r="AK1198" s="25" t="str">
        <f>IFERROR(INDEX('Hun Release Current'!B:B,MATCH(O1198,'Hun Release Current'!A:A,0)),"")</f>
        <v/>
      </c>
      <c r="AL1198" s="25" t="str">
        <f>IF(SUMIF('Prev Aub'!A:A,O1198,'Prev Aub'!B:B)=0,"",SUMIF('Prev Aub'!A:A,O1198,'Prev Aub'!B:B))</f>
        <v/>
      </c>
      <c r="AN1198" s="25" t="s">
        <v>3790</v>
      </c>
      <c r="AO1198" s="25" t="s">
        <v>3790</v>
      </c>
      <c r="AP1198" s="25">
        <f t="shared" si="510"/>
        <v>0</v>
      </c>
      <c r="AQ1198" s="151" t="str">
        <f>IF(SUMIFS('Supp Consol'!S:S,'Supp Consol'!A:A,O1198,'Supp Consol'!I:I,"PENDING")=0,"",SUMIFS('Supp Consol'!S:S,'Supp Consol'!A:A,O1198,'Supp Consol'!I:I,"PENDING"))</f>
        <v/>
      </c>
      <c r="AR1198" s="27" t="str">
        <f t="shared" si="511"/>
        <v>SW803</v>
      </c>
      <c r="AS1198" s="27" t="str">
        <f t="shared" si="512"/>
        <v>62</v>
      </c>
      <c r="AT1198" s="27" t="str">
        <f t="shared" si="513"/>
        <v/>
      </c>
      <c r="AU1198" s="27" t="str">
        <f t="shared" si="514"/>
        <v/>
      </c>
      <c r="AV1198" s="27" t="str">
        <f t="shared" si="515"/>
        <v/>
      </c>
      <c r="AW1198" s="27" t="str">
        <f t="shared" si="516"/>
        <v/>
      </c>
      <c r="AX1198" s="27" t="str">
        <f t="shared" si="517"/>
        <v>SW803</v>
      </c>
      <c r="AY1198" s="27" t="str">
        <f t="shared" si="518"/>
        <v/>
      </c>
      <c r="AZ1198" s="27" t="str">
        <f t="shared" si="519"/>
        <v>Supp</v>
      </c>
      <c r="BA1198" s="27" t="str">
        <f t="shared" si="520"/>
        <v/>
      </c>
      <c r="BB1198" s="27" t="str">
        <f t="shared" si="521"/>
        <v/>
      </c>
      <c r="BC1198" s="27" t="str">
        <f t="shared" si="522"/>
        <v/>
      </c>
      <c r="BD1198" s="27" t="str">
        <f t="shared" si="523"/>
        <v/>
      </c>
      <c r="BE1198" s="27" t="str">
        <f t="shared" si="524"/>
        <v/>
      </c>
      <c r="BF1198" s="27" t="str">
        <f t="shared" si="525"/>
        <v/>
      </c>
      <c r="BG1198" s="27" t="str">
        <f t="shared" si="526"/>
        <v/>
      </c>
      <c r="BH1198" s="27" t="str">
        <f t="shared" si="527"/>
        <v/>
      </c>
      <c r="BI1198" s="27" t="str">
        <f t="shared" si="528"/>
        <v/>
      </c>
      <c r="BJ1198" s="27" t="str">
        <f t="shared" si="529"/>
        <v>Supp or Hun</v>
      </c>
      <c r="BK1198" s="27" t="str">
        <f t="shared" si="530"/>
        <v/>
      </c>
      <c r="BL1198" s="27" t="str">
        <f t="shared" si="531"/>
        <v/>
      </c>
      <c r="BM1198" s="21" t="s">
        <v>5581</v>
      </c>
    </row>
    <row r="1199" spans="1:65" ht="15">
      <c r="A1199" s="25" t="str">
        <f>IFERROR(INDEX('Hun Demand'!W:W,MATCH(O1199,'Hun Demand'!A:A,0)),"")</f>
        <v/>
      </c>
      <c r="B1199" s="25" t="str">
        <f>IFERROR(INDEX('Hun Demand'!V:V,MATCH(O1199,'Hun Demand'!A:A,0)),"")</f>
        <v/>
      </c>
      <c r="C1199" s="25" t="str">
        <f>IFERROR(INDEX('Hun Demand'!U:U,MATCH(O1199,'Hun Demand'!A:A,0)),"")</f>
        <v/>
      </c>
      <c r="D1199" s="25" t="str">
        <f>IFERROR(INDEX('Hun Demand'!T:T,MATCH(O1199,'Hun Demand'!A:A,0)),"")</f>
        <v/>
      </c>
      <c r="E1199" s="25" t="str">
        <f>IFERROR(INDEX('Hun Demand'!S:S,MATCH(O1199,'Hun Demand'!A:A,0)),"")</f>
        <v/>
      </c>
      <c r="F1199" s="25" t="str">
        <f>IFERROR(INDEX('Hun Demand'!R:R,MATCH(O1199,'Hun Demand'!A:A,0)),"")</f>
        <v/>
      </c>
      <c r="G1199" s="25">
        <f>IFERROR(INDEX('Aub Demand'!W:W,MATCH(O1199,'Aub Demand'!A:A,0)),"")</f>
        <v>742</v>
      </c>
      <c r="H1199" s="25">
        <f>IFERROR(INDEX('Aub Demand'!V:V,MATCH(O1199,'Aub Demand'!A:A,0)),"")</f>
        <v>0</v>
      </c>
      <c r="I1199" s="25">
        <f>IFERROR(INDEX('Aub Demand'!U:U,MATCH(O1199,'Aub Demand'!A:A,0)),"")</f>
        <v>0</v>
      </c>
      <c r="J1199" s="25">
        <f>IFERROR(INDEX('Aub Demand'!T:T,MATCH(O1199,'Aub Demand'!A:A,0)),"")</f>
        <v>117</v>
      </c>
      <c r="K1199" s="25">
        <f>IFERROR(INDEX('Aub Demand'!S:S,MATCH(O1199,'Aub Demand'!A:A,0)),"")</f>
        <v>92</v>
      </c>
      <c r="L1199" s="25">
        <f>IFERROR(INDEX('Aub Demand'!R:R,MATCH(O1199,'Aub Demand'!A:A,0)),"")</f>
        <v>0</v>
      </c>
      <c r="O1199" s="27" t="s">
        <v>1539</v>
      </c>
      <c r="P1199" s="27" t="str">
        <f>IFERROR(INDEX('Aub Demand'!B:B,MATCH($O1199,'Aub Demand'!$A:$A,0)),"")</f>
        <v>CARNATION WHITE</v>
      </c>
      <c r="Q1199" s="27" t="str">
        <f>IFERROR(INDEX('Aub Demand'!C:C,MATCH($O1199,'Aub Demand'!$A:$A,0)),"")</f>
        <v>AHLST</v>
      </c>
      <c r="R1199" s="52">
        <f>IFERROR(IF(AR1200=AR1199,INDEX('Aub Demand'!K:K,MATCH($O1199,'Aub Demand'!$A:$A,0))-IF(AN1199="",0,AN1199)+AP1200,INDEX('Aub Demand'!K:K,MATCH($O1199,'Aub Demand'!$A:$A,0))-IF(AN1199="",0,AN1199)),"")</f>
        <v>1147</v>
      </c>
      <c r="S1199" s="53">
        <f t="shared" si="504"/>
        <v>70.2</v>
      </c>
      <c r="T1199" s="52" t="str">
        <f t="shared" si="505"/>
        <v/>
      </c>
      <c r="U1199" s="52">
        <f>IFERROR(IF(AR1200=AR1199,INDEX('Aub Demand'!Q:Q,MATCH($O1199,'Aub Demand'!$A:$A,0))-IF(AN1199="",0,AN1199)+AP1200,INDEX('Aub Demand'!Q:Q,MATCH($O1199,'Aub Demand'!$A:$A,0))-IF(AN1199="",0,AN1199)),"")</f>
        <v>101</v>
      </c>
      <c r="V1199" s="53">
        <f t="shared" si="506"/>
        <v>6.2</v>
      </c>
      <c r="W1199" s="52" t="str">
        <f t="shared" si="507"/>
        <v/>
      </c>
      <c r="X1199" s="52">
        <f>IFERROR(IF(AND(AR1200=AR1199,AM1199&lt;&gt;""),INDEX('Aub Demand'!Q:Q,MATCH($O1199,'Aub Demand'!$A:$A,0))-IF(AN1199="",0,AN1199)+AP1200+AD1199+AL1199,IF(AR1200=AR1199,INDEX('Aub Demand'!Q:Q,MATCH($O1199,'Aub Demand'!$A:$A,0))-IF(AN1199="",0,AN1199)+AP1200+AD1199,IF(AM1199&lt;&gt;"",INDEX('Aub Demand'!Q:Q,MATCH($O1199,'Aub Demand'!$A:$A,0))-IF(AN1199="",0,AN1199)+AD1199+AL1199,INDEX('Aub Demand'!Q:Q,MATCH($O1199,'Aub Demand'!$A:$A,0))-IF(AN1199="",0,AN1199)+AD1199))),"")</f>
        <v>101</v>
      </c>
      <c r="Y1199" s="53">
        <f t="shared" si="508"/>
        <v>6.2</v>
      </c>
      <c r="Z1199" s="52">
        <f>IF(L1199="","",INDEX('Aub Demand'!H:H,MATCH($O1199,'Aub Demand'!$A:$A,0)))</f>
        <v>70</v>
      </c>
      <c r="AA1199" s="52">
        <f t="shared" si="509"/>
        <v>104.5</v>
      </c>
      <c r="AB1199" s="52">
        <f>IFERROR(INDEX('Aub Demand'!L:L,MATCH($O1199,'Aub Demand'!$A:$A,0)),"")</f>
        <v>1028</v>
      </c>
      <c r="AC1199" s="52">
        <f>IFERROR(IF(O1199="","",SUMIFS('CPL Mats'!F:F,'CPL Mats'!Q:Q,AR1199,'CPL Mats'!S:S,AS1199)),"")</f>
        <v>0</v>
      </c>
      <c r="AF1199" s="25">
        <f>IF(SUMIFS('Supp Consol'!S:S,'Supp Consol'!Y:Y,"Releasable",'Supp Consol'!A:A,O1199)=0,"",SUMIFS('Supp Consol'!S:S,'Supp Consol'!Y:Y,"Releasable",'Supp Consol'!A:A,O1199))</f>
        <v>1356</v>
      </c>
      <c r="AG1199" s="25" t="str">
        <f>IFERROR(INDEX('Hun Demand'!Q:Q,MATCH(O1199,'Hun Demand'!A:A,0)),"")</f>
        <v/>
      </c>
      <c r="AH1199" s="25" t="str">
        <f>IFERROR(INDEX('Hun Demand'!H:H,MATCH($O1199,'Hun Demand'!$A:$A,0)),"")</f>
        <v/>
      </c>
      <c r="AI1199" s="25" t="str">
        <f>IF(SUMIFS('Supp Consol'!AA:AA,'Supp Consol'!Z:Z,"Expires this month",'Supp Consol'!A:A,O1199)=0,"",SUMIFS('Supp Consol'!AA:AA,'Supp Consol'!Z:Z,"Expires this month",'Supp Consol'!A:A,O1199))</f>
        <v/>
      </c>
      <c r="AJ1199" s="25" t="str">
        <f>IF(SUMIFS('Supp Consol'!AA:AA,'Supp Consol'!Z:Z,"Expired Previous Months",'Supp Consol'!A:A,O1199)=0,"",SUMIFS('Supp Consol'!AA:AA,'Supp Consol'!Z:Z,"Expired Previous Months",'Supp Consol'!A:A,O1199))</f>
        <v/>
      </c>
      <c r="AK1199" s="25" t="str">
        <f>IFERROR(INDEX('Hun Release Current'!B:B,MATCH(O1199,'Hun Release Current'!A:A,0)),"")</f>
        <v/>
      </c>
      <c r="AL1199" s="25" t="str">
        <f>IF(SUMIF('Prev Aub'!A:A,O1199,'Prev Aub'!B:B)=0,"",SUMIF('Prev Aub'!A:A,O1199,'Prev Aub'!B:B))</f>
        <v/>
      </c>
      <c r="AN1199" s="25" t="s">
        <v>3790</v>
      </c>
      <c r="AO1199" s="25" t="s">
        <v>3790</v>
      </c>
      <c r="AP1199" s="25">
        <f t="shared" si="510"/>
        <v>0</v>
      </c>
      <c r="AQ1199" s="151" t="str">
        <f>IF(SUMIFS('Supp Consol'!S:S,'Supp Consol'!A:A,O1199,'Supp Consol'!I:I,"PENDING")=0,"",SUMIFS('Supp Consol'!S:S,'Supp Consol'!A:A,O1199,'Supp Consol'!I:I,"PENDING"))</f>
        <v/>
      </c>
      <c r="AR1199" s="27" t="str">
        <f t="shared" si="511"/>
        <v>SW806</v>
      </c>
      <c r="AS1199" s="27" t="str">
        <f t="shared" si="512"/>
        <v>50</v>
      </c>
      <c r="AT1199" s="27" t="str">
        <f t="shared" si="513"/>
        <v/>
      </c>
      <c r="AU1199" s="27" t="str">
        <f t="shared" si="514"/>
        <v/>
      </c>
      <c r="AV1199" s="27" t="str">
        <f t="shared" si="515"/>
        <v/>
      </c>
      <c r="AW1199" s="27" t="str">
        <f t="shared" si="516"/>
        <v/>
      </c>
      <c r="AX1199" s="27" t="str">
        <f t="shared" si="517"/>
        <v>SW806</v>
      </c>
      <c r="AY1199" s="27" t="str">
        <f t="shared" si="518"/>
        <v/>
      </c>
      <c r="AZ1199" s="27" t="str">
        <f t="shared" si="519"/>
        <v>Supp</v>
      </c>
      <c r="BA1199" s="27" t="str">
        <f t="shared" si="520"/>
        <v/>
      </c>
      <c r="BB1199" s="27" t="str">
        <f t="shared" si="521"/>
        <v/>
      </c>
      <c r="BC1199" s="27" t="str">
        <f t="shared" si="522"/>
        <v/>
      </c>
      <c r="BD1199" s="27" t="str">
        <f t="shared" si="523"/>
        <v/>
      </c>
      <c r="BE1199" s="27" t="str">
        <f t="shared" si="524"/>
        <v/>
      </c>
      <c r="BF1199" s="27" t="str">
        <f t="shared" si="525"/>
        <v/>
      </c>
      <c r="BG1199" s="27" t="str">
        <f t="shared" si="526"/>
        <v/>
      </c>
      <c r="BH1199" s="27" t="str">
        <f t="shared" si="527"/>
        <v/>
      </c>
      <c r="BI1199" s="27" t="str">
        <f t="shared" si="528"/>
        <v/>
      </c>
      <c r="BJ1199" s="27" t="str">
        <f t="shared" si="529"/>
        <v>Supp or Hun</v>
      </c>
      <c r="BK1199" s="27" t="str">
        <f t="shared" si="530"/>
        <v/>
      </c>
      <c r="BL1199" s="27" t="str">
        <f t="shared" si="531"/>
        <v/>
      </c>
      <c r="BM1199" s="21" t="s">
        <v>5581</v>
      </c>
    </row>
    <row r="1200" spans="1:65" ht="15">
      <c r="A1200" s="25" t="str">
        <f>IFERROR(INDEX('Hun Demand'!W:W,MATCH(O1200,'Hun Demand'!A:A,0)),"")</f>
        <v/>
      </c>
      <c r="B1200" s="25" t="str">
        <f>IFERROR(INDEX('Hun Demand'!V:V,MATCH(O1200,'Hun Demand'!A:A,0)),"")</f>
        <v/>
      </c>
      <c r="C1200" s="25" t="str">
        <f>IFERROR(INDEX('Hun Demand'!U:U,MATCH(O1200,'Hun Demand'!A:A,0)),"")</f>
        <v/>
      </c>
      <c r="D1200" s="25" t="str">
        <f>IFERROR(INDEX('Hun Demand'!T:T,MATCH(O1200,'Hun Demand'!A:A,0)),"")</f>
        <v/>
      </c>
      <c r="E1200" s="25" t="str">
        <f>IFERROR(INDEX('Hun Demand'!S:S,MATCH(O1200,'Hun Demand'!A:A,0)),"")</f>
        <v/>
      </c>
      <c r="F1200" s="25" t="str">
        <f>IFERROR(INDEX('Hun Demand'!R:R,MATCH(O1200,'Hun Demand'!A:A,0)),"")</f>
        <v/>
      </c>
      <c r="G1200" s="25">
        <f>IFERROR(INDEX('Aub Demand'!W:W,MATCH(O1200,'Aub Demand'!A:A,0)),"")</f>
        <v>0</v>
      </c>
      <c r="H1200" s="25">
        <f>IFERROR(INDEX('Aub Demand'!V:V,MATCH(O1200,'Aub Demand'!A:A,0)),"")</f>
        <v>0</v>
      </c>
      <c r="I1200" s="25">
        <f>IFERROR(INDEX('Aub Demand'!U:U,MATCH(O1200,'Aub Demand'!A:A,0)),"")</f>
        <v>0</v>
      </c>
      <c r="J1200" s="25">
        <f>IFERROR(INDEX('Aub Demand'!T:T,MATCH(O1200,'Aub Demand'!A:A,0)),"")</f>
        <v>753</v>
      </c>
      <c r="K1200" s="25">
        <f>IFERROR(INDEX('Aub Demand'!S:S,MATCH(O1200,'Aub Demand'!A:A,0)),"")</f>
        <v>207</v>
      </c>
      <c r="L1200" s="25">
        <f>IFERROR(INDEX('Aub Demand'!R:R,MATCH(O1200,'Aub Demand'!A:A,0)),"")</f>
        <v>0</v>
      </c>
      <c r="O1200" s="27" t="s">
        <v>1542</v>
      </c>
      <c r="P1200" s="27" t="str">
        <f>IFERROR(INDEX('Aub Demand'!B:B,MATCH($O1200,'Aub Demand'!$A:$A,0)),"")</f>
        <v>CARNATION WHITE</v>
      </c>
      <c r="Q1200" s="27" t="str">
        <f>IFERROR(INDEX('Aub Demand'!C:C,MATCH($O1200,'Aub Demand'!$A:$A,0)),"")</f>
        <v>AHLST</v>
      </c>
      <c r="R1200" s="52">
        <f>IFERROR(IF(AR1201=AR1200,INDEX('Aub Demand'!K:K,MATCH($O1200,'Aub Demand'!$A:$A,0))-IF(AN1200="",0,AN1200)+AP1201,INDEX('Aub Demand'!K:K,MATCH($O1200,'Aub Demand'!$A:$A,0))-IF(AN1200="",0,AN1200)),"")</f>
        <v>1637</v>
      </c>
      <c r="S1200" s="53">
        <f t="shared" si="504"/>
        <v>21.9</v>
      </c>
      <c r="T1200" s="52" t="str">
        <f t="shared" si="505"/>
        <v/>
      </c>
      <c r="U1200" s="52">
        <f>IFERROR(IF(AR1201=AR1200,INDEX('Aub Demand'!Q:Q,MATCH($O1200,'Aub Demand'!$A:$A,0))-IF(AN1200="",0,AN1200)+AP1201,INDEX('Aub Demand'!Q:Q,MATCH($O1200,'Aub Demand'!$A:$A,0))-IF(AN1200="",0,AN1200)),"")</f>
        <v>1601</v>
      </c>
      <c r="V1200" s="53">
        <f t="shared" si="506"/>
        <v>21.4</v>
      </c>
      <c r="W1200" s="52" t="str">
        <f t="shared" si="507"/>
        <v/>
      </c>
      <c r="X1200" s="52">
        <f>IFERROR(IF(AND(AR1201=AR1200,AM1200&lt;&gt;""),INDEX('Aub Demand'!Q:Q,MATCH($O1200,'Aub Demand'!$A:$A,0))-IF(AN1200="",0,AN1200)+AP1201+AD1200+AL1200,IF(AR1201=AR1200,INDEX('Aub Demand'!Q:Q,MATCH($O1200,'Aub Demand'!$A:$A,0))-IF(AN1200="",0,AN1200)+AP1201+AD1200,IF(AM1200&lt;&gt;"",INDEX('Aub Demand'!Q:Q,MATCH($O1200,'Aub Demand'!$A:$A,0))-IF(AN1200="",0,AN1200)+AD1200+AL1200,INDEX('Aub Demand'!Q:Q,MATCH($O1200,'Aub Demand'!$A:$A,0))-IF(AN1200="",0,AN1200)+AD1200))),"")</f>
        <v>1601</v>
      </c>
      <c r="Y1200" s="53">
        <f t="shared" si="508"/>
        <v>21.4</v>
      </c>
      <c r="Z1200" s="52">
        <f>IF(L1200="","",INDEX('Aub Demand'!H:H,MATCH($O1200,'Aub Demand'!$A:$A,0)))</f>
        <v>320</v>
      </c>
      <c r="AA1200" s="52">
        <f t="shared" si="509"/>
        <v>480</v>
      </c>
      <c r="AB1200" s="52">
        <f>IFERROR(INDEX('Aub Demand'!L:L,MATCH($O1200,'Aub Demand'!$A:$A,0)),"")</f>
        <v>222</v>
      </c>
      <c r="AC1200" s="52">
        <f>IFERROR(IF(O1200="","",SUMIFS('CPL Mats'!F:F,'CPL Mats'!Q:Q,AR1200,'CPL Mats'!S:S,AS1200)),"")</f>
        <v>0</v>
      </c>
      <c r="AF1200" s="25" t="str">
        <f>IF(SUMIFS('Supp Consol'!S:S,'Supp Consol'!Y:Y,"Releasable",'Supp Consol'!A:A,O1200)=0,"",SUMIFS('Supp Consol'!S:S,'Supp Consol'!Y:Y,"Releasable",'Supp Consol'!A:A,O1200))</f>
        <v/>
      </c>
      <c r="AG1200" s="25" t="str">
        <f>IFERROR(INDEX('Hun Demand'!Q:Q,MATCH(O1200,'Hun Demand'!A:A,0)),"")</f>
        <v/>
      </c>
      <c r="AH1200" s="25" t="str">
        <f>IFERROR(INDEX('Hun Demand'!H:H,MATCH($O1200,'Hun Demand'!$A:$A,0)),"")</f>
        <v/>
      </c>
      <c r="AI1200" s="25" t="str">
        <f>IF(SUMIFS('Supp Consol'!AA:AA,'Supp Consol'!Z:Z,"Expires this month",'Supp Consol'!A:A,O1200)=0,"",SUMIFS('Supp Consol'!AA:AA,'Supp Consol'!Z:Z,"Expires this month",'Supp Consol'!A:A,O1200))</f>
        <v/>
      </c>
      <c r="AJ1200" s="25" t="str">
        <f>IF(SUMIFS('Supp Consol'!AA:AA,'Supp Consol'!Z:Z,"Expired Previous Months",'Supp Consol'!A:A,O1200)=0,"",SUMIFS('Supp Consol'!AA:AA,'Supp Consol'!Z:Z,"Expired Previous Months",'Supp Consol'!A:A,O1200))</f>
        <v/>
      </c>
      <c r="AK1200" s="25" t="str">
        <f>IFERROR(INDEX('Hun Release Current'!B:B,MATCH(O1200,'Hun Release Current'!A:A,0)),"")</f>
        <v/>
      </c>
      <c r="AL1200" s="25" t="str">
        <f>IF(SUMIF('Prev Aub'!A:A,O1200,'Prev Aub'!B:B)=0,"",SUMIF('Prev Aub'!A:A,O1200,'Prev Aub'!B:B))</f>
        <v/>
      </c>
      <c r="AN1200" s="25" t="s">
        <v>3790</v>
      </c>
      <c r="AO1200" s="25" t="s">
        <v>3790</v>
      </c>
      <c r="AP1200" s="25">
        <f t="shared" si="510"/>
        <v>0</v>
      </c>
      <c r="AQ1200" s="151" t="str">
        <f>IF(SUMIFS('Supp Consol'!S:S,'Supp Consol'!A:A,O1200,'Supp Consol'!I:I,"PENDING")=0,"",SUMIFS('Supp Consol'!S:S,'Supp Consol'!A:A,O1200,'Supp Consol'!I:I,"PENDING"))</f>
        <v/>
      </c>
      <c r="AR1200" s="27" t="str">
        <f t="shared" si="511"/>
        <v>SW806</v>
      </c>
      <c r="AS1200" s="27" t="str">
        <f t="shared" si="512"/>
        <v>62</v>
      </c>
      <c r="AT1200" s="27" t="str">
        <f t="shared" si="513"/>
        <v/>
      </c>
      <c r="AU1200" s="27" t="str">
        <f t="shared" si="514"/>
        <v/>
      </c>
      <c r="AV1200" s="27" t="str">
        <f t="shared" si="515"/>
        <v/>
      </c>
      <c r="AW1200" s="27" t="str">
        <f t="shared" si="516"/>
        <v/>
      </c>
      <c r="AX1200" s="27" t="str">
        <f t="shared" si="517"/>
        <v/>
      </c>
      <c r="AY1200" s="27" t="str">
        <f t="shared" si="518"/>
        <v/>
      </c>
      <c r="AZ1200" s="27" t="str">
        <f t="shared" si="519"/>
        <v>Supp</v>
      </c>
      <c r="BA1200" s="27" t="str">
        <f t="shared" si="520"/>
        <v/>
      </c>
      <c r="BB1200" s="27" t="str">
        <f t="shared" si="521"/>
        <v/>
      </c>
      <c r="BC1200" s="27" t="str">
        <f t="shared" si="522"/>
        <v/>
      </c>
      <c r="BD1200" s="27" t="str">
        <f t="shared" si="523"/>
        <v/>
      </c>
      <c r="BE1200" s="27" t="str">
        <f t="shared" si="524"/>
        <v/>
      </c>
      <c r="BF1200" s="27" t="str">
        <f t="shared" si="525"/>
        <v/>
      </c>
      <c r="BG1200" s="27" t="str">
        <f t="shared" si="526"/>
        <v/>
      </c>
      <c r="BH1200" s="27" t="str">
        <f t="shared" si="527"/>
        <v/>
      </c>
      <c r="BI1200" s="27" t="str">
        <f t="shared" si="528"/>
        <v/>
      </c>
      <c r="BJ1200" s="27" t="str">
        <f t="shared" si="529"/>
        <v>Supp or Hun</v>
      </c>
      <c r="BK1200" s="27" t="str">
        <f t="shared" si="530"/>
        <v/>
      </c>
      <c r="BL1200" s="27" t="str">
        <f t="shared" si="531"/>
        <v/>
      </c>
      <c r="BM1200" s="21" t="s">
        <v>5581</v>
      </c>
    </row>
    <row r="1201" spans="1:65" ht="15">
      <c r="A1201" s="25" t="str">
        <f>IFERROR(INDEX('Hun Demand'!W:W,MATCH(O1201,'Hun Demand'!A:A,0)),"")</f>
        <v/>
      </c>
      <c r="B1201" s="25" t="str">
        <f>IFERROR(INDEX('Hun Demand'!V:V,MATCH(O1201,'Hun Demand'!A:A,0)),"")</f>
        <v/>
      </c>
      <c r="C1201" s="25" t="str">
        <f>IFERROR(INDEX('Hun Demand'!U:U,MATCH(O1201,'Hun Demand'!A:A,0)),"")</f>
        <v/>
      </c>
      <c r="D1201" s="25" t="str">
        <f>IFERROR(INDEX('Hun Demand'!T:T,MATCH(O1201,'Hun Demand'!A:A,0)),"")</f>
        <v/>
      </c>
      <c r="E1201" s="25" t="str">
        <f>IFERROR(INDEX('Hun Demand'!S:S,MATCH(O1201,'Hun Demand'!A:A,0)),"")</f>
        <v/>
      </c>
      <c r="F1201" s="25" t="str">
        <f>IFERROR(INDEX('Hun Demand'!R:R,MATCH(O1201,'Hun Demand'!A:A,0)),"")</f>
        <v/>
      </c>
      <c r="G1201" s="25">
        <f>IFERROR(INDEX('Aub Demand'!W:W,MATCH(O1201,'Aub Demand'!A:A,0)),"")</f>
        <v>0</v>
      </c>
      <c r="H1201" s="25">
        <f>IFERROR(INDEX('Aub Demand'!V:V,MATCH(O1201,'Aub Demand'!A:A,0)),"")</f>
        <v>0</v>
      </c>
      <c r="I1201" s="25">
        <f>IFERROR(INDEX('Aub Demand'!U:U,MATCH(O1201,'Aub Demand'!A:A,0)),"")</f>
        <v>0</v>
      </c>
      <c r="J1201" s="25">
        <f>IFERROR(INDEX('Aub Demand'!T:T,MATCH(O1201,'Aub Demand'!A:A,0)),"")</f>
        <v>0</v>
      </c>
      <c r="K1201" s="25">
        <f>IFERROR(INDEX('Aub Demand'!S:S,MATCH(O1201,'Aub Demand'!A:A,0)),"")</f>
        <v>0</v>
      </c>
      <c r="L1201" s="25">
        <f>IFERROR(INDEX('Aub Demand'!R:R,MATCH(O1201,'Aub Demand'!A:A,0)),"")</f>
        <v>0</v>
      </c>
      <c r="O1201" s="27" t="s">
        <v>1543</v>
      </c>
      <c r="P1201" s="27" t="str">
        <f>IFERROR(INDEX('Aub Demand'!B:B,MATCH($O1201,'Aub Demand'!$A:$A,0)),"")</f>
        <v>WHITE</v>
      </c>
      <c r="Q1201" s="27" t="str">
        <f>IFERROR(INDEX('Aub Demand'!C:C,MATCH($O1201,'Aub Demand'!$A:$A,0)),"")</f>
        <v>ONYX</v>
      </c>
      <c r="R1201" s="52">
        <f>IFERROR(IF(AR1202=AR1201,INDEX('Aub Demand'!K:K,MATCH($O1201,'Aub Demand'!$A:$A,0))-IF(AN1201="",0,AN1201)+AP1202,INDEX('Aub Demand'!K:K,MATCH($O1201,'Aub Demand'!$A:$A,0))-IF(AN1201="",0,AN1201)),"")</f>
        <v>881</v>
      </c>
      <c r="S1201" s="53" t="str">
        <f t="shared" si="504"/>
        <v>n/a</v>
      </c>
      <c r="T1201" s="52" t="str">
        <f t="shared" si="505"/>
        <v/>
      </c>
      <c r="U1201" s="52">
        <f>IFERROR(IF(AR1202=AR1201,INDEX('Aub Demand'!Q:Q,MATCH($O1201,'Aub Demand'!$A:$A,0))-IF(AN1201="",0,AN1201)+AP1202,INDEX('Aub Demand'!Q:Q,MATCH($O1201,'Aub Demand'!$A:$A,0))-IF(AN1201="",0,AN1201)),"")</f>
        <v>881</v>
      </c>
      <c r="V1201" s="53" t="str">
        <f t="shared" si="506"/>
        <v>n/a</v>
      </c>
      <c r="W1201" s="52" t="str">
        <f t="shared" si="507"/>
        <v/>
      </c>
      <c r="X1201" s="52">
        <f>IFERROR(IF(AND(AR1202=AR1201,AM1201&lt;&gt;""),INDEX('Aub Demand'!Q:Q,MATCH($O1201,'Aub Demand'!$A:$A,0))-IF(AN1201="",0,AN1201)+AP1202+AD1201+AL1201,IF(AR1202=AR1201,INDEX('Aub Demand'!Q:Q,MATCH($O1201,'Aub Demand'!$A:$A,0))-IF(AN1201="",0,AN1201)+AP1202+AD1201,IF(AM1201&lt;&gt;"",INDEX('Aub Demand'!Q:Q,MATCH($O1201,'Aub Demand'!$A:$A,0))-IF(AN1201="",0,AN1201)+AD1201+AL1201,INDEX('Aub Demand'!Q:Q,MATCH($O1201,'Aub Demand'!$A:$A,0))-IF(AN1201="",0,AN1201)+AD1201))),"")</f>
        <v>881</v>
      </c>
      <c r="Y1201" s="53" t="str">
        <f t="shared" si="508"/>
        <v>n/a</v>
      </c>
      <c r="Z1201" s="52">
        <f>IF(L1201="","",INDEX('Aub Demand'!H:H,MATCH($O1201,'Aub Demand'!$A:$A,0)))</f>
        <v>0</v>
      </c>
      <c r="AA1201" s="52" t="str">
        <f t="shared" si="509"/>
        <v>-spike-</v>
      </c>
      <c r="AB1201" s="52">
        <f>IFERROR(INDEX('Aub Demand'!L:L,MATCH($O1201,'Aub Demand'!$A:$A,0)),"")</f>
        <v>0</v>
      </c>
      <c r="AC1201" s="52">
        <f>IFERROR(IF(O1201="","",SUMIFS('CPL Mats'!F:F,'CPL Mats'!Q:Q,AR1201,'CPL Mats'!S:S,AS1201)),"")</f>
        <v>0</v>
      </c>
      <c r="AF1201" s="25" t="str">
        <f>IF(SUMIFS('Supp Consol'!S:S,'Supp Consol'!Y:Y,"Releasable",'Supp Consol'!A:A,O1201)=0,"",SUMIFS('Supp Consol'!S:S,'Supp Consol'!Y:Y,"Releasable",'Supp Consol'!A:A,O1201))</f>
        <v/>
      </c>
      <c r="AG1201" s="25" t="str">
        <f>IFERROR(INDEX('Hun Demand'!Q:Q,MATCH(O1201,'Hun Demand'!A:A,0)),"")</f>
        <v/>
      </c>
      <c r="AH1201" s="25" t="str">
        <f>IFERROR(INDEX('Hun Demand'!H:H,MATCH($O1201,'Hun Demand'!$A:$A,0)),"")</f>
        <v/>
      </c>
      <c r="AI1201" s="25" t="str">
        <f>IF(SUMIFS('Supp Consol'!AA:AA,'Supp Consol'!Z:Z,"Expires this month",'Supp Consol'!A:A,O1201)=0,"",SUMIFS('Supp Consol'!AA:AA,'Supp Consol'!Z:Z,"Expires this month",'Supp Consol'!A:A,O1201))</f>
        <v/>
      </c>
      <c r="AJ1201" s="25" t="str">
        <f>IF(SUMIFS('Supp Consol'!AA:AA,'Supp Consol'!Z:Z,"Expired Previous Months",'Supp Consol'!A:A,O1201)=0,"",SUMIFS('Supp Consol'!AA:AA,'Supp Consol'!Z:Z,"Expired Previous Months",'Supp Consol'!A:A,O1201))</f>
        <v/>
      </c>
      <c r="AK1201" s="25" t="str">
        <f>IFERROR(INDEX('Hun Release Current'!B:B,MATCH(O1201,'Hun Release Current'!A:A,0)),"")</f>
        <v/>
      </c>
      <c r="AL1201" s="25" t="str">
        <f>IF(SUMIF('Prev Aub'!A:A,O1201,'Prev Aub'!B:B)=0,"",SUMIF('Prev Aub'!A:A,O1201,'Prev Aub'!B:B))</f>
        <v/>
      </c>
      <c r="AN1201" s="25" t="s">
        <v>3790</v>
      </c>
      <c r="AO1201" s="25" t="s">
        <v>3790</v>
      </c>
      <c r="AP1201" s="25">
        <f t="shared" si="510"/>
        <v>0</v>
      </c>
      <c r="AQ1201" s="151" t="str">
        <f>IF(SUMIFS('Supp Consol'!S:S,'Supp Consol'!A:A,O1201,'Supp Consol'!I:I,"PENDING")=0,"",SUMIFS('Supp Consol'!S:S,'Supp Consol'!A:A,O1201,'Supp Consol'!I:I,"PENDING"))</f>
        <v/>
      </c>
      <c r="AR1201" s="27" t="str">
        <f t="shared" si="511"/>
        <v>SW811</v>
      </c>
      <c r="AS1201" s="27" t="str">
        <f t="shared" si="512"/>
        <v>37</v>
      </c>
      <c r="AT1201" s="27" t="str">
        <f t="shared" si="513"/>
        <v/>
      </c>
      <c r="AU1201" s="27" t="str">
        <f t="shared" si="514"/>
        <v/>
      </c>
      <c r="AV1201" s="27" t="str">
        <f t="shared" si="515"/>
        <v/>
      </c>
      <c r="AW1201" s="27" t="str">
        <f t="shared" si="516"/>
        <v/>
      </c>
      <c r="AX1201" s="27" t="str">
        <f t="shared" si="517"/>
        <v/>
      </c>
      <c r="AY1201" s="27" t="str">
        <f t="shared" si="518"/>
        <v/>
      </c>
      <c r="AZ1201" s="27" t="str">
        <f t="shared" si="519"/>
        <v>Supp</v>
      </c>
      <c r="BA1201" s="27" t="str">
        <f t="shared" si="520"/>
        <v/>
      </c>
      <c r="BB1201" s="27" t="str">
        <f t="shared" si="521"/>
        <v/>
      </c>
      <c r="BC1201" s="27" t="str">
        <f t="shared" si="522"/>
        <v/>
      </c>
      <c r="BD1201" s="27" t="str">
        <f t="shared" si="523"/>
        <v/>
      </c>
      <c r="BE1201" s="27" t="str">
        <f t="shared" si="524"/>
        <v/>
      </c>
      <c r="BF1201" s="27" t="str">
        <f t="shared" si="525"/>
        <v/>
      </c>
      <c r="BG1201" s="27" t="str">
        <f t="shared" si="526"/>
        <v/>
      </c>
      <c r="BH1201" s="27" t="str">
        <f t="shared" si="527"/>
        <v/>
      </c>
      <c r="BI1201" s="27" t="str">
        <f t="shared" si="528"/>
        <v/>
      </c>
      <c r="BJ1201" s="27" t="str">
        <f t="shared" si="529"/>
        <v>Supp or Hun</v>
      </c>
      <c r="BK1201" s="27" t="str">
        <f t="shared" si="530"/>
        <v/>
      </c>
      <c r="BL1201" s="27" t="str">
        <f t="shared" si="531"/>
        <v/>
      </c>
      <c r="BM1201" s="21" t="s">
        <v>5581</v>
      </c>
    </row>
    <row r="1202" spans="1:65" ht="15">
      <c r="A1202" s="25" t="str">
        <f>IFERROR(INDEX('Hun Demand'!W:W,MATCH(O1202,'Hun Demand'!A:A,0)),"")</f>
        <v/>
      </c>
      <c r="B1202" s="25" t="str">
        <f>IFERROR(INDEX('Hun Demand'!V:V,MATCH(O1202,'Hun Demand'!A:A,0)),"")</f>
        <v/>
      </c>
      <c r="C1202" s="25" t="str">
        <f>IFERROR(INDEX('Hun Demand'!U:U,MATCH(O1202,'Hun Demand'!A:A,0)),"")</f>
        <v/>
      </c>
      <c r="D1202" s="25" t="str">
        <f>IFERROR(INDEX('Hun Demand'!T:T,MATCH(O1202,'Hun Demand'!A:A,0)),"")</f>
        <v/>
      </c>
      <c r="E1202" s="25" t="str">
        <f>IFERROR(INDEX('Hun Demand'!S:S,MATCH(O1202,'Hun Demand'!A:A,0)),"")</f>
        <v/>
      </c>
      <c r="F1202" s="25" t="str">
        <f>IFERROR(INDEX('Hun Demand'!R:R,MATCH(O1202,'Hun Demand'!A:A,0)),"")</f>
        <v/>
      </c>
      <c r="G1202" s="25">
        <f>IFERROR(INDEX('Aub Demand'!W:W,MATCH(O1202,'Aub Demand'!A:A,0)),"")</f>
        <v>1335</v>
      </c>
      <c r="H1202" s="25">
        <f>IFERROR(INDEX('Aub Demand'!V:V,MATCH(O1202,'Aub Demand'!A:A,0)),"")</f>
        <v>1904</v>
      </c>
      <c r="I1202" s="25">
        <f>IFERROR(INDEX('Aub Demand'!U:U,MATCH(O1202,'Aub Demand'!A:A,0)),"")</f>
        <v>554</v>
      </c>
      <c r="J1202" s="25">
        <f>IFERROR(INDEX('Aub Demand'!T:T,MATCH(O1202,'Aub Demand'!A:A,0)),"")</f>
        <v>534</v>
      </c>
      <c r="K1202" s="25">
        <f>IFERROR(INDEX('Aub Demand'!S:S,MATCH(O1202,'Aub Demand'!A:A,0)),"")</f>
        <v>506</v>
      </c>
      <c r="L1202" s="25">
        <f>IFERROR(INDEX('Aub Demand'!R:R,MATCH(O1202,'Aub Demand'!A:A,0)),"")</f>
        <v>0</v>
      </c>
      <c r="O1202" s="27" t="s">
        <v>1545</v>
      </c>
      <c r="P1202" s="27" t="str">
        <f>IFERROR(INDEX('Aub Demand'!B:B,MATCH($O1202,'Aub Demand'!$A:$A,0)),"")</f>
        <v>WHITE</v>
      </c>
      <c r="Q1202" s="27" t="str">
        <f>IFERROR(INDEX('Aub Demand'!C:C,MATCH($O1202,'Aub Demand'!$A:$A,0)),"")</f>
        <v>ONYX</v>
      </c>
      <c r="R1202" s="52">
        <f>IFERROR(IF(AR1203=AR1202,INDEX('Aub Demand'!K:K,MATCH($O1202,'Aub Demand'!$A:$A,0))-IF(AN1202="",0,AN1202)+AP1203,INDEX('Aub Demand'!K:K,MATCH($O1202,'Aub Demand'!$A:$A,0))-IF(AN1202="",0,AN1202)),"")</f>
        <v>1392</v>
      </c>
      <c r="S1202" s="53">
        <f t="shared" si="504"/>
        <v>11.2</v>
      </c>
      <c r="T1202" s="52" t="str">
        <f t="shared" si="505"/>
        <v/>
      </c>
      <c r="U1202" s="52">
        <f>IFERROR(IF(AR1203=AR1202,INDEX('Aub Demand'!Q:Q,MATCH($O1202,'Aub Demand'!$A:$A,0))-IF(AN1202="",0,AN1202)+AP1203,INDEX('Aub Demand'!Q:Q,MATCH($O1202,'Aub Demand'!$A:$A,0))-IF(AN1202="",0,AN1202)),"")</f>
        <v>1085</v>
      </c>
      <c r="V1202" s="53">
        <f t="shared" si="506"/>
        <v>8.8000000000000007</v>
      </c>
      <c r="W1202" s="52" t="str">
        <f t="shared" si="507"/>
        <v/>
      </c>
      <c r="X1202" s="52">
        <f>IFERROR(IF(AND(AR1203=AR1202,AM1202&lt;&gt;""),INDEX('Aub Demand'!Q:Q,MATCH($O1202,'Aub Demand'!$A:$A,0))-IF(AN1202="",0,AN1202)+AP1203+AD1202+AL1202,IF(AR1203=AR1202,INDEX('Aub Demand'!Q:Q,MATCH($O1202,'Aub Demand'!$A:$A,0))-IF(AN1202="",0,AN1202)+AP1203+AD1202,IF(AM1202&lt;&gt;"",INDEX('Aub Demand'!Q:Q,MATCH($O1202,'Aub Demand'!$A:$A,0))-IF(AN1202="",0,AN1202)+AD1202+AL1202,INDEX('Aub Demand'!Q:Q,MATCH($O1202,'Aub Demand'!$A:$A,0))-IF(AN1202="",0,AN1202)+AD1202))),"")</f>
        <v>1085</v>
      </c>
      <c r="Y1202" s="53">
        <f t="shared" si="508"/>
        <v>8.8000000000000007</v>
      </c>
      <c r="Z1202" s="52">
        <f>IF(L1202="","",INDEX('Aub Demand'!H:H,MATCH($O1202,'Aub Demand'!$A:$A,0)))</f>
        <v>531</v>
      </c>
      <c r="AA1202" s="52">
        <f t="shared" si="509"/>
        <v>544</v>
      </c>
      <c r="AB1202" s="52">
        <f>IFERROR(INDEX('Aub Demand'!L:L,MATCH($O1202,'Aub Demand'!$A:$A,0)),"")</f>
        <v>864</v>
      </c>
      <c r="AC1202" s="52">
        <f>IFERROR(IF(O1202="","",SUMIFS('CPL Mats'!F:F,'CPL Mats'!Q:Q,AR1202,'CPL Mats'!S:S,AS1202)),"")</f>
        <v>0</v>
      </c>
      <c r="AF1202" s="25">
        <f>IF(SUMIFS('Supp Consol'!S:S,'Supp Consol'!Y:Y,"Releasable",'Supp Consol'!A:A,O1202)=0,"",SUMIFS('Supp Consol'!S:S,'Supp Consol'!Y:Y,"Releasable",'Supp Consol'!A:A,O1202))</f>
        <v>4015</v>
      </c>
      <c r="AG1202" s="25" t="str">
        <f>IFERROR(INDEX('Hun Demand'!Q:Q,MATCH(O1202,'Hun Demand'!A:A,0)),"")</f>
        <v/>
      </c>
      <c r="AH1202" s="25" t="str">
        <f>IFERROR(INDEX('Hun Demand'!H:H,MATCH($O1202,'Hun Demand'!$A:$A,0)),"")</f>
        <v/>
      </c>
      <c r="AI1202" s="25" t="str">
        <f>IF(SUMIFS('Supp Consol'!AA:AA,'Supp Consol'!Z:Z,"Expires this month",'Supp Consol'!A:A,O1202)=0,"",SUMIFS('Supp Consol'!AA:AA,'Supp Consol'!Z:Z,"Expires this month",'Supp Consol'!A:A,O1202))</f>
        <v/>
      </c>
      <c r="AJ1202" s="25" t="str">
        <f>IF(SUMIFS('Supp Consol'!AA:AA,'Supp Consol'!Z:Z,"Expired Previous Months",'Supp Consol'!A:A,O1202)=0,"",SUMIFS('Supp Consol'!AA:AA,'Supp Consol'!Z:Z,"Expired Previous Months",'Supp Consol'!A:A,O1202))</f>
        <v/>
      </c>
      <c r="AK1202" s="25" t="str">
        <f>IFERROR(INDEX('Hun Release Current'!B:B,MATCH(O1202,'Hun Release Current'!A:A,0)),"")</f>
        <v/>
      </c>
      <c r="AL1202" s="25" t="str">
        <f>IF(SUMIF('Prev Aub'!A:A,O1202,'Prev Aub'!B:B)=0,"",SUMIF('Prev Aub'!A:A,O1202,'Prev Aub'!B:B))</f>
        <v/>
      </c>
      <c r="AN1202" s="25" t="s">
        <v>3790</v>
      </c>
      <c r="AO1202" s="25" t="s">
        <v>3790</v>
      </c>
      <c r="AP1202" s="25">
        <f t="shared" si="510"/>
        <v>0</v>
      </c>
      <c r="AQ1202" s="151" t="str">
        <f>IF(SUMIFS('Supp Consol'!S:S,'Supp Consol'!A:A,O1202,'Supp Consol'!I:I,"PENDING")=0,"",SUMIFS('Supp Consol'!S:S,'Supp Consol'!A:A,O1202,'Supp Consol'!I:I,"PENDING"))</f>
        <v/>
      </c>
      <c r="AR1202" s="27" t="str">
        <f t="shared" si="511"/>
        <v>SW811</v>
      </c>
      <c r="AS1202" s="27" t="str">
        <f t="shared" si="512"/>
        <v>50</v>
      </c>
      <c r="AT1202" s="27" t="str">
        <f t="shared" si="513"/>
        <v/>
      </c>
      <c r="AU1202" s="27" t="str">
        <f t="shared" si="514"/>
        <v/>
      </c>
      <c r="AV1202" s="27" t="str">
        <f t="shared" si="515"/>
        <v/>
      </c>
      <c r="AW1202" s="27" t="str">
        <f t="shared" si="516"/>
        <v/>
      </c>
      <c r="AX1202" s="27" t="str">
        <f t="shared" si="517"/>
        <v>SW811</v>
      </c>
      <c r="AY1202" s="27" t="str">
        <f t="shared" si="518"/>
        <v/>
      </c>
      <c r="AZ1202" s="27" t="str">
        <f t="shared" si="519"/>
        <v>Supp</v>
      </c>
      <c r="BA1202" s="27" t="str">
        <f t="shared" si="520"/>
        <v/>
      </c>
      <c r="BB1202" s="27" t="str">
        <f t="shared" si="521"/>
        <v/>
      </c>
      <c r="BC1202" s="27" t="str">
        <f t="shared" si="522"/>
        <v/>
      </c>
      <c r="BD1202" s="27" t="str">
        <f t="shared" si="523"/>
        <v/>
      </c>
      <c r="BE1202" s="27" t="str">
        <f t="shared" si="524"/>
        <v/>
      </c>
      <c r="BF1202" s="27" t="str">
        <f t="shared" si="525"/>
        <v/>
      </c>
      <c r="BG1202" s="27" t="str">
        <f t="shared" si="526"/>
        <v/>
      </c>
      <c r="BH1202" s="27" t="str">
        <f t="shared" si="527"/>
        <v/>
      </c>
      <c r="BI1202" s="27" t="str">
        <f t="shared" si="528"/>
        <v/>
      </c>
      <c r="BJ1202" s="27" t="str">
        <f t="shared" si="529"/>
        <v>Supp or Hun</v>
      </c>
      <c r="BK1202" s="27" t="str">
        <f t="shared" si="530"/>
        <v/>
      </c>
      <c r="BL1202" s="27" t="str">
        <f t="shared" si="531"/>
        <v/>
      </c>
      <c r="BM1202" s="21" t="s">
        <v>5581</v>
      </c>
    </row>
    <row r="1203" spans="1:65" ht="15">
      <c r="A1203" s="25" t="str">
        <f>IFERROR(INDEX('Hun Demand'!W:W,MATCH(O1203,'Hun Demand'!A:A,0)),"")</f>
        <v/>
      </c>
      <c r="B1203" s="25" t="str">
        <f>IFERROR(INDEX('Hun Demand'!V:V,MATCH(O1203,'Hun Demand'!A:A,0)),"")</f>
        <v/>
      </c>
      <c r="C1203" s="25" t="str">
        <f>IFERROR(INDEX('Hun Demand'!U:U,MATCH(O1203,'Hun Demand'!A:A,0)),"")</f>
        <v/>
      </c>
      <c r="D1203" s="25" t="str">
        <f>IFERROR(INDEX('Hun Demand'!T:T,MATCH(O1203,'Hun Demand'!A:A,0)),"")</f>
        <v/>
      </c>
      <c r="E1203" s="25" t="str">
        <f>IFERROR(INDEX('Hun Demand'!S:S,MATCH(O1203,'Hun Demand'!A:A,0)),"")</f>
        <v/>
      </c>
      <c r="F1203" s="25" t="str">
        <f>IFERROR(INDEX('Hun Demand'!R:R,MATCH(O1203,'Hun Demand'!A:A,0)),"")</f>
        <v/>
      </c>
      <c r="G1203" s="25">
        <f>IFERROR(INDEX('Aub Demand'!W:W,MATCH(O1203,'Aub Demand'!A:A,0)),"")</f>
        <v>2044</v>
      </c>
      <c r="H1203" s="25">
        <f>IFERROR(INDEX('Aub Demand'!V:V,MATCH(O1203,'Aub Demand'!A:A,0)),"")</f>
        <v>859</v>
      </c>
      <c r="I1203" s="25">
        <f>IFERROR(INDEX('Aub Demand'!U:U,MATCH(O1203,'Aub Demand'!A:A,0)),"")</f>
        <v>392</v>
      </c>
      <c r="J1203" s="25">
        <f>IFERROR(INDEX('Aub Demand'!T:T,MATCH(O1203,'Aub Demand'!A:A,0)),"")</f>
        <v>659</v>
      </c>
      <c r="K1203" s="25">
        <f>IFERROR(INDEX('Aub Demand'!S:S,MATCH(O1203,'Aub Demand'!A:A,0)),"")</f>
        <v>300</v>
      </c>
      <c r="L1203" s="25">
        <f>IFERROR(INDEX('Aub Demand'!R:R,MATCH(O1203,'Aub Demand'!A:A,0)),"")</f>
        <v>0</v>
      </c>
      <c r="O1203" s="27" t="s">
        <v>1547</v>
      </c>
      <c r="P1203" s="27" t="str">
        <f>IFERROR(INDEX('Aub Demand'!B:B,MATCH($O1203,'Aub Demand'!$A:$A,0)),"")</f>
        <v>WHITE</v>
      </c>
      <c r="Q1203" s="27" t="str">
        <f>IFERROR(INDEX('Aub Demand'!C:C,MATCH($O1203,'Aub Demand'!$A:$A,0)),"")</f>
        <v>ONYX</v>
      </c>
      <c r="R1203" s="52">
        <f>IFERROR(IF(AR1204=AR1203,INDEX('Aub Demand'!K:K,MATCH($O1203,'Aub Demand'!$A:$A,0))-IF(AN1203="",0,AN1203)+AP1204,INDEX('Aub Demand'!K:K,MATCH($O1203,'Aub Demand'!$A:$A,0))-IF(AN1203="",0,AN1203)),"")</f>
        <v>2412</v>
      </c>
      <c r="S1203" s="53">
        <f t="shared" si="504"/>
        <v>23</v>
      </c>
      <c r="T1203" s="52" t="str">
        <f t="shared" si="505"/>
        <v/>
      </c>
      <c r="U1203" s="52">
        <f>IFERROR(IF(AR1204=AR1203,INDEX('Aub Demand'!Q:Q,MATCH($O1203,'Aub Demand'!$A:$A,0))-IF(AN1203="",0,AN1203)+AP1204,INDEX('Aub Demand'!Q:Q,MATCH($O1203,'Aub Demand'!$A:$A,0))-IF(AN1203="",0,AN1203)),"")</f>
        <v>2015</v>
      </c>
      <c r="V1203" s="53">
        <f t="shared" si="506"/>
        <v>19.2</v>
      </c>
      <c r="W1203" s="52" t="str">
        <f t="shared" si="507"/>
        <v/>
      </c>
      <c r="X1203" s="52">
        <f>IFERROR(IF(AND(AR1204=AR1203,AM1203&lt;&gt;""),INDEX('Aub Demand'!Q:Q,MATCH($O1203,'Aub Demand'!$A:$A,0))-IF(AN1203="",0,AN1203)+AP1204+AD1203+AL1203,IF(AR1204=AR1203,INDEX('Aub Demand'!Q:Q,MATCH($O1203,'Aub Demand'!$A:$A,0))-IF(AN1203="",0,AN1203)+AP1204+AD1203,IF(AM1203&lt;&gt;"",INDEX('Aub Demand'!Q:Q,MATCH($O1203,'Aub Demand'!$A:$A,0))-IF(AN1203="",0,AN1203)+AD1203+AL1203,INDEX('Aub Demand'!Q:Q,MATCH($O1203,'Aub Demand'!$A:$A,0))-IF(AN1203="",0,AN1203)+AD1203))),"")</f>
        <v>2015</v>
      </c>
      <c r="Y1203" s="53">
        <f t="shared" si="508"/>
        <v>19.2</v>
      </c>
      <c r="Z1203" s="52">
        <f>IF(L1203="","",INDEX('Aub Demand'!H:H,MATCH($O1203,'Aub Demand'!$A:$A,0)))</f>
        <v>450</v>
      </c>
      <c r="AA1203" s="52">
        <f t="shared" si="509"/>
        <v>525.5</v>
      </c>
      <c r="AB1203" s="52">
        <f>IFERROR(INDEX('Aub Demand'!L:L,MATCH($O1203,'Aub Demand'!$A:$A,0)),"")</f>
        <v>887</v>
      </c>
      <c r="AC1203" s="52">
        <f>IFERROR(IF(O1203="","",SUMIFS('CPL Mats'!F:F,'CPL Mats'!Q:Q,AR1203,'CPL Mats'!S:S,AS1203)),"")</f>
        <v>0</v>
      </c>
      <c r="AF1203" s="25">
        <f>IF(SUMIFS('Supp Consol'!S:S,'Supp Consol'!Y:Y,"Releasable",'Supp Consol'!A:A,O1203)=0,"",SUMIFS('Supp Consol'!S:S,'Supp Consol'!Y:Y,"Releasable",'Supp Consol'!A:A,O1203))</f>
        <v>6323</v>
      </c>
      <c r="AG1203" s="25" t="str">
        <f>IFERROR(INDEX('Hun Demand'!Q:Q,MATCH(O1203,'Hun Demand'!A:A,0)),"")</f>
        <v/>
      </c>
      <c r="AH1203" s="25" t="str">
        <f>IFERROR(INDEX('Hun Demand'!H:H,MATCH($O1203,'Hun Demand'!$A:$A,0)),"")</f>
        <v/>
      </c>
      <c r="AI1203" s="25" t="str">
        <f>IF(SUMIFS('Supp Consol'!AA:AA,'Supp Consol'!Z:Z,"Expires this month",'Supp Consol'!A:A,O1203)=0,"",SUMIFS('Supp Consol'!AA:AA,'Supp Consol'!Z:Z,"Expires this month",'Supp Consol'!A:A,O1203))</f>
        <v/>
      </c>
      <c r="AJ1203" s="25" t="str">
        <f>IF(SUMIFS('Supp Consol'!AA:AA,'Supp Consol'!Z:Z,"Expired Previous Months",'Supp Consol'!A:A,O1203)=0,"",SUMIFS('Supp Consol'!AA:AA,'Supp Consol'!Z:Z,"Expired Previous Months",'Supp Consol'!A:A,O1203))</f>
        <v/>
      </c>
      <c r="AK1203" s="25" t="str">
        <f>IFERROR(INDEX('Hun Release Current'!B:B,MATCH(O1203,'Hun Release Current'!A:A,0)),"")</f>
        <v/>
      </c>
      <c r="AL1203" s="25" t="str">
        <f>IF(SUMIF('Prev Aub'!A:A,O1203,'Prev Aub'!B:B)=0,"",SUMIF('Prev Aub'!A:A,O1203,'Prev Aub'!B:B))</f>
        <v/>
      </c>
      <c r="AN1203" s="25" t="s">
        <v>3790</v>
      </c>
      <c r="AO1203" s="25" t="s">
        <v>3790</v>
      </c>
      <c r="AP1203" s="25">
        <f t="shared" si="510"/>
        <v>0</v>
      </c>
      <c r="AQ1203" s="151" t="str">
        <f>IF(SUMIFS('Supp Consol'!S:S,'Supp Consol'!A:A,O1203,'Supp Consol'!I:I,"PENDING")=0,"",SUMIFS('Supp Consol'!S:S,'Supp Consol'!A:A,O1203,'Supp Consol'!I:I,"PENDING"))</f>
        <v/>
      </c>
      <c r="AR1203" s="27" t="str">
        <f t="shared" si="511"/>
        <v>SW811</v>
      </c>
      <c r="AS1203" s="27" t="str">
        <f t="shared" si="512"/>
        <v>62</v>
      </c>
      <c r="AT1203" s="27" t="str">
        <f t="shared" si="513"/>
        <v/>
      </c>
      <c r="AU1203" s="27" t="str">
        <f t="shared" si="514"/>
        <v/>
      </c>
      <c r="AV1203" s="27" t="str">
        <f t="shared" si="515"/>
        <v/>
      </c>
      <c r="AW1203" s="27" t="str">
        <f t="shared" si="516"/>
        <v/>
      </c>
      <c r="AX1203" s="27" t="str">
        <f t="shared" si="517"/>
        <v>SW811</v>
      </c>
      <c r="AY1203" s="27" t="str">
        <f t="shared" si="518"/>
        <v/>
      </c>
      <c r="AZ1203" s="27" t="str">
        <f t="shared" si="519"/>
        <v>Supp</v>
      </c>
      <c r="BA1203" s="27" t="str">
        <f t="shared" si="520"/>
        <v/>
      </c>
      <c r="BB1203" s="27" t="str">
        <f t="shared" si="521"/>
        <v/>
      </c>
      <c r="BC1203" s="27" t="str">
        <f t="shared" si="522"/>
        <v/>
      </c>
      <c r="BD1203" s="27" t="str">
        <f t="shared" si="523"/>
        <v/>
      </c>
      <c r="BE1203" s="27" t="str">
        <f t="shared" si="524"/>
        <v/>
      </c>
      <c r="BF1203" s="27" t="str">
        <f t="shared" si="525"/>
        <v/>
      </c>
      <c r="BG1203" s="27" t="str">
        <f t="shared" si="526"/>
        <v/>
      </c>
      <c r="BH1203" s="27" t="str">
        <f t="shared" si="527"/>
        <v/>
      </c>
      <c r="BI1203" s="27" t="str">
        <f t="shared" si="528"/>
        <v/>
      </c>
      <c r="BJ1203" s="27" t="str">
        <f t="shared" si="529"/>
        <v>Supp or Hun</v>
      </c>
      <c r="BK1203" s="27" t="str">
        <f t="shared" si="530"/>
        <v/>
      </c>
      <c r="BL1203" s="27" t="str">
        <f t="shared" si="531"/>
        <v/>
      </c>
      <c r="BM1203" s="21" t="s">
        <v>5581</v>
      </c>
    </row>
    <row r="1204" spans="1:65" ht="15">
      <c r="A1204" s="25" t="str">
        <f>IFERROR(INDEX('Hun Demand'!W:W,MATCH(O1204,'Hun Demand'!A:A,0)),"")</f>
        <v/>
      </c>
      <c r="B1204" s="25" t="str">
        <f>IFERROR(INDEX('Hun Demand'!V:V,MATCH(O1204,'Hun Demand'!A:A,0)),"")</f>
        <v/>
      </c>
      <c r="C1204" s="25" t="str">
        <f>IFERROR(INDEX('Hun Demand'!U:U,MATCH(O1204,'Hun Demand'!A:A,0)),"")</f>
        <v/>
      </c>
      <c r="D1204" s="25" t="str">
        <f>IFERROR(INDEX('Hun Demand'!T:T,MATCH(O1204,'Hun Demand'!A:A,0)),"")</f>
        <v/>
      </c>
      <c r="E1204" s="25" t="str">
        <f>IFERROR(INDEX('Hun Demand'!S:S,MATCH(O1204,'Hun Demand'!A:A,0)),"")</f>
        <v/>
      </c>
      <c r="F1204" s="25" t="str">
        <f>IFERROR(INDEX('Hun Demand'!R:R,MATCH(O1204,'Hun Demand'!A:A,0)),"")</f>
        <v/>
      </c>
      <c r="G1204" s="25">
        <f>IFERROR(INDEX('Aub Demand'!W:W,MATCH(O1204,'Aub Demand'!A:A,0)),"")</f>
        <v>0</v>
      </c>
      <c r="H1204" s="25">
        <f>IFERROR(INDEX('Aub Demand'!V:V,MATCH(O1204,'Aub Demand'!A:A,0)),"")</f>
        <v>0</v>
      </c>
      <c r="I1204" s="25">
        <f>IFERROR(INDEX('Aub Demand'!U:U,MATCH(O1204,'Aub Demand'!A:A,0)),"")</f>
        <v>0</v>
      </c>
      <c r="J1204" s="25">
        <f>IFERROR(INDEX('Aub Demand'!T:T,MATCH(O1204,'Aub Demand'!A:A,0)),"")</f>
        <v>0</v>
      </c>
      <c r="K1204" s="25">
        <f>IFERROR(INDEX('Aub Demand'!S:S,MATCH(O1204,'Aub Demand'!A:A,0)),"")</f>
        <v>0</v>
      </c>
      <c r="L1204" s="25">
        <f>IFERROR(INDEX('Aub Demand'!R:R,MATCH(O1204,'Aub Demand'!A:A,0)),"")</f>
        <v>0</v>
      </c>
      <c r="O1204" s="27" t="s">
        <v>6308</v>
      </c>
      <c r="P1204" s="27" t="str">
        <f>IFERROR(INDEX('Aub Demand'!B:B,MATCH($O1204,'Aub Demand'!$A:$A,0)),"")</f>
        <v>ICE WHITE</v>
      </c>
      <c r="Q1204" s="27" t="str">
        <f>IFERROR(INDEX('Aub Demand'!C:C,MATCH($O1204,'Aub Demand'!$A:$A,0)),"")</f>
        <v>ONYX</v>
      </c>
      <c r="R1204" s="52">
        <f>IFERROR(IF(AR1205=AR1204,INDEX('Aub Demand'!K:K,MATCH($O1204,'Aub Demand'!$A:$A,0))-IF(AN1204="",0,AN1204)+AP1205,INDEX('Aub Demand'!K:K,MATCH($O1204,'Aub Demand'!$A:$A,0))-IF(AN1204="",0,AN1204)),"")</f>
        <v>0</v>
      </c>
      <c r="S1204" s="53" t="str">
        <f t="shared" si="504"/>
        <v>n/a</v>
      </c>
      <c r="T1204" s="52" t="str">
        <f t="shared" si="505"/>
        <v/>
      </c>
      <c r="U1204" s="52">
        <f>IFERROR(IF(AR1205=AR1204,INDEX('Aub Demand'!Q:Q,MATCH($O1204,'Aub Demand'!$A:$A,0))-IF(AN1204="",0,AN1204)+AP1205,INDEX('Aub Demand'!Q:Q,MATCH($O1204,'Aub Demand'!$A:$A,0))-IF(AN1204="",0,AN1204)),"")</f>
        <v>-1</v>
      </c>
      <c r="V1204" s="53" t="str">
        <f t="shared" si="506"/>
        <v>n/a</v>
      </c>
      <c r="W1204" s="52" t="str">
        <f t="shared" si="507"/>
        <v/>
      </c>
      <c r="X1204" s="52">
        <f>IFERROR(IF(AND(AR1205=AR1204,AM1204&lt;&gt;""),INDEX('Aub Demand'!Q:Q,MATCH($O1204,'Aub Demand'!$A:$A,0))-IF(AN1204="",0,AN1204)+AP1205+AD1204+AL1204,IF(AR1205=AR1204,INDEX('Aub Demand'!Q:Q,MATCH($O1204,'Aub Demand'!$A:$A,0))-IF(AN1204="",0,AN1204)+AP1205+AD1204,IF(AM1204&lt;&gt;"",INDEX('Aub Demand'!Q:Q,MATCH($O1204,'Aub Demand'!$A:$A,0))-IF(AN1204="",0,AN1204)+AD1204+AL1204,INDEX('Aub Demand'!Q:Q,MATCH($O1204,'Aub Demand'!$A:$A,0))-IF(AN1204="",0,AN1204)+AD1204))),"")</f>
        <v>-1</v>
      </c>
      <c r="Y1204" s="53" t="str">
        <f t="shared" si="508"/>
        <v>n/a</v>
      </c>
      <c r="Z1204" s="52">
        <f>IF(L1204="","",INDEX('Aub Demand'!H:H,MATCH($O1204,'Aub Demand'!$A:$A,0)))</f>
        <v>0</v>
      </c>
      <c r="AA1204" s="52" t="str">
        <f t="shared" si="509"/>
        <v>-spike-</v>
      </c>
      <c r="AB1204" s="52">
        <f>IFERROR(INDEX('Aub Demand'!L:L,MATCH($O1204,'Aub Demand'!$A:$A,0)),"")</f>
        <v>0</v>
      </c>
      <c r="AC1204" s="52">
        <f>IFERROR(IF(O1204="","",SUMIFS('CPL Mats'!F:F,'CPL Mats'!Q:Q,AR1204,'CPL Mats'!S:S,AS1204)),"")</f>
        <v>0</v>
      </c>
      <c r="AF1204" s="25" t="str">
        <f>IF(SUMIFS('Supp Consol'!S:S,'Supp Consol'!Y:Y,"Releasable",'Supp Consol'!A:A,O1204)=0,"",SUMIFS('Supp Consol'!S:S,'Supp Consol'!Y:Y,"Releasable",'Supp Consol'!A:A,O1204))</f>
        <v/>
      </c>
      <c r="AG1204" s="25" t="str">
        <f>IFERROR(INDEX('Hun Demand'!Q:Q,MATCH(O1204,'Hun Demand'!A:A,0)),"")</f>
        <v/>
      </c>
      <c r="AH1204" s="25" t="str">
        <f>IFERROR(INDEX('Hun Demand'!H:H,MATCH($O1204,'Hun Demand'!$A:$A,0)),"")</f>
        <v/>
      </c>
      <c r="AI1204" s="25" t="str">
        <f>IF(SUMIFS('Supp Consol'!AA:AA,'Supp Consol'!Z:Z,"Expires this month",'Supp Consol'!A:A,O1204)=0,"",SUMIFS('Supp Consol'!AA:AA,'Supp Consol'!Z:Z,"Expires this month",'Supp Consol'!A:A,O1204))</f>
        <v/>
      </c>
      <c r="AJ1204" s="25" t="str">
        <f>IF(SUMIFS('Supp Consol'!AA:AA,'Supp Consol'!Z:Z,"Expired Previous Months",'Supp Consol'!A:A,O1204)=0,"",SUMIFS('Supp Consol'!AA:AA,'Supp Consol'!Z:Z,"Expired Previous Months",'Supp Consol'!A:A,O1204))</f>
        <v/>
      </c>
      <c r="AK1204" s="25" t="str">
        <f>IFERROR(INDEX('Hun Release Current'!B:B,MATCH(O1204,'Hun Release Current'!A:A,0)),"")</f>
        <v/>
      </c>
      <c r="AL1204" s="25" t="str">
        <f>IF(SUMIF('Prev Aub'!A:A,O1204,'Prev Aub'!B:B)=0,"",SUMIF('Prev Aub'!A:A,O1204,'Prev Aub'!B:B))</f>
        <v/>
      </c>
      <c r="AN1204" s="25" t="s">
        <v>3790</v>
      </c>
      <c r="AO1204" s="25" t="s">
        <v>3790</v>
      </c>
      <c r="AP1204" s="25">
        <f t="shared" si="510"/>
        <v>0</v>
      </c>
      <c r="AQ1204" s="151" t="str">
        <f>IF(SUMIFS('Supp Consol'!S:S,'Supp Consol'!A:A,O1204,'Supp Consol'!I:I,"PENDING")=0,"",SUMIFS('Supp Consol'!S:S,'Supp Consol'!A:A,O1204,'Supp Consol'!I:I,"PENDING"))</f>
        <v/>
      </c>
      <c r="AR1204" s="27" t="str">
        <f t="shared" si="511"/>
        <v>SW813</v>
      </c>
      <c r="AS1204" s="27" t="str">
        <f t="shared" si="512"/>
        <v>37</v>
      </c>
      <c r="AT1204" s="27" t="str">
        <f t="shared" si="513"/>
        <v/>
      </c>
      <c r="AU1204" s="27" t="str">
        <f t="shared" si="514"/>
        <v/>
      </c>
      <c r="AV1204" s="27" t="str">
        <f t="shared" si="515"/>
        <v/>
      </c>
      <c r="AW1204" s="27" t="str">
        <f t="shared" si="516"/>
        <v/>
      </c>
      <c r="AX1204" s="27" t="str">
        <f t="shared" si="517"/>
        <v/>
      </c>
      <c r="AY1204" s="27" t="str">
        <f t="shared" si="518"/>
        <v/>
      </c>
      <c r="AZ1204" s="27" t="str">
        <f t="shared" si="519"/>
        <v>Supp</v>
      </c>
      <c r="BA1204" s="27" t="str">
        <f t="shared" si="520"/>
        <v/>
      </c>
      <c r="BB1204" s="27" t="str">
        <f t="shared" si="521"/>
        <v/>
      </c>
      <c r="BC1204" s="27" t="str">
        <f t="shared" si="522"/>
        <v/>
      </c>
      <c r="BD1204" s="27" t="str">
        <f t="shared" si="523"/>
        <v/>
      </c>
      <c r="BE1204" s="27" t="str">
        <f t="shared" si="524"/>
        <v/>
      </c>
      <c r="BF1204" s="27" t="str">
        <f t="shared" si="525"/>
        <v/>
      </c>
      <c r="BG1204" s="27" t="str">
        <f t="shared" si="526"/>
        <v/>
      </c>
      <c r="BH1204" s="27" t="str">
        <f t="shared" si="527"/>
        <v/>
      </c>
      <c r="BI1204" s="27" t="str">
        <f t="shared" si="528"/>
        <v/>
      </c>
      <c r="BJ1204" s="27" t="str">
        <f t="shared" si="529"/>
        <v>Supp or Hun</v>
      </c>
      <c r="BK1204" s="27" t="str">
        <f t="shared" si="530"/>
        <v/>
      </c>
      <c r="BL1204" s="27" t="str">
        <f t="shared" si="531"/>
        <v/>
      </c>
      <c r="BM1204" s="21" t="s">
        <v>3790</v>
      </c>
    </row>
    <row r="1205" spans="1:65" ht="15">
      <c r="A1205" s="25" t="str">
        <f>IFERROR(INDEX('Hun Demand'!W:W,MATCH(O1205,'Hun Demand'!A:A,0)),"")</f>
        <v/>
      </c>
      <c r="B1205" s="25" t="str">
        <f>IFERROR(INDEX('Hun Demand'!V:V,MATCH(O1205,'Hun Demand'!A:A,0)),"")</f>
        <v/>
      </c>
      <c r="C1205" s="25" t="str">
        <f>IFERROR(INDEX('Hun Demand'!U:U,MATCH(O1205,'Hun Demand'!A:A,0)),"")</f>
        <v/>
      </c>
      <c r="D1205" s="25" t="str">
        <f>IFERROR(INDEX('Hun Demand'!T:T,MATCH(O1205,'Hun Demand'!A:A,0)),"")</f>
        <v/>
      </c>
      <c r="E1205" s="25" t="str">
        <f>IFERROR(INDEX('Hun Demand'!S:S,MATCH(O1205,'Hun Demand'!A:A,0)),"")</f>
        <v/>
      </c>
      <c r="F1205" s="25" t="str">
        <f>IFERROR(INDEX('Hun Demand'!R:R,MATCH(O1205,'Hun Demand'!A:A,0)),"")</f>
        <v/>
      </c>
      <c r="G1205" s="25">
        <f>IFERROR(INDEX('Aub Demand'!W:W,MATCH(O1205,'Aub Demand'!A:A,0)),"")</f>
        <v>1090</v>
      </c>
      <c r="H1205" s="25">
        <f>IFERROR(INDEX('Aub Demand'!V:V,MATCH(O1205,'Aub Demand'!A:A,0)),"")</f>
        <v>274</v>
      </c>
      <c r="I1205" s="25">
        <f>IFERROR(INDEX('Aub Demand'!U:U,MATCH(O1205,'Aub Demand'!A:A,0)),"")</f>
        <v>1721</v>
      </c>
      <c r="J1205" s="25">
        <f>IFERROR(INDEX('Aub Demand'!T:T,MATCH(O1205,'Aub Demand'!A:A,0)),"")</f>
        <v>1026</v>
      </c>
      <c r="K1205" s="25">
        <f>IFERROR(INDEX('Aub Demand'!S:S,MATCH(O1205,'Aub Demand'!A:A,0)),"")</f>
        <v>416</v>
      </c>
      <c r="L1205" s="25">
        <f>IFERROR(INDEX('Aub Demand'!R:R,MATCH(O1205,'Aub Demand'!A:A,0)),"")</f>
        <v>0</v>
      </c>
      <c r="O1205" s="27" t="s">
        <v>1550</v>
      </c>
      <c r="P1205" s="27" t="str">
        <f>IFERROR(INDEX('Aub Demand'!B:B,MATCH($O1205,'Aub Demand'!$A:$A,0)),"")</f>
        <v>ICE WHITE</v>
      </c>
      <c r="Q1205" s="27" t="str">
        <f>IFERROR(INDEX('Aub Demand'!C:C,MATCH($O1205,'Aub Demand'!$A:$A,0)),"")</f>
        <v>ONYX</v>
      </c>
      <c r="R1205" s="52">
        <f>IFERROR(IF(AR1206=AR1205,INDEX('Aub Demand'!K:K,MATCH($O1205,'Aub Demand'!$A:$A,0))-IF(AN1205="",0,AN1205)+AP1206,INDEX('Aub Demand'!K:K,MATCH($O1205,'Aub Demand'!$A:$A,0))-IF(AN1205="",0,AN1205)),"")</f>
        <v>2030</v>
      </c>
      <c r="S1205" s="53">
        <f t="shared" si="504"/>
        <v>8.3000000000000007</v>
      </c>
      <c r="T1205" s="52" t="str">
        <f t="shared" si="505"/>
        <v/>
      </c>
      <c r="U1205" s="52">
        <f>IFERROR(IF(AR1206=AR1205,INDEX('Aub Demand'!Q:Q,MATCH($O1205,'Aub Demand'!$A:$A,0))-IF(AN1205="",0,AN1205)+AP1206,INDEX('Aub Demand'!Q:Q,MATCH($O1205,'Aub Demand'!$A:$A,0))-IF(AN1205="",0,AN1205)),"")</f>
        <v>1414</v>
      </c>
      <c r="V1205" s="53">
        <f t="shared" si="506"/>
        <v>5.7</v>
      </c>
      <c r="W1205" s="52" t="str">
        <f t="shared" si="507"/>
        <v/>
      </c>
      <c r="X1205" s="52">
        <f>IFERROR(IF(AND(AR1206=AR1205,AM1205&lt;&gt;""),INDEX('Aub Demand'!Q:Q,MATCH($O1205,'Aub Demand'!$A:$A,0))-IF(AN1205="",0,AN1205)+AP1206+AD1205+AL1205,IF(AR1206=AR1205,INDEX('Aub Demand'!Q:Q,MATCH($O1205,'Aub Demand'!$A:$A,0))-IF(AN1205="",0,AN1205)+AP1206+AD1205,IF(AM1205&lt;&gt;"",INDEX('Aub Demand'!Q:Q,MATCH($O1205,'Aub Demand'!$A:$A,0))-IF(AN1205="",0,AN1205)+AD1205+AL1205,INDEX('Aub Demand'!Q:Q,MATCH($O1205,'Aub Demand'!$A:$A,0))-IF(AN1205="",0,AN1205)+AD1205))),"")</f>
        <v>1414</v>
      </c>
      <c r="Y1205" s="53">
        <f t="shared" si="508"/>
        <v>5.7</v>
      </c>
      <c r="Z1205" s="52">
        <f>IF(L1205="","",INDEX('Aub Demand'!H:H,MATCH($O1205,'Aub Demand'!$A:$A,0)))</f>
        <v>1054</v>
      </c>
      <c r="AA1205" s="52">
        <f t="shared" si="509"/>
        <v>1373.5</v>
      </c>
      <c r="AB1205" s="52">
        <f>IFERROR(INDEX('Aub Demand'!L:L,MATCH($O1205,'Aub Demand'!$A:$A,0)),"")</f>
        <v>959</v>
      </c>
      <c r="AC1205" s="52">
        <f>IFERROR(IF(O1205="","",SUMIFS('CPL Mats'!F:F,'CPL Mats'!Q:Q,AR1205,'CPL Mats'!S:S,AS1205)),"")</f>
        <v>0</v>
      </c>
      <c r="AF1205" s="25">
        <f>IF(SUMIFS('Supp Consol'!S:S,'Supp Consol'!Y:Y,"Releasable",'Supp Consol'!A:A,O1205)=0,"",SUMIFS('Supp Consol'!S:S,'Supp Consol'!Y:Y,"Releasable",'Supp Consol'!A:A,O1205))</f>
        <v>1626</v>
      </c>
      <c r="AG1205" s="25" t="str">
        <f>IFERROR(INDEX('Hun Demand'!Q:Q,MATCH(O1205,'Hun Demand'!A:A,0)),"")</f>
        <v/>
      </c>
      <c r="AH1205" s="25" t="str">
        <f>IFERROR(INDEX('Hun Demand'!H:H,MATCH($O1205,'Hun Demand'!$A:$A,0)),"")</f>
        <v/>
      </c>
      <c r="AI1205" s="25" t="str">
        <f>IF(SUMIFS('Supp Consol'!AA:AA,'Supp Consol'!Z:Z,"Expires this month",'Supp Consol'!A:A,O1205)=0,"",SUMIFS('Supp Consol'!AA:AA,'Supp Consol'!Z:Z,"Expires this month",'Supp Consol'!A:A,O1205))</f>
        <v/>
      </c>
      <c r="AJ1205" s="25" t="str">
        <f>IF(SUMIFS('Supp Consol'!AA:AA,'Supp Consol'!Z:Z,"Expired Previous Months",'Supp Consol'!A:A,O1205)=0,"",SUMIFS('Supp Consol'!AA:AA,'Supp Consol'!Z:Z,"Expired Previous Months",'Supp Consol'!A:A,O1205))</f>
        <v/>
      </c>
      <c r="AK1205" s="25" t="str">
        <f>IFERROR(INDEX('Hun Release Current'!B:B,MATCH(O1205,'Hun Release Current'!A:A,0)),"")</f>
        <v/>
      </c>
      <c r="AL1205" s="25" t="str">
        <f>IF(SUMIF('Prev Aub'!A:A,O1205,'Prev Aub'!B:B)=0,"",SUMIF('Prev Aub'!A:A,O1205,'Prev Aub'!B:B))</f>
        <v/>
      </c>
      <c r="AN1205" s="25" t="s">
        <v>3790</v>
      </c>
      <c r="AO1205" s="25" t="s">
        <v>3790</v>
      </c>
      <c r="AP1205" s="25">
        <f t="shared" si="510"/>
        <v>0</v>
      </c>
      <c r="AQ1205" s="151" t="str">
        <f>IF(SUMIFS('Supp Consol'!S:S,'Supp Consol'!A:A,O1205,'Supp Consol'!I:I,"PENDING")=0,"",SUMIFS('Supp Consol'!S:S,'Supp Consol'!A:A,O1205,'Supp Consol'!I:I,"PENDING"))</f>
        <v/>
      </c>
      <c r="AR1205" s="27" t="str">
        <f t="shared" si="511"/>
        <v>SW813</v>
      </c>
      <c r="AS1205" s="27" t="str">
        <f t="shared" si="512"/>
        <v>50</v>
      </c>
      <c r="AT1205" s="27" t="str">
        <f t="shared" si="513"/>
        <v/>
      </c>
      <c r="AU1205" s="27" t="str">
        <f t="shared" si="514"/>
        <v/>
      </c>
      <c r="AV1205" s="27" t="str">
        <f t="shared" si="515"/>
        <v/>
      </c>
      <c r="AW1205" s="27" t="str">
        <f t="shared" si="516"/>
        <v/>
      </c>
      <c r="AX1205" s="27" t="str">
        <f t="shared" si="517"/>
        <v>SW813</v>
      </c>
      <c r="AY1205" s="27" t="str">
        <f t="shared" si="518"/>
        <v/>
      </c>
      <c r="AZ1205" s="27" t="str">
        <f t="shared" si="519"/>
        <v>Supp</v>
      </c>
      <c r="BA1205" s="27" t="str">
        <f t="shared" si="520"/>
        <v/>
      </c>
      <c r="BB1205" s="27" t="str">
        <f t="shared" si="521"/>
        <v/>
      </c>
      <c r="BC1205" s="27" t="str">
        <f t="shared" si="522"/>
        <v/>
      </c>
      <c r="BD1205" s="27" t="str">
        <f t="shared" si="523"/>
        <v/>
      </c>
      <c r="BE1205" s="27" t="str">
        <f t="shared" si="524"/>
        <v/>
      </c>
      <c r="BF1205" s="27" t="str">
        <f t="shared" si="525"/>
        <v/>
      </c>
      <c r="BG1205" s="27" t="str">
        <f t="shared" si="526"/>
        <v/>
      </c>
      <c r="BH1205" s="27" t="str">
        <f t="shared" si="527"/>
        <v/>
      </c>
      <c r="BI1205" s="27" t="str">
        <f t="shared" si="528"/>
        <v/>
      </c>
      <c r="BJ1205" s="27" t="str">
        <f t="shared" si="529"/>
        <v>Supp or Hun</v>
      </c>
      <c r="BK1205" s="27" t="str">
        <f t="shared" si="530"/>
        <v/>
      </c>
      <c r="BL1205" s="27" t="str">
        <f t="shared" si="531"/>
        <v/>
      </c>
      <c r="BM1205" s="21" t="s">
        <v>5581</v>
      </c>
    </row>
    <row r="1206" spans="1:65" ht="15">
      <c r="A1206" s="25" t="str">
        <f>IFERROR(INDEX('Hun Demand'!W:W,MATCH(O1206,'Hun Demand'!A:A,0)),"")</f>
        <v/>
      </c>
      <c r="B1206" s="25" t="str">
        <f>IFERROR(INDEX('Hun Demand'!V:V,MATCH(O1206,'Hun Demand'!A:A,0)),"")</f>
        <v/>
      </c>
      <c r="C1206" s="25" t="str">
        <f>IFERROR(INDEX('Hun Demand'!U:U,MATCH(O1206,'Hun Demand'!A:A,0)),"")</f>
        <v/>
      </c>
      <c r="D1206" s="25" t="str">
        <f>IFERROR(INDEX('Hun Demand'!T:T,MATCH(O1206,'Hun Demand'!A:A,0)),"")</f>
        <v/>
      </c>
      <c r="E1206" s="25" t="str">
        <f>IFERROR(INDEX('Hun Demand'!S:S,MATCH(O1206,'Hun Demand'!A:A,0)),"")</f>
        <v/>
      </c>
      <c r="F1206" s="25" t="str">
        <f>IFERROR(INDEX('Hun Demand'!R:R,MATCH(O1206,'Hun Demand'!A:A,0)),"")</f>
        <v/>
      </c>
      <c r="G1206" s="25">
        <f>IFERROR(INDEX('Aub Demand'!W:W,MATCH(O1206,'Aub Demand'!A:A,0)),"")</f>
        <v>353</v>
      </c>
      <c r="H1206" s="25">
        <f>IFERROR(INDEX('Aub Demand'!V:V,MATCH(O1206,'Aub Demand'!A:A,0)),"")</f>
        <v>189</v>
      </c>
      <c r="I1206" s="25">
        <f>IFERROR(INDEX('Aub Demand'!U:U,MATCH(O1206,'Aub Demand'!A:A,0)),"")</f>
        <v>645</v>
      </c>
      <c r="J1206" s="25">
        <f>IFERROR(INDEX('Aub Demand'!T:T,MATCH(O1206,'Aub Demand'!A:A,0)),"")</f>
        <v>378</v>
      </c>
      <c r="K1206" s="25">
        <f>IFERROR(INDEX('Aub Demand'!S:S,MATCH(O1206,'Aub Demand'!A:A,0)),"")</f>
        <v>529</v>
      </c>
      <c r="L1206" s="25">
        <f>IFERROR(INDEX('Aub Demand'!R:R,MATCH(O1206,'Aub Demand'!A:A,0)),"")</f>
        <v>0</v>
      </c>
      <c r="O1206" s="27" t="s">
        <v>1551</v>
      </c>
      <c r="P1206" s="27" t="str">
        <f>IFERROR(INDEX('Aub Demand'!B:B,MATCH($O1206,'Aub Demand'!$A:$A,0)),"")</f>
        <v>ICE WHITE</v>
      </c>
      <c r="Q1206" s="27" t="str">
        <f>IFERROR(INDEX('Aub Demand'!C:C,MATCH($O1206,'Aub Demand'!$A:$A,0)),"")</f>
        <v>ONYX</v>
      </c>
      <c r="R1206" s="52">
        <f>IFERROR(IF(AR1207=AR1206,INDEX('Aub Demand'!K:K,MATCH($O1206,'Aub Demand'!$A:$A,0))-IF(AN1206="",0,AN1206)+AP1207,INDEX('Aub Demand'!K:K,MATCH($O1206,'Aub Demand'!$A:$A,0))-IF(AN1206="",0,AN1206)),"")</f>
        <v>1014</v>
      </c>
      <c r="S1206" s="53">
        <f t="shared" si="504"/>
        <v>8.4</v>
      </c>
      <c r="T1206" s="52" t="str">
        <f t="shared" si="505"/>
        <v/>
      </c>
      <c r="U1206" s="52">
        <f>IFERROR(IF(AR1207=AR1206,INDEX('Aub Demand'!Q:Q,MATCH($O1206,'Aub Demand'!$A:$A,0))-IF(AN1206="",0,AN1206)+AP1207,INDEX('Aub Demand'!Q:Q,MATCH($O1206,'Aub Demand'!$A:$A,0))-IF(AN1206="",0,AN1206)),"")</f>
        <v>731</v>
      </c>
      <c r="V1206" s="53">
        <f t="shared" si="506"/>
        <v>6.1</v>
      </c>
      <c r="W1206" s="52" t="str">
        <f t="shared" si="507"/>
        <v/>
      </c>
      <c r="X1206" s="52">
        <f>IFERROR(IF(AND(AR1207=AR1206,AM1206&lt;&gt;""),INDEX('Aub Demand'!Q:Q,MATCH($O1206,'Aub Demand'!$A:$A,0))-IF(AN1206="",0,AN1206)+AP1207+AD1206+AL1206,IF(AR1207=AR1206,INDEX('Aub Demand'!Q:Q,MATCH($O1206,'Aub Demand'!$A:$A,0))-IF(AN1206="",0,AN1206)+AP1207+AD1206,IF(AM1206&lt;&gt;"",INDEX('Aub Demand'!Q:Q,MATCH($O1206,'Aub Demand'!$A:$A,0))-IF(AN1206="",0,AN1206)+AD1206+AL1206,INDEX('Aub Demand'!Q:Q,MATCH($O1206,'Aub Demand'!$A:$A,0))-IF(AN1206="",0,AN1206)+AD1206))),"")</f>
        <v>731</v>
      </c>
      <c r="Y1206" s="53">
        <f t="shared" si="508"/>
        <v>6.1</v>
      </c>
      <c r="Z1206" s="52">
        <f>IF(L1206="","",INDEX('Aub Demand'!H:H,MATCH($O1206,'Aub Demand'!$A:$A,0)))</f>
        <v>517</v>
      </c>
      <c r="AA1206" s="52">
        <f t="shared" si="509"/>
        <v>587</v>
      </c>
      <c r="AB1206" s="52">
        <f>IFERROR(INDEX('Aub Demand'!L:L,MATCH($O1206,'Aub Demand'!$A:$A,0)),"")</f>
        <v>894</v>
      </c>
      <c r="AC1206" s="52">
        <f>IFERROR(IF(O1206="","",SUMIFS('CPL Mats'!F:F,'CPL Mats'!Q:Q,AR1206,'CPL Mats'!S:S,AS1206)),"")</f>
        <v>0</v>
      </c>
      <c r="AF1206" s="25">
        <f>IF(SUMIFS('Supp Consol'!S:S,'Supp Consol'!Y:Y,"Releasable",'Supp Consol'!A:A,O1206)=0,"",SUMIFS('Supp Consol'!S:S,'Supp Consol'!Y:Y,"Releasable",'Supp Consol'!A:A,O1206))</f>
        <v>1981</v>
      </c>
      <c r="AG1206" s="25" t="str">
        <f>IFERROR(INDEX('Hun Demand'!Q:Q,MATCH(O1206,'Hun Demand'!A:A,0)),"")</f>
        <v/>
      </c>
      <c r="AH1206" s="25" t="str">
        <f>IFERROR(INDEX('Hun Demand'!H:H,MATCH($O1206,'Hun Demand'!$A:$A,0)),"")</f>
        <v/>
      </c>
      <c r="AI1206" s="25" t="str">
        <f>IF(SUMIFS('Supp Consol'!AA:AA,'Supp Consol'!Z:Z,"Expires this month",'Supp Consol'!A:A,O1206)=0,"",SUMIFS('Supp Consol'!AA:AA,'Supp Consol'!Z:Z,"Expires this month",'Supp Consol'!A:A,O1206))</f>
        <v/>
      </c>
      <c r="AJ1206" s="25" t="str">
        <f>IF(SUMIFS('Supp Consol'!AA:AA,'Supp Consol'!Z:Z,"Expired Previous Months",'Supp Consol'!A:A,O1206)=0,"",SUMIFS('Supp Consol'!AA:AA,'Supp Consol'!Z:Z,"Expired Previous Months",'Supp Consol'!A:A,O1206))</f>
        <v/>
      </c>
      <c r="AK1206" s="25" t="str">
        <f>IFERROR(INDEX('Hun Release Current'!B:B,MATCH(O1206,'Hun Release Current'!A:A,0)),"")</f>
        <v/>
      </c>
      <c r="AL1206" s="25" t="str">
        <f>IF(SUMIF('Prev Aub'!A:A,O1206,'Prev Aub'!B:B)=0,"",SUMIF('Prev Aub'!A:A,O1206,'Prev Aub'!B:B))</f>
        <v/>
      </c>
      <c r="AN1206" s="25" t="s">
        <v>3790</v>
      </c>
      <c r="AO1206" s="25" t="s">
        <v>3790</v>
      </c>
      <c r="AP1206" s="25">
        <f t="shared" si="510"/>
        <v>0</v>
      </c>
      <c r="AQ1206" s="151" t="str">
        <f>IF(SUMIFS('Supp Consol'!S:S,'Supp Consol'!A:A,O1206,'Supp Consol'!I:I,"PENDING")=0,"",SUMIFS('Supp Consol'!S:S,'Supp Consol'!A:A,O1206,'Supp Consol'!I:I,"PENDING"))</f>
        <v/>
      </c>
      <c r="AR1206" s="27" t="str">
        <f t="shared" si="511"/>
        <v>SW813</v>
      </c>
      <c r="AS1206" s="27" t="str">
        <f t="shared" si="512"/>
        <v>62</v>
      </c>
      <c r="AT1206" s="27" t="str">
        <f t="shared" si="513"/>
        <v/>
      </c>
      <c r="AU1206" s="27" t="str">
        <f t="shared" si="514"/>
        <v/>
      </c>
      <c r="AV1206" s="27" t="str">
        <f t="shared" si="515"/>
        <v/>
      </c>
      <c r="AW1206" s="27" t="str">
        <f t="shared" si="516"/>
        <v/>
      </c>
      <c r="AX1206" s="27" t="str">
        <f t="shared" si="517"/>
        <v>SW813</v>
      </c>
      <c r="AY1206" s="27" t="str">
        <f t="shared" si="518"/>
        <v/>
      </c>
      <c r="AZ1206" s="27" t="str">
        <f t="shared" si="519"/>
        <v>Supp</v>
      </c>
      <c r="BA1206" s="27" t="str">
        <f t="shared" si="520"/>
        <v/>
      </c>
      <c r="BB1206" s="27" t="str">
        <f t="shared" si="521"/>
        <v/>
      </c>
      <c r="BC1206" s="27" t="str">
        <f t="shared" si="522"/>
        <v/>
      </c>
      <c r="BD1206" s="27" t="str">
        <f t="shared" si="523"/>
        <v/>
      </c>
      <c r="BE1206" s="27" t="str">
        <f t="shared" si="524"/>
        <v/>
      </c>
      <c r="BF1206" s="27" t="str">
        <f t="shared" si="525"/>
        <v/>
      </c>
      <c r="BG1206" s="27" t="str">
        <f t="shared" si="526"/>
        <v/>
      </c>
      <c r="BH1206" s="27" t="str">
        <f t="shared" si="527"/>
        <v/>
      </c>
      <c r="BI1206" s="27" t="str">
        <f t="shared" si="528"/>
        <v/>
      </c>
      <c r="BJ1206" s="27" t="str">
        <f t="shared" si="529"/>
        <v>Supp or Hun</v>
      </c>
      <c r="BK1206" s="27" t="str">
        <f t="shared" si="530"/>
        <v/>
      </c>
      <c r="BL1206" s="27" t="str">
        <f t="shared" si="531"/>
        <v/>
      </c>
      <c r="BM1206" s="21" t="s">
        <v>5581</v>
      </c>
    </row>
    <row r="1207" spans="1:65" ht="15">
      <c r="A1207" s="25" t="str">
        <f>IFERROR(INDEX('Hun Demand'!W:W,MATCH(O1207,'Hun Demand'!A:A,0)),"")</f>
        <v/>
      </c>
      <c r="B1207" s="25" t="str">
        <f>IFERROR(INDEX('Hun Demand'!V:V,MATCH(O1207,'Hun Demand'!A:A,0)),"")</f>
        <v/>
      </c>
      <c r="C1207" s="25" t="str">
        <f>IFERROR(INDEX('Hun Demand'!U:U,MATCH(O1207,'Hun Demand'!A:A,0)),"")</f>
        <v/>
      </c>
      <c r="D1207" s="25" t="str">
        <f>IFERROR(INDEX('Hun Demand'!T:T,MATCH(O1207,'Hun Demand'!A:A,0)),"")</f>
        <v/>
      </c>
      <c r="E1207" s="25" t="str">
        <f>IFERROR(INDEX('Hun Demand'!S:S,MATCH(O1207,'Hun Demand'!A:A,0)),"")</f>
        <v/>
      </c>
      <c r="F1207" s="25" t="str">
        <f>IFERROR(INDEX('Hun Demand'!R:R,MATCH(O1207,'Hun Demand'!A:A,0)),"")</f>
        <v/>
      </c>
      <c r="G1207" s="25">
        <f>IFERROR(INDEX('Aub Demand'!W:W,MATCH(O1207,'Aub Demand'!A:A,0)),"")</f>
        <v>0</v>
      </c>
      <c r="H1207" s="25">
        <f>IFERROR(INDEX('Aub Demand'!V:V,MATCH(O1207,'Aub Demand'!A:A,0)),"")</f>
        <v>0</v>
      </c>
      <c r="I1207" s="25">
        <f>IFERROR(INDEX('Aub Demand'!U:U,MATCH(O1207,'Aub Demand'!A:A,0)),"")</f>
        <v>0</v>
      </c>
      <c r="J1207" s="25">
        <f>IFERROR(INDEX('Aub Demand'!T:T,MATCH(O1207,'Aub Demand'!A:A,0)),"")</f>
        <v>0</v>
      </c>
      <c r="K1207" s="25">
        <f>IFERROR(INDEX('Aub Demand'!S:S,MATCH(O1207,'Aub Demand'!A:A,0)),"")</f>
        <v>0</v>
      </c>
      <c r="L1207" s="25">
        <f>IFERROR(INDEX('Aub Demand'!R:R,MATCH(O1207,'Aub Demand'!A:A,0)),"")</f>
        <v>0</v>
      </c>
      <c r="O1207" s="27" t="s">
        <v>1552</v>
      </c>
      <c r="P1207" s="27" t="str">
        <f>IFERROR(INDEX('Aub Demand'!B:B,MATCH($O1207,'Aub Demand'!$A:$A,0)),"")</f>
        <v>SUBURBIA WHITE II</v>
      </c>
      <c r="Q1207" s="27" t="str">
        <f>IFERROR(INDEX('Aub Demand'!C:C,MATCH($O1207,'Aub Demand'!$A:$A,0)),"")</f>
        <v>ONYX</v>
      </c>
      <c r="R1207" s="52">
        <f>IFERROR(IF(AR1208=AR1207,INDEX('Aub Demand'!K:K,MATCH($O1207,'Aub Demand'!$A:$A,0))-IF(AN1207="",0,AN1207)+AP1208,INDEX('Aub Demand'!K:K,MATCH($O1207,'Aub Demand'!$A:$A,0))-IF(AN1207="",0,AN1207)),"")</f>
        <v>1629</v>
      </c>
      <c r="S1207" s="53" t="str">
        <f t="shared" si="504"/>
        <v>n/a</v>
      </c>
      <c r="T1207" s="52" t="str">
        <f t="shared" si="505"/>
        <v/>
      </c>
      <c r="U1207" s="52">
        <f>IFERROR(IF(AR1208=AR1207,INDEX('Aub Demand'!Q:Q,MATCH($O1207,'Aub Demand'!$A:$A,0))-IF(AN1207="",0,AN1207)+AP1208,INDEX('Aub Demand'!Q:Q,MATCH($O1207,'Aub Demand'!$A:$A,0))-IF(AN1207="",0,AN1207)),"")</f>
        <v>1629</v>
      </c>
      <c r="V1207" s="53" t="str">
        <f t="shared" si="506"/>
        <v>n/a</v>
      </c>
      <c r="W1207" s="52" t="str">
        <f t="shared" si="507"/>
        <v/>
      </c>
      <c r="X1207" s="52">
        <f>IFERROR(IF(AND(AR1208=AR1207,AM1207&lt;&gt;""),INDEX('Aub Demand'!Q:Q,MATCH($O1207,'Aub Demand'!$A:$A,0))-IF(AN1207="",0,AN1207)+AP1208+AD1207+AL1207,IF(AR1208=AR1207,INDEX('Aub Demand'!Q:Q,MATCH($O1207,'Aub Demand'!$A:$A,0))-IF(AN1207="",0,AN1207)+AP1208+AD1207,IF(AM1207&lt;&gt;"",INDEX('Aub Demand'!Q:Q,MATCH($O1207,'Aub Demand'!$A:$A,0))-IF(AN1207="",0,AN1207)+AD1207+AL1207,INDEX('Aub Demand'!Q:Q,MATCH($O1207,'Aub Demand'!$A:$A,0))-IF(AN1207="",0,AN1207)+AD1207))),"")</f>
        <v>1629</v>
      </c>
      <c r="Y1207" s="53" t="str">
        <f t="shared" si="508"/>
        <v>n/a</v>
      </c>
      <c r="Z1207" s="52">
        <f>IF(L1207="","",INDEX('Aub Demand'!H:H,MATCH($O1207,'Aub Demand'!$A:$A,0)))</f>
        <v>0</v>
      </c>
      <c r="AA1207" s="52" t="str">
        <f t="shared" si="509"/>
        <v>-spike-</v>
      </c>
      <c r="AB1207" s="52">
        <f>IFERROR(INDEX('Aub Demand'!L:L,MATCH($O1207,'Aub Demand'!$A:$A,0)),"")</f>
        <v>0</v>
      </c>
      <c r="AC1207" s="52">
        <f>IFERROR(IF(O1207="","",SUMIFS('CPL Mats'!F:F,'CPL Mats'!Q:Q,AR1207,'CPL Mats'!S:S,AS1207)),"")</f>
        <v>0</v>
      </c>
      <c r="AF1207" s="25" t="str">
        <f>IF(SUMIFS('Supp Consol'!S:S,'Supp Consol'!Y:Y,"Releasable",'Supp Consol'!A:A,O1207)=0,"",SUMIFS('Supp Consol'!S:S,'Supp Consol'!Y:Y,"Releasable",'Supp Consol'!A:A,O1207))</f>
        <v/>
      </c>
      <c r="AG1207" s="25" t="str">
        <f>IFERROR(INDEX('Hun Demand'!Q:Q,MATCH(O1207,'Hun Demand'!A:A,0)),"")</f>
        <v/>
      </c>
      <c r="AH1207" s="25" t="str">
        <f>IFERROR(INDEX('Hun Demand'!H:H,MATCH($O1207,'Hun Demand'!$A:$A,0)),"")</f>
        <v/>
      </c>
      <c r="AI1207" s="25" t="str">
        <f>IF(SUMIFS('Supp Consol'!AA:AA,'Supp Consol'!Z:Z,"Expires this month",'Supp Consol'!A:A,O1207)=0,"",SUMIFS('Supp Consol'!AA:AA,'Supp Consol'!Z:Z,"Expires this month",'Supp Consol'!A:A,O1207))</f>
        <v/>
      </c>
      <c r="AJ1207" s="25" t="str">
        <f>IF(SUMIFS('Supp Consol'!AA:AA,'Supp Consol'!Z:Z,"Expired Previous Months",'Supp Consol'!A:A,O1207)=0,"",SUMIFS('Supp Consol'!AA:AA,'Supp Consol'!Z:Z,"Expired Previous Months",'Supp Consol'!A:A,O1207))</f>
        <v/>
      </c>
      <c r="AK1207" s="25" t="str">
        <f>IFERROR(INDEX('Hun Release Current'!B:B,MATCH(O1207,'Hun Release Current'!A:A,0)),"")</f>
        <v/>
      </c>
      <c r="AL1207" s="25" t="str">
        <f>IF(SUMIF('Prev Aub'!A:A,O1207,'Prev Aub'!B:B)=0,"",SUMIF('Prev Aub'!A:A,O1207,'Prev Aub'!B:B))</f>
        <v/>
      </c>
      <c r="AN1207" s="25" t="s">
        <v>3790</v>
      </c>
      <c r="AO1207" s="25" t="s">
        <v>3790</v>
      </c>
      <c r="AP1207" s="25">
        <f t="shared" si="510"/>
        <v>0</v>
      </c>
      <c r="AQ1207" s="151" t="str">
        <f>IF(SUMIFS('Supp Consol'!S:S,'Supp Consol'!A:A,O1207,'Supp Consol'!I:I,"PENDING")=0,"",SUMIFS('Supp Consol'!S:S,'Supp Consol'!A:A,O1207,'Supp Consol'!I:I,"PENDING"))</f>
        <v/>
      </c>
      <c r="AR1207" s="27" t="str">
        <f t="shared" si="511"/>
        <v>SW822</v>
      </c>
      <c r="AS1207" s="27" t="str">
        <f t="shared" si="512"/>
        <v>50</v>
      </c>
      <c r="AT1207" s="27" t="str">
        <f t="shared" si="513"/>
        <v/>
      </c>
      <c r="AU1207" s="27" t="str">
        <f t="shared" si="514"/>
        <v/>
      </c>
      <c r="AV1207" s="27" t="str">
        <f t="shared" si="515"/>
        <v/>
      </c>
      <c r="AW1207" s="27" t="str">
        <f t="shared" si="516"/>
        <v/>
      </c>
      <c r="AX1207" s="27" t="str">
        <f t="shared" si="517"/>
        <v/>
      </c>
      <c r="AY1207" s="27" t="str">
        <f t="shared" si="518"/>
        <v/>
      </c>
      <c r="AZ1207" s="27" t="str">
        <f t="shared" si="519"/>
        <v/>
      </c>
      <c r="BA1207" s="27" t="str">
        <f t="shared" si="520"/>
        <v/>
      </c>
      <c r="BB1207" s="27" t="str">
        <f t="shared" si="521"/>
        <v/>
      </c>
      <c r="BC1207" s="27" t="str">
        <f t="shared" si="522"/>
        <v/>
      </c>
      <c r="BD1207" s="27" t="str">
        <f t="shared" si="523"/>
        <v/>
      </c>
      <c r="BE1207" s="27" t="str">
        <f t="shared" si="524"/>
        <v/>
      </c>
      <c r="BF1207" s="27" t="str">
        <f t="shared" si="525"/>
        <v/>
      </c>
      <c r="BG1207" s="27" t="str">
        <f t="shared" si="526"/>
        <v/>
      </c>
      <c r="BH1207" s="27" t="str">
        <f t="shared" si="527"/>
        <v/>
      </c>
      <c r="BI1207" s="27" t="str">
        <f t="shared" si="528"/>
        <v/>
      </c>
      <c r="BJ1207" s="27" t="str">
        <f t="shared" si="529"/>
        <v/>
      </c>
      <c r="BK1207" s="27" t="str">
        <f t="shared" si="530"/>
        <v/>
      </c>
      <c r="BL1207" s="27" t="str">
        <f t="shared" si="531"/>
        <v/>
      </c>
      <c r="BM1207" s="21" t="s">
        <v>5582</v>
      </c>
    </row>
    <row r="1208" spans="1:65" ht="15">
      <c r="A1208" s="25" t="str">
        <f>IFERROR(INDEX('Hun Demand'!W:W,MATCH(O1208,'Hun Demand'!A:A,0)),"")</f>
        <v/>
      </c>
      <c r="B1208" s="25" t="str">
        <f>IFERROR(INDEX('Hun Demand'!V:V,MATCH(O1208,'Hun Demand'!A:A,0)),"")</f>
        <v/>
      </c>
      <c r="C1208" s="25" t="str">
        <f>IFERROR(INDEX('Hun Demand'!U:U,MATCH(O1208,'Hun Demand'!A:A,0)),"")</f>
        <v/>
      </c>
      <c r="D1208" s="25" t="str">
        <f>IFERROR(INDEX('Hun Demand'!T:T,MATCH(O1208,'Hun Demand'!A:A,0)),"")</f>
        <v/>
      </c>
      <c r="E1208" s="25" t="str">
        <f>IFERROR(INDEX('Hun Demand'!S:S,MATCH(O1208,'Hun Demand'!A:A,0)),"")</f>
        <v/>
      </c>
      <c r="F1208" s="25" t="str">
        <f>IFERROR(INDEX('Hun Demand'!R:R,MATCH(O1208,'Hun Demand'!A:A,0)),"")</f>
        <v/>
      </c>
      <c r="G1208" s="25">
        <f>IFERROR(INDEX('Aub Demand'!W:W,MATCH(O1208,'Aub Demand'!A:A,0)),"")</f>
        <v>0</v>
      </c>
      <c r="H1208" s="25">
        <f>IFERROR(INDEX('Aub Demand'!V:V,MATCH(O1208,'Aub Demand'!A:A,0)),"")</f>
        <v>0</v>
      </c>
      <c r="I1208" s="25">
        <f>IFERROR(INDEX('Aub Demand'!U:U,MATCH(O1208,'Aub Demand'!A:A,0)),"")</f>
        <v>0</v>
      </c>
      <c r="J1208" s="25">
        <f>IFERROR(INDEX('Aub Demand'!T:T,MATCH(O1208,'Aub Demand'!A:A,0)),"")</f>
        <v>0</v>
      </c>
      <c r="K1208" s="25">
        <f>IFERROR(INDEX('Aub Demand'!S:S,MATCH(O1208,'Aub Demand'!A:A,0)),"")</f>
        <v>0</v>
      </c>
      <c r="L1208" s="25">
        <f>IFERROR(INDEX('Aub Demand'!R:R,MATCH(O1208,'Aub Demand'!A:A,0)),"")</f>
        <v>0</v>
      </c>
      <c r="O1208" s="27" t="s">
        <v>1555</v>
      </c>
      <c r="P1208" s="27" t="str">
        <f>IFERROR(INDEX('Aub Demand'!B:B,MATCH($O1208,'Aub Demand'!$A:$A,0)),"")</f>
        <v>ANGEL WHITE</v>
      </c>
      <c r="Q1208" s="27" t="str">
        <f>IFERROR(INDEX('Aub Demand'!C:C,MATCH($O1208,'Aub Demand'!$A:$A,0)),"")</f>
        <v>ONYX</v>
      </c>
      <c r="R1208" s="52">
        <f>IFERROR(IF(AR1209=AR1208,INDEX('Aub Demand'!K:K,MATCH($O1208,'Aub Demand'!$A:$A,0))-IF(AN1208="",0,AN1208)+AP1209,INDEX('Aub Demand'!K:K,MATCH($O1208,'Aub Demand'!$A:$A,0))-IF(AN1208="",0,AN1208)),"")</f>
        <v>21</v>
      </c>
      <c r="S1208" s="53" t="str">
        <f t="shared" si="504"/>
        <v>n/a</v>
      </c>
      <c r="T1208" s="52" t="str">
        <f t="shared" si="505"/>
        <v/>
      </c>
      <c r="U1208" s="52">
        <f>IFERROR(IF(AR1209=AR1208,INDEX('Aub Demand'!Q:Q,MATCH($O1208,'Aub Demand'!$A:$A,0))-IF(AN1208="",0,AN1208)+AP1209,INDEX('Aub Demand'!Q:Q,MATCH($O1208,'Aub Demand'!$A:$A,0))-IF(AN1208="",0,AN1208)),"")</f>
        <v>21</v>
      </c>
      <c r="V1208" s="53" t="str">
        <f t="shared" si="506"/>
        <v>n/a</v>
      </c>
      <c r="W1208" s="52" t="str">
        <f t="shared" si="507"/>
        <v/>
      </c>
      <c r="X1208" s="52">
        <f>IFERROR(IF(AND(AR1209=AR1208,AM1208&lt;&gt;""),INDEX('Aub Demand'!Q:Q,MATCH($O1208,'Aub Demand'!$A:$A,0))-IF(AN1208="",0,AN1208)+AP1209+AD1208+AL1208,IF(AR1209=AR1208,INDEX('Aub Demand'!Q:Q,MATCH($O1208,'Aub Demand'!$A:$A,0))-IF(AN1208="",0,AN1208)+AP1209+AD1208,IF(AM1208&lt;&gt;"",INDEX('Aub Demand'!Q:Q,MATCH($O1208,'Aub Demand'!$A:$A,0))-IF(AN1208="",0,AN1208)+AD1208+AL1208,INDEX('Aub Demand'!Q:Q,MATCH($O1208,'Aub Demand'!$A:$A,0))-IF(AN1208="",0,AN1208)+AD1208))),"")</f>
        <v>21</v>
      </c>
      <c r="Y1208" s="53" t="str">
        <f t="shared" si="508"/>
        <v>n/a</v>
      </c>
      <c r="Z1208" s="52">
        <f>IF(L1208="","",INDEX('Aub Demand'!H:H,MATCH($O1208,'Aub Demand'!$A:$A,0)))</f>
        <v>0</v>
      </c>
      <c r="AA1208" s="52" t="str">
        <f t="shared" si="509"/>
        <v>-spike-</v>
      </c>
      <c r="AB1208" s="52">
        <f>IFERROR(INDEX('Aub Demand'!L:L,MATCH($O1208,'Aub Demand'!$A:$A,0)),"")</f>
        <v>0</v>
      </c>
      <c r="AC1208" s="52">
        <f>IFERROR(IF(O1208="","",SUMIFS('CPL Mats'!F:F,'CPL Mats'!Q:Q,AR1208,'CPL Mats'!S:S,AS1208)),"")</f>
        <v>0</v>
      </c>
      <c r="AF1208" s="25" t="str">
        <f>IF(SUMIFS('Supp Consol'!S:S,'Supp Consol'!Y:Y,"Releasable",'Supp Consol'!A:A,O1208)=0,"",SUMIFS('Supp Consol'!S:S,'Supp Consol'!Y:Y,"Releasable",'Supp Consol'!A:A,O1208))</f>
        <v/>
      </c>
      <c r="AG1208" s="25" t="str">
        <f>IFERROR(INDEX('Hun Demand'!Q:Q,MATCH(O1208,'Hun Demand'!A:A,0)),"")</f>
        <v/>
      </c>
      <c r="AH1208" s="25" t="str">
        <f>IFERROR(INDEX('Hun Demand'!H:H,MATCH($O1208,'Hun Demand'!$A:$A,0)),"")</f>
        <v/>
      </c>
      <c r="AI1208" s="25" t="str">
        <f>IF(SUMIFS('Supp Consol'!AA:AA,'Supp Consol'!Z:Z,"Expires this month",'Supp Consol'!A:A,O1208)=0,"",SUMIFS('Supp Consol'!AA:AA,'Supp Consol'!Z:Z,"Expires this month",'Supp Consol'!A:A,O1208))</f>
        <v/>
      </c>
      <c r="AJ1208" s="25" t="str">
        <f>IF(SUMIFS('Supp Consol'!AA:AA,'Supp Consol'!Z:Z,"Expired Previous Months",'Supp Consol'!A:A,O1208)=0,"",SUMIFS('Supp Consol'!AA:AA,'Supp Consol'!Z:Z,"Expired Previous Months",'Supp Consol'!A:A,O1208))</f>
        <v/>
      </c>
      <c r="AK1208" s="25" t="str">
        <f>IFERROR(INDEX('Hun Release Current'!B:B,MATCH(O1208,'Hun Release Current'!A:A,0)),"")</f>
        <v/>
      </c>
      <c r="AL1208" s="25" t="str">
        <f>IF(SUMIF('Prev Aub'!A:A,O1208,'Prev Aub'!B:B)=0,"",SUMIF('Prev Aub'!A:A,O1208,'Prev Aub'!B:B))</f>
        <v/>
      </c>
      <c r="AN1208" s="25" t="s">
        <v>3790</v>
      </c>
      <c r="AO1208" s="25" t="s">
        <v>3790</v>
      </c>
      <c r="AP1208" s="25">
        <f t="shared" si="510"/>
        <v>0</v>
      </c>
      <c r="AQ1208" s="151" t="str">
        <f>IF(SUMIFS('Supp Consol'!S:S,'Supp Consol'!A:A,O1208,'Supp Consol'!I:I,"PENDING")=0,"",SUMIFS('Supp Consol'!S:S,'Supp Consol'!A:A,O1208,'Supp Consol'!I:I,"PENDING"))</f>
        <v/>
      </c>
      <c r="AR1208" s="27" t="str">
        <f t="shared" si="511"/>
        <v>SW826</v>
      </c>
      <c r="AS1208" s="27" t="str">
        <f t="shared" si="512"/>
        <v>37</v>
      </c>
      <c r="AT1208" s="27" t="str">
        <f t="shared" si="513"/>
        <v/>
      </c>
      <c r="AU1208" s="27" t="str">
        <f t="shared" si="514"/>
        <v/>
      </c>
      <c r="AV1208" s="27" t="str">
        <f t="shared" si="515"/>
        <v/>
      </c>
      <c r="AW1208" s="27" t="str">
        <f t="shared" si="516"/>
        <v/>
      </c>
      <c r="AX1208" s="27" t="str">
        <f t="shared" si="517"/>
        <v/>
      </c>
      <c r="AY1208" s="27" t="str">
        <f t="shared" si="518"/>
        <v/>
      </c>
      <c r="AZ1208" s="27" t="str">
        <f t="shared" si="519"/>
        <v>Supp</v>
      </c>
      <c r="BA1208" s="27" t="str">
        <f t="shared" si="520"/>
        <v>Hun</v>
      </c>
      <c r="BB1208" s="27" t="str">
        <f t="shared" si="521"/>
        <v>Gross</v>
      </c>
      <c r="BC1208" s="27" t="str">
        <f t="shared" si="522"/>
        <v>Net</v>
      </c>
      <c r="BD1208" s="27" t="str">
        <f t="shared" si="523"/>
        <v>Net</v>
      </c>
      <c r="BE1208" s="27" t="str">
        <f t="shared" si="524"/>
        <v>Exp</v>
      </c>
      <c r="BF1208" s="27" t="str">
        <f t="shared" si="525"/>
        <v>S+N</v>
      </c>
      <c r="BG1208" s="27" t="str">
        <f t="shared" si="526"/>
        <v>S+NorE</v>
      </c>
      <c r="BH1208" s="27" t="str">
        <f t="shared" si="527"/>
        <v>H+N</v>
      </c>
      <c r="BI1208" s="27" t="str">
        <f t="shared" si="528"/>
        <v>H+Nex</v>
      </c>
      <c r="BJ1208" s="27" t="str">
        <f t="shared" si="529"/>
        <v>Supp or Hun</v>
      </c>
      <c r="BK1208" s="27" t="str">
        <f t="shared" si="530"/>
        <v>Supp or Hun Need</v>
      </c>
      <c r="BL1208" s="27" t="str">
        <f t="shared" si="531"/>
        <v>SorHandNandE</v>
      </c>
      <c r="BM1208" s="21" t="s">
        <v>5581</v>
      </c>
    </row>
    <row r="1209" spans="1:65" ht="15">
      <c r="A1209" s="25" t="str">
        <f>IFERROR(INDEX('Hun Demand'!W:W,MATCH(O1209,'Hun Demand'!A:A,0)),"")</f>
        <v/>
      </c>
      <c r="B1209" s="25" t="str">
        <f>IFERROR(INDEX('Hun Demand'!V:V,MATCH(O1209,'Hun Demand'!A:A,0)),"")</f>
        <v/>
      </c>
      <c r="C1209" s="25" t="str">
        <f>IFERROR(INDEX('Hun Demand'!U:U,MATCH(O1209,'Hun Demand'!A:A,0)),"")</f>
        <v/>
      </c>
      <c r="D1209" s="25" t="str">
        <f>IFERROR(INDEX('Hun Demand'!T:T,MATCH(O1209,'Hun Demand'!A:A,0)),"")</f>
        <v/>
      </c>
      <c r="E1209" s="25" t="str">
        <f>IFERROR(INDEX('Hun Demand'!S:S,MATCH(O1209,'Hun Demand'!A:A,0)),"")</f>
        <v/>
      </c>
      <c r="F1209" s="25" t="str">
        <f>IFERROR(INDEX('Hun Demand'!R:R,MATCH(O1209,'Hun Demand'!A:A,0)),"")</f>
        <v/>
      </c>
      <c r="G1209" s="25">
        <f>IFERROR(INDEX('Aub Demand'!W:W,MATCH(O1209,'Aub Demand'!A:A,0)),"")</f>
        <v>554</v>
      </c>
      <c r="H1209" s="25">
        <f>IFERROR(INDEX('Aub Demand'!V:V,MATCH(O1209,'Aub Demand'!A:A,0)),"")</f>
        <v>462</v>
      </c>
      <c r="I1209" s="25">
        <f>IFERROR(INDEX('Aub Demand'!U:U,MATCH(O1209,'Aub Demand'!A:A,0)),"")</f>
        <v>712</v>
      </c>
      <c r="J1209" s="25">
        <f>IFERROR(INDEX('Aub Demand'!T:T,MATCH(O1209,'Aub Demand'!A:A,0)),"")</f>
        <v>968</v>
      </c>
      <c r="K1209" s="25">
        <f>IFERROR(INDEX('Aub Demand'!S:S,MATCH(O1209,'Aub Demand'!A:A,0)),"")</f>
        <v>431</v>
      </c>
      <c r="L1209" s="25">
        <f>IFERROR(INDEX('Aub Demand'!R:R,MATCH(O1209,'Aub Demand'!A:A,0)),"")</f>
        <v>0</v>
      </c>
      <c r="O1209" s="27" t="s">
        <v>1557</v>
      </c>
      <c r="P1209" s="27" t="str">
        <f>IFERROR(INDEX('Aub Demand'!B:B,MATCH($O1209,'Aub Demand'!$A:$A,0)),"")</f>
        <v>ANGEL WHITE</v>
      </c>
      <c r="Q1209" s="27" t="str">
        <f>IFERROR(INDEX('Aub Demand'!C:C,MATCH($O1209,'Aub Demand'!$A:$A,0)),"")</f>
        <v>PANOL</v>
      </c>
      <c r="R1209" s="52">
        <f>IFERROR(IF(AR1210=AR1209,INDEX('Aub Demand'!K:K,MATCH($O1209,'Aub Demand'!$A:$A,0))-IF(AN1209="",0,AN1209)+AP1210,INDEX('Aub Demand'!K:K,MATCH($O1209,'Aub Demand'!$A:$A,0))-IF(AN1209="",0,AN1209)),"")</f>
        <v>992</v>
      </c>
      <c r="S1209" s="53">
        <f t="shared" si="504"/>
        <v>6</v>
      </c>
      <c r="T1209" s="52" t="str">
        <f t="shared" si="505"/>
        <v/>
      </c>
      <c r="U1209" s="52">
        <f>IFERROR(IF(AR1210=AR1209,INDEX('Aub Demand'!Q:Q,MATCH($O1209,'Aub Demand'!$A:$A,0))-IF(AN1209="",0,AN1209)+AP1210,INDEX('Aub Demand'!Q:Q,MATCH($O1209,'Aub Demand'!$A:$A,0))-IF(AN1209="",0,AN1209)),"")</f>
        <v>313</v>
      </c>
      <c r="V1209" s="53">
        <f t="shared" si="506"/>
        <v>1.9</v>
      </c>
      <c r="W1209" s="52">
        <f t="shared" si="507"/>
        <v>231.00000000000003</v>
      </c>
      <c r="X1209" s="52">
        <f>IFERROR(IF(AND(AR1210=AR1209,AM1209&lt;&gt;""),INDEX('Aub Demand'!Q:Q,MATCH($O1209,'Aub Demand'!$A:$A,0))-IF(AN1209="",0,AN1209)+AP1210+AD1209+AL1209,IF(AR1210=AR1209,INDEX('Aub Demand'!Q:Q,MATCH($O1209,'Aub Demand'!$A:$A,0))-IF(AN1209="",0,AN1209)+AP1210+AD1209,IF(AM1209&lt;&gt;"",INDEX('Aub Demand'!Q:Q,MATCH($O1209,'Aub Demand'!$A:$A,0))-IF(AN1209="",0,AN1209)+AD1209+AL1209,INDEX('Aub Demand'!Q:Q,MATCH($O1209,'Aub Demand'!$A:$A,0))-IF(AN1209="",0,AN1209)+AD1209))),"")</f>
        <v>813</v>
      </c>
      <c r="Y1209" s="53">
        <f t="shared" si="508"/>
        <v>4.9000000000000004</v>
      </c>
      <c r="Z1209" s="52">
        <f>IF(L1209="","",INDEX('Aub Demand'!H:H,MATCH($O1209,'Aub Demand'!$A:$A,0)))</f>
        <v>704</v>
      </c>
      <c r="AA1209" s="52">
        <f t="shared" si="509"/>
        <v>840</v>
      </c>
      <c r="AB1209" s="52">
        <f>IFERROR(INDEX('Aub Demand'!L:L,MATCH($O1209,'Aub Demand'!$A:$A,0)),"")</f>
        <v>750</v>
      </c>
      <c r="AC1209" s="52">
        <f>IFERROR(IF(O1209="","",SUMIFS('CPL Mats'!F:F,'CPL Mats'!Q:Q,AR1209,'CPL Mats'!S:S,AS1209)),"")</f>
        <v>0</v>
      </c>
      <c r="AF1209" s="25">
        <f>IF(SUMIFS('Supp Consol'!S:S,'Supp Consol'!Y:Y,"Releasable",'Supp Consol'!A:A,O1209)=0,"",SUMIFS('Supp Consol'!S:S,'Supp Consol'!Y:Y,"Releasable",'Supp Consol'!A:A,O1209))</f>
        <v>3441</v>
      </c>
      <c r="AG1209" s="25" t="str">
        <f>IFERROR(INDEX('Hun Demand'!Q:Q,MATCH(O1209,'Hun Demand'!A:A,0)),"")</f>
        <v/>
      </c>
      <c r="AH1209" s="25" t="str">
        <f>IFERROR(INDEX('Hun Demand'!H:H,MATCH($O1209,'Hun Demand'!$A:$A,0)),"")</f>
        <v/>
      </c>
      <c r="AI1209" s="25">
        <f>IF(SUMIFS('Supp Consol'!AA:AA,'Supp Consol'!Z:Z,"Expires this month",'Supp Consol'!A:A,O1209)=0,"",SUMIFS('Supp Consol'!AA:AA,'Supp Consol'!Z:Z,"Expires this month",'Supp Consol'!A:A,O1209))</f>
        <v>3417</v>
      </c>
      <c r="AJ1209" s="25" t="str">
        <f>IF(SUMIFS('Supp Consol'!AA:AA,'Supp Consol'!Z:Z,"Expired Previous Months",'Supp Consol'!A:A,O1209)=0,"",SUMIFS('Supp Consol'!AA:AA,'Supp Consol'!Z:Z,"Expired Previous Months",'Supp Consol'!A:A,O1209))</f>
        <v/>
      </c>
      <c r="AK1209" s="25" t="str">
        <f>IFERROR(INDEX('Hun Release Current'!B:B,MATCH(O1209,'Hun Release Current'!A:A,0)),"")</f>
        <v/>
      </c>
      <c r="AL1209" s="25">
        <f>IF(SUMIF('Prev Aub'!A:A,O1209,'Prev Aub'!B:B)=0,"",SUMIF('Prev Aub'!A:A,O1209,'Prev Aub'!B:B))</f>
        <v>500</v>
      </c>
      <c r="AM1209" s="52" t="s">
        <v>3891</v>
      </c>
      <c r="AN1209" s="25" t="s">
        <v>3790</v>
      </c>
      <c r="AO1209" s="25" t="s">
        <v>3790</v>
      </c>
      <c r="AP1209" s="25">
        <f t="shared" si="510"/>
        <v>0</v>
      </c>
      <c r="AQ1209" s="151" t="str">
        <f>IF(SUMIFS('Supp Consol'!S:S,'Supp Consol'!A:A,O1209,'Supp Consol'!I:I,"PENDING")=0,"",SUMIFS('Supp Consol'!S:S,'Supp Consol'!A:A,O1209,'Supp Consol'!I:I,"PENDING"))</f>
        <v/>
      </c>
      <c r="AR1209" s="27" t="str">
        <f t="shared" si="511"/>
        <v>SW826</v>
      </c>
      <c r="AS1209" s="27" t="str">
        <f t="shared" si="512"/>
        <v>50</v>
      </c>
      <c r="AT1209" s="27" t="str">
        <f t="shared" si="513"/>
        <v/>
      </c>
      <c r="AU1209" s="27" t="str">
        <f t="shared" si="514"/>
        <v/>
      </c>
      <c r="AV1209" s="27" t="str">
        <f t="shared" si="515"/>
        <v/>
      </c>
      <c r="AW1209" s="27" t="str">
        <f t="shared" si="516"/>
        <v>SW826</v>
      </c>
      <c r="AX1209" s="27" t="str">
        <f t="shared" si="517"/>
        <v>SW826</v>
      </c>
      <c r="AY1209" s="27" t="str">
        <f t="shared" si="518"/>
        <v/>
      </c>
      <c r="AZ1209" s="27" t="str">
        <f t="shared" si="519"/>
        <v>Supp</v>
      </c>
      <c r="BA1209" s="27" t="str">
        <f t="shared" si="520"/>
        <v>Hun</v>
      </c>
      <c r="BB1209" s="27" t="str">
        <f t="shared" si="521"/>
        <v>Gross</v>
      </c>
      <c r="BC1209" s="27" t="str">
        <f t="shared" si="522"/>
        <v>Net</v>
      </c>
      <c r="BD1209" s="27" t="str">
        <f t="shared" si="523"/>
        <v>Net</v>
      </c>
      <c r="BE1209" s="27" t="str">
        <f t="shared" si="524"/>
        <v>Exp</v>
      </c>
      <c r="BF1209" s="27" t="str">
        <f t="shared" si="525"/>
        <v>S+N</v>
      </c>
      <c r="BG1209" s="27" t="str">
        <f t="shared" si="526"/>
        <v>S+NorE</v>
      </c>
      <c r="BH1209" s="27" t="str">
        <f t="shared" si="527"/>
        <v>H+N</v>
      </c>
      <c r="BI1209" s="27" t="str">
        <f t="shared" si="528"/>
        <v>H+Nex</v>
      </c>
      <c r="BJ1209" s="27" t="str">
        <f t="shared" si="529"/>
        <v>Supp or Hun</v>
      </c>
      <c r="BK1209" s="27" t="str">
        <f t="shared" si="530"/>
        <v>Supp or Hun Need</v>
      </c>
      <c r="BL1209" s="27" t="str">
        <f t="shared" si="531"/>
        <v>SorHandNandE</v>
      </c>
      <c r="BM1209" s="21" t="s">
        <v>5581</v>
      </c>
    </row>
    <row r="1210" spans="1:65" ht="15">
      <c r="A1210" s="25">
        <f>IFERROR(INDEX('Hun Demand'!W:W,MATCH(O1210,'Hun Demand'!A:A,0)),"")</f>
        <v>0</v>
      </c>
      <c r="B1210" s="25">
        <f>IFERROR(INDEX('Hun Demand'!V:V,MATCH(O1210,'Hun Demand'!A:A,0)),"")</f>
        <v>0</v>
      </c>
      <c r="C1210" s="25">
        <f>IFERROR(INDEX('Hun Demand'!U:U,MATCH(O1210,'Hun Demand'!A:A,0)),"")</f>
        <v>0</v>
      </c>
      <c r="D1210" s="25">
        <f>IFERROR(INDEX('Hun Demand'!T:T,MATCH(O1210,'Hun Demand'!A:A,0)),"")</f>
        <v>0</v>
      </c>
      <c r="E1210" s="25">
        <f>IFERROR(INDEX('Hun Demand'!S:S,MATCH(O1210,'Hun Demand'!A:A,0)),"")</f>
        <v>0</v>
      </c>
      <c r="F1210" s="25">
        <f>IFERROR(INDEX('Hun Demand'!R:R,MATCH(O1210,'Hun Demand'!A:A,0)),"")</f>
        <v>0</v>
      </c>
      <c r="G1210" s="25">
        <f>IFERROR(INDEX('Aub Demand'!W:W,MATCH(O1210,'Aub Demand'!A:A,0)),"")</f>
        <v>346</v>
      </c>
      <c r="H1210" s="25">
        <f>IFERROR(INDEX('Aub Demand'!V:V,MATCH(O1210,'Aub Demand'!A:A,0)),"")</f>
        <v>551</v>
      </c>
      <c r="I1210" s="25">
        <f>IFERROR(INDEX('Aub Demand'!U:U,MATCH(O1210,'Aub Demand'!A:A,0)),"")</f>
        <v>530</v>
      </c>
      <c r="J1210" s="25">
        <f>IFERROR(INDEX('Aub Demand'!T:T,MATCH(O1210,'Aub Demand'!A:A,0)),"")</f>
        <v>549</v>
      </c>
      <c r="K1210" s="25">
        <f>IFERROR(INDEX('Aub Demand'!S:S,MATCH(O1210,'Aub Demand'!A:A,0)),"")</f>
        <v>1002</v>
      </c>
      <c r="L1210" s="25">
        <f>IFERROR(INDEX('Aub Demand'!R:R,MATCH(O1210,'Aub Demand'!A:A,0)),"")</f>
        <v>0</v>
      </c>
      <c r="O1210" s="27" t="s">
        <v>1560</v>
      </c>
      <c r="P1210" s="27" t="str">
        <f>IFERROR(INDEX('Aub Demand'!B:B,MATCH($O1210,'Aub Demand'!$A:$A,0)),"")</f>
        <v>ANGEL WHITE</v>
      </c>
      <c r="Q1210" s="27" t="str">
        <f>IFERROR(INDEX('Aub Demand'!C:C,MATCH($O1210,'Aub Demand'!$A:$A,0)),"")</f>
        <v>ONYX</v>
      </c>
      <c r="R1210" s="52">
        <f>IFERROR(IF(AR1211=AR1210,INDEX('Aub Demand'!K:K,MATCH($O1210,'Aub Demand'!$A:$A,0))-IF(AN1210="",0,AN1210)+AP1211,INDEX('Aub Demand'!K:K,MATCH($O1210,'Aub Demand'!$A:$A,0))-IF(AN1210="",0,AN1210)),"")</f>
        <v>438</v>
      </c>
      <c r="S1210" s="53">
        <f t="shared" si="504"/>
        <v>2.7</v>
      </c>
      <c r="T1210" s="52">
        <f t="shared" si="505"/>
        <v>58.162499999999966</v>
      </c>
      <c r="U1210" s="52">
        <f>IFERROR(IF(AR1211=AR1210,INDEX('Aub Demand'!Q:Q,MATCH($O1210,'Aub Demand'!$A:$A,0))-IF(AN1210="",0,AN1210)+AP1211,INDEX('Aub Demand'!Q:Q,MATCH($O1210,'Aub Demand'!$A:$A,0))-IF(AN1210="",0,AN1210)),"")</f>
        <v>291</v>
      </c>
      <c r="V1210" s="53">
        <f t="shared" si="506"/>
        <v>1.8</v>
      </c>
      <c r="W1210" s="52">
        <f t="shared" si="507"/>
        <v>232.64999999999998</v>
      </c>
      <c r="X1210" s="52">
        <f>IFERROR(IF(AND(AR1211=AR1210,AM1210&lt;&gt;""),INDEX('Aub Demand'!Q:Q,MATCH($O1210,'Aub Demand'!$A:$A,0))-IF(AN1210="",0,AN1210)+AP1211+AD1210+AL1210,IF(AR1211=AR1210,INDEX('Aub Demand'!Q:Q,MATCH($O1210,'Aub Demand'!$A:$A,0))-IF(AN1210="",0,AN1210)+AP1211+AD1210,IF(AM1210&lt;&gt;"",INDEX('Aub Demand'!Q:Q,MATCH($O1210,'Aub Demand'!$A:$A,0))-IF(AN1210="",0,AN1210)+AD1210+AL1210,INDEX('Aub Demand'!Q:Q,MATCH($O1210,'Aub Demand'!$A:$A,0))-IF(AN1210="",0,AN1210)+AD1210))),"")</f>
        <v>291</v>
      </c>
      <c r="Y1210" s="53">
        <f t="shared" si="508"/>
        <v>1.8</v>
      </c>
      <c r="Z1210" s="52">
        <f>IF(L1210="","",INDEX('Aub Demand'!H:H,MATCH($O1210,'Aub Demand'!$A:$A,0)))</f>
        <v>694</v>
      </c>
      <c r="AA1210" s="52">
        <f t="shared" si="509"/>
        <v>775.5</v>
      </c>
      <c r="AB1210" s="52">
        <f>IFERROR(INDEX('Aub Demand'!L:L,MATCH($O1210,'Aub Demand'!$A:$A,0)),"")</f>
        <v>321</v>
      </c>
      <c r="AC1210" s="52">
        <f>IFERROR(IF(O1210="","",SUMIFS('CPL Mats'!F:F,'CPL Mats'!Q:Q,AR1210,'CPL Mats'!S:S,AS1210)),"")</f>
        <v>0</v>
      </c>
      <c r="AF1210" s="25" t="str">
        <f>IF(SUMIFS('Supp Consol'!S:S,'Supp Consol'!Y:Y,"Releasable",'Supp Consol'!A:A,O1210)=0,"",SUMIFS('Supp Consol'!S:S,'Supp Consol'!Y:Y,"Releasable",'Supp Consol'!A:A,O1210))</f>
        <v/>
      </c>
      <c r="AG1210" s="25">
        <f>IFERROR(INDEX('Hun Demand'!Q:Q,MATCH(O1210,'Hun Demand'!A:A,0)),"")</f>
        <v>153</v>
      </c>
      <c r="AH1210" s="25">
        <f>IFERROR(INDEX('Hun Demand'!H:H,MATCH($O1210,'Hun Demand'!$A:$A,0)),"")</f>
        <v>0</v>
      </c>
      <c r="AI1210" s="25" t="str">
        <f>IF(SUMIFS('Supp Consol'!AA:AA,'Supp Consol'!Z:Z,"Expires this month",'Supp Consol'!A:A,O1210)=0,"",SUMIFS('Supp Consol'!AA:AA,'Supp Consol'!Z:Z,"Expires this month",'Supp Consol'!A:A,O1210))</f>
        <v/>
      </c>
      <c r="AJ1210" s="25" t="str">
        <f>IF(SUMIFS('Supp Consol'!AA:AA,'Supp Consol'!Z:Z,"Expired Previous Months",'Supp Consol'!A:A,O1210)=0,"",SUMIFS('Supp Consol'!AA:AA,'Supp Consol'!Z:Z,"Expired Previous Months",'Supp Consol'!A:A,O1210))</f>
        <v/>
      </c>
      <c r="AK1210" s="25" t="str">
        <f>IFERROR(INDEX('Hun Release Current'!B:B,MATCH(O1210,'Hun Release Current'!A:A,0)),"")</f>
        <v/>
      </c>
      <c r="AL1210" s="25" t="str">
        <f>IF(SUMIF('Prev Aub'!A:A,O1210,'Prev Aub'!B:B)=0,"",SUMIF('Prev Aub'!A:A,O1210,'Prev Aub'!B:B))</f>
        <v/>
      </c>
      <c r="AN1210" s="25" t="s">
        <v>3790</v>
      </c>
      <c r="AO1210" s="25" t="s">
        <v>3790</v>
      </c>
      <c r="AP1210" s="25">
        <f t="shared" si="510"/>
        <v>0</v>
      </c>
      <c r="AQ1210" s="151" t="str">
        <f>IF(SUMIFS('Supp Consol'!S:S,'Supp Consol'!A:A,O1210,'Supp Consol'!I:I,"PENDING")=0,"",SUMIFS('Supp Consol'!S:S,'Supp Consol'!A:A,O1210,'Supp Consol'!I:I,"PENDING"))</f>
        <v/>
      </c>
      <c r="AR1210" s="27" t="str">
        <f t="shared" si="511"/>
        <v>SW826</v>
      </c>
      <c r="AS1210" s="27" t="str">
        <f t="shared" si="512"/>
        <v>62</v>
      </c>
      <c r="AT1210" s="27" t="str">
        <f t="shared" si="513"/>
        <v>SW826</v>
      </c>
      <c r="AU1210" s="27" t="str">
        <f t="shared" si="514"/>
        <v>SW826</v>
      </c>
      <c r="AV1210" s="27" t="str">
        <f t="shared" si="515"/>
        <v>SW826</v>
      </c>
      <c r="AW1210" s="27" t="str">
        <f t="shared" si="516"/>
        <v/>
      </c>
      <c r="AX1210" s="27" t="str">
        <f t="shared" si="517"/>
        <v/>
      </c>
      <c r="AY1210" s="27" t="str">
        <f t="shared" si="518"/>
        <v>SW826</v>
      </c>
      <c r="AZ1210" s="27" t="str">
        <f t="shared" si="519"/>
        <v>Supp</v>
      </c>
      <c r="BA1210" s="27" t="str">
        <f t="shared" si="520"/>
        <v>Hun</v>
      </c>
      <c r="BB1210" s="27" t="str">
        <f t="shared" si="521"/>
        <v>Gross</v>
      </c>
      <c r="BC1210" s="27" t="str">
        <f t="shared" si="522"/>
        <v>Net</v>
      </c>
      <c r="BD1210" s="27" t="str">
        <f t="shared" si="523"/>
        <v>Net</v>
      </c>
      <c r="BE1210" s="27" t="str">
        <f t="shared" si="524"/>
        <v>Exp</v>
      </c>
      <c r="BF1210" s="27" t="str">
        <f t="shared" si="525"/>
        <v>S+N</v>
      </c>
      <c r="BG1210" s="27" t="str">
        <f t="shared" si="526"/>
        <v>S+NorE</v>
      </c>
      <c r="BH1210" s="27" t="str">
        <f t="shared" si="527"/>
        <v>H+N</v>
      </c>
      <c r="BI1210" s="27" t="str">
        <f t="shared" si="528"/>
        <v>H+Nex</v>
      </c>
      <c r="BJ1210" s="27" t="str">
        <f t="shared" si="529"/>
        <v>Supp or Hun</v>
      </c>
      <c r="BK1210" s="27" t="str">
        <f t="shared" si="530"/>
        <v>Supp or Hun Need</v>
      </c>
      <c r="BL1210" s="27" t="str">
        <f t="shared" si="531"/>
        <v>SorHandNandE</v>
      </c>
      <c r="BM1210" s="21" t="s">
        <v>5581</v>
      </c>
    </row>
    <row r="1211" spans="1:65" ht="15">
      <c r="A1211" s="25">
        <f>IFERROR(INDEX('Hun Demand'!W:W,MATCH(O1211,'Hun Demand'!A:A,0)),"")</f>
        <v>0</v>
      </c>
      <c r="B1211" s="25">
        <f>IFERROR(INDEX('Hun Demand'!V:V,MATCH(O1211,'Hun Demand'!A:A,0)),"")</f>
        <v>0</v>
      </c>
      <c r="C1211" s="25">
        <f>IFERROR(INDEX('Hun Demand'!U:U,MATCH(O1211,'Hun Demand'!A:A,0)),"")</f>
        <v>0</v>
      </c>
      <c r="D1211" s="25">
        <f>IFERROR(INDEX('Hun Demand'!T:T,MATCH(O1211,'Hun Demand'!A:A,0)),"")</f>
        <v>0</v>
      </c>
      <c r="E1211" s="25">
        <f>IFERROR(INDEX('Hun Demand'!S:S,MATCH(O1211,'Hun Demand'!A:A,0)),"")</f>
        <v>0</v>
      </c>
      <c r="F1211" s="25">
        <f>IFERROR(INDEX('Hun Demand'!R:R,MATCH(O1211,'Hun Demand'!A:A,0)),"")</f>
        <v>0</v>
      </c>
      <c r="G1211" s="25">
        <f>IFERROR(INDEX('Aub Demand'!W:W,MATCH(O1211,'Aub Demand'!A:A,0)),"")</f>
        <v>0</v>
      </c>
      <c r="H1211" s="25">
        <f>IFERROR(INDEX('Aub Demand'!V:V,MATCH(O1211,'Aub Demand'!A:A,0)),"")</f>
        <v>0</v>
      </c>
      <c r="I1211" s="25">
        <f>IFERROR(INDEX('Aub Demand'!U:U,MATCH(O1211,'Aub Demand'!A:A,0)),"")</f>
        <v>0</v>
      </c>
      <c r="J1211" s="25">
        <f>IFERROR(INDEX('Aub Demand'!T:T,MATCH(O1211,'Aub Demand'!A:A,0)),"")</f>
        <v>0</v>
      </c>
      <c r="K1211" s="25">
        <f>IFERROR(INDEX('Aub Demand'!S:S,MATCH(O1211,'Aub Demand'!A:A,0)),"")</f>
        <v>0</v>
      </c>
      <c r="L1211" s="25">
        <f>IFERROR(INDEX('Aub Demand'!R:R,MATCH(O1211,'Aub Demand'!A:A,0)),"")</f>
        <v>0</v>
      </c>
      <c r="O1211" s="27" t="s">
        <v>2815</v>
      </c>
      <c r="P1211" s="27" t="str">
        <f>IFERROR(INDEX('Aub Demand'!B:B,MATCH($O1211,'Aub Demand'!$A:$A,0)),"")</f>
        <v>CHALK WHITE LP</v>
      </c>
      <c r="Q1211" s="27" t="str">
        <f>IFERROR(INDEX('Aub Demand'!C:C,MATCH($O1211,'Aub Demand'!$A:$A,0)),"")</f>
        <v>ONYX</v>
      </c>
      <c r="R1211" s="52">
        <f>IFERROR(IF(AR1212=AR1211,INDEX('Aub Demand'!K:K,MATCH($O1211,'Aub Demand'!$A:$A,0))-IF(AN1211="",0,AN1211)+AP1212,INDEX('Aub Demand'!K:K,MATCH($O1211,'Aub Demand'!$A:$A,0))-IF(AN1211="",0,AN1211)),"")</f>
        <v>127</v>
      </c>
      <c r="S1211" s="53" t="str">
        <f t="shared" si="504"/>
        <v>n/a</v>
      </c>
      <c r="T1211" s="52" t="str">
        <f t="shared" si="505"/>
        <v/>
      </c>
      <c r="U1211" s="52">
        <f>IFERROR(IF(AR1212=AR1211,INDEX('Aub Demand'!Q:Q,MATCH($O1211,'Aub Demand'!$A:$A,0))-IF(AN1211="",0,AN1211)+AP1212,INDEX('Aub Demand'!Q:Q,MATCH($O1211,'Aub Demand'!$A:$A,0))-IF(AN1211="",0,AN1211)),"")</f>
        <v>127</v>
      </c>
      <c r="V1211" s="53" t="str">
        <f t="shared" si="506"/>
        <v>n/a</v>
      </c>
      <c r="W1211" s="52" t="str">
        <f t="shared" si="507"/>
        <v/>
      </c>
      <c r="X1211" s="52">
        <f>IFERROR(IF(AND(AR1212=AR1211,AM1211&lt;&gt;""),INDEX('Aub Demand'!Q:Q,MATCH($O1211,'Aub Demand'!$A:$A,0))-IF(AN1211="",0,AN1211)+AP1212+AD1211+AL1211,IF(AR1212=AR1211,INDEX('Aub Demand'!Q:Q,MATCH($O1211,'Aub Demand'!$A:$A,0))-IF(AN1211="",0,AN1211)+AP1212+AD1211,IF(AM1211&lt;&gt;"",INDEX('Aub Demand'!Q:Q,MATCH($O1211,'Aub Demand'!$A:$A,0))-IF(AN1211="",0,AN1211)+AD1211+AL1211,INDEX('Aub Demand'!Q:Q,MATCH($O1211,'Aub Demand'!$A:$A,0))-IF(AN1211="",0,AN1211)+AD1211))),"")</f>
        <v>127</v>
      </c>
      <c r="Y1211" s="53" t="str">
        <f t="shared" si="508"/>
        <v>n/a</v>
      </c>
      <c r="Z1211" s="52">
        <f>IF(L1211="","",INDEX('Aub Demand'!H:H,MATCH($O1211,'Aub Demand'!$A:$A,0)))</f>
        <v>0</v>
      </c>
      <c r="AA1211" s="52" t="str">
        <f t="shared" si="509"/>
        <v>-spike-</v>
      </c>
      <c r="AB1211" s="52">
        <f>IFERROR(INDEX('Aub Demand'!L:L,MATCH($O1211,'Aub Demand'!$A:$A,0)),"")</f>
        <v>0</v>
      </c>
      <c r="AC1211" s="52">
        <f>IFERROR(IF(O1211="","",SUMIFS('CPL Mats'!F:F,'CPL Mats'!Q:Q,AR1211,'CPL Mats'!S:S,AS1211)),"")</f>
        <v>0</v>
      </c>
      <c r="AF1211" s="25" t="str">
        <f>IF(SUMIFS('Supp Consol'!S:S,'Supp Consol'!Y:Y,"Releasable",'Supp Consol'!A:A,O1211)=0,"",SUMIFS('Supp Consol'!S:S,'Supp Consol'!Y:Y,"Releasable",'Supp Consol'!A:A,O1211))</f>
        <v/>
      </c>
      <c r="AG1211" s="25">
        <f>IFERROR(INDEX('Hun Demand'!Q:Q,MATCH(O1211,'Hun Demand'!A:A,0)),"")</f>
        <v>1401</v>
      </c>
      <c r="AH1211" s="25">
        <f>IFERROR(INDEX('Hun Demand'!H:H,MATCH($O1211,'Hun Demand'!$A:$A,0)),"")</f>
        <v>0</v>
      </c>
      <c r="AI1211" s="25" t="str">
        <f>IF(SUMIFS('Supp Consol'!AA:AA,'Supp Consol'!Z:Z,"Expires this month",'Supp Consol'!A:A,O1211)=0,"",SUMIFS('Supp Consol'!AA:AA,'Supp Consol'!Z:Z,"Expires this month",'Supp Consol'!A:A,O1211))</f>
        <v/>
      </c>
      <c r="AJ1211" s="25" t="str">
        <f>IF(SUMIFS('Supp Consol'!AA:AA,'Supp Consol'!Z:Z,"Expired Previous Months",'Supp Consol'!A:A,O1211)=0,"",SUMIFS('Supp Consol'!AA:AA,'Supp Consol'!Z:Z,"Expired Previous Months",'Supp Consol'!A:A,O1211))</f>
        <v/>
      </c>
      <c r="AK1211" s="25" t="str">
        <f>IFERROR(INDEX('Hun Release Current'!B:B,MATCH(O1211,'Hun Release Current'!A:A,0)),"")</f>
        <v/>
      </c>
      <c r="AL1211" s="25" t="str">
        <f>IF(SUMIF('Prev Aub'!A:A,O1211,'Prev Aub'!B:B)=0,"",SUMIF('Prev Aub'!A:A,O1211,'Prev Aub'!B:B))</f>
        <v/>
      </c>
      <c r="AN1211" s="25" t="s">
        <v>3790</v>
      </c>
      <c r="AO1211" s="25" t="s">
        <v>3790</v>
      </c>
      <c r="AP1211" s="25">
        <f t="shared" si="510"/>
        <v>0</v>
      </c>
      <c r="AQ1211" s="151" t="str">
        <f>IF(SUMIFS('Supp Consol'!S:S,'Supp Consol'!A:A,O1211,'Supp Consol'!I:I,"PENDING")=0,"",SUMIFS('Supp Consol'!S:S,'Supp Consol'!A:A,O1211,'Supp Consol'!I:I,"PENDING"))</f>
        <v/>
      </c>
      <c r="AR1211" s="27" t="str">
        <f t="shared" si="511"/>
        <v>SW832</v>
      </c>
      <c r="AS1211" s="27" t="str">
        <f t="shared" si="512"/>
        <v>50</v>
      </c>
      <c r="AT1211" s="27" t="str">
        <f t="shared" si="513"/>
        <v/>
      </c>
      <c r="AU1211" s="27" t="str">
        <f t="shared" si="514"/>
        <v/>
      </c>
      <c r="AV1211" s="27" t="str">
        <f t="shared" si="515"/>
        <v/>
      </c>
      <c r="AW1211" s="27" t="str">
        <f t="shared" si="516"/>
        <v/>
      </c>
      <c r="AX1211" s="27" t="str">
        <f t="shared" si="517"/>
        <v/>
      </c>
      <c r="AY1211" s="27" t="str">
        <f t="shared" si="518"/>
        <v>SW832</v>
      </c>
      <c r="AZ1211" s="27" t="str">
        <f t="shared" si="519"/>
        <v/>
      </c>
      <c r="BA1211" s="27" t="str">
        <f t="shared" si="520"/>
        <v>Hun</v>
      </c>
      <c r="BB1211" s="27" t="str">
        <f t="shared" si="521"/>
        <v/>
      </c>
      <c r="BC1211" s="27" t="str">
        <f t="shared" si="522"/>
        <v/>
      </c>
      <c r="BD1211" s="27" t="str">
        <f t="shared" si="523"/>
        <v/>
      </c>
      <c r="BE1211" s="27" t="str">
        <f t="shared" si="524"/>
        <v/>
      </c>
      <c r="BF1211" s="27" t="str">
        <f t="shared" si="525"/>
        <v/>
      </c>
      <c r="BG1211" s="27" t="str">
        <f t="shared" si="526"/>
        <v/>
      </c>
      <c r="BH1211" s="27" t="str">
        <f t="shared" si="527"/>
        <v/>
      </c>
      <c r="BI1211" s="27" t="str">
        <f t="shared" si="528"/>
        <v/>
      </c>
      <c r="BJ1211" s="27" t="str">
        <f t="shared" si="529"/>
        <v>Supp or Hun</v>
      </c>
      <c r="BK1211" s="27" t="str">
        <f t="shared" si="530"/>
        <v/>
      </c>
      <c r="BL1211" s="27" t="str">
        <f t="shared" si="531"/>
        <v/>
      </c>
      <c r="BM1211" s="21" t="s">
        <v>5582</v>
      </c>
    </row>
    <row r="1212" spans="1:65" ht="15">
      <c r="A1212" s="25">
        <f>IFERROR(INDEX('Hun Demand'!W:W,MATCH(O1212,'Hun Demand'!A:A,0)),"")</f>
        <v>0</v>
      </c>
      <c r="B1212" s="25">
        <f>IFERROR(INDEX('Hun Demand'!V:V,MATCH(O1212,'Hun Demand'!A:A,0)),"")</f>
        <v>0</v>
      </c>
      <c r="C1212" s="25">
        <f>IFERROR(INDEX('Hun Demand'!U:U,MATCH(O1212,'Hun Demand'!A:A,0)),"")</f>
        <v>0</v>
      </c>
      <c r="D1212" s="25">
        <f>IFERROR(INDEX('Hun Demand'!T:T,MATCH(O1212,'Hun Demand'!A:A,0)),"")</f>
        <v>0</v>
      </c>
      <c r="E1212" s="25">
        <f>IFERROR(INDEX('Hun Demand'!S:S,MATCH(O1212,'Hun Demand'!A:A,0)),"")</f>
        <v>0</v>
      </c>
      <c r="F1212" s="25">
        <f>IFERROR(INDEX('Hun Demand'!R:R,MATCH(O1212,'Hun Demand'!A:A,0)),"")</f>
        <v>0</v>
      </c>
      <c r="G1212" s="25">
        <f>IFERROR(INDEX('Aub Demand'!W:W,MATCH(O1212,'Aub Demand'!A:A,0)),"")</f>
        <v>0</v>
      </c>
      <c r="H1212" s="25">
        <f>IFERROR(INDEX('Aub Demand'!V:V,MATCH(O1212,'Aub Demand'!A:A,0)),"")</f>
        <v>0</v>
      </c>
      <c r="I1212" s="25">
        <f>IFERROR(INDEX('Aub Demand'!U:U,MATCH(O1212,'Aub Demand'!A:A,0)),"")</f>
        <v>0</v>
      </c>
      <c r="J1212" s="25">
        <f>IFERROR(INDEX('Aub Demand'!T:T,MATCH(O1212,'Aub Demand'!A:A,0)),"")</f>
        <v>0</v>
      </c>
      <c r="K1212" s="25">
        <f>IFERROR(INDEX('Aub Demand'!S:S,MATCH(O1212,'Aub Demand'!A:A,0)),"")</f>
        <v>0</v>
      </c>
      <c r="L1212" s="25">
        <f>IFERROR(INDEX('Aub Demand'!R:R,MATCH(O1212,'Aub Demand'!A:A,0)),"")</f>
        <v>0</v>
      </c>
      <c r="O1212" s="27" t="s">
        <v>2817</v>
      </c>
      <c r="P1212" s="27" t="str">
        <f>IFERROR(INDEX('Aub Demand'!B:B,MATCH($O1212,'Aub Demand'!$A:$A,0)),"")</f>
        <v>CHALK WHITE LP</v>
      </c>
      <c r="Q1212" s="27" t="str">
        <f>IFERROR(INDEX('Aub Demand'!C:C,MATCH($O1212,'Aub Demand'!$A:$A,0)),"")</f>
        <v>ONYX</v>
      </c>
      <c r="R1212" s="52">
        <f>IFERROR(IF(AR1213=AR1212,INDEX('Aub Demand'!K:K,MATCH($O1212,'Aub Demand'!$A:$A,0))-IF(AN1212="",0,AN1212)+AP1213,INDEX('Aub Demand'!K:K,MATCH($O1212,'Aub Demand'!$A:$A,0))-IF(AN1212="",0,AN1212)),"")</f>
        <v>527</v>
      </c>
      <c r="S1212" s="53" t="str">
        <f t="shared" si="504"/>
        <v>n/a</v>
      </c>
      <c r="T1212" s="52" t="str">
        <f t="shared" si="505"/>
        <v/>
      </c>
      <c r="U1212" s="52">
        <f>IFERROR(IF(AR1213=AR1212,INDEX('Aub Demand'!Q:Q,MATCH($O1212,'Aub Demand'!$A:$A,0))-IF(AN1212="",0,AN1212)+AP1213,INDEX('Aub Demand'!Q:Q,MATCH($O1212,'Aub Demand'!$A:$A,0))-IF(AN1212="",0,AN1212)),"")</f>
        <v>527</v>
      </c>
      <c r="V1212" s="53" t="str">
        <f t="shared" si="506"/>
        <v>n/a</v>
      </c>
      <c r="W1212" s="52" t="str">
        <f t="shared" si="507"/>
        <v/>
      </c>
      <c r="X1212" s="52">
        <f>IFERROR(IF(AND(AR1213=AR1212,AM1212&lt;&gt;""),INDEX('Aub Demand'!Q:Q,MATCH($O1212,'Aub Demand'!$A:$A,0))-IF(AN1212="",0,AN1212)+AP1213+AD1212+AL1212,IF(AR1213=AR1212,INDEX('Aub Demand'!Q:Q,MATCH($O1212,'Aub Demand'!$A:$A,0))-IF(AN1212="",0,AN1212)+AP1213+AD1212,IF(AM1212&lt;&gt;"",INDEX('Aub Demand'!Q:Q,MATCH($O1212,'Aub Demand'!$A:$A,0))-IF(AN1212="",0,AN1212)+AD1212+AL1212,INDEX('Aub Demand'!Q:Q,MATCH($O1212,'Aub Demand'!$A:$A,0))-IF(AN1212="",0,AN1212)+AD1212))),"")</f>
        <v>527</v>
      </c>
      <c r="Y1212" s="53" t="str">
        <f t="shared" si="508"/>
        <v>n/a</v>
      </c>
      <c r="Z1212" s="52">
        <f>IF(L1212="","",INDEX('Aub Demand'!H:H,MATCH($O1212,'Aub Demand'!$A:$A,0)))</f>
        <v>0</v>
      </c>
      <c r="AA1212" s="52" t="str">
        <f t="shared" si="509"/>
        <v>-spike-</v>
      </c>
      <c r="AB1212" s="52">
        <f>IFERROR(INDEX('Aub Demand'!L:L,MATCH($O1212,'Aub Demand'!$A:$A,0)),"")</f>
        <v>0</v>
      </c>
      <c r="AC1212" s="52">
        <f>IFERROR(IF(O1212="","",SUMIFS('CPL Mats'!F:F,'CPL Mats'!Q:Q,AR1212,'CPL Mats'!S:S,AS1212)),"")</f>
        <v>0</v>
      </c>
      <c r="AF1212" s="25" t="str">
        <f>IF(SUMIFS('Supp Consol'!S:S,'Supp Consol'!Y:Y,"Releasable",'Supp Consol'!A:A,O1212)=0,"",SUMIFS('Supp Consol'!S:S,'Supp Consol'!Y:Y,"Releasable",'Supp Consol'!A:A,O1212))</f>
        <v/>
      </c>
      <c r="AG1212" s="25">
        <f>IFERROR(INDEX('Hun Demand'!Q:Q,MATCH(O1212,'Hun Demand'!A:A,0)),"")</f>
        <v>1281</v>
      </c>
      <c r="AH1212" s="25">
        <f>IFERROR(INDEX('Hun Demand'!H:H,MATCH($O1212,'Hun Demand'!$A:$A,0)),"")</f>
        <v>0</v>
      </c>
      <c r="AI1212" s="25" t="str">
        <f>IF(SUMIFS('Supp Consol'!AA:AA,'Supp Consol'!Z:Z,"Expires this month",'Supp Consol'!A:A,O1212)=0,"",SUMIFS('Supp Consol'!AA:AA,'Supp Consol'!Z:Z,"Expires this month",'Supp Consol'!A:A,O1212))</f>
        <v/>
      </c>
      <c r="AJ1212" s="25" t="str">
        <f>IF(SUMIFS('Supp Consol'!AA:AA,'Supp Consol'!Z:Z,"Expired Previous Months",'Supp Consol'!A:A,O1212)=0,"",SUMIFS('Supp Consol'!AA:AA,'Supp Consol'!Z:Z,"Expired Previous Months",'Supp Consol'!A:A,O1212))</f>
        <v/>
      </c>
      <c r="AK1212" s="25" t="str">
        <f>IFERROR(INDEX('Hun Release Current'!B:B,MATCH(O1212,'Hun Release Current'!A:A,0)),"")</f>
        <v/>
      </c>
      <c r="AL1212" s="25" t="str">
        <f>IF(SUMIF('Prev Aub'!A:A,O1212,'Prev Aub'!B:B)=0,"",SUMIF('Prev Aub'!A:A,O1212,'Prev Aub'!B:B))</f>
        <v/>
      </c>
      <c r="AN1212" s="25" t="s">
        <v>3790</v>
      </c>
      <c r="AO1212" s="25" t="s">
        <v>3790</v>
      </c>
      <c r="AP1212" s="25">
        <f t="shared" si="510"/>
        <v>0</v>
      </c>
      <c r="AQ1212" s="151" t="str">
        <f>IF(SUMIFS('Supp Consol'!S:S,'Supp Consol'!A:A,O1212,'Supp Consol'!I:I,"PENDING")=0,"",SUMIFS('Supp Consol'!S:S,'Supp Consol'!A:A,O1212,'Supp Consol'!I:I,"PENDING"))</f>
        <v/>
      </c>
      <c r="AR1212" s="27" t="str">
        <f t="shared" si="511"/>
        <v>SW832</v>
      </c>
      <c r="AS1212" s="27" t="str">
        <f t="shared" si="512"/>
        <v>62</v>
      </c>
      <c r="AT1212" s="27" t="str">
        <f t="shared" si="513"/>
        <v/>
      </c>
      <c r="AU1212" s="27" t="str">
        <f t="shared" si="514"/>
        <v/>
      </c>
      <c r="AV1212" s="27" t="str">
        <f t="shared" si="515"/>
        <v/>
      </c>
      <c r="AW1212" s="27" t="str">
        <f t="shared" si="516"/>
        <v/>
      </c>
      <c r="AX1212" s="27" t="str">
        <f t="shared" si="517"/>
        <v/>
      </c>
      <c r="AY1212" s="27" t="str">
        <f t="shared" si="518"/>
        <v>SW832</v>
      </c>
      <c r="AZ1212" s="27" t="str">
        <f t="shared" si="519"/>
        <v/>
      </c>
      <c r="BA1212" s="27" t="str">
        <f t="shared" si="520"/>
        <v>Hun</v>
      </c>
      <c r="BB1212" s="27" t="str">
        <f t="shared" si="521"/>
        <v/>
      </c>
      <c r="BC1212" s="27" t="str">
        <f t="shared" si="522"/>
        <v/>
      </c>
      <c r="BD1212" s="27" t="str">
        <f t="shared" si="523"/>
        <v/>
      </c>
      <c r="BE1212" s="27" t="str">
        <f t="shared" si="524"/>
        <v/>
      </c>
      <c r="BF1212" s="27" t="str">
        <f t="shared" si="525"/>
        <v/>
      </c>
      <c r="BG1212" s="27" t="str">
        <f t="shared" si="526"/>
        <v/>
      </c>
      <c r="BH1212" s="27" t="str">
        <f t="shared" si="527"/>
        <v/>
      </c>
      <c r="BI1212" s="27" t="str">
        <f t="shared" si="528"/>
        <v/>
      </c>
      <c r="BJ1212" s="27" t="str">
        <f t="shared" si="529"/>
        <v>Supp or Hun</v>
      </c>
      <c r="BK1212" s="27" t="str">
        <f t="shared" si="530"/>
        <v/>
      </c>
      <c r="BL1212" s="27" t="str">
        <f t="shared" si="531"/>
        <v/>
      </c>
      <c r="BM1212" s="21" t="s">
        <v>5582</v>
      </c>
    </row>
    <row r="1213" spans="1:65" ht="15">
      <c r="A1213" s="25">
        <f>IFERROR(INDEX('Hun Demand'!W:W,MATCH(O1213,'Hun Demand'!A:A,0)),"")</f>
        <v>729</v>
      </c>
      <c r="B1213" s="25">
        <f>IFERROR(INDEX('Hun Demand'!V:V,MATCH(O1213,'Hun Demand'!A:A,0)),"")</f>
        <v>0</v>
      </c>
      <c r="C1213" s="25">
        <f>IFERROR(INDEX('Hun Demand'!U:U,MATCH(O1213,'Hun Demand'!A:A,0)),"")</f>
        <v>0</v>
      </c>
      <c r="D1213" s="25">
        <f>IFERROR(INDEX('Hun Demand'!T:T,MATCH(O1213,'Hun Demand'!A:A,0)),"")</f>
        <v>0</v>
      </c>
      <c r="E1213" s="25">
        <f>IFERROR(INDEX('Hun Demand'!S:S,MATCH(O1213,'Hun Demand'!A:A,0)),"")</f>
        <v>0</v>
      </c>
      <c r="F1213" s="25">
        <f>IFERROR(INDEX('Hun Demand'!R:R,MATCH(O1213,'Hun Demand'!A:A,0)),"")</f>
        <v>0</v>
      </c>
      <c r="G1213" s="25">
        <f>IFERROR(INDEX('Aub Demand'!W:W,MATCH(O1213,'Aub Demand'!A:A,0)),"")</f>
        <v>0</v>
      </c>
      <c r="H1213" s="25">
        <f>IFERROR(INDEX('Aub Demand'!V:V,MATCH(O1213,'Aub Demand'!A:A,0)),"")</f>
        <v>270</v>
      </c>
      <c r="I1213" s="25">
        <f>IFERROR(INDEX('Aub Demand'!U:U,MATCH(O1213,'Aub Demand'!A:A,0)),"")</f>
        <v>616</v>
      </c>
      <c r="J1213" s="25">
        <f>IFERROR(INDEX('Aub Demand'!T:T,MATCH(O1213,'Aub Demand'!A:A,0)),"")</f>
        <v>1020</v>
      </c>
      <c r="K1213" s="25">
        <f>IFERROR(INDEX('Aub Demand'!S:S,MATCH(O1213,'Aub Demand'!A:A,0)),"")</f>
        <v>346</v>
      </c>
      <c r="L1213" s="25">
        <f>IFERROR(INDEX('Aub Demand'!R:R,MATCH(O1213,'Aub Demand'!A:A,0)),"")</f>
        <v>0</v>
      </c>
      <c r="O1213" s="27" t="s">
        <v>1561</v>
      </c>
      <c r="P1213" s="27" t="str">
        <f>IFERROR(INDEX('Aub Demand'!B:B,MATCH($O1213,'Aub Demand'!$A:$A,0)),"")</f>
        <v>WINTER WHITE</v>
      </c>
      <c r="Q1213" s="27" t="str">
        <f>IFERROR(INDEX('Aub Demand'!C:C,MATCH($O1213,'Aub Demand'!$A:$A,0)),"")</f>
        <v>TECHN</v>
      </c>
      <c r="R1213" s="52">
        <f>IFERROR(IF(AR1214=AR1213,INDEX('Aub Demand'!K:K,MATCH($O1213,'Aub Demand'!$A:$A,0))-IF(AN1213="",0,AN1213)+AP1214,INDEX('Aub Demand'!K:K,MATCH($O1213,'Aub Demand'!$A:$A,0))-IF(AN1213="",0,AN1213)),"")</f>
        <v>5337</v>
      </c>
      <c r="S1213" s="53">
        <f t="shared" si="504"/>
        <v>34.6</v>
      </c>
      <c r="T1213" s="52" t="str">
        <f t="shared" si="505"/>
        <v/>
      </c>
      <c r="U1213" s="52">
        <f>IFERROR(IF(AR1214=AR1213,INDEX('Aub Demand'!Q:Q,MATCH($O1213,'Aub Demand'!$A:$A,0))-IF(AN1213="",0,AN1213)+AP1214,INDEX('Aub Demand'!Q:Q,MATCH($O1213,'Aub Demand'!$A:$A,0))-IF(AN1213="",0,AN1213)),"")</f>
        <v>4987</v>
      </c>
      <c r="V1213" s="53">
        <f t="shared" si="506"/>
        <v>32.299999999999997</v>
      </c>
      <c r="W1213" s="52" t="str">
        <f t="shared" si="507"/>
        <v/>
      </c>
      <c r="X1213" s="52">
        <f>IFERROR(IF(AND(AR1214=AR1213,AM1213&lt;&gt;""),INDEX('Aub Demand'!Q:Q,MATCH($O1213,'Aub Demand'!$A:$A,0))-IF(AN1213="",0,AN1213)+AP1214+AD1213+AL1213,IF(AR1214=AR1213,INDEX('Aub Demand'!Q:Q,MATCH($O1213,'Aub Demand'!$A:$A,0))-IF(AN1213="",0,AN1213)+AP1214+AD1213,IF(AM1213&lt;&gt;"",INDEX('Aub Demand'!Q:Q,MATCH($O1213,'Aub Demand'!$A:$A,0))-IF(AN1213="",0,AN1213)+AD1213+AL1213,INDEX('Aub Demand'!Q:Q,MATCH($O1213,'Aub Demand'!$A:$A,0))-IF(AN1213="",0,AN1213)+AD1213))),"")</f>
        <v>4987</v>
      </c>
      <c r="Y1213" s="53">
        <f t="shared" si="508"/>
        <v>32.299999999999997</v>
      </c>
      <c r="Z1213" s="52">
        <f>IF(L1213="","",INDEX('Aub Demand'!H:H,MATCH($O1213,'Aub Demand'!$A:$A,0)))</f>
        <v>661</v>
      </c>
      <c r="AA1213" s="52">
        <f t="shared" si="509"/>
        <v>818</v>
      </c>
      <c r="AB1213" s="52">
        <f>IFERROR(INDEX('Aub Demand'!L:L,MATCH($O1213,'Aub Demand'!$A:$A,0)),"")</f>
        <v>461</v>
      </c>
      <c r="AC1213" s="52">
        <f>IFERROR(IF(O1213="","",SUMIFS('CPL Mats'!F:F,'CPL Mats'!Q:Q,AR1213,'CPL Mats'!S:S,AS1213)),"")</f>
        <v>0</v>
      </c>
      <c r="AF1213" s="25" t="str">
        <f>IF(SUMIFS('Supp Consol'!S:S,'Supp Consol'!Y:Y,"Releasable",'Supp Consol'!A:A,O1213)=0,"",SUMIFS('Supp Consol'!S:S,'Supp Consol'!Y:Y,"Releasable",'Supp Consol'!A:A,O1213))</f>
        <v/>
      </c>
      <c r="AG1213" s="25">
        <f>IFERROR(INDEX('Hun Demand'!Q:Q,MATCH(O1213,'Hun Demand'!A:A,0)),"")</f>
        <v>2017</v>
      </c>
      <c r="AH1213" s="25">
        <f>IFERROR(INDEX('Hun Demand'!H:H,MATCH($O1213,'Hun Demand'!$A:$A,0)),"")</f>
        <v>0</v>
      </c>
      <c r="AI1213" s="25" t="str">
        <f>IF(SUMIFS('Supp Consol'!AA:AA,'Supp Consol'!Z:Z,"Expires this month",'Supp Consol'!A:A,O1213)=0,"",SUMIFS('Supp Consol'!AA:AA,'Supp Consol'!Z:Z,"Expires this month",'Supp Consol'!A:A,O1213))</f>
        <v/>
      </c>
      <c r="AJ1213" s="25" t="str">
        <f>IF(SUMIFS('Supp Consol'!AA:AA,'Supp Consol'!Z:Z,"Expired Previous Months",'Supp Consol'!A:A,O1213)=0,"",SUMIFS('Supp Consol'!AA:AA,'Supp Consol'!Z:Z,"Expired Previous Months",'Supp Consol'!A:A,O1213))</f>
        <v/>
      </c>
      <c r="AK1213" s="25" t="str">
        <f>IFERROR(INDEX('Hun Release Current'!B:B,MATCH(O1213,'Hun Release Current'!A:A,0)),"")</f>
        <v/>
      </c>
      <c r="AL1213" s="25" t="str">
        <f>IF(SUMIF('Prev Aub'!A:A,O1213,'Prev Aub'!B:B)=0,"",SUMIF('Prev Aub'!A:A,O1213,'Prev Aub'!B:B))</f>
        <v/>
      </c>
      <c r="AN1213" s="25" t="s">
        <v>3790</v>
      </c>
      <c r="AO1213" s="25" t="s">
        <v>3790</v>
      </c>
      <c r="AP1213" s="25">
        <f t="shared" si="510"/>
        <v>0</v>
      </c>
      <c r="AQ1213" s="151" t="str">
        <f>IF(SUMIFS('Supp Consol'!S:S,'Supp Consol'!A:A,O1213,'Supp Consol'!I:I,"PENDING")=0,"",SUMIFS('Supp Consol'!S:S,'Supp Consol'!A:A,O1213,'Supp Consol'!I:I,"PENDING"))</f>
        <v/>
      </c>
      <c r="AR1213" s="27" t="str">
        <f t="shared" si="511"/>
        <v>SW836</v>
      </c>
      <c r="AS1213" s="27" t="str">
        <f t="shared" si="512"/>
        <v>50</v>
      </c>
      <c r="AT1213" s="27" t="str">
        <f t="shared" si="513"/>
        <v/>
      </c>
      <c r="AU1213" s="27" t="str">
        <f t="shared" si="514"/>
        <v/>
      </c>
      <c r="AV1213" s="27" t="str">
        <f t="shared" si="515"/>
        <v/>
      </c>
      <c r="AW1213" s="27" t="str">
        <f t="shared" si="516"/>
        <v/>
      </c>
      <c r="AX1213" s="27" t="str">
        <f t="shared" si="517"/>
        <v/>
      </c>
      <c r="AY1213" s="27" t="str">
        <f t="shared" si="518"/>
        <v>SW836</v>
      </c>
      <c r="AZ1213" s="27" t="str">
        <f t="shared" si="519"/>
        <v/>
      </c>
      <c r="BA1213" s="27" t="str">
        <f t="shared" si="520"/>
        <v>Hun</v>
      </c>
      <c r="BB1213" s="27" t="str">
        <f t="shared" si="521"/>
        <v/>
      </c>
      <c r="BC1213" s="27" t="str">
        <f t="shared" si="522"/>
        <v/>
      </c>
      <c r="BD1213" s="27" t="str">
        <f t="shared" si="523"/>
        <v/>
      </c>
      <c r="BE1213" s="27" t="str">
        <f t="shared" si="524"/>
        <v/>
      </c>
      <c r="BF1213" s="27" t="str">
        <f t="shared" si="525"/>
        <v/>
      </c>
      <c r="BG1213" s="27" t="str">
        <f t="shared" si="526"/>
        <v/>
      </c>
      <c r="BH1213" s="27" t="str">
        <f t="shared" si="527"/>
        <v/>
      </c>
      <c r="BI1213" s="27" t="str">
        <f t="shared" si="528"/>
        <v/>
      </c>
      <c r="BJ1213" s="27" t="str">
        <f t="shared" si="529"/>
        <v>Supp or Hun</v>
      </c>
      <c r="BK1213" s="27" t="str">
        <f t="shared" si="530"/>
        <v/>
      </c>
      <c r="BL1213" s="27" t="str">
        <f t="shared" si="531"/>
        <v/>
      </c>
      <c r="BM1213" s="21" t="s">
        <v>5581</v>
      </c>
    </row>
    <row r="1214" spans="1:65" ht="15">
      <c r="A1214" s="25" t="str">
        <f>IFERROR(INDEX('Hun Demand'!W:W,MATCH(O1214,'Hun Demand'!A:A,0)),"")</f>
        <v/>
      </c>
      <c r="B1214" s="25" t="str">
        <f>IFERROR(INDEX('Hun Demand'!V:V,MATCH(O1214,'Hun Demand'!A:A,0)),"")</f>
        <v/>
      </c>
      <c r="C1214" s="25" t="str">
        <f>IFERROR(INDEX('Hun Demand'!U:U,MATCH(O1214,'Hun Demand'!A:A,0)),"")</f>
        <v/>
      </c>
      <c r="D1214" s="25" t="str">
        <f>IFERROR(INDEX('Hun Demand'!T:T,MATCH(O1214,'Hun Demand'!A:A,0)),"")</f>
        <v/>
      </c>
      <c r="E1214" s="25" t="str">
        <f>IFERROR(INDEX('Hun Demand'!S:S,MATCH(O1214,'Hun Demand'!A:A,0)),"")</f>
        <v/>
      </c>
      <c r="F1214" s="25" t="str">
        <f>IFERROR(INDEX('Hun Demand'!R:R,MATCH(O1214,'Hun Demand'!A:A,0)),"")</f>
        <v/>
      </c>
      <c r="G1214" s="25">
        <f>IFERROR(INDEX('Aub Demand'!W:W,MATCH(O1214,'Aub Demand'!A:A,0)),"")</f>
        <v>186</v>
      </c>
      <c r="H1214" s="25">
        <f>IFERROR(INDEX('Aub Demand'!V:V,MATCH(O1214,'Aub Demand'!A:A,0)),"")</f>
        <v>70</v>
      </c>
      <c r="I1214" s="25">
        <f>IFERROR(INDEX('Aub Demand'!U:U,MATCH(O1214,'Aub Demand'!A:A,0)),"")</f>
        <v>79</v>
      </c>
      <c r="J1214" s="25">
        <f>IFERROR(INDEX('Aub Demand'!T:T,MATCH(O1214,'Aub Demand'!A:A,0)),"")</f>
        <v>267</v>
      </c>
      <c r="K1214" s="25">
        <f>IFERROR(INDEX('Aub Demand'!S:S,MATCH(O1214,'Aub Demand'!A:A,0)),"")</f>
        <v>462</v>
      </c>
      <c r="L1214" s="25">
        <f>IFERROR(INDEX('Aub Demand'!R:R,MATCH(O1214,'Aub Demand'!A:A,0)),"")</f>
        <v>0</v>
      </c>
      <c r="O1214" s="27" t="s">
        <v>1563</v>
      </c>
      <c r="P1214" s="27" t="str">
        <f>IFERROR(INDEX('Aub Demand'!B:B,MATCH($O1214,'Aub Demand'!$A:$A,0)),"")</f>
        <v>WINTER WHITE</v>
      </c>
      <c r="Q1214" s="27" t="str">
        <f>IFERROR(INDEX('Aub Demand'!C:C,MATCH($O1214,'Aub Demand'!$A:$A,0)),"")</f>
        <v>TECHN</v>
      </c>
      <c r="R1214" s="52">
        <f>IFERROR(IF(AR1215=AR1214,INDEX('Aub Demand'!K:K,MATCH($O1214,'Aub Demand'!$A:$A,0))-IF(AN1214="",0,AN1214)+AP1215,INDEX('Aub Demand'!K:K,MATCH($O1214,'Aub Demand'!$A:$A,0))-IF(AN1214="",0,AN1214)),"")</f>
        <v>4819</v>
      </c>
      <c r="S1214" s="53">
        <f t="shared" si="504"/>
        <v>76.8</v>
      </c>
      <c r="T1214" s="52" t="str">
        <f t="shared" si="505"/>
        <v/>
      </c>
      <c r="U1214" s="52">
        <f>IFERROR(IF(AR1215=AR1214,INDEX('Aub Demand'!Q:Q,MATCH($O1214,'Aub Demand'!$A:$A,0))-IF(AN1214="",0,AN1214)+AP1215,INDEX('Aub Demand'!Q:Q,MATCH($O1214,'Aub Demand'!$A:$A,0))-IF(AN1214="",0,AN1214)),"")</f>
        <v>4712</v>
      </c>
      <c r="V1214" s="53">
        <f t="shared" si="506"/>
        <v>75.099999999999994</v>
      </c>
      <c r="W1214" s="52" t="str">
        <f t="shared" si="507"/>
        <v/>
      </c>
      <c r="X1214" s="52">
        <f>IFERROR(IF(AND(AR1215=AR1214,AM1214&lt;&gt;""),INDEX('Aub Demand'!Q:Q,MATCH($O1214,'Aub Demand'!$A:$A,0))-IF(AN1214="",0,AN1214)+AP1215+AD1214+AL1214,IF(AR1215=AR1214,INDEX('Aub Demand'!Q:Q,MATCH($O1214,'Aub Demand'!$A:$A,0))-IF(AN1214="",0,AN1214)+AP1215+AD1214,IF(AM1214&lt;&gt;"",INDEX('Aub Demand'!Q:Q,MATCH($O1214,'Aub Demand'!$A:$A,0))-IF(AN1214="",0,AN1214)+AD1214+AL1214,INDEX('Aub Demand'!Q:Q,MATCH($O1214,'Aub Demand'!$A:$A,0))-IF(AN1214="",0,AN1214)+AD1214))),"")</f>
        <v>4712</v>
      </c>
      <c r="Y1214" s="53">
        <f t="shared" si="508"/>
        <v>75.099999999999994</v>
      </c>
      <c r="Z1214" s="52">
        <f>IF(L1214="","",INDEX('Aub Demand'!H:H,MATCH($O1214,'Aub Demand'!$A:$A,0)))</f>
        <v>269</v>
      </c>
      <c r="AA1214" s="52">
        <f t="shared" si="509"/>
        <v>364.5</v>
      </c>
      <c r="AB1214" s="52">
        <f>IFERROR(INDEX('Aub Demand'!L:L,MATCH($O1214,'Aub Demand'!$A:$A,0)),"")</f>
        <v>113</v>
      </c>
      <c r="AC1214" s="52">
        <f>IFERROR(IF(O1214="","",SUMIFS('CPL Mats'!F:F,'CPL Mats'!Q:Q,AR1214,'CPL Mats'!S:S,AS1214)),"")</f>
        <v>0</v>
      </c>
      <c r="AF1214" s="25" t="str">
        <f>IF(SUMIFS('Supp Consol'!S:S,'Supp Consol'!Y:Y,"Releasable",'Supp Consol'!A:A,O1214)=0,"",SUMIFS('Supp Consol'!S:S,'Supp Consol'!Y:Y,"Releasable",'Supp Consol'!A:A,O1214))</f>
        <v/>
      </c>
      <c r="AG1214" s="25" t="str">
        <f>IFERROR(INDEX('Hun Demand'!Q:Q,MATCH(O1214,'Hun Demand'!A:A,0)),"")</f>
        <v/>
      </c>
      <c r="AH1214" s="25" t="str">
        <f>IFERROR(INDEX('Hun Demand'!H:H,MATCH($O1214,'Hun Demand'!$A:$A,0)),"")</f>
        <v/>
      </c>
      <c r="AI1214" s="25" t="str">
        <f>IF(SUMIFS('Supp Consol'!AA:AA,'Supp Consol'!Z:Z,"Expires this month",'Supp Consol'!A:A,O1214)=0,"",SUMIFS('Supp Consol'!AA:AA,'Supp Consol'!Z:Z,"Expires this month",'Supp Consol'!A:A,O1214))</f>
        <v/>
      </c>
      <c r="AJ1214" s="25" t="str">
        <f>IF(SUMIFS('Supp Consol'!AA:AA,'Supp Consol'!Z:Z,"Expired Previous Months",'Supp Consol'!A:A,O1214)=0,"",SUMIFS('Supp Consol'!AA:AA,'Supp Consol'!Z:Z,"Expired Previous Months",'Supp Consol'!A:A,O1214))</f>
        <v/>
      </c>
      <c r="AK1214" s="25" t="str">
        <f>IFERROR(INDEX('Hun Release Current'!B:B,MATCH(O1214,'Hun Release Current'!A:A,0)),"")</f>
        <v/>
      </c>
      <c r="AL1214" s="25" t="str">
        <f>IF(SUMIF('Prev Aub'!A:A,O1214,'Prev Aub'!B:B)=0,"",SUMIF('Prev Aub'!A:A,O1214,'Prev Aub'!B:B))</f>
        <v/>
      </c>
      <c r="AN1214" s="25" t="s">
        <v>3790</v>
      </c>
      <c r="AO1214" s="25" t="s">
        <v>3790</v>
      </c>
      <c r="AP1214" s="25">
        <f t="shared" si="510"/>
        <v>0</v>
      </c>
      <c r="AQ1214" s="151" t="str">
        <f>IF(SUMIFS('Supp Consol'!S:S,'Supp Consol'!A:A,O1214,'Supp Consol'!I:I,"PENDING")=0,"",SUMIFS('Supp Consol'!S:S,'Supp Consol'!A:A,O1214,'Supp Consol'!I:I,"PENDING"))</f>
        <v/>
      </c>
      <c r="AR1214" s="27" t="str">
        <f t="shared" si="511"/>
        <v>SW836</v>
      </c>
      <c r="AS1214" s="27" t="str">
        <f t="shared" si="512"/>
        <v>62</v>
      </c>
      <c r="AT1214" s="27" t="str">
        <f t="shared" si="513"/>
        <v/>
      </c>
      <c r="AU1214" s="27" t="str">
        <f t="shared" si="514"/>
        <v/>
      </c>
      <c r="AV1214" s="27" t="str">
        <f t="shared" si="515"/>
        <v/>
      </c>
      <c r="AW1214" s="27" t="str">
        <f t="shared" si="516"/>
        <v/>
      </c>
      <c r="AX1214" s="27" t="str">
        <f t="shared" si="517"/>
        <v/>
      </c>
      <c r="AY1214" s="27" t="str">
        <f t="shared" si="518"/>
        <v/>
      </c>
      <c r="AZ1214" s="27" t="str">
        <f t="shared" si="519"/>
        <v/>
      </c>
      <c r="BA1214" s="27" t="str">
        <f t="shared" si="520"/>
        <v>Hun</v>
      </c>
      <c r="BB1214" s="27" t="str">
        <f t="shared" si="521"/>
        <v/>
      </c>
      <c r="BC1214" s="27" t="str">
        <f t="shared" si="522"/>
        <v/>
      </c>
      <c r="BD1214" s="27" t="str">
        <f t="shared" si="523"/>
        <v/>
      </c>
      <c r="BE1214" s="27" t="str">
        <f t="shared" si="524"/>
        <v/>
      </c>
      <c r="BF1214" s="27" t="str">
        <f t="shared" si="525"/>
        <v/>
      </c>
      <c r="BG1214" s="27" t="str">
        <f t="shared" si="526"/>
        <v/>
      </c>
      <c r="BH1214" s="27" t="str">
        <f t="shared" si="527"/>
        <v/>
      </c>
      <c r="BI1214" s="27" t="str">
        <f t="shared" si="528"/>
        <v/>
      </c>
      <c r="BJ1214" s="27" t="str">
        <f t="shared" si="529"/>
        <v>Supp or Hun</v>
      </c>
      <c r="BK1214" s="27" t="str">
        <f t="shared" si="530"/>
        <v/>
      </c>
      <c r="BL1214" s="27" t="str">
        <f t="shared" si="531"/>
        <v/>
      </c>
      <c r="BM1214" s="21" t="s">
        <v>5581</v>
      </c>
    </row>
    <row r="1215" spans="1:65" ht="15">
      <c r="A1215" s="25">
        <f>IFERROR(INDEX('Hun Demand'!W:W,MATCH(O1215,'Hun Demand'!A:A,0)),"")</f>
        <v>0</v>
      </c>
      <c r="B1215" s="25">
        <f>IFERROR(INDEX('Hun Demand'!V:V,MATCH(O1215,'Hun Demand'!A:A,0)),"")</f>
        <v>0</v>
      </c>
      <c r="C1215" s="25">
        <f>IFERROR(INDEX('Hun Demand'!U:U,MATCH(O1215,'Hun Demand'!A:A,0)),"")</f>
        <v>0</v>
      </c>
      <c r="D1215" s="25">
        <f>IFERROR(INDEX('Hun Demand'!T:T,MATCH(O1215,'Hun Demand'!A:A,0)),"")</f>
        <v>0</v>
      </c>
      <c r="E1215" s="25">
        <f>IFERROR(INDEX('Hun Demand'!S:S,MATCH(O1215,'Hun Demand'!A:A,0)),"")</f>
        <v>0</v>
      </c>
      <c r="F1215" s="25">
        <f>IFERROR(INDEX('Hun Demand'!R:R,MATCH(O1215,'Hun Demand'!A:A,0)),"")</f>
        <v>0</v>
      </c>
      <c r="G1215" s="25">
        <f>IFERROR(INDEX('Aub Demand'!W:W,MATCH(O1215,'Aub Demand'!A:A,0)),"")</f>
        <v>0</v>
      </c>
      <c r="H1215" s="25">
        <f>IFERROR(INDEX('Aub Demand'!V:V,MATCH(O1215,'Aub Demand'!A:A,0)),"")</f>
        <v>0</v>
      </c>
      <c r="I1215" s="25">
        <f>IFERROR(INDEX('Aub Demand'!U:U,MATCH(O1215,'Aub Demand'!A:A,0)),"")</f>
        <v>0</v>
      </c>
      <c r="J1215" s="25">
        <f>IFERROR(INDEX('Aub Demand'!T:T,MATCH(O1215,'Aub Demand'!A:A,0)),"")</f>
        <v>0</v>
      </c>
      <c r="K1215" s="25">
        <f>IFERROR(INDEX('Aub Demand'!S:S,MATCH(O1215,'Aub Demand'!A:A,0)),"")</f>
        <v>0</v>
      </c>
      <c r="L1215" s="25">
        <f>IFERROR(INDEX('Aub Demand'!R:R,MATCH(O1215,'Aub Demand'!A:A,0)),"")</f>
        <v>0</v>
      </c>
      <c r="O1215" s="27" t="s">
        <v>1564</v>
      </c>
      <c r="P1215" s="27" t="str">
        <f>IFERROR(INDEX('Aub Demand'!B:B,MATCH($O1215,'Aub Demand'!$A:$A,0)),"")</f>
        <v>NIMBUS WHITE</v>
      </c>
      <c r="Q1215" s="27" t="str">
        <f>IFERROR(INDEX('Aub Demand'!C:C,MATCH($O1215,'Aub Demand'!$A:$A,0)),"")</f>
        <v>ONYX</v>
      </c>
      <c r="R1215" s="52">
        <f>IFERROR(IF(AR1216=AR1215,INDEX('Aub Demand'!K:K,MATCH($O1215,'Aub Demand'!$A:$A,0))-IF(AN1215="",0,AN1215)+AP1216,INDEX('Aub Demand'!K:K,MATCH($O1215,'Aub Demand'!$A:$A,0))-IF(AN1215="",0,AN1215)),"")</f>
        <v>407</v>
      </c>
      <c r="S1215" s="53" t="str">
        <f t="shared" si="504"/>
        <v>n/a</v>
      </c>
      <c r="T1215" s="52" t="str">
        <f t="shared" si="505"/>
        <v/>
      </c>
      <c r="U1215" s="52">
        <f>IFERROR(IF(AR1216=AR1215,INDEX('Aub Demand'!Q:Q,MATCH($O1215,'Aub Demand'!$A:$A,0))-IF(AN1215="",0,AN1215)+AP1216,INDEX('Aub Demand'!Q:Q,MATCH($O1215,'Aub Demand'!$A:$A,0))-IF(AN1215="",0,AN1215)),"")</f>
        <v>407</v>
      </c>
      <c r="V1215" s="53" t="str">
        <f t="shared" si="506"/>
        <v>n/a</v>
      </c>
      <c r="W1215" s="52" t="str">
        <f t="shared" si="507"/>
        <v/>
      </c>
      <c r="X1215" s="52">
        <f>IFERROR(IF(AND(AR1216=AR1215,AM1215&lt;&gt;""),INDEX('Aub Demand'!Q:Q,MATCH($O1215,'Aub Demand'!$A:$A,0))-IF(AN1215="",0,AN1215)+AP1216+AD1215+AL1215,IF(AR1216=AR1215,INDEX('Aub Demand'!Q:Q,MATCH($O1215,'Aub Demand'!$A:$A,0))-IF(AN1215="",0,AN1215)+AP1216+AD1215,IF(AM1215&lt;&gt;"",INDEX('Aub Demand'!Q:Q,MATCH($O1215,'Aub Demand'!$A:$A,0))-IF(AN1215="",0,AN1215)+AD1215+AL1215,INDEX('Aub Demand'!Q:Q,MATCH($O1215,'Aub Demand'!$A:$A,0))-IF(AN1215="",0,AN1215)+AD1215))),"")</f>
        <v>407</v>
      </c>
      <c r="Y1215" s="53" t="str">
        <f t="shared" si="508"/>
        <v>n/a</v>
      </c>
      <c r="Z1215" s="52">
        <f>IF(L1215="","",INDEX('Aub Demand'!H:H,MATCH($O1215,'Aub Demand'!$A:$A,0)))</f>
        <v>0</v>
      </c>
      <c r="AA1215" s="52" t="str">
        <f t="shared" si="509"/>
        <v>-spike-</v>
      </c>
      <c r="AB1215" s="52">
        <f>IFERROR(INDEX('Aub Demand'!L:L,MATCH($O1215,'Aub Demand'!$A:$A,0)),"")</f>
        <v>7</v>
      </c>
      <c r="AC1215" s="52">
        <f>IFERROR(IF(O1215="","",SUMIFS('CPL Mats'!F:F,'CPL Mats'!Q:Q,AR1215,'CPL Mats'!S:S,AS1215)),"")</f>
        <v>0</v>
      </c>
      <c r="AF1215" s="25" t="str">
        <f>IF(SUMIFS('Supp Consol'!S:S,'Supp Consol'!Y:Y,"Releasable",'Supp Consol'!A:A,O1215)=0,"",SUMIFS('Supp Consol'!S:S,'Supp Consol'!Y:Y,"Releasable",'Supp Consol'!A:A,O1215))</f>
        <v/>
      </c>
      <c r="AG1215" s="25">
        <f>IFERROR(INDEX('Hun Demand'!Q:Q,MATCH(O1215,'Hun Demand'!A:A,0)),"")</f>
        <v>392</v>
      </c>
      <c r="AH1215" s="25">
        <f>IFERROR(INDEX('Hun Demand'!H:H,MATCH($O1215,'Hun Demand'!$A:$A,0)),"")</f>
        <v>0</v>
      </c>
      <c r="AI1215" s="25" t="str">
        <f>IF(SUMIFS('Supp Consol'!AA:AA,'Supp Consol'!Z:Z,"Expires this month",'Supp Consol'!A:A,O1215)=0,"",SUMIFS('Supp Consol'!AA:AA,'Supp Consol'!Z:Z,"Expires this month",'Supp Consol'!A:A,O1215))</f>
        <v/>
      </c>
      <c r="AJ1215" s="25" t="str">
        <f>IF(SUMIFS('Supp Consol'!AA:AA,'Supp Consol'!Z:Z,"Expired Previous Months",'Supp Consol'!A:A,O1215)=0,"",SUMIFS('Supp Consol'!AA:AA,'Supp Consol'!Z:Z,"Expired Previous Months",'Supp Consol'!A:A,O1215))</f>
        <v/>
      </c>
      <c r="AK1215" s="25" t="str">
        <f>IFERROR(INDEX('Hun Release Current'!B:B,MATCH(O1215,'Hun Release Current'!A:A,0)),"")</f>
        <v/>
      </c>
      <c r="AL1215" s="25" t="str">
        <f>IF(SUMIF('Prev Aub'!A:A,O1215,'Prev Aub'!B:B)=0,"",SUMIF('Prev Aub'!A:A,O1215,'Prev Aub'!B:B))</f>
        <v/>
      </c>
      <c r="AN1215" s="25" t="s">
        <v>3790</v>
      </c>
      <c r="AO1215" s="25" t="s">
        <v>3790</v>
      </c>
      <c r="AP1215" s="25">
        <f t="shared" si="510"/>
        <v>0</v>
      </c>
      <c r="AQ1215" s="151" t="str">
        <f>IF(SUMIFS('Supp Consol'!S:S,'Supp Consol'!A:A,O1215,'Supp Consol'!I:I,"PENDING")=0,"",SUMIFS('Supp Consol'!S:S,'Supp Consol'!A:A,O1215,'Supp Consol'!I:I,"PENDING"))</f>
        <v/>
      </c>
      <c r="AR1215" s="27" t="str">
        <f t="shared" si="511"/>
        <v>SW888</v>
      </c>
      <c r="AS1215" s="27" t="str">
        <f t="shared" si="512"/>
        <v>50</v>
      </c>
      <c r="AT1215" s="27" t="str">
        <f t="shared" si="513"/>
        <v/>
      </c>
      <c r="AU1215" s="27" t="str">
        <f t="shared" si="514"/>
        <v/>
      </c>
      <c r="AV1215" s="27" t="str">
        <f t="shared" si="515"/>
        <v/>
      </c>
      <c r="AW1215" s="27" t="str">
        <f t="shared" si="516"/>
        <v/>
      </c>
      <c r="AX1215" s="27" t="str">
        <f t="shared" si="517"/>
        <v/>
      </c>
      <c r="AY1215" s="27" t="str">
        <f t="shared" si="518"/>
        <v>SW888</v>
      </c>
      <c r="AZ1215" s="27" t="str">
        <f t="shared" si="519"/>
        <v/>
      </c>
      <c r="BA1215" s="27" t="str">
        <f t="shared" si="520"/>
        <v>Hun</v>
      </c>
      <c r="BB1215" s="27" t="str">
        <f t="shared" si="521"/>
        <v/>
      </c>
      <c r="BC1215" s="27" t="str">
        <f t="shared" si="522"/>
        <v/>
      </c>
      <c r="BD1215" s="27" t="str">
        <f t="shared" si="523"/>
        <v/>
      </c>
      <c r="BE1215" s="27" t="str">
        <f t="shared" si="524"/>
        <v/>
      </c>
      <c r="BF1215" s="27" t="str">
        <f t="shared" si="525"/>
        <v/>
      </c>
      <c r="BG1215" s="27" t="str">
        <f t="shared" si="526"/>
        <v/>
      </c>
      <c r="BH1215" s="27" t="str">
        <f t="shared" si="527"/>
        <v/>
      </c>
      <c r="BI1215" s="27" t="str">
        <f t="shared" si="528"/>
        <v/>
      </c>
      <c r="BJ1215" s="27" t="str">
        <f t="shared" si="529"/>
        <v>Supp or Hun</v>
      </c>
      <c r="BK1215" s="27" t="str">
        <f t="shared" si="530"/>
        <v/>
      </c>
      <c r="BL1215" s="27" t="str">
        <f t="shared" si="531"/>
        <v/>
      </c>
      <c r="BM1215" s="21" t="s">
        <v>3790</v>
      </c>
    </row>
    <row r="1216" spans="1:65" ht="15">
      <c r="A1216" s="25">
        <f>IFERROR(INDEX('Hun Demand'!W:W,MATCH(O1216,'Hun Demand'!A:A,0)),"")</f>
        <v>0</v>
      </c>
      <c r="B1216" s="25">
        <f>IFERROR(INDEX('Hun Demand'!V:V,MATCH(O1216,'Hun Demand'!A:A,0)),"")</f>
        <v>0</v>
      </c>
      <c r="C1216" s="25">
        <f>IFERROR(INDEX('Hun Demand'!U:U,MATCH(O1216,'Hun Demand'!A:A,0)),"")</f>
        <v>0</v>
      </c>
      <c r="D1216" s="25">
        <f>IFERROR(INDEX('Hun Demand'!T:T,MATCH(O1216,'Hun Demand'!A:A,0)),"")</f>
        <v>0</v>
      </c>
      <c r="E1216" s="25">
        <f>IFERROR(INDEX('Hun Demand'!S:S,MATCH(O1216,'Hun Demand'!A:A,0)),"")</f>
        <v>0</v>
      </c>
      <c r="F1216" s="25">
        <f>IFERROR(INDEX('Hun Demand'!R:R,MATCH(O1216,'Hun Demand'!A:A,0)),"")</f>
        <v>0</v>
      </c>
      <c r="G1216" s="25">
        <f>IFERROR(INDEX('Aub Demand'!W:W,MATCH(O1216,'Aub Demand'!A:A,0)),"")</f>
        <v>0</v>
      </c>
      <c r="H1216" s="25">
        <f>IFERROR(INDEX('Aub Demand'!V:V,MATCH(O1216,'Aub Demand'!A:A,0)),"")</f>
        <v>0</v>
      </c>
      <c r="I1216" s="25">
        <f>IFERROR(INDEX('Aub Demand'!U:U,MATCH(O1216,'Aub Demand'!A:A,0)),"")</f>
        <v>0</v>
      </c>
      <c r="J1216" s="25">
        <f>IFERROR(INDEX('Aub Demand'!T:T,MATCH(O1216,'Aub Demand'!A:A,0)),"")</f>
        <v>0</v>
      </c>
      <c r="K1216" s="25">
        <f>IFERROR(INDEX('Aub Demand'!S:S,MATCH(O1216,'Aub Demand'!A:A,0)),"")</f>
        <v>0</v>
      </c>
      <c r="L1216" s="25">
        <f>IFERROR(INDEX('Aub Demand'!R:R,MATCH(O1216,'Aub Demand'!A:A,0)),"")</f>
        <v>0</v>
      </c>
      <c r="O1216" s="27" t="s">
        <v>1567</v>
      </c>
      <c r="P1216" s="27" t="str">
        <f>IFERROR(INDEX('Aub Demand'!B:B,MATCH($O1216,'Aub Demand'!$A:$A,0)),"")</f>
        <v>NIMBUS WHITE</v>
      </c>
      <c r="Q1216" s="27" t="str">
        <f>IFERROR(INDEX('Aub Demand'!C:C,MATCH($O1216,'Aub Demand'!$A:$A,0)),"")</f>
        <v>PANOL</v>
      </c>
      <c r="R1216" s="52">
        <f>IFERROR(IF(AR1217=AR1216,INDEX('Aub Demand'!K:K,MATCH($O1216,'Aub Demand'!$A:$A,0))-IF(AN1216="",0,AN1216)+AP1217,INDEX('Aub Demand'!K:K,MATCH($O1216,'Aub Demand'!$A:$A,0))-IF(AN1216="",0,AN1216)),"")</f>
        <v>573</v>
      </c>
      <c r="S1216" s="53" t="str">
        <f t="shared" si="504"/>
        <v>n/a</v>
      </c>
      <c r="T1216" s="52" t="str">
        <f t="shared" si="505"/>
        <v/>
      </c>
      <c r="U1216" s="52">
        <f>IFERROR(IF(AR1217=AR1216,INDEX('Aub Demand'!Q:Q,MATCH($O1216,'Aub Demand'!$A:$A,0))-IF(AN1216="",0,AN1216)+AP1217,INDEX('Aub Demand'!Q:Q,MATCH($O1216,'Aub Demand'!$A:$A,0))-IF(AN1216="",0,AN1216)),"")</f>
        <v>573</v>
      </c>
      <c r="V1216" s="53" t="str">
        <f t="shared" si="506"/>
        <v>n/a</v>
      </c>
      <c r="W1216" s="52" t="str">
        <f t="shared" si="507"/>
        <v/>
      </c>
      <c r="X1216" s="52">
        <f>IFERROR(IF(AND(AR1217=AR1216,AM1216&lt;&gt;""),INDEX('Aub Demand'!Q:Q,MATCH($O1216,'Aub Demand'!$A:$A,0))-IF(AN1216="",0,AN1216)+AP1217+AD1216+AL1216,IF(AR1217=AR1216,INDEX('Aub Demand'!Q:Q,MATCH($O1216,'Aub Demand'!$A:$A,0))-IF(AN1216="",0,AN1216)+AP1217+AD1216,IF(AM1216&lt;&gt;"",INDEX('Aub Demand'!Q:Q,MATCH($O1216,'Aub Demand'!$A:$A,0))-IF(AN1216="",0,AN1216)+AD1216+AL1216,INDEX('Aub Demand'!Q:Q,MATCH($O1216,'Aub Demand'!$A:$A,0))-IF(AN1216="",0,AN1216)+AD1216))),"")</f>
        <v>573</v>
      </c>
      <c r="Y1216" s="53" t="str">
        <f t="shared" si="508"/>
        <v>n/a</v>
      </c>
      <c r="Z1216" s="52">
        <f>IF(L1216="","",INDEX('Aub Demand'!H:H,MATCH($O1216,'Aub Demand'!$A:$A,0)))</f>
        <v>0</v>
      </c>
      <c r="AA1216" s="52" t="str">
        <f t="shared" si="509"/>
        <v>-spike-</v>
      </c>
      <c r="AB1216" s="52">
        <f>IFERROR(INDEX('Aub Demand'!L:L,MATCH($O1216,'Aub Demand'!$A:$A,0)),"")</f>
        <v>45</v>
      </c>
      <c r="AC1216" s="52">
        <f>IFERROR(IF(O1216="","",SUMIFS('CPL Mats'!F:F,'CPL Mats'!Q:Q,AR1216,'CPL Mats'!S:S,AS1216)),"")</f>
        <v>0</v>
      </c>
      <c r="AF1216" s="25" t="str">
        <f>IF(SUMIFS('Supp Consol'!S:S,'Supp Consol'!Y:Y,"Releasable",'Supp Consol'!A:A,O1216)=0,"",SUMIFS('Supp Consol'!S:S,'Supp Consol'!Y:Y,"Releasable",'Supp Consol'!A:A,O1216))</f>
        <v/>
      </c>
      <c r="AG1216" s="25">
        <f>IFERROR(INDEX('Hun Demand'!Q:Q,MATCH(O1216,'Hun Demand'!A:A,0)),"")</f>
        <v>1517</v>
      </c>
      <c r="AH1216" s="25">
        <f>IFERROR(INDEX('Hun Demand'!H:H,MATCH($O1216,'Hun Demand'!$A:$A,0)),"")</f>
        <v>0</v>
      </c>
      <c r="AI1216" s="25" t="str">
        <f>IF(SUMIFS('Supp Consol'!AA:AA,'Supp Consol'!Z:Z,"Expires this month",'Supp Consol'!A:A,O1216)=0,"",SUMIFS('Supp Consol'!AA:AA,'Supp Consol'!Z:Z,"Expires this month",'Supp Consol'!A:A,O1216))</f>
        <v/>
      </c>
      <c r="AJ1216" s="25" t="str">
        <f>IF(SUMIFS('Supp Consol'!AA:AA,'Supp Consol'!Z:Z,"Expired Previous Months",'Supp Consol'!A:A,O1216)=0,"",SUMIFS('Supp Consol'!AA:AA,'Supp Consol'!Z:Z,"Expired Previous Months",'Supp Consol'!A:A,O1216))</f>
        <v/>
      </c>
      <c r="AK1216" s="25" t="str">
        <f>IFERROR(INDEX('Hun Release Current'!B:B,MATCH(O1216,'Hun Release Current'!A:A,0)),"")</f>
        <v/>
      </c>
      <c r="AL1216" s="25" t="str">
        <f>IF(SUMIF('Prev Aub'!A:A,O1216,'Prev Aub'!B:B)=0,"",SUMIF('Prev Aub'!A:A,O1216,'Prev Aub'!B:B))</f>
        <v/>
      </c>
      <c r="AN1216" s="25" t="s">
        <v>3790</v>
      </c>
      <c r="AO1216" s="25" t="s">
        <v>3790</v>
      </c>
      <c r="AP1216" s="25">
        <f t="shared" si="510"/>
        <v>0</v>
      </c>
      <c r="AQ1216" s="151" t="str">
        <f>IF(SUMIFS('Supp Consol'!S:S,'Supp Consol'!A:A,O1216,'Supp Consol'!I:I,"PENDING")=0,"",SUMIFS('Supp Consol'!S:S,'Supp Consol'!A:A,O1216,'Supp Consol'!I:I,"PENDING"))</f>
        <v/>
      </c>
      <c r="AR1216" s="27" t="str">
        <f t="shared" si="511"/>
        <v>SW888</v>
      </c>
      <c r="AS1216" s="27" t="str">
        <f t="shared" si="512"/>
        <v>62</v>
      </c>
      <c r="AT1216" s="27" t="str">
        <f t="shared" si="513"/>
        <v/>
      </c>
      <c r="AU1216" s="27" t="str">
        <f t="shared" si="514"/>
        <v/>
      </c>
      <c r="AV1216" s="27" t="str">
        <f t="shared" si="515"/>
        <v/>
      </c>
      <c r="AW1216" s="27" t="str">
        <f t="shared" si="516"/>
        <v/>
      </c>
      <c r="AX1216" s="27" t="str">
        <f t="shared" si="517"/>
        <v/>
      </c>
      <c r="AY1216" s="27" t="str">
        <f t="shared" si="518"/>
        <v>SW888</v>
      </c>
      <c r="AZ1216" s="27" t="str">
        <f t="shared" si="519"/>
        <v/>
      </c>
      <c r="BA1216" s="27" t="str">
        <f t="shared" si="520"/>
        <v>Hun</v>
      </c>
      <c r="BB1216" s="27" t="str">
        <f t="shared" si="521"/>
        <v/>
      </c>
      <c r="BC1216" s="27" t="str">
        <f t="shared" si="522"/>
        <v/>
      </c>
      <c r="BD1216" s="27" t="str">
        <f t="shared" si="523"/>
        <v/>
      </c>
      <c r="BE1216" s="27" t="str">
        <f t="shared" si="524"/>
        <v/>
      </c>
      <c r="BF1216" s="27" t="str">
        <f t="shared" si="525"/>
        <v/>
      </c>
      <c r="BG1216" s="27" t="str">
        <f t="shared" si="526"/>
        <v/>
      </c>
      <c r="BH1216" s="27" t="str">
        <f t="shared" si="527"/>
        <v/>
      </c>
      <c r="BI1216" s="27" t="str">
        <f t="shared" si="528"/>
        <v/>
      </c>
      <c r="BJ1216" s="27" t="str">
        <f t="shared" si="529"/>
        <v>Supp or Hun</v>
      </c>
      <c r="BK1216" s="27" t="str">
        <f t="shared" si="530"/>
        <v/>
      </c>
      <c r="BL1216" s="27" t="str">
        <f t="shared" si="531"/>
        <v/>
      </c>
      <c r="BM1216" s="21" t="s">
        <v>3790</v>
      </c>
    </row>
    <row r="1217" spans="1:65" ht="15">
      <c r="A1217" s="25" t="str">
        <f>IFERROR(INDEX('Hun Demand'!W:W,MATCH(O1217,'Hun Demand'!A:A,0)),"")</f>
        <v/>
      </c>
      <c r="B1217" s="25" t="str">
        <f>IFERROR(INDEX('Hun Demand'!V:V,MATCH(O1217,'Hun Demand'!A:A,0)),"")</f>
        <v/>
      </c>
      <c r="C1217" s="25" t="str">
        <f>IFERROR(INDEX('Hun Demand'!U:U,MATCH(O1217,'Hun Demand'!A:A,0)),"")</f>
        <v/>
      </c>
      <c r="D1217" s="25" t="str">
        <f>IFERROR(INDEX('Hun Demand'!T:T,MATCH(O1217,'Hun Demand'!A:A,0)),"")</f>
        <v/>
      </c>
      <c r="E1217" s="25" t="str">
        <f>IFERROR(INDEX('Hun Demand'!S:S,MATCH(O1217,'Hun Demand'!A:A,0)),"")</f>
        <v/>
      </c>
      <c r="F1217" s="25" t="str">
        <f>IFERROR(INDEX('Hun Demand'!R:R,MATCH(O1217,'Hun Demand'!A:A,0)),"")</f>
        <v/>
      </c>
      <c r="G1217" s="25">
        <f>IFERROR(INDEX('Aub Demand'!W:W,MATCH(O1217,'Aub Demand'!A:A,0)),"")</f>
        <v>703</v>
      </c>
      <c r="H1217" s="25">
        <f>IFERROR(INDEX('Aub Demand'!V:V,MATCH(O1217,'Aub Demand'!A:A,0)),"")</f>
        <v>60</v>
      </c>
      <c r="I1217" s="25">
        <f>IFERROR(INDEX('Aub Demand'!U:U,MATCH(O1217,'Aub Demand'!A:A,0)),"")</f>
        <v>0</v>
      </c>
      <c r="J1217" s="25">
        <f>IFERROR(INDEX('Aub Demand'!T:T,MATCH(O1217,'Aub Demand'!A:A,0)),"")</f>
        <v>224</v>
      </c>
      <c r="K1217" s="25">
        <f>IFERROR(INDEX('Aub Demand'!S:S,MATCH(O1217,'Aub Demand'!A:A,0)),"")</f>
        <v>0</v>
      </c>
      <c r="L1217" s="25">
        <f>IFERROR(INDEX('Aub Demand'!R:R,MATCH(O1217,'Aub Demand'!A:A,0)),"")</f>
        <v>0</v>
      </c>
      <c r="O1217" s="27" t="s">
        <v>1569</v>
      </c>
      <c r="P1217" s="27" t="str">
        <f>IFERROR(INDEX('Aub Demand'!B:B,MATCH($O1217,'Aub Demand'!$A:$A,0)),"")</f>
        <v>WHITE DIAMOND (treat</v>
      </c>
      <c r="Q1217" s="27" t="str">
        <f>IFERROR(INDEX('Aub Demand'!C:C,MATCH($O1217,'Aub Demand'!$A:$A,0)),"")</f>
        <v>ELESG</v>
      </c>
      <c r="R1217" s="52">
        <f>IFERROR(IF(AR1218=AR1217,INDEX('Aub Demand'!K:K,MATCH($O1217,'Aub Demand'!$A:$A,0))-IF(AN1217="",0,AN1217)+AP1218,INDEX('Aub Demand'!K:K,MATCH($O1217,'Aub Demand'!$A:$A,0))-IF(AN1217="",0,AN1217)),"")</f>
        <v>1259</v>
      </c>
      <c r="S1217" s="53">
        <f t="shared" si="504"/>
        <v>71.900000000000006</v>
      </c>
      <c r="T1217" s="52" t="str">
        <f t="shared" si="505"/>
        <v/>
      </c>
      <c r="U1217" s="52">
        <f>IFERROR(IF(AR1218=AR1217,INDEX('Aub Demand'!Q:Q,MATCH($O1217,'Aub Demand'!$A:$A,0))-IF(AN1217="",0,AN1217)+AP1218,INDEX('Aub Demand'!Q:Q,MATCH($O1217,'Aub Demand'!$A:$A,0))-IF(AN1217="",0,AN1217)),"")</f>
        <v>1259</v>
      </c>
      <c r="V1217" s="53">
        <f t="shared" si="506"/>
        <v>71.900000000000006</v>
      </c>
      <c r="W1217" s="52" t="str">
        <f t="shared" si="507"/>
        <v/>
      </c>
      <c r="X1217" s="52">
        <f>IFERROR(IF(AND(AR1218=AR1217,AM1217&lt;&gt;""),INDEX('Aub Demand'!Q:Q,MATCH($O1217,'Aub Demand'!$A:$A,0))-IF(AN1217="",0,AN1217)+AP1218+AD1217+AL1217,IF(AR1218=AR1217,INDEX('Aub Demand'!Q:Q,MATCH($O1217,'Aub Demand'!$A:$A,0))-IF(AN1217="",0,AN1217)+AP1218+AD1217,IF(AM1217&lt;&gt;"",INDEX('Aub Demand'!Q:Q,MATCH($O1217,'Aub Demand'!$A:$A,0))-IF(AN1217="",0,AN1217)+AD1217+AL1217,INDEX('Aub Demand'!Q:Q,MATCH($O1217,'Aub Demand'!$A:$A,0))-IF(AN1217="",0,AN1217)+AD1217))),"")</f>
        <v>1259</v>
      </c>
      <c r="Y1217" s="53">
        <f t="shared" si="508"/>
        <v>71.900000000000006</v>
      </c>
      <c r="Z1217" s="52">
        <f>IF(L1217="","",INDEX('Aub Demand'!H:H,MATCH($O1217,'Aub Demand'!$A:$A,0)))</f>
        <v>75</v>
      </c>
      <c r="AA1217" s="52" t="str">
        <f t="shared" si="509"/>
        <v>-spike-</v>
      </c>
      <c r="AB1217" s="52">
        <f>IFERROR(INDEX('Aub Demand'!L:L,MATCH($O1217,'Aub Demand'!$A:$A,0)),"")</f>
        <v>23</v>
      </c>
      <c r="AC1217" s="52">
        <f>IFERROR(IF(O1217="","",SUMIFS('CPL Mats'!F:F,'CPL Mats'!Q:Q,AR1217,'CPL Mats'!S:S,AS1217)),"")</f>
        <v>0</v>
      </c>
      <c r="AF1217" s="25" t="str">
        <f>IF(SUMIFS('Supp Consol'!S:S,'Supp Consol'!Y:Y,"Releasable",'Supp Consol'!A:A,O1217)=0,"",SUMIFS('Supp Consol'!S:S,'Supp Consol'!Y:Y,"Releasable",'Supp Consol'!A:A,O1217))</f>
        <v/>
      </c>
      <c r="AG1217" s="25" t="str">
        <f>IFERROR(INDEX('Hun Demand'!Q:Q,MATCH(O1217,'Hun Demand'!A:A,0)),"")</f>
        <v/>
      </c>
      <c r="AH1217" s="25" t="str">
        <f>IFERROR(INDEX('Hun Demand'!H:H,MATCH($O1217,'Hun Demand'!$A:$A,0)),"")</f>
        <v/>
      </c>
      <c r="AI1217" s="25" t="str">
        <f>IF(SUMIFS('Supp Consol'!AA:AA,'Supp Consol'!Z:Z,"Expires this month",'Supp Consol'!A:A,O1217)=0,"",SUMIFS('Supp Consol'!AA:AA,'Supp Consol'!Z:Z,"Expires this month",'Supp Consol'!A:A,O1217))</f>
        <v/>
      </c>
      <c r="AJ1217" s="25" t="str">
        <f>IF(SUMIFS('Supp Consol'!AA:AA,'Supp Consol'!Z:Z,"Expired Previous Months",'Supp Consol'!A:A,O1217)=0,"",SUMIFS('Supp Consol'!AA:AA,'Supp Consol'!Z:Z,"Expired Previous Months",'Supp Consol'!A:A,O1217))</f>
        <v/>
      </c>
      <c r="AK1217" s="25" t="str">
        <f>IFERROR(INDEX('Hun Release Current'!B:B,MATCH(O1217,'Hun Release Current'!A:A,0)),"")</f>
        <v/>
      </c>
      <c r="AL1217" s="25" t="str">
        <f>IF(SUMIF('Prev Aub'!A:A,O1217,'Prev Aub'!B:B)=0,"",SUMIF('Prev Aub'!A:A,O1217,'Prev Aub'!B:B))</f>
        <v/>
      </c>
      <c r="AN1217" s="25" t="s">
        <v>3790</v>
      </c>
      <c r="AO1217" s="25" t="s">
        <v>3790</v>
      </c>
      <c r="AP1217" s="25">
        <f t="shared" si="510"/>
        <v>0</v>
      </c>
      <c r="AQ1217" s="151" t="str">
        <f>IF(SUMIFS('Supp Consol'!S:S,'Supp Consol'!A:A,O1217,'Supp Consol'!I:I,"PENDING")=0,"",SUMIFS('Supp Consol'!S:S,'Supp Consol'!A:A,O1217,'Supp Consol'!I:I,"PENDING"))</f>
        <v/>
      </c>
      <c r="AR1217" s="27" t="str">
        <f t="shared" si="511"/>
        <v>SW890</v>
      </c>
      <c r="AS1217" s="27" t="str">
        <f t="shared" si="512"/>
        <v>50</v>
      </c>
      <c r="AT1217" s="27" t="str">
        <f t="shared" si="513"/>
        <v/>
      </c>
      <c r="AU1217" s="27" t="str">
        <f t="shared" si="514"/>
        <v/>
      </c>
      <c r="AV1217" s="27" t="str">
        <f t="shared" si="515"/>
        <v/>
      </c>
      <c r="AW1217" s="27" t="str">
        <f t="shared" si="516"/>
        <v/>
      </c>
      <c r="AX1217" s="27" t="str">
        <f t="shared" si="517"/>
        <v/>
      </c>
      <c r="AY1217" s="27" t="str">
        <f t="shared" si="518"/>
        <v/>
      </c>
      <c r="AZ1217" s="27" t="str">
        <f t="shared" si="519"/>
        <v/>
      </c>
      <c r="BA1217" s="27" t="str">
        <f t="shared" si="520"/>
        <v/>
      </c>
      <c r="BB1217" s="27" t="str">
        <f t="shared" si="521"/>
        <v/>
      </c>
      <c r="BC1217" s="27" t="str">
        <f t="shared" si="522"/>
        <v/>
      </c>
      <c r="BD1217" s="27" t="str">
        <f t="shared" si="523"/>
        <v/>
      </c>
      <c r="BE1217" s="27" t="str">
        <f t="shared" si="524"/>
        <v/>
      </c>
      <c r="BF1217" s="27" t="str">
        <f t="shared" si="525"/>
        <v/>
      </c>
      <c r="BG1217" s="27" t="str">
        <f t="shared" si="526"/>
        <v/>
      </c>
      <c r="BH1217" s="27" t="str">
        <f t="shared" si="527"/>
        <v/>
      </c>
      <c r="BI1217" s="27" t="str">
        <f t="shared" si="528"/>
        <v/>
      </c>
      <c r="BJ1217" s="27" t="str">
        <f t="shared" si="529"/>
        <v/>
      </c>
      <c r="BK1217" s="27" t="str">
        <f t="shared" si="530"/>
        <v/>
      </c>
      <c r="BL1217" s="27" t="str">
        <f t="shared" si="531"/>
        <v/>
      </c>
      <c r="BM1217" s="21" t="s">
        <v>5581</v>
      </c>
    </row>
    <row r="1218" spans="1:65" ht="15">
      <c r="A1218" s="25" t="str">
        <f>IFERROR(INDEX('Hun Demand'!W:W,MATCH(O1218,'Hun Demand'!A:A,0)),"")</f>
        <v/>
      </c>
      <c r="B1218" s="25" t="str">
        <f>IFERROR(INDEX('Hun Demand'!V:V,MATCH(O1218,'Hun Demand'!A:A,0)),"")</f>
        <v/>
      </c>
      <c r="C1218" s="25" t="str">
        <f>IFERROR(INDEX('Hun Demand'!U:U,MATCH(O1218,'Hun Demand'!A:A,0)),"")</f>
        <v/>
      </c>
      <c r="D1218" s="25" t="str">
        <f>IFERROR(INDEX('Hun Demand'!T:T,MATCH(O1218,'Hun Demand'!A:A,0)),"")</f>
        <v/>
      </c>
      <c r="E1218" s="25" t="str">
        <f>IFERROR(INDEX('Hun Demand'!S:S,MATCH(O1218,'Hun Demand'!A:A,0)),"")</f>
        <v/>
      </c>
      <c r="F1218" s="25" t="str">
        <f>IFERROR(INDEX('Hun Demand'!R:R,MATCH(O1218,'Hun Demand'!A:A,0)),"")</f>
        <v/>
      </c>
      <c r="G1218" s="25">
        <f>IFERROR(INDEX('Aub Demand'!W:W,MATCH(O1218,'Aub Demand'!A:A,0)),"")</f>
        <v>115</v>
      </c>
      <c r="H1218" s="25">
        <f>IFERROR(INDEX('Aub Demand'!V:V,MATCH(O1218,'Aub Demand'!A:A,0)),"")</f>
        <v>22</v>
      </c>
      <c r="I1218" s="25">
        <f>IFERROR(INDEX('Aub Demand'!U:U,MATCH(O1218,'Aub Demand'!A:A,0)),"")</f>
        <v>145</v>
      </c>
      <c r="J1218" s="25">
        <f>IFERROR(INDEX('Aub Demand'!T:T,MATCH(O1218,'Aub Demand'!A:A,0)),"")</f>
        <v>120</v>
      </c>
      <c r="K1218" s="25">
        <f>IFERROR(INDEX('Aub Demand'!S:S,MATCH(O1218,'Aub Demand'!A:A,0)),"")</f>
        <v>0</v>
      </c>
      <c r="L1218" s="25">
        <f>IFERROR(INDEX('Aub Demand'!R:R,MATCH(O1218,'Aub Demand'!A:A,0)),"")</f>
        <v>0</v>
      </c>
      <c r="O1218" s="27" t="s">
        <v>2818</v>
      </c>
      <c r="P1218" s="27" t="str">
        <f>IFERROR(INDEX('Aub Demand'!B:B,MATCH($O1218,'Aub Demand'!$A:$A,0)),"")</f>
        <v>SUNRAY</v>
      </c>
      <c r="Q1218" s="27" t="str">
        <f>IFERROR(INDEX('Aub Demand'!C:C,MATCH($O1218,'Aub Demand'!$A:$A,0)),"")</f>
        <v>ONYX</v>
      </c>
      <c r="R1218" s="52">
        <f>IFERROR(IF(AR1219=AR1218,INDEX('Aub Demand'!K:K,MATCH($O1218,'Aub Demand'!$A:$A,0))-IF(AN1218="",0,AN1218)+AP1219,INDEX('Aub Demand'!K:K,MATCH($O1218,'Aub Demand'!$A:$A,0))-IF(AN1218="",0,AN1218)),"")</f>
        <v>835</v>
      </c>
      <c r="S1218" s="53">
        <f t="shared" si="504"/>
        <v>40.700000000000003</v>
      </c>
      <c r="T1218" s="52" t="str">
        <f t="shared" si="505"/>
        <v/>
      </c>
      <c r="U1218" s="52">
        <f>IFERROR(IF(AR1219=AR1218,INDEX('Aub Demand'!Q:Q,MATCH($O1218,'Aub Demand'!$A:$A,0))-IF(AN1218="",0,AN1218)+AP1219,INDEX('Aub Demand'!Q:Q,MATCH($O1218,'Aub Demand'!$A:$A,0))-IF(AN1218="",0,AN1218)),"")</f>
        <v>690</v>
      </c>
      <c r="V1218" s="53">
        <f t="shared" si="506"/>
        <v>33.6</v>
      </c>
      <c r="W1218" s="52" t="str">
        <f t="shared" si="507"/>
        <v/>
      </c>
      <c r="X1218" s="52">
        <f>IFERROR(IF(AND(AR1219=AR1218,AM1218&lt;&gt;""),INDEX('Aub Demand'!Q:Q,MATCH($O1218,'Aub Demand'!$A:$A,0))-IF(AN1218="",0,AN1218)+AP1219+AD1218+AL1218,IF(AR1219=AR1218,INDEX('Aub Demand'!Q:Q,MATCH($O1218,'Aub Demand'!$A:$A,0))-IF(AN1218="",0,AN1218)+AP1219+AD1218,IF(AM1218&lt;&gt;"",INDEX('Aub Demand'!Q:Q,MATCH($O1218,'Aub Demand'!$A:$A,0))-IF(AN1218="",0,AN1218)+AD1218+AL1218,INDEX('Aub Demand'!Q:Q,MATCH($O1218,'Aub Demand'!$A:$A,0))-IF(AN1218="",0,AN1218)+AD1218))),"")</f>
        <v>690</v>
      </c>
      <c r="Y1218" s="53">
        <f t="shared" si="508"/>
        <v>33.6</v>
      </c>
      <c r="Z1218" s="52">
        <f>IF(L1218="","",INDEX('Aub Demand'!H:H,MATCH($O1218,'Aub Demand'!$A:$A,0)))</f>
        <v>88</v>
      </c>
      <c r="AA1218" s="52">
        <f t="shared" si="509"/>
        <v>132.5</v>
      </c>
      <c r="AB1218" s="52">
        <f>IFERROR(INDEX('Aub Demand'!L:L,MATCH($O1218,'Aub Demand'!$A:$A,0)),"")</f>
        <v>97</v>
      </c>
      <c r="AC1218" s="52">
        <f>IFERROR(IF(O1218="","",SUMIFS('CPL Mats'!F:F,'CPL Mats'!Q:Q,AR1218,'CPL Mats'!S:S,AS1218)),"")</f>
        <v>0</v>
      </c>
      <c r="AF1218" s="25" t="str">
        <f>IF(SUMIFS('Supp Consol'!S:S,'Supp Consol'!Y:Y,"Releasable",'Supp Consol'!A:A,O1218)=0,"",SUMIFS('Supp Consol'!S:S,'Supp Consol'!Y:Y,"Releasable",'Supp Consol'!A:A,O1218))</f>
        <v/>
      </c>
      <c r="AG1218" s="25" t="str">
        <f>IFERROR(INDEX('Hun Demand'!Q:Q,MATCH(O1218,'Hun Demand'!A:A,0)),"")</f>
        <v/>
      </c>
      <c r="AH1218" s="25" t="str">
        <f>IFERROR(INDEX('Hun Demand'!H:H,MATCH($O1218,'Hun Demand'!$A:$A,0)),"")</f>
        <v/>
      </c>
      <c r="AI1218" s="25" t="str">
        <f>IF(SUMIFS('Supp Consol'!AA:AA,'Supp Consol'!Z:Z,"Expires this month",'Supp Consol'!A:A,O1218)=0,"",SUMIFS('Supp Consol'!AA:AA,'Supp Consol'!Z:Z,"Expires this month",'Supp Consol'!A:A,O1218))</f>
        <v/>
      </c>
      <c r="AJ1218" s="25" t="str">
        <f>IF(SUMIFS('Supp Consol'!AA:AA,'Supp Consol'!Z:Z,"Expired Previous Months",'Supp Consol'!A:A,O1218)=0,"",SUMIFS('Supp Consol'!AA:AA,'Supp Consol'!Z:Z,"Expired Previous Months",'Supp Consol'!A:A,O1218))</f>
        <v/>
      </c>
      <c r="AK1218" s="25" t="str">
        <f>IFERROR(INDEX('Hun Release Current'!B:B,MATCH(O1218,'Hun Release Current'!A:A,0)),"")</f>
        <v/>
      </c>
      <c r="AL1218" s="25" t="str">
        <f>IF(SUMIF('Prev Aub'!A:A,O1218,'Prev Aub'!B:B)=0,"",SUMIF('Prev Aub'!A:A,O1218,'Prev Aub'!B:B))</f>
        <v/>
      </c>
      <c r="AN1218" s="25" t="s">
        <v>3790</v>
      </c>
      <c r="AO1218" s="25" t="s">
        <v>3790</v>
      </c>
      <c r="AP1218" s="25">
        <f t="shared" si="510"/>
        <v>0</v>
      </c>
      <c r="AQ1218" s="151" t="str">
        <f>IF(SUMIFS('Supp Consol'!S:S,'Supp Consol'!A:A,O1218,'Supp Consol'!I:I,"PENDING")=0,"",SUMIFS('Supp Consol'!S:S,'Supp Consol'!A:A,O1218,'Supp Consol'!I:I,"PENDING"))</f>
        <v/>
      </c>
      <c r="AR1218" s="27" t="str">
        <f t="shared" si="511"/>
        <v>SY422</v>
      </c>
      <c r="AS1218" s="27" t="str">
        <f t="shared" si="512"/>
        <v>50</v>
      </c>
      <c r="AT1218" s="27" t="str">
        <f t="shared" si="513"/>
        <v/>
      </c>
      <c r="AU1218" s="27" t="str">
        <f t="shared" si="514"/>
        <v/>
      </c>
      <c r="AV1218" s="27" t="str">
        <f t="shared" si="515"/>
        <v/>
      </c>
      <c r="AW1218" s="27" t="str">
        <f t="shared" si="516"/>
        <v/>
      </c>
      <c r="AX1218" s="27" t="str">
        <f t="shared" si="517"/>
        <v/>
      </c>
      <c r="AY1218" s="27" t="str">
        <f t="shared" si="518"/>
        <v/>
      </c>
      <c r="AZ1218" s="27" t="str">
        <f t="shared" si="519"/>
        <v/>
      </c>
      <c r="BA1218" s="27" t="str">
        <f t="shared" si="520"/>
        <v/>
      </c>
      <c r="BB1218" s="27" t="str">
        <f t="shared" si="521"/>
        <v/>
      </c>
      <c r="BC1218" s="27" t="str">
        <f t="shared" si="522"/>
        <v/>
      </c>
      <c r="BD1218" s="27" t="str">
        <f t="shared" si="523"/>
        <v/>
      </c>
      <c r="BE1218" s="27" t="str">
        <f t="shared" si="524"/>
        <v/>
      </c>
      <c r="BF1218" s="27" t="str">
        <f t="shared" si="525"/>
        <v/>
      </c>
      <c r="BG1218" s="27" t="str">
        <f t="shared" si="526"/>
        <v/>
      </c>
      <c r="BH1218" s="27" t="str">
        <f t="shared" si="527"/>
        <v/>
      </c>
      <c r="BI1218" s="27" t="str">
        <f t="shared" si="528"/>
        <v/>
      </c>
      <c r="BJ1218" s="27" t="str">
        <f t="shared" si="529"/>
        <v/>
      </c>
      <c r="BK1218" s="27" t="str">
        <f t="shared" si="530"/>
        <v/>
      </c>
      <c r="BL1218" s="27" t="str">
        <f t="shared" si="531"/>
        <v/>
      </c>
      <c r="BM1218" s="21" t="s">
        <v>5581</v>
      </c>
    </row>
    <row r="1219" spans="1:65" ht="15">
      <c r="A1219" s="25" t="str">
        <f>IFERROR(INDEX('Hun Demand'!W:W,MATCH(O1219,'Hun Demand'!A:A,0)),"")</f>
        <v/>
      </c>
      <c r="B1219" s="25" t="str">
        <f>IFERROR(INDEX('Hun Demand'!V:V,MATCH(O1219,'Hun Demand'!A:A,0)),"")</f>
        <v/>
      </c>
      <c r="C1219" s="25" t="str">
        <f>IFERROR(INDEX('Hun Demand'!U:U,MATCH(O1219,'Hun Demand'!A:A,0)),"")</f>
        <v/>
      </c>
      <c r="D1219" s="25" t="str">
        <f>IFERROR(INDEX('Hun Demand'!T:T,MATCH(O1219,'Hun Demand'!A:A,0)),"")</f>
        <v/>
      </c>
      <c r="E1219" s="25" t="str">
        <f>IFERROR(INDEX('Hun Demand'!S:S,MATCH(O1219,'Hun Demand'!A:A,0)),"")</f>
        <v/>
      </c>
      <c r="F1219" s="25" t="str">
        <f>IFERROR(INDEX('Hun Demand'!R:R,MATCH(O1219,'Hun Demand'!A:A,0)),"")</f>
        <v/>
      </c>
      <c r="G1219" s="25">
        <f>IFERROR(INDEX('Aub Demand'!W:W,MATCH(O1219,'Aub Demand'!A:A,0)),"")</f>
        <v>148</v>
      </c>
      <c r="H1219" s="25">
        <f>IFERROR(INDEX('Aub Demand'!V:V,MATCH(O1219,'Aub Demand'!A:A,0)),"")</f>
        <v>24</v>
      </c>
      <c r="I1219" s="25">
        <f>IFERROR(INDEX('Aub Demand'!U:U,MATCH(O1219,'Aub Demand'!A:A,0)),"")</f>
        <v>79</v>
      </c>
      <c r="J1219" s="25">
        <f>IFERROR(INDEX('Aub Demand'!T:T,MATCH(O1219,'Aub Demand'!A:A,0)),"")</f>
        <v>0</v>
      </c>
      <c r="K1219" s="25">
        <f>IFERROR(INDEX('Aub Demand'!S:S,MATCH(O1219,'Aub Demand'!A:A,0)),"")</f>
        <v>0</v>
      </c>
      <c r="L1219" s="25">
        <f>IFERROR(INDEX('Aub Demand'!R:R,MATCH(O1219,'Aub Demand'!A:A,0)),"")</f>
        <v>0</v>
      </c>
      <c r="O1219" s="27" t="s">
        <v>2821</v>
      </c>
      <c r="P1219" s="27" t="str">
        <f>IFERROR(INDEX('Aub Demand'!B:B,MATCH($O1219,'Aub Demand'!$A:$A,0)),"")</f>
        <v>SUNRAY 62"</v>
      </c>
      <c r="Q1219" s="27" t="str">
        <f>IFERROR(INDEX('Aub Demand'!C:C,MATCH($O1219,'Aub Demand'!$A:$A,0)),"")</f>
        <v>ONYX</v>
      </c>
      <c r="R1219" s="52">
        <f>IFERROR(IF(AR1220=AR1219,INDEX('Aub Demand'!K:K,MATCH($O1219,'Aub Demand'!$A:$A,0))-IF(AN1219="",0,AN1219)+AP1220,INDEX('Aub Demand'!K:K,MATCH($O1219,'Aub Demand'!$A:$A,0))-IF(AN1219="",0,AN1219)),"")</f>
        <v>2263</v>
      </c>
      <c r="S1219" s="53">
        <f t="shared" ref="S1219:S1282" si="532">IFERROR(IF(O1219="","",ROUND(R1219/((Z1219/30)*7),1)),"n/a")</f>
        <v>373</v>
      </c>
      <c r="T1219" s="52" t="str">
        <f t="shared" ref="T1219:T1282" si="533">IFERROR(IF(S1219&lt;3.1,IF(AA1219="spike",(3-S1219)*(Z1219/4),(3-S1219)*(AA1219/4)),""),"")</f>
        <v/>
      </c>
      <c r="U1219" s="52">
        <f>IFERROR(IF(AR1220=AR1219,INDEX('Aub Demand'!Q:Q,MATCH($O1219,'Aub Demand'!$A:$A,0))-IF(AN1219="",0,AN1219)+AP1220,INDEX('Aub Demand'!Q:Q,MATCH($O1219,'Aub Demand'!$A:$A,0))-IF(AN1219="",0,AN1219)),"")</f>
        <v>2251</v>
      </c>
      <c r="V1219" s="53">
        <f t="shared" ref="V1219:V1282" si="534">IFERROR(IF(O1219="","",ROUND(U1219/((Z1219/30)*7),1)),"n/a")</f>
        <v>371</v>
      </c>
      <c r="W1219" s="52" t="str">
        <f t="shared" ref="W1219:W1282" si="535">IF(IFERROR(IF(V1219&lt;3.1,IF(AA1219="spike",(3-V1219)*(Z1219/4),(3-V1219)*(AA1219/4)),""),"")&lt;0,0,IFERROR(IF(V1219&lt;3.1,IF(AA1219="spike",(3-V1219)*(Z1219/4),(3-V1219)*(AA1219/4)),""),""))</f>
        <v/>
      </c>
      <c r="X1219" s="52">
        <f>IFERROR(IF(AND(AR1220=AR1219,AM1219&lt;&gt;""),INDEX('Aub Demand'!Q:Q,MATCH($O1219,'Aub Demand'!$A:$A,0))-IF(AN1219="",0,AN1219)+AP1220+AD1219+AL1219,IF(AR1220=AR1219,INDEX('Aub Demand'!Q:Q,MATCH($O1219,'Aub Demand'!$A:$A,0))-IF(AN1219="",0,AN1219)+AP1220+AD1219,IF(AM1219&lt;&gt;"",INDEX('Aub Demand'!Q:Q,MATCH($O1219,'Aub Demand'!$A:$A,0))-IF(AN1219="",0,AN1219)+AD1219+AL1219,INDEX('Aub Demand'!Q:Q,MATCH($O1219,'Aub Demand'!$A:$A,0))-IF(AN1219="",0,AN1219)+AD1219))),"")</f>
        <v>2251</v>
      </c>
      <c r="Y1219" s="53">
        <f t="shared" ref="Y1219:Y1282" si="536">IFERROR(IF(O1219="","",ROUND(X1219/((Z1219/30)*7),1)),"n/a")</f>
        <v>371</v>
      </c>
      <c r="Z1219" s="52">
        <f>IF(L1219="","",INDEX('Aub Demand'!H:H,MATCH($O1219,'Aub Demand'!$A:$A,0)))</f>
        <v>26</v>
      </c>
      <c r="AA1219" s="52" t="str">
        <f t="shared" ref="AA1219:AA1282" si="537">IF(L1219="","",IF(LARGE(I1219:L1219,2)=0,"-spike-",AVERAGE(LARGE(I1219:L1219,1),LARGE(I1219:L1219,2))))</f>
        <v>-spike-</v>
      </c>
      <c r="AB1219" s="52">
        <f>IFERROR(INDEX('Aub Demand'!L:L,MATCH($O1219,'Aub Demand'!$A:$A,0)),"")</f>
        <v>135</v>
      </c>
      <c r="AC1219" s="52">
        <f>IFERROR(IF(O1219="","",SUMIFS('CPL Mats'!F:F,'CPL Mats'!Q:Q,AR1219,'CPL Mats'!S:S,AS1219)),"")</f>
        <v>0</v>
      </c>
      <c r="AF1219" s="25" t="str">
        <f>IF(SUMIFS('Supp Consol'!S:S,'Supp Consol'!Y:Y,"Releasable",'Supp Consol'!A:A,O1219)=0,"",SUMIFS('Supp Consol'!S:S,'Supp Consol'!Y:Y,"Releasable",'Supp Consol'!A:A,O1219))</f>
        <v/>
      </c>
      <c r="AG1219" s="25" t="str">
        <f>IFERROR(INDEX('Hun Demand'!Q:Q,MATCH(O1219,'Hun Demand'!A:A,0)),"")</f>
        <v/>
      </c>
      <c r="AH1219" s="25" t="str">
        <f>IFERROR(INDEX('Hun Demand'!H:H,MATCH($O1219,'Hun Demand'!$A:$A,0)),"")</f>
        <v/>
      </c>
      <c r="AI1219" s="25" t="str">
        <f>IF(SUMIFS('Supp Consol'!AA:AA,'Supp Consol'!Z:Z,"Expires this month",'Supp Consol'!A:A,O1219)=0,"",SUMIFS('Supp Consol'!AA:AA,'Supp Consol'!Z:Z,"Expires this month",'Supp Consol'!A:A,O1219))</f>
        <v/>
      </c>
      <c r="AJ1219" s="25" t="str">
        <f>IF(SUMIFS('Supp Consol'!AA:AA,'Supp Consol'!Z:Z,"Expired Previous Months",'Supp Consol'!A:A,O1219)=0,"",SUMIFS('Supp Consol'!AA:AA,'Supp Consol'!Z:Z,"Expired Previous Months",'Supp Consol'!A:A,O1219))</f>
        <v/>
      </c>
      <c r="AK1219" s="25" t="str">
        <f>IFERROR(INDEX('Hun Release Current'!B:B,MATCH(O1219,'Hun Release Current'!A:A,0)),"")</f>
        <v/>
      </c>
      <c r="AL1219" s="25" t="str">
        <f>IF(SUMIF('Prev Aub'!A:A,O1219,'Prev Aub'!B:B)=0,"",SUMIF('Prev Aub'!A:A,O1219,'Prev Aub'!B:B))</f>
        <v/>
      </c>
      <c r="AN1219" s="25" t="s">
        <v>3790</v>
      </c>
      <c r="AO1219" s="25" t="s">
        <v>3790</v>
      </c>
      <c r="AP1219" s="25">
        <f t="shared" ref="AP1219:AP1282" si="538">IFERROR(IF(O1219="","",IF(AN1219="",0,VALUE(AN1219)-(VALUE(AN1219)*0.2))),"")</f>
        <v>0</v>
      </c>
      <c r="AQ1219" s="151" t="str">
        <f>IF(SUMIFS('Supp Consol'!S:S,'Supp Consol'!A:A,O1219,'Supp Consol'!I:I,"PENDING")=0,"",SUMIFS('Supp Consol'!S:S,'Supp Consol'!A:A,O1219,'Supp Consol'!I:I,"PENDING"))</f>
        <v/>
      </c>
      <c r="AR1219" s="27" t="str">
        <f t="shared" ref="AR1219:AR1282" si="539">MID(O1219,4,5)</f>
        <v>SY422</v>
      </c>
      <c r="AS1219" s="27" t="str">
        <f t="shared" ref="AS1219:AS1282" si="540">MID(O1219,10,2)</f>
        <v>62</v>
      </c>
      <c r="AT1219" s="27" t="str">
        <f t="shared" ref="AT1219:AT1282" si="541">IF(S1219&lt;3.1,AR1219,"")</f>
        <v/>
      </c>
      <c r="AU1219" s="27" t="str">
        <f t="shared" ref="AU1219:AU1282" si="542">IF(Y1219&lt;3.1,AR1219,"")</f>
        <v/>
      </c>
      <c r="AV1219" s="27" t="str">
        <f t="shared" ref="AV1219:AV1282" si="543">IF(AND(AA1219="Spike",L1219=0,K1219=0,X1219&gt;=0),"",IF(Y1219&lt;3.1,AR1219,""))</f>
        <v/>
      </c>
      <c r="AW1219" s="27" t="str">
        <f t="shared" ref="AW1219:AW1282" si="544">IF(AI1219=AL1219,"",IF(OR(AI1219&lt;&gt;"",AJ1219&lt;&gt;""),AR1219,""))</f>
        <v/>
      </c>
      <c r="AX1219" s="27" t="str">
        <f t="shared" ref="AX1219:AX1282" si="545">IF(AF1219&lt;&gt;"",AR1219,"")</f>
        <v/>
      </c>
      <c r="AY1219" s="27" t="str">
        <f t="shared" ref="AY1219:AY1282" si="546">IF(AND(AG1219&lt;&gt;"",AG1219&gt;AH1219),AR1219,"")</f>
        <v/>
      </c>
      <c r="AZ1219" s="27" t="str">
        <f t="shared" ref="AZ1219:AZ1282" si="547">IFERROR(IF(O1219="","",IF(ISERROR(MATCH(AR1219,AX:AX,0)),"","Supp")),"")</f>
        <v/>
      </c>
      <c r="BA1219" s="27" t="str">
        <f t="shared" ref="BA1219:BA1282" si="548">IFERROR(IF(O1219="","",IF(ISERROR(MATCH(AR1219,AY:AY,0)),"","Hun")),"")</f>
        <v/>
      </c>
      <c r="BB1219" s="27" t="str">
        <f t="shared" ref="BB1219:BB1282" si="549">IFERROR(IF(O1219="","",IF(ISERROR(MATCH(AR1219,AT:AT,0)),"","Gross")),"")</f>
        <v/>
      </c>
      <c r="BC1219" s="27" t="str">
        <f t="shared" ref="BC1219:BC1282" si="550">IFERROR(IF(O1219="","",IF(ISERROR(MATCH(AR1219,AU:AU,0)),"","Net")),"")</f>
        <v/>
      </c>
      <c r="BD1219" s="27" t="str">
        <f t="shared" ref="BD1219:BD1282" si="551">IFERROR(IF(O1219="","",IF(ISERROR(MATCH(AR1219,AV:AV,0)),"","Net")),"")</f>
        <v/>
      </c>
      <c r="BE1219" s="27" t="str">
        <f t="shared" ref="BE1219:BE1282" si="552">IFERROR(IF(O1219="","",IF(ISERROR(MATCH(AR1219,AW:AW,0)),"","Exp")),"")</f>
        <v/>
      </c>
      <c r="BF1219" s="27" t="str">
        <f t="shared" ref="BF1219:BF1282" si="553">IFERROR(IF(O1219="","",IF(AND(AZ1219="Supp",BC1219="Net"),"S+N","")),"")</f>
        <v/>
      </c>
      <c r="BG1219" s="27" t="str">
        <f t="shared" ref="BG1219:BG1282" si="554">IFERROR(IF(O1219="","",IF(OR(BE1219&lt;&gt;"",BF1219&lt;&gt;""),"S+NorE","")),"")</f>
        <v/>
      </c>
      <c r="BH1219" s="27" t="str">
        <f t="shared" ref="BH1219:BH1282" si="555">IFERROR(IF(O1219="","",IF(AND(BA1219&lt;&gt;"",BC1219&lt;&gt;""),"H+N","")),"")</f>
        <v/>
      </c>
      <c r="BI1219" s="27" t="str">
        <f t="shared" ref="BI1219:BI1282" si="556">IFERROR(IF(O1219="","",IF(AND(BA1219&lt;&gt;"",BD1219&lt;&gt;""),"H+Nex","")),"")</f>
        <v/>
      </c>
      <c r="BJ1219" s="27" t="str">
        <f t="shared" ref="BJ1219:BJ1282" si="557">IF(OR(AZ1219&lt;&gt;"",BA1219&lt;&gt;""),"Supp or Hun","")</f>
        <v/>
      </c>
      <c r="BK1219" s="27" t="str">
        <f t="shared" ref="BK1219:BK1282" si="558">IF(AND(BJ1219&lt;&gt;"",BC1219&lt;&gt;""),"Supp or Hun Need","")</f>
        <v/>
      </c>
      <c r="BL1219" s="27" t="str">
        <f t="shared" ref="BL1219:BL1282" si="559">IF(OR(BK1219&lt;&gt;"",BE1219&lt;&gt;""),"SorHandNandE","")</f>
        <v/>
      </c>
      <c r="BM1219" s="21" t="s">
        <v>5581</v>
      </c>
    </row>
    <row r="1220" spans="1:65" ht="15">
      <c r="A1220" s="25" t="str">
        <f>IFERROR(INDEX('Hun Demand'!W:W,MATCH(O1220,'Hun Demand'!A:A,0)),"")</f>
        <v/>
      </c>
      <c r="B1220" s="25" t="str">
        <f>IFERROR(INDEX('Hun Demand'!V:V,MATCH(O1220,'Hun Demand'!A:A,0)),"")</f>
        <v/>
      </c>
      <c r="C1220" s="25" t="str">
        <f>IFERROR(INDEX('Hun Demand'!U:U,MATCH(O1220,'Hun Demand'!A:A,0)),"")</f>
        <v/>
      </c>
      <c r="D1220" s="25" t="str">
        <f>IFERROR(INDEX('Hun Demand'!T:T,MATCH(O1220,'Hun Demand'!A:A,0)),"")</f>
        <v/>
      </c>
      <c r="E1220" s="25" t="str">
        <f>IFERROR(INDEX('Hun Demand'!S:S,MATCH(O1220,'Hun Demand'!A:A,0)),"")</f>
        <v/>
      </c>
      <c r="F1220" s="25" t="str">
        <f>IFERROR(INDEX('Hun Demand'!R:R,MATCH(O1220,'Hun Demand'!A:A,0)),"")</f>
        <v/>
      </c>
      <c r="G1220" s="25">
        <f>IFERROR(INDEX('Aub Demand'!W:W,MATCH(O1220,'Aub Demand'!A:A,0)),"")</f>
        <v>94</v>
      </c>
      <c r="H1220" s="25">
        <f>IFERROR(INDEX('Aub Demand'!V:V,MATCH(O1220,'Aub Demand'!A:A,0)),"")</f>
        <v>122</v>
      </c>
      <c r="I1220" s="25">
        <f>IFERROR(INDEX('Aub Demand'!U:U,MATCH(O1220,'Aub Demand'!A:A,0)),"")</f>
        <v>0</v>
      </c>
      <c r="J1220" s="25">
        <f>IFERROR(INDEX('Aub Demand'!T:T,MATCH(O1220,'Aub Demand'!A:A,0)),"")</f>
        <v>123</v>
      </c>
      <c r="K1220" s="25">
        <f>IFERROR(INDEX('Aub Demand'!S:S,MATCH(O1220,'Aub Demand'!A:A,0)),"")</f>
        <v>107</v>
      </c>
      <c r="L1220" s="25">
        <f>IFERROR(INDEX('Aub Demand'!R:R,MATCH(O1220,'Aub Demand'!A:A,0)),"")</f>
        <v>0</v>
      </c>
      <c r="O1220" s="27" t="s">
        <v>1571</v>
      </c>
      <c r="P1220" s="27" t="str">
        <f>IFERROR(INDEX('Aub Demand'!B:B,MATCH($O1220,'Aub Demand'!$A:$A,0)),"")</f>
        <v>FORSYTHIA</v>
      </c>
      <c r="Q1220" s="27" t="str">
        <f>IFERROR(INDEX('Aub Demand'!C:C,MATCH($O1220,'Aub Demand'!$A:$A,0)),"")</f>
        <v>ONYX</v>
      </c>
      <c r="R1220" s="52">
        <f>IFERROR(IF(AR1221=AR1220,INDEX('Aub Demand'!K:K,MATCH($O1220,'Aub Demand'!$A:$A,0))-IF(AN1220="",0,AN1220)+AP1221,INDEX('Aub Demand'!K:K,MATCH($O1220,'Aub Demand'!$A:$A,0))-IF(AN1220="",0,AN1220)),"")</f>
        <v>499</v>
      </c>
      <c r="S1220" s="53">
        <f t="shared" si="532"/>
        <v>27.8</v>
      </c>
      <c r="T1220" s="52" t="str">
        <f t="shared" si="533"/>
        <v/>
      </c>
      <c r="U1220" s="52">
        <f>IFERROR(IF(AR1221=AR1220,INDEX('Aub Demand'!Q:Q,MATCH($O1220,'Aub Demand'!$A:$A,0))-IF(AN1220="",0,AN1220)+AP1221,INDEX('Aub Demand'!Q:Q,MATCH($O1220,'Aub Demand'!$A:$A,0))-IF(AN1220="",0,AN1220)),"")</f>
        <v>445</v>
      </c>
      <c r="V1220" s="53">
        <f t="shared" si="534"/>
        <v>24.8</v>
      </c>
      <c r="W1220" s="52" t="str">
        <f t="shared" si="535"/>
        <v/>
      </c>
      <c r="X1220" s="52">
        <f>IFERROR(IF(AND(AR1221=AR1220,AM1220&lt;&gt;""),INDEX('Aub Demand'!Q:Q,MATCH($O1220,'Aub Demand'!$A:$A,0))-IF(AN1220="",0,AN1220)+AP1221+AD1220+AL1220,IF(AR1221=AR1220,INDEX('Aub Demand'!Q:Q,MATCH($O1220,'Aub Demand'!$A:$A,0))-IF(AN1220="",0,AN1220)+AP1221+AD1220,IF(AM1220&lt;&gt;"",INDEX('Aub Demand'!Q:Q,MATCH($O1220,'Aub Demand'!$A:$A,0))-IF(AN1220="",0,AN1220)+AD1220+AL1220,INDEX('Aub Demand'!Q:Q,MATCH($O1220,'Aub Demand'!$A:$A,0))-IF(AN1220="",0,AN1220)+AD1220))),"")</f>
        <v>445</v>
      </c>
      <c r="Y1220" s="53">
        <f t="shared" si="536"/>
        <v>24.8</v>
      </c>
      <c r="Z1220" s="52">
        <f>IF(L1220="","",INDEX('Aub Demand'!H:H,MATCH($O1220,'Aub Demand'!$A:$A,0)))</f>
        <v>77</v>
      </c>
      <c r="AA1220" s="52">
        <f t="shared" si="537"/>
        <v>115</v>
      </c>
      <c r="AB1220" s="52">
        <f>IFERROR(INDEX('Aub Demand'!L:L,MATCH($O1220,'Aub Demand'!$A:$A,0)),"")</f>
        <v>62</v>
      </c>
      <c r="AC1220" s="52">
        <f>IFERROR(IF(O1220="","",SUMIFS('CPL Mats'!F:F,'CPL Mats'!Q:Q,AR1220,'CPL Mats'!S:S,AS1220)),"")</f>
        <v>0</v>
      </c>
      <c r="AF1220" s="25" t="str">
        <f>IF(SUMIFS('Supp Consol'!S:S,'Supp Consol'!Y:Y,"Releasable",'Supp Consol'!A:A,O1220)=0,"",SUMIFS('Supp Consol'!S:S,'Supp Consol'!Y:Y,"Releasable",'Supp Consol'!A:A,O1220))</f>
        <v/>
      </c>
      <c r="AG1220" s="25" t="str">
        <f>IFERROR(INDEX('Hun Demand'!Q:Q,MATCH(O1220,'Hun Demand'!A:A,0)),"")</f>
        <v/>
      </c>
      <c r="AH1220" s="25" t="str">
        <f>IFERROR(INDEX('Hun Demand'!H:H,MATCH($O1220,'Hun Demand'!$A:$A,0)),"")</f>
        <v/>
      </c>
      <c r="AI1220" s="25" t="str">
        <f>IF(SUMIFS('Supp Consol'!AA:AA,'Supp Consol'!Z:Z,"Expires this month",'Supp Consol'!A:A,O1220)=0,"",SUMIFS('Supp Consol'!AA:AA,'Supp Consol'!Z:Z,"Expires this month",'Supp Consol'!A:A,O1220))</f>
        <v/>
      </c>
      <c r="AJ1220" s="25" t="str">
        <f>IF(SUMIFS('Supp Consol'!AA:AA,'Supp Consol'!Z:Z,"Expired Previous Months",'Supp Consol'!A:A,O1220)=0,"",SUMIFS('Supp Consol'!AA:AA,'Supp Consol'!Z:Z,"Expired Previous Months",'Supp Consol'!A:A,O1220))</f>
        <v/>
      </c>
      <c r="AK1220" s="25" t="str">
        <f>IFERROR(INDEX('Hun Release Current'!B:B,MATCH(O1220,'Hun Release Current'!A:A,0)),"")</f>
        <v/>
      </c>
      <c r="AL1220" s="25" t="str">
        <f>IF(SUMIF('Prev Aub'!A:A,O1220,'Prev Aub'!B:B)=0,"",SUMIF('Prev Aub'!A:A,O1220,'Prev Aub'!B:B))</f>
        <v/>
      </c>
      <c r="AN1220" s="25" t="s">
        <v>3790</v>
      </c>
      <c r="AO1220" s="25" t="s">
        <v>3790</v>
      </c>
      <c r="AP1220" s="25">
        <f t="shared" si="538"/>
        <v>0</v>
      </c>
      <c r="AQ1220" s="151" t="str">
        <f>IF(SUMIFS('Supp Consol'!S:S,'Supp Consol'!A:A,O1220,'Supp Consol'!I:I,"PENDING")=0,"",SUMIFS('Supp Consol'!S:S,'Supp Consol'!A:A,O1220,'Supp Consol'!I:I,"PENDING"))</f>
        <v/>
      </c>
      <c r="AR1220" s="27" t="str">
        <f t="shared" si="539"/>
        <v>SY913</v>
      </c>
      <c r="AS1220" s="27" t="str">
        <f t="shared" si="540"/>
        <v>50</v>
      </c>
      <c r="AT1220" s="27" t="str">
        <f t="shared" si="541"/>
        <v/>
      </c>
      <c r="AU1220" s="27" t="str">
        <f t="shared" si="542"/>
        <v/>
      </c>
      <c r="AV1220" s="27" t="str">
        <f t="shared" si="543"/>
        <v/>
      </c>
      <c r="AW1220" s="27" t="str">
        <f t="shared" si="544"/>
        <v/>
      </c>
      <c r="AX1220" s="27" t="str">
        <f t="shared" si="545"/>
        <v/>
      </c>
      <c r="AY1220" s="27" t="str">
        <f t="shared" si="546"/>
        <v/>
      </c>
      <c r="AZ1220" s="27" t="str">
        <f t="shared" si="547"/>
        <v/>
      </c>
      <c r="BA1220" s="27" t="str">
        <f t="shared" si="548"/>
        <v/>
      </c>
      <c r="BB1220" s="27" t="str">
        <f t="shared" si="549"/>
        <v/>
      </c>
      <c r="BC1220" s="27" t="str">
        <f t="shared" si="550"/>
        <v/>
      </c>
      <c r="BD1220" s="27" t="str">
        <f t="shared" si="551"/>
        <v/>
      </c>
      <c r="BE1220" s="27" t="str">
        <f t="shared" si="552"/>
        <v/>
      </c>
      <c r="BF1220" s="27" t="str">
        <f t="shared" si="553"/>
        <v/>
      </c>
      <c r="BG1220" s="27" t="str">
        <f t="shared" si="554"/>
        <v/>
      </c>
      <c r="BH1220" s="27" t="str">
        <f t="shared" si="555"/>
        <v/>
      </c>
      <c r="BI1220" s="27" t="str">
        <f t="shared" si="556"/>
        <v/>
      </c>
      <c r="BJ1220" s="27" t="str">
        <f t="shared" si="557"/>
        <v/>
      </c>
      <c r="BK1220" s="27" t="str">
        <f t="shared" si="558"/>
        <v/>
      </c>
      <c r="BL1220" s="27" t="str">
        <f t="shared" si="559"/>
        <v/>
      </c>
      <c r="BM1220" s="21" t="s">
        <v>5581</v>
      </c>
    </row>
    <row r="1221" spans="1:65" ht="15">
      <c r="A1221" s="25" t="str">
        <f>IFERROR(INDEX('Hun Demand'!W:W,MATCH(O1221,'Hun Demand'!A:A,0)),"")</f>
        <v/>
      </c>
      <c r="B1221" s="25" t="str">
        <f>IFERROR(INDEX('Hun Demand'!V:V,MATCH(O1221,'Hun Demand'!A:A,0)),"")</f>
        <v/>
      </c>
      <c r="C1221" s="25" t="str">
        <f>IFERROR(INDEX('Hun Demand'!U:U,MATCH(O1221,'Hun Demand'!A:A,0)),"")</f>
        <v/>
      </c>
      <c r="D1221" s="25" t="str">
        <f>IFERROR(INDEX('Hun Demand'!T:T,MATCH(O1221,'Hun Demand'!A:A,0)),"")</f>
        <v/>
      </c>
      <c r="E1221" s="25" t="str">
        <f>IFERROR(INDEX('Hun Demand'!S:S,MATCH(O1221,'Hun Demand'!A:A,0)),"")</f>
        <v/>
      </c>
      <c r="F1221" s="25" t="str">
        <f>IFERROR(INDEX('Hun Demand'!R:R,MATCH(O1221,'Hun Demand'!A:A,0)),"")</f>
        <v/>
      </c>
      <c r="G1221" s="25">
        <f>IFERROR(INDEX('Aub Demand'!W:W,MATCH(O1221,'Aub Demand'!A:A,0)),"")</f>
        <v>85</v>
      </c>
      <c r="H1221" s="25">
        <f>IFERROR(INDEX('Aub Demand'!V:V,MATCH(O1221,'Aub Demand'!A:A,0)),"")</f>
        <v>0</v>
      </c>
      <c r="I1221" s="25">
        <f>IFERROR(INDEX('Aub Demand'!U:U,MATCH(O1221,'Aub Demand'!A:A,0)),"")</f>
        <v>117</v>
      </c>
      <c r="J1221" s="25">
        <f>IFERROR(INDEX('Aub Demand'!T:T,MATCH(O1221,'Aub Demand'!A:A,0)),"")</f>
        <v>0</v>
      </c>
      <c r="K1221" s="25">
        <f>IFERROR(INDEX('Aub Demand'!S:S,MATCH(O1221,'Aub Demand'!A:A,0)),"")</f>
        <v>38</v>
      </c>
      <c r="L1221" s="25">
        <f>IFERROR(INDEX('Aub Demand'!R:R,MATCH(O1221,'Aub Demand'!A:A,0)),"")</f>
        <v>0</v>
      </c>
      <c r="O1221" s="27" t="s">
        <v>1573</v>
      </c>
      <c r="P1221" s="27" t="str">
        <f>IFERROR(INDEX('Aub Demand'!B:B,MATCH($O1221,'Aub Demand'!$A:$A,0)),"")</f>
        <v>FORSYTHIA</v>
      </c>
      <c r="Q1221" s="27" t="str">
        <f>IFERROR(INDEX('Aub Demand'!C:C,MATCH($O1221,'Aub Demand'!$A:$A,0)),"")</f>
        <v>ONYX</v>
      </c>
      <c r="R1221" s="52">
        <f>IFERROR(IF(AR1222=AR1221,INDEX('Aub Demand'!K:K,MATCH($O1221,'Aub Demand'!$A:$A,0))-IF(AN1221="",0,AN1221)+AP1222,INDEX('Aub Demand'!K:K,MATCH($O1221,'Aub Demand'!$A:$A,0))-IF(AN1221="",0,AN1221)),"")</f>
        <v>3282</v>
      </c>
      <c r="S1221" s="53">
        <f t="shared" si="532"/>
        <v>270.5</v>
      </c>
      <c r="T1221" s="52" t="str">
        <f t="shared" si="533"/>
        <v/>
      </c>
      <c r="U1221" s="52">
        <f>IFERROR(IF(AR1222=AR1221,INDEX('Aub Demand'!Q:Q,MATCH($O1221,'Aub Demand'!$A:$A,0))-IF(AN1221="",0,AN1221)+AP1222,INDEX('Aub Demand'!Q:Q,MATCH($O1221,'Aub Demand'!$A:$A,0))-IF(AN1221="",0,AN1221)),"")</f>
        <v>3256</v>
      </c>
      <c r="V1221" s="53">
        <f t="shared" si="534"/>
        <v>268.39999999999998</v>
      </c>
      <c r="W1221" s="52" t="str">
        <f t="shared" si="535"/>
        <v/>
      </c>
      <c r="X1221" s="52">
        <f>IFERROR(IF(AND(AR1222=AR1221,AM1221&lt;&gt;""),INDEX('Aub Demand'!Q:Q,MATCH($O1221,'Aub Demand'!$A:$A,0))-IF(AN1221="",0,AN1221)+AP1222+AD1221+AL1221,IF(AR1222=AR1221,INDEX('Aub Demand'!Q:Q,MATCH($O1221,'Aub Demand'!$A:$A,0))-IF(AN1221="",0,AN1221)+AP1222+AD1221,IF(AM1221&lt;&gt;"",INDEX('Aub Demand'!Q:Q,MATCH($O1221,'Aub Demand'!$A:$A,0))-IF(AN1221="",0,AN1221)+AD1221+AL1221,INDEX('Aub Demand'!Q:Q,MATCH($O1221,'Aub Demand'!$A:$A,0))-IF(AN1221="",0,AN1221)+AD1221))),"")</f>
        <v>3256</v>
      </c>
      <c r="Y1221" s="53">
        <f t="shared" si="536"/>
        <v>268.39999999999998</v>
      </c>
      <c r="Z1221" s="52">
        <f>IF(L1221="","",INDEX('Aub Demand'!H:H,MATCH($O1221,'Aub Demand'!$A:$A,0)))</f>
        <v>52</v>
      </c>
      <c r="AA1221" s="52">
        <f t="shared" si="537"/>
        <v>77.5</v>
      </c>
      <c r="AB1221" s="52">
        <f>IFERROR(INDEX('Aub Demand'!L:L,MATCH($O1221,'Aub Demand'!$A:$A,0)),"")</f>
        <v>58</v>
      </c>
      <c r="AC1221" s="52">
        <f>IFERROR(IF(O1221="","",SUMIFS('CPL Mats'!F:F,'CPL Mats'!Q:Q,AR1221,'CPL Mats'!S:S,AS1221)),"")</f>
        <v>0</v>
      </c>
      <c r="AF1221" s="25" t="str">
        <f>IF(SUMIFS('Supp Consol'!S:S,'Supp Consol'!Y:Y,"Releasable",'Supp Consol'!A:A,O1221)=0,"",SUMIFS('Supp Consol'!S:S,'Supp Consol'!Y:Y,"Releasable",'Supp Consol'!A:A,O1221))</f>
        <v/>
      </c>
      <c r="AG1221" s="25" t="str">
        <f>IFERROR(INDEX('Hun Demand'!Q:Q,MATCH(O1221,'Hun Demand'!A:A,0)),"")</f>
        <v/>
      </c>
      <c r="AH1221" s="25" t="str">
        <f>IFERROR(INDEX('Hun Demand'!H:H,MATCH($O1221,'Hun Demand'!$A:$A,0)),"")</f>
        <v/>
      </c>
      <c r="AI1221" s="25" t="str">
        <f>IF(SUMIFS('Supp Consol'!AA:AA,'Supp Consol'!Z:Z,"Expires this month",'Supp Consol'!A:A,O1221)=0,"",SUMIFS('Supp Consol'!AA:AA,'Supp Consol'!Z:Z,"Expires this month",'Supp Consol'!A:A,O1221))</f>
        <v/>
      </c>
      <c r="AJ1221" s="25" t="str">
        <f>IF(SUMIFS('Supp Consol'!AA:AA,'Supp Consol'!Z:Z,"Expired Previous Months",'Supp Consol'!A:A,O1221)=0,"",SUMIFS('Supp Consol'!AA:AA,'Supp Consol'!Z:Z,"Expired Previous Months",'Supp Consol'!A:A,O1221))</f>
        <v/>
      </c>
      <c r="AK1221" s="25" t="str">
        <f>IFERROR(INDEX('Hun Release Current'!B:B,MATCH(O1221,'Hun Release Current'!A:A,0)),"")</f>
        <v/>
      </c>
      <c r="AL1221" s="25" t="str">
        <f>IF(SUMIF('Prev Aub'!A:A,O1221,'Prev Aub'!B:B)=0,"",SUMIF('Prev Aub'!A:A,O1221,'Prev Aub'!B:B))</f>
        <v/>
      </c>
      <c r="AN1221" s="25" t="s">
        <v>3790</v>
      </c>
      <c r="AO1221" s="25" t="s">
        <v>3790</v>
      </c>
      <c r="AP1221" s="25">
        <f t="shared" si="538"/>
        <v>0</v>
      </c>
      <c r="AQ1221" s="151" t="str">
        <f>IF(SUMIFS('Supp Consol'!S:S,'Supp Consol'!A:A,O1221,'Supp Consol'!I:I,"PENDING")=0,"",SUMIFS('Supp Consol'!S:S,'Supp Consol'!A:A,O1221,'Supp Consol'!I:I,"PENDING"))</f>
        <v/>
      </c>
      <c r="AR1221" s="27" t="str">
        <f t="shared" si="539"/>
        <v>SY913</v>
      </c>
      <c r="AS1221" s="27" t="str">
        <f t="shared" si="540"/>
        <v>62</v>
      </c>
      <c r="AT1221" s="27" t="str">
        <f t="shared" si="541"/>
        <v/>
      </c>
      <c r="AU1221" s="27" t="str">
        <f t="shared" si="542"/>
        <v/>
      </c>
      <c r="AV1221" s="27" t="str">
        <f t="shared" si="543"/>
        <v/>
      </c>
      <c r="AW1221" s="27" t="str">
        <f t="shared" si="544"/>
        <v/>
      </c>
      <c r="AX1221" s="27" t="str">
        <f t="shared" si="545"/>
        <v/>
      </c>
      <c r="AY1221" s="27" t="str">
        <f t="shared" si="546"/>
        <v/>
      </c>
      <c r="AZ1221" s="27" t="str">
        <f t="shared" si="547"/>
        <v/>
      </c>
      <c r="BA1221" s="27" t="str">
        <f t="shared" si="548"/>
        <v/>
      </c>
      <c r="BB1221" s="27" t="str">
        <f t="shared" si="549"/>
        <v/>
      </c>
      <c r="BC1221" s="27" t="str">
        <f t="shared" si="550"/>
        <v/>
      </c>
      <c r="BD1221" s="27" t="str">
        <f t="shared" si="551"/>
        <v/>
      </c>
      <c r="BE1221" s="27" t="str">
        <f t="shared" si="552"/>
        <v/>
      </c>
      <c r="BF1221" s="27" t="str">
        <f t="shared" si="553"/>
        <v/>
      </c>
      <c r="BG1221" s="27" t="str">
        <f t="shared" si="554"/>
        <v/>
      </c>
      <c r="BH1221" s="27" t="str">
        <f t="shared" si="555"/>
        <v/>
      </c>
      <c r="BI1221" s="27" t="str">
        <f t="shared" si="556"/>
        <v/>
      </c>
      <c r="BJ1221" s="27" t="str">
        <f t="shared" si="557"/>
        <v/>
      </c>
      <c r="BK1221" s="27" t="str">
        <f t="shared" si="558"/>
        <v/>
      </c>
      <c r="BL1221" s="27" t="str">
        <f t="shared" si="559"/>
        <v/>
      </c>
      <c r="BM1221" s="21" t="s">
        <v>5581</v>
      </c>
    </row>
    <row r="1222" spans="1:65" ht="15">
      <c r="A1222" s="25" t="str">
        <f>IFERROR(INDEX('Hun Demand'!W:W,MATCH(O1222,'Hun Demand'!A:A,0)),"")</f>
        <v/>
      </c>
      <c r="B1222" s="25" t="str">
        <f>IFERROR(INDEX('Hun Demand'!V:V,MATCH(O1222,'Hun Demand'!A:A,0)),"")</f>
        <v/>
      </c>
      <c r="C1222" s="25" t="str">
        <f>IFERROR(INDEX('Hun Demand'!U:U,MATCH(O1222,'Hun Demand'!A:A,0)),"")</f>
        <v/>
      </c>
      <c r="D1222" s="25" t="str">
        <f>IFERROR(INDEX('Hun Demand'!T:T,MATCH(O1222,'Hun Demand'!A:A,0)),"")</f>
        <v/>
      </c>
      <c r="E1222" s="25" t="str">
        <f>IFERROR(INDEX('Hun Demand'!S:S,MATCH(O1222,'Hun Demand'!A:A,0)),"")</f>
        <v/>
      </c>
      <c r="F1222" s="25" t="str">
        <f>IFERROR(INDEX('Hun Demand'!R:R,MATCH(O1222,'Hun Demand'!A:A,0)),"")</f>
        <v/>
      </c>
      <c r="G1222" s="25">
        <f>IFERROR(INDEX('Aub Demand'!W:W,MATCH(O1222,'Aub Demand'!A:A,0)),"")</f>
        <v>0</v>
      </c>
      <c r="H1222" s="25">
        <f>IFERROR(INDEX('Aub Demand'!V:V,MATCH(O1222,'Aub Demand'!A:A,0)),"")</f>
        <v>0</v>
      </c>
      <c r="I1222" s="25">
        <f>IFERROR(INDEX('Aub Demand'!U:U,MATCH(O1222,'Aub Demand'!A:A,0)),"")</f>
        <v>0</v>
      </c>
      <c r="J1222" s="25">
        <f>IFERROR(INDEX('Aub Demand'!T:T,MATCH(O1222,'Aub Demand'!A:A,0)),"")</f>
        <v>0</v>
      </c>
      <c r="K1222" s="25">
        <f>IFERROR(INDEX('Aub Demand'!S:S,MATCH(O1222,'Aub Demand'!A:A,0)),"")</f>
        <v>38</v>
      </c>
      <c r="L1222" s="25">
        <f>IFERROR(INDEX('Aub Demand'!R:R,MATCH(O1222,'Aub Demand'!A:A,0)),"")</f>
        <v>0</v>
      </c>
      <c r="O1222" s="27" t="s">
        <v>1574</v>
      </c>
      <c r="P1222" s="27" t="str">
        <f>IFERROR(INDEX('Aub Demand'!B:B,MATCH($O1222,'Aub Demand'!$A:$A,0)),"")</f>
        <v>PRIMARY YELLOW</v>
      </c>
      <c r="Q1222" s="27" t="str">
        <f>IFERROR(INDEX('Aub Demand'!C:C,MATCH($O1222,'Aub Demand'!$A:$A,0)),"")</f>
        <v>ONYX</v>
      </c>
      <c r="R1222" s="52">
        <f>IFERROR(IF(AR1223=AR1222,INDEX('Aub Demand'!K:K,MATCH($O1222,'Aub Demand'!$A:$A,0))-IF(AN1222="",0,AN1222)+AP1223,INDEX('Aub Demand'!K:K,MATCH($O1222,'Aub Demand'!$A:$A,0))-IF(AN1222="",0,AN1222)),"")</f>
        <v>0</v>
      </c>
      <c r="S1222" s="53">
        <f t="shared" si="532"/>
        <v>0</v>
      </c>
      <c r="T1222" s="52" t="str">
        <f t="shared" si="533"/>
        <v/>
      </c>
      <c r="U1222" s="52">
        <f>IFERROR(IF(AR1223=AR1222,INDEX('Aub Demand'!Q:Q,MATCH($O1222,'Aub Demand'!$A:$A,0))-IF(AN1222="",0,AN1222)+AP1223,INDEX('Aub Demand'!Q:Q,MATCH($O1222,'Aub Demand'!$A:$A,0))-IF(AN1222="",0,AN1222)),"")</f>
        <v>-34</v>
      </c>
      <c r="V1222" s="53">
        <f t="shared" si="534"/>
        <v>-11.2</v>
      </c>
      <c r="W1222" s="52" t="str">
        <f t="shared" si="535"/>
        <v/>
      </c>
      <c r="X1222" s="52">
        <f>IFERROR(IF(AND(AR1223=AR1222,AM1222&lt;&gt;""),INDEX('Aub Demand'!Q:Q,MATCH($O1222,'Aub Demand'!$A:$A,0))-IF(AN1222="",0,AN1222)+AP1223+AD1222+AL1222,IF(AR1223=AR1222,INDEX('Aub Demand'!Q:Q,MATCH($O1222,'Aub Demand'!$A:$A,0))-IF(AN1222="",0,AN1222)+AP1223+AD1222,IF(AM1222&lt;&gt;"",INDEX('Aub Demand'!Q:Q,MATCH($O1222,'Aub Demand'!$A:$A,0))-IF(AN1222="",0,AN1222)+AD1222+AL1222,INDEX('Aub Demand'!Q:Q,MATCH($O1222,'Aub Demand'!$A:$A,0))-IF(AN1222="",0,AN1222)+AD1222))),"")</f>
        <v>-34</v>
      </c>
      <c r="Y1222" s="53">
        <f t="shared" si="536"/>
        <v>-11.2</v>
      </c>
      <c r="Z1222" s="52">
        <f>IF(L1222="","",INDEX('Aub Demand'!H:H,MATCH($O1222,'Aub Demand'!$A:$A,0)))</f>
        <v>13</v>
      </c>
      <c r="AA1222" s="52" t="str">
        <f t="shared" si="537"/>
        <v>-spike-</v>
      </c>
      <c r="AB1222" s="52">
        <f>IFERROR(INDEX('Aub Demand'!L:L,MATCH($O1222,'Aub Demand'!$A:$A,0)),"")</f>
        <v>10</v>
      </c>
      <c r="AC1222" s="52">
        <f>IFERROR(IF(O1222="","",SUMIFS('CPL Mats'!F:F,'CPL Mats'!Q:Q,AR1222,'CPL Mats'!S:S,AS1222)),"")</f>
        <v>0</v>
      </c>
      <c r="AF1222" s="25" t="str">
        <f>IF(SUMIFS('Supp Consol'!S:S,'Supp Consol'!Y:Y,"Releasable",'Supp Consol'!A:A,O1222)=0,"",SUMIFS('Supp Consol'!S:S,'Supp Consol'!Y:Y,"Releasable",'Supp Consol'!A:A,O1222))</f>
        <v/>
      </c>
      <c r="AG1222" s="25" t="str">
        <f>IFERROR(INDEX('Hun Demand'!Q:Q,MATCH(O1222,'Hun Demand'!A:A,0)),"")</f>
        <v/>
      </c>
      <c r="AH1222" s="25" t="str">
        <f>IFERROR(INDEX('Hun Demand'!H:H,MATCH($O1222,'Hun Demand'!$A:$A,0)),"")</f>
        <v/>
      </c>
      <c r="AI1222" s="25" t="str">
        <f>IF(SUMIFS('Supp Consol'!AA:AA,'Supp Consol'!Z:Z,"Expires this month",'Supp Consol'!A:A,O1222)=0,"",SUMIFS('Supp Consol'!AA:AA,'Supp Consol'!Z:Z,"Expires this month",'Supp Consol'!A:A,O1222))</f>
        <v/>
      </c>
      <c r="AJ1222" s="25" t="str">
        <f>IF(SUMIFS('Supp Consol'!AA:AA,'Supp Consol'!Z:Z,"Expired Previous Months",'Supp Consol'!A:A,O1222)=0,"",SUMIFS('Supp Consol'!AA:AA,'Supp Consol'!Z:Z,"Expired Previous Months",'Supp Consol'!A:A,O1222))</f>
        <v/>
      </c>
      <c r="AK1222" s="25" t="str">
        <f>IFERROR(INDEX('Hun Release Current'!B:B,MATCH(O1222,'Hun Release Current'!A:A,0)),"")</f>
        <v/>
      </c>
      <c r="AL1222" s="25" t="str">
        <f>IF(SUMIF('Prev Aub'!A:A,O1222,'Prev Aub'!B:B)=0,"",SUMIF('Prev Aub'!A:A,O1222,'Prev Aub'!B:B))</f>
        <v/>
      </c>
      <c r="AN1222" s="25" t="s">
        <v>3790</v>
      </c>
      <c r="AO1222" s="25" t="s">
        <v>3790</v>
      </c>
      <c r="AP1222" s="25">
        <f t="shared" si="538"/>
        <v>0</v>
      </c>
      <c r="AQ1222" s="151" t="str">
        <f>IF(SUMIFS('Supp Consol'!S:S,'Supp Consol'!A:A,O1222,'Supp Consol'!I:I,"PENDING")=0,"",SUMIFS('Supp Consol'!S:S,'Supp Consol'!A:A,O1222,'Supp Consol'!I:I,"PENDING"))</f>
        <v/>
      </c>
      <c r="AR1222" s="27" t="str">
        <f t="shared" si="539"/>
        <v>SY914</v>
      </c>
      <c r="AS1222" s="27" t="str">
        <f t="shared" si="540"/>
        <v>37</v>
      </c>
      <c r="AT1222" s="27" t="str">
        <f t="shared" si="541"/>
        <v>SY914</v>
      </c>
      <c r="AU1222" s="27" t="str">
        <f t="shared" si="542"/>
        <v>SY914</v>
      </c>
      <c r="AV1222" s="27" t="str">
        <f t="shared" si="543"/>
        <v>SY914</v>
      </c>
      <c r="AW1222" s="27" t="str">
        <f t="shared" si="544"/>
        <v/>
      </c>
      <c r="AX1222" s="27" t="str">
        <f t="shared" si="545"/>
        <v/>
      </c>
      <c r="AY1222" s="27" t="str">
        <f t="shared" si="546"/>
        <v/>
      </c>
      <c r="AZ1222" s="27" t="str">
        <f t="shared" si="547"/>
        <v/>
      </c>
      <c r="BA1222" s="27" t="str">
        <f t="shared" si="548"/>
        <v>Hun</v>
      </c>
      <c r="BB1222" s="27" t="str">
        <f t="shared" si="549"/>
        <v>Gross</v>
      </c>
      <c r="BC1222" s="27" t="str">
        <f t="shared" si="550"/>
        <v>Net</v>
      </c>
      <c r="BD1222" s="27" t="str">
        <f t="shared" si="551"/>
        <v>Net</v>
      </c>
      <c r="BE1222" s="27" t="str">
        <f t="shared" si="552"/>
        <v/>
      </c>
      <c r="BF1222" s="27" t="str">
        <f t="shared" si="553"/>
        <v/>
      </c>
      <c r="BG1222" s="27" t="str">
        <f t="shared" si="554"/>
        <v/>
      </c>
      <c r="BH1222" s="27" t="str">
        <f t="shared" si="555"/>
        <v>H+N</v>
      </c>
      <c r="BI1222" s="27" t="str">
        <f t="shared" si="556"/>
        <v>H+Nex</v>
      </c>
      <c r="BJ1222" s="27" t="str">
        <f t="shared" si="557"/>
        <v>Supp or Hun</v>
      </c>
      <c r="BK1222" s="27" t="str">
        <f t="shared" si="558"/>
        <v>Supp or Hun Need</v>
      </c>
      <c r="BL1222" s="27" t="str">
        <f t="shared" si="559"/>
        <v>SorHandNandE</v>
      </c>
      <c r="BM1222" s="21" t="s">
        <v>3790</v>
      </c>
    </row>
    <row r="1223" spans="1:65" ht="15">
      <c r="A1223" s="25">
        <f>IFERROR(INDEX('Hun Demand'!W:W,MATCH(O1223,'Hun Demand'!A:A,0)),"")</f>
        <v>0</v>
      </c>
      <c r="B1223" s="25">
        <f>IFERROR(INDEX('Hun Demand'!V:V,MATCH(O1223,'Hun Demand'!A:A,0)),"")</f>
        <v>0</v>
      </c>
      <c r="C1223" s="25">
        <f>IFERROR(INDEX('Hun Demand'!U:U,MATCH(O1223,'Hun Demand'!A:A,0)),"")</f>
        <v>311</v>
      </c>
      <c r="D1223" s="25">
        <f>IFERROR(INDEX('Hun Demand'!T:T,MATCH(O1223,'Hun Demand'!A:A,0)),"")</f>
        <v>0</v>
      </c>
      <c r="E1223" s="25">
        <f>IFERROR(INDEX('Hun Demand'!S:S,MATCH(O1223,'Hun Demand'!A:A,0)),"")</f>
        <v>0</v>
      </c>
      <c r="F1223" s="25">
        <f>IFERROR(INDEX('Hun Demand'!R:R,MATCH(O1223,'Hun Demand'!A:A,0)),"")</f>
        <v>0</v>
      </c>
      <c r="G1223" s="25">
        <f>IFERROR(INDEX('Aub Demand'!W:W,MATCH(O1223,'Aub Demand'!A:A,0)),"")</f>
        <v>358</v>
      </c>
      <c r="H1223" s="25">
        <f>IFERROR(INDEX('Aub Demand'!V:V,MATCH(O1223,'Aub Demand'!A:A,0)),"")</f>
        <v>154</v>
      </c>
      <c r="I1223" s="25">
        <f>IFERROR(INDEX('Aub Demand'!U:U,MATCH(O1223,'Aub Demand'!A:A,0)),"")</f>
        <v>0</v>
      </c>
      <c r="J1223" s="25">
        <f>IFERROR(INDEX('Aub Demand'!T:T,MATCH(O1223,'Aub Demand'!A:A,0)),"")</f>
        <v>406</v>
      </c>
      <c r="K1223" s="25">
        <f>IFERROR(INDEX('Aub Demand'!S:S,MATCH(O1223,'Aub Demand'!A:A,0)),"")</f>
        <v>155</v>
      </c>
      <c r="L1223" s="25">
        <f>IFERROR(INDEX('Aub Demand'!R:R,MATCH(O1223,'Aub Demand'!A:A,0)),"")</f>
        <v>0</v>
      </c>
      <c r="O1223" s="27" t="s">
        <v>1576</v>
      </c>
      <c r="P1223" s="27" t="str">
        <f>IFERROR(INDEX('Aub Demand'!B:B,MATCH($O1223,'Aub Demand'!$A:$A,0)),"")</f>
        <v>PRIMARY YELLOW</v>
      </c>
      <c r="Q1223" s="27" t="str">
        <f>IFERROR(INDEX('Aub Demand'!C:C,MATCH($O1223,'Aub Demand'!$A:$A,0)),"")</f>
        <v>ONYX</v>
      </c>
      <c r="R1223" s="52">
        <f>IFERROR(IF(AR1224=AR1223,INDEX('Aub Demand'!K:K,MATCH($O1223,'Aub Demand'!$A:$A,0))-IF(AN1223="",0,AN1223)+AP1224,INDEX('Aub Demand'!K:K,MATCH($O1223,'Aub Demand'!$A:$A,0))-IF(AN1223="",0,AN1223)),"")</f>
        <v>0</v>
      </c>
      <c r="S1223" s="53">
        <f t="shared" si="532"/>
        <v>0</v>
      </c>
      <c r="T1223" s="52">
        <f t="shared" si="533"/>
        <v>210.375</v>
      </c>
      <c r="U1223" s="52">
        <f>IFERROR(IF(AR1224=AR1223,INDEX('Aub Demand'!Q:Q,MATCH($O1223,'Aub Demand'!$A:$A,0))-IF(AN1223="",0,AN1223)+AP1224,INDEX('Aub Demand'!Q:Q,MATCH($O1223,'Aub Demand'!$A:$A,0))-IF(AN1223="",0,AN1223)),"")</f>
        <v>-81</v>
      </c>
      <c r="V1223" s="53">
        <f t="shared" si="534"/>
        <v>-1.9</v>
      </c>
      <c r="W1223" s="52">
        <f t="shared" si="535"/>
        <v>343.61250000000001</v>
      </c>
      <c r="X1223" s="52">
        <f>IFERROR(IF(AND(AR1224=AR1223,AM1223&lt;&gt;""),INDEX('Aub Demand'!Q:Q,MATCH($O1223,'Aub Demand'!$A:$A,0))-IF(AN1223="",0,AN1223)+AP1224+AD1223+AL1223,IF(AR1224=AR1223,INDEX('Aub Demand'!Q:Q,MATCH($O1223,'Aub Demand'!$A:$A,0))-IF(AN1223="",0,AN1223)+AP1224+AD1223,IF(AM1223&lt;&gt;"",INDEX('Aub Demand'!Q:Q,MATCH($O1223,'Aub Demand'!$A:$A,0))-IF(AN1223="",0,AN1223)+AD1223+AL1223,INDEX('Aub Demand'!Q:Q,MATCH($O1223,'Aub Demand'!$A:$A,0))-IF(AN1223="",0,AN1223)+AD1223))),"")</f>
        <v>-81</v>
      </c>
      <c r="Y1223" s="53">
        <f t="shared" si="536"/>
        <v>-1.9</v>
      </c>
      <c r="Z1223" s="52">
        <f>IF(L1223="","",INDEX('Aub Demand'!H:H,MATCH($O1223,'Aub Demand'!$A:$A,0)))</f>
        <v>187</v>
      </c>
      <c r="AA1223" s="52">
        <f t="shared" si="537"/>
        <v>280.5</v>
      </c>
      <c r="AB1223" s="52">
        <f>IFERROR(INDEX('Aub Demand'!L:L,MATCH($O1223,'Aub Demand'!$A:$A,0)),"")</f>
        <v>85</v>
      </c>
      <c r="AC1223" s="52">
        <f>IFERROR(IF(O1223="","",SUMIFS('CPL Mats'!F:F,'CPL Mats'!Q:Q,AR1223,'CPL Mats'!S:S,AS1223)),"")</f>
        <v>0</v>
      </c>
      <c r="AF1223" s="25" t="str">
        <f>IF(SUMIFS('Supp Consol'!S:S,'Supp Consol'!Y:Y,"Releasable",'Supp Consol'!A:A,O1223)=0,"",SUMIFS('Supp Consol'!S:S,'Supp Consol'!Y:Y,"Releasable",'Supp Consol'!A:A,O1223))</f>
        <v/>
      </c>
      <c r="AG1223" s="25">
        <f>IFERROR(INDEX('Hun Demand'!Q:Q,MATCH(O1223,'Hun Demand'!A:A,0)),"")</f>
        <v>0</v>
      </c>
      <c r="AH1223" s="25">
        <f>IFERROR(INDEX('Hun Demand'!H:H,MATCH($O1223,'Hun Demand'!$A:$A,0)),"")</f>
        <v>104</v>
      </c>
      <c r="AI1223" s="25" t="str">
        <f>IF(SUMIFS('Supp Consol'!AA:AA,'Supp Consol'!Z:Z,"Expires this month",'Supp Consol'!A:A,O1223)=0,"",SUMIFS('Supp Consol'!AA:AA,'Supp Consol'!Z:Z,"Expires this month",'Supp Consol'!A:A,O1223))</f>
        <v/>
      </c>
      <c r="AJ1223" s="25" t="str">
        <f>IF(SUMIFS('Supp Consol'!AA:AA,'Supp Consol'!Z:Z,"Expired Previous Months",'Supp Consol'!A:A,O1223)=0,"",SUMIFS('Supp Consol'!AA:AA,'Supp Consol'!Z:Z,"Expired Previous Months",'Supp Consol'!A:A,O1223))</f>
        <v/>
      </c>
      <c r="AK1223" s="25" t="str">
        <f>IFERROR(INDEX('Hun Release Current'!B:B,MATCH(O1223,'Hun Release Current'!A:A,0)),"")</f>
        <v/>
      </c>
      <c r="AL1223" s="25" t="str">
        <f>IF(SUMIF('Prev Aub'!A:A,O1223,'Prev Aub'!B:B)=0,"",SUMIF('Prev Aub'!A:A,O1223,'Prev Aub'!B:B))</f>
        <v/>
      </c>
      <c r="AN1223" s="25" t="s">
        <v>3790</v>
      </c>
      <c r="AO1223" s="25" t="s">
        <v>3790</v>
      </c>
      <c r="AP1223" s="25">
        <f t="shared" si="538"/>
        <v>0</v>
      </c>
      <c r="AQ1223" s="151" t="str">
        <f>IF(SUMIFS('Supp Consol'!S:S,'Supp Consol'!A:A,O1223,'Supp Consol'!I:I,"PENDING")=0,"",SUMIFS('Supp Consol'!S:S,'Supp Consol'!A:A,O1223,'Supp Consol'!I:I,"PENDING"))</f>
        <v/>
      </c>
      <c r="AR1223" s="27" t="str">
        <f t="shared" si="539"/>
        <v>SY914</v>
      </c>
      <c r="AS1223" s="27" t="str">
        <f t="shared" si="540"/>
        <v>50</v>
      </c>
      <c r="AT1223" s="27" t="str">
        <f t="shared" si="541"/>
        <v>SY914</v>
      </c>
      <c r="AU1223" s="27" t="str">
        <f t="shared" si="542"/>
        <v>SY914</v>
      </c>
      <c r="AV1223" s="27" t="str">
        <f t="shared" si="543"/>
        <v>SY914</v>
      </c>
      <c r="AW1223" s="27" t="str">
        <f t="shared" si="544"/>
        <v/>
      </c>
      <c r="AX1223" s="27" t="str">
        <f t="shared" si="545"/>
        <v/>
      </c>
      <c r="AY1223" s="27" t="str">
        <f t="shared" si="546"/>
        <v/>
      </c>
      <c r="AZ1223" s="27" t="str">
        <f t="shared" si="547"/>
        <v/>
      </c>
      <c r="BA1223" s="27" t="str">
        <f t="shared" si="548"/>
        <v>Hun</v>
      </c>
      <c r="BB1223" s="27" t="str">
        <f t="shared" si="549"/>
        <v>Gross</v>
      </c>
      <c r="BC1223" s="27" t="str">
        <f t="shared" si="550"/>
        <v>Net</v>
      </c>
      <c r="BD1223" s="27" t="str">
        <f t="shared" si="551"/>
        <v>Net</v>
      </c>
      <c r="BE1223" s="27" t="str">
        <f t="shared" si="552"/>
        <v/>
      </c>
      <c r="BF1223" s="27" t="str">
        <f t="shared" si="553"/>
        <v/>
      </c>
      <c r="BG1223" s="27" t="str">
        <f t="shared" si="554"/>
        <v/>
      </c>
      <c r="BH1223" s="27" t="str">
        <f t="shared" si="555"/>
        <v>H+N</v>
      </c>
      <c r="BI1223" s="27" t="str">
        <f t="shared" si="556"/>
        <v>H+Nex</v>
      </c>
      <c r="BJ1223" s="27" t="str">
        <f t="shared" si="557"/>
        <v>Supp or Hun</v>
      </c>
      <c r="BK1223" s="27" t="str">
        <f t="shared" si="558"/>
        <v>Supp or Hun Need</v>
      </c>
      <c r="BL1223" s="27" t="str">
        <f t="shared" si="559"/>
        <v>SorHandNandE</v>
      </c>
      <c r="BM1223" s="21" t="s">
        <v>5581</v>
      </c>
    </row>
    <row r="1224" spans="1:65" ht="15">
      <c r="A1224" s="25">
        <f>IFERROR(INDEX('Hun Demand'!W:W,MATCH(O1224,'Hun Demand'!A:A,0)),"")</f>
        <v>0</v>
      </c>
      <c r="B1224" s="25">
        <f>IFERROR(INDEX('Hun Demand'!V:V,MATCH(O1224,'Hun Demand'!A:A,0)),"")</f>
        <v>0</v>
      </c>
      <c r="C1224" s="25">
        <f>IFERROR(INDEX('Hun Demand'!U:U,MATCH(O1224,'Hun Demand'!A:A,0)),"")</f>
        <v>0</v>
      </c>
      <c r="D1224" s="25">
        <f>IFERROR(INDEX('Hun Demand'!T:T,MATCH(O1224,'Hun Demand'!A:A,0)),"")</f>
        <v>0</v>
      </c>
      <c r="E1224" s="25">
        <f>IFERROR(INDEX('Hun Demand'!S:S,MATCH(O1224,'Hun Demand'!A:A,0)),"")</f>
        <v>0</v>
      </c>
      <c r="F1224" s="25">
        <f>IFERROR(INDEX('Hun Demand'!R:R,MATCH(O1224,'Hun Demand'!A:A,0)),"")</f>
        <v>0</v>
      </c>
      <c r="G1224" s="25">
        <f>IFERROR(INDEX('Aub Demand'!W:W,MATCH(O1224,'Aub Demand'!A:A,0)),"")</f>
        <v>0</v>
      </c>
      <c r="H1224" s="25">
        <f>IFERROR(INDEX('Aub Demand'!V:V,MATCH(O1224,'Aub Demand'!A:A,0)),"")</f>
        <v>103</v>
      </c>
      <c r="I1224" s="25">
        <f>IFERROR(INDEX('Aub Demand'!U:U,MATCH(O1224,'Aub Demand'!A:A,0)),"")</f>
        <v>435</v>
      </c>
      <c r="J1224" s="25">
        <f>IFERROR(INDEX('Aub Demand'!T:T,MATCH(O1224,'Aub Demand'!A:A,0)),"")</f>
        <v>0</v>
      </c>
      <c r="K1224" s="25">
        <f>IFERROR(INDEX('Aub Demand'!S:S,MATCH(O1224,'Aub Demand'!A:A,0)),"")</f>
        <v>105</v>
      </c>
      <c r="L1224" s="25">
        <f>IFERROR(INDEX('Aub Demand'!R:R,MATCH(O1224,'Aub Demand'!A:A,0)),"")</f>
        <v>0</v>
      </c>
      <c r="O1224" s="27" t="s">
        <v>1577</v>
      </c>
      <c r="P1224" s="27" t="str">
        <f>IFERROR(INDEX('Aub Demand'!B:B,MATCH($O1224,'Aub Demand'!$A:$A,0)),"")</f>
        <v>PRIMARY YELLOW</v>
      </c>
      <c r="Q1224" s="27" t="str">
        <f>IFERROR(INDEX('Aub Demand'!C:C,MATCH($O1224,'Aub Demand'!$A:$A,0)),"")</f>
        <v>ONYX</v>
      </c>
      <c r="R1224" s="52">
        <f>IFERROR(IF(AR1225=AR1224,INDEX('Aub Demand'!K:K,MATCH($O1224,'Aub Demand'!$A:$A,0))-IF(AN1224="",0,AN1224)+AP1225,INDEX('Aub Demand'!K:K,MATCH($O1224,'Aub Demand'!$A:$A,0))-IF(AN1224="",0,AN1224)),"")</f>
        <v>1059</v>
      </c>
      <c r="S1224" s="53">
        <f t="shared" si="532"/>
        <v>25.2</v>
      </c>
      <c r="T1224" s="52" t="str">
        <f t="shared" si="533"/>
        <v/>
      </c>
      <c r="U1224" s="52">
        <f>IFERROR(IF(AR1225=AR1224,INDEX('Aub Demand'!Q:Q,MATCH($O1224,'Aub Demand'!$A:$A,0))-IF(AN1224="",0,AN1224)+AP1225,INDEX('Aub Demand'!Q:Q,MATCH($O1224,'Aub Demand'!$A:$A,0))-IF(AN1224="",0,AN1224)),"")</f>
        <v>1028</v>
      </c>
      <c r="V1224" s="53">
        <f t="shared" si="534"/>
        <v>24.5</v>
      </c>
      <c r="W1224" s="52" t="str">
        <f t="shared" si="535"/>
        <v/>
      </c>
      <c r="X1224" s="52">
        <f>IFERROR(IF(AND(AR1225=AR1224,AM1224&lt;&gt;""),INDEX('Aub Demand'!Q:Q,MATCH($O1224,'Aub Demand'!$A:$A,0))-IF(AN1224="",0,AN1224)+AP1225+AD1224+AL1224,IF(AR1225=AR1224,INDEX('Aub Demand'!Q:Q,MATCH($O1224,'Aub Demand'!$A:$A,0))-IF(AN1224="",0,AN1224)+AP1225+AD1224,IF(AM1224&lt;&gt;"",INDEX('Aub Demand'!Q:Q,MATCH($O1224,'Aub Demand'!$A:$A,0))-IF(AN1224="",0,AN1224)+AD1224+AL1224,INDEX('Aub Demand'!Q:Q,MATCH($O1224,'Aub Demand'!$A:$A,0))-IF(AN1224="",0,AN1224)+AD1224))),"")</f>
        <v>1028</v>
      </c>
      <c r="Y1224" s="53">
        <f t="shared" si="536"/>
        <v>24.5</v>
      </c>
      <c r="Z1224" s="52">
        <f>IF(L1224="","",INDEX('Aub Demand'!H:H,MATCH($O1224,'Aub Demand'!$A:$A,0)))</f>
        <v>180</v>
      </c>
      <c r="AA1224" s="52">
        <f t="shared" si="537"/>
        <v>270</v>
      </c>
      <c r="AB1224" s="52">
        <f>IFERROR(INDEX('Aub Demand'!L:L,MATCH($O1224,'Aub Demand'!$A:$A,0)),"")</f>
        <v>50</v>
      </c>
      <c r="AC1224" s="52">
        <f>IFERROR(IF(O1224="","",SUMIFS('CPL Mats'!F:F,'CPL Mats'!Q:Q,AR1224,'CPL Mats'!S:S,AS1224)),"")</f>
        <v>0</v>
      </c>
      <c r="AF1224" s="25" t="str">
        <f>IF(SUMIFS('Supp Consol'!S:S,'Supp Consol'!Y:Y,"Releasable",'Supp Consol'!A:A,O1224)=0,"",SUMIFS('Supp Consol'!S:S,'Supp Consol'!Y:Y,"Releasable",'Supp Consol'!A:A,O1224))</f>
        <v/>
      </c>
      <c r="AG1224" s="25">
        <f>IFERROR(INDEX('Hun Demand'!Q:Q,MATCH(O1224,'Hun Demand'!A:A,0)),"")</f>
        <v>275</v>
      </c>
      <c r="AH1224" s="25">
        <f>IFERROR(INDEX('Hun Demand'!H:H,MATCH($O1224,'Hun Demand'!$A:$A,0)),"")</f>
        <v>0</v>
      </c>
      <c r="AI1224" s="25" t="str">
        <f>IF(SUMIFS('Supp Consol'!AA:AA,'Supp Consol'!Z:Z,"Expires this month",'Supp Consol'!A:A,O1224)=0,"",SUMIFS('Supp Consol'!AA:AA,'Supp Consol'!Z:Z,"Expires this month",'Supp Consol'!A:A,O1224))</f>
        <v/>
      </c>
      <c r="AJ1224" s="25" t="str">
        <f>IF(SUMIFS('Supp Consol'!AA:AA,'Supp Consol'!Z:Z,"Expired Previous Months",'Supp Consol'!A:A,O1224)=0,"",SUMIFS('Supp Consol'!AA:AA,'Supp Consol'!Z:Z,"Expired Previous Months",'Supp Consol'!A:A,O1224))</f>
        <v/>
      </c>
      <c r="AK1224" s="25" t="str">
        <f>IFERROR(INDEX('Hun Release Current'!B:B,MATCH(O1224,'Hun Release Current'!A:A,0)),"")</f>
        <v/>
      </c>
      <c r="AL1224" s="25" t="str">
        <f>IF(SUMIF('Prev Aub'!A:A,O1224,'Prev Aub'!B:B)=0,"",SUMIF('Prev Aub'!A:A,O1224,'Prev Aub'!B:B))</f>
        <v/>
      </c>
      <c r="AN1224" s="25" t="s">
        <v>3790</v>
      </c>
      <c r="AO1224" s="25" t="s">
        <v>3790</v>
      </c>
      <c r="AP1224" s="25">
        <f t="shared" si="538"/>
        <v>0</v>
      </c>
      <c r="AQ1224" s="151" t="str">
        <f>IF(SUMIFS('Supp Consol'!S:S,'Supp Consol'!A:A,O1224,'Supp Consol'!I:I,"PENDING")=0,"",SUMIFS('Supp Consol'!S:S,'Supp Consol'!A:A,O1224,'Supp Consol'!I:I,"PENDING"))</f>
        <v/>
      </c>
      <c r="AR1224" s="27" t="str">
        <f t="shared" si="539"/>
        <v>SY914</v>
      </c>
      <c r="AS1224" s="27" t="str">
        <f t="shared" si="540"/>
        <v>62</v>
      </c>
      <c r="AT1224" s="27" t="str">
        <f t="shared" si="541"/>
        <v/>
      </c>
      <c r="AU1224" s="27" t="str">
        <f t="shared" si="542"/>
        <v/>
      </c>
      <c r="AV1224" s="27" t="str">
        <f t="shared" si="543"/>
        <v/>
      </c>
      <c r="AW1224" s="27" t="str">
        <f t="shared" si="544"/>
        <v/>
      </c>
      <c r="AX1224" s="27" t="str">
        <f t="shared" si="545"/>
        <v/>
      </c>
      <c r="AY1224" s="27" t="str">
        <f t="shared" si="546"/>
        <v>SY914</v>
      </c>
      <c r="AZ1224" s="27" t="str">
        <f t="shared" si="547"/>
        <v/>
      </c>
      <c r="BA1224" s="27" t="str">
        <f t="shared" si="548"/>
        <v>Hun</v>
      </c>
      <c r="BB1224" s="27" t="str">
        <f t="shared" si="549"/>
        <v>Gross</v>
      </c>
      <c r="BC1224" s="27" t="str">
        <f t="shared" si="550"/>
        <v>Net</v>
      </c>
      <c r="BD1224" s="27" t="str">
        <f t="shared" si="551"/>
        <v>Net</v>
      </c>
      <c r="BE1224" s="27" t="str">
        <f t="shared" si="552"/>
        <v/>
      </c>
      <c r="BF1224" s="27" t="str">
        <f t="shared" si="553"/>
        <v/>
      </c>
      <c r="BG1224" s="27" t="str">
        <f t="shared" si="554"/>
        <v/>
      </c>
      <c r="BH1224" s="27" t="str">
        <f t="shared" si="555"/>
        <v>H+N</v>
      </c>
      <c r="BI1224" s="27" t="str">
        <f t="shared" si="556"/>
        <v>H+Nex</v>
      </c>
      <c r="BJ1224" s="27" t="str">
        <f t="shared" si="557"/>
        <v>Supp or Hun</v>
      </c>
      <c r="BK1224" s="27" t="str">
        <f t="shared" si="558"/>
        <v>Supp or Hun Need</v>
      </c>
      <c r="BL1224" s="27" t="str">
        <f t="shared" si="559"/>
        <v>SorHandNandE</v>
      </c>
      <c r="BM1224" s="21" t="s">
        <v>5581</v>
      </c>
    </row>
    <row r="1225" spans="1:65" ht="15">
      <c r="A1225" s="25" t="str">
        <f>IFERROR(INDEX('Hun Demand'!W:W,MATCH(O1225,'Hun Demand'!A:A,0)),"")</f>
        <v/>
      </c>
      <c r="B1225" s="25" t="str">
        <f>IFERROR(INDEX('Hun Demand'!V:V,MATCH(O1225,'Hun Demand'!A:A,0)),"")</f>
        <v/>
      </c>
      <c r="C1225" s="25" t="str">
        <f>IFERROR(INDEX('Hun Demand'!U:U,MATCH(O1225,'Hun Demand'!A:A,0)),"")</f>
        <v/>
      </c>
      <c r="D1225" s="25" t="str">
        <f>IFERROR(INDEX('Hun Demand'!T:T,MATCH(O1225,'Hun Demand'!A:A,0)),"")</f>
        <v/>
      </c>
      <c r="E1225" s="25" t="str">
        <f>IFERROR(INDEX('Hun Demand'!S:S,MATCH(O1225,'Hun Demand'!A:A,0)),"")</f>
        <v/>
      </c>
      <c r="F1225" s="25" t="str">
        <f>IFERROR(INDEX('Hun Demand'!R:R,MATCH(O1225,'Hun Demand'!A:A,0)),"")</f>
        <v/>
      </c>
      <c r="G1225" s="25">
        <f>IFERROR(INDEX('Aub Demand'!W:W,MATCH(O1225,'Aub Demand'!A:A,0)),"")</f>
        <v>339</v>
      </c>
      <c r="H1225" s="25">
        <f>IFERROR(INDEX('Aub Demand'!V:V,MATCH(O1225,'Aub Demand'!A:A,0)),"")</f>
        <v>0</v>
      </c>
      <c r="I1225" s="25">
        <f>IFERROR(INDEX('Aub Demand'!U:U,MATCH(O1225,'Aub Demand'!A:A,0)),"")</f>
        <v>0</v>
      </c>
      <c r="J1225" s="25">
        <f>IFERROR(INDEX('Aub Demand'!T:T,MATCH(O1225,'Aub Demand'!A:A,0)),"")</f>
        <v>0</v>
      </c>
      <c r="K1225" s="25">
        <f>IFERROR(INDEX('Aub Demand'!S:S,MATCH(O1225,'Aub Demand'!A:A,0)),"")</f>
        <v>0</v>
      </c>
      <c r="L1225" s="25">
        <f>IFERROR(INDEX('Aub Demand'!R:R,MATCH(O1225,'Aub Demand'!A:A,0)),"")</f>
        <v>0</v>
      </c>
      <c r="O1225" s="27" t="s">
        <v>2823</v>
      </c>
      <c r="P1225" s="27" t="str">
        <f>IFERROR(INDEX('Aub Demand'!B:B,MATCH($O1225,'Aub Demand'!$A:$A,0)),"")</f>
        <v>MARIGOLD FIELDS</v>
      </c>
      <c r="Q1225" s="27" t="str">
        <f>IFERROR(INDEX('Aub Demand'!C:C,MATCH($O1225,'Aub Demand'!$A:$A,0)),"")</f>
        <v>AHLST</v>
      </c>
      <c r="R1225" s="52">
        <f>IFERROR(IF(AR1226=AR1225,INDEX('Aub Demand'!K:K,MATCH($O1225,'Aub Demand'!$A:$A,0))-IF(AN1225="",0,AN1225)+AP1226,INDEX('Aub Demand'!K:K,MATCH($O1225,'Aub Demand'!$A:$A,0))-IF(AN1225="",0,AN1225)),"")</f>
        <v>3185</v>
      </c>
      <c r="S1225" s="53" t="str">
        <f t="shared" si="532"/>
        <v>n/a</v>
      </c>
      <c r="T1225" s="52" t="str">
        <f t="shared" si="533"/>
        <v/>
      </c>
      <c r="U1225" s="52">
        <f>IFERROR(IF(AR1226=AR1225,INDEX('Aub Demand'!Q:Q,MATCH($O1225,'Aub Demand'!$A:$A,0))-IF(AN1225="",0,AN1225)+AP1226,INDEX('Aub Demand'!Q:Q,MATCH($O1225,'Aub Demand'!$A:$A,0))-IF(AN1225="",0,AN1225)),"")</f>
        <v>3185</v>
      </c>
      <c r="V1225" s="53" t="str">
        <f t="shared" si="534"/>
        <v>n/a</v>
      </c>
      <c r="W1225" s="52" t="str">
        <f t="shared" si="535"/>
        <v/>
      </c>
      <c r="X1225" s="52">
        <f>IFERROR(IF(AND(AR1226=AR1225,AM1225&lt;&gt;""),INDEX('Aub Demand'!Q:Q,MATCH($O1225,'Aub Demand'!$A:$A,0))-IF(AN1225="",0,AN1225)+AP1226+AD1225+AL1225,IF(AR1226=AR1225,INDEX('Aub Demand'!Q:Q,MATCH($O1225,'Aub Demand'!$A:$A,0))-IF(AN1225="",0,AN1225)+AP1226+AD1225,IF(AM1225&lt;&gt;"",INDEX('Aub Demand'!Q:Q,MATCH($O1225,'Aub Demand'!$A:$A,0))-IF(AN1225="",0,AN1225)+AD1225+AL1225,INDEX('Aub Demand'!Q:Q,MATCH($O1225,'Aub Demand'!$A:$A,0))-IF(AN1225="",0,AN1225)+AD1225))),"")</f>
        <v>3185</v>
      </c>
      <c r="Y1225" s="53" t="str">
        <f t="shared" si="536"/>
        <v>n/a</v>
      </c>
      <c r="Z1225" s="52">
        <f>IF(L1225="","",INDEX('Aub Demand'!H:H,MATCH($O1225,'Aub Demand'!$A:$A,0)))</f>
        <v>0</v>
      </c>
      <c r="AA1225" s="52" t="str">
        <f t="shared" si="537"/>
        <v>-spike-</v>
      </c>
      <c r="AB1225" s="52">
        <f>IFERROR(INDEX('Aub Demand'!L:L,MATCH($O1225,'Aub Demand'!$A:$A,0)),"")</f>
        <v>126</v>
      </c>
      <c r="AC1225" s="52">
        <f>IFERROR(IF(O1225="","",SUMIFS('CPL Mats'!F:F,'CPL Mats'!Q:Q,AR1225,'CPL Mats'!S:S,AS1225)),"")</f>
        <v>0</v>
      </c>
      <c r="AF1225" s="25" t="str">
        <f>IF(SUMIFS('Supp Consol'!S:S,'Supp Consol'!Y:Y,"Releasable",'Supp Consol'!A:A,O1225)=0,"",SUMIFS('Supp Consol'!S:S,'Supp Consol'!Y:Y,"Releasable",'Supp Consol'!A:A,O1225))</f>
        <v/>
      </c>
      <c r="AG1225" s="25" t="str">
        <f>IFERROR(INDEX('Hun Demand'!Q:Q,MATCH(O1225,'Hun Demand'!A:A,0)),"")</f>
        <v/>
      </c>
      <c r="AH1225" s="25" t="str">
        <f>IFERROR(INDEX('Hun Demand'!H:H,MATCH($O1225,'Hun Demand'!$A:$A,0)),"")</f>
        <v/>
      </c>
      <c r="AI1225" s="25" t="str">
        <f>IF(SUMIFS('Supp Consol'!AA:AA,'Supp Consol'!Z:Z,"Expires this month",'Supp Consol'!A:A,O1225)=0,"",SUMIFS('Supp Consol'!AA:AA,'Supp Consol'!Z:Z,"Expires this month",'Supp Consol'!A:A,O1225))</f>
        <v/>
      </c>
      <c r="AJ1225" s="25" t="str">
        <f>IF(SUMIFS('Supp Consol'!AA:AA,'Supp Consol'!Z:Z,"Expired Previous Months",'Supp Consol'!A:A,O1225)=0,"",SUMIFS('Supp Consol'!AA:AA,'Supp Consol'!Z:Z,"Expired Previous Months",'Supp Consol'!A:A,O1225))</f>
        <v/>
      </c>
      <c r="AK1225" s="25" t="str">
        <f>IFERROR(INDEX('Hun Release Current'!B:B,MATCH(O1225,'Hun Release Current'!A:A,0)),"")</f>
        <v/>
      </c>
      <c r="AL1225" s="25" t="str">
        <f>IF(SUMIF('Prev Aub'!A:A,O1225,'Prev Aub'!B:B)=0,"",SUMIF('Prev Aub'!A:A,O1225,'Prev Aub'!B:B))</f>
        <v/>
      </c>
      <c r="AN1225" s="25" t="s">
        <v>3790</v>
      </c>
      <c r="AO1225" s="25" t="s">
        <v>3790</v>
      </c>
      <c r="AP1225" s="25">
        <f t="shared" si="538"/>
        <v>0</v>
      </c>
      <c r="AQ1225" s="151" t="str">
        <f>IF(SUMIFS('Supp Consol'!S:S,'Supp Consol'!A:A,O1225,'Supp Consol'!I:I,"PENDING")=0,"",SUMIFS('Supp Consol'!S:S,'Supp Consol'!A:A,O1225,'Supp Consol'!I:I,"PENDING"))</f>
        <v/>
      </c>
      <c r="AR1225" s="27" t="str">
        <f t="shared" si="539"/>
        <v>SY925</v>
      </c>
      <c r="AS1225" s="27" t="str">
        <f t="shared" si="540"/>
        <v>50</v>
      </c>
      <c r="AT1225" s="27" t="str">
        <f t="shared" si="541"/>
        <v/>
      </c>
      <c r="AU1225" s="27" t="str">
        <f t="shared" si="542"/>
        <v/>
      </c>
      <c r="AV1225" s="27" t="str">
        <f t="shared" si="543"/>
        <v/>
      </c>
      <c r="AW1225" s="27" t="str">
        <f t="shared" si="544"/>
        <v/>
      </c>
      <c r="AX1225" s="27" t="str">
        <f t="shared" si="545"/>
        <v/>
      </c>
      <c r="AY1225" s="27" t="str">
        <f t="shared" si="546"/>
        <v/>
      </c>
      <c r="AZ1225" s="27" t="str">
        <f t="shared" si="547"/>
        <v/>
      </c>
      <c r="BA1225" s="27" t="str">
        <f t="shared" si="548"/>
        <v/>
      </c>
      <c r="BB1225" s="27" t="str">
        <f t="shared" si="549"/>
        <v/>
      </c>
      <c r="BC1225" s="27" t="str">
        <f t="shared" si="550"/>
        <v/>
      </c>
      <c r="BD1225" s="27" t="str">
        <f t="shared" si="551"/>
        <v/>
      </c>
      <c r="BE1225" s="27" t="str">
        <f t="shared" si="552"/>
        <v/>
      </c>
      <c r="BF1225" s="27" t="str">
        <f t="shared" si="553"/>
        <v/>
      </c>
      <c r="BG1225" s="27" t="str">
        <f t="shared" si="554"/>
        <v/>
      </c>
      <c r="BH1225" s="27" t="str">
        <f t="shared" si="555"/>
        <v/>
      </c>
      <c r="BI1225" s="27" t="str">
        <f t="shared" si="556"/>
        <v/>
      </c>
      <c r="BJ1225" s="27" t="str">
        <f t="shared" si="557"/>
        <v/>
      </c>
      <c r="BK1225" s="27" t="str">
        <f t="shared" si="558"/>
        <v/>
      </c>
      <c r="BL1225" s="27" t="str">
        <f t="shared" si="559"/>
        <v/>
      </c>
      <c r="BM1225" s="21" t="s">
        <v>5581</v>
      </c>
    </row>
    <row r="1226" spans="1:65" ht="15">
      <c r="A1226" s="25" t="str">
        <f>IFERROR(INDEX('Hun Demand'!W:W,MATCH(O1226,'Hun Demand'!A:A,0)),"")</f>
        <v/>
      </c>
      <c r="B1226" s="25" t="str">
        <f>IFERROR(INDEX('Hun Demand'!V:V,MATCH(O1226,'Hun Demand'!A:A,0)),"")</f>
        <v/>
      </c>
      <c r="C1226" s="25" t="str">
        <f>IFERROR(INDEX('Hun Demand'!U:U,MATCH(O1226,'Hun Demand'!A:A,0)),"")</f>
        <v/>
      </c>
      <c r="D1226" s="25" t="str">
        <f>IFERROR(INDEX('Hun Demand'!T:T,MATCH(O1226,'Hun Demand'!A:A,0)),"")</f>
        <v/>
      </c>
      <c r="E1226" s="25" t="str">
        <f>IFERROR(INDEX('Hun Demand'!S:S,MATCH(O1226,'Hun Demand'!A:A,0)),"")</f>
        <v/>
      </c>
      <c r="F1226" s="25" t="str">
        <f>IFERROR(INDEX('Hun Demand'!R:R,MATCH(O1226,'Hun Demand'!A:A,0)),"")</f>
        <v/>
      </c>
      <c r="G1226" s="25">
        <f>IFERROR(INDEX('Aub Demand'!W:W,MATCH(O1226,'Aub Demand'!A:A,0)),"")</f>
        <v>0</v>
      </c>
      <c r="H1226" s="25">
        <f>IFERROR(INDEX('Aub Demand'!V:V,MATCH(O1226,'Aub Demand'!A:A,0)),"")</f>
        <v>48</v>
      </c>
      <c r="I1226" s="25">
        <f>IFERROR(INDEX('Aub Demand'!U:U,MATCH(O1226,'Aub Demand'!A:A,0)),"")</f>
        <v>41</v>
      </c>
      <c r="J1226" s="25">
        <f>IFERROR(INDEX('Aub Demand'!T:T,MATCH(O1226,'Aub Demand'!A:A,0)),"")</f>
        <v>0</v>
      </c>
      <c r="K1226" s="25">
        <f>IFERROR(INDEX('Aub Demand'!S:S,MATCH(O1226,'Aub Demand'!A:A,0)),"")</f>
        <v>0</v>
      </c>
      <c r="L1226" s="25">
        <f>IFERROR(INDEX('Aub Demand'!R:R,MATCH(O1226,'Aub Demand'!A:A,0)),"")</f>
        <v>0</v>
      </c>
      <c r="O1226" s="27" t="s">
        <v>2825</v>
      </c>
      <c r="P1226" s="27" t="str">
        <f>IFERROR(INDEX('Aub Demand'!B:B,MATCH($O1226,'Aub Demand'!$A:$A,0)),"")</f>
        <v>MARIGOLD FIELDS</v>
      </c>
      <c r="Q1226" s="27" t="str">
        <f>IFERROR(INDEX('Aub Demand'!C:C,MATCH($O1226,'Aub Demand'!$A:$A,0)),"")</f>
        <v>AHLST</v>
      </c>
      <c r="R1226" s="52">
        <f>IFERROR(IF(AR1227=AR1226,INDEX('Aub Demand'!K:K,MATCH($O1226,'Aub Demand'!$A:$A,0))-IF(AN1226="",0,AN1226)+AP1227,INDEX('Aub Demand'!K:K,MATCH($O1226,'Aub Demand'!$A:$A,0))-IF(AN1226="",0,AN1226)),"")</f>
        <v>1866</v>
      </c>
      <c r="S1226" s="53">
        <f t="shared" si="532"/>
        <v>571.20000000000005</v>
      </c>
      <c r="T1226" s="52" t="str">
        <f t="shared" si="533"/>
        <v/>
      </c>
      <c r="U1226" s="52">
        <f>IFERROR(IF(AR1227=AR1226,INDEX('Aub Demand'!Q:Q,MATCH($O1226,'Aub Demand'!$A:$A,0))-IF(AN1226="",0,AN1226)+AP1227,INDEX('Aub Demand'!Q:Q,MATCH($O1226,'Aub Demand'!$A:$A,0))-IF(AN1226="",0,AN1226)),"")</f>
        <v>1866</v>
      </c>
      <c r="V1226" s="53">
        <f t="shared" si="534"/>
        <v>571.20000000000005</v>
      </c>
      <c r="W1226" s="52" t="str">
        <f t="shared" si="535"/>
        <v/>
      </c>
      <c r="X1226" s="52">
        <f>IFERROR(IF(AND(AR1227=AR1226,AM1226&lt;&gt;""),INDEX('Aub Demand'!Q:Q,MATCH($O1226,'Aub Demand'!$A:$A,0))-IF(AN1226="",0,AN1226)+AP1227+AD1226+AL1226,IF(AR1227=AR1226,INDEX('Aub Demand'!Q:Q,MATCH($O1226,'Aub Demand'!$A:$A,0))-IF(AN1226="",0,AN1226)+AP1227+AD1226,IF(AM1226&lt;&gt;"",INDEX('Aub Demand'!Q:Q,MATCH($O1226,'Aub Demand'!$A:$A,0))-IF(AN1226="",0,AN1226)+AD1226+AL1226,INDEX('Aub Demand'!Q:Q,MATCH($O1226,'Aub Demand'!$A:$A,0))-IF(AN1226="",0,AN1226)+AD1226))),"")</f>
        <v>1866</v>
      </c>
      <c r="Y1226" s="53">
        <f t="shared" si="536"/>
        <v>571.20000000000005</v>
      </c>
      <c r="Z1226" s="52">
        <f>IF(L1226="","",INDEX('Aub Demand'!H:H,MATCH($O1226,'Aub Demand'!$A:$A,0)))</f>
        <v>14</v>
      </c>
      <c r="AA1226" s="52" t="str">
        <f t="shared" si="537"/>
        <v>-spike-</v>
      </c>
      <c r="AB1226" s="52">
        <f>IFERROR(INDEX('Aub Demand'!L:L,MATCH($O1226,'Aub Demand'!$A:$A,0)),"")</f>
        <v>7</v>
      </c>
      <c r="AC1226" s="52">
        <f>IFERROR(IF(O1226="","",SUMIFS('CPL Mats'!F:F,'CPL Mats'!Q:Q,AR1226,'CPL Mats'!S:S,AS1226)),"")</f>
        <v>0</v>
      </c>
      <c r="AF1226" s="25" t="str">
        <f>IF(SUMIFS('Supp Consol'!S:S,'Supp Consol'!Y:Y,"Releasable",'Supp Consol'!A:A,O1226)=0,"",SUMIFS('Supp Consol'!S:S,'Supp Consol'!Y:Y,"Releasable",'Supp Consol'!A:A,O1226))</f>
        <v/>
      </c>
      <c r="AG1226" s="25" t="str">
        <f>IFERROR(INDEX('Hun Demand'!Q:Q,MATCH(O1226,'Hun Demand'!A:A,0)),"")</f>
        <v/>
      </c>
      <c r="AH1226" s="25" t="str">
        <f>IFERROR(INDEX('Hun Demand'!H:H,MATCH($O1226,'Hun Demand'!$A:$A,0)),"")</f>
        <v/>
      </c>
      <c r="AI1226" s="25" t="str">
        <f>IF(SUMIFS('Supp Consol'!AA:AA,'Supp Consol'!Z:Z,"Expires this month",'Supp Consol'!A:A,O1226)=0,"",SUMIFS('Supp Consol'!AA:AA,'Supp Consol'!Z:Z,"Expires this month",'Supp Consol'!A:A,O1226))</f>
        <v/>
      </c>
      <c r="AJ1226" s="25" t="str">
        <f>IF(SUMIFS('Supp Consol'!AA:AA,'Supp Consol'!Z:Z,"Expired Previous Months",'Supp Consol'!A:A,O1226)=0,"",SUMIFS('Supp Consol'!AA:AA,'Supp Consol'!Z:Z,"Expired Previous Months",'Supp Consol'!A:A,O1226))</f>
        <v/>
      </c>
      <c r="AK1226" s="25" t="str">
        <f>IFERROR(INDEX('Hun Release Current'!B:B,MATCH(O1226,'Hun Release Current'!A:A,0)),"")</f>
        <v/>
      </c>
      <c r="AL1226" s="25" t="str">
        <f>IF(SUMIF('Prev Aub'!A:A,O1226,'Prev Aub'!B:B)=0,"",SUMIF('Prev Aub'!A:A,O1226,'Prev Aub'!B:B))</f>
        <v/>
      </c>
      <c r="AN1226" s="25" t="s">
        <v>3790</v>
      </c>
      <c r="AO1226" s="25" t="s">
        <v>3790</v>
      </c>
      <c r="AP1226" s="25">
        <f t="shared" si="538"/>
        <v>0</v>
      </c>
      <c r="AQ1226" s="151" t="str">
        <f>IF(SUMIFS('Supp Consol'!S:S,'Supp Consol'!A:A,O1226,'Supp Consol'!I:I,"PENDING")=0,"",SUMIFS('Supp Consol'!S:S,'Supp Consol'!A:A,O1226,'Supp Consol'!I:I,"PENDING"))</f>
        <v/>
      </c>
      <c r="AR1226" s="27" t="str">
        <f t="shared" si="539"/>
        <v>SY925</v>
      </c>
      <c r="AS1226" s="27" t="str">
        <f t="shared" si="540"/>
        <v>62</v>
      </c>
      <c r="AT1226" s="27" t="str">
        <f t="shared" si="541"/>
        <v/>
      </c>
      <c r="AU1226" s="27" t="str">
        <f t="shared" si="542"/>
        <v/>
      </c>
      <c r="AV1226" s="27" t="str">
        <f t="shared" si="543"/>
        <v/>
      </c>
      <c r="AW1226" s="27" t="str">
        <f t="shared" si="544"/>
        <v/>
      </c>
      <c r="AX1226" s="27" t="str">
        <f t="shared" si="545"/>
        <v/>
      </c>
      <c r="AY1226" s="27" t="str">
        <f t="shared" si="546"/>
        <v/>
      </c>
      <c r="AZ1226" s="27" t="str">
        <f t="shared" si="547"/>
        <v/>
      </c>
      <c r="BA1226" s="27" t="str">
        <f t="shared" si="548"/>
        <v/>
      </c>
      <c r="BB1226" s="27" t="str">
        <f t="shared" si="549"/>
        <v/>
      </c>
      <c r="BC1226" s="27" t="str">
        <f t="shared" si="550"/>
        <v/>
      </c>
      <c r="BD1226" s="27" t="str">
        <f t="shared" si="551"/>
        <v/>
      </c>
      <c r="BE1226" s="27" t="str">
        <f t="shared" si="552"/>
        <v/>
      </c>
      <c r="BF1226" s="27" t="str">
        <f t="shared" si="553"/>
        <v/>
      </c>
      <c r="BG1226" s="27" t="str">
        <f t="shared" si="554"/>
        <v/>
      </c>
      <c r="BH1226" s="27" t="str">
        <f t="shared" si="555"/>
        <v/>
      </c>
      <c r="BI1226" s="27" t="str">
        <f t="shared" si="556"/>
        <v/>
      </c>
      <c r="BJ1226" s="27" t="str">
        <f t="shared" si="557"/>
        <v/>
      </c>
      <c r="BK1226" s="27" t="str">
        <f t="shared" si="558"/>
        <v/>
      </c>
      <c r="BL1226" s="27" t="str">
        <f t="shared" si="559"/>
        <v/>
      </c>
      <c r="BM1226" s="21" t="s">
        <v>5581</v>
      </c>
    </row>
    <row r="1227" spans="1:65" ht="15">
      <c r="A1227" s="25" t="str">
        <f>IFERROR(INDEX('Hun Demand'!W:W,MATCH(O1227,'Hun Demand'!A:A,0)),"")</f>
        <v/>
      </c>
      <c r="B1227" s="25" t="str">
        <f>IFERROR(INDEX('Hun Demand'!V:V,MATCH(O1227,'Hun Demand'!A:A,0)),"")</f>
        <v/>
      </c>
      <c r="C1227" s="25" t="str">
        <f>IFERROR(INDEX('Hun Demand'!U:U,MATCH(O1227,'Hun Demand'!A:A,0)),"")</f>
        <v/>
      </c>
      <c r="D1227" s="25" t="str">
        <f>IFERROR(INDEX('Hun Demand'!T:T,MATCH(O1227,'Hun Demand'!A:A,0)),"")</f>
        <v/>
      </c>
      <c r="E1227" s="25" t="str">
        <f>IFERROR(INDEX('Hun Demand'!S:S,MATCH(O1227,'Hun Demand'!A:A,0)),"")</f>
        <v/>
      </c>
      <c r="F1227" s="25" t="str">
        <f>IFERROR(INDEX('Hun Demand'!R:R,MATCH(O1227,'Hun Demand'!A:A,0)),"")</f>
        <v/>
      </c>
      <c r="G1227" s="25">
        <f>IFERROR(INDEX('Aub Demand'!W:W,MATCH(O1227,'Aub Demand'!A:A,0)),"")</f>
        <v>60</v>
      </c>
      <c r="H1227" s="25">
        <f>IFERROR(INDEX('Aub Demand'!V:V,MATCH(O1227,'Aub Demand'!A:A,0)),"")</f>
        <v>12</v>
      </c>
      <c r="I1227" s="25">
        <f>IFERROR(INDEX('Aub Demand'!U:U,MATCH(O1227,'Aub Demand'!A:A,0)),"")</f>
        <v>72</v>
      </c>
      <c r="J1227" s="25">
        <f>IFERROR(INDEX('Aub Demand'!T:T,MATCH(O1227,'Aub Demand'!A:A,0)),"")</f>
        <v>0</v>
      </c>
      <c r="K1227" s="25">
        <f>IFERROR(INDEX('Aub Demand'!S:S,MATCH(O1227,'Aub Demand'!A:A,0)),"")</f>
        <v>0</v>
      </c>
      <c r="L1227" s="25">
        <f>IFERROR(INDEX('Aub Demand'!R:R,MATCH(O1227,'Aub Demand'!A:A,0)),"")</f>
        <v>0</v>
      </c>
      <c r="O1227" s="27" t="s">
        <v>2826</v>
      </c>
      <c r="P1227" s="27" t="str">
        <f>IFERROR(INDEX('Aub Demand'!B:B,MATCH($O1227,'Aub Demand'!$A:$A,0)),"")</f>
        <v>OCHRE TEMPERA 50"</v>
      </c>
      <c r="Q1227" s="27" t="str">
        <f>IFERROR(INDEX('Aub Demand'!C:C,MATCH($O1227,'Aub Demand'!$A:$A,0)),"")</f>
        <v>DNP A</v>
      </c>
      <c r="R1227" s="52">
        <f>IFERROR(IF(AR1228=AR1227,INDEX('Aub Demand'!K:K,MATCH($O1227,'Aub Demand'!$A:$A,0))-IF(AN1227="",0,AN1227)+AP1228,INDEX('Aub Demand'!K:K,MATCH($O1227,'Aub Demand'!$A:$A,0))-IF(AN1227="",0,AN1227)),"")</f>
        <v>0</v>
      </c>
      <c r="S1227" s="53">
        <f t="shared" si="532"/>
        <v>0</v>
      </c>
      <c r="T1227" s="52" t="str">
        <f t="shared" si="533"/>
        <v/>
      </c>
      <c r="U1227" s="52">
        <f>IFERROR(IF(AR1228=AR1227,INDEX('Aub Demand'!Q:Q,MATCH($O1227,'Aub Demand'!$A:$A,0))-IF(AN1227="",0,AN1227)+AP1228,INDEX('Aub Demand'!Q:Q,MATCH($O1227,'Aub Demand'!$A:$A,0))-IF(AN1227="",0,AN1227)),"")</f>
        <v>-29</v>
      </c>
      <c r="V1227" s="53">
        <f t="shared" si="534"/>
        <v>-5.2</v>
      </c>
      <c r="W1227" s="52" t="str">
        <f t="shared" si="535"/>
        <v/>
      </c>
      <c r="X1227" s="52">
        <f>IFERROR(IF(AND(AR1228=AR1227,AM1227&lt;&gt;""),INDEX('Aub Demand'!Q:Q,MATCH($O1227,'Aub Demand'!$A:$A,0))-IF(AN1227="",0,AN1227)+AP1228+AD1227+AL1227,IF(AR1228=AR1227,INDEX('Aub Demand'!Q:Q,MATCH($O1227,'Aub Demand'!$A:$A,0))-IF(AN1227="",0,AN1227)+AP1228+AD1227,IF(AM1227&lt;&gt;"",INDEX('Aub Demand'!Q:Q,MATCH($O1227,'Aub Demand'!$A:$A,0))-IF(AN1227="",0,AN1227)+AD1227+AL1227,INDEX('Aub Demand'!Q:Q,MATCH($O1227,'Aub Demand'!$A:$A,0))-IF(AN1227="",0,AN1227)+AD1227))),"")</f>
        <v>-29</v>
      </c>
      <c r="Y1227" s="53">
        <f t="shared" si="536"/>
        <v>-5.2</v>
      </c>
      <c r="Z1227" s="52">
        <f>IF(L1227="","",INDEX('Aub Demand'!H:H,MATCH($O1227,'Aub Demand'!$A:$A,0)))</f>
        <v>24</v>
      </c>
      <c r="AA1227" s="52" t="str">
        <f t="shared" si="537"/>
        <v>-spike-</v>
      </c>
      <c r="AB1227" s="52">
        <f>IFERROR(INDEX('Aub Demand'!L:L,MATCH($O1227,'Aub Demand'!$A:$A,0)),"")</f>
        <v>22</v>
      </c>
      <c r="AC1227" s="52">
        <f>IFERROR(IF(O1227="","",SUMIFS('CPL Mats'!F:F,'CPL Mats'!Q:Q,AR1227,'CPL Mats'!S:S,AS1227)),"")</f>
        <v>0</v>
      </c>
      <c r="AF1227" s="25" t="str">
        <f>IF(SUMIFS('Supp Consol'!S:S,'Supp Consol'!Y:Y,"Releasable",'Supp Consol'!A:A,O1227)=0,"",SUMIFS('Supp Consol'!S:S,'Supp Consol'!Y:Y,"Releasable",'Supp Consol'!A:A,O1227))</f>
        <v/>
      </c>
      <c r="AG1227" s="25" t="str">
        <f>IFERROR(INDEX('Hun Demand'!Q:Q,MATCH(O1227,'Hun Demand'!A:A,0)),"")</f>
        <v/>
      </c>
      <c r="AH1227" s="25" t="str">
        <f>IFERROR(INDEX('Hun Demand'!H:H,MATCH($O1227,'Hun Demand'!$A:$A,0)),"")</f>
        <v/>
      </c>
      <c r="AI1227" s="25" t="str">
        <f>IF(SUMIFS('Supp Consol'!AA:AA,'Supp Consol'!Z:Z,"Expires this month",'Supp Consol'!A:A,O1227)=0,"",SUMIFS('Supp Consol'!AA:AA,'Supp Consol'!Z:Z,"Expires this month",'Supp Consol'!A:A,O1227))</f>
        <v/>
      </c>
      <c r="AJ1227" s="25" t="str">
        <f>IF(SUMIFS('Supp Consol'!AA:AA,'Supp Consol'!Z:Z,"Expired Previous Months",'Supp Consol'!A:A,O1227)=0,"",SUMIFS('Supp Consol'!AA:AA,'Supp Consol'!Z:Z,"Expired Previous Months",'Supp Consol'!A:A,O1227))</f>
        <v/>
      </c>
      <c r="AK1227" s="25" t="str">
        <f>IFERROR(INDEX('Hun Release Current'!B:B,MATCH(O1227,'Hun Release Current'!A:A,0)),"")</f>
        <v/>
      </c>
      <c r="AL1227" s="25" t="str">
        <f>IF(SUMIF('Prev Aub'!A:A,O1227,'Prev Aub'!B:B)=0,"",SUMIF('Prev Aub'!A:A,O1227,'Prev Aub'!B:B))</f>
        <v/>
      </c>
      <c r="AN1227" s="25" t="s">
        <v>3790</v>
      </c>
      <c r="AO1227" s="25" t="s">
        <v>3790</v>
      </c>
      <c r="AP1227" s="25">
        <f t="shared" si="538"/>
        <v>0</v>
      </c>
      <c r="AQ1227" s="151" t="str">
        <f>IF(SUMIFS('Supp Consol'!S:S,'Supp Consol'!A:A,O1227,'Supp Consol'!I:I,"PENDING")=0,"",SUMIFS('Supp Consol'!S:S,'Supp Consol'!A:A,O1227,'Supp Consol'!I:I,"PENDING"))</f>
        <v/>
      </c>
      <c r="AR1227" s="27" t="str">
        <f t="shared" si="539"/>
        <v>TM201</v>
      </c>
      <c r="AS1227" s="27" t="str">
        <f t="shared" si="540"/>
        <v>50</v>
      </c>
      <c r="AT1227" s="27" t="str">
        <f t="shared" si="541"/>
        <v>TM201</v>
      </c>
      <c r="AU1227" s="27" t="str">
        <f t="shared" si="542"/>
        <v>TM201</v>
      </c>
      <c r="AV1227" s="27" t="str">
        <f t="shared" si="543"/>
        <v>TM201</v>
      </c>
      <c r="AW1227" s="27" t="str">
        <f t="shared" si="544"/>
        <v/>
      </c>
      <c r="AX1227" s="27" t="str">
        <f t="shared" si="545"/>
        <v/>
      </c>
      <c r="AY1227" s="27" t="str">
        <f t="shared" si="546"/>
        <v/>
      </c>
      <c r="AZ1227" s="27" t="str">
        <f t="shared" si="547"/>
        <v/>
      </c>
      <c r="BA1227" s="27" t="str">
        <f t="shared" si="548"/>
        <v/>
      </c>
      <c r="BB1227" s="27" t="str">
        <f t="shared" si="549"/>
        <v>Gross</v>
      </c>
      <c r="BC1227" s="27" t="str">
        <f t="shared" si="550"/>
        <v>Net</v>
      </c>
      <c r="BD1227" s="27" t="str">
        <f t="shared" si="551"/>
        <v>Net</v>
      </c>
      <c r="BE1227" s="27" t="str">
        <f t="shared" si="552"/>
        <v/>
      </c>
      <c r="BF1227" s="27" t="str">
        <f t="shared" si="553"/>
        <v/>
      </c>
      <c r="BG1227" s="27" t="str">
        <f t="shared" si="554"/>
        <v/>
      </c>
      <c r="BH1227" s="27" t="str">
        <f t="shared" si="555"/>
        <v/>
      </c>
      <c r="BI1227" s="27" t="str">
        <f t="shared" si="556"/>
        <v/>
      </c>
      <c r="BJ1227" s="27" t="str">
        <f t="shared" si="557"/>
        <v/>
      </c>
      <c r="BK1227" s="27" t="str">
        <f t="shared" si="558"/>
        <v/>
      </c>
      <c r="BL1227" s="27" t="str">
        <f t="shared" si="559"/>
        <v/>
      </c>
      <c r="BM1227" s="21" t="s">
        <v>5581</v>
      </c>
    </row>
    <row r="1228" spans="1:65" ht="15">
      <c r="A1228" s="25" t="str">
        <f>IFERROR(INDEX('Hun Demand'!W:W,MATCH(O1228,'Hun Demand'!A:A,0)),"")</f>
        <v/>
      </c>
      <c r="B1228" s="25" t="str">
        <f>IFERROR(INDEX('Hun Demand'!V:V,MATCH(O1228,'Hun Demand'!A:A,0)),"")</f>
        <v/>
      </c>
      <c r="C1228" s="25" t="str">
        <f>IFERROR(INDEX('Hun Demand'!U:U,MATCH(O1228,'Hun Demand'!A:A,0)),"")</f>
        <v/>
      </c>
      <c r="D1228" s="25" t="str">
        <f>IFERROR(INDEX('Hun Demand'!T:T,MATCH(O1228,'Hun Demand'!A:A,0)),"")</f>
        <v/>
      </c>
      <c r="E1228" s="25" t="str">
        <f>IFERROR(INDEX('Hun Demand'!S:S,MATCH(O1228,'Hun Demand'!A:A,0)),"")</f>
        <v/>
      </c>
      <c r="F1228" s="25" t="str">
        <f>IFERROR(INDEX('Hun Demand'!R:R,MATCH(O1228,'Hun Demand'!A:A,0)),"")</f>
        <v/>
      </c>
      <c r="G1228" s="25">
        <f>IFERROR(INDEX('Aub Demand'!W:W,MATCH(O1228,'Aub Demand'!A:A,0)),"")</f>
        <v>15</v>
      </c>
      <c r="H1228" s="25">
        <f>IFERROR(INDEX('Aub Demand'!V:V,MATCH(O1228,'Aub Demand'!A:A,0)),"")</f>
        <v>0</v>
      </c>
      <c r="I1228" s="25">
        <f>IFERROR(INDEX('Aub Demand'!U:U,MATCH(O1228,'Aub Demand'!A:A,0)),"")</f>
        <v>0</v>
      </c>
      <c r="J1228" s="25">
        <f>IFERROR(INDEX('Aub Demand'!T:T,MATCH(O1228,'Aub Demand'!A:A,0)),"")</f>
        <v>0</v>
      </c>
      <c r="K1228" s="25">
        <f>IFERROR(INDEX('Aub Demand'!S:S,MATCH(O1228,'Aub Demand'!A:A,0)),"")</f>
        <v>0</v>
      </c>
      <c r="L1228" s="25">
        <f>IFERROR(INDEX('Aub Demand'!R:R,MATCH(O1228,'Aub Demand'!A:A,0)),"")</f>
        <v>0</v>
      </c>
      <c r="O1228" s="27" t="s">
        <v>2829</v>
      </c>
      <c r="P1228" s="27" t="str">
        <f>IFERROR(INDEX('Aub Demand'!B:B,MATCH($O1228,'Aub Demand'!$A:$A,0)),"")</f>
        <v>OCHRE TEMPERA 62"</v>
      </c>
      <c r="Q1228" s="27" t="str">
        <f>IFERROR(INDEX('Aub Demand'!C:C,MATCH($O1228,'Aub Demand'!$A:$A,0)),"")</f>
        <v>DNP A</v>
      </c>
      <c r="R1228" s="52">
        <f>IFERROR(IF(AR1229=AR1228,INDEX('Aub Demand'!K:K,MATCH($O1228,'Aub Demand'!$A:$A,0))-IF(AN1228="",0,AN1228)+AP1229,INDEX('Aub Demand'!K:K,MATCH($O1228,'Aub Demand'!$A:$A,0))-IF(AN1228="",0,AN1228)),"")</f>
        <v>0</v>
      </c>
      <c r="S1228" s="53" t="str">
        <f t="shared" si="532"/>
        <v>n/a</v>
      </c>
      <c r="T1228" s="52" t="str">
        <f t="shared" si="533"/>
        <v/>
      </c>
      <c r="U1228" s="52">
        <f>IFERROR(IF(AR1229=AR1228,INDEX('Aub Demand'!Q:Q,MATCH($O1228,'Aub Demand'!$A:$A,0))-IF(AN1228="",0,AN1228)+AP1229,INDEX('Aub Demand'!Q:Q,MATCH($O1228,'Aub Demand'!$A:$A,0))-IF(AN1228="",0,AN1228)),"")</f>
        <v>-27</v>
      </c>
      <c r="V1228" s="53" t="str">
        <f t="shared" si="534"/>
        <v>n/a</v>
      </c>
      <c r="W1228" s="52" t="str">
        <f t="shared" si="535"/>
        <v/>
      </c>
      <c r="X1228" s="52">
        <f>IFERROR(IF(AND(AR1229=AR1228,AM1228&lt;&gt;""),INDEX('Aub Demand'!Q:Q,MATCH($O1228,'Aub Demand'!$A:$A,0))-IF(AN1228="",0,AN1228)+AP1229+AD1228+AL1228,IF(AR1229=AR1228,INDEX('Aub Demand'!Q:Q,MATCH($O1228,'Aub Demand'!$A:$A,0))-IF(AN1228="",0,AN1228)+AP1229+AD1228,IF(AM1228&lt;&gt;"",INDEX('Aub Demand'!Q:Q,MATCH($O1228,'Aub Demand'!$A:$A,0))-IF(AN1228="",0,AN1228)+AD1228+AL1228,INDEX('Aub Demand'!Q:Q,MATCH($O1228,'Aub Demand'!$A:$A,0))-IF(AN1228="",0,AN1228)+AD1228))),"")</f>
        <v>-27</v>
      </c>
      <c r="Y1228" s="53" t="str">
        <f t="shared" si="536"/>
        <v>n/a</v>
      </c>
      <c r="Z1228" s="52">
        <f>IF(L1228="","",INDEX('Aub Demand'!H:H,MATCH($O1228,'Aub Demand'!$A:$A,0)))</f>
        <v>0</v>
      </c>
      <c r="AA1228" s="52" t="str">
        <f t="shared" si="537"/>
        <v>-spike-</v>
      </c>
      <c r="AB1228" s="52">
        <f>IFERROR(INDEX('Aub Demand'!L:L,MATCH($O1228,'Aub Demand'!$A:$A,0)),"")</f>
        <v>12</v>
      </c>
      <c r="AC1228" s="52">
        <f>IFERROR(IF(O1228="","",SUMIFS('CPL Mats'!F:F,'CPL Mats'!Q:Q,AR1228,'CPL Mats'!S:S,AS1228)),"")</f>
        <v>0</v>
      </c>
      <c r="AF1228" s="25" t="str">
        <f>IF(SUMIFS('Supp Consol'!S:S,'Supp Consol'!Y:Y,"Releasable",'Supp Consol'!A:A,O1228)=0,"",SUMIFS('Supp Consol'!S:S,'Supp Consol'!Y:Y,"Releasable",'Supp Consol'!A:A,O1228))</f>
        <v/>
      </c>
      <c r="AG1228" s="25" t="str">
        <f>IFERROR(INDEX('Hun Demand'!Q:Q,MATCH(O1228,'Hun Demand'!A:A,0)),"")</f>
        <v/>
      </c>
      <c r="AH1228" s="25" t="str">
        <f>IFERROR(INDEX('Hun Demand'!H:H,MATCH($O1228,'Hun Demand'!$A:$A,0)),"")</f>
        <v/>
      </c>
      <c r="AI1228" s="25" t="str">
        <f>IF(SUMIFS('Supp Consol'!AA:AA,'Supp Consol'!Z:Z,"Expires this month",'Supp Consol'!A:A,O1228)=0,"",SUMIFS('Supp Consol'!AA:AA,'Supp Consol'!Z:Z,"Expires this month",'Supp Consol'!A:A,O1228))</f>
        <v/>
      </c>
      <c r="AJ1228" s="25" t="str">
        <f>IF(SUMIFS('Supp Consol'!AA:AA,'Supp Consol'!Z:Z,"Expired Previous Months",'Supp Consol'!A:A,O1228)=0,"",SUMIFS('Supp Consol'!AA:AA,'Supp Consol'!Z:Z,"Expired Previous Months",'Supp Consol'!A:A,O1228))</f>
        <v/>
      </c>
      <c r="AK1228" s="25" t="str">
        <f>IFERROR(INDEX('Hun Release Current'!B:B,MATCH(O1228,'Hun Release Current'!A:A,0)),"")</f>
        <v/>
      </c>
      <c r="AL1228" s="25" t="str">
        <f>IF(SUMIF('Prev Aub'!A:A,O1228,'Prev Aub'!B:B)=0,"",SUMIF('Prev Aub'!A:A,O1228,'Prev Aub'!B:B))</f>
        <v/>
      </c>
      <c r="AN1228" s="25" t="s">
        <v>3790</v>
      </c>
      <c r="AO1228" s="25" t="s">
        <v>3790</v>
      </c>
      <c r="AP1228" s="25">
        <f t="shared" si="538"/>
        <v>0</v>
      </c>
      <c r="AQ1228" s="151" t="str">
        <f>IF(SUMIFS('Supp Consol'!S:S,'Supp Consol'!A:A,O1228,'Supp Consol'!I:I,"PENDING")=0,"",SUMIFS('Supp Consol'!S:S,'Supp Consol'!A:A,O1228,'Supp Consol'!I:I,"PENDING"))</f>
        <v/>
      </c>
      <c r="AR1228" s="27" t="str">
        <f t="shared" si="539"/>
        <v>TM201</v>
      </c>
      <c r="AS1228" s="27" t="str">
        <f t="shared" si="540"/>
        <v>62</v>
      </c>
      <c r="AT1228" s="27" t="str">
        <f t="shared" si="541"/>
        <v/>
      </c>
      <c r="AU1228" s="27" t="str">
        <f t="shared" si="542"/>
        <v/>
      </c>
      <c r="AV1228" s="27" t="str">
        <f t="shared" si="543"/>
        <v/>
      </c>
      <c r="AW1228" s="27" t="str">
        <f t="shared" si="544"/>
        <v/>
      </c>
      <c r="AX1228" s="27" t="str">
        <f t="shared" si="545"/>
        <v/>
      </c>
      <c r="AY1228" s="27" t="str">
        <f t="shared" si="546"/>
        <v/>
      </c>
      <c r="AZ1228" s="27" t="str">
        <f t="shared" si="547"/>
        <v/>
      </c>
      <c r="BA1228" s="27" t="str">
        <f t="shared" si="548"/>
        <v/>
      </c>
      <c r="BB1228" s="27" t="str">
        <f t="shared" si="549"/>
        <v>Gross</v>
      </c>
      <c r="BC1228" s="27" t="str">
        <f t="shared" si="550"/>
        <v>Net</v>
      </c>
      <c r="BD1228" s="27" t="str">
        <f t="shared" si="551"/>
        <v>Net</v>
      </c>
      <c r="BE1228" s="27" t="str">
        <f t="shared" si="552"/>
        <v/>
      </c>
      <c r="BF1228" s="27" t="str">
        <f t="shared" si="553"/>
        <v/>
      </c>
      <c r="BG1228" s="27" t="str">
        <f t="shared" si="554"/>
        <v/>
      </c>
      <c r="BH1228" s="27" t="str">
        <f t="shared" si="555"/>
        <v/>
      </c>
      <c r="BI1228" s="27" t="str">
        <f t="shared" si="556"/>
        <v/>
      </c>
      <c r="BJ1228" s="27" t="str">
        <f t="shared" si="557"/>
        <v/>
      </c>
      <c r="BK1228" s="27" t="str">
        <f t="shared" si="558"/>
        <v/>
      </c>
      <c r="BL1228" s="27" t="str">
        <f t="shared" si="559"/>
        <v/>
      </c>
      <c r="BM1228" s="21" t="s">
        <v>5581</v>
      </c>
    </row>
    <row r="1229" spans="1:65" ht="15">
      <c r="A1229" s="25" t="str">
        <f>IFERROR(INDEX('Hun Demand'!W:W,MATCH(O1229,'Hun Demand'!A:A,0)),"")</f>
        <v/>
      </c>
      <c r="B1229" s="25" t="str">
        <f>IFERROR(INDEX('Hun Demand'!V:V,MATCH(O1229,'Hun Demand'!A:A,0)),"")</f>
        <v/>
      </c>
      <c r="C1229" s="25" t="str">
        <f>IFERROR(INDEX('Hun Demand'!U:U,MATCH(O1229,'Hun Demand'!A:A,0)),"")</f>
        <v/>
      </c>
      <c r="D1229" s="25" t="str">
        <f>IFERROR(INDEX('Hun Demand'!T:T,MATCH(O1229,'Hun Demand'!A:A,0)),"")</f>
        <v/>
      </c>
      <c r="E1229" s="25" t="str">
        <f>IFERROR(INDEX('Hun Demand'!S:S,MATCH(O1229,'Hun Demand'!A:A,0)),"")</f>
        <v/>
      </c>
      <c r="F1229" s="25" t="str">
        <f>IFERROR(INDEX('Hun Demand'!R:R,MATCH(O1229,'Hun Demand'!A:A,0)),"")</f>
        <v/>
      </c>
      <c r="G1229" s="25">
        <f>IFERROR(INDEX('Aub Demand'!W:W,MATCH(O1229,'Aub Demand'!A:A,0)),"")</f>
        <v>0</v>
      </c>
      <c r="H1229" s="25">
        <f>IFERROR(INDEX('Aub Demand'!V:V,MATCH(O1229,'Aub Demand'!A:A,0)),"")</f>
        <v>0</v>
      </c>
      <c r="I1229" s="25">
        <f>IFERROR(INDEX('Aub Demand'!U:U,MATCH(O1229,'Aub Demand'!A:A,0)),"")</f>
        <v>0</v>
      </c>
      <c r="J1229" s="25">
        <f>IFERROR(INDEX('Aub Demand'!T:T,MATCH(O1229,'Aub Demand'!A:A,0)),"")</f>
        <v>0</v>
      </c>
      <c r="K1229" s="25">
        <f>IFERROR(INDEX('Aub Demand'!S:S,MATCH(O1229,'Aub Demand'!A:A,0)),"")</f>
        <v>0</v>
      </c>
      <c r="L1229" s="25">
        <f>IFERROR(INDEX('Aub Demand'!R:R,MATCH(O1229,'Aub Demand'!A:A,0)),"")</f>
        <v>0</v>
      </c>
      <c r="O1229" s="27" t="s">
        <v>5946</v>
      </c>
      <c r="P1229" s="27" t="str">
        <f>IFERROR(INDEX('Aub Demand'!B:B,MATCH($O1229,'Aub Demand'!$A:$A,0)),"")</f>
        <v>UMBER TEMPERA 48"</v>
      </c>
      <c r="Q1229" s="27" t="str">
        <f>IFERROR(INDEX('Aub Demand'!C:C,MATCH($O1229,'Aub Demand'!$A:$A,0)),"")</f>
        <v>DNP A</v>
      </c>
      <c r="R1229" s="52">
        <f>IFERROR(IF(AR1230=AR1229,INDEX('Aub Demand'!K:K,MATCH($O1229,'Aub Demand'!$A:$A,0))-IF(AN1229="",0,AN1229)+AP1230,INDEX('Aub Demand'!K:K,MATCH($O1229,'Aub Demand'!$A:$A,0))-IF(AN1229="",0,AN1229)),"")</f>
        <v>0</v>
      </c>
      <c r="S1229" s="53" t="str">
        <f t="shared" si="532"/>
        <v>n/a</v>
      </c>
      <c r="T1229" s="52" t="str">
        <f t="shared" si="533"/>
        <v/>
      </c>
      <c r="U1229" s="52">
        <f>IFERROR(IF(AR1230=AR1229,INDEX('Aub Demand'!Q:Q,MATCH($O1229,'Aub Demand'!$A:$A,0))-IF(AN1229="",0,AN1229)+AP1230,INDEX('Aub Demand'!Q:Q,MATCH($O1229,'Aub Demand'!$A:$A,0))-IF(AN1229="",0,AN1229)),"")</f>
        <v>-1</v>
      </c>
      <c r="V1229" s="53" t="str">
        <f t="shared" si="534"/>
        <v>n/a</v>
      </c>
      <c r="W1229" s="52" t="str">
        <f t="shared" si="535"/>
        <v/>
      </c>
      <c r="X1229" s="52">
        <f>IFERROR(IF(AND(AR1230=AR1229,AM1229&lt;&gt;""),INDEX('Aub Demand'!Q:Q,MATCH($O1229,'Aub Demand'!$A:$A,0))-IF(AN1229="",0,AN1229)+AP1230+AD1229+AL1229,IF(AR1230=AR1229,INDEX('Aub Demand'!Q:Q,MATCH($O1229,'Aub Demand'!$A:$A,0))-IF(AN1229="",0,AN1229)+AP1230+AD1229,IF(AM1229&lt;&gt;"",INDEX('Aub Demand'!Q:Q,MATCH($O1229,'Aub Demand'!$A:$A,0))-IF(AN1229="",0,AN1229)+AD1229+AL1229,INDEX('Aub Demand'!Q:Q,MATCH($O1229,'Aub Demand'!$A:$A,0))-IF(AN1229="",0,AN1229)+AD1229))),"")</f>
        <v>-1</v>
      </c>
      <c r="Y1229" s="53" t="str">
        <f t="shared" si="536"/>
        <v>n/a</v>
      </c>
      <c r="Z1229" s="52">
        <f>IF(L1229="","",INDEX('Aub Demand'!H:H,MATCH($O1229,'Aub Demand'!$A:$A,0)))</f>
        <v>0</v>
      </c>
      <c r="AA1229" s="52" t="str">
        <f t="shared" si="537"/>
        <v>-spike-</v>
      </c>
      <c r="AB1229" s="52">
        <f>IFERROR(INDEX('Aub Demand'!L:L,MATCH($O1229,'Aub Demand'!$A:$A,0)),"")</f>
        <v>23</v>
      </c>
      <c r="AC1229" s="52">
        <f>IFERROR(IF(O1229="","",SUMIFS('CPL Mats'!F:F,'CPL Mats'!Q:Q,AR1229,'CPL Mats'!S:S,AS1229)),"")</f>
        <v>0</v>
      </c>
      <c r="AF1229" s="25" t="str">
        <f>IF(SUMIFS('Supp Consol'!S:S,'Supp Consol'!Y:Y,"Releasable",'Supp Consol'!A:A,O1229)=0,"",SUMIFS('Supp Consol'!S:S,'Supp Consol'!Y:Y,"Releasable",'Supp Consol'!A:A,O1229))</f>
        <v/>
      </c>
      <c r="AG1229" s="25" t="str">
        <f>IFERROR(INDEX('Hun Demand'!Q:Q,MATCH(O1229,'Hun Demand'!A:A,0)),"")</f>
        <v/>
      </c>
      <c r="AH1229" s="25" t="str">
        <f>IFERROR(INDEX('Hun Demand'!H:H,MATCH($O1229,'Hun Demand'!$A:$A,0)),"")</f>
        <v/>
      </c>
      <c r="AI1229" s="25" t="str">
        <f>IF(SUMIFS('Supp Consol'!AA:AA,'Supp Consol'!Z:Z,"Expires this month",'Supp Consol'!A:A,O1229)=0,"",SUMIFS('Supp Consol'!AA:AA,'Supp Consol'!Z:Z,"Expires this month",'Supp Consol'!A:A,O1229))</f>
        <v/>
      </c>
      <c r="AJ1229" s="25" t="str">
        <f>IF(SUMIFS('Supp Consol'!AA:AA,'Supp Consol'!Z:Z,"Expired Previous Months",'Supp Consol'!A:A,O1229)=0,"",SUMIFS('Supp Consol'!AA:AA,'Supp Consol'!Z:Z,"Expired Previous Months",'Supp Consol'!A:A,O1229))</f>
        <v/>
      </c>
      <c r="AK1229" s="25" t="str">
        <f>IFERROR(INDEX('Hun Release Current'!B:B,MATCH(O1229,'Hun Release Current'!A:A,0)),"")</f>
        <v/>
      </c>
      <c r="AL1229" s="25" t="str">
        <f>IF(SUMIF('Prev Aub'!A:A,O1229,'Prev Aub'!B:B)=0,"",SUMIF('Prev Aub'!A:A,O1229,'Prev Aub'!B:B))</f>
        <v/>
      </c>
      <c r="AN1229" s="25" t="s">
        <v>3790</v>
      </c>
      <c r="AO1229" s="25" t="s">
        <v>3790</v>
      </c>
      <c r="AP1229" s="25">
        <f t="shared" si="538"/>
        <v>0</v>
      </c>
      <c r="AQ1229" s="151" t="str">
        <f>IF(SUMIFS('Supp Consol'!S:S,'Supp Consol'!A:A,O1229,'Supp Consol'!I:I,"PENDING")=0,"",SUMIFS('Supp Consol'!S:S,'Supp Consol'!A:A,O1229,'Supp Consol'!I:I,"PENDING"))</f>
        <v/>
      </c>
      <c r="AR1229" s="27" t="str">
        <f t="shared" si="539"/>
        <v>TM202</v>
      </c>
      <c r="AS1229" s="27" t="str">
        <f t="shared" si="540"/>
        <v>50</v>
      </c>
      <c r="AT1229" s="27" t="str">
        <f t="shared" si="541"/>
        <v/>
      </c>
      <c r="AU1229" s="27" t="str">
        <f t="shared" si="542"/>
        <v/>
      </c>
      <c r="AV1229" s="27" t="str">
        <f t="shared" si="543"/>
        <v/>
      </c>
      <c r="AW1229" s="27" t="str">
        <f t="shared" si="544"/>
        <v/>
      </c>
      <c r="AX1229" s="27" t="str">
        <f t="shared" si="545"/>
        <v/>
      </c>
      <c r="AY1229" s="27" t="str">
        <f t="shared" si="546"/>
        <v/>
      </c>
      <c r="AZ1229" s="27" t="str">
        <f t="shared" si="547"/>
        <v/>
      </c>
      <c r="BA1229" s="27" t="str">
        <f t="shared" si="548"/>
        <v/>
      </c>
      <c r="BB1229" s="27" t="str">
        <f t="shared" si="549"/>
        <v/>
      </c>
      <c r="BC1229" s="27" t="str">
        <f t="shared" si="550"/>
        <v/>
      </c>
      <c r="BD1229" s="27" t="str">
        <f t="shared" si="551"/>
        <v/>
      </c>
      <c r="BE1229" s="27" t="str">
        <f t="shared" si="552"/>
        <v/>
      </c>
      <c r="BF1229" s="27" t="str">
        <f t="shared" si="553"/>
        <v/>
      </c>
      <c r="BG1229" s="27" t="str">
        <f t="shared" si="554"/>
        <v/>
      </c>
      <c r="BH1229" s="27" t="str">
        <f t="shared" si="555"/>
        <v/>
      </c>
      <c r="BI1229" s="27" t="str">
        <f t="shared" si="556"/>
        <v/>
      </c>
      <c r="BJ1229" s="27" t="str">
        <f t="shared" si="557"/>
        <v/>
      </c>
      <c r="BK1229" s="27" t="str">
        <f t="shared" si="558"/>
        <v/>
      </c>
      <c r="BL1229" s="27" t="str">
        <f t="shared" si="559"/>
        <v/>
      </c>
      <c r="BM1229" s="21" t="s">
        <v>3790</v>
      </c>
    </row>
    <row r="1230" spans="1:65" ht="15">
      <c r="A1230" s="25" t="str">
        <f>IFERROR(INDEX('Hun Demand'!W:W,MATCH(O1230,'Hun Demand'!A:A,0)),"")</f>
        <v/>
      </c>
      <c r="B1230" s="25" t="str">
        <f>IFERROR(INDEX('Hun Demand'!V:V,MATCH(O1230,'Hun Demand'!A:A,0)),"")</f>
        <v/>
      </c>
      <c r="C1230" s="25" t="str">
        <f>IFERROR(INDEX('Hun Demand'!U:U,MATCH(O1230,'Hun Demand'!A:A,0)),"")</f>
        <v/>
      </c>
      <c r="D1230" s="25" t="str">
        <f>IFERROR(INDEX('Hun Demand'!T:T,MATCH(O1230,'Hun Demand'!A:A,0)),"")</f>
        <v/>
      </c>
      <c r="E1230" s="25" t="str">
        <f>IFERROR(INDEX('Hun Demand'!S:S,MATCH(O1230,'Hun Demand'!A:A,0)),"")</f>
        <v/>
      </c>
      <c r="F1230" s="25" t="str">
        <f>IFERROR(INDEX('Hun Demand'!R:R,MATCH(O1230,'Hun Demand'!A:A,0)),"")</f>
        <v/>
      </c>
      <c r="G1230" s="25">
        <f>IFERROR(INDEX('Aub Demand'!W:W,MATCH(O1230,'Aub Demand'!A:A,0)),"")</f>
        <v>0</v>
      </c>
      <c r="H1230" s="25">
        <f>IFERROR(INDEX('Aub Demand'!V:V,MATCH(O1230,'Aub Demand'!A:A,0)),"")</f>
        <v>0</v>
      </c>
      <c r="I1230" s="25">
        <f>IFERROR(INDEX('Aub Demand'!U:U,MATCH(O1230,'Aub Demand'!A:A,0)),"")</f>
        <v>0</v>
      </c>
      <c r="J1230" s="25">
        <f>IFERROR(INDEX('Aub Demand'!T:T,MATCH(O1230,'Aub Demand'!A:A,0)),"")</f>
        <v>0</v>
      </c>
      <c r="K1230" s="25">
        <f>IFERROR(INDEX('Aub Demand'!S:S,MATCH(O1230,'Aub Demand'!A:A,0)),"")</f>
        <v>0</v>
      </c>
      <c r="L1230" s="25">
        <f>IFERROR(INDEX('Aub Demand'!R:R,MATCH(O1230,'Aub Demand'!A:A,0)),"")</f>
        <v>0</v>
      </c>
      <c r="O1230" s="27" t="s">
        <v>2831</v>
      </c>
      <c r="P1230" s="27" t="str">
        <f>IFERROR(INDEX('Aub Demand'!B:B,MATCH($O1230,'Aub Demand'!$A:$A,0)),"")</f>
        <v>UMBER TEMPERA 62"</v>
      </c>
      <c r="Q1230" s="27" t="str">
        <f>IFERROR(INDEX('Aub Demand'!C:C,MATCH($O1230,'Aub Demand'!$A:$A,0)),"")</f>
        <v>DNP A</v>
      </c>
      <c r="R1230" s="52">
        <f>IFERROR(IF(AR1231=AR1230,INDEX('Aub Demand'!K:K,MATCH($O1230,'Aub Demand'!$A:$A,0))-IF(AN1230="",0,AN1230)+AP1231,INDEX('Aub Demand'!K:K,MATCH($O1230,'Aub Demand'!$A:$A,0))-IF(AN1230="",0,AN1230)),"")</f>
        <v>449</v>
      </c>
      <c r="S1230" s="53" t="str">
        <f t="shared" si="532"/>
        <v>n/a</v>
      </c>
      <c r="T1230" s="52" t="str">
        <f t="shared" si="533"/>
        <v/>
      </c>
      <c r="U1230" s="52">
        <f>IFERROR(IF(AR1231=AR1230,INDEX('Aub Demand'!Q:Q,MATCH($O1230,'Aub Demand'!$A:$A,0))-IF(AN1230="",0,AN1230)+AP1231,INDEX('Aub Demand'!Q:Q,MATCH($O1230,'Aub Demand'!$A:$A,0))-IF(AN1230="",0,AN1230)),"")</f>
        <v>449</v>
      </c>
      <c r="V1230" s="53" t="str">
        <f t="shared" si="534"/>
        <v>n/a</v>
      </c>
      <c r="W1230" s="52" t="str">
        <f t="shared" si="535"/>
        <v/>
      </c>
      <c r="X1230" s="52">
        <f>IFERROR(IF(AND(AR1231=AR1230,AM1230&lt;&gt;""),INDEX('Aub Demand'!Q:Q,MATCH($O1230,'Aub Demand'!$A:$A,0))-IF(AN1230="",0,AN1230)+AP1231+AD1230+AL1230,IF(AR1231=AR1230,INDEX('Aub Demand'!Q:Q,MATCH($O1230,'Aub Demand'!$A:$A,0))-IF(AN1230="",0,AN1230)+AP1231+AD1230,IF(AM1230&lt;&gt;"",INDEX('Aub Demand'!Q:Q,MATCH($O1230,'Aub Demand'!$A:$A,0))-IF(AN1230="",0,AN1230)+AD1230+AL1230,INDEX('Aub Demand'!Q:Q,MATCH($O1230,'Aub Demand'!$A:$A,0))-IF(AN1230="",0,AN1230)+AD1230))),"")</f>
        <v>449</v>
      </c>
      <c r="Y1230" s="53" t="str">
        <f t="shared" si="536"/>
        <v>n/a</v>
      </c>
      <c r="Z1230" s="52">
        <f>IF(L1230="","",INDEX('Aub Demand'!H:H,MATCH($O1230,'Aub Demand'!$A:$A,0)))</f>
        <v>0</v>
      </c>
      <c r="AA1230" s="52" t="str">
        <f t="shared" si="537"/>
        <v>-spike-</v>
      </c>
      <c r="AB1230" s="52">
        <f>IFERROR(INDEX('Aub Demand'!L:L,MATCH($O1230,'Aub Demand'!$A:$A,0)),"")</f>
        <v>0</v>
      </c>
      <c r="AC1230" s="52">
        <f>IFERROR(IF(O1230="","",SUMIFS('CPL Mats'!F:F,'CPL Mats'!Q:Q,AR1230,'CPL Mats'!S:S,AS1230)),"")</f>
        <v>0</v>
      </c>
      <c r="AF1230" s="25" t="str">
        <f>IF(SUMIFS('Supp Consol'!S:S,'Supp Consol'!Y:Y,"Releasable",'Supp Consol'!A:A,O1230)=0,"",SUMIFS('Supp Consol'!S:S,'Supp Consol'!Y:Y,"Releasable",'Supp Consol'!A:A,O1230))</f>
        <v/>
      </c>
      <c r="AG1230" s="25" t="str">
        <f>IFERROR(INDEX('Hun Demand'!Q:Q,MATCH(O1230,'Hun Demand'!A:A,0)),"")</f>
        <v/>
      </c>
      <c r="AH1230" s="25" t="str">
        <f>IFERROR(INDEX('Hun Demand'!H:H,MATCH($O1230,'Hun Demand'!$A:$A,0)),"")</f>
        <v/>
      </c>
      <c r="AI1230" s="25" t="str">
        <f>IF(SUMIFS('Supp Consol'!AA:AA,'Supp Consol'!Z:Z,"Expires this month",'Supp Consol'!A:A,O1230)=0,"",SUMIFS('Supp Consol'!AA:AA,'Supp Consol'!Z:Z,"Expires this month",'Supp Consol'!A:A,O1230))</f>
        <v/>
      </c>
      <c r="AJ1230" s="25" t="str">
        <f>IF(SUMIFS('Supp Consol'!AA:AA,'Supp Consol'!Z:Z,"Expired Previous Months",'Supp Consol'!A:A,O1230)=0,"",SUMIFS('Supp Consol'!AA:AA,'Supp Consol'!Z:Z,"Expired Previous Months",'Supp Consol'!A:A,O1230))</f>
        <v/>
      </c>
      <c r="AK1230" s="25" t="str">
        <f>IFERROR(INDEX('Hun Release Current'!B:B,MATCH(O1230,'Hun Release Current'!A:A,0)),"")</f>
        <v/>
      </c>
      <c r="AL1230" s="25" t="str">
        <f>IF(SUMIF('Prev Aub'!A:A,O1230,'Prev Aub'!B:B)=0,"",SUMIF('Prev Aub'!A:A,O1230,'Prev Aub'!B:B))</f>
        <v/>
      </c>
      <c r="AN1230" s="25" t="s">
        <v>3790</v>
      </c>
      <c r="AO1230" s="25" t="s">
        <v>3790</v>
      </c>
      <c r="AP1230" s="25">
        <f t="shared" si="538"/>
        <v>0</v>
      </c>
      <c r="AQ1230" s="151" t="str">
        <f>IF(SUMIFS('Supp Consol'!S:S,'Supp Consol'!A:A,O1230,'Supp Consol'!I:I,"PENDING")=0,"",SUMIFS('Supp Consol'!S:S,'Supp Consol'!A:A,O1230,'Supp Consol'!I:I,"PENDING"))</f>
        <v/>
      </c>
      <c r="AR1230" s="27" t="str">
        <f t="shared" si="539"/>
        <v>TM202</v>
      </c>
      <c r="AS1230" s="27" t="str">
        <f t="shared" si="540"/>
        <v>62</v>
      </c>
      <c r="AT1230" s="27" t="str">
        <f t="shared" si="541"/>
        <v/>
      </c>
      <c r="AU1230" s="27" t="str">
        <f t="shared" si="542"/>
        <v/>
      </c>
      <c r="AV1230" s="27" t="str">
        <f t="shared" si="543"/>
        <v/>
      </c>
      <c r="AW1230" s="27" t="str">
        <f t="shared" si="544"/>
        <v/>
      </c>
      <c r="AX1230" s="27" t="str">
        <f t="shared" si="545"/>
        <v/>
      </c>
      <c r="AY1230" s="27" t="str">
        <f t="shared" si="546"/>
        <v/>
      </c>
      <c r="AZ1230" s="27" t="str">
        <f t="shared" si="547"/>
        <v/>
      </c>
      <c r="BA1230" s="27" t="str">
        <f t="shared" si="548"/>
        <v/>
      </c>
      <c r="BB1230" s="27" t="str">
        <f t="shared" si="549"/>
        <v/>
      </c>
      <c r="BC1230" s="27" t="str">
        <f t="shared" si="550"/>
        <v/>
      </c>
      <c r="BD1230" s="27" t="str">
        <f t="shared" si="551"/>
        <v/>
      </c>
      <c r="BE1230" s="27" t="str">
        <f t="shared" si="552"/>
        <v/>
      </c>
      <c r="BF1230" s="27" t="str">
        <f t="shared" si="553"/>
        <v/>
      </c>
      <c r="BG1230" s="27" t="str">
        <f t="shared" si="554"/>
        <v/>
      </c>
      <c r="BH1230" s="27" t="str">
        <f t="shared" si="555"/>
        <v/>
      </c>
      <c r="BI1230" s="27" t="str">
        <f t="shared" si="556"/>
        <v/>
      </c>
      <c r="BJ1230" s="27" t="str">
        <f t="shared" si="557"/>
        <v/>
      </c>
      <c r="BK1230" s="27" t="str">
        <f t="shared" si="558"/>
        <v/>
      </c>
      <c r="BL1230" s="27" t="str">
        <f t="shared" si="559"/>
        <v/>
      </c>
      <c r="BM1230" s="21" t="s">
        <v>3790</v>
      </c>
    </row>
    <row r="1231" spans="1:65" ht="15">
      <c r="A1231" s="25" t="str">
        <f>IFERROR(INDEX('Hun Demand'!W:W,MATCH(O1231,'Hun Demand'!A:A,0)),"")</f>
        <v/>
      </c>
      <c r="B1231" s="25" t="str">
        <f>IFERROR(INDEX('Hun Demand'!V:V,MATCH(O1231,'Hun Demand'!A:A,0)),"")</f>
        <v/>
      </c>
      <c r="C1231" s="25" t="str">
        <f>IFERROR(INDEX('Hun Demand'!U:U,MATCH(O1231,'Hun Demand'!A:A,0)),"")</f>
        <v/>
      </c>
      <c r="D1231" s="25" t="str">
        <f>IFERROR(INDEX('Hun Demand'!T:T,MATCH(O1231,'Hun Demand'!A:A,0)),"")</f>
        <v/>
      </c>
      <c r="E1231" s="25" t="str">
        <f>IFERROR(INDEX('Hun Demand'!S:S,MATCH(O1231,'Hun Demand'!A:A,0)),"")</f>
        <v/>
      </c>
      <c r="F1231" s="25" t="str">
        <f>IFERROR(INDEX('Hun Demand'!R:R,MATCH(O1231,'Hun Demand'!A:A,0)),"")</f>
        <v/>
      </c>
      <c r="G1231" s="25">
        <f>IFERROR(INDEX('Aub Demand'!W:W,MATCH(O1231,'Aub Demand'!A:A,0)),"")</f>
        <v>0</v>
      </c>
      <c r="H1231" s="25">
        <f>IFERROR(INDEX('Aub Demand'!V:V,MATCH(O1231,'Aub Demand'!A:A,0)),"")</f>
        <v>0</v>
      </c>
      <c r="I1231" s="25">
        <f>IFERROR(INDEX('Aub Demand'!U:U,MATCH(O1231,'Aub Demand'!A:A,0)),"")</f>
        <v>0</v>
      </c>
      <c r="J1231" s="25">
        <f>IFERROR(INDEX('Aub Demand'!T:T,MATCH(O1231,'Aub Demand'!A:A,0)),"")</f>
        <v>0</v>
      </c>
      <c r="K1231" s="25">
        <f>IFERROR(INDEX('Aub Demand'!S:S,MATCH(O1231,'Aub Demand'!A:A,0)),"")</f>
        <v>0</v>
      </c>
      <c r="L1231" s="25">
        <f>IFERROR(INDEX('Aub Demand'!R:R,MATCH(O1231,'Aub Demand'!A:A,0)),"")</f>
        <v>0</v>
      </c>
      <c r="O1231" s="27" t="s">
        <v>2834</v>
      </c>
      <c r="P1231" s="27" t="str">
        <f>IFERROR(INDEX('Aub Demand'!B:B,MATCH($O1231,'Aub Demand'!$A:$A,0)),"")</f>
        <v>CREME TRANQUILITY 60</v>
      </c>
      <c r="Q1231" s="27" t="str">
        <f>IFERROR(INDEX('Aub Demand'!C:C,MATCH($O1231,'Aub Demand'!$A:$A,0)),"")</f>
        <v>DNP A</v>
      </c>
      <c r="R1231" s="52">
        <f>IFERROR(IF(AR1232=AR1231,INDEX('Aub Demand'!K:K,MATCH($O1231,'Aub Demand'!$A:$A,0))-IF(AN1231="",0,AN1231)+AP1232,INDEX('Aub Demand'!K:K,MATCH($O1231,'Aub Demand'!$A:$A,0))-IF(AN1231="",0,AN1231)),"")</f>
        <v>350</v>
      </c>
      <c r="S1231" s="53" t="str">
        <f t="shared" si="532"/>
        <v>n/a</v>
      </c>
      <c r="T1231" s="52" t="str">
        <f t="shared" si="533"/>
        <v/>
      </c>
      <c r="U1231" s="52">
        <f>IFERROR(IF(AR1232=AR1231,INDEX('Aub Demand'!Q:Q,MATCH($O1231,'Aub Demand'!$A:$A,0))-IF(AN1231="",0,AN1231)+AP1232,INDEX('Aub Demand'!Q:Q,MATCH($O1231,'Aub Demand'!$A:$A,0))-IF(AN1231="",0,AN1231)),"")</f>
        <v>350</v>
      </c>
      <c r="V1231" s="53" t="str">
        <f t="shared" si="534"/>
        <v>n/a</v>
      </c>
      <c r="W1231" s="52" t="str">
        <f t="shared" si="535"/>
        <v/>
      </c>
      <c r="X1231" s="52">
        <f>IFERROR(IF(AND(AR1232=AR1231,AM1231&lt;&gt;""),INDEX('Aub Demand'!Q:Q,MATCH($O1231,'Aub Demand'!$A:$A,0))-IF(AN1231="",0,AN1231)+AP1232+AD1231+AL1231,IF(AR1232=AR1231,INDEX('Aub Demand'!Q:Q,MATCH($O1231,'Aub Demand'!$A:$A,0))-IF(AN1231="",0,AN1231)+AP1232+AD1231,IF(AM1231&lt;&gt;"",INDEX('Aub Demand'!Q:Q,MATCH($O1231,'Aub Demand'!$A:$A,0))-IF(AN1231="",0,AN1231)+AD1231+AL1231,INDEX('Aub Demand'!Q:Q,MATCH($O1231,'Aub Demand'!$A:$A,0))-IF(AN1231="",0,AN1231)+AD1231))),"")</f>
        <v>350</v>
      </c>
      <c r="Y1231" s="53" t="str">
        <f t="shared" si="536"/>
        <v>n/a</v>
      </c>
      <c r="Z1231" s="52">
        <f>IF(L1231="","",INDEX('Aub Demand'!H:H,MATCH($O1231,'Aub Demand'!$A:$A,0)))</f>
        <v>0</v>
      </c>
      <c r="AA1231" s="52" t="str">
        <f t="shared" si="537"/>
        <v>-spike-</v>
      </c>
      <c r="AB1231" s="52">
        <f>IFERROR(INDEX('Aub Demand'!L:L,MATCH($O1231,'Aub Demand'!$A:$A,0)),"")</f>
        <v>28</v>
      </c>
      <c r="AC1231" s="52">
        <f>IFERROR(IF(O1231="","",SUMIFS('CPL Mats'!F:F,'CPL Mats'!Q:Q,AR1231,'CPL Mats'!S:S,AS1231)),"")</f>
        <v>0</v>
      </c>
      <c r="AF1231" s="25" t="str">
        <f>IF(SUMIFS('Supp Consol'!S:S,'Supp Consol'!Y:Y,"Releasable",'Supp Consol'!A:A,O1231)=0,"",SUMIFS('Supp Consol'!S:S,'Supp Consol'!Y:Y,"Releasable",'Supp Consol'!A:A,O1231))</f>
        <v/>
      </c>
      <c r="AG1231" s="25" t="str">
        <f>IFERROR(INDEX('Hun Demand'!Q:Q,MATCH(O1231,'Hun Demand'!A:A,0)),"")</f>
        <v/>
      </c>
      <c r="AH1231" s="25" t="str">
        <f>IFERROR(INDEX('Hun Demand'!H:H,MATCH($O1231,'Hun Demand'!$A:$A,0)),"")</f>
        <v/>
      </c>
      <c r="AI1231" s="25" t="str">
        <f>IF(SUMIFS('Supp Consol'!AA:AA,'Supp Consol'!Z:Z,"Expires this month",'Supp Consol'!A:A,O1231)=0,"",SUMIFS('Supp Consol'!AA:AA,'Supp Consol'!Z:Z,"Expires this month",'Supp Consol'!A:A,O1231))</f>
        <v/>
      </c>
      <c r="AJ1231" s="25" t="str">
        <f>IF(SUMIFS('Supp Consol'!AA:AA,'Supp Consol'!Z:Z,"Expired Previous Months",'Supp Consol'!A:A,O1231)=0,"",SUMIFS('Supp Consol'!AA:AA,'Supp Consol'!Z:Z,"Expired Previous Months",'Supp Consol'!A:A,O1231))</f>
        <v/>
      </c>
      <c r="AK1231" s="25" t="str">
        <f>IFERROR(INDEX('Hun Release Current'!B:B,MATCH(O1231,'Hun Release Current'!A:A,0)),"")</f>
        <v/>
      </c>
      <c r="AL1231" s="25" t="str">
        <f>IF(SUMIF('Prev Aub'!A:A,O1231,'Prev Aub'!B:B)=0,"",SUMIF('Prev Aub'!A:A,O1231,'Prev Aub'!B:B))</f>
        <v/>
      </c>
      <c r="AN1231" s="25" t="s">
        <v>3790</v>
      </c>
      <c r="AO1231" s="25" t="s">
        <v>3790</v>
      </c>
      <c r="AP1231" s="25">
        <f t="shared" si="538"/>
        <v>0</v>
      </c>
      <c r="AQ1231" s="151" t="str">
        <f>IF(SUMIFS('Supp Consol'!S:S,'Supp Consol'!A:A,O1231,'Supp Consol'!I:I,"PENDING")=0,"",SUMIFS('Supp Consol'!S:S,'Supp Consol'!A:A,O1231,'Supp Consol'!I:I,"PENDING"))</f>
        <v/>
      </c>
      <c r="AR1231" s="27" t="str">
        <f t="shared" si="539"/>
        <v>TQ201</v>
      </c>
      <c r="AS1231" s="27" t="str">
        <f t="shared" si="540"/>
        <v>62</v>
      </c>
      <c r="AT1231" s="27" t="str">
        <f t="shared" si="541"/>
        <v/>
      </c>
      <c r="AU1231" s="27" t="str">
        <f t="shared" si="542"/>
        <v/>
      </c>
      <c r="AV1231" s="27" t="str">
        <f t="shared" si="543"/>
        <v/>
      </c>
      <c r="AW1231" s="27" t="str">
        <f t="shared" si="544"/>
        <v/>
      </c>
      <c r="AX1231" s="27" t="str">
        <f t="shared" si="545"/>
        <v/>
      </c>
      <c r="AY1231" s="27" t="str">
        <f t="shared" si="546"/>
        <v/>
      </c>
      <c r="AZ1231" s="27" t="str">
        <f t="shared" si="547"/>
        <v/>
      </c>
      <c r="BA1231" s="27" t="str">
        <f t="shared" si="548"/>
        <v/>
      </c>
      <c r="BB1231" s="27" t="str">
        <f t="shared" si="549"/>
        <v/>
      </c>
      <c r="BC1231" s="27" t="str">
        <f t="shared" si="550"/>
        <v/>
      </c>
      <c r="BD1231" s="27" t="str">
        <f t="shared" si="551"/>
        <v/>
      </c>
      <c r="BE1231" s="27" t="str">
        <f t="shared" si="552"/>
        <v/>
      </c>
      <c r="BF1231" s="27" t="str">
        <f t="shared" si="553"/>
        <v/>
      </c>
      <c r="BG1231" s="27" t="str">
        <f t="shared" si="554"/>
        <v/>
      </c>
      <c r="BH1231" s="27" t="str">
        <f t="shared" si="555"/>
        <v/>
      </c>
      <c r="BI1231" s="27" t="str">
        <f t="shared" si="556"/>
        <v/>
      </c>
      <c r="BJ1231" s="27" t="str">
        <f t="shared" si="557"/>
        <v/>
      </c>
      <c r="BK1231" s="27" t="str">
        <f t="shared" si="558"/>
        <v/>
      </c>
      <c r="BL1231" s="27" t="str">
        <f t="shared" si="559"/>
        <v/>
      </c>
      <c r="BM1231" s="21" t="s">
        <v>3790</v>
      </c>
    </row>
    <row r="1232" spans="1:65" ht="15">
      <c r="A1232" s="25" t="str">
        <f>IFERROR(INDEX('Hun Demand'!W:W,MATCH(O1232,'Hun Demand'!A:A,0)),"")</f>
        <v/>
      </c>
      <c r="B1232" s="25" t="str">
        <f>IFERROR(INDEX('Hun Demand'!V:V,MATCH(O1232,'Hun Demand'!A:A,0)),"")</f>
        <v/>
      </c>
      <c r="C1232" s="25" t="str">
        <f>IFERROR(INDEX('Hun Demand'!U:U,MATCH(O1232,'Hun Demand'!A:A,0)),"")</f>
        <v/>
      </c>
      <c r="D1232" s="25" t="str">
        <f>IFERROR(INDEX('Hun Demand'!T:T,MATCH(O1232,'Hun Demand'!A:A,0)),"")</f>
        <v/>
      </c>
      <c r="E1232" s="25" t="str">
        <f>IFERROR(INDEX('Hun Demand'!S:S,MATCH(O1232,'Hun Demand'!A:A,0)),"")</f>
        <v/>
      </c>
      <c r="F1232" s="25" t="str">
        <f>IFERROR(INDEX('Hun Demand'!R:R,MATCH(O1232,'Hun Demand'!A:A,0)),"")</f>
        <v/>
      </c>
      <c r="G1232" s="25">
        <f>IFERROR(INDEX('Aub Demand'!W:W,MATCH(O1232,'Aub Demand'!A:A,0)),"")</f>
        <v>0</v>
      </c>
      <c r="H1232" s="25">
        <f>IFERROR(INDEX('Aub Demand'!V:V,MATCH(O1232,'Aub Demand'!A:A,0)),"")</f>
        <v>34</v>
      </c>
      <c r="I1232" s="25">
        <f>IFERROR(INDEX('Aub Demand'!U:U,MATCH(O1232,'Aub Demand'!A:A,0)),"")</f>
        <v>0</v>
      </c>
      <c r="J1232" s="25">
        <f>IFERROR(INDEX('Aub Demand'!T:T,MATCH(O1232,'Aub Demand'!A:A,0)),"")</f>
        <v>0</v>
      </c>
      <c r="K1232" s="25">
        <f>IFERROR(INDEX('Aub Demand'!S:S,MATCH(O1232,'Aub Demand'!A:A,0)),"")</f>
        <v>6</v>
      </c>
      <c r="L1232" s="25">
        <f>IFERROR(INDEX('Aub Demand'!R:R,MATCH(O1232,'Aub Demand'!A:A,0)),"")</f>
        <v>0</v>
      </c>
      <c r="O1232" s="27" t="s">
        <v>2837</v>
      </c>
      <c r="P1232" s="27" t="str">
        <f>IFERROR(INDEX('Aub Demand'!B:B,MATCH($O1232,'Aub Demand'!$A:$A,0)),"")</f>
        <v>GRAY TRANQUILITY 48"</v>
      </c>
      <c r="Q1232" s="27" t="str">
        <f>IFERROR(INDEX('Aub Demand'!C:C,MATCH($O1232,'Aub Demand'!$A:$A,0)),"")</f>
        <v>DNP A</v>
      </c>
      <c r="R1232" s="52">
        <f>IFERROR(IF(AR1233=AR1232,INDEX('Aub Demand'!K:K,MATCH($O1232,'Aub Demand'!$A:$A,0))-IF(AN1232="",0,AN1232)+AP1233,INDEX('Aub Demand'!K:K,MATCH($O1232,'Aub Demand'!$A:$A,0))-IF(AN1232="",0,AN1232)),"")</f>
        <v>610</v>
      </c>
      <c r="S1232" s="53">
        <f t="shared" si="532"/>
        <v>1307.0999999999999</v>
      </c>
      <c r="T1232" s="52" t="str">
        <f t="shared" si="533"/>
        <v/>
      </c>
      <c r="U1232" s="52">
        <f>IFERROR(IF(AR1233=AR1232,INDEX('Aub Demand'!Q:Q,MATCH($O1232,'Aub Demand'!$A:$A,0))-IF(AN1232="",0,AN1232)+AP1233,INDEX('Aub Demand'!Q:Q,MATCH($O1232,'Aub Demand'!$A:$A,0))-IF(AN1232="",0,AN1232)),"")</f>
        <v>604</v>
      </c>
      <c r="V1232" s="53">
        <f t="shared" si="534"/>
        <v>1294.3</v>
      </c>
      <c r="W1232" s="52" t="str">
        <f t="shared" si="535"/>
        <v/>
      </c>
      <c r="X1232" s="52">
        <f>IFERROR(IF(AND(AR1233=AR1232,AM1232&lt;&gt;""),INDEX('Aub Demand'!Q:Q,MATCH($O1232,'Aub Demand'!$A:$A,0))-IF(AN1232="",0,AN1232)+AP1233+AD1232+AL1232,IF(AR1233=AR1232,INDEX('Aub Demand'!Q:Q,MATCH($O1232,'Aub Demand'!$A:$A,0))-IF(AN1232="",0,AN1232)+AP1233+AD1232,IF(AM1232&lt;&gt;"",INDEX('Aub Demand'!Q:Q,MATCH($O1232,'Aub Demand'!$A:$A,0))-IF(AN1232="",0,AN1232)+AD1232+AL1232,INDEX('Aub Demand'!Q:Q,MATCH($O1232,'Aub Demand'!$A:$A,0))-IF(AN1232="",0,AN1232)+AD1232))),"")</f>
        <v>604</v>
      </c>
      <c r="Y1232" s="53">
        <f t="shared" si="536"/>
        <v>1294.3</v>
      </c>
      <c r="Z1232" s="52">
        <f>IF(L1232="","",INDEX('Aub Demand'!H:H,MATCH($O1232,'Aub Demand'!$A:$A,0)))</f>
        <v>2</v>
      </c>
      <c r="AA1232" s="52" t="str">
        <f t="shared" si="537"/>
        <v>-spike-</v>
      </c>
      <c r="AB1232" s="52">
        <f>IFERROR(INDEX('Aub Demand'!L:L,MATCH($O1232,'Aub Demand'!$A:$A,0)),"")</f>
        <v>21</v>
      </c>
      <c r="AC1232" s="52">
        <f>IFERROR(IF(O1232="","",SUMIFS('CPL Mats'!F:F,'CPL Mats'!Q:Q,AR1232,'CPL Mats'!S:S,AS1232)),"")</f>
        <v>0</v>
      </c>
      <c r="AF1232" s="25" t="str">
        <f>IF(SUMIFS('Supp Consol'!S:S,'Supp Consol'!Y:Y,"Releasable",'Supp Consol'!A:A,O1232)=0,"",SUMIFS('Supp Consol'!S:S,'Supp Consol'!Y:Y,"Releasable",'Supp Consol'!A:A,O1232))</f>
        <v/>
      </c>
      <c r="AG1232" s="25" t="str">
        <f>IFERROR(INDEX('Hun Demand'!Q:Q,MATCH(O1232,'Hun Demand'!A:A,0)),"")</f>
        <v/>
      </c>
      <c r="AH1232" s="25" t="str">
        <f>IFERROR(INDEX('Hun Demand'!H:H,MATCH($O1232,'Hun Demand'!$A:$A,0)),"")</f>
        <v/>
      </c>
      <c r="AI1232" s="25" t="str">
        <f>IF(SUMIFS('Supp Consol'!AA:AA,'Supp Consol'!Z:Z,"Expires this month",'Supp Consol'!A:A,O1232)=0,"",SUMIFS('Supp Consol'!AA:AA,'Supp Consol'!Z:Z,"Expires this month",'Supp Consol'!A:A,O1232))</f>
        <v/>
      </c>
      <c r="AJ1232" s="25" t="str">
        <f>IF(SUMIFS('Supp Consol'!AA:AA,'Supp Consol'!Z:Z,"Expired Previous Months",'Supp Consol'!A:A,O1232)=0,"",SUMIFS('Supp Consol'!AA:AA,'Supp Consol'!Z:Z,"Expired Previous Months",'Supp Consol'!A:A,O1232))</f>
        <v/>
      </c>
      <c r="AK1232" s="25" t="str">
        <f>IFERROR(INDEX('Hun Release Current'!B:B,MATCH(O1232,'Hun Release Current'!A:A,0)),"")</f>
        <v/>
      </c>
      <c r="AL1232" s="25" t="str">
        <f>IF(SUMIF('Prev Aub'!A:A,O1232,'Prev Aub'!B:B)=0,"",SUMIF('Prev Aub'!A:A,O1232,'Prev Aub'!B:B))</f>
        <v/>
      </c>
      <c r="AN1232" s="25" t="s">
        <v>3790</v>
      </c>
      <c r="AO1232" s="25" t="s">
        <v>3790</v>
      </c>
      <c r="AP1232" s="25">
        <f t="shared" si="538"/>
        <v>0</v>
      </c>
      <c r="AQ1232" s="151" t="str">
        <f>IF(SUMIFS('Supp Consol'!S:S,'Supp Consol'!A:A,O1232,'Supp Consol'!I:I,"PENDING")=0,"",SUMIFS('Supp Consol'!S:S,'Supp Consol'!A:A,O1232,'Supp Consol'!I:I,"PENDING"))</f>
        <v/>
      </c>
      <c r="AR1232" s="27" t="str">
        <f t="shared" si="539"/>
        <v>TQ601</v>
      </c>
      <c r="AS1232" s="27" t="str">
        <f t="shared" si="540"/>
        <v>50</v>
      </c>
      <c r="AT1232" s="27" t="str">
        <f t="shared" si="541"/>
        <v/>
      </c>
      <c r="AU1232" s="27" t="str">
        <f t="shared" si="542"/>
        <v/>
      </c>
      <c r="AV1232" s="27" t="str">
        <f t="shared" si="543"/>
        <v/>
      </c>
      <c r="AW1232" s="27" t="str">
        <f t="shared" si="544"/>
        <v/>
      </c>
      <c r="AX1232" s="27" t="str">
        <f t="shared" si="545"/>
        <v/>
      </c>
      <c r="AY1232" s="27" t="str">
        <f t="shared" si="546"/>
        <v/>
      </c>
      <c r="AZ1232" s="27" t="str">
        <f t="shared" si="547"/>
        <v/>
      </c>
      <c r="BA1232" s="27" t="str">
        <f t="shared" si="548"/>
        <v/>
      </c>
      <c r="BB1232" s="27" t="str">
        <f t="shared" si="549"/>
        <v/>
      </c>
      <c r="BC1232" s="27" t="str">
        <f t="shared" si="550"/>
        <v/>
      </c>
      <c r="BD1232" s="27" t="str">
        <f t="shared" si="551"/>
        <v/>
      </c>
      <c r="BE1232" s="27" t="str">
        <f t="shared" si="552"/>
        <v/>
      </c>
      <c r="BF1232" s="27" t="str">
        <f t="shared" si="553"/>
        <v/>
      </c>
      <c r="BG1232" s="27" t="str">
        <f t="shared" si="554"/>
        <v/>
      </c>
      <c r="BH1232" s="27" t="str">
        <f t="shared" si="555"/>
        <v/>
      </c>
      <c r="BI1232" s="27" t="str">
        <f t="shared" si="556"/>
        <v/>
      </c>
      <c r="BJ1232" s="27" t="str">
        <f t="shared" si="557"/>
        <v/>
      </c>
      <c r="BK1232" s="27" t="str">
        <f t="shared" si="558"/>
        <v/>
      </c>
      <c r="BL1232" s="27" t="str">
        <f t="shared" si="559"/>
        <v/>
      </c>
      <c r="BM1232" s="21" t="s">
        <v>5581</v>
      </c>
    </row>
    <row r="1233" spans="1:65" ht="15">
      <c r="A1233" s="25" t="str">
        <f>IFERROR(INDEX('Hun Demand'!W:W,MATCH(O1233,'Hun Demand'!A:A,0)),"")</f>
        <v/>
      </c>
      <c r="B1233" s="25" t="str">
        <f>IFERROR(INDEX('Hun Demand'!V:V,MATCH(O1233,'Hun Demand'!A:A,0)),"")</f>
        <v/>
      </c>
      <c r="C1233" s="25" t="str">
        <f>IFERROR(INDEX('Hun Demand'!U:U,MATCH(O1233,'Hun Demand'!A:A,0)),"")</f>
        <v/>
      </c>
      <c r="D1233" s="25" t="str">
        <f>IFERROR(INDEX('Hun Demand'!T:T,MATCH(O1233,'Hun Demand'!A:A,0)),"")</f>
        <v/>
      </c>
      <c r="E1233" s="25" t="str">
        <f>IFERROR(INDEX('Hun Demand'!S:S,MATCH(O1233,'Hun Demand'!A:A,0)),"")</f>
        <v/>
      </c>
      <c r="F1233" s="25" t="str">
        <f>IFERROR(INDEX('Hun Demand'!R:R,MATCH(O1233,'Hun Demand'!A:A,0)),"")</f>
        <v/>
      </c>
      <c r="G1233" s="25">
        <f>IFERROR(INDEX('Aub Demand'!W:W,MATCH(O1233,'Aub Demand'!A:A,0)),"")</f>
        <v>69</v>
      </c>
      <c r="H1233" s="25">
        <f>IFERROR(INDEX('Aub Demand'!V:V,MATCH(O1233,'Aub Demand'!A:A,0)),"")</f>
        <v>0</v>
      </c>
      <c r="I1233" s="25">
        <f>IFERROR(INDEX('Aub Demand'!U:U,MATCH(O1233,'Aub Demand'!A:A,0)),"")</f>
        <v>0</v>
      </c>
      <c r="J1233" s="25">
        <f>IFERROR(INDEX('Aub Demand'!T:T,MATCH(O1233,'Aub Demand'!A:A,0)),"")</f>
        <v>0</v>
      </c>
      <c r="K1233" s="25">
        <f>IFERROR(INDEX('Aub Demand'!S:S,MATCH(O1233,'Aub Demand'!A:A,0)),"")</f>
        <v>0</v>
      </c>
      <c r="L1233" s="25">
        <f>IFERROR(INDEX('Aub Demand'!R:R,MATCH(O1233,'Aub Demand'!A:A,0)),"")</f>
        <v>0</v>
      </c>
      <c r="O1233" s="27" t="s">
        <v>2839</v>
      </c>
      <c r="P1233" s="27" t="str">
        <f>IFERROR(INDEX('Aub Demand'!B:B,MATCH($O1233,'Aub Demand'!$A:$A,0)),"")</f>
        <v>GRAY TRANQUILITY 60"</v>
      </c>
      <c r="Q1233" s="27" t="str">
        <f>IFERROR(INDEX('Aub Demand'!C:C,MATCH($O1233,'Aub Demand'!$A:$A,0)),"")</f>
        <v>DNP A</v>
      </c>
      <c r="R1233" s="52">
        <f>IFERROR(IF(AR1234=AR1233,INDEX('Aub Demand'!K:K,MATCH($O1233,'Aub Demand'!$A:$A,0))-IF(AN1233="",0,AN1233)+AP1234,INDEX('Aub Demand'!K:K,MATCH($O1233,'Aub Demand'!$A:$A,0))-IF(AN1233="",0,AN1233)),"")</f>
        <v>936</v>
      </c>
      <c r="S1233" s="53" t="str">
        <f t="shared" si="532"/>
        <v>n/a</v>
      </c>
      <c r="T1233" s="52" t="str">
        <f t="shared" si="533"/>
        <v/>
      </c>
      <c r="U1233" s="52">
        <f>IFERROR(IF(AR1234=AR1233,INDEX('Aub Demand'!Q:Q,MATCH($O1233,'Aub Demand'!$A:$A,0))-IF(AN1233="",0,AN1233)+AP1234,INDEX('Aub Demand'!Q:Q,MATCH($O1233,'Aub Demand'!$A:$A,0))-IF(AN1233="",0,AN1233)),"")</f>
        <v>909</v>
      </c>
      <c r="V1233" s="53" t="str">
        <f t="shared" si="534"/>
        <v>n/a</v>
      </c>
      <c r="W1233" s="52" t="str">
        <f t="shared" si="535"/>
        <v/>
      </c>
      <c r="X1233" s="52">
        <f>IFERROR(IF(AND(AR1234=AR1233,AM1233&lt;&gt;""),INDEX('Aub Demand'!Q:Q,MATCH($O1233,'Aub Demand'!$A:$A,0))-IF(AN1233="",0,AN1233)+AP1234+AD1233+AL1233,IF(AR1234=AR1233,INDEX('Aub Demand'!Q:Q,MATCH($O1233,'Aub Demand'!$A:$A,0))-IF(AN1233="",0,AN1233)+AP1234+AD1233,IF(AM1233&lt;&gt;"",INDEX('Aub Demand'!Q:Q,MATCH($O1233,'Aub Demand'!$A:$A,0))-IF(AN1233="",0,AN1233)+AD1233+AL1233,INDEX('Aub Demand'!Q:Q,MATCH($O1233,'Aub Demand'!$A:$A,0))-IF(AN1233="",0,AN1233)+AD1233))),"")</f>
        <v>909</v>
      </c>
      <c r="Y1233" s="53" t="str">
        <f t="shared" si="536"/>
        <v>n/a</v>
      </c>
      <c r="Z1233" s="52">
        <f>IF(L1233="","",INDEX('Aub Demand'!H:H,MATCH($O1233,'Aub Demand'!$A:$A,0)))</f>
        <v>0</v>
      </c>
      <c r="AA1233" s="52" t="str">
        <f t="shared" si="537"/>
        <v>-spike-</v>
      </c>
      <c r="AB1233" s="52">
        <f>IFERROR(INDEX('Aub Demand'!L:L,MATCH($O1233,'Aub Demand'!$A:$A,0)),"")</f>
        <v>8</v>
      </c>
      <c r="AC1233" s="52">
        <f>IFERROR(IF(O1233="","",SUMIFS('CPL Mats'!F:F,'CPL Mats'!Q:Q,AR1233,'CPL Mats'!S:S,AS1233)),"")</f>
        <v>0</v>
      </c>
      <c r="AF1233" s="25" t="str">
        <f>IF(SUMIFS('Supp Consol'!S:S,'Supp Consol'!Y:Y,"Releasable",'Supp Consol'!A:A,O1233)=0,"",SUMIFS('Supp Consol'!S:S,'Supp Consol'!Y:Y,"Releasable",'Supp Consol'!A:A,O1233))</f>
        <v/>
      </c>
      <c r="AG1233" s="25" t="str">
        <f>IFERROR(INDEX('Hun Demand'!Q:Q,MATCH(O1233,'Hun Demand'!A:A,0)),"")</f>
        <v/>
      </c>
      <c r="AH1233" s="25" t="str">
        <f>IFERROR(INDEX('Hun Demand'!H:H,MATCH($O1233,'Hun Demand'!$A:$A,0)),"")</f>
        <v/>
      </c>
      <c r="AI1233" s="25" t="str">
        <f>IF(SUMIFS('Supp Consol'!AA:AA,'Supp Consol'!Z:Z,"Expires this month",'Supp Consol'!A:A,O1233)=0,"",SUMIFS('Supp Consol'!AA:AA,'Supp Consol'!Z:Z,"Expires this month",'Supp Consol'!A:A,O1233))</f>
        <v/>
      </c>
      <c r="AJ1233" s="25" t="str">
        <f>IF(SUMIFS('Supp Consol'!AA:AA,'Supp Consol'!Z:Z,"Expired Previous Months",'Supp Consol'!A:A,O1233)=0,"",SUMIFS('Supp Consol'!AA:AA,'Supp Consol'!Z:Z,"Expired Previous Months",'Supp Consol'!A:A,O1233))</f>
        <v/>
      </c>
      <c r="AK1233" s="25" t="str">
        <f>IFERROR(INDEX('Hun Release Current'!B:B,MATCH(O1233,'Hun Release Current'!A:A,0)),"")</f>
        <v/>
      </c>
      <c r="AL1233" s="25" t="str">
        <f>IF(SUMIF('Prev Aub'!A:A,O1233,'Prev Aub'!B:B)=0,"",SUMIF('Prev Aub'!A:A,O1233,'Prev Aub'!B:B))</f>
        <v/>
      </c>
      <c r="AN1233" s="25" t="s">
        <v>3790</v>
      </c>
      <c r="AO1233" s="25" t="s">
        <v>3790</v>
      </c>
      <c r="AP1233" s="25">
        <f t="shared" si="538"/>
        <v>0</v>
      </c>
      <c r="AQ1233" s="151" t="str">
        <f>IF(SUMIFS('Supp Consol'!S:S,'Supp Consol'!A:A,O1233,'Supp Consol'!I:I,"PENDING")=0,"",SUMIFS('Supp Consol'!S:S,'Supp Consol'!A:A,O1233,'Supp Consol'!I:I,"PENDING"))</f>
        <v/>
      </c>
      <c r="AR1233" s="27" t="str">
        <f t="shared" si="539"/>
        <v>TQ601</v>
      </c>
      <c r="AS1233" s="27" t="str">
        <f t="shared" si="540"/>
        <v>62</v>
      </c>
      <c r="AT1233" s="27" t="str">
        <f t="shared" si="541"/>
        <v/>
      </c>
      <c r="AU1233" s="27" t="str">
        <f t="shared" si="542"/>
        <v/>
      </c>
      <c r="AV1233" s="27" t="str">
        <f t="shared" si="543"/>
        <v/>
      </c>
      <c r="AW1233" s="27" t="str">
        <f t="shared" si="544"/>
        <v/>
      </c>
      <c r="AX1233" s="27" t="str">
        <f t="shared" si="545"/>
        <v/>
      </c>
      <c r="AY1233" s="27" t="str">
        <f t="shared" si="546"/>
        <v/>
      </c>
      <c r="AZ1233" s="27" t="str">
        <f t="shared" si="547"/>
        <v/>
      </c>
      <c r="BA1233" s="27" t="str">
        <f t="shared" si="548"/>
        <v/>
      </c>
      <c r="BB1233" s="27" t="str">
        <f t="shared" si="549"/>
        <v/>
      </c>
      <c r="BC1233" s="27" t="str">
        <f t="shared" si="550"/>
        <v/>
      </c>
      <c r="BD1233" s="27" t="str">
        <f t="shared" si="551"/>
        <v/>
      </c>
      <c r="BE1233" s="27" t="str">
        <f t="shared" si="552"/>
        <v/>
      </c>
      <c r="BF1233" s="27" t="str">
        <f t="shared" si="553"/>
        <v/>
      </c>
      <c r="BG1233" s="27" t="str">
        <f t="shared" si="554"/>
        <v/>
      </c>
      <c r="BH1233" s="27" t="str">
        <f t="shared" si="555"/>
        <v/>
      </c>
      <c r="BI1233" s="27" t="str">
        <f t="shared" si="556"/>
        <v/>
      </c>
      <c r="BJ1233" s="27" t="str">
        <f t="shared" si="557"/>
        <v/>
      </c>
      <c r="BK1233" s="27" t="str">
        <f t="shared" si="558"/>
        <v/>
      </c>
      <c r="BL1233" s="27" t="str">
        <f t="shared" si="559"/>
        <v/>
      </c>
      <c r="BM1233" s="21" t="s">
        <v>5581</v>
      </c>
    </row>
    <row r="1234" spans="1:65" ht="15">
      <c r="A1234" s="25" t="str">
        <f>IFERROR(INDEX('Hun Demand'!W:W,MATCH(O1234,'Hun Demand'!A:A,0)),"")</f>
        <v/>
      </c>
      <c r="B1234" s="25" t="str">
        <f>IFERROR(INDEX('Hun Demand'!V:V,MATCH(O1234,'Hun Demand'!A:A,0)),"")</f>
        <v/>
      </c>
      <c r="C1234" s="25" t="str">
        <f>IFERROR(INDEX('Hun Demand'!U:U,MATCH(O1234,'Hun Demand'!A:A,0)),"")</f>
        <v/>
      </c>
      <c r="D1234" s="25" t="str">
        <f>IFERROR(INDEX('Hun Demand'!T:T,MATCH(O1234,'Hun Demand'!A:A,0)),"")</f>
        <v/>
      </c>
      <c r="E1234" s="25" t="str">
        <f>IFERROR(INDEX('Hun Demand'!S:S,MATCH(O1234,'Hun Demand'!A:A,0)),"")</f>
        <v/>
      </c>
      <c r="F1234" s="25" t="str">
        <f>IFERROR(INDEX('Hun Demand'!R:R,MATCH(O1234,'Hun Demand'!A:A,0)),"")</f>
        <v/>
      </c>
      <c r="G1234" s="25">
        <f>IFERROR(INDEX('Aub Demand'!W:W,MATCH(O1234,'Aub Demand'!A:A,0)),"")</f>
        <v>65</v>
      </c>
      <c r="H1234" s="25">
        <f>IFERROR(INDEX('Aub Demand'!V:V,MATCH(O1234,'Aub Demand'!A:A,0)),"")</f>
        <v>0</v>
      </c>
      <c r="I1234" s="25">
        <f>IFERROR(INDEX('Aub Demand'!U:U,MATCH(O1234,'Aub Demand'!A:A,0)),"")</f>
        <v>0</v>
      </c>
      <c r="J1234" s="25">
        <f>IFERROR(INDEX('Aub Demand'!T:T,MATCH(O1234,'Aub Demand'!A:A,0)),"")</f>
        <v>11</v>
      </c>
      <c r="K1234" s="25">
        <f>IFERROR(INDEX('Aub Demand'!S:S,MATCH(O1234,'Aub Demand'!A:A,0)),"")</f>
        <v>49</v>
      </c>
      <c r="L1234" s="25">
        <f>IFERROR(INDEX('Aub Demand'!R:R,MATCH(O1234,'Aub Demand'!A:A,0)),"")</f>
        <v>22</v>
      </c>
      <c r="O1234" s="27" t="s">
        <v>2841</v>
      </c>
      <c r="P1234" s="27" t="str">
        <f>IFERROR(INDEX('Aub Demand'!B:B,MATCH($O1234,'Aub Demand'!$A:$A,0)),"")</f>
        <v>VISABLE VAVA</v>
      </c>
      <c r="Q1234" s="27" t="str">
        <f>IFERROR(INDEX('Aub Demand'!C:C,MATCH($O1234,'Aub Demand'!$A:$A,0)),"")</f>
        <v>TOPPA</v>
      </c>
      <c r="R1234" s="52">
        <f>IFERROR(IF(AR1235=AR1234,INDEX('Aub Demand'!K:K,MATCH($O1234,'Aub Demand'!$A:$A,0))-IF(AN1234="",0,AN1234)+AP1235,INDEX('Aub Demand'!K:K,MATCH($O1234,'Aub Demand'!$A:$A,0))-IF(AN1234="",0,AN1234)),"")</f>
        <v>0</v>
      </c>
      <c r="S1234" s="53">
        <f t="shared" si="532"/>
        <v>0</v>
      </c>
      <c r="T1234" s="52">
        <f t="shared" si="533"/>
        <v>26.625</v>
      </c>
      <c r="U1234" s="52">
        <f>IFERROR(IF(AR1235=AR1234,INDEX('Aub Demand'!Q:Q,MATCH($O1234,'Aub Demand'!$A:$A,0))-IF(AN1234="",0,AN1234)+AP1235,INDEX('Aub Demand'!Q:Q,MATCH($O1234,'Aub Demand'!$A:$A,0))-IF(AN1234="",0,AN1234)),"")</f>
        <v>-54</v>
      </c>
      <c r="V1234" s="53">
        <f t="shared" si="534"/>
        <v>-11.6</v>
      </c>
      <c r="W1234" s="52">
        <f t="shared" si="535"/>
        <v>129.57499999999999</v>
      </c>
      <c r="X1234" s="52">
        <f>IFERROR(IF(AND(AR1235=AR1234,AM1234&lt;&gt;""),INDEX('Aub Demand'!Q:Q,MATCH($O1234,'Aub Demand'!$A:$A,0))-IF(AN1234="",0,AN1234)+AP1235+AD1234+AL1234,IF(AR1235=AR1234,INDEX('Aub Demand'!Q:Q,MATCH($O1234,'Aub Demand'!$A:$A,0))-IF(AN1234="",0,AN1234)+AP1235+AD1234,IF(AM1234&lt;&gt;"",INDEX('Aub Demand'!Q:Q,MATCH($O1234,'Aub Demand'!$A:$A,0))-IF(AN1234="",0,AN1234)+AD1234+AL1234,INDEX('Aub Demand'!Q:Q,MATCH($O1234,'Aub Demand'!$A:$A,0))-IF(AN1234="",0,AN1234)+AD1234))),"")</f>
        <v>-54</v>
      </c>
      <c r="Y1234" s="53">
        <f t="shared" si="536"/>
        <v>-11.6</v>
      </c>
      <c r="Z1234" s="52">
        <f>IF(L1234="","",INDEX('Aub Demand'!H:H,MATCH($O1234,'Aub Demand'!$A:$A,0)))</f>
        <v>20</v>
      </c>
      <c r="AA1234" s="52">
        <f t="shared" si="537"/>
        <v>35.5</v>
      </c>
      <c r="AB1234" s="52">
        <f>IFERROR(INDEX('Aub Demand'!L:L,MATCH($O1234,'Aub Demand'!$A:$A,0)),"")</f>
        <v>7</v>
      </c>
      <c r="AC1234" s="52">
        <f>IFERROR(IF(O1234="","",SUMIFS('CPL Mats'!F:F,'CPL Mats'!Q:Q,AR1234,'CPL Mats'!S:S,AS1234)),"")</f>
        <v>0</v>
      </c>
      <c r="AF1234" s="25" t="str">
        <f>IF(SUMIFS('Supp Consol'!S:S,'Supp Consol'!Y:Y,"Releasable",'Supp Consol'!A:A,O1234)=0,"",SUMIFS('Supp Consol'!S:S,'Supp Consol'!Y:Y,"Releasable",'Supp Consol'!A:A,O1234))</f>
        <v/>
      </c>
      <c r="AG1234" s="25" t="str">
        <f>IFERROR(INDEX('Hun Demand'!Q:Q,MATCH(O1234,'Hun Demand'!A:A,0)),"")</f>
        <v/>
      </c>
      <c r="AH1234" s="25" t="str">
        <f>IFERROR(INDEX('Hun Demand'!H:H,MATCH($O1234,'Hun Demand'!$A:$A,0)),"")</f>
        <v/>
      </c>
      <c r="AI1234" s="25" t="str">
        <f>IF(SUMIFS('Supp Consol'!AA:AA,'Supp Consol'!Z:Z,"Expires this month",'Supp Consol'!A:A,O1234)=0,"",SUMIFS('Supp Consol'!AA:AA,'Supp Consol'!Z:Z,"Expires this month",'Supp Consol'!A:A,O1234))</f>
        <v/>
      </c>
      <c r="AJ1234" s="25" t="str">
        <f>IF(SUMIFS('Supp Consol'!AA:AA,'Supp Consol'!Z:Z,"Expired Previous Months",'Supp Consol'!A:A,O1234)=0,"",SUMIFS('Supp Consol'!AA:AA,'Supp Consol'!Z:Z,"Expired Previous Months",'Supp Consol'!A:A,O1234))</f>
        <v/>
      </c>
      <c r="AK1234" s="25" t="str">
        <f>IFERROR(INDEX('Hun Release Current'!B:B,MATCH(O1234,'Hun Release Current'!A:A,0)),"")</f>
        <v/>
      </c>
      <c r="AL1234" s="25" t="str">
        <f>IF(SUMIF('Prev Aub'!A:A,O1234,'Prev Aub'!B:B)=0,"",SUMIF('Prev Aub'!A:A,O1234,'Prev Aub'!B:B))</f>
        <v/>
      </c>
      <c r="AN1234" s="25" t="s">
        <v>3790</v>
      </c>
      <c r="AO1234" s="25" t="s">
        <v>3790</v>
      </c>
      <c r="AP1234" s="25">
        <f t="shared" si="538"/>
        <v>0</v>
      </c>
      <c r="AQ1234" s="151" t="str">
        <f>IF(SUMIFS('Supp Consol'!S:S,'Supp Consol'!A:A,O1234,'Supp Consol'!I:I,"PENDING")=0,"",SUMIFS('Supp Consol'!S:S,'Supp Consol'!A:A,O1234,'Supp Consol'!I:I,"PENDING"))</f>
        <v/>
      </c>
      <c r="AR1234" s="27" t="str">
        <f t="shared" si="539"/>
        <v>VA201</v>
      </c>
      <c r="AS1234" s="27" t="str">
        <f t="shared" si="540"/>
        <v>50</v>
      </c>
      <c r="AT1234" s="27" t="str">
        <f t="shared" si="541"/>
        <v>VA201</v>
      </c>
      <c r="AU1234" s="27" t="str">
        <f t="shared" si="542"/>
        <v>VA201</v>
      </c>
      <c r="AV1234" s="27" t="str">
        <f t="shared" si="543"/>
        <v>VA201</v>
      </c>
      <c r="AW1234" s="27" t="str">
        <f t="shared" si="544"/>
        <v/>
      </c>
      <c r="AX1234" s="27" t="str">
        <f t="shared" si="545"/>
        <v/>
      </c>
      <c r="AY1234" s="27" t="str">
        <f t="shared" si="546"/>
        <v/>
      </c>
      <c r="AZ1234" s="27" t="str">
        <f t="shared" si="547"/>
        <v/>
      </c>
      <c r="BA1234" s="27" t="str">
        <f t="shared" si="548"/>
        <v/>
      </c>
      <c r="BB1234" s="27" t="str">
        <f t="shared" si="549"/>
        <v>Gross</v>
      </c>
      <c r="BC1234" s="27" t="str">
        <f t="shared" si="550"/>
        <v>Net</v>
      </c>
      <c r="BD1234" s="27" t="str">
        <f t="shared" si="551"/>
        <v>Net</v>
      </c>
      <c r="BE1234" s="27" t="str">
        <f t="shared" si="552"/>
        <v/>
      </c>
      <c r="BF1234" s="27" t="str">
        <f t="shared" si="553"/>
        <v/>
      </c>
      <c r="BG1234" s="27" t="str">
        <f t="shared" si="554"/>
        <v/>
      </c>
      <c r="BH1234" s="27" t="str">
        <f t="shared" si="555"/>
        <v/>
      </c>
      <c r="BI1234" s="27" t="str">
        <f t="shared" si="556"/>
        <v/>
      </c>
      <c r="BJ1234" s="27" t="str">
        <f t="shared" si="557"/>
        <v/>
      </c>
      <c r="BK1234" s="27" t="str">
        <f t="shared" si="558"/>
        <v/>
      </c>
      <c r="BL1234" s="27" t="str">
        <f t="shared" si="559"/>
        <v/>
      </c>
      <c r="BM1234" s="21" t="s">
        <v>5581</v>
      </c>
    </row>
    <row r="1235" spans="1:65" ht="15">
      <c r="A1235" s="25" t="str">
        <f>IFERROR(INDEX('Hun Demand'!W:W,MATCH(O1235,'Hun Demand'!A:A,0)),"")</f>
        <v/>
      </c>
      <c r="B1235" s="25" t="str">
        <f>IFERROR(INDEX('Hun Demand'!V:V,MATCH(O1235,'Hun Demand'!A:A,0)),"")</f>
        <v/>
      </c>
      <c r="C1235" s="25" t="str">
        <f>IFERROR(INDEX('Hun Demand'!U:U,MATCH(O1235,'Hun Demand'!A:A,0)),"")</f>
        <v/>
      </c>
      <c r="D1235" s="25" t="str">
        <f>IFERROR(INDEX('Hun Demand'!T:T,MATCH(O1235,'Hun Demand'!A:A,0)),"")</f>
        <v/>
      </c>
      <c r="E1235" s="25" t="str">
        <f>IFERROR(INDEX('Hun Demand'!S:S,MATCH(O1235,'Hun Demand'!A:A,0)),"")</f>
        <v/>
      </c>
      <c r="F1235" s="25" t="str">
        <f>IFERROR(INDEX('Hun Demand'!R:R,MATCH(O1235,'Hun Demand'!A:A,0)),"")</f>
        <v/>
      </c>
      <c r="G1235" s="25">
        <f>IFERROR(INDEX('Aub Demand'!W:W,MATCH(O1235,'Aub Demand'!A:A,0)),"")</f>
        <v>0</v>
      </c>
      <c r="H1235" s="25">
        <f>IFERROR(INDEX('Aub Demand'!V:V,MATCH(O1235,'Aub Demand'!A:A,0)),"")</f>
        <v>0</v>
      </c>
      <c r="I1235" s="25">
        <f>IFERROR(INDEX('Aub Demand'!U:U,MATCH(O1235,'Aub Demand'!A:A,0)),"")</f>
        <v>0</v>
      </c>
      <c r="J1235" s="25">
        <f>IFERROR(INDEX('Aub Demand'!T:T,MATCH(O1235,'Aub Demand'!A:A,0)),"")</f>
        <v>0</v>
      </c>
      <c r="K1235" s="25">
        <f>IFERROR(INDEX('Aub Demand'!S:S,MATCH(O1235,'Aub Demand'!A:A,0)),"")</f>
        <v>39</v>
      </c>
      <c r="L1235" s="25">
        <f>IFERROR(INDEX('Aub Demand'!R:R,MATCH(O1235,'Aub Demand'!A:A,0)),"")</f>
        <v>0</v>
      </c>
      <c r="O1235" s="27" t="s">
        <v>2843</v>
      </c>
      <c r="P1235" s="27" t="str">
        <f>IFERROR(INDEX('Aub Demand'!B:B,MATCH($O1235,'Aub Demand'!$A:$A,0)),"")</f>
        <v>VISABLE VAVA</v>
      </c>
      <c r="Q1235" s="27" t="str">
        <f>IFERROR(INDEX('Aub Demand'!C:C,MATCH($O1235,'Aub Demand'!$A:$A,0)),"")</f>
        <v>TOPPA</v>
      </c>
      <c r="R1235" s="52">
        <f>IFERROR(IF(AR1236=AR1235,INDEX('Aub Demand'!K:K,MATCH($O1235,'Aub Demand'!$A:$A,0))-IF(AN1235="",0,AN1235)+AP1236,INDEX('Aub Demand'!K:K,MATCH($O1235,'Aub Demand'!$A:$A,0))-IF(AN1235="",0,AN1235)),"")</f>
        <v>732</v>
      </c>
      <c r="S1235" s="53">
        <f t="shared" si="532"/>
        <v>241.3</v>
      </c>
      <c r="T1235" s="52" t="str">
        <f t="shared" si="533"/>
        <v/>
      </c>
      <c r="U1235" s="52">
        <f>IFERROR(IF(AR1236=AR1235,INDEX('Aub Demand'!Q:Q,MATCH($O1235,'Aub Demand'!$A:$A,0))-IF(AN1235="",0,AN1235)+AP1236,INDEX('Aub Demand'!Q:Q,MATCH($O1235,'Aub Demand'!$A:$A,0))-IF(AN1235="",0,AN1235)),"")</f>
        <v>728</v>
      </c>
      <c r="V1235" s="53">
        <f t="shared" si="534"/>
        <v>240</v>
      </c>
      <c r="W1235" s="52" t="str">
        <f t="shared" si="535"/>
        <v/>
      </c>
      <c r="X1235" s="52">
        <f>IFERROR(IF(AND(AR1236=AR1235,AM1235&lt;&gt;""),INDEX('Aub Demand'!Q:Q,MATCH($O1235,'Aub Demand'!$A:$A,0))-IF(AN1235="",0,AN1235)+AP1236+AD1235+AL1235,IF(AR1236=AR1235,INDEX('Aub Demand'!Q:Q,MATCH($O1235,'Aub Demand'!$A:$A,0))-IF(AN1235="",0,AN1235)+AP1236+AD1235,IF(AM1235&lt;&gt;"",INDEX('Aub Demand'!Q:Q,MATCH($O1235,'Aub Demand'!$A:$A,0))-IF(AN1235="",0,AN1235)+AD1235+AL1235,INDEX('Aub Demand'!Q:Q,MATCH($O1235,'Aub Demand'!$A:$A,0))-IF(AN1235="",0,AN1235)+AD1235))),"")</f>
        <v>728</v>
      </c>
      <c r="Y1235" s="53">
        <f t="shared" si="536"/>
        <v>240</v>
      </c>
      <c r="Z1235" s="52">
        <f>IF(L1235="","",INDEX('Aub Demand'!H:H,MATCH($O1235,'Aub Demand'!$A:$A,0)))</f>
        <v>13</v>
      </c>
      <c r="AA1235" s="52" t="str">
        <f t="shared" si="537"/>
        <v>-spike-</v>
      </c>
      <c r="AB1235" s="52">
        <f>IFERROR(INDEX('Aub Demand'!L:L,MATCH($O1235,'Aub Demand'!$A:$A,0)),"")</f>
        <v>0</v>
      </c>
      <c r="AC1235" s="52">
        <f>IFERROR(IF(O1235="","",SUMIFS('CPL Mats'!F:F,'CPL Mats'!Q:Q,AR1235,'CPL Mats'!S:S,AS1235)),"")</f>
        <v>0</v>
      </c>
      <c r="AF1235" s="25" t="str">
        <f>IF(SUMIFS('Supp Consol'!S:S,'Supp Consol'!Y:Y,"Releasable",'Supp Consol'!A:A,O1235)=0,"",SUMIFS('Supp Consol'!S:S,'Supp Consol'!Y:Y,"Releasable",'Supp Consol'!A:A,O1235))</f>
        <v/>
      </c>
      <c r="AG1235" s="25" t="str">
        <f>IFERROR(INDEX('Hun Demand'!Q:Q,MATCH(O1235,'Hun Demand'!A:A,0)),"")</f>
        <v/>
      </c>
      <c r="AH1235" s="25" t="str">
        <f>IFERROR(INDEX('Hun Demand'!H:H,MATCH($O1235,'Hun Demand'!$A:$A,0)),"")</f>
        <v/>
      </c>
      <c r="AI1235" s="25" t="str">
        <f>IF(SUMIFS('Supp Consol'!AA:AA,'Supp Consol'!Z:Z,"Expires this month",'Supp Consol'!A:A,O1235)=0,"",SUMIFS('Supp Consol'!AA:AA,'Supp Consol'!Z:Z,"Expires this month",'Supp Consol'!A:A,O1235))</f>
        <v/>
      </c>
      <c r="AJ1235" s="25" t="str">
        <f>IF(SUMIFS('Supp Consol'!AA:AA,'Supp Consol'!Z:Z,"Expired Previous Months",'Supp Consol'!A:A,O1235)=0,"",SUMIFS('Supp Consol'!AA:AA,'Supp Consol'!Z:Z,"Expired Previous Months",'Supp Consol'!A:A,O1235))</f>
        <v/>
      </c>
      <c r="AK1235" s="25" t="str">
        <f>IFERROR(INDEX('Hun Release Current'!B:B,MATCH(O1235,'Hun Release Current'!A:A,0)),"")</f>
        <v/>
      </c>
      <c r="AL1235" s="25" t="str">
        <f>IF(SUMIF('Prev Aub'!A:A,O1235,'Prev Aub'!B:B)=0,"",SUMIF('Prev Aub'!A:A,O1235,'Prev Aub'!B:B))</f>
        <v/>
      </c>
      <c r="AN1235" s="25" t="s">
        <v>3790</v>
      </c>
      <c r="AO1235" s="25" t="s">
        <v>3790</v>
      </c>
      <c r="AP1235" s="25">
        <f t="shared" si="538"/>
        <v>0</v>
      </c>
      <c r="AQ1235" s="151" t="str">
        <f>IF(SUMIFS('Supp Consol'!S:S,'Supp Consol'!A:A,O1235,'Supp Consol'!I:I,"PENDING")=0,"",SUMIFS('Supp Consol'!S:S,'Supp Consol'!A:A,O1235,'Supp Consol'!I:I,"PENDING"))</f>
        <v/>
      </c>
      <c r="AR1235" s="27" t="str">
        <f t="shared" si="539"/>
        <v>VA201</v>
      </c>
      <c r="AS1235" s="27" t="str">
        <f t="shared" si="540"/>
        <v>62</v>
      </c>
      <c r="AT1235" s="27" t="str">
        <f t="shared" si="541"/>
        <v/>
      </c>
      <c r="AU1235" s="27" t="str">
        <f t="shared" si="542"/>
        <v/>
      </c>
      <c r="AV1235" s="27" t="str">
        <f t="shared" si="543"/>
        <v/>
      </c>
      <c r="AW1235" s="27" t="str">
        <f t="shared" si="544"/>
        <v/>
      </c>
      <c r="AX1235" s="27" t="str">
        <f t="shared" si="545"/>
        <v/>
      </c>
      <c r="AY1235" s="27" t="str">
        <f t="shared" si="546"/>
        <v/>
      </c>
      <c r="AZ1235" s="27" t="str">
        <f t="shared" si="547"/>
        <v/>
      </c>
      <c r="BA1235" s="27" t="str">
        <f t="shared" si="548"/>
        <v/>
      </c>
      <c r="BB1235" s="27" t="str">
        <f t="shared" si="549"/>
        <v>Gross</v>
      </c>
      <c r="BC1235" s="27" t="str">
        <f t="shared" si="550"/>
        <v>Net</v>
      </c>
      <c r="BD1235" s="27" t="str">
        <f t="shared" si="551"/>
        <v>Net</v>
      </c>
      <c r="BE1235" s="27" t="str">
        <f t="shared" si="552"/>
        <v/>
      </c>
      <c r="BF1235" s="27" t="str">
        <f t="shared" si="553"/>
        <v/>
      </c>
      <c r="BG1235" s="27" t="str">
        <f t="shared" si="554"/>
        <v/>
      </c>
      <c r="BH1235" s="27" t="str">
        <f t="shared" si="555"/>
        <v/>
      </c>
      <c r="BI1235" s="27" t="str">
        <f t="shared" si="556"/>
        <v/>
      </c>
      <c r="BJ1235" s="27" t="str">
        <f t="shared" si="557"/>
        <v/>
      </c>
      <c r="BK1235" s="27" t="str">
        <f t="shared" si="558"/>
        <v/>
      </c>
      <c r="BL1235" s="27" t="str">
        <f t="shared" si="559"/>
        <v/>
      </c>
      <c r="BM1235" s="21" t="s">
        <v>5581</v>
      </c>
    </row>
    <row r="1236" spans="1:65" ht="15">
      <c r="A1236" s="25" t="str">
        <f>IFERROR(INDEX('Hun Demand'!W:W,MATCH(O1236,'Hun Demand'!A:A,0)),"")</f>
        <v/>
      </c>
      <c r="B1236" s="25" t="str">
        <f>IFERROR(INDEX('Hun Demand'!V:V,MATCH(O1236,'Hun Demand'!A:A,0)),"")</f>
        <v/>
      </c>
      <c r="C1236" s="25" t="str">
        <f>IFERROR(INDEX('Hun Demand'!U:U,MATCH(O1236,'Hun Demand'!A:A,0)),"")</f>
        <v/>
      </c>
      <c r="D1236" s="25" t="str">
        <f>IFERROR(INDEX('Hun Demand'!T:T,MATCH(O1236,'Hun Demand'!A:A,0)),"")</f>
        <v/>
      </c>
      <c r="E1236" s="25" t="str">
        <f>IFERROR(INDEX('Hun Demand'!S:S,MATCH(O1236,'Hun Demand'!A:A,0)),"")</f>
        <v/>
      </c>
      <c r="F1236" s="25" t="str">
        <f>IFERROR(INDEX('Hun Demand'!R:R,MATCH(O1236,'Hun Demand'!A:A,0)),"")</f>
        <v/>
      </c>
      <c r="G1236" s="25">
        <f>IFERROR(INDEX('Aub Demand'!W:W,MATCH(O1236,'Aub Demand'!A:A,0)),"")</f>
        <v>229</v>
      </c>
      <c r="H1236" s="25">
        <f>IFERROR(INDEX('Aub Demand'!V:V,MATCH(O1236,'Aub Demand'!A:A,0)),"")</f>
        <v>19</v>
      </c>
      <c r="I1236" s="25">
        <f>IFERROR(INDEX('Aub Demand'!U:U,MATCH(O1236,'Aub Demand'!A:A,0)),"")</f>
        <v>189</v>
      </c>
      <c r="J1236" s="25">
        <f>IFERROR(INDEX('Aub Demand'!T:T,MATCH(O1236,'Aub Demand'!A:A,0)),"")</f>
        <v>0</v>
      </c>
      <c r="K1236" s="25">
        <f>IFERROR(INDEX('Aub Demand'!S:S,MATCH(O1236,'Aub Demand'!A:A,0)),"")</f>
        <v>40</v>
      </c>
      <c r="L1236" s="25">
        <f>IFERROR(INDEX('Aub Demand'!R:R,MATCH(O1236,'Aub Demand'!A:A,0)),"")</f>
        <v>0</v>
      </c>
      <c r="O1236" s="27" t="s">
        <v>2844</v>
      </c>
      <c r="P1236" s="27" t="str">
        <f>IFERROR(INDEX('Aub Demand'!B:B,MATCH($O1236,'Aub Demand'!$A:$A,0)),"")</f>
        <v>VISION VAVA</v>
      </c>
      <c r="Q1236" s="27" t="str">
        <f>IFERROR(INDEX('Aub Demand'!C:C,MATCH($O1236,'Aub Demand'!$A:$A,0)),"")</f>
        <v>TOPPA</v>
      </c>
      <c r="R1236" s="52">
        <f>IFERROR(IF(AR1237=AR1236,INDEX('Aub Demand'!K:K,MATCH($O1236,'Aub Demand'!$A:$A,0))-IF(AN1236="",0,AN1236)+AP1237,INDEX('Aub Demand'!K:K,MATCH($O1236,'Aub Demand'!$A:$A,0))-IF(AN1236="",0,AN1236)),"")</f>
        <v>766</v>
      </c>
      <c r="S1236" s="53">
        <f t="shared" si="532"/>
        <v>43.2</v>
      </c>
      <c r="T1236" s="52" t="str">
        <f t="shared" si="533"/>
        <v/>
      </c>
      <c r="U1236" s="52">
        <f>IFERROR(IF(AR1237=AR1236,INDEX('Aub Demand'!Q:Q,MATCH($O1236,'Aub Demand'!$A:$A,0))-IF(AN1236="",0,AN1236)+AP1237,INDEX('Aub Demand'!Q:Q,MATCH($O1236,'Aub Demand'!$A:$A,0))-IF(AN1236="",0,AN1236)),"")</f>
        <v>671</v>
      </c>
      <c r="V1236" s="53">
        <f t="shared" si="534"/>
        <v>37.799999999999997</v>
      </c>
      <c r="W1236" s="52" t="str">
        <f t="shared" si="535"/>
        <v/>
      </c>
      <c r="X1236" s="52">
        <f>IFERROR(IF(AND(AR1237=AR1236,AM1236&lt;&gt;""),INDEX('Aub Demand'!Q:Q,MATCH($O1236,'Aub Demand'!$A:$A,0))-IF(AN1236="",0,AN1236)+AP1237+AD1236+AL1236,IF(AR1237=AR1236,INDEX('Aub Demand'!Q:Q,MATCH($O1236,'Aub Demand'!$A:$A,0))-IF(AN1236="",0,AN1236)+AP1237+AD1236,IF(AM1236&lt;&gt;"",INDEX('Aub Demand'!Q:Q,MATCH($O1236,'Aub Demand'!$A:$A,0))-IF(AN1236="",0,AN1236)+AD1236+AL1236,INDEX('Aub Demand'!Q:Q,MATCH($O1236,'Aub Demand'!$A:$A,0))-IF(AN1236="",0,AN1236)+AD1236))),"")</f>
        <v>671</v>
      </c>
      <c r="Y1236" s="53">
        <f t="shared" si="536"/>
        <v>37.799999999999997</v>
      </c>
      <c r="Z1236" s="52">
        <f>IF(L1236="","",INDEX('Aub Demand'!H:H,MATCH($O1236,'Aub Demand'!$A:$A,0)))</f>
        <v>76</v>
      </c>
      <c r="AA1236" s="52">
        <f t="shared" si="537"/>
        <v>114.5</v>
      </c>
      <c r="AB1236" s="52">
        <f>IFERROR(INDEX('Aub Demand'!L:L,MATCH($O1236,'Aub Demand'!$A:$A,0)),"")</f>
        <v>242</v>
      </c>
      <c r="AC1236" s="52">
        <f>IFERROR(IF(O1236="","",SUMIFS('CPL Mats'!F:F,'CPL Mats'!Q:Q,AR1236,'CPL Mats'!S:S,AS1236)),"")</f>
        <v>1952</v>
      </c>
      <c r="AF1236" s="25">
        <f>IF(SUMIFS('Supp Consol'!S:S,'Supp Consol'!Y:Y,"Releasable",'Supp Consol'!A:A,O1236)=0,"",SUMIFS('Supp Consol'!S:S,'Supp Consol'!Y:Y,"Releasable",'Supp Consol'!A:A,O1236))</f>
        <v>1329</v>
      </c>
      <c r="AG1236" s="25" t="str">
        <f>IFERROR(INDEX('Hun Demand'!Q:Q,MATCH(O1236,'Hun Demand'!A:A,0)),"")</f>
        <v/>
      </c>
      <c r="AH1236" s="25" t="str">
        <f>IFERROR(INDEX('Hun Demand'!H:H,MATCH($O1236,'Hun Demand'!$A:$A,0)),"")</f>
        <v/>
      </c>
      <c r="AI1236" s="25" t="str">
        <f>IF(SUMIFS('Supp Consol'!AA:AA,'Supp Consol'!Z:Z,"Expires this month",'Supp Consol'!A:A,O1236)=0,"",SUMIFS('Supp Consol'!AA:AA,'Supp Consol'!Z:Z,"Expires this month",'Supp Consol'!A:A,O1236))</f>
        <v/>
      </c>
      <c r="AJ1236" s="25" t="str">
        <f>IF(SUMIFS('Supp Consol'!AA:AA,'Supp Consol'!Z:Z,"Expired Previous Months",'Supp Consol'!A:A,O1236)=0,"",SUMIFS('Supp Consol'!AA:AA,'Supp Consol'!Z:Z,"Expired Previous Months",'Supp Consol'!A:A,O1236))</f>
        <v/>
      </c>
      <c r="AK1236" s="25" t="str">
        <f>IFERROR(INDEX('Hun Release Current'!B:B,MATCH(O1236,'Hun Release Current'!A:A,0)),"")</f>
        <v/>
      </c>
      <c r="AL1236" s="25" t="str">
        <f>IF(SUMIF('Prev Aub'!A:A,O1236,'Prev Aub'!B:B)=0,"",SUMIF('Prev Aub'!A:A,O1236,'Prev Aub'!B:B))</f>
        <v/>
      </c>
      <c r="AN1236" s="25" t="s">
        <v>3790</v>
      </c>
      <c r="AO1236" s="25" t="s">
        <v>3790</v>
      </c>
      <c r="AP1236" s="25">
        <f t="shared" si="538"/>
        <v>0</v>
      </c>
      <c r="AQ1236" s="151" t="str">
        <f>IF(SUMIFS('Supp Consol'!S:S,'Supp Consol'!A:A,O1236,'Supp Consol'!I:I,"PENDING")=0,"",SUMIFS('Supp Consol'!S:S,'Supp Consol'!A:A,O1236,'Supp Consol'!I:I,"PENDING"))</f>
        <v/>
      </c>
      <c r="AR1236" s="27" t="str">
        <f t="shared" si="539"/>
        <v>VA202</v>
      </c>
      <c r="AS1236" s="27" t="str">
        <f t="shared" si="540"/>
        <v>50</v>
      </c>
      <c r="AT1236" s="27" t="str">
        <f t="shared" si="541"/>
        <v/>
      </c>
      <c r="AU1236" s="27" t="str">
        <f t="shared" si="542"/>
        <v/>
      </c>
      <c r="AV1236" s="27" t="str">
        <f t="shared" si="543"/>
        <v/>
      </c>
      <c r="AW1236" s="27" t="str">
        <f t="shared" si="544"/>
        <v/>
      </c>
      <c r="AX1236" s="27" t="str">
        <f t="shared" si="545"/>
        <v>VA202</v>
      </c>
      <c r="AY1236" s="27" t="str">
        <f t="shared" si="546"/>
        <v/>
      </c>
      <c r="AZ1236" s="27" t="str">
        <f t="shared" si="547"/>
        <v>Supp</v>
      </c>
      <c r="BA1236" s="27" t="str">
        <f t="shared" si="548"/>
        <v/>
      </c>
      <c r="BB1236" s="27" t="str">
        <f t="shared" si="549"/>
        <v/>
      </c>
      <c r="BC1236" s="27" t="str">
        <f t="shared" si="550"/>
        <v/>
      </c>
      <c r="BD1236" s="27" t="str">
        <f t="shared" si="551"/>
        <v/>
      </c>
      <c r="BE1236" s="27" t="str">
        <f t="shared" si="552"/>
        <v/>
      </c>
      <c r="BF1236" s="27" t="str">
        <f t="shared" si="553"/>
        <v/>
      </c>
      <c r="BG1236" s="27" t="str">
        <f t="shared" si="554"/>
        <v/>
      </c>
      <c r="BH1236" s="27" t="str">
        <f t="shared" si="555"/>
        <v/>
      </c>
      <c r="BI1236" s="27" t="str">
        <f t="shared" si="556"/>
        <v/>
      </c>
      <c r="BJ1236" s="27" t="str">
        <f t="shared" si="557"/>
        <v>Supp or Hun</v>
      </c>
      <c r="BK1236" s="27" t="str">
        <f t="shared" si="558"/>
        <v/>
      </c>
      <c r="BL1236" s="27" t="str">
        <f t="shared" si="559"/>
        <v/>
      </c>
      <c r="BM1236" s="21" t="s">
        <v>5581</v>
      </c>
    </row>
    <row r="1237" spans="1:65" ht="15">
      <c r="A1237" s="25">
        <f>IFERROR(INDEX('Hun Demand'!W:W,MATCH(O1237,'Hun Demand'!A:A,0)),"")</f>
        <v>380</v>
      </c>
      <c r="B1237" s="25">
        <f>IFERROR(INDEX('Hun Demand'!V:V,MATCH(O1237,'Hun Demand'!A:A,0)),"")</f>
        <v>0</v>
      </c>
      <c r="C1237" s="25">
        <f>IFERROR(INDEX('Hun Demand'!U:U,MATCH(O1237,'Hun Demand'!A:A,0)),"")</f>
        <v>550</v>
      </c>
      <c r="D1237" s="25">
        <f>IFERROR(INDEX('Hun Demand'!T:T,MATCH(O1237,'Hun Demand'!A:A,0)),"")</f>
        <v>0</v>
      </c>
      <c r="E1237" s="25">
        <f>IFERROR(INDEX('Hun Demand'!S:S,MATCH(O1237,'Hun Demand'!A:A,0)),"")</f>
        <v>0</v>
      </c>
      <c r="F1237" s="25">
        <f>IFERROR(INDEX('Hun Demand'!R:R,MATCH(O1237,'Hun Demand'!A:A,0)),"")</f>
        <v>0</v>
      </c>
      <c r="G1237" s="25">
        <f>IFERROR(INDEX('Aub Demand'!W:W,MATCH(O1237,'Aub Demand'!A:A,0)),"")</f>
        <v>0</v>
      </c>
      <c r="H1237" s="25">
        <f>IFERROR(INDEX('Aub Demand'!V:V,MATCH(O1237,'Aub Demand'!A:A,0)),"")</f>
        <v>0</v>
      </c>
      <c r="I1237" s="25">
        <f>IFERROR(INDEX('Aub Demand'!U:U,MATCH(O1237,'Aub Demand'!A:A,0)),"")</f>
        <v>54</v>
      </c>
      <c r="J1237" s="25">
        <f>IFERROR(INDEX('Aub Demand'!T:T,MATCH(O1237,'Aub Demand'!A:A,0)),"")</f>
        <v>180</v>
      </c>
      <c r="K1237" s="25">
        <f>IFERROR(INDEX('Aub Demand'!S:S,MATCH(O1237,'Aub Demand'!A:A,0)),"")</f>
        <v>5</v>
      </c>
      <c r="L1237" s="25">
        <f>IFERROR(INDEX('Aub Demand'!R:R,MATCH(O1237,'Aub Demand'!A:A,0)),"")</f>
        <v>0</v>
      </c>
      <c r="O1237" s="27" t="s">
        <v>2846</v>
      </c>
      <c r="P1237" s="27" t="str">
        <f>IFERROR(INDEX('Aub Demand'!B:B,MATCH($O1237,'Aub Demand'!$A:$A,0)),"")</f>
        <v>VISION VAVA</v>
      </c>
      <c r="Q1237" s="27" t="str">
        <f>IFERROR(INDEX('Aub Demand'!C:C,MATCH($O1237,'Aub Demand'!$A:$A,0)),"")</f>
        <v>TOPPA</v>
      </c>
      <c r="R1237" s="52">
        <f>IFERROR(IF(AR1238=AR1237,INDEX('Aub Demand'!K:K,MATCH($O1237,'Aub Demand'!$A:$A,0))-IF(AN1237="",0,AN1237)+AP1238,INDEX('Aub Demand'!K:K,MATCH($O1237,'Aub Demand'!$A:$A,0))-IF(AN1237="",0,AN1237)),"")</f>
        <v>490</v>
      </c>
      <c r="S1237" s="53">
        <f t="shared" si="532"/>
        <v>26.3</v>
      </c>
      <c r="T1237" s="52" t="str">
        <f t="shared" si="533"/>
        <v/>
      </c>
      <c r="U1237" s="52">
        <f>IFERROR(IF(AR1238=AR1237,INDEX('Aub Demand'!Q:Q,MATCH($O1237,'Aub Demand'!$A:$A,0))-IF(AN1237="",0,AN1237)+AP1238,INDEX('Aub Demand'!Q:Q,MATCH($O1237,'Aub Demand'!$A:$A,0))-IF(AN1237="",0,AN1237)),"")</f>
        <v>490</v>
      </c>
      <c r="V1237" s="53">
        <f t="shared" si="534"/>
        <v>26.3</v>
      </c>
      <c r="W1237" s="52" t="str">
        <f t="shared" si="535"/>
        <v/>
      </c>
      <c r="X1237" s="52">
        <f>IFERROR(IF(AND(AR1238=AR1237,AM1237&lt;&gt;""),INDEX('Aub Demand'!Q:Q,MATCH($O1237,'Aub Demand'!$A:$A,0))-IF(AN1237="",0,AN1237)+AP1238+AD1237+AL1237,IF(AR1238=AR1237,INDEX('Aub Demand'!Q:Q,MATCH($O1237,'Aub Demand'!$A:$A,0))-IF(AN1237="",0,AN1237)+AP1238+AD1237,IF(AM1237&lt;&gt;"",INDEX('Aub Demand'!Q:Q,MATCH($O1237,'Aub Demand'!$A:$A,0))-IF(AN1237="",0,AN1237)+AD1237+AL1237,INDEX('Aub Demand'!Q:Q,MATCH($O1237,'Aub Demand'!$A:$A,0))-IF(AN1237="",0,AN1237)+AD1237))),"")</f>
        <v>490</v>
      </c>
      <c r="Y1237" s="53">
        <f t="shared" si="536"/>
        <v>26.3</v>
      </c>
      <c r="Z1237" s="52">
        <f>IF(L1237="","",INDEX('Aub Demand'!H:H,MATCH($O1237,'Aub Demand'!$A:$A,0)))</f>
        <v>80</v>
      </c>
      <c r="AA1237" s="52">
        <f t="shared" si="537"/>
        <v>117</v>
      </c>
      <c r="AB1237" s="52">
        <f>IFERROR(INDEX('Aub Demand'!L:L,MATCH($O1237,'Aub Demand'!$A:$A,0)),"")</f>
        <v>61</v>
      </c>
      <c r="AC1237" s="52">
        <f>IFERROR(IF(O1237="","",SUMIFS('CPL Mats'!F:F,'CPL Mats'!Q:Q,AR1237,'CPL Mats'!S:S,AS1237)),"")</f>
        <v>0</v>
      </c>
      <c r="AF1237" s="25">
        <f>IF(SUMIFS('Supp Consol'!S:S,'Supp Consol'!Y:Y,"Releasable",'Supp Consol'!A:A,O1237)=0,"",SUMIFS('Supp Consol'!S:S,'Supp Consol'!Y:Y,"Releasable",'Supp Consol'!A:A,O1237))</f>
        <v>1464</v>
      </c>
      <c r="AG1237" s="25">
        <f>IFERROR(INDEX('Hun Demand'!Q:Q,MATCH(O1237,'Hun Demand'!A:A,0)),"")</f>
        <v>0</v>
      </c>
      <c r="AH1237" s="25">
        <f>IFERROR(INDEX('Hun Demand'!H:H,MATCH($O1237,'Hun Demand'!$A:$A,0)),"")</f>
        <v>183</v>
      </c>
      <c r="AI1237" s="25" t="str">
        <f>IF(SUMIFS('Supp Consol'!AA:AA,'Supp Consol'!Z:Z,"Expires this month",'Supp Consol'!A:A,O1237)=0,"",SUMIFS('Supp Consol'!AA:AA,'Supp Consol'!Z:Z,"Expires this month",'Supp Consol'!A:A,O1237))</f>
        <v/>
      </c>
      <c r="AJ1237" s="25" t="str">
        <f>IF(SUMIFS('Supp Consol'!AA:AA,'Supp Consol'!Z:Z,"Expired Previous Months",'Supp Consol'!A:A,O1237)=0,"",SUMIFS('Supp Consol'!AA:AA,'Supp Consol'!Z:Z,"Expired Previous Months",'Supp Consol'!A:A,O1237))</f>
        <v/>
      </c>
      <c r="AK1237" s="25" t="str">
        <f>IFERROR(INDEX('Hun Release Current'!B:B,MATCH(O1237,'Hun Release Current'!A:A,0)),"")</f>
        <v/>
      </c>
      <c r="AL1237" s="25" t="str">
        <f>IF(SUMIF('Prev Aub'!A:A,O1237,'Prev Aub'!B:B)=0,"",SUMIF('Prev Aub'!A:A,O1237,'Prev Aub'!B:B))</f>
        <v/>
      </c>
      <c r="AN1237" s="25" t="s">
        <v>3790</v>
      </c>
      <c r="AO1237" s="25" t="s">
        <v>3790</v>
      </c>
      <c r="AP1237" s="25">
        <f t="shared" si="538"/>
        <v>0</v>
      </c>
      <c r="AQ1237" s="151" t="str">
        <f>IF(SUMIFS('Supp Consol'!S:S,'Supp Consol'!A:A,O1237,'Supp Consol'!I:I,"PENDING")=0,"",SUMIFS('Supp Consol'!S:S,'Supp Consol'!A:A,O1237,'Supp Consol'!I:I,"PENDING"))</f>
        <v/>
      </c>
      <c r="AR1237" s="27" t="str">
        <f t="shared" si="539"/>
        <v>VA202</v>
      </c>
      <c r="AS1237" s="27" t="str">
        <f t="shared" si="540"/>
        <v>62</v>
      </c>
      <c r="AT1237" s="27" t="str">
        <f t="shared" si="541"/>
        <v/>
      </c>
      <c r="AU1237" s="27" t="str">
        <f t="shared" si="542"/>
        <v/>
      </c>
      <c r="AV1237" s="27" t="str">
        <f t="shared" si="543"/>
        <v/>
      </c>
      <c r="AW1237" s="27" t="str">
        <f t="shared" si="544"/>
        <v/>
      </c>
      <c r="AX1237" s="27" t="str">
        <f t="shared" si="545"/>
        <v>VA202</v>
      </c>
      <c r="AY1237" s="27" t="str">
        <f t="shared" si="546"/>
        <v/>
      </c>
      <c r="AZ1237" s="27" t="str">
        <f t="shared" si="547"/>
        <v>Supp</v>
      </c>
      <c r="BA1237" s="27" t="str">
        <f t="shared" si="548"/>
        <v/>
      </c>
      <c r="BB1237" s="27" t="str">
        <f t="shared" si="549"/>
        <v/>
      </c>
      <c r="BC1237" s="27" t="str">
        <f t="shared" si="550"/>
        <v/>
      </c>
      <c r="BD1237" s="27" t="str">
        <f t="shared" si="551"/>
        <v/>
      </c>
      <c r="BE1237" s="27" t="str">
        <f t="shared" si="552"/>
        <v/>
      </c>
      <c r="BF1237" s="27" t="str">
        <f t="shared" si="553"/>
        <v/>
      </c>
      <c r="BG1237" s="27" t="str">
        <f t="shared" si="554"/>
        <v/>
      </c>
      <c r="BH1237" s="27" t="str">
        <f t="shared" si="555"/>
        <v/>
      </c>
      <c r="BI1237" s="27" t="str">
        <f t="shared" si="556"/>
        <v/>
      </c>
      <c r="BJ1237" s="27" t="str">
        <f t="shared" si="557"/>
        <v>Supp or Hun</v>
      </c>
      <c r="BK1237" s="27" t="str">
        <f t="shared" si="558"/>
        <v/>
      </c>
      <c r="BL1237" s="27" t="str">
        <f t="shared" si="559"/>
        <v/>
      </c>
      <c r="BM1237" s="21" t="s">
        <v>5581</v>
      </c>
    </row>
    <row r="1238" spans="1:65" ht="15">
      <c r="A1238" s="25" t="str">
        <f>IFERROR(INDEX('Hun Demand'!W:W,MATCH(O1238,'Hun Demand'!A:A,0)),"")</f>
        <v/>
      </c>
      <c r="B1238" s="25" t="str">
        <f>IFERROR(INDEX('Hun Demand'!V:V,MATCH(O1238,'Hun Demand'!A:A,0)),"")</f>
        <v/>
      </c>
      <c r="C1238" s="25" t="str">
        <f>IFERROR(INDEX('Hun Demand'!U:U,MATCH(O1238,'Hun Demand'!A:A,0)),"")</f>
        <v/>
      </c>
      <c r="D1238" s="25" t="str">
        <f>IFERROR(INDEX('Hun Demand'!T:T,MATCH(O1238,'Hun Demand'!A:A,0)),"")</f>
        <v/>
      </c>
      <c r="E1238" s="25" t="str">
        <f>IFERROR(INDEX('Hun Demand'!S:S,MATCH(O1238,'Hun Demand'!A:A,0)),"")</f>
        <v/>
      </c>
      <c r="F1238" s="25" t="str">
        <f>IFERROR(INDEX('Hun Demand'!R:R,MATCH(O1238,'Hun Demand'!A:A,0)),"")</f>
        <v/>
      </c>
      <c r="G1238" s="25">
        <f>IFERROR(INDEX('Aub Demand'!W:W,MATCH(O1238,'Aub Demand'!A:A,0)),"")</f>
        <v>87</v>
      </c>
      <c r="H1238" s="25">
        <f>IFERROR(INDEX('Aub Demand'!V:V,MATCH(O1238,'Aub Demand'!A:A,0)),"")</f>
        <v>32</v>
      </c>
      <c r="I1238" s="25">
        <f>IFERROR(INDEX('Aub Demand'!U:U,MATCH(O1238,'Aub Demand'!A:A,0)),"")</f>
        <v>0</v>
      </c>
      <c r="J1238" s="25">
        <f>IFERROR(INDEX('Aub Demand'!T:T,MATCH(O1238,'Aub Demand'!A:A,0)),"")</f>
        <v>78</v>
      </c>
      <c r="K1238" s="25">
        <f>IFERROR(INDEX('Aub Demand'!S:S,MATCH(O1238,'Aub Demand'!A:A,0)),"")</f>
        <v>89</v>
      </c>
      <c r="L1238" s="25">
        <f>IFERROR(INDEX('Aub Demand'!R:R,MATCH(O1238,'Aub Demand'!A:A,0)),"")</f>
        <v>0</v>
      </c>
      <c r="O1238" s="27" t="s">
        <v>2847</v>
      </c>
      <c r="P1238" s="27" t="str">
        <f>IFERROR(INDEX('Aub Demand'!B:B,MATCH($O1238,'Aub Demand'!$A:$A,0)),"")</f>
        <v>Serene Stardom 20210</v>
      </c>
      <c r="Q1238" s="27" t="str">
        <f>IFERROR(INDEX('Aub Demand'!C:C,MATCH($O1238,'Aub Demand'!$A:$A,0)),"")</f>
        <v>INTER</v>
      </c>
      <c r="R1238" s="52">
        <f>IFERROR(IF(AR1239=AR1238,INDEX('Aub Demand'!K:K,MATCH($O1238,'Aub Demand'!$A:$A,0))-IF(AN1238="",0,AN1238)+AP1239,INDEX('Aub Demand'!K:K,MATCH($O1238,'Aub Demand'!$A:$A,0))-IF(AN1238="",0,AN1238)),"")</f>
        <v>744</v>
      </c>
      <c r="S1238" s="53">
        <f t="shared" si="532"/>
        <v>56.9</v>
      </c>
      <c r="T1238" s="52" t="str">
        <f t="shared" si="533"/>
        <v/>
      </c>
      <c r="U1238" s="52">
        <f>IFERROR(IF(AR1239=AR1238,INDEX('Aub Demand'!Q:Q,MATCH($O1238,'Aub Demand'!$A:$A,0))-IF(AN1238="",0,AN1238)+AP1239,INDEX('Aub Demand'!Q:Q,MATCH($O1238,'Aub Demand'!$A:$A,0))-IF(AN1238="",0,AN1238)),"")</f>
        <v>744</v>
      </c>
      <c r="V1238" s="53">
        <f t="shared" si="534"/>
        <v>56.9</v>
      </c>
      <c r="W1238" s="52" t="str">
        <f t="shared" si="535"/>
        <v/>
      </c>
      <c r="X1238" s="52">
        <f>IFERROR(IF(AND(AR1239=AR1238,AM1238&lt;&gt;""),INDEX('Aub Demand'!Q:Q,MATCH($O1238,'Aub Demand'!$A:$A,0))-IF(AN1238="",0,AN1238)+AP1239+AD1238+AL1238,IF(AR1239=AR1238,INDEX('Aub Demand'!Q:Q,MATCH($O1238,'Aub Demand'!$A:$A,0))-IF(AN1238="",0,AN1238)+AP1239+AD1238,IF(AM1238&lt;&gt;"",INDEX('Aub Demand'!Q:Q,MATCH($O1238,'Aub Demand'!$A:$A,0))-IF(AN1238="",0,AN1238)+AD1238+AL1238,INDEX('Aub Demand'!Q:Q,MATCH($O1238,'Aub Demand'!$A:$A,0))-IF(AN1238="",0,AN1238)+AD1238))),"")</f>
        <v>744</v>
      </c>
      <c r="Y1238" s="53">
        <f t="shared" si="536"/>
        <v>56.9</v>
      </c>
      <c r="Z1238" s="52">
        <f>IF(L1238="","",INDEX('Aub Demand'!H:H,MATCH($O1238,'Aub Demand'!$A:$A,0)))</f>
        <v>56</v>
      </c>
      <c r="AA1238" s="52">
        <f t="shared" si="537"/>
        <v>83.5</v>
      </c>
      <c r="AB1238" s="52">
        <f>IFERROR(INDEX('Aub Demand'!L:L,MATCH($O1238,'Aub Demand'!$A:$A,0)),"")</f>
        <v>176</v>
      </c>
      <c r="AC1238" s="52">
        <f>IFERROR(IF(O1238="","",SUMIFS('CPL Mats'!F:F,'CPL Mats'!Q:Q,AR1238,'CPL Mats'!S:S,AS1238)),"")</f>
        <v>1400</v>
      </c>
      <c r="AF1238" s="25" t="str">
        <f>IF(SUMIFS('Supp Consol'!S:S,'Supp Consol'!Y:Y,"Releasable",'Supp Consol'!A:A,O1238)=0,"",SUMIFS('Supp Consol'!S:S,'Supp Consol'!Y:Y,"Releasable",'Supp Consol'!A:A,O1238))</f>
        <v/>
      </c>
      <c r="AG1238" s="25" t="str">
        <f>IFERROR(INDEX('Hun Demand'!Q:Q,MATCH(O1238,'Hun Demand'!A:A,0)),"")</f>
        <v/>
      </c>
      <c r="AH1238" s="25" t="str">
        <f>IFERROR(INDEX('Hun Demand'!H:H,MATCH($O1238,'Hun Demand'!$A:$A,0)),"")</f>
        <v/>
      </c>
      <c r="AI1238" s="25" t="str">
        <f>IF(SUMIFS('Supp Consol'!AA:AA,'Supp Consol'!Z:Z,"Expires this month",'Supp Consol'!A:A,O1238)=0,"",SUMIFS('Supp Consol'!AA:AA,'Supp Consol'!Z:Z,"Expires this month",'Supp Consol'!A:A,O1238))</f>
        <v/>
      </c>
      <c r="AJ1238" s="25" t="str">
        <f>IF(SUMIFS('Supp Consol'!AA:AA,'Supp Consol'!Z:Z,"Expired Previous Months",'Supp Consol'!A:A,O1238)=0,"",SUMIFS('Supp Consol'!AA:AA,'Supp Consol'!Z:Z,"Expired Previous Months",'Supp Consol'!A:A,O1238))</f>
        <v/>
      </c>
      <c r="AK1238" s="25" t="str">
        <f>IFERROR(INDEX('Hun Release Current'!B:B,MATCH(O1238,'Hun Release Current'!A:A,0)),"")</f>
        <v/>
      </c>
      <c r="AL1238" s="25" t="str">
        <f>IF(SUMIF('Prev Aub'!A:A,O1238,'Prev Aub'!B:B)=0,"",SUMIF('Prev Aub'!A:A,O1238,'Prev Aub'!B:B))</f>
        <v/>
      </c>
      <c r="AN1238" s="25" t="s">
        <v>3790</v>
      </c>
      <c r="AO1238" s="25" t="s">
        <v>3790</v>
      </c>
      <c r="AP1238" s="25">
        <f t="shared" si="538"/>
        <v>0</v>
      </c>
      <c r="AQ1238" s="151" t="str">
        <f>IF(SUMIFS('Supp Consol'!S:S,'Supp Consol'!A:A,O1238,'Supp Consol'!I:I,"PENDING")=0,"",SUMIFS('Supp Consol'!S:S,'Supp Consol'!A:A,O1238,'Supp Consol'!I:I,"PENDING"))</f>
        <v/>
      </c>
      <c r="AR1238" s="27" t="str">
        <f t="shared" si="539"/>
        <v>VA501</v>
      </c>
      <c r="AS1238" s="27" t="str">
        <f t="shared" si="540"/>
        <v>50</v>
      </c>
      <c r="AT1238" s="27" t="str">
        <f t="shared" si="541"/>
        <v/>
      </c>
      <c r="AU1238" s="27" t="str">
        <f t="shared" si="542"/>
        <v/>
      </c>
      <c r="AV1238" s="27" t="str">
        <f t="shared" si="543"/>
        <v/>
      </c>
      <c r="AW1238" s="27" t="str">
        <f t="shared" si="544"/>
        <v/>
      </c>
      <c r="AX1238" s="27" t="str">
        <f t="shared" si="545"/>
        <v/>
      </c>
      <c r="AY1238" s="27" t="str">
        <f t="shared" si="546"/>
        <v/>
      </c>
      <c r="AZ1238" s="27" t="str">
        <f t="shared" si="547"/>
        <v/>
      </c>
      <c r="BA1238" s="27" t="str">
        <f t="shared" si="548"/>
        <v/>
      </c>
      <c r="BB1238" s="27" t="str">
        <f t="shared" si="549"/>
        <v/>
      </c>
      <c r="BC1238" s="27" t="str">
        <f t="shared" si="550"/>
        <v/>
      </c>
      <c r="BD1238" s="27" t="str">
        <f t="shared" si="551"/>
        <v/>
      </c>
      <c r="BE1238" s="27" t="str">
        <f t="shared" si="552"/>
        <v/>
      </c>
      <c r="BF1238" s="27" t="str">
        <f t="shared" si="553"/>
        <v/>
      </c>
      <c r="BG1238" s="27" t="str">
        <f t="shared" si="554"/>
        <v/>
      </c>
      <c r="BH1238" s="27" t="str">
        <f t="shared" si="555"/>
        <v/>
      </c>
      <c r="BI1238" s="27" t="str">
        <f t="shared" si="556"/>
        <v/>
      </c>
      <c r="BJ1238" s="27" t="str">
        <f t="shared" si="557"/>
        <v/>
      </c>
      <c r="BK1238" s="27" t="str">
        <f t="shared" si="558"/>
        <v/>
      </c>
      <c r="BL1238" s="27" t="str">
        <f t="shared" si="559"/>
        <v/>
      </c>
      <c r="BM1238" s="21" t="s">
        <v>5581</v>
      </c>
    </row>
    <row r="1239" spans="1:65" ht="15">
      <c r="A1239" s="25" t="str">
        <f>IFERROR(INDEX('Hun Demand'!W:W,MATCH(O1239,'Hun Demand'!A:A,0)),"")</f>
        <v/>
      </c>
      <c r="B1239" s="25" t="str">
        <f>IFERROR(INDEX('Hun Demand'!V:V,MATCH(O1239,'Hun Demand'!A:A,0)),"")</f>
        <v/>
      </c>
      <c r="C1239" s="25" t="str">
        <f>IFERROR(INDEX('Hun Demand'!U:U,MATCH(O1239,'Hun Demand'!A:A,0)),"")</f>
        <v/>
      </c>
      <c r="D1239" s="25" t="str">
        <f>IFERROR(INDEX('Hun Demand'!T:T,MATCH(O1239,'Hun Demand'!A:A,0)),"")</f>
        <v/>
      </c>
      <c r="E1239" s="25" t="str">
        <f>IFERROR(INDEX('Hun Demand'!S:S,MATCH(O1239,'Hun Demand'!A:A,0)),"")</f>
        <v/>
      </c>
      <c r="F1239" s="25" t="str">
        <f>IFERROR(INDEX('Hun Demand'!R:R,MATCH(O1239,'Hun Demand'!A:A,0)),"")</f>
        <v/>
      </c>
      <c r="G1239" s="25">
        <f>IFERROR(INDEX('Aub Demand'!W:W,MATCH(O1239,'Aub Demand'!A:A,0)),"")</f>
        <v>0</v>
      </c>
      <c r="H1239" s="25">
        <f>IFERROR(INDEX('Aub Demand'!V:V,MATCH(O1239,'Aub Demand'!A:A,0)),"")</f>
        <v>29</v>
      </c>
      <c r="I1239" s="25">
        <f>IFERROR(INDEX('Aub Demand'!U:U,MATCH(O1239,'Aub Demand'!A:A,0)),"")</f>
        <v>44</v>
      </c>
      <c r="J1239" s="25">
        <f>IFERROR(INDEX('Aub Demand'!T:T,MATCH(O1239,'Aub Demand'!A:A,0)),"")</f>
        <v>0</v>
      </c>
      <c r="K1239" s="25">
        <f>IFERROR(INDEX('Aub Demand'!S:S,MATCH(O1239,'Aub Demand'!A:A,0)),"")</f>
        <v>0</v>
      </c>
      <c r="L1239" s="25">
        <f>IFERROR(INDEX('Aub Demand'!R:R,MATCH(O1239,'Aub Demand'!A:A,0)),"")</f>
        <v>0</v>
      </c>
      <c r="O1239" s="27" t="s">
        <v>2849</v>
      </c>
      <c r="P1239" s="27" t="str">
        <f>IFERROR(INDEX('Aub Demand'!B:B,MATCH($O1239,'Aub Demand'!$A:$A,0)),"")</f>
        <v>Serene Stardom 20210</v>
      </c>
      <c r="Q1239" s="27" t="str">
        <f>IFERROR(INDEX('Aub Demand'!C:C,MATCH($O1239,'Aub Demand'!$A:$A,0)),"")</f>
        <v>INTER</v>
      </c>
      <c r="R1239" s="52">
        <f>IFERROR(IF(AR1240=AR1239,INDEX('Aub Demand'!K:K,MATCH($O1239,'Aub Demand'!$A:$A,0))-IF(AN1239="",0,AN1239)+AP1240,INDEX('Aub Demand'!K:K,MATCH($O1239,'Aub Demand'!$A:$A,0))-IF(AN1239="",0,AN1239)),"")</f>
        <v>615</v>
      </c>
      <c r="S1239" s="53">
        <f t="shared" si="532"/>
        <v>175.7</v>
      </c>
      <c r="T1239" s="52" t="str">
        <f t="shared" si="533"/>
        <v/>
      </c>
      <c r="U1239" s="52">
        <f>IFERROR(IF(AR1240=AR1239,INDEX('Aub Demand'!Q:Q,MATCH($O1239,'Aub Demand'!$A:$A,0))-IF(AN1239="",0,AN1239)+AP1240,INDEX('Aub Demand'!Q:Q,MATCH($O1239,'Aub Demand'!$A:$A,0))-IF(AN1239="",0,AN1239)),"")</f>
        <v>581</v>
      </c>
      <c r="V1239" s="53">
        <f t="shared" si="534"/>
        <v>166</v>
      </c>
      <c r="W1239" s="52" t="str">
        <f t="shared" si="535"/>
        <v/>
      </c>
      <c r="X1239" s="52">
        <f>IFERROR(IF(AND(AR1240=AR1239,AM1239&lt;&gt;""),INDEX('Aub Demand'!Q:Q,MATCH($O1239,'Aub Demand'!$A:$A,0))-IF(AN1239="",0,AN1239)+AP1240+AD1239+AL1239,IF(AR1240=AR1239,INDEX('Aub Demand'!Q:Q,MATCH($O1239,'Aub Demand'!$A:$A,0))-IF(AN1239="",0,AN1239)+AP1240+AD1239,IF(AM1239&lt;&gt;"",INDEX('Aub Demand'!Q:Q,MATCH($O1239,'Aub Demand'!$A:$A,0))-IF(AN1239="",0,AN1239)+AD1239+AL1239,INDEX('Aub Demand'!Q:Q,MATCH($O1239,'Aub Demand'!$A:$A,0))-IF(AN1239="",0,AN1239)+AD1239))),"")</f>
        <v>581</v>
      </c>
      <c r="Y1239" s="53">
        <f t="shared" si="536"/>
        <v>166</v>
      </c>
      <c r="Z1239" s="52">
        <f>IF(L1239="","",INDEX('Aub Demand'!H:H,MATCH($O1239,'Aub Demand'!$A:$A,0)))</f>
        <v>15</v>
      </c>
      <c r="AA1239" s="52" t="str">
        <f t="shared" si="537"/>
        <v>-spike-</v>
      </c>
      <c r="AB1239" s="52">
        <f>IFERROR(INDEX('Aub Demand'!L:L,MATCH($O1239,'Aub Demand'!$A:$A,0)),"")</f>
        <v>0</v>
      </c>
      <c r="AC1239" s="52">
        <f>IFERROR(IF(O1239="","",SUMIFS('CPL Mats'!F:F,'CPL Mats'!Q:Q,AR1239,'CPL Mats'!S:S,AS1239)),"")</f>
        <v>0</v>
      </c>
      <c r="AF1239" s="25" t="str">
        <f>IF(SUMIFS('Supp Consol'!S:S,'Supp Consol'!Y:Y,"Releasable",'Supp Consol'!A:A,O1239)=0,"",SUMIFS('Supp Consol'!S:S,'Supp Consol'!Y:Y,"Releasable",'Supp Consol'!A:A,O1239))</f>
        <v/>
      </c>
      <c r="AG1239" s="25" t="str">
        <f>IFERROR(INDEX('Hun Demand'!Q:Q,MATCH(O1239,'Hun Demand'!A:A,0)),"")</f>
        <v/>
      </c>
      <c r="AH1239" s="25" t="str">
        <f>IFERROR(INDEX('Hun Demand'!H:H,MATCH($O1239,'Hun Demand'!$A:$A,0)),"")</f>
        <v/>
      </c>
      <c r="AI1239" s="25" t="str">
        <f>IF(SUMIFS('Supp Consol'!AA:AA,'Supp Consol'!Z:Z,"Expires this month",'Supp Consol'!A:A,O1239)=0,"",SUMIFS('Supp Consol'!AA:AA,'Supp Consol'!Z:Z,"Expires this month",'Supp Consol'!A:A,O1239))</f>
        <v/>
      </c>
      <c r="AJ1239" s="25" t="str">
        <f>IF(SUMIFS('Supp Consol'!AA:AA,'Supp Consol'!Z:Z,"Expired Previous Months",'Supp Consol'!A:A,O1239)=0,"",SUMIFS('Supp Consol'!AA:AA,'Supp Consol'!Z:Z,"Expired Previous Months",'Supp Consol'!A:A,O1239))</f>
        <v/>
      </c>
      <c r="AK1239" s="25" t="str">
        <f>IFERROR(INDEX('Hun Release Current'!B:B,MATCH(O1239,'Hun Release Current'!A:A,0)),"")</f>
        <v/>
      </c>
      <c r="AL1239" s="25" t="str">
        <f>IF(SUMIF('Prev Aub'!A:A,O1239,'Prev Aub'!B:B)=0,"",SUMIF('Prev Aub'!A:A,O1239,'Prev Aub'!B:B))</f>
        <v/>
      </c>
      <c r="AN1239" s="25" t="s">
        <v>3790</v>
      </c>
      <c r="AO1239" s="25" t="s">
        <v>3790</v>
      </c>
      <c r="AP1239" s="25">
        <f t="shared" si="538"/>
        <v>0</v>
      </c>
      <c r="AQ1239" s="151" t="str">
        <f>IF(SUMIFS('Supp Consol'!S:S,'Supp Consol'!A:A,O1239,'Supp Consol'!I:I,"PENDING")=0,"",SUMIFS('Supp Consol'!S:S,'Supp Consol'!A:A,O1239,'Supp Consol'!I:I,"PENDING"))</f>
        <v/>
      </c>
      <c r="AR1239" s="27" t="str">
        <f t="shared" si="539"/>
        <v>VA501</v>
      </c>
      <c r="AS1239" s="27" t="str">
        <f t="shared" si="540"/>
        <v>62</v>
      </c>
      <c r="AT1239" s="27" t="str">
        <f t="shared" si="541"/>
        <v/>
      </c>
      <c r="AU1239" s="27" t="str">
        <f t="shared" si="542"/>
        <v/>
      </c>
      <c r="AV1239" s="27" t="str">
        <f t="shared" si="543"/>
        <v/>
      </c>
      <c r="AW1239" s="27" t="str">
        <f t="shared" si="544"/>
        <v/>
      </c>
      <c r="AX1239" s="27" t="str">
        <f t="shared" si="545"/>
        <v/>
      </c>
      <c r="AY1239" s="27" t="str">
        <f t="shared" si="546"/>
        <v/>
      </c>
      <c r="AZ1239" s="27" t="str">
        <f t="shared" si="547"/>
        <v/>
      </c>
      <c r="BA1239" s="27" t="str">
        <f t="shared" si="548"/>
        <v/>
      </c>
      <c r="BB1239" s="27" t="str">
        <f t="shared" si="549"/>
        <v/>
      </c>
      <c r="BC1239" s="27" t="str">
        <f t="shared" si="550"/>
        <v/>
      </c>
      <c r="BD1239" s="27" t="str">
        <f t="shared" si="551"/>
        <v/>
      </c>
      <c r="BE1239" s="27" t="str">
        <f t="shared" si="552"/>
        <v/>
      </c>
      <c r="BF1239" s="27" t="str">
        <f t="shared" si="553"/>
        <v/>
      </c>
      <c r="BG1239" s="27" t="str">
        <f t="shared" si="554"/>
        <v/>
      </c>
      <c r="BH1239" s="27" t="str">
        <f t="shared" si="555"/>
        <v/>
      </c>
      <c r="BI1239" s="27" t="str">
        <f t="shared" si="556"/>
        <v/>
      </c>
      <c r="BJ1239" s="27" t="str">
        <f t="shared" si="557"/>
        <v/>
      </c>
      <c r="BK1239" s="27" t="str">
        <f t="shared" si="558"/>
        <v/>
      </c>
      <c r="BL1239" s="27" t="str">
        <f t="shared" si="559"/>
        <v/>
      </c>
      <c r="BM1239" s="21" t="s">
        <v>5581</v>
      </c>
    </row>
    <row r="1240" spans="1:65" ht="15">
      <c r="A1240" s="25" t="str">
        <f>IFERROR(INDEX('Hun Demand'!W:W,MATCH(O1240,'Hun Demand'!A:A,0)),"")</f>
        <v/>
      </c>
      <c r="B1240" s="25" t="str">
        <f>IFERROR(INDEX('Hun Demand'!V:V,MATCH(O1240,'Hun Demand'!A:A,0)),"")</f>
        <v/>
      </c>
      <c r="C1240" s="25" t="str">
        <f>IFERROR(INDEX('Hun Demand'!U:U,MATCH(O1240,'Hun Demand'!A:A,0)),"")</f>
        <v/>
      </c>
      <c r="D1240" s="25" t="str">
        <f>IFERROR(INDEX('Hun Demand'!T:T,MATCH(O1240,'Hun Demand'!A:A,0)),"")</f>
        <v/>
      </c>
      <c r="E1240" s="25" t="str">
        <f>IFERROR(INDEX('Hun Demand'!S:S,MATCH(O1240,'Hun Demand'!A:A,0)),"")</f>
        <v/>
      </c>
      <c r="F1240" s="25" t="str">
        <f>IFERROR(INDEX('Hun Demand'!R:R,MATCH(O1240,'Hun Demand'!A:A,0)),"")</f>
        <v/>
      </c>
      <c r="G1240" s="25">
        <f>IFERROR(INDEX('Aub Demand'!W:W,MATCH(O1240,'Aub Demand'!A:A,0)),"")</f>
        <v>183</v>
      </c>
      <c r="H1240" s="25">
        <f>IFERROR(INDEX('Aub Demand'!V:V,MATCH(O1240,'Aub Demand'!A:A,0)),"")</f>
        <v>426</v>
      </c>
      <c r="I1240" s="25">
        <f>IFERROR(INDEX('Aub Demand'!U:U,MATCH(O1240,'Aub Demand'!A:A,0)),"")</f>
        <v>12</v>
      </c>
      <c r="J1240" s="25">
        <f>IFERROR(INDEX('Aub Demand'!T:T,MATCH(O1240,'Aub Demand'!A:A,0)),"")</f>
        <v>145</v>
      </c>
      <c r="K1240" s="25">
        <f>IFERROR(INDEX('Aub Demand'!S:S,MATCH(O1240,'Aub Demand'!A:A,0)),"")</f>
        <v>258</v>
      </c>
      <c r="L1240" s="25">
        <f>IFERROR(INDEX('Aub Demand'!R:R,MATCH(O1240,'Aub Demand'!A:A,0)),"")</f>
        <v>0</v>
      </c>
      <c r="O1240" s="27" t="s">
        <v>2850</v>
      </c>
      <c r="P1240" s="27" t="str">
        <f>IFERROR(INDEX('Aub Demand'!B:B,MATCH($O1240,'Aub Demand'!$A:$A,0)),"")</f>
        <v>Easy Elegance 202110</v>
      </c>
      <c r="Q1240" s="27" t="str">
        <f>IFERROR(INDEX('Aub Demand'!C:C,MATCH($O1240,'Aub Demand'!$A:$A,0)),"")</f>
        <v>INTER</v>
      </c>
      <c r="R1240" s="52">
        <f>IFERROR(IF(AR1241=AR1240,INDEX('Aub Demand'!K:K,MATCH($O1240,'Aub Demand'!$A:$A,0))-IF(AN1240="",0,AN1240)+AP1241,INDEX('Aub Demand'!K:K,MATCH($O1240,'Aub Demand'!$A:$A,0))-IF(AN1240="",0,AN1240)),"")</f>
        <v>471</v>
      </c>
      <c r="S1240" s="53">
        <f t="shared" si="532"/>
        <v>14.6</v>
      </c>
      <c r="T1240" s="52" t="str">
        <f t="shared" si="533"/>
        <v/>
      </c>
      <c r="U1240" s="52">
        <f>IFERROR(IF(AR1241=AR1240,INDEX('Aub Demand'!Q:Q,MATCH($O1240,'Aub Demand'!$A:$A,0))-IF(AN1240="",0,AN1240)+AP1241,INDEX('Aub Demand'!Q:Q,MATCH($O1240,'Aub Demand'!$A:$A,0))-IF(AN1240="",0,AN1240)),"")</f>
        <v>385</v>
      </c>
      <c r="V1240" s="53">
        <f t="shared" si="534"/>
        <v>12</v>
      </c>
      <c r="W1240" s="52" t="str">
        <f t="shared" si="535"/>
        <v/>
      </c>
      <c r="X1240" s="52">
        <f>IFERROR(IF(AND(AR1241=AR1240,AM1240&lt;&gt;""),INDEX('Aub Demand'!Q:Q,MATCH($O1240,'Aub Demand'!$A:$A,0))-IF(AN1240="",0,AN1240)+AP1241+AD1240+AL1240,IF(AR1241=AR1240,INDEX('Aub Demand'!Q:Q,MATCH($O1240,'Aub Demand'!$A:$A,0))-IF(AN1240="",0,AN1240)+AP1241+AD1240,IF(AM1240&lt;&gt;"",INDEX('Aub Demand'!Q:Q,MATCH($O1240,'Aub Demand'!$A:$A,0))-IF(AN1240="",0,AN1240)+AD1240+AL1240,INDEX('Aub Demand'!Q:Q,MATCH($O1240,'Aub Demand'!$A:$A,0))-IF(AN1240="",0,AN1240)+AD1240))),"")</f>
        <v>385</v>
      </c>
      <c r="Y1240" s="53">
        <f t="shared" si="536"/>
        <v>12</v>
      </c>
      <c r="Z1240" s="52">
        <f>IF(L1240="","",INDEX('Aub Demand'!H:H,MATCH($O1240,'Aub Demand'!$A:$A,0)))</f>
        <v>138</v>
      </c>
      <c r="AA1240" s="52">
        <f t="shared" si="537"/>
        <v>201.5</v>
      </c>
      <c r="AB1240" s="52">
        <f>IFERROR(INDEX('Aub Demand'!L:L,MATCH($O1240,'Aub Demand'!$A:$A,0)),"")</f>
        <v>235</v>
      </c>
      <c r="AC1240" s="52">
        <f>IFERROR(IF(O1240="","",SUMIFS('CPL Mats'!F:F,'CPL Mats'!Q:Q,AR1240,'CPL Mats'!S:S,AS1240)),"")</f>
        <v>3119</v>
      </c>
      <c r="AF1240" s="25" t="str">
        <f>IF(SUMIFS('Supp Consol'!S:S,'Supp Consol'!Y:Y,"Releasable",'Supp Consol'!A:A,O1240)=0,"",SUMIFS('Supp Consol'!S:S,'Supp Consol'!Y:Y,"Releasable",'Supp Consol'!A:A,O1240))</f>
        <v/>
      </c>
      <c r="AG1240" s="25" t="str">
        <f>IFERROR(INDEX('Hun Demand'!Q:Q,MATCH(O1240,'Hun Demand'!A:A,0)),"")</f>
        <v/>
      </c>
      <c r="AH1240" s="25" t="str">
        <f>IFERROR(INDEX('Hun Demand'!H:H,MATCH($O1240,'Hun Demand'!$A:$A,0)),"")</f>
        <v/>
      </c>
      <c r="AI1240" s="25" t="str">
        <f>IF(SUMIFS('Supp Consol'!AA:AA,'Supp Consol'!Z:Z,"Expires this month",'Supp Consol'!A:A,O1240)=0,"",SUMIFS('Supp Consol'!AA:AA,'Supp Consol'!Z:Z,"Expires this month",'Supp Consol'!A:A,O1240))</f>
        <v/>
      </c>
      <c r="AJ1240" s="25" t="str">
        <f>IF(SUMIFS('Supp Consol'!AA:AA,'Supp Consol'!Z:Z,"Expired Previous Months",'Supp Consol'!A:A,O1240)=0,"",SUMIFS('Supp Consol'!AA:AA,'Supp Consol'!Z:Z,"Expired Previous Months",'Supp Consol'!A:A,O1240))</f>
        <v/>
      </c>
      <c r="AK1240" s="25" t="str">
        <f>IFERROR(INDEX('Hun Release Current'!B:B,MATCH(O1240,'Hun Release Current'!A:A,0)),"")</f>
        <v/>
      </c>
      <c r="AL1240" s="25" t="str">
        <f>IF(SUMIF('Prev Aub'!A:A,O1240,'Prev Aub'!B:B)=0,"",SUMIF('Prev Aub'!A:A,O1240,'Prev Aub'!B:B))</f>
        <v/>
      </c>
      <c r="AN1240" s="25" t="s">
        <v>3790</v>
      </c>
      <c r="AO1240" s="25" t="s">
        <v>3790</v>
      </c>
      <c r="AP1240" s="25">
        <f t="shared" si="538"/>
        <v>0</v>
      </c>
      <c r="AQ1240" s="151" t="str">
        <f>IF(SUMIFS('Supp Consol'!S:S,'Supp Consol'!A:A,O1240,'Supp Consol'!I:I,"PENDING")=0,"",SUMIFS('Supp Consol'!S:S,'Supp Consol'!A:A,O1240,'Supp Consol'!I:I,"PENDING"))</f>
        <v/>
      </c>
      <c r="AR1240" s="27" t="str">
        <f t="shared" si="539"/>
        <v>VA502</v>
      </c>
      <c r="AS1240" s="27" t="str">
        <f t="shared" si="540"/>
        <v>50</v>
      </c>
      <c r="AT1240" s="27" t="str">
        <f t="shared" si="541"/>
        <v/>
      </c>
      <c r="AU1240" s="27" t="str">
        <f t="shared" si="542"/>
        <v/>
      </c>
      <c r="AV1240" s="27" t="str">
        <f t="shared" si="543"/>
        <v/>
      </c>
      <c r="AW1240" s="27" t="str">
        <f t="shared" si="544"/>
        <v/>
      </c>
      <c r="AX1240" s="27" t="str">
        <f t="shared" si="545"/>
        <v/>
      </c>
      <c r="AY1240" s="27" t="str">
        <f t="shared" si="546"/>
        <v/>
      </c>
      <c r="AZ1240" s="27" t="str">
        <f t="shared" si="547"/>
        <v/>
      </c>
      <c r="BA1240" s="27" t="str">
        <f t="shared" si="548"/>
        <v/>
      </c>
      <c r="BB1240" s="27" t="str">
        <f t="shared" si="549"/>
        <v/>
      </c>
      <c r="BC1240" s="27" t="str">
        <f t="shared" si="550"/>
        <v/>
      </c>
      <c r="BD1240" s="27" t="str">
        <f t="shared" si="551"/>
        <v/>
      </c>
      <c r="BE1240" s="27" t="str">
        <f t="shared" si="552"/>
        <v/>
      </c>
      <c r="BF1240" s="27" t="str">
        <f t="shared" si="553"/>
        <v/>
      </c>
      <c r="BG1240" s="27" t="str">
        <f t="shared" si="554"/>
        <v/>
      </c>
      <c r="BH1240" s="27" t="str">
        <f t="shared" si="555"/>
        <v/>
      </c>
      <c r="BI1240" s="27" t="str">
        <f t="shared" si="556"/>
        <v/>
      </c>
      <c r="BJ1240" s="27" t="str">
        <f t="shared" si="557"/>
        <v/>
      </c>
      <c r="BK1240" s="27" t="str">
        <f t="shared" si="558"/>
        <v/>
      </c>
      <c r="BL1240" s="27" t="str">
        <f t="shared" si="559"/>
        <v/>
      </c>
      <c r="BM1240" s="21" t="s">
        <v>5581</v>
      </c>
    </row>
    <row r="1241" spans="1:65" ht="15">
      <c r="A1241" s="25" t="str">
        <f>IFERROR(INDEX('Hun Demand'!W:W,MATCH(O1241,'Hun Demand'!A:A,0)),"")</f>
        <v/>
      </c>
      <c r="B1241" s="25" t="str">
        <f>IFERROR(INDEX('Hun Demand'!V:V,MATCH(O1241,'Hun Demand'!A:A,0)),"")</f>
        <v/>
      </c>
      <c r="C1241" s="25" t="str">
        <f>IFERROR(INDEX('Hun Demand'!U:U,MATCH(O1241,'Hun Demand'!A:A,0)),"")</f>
        <v/>
      </c>
      <c r="D1241" s="25" t="str">
        <f>IFERROR(INDEX('Hun Demand'!T:T,MATCH(O1241,'Hun Demand'!A:A,0)),"")</f>
        <v/>
      </c>
      <c r="E1241" s="25" t="str">
        <f>IFERROR(INDEX('Hun Demand'!S:S,MATCH(O1241,'Hun Demand'!A:A,0)),"")</f>
        <v/>
      </c>
      <c r="F1241" s="25" t="str">
        <f>IFERROR(INDEX('Hun Demand'!R:R,MATCH(O1241,'Hun Demand'!A:A,0)),"")</f>
        <v/>
      </c>
      <c r="G1241" s="25">
        <f>IFERROR(INDEX('Aub Demand'!W:W,MATCH(O1241,'Aub Demand'!A:A,0)),"")</f>
        <v>112</v>
      </c>
      <c r="H1241" s="25">
        <f>IFERROR(INDEX('Aub Demand'!V:V,MATCH(O1241,'Aub Demand'!A:A,0)),"")</f>
        <v>0</v>
      </c>
      <c r="I1241" s="25">
        <f>IFERROR(INDEX('Aub Demand'!U:U,MATCH(O1241,'Aub Demand'!A:A,0)),"")</f>
        <v>0</v>
      </c>
      <c r="J1241" s="25">
        <f>IFERROR(INDEX('Aub Demand'!T:T,MATCH(O1241,'Aub Demand'!A:A,0)),"")</f>
        <v>51</v>
      </c>
      <c r="K1241" s="25">
        <f>IFERROR(INDEX('Aub Demand'!S:S,MATCH(O1241,'Aub Demand'!A:A,0)),"")</f>
        <v>86</v>
      </c>
      <c r="L1241" s="25">
        <f>IFERROR(INDEX('Aub Demand'!R:R,MATCH(O1241,'Aub Demand'!A:A,0)),"")</f>
        <v>0</v>
      </c>
      <c r="O1241" s="27" t="s">
        <v>2852</v>
      </c>
      <c r="P1241" s="27" t="str">
        <f>IFERROR(INDEX('Aub Demand'!B:B,MATCH($O1241,'Aub Demand'!$A:$A,0)),"")</f>
        <v>Easy Elegance 202110</v>
      </c>
      <c r="Q1241" s="27" t="str">
        <f>IFERROR(INDEX('Aub Demand'!C:C,MATCH($O1241,'Aub Demand'!$A:$A,0)),"")</f>
        <v>INTER</v>
      </c>
      <c r="R1241" s="52">
        <f>IFERROR(IF(AR1242=AR1241,INDEX('Aub Demand'!K:K,MATCH($O1241,'Aub Demand'!$A:$A,0))-IF(AN1241="",0,AN1241)+AP1242,INDEX('Aub Demand'!K:K,MATCH($O1241,'Aub Demand'!$A:$A,0))-IF(AN1241="",0,AN1241)),"")</f>
        <v>1216</v>
      </c>
      <c r="S1241" s="53">
        <f t="shared" si="532"/>
        <v>113.3</v>
      </c>
      <c r="T1241" s="52" t="str">
        <f t="shared" si="533"/>
        <v/>
      </c>
      <c r="U1241" s="52">
        <f>IFERROR(IF(AR1242=AR1241,INDEX('Aub Demand'!Q:Q,MATCH($O1241,'Aub Demand'!$A:$A,0))-IF(AN1241="",0,AN1241)+AP1242,INDEX('Aub Demand'!Q:Q,MATCH($O1241,'Aub Demand'!$A:$A,0))-IF(AN1241="",0,AN1241)),"")</f>
        <v>1176</v>
      </c>
      <c r="V1241" s="53">
        <f t="shared" si="534"/>
        <v>109.6</v>
      </c>
      <c r="W1241" s="52" t="str">
        <f t="shared" si="535"/>
        <v/>
      </c>
      <c r="X1241" s="52">
        <f>IFERROR(IF(AND(AR1242=AR1241,AM1241&lt;&gt;""),INDEX('Aub Demand'!Q:Q,MATCH($O1241,'Aub Demand'!$A:$A,0))-IF(AN1241="",0,AN1241)+AP1242+AD1241+AL1241,IF(AR1242=AR1241,INDEX('Aub Demand'!Q:Q,MATCH($O1241,'Aub Demand'!$A:$A,0))-IF(AN1241="",0,AN1241)+AP1242+AD1241,IF(AM1241&lt;&gt;"",INDEX('Aub Demand'!Q:Q,MATCH($O1241,'Aub Demand'!$A:$A,0))-IF(AN1241="",0,AN1241)+AD1241+AL1241,INDEX('Aub Demand'!Q:Q,MATCH($O1241,'Aub Demand'!$A:$A,0))-IF(AN1241="",0,AN1241)+AD1241))),"")</f>
        <v>1176</v>
      </c>
      <c r="Y1241" s="53">
        <f t="shared" si="536"/>
        <v>109.6</v>
      </c>
      <c r="Z1241" s="52">
        <f>IF(L1241="","",INDEX('Aub Demand'!H:H,MATCH($O1241,'Aub Demand'!$A:$A,0)))</f>
        <v>46</v>
      </c>
      <c r="AA1241" s="52">
        <f t="shared" si="537"/>
        <v>68.5</v>
      </c>
      <c r="AB1241" s="52">
        <f>IFERROR(INDEX('Aub Demand'!L:L,MATCH($O1241,'Aub Demand'!$A:$A,0)),"")</f>
        <v>0</v>
      </c>
      <c r="AC1241" s="52">
        <f>IFERROR(IF(O1241="","",SUMIFS('CPL Mats'!F:F,'CPL Mats'!Q:Q,AR1241,'CPL Mats'!S:S,AS1241)),"")</f>
        <v>0</v>
      </c>
      <c r="AF1241" s="25" t="str">
        <f>IF(SUMIFS('Supp Consol'!S:S,'Supp Consol'!Y:Y,"Releasable",'Supp Consol'!A:A,O1241)=0,"",SUMIFS('Supp Consol'!S:S,'Supp Consol'!Y:Y,"Releasable",'Supp Consol'!A:A,O1241))</f>
        <v/>
      </c>
      <c r="AG1241" s="25" t="str">
        <f>IFERROR(INDEX('Hun Demand'!Q:Q,MATCH(O1241,'Hun Demand'!A:A,0)),"")</f>
        <v/>
      </c>
      <c r="AH1241" s="25" t="str">
        <f>IFERROR(INDEX('Hun Demand'!H:H,MATCH($O1241,'Hun Demand'!$A:$A,0)),"")</f>
        <v/>
      </c>
      <c r="AI1241" s="25" t="str">
        <f>IF(SUMIFS('Supp Consol'!AA:AA,'Supp Consol'!Z:Z,"Expires this month",'Supp Consol'!A:A,O1241)=0,"",SUMIFS('Supp Consol'!AA:AA,'Supp Consol'!Z:Z,"Expires this month",'Supp Consol'!A:A,O1241))</f>
        <v/>
      </c>
      <c r="AJ1241" s="25" t="str">
        <f>IF(SUMIFS('Supp Consol'!AA:AA,'Supp Consol'!Z:Z,"Expired Previous Months",'Supp Consol'!A:A,O1241)=0,"",SUMIFS('Supp Consol'!AA:AA,'Supp Consol'!Z:Z,"Expired Previous Months",'Supp Consol'!A:A,O1241))</f>
        <v/>
      </c>
      <c r="AK1241" s="25" t="str">
        <f>IFERROR(INDEX('Hun Release Current'!B:B,MATCH(O1241,'Hun Release Current'!A:A,0)),"")</f>
        <v/>
      </c>
      <c r="AL1241" s="25" t="str">
        <f>IF(SUMIF('Prev Aub'!A:A,O1241,'Prev Aub'!B:B)=0,"",SUMIF('Prev Aub'!A:A,O1241,'Prev Aub'!B:B))</f>
        <v/>
      </c>
      <c r="AN1241" s="25" t="s">
        <v>3790</v>
      </c>
      <c r="AO1241" s="25" t="s">
        <v>3790</v>
      </c>
      <c r="AP1241" s="25">
        <f t="shared" si="538"/>
        <v>0</v>
      </c>
      <c r="AQ1241" s="151" t="str">
        <f>IF(SUMIFS('Supp Consol'!S:S,'Supp Consol'!A:A,O1241,'Supp Consol'!I:I,"PENDING")=0,"",SUMIFS('Supp Consol'!S:S,'Supp Consol'!A:A,O1241,'Supp Consol'!I:I,"PENDING"))</f>
        <v/>
      </c>
      <c r="AR1241" s="27" t="str">
        <f t="shared" si="539"/>
        <v>VA502</v>
      </c>
      <c r="AS1241" s="27" t="str">
        <f t="shared" si="540"/>
        <v>62</v>
      </c>
      <c r="AT1241" s="27" t="str">
        <f t="shared" si="541"/>
        <v/>
      </c>
      <c r="AU1241" s="27" t="str">
        <f t="shared" si="542"/>
        <v/>
      </c>
      <c r="AV1241" s="27" t="str">
        <f t="shared" si="543"/>
        <v/>
      </c>
      <c r="AW1241" s="27" t="str">
        <f t="shared" si="544"/>
        <v/>
      </c>
      <c r="AX1241" s="27" t="str">
        <f t="shared" si="545"/>
        <v/>
      </c>
      <c r="AY1241" s="27" t="str">
        <f t="shared" si="546"/>
        <v/>
      </c>
      <c r="AZ1241" s="27" t="str">
        <f t="shared" si="547"/>
        <v/>
      </c>
      <c r="BA1241" s="27" t="str">
        <f t="shared" si="548"/>
        <v/>
      </c>
      <c r="BB1241" s="27" t="str">
        <f t="shared" si="549"/>
        <v/>
      </c>
      <c r="BC1241" s="27" t="str">
        <f t="shared" si="550"/>
        <v/>
      </c>
      <c r="BD1241" s="27" t="str">
        <f t="shared" si="551"/>
        <v/>
      </c>
      <c r="BE1241" s="27" t="str">
        <f t="shared" si="552"/>
        <v/>
      </c>
      <c r="BF1241" s="27" t="str">
        <f t="shared" si="553"/>
        <v/>
      </c>
      <c r="BG1241" s="27" t="str">
        <f t="shared" si="554"/>
        <v/>
      </c>
      <c r="BH1241" s="27" t="str">
        <f t="shared" si="555"/>
        <v/>
      </c>
      <c r="BI1241" s="27" t="str">
        <f t="shared" si="556"/>
        <v/>
      </c>
      <c r="BJ1241" s="27" t="str">
        <f t="shared" si="557"/>
        <v/>
      </c>
      <c r="BK1241" s="27" t="str">
        <f t="shared" si="558"/>
        <v/>
      </c>
      <c r="BL1241" s="27" t="str">
        <f t="shared" si="559"/>
        <v/>
      </c>
      <c r="BM1241" s="21" t="s">
        <v>5581</v>
      </c>
    </row>
    <row r="1242" spans="1:65" ht="15">
      <c r="A1242" s="25" t="str">
        <f>IFERROR(INDEX('Hun Demand'!W:W,MATCH(O1242,'Hun Demand'!A:A,0)),"")</f>
        <v/>
      </c>
      <c r="B1242" s="25" t="str">
        <f>IFERROR(INDEX('Hun Demand'!V:V,MATCH(O1242,'Hun Demand'!A:A,0)),"")</f>
        <v/>
      </c>
      <c r="C1242" s="25" t="str">
        <f>IFERROR(INDEX('Hun Demand'!U:U,MATCH(O1242,'Hun Demand'!A:A,0)),"")</f>
        <v/>
      </c>
      <c r="D1242" s="25" t="str">
        <f>IFERROR(INDEX('Hun Demand'!T:T,MATCH(O1242,'Hun Demand'!A:A,0)),"")</f>
        <v/>
      </c>
      <c r="E1242" s="25" t="str">
        <f>IFERROR(INDEX('Hun Demand'!S:S,MATCH(O1242,'Hun Demand'!A:A,0)),"")</f>
        <v/>
      </c>
      <c r="F1242" s="25" t="str">
        <f>IFERROR(INDEX('Hun Demand'!R:R,MATCH(O1242,'Hun Demand'!A:A,0)),"")</f>
        <v/>
      </c>
      <c r="G1242" s="25">
        <f>IFERROR(INDEX('Aub Demand'!W:W,MATCH(O1242,'Aub Demand'!A:A,0)),"")</f>
        <v>135</v>
      </c>
      <c r="H1242" s="25">
        <f>IFERROR(INDEX('Aub Demand'!V:V,MATCH(O1242,'Aub Demand'!A:A,0)),"")</f>
        <v>343</v>
      </c>
      <c r="I1242" s="25">
        <f>IFERROR(INDEX('Aub Demand'!U:U,MATCH(O1242,'Aub Demand'!A:A,0)),"")</f>
        <v>0</v>
      </c>
      <c r="J1242" s="25">
        <f>IFERROR(INDEX('Aub Demand'!T:T,MATCH(O1242,'Aub Demand'!A:A,0)),"")</f>
        <v>0</v>
      </c>
      <c r="K1242" s="25">
        <f>IFERROR(INDEX('Aub Demand'!S:S,MATCH(O1242,'Aub Demand'!A:A,0)),"")</f>
        <v>67</v>
      </c>
      <c r="L1242" s="25">
        <f>IFERROR(INDEX('Aub Demand'!R:R,MATCH(O1242,'Aub Demand'!A:A,0)),"")</f>
        <v>0</v>
      </c>
      <c r="O1242" s="27" t="s">
        <v>2853</v>
      </c>
      <c r="P1242" s="27" t="str">
        <f>IFERROR(INDEX('Aub Demand'!B:B,MATCH($O1242,'Aub Demand'!$A:$A,0)),"")</f>
        <v>Calm Distinction 202</v>
      </c>
      <c r="Q1242" s="27" t="str">
        <f>IFERROR(INDEX('Aub Demand'!C:C,MATCH($O1242,'Aub Demand'!$A:$A,0)),"")</f>
        <v>INTER</v>
      </c>
      <c r="R1242" s="52">
        <f>IFERROR(IF(AR1243=AR1242,INDEX('Aub Demand'!K:K,MATCH($O1242,'Aub Demand'!$A:$A,0))-IF(AN1242="",0,AN1242)+AP1243,INDEX('Aub Demand'!K:K,MATCH($O1242,'Aub Demand'!$A:$A,0))-IF(AN1242="",0,AN1242)),"")</f>
        <v>2143</v>
      </c>
      <c r="S1242" s="53">
        <f t="shared" si="532"/>
        <v>417.5</v>
      </c>
      <c r="T1242" s="52" t="str">
        <f t="shared" si="533"/>
        <v/>
      </c>
      <c r="U1242" s="52">
        <f>IFERROR(IF(AR1243=AR1242,INDEX('Aub Demand'!Q:Q,MATCH($O1242,'Aub Demand'!$A:$A,0))-IF(AN1242="",0,AN1242)+AP1243,INDEX('Aub Demand'!Q:Q,MATCH($O1242,'Aub Demand'!$A:$A,0))-IF(AN1242="",0,AN1242)),"")</f>
        <v>2038</v>
      </c>
      <c r="V1242" s="53">
        <f t="shared" si="534"/>
        <v>397</v>
      </c>
      <c r="W1242" s="52" t="str">
        <f t="shared" si="535"/>
        <v/>
      </c>
      <c r="X1242" s="52">
        <f>IFERROR(IF(AND(AR1243=AR1242,AM1242&lt;&gt;""),INDEX('Aub Demand'!Q:Q,MATCH($O1242,'Aub Demand'!$A:$A,0))-IF(AN1242="",0,AN1242)+AP1243+AD1242+AL1242,IF(AR1243=AR1242,INDEX('Aub Demand'!Q:Q,MATCH($O1242,'Aub Demand'!$A:$A,0))-IF(AN1242="",0,AN1242)+AP1243+AD1242,IF(AM1242&lt;&gt;"",INDEX('Aub Demand'!Q:Q,MATCH($O1242,'Aub Demand'!$A:$A,0))-IF(AN1242="",0,AN1242)+AD1242+AL1242,INDEX('Aub Demand'!Q:Q,MATCH($O1242,'Aub Demand'!$A:$A,0))-IF(AN1242="",0,AN1242)+AD1242))),"")</f>
        <v>2038</v>
      </c>
      <c r="Y1242" s="53">
        <f t="shared" si="536"/>
        <v>397</v>
      </c>
      <c r="Z1242" s="52">
        <f>IF(L1242="","",INDEX('Aub Demand'!H:H,MATCH($O1242,'Aub Demand'!$A:$A,0)))</f>
        <v>22</v>
      </c>
      <c r="AA1242" s="52" t="str">
        <f t="shared" si="537"/>
        <v>-spike-</v>
      </c>
      <c r="AB1242" s="52">
        <f>IFERROR(INDEX('Aub Demand'!L:L,MATCH($O1242,'Aub Demand'!$A:$A,0)),"")</f>
        <v>132</v>
      </c>
      <c r="AC1242" s="52">
        <f>IFERROR(IF(O1242="","",SUMIFS('CPL Mats'!F:F,'CPL Mats'!Q:Q,AR1242,'CPL Mats'!S:S,AS1242)),"")</f>
        <v>1000</v>
      </c>
      <c r="AF1242" s="25" t="str">
        <f>IF(SUMIFS('Supp Consol'!S:S,'Supp Consol'!Y:Y,"Releasable",'Supp Consol'!A:A,O1242)=0,"",SUMIFS('Supp Consol'!S:S,'Supp Consol'!Y:Y,"Releasable",'Supp Consol'!A:A,O1242))</f>
        <v/>
      </c>
      <c r="AG1242" s="25" t="str">
        <f>IFERROR(INDEX('Hun Demand'!Q:Q,MATCH(O1242,'Hun Demand'!A:A,0)),"")</f>
        <v/>
      </c>
      <c r="AH1242" s="25" t="str">
        <f>IFERROR(INDEX('Hun Demand'!H:H,MATCH($O1242,'Hun Demand'!$A:$A,0)),"")</f>
        <v/>
      </c>
      <c r="AI1242" s="25" t="str">
        <f>IF(SUMIFS('Supp Consol'!AA:AA,'Supp Consol'!Z:Z,"Expires this month",'Supp Consol'!A:A,O1242)=0,"",SUMIFS('Supp Consol'!AA:AA,'Supp Consol'!Z:Z,"Expires this month",'Supp Consol'!A:A,O1242))</f>
        <v/>
      </c>
      <c r="AJ1242" s="25" t="str">
        <f>IF(SUMIFS('Supp Consol'!AA:AA,'Supp Consol'!Z:Z,"Expired Previous Months",'Supp Consol'!A:A,O1242)=0,"",SUMIFS('Supp Consol'!AA:AA,'Supp Consol'!Z:Z,"Expired Previous Months",'Supp Consol'!A:A,O1242))</f>
        <v/>
      </c>
      <c r="AK1242" s="25" t="str">
        <f>IFERROR(INDEX('Hun Release Current'!B:B,MATCH(O1242,'Hun Release Current'!A:A,0)),"")</f>
        <v/>
      </c>
      <c r="AL1242" s="25" t="str">
        <f>IF(SUMIF('Prev Aub'!A:A,O1242,'Prev Aub'!B:B)=0,"",SUMIF('Prev Aub'!A:A,O1242,'Prev Aub'!B:B))</f>
        <v/>
      </c>
      <c r="AN1242" s="25" t="s">
        <v>3790</v>
      </c>
      <c r="AO1242" s="25" t="s">
        <v>3790</v>
      </c>
      <c r="AP1242" s="25">
        <f t="shared" si="538"/>
        <v>0</v>
      </c>
      <c r="AQ1242" s="151" t="str">
        <f>IF(SUMIFS('Supp Consol'!S:S,'Supp Consol'!A:A,O1242,'Supp Consol'!I:I,"PENDING")=0,"",SUMIFS('Supp Consol'!S:S,'Supp Consol'!A:A,O1242,'Supp Consol'!I:I,"PENDING"))</f>
        <v/>
      </c>
      <c r="AR1242" s="27" t="str">
        <f t="shared" si="539"/>
        <v>VA601</v>
      </c>
      <c r="AS1242" s="27" t="str">
        <f t="shared" si="540"/>
        <v>50</v>
      </c>
      <c r="AT1242" s="27" t="str">
        <f t="shared" si="541"/>
        <v/>
      </c>
      <c r="AU1242" s="27" t="str">
        <f t="shared" si="542"/>
        <v/>
      </c>
      <c r="AV1242" s="27" t="str">
        <f t="shared" si="543"/>
        <v/>
      </c>
      <c r="AW1242" s="27" t="str">
        <f t="shared" si="544"/>
        <v/>
      </c>
      <c r="AX1242" s="27" t="str">
        <f t="shared" si="545"/>
        <v/>
      </c>
      <c r="AY1242" s="27" t="str">
        <f t="shared" si="546"/>
        <v/>
      </c>
      <c r="AZ1242" s="27" t="str">
        <f t="shared" si="547"/>
        <v/>
      </c>
      <c r="BA1242" s="27" t="str">
        <f t="shared" si="548"/>
        <v/>
      </c>
      <c r="BB1242" s="27" t="str">
        <f t="shared" si="549"/>
        <v/>
      </c>
      <c r="BC1242" s="27" t="str">
        <f t="shared" si="550"/>
        <v/>
      </c>
      <c r="BD1242" s="27" t="str">
        <f t="shared" si="551"/>
        <v/>
      </c>
      <c r="BE1242" s="27" t="str">
        <f t="shared" si="552"/>
        <v/>
      </c>
      <c r="BF1242" s="27" t="str">
        <f t="shared" si="553"/>
        <v/>
      </c>
      <c r="BG1242" s="27" t="str">
        <f t="shared" si="554"/>
        <v/>
      </c>
      <c r="BH1242" s="27" t="str">
        <f t="shared" si="555"/>
        <v/>
      </c>
      <c r="BI1242" s="27" t="str">
        <f t="shared" si="556"/>
        <v/>
      </c>
      <c r="BJ1242" s="27" t="str">
        <f t="shared" si="557"/>
        <v/>
      </c>
      <c r="BK1242" s="27" t="str">
        <f t="shared" si="558"/>
        <v/>
      </c>
      <c r="BL1242" s="27" t="str">
        <f t="shared" si="559"/>
        <v/>
      </c>
      <c r="BM1242" s="21" t="s">
        <v>5581</v>
      </c>
    </row>
    <row r="1243" spans="1:65" ht="15">
      <c r="A1243" s="25" t="str">
        <f>IFERROR(INDEX('Hun Demand'!W:W,MATCH(O1243,'Hun Demand'!A:A,0)),"")</f>
        <v/>
      </c>
      <c r="B1243" s="25" t="str">
        <f>IFERROR(INDEX('Hun Demand'!V:V,MATCH(O1243,'Hun Demand'!A:A,0)),"")</f>
        <v/>
      </c>
      <c r="C1243" s="25" t="str">
        <f>IFERROR(INDEX('Hun Demand'!U:U,MATCH(O1243,'Hun Demand'!A:A,0)),"")</f>
        <v/>
      </c>
      <c r="D1243" s="25" t="str">
        <f>IFERROR(INDEX('Hun Demand'!T:T,MATCH(O1243,'Hun Demand'!A:A,0)),"")</f>
        <v/>
      </c>
      <c r="E1243" s="25" t="str">
        <f>IFERROR(INDEX('Hun Demand'!S:S,MATCH(O1243,'Hun Demand'!A:A,0)),"")</f>
        <v/>
      </c>
      <c r="F1243" s="25" t="str">
        <f>IFERROR(INDEX('Hun Demand'!R:R,MATCH(O1243,'Hun Demand'!A:A,0)),"")</f>
        <v/>
      </c>
      <c r="G1243" s="25">
        <f>IFERROR(INDEX('Aub Demand'!W:W,MATCH(O1243,'Aub Demand'!A:A,0)),"")</f>
        <v>308</v>
      </c>
      <c r="H1243" s="25">
        <f>IFERROR(INDEX('Aub Demand'!V:V,MATCH(O1243,'Aub Demand'!A:A,0)),"")</f>
        <v>37</v>
      </c>
      <c r="I1243" s="25">
        <f>IFERROR(INDEX('Aub Demand'!U:U,MATCH(O1243,'Aub Demand'!A:A,0)),"")</f>
        <v>125</v>
      </c>
      <c r="J1243" s="25">
        <f>IFERROR(INDEX('Aub Demand'!T:T,MATCH(O1243,'Aub Demand'!A:A,0)),"")</f>
        <v>0</v>
      </c>
      <c r="K1243" s="25">
        <f>IFERROR(INDEX('Aub Demand'!S:S,MATCH(O1243,'Aub Demand'!A:A,0)),"")</f>
        <v>59</v>
      </c>
      <c r="L1243" s="25">
        <f>IFERROR(INDEX('Aub Demand'!R:R,MATCH(O1243,'Aub Demand'!A:A,0)),"")</f>
        <v>0</v>
      </c>
      <c r="O1243" s="27" t="s">
        <v>2855</v>
      </c>
      <c r="P1243" s="27" t="str">
        <f>IFERROR(INDEX('Aub Demand'!B:B,MATCH($O1243,'Aub Demand'!$A:$A,0)),"")</f>
        <v>Calm Distinction 202</v>
      </c>
      <c r="Q1243" s="27" t="str">
        <f>IFERROR(INDEX('Aub Demand'!C:C,MATCH($O1243,'Aub Demand'!$A:$A,0)),"")</f>
        <v>INTER</v>
      </c>
      <c r="R1243" s="52">
        <f>IFERROR(IF(AR1244=AR1243,INDEX('Aub Demand'!K:K,MATCH($O1243,'Aub Demand'!$A:$A,0))-IF(AN1243="",0,AN1243)+AP1244,INDEX('Aub Demand'!K:K,MATCH($O1243,'Aub Demand'!$A:$A,0))-IF(AN1243="",0,AN1243)),"")</f>
        <v>939</v>
      </c>
      <c r="S1243" s="53">
        <f t="shared" si="532"/>
        <v>66</v>
      </c>
      <c r="T1243" s="52" t="str">
        <f t="shared" si="533"/>
        <v/>
      </c>
      <c r="U1243" s="52">
        <f>IFERROR(IF(AR1244=AR1243,INDEX('Aub Demand'!Q:Q,MATCH($O1243,'Aub Demand'!$A:$A,0))-IF(AN1243="",0,AN1243)+AP1244,INDEX('Aub Demand'!Q:Q,MATCH($O1243,'Aub Demand'!$A:$A,0))-IF(AN1243="",0,AN1243)),"")</f>
        <v>863</v>
      </c>
      <c r="V1243" s="53">
        <f t="shared" si="534"/>
        <v>60.6</v>
      </c>
      <c r="W1243" s="52" t="str">
        <f t="shared" si="535"/>
        <v/>
      </c>
      <c r="X1243" s="52">
        <f>IFERROR(IF(AND(AR1244=AR1243,AM1243&lt;&gt;""),INDEX('Aub Demand'!Q:Q,MATCH($O1243,'Aub Demand'!$A:$A,0))-IF(AN1243="",0,AN1243)+AP1244+AD1243+AL1243,IF(AR1244=AR1243,INDEX('Aub Demand'!Q:Q,MATCH($O1243,'Aub Demand'!$A:$A,0))-IF(AN1243="",0,AN1243)+AP1244+AD1243,IF(AM1243&lt;&gt;"",INDEX('Aub Demand'!Q:Q,MATCH($O1243,'Aub Demand'!$A:$A,0))-IF(AN1243="",0,AN1243)+AD1243+AL1243,INDEX('Aub Demand'!Q:Q,MATCH($O1243,'Aub Demand'!$A:$A,0))-IF(AN1243="",0,AN1243)+AD1243))),"")</f>
        <v>863</v>
      </c>
      <c r="Y1243" s="53">
        <f t="shared" si="536"/>
        <v>60.6</v>
      </c>
      <c r="Z1243" s="52">
        <f>IF(L1243="","",INDEX('Aub Demand'!H:H,MATCH($O1243,'Aub Demand'!$A:$A,0)))</f>
        <v>61</v>
      </c>
      <c r="AA1243" s="52">
        <f t="shared" si="537"/>
        <v>92</v>
      </c>
      <c r="AB1243" s="52">
        <f>IFERROR(INDEX('Aub Demand'!L:L,MATCH($O1243,'Aub Demand'!$A:$A,0)),"")</f>
        <v>49</v>
      </c>
      <c r="AC1243" s="52">
        <f>IFERROR(IF(O1243="","",SUMIFS('CPL Mats'!F:F,'CPL Mats'!Q:Q,AR1243,'CPL Mats'!S:S,AS1243)),"")</f>
        <v>0</v>
      </c>
      <c r="AF1243" s="25" t="str">
        <f>IF(SUMIFS('Supp Consol'!S:S,'Supp Consol'!Y:Y,"Releasable",'Supp Consol'!A:A,O1243)=0,"",SUMIFS('Supp Consol'!S:S,'Supp Consol'!Y:Y,"Releasable",'Supp Consol'!A:A,O1243))</f>
        <v/>
      </c>
      <c r="AG1243" s="25" t="str">
        <f>IFERROR(INDEX('Hun Demand'!Q:Q,MATCH(O1243,'Hun Demand'!A:A,0)),"")</f>
        <v/>
      </c>
      <c r="AH1243" s="25" t="str">
        <f>IFERROR(INDEX('Hun Demand'!H:H,MATCH($O1243,'Hun Demand'!$A:$A,0)),"")</f>
        <v/>
      </c>
      <c r="AI1243" s="25" t="str">
        <f>IF(SUMIFS('Supp Consol'!AA:AA,'Supp Consol'!Z:Z,"Expires this month",'Supp Consol'!A:A,O1243)=0,"",SUMIFS('Supp Consol'!AA:AA,'Supp Consol'!Z:Z,"Expires this month",'Supp Consol'!A:A,O1243))</f>
        <v/>
      </c>
      <c r="AJ1243" s="25" t="str">
        <f>IF(SUMIFS('Supp Consol'!AA:AA,'Supp Consol'!Z:Z,"Expired Previous Months",'Supp Consol'!A:A,O1243)=0,"",SUMIFS('Supp Consol'!AA:AA,'Supp Consol'!Z:Z,"Expired Previous Months",'Supp Consol'!A:A,O1243))</f>
        <v/>
      </c>
      <c r="AK1243" s="25" t="str">
        <f>IFERROR(INDEX('Hun Release Current'!B:B,MATCH(O1243,'Hun Release Current'!A:A,0)),"")</f>
        <v/>
      </c>
      <c r="AL1243" s="25" t="str">
        <f>IF(SUMIF('Prev Aub'!A:A,O1243,'Prev Aub'!B:B)=0,"",SUMIF('Prev Aub'!A:A,O1243,'Prev Aub'!B:B))</f>
        <v/>
      </c>
      <c r="AN1243" s="25" t="s">
        <v>3790</v>
      </c>
      <c r="AO1243" s="25" t="s">
        <v>3790</v>
      </c>
      <c r="AP1243" s="25">
        <f t="shared" si="538"/>
        <v>0</v>
      </c>
      <c r="AQ1243" s="151" t="str">
        <f>IF(SUMIFS('Supp Consol'!S:S,'Supp Consol'!A:A,O1243,'Supp Consol'!I:I,"PENDING")=0,"",SUMIFS('Supp Consol'!S:S,'Supp Consol'!A:A,O1243,'Supp Consol'!I:I,"PENDING"))</f>
        <v/>
      </c>
      <c r="AR1243" s="27" t="str">
        <f t="shared" si="539"/>
        <v>VA601</v>
      </c>
      <c r="AS1243" s="27" t="str">
        <f t="shared" si="540"/>
        <v>62</v>
      </c>
      <c r="AT1243" s="27" t="str">
        <f t="shared" si="541"/>
        <v/>
      </c>
      <c r="AU1243" s="27" t="str">
        <f t="shared" si="542"/>
        <v/>
      </c>
      <c r="AV1243" s="27" t="str">
        <f t="shared" si="543"/>
        <v/>
      </c>
      <c r="AW1243" s="27" t="str">
        <f t="shared" si="544"/>
        <v/>
      </c>
      <c r="AX1243" s="27" t="str">
        <f t="shared" si="545"/>
        <v/>
      </c>
      <c r="AY1243" s="27" t="str">
        <f t="shared" si="546"/>
        <v/>
      </c>
      <c r="AZ1243" s="27" t="str">
        <f t="shared" si="547"/>
        <v/>
      </c>
      <c r="BA1243" s="27" t="str">
        <f t="shared" si="548"/>
        <v/>
      </c>
      <c r="BB1243" s="27" t="str">
        <f t="shared" si="549"/>
        <v/>
      </c>
      <c r="BC1243" s="27" t="str">
        <f t="shared" si="550"/>
        <v/>
      </c>
      <c r="BD1243" s="27" t="str">
        <f t="shared" si="551"/>
        <v/>
      </c>
      <c r="BE1243" s="27" t="str">
        <f t="shared" si="552"/>
        <v/>
      </c>
      <c r="BF1243" s="27" t="str">
        <f t="shared" si="553"/>
        <v/>
      </c>
      <c r="BG1243" s="27" t="str">
        <f t="shared" si="554"/>
        <v/>
      </c>
      <c r="BH1243" s="27" t="str">
        <f t="shared" si="555"/>
        <v/>
      </c>
      <c r="BI1243" s="27" t="str">
        <f t="shared" si="556"/>
        <v/>
      </c>
      <c r="BJ1243" s="27" t="str">
        <f t="shared" si="557"/>
        <v/>
      </c>
      <c r="BK1243" s="27" t="str">
        <f t="shared" si="558"/>
        <v/>
      </c>
      <c r="BL1243" s="27" t="str">
        <f t="shared" si="559"/>
        <v/>
      </c>
      <c r="BM1243" s="21" t="s">
        <v>5581</v>
      </c>
    </row>
    <row r="1244" spans="1:65" ht="15">
      <c r="A1244" s="25">
        <f>IFERROR(INDEX('Hun Demand'!W:W,MATCH(O1244,'Hun Demand'!A:A,0)),"")</f>
        <v>0</v>
      </c>
      <c r="B1244" s="25">
        <f>IFERROR(INDEX('Hun Demand'!V:V,MATCH(O1244,'Hun Demand'!A:A,0)),"")</f>
        <v>114</v>
      </c>
      <c r="C1244" s="25">
        <f>IFERROR(INDEX('Hun Demand'!U:U,MATCH(O1244,'Hun Demand'!A:A,0)),"")</f>
        <v>0</v>
      </c>
      <c r="D1244" s="25">
        <f>IFERROR(INDEX('Hun Demand'!T:T,MATCH(O1244,'Hun Demand'!A:A,0)),"")</f>
        <v>0</v>
      </c>
      <c r="E1244" s="25">
        <f>IFERROR(INDEX('Hun Demand'!S:S,MATCH(O1244,'Hun Demand'!A:A,0)),"")</f>
        <v>0</v>
      </c>
      <c r="F1244" s="25">
        <f>IFERROR(INDEX('Hun Demand'!R:R,MATCH(O1244,'Hun Demand'!A:A,0)),"")</f>
        <v>0</v>
      </c>
      <c r="G1244" s="25">
        <f>IFERROR(INDEX('Aub Demand'!W:W,MATCH(O1244,'Aub Demand'!A:A,0)),"")</f>
        <v>327</v>
      </c>
      <c r="H1244" s="25">
        <f>IFERROR(INDEX('Aub Demand'!V:V,MATCH(O1244,'Aub Demand'!A:A,0)),"")</f>
        <v>502</v>
      </c>
      <c r="I1244" s="25">
        <f>IFERROR(INDEX('Aub Demand'!U:U,MATCH(O1244,'Aub Demand'!A:A,0)),"")</f>
        <v>93</v>
      </c>
      <c r="J1244" s="25">
        <f>IFERROR(INDEX('Aub Demand'!T:T,MATCH(O1244,'Aub Demand'!A:A,0)),"")</f>
        <v>90</v>
      </c>
      <c r="K1244" s="25">
        <f>IFERROR(INDEX('Aub Demand'!S:S,MATCH(O1244,'Aub Demand'!A:A,0)),"")</f>
        <v>146</v>
      </c>
      <c r="L1244" s="25">
        <f>IFERROR(INDEX('Aub Demand'!R:R,MATCH(O1244,'Aub Demand'!A:A,0)),"")</f>
        <v>0</v>
      </c>
      <c r="O1244" s="27" t="s">
        <v>2856</v>
      </c>
      <c r="P1244" s="27" t="str">
        <f>IFERROR(INDEX('Aub Demand'!B:B,MATCH($O1244,'Aub Demand'!$A:$A,0)),"")</f>
        <v>Cool Chic 2021076</v>
      </c>
      <c r="Q1244" s="27" t="str">
        <f>IFERROR(INDEX('Aub Demand'!C:C,MATCH($O1244,'Aub Demand'!$A:$A,0)),"")</f>
        <v>INTER</v>
      </c>
      <c r="R1244" s="52">
        <f>IFERROR(IF(AR1245=AR1244,INDEX('Aub Demand'!K:K,MATCH($O1244,'Aub Demand'!$A:$A,0))-IF(AN1244="",0,AN1244)+AP1245,INDEX('Aub Demand'!K:K,MATCH($O1244,'Aub Demand'!$A:$A,0))-IF(AN1244="",0,AN1244)),"")</f>
        <v>216</v>
      </c>
      <c r="S1244" s="53">
        <f t="shared" si="532"/>
        <v>8.4</v>
      </c>
      <c r="T1244" s="52" t="str">
        <f t="shared" si="533"/>
        <v/>
      </c>
      <c r="U1244" s="52">
        <f>IFERROR(IF(AR1245=AR1244,INDEX('Aub Demand'!Q:Q,MATCH($O1244,'Aub Demand'!$A:$A,0))-IF(AN1244="",0,AN1244)+AP1245,INDEX('Aub Demand'!Q:Q,MATCH($O1244,'Aub Demand'!$A:$A,0))-IF(AN1244="",0,AN1244)),"")</f>
        <v>103</v>
      </c>
      <c r="V1244" s="53">
        <f t="shared" si="534"/>
        <v>4</v>
      </c>
      <c r="W1244" s="52" t="str">
        <f t="shared" si="535"/>
        <v/>
      </c>
      <c r="X1244" s="52">
        <f>IFERROR(IF(AND(AR1245=AR1244,AM1244&lt;&gt;""),INDEX('Aub Demand'!Q:Q,MATCH($O1244,'Aub Demand'!$A:$A,0))-IF(AN1244="",0,AN1244)+AP1245+AD1244+AL1244,IF(AR1245=AR1244,INDEX('Aub Demand'!Q:Q,MATCH($O1244,'Aub Demand'!$A:$A,0))-IF(AN1244="",0,AN1244)+AP1245+AD1244,IF(AM1244&lt;&gt;"",INDEX('Aub Demand'!Q:Q,MATCH($O1244,'Aub Demand'!$A:$A,0))-IF(AN1244="",0,AN1244)+AD1244+AL1244,INDEX('Aub Demand'!Q:Q,MATCH($O1244,'Aub Demand'!$A:$A,0))-IF(AN1244="",0,AN1244)+AD1244))),"")</f>
        <v>103</v>
      </c>
      <c r="Y1244" s="53">
        <f t="shared" si="536"/>
        <v>4</v>
      </c>
      <c r="Z1244" s="52">
        <f>IF(L1244="","",INDEX('Aub Demand'!H:H,MATCH($O1244,'Aub Demand'!$A:$A,0)))</f>
        <v>110</v>
      </c>
      <c r="AA1244" s="52">
        <f t="shared" si="537"/>
        <v>119.5</v>
      </c>
      <c r="AB1244" s="52">
        <f>IFERROR(INDEX('Aub Demand'!L:L,MATCH($O1244,'Aub Demand'!$A:$A,0)),"")</f>
        <v>168</v>
      </c>
      <c r="AC1244" s="52">
        <f>IFERROR(IF(O1244="","",SUMIFS('CPL Mats'!F:F,'CPL Mats'!Q:Q,AR1244,'CPL Mats'!S:S,AS1244)),"")</f>
        <v>1802.54</v>
      </c>
      <c r="AF1244" s="25">
        <f>IF(SUMIFS('Supp Consol'!S:S,'Supp Consol'!Y:Y,"Releasable",'Supp Consol'!A:A,O1244)=0,"",SUMIFS('Supp Consol'!S:S,'Supp Consol'!Y:Y,"Releasable",'Supp Consol'!A:A,O1244))</f>
        <v>2213</v>
      </c>
      <c r="AG1244" s="25">
        <f>IFERROR(INDEX('Hun Demand'!Q:Q,MATCH(O1244,'Hun Demand'!A:A,0)),"")</f>
        <v>92</v>
      </c>
      <c r="AH1244" s="25">
        <f>IFERROR(INDEX('Hun Demand'!H:H,MATCH($O1244,'Hun Demand'!$A:$A,0)),"")</f>
        <v>0</v>
      </c>
      <c r="AI1244" s="25" t="str">
        <f>IF(SUMIFS('Supp Consol'!AA:AA,'Supp Consol'!Z:Z,"Expires this month",'Supp Consol'!A:A,O1244)=0,"",SUMIFS('Supp Consol'!AA:AA,'Supp Consol'!Z:Z,"Expires this month",'Supp Consol'!A:A,O1244))</f>
        <v/>
      </c>
      <c r="AJ1244" s="25" t="str">
        <f>IF(SUMIFS('Supp Consol'!AA:AA,'Supp Consol'!Z:Z,"Expired Previous Months",'Supp Consol'!A:A,O1244)=0,"",SUMIFS('Supp Consol'!AA:AA,'Supp Consol'!Z:Z,"Expired Previous Months",'Supp Consol'!A:A,O1244))</f>
        <v/>
      </c>
      <c r="AK1244" s="25" t="str">
        <f>IFERROR(INDEX('Hun Release Current'!B:B,MATCH(O1244,'Hun Release Current'!A:A,0)),"")</f>
        <v/>
      </c>
      <c r="AL1244" s="25" t="str">
        <f>IF(SUMIF('Prev Aub'!A:A,O1244,'Prev Aub'!B:B)=0,"",SUMIF('Prev Aub'!A:A,O1244,'Prev Aub'!B:B))</f>
        <v/>
      </c>
      <c r="AN1244" s="25" t="s">
        <v>3790</v>
      </c>
      <c r="AO1244" s="25" t="s">
        <v>3790</v>
      </c>
      <c r="AP1244" s="25">
        <f t="shared" si="538"/>
        <v>0</v>
      </c>
      <c r="AQ1244" s="151" t="str">
        <f>IF(SUMIFS('Supp Consol'!S:S,'Supp Consol'!A:A,O1244,'Supp Consol'!I:I,"PENDING")=0,"",SUMIFS('Supp Consol'!S:S,'Supp Consol'!A:A,O1244,'Supp Consol'!I:I,"PENDING"))</f>
        <v/>
      </c>
      <c r="AR1244" s="27" t="str">
        <f t="shared" si="539"/>
        <v>VA702</v>
      </c>
      <c r="AS1244" s="27" t="str">
        <f t="shared" si="540"/>
        <v>50</v>
      </c>
      <c r="AT1244" s="27" t="str">
        <f t="shared" si="541"/>
        <v/>
      </c>
      <c r="AU1244" s="27" t="str">
        <f t="shared" si="542"/>
        <v/>
      </c>
      <c r="AV1244" s="27" t="str">
        <f t="shared" si="543"/>
        <v/>
      </c>
      <c r="AW1244" s="27" t="str">
        <f t="shared" si="544"/>
        <v/>
      </c>
      <c r="AX1244" s="27" t="str">
        <f t="shared" si="545"/>
        <v>VA702</v>
      </c>
      <c r="AY1244" s="27" t="str">
        <f t="shared" si="546"/>
        <v>VA702</v>
      </c>
      <c r="AZ1244" s="27" t="str">
        <f t="shared" si="547"/>
        <v>Supp</v>
      </c>
      <c r="BA1244" s="27" t="str">
        <f t="shared" si="548"/>
        <v>Hun</v>
      </c>
      <c r="BB1244" s="27" t="str">
        <f t="shared" si="549"/>
        <v/>
      </c>
      <c r="BC1244" s="27" t="str">
        <f t="shared" si="550"/>
        <v/>
      </c>
      <c r="BD1244" s="27" t="str">
        <f t="shared" si="551"/>
        <v/>
      </c>
      <c r="BE1244" s="27" t="str">
        <f t="shared" si="552"/>
        <v/>
      </c>
      <c r="BF1244" s="27" t="str">
        <f t="shared" si="553"/>
        <v/>
      </c>
      <c r="BG1244" s="27" t="str">
        <f t="shared" si="554"/>
        <v/>
      </c>
      <c r="BH1244" s="27" t="str">
        <f t="shared" si="555"/>
        <v/>
      </c>
      <c r="BI1244" s="27" t="str">
        <f t="shared" si="556"/>
        <v/>
      </c>
      <c r="BJ1244" s="27" t="str">
        <f t="shared" si="557"/>
        <v>Supp or Hun</v>
      </c>
      <c r="BK1244" s="27" t="str">
        <f t="shared" si="558"/>
        <v/>
      </c>
      <c r="BL1244" s="27" t="str">
        <f t="shared" si="559"/>
        <v/>
      </c>
      <c r="BM1244" s="21" t="s">
        <v>5581</v>
      </c>
    </row>
    <row r="1245" spans="1:65" ht="15">
      <c r="A1245" s="25" t="str">
        <f>IFERROR(INDEX('Hun Demand'!W:W,MATCH(O1245,'Hun Demand'!A:A,0)),"")</f>
        <v/>
      </c>
      <c r="B1245" s="25" t="str">
        <f>IFERROR(INDEX('Hun Demand'!V:V,MATCH(O1245,'Hun Demand'!A:A,0)),"")</f>
        <v/>
      </c>
      <c r="C1245" s="25" t="str">
        <f>IFERROR(INDEX('Hun Demand'!U:U,MATCH(O1245,'Hun Demand'!A:A,0)),"")</f>
        <v/>
      </c>
      <c r="D1245" s="25" t="str">
        <f>IFERROR(INDEX('Hun Demand'!T:T,MATCH(O1245,'Hun Demand'!A:A,0)),"")</f>
        <v/>
      </c>
      <c r="E1245" s="25" t="str">
        <f>IFERROR(INDEX('Hun Demand'!S:S,MATCH(O1245,'Hun Demand'!A:A,0)),"")</f>
        <v/>
      </c>
      <c r="F1245" s="25" t="str">
        <f>IFERROR(INDEX('Hun Demand'!R:R,MATCH(O1245,'Hun Demand'!A:A,0)),"")</f>
        <v/>
      </c>
      <c r="G1245" s="25">
        <f>IFERROR(INDEX('Aub Demand'!W:W,MATCH(O1245,'Aub Demand'!A:A,0)),"")</f>
        <v>390</v>
      </c>
      <c r="H1245" s="25">
        <f>IFERROR(INDEX('Aub Demand'!V:V,MATCH(O1245,'Aub Demand'!A:A,0)),"")</f>
        <v>207</v>
      </c>
      <c r="I1245" s="25">
        <f>IFERROR(INDEX('Aub Demand'!U:U,MATCH(O1245,'Aub Demand'!A:A,0)),"")</f>
        <v>208</v>
      </c>
      <c r="J1245" s="25">
        <f>IFERROR(INDEX('Aub Demand'!T:T,MATCH(O1245,'Aub Demand'!A:A,0)),"")</f>
        <v>176</v>
      </c>
      <c r="K1245" s="25">
        <f>IFERROR(INDEX('Aub Demand'!S:S,MATCH(O1245,'Aub Demand'!A:A,0)),"")</f>
        <v>280</v>
      </c>
      <c r="L1245" s="25">
        <f>IFERROR(INDEX('Aub Demand'!R:R,MATCH(O1245,'Aub Demand'!A:A,0)),"")</f>
        <v>0</v>
      </c>
      <c r="O1245" s="27" t="s">
        <v>2858</v>
      </c>
      <c r="P1245" s="27" t="str">
        <f>IFERROR(INDEX('Aub Demand'!B:B,MATCH($O1245,'Aub Demand'!$A:$A,0)),"")</f>
        <v>Cool Chic 2021076</v>
      </c>
      <c r="Q1245" s="27" t="str">
        <f>IFERROR(INDEX('Aub Demand'!C:C,MATCH($O1245,'Aub Demand'!$A:$A,0)),"")</f>
        <v>INTER</v>
      </c>
      <c r="R1245" s="52">
        <f>IFERROR(IF(AR1246=AR1245,INDEX('Aub Demand'!K:K,MATCH($O1245,'Aub Demand'!$A:$A,0))-IF(AN1245="",0,AN1245)+AP1246,INDEX('Aub Demand'!K:K,MATCH($O1245,'Aub Demand'!$A:$A,0))-IF(AN1245="",0,AN1245)),"")</f>
        <v>925</v>
      </c>
      <c r="S1245" s="53">
        <f t="shared" si="532"/>
        <v>17.899999999999999</v>
      </c>
      <c r="T1245" s="52" t="str">
        <f t="shared" si="533"/>
        <v/>
      </c>
      <c r="U1245" s="52">
        <f>IFERROR(IF(AR1246=AR1245,INDEX('Aub Demand'!Q:Q,MATCH($O1245,'Aub Demand'!$A:$A,0))-IF(AN1245="",0,AN1245)+AP1246,INDEX('Aub Demand'!Q:Q,MATCH($O1245,'Aub Demand'!$A:$A,0))-IF(AN1245="",0,AN1245)),"")</f>
        <v>902</v>
      </c>
      <c r="V1245" s="53">
        <f t="shared" si="534"/>
        <v>17.5</v>
      </c>
      <c r="W1245" s="52" t="str">
        <f t="shared" si="535"/>
        <v/>
      </c>
      <c r="X1245" s="52">
        <f>IFERROR(IF(AND(AR1246=AR1245,AM1245&lt;&gt;""),INDEX('Aub Demand'!Q:Q,MATCH($O1245,'Aub Demand'!$A:$A,0))-IF(AN1245="",0,AN1245)+AP1246+AD1245+AL1245,IF(AR1246=AR1245,INDEX('Aub Demand'!Q:Q,MATCH($O1245,'Aub Demand'!$A:$A,0))-IF(AN1245="",0,AN1245)+AP1246+AD1245,IF(AM1245&lt;&gt;"",INDEX('Aub Demand'!Q:Q,MATCH($O1245,'Aub Demand'!$A:$A,0))-IF(AN1245="",0,AN1245)+AD1245+AL1245,INDEX('Aub Demand'!Q:Q,MATCH($O1245,'Aub Demand'!$A:$A,0))-IF(AN1245="",0,AN1245)+AD1245))),"")</f>
        <v>902</v>
      </c>
      <c r="Y1245" s="53">
        <f t="shared" si="536"/>
        <v>17.5</v>
      </c>
      <c r="Z1245" s="52">
        <f>IF(L1245="","",INDEX('Aub Demand'!H:H,MATCH($O1245,'Aub Demand'!$A:$A,0)))</f>
        <v>221</v>
      </c>
      <c r="AA1245" s="52">
        <f t="shared" si="537"/>
        <v>244</v>
      </c>
      <c r="AB1245" s="52">
        <f>IFERROR(INDEX('Aub Demand'!L:L,MATCH($O1245,'Aub Demand'!$A:$A,0)),"")</f>
        <v>545</v>
      </c>
      <c r="AC1245" s="52">
        <f>IFERROR(IF(O1245="","",SUMIFS('CPL Mats'!F:F,'CPL Mats'!Q:Q,AR1245,'CPL Mats'!S:S,AS1245)),"")</f>
        <v>5012.6099999999997</v>
      </c>
      <c r="AF1245" s="25">
        <f>IF(SUMIFS('Supp Consol'!S:S,'Supp Consol'!Y:Y,"Releasable",'Supp Consol'!A:A,O1245)=0,"",SUMIFS('Supp Consol'!S:S,'Supp Consol'!Y:Y,"Releasable",'Supp Consol'!A:A,O1245))</f>
        <v>1057</v>
      </c>
      <c r="AG1245" s="25" t="str">
        <f>IFERROR(INDEX('Hun Demand'!Q:Q,MATCH(O1245,'Hun Demand'!A:A,0)),"")</f>
        <v/>
      </c>
      <c r="AH1245" s="25" t="str">
        <f>IFERROR(INDEX('Hun Demand'!H:H,MATCH($O1245,'Hun Demand'!$A:$A,0)),"")</f>
        <v/>
      </c>
      <c r="AI1245" s="25" t="str">
        <f>IF(SUMIFS('Supp Consol'!AA:AA,'Supp Consol'!Z:Z,"Expires this month",'Supp Consol'!A:A,O1245)=0,"",SUMIFS('Supp Consol'!AA:AA,'Supp Consol'!Z:Z,"Expires this month",'Supp Consol'!A:A,O1245))</f>
        <v/>
      </c>
      <c r="AJ1245" s="25" t="str">
        <f>IF(SUMIFS('Supp Consol'!AA:AA,'Supp Consol'!Z:Z,"Expired Previous Months",'Supp Consol'!A:A,O1245)=0,"",SUMIFS('Supp Consol'!AA:AA,'Supp Consol'!Z:Z,"Expired Previous Months",'Supp Consol'!A:A,O1245))</f>
        <v/>
      </c>
      <c r="AK1245" s="25" t="str">
        <f>IFERROR(INDEX('Hun Release Current'!B:B,MATCH(O1245,'Hun Release Current'!A:A,0)),"")</f>
        <v/>
      </c>
      <c r="AL1245" s="25" t="str">
        <f>IF(SUMIF('Prev Aub'!A:A,O1245,'Prev Aub'!B:B)=0,"",SUMIF('Prev Aub'!A:A,O1245,'Prev Aub'!B:B))</f>
        <v/>
      </c>
      <c r="AN1245" s="25" t="s">
        <v>3790</v>
      </c>
      <c r="AO1245" s="25" t="s">
        <v>3790</v>
      </c>
      <c r="AP1245" s="25">
        <f t="shared" si="538"/>
        <v>0</v>
      </c>
      <c r="AQ1245" s="151" t="str">
        <f>IF(SUMIFS('Supp Consol'!S:S,'Supp Consol'!A:A,O1245,'Supp Consol'!I:I,"PENDING")=0,"",SUMIFS('Supp Consol'!S:S,'Supp Consol'!A:A,O1245,'Supp Consol'!I:I,"PENDING"))</f>
        <v/>
      </c>
      <c r="AR1245" s="27" t="str">
        <f t="shared" si="539"/>
        <v>VA702</v>
      </c>
      <c r="AS1245" s="27" t="str">
        <f t="shared" si="540"/>
        <v>62</v>
      </c>
      <c r="AT1245" s="27" t="str">
        <f t="shared" si="541"/>
        <v/>
      </c>
      <c r="AU1245" s="27" t="str">
        <f t="shared" si="542"/>
        <v/>
      </c>
      <c r="AV1245" s="27" t="str">
        <f t="shared" si="543"/>
        <v/>
      </c>
      <c r="AW1245" s="27" t="str">
        <f t="shared" si="544"/>
        <v/>
      </c>
      <c r="AX1245" s="27" t="str">
        <f t="shared" si="545"/>
        <v>VA702</v>
      </c>
      <c r="AY1245" s="27" t="str">
        <f t="shared" si="546"/>
        <v/>
      </c>
      <c r="AZ1245" s="27" t="str">
        <f t="shared" si="547"/>
        <v>Supp</v>
      </c>
      <c r="BA1245" s="27" t="str">
        <f t="shared" si="548"/>
        <v>Hun</v>
      </c>
      <c r="BB1245" s="27" t="str">
        <f t="shared" si="549"/>
        <v/>
      </c>
      <c r="BC1245" s="27" t="str">
        <f t="shared" si="550"/>
        <v/>
      </c>
      <c r="BD1245" s="27" t="str">
        <f t="shared" si="551"/>
        <v/>
      </c>
      <c r="BE1245" s="27" t="str">
        <f t="shared" si="552"/>
        <v/>
      </c>
      <c r="BF1245" s="27" t="str">
        <f t="shared" si="553"/>
        <v/>
      </c>
      <c r="BG1245" s="27" t="str">
        <f t="shared" si="554"/>
        <v/>
      </c>
      <c r="BH1245" s="27" t="str">
        <f t="shared" si="555"/>
        <v/>
      </c>
      <c r="BI1245" s="27" t="str">
        <f t="shared" si="556"/>
        <v/>
      </c>
      <c r="BJ1245" s="27" t="str">
        <f t="shared" si="557"/>
        <v>Supp or Hun</v>
      </c>
      <c r="BK1245" s="27" t="str">
        <f t="shared" si="558"/>
        <v/>
      </c>
      <c r="BL1245" s="27" t="str">
        <f t="shared" si="559"/>
        <v/>
      </c>
      <c r="BM1245" s="21" t="s">
        <v>5581</v>
      </c>
    </row>
    <row r="1246" spans="1:65" ht="15">
      <c r="A1246" s="25" t="str">
        <f>IFERROR(INDEX('Hun Demand'!W:W,MATCH(O1246,'Hun Demand'!A:A,0)),"")</f>
        <v/>
      </c>
      <c r="B1246" s="25" t="str">
        <f>IFERROR(INDEX('Hun Demand'!V:V,MATCH(O1246,'Hun Demand'!A:A,0)),"")</f>
        <v/>
      </c>
      <c r="C1246" s="25" t="str">
        <f>IFERROR(INDEX('Hun Demand'!U:U,MATCH(O1246,'Hun Demand'!A:A,0)),"")</f>
        <v/>
      </c>
      <c r="D1246" s="25" t="str">
        <f>IFERROR(INDEX('Hun Demand'!T:T,MATCH(O1246,'Hun Demand'!A:A,0)),"")</f>
        <v/>
      </c>
      <c r="E1246" s="25" t="str">
        <f>IFERROR(INDEX('Hun Demand'!S:S,MATCH(O1246,'Hun Demand'!A:A,0)),"")</f>
        <v/>
      </c>
      <c r="F1246" s="25" t="str">
        <f>IFERROR(INDEX('Hun Demand'!R:R,MATCH(O1246,'Hun Demand'!A:A,0)),"")</f>
        <v/>
      </c>
      <c r="G1246" s="25">
        <f>IFERROR(INDEX('Aub Demand'!W:W,MATCH(O1246,'Aub Demand'!A:A,0)),"")</f>
        <v>8</v>
      </c>
      <c r="H1246" s="25">
        <f>IFERROR(INDEX('Aub Demand'!V:V,MATCH(O1246,'Aub Demand'!A:A,0)),"")</f>
        <v>11</v>
      </c>
      <c r="I1246" s="25">
        <f>IFERROR(INDEX('Aub Demand'!U:U,MATCH(O1246,'Aub Demand'!A:A,0)),"")</f>
        <v>0</v>
      </c>
      <c r="J1246" s="25">
        <f>IFERROR(INDEX('Aub Demand'!T:T,MATCH(O1246,'Aub Demand'!A:A,0)),"")</f>
        <v>15</v>
      </c>
      <c r="K1246" s="25">
        <f>IFERROR(INDEX('Aub Demand'!S:S,MATCH(O1246,'Aub Demand'!A:A,0)),"")</f>
        <v>0</v>
      </c>
      <c r="L1246" s="25">
        <f>IFERROR(INDEX('Aub Demand'!R:R,MATCH(O1246,'Aub Demand'!A:A,0)),"")</f>
        <v>0</v>
      </c>
      <c r="O1246" s="27" t="s">
        <v>2859</v>
      </c>
      <c r="P1246" s="27" t="str">
        <f>IFERROR(INDEX('Aub Demand'!B:B,MATCH($O1246,'Aub Demand'!$A:$A,0)),"")</f>
        <v>VETA SHADOWS</v>
      </c>
      <c r="Q1246" s="27" t="str">
        <f>IFERROR(INDEX('Aub Demand'!C:C,MATCH($O1246,'Aub Demand'!$A:$A,0)),"")</f>
        <v>TOPPA</v>
      </c>
      <c r="R1246" s="52">
        <f>IFERROR(IF(AR1247=AR1246,INDEX('Aub Demand'!K:K,MATCH($O1246,'Aub Demand'!$A:$A,0))-IF(AN1246="",0,AN1246)+AP1247,INDEX('Aub Demand'!K:K,MATCH($O1246,'Aub Demand'!$A:$A,0))-IF(AN1246="",0,AN1246)),"")</f>
        <v>0</v>
      </c>
      <c r="S1246" s="53">
        <f t="shared" si="532"/>
        <v>0</v>
      </c>
      <c r="T1246" s="52" t="str">
        <f t="shared" si="533"/>
        <v/>
      </c>
      <c r="U1246" s="52">
        <f>IFERROR(IF(AR1247=AR1246,INDEX('Aub Demand'!Q:Q,MATCH($O1246,'Aub Demand'!$A:$A,0))-IF(AN1246="",0,AN1246)+AP1247,INDEX('Aub Demand'!Q:Q,MATCH($O1246,'Aub Demand'!$A:$A,0))-IF(AN1246="",0,AN1246)),"")</f>
        <v>0</v>
      </c>
      <c r="V1246" s="53">
        <f t="shared" si="534"/>
        <v>0</v>
      </c>
      <c r="W1246" s="52" t="str">
        <f t="shared" si="535"/>
        <v/>
      </c>
      <c r="X1246" s="52">
        <f>IFERROR(IF(AND(AR1247=AR1246,AM1246&lt;&gt;""),INDEX('Aub Demand'!Q:Q,MATCH($O1246,'Aub Demand'!$A:$A,0))-IF(AN1246="",0,AN1246)+AP1247+AD1246+AL1246,IF(AR1247=AR1246,INDEX('Aub Demand'!Q:Q,MATCH($O1246,'Aub Demand'!$A:$A,0))-IF(AN1246="",0,AN1246)+AP1247+AD1246,IF(AM1246&lt;&gt;"",INDEX('Aub Demand'!Q:Q,MATCH($O1246,'Aub Demand'!$A:$A,0))-IF(AN1246="",0,AN1246)+AD1246+AL1246,INDEX('Aub Demand'!Q:Q,MATCH($O1246,'Aub Demand'!$A:$A,0))-IF(AN1246="",0,AN1246)+AD1246))),"")</f>
        <v>0</v>
      </c>
      <c r="Y1246" s="53">
        <f t="shared" si="536"/>
        <v>0</v>
      </c>
      <c r="Z1246" s="52">
        <f>IF(L1246="","",INDEX('Aub Demand'!H:H,MATCH($O1246,'Aub Demand'!$A:$A,0)))</f>
        <v>5</v>
      </c>
      <c r="AA1246" s="52" t="str">
        <f t="shared" si="537"/>
        <v>-spike-</v>
      </c>
      <c r="AB1246" s="52">
        <f>IFERROR(INDEX('Aub Demand'!L:L,MATCH($O1246,'Aub Demand'!$A:$A,0)),"")</f>
        <v>3</v>
      </c>
      <c r="AC1246" s="52">
        <f>IFERROR(IF(O1246="","",SUMIFS('CPL Mats'!F:F,'CPL Mats'!Q:Q,AR1246,'CPL Mats'!S:S,AS1246)),"")</f>
        <v>0</v>
      </c>
      <c r="AF1246" s="25" t="str">
        <f>IF(SUMIFS('Supp Consol'!S:S,'Supp Consol'!Y:Y,"Releasable",'Supp Consol'!A:A,O1246)=0,"",SUMIFS('Supp Consol'!S:S,'Supp Consol'!Y:Y,"Releasable",'Supp Consol'!A:A,O1246))</f>
        <v/>
      </c>
      <c r="AG1246" s="25" t="str">
        <f>IFERROR(INDEX('Hun Demand'!Q:Q,MATCH(O1246,'Hun Demand'!A:A,0)),"")</f>
        <v/>
      </c>
      <c r="AH1246" s="25" t="str">
        <f>IFERROR(INDEX('Hun Demand'!H:H,MATCH($O1246,'Hun Demand'!$A:$A,0)),"")</f>
        <v/>
      </c>
      <c r="AI1246" s="25" t="str">
        <f>IF(SUMIFS('Supp Consol'!AA:AA,'Supp Consol'!Z:Z,"Expires this month",'Supp Consol'!A:A,O1246)=0,"",SUMIFS('Supp Consol'!AA:AA,'Supp Consol'!Z:Z,"Expires this month",'Supp Consol'!A:A,O1246))</f>
        <v/>
      </c>
      <c r="AJ1246" s="25" t="str">
        <f>IF(SUMIFS('Supp Consol'!AA:AA,'Supp Consol'!Z:Z,"Expired Previous Months",'Supp Consol'!A:A,O1246)=0,"",SUMIFS('Supp Consol'!AA:AA,'Supp Consol'!Z:Z,"Expired Previous Months",'Supp Consol'!A:A,O1246))</f>
        <v/>
      </c>
      <c r="AK1246" s="25" t="str">
        <f>IFERROR(INDEX('Hun Release Current'!B:B,MATCH(O1246,'Hun Release Current'!A:A,0)),"")</f>
        <v/>
      </c>
      <c r="AL1246" s="25" t="str">
        <f>IF(SUMIF('Prev Aub'!A:A,O1246,'Prev Aub'!B:B)=0,"",SUMIF('Prev Aub'!A:A,O1246,'Prev Aub'!B:B))</f>
        <v/>
      </c>
      <c r="AN1246" s="25" t="s">
        <v>3790</v>
      </c>
      <c r="AO1246" s="25" t="s">
        <v>3790</v>
      </c>
      <c r="AP1246" s="25">
        <f t="shared" si="538"/>
        <v>0</v>
      </c>
      <c r="AQ1246" s="151" t="str">
        <f>IF(SUMIFS('Supp Consol'!S:S,'Supp Consol'!A:A,O1246,'Supp Consol'!I:I,"PENDING")=0,"",SUMIFS('Supp Consol'!S:S,'Supp Consol'!A:A,O1246,'Supp Consol'!I:I,"PENDING"))</f>
        <v/>
      </c>
      <c r="AR1246" s="27" t="str">
        <f t="shared" si="539"/>
        <v>VE601</v>
      </c>
      <c r="AS1246" s="27" t="str">
        <f t="shared" si="540"/>
        <v>50</v>
      </c>
      <c r="AT1246" s="27" t="str">
        <f t="shared" si="541"/>
        <v>VE601</v>
      </c>
      <c r="AU1246" s="27" t="str">
        <f t="shared" si="542"/>
        <v>VE601</v>
      </c>
      <c r="AV1246" s="27" t="str">
        <f t="shared" si="543"/>
        <v>VE601</v>
      </c>
      <c r="AW1246" s="27" t="str">
        <f t="shared" si="544"/>
        <v/>
      </c>
      <c r="AX1246" s="27" t="str">
        <f t="shared" si="545"/>
        <v/>
      </c>
      <c r="AY1246" s="27" t="str">
        <f t="shared" si="546"/>
        <v/>
      </c>
      <c r="AZ1246" s="27" t="str">
        <f t="shared" si="547"/>
        <v/>
      </c>
      <c r="BA1246" s="27" t="str">
        <f t="shared" si="548"/>
        <v/>
      </c>
      <c r="BB1246" s="27" t="str">
        <f t="shared" si="549"/>
        <v>Gross</v>
      </c>
      <c r="BC1246" s="27" t="str">
        <f t="shared" si="550"/>
        <v>Net</v>
      </c>
      <c r="BD1246" s="27" t="str">
        <f t="shared" si="551"/>
        <v>Net</v>
      </c>
      <c r="BE1246" s="27" t="str">
        <f t="shared" si="552"/>
        <v/>
      </c>
      <c r="BF1246" s="27" t="str">
        <f t="shared" si="553"/>
        <v/>
      </c>
      <c r="BG1246" s="27" t="str">
        <f t="shared" si="554"/>
        <v/>
      </c>
      <c r="BH1246" s="27" t="str">
        <f t="shared" si="555"/>
        <v/>
      </c>
      <c r="BI1246" s="27" t="str">
        <f t="shared" si="556"/>
        <v/>
      </c>
      <c r="BJ1246" s="27" t="str">
        <f t="shared" si="557"/>
        <v/>
      </c>
      <c r="BK1246" s="27" t="str">
        <f t="shared" si="558"/>
        <v/>
      </c>
      <c r="BL1246" s="27" t="str">
        <f t="shared" si="559"/>
        <v/>
      </c>
      <c r="BM1246" s="21" t="s">
        <v>5581</v>
      </c>
    </row>
    <row r="1247" spans="1:65" ht="15">
      <c r="A1247" s="25" t="str">
        <f>IFERROR(INDEX('Hun Demand'!W:W,MATCH(O1247,'Hun Demand'!A:A,0)),"")</f>
        <v/>
      </c>
      <c r="B1247" s="25" t="str">
        <f>IFERROR(INDEX('Hun Demand'!V:V,MATCH(O1247,'Hun Demand'!A:A,0)),"")</f>
        <v/>
      </c>
      <c r="C1247" s="25" t="str">
        <f>IFERROR(INDEX('Hun Demand'!U:U,MATCH(O1247,'Hun Demand'!A:A,0)),"")</f>
        <v/>
      </c>
      <c r="D1247" s="25" t="str">
        <f>IFERROR(INDEX('Hun Demand'!T:T,MATCH(O1247,'Hun Demand'!A:A,0)),"")</f>
        <v/>
      </c>
      <c r="E1247" s="25" t="str">
        <f>IFERROR(INDEX('Hun Demand'!S:S,MATCH(O1247,'Hun Demand'!A:A,0)),"")</f>
        <v/>
      </c>
      <c r="F1247" s="25" t="str">
        <f>IFERROR(INDEX('Hun Demand'!R:R,MATCH(O1247,'Hun Demand'!A:A,0)),"")</f>
        <v/>
      </c>
      <c r="G1247" s="25">
        <f>IFERROR(INDEX('Aub Demand'!W:W,MATCH(O1247,'Aub Demand'!A:A,0)),"")</f>
        <v>0</v>
      </c>
      <c r="H1247" s="25">
        <f>IFERROR(INDEX('Aub Demand'!V:V,MATCH(O1247,'Aub Demand'!A:A,0)),"")</f>
        <v>0</v>
      </c>
      <c r="I1247" s="25">
        <f>IFERROR(INDEX('Aub Demand'!U:U,MATCH(O1247,'Aub Demand'!A:A,0)),"")</f>
        <v>0</v>
      </c>
      <c r="J1247" s="25">
        <f>IFERROR(INDEX('Aub Demand'!T:T,MATCH(O1247,'Aub Demand'!A:A,0)),"")</f>
        <v>12</v>
      </c>
      <c r="K1247" s="25">
        <f>IFERROR(INDEX('Aub Demand'!S:S,MATCH(O1247,'Aub Demand'!A:A,0)),"")</f>
        <v>0</v>
      </c>
      <c r="L1247" s="25">
        <f>IFERROR(INDEX('Aub Demand'!R:R,MATCH(O1247,'Aub Demand'!A:A,0)),"")</f>
        <v>0</v>
      </c>
      <c r="O1247" s="27" t="s">
        <v>2861</v>
      </c>
      <c r="P1247" s="27" t="str">
        <f>IFERROR(INDEX('Aub Demand'!B:B,MATCH($O1247,'Aub Demand'!$A:$A,0)),"")</f>
        <v>VETA SHADOWS</v>
      </c>
      <c r="Q1247" s="27" t="str">
        <f>IFERROR(INDEX('Aub Demand'!C:C,MATCH($O1247,'Aub Demand'!$A:$A,0)),"")</f>
        <v>TOPPA</v>
      </c>
      <c r="R1247" s="52">
        <f>IFERROR(IF(AR1248=AR1247,INDEX('Aub Demand'!K:K,MATCH($O1247,'Aub Demand'!$A:$A,0))-IF(AN1247="",0,AN1247)+AP1248,INDEX('Aub Demand'!K:K,MATCH($O1247,'Aub Demand'!$A:$A,0))-IF(AN1247="",0,AN1247)),"")</f>
        <v>1641</v>
      </c>
      <c r="S1247" s="53">
        <f t="shared" si="532"/>
        <v>1758.2</v>
      </c>
      <c r="T1247" s="52" t="str">
        <f t="shared" si="533"/>
        <v/>
      </c>
      <c r="U1247" s="52">
        <f>IFERROR(IF(AR1248=AR1247,INDEX('Aub Demand'!Q:Q,MATCH($O1247,'Aub Demand'!$A:$A,0))-IF(AN1247="",0,AN1247)+AP1248,INDEX('Aub Demand'!Q:Q,MATCH($O1247,'Aub Demand'!$A:$A,0))-IF(AN1247="",0,AN1247)),"")</f>
        <v>1641</v>
      </c>
      <c r="V1247" s="53">
        <f t="shared" si="534"/>
        <v>1758.2</v>
      </c>
      <c r="W1247" s="52" t="str">
        <f t="shared" si="535"/>
        <v/>
      </c>
      <c r="X1247" s="52">
        <f>IFERROR(IF(AND(AR1248=AR1247,AM1247&lt;&gt;""),INDEX('Aub Demand'!Q:Q,MATCH($O1247,'Aub Demand'!$A:$A,0))-IF(AN1247="",0,AN1247)+AP1248+AD1247+AL1247,IF(AR1248=AR1247,INDEX('Aub Demand'!Q:Q,MATCH($O1247,'Aub Demand'!$A:$A,0))-IF(AN1247="",0,AN1247)+AP1248+AD1247,IF(AM1247&lt;&gt;"",INDEX('Aub Demand'!Q:Q,MATCH($O1247,'Aub Demand'!$A:$A,0))-IF(AN1247="",0,AN1247)+AD1247+AL1247,INDEX('Aub Demand'!Q:Q,MATCH($O1247,'Aub Demand'!$A:$A,0))-IF(AN1247="",0,AN1247)+AD1247))),"")</f>
        <v>1641</v>
      </c>
      <c r="Y1247" s="53">
        <f t="shared" si="536"/>
        <v>1758.2</v>
      </c>
      <c r="Z1247" s="52">
        <f>IF(L1247="","",INDEX('Aub Demand'!H:H,MATCH($O1247,'Aub Demand'!$A:$A,0)))</f>
        <v>4</v>
      </c>
      <c r="AA1247" s="52" t="str">
        <f t="shared" si="537"/>
        <v>-spike-</v>
      </c>
      <c r="AB1247" s="52">
        <f>IFERROR(INDEX('Aub Demand'!L:L,MATCH($O1247,'Aub Demand'!$A:$A,0)),"")</f>
        <v>0</v>
      </c>
      <c r="AC1247" s="52">
        <f>IFERROR(IF(O1247="","",SUMIFS('CPL Mats'!F:F,'CPL Mats'!Q:Q,AR1247,'CPL Mats'!S:S,AS1247)),"")</f>
        <v>0</v>
      </c>
      <c r="AF1247" s="25" t="str">
        <f>IF(SUMIFS('Supp Consol'!S:S,'Supp Consol'!Y:Y,"Releasable",'Supp Consol'!A:A,O1247)=0,"",SUMIFS('Supp Consol'!S:S,'Supp Consol'!Y:Y,"Releasable",'Supp Consol'!A:A,O1247))</f>
        <v/>
      </c>
      <c r="AG1247" s="25" t="str">
        <f>IFERROR(INDEX('Hun Demand'!Q:Q,MATCH(O1247,'Hun Demand'!A:A,0)),"")</f>
        <v/>
      </c>
      <c r="AH1247" s="25" t="str">
        <f>IFERROR(INDEX('Hun Demand'!H:H,MATCH($O1247,'Hun Demand'!$A:$A,0)),"")</f>
        <v/>
      </c>
      <c r="AI1247" s="25" t="str">
        <f>IF(SUMIFS('Supp Consol'!AA:AA,'Supp Consol'!Z:Z,"Expires this month",'Supp Consol'!A:A,O1247)=0,"",SUMIFS('Supp Consol'!AA:AA,'Supp Consol'!Z:Z,"Expires this month",'Supp Consol'!A:A,O1247))</f>
        <v/>
      </c>
      <c r="AJ1247" s="25" t="str">
        <f>IF(SUMIFS('Supp Consol'!AA:AA,'Supp Consol'!Z:Z,"Expired Previous Months",'Supp Consol'!A:A,O1247)=0,"",SUMIFS('Supp Consol'!AA:AA,'Supp Consol'!Z:Z,"Expired Previous Months",'Supp Consol'!A:A,O1247))</f>
        <v/>
      </c>
      <c r="AK1247" s="25" t="str">
        <f>IFERROR(INDEX('Hun Release Current'!B:B,MATCH(O1247,'Hun Release Current'!A:A,0)),"")</f>
        <v/>
      </c>
      <c r="AL1247" s="25" t="str">
        <f>IF(SUMIF('Prev Aub'!A:A,O1247,'Prev Aub'!B:B)=0,"",SUMIF('Prev Aub'!A:A,O1247,'Prev Aub'!B:B))</f>
        <v/>
      </c>
      <c r="AN1247" s="25" t="s">
        <v>3790</v>
      </c>
      <c r="AO1247" s="25" t="s">
        <v>3790</v>
      </c>
      <c r="AP1247" s="25">
        <f t="shared" si="538"/>
        <v>0</v>
      </c>
      <c r="AQ1247" s="151" t="str">
        <f>IF(SUMIFS('Supp Consol'!S:S,'Supp Consol'!A:A,O1247,'Supp Consol'!I:I,"PENDING")=0,"",SUMIFS('Supp Consol'!S:S,'Supp Consol'!A:A,O1247,'Supp Consol'!I:I,"PENDING"))</f>
        <v/>
      </c>
      <c r="AR1247" s="27" t="str">
        <f t="shared" si="539"/>
        <v>VE601</v>
      </c>
      <c r="AS1247" s="27" t="str">
        <f t="shared" si="540"/>
        <v>62</v>
      </c>
      <c r="AT1247" s="27" t="str">
        <f t="shared" si="541"/>
        <v/>
      </c>
      <c r="AU1247" s="27" t="str">
        <f t="shared" si="542"/>
        <v/>
      </c>
      <c r="AV1247" s="27" t="str">
        <f t="shared" si="543"/>
        <v/>
      </c>
      <c r="AW1247" s="27" t="str">
        <f t="shared" si="544"/>
        <v/>
      </c>
      <c r="AX1247" s="27" t="str">
        <f t="shared" si="545"/>
        <v/>
      </c>
      <c r="AY1247" s="27" t="str">
        <f t="shared" si="546"/>
        <v/>
      </c>
      <c r="AZ1247" s="27" t="str">
        <f t="shared" si="547"/>
        <v/>
      </c>
      <c r="BA1247" s="27" t="str">
        <f t="shared" si="548"/>
        <v/>
      </c>
      <c r="BB1247" s="27" t="str">
        <f t="shared" si="549"/>
        <v>Gross</v>
      </c>
      <c r="BC1247" s="27" t="str">
        <f t="shared" si="550"/>
        <v>Net</v>
      </c>
      <c r="BD1247" s="27" t="str">
        <f t="shared" si="551"/>
        <v>Net</v>
      </c>
      <c r="BE1247" s="27" t="str">
        <f t="shared" si="552"/>
        <v/>
      </c>
      <c r="BF1247" s="27" t="str">
        <f t="shared" si="553"/>
        <v/>
      </c>
      <c r="BG1247" s="27" t="str">
        <f t="shared" si="554"/>
        <v/>
      </c>
      <c r="BH1247" s="27" t="str">
        <f t="shared" si="555"/>
        <v/>
      </c>
      <c r="BI1247" s="27" t="str">
        <f t="shared" si="556"/>
        <v/>
      </c>
      <c r="BJ1247" s="27" t="str">
        <f t="shared" si="557"/>
        <v/>
      </c>
      <c r="BK1247" s="27" t="str">
        <f t="shared" si="558"/>
        <v/>
      </c>
      <c r="BL1247" s="27" t="str">
        <f t="shared" si="559"/>
        <v/>
      </c>
      <c r="BM1247" s="21" t="s">
        <v>5581</v>
      </c>
    </row>
    <row r="1248" spans="1:65" ht="15">
      <c r="A1248" s="25" t="str">
        <f>IFERROR(INDEX('Hun Demand'!W:W,MATCH(O1248,'Hun Demand'!A:A,0)),"")</f>
        <v/>
      </c>
      <c r="B1248" s="25" t="str">
        <f>IFERROR(INDEX('Hun Demand'!V:V,MATCH(O1248,'Hun Demand'!A:A,0)),"")</f>
        <v/>
      </c>
      <c r="C1248" s="25" t="str">
        <f>IFERROR(INDEX('Hun Demand'!U:U,MATCH(O1248,'Hun Demand'!A:A,0)),"")</f>
        <v/>
      </c>
      <c r="D1248" s="25" t="str">
        <f>IFERROR(INDEX('Hun Demand'!T:T,MATCH(O1248,'Hun Demand'!A:A,0)),"")</f>
        <v/>
      </c>
      <c r="E1248" s="25" t="str">
        <f>IFERROR(INDEX('Hun Demand'!S:S,MATCH(O1248,'Hun Demand'!A:A,0)),"")</f>
        <v/>
      </c>
      <c r="F1248" s="25" t="str">
        <f>IFERROR(INDEX('Hun Demand'!R:R,MATCH(O1248,'Hun Demand'!A:A,0)),"")</f>
        <v/>
      </c>
      <c r="G1248" s="25">
        <f>IFERROR(INDEX('Aub Demand'!W:W,MATCH(O1248,'Aub Demand'!A:A,0)),"")</f>
        <v>0</v>
      </c>
      <c r="H1248" s="25">
        <f>IFERROR(INDEX('Aub Demand'!V:V,MATCH(O1248,'Aub Demand'!A:A,0)),"")</f>
        <v>0</v>
      </c>
      <c r="I1248" s="25">
        <f>IFERROR(INDEX('Aub Demand'!U:U,MATCH(O1248,'Aub Demand'!A:A,0)),"")</f>
        <v>21</v>
      </c>
      <c r="J1248" s="25">
        <f>IFERROR(INDEX('Aub Demand'!T:T,MATCH(O1248,'Aub Demand'!A:A,0)),"")</f>
        <v>0</v>
      </c>
      <c r="K1248" s="25">
        <f>IFERROR(INDEX('Aub Demand'!S:S,MATCH(O1248,'Aub Demand'!A:A,0)),"")</f>
        <v>0</v>
      </c>
      <c r="L1248" s="25">
        <f>IFERROR(INDEX('Aub Demand'!R:R,MATCH(O1248,'Aub Demand'!A:A,0)),"")</f>
        <v>0</v>
      </c>
      <c r="O1248" s="27" t="s">
        <v>2864</v>
      </c>
      <c r="P1248" s="27" t="str">
        <f>IFERROR(INDEX('Aub Demand'!B:B,MATCH($O1248,'Aub Demand'!$A:$A,0)),"")</f>
        <v>VOUS FAWN</v>
      </c>
      <c r="Q1248" s="27" t="str">
        <f>IFERROR(INDEX('Aub Demand'!C:C,MATCH($O1248,'Aub Demand'!$A:$A,0)),"")</f>
        <v>TOPPA</v>
      </c>
      <c r="R1248" s="52">
        <f>IFERROR(IF(AR1249=AR1248,INDEX('Aub Demand'!K:K,MATCH($O1248,'Aub Demand'!$A:$A,0))-IF(AN1248="",0,AN1248)+AP1249,INDEX('Aub Demand'!K:K,MATCH($O1248,'Aub Demand'!$A:$A,0))-IF(AN1248="",0,AN1248)),"")</f>
        <v>2214</v>
      </c>
      <c r="S1248" s="53">
        <f t="shared" si="532"/>
        <v>1355.5</v>
      </c>
      <c r="T1248" s="52" t="str">
        <f t="shared" si="533"/>
        <v/>
      </c>
      <c r="U1248" s="52">
        <f>IFERROR(IF(AR1249=AR1248,INDEX('Aub Demand'!Q:Q,MATCH($O1248,'Aub Demand'!$A:$A,0))-IF(AN1248="",0,AN1248)+AP1249,INDEX('Aub Demand'!Q:Q,MATCH($O1248,'Aub Demand'!$A:$A,0))-IF(AN1248="",0,AN1248)),"")</f>
        <v>2214</v>
      </c>
      <c r="V1248" s="53">
        <f t="shared" si="534"/>
        <v>1355.5</v>
      </c>
      <c r="W1248" s="52" t="str">
        <f t="shared" si="535"/>
        <v/>
      </c>
      <c r="X1248" s="52">
        <f>IFERROR(IF(AND(AR1249=AR1248,AM1248&lt;&gt;""),INDEX('Aub Demand'!Q:Q,MATCH($O1248,'Aub Demand'!$A:$A,0))-IF(AN1248="",0,AN1248)+AP1249+AD1248+AL1248,IF(AR1249=AR1248,INDEX('Aub Demand'!Q:Q,MATCH($O1248,'Aub Demand'!$A:$A,0))-IF(AN1248="",0,AN1248)+AP1249+AD1248,IF(AM1248&lt;&gt;"",INDEX('Aub Demand'!Q:Q,MATCH($O1248,'Aub Demand'!$A:$A,0))-IF(AN1248="",0,AN1248)+AD1248+AL1248,INDEX('Aub Demand'!Q:Q,MATCH($O1248,'Aub Demand'!$A:$A,0))-IF(AN1248="",0,AN1248)+AD1248))),"")</f>
        <v>2214</v>
      </c>
      <c r="Y1248" s="53">
        <f t="shared" si="536"/>
        <v>1355.5</v>
      </c>
      <c r="Z1248" s="52">
        <f>IF(L1248="","",INDEX('Aub Demand'!H:H,MATCH($O1248,'Aub Demand'!$A:$A,0)))</f>
        <v>7</v>
      </c>
      <c r="AA1248" s="52" t="str">
        <f t="shared" si="537"/>
        <v>-spike-</v>
      </c>
      <c r="AB1248" s="52">
        <f>IFERROR(INDEX('Aub Demand'!L:L,MATCH($O1248,'Aub Demand'!$A:$A,0)),"")</f>
        <v>0</v>
      </c>
      <c r="AC1248" s="52">
        <f>IFERROR(IF(O1248="","",SUMIFS('CPL Mats'!F:F,'CPL Mats'!Q:Q,AR1248,'CPL Mats'!S:S,AS1248)),"")</f>
        <v>0</v>
      </c>
      <c r="AF1248" s="25" t="str">
        <f>IF(SUMIFS('Supp Consol'!S:S,'Supp Consol'!Y:Y,"Releasable",'Supp Consol'!A:A,O1248)=0,"",SUMIFS('Supp Consol'!S:S,'Supp Consol'!Y:Y,"Releasable",'Supp Consol'!A:A,O1248))</f>
        <v/>
      </c>
      <c r="AG1248" s="25" t="str">
        <f>IFERROR(INDEX('Hun Demand'!Q:Q,MATCH(O1248,'Hun Demand'!A:A,0)),"")</f>
        <v/>
      </c>
      <c r="AH1248" s="25" t="str">
        <f>IFERROR(INDEX('Hun Demand'!H:H,MATCH($O1248,'Hun Demand'!$A:$A,0)),"")</f>
        <v/>
      </c>
      <c r="AI1248" s="25" t="str">
        <f>IF(SUMIFS('Supp Consol'!AA:AA,'Supp Consol'!Z:Z,"Expires this month",'Supp Consol'!A:A,O1248)=0,"",SUMIFS('Supp Consol'!AA:AA,'Supp Consol'!Z:Z,"Expires this month",'Supp Consol'!A:A,O1248))</f>
        <v/>
      </c>
      <c r="AJ1248" s="25" t="str">
        <f>IF(SUMIFS('Supp Consol'!AA:AA,'Supp Consol'!Z:Z,"Expired Previous Months",'Supp Consol'!A:A,O1248)=0,"",SUMIFS('Supp Consol'!AA:AA,'Supp Consol'!Z:Z,"Expired Previous Months",'Supp Consol'!A:A,O1248))</f>
        <v/>
      </c>
      <c r="AK1248" s="25" t="str">
        <f>IFERROR(INDEX('Hun Release Current'!B:B,MATCH(O1248,'Hun Release Current'!A:A,0)),"")</f>
        <v/>
      </c>
      <c r="AL1248" s="25" t="str">
        <f>IF(SUMIF('Prev Aub'!A:A,O1248,'Prev Aub'!B:B)=0,"",SUMIF('Prev Aub'!A:A,O1248,'Prev Aub'!B:B))</f>
        <v/>
      </c>
      <c r="AN1248" s="25" t="s">
        <v>3790</v>
      </c>
      <c r="AO1248" s="25" t="s">
        <v>3790</v>
      </c>
      <c r="AP1248" s="25">
        <f t="shared" si="538"/>
        <v>0</v>
      </c>
      <c r="AQ1248" s="151" t="str">
        <f>IF(SUMIFS('Supp Consol'!S:S,'Supp Consol'!A:A,O1248,'Supp Consol'!I:I,"PENDING")=0,"",SUMIFS('Supp Consol'!S:S,'Supp Consol'!A:A,O1248,'Supp Consol'!I:I,"PENDING"))</f>
        <v/>
      </c>
      <c r="AR1248" s="27" t="str">
        <f t="shared" si="539"/>
        <v>VS201</v>
      </c>
      <c r="AS1248" s="27" t="str">
        <f t="shared" si="540"/>
        <v>62</v>
      </c>
      <c r="AT1248" s="27" t="str">
        <f t="shared" si="541"/>
        <v/>
      </c>
      <c r="AU1248" s="27" t="str">
        <f t="shared" si="542"/>
        <v/>
      </c>
      <c r="AV1248" s="27" t="str">
        <f t="shared" si="543"/>
        <v/>
      </c>
      <c r="AW1248" s="27" t="str">
        <f t="shared" si="544"/>
        <v/>
      </c>
      <c r="AX1248" s="27" t="str">
        <f t="shared" si="545"/>
        <v/>
      </c>
      <c r="AY1248" s="27" t="str">
        <f t="shared" si="546"/>
        <v/>
      </c>
      <c r="AZ1248" s="27" t="str">
        <f t="shared" si="547"/>
        <v/>
      </c>
      <c r="BA1248" s="27" t="str">
        <f t="shared" si="548"/>
        <v/>
      </c>
      <c r="BB1248" s="27" t="str">
        <f t="shared" si="549"/>
        <v/>
      </c>
      <c r="BC1248" s="27" t="str">
        <f t="shared" si="550"/>
        <v/>
      </c>
      <c r="BD1248" s="27" t="str">
        <f t="shared" si="551"/>
        <v/>
      </c>
      <c r="BE1248" s="27" t="str">
        <f t="shared" si="552"/>
        <v/>
      </c>
      <c r="BF1248" s="27" t="str">
        <f t="shared" si="553"/>
        <v/>
      </c>
      <c r="BG1248" s="27" t="str">
        <f t="shared" si="554"/>
        <v/>
      </c>
      <c r="BH1248" s="27" t="str">
        <f t="shared" si="555"/>
        <v/>
      </c>
      <c r="BI1248" s="27" t="str">
        <f t="shared" si="556"/>
        <v/>
      </c>
      <c r="BJ1248" s="27" t="str">
        <f t="shared" si="557"/>
        <v/>
      </c>
      <c r="BK1248" s="27" t="str">
        <f t="shared" si="558"/>
        <v/>
      </c>
      <c r="BL1248" s="27" t="str">
        <f t="shared" si="559"/>
        <v/>
      </c>
      <c r="BM1248" s="21" t="s">
        <v>5581</v>
      </c>
    </row>
    <row r="1249" spans="1:65" ht="15">
      <c r="A1249" s="25" t="str">
        <f>IFERROR(INDEX('Hun Demand'!W:W,MATCH(O1249,'Hun Demand'!A:A,0)),"")</f>
        <v/>
      </c>
      <c r="B1249" s="25" t="str">
        <f>IFERROR(INDEX('Hun Demand'!V:V,MATCH(O1249,'Hun Demand'!A:A,0)),"")</f>
        <v/>
      </c>
      <c r="C1249" s="25" t="str">
        <f>IFERROR(INDEX('Hun Demand'!U:U,MATCH(O1249,'Hun Demand'!A:A,0)),"")</f>
        <v/>
      </c>
      <c r="D1249" s="25" t="str">
        <f>IFERROR(INDEX('Hun Demand'!T:T,MATCH(O1249,'Hun Demand'!A:A,0)),"")</f>
        <v/>
      </c>
      <c r="E1249" s="25" t="str">
        <f>IFERROR(INDEX('Hun Demand'!S:S,MATCH(O1249,'Hun Demand'!A:A,0)),"")</f>
        <v/>
      </c>
      <c r="F1249" s="25" t="str">
        <f>IFERROR(INDEX('Hun Demand'!R:R,MATCH(O1249,'Hun Demand'!A:A,0)),"")</f>
        <v/>
      </c>
      <c r="G1249" s="25">
        <f>IFERROR(INDEX('Aub Demand'!W:W,MATCH(O1249,'Aub Demand'!A:A,0)),"")</f>
        <v>1</v>
      </c>
      <c r="H1249" s="25">
        <f>IFERROR(INDEX('Aub Demand'!V:V,MATCH(O1249,'Aub Demand'!A:A,0)),"")</f>
        <v>0</v>
      </c>
      <c r="I1249" s="25">
        <f>IFERROR(INDEX('Aub Demand'!U:U,MATCH(O1249,'Aub Demand'!A:A,0)),"")</f>
        <v>0</v>
      </c>
      <c r="J1249" s="25">
        <f>IFERROR(INDEX('Aub Demand'!T:T,MATCH(O1249,'Aub Demand'!A:A,0)),"")</f>
        <v>311</v>
      </c>
      <c r="K1249" s="25">
        <f>IFERROR(INDEX('Aub Demand'!S:S,MATCH(O1249,'Aub Demand'!A:A,0)),"")</f>
        <v>0</v>
      </c>
      <c r="L1249" s="25">
        <f>IFERROR(INDEX('Aub Demand'!R:R,MATCH(O1249,'Aub Demand'!A:A,0)),"")</f>
        <v>0</v>
      </c>
      <c r="O1249" s="27" t="s">
        <v>2865</v>
      </c>
      <c r="P1249" s="27" t="str">
        <f>IFERROR(INDEX('Aub Demand'!B:B,MATCH($O1249,'Aub Demand'!$A:$A,0)),"")</f>
        <v>VANILLA BEAN</v>
      </c>
      <c r="Q1249" s="27" t="str">
        <f>IFERROR(INDEX('Aub Demand'!C:C,MATCH($O1249,'Aub Demand'!$A:$A,0)),"")</f>
        <v>TOPPA</v>
      </c>
      <c r="R1249" s="52">
        <f>IFERROR(IF(AR1250=AR1249,INDEX('Aub Demand'!K:K,MATCH($O1249,'Aub Demand'!$A:$A,0))-IF(AN1249="",0,AN1249)+AP1250,INDEX('Aub Demand'!K:K,MATCH($O1249,'Aub Demand'!$A:$A,0))-IF(AN1249="",0,AN1249)),"")</f>
        <v>160</v>
      </c>
      <c r="S1249" s="53">
        <f t="shared" si="532"/>
        <v>6.6</v>
      </c>
      <c r="T1249" s="52" t="str">
        <f t="shared" si="533"/>
        <v/>
      </c>
      <c r="U1249" s="52">
        <f>IFERROR(IF(AR1250=AR1249,INDEX('Aub Demand'!Q:Q,MATCH($O1249,'Aub Demand'!$A:$A,0))-IF(AN1249="",0,AN1249)+AP1250,INDEX('Aub Demand'!Q:Q,MATCH($O1249,'Aub Demand'!$A:$A,0))-IF(AN1249="",0,AN1249)),"")</f>
        <v>85</v>
      </c>
      <c r="V1249" s="53">
        <f t="shared" si="534"/>
        <v>3.5</v>
      </c>
      <c r="W1249" s="52" t="str">
        <f t="shared" si="535"/>
        <v/>
      </c>
      <c r="X1249" s="52">
        <f>IFERROR(IF(AND(AR1250=AR1249,AM1249&lt;&gt;""),INDEX('Aub Demand'!Q:Q,MATCH($O1249,'Aub Demand'!$A:$A,0))-IF(AN1249="",0,AN1249)+AP1250+AD1249+AL1249,IF(AR1250=AR1249,INDEX('Aub Demand'!Q:Q,MATCH($O1249,'Aub Demand'!$A:$A,0))-IF(AN1249="",0,AN1249)+AP1250+AD1249,IF(AM1249&lt;&gt;"",INDEX('Aub Demand'!Q:Q,MATCH($O1249,'Aub Demand'!$A:$A,0))-IF(AN1249="",0,AN1249)+AD1249+AL1249,INDEX('Aub Demand'!Q:Q,MATCH($O1249,'Aub Demand'!$A:$A,0))-IF(AN1249="",0,AN1249)+AD1249))),"")</f>
        <v>85</v>
      </c>
      <c r="Y1249" s="53">
        <f t="shared" si="536"/>
        <v>3.5</v>
      </c>
      <c r="Z1249" s="52">
        <f>IF(L1249="","",INDEX('Aub Demand'!H:H,MATCH($O1249,'Aub Demand'!$A:$A,0)))</f>
        <v>104</v>
      </c>
      <c r="AA1249" s="52" t="str">
        <f t="shared" si="537"/>
        <v>-spike-</v>
      </c>
      <c r="AB1249" s="52">
        <f>IFERROR(INDEX('Aub Demand'!L:L,MATCH($O1249,'Aub Demand'!$A:$A,0)),"")</f>
        <v>13</v>
      </c>
      <c r="AC1249" s="52">
        <f>IFERROR(IF(O1249="","",SUMIFS('CPL Mats'!F:F,'CPL Mats'!Q:Q,AR1249,'CPL Mats'!S:S,AS1249)),"")</f>
        <v>0</v>
      </c>
      <c r="AF1249" s="25" t="str">
        <f>IF(SUMIFS('Supp Consol'!S:S,'Supp Consol'!Y:Y,"Releasable",'Supp Consol'!A:A,O1249)=0,"",SUMIFS('Supp Consol'!S:S,'Supp Consol'!Y:Y,"Releasable",'Supp Consol'!A:A,O1249))</f>
        <v/>
      </c>
      <c r="AG1249" s="25" t="str">
        <f>IFERROR(INDEX('Hun Demand'!Q:Q,MATCH(O1249,'Hun Demand'!A:A,0)),"")</f>
        <v/>
      </c>
      <c r="AH1249" s="25" t="str">
        <f>IFERROR(INDEX('Hun Demand'!H:H,MATCH($O1249,'Hun Demand'!$A:$A,0)),"")</f>
        <v/>
      </c>
      <c r="AI1249" s="25" t="str">
        <f>IF(SUMIFS('Supp Consol'!AA:AA,'Supp Consol'!Z:Z,"Expires this month",'Supp Consol'!A:A,O1249)=0,"",SUMIFS('Supp Consol'!AA:AA,'Supp Consol'!Z:Z,"Expires this month",'Supp Consol'!A:A,O1249))</f>
        <v/>
      </c>
      <c r="AJ1249" s="25" t="str">
        <f>IF(SUMIFS('Supp Consol'!AA:AA,'Supp Consol'!Z:Z,"Expired Previous Months",'Supp Consol'!A:A,O1249)=0,"",SUMIFS('Supp Consol'!AA:AA,'Supp Consol'!Z:Z,"Expired Previous Months",'Supp Consol'!A:A,O1249))</f>
        <v/>
      </c>
      <c r="AK1249" s="25" t="str">
        <f>IFERROR(INDEX('Hun Release Current'!B:B,MATCH(O1249,'Hun Release Current'!A:A,0)),"")</f>
        <v/>
      </c>
      <c r="AL1249" s="25" t="str">
        <f>IF(SUMIF('Prev Aub'!A:A,O1249,'Prev Aub'!B:B)=0,"",SUMIF('Prev Aub'!A:A,O1249,'Prev Aub'!B:B))</f>
        <v/>
      </c>
      <c r="AN1249" s="25" t="s">
        <v>3790</v>
      </c>
      <c r="AO1249" s="25" t="s">
        <v>3790</v>
      </c>
      <c r="AP1249" s="25">
        <f t="shared" si="538"/>
        <v>0</v>
      </c>
      <c r="AQ1249" s="151" t="str">
        <f>IF(SUMIFS('Supp Consol'!S:S,'Supp Consol'!A:A,O1249,'Supp Consol'!I:I,"PENDING")=0,"",SUMIFS('Supp Consol'!S:S,'Supp Consol'!A:A,O1249,'Supp Consol'!I:I,"PENDING"))</f>
        <v/>
      </c>
      <c r="AR1249" s="27" t="str">
        <f t="shared" si="539"/>
        <v>VS202</v>
      </c>
      <c r="AS1249" s="27" t="str">
        <f t="shared" si="540"/>
        <v>50</v>
      </c>
      <c r="AT1249" s="27" t="str">
        <f t="shared" si="541"/>
        <v/>
      </c>
      <c r="AU1249" s="27" t="str">
        <f t="shared" si="542"/>
        <v/>
      </c>
      <c r="AV1249" s="27" t="str">
        <f t="shared" si="543"/>
        <v/>
      </c>
      <c r="AW1249" s="27" t="str">
        <f t="shared" si="544"/>
        <v/>
      </c>
      <c r="AX1249" s="27" t="str">
        <f t="shared" si="545"/>
        <v/>
      </c>
      <c r="AY1249" s="27" t="str">
        <f t="shared" si="546"/>
        <v/>
      </c>
      <c r="AZ1249" s="27" t="str">
        <f t="shared" si="547"/>
        <v>Supp</v>
      </c>
      <c r="BA1249" s="27" t="str">
        <f t="shared" si="548"/>
        <v/>
      </c>
      <c r="BB1249" s="27" t="str">
        <f t="shared" si="549"/>
        <v>Gross</v>
      </c>
      <c r="BC1249" s="27" t="str">
        <f t="shared" si="550"/>
        <v/>
      </c>
      <c r="BD1249" s="27" t="str">
        <f t="shared" si="551"/>
        <v/>
      </c>
      <c r="BE1249" s="27" t="str">
        <f t="shared" si="552"/>
        <v/>
      </c>
      <c r="BF1249" s="27" t="str">
        <f t="shared" si="553"/>
        <v/>
      </c>
      <c r="BG1249" s="27" t="str">
        <f t="shared" si="554"/>
        <v/>
      </c>
      <c r="BH1249" s="27" t="str">
        <f t="shared" si="555"/>
        <v/>
      </c>
      <c r="BI1249" s="27" t="str">
        <f t="shared" si="556"/>
        <v/>
      </c>
      <c r="BJ1249" s="27" t="str">
        <f t="shared" si="557"/>
        <v>Supp or Hun</v>
      </c>
      <c r="BK1249" s="27" t="str">
        <f t="shared" si="558"/>
        <v/>
      </c>
      <c r="BL1249" s="27" t="str">
        <f t="shared" si="559"/>
        <v/>
      </c>
      <c r="BM1249" s="21" t="s">
        <v>5581</v>
      </c>
    </row>
    <row r="1250" spans="1:65" ht="15">
      <c r="A1250" s="25" t="str">
        <f>IFERROR(INDEX('Hun Demand'!W:W,MATCH(O1250,'Hun Demand'!A:A,0)),"")</f>
        <v/>
      </c>
      <c r="B1250" s="25" t="str">
        <f>IFERROR(INDEX('Hun Demand'!V:V,MATCH(O1250,'Hun Demand'!A:A,0)),"")</f>
        <v/>
      </c>
      <c r="C1250" s="25" t="str">
        <f>IFERROR(INDEX('Hun Demand'!U:U,MATCH(O1250,'Hun Demand'!A:A,0)),"")</f>
        <v/>
      </c>
      <c r="D1250" s="25" t="str">
        <f>IFERROR(INDEX('Hun Demand'!T:T,MATCH(O1250,'Hun Demand'!A:A,0)),"")</f>
        <v/>
      </c>
      <c r="E1250" s="25" t="str">
        <f>IFERROR(INDEX('Hun Demand'!S:S,MATCH(O1250,'Hun Demand'!A:A,0)),"")</f>
        <v/>
      </c>
      <c r="F1250" s="25" t="str">
        <f>IFERROR(INDEX('Hun Demand'!R:R,MATCH(O1250,'Hun Demand'!A:A,0)),"")</f>
        <v/>
      </c>
      <c r="G1250" s="25">
        <f>IFERROR(INDEX('Aub Demand'!W:W,MATCH(O1250,'Aub Demand'!A:A,0)),"")</f>
        <v>186</v>
      </c>
      <c r="H1250" s="25">
        <f>IFERROR(INDEX('Aub Demand'!V:V,MATCH(O1250,'Aub Demand'!A:A,0)),"")</f>
        <v>168</v>
      </c>
      <c r="I1250" s="25">
        <f>IFERROR(INDEX('Aub Demand'!U:U,MATCH(O1250,'Aub Demand'!A:A,0)),"")</f>
        <v>0</v>
      </c>
      <c r="J1250" s="25">
        <f>IFERROR(INDEX('Aub Demand'!T:T,MATCH(O1250,'Aub Demand'!A:A,0)),"")</f>
        <v>53</v>
      </c>
      <c r="K1250" s="25">
        <f>IFERROR(INDEX('Aub Demand'!S:S,MATCH(O1250,'Aub Demand'!A:A,0)),"")</f>
        <v>0</v>
      </c>
      <c r="L1250" s="25">
        <f>IFERROR(INDEX('Aub Demand'!R:R,MATCH(O1250,'Aub Demand'!A:A,0)),"")</f>
        <v>0</v>
      </c>
      <c r="O1250" s="27" t="s">
        <v>2867</v>
      </c>
      <c r="P1250" s="27" t="str">
        <f>IFERROR(INDEX('Aub Demand'!B:B,MATCH($O1250,'Aub Demand'!$A:$A,0)),"")</f>
        <v>VANILLA BEAN</v>
      </c>
      <c r="Q1250" s="27" t="str">
        <f>IFERROR(INDEX('Aub Demand'!C:C,MATCH($O1250,'Aub Demand'!$A:$A,0)),"")</f>
        <v>TOPPA</v>
      </c>
      <c r="R1250" s="52">
        <f>IFERROR(IF(AR1251=AR1250,INDEX('Aub Demand'!K:K,MATCH($O1250,'Aub Demand'!$A:$A,0))-IF(AN1250="",0,AN1250)+AP1251,INDEX('Aub Demand'!K:K,MATCH($O1250,'Aub Demand'!$A:$A,0))-IF(AN1250="",0,AN1250)),"")</f>
        <v>-4</v>
      </c>
      <c r="S1250" s="53">
        <f t="shared" si="532"/>
        <v>-1</v>
      </c>
      <c r="T1250" s="52" t="str">
        <f t="shared" si="533"/>
        <v/>
      </c>
      <c r="U1250" s="52">
        <f>IFERROR(IF(AR1251=AR1250,INDEX('Aub Demand'!Q:Q,MATCH($O1250,'Aub Demand'!$A:$A,0))-IF(AN1250="",0,AN1250)+AP1251,INDEX('Aub Demand'!Q:Q,MATCH($O1250,'Aub Demand'!$A:$A,0))-IF(AN1250="",0,AN1250)),"")</f>
        <v>-4</v>
      </c>
      <c r="V1250" s="53">
        <f t="shared" si="534"/>
        <v>-1</v>
      </c>
      <c r="W1250" s="52" t="str">
        <f t="shared" si="535"/>
        <v/>
      </c>
      <c r="X1250" s="52">
        <f>IFERROR(IF(AND(AR1251=AR1250,AM1250&lt;&gt;""),INDEX('Aub Demand'!Q:Q,MATCH($O1250,'Aub Demand'!$A:$A,0))-IF(AN1250="",0,AN1250)+AP1251+AD1250+AL1250,IF(AR1251=AR1250,INDEX('Aub Demand'!Q:Q,MATCH($O1250,'Aub Demand'!$A:$A,0))-IF(AN1250="",0,AN1250)+AP1251+AD1250,IF(AM1250&lt;&gt;"",INDEX('Aub Demand'!Q:Q,MATCH($O1250,'Aub Demand'!$A:$A,0))-IF(AN1250="",0,AN1250)+AD1250+AL1250,INDEX('Aub Demand'!Q:Q,MATCH($O1250,'Aub Demand'!$A:$A,0))-IF(AN1250="",0,AN1250)+AD1250))),"")</f>
        <v>496</v>
      </c>
      <c r="Y1250" s="53">
        <f t="shared" si="536"/>
        <v>118.1</v>
      </c>
      <c r="Z1250" s="52">
        <f>IF(L1250="","",INDEX('Aub Demand'!H:H,MATCH($O1250,'Aub Demand'!$A:$A,0)))</f>
        <v>18</v>
      </c>
      <c r="AA1250" s="52" t="str">
        <f t="shared" si="537"/>
        <v>-spike-</v>
      </c>
      <c r="AB1250" s="52">
        <f>IFERROR(INDEX('Aub Demand'!L:L,MATCH($O1250,'Aub Demand'!$A:$A,0)),"")</f>
        <v>0</v>
      </c>
      <c r="AC1250" s="52">
        <f>IFERROR(IF(O1250="","",SUMIFS('CPL Mats'!F:F,'CPL Mats'!Q:Q,AR1250,'CPL Mats'!S:S,AS1250)),"")</f>
        <v>0</v>
      </c>
      <c r="AD1250" s="25">
        <v>500</v>
      </c>
      <c r="AE1250" s="52" t="s">
        <v>5583</v>
      </c>
      <c r="AF1250" s="25">
        <f>IF(SUMIFS('Supp Consol'!S:S,'Supp Consol'!Y:Y,"Releasable",'Supp Consol'!A:A,O1250)=0,"",SUMIFS('Supp Consol'!S:S,'Supp Consol'!Y:Y,"Releasable",'Supp Consol'!A:A,O1250))</f>
        <v>3128</v>
      </c>
      <c r="AG1250" s="25" t="str">
        <f>IFERROR(INDEX('Hun Demand'!Q:Q,MATCH(O1250,'Hun Demand'!A:A,0)),"")</f>
        <v/>
      </c>
      <c r="AH1250" s="25" t="str">
        <f>IFERROR(INDEX('Hun Demand'!H:H,MATCH($O1250,'Hun Demand'!$A:$A,0)),"")</f>
        <v/>
      </c>
      <c r="AI1250" s="25" t="str">
        <f>IF(SUMIFS('Supp Consol'!AA:AA,'Supp Consol'!Z:Z,"Expires this month",'Supp Consol'!A:A,O1250)=0,"",SUMIFS('Supp Consol'!AA:AA,'Supp Consol'!Z:Z,"Expires this month",'Supp Consol'!A:A,O1250))</f>
        <v/>
      </c>
      <c r="AJ1250" s="25" t="str">
        <f>IF(SUMIFS('Supp Consol'!AA:AA,'Supp Consol'!Z:Z,"Expired Previous Months",'Supp Consol'!A:A,O1250)=0,"",SUMIFS('Supp Consol'!AA:AA,'Supp Consol'!Z:Z,"Expired Previous Months",'Supp Consol'!A:A,O1250))</f>
        <v/>
      </c>
      <c r="AK1250" s="25" t="str">
        <f>IFERROR(INDEX('Hun Release Current'!B:B,MATCH(O1250,'Hun Release Current'!A:A,0)),"")</f>
        <v/>
      </c>
      <c r="AL1250" s="25" t="str">
        <f>IF(SUMIF('Prev Aub'!A:A,O1250,'Prev Aub'!B:B)=0,"",SUMIF('Prev Aub'!A:A,O1250,'Prev Aub'!B:B))</f>
        <v/>
      </c>
      <c r="AN1250" s="25">
        <v>200</v>
      </c>
      <c r="AO1250" s="25" t="s">
        <v>3790</v>
      </c>
      <c r="AP1250" s="25">
        <f t="shared" si="538"/>
        <v>160</v>
      </c>
      <c r="AQ1250" s="151" t="str">
        <f>IF(SUMIFS('Supp Consol'!S:S,'Supp Consol'!A:A,O1250,'Supp Consol'!I:I,"PENDING")=0,"",SUMIFS('Supp Consol'!S:S,'Supp Consol'!A:A,O1250,'Supp Consol'!I:I,"PENDING"))</f>
        <v/>
      </c>
      <c r="AR1250" s="27" t="str">
        <f t="shared" si="539"/>
        <v>VS202</v>
      </c>
      <c r="AS1250" s="27" t="str">
        <f t="shared" si="540"/>
        <v>62</v>
      </c>
      <c r="AT1250" s="27" t="str">
        <f t="shared" si="541"/>
        <v>VS202</v>
      </c>
      <c r="AU1250" s="27" t="str">
        <f t="shared" si="542"/>
        <v/>
      </c>
      <c r="AV1250" s="27" t="str">
        <f t="shared" si="543"/>
        <v/>
      </c>
      <c r="AW1250" s="27" t="str">
        <f t="shared" si="544"/>
        <v/>
      </c>
      <c r="AX1250" s="27" t="str">
        <f t="shared" si="545"/>
        <v>VS202</v>
      </c>
      <c r="AY1250" s="27" t="str">
        <f t="shared" si="546"/>
        <v/>
      </c>
      <c r="AZ1250" s="27" t="str">
        <f t="shared" si="547"/>
        <v>Supp</v>
      </c>
      <c r="BA1250" s="27" t="str">
        <f t="shared" si="548"/>
        <v/>
      </c>
      <c r="BB1250" s="27" t="str">
        <f t="shared" si="549"/>
        <v>Gross</v>
      </c>
      <c r="BC1250" s="27" t="str">
        <f t="shared" si="550"/>
        <v/>
      </c>
      <c r="BD1250" s="27" t="str">
        <f t="shared" si="551"/>
        <v/>
      </c>
      <c r="BE1250" s="27" t="str">
        <f t="shared" si="552"/>
        <v/>
      </c>
      <c r="BF1250" s="27" t="str">
        <f t="shared" si="553"/>
        <v/>
      </c>
      <c r="BG1250" s="27" t="str">
        <f t="shared" si="554"/>
        <v/>
      </c>
      <c r="BH1250" s="27" t="str">
        <f t="shared" si="555"/>
        <v/>
      </c>
      <c r="BI1250" s="27" t="str">
        <f t="shared" si="556"/>
        <v/>
      </c>
      <c r="BJ1250" s="27" t="str">
        <f t="shared" si="557"/>
        <v>Supp or Hun</v>
      </c>
      <c r="BK1250" s="27" t="str">
        <f t="shared" si="558"/>
        <v/>
      </c>
      <c r="BL1250" s="27" t="str">
        <f t="shared" si="559"/>
        <v/>
      </c>
      <c r="BM1250" s="21" t="s">
        <v>5581</v>
      </c>
    </row>
    <row r="1251" spans="1:65" ht="15">
      <c r="A1251" s="25" t="str">
        <f>IFERROR(INDEX('Hun Demand'!W:W,MATCH(O1251,'Hun Demand'!A:A,0)),"")</f>
        <v/>
      </c>
      <c r="B1251" s="25" t="str">
        <f>IFERROR(INDEX('Hun Demand'!V:V,MATCH(O1251,'Hun Demand'!A:A,0)),"")</f>
        <v/>
      </c>
      <c r="C1251" s="25" t="str">
        <f>IFERROR(INDEX('Hun Demand'!U:U,MATCH(O1251,'Hun Demand'!A:A,0)),"")</f>
        <v/>
      </c>
      <c r="D1251" s="25" t="str">
        <f>IFERROR(INDEX('Hun Demand'!T:T,MATCH(O1251,'Hun Demand'!A:A,0)),"")</f>
        <v/>
      </c>
      <c r="E1251" s="25" t="str">
        <f>IFERROR(INDEX('Hun Demand'!S:S,MATCH(O1251,'Hun Demand'!A:A,0)),"")</f>
        <v/>
      </c>
      <c r="F1251" s="25" t="str">
        <f>IFERROR(INDEX('Hun Demand'!R:R,MATCH(O1251,'Hun Demand'!A:A,0)),"")</f>
        <v/>
      </c>
      <c r="G1251" s="25">
        <f>IFERROR(INDEX('Aub Demand'!W:W,MATCH(O1251,'Aub Demand'!A:A,0)),"")</f>
        <v>0</v>
      </c>
      <c r="H1251" s="25">
        <f>IFERROR(INDEX('Aub Demand'!V:V,MATCH(O1251,'Aub Demand'!A:A,0)),"")</f>
        <v>0</v>
      </c>
      <c r="I1251" s="25">
        <f>IFERROR(INDEX('Aub Demand'!U:U,MATCH(O1251,'Aub Demand'!A:A,0)),"")</f>
        <v>0</v>
      </c>
      <c r="J1251" s="25">
        <f>IFERROR(INDEX('Aub Demand'!T:T,MATCH(O1251,'Aub Demand'!A:A,0)),"")</f>
        <v>0</v>
      </c>
      <c r="K1251" s="25">
        <f>IFERROR(INDEX('Aub Demand'!S:S,MATCH(O1251,'Aub Demand'!A:A,0)),"")</f>
        <v>50</v>
      </c>
      <c r="L1251" s="25">
        <f>IFERROR(INDEX('Aub Demand'!R:R,MATCH(O1251,'Aub Demand'!A:A,0)),"")</f>
        <v>0</v>
      </c>
      <c r="O1251" s="27" t="s">
        <v>7552</v>
      </c>
      <c r="P1251" s="27" t="str">
        <f>IFERROR(INDEX('Aub Demand'!B:B,MATCH($O1251,'Aub Demand'!$A:$A,0)),"")</f>
        <v>VARNISH</v>
      </c>
      <c r="Q1251" s="27" t="str">
        <f>IFERROR(INDEX('Aub Demand'!C:C,MATCH($O1251,'Aub Demand'!$A:$A,0)),"")</f>
        <v>TOPPA</v>
      </c>
      <c r="R1251" s="52">
        <f>IFERROR(IF(AR1252=AR1251,INDEX('Aub Demand'!K:K,MATCH($O1251,'Aub Demand'!$A:$A,0))-IF(AN1251="",0,AN1251)+AP1252,INDEX('Aub Demand'!K:K,MATCH($O1251,'Aub Demand'!$A:$A,0))-IF(AN1251="",0,AN1251)),"")</f>
        <v>0</v>
      </c>
      <c r="S1251" s="53">
        <f t="shared" si="532"/>
        <v>0</v>
      </c>
      <c r="T1251" s="52" t="str">
        <f t="shared" si="533"/>
        <v/>
      </c>
      <c r="U1251" s="52">
        <f>IFERROR(IF(AR1252=AR1251,INDEX('Aub Demand'!Q:Q,MATCH($O1251,'Aub Demand'!$A:$A,0))-IF(AN1251="",0,AN1251)+AP1252,INDEX('Aub Demand'!Q:Q,MATCH($O1251,'Aub Demand'!$A:$A,0))-IF(AN1251="",0,AN1251)),"")</f>
        <v>-25</v>
      </c>
      <c r="V1251" s="53">
        <f t="shared" si="534"/>
        <v>-6.3</v>
      </c>
      <c r="W1251" s="52" t="str">
        <f t="shared" si="535"/>
        <v/>
      </c>
      <c r="X1251" s="52">
        <f>IFERROR(IF(AND(AR1252=AR1251,AM1251&lt;&gt;""),INDEX('Aub Demand'!Q:Q,MATCH($O1251,'Aub Demand'!$A:$A,0))-IF(AN1251="",0,AN1251)+AP1252+AD1251+AL1251,IF(AR1252=AR1251,INDEX('Aub Demand'!Q:Q,MATCH($O1251,'Aub Demand'!$A:$A,0))-IF(AN1251="",0,AN1251)+AP1252+AD1251,IF(AM1251&lt;&gt;"",INDEX('Aub Demand'!Q:Q,MATCH($O1251,'Aub Demand'!$A:$A,0))-IF(AN1251="",0,AN1251)+AD1251+AL1251,INDEX('Aub Demand'!Q:Q,MATCH($O1251,'Aub Demand'!$A:$A,0))-IF(AN1251="",0,AN1251)+AD1251))),"")</f>
        <v>-25</v>
      </c>
      <c r="Y1251" s="53">
        <f t="shared" si="536"/>
        <v>-6.3</v>
      </c>
      <c r="Z1251" s="52">
        <f>IF(L1251="","",INDEX('Aub Demand'!H:H,MATCH($O1251,'Aub Demand'!$A:$A,0)))</f>
        <v>17</v>
      </c>
      <c r="AA1251" s="52" t="str">
        <f t="shared" si="537"/>
        <v>-spike-</v>
      </c>
      <c r="AB1251" s="52">
        <f>IFERROR(INDEX('Aub Demand'!L:L,MATCH($O1251,'Aub Demand'!$A:$A,0)),"")</f>
        <v>17</v>
      </c>
      <c r="AC1251" s="52">
        <f>IFERROR(IF(O1251="","",SUMIFS('CPL Mats'!F:F,'CPL Mats'!Q:Q,AR1251,'CPL Mats'!S:S,AS1251)),"")</f>
        <v>0</v>
      </c>
      <c r="AF1251" s="25" t="str">
        <f>IF(SUMIFS('Supp Consol'!S:S,'Supp Consol'!Y:Y,"Releasable",'Supp Consol'!A:A,O1251)=0,"",SUMIFS('Supp Consol'!S:S,'Supp Consol'!Y:Y,"Releasable",'Supp Consol'!A:A,O1251))</f>
        <v/>
      </c>
      <c r="AG1251" s="25" t="str">
        <f>IFERROR(INDEX('Hun Demand'!Q:Q,MATCH(O1251,'Hun Demand'!A:A,0)),"")</f>
        <v/>
      </c>
      <c r="AH1251" s="25" t="str">
        <f>IFERROR(INDEX('Hun Demand'!H:H,MATCH($O1251,'Hun Demand'!$A:$A,0)),"")</f>
        <v/>
      </c>
      <c r="AI1251" s="25" t="str">
        <f>IF(SUMIFS('Supp Consol'!AA:AA,'Supp Consol'!Z:Z,"Expires this month",'Supp Consol'!A:A,O1251)=0,"",SUMIFS('Supp Consol'!AA:AA,'Supp Consol'!Z:Z,"Expires this month",'Supp Consol'!A:A,O1251))</f>
        <v/>
      </c>
      <c r="AJ1251" s="25" t="str">
        <f>IF(SUMIFS('Supp Consol'!AA:AA,'Supp Consol'!Z:Z,"Expired Previous Months",'Supp Consol'!A:A,O1251)=0,"",SUMIFS('Supp Consol'!AA:AA,'Supp Consol'!Z:Z,"Expired Previous Months",'Supp Consol'!A:A,O1251))</f>
        <v/>
      </c>
      <c r="AK1251" s="25" t="str">
        <f>IFERROR(INDEX('Hun Release Current'!B:B,MATCH(O1251,'Hun Release Current'!A:A,0)),"")</f>
        <v/>
      </c>
      <c r="AL1251" s="25" t="str">
        <f>IF(SUMIF('Prev Aub'!A:A,O1251,'Prev Aub'!B:B)=0,"",SUMIF('Prev Aub'!A:A,O1251,'Prev Aub'!B:B))</f>
        <v/>
      </c>
      <c r="AN1251" s="25" t="s">
        <v>3790</v>
      </c>
      <c r="AO1251" s="25" t="s">
        <v>3790</v>
      </c>
      <c r="AP1251" s="25">
        <f t="shared" si="538"/>
        <v>0</v>
      </c>
      <c r="AQ1251" s="151" t="str">
        <f>IF(SUMIFS('Supp Consol'!S:S,'Supp Consol'!A:A,O1251,'Supp Consol'!I:I,"PENDING")=0,"",SUMIFS('Supp Consol'!S:S,'Supp Consol'!A:A,O1251,'Supp Consol'!I:I,"PENDING"))</f>
        <v/>
      </c>
      <c r="AR1251" s="27" t="str">
        <f t="shared" si="539"/>
        <v>VS203</v>
      </c>
      <c r="AS1251" s="27" t="str">
        <f t="shared" si="540"/>
        <v>50</v>
      </c>
      <c r="AT1251" s="27" t="str">
        <f t="shared" si="541"/>
        <v>VS203</v>
      </c>
      <c r="AU1251" s="27" t="str">
        <f t="shared" si="542"/>
        <v>VS203</v>
      </c>
      <c r="AV1251" s="27" t="str">
        <f t="shared" si="543"/>
        <v>VS203</v>
      </c>
      <c r="AW1251" s="27" t="str">
        <f t="shared" si="544"/>
        <v/>
      </c>
      <c r="AX1251" s="27" t="str">
        <f t="shared" si="545"/>
        <v/>
      </c>
      <c r="AY1251" s="27" t="str">
        <f t="shared" si="546"/>
        <v/>
      </c>
      <c r="AZ1251" s="27" t="str">
        <f t="shared" si="547"/>
        <v/>
      </c>
      <c r="BA1251" s="27" t="str">
        <f t="shared" si="548"/>
        <v/>
      </c>
      <c r="BB1251" s="27" t="str">
        <f t="shared" si="549"/>
        <v>Gross</v>
      </c>
      <c r="BC1251" s="27" t="str">
        <f t="shared" si="550"/>
        <v>Net</v>
      </c>
      <c r="BD1251" s="27" t="str">
        <f t="shared" si="551"/>
        <v>Net</v>
      </c>
      <c r="BE1251" s="27" t="str">
        <f t="shared" si="552"/>
        <v/>
      </c>
      <c r="BF1251" s="27" t="str">
        <f t="shared" si="553"/>
        <v/>
      </c>
      <c r="BG1251" s="27" t="str">
        <f t="shared" si="554"/>
        <v/>
      </c>
      <c r="BH1251" s="27" t="str">
        <f t="shared" si="555"/>
        <v/>
      </c>
      <c r="BI1251" s="27" t="str">
        <f t="shared" si="556"/>
        <v/>
      </c>
      <c r="BJ1251" s="27" t="str">
        <f t="shared" si="557"/>
        <v/>
      </c>
      <c r="BK1251" s="27" t="str">
        <f t="shared" si="558"/>
        <v/>
      </c>
      <c r="BL1251" s="27" t="str">
        <f t="shared" si="559"/>
        <v/>
      </c>
      <c r="BM1251" s="21" t="s">
        <v>3790</v>
      </c>
    </row>
    <row r="1252" spans="1:65" ht="15">
      <c r="A1252" s="25" t="str">
        <f>IFERROR(INDEX('Hun Demand'!W:W,MATCH(O1252,'Hun Demand'!A:A,0)),"")</f>
        <v/>
      </c>
      <c r="B1252" s="25" t="str">
        <f>IFERROR(INDEX('Hun Demand'!V:V,MATCH(O1252,'Hun Demand'!A:A,0)),"")</f>
        <v/>
      </c>
      <c r="C1252" s="25" t="str">
        <f>IFERROR(INDEX('Hun Demand'!U:U,MATCH(O1252,'Hun Demand'!A:A,0)),"")</f>
        <v/>
      </c>
      <c r="D1252" s="25" t="str">
        <f>IFERROR(INDEX('Hun Demand'!T:T,MATCH(O1252,'Hun Demand'!A:A,0)),"")</f>
        <v/>
      </c>
      <c r="E1252" s="25" t="str">
        <f>IFERROR(INDEX('Hun Demand'!S:S,MATCH(O1252,'Hun Demand'!A:A,0)),"")</f>
        <v/>
      </c>
      <c r="F1252" s="25" t="str">
        <f>IFERROR(INDEX('Hun Demand'!R:R,MATCH(O1252,'Hun Demand'!A:A,0)),"")</f>
        <v/>
      </c>
      <c r="G1252" s="25">
        <f>IFERROR(INDEX('Aub Demand'!W:W,MATCH(O1252,'Aub Demand'!A:A,0)),"")</f>
        <v>0</v>
      </c>
      <c r="H1252" s="25">
        <f>IFERROR(INDEX('Aub Demand'!V:V,MATCH(O1252,'Aub Demand'!A:A,0)),"")</f>
        <v>0</v>
      </c>
      <c r="I1252" s="25">
        <f>IFERROR(INDEX('Aub Demand'!U:U,MATCH(O1252,'Aub Demand'!A:A,0)),"")</f>
        <v>0</v>
      </c>
      <c r="J1252" s="25">
        <f>IFERROR(INDEX('Aub Demand'!T:T,MATCH(O1252,'Aub Demand'!A:A,0)),"")</f>
        <v>0</v>
      </c>
      <c r="K1252" s="25">
        <f>IFERROR(INDEX('Aub Demand'!S:S,MATCH(O1252,'Aub Demand'!A:A,0)),"")</f>
        <v>0</v>
      </c>
      <c r="L1252" s="25">
        <f>IFERROR(INDEX('Aub Demand'!R:R,MATCH(O1252,'Aub Demand'!A:A,0)),"")</f>
        <v>0</v>
      </c>
      <c r="O1252" s="27" t="s">
        <v>2868</v>
      </c>
      <c r="P1252" s="27" t="str">
        <f>IFERROR(INDEX('Aub Demand'!B:B,MATCH($O1252,'Aub Demand'!$A:$A,0)),"")</f>
        <v>VARNISH</v>
      </c>
      <c r="Q1252" s="27" t="str">
        <f>IFERROR(INDEX('Aub Demand'!C:C,MATCH($O1252,'Aub Demand'!$A:$A,0)),"")</f>
        <v>TOPPA</v>
      </c>
      <c r="R1252" s="52">
        <f>IFERROR(IF(AR1253=AR1252,INDEX('Aub Demand'!K:K,MATCH($O1252,'Aub Demand'!$A:$A,0))-IF(AN1252="",0,AN1252)+AP1253,INDEX('Aub Demand'!K:K,MATCH($O1252,'Aub Demand'!$A:$A,0))-IF(AN1252="",0,AN1252)),"")</f>
        <v>165</v>
      </c>
      <c r="S1252" s="53" t="str">
        <f t="shared" si="532"/>
        <v>n/a</v>
      </c>
      <c r="T1252" s="52" t="str">
        <f t="shared" si="533"/>
        <v/>
      </c>
      <c r="U1252" s="52">
        <f>IFERROR(IF(AR1253=AR1252,INDEX('Aub Demand'!Q:Q,MATCH($O1252,'Aub Demand'!$A:$A,0))-IF(AN1252="",0,AN1252)+AP1253,INDEX('Aub Demand'!Q:Q,MATCH($O1252,'Aub Demand'!$A:$A,0))-IF(AN1252="",0,AN1252)),"")</f>
        <v>165</v>
      </c>
      <c r="V1252" s="53" t="str">
        <f t="shared" si="534"/>
        <v>n/a</v>
      </c>
      <c r="W1252" s="52" t="str">
        <f t="shared" si="535"/>
        <v/>
      </c>
      <c r="X1252" s="52">
        <f>IFERROR(IF(AND(AR1253=AR1252,AM1252&lt;&gt;""),INDEX('Aub Demand'!Q:Q,MATCH($O1252,'Aub Demand'!$A:$A,0))-IF(AN1252="",0,AN1252)+AP1253+AD1252+AL1252,IF(AR1253=AR1252,INDEX('Aub Demand'!Q:Q,MATCH($O1252,'Aub Demand'!$A:$A,0))-IF(AN1252="",0,AN1252)+AP1253+AD1252,IF(AM1252&lt;&gt;"",INDEX('Aub Demand'!Q:Q,MATCH($O1252,'Aub Demand'!$A:$A,0))-IF(AN1252="",0,AN1252)+AD1252+AL1252,INDEX('Aub Demand'!Q:Q,MATCH($O1252,'Aub Demand'!$A:$A,0))-IF(AN1252="",0,AN1252)+AD1252))),"")</f>
        <v>165</v>
      </c>
      <c r="Y1252" s="53" t="str">
        <f t="shared" si="536"/>
        <v>n/a</v>
      </c>
      <c r="Z1252" s="52">
        <f>IF(L1252="","",INDEX('Aub Demand'!H:H,MATCH($O1252,'Aub Demand'!$A:$A,0)))</f>
        <v>0</v>
      </c>
      <c r="AA1252" s="52" t="str">
        <f t="shared" si="537"/>
        <v>-spike-</v>
      </c>
      <c r="AB1252" s="52">
        <f>IFERROR(INDEX('Aub Demand'!L:L,MATCH($O1252,'Aub Demand'!$A:$A,0)),"")</f>
        <v>0</v>
      </c>
      <c r="AC1252" s="52">
        <f>IFERROR(IF(O1252="","",SUMIFS('CPL Mats'!F:F,'CPL Mats'!Q:Q,AR1252,'CPL Mats'!S:S,AS1252)),"")</f>
        <v>0</v>
      </c>
      <c r="AF1252" s="25" t="str">
        <f>IF(SUMIFS('Supp Consol'!S:S,'Supp Consol'!Y:Y,"Releasable",'Supp Consol'!A:A,O1252)=0,"",SUMIFS('Supp Consol'!S:S,'Supp Consol'!Y:Y,"Releasable",'Supp Consol'!A:A,O1252))</f>
        <v/>
      </c>
      <c r="AG1252" s="25" t="str">
        <f>IFERROR(INDEX('Hun Demand'!Q:Q,MATCH(O1252,'Hun Demand'!A:A,0)),"")</f>
        <v/>
      </c>
      <c r="AH1252" s="25" t="str">
        <f>IFERROR(INDEX('Hun Demand'!H:H,MATCH($O1252,'Hun Demand'!$A:$A,0)),"")</f>
        <v/>
      </c>
      <c r="AI1252" s="25" t="str">
        <f>IF(SUMIFS('Supp Consol'!AA:AA,'Supp Consol'!Z:Z,"Expires this month",'Supp Consol'!A:A,O1252)=0,"",SUMIFS('Supp Consol'!AA:AA,'Supp Consol'!Z:Z,"Expires this month",'Supp Consol'!A:A,O1252))</f>
        <v/>
      </c>
      <c r="AJ1252" s="25" t="str">
        <f>IF(SUMIFS('Supp Consol'!AA:AA,'Supp Consol'!Z:Z,"Expired Previous Months",'Supp Consol'!A:A,O1252)=0,"",SUMIFS('Supp Consol'!AA:AA,'Supp Consol'!Z:Z,"Expired Previous Months",'Supp Consol'!A:A,O1252))</f>
        <v/>
      </c>
      <c r="AK1252" s="25" t="str">
        <f>IFERROR(INDEX('Hun Release Current'!B:B,MATCH(O1252,'Hun Release Current'!A:A,0)),"")</f>
        <v/>
      </c>
      <c r="AL1252" s="25" t="str">
        <f>IF(SUMIF('Prev Aub'!A:A,O1252,'Prev Aub'!B:B)=0,"",SUMIF('Prev Aub'!A:A,O1252,'Prev Aub'!B:B))</f>
        <v/>
      </c>
      <c r="AN1252" s="25" t="s">
        <v>3790</v>
      </c>
      <c r="AO1252" s="25" t="s">
        <v>3790</v>
      </c>
      <c r="AP1252" s="25">
        <f t="shared" si="538"/>
        <v>0</v>
      </c>
      <c r="AQ1252" s="151" t="str">
        <f>IF(SUMIFS('Supp Consol'!S:S,'Supp Consol'!A:A,O1252,'Supp Consol'!I:I,"PENDING")=0,"",SUMIFS('Supp Consol'!S:S,'Supp Consol'!A:A,O1252,'Supp Consol'!I:I,"PENDING"))</f>
        <v/>
      </c>
      <c r="AR1252" s="27" t="str">
        <f t="shared" si="539"/>
        <v>VS203</v>
      </c>
      <c r="AS1252" s="27" t="str">
        <f t="shared" si="540"/>
        <v>62</v>
      </c>
      <c r="AT1252" s="27" t="str">
        <f t="shared" si="541"/>
        <v/>
      </c>
      <c r="AU1252" s="27" t="str">
        <f t="shared" si="542"/>
        <v/>
      </c>
      <c r="AV1252" s="27" t="str">
        <f t="shared" si="543"/>
        <v/>
      </c>
      <c r="AW1252" s="27" t="str">
        <f t="shared" si="544"/>
        <v/>
      </c>
      <c r="AX1252" s="27" t="str">
        <f t="shared" si="545"/>
        <v/>
      </c>
      <c r="AY1252" s="27" t="str">
        <f t="shared" si="546"/>
        <v/>
      </c>
      <c r="AZ1252" s="27" t="str">
        <f t="shared" si="547"/>
        <v/>
      </c>
      <c r="BA1252" s="27" t="str">
        <f t="shared" si="548"/>
        <v/>
      </c>
      <c r="BB1252" s="27" t="str">
        <f t="shared" si="549"/>
        <v>Gross</v>
      </c>
      <c r="BC1252" s="27" t="str">
        <f t="shared" si="550"/>
        <v>Net</v>
      </c>
      <c r="BD1252" s="27" t="str">
        <f t="shared" si="551"/>
        <v>Net</v>
      </c>
      <c r="BE1252" s="27" t="str">
        <f t="shared" si="552"/>
        <v/>
      </c>
      <c r="BF1252" s="27" t="str">
        <f t="shared" si="553"/>
        <v/>
      </c>
      <c r="BG1252" s="27" t="str">
        <f t="shared" si="554"/>
        <v/>
      </c>
      <c r="BH1252" s="27" t="str">
        <f t="shared" si="555"/>
        <v/>
      </c>
      <c r="BI1252" s="27" t="str">
        <f t="shared" si="556"/>
        <v/>
      </c>
      <c r="BJ1252" s="27" t="str">
        <f t="shared" si="557"/>
        <v/>
      </c>
      <c r="BK1252" s="27" t="str">
        <f t="shared" si="558"/>
        <v/>
      </c>
      <c r="BL1252" s="27" t="str">
        <f t="shared" si="559"/>
        <v/>
      </c>
      <c r="BM1252" s="21" t="s">
        <v>3790</v>
      </c>
    </row>
    <row r="1253" spans="1:65" ht="15">
      <c r="A1253" s="25" t="str">
        <f>IFERROR(INDEX('Hun Demand'!W:W,MATCH(O1253,'Hun Demand'!A:A,0)),"")</f>
        <v/>
      </c>
      <c r="B1253" s="25" t="str">
        <f>IFERROR(INDEX('Hun Demand'!V:V,MATCH(O1253,'Hun Demand'!A:A,0)),"")</f>
        <v/>
      </c>
      <c r="C1253" s="25" t="str">
        <f>IFERROR(INDEX('Hun Demand'!U:U,MATCH(O1253,'Hun Demand'!A:A,0)),"")</f>
        <v/>
      </c>
      <c r="D1253" s="25" t="str">
        <f>IFERROR(INDEX('Hun Demand'!T:T,MATCH(O1253,'Hun Demand'!A:A,0)),"")</f>
        <v/>
      </c>
      <c r="E1253" s="25" t="str">
        <f>IFERROR(INDEX('Hun Demand'!S:S,MATCH(O1253,'Hun Demand'!A:A,0)),"")</f>
        <v/>
      </c>
      <c r="F1253" s="25" t="str">
        <f>IFERROR(INDEX('Hun Demand'!R:R,MATCH(O1253,'Hun Demand'!A:A,0)),"")</f>
        <v/>
      </c>
      <c r="G1253" s="25">
        <f>IFERROR(INDEX('Aub Demand'!W:W,MATCH(O1253,'Aub Demand'!A:A,0)),"")</f>
        <v>0</v>
      </c>
      <c r="H1253" s="25">
        <f>IFERROR(INDEX('Aub Demand'!V:V,MATCH(O1253,'Aub Demand'!A:A,0)),"")</f>
        <v>0</v>
      </c>
      <c r="I1253" s="25">
        <f>IFERROR(INDEX('Aub Demand'!U:U,MATCH(O1253,'Aub Demand'!A:A,0)),"")</f>
        <v>0</v>
      </c>
      <c r="J1253" s="25">
        <f>IFERROR(INDEX('Aub Demand'!T:T,MATCH(O1253,'Aub Demand'!A:A,0)),"")</f>
        <v>15</v>
      </c>
      <c r="K1253" s="25">
        <f>IFERROR(INDEX('Aub Demand'!S:S,MATCH(O1253,'Aub Demand'!A:A,0)),"")</f>
        <v>25</v>
      </c>
      <c r="L1253" s="25">
        <f>IFERROR(INDEX('Aub Demand'!R:R,MATCH(O1253,'Aub Demand'!A:A,0)),"")</f>
        <v>0</v>
      </c>
      <c r="O1253" s="27" t="s">
        <v>2873</v>
      </c>
      <c r="P1253" s="27" t="str">
        <f>IFERROR(INDEX('Aub Demand'!B:B,MATCH($O1253,'Aub Demand'!$A:$A,0)),"")</f>
        <v>VOUS SERENE</v>
      </c>
      <c r="Q1253" s="27" t="str">
        <f>IFERROR(INDEX('Aub Demand'!C:C,MATCH($O1253,'Aub Demand'!$A:$A,0)),"")</f>
        <v>TOPPA</v>
      </c>
      <c r="R1253" s="52">
        <f>IFERROR(IF(AR1254=AR1253,INDEX('Aub Demand'!K:K,MATCH($O1253,'Aub Demand'!$A:$A,0))-IF(AN1253="",0,AN1253)+AP1254,INDEX('Aub Demand'!K:K,MATCH($O1253,'Aub Demand'!$A:$A,0))-IF(AN1253="",0,AN1253)),"")</f>
        <v>511</v>
      </c>
      <c r="S1253" s="53">
        <f t="shared" si="532"/>
        <v>168.5</v>
      </c>
      <c r="T1253" s="52" t="str">
        <f t="shared" si="533"/>
        <v/>
      </c>
      <c r="U1253" s="52">
        <f>IFERROR(IF(AR1254=AR1253,INDEX('Aub Demand'!Q:Q,MATCH($O1253,'Aub Demand'!$A:$A,0))-IF(AN1253="",0,AN1253)+AP1254,INDEX('Aub Demand'!Q:Q,MATCH($O1253,'Aub Demand'!$A:$A,0))-IF(AN1253="",0,AN1253)),"")</f>
        <v>511</v>
      </c>
      <c r="V1253" s="53">
        <f t="shared" si="534"/>
        <v>168.5</v>
      </c>
      <c r="W1253" s="52" t="str">
        <f t="shared" si="535"/>
        <v/>
      </c>
      <c r="X1253" s="52">
        <f>IFERROR(IF(AND(AR1254=AR1253,AM1253&lt;&gt;""),INDEX('Aub Demand'!Q:Q,MATCH($O1253,'Aub Demand'!$A:$A,0))-IF(AN1253="",0,AN1253)+AP1254+AD1253+AL1253,IF(AR1254=AR1253,INDEX('Aub Demand'!Q:Q,MATCH($O1253,'Aub Demand'!$A:$A,0))-IF(AN1253="",0,AN1253)+AP1254+AD1253,IF(AM1253&lt;&gt;"",INDEX('Aub Demand'!Q:Q,MATCH($O1253,'Aub Demand'!$A:$A,0))-IF(AN1253="",0,AN1253)+AD1253+AL1253,INDEX('Aub Demand'!Q:Q,MATCH($O1253,'Aub Demand'!$A:$A,0))-IF(AN1253="",0,AN1253)+AD1253))),"")</f>
        <v>511</v>
      </c>
      <c r="Y1253" s="53">
        <f t="shared" si="536"/>
        <v>168.5</v>
      </c>
      <c r="Z1253" s="52">
        <f>IF(L1253="","",INDEX('Aub Demand'!H:H,MATCH($O1253,'Aub Demand'!$A:$A,0)))</f>
        <v>13</v>
      </c>
      <c r="AA1253" s="52">
        <f t="shared" si="537"/>
        <v>20</v>
      </c>
      <c r="AB1253" s="52">
        <f>IFERROR(INDEX('Aub Demand'!L:L,MATCH($O1253,'Aub Demand'!$A:$A,0)),"")</f>
        <v>0</v>
      </c>
      <c r="AC1253" s="52">
        <f>IFERROR(IF(O1253="","",SUMIFS('CPL Mats'!F:F,'CPL Mats'!Q:Q,AR1253,'CPL Mats'!S:S,AS1253)),"")</f>
        <v>0</v>
      </c>
      <c r="AF1253" s="25" t="str">
        <f>IF(SUMIFS('Supp Consol'!S:S,'Supp Consol'!Y:Y,"Releasable",'Supp Consol'!A:A,O1253)=0,"",SUMIFS('Supp Consol'!S:S,'Supp Consol'!Y:Y,"Releasable",'Supp Consol'!A:A,O1253))</f>
        <v/>
      </c>
      <c r="AG1253" s="25" t="str">
        <f>IFERROR(INDEX('Hun Demand'!Q:Q,MATCH(O1253,'Hun Demand'!A:A,0)),"")</f>
        <v/>
      </c>
      <c r="AH1253" s="25" t="str">
        <f>IFERROR(INDEX('Hun Demand'!H:H,MATCH($O1253,'Hun Demand'!$A:$A,0)),"")</f>
        <v/>
      </c>
      <c r="AI1253" s="25" t="str">
        <f>IF(SUMIFS('Supp Consol'!AA:AA,'Supp Consol'!Z:Z,"Expires this month",'Supp Consol'!A:A,O1253)=0,"",SUMIFS('Supp Consol'!AA:AA,'Supp Consol'!Z:Z,"Expires this month",'Supp Consol'!A:A,O1253))</f>
        <v/>
      </c>
      <c r="AJ1253" s="25" t="str">
        <f>IF(SUMIFS('Supp Consol'!AA:AA,'Supp Consol'!Z:Z,"Expired Previous Months",'Supp Consol'!A:A,O1253)=0,"",SUMIFS('Supp Consol'!AA:AA,'Supp Consol'!Z:Z,"Expired Previous Months",'Supp Consol'!A:A,O1253))</f>
        <v/>
      </c>
      <c r="AK1253" s="25" t="str">
        <f>IFERROR(INDEX('Hun Release Current'!B:B,MATCH(O1253,'Hun Release Current'!A:A,0)),"")</f>
        <v/>
      </c>
      <c r="AL1253" s="25" t="str">
        <f>IF(SUMIF('Prev Aub'!A:A,O1253,'Prev Aub'!B:B)=0,"",SUMIF('Prev Aub'!A:A,O1253,'Prev Aub'!B:B))</f>
        <v/>
      </c>
      <c r="AN1253" s="25" t="s">
        <v>3790</v>
      </c>
      <c r="AO1253" s="25" t="s">
        <v>3790</v>
      </c>
      <c r="AP1253" s="25">
        <f t="shared" si="538"/>
        <v>0</v>
      </c>
      <c r="AQ1253" s="151" t="str">
        <f>IF(SUMIFS('Supp Consol'!S:S,'Supp Consol'!A:A,O1253,'Supp Consol'!I:I,"PENDING")=0,"",SUMIFS('Supp Consol'!S:S,'Supp Consol'!A:A,O1253,'Supp Consol'!I:I,"PENDING"))</f>
        <v/>
      </c>
      <c r="AR1253" s="27" t="str">
        <f t="shared" si="539"/>
        <v>VS502</v>
      </c>
      <c r="AS1253" s="27" t="str">
        <f t="shared" si="540"/>
        <v>62</v>
      </c>
      <c r="AT1253" s="27" t="str">
        <f t="shared" si="541"/>
        <v/>
      </c>
      <c r="AU1253" s="27" t="str">
        <f t="shared" si="542"/>
        <v/>
      </c>
      <c r="AV1253" s="27" t="str">
        <f t="shared" si="543"/>
        <v/>
      </c>
      <c r="AW1253" s="27" t="str">
        <f t="shared" si="544"/>
        <v/>
      </c>
      <c r="AX1253" s="27" t="str">
        <f t="shared" si="545"/>
        <v/>
      </c>
      <c r="AY1253" s="27" t="str">
        <f t="shared" si="546"/>
        <v/>
      </c>
      <c r="AZ1253" s="27" t="str">
        <f t="shared" si="547"/>
        <v/>
      </c>
      <c r="BA1253" s="27" t="str">
        <f t="shared" si="548"/>
        <v/>
      </c>
      <c r="BB1253" s="27" t="str">
        <f t="shared" si="549"/>
        <v/>
      </c>
      <c r="BC1253" s="27" t="str">
        <f t="shared" si="550"/>
        <v/>
      </c>
      <c r="BD1253" s="27" t="str">
        <f t="shared" si="551"/>
        <v/>
      </c>
      <c r="BE1253" s="27" t="str">
        <f t="shared" si="552"/>
        <v/>
      </c>
      <c r="BF1253" s="27" t="str">
        <f t="shared" si="553"/>
        <v/>
      </c>
      <c r="BG1253" s="27" t="str">
        <f t="shared" si="554"/>
        <v/>
      </c>
      <c r="BH1253" s="27" t="str">
        <f t="shared" si="555"/>
        <v/>
      </c>
      <c r="BI1253" s="27" t="str">
        <f t="shared" si="556"/>
        <v/>
      </c>
      <c r="BJ1253" s="27" t="str">
        <f t="shared" si="557"/>
        <v/>
      </c>
      <c r="BK1253" s="27" t="str">
        <f t="shared" si="558"/>
        <v/>
      </c>
      <c r="BL1253" s="27" t="str">
        <f t="shared" si="559"/>
        <v/>
      </c>
      <c r="BM1253" s="21" t="s">
        <v>5581</v>
      </c>
    </row>
    <row r="1254" spans="1:65" ht="15">
      <c r="A1254" s="25" t="str">
        <f>IFERROR(INDEX('Hun Demand'!W:W,MATCH(O1254,'Hun Demand'!A:A,0)),"")</f>
        <v/>
      </c>
      <c r="B1254" s="25" t="str">
        <f>IFERROR(INDEX('Hun Demand'!V:V,MATCH(O1254,'Hun Demand'!A:A,0)),"")</f>
        <v/>
      </c>
      <c r="C1254" s="25" t="str">
        <f>IFERROR(INDEX('Hun Demand'!U:U,MATCH(O1254,'Hun Demand'!A:A,0)),"")</f>
        <v/>
      </c>
      <c r="D1254" s="25" t="str">
        <f>IFERROR(INDEX('Hun Demand'!T:T,MATCH(O1254,'Hun Demand'!A:A,0)),"")</f>
        <v/>
      </c>
      <c r="E1254" s="25" t="str">
        <f>IFERROR(INDEX('Hun Demand'!S:S,MATCH(O1254,'Hun Demand'!A:A,0)),"")</f>
        <v/>
      </c>
      <c r="F1254" s="25" t="str">
        <f>IFERROR(INDEX('Hun Demand'!R:R,MATCH(O1254,'Hun Demand'!A:A,0)),"")</f>
        <v/>
      </c>
      <c r="G1254" s="25">
        <f>IFERROR(INDEX('Aub Demand'!W:W,MATCH(O1254,'Aub Demand'!A:A,0)),"")</f>
        <v>0</v>
      </c>
      <c r="H1254" s="25">
        <f>IFERROR(INDEX('Aub Demand'!V:V,MATCH(O1254,'Aub Demand'!A:A,0)),"")</f>
        <v>0</v>
      </c>
      <c r="I1254" s="25">
        <f>IFERROR(INDEX('Aub Demand'!U:U,MATCH(O1254,'Aub Demand'!A:A,0)),"")</f>
        <v>0</v>
      </c>
      <c r="J1254" s="25">
        <f>IFERROR(INDEX('Aub Demand'!T:T,MATCH(O1254,'Aub Demand'!A:A,0)),"")</f>
        <v>18</v>
      </c>
      <c r="K1254" s="25">
        <f>IFERROR(INDEX('Aub Demand'!S:S,MATCH(O1254,'Aub Demand'!A:A,0)),"")</f>
        <v>25</v>
      </c>
      <c r="L1254" s="25">
        <f>IFERROR(INDEX('Aub Demand'!R:R,MATCH(O1254,'Aub Demand'!A:A,0)),"")</f>
        <v>0</v>
      </c>
      <c r="O1254" s="27" t="s">
        <v>2874</v>
      </c>
      <c r="P1254" s="27" t="str">
        <f>IFERROR(INDEX('Aub Demand'!B:B,MATCH($O1254,'Aub Demand'!$A:$A,0)),"")</f>
        <v>VOUS METAL</v>
      </c>
      <c r="Q1254" s="27" t="str">
        <f>IFERROR(INDEX('Aub Demand'!C:C,MATCH($O1254,'Aub Demand'!$A:$A,0)),"")</f>
        <v>TOPPA</v>
      </c>
      <c r="R1254" s="52">
        <f>IFERROR(IF(AR1255=AR1254,INDEX('Aub Demand'!K:K,MATCH($O1254,'Aub Demand'!$A:$A,0))-IF(AN1254="",0,AN1254)+AP1255,INDEX('Aub Demand'!K:K,MATCH($O1254,'Aub Demand'!$A:$A,0))-IF(AN1254="",0,AN1254)),"")</f>
        <v>0</v>
      </c>
      <c r="S1254" s="53">
        <f t="shared" si="532"/>
        <v>0</v>
      </c>
      <c r="T1254" s="52">
        <f t="shared" si="533"/>
        <v>16.125</v>
      </c>
      <c r="U1254" s="52">
        <f>IFERROR(IF(AR1255=AR1254,INDEX('Aub Demand'!Q:Q,MATCH($O1254,'Aub Demand'!$A:$A,0))-IF(AN1254="",0,AN1254)+AP1255,INDEX('Aub Demand'!Q:Q,MATCH($O1254,'Aub Demand'!$A:$A,0))-IF(AN1254="",0,AN1254)),"")</f>
        <v>-14</v>
      </c>
      <c r="V1254" s="53">
        <f t="shared" si="534"/>
        <v>-4.3</v>
      </c>
      <c r="W1254" s="52">
        <f t="shared" si="535"/>
        <v>39.237499999999997</v>
      </c>
      <c r="X1254" s="52">
        <f>IFERROR(IF(AND(AR1255=AR1254,AM1254&lt;&gt;""),INDEX('Aub Demand'!Q:Q,MATCH($O1254,'Aub Demand'!$A:$A,0))-IF(AN1254="",0,AN1254)+AP1255+AD1254+AL1254,IF(AR1255=AR1254,INDEX('Aub Demand'!Q:Q,MATCH($O1254,'Aub Demand'!$A:$A,0))-IF(AN1254="",0,AN1254)+AP1255+AD1254,IF(AM1254&lt;&gt;"",INDEX('Aub Demand'!Q:Q,MATCH($O1254,'Aub Demand'!$A:$A,0))-IF(AN1254="",0,AN1254)+AD1254+AL1254,INDEX('Aub Demand'!Q:Q,MATCH($O1254,'Aub Demand'!$A:$A,0))-IF(AN1254="",0,AN1254)+AD1254))),"")</f>
        <v>-14</v>
      </c>
      <c r="Y1254" s="53">
        <f t="shared" si="536"/>
        <v>-4.3</v>
      </c>
      <c r="Z1254" s="52">
        <f>IF(L1254="","",INDEX('Aub Demand'!H:H,MATCH($O1254,'Aub Demand'!$A:$A,0)))</f>
        <v>14</v>
      </c>
      <c r="AA1254" s="52">
        <f t="shared" si="537"/>
        <v>21.5</v>
      </c>
      <c r="AB1254" s="52">
        <f>IFERROR(INDEX('Aub Demand'!L:L,MATCH($O1254,'Aub Demand'!$A:$A,0)),"")</f>
        <v>29</v>
      </c>
      <c r="AC1254" s="52">
        <f>IFERROR(IF(O1254="","",SUMIFS('CPL Mats'!F:F,'CPL Mats'!Q:Q,AR1254,'CPL Mats'!S:S,AS1254)),"")</f>
        <v>0</v>
      </c>
      <c r="AF1254" s="25" t="str">
        <f>IF(SUMIFS('Supp Consol'!S:S,'Supp Consol'!Y:Y,"Releasable",'Supp Consol'!A:A,O1254)=0,"",SUMIFS('Supp Consol'!S:S,'Supp Consol'!Y:Y,"Releasable",'Supp Consol'!A:A,O1254))</f>
        <v/>
      </c>
      <c r="AG1254" s="25" t="str">
        <f>IFERROR(INDEX('Hun Demand'!Q:Q,MATCH(O1254,'Hun Demand'!A:A,0)),"")</f>
        <v/>
      </c>
      <c r="AH1254" s="25" t="str">
        <f>IFERROR(INDEX('Hun Demand'!H:H,MATCH($O1254,'Hun Demand'!$A:$A,0)),"")</f>
        <v/>
      </c>
      <c r="AI1254" s="25" t="str">
        <f>IF(SUMIFS('Supp Consol'!AA:AA,'Supp Consol'!Z:Z,"Expires this month",'Supp Consol'!A:A,O1254)=0,"",SUMIFS('Supp Consol'!AA:AA,'Supp Consol'!Z:Z,"Expires this month",'Supp Consol'!A:A,O1254))</f>
        <v/>
      </c>
      <c r="AJ1254" s="25" t="str">
        <f>IF(SUMIFS('Supp Consol'!AA:AA,'Supp Consol'!Z:Z,"Expired Previous Months",'Supp Consol'!A:A,O1254)=0,"",SUMIFS('Supp Consol'!AA:AA,'Supp Consol'!Z:Z,"Expired Previous Months",'Supp Consol'!A:A,O1254))</f>
        <v/>
      </c>
      <c r="AK1254" s="25" t="str">
        <f>IFERROR(INDEX('Hun Release Current'!B:B,MATCH(O1254,'Hun Release Current'!A:A,0)),"")</f>
        <v/>
      </c>
      <c r="AL1254" s="25" t="str">
        <f>IF(SUMIF('Prev Aub'!A:A,O1254,'Prev Aub'!B:B)=0,"",SUMIF('Prev Aub'!A:A,O1254,'Prev Aub'!B:B))</f>
        <v/>
      </c>
      <c r="AN1254" s="25" t="s">
        <v>3790</v>
      </c>
      <c r="AO1254" s="25" t="s">
        <v>3790</v>
      </c>
      <c r="AP1254" s="25">
        <f t="shared" si="538"/>
        <v>0</v>
      </c>
      <c r="AQ1254" s="151" t="str">
        <f>IF(SUMIFS('Supp Consol'!S:S,'Supp Consol'!A:A,O1254,'Supp Consol'!I:I,"PENDING")=0,"",SUMIFS('Supp Consol'!S:S,'Supp Consol'!A:A,O1254,'Supp Consol'!I:I,"PENDING"))</f>
        <v/>
      </c>
      <c r="AR1254" s="27" t="str">
        <f t="shared" si="539"/>
        <v>VS601</v>
      </c>
      <c r="AS1254" s="27" t="str">
        <f t="shared" si="540"/>
        <v>50</v>
      </c>
      <c r="AT1254" s="27" t="str">
        <f t="shared" si="541"/>
        <v>VS601</v>
      </c>
      <c r="AU1254" s="27" t="str">
        <f t="shared" si="542"/>
        <v>VS601</v>
      </c>
      <c r="AV1254" s="27" t="str">
        <f t="shared" si="543"/>
        <v>VS601</v>
      </c>
      <c r="AW1254" s="27" t="str">
        <f t="shared" si="544"/>
        <v/>
      </c>
      <c r="AX1254" s="27" t="str">
        <f t="shared" si="545"/>
        <v/>
      </c>
      <c r="AY1254" s="27" t="str">
        <f t="shared" si="546"/>
        <v/>
      </c>
      <c r="AZ1254" s="27" t="str">
        <f t="shared" si="547"/>
        <v/>
      </c>
      <c r="BA1254" s="27" t="str">
        <f t="shared" si="548"/>
        <v/>
      </c>
      <c r="BB1254" s="27" t="str">
        <f t="shared" si="549"/>
        <v>Gross</v>
      </c>
      <c r="BC1254" s="27" t="str">
        <f t="shared" si="550"/>
        <v>Net</v>
      </c>
      <c r="BD1254" s="27" t="str">
        <f t="shared" si="551"/>
        <v>Net</v>
      </c>
      <c r="BE1254" s="27" t="str">
        <f t="shared" si="552"/>
        <v/>
      </c>
      <c r="BF1254" s="27" t="str">
        <f t="shared" si="553"/>
        <v/>
      </c>
      <c r="BG1254" s="27" t="str">
        <f t="shared" si="554"/>
        <v/>
      </c>
      <c r="BH1254" s="27" t="str">
        <f t="shared" si="555"/>
        <v/>
      </c>
      <c r="BI1254" s="27" t="str">
        <f t="shared" si="556"/>
        <v/>
      </c>
      <c r="BJ1254" s="27" t="str">
        <f t="shared" si="557"/>
        <v/>
      </c>
      <c r="BK1254" s="27" t="str">
        <f t="shared" si="558"/>
        <v/>
      </c>
      <c r="BL1254" s="27" t="str">
        <f t="shared" si="559"/>
        <v/>
      </c>
      <c r="BM1254" s="21" t="s">
        <v>5581</v>
      </c>
    </row>
    <row r="1255" spans="1:65" ht="15">
      <c r="A1255" s="25" t="str">
        <f>IFERROR(INDEX('Hun Demand'!W:W,MATCH(O1255,'Hun Demand'!A:A,0)),"")</f>
        <v/>
      </c>
      <c r="B1255" s="25" t="str">
        <f>IFERROR(INDEX('Hun Demand'!V:V,MATCH(O1255,'Hun Demand'!A:A,0)),"")</f>
        <v/>
      </c>
      <c r="C1255" s="25" t="str">
        <f>IFERROR(INDEX('Hun Demand'!U:U,MATCH(O1255,'Hun Demand'!A:A,0)),"")</f>
        <v/>
      </c>
      <c r="D1255" s="25" t="str">
        <f>IFERROR(INDEX('Hun Demand'!T:T,MATCH(O1255,'Hun Demand'!A:A,0)),"")</f>
        <v/>
      </c>
      <c r="E1255" s="25" t="str">
        <f>IFERROR(INDEX('Hun Demand'!S:S,MATCH(O1255,'Hun Demand'!A:A,0)),"")</f>
        <v/>
      </c>
      <c r="F1255" s="25" t="str">
        <f>IFERROR(INDEX('Hun Demand'!R:R,MATCH(O1255,'Hun Demand'!A:A,0)),"")</f>
        <v/>
      </c>
      <c r="G1255" s="25">
        <f>IFERROR(INDEX('Aub Demand'!W:W,MATCH(O1255,'Aub Demand'!A:A,0)),"")</f>
        <v>0</v>
      </c>
      <c r="H1255" s="25">
        <f>IFERROR(INDEX('Aub Demand'!V:V,MATCH(O1255,'Aub Demand'!A:A,0)),"")</f>
        <v>27</v>
      </c>
      <c r="I1255" s="25">
        <f>IFERROR(INDEX('Aub Demand'!U:U,MATCH(O1255,'Aub Demand'!A:A,0)),"")</f>
        <v>0</v>
      </c>
      <c r="J1255" s="25">
        <f>IFERROR(INDEX('Aub Demand'!T:T,MATCH(O1255,'Aub Demand'!A:A,0)),"")</f>
        <v>26</v>
      </c>
      <c r="K1255" s="25">
        <f>IFERROR(INDEX('Aub Demand'!S:S,MATCH(O1255,'Aub Demand'!A:A,0)),"")</f>
        <v>0</v>
      </c>
      <c r="L1255" s="25">
        <f>IFERROR(INDEX('Aub Demand'!R:R,MATCH(O1255,'Aub Demand'!A:A,0)),"")</f>
        <v>0</v>
      </c>
      <c r="O1255" s="27" t="s">
        <v>2876</v>
      </c>
      <c r="P1255" s="27" t="str">
        <f>IFERROR(INDEX('Aub Demand'!B:B,MATCH($O1255,'Aub Demand'!$A:$A,0)),"")</f>
        <v>VOUS METAL</v>
      </c>
      <c r="Q1255" s="27" t="str">
        <f>IFERROR(INDEX('Aub Demand'!C:C,MATCH($O1255,'Aub Demand'!$A:$A,0)),"")</f>
        <v>TOPPA</v>
      </c>
      <c r="R1255" s="52">
        <f>IFERROR(IF(AR1256=AR1255,INDEX('Aub Demand'!K:K,MATCH($O1255,'Aub Demand'!$A:$A,0))-IF(AN1255="",0,AN1255)+AP1256,INDEX('Aub Demand'!K:K,MATCH($O1255,'Aub Demand'!$A:$A,0))-IF(AN1255="",0,AN1255)),"")</f>
        <v>1294</v>
      </c>
      <c r="S1255" s="53">
        <f t="shared" si="532"/>
        <v>616.20000000000005</v>
      </c>
      <c r="T1255" s="52" t="str">
        <f t="shared" si="533"/>
        <v/>
      </c>
      <c r="U1255" s="52">
        <f>IFERROR(IF(AR1256=AR1255,INDEX('Aub Demand'!Q:Q,MATCH($O1255,'Aub Demand'!$A:$A,0))-IF(AN1255="",0,AN1255)+AP1256,INDEX('Aub Demand'!Q:Q,MATCH($O1255,'Aub Demand'!$A:$A,0))-IF(AN1255="",0,AN1255)),"")</f>
        <v>1294</v>
      </c>
      <c r="V1255" s="53">
        <f t="shared" si="534"/>
        <v>616.20000000000005</v>
      </c>
      <c r="W1255" s="52" t="str">
        <f t="shared" si="535"/>
        <v/>
      </c>
      <c r="X1255" s="52">
        <f>IFERROR(IF(AND(AR1256=AR1255,AM1255&lt;&gt;""),INDEX('Aub Demand'!Q:Q,MATCH($O1255,'Aub Demand'!$A:$A,0))-IF(AN1255="",0,AN1255)+AP1256+AD1255+AL1255,IF(AR1256=AR1255,INDEX('Aub Demand'!Q:Q,MATCH($O1255,'Aub Demand'!$A:$A,0))-IF(AN1255="",0,AN1255)+AP1256+AD1255,IF(AM1255&lt;&gt;"",INDEX('Aub Demand'!Q:Q,MATCH($O1255,'Aub Demand'!$A:$A,0))-IF(AN1255="",0,AN1255)+AD1255+AL1255,INDEX('Aub Demand'!Q:Q,MATCH($O1255,'Aub Demand'!$A:$A,0))-IF(AN1255="",0,AN1255)+AD1255))),"")</f>
        <v>1294</v>
      </c>
      <c r="Y1255" s="53">
        <f t="shared" si="536"/>
        <v>616.20000000000005</v>
      </c>
      <c r="Z1255" s="52">
        <f>IF(L1255="","",INDEX('Aub Demand'!H:H,MATCH($O1255,'Aub Demand'!$A:$A,0)))</f>
        <v>9</v>
      </c>
      <c r="AA1255" s="52" t="str">
        <f t="shared" si="537"/>
        <v>-spike-</v>
      </c>
      <c r="AB1255" s="52">
        <f>IFERROR(INDEX('Aub Demand'!L:L,MATCH($O1255,'Aub Demand'!$A:$A,0)),"")</f>
        <v>26</v>
      </c>
      <c r="AC1255" s="52">
        <f>IFERROR(IF(O1255="","",SUMIFS('CPL Mats'!F:F,'CPL Mats'!Q:Q,AR1255,'CPL Mats'!S:S,AS1255)),"")</f>
        <v>0</v>
      </c>
      <c r="AF1255" s="25" t="str">
        <f>IF(SUMIFS('Supp Consol'!S:S,'Supp Consol'!Y:Y,"Releasable",'Supp Consol'!A:A,O1255)=0,"",SUMIFS('Supp Consol'!S:S,'Supp Consol'!Y:Y,"Releasable",'Supp Consol'!A:A,O1255))</f>
        <v/>
      </c>
      <c r="AG1255" s="25" t="str">
        <f>IFERROR(INDEX('Hun Demand'!Q:Q,MATCH(O1255,'Hun Demand'!A:A,0)),"")</f>
        <v/>
      </c>
      <c r="AH1255" s="25" t="str">
        <f>IFERROR(INDEX('Hun Demand'!H:H,MATCH($O1255,'Hun Demand'!$A:$A,0)),"")</f>
        <v/>
      </c>
      <c r="AI1255" s="25" t="str">
        <f>IF(SUMIFS('Supp Consol'!AA:AA,'Supp Consol'!Z:Z,"Expires this month",'Supp Consol'!A:A,O1255)=0,"",SUMIFS('Supp Consol'!AA:AA,'Supp Consol'!Z:Z,"Expires this month",'Supp Consol'!A:A,O1255))</f>
        <v/>
      </c>
      <c r="AJ1255" s="25" t="str">
        <f>IF(SUMIFS('Supp Consol'!AA:AA,'Supp Consol'!Z:Z,"Expired Previous Months",'Supp Consol'!A:A,O1255)=0,"",SUMIFS('Supp Consol'!AA:AA,'Supp Consol'!Z:Z,"Expired Previous Months",'Supp Consol'!A:A,O1255))</f>
        <v/>
      </c>
      <c r="AK1255" s="25" t="str">
        <f>IFERROR(INDEX('Hun Release Current'!B:B,MATCH(O1255,'Hun Release Current'!A:A,0)),"")</f>
        <v/>
      </c>
      <c r="AL1255" s="25" t="str">
        <f>IF(SUMIF('Prev Aub'!A:A,O1255,'Prev Aub'!B:B)=0,"",SUMIF('Prev Aub'!A:A,O1255,'Prev Aub'!B:B))</f>
        <v/>
      </c>
      <c r="AN1255" s="25" t="s">
        <v>3790</v>
      </c>
      <c r="AO1255" s="25" t="s">
        <v>3790</v>
      </c>
      <c r="AP1255" s="25">
        <f t="shared" si="538"/>
        <v>0</v>
      </c>
      <c r="AQ1255" s="151" t="str">
        <f>IF(SUMIFS('Supp Consol'!S:S,'Supp Consol'!A:A,O1255,'Supp Consol'!I:I,"PENDING")=0,"",SUMIFS('Supp Consol'!S:S,'Supp Consol'!A:A,O1255,'Supp Consol'!I:I,"PENDING"))</f>
        <v/>
      </c>
      <c r="AR1255" s="27" t="str">
        <f t="shared" si="539"/>
        <v>VS601</v>
      </c>
      <c r="AS1255" s="27" t="str">
        <f t="shared" si="540"/>
        <v>62</v>
      </c>
      <c r="AT1255" s="27" t="str">
        <f t="shared" si="541"/>
        <v/>
      </c>
      <c r="AU1255" s="27" t="str">
        <f t="shared" si="542"/>
        <v/>
      </c>
      <c r="AV1255" s="27" t="str">
        <f t="shared" si="543"/>
        <v/>
      </c>
      <c r="AW1255" s="27" t="str">
        <f t="shared" si="544"/>
        <v/>
      </c>
      <c r="AX1255" s="27" t="str">
        <f t="shared" si="545"/>
        <v/>
      </c>
      <c r="AY1255" s="27" t="str">
        <f t="shared" si="546"/>
        <v/>
      </c>
      <c r="AZ1255" s="27" t="str">
        <f t="shared" si="547"/>
        <v/>
      </c>
      <c r="BA1255" s="27" t="str">
        <f t="shared" si="548"/>
        <v/>
      </c>
      <c r="BB1255" s="27" t="str">
        <f t="shared" si="549"/>
        <v>Gross</v>
      </c>
      <c r="BC1255" s="27" t="str">
        <f t="shared" si="550"/>
        <v>Net</v>
      </c>
      <c r="BD1255" s="27" t="str">
        <f t="shared" si="551"/>
        <v>Net</v>
      </c>
      <c r="BE1255" s="27" t="str">
        <f t="shared" si="552"/>
        <v/>
      </c>
      <c r="BF1255" s="27" t="str">
        <f t="shared" si="553"/>
        <v/>
      </c>
      <c r="BG1255" s="27" t="str">
        <f t="shared" si="554"/>
        <v/>
      </c>
      <c r="BH1255" s="27" t="str">
        <f t="shared" si="555"/>
        <v/>
      </c>
      <c r="BI1255" s="27" t="str">
        <f t="shared" si="556"/>
        <v/>
      </c>
      <c r="BJ1255" s="27" t="str">
        <f t="shared" si="557"/>
        <v/>
      </c>
      <c r="BK1255" s="27" t="str">
        <f t="shared" si="558"/>
        <v/>
      </c>
      <c r="BL1255" s="27" t="str">
        <f t="shared" si="559"/>
        <v/>
      </c>
      <c r="BM1255" s="21" t="s">
        <v>5581</v>
      </c>
    </row>
    <row r="1256" spans="1:65" ht="15">
      <c r="A1256" s="25" t="str">
        <f>IFERROR(INDEX('Hun Demand'!W:W,MATCH(O1256,'Hun Demand'!A:A,0)),"")</f>
        <v/>
      </c>
      <c r="B1256" s="25" t="str">
        <f>IFERROR(INDEX('Hun Demand'!V:V,MATCH(O1256,'Hun Demand'!A:A,0)),"")</f>
        <v/>
      </c>
      <c r="C1256" s="25" t="str">
        <f>IFERROR(INDEX('Hun Demand'!U:U,MATCH(O1256,'Hun Demand'!A:A,0)),"")</f>
        <v/>
      </c>
      <c r="D1256" s="25" t="str">
        <f>IFERROR(INDEX('Hun Demand'!T:T,MATCH(O1256,'Hun Demand'!A:A,0)),"")</f>
        <v/>
      </c>
      <c r="E1256" s="25" t="str">
        <f>IFERROR(INDEX('Hun Demand'!S:S,MATCH(O1256,'Hun Demand'!A:A,0)),"")</f>
        <v/>
      </c>
      <c r="F1256" s="25" t="str">
        <f>IFERROR(INDEX('Hun Demand'!R:R,MATCH(O1256,'Hun Demand'!A:A,0)),"")</f>
        <v/>
      </c>
      <c r="G1256" s="25">
        <f>IFERROR(INDEX('Aub Demand'!W:W,MATCH(O1256,'Aub Demand'!A:A,0)),"")</f>
        <v>16</v>
      </c>
      <c r="H1256" s="25">
        <f>IFERROR(INDEX('Aub Demand'!V:V,MATCH(O1256,'Aub Demand'!A:A,0)),"")</f>
        <v>0</v>
      </c>
      <c r="I1256" s="25">
        <f>IFERROR(INDEX('Aub Demand'!U:U,MATCH(O1256,'Aub Demand'!A:A,0)),"")</f>
        <v>19</v>
      </c>
      <c r="J1256" s="25">
        <f>IFERROR(INDEX('Aub Demand'!T:T,MATCH(O1256,'Aub Demand'!A:A,0)),"")</f>
        <v>20</v>
      </c>
      <c r="K1256" s="25">
        <f>IFERROR(INDEX('Aub Demand'!S:S,MATCH(O1256,'Aub Demand'!A:A,0)),"")</f>
        <v>0</v>
      </c>
      <c r="L1256" s="25">
        <f>IFERROR(INDEX('Aub Demand'!R:R,MATCH(O1256,'Aub Demand'!A:A,0)),"")</f>
        <v>0</v>
      </c>
      <c r="O1256" s="27" t="s">
        <v>2877</v>
      </c>
      <c r="P1256" s="27" t="str">
        <f>IFERROR(INDEX('Aub Demand'!B:B,MATCH($O1256,'Aub Demand'!$A:$A,0)),"")</f>
        <v>VOUS TEMPEST</v>
      </c>
      <c r="Q1256" s="27" t="str">
        <f>IFERROR(INDEX('Aub Demand'!C:C,MATCH($O1256,'Aub Demand'!$A:$A,0)),"")</f>
        <v>TOPPA</v>
      </c>
      <c r="R1256" s="52">
        <f>IFERROR(IF(AR1257=AR1256,INDEX('Aub Demand'!K:K,MATCH($O1256,'Aub Demand'!$A:$A,0))-IF(AN1256="",0,AN1256)+AP1257,INDEX('Aub Demand'!K:K,MATCH($O1256,'Aub Demand'!$A:$A,0))-IF(AN1256="",0,AN1256)),"")</f>
        <v>0</v>
      </c>
      <c r="S1256" s="53">
        <f t="shared" si="532"/>
        <v>0</v>
      </c>
      <c r="T1256" s="52">
        <f t="shared" si="533"/>
        <v>14.625</v>
      </c>
      <c r="U1256" s="52">
        <f>IFERROR(IF(AR1257=AR1256,INDEX('Aub Demand'!Q:Q,MATCH($O1256,'Aub Demand'!$A:$A,0))-IF(AN1256="",0,AN1256)+AP1257,INDEX('Aub Demand'!Q:Q,MATCH($O1256,'Aub Demand'!$A:$A,0))-IF(AN1256="",0,AN1256)),"")</f>
        <v>0</v>
      </c>
      <c r="V1256" s="53">
        <f t="shared" si="534"/>
        <v>0</v>
      </c>
      <c r="W1256" s="52">
        <f t="shared" si="535"/>
        <v>14.625</v>
      </c>
      <c r="X1256" s="52">
        <f>IFERROR(IF(AND(AR1257=AR1256,AM1256&lt;&gt;""),INDEX('Aub Demand'!Q:Q,MATCH($O1256,'Aub Demand'!$A:$A,0))-IF(AN1256="",0,AN1256)+AP1257+AD1256+AL1256,IF(AR1257=AR1256,INDEX('Aub Demand'!Q:Q,MATCH($O1256,'Aub Demand'!$A:$A,0))-IF(AN1256="",0,AN1256)+AP1257+AD1256,IF(AM1256&lt;&gt;"",INDEX('Aub Demand'!Q:Q,MATCH($O1256,'Aub Demand'!$A:$A,0))-IF(AN1256="",0,AN1256)+AD1256+AL1256,INDEX('Aub Demand'!Q:Q,MATCH($O1256,'Aub Demand'!$A:$A,0))-IF(AN1256="",0,AN1256)+AD1256))),"")</f>
        <v>0</v>
      </c>
      <c r="Y1256" s="53">
        <f t="shared" si="536"/>
        <v>0</v>
      </c>
      <c r="Z1256" s="52">
        <f>IF(L1256="","",INDEX('Aub Demand'!H:H,MATCH($O1256,'Aub Demand'!$A:$A,0)))</f>
        <v>13</v>
      </c>
      <c r="AA1256" s="52">
        <f t="shared" si="537"/>
        <v>19.5</v>
      </c>
      <c r="AB1256" s="52">
        <f>IFERROR(INDEX('Aub Demand'!L:L,MATCH($O1256,'Aub Demand'!$A:$A,0)),"")</f>
        <v>3</v>
      </c>
      <c r="AC1256" s="52">
        <f>IFERROR(IF(O1256="","",SUMIFS('CPL Mats'!F:F,'CPL Mats'!Q:Q,AR1256,'CPL Mats'!S:S,AS1256)),"")</f>
        <v>0</v>
      </c>
      <c r="AF1256" s="25" t="str">
        <f>IF(SUMIFS('Supp Consol'!S:S,'Supp Consol'!Y:Y,"Releasable",'Supp Consol'!A:A,O1256)=0,"",SUMIFS('Supp Consol'!S:S,'Supp Consol'!Y:Y,"Releasable",'Supp Consol'!A:A,O1256))</f>
        <v/>
      </c>
      <c r="AG1256" s="25" t="str">
        <f>IFERROR(INDEX('Hun Demand'!Q:Q,MATCH(O1256,'Hun Demand'!A:A,0)),"")</f>
        <v/>
      </c>
      <c r="AH1256" s="25" t="str">
        <f>IFERROR(INDEX('Hun Demand'!H:H,MATCH($O1256,'Hun Demand'!$A:$A,0)),"")</f>
        <v/>
      </c>
      <c r="AI1256" s="25" t="str">
        <f>IF(SUMIFS('Supp Consol'!AA:AA,'Supp Consol'!Z:Z,"Expires this month",'Supp Consol'!A:A,O1256)=0,"",SUMIFS('Supp Consol'!AA:AA,'Supp Consol'!Z:Z,"Expires this month",'Supp Consol'!A:A,O1256))</f>
        <v/>
      </c>
      <c r="AJ1256" s="25" t="str">
        <f>IF(SUMIFS('Supp Consol'!AA:AA,'Supp Consol'!Z:Z,"Expired Previous Months",'Supp Consol'!A:A,O1256)=0,"",SUMIFS('Supp Consol'!AA:AA,'Supp Consol'!Z:Z,"Expired Previous Months",'Supp Consol'!A:A,O1256))</f>
        <v/>
      </c>
      <c r="AK1256" s="25" t="str">
        <f>IFERROR(INDEX('Hun Release Current'!B:B,MATCH(O1256,'Hun Release Current'!A:A,0)),"")</f>
        <v/>
      </c>
      <c r="AL1256" s="25" t="str">
        <f>IF(SUMIF('Prev Aub'!A:A,O1256,'Prev Aub'!B:B)=0,"",SUMIF('Prev Aub'!A:A,O1256,'Prev Aub'!B:B))</f>
        <v/>
      </c>
      <c r="AN1256" s="25" t="s">
        <v>3790</v>
      </c>
      <c r="AO1256" s="25" t="s">
        <v>3790</v>
      </c>
      <c r="AP1256" s="25">
        <f t="shared" si="538"/>
        <v>0</v>
      </c>
      <c r="AQ1256" s="151" t="str">
        <f>IF(SUMIFS('Supp Consol'!S:S,'Supp Consol'!A:A,O1256,'Supp Consol'!I:I,"PENDING")=0,"",SUMIFS('Supp Consol'!S:S,'Supp Consol'!A:A,O1256,'Supp Consol'!I:I,"PENDING"))</f>
        <v/>
      </c>
      <c r="AR1256" s="27" t="str">
        <f t="shared" si="539"/>
        <v>VS602</v>
      </c>
      <c r="AS1256" s="27" t="str">
        <f t="shared" si="540"/>
        <v>50</v>
      </c>
      <c r="AT1256" s="27" t="str">
        <f t="shared" si="541"/>
        <v>VS602</v>
      </c>
      <c r="AU1256" s="27" t="str">
        <f t="shared" si="542"/>
        <v>VS602</v>
      </c>
      <c r="AV1256" s="27" t="str">
        <f t="shared" si="543"/>
        <v>VS602</v>
      </c>
      <c r="AW1256" s="27" t="str">
        <f t="shared" si="544"/>
        <v/>
      </c>
      <c r="AX1256" s="27" t="str">
        <f t="shared" si="545"/>
        <v/>
      </c>
      <c r="AY1256" s="27" t="str">
        <f t="shared" si="546"/>
        <v/>
      </c>
      <c r="AZ1256" s="27" t="str">
        <f t="shared" si="547"/>
        <v/>
      </c>
      <c r="BA1256" s="27" t="str">
        <f t="shared" si="548"/>
        <v/>
      </c>
      <c r="BB1256" s="27" t="str">
        <f t="shared" si="549"/>
        <v>Gross</v>
      </c>
      <c r="BC1256" s="27" t="str">
        <f t="shared" si="550"/>
        <v>Net</v>
      </c>
      <c r="BD1256" s="27" t="str">
        <f t="shared" si="551"/>
        <v>Net</v>
      </c>
      <c r="BE1256" s="27" t="str">
        <f t="shared" si="552"/>
        <v/>
      </c>
      <c r="BF1256" s="27" t="str">
        <f t="shared" si="553"/>
        <v/>
      </c>
      <c r="BG1256" s="27" t="str">
        <f t="shared" si="554"/>
        <v/>
      </c>
      <c r="BH1256" s="27" t="str">
        <f t="shared" si="555"/>
        <v/>
      </c>
      <c r="BI1256" s="27" t="str">
        <f t="shared" si="556"/>
        <v/>
      </c>
      <c r="BJ1256" s="27" t="str">
        <f t="shared" si="557"/>
        <v/>
      </c>
      <c r="BK1256" s="27" t="str">
        <f t="shared" si="558"/>
        <v/>
      </c>
      <c r="BL1256" s="27" t="str">
        <f t="shared" si="559"/>
        <v/>
      </c>
      <c r="BM1256" s="21" t="s">
        <v>5581</v>
      </c>
    </row>
    <row r="1257" spans="1:65" ht="15">
      <c r="A1257" s="25" t="str">
        <f>IFERROR(INDEX('Hun Demand'!W:W,MATCH(O1257,'Hun Demand'!A:A,0)),"")</f>
        <v/>
      </c>
      <c r="B1257" s="25" t="str">
        <f>IFERROR(INDEX('Hun Demand'!V:V,MATCH(O1257,'Hun Demand'!A:A,0)),"")</f>
        <v/>
      </c>
      <c r="C1257" s="25" t="str">
        <f>IFERROR(INDEX('Hun Demand'!U:U,MATCH(O1257,'Hun Demand'!A:A,0)),"")</f>
        <v/>
      </c>
      <c r="D1257" s="25" t="str">
        <f>IFERROR(INDEX('Hun Demand'!T:T,MATCH(O1257,'Hun Demand'!A:A,0)),"")</f>
        <v/>
      </c>
      <c r="E1257" s="25" t="str">
        <f>IFERROR(INDEX('Hun Demand'!S:S,MATCH(O1257,'Hun Demand'!A:A,0)),"")</f>
        <v/>
      </c>
      <c r="F1257" s="25" t="str">
        <f>IFERROR(INDEX('Hun Demand'!R:R,MATCH(O1257,'Hun Demand'!A:A,0)),"")</f>
        <v/>
      </c>
      <c r="G1257" s="25">
        <f>IFERROR(INDEX('Aub Demand'!W:W,MATCH(O1257,'Aub Demand'!A:A,0)),"")</f>
        <v>22</v>
      </c>
      <c r="H1257" s="25">
        <f>IFERROR(INDEX('Aub Demand'!V:V,MATCH(O1257,'Aub Demand'!A:A,0)),"")</f>
        <v>0</v>
      </c>
      <c r="I1257" s="25">
        <f>IFERROR(INDEX('Aub Demand'!U:U,MATCH(O1257,'Aub Demand'!A:A,0)),"")</f>
        <v>0</v>
      </c>
      <c r="J1257" s="25">
        <f>IFERROR(INDEX('Aub Demand'!T:T,MATCH(O1257,'Aub Demand'!A:A,0)),"")</f>
        <v>0</v>
      </c>
      <c r="K1257" s="25">
        <f>IFERROR(INDEX('Aub Demand'!S:S,MATCH(O1257,'Aub Demand'!A:A,0)),"")</f>
        <v>68</v>
      </c>
      <c r="L1257" s="25">
        <f>IFERROR(INDEX('Aub Demand'!R:R,MATCH(O1257,'Aub Demand'!A:A,0)),"")</f>
        <v>0</v>
      </c>
      <c r="O1257" s="27" t="s">
        <v>2879</v>
      </c>
      <c r="P1257" s="27" t="str">
        <f>IFERROR(INDEX('Aub Demand'!B:B,MATCH($O1257,'Aub Demand'!$A:$A,0)),"")</f>
        <v>VOUS TEMPEST</v>
      </c>
      <c r="Q1257" s="27" t="str">
        <f>IFERROR(INDEX('Aub Demand'!C:C,MATCH($O1257,'Aub Demand'!$A:$A,0)),"")</f>
        <v>TOPPA</v>
      </c>
      <c r="R1257" s="52">
        <f>IFERROR(IF(AR1258=AR1257,INDEX('Aub Demand'!K:K,MATCH($O1257,'Aub Demand'!$A:$A,0))-IF(AN1257="",0,AN1257)+AP1258,INDEX('Aub Demand'!K:K,MATCH($O1257,'Aub Demand'!$A:$A,0))-IF(AN1257="",0,AN1257)),"")</f>
        <v>1023</v>
      </c>
      <c r="S1257" s="53">
        <f t="shared" si="532"/>
        <v>190.6</v>
      </c>
      <c r="T1257" s="52" t="str">
        <f t="shared" si="533"/>
        <v/>
      </c>
      <c r="U1257" s="52">
        <f>IFERROR(IF(AR1258=AR1257,INDEX('Aub Demand'!Q:Q,MATCH($O1257,'Aub Demand'!$A:$A,0))-IF(AN1257="",0,AN1257)+AP1258,INDEX('Aub Demand'!Q:Q,MATCH($O1257,'Aub Demand'!$A:$A,0))-IF(AN1257="",0,AN1257)),"")</f>
        <v>1023</v>
      </c>
      <c r="V1257" s="53">
        <f t="shared" si="534"/>
        <v>190.6</v>
      </c>
      <c r="W1257" s="52" t="str">
        <f t="shared" si="535"/>
        <v/>
      </c>
      <c r="X1257" s="52">
        <f>IFERROR(IF(AND(AR1258=AR1257,AM1257&lt;&gt;""),INDEX('Aub Demand'!Q:Q,MATCH($O1257,'Aub Demand'!$A:$A,0))-IF(AN1257="",0,AN1257)+AP1258+AD1257+AL1257,IF(AR1258=AR1257,INDEX('Aub Demand'!Q:Q,MATCH($O1257,'Aub Demand'!$A:$A,0))-IF(AN1257="",0,AN1257)+AP1258+AD1257,IF(AM1257&lt;&gt;"",INDEX('Aub Demand'!Q:Q,MATCH($O1257,'Aub Demand'!$A:$A,0))-IF(AN1257="",0,AN1257)+AD1257+AL1257,INDEX('Aub Demand'!Q:Q,MATCH($O1257,'Aub Demand'!$A:$A,0))-IF(AN1257="",0,AN1257)+AD1257))),"")</f>
        <v>1023</v>
      </c>
      <c r="Y1257" s="53">
        <f t="shared" si="536"/>
        <v>190.6</v>
      </c>
      <c r="Z1257" s="52">
        <f>IF(L1257="","",INDEX('Aub Demand'!H:H,MATCH($O1257,'Aub Demand'!$A:$A,0)))</f>
        <v>23</v>
      </c>
      <c r="AA1257" s="52" t="str">
        <f t="shared" si="537"/>
        <v>-spike-</v>
      </c>
      <c r="AB1257" s="52">
        <f>IFERROR(INDEX('Aub Demand'!L:L,MATCH($O1257,'Aub Demand'!$A:$A,0)),"")</f>
        <v>9</v>
      </c>
      <c r="AC1257" s="52">
        <f>IFERROR(IF(O1257="","",SUMIFS('CPL Mats'!F:F,'CPL Mats'!Q:Q,AR1257,'CPL Mats'!S:S,AS1257)),"")</f>
        <v>0</v>
      </c>
      <c r="AF1257" s="25" t="str">
        <f>IF(SUMIFS('Supp Consol'!S:S,'Supp Consol'!Y:Y,"Releasable",'Supp Consol'!A:A,O1257)=0,"",SUMIFS('Supp Consol'!S:S,'Supp Consol'!Y:Y,"Releasable",'Supp Consol'!A:A,O1257))</f>
        <v/>
      </c>
      <c r="AG1257" s="25" t="str">
        <f>IFERROR(INDEX('Hun Demand'!Q:Q,MATCH(O1257,'Hun Demand'!A:A,0)),"")</f>
        <v/>
      </c>
      <c r="AH1257" s="25" t="str">
        <f>IFERROR(INDEX('Hun Demand'!H:H,MATCH($O1257,'Hun Demand'!$A:$A,0)),"")</f>
        <v/>
      </c>
      <c r="AI1257" s="25" t="str">
        <f>IF(SUMIFS('Supp Consol'!AA:AA,'Supp Consol'!Z:Z,"Expires this month",'Supp Consol'!A:A,O1257)=0,"",SUMIFS('Supp Consol'!AA:AA,'Supp Consol'!Z:Z,"Expires this month",'Supp Consol'!A:A,O1257))</f>
        <v/>
      </c>
      <c r="AJ1257" s="25" t="str">
        <f>IF(SUMIFS('Supp Consol'!AA:AA,'Supp Consol'!Z:Z,"Expired Previous Months",'Supp Consol'!A:A,O1257)=0,"",SUMIFS('Supp Consol'!AA:AA,'Supp Consol'!Z:Z,"Expired Previous Months",'Supp Consol'!A:A,O1257))</f>
        <v/>
      </c>
      <c r="AK1257" s="25" t="str">
        <f>IFERROR(INDEX('Hun Release Current'!B:B,MATCH(O1257,'Hun Release Current'!A:A,0)),"")</f>
        <v/>
      </c>
      <c r="AL1257" s="25" t="str">
        <f>IF(SUMIF('Prev Aub'!A:A,O1257,'Prev Aub'!B:B)=0,"",SUMIF('Prev Aub'!A:A,O1257,'Prev Aub'!B:B))</f>
        <v/>
      </c>
      <c r="AN1257" s="25" t="s">
        <v>3790</v>
      </c>
      <c r="AO1257" s="25" t="s">
        <v>3790</v>
      </c>
      <c r="AP1257" s="25">
        <f t="shared" si="538"/>
        <v>0</v>
      </c>
      <c r="AQ1257" s="151" t="str">
        <f>IF(SUMIFS('Supp Consol'!S:S,'Supp Consol'!A:A,O1257,'Supp Consol'!I:I,"PENDING")=0,"",SUMIFS('Supp Consol'!S:S,'Supp Consol'!A:A,O1257,'Supp Consol'!I:I,"PENDING"))</f>
        <v/>
      </c>
      <c r="AR1257" s="27" t="str">
        <f t="shared" si="539"/>
        <v>VS602</v>
      </c>
      <c r="AS1257" s="27" t="str">
        <f t="shared" si="540"/>
        <v>62</v>
      </c>
      <c r="AT1257" s="27" t="str">
        <f t="shared" si="541"/>
        <v/>
      </c>
      <c r="AU1257" s="27" t="str">
        <f t="shared" si="542"/>
        <v/>
      </c>
      <c r="AV1257" s="27" t="str">
        <f t="shared" si="543"/>
        <v/>
      </c>
      <c r="AW1257" s="27" t="str">
        <f t="shared" si="544"/>
        <v/>
      </c>
      <c r="AX1257" s="27" t="str">
        <f t="shared" si="545"/>
        <v/>
      </c>
      <c r="AY1257" s="27" t="str">
        <f t="shared" si="546"/>
        <v/>
      </c>
      <c r="AZ1257" s="27" t="str">
        <f t="shared" si="547"/>
        <v/>
      </c>
      <c r="BA1257" s="27" t="str">
        <f t="shared" si="548"/>
        <v/>
      </c>
      <c r="BB1257" s="27" t="str">
        <f t="shared" si="549"/>
        <v>Gross</v>
      </c>
      <c r="BC1257" s="27" t="str">
        <f t="shared" si="550"/>
        <v>Net</v>
      </c>
      <c r="BD1257" s="27" t="str">
        <f t="shared" si="551"/>
        <v>Net</v>
      </c>
      <c r="BE1257" s="27" t="str">
        <f t="shared" si="552"/>
        <v/>
      </c>
      <c r="BF1257" s="27" t="str">
        <f t="shared" si="553"/>
        <v/>
      </c>
      <c r="BG1257" s="27" t="str">
        <f t="shared" si="554"/>
        <v/>
      </c>
      <c r="BH1257" s="27" t="str">
        <f t="shared" si="555"/>
        <v/>
      </c>
      <c r="BI1257" s="27" t="str">
        <f t="shared" si="556"/>
        <v/>
      </c>
      <c r="BJ1257" s="27" t="str">
        <f t="shared" si="557"/>
        <v/>
      </c>
      <c r="BK1257" s="27" t="str">
        <f t="shared" si="558"/>
        <v/>
      </c>
      <c r="BL1257" s="27" t="str">
        <f t="shared" si="559"/>
        <v/>
      </c>
      <c r="BM1257" s="21" t="s">
        <v>5581</v>
      </c>
    </row>
    <row r="1258" spans="1:65" ht="15">
      <c r="A1258" s="25" t="str">
        <f>IFERROR(INDEX('Hun Demand'!W:W,MATCH(O1258,'Hun Demand'!A:A,0)),"")</f>
        <v/>
      </c>
      <c r="B1258" s="25" t="str">
        <f>IFERROR(INDEX('Hun Demand'!V:V,MATCH(O1258,'Hun Demand'!A:A,0)),"")</f>
        <v/>
      </c>
      <c r="C1258" s="25" t="str">
        <f>IFERROR(INDEX('Hun Demand'!U:U,MATCH(O1258,'Hun Demand'!A:A,0)),"")</f>
        <v/>
      </c>
      <c r="D1258" s="25" t="str">
        <f>IFERROR(INDEX('Hun Demand'!T:T,MATCH(O1258,'Hun Demand'!A:A,0)),"")</f>
        <v/>
      </c>
      <c r="E1258" s="25" t="str">
        <f>IFERROR(INDEX('Hun Demand'!S:S,MATCH(O1258,'Hun Demand'!A:A,0)),"")</f>
        <v/>
      </c>
      <c r="F1258" s="25" t="str">
        <f>IFERROR(INDEX('Hun Demand'!R:R,MATCH(O1258,'Hun Demand'!A:A,0)),"")</f>
        <v/>
      </c>
      <c r="G1258" s="25">
        <f>IFERROR(INDEX('Aub Demand'!W:W,MATCH(O1258,'Aub Demand'!A:A,0)),"")</f>
        <v>0</v>
      </c>
      <c r="H1258" s="25">
        <f>IFERROR(INDEX('Aub Demand'!V:V,MATCH(O1258,'Aub Demand'!A:A,0)),"")</f>
        <v>12</v>
      </c>
      <c r="I1258" s="25">
        <f>IFERROR(INDEX('Aub Demand'!U:U,MATCH(O1258,'Aub Demand'!A:A,0)),"")</f>
        <v>0</v>
      </c>
      <c r="J1258" s="25">
        <f>IFERROR(INDEX('Aub Demand'!T:T,MATCH(O1258,'Aub Demand'!A:A,0)),"")</f>
        <v>0</v>
      </c>
      <c r="K1258" s="25">
        <f>IFERROR(INDEX('Aub Demand'!S:S,MATCH(O1258,'Aub Demand'!A:A,0)),"")</f>
        <v>32</v>
      </c>
      <c r="L1258" s="25">
        <f>IFERROR(INDEX('Aub Demand'!R:R,MATCH(O1258,'Aub Demand'!A:A,0)),"")</f>
        <v>32</v>
      </c>
      <c r="O1258" s="27" t="s">
        <v>2880</v>
      </c>
      <c r="P1258" s="27" t="str">
        <f>IFERROR(INDEX('Aub Demand'!B:B,MATCH($O1258,'Aub Demand'!$A:$A,0)),"")</f>
        <v>Adaptable Muse L1172</v>
      </c>
      <c r="Q1258" s="27" t="str">
        <f>IFERROR(INDEX('Aub Demand'!C:C,MATCH($O1258,'Aub Demand'!$A:$A,0)),"")</f>
        <v>SCHAT</v>
      </c>
      <c r="R1258" s="52">
        <f>IFERROR(IF(AR1259=AR1258,INDEX('Aub Demand'!K:K,MATCH($O1258,'Aub Demand'!$A:$A,0))-IF(AN1258="",0,AN1258)+AP1259,INDEX('Aub Demand'!K:K,MATCH($O1258,'Aub Demand'!$A:$A,0))-IF(AN1258="",0,AN1258)),"")</f>
        <v>983</v>
      </c>
      <c r="S1258" s="53">
        <f t="shared" si="532"/>
        <v>383</v>
      </c>
      <c r="T1258" s="52" t="str">
        <f t="shared" si="533"/>
        <v/>
      </c>
      <c r="U1258" s="52">
        <f>IFERROR(IF(AR1259=AR1258,INDEX('Aub Demand'!Q:Q,MATCH($O1258,'Aub Demand'!$A:$A,0))-IF(AN1258="",0,AN1258)+AP1259,INDEX('Aub Demand'!Q:Q,MATCH($O1258,'Aub Demand'!$A:$A,0))-IF(AN1258="",0,AN1258)),"")</f>
        <v>948</v>
      </c>
      <c r="V1258" s="53">
        <f t="shared" si="534"/>
        <v>369.4</v>
      </c>
      <c r="W1258" s="52" t="str">
        <f t="shared" si="535"/>
        <v/>
      </c>
      <c r="X1258" s="52">
        <f>IFERROR(IF(AND(AR1259=AR1258,AM1258&lt;&gt;""),INDEX('Aub Demand'!Q:Q,MATCH($O1258,'Aub Demand'!$A:$A,0))-IF(AN1258="",0,AN1258)+AP1259+AD1258+AL1258,IF(AR1259=AR1258,INDEX('Aub Demand'!Q:Q,MATCH($O1258,'Aub Demand'!$A:$A,0))-IF(AN1258="",0,AN1258)+AP1259+AD1258,IF(AM1258&lt;&gt;"",INDEX('Aub Demand'!Q:Q,MATCH($O1258,'Aub Demand'!$A:$A,0))-IF(AN1258="",0,AN1258)+AD1258+AL1258,INDEX('Aub Demand'!Q:Q,MATCH($O1258,'Aub Demand'!$A:$A,0))-IF(AN1258="",0,AN1258)+AD1258))),"")</f>
        <v>948</v>
      </c>
      <c r="Y1258" s="53">
        <f t="shared" si="536"/>
        <v>369.4</v>
      </c>
      <c r="Z1258" s="52">
        <f>IF(L1258="","",INDEX('Aub Demand'!H:H,MATCH($O1258,'Aub Demand'!$A:$A,0)))</f>
        <v>11</v>
      </c>
      <c r="AA1258" s="52">
        <f t="shared" si="537"/>
        <v>32</v>
      </c>
      <c r="AB1258" s="52">
        <f>IFERROR(INDEX('Aub Demand'!L:L,MATCH($O1258,'Aub Demand'!$A:$A,0)),"")</f>
        <v>40</v>
      </c>
      <c r="AC1258" s="52">
        <f>IFERROR(IF(O1258="","",SUMIFS('CPL Mats'!F:F,'CPL Mats'!Q:Q,AR1258,'CPL Mats'!S:S,AS1258)),"")</f>
        <v>0</v>
      </c>
      <c r="AF1258" s="25" t="str">
        <f>IF(SUMIFS('Supp Consol'!S:S,'Supp Consol'!Y:Y,"Releasable",'Supp Consol'!A:A,O1258)=0,"",SUMIFS('Supp Consol'!S:S,'Supp Consol'!Y:Y,"Releasable",'Supp Consol'!A:A,O1258))</f>
        <v/>
      </c>
      <c r="AG1258" s="25" t="str">
        <f>IFERROR(INDEX('Hun Demand'!Q:Q,MATCH(O1258,'Hun Demand'!A:A,0)),"")</f>
        <v/>
      </c>
      <c r="AH1258" s="25" t="str">
        <f>IFERROR(INDEX('Hun Demand'!H:H,MATCH($O1258,'Hun Demand'!$A:$A,0)),"")</f>
        <v/>
      </c>
      <c r="AI1258" s="25" t="str">
        <f>IF(SUMIFS('Supp Consol'!AA:AA,'Supp Consol'!Z:Z,"Expires this month",'Supp Consol'!A:A,O1258)=0,"",SUMIFS('Supp Consol'!AA:AA,'Supp Consol'!Z:Z,"Expires this month",'Supp Consol'!A:A,O1258))</f>
        <v/>
      </c>
      <c r="AJ1258" s="25" t="str">
        <f>IF(SUMIFS('Supp Consol'!AA:AA,'Supp Consol'!Z:Z,"Expired Previous Months",'Supp Consol'!A:A,O1258)=0,"",SUMIFS('Supp Consol'!AA:AA,'Supp Consol'!Z:Z,"Expired Previous Months",'Supp Consol'!A:A,O1258))</f>
        <v/>
      </c>
      <c r="AK1258" s="25" t="str">
        <f>IFERROR(INDEX('Hun Release Current'!B:B,MATCH(O1258,'Hun Release Current'!A:A,0)),"")</f>
        <v/>
      </c>
      <c r="AL1258" s="25" t="str">
        <f>IF(SUMIF('Prev Aub'!A:A,O1258,'Prev Aub'!B:B)=0,"",SUMIF('Prev Aub'!A:A,O1258,'Prev Aub'!B:B))</f>
        <v/>
      </c>
      <c r="AN1258" s="25" t="s">
        <v>3790</v>
      </c>
      <c r="AO1258" s="25" t="s">
        <v>3790</v>
      </c>
      <c r="AP1258" s="25">
        <f t="shared" si="538"/>
        <v>0</v>
      </c>
      <c r="AQ1258" s="151" t="str">
        <f>IF(SUMIFS('Supp Consol'!S:S,'Supp Consol'!A:A,O1258,'Supp Consol'!I:I,"PENDING")=0,"",SUMIFS('Supp Consol'!S:S,'Supp Consol'!A:A,O1258,'Supp Consol'!I:I,"PENDING"))</f>
        <v/>
      </c>
      <c r="AR1258" s="27" t="str">
        <f t="shared" si="539"/>
        <v>VU601</v>
      </c>
      <c r="AS1258" s="27" t="str">
        <f t="shared" si="540"/>
        <v>50</v>
      </c>
      <c r="AT1258" s="27" t="str">
        <f t="shared" si="541"/>
        <v/>
      </c>
      <c r="AU1258" s="27" t="str">
        <f t="shared" si="542"/>
        <v/>
      </c>
      <c r="AV1258" s="27" t="str">
        <f t="shared" si="543"/>
        <v/>
      </c>
      <c r="AW1258" s="27" t="str">
        <f t="shared" si="544"/>
        <v/>
      </c>
      <c r="AX1258" s="27" t="str">
        <f t="shared" si="545"/>
        <v/>
      </c>
      <c r="AY1258" s="27" t="str">
        <f t="shared" si="546"/>
        <v/>
      </c>
      <c r="AZ1258" s="27" t="str">
        <f t="shared" si="547"/>
        <v/>
      </c>
      <c r="BA1258" s="27" t="str">
        <f t="shared" si="548"/>
        <v>Hun</v>
      </c>
      <c r="BB1258" s="27" t="str">
        <f t="shared" si="549"/>
        <v/>
      </c>
      <c r="BC1258" s="27" t="str">
        <f t="shared" si="550"/>
        <v/>
      </c>
      <c r="BD1258" s="27" t="str">
        <f t="shared" si="551"/>
        <v/>
      </c>
      <c r="BE1258" s="27" t="str">
        <f t="shared" si="552"/>
        <v/>
      </c>
      <c r="BF1258" s="27" t="str">
        <f t="shared" si="553"/>
        <v/>
      </c>
      <c r="BG1258" s="27" t="str">
        <f t="shared" si="554"/>
        <v/>
      </c>
      <c r="BH1258" s="27" t="str">
        <f t="shared" si="555"/>
        <v/>
      </c>
      <c r="BI1258" s="27" t="str">
        <f t="shared" si="556"/>
        <v/>
      </c>
      <c r="BJ1258" s="27" t="str">
        <f t="shared" si="557"/>
        <v>Supp or Hun</v>
      </c>
      <c r="BK1258" s="27" t="str">
        <f t="shared" si="558"/>
        <v/>
      </c>
      <c r="BL1258" s="27" t="str">
        <f t="shared" si="559"/>
        <v/>
      </c>
      <c r="BM1258" s="21" t="s">
        <v>5581</v>
      </c>
    </row>
    <row r="1259" spans="1:65" ht="15">
      <c r="A1259" s="25">
        <f>IFERROR(INDEX('Hun Demand'!W:W,MATCH(O1259,'Hun Demand'!A:A,0)),"")</f>
        <v>0</v>
      </c>
      <c r="B1259" s="25">
        <f>IFERROR(INDEX('Hun Demand'!V:V,MATCH(O1259,'Hun Demand'!A:A,0)),"")</f>
        <v>0</v>
      </c>
      <c r="C1259" s="25">
        <f>IFERROR(INDEX('Hun Demand'!U:U,MATCH(O1259,'Hun Demand'!A:A,0)),"")</f>
        <v>0</v>
      </c>
      <c r="D1259" s="25">
        <f>IFERROR(INDEX('Hun Demand'!T:T,MATCH(O1259,'Hun Demand'!A:A,0)),"")</f>
        <v>0</v>
      </c>
      <c r="E1259" s="25">
        <f>IFERROR(INDEX('Hun Demand'!S:S,MATCH(O1259,'Hun Demand'!A:A,0)),"")</f>
        <v>0</v>
      </c>
      <c r="F1259" s="25">
        <f>IFERROR(INDEX('Hun Demand'!R:R,MATCH(O1259,'Hun Demand'!A:A,0)),"")</f>
        <v>0</v>
      </c>
      <c r="G1259" s="25">
        <f>IFERROR(INDEX('Aub Demand'!W:W,MATCH(O1259,'Aub Demand'!A:A,0)),"")</f>
        <v>0</v>
      </c>
      <c r="H1259" s="25">
        <f>IFERROR(INDEX('Aub Demand'!V:V,MATCH(O1259,'Aub Demand'!A:A,0)),"")</f>
        <v>0</v>
      </c>
      <c r="I1259" s="25">
        <f>IFERROR(INDEX('Aub Demand'!U:U,MATCH(O1259,'Aub Demand'!A:A,0)),"")</f>
        <v>11</v>
      </c>
      <c r="J1259" s="25">
        <f>IFERROR(INDEX('Aub Demand'!T:T,MATCH(O1259,'Aub Demand'!A:A,0)),"")</f>
        <v>18</v>
      </c>
      <c r="K1259" s="25">
        <f>IFERROR(INDEX('Aub Demand'!S:S,MATCH(O1259,'Aub Demand'!A:A,0)),"")</f>
        <v>59</v>
      </c>
      <c r="L1259" s="25">
        <f>IFERROR(INDEX('Aub Demand'!R:R,MATCH(O1259,'Aub Demand'!A:A,0)),"")</f>
        <v>0</v>
      </c>
      <c r="O1259" s="27" t="s">
        <v>2882</v>
      </c>
      <c r="P1259" s="27" t="str">
        <f>IFERROR(INDEX('Aub Demand'!B:B,MATCH($O1259,'Aub Demand'!$A:$A,0)),"")</f>
        <v>Adaptable Muse L1172</v>
      </c>
      <c r="Q1259" s="27" t="str">
        <f>IFERROR(INDEX('Aub Demand'!C:C,MATCH($O1259,'Aub Demand'!$A:$A,0)),"")</f>
        <v>SCHAT</v>
      </c>
      <c r="R1259" s="52">
        <f>IFERROR(IF(AR1260=AR1259,INDEX('Aub Demand'!K:K,MATCH($O1259,'Aub Demand'!$A:$A,0))-IF(AN1259="",0,AN1259)+AP1260,INDEX('Aub Demand'!K:K,MATCH($O1259,'Aub Demand'!$A:$A,0))-IF(AN1259="",0,AN1259)),"")</f>
        <v>873</v>
      </c>
      <c r="S1259" s="53">
        <f t="shared" si="532"/>
        <v>129</v>
      </c>
      <c r="T1259" s="52" t="str">
        <f t="shared" si="533"/>
        <v/>
      </c>
      <c r="U1259" s="52">
        <f>IFERROR(IF(AR1260=AR1259,INDEX('Aub Demand'!Q:Q,MATCH($O1259,'Aub Demand'!$A:$A,0))-IF(AN1259="",0,AN1259)+AP1260,INDEX('Aub Demand'!Q:Q,MATCH($O1259,'Aub Demand'!$A:$A,0))-IF(AN1259="",0,AN1259)),"")</f>
        <v>873</v>
      </c>
      <c r="V1259" s="53">
        <f t="shared" si="534"/>
        <v>129</v>
      </c>
      <c r="W1259" s="52" t="str">
        <f t="shared" si="535"/>
        <v/>
      </c>
      <c r="X1259" s="52">
        <f>IFERROR(IF(AND(AR1260=AR1259,AM1259&lt;&gt;""),INDEX('Aub Demand'!Q:Q,MATCH($O1259,'Aub Demand'!$A:$A,0))-IF(AN1259="",0,AN1259)+AP1260+AD1259+AL1259,IF(AR1260=AR1259,INDEX('Aub Demand'!Q:Q,MATCH($O1259,'Aub Demand'!$A:$A,0))-IF(AN1259="",0,AN1259)+AP1260+AD1259,IF(AM1259&lt;&gt;"",INDEX('Aub Demand'!Q:Q,MATCH($O1259,'Aub Demand'!$A:$A,0))-IF(AN1259="",0,AN1259)+AD1259+AL1259,INDEX('Aub Demand'!Q:Q,MATCH($O1259,'Aub Demand'!$A:$A,0))-IF(AN1259="",0,AN1259)+AD1259))),"")</f>
        <v>873</v>
      </c>
      <c r="Y1259" s="53">
        <f t="shared" si="536"/>
        <v>129</v>
      </c>
      <c r="Z1259" s="52">
        <f>IF(L1259="","",INDEX('Aub Demand'!H:H,MATCH($O1259,'Aub Demand'!$A:$A,0)))</f>
        <v>29</v>
      </c>
      <c r="AA1259" s="52">
        <f t="shared" si="537"/>
        <v>38.5</v>
      </c>
      <c r="AB1259" s="52">
        <f>IFERROR(INDEX('Aub Demand'!L:L,MATCH($O1259,'Aub Demand'!$A:$A,0)),"")</f>
        <v>0</v>
      </c>
      <c r="AC1259" s="52">
        <f>IFERROR(IF(O1259="","",SUMIFS('CPL Mats'!F:F,'CPL Mats'!Q:Q,AR1259,'CPL Mats'!S:S,AS1259)),"")</f>
        <v>0</v>
      </c>
      <c r="AF1259" s="25" t="str">
        <f>IF(SUMIFS('Supp Consol'!S:S,'Supp Consol'!Y:Y,"Releasable",'Supp Consol'!A:A,O1259)=0,"",SUMIFS('Supp Consol'!S:S,'Supp Consol'!Y:Y,"Releasable",'Supp Consol'!A:A,O1259))</f>
        <v/>
      </c>
      <c r="AG1259" s="25">
        <f>IFERROR(INDEX('Hun Demand'!Q:Q,MATCH(O1259,'Hun Demand'!A:A,0)),"")</f>
        <v>101</v>
      </c>
      <c r="AH1259" s="25">
        <f>IFERROR(INDEX('Hun Demand'!H:H,MATCH($O1259,'Hun Demand'!$A:$A,0)),"")</f>
        <v>0</v>
      </c>
      <c r="AI1259" s="25" t="str">
        <f>IF(SUMIFS('Supp Consol'!AA:AA,'Supp Consol'!Z:Z,"Expires this month",'Supp Consol'!A:A,O1259)=0,"",SUMIFS('Supp Consol'!AA:AA,'Supp Consol'!Z:Z,"Expires this month",'Supp Consol'!A:A,O1259))</f>
        <v/>
      </c>
      <c r="AJ1259" s="25" t="str">
        <f>IF(SUMIFS('Supp Consol'!AA:AA,'Supp Consol'!Z:Z,"Expired Previous Months",'Supp Consol'!A:A,O1259)=0,"",SUMIFS('Supp Consol'!AA:AA,'Supp Consol'!Z:Z,"Expired Previous Months",'Supp Consol'!A:A,O1259))</f>
        <v/>
      </c>
      <c r="AK1259" s="25" t="str">
        <f>IFERROR(INDEX('Hun Release Current'!B:B,MATCH(O1259,'Hun Release Current'!A:A,0)),"")</f>
        <v/>
      </c>
      <c r="AL1259" s="25" t="str">
        <f>IF(SUMIF('Prev Aub'!A:A,O1259,'Prev Aub'!B:B)=0,"",SUMIF('Prev Aub'!A:A,O1259,'Prev Aub'!B:B))</f>
        <v/>
      </c>
      <c r="AN1259" s="25" t="s">
        <v>3790</v>
      </c>
      <c r="AO1259" s="25" t="s">
        <v>3790</v>
      </c>
      <c r="AP1259" s="25">
        <f t="shared" si="538"/>
        <v>0</v>
      </c>
      <c r="AQ1259" s="151" t="str">
        <f>IF(SUMIFS('Supp Consol'!S:S,'Supp Consol'!A:A,O1259,'Supp Consol'!I:I,"PENDING")=0,"",SUMIFS('Supp Consol'!S:S,'Supp Consol'!A:A,O1259,'Supp Consol'!I:I,"PENDING"))</f>
        <v/>
      </c>
      <c r="AR1259" s="27" t="str">
        <f t="shared" si="539"/>
        <v>VU601</v>
      </c>
      <c r="AS1259" s="27" t="str">
        <f t="shared" si="540"/>
        <v>62</v>
      </c>
      <c r="AT1259" s="27" t="str">
        <f t="shared" si="541"/>
        <v/>
      </c>
      <c r="AU1259" s="27" t="str">
        <f t="shared" si="542"/>
        <v/>
      </c>
      <c r="AV1259" s="27" t="str">
        <f t="shared" si="543"/>
        <v/>
      </c>
      <c r="AW1259" s="27" t="str">
        <f t="shared" si="544"/>
        <v/>
      </c>
      <c r="AX1259" s="27" t="str">
        <f t="shared" si="545"/>
        <v/>
      </c>
      <c r="AY1259" s="27" t="str">
        <f t="shared" si="546"/>
        <v>VU601</v>
      </c>
      <c r="AZ1259" s="27" t="str">
        <f t="shared" si="547"/>
        <v/>
      </c>
      <c r="BA1259" s="27" t="str">
        <f t="shared" si="548"/>
        <v>Hun</v>
      </c>
      <c r="BB1259" s="27" t="str">
        <f t="shared" si="549"/>
        <v/>
      </c>
      <c r="BC1259" s="27" t="str">
        <f t="shared" si="550"/>
        <v/>
      </c>
      <c r="BD1259" s="27" t="str">
        <f t="shared" si="551"/>
        <v/>
      </c>
      <c r="BE1259" s="27" t="str">
        <f t="shared" si="552"/>
        <v/>
      </c>
      <c r="BF1259" s="27" t="str">
        <f t="shared" si="553"/>
        <v/>
      </c>
      <c r="BG1259" s="27" t="str">
        <f t="shared" si="554"/>
        <v/>
      </c>
      <c r="BH1259" s="27" t="str">
        <f t="shared" si="555"/>
        <v/>
      </c>
      <c r="BI1259" s="27" t="str">
        <f t="shared" si="556"/>
        <v/>
      </c>
      <c r="BJ1259" s="27" t="str">
        <f t="shared" si="557"/>
        <v>Supp or Hun</v>
      </c>
      <c r="BK1259" s="27" t="str">
        <f t="shared" si="558"/>
        <v/>
      </c>
      <c r="BL1259" s="27" t="str">
        <f t="shared" si="559"/>
        <v/>
      </c>
      <c r="BM1259" s="21" t="s">
        <v>5581</v>
      </c>
    </row>
    <row r="1260" spans="1:65" ht="15">
      <c r="A1260" s="25" t="str">
        <f>IFERROR(INDEX('Hun Demand'!W:W,MATCH(O1260,'Hun Demand'!A:A,0)),"")</f>
        <v/>
      </c>
      <c r="B1260" s="25" t="str">
        <f>IFERROR(INDEX('Hun Demand'!V:V,MATCH(O1260,'Hun Demand'!A:A,0)),"")</f>
        <v/>
      </c>
      <c r="C1260" s="25" t="str">
        <f>IFERROR(INDEX('Hun Demand'!U:U,MATCH(O1260,'Hun Demand'!A:A,0)),"")</f>
        <v/>
      </c>
      <c r="D1260" s="25" t="str">
        <f>IFERROR(INDEX('Hun Demand'!T:T,MATCH(O1260,'Hun Demand'!A:A,0)),"")</f>
        <v/>
      </c>
      <c r="E1260" s="25" t="str">
        <f>IFERROR(INDEX('Hun Demand'!S:S,MATCH(O1260,'Hun Demand'!A:A,0)),"")</f>
        <v/>
      </c>
      <c r="F1260" s="25" t="str">
        <f>IFERROR(INDEX('Hun Demand'!R:R,MATCH(O1260,'Hun Demand'!A:A,0)),"")</f>
        <v/>
      </c>
      <c r="G1260" s="25">
        <f>IFERROR(INDEX('Aub Demand'!W:W,MATCH(O1260,'Aub Demand'!A:A,0)),"")</f>
        <v>0</v>
      </c>
      <c r="H1260" s="25">
        <f>IFERROR(INDEX('Aub Demand'!V:V,MATCH(O1260,'Aub Demand'!A:A,0)),"")</f>
        <v>0</v>
      </c>
      <c r="I1260" s="25">
        <f>IFERROR(INDEX('Aub Demand'!U:U,MATCH(O1260,'Aub Demand'!A:A,0)),"")</f>
        <v>0</v>
      </c>
      <c r="J1260" s="25">
        <f>IFERROR(INDEX('Aub Demand'!T:T,MATCH(O1260,'Aub Demand'!A:A,0)),"")</f>
        <v>0</v>
      </c>
      <c r="K1260" s="25">
        <f>IFERROR(INDEX('Aub Demand'!S:S,MATCH(O1260,'Aub Demand'!A:A,0)),"")</f>
        <v>0</v>
      </c>
      <c r="L1260" s="25">
        <f>IFERROR(INDEX('Aub Demand'!R:R,MATCH(O1260,'Aub Demand'!A:A,0)),"")</f>
        <v>0</v>
      </c>
      <c r="O1260" s="27" t="s">
        <v>2883</v>
      </c>
      <c r="P1260" s="27" t="str">
        <f>IFERROR(INDEX('Aub Demand'!B:B,MATCH($O1260,'Aub Demand'!$A:$A,0)),"")</f>
        <v>W CAROLINA OAK</v>
      </c>
      <c r="Q1260" s="27" t="str">
        <f>IFERROR(INDEX('Aub Demand'!C:C,MATCH($O1260,'Aub Demand'!$A:$A,0)),"")</f>
        <v>TOPPA</v>
      </c>
      <c r="R1260" s="52">
        <f>IFERROR(IF(AR1261=AR1260,INDEX('Aub Demand'!K:K,MATCH($O1260,'Aub Demand'!$A:$A,0))-IF(AN1260="",0,AN1260)+AP1261,INDEX('Aub Demand'!K:K,MATCH($O1260,'Aub Demand'!$A:$A,0))-IF(AN1260="",0,AN1260)),"")</f>
        <v>557</v>
      </c>
      <c r="S1260" s="53" t="str">
        <f t="shared" si="532"/>
        <v>n/a</v>
      </c>
      <c r="T1260" s="52" t="str">
        <f t="shared" si="533"/>
        <v/>
      </c>
      <c r="U1260" s="52">
        <f>IFERROR(IF(AR1261=AR1260,INDEX('Aub Demand'!Q:Q,MATCH($O1260,'Aub Demand'!$A:$A,0))-IF(AN1260="",0,AN1260)+AP1261,INDEX('Aub Demand'!Q:Q,MATCH($O1260,'Aub Demand'!$A:$A,0))-IF(AN1260="",0,AN1260)),"")</f>
        <v>557</v>
      </c>
      <c r="V1260" s="53" t="str">
        <f t="shared" si="534"/>
        <v>n/a</v>
      </c>
      <c r="W1260" s="52" t="str">
        <f t="shared" si="535"/>
        <v/>
      </c>
      <c r="X1260" s="52">
        <f>IFERROR(IF(AND(AR1261=AR1260,AM1260&lt;&gt;""),INDEX('Aub Demand'!Q:Q,MATCH($O1260,'Aub Demand'!$A:$A,0))-IF(AN1260="",0,AN1260)+AP1261+AD1260+AL1260,IF(AR1261=AR1260,INDEX('Aub Demand'!Q:Q,MATCH($O1260,'Aub Demand'!$A:$A,0))-IF(AN1260="",0,AN1260)+AP1261+AD1260,IF(AM1260&lt;&gt;"",INDEX('Aub Demand'!Q:Q,MATCH($O1260,'Aub Demand'!$A:$A,0))-IF(AN1260="",0,AN1260)+AD1260+AL1260,INDEX('Aub Demand'!Q:Q,MATCH($O1260,'Aub Demand'!$A:$A,0))-IF(AN1260="",0,AN1260)+AD1260))),"")</f>
        <v>557</v>
      </c>
      <c r="Y1260" s="53" t="str">
        <f t="shared" si="536"/>
        <v>n/a</v>
      </c>
      <c r="Z1260" s="52">
        <f>IF(L1260="","",INDEX('Aub Demand'!H:H,MATCH($O1260,'Aub Demand'!$A:$A,0)))</f>
        <v>0</v>
      </c>
      <c r="AA1260" s="52" t="str">
        <f t="shared" si="537"/>
        <v>-spike-</v>
      </c>
      <c r="AB1260" s="52">
        <f>IFERROR(INDEX('Aub Demand'!L:L,MATCH($O1260,'Aub Demand'!$A:$A,0)),"")</f>
        <v>0</v>
      </c>
      <c r="AC1260" s="52">
        <f>IFERROR(IF(O1260="","",SUMIFS('CPL Mats'!F:F,'CPL Mats'!Q:Q,AR1260,'CPL Mats'!S:S,AS1260)),"")</f>
        <v>0</v>
      </c>
      <c r="AF1260" s="25" t="str">
        <f>IF(SUMIFS('Supp Consol'!S:S,'Supp Consol'!Y:Y,"Releasable",'Supp Consol'!A:A,O1260)=0,"",SUMIFS('Supp Consol'!S:S,'Supp Consol'!Y:Y,"Releasable",'Supp Consol'!A:A,O1260))</f>
        <v/>
      </c>
      <c r="AG1260" s="25" t="str">
        <f>IFERROR(INDEX('Hun Demand'!Q:Q,MATCH(O1260,'Hun Demand'!A:A,0)),"")</f>
        <v/>
      </c>
      <c r="AH1260" s="25" t="str">
        <f>IFERROR(INDEX('Hun Demand'!H:H,MATCH($O1260,'Hun Demand'!$A:$A,0)),"")</f>
        <v/>
      </c>
      <c r="AI1260" s="25" t="str">
        <f>IF(SUMIFS('Supp Consol'!AA:AA,'Supp Consol'!Z:Z,"Expires this month",'Supp Consol'!A:A,O1260)=0,"",SUMIFS('Supp Consol'!AA:AA,'Supp Consol'!Z:Z,"Expires this month",'Supp Consol'!A:A,O1260))</f>
        <v/>
      </c>
      <c r="AJ1260" s="25" t="str">
        <f>IF(SUMIFS('Supp Consol'!AA:AA,'Supp Consol'!Z:Z,"Expired Previous Months",'Supp Consol'!A:A,O1260)=0,"",SUMIFS('Supp Consol'!AA:AA,'Supp Consol'!Z:Z,"Expired Previous Months",'Supp Consol'!A:A,O1260))</f>
        <v/>
      </c>
      <c r="AK1260" s="25" t="str">
        <f>IFERROR(INDEX('Hun Release Current'!B:B,MATCH(O1260,'Hun Release Current'!A:A,0)),"")</f>
        <v/>
      </c>
      <c r="AL1260" s="25" t="str">
        <f>IF(SUMIF('Prev Aub'!A:A,O1260,'Prev Aub'!B:B)=0,"",SUMIF('Prev Aub'!A:A,O1260,'Prev Aub'!B:B))</f>
        <v/>
      </c>
      <c r="AN1260" s="25" t="s">
        <v>3790</v>
      </c>
      <c r="AO1260" s="25" t="s">
        <v>3790</v>
      </c>
      <c r="AP1260" s="25">
        <f t="shared" si="538"/>
        <v>0</v>
      </c>
      <c r="AQ1260" s="151" t="str">
        <f>IF(SUMIFS('Supp Consol'!S:S,'Supp Consol'!A:A,O1260,'Supp Consol'!I:I,"PENDING")=0,"",SUMIFS('Supp Consol'!S:S,'Supp Consol'!A:A,O1260,'Supp Consol'!I:I,"PENDING"))</f>
        <v/>
      </c>
      <c r="AR1260" s="27" t="str">
        <f t="shared" si="539"/>
        <v>W4511</v>
      </c>
      <c r="AS1260" s="27" t="str">
        <f t="shared" si="540"/>
        <v>62</v>
      </c>
      <c r="AT1260" s="27" t="str">
        <f t="shared" si="541"/>
        <v/>
      </c>
      <c r="AU1260" s="27" t="str">
        <f t="shared" si="542"/>
        <v/>
      </c>
      <c r="AV1260" s="27" t="str">
        <f t="shared" si="543"/>
        <v/>
      </c>
      <c r="AW1260" s="27" t="str">
        <f t="shared" si="544"/>
        <v/>
      </c>
      <c r="AX1260" s="27" t="str">
        <f t="shared" si="545"/>
        <v/>
      </c>
      <c r="AY1260" s="27" t="str">
        <f t="shared" si="546"/>
        <v/>
      </c>
      <c r="AZ1260" s="27" t="str">
        <f t="shared" si="547"/>
        <v/>
      </c>
      <c r="BA1260" s="27" t="str">
        <f t="shared" si="548"/>
        <v/>
      </c>
      <c r="BB1260" s="27" t="str">
        <f t="shared" si="549"/>
        <v/>
      </c>
      <c r="BC1260" s="27" t="str">
        <f t="shared" si="550"/>
        <v/>
      </c>
      <c r="BD1260" s="27" t="str">
        <f t="shared" si="551"/>
        <v/>
      </c>
      <c r="BE1260" s="27" t="str">
        <f t="shared" si="552"/>
        <v/>
      </c>
      <c r="BF1260" s="27" t="str">
        <f t="shared" si="553"/>
        <v/>
      </c>
      <c r="BG1260" s="27" t="str">
        <f t="shared" si="554"/>
        <v/>
      </c>
      <c r="BH1260" s="27" t="str">
        <f t="shared" si="555"/>
        <v/>
      </c>
      <c r="BI1260" s="27" t="str">
        <f t="shared" si="556"/>
        <v/>
      </c>
      <c r="BJ1260" s="27" t="str">
        <f t="shared" si="557"/>
        <v/>
      </c>
      <c r="BK1260" s="27" t="str">
        <f t="shared" si="558"/>
        <v/>
      </c>
      <c r="BL1260" s="27" t="str">
        <f t="shared" si="559"/>
        <v/>
      </c>
      <c r="BM1260" s="21" t="s">
        <v>5581</v>
      </c>
    </row>
    <row r="1261" spans="1:65" ht="15">
      <c r="A1261" s="25" t="str">
        <f>IFERROR(INDEX('Hun Demand'!W:W,MATCH(O1261,'Hun Demand'!A:A,0)),"")</f>
        <v/>
      </c>
      <c r="B1261" s="25" t="str">
        <f>IFERROR(INDEX('Hun Demand'!V:V,MATCH(O1261,'Hun Demand'!A:A,0)),"")</f>
        <v/>
      </c>
      <c r="C1261" s="25" t="str">
        <f>IFERROR(INDEX('Hun Demand'!U:U,MATCH(O1261,'Hun Demand'!A:A,0)),"")</f>
        <v/>
      </c>
      <c r="D1261" s="25" t="str">
        <f>IFERROR(INDEX('Hun Demand'!T:T,MATCH(O1261,'Hun Demand'!A:A,0)),"")</f>
        <v/>
      </c>
      <c r="E1261" s="25" t="str">
        <f>IFERROR(INDEX('Hun Demand'!S:S,MATCH(O1261,'Hun Demand'!A:A,0)),"")</f>
        <v/>
      </c>
      <c r="F1261" s="25" t="str">
        <f>IFERROR(INDEX('Hun Demand'!R:R,MATCH(O1261,'Hun Demand'!A:A,0)),"")</f>
        <v/>
      </c>
      <c r="G1261" s="25">
        <f>IFERROR(INDEX('Aub Demand'!W:W,MATCH(O1261,'Aub Demand'!A:A,0)),"")</f>
        <v>0</v>
      </c>
      <c r="H1261" s="25">
        <f>IFERROR(INDEX('Aub Demand'!V:V,MATCH(O1261,'Aub Demand'!A:A,0)),"")</f>
        <v>0</v>
      </c>
      <c r="I1261" s="25">
        <f>IFERROR(INDEX('Aub Demand'!U:U,MATCH(O1261,'Aub Demand'!A:A,0)),"")</f>
        <v>0</v>
      </c>
      <c r="J1261" s="25">
        <f>IFERROR(INDEX('Aub Demand'!T:T,MATCH(O1261,'Aub Demand'!A:A,0)),"")</f>
        <v>0</v>
      </c>
      <c r="K1261" s="25">
        <f>IFERROR(INDEX('Aub Demand'!S:S,MATCH(O1261,'Aub Demand'!A:A,0)),"")</f>
        <v>0</v>
      </c>
      <c r="L1261" s="25">
        <f>IFERROR(INDEX('Aub Demand'!R:R,MATCH(O1261,'Aub Demand'!A:A,0)),"")</f>
        <v>0</v>
      </c>
      <c r="O1261" s="27" t="s">
        <v>3410</v>
      </c>
      <c r="P1261" s="27" t="str">
        <f>IFERROR(INDEX('Aub Demand'!B:B,MATCH($O1261,'Aub Demand'!$A:$A,0)),"")</f>
        <v>APPLACHIAN MAPLE</v>
      </c>
      <c r="Q1261" s="27" t="str">
        <f>IFERROR(INDEX('Aub Demand'!C:C,MATCH($O1261,'Aub Demand'!$A:$A,0)),"")</f>
        <v>TOPPA</v>
      </c>
      <c r="R1261" s="52">
        <f>IFERROR(IF(AR1262=AR1261,INDEX('Aub Demand'!K:K,MATCH($O1261,'Aub Demand'!$A:$A,0))-IF(AN1261="",0,AN1261)+AP1262,INDEX('Aub Demand'!K:K,MATCH($O1261,'Aub Demand'!$A:$A,0))-IF(AN1261="",0,AN1261)),"")</f>
        <v>952</v>
      </c>
      <c r="S1261" s="53" t="str">
        <f t="shared" si="532"/>
        <v>n/a</v>
      </c>
      <c r="T1261" s="52" t="str">
        <f t="shared" si="533"/>
        <v/>
      </c>
      <c r="U1261" s="52">
        <f>IFERROR(IF(AR1262=AR1261,INDEX('Aub Demand'!Q:Q,MATCH($O1261,'Aub Demand'!$A:$A,0))-IF(AN1261="",0,AN1261)+AP1262,INDEX('Aub Demand'!Q:Q,MATCH($O1261,'Aub Demand'!$A:$A,0))-IF(AN1261="",0,AN1261)),"")</f>
        <v>952</v>
      </c>
      <c r="V1261" s="53" t="str">
        <f t="shared" si="534"/>
        <v>n/a</v>
      </c>
      <c r="W1261" s="52" t="str">
        <f t="shared" si="535"/>
        <v/>
      </c>
      <c r="X1261" s="52">
        <f>IFERROR(IF(AND(AR1262=AR1261,AM1261&lt;&gt;""),INDEX('Aub Demand'!Q:Q,MATCH($O1261,'Aub Demand'!$A:$A,0))-IF(AN1261="",0,AN1261)+AP1262+AD1261+AL1261,IF(AR1262=AR1261,INDEX('Aub Demand'!Q:Q,MATCH($O1261,'Aub Demand'!$A:$A,0))-IF(AN1261="",0,AN1261)+AP1262+AD1261,IF(AM1261&lt;&gt;"",INDEX('Aub Demand'!Q:Q,MATCH($O1261,'Aub Demand'!$A:$A,0))-IF(AN1261="",0,AN1261)+AD1261+AL1261,INDEX('Aub Demand'!Q:Q,MATCH($O1261,'Aub Demand'!$A:$A,0))-IF(AN1261="",0,AN1261)+AD1261))),"")</f>
        <v>952</v>
      </c>
      <c r="Y1261" s="53" t="str">
        <f t="shared" si="536"/>
        <v>n/a</v>
      </c>
      <c r="Z1261" s="52">
        <f>IF(L1261="","",INDEX('Aub Demand'!H:H,MATCH($O1261,'Aub Demand'!$A:$A,0)))</f>
        <v>0</v>
      </c>
      <c r="AA1261" s="52" t="str">
        <f t="shared" si="537"/>
        <v>-spike-</v>
      </c>
      <c r="AB1261" s="52">
        <f>IFERROR(INDEX('Aub Demand'!L:L,MATCH($O1261,'Aub Demand'!$A:$A,0)),"")</f>
        <v>0</v>
      </c>
      <c r="AC1261" s="52">
        <f>IFERROR(IF(O1261="","",SUMIFS('CPL Mats'!F:F,'CPL Mats'!Q:Q,AR1261,'CPL Mats'!S:S,AS1261)),"")</f>
        <v>0</v>
      </c>
      <c r="AF1261" s="25" t="str">
        <f>IF(SUMIFS('Supp Consol'!S:S,'Supp Consol'!Y:Y,"Releasable",'Supp Consol'!A:A,O1261)=0,"",SUMIFS('Supp Consol'!S:S,'Supp Consol'!Y:Y,"Releasable",'Supp Consol'!A:A,O1261))</f>
        <v/>
      </c>
      <c r="AG1261" s="25" t="str">
        <f>IFERROR(INDEX('Hun Demand'!Q:Q,MATCH(O1261,'Hun Demand'!A:A,0)),"")</f>
        <v/>
      </c>
      <c r="AH1261" s="25" t="str">
        <f>IFERROR(INDEX('Hun Demand'!H:H,MATCH($O1261,'Hun Demand'!$A:$A,0)),"")</f>
        <v/>
      </c>
      <c r="AI1261" s="25" t="str">
        <f>IF(SUMIFS('Supp Consol'!AA:AA,'Supp Consol'!Z:Z,"Expires this month",'Supp Consol'!A:A,O1261)=0,"",SUMIFS('Supp Consol'!AA:AA,'Supp Consol'!Z:Z,"Expires this month",'Supp Consol'!A:A,O1261))</f>
        <v/>
      </c>
      <c r="AJ1261" s="25" t="str">
        <f>IF(SUMIFS('Supp Consol'!AA:AA,'Supp Consol'!Z:Z,"Expired Previous Months",'Supp Consol'!A:A,O1261)=0,"",SUMIFS('Supp Consol'!AA:AA,'Supp Consol'!Z:Z,"Expired Previous Months",'Supp Consol'!A:A,O1261))</f>
        <v/>
      </c>
      <c r="AK1261" s="25" t="str">
        <f>IFERROR(INDEX('Hun Release Current'!B:B,MATCH(O1261,'Hun Release Current'!A:A,0)),"")</f>
        <v/>
      </c>
      <c r="AL1261" s="25" t="str">
        <f>IF(SUMIF('Prev Aub'!A:A,O1261,'Prev Aub'!B:B)=0,"",SUMIF('Prev Aub'!A:A,O1261,'Prev Aub'!B:B))</f>
        <v/>
      </c>
      <c r="AN1261" s="25" t="s">
        <v>3790</v>
      </c>
      <c r="AO1261" s="25" t="s">
        <v>3790</v>
      </c>
      <c r="AP1261" s="25">
        <f t="shared" si="538"/>
        <v>0</v>
      </c>
      <c r="AQ1261" s="151" t="str">
        <f>IF(SUMIFS('Supp Consol'!S:S,'Supp Consol'!A:A,O1261,'Supp Consol'!I:I,"PENDING")=0,"",SUMIFS('Supp Consol'!S:S,'Supp Consol'!A:A,O1261,'Supp Consol'!I:I,"PENDING"))</f>
        <v/>
      </c>
      <c r="AR1261" s="27" t="str">
        <f t="shared" si="539"/>
        <v>W5514</v>
      </c>
      <c r="AS1261" s="27" t="str">
        <f t="shared" si="540"/>
        <v>62</v>
      </c>
      <c r="AT1261" s="27" t="str">
        <f t="shared" si="541"/>
        <v/>
      </c>
      <c r="AU1261" s="27" t="str">
        <f t="shared" si="542"/>
        <v/>
      </c>
      <c r="AV1261" s="27" t="str">
        <f t="shared" si="543"/>
        <v/>
      </c>
      <c r="AW1261" s="27" t="str">
        <f t="shared" si="544"/>
        <v/>
      </c>
      <c r="AX1261" s="27" t="str">
        <f t="shared" si="545"/>
        <v/>
      </c>
      <c r="AY1261" s="27" t="str">
        <f t="shared" si="546"/>
        <v/>
      </c>
      <c r="AZ1261" s="27" t="str">
        <f t="shared" si="547"/>
        <v/>
      </c>
      <c r="BA1261" s="27" t="str">
        <f t="shared" si="548"/>
        <v/>
      </c>
      <c r="BB1261" s="27" t="str">
        <f t="shared" si="549"/>
        <v/>
      </c>
      <c r="BC1261" s="27" t="str">
        <f t="shared" si="550"/>
        <v/>
      </c>
      <c r="BD1261" s="27" t="str">
        <f t="shared" si="551"/>
        <v/>
      </c>
      <c r="BE1261" s="27" t="str">
        <f t="shared" si="552"/>
        <v/>
      </c>
      <c r="BF1261" s="27" t="str">
        <f t="shared" si="553"/>
        <v/>
      </c>
      <c r="BG1261" s="27" t="str">
        <f t="shared" si="554"/>
        <v/>
      </c>
      <c r="BH1261" s="27" t="str">
        <f t="shared" si="555"/>
        <v/>
      </c>
      <c r="BI1261" s="27" t="str">
        <f t="shared" si="556"/>
        <v/>
      </c>
      <c r="BJ1261" s="27" t="str">
        <f t="shared" si="557"/>
        <v/>
      </c>
      <c r="BK1261" s="27" t="str">
        <f t="shared" si="558"/>
        <v/>
      </c>
      <c r="BL1261" s="27" t="str">
        <f t="shared" si="559"/>
        <v/>
      </c>
      <c r="BM1261" s="21" t="s">
        <v>5581</v>
      </c>
    </row>
    <row r="1262" spans="1:65" ht="15">
      <c r="A1262" s="25" t="str">
        <f>IFERROR(INDEX('Hun Demand'!W:W,MATCH(O1262,'Hun Demand'!A:A,0)),"")</f>
        <v/>
      </c>
      <c r="B1262" s="25" t="str">
        <f>IFERROR(INDEX('Hun Demand'!V:V,MATCH(O1262,'Hun Demand'!A:A,0)),"")</f>
        <v/>
      </c>
      <c r="C1262" s="25" t="str">
        <f>IFERROR(INDEX('Hun Demand'!U:U,MATCH(O1262,'Hun Demand'!A:A,0)),"")</f>
        <v/>
      </c>
      <c r="D1262" s="25" t="str">
        <f>IFERROR(INDEX('Hun Demand'!T:T,MATCH(O1262,'Hun Demand'!A:A,0)),"")</f>
        <v/>
      </c>
      <c r="E1262" s="25" t="str">
        <f>IFERROR(INDEX('Hun Demand'!S:S,MATCH(O1262,'Hun Demand'!A:A,0)),"")</f>
        <v/>
      </c>
      <c r="F1262" s="25" t="str">
        <f>IFERROR(INDEX('Hun Demand'!R:R,MATCH(O1262,'Hun Demand'!A:A,0)),"")</f>
        <v/>
      </c>
      <c r="G1262" s="25">
        <f>IFERROR(INDEX('Aub Demand'!W:W,MATCH(O1262,'Aub Demand'!A:A,0)),"")</f>
        <v>0</v>
      </c>
      <c r="H1262" s="25">
        <f>IFERROR(INDEX('Aub Demand'!V:V,MATCH(O1262,'Aub Demand'!A:A,0)),"")</f>
        <v>0</v>
      </c>
      <c r="I1262" s="25">
        <f>IFERROR(INDEX('Aub Demand'!U:U,MATCH(O1262,'Aub Demand'!A:A,0)),"")</f>
        <v>0</v>
      </c>
      <c r="J1262" s="25">
        <f>IFERROR(INDEX('Aub Demand'!T:T,MATCH(O1262,'Aub Demand'!A:A,0)),"")</f>
        <v>0</v>
      </c>
      <c r="K1262" s="25">
        <f>IFERROR(INDEX('Aub Demand'!S:S,MATCH(O1262,'Aub Demand'!A:A,0)),"")</f>
        <v>0</v>
      </c>
      <c r="L1262" s="25">
        <f>IFERROR(INDEX('Aub Demand'!R:R,MATCH(O1262,'Aub Demand'!A:A,0)),"")</f>
        <v>0</v>
      </c>
      <c r="O1262" s="27" t="s">
        <v>3413</v>
      </c>
      <c r="P1262" s="27" t="str">
        <f>IFERROR(INDEX('Aub Demand'!B:B,MATCH($O1262,'Aub Demand'!$A:$A,0)),"")</f>
        <v>W CHERRY</v>
      </c>
      <c r="Q1262" s="27" t="str">
        <f>IFERROR(INDEX('Aub Demand'!C:C,MATCH($O1262,'Aub Demand'!$A:$A,0)),"")</f>
        <v>TOPPA</v>
      </c>
      <c r="R1262" s="52">
        <f>IFERROR(IF(AR1263=AR1262,INDEX('Aub Demand'!K:K,MATCH($O1262,'Aub Demand'!$A:$A,0))-IF(AN1262="",0,AN1262)+AP1263,INDEX('Aub Demand'!K:K,MATCH($O1262,'Aub Demand'!$A:$A,0))-IF(AN1262="",0,AN1262)),"")</f>
        <v>718</v>
      </c>
      <c r="S1262" s="53" t="str">
        <f t="shared" si="532"/>
        <v>n/a</v>
      </c>
      <c r="T1262" s="52" t="str">
        <f t="shared" si="533"/>
        <v/>
      </c>
      <c r="U1262" s="52">
        <f>IFERROR(IF(AR1263=AR1262,INDEX('Aub Demand'!Q:Q,MATCH($O1262,'Aub Demand'!$A:$A,0))-IF(AN1262="",0,AN1262)+AP1263,INDEX('Aub Demand'!Q:Q,MATCH($O1262,'Aub Demand'!$A:$A,0))-IF(AN1262="",0,AN1262)),"")</f>
        <v>718</v>
      </c>
      <c r="V1262" s="53" t="str">
        <f t="shared" si="534"/>
        <v>n/a</v>
      </c>
      <c r="W1262" s="52" t="str">
        <f t="shared" si="535"/>
        <v/>
      </c>
      <c r="X1262" s="52">
        <f>IFERROR(IF(AND(AR1263=AR1262,AM1262&lt;&gt;""),INDEX('Aub Demand'!Q:Q,MATCH($O1262,'Aub Demand'!$A:$A,0))-IF(AN1262="",0,AN1262)+AP1263+AD1262+AL1262,IF(AR1263=AR1262,INDEX('Aub Demand'!Q:Q,MATCH($O1262,'Aub Demand'!$A:$A,0))-IF(AN1262="",0,AN1262)+AP1263+AD1262,IF(AM1262&lt;&gt;"",INDEX('Aub Demand'!Q:Q,MATCH($O1262,'Aub Demand'!$A:$A,0))-IF(AN1262="",0,AN1262)+AD1262+AL1262,INDEX('Aub Demand'!Q:Q,MATCH($O1262,'Aub Demand'!$A:$A,0))-IF(AN1262="",0,AN1262)+AD1262))),"")</f>
        <v>718</v>
      </c>
      <c r="Y1262" s="53" t="str">
        <f t="shared" si="536"/>
        <v>n/a</v>
      </c>
      <c r="Z1262" s="52">
        <f>IF(L1262="","",INDEX('Aub Demand'!H:H,MATCH($O1262,'Aub Demand'!$A:$A,0)))</f>
        <v>0</v>
      </c>
      <c r="AA1262" s="52" t="str">
        <f t="shared" si="537"/>
        <v>-spike-</v>
      </c>
      <c r="AB1262" s="52">
        <f>IFERROR(INDEX('Aub Demand'!L:L,MATCH($O1262,'Aub Demand'!$A:$A,0)),"")</f>
        <v>0</v>
      </c>
      <c r="AC1262" s="52">
        <f>IFERROR(IF(O1262="","",SUMIFS('CPL Mats'!F:F,'CPL Mats'!Q:Q,AR1262,'CPL Mats'!S:S,AS1262)),"")</f>
        <v>0</v>
      </c>
      <c r="AF1262" s="25" t="str">
        <f>IF(SUMIFS('Supp Consol'!S:S,'Supp Consol'!Y:Y,"Releasable",'Supp Consol'!A:A,O1262)=0,"",SUMIFS('Supp Consol'!S:S,'Supp Consol'!Y:Y,"Releasable",'Supp Consol'!A:A,O1262))</f>
        <v/>
      </c>
      <c r="AG1262" s="25" t="str">
        <f>IFERROR(INDEX('Hun Demand'!Q:Q,MATCH(O1262,'Hun Demand'!A:A,0)),"")</f>
        <v/>
      </c>
      <c r="AH1262" s="25" t="str">
        <f>IFERROR(INDEX('Hun Demand'!H:H,MATCH($O1262,'Hun Demand'!$A:$A,0)),"")</f>
        <v/>
      </c>
      <c r="AI1262" s="25" t="str">
        <f>IF(SUMIFS('Supp Consol'!AA:AA,'Supp Consol'!Z:Z,"Expires this month",'Supp Consol'!A:A,O1262)=0,"",SUMIFS('Supp Consol'!AA:AA,'Supp Consol'!Z:Z,"Expires this month",'Supp Consol'!A:A,O1262))</f>
        <v/>
      </c>
      <c r="AJ1262" s="25" t="str">
        <f>IF(SUMIFS('Supp Consol'!AA:AA,'Supp Consol'!Z:Z,"Expired Previous Months",'Supp Consol'!A:A,O1262)=0,"",SUMIFS('Supp Consol'!AA:AA,'Supp Consol'!Z:Z,"Expired Previous Months",'Supp Consol'!A:A,O1262))</f>
        <v/>
      </c>
      <c r="AK1262" s="25" t="str">
        <f>IFERROR(INDEX('Hun Release Current'!B:B,MATCH(O1262,'Hun Release Current'!A:A,0)),"")</f>
        <v/>
      </c>
      <c r="AL1262" s="25" t="str">
        <f>IF(SUMIF('Prev Aub'!A:A,O1262,'Prev Aub'!B:B)=0,"",SUMIF('Prev Aub'!A:A,O1262,'Prev Aub'!B:B))</f>
        <v/>
      </c>
      <c r="AN1262" s="25" t="s">
        <v>3790</v>
      </c>
      <c r="AO1262" s="25" t="s">
        <v>3790</v>
      </c>
      <c r="AP1262" s="25">
        <f t="shared" si="538"/>
        <v>0</v>
      </c>
      <c r="AQ1262" s="151" t="str">
        <f>IF(SUMIFS('Supp Consol'!S:S,'Supp Consol'!A:A,O1262,'Supp Consol'!I:I,"PENDING")=0,"",SUMIFS('Supp Consol'!S:S,'Supp Consol'!A:A,O1262,'Supp Consol'!I:I,"PENDING"))</f>
        <v/>
      </c>
      <c r="AR1262" s="27" t="str">
        <f t="shared" si="539"/>
        <v>W7178</v>
      </c>
      <c r="AS1262" s="27" t="str">
        <f t="shared" si="540"/>
        <v>62</v>
      </c>
      <c r="AT1262" s="27" t="str">
        <f t="shared" si="541"/>
        <v/>
      </c>
      <c r="AU1262" s="27" t="str">
        <f t="shared" si="542"/>
        <v/>
      </c>
      <c r="AV1262" s="27" t="str">
        <f t="shared" si="543"/>
        <v/>
      </c>
      <c r="AW1262" s="27" t="str">
        <f t="shared" si="544"/>
        <v/>
      </c>
      <c r="AX1262" s="27" t="str">
        <f t="shared" si="545"/>
        <v/>
      </c>
      <c r="AY1262" s="27" t="str">
        <f t="shared" si="546"/>
        <v/>
      </c>
      <c r="AZ1262" s="27" t="str">
        <f t="shared" si="547"/>
        <v/>
      </c>
      <c r="BA1262" s="27" t="str">
        <f t="shared" si="548"/>
        <v/>
      </c>
      <c r="BB1262" s="27" t="str">
        <f t="shared" si="549"/>
        <v/>
      </c>
      <c r="BC1262" s="27" t="str">
        <f t="shared" si="550"/>
        <v/>
      </c>
      <c r="BD1262" s="27" t="str">
        <f t="shared" si="551"/>
        <v/>
      </c>
      <c r="BE1262" s="27" t="str">
        <f t="shared" si="552"/>
        <v/>
      </c>
      <c r="BF1262" s="27" t="str">
        <f t="shared" si="553"/>
        <v/>
      </c>
      <c r="BG1262" s="27" t="str">
        <f t="shared" si="554"/>
        <v/>
      </c>
      <c r="BH1262" s="27" t="str">
        <f t="shared" si="555"/>
        <v/>
      </c>
      <c r="BI1262" s="27" t="str">
        <f t="shared" si="556"/>
        <v/>
      </c>
      <c r="BJ1262" s="27" t="str">
        <f t="shared" si="557"/>
        <v/>
      </c>
      <c r="BK1262" s="27" t="str">
        <f t="shared" si="558"/>
        <v/>
      </c>
      <c r="BL1262" s="27" t="str">
        <f t="shared" si="559"/>
        <v/>
      </c>
      <c r="BM1262" s="21" t="s">
        <v>5581</v>
      </c>
    </row>
    <row r="1263" spans="1:65" ht="15">
      <c r="A1263" s="25" t="str">
        <f>IFERROR(INDEX('Hun Demand'!W:W,MATCH(O1263,'Hun Demand'!A:A,0)),"")</f>
        <v/>
      </c>
      <c r="B1263" s="25" t="str">
        <f>IFERROR(INDEX('Hun Demand'!V:V,MATCH(O1263,'Hun Demand'!A:A,0)),"")</f>
        <v/>
      </c>
      <c r="C1263" s="25" t="str">
        <f>IFERROR(INDEX('Hun Demand'!U:U,MATCH(O1263,'Hun Demand'!A:A,0)),"")</f>
        <v/>
      </c>
      <c r="D1263" s="25" t="str">
        <f>IFERROR(INDEX('Hun Demand'!T:T,MATCH(O1263,'Hun Demand'!A:A,0)),"")</f>
        <v/>
      </c>
      <c r="E1263" s="25" t="str">
        <f>IFERROR(INDEX('Hun Demand'!S:S,MATCH(O1263,'Hun Demand'!A:A,0)),"")</f>
        <v/>
      </c>
      <c r="F1263" s="25" t="str">
        <f>IFERROR(INDEX('Hun Demand'!R:R,MATCH(O1263,'Hun Demand'!A:A,0)),"")</f>
        <v/>
      </c>
      <c r="G1263" s="25">
        <f>IFERROR(INDEX('Aub Demand'!W:W,MATCH(O1263,'Aub Demand'!A:A,0)),"")</f>
        <v>0</v>
      </c>
      <c r="H1263" s="25">
        <f>IFERROR(INDEX('Aub Demand'!V:V,MATCH(O1263,'Aub Demand'!A:A,0)),"")</f>
        <v>0</v>
      </c>
      <c r="I1263" s="25">
        <f>IFERROR(INDEX('Aub Demand'!U:U,MATCH(O1263,'Aub Demand'!A:A,0)),"")</f>
        <v>80</v>
      </c>
      <c r="J1263" s="25">
        <f>IFERROR(INDEX('Aub Demand'!T:T,MATCH(O1263,'Aub Demand'!A:A,0)),"")</f>
        <v>0</v>
      </c>
      <c r="K1263" s="25">
        <f>IFERROR(INDEX('Aub Demand'!S:S,MATCH(O1263,'Aub Demand'!A:A,0)),"")</f>
        <v>0</v>
      </c>
      <c r="L1263" s="25">
        <f>IFERROR(INDEX('Aub Demand'!R:R,MATCH(O1263,'Aub Demand'!A:A,0)),"")</f>
        <v>0</v>
      </c>
      <c r="O1263" s="27" t="s">
        <v>2886</v>
      </c>
      <c r="P1263" s="27" t="str">
        <f>IFERROR(INDEX('Aub Demand'!B:B,MATCH($O1263,'Aub Demand'!$A:$A,0)),"")</f>
        <v>LIGHT SAVANNAH OAK</v>
      </c>
      <c r="Q1263" s="27" t="str">
        <f>IFERROR(INDEX('Aub Demand'!C:C,MATCH($O1263,'Aub Demand'!$A:$A,0)),"")</f>
        <v>TOPPA</v>
      </c>
      <c r="R1263" s="52">
        <f>IFERROR(IF(AR1264=AR1263,INDEX('Aub Demand'!K:K,MATCH($O1263,'Aub Demand'!$A:$A,0))-IF(AN1263="",0,AN1263)+AP1264,INDEX('Aub Demand'!K:K,MATCH($O1263,'Aub Demand'!$A:$A,0))-IF(AN1263="",0,AN1263)),"")</f>
        <v>0</v>
      </c>
      <c r="S1263" s="53">
        <f t="shared" si="532"/>
        <v>0</v>
      </c>
      <c r="T1263" s="52" t="str">
        <f t="shared" si="533"/>
        <v/>
      </c>
      <c r="U1263" s="52">
        <f>IFERROR(IF(AR1264=AR1263,INDEX('Aub Demand'!Q:Q,MATCH($O1263,'Aub Demand'!$A:$A,0))-IF(AN1263="",0,AN1263)+AP1264,INDEX('Aub Demand'!Q:Q,MATCH($O1263,'Aub Demand'!$A:$A,0))-IF(AN1263="",0,AN1263)),"")</f>
        <v>0</v>
      </c>
      <c r="V1263" s="53">
        <f t="shared" si="534"/>
        <v>0</v>
      </c>
      <c r="W1263" s="52" t="str">
        <f t="shared" si="535"/>
        <v/>
      </c>
      <c r="X1263" s="52">
        <f>IFERROR(IF(AND(AR1264=AR1263,AM1263&lt;&gt;""),INDEX('Aub Demand'!Q:Q,MATCH($O1263,'Aub Demand'!$A:$A,0))-IF(AN1263="",0,AN1263)+AP1264+AD1263+AL1263,IF(AR1264=AR1263,INDEX('Aub Demand'!Q:Q,MATCH($O1263,'Aub Demand'!$A:$A,0))-IF(AN1263="",0,AN1263)+AP1264+AD1263,IF(AM1263&lt;&gt;"",INDEX('Aub Demand'!Q:Q,MATCH($O1263,'Aub Demand'!$A:$A,0))-IF(AN1263="",0,AN1263)+AD1263+AL1263,INDEX('Aub Demand'!Q:Q,MATCH($O1263,'Aub Demand'!$A:$A,0))-IF(AN1263="",0,AN1263)+AD1263))),"")</f>
        <v>0</v>
      </c>
      <c r="Y1263" s="53">
        <f t="shared" si="536"/>
        <v>0</v>
      </c>
      <c r="Z1263" s="52">
        <f>IF(L1263="","",INDEX('Aub Demand'!H:H,MATCH($O1263,'Aub Demand'!$A:$A,0)))</f>
        <v>27</v>
      </c>
      <c r="AA1263" s="52" t="str">
        <f t="shared" si="537"/>
        <v>-spike-</v>
      </c>
      <c r="AB1263" s="52">
        <f>IFERROR(INDEX('Aub Demand'!L:L,MATCH($O1263,'Aub Demand'!$A:$A,0)),"")</f>
        <v>71</v>
      </c>
      <c r="AC1263" s="52">
        <f>IFERROR(IF(O1263="","",SUMIFS('CPL Mats'!F:F,'CPL Mats'!Q:Q,AR1263,'CPL Mats'!S:S,AS1263)),"")</f>
        <v>0</v>
      </c>
      <c r="AF1263" s="25" t="str">
        <f>IF(SUMIFS('Supp Consol'!S:S,'Supp Consol'!Y:Y,"Releasable",'Supp Consol'!A:A,O1263)=0,"",SUMIFS('Supp Consol'!S:S,'Supp Consol'!Y:Y,"Releasable",'Supp Consol'!A:A,O1263))</f>
        <v/>
      </c>
      <c r="AG1263" s="25" t="str">
        <f>IFERROR(INDEX('Hun Demand'!Q:Q,MATCH(O1263,'Hun Demand'!A:A,0)),"")</f>
        <v/>
      </c>
      <c r="AH1263" s="25" t="str">
        <f>IFERROR(INDEX('Hun Demand'!H:H,MATCH($O1263,'Hun Demand'!$A:$A,0)),"")</f>
        <v/>
      </c>
      <c r="AI1263" s="25" t="str">
        <f>IF(SUMIFS('Supp Consol'!AA:AA,'Supp Consol'!Z:Z,"Expires this month",'Supp Consol'!A:A,O1263)=0,"",SUMIFS('Supp Consol'!AA:AA,'Supp Consol'!Z:Z,"Expires this month",'Supp Consol'!A:A,O1263))</f>
        <v/>
      </c>
      <c r="AJ1263" s="25" t="str">
        <f>IF(SUMIFS('Supp Consol'!AA:AA,'Supp Consol'!Z:Z,"Expired Previous Months",'Supp Consol'!A:A,O1263)=0,"",SUMIFS('Supp Consol'!AA:AA,'Supp Consol'!Z:Z,"Expired Previous Months",'Supp Consol'!A:A,O1263))</f>
        <v/>
      </c>
      <c r="AK1263" s="25" t="str">
        <f>IFERROR(INDEX('Hun Release Current'!B:B,MATCH(O1263,'Hun Release Current'!A:A,0)),"")</f>
        <v/>
      </c>
      <c r="AL1263" s="25" t="str">
        <f>IF(SUMIF('Prev Aub'!A:A,O1263,'Prev Aub'!B:B)=0,"",SUMIF('Prev Aub'!A:A,O1263,'Prev Aub'!B:B))</f>
        <v/>
      </c>
      <c r="AN1263" s="25" t="s">
        <v>3790</v>
      </c>
      <c r="AO1263" s="25" t="s">
        <v>3790</v>
      </c>
      <c r="AP1263" s="25">
        <f t="shared" si="538"/>
        <v>0</v>
      </c>
      <c r="AQ1263" s="151" t="str">
        <f>IF(SUMIFS('Supp Consol'!S:S,'Supp Consol'!A:A,O1263,'Supp Consol'!I:I,"PENDING")=0,"",SUMIFS('Supp Consol'!S:S,'Supp Consol'!A:A,O1263,'Supp Consol'!I:I,"PENDING"))</f>
        <v/>
      </c>
      <c r="AR1263" s="27" t="str">
        <f t="shared" si="539"/>
        <v>W7270</v>
      </c>
      <c r="AS1263" s="27" t="str">
        <f t="shared" si="540"/>
        <v>50</v>
      </c>
      <c r="AT1263" s="27" t="str">
        <f t="shared" si="541"/>
        <v>W7270</v>
      </c>
      <c r="AU1263" s="27" t="str">
        <f t="shared" si="542"/>
        <v>W7270</v>
      </c>
      <c r="AV1263" s="27" t="str">
        <f t="shared" si="543"/>
        <v>W7270</v>
      </c>
      <c r="AW1263" s="27" t="str">
        <f t="shared" si="544"/>
        <v/>
      </c>
      <c r="AX1263" s="27" t="str">
        <f t="shared" si="545"/>
        <v/>
      </c>
      <c r="AY1263" s="27" t="str">
        <f t="shared" si="546"/>
        <v/>
      </c>
      <c r="AZ1263" s="27" t="str">
        <f t="shared" si="547"/>
        <v/>
      </c>
      <c r="BA1263" s="27" t="str">
        <f t="shared" si="548"/>
        <v/>
      </c>
      <c r="BB1263" s="27" t="str">
        <f t="shared" si="549"/>
        <v>Gross</v>
      </c>
      <c r="BC1263" s="27" t="str">
        <f t="shared" si="550"/>
        <v>Net</v>
      </c>
      <c r="BD1263" s="27" t="str">
        <f t="shared" si="551"/>
        <v>Net</v>
      </c>
      <c r="BE1263" s="27" t="str">
        <f t="shared" si="552"/>
        <v/>
      </c>
      <c r="BF1263" s="27" t="str">
        <f t="shared" si="553"/>
        <v/>
      </c>
      <c r="BG1263" s="27" t="str">
        <f t="shared" si="554"/>
        <v/>
      </c>
      <c r="BH1263" s="27" t="str">
        <f t="shared" si="555"/>
        <v/>
      </c>
      <c r="BI1263" s="27" t="str">
        <f t="shared" si="556"/>
        <v/>
      </c>
      <c r="BJ1263" s="27" t="str">
        <f t="shared" si="557"/>
        <v/>
      </c>
      <c r="BK1263" s="27" t="str">
        <f t="shared" si="558"/>
        <v/>
      </c>
      <c r="BL1263" s="27" t="str">
        <f t="shared" si="559"/>
        <v/>
      </c>
      <c r="BM1263" s="21" t="s">
        <v>3790</v>
      </c>
    </row>
    <row r="1264" spans="1:65" ht="15">
      <c r="A1264" s="25" t="str">
        <f>IFERROR(INDEX('Hun Demand'!W:W,MATCH(O1264,'Hun Demand'!A:A,0)),"")</f>
        <v/>
      </c>
      <c r="B1264" s="25" t="str">
        <f>IFERROR(INDEX('Hun Demand'!V:V,MATCH(O1264,'Hun Demand'!A:A,0)),"")</f>
        <v/>
      </c>
      <c r="C1264" s="25" t="str">
        <f>IFERROR(INDEX('Hun Demand'!U:U,MATCH(O1264,'Hun Demand'!A:A,0)),"")</f>
        <v/>
      </c>
      <c r="D1264" s="25" t="str">
        <f>IFERROR(INDEX('Hun Demand'!T:T,MATCH(O1264,'Hun Demand'!A:A,0)),"")</f>
        <v/>
      </c>
      <c r="E1264" s="25" t="str">
        <f>IFERROR(INDEX('Hun Demand'!S:S,MATCH(O1264,'Hun Demand'!A:A,0)),"")</f>
        <v/>
      </c>
      <c r="F1264" s="25" t="str">
        <f>IFERROR(INDEX('Hun Demand'!R:R,MATCH(O1264,'Hun Demand'!A:A,0)),"")</f>
        <v/>
      </c>
      <c r="G1264" s="25">
        <f>IFERROR(INDEX('Aub Demand'!W:W,MATCH(O1264,'Aub Demand'!A:A,0)),"")</f>
        <v>0</v>
      </c>
      <c r="H1264" s="25">
        <f>IFERROR(INDEX('Aub Demand'!V:V,MATCH(O1264,'Aub Demand'!A:A,0)),"")</f>
        <v>46</v>
      </c>
      <c r="I1264" s="25">
        <f>IFERROR(INDEX('Aub Demand'!U:U,MATCH(O1264,'Aub Demand'!A:A,0)),"")</f>
        <v>139</v>
      </c>
      <c r="J1264" s="25">
        <f>IFERROR(INDEX('Aub Demand'!T:T,MATCH(O1264,'Aub Demand'!A:A,0)),"")</f>
        <v>0</v>
      </c>
      <c r="K1264" s="25">
        <f>IFERROR(INDEX('Aub Demand'!S:S,MATCH(O1264,'Aub Demand'!A:A,0)),"")</f>
        <v>0</v>
      </c>
      <c r="L1264" s="25">
        <f>IFERROR(INDEX('Aub Demand'!R:R,MATCH(O1264,'Aub Demand'!A:A,0)),"")</f>
        <v>0</v>
      </c>
      <c r="O1264" s="27" t="s">
        <v>2888</v>
      </c>
      <c r="P1264" s="27" t="str">
        <f>IFERROR(INDEX('Aub Demand'!B:B,MATCH($O1264,'Aub Demand'!$A:$A,0)),"")</f>
        <v>LIGHT SAVANNAH OAK</v>
      </c>
      <c r="Q1264" s="27" t="str">
        <f>IFERROR(INDEX('Aub Demand'!C:C,MATCH($O1264,'Aub Demand'!$A:$A,0)),"")</f>
        <v>TOPPA</v>
      </c>
      <c r="R1264" s="52">
        <f>IFERROR(IF(AR1265=AR1264,INDEX('Aub Demand'!K:K,MATCH($O1264,'Aub Demand'!$A:$A,0))-IF(AN1264="",0,AN1264)+AP1265,INDEX('Aub Demand'!K:K,MATCH($O1264,'Aub Demand'!$A:$A,0))-IF(AN1264="",0,AN1264)),"")</f>
        <v>0</v>
      </c>
      <c r="S1264" s="53">
        <f t="shared" si="532"/>
        <v>0</v>
      </c>
      <c r="T1264" s="52" t="str">
        <f t="shared" si="533"/>
        <v/>
      </c>
      <c r="U1264" s="52">
        <f>IFERROR(IF(AR1265=AR1264,INDEX('Aub Demand'!Q:Q,MATCH($O1264,'Aub Demand'!$A:$A,0))-IF(AN1264="",0,AN1264)+AP1265,INDEX('Aub Demand'!Q:Q,MATCH($O1264,'Aub Demand'!$A:$A,0))-IF(AN1264="",0,AN1264)),"")</f>
        <v>0</v>
      </c>
      <c r="V1264" s="53">
        <f t="shared" si="534"/>
        <v>0</v>
      </c>
      <c r="W1264" s="52" t="str">
        <f t="shared" si="535"/>
        <v/>
      </c>
      <c r="X1264" s="52">
        <f>IFERROR(IF(AND(AR1265=AR1264,AM1264&lt;&gt;""),INDEX('Aub Demand'!Q:Q,MATCH($O1264,'Aub Demand'!$A:$A,0))-IF(AN1264="",0,AN1264)+AP1265+AD1264+AL1264,IF(AR1265=AR1264,INDEX('Aub Demand'!Q:Q,MATCH($O1264,'Aub Demand'!$A:$A,0))-IF(AN1264="",0,AN1264)+AP1265+AD1264,IF(AM1264&lt;&gt;"",INDEX('Aub Demand'!Q:Q,MATCH($O1264,'Aub Demand'!$A:$A,0))-IF(AN1264="",0,AN1264)+AD1264+AL1264,INDEX('Aub Demand'!Q:Q,MATCH($O1264,'Aub Demand'!$A:$A,0))-IF(AN1264="",0,AN1264)+AD1264))),"")</f>
        <v>0</v>
      </c>
      <c r="Y1264" s="53">
        <f t="shared" si="536"/>
        <v>0</v>
      </c>
      <c r="Z1264" s="52">
        <f>IF(L1264="","",INDEX('Aub Demand'!H:H,MATCH($O1264,'Aub Demand'!$A:$A,0)))</f>
        <v>46</v>
      </c>
      <c r="AA1264" s="52" t="str">
        <f t="shared" si="537"/>
        <v>-spike-</v>
      </c>
      <c r="AB1264" s="52">
        <f>IFERROR(INDEX('Aub Demand'!L:L,MATCH($O1264,'Aub Demand'!$A:$A,0)),"")</f>
        <v>7</v>
      </c>
      <c r="AC1264" s="52">
        <f>IFERROR(IF(O1264="","",SUMIFS('CPL Mats'!F:F,'CPL Mats'!Q:Q,AR1264,'CPL Mats'!S:S,AS1264)),"")</f>
        <v>0</v>
      </c>
      <c r="AF1264" s="25" t="str">
        <f>IF(SUMIFS('Supp Consol'!S:S,'Supp Consol'!Y:Y,"Releasable",'Supp Consol'!A:A,O1264)=0,"",SUMIFS('Supp Consol'!S:S,'Supp Consol'!Y:Y,"Releasable",'Supp Consol'!A:A,O1264))</f>
        <v/>
      </c>
      <c r="AG1264" s="25" t="str">
        <f>IFERROR(INDEX('Hun Demand'!Q:Q,MATCH(O1264,'Hun Demand'!A:A,0)),"")</f>
        <v/>
      </c>
      <c r="AH1264" s="25" t="str">
        <f>IFERROR(INDEX('Hun Demand'!H:H,MATCH($O1264,'Hun Demand'!$A:$A,0)),"")</f>
        <v/>
      </c>
      <c r="AI1264" s="25" t="str">
        <f>IF(SUMIFS('Supp Consol'!AA:AA,'Supp Consol'!Z:Z,"Expires this month",'Supp Consol'!A:A,O1264)=0,"",SUMIFS('Supp Consol'!AA:AA,'Supp Consol'!Z:Z,"Expires this month",'Supp Consol'!A:A,O1264))</f>
        <v/>
      </c>
      <c r="AJ1264" s="25" t="str">
        <f>IF(SUMIFS('Supp Consol'!AA:AA,'Supp Consol'!Z:Z,"Expired Previous Months",'Supp Consol'!A:A,O1264)=0,"",SUMIFS('Supp Consol'!AA:AA,'Supp Consol'!Z:Z,"Expired Previous Months",'Supp Consol'!A:A,O1264))</f>
        <v/>
      </c>
      <c r="AK1264" s="25" t="str">
        <f>IFERROR(INDEX('Hun Release Current'!B:B,MATCH(O1264,'Hun Release Current'!A:A,0)),"")</f>
        <v/>
      </c>
      <c r="AL1264" s="25" t="str">
        <f>IF(SUMIF('Prev Aub'!A:A,O1264,'Prev Aub'!B:B)=0,"",SUMIF('Prev Aub'!A:A,O1264,'Prev Aub'!B:B))</f>
        <v/>
      </c>
      <c r="AN1264" s="25" t="s">
        <v>3790</v>
      </c>
      <c r="AO1264" s="25" t="s">
        <v>3790</v>
      </c>
      <c r="AP1264" s="25">
        <f t="shared" si="538"/>
        <v>0</v>
      </c>
      <c r="AQ1264" s="151" t="str">
        <f>IF(SUMIFS('Supp Consol'!S:S,'Supp Consol'!A:A,O1264,'Supp Consol'!I:I,"PENDING")=0,"",SUMIFS('Supp Consol'!S:S,'Supp Consol'!A:A,O1264,'Supp Consol'!I:I,"PENDING"))</f>
        <v/>
      </c>
      <c r="AR1264" s="27" t="str">
        <f t="shared" si="539"/>
        <v>W7270</v>
      </c>
      <c r="AS1264" s="27" t="str">
        <f t="shared" si="540"/>
        <v>62</v>
      </c>
      <c r="AT1264" s="27" t="str">
        <f t="shared" si="541"/>
        <v>W7270</v>
      </c>
      <c r="AU1264" s="27" t="str">
        <f t="shared" si="542"/>
        <v>W7270</v>
      </c>
      <c r="AV1264" s="27" t="str">
        <f t="shared" si="543"/>
        <v>W7270</v>
      </c>
      <c r="AW1264" s="27" t="str">
        <f t="shared" si="544"/>
        <v/>
      </c>
      <c r="AX1264" s="27" t="str">
        <f t="shared" si="545"/>
        <v/>
      </c>
      <c r="AY1264" s="27" t="str">
        <f t="shared" si="546"/>
        <v/>
      </c>
      <c r="AZ1264" s="27" t="str">
        <f t="shared" si="547"/>
        <v/>
      </c>
      <c r="BA1264" s="27" t="str">
        <f t="shared" si="548"/>
        <v/>
      </c>
      <c r="BB1264" s="27" t="str">
        <f t="shared" si="549"/>
        <v>Gross</v>
      </c>
      <c r="BC1264" s="27" t="str">
        <f t="shared" si="550"/>
        <v>Net</v>
      </c>
      <c r="BD1264" s="27" t="str">
        <f t="shared" si="551"/>
        <v>Net</v>
      </c>
      <c r="BE1264" s="27" t="str">
        <f t="shared" si="552"/>
        <v/>
      </c>
      <c r="BF1264" s="27" t="str">
        <f t="shared" si="553"/>
        <v/>
      </c>
      <c r="BG1264" s="27" t="str">
        <f t="shared" si="554"/>
        <v/>
      </c>
      <c r="BH1264" s="27" t="str">
        <f t="shared" si="555"/>
        <v/>
      </c>
      <c r="BI1264" s="27" t="str">
        <f t="shared" si="556"/>
        <v/>
      </c>
      <c r="BJ1264" s="27" t="str">
        <f t="shared" si="557"/>
        <v/>
      </c>
      <c r="BK1264" s="27" t="str">
        <f t="shared" si="558"/>
        <v/>
      </c>
      <c r="BL1264" s="27" t="str">
        <f t="shared" si="559"/>
        <v/>
      </c>
      <c r="BM1264" s="21" t="s">
        <v>3790</v>
      </c>
    </row>
    <row r="1265" spans="1:65" ht="15">
      <c r="A1265" s="25" t="str">
        <f>IFERROR(INDEX('Hun Demand'!W:W,MATCH(O1265,'Hun Demand'!A:A,0)),"")</f>
        <v/>
      </c>
      <c r="B1265" s="25" t="str">
        <f>IFERROR(INDEX('Hun Demand'!V:V,MATCH(O1265,'Hun Demand'!A:A,0)),"")</f>
        <v/>
      </c>
      <c r="C1265" s="25" t="str">
        <f>IFERROR(INDEX('Hun Demand'!U:U,MATCH(O1265,'Hun Demand'!A:A,0)),"")</f>
        <v/>
      </c>
      <c r="D1265" s="25" t="str">
        <f>IFERROR(INDEX('Hun Demand'!T:T,MATCH(O1265,'Hun Demand'!A:A,0)),"")</f>
        <v/>
      </c>
      <c r="E1265" s="25" t="str">
        <f>IFERROR(INDEX('Hun Demand'!S:S,MATCH(O1265,'Hun Demand'!A:A,0)),"")</f>
        <v/>
      </c>
      <c r="F1265" s="25" t="str">
        <f>IFERROR(INDEX('Hun Demand'!R:R,MATCH(O1265,'Hun Demand'!A:A,0)),"")</f>
        <v/>
      </c>
      <c r="G1265" s="25">
        <f>IFERROR(INDEX('Aub Demand'!W:W,MATCH(O1265,'Aub Demand'!A:A,0)),"")</f>
        <v>9</v>
      </c>
      <c r="H1265" s="25">
        <f>IFERROR(INDEX('Aub Demand'!V:V,MATCH(O1265,'Aub Demand'!A:A,0)),"")</f>
        <v>0</v>
      </c>
      <c r="I1265" s="25">
        <f>IFERROR(INDEX('Aub Demand'!U:U,MATCH(O1265,'Aub Demand'!A:A,0)),"")</f>
        <v>26</v>
      </c>
      <c r="J1265" s="25">
        <f>IFERROR(INDEX('Aub Demand'!T:T,MATCH(O1265,'Aub Demand'!A:A,0)),"")</f>
        <v>40</v>
      </c>
      <c r="K1265" s="25">
        <f>IFERROR(INDEX('Aub Demand'!S:S,MATCH(O1265,'Aub Demand'!A:A,0)),"")</f>
        <v>16</v>
      </c>
      <c r="L1265" s="25">
        <f>IFERROR(INDEX('Aub Demand'!R:R,MATCH(O1265,'Aub Demand'!A:A,0)),"")</f>
        <v>0</v>
      </c>
      <c r="O1265" s="27" t="s">
        <v>2889</v>
      </c>
      <c r="P1265" s="27" t="str">
        <f>IFERROR(INDEX('Aub Demand'!B:B,MATCH($O1265,'Aub Demand'!$A:$A,0)),"")</f>
        <v>GOLDEN ASH</v>
      </c>
      <c r="Q1265" s="27" t="str">
        <f>IFERROR(INDEX('Aub Demand'!C:C,MATCH($O1265,'Aub Demand'!$A:$A,0)),"")</f>
        <v>DNP A</v>
      </c>
      <c r="R1265" s="52">
        <f>IFERROR(IF(AR1266=AR1265,INDEX('Aub Demand'!K:K,MATCH($O1265,'Aub Demand'!$A:$A,0))-IF(AN1265="",0,AN1265)+AP1266,INDEX('Aub Demand'!K:K,MATCH($O1265,'Aub Demand'!$A:$A,0))-IF(AN1265="",0,AN1265)),"")</f>
        <v>0</v>
      </c>
      <c r="S1265" s="53">
        <f t="shared" si="532"/>
        <v>0</v>
      </c>
      <c r="T1265" s="52">
        <f t="shared" si="533"/>
        <v>24.75</v>
      </c>
      <c r="U1265" s="52">
        <f>IFERROR(IF(AR1266=AR1265,INDEX('Aub Demand'!Q:Q,MATCH($O1265,'Aub Demand'!$A:$A,0))-IF(AN1265="",0,AN1265)+AP1266,INDEX('Aub Demand'!Q:Q,MATCH($O1265,'Aub Demand'!$A:$A,0))-IF(AN1265="",0,AN1265)),"")</f>
        <v>0</v>
      </c>
      <c r="V1265" s="53">
        <f t="shared" si="534"/>
        <v>0</v>
      </c>
      <c r="W1265" s="52">
        <f t="shared" si="535"/>
        <v>24.75</v>
      </c>
      <c r="X1265" s="52">
        <f>IFERROR(IF(AND(AR1266=AR1265,AM1265&lt;&gt;""),INDEX('Aub Demand'!Q:Q,MATCH($O1265,'Aub Demand'!$A:$A,0))-IF(AN1265="",0,AN1265)+AP1266+AD1265+AL1265,IF(AR1266=AR1265,INDEX('Aub Demand'!Q:Q,MATCH($O1265,'Aub Demand'!$A:$A,0))-IF(AN1265="",0,AN1265)+AP1266+AD1265,IF(AM1265&lt;&gt;"",INDEX('Aub Demand'!Q:Q,MATCH($O1265,'Aub Demand'!$A:$A,0))-IF(AN1265="",0,AN1265)+AD1265+AL1265,INDEX('Aub Demand'!Q:Q,MATCH($O1265,'Aub Demand'!$A:$A,0))-IF(AN1265="",0,AN1265)+AD1265))),"")</f>
        <v>0</v>
      </c>
      <c r="Y1265" s="53">
        <f t="shared" si="536"/>
        <v>0</v>
      </c>
      <c r="Z1265" s="52">
        <f>IF(L1265="","",INDEX('Aub Demand'!H:H,MATCH($O1265,'Aub Demand'!$A:$A,0)))</f>
        <v>27</v>
      </c>
      <c r="AA1265" s="52">
        <f t="shared" si="537"/>
        <v>33</v>
      </c>
      <c r="AB1265" s="52">
        <f>IFERROR(INDEX('Aub Demand'!L:L,MATCH($O1265,'Aub Demand'!$A:$A,0)),"")</f>
        <v>19</v>
      </c>
      <c r="AC1265" s="52">
        <f>IFERROR(IF(O1265="","",SUMIFS('CPL Mats'!F:F,'CPL Mats'!Q:Q,AR1265,'CPL Mats'!S:S,AS1265)),"")</f>
        <v>0</v>
      </c>
      <c r="AF1265" s="25" t="str">
        <f>IF(SUMIFS('Supp Consol'!S:S,'Supp Consol'!Y:Y,"Releasable",'Supp Consol'!A:A,O1265)=0,"",SUMIFS('Supp Consol'!S:S,'Supp Consol'!Y:Y,"Releasable",'Supp Consol'!A:A,O1265))</f>
        <v/>
      </c>
      <c r="AG1265" s="25" t="str">
        <f>IFERROR(INDEX('Hun Demand'!Q:Q,MATCH(O1265,'Hun Demand'!A:A,0)),"")</f>
        <v/>
      </c>
      <c r="AH1265" s="25" t="str">
        <f>IFERROR(INDEX('Hun Demand'!H:H,MATCH($O1265,'Hun Demand'!$A:$A,0)),"")</f>
        <v/>
      </c>
      <c r="AI1265" s="25" t="str">
        <f>IF(SUMIFS('Supp Consol'!AA:AA,'Supp Consol'!Z:Z,"Expires this month",'Supp Consol'!A:A,O1265)=0,"",SUMIFS('Supp Consol'!AA:AA,'Supp Consol'!Z:Z,"Expires this month",'Supp Consol'!A:A,O1265))</f>
        <v/>
      </c>
      <c r="AJ1265" s="25" t="str">
        <f>IF(SUMIFS('Supp Consol'!AA:AA,'Supp Consol'!Z:Z,"Expired Previous Months",'Supp Consol'!A:A,O1265)=0,"",SUMIFS('Supp Consol'!AA:AA,'Supp Consol'!Z:Z,"Expired Previous Months",'Supp Consol'!A:A,O1265))</f>
        <v/>
      </c>
      <c r="AK1265" s="25" t="str">
        <f>IFERROR(INDEX('Hun Release Current'!B:B,MATCH(O1265,'Hun Release Current'!A:A,0)),"")</f>
        <v/>
      </c>
      <c r="AL1265" s="25" t="str">
        <f>IF(SUMIF('Prev Aub'!A:A,O1265,'Prev Aub'!B:B)=0,"",SUMIF('Prev Aub'!A:A,O1265,'Prev Aub'!B:B))</f>
        <v/>
      </c>
      <c r="AN1265" s="25" t="s">
        <v>3790</v>
      </c>
      <c r="AO1265" s="25" t="s">
        <v>3790</v>
      </c>
      <c r="AP1265" s="25">
        <f t="shared" si="538"/>
        <v>0</v>
      </c>
      <c r="AQ1265" s="151" t="str">
        <f>IF(SUMIFS('Supp Consol'!S:S,'Supp Consol'!A:A,O1265,'Supp Consol'!I:I,"PENDING")=0,"",SUMIFS('Supp Consol'!S:S,'Supp Consol'!A:A,O1265,'Supp Consol'!I:I,"PENDING"))</f>
        <v/>
      </c>
      <c r="AR1265" s="27" t="str">
        <f t="shared" si="539"/>
        <v>W8110</v>
      </c>
      <c r="AS1265" s="27" t="str">
        <f t="shared" si="540"/>
        <v>50</v>
      </c>
      <c r="AT1265" s="27" t="str">
        <f t="shared" si="541"/>
        <v>W8110</v>
      </c>
      <c r="AU1265" s="27" t="str">
        <f t="shared" si="542"/>
        <v>W8110</v>
      </c>
      <c r="AV1265" s="27" t="str">
        <f t="shared" si="543"/>
        <v>W8110</v>
      </c>
      <c r="AW1265" s="27" t="str">
        <f t="shared" si="544"/>
        <v/>
      </c>
      <c r="AX1265" s="27" t="str">
        <f t="shared" si="545"/>
        <v/>
      </c>
      <c r="AY1265" s="27" t="str">
        <f t="shared" si="546"/>
        <v/>
      </c>
      <c r="AZ1265" s="27" t="str">
        <f t="shared" si="547"/>
        <v/>
      </c>
      <c r="BA1265" s="27" t="str">
        <f t="shared" si="548"/>
        <v/>
      </c>
      <c r="BB1265" s="27" t="str">
        <f t="shared" si="549"/>
        <v>Gross</v>
      </c>
      <c r="BC1265" s="27" t="str">
        <f t="shared" si="550"/>
        <v>Net</v>
      </c>
      <c r="BD1265" s="27" t="str">
        <f t="shared" si="551"/>
        <v>Net</v>
      </c>
      <c r="BE1265" s="27" t="str">
        <f t="shared" si="552"/>
        <v/>
      </c>
      <c r="BF1265" s="27" t="str">
        <f t="shared" si="553"/>
        <v/>
      </c>
      <c r="BG1265" s="27" t="str">
        <f t="shared" si="554"/>
        <v/>
      </c>
      <c r="BH1265" s="27" t="str">
        <f t="shared" si="555"/>
        <v/>
      </c>
      <c r="BI1265" s="27" t="str">
        <f t="shared" si="556"/>
        <v/>
      </c>
      <c r="BJ1265" s="27" t="str">
        <f t="shared" si="557"/>
        <v/>
      </c>
      <c r="BK1265" s="27" t="str">
        <f t="shared" si="558"/>
        <v/>
      </c>
      <c r="BL1265" s="27" t="str">
        <f t="shared" si="559"/>
        <v/>
      </c>
      <c r="BM1265" s="21" t="s">
        <v>5581</v>
      </c>
    </row>
    <row r="1266" spans="1:65" ht="15">
      <c r="A1266" s="25" t="str">
        <f>IFERROR(INDEX('Hun Demand'!W:W,MATCH(O1266,'Hun Demand'!A:A,0)),"")</f>
        <v/>
      </c>
      <c r="B1266" s="25" t="str">
        <f>IFERROR(INDEX('Hun Demand'!V:V,MATCH(O1266,'Hun Demand'!A:A,0)),"")</f>
        <v/>
      </c>
      <c r="C1266" s="25" t="str">
        <f>IFERROR(INDEX('Hun Demand'!U:U,MATCH(O1266,'Hun Demand'!A:A,0)),"")</f>
        <v/>
      </c>
      <c r="D1266" s="25" t="str">
        <f>IFERROR(INDEX('Hun Demand'!T:T,MATCH(O1266,'Hun Demand'!A:A,0)),"")</f>
        <v/>
      </c>
      <c r="E1266" s="25" t="str">
        <f>IFERROR(INDEX('Hun Demand'!S:S,MATCH(O1266,'Hun Demand'!A:A,0)),"")</f>
        <v/>
      </c>
      <c r="F1266" s="25" t="str">
        <f>IFERROR(INDEX('Hun Demand'!R:R,MATCH(O1266,'Hun Demand'!A:A,0)),"")</f>
        <v/>
      </c>
      <c r="G1266" s="25">
        <f>IFERROR(INDEX('Aub Demand'!W:W,MATCH(O1266,'Aub Demand'!A:A,0)),"")</f>
        <v>0</v>
      </c>
      <c r="H1266" s="25">
        <f>IFERROR(INDEX('Aub Demand'!V:V,MATCH(O1266,'Aub Demand'!A:A,0)),"")</f>
        <v>0</v>
      </c>
      <c r="I1266" s="25">
        <f>IFERROR(INDEX('Aub Demand'!U:U,MATCH(O1266,'Aub Demand'!A:A,0)),"")</f>
        <v>19</v>
      </c>
      <c r="J1266" s="25">
        <f>IFERROR(INDEX('Aub Demand'!T:T,MATCH(O1266,'Aub Demand'!A:A,0)),"")</f>
        <v>0</v>
      </c>
      <c r="K1266" s="25">
        <f>IFERROR(INDEX('Aub Demand'!S:S,MATCH(O1266,'Aub Demand'!A:A,0)),"")</f>
        <v>0</v>
      </c>
      <c r="L1266" s="25">
        <f>IFERROR(INDEX('Aub Demand'!R:R,MATCH(O1266,'Aub Demand'!A:A,0)),"")</f>
        <v>0</v>
      </c>
      <c r="O1266" s="27" t="s">
        <v>2892</v>
      </c>
      <c r="P1266" s="27" t="str">
        <f>IFERROR(INDEX('Aub Demand'!B:B,MATCH($O1266,'Aub Demand'!$A:$A,0)),"")</f>
        <v>GOLDEN ASH</v>
      </c>
      <c r="Q1266" s="27" t="str">
        <f>IFERROR(INDEX('Aub Demand'!C:C,MATCH($O1266,'Aub Demand'!$A:$A,0)),"")</f>
        <v>DNP A</v>
      </c>
      <c r="R1266" s="52">
        <f>IFERROR(IF(AR1267=AR1266,INDEX('Aub Demand'!K:K,MATCH($O1266,'Aub Demand'!$A:$A,0))-IF(AN1266="",0,AN1266)+AP1267,INDEX('Aub Demand'!K:K,MATCH($O1266,'Aub Demand'!$A:$A,0))-IF(AN1266="",0,AN1266)),"")</f>
        <v>2321</v>
      </c>
      <c r="S1266" s="53">
        <f t="shared" si="532"/>
        <v>1657.9</v>
      </c>
      <c r="T1266" s="52" t="str">
        <f t="shared" si="533"/>
        <v/>
      </c>
      <c r="U1266" s="52">
        <f>IFERROR(IF(AR1267=AR1266,INDEX('Aub Demand'!Q:Q,MATCH($O1266,'Aub Demand'!$A:$A,0))-IF(AN1266="",0,AN1266)+AP1267,INDEX('Aub Demand'!Q:Q,MATCH($O1266,'Aub Demand'!$A:$A,0))-IF(AN1266="",0,AN1266)),"")</f>
        <v>2321</v>
      </c>
      <c r="V1266" s="53">
        <f t="shared" si="534"/>
        <v>1657.9</v>
      </c>
      <c r="W1266" s="52" t="str">
        <f t="shared" si="535"/>
        <v/>
      </c>
      <c r="X1266" s="52">
        <f>IFERROR(IF(AND(AR1267=AR1266,AM1266&lt;&gt;""),INDEX('Aub Demand'!Q:Q,MATCH($O1266,'Aub Demand'!$A:$A,0))-IF(AN1266="",0,AN1266)+AP1267+AD1266+AL1266,IF(AR1267=AR1266,INDEX('Aub Demand'!Q:Q,MATCH($O1266,'Aub Demand'!$A:$A,0))-IF(AN1266="",0,AN1266)+AP1267+AD1266,IF(AM1266&lt;&gt;"",INDEX('Aub Demand'!Q:Q,MATCH($O1266,'Aub Demand'!$A:$A,0))-IF(AN1266="",0,AN1266)+AD1266+AL1266,INDEX('Aub Demand'!Q:Q,MATCH($O1266,'Aub Demand'!$A:$A,0))-IF(AN1266="",0,AN1266)+AD1266))),"")</f>
        <v>2321</v>
      </c>
      <c r="Y1266" s="53">
        <f t="shared" si="536"/>
        <v>1657.9</v>
      </c>
      <c r="Z1266" s="52">
        <f>IF(L1266="","",INDEX('Aub Demand'!H:H,MATCH($O1266,'Aub Demand'!$A:$A,0)))</f>
        <v>6</v>
      </c>
      <c r="AA1266" s="52" t="str">
        <f t="shared" si="537"/>
        <v>-spike-</v>
      </c>
      <c r="AB1266" s="52">
        <f>IFERROR(INDEX('Aub Demand'!L:L,MATCH($O1266,'Aub Demand'!$A:$A,0)),"")</f>
        <v>0</v>
      </c>
      <c r="AC1266" s="52">
        <f>IFERROR(IF(O1266="","",SUMIFS('CPL Mats'!F:F,'CPL Mats'!Q:Q,AR1266,'CPL Mats'!S:S,AS1266)),"")</f>
        <v>0</v>
      </c>
      <c r="AF1266" s="25" t="str">
        <f>IF(SUMIFS('Supp Consol'!S:S,'Supp Consol'!Y:Y,"Releasable",'Supp Consol'!A:A,O1266)=0,"",SUMIFS('Supp Consol'!S:S,'Supp Consol'!Y:Y,"Releasable",'Supp Consol'!A:A,O1266))</f>
        <v/>
      </c>
      <c r="AG1266" s="25" t="str">
        <f>IFERROR(INDEX('Hun Demand'!Q:Q,MATCH(O1266,'Hun Demand'!A:A,0)),"")</f>
        <v/>
      </c>
      <c r="AH1266" s="25" t="str">
        <f>IFERROR(INDEX('Hun Demand'!H:H,MATCH($O1266,'Hun Demand'!$A:$A,0)),"")</f>
        <v/>
      </c>
      <c r="AI1266" s="25" t="str">
        <f>IF(SUMIFS('Supp Consol'!AA:AA,'Supp Consol'!Z:Z,"Expires this month",'Supp Consol'!A:A,O1266)=0,"",SUMIFS('Supp Consol'!AA:AA,'Supp Consol'!Z:Z,"Expires this month",'Supp Consol'!A:A,O1266))</f>
        <v/>
      </c>
      <c r="AJ1266" s="25" t="str">
        <f>IF(SUMIFS('Supp Consol'!AA:AA,'Supp Consol'!Z:Z,"Expired Previous Months",'Supp Consol'!A:A,O1266)=0,"",SUMIFS('Supp Consol'!AA:AA,'Supp Consol'!Z:Z,"Expired Previous Months",'Supp Consol'!A:A,O1266))</f>
        <v/>
      </c>
      <c r="AK1266" s="25" t="str">
        <f>IFERROR(INDEX('Hun Release Current'!B:B,MATCH(O1266,'Hun Release Current'!A:A,0)),"")</f>
        <v/>
      </c>
      <c r="AL1266" s="25" t="str">
        <f>IF(SUMIF('Prev Aub'!A:A,O1266,'Prev Aub'!B:B)=0,"",SUMIF('Prev Aub'!A:A,O1266,'Prev Aub'!B:B))</f>
        <v/>
      </c>
      <c r="AN1266" s="25" t="s">
        <v>3790</v>
      </c>
      <c r="AO1266" s="25" t="s">
        <v>3790</v>
      </c>
      <c r="AP1266" s="25">
        <f t="shared" si="538"/>
        <v>0</v>
      </c>
      <c r="AQ1266" s="151" t="str">
        <f>IF(SUMIFS('Supp Consol'!S:S,'Supp Consol'!A:A,O1266,'Supp Consol'!I:I,"PENDING")=0,"",SUMIFS('Supp Consol'!S:S,'Supp Consol'!A:A,O1266,'Supp Consol'!I:I,"PENDING"))</f>
        <v/>
      </c>
      <c r="AR1266" s="27" t="str">
        <f t="shared" si="539"/>
        <v>W8110</v>
      </c>
      <c r="AS1266" s="27" t="str">
        <f t="shared" si="540"/>
        <v>62</v>
      </c>
      <c r="AT1266" s="27" t="str">
        <f t="shared" si="541"/>
        <v/>
      </c>
      <c r="AU1266" s="27" t="str">
        <f t="shared" si="542"/>
        <v/>
      </c>
      <c r="AV1266" s="27" t="str">
        <f t="shared" si="543"/>
        <v/>
      </c>
      <c r="AW1266" s="27" t="str">
        <f t="shared" si="544"/>
        <v/>
      </c>
      <c r="AX1266" s="27" t="str">
        <f t="shared" si="545"/>
        <v/>
      </c>
      <c r="AY1266" s="27" t="str">
        <f t="shared" si="546"/>
        <v/>
      </c>
      <c r="AZ1266" s="27" t="str">
        <f t="shared" si="547"/>
        <v/>
      </c>
      <c r="BA1266" s="27" t="str">
        <f t="shared" si="548"/>
        <v/>
      </c>
      <c r="BB1266" s="27" t="str">
        <f t="shared" si="549"/>
        <v>Gross</v>
      </c>
      <c r="BC1266" s="27" t="str">
        <f t="shared" si="550"/>
        <v>Net</v>
      </c>
      <c r="BD1266" s="27" t="str">
        <f t="shared" si="551"/>
        <v>Net</v>
      </c>
      <c r="BE1266" s="27" t="str">
        <f t="shared" si="552"/>
        <v/>
      </c>
      <c r="BF1266" s="27" t="str">
        <f t="shared" si="553"/>
        <v/>
      </c>
      <c r="BG1266" s="27" t="str">
        <f t="shared" si="554"/>
        <v/>
      </c>
      <c r="BH1266" s="27" t="str">
        <f t="shared" si="555"/>
        <v/>
      </c>
      <c r="BI1266" s="27" t="str">
        <f t="shared" si="556"/>
        <v/>
      </c>
      <c r="BJ1266" s="27" t="str">
        <f t="shared" si="557"/>
        <v/>
      </c>
      <c r="BK1266" s="27" t="str">
        <f t="shared" si="558"/>
        <v/>
      </c>
      <c r="BL1266" s="27" t="str">
        <f t="shared" si="559"/>
        <v/>
      </c>
      <c r="BM1266" s="21" t="s">
        <v>5581</v>
      </c>
    </row>
    <row r="1267" spans="1:65" ht="15">
      <c r="A1267" s="25" t="str">
        <f>IFERROR(INDEX('Hun Demand'!W:W,MATCH(O1267,'Hun Demand'!A:A,0)),"")</f>
        <v/>
      </c>
      <c r="B1267" s="25" t="str">
        <f>IFERROR(INDEX('Hun Demand'!V:V,MATCH(O1267,'Hun Demand'!A:A,0)),"")</f>
        <v/>
      </c>
      <c r="C1267" s="25" t="str">
        <f>IFERROR(INDEX('Hun Demand'!U:U,MATCH(O1267,'Hun Demand'!A:A,0)),"")</f>
        <v/>
      </c>
      <c r="D1267" s="25" t="str">
        <f>IFERROR(INDEX('Hun Demand'!T:T,MATCH(O1267,'Hun Demand'!A:A,0)),"")</f>
        <v/>
      </c>
      <c r="E1267" s="25" t="str">
        <f>IFERROR(INDEX('Hun Demand'!S:S,MATCH(O1267,'Hun Demand'!A:A,0)),"")</f>
        <v/>
      </c>
      <c r="F1267" s="25" t="str">
        <f>IFERROR(INDEX('Hun Demand'!R:R,MATCH(O1267,'Hun Demand'!A:A,0)),"")</f>
        <v/>
      </c>
      <c r="G1267" s="25">
        <f>IFERROR(INDEX('Aub Demand'!W:W,MATCH(O1267,'Aub Demand'!A:A,0)),"")</f>
        <v>19</v>
      </c>
      <c r="H1267" s="25">
        <f>IFERROR(INDEX('Aub Demand'!V:V,MATCH(O1267,'Aub Demand'!A:A,0)),"")</f>
        <v>68</v>
      </c>
      <c r="I1267" s="25">
        <f>IFERROR(INDEX('Aub Demand'!U:U,MATCH(O1267,'Aub Demand'!A:A,0)),"")</f>
        <v>0</v>
      </c>
      <c r="J1267" s="25">
        <f>IFERROR(INDEX('Aub Demand'!T:T,MATCH(O1267,'Aub Demand'!A:A,0)),"")</f>
        <v>0</v>
      </c>
      <c r="K1267" s="25">
        <f>IFERROR(INDEX('Aub Demand'!S:S,MATCH(O1267,'Aub Demand'!A:A,0)),"")</f>
        <v>50</v>
      </c>
      <c r="L1267" s="25">
        <f>IFERROR(INDEX('Aub Demand'!R:R,MATCH(O1267,'Aub Demand'!A:A,0)),"")</f>
        <v>0</v>
      </c>
      <c r="O1267" s="27" t="s">
        <v>3416</v>
      </c>
      <c r="P1267" s="27" t="str">
        <f>IFERROR(INDEX('Aub Demand'!B:B,MATCH($O1267,'Aub Demand'!$A:$A,0)),"")</f>
        <v>MARTIN SPRUCE</v>
      </c>
      <c r="Q1267" s="27" t="str">
        <f>IFERROR(INDEX('Aub Demand'!C:C,MATCH($O1267,'Aub Demand'!$A:$A,0)),"")</f>
        <v>INTER</v>
      </c>
      <c r="R1267" s="52">
        <f>IFERROR(IF(AR1268=AR1267,INDEX('Aub Demand'!K:K,MATCH($O1267,'Aub Demand'!$A:$A,0))-IF(AN1267="",0,AN1267)+AP1268,INDEX('Aub Demand'!K:K,MATCH($O1267,'Aub Demand'!$A:$A,0))-IF(AN1267="",0,AN1267)),"")</f>
        <v>68</v>
      </c>
      <c r="S1267" s="53">
        <f t="shared" si="532"/>
        <v>17.100000000000001</v>
      </c>
      <c r="T1267" s="52" t="str">
        <f t="shared" si="533"/>
        <v/>
      </c>
      <c r="U1267" s="52">
        <f>IFERROR(IF(AR1268=AR1267,INDEX('Aub Demand'!Q:Q,MATCH($O1267,'Aub Demand'!$A:$A,0))-IF(AN1267="",0,AN1267)+AP1268,INDEX('Aub Demand'!Q:Q,MATCH($O1267,'Aub Demand'!$A:$A,0))-IF(AN1267="",0,AN1267)),"")</f>
        <v>62</v>
      </c>
      <c r="V1267" s="53">
        <f t="shared" si="534"/>
        <v>15.6</v>
      </c>
      <c r="W1267" s="52" t="str">
        <f t="shared" si="535"/>
        <v/>
      </c>
      <c r="X1267" s="52">
        <f>IFERROR(IF(AND(AR1268=AR1267,AM1267&lt;&gt;""),INDEX('Aub Demand'!Q:Q,MATCH($O1267,'Aub Demand'!$A:$A,0))-IF(AN1267="",0,AN1267)+AP1268+AD1267+AL1267,IF(AR1268=AR1267,INDEX('Aub Demand'!Q:Q,MATCH($O1267,'Aub Demand'!$A:$A,0))-IF(AN1267="",0,AN1267)+AP1268+AD1267,IF(AM1267&lt;&gt;"",INDEX('Aub Demand'!Q:Q,MATCH($O1267,'Aub Demand'!$A:$A,0))-IF(AN1267="",0,AN1267)+AD1267+AL1267,INDEX('Aub Demand'!Q:Q,MATCH($O1267,'Aub Demand'!$A:$A,0))-IF(AN1267="",0,AN1267)+AD1267))),"")</f>
        <v>62</v>
      </c>
      <c r="Y1267" s="53">
        <f t="shared" si="536"/>
        <v>15.6</v>
      </c>
      <c r="Z1267" s="52">
        <f>IF(L1267="","",INDEX('Aub Demand'!H:H,MATCH($O1267,'Aub Demand'!$A:$A,0)))</f>
        <v>17</v>
      </c>
      <c r="AA1267" s="52" t="str">
        <f t="shared" si="537"/>
        <v>-spike-</v>
      </c>
      <c r="AB1267" s="52">
        <f>IFERROR(INDEX('Aub Demand'!L:L,MATCH($O1267,'Aub Demand'!$A:$A,0)),"")</f>
        <v>14</v>
      </c>
      <c r="AC1267" s="52">
        <f>IFERROR(IF(O1267="","",SUMIFS('CPL Mats'!F:F,'CPL Mats'!Q:Q,AR1267,'CPL Mats'!S:S,AS1267)),"")</f>
        <v>0</v>
      </c>
      <c r="AF1267" s="25" t="str">
        <f>IF(SUMIFS('Supp Consol'!S:S,'Supp Consol'!Y:Y,"Releasable",'Supp Consol'!A:A,O1267)=0,"",SUMIFS('Supp Consol'!S:S,'Supp Consol'!Y:Y,"Releasable",'Supp Consol'!A:A,O1267))</f>
        <v/>
      </c>
      <c r="AG1267" s="25" t="str">
        <f>IFERROR(INDEX('Hun Demand'!Q:Q,MATCH(O1267,'Hun Demand'!A:A,0)),"")</f>
        <v/>
      </c>
      <c r="AH1267" s="25" t="str">
        <f>IFERROR(INDEX('Hun Demand'!H:H,MATCH($O1267,'Hun Demand'!$A:$A,0)),"")</f>
        <v/>
      </c>
      <c r="AI1267" s="25" t="str">
        <f>IF(SUMIFS('Supp Consol'!AA:AA,'Supp Consol'!Z:Z,"Expires this month",'Supp Consol'!A:A,O1267)=0,"",SUMIFS('Supp Consol'!AA:AA,'Supp Consol'!Z:Z,"Expires this month",'Supp Consol'!A:A,O1267))</f>
        <v/>
      </c>
      <c r="AJ1267" s="25" t="str">
        <f>IF(SUMIFS('Supp Consol'!AA:AA,'Supp Consol'!Z:Z,"Expired Previous Months",'Supp Consol'!A:A,O1267)=0,"",SUMIFS('Supp Consol'!AA:AA,'Supp Consol'!Z:Z,"Expired Previous Months",'Supp Consol'!A:A,O1267))</f>
        <v/>
      </c>
      <c r="AK1267" s="25" t="str">
        <f>IFERROR(INDEX('Hun Release Current'!B:B,MATCH(O1267,'Hun Release Current'!A:A,0)),"")</f>
        <v/>
      </c>
      <c r="AL1267" s="25" t="str">
        <f>IF(SUMIF('Prev Aub'!A:A,O1267,'Prev Aub'!B:B)=0,"",SUMIF('Prev Aub'!A:A,O1267,'Prev Aub'!B:B))</f>
        <v/>
      </c>
      <c r="AN1267" s="25" t="s">
        <v>3790</v>
      </c>
      <c r="AO1267" s="25" t="s">
        <v>3790</v>
      </c>
      <c r="AP1267" s="25">
        <f t="shared" si="538"/>
        <v>0</v>
      </c>
      <c r="AQ1267" s="151" t="str">
        <f>IF(SUMIFS('Supp Consol'!S:S,'Supp Consol'!A:A,O1267,'Supp Consol'!I:I,"PENDING")=0,"",SUMIFS('Supp Consol'!S:S,'Supp Consol'!A:A,O1267,'Supp Consol'!I:I,"PENDING"))</f>
        <v/>
      </c>
      <c r="AR1267" s="27" t="str">
        <f t="shared" si="539"/>
        <v>W8374</v>
      </c>
      <c r="AS1267" s="27" t="str">
        <f t="shared" si="540"/>
        <v>62</v>
      </c>
      <c r="AT1267" s="27" t="str">
        <f t="shared" si="541"/>
        <v/>
      </c>
      <c r="AU1267" s="27" t="str">
        <f t="shared" si="542"/>
        <v/>
      </c>
      <c r="AV1267" s="27" t="str">
        <f t="shared" si="543"/>
        <v/>
      </c>
      <c r="AW1267" s="27" t="str">
        <f t="shared" si="544"/>
        <v/>
      </c>
      <c r="AX1267" s="27" t="str">
        <f t="shared" si="545"/>
        <v/>
      </c>
      <c r="AY1267" s="27" t="str">
        <f t="shared" si="546"/>
        <v/>
      </c>
      <c r="AZ1267" s="27" t="str">
        <f t="shared" si="547"/>
        <v/>
      </c>
      <c r="BA1267" s="27" t="str">
        <f t="shared" si="548"/>
        <v/>
      </c>
      <c r="BB1267" s="27" t="str">
        <f t="shared" si="549"/>
        <v/>
      </c>
      <c r="BC1267" s="27" t="str">
        <f t="shared" si="550"/>
        <v/>
      </c>
      <c r="BD1267" s="27" t="str">
        <f t="shared" si="551"/>
        <v/>
      </c>
      <c r="BE1267" s="27" t="str">
        <f t="shared" si="552"/>
        <v/>
      </c>
      <c r="BF1267" s="27" t="str">
        <f t="shared" si="553"/>
        <v/>
      </c>
      <c r="BG1267" s="27" t="str">
        <f t="shared" si="554"/>
        <v/>
      </c>
      <c r="BH1267" s="27" t="str">
        <f t="shared" si="555"/>
        <v/>
      </c>
      <c r="BI1267" s="27" t="str">
        <f t="shared" si="556"/>
        <v/>
      </c>
      <c r="BJ1267" s="27" t="str">
        <f t="shared" si="557"/>
        <v/>
      </c>
      <c r="BK1267" s="27" t="str">
        <f t="shared" si="558"/>
        <v/>
      </c>
      <c r="BL1267" s="27" t="str">
        <f t="shared" si="559"/>
        <v/>
      </c>
      <c r="BM1267" s="21" t="s">
        <v>5581</v>
      </c>
    </row>
    <row r="1268" spans="1:65" ht="15">
      <c r="A1268" s="25">
        <f>IFERROR(INDEX('Hun Demand'!W:W,MATCH(O1268,'Hun Demand'!A:A,0)),"")</f>
        <v>0</v>
      </c>
      <c r="B1268" s="25">
        <f>IFERROR(INDEX('Hun Demand'!V:V,MATCH(O1268,'Hun Demand'!A:A,0)),"")</f>
        <v>0</v>
      </c>
      <c r="C1268" s="25">
        <f>IFERROR(INDEX('Hun Demand'!U:U,MATCH(O1268,'Hun Demand'!A:A,0)),"")</f>
        <v>0</v>
      </c>
      <c r="D1268" s="25">
        <f>IFERROR(INDEX('Hun Demand'!T:T,MATCH(O1268,'Hun Demand'!A:A,0)),"")</f>
        <v>0</v>
      </c>
      <c r="E1268" s="25">
        <f>IFERROR(INDEX('Hun Demand'!S:S,MATCH(O1268,'Hun Demand'!A:A,0)),"")</f>
        <v>548</v>
      </c>
      <c r="F1268" s="25">
        <f>IFERROR(INDEX('Hun Demand'!R:R,MATCH(O1268,'Hun Demand'!A:A,0)),"")</f>
        <v>0</v>
      </c>
      <c r="G1268" s="25">
        <f>IFERROR(INDEX('Aub Demand'!W:W,MATCH(O1268,'Aub Demand'!A:A,0)),"")</f>
        <v>35</v>
      </c>
      <c r="H1268" s="25">
        <f>IFERROR(INDEX('Aub Demand'!V:V,MATCH(O1268,'Aub Demand'!A:A,0)),"")</f>
        <v>15</v>
      </c>
      <c r="I1268" s="25">
        <f>IFERROR(INDEX('Aub Demand'!U:U,MATCH(O1268,'Aub Demand'!A:A,0)),"")</f>
        <v>102</v>
      </c>
      <c r="J1268" s="25">
        <f>IFERROR(INDEX('Aub Demand'!T:T,MATCH(O1268,'Aub Demand'!A:A,0)),"")</f>
        <v>102</v>
      </c>
      <c r="K1268" s="25">
        <f>IFERROR(INDEX('Aub Demand'!S:S,MATCH(O1268,'Aub Demand'!A:A,0)),"")</f>
        <v>71</v>
      </c>
      <c r="L1268" s="25">
        <f>IFERROR(INDEX('Aub Demand'!R:R,MATCH(O1268,'Aub Demand'!A:A,0)),"")</f>
        <v>0</v>
      </c>
      <c r="O1268" s="27" t="s">
        <v>1578</v>
      </c>
      <c r="P1268" s="27" t="str">
        <f>IFERROR(INDEX('Aub Demand'!B:B,MATCH($O1268,'Aub Demand'!$A:$A,0)),"")</f>
        <v>CLEAR ASH</v>
      </c>
      <c r="Q1268" s="27" t="str">
        <f>IFERROR(INDEX('Aub Demand'!C:C,MATCH($O1268,'Aub Demand'!$A:$A,0)),"")</f>
        <v>INTER</v>
      </c>
      <c r="R1268" s="52">
        <f>IFERROR(IF(AR1269=AR1268,INDEX('Aub Demand'!K:K,MATCH($O1268,'Aub Demand'!$A:$A,0))-IF(AN1268="",0,AN1268)+AP1269,INDEX('Aub Demand'!K:K,MATCH($O1268,'Aub Demand'!$A:$A,0))-IF(AN1268="",0,AN1268)),"")</f>
        <v>46</v>
      </c>
      <c r="S1268" s="53">
        <f t="shared" si="532"/>
        <v>2.1</v>
      </c>
      <c r="T1268" s="52">
        <f t="shared" si="533"/>
        <v>22.95</v>
      </c>
      <c r="U1268" s="52">
        <f>IFERROR(IF(AR1269=AR1268,INDEX('Aub Demand'!Q:Q,MATCH($O1268,'Aub Demand'!$A:$A,0))-IF(AN1268="",0,AN1268)+AP1269,INDEX('Aub Demand'!Q:Q,MATCH($O1268,'Aub Demand'!$A:$A,0))-IF(AN1268="",0,AN1268)),"")</f>
        <v>34</v>
      </c>
      <c r="V1268" s="53">
        <f t="shared" si="534"/>
        <v>1.6</v>
      </c>
      <c r="W1268" s="52">
        <f t="shared" si="535"/>
        <v>35.699999999999996</v>
      </c>
      <c r="X1268" s="52">
        <f>IFERROR(IF(AND(AR1269=AR1268,AM1268&lt;&gt;""),INDEX('Aub Demand'!Q:Q,MATCH($O1268,'Aub Demand'!$A:$A,0))-IF(AN1268="",0,AN1268)+AP1269+AD1268+AL1268,IF(AR1269=AR1268,INDEX('Aub Demand'!Q:Q,MATCH($O1268,'Aub Demand'!$A:$A,0))-IF(AN1268="",0,AN1268)+AP1269+AD1268,IF(AM1268&lt;&gt;"",INDEX('Aub Demand'!Q:Q,MATCH($O1268,'Aub Demand'!$A:$A,0))-IF(AN1268="",0,AN1268)+AD1268+AL1268,INDEX('Aub Demand'!Q:Q,MATCH($O1268,'Aub Demand'!$A:$A,0))-IF(AN1268="",0,AN1268)+AD1268))),"")</f>
        <v>34</v>
      </c>
      <c r="Y1268" s="53">
        <f t="shared" si="536"/>
        <v>1.6</v>
      </c>
      <c r="Z1268" s="52">
        <f>IF(L1268="","",INDEX('Aub Demand'!H:H,MATCH($O1268,'Aub Demand'!$A:$A,0)))</f>
        <v>92</v>
      </c>
      <c r="AA1268" s="52">
        <f t="shared" si="537"/>
        <v>102</v>
      </c>
      <c r="AB1268" s="52">
        <f>IFERROR(INDEX('Aub Demand'!L:L,MATCH($O1268,'Aub Demand'!$A:$A,0)),"")</f>
        <v>98</v>
      </c>
      <c r="AC1268" s="52">
        <f>IFERROR(IF(O1268="","",SUMIFS('CPL Mats'!F:F,'CPL Mats'!Q:Q,AR1268,'CPL Mats'!S:S,AS1268)),"")</f>
        <v>2499</v>
      </c>
      <c r="AF1268" s="25" t="str">
        <f>IF(SUMIFS('Supp Consol'!S:S,'Supp Consol'!Y:Y,"Releasable",'Supp Consol'!A:A,O1268)=0,"",SUMIFS('Supp Consol'!S:S,'Supp Consol'!Y:Y,"Releasable",'Supp Consol'!A:A,O1268))</f>
        <v/>
      </c>
      <c r="AG1268" s="25">
        <f>IFERROR(INDEX('Hun Demand'!Q:Q,MATCH(O1268,'Hun Demand'!A:A,0)),"")</f>
        <v>0</v>
      </c>
      <c r="AH1268" s="25">
        <f>IFERROR(INDEX('Hun Demand'!H:H,MATCH($O1268,'Hun Demand'!$A:$A,0)),"")</f>
        <v>183</v>
      </c>
      <c r="AI1268" s="25" t="str">
        <f>IF(SUMIFS('Supp Consol'!AA:AA,'Supp Consol'!Z:Z,"Expires this month",'Supp Consol'!A:A,O1268)=0,"",SUMIFS('Supp Consol'!AA:AA,'Supp Consol'!Z:Z,"Expires this month",'Supp Consol'!A:A,O1268))</f>
        <v/>
      </c>
      <c r="AJ1268" s="25" t="str">
        <f>IF(SUMIFS('Supp Consol'!AA:AA,'Supp Consol'!Z:Z,"Expired Previous Months",'Supp Consol'!A:A,O1268)=0,"",SUMIFS('Supp Consol'!AA:AA,'Supp Consol'!Z:Z,"Expired Previous Months",'Supp Consol'!A:A,O1268))</f>
        <v/>
      </c>
      <c r="AK1268" s="25" t="str">
        <f>IFERROR(INDEX('Hun Release Current'!B:B,MATCH(O1268,'Hun Release Current'!A:A,0)),"")</f>
        <v/>
      </c>
      <c r="AL1268" s="25" t="str">
        <f>IF(SUMIF('Prev Aub'!A:A,O1268,'Prev Aub'!B:B)=0,"",SUMIF('Prev Aub'!A:A,O1268,'Prev Aub'!B:B))</f>
        <v/>
      </c>
      <c r="AN1268" s="25" t="s">
        <v>3790</v>
      </c>
      <c r="AO1268" s="25" t="s">
        <v>3790</v>
      </c>
      <c r="AP1268" s="25">
        <f t="shared" si="538"/>
        <v>0</v>
      </c>
      <c r="AQ1268" s="151" t="str">
        <f>IF(SUMIFS('Supp Consol'!S:S,'Supp Consol'!A:A,O1268,'Supp Consol'!I:I,"PENDING")=0,"",SUMIFS('Supp Consol'!S:S,'Supp Consol'!A:A,O1268,'Supp Consol'!I:I,"PENDING"))</f>
        <v/>
      </c>
      <c r="AR1268" s="27" t="str">
        <f t="shared" si="539"/>
        <v>WA001</v>
      </c>
      <c r="AS1268" s="27" t="str">
        <f t="shared" si="540"/>
        <v>50</v>
      </c>
      <c r="AT1268" s="27" t="str">
        <f t="shared" si="541"/>
        <v>WA001</v>
      </c>
      <c r="AU1268" s="27" t="str">
        <f t="shared" si="542"/>
        <v>WA001</v>
      </c>
      <c r="AV1268" s="27" t="str">
        <f t="shared" si="543"/>
        <v>WA001</v>
      </c>
      <c r="AW1268" s="27" t="str">
        <f t="shared" si="544"/>
        <v/>
      </c>
      <c r="AX1268" s="27" t="str">
        <f t="shared" si="545"/>
        <v/>
      </c>
      <c r="AY1268" s="27" t="str">
        <f t="shared" si="546"/>
        <v/>
      </c>
      <c r="AZ1268" s="27" t="str">
        <f t="shared" si="547"/>
        <v/>
      </c>
      <c r="BA1268" s="27" t="str">
        <f t="shared" si="548"/>
        <v>Hun</v>
      </c>
      <c r="BB1268" s="27" t="str">
        <f t="shared" si="549"/>
        <v>Gross</v>
      </c>
      <c r="BC1268" s="27" t="str">
        <f t="shared" si="550"/>
        <v>Net</v>
      </c>
      <c r="BD1268" s="27" t="str">
        <f t="shared" si="551"/>
        <v>Net</v>
      </c>
      <c r="BE1268" s="27" t="str">
        <f t="shared" si="552"/>
        <v/>
      </c>
      <c r="BF1268" s="27" t="str">
        <f t="shared" si="553"/>
        <v/>
      </c>
      <c r="BG1268" s="27" t="str">
        <f t="shared" si="554"/>
        <v/>
      </c>
      <c r="BH1268" s="27" t="str">
        <f t="shared" si="555"/>
        <v>H+N</v>
      </c>
      <c r="BI1268" s="27" t="str">
        <f t="shared" si="556"/>
        <v>H+Nex</v>
      </c>
      <c r="BJ1268" s="27" t="str">
        <f t="shared" si="557"/>
        <v>Supp or Hun</v>
      </c>
      <c r="BK1268" s="27" t="str">
        <f t="shared" si="558"/>
        <v>Supp or Hun Need</v>
      </c>
      <c r="BL1268" s="27" t="str">
        <f t="shared" si="559"/>
        <v>SorHandNandE</v>
      </c>
      <c r="BM1268" s="21" t="s">
        <v>5581</v>
      </c>
    </row>
    <row r="1269" spans="1:65" ht="15">
      <c r="A1269" s="25">
        <f>IFERROR(INDEX('Hun Demand'!W:W,MATCH(O1269,'Hun Demand'!A:A,0)),"")</f>
        <v>0</v>
      </c>
      <c r="B1269" s="25">
        <f>IFERROR(INDEX('Hun Demand'!V:V,MATCH(O1269,'Hun Demand'!A:A,0)),"")</f>
        <v>0</v>
      </c>
      <c r="C1269" s="25">
        <f>IFERROR(INDEX('Hun Demand'!U:U,MATCH(O1269,'Hun Demand'!A:A,0)),"")</f>
        <v>0</v>
      </c>
      <c r="D1269" s="25">
        <f>IFERROR(INDEX('Hun Demand'!T:T,MATCH(O1269,'Hun Demand'!A:A,0)),"")</f>
        <v>0</v>
      </c>
      <c r="E1269" s="25">
        <f>IFERROR(INDEX('Hun Demand'!S:S,MATCH(O1269,'Hun Demand'!A:A,0)),"")</f>
        <v>0</v>
      </c>
      <c r="F1269" s="25">
        <f>IFERROR(INDEX('Hun Demand'!R:R,MATCH(O1269,'Hun Demand'!A:A,0)),"")</f>
        <v>0</v>
      </c>
      <c r="G1269" s="25">
        <f>IFERROR(INDEX('Aub Demand'!W:W,MATCH(O1269,'Aub Demand'!A:A,0)),"")</f>
        <v>11</v>
      </c>
      <c r="H1269" s="25">
        <f>IFERROR(INDEX('Aub Demand'!V:V,MATCH(O1269,'Aub Demand'!A:A,0)),"")</f>
        <v>0</v>
      </c>
      <c r="I1269" s="25">
        <f>IFERROR(INDEX('Aub Demand'!U:U,MATCH(O1269,'Aub Demand'!A:A,0)),"")</f>
        <v>0</v>
      </c>
      <c r="J1269" s="25">
        <f>IFERROR(INDEX('Aub Demand'!T:T,MATCH(O1269,'Aub Demand'!A:A,0)),"")</f>
        <v>548</v>
      </c>
      <c r="K1269" s="25">
        <f>IFERROR(INDEX('Aub Demand'!S:S,MATCH(O1269,'Aub Demand'!A:A,0)),"")</f>
        <v>507</v>
      </c>
      <c r="L1269" s="25">
        <f>IFERROR(INDEX('Aub Demand'!R:R,MATCH(O1269,'Aub Demand'!A:A,0)),"")</f>
        <v>0</v>
      </c>
      <c r="O1269" s="27" t="s">
        <v>1581</v>
      </c>
      <c r="P1269" s="27" t="str">
        <f>IFERROR(INDEX('Aub Demand'!B:B,MATCH($O1269,'Aub Demand'!$A:$A,0)),"")</f>
        <v>CLEAR ASH</v>
      </c>
      <c r="Q1269" s="27" t="str">
        <f>IFERROR(INDEX('Aub Demand'!C:C,MATCH($O1269,'Aub Demand'!$A:$A,0)),"")</f>
        <v>INTER</v>
      </c>
      <c r="R1269" s="52">
        <f>IFERROR(IF(AR1270=AR1269,INDEX('Aub Demand'!K:K,MATCH($O1269,'Aub Demand'!$A:$A,0))-IF(AN1269="",0,AN1269)+AP1270,INDEX('Aub Demand'!K:K,MATCH($O1269,'Aub Demand'!$A:$A,0))-IF(AN1269="",0,AN1269)),"")</f>
        <v>611</v>
      </c>
      <c r="S1269" s="53">
        <f t="shared" si="532"/>
        <v>7.4</v>
      </c>
      <c r="T1269" s="52" t="str">
        <f t="shared" si="533"/>
        <v/>
      </c>
      <c r="U1269" s="52">
        <f>IFERROR(IF(AR1270=AR1269,INDEX('Aub Demand'!Q:Q,MATCH($O1269,'Aub Demand'!$A:$A,0))-IF(AN1269="",0,AN1269)+AP1270,INDEX('Aub Demand'!Q:Q,MATCH($O1269,'Aub Demand'!$A:$A,0))-IF(AN1269="",0,AN1269)),"")</f>
        <v>611</v>
      </c>
      <c r="V1269" s="53">
        <f t="shared" si="534"/>
        <v>7.4</v>
      </c>
      <c r="W1269" s="52" t="str">
        <f t="shared" si="535"/>
        <v/>
      </c>
      <c r="X1269" s="52">
        <f>IFERROR(IF(AND(AR1270=AR1269,AM1269&lt;&gt;""),INDEX('Aub Demand'!Q:Q,MATCH($O1269,'Aub Demand'!$A:$A,0))-IF(AN1269="",0,AN1269)+AP1270+AD1269+AL1269,IF(AR1270=AR1269,INDEX('Aub Demand'!Q:Q,MATCH($O1269,'Aub Demand'!$A:$A,0))-IF(AN1269="",0,AN1269)+AP1270+AD1269,IF(AM1269&lt;&gt;"",INDEX('Aub Demand'!Q:Q,MATCH($O1269,'Aub Demand'!$A:$A,0))-IF(AN1269="",0,AN1269)+AD1269+AL1269,INDEX('Aub Demand'!Q:Q,MATCH($O1269,'Aub Demand'!$A:$A,0))-IF(AN1269="",0,AN1269)+AD1269))),"")</f>
        <v>611</v>
      </c>
      <c r="Y1269" s="53">
        <f t="shared" si="536"/>
        <v>7.4</v>
      </c>
      <c r="Z1269" s="52">
        <f>IF(L1269="","",INDEX('Aub Demand'!H:H,MATCH($O1269,'Aub Demand'!$A:$A,0)))</f>
        <v>352</v>
      </c>
      <c r="AA1269" s="52">
        <f t="shared" si="537"/>
        <v>527.5</v>
      </c>
      <c r="AB1269" s="52">
        <f>IFERROR(INDEX('Aub Demand'!L:L,MATCH($O1269,'Aub Demand'!$A:$A,0)),"")</f>
        <v>3</v>
      </c>
      <c r="AC1269" s="52">
        <f>IFERROR(IF(O1269="","",SUMIFS('CPL Mats'!F:F,'CPL Mats'!Q:Q,AR1269,'CPL Mats'!S:S,AS1269)),"")</f>
        <v>0</v>
      </c>
      <c r="AF1269" s="25" t="str">
        <f>IF(SUMIFS('Supp Consol'!S:S,'Supp Consol'!Y:Y,"Releasable",'Supp Consol'!A:A,O1269)=0,"",SUMIFS('Supp Consol'!S:S,'Supp Consol'!Y:Y,"Releasable",'Supp Consol'!A:A,O1269))</f>
        <v/>
      </c>
      <c r="AG1269" s="25">
        <f>IFERROR(INDEX('Hun Demand'!Q:Q,MATCH(O1269,'Hun Demand'!A:A,0)),"")</f>
        <v>507</v>
      </c>
      <c r="AH1269" s="25">
        <f>IFERROR(INDEX('Hun Demand'!H:H,MATCH($O1269,'Hun Demand'!$A:$A,0)),"")</f>
        <v>0</v>
      </c>
      <c r="AI1269" s="25" t="str">
        <f>IF(SUMIFS('Supp Consol'!AA:AA,'Supp Consol'!Z:Z,"Expires this month",'Supp Consol'!A:A,O1269)=0,"",SUMIFS('Supp Consol'!AA:AA,'Supp Consol'!Z:Z,"Expires this month",'Supp Consol'!A:A,O1269))</f>
        <v/>
      </c>
      <c r="AJ1269" s="25" t="str">
        <f>IF(SUMIFS('Supp Consol'!AA:AA,'Supp Consol'!Z:Z,"Expired Previous Months",'Supp Consol'!A:A,O1269)=0,"",SUMIFS('Supp Consol'!AA:AA,'Supp Consol'!Z:Z,"Expired Previous Months",'Supp Consol'!A:A,O1269))</f>
        <v/>
      </c>
      <c r="AK1269" s="25" t="str">
        <f>IFERROR(INDEX('Hun Release Current'!B:B,MATCH(O1269,'Hun Release Current'!A:A,0)),"")</f>
        <v/>
      </c>
      <c r="AL1269" s="25" t="str">
        <f>IF(SUMIF('Prev Aub'!A:A,O1269,'Prev Aub'!B:B)=0,"",SUMIF('Prev Aub'!A:A,O1269,'Prev Aub'!B:B))</f>
        <v/>
      </c>
      <c r="AN1269" s="25" t="s">
        <v>3790</v>
      </c>
      <c r="AO1269" s="25" t="s">
        <v>3790</v>
      </c>
      <c r="AP1269" s="25">
        <f t="shared" si="538"/>
        <v>0</v>
      </c>
      <c r="AQ1269" s="151" t="str">
        <f>IF(SUMIFS('Supp Consol'!S:S,'Supp Consol'!A:A,O1269,'Supp Consol'!I:I,"PENDING")=0,"",SUMIFS('Supp Consol'!S:S,'Supp Consol'!A:A,O1269,'Supp Consol'!I:I,"PENDING"))</f>
        <v/>
      </c>
      <c r="AR1269" s="27" t="str">
        <f t="shared" si="539"/>
        <v>WA001</v>
      </c>
      <c r="AS1269" s="27" t="str">
        <f t="shared" si="540"/>
        <v>62</v>
      </c>
      <c r="AT1269" s="27" t="str">
        <f t="shared" si="541"/>
        <v/>
      </c>
      <c r="AU1269" s="27" t="str">
        <f t="shared" si="542"/>
        <v/>
      </c>
      <c r="AV1269" s="27" t="str">
        <f t="shared" si="543"/>
        <v/>
      </c>
      <c r="AW1269" s="27" t="str">
        <f t="shared" si="544"/>
        <v/>
      </c>
      <c r="AX1269" s="27" t="str">
        <f t="shared" si="545"/>
        <v/>
      </c>
      <c r="AY1269" s="27" t="str">
        <f t="shared" si="546"/>
        <v>WA001</v>
      </c>
      <c r="AZ1269" s="27" t="str">
        <f t="shared" si="547"/>
        <v/>
      </c>
      <c r="BA1269" s="27" t="str">
        <f t="shared" si="548"/>
        <v>Hun</v>
      </c>
      <c r="BB1269" s="27" t="str">
        <f t="shared" si="549"/>
        <v>Gross</v>
      </c>
      <c r="BC1269" s="27" t="str">
        <f t="shared" si="550"/>
        <v>Net</v>
      </c>
      <c r="BD1269" s="27" t="str">
        <f t="shared" si="551"/>
        <v>Net</v>
      </c>
      <c r="BE1269" s="27" t="str">
        <f t="shared" si="552"/>
        <v/>
      </c>
      <c r="BF1269" s="27" t="str">
        <f t="shared" si="553"/>
        <v/>
      </c>
      <c r="BG1269" s="27" t="str">
        <f t="shared" si="554"/>
        <v/>
      </c>
      <c r="BH1269" s="27" t="str">
        <f t="shared" si="555"/>
        <v>H+N</v>
      </c>
      <c r="BI1269" s="27" t="str">
        <f t="shared" si="556"/>
        <v>H+Nex</v>
      </c>
      <c r="BJ1269" s="27" t="str">
        <f t="shared" si="557"/>
        <v>Supp or Hun</v>
      </c>
      <c r="BK1269" s="27" t="str">
        <f t="shared" si="558"/>
        <v>Supp or Hun Need</v>
      </c>
      <c r="BL1269" s="27" t="str">
        <f t="shared" si="559"/>
        <v>SorHandNandE</v>
      </c>
      <c r="BM1269" s="21" t="s">
        <v>5581</v>
      </c>
    </row>
    <row r="1270" spans="1:65" ht="15">
      <c r="A1270" s="25" t="str">
        <f>IFERROR(INDEX('Hun Demand'!W:W,MATCH(O1270,'Hun Demand'!A:A,0)),"")</f>
        <v/>
      </c>
      <c r="B1270" s="25" t="str">
        <f>IFERROR(INDEX('Hun Demand'!V:V,MATCH(O1270,'Hun Demand'!A:A,0)),"")</f>
        <v/>
      </c>
      <c r="C1270" s="25" t="str">
        <f>IFERROR(INDEX('Hun Demand'!U:U,MATCH(O1270,'Hun Demand'!A:A,0)),"")</f>
        <v/>
      </c>
      <c r="D1270" s="25" t="str">
        <f>IFERROR(INDEX('Hun Demand'!T:T,MATCH(O1270,'Hun Demand'!A:A,0)),"")</f>
        <v/>
      </c>
      <c r="E1270" s="25" t="str">
        <f>IFERROR(INDEX('Hun Demand'!S:S,MATCH(O1270,'Hun Demand'!A:A,0)),"")</f>
        <v/>
      </c>
      <c r="F1270" s="25" t="str">
        <f>IFERROR(INDEX('Hun Demand'!R:R,MATCH(O1270,'Hun Demand'!A:A,0)),"")</f>
        <v/>
      </c>
      <c r="G1270" s="25">
        <f>IFERROR(INDEX('Aub Demand'!W:W,MATCH(O1270,'Aub Demand'!A:A,0)),"")</f>
        <v>0</v>
      </c>
      <c r="H1270" s="25">
        <f>IFERROR(INDEX('Aub Demand'!V:V,MATCH(O1270,'Aub Demand'!A:A,0)),"")</f>
        <v>0</v>
      </c>
      <c r="I1270" s="25">
        <f>IFERROR(INDEX('Aub Demand'!U:U,MATCH(O1270,'Aub Demand'!A:A,0)),"")</f>
        <v>16</v>
      </c>
      <c r="J1270" s="25">
        <f>IFERROR(INDEX('Aub Demand'!T:T,MATCH(O1270,'Aub Demand'!A:A,0)),"")</f>
        <v>0</v>
      </c>
      <c r="K1270" s="25">
        <f>IFERROR(INDEX('Aub Demand'!S:S,MATCH(O1270,'Aub Demand'!A:A,0)),"")</f>
        <v>0</v>
      </c>
      <c r="L1270" s="25">
        <f>IFERROR(INDEX('Aub Demand'!R:R,MATCH(O1270,'Aub Demand'!A:A,0)),"")</f>
        <v>0</v>
      </c>
      <c r="O1270" s="27" t="s">
        <v>1583</v>
      </c>
      <c r="P1270" s="27" t="str">
        <f>IFERROR(INDEX('Aub Demand'!B:B,MATCH($O1270,'Aub Demand'!$A:$A,0)),"")</f>
        <v>SUMMIT ASH</v>
      </c>
      <c r="Q1270" s="27" t="str">
        <f>IFERROR(INDEX('Aub Demand'!C:C,MATCH($O1270,'Aub Demand'!$A:$A,0)),"")</f>
        <v>DNP A</v>
      </c>
      <c r="R1270" s="52">
        <f>IFERROR(IF(AR1271=AR1270,INDEX('Aub Demand'!K:K,MATCH($O1270,'Aub Demand'!$A:$A,0))-IF(AN1270="",0,AN1270)+AP1271,INDEX('Aub Demand'!K:K,MATCH($O1270,'Aub Demand'!$A:$A,0))-IF(AN1270="",0,AN1270)),"")</f>
        <v>56</v>
      </c>
      <c r="S1270" s="53">
        <f t="shared" si="532"/>
        <v>48</v>
      </c>
      <c r="T1270" s="52" t="str">
        <f t="shared" si="533"/>
        <v/>
      </c>
      <c r="U1270" s="52">
        <f>IFERROR(IF(AR1271=AR1270,INDEX('Aub Demand'!Q:Q,MATCH($O1270,'Aub Demand'!$A:$A,0))-IF(AN1270="",0,AN1270)+AP1271,INDEX('Aub Demand'!Q:Q,MATCH($O1270,'Aub Demand'!$A:$A,0))-IF(AN1270="",0,AN1270)),"")</f>
        <v>56</v>
      </c>
      <c r="V1270" s="53">
        <f t="shared" si="534"/>
        <v>48</v>
      </c>
      <c r="W1270" s="52" t="str">
        <f t="shared" si="535"/>
        <v/>
      </c>
      <c r="X1270" s="52">
        <f>IFERROR(IF(AND(AR1271=AR1270,AM1270&lt;&gt;""),INDEX('Aub Demand'!Q:Q,MATCH($O1270,'Aub Demand'!$A:$A,0))-IF(AN1270="",0,AN1270)+AP1271+AD1270+AL1270,IF(AR1271=AR1270,INDEX('Aub Demand'!Q:Q,MATCH($O1270,'Aub Demand'!$A:$A,0))-IF(AN1270="",0,AN1270)+AP1271+AD1270,IF(AM1270&lt;&gt;"",INDEX('Aub Demand'!Q:Q,MATCH($O1270,'Aub Demand'!$A:$A,0))-IF(AN1270="",0,AN1270)+AD1270+AL1270,INDEX('Aub Demand'!Q:Q,MATCH($O1270,'Aub Demand'!$A:$A,0))-IF(AN1270="",0,AN1270)+AD1270))),"")</f>
        <v>56</v>
      </c>
      <c r="Y1270" s="53">
        <f t="shared" si="536"/>
        <v>48</v>
      </c>
      <c r="Z1270" s="52">
        <f>IF(L1270="","",INDEX('Aub Demand'!H:H,MATCH($O1270,'Aub Demand'!$A:$A,0)))</f>
        <v>5</v>
      </c>
      <c r="AA1270" s="52" t="str">
        <f t="shared" si="537"/>
        <v>-spike-</v>
      </c>
      <c r="AB1270" s="52">
        <f>IFERROR(INDEX('Aub Demand'!L:L,MATCH($O1270,'Aub Demand'!$A:$A,0)),"")</f>
        <v>0</v>
      </c>
      <c r="AC1270" s="52">
        <f>IFERROR(IF(O1270="","",SUMIFS('CPL Mats'!F:F,'CPL Mats'!Q:Q,AR1270,'CPL Mats'!S:S,AS1270)),"")</f>
        <v>0</v>
      </c>
      <c r="AF1270" s="25" t="str">
        <f>IF(SUMIFS('Supp Consol'!S:S,'Supp Consol'!Y:Y,"Releasable",'Supp Consol'!A:A,O1270)=0,"",SUMIFS('Supp Consol'!S:S,'Supp Consol'!Y:Y,"Releasable",'Supp Consol'!A:A,O1270))</f>
        <v/>
      </c>
      <c r="AG1270" s="25" t="str">
        <f>IFERROR(INDEX('Hun Demand'!Q:Q,MATCH(O1270,'Hun Demand'!A:A,0)),"")</f>
        <v/>
      </c>
      <c r="AH1270" s="25" t="str">
        <f>IFERROR(INDEX('Hun Demand'!H:H,MATCH($O1270,'Hun Demand'!$A:$A,0)),"")</f>
        <v/>
      </c>
      <c r="AI1270" s="25" t="str">
        <f>IF(SUMIFS('Supp Consol'!AA:AA,'Supp Consol'!Z:Z,"Expires this month",'Supp Consol'!A:A,O1270)=0,"",SUMIFS('Supp Consol'!AA:AA,'Supp Consol'!Z:Z,"Expires this month",'Supp Consol'!A:A,O1270))</f>
        <v/>
      </c>
      <c r="AJ1270" s="25" t="str">
        <f>IF(SUMIFS('Supp Consol'!AA:AA,'Supp Consol'!Z:Z,"Expired Previous Months",'Supp Consol'!A:A,O1270)=0,"",SUMIFS('Supp Consol'!AA:AA,'Supp Consol'!Z:Z,"Expired Previous Months",'Supp Consol'!A:A,O1270))</f>
        <v/>
      </c>
      <c r="AK1270" s="25" t="str">
        <f>IFERROR(INDEX('Hun Release Current'!B:B,MATCH(O1270,'Hun Release Current'!A:A,0)),"")</f>
        <v/>
      </c>
      <c r="AL1270" s="25" t="str">
        <f>IF(SUMIF('Prev Aub'!A:A,O1270,'Prev Aub'!B:B)=0,"",SUMIF('Prev Aub'!A:A,O1270,'Prev Aub'!B:B))</f>
        <v/>
      </c>
      <c r="AN1270" s="25" t="s">
        <v>3790</v>
      </c>
      <c r="AO1270" s="25" t="s">
        <v>3790</v>
      </c>
      <c r="AP1270" s="25">
        <f t="shared" si="538"/>
        <v>0</v>
      </c>
      <c r="AQ1270" s="151" t="str">
        <f>IF(SUMIFS('Supp Consol'!S:S,'Supp Consol'!A:A,O1270,'Supp Consol'!I:I,"PENDING")=0,"",SUMIFS('Supp Consol'!S:S,'Supp Consol'!A:A,O1270,'Supp Consol'!I:I,"PENDING"))</f>
        <v/>
      </c>
      <c r="AR1270" s="27" t="str">
        <f t="shared" si="539"/>
        <v>WA011</v>
      </c>
      <c r="AS1270" s="27" t="str">
        <f t="shared" si="540"/>
        <v>62</v>
      </c>
      <c r="AT1270" s="27" t="str">
        <f t="shared" si="541"/>
        <v/>
      </c>
      <c r="AU1270" s="27" t="str">
        <f t="shared" si="542"/>
        <v/>
      </c>
      <c r="AV1270" s="27" t="str">
        <f t="shared" si="543"/>
        <v/>
      </c>
      <c r="AW1270" s="27" t="str">
        <f t="shared" si="544"/>
        <v/>
      </c>
      <c r="AX1270" s="27" t="str">
        <f t="shared" si="545"/>
        <v/>
      </c>
      <c r="AY1270" s="27" t="str">
        <f t="shared" si="546"/>
        <v/>
      </c>
      <c r="AZ1270" s="27" t="str">
        <f t="shared" si="547"/>
        <v/>
      </c>
      <c r="BA1270" s="27" t="str">
        <f t="shared" si="548"/>
        <v/>
      </c>
      <c r="BB1270" s="27" t="str">
        <f t="shared" si="549"/>
        <v/>
      </c>
      <c r="BC1270" s="27" t="str">
        <f t="shared" si="550"/>
        <v/>
      </c>
      <c r="BD1270" s="27" t="str">
        <f t="shared" si="551"/>
        <v/>
      </c>
      <c r="BE1270" s="27" t="str">
        <f t="shared" si="552"/>
        <v/>
      </c>
      <c r="BF1270" s="27" t="str">
        <f t="shared" si="553"/>
        <v/>
      </c>
      <c r="BG1270" s="27" t="str">
        <f t="shared" si="554"/>
        <v/>
      </c>
      <c r="BH1270" s="27" t="str">
        <f t="shared" si="555"/>
        <v/>
      </c>
      <c r="BI1270" s="27" t="str">
        <f t="shared" si="556"/>
        <v/>
      </c>
      <c r="BJ1270" s="27" t="str">
        <f t="shared" si="557"/>
        <v/>
      </c>
      <c r="BK1270" s="27" t="str">
        <f t="shared" si="558"/>
        <v/>
      </c>
      <c r="BL1270" s="27" t="str">
        <f t="shared" si="559"/>
        <v/>
      </c>
      <c r="BM1270" s="21" t="s">
        <v>3790</v>
      </c>
    </row>
    <row r="1271" spans="1:65" ht="15">
      <c r="A1271" s="25">
        <f>IFERROR(INDEX('Hun Demand'!W:W,MATCH(O1271,'Hun Demand'!A:A,0)),"")</f>
        <v>564</v>
      </c>
      <c r="B1271" s="25">
        <f>IFERROR(INDEX('Hun Demand'!V:V,MATCH(O1271,'Hun Demand'!A:A,0)),"")</f>
        <v>1039</v>
      </c>
      <c r="C1271" s="25">
        <f>IFERROR(INDEX('Hun Demand'!U:U,MATCH(O1271,'Hun Demand'!A:A,0)),"")</f>
        <v>0</v>
      </c>
      <c r="D1271" s="25">
        <f>IFERROR(INDEX('Hun Demand'!T:T,MATCH(O1271,'Hun Demand'!A:A,0)),"")</f>
        <v>160</v>
      </c>
      <c r="E1271" s="25">
        <f>IFERROR(INDEX('Hun Demand'!S:S,MATCH(O1271,'Hun Demand'!A:A,0)),"")</f>
        <v>437</v>
      </c>
      <c r="F1271" s="25">
        <f>IFERROR(INDEX('Hun Demand'!R:R,MATCH(O1271,'Hun Demand'!A:A,0)),"")</f>
        <v>0</v>
      </c>
      <c r="G1271" s="25">
        <f>IFERROR(INDEX('Aub Demand'!W:W,MATCH(O1271,'Aub Demand'!A:A,0)),"")</f>
        <v>58</v>
      </c>
      <c r="H1271" s="25">
        <f>IFERROR(INDEX('Aub Demand'!V:V,MATCH(O1271,'Aub Demand'!A:A,0)),"")</f>
        <v>872</v>
      </c>
      <c r="I1271" s="25">
        <f>IFERROR(INDEX('Aub Demand'!U:U,MATCH(O1271,'Aub Demand'!A:A,0)),"")</f>
        <v>220</v>
      </c>
      <c r="J1271" s="25">
        <f>IFERROR(INDEX('Aub Demand'!T:T,MATCH(O1271,'Aub Demand'!A:A,0)),"")</f>
        <v>785</v>
      </c>
      <c r="K1271" s="25">
        <f>IFERROR(INDEX('Aub Demand'!S:S,MATCH(O1271,'Aub Demand'!A:A,0)),"")</f>
        <v>141</v>
      </c>
      <c r="L1271" s="25">
        <f>IFERROR(INDEX('Aub Demand'!R:R,MATCH(O1271,'Aub Demand'!A:A,0)),"")</f>
        <v>63</v>
      </c>
      <c r="O1271" s="27" t="s">
        <v>1586</v>
      </c>
      <c r="P1271" s="27" t="str">
        <f>IFERROR(INDEX('Aub Demand'!B:B,MATCH($O1271,'Aub Demand'!$A:$A,0)),"")</f>
        <v>PICNIC IN THE PARK</v>
      </c>
      <c r="Q1271" s="27" t="str">
        <f>IFERROR(INDEX('Aub Demand'!C:C,MATCH($O1271,'Aub Demand'!$A:$A,0)),"")</f>
        <v>IMPRE</v>
      </c>
      <c r="R1271" s="52">
        <f>IFERROR(IF(AR1272=AR1271,INDEX('Aub Demand'!K:K,MATCH($O1271,'Aub Demand'!$A:$A,0))-IF(AN1271="",0,AN1271)+AP1272,INDEX('Aub Demand'!K:K,MATCH($O1271,'Aub Demand'!$A:$A,0))-IF(AN1271="",0,AN1271)),"")</f>
        <v>2994</v>
      </c>
      <c r="S1271" s="53">
        <f t="shared" si="532"/>
        <v>33.6</v>
      </c>
      <c r="T1271" s="52" t="str">
        <f t="shared" si="533"/>
        <v/>
      </c>
      <c r="U1271" s="52">
        <f>IFERROR(IF(AR1272=AR1271,INDEX('Aub Demand'!Q:Q,MATCH($O1271,'Aub Demand'!$A:$A,0))-IF(AN1271="",0,AN1271)+AP1272,INDEX('Aub Demand'!Q:Q,MATCH($O1271,'Aub Demand'!$A:$A,0))-IF(AN1271="",0,AN1271)),"")</f>
        <v>2947</v>
      </c>
      <c r="V1271" s="53">
        <f t="shared" si="534"/>
        <v>33.1</v>
      </c>
      <c r="W1271" s="52" t="str">
        <f t="shared" si="535"/>
        <v/>
      </c>
      <c r="X1271" s="52">
        <f>IFERROR(IF(AND(AR1272=AR1271,AM1271&lt;&gt;""),INDEX('Aub Demand'!Q:Q,MATCH($O1271,'Aub Demand'!$A:$A,0))-IF(AN1271="",0,AN1271)+AP1272+AD1271+AL1271,IF(AR1272=AR1271,INDEX('Aub Demand'!Q:Q,MATCH($O1271,'Aub Demand'!$A:$A,0))-IF(AN1271="",0,AN1271)+AP1272+AD1271,IF(AM1271&lt;&gt;"",INDEX('Aub Demand'!Q:Q,MATCH($O1271,'Aub Demand'!$A:$A,0))-IF(AN1271="",0,AN1271)+AD1271+AL1271,INDEX('Aub Demand'!Q:Q,MATCH($O1271,'Aub Demand'!$A:$A,0))-IF(AN1271="",0,AN1271)+AD1271))),"")</f>
        <v>2947</v>
      </c>
      <c r="Y1271" s="53">
        <f t="shared" si="536"/>
        <v>33.1</v>
      </c>
      <c r="Z1271" s="52">
        <f>IF(L1271="","",INDEX('Aub Demand'!H:H,MATCH($O1271,'Aub Demand'!$A:$A,0)))</f>
        <v>382</v>
      </c>
      <c r="AA1271" s="52">
        <f t="shared" si="537"/>
        <v>502.5</v>
      </c>
      <c r="AB1271" s="52">
        <f>IFERROR(INDEX('Aub Demand'!L:L,MATCH($O1271,'Aub Demand'!$A:$A,0)),"")</f>
        <v>129</v>
      </c>
      <c r="AC1271" s="52">
        <f>IFERROR(IF(O1271="","",SUMIFS('CPL Mats'!F:F,'CPL Mats'!Q:Q,AR1271,'CPL Mats'!S:S,AS1271)),"")</f>
        <v>1094.8</v>
      </c>
      <c r="AF1271" s="25">
        <f>IF(SUMIFS('Supp Consol'!S:S,'Supp Consol'!Y:Y,"Releasable",'Supp Consol'!A:A,O1271)=0,"",SUMIFS('Supp Consol'!S:S,'Supp Consol'!Y:Y,"Releasable",'Supp Consol'!A:A,O1271))</f>
        <v>2090</v>
      </c>
      <c r="AG1271" s="25">
        <f>IFERROR(INDEX('Hun Demand'!Q:Q,MATCH(O1271,'Hun Demand'!A:A,0)),"")</f>
        <v>92</v>
      </c>
      <c r="AH1271" s="25">
        <f>IFERROR(INDEX('Hun Demand'!H:H,MATCH($O1271,'Hun Demand'!$A:$A,0)),"")</f>
        <v>199</v>
      </c>
      <c r="AI1271" s="25" t="str">
        <f>IF(SUMIFS('Supp Consol'!AA:AA,'Supp Consol'!Z:Z,"Expires this month",'Supp Consol'!A:A,O1271)=0,"",SUMIFS('Supp Consol'!AA:AA,'Supp Consol'!Z:Z,"Expires this month",'Supp Consol'!A:A,O1271))</f>
        <v/>
      </c>
      <c r="AJ1271" s="25" t="str">
        <f>IF(SUMIFS('Supp Consol'!AA:AA,'Supp Consol'!Z:Z,"Expired Previous Months",'Supp Consol'!A:A,O1271)=0,"",SUMIFS('Supp Consol'!AA:AA,'Supp Consol'!Z:Z,"Expired Previous Months",'Supp Consol'!A:A,O1271))</f>
        <v/>
      </c>
      <c r="AK1271" s="25" t="str">
        <f>IFERROR(INDEX('Hun Release Current'!B:B,MATCH(O1271,'Hun Release Current'!A:A,0)),"")</f>
        <v/>
      </c>
      <c r="AL1271" s="25" t="str">
        <f>IF(SUMIF('Prev Aub'!A:A,O1271,'Prev Aub'!B:B)=0,"",SUMIF('Prev Aub'!A:A,O1271,'Prev Aub'!B:B))</f>
        <v/>
      </c>
      <c r="AN1271" s="25" t="s">
        <v>3790</v>
      </c>
      <c r="AO1271" s="25" t="s">
        <v>3790</v>
      </c>
      <c r="AP1271" s="25">
        <f t="shared" si="538"/>
        <v>0</v>
      </c>
      <c r="AQ1271" s="151" t="str">
        <f>IF(SUMIFS('Supp Consol'!S:S,'Supp Consol'!A:A,O1271,'Supp Consol'!I:I,"PENDING")=0,"",SUMIFS('Supp Consol'!S:S,'Supp Consol'!A:A,O1271,'Supp Consol'!I:I,"PENDING"))</f>
        <v/>
      </c>
      <c r="AR1271" s="27" t="str">
        <f t="shared" si="539"/>
        <v>WA030</v>
      </c>
      <c r="AS1271" s="27" t="str">
        <f t="shared" si="540"/>
        <v>50</v>
      </c>
      <c r="AT1271" s="27" t="str">
        <f t="shared" si="541"/>
        <v/>
      </c>
      <c r="AU1271" s="27" t="str">
        <f t="shared" si="542"/>
        <v/>
      </c>
      <c r="AV1271" s="27" t="str">
        <f t="shared" si="543"/>
        <v/>
      </c>
      <c r="AW1271" s="27" t="str">
        <f t="shared" si="544"/>
        <v/>
      </c>
      <c r="AX1271" s="27" t="str">
        <f t="shared" si="545"/>
        <v>WA030</v>
      </c>
      <c r="AY1271" s="27" t="str">
        <f t="shared" si="546"/>
        <v/>
      </c>
      <c r="AZ1271" s="27" t="str">
        <f t="shared" si="547"/>
        <v>Supp</v>
      </c>
      <c r="BA1271" s="27" t="str">
        <f t="shared" si="548"/>
        <v>Hun</v>
      </c>
      <c r="BB1271" s="27" t="str">
        <f t="shared" si="549"/>
        <v/>
      </c>
      <c r="BC1271" s="27" t="str">
        <f t="shared" si="550"/>
        <v/>
      </c>
      <c r="BD1271" s="27" t="str">
        <f t="shared" si="551"/>
        <v/>
      </c>
      <c r="BE1271" s="27" t="str">
        <f t="shared" si="552"/>
        <v/>
      </c>
      <c r="BF1271" s="27" t="str">
        <f t="shared" si="553"/>
        <v/>
      </c>
      <c r="BG1271" s="27" t="str">
        <f t="shared" si="554"/>
        <v/>
      </c>
      <c r="BH1271" s="27" t="str">
        <f t="shared" si="555"/>
        <v/>
      </c>
      <c r="BI1271" s="27" t="str">
        <f t="shared" si="556"/>
        <v/>
      </c>
      <c r="BJ1271" s="27" t="str">
        <f t="shared" si="557"/>
        <v>Supp or Hun</v>
      </c>
      <c r="BK1271" s="27" t="str">
        <f t="shared" si="558"/>
        <v/>
      </c>
      <c r="BL1271" s="27" t="str">
        <f t="shared" si="559"/>
        <v/>
      </c>
      <c r="BM1271" s="21" t="s">
        <v>5581</v>
      </c>
    </row>
    <row r="1272" spans="1:65" ht="15">
      <c r="A1272" s="25">
        <f>IFERROR(INDEX('Hun Demand'!W:W,MATCH(O1272,'Hun Demand'!A:A,0)),"")</f>
        <v>0</v>
      </c>
      <c r="B1272" s="25">
        <f>IFERROR(INDEX('Hun Demand'!V:V,MATCH(O1272,'Hun Demand'!A:A,0)),"")</f>
        <v>877</v>
      </c>
      <c r="C1272" s="25">
        <f>IFERROR(INDEX('Hun Demand'!U:U,MATCH(O1272,'Hun Demand'!A:A,0)),"")</f>
        <v>0</v>
      </c>
      <c r="D1272" s="25">
        <f>IFERROR(INDEX('Hun Demand'!T:T,MATCH(O1272,'Hun Demand'!A:A,0)),"")</f>
        <v>0</v>
      </c>
      <c r="E1272" s="25">
        <f>IFERROR(INDEX('Hun Demand'!S:S,MATCH(O1272,'Hun Demand'!A:A,0)),"")</f>
        <v>0</v>
      </c>
      <c r="F1272" s="25">
        <f>IFERROR(INDEX('Hun Demand'!R:R,MATCH(O1272,'Hun Demand'!A:A,0)),"")</f>
        <v>0</v>
      </c>
      <c r="G1272" s="25">
        <f>IFERROR(INDEX('Aub Demand'!W:W,MATCH(O1272,'Aub Demand'!A:A,0)),"")</f>
        <v>599</v>
      </c>
      <c r="H1272" s="25">
        <f>IFERROR(INDEX('Aub Demand'!V:V,MATCH(O1272,'Aub Demand'!A:A,0)),"")</f>
        <v>1055</v>
      </c>
      <c r="I1272" s="25">
        <f>IFERROR(INDEX('Aub Demand'!U:U,MATCH(O1272,'Aub Demand'!A:A,0)),"")</f>
        <v>168</v>
      </c>
      <c r="J1272" s="25">
        <f>IFERROR(INDEX('Aub Demand'!T:T,MATCH(O1272,'Aub Demand'!A:A,0)),"")</f>
        <v>210</v>
      </c>
      <c r="K1272" s="25">
        <f>IFERROR(INDEX('Aub Demand'!S:S,MATCH(O1272,'Aub Demand'!A:A,0)),"")</f>
        <v>0</v>
      </c>
      <c r="L1272" s="25">
        <f>IFERROR(INDEX('Aub Demand'!R:R,MATCH(O1272,'Aub Demand'!A:A,0)),"")</f>
        <v>0</v>
      </c>
      <c r="O1272" s="27" t="s">
        <v>1588</v>
      </c>
      <c r="P1272" s="27" t="str">
        <f>IFERROR(INDEX('Aub Demand'!B:B,MATCH($O1272,'Aub Demand'!$A:$A,0)),"")</f>
        <v>PICNIC IN THE PARK</v>
      </c>
      <c r="Q1272" s="27" t="str">
        <f>IFERROR(INDEX('Aub Demand'!C:C,MATCH($O1272,'Aub Demand'!$A:$A,0)),"")</f>
        <v>IMPRE</v>
      </c>
      <c r="R1272" s="52">
        <f>IFERROR(IF(AR1273=AR1272,INDEX('Aub Demand'!K:K,MATCH($O1272,'Aub Demand'!$A:$A,0))-IF(AN1272="",0,AN1272)+AP1273,INDEX('Aub Demand'!K:K,MATCH($O1272,'Aub Demand'!$A:$A,0))-IF(AN1272="",0,AN1272)),"")</f>
        <v>9682</v>
      </c>
      <c r="S1272" s="53">
        <f t="shared" si="532"/>
        <v>329.3</v>
      </c>
      <c r="T1272" s="52" t="str">
        <f t="shared" si="533"/>
        <v/>
      </c>
      <c r="U1272" s="52">
        <f>IFERROR(IF(AR1273=AR1272,INDEX('Aub Demand'!Q:Q,MATCH($O1272,'Aub Demand'!$A:$A,0))-IF(AN1272="",0,AN1272)+AP1273,INDEX('Aub Demand'!Q:Q,MATCH($O1272,'Aub Demand'!$A:$A,0))-IF(AN1272="",0,AN1272)),"")</f>
        <v>9665</v>
      </c>
      <c r="V1272" s="53">
        <f t="shared" si="534"/>
        <v>328.7</v>
      </c>
      <c r="W1272" s="52" t="str">
        <f t="shared" si="535"/>
        <v/>
      </c>
      <c r="X1272" s="52">
        <f>IFERROR(IF(AND(AR1273=AR1272,AM1272&lt;&gt;""),INDEX('Aub Demand'!Q:Q,MATCH($O1272,'Aub Demand'!$A:$A,0))-IF(AN1272="",0,AN1272)+AP1273+AD1272+AL1272,IF(AR1273=AR1272,INDEX('Aub Demand'!Q:Q,MATCH($O1272,'Aub Demand'!$A:$A,0))-IF(AN1272="",0,AN1272)+AP1273+AD1272,IF(AM1272&lt;&gt;"",INDEX('Aub Demand'!Q:Q,MATCH($O1272,'Aub Demand'!$A:$A,0))-IF(AN1272="",0,AN1272)+AD1272+AL1272,INDEX('Aub Demand'!Q:Q,MATCH($O1272,'Aub Demand'!$A:$A,0))-IF(AN1272="",0,AN1272)+AD1272))),"")</f>
        <v>9665</v>
      </c>
      <c r="Y1272" s="53">
        <f t="shared" si="536"/>
        <v>328.7</v>
      </c>
      <c r="Z1272" s="52">
        <f>IF(L1272="","",INDEX('Aub Demand'!H:H,MATCH($O1272,'Aub Demand'!$A:$A,0)))</f>
        <v>126</v>
      </c>
      <c r="AA1272" s="52">
        <f t="shared" si="537"/>
        <v>189</v>
      </c>
      <c r="AB1272" s="52">
        <f>IFERROR(INDEX('Aub Demand'!L:L,MATCH($O1272,'Aub Demand'!$A:$A,0)),"")</f>
        <v>58</v>
      </c>
      <c r="AC1272" s="52">
        <f>IFERROR(IF(O1272="","",SUMIFS('CPL Mats'!F:F,'CPL Mats'!Q:Q,AR1272,'CPL Mats'!S:S,AS1272)),"")</f>
        <v>0</v>
      </c>
      <c r="AF1272" s="25">
        <f>IF(SUMIFS('Supp Consol'!S:S,'Supp Consol'!Y:Y,"Releasable",'Supp Consol'!A:A,O1272)=0,"",SUMIFS('Supp Consol'!S:S,'Supp Consol'!Y:Y,"Releasable",'Supp Consol'!A:A,O1272))</f>
        <v>2235</v>
      </c>
      <c r="AG1272" s="25">
        <f>IFERROR(INDEX('Hun Demand'!Q:Q,MATCH(O1272,'Hun Demand'!A:A,0)),"")</f>
        <v>476</v>
      </c>
      <c r="AH1272" s="25">
        <f>IFERROR(INDEX('Hun Demand'!H:H,MATCH($O1272,'Hun Demand'!$A:$A,0)),"")</f>
        <v>0</v>
      </c>
      <c r="AI1272" s="25" t="str">
        <f>IF(SUMIFS('Supp Consol'!AA:AA,'Supp Consol'!Z:Z,"Expires this month",'Supp Consol'!A:A,O1272)=0,"",SUMIFS('Supp Consol'!AA:AA,'Supp Consol'!Z:Z,"Expires this month",'Supp Consol'!A:A,O1272))</f>
        <v/>
      </c>
      <c r="AJ1272" s="25" t="str">
        <f>IF(SUMIFS('Supp Consol'!AA:AA,'Supp Consol'!Z:Z,"Expired Previous Months",'Supp Consol'!A:A,O1272)=0,"",SUMIFS('Supp Consol'!AA:AA,'Supp Consol'!Z:Z,"Expired Previous Months",'Supp Consol'!A:A,O1272))</f>
        <v/>
      </c>
      <c r="AK1272" s="25" t="str">
        <f>IFERROR(INDEX('Hun Release Current'!B:B,MATCH(O1272,'Hun Release Current'!A:A,0)),"")</f>
        <v/>
      </c>
      <c r="AL1272" s="25" t="str">
        <f>IF(SUMIF('Prev Aub'!A:A,O1272,'Prev Aub'!B:B)=0,"",SUMIF('Prev Aub'!A:A,O1272,'Prev Aub'!B:B))</f>
        <v/>
      </c>
      <c r="AN1272" s="25" t="s">
        <v>3790</v>
      </c>
      <c r="AO1272" s="25" t="s">
        <v>3790</v>
      </c>
      <c r="AP1272" s="25">
        <f t="shared" si="538"/>
        <v>0</v>
      </c>
      <c r="AQ1272" s="151" t="str">
        <f>IF(SUMIFS('Supp Consol'!S:S,'Supp Consol'!A:A,O1272,'Supp Consol'!I:I,"PENDING")=0,"",SUMIFS('Supp Consol'!S:S,'Supp Consol'!A:A,O1272,'Supp Consol'!I:I,"PENDING"))</f>
        <v/>
      </c>
      <c r="AR1272" s="27" t="str">
        <f t="shared" si="539"/>
        <v>WA030</v>
      </c>
      <c r="AS1272" s="27" t="str">
        <f t="shared" si="540"/>
        <v>62</v>
      </c>
      <c r="AT1272" s="27" t="str">
        <f t="shared" si="541"/>
        <v/>
      </c>
      <c r="AU1272" s="27" t="str">
        <f t="shared" si="542"/>
        <v/>
      </c>
      <c r="AV1272" s="27" t="str">
        <f t="shared" si="543"/>
        <v/>
      </c>
      <c r="AW1272" s="27" t="str">
        <f t="shared" si="544"/>
        <v/>
      </c>
      <c r="AX1272" s="27" t="str">
        <f t="shared" si="545"/>
        <v>WA030</v>
      </c>
      <c r="AY1272" s="27" t="str">
        <f t="shared" si="546"/>
        <v>WA030</v>
      </c>
      <c r="AZ1272" s="27" t="str">
        <f t="shared" si="547"/>
        <v>Supp</v>
      </c>
      <c r="BA1272" s="27" t="str">
        <f t="shared" si="548"/>
        <v>Hun</v>
      </c>
      <c r="BB1272" s="27" t="str">
        <f t="shared" si="549"/>
        <v/>
      </c>
      <c r="BC1272" s="27" t="str">
        <f t="shared" si="550"/>
        <v/>
      </c>
      <c r="BD1272" s="27" t="str">
        <f t="shared" si="551"/>
        <v/>
      </c>
      <c r="BE1272" s="27" t="str">
        <f t="shared" si="552"/>
        <v/>
      </c>
      <c r="BF1272" s="27" t="str">
        <f t="shared" si="553"/>
        <v/>
      </c>
      <c r="BG1272" s="27" t="str">
        <f t="shared" si="554"/>
        <v/>
      </c>
      <c r="BH1272" s="27" t="str">
        <f t="shared" si="555"/>
        <v/>
      </c>
      <c r="BI1272" s="27" t="str">
        <f t="shared" si="556"/>
        <v/>
      </c>
      <c r="BJ1272" s="27" t="str">
        <f t="shared" si="557"/>
        <v>Supp or Hun</v>
      </c>
      <c r="BK1272" s="27" t="str">
        <f t="shared" si="558"/>
        <v/>
      </c>
      <c r="BL1272" s="27" t="str">
        <f t="shared" si="559"/>
        <v/>
      </c>
      <c r="BM1272" s="21" t="s">
        <v>5581</v>
      </c>
    </row>
    <row r="1273" spans="1:65" ht="15">
      <c r="A1273" s="25">
        <f>IFERROR(INDEX('Hun Demand'!W:W,MATCH(O1273,'Hun Demand'!A:A,0)),"")</f>
        <v>0</v>
      </c>
      <c r="B1273" s="25">
        <f>IFERROR(INDEX('Hun Demand'!V:V,MATCH(O1273,'Hun Demand'!A:A,0)),"")</f>
        <v>0</v>
      </c>
      <c r="C1273" s="25">
        <f>IFERROR(INDEX('Hun Demand'!U:U,MATCH(O1273,'Hun Demand'!A:A,0)),"")</f>
        <v>0</v>
      </c>
      <c r="D1273" s="25">
        <f>IFERROR(INDEX('Hun Demand'!T:T,MATCH(O1273,'Hun Demand'!A:A,0)),"")</f>
        <v>0</v>
      </c>
      <c r="E1273" s="25">
        <f>IFERROR(INDEX('Hun Demand'!S:S,MATCH(O1273,'Hun Demand'!A:A,0)),"")</f>
        <v>0</v>
      </c>
      <c r="F1273" s="25">
        <f>IFERROR(INDEX('Hun Demand'!R:R,MATCH(O1273,'Hun Demand'!A:A,0)),"")</f>
        <v>0</v>
      </c>
      <c r="G1273" s="25">
        <f>IFERROR(INDEX('Aub Demand'!W:W,MATCH(O1273,'Aub Demand'!A:A,0)),"")</f>
        <v>140</v>
      </c>
      <c r="H1273" s="25">
        <f>IFERROR(INDEX('Aub Demand'!V:V,MATCH(O1273,'Aub Demand'!A:A,0)),"")</f>
        <v>109</v>
      </c>
      <c r="I1273" s="25">
        <f>IFERROR(INDEX('Aub Demand'!U:U,MATCH(O1273,'Aub Demand'!A:A,0)),"")</f>
        <v>83</v>
      </c>
      <c r="J1273" s="25">
        <f>IFERROR(INDEX('Aub Demand'!T:T,MATCH(O1273,'Aub Demand'!A:A,0)),"")</f>
        <v>110</v>
      </c>
      <c r="K1273" s="25">
        <f>IFERROR(INDEX('Aub Demand'!S:S,MATCH(O1273,'Aub Demand'!A:A,0)),"")</f>
        <v>48</v>
      </c>
      <c r="L1273" s="25">
        <f>IFERROR(INDEX('Aub Demand'!R:R,MATCH(O1273,'Aub Demand'!A:A,0)),"")</f>
        <v>60</v>
      </c>
      <c r="O1273" s="27" t="s">
        <v>1589</v>
      </c>
      <c r="P1273" s="27" t="str">
        <f>IFERROR(INDEX('Aub Demand'!B:B,MATCH($O1273,'Aub Demand'!$A:$A,0)),"")</f>
        <v>DINING BY CANDLELIGH</v>
      </c>
      <c r="Q1273" s="27" t="str">
        <f>IFERROR(INDEX('Aub Demand'!C:C,MATCH($O1273,'Aub Demand'!$A:$A,0)),"")</f>
        <v>IMPRE</v>
      </c>
      <c r="R1273" s="52">
        <f>IFERROR(IF(AR1274=AR1273,INDEX('Aub Demand'!K:K,MATCH($O1273,'Aub Demand'!$A:$A,0))-IF(AN1273="",0,AN1273)+AP1274,INDEX('Aub Demand'!K:K,MATCH($O1273,'Aub Demand'!$A:$A,0))-IF(AN1273="",0,AN1273)),"")</f>
        <v>2694</v>
      </c>
      <c r="S1273" s="53">
        <f t="shared" si="532"/>
        <v>144.30000000000001</v>
      </c>
      <c r="T1273" s="52" t="str">
        <f t="shared" si="533"/>
        <v/>
      </c>
      <c r="U1273" s="52">
        <f>IFERROR(IF(AR1274=AR1273,INDEX('Aub Demand'!Q:Q,MATCH($O1273,'Aub Demand'!$A:$A,0))-IF(AN1273="",0,AN1273)+AP1274,INDEX('Aub Demand'!Q:Q,MATCH($O1273,'Aub Demand'!$A:$A,0))-IF(AN1273="",0,AN1273)),"")</f>
        <v>2678</v>
      </c>
      <c r="V1273" s="53">
        <f t="shared" si="534"/>
        <v>143.5</v>
      </c>
      <c r="W1273" s="52" t="str">
        <f t="shared" si="535"/>
        <v/>
      </c>
      <c r="X1273" s="52">
        <f>IFERROR(IF(AND(AR1274=AR1273,AM1273&lt;&gt;""),INDEX('Aub Demand'!Q:Q,MATCH($O1273,'Aub Demand'!$A:$A,0))-IF(AN1273="",0,AN1273)+AP1274+AD1273+AL1273,IF(AR1274=AR1273,INDEX('Aub Demand'!Q:Q,MATCH($O1273,'Aub Demand'!$A:$A,0))-IF(AN1273="",0,AN1273)+AP1274+AD1273,IF(AM1273&lt;&gt;"",INDEX('Aub Demand'!Q:Q,MATCH($O1273,'Aub Demand'!$A:$A,0))-IF(AN1273="",0,AN1273)+AD1273+AL1273,INDEX('Aub Demand'!Q:Q,MATCH($O1273,'Aub Demand'!$A:$A,0))-IF(AN1273="",0,AN1273)+AD1273))),"")</f>
        <v>2678</v>
      </c>
      <c r="Y1273" s="53">
        <f t="shared" si="536"/>
        <v>143.5</v>
      </c>
      <c r="Z1273" s="52">
        <f>IF(L1273="","",INDEX('Aub Demand'!H:H,MATCH($O1273,'Aub Demand'!$A:$A,0)))</f>
        <v>80</v>
      </c>
      <c r="AA1273" s="52">
        <f t="shared" si="537"/>
        <v>96.5</v>
      </c>
      <c r="AB1273" s="52">
        <f>IFERROR(INDEX('Aub Demand'!L:L,MATCH($O1273,'Aub Demand'!$A:$A,0)),"")</f>
        <v>65</v>
      </c>
      <c r="AC1273" s="52">
        <f>IFERROR(IF(O1273="","",SUMIFS('CPL Mats'!F:F,'CPL Mats'!Q:Q,AR1273,'CPL Mats'!S:S,AS1273)),"")</f>
        <v>0</v>
      </c>
      <c r="AF1273" s="25" t="str">
        <f>IF(SUMIFS('Supp Consol'!S:S,'Supp Consol'!Y:Y,"Releasable",'Supp Consol'!A:A,O1273)=0,"",SUMIFS('Supp Consol'!S:S,'Supp Consol'!Y:Y,"Releasable",'Supp Consol'!A:A,O1273))</f>
        <v/>
      </c>
      <c r="AG1273" s="25">
        <f>IFERROR(INDEX('Hun Demand'!Q:Q,MATCH(O1273,'Hun Demand'!A:A,0)),"")</f>
        <v>129</v>
      </c>
      <c r="AH1273" s="25">
        <f>IFERROR(INDEX('Hun Demand'!H:H,MATCH($O1273,'Hun Demand'!$A:$A,0)),"")</f>
        <v>0</v>
      </c>
      <c r="AI1273" s="25" t="str">
        <f>IF(SUMIFS('Supp Consol'!AA:AA,'Supp Consol'!Z:Z,"Expires this month",'Supp Consol'!A:A,O1273)=0,"",SUMIFS('Supp Consol'!AA:AA,'Supp Consol'!Z:Z,"Expires this month",'Supp Consol'!A:A,O1273))</f>
        <v/>
      </c>
      <c r="AJ1273" s="25" t="str">
        <f>IF(SUMIFS('Supp Consol'!AA:AA,'Supp Consol'!Z:Z,"Expired Previous Months",'Supp Consol'!A:A,O1273)=0,"",SUMIFS('Supp Consol'!AA:AA,'Supp Consol'!Z:Z,"Expired Previous Months",'Supp Consol'!A:A,O1273))</f>
        <v/>
      </c>
      <c r="AK1273" s="25" t="str">
        <f>IFERROR(INDEX('Hun Release Current'!B:B,MATCH(O1273,'Hun Release Current'!A:A,0)),"")</f>
        <v/>
      </c>
      <c r="AL1273" s="25" t="str">
        <f>IF(SUMIF('Prev Aub'!A:A,O1273,'Prev Aub'!B:B)=0,"",SUMIF('Prev Aub'!A:A,O1273,'Prev Aub'!B:B))</f>
        <v/>
      </c>
      <c r="AN1273" s="25" t="s">
        <v>3790</v>
      </c>
      <c r="AO1273" s="25" t="s">
        <v>3790</v>
      </c>
      <c r="AP1273" s="25">
        <f t="shared" si="538"/>
        <v>0</v>
      </c>
      <c r="AQ1273" s="151" t="str">
        <f>IF(SUMIFS('Supp Consol'!S:S,'Supp Consol'!A:A,O1273,'Supp Consol'!I:I,"PENDING")=0,"",SUMIFS('Supp Consol'!S:S,'Supp Consol'!A:A,O1273,'Supp Consol'!I:I,"PENDING"))</f>
        <v/>
      </c>
      <c r="AR1273" s="27" t="str">
        <f t="shared" si="539"/>
        <v>WA090</v>
      </c>
      <c r="AS1273" s="27" t="str">
        <f t="shared" si="540"/>
        <v>50</v>
      </c>
      <c r="AT1273" s="27" t="str">
        <f t="shared" si="541"/>
        <v/>
      </c>
      <c r="AU1273" s="27" t="str">
        <f t="shared" si="542"/>
        <v/>
      </c>
      <c r="AV1273" s="27" t="str">
        <f t="shared" si="543"/>
        <v/>
      </c>
      <c r="AW1273" s="27" t="str">
        <f t="shared" si="544"/>
        <v/>
      </c>
      <c r="AX1273" s="27" t="str">
        <f t="shared" si="545"/>
        <v/>
      </c>
      <c r="AY1273" s="27" t="str">
        <f t="shared" si="546"/>
        <v>WA090</v>
      </c>
      <c r="AZ1273" s="27" t="str">
        <f t="shared" si="547"/>
        <v/>
      </c>
      <c r="BA1273" s="27" t="str">
        <f t="shared" si="548"/>
        <v>Hun</v>
      </c>
      <c r="BB1273" s="27" t="str">
        <f t="shared" si="549"/>
        <v/>
      </c>
      <c r="BC1273" s="27" t="str">
        <f t="shared" si="550"/>
        <v/>
      </c>
      <c r="BD1273" s="27" t="str">
        <f t="shared" si="551"/>
        <v/>
      </c>
      <c r="BE1273" s="27" t="str">
        <f t="shared" si="552"/>
        <v/>
      </c>
      <c r="BF1273" s="27" t="str">
        <f t="shared" si="553"/>
        <v/>
      </c>
      <c r="BG1273" s="27" t="str">
        <f t="shared" si="554"/>
        <v/>
      </c>
      <c r="BH1273" s="27" t="str">
        <f t="shared" si="555"/>
        <v/>
      </c>
      <c r="BI1273" s="27" t="str">
        <f t="shared" si="556"/>
        <v/>
      </c>
      <c r="BJ1273" s="27" t="str">
        <f t="shared" si="557"/>
        <v>Supp or Hun</v>
      </c>
      <c r="BK1273" s="27" t="str">
        <f t="shared" si="558"/>
        <v/>
      </c>
      <c r="BL1273" s="27" t="str">
        <f t="shared" si="559"/>
        <v/>
      </c>
      <c r="BM1273" s="21" t="s">
        <v>5581</v>
      </c>
    </row>
    <row r="1274" spans="1:65" ht="15">
      <c r="A1274" s="25" t="str">
        <f>IFERROR(INDEX('Hun Demand'!W:W,MATCH(O1274,'Hun Demand'!A:A,0)),"")</f>
        <v/>
      </c>
      <c r="B1274" s="25" t="str">
        <f>IFERROR(INDEX('Hun Demand'!V:V,MATCH(O1274,'Hun Demand'!A:A,0)),"")</f>
        <v/>
      </c>
      <c r="C1274" s="25" t="str">
        <f>IFERROR(INDEX('Hun Demand'!U:U,MATCH(O1274,'Hun Demand'!A:A,0)),"")</f>
        <v/>
      </c>
      <c r="D1274" s="25" t="str">
        <f>IFERROR(INDEX('Hun Demand'!T:T,MATCH(O1274,'Hun Demand'!A:A,0)),"")</f>
        <v/>
      </c>
      <c r="E1274" s="25" t="str">
        <f>IFERROR(INDEX('Hun Demand'!S:S,MATCH(O1274,'Hun Demand'!A:A,0)),"")</f>
        <v/>
      </c>
      <c r="F1274" s="25" t="str">
        <f>IFERROR(INDEX('Hun Demand'!R:R,MATCH(O1274,'Hun Demand'!A:A,0)),"")</f>
        <v/>
      </c>
      <c r="G1274" s="25">
        <f>IFERROR(INDEX('Aub Demand'!W:W,MATCH(O1274,'Aub Demand'!A:A,0)),"")</f>
        <v>50</v>
      </c>
      <c r="H1274" s="25">
        <f>IFERROR(INDEX('Aub Demand'!V:V,MATCH(O1274,'Aub Demand'!A:A,0)),"")</f>
        <v>47</v>
      </c>
      <c r="I1274" s="25">
        <f>IFERROR(INDEX('Aub Demand'!U:U,MATCH(O1274,'Aub Demand'!A:A,0)),"")</f>
        <v>97</v>
      </c>
      <c r="J1274" s="25">
        <f>IFERROR(INDEX('Aub Demand'!T:T,MATCH(O1274,'Aub Demand'!A:A,0)),"")</f>
        <v>101</v>
      </c>
      <c r="K1274" s="25">
        <f>IFERROR(INDEX('Aub Demand'!S:S,MATCH(O1274,'Aub Demand'!A:A,0)),"")</f>
        <v>0</v>
      </c>
      <c r="L1274" s="25">
        <f>IFERROR(INDEX('Aub Demand'!R:R,MATCH(O1274,'Aub Demand'!A:A,0)),"")</f>
        <v>0</v>
      </c>
      <c r="O1274" s="27" t="s">
        <v>1591</v>
      </c>
      <c r="P1274" s="27" t="str">
        <f>IFERROR(INDEX('Aub Demand'!B:B,MATCH($O1274,'Aub Demand'!$A:$A,0)),"")</f>
        <v>DINING BY CANDLELIGH</v>
      </c>
      <c r="Q1274" s="27" t="str">
        <f>IFERROR(INDEX('Aub Demand'!C:C,MATCH($O1274,'Aub Demand'!$A:$A,0)),"")</f>
        <v>IMPRE</v>
      </c>
      <c r="R1274" s="52">
        <f>IFERROR(IF(AR1275=AR1274,INDEX('Aub Demand'!K:K,MATCH($O1274,'Aub Demand'!$A:$A,0))-IF(AN1274="",0,AN1274)+AP1275,INDEX('Aub Demand'!K:K,MATCH($O1274,'Aub Demand'!$A:$A,0))-IF(AN1274="",0,AN1274)),"")</f>
        <v>858</v>
      </c>
      <c r="S1274" s="53">
        <f t="shared" si="532"/>
        <v>55.7</v>
      </c>
      <c r="T1274" s="52" t="str">
        <f t="shared" si="533"/>
        <v/>
      </c>
      <c r="U1274" s="52">
        <f>IFERROR(IF(AR1275=AR1274,INDEX('Aub Demand'!Q:Q,MATCH($O1274,'Aub Demand'!$A:$A,0))-IF(AN1274="",0,AN1274)+AP1275,INDEX('Aub Demand'!Q:Q,MATCH($O1274,'Aub Demand'!$A:$A,0))-IF(AN1274="",0,AN1274)),"")</f>
        <v>806</v>
      </c>
      <c r="V1274" s="53">
        <f t="shared" si="534"/>
        <v>52.3</v>
      </c>
      <c r="W1274" s="52" t="str">
        <f t="shared" si="535"/>
        <v/>
      </c>
      <c r="X1274" s="52">
        <f>IFERROR(IF(AND(AR1275=AR1274,AM1274&lt;&gt;""),INDEX('Aub Demand'!Q:Q,MATCH($O1274,'Aub Demand'!$A:$A,0))-IF(AN1274="",0,AN1274)+AP1275+AD1274+AL1274,IF(AR1275=AR1274,INDEX('Aub Demand'!Q:Q,MATCH($O1274,'Aub Demand'!$A:$A,0))-IF(AN1274="",0,AN1274)+AP1275+AD1274,IF(AM1274&lt;&gt;"",INDEX('Aub Demand'!Q:Q,MATCH($O1274,'Aub Demand'!$A:$A,0))-IF(AN1274="",0,AN1274)+AD1274+AL1274,INDEX('Aub Demand'!Q:Q,MATCH($O1274,'Aub Demand'!$A:$A,0))-IF(AN1274="",0,AN1274)+AD1274))),"")</f>
        <v>806</v>
      </c>
      <c r="Y1274" s="53">
        <f t="shared" si="536"/>
        <v>52.3</v>
      </c>
      <c r="Z1274" s="52">
        <f>IF(L1274="","",INDEX('Aub Demand'!H:H,MATCH($O1274,'Aub Demand'!$A:$A,0)))</f>
        <v>66</v>
      </c>
      <c r="AA1274" s="52">
        <f t="shared" si="537"/>
        <v>99</v>
      </c>
      <c r="AB1274" s="52">
        <f>IFERROR(INDEX('Aub Demand'!L:L,MATCH($O1274,'Aub Demand'!$A:$A,0)),"")</f>
        <v>46</v>
      </c>
      <c r="AC1274" s="52">
        <f>IFERROR(IF(O1274="","",SUMIFS('CPL Mats'!F:F,'CPL Mats'!Q:Q,AR1274,'CPL Mats'!S:S,AS1274)),"")</f>
        <v>0</v>
      </c>
      <c r="AF1274" s="25" t="str">
        <f>IF(SUMIFS('Supp Consol'!S:S,'Supp Consol'!Y:Y,"Releasable",'Supp Consol'!A:A,O1274)=0,"",SUMIFS('Supp Consol'!S:S,'Supp Consol'!Y:Y,"Releasable",'Supp Consol'!A:A,O1274))</f>
        <v/>
      </c>
      <c r="AG1274" s="25" t="str">
        <f>IFERROR(INDEX('Hun Demand'!Q:Q,MATCH(O1274,'Hun Demand'!A:A,0)),"")</f>
        <v/>
      </c>
      <c r="AH1274" s="25" t="str">
        <f>IFERROR(INDEX('Hun Demand'!H:H,MATCH($O1274,'Hun Demand'!$A:$A,0)),"")</f>
        <v/>
      </c>
      <c r="AI1274" s="25" t="str">
        <f>IF(SUMIFS('Supp Consol'!AA:AA,'Supp Consol'!Z:Z,"Expires this month",'Supp Consol'!A:A,O1274)=0,"",SUMIFS('Supp Consol'!AA:AA,'Supp Consol'!Z:Z,"Expires this month",'Supp Consol'!A:A,O1274))</f>
        <v/>
      </c>
      <c r="AJ1274" s="25" t="str">
        <f>IF(SUMIFS('Supp Consol'!AA:AA,'Supp Consol'!Z:Z,"Expired Previous Months",'Supp Consol'!A:A,O1274)=0,"",SUMIFS('Supp Consol'!AA:AA,'Supp Consol'!Z:Z,"Expired Previous Months",'Supp Consol'!A:A,O1274))</f>
        <v/>
      </c>
      <c r="AK1274" s="25" t="str">
        <f>IFERROR(INDEX('Hun Release Current'!B:B,MATCH(O1274,'Hun Release Current'!A:A,0)),"")</f>
        <v/>
      </c>
      <c r="AL1274" s="25" t="str">
        <f>IF(SUMIF('Prev Aub'!A:A,O1274,'Prev Aub'!B:B)=0,"",SUMIF('Prev Aub'!A:A,O1274,'Prev Aub'!B:B))</f>
        <v/>
      </c>
      <c r="AN1274" s="25" t="s">
        <v>3790</v>
      </c>
      <c r="AO1274" s="25" t="s">
        <v>3790</v>
      </c>
      <c r="AP1274" s="25">
        <f t="shared" si="538"/>
        <v>0</v>
      </c>
      <c r="AQ1274" s="151" t="str">
        <f>IF(SUMIFS('Supp Consol'!S:S,'Supp Consol'!A:A,O1274,'Supp Consol'!I:I,"PENDING")=0,"",SUMIFS('Supp Consol'!S:S,'Supp Consol'!A:A,O1274,'Supp Consol'!I:I,"PENDING"))</f>
        <v/>
      </c>
      <c r="AR1274" s="27" t="str">
        <f t="shared" si="539"/>
        <v>WA090</v>
      </c>
      <c r="AS1274" s="27" t="str">
        <f t="shared" si="540"/>
        <v>62</v>
      </c>
      <c r="AT1274" s="27" t="str">
        <f t="shared" si="541"/>
        <v/>
      </c>
      <c r="AU1274" s="27" t="str">
        <f t="shared" si="542"/>
        <v/>
      </c>
      <c r="AV1274" s="27" t="str">
        <f t="shared" si="543"/>
        <v/>
      </c>
      <c r="AW1274" s="27" t="str">
        <f t="shared" si="544"/>
        <v/>
      </c>
      <c r="AX1274" s="27" t="str">
        <f t="shared" si="545"/>
        <v/>
      </c>
      <c r="AY1274" s="27" t="str">
        <f t="shared" si="546"/>
        <v/>
      </c>
      <c r="AZ1274" s="27" t="str">
        <f t="shared" si="547"/>
        <v/>
      </c>
      <c r="BA1274" s="27" t="str">
        <f t="shared" si="548"/>
        <v>Hun</v>
      </c>
      <c r="BB1274" s="27" t="str">
        <f t="shared" si="549"/>
        <v/>
      </c>
      <c r="BC1274" s="27" t="str">
        <f t="shared" si="550"/>
        <v/>
      </c>
      <c r="BD1274" s="27" t="str">
        <f t="shared" si="551"/>
        <v/>
      </c>
      <c r="BE1274" s="27" t="str">
        <f t="shared" si="552"/>
        <v/>
      </c>
      <c r="BF1274" s="27" t="str">
        <f t="shared" si="553"/>
        <v/>
      </c>
      <c r="BG1274" s="27" t="str">
        <f t="shared" si="554"/>
        <v/>
      </c>
      <c r="BH1274" s="27" t="str">
        <f t="shared" si="555"/>
        <v/>
      </c>
      <c r="BI1274" s="27" t="str">
        <f t="shared" si="556"/>
        <v/>
      </c>
      <c r="BJ1274" s="27" t="str">
        <f t="shared" si="557"/>
        <v>Supp or Hun</v>
      </c>
      <c r="BK1274" s="27" t="str">
        <f t="shared" si="558"/>
        <v/>
      </c>
      <c r="BL1274" s="27" t="str">
        <f t="shared" si="559"/>
        <v/>
      </c>
      <c r="BM1274" s="21" t="s">
        <v>5581</v>
      </c>
    </row>
    <row r="1275" spans="1:65" ht="15">
      <c r="A1275" s="25" t="str">
        <f>IFERROR(INDEX('Hun Demand'!W:W,MATCH(O1275,'Hun Demand'!A:A,0)),"")</f>
        <v/>
      </c>
      <c r="B1275" s="25" t="str">
        <f>IFERROR(INDEX('Hun Demand'!V:V,MATCH(O1275,'Hun Demand'!A:A,0)),"")</f>
        <v/>
      </c>
      <c r="C1275" s="25" t="str">
        <f>IFERROR(INDEX('Hun Demand'!U:U,MATCH(O1275,'Hun Demand'!A:A,0)),"")</f>
        <v/>
      </c>
      <c r="D1275" s="25" t="str">
        <f>IFERROR(INDEX('Hun Demand'!T:T,MATCH(O1275,'Hun Demand'!A:A,0)),"")</f>
        <v/>
      </c>
      <c r="E1275" s="25" t="str">
        <f>IFERROR(INDEX('Hun Demand'!S:S,MATCH(O1275,'Hun Demand'!A:A,0)),"")</f>
        <v/>
      </c>
      <c r="F1275" s="25" t="str">
        <f>IFERROR(INDEX('Hun Demand'!R:R,MATCH(O1275,'Hun Demand'!A:A,0)),"")</f>
        <v/>
      </c>
      <c r="G1275" s="25">
        <f>IFERROR(INDEX('Aub Demand'!W:W,MATCH(O1275,'Aub Demand'!A:A,0)),"")</f>
        <v>0</v>
      </c>
      <c r="H1275" s="25">
        <f>IFERROR(INDEX('Aub Demand'!V:V,MATCH(O1275,'Aub Demand'!A:A,0)),"")</f>
        <v>0</v>
      </c>
      <c r="I1275" s="25">
        <f>IFERROR(INDEX('Aub Demand'!U:U,MATCH(O1275,'Aub Demand'!A:A,0)),"")</f>
        <v>0</v>
      </c>
      <c r="J1275" s="25">
        <f>IFERROR(INDEX('Aub Demand'!T:T,MATCH(O1275,'Aub Demand'!A:A,0)),"")</f>
        <v>0</v>
      </c>
      <c r="K1275" s="25">
        <f>IFERROR(INDEX('Aub Demand'!S:S,MATCH(O1275,'Aub Demand'!A:A,0)),"")</f>
        <v>7</v>
      </c>
      <c r="L1275" s="25">
        <f>IFERROR(INDEX('Aub Demand'!R:R,MATCH(O1275,'Aub Demand'!A:A,0)),"")</f>
        <v>0</v>
      </c>
      <c r="O1275" s="27" t="s">
        <v>1592</v>
      </c>
      <c r="P1275" s="27" t="str">
        <f>IFERROR(INDEX('Aub Demand'!B:B,MATCH($O1275,'Aub Demand'!$A:$A,0)),"")</f>
        <v>CATCHING FIREFLIES (</v>
      </c>
      <c r="Q1275" s="27" t="str">
        <f>IFERROR(INDEX('Aub Demand'!C:C,MATCH($O1275,'Aub Demand'!$A:$A,0)),"")</f>
        <v>IMPRE</v>
      </c>
      <c r="R1275" s="52">
        <f>IFERROR(IF(AR1276=AR1275,INDEX('Aub Demand'!K:K,MATCH($O1275,'Aub Demand'!$A:$A,0))-IF(AN1275="",0,AN1275)+AP1276,INDEX('Aub Demand'!K:K,MATCH($O1275,'Aub Demand'!$A:$A,0))-IF(AN1275="",0,AN1275)),"")</f>
        <v>43</v>
      </c>
      <c r="S1275" s="53">
        <f t="shared" si="532"/>
        <v>92.1</v>
      </c>
      <c r="T1275" s="52" t="str">
        <f t="shared" si="533"/>
        <v/>
      </c>
      <c r="U1275" s="52">
        <f>IFERROR(IF(AR1276=AR1275,INDEX('Aub Demand'!Q:Q,MATCH($O1275,'Aub Demand'!$A:$A,0))-IF(AN1275="",0,AN1275)+AP1276,INDEX('Aub Demand'!Q:Q,MATCH($O1275,'Aub Demand'!$A:$A,0))-IF(AN1275="",0,AN1275)),"")</f>
        <v>43</v>
      </c>
      <c r="V1275" s="53">
        <f t="shared" si="534"/>
        <v>92.1</v>
      </c>
      <c r="W1275" s="52" t="str">
        <f t="shared" si="535"/>
        <v/>
      </c>
      <c r="X1275" s="52">
        <f>IFERROR(IF(AND(AR1276=AR1275,AM1275&lt;&gt;""),INDEX('Aub Demand'!Q:Q,MATCH($O1275,'Aub Demand'!$A:$A,0))-IF(AN1275="",0,AN1275)+AP1276+AD1275+AL1275,IF(AR1276=AR1275,INDEX('Aub Demand'!Q:Q,MATCH($O1275,'Aub Demand'!$A:$A,0))-IF(AN1275="",0,AN1275)+AP1276+AD1275,IF(AM1275&lt;&gt;"",INDEX('Aub Demand'!Q:Q,MATCH($O1275,'Aub Demand'!$A:$A,0))-IF(AN1275="",0,AN1275)+AD1275+AL1275,INDEX('Aub Demand'!Q:Q,MATCH($O1275,'Aub Demand'!$A:$A,0))-IF(AN1275="",0,AN1275)+AD1275))),"")</f>
        <v>43</v>
      </c>
      <c r="Y1275" s="53">
        <f t="shared" si="536"/>
        <v>92.1</v>
      </c>
      <c r="Z1275" s="52">
        <f>IF(L1275="","",INDEX('Aub Demand'!H:H,MATCH($O1275,'Aub Demand'!$A:$A,0)))</f>
        <v>2</v>
      </c>
      <c r="AA1275" s="52" t="str">
        <f t="shared" si="537"/>
        <v>-spike-</v>
      </c>
      <c r="AB1275" s="52">
        <f>IFERROR(INDEX('Aub Demand'!L:L,MATCH($O1275,'Aub Demand'!$A:$A,0)),"")</f>
        <v>0</v>
      </c>
      <c r="AC1275" s="52">
        <f>IFERROR(IF(O1275="","",SUMIFS('CPL Mats'!F:F,'CPL Mats'!Q:Q,AR1275,'CPL Mats'!S:S,AS1275)),"")</f>
        <v>0</v>
      </c>
      <c r="AF1275" s="25" t="str">
        <f>IF(SUMIFS('Supp Consol'!S:S,'Supp Consol'!Y:Y,"Releasable",'Supp Consol'!A:A,O1275)=0,"",SUMIFS('Supp Consol'!S:S,'Supp Consol'!Y:Y,"Releasable",'Supp Consol'!A:A,O1275))</f>
        <v/>
      </c>
      <c r="AG1275" s="25" t="str">
        <f>IFERROR(INDEX('Hun Demand'!Q:Q,MATCH(O1275,'Hun Demand'!A:A,0)),"")</f>
        <v/>
      </c>
      <c r="AH1275" s="25" t="str">
        <f>IFERROR(INDEX('Hun Demand'!H:H,MATCH($O1275,'Hun Demand'!$A:$A,0)),"")</f>
        <v/>
      </c>
      <c r="AI1275" s="25" t="str">
        <f>IF(SUMIFS('Supp Consol'!AA:AA,'Supp Consol'!Z:Z,"Expires this month",'Supp Consol'!A:A,O1275)=0,"",SUMIFS('Supp Consol'!AA:AA,'Supp Consol'!Z:Z,"Expires this month",'Supp Consol'!A:A,O1275))</f>
        <v/>
      </c>
      <c r="AJ1275" s="25" t="str">
        <f>IF(SUMIFS('Supp Consol'!AA:AA,'Supp Consol'!Z:Z,"Expired Previous Months",'Supp Consol'!A:A,O1275)=0,"",SUMIFS('Supp Consol'!AA:AA,'Supp Consol'!Z:Z,"Expired Previous Months",'Supp Consol'!A:A,O1275))</f>
        <v/>
      </c>
      <c r="AK1275" s="25" t="str">
        <f>IFERROR(INDEX('Hun Release Current'!B:B,MATCH(O1275,'Hun Release Current'!A:A,0)),"")</f>
        <v/>
      </c>
      <c r="AL1275" s="25" t="str">
        <f>IF(SUMIF('Prev Aub'!A:A,O1275,'Prev Aub'!B:B)=0,"",SUMIF('Prev Aub'!A:A,O1275,'Prev Aub'!B:B))</f>
        <v/>
      </c>
      <c r="AN1275" s="25" t="s">
        <v>3790</v>
      </c>
      <c r="AO1275" s="25" t="s">
        <v>3790</v>
      </c>
      <c r="AP1275" s="25">
        <f t="shared" si="538"/>
        <v>0</v>
      </c>
      <c r="AQ1275" s="151" t="str">
        <f>IF(SUMIFS('Supp Consol'!S:S,'Supp Consol'!A:A,O1275,'Supp Consol'!I:I,"PENDING")=0,"",SUMIFS('Supp Consol'!S:S,'Supp Consol'!A:A,O1275,'Supp Consol'!I:I,"PENDING"))</f>
        <v/>
      </c>
      <c r="AR1275" s="27" t="str">
        <f t="shared" si="539"/>
        <v>WA110</v>
      </c>
      <c r="AS1275" s="27" t="str">
        <f t="shared" si="540"/>
        <v>45</v>
      </c>
      <c r="AT1275" s="27" t="str">
        <f t="shared" si="541"/>
        <v/>
      </c>
      <c r="AU1275" s="27" t="str">
        <f t="shared" si="542"/>
        <v/>
      </c>
      <c r="AV1275" s="27" t="str">
        <f t="shared" si="543"/>
        <v/>
      </c>
      <c r="AW1275" s="27" t="str">
        <f t="shared" si="544"/>
        <v/>
      </c>
      <c r="AX1275" s="27" t="str">
        <f t="shared" si="545"/>
        <v/>
      </c>
      <c r="AY1275" s="27" t="str">
        <f t="shared" si="546"/>
        <v/>
      </c>
      <c r="AZ1275" s="27" t="str">
        <f t="shared" si="547"/>
        <v>Supp</v>
      </c>
      <c r="BA1275" s="27" t="str">
        <f t="shared" si="548"/>
        <v>Hun</v>
      </c>
      <c r="BB1275" s="27" t="str">
        <f t="shared" si="549"/>
        <v/>
      </c>
      <c r="BC1275" s="27" t="str">
        <f t="shared" si="550"/>
        <v/>
      </c>
      <c r="BD1275" s="27" t="str">
        <f t="shared" si="551"/>
        <v/>
      </c>
      <c r="BE1275" s="27" t="str">
        <f t="shared" si="552"/>
        <v/>
      </c>
      <c r="BF1275" s="27" t="str">
        <f t="shared" si="553"/>
        <v/>
      </c>
      <c r="BG1275" s="27" t="str">
        <f t="shared" si="554"/>
        <v/>
      </c>
      <c r="BH1275" s="27" t="str">
        <f t="shared" si="555"/>
        <v/>
      </c>
      <c r="BI1275" s="27" t="str">
        <f t="shared" si="556"/>
        <v/>
      </c>
      <c r="BJ1275" s="27" t="str">
        <f t="shared" si="557"/>
        <v>Supp or Hun</v>
      </c>
      <c r="BK1275" s="27" t="str">
        <f t="shared" si="558"/>
        <v/>
      </c>
      <c r="BL1275" s="27" t="str">
        <f t="shared" si="559"/>
        <v/>
      </c>
      <c r="BM1275" s="21" t="s">
        <v>5581</v>
      </c>
    </row>
    <row r="1276" spans="1:65" ht="15">
      <c r="A1276" s="25" t="str">
        <f>IFERROR(INDEX('Hun Demand'!W:W,MATCH(O1276,'Hun Demand'!A:A,0)),"")</f>
        <v/>
      </c>
      <c r="B1276" s="25" t="str">
        <f>IFERROR(INDEX('Hun Demand'!V:V,MATCH(O1276,'Hun Demand'!A:A,0)),"")</f>
        <v/>
      </c>
      <c r="C1276" s="25" t="str">
        <f>IFERROR(INDEX('Hun Demand'!U:U,MATCH(O1276,'Hun Demand'!A:A,0)),"")</f>
        <v/>
      </c>
      <c r="D1276" s="25" t="str">
        <f>IFERROR(INDEX('Hun Demand'!T:T,MATCH(O1276,'Hun Demand'!A:A,0)),"")</f>
        <v/>
      </c>
      <c r="E1276" s="25" t="str">
        <f>IFERROR(INDEX('Hun Demand'!S:S,MATCH(O1276,'Hun Demand'!A:A,0)),"")</f>
        <v/>
      </c>
      <c r="F1276" s="25" t="str">
        <f>IFERROR(INDEX('Hun Demand'!R:R,MATCH(O1276,'Hun Demand'!A:A,0)),"")</f>
        <v/>
      </c>
      <c r="G1276" s="25">
        <f>IFERROR(INDEX('Aub Demand'!W:W,MATCH(O1276,'Aub Demand'!A:A,0)),"")</f>
        <v>0</v>
      </c>
      <c r="H1276" s="25">
        <f>IFERROR(INDEX('Aub Demand'!V:V,MATCH(O1276,'Aub Demand'!A:A,0)),"")</f>
        <v>0</v>
      </c>
      <c r="I1276" s="25">
        <f>IFERROR(INDEX('Aub Demand'!U:U,MATCH(O1276,'Aub Demand'!A:A,0)),"")</f>
        <v>0</v>
      </c>
      <c r="J1276" s="25">
        <f>IFERROR(INDEX('Aub Demand'!T:T,MATCH(O1276,'Aub Demand'!A:A,0)),"")</f>
        <v>0</v>
      </c>
      <c r="K1276" s="25">
        <f>IFERROR(INDEX('Aub Demand'!S:S,MATCH(O1276,'Aub Demand'!A:A,0)),"")</f>
        <v>7</v>
      </c>
      <c r="L1276" s="25">
        <f>IFERROR(INDEX('Aub Demand'!R:R,MATCH(O1276,'Aub Demand'!A:A,0)),"")</f>
        <v>0</v>
      </c>
      <c r="O1276" s="27" t="s">
        <v>5296</v>
      </c>
      <c r="P1276" s="27" t="str">
        <f>IFERROR(INDEX('Aub Demand'!B:B,MATCH($O1276,'Aub Demand'!$A:$A,0)),"")</f>
        <v>CATCHING FIREFLIES (</v>
      </c>
      <c r="Q1276" s="27" t="str">
        <f>IFERROR(INDEX('Aub Demand'!C:C,MATCH($O1276,'Aub Demand'!$A:$A,0)),"")</f>
        <v>IMPRE</v>
      </c>
      <c r="R1276" s="52">
        <f>IFERROR(IF(AR1277=AR1276,INDEX('Aub Demand'!K:K,MATCH($O1276,'Aub Demand'!$A:$A,0))-IF(AN1276="",0,AN1276)+AP1277,INDEX('Aub Demand'!K:K,MATCH($O1276,'Aub Demand'!$A:$A,0))-IF(AN1276="",0,AN1276)),"")</f>
        <v>43</v>
      </c>
      <c r="S1276" s="53">
        <f t="shared" si="532"/>
        <v>92.1</v>
      </c>
      <c r="T1276" s="52" t="str">
        <f t="shared" si="533"/>
        <v/>
      </c>
      <c r="U1276" s="52">
        <f>IFERROR(IF(AR1277=AR1276,INDEX('Aub Demand'!Q:Q,MATCH($O1276,'Aub Demand'!$A:$A,0))-IF(AN1276="",0,AN1276)+AP1277,INDEX('Aub Demand'!Q:Q,MATCH($O1276,'Aub Demand'!$A:$A,0))-IF(AN1276="",0,AN1276)),"")</f>
        <v>43</v>
      </c>
      <c r="V1276" s="53">
        <f t="shared" si="534"/>
        <v>92.1</v>
      </c>
      <c r="W1276" s="52" t="str">
        <f t="shared" si="535"/>
        <v/>
      </c>
      <c r="X1276" s="52">
        <f>IFERROR(IF(AND(AR1277=AR1276,AM1276&lt;&gt;""),INDEX('Aub Demand'!Q:Q,MATCH($O1276,'Aub Demand'!$A:$A,0))-IF(AN1276="",0,AN1276)+AP1277+AD1276+AL1276,IF(AR1277=AR1276,INDEX('Aub Demand'!Q:Q,MATCH($O1276,'Aub Demand'!$A:$A,0))-IF(AN1276="",0,AN1276)+AP1277+AD1276,IF(AM1276&lt;&gt;"",INDEX('Aub Demand'!Q:Q,MATCH($O1276,'Aub Demand'!$A:$A,0))-IF(AN1276="",0,AN1276)+AD1276+AL1276,INDEX('Aub Demand'!Q:Q,MATCH($O1276,'Aub Demand'!$A:$A,0))-IF(AN1276="",0,AN1276)+AD1276))),"")</f>
        <v>43</v>
      </c>
      <c r="Y1276" s="53">
        <f t="shared" si="536"/>
        <v>92.1</v>
      </c>
      <c r="Z1276" s="52">
        <f>IF(L1276="","",INDEX('Aub Demand'!H:H,MATCH($O1276,'Aub Demand'!$A:$A,0)))</f>
        <v>2</v>
      </c>
      <c r="AA1276" s="52" t="str">
        <f t="shared" si="537"/>
        <v>-spike-</v>
      </c>
      <c r="AB1276" s="52">
        <f>IFERROR(INDEX('Aub Demand'!L:L,MATCH($O1276,'Aub Demand'!$A:$A,0)),"")</f>
        <v>0</v>
      </c>
      <c r="AC1276" s="52">
        <f>IFERROR(IF(O1276="","",SUMIFS('CPL Mats'!F:F,'CPL Mats'!Q:Q,AR1276,'CPL Mats'!S:S,AS1276)),"")</f>
        <v>0</v>
      </c>
      <c r="AF1276" s="25" t="str">
        <f>IF(SUMIFS('Supp Consol'!S:S,'Supp Consol'!Y:Y,"Releasable",'Supp Consol'!A:A,O1276)=0,"",SUMIFS('Supp Consol'!S:S,'Supp Consol'!Y:Y,"Releasable",'Supp Consol'!A:A,O1276))</f>
        <v/>
      </c>
      <c r="AG1276" s="25" t="str">
        <f>IFERROR(INDEX('Hun Demand'!Q:Q,MATCH(O1276,'Hun Demand'!A:A,0)),"")</f>
        <v/>
      </c>
      <c r="AH1276" s="25" t="str">
        <f>IFERROR(INDEX('Hun Demand'!H:H,MATCH($O1276,'Hun Demand'!$A:$A,0)),"")</f>
        <v/>
      </c>
      <c r="AI1276" s="25" t="str">
        <f>IF(SUMIFS('Supp Consol'!AA:AA,'Supp Consol'!Z:Z,"Expires this month",'Supp Consol'!A:A,O1276)=0,"",SUMIFS('Supp Consol'!AA:AA,'Supp Consol'!Z:Z,"Expires this month",'Supp Consol'!A:A,O1276))</f>
        <v/>
      </c>
      <c r="AJ1276" s="25" t="str">
        <f>IF(SUMIFS('Supp Consol'!AA:AA,'Supp Consol'!Z:Z,"Expired Previous Months",'Supp Consol'!A:A,O1276)=0,"",SUMIFS('Supp Consol'!AA:AA,'Supp Consol'!Z:Z,"Expired Previous Months",'Supp Consol'!A:A,O1276))</f>
        <v/>
      </c>
      <c r="AK1276" s="25" t="str">
        <f>IFERROR(INDEX('Hun Release Current'!B:B,MATCH(O1276,'Hun Release Current'!A:A,0)),"")</f>
        <v/>
      </c>
      <c r="AL1276" s="25" t="str">
        <f>IF(SUMIF('Prev Aub'!A:A,O1276,'Prev Aub'!B:B)=0,"",SUMIF('Prev Aub'!A:A,O1276,'Prev Aub'!B:B))</f>
        <v/>
      </c>
      <c r="AN1276" s="25" t="s">
        <v>3790</v>
      </c>
      <c r="AO1276" s="25" t="s">
        <v>3790</v>
      </c>
      <c r="AP1276" s="25">
        <f t="shared" si="538"/>
        <v>0</v>
      </c>
      <c r="AQ1276" s="151" t="str">
        <f>IF(SUMIFS('Supp Consol'!S:S,'Supp Consol'!A:A,O1276,'Supp Consol'!I:I,"PENDING")=0,"",SUMIFS('Supp Consol'!S:S,'Supp Consol'!A:A,O1276,'Supp Consol'!I:I,"PENDING"))</f>
        <v/>
      </c>
      <c r="AR1276" s="27" t="str">
        <f t="shared" si="539"/>
        <v>WA110</v>
      </c>
      <c r="AS1276" s="27" t="str">
        <f t="shared" si="540"/>
        <v>45</v>
      </c>
      <c r="AT1276" s="27" t="str">
        <f t="shared" si="541"/>
        <v/>
      </c>
      <c r="AU1276" s="27" t="str">
        <f t="shared" si="542"/>
        <v/>
      </c>
      <c r="AV1276" s="27" t="str">
        <f t="shared" si="543"/>
        <v/>
      </c>
      <c r="AW1276" s="27" t="str">
        <f t="shared" si="544"/>
        <v/>
      </c>
      <c r="AX1276" s="27" t="str">
        <f t="shared" si="545"/>
        <v/>
      </c>
      <c r="AY1276" s="27" t="str">
        <f t="shared" si="546"/>
        <v/>
      </c>
      <c r="AZ1276" s="27" t="str">
        <f t="shared" si="547"/>
        <v>Supp</v>
      </c>
      <c r="BA1276" s="27" t="str">
        <f t="shared" si="548"/>
        <v>Hun</v>
      </c>
      <c r="BB1276" s="27" t="str">
        <f t="shared" si="549"/>
        <v/>
      </c>
      <c r="BC1276" s="27" t="str">
        <f t="shared" si="550"/>
        <v/>
      </c>
      <c r="BD1276" s="27" t="str">
        <f t="shared" si="551"/>
        <v/>
      </c>
      <c r="BE1276" s="27" t="str">
        <f t="shared" si="552"/>
        <v/>
      </c>
      <c r="BF1276" s="27" t="str">
        <f t="shared" si="553"/>
        <v/>
      </c>
      <c r="BG1276" s="27" t="str">
        <f t="shared" si="554"/>
        <v/>
      </c>
      <c r="BH1276" s="27" t="str">
        <f t="shared" si="555"/>
        <v/>
      </c>
      <c r="BI1276" s="27" t="str">
        <f t="shared" si="556"/>
        <v/>
      </c>
      <c r="BJ1276" s="27" t="str">
        <f t="shared" si="557"/>
        <v>Supp or Hun</v>
      </c>
      <c r="BK1276" s="27" t="str">
        <f t="shared" si="558"/>
        <v/>
      </c>
      <c r="BL1276" s="27" t="str">
        <f t="shared" si="559"/>
        <v/>
      </c>
      <c r="BM1276" s="21" t="s">
        <v>3790</v>
      </c>
    </row>
    <row r="1277" spans="1:65" ht="15">
      <c r="A1277" s="25">
        <f>IFERROR(INDEX('Hun Demand'!W:W,MATCH(O1277,'Hun Demand'!A:A,0)),"")</f>
        <v>0</v>
      </c>
      <c r="B1277" s="25">
        <f>IFERROR(INDEX('Hun Demand'!V:V,MATCH(O1277,'Hun Demand'!A:A,0)),"")</f>
        <v>0</v>
      </c>
      <c r="C1277" s="25">
        <f>IFERROR(INDEX('Hun Demand'!U:U,MATCH(O1277,'Hun Demand'!A:A,0)),"")</f>
        <v>0</v>
      </c>
      <c r="D1277" s="25">
        <f>IFERROR(INDEX('Hun Demand'!T:T,MATCH(O1277,'Hun Demand'!A:A,0)),"")</f>
        <v>0</v>
      </c>
      <c r="E1277" s="25">
        <f>IFERROR(INDEX('Hun Demand'!S:S,MATCH(O1277,'Hun Demand'!A:A,0)),"")</f>
        <v>0</v>
      </c>
      <c r="F1277" s="25">
        <f>IFERROR(INDEX('Hun Demand'!R:R,MATCH(O1277,'Hun Demand'!A:A,0)),"")</f>
        <v>0</v>
      </c>
      <c r="G1277" s="25">
        <f>IFERROR(INDEX('Aub Demand'!W:W,MATCH(O1277,'Aub Demand'!A:A,0)),"")</f>
        <v>656</v>
      </c>
      <c r="H1277" s="25">
        <f>IFERROR(INDEX('Aub Demand'!V:V,MATCH(O1277,'Aub Demand'!A:A,0)),"")</f>
        <v>590</v>
      </c>
      <c r="I1277" s="25">
        <f>IFERROR(INDEX('Aub Demand'!U:U,MATCH(O1277,'Aub Demand'!A:A,0)),"")</f>
        <v>71</v>
      </c>
      <c r="J1277" s="25">
        <f>IFERROR(INDEX('Aub Demand'!T:T,MATCH(O1277,'Aub Demand'!A:A,0)),"")</f>
        <v>403</v>
      </c>
      <c r="K1277" s="25">
        <f>IFERROR(INDEX('Aub Demand'!S:S,MATCH(O1277,'Aub Demand'!A:A,0)),"")</f>
        <v>227</v>
      </c>
      <c r="L1277" s="25">
        <f>IFERROR(INDEX('Aub Demand'!R:R,MATCH(O1277,'Aub Demand'!A:A,0)),"")</f>
        <v>14</v>
      </c>
      <c r="O1277" s="27" t="s">
        <v>1594</v>
      </c>
      <c r="P1277" s="27" t="str">
        <f>IFERROR(INDEX('Aub Demand'!B:B,MATCH($O1277,'Aub Demand'!$A:$A,0)),"")</f>
        <v>CATCHING FIREFLIES</v>
      </c>
      <c r="Q1277" s="27" t="str">
        <f>IFERROR(INDEX('Aub Demand'!C:C,MATCH($O1277,'Aub Demand'!$A:$A,0)),"")</f>
        <v>IMPRE</v>
      </c>
      <c r="R1277" s="52">
        <f>IFERROR(IF(AR1278=AR1277,INDEX('Aub Demand'!K:K,MATCH($O1277,'Aub Demand'!$A:$A,0))-IF(AN1277="",0,AN1277)+AP1278,INDEX('Aub Demand'!K:K,MATCH($O1277,'Aub Demand'!$A:$A,0))-IF(AN1277="",0,AN1277)),"")</f>
        <v>7104</v>
      </c>
      <c r="S1277" s="53">
        <f t="shared" si="532"/>
        <v>130.1</v>
      </c>
      <c r="T1277" s="52" t="str">
        <f t="shared" si="533"/>
        <v/>
      </c>
      <c r="U1277" s="52">
        <f>IFERROR(IF(AR1278=AR1277,INDEX('Aub Demand'!Q:Q,MATCH($O1277,'Aub Demand'!$A:$A,0))-IF(AN1277="",0,AN1277)+AP1278,INDEX('Aub Demand'!Q:Q,MATCH($O1277,'Aub Demand'!$A:$A,0))-IF(AN1277="",0,AN1277)),"")</f>
        <v>7045</v>
      </c>
      <c r="V1277" s="53">
        <f t="shared" si="534"/>
        <v>129</v>
      </c>
      <c r="W1277" s="52" t="str">
        <f t="shared" si="535"/>
        <v/>
      </c>
      <c r="X1277" s="52">
        <f>IFERROR(IF(AND(AR1278=AR1277,AM1277&lt;&gt;""),INDEX('Aub Demand'!Q:Q,MATCH($O1277,'Aub Demand'!$A:$A,0))-IF(AN1277="",0,AN1277)+AP1278+AD1277+AL1277,IF(AR1278=AR1277,INDEX('Aub Demand'!Q:Q,MATCH($O1277,'Aub Demand'!$A:$A,0))-IF(AN1277="",0,AN1277)+AP1278+AD1277,IF(AM1277&lt;&gt;"",INDEX('Aub Demand'!Q:Q,MATCH($O1277,'Aub Demand'!$A:$A,0))-IF(AN1277="",0,AN1277)+AD1277+AL1277,INDEX('Aub Demand'!Q:Q,MATCH($O1277,'Aub Demand'!$A:$A,0))-IF(AN1277="",0,AN1277)+AD1277))),"")</f>
        <v>7045</v>
      </c>
      <c r="Y1277" s="53">
        <f t="shared" si="536"/>
        <v>129</v>
      </c>
      <c r="Z1277" s="52">
        <f>IF(L1277="","",INDEX('Aub Demand'!H:H,MATCH($O1277,'Aub Demand'!$A:$A,0)))</f>
        <v>234</v>
      </c>
      <c r="AA1277" s="52">
        <f t="shared" si="537"/>
        <v>315</v>
      </c>
      <c r="AB1277" s="52">
        <f>IFERROR(INDEX('Aub Demand'!L:L,MATCH($O1277,'Aub Demand'!$A:$A,0)),"")</f>
        <v>454</v>
      </c>
      <c r="AC1277" s="52">
        <f>IFERROR(IF(O1277="","",SUMIFS('CPL Mats'!F:F,'CPL Mats'!Q:Q,AR1277,'CPL Mats'!S:S,AS1277)),"")</f>
        <v>4202.92</v>
      </c>
      <c r="AF1277" s="25" t="str">
        <f>IF(SUMIFS('Supp Consol'!S:S,'Supp Consol'!Y:Y,"Releasable",'Supp Consol'!A:A,O1277)=0,"",SUMIFS('Supp Consol'!S:S,'Supp Consol'!Y:Y,"Releasable",'Supp Consol'!A:A,O1277))</f>
        <v/>
      </c>
      <c r="AG1277" s="25">
        <f>IFERROR(INDEX('Hun Demand'!Q:Q,MATCH(O1277,'Hun Demand'!A:A,0)),"")</f>
        <v>269</v>
      </c>
      <c r="AH1277" s="25">
        <f>IFERROR(INDEX('Hun Demand'!H:H,MATCH($O1277,'Hun Demand'!$A:$A,0)),"")</f>
        <v>0</v>
      </c>
      <c r="AI1277" s="25" t="str">
        <f>IF(SUMIFS('Supp Consol'!AA:AA,'Supp Consol'!Z:Z,"Expires this month",'Supp Consol'!A:A,O1277)=0,"",SUMIFS('Supp Consol'!AA:AA,'Supp Consol'!Z:Z,"Expires this month",'Supp Consol'!A:A,O1277))</f>
        <v/>
      </c>
      <c r="AJ1277" s="25" t="str">
        <f>IF(SUMIFS('Supp Consol'!AA:AA,'Supp Consol'!Z:Z,"Expired Previous Months",'Supp Consol'!A:A,O1277)=0,"",SUMIFS('Supp Consol'!AA:AA,'Supp Consol'!Z:Z,"Expired Previous Months",'Supp Consol'!A:A,O1277))</f>
        <v/>
      </c>
      <c r="AK1277" s="25" t="str">
        <f>IFERROR(INDEX('Hun Release Current'!B:B,MATCH(O1277,'Hun Release Current'!A:A,0)),"")</f>
        <v/>
      </c>
      <c r="AL1277" s="25" t="str">
        <f>IF(SUMIF('Prev Aub'!A:A,O1277,'Prev Aub'!B:B)=0,"",SUMIF('Prev Aub'!A:A,O1277,'Prev Aub'!B:B))</f>
        <v/>
      </c>
      <c r="AN1277" s="25" t="s">
        <v>3790</v>
      </c>
      <c r="AO1277" s="25" t="s">
        <v>3790</v>
      </c>
      <c r="AP1277" s="25">
        <f t="shared" si="538"/>
        <v>0</v>
      </c>
      <c r="AQ1277" s="151" t="str">
        <f>IF(SUMIFS('Supp Consol'!S:S,'Supp Consol'!A:A,O1277,'Supp Consol'!I:I,"PENDING")=0,"",SUMIFS('Supp Consol'!S:S,'Supp Consol'!A:A,O1277,'Supp Consol'!I:I,"PENDING"))</f>
        <v/>
      </c>
      <c r="AR1277" s="27" t="str">
        <f t="shared" si="539"/>
        <v>WA110</v>
      </c>
      <c r="AS1277" s="27" t="str">
        <f t="shared" si="540"/>
        <v>50</v>
      </c>
      <c r="AT1277" s="27" t="str">
        <f t="shared" si="541"/>
        <v/>
      </c>
      <c r="AU1277" s="27" t="str">
        <f t="shared" si="542"/>
        <v/>
      </c>
      <c r="AV1277" s="27" t="str">
        <f t="shared" si="543"/>
        <v/>
      </c>
      <c r="AW1277" s="27" t="str">
        <f t="shared" si="544"/>
        <v/>
      </c>
      <c r="AX1277" s="27" t="str">
        <f t="shared" si="545"/>
        <v/>
      </c>
      <c r="AY1277" s="27" t="str">
        <f t="shared" si="546"/>
        <v>WA110</v>
      </c>
      <c r="AZ1277" s="27" t="str">
        <f t="shared" si="547"/>
        <v>Supp</v>
      </c>
      <c r="BA1277" s="27" t="str">
        <f t="shared" si="548"/>
        <v>Hun</v>
      </c>
      <c r="BB1277" s="27" t="str">
        <f t="shared" si="549"/>
        <v/>
      </c>
      <c r="BC1277" s="27" t="str">
        <f t="shared" si="550"/>
        <v/>
      </c>
      <c r="BD1277" s="27" t="str">
        <f t="shared" si="551"/>
        <v/>
      </c>
      <c r="BE1277" s="27" t="str">
        <f t="shared" si="552"/>
        <v/>
      </c>
      <c r="BF1277" s="27" t="str">
        <f t="shared" si="553"/>
        <v/>
      </c>
      <c r="BG1277" s="27" t="str">
        <f t="shared" si="554"/>
        <v/>
      </c>
      <c r="BH1277" s="27" t="str">
        <f t="shared" si="555"/>
        <v/>
      </c>
      <c r="BI1277" s="27" t="str">
        <f t="shared" si="556"/>
        <v/>
      </c>
      <c r="BJ1277" s="27" t="str">
        <f t="shared" si="557"/>
        <v>Supp or Hun</v>
      </c>
      <c r="BK1277" s="27" t="str">
        <f t="shared" si="558"/>
        <v/>
      </c>
      <c r="BL1277" s="27" t="str">
        <f t="shared" si="559"/>
        <v/>
      </c>
      <c r="BM1277" s="21" t="s">
        <v>5581</v>
      </c>
    </row>
    <row r="1278" spans="1:65" ht="15">
      <c r="A1278" s="25">
        <f>IFERROR(INDEX('Hun Demand'!W:W,MATCH(O1278,'Hun Demand'!A:A,0)),"")</f>
        <v>657</v>
      </c>
      <c r="B1278" s="25">
        <f>IFERROR(INDEX('Hun Demand'!V:V,MATCH(O1278,'Hun Demand'!A:A,0)),"")</f>
        <v>258</v>
      </c>
      <c r="C1278" s="25">
        <f>IFERROR(INDEX('Hun Demand'!U:U,MATCH(O1278,'Hun Demand'!A:A,0)),"")</f>
        <v>0</v>
      </c>
      <c r="D1278" s="25">
        <f>IFERROR(INDEX('Hun Demand'!T:T,MATCH(O1278,'Hun Demand'!A:A,0)),"")</f>
        <v>236</v>
      </c>
      <c r="E1278" s="25">
        <f>IFERROR(INDEX('Hun Demand'!S:S,MATCH(O1278,'Hun Demand'!A:A,0)),"")</f>
        <v>0</v>
      </c>
      <c r="F1278" s="25">
        <f>IFERROR(INDEX('Hun Demand'!R:R,MATCH(O1278,'Hun Demand'!A:A,0)),"")</f>
        <v>0</v>
      </c>
      <c r="G1278" s="25">
        <f>IFERROR(INDEX('Aub Demand'!W:W,MATCH(O1278,'Aub Demand'!A:A,0)),"")</f>
        <v>36</v>
      </c>
      <c r="H1278" s="25">
        <f>IFERROR(INDEX('Aub Demand'!V:V,MATCH(O1278,'Aub Demand'!A:A,0)),"")</f>
        <v>31</v>
      </c>
      <c r="I1278" s="25">
        <f>IFERROR(INDEX('Aub Demand'!U:U,MATCH(O1278,'Aub Demand'!A:A,0)),"")</f>
        <v>169</v>
      </c>
      <c r="J1278" s="25">
        <f>IFERROR(INDEX('Aub Demand'!T:T,MATCH(O1278,'Aub Demand'!A:A,0)),"")</f>
        <v>82</v>
      </c>
      <c r="K1278" s="25">
        <f>IFERROR(INDEX('Aub Demand'!S:S,MATCH(O1278,'Aub Demand'!A:A,0)),"")</f>
        <v>112</v>
      </c>
      <c r="L1278" s="25">
        <f>IFERROR(INDEX('Aub Demand'!R:R,MATCH(O1278,'Aub Demand'!A:A,0)),"")</f>
        <v>0</v>
      </c>
      <c r="O1278" s="27" t="s">
        <v>1596</v>
      </c>
      <c r="P1278" s="27" t="str">
        <f>IFERROR(INDEX('Aub Demand'!B:B,MATCH($O1278,'Aub Demand'!$A:$A,0)),"")</f>
        <v>CATCHING FIREFLIES</v>
      </c>
      <c r="Q1278" s="27" t="str">
        <f>IFERROR(INDEX('Aub Demand'!C:C,MATCH($O1278,'Aub Demand'!$A:$A,0)),"")</f>
        <v>IMPRE</v>
      </c>
      <c r="R1278" s="52">
        <f>IFERROR(IF(AR1279=AR1278,INDEX('Aub Demand'!K:K,MATCH($O1278,'Aub Demand'!$A:$A,0))-IF(AN1278="",0,AN1278)+AP1279,INDEX('Aub Demand'!K:K,MATCH($O1278,'Aub Demand'!$A:$A,0))-IF(AN1278="",0,AN1278)),"")</f>
        <v>10490</v>
      </c>
      <c r="S1278" s="53">
        <f t="shared" si="532"/>
        <v>371.5</v>
      </c>
      <c r="T1278" s="52" t="str">
        <f t="shared" si="533"/>
        <v/>
      </c>
      <c r="U1278" s="52">
        <f>IFERROR(IF(AR1279=AR1278,INDEX('Aub Demand'!Q:Q,MATCH($O1278,'Aub Demand'!$A:$A,0))-IF(AN1278="",0,AN1278)+AP1279,INDEX('Aub Demand'!Q:Q,MATCH($O1278,'Aub Demand'!$A:$A,0))-IF(AN1278="",0,AN1278)),"")</f>
        <v>10395</v>
      </c>
      <c r="V1278" s="53">
        <f t="shared" si="534"/>
        <v>368.2</v>
      </c>
      <c r="W1278" s="52" t="str">
        <f t="shared" si="535"/>
        <v/>
      </c>
      <c r="X1278" s="52">
        <f>IFERROR(IF(AND(AR1279=AR1278,AM1278&lt;&gt;""),INDEX('Aub Demand'!Q:Q,MATCH($O1278,'Aub Demand'!$A:$A,0))-IF(AN1278="",0,AN1278)+AP1279+AD1278+AL1278,IF(AR1279=AR1278,INDEX('Aub Demand'!Q:Q,MATCH($O1278,'Aub Demand'!$A:$A,0))-IF(AN1278="",0,AN1278)+AP1279+AD1278,IF(AM1278&lt;&gt;"",INDEX('Aub Demand'!Q:Q,MATCH($O1278,'Aub Demand'!$A:$A,0))-IF(AN1278="",0,AN1278)+AD1278+AL1278,INDEX('Aub Demand'!Q:Q,MATCH($O1278,'Aub Demand'!$A:$A,0))-IF(AN1278="",0,AN1278)+AD1278))),"")</f>
        <v>10395</v>
      </c>
      <c r="Y1278" s="53">
        <f t="shared" si="536"/>
        <v>368.2</v>
      </c>
      <c r="Z1278" s="52">
        <f>IF(L1278="","",INDEX('Aub Demand'!H:H,MATCH($O1278,'Aub Demand'!$A:$A,0)))</f>
        <v>121</v>
      </c>
      <c r="AA1278" s="52">
        <f t="shared" si="537"/>
        <v>140.5</v>
      </c>
      <c r="AB1278" s="52">
        <f>IFERROR(INDEX('Aub Demand'!L:L,MATCH($O1278,'Aub Demand'!$A:$A,0)),"")</f>
        <v>49</v>
      </c>
      <c r="AC1278" s="52">
        <f>IFERROR(IF(O1278="","",SUMIFS('CPL Mats'!F:F,'CPL Mats'!Q:Q,AR1278,'CPL Mats'!S:S,AS1278)),"")</f>
        <v>0</v>
      </c>
      <c r="AF1278" s="25">
        <f>IF(SUMIFS('Supp Consol'!S:S,'Supp Consol'!Y:Y,"Releasable",'Supp Consol'!A:A,O1278)=0,"",SUMIFS('Supp Consol'!S:S,'Supp Consol'!Y:Y,"Releasable",'Supp Consol'!A:A,O1278))</f>
        <v>6380</v>
      </c>
      <c r="AG1278" s="25">
        <f>IFERROR(INDEX('Hun Demand'!Q:Q,MATCH(O1278,'Hun Demand'!A:A,0)),"")</f>
        <v>40</v>
      </c>
      <c r="AH1278" s="25">
        <f>IFERROR(INDEX('Hun Demand'!H:H,MATCH($O1278,'Hun Demand'!$A:$A,0)),"")</f>
        <v>79</v>
      </c>
      <c r="AI1278" s="25" t="str">
        <f>IF(SUMIFS('Supp Consol'!AA:AA,'Supp Consol'!Z:Z,"Expires this month",'Supp Consol'!A:A,O1278)=0,"",SUMIFS('Supp Consol'!AA:AA,'Supp Consol'!Z:Z,"Expires this month",'Supp Consol'!A:A,O1278))</f>
        <v/>
      </c>
      <c r="AJ1278" s="25" t="str">
        <f>IF(SUMIFS('Supp Consol'!AA:AA,'Supp Consol'!Z:Z,"Expired Previous Months",'Supp Consol'!A:A,O1278)=0,"",SUMIFS('Supp Consol'!AA:AA,'Supp Consol'!Z:Z,"Expired Previous Months",'Supp Consol'!A:A,O1278))</f>
        <v/>
      </c>
      <c r="AK1278" s="25" t="str">
        <f>IFERROR(INDEX('Hun Release Current'!B:B,MATCH(O1278,'Hun Release Current'!A:A,0)),"")</f>
        <v/>
      </c>
      <c r="AL1278" s="25" t="str">
        <f>IF(SUMIF('Prev Aub'!A:A,O1278,'Prev Aub'!B:B)=0,"",SUMIF('Prev Aub'!A:A,O1278,'Prev Aub'!B:B))</f>
        <v/>
      </c>
      <c r="AN1278" s="25" t="s">
        <v>3790</v>
      </c>
      <c r="AO1278" s="25" t="s">
        <v>3790</v>
      </c>
      <c r="AP1278" s="25">
        <f t="shared" si="538"/>
        <v>0</v>
      </c>
      <c r="AQ1278" s="151" t="str">
        <f>IF(SUMIFS('Supp Consol'!S:S,'Supp Consol'!A:A,O1278,'Supp Consol'!I:I,"PENDING")=0,"",SUMIFS('Supp Consol'!S:S,'Supp Consol'!A:A,O1278,'Supp Consol'!I:I,"PENDING"))</f>
        <v/>
      </c>
      <c r="AR1278" s="27" t="str">
        <f t="shared" si="539"/>
        <v>WA110</v>
      </c>
      <c r="AS1278" s="27" t="str">
        <f t="shared" si="540"/>
        <v>62</v>
      </c>
      <c r="AT1278" s="27" t="str">
        <f t="shared" si="541"/>
        <v/>
      </c>
      <c r="AU1278" s="27" t="str">
        <f t="shared" si="542"/>
        <v/>
      </c>
      <c r="AV1278" s="27" t="str">
        <f t="shared" si="543"/>
        <v/>
      </c>
      <c r="AW1278" s="27" t="str">
        <f t="shared" si="544"/>
        <v/>
      </c>
      <c r="AX1278" s="27" t="str">
        <f t="shared" si="545"/>
        <v>WA110</v>
      </c>
      <c r="AY1278" s="27" t="str">
        <f t="shared" si="546"/>
        <v/>
      </c>
      <c r="AZ1278" s="27" t="str">
        <f t="shared" si="547"/>
        <v>Supp</v>
      </c>
      <c r="BA1278" s="27" t="str">
        <f t="shared" si="548"/>
        <v>Hun</v>
      </c>
      <c r="BB1278" s="27" t="str">
        <f t="shared" si="549"/>
        <v/>
      </c>
      <c r="BC1278" s="27" t="str">
        <f t="shared" si="550"/>
        <v/>
      </c>
      <c r="BD1278" s="27" t="str">
        <f t="shared" si="551"/>
        <v/>
      </c>
      <c r="BE1278" s="27" t="str">
        <f t="shared" si="552"/>
        <v/>
      </c>
      <c r="BF1278" s="27" t="str">
        <f t="shared" si="553"/>
        <v/>
      </c>
      <c r="BG1278" s="27" t="str">
        <f t="shared" si="554"/>
        <v/>
      </c>
      <c r="BH1278" s="27" t="str">
        <f t="shared" si="555"/>
        <v/>
      </c>
      <c r="BI1278" s="27" t="str">
        <f t="shared" si="556"/>
        <v/>
      </c>
      <c r="BJ1278" s="27" t="str">
        <f t="shared" si="557"/>
        <v>Supp or Hun</v>
      </c>
      <c r="BK1278" s="27" t="str">
        <f t="shared" si="558"/>
        <v/>
      </c>
      <c r="BL1278" s="27" t="str">
        <f t="shared" si="559"/>
        <v/>
      </c>
      <c r="BM1278" s="21" t="s">
        <v>5581</v>
      </c>
    </row>
    <row r="1279" spans="1:65" ht="15">
      <c r="A1279" s="25">
        <f>IFERROR(INDEX('Hun Demand'!W:W,MATCH(O1279,'Hun Demand'!A:A,0)),"")</f>
        <v>0</v>
      </c>
      <c r="B1279" s="25">
        <f>IFERROR(INDEX('Hun Demand'!V:V,MATCH(O1279,'Hun Demand'!A:A,0)),"")</f>
        <v>80</v>
      </c>
      <c r="C1279" s="25">
        <f>IFERROR(INDEX('Hun Demand'!U:U,MATCH(O1279,'Hun Demand'!A:A,0)),"")</f>
        <v>0</v>
      </c>
      <c r="D1279" s="25">
        <f>IFERROR(INDEX('Hun Demand'!T:T,MATCH(O1279,'Hun Demand'!A:A,0)),"")</f>
        <v>0</v>
      </c>
      <c r="E1279" s="25">
        <f>IFERROR(INDEX('Hun Demand'!S:S,MATCH(O1279,'Hun Demand'!A:A,0)),"")</f>
        <v>0</v>
      </c>
      <c r="F1279" s="25">
        <f>IFERROR(INDEX('Hun Demand'!R:R,MATCH(O1279,'Hun Demand'!A:A,0)),"")</f>
        <v>0</v>
      </c>
      <c r="G1279" s="25">
        <f>IFERROR(INDEX('Aub Demand'!W:W,MATCH(O1279,'Aub Demand'!A:A,0)),"")</f>
        <v>7</v>
      </c>
      <c r="H1279" s="25">
        <f>IFERROR(INDEX('Aub Demand'!V:V,MATCH(O1279,'Aub Demand'!A:A,0)),"")</f>
        <v>80</v>
      </c>
      <c r="I1279" s="25">
        <f>IFERROR(INDEX('Aub Demand'!U:U,MATCH(O1279,'Aub Demand'!A:A,0)),"")</f>
        <v>51</v>
      </c>
      <c r="J1279" s="25">
        <f>IFERROR(INDEX('Aub Demand'!T:T,MATCH(O1279,'Aub Demand'!A:A,0)),"")</f>
        <v>38</v>
      </c>
      <c r="K1279" s="25">
        <f>IFERROR(INDEX('Aub Demand'!S:S,MATCH(O1279,'Aub Demand'!A:A,0)),"")</f>
        <v>78</v>
      </c>
      <c r="L1279" s="25">
        <f>IFERROR(INDEX('Aub Demand'!R:R,MATCH(O1279,'Aub Demand'!A:A,0)),"")</f>
        <v>0</v>
      </c>
      <c r="O1279" s="27" t="s">
        <v>1597</v>
      </c>
      <c r="P1279" s="27" t="str">
        <f>IFERROR(INDEX('Aub Demand'!B:B,MATCH($O1279,'Aub Demand'!$A:$A,0)),"")</f>
        <v>AFTERNOON NAP</v>
      </c>
      <c r="Q1279" s="27" t="str">
        <f>IFERROR(INDEX('Aub Demand'!C:C,MATCH($O1279,'Aub Demand'!$A:$A,0)),"")</f>
        <v>IMPRE</v>
      </c>
      <c r="R1279" s="52">
        <f>IFERROR(IF(AR1280=AR1279,INDEX('Aub Demand'!K:K,MATCH($O1279,'Aub Demand'!$A:$A,0))-IF(AN1279="",0,AN1279)+AP1280,INDEX('Aub Demand'!K:K,MATCH($O1279,'Aub Demand'!$A:$A,0))-IF(AN1279="",0,AN1279)),"")</f>
        <v>1318</v>
      </c>
      <c r="S1279" s="53">
        <f t="shared" si="532"/>
        <v>100.9</v>
      </c>
      <c r="T1279" s="52" t="str">
        <f t="shared" si="533"/>
        <v/>
      </c>
      <c r="U1279" s="52">
        <f>IFERROR(IF(AR1280=AR1279,INDEX('Aub Demand'!Q:Q,MATCH($O1279,'Aub Demand'!$A:$A,0))-IF(AN1279="",0,AN1279)+AP1280,INDEX('Aub Demand'!Q:Q,MATCH($O1279,'Aub Demand'!$A:$A,0))-IF(AN1279="",0,AN1279)),"")</f>
        <v>1171</v>
      </c>
      <c r="V1279" s="53">
        <f t="shared" si="534"/>
        <v>89.6</v>
      </c>
      <c r="W1279" s="52" t="str">
        <f t="shared" si="535"/>
        <v/>
      </c>
      <c r="X1279" s="52">
        <f>IFERROR(IF(AND(AR1280=AR1279,AM1279&lt;&gt;""),INDEX('Aub Demand'!Q:Q,MATCH($O1279,'Aub Demand'!$A:$A,0))-IF(AN1279="",0,AN1279)+AP1280+AD1279+AL1279,IF(AR1280=AR1279,INDEX('Aub Demand'!Q:Q,MATCH($O1279,'Aub Demand'!$A:$A,0))-IF(AN1279="",0,AN1279)+AP1280+AD1279,IF(AM1279&lt;&gt;"",INDEX('Aub Demand'!Q:Q,MATCH($O1279,'Aub Demand'!$A:$A,0))-IF(AN1279="",0,AN1279)+AD1279+AL1279,INDEX('Aub Demand'!Q:Q,MATCH($O1279,'Aub Demand'!$A:$A,0))-IF(AN1279="",0,AN1279)+AD1279))),"")</f>
        <v>1171</v>
      </c>
      <c r="Y1279" s="53">
        <f t="shared" si="536"/>
        <v>89.6</v>
      </c>
      <c r="Z1279" s="52">
        <f>IF(L1279="","",INDEX('Aub Demand'!H:H,MATCH($O1279,'Aub Demand'!$A:$A,0)))</f>
        <v>56</v>
      </c>
      <c r="AA1279" s="52">
        <f t="shared" si="537"/>
        <v>64.5</v>
      </c>
      <c r="AB1279" s="52">
        <f>IFERROR(INDEX('Aub Demand'!L:L,MATCH($O1279,'Aub Demand'!$A:$A,0)),"")</f>
        <v>59</v>
      </c>
      <c r="AC1279" s="52">
        <f>IFERROR(IF(O1279="","",SUMIFS('CPL Mats'!F:F,'CPL Mats'!Q:Q,AR1279,'CPL Mats'!S:S,AS1279)),"")</f>
        <v>0</v>
      </c>
      <c r="AF1279" s="25" t="str">
        <f>IF(SUMIFS('Supp Consol'!S:S,'Supp Consol'!Y:Y,"Releasable",'Supp Consol'!A:A,O1279)=0,"",SUMIFS('Supp Consol'!S:S,'Supp Consol'!Y:Y,"Releasable",'Supp Consol'!A:A,O1279))</f>
        <v/>
      </c>
      <c r="AG1279" s="25">
        <f>IFERROR(INDEX('Hun Demand'!Q:Q,MATCH(O1279,'Hun Demand'!A:A,0)),"")</f>
        <v>322</v>
      </c>
      <c r="AH1279" s="25">
        <f>IFERROR(INDEX('Hun Demand'!H:H,MATCH($O1279,'Hun Demand'!$A:$A,0)),"")</f>
        <v>0</v>
      </c>
      <c r="AI1279" s="25" t="str">
        <f>IF(SUMIFS('Supp Consol'!AA:AA,'Supp Consol'!Z:Z,"Expires this month",'Supp Consol'!A:A,O1279)=0,"",SUMIFS('Supp Consol'!AA:AA,'Supp Consol'!Z:Z,"Expires this month",'Supp Consol'!A:A,O1279))</f>
        <v/>
      </c>
      <c r="AJ1279" s="25" t="str">
        <f>IF(SUMIFS('Supp Consol'!AA:AA,'Supp Consol'!Z:Z,"Expired Previous Months",'Supp Consol'!A:A,O1279)=0,"",SUMIFS('Supp Consol'!AA:AA,'Supp Consol'!Z:Z,"Expired Previous Months",'Supp Consol'!A:A,O1279))</f>
        <v/>
      </c>
      <c r="AK1279" s="25" t="str">
        <f>IFERROR(INDEX('Hun Release Current'!B:B,MATCH(O1279,'Hun Release Current'!A:A,0)),"")</f>
        <v/>
      </c>
      <c r="AL1279" s="25" t="str">
        <f>IF(SUMIF('Prev Aub'!A:A,O1279,'Prev Aub'!B:B)=0,"",SUMIF('Prev Aub'!A:A,O1279,'Prev Aub'!B:B))</f>
        <v/>
      </c>
      <c r="AN1279" s="25" t="s">
        <v>3790</v>
      </c>
      <c r="AO1279" s="25" t="s">
        <v>3790</v>
      </c>
      <c r="AP1279" s="25">
        <f t="shared" si="538"/>
        <v>0</v>
      </c>
      <c r="AQ1279" s="151" t="str">
        <f>IF(SUMIFS('Supp Consol'!S:S,'Supp Consol'!A:A,O1279,'Supp Consol'!I:I,"PENDING")=0,"",SUMIFS('Supp Consol'!S:S,'Supp Consol'!A:A,O1279,'Supp Consol'!I:I,"PENDING"))</f>
        <v/>
      </c>
      <c r="AR1279" s="27" t="str">
        <f t="shared" si="539"/>
        <v>WA120</v>
      </c>
      <c r="AS1279" s="27" t="str">
        <f t="shared" si="540"/>
        <v>50</v>
      </c>
      <c r="AT1279" s="27" t="str">
        <f t="shared" si="541"/>
        <v/>
      </c>
      <c r="AU1279" s="27" t="str">
        <f t="shared" si="542"/>
        <v/>
      </c>
      <c r="AV1279" s="27" t="str">
        <f t="shared" si="543"/>
        <v/>
      </c>
      <c r="AW1279" s="27" t="str">
        <f t="shared" si="544"/>
        <v/>
      </c>
      <c r="AX1279" s="27" t="str">
        <f t="shared" si="545"/>
        <v/>
      </c>
      <c r="AY1279" s="27" t="str">
        <f t="shared" si="546"/>
        <v>WA120</v>
      </c>
      <c r="AZ1279" s="27" t="str">
        <f t="shared" si="547"/>
        <v/>
      </c>
      <c r="BA1279" s="27" t="str">
        <f t="shared" si="548"/>
        <v>Hun</v>
      </c>
      <c r="BB1279" s="27" t="str">
        <f t="shared" si="549"/>
        <v/>
      </c>
      <c r="BC1279" s="27" t="str">
        <f t="shared" si="550"/>
        <v/>
      </c>
      <c r="BD1279" s="27" t="str">
        <f t="shared" si="551"/>
        <v/>
      </c>
      <c r="BE1279" s="27" t="str">
        <f t="shared" si="552"/>
        <v/>
      </c>
      <c r="BF1279" s="27" t="str">
        <f t="shared" si="553"/>
        <v/>
      </c>
      <c r="BG1279" s="27" t="str">
        <f t="shared" si="554"/>
        <v/>
      </c>
      <c r="BH1279" s="27" t="str">
        <f t="shared" si="555"/>
        <v/>
      </c>
      <c r="BI1279" s="27" t="str">
        <f t="shared" si="556"/>
        <v/>
      </c>
      <c r="BJ1279" s="27" t="str">
        <f t="shared" si="557"/>
        <v>Supp or Hun</v>
      </c>
      <c r="BK1279" s="27" t="str">
        <f t="shared" si="558"/>
        <v/>
      </c>
      <c r="BL1279" s="27" t="str">
        <f t="shared" si="559"/>
        <v/>
      </c>
      <c r="BM1279" s="21" t="s">
        <v>5581</v>
      </c>
    </row>
    <row r="1280" spans="1:65" ht="15">
      <c r="A1280" s="25">
        <f>IFERROR(INDEX('Hun Demand'!W:W,MATCH(O1280,'Hun Demand'!A:A,0)),"")</f>
        <v>0</v>
      </c>
      <c r="B1280" s="25">
        <f>IFERROR(INDEX('Hun Demand'!V:V,MATCH(O1280,'Hun Demand'!A:A,0)),"")</f>
        <v>0</v>
      </c>
      <c r="C1280" s="25">
        <f>IFERROR(INDEX('Hun Demand'!U:U,MATCH(O1280,'Hun Demand'!A:A,0)),"")</f>
        <v>183</v>
      </c>
      <c r="D1280" s="25">
        <f>IFERROR(INDEX('Hun Demand'!T:T,MATCH(O1280,'Hun Demand'!A:A,0)),"")</f>
        <v>0</v>
      </c>
      <c r="E1280" s="25">
        <f>IFERROR(INDEX('Hun Demand'!S:S,MATCH(O1280,'Hun Demand'!A:A,0)),"")</f>
        <v>0</v>
      </c>
      <c r="F1280" s="25">
        <f>IFERROR(INDEX('Hun Demand'!R:R,MATCH(O1280,'Hun Demand'!A:A,0)),"")</f>
        <v>0</v>
      </c>
      <c r="G1280" s="25">
        <f>IFERROR(INDEX('Aub Demand'!W:W,MATCH(O1280,'Aub Demand'!A:A,0)),"")</f>
        <v>97</v>
      </c>
      <c r="H1280" s="25">
        <f>IFERROR(INDEX('Aub Demand'!V:V,MATCH(O1280,'Aub Demand'!A:A,0)),"")</f>
        <v>119</v>
      </c>
      <c r="I1280" s="25">
        <f>IFERROR(INDEX('Aub Demand'!U:U,MATCH(O1280,'Aub Demand'!A:A,0)),"")</f>
        <v>1197</v>
      </c>
      <c r="J1280" s="25">
        <f>IFERROR(INDEX('Aub Demand'!T:T,MATCH(O1280,'Aub Demand'!A:A,0)),"")</f>
        <v>410</v>
      </c>
      <c r="K1280" s="25">
        <f>IFERROR(INDEX('Aub Demand'!S:S,MATCH(O1280,'Aub Demand'!A:A,0)),"")</f>
        <v>394</v>
      </c>
      <c r="L1280" s="25">
        <f>IFERROR(INDEX('Aub Demand'!R:R,MATCH(O1280,'Aub Demand'!A:A,0)),"")</f>
        <v>0</v>
      </c>
      <c r="O1280" s="27" t="s">
        <v>1599</v>
      </c>
      <c r="P1280" s="27" t="str">
        <f>IFERROR(INDEX('Aub Demand'!B:B,MATCH($O1280,'Aub Demand'!$A:$A,0)),"")</f>
        <v>AFTERNOON NAP</v>
      </c>
      <c r="Q1280" s="27" t="str">
        <f>IFERROR(INDEX('Aub Demand'!C:C,MATCH($O1280,'Aub Demand'!$A:$A,0)),"")</f>
        <v>IMPRE</v>
      </c>
      <c r="R1280" s="52">
        <f>IFERROR(IF(AR1281=AR1280,INDEX('Aub Demand'!K:K,MATCH($O1280,'Aub Demand'!$A:$A,0))-IF(AN1280="",0,AN1280)+AP1281,INDEX('Aub Demand'!K:K,MATCH($O1280,'Aub Demand'!$A:$A,0))-IF(AN1280="",0,AN1280)),"")</f>
        <v>5926</v>
      </c>
      <c r="S1280" s="53">
        <f t="shared" si="532"/>
        <v>38.1</v>
      </c>
      <c r="T1280" s="52" t="str">
        <f t="shared" si="533"/>
        <v/>
      </c>
      <c r="U1280" s="52">
        <f>IFERROR(IF(AR1281=AR1280,INDEX('Aub Demand'!Q:Q,MATCH($O1280,'Aub Demand'!$A:$A,0))-IF(AN1280="",0,AN1280)+AP1281,INDEX('Aub Demand'!Q:Q,MATCH($O1280,'Aub Demand'!$A:$A,0))-IF(AN1280="",0,AN1280)),"")</f>
        <v>5806</v>
      </c>
      <c r="V1280" s="53">
        <f t="shared" si="534"/>
        <v>37.299999999999997</v>
      </c>
      <c r="W1280" s="52" t="str">
        <f t="shared" si="535"/>
        <v/>
      </c>
      <c r="X1280" s="52">
        <f>IFERROR(IF(AND(AR1281=AR1280,AM1280&lt;&gt;""),INDEX('Aub Demand'!Q:Q,MATCH($O1280,'Aub Demand'!$A:$A,0))-IF(AN1280="",0,AN1280)+AP1281+AD1280+AL1280,IF(AR1281=AR1280,INDEX('Aub Demand'!Q:Q,MATCH($O1280,'Aub Demand'!$A:$A,0))-IF(AN1280="",0,AN1280)+AP1281+AD1280,IF(AM1280&lt;&gt;"",INDEX('Aub Demand'!Q:Q,MATCH($O1280,'Aub Demand'!$A:$A,0))-IF(AN1280="",0,AN1280)+AD1280+AL1280,INDEX('Aub Demand'!Q:Q,MATCH($O1280,'Aub Demand'!$A:$A,0))-IF(AN1280="",0,AN1280)+AD1280))),"")</f>
        <v>5806</v>
      </c>
      <c r="Y1280" s="53">
        <f t="shared" si="536"/>
        <v>37.299999999999997</v>
      </c>
      <c r="Z1280" s="52">
        <f>IF(L1280="","",INDEX('Aub Demand'!H:H,MATCH($O1280,'Aub Demand'!$A:$A,0)))</f>
        <v>667</v>
      </c>
      <c r="AA1280" s="52">
        <f t="shared" si="537"/>
        <v>803.5</v>
      </c>
      <c r="AB1280" s="52">
        <f>IFERROR(INDEX('Aub Demand'!L:L,MATCH($O1280,'Aub Demand'!$A:$A,0)),"")</f>
        <v>600</v>
      </c>
      <c r="AC1280" s="52">
        <f>IFERROR(IF(O1280="","",SUMIFS('CPL Mats'!F:F,'CPL Mats'!Q:Q,AR1280,'CPL Mats'!S:S,AS1280)),"")</f>
        <v>5200</v>
      </c>
      <c r="AF1280" s="25" t="str">
        <f>IF(SUMIFS('Supp Consol'!S:S,'Supp Consol'!Y:Y,"Releasable",'Supp Consol'!A:A,O1280)=0,"",SUMIFS('Supp Consol'!S:S,'Supp Consol'!Y:Y,"Releasable",'Supp Consol'!A:A,O1280))</f>
        <v/>
      </c>
      <c r="AG1280" s="25">
        <f>IFERROR(INDEX('Hun Demand'!Q:Q,MATCH(O1280,'Hun Demand'!A:A,0)),"")</f>
        <v>796</v>
      </c>
      <c r="AH1280" s="25">
        <f>IFERROR(INDEX('Hun Demand'!H:H,MATCH($O1280,'Hun Demand'!$A:$A,0)),"")</f>
        <v>61</v>
      </c>
      <c r="AI1280" s="25" t="str">
        <f>IF(SUMIFS('Supp Consol'!AA:AA,'Supp Consol'!Z:Z,"Expires this month",'Supp Consol'!A:A,O1280)=0,"",SUMIFS('Supp Consol'!AA:AA,'Supp Consol'!Z:Z,"Expires this month",'Supp Consol'!A:A,O1280))</f>
        <v/>
      </c>
      <c r="AJ1280" s="25" t="str">
        <f>IF(SUMIFS('Supp Consol'!AA:AA,'Supp Consol'!Z:Z,"Expired Previous Months",'Supp Consol'!A:A,O1280)=0,"",SUMIFS('Supp Consol'!AA:AA,'Supp Consol'!Z:Z,"Expired Previous Months",'Supp Consol'!A:A,O1280))</f>
        <v/>
      </c>
      <c r="AK1280" s="25" t="str">
        <f>IFERROR(INDEX('Hun Release Current'!B:B,MATCH(O1280,'Hun Release Current'!A:A,0)),"")</f>
        <v/>
      </c>
      <c r="AL1280" s="25" t="str">
        <f>IF(SUMIF('Prev Aub'!A:A,O1280,'Prev Aub'!B:B)=0,"",SUMIF('Prev Aub'!A:A,O1280,'Prev Aub'!B:B))</f>
        <v/>
      </c>
      <c r="AN1280" s="25" t="s">
        <v>3790</v>
      </c>
      <c r="AO1280" s="25" t="s">
        <v>3790</v>
      </c>
      <c r="AP1280" s="25">
        <f t="shared" si="538"/>
        <v>0</v>
      </c>
      <c r="AQ1280" s="151" t="str">
        <f>IF(SUMIFS('Supp Consol'!S:S,'Supp Consol'!A:A,O1280,'Supp Consol'!I:I,"PENDING")=0,"",SUMIFS('Supp Consol'!S:S,'Supp Consol'!A:A,O1280,'Supp Consol'!I:I,"PENDING"))</f>
        <v/>
      </c>
      <c r="AR1280" s="27" t="str">
        <f t="shared" si="539"/>
        <v>WA120</v>
      </c>
      <c r="AS1280" s="27" t="str">
        <f t="shared" si="540"/>
        <v>62</v>
      </c>
      <c r="AT1280" s="27" t="str">
        <f t="shared" si="541"/>
        <v/>
      </c>
      <c r="AU1280" s="27" t="str">
        <f t="shared" si="542"/>
        <v/>
      </c>
      <c r="AV1280" s="27" t="str">
        <f t="shared" si="543"/>
        <v/>
      </c>
      <c r="AW1280" s="27" t="str">
        <f t="shared" si="544"/>
        <v/>
      </c>
      <c r="AX1280" s="27" t="str">
        <f t="shared" si="545"/>
        <v/>
      </c>
      <c r="AY1280" s="27" t="str">
        <f t="shared" si="546"/>
        <v>WA120</v>
      </c>
      <c r="AZ1280" s="27" t="str">
        <f t="shared" si="547"/>
        <v/>
      </c>
      <c r="BA1280" s="27" t="str">
        <f t="shared" si="548"/>
        <v>Hun</v>
      </c>
      <c r="BB1280" s="27" t="str">
        <f t="shared" si="549"/>
        <v/>
      </c>
      <c r="BC1280" s="27" t="str">
        <f t="shared" si="550"/>
        <v/>
      </c>
      <c r="BD1280" s="27" t="str">
        <f t="shared" si="551"/>
        <v/>
      </c>
      <c r="BE1280" s="27" t="str">
        <f t="shared" si="552"/>
        <v/>
      </c>
      <c r="BF1280" s="27" t="str">
        <f t="shared" si="553"/>
        <v/>
      </c>
      <c r="BG1280" s="27" t="str">
        <f t="shared" si="554"/>
        <v/>
      </c>
      <c r="BH1280" s="27" t="str">
        <f t="shared" si="555"/>
        <v/>
      </c>
      <c r="BI1280" s="27" t="str">
        <f t="shared" si="556"/>
        <v/>
      </c>
      <c r="BJ1280" s="27" t="str">
        <f t="shared" si="557"/>
        <v>Supp or Hun</v>
      </c>
      <c r="BK1280" s="27" t="str">
        <f t="shared" si="558"/>
        <v/>
      </c>
      <c r="BL1280" s="27" t="str">
        <f t="shared" si="559"/>
        <v/>
      </c>
      <c r="BM1280" s="21" t="s">
        <v>5581</v>
      </c>
    </row>
    <row r="1281" spans="1:65" ht="15">
      <c r="A1281" s="25">
        <f>IFERROR(INDEX('Hun Demand'!W:W,MATCH(O1281,'Hun Demand'!A:A,0)),"")</f>
        <v>0</v>
      </c>
      <c r="B1281" s="25">
        <f>IFERROR(INDEX('Hun Demand'!V:V,MATCH(O1281,'Hun Demand'!A:A,0)),"")</f>
        <v>110</v>
      </c>
      <c r="C1281" s="25">
        <f>IFERROR(INDEX('Hun Demand'!U:U,MATCH(O1281,'Hun Demand'!A:A,0)),"")</f>
        <v>0</v>
      </c>
      <c r="D1281" s="25">
        <f>IFERROR(INDEX('Hun Demand'!T:T,MATCH(O1281,'Hun Demand'!A:A,0)),"")</f>
        <v>0</v>
      </c>
      <c r="E1281" s="25">
        <f>IFERROR(INDEX('Hun Demand'!S:S,MATCH(O1281,'Hun Demand'!A:A,0)),"")</f>
        <v>96</v>
      </c>
      <c r="F1281" s="25">
        <f>IFERROR(INDEX('Hun Demand'!R:R,MATCH(O1281,'Hun Demand'!A:A,0)),"")</f>
        <v>0</v>
      </c>
      <c r="G1281" s="25">
        <f>IFERROR(INDEX('Aub Demand'!W:W,MATCH(O1281,'Aub Demand'!A:A,0)),"")</f>
        <v>144</v>
      </c>
      <c r="H1281" s="25">
        <f>IFERROR(INDEX('Aub Demand'!V:V,MATCH(O1281,'Aub Demand'!A:A,0)),"")</f>
        <v>0</v>
      </c>
      <c r="I1281" s="25">
        <f>IFERROR(INDEX('Aub Demand'!U:U,MATCH(O1281,'Aub Demand'!A:A,0)),"")</f>
        <v>199</v>
      </c>
      <c r="J1281" s="25">
        <f>IFERROR(INDEX('Aub Demand'!T:T,MATCH(O1281,'Aub Demand'!A:A,0)),"")</f>
        <v>0</v>
      </c>
      <c r="K1281" s="25">
        <f>IFERROR(INDEX('Aub Demand'!S:S,MATCH(O1281,'Aub Demand'!A:A,0)),"")</f>
        <v>6</v>
      </c>
      <c r="L1281" s="25">
        <f>IFERROR(INDEX('Aub Demand'!R:R,MATCH(O1281,'Aub Demand'!A:A,0)),"")</f>
        <v>0</v>
      </c>
      <c r="O1281" s="27" t="s">
        <v>2893</v>
      </c>
      <c r="P1281" s="27" t="str">
        <f>IFERROR(INDEX('Aub Demand'!B:B,MATCH($O1281,'Aub Demand'!$A:$A,0)),"")</f>
        <v>TRANQUILITY</v>
      </c>
      <c r="Q1281" s="27" t="str">
        <f>IFERROR(INDEX('Aub Demand'!C:C,MATCH($O1281,'Aub Demand'!$A:$A,0)),"")</f>
        <v>LAMIG</v>
      </c>
      <c r="R1281" s="52">
        <f>IFERROR(IF(AR1282=AR1281,INDEX('Aub Demand'!K:K,MATCH($O1281,'Aub Demand'!$A:$A,0))-IF(AN1281="",0,AN1281)+AP1282,INDEX('Aub Demand'!K:K,MATCH($O1281,'Aub Demand'!$A:$A,0))-IF(AN1281="",0,AN1281)),"")</f>
        <v>2118</v>
      </c>
      <c r="S1281" s="53">
        <f t="shared" si="532"/>
        <v>133.5</v>
      </c>
      <c r="T1281" s="52" t="str">
        <f t="shared" si="533"/>
        <v/>
      </c>
      <c r="U1281" s="52">
        <f>IFERROR(IF(AR1282=AR1281,INDEX('Aub Demand'!Q:Q,MATCH($O1281,'Aub Demand'!$A:$A,0))-IF(AN1281="",0,AN1281)+AP1282,INDEX('Aub Demand'!Q:Q,MATCH($O1281,'Aub Demand'!$A:$A,0))-IF(AN1281="",0,AN1281)),"")</f>
        <v>2029</v>
      </c>
      <c r="V1281" s="53">
        <f t="shared" si="534"/>
        <v>127.9</v>
      </c>
      <c r="W1281" s="52" t="str">
        <f t="shared" si="535"/>
        <v/>
      </c>
      <c r="X1281" s="52">
        <f>IFERROR(IF(AND(AR1282=AR1281,AM1281&lt;&gt;""),INDEX('Aub Demand'!Q:Q,MATCH($O1281,'Aub Demand'!$A:$A,0))-IF(AN1281="",0,AN1281)+AP1282+AD1281+AL1281,IF(AR1282=AR1281,INDEX('Aub Demand'!Q:Q,MATCH($O1281,'Aub Demand'!$A:$A,0))-IF(AN1281="",0,AN1281)+AP1282+AD1281,IF(AM1281&lt;&gt;"",INDEX('Aub Demand'!Q:Q,MATCH($O1281,'Aub Demand'!$A:$A,0))-IF(AN1281="",0,AN1281)+AD1281+AL1281,INDEX('Aub Demand'!Q:Q,MATCH($O1281,'Aub Demand'!$A:$A,0))-IF(AN1281="",0,AN1281)+AD1281))),"")</f>
        <v>2029</v>
      </c>
      <c r="Y1281" s="53">
        <f t="shared" si="536"/>
        <v>127.9</v>
      </c>
      <c r="Z1281" s="52">
        <f>IF(L1281="","",INDEX('Aub Demand'!H:H,MATCH($O1281,'Aub Demand'!$A:$A,0)))</f>
        <v>68</v>
      </c>
      <c r="AA1281" s="52">
        <f t="shared" si="537"/>
        <v>102.5</v>
      </c>
      <c r="AB1281" s="52">
        <f>IFERROR(INDEX('Aub Demand'!L:L,MATCH($O1281,'Aub Demand'!$A:$A,0)),"")</f>
        <v>73</v>
      </c>
      <c r="AC1281" s="52">
        <f>IFERROR(IF(O1281="","",SUMIFS('CPL Mats'!F:F,'CPL Mats'!Q:Q,AR1281,'CPL Mats'!S:S,AS1281)),"")</f>
        <v>0</v>
      </c>
      <c r="AF1281" s="25" t="str">
        <f>IF(SUMIFS('Supp Consol'!S:S,'Supp Consol'!Y:Y,"Releasable",'Supp Consol'!A:A,O1281)=0,"",SUMIFS('Supp Consol'!S:S,'Supp Consol'!Y:Y,"Releasable",'Supp Consol'!A:A,O1281))</f>
        <v/>
      </c>
      <c r="AG1281" s="25">
        <f>IFERROR(INDEX('Hun Demand'!Q:Q,MATCH(O1281,'Hun Demand'!A:A,0)),"")</f>
        <v>234</v>
      </c>
      <c r="AH1281" s="25">
        <f>IFERROR(INDEX('Hun Demand'!H:H,MATCH($O1281,'Hun Demand'!$A:$A,0)),"")</f>
        <v>32</v>
      </c>
      <c r="AI1281" s="25" t="str">
        <f>IF(SUMIFS('Supp Consol'!AA:AA,'Supp Consol'!Z:Z,"Expires this month",'Supp Consol'!A:A,O1281)=0,"",SUMIFS('Supp Consol'!AA:AA,'Supp Consol'!Z:Z,"Expires this month",'Supp Consol'!A:A,O1281))</f>
        <v/>
      </c>
      <c r="AJ1281" s="25" t="str">
        <f>IF(SUMIFS('Supp Consol'!AA:AA,'Supp Consol'!Z:Z,"Expired Previous Months",'Supp Consol'!A:A,O1281)=0,"",SUMIFS('Supp Consol'!AA:AA,'Supp Consol'!Z:Z,"Expired Previous Months",'Supp Consol'!A:A,O1281))</f>
        <v/>
      </c>
      <c r="AK1281" s="25" t="str">
        <f>IFERROR(INDEX('Hun Release Current'!B:B,MATCH(O1281,'Hun Release Current'!A:A,0)),"")</f>
        <v/>
      </c>
      <c r="AL1281" s="25" t="str">
        <f>IF(SUMIF('Prev Aub'!A:A,O1281,'Prev Aub'!B:B)=0,"",SUMIF('Prev Aub'!A:A,O1281,'Prev Aub'!B:B))</f>
        <v/>
      </c>
      <c r="AN1281" s="25" t="s">
        <v>3790</v>
      </c>
      <c r="AO1281" s="25" t="s">
        <v>3790</v>
      </c>
      <c r="AP1281" s="25">
        <f t="shared" si="538"/>
        <v>0</v>
      </c>
      <c r="AQ1281" s="151" t="str">
        <f>IF(SUMIFS('Supp Consol'!S:S,'Supp Consol'!A:A,O1281,'Supp Consol'!I:I,"PENDING")=0,"",SUMIFS('Supp Consol'!S:S,'Supp Consol'!A:A,O1281,'Supp Consol'!I:I,"PENDING"))</f>
        <v/>
      </c>
      <c r="AR1281" s="27" t="str">
        <f t="shared" si="539"/>
        <v>WA300</v>
      </c>
      <c r="AS1281" s="27" t="str">
        <f t="shared" si="540"/>
        <v>50</v>
      </c>
      <c r="AT1281" s="27" t="str">
        <f t="shared" si="541"/>
        <v/>
      </c>
      <c r="AU1281" s="27" t="str">
        <f t="shared" si="542"/>
        <v/>
      </c>
      <c r="AV1281" s="27" t="str">
        <f t="shared" si="543"/>
        <v/>
      </c>
      <c r="AW1281" s="27" t="str">
        <f t="shared" si="544"/>
        <v/>
      </c>
      <c r="AX1281" s="27" t="str">
        <f t="shared" si="545"/>
        <v/>
      </c>
      <c r="AY1281" s="27" t="str">
        <f t="shared" si="546"/>
        <v>WA300</v>
      </c>
      <c r="AZ1281" s="27" t="str">
        <f t="shared" si="547"/>
        <v>Supp</v>
      </c>
      <c r="BA1281" s="27" t="str">
        <f t="shared" si="548"/>
        <v>Hun</v>
      </c>
      <c r="BB1281" s="27" t="str">
        <f t="shared" si="549"/>
        <v/>
      </c>
      <c r="BC1281" s="27" t="str">
        <f t="shared" si="550"/>
        <v/>
      </c>
      <c r="BD1281" s="27" t="str">
        <f t="shared" si="551"/>
        <v/>
      </c>
      <c r="BE1281" s="27" t="str">
        <f t="shared" si="552"/>
        <v/>
      </c>
      <c r="BF1281" s="27" t="str">
        <f t="shared" si="553"/>
        <v/>
      </c>
      <c r="BG1281" s="27" t="str">
        <f t="shared" si="554"/>
        <v/>
      </c>
      <c r="BH1281" s="27" t="str">
        <f t="shared" si="555"/>
        <v/>
      </c>
      <c r="BI1281" s="27" t="str">
        <f t="shared" si="556"/>
        <v/>
      </c>
      <c r="BJ1281" s="27" t="str">
        <f t="shared" si="557"/>
        <v>Supp or Hun</v>
      </c>
      <c r="BK1281" s="27" t="str">
        <f t="shared" si="558"/>
        <v/>
      </c>
      <c r="BL1281" s="27" t="str">
        <f t="shared" si="559"/>
        <v/>
      </c>
      <c r="BM1281" s="21" t="s">
        <v>5581</v>
      </c>
    </row>
    <row r="1282" spans="1:65" ht="15">
      <c r="A1282" s="25">
        <f>IFERROR(INDEX('Hun Demand'!W:W,MATCH(O1282,'Hun Demand'!A:A,0)),"")</f>
        <v>0</v>
      </c>
      <c r="B1282" s="25">
        <f>IFERROR(INDEX('Hun Demand'!V:V,MATCH(O1282,'Hun Demand'!A:A,0)),"")</f>
        <v>411</v>
      </c>
      <c r="C1282" s="25">
        <f>IFERROR(INDEX('Hun Demand'!U:U,MATCH(O1282,'Hun Demand'!A:A,0)),"")</f>
        <v>0</v>
      </c>
      <c r="D1282" s="25">
        <f>IFERROR(INDEX('Hun Demand'!T:T,MATCH(O1282,'Hun Demand'!A:A,0)),"")</f>
        <v>211</v>
      </c>
      <c r="E1282" s="25">
        <f>IFERROR(INDEX('Hun Demand'!S:S,MATCH(O1282,'Hun Demand'!A:A,0)),"")</f>
        <v>0</v>
      </c>
      <c r="F1282" s="25">
        <f>IFERROR(INDEX('Hun Demand'!R:R,MATCH(O1282,'Hun Demand'!A:A,0)),"")</f>
        <v>0</v>
      </c>
      <c r="G1282" s="25">
        <f>IFERROR(INDEX('Aub Demand'!W:W,MATCH(O1282,'Aub Demand'!A:A,0)),"")</f>
        <v>72</v>
      </c>
      <c r="H1282" s="25">
        <f>IFERROR(INDEX('Aub Demand'!V:V,MATCH(O1282,'Aub Demand'!A:A,0)),"")</f>
        <v>20</v>
      </c>
      <c r="I1282" s="25">
        <f>IFERROR(INDEX('Aub Demand'!U:U,MATCH(O1282,'Aub Demand'!A:A,0)),"")</f>
        <v>37</v>
      </c>
      <c r="J1282" s="25">
        <f>IFERROR(INDEX('Aub Demand'!T:T,MATCH(O1282,'Aub Demand'!A:A,0)),"")</f>
        <v>0</v>
      </c>
      <c r="K1282" s="25">
        <f>IFERROR(INDEX('Aub Demand'!S:S,MATCH(O1282,'Aub Demand'!A:A,0)),"")</f>
        <v>79</v>
      </c>
      <c r="L1282" s="25">
        <f>IFERROR(INDEX('Aub Demand'!R:R,MATCH(O1282,'Aub Demand'!A:A,0)),"")</f>
        <v>0</v>
      </c>
      <c r="O1282" s="27" t="s">
        <v>2895</v>
      </c>
      <c r="P1282" s="27" t="str">
        <f>IFERROR(INDEX('Aub Demand'!B:B,MATCH($O1282,'Aub Demand'!$A:$A,0)),"")</f>
        <v>TRANQUILITY</v>
      </c>
      <c r="Q1282" s="27" t="str">
        <f>IFERROR(INDEX('Aub Demand'!C:C,MATCH($O1282,'Aub Demand'!$A:$A,0)),"")</f>
        <v>LAMIG</v>
      </c>
      <c r="R1282" s="52">
        <f>IFERROR(IF(AR1283=AR1282,INDEX('Aub Demand'!K:K,MATCH($O1282,'Aub Demand'!$A:$A,0))-IF(AN1282="",0,AN1282)+AP1283,INDEX('Aub Demand'!K:K,MATCH($O1282,'Aub Demand'!$A:$A,0))-IF(AN1282="",0,AN1282)),"")</f>
        <v>1650</v>
      </c>
      <c r="S1282" s="53">
        <f t="shared" si="532"/>
        <v>181.3</v>
      </c>
      <c r="T1282" s="52" t="str">
        <f t="shared" si="533"/>
        <v/>
      </c>
      <c r="U1282" s="52">
        <f>IFERROR(IF(AR1283=AR1282,INDEX('Aub Demand'!Q:Q,MATCH($O1282,'Aub Demand'!$A:$A,0))-IF(AN1282="",0,AN1282)+AP1283,INDEX('Aub Demand'!Q:Q,MATCH($O1282,'Aub Demand'!$A:$A,0))-IF(AN1282="",0,AN1282)),"")</f>
        <v>1629</v>
      </c>
      <c r="V1282" s="53">
        <f t="shared" si="534"/>
        <v>179</v>
      </c>
      <c r="W1282" s="52" t="str">
        <f t="shared" si="535"/>
        <v/>
      </c>
      <c r="X1282" s="52">
        <f>IFERROR(IF(AND(AR1283=AR1282,AM1282&lt;&gt;""),INDEX('Aub Demand'!Q:Q,MATCH($O1282,'Aub Demand'!$A:$A,0))-IF(AN1282="",0,AN1282)+AP1283+AD1282+AL1282,IF(AR1283=AR1282,INDEX('Aub Demand'!Q:Q,MATCH($O1282,'Aub Demand'!$A:$A,0))-IF(AN1282="",0,AN1282)+AP1283+AD1282,IF(AM1282&lt;&gt;"",INDEX('Aub Demand'!Q:Q,MATCH($O1282,'Aub Demand'!$A:$A,0))-IF(AN1282="",0,AN1282)+AD1282+AL1282,INDEX('Aub Demand'!Q:Q,MATCH($O1282,'Aub Demand'!$A:$A,0))-IF(AN1282="",0,AN1282)+AD1282))),"")</f>
        <v>1629</v>
      </c>
      <c r="Y1282" s="53">
        <f t="shared" si="536"/>
        <v>179</v>
      </c>
      <c r="Z1282" s="52">
        <f>IF(L1282="","",INDEX('Aub Demand'!H:H,MATCH($O1282,'Aub Demand'!$A:$A,0)))</f>
        <v>39</v>
      </c>
      <c r="AA1282" s="52">
        <f t="shared" si="537"/>
        <v>58</v>
      </c>
      <c r="AB1282" s="52">
        <f>IFERROR(INDEX('Aub Demand'!L:L,MATCH($O1282,'Aub Demand'!$A:$A,0)),"")</f>
        <v>56</v>
      </c>
      <c r="AC1282" s="52">
        <f>IFERROR(IF(O1282="","",SUMIFS('CPL Mats'!F:F,'CPL Mats'!Q:Q,AR1282,'CPL Mats'!S:S,AS1282)),"")</f>
        <v>0</v>
      </c>
      <c r="AF1282" s="25">
        <f>IF(SUMIFS('Supp Consol'!S:S,'Supp Consol'!Y:Y,"Releasable",'Supp Consol'!A:A,O1282)=0,"",SUMIFS('Supp Consol'!S:S,'Supp Consol'!Y:Y,"Releasable",'Supp Consol'!A:A,O1282))</f>
        <v>703</v>
      </c>
      <c r="AG1282" s="25">
        <f>IFERROR(INDEX('Hun Demand'!Q:Q,MATCH(O1282,'Hun Demand'!A:A,0)),"")</f>
        <v>490</v>
      </c>
      <c r="AH1282" s="25">
        <f>IFERROR(INDEX('Hun Demand'!H:H,MATCH($O1282,'Hun Demand'!$A:$A,0)),"")</f>
        <v>70</v>
      </c>
      <c r="AI1282" s="25" t="str">
        <f>IF(SUMIFS('Supp Consol'!AA:AA,'Supp Consol'!Z:Z,"Expires this month",'Supp Consol'!A:A,O1282)=0,"",SUMIFS('Supp Consol'!AA:AA,'Supp Consol'!Z:Z,"Expires this month",'Supp Consol'!A:A,O1282))</f>
        <v/>
      </c>
      <c r="AJ1282" s="25">
        <f>IF(SUMIFS('Supp Consol'!AA:AA,'Supp Consol'!Z:Z,"Expired Previous Months",'Supp Consol'!A:A,O1282)=0,"",SUMIFS('Supp Consol'!AA:AA,'Supp Consol'!Z:Z,"Expired Previous Months",'Supp Consol'!A:A,O1282))</f>
        <v>-192</v>
      </c>
      <c r="AK1282" s="25" t="str">
        <f>IFERROR(INDEX('Hun Release Current'!B:B,MATCH(O1282,'Hun Release Current'!A:A,0)),"")</f>
        <v/>
      </c>
      <c r="AL1282" s="25" t="str">
        <f>IF(SUMIF('Prev Aub'!A:A,O1282,'Prev Aub'!B:B)=0,"",SUMIF('Prev Aub'!A:A,O1282,'Prev Aub'!B:B))</f>
        <v/>
      </c>
      <c r="AN1282" s="25" t="s">
        <v>3790</v>
      </c>
      <c r="AO1282" s="25" t="s">
        <v>3790</v>
      </c>
      <c r="AP1282" s="25">
        <f t="shared" si="538"/>
        <v>0</v>
      </c>
      <c r="AQ1282" s="151" t="str">
        <f>IF(SUMIFS('Supp Consol'!S:S,'Supp Consol'!A:A,O1282,'Supp Consol'!I:I,"PENDING")=0,"",SUMIFS('Supp Consol'!S:S,'Supp Consol'!A:A,O1282,'Supp Consol'!I:I,"PENDING"))</f>
        <v/>
      </c>
      <c r="AR1282" s="27" t="str">
        <f t="shared" si="539"/>
        <v>WA300</v>
      </c>
      <c r="AS1282" s="27" t="str">
        <f t="shared" si="540"/>
        <v>62</v>
      </c>
      <c r="AT1282" s="27" t="str">
        <f t="shared" si="541"/>
        <v/>
      </c>
      <c r="AU1282" s="27" t="str">
        <f t="shared" si="542"/>
        <v/>
      </c>
      <c r="AV1282" s="27" t="str">
        <f t="shared" si="543"/>
        <v/>
      </c>
      <c r="AW1282" s="27" t="str">
        <f t="shared" si="544"/>
        <v/>
      </c>
      <c r="AX1282" s="27" t="str">
        <f t="shared" si="545"/>
        <v>WA300</v>
      </c>
      <c r="AY1282" s="27" t="str">
        <f t="shared" si="546"/>
        <v>WA300</v>
      </c>
      <c r="AZ1282" s="27" t="str">
        <f t="shared" si="547"/>
        <v>Supp</v>
      </c>
      <c r="BA1282" s="27" t="str">
        <f t="shared" si="548"/>
        <v>Hun</v>
      </c>
      <c r="BB1282" s="27" t="str">
        <f t="shared" si="549"/>
        <v/>
      </c>
      <c r="BC1282" s="27" t="str">
        <f t="shared" si="550"/>
        <v/>
      </c>
      <c r="BD1282" s="27" t="str">
        <f t="shared" si="551"/>
        <v/>
      </c>
      <c r="BE1282" s="27" t="str">
        <f t="shared" si="552"/>
        <v/>
      </c>
      <c r="BF1282" s="27" t="str">
        <f t="shared" si="553"/>
        <v/>
      </c>
      <c r="BG1282" s="27" t="str">
        <f t="shared" si="554"/>
        <v/>
      </c>
      <c r="BH1282" s="27" t="str">
        <f t="shared" si="555"/>
        <v/>
      </c>
      <c r="BI1282" s="27" t="str">
        <f t="shared" si="556"/>
        <v/>
      </c>
      <c r="BJ1282" s="27" t="str">
        <f t="shared" si="557"/>
        <v>Supp or Hun</v>
      </c>
      <c r="BK1282" s="27" t="str">
        <f t="shared" si="558"/>
        <v/>
      </c>
      <c r="BL1282" s="27" t="str">
        <f t="shared" si="559"/>
        <v/>
      </c>
      <c r="BM1282" s="21" t="s">
        <v>5581</v>
      </c>
    </row>
    <row r="1283" spans="1:65" ht="15">
      <c r="A1283" s="25">
        <f>IFERROR(INDEX('Hun Demand'!W:W,MATCH(O1283,'Hun Demand'!A:A,0)),"")</f>
        <v>0</v>
      </c>
      <c r="B1283" s="25">
        <f>IFERROR(INDEX('Hun Demand'!V:V,MATCH(O1283,'Hun Demand'!A:A,0)),"")</f>
        <v>0</v>
      </c>
      <c r="C1283" s="25">
        <f>IFERROR(INDEX('Hun Demand'!U:U,MATCH(O1283,'Hun Demand'!A:A,0)),"")</f>
        <v>0</v>
      </c>
      <c r="D1283" s="25">
        <f>IFERROR(INDEX('Hun Demand'!T:T,MATCH(O1283,'Hun Demand'!A:A,0)),"")</f>
        <v>0</v>
      </c>
      <c r="E1283" s="25">
        <f>IFERROR(INDEX('Hun Demand'!S:S,MATCH(O1283,'Hun Demand'!A:A,0)),"")</f>
        <v>0</v>
      </c>
      <c r="F1283" s="25">
        <f>IFERROR(INDEX('Hun Demand'!R:R,MATCH(O1283,'Hun Demand'!A:A,0)),"")</f>
        <v>0</v>
      </c>
      <c r="G1283" s="25">
        <f>IFERROR(INDEX('Aub Demand'!W:W,MATCH(O1283,'Aub Demand'!A:A,0)),"")</f>
        <v>0</v>
      </c>
      <c r="H1283" s="25">
        <f>IFERROR(INDEX('Aub Demand'!V:V,MATCH(O1283,'Aub Demand'!A:A,0)),"")</f>
        <v>0</v>
      </c>
      <c r="I1283" s="25">
        <f>IFERROR(INDEX('Aub Demand'!U:U,MATCH(O1283,'Aub Demand'!A:A,0)),"")</f>
        <v>0</v>
      </c>
      <c r="J1283" s="25">
        <f>IFERROR(INDEX('Aub Demand'!T:T,MATCH(O1283,'Aub Demand'!A:A,0)),"")</f>
        <v>0</v>
      </c>
      <c r="K1283" s="25">
        <f>IFERROR(INDEX('Aub Demand'!S:S,MATCH(O1283,'Aub Demand'!A:A,0)),"")</f>
        <v>4</v>
      </c>
      <c r="L1283" s="25">
        <f>IFERROR(INDEX('Aub Demand'!R:R,MATCH(O1283,'Aub Demand'!A:A,0)),"")</f>
        <v>19</v>
      </c>
      <c r="O1283" s="27" t="s">
        <v>2896</v>
      </c>
      <c r="P1283" s="27" t="str">
        <f>IFERROR(INDEX('Aub Demand'!B:B,MATCH($O1283,'Aub Demand'!$A:$A,0)),"")</f>
        <v>GOLDEN ANIGRE</v>
      </c>
      <c r="Q1283" s="27" t="str">
        <f>IFERROR(INDEX('Aub Demand'!C:C,MATCH($O1283,'Aub Demand'!$A:$A,0)),"")</f>
        <v>TOPPA</v>
      </c>
      <c r="R1283" s="52">
        <f>IFERROR(IF(AR1284=AR1283,INDEX('Aub Demand'!K:K,MATCH($O1283,'Aub Demand'!$A:$A,0))-IF(AN1283="",0,AN1283)+AP1284,INDEX('Aub Demand'!K:K,MATCH($O1283,'Aub Demand'!$A:$A,0))-IF(AN1283="",0,AN1283)),"")</f>
        <v>1558</v>
      </c>
      <c r="S1283" s="53">
        <f t="shared" ref="S1283:S1346" si="560">IFERROR(IF(O1283="","",ROUND(R1283/((Z1283/30)*7),1)),"n/a")</f>
        <v>6677.1</v>
      </c>
      <c r="T1283" s="52" t="str">
        <f t="shared" ref="T1283:T1346" si="561">IFERROR(IF(S1283&lt;3.1,IF(AA1283="spike",(3-S1283)*(Z1283/4),(3-S1283)*(AA1283/4)),""),"")</f>
        <v/>
      </c>
      <c r="U1283" s="52">
        <f>IFERROR(IF(AR1284=AR1283,INDEX('Aub Demand'!Q:Q,MATCH($O1283,'Aub Demand'!$A:$A,0))-IF(AN1283="",0,AN1283)+AP1284,INDEX('Aub Demand'!Q:Q,MATCH($O1283,'Aub Demand'!$A:$A,0))-IF(AN1283="",0,AN1283)),"")</f>
        <v>1543</v>
      </c>
      <c r="V1283" s="53">
        <f t="shared" ref="V1283:V1346" si="562">IFERROR(IF(O1283="","",ROUND(U1283/((Z1283/30)*7),1)),"n/a")</f>
        <v>6612.9</v>
      </c>
      <c r="W1283" s="52" t="str">
        <f t="shared" ref="W1283:W1346" si="563">IF(IFERROR(IF(V1283&lt;3.1,IF(AA1283="spike",(3-V1283)*(Z1283/4),(3-V1283)*(AA1283/4)),""),"")&lt;0,0,IFERROR(IF(V1283&lt;3.1,IF(AA1283="spike",(3-V1283)*(Z1283/4),(3-V1283)*(AA1283/4)),""),""))</f>
        <v/>
      </c>
      <c r="X1283" s="52">
        <f>IFERROR(IF(AND(AR1284=AR1283,AM1283&lt;&gt;""),INDEX('Aub Demand'!Q:Q,MATCH($O1283,'Aub Demand'!$A:$A,0))-IF(AN1283="",0,AN1283)+AP1284+AD1283+AL1283,IF(AR1284=AR1283,INDEX('Aub Demand'!Q:Q,MATCH($O1283,'Aub Demand'!$A:$A,0))-IF(AN1283="",0,AN1283)+AP1284+AD1283,IF(AM1283&lt;&gt;"",INDEX('Aub Demand'!Q:Q,MATCH($O1283,'Aub Demand'!$A:$A,0))-IF(AN1283="",0,AN1283)+AD1283+AL1283,INDEX('Aub Demand'!Q:Q,MATCH($O1283,'Aub Demand'!$A:$A,0))-IF(AN1283="",0,AN1283)+AD1283))),"")</f>
        <v>1543</v>
      </c>
      <c r="Y1283" s="53">
        <f t="shared" ref="Y1283:Y1346" si="564">IFERROR(IF(O1283="","",ROUND(X1283/((Z1283/30)*7),1)),"n/a")</f>
        <v>6612.9</v>
      </c>
      <c r="Z1283" s="52">
        <f>IF(L1283="","",INDEX('Aub Demand'!H:H,MATCH($O1283,'Aub Demand'!$A:$A,0)))</f>
        <v>1</v>
      </c>
      <c r="AA1283" s="52">
        <f t="shared" ref="AA1283:AA1346" si="565">IF(L1283="","",IF(LARGE(I1283:L1283,2)=0,"-spike-",AVERAGE(LARGE(I1283:L1283,1),LARGE(I1283:L1283,2))))</f>
        <v>11.5</v>
      </c>
      <c r="AB1283" s="52">
        <f>IFERROR(INDEX('Aub Demand'!L:L,MATCH($O1283,'Aub Demand'!$A:$A,0)),"")</f>
        <v>17</v>
      </c>
      <c r="AC1283" s="52">
        <f>IFERROR(IF(O1283="","",SUMIFS('CPL Mats'!F:F,'CPL Mats'!Q:Q,AR1283,'CPL Mats'!S:S,AS1283)),"")</f>
        <v>0</v>
      </c>
      <c r="AF1283" s="25" t="str">
        <f>IF(SUMIFS('Supp Consol'!S:S,'Supp Consol'!Y:Y,"Releasable",'Supp Consol'!A:A,O1283)=0,"",SUMIFS('Supp Consol'!S:S,'Supp Consol'!Y:Y,"Releasable",'Supp Consol'!A:A,O1283))</f>
        <v/>
      </c>
      <c r="AG1283" s="25">
        <f>IFERROR(INDEX('Hun Demand'!Q:Q,MATCH(O1283,'Hun Demand'!A:A,0)),"")</f>
        <v>332</v>
      </c>
      <c r="AH1283" s="25">
        <f>IFERROR(INDEX('Hun Demand'!H:H,MATCH($O1283,'Hun Demand'!$A:$A,0)),"")</f>
        <v>0</v>
      </c>
      <c r="AI1283" s="25" t="str">
        <f>IF(SUMIFS('Supp Consol'!AA:AA,'Supp Consol'!Z:Z,"Expires this month",'Supp Consol'!A:A,O1283)=0,"",SUMIFS('Supp Consol'!AA:AA,'Supp Consol'!Z:Z,"Expires this month",'Supp Consol'!A:A,O1283))</f>
        <v/>
      </c>
      <c r="AJ1283" s="25" t="str">
        <f>IF(SUMIFS('Supp Consol'!AA:AA,'Supp Consol'!Z:Z,"Expired Previous Months",'Supp Consol'!A:A,O1283)=0,"",SUMIFS('Supp Consol'!AA:AA,'Supp Consol'!Z:Z,"Expired Previous Months",'Supp Consol'!A:A,O1283))</f>
        <v/>
      </c>
      <c r="AK1283" s="25" t="str">
        <f>IFERROR(INDEX('Hun Release Current'!B:B,MATCH(O1283,'Hun Release Current'!A:A,0)),"")</f>
        <v/>
      </c>
      <c r="AL1283" s="25" t="str">
        <f>IF(SUMIF('Prev Aub'!A:A,O1283,'Prev Aub'!B:B)=0,"",SUMIF('Prev Aub'!A:A,O1283,'Prev Aub'!B:B))</f>
        <v/>
      </c>
      <c r="AN1283" s="25" t="s">
        <v>3790</v>
      </c>
      <c r="AO1283" s="25" t="s">
        <v>3790</v>
      </c>
      <c r="AP1283" s="25">
        <f t="shared" ref="AP1283:AP1346" si="566">IFERROR(IF(O1283="","",IF(AN1283="",0,VALUE(AN1283)-(VALUE(AN1283)*0.2))),"")</f>
        <v>0</v>
      </c>
      <c r="AQ1283" s="151" t="str">
        <f>IF(SUMIFS('Supp Consol'!S:S,'Supp Consol'!A:A,O1283,'Supp Consol'!I:I,"PENDING")=0,"",SUMIFS('Supp Consol'!S:S,'Supp Consol'!A:A,O1283,'Supp Consol'!I:I,"PENDING"))</f>
        <v/>
      </c>
      <c r="AR1283" s="27" t="str">
        <f t="shared" ref="AR1283:AR1346" si="567">MID(O1283,4,5)</f>
        <v>WA301</v>
      </c>
      <c r="AS1283" s="27" t="str">
        <f t="shared" ref="AS1283:AS1346" si="568">MID(O1283,10,2)</f>
        <v>50</v>
      </c>
      <c r="AT1283" s="27" t="str">
        <f t="shared" ref="AT1283:AT1346" si="569">IF(S1283&lt;3.1,AR1283,"")</f>
        <v/>
      </c>
      <c r="AU1283" s="27" t="str">
        <f t="shared" ref="AU1283:AU1346" si="570">IF(Y1283&lt;3.1,AR1283,"")</f>
        <v/>
      </c>
      <c r="AV1283" s="27" t="str">
        <f t="shared" ref="AV1283:AV1346" si="571">IF(AND(AA1283="Spike",L1283=0,K1283=0,X1283&gt;=0),"",IF(Y1283&lt;3.1,AR1283,""))</f>
        <v/>
      </c>
      <c r="AW1283" s="27" t="str">
        <f t="shared" ref="AW1283:AW1346" si="572">IF(AI1283=AL1283,"",IF(OR(AI1283&lt;&gt;"",AJ1283&lt;&gt;""),AR1283,""))</f>
        <v/>
      </c>
      <c r="AX1283" s="27" t="str">
        <f t="shared" ref="AX1283:AX1346" si="573">IF(AF1283&lt;&gt;"",AR1283,"")</f>
        <v/>
      </c>
      <c r="AY1283" s="27" t="str">
        <f t="shared" ref="AY1283:AY1346" si="574">IF(AND(AG1283&lt;&gt;"",AG1283&gt;AH1283),AR1283,"")</f>
        <v>WA301</v>
      </c>
      <c r="AZ1283" s="27" t="str">
        <f t="shared" ref="AZ1283:AZ1346" si="575">IFERROR(IF(O1283="","",IF(ISERROR(MATCH(AR1283,AX:AX,0)),"","Supp")),"")</f>
        <v/>
      </c>
      <c r="BA1283" s="27" t="str">
        <f t="shared" ref="BA1283:BA1346" si="576">IFERROR(IF(O1283="","",IF(ISERROR(MATCH(AR1283,AY:AY,0)),"","Hun")),"")</f>
        <v>Hun</v>
      </c>
      <c r="BB1283" s="27" t="str">
        <f t="shared" ref="BB1283:BB1346" si="577">IFERROR(IF(O1283="","",IF(ISERROR(MATCH(AR1283,AT:AT,0)),"","Gross")),"")</f>
        <v/>
      </c>
      <c r="BC1283" s="27" t="str">
        <f t="shared" ref="BC1283:BC1346" si="578">IFERROR(IF(O1283="","",IF(ISERROR(MATCH(AR1283,AU:AU,0)),"","Net")),"")</f>
        <v/>
      </c>
      <c r="BD1283" s="27" t="str">
        <f t="shared" ref="BD1283:BD1346" si="579">IFERROR(IF(O1283="","",IF(ISERROR(MATCH(AR1283,AV:AV,0)),"","Net")),"")</f>
        <v/>
      </c>
      <c r="BE1283" s="27" t="str">
        <f t="shared" ref="BE1283:BE1346" si="580">IFERROR(IF(O1283="","",IF(ISERROR(MATCH(AR1283,AW:AW,0)),"","Exp")),"")</f>
        <v/>
      </c>
      <c r="BF1283" s="27" t="str">
        <f t="shared" ref="BF1283:BF1346" si="581">IFERROR(IF(O1283="","",IF(AND(AZ1283="Supp",BC1283="Net"),"S+N","")),"")</f>
        <v/>
      </c>
      <c r="BG1283" s="27" t="str">
        <f t="shared" ref="BG1283:BG1346" si="582">IFERROR(IF(O1283="","",IF(OR(BE1283&lt;&gt;"",BF1283&lt;&gt;""),"S+NorE","")),"")</f>
        <v/>
      </c>
      <c r="BH1283" s="27" t="str">
        <f t="shared" ref="BH1283:BH1346" si="583">IFERROR(IF(O1283="","",IF(AND(BA1283&lt;&gt;"",BC1283&lt;&gt;""),"H+N","")),"")</f>
        <v/>
      </c>
      <c r="BI1283" s="27" t="str">
        <f t="shared" ref="BI1283:BI1346" si="584">IFERROR(IF(O1283="","",IF(AND(BA1283&lt;&gt;"",BD1283&lt;&gt;""),"H+Nex","")),"")</f>
        <v/>
      </c>
      <c r="BJ1283" s="27" t="str">
        <f t="shared" ref="BJ1283:BJ1346" si="585">IF(OR(AZ1283&lt;&gt;"",BA1283&lt;&gt;""),"Supp or Hun","")</f>
        <v>Supp or Hun</v>
      </c>
      <c r="BK1283" s="27" t="str">
        <f t="shared" ref="BK1283:BK1346" si="586">IF(AND(BJ1283&lt;&gt;"",BC1283&lt;&gt;""),"Supp or Hun Need","")</f>
        <v/>
      </c>
      <c r="BL1283" s="27" t="str">
        <f t="shared" ref="BL1283:BL1346" si="587">IF(OR(BK1283&lt;&gt;"",BE1283&lt;&gt;""),"SorHandNandE","")</f>
        <v/>
      </c>
      <c r="BM1283" s="21" t="s">
        <v>5581</v>
      </c>
    </row>
    <row r="1284" spans="1:65" ht="15">
      <c r="A1284" s="25" t="str">
        <f>IFERROR(INDEX('Hun Demand'!W:W,MATCH(O1284,'Hun Demand'!A:A,0)),"")</f>
        <v/>
      </c>
      <c r="B1284" s="25" t="str">
        <f>IFERROR(INDEX('Hun Demand'!V:V,MATCH(O1284,'Hun Demand'!A:A,0)),"")</f>
        <v/>
      </c>
      <c r="C1284" s="25" t="str">
        <f>IFERROR(INDEX('Hun Demand'!U:U,MATCH(O1284,'Hun Demand'!A:A,0)),"")</f>
        <v/>
      </c>
      <c r="D1284" s="25" t="str">
        <f>IFERROR(INDEX('Hun Demand'!T:T,MATCH(O1284,'Hun Demand'!A:A,0)),"")</f>
        <v/>
      </c>
      <c r="E1284" s="25" t="str">
        <f>IFERROR(INDEX('Hun Demand'!S:S,MATCH(O1284,'Hun Demand'!A:A,0)),"")</f>
        <v/>
      </c>
      <c r="F1284" s="25" t="str">
        <f>IFERROR(INDEX('Hun Demand'!R:R,MATCH(O1284,'Hun Demand'!A:A,0)),"")</f>
        <v/>
      </c>
      <c r="G1284" s="25">
        <f>IFERROR(INDEX('Aub Demand'!W:W,MATCH(O1284,'Aub Demand'!A:A,0)),"")</f>
        <v>0</v>
      </c>
      <c r="H1284" s="25">
        <f>IFERROR(INDEX('Aub Demand'!V:V,MATCH(O1284,'Aub Demand'!A:A,0)),"")</f>
        <v>0</v>
      </c>
      <c r="I1284" s="25">
        <f>IFERROR(INDEX('Aub Demand'!U:U,MATCH(O1284,'Aub Demand'!A:A,0)),"")</f>
        <v>0</v>
      </c>
      <c r="J1284" s="25">
        <f>IFERROR(INDEX('Aub Demand'!T:T,MATCH(O1284,'Aub Demand'!A:A,0)),"")</f>
        <v>0</v>
      </c>
      <c r="K1284" s="25">
        <f>IFERROR(INDEX('Aub Demand'!S:S,MATCH(O1284,'Aub Demand'!A:A,0)),"")</f>
        <v>11</v>
      </c>
      <c r="L1284" s="25">
        <f>IFERROR(INDEX('Aub Demand'!R:R,MATCH(O1284,'Aub Demand'!A:A,0)),"")</f>
        <v>0</v>
      </c>
      <c r="O1284" s="27" t="s">
        <v>2899</v>
      </c>
      <c r="P1284" s="27" t="str">
        <f>IFERROR(INDEX('Aub Demand'!B:B,MATCH($O1284,'Aub Demand'!$A:$A,0)),"")</f>
        <v>GOLDEN ANIGRE 60"</v>
      </c>
      <c r="Q1284" s="27" t="str">
        <f>IFERROR(INDEX('Aub Demand'!C:C,MATCH($O1284,'Aub Demand'!$A:$A,0)),"")</f>
        <v>TOPPA</v>
      </c>
      <c r="R1284" s="52">
        <f>IFERROR(IF(AR1285=AR1284,INDEX('Aub Demand'!K:K,MATCH($O1284,'Aub Demand'!$A:$A,0))-IF(AN1284="",0,AN1284)+AP1285,INDEX('Aub Demand'!K:K,MATCH($O1284,'Aub Demand'!$A:$A,0))-IF(AN1284="",0,AN1284)),"")</f>
        <v>2121</v>
      </c>
      <c r="S1284" s="53">
        <f t="shared" si="560"/>
        <v>2272.5</v>
      </c>
      <c r="T1284" s="52" t="str">
        <f t="shared" si="561"/>
        <v/>
      </c>
      <c r="U1284" s="52">
        <f>IFERROR(IF(AR1285=AR1284,INDEX('Aub Demand'!Q:Q,MATCH($O1284,'Aub Demand'!$A:$A,0))-IF(AN1284="",0,AN1284)+AP1285,INDEX('Aub Demand'!Q:Q,MATCH($O1284,'Aub Demand'!$A:$A,0))-IF(AN1284="",0,AN1284)),"")</f>
        <v>2121</v>
      </c>
      <c r="V1284" s="53">
        <f t="shared" si="562"/>
        <v>2272.5</v>
      </c>
      <c r="W1284" s="52" t="str">
        <f t="shared" si="563"/>
        <v/>
      </c>
      <c r="X1284" s="52">
        <f>IFERROR(IF(AND(AR1285=AR1284,AM1284&lt;&gt;""),INDEX('Aub Demand'!Q:Q,MATCH($O1284,'Aub Demand'!$A:$A,0))-IF(AN1284="",0,AN1284)+AP1285+AD1284+AL1284,IF(AR1285=AR1284,INDEX('Aub Demand'!Q:Q,MATCH($O1284,'Aub Demand'!$A:$A,0))-IF(AN1284="",0,AN1284)+AP1285+AD1284,IF(AM1284&lt;&gt;"",INDEX('Aub Demand'!Q:Q,MATCH($O1284,'Aub Demand'!$A:$A,0))-IF(AN1284="",0,AN1284)+AD1284+AL1284,INDEX('Aub Demand'!Q:Q,MATCH($O1284,'Aub Demand'!$A:$A,0))-IF(AN1284="",0,AN1284)+AD1284))),"")</f>
        <v>2121</v>
      </c>
      <c r="Y1284" s="53">
        <f t="shared" si="564"/>
        <v>2272.5</v>
      </c>
      <c r="Z1284" s="52">
        <f>IF(L1284="","",INDEX('Aub Demand'!H:H,MATCH($O1284,'Aub Demand'!$A:$A,0)))</f>
        <v>4</v>
      </c>
      <c r="AA1284" s="52" t="str">
        <f t="shared" si="565"/>
        <v>-spike-</v>
      </c>
      <c r="AB1284" s="52">
        <f>IFERROR(INDEX('Aub Demand'!L:L,MATCH($O1284,'Aub Demand'!$A:$A,0)),"")</f>
        <v>58</v>
      </c>
      <c r="AC1284" s="52">
        <f>IFERROR(IF(O1284="","",SUMIFS('CPL Mats'!F:F,'CPL Mats'!Q:Q,AR1284,'CPL Mats'!S:S,AS1284)),"")</f>
        <v>0</v>
      </c>
      <c r="AF1284" s="25" t="str">
        <f>IF(SUMIFS('Supp Consol'!S:S,'Supp Consol'!Y:Y,"Releasable",'Supp Consol'!A:A,O1284)=0,"",SUMIFS('Supp Consol'!S:S,'Supp Consol'!Y:Y,"Releasable",'Supp Consol'!A:A,O1284))</f>
        <v/>
      </c>
      <c r="AG1284" s="25" t="str">
        <f>IFERROR(INDEX('Hun Demand'!Q:Q,MATCH(O1284,'Hun Demand'!A:A,0)),"")</f>
        <v/>
      </c>
      <c r="AH1284" s="25" t="str">
        <f>IFERROR(INDEX('Hun Demand'!H:H,MATCH($O1284,'Hun Demand'!$A:$A,0)),"")</f>
        <v/>
      </c>
      <c r="AI1284" s="25" t="str">
        <f>IF(SUMIFS('Supp Consol'!AA:AA,'Supp Consol'!Z:Z,"Expires this month",'Supp Consol'!A:A,O1284)=0,"",SUMIFS('Supp Consol'!AA:AA,'Supp Consol'!Z:Z,"Expires this month",'Supp Consol'!A:A,O1284))</f>
        <v/>
      </c>
      <c r="AJ1284" s="25" t="str">
        <f>IF(SUMIFS('Supp Consol'!AA:AA,'Supp Consol'!Z:Z,"Expired Previous Months",'Supp Consol'!A:A,O1284)=0,"",SUMIFS('Supp Consol'!AA:AA,'Supp Consol'!Z:Z,"Expired Previous Months",'Supp Consol'!A:A,O1284))</f>
        <v/>
      </c>
      <c r="AK1284" s="25" t="str">
        <f>IFERROR(INDEX('Hun Release Current'!B:B,MATCH(O1284,'Hun Release Current'!A:A,0)),"")</f>
        <v/>
      </c>
      <c r="AL1284" s="25" t="str">
        <f>IF(SUMIF('Prev Aub'!A:A,O1284,'Prev Aub'!B:B)=0,"",SUMIF('Prev Aub'!A:A,O1284,'Prev Aub'!B:B))</f>
        <v/>
      </c>
      <c r="AN1284" s="25" t="s">
        <v>3790</v>
      </c>
      <c r="AO1284" s="25" t="s">
        <v>3790</v>
      </c>
      <c r="AP1284" s="25">
        <f t="shared" si="566"/>
        <v>0</v>
      </c>
      <c r="AQ1284" s="151" t="str">
        <f>IF(SUMIFS('Supp Consol'!S:S,'Supp Consol'!A:A,O1284,'Supp Consol'!I:I,"PENDING")=0,"",SUMIFS('Supp Consol'!S:S,'Supp Consol'!A:A,O1284,'Supp Consol'!I:I,"PENDING"))</f>
        <v/>
      </c>
      <c r="AR1284" s="27" t="str">
        <f t="shared" si="567"/>
        <v>WA301</v>
      </c>
      <c r="AS1284" s="27" t="str">
        <f t="shared" si="568"/>
        <v>62</v>
      </c>
      <c r="AT1284" s="27" t="str">
        <f t="shared" si="569"/>
        <v/>
      </c>
      <c r="AU1284" s="27" t="str">
        <f t="shared" si="570"/>
        <v/>
      </c>
      <c r="AV1284" s="27" t="str">
        <f t="shared" si="571"/>
        <v/>
      </c>
      <c r="AW1284" s="27" t="str">
        <f t="shared" si="572"/>
        <v/>
      </c>
      <c r="AX1284" s="27" t="str">
        <f t="shared" si="573"/>
        <v/>
      </c>
      <c r="AY1284" s="27" t="str">
        <f t="shared" si="574"/>
        <v/>
      </c>
      <c r="AZ1284" s="27" t="str">
        <f t="shared" si="575"/>
        <v/>
      </c>
      <c r="BA1284" s="27" t="str">
        <f t="shared" si="576"/>
        <v>Hun</v>
      </c>
      <c r="BB1284" s="27" t="str">
        <f t="shared" si="577"/>
        <v/>
      </c>
      <c r="BC1284" s="27" t="str">
        <f t="shared" si="578"/>
        <v/>
      </c>
      <c r="BD1284" s="27" t="str">
        <f t="shared" si="579"/>
        <v/>
      </c>
      <c r="BE1284" s="27" t="str">
        <f t="shared" si="580"/>
        <v/>
      </c>
      <c r="BF1284" s="27" t="str">
        <f t="shared" si="581"/>
        <v/>
      </c>
      <c r="BG1284" s="27" t="str">
        <f t="shared" si="582"/>
        <v/>
      </c>
      <c r="BH1284" s="27" t="str">
        <f t="shared" si="583"/>
        <v/>
      </c>
      <c r="BI1284" s="27" t="str">
        <f t="shared" si="584"/>
        <v/>
      </c>
      <c r="BJ1284" s="27" t="str">
        <f t="shared" si="585"/>
        <v>Supp or Hun</v>
      </c>
      <c r="BK1284" s="27" t="str">
        <f t="shared" si="586"/>
        <v/>
      </c>
      <c r="BL1284" s="27" t="str">
        <f t="shared" si="587"/>
        <v/>
      </c>
      <c r="BM1284" s="21" t="s">
        <v>5581</v>
      </c>
    </row>
    <row r="1285" spans="1:65" ht="15">
      <c r="A1285" s="25" t="str">
        <f>IFERROR(INDEX('Hun Demand'!W:W,MATCH(O1285,'Hun Demand'!A:A,0)),"")</f>
        <v/>
      </c>
      <c r="B1285" s="25" t="str">
        <f>IFERROR(INDEX('Hun Demand'!V:V,MATCH(O1285,'Hun Demand'!A:A,0)),"")</f>
        <v/>
      </c>
      <c r="C1285" s="25" t="str">
        <f>IFERROR(INDEX('Hun Demand'!U:U,MATCH(O1285,'Hun Demand'!A:A,0)),"")</f>
        <v/>
      </c>
      <c r="D1285" s="25" t="str">
        <f>IFERROR(INDEX('Hun Demand'!T:T,MATCH(O1285,'Hun Demand'!A:A,0)),"")</f>
        <v/>
      </c>
      <c r="E1285" s="25" t="str">
        <f>IFERROR(INDEX('Hun Demand'!S:S,MATCH(O1285,'Hun Demand'!A:A,0)),"")</f>
        <v/>
      </c>
      <c r="F1285" s="25" t="str">
        <f>IFERROR(INDEX('Hun Demand'!R:R,MATCH(O1285,'Hun Demand'!A:A,0)),"")</f>
        <v/>
      </c>
      <c r="G1285" s="25">
        <f>IFERROR(INDEX('Aub Demand'!W:W,MATCH(O1285,'Aub Demand'!A:A,0)),"")</f>
        <v>0</v>
      </c>
      <c r="H1285" s="25">
        <f>IFERROR(INDEX('Aub Demand'!V:V,MATCH(O1285,'Aub Demand'!A:A,0)),"")</f>
        <v>0</v>
      </c>
      <c r="I1285" s="25">
        <f>IFERROR(INDEX('Aub Demand'!U:U,MATCH(O1285,'Aub Demand'!A:A,0)),"")</f>
        <v>108</v>
      </c>
      <c r="J1285" s="25">
        <f>IFERROR(INDEX('Aub Demand'!T:T,MATCH(O1285,'Aub Demand'!A:A,0)),"")</f>
        <v>24</v>
      </c>
      <c r="K1285" s="25">
        <f>IFERROR(INDEX('Aub Demand'!S:S,MATCH(O1285,'Aub Demand'!A:A,0)),"")</f>
        <v>0</v>
      </c>
      <c r="L1285" s="25">
        <f>IFERROR(INDEX('Aub Demand'!R:R,MATCH(O1285,'Aub Demand'!A:A,0)),"")</f>
        <v>0</v>
      </c>
      <c r="O1285" s="27" t="s">
        <v>5426</v>
      </c>
      <c r="P1285" s="27" t="str">
        <f>IFERROR(INDEX('Aub Demand'!B:B,MATCH($O1285,'Aub Demand'!$A:$A,0)),"")</f>
        <v>TANGIER ANIGRE</v>
      </c>
      <c r="Q1285" s="27" t="str">
        <f>IFERROR(INDEX('Aub Demand'!C:C,MATCH($O1285,'Aub Demand'!$A:$A,0)),"")</f>
        <v>TOPPA</v>
      </c>
      <c r="R1285" s="52">
        <f>IFERROR(IF(AR1286=AR1285,INDEX('Aub Demand'!K:K,MATCH($O1285,'Aub Demand'!$A:$A,0))-IF(AN1285="",0,AN1285)+AP1286,INDEX('Aub Demand'!K:K,MATCH($O1285,'Aub Demand'!$A:$A,0))-IF(AN1285="",0,AN1285)),"")</f>
        <v>0</v>
      </c>
      <c r="S1285" s="53">
        <f t="shared" si="560"/>
        <v>0</v>
      </c>
      <c r="T1285" s="52">
        <f t="shared" si="561"/>
        <v>49.5</v>
      </c>
      <c r="U1285" s="52">
        <f>IFERROR(IF(AR1286=AR1285,INDEX('Aub Demand'!Q:Q,MATCH($O1285,'Aub Demand'!$A:$A,0))-IF(AN1285="",0,AN1285)+AP1286,INDEX('Aub Demand'!Q:Q,MATCH($O1285,'Aub Demand'!$A:$A,0))-IF(AN1285="",0,AN1285)),"")</f>
        <v>-4</v>
      </c>
      <c r="V1285" s="53">
        <f t="shared" si="562"/>
        <v>-0.4</v>
      </c>
      <c r="W1285" s="52">
        <f t="shared" si="563"/>
        <v>56.1</v>
      </c>
      <c r="X1285" s="52">
        <f>IFERROR(IF(AND(AR1286=AR1285,AM1285&lt;&gt;""),INDEX('Aub Demand'!Q:Q,MATCH($O1285,'Aub Demand'!$A:$A,0))-IF(AN1285="",0,AN1285)+AP1286+AD1285+AL1285,IF(AR1286=AR1285,INDEX('Aub Demand'!Q:Q,MATCH($O1285,'Aub Demand'!$A:$A,0))-IF(AN1285="",0,AN1285)+AP1286+AD1285,IF(AM1285&lt;&gt;"",INDEX('Aub Demand'!Q:Q,MATCH($O1285,'Aub Demand'!$A:$A,0))-IF(AN1285="",0,AN1285)+AD1285+AL1285,INDEX('Aub Demand'!Q:Q,MATCH($O1285,'Aub Demand'!$A:$A,0))-IF(AN1285="",0,AN1285)+AD1285))),"")</f>
        <v>-4</v>
      </c>
      <c r="Y1285" s="53">
        <f t="shared" si="564"/>
        <v>-0.4</v>
      </c>
      <c r="Z1285" s="52">
        <f>IF(L1285="","",INDEX('Aub Demand'!H:H,MATCH($O1285,'Aub Demand'!$A:$A,0)))</f>
        <v>44</v>
      </c>
      <c r="AA1285" s="52">
        <f t="shared" si="565"/>
        <v>66</v>
      </c>
      <c r="AB1285" s="52">
        <f>IFERROR(INDEX('Aub Demand'!L:L,MATCH($O1285,'Aub Demand'!$A:$A,0)),"")</f>
        <v>0</v>
      </c>
      <c r="AC1285" s="52">
        <f>IFERROR(IF(O1285="","",SUMIFS('CPL Mats'!F:F,'CPL Mats'!Q:Q,AR1285,'CPL Mats'!S:S,AS1285)),"")</f>
        <v>0</v>
      </c>
      <c r="AF1285" s="25" t="str">
        <f>IF(SUMIFS('Supp Consol'!S:S,'Supp Consol'!Y:Y,"Releasable",'Supp Consol'!A:A,O1285)=0,"",SUMIFS('Supp Consol'!S:S,'Supp Consol'!Y:Y,"Releasable",'Supp Consol'!A:A,O1285))</f>
        <v/>
      </c>
      <c r="AG1285" s="25" t="str">
        <f>IFERROR(INDEX('Hun Demand'!Q:Q,MATCH(O1285,'Hun Demand'!A:A,0)),"")</f>
        <v/>
      </c>
      <c r="AH1285" s="25" t="str">
        <f>IFERROR(INDEX('Hun Demand'!H:H,MATCH($O1285,'Hun Demand'!$A:$A,0)),"")</f>
        <v/>
      </c>
      <c r="AI1285" s="25" t="str">
        <f>IF(SUMIFS('Supp Consol'!AA:AA,'Supp Consol'!Z:Z,"Expires this month",'Supp Consol'!A:A,O1285)=0,"",SUMIFS('Supp Consol'!AA:AA,'Supp Consol'!Z:Z,"Expires this month",'Supp Consol'!A:A,O1285))</f>
        <v/>
      </c>
      <c r="AJ1285" s="25" t="str">
        <f>IF(SUMIFS('Supp Consol'!AA:AA,'Supp Consol'!Z:Z,"Expired Previous Months",'Supp Consol'!A:A,O1285)=0,"",SUMIFS('Supp Consol'!AA:AA,'Supp Consol'!Z:Z,"Expired Previous Months",'Supp Consol'!A:A,O1285))</f>
        <v/>
      </c>
      <c r="AK1285" s="25" t="str">
        <f>IFERROR(INDEX('Hun Release Current'!B:B,MATCH(O1285,'Hun Release Current'!A:A,0)),"")</f>
        <v/>
      </c>
      <c r="AL1285" s="25" t="str">
        <f>IF(SUMIF('Prev Aub'!A:A,O1285,'Prev Aub'!B:B)=0,"",SUMIF('Prev Aub'!A:A,O1285,'Prev Aub'!B:B))</f>
        <v/>
      </c>
      <c r="AN1285" s="25" t="s">
        <v>3790</v>
      </c>
      <c r="AO1285" s="25" t="s">
        <v>3790</v>
      </c>
      <c r="AP1285" s="25">
        <f t="shared" si="566"/>
        <v>0</v>
      </c>
      <c r="AQ1285" s="151" t="str">
        <f>IF(SUMIFS('Supp Consol'!S:S,'Supp Consol'!A:A,O1285,'Supp Consol'!I:I,"PENDING")=0,"",SUMIFS('Supp Consol'!S:S,'Supp Consol'!A:A,O1285,'Supp Consol'!I:I,"PENDING"))</f>
        <v/>
      </c>
      <c r="AR1285" s="27" t="str">
        <f t="shared" si="567"/>
        <v>WA302</v>
      </c>
      <c r="AS1285" s="27" t="str">
        <f t="shared" si="568"/>
        <v>37</v>
      </c>
      <c r="AT1285" s="27" t="str">
        <f t="shared" si="569"/>
        <v>WA302</v>
      </c>
      <c r="AU1285" s="27" t="str">
        <f t="shared" si="570"/>
        <v>WA302</v>
      </c>
      <c r="AV1285" s="27" t="str">
        <f t="shared" si="571"/>
        <v>WA302</v>
      </c>
      <c r="AW1285" s="27" t="str">
        <f t="shared" si="572"/>
        <v/>
      </c>
      <c r="AX1285" s="27" t="str">
        <f t="shared" si="573"/>
        <v/>
      </c>
      <c r="AY1285" s="27" t="str">
        <f t="shared" si="574"/>
        <v/>
      </c>
      <c r="AZ1285" s="27" t="str">
        <f t="shared" si="575"/>
        <v/>
      </c>
      <c r="BA1285" s="27" t="str">
        <f t="shared" si="576"/>
        <v/>
      </c>
      <c r="BB1285" s="27" t="str">
        <f t="shared" si="577"/>
        <v>Gross</v>
      </c>
      <c r="BC1285" s="27" t="str">
        <f t="shared" si="578"/>
        <v>Net</v>
      </c>
      <c r="BD1285" s="27" t="str">
        <f t="shared" si="579"/>
        <v>Net</v>
      </c>
      <c r="BE1285" s="27" t="str">
        <f t="shared" si="580"/>
        <v/>
      </c>
      <c r="BF1285" s="27" t="str">
        <f t="shared" si="581"/>
        <v/>
      </c>
      <c r="BG1285" s="27" t="str">
        <f t="shared" si="582"/>
        <v/>
      </c>
      <c r="BH1285" s="27" t="str">
        <f t="shared" si="583"/>
        <v/>
      </c>
      <c r="BI1285" s="27" t="str">
        <f t="shared" si="584"/>
        <v/>
      </c>
      <c r="BJ1285" s="27" t="str">
        <f t="shared" si="585"/>
        <v/>
      </c>
      <c r="BK1285" s="27" t="str">
        <f t="shared" si="586"/>
        <v/>
      </c>
      <c r="BL1285" s="27" t="str">
        <f t="shared" si="587"/>
        <v/>
      </c>
      <c r="BM1285" s="21" t="s">
        <v>5581</v>
      </c>
    </row>
    <row r="1286" spans="1:65" ht="15">
      <c r="A1286" s="25" t="str">
        <f>IFERROR(INDEX('Hun Demand'!W:W,MATCH(O1286,'Hun Demand'!A:A,0)),"")</f>
        <v/>
      </c>
      <c r="B1286" s="25" t="str">
        <f>IFERROR(INDEX('Hun Demand'!V:V,MATCH(O1286,'Hun Demand'!A:A,0)),"")</f>
        <v/>
      </c>
      <c r="C1286" s="25" t="str">
        <f>IFERROR(INDEX('Hun Demand'!U:U,MATCH(O1286,'Hun Demand'!A:A,0)),"")</f>
        <v/>
      </c>
      <c r="D1286" s="25" t="str">
        <f>IFERROR(INDEX('Hun Demand'!T:T,MATCH(O1286,'Hun Demand'!A:A,0)),"")</f>
        <v/>
      </c>
      <c r="E1286" s="25" t="str">
        <f>IFERROR(INDEX('Hun Demand'!S:S,MATCH(O1286,'Hun Demand'!A:A,0)),"")</f>
        <v/>
      </c>
      <c r="F1286" s="25" t="str">
        <f>IFERROR(INDEX('Hun Demand'!R:R,MATCH(O1286,'Hun Demand'!A:A,0)),"")</f>
        <v/>
      </c>
      <c r="G1286" s="25">
        <f>IFERROR(INDEX('Aub Demand'!W:W,MATCH(O1286,'Aub Demand'!A:A,0)),"")</f>
        <v>91</v>
      </c>
      <c r="H1286" s="25">
        <f>IFERROR(INDEX('Aub Demand'!V:V,MATCH(O1286,'Aub Demand'!A:A,0)),"")</f>
        <v>195</v>
      </c>
      <c r="I1286" s="25">
        <f>IFERROR(INDEX('Aub Demand'!U:U,MATCH(O1286,'Aub Demand'!A:A,0)),"")</f>
        <v>0</v>
      </c>
      <c r="J1286" s="25">
        <f>IFERROR(INDEX('Aub Demand'!T:T,MATCH(O1286,'Aub Demand'!A:A,0)),"")</f>
        <v>67</v>
      </c>
      <c r="K1286" s="25">
        <f>IFERROR(INDEX('Aub Demand'!S:S,MATCH(O1286,'Aub Demand'!A:A,0)),"")</f>
        <v>109</v>
      </c>
      <c r="L1286" s="25">
        <f>IFERROR(INDEX('Aub Demand'!R:R,MATCH(O1286,'Aub Demand'!A:A,0)),"")</f>
        <v>36</v>
      </c>
      <c r="O1286" s="27" t="s">
        <v>2902</v>
      </c>
      <c r="P1286" s="27" t="str">
        <f>IFERROR(INDEX('Aub Demand'!B:B,MATCH($O1286,'Aub Demand'!$A:$A,0)),"")</f>
        <v>TANGIER ANIGRE 50"</v>
      </c>
      <c r="Q1286" s="27" t="str">
        <f>IFERROR(INDEX('Aub Demand'!C:C,MATCH($O1286,'Aub Demand'!$A:$A,0)),"")</f>
        <v>TOPPA</v>
      </c>
      <c r="R1286" s="52">
        <f>IFERROR(IF(AR1287=AR1286,INDEX('Aub Demand'!K:K,MATCH($O1286,'Aub Demand'!$A:$A,0))-IF(AN1286="",0,AN1286)+AP1287,INDEX('Aub Demand'!K:K,MATCH($O1286,'Aub Demand'!$A:$A,0))-IF(AN1286="",0,AN1286)),"")</f>
        <v>1080</v>
      </c>
      <c r="S1286" s="53">
        <f t="shared" si="560"/>
        <v>78.5</v>
      </c>
      <c r="T1286" s="52" t="str">
        <f t="shared" si="561"/>
        <v/>
      </c>
      <c r="U1286" s="52">
        <f>IFERROR(IF(AR1287=AR1286,INDEX('Aub Demand'!Q:Q,MATCH($O1286,'Aub Demand'!$A:$A,0))-IF(AN1286="",0,AN1286)+AP1287,INDEX('Aub Demand'!Q:Q,MATCH($O1286,'Aub Demand'!$A:$A,0))-IF(AN1286="",0,AN1286)),"")</f>
        <v>1080</v>
      </c>
      <c r="V1286" s="53">
        <f t="shared" si="562"/>
        <v>78.5</v>
      </c>
      <c r="W1286" s="52" t="str">
        <f t="shared" si="563"/>
        <v/>
      </c>
      <c r="X1286" s="52">
        <f>IFERROR(IF(AND(AR1287=AR1286,AM1286&lt;&gt;""),INDEX('Aub Demand'!Q:Q,MATCH($O1286,'Aub Demand'!$A:$A,0))-IF(AN1286="",0,AN1286)+AP1287+AD1286+AL1286,IF(AR1287=AR1286,INDEX('Aub Demand'!Q:Q,MATCH($O1286,'Aub Demand'!$A:$A,0))-IF(AN1286="",0,AN1286)+AP1287+AD1286,IF(AM1286&lt;&gt;"",INDEX('Aub Demand'!Q:Q,MATCH($O1286,'Aub Demand'!$A:$A,0))-IF(AN1286="",0,AN1286)+AD1286+AL1286,INDEX('Aub Demand'!Q:Q,MATCH($O1286,'Aub Demand'!$A:$A,0))-IF(AN1286="",0,AN1286)+AD1286))),"")</f>
        <v>1080</v>
      </c>
      <c r="Y1286" s="53">
        <f t="shared" si="564"/>
        <v>78.5</v>
      </c>
      <c r="Z1286" s="52">
        <f>IF(L1286="","",INDEX('Aub Demand'!H:H,MATCH($O1286,'Aub Demand'!$A:$A,0)))</f>
        <v>59</v>
      </c>
      <c r="AA1286" s="52">
        <f t="shared" si="565"/>
        <v>88</v>
      </c>
      <c r="AB1286" s="52">
        <f>IFERROR(INDEX('Aub Demand'!L:L,MATCH($O1286,'Aub Demand'!$A:$A,0)),"")</f>
        <v>206</v>
      </c>
      <c r="AC1286" s="52">
        <f>IFERROR(IF(O1286="","",SUMIFS('CPL Mats'!F:F,'CPL Mats'!Q:Q,AR1286,'CPL Mats'!S:S,AS1286)),"")</f>
        <v>1400</v>
      </c>
      <c r="AF1286" s="25" t="str">
        <f>IF(SUMIFS('Supp Consol'!S:S,'Supp Consol'!Y:Y,"Releasable",'Supp Consol'!A:A,O1286)=0,"",SUMIFS('Supp Consol'!S:S,'Supp Consol'!Y:Y,"Releasable",'Supp Consol'!A:A,O1286))</f>
        <v/>
      </c>
      <c r="AG1286" s="25" t="str">
        <f>IFERROR(INDEX('Hun Demand'!Q:Q,MATCH(O1286,'Hun Demand'!A:A,0)),"")</f>
        <v/>
      </c>
      <c r="AH1286" s="25" t="str">
        <f>IFERROR(INDEX('Hun Demand'!H:H,MATCH($O1286,'Hun Demand'!$A:$A,0)),"")</f>
        <v/>
      </c>
      <c r="AI1286" s="25" t="str">
        <f>IF(SUMIFS('Supp Consol'!AA:AA,'Supp Consol'!Z:Z,"Expires this month",'Supp Consol'!A:A,O1286)=0,"",SUMIFS('Supp Consol'!AA:AA,'Supp Consol'!Z:Z,"Expires this month",'Supp Consol'!A:A,O1286))</f>
        <v/>
      </c>
      <c r="AJ1286" s="25" t="str">
        <f>IF(SUMIFS('Supp Consol'!AA:AA,'Supp Consol'!Z:Z,"Expired Previous Months",'Supp Consol'!A:A,O1286)=0,"",SUMIFS('Supp Consol'!AA:AA,'Supp Consol'!Z:Z,"Expired Previous Months",'Supp Consol'!A:A,O1286))</f>
        <v/>
      </c>
      <c r="AK1286" s="25" t="str">
        <f>IFERROR(INDEX('Hun Release Current'!B:B,MATCH(O1286,'Hun Release Current'!A:A,0)),"")</f>
        <v/>
      </c>
      <c r="AL1286" s="25" t="str">
        <f>IF(SUMIF('Prev Aub'!A:A,O1286,'Prev Aub'!B:B)=0,"",SUMIF('Prev Aub'!A:A,O1286,'Prev Aub'!B:B))</f>
        <v/>
      </c>
      <c r="AN1286" s="25" t="s">
        <v>3790</v>
      </c>
      <c r="AO1286" s="25" t="s">
        <v>3790</v>
      </c>
      <c r="AP1286" s="25">
        <f t="shared" si="566"/>
        <v>0</v>
      </c>
      <c r="AQ1286" s="151" t="str">
        <f>IF(SUMIFS('Supp Consol'!S:S,'Supp Consol'!A:A,O1286,'Supp Consol'!I:I,"PENDING")=0,"",SUMIFS('Supp Consol'!S:S,'Supp Consol'!A:A,O1286,'Supp Consol'!I:I,"PENDING"))</f>
        <v/>
      </c>
      <c r="AR1286" s="27" t="str">
        <f t="shared" si="567"/>
        <v>WA302</v>
      </c>
      <c r="AS1286" s="27" t="str">
        <f t="shared" si="568"/>
        <v>50</v>
      </c>
      <c r="AT1286" s="27" t="str">
        <f t="shared" si="569"/>
        <v/>
      </c>
      <c r="AU1286" s="27" t="str">
        <f t="shared" si="570"/>
        <v/>
      </c>
      <c r="AV1286" s="27" t="str">
        <f t="shared" si="571"/>
        <v/>
      </c>
      <c r="AW1286" s="27" t="str">
        <f t="shared" si="572"/>
        <v/>
      </c>
      <c r="AX1286" s="27" t="str">
        <f t="shared" si="573"/>
        <v/>
      </c>
      <c r="AY1286" s="27" t="str">
        <f t="shared" si="574"/>
        <v/>
      </c>
      <c r="AZ1286" s="27" t="str">
        <f t="shared" si="575"/>
        <v/>
      </c>
      <c r="BA1286" s="27" t="str">
        <f t="shared" si="576"/>
        <v/>
      </c>
      <c r="BB1286" s="27" t="str">
        <f t="shared" si="577"/>
        <v>Gross</v>
      </c>
      <c r="BC1286" s="27" t="str">
        <f t="shared" si="578"/>
        <v>Net</v>
      </c>
      <c r="BD1286" s="27" t="str">
        <f t="shared" si="579"/>
        <v>Net</v>
      </c>
      <c r="BE1286" s="27" t="str">
        <f t="shared" si="580"/>
        <v/>
      </c>
      <c r="BF1286" s="27" t="str">
        <f t="shared" si="581"/>
        <v/>
      </c>
      <c r="BG1286" s="27" t="str">
        <f t="shared" si="582"/>
        <v/>
      </c>
      <c r="BH1286" s="27" t="str">
        <f t="shared" si="583"/>
        <v/>
      </c>
      <c r="BI1286" s="27" t="str">
        <f t="shared" si="584"/>
        <v/>
      </c>
      <c r="BJ1286" s="27" t="str">
        <f t="shared" si="585"/>
        <v/>
      </c>
      <c r="BK1286" s="27" t="str">
        <f t="shared" si="586"/>
        <v/>
      </c>
      <c r="BL1286" s="27" t="str">
        <f t="shared" si="587"/>
        <v/>
      </c>
      <c r="BM1286" s="21" t="s">
        <v>5581</v>
      </c>
    </row>
    <row r="1287" spans="1:65" ht="15">
      <c r="A1287" s="25" t="str">
        <f>IFERROR(INDEX('Hun Demand'!W:W,MATCH(O1287,'Hun Demand'!A:A,0)),"")</f>
        <v/>
      </c>
      <c r="B1287" s="25" t="str">
        <f>IFERROR(INDEX('Hun Demand'!V:V,MATCH(O1287,'Hun Demand'!A:A,0)),"")</f>
        <v/>
      </c>
      <c r="C1287" s="25" t="str">
        <f>IFERROR(INDEX('Hun Demand'!U:U,MATCH(O1287,'Hun Demand'!A:A,0)),"")</f>
        <v/>
      </c>
      <c r="D1287" s="25" t="str">
        <f>IFERROR(INDEX('Hun Demand'!T:T,MATCH(O1287,'Hun Demand'!A:A,0)),"")</f>
        <v/>
      </c>
      <c r="E1287" s="25" t="str">
        <f>IFERROR(INDEX('Hun Demand'!S:S,MATCH(O1287,'Hun Demand'!A:A,0)),"")</f>
        <v/>
      </c>
      <c r="F1287" s="25" t="str">
        <f>IFERROR(INDEX('Hun Demand'!R:R,MATCH(O1287,'Hun Demand'!A:A,0)),"")</f>
        <v/>
      </c>
      <c r="G1287" s="25">
        <f>IFERROR(INDEX('Aub Demand'!W:W,MATCH(O1287,'Aub Demand'!A:A,0)),"")</f>
        <v>24</v>
      </c>
      <c r="H1287" s="25">
        <f>IFERROR(INDEX('Aub Demand'!V:V,MATCH(O1287,'Aub Demand'!A:A,0)),"")</f>
        <v>111</v>
      </c>
      <c r="I1287" s="25">
        <f>IFERROR(INDEX('Aub Demand'!U:U,MATCH(O1287,'Aub Demand'!A:A,0)),"")</f>
        <v>87</v>
      </c>
      <c r="J1287" s="25">
        <f>IFERROR(INDEX('Aub Demand'!T:T,MATCH(O1287,'Aub Demand'!A:A,0)),"")</f>
        <v>19</v>
      </c>
      <c r="K1287" s="25">
        <f>IFERROR(INDEX('Aub Demand'!S:S,MATCH(O1287,'Aub Demand'!A:A,0)),"")</f>
        <v>112</v>
      </c>
      <c r="L1287" s="25">
        <f>IFERROR(INDEX('Aub Demand'!R:R,MATCH(O1287,'Aub Demand'!A:A,0)),"")</f>
        <v>0</v>
      </c>
      <c r="O1287" s="27" t="s">
        <v>2904</v>
      </c>
      <c r="P1287" s="27" t="str">
        <f>IFERROR(INDEX('Aub Demand'!B:B,MATCH($O1287,'Aub Demand'!$A:$A,0)),"")</f>
        <v>TANGIER ANIGRE 62"</v>
      </c>
      <c r="Q1287" s="27" t="str">
        <f>IFERROR(INDEX('Aub Demand'!C:C,MATCH($O1287,'Aub Demand'!$A:$A,0)),"")</f>
        <v>TOPPA</v>
      </c>
      <c r="R1287" s="52">
        <f>IFERROR(IF(AR1288=AR1287,INDEX('Aub Demand'!K:K,MATCH($O1287,'Aub Demand'!$A:$A,0))-IF(AN1287="",0,AN1287)+AP1288,INDEX('Aub Demand'!K:K,MATCH($O1287,'Aub Demand'!$A:$A,0))-IF(AN1287="",0,AN1287)),"")</f>
        <v>1887</v>
      </c>
      <c r="S1287" s="53">
        <f t="shared" si="560"/>
        <v>110.8</v>
      </c>
      <c r="T1287" s="52" t="str">
        <f t="shared" si="561"/>
        <v/>
      </c>
      <c r="U1287" s="52">
        <f>IFERROR(IF(AR1288=AR1287,INDEX('Aub Demand'!Q:Q,MATCH($O1287,'Aub Demand'!$A:$A,0))-IF(AN1287="",0,AN1287)+AP1288,INDEX('Aub Demand'!Q:Q,MATCH($O1287,'Aub Demand'!$A:$A,0))-IF(AN1287="",0,AN1287)),"")</f>
        <v>1887</v>
      </c>
      <c r="V1287" s="53">
        <f t="shared" si="562"/>
        <v>110.8</v>
      </c>
      <c r="W1287" s="52" t="str">
        <f t="shared" si="563"/>
        <v/>
      </c>
      <c r="X1287" s="52">
        <f>IFERROR(IF(AND(AR1288=AR1287,AM1287&lt;&gt;""),INDEX('Aub Demand'!Q:Q,MATCH($O1287,'Aub Demand'!$A:$A,0))-IF(AN1287="",0,AN1287)+AP1288+AD1287+AL1287,IF(AR1288=AR1287,INDEX('Aub Demand'!Q:Q,MATCH($O1287,'Aub Demand'!$A:$A,0))-IF(AN1287="",0,AN1287)+AP1288+AD1287,IF(AM1287&lt;&gt;"",INDEX('Aub Demand'!Q:Q,MATCH($O1287,'Aub Demand'!$A:$A,0))-IF(AN1287="",0,AN1287)+AD1287+AL1287,INDEX('Aub Demand'!Q:Q,MATCH($O1287,'Aub Demand'!$A:$A,0))-IF(AN1287="",0,AN1287)+AD1287))),"")</f>
        <v>1887</v>
      </c>
      <c r="Y1287" s="53">
        <f t="shared" si="564"/>
        <v>110.8</v>
      </c>
      <c r="Z1287" s="52">
        <f>IF(L1287="","",INDEX('Aub Demand'!H:H,MATCH($O1287,'Aub Demand'!$A:$A,0)))</f>
        <v>73</v>
      </c>
      <c r="AA1287" s="52">
        <f t="shared" si="565"/>
        <v>99.5</v>
      </c>
      <c r="AB1287" s="52">
        <f>IFERROR(INDEX('Aub Demand'!L:L,MATCH($O1287,'Aub Demand'!$A:$A,0)),"")</f>
        <v>31</v>
      </c>
      <c r="AC1287" s="52">
        <f>IFERROR(IF(O1287="","",SUMIFS('CPL Mats'!F:F,'CPL Mats'!Q:Q,AR1287,'CPL Mats'!S:S,AS1287)),"")</f>
        <v>0</v>
      </c>
      <c r="AF1287" s="25" t="str">
        <f>IF(SUMIFS('Supp Consol'!S:S,'Supp Consol'!Y:Y,"Releasable",'Supp Consol'!A:A,O1287)=0,"",SUMIFS('Supp Consol'!S:S,'Supp Consol'!Y:Y,"Releasable",'Supp Consol'!A:A,O1287))</f>
        <v/>
      </c>
      <c r="AG1287" s="25" t="str">
        <f>IFERROR(INDEX('Hun Demand'!Q:Q,MATCH(O1287,'Hun Demand'!A:A,0)),"")</f>
        <v/>
      </c>
      <c r="AH1287" s="25" t="str">
        <f>IFERROR(INDEX('Hun Demand'!H:H,MATCH($O1287,'Hun Demand'!$A:$A,0)),"")</f>
        <v/>
      </c>
      <c r="AI1287" s="25" t="str">
        <f>IF(SUMIFS('Supp Consol'!AA:AA,'Supp Consol'!Z:Z,"Expires this month",'Supp Consol'!A:A,O1287)=0,"",SUMIFS('Supp Consol'!AA:AA,'Supp Consol'!Z:Z,"Expires this month",'Supp Consol'!A:A,O1287))</f>
        <v/>
      </c>
      <c r="AJ1287" s="25" t="str">
        <f>IF(SUMIFS('Supp Consol'!AA:AA,'Supp Consol'!Z:Z,"Expired Previous Months",'Supp Consol'!A:A,O1287)=0,"",SUMIFS('Supp Consol'!AA:AA,'Supp Consol'!Z:Z,"Expired Previous Months",'Supp Consol'!A:A,O1287))</f>
        <v/>
      </c>
      <c r="AK1287" s="25" t="str">
        <f>IFERROR(INDEX('Hun Release Current'!B:B,MATCH(O1287,'Hun Release Current'!A:A,0)),"")</f>
        <v/>
      </c>
      <c r="AL1287" s="25" t="str">
        <f>IF(SUMIF('Prev Aub'!A:A,O1287,'Prev Aub'!B:B)=0,"",SUMIF('Prev Aub'!A:A,O1287,'Prev Aub'!B:B))</f>
        <v/>
      </c>
      <c r="AN1287" s="25" t="s">
        <v>3790</v>
      </c>
      <c r="AO1287" s="25" t="s">
        <v>3790</v>
      </c>
      <c r="AP1287" s="25">
        <f t="shared" si="566"/>
        <v>0</v>
      </c>
      <c r="AQ1287" s="151" t="str">
        <f>IF(SUMIFS('Supp Consol'!S:S,'Supp Consol'!A:A,O1287,'Supp Consol'!I:I,"PENDING")=0,"",SUMIFS('Supp Consol'!S:S,'Supp Consol'!A:A,O1287,'Supp Consol'!I:I,"PENDING"))</f>
        <v/>
      </c>
      <c r="AR1287" s="27" t="str">
        <f t="shared" si="567"/>
        <v>WA302</v>
      </c>
      <c r="AS1287" s="27" t="str">
        <f t="shared" si="568"/>
        <v>62</v>
      </c>
      <c r="AT1287" s="27" t="str">
        <f t="shared" si="569"/>
        <v/>
      </c>
      <c r="AU1287" s="27" t="str">
        <f t="shared" si="570"/>
        <v/>
      </c>
      <c r="AV1287" s="27" t="str">
        <f t="shared" si="571"/>
        <v/>
      </c>
      <c r="AW1287" s="27" t="str">
        <f t="shared" si="572"/>
        <v/>
      </c>
      <c r="AX1287" s="27" t="str">
        <f t="shared" si="573"/>
        <v/>
      </c>
      <c r="AY1287" s="27" t="str">
        <f t="shared" si="574"/>
        <v/>
      </c>
      <c r="AZ1287" s="27" t="str">
        <f t="shared" si="575"/>
        <v/>
      </c>
      <c r="BA1287" s="27" t="str">
        <f t="shared" si="576"/>
        <v/>
      </c>
      <c r="BB1287" s="27" t="str">
        <f t="shared" si="577"/>
        <v>Gross</v>
      </c>
      <c r="BC1287" s="27" t="str">
        <f t="shared" si="578"/>
        <v>Net</v>
      </c>
      <c r="BD1287" s="27" t="str">
        <f t="shared" si="579"/>
        <v>Net</v>
      </c>
      <c r="BE1287" s="27" t="str">
        <f t="shared" si="580"/>
        <v/>
      </c>
      <c r="BF1287" s="27" t="str">
        <f t="shared" si="581"/>
        <v/>
      </c>
      <c r="BG1287" s="27" t="str">
        <f t="shared" si="582"/>
        <v/>
      </c>
      <c r="BH1287" s="27" t="str">
        <f t="shared" si="583"/>
        <v/>
      </c>
      <c r="BI1287" s="27" t="str">
        <f t="shared" si="584"/>
        <v/>
      </c>
      <c r="BJ1287" s="27" t="str">
        <f t="shared" si="585"/>
        <v/>
      </c>
      <c r="BK1287" s="27" t="str">
        <f t="shared" si="586"/>
        <v/>
      </c>
      <c r="BL1287" s="27" t="str">
        <f t="shared" si="587"/>
        <v/>
      </c>
      <c r="BM1287" s="21" t="s">
        <v>5581</v>
      </c>
    </row>
    <row r="1288" spans="1:65" ht="15">
      <c r="A1288" s="25" t="str">
        <f>IFERROR(INDEX('Hun Demand'!W:W,MATCH(O1288,'Hun Demand'!A:A,0)),"")</f>
        <v/>
      </c>
      <c r="B1288" s="25" t="str">
        <f>IFERROR(INDEX('Hun Demand'!V:V,MATCH(O1288,'Hun Demand'!A:A,0)),"")</f>
        <v/>
      </c>
      <c r="C1288" s="25" t="str">
        <f>IFERROR(INDEX('Hun Demand'!U:U,MATCH(O1288,'Hun Demand'!A:A,0)),"")</f>
        <v/>
      </c>
      <c r="D1288" s="25" t="str">
        <f>IFERROR(INDEX('Hun Demand'!T:T,MATCH(O1288,'Hun Demand'!A:A,0)),"")</f>
        <v/>
      </c>
      <c r="E1288" s="25" t="str">
        <f>IFERROR(INDEX('Hun Demand'!S:S,MATCH(O1288,'Hun Demand'!A:A,0)),"")</f>
        <v/>
      </c>
      <c r="F1288" s="25" t="str">
        <f>IFERROR(INDEX('Hun Demand'!R:R,MATCH(O1288,'Hun Demand'!A:A,0)),"")</f>
        <v/>
      </c>
      <c r="G1288" s="25">
        <f>IFERROR(INDEX('Aub Demand'!W:W,MATCH(O1288,'Aub Demand'!A:A,0)),"")</f>
        <v>13</v>
      </c>
      <c r="H1288" s="25">
        <f>IFERROR(INDEX('Aub Demand'!V:V,MATCH(O1288,'Aub Demand'!A:A,0)),"")</f>
        <v>241</v>
      </c>
      <c r="I1288" s="25">
        <f>IFERROR(INDEX('Aub Demand'!U:U,MATCH(O1288,'Aub Demand'!A:A,0)),"")</f>
        <v>579</v>
      </c>
      <c r="J1288" s="25">
        <f>IFERROR(INDEX('Aub Demand'!T:T,MATCH(O1288,'Aub Demand'!A:A,0)),"")</f>
        <v>258</v>
      </c>
      <c r="K1288" s="25">
        <f>IFERROR(INDEX('Aub Demand'!S:S,MATCH(O1288,'Aub Demand'!A:A,0)),"")</f>
        <v>0</v>
      </c>
      <c r="L1288" s="25">
        <f>IFERROR(INDEX('Aub Demand'!R:R,MATCH(O1288,'Aub Demand'!A:A,0)),"")</f>
        <v>0</v>
      </c>
      <c r="O1288" s="27" t="s">
        <v>2907</v>
      </c>
      <c r="P1288" s="27" t="str">
        <f>IFERROR(INDEX('Aub Demand'!B:B,MATCH($O1288,'Aub Demand'!$A:$A,0)),"")</f>
        <v>BLOSSOM CHERRY</v>
      </c>
      <c r="Q1288" s="27" t="str">
        <f>IFERROR(INDEX('Aub Demand'!C:C,MATCH($O1288,'Aub Demand'!$A:$A,0)),"")</f>
        <v>TOPPA</v>
      </c>
      <c r="R1288" s="52">
        <f>IFERROR(IF(AR1289=AR1288,INDEX('Aub Demand'!K:K,MATCH($O1288,'Aub Demand'!$A:$A,0))-IF(AN1288="",0,AN1288)+AP1289,INDEX('Aub Demand'!K:K,MATCH($O1288,'Aub Demand'!$A:$A,0))-IF(AN1288="",0,AN1288)),"")</f>
        <v>0</v>
      </c>
      <c r="S1288" s="53">
        <f t="shared" si="560"/>
        <v>0</v>
      </c>
      <c r="T1288" s="52">
        <f t="shared" si="561"/>
        <v>313.875</v>
      </c>
      <c r="U1288" s="52">
        <f>IFERROR(IF(AR1289=AR1288,INDEX('Aub Demand'!Q:Q,MATCH($O1288,'Aub Demand'!$A:$A,0))-IF(AN1288="",0,AN1288)+AP1289,INDEX('Aub Demand'!Q:Q,MATCH($O1288,'Aub Demand'!$A:$A,0))-IF(AN1288="",0,AN1288)),"")</f>
        <v>-284</v>
      </c>
      <c r="V1288" s="53">
        <f t="shared" si="562"/>
        <v>-4.4000000000000004</v>
      </c>
      <c r="W1288" s="52">
        <f t="shared" si="563"/>
        <v>774.22500000000002</v>
      </c>
      <c r="X1288" s="52">
        <f>IFERROR(IF(AND(AR1289=AR1288,AM1288&lt;&gt;""),INDEX('Aub Demand'!Q:Q,MATCH($O1288,'Aub Demand'!$A:$A,0))-IF(AN1288="",0,AN1288)+AP1289+AD1288+AL1288,IF(AR1289=AR1288,INDEX('Aub Demand'!Q:Q,MATCH($O1288,'Aub Demand'!$A:$A,0))-IF(AN1288="",0,AN1288)+AP1289+AD1288,IF(AM1288&lt;&gt;"",INDEX('Aub Demand'!Q:Q,MATCH($O1288,'Aub Demand'!$A:$A,0))-IF(AN1288="",0,AN1288)+AD1288+AL1288,INDEX('Aub Demand'!Q:Q,MATCH($O1288,'Aub Demand'!$A:$A,0))-IF(AN1288="",0,AN1288)+AD1288))),"")</f>
        <v>-284</v>
      </c>
      <c r="Y1288" s="53">
        <f t="shared" si="564"/>
        <v>-4.4000000000000004</v>
      </c>
      <c r="Z1288" s="52">
        <f>IF(L1288="","",INDEX('Aub Demand'!H:H,MATCH($O1288,'Aub Demand'!$A:$A,0)))</f>
        <v>279</v>
      </c>
      <c r="AA1288" s="52">
        <f t="shared" si="565"/>
        <v>418.5</v>
      </c>
      <c r="AB1288" s="52">
        <f>IFERROR(INDEX('Aub Demand'!L:L,MATCH($O1288,'Aub Demand'!$A:$A,0)),"")</f>
        <v>17</v>
      </c>
      <c r="AC1288" s="52">
        <f>IFERROR(IF(O1288="","",SUMIFS('CPL Mats'!F:F,'CPL Mats'!Q:Q,AR1288,'CPL Mats'!S:S,AS1288)),"")</f>
        <v>0</v>
      </c>
      <c r="AF1288" s="25" t="str">
        <f>IF(SUMIFS('Supp Consol'!S:S,'Supp Consol'!Y:Y,"Releasable",'Supp Consol'!A:A,O1288)=0,"",SUMIFS('Supp Consol'!S:S,'Supp Consol'!Y:Y,"Releasable",'Supp Consol'!A:A,O1288))</f>
        <v/>
      </c>
      <c r="AG1288" s="25" t="str">
        <f>IFERROR(INDEX('Hun Demand'!Q:Q,MATCH(O1288,'Hun Demand'!A:A,0)),"")</f>
        <v/>
      </c>
      <c r="AH1288" s="25" t="str">
        <f>IFERROR(INDEX('Hun Demand'!H:H,MATCH($O1288,'Hun Demand'!$A:$A,0)),"")</f>
        <v/>
      </c>
      <c r="AI1288" s="25" t="str">
        <f>IF(SUMIFS('Supp Consol'!AA:AA,'Supp Consol'!Z:Z,"Expires this month",'Supp Consol'!A:A,O1288)=0,"",SUMIFS('Supp Consol'!AA:AA,'Supp Consol'!Z:Z,"Expires this month",'Supp Consol'!A:A,O1288))</f>
        <v/>
      </c>
      <c r="AJ1288" s="25" t="str">
        <f>IF(SUMIFS('Supp Consol'!AA:AA,'Supp Consol'!Z:Z,"Expired Previous Months",'Supp Consol'!A:A,O1288)=0,"",SUMIFS('Supp Consol'!AA:AA,'Supp Consol'!Z:Z,"Expired Previous Months",'Supp Consol'!A:A,O1288))</f>
        <v/>
      </c>
      <c r="AK1288" s="25" t="str">
        <f>IFERROR(INDEX('Hun Release Current'!B:B,MATCH(O1288,'Hun Release Current'!A:A,0)),"")</f>
        <v/>
      </c>
      <c r="AL1288" s="25" t="str">
        <f>IF(SUMIF('Prev Aub'!A:A,O1288,'Prev Aub'!B:B)=0,"",SUMIF('Prev Aub'!A:A,O1288,'Prev Aub'!B:B))</f>
        <v/>
      </c>
      <c r="AN1288" s="25" t="s">
        <v>3790</v>
      </c>
      <c r="AO1288" s="25" t="s">
        <v>3790</v>
      </c>
      <c r="AP1288" s="25">
        <f t="shared" si="566"/>
        <v>0</v>
      </c>
      <c r="AQ1288" s="151" t="str">
        <f>IF(SUMIFS('Supp Consol'!S:S,'Supp Consol'!A:A,O1288,'Supp Consol'!I:I,"PENDING")=0,"",SUMIFS('Supp Consol'!S:S,'Supp Consol'!A:A,O1288,'Supp Consol'!I:I,"PENDING"))</f>
        <v/>
      </c>
      <c r="AR1288" s="27" t="str">
        <f t="shared" si="567"/>
        <v>WC013</v>
      </c>
      <c r="AS1288" s="27" t="str">
        <f t="shared" si="568"/>
        <v>50</v>
      </c>
      <c r="AT1288" s="27" t="str">
        <f t="shared" si="569"/>
        <v>WC013</v>
      </c>
      <c r="AU1288" s="27" t="str">
        <f t="shared" si="570"/>
        <v>WC013</v>
      </c>
      <c r="AV1288" s="27" t="str">
        <f t="shared" si="571"/>
        <v>WC013</v>
      </c>
      <c r="AW1288" s="27" t="str">
        <f t="shared" si="572"/>
        <v/>
      </c>
      <c r="AX1288" s="27" t="str">
        <f t="shared" si="573"/>
        <v/>
      </c>
      <c r="AY1288" s="27" t="str">
        <f t="shared" si="574"/>
        <v/>
      </c>
      <c r="AZ1288" s="27" t="str">
        <f t="shared" si="575"/>
        <v/>
      </c>
      <c r="BA1288" s="27" t="str">
        <f t="shared" si="576"/>
        <v>Hun</v>
      </c>
      <c r="BB1288" s="27" t="str">
        <f t="shared" si="577"/>
        <v>Gross</v>
      </c>
      <c r="BC1288" s="27" t="str">
        <f t="shared" si="578"/>
        <v>Net</v>
      </c>
      <c r="BD1288" s="27" t="str">
        <f t="shared" si="579"/>
        <v>Net</v>
      </c>
      <c r="BE1288" s="27" t="str">
        <f t="shared" si="580"/>
        <v/>
      </c>
      <c r="BF1288" s="27" t="str">
        <f t="shared" si="581"/>
        <v/>
      </c>
      <c r="BG1288" s="27" t="str">
        <f t="shared" si="582"/>
        <v/>
      </c>
      <c r="BH1288" s="27" t="str">
        <f t="shared" si="583"/>
        <v>H+N</v>
      </c>
      <c r="BI1288" s="27" t="str">
        <f t="shared" si="584"/>
        <v>H+Nex</v>
      </c>
      <c r="BJ1288" s="27" t="str">
        <f t="shared" si="585"/>
        <v>Supp or Hun</v>
      </c>
      <c r="BK1288" s="27" t="str">
        <f t="shared" si="586"/>
        <v>Supp or Hun Need</v>
      </c>
      <c r="BL1288" s="27" t="str">
        <f t="shared" si="587"/>
        <v>SorHandNandE</v>
      </c>
      <c r="BM1288" s="21" t="s">
        <v>5581</v>
      </c>
    </row>
    <row r="1289" spans="1:65" ht="15">
      <c r="A1289" s="25">
        <f>IFERROR(INDEX('Hun Demand'!W:W,MATCH(O1289,'Hun Demand'!A:A,0)),"")</f>
        <v>0</v>
      </c>
      <c r="B1289" s="25">
        <f>IFERROR(INDEX('Hun Demand'!V:V,MATCH(O1289,'Hun Demand'!A:A,0)),"")</f>
        <v>0</v>
      </c>
      <c r="C1289" s="25">
        <f>IFERROR(INDEX('Hun Demand'!U:U,MATCH(O1289,'Hun Demand'!A:A,0)),"")</f>
        <v>0</v>
      </c>
      <c r="D1289" s="25">
        <f>IFERROR(INDEX('Hun Demand'!T:T,MATCH(O1289,'Hun Demand'!A:A,0)),"")</f>
        <v>0</v>
      </c>
      <c r="E1289" s="25">
        <f>IFERROR(INDEX('Hun Demand'!S:S,MATCH(O1289,'Hun Demand'!A:A,0)),"")</f>
        <v>0</v>
      </c>
      <c r="F1289" s="25">
        <f>IFERROR(INDEX('Hun Demand'!R:R,MATCH(O1289,'Hun Demand'!A:A,0)),"")</f>
        <v>0</v>
      </c>
      <c r="G1289" s="25">
        <f>IFERROR(INDEX('Aub Demand'!W:W,MATCH(O1289,'Aub Demand'!A:A,0)),"")</f>
        <v>0</v>
      </c>
      <c r="H1289" s="25">
        <f>IFERROR(INDEX('Aub Demand'!V:V,MATCH(O1289,'Aub Demand'!A:A,0)),"")</f>
        <v>0</v>
      </c>
      <c r="I1289" s="25">
        <f>IFERROR(INDEX('Aub Demand'!U:U,MATCH(O1289,'Aub Demand'!A:A,0)),"")</f>
        <v>204</v>
      </c>
      <c r="J1289" s="25">
        <f>IFERROR(INDEX('Aub Demand'!T:T,MATCH(O1289,'Aub Demand'!A:A,0)),"")</f>
        <v>229</v>
      </c>
      <c r="K1289" s="25">
        <f>IFERROR(INDEX('Aub Demand'!S:S,MATCH(O1289,'Aub Demand'!A:A,0)),"")</f>
        <v>199</v>
      </c>
      <c r="L1289" s="25">
        <f>IFERROR(INDEX('Aub Demand'!R:R,MATCH(O1289,'Aub Demand'!A:A,0)),"")</f>
        <v>0</v>
      </c>
      <c r="O1289" s="27" t="s">
        <v>2910</v>
      </c>
      <c r="P1289" s="27" t="str">
        <f>IFERROR(INDEX('Aub Demand'!B:B,MATCH($O1289,'Aub Demand'!$A:$A,0)),"")</f>
        <v>BLOSSOM CHERRY</v>
      </c>
      <c r="Q1289" s="27" t="str">
        <f>IFERROR(INDEX('Aub Demand'!C:C,MATCH($O1289,'Aub Demand'!$A:$A,0)),"")</f>
        <v>PANOL</v>
      </c>
      <c r="R1289" s="52">
        <f>IFERROR(IF(AR1290=AR1289,INDEX('Aub Demand'!K:K,MATCH($O1289,'Aub Demand'!$A:$A,0))-IF(AN1289="",0,AN1289)+AP1290,INDEX('Aub Demand'!K:K,MATCH($O1289,'Aub Demand'!$A:$A,0))-IF(AN1289="",0,AN1289)),"")</f>
        <v>951</v>
      </c>
      <c r="S1289" s="53">
        <f t="shared" si="560"/>
        <v>19.3</v>
      </c>
      <c r="T1289" s="52" t="str">
        <f t="shared" si="561"/>
        <v/>
      </c>
      <c r="U1289" s="52">
        <f>IFERROR(IF(AR1290=AR1289,INDEX('Aub Demand'!Q:Q,MATCH($O1289,'Aub Demand'!$A:$A,0))-IF(AN1289="",0,AN1289)+AP1290,INDEX('Aub Demand'!Q:Q,MATCH($O1289,'Aub Demand'!$A:$A,0))-IF(AN1289="",0,AN1289)),"")</f>
        <v>874</v>
      </c>
      <c r="V1289" s="53">
        <f t="shared" si="562"/>
        <v>17.8</v>
      </c>
      <c r="W1289" s="52" t="str">
        <f t="shared" si="563"/>
        <v/>
      </c>
      <c r="X1289" s="52">
        <f>IFERROR(IF(AND(AR1290=AR1289,AM1289&lt;&gt;""),INDEX('Aub Demand'!Q:Q,MATCH($O1289,'Aub Demand'!$A:$A,0))-IF(AN1289="",0,AN1289)+AP1290+AD1289+AL1289,IF(AR1290=AR1289,INDEX('Aub Demand'!Q:Q,MATCH($O1289,'Aub Demand'!$A:$A,0))-IF(AN1289="",0,AN1289)+AP1290+AD1289,IF(AM1289&lt;&gt;"",INDEX('Aub Demand'!Q:Q,MATCH($O1289,'Aub Demand'!$A:$A,0))-IF(AN1289="",0,AN1289)+AD1289+AL1289,INDEX('Aub Demand'!Q:Q,MATCH($O1289,'Aub Demand'!$A:$A,0))-IF(AN1289="",0,AN1289)+AD1289))),"")</f>
        <v>874</v>
      </c>
      <c r="Y1289" s="53">
        <f t="shared" si="564"/>
        <v>17.8</v>
      </c>
      <c r="Z1289" s="52">
        <f>IF(L1289="","",INDEX('Aub Demand'!H:H,MATCH($O1289,'Aub Demand'!$A:$A,0)))</f>
        <v>211</v>
      </c>
      <c r="AA1289" s="52">
        <f t="shared" si="565"/>
        <v>216.5</v>
      </c>
      <c r="AB1289" s="52">
        <f>IFERROR(INDEX('Aub Demand'!L:L,MATCH($O1289,'Aub Demand'!$A:$A,0)),"")</f>
        <v>156</v>
      </c>
      <c r="AC1289" s="52">
        <f>IFERROR(IF(O1289="","",SUMIFS('CPL Mats'!F:F,'CPL Mats'!Q:Q,AR1289,'CPL Mats'!S:S,AS1289)),"")</f>
        <v>0</v>
      </c>
      <c r="AF1289" s="25" t="str">
        <f>IF(SUMIFS('Supp Consol'!S:S,'Supp Consol'!Y:Y,"Releasable",'Supp Consol'!A:A,O1289)=0,"",SUMIFS('Supp Consol'!S:S,'Supp Consol'!Y:Y,"Releasable",'Supp Consol'!A:A,O1289))</f>
        <v/>
      </c>
      <c r="AG1289" s="25">
        <f>IFERROR(INDEX('Hun Demand'!Q:Q,MATCH(O1289,'Hun Demand'!A:A,0)),"")</f>
        <v>120</v>
      </c>
      <c r="AH1289" s="25">
        <f>IFERROR(INDEX('Hun Demand'!H:H,MATCH($O1289,'Hun Demand'!$A:$A,0)),"")</f>
        <v>0</v>
      </c>
      <c r="AI1289" s="25" t="str">
        <f>IF(SUMIFS('Supp Consol'!AA:AA,'Supp Consol'!Z:Z,"Expires this month",'Supp Consol'!A:A,O1289)=0,"",SUMIFS('Supp Consol'!AA:AA,'Supp Consol'!Z:Z,"Expires this month",'Supp Consol'!A:A,O1289))</f>
        <v/>
      </c>
      <c r="AJ1289" s="25" t="str">
        <f>IF(SUMIFS('Supp Consol'!AA:AA,'Supp Consol'!Z:Z,"Expired Previous Months",'Supp Consol'!A:A,O1289)=0,"",SUMIFS('Supp Consol'!AA:AA,'Supp Consol'!Z:Z,"Expired Previous Months",'Supp Consol'!A:A,O1289))</f>
        <v/>
      </c>
      <c r="AK1289" s="25" t="str">
        <f>IFERROR(INDEX('Hun Release Current'!B:B,MATCH(O1289,'Hun Release Current'!A:A,0)),"")</f>
        <v/>
      </c>
      <c r="AL1289" s="25" t="str">
        <f>IF(SUMIF('Prev Aub'!A:A,O1289,'Prev Aub'!B:B)=0,"",SUMIF('Prev Aub'!A:A,O1289,'Prev Aub'!B:B))</f>
        <v/>
      </c>
      <c r="AN1289" s="25" t="s">
        <v>3790</v>
      </c>
      <c r="AO1289" s="25" t="s">
        <v>3790</v>
      </c>
      <c r="AP1289" s="25">
        <f t="shared" si="566"/>
        <v>0</v>
      </c>
      <c r="AQ1289" s="151" t="str">
        <f>IF(SUMIFS('Supp Consol'!S:S,'Supp Consol'!A:A,O1289,'Supp Consol'!I:I,"PENDING")=0,"",SUMIFS('Supp Consol'!S:S,'Supp Consol'!A:A,O1289,'Supp Consol'!I:I,"PENDING"))</f>
        <v/>
      </c>
      <c r="AR1289" s="27" t="str">
        <f t="shared" si="567"/>
        <v>WC013</v>
      </c>
      <c r="AS1289" s="27" t="str">
        <f t="shared" si="568"/>
        <v>62</v>
      </c>
      <c r="AT1289" s="27" t="str">
        <f t="shared" si="569"/>
        <v/>
      </c>
      <c r="AU1289" s="27" t="str">
        <f t="shared" si="570"/>
        <v/>
      </c>
      <c r="AV1289" s="27" t="str">
        <f t="shared" si="571"/>
        <v/>
      </c>
      <c r="AW1289" s="27" t="str">
        <f t="shared" si="572"/>
        <v/>
      </c>
      <c r="AX1289" s="27" t="str">
        <f t="shared" si="573"/>
        <v/>
      </c>
      <c r="AY1289" s="27" t="str">
        <f t="shared" si="574"/>
        <v>WC013</v>
      </c>
      <c r="AZ1289" s="27" t="str">
        <f t="shared" si="575"/>
        <v/>
      </c>
      <c r="BA1289" s="27" t="str">
        <f t="shared" si="576"/>
        <v>Hun</v>
      </c>
      <c r="BB1289" s="27" t="str">
        <f t="shared" si="577"/>
        <v>Gross</v>
      </c>
      <c r="BC1289" s="27" t="str">
        <f t="shared" si="578"/>
        <v>Net</v>
      </c>
      <c r="BD1289" s="27" t="str">
        <f t="shared" si="579"/>
        <v>Net</v>
      </c>
      <c r="BE1289" s="27" t="str">
        <f t="shared" si="580"/>
        <v/>
      </c>
      <c r="BF1289" s="27" t="str">
        <f t="shared" si="581"/>
        <v/>
      </c>
      <c r="BG1289" s="27" t="str">
        <f t="shared" si="582"/>
        <v/>
      </c>
      <c r="BH1289" s="27" t="str">
        <f t="shared" si="583"/>
        <v>H+N</v>
      </c>
      <c r="BI1289" s="27" t="str">
        <f t="shared" si="584"/>
        <v>H+Nex</v>
      </c>
      <c r="BJ1289" s="27" t="str">
        <f t="shared" si="585"/>
        <v>Supp or Hun</v>
      </c>
      <c r="BK1289" s="27" t="str">
        <f t="shared" si="586"/>
        <v>Supp or Hun Need</v>
      </c>
      <c r="BL1289" s="27" t="str">
        <f t="shared" si="587"/>
        <v>SorHandNandE</v>
      </c>
      <c r="BM1289" s="21" t="s">
        <v>5581</v>
      </c>
    </row>
    <row r="1290" spans="1:65" ht="15">
      <c r="A1290" s="25" t="str">
        <f>IFERROR(INDEX('Hun Demand'!W:W,MATCH(O1290,'Hun Demand'!A:A,0)),"")</f>
        <v/>
      </c>
      <c r="B1290" s="25" t="str">
        <f>IFERROR(INDEX('Hun Demand'!V:V,MATCH(O1290,'Hun Demand'!A:A,0)),"")</f>
        <v/>
      </c>
      <c r="C1290" s="25" t="str">
        <f>IFERROR(INDEX('Hun Demand'!U:U,MATCH(O1290,'Hun Demand'!A:A,0)),"")</f>
        <v/>
      </c>
      <c r="D1290" s="25" t="str">
        <f>IFERROR(INDEX('Hun Demand'!T:T,MATCH(O1290,'Hun Demand'!A:A,0)),"")</f>
        <v/>
      </c>
      <c r="E1290" s="25" t="str">
        <f>IFERROR(INDEX('Hun Demand'!S:S,MATCH(O1290,'Hun Demand'!A:A,0)),"")</f>
        <v/>
      </c>
      <c r="F1290" s="25" t="str">
        <f>IFERROR(INDEX('Hun Demand'!R:R,MATCH(O1290,'Hun Demand'!A:A,0)),"")</f>
        <v/>
      </c>
      <c r="G1290" s="25">
        <f>IFERROR(INDEX('Aub Demand'!W:W,MATCH(O1290,'Aub Demand'!A:A,0)),"")</f>
        <v>0</v>
      </c>
      <c r="H1290" s="25">
        <f>IFERROR(INDEX('Aub Demand'!V:V,MATCH(O1290,'Aub Demand'!A:A,0)),"")</f>
        <v>0</v>
      </c>
      <c r="I1290" s="25">
        <f>IFERROR(INDEX('Aub Demand'!U:U,MATCH(O1290,'Aub Demand'!A:A,0)),"")</f>
        <v>7</v>
      </c>
      <c r="J1290" s="25">
        <f>IFERROR(INDEX('Aub Demand'!T:T,MATCH(O1290,'Aub Demand'!A:A,0)),"")</f>
        <v>0</v>
      </c>
      <c r="K1290" s="25">
        <f>IFERROR(INDEX('Aub Demand'!S:S,MATCH(O1290,'Aub Demand'!A:A,0)),"")</f>
        <v>0</v>
      </c>
      <c r="L1290" s="25">
        <f>IFERROR(INDEX('Aub Demand'!R:R,MATCH(O1290,'Aub Demand'!A:A,0)),"")</f>
        <v>0</v>
      </c>
      <c r="O1290" s="27" t="s">
        <v>5301</v>
      </c>
      <c r="P1290" s="27" t="str">
        <f>IFERROR(INDEX('Aub Demand'!B:B,MATCH($O1290,'Aub Demand'!$A:$A,0)),"")</f>
        <v>SOVEREIGN CHERRY 36"</v>
      </c>
      <c r="Q1290" s="27" t="str">
        <f>IFERROR(INDEX('Aub Demand'!C:C,MATCH($O1290,'Aub Demand'!$A:$A,0)),"")</f>
        <v>TOPPA</v>
      </c>
      <c r="R1290" s="52">
        <f>IFERROR(IF(AR1291=AR1290,INDEX('Aub Demand'!K:K,MATCH($O1290,'Aub Demand'!$A:$A,0))-IF(AN1290="",0,AN1290)+AP1291,INDEX('Aub Demand'!K:K,MATCH($O1290,'Aub Demand'!$A:$A,0))-IF(AN1290="",0,AN1290)),"")</f>
        <v>0</v>
      </c>
      <c r="S1290" s="53">
        <f t="shared" si="560"/>
        <v>0</v>
      </c>
      <c r="T1290" s="52" t="str">
        <f t="shared" si="561"/>
        <v/>
      </c>
      <c r="U1290" s="52">
        <f>IFERROR(IF(AR1291=AR1290,INDEX('Aub Demand'!Q:Q,MATCH($O1290,'Aub Demand'!$A:$A,0))-IF(AN1290="",0,AN1290)+AP1291,INDEX('Aub Demand'!Q:Q,MATCH($O1290,'Aub Demand'!$A:$A,0))-IF(AN1290="",0,AN1290)),"")</f>
        <v>0</v>
      </c>
      <c r="V1290" s="53">
        <f t="shared" si="562"/>
        <v>0</v>
      </c>
      <c r="W1290" s="52" t="str">
        <f t="shared" si="563"/>
        <v/>
      </c>
      <c r="X1290" s="52">
        <f>IFERROR(IF(AND(AR1291=AR1290,AM1290&lt;&gt;""),INDEX('Aub Demand'!Q:Q,MATCH($O1290,'Aub Demand'!$A:$A,0))-IF(AN1290="",0,AN1290)+AP1291+AD1290+AL1290,IF(AR1291=AR1290,INDEX('Aub Demand'!Q:Q,MATCH($O1290,'Aub Demand'!$A:$A,0))-IF(AN1290="",0,AN1290)+AP1291+AD1290,IF(AM1290&lt;&gt;"",INDEX('Aub Demand'!Q:Q,MATCH($O1290,'Aub Demand'!$A:$A,0))-IF(AN1290="",0,AN1290)+AD1290+AL1290,INDEX('Aub Demand'!Q:Q,MATCH($O1290,'Aub Demand'!$A:$A,0))-IF(AN1290="",0,AN1290)+AD1290))),"")</f>
        <v>0</v>
      </c>
      <c r="Y1290" s="53">
        <f t="shared" si="564"/>
        <v>0</v>
      </c>
      <c r="Z1290" s="52">
        <f>IF(L1290="","",INDEX('Aub Demand'!H:H,MATCH($O1290,'Aub Demand'!$A:$A,0)))</f>
        <v>2</v>
      </c>
      <c r="AA1290" s="52" t="str">
        <f t="shared" si="565"/>
        <v>-spike-</v>
      </c>
      <c r="AB1290" s="52">
        <f>IFERROR(INDEX('Aub Demand'!L:L,MATCH($O1290,'Aub Demand'!$A:$A,0)),"")</f>
        <v>0</v>
      </c>
      <c r="AC1290" s="52">
        <f>IFERROR(IF(O1290="","",SUMIFS('CPL Mats'!F:F,'CPL Mats'!Q:Q,AR1290,'CPL Mats'!S:S,AS1290)),"")</f>
        <v>0</v>
      </c>
      <c r="AF1290" s="25" t="str">
        <f>IF(SUMIFS('Supp Consol'!S:S,'Supp Consol'!Y:Y,"Releasable",'Supp Consol'!A:A,O1290)=0,"",SUMIFS('Supp Consol'!S:S,'Supp Consol'!Y:Y,"Releasable",'Supp Consol'!A:A,O1290))</f>
        <v/>
      </c>
      <c r="AG1290" s="25" t="str">
        <f>IFERROR(INDEX('Hun Demand'!Q:Q,MATCH(O1290,'Hun Demand'!A:A,0)),"")</f>
        <v/>
      </c>
      <c r="AH1290" s="25" t="str">
        <f>IFERROR(INDEX('Hun Demand'!H:H,MATCH($O1290,'Hun Demand'!$A:$A,0)),"")</f>
        <v/>
      </c>
      <c r="AI1290" s="25" t="str">
        <f>IF(SUMIFS('Supp Consol'!AA:AA,'Supp Consol'!Z:Z,"Expires this month",'Supp Consol'!A:A,O1290)=0,"",SUMIFS('Supp Consol'!AA:AA,'Supp Consol'!Z:Z,"Expires this month",'Supp Consol'!A:A,O1290))</f>
        <v/>
      </c>
      <c r="AJ1290" s="25" t="str">
        <f>IF(SUMIFS('Supp Consol'!AA:AA,'Supp Consol'!Z:Z,"Expired Previous Months",'Supp Consol'!A:A,O1290)=0,"",SUMIFS('Supp Consol'!AA:AA,'Supp Consol'!Z:Z,"Expired Previous Months",'Supp Consol'!A:A,O1290))</f>
        <v/>
      </c>
      <c r="AK1290" s="25" t="str">
        <f>IFERROR(INDEX('Hun Release Current'!B:B,MATCH(O1290,'Hun Release Current'!A:A,0)),"")</f>
        <v/>
      </c>
      <c r="AL1290" s="25" t="str">
        <f>IF(SUMIF('Prev Aub'!A:A,O1290,'Prev Aub'!B:B)=0,"",SUMIF('Prev Aub'!A:A,O1290,'Prev Aub'!B:B))</f>
        <v/>
      </c>
      <c r="AN1290" s="25" t="s">
        <v>3790</v>
      </c>
      <c r="AO1290" s="25" t="s">
        <v>3790</v>
      </c>
      <c r="AP1290" s="25">
        <f t="shared" si="566"/>
        <v>0</v>
      </c>
      <c r="AQ1290" s="151" t="str">
        <f>IF(SUMIFS('Supp Consol'!S:S,'Supp Consol'!A:A,O1290,'Supp Consol'!I:I,"PENDING")=0,"",SUMIFS('Supp Consol'!S:S,'Supp Consol'!A:A,O1290,'Supp Consol'!I:I,"PENDING"))</f>
        <v/>
      </c>
      <c r="AR1290" s="27" t="str">
        <f t="shared" si="567"/>
        <v>WC022</v>
      </c>
      <c r="AS1290" s="27" t="str">
        <f t="shared" si="568"/>
        <v>37</v>
      </c>
      <c r="AT1290" s="27" t="str">
        <f t="shared" si="569"/>
        <v>WC022</v>
      </c>
      <c r="AU1290" s="27" t="str">
        <f t="shared" si="570"/>
        <v>WC022</v>
      </c>
      <c r="AV1290" s="27" t="str">
        <f t="shared" si="571"/>
        <v>WC022</v>
      </c>
      <c r="AW1290" s="27" t="str">
        <f t="shared" si="572"/>
        <v/>
      </c>
      <c r="AX1290" s="27" t="str">
        <f t="shared" si="573"/>
        <v/>
      </c>
      <c r="AY1290" s="27" t="str">
        <f t="shared" si="574"/>
        <v/>
      </c>
      <c r="AZ1290" s="27" t="str">
        <f t="shared" si="575"/>
        <v/>
      </c>
      <c r="BA1290" s="27" t="str">
        <f t="shared" si="576"/>
        <v>Hun</v>
      </c>
      <c r="BB1290" s="27" t="str">
        <f t="shared" si="577"/>
        <v>Gross</v>
      </c>
      <c r="BC1290" s="27" t="str">
        <f t="shared" si="578"/>
        <v>Net</v>
      </c>
      <c r="BD1290" s="27" t="str">
        <f t="shared" si="579"/>
        <v>Net</v>
      </c>
      <c r="BE1290" s="27" t="str">
        <f t="shared" si="580"/>
        <v/>
      </c>
      <c r="BF1290" s="27" t="str">
        <f t="shared" si="581"/>
        <v/>
      </c>
      <c r="BG1290" s="27" t="str">
        <f t="shared" si="582"/>
        <v/>
      </c>
      <c r="BH1290" s="27" t="str">
        <f t="shared" si="583"/>
        <v>H+N</v>
      </c>
      <c r="BI1290" s="27" t="str">
        <f t="shared" si="584"/>
        <v>H+Nex</v>
      </c>
      <c r="BJ1290" s="27" t="str">
        <f t="shared" si="585"/>
        <v>Supp or Hun</v>
      </c>
      <c r="BK1290" s="27" t="str">
        <f t="shared" si="586"/>
        <v>Supp or Hun Need</v>
      </c>
      <c r="BL1290" s="27" t="str">
        <f t="shared" si="587"/>
        <v>SorHandNandE</v>
      </c>
      <c r="BM1290" s="21" t="s">
        <v>5581</v>
      </c>
    </row>
    <row r="1291" spans="1:65" ht="15">
      <c r="A1291" s="25">
        <f>IFERROR(INDEX('Hun Demand'!W:W,MATCH(O1291,'Hun Demand'!A:A,0)),"")</f>
        <v>0</v>
      </c>
      <c r="B1291" s="25">
        <f>IFERROR(INDEX('Hun Demand'!V:V,MATCH(O1291,'Hun Demand'!A:A,0)),"")</f>
        <v>0</v>
      </c>
      <c r="C1291" s="25">
        <f>IFERROR(INDEX('Hun Demand'!U:U,MATCH(O1291,'Hun Demand'!A:A,0)),"")</f>
        <v>0</v>
      </c>
      <c r="D1291" s="25">
        <f>IFERROR(INDEX('Hun Demand'!T:T,MATCH(O1291,'Hun Demand'!A:A,0)),"")</f>
        <v>0</v>
      </c>
      <c r="E1291" s="25">
        <f>IFERROR(INDEX('Hun Demand'!S:S,MATCH(O1291,'Hun Demand'!A:A,0)),"")</f>
        <v>0</v>
      </c>
      <c r="F1291" s="25">
        <f>IFERROR(INDEX('Hun Demand'!R:R,MATCH(O1291,'Hun Demand'!A:A,0)),"")</f>
        <v>0</v>
      </c>
      <c r="G1291" s="25">
        <f>IFERROR(INDEX('Aub Demand'!W:W,MATCH(O1291,'Aub Demand'!A:A,0)),"")</f>
        <v>47</v>
      </c>
      <c r="H1291" s="25">
        <f>IFERROR(INDEX('Aub Demand'!V:V,MATCH(O1291,'Aub Demand'!A:A,0)),"")</f>
        <v>404</v>
      </c>
      <c r="I1291" s="25">
        <f>IFERROR(INDEX('Aub Demand'!U:U,MATCH(O1291,'Aub Demand'!A:A,0)),"")</f>
        <v>0</v>
      </c>
      <c r="J1291" s="25">
        <f>IFERROR(INDEX('Aub Demand'!T:T,MATCH(O1291,'Aub Demand'!A:A,0)),"")</f>
        <v>61</v>
      </c>
      <c r="K1291" s="25">
        <f>IFERROR(INDEX('Aub Demand'!S:S,MATCH(O1291,'Aub Demand'!A:A,0)),"")</f>
        <v>163</v>
      </c>
      <c r="L1291" s="25">
        <f>IFERROR(INDEX('Aub Demand'!R:R,MATCH(O1291,'Aub Demand'!A:A,0)),"")</f>
        <v>0</v>
      </c>
      <c r="O1291" s="27" t="s">
        <v>2913</v>
      </c>
      <c r="P1291" s="27" t="str">
        <f>IFERROR(INDEX('Aub Demand'!B:B,MATCH($O1291,'Aub Demand'!$A:$A,0)),"")</f>
        <v>SOVEREIGN CHERRY 50"</v>
      </c>
      <c r="Q1291" s="27" t="str">
        <f>IFERROR(INDEX('Aub Demand'!C:C,MATCH($O1291,'Aub Demand'!$A:$A,0)),"")</f>
        <v>TOPPA</v>
      </c>
      <c r="R1291" s="52">
        <f>IFERROR(IF(AR1292=AR1291,INDEX('Aub Demand'!K:K,MATCH($O1291,'Aub Demand'!$A:$A,0))-IF(AN1291="",0,AN1291)+AP1292,INDEX('Aub Demand'!K:K,MATCH($O1291,'Aub Demand'!$A:$A,0))-IF(AN1291="",0,AN1291)),"")</f>
        <v>597</v>
      </c>
      <c r="S1291" s="53">
        <f t="shared" si="560"/>
        <v>34.1</v>
      </c>
      <c r="T1291" s="52" t="str">
        <f t="shared" si="561"/>
        <v/>
      </c>
      <c r="U1291" s="52">
        <f>IFERROR(IF(AR1292=AR1291,INDEX('Aub Demand'!Q:Q,MATCH($O1291,'Aub Demand'!$A:$A,0))-IF(AN1291="",0,AN1291)+AP1292,INDEX('Aub Demand'!Q:Q,MATCH($O1291,'Aub Demand'!$A:$A,0))-IF(AN1291="",0,AN1291)),"")</f>
        <v>572</v>
      </c>
      <c r="V1291" s="53">
        <f t="shared" si="562"/>
        <v>32.700000000000003</v>
      </c>
      <c r="W1291" s="52" t="str">
        <f t="shared" si="563"/>
        <v/>
      </c>
      <c r="X1291" s="52">
        <f>IFERROR(IF(AND(AR1292=AR1291,AM1291&lt;&gt;""),INDEX('Aub Demand'!Q:Q,MATCH($O1291,'Aub Demand'!$A:$A,0))-IF(AN1291="",0,AN1291)+AP1292+AD1291+AL1291,IF(AR1292=AR1291,INDEX('Aub Demand'!Q:Q,MATCH($O1291,'Aub Demand'!$A:$A,0))-IF(AN1291="",0,AN1291)+AP1292+AD1291,IF(AM1291&lt;&gt;"",INDEX('Aub Demand'!Q:Q,MATCH($O1291,'Aub Demand'!$A:$A,0))-IF(AN1291="",0,AN1291)+AD1291+AL1291,INDEX('Aub Demand'!Q:Q,MATCH($O1291,'Aub Demand'!$A:$A,0))-IF(AN1291="",0,AN1291)+AD1291))),"")</f>
        <v>572</v>
      </c>
      <c r="Y1291" s="53">
        <f t="shared" si="564"/>
        <v>32.700000000000003</v>
      </c>
      <c r="Z1291" s="52">
        <f>IF(L1291="","",INDEX('Aub Demand'!H:H,MATCH($O1291,'Aub Demand'!$A:$A,0)))</f>
        <v>75</v>
      </c>
      <c r="AA1291" s="52">
        <f t="shared" si="565"/>
        <v>112</v>
      </c>
      <c r="AB1291" s="52">
        <f>IFERROR(INDEX('Aub Demand'!L:L,MATCH($O1291,'Aub Demand'!$A:$A,0)),"")</f>
        <v>224</v>
      </c>
      <c r="AC1291" s="52">
        <f>IFERROR(IF(O1291="","",SUMIFS('CPL Mats'!F:F,'CPL Mats'!Q:Q,AR1291,'CPL Mats'!S:S,AS1291)),"")</f>
        <v>2286.1999999999998</v>
      </c>
      <c r="AF1291" s="25" t="str">
        <f>IF(SUMIFS('Supp Consol'!S:S,'Supp Consol'!Y:Y,"Releasable",'Supp Consol'!A:A,O1291)=0,"",SUMIFS('Supp Consol'!S:S,'Supp Consol'!Y:Y,"Releasable",'Supp Consol'!A:A,O1291))</f>
        <v/>
      </c>
      <c r="AG1291" s="25">
        <f>IFERROR(INDEX('Hun Demand'!Q:Q,MATCH(O1291,'Hun Demand'!A:A,0)),"")</f>
        <v>192</v>
      </c>
      <c r="AH1291" s="25">
        <f>IFERROR(INDEX('Hun Demand'!H:H,MATCH($O1291,'Hun Demand'!$A:$A,0)),"")</f>
        <v>0</v>
      </c>
      <c r="AI1291" s="25" t="str">
        <f>IF(SUMIFS('Supp Consol'!AA:AA,'Supp Consol'!Z:Z,"Expires this month",'Supp Consol'!A:A,O1291)=0,"",SUMIFS('Supp Consol'!AA:AA,'Supp Consol'!Z:Z,"Expires this month",'Supp Consol'!A:A,O1291))</f>
        <v/>
      </c>
      <c r="AJ1291" s="25" t="str">
        <f>IF(SUMIFS('Supp Consol'!AA:AA,'Supp Consol'!Z:Z,"Expired Previous Months",'Supp Consol'!A:A,O1291)=0,"",SUMIFS('Supp Consol'!AA:AA,'Supp Consol'!Z:Z,"Expired Previous Months",'Supp Consol'!A:A,O1291))</f>
        <v/>
      </c>
      <c r="AK1291" s="25" t="str">
        <f>IFERROR(INDEX('Hun Release Current'!B:B,MATCH(O1291,'Hun Release Current'!A:A,0)),"")</f>
        <v/>
      </c>
      <c r="AL1291" s="25" t="str">
        <f>IF(SUMIF('Prev Aub'!A:A,O1291,'Prev Aub'!B:B)=0,"",SUMIF('Prev Aub'!A:A,O1291,'Prev Aub'!B:B))</f>
        <v/>
      </c>
      <c r="AN1291" s="25" t="s">
        <v>3790</v>
      </c>
      <c r="AO1291" s="25" t="s">
        <v>3790</v>
      </c>
      <c r="AP1291" s="25">
        <f t="shared" si="566"/>
        <v>0</v>
      </c>
      <c r="AQ1291" s="151" t="str">
        <f>IF(SUMIFS('Supp Consol'!S:S,'Supp Consol'!A:A,O1291,'Supp Consol'!I:I,"PENDING")=0,"",SUMIFS('Supp Consol'!S:S,'Supp Consol'!A:A,O1291,'Supp Consol'!I:I,"PENDING"))</f>
        <v/>
      </c>
      <c r="AR1291" s="27" t="str">
        <f t="shared" si="567"/>
        <v>WC022</v>
      </c>
      <c r="AS1291" s="27" t="str">
        <f t="shared" si="568"/>
        <v>50</v>
      </c>
      <c r="AT1291" s="27" t="str">
        <f t="shared" si="569"/>
        <v/>
      </c>
      <c r="AU1291" s="27" t="str">
        <f t="shared" si="570"/>
        <v/>
      </c>
      <c r="AV1291" s="27" t="str">
        <f t="shared" si="571"/>
        <v/>
      </c>
      <c r="AW1291" s="27" t="str">
        <f t="shared" si="572"/>
        <v/>
      </c>
      <c r="AX1291" s="27" t="str">
        <f t="shared" si="573"/>
        <v/>
      </c>
      <c r="AY1291" s="27" t="str">
        <f t="shared" si="574"/>
        <v>WC022</v>
      </c>
      <c r="AZ1291" s="27" t="str">
        <f t="shared" si="575"/>
        <v/>
      </c>
      <c r="BA1291" s="27" t="str">
        <f t="shared" si="576"/>
        <v>Hun</v>
      </c>
      <c r="BB1291" s="27" t="str">
        <f t="shared" si="577"/>
        <v>Gross</v>
      </c>
      <c r="BC1291" s="27" t="str">
        <f t="shared" si="578"/>
        <v>Net</v>
      </c>
      <c r="BD1291" s="27" t="str">
        <f t="shared" si="579"/>
        <v>Net</v>
      </c>
      <c r="BE1291" s="27" t="str">
        <f t="shared" si="580"/>
        <v/>
      </c>
      <c r="BF1291" s="27" t="str">
        <f t="shared" si="581"/>
        <v/>
      </c>
      <c r="BG1291" s="27" t="str">
        <f t="shared" si="582"/>
        <v/>
      </c>
      <c r="BH1291" s="27" t="str">
        <f t="shared" si="583"/>
        <v>H+N</v>
      </c>
      <c r="BI1291" s="27" t="str">
        <f t="shared" si="584"/>
        <v>H+Nex</v>
      </c>
      <c r="BJ1291" s="27" t="str">
        <f t="shared" si="585"/>
        <v>Supp or Hun</v>
      </c>
      <c r="BK1291" s="27" t="str">
        <f t="shared" si="586"/>
        <v>Supp or Hun Need</v>
      </c>
      <c r="BL1291" s="27" t="str">
        <f t="shared" si="587"/>
        <v>SorHandNandE</v>
      </c>
      <c r="BM1291" s="21" t="s">
        <v>5581</v>
      </c>
    </row>
    <row r="1292" spans="1:65" ht="15">
      <c r="A1292" s="25">
        <f>IFERROR(INDEX('Hun Demand'!W:W,MATCH(O1292,'Hun Demand'!A:A,0)),"")</f>
        <v>0</v>
      </c>
      <c r="B1292" s="25">
        <f>IFERROR(INDEX('Hun Demand'!V:V,MATCH(O1292,'Hun Demand'!A:A,0)),"")</f>
        <v>0</v>
      </c>
      <c r="C1292" s="25">
        <f>IFERROR(INDEX('Hun Demand'!U:U,MATCH(O1292,'Hun Demand'!A:A,0)),"")</f>
        <v>0</v>
      </c>
      <c r="D1292" s="25">
        <f>IFERROR(INDEX('Hun Demand'!T:T,MATCH(O1292,'Hun Demand'!A:A,0)),"")</f>
        <v>0</v>
      </c>
      <c r="E1292" s="25">
        <f>IFERROR(INDEX('Hun Demand'!S:S,MATCH(O1292,'Hun Demand'!A:A,0)),"")</f>
        <v>0</v>
      </c>
      <c r="F1292" s="25">
        <f>IFERROR(INDEX('Hun Demand'!R:R,MATCH(O1292,'Hun Demand'!A:A,0)),"")</f>
        <v>0</v>
      </c>
      <c r="G1292" s="25">
        <f>IFERROR(INDEX('Aub Demand'!W:W,MATCH(O1292,'Aub Demand'!A:A,0)),"")</f>
        <v>0</v>
      </c>
      <c r="H1292" s="25">
        <f>IFERROR(INDEX('Aub Demand'!V:V,MATCH(O1292,'Aub Demand'!A:A,0)),"")</f>
        <v>57</v>
      </c>
      <c r="I1292" s="25">
        <f>IFERROR(INDEX('Aub Demand'!U:U,MATCH(O1292,'Aub Demand'!A:A,0)),"")</f>
        <v>126</v>
      </c>
      <c r="J1292" s="25">
        <f>IFERROR(INDEX('Aub Demand'!T:T,MATCH(O1292,'Aub Demand'!A:A,0)),"")</f>
        <v>74</v>
      </c>
      <c r="K1292" s="25">
        <f>IFERROR(INDEX('Aub Demand'!S:S,MATCH(O1292,'Aub Demand'!A:A,0)),"")</f>
        <v>0</v>
      </c>
      <c r="L1292" s="25">
        <f>IFERROR(INDEX('Aub Demand'!R:R,MATCH(O1292,'Aub Demand'!A:A,0)),"")</f>
        <v>0</v>
      </c>
      <c r="O1292" s="27" t="s">
        <v>2916</v>
      </c>
      <c r="P1292" s="27" t="str">
        <f>IFERROR(INDEX('Aub Demand'!B:B,MATCH($O1292,'Aub Demand'!$A:$A,0)),"")</f>
        <v>SOVEREIGN CHERRY 62"</v>
      </c>
      <c r="Q1292" s="27" t="str">
        <f>IFERROR(INDEX('Aub Demand'!C:C,MATCH($O1292,'Aub Demand'!$A:$A,0)),"")</f>
        <v>TOPPA</v>
      </c>
      <c r="R1292" s="52">
        <f>IFERROR(IF(AR1293=AR1292,INDEX('Aub Demand'!K:K,MATCH($O1292,'Aub Demand'!$A:$A,0))-IF(AN1292="",0,AN1292)+AP1293,INDEX('Aub Demand'!K:K,MATCH($O1292,'Aub Demand'!$A:$A,0))-IF(AN1292="",0,AN1292)),"")</f>
        <v>248</v>
      </c>
      <c r="S1292" s="53">
        <f t="shared" si="560"/>
        <v>15.9</v>
      </c>
      <c r="T1292" s="52" t="str">
        <f t="shared" si="561"/>
        <v/>
      </c>
      <c r="U1292" s="52">
        <f>IFERROR(IF(AR1293=AR1292,INDEX('Aub Demand'!Q:Q,MATCH($O1292,'Aub Demand'!$A:$A,0))-IF(AN1292="",0,AN1292)+AP1293,INDEX('Aub Demand'!Q:Q,MATCH($O1292,'Aub Demand'!$A:$A,0))-IF(AN1292="",0,AN1292)),"")</f>
        <v>248</v>
      </c>
      <c r="V1292" s="53">
        <f t="shared" si="562"/>
        <v>15.9</v>
      </c>
      <c r="W1292" s="52" t="str">
        <f t="shared" si="563"/>
        <v/>
      </c>
      <c r="X1292" s="52">
        <f>IFERROR(IF(AND(AR1293=AR1292,AM1292&lt;&gt;""),INDEX('Aub Demand'!Q:Q,MATCH($O1292,'Aub Demand'!$A:$A,0))-IF(AN1292="",0,AN1292)+AP1293+AD1292+AL1292,IF(AR1293=AR1292,INDEX('Aub Demand'!Q:Q,MATCH($O1292,'Aub Demand'!$A:$A,0))-IF(AN1292="",0,AN1292)+AP1293+AD1292,IF(AM1292&lt;&gt;"",INDEX('Aub Demand'!Q:Q,MATCH($O1292,'Aub Demand'!$A:$A,0))-IF(AN1292="",0,AN1292)+AD1292+AL1292,INDEX('Aub Demand'!Q:Q,MATCH($O1292,'Aub Demand'!$A:$A,0))-IF(AN1292="",0,AN1292)+AD1292))),"")</f>
        <v>248</v>
      </c>
      <c r="Y1292" s="53">
        <f t="shared" si="564"/>
        <v>15.9</v>
      </c>
      <c r="Z1292" s="52">
        <f>IF(L1292="","",INDEX('Aub Demand'!H:H,MATCH($O1292,'Aub Demand'!$A:$A,0)))</f>
        <v>67</v>
      </c>
      <c r="AA1292" s="52">
        <f t="shared" si="565"/>
        <v>100</v>
      </c>
      <c r="AB1292" s="52">
        <f>IFERROR(INDEX('Aub Demand'!L:L,MATCH($O1292,'Aub Demand'!$A:$A,0)),"")</f>
        <v>46</v>
      </c>
      <c r="AC1292" s="52">
        <f>IFERROR(IF(O1292="","",SUMIFS('CPL Mats'!F:F,'CPL Mats'!Q:Q,AR1292,'CPL Mats'!S:S,AS1292)),"")</f>
        <v>0</v>
      </c>
      <c r="AF1292" s="25" t="str">
        <f>IF(SUMIFS('Supp Consol'!S:S,'Supp Consol'!Y:Y,"Releasable",'Supp Consol'!A:A,O1292)=0,"",SUMIFS('Supp Consol'!S:S,'Supp Consol'!Y:Y,"Releasable",'Supp Consol'!A:A,O1292))</f>
        <v/>
      </c>
      <c r="AG1292" s="25">
        <f>IFERROR(INDEX('Hun Demand'!Q:Q,MATCH(O1292,'Hun Demand'!A:A,0)),"")</f>
        <v>0</v>
      </c>
      <c r="AH1292" s="25">
        <f>IFERROR(INDEX('Hun Demand'!H:H,MATCH($O1292,'Hun Demand'!$A:$A,0)),"")</f>
        <v>0</v>
      </c>
      <c r="AI1292" s="25" t="str">
        <f>IF(SUMIFS('Supp Consol'!AA:AA,'Supp Consol'!Z:Z,"Expires this month",'Supp Consol'!A:A,O1292)=0,"",SUMIFS('Supp Consol'!AA:AA,'Supp Consol'!Z:Z,"Expires this month",'Supp Consol'!A:A,O1292))</f>
        <v/>
      </c>
      <c r="AJ1292" s="25" t="str">
        <f>IF(SUMIFS('Supp Consol'!AA:AA,'Supp Consol'!Z:Z,"Expired Previous Months",'Supp Consol'!A:A,O1292)=0,"",SUMIFS('Supp Consol'!AA:AA,'Supp Consol'!Z:Z,"Expired Previous Months",'Supp Consol'!A:A,O1292))</f>
        <v/>
      </c>
      <c r="AK1292" s="25" t="str">
        <f>IFERROR(INDEX('Hun Release Current'!B:B,MATCH(O1292,'Hun Release Current'!A:A,0)),"")</f>
        <v/>
      </c>
      <c r="AL1292" s="25" t="str">
        <f>IF(SUMIF('Prev Aub'!A:A,O1292,'Prev Aub'!B:B)=0,"",SUMIF('Prev Aub'!A:A,O1292,'Prev Aub'!B:B))</f>
        <v/>
      </c>
      <c r="AN1292" s="25" t="s">
        <v>3790</v>
      </c>
      <c r="AO1292" s="25" t="s">
        <v>3790</v>
      </c>
      <c r="AP1292" s="25">
        <f t="shared" si="566"/>
        <v>0</v>
      </c>
      <c r="AQ1292" s="151" t="str">
        <f>IF(SUMIFS('Supp Consol'!S:S,'Supp Consol'!A:A,O1292,'Supp Consol'!I:I,"PENDING")=0,"",SUMIFS('Supp Consol'!S:S,'Supp Consol'!A:A,O1292,'Supp Consol'!I:I,"PENDING"))</f>
        <v/>
      </c>
      <c r="AR1292" s="27" t="str">
        <f t="shared" si="567"/>
        <v>WC022</v>
      </c>
      <c r="AS1292" s="27" t="str">
        <f t="shared" si="568"/>
        <v>62</v>
      </c>
      <c r="AT1292" s="27" t="str">
        <f t="shared" si="569"/>
        <v/>
      </c>
      <c r="AU1292" s="27" t="str">
        <f t="shared" si="570"/>
        <v/>
      </c>
      <c r="AV1292" s="27" t="str">
        <f t="shared" si="571"/>
        <v/>
      </c>
      <c r="AW1292" s="27" t="str">
        <f t="shared" si="572"/>
        <v/>
      </c>
      <c r="AX1292" s="27" t="str">
        <f t="shared" si="573"/>
        <v/>
      </c>
      <c r="AY1292" s="27" t="str">
        <f t="shared" si="574"/>
        <v/>
      </c>
      <c r="AZ1292" s="27" t="str">
        <f t="shared" si="575"/>
        <v/>
      </c>
      <c r="BA1292" s="27" t="str">
        <f t="shared" si="576"/>
        <v>Hun</v>
      </c>
      <c r="BB1292" s="27" t="str">
        <f t="shared" si="577"/>
        <v>Gross</v>
      </c>
      <c r="BC1292" s="27" t="str">
        <f t="shared" si="578"/>
        <v>Net</v>
      </c>
      <c r="BD1292" s="27" t="str">
        <f t="shared" si="579"/>
        <v>Net</v>
      </c>
      <c r="BE1292" s="27" t="str">
        <f t="shared" si="580"/>
        <v/>
      </c>
      <c r="BF1292" s="27" t="str">
        <f t="shared" si="581"/>
        <v/>
      </c>
      <c r="BG1292" s="27" t="str">
        <f t="shared" si="582"/>
        <v/>
      </c>
      <c r="BH1292" s="27" t="str">
        <f t="shared" si="583"/>
        <v>H+N</v>
      </c>
      <c r="BI1292" s="27" t="str">
        <f t="shared" si="584"/>
        <v>H+Nex</v>
      </c>
      <c r="BJ1292" s="27" t="str">
        <f t="shared" si="585"/>
        <v>Supp or Hun</v>
      </c>
      <c r="BK1292" s="27" t="str">
        <f t="shared" si="586"/>
        <v>Supp or Hun Need</v>
      </c>
      <c r="BL1292" s="27" t="str">
        <f t="shared" si="587"/>
        <v>SorHandNandE</v>
      </c>
      <c r="BM1292" s="21" t="s">
        <v>5581</v>
      </c>
    </row>
    <row r="1293" spans="1:65" ht="15">
      <c r="A1293" s="25" t="str">
        <f>IFERROR(INDEX('Hun Demand'!W:W,MATCH(O1293,'Hun Demand'!A:A,0)),"")</f>
        <v/>
      </c>
      <c r="B1293" s="25" t="str">
        <f>IFERROR(INDEX('Hun Demand'!V:V,MATCH(O1293,'Hun Demand'!A:A,0)),"")</f>
        <v/>
      </c>
      <c r="C1293" s="25" t="str">
        <f>IFERROR(INDEX('Hun Demand'!U:U,MATCH(O1293,'Hun Demand'!A:A,0)),"")</f>
        <v/>
      </c>
      <c r="D1293" s="25" t="str">
        <f>IFERROR(INDEX('Hun Demand'!T:T,MATCH(O1293,'Hun Demand'!A:A,0)),"")</f>
        <v/>
      </c>
      <c r="E1293" s="25" t="str">
        <f>IFERROR(INDEX('Hun Demand'!S:S,MATCH(O1293,'Hun Demand'!A:A,0)),"")</f>
        <v/>
      </c>
      <c r="F1293" s="25" t="str">
        <f>IFERROR(INDEX('Hun Demand'!R:R,MATCH(O1293,'Hun Demand'!A:A,0)),"")</f>
        <v/>
      </c>
      <c r="G1293" s="25">
        <f>IFERROR(INDEX('Aub Demand'!W:W,MATCH(O1293,'Aub Demand'!A:A,0)),"")</f>
        <v>135</v>
      </c>
      <c r="H1293" s="25">
        <f>IFERROR(INDEX('Aub Demand'!V:V,MATCH(O1293,'Aub Demand'!A:A,0)),"")</f>
        <v>96</v>
      </c>
      <c r="I1293" s="25">
        <f>IFERROR(INDEX('Aub Demand'!U:U,MATCH(O1293,'Aub Demand'!A:A,0)),"")</f>
        <v>173</v>
      </c>
      <c r="J1293" s="25">
        <f>IFERROR(INDEX('Aub Demand'!T:T,MATCH(O1293,'Aub Demand'!A:A,0)),"")</f>
        <v>0</v>
      </c>
      <c r="K1293" s="25">
        <f>IFERROR(INDEX('Aub Demand'!S:S,MATCH(O1293,'Aub Demand'!A:A,0)),"")</f>
        <v>60</v>
      </c>
      <c r="L1293" s="25">
        <f>IFERROR(INDEX('Aub Demand'!R:R,MATCH(O1293,'Aub Demand'!A:A,0)),"")</f>
        <v>0</v>
      </c>
      <c r="O1293" s="27" t="s">
        <v>2918</v>
      </c>
      <c r="P1293" s="27" t="str">
        <f>IFERROR(INDEX('Aub Demand'!B:B,MATCH($O1293,'Aub Demand'!$A:$A,0)),"")</f>
        <v>CROWN CHERRY</v>
      </c>
      <c r="Q1293" s="27" t="str">
        <f>IFERROR(INDEX('Aub Demand'!C:C,MATCH($O1293,'Aub Demand'!$A:$A,0)),"")</f>
        <v>TOPPA</v>
      </c>
      <c r="R1293" s="52">
        <f>IFERROR(IF(AR1294=AR1293,INDEX('Aub Demand'!K:K,MATCH($O1293,'Aub Demand'!$A:$A,0))-IF(AN1293="",0,AN1293)+AP1294,INDEX('Aub Demand'!K:K,MATCH($O1293,'Aub Demand'!$A:$A,0))-IF(AN1293="",0,AN1293)),"")</f>
        <v>866</v>
      </c>
      <c r="S1293" s="53">
        <f t="shared" si="560"/>
        <v>47.6</v>
      </c>
      <c r="T1293" s="52" t="str">
        <f t="shared" si="561"/>
        <v/>
      </c>
      <c r="U1293" s="52">
        <f>IFERROR(IF(AR1294=AR1293,INDEX('Aub Demand'!Q:Q,MATCH($O1293,'Aub Demand'!$A:$A,0))-IF(AN1293="",0,AN1293)+AP1294,INDEX('Aub Demand'!Q:Q,MATCH($O1293,'Aub Demand'!$A:$A,0))-IF(AN1293="",0,AN1293)),"")</f>
        <v>718</v>
      </c>
      <c r="V1293" s="53">
        <f t="shared" si="562"/>
        <v>39.5</v>
      </c>
      <c r="W1293" s="52" t="str">
        <f t="shared" si="563"/>
        <v/>
      </c>
      <c r="X1293" s="52">
        <f>IFERROR(IF(AND(AR1294=AR1293,AM1293&lt;&gt;""),INDEX('Aub Demand'!Q:Q,MATCH($O1293,'Aub Demand'!$A:$A,0))-IF(AN1293="",0,AN1293)+AP1294+AD1293+AL1293,IF(AR1294=AR1293,INDEX('Aub Demand'!Q:Q,MATCH($O1293,'Aub Demand'!$A:$A,0))-IF(AN1293="",0,AN1293)+AP1294+AD1293,IF(AM1293&lt;&gt;"",INDEX('Aub Demand'!Q:Q,MATCH($O1293,'Aub Demand'!$A:$A,0))-IF(AN1293="",0,AN1293)+AD1293+AL1293,INDEX('Aub Demand'!Q:Q,MATCH($O1293,'Aub Demand'!$A:$A,0))-IF(AN1293="",0,AN1293)+AD1293))),"")</f>
        <v>718</v>
      </c>
      <c r="Y1293" s="53">
        <f t="shared" si="564"/>
        <v>39.5</v>
      </c>
      <c r="Z1293" s="52">
        <f>IF(L1293="","",INDEX('Aub Demand'!H:H,MATCH($O1293,'Aub Demand'!$A:$A,0)))</f>
        <v>78</v>
      </c>
      <c r="AA1293" s="52">
        <f t="shared" si="565"/>
        <v>116.5</v>
      </c>
      <c r="AB1293" s="52">
        <f>IFERROR(INDEX('Aub Demand'!L:L,MATCH($O1293,'Aub Demand'!$A:$A,0)),"")</f>
        <v>49</v>
      </c>
      <c r="AC1293" s="52">
        <f>IFERROR(IF(O1293="","",SUMIFS('CPL Mats'!F:F,'CPL Mats'!Q:Q,AR1293,'CPL Mats'!S:S,AS1293)),"")</f>
        <v>0</v>
      </c>
      <c r="AF1293" s="25" t="str">
        <f>IF(SUMIFS('Supp Consol'!S:S,'Supp Consol'!Y:Y,"Releasable",'Supp Consol'!A:A,O1293)=0,"",SUMIFS('Supp Consol'!S:S,'Supp Consol'!Y:Y,"Releasable",'Supp Consol'!A:A,O1293))</f>
        <v/>
      </c>
      <c r="AG1293" s="25" t="str">
        <f>IFERROR(INDEX('Hun Demand'!Q:Q,MATCH(O1293,'Hun Demand'!A:A,0)),"")</f>
        <v/>
      </c>
      <c r="AH1293" s="25" t="str">
        <f>IFERROR(INDEX('Hun Demand'!H:H,MATCH($O1293,'Hun Demand'!$A:$A,0)),"")</f>
        <v/>
      </c>
      <c r="AI1293" s="25" t="str">
        <f>IF(SUMIFS('Supp Consol'!AA:AA,'Supp Consol'!Z:Z,"Expires this month",'Supp Consol'!A:A,O1293)=0,"",SUMIFS('Supp Consol'!AA:AA,'Supp Consol'!Z:Z,"Expires this month",'Supp Consol'!A:A,O1293))</f>
        <v/>
      </c>
      <c r="AJ1293" s="25" t="str">
        <f>IF(SUMIFS('Supp Consol'!AA:AA,'Supp Consol'!Z:Z,"Expired Previous Months",'Supp Consol'!A:A,O1293)=0,"",SUMIFS('Supp Consol'!AA:AA,'Supp Consol'!Z:Z,"Expired Previous Months",'Supp Consol'!A:A,O1293))</f>
        <v/>
      </c>
      <c r="AK1293" s="25" t="str">
        <f>IFERROR(INDEX('Hun Release Current'!B:B,MATCH(O1293,'Hun Release Current'!A:A,0)),"")</f>
        <v/>
      </c>
      <c r="AL1293" s="25" t="str">
        <f>IF(SUMIF('Prev Aub'!A:A,O1293,'Prev Aub'!B:B)=0,"",SUMIF('Prev Aub'!A:A,O1293,'Prev Aub'!B:B))</f>
        <v/>
      </c>
      <c r="AN1293" s="25" t="s">
        <v>3790</v>
      </c>
      <c r="AO1293" s="25" t="s">
        <v>3790</v>
      </c>
      <c r="AP1293" s="25">
        <f t="shared" si="566"/>
        <v>0</v>
      </c>
      <c r="AQ1293" s="151" t="str">
        <f>IF(SUMIFS('Supp Consol'!S:S,'Supp Consol'!A:A,O1293,'Supp Consol'!I:I,"PENDING")=0,"",SUMIFS('Supp Consol'!S:S,'Supp Consol'!A:A,O1293,'Supp Consol'!I:I,"PENDING"))</f>
        <v/>
      </c>
      <c r="AR1293" s="27" t="str">
        <f t="shared" si="567"/>
        <v>WC038</v>
      </c>
      <c r="AS1293" s="27" t="str">
        <f t="shared" si="568"/>
        <v>50</v>
      </c>
      <c r="AT1293" s="27" t="str">
        <f t="shared" si="569"/>
        <v/>
      </c>
      <c r="AU1293" s="27" t="str">
        <f t="shared" si="570"/>
        <v/>
      </c>
      <c r="AV1293" s="27" t="str">
        <f t="shared" si="571"/>
        <v/>
      </c>
      <c r="AW1293" s="27" t="str">
        <f t="shared" si="572"/>
        <v/>
      </c>
      <c r="AX1293" s="27" t="str">
        <f t="shared" si="573"/>
        <v/>
      </c>
      <c r="AY1293" s="27" t="str">
        <f t="shared" si="574"/>
        <v/>
      </c>
      <c r="AZ1293" s="27" t="str">
        <f t="shared" si="575"/>
        <v/>
      </c>
      <c r="BA1293" s="27" t="str">
        <f t="shared" si="576"/>
        <v/>
      </c>
      <c r="BB1293" s="27" t="str">
        <f t="shared" si="577"/>
        <v/>
      </c>
      <c r="BC1293" s="27" t="str">
        <f t="shared" si="578"/>
        <v/>
      </c>
      <c r="BD1293" s="27" t="str">
        <f t="shared" si="579"/>
        <v/>
      </c>
      <c r="BE1293" s="27" t="str">
        <f t="shared" si="580"/>
        <v/>
      </c>
      <c r="BF1293" s="27" t="str">
        <f t="shared" si="581"/>
        <v/>
      </c>
      <c r="BG1293" s="27" t="str">
        <f t="shared" si="582"/>
        <v/>
      </c>
      <c r="BH1293" s="27" t="str">
        <f t="shared" si="583"/>
        <v/>
      </c>
      <c r="BI1293" s="27" t="str">
        <f t="shared" si="584"/>
        <v/>
      </c>
      <c r="BJ1293" s="27" t="str">
        <f t="shared" si="585"/>
        <v/>
      </c>
      <c r="BK1293" s="27" t="str">
        <f t="shared" si="586"/>
        <v/>
      </c>
      <c r="BL1293" s="27" t="str">
        <f t="shared" si="587"/>
        <v/>
      </c>
      <c r="BM1293" s="21" t="s">
        <v>5581</v>
      </c>
    </row>
    <row r="1294" spans="1:65" ht="15">
      <c r="A1294" s="25" t="str">
        <f>IFERROR(INDEX('Hun Demand'!W:W,MATCH(O1294,'Hun Demand'!A:A,0)),"")</f>
        <v/>
      </c>
      <c r="B1294" s="25" t="str">
        <f>IFERROR(INDEX('Hun Demand'!V:V,MATCH(O1294,'Hun Demand'!A:A,0)),"")</f>
        <v/>
      </c>
      <c r="C1294" s="25" t="str">
        <f>IFERROR(INDEX('Hun Demand'!U:U,MATCH(O1294,'Hun Demand'!A:A,0)),"")</f>
        <v/>
      </c>
      <c r="D1294" s="25" t="str">
        <f>IFERROR(INDEX('Hun Demand'!T:T,MATCH(O1294,'Hun Demand'!A:A,0)),"")</f>
        <v/>
      </c>
      <c r="E1294" s="25" t="str">
        <f>IFERROR(INDEX('Hun Demand'!S:S,MATCH(O1294,'Hun Demand'!A:A,0)),"")</f>
        <v/>
      </c>
      <c r="F1294" s="25" t="str">
        <f>IFERROR(INDEX('Hun Demand'!R:R,MATCH(O1294,'Hun Demand'!A:A,0)),"")</f>
        <v/>
      </c>
      <c r="G1294" s="25">
        <f>IFERROR(INDEX('Aub Demand'!W:W,MATCH(O1294,'Aub Demand'!A:A,0)),"")</f>
        <v>107</v>
      </c>
      <c r="H1294" s="25">
        <f>IFERROR(INDEX('Aub Demand'!V:V,MATCH(O1294,'Aub Demand'!A:A,0)),"")</f>
        <v>9</v>
      </c>
      <c r="I1294" s="25">
        <f>IFERROR(INDEX('Aub Demand'!U:U,MATCH(O1294,'Aub Demand'!A:A,0)),"")</f>
        <v>51</v>
      </c>
      <c r="J1294" s="25">
        <f>IFERROR(INDEX('Aub Demand'!T:T,MATCH(O1294,'Aub Demand'!A:A,0)),"")</f>
        <v>0</v>
      </c>
      <c r="K1294" s="25">
        <f>IFERROR(INDEX('Aub Demand'!S:S,MATCH(O1294,'Aub Demand'!A:A,0)),"")</f>
        <v>10</v>
      </c>
      <c r="L1294" s="25">
        <f>IFERROR(INDEX('Aub Demand'!R:R,MATCH(O1294,'Aub Demand'!A:A,0)),"")</f>
        <v>28</v>
      </c>
      <c r="O1294" s="27" t="s">
        <v>2921</v>
      </c>
      <c r="P1294" s="27" t="str">
        <f>IFERROR(INDEX('Aub Demand'!B:B,MATCH($O1294,'Aub Demand'!$A:$A,0)),"")</f>
        <v>CROWN CHERRY</v>
      </c>
      <c r="Q1294" s="27" t="str">
        <f>IFERROR(INDEX('Aub Demand'!C:C,MATCH($O1294,'Aub Demand'!$A:$A,0)),"")</f>
        <v>TOPPA</v>
      </c>
      <c r="R1294" s="52">
        <f>IFERROR(IF(AR1295=AR1294,INDEX('Aub Demand'!K:K,MATCH($O1294,'Aub Demand'!$A:$A,0))-IF(AN1294="",0,AN1294)+AP1295,INDEX('Aub Demand'!K:K,MATCH($O1294,'Aub Demand'!$A:$A,0))-IF(AN1294="",0,AN1294)),"")</f>
        <v>518</v>
      </c>
      <c r="S1294" s="53">
        <f t="shared" si="560"/>
        <v>111</v>
      </c>
      <c r="T1294" s="52" t="str">
        <f t="shared" si="561"/>
        <v/>
      </c>
      <c r="U1294" s="52">
        <f>IFERROR(IF(AR1295=AR1294,INDEX('Aub Demand'!Q:Q,MATCH($O1294,'Aub Demand'!$A:$A,0))-IF(AN1294="",0,AN1294)+AP1295,INDEX('Aub Demand'!Q:Q,MATCH($O1294,'Aub Demand'!$A:$A,0))-IF(AN1294="",0,AN1294)),"")</f>
        <v>499</v>
      </c>
      <c r="V1294" s="53">
        <f t="shared" si="562"/>
        <v>106.9</v>
      </c>
      <c r="W1294" s="52" t="str">
        <f t="shared" si="563"/>
        <v/>
      </c>
      <c r="X1294" s="52">
        <f>IFERROR(IF(AND(AR1295=AR1294,AM1294&lt;&gt;""),INDEX('Aub Demand'!Q:Q,MATCH($O1294,'Aub Demand'!$A:$A,0))-IF(AN1294="",0,AN1294)+AP1295+AD1294+AL1294,IF(AR1295=AR1294,INDEX('Aub Demand'!Q:Q,MATCH($O1294,'Aub Demand'!$A:$A,0))-IF(AN1294="",0,AN1294)+AP1295+AD1294,IF(AM1294&lt;&gt;"",INDEX('Aub Demand'!Q:Q,MATCH($O1294,'Aub Demand'!$A:$A,0))-IF(AN1294="",0,AN1294)+AD1294+AL1294,INDEX('Aub Demand'!Q:Q,MATCH($O1294,'Aub Demand'!$A:$A,0))-IF(AN1294="",0,AN1294)+AD1294))),"")</f>
        <v>499</v>
      </c>
      <c r="Y1294" s="53">
        <f t="shared" si="564"/>
        <v>106.9</v>
      </c>
      <c r="Z1294" s="52">
        <f>IF(L1294="","",INDEX('Aub Demand'!H:H,MATCH($O1294,'Aub Demand'!$A:$A,0)))</f>
        <v>20</v>
      </c>
      <c r="AA1294" s="52">
        <f t="shared" si="565"/>
        <v>39.5</v>
      </c>
      <c r="AB1294" s="52">
        <f>IFERROR(INDEX('Aub Demand'!L:L,MATCH($O1294,'Aub Demand'!$A:$A,0)),"")</f>
        <v>45</v>
      </c>
      <c r="AC1294" s="52">
        <f>IFERROR(IF(O1294="","",SUMIFS('CPL Mats'!F:F,'CPL Mats'!Q:Q,AR1294,'CPL Mats'!S:S,AS1294)),"")</f>
        <v>0</v>
      </c>
      <c r="AF1294" s="25" t="str">
        <f>IF(SUMIFS('Supp Consol'!S:S,'Supp Consol'!Y:Y,"Releasable",'Supp Consol'!A:A,O1294)=0,"",SUMIFS('Supp Consol'!S:S,'Supp Consol'!Y:Y,"Releasable",'Supp Consol'!A:A,O1294))</f>
        <v/>
      </c>
      <c r="AG1294" s="25" t="str">
        <f>IFERROR(INDEX('Hun Demand'!Q:Q,MATCH(O1294,'Hun Demand'!A:A,0)),"")</f>
        <v/>
      </c>
      <c r="AH1294" s="25" t="str">
        <f>IFERROR(INDEX('Hun Demand'!H:H,MATCH($O1294,'Hun Demand'!$A:$A,0)),"")</f>
        <v/>
      </c>
      <c r="AI1294" s="25" t="str">
        <f>IF(SUMIFS('Supp Consol'!AA:AA,'Supp Consol'!Z:Z,"Expires this month",'Supp Consol'!A:A,O1294)=0,"",SUMIFS('Supp Consol'!AA:AA,'Supp Consol'!Z:Z,"Expires this month",'Supp Consol'!A:A,O1294))</f>
        <v/>
      </c>
      <c r="AJ1294" s="25" t="str">
        <f>IF(SUMIFS('Supp Consol'!AA:AA,'Supp Consol'!Z:Z,"Expired Previous Months",'Supp Consol'!A:A,O1294)=0,"",SUMIFS('Supp Consol'!AA:AA,'Supp Consol'!Z:Z,"Expired Previous Months",'Supp Consol'!A:A,O1294))</f>
        <v/>
      </c>
      <c r="AK1294" s="25" t="str">
        <f>IFERROR(INDEX('Hun Release Current'!B:B,MATCH(O1294,'Hun Release Current'!A:A,0)),"")</f>
        <v/>
      </c>
      <c r="AL1294" s="25" t="str">
        <f>IF(SUMIF('Prev Aub'!A:A,O1294,'Prev Aub'!B:B)=0,"",SUMIF('Prev Aub'!A:A,O1294,'Prev Aub'!B:B))</f>
        <v/>
      </c>
      <c r="AN1294" s="25" t="s">
        <v>3790</v>
      </c>
      <c r="AO1294" s="25" t="s">
        <v>3790</v>
      </c>
      <c r="AP1294" s="25">
        <f t="shared" si="566"/>
        <v>0</v>
      </c>
      <c r="AQ1294" s="151" t="str">
        <f>IF(SUMIFS('Supp Consol'!S:S,'Supp Consol'!A:A,O1294,'Supp Consol'!I:I,"PENDING")=0,"",SUMIFS('Supp Consol'!S:S,'Supp Consol'!A:A,O1294,'Supp Consol'!I:I,"PENDING"))</f>
        <v/>
      </c>
      <c r="AR1294" s="27" t="str">
        <f t="shared" si="567"/>
        <v>WC038</v>
      </c>
      <c r="AS1294" s="27" t="str">
        <f t="shared" si="568"/>
        <v>62</v>
      </c>
      <c r="AT1294" s="27" t="str">
        <f t="shared" si="569"/>
        <v/>
      </c>
      <c r="AU1294" s="27" t="str">
        <f t="shared" si="570"/>
        <v/>
      </c>
      <c r="AV1294" s="27" t="str">
        <f t="shared" si="571"/>
        <v/>
      </c>
      <c r="AW1294" s="27" t="str">
        <f t="shared" si="572"/>
        <v/>
      </c>
      <c r="AX1294" s="27" t="str">
        <f t="shared" si="573"/>
        <v/>
      </c>
      <c r="AY1294" s="27" t="str">
        <f t="shared" si="574"/>
        <v/>
      </c>
      <c r="AZ1294" s="27" t="str">
        <f t="shared" si="575"/>
        <v/>
      </c>
      <c r="BA1294" s="27" t="str">
        <f t="shared" si="576"/>
        <v/>
      </c>
      <c r="BB1294" s="27" t="str">
        <f t="shared" si="577"/>
        <v/>
      </c>
      <c r="BC1294" s="27" t="str">
        <f t="shared" si="578"/>
        <v/>
      </c>
      <c r="BD1294" s="27" t="str">
        <f t="shared" si="579"/>
        <v/>
      </c>
      <c r="BE1294" s="27" t="str">
        <f t="shared" si="580"/>
        <v/>
      </c>
      <c r="BF1294" s="27" t="str">
        <f t="shared" si="581"/>
        <v/>
      </c>
      <c r="BG1294" s="27" t="str">
        <f t="shared" si="582"/>
        <v/>
      </c>
      <c r="BH1294" s="27" t="str">
        <f t="shared" si="583"/>
        <v/>
      </c>
      <c r="BI1294" s="27" t="str">
        <f t="shared" si="584"/>
        <v/>
      </c>
      <c r="BJ1294" s="27" t="str">
        <f t="shared" si="585"/>
        <v/>
      </c>
      <c r="BK1294" s="27" t="str">
        <f t="shared" si="586"/>
        <v/>
      </c>
      <c r="BL1294" s="27" t="str">
        <f t="shared" si="587"/>
        <v/>
      </c>
      <c r="BM1294" s="21" t="s">
        <v>5581</v>
      </c>
    </row>
    <row r="1295" spans="1:65" ht="15">
      <c r="A1295" s="25" t="str">
        <f>IFERROR(INDEX('Hun Demand'!W:W,MATCH(O1295,'Hun Demand'!A:A,0)),"")</f>
        <v/>
      </c>
      <c r="B1295" s="25" t="str">
        <f>IFERROR(INDEX('Hun Demand'!V:V,MATCH(O1295,'Hun Demand'!A:A,0)),"")</f>
        <v/>
      </c>
      <c r="C1295" s="25" t="str">
        <f>IFERROR(INDEX('Hun Demand'!U:U,MATCH(O1295,'Hun Demand'!A:A,0)),"")</f>
        <v/>
      </c>
      <c r="D1295" s="25" t="str">
        <f>IFERROR(INDEX('Hun Demand'!T:T,MATCH(O1295,'Hun Demand'!A:A,0)),"")</f>
        <v/>
      </c>
      <c r="E1295" s="25" t="str">
        <f>IFERROR(INDEX('Hun Demand'!S:S,MATCH(O1295,'Hun Demand'!A:A,0)),"")</f>
        <v/>
      </c>
      <c r="F1295" s="25" t="str">
        <f>IFERROR(INDEX('Hun Demand'!R:R,MATCH(O1295,'Hun Demand'!A:A,0)),"")</f>
        <v/>
      </c>
      <c r="G1295" s="25">
        <f>IFERROR(INDEX('Aub Demand'!W:W,MATCH(O1295,'Aub Demand'!A:A,0)),"")</f>
        <v>0</v>
      </c>
      <c r="H1295" s="25">
        <f>IFERROR(INDEX('Aub Demand'!V:V,MATCH(O1295,'Aub Demand'!A:A,0)),"")</f>
        <v>0</v>
      </c>
      <c r="I1295" s="25">
        <f>IFERROR(INDEX('Aub Demand'!U:U,MATCH(O1295,'Aub Demand'!A:A,0)),"")</f>
        <v>0</v>
      </c>
      <c r="J1295" s="25">
        <f>IFERROR(INDEX('Aub Demand'!T:T,MATCH(O1295,'Aub Demand'!A:A,0)),"")</f>
        <v>0</v>
      </c>
      <c r="K1295" s="25">
        <f>IFERROR(INDEX('Aub Demand'!S:S,MATCH(O1295,'Aub Demand'!A:A,0)),"")</f>
        <v>0</v>
      </c>
      <c r="L1295" s="25">
        <f>IFERROR(INDEX('Aub Demand'!R:R,MATCH(O1295,'Aub Demand'!A:A,0)),"")</f>
        <v>0</v>
      </c>
      <c r="O1295" s="27" t="s">
        <v>2922</v>
      </c>
      <c r="P1295" s="27" t="str">
        <f>IFERROR(INDEX('Aub Demand'!B:B,MATCH($O1295,'Aub Demand'!$A:$A,0)),"")</f>
        <v>SHEFFIELD CHERRY</v>
      </c>
      <c r="Q1295" s="27" t="str">
        <f>IFERROR(INDEX('Aub Demand'!C:C,MATCH($O1295,'Aub Demand'!$A:$A,0)),"")</f>
        <v>TOPPA</v>
      </c>
      <c r="R1295" s="52">
        <f>IFERROR(IF(AR1296=AR1295,INDEX('Aub Demand'!K:K,MATCH($O1295,'Aub Demand'!$A:$A,0))-IF(AN1295="",0,AN1295)+AP1296,INDEX('Aub Demand'!K:K,MATCH($O1295,'Aub Demand'!$A:$A,0))-IF(AN1295="",0,AN1295)),"")</f>
        <v>3239</v>
      </c>
      <c r="S1295" s="53" t="str">
        <f t="shared" si="560"/>
        <v>n/a</v>
      </c>
      <c r="T1295" s="52" t="str">
        <f t="shared" si="561"/>
        <v/>
      </c>
      <c r="U1295" s="52">
        <f>IFERROR(IF(AR1296=AR1295,INDEX('Aub Demand'!Q:Q,MATCH($O1295,'Aub Demand'!$A:$A,0))-IF(AN1295="",0,AN1295)+AP1296,INDEX('Aub Demand'!Q:Q,MATCH($O1295,'Aub Demand'!$A:$A,0))-IF(AN1295="",0,AN1295)),"")</f>
        <v>3239</v>
      </c>
      <c r="V1295" s="53" t="str">
        <f t="shared" si="562"/>
        <v>n/a</v>
      </c>
      <c r="W1295" s="52" t="str">
        <f t="shared" si="563"/>
        <v/>
      </c>
      <c r="X1295" s="52">
        <f>IFERROR(IF(AND(AR1296=AR1295,AM1295&lt;&gt;""),INDEX('Aub Demand'!Q:Q,MATCH($O1295,'Aub Demand'!$A:$A,0))-IF(AN1295="",0,AN1295)+AP1296+AD1295+AL1295,IF(AR1296=AR1295,INDEX('Aub Demand'!Q:Q,MATCH($O1295,'Aub Demand'!$A:$A,0))-IF(AN1295="",0,AN1295)+AP1296+AD1295,IF(AM1295&lt;&gt;"",INDEX('Aub Demand'!Q:Q,MATCH($O1295,'Aub Demand'!$A:$A,0))-IF(AN1295="",0,AN1295)+AD1295+AL1295,INDEX('Aub Demand'!Q:Q,MATCH($O1295,'Aub Demand'!$A:$A,0))-IF(AN1295="",0,AN1295)+AD1295))),"")</f>
        <v>3239</v>
      </c>
      <c r="Y1295" s="53" t="str">
        <f t="shared" si="564"/>
        <v>n/a</v>
      </c>
      <c r="Z1295" s="52">
        <f>IF(L1295="","",INDEX('Aub Demand'!H:H,MATCH($O1295,'Aub Demand'!$A:$A,0)))</f>
        <v>0</v>
      </c>
      <c r="AA1295" s="52" t="str">
        <f t="shared" si="565"/>
        <v>-spike-</v>
      </c>
      <c r="AB1295" s="52">
        <f>IFERROR(INDEX('Aub Demand'!L:L,MATCH($O1295,'Aub Demand'!$A:$A,0)),"")</f>
        <v>0</v>
      </c>
      <c r="AC1295" s="52">
        <f>IFERROR(IF(O1295="","",SUMIFS('CPL Mats'!F:F,'CPL Mats'!Q:Q,AR1295,'CPL Mats'!S:S,AS1295)),"")</f>
        <v>0</v>
      </c>
      <c r="AF1295" s="25" t="str">
        <f>IF(SUMIFS('Supp Consol'!S:S,'Supp Consol'!Y:Y,"Releasable",'Supp Consol'!A:A,O1295)=0,"",SUMIFS('Supp Consol'!S:S,'Supp Consol'!Y:Y,"Releasable",'Supp Consol'!A:A,O1295))</f>
        <v/>
      </c>
      <c r="AG1295" s="25" t="str">
        <f>IFERROR(INDEX('Hun Demand'!Q:Q,MATCH(O1295,'Hun Demand'!A:A,0)),"")</f>
        <v/>
      </c>
      <c r="AH1295" s="25" t="str">
        <f>IFERROR(INDEX('Hun Demand'!H:H,MATCH($O1295,'Hun Demand'!$A:$A,0)),"")</f>
        <v/>
      </c>
      <c r="AI1295" s="25" t="str">
        <f>IF(SUMIFS('Supp Consol'!AA:AA,'Supp Consol'!Z:Z,"Expires this month",'Supp Consol'!A:A,O1295)=0,"",SUMIFS('Supp Consol'!AA:AA,'Supp Consol'!Z:Z,"Expires this month",'Supp Consol'!A:A,O1295))</f>
        <v/>
      </c>
      <c r="AJ1295" s="25" t="str">
        <f>IF(SUMIFS('Supp Consol'!AA:AA,'Supp Consol'!Z:Z,"Expired Previous Months",'Supp Consol'!A:A,O1295)=0,"",SUMIFS('Supp Consol'!AA:AA,'Supp Consol'!Z:Z,"Expired Previous Months",'Supp Consol'!A:A,O1295))</f>
        <v/>
      </c>
      <c r="AK1295" s="25" t="str">
        <f>IFERROR(INDEX('Hun Release Current'!B:B,MATCH(O1295,'Hun Release Current'!A:A,0)),"")</f>
        <v/>
      </c>
      <c r="AL1295" s="25" t="str">
        <f>IF(SUMIF('Prev Aub'!A:A,O1295,'Prev Aub'!B:B)=0,"",SUMIF('Prev Aub'!A:A,O1295,'Prev Aub'!B:B))</f>
        <v/>
      </c>
      <c r="AN1295" s="25" t="s">
        <v>3790</v>
      </c>
      <c r="AO1295" s="25" t="s">
        <v>3790</v>
      </c>
      <c r="AP1295" s="25">
        <f t="shared" si="566"/>
        <v>0</v>
      </c>
      <c r="AQ1295" s="151" t="str">
        <f>IF(SUMIFS('Supp Consol'!S:S,'Supp Consol'!A:A,O1295,'Supp Consol'!I:I,"PENDING")=0,"",SUMIFS('Supp Consol'!S:S,'Supp Consol'!A:A,O1295,'Supp Consol'!I:I,"PENDING"))</f>
        <v/>
      </c>
      <c r="AR1295" s="27" t="str">
        <f t="shared" si="567"/>
        <v>WC070</v>
      </c>
      <c r="AS1295" s="27" t="str">
        <f t="shared" si="568"/>
        <v>62</v>
      </c>
      <c r="AT1295" s="27" t="str">
        <f t="shared" si="569"/>
        <v/>
      </c>
      <c r="AU1295" s="27" t="str">
        <f t="shared" si="570"/>
        <v/>
      </c>
      <c r="AV1295" s="27" t="str">
        <f t="shared" si="571"/>
        <v/>
      </c>
      <c r="AW1295" s="27" t="str">
        <f t="shared" si="572"/>
        <v/>
      </c>
      <c r="AX1295" s="27" t="str">
        <f t="shared" si="573"/>
        <v/>
      </c>
      <c r="AY1295" s="27" t="str">
        <f t="shared" si="574"/>
        <v/>
      </c>
      <c r="AZ1295" s="27" t="str">
        <f t="shared" si="575"/>
        <v/>
      </c>
      <c r="BA1295" s="27" t="str">
        <f t="shared" si="576"/>
        <v/>
      </c>
      <c r="BB1295" s="27" t="str">
        <f t="shared" si="577"/>
        <v/>
      </c>
      <c r="BC1295" s="27" t="str">
        <f t="shared" si="578"/>
        <v/>
      </c>
      <c r="BD1295" s="27" t="str">
        <f t="shared" si="579"/>
        <v/>
      </c>
      <c r="BE1295" s="27" t="str">
        <f t="shared" si="580"/>
        <v/>
      </c>
      <c r="BF1295" s="27" t="str">
        <f t="shared" si="581"/>
        <v/>
      </c>
      <c r="BG1295" s="27" t="str">
        <f t="shared" si="582"/>
        <v/>
      </c>
      <c r="BH1295" s="27" t="str">
        <f t="shared" si="583"/>
        <v/>
      </c>
      <c r="BI1295" s="27" t="str">
        <f t="shared" si="584"/>
        <v/>
      </c>
      <c r="BJ1295" s="27" t="str">
        <f t="shared" si="585"/>
        <v/>
      </c>
      <c r="BK1295" s="27" t="str">
        <f t="shared" si="586"/>
        <v/>
      </c>
      <c r="BL1295" s="27" t="str">
        <f t="shared" si="587"/>
        <v/>
      </c>
      <c r="BM1295" s="21" t="s">
        <v>5581</v>
      </c>
    </row>
    <row r="1296" spans="1:65" ht="15">
      <c r="A1296" s="25">
        <f>IFERROR(INDEX('Hun Demand'!W:W,MATCH(O1296,'Hun Demand'!A:A,0)),"")</f>
        <v>272</v>
      </c>
      <c r="B1296" s="25">
        <f>IFERROR(INDEX('Hun Demand'!V:V,MATCH(O1296,'Hun Demand'!A:A,0)),"")</f>
        <v>0</v>
      </c>
      <c r="C1296" s="25">
        <f>IFERROR(INDEX('Hun Demand'!U:U,MATCH(O1296,'Hun Demand'!A:A,0)),"")</f>
        <v>0</v>
      </c>
      <c r="D1296" s="25">
        <f>IFERROR(INDEX('Hun Demand'!T:T,MATCH(O1296,'Hun Demand'!A:A,0)),"")</f>
        <v>142</v>
      </c>
      <c r="E1296" s="25">
        <f>IFERROR(INDEX('Hun Demand'!S:S,MATCH(O1296,'Hun Demand'!A:A,0)),"")</f>
        <v>0</v>
      </c>
      <c r="F1296" s="25">
        <f>IFERROR(INDEX('Hun Demand'!R:R,MATCH(O1296,'Hun Demand'!A:A,0)),"")</f>
        <v>0</v>
      </c>
      <c r="G1296" s="25">
        <f>IFERROR(INDEX('Aub Demand'!W:W,MATCH(O1296,'Aub Demand'!A:A,0)),"")</f>
        <v>22</v>
      </c>
      <c r="H1296" s="25">
        <f>IFERROR(INDEX('Aub Demand'!V:V,MATCH(O1296,'Aub Demand'!A:A,0)),"")</f>
        <v>25</v>
      </c>
      <c r="I1296" s="25">
        <f>IFERROR(INDEX('Aub Demand'!U:U,MATCH(O1296,'Aub Demand'!A:A,0)),"")</f>
        <v>0</v>
      </c>
      <c r="J1296" s="25">
        <f>IFERROR(INDEX('Aub Demand'!T:T,MATCH(O1296,'Aub Demand'!A:A,0)),"")</f>
        <v>0</v>
      </c>
      <c r="K1296" s="25">
        <f>IFERROR(INDEX('Aub Demand'!S:S,MATCH(O1296,'Aub Demand'!A:A,0)),"")</f>
        <v>0</v>
      </c>
      <c r="L1296" s="25">
        <f>IFERROR(INDEX('Aub Demand'!R:R,MATCH(O1296,'Aub Demand'!A:A,0)),"")</f>
        <v>0</v>
      </c>
      <c r="O1296" s="27" t="s">
        <v>1600</v>
      </c>
      <c r="P1296" s="27" t="str">
        <f>IFERROR(INDEX('Aub Demand'!B:B,MATCH($O1296,'Aub Demand'!$A:$A,0)),"")</f>
        <v>WINTER CHERRY</v>
      </c>
      <c r="Q1296" s="27" t="str">
        <f>IFERROR(INDEX('Aub Demand'!C:C,MATCH($O1296,'Aub Demand'!$A:$A,0)),"")</f>
        <v>INTER</v>
      </c>
      <c r="R1296" s="52">
        <f>IFERROR(IF(AR1297=AR1296,INDEX('Aub Demand'!K:K,MATCH($O1296,'Aub Demand'!$A:$A,0))-IF(AN1296="",0,AN1296)+AP1297,INDEX('Aub Demand'!K:K,MATCH($O1296,'Aub Demand'!$A:$A,0))-IF(AN1296="",0,AN1296)),"")</f>
        <v>208</v>
      </c>
      <c r="S1296" s="53" t="str">
        <f t="shared" si="560"/>
        <v>n/a</v>
      </c>
      <c r="T1296" s="52" t="str">
        <f t="shared" si="561"/>
        <v/>
      </c>
      <c r="U1296" s="52">
        <f>IFERROR(IF(AR1297=AR1296,INDEX('Aub Demand'!Q:Q,MATCH($O1296,'Aub Demand'!$A:$A,0))-IF(AN1296="",0,AN1296)+AP1297,INDEX('Aub Demand'!Q:Q,MATCH($O1296,'Aub Demand'!$A:$A,0))-IF(AN1296="",0,AN1296)),"")</f>
        <v>208</v>
      </c>
      <c r="V1296" s="53" t="str">
        <f t="shared" si="562"/>
        <v>n/a</v>
      </c>
      <c r="W1296" s="52" t="str">
        <f t="shared" si="563"/>
        <v/>
      </c>
      <c r="X1296" s="52">
        <f>IFERROR(IF(AND(AR1297=AR1296,AM1296&lt;&gt;""),INDEX('Aub Demand'!Q:Q,MATCH($O1296,'Aub Demand'!$A:$A,0))-IF(AN1296="",0,AN1296)+AP1297+AD1296+AL1296,IF(AR1297=AR1296,INDEX('Aub Demand'!Q:Q,MATCH($O1296,'Aub Demand'!$A:$A,0))-IF(AN1296="",0,AN1296)+AP1297+AD1296,IF(AM1296&lt;&gt;"",INDEX('Aub Demand'!Q:Q,MATCH($O1296,'Aub Demand'!$A:$A,0))-IF(AN1296="",0,AN1296)+AD1296+AL1296,INDEX('Aub Demand'!Q:Q,MATCH($O1296,'Aub Demand'!$A:$A,0))-IF(AN1296="",0,AN1296)+AD1296))),"")</f>
        <v>208</v>
      </c>
      <c r="Y1296" s="53" t="str">
        <f t="shared" si="564"/>
        <v>n/a</v>
      </c>
      <c r="Z1296" s="52">
        <f>IF(L1296="","",INDEX('Aub Demand'!H:H,MATCH($O1296,'Aub Demand'!$A:$A,0)))</f>
        <v>0</v>
      </c>
      <c r="AA1296" s="52" t="str">
        <f t="shared" si="565"/>
        <v>-spike-</v>
      </c>
      <c r="AB1296" s="52">
        <f>IFERROR(INDEX('Aub Demand'!L:L,MATCH($O1296,'Aub Demand'!$A:$A,0)),"")</f>
        <v>0</v>
      </c>
      <c r="AC1296" s="52">
        <f>IFERROR(IF(O1296="","",SUMIFS('CPL Mats'!F:F,'CPL Mats'!Q:Q,AR1296,'CPL Mats'!S:S,AS1296)),"")</f>
        <v>0</v>
      </c>
      <c r="AF1296" s="25">
        <f>IF(SUMIFS('Supp Consol'!S:S,'Supp Consol'!Y:Y,"Releasable",'Supp Consol'!A:A,O1296)=0,"",SUMIFS('Supp Consol'!S:S,'Supp Consol'!Y:Y,"Releasable",'Supp Consol'!A:A,O1296))</f>
        <v>456</v>
      </c>
      <c r="AG1296" s="25">
        <f>IFERROR(INDEX('Hun Demand'!Q:Q,MATCH(O1296,'Hun Demand'!A:A,0)),"")</f>
        <v>357</v>
      </c>
      <c r="AH1296" s="25">
        <f>IFERROR(INDEX('Hun Demand'!H:H,MATCH($O1296,'Hun Demand'!$A:$A,0)),"")</f>
        <v>47</v>
      </c>
      <c r="AI1296" s="25">
        <f>IF(SUMIFS('Supp Consol'!AA:AA,'Supp Consol'!Z:Z,"Expires this month",'Supp Consol'!A:A,O1296)=0,"",SUMIFS('Supp Consol'!AA:AA,'Supp Consol'!Z:Z,"Expires this month",'Supp Consol'!A:A,O1296))</f>
        <v>456</v>
      </c>
      <c r="AJ1296" s="25" t="str">
        <f>IF(SUMIFS('Supp Consol'!AA:AA,'Supp Consol'!Z:Z,"Expired Previous Months",'Supp Consol'!A:A,O1296)=0,"",SUMIFS('Supp Consol'!AA:AA,'Supp Consol'!Z:Z,"Expired Previous Months",'Supp Consol'!A:A,O1296))</f>
        <v/>
      </c>
      <c r="AK1296" s="25" t="str">
        <f>IFERROR(INDEX('Hun Release Current'!B:B,MATCH(O1296,'Hun Release Current'!A:A,0)),"")</f>
        <v/>
      </c>
      <c r="AL1296" s="25" t="str">
        <f>IF(SUMIF('Prev Aub'!A:A,O1296,'Prev Aub'!B:B)=0,"",SUMIF('Prev Aub'!A:A,O1296,'Prev Aub'!B:B))</f>
        <v/>
      </c>
      <c r="AN1296" s="25" t="s">
        <v>3790</v>
      </c>
      <c r="AO1296" s="25" t="s">
        <v>3790</v>
      </c>
      <c r="AP1296" s="25">
        <f t="shared" si="566"/>
        <v>0</v>
      </c>
      <c r="AQ1296" s="151" t="str">
        <f>IF(SUMIFS('Supp Consol'!S:S,'Supp Consol'!A:A,O1296,'Supp Consol'!I:I,"PENDING")=0,"",SUMIFS('Supp Consol'!S:S,'Supp Consol'!A:A,O1296,'Supp Consol'!I:I,"PENDING"))</f>
        <v/>
      </c>
      <c r="AR1296" s="27" t="str">
        <f t="shared" si="567"/>
        <v>WC090</v>
      </c>
      <c r="AS1296" s="27" t="str">
        <f t="shared" si="568"/>
        <v>50</v>
      </c>
      <c r="AT1296" s="27" t="str">
        <f t="shared" si="569"/>
        <v/>
      </c>
      <c r="AU1296" s="27" t="str">
        <f t="shared" si="570"/>
        <v/>
      </c>
      <c r="AV1296" s="27" t="str">
        <f t="shared" si="571"/>
        <v/>
      </c>
      <c r="AW1296" s="27" t="str">
        <f t="shared" si="572"/>
        <v>WC090</v>
      </c>
      <c r="AX1296" s="27" t="str">
        <f t="shared" si="573"/>
        <v>WC090</v>
      </c>
      <c r="AY1296" s="27" t="str">
        <f t="shared" si="574"/>
        <v>WC090</v>
      </c>
      <c r="AZ1296" s="27" t="str">
        <f t="shared" si="575"/>
        <v>Supp</v>
      </c>
      <c r="BA1296" s="27" t="str">
        <f t="shared" si="576"/>
        <v>Hun</v>
      </c>
      <c r="BB1296" s="27" t="str">
        <f t="shared" si="577"/>
        <v/>
      </c>
      <c r="BC1296" s="27" t="str">
        <f t="shared" si="578"/>
        <v/>
      </c>
      <c r="BD1296" s="27" t="str">
        <f t="shared" si="579"/>
        <v/>
      </c>
      <c r="BE1296" s="27" t="str">
        <f t="shared" si="580"/>
        <v>Exp</v>
      </c>
      <c r="BF1296" s="27" t="str">
        <f t="shared" si="581"/>
        <v/>
      </c>
      <c r="BG1296" s="27" t="str">
        <f t="shared" si="582"/>
        <v>S+NorE</v>
      </c>
      <c r="BH1296" s="27" t="str">
        <f t="shared" si="583"/>
        <v/>
      </c>
      <c r="BI1296" s="27" t="str">
        <f t="shared" si="584"/>
        <v/>
      </c>
      <c r="BJ1296" s="27" t="str">
        <f t="shared" si="585"/>
        <v>Supp or Hun</v>
      </c>
      <c r="BK1296" s="27" t="str">
        <f t="shared" si="586"/>
        <v/>
      </c>
      <c r="BL1296" s="27" t="str">
        <f t="shared" si="587"/>
        <v>SorHandNandE</v>
      </c>
      <c r="BM1296" s="21" t="s">
        <v>5582</v>
      </c>
    </row>
    <row r="1297" spans="1:65" ht="15">
      <c r="A1297" s="25">
        <f>IFERROR(INDEX('Hun Demand'!W:W,MATCH(O1297,'Hun Demand'!A:A,0)),"")</f>
        <v>3125</v>
      </c>
      <c r="B1297" s="25">
        <f>IFERROR(INDEX('Hun Demand'!V:V,MATCH(O1297,'Hun Demand'!A:A,0)),"")</f>
        <v>644</v>
      </c>
      <c r="C1297" s="25">
        <f>IFERROR(INDEX('Hun Demand'!U:U,MATCH(O1297,'Hun Demand'!A:A,0)),"")</f>
        <v>386</v>
      </c>
      <c r="D1297" s="25">
        <f>IFERROR(INDEX('Hun Demand'!T:T,MATCH(O1297,'Hun Demand'!A:A,0)),"")</f>
        <v>1077</v>
      </c>
      <c r="E1297" s="25">
        <f>IFERROR(INDEX('Hun Demand'!S:S,MATCH(O1297,'Hun Demand'!A:A,0)),"")</f>
        <v>0</v>
      </c>
      <c r="F1297" s="25">
        <f>IFERROR(INDEX('Hun Demand'!R:R,MATCH(O1297,'Hun Demand'!A:A,0)),"")</f>
        <v>0</v>
      </c>
      <c r="G1297" s="25">
        <f>IFERROR(INDEX('Aub Demand'!W:W,MATCH(O1297,'Aub Demand'!A:A,0)),"")</f>
        <v>68</v>
      </c>
      <c r="H1297" s="25">
        <f>IFERROR(INDEX('Aub Demand'!V:V,MATCH(O1297,'Aub Demand'!A:A,0)),"")</f>
        <v>104</v>
      </c>
      <c r="I1297" s="25">
        <f>IFERROR(INDEX('Aub Demand'!U:U,MATCH(O1297,'Aub Demand'!A:A,0)),"")</f>
        <v>0</v>
      </c>
      <c r="J1297" s="25">
        <f>IFERROR(INDEX('Aub Demand'!T:T,MATCH(O1297,'Aub Demand'!A:A,0)),"")</f>
        <v>183</v>
      </c>
      <c r="K1297" s="25">
        <f>IFERROR(INDEX('Aub Demand'!S:S,MATCH(O1297,'Aub Demand'!A:A,0)),"")</f>
        <v>48</v>
      </c>
      <c r="L1297" s="25">
        <f>IFERROR(INDEX('Aub Demand'!R:R,MATCH(O1297,'Aub Demand'!A:A,0)),"")</f>
        <v>0</v>
      </c>
      <c r="O1297" s="27" t="s">
        <v>1602</v>
      </c>
      <c r="P1297" s="27" t="str">
        <f>IFERROR(INDEX('Aub Demand'!B:B,MATCH($O1297,'Aub Demand'!$A:$A,0)),"")</f>
        <v>WINTER CHERRY</v>
      </c>
      <c r="Q1297" s="27" t="str">
        <f>IFERROR(INDEX('Aub Demand'!C:C,MATCH($O1297,'Aub Demand'!$A:$A,0)),"")</f>
        <v>INTER</v>
      </c>
      <c r="R1297" s="52">
        <f>IFERROR(IF(AR1298=AR1297,INDEX('Aub Demand'!K:K,MATCH($O1297,'Aub Demand'!$A:$A,0))-IF(AN1297="",0,AN1297)+AP1298,INDEX('Aub Demand'!K:K,MATCH($O1297,'Aub Demand'!$A:$A,0))-IF(AN1297="",0,AN1297)),"")</f>
        <v>655</v>
      </c>
      <c r="S1297" s="53">
        <f t="shared" si="560"/>
        <v>36.5</v>
      </c>
      <c r="T1297" s="52" t="str">
        <f t="shared" si="561"/>
        <v/>
      </c>
      <c r="U1297" s="52">
        <f>IFERROR(IF(AR1298=AR1297,INDEX('Aub Demand'!Q:Q,MATCH($O1297,'Aub Demand'!$A:$A,0))-IF(AN1297="",0,AN1297)+AP1298,INDEX('Aub Demand'!Q:Q,MATCH($O1297,'Aub Demand'!$A:$A,0))-IF(AN1297="",0,AN1297)),"")</f>
        <v>655</v>
      </c>
      <c r="V1297" s="53">
        <f t="shared" si="562"/>
        <v>36.5</v>
      </c>
      <c r="W1297" s="52" t="str">
        <f t="shared" si="563"/>
        <v/>
      </c>
      <c r="X1297" s="52">
        <f>IFERROR(IF(AND(AR1298=AR1297,AM1297&lt;&gt;""),INDEX('Aub Demand'!Q:Q,MATCH($O1297,'Aub Demand'!$A:$A,0))-IF(AN1297="",0,AN1297)+AP1298+AD1297+AL1297,IF(AR1298=AR1297,INDEX('Aub Demand'!Q:Q,MATCH($O1297,'Aub Demand'!$A:$A,0))-IF(AN1297="",0,AN1297)+AP1298+AD1297,IF(AM1297&lt;&gt;"",INDEX('Aub Demand'!Q:Q,MATCH($O1297,'Aub Demand'!$A:$A,0))-IF(AN1297="",0,AN1297)+AD1297+AL1297,INDEX('Aub Demand'!Q:Q,MATCH($O1297,'Aub Demand'!$A:$A,0))-IF(AN1297="",0,AN1297)+AD1297))),"")</f>
        <v>655</v>
      </c>
      <c r="Y1297" s="53">
        <f t="shared" si="564"/>
        <v>36.5</v>
      </c>
      <c r="Z1297" s="52">
        <f>IF(L1297="","",INDEX('Aub Demand'!H:H,MATCH($O1297,'Aub Demand'!$A:$A,0)))</f>
        <v>77</v>
      </c>
      <c r="AA1297" s="52">
        <f t="shared" si="565"/>
        <v>115.5</v>
      </c>
      <c r="AB1297" s="52">
        <f>IFERROR(INDEX('Aub Demand'!L:L,MATCH($O1297,'Aub Demand'!$A:$A,0)),"")</f>
        <v>16</v>
      </c>
      <c r="AC1297" s="52">
        <f>IFERROR(IF(O1297="","",SUMIFS('CPL Mats'!F:F,'CPL Mats'!Q:Q,AR1297,'CPL Mats'!S:S,AS1297)),"")</f>
        <v>1152.9000000000001</v>
      </c>
      <c r="AF1297" s="25">
        <f>IF(SUMIFS('Supp Consol'!S:S,'Supp Consol'!Y:Y,"Releasable",'Supp Consol'!A:A,O1297)=0,"",SUMIFS('Supp Consol'!S:S,'Supp Consol'!Y:Y,"Releasable",'Supp Consol'!A:A,O1297))</f>
        <v>1610</v>
      </c>
      <c r="AG1297" s="25">
        <f>IFERROR(INDEX('Hun Demand'!Q:Q,MATCH(O1297,'Hun Demand'!A:A,0)),"")</f>
        <v>1096</v>
      </c>
      <c r="AH1297" s="25">
        <f>IFERROR(INDEX('Hun Demand'!H:H,MATCH($O1297,'Hun Demand'!$A:$A,0)),"")</f>
        <v>488</v>
      </c>
      <c r="AI1297" s="25">
        <f>IF(SUMIFS('Supp Consol'!AA:AA,'Supp Consol'!Z:Z,"Expires this month",'Supp Consol'!A:A,O1297)=0,"",SUMIFS('Supp Consol'!AA:AA,'Supp Consol'!Z:Z,"Expires this month",'Supp Consol'!A:A,O1297))</f>
        <v>1610</v>
      </c>
      <c r="AJ1297" s="25" t="str">
        <f>IF(SUMIFS('Supp Consol'!AA:AA,'Supp Consol'!Z:Z,"Expired Previous Months",'Supp Consol'!A:A,O1297)=0,"",SUMIFS('Supp Consol'!AA:AA,'Supp Consol'!Z:Z,"Expired Previous Months",'Supp Consol'!A:A,O1297))</f>
        <v/>
      </c>
      <c r="AK1297" s="25" t="str">
        <f>IFERROR(INDEX('Hun Release Current'!B:B,MATCH(O1297,'Hun Release Current'!A:A,0)),"")</f>
        <v/>
      </c>
      <c r="AL1297" s="25" t="str">
        <f>IF(SUMIF('Prev Aub'!A:A,O1297,'Prev Aub'!B:B)=0,"",SUMIF('Prev Aub'!A:A,O1297,'Prev Aub'!B:B))</f>
        <v/>
      </c>
      <c r="AN1297" s="25" t="s">
        <v>3790</v>
      </c>
      <c r="AO1297" s="25" t="s">
        <v>3790</v>
      </c>
      <c r="AP1297" s="25">
        <f t="shared" si="566"/>
        <v>0</v>
      </c>
      <c r="AQ1297" s="151" t="str">
        <f>IF(SUMIFS('Supp Consol'!S:S,'Supp Consol'!A:A,O1297,'Supp Consol'!I:I,"PENDING")=0,"",SUMIFS('Supp Consol'!S:S,'Supp Consol'!A:A,O1297,'Supp Consol'!I:I,"PENDING"))</f>
        <v/>
      </c>
      <c r="AR1297" s="27" t="str">
        <f t="shared" si="567"/>
        <v>WC090</v>
      </c>
      <c r="AS1297" s="27" t="str">
        <f t="shared" si="568"/>
        <v>62</v>
      </c>
      <c r="AT1297" s="27" t="str">
        <f t="shared" si="569"/>
        <v/>
      </c>
      <c r="AU1297" s="27" t="str">
        <f t="shared" si="570"/>
        <v/>
      </c>
      <c r="AV1297" s="27" t="str">
        <f t="shared" si="571"/>
        <v/>
      </c>
      <c r="AW1297" s="27" t="str">
        <f t="shared" si="572"/>
        <v>WC090</v>
      </c>
      <c r="AX1297" s="27" t="str">
        <f t="shared" si="573"/>
        <v>WC090</v>
      </c>
      <c r="AY1297" s="27" t="str">
        <f t="shared" si="574"/>
        <v>WC090</v>
      </c>
      <c r="AZ1297" s="27" t="str">
        <f t="shared" si="575"/>
        <v>Supp</v>
      </c>
      <c r="BA1297" s="27" t="str">
        <f t="shared" si="576"/>
        <v>Hun</v>
      </c>
      <c r="BB1297" s="27" t="str">
        <f t="shared" si="577"/>
        <v/>
      </c>
      <c r="BC1297" s="27" t="str">
        <f t="shared" si="578"/>
        <v/>
      </c>
      <c r="BD1297" s="27" t="str">
        <f t="shared" si="579"/>
        <v/>
      </c>
      <c r="BE1297" s="27" t="str">
        <f t="shared" si="580"/>
        <v>Exp</v>
      </c>
      <c r="BF1297" s="27" t="str">
        <f t="shared" si="581"/>
        <v/>
      </c>
      <c r="BG1297" s="27" t="str">
        <f t="shared" si="582"/>
        <v>S+NorE</v>
      </c>
      <c r="BH1297" s="27" t="str">
        <f t="shared" si="583"/>
        <v/>
      </c>
      <c r="BI1297" s="27" t="str">
        <f t="shared" si="584"/>
        <v/>
      </c>
      <c r="BJ1297" s="27" t="str">
        <f t="shared" si="585"/>
        <v>Supp or Hun</v>
      </c>
      <c r="BK1297" s="27" t="str">
        <f t="shared" si="586"/>
        <v/>
      </c>
      <c r="BL1297" s="27" t="str">
        <f t="shared" si="587"/>
        <v>SorHandNandE</v>
      </c>
      <c r="BM1297" s="21" t="s">
        <v>5582</v>
      </c>
    </row>
    <row r="1298" spans="1:65" ht="15">
      <c r="A1298" s="25">
        <f>IFERROR(INDEX('Hun Demand'!W:W,MATCH(O1298,'Hun Demand'!A:A,0)),"")</f>
        <v>5691</v>
      </c>
      <c r="B1298" s="25">
        <f>IFERROR(INDEX('Hun Demand'!V:V,MATCH(O1298,'Hun Demand'!A:A,0)),"")</f>
        <v>3403</v>
      </c>
      <c r="C1298" s="25">
        <f>IFERROR(INDEX('Hun Demand'!U:U,MATCH(O1298,'Hun Demand'!A:A,0)),"")</f>
        <v>1886</v>
      </c>
      <c r="D1298" s="25">
        <f>IFERROR(INDEX('Hun Demand'!T:T,MATCH(O1298,'Hun Demand'!A:A,0)),"")</f>
        <v>713</v>
      </c>
      <c r="E1298" s="25">
        <f>IFERROR(INDEX('Hun Demand'!S:S,MATCH(O1298,'Hun Demand'!A:A,0)),"")</f>
        <v>821</v>
      </c>
      <c r="F1298" s="25">
        <f>IFERROR(INDEX('Hun Demand'!R:R,MATCH(O1298,'Hun Demand'!A:A,0)),"")</f>
        <v>658</v>
      </c>
      <c r="G1298" s="25">
        <f>IFERROR(INDEX('Aub Demand'!W:W,MATCH(O1298,'Aub Demand'!A:A,0)),"")</f>
        <v>492</v>
      </c>
      <c r="H1298" s="25">
        <f>IFERROR(INDEX('Aub Demand'!V:V,MATCH(O1298,'Aub Demand'!A:A,0)),"")</f>
        <v>321</v>
      </c>
      <c r="I1298" s="25">
        <f>IFERROR(INDEX('Aub Demand'!U:U,MATCH(O1298,'Aub Demand'!A:A,0)),"")</f>
        <v>66</v>
      </c>
      <c r="J1298" s="25">
        <f>IFERROR(INDEX('Aub Demand'!T:T,MATCH(O1298,'Aub Demand'!A:A,0)),"")</f>
        <v>0</v>
      </c>
      <c r="K1298" s="25">
        <f>IFERROR(INDEX('Aub Demand'!S:S,MATCH(O1298,'Aub Demand'!A:A,0)),"")</f>
        <v>524</v>
      </c>
      <c r="L1298" s="25">
        <f>IFERROR(INDEX('Aub Demand'!R:R,MATCH(O1298,'Aub Demand'!A:A,0)),"")</f>
        <v>0</v>
      </c>
      <c r="O1298" s="27" t="s">
        <v>1603</v>
      </c>
      <c r="P1298" s="27" t="str">
        <f>IFERROR(INDEX('Aub Demand'!B:B,MATCH($O1298,'Aub Demand'!$A:$A,0)),"")</f>
        <v>TRYTOO SAVATRE</v>
      </c>
      <c r="Q1298" s="27" t="str">
        <f>IFERROR(INDEX('Aub Demand'!C:C,MATCH($O1298,'Aub Demand'!$A:$A,0)),"")</f>
        <v>SCHAT</v>
      </c>
      <c r="R1298" s="52">
        <f>IFERROR(IF(AR1299=AR1298,INDEX('Aub Demand'!K:K,MATCH($O1298,'Aub Demand'!$A:$A,0))-IF(AN1298="",0,AN1298)+AP1299,INDEX('Aub Demand'!K:K,MATCH($O1298,'Aub Demand'!$A:$A,0))-IF(AN1298="",0,AN1298)),"")</f>
        <v>1362</v>
      </c>
      <c r="S1298" s="53">
        <f t="shared" si="560"/>
        <v>29.6</v>
      </c>
      <c r="T1298" s="52" t="str">
        <f t="shared" si="561"/>
        <v/>
      </c>
      <c r="U1298" s="52">
        <f>IFERROR(IF(AR1299=AR1298,INDEX('Aub Demand'!Q:Q,MATCH($O1298,'Aub Demand'!$A:$A,0))-IF(AN1298="",0,AN1298)+AP1299,INDEX('Aub Demand'!Q:Q,MATCH($O1298,'Aub Demand'!$A:$A,0))-IF(AN1298="",0,AN1298)),"")</f>
        <v>1262</v>
      </c>
      <c r="V1298" s="53">
        <f t="shared" si="562"/>
        <v>27.5</v>
      </c>
      <c r="W1298" s="52" t="str">
        <f t="shared" si="563"/>
        <v/>
      </c>
      <c r="X1298" s="52">
        <f>IFERROR(IF(AND(AR1299=AR1298,AM1298&lt;&gt;""),INDEX('Aub Demand'!Q:Q,MATCH($O1298,'Aub Demand'!$A:$A,0))-IF(AN1298="",0,AN1298)+AP1299+AD1298+AL1298,IF(AR1299=AR1298,INDEX('Aub Demand'!Q:Q,MATCH($O1298,'Aub Demand'!$A:$A,0))-IF(AN1298="",0,AN1298)+AP1299+AD1298,IF(AM1298&lt;&gt;"",INDEX('Aub Demand'!Q:Q,MATCH($O1298,'Aub Demand'!$A:$A,0))-IF(AN1298="",0,AN1298)+AD1298+AL1298,INDEX('Aub Demand'!Q:Q,MATCH($O1298,'Aub Demand'!$A:$A,0))-IF(AN1298="",0,AN1298)+AD1298))),"")</f>
        <v>1262</v>
      </c>
      <c r="Y1298" s="53">
        <f t="shared" si="564"/>
        <v>27.5</v>
      </c>
      <c r="Z1298" s="52">
        <f>IF(L1298="","",INDEX('Aub Demand'!H:H,MATCH($O1298,'Aub Demand'!$A:$A,0)))</f>
        <v>197</v>
      </c>
      <c r="AA1298" s="52">
        <f t="shared" si="565"/>
        <v>295</v>
      </c>
      <c r="AB1298" s="52">
        <f>IFERROR(INDEX('Aub Demand'!L:L,MATCH($O1298,'Aub Demand'!$A:$A,0)),"")</f>
        <v>430</v>
      </c>
      <c r="AC1298" s="52">
        <f>IFERROR(IF(O1298="","",SUMIFS('CPL Mats'!F:F,'CPL Mats'!Q:Q,AR1298,'CPL Mats'!S:S,AS1298)),"")</f>
        <v>0</v>
      </c>
      <c r="AF1298" s="25" t="str">
        <f>IF(SUMIFS('Supp Consol'!S:S,'Supp Consol'!Y:Y,"Releasable",'Supp Consol'!A:A,O1298)=0,"",SUMIFS('Supp Consol'!S:S,'Supp Consol'!Y:Y,"Releasable",'Supp Consol'!A:A,O1298))</f>
        <v/>
      </c>
      <c r="AG1298" s="25">
        <f>IFERROR(INDEX('Hun Demand'!Q:Q,MATCH(O1298,'Hun Demand'!A:A,0)),"")</f>
        <v>2398</v>
      </c>
      <c r="AH1298" s="25">
        <f>IFERROR(INDEX('Hun Demand'!H:H,MATCH($O1298,'Hun Demand'!$A:$A,0)),"")</f>
        <v>1140</v>
      </c>
      <c r="AI1298" s="25" t="str">
        <f>IF(SUMIFS('Supp Consol'!AA:AA,'Supp Consol'!Z:Z,"Expires this month",'Supp Consol'!A:A,O1298)=0,"",SUMIFS('Supp Consol'!AA:AA,'Supp Consol'!Z:Z,"Expires this month",'Supp Consol'!A:A,O1298))</f>
        <v/>
      </c>
      <c r="AJ1298" s="25" t="str">
        <f>IF(SUMIFS('Supp Consol'!AA:AA,'Supp Consol'!Z:Z,"Expired Previous Months",'Supp Consol'!A:A,O1298)=0,"",SUMIFS('Supp Consol'!AA:AA,'Supp Consol'!Z:Z,"Expired Previous Months",'Supp Consol'!A:A,O1298))</f>
        <v/>
      </c>
      <c r="AK1298" s="25" t="str">
        <f>IFERROR(INDEX('Hun Release Current'!B:B,MATCH(O1298,'Hun Release Current'!A:A,0)),"")</f>
        <v/>
      </c>
      <c r="AL1298" s="25" t="str">
        <f>IF(SUMIF('Prev Aub'!A:A,O1298,'Prev Aub'!B:B)=0,"",SUMIF('Prev Aub'!A:A,O1298,'Prev Aub'!B:B))</f>
        <v/>
      </c>
      <c r="AN1298" s="25" t="s">
        <v>3790</v>
      </c>
      <c r="AO1298" s="25" t="s">
        <v>3790</v>
      </c>
      <c r="AP1298" s="25">
        <f t="shared" si="566"/>
        <v>0</v>
      </c>
      <c r="AQ1298" s="151" t="str">
        <f>IF(SUMIFS('Supp Consol'!S:S,'Supp Consol'!A:A,O1298,'Supp Consol'!I:I,"PENDING")=0,"",SUMIFS('Supp Consol'!S:S,'Supp Consol'!A:A,O1298,'Supp Consol'!I:I,"PENDING"))</f>
        <v/>
      </c>
      <c r="AR1298" s="27" t="str">
        <f t="shared" si="567"/>
        <v>WC105</v>
      </c>
      <c r="AS1298" s="27" t="str">
        <f t="shared" si="568"/>
        <v>50</v>
      </c>
      <c r="AT1298" s="27" t="str">
        <f t="shared" si="569"/>
        <v/>
      </c>
      <c r="AU1298" s="27" t="str">
        <f t="shared" si="570"/>
        <v/>
      </c>
      <c r="AV1298" s="27" t="str">
        <f t="shared" si="571"/>
        <v/>
      </c>
      <c r="AW1298" s="27" t="str">
        <f t="shared" si="572"/>
        <v/>
      </c>
      <c r="AX1298" s="27" t="str">
        <f t="shared" si="573"/>
        <v/>
      </c>
      <c r="AY1298" s="27" t="str">
        <f t="shared" si="574"/>
        <v>WC105</v>
      </c>
      <c r="AZ1298" s="27" t="str">
        <f t="shared" si="575"/>
        <v/>
      </c>
      <c r="BA1298" s="27" t="str">
        <f t="shared" si="576"/>
        <v>Hun</v>
      </c>
      <c r="BB1298" s="27" t="str">
        <f t="shared" si="577"/>
        <v/>
      </c>
      <c r="BC1298" s="27" t="str">
        <f t="shared" si="578"/>
        <v/>
      </c>
      <c r="BD1298" s="27" t="str">
        <f t="shared" si="579"/>
        <v/>
      </c>
      <c r="BE1298" s="27" t="str">
        <f t="shared" si="580"/>
        <v/>
      </c>
      <c r="BF1298" s="27" t="str">
        <f t="shared" si="581"/>
        <v/>
      </c>
      <c r="BG1298" s="27" t="str">
        <f t="shared" si="582"/>
        <v/>
      </c>
      <c r="BH1298" s="27" t="str">
        <f t="shared" si="583"/>
        <v/>
      </c>
      <c r="BI1298" s="27" t="str">
        <f t="shared" si="584"/>
        <v/>
      </c>
      <c r="BJ1298" s="27" t="str">
        <f t="shared" si="585"/>
        <v>Supp or Hun</v>
      </c>
      <c r="BK1298" s="27" t="str">
        <f t="shared" si="586"/>
        <v/>
      </c>
      <c r="BL1298" s="27" t="str">
        <f t="shared" si="587"/>
        <v/>
      </c>
      <c r="BM1298" s="21" t="s">
        <v>5582</v>
      </c>
    </row>
    <row r="1299" spans="1:65" ht="15">
      <c r="A1299" s="25">
        <f>IFERROR(INDEX('Hun Demand'!W:W,MATCH(O1299,'Hun Demand'!A:A,0)),"")</f>
        <v>1803</v>
      </c>
      <c r="B1299" s="25">
        <f>IFERROR(INDEX('Hun Demand'!V:V,MATCH(O1299,'Hun Demand'!A:A,0)),"")</f>
        <v>3316</v>
      </c>
      <c r="C1299" s="25">
        <f>IFERROR(INDEX('Hun Demand'!U:U,MATCH(O1299,'Hun Demand'!A:A,0)),"")</f>
        <v>2410</v>
      </c>
      <c r="D1299" s="25">
        <f>IFERROR(INDEX('Hun Demand'!T:T,MATCH(O1299,'Hun Demand'!A:A,0)),"")</f>
        <v>1119</v>
      </c>
      <c r="E1299" s="25">
        <f>IFERROR(INDEX('Hun Demand'!S:S,MATCH(O1299,'Hun Demand'!A:A,0)),"")</f>
        <v>3101</v>
      </c>
      <c r="F1299" s="25">
        <f>IFERROR(INDEX('Hun Demand'!R:R,MATCH(O1299,'Hun Demand'!A:A,0)),"")</f>
        <v>612</v>
      </c>
      <c r="G1299" s="25">
        <f>IFERROR(INDEX('Aub Demand'!W:W,MATCH(O1299,'Aub Demand'!A:A,0)),"")</f>
        <v>322</v>
      </c>
      <c r="H1299" s="25">
        <f>IFERROR(INDEX('Aub Demand'!V:V,MATCH(O1299,'Aub Demand'!A:A,0)),"")</f>
        <v>106</v>
      </c>
      <c r="I1299" s="25">
        <f>IFERROR(INDEX('Aub Demand'!U:U,MATCH(O1299,'Aub Demand'!A:A,0)),"")</f>
        <v>109</v>
      </c>
      <c r="J1299" s="25">
        <f>IFERROR(INDEX('Aub Demand'!T:T,MATCH(O1299,'Aub Demand'!A:A,0)),"")</f>
        <v>0</v>
      </c>
      <c r="K1299" s="25">
        <f>IFERROR(INDEX('Aub Demand'!S:S,MATCH(O1299,'Aub Demand'!A:A,0)),"")</f>
        <v>80</v>
      </c>
      <c r="L1299" s="25">
        <f>IFERROR(INDEX('Aub Demand'!R:R,MATCH(O1299,'Aub Demand'!A:A,0)),"")</f>
        <v>0</v>
      </c>
      <c r="O1299" s="27" t="s">
        <v>1606</v>
      </c>
      <c r="P1299" s="27" t="str">
        <f>IFERROR(INDEX('Aub Demand'!B:B,MATCH($O1299,'Aub Demand'!$A:$A,0)),"")</f>
        <v>TRYTOO SAVATRE</v>
      </c>
      <c r="Q1299" s="27" t="str">
        <f>IFERROR(INDEX('Aub Demand'!C:C,MATCH($O1299,'Aub Demand'!$A:$A,0)),"")</f>
        <v>SCHAT</v>
      </c>
      <c r="R1299" s="52">
        <f>IFERROR(IF(AR1300=AR1299,INDEX('Aub Demand'!K:K,MATCH($O1299,'Aub Demand'!$A:$A,0))-IF(AN1299="",0,AN1299)+AP1300,INDEX('Aub Demand'!K:K,MATCH($O1299,'Aub Demand'!$A:$A,0))-IF(AN1299="",0,AN1299)),"")</f>
        <v>952</v>
      </c>
      <c r="S1299" s="53">
        <f t="shared" si="560"/>
        <v>64.8</v>
      </c>
      <c r="T1299" s="52" t="str">
        <f t="shared" si="561"/>
        <v/>
      </c>
      <c r="U1299" s="52">
        <f>IFERROR(IF(AR1300=AR1299,INDEX('Aub Demand'!Q:Q,MATCH($O1299,'Aub Demand'!$A:$A,0))-IF(AN1299="",0,AN1299)+AP1300,INDEX('Aub Demand'!Q:Q,MATCH($O1299,'Aub Demand'!$A:$A,0))-IF(AN1299="",0,AN1299)),"")</f>
        <v>870</v>
      </c>
      <c r="V1299" s="53">
        <f t="shared" si="562"/>
        <v>59.2</v>
      </c>
      <c r="W1299" s="52" t="str">
        <f t="shared" si="563"/>
        <v/>
      </c>
      <c r="X1299" s="52">
        <f>IFERROR(IF(AND(AR1300=AR1299,AM1299&lt;&gt;""),INDEX('Aub Demand'!Q:Q,MATCH($O1299,'Aub Demand'!$A:$A,0))-IF(AN1299="",0,AN1299)+AP1300+AD1299+AL1299,IF(AR1300=AR1299,INDEX('Aub Demand'!Q:Q,MATCH($O1299,'Aub Demand'!$A:$A,0))-IF(AN1299="",0,AN1299)+AP1300+AD1299,IF(AM1299&lt;&gt;"",INDEX('Aub Demand'!Q:Q,MATCH($O1299,'Aub Demand'!$A:$A,0))-IF(AN1299="",0,AN1299)+AD1299+AL1299,INDEX('Aub Demand'!Q:Q,MATCH($O1299,'Aub Demand'!$A:$A,0))-IF(AN1299="",0,AN1299)+AD1299))),"")</f>
        <v>870</v>
      </c>
      <c r="Y1299" s="53">
        <f t="shared" si="564"/>
        <v>59.2</v>
      </c>
      <c r="Z1299" s="52">
        <f>IF(L1299="","",INDEX('Aub Demand'!H:H,MATCH($O1299,'Aub Demand'!$A:$A,0)))</f>
        <v>63</v>
      </c>
      <c r="AA1299" s="52">
        <f t="shared" si="565"/>
        <v>94.5</v>
      </c>
      <c r="AB1299" s="52">
        <f>IFERROR(INDEX('Aub Demand'!L:L,MATCH($O1299,'Aub Demand'!$A:$A,0)),"")</f>
        <v>13</v>
      </c>
      <c r="AC1299" s="52">
        <f>IFERROR(IF(O1299="","",SUMIFS('CPL Mats'!F:F,'CPL Mats'!Q:Q,AR1299,'CPL Mats'!S:S,AS1299)),"")</f>
        <v>0</v>
      </c>
      <c r="AF1299" s="25" t="str">
        <f>IF(SUMIFS('Supp Consol'!S:S,'Supp Consol'!Y:Y,"Releasable",'Supp Consol'!A:A,O1299)=0,"",SUMIFS('Supp Consol'!S:S,'Supp Consol'!Y:Y,"Releasable",'Supp Consol'!A:A,O1299))</f>
        <v/>
      </c>
      <c r="AG1299" s="25">
        <f>IFERROR(INDEX('Hun Demand'!Q:Q,MATCH(O1299,'Hun Demand'!A:A,0)),"")</f>
        <v>23015</v>
      </c>
      <c r="AH1299" s="25">
        <f>IFERROR(INDEX('Hun Demand'!H:H,MATCH($O1299,'Hun Demand'!$A:$A,0)),"")</f>
        <v>2210</v>
      </c>
      <c r="AI1299" s="25" t="str">
        <f>IF(SUMIFS('Supp Consol'!AA:AA,'Supp Consol'!Z:Z,"Expires this month",'Supp Consol'!A:A,O1299)=0,"",SUMIFS('Supp Consol'!AA:AA,'Supp Consol'!Z:Z,"Expires this month",'Supp Consol'!A:A,O1299))</f>
        <v/>
      </c>
      <c r="AJ1299" s="25" t="str">
        <f>IF(SUMIFS('Supp Consol'!AA:AA,'Supp Consol'!Z:Z,"Expired Previous Months",'Supp Consol'!A:A,O1299)=0,"",SUMIFS('Supp Consol'!AA:AA,'Supp Consol'!Z:Z,"Expired Previous Months",'Supp Consol'!A:A,O1299))</f>
        <v/>
      </c>
      <c r="AK1299" s="25" t="str">
        <f>IFERROR(INDEX('Hun Release Current'!B:B,MATCH(O1299,'Hun Release Current'!A:A,0)),"")</f>
        <v/>
      </c>
      <c r="AL1299" s="25" t="str">
        <f>IF(SUMIF('Prev Aub'!A:A,O1299,'Prev Aub'!B:B)=0,"",SUMIF('Prev Aub'!A:A,O1299,'Prev Aub'!B:B))</f>
        <v/>
      </c>
      <c r="AN1299" s="25" t="s">
        <v>3790</v>
      </c>
      <c r="AO1299" s="25" t="s">
        <v>3790</v>
      </c>
      <c r="AP1299" s="25">
        <f t="shared" si="566"/>
        <v>0</v>
      </c>
      <c r="AQ1299" s="151" t="str">
        <f>IF(SUMIFS('Supp Consol'!S:S,'Supp Consol'!A:A,O1299,'Supp Consol'!I:I,"PENDING")=0,"",SUMIFS('Supp Consol'!S:S,'Supp Consol'!A:A,O1299,'Supp Consol'!I:I,"PENDING"))</f>
        <v/>
      </c>
      <c r="AR1299" s="27" t="str">
        <f t="shared" si="567"/>
        <v>WC105</v>
      </c>
      <c r="AS1299" s="27" t="str">
        <f t="shared" si="568"/>
        <v>62</v>
      </c>
      <c r="AT1299" s="27" t="str">
        <f t="shared" si="569"/>
        <v/>
      </c>
      <c r="AU1299" s="27" t="str">
        <f t="shared" si="570"/>
        <v/>
      </c>
      <c r="AV1299" s="27" t="str">
        <f t="shared" si="571"/>
        <v/>
      </c>
      <c r="AW1299" s="27" t="str">
        <f t="shared" si="572"/>
        <v/>
      </c>
      <c r="AX1299" s="27" t="str">
        <f t="shared" si="573"/>
        <v/>
      </c>
      <c r="AY1299" s="27" t="str">
        <f t="shared" si="574"/>
        <v>WC105</v>
      </c>
      <c r="AZ1299" s="27" t="str">
        <f t="shared" si="575"/>
        <v/>
      </c>
      <c r="BA1299" s="27" t="str">
        <f t="shared" si="576"/>
        <v>Hun</v>
      </c>
      <c r="BB1299" s="27" t="str">
        <f t="shared" si="577"/>
        <v/>
      </c>
      <c r="BC1299" s="27" t="str">
        <f t="shared" si="578"/>
        <v/>
      </c>
      <c r="BD1299" s="27" t="str">
        <f t="shared" si="579"/>
        <v/>
      </c>
      <c r="BE1299" s="27" t="str">
        <f t="shared" si="580"/>
        <v/>
      </c>
      <c r="BF1299" s="27" t="str">
        <f t="shared" si="581"/>
        <v/>
      </c>
      <c r="BG1299" s="27" t="str">
        <f t="shared" si="582"/>
        <v/>
      </c>
      <c r="BH1299" s="27" t="str">
        <f t="shared" si="583"/>
        <v/>
      </c>
      <c r="BI1299" s="27" t="str">
        <f t="shared" si="584"/>
        <v/>
      </c>
      <c r="BJ1299" s="27" t="str">
        <f t="shared" si="585"/>
        <v>Supp or Hun</v>
      </c>
      <c r="BK1299" s="27" t="str">
        <f t="shared" si="586"/>
        <v/>
      </c>
      <c r="BL1299" s="27" t="str">
        <f t="shared" si="587"/>
        <v/>
      </c>
      <c r="BM1299" s="21" t="s">
        <v>5582</v>
      </c>
    </row>
    <row r="1300" spans="1:65" ht="15">
      <c r="A1300" s="25">
        <f>IFERROR(INDEX('Hun Demand'!W:W,MATCH(O1300,'Hun Demand'!A:A,0)),"")</f>
        <v>842</v>
      </c>
      <c r="B1300" s="25">
        <f>IFERROR(INDEX('Hun Demand'!V:V,MATCH(O1300,'Hun Demand'!A:A,0)),"")</f>
        <v>502</v>
      </c>
      <c r="C1300" s="25">
        <f>IFERROR(INDEX('Hun Demand'!U:U,MATCH(O1300,'Hun Demand'!A:A,0)),"")</f>
        <v>278</v>
      </c>
      <c r="D1300" s="25">
        <f>IFERROR(INDEX('Hun Demand'!T:T,MATCH(O1300,'Hun Demand'!A:A,0)),"")</f>
        <v>0</v>
      </c>
      <c r="E1300" s="25">
        <f>IFERROR(INDEX('Hun Demand'!S:S,MATCH(O1300,'Hun Demand'!A:A,0)),"")</f>
        <v>381</v>
      </c>
      <c r="F1300" s="25">
        <f>IFERROR(INDEX('Hun Demand'!R:R,MATCH(O1300,'Hun Demand'!A:A,0)),"")</f>
        <v>179</v>
      </c>
      <c r="G1300" s="25">
        <f>IFERROR(INDEX('Aub Demand'!W:W,MATCH(O1300,'Aub Demand'!A:A,0)),"")</f>
        <v>341</v>
      </c>
      <c r="H1300" s="25">
        <f>IFERROR(INDEX('Aub Demand'!V:V,MATCH(O1300,'Aub Demand'!A:A,0)),"")</f>
        <v>466</v>
      </c>
      <c r="I1300" s="25">
        <f>IFERROR(INDEX('Aub Demand'!U:U,MATCH(O1300,'Aub Demand'!A:A,0)),"")</f>
        <v>162</v>
      </c>
      <c r="J1300" s="25">
        <f>IFERROR(INDEX('Aub Demand'!T:T,MATCH(O1300,'Aub Demand'!A:A,0)),"")</f>
        <v>196</v>
      </c>
      <c r="K1300" s="25">
        <f>IFERROR(INDEX('Aub Demand'!S:S,MATCH(O1300,'Aub Demand'!A:A,0)),"")</f>
        <v>114</v>
      </c>
      <c r="L1300" s="25">
        <f>IFERROR(INDEX('Aub Demand'!R:R,MATCH(O1300,'Aub Demand'!A:A,0)),"")</f>
        <v>0</v>
      </c>
      <c r="O1300" s="27" t="s">
        <v>1607</v>
      </c>
      <c r="P1300" s="27" t="str">
        <f>IFERROR(INDEX('Aub Demand'!B:B,MATCH($O1300,'Aub Demand'!$A:$A,0)),"")</f>
        <v>AIMTOO SAVATRE</v>
      </c>
      <c r="Q1300" s="27" t="str">
        <f>IFERROR(INDEX('Aub Demand'!C:C,MATCH($O1300,'Aub Demand'!$A:$A,0)),"")</f>
        <v>SCHAT</v>
      </c>
      <c r="R1300" s="52">
        <f>IFERROR(IF(AR1301=AR1300,INDEX('Aub Demand'!K:K,MATCH($O1300,'Aub Demand'!$A:$A,0))-IF(AN1300="",0,AN1300)+AP1301,INDEX('Aub Demand'!K:K,MATCH($O1300,'Aub Demand'!$A:$A,0))-IF(AN1300="",0,AN1300)),"")</f>
        <v>1163</v>
      </c>
      <c r="S1300" s="53">
        <f t="shared" si="560"/>
        <v>31.7</v>
      </c>
      <c r="T1300" s="52" t="str">
        <f t="shared" si="561"/>
        <v/>
      </c>
      <c r="U1300" s="52">
        <f>IFERROR(IF(AR1301=AR1300,INDEX('Aub Demand'!Q:Q,MATCH($O1300,'Aub Demand'!$A:$A,0))-IF(AN1300="",0,AN1300)+AP1301,INDEX('Aub Demand'!Q:Q,MATCH($O1300,'Aub Demand'!$A:$A,0))-IF(AN1300="",0,AN1300)),"")</f>
        <v>1103</v>
      </c>
      <c r="V1300" s="53">
        <f t="shared" si="562"/>
        <v>30.1</v>
      </c>
      <c r="W1300" s="52" t="str">
        <f t="shared" si="563"/>
        <v/>
      </c>
      <c r="X1300" s="52">
        <f>IFERROR(IF(AND(AR1301=AR1300,AM1300&lt;&gt;""),INDEX('Aub Demand'!Q:Q,MATCH($O1300,'Aub Demand'!$A:$A,0))-IF(AN1300="",0,AN1300)+AP1301+AD1300+AL1300,IF(AR1301=AR1300,INDEX('Aub Demand'!Q:Q,MATCH($O1300,'Aub Demand'!$A:$A,0))-IF(AN1300="",0,AN1300)+AP1301+AD1300,IF(AM1300&lt;&gt;"",INDEX('Aub Demand'!Q:Q,MATCH($O1300,'Aub Demand'!$A:$A,0))-IF(AN1300="",0,AN1300)+AD1300+AL1300,INDEX('Aub Demand'!Q:Q,MATCH($O1300,'Aub Demand'!$A:$A,0))-IF(AN1300="",0,AN1300)+AD1300))),"")</f>
        <v>1103</v>
      </c>
      <c r="Y1300" s="53">
        <f t="shared" si="564"/>
        <v>30.1</v>
      </c>
      <c r="Z1300" s="52">
        <f>IF(L1300="","",INDEX('Aub Demand'!H:H,MATCH($O1300,'Aub Demand'!$A:$A,0)))</f>
        <v>157</v>
      </c>
      <c r="AA1300" s="52">
        <f t="shared" si="565"/>
        <v>179</v>
      </c>
      <c r="AB1300" s="52">
        <f>IFERROR(INDEX('Aub Demand'!L:L,MATCH($O1300,'Aub Demand'!$A:$A,0)),"")</f>
        <v>220</v>
      </c>
      <c r="AC1300" s="52">
        <f>IFERROR(IF(O1300="","",SUMIFS('CPL Mats'!F:F,'CPL Mats'!Q:Q,AR1300,'CPL Mats'!S:S,AS1300)),"")</f>
        <v>0</v>
      </c>
      <c r="AF1300" s="25" t="str">
        <f>IF(SUMIFS('Supp Consol'!S:S,'Supp Consol'!Y:Y,"Releasable",'Supp Consol'!A:A,O1300)=0,"",SUMIFS('Supp Consol'!S:S,'Supp Consol'!Y:Y,"Releasable",'Supp Consol'!A:A,O1300))</f>
        <v/>
      </c>
      <c r="AG1300" s="25">
        <f>IFERROR(INDEX('Hun Demand'!Q:Q,MATCH(O1300,'Hun Demand'!A:A,0)),"")</f>
        <v>7953</v>
      </c>
      <c r="AH1300" s="25">
        <f>IFERROR(INDEX('Hun Demand'!H:H,MATCH($O1300,'Hun Demand'!$A:$A,0)),"")</f>
        <v>220</v>
      </c>
      <c r="AI1300" s="25" t="str">
        <f>IF(SUMIFS('Supp Consol'!AA:AA,'Supp Consol'!Z:Z,"Expires this month",'Supp Consol'!A:A,O1300)=0,"",SUMIFS('Supp Consol'!AA:AA,'Supp Consol'!Z:Z,"Expires this month",'Supp Consol'!A:A,O1300))</f>
        <v/>
      </c>
      <c r="AJ1300" s="25" t="str">
        <f>IF(SUMIFS('Supp Consol'!AA:AA,'Supp Consol'!Z:Z,"Expired Previous Months",'Supp Consol'!A:A,O1300)=0,"",SUMIFS('Supp Consol'!AA:AA,'Supp Consol'!Z:Z,"Expired Previous Months",'Supp Consol'!A:A,O1300))</f>
        <v/>
      </c>
      <c r="AK1300" s="25" t="str">
        <f>IFERROR(INDEX('Hun Release Current'!B:B,MATCH(O1300,'Hun Release Current'!A:A,0)),"")</f>
        <v/>
      </c>
      <c r="AL1300" s="25" t="str">
        <f>IF(SUMIF('Prev Aub'!A:A,O1300,'Prev Aub'!B:B)=0,"",SUMIF('Prev Aub'!A:A,O1300,'Prev Aub'!B:B))</f>
        <v/>
      </c>
      <c r="AN1300" s="25" t="s">
        <v>3790</v>
      </c>
      <c r="AO1300" s="25" t="s">
        <v>3790</v>
      </c>
      <c r="AP1300" s="25">
        <f t="shared" si="566"/>
        <v>0</v>
      </c>
      <c r="AQ1300" s="151" t="str">
        <f>IF(SUMIFS('Supp Consol'!S:S,'Supp Consol'!A:A,O1300,'Supp Consol'!I:I,"PENDING")=0,"",SUMIFS('Supp Consol'!S:S,'Supp Consol'!A:A,O1300,'Supp Consol'!I:I,"PENDING"))</f>
        <v/>
      </c>
      <c r="AR1300" s="27" t="str">
        <f t="shared" si="567"/>
        <v>WC115</v>
      </c>
      <c r="AS1300" s="27" t="str">
        <f t="shared" si="568"/>
        <v>50</v>
      </c>
      <c r="AT1300" s="27" t="str">
        <f t="shared" si="569"/>
        <v/>
      </c>
      <c r="AU1300" s="27" t="str">
        <f t="shared" si="570"/>
        <v/>
      </c>
      <c r="AV1300" s="27" t="str">
        <f t="shared" si="571"/>
        <v/>
      </c>
      <c r="AW1300" s="27" t="str">
        <f t="shared" si="572"/>
        <v/>
      </c>
      <c r="AX1300" s="27" t="str">
        <f t="shared" si="573"/>
        <v/>
      </c>
      <c r="AY1300" s="27" t="str">
        <f t="shared" si="574"/>
        <v>WC115</v>
      </c>
      <c r="AZ1300" s="27" t="str">
        <f t="shared" si="575"/>
        <v/>
      </c>
      <c r="BA1300" s="27" t="str">
        <f t="shared" si="576"/>
        <v>Hun</v>
      </c>
      <c r="BB1300" s="27" t="str">
        <f t="shared" si="577"/>
        <v/>
      </c>
      <c r="BC1300" s="27" t="str">
        <f t="shared" si="578"/>
        <v/>
      </c>
      <c r="BD1300" s="27" t="str">
        <f t="shared" si="579"/>
        <v/>
      </c>
      <c r="BE1300" s="27" t="str">
        <f t="shared" si="580"/>
        <v/>
      </c>
      <c r="BF1300" s="27" t="str">
        <f t="shared" si="581"/>
        <v/>
      </c>
      <c r="BG1300" s="27" t="str">
        <f t="shared" si="582"/>
        <v/>
      </c>
      <c r="BH1300" s="27" t="str">
        <f t="shared" si="583"/>
        <v/>
      </c>
      <c r="BI1300" s="27" t="str">
        <f t="shared" si="584"/>
        <v/>
      </c>
      <c r="BJ1300" s="27" t="str">
        <f t="shared" si="585"/>
        <v>Supp or Hun</v>
      </c>
      <c r="BK1300" s="27" t="str">
        <f t="shared" si="586"/>
        <v/>
      </c>
      <c r="BL1300" s="27" t="str">
        <f t="shared" si="587"/>
        <v/>
      </c>
      <c r="BM1300" s="21" t="s">
        <v>5582</v>
      </c>
    </row>
    <row r="1301" spans="1:65" ht="15">
      <c r="A1301" s="25">
        <f>IFERROR(INDEX('Hun Demand'!W:W,MATCH(O1301,'Hun Demand'!A:A,0)),"")</f>
        <v>2438</v>
      </c>
      <c r="B1301" s="25">
        <f>IFERROR(INDEX('Hun Demand'!V:V,MATCH(O1301,'Hun Demand'!A:A,0)),"")</f>
        <v>1886</v>
      </c>
      <c r="C1301" s="25">
        <f>IFERROR(INDEX('Hun Demand'!U:U,MATCH(O1301,'Hun Demand'!A:A,0)),"")</f>
        <v>1068</v>
      </c>
      <c r="D1301" s="25">
        <f>IFERROR(INDEX('Hun Demand'!T:T,MATCH(O1301,'Hun Demand'!A:A,0)),"")</f>
        <v>1674</v>
      </c>
      <c r="E1301" s="25">
        <f>IFERROR(INDEX('Hun Demand'!S:S,MATCH(O1301,'Hun Demand'!A:A,0)),"")</f>
        <v>974</v>
      </c>
      <c r="F1301" s="25">
        <f>IFERROR(INDEX('Hun Demand'!R:R,MATCH(O1301,'Hun Demand'!A:A,0)),"")</f>
        <v>737</v>
      </c>
      <c r="G1301" s="25">
        <f>IFERROR(INDEX('Aub Demand'!W:W,MATCH(O1301,'Aub Demand'!A:A,0)),"")</f>
        <v>113</v>
      </c>
      <c r="H1301" s="25">
        <f>IFERROR(INDEX('Aub Demand'!V:V,MATCH(O1301,'Aub Demand'!A:A,0)),"")</f>
        <v>139</v>
      </c>
      <c r="I1301" s="25">
        <f>IFERROR(INDEX('Aub Demand'!U:U,MATCH(O1301,'Aub Demand'!A:A,0)),"")</f>
        <v>25</v>
      </c>
      <c r="J1301" s="25">
        <f>IFERROR(INDEX('Aub Demand'!T:T,MATCH(O1301,'Aub Demand'!A:A,0)),"")</f>
        <v>57</v>
      </c>
      <c r="K1301" s="25">
        <f>IFERROR(INDEX('Aub Demand'!S:S,MATCH(O1301,'Aub Demand'!A:A,0)),"")</f>
        <v>188</v>
      </c>
      <c r="L1301" s="25">
        <f>IFERROR(INDEX('Aub Demand'!R:R,MATCH(O1301,'Aub Demand'!A:A,0)),"")</f>
        <v>0</v>
      </c>
      <c r="O1301" s="27" t="s">
        <v>1609</v>
      </c>
      <c r="P1301" s="27" t="str">
        <f>IFERROR(INDEX('Aub Demand'!B:B,MATCH($O1301,'Aub Demand'!$A:$A,0)),"")</f>
        <v>AIMTOO SAVATRE</v>
      </c>
      <c r="Q1301" s="27" t="str">
        <f>IFERROR(INDEX('Aub Demand'!C:C,MATCH($O1301,'Aub Demand'!$A:$A,0)),"")</f>
        <v>SCHAT</v>
      </c>
      <c r="R1301" s="52">
        <f>IFERROR(IF(AR1302=AR1301,INDEX('Aub Demand'!K:K,MATCH($O1301,'Aub Demand'!$A:$A,0))-IF(AN1301="",0,AN1301)+AP1302,INDEX('Aub Demand'!K:K,MATCH($O1301,'Aub Demand'!$A:$A,0))-IF(AN1301="",0,AN1301)),"")</f>
        <v>2328</v>
      </c>
      <c r="S1301" s="53">
        <f t="shared" si="560"/>
        <v>110.9</v>
      </c>
      <c r="T1301" s="52" t="str">
        <f t="shared" si="561"/>
        <v/>
      </c>
      <c r="U1301" s="52">
        <f>IFERROR(IF(AR1302=AR1301,INDEX('Aub Demand'!Q:Q,MATCH($O1301,'Aub Demand'!$A:$A,0))-IF(AN1301="",0,AN1301)+AP1302,INDEX('Aub Demand'!Q:Q,MATCH($O1301,'Aub Demand'!$A:$A,0))-IF(AN1301="",0,AN1301)),"")</f>
        <v>2304</v>
      </c>
      <c r="V1301" s="53">
        <f t="shared" si="562"/>
        <v>109.7</v>
      </c>
      <c r="W1301" s="52" t="str">
        <f t="shared" si="563"/>
        <v/>
      </c>
      <c r="X1301" s="52">
        <f>IFERROR(IF(AND(AR1302=AR1301,AM1301&lt;&gt;""),INDEX('Aub Demand'!Q:Q,MATCH($O1301,'Aub Demand'!$A:$A,0))-IF(AN1301="",0,AN1301)+AP1302+AD1301+AL1301,IF(AR1302=AR1301,INDEX('Aub Demand'!Q:Q,MATCH($O1301,'Aub Demand'!$A:$A,0))-IF(AN1301="",0,AN1301)+AP1302+AD1301,IF(AM1301&lt;&gt;"",INDEX('Aub Demand'!Q:Q,MATCH($O1301,'Aub Demand'!$A:$A,0))-IF(AN1301="",0,AN1301)+AD1301+AL1301,INDEX('Aub Demand'!Q:Q,MATCH($O1301,'Aub Demand'!$A:$A,0))-IF(AN1301="",0,AN1301)+AD1301))),"")</f>
        <v>2304</v>
      </c>
      <c r="Y1301" s="53">
        <f t="shared" si="564"/>
        <v>109.7</v>
      </c>
      <c r="Z1301" s="52">
        <f>IF(L1301="","",INDEX('Aub Demand'!H:H,MATCH($O1301,'Aub Demand'!$A:$A,0)))</f>
        <v>90</v>
      </c>
      <c r="AA1301" s="52">
        <f t="shared" si="565"/>
        <v>122.5</v>
      </c>
      <c r="AB1301" s="52">
        <f>IFERROR(INDEX('Aub Demand'!L:L,MATCH($O1301,'Aub Demand'!$A:$A,0)),"")</f>
        <v>42</v>
      </c>
      <c r="AC1301" s="52">
        <f>IFERROR(IF(O1301="","",SUMIFS('CPL Mats'!F:F,'CPL Mats'!Q:Q,AR1301,'CPL Mats'!S:S,AS1301)),"")</f>
        <v>0</v>
      </c>
      <c r="AF1301" s="25" t="str">
        <f>IF(SUMIFS('Supp Consol'!S:S,'Supp Consol'!Y:Y,"Releasable",'Supp Consol'!A:A,O1301)=0,"",SUMIFS('Supp Consol'!S:S,'Supp Consol'!Y:Y,"Releasable",'Supp Consol'!A:A,O1301))</f>
        <v/>
      </c>
      <c r="AG1301" s="25">
        <f>IFERROR(INDEX('Hun Demand'!Q:Q,MATCH(O1301,'Hun Demand'!A:A,0)),"")</f>
        <v>15234</v>
      </c>
      <c r="AH1301" s="25">
        <f>IFERROR(INDEX('Hun Demand'!H:H,MATCH($O1301,'Hun Demand'!$A:$A,0)),"")</f>
        <v>1239</v>
      </c>
      <c r="AI1301" s="25" t="str">
        <f>IF(SUMIFS('Supp Consol'!AA:AA,'Supp Consol'!Z:Z,"Expires this month",'Supp Consol'!A:A,O1301)=0,"",SUMIFS('Supp Consol'!AA:AA,'Supp Consol'!Z:Z,"Expires this month",'Supp Consol'!A:A,O1301))</f>
        <v/>
      </c>
      <c r="AJ1301" s="25" t="str">
        <f>IF(SUMIFS('Supp Consol'!AA:AA,'Supp Consol'!Z:Z,"Expired Previous Months",'Supp Consol'!A:A,O1301)=0,"",SUMIFS('Supp Consol'!AA:AA,'Supp Consol'!Z:Z,"Expired Previous Months",'Supp Consol'!A:A,O1301))</f>
        <v/>
      </c>
      <c r="AK1301" s="25" t="str">
        <f>IFERROR(INDEX('Hun Release Current'!B:B,MATCH(O1301,'Hun Release Current'!A:A,0)),"")</f>
        <v/>
      </c>
      <c r="AL1301" s="25" t="str">
        <f>IF(SUMIF('Prev Aub'!A:A,O1301,'Prev Aub'!B:B)=0,"",SUMIF('Prev Aub'!A:A,O1301,'Prev Aub'!B:B))</f>
        <v/>
      </c>
      <c r="AN1301" s="25" t="s">
        <v>3790</v>
      </c>
      <c r="AO1301" s="25" t="s">
        <v>3790</v>
      </c>
      <c r="AP1301" s="25">
        <f t="shared" si="566"/>
        <v>0</v>
      </c>
      <c r="AQ1301" s="151" t="str">
        <f>IF(SUMIFS('Supp Consol'!S:S,'Supp Consol'!A:A,O1301,'Supp Consol'!I:I,"PENDING")=0,"",SUMIFS('Supp Consol'!S:S,'Supp Consol'!A:A,O1301,'Supp Consol'!I:I,"PENDING"))</f>
        <v/>
      </c>
      <c r="AR1301" s="27" t="str">
        <f t="shared" si="567"/>
        <v>WC115</v>
      </c>
      <c r="AS1301" s="27" t="str">
        <f t="shared" si="568"/>
        <v>62</v>
      </c>
      <c r="AT1301" s="27" t="str">
        <f t="shared" si="569"/>
        <v/>
      </c>
      <c r="AU1301" s="27" t="str">
        <f t="shared" si="570"/>
        <v/>
      </c>
      <c r="AV1301" s="27" t="str">
        <f t="shared" si="571"/>
        <v/>
      </c>
      <c r="AW1301" s="27" t="str">
        <f t="shared" si="572"/>
        <v/>
      </c>
      <c r="AX1301" s="27" t="str">
        <f t="shared" si="573"/>
        <v/>
      </c>
      <c r="AY1301" s="27" t="str">
        <f t="shared" si="574"/>
        <v>WC115</v>
      </c>
      <c r="AZ1301" s="27" t="str">
        <f t="shared" si="575"/>
        <v/>
      </c>
      <c r="BA1301" s="27" t="str">
        <f t="shared" si="576"/>
        <v>Hun</v>
      </c>
      <c r="BB1301" s="27" t="str">
        <f t="shared" si="577"/>
        <v/>
      </c>
      <c r="BC1301" s="27" t="str">
        <f t="shared" si="578"/>
        <v/>
      </c>
      <c r="BD1301" s="27" t="str">
        <f t="shared" si="579"/>
        <v/>
      </c>
      <c r="BE1301" s="27" t="str">
        <f t="shared" si="580"/>
        <v/>
      </c>
      <c r="BF1301" s="27" t="str">
        <f t="shared" si="581"/>
        <v/>
      </c>
      <c r="BG1301" s="27" t="str">
        <f t="shared" si="582"/>
        <v/>
      </c>
      <c r="BH1301" s="27" t="str">
        <f t="shared" si="583"/>
        <v/>
      </c>
      <c r="BI1301" s="27" t="str">
        <f t="shared" si="584"/>
        <v/>
      </c>
      <c r="BJ1301" s="27" t="str">
        <f t="shared" si="585"/>
        <v>Supp or Hun</v>
      </c>
      <c r="BK1301" s="27" t="str">
        <f t="shared" si="586"/>
        <v/>
      </c>
      <c r="BL1301" s="27" t="str">
        <f t="shared" si="587"/>
        <v/>
      </c>
      <c r="BM1301" s="21" t="s">
        <v>5582</v>
      </c>
    </row>
    <row r="1302" spans="1:65" ht="15">
      <c r="A1302" s="25">
        <f>IFERROR(INDEX('Hun Demand'!W:W,MATCH(O1302,'Hun Demand'!A:A,0)),"")</f>
        <v>256</v>
      </c>
      <c r="B1302" s="25">
        <f>IFERROR(INDEX('Hun Demand'!V:V,MATCH(O1302,'Hun Demand'!A:A,0)),"")</f>
        <v>575</v>
      </c>
      <c r="C1302" s="25">
        <f>IFERROR(INDEX('Hun Demand'!U:U,MATCH(O1302,'Hun Demand'!A:A,0)),"")</f>
        <v>0</v>
      </c>
      <c r="D1302" s="25">
        <f>IFERROR(INDEX('Hun Demand'!T:T,MATCH(O1302,'Hun Demand'!A:A,0)),"")</f>
        <v>0</v>
      </c>
      <c r="E1302" s="25">
        <f>IFERROR(INDEX('Hun Demand'!S:S,MATCH(O1302,'Hun Demand'!A:A,0)),"")</f>
        <v>0</v>
      </c>
      <c r="F1302" s="25">
        <f>IFERROR(INDEX('Hun Demand'!R:R,MATCH(O1302,'Hun Demand'!A:A,0)),"")</f>
        <v>0</v>
      </c>
      <c r="G1302" s="25">
        <f>IFERROR(INDEX('Aub Demand'!W:W,MATCH(O1302,'Aub Demand'!A:A,0)),"")</f>
        <v>120</v>
      </c>
      <c r="H1302" s="25">
        <f>IFERROR(INDEX('Aub Demand'!V:V,MATCH(O1302,'Aub Demand'!A:A,0)),"")</f>
        <v>0</v>
      </c>
      <c r="I1302" s="25">
        <f>IFERROR(INDEX('Aub Demand'!U:U,MATCH(O1302,'Aub Demand'!A:A,0)),"")</f>
        <v>0</v>
      </c>
      <c r="J1302" s="25">
        <f>IFERROR(INDEX('Aub Demand'!T:T,MATCH(O1302,'Aub Demand'!A:A,0)),"")</f>
        <v>126</v>
      </c>
      <c r="K1302" s="25">
        <f>IFERROR(INDEX('Aub Demand'!S:S,MATCH(O1302,'Aub Demand'!A:A,0)),"")</f>
        <v>0</v>
      </c>
      <c r="L1302" s="25">
        <f>IFERROR(INDEX('Aub Demand'!R:R,MATCH(O1302,'Aub Demand'!A:A,0)),"")</f>
        <v>0</v>
      </c>
      <c r="O1302" s="27" t="s">
        <v>1610</v>
      </c>
      <c r="P1302" s="27" t="str">
        <f>IFERROR(INDEX('Aub Demand'!B:B,MATCH($O1302,'Aub Demand'!$A:$A,0)),"")</f>
        <v>IWANTOO SAVATRE</v>
      </c>
      <c r="Q1302" s="27" t="str">
        <f>IFERROR(INDEX('Aub Demand'!C:C,MATCH($O1302,'Aub Demand'!$A:$A,0)),"")</f>
        <v>SCHAT</v>
      </c>
      <c r="R1302" s="52">
        <f>IFERROR(IF(AR1303=AR1302,INDEX('Aub Demand'!K:K,MATCH($O1302,'Aub Demand'!$A:$A,0))-IF(AN1302="",0,AN1302)+AP1303,INDEX('Aub Demand'!K:K,MATCH($O1302,'Aub Demand'!$A:$A,0))-IF(AN1302="",0,AN1302)),"")</f>
        <v>762</v>
      </c>
      <c r="S1302" s="53">
        <f t="shared" si="560"/>
        <v>77.8</v>
      </c>
      <c r="T1302" s="52" t="str">
        <f t="shared" si="561"/>
        <v/>
      </c>
      <c r="U1302" s="52">
        <f>IFERROR(IF(AR1303=AR1302,INDEX('Aub Demand'!Q:Q,MATCH($O1302,'Aub Demand'!$A:$A,0))-IF(AN1302="",0,AN1302)+AP1303,INDEX('Aub Demand'!Q:Q,MATCH($O1302,'Aub Demand'!$A:$A,0))-IF(AN1302="",0,AN1302)),"")</f>
        <v>762</v>
      </c>
      <c r="V1302" s="53">
        <f t="shared" si="562"/>
        <v>77.8</v>
      </c>
      <c r="W1302" s="52" t="str">
        <f t="shared" si="563"/>
        <v/>
      </c>
      <c r="X1302" s="52">
        <f>IFERROR(IF(AND(AR1303=AR1302,AM1302&lt;&gt;""),INDEX('Aub Demand'!Q:Q,MATCH($O1302,'Aub Demand'!$A:$A,0))-IF(AN1302="",0,AN1302)+AP1303+AD1302+AL1302,IF(AR1303=AR1302,INDEX('Aub Demand'!Q:Q,MATCH($O1302,'Aub Demand'!$A:$A,0))-IF(AN1302="",0,AN1302)+AP1303+AD1302,IF(AM1302&lt;&gt;"",INDEX('Aub Demand'!Q:Q,MATCH($O1302,'Aub Demand'!$A:$A,0))-IF(AN1302="",0,AN1302)+AD1302+AL1302,INDEX('Aub Demand'!Q:Q,MATCH($O1302,'Aub Demand'!$A:$A,0))-IF(AN1302="",0,AN1302)+AD1302))),"")</f>
        <v>762</v>
      </c>
      <c r="Y1302" s="53">
        <f t="shared" si="564"/>
        <v>77.8</v>
      </c>
      <c r="Z1302" s="52">
        <f>IF(L1302="","",INDEX('Aub Demand'!H:H,MATCH($O1302,'Aub Demand'!$A:$A,0)))</f>
        <v>42</v>
      </c>
      <c r="AA1302" s="52" t="str">
        <f t="shared" si="565"/>
        <v>-spike-</v>
      </c>
      <c r="AB1302" s="52">
        <f>IFERROR(INDEX('Aub Demand'!L:L,MATCH($O1302,'Aub Demand'!$A:$A,0)),"")</f>
        <v>9</v>
      </c>
      <c r="AC1302" s="52">
        <f>IFERROR(IF(O1302="","",SUMIFS('CPL Mats'!F:F,'CPL Mats'!Q:Q,AR1302,'CPL Mats'!S:S,AS1302)),"")</f>
        <v>0</v>
      </c>
      <c r="AF1302" s="25" t="str">
        <f>IF(SUMIFS('Supp Consol'!S:S,'Supp Consol'!Y:Y,"Releasable",'Supp Consol'!A:A,O1302)=0,"",SUMIFS('Supp Consol'!S:S,'Supp Consol'!Y:Y,"Releasable",'Supp Consol'!A:A,O1302))</f>
        <v/>
      </c>
      <c r="AG1302" s="25">
        <f>IFERROR(INDEX('Hun Demand'!Q:Q,MATCH(O1302,'Hun Demand'!A:A,0)),"")</f>
        <v>1226</v>
      </c>
      <c r="AH1302" s="25">
        <f>IFERROR(INDEX('Hun Demand'!H:H,MATCH($O1302,'Hun Demand'!$A:$A,0)),"")</f>
        <v>0</v>
      </c>
      <c r="AI1302" s="25" t="str">
        <f>IF(SUMIFS('Supp Consol'!AA:AA,'Supp Consol'!Z:Z,"Expires this month",'Supp Consol'!A:A,O1302)=0,"",SUMIFS('Supp Consol'!AA:AA,'Supp Consol'!Z:Z,"Expires this month",'Supp Consol'!A:A,O1302))</f>
        <v/>
      </c>
      <c r="AJ1302" s="25" t="str">
        <f>IF(SUMIFS('Supp Consol'!AA:AA,'Supp Consol'!Z:Z,"Expired Previous Months",'Supp Consol'!A:A,O1302)=0,"",SUMIFS('Supp Consol'!AA:AA,'Supp Consol'!Z:Z,"Expired Previous Months",'Supp Consol'!A:A,O1302))</f>
        <v/>
      </c>
      <c r="AK1302" s="25" t="str">
        <f>IFERROR(INDEX('Hun Release Current'!B:B,MATCH(O1302,'Hun Release Current'!A:A,0)),"")</f>
        <v/>
      </c>
      <c r="AL1302" s="25" t="str">
        <f>IF(SUMIF('Prev Aub'!A:A,O1302,'Prev Aub'!B:B)=0,"",SUMIF('Prev Aub'!A:A,O1302,'Prev Aub'!B:B))</f>
        <v/>
      </c>
      <c r="AN1302" s="25" t="s">
        <v>3790</v>
      </c>
      <c r="AO1302" s="25" t="s">
        <v>3790</v>
      </c>
      <c r="AP1302" s="25">
        <f t="shared" si="566"/>
        <v>0</v>
      </c>
      <c r="AQ1302" s="151" t="str">
        <f>IF(SUMIFS('Supp Consol'!S:S,'Supp Consol'!A:A,O1302,'Supp Consol'!I:I,"PENDING")=0,"",SUMIFS('Supp Consol'!S:S,'Supp Consol'!A:A,O1302,'Supp Consol'!I:I,"PENDING"))</f>
        <v/>
      </c>
      <c r="AR1302" s="27" t="str">
        <f t="shared" si="567"/>
        <v>WC125</v>
      </c>
      <c r="AS1302" s="27" t="str">
        <f t="shared" si="568"/>
        <v>50</v>
      </c>
      <c r="AT1302" s="27" t="str">
        <f t="shared" si="569"/>
        <v/>
      </c>
      <c r="AU1302" s="27" t="str">
        <f t="shared" si="570"/>
        <v/>
      </c>
      <c r="AV1302" s="27" t="str">
        <f t="shared" si="571"/>
        <v/>
      </c>
      <c r="AW1302" s="27" t="str">
        <f t="shared" si="572"/>
        <v/>
      </c>
      <c r="AX1302" s="27" t="str">
        <f t="shared" si="573"/>
        <v/>
      </c>
      <c r="AY1302" s="27" t="str">
        <f t="shared" si="574"/>
        <v>WC125</v>
      </c>
      <c r="AZ1302" s="27" t="str">
        <f t="shared" si="575"/>
        <v/>
      </c>
      <c r="BA1302" s="27" t="str">
        <f t="shared" si="576"/>
        <v>Hun</v>
      </c>
      <c r="BB1302" s="27" t="str">
        <f t="shared" si="577"/>
        <v/>
      </c>
      <c r="BC1302" s="27" t="str">
        <f t="shared" si="578"/>
        <v/>
      </c>
      <c r="BD1302" s="27" t="str">
        <f t="shared" si="579"/>
        <v/>
      </c>
      <c r="BE1302" s="27" t="str">
        <f t="shared" si="580"/>
        <v/>
      </c>
      <c r="BF1302" s="27" t="str">
        <f t="shared" si="581"/>
        <v/>
      </c>
      <c r="BG1302" s="27" t="str">
        <f t="shared" si="582"/>
        <v/>
      </c>
      <c r="BH1302" s="27" t="str">
        <f t="shared" si="583"/>
        <v/>
      </c>
      <c r="BI1302" s="27" t="str">
        <f t="shared" si="584"/>
        <v/>
      </c>
      <c r="BJ1302" s="27" t="str">
        <f t="shared" si="585"/>
        <v>Supp or Hun</v>
      </c>
      <c r="BK1302" s="27" t="str">
        <f t="shared" si="586"/>
        <v/>
      </c>
      <c r="BL1302" s="27" t="str">
        <f t="shared" si="587"/>
        <v/>
      </c>
      <c r="BM1302" s="21" t="s">
        <v>5582</v>
      </c>
    </row>
    <row r="1303" spans="1:65" ht="15">
      <c r="A1303" s="25">
        <f>IFERROR(INDEX('Hun Demand'!W:W,MATCH(O1303,'Hun Demand'!A:A,0)),"")</f>
        <v>0</v>
      </c>
      <c r="B1303" s="25">
        <f>IFERROR(INDEX('Hun Demand'!V:V,MATCH(O1303,'Hun Demand'!A:A,0)),"")</f>
        <v>0</v>
      </c>
      <c r="C1303" s="25">
        <f>IFERROR(INDEX('Hun Demand'!U:U,MATCH(O1303,'Hun Demand'!A:A,0)),"")</f>
        <v>0</v>
      </c>
      <c r="D1303" s="25">
        <f>IFERROR(INDEX('Hun Demand'!T:T,MATCH(O1303,'Hun Demand'!A:A,0)),"")</f>
        <v>0</v>
      </c>
      <c r="E1303" s="25">
        <f>IFERROR(INDEX('Hun Demand'!S:S,MATCH(O1303,'Hun Demand'!A:A,0)),"")</f>
        <v>0</v>
      </c>
      <c r="F1303" s="25">
        <f>IFERROR(INDEX('Hun Demand'!R:R,MATCH(O1303,'Hun Demand'!A:A,0)),"")</f>
        <v>0</v>
      </c>
      <c r="G1303" s="25">
        <f>IFERROR(INDEX('Aub Demand'!W:W,MATCH(O1303,'Aub Demand'!A:A,0)),"")</f>
        <v>0</v>
      </c>
      <c r="H1303" s="25">
        <f>IFERROR(INDEX('Aub Demand'!V:V,MATCH(O1303,'Aub Demand'!A:A,0)),"")</f>
        <v>0</v>
      </c>
      <c r="I1303" s="25">
        <f>IFERROR(INDEX('Aub Demand'!U:U,MATCH(O1303,'Aub Demand'!A:A,0)),"")</f>
        <v>0</v>
      </c>
      <c r="J1303" s="25">
        <f>IFERROR(INDEX('Aub Demand'!T:T,MATCH(O1303,'Aub Demand'!A:A,0)),"")</f>
        <v>0</v>
      </c>
      <c r="K1303" s="25">
        <f>IFERROR(INDEX('Aub Demand'!S:S,MATCH(O1303,'Aub Demand'!A:A,0)),"")</f>
        <v>0</v>
      </c>
      <c r="L1303" s="25">
        <f>IFERROR(INDEX('Aub Demand'!R:R,MATCH(O1303,'Aub Demand'!A:A,0)),"")</f>
        <v>0</v>
      </c>
      <c r="O1303" s="27" t="s">
        <v>1613</v>
      </c>
      <c r="P1303" s="27" t="str">
        <f>IFERROR(INDEX('Aub Demand'!B:B,MATCH($O1303,'Aub Demand'!$A:$A,0)),"")</f>
        <v>IWANTOO SAVATRE</v>
      </c>
      <c r="Q1303" s="27" t="str">
        <f>IFERROR(INDEX('Aub Demand'!C:C,MATCH($O1303,'Aub Demand'!$A:$A,0)),"")</f>
        <v>SCHAT</v>
      </c>
      <c r="R1303" s="52">
        <f>IFERROR(IF(AR1304=AR1303,INDEX('Aub Demand'!K:K,MATCH($O1303,'Aub Demand'!$A:$A,0))-IF(AN1303="",0,AN1303)+AP1304,INDEX('Aub Demand'!K:K,MATCH($O1303,'Aub Demand'!$A:$A,0))-IF(AN1303="",0,AN1303)),"")</f>
        <v>427</v>
      </c>
      <c r="S1303" s="53" t="str">
        <f t="shared" si="560"/>
        <v>n/a</v>
      </c>
      <c r="T1303" s="52" t="str">
        <f t="shared" si="561"/>
        <v/>
      </c>
      <c r="U1303" s="52">
        <f>IFERROR(IF(AR1304=AR1303,INDEX('Aub Demand'!Q:Q,MATCH($O1303,'Aub Demand'!$A:$A,0))-IF(AN1303="",0,AN1303)+AP1304,INDEX('Aub Demand'!Q:Q,MATCH($O1303,'Aub Demand'!$A:$A,0))-IF(AN1303="",0,AN1303)),"")</f>
        <v>427</v>
      </c>
      <c r="V1303" s="53" t="str">
        <f t="shared" si="562"/>
        <v>n/a</v>
      </c>
      <c r="W1303" s="52" t="str">
        <f t="shared" si="563"/>
        <v/>
      </c>
      <c r="X1303" s="52">
        <f>IFERROR(IF(AND(AR1304=AR1303,AM1303&lt;&gt;""),INDEX('Aub Demand'!Q:Q,MATCH($O1303,'Aub Demand'!$A:$A,0))-IF(AN1303="",0,AN1303)+AP1304+AD1303+AL1303,IF(AR1304=AR1303,INDEX('Aub Demand'!Q:Q,MATCH($O1303,'Aub Demand'!$A:$A,0))-IF(AN1303="",0,AN1303)+AP1304+AD1303,IF(AM1303&lt;&gt;"",INDEX('Aub Demand'!Q:Q,MATCH($O1303,'Aub Demand'!$A:$A,0))-IF(AN1303="",0,AN1303)+AD1303+AL1303,INDEX('Aub Demand'!Q:Q,MATCH($O1303,'Aub Demand'!$A:$A,0))-IF(AN1303="",0,AN1303)+AD1303))),"")</f>
        <v>427</v>
      </c>
      <c r="Y1303" s="53" t="str">
        <f t="shared" si="564"/>
        <v>n/a</v>
      </c>
      <c r="Z1303" s="52">
        <f>IF(L1303="","",INDEX('Aub Demand'!H:H,MATCH($O1303,'Aub Demand'!$A:$A,0)))</f>
        <v>0</v>
      </c>
      <c r="AA1303" s="52" t="str">
        <f t="shared" si="565"/>
        <v>-spike-</v>
      </c>
      <c r="AB1303" s="52">
        <f>IFERROR(INDEX('Aub Demand'!L:L,MATCH($O1303,'Aub Demand'!$A:$A,0)),"")</f>
        <v>6</v>
      </c>
      <c r="AC1303" s="52">
        <f>IFERROR(IF(O1303="","",SUMIFS('CPL Mats'!F:F,'CPL Mats'!Q:Q,AR1303,'CPL Mats'!S:S,AS1303)),"")</f>
        <v>0</v>
      </c>
      <c r="AF1303" s="25" t="str">
        <f>IF(SUMIFS('Supp Consol'!S:S,'Supp Consol'!Y:Y,"Releasable",'Supp Consol'!A:A,O1303)=0,"",SUMIFS('Supp Consol'!S:S,'Supp Consol'!Y:Y,"Releasable",'Supp Consol'!A:A,O1303))</f>
        <v/>
      </c>
      <c r="AG1303" s="25">
        <f>IFERROR(INDEX('Hun Demand'!Q:Q,MATCH(O1303,'Hun Demand'!A:A,0)),"")</f>
        <v>266</v>
      </c>
      <c r="AH1303" s="25">
        <f>IFERROR(INDEX('Hun Demand'!H:H,MATCH($O1303,'Hun Demand'!$A:$A,0)),"")</f>
        <v>0</v>
      </c>
      <c r="AI1303" s="25" t="str">
        <f>IF(SUMIFS('Supp Consol'!AA:AA,'Supp Consol'!Z:Z,"Expires this month",'Supp Consol'!A:A,O1303)=0,"",SUMIFS('Supp Consol'!AA:AA,'Supp Consol'!Z:Z,"Expires this month",'Supp Consol'!A:A,O1303))</f>
        <v/>
      </c>
      <c r="AJ1303" s="25" t="str">
        <f>IF(SUMIFS('Supp Consol'!AA:AA,'Supp Consol'!Z:Z,"Expired Previous Months",'Supp Consol'!A:A,O1303)=0,"",SUMIFS('Supp Consol'!AA:AA,'Supp Consol'!Z:Z,"Expired Previous Months",'Supp Consol'!A:A,O1303))</f>
        <v/>
      </c>
      <c r="AK1303" s="25" t="str">
        <f>IFERROR(INDEX('Hun Release Current'!B:B,MATCH(O1303,'Hun Release Current'!A:A,0)),"")</f>
        <v/>
      </c>
      <c r="AL1303" s="25" t="str">
        <f>IF(SUMIF('Prev Aub'!A:A,O1303,'Prev Aub'!B:B)=0,"",SUMIF('Prev Aub'!A:A,O1303,'Prev Aub'!B:B))</f>
        <v/>
      </c>
      <c r="AN1303" s="25" t="s">
        <v>3790</v>
      </c>
      <c r="AO1303" s="25" t="s">
        <v>3790</v>
      </c>
      <c r="AP1303" s="25">
        <f t="shared" si="566"/>
        <v>0</v>
      </c>
      <c r="AQ1303" s="151" t="str">
        <f>IF(SUMIFS('Supp Consol'!S:S,'Supp Consol'!A:A,O1303,'Supp Consol'!I:I,"PENDING")=0,"",SUMIFS('Supp Consol'!S:S,'Supp Consol'!A:A,O1303,'Supp Consol'!I:I,"PENDING"))</f>
        <v/>
      </c>
      <c r="AR1303" s="27" t="str">
        <f t="shared" si="567"/>
        <v>WC125</v>
      </c>
      <c r="AS1303" s="27" t="str">
        <f t="shared" si="568"/>
        <v>62</v>
      </c>
      <c r="AT1303" s="27" t="str">
        <f t="shared" si="569"/>
        <v/>
      </c>
      <c r="AU1303" s="27" t="str">
        <f t="shared" si="570"/>
        <v/>
      </c>
      <c r="AV1303" s="27" t="str">
        <f t="shared" si="571"/>
        <v/>
      </c>
      <c r="AW1303" s="27" t="str">
        <f t="shared" si="572"/>
        <v/>
      </c>
      <c r="AX1303" s="27" t="str">
        <f t="shared" si="573"/>
        <v/>
      </c>
      <c r="AY1303" s="27" t="str">
        <f t="shared" si="574"/>
        <v>WC125</v>
      </c>
      <c r="AZ1303" s="27" t="str">
        <f t="shared" si="575"/>
        <v/>
      </c>
      <c r="BA1303" s="27" t="str">
        <f t="shared" si="576"/>
        <v>Hun</v>
      </c>
      <c r="BB1303" s="27" t="str">
        <f t="shared" si="577"/>
        <v/>
      </c>
      <c r="BC1303" s="27" t="str">
        <f t="shared" si="578"/>
        <v/>
      </c>
      <c r="BD1303" s="27" t="str">
        <f t="shared" si="579"/>
        <v/>
      </c>
      <c r="BE1303" s="27" t="str">
        <f t="shared" si="580"/>
        <v/>
      </c>
      <c r="BF1303" s="27" t="str">
        <f t="shared" si="581"/>
        <v/>
      </c>
      <c r="BG1303" s="27" t="str">
        <f t="shared" si="582"/>
        <v/>
      </c>
      <c r="BH1303" s="27" t="str">
        <f t="shared" si="583"/>
        <v/>
      </c>
      <c r="BI1303" s="27" t="str">
        <f t="shared" si="584"/>
        <v/>
      </c>
      <c r="BJ1303" s="27" t="str">
        <f t="shared" si="585"/>
        <v>Supp or Hun</v>
      </c>
      <c r="BK1303" s="27" t="str">
        <f t="shared" si="586"/>
        <v/>
      </c>
      <c r="BL1303" s="27" t="str">
        <f t="shared" si="587"/>
        <v/>
      </c>
      <c r="BM1303" s="21" t="s">
        <v>5582</v>
      </c>
    </row>
    <row r="1304" spans="1:65" ht="15">
      <c r="A1304" s="25">
        <f>IFERROR(INDEX('Hun Demand'!W:W,MATCH(O1304,'Hun Demand'!A:A,0)),"")</f>
        <v>227</v>
      </c>
      <c r="B1304" s="25">
        <f>IFERROR(INDEX('Hun Demand'!V:V,MATCH(O1304,'Hun Demand'!A:A,0)),"")</f>
        <v>812</v>
      </c>
      <c r="C1304" s="25">
        <f>IFERROR(INDEX('Hun Demand'!U:U,MATCH(O1304,'Hun Demand'!A:A,0)),"")</f>
        <v>0</v>
      </c>
      <c r="D1304" s="25">
        <f>IFERROR(INDEX('Hun Demand'!T:T,MATCH(O1304,'Hun Demand'!A:A,0)),"")</f>
        <v>0</v>
      </c>
      <c r="E1304" s="25">
        <f>IFERROR(INDEX('Hun Demand'!S:S,MATCH(O1304,'Hun Demand'!A:A,0)),"")</f>
        <v>0</v>
      </c>
      <c r="F1304" s="25">
        <f>IFERROR(INDEX('Hun Demand'!R:R,MATCH(O1304,'Hun Demand'!A:A,0)),"")</f>
        <v>0</v>
      </c>
      <c r="G1304" s="25">
        <f>IFERROR(INDEX('Aub Demand'!W:W,MATCH(O1304,'Aub Demand'!A:A,0)),"")</f>
        <v>194</v>
      </c>
      <c r="H1304" s="25">
        <f>IFERROR(INDEX('Aub Demand'!V:V,MATCH(O1304,'Aub Demand'!A:A,0)),"")</f>
        <v>7</v>
      </c>
      <c r="I1304" s="25">
        <f>IFERROR(INDEX('Aub Demand'!U:U,MATCH(O1304,'Aub Demand'!A:A,0)),"")</f>
        <v>0</v>
      </c>
      <c r="J1304" s="25">
        <f>IFERROR(INDEX('Aub Demand'!T:T,MATCH(O1304,'Aub Demand'!A:A,0)),"")</f>
        <v>10</v>
      </c>
      <c r="K1304" s="25">
        <f>IFERROR(INDEX('Aub Demand'!S:S,MATCH(O1304,'Aub Demand'!A:A,0)),"")</f>
        <v>0</v>
      </c>
      <c r="L1304" s="25">
        <f>IFERROR(INDEX('Aub Demand'!R:R,MATCH(O1304,'Aub Demand'!A:A,0)),"")</f>
        <v>0</v>
      </c>
      <c r="O1304" s="27" t="s">
        <v>1614</v>
      </c>
      <c r="P1304" s="27" t="str">
        <f>IFERROR(INDEX('Aub Demand'!B:B,MATCH($O1304,'Aub Demand'!$A:$A,0)),"")</f>
        <v>WB CHERRY</v>
      </c>
      <c r="Q1304" s="27" t="str">
        <f>IFERROR(INDEX('Aub Demand'!C:C,MATCH($O1304,'Aub Demand'!$A:$A,0)),"")</f>
        <v>INTER</v>
      </c>
      <c r="R1304" s="52">
        <f>IFERROR(IF(AR1305=AR1304,INDEX('Aub Demand'!K:K,MATCH($O1304,'Aub Demand'!$A:$A,0))-IF(AN1304="",0,AN1304)+AP1305,INDEX('Aub Demand'!K:K,MATCH($O1304,'Aub Demand'!$A:$A,0))-IF(AN1304="",0,AN1304)),"")</f>
        <v>650</v>
      </c>
      <c r="S1304" s="53">
        <f t="shared" si="560"/>
        <v>928.6</v>
      </c>
      <c r="T1304" s="52" t="str">
        <f t="shared" si="561"/>
        <v/>
      </c>
      <c r="U1304" s="52">
        <f>IFERROR(IF(AR1305=AR1304,INDEX('Aub Demand'!Q:Q,MATCH($O1304,'Aub Demand'!$A:$A,0))-IF(AN1304="",0,AN1304)+AP1305,INDEX('Aub Demand'!Q:Q,MATCH($O1304,'Aub Demand'!$A:$A,0))-IF(AN1304="",0,AN1304)),"")</f>
        <v>650</v>
      </c>
      <c r="V1304" s="53">
        <f t="shared" si="562"/>
        <v>928.6</v>
      </c>
      <c r="W1304" s="52" t="str">
        <f t="shared" si="563"/>
        <v/>
      </c>
      <c r="X1304" s="52">
        <f>IFERROR(IF(AND(AR1305=AR1304,AM1304&lt;&gt;""),INDEX('Aub Demand'!Q:Q,MATCH($O1304,'Aub Demand'!$A:$A,0))-IF(AN1304="",0,AN1304)+AP1305+AD1304+AL1304,IF(AR1305=AR1304,INDEX('Aub Demand'!Q:Q,MATCH($O1304,'Aub Demand'!$A:$A,0))-IF(AN1304="",0,AN1304)+AP1305+AD1304,IF(AM1304&lt;&gt;"",INDEX('Aub Demand'!Q:Q,MATCH($O1304,'Aub Demand'!$A:$A,0))-IF(AN1304="",0,AN1304)+AD1304+AL1304,INDEX('Aub Demand'!Q:Q,MATCH($O1304,'Aub Demand'!$A:$A,0))-IF(AN1304="",0,AN1304)+AD1304))),"")</f>
        <v>650</v>
      </c>
      <c r="Y1304" s="53">
        <f t="shared" si="564"/>
        <v>928.6</v>
      </c>
      <c r="Z1304" s="52">
        <f>IF(L1304="","",INDEX('Aub Demand'!H:H,MATCH($O1304,'Aub Demand'!$A:$A,0)))</f>
        <v>3</v>
      </c>
      <c r="AA1304" s="52" t="str">
        <f t="shared" si="565"/>
        <v>-spike-</v>
      </c>
      <c r="AB1304" s="52">
        <f>IFERROR(INDEX('Aub Demand'!L:L,MATCH($O1304,'Aub Demand'!$A:$A,0)),"")</f>
        <v>2</v>
      </c>
      <c r="AC1304" s="52">
        <f>IFERROR(IF(O1304="","",SUMIFS('CPL Mats'!F:F,'CPL Mats'!Q:Q,AR1304,'CPL Mats'!S:S,AS1304)),"")</f>
        <v>0</v>
      </c>
      <c r="AF1304" s="25" t="str">
        <f>IF(SUMIFS('Supp Consol'!S:S,'Supp Consol'!Y:Y,"Releasable",'Supp Consol'!A:A,O1304)=0,"",SUMIFS('Supp Consol'!S:S,'Supp Consol'!Y:Y,"Releasable",'Supp Consol'!A:A,O1304))</f>
        <v/>
      </c>
      <c r="AG1304" s="25">
        <f>IFERROR(INDEX('Hun Demand'!Q:Q,MATCH(O1304,'Hun Demand'!A:A,0)),"")</f>
        <v>-233</v>
      </c>
      <c r="AH1304" s="25">
        <f>IFERROR(INDEX('Hun Demand'!H:H,MATCH($O1304,'Hun Demand'!$A:$A,0)),"")</f>
        <v>0</v>
      </c>
      <c r="AI1304" s="25" t="str">
        <f>IF(SUMIFS('Supp Consol'!AA:AA,'Supp Consol'!Z:Z,"Expires this month",'Supp Consol'!A:A,O1304)=0,"",SUMIFS('Supp Consol'!AA:AA,'Supp Consol'!Z:Z,"Expires this month",'Supp Consol'!A:A,O1304))</f>
        <v/>
      </c>
      <c r="AJ1304" s="25" t="str">
        <f>IF(SUMIFS('Supp Consol'!AA:AA,'Supp Consol'!Z:Z,"Expired Previous Months",'Supp Consol'!A:A,O1304)=0,"",SUMIFS('Supp Consol'!AA:AA,'Supp Consol'!Z:Z,"Expired Previous Months",'Supp Consol'!A:A,O1304))</f>
        <v/>
      </c>
      <c r="AK1304" s="25" t="str">
        <f>IFERROR(INDEX('Hun Release Current'!B:B,MATCH(O1304,'Hun Release Current'!A:A,0)),"")</f>
        <v/>
      </c>
      <c r="AL1304" s="25" t="str">
        <f>IF(SUMIF('Prev Aub'!A:A,O1304,'Prev Aub'!B:B)=0,"",SUMIF('Prev Aub'!A:A,O1304,'Prev Aub'!B:B))</f>
        <v/>
      </c>
      <c r="AN1304" s="25" t="s">
        <v>3790</v>
      </c>
      <c r="AO1304" s="25" t="s">
        <v>3790</v>
      </c>
      <c r="AP1304" s="25">
        <f t="shared" si="566"/>
        <v>0</v>
      </c>
      <c r="AQ1304" s="151">
        <f>IF(SUMIFS('Supp Consol'!S:S,'Supp Consol'!A:A,O1304,'Supp Consol'!I:I,"PENDING")=0,"",SUMIFS('Supp Consol'!S:S,'Supp Consol'!A:A,O1304,'Supp Consol'!I:I,"PENDING"))</f>
        <v>4456</v>
      </c>
      <c r="AR1304" s="27" t="str">
        <f t="shared" si="567"/>
        <v>WC135</v>
      </c>
      <c r="AS1304" s="27" t="str">
        <f t="shared" si="568"/>
        <v>50</v>
      </c>
      <c r="AT1304" s="27" t="str">
        <f t="shared" si="569"/>
        <v/>
      </c>
      <c r="AU1304" s="27" t="str">
        <f t="shared" si="570"/>
        <v/>
      </c>
      <c r="AV1304" s="27" t="str">
        <f t="shared" si="571"/>
        <v/>
      </c>
      <c r="AW1304" s="27" t="str">
        <f t="shared" si="572"/>
        <v/>
      </c>
      <c r="AX1304" s="27" t="str">
        <f t="shared" si="573"/>
        <v/>
      </c>
      <c r="AY1304" s="27" t="str">
        <f t="shared" si="574"/>
        <v/>
      </c>
      <c r="AZ1304" s="27" t="str">
        <f t="shared" si="575"/>
        <v/>
      </c>
      <c r="BA1304" s="27" t="str">
        <f t="shared" si="576"/>
        <v>Hun</v>
      </c>
      <c r="BB1304" s="27" t="str">
        <f t="shared" si="577"/>
        <v/>
      </c>
      <c r="BC1304" s="27" t="str">
        <f t="shared" si="578"/>
        <v/>
      </c>
      <c r="BD1304" s="27" t="str">
        <f t="shared" si="579"/>
        <v/>
      </c>
      <c r="BE1304" s="27" t="str">
        <f t="shared" si="580"/>
        <v/>
      </c>
      <c r="BF1304" s="27" t="str">
        <f t="shared" si="581"/>
        <v/>
      </c>
      <c r="BG1304" s="27" t="str">
        <f t="shared" si="582"/>
        <v/>
      </c>
      <c r="BH1304" s="27" t="str">
        <f t="shared" si="583"/>
        <v/>
      </c>
      <c r="BI1304" s="27" t="str">
        <f t="shared" si="584"/>
        <v/>
      </c>
      <c r="BJ1304" s="27" t="str">
        <f t="shared" si="585"/>
        <v>Supp or Hun</v>
      </c>
      <c r="BK1304" s="27" t="str">
        <f t="shared" si="586"/>
        <v/>
      </c>
      <c r="BL1304" s="27" t="str">
        <f t="shared" si="587"/>
        <v/>
      </c>
      <c r="BM1304" s="21" t="s">
        <v>5582</v>
      </c>
    </row>
    <row r="1305" spans="1:65" ht="15">
      <c r="A1305" s="25">
        <f>IFERROR(INDEX('Hun Demand'!W:W,MATCH(O1305,'Hun Demand'!A:A,0)),"")</f>
        <v>174</v>
      </c>
      <c r="B1305" s="25">
        <f>IFERROR(INDEX('Hun Demand'!V:V,MATCH(O1305,'Hun Demand'!A:A,0)),"")</f>
        <v>418</v>
      </c>
      <c r="C1305" s="25">
        <f>IFERROR(INDEX('Hun Demand'!U:U,MATCH(O1305,'Hun Demand'!A:A,0)),"")</f>
        <v>0</v>
      </c>
      <c r="D1305" s="25">
        <f>IFERROR(INDEX('Hun Demand'!T:T,MATCH(O1305,'Hun Demand'!A:A,0)),"")</f>
        <v>0</v>
      </c>
      <c r="E1305" s="25">
        <f>IFERROR(INDEX('Hun Demand'!S:S,MATCH(O1305,'Hun Demand'!A:A,0)),"")</f>
        <v>0</v>
      </c>
      <c r="F1305" s="25">
        <f>IFERROR(INDEX('Hun Demand'!R:R,MATCH(O1305,'Hun Demand'!A:A,0)),"")</f>
        <v>0</v>
      </c>
      <c r="G1305" s="25">
        <f>IFERROR(INDEX('Aub Demand'!W:W,MATCH(O1305,'Aub Demand'!A:A,0)),"")</f>
        <v>9</v>
      </c>
      <c r="H1305" s="25">
        <f>IFERROR(INDEX('Aub Demand'!V:V,MATCH(O1305,'Aub Demand'!A:A,0)),"")</f>
        <v>0</v>
      </c>
      <c r="I1305" s="25">
        <f>IFERROR(INDEX('Aub Demand'!U:U,MATCH(O1305,'Aub Demand'!A:A,0)),"")</f>
        <v>11</v>
      </c>
      <c r="J1305" s="25">
        <f>IFERROR(INDEX('Aub Demand'!T:T,MATCH(O1305,'Aub Demand'!A:A,0)),"")</f>
        <v>0</v>
      </c>
      <c r="K1305" s="25">
        <f>IFERROR(INDEX('Aub Demand'!S:S,MATCH(O1305,'Aub Demand'!A:A,0)),"")</f>
        <v>0</v>
      </c>
      <c r="L1305" s="25">
        <f>IFERROR(INDEX('Aub Demand'!R:R,MATCH(O1305,'Aub Demand'!A:A,0)),"")</f>
        <v>0</v>
      </c>
      <c r="O1305" s="27" t="s">
        <v>1617</v>
      </c>
      <c r="P1305" s="27" t="str">
        <f>IFERROR(INDEX('Aub Demand'!B:B,MATCH($O1305,'Aub Demand'!$A:$A,0)),"")</f>
        <v>WB CHERRY</v>
      </c>
      <c r="Q1305" s="27" t="str">
        <f>IFERROR(INDEX('Aub Demand'!C:C,MATCH($O1305,'Aub Demand'!$A:$A,0)),"")</f>
        <v>INTER</v>
      </c>
      <c r="R1305" s="52">
        <f>IFERROR(IF(AR1306=AR1305,INDEX('Aub Demand'!K:K,MATCH($O1305,'Aub Demand'!$A:$A,0))-IF(AN1305="",0,AN1305)+AP1306,INDEX('Aub Demand'!K:K,MATCH($O1305,'Aub Demand'!$A:$A,0))-IF(AN1305="",0,AN1305)),"")</f>
        <v>573</v>
      </c>
      <c r="S1305" s="53">
        <f t="shared" si="560"/>
        <v>613.9</v>
      </c>
      <c r="T1305" s="52" t="str">
        <f t="shared" si="561"/>
        <v/>
      </c>
      <c r="U1305" s="52">
        <f>IFERROR(IF(AR1306=AR1305,INDEX('Aub Demand'!Q:Q,MATCH($O1305,'Aub Demand'!$A:$A,0))-IF(AN1305="",0,AN1305)+AP1306,INDEX('Aub Demand'!Q:Q,MATCH($O1305,'Aub Demand'!$A:$A,0))-IF(AN1305="",0,AN1305)),"")</f>
        <v>573</v>
      </c>
      <c r="V1305" s="53">
        <f t="shared" si="562"/>
        <v>613.9</v>
      </c>
      <c r="W1305" s="52" t="str">
        <f t="shared" si="563"/>
        <v/>
      </c>
      <c r="X1305" s="52">
        <f>IFERROR(IF(AND(AR1306=AR1305,AM1305&lt;&gt;""),INDEX('Aub Demand'!Q:Q,MATCH($O1305,'Aub Demand'!$A:$A,0))-IF(AN1305="",0,AN1305)+AP1306+AD1305+AL1305,IF(AR1306=AR1305,INDEX('Aub Demand'!Q:Q,MATCH($O1305,'Aub Demand'!$A:$A,0))-IF(AN1305="",0,AN1305)+AP1306+AD1305,IF(AM1305&lt;&gt;"",INDEX('Aub Demand'!Q:Q,MATCH($O1305,'Aub Demand'!$A:$A,0))-IF(AN1305="",0,AN1305)+AD1305+AL1305,INDEX('Aub Demand'!Q:Q,MATCH($O1305,'Aub Demand'!$A:$A,0))-IF(AN1305="",0,AN1305)+AD1305))),"")</f>
        <v>573</v>
      </c>
      <c r="Y1305" s="53">
        <f t="shared" si="564"/>
        <v>613.9</v>
      </c>
      <c r="Z1305" s="52">
        <f>IF(L1305="","",INDEX('Aub Demand'!H:H,MATCH($O1305,'Aub Demand'!$A:$A,0)))</f>
        <v>4</v>
      </c>
      <c r="AA1305" s="52" t="str">
        <f t="shared" si="565"/>
        <v>-spike-</v>
      </c>
      <c r="AB1305" s="52">
        <f>IFERROR(INDEX('Aub Demand'!L:L,MATCH($O1305,'Aub Demand'!$A:$A,0)),"")</f>
        <v>5</v>
      </c>
      <c r="AC1305" s="52">
        <f>IFERROR(IF(O1305="","",SUMIFS('CPL Mats'!F:F,'CPL Mats'!Q:Q,AR1305,'CPL Mats'!S:S,AS1305)),"")</f>
        <v>0</v>
      </c>
      <c r="AF1305" s="25" t="str">
        <f>IF(SUMIFS('Supp Consol'!S:S,'Supp Consol'!Y:Y,"Releasable",'Supp Consol'!A:A,O1305)=0,"",SUMIFS('Supp Consol'!S:S,'Supp Consol'!Y:Y,"Releasable",'Supp Consol'!A:A,O1305))</f>
        <v/>
      </c>
      <c r="AG1305" s="25">
        <f>IFERROR(INDEX('Hun Demand'!Q:Q,MATCH(O1305,'Hun Demand'!A:A,0)),"")</f>
        <v>514</v>
      </c>
      <c r="AH1305" s="25">
        <f>IFERROR(INDEX('Hun Demand'!H:H,MATCH($O1305,'Hun Demand'!$A:$A,0)),"")</f>
        <v>0</v>
      </c>
      <c r="AI1305" s="25" t="str">
        <f>IF(SUMIFS('Supp Consol'!AA:AA,'Supp Consol'!Z:Z,"Expires this month",'Supp Consol'!A:A,O1305)=0,"",SUMIFS('Supp Consol'!AA:AA,'Supp Consol'!Z:Z,"Expires this month",'Supp Consol'!A:A,O1305))</f>
        <v/>
      </c>
      <c r="AJ1305" s="25" t="str">
        <f>IF(SUMIFS('Supp Consol'!AA:AA,'Supp Consol'!Z:Z,"Expired Previous Months",'Supp Consol'!A:A,O1305)=0,"",SUMIFS('Supp Consol'!AA:AA,'Supp Consol'!Z:Z,"Expired Previous Months",'Supp Consol'!A:A,O1305))</f>
        <v/>
      </c>
      <c r="AK1305" s="25" t="str">
        <f>IFERROR(INDEX('Hun Release Current'!B:B,MATCH(O1305,'Hun Release Current'!A:A,0)),"")</f>
        <v/>
      </c>
      <c r="AL1305" s="25" t="str">
        <f>IF(SUMIF('Prev Aub'!A:A,O1305,'Prev Aub'!B:B)=0,"",SUMIF('Prev Aub'!A:A,O1305,'Prev Aub'!B:B))</f>
        <v/>
      </c>
      <c r="AN1305" s="25" t="s">
        <v>3790</v>
      </c>
      <c r="AO1305" s="25" t="s">
        <v>3790</v>
      </c>
      <c r="AP1305" s="25">
        <f t="shared" si="566"/>
        <v>0</v>
      </c>
      <c r="AQ1305" s="151">
        <f>IF(SUMIFS('Supp Consol'!S:S,'Supp Consol'!A:A,O1305,'Supp Consol'!I:I,"PENDING")=0,"",SUMIFS('Supp Consol'!S:S,'Supp Consol'!A:A,O1305,'Supp Consol'!I:I,"PENDING"))</f>
        <v>3765</v>
      </c>
      <c r="AR1305" s="27" t="str">
        <f t="shared" si="567"/>
        <v>WC135</v>
      </c>
      <c r="AS1305" s="27" t="str">
        <f t="shared" si="568"/>
        <v>62</v>
      </c>
      <c r="AT1305" s="27" t="str">
        <f t="shared" si="569"/>
        <v/>
      </c>
      <c r="AU1305" s="27" t="str">
        <f t="shared" si="570"/>
        <v/>
      </c>
      <c r="AV1305" s="27" t="str">
        <f t="shared" si="571"/>
        <v/>
      </c>
      <c r="AW1305" s="27" t="str">
        <f t="shared" si="572"/>
        <v/>
      </c>
      <c r="AX1305" s="27" t="str">
        <f t="shared" si="573"/>
        <v/>
      </c>
      <c r="AY1305" s="27" t="str">
        <f t="shared" si="574"/>
        <v>WC135</v>
      </c>
      <c r="AZ1305" s="27" t="str">
        <f t="shared" si="575"/>
        <v/>
      </c>
      <c r="BA1305" s="27" t="str">
        <f t="shared" si="576"/>
        <v>Hun</v>
      </c>
      <c r="BB1305" s="27" t="str">
        <f t="shared" si="577"/>
        <v/>
      </c>
      <c r="BC1305" s="27" t="str">
        <f t="shared" si="578"/>
        <v/>
      </c>
      <c r="BD1305" s="27" t="str">
        <f t="shared" si="579"/>
        <v/>
      </c>
      <c r="BE1305" s="27" t="str">
        <f t="shared" si="580"/>
        <v/>
      </c>
      <c r="BF1305" s="27" t="str">
        <f t="shared" si="581"/>
        <v/>
      </c>
      <c r="BG1305" s="27" t="str">
        <f t="shared" si="582"/>
        <v/>
      </c>
      <c r="BH1305" s="27" t="str">
        <f t="shared" si="583"/>
        <v/>
      </c>
      <c r="BI1305" s="27" t="str">
        <f t="shared" si="584"/>
        <v/>
      </c>
      <c r="BJ1305" s="27" t="str">
        <f t="shared" si="585"/>
        <v>Supp or Hun</v>
      </c>
      <c r="BK1305" s="27" t="str">
        <f t="shared" si="586"/>
        <v/>
      </c>
      <c r="BL1305" s="27" t="str">
        <f t="shared" si="587"/>
        <v/>
      </c>
      <c r="BM1305" s="21" t="s">
        <v>5582</v>
      </c>
    </row>
    <row r="1306" spans="1:65" ht="15">
      <c r="A1306" s="25" t="str">
        <f>IFERROR(INDEX('Hun Demand'!W:W,MATCH(O1306,'Hun Demand'!A:A,0)),"")</f>
        <v/>
      </c>
      <c r="B1306" s="25" t="str">
        <f>IFERROR(INDEX('Hun Demand'!V:V,MATCH(O1306,'Hun Demand'!A:A,0)),"")</f>
        <v/>
      </c>
      <c r="C1306" s="25" t="str">
        <f>IFERROR(INDEX('Hun Demand'!U:U,MATCH(O1306,'Hun Demand'!A:A,0)),"")</f>
        <v/>
      </c>
      <c r="D1306" s="25" t="str">
        <f>IFERROR(INDEX('Hun Demand'!T:T,MATCH(O1306,'Hun Demand'!A:A,0)),"")</f>
        <v/>
      </c>
      <c r="E1306" s="25" t="str">
        <f>IFERROR(INDEX('Hun Demand'!S:S,MATCH(O1306,'Hun Demand'!A:A,0)),"")</f>
        <v/>
      </c>
      <c r="F1306" s="25" t="str">
        <f>IFERROR(INDEX('Hun Demand'!R:R,MATCH(O1306,'Hun Demand'!A:A,0)),"")</f>
        <v/>
      </c>
      <c r="G1306" s="25">
        <f>IFERROR(INDEX('Aub Demand'!W:W,MATCH(O1306,'Aub Demand'!A:A,0)),"")</f>
        <v>0</v>
      </c>
      <c r="H1306" s="25">
        <f>IFERROR(INDEX('Aub Demand'!V:V,MATCH(O1306,'Aub Demand'!A:A,0)),"")</f>
        <v>0</v>
      </c>
      <c r="I1306" s="25">
        <f>IFERROR(INDEX('Aub Demand'!U:U,MATCH(O1306,'Aub Demand'!A:A,0)),"")</f>
        <v>0</v>
      </c>
      <c r="J1306" s="25">
        <f>IFERROR(INDEX('Aub Demand'!T:T,MATCH(O1306,'Aub Demand'!A:A,0)),"")</f>
        <v>0</v>
      </c>
      <c r="K1306" s="25">
        <f>IFERROR(INDEX('Aub Demand'!S:S,MATCH(O1306,'Aub Demand'!A:A,0)),"")</f>
        <v>0</v>
      </c>
      <c r="L1306" s="25">
        <f>IFERROR(INDEX('Aub Demand'!R:R,MATCH(O1306,'Aub Demand'!A:A,0)),"")</f>
        <v>0</v>
      </c>
      <c r="O1306" s="27" t="s">
        <v>2925</v>
      </c>
      <c r="P1306" s="27" t="str">
        <f>IFERROR(INDEX('Aub Demand'!B:B,MATCH($O1306,'Aub Demand'!$A:$A,0)),"")</f>
        <v>NORSE CHERRY</v>
      </c>
      <c r="Q1306" s="27" t="str">
        <f>IFERROR(INDEX('Aub Demand'!C:C,MATCH($O1306,'Aub Demand'!$A:$A,0)),"")</f>
        <v>TOPPA</v>
      </c>
      <c r="R1306" s="52">
        <f>IFERROR(IF(AR1307=AR1306,INDEX('Aub Demand'!K:K,MATCH($O1306,'Aub Demand'!$A:$A,0))-IF(AN1306="",0,AN1306)+AP1307,INDEX('Aub Demand'!K:K,MATCH($O1306,'Aub Demand'!$A:$A,0))-IF(AN1306="",0,AN1306)),"")</f>
        <v>2470</v>
      </c>
      <c r="S1306" s="53" t="str">
        <f t="shared" si="560"/>
        <v>n/a</v>
      </c>
      <c r="T1306" s="52" t="str">
        <f t="shared" si="561"/>
        <v/>
      </c>
      <c r="U1306" s="52">
        <f>IFERROR(IF(AR1307=AR1306,INDEX('Aub Demand'!Q:Q,MATCH($O1306,'Aub Demand'!$A:$A,0))-IF(AN1306="",0,AN1306)+AP1307,INDEX('Aub Demand'!Q:Q,MATCH($O1306,'Aub Demand'!$A:$A,0))-IF(AN1306="",0,AN1306)),"")</f>
        <v>2470</v>
      </c>
      <c r="V1306" s="53" t="str">
        <f t="shared" si="562"/>
        <v>n/a</v>
      </c>
      <c r="W1306" s="52" t="str">
        <f t="shared" si="563"/>
        <v/>
      </c>
      <c r="X1306" s="52">
        <f>IFERROR(IF(AND(AR1307=AR1306,AM1306&lt;&gt;""),INDEX('Aub Demand'!Q:Q,MATCH($O1306,'Aub Demand'!$A:$A,0))-IF(AN1306="",0,AN1306)+AP1307+AD1306+AL1306,IF(AR1307=AR1306,INDEX('Aub Demand'!Q:Q,MATCH($O1306,'Aub Demand'!$A:$A,0))-IF(AN1306="",0,AN1306)+AP1307+AD1306,IF(AM1306&lt;&gt;"",INDEX('Aub Demand'!Q:Q,MATCH($O1306,'Aub Demand'!$A:$A,0))-IF(AN1306="",0,AN1306)+AD1306+AL1306,INDEX('Aub Demand'!Q:Q,MATCH($O1306,'Aub Demand'!$A:$A,0))-IF(AN1306="",0,AN1306)+AD1306))),"")</f>
        <v>2470</v>
      </c>
      <c r="Y1306" s="53" t="str">
        <f t="shared" si="564"/>
        <v>n/a</v>
      </c>
      <c r="Z1306" s="52">
        <f>IF(L1306="","",INDEX('Aub Demand'!H:H,MATCH($O1306,'Aub Demand'!$A:$A,0)))</f>
        <v>0</v>
      </c>
      <c r="AA1306" s="52" t="str">
        <f t="shared" si="565"/>
        <v>-spike-</v>
      </c>
      <c r="AB1306" s="52">
        <f>IFERROR(INDEX('Aub Demand'!L:L,MATCH($O1306,'Aub Demand'!$A:$A,0)),"")</f>
        <v>0</v>
      </c>
      <c r="AC1306" s="52">
        <f>IFERROR(IF(O1306="","",SUMIFS('CPL Mats'!F:F,'CPL Mats'!Q:Q,AR1306,'CPL Mats'!S:S,AS1306)),"")</f>
        <v>0</v>
      </c>
      <c r="AF1306" s="25" t="str">
        <f>IF(SUMIFS('Supp Consol'!S:S,'Supp Consol'!Y:Y,"Releasable",'Supp Consol'!A:A,O1306)=0,"",SUMIFS('Supp Consol'!S:S,'Supp Consol'!Y:Y,"Releasable",'Supp Consol'!A:A,O1306))</f>
        <v/>
      </c>
      <c r="AG1306" s="25" t="str">
        <f>IFERROR(INDEX('Hun Demand'!Q:Q,MATCH(O1306,'Hun Demand'!A:A,0)),"")</f>
        <v/>
      </c>
      <c r="AH1306" s="25" t="str">
        <f>IFERROR(INDEX('Hun Demand'!H:H,MATCH($O1306,'Hun Demand'!$A:$A,0)),"")</f>
        <v/>
      </c>
      <c r="AI1306" s="25" t="str">
        <f>IF(SUMIFS('Supp Consol'!AA:AA,'Supp Consol'!Z:Z,"Expires this month",'Supp Consol'!A:A,O1306)=0,"",SUMIFS('Supp Consol'!AA:AA,'Supp Consol'!Z:Z,"Expires this month",'Supp Consol'!A:A,O1306))</f>
        <v/>
      </c>
      <c r="AJ1306" s="25" t="str">
        <f>IF(SUMIFS('Supp Consol'!AA:AA,'Supp Consol'!Z:Z,"Expired Previous Months",'Supp Consol'!A:A,O1306)=0,"",SUMIFS('Supp Consol'!AA:AA,'Supp Consol'!Z:Z,"Expired Previous Months",'Supp Consol'!A:A,O1306))</f>
        <v/>
      </c>
      <c r="AK1306" s="25" t="str">
        <f>IFERROR(INDEX('Hun Release Current'!B:B,MATCH(O1306,'Hun Release Current'!A:A,0)),"")</f>
        <v/>
      </c>
      <c r="AL1306" s="25" t="str">
        <f>IF(SUMIF('Prev Aub'!A:A,O1306,'Prev Aub'!B:B)=0,"",SUMIF('Prev Aub'!A:A,O1306,'Prev Aub'!B:B))</f>
        <v/>
      </c>
      <c r="AN1306" s="25" t="s">
        <v>3790</v>
      </c>
      <c r="AO1306" s="25" t="s">
        <v>3790</v>
      </c>
      <c r="AP1306" s="25">
        <f t="shared" si="566"/>
        <v>0</v>
      </c>
      <c r="AQ1306" s="151" t="str">
        <f>IF(SUMIFS('Supp Consol'!S:S,'Supp Consol'!A:A,O1306,'Supp Consol'!I:I,"PENDING")=0,"",SUMIFS('Supp Consol'!S:S,'Supp Consol'!A:A,O1306,'Supp Consol'!I:I,"PENDING"))</f>
        <v/>
      </c>
      <c r="AR1306" s="27" t="str">
        <f t="shared" si="567"/>
        <v>WC160</v>
      </c>
      <c r="AS1306" s="27" t="str">
        <f t="shared" si="568"/>
        <v>62</v>
      </c>
      <c r="AT1306" s="27" t="str">
        <f t="shared" si="569"/>
        <v/>
      </c>
      <c r="AU1306" s="27" t="str">
        <f t="shared" si="570"/>
        <v/>
      </c>
      <c r="AV1306" s="27" t="str">
        <f t="shared" si="571"/>
        <v/>
      </c>
      <c r="AW1306" s="27" t="str">
        <f t="shared" si="572"/>
        <v/>
      </c>
      <c r="AX1306" s="27" t="str">
        <f t="shared" si="573"/>
        <v/>
      </c>
      <c r="AY1306" s="27" t="str">
        <f t="shared" si="574"/>
        <v/>
      </c>
      <c r="AZ1306" s="27" t="str">
        <f t="shared" si="575"/>
        <v/>
      </c>
      <c r="BA1306" s="27" t="str">
        <f t="shared" si="576"/>
        <v/>
      </c>
      <c r="BB1306" s="27" t="str">
        <f t="shared" si="577"/>
        <v/>
      </c>
      <c r="BC1306" s="27" t="str">
        <f t="shared" si="578"/>
        <v/>
      </c>
      <c r="BD1306" s="27" t="str">
        <f t="shared" si="579"/>
        <v/>
      </c>
      <c r="BE1306" s="27" t="str">
        <f t="shared" si="580"/>
        <v/>
      </c>
      <c r="BF1306" s="27" t="str">
        <f t="shared" si="581"/>
        <v/>
      </c>
      <c r="BG1306" s="27" t="str">
        <f t="shared" si="582"/>
        <v/>
      </c>
      <c r="BH1306" s="27" t="str">
        <f t="shared" si="583"/>
        <v/>
      </c>
      <c r="BI1306" s="27" t="str">
        <f t="shared" si="584"/>
        <v/>
      </c>
      <c r="BJ1306" s="27" t="str">
        <f t="shared" si="585"/>
        <v/>
      </c>
      <c r="BK1306" s="27" t="str">
        <f t="shared" si="586"/>
        <v/>
      </c>
      <c r="BL1306" s="27" t="str">
        <f t="shared" si="587"/>
        <v/>
      </c>
      <c r="BM1306" s="21" t="s">
        <v>5582</v>
      </c>
    </row>
    <row r="1307" spans="1:65" ht="15">
      <c r="A1307" s="25" t="str">
        <f>IFERROR(INDEX('Hun Demand'!W:W,MATCH(O1307,'Hun Demand'!A:A,0)),"")</f>
        <v/>
      </c>
      <c r="B1307" s="25" t="str">
        <f>IFERROR(INDEX('Hun Demand'!V:V,MATCH(O1307,'Hun Demand'!A:A,0)),"")</f>
        <v/>
      </c>
      <c r="C1307" s="25" t="str">
        <f>IFERROR(INDEX('Hun Demand'!U:U,MATCH(O1307,'Hun Demand'!A:A,0)),"")</f>
        <v/>
      </c>
      <c r="D1307" s="25" t="str">
        <f>IFERROR(INDEX('Hun Demand'!T:T,MATCH(O1307,'Hun Demand'!A:A,0)),"")</f>
        <v/>
      </c>
      <c r="E1307" s="25" t="str">
        <f>IFERROR(INDEX('Hun Demand'!S:S,MATCH(O1307,'Hun Demand'!A:A,0)),"")</f>
        <v/>
      </c>
      <c r="F1307" s="25" t="str">
        <f>IFERROR(INDEX('Hun Demand'!R:R,MATCH(O1307,'Hun Demand'!A:A,0)),"")</f>
        <v/>
      </c>
      <c r="G1307" s="25">
        <f>IFERROR(INDEX('Aub Demand'!W:W,MATCH(O1307,'Aub Demand'!A:A,0)),"")</f>
        <v>0</v>
      </c>
      <c r="H1307" s="25">
        <f>IFERROR(INDEX('Aub Demand'!V:V,MATCH(O1307,'Aub Demand'!A:A,0)),"")</f>
        <v>0</v>
      </c>
      <c r="I1307" s="25">
        <f>IFERROR(INDEX('Aub Demand'!U:U,MATCH(O1307,'Aub Demand'!A:A,0)),"")</f>
        <v>0</v>
      </c>
      <c r="J1307" s="25">
        <f>IFERROR(INDEX('Aub Demand'!T:T,MATCH(O1307,'Aub Demand'!A:A,0)),"")</f>
        <v>0</v>
      </c>
      <c r="K1307" s="25">
        <f>IFERROR(INDEX('Aub Demand'!S:S,MATCH(O1307,'Aub Demand'!A:A,0)),"")</f>
        <v>0</v>
      </c>
      <c r="L1307" s="25">
        <f>IFERROR(INDEX('Aub Demand'!R:R,MATCH(O1307,'Aub Demand'!A:A,0)),"")</f>
        <v>0</v>
      </c>
      <c r="O1307" s="27" t="s">
        <v>1618</v>
      </c>
      <c r="P1307" s="27" t="str">
        <f>IFERROR(INDEX('Aub Demand'!B:B,MATCH($O1307,'Aub Demand'!$A:$A,0)),"")</f>
        <v>AMERICAN CHERRY</v>
      </c>
      <c r="Q1307" s="27" t="str">
        <f>IFERROR(INDEX('Aub Demand'!C:C,MATCH($O1307,'Aub Demand'!$A:$A,0)),"")</f>
        <v>IMPRE</v>
      </c>
      <c r="R1307" s="52">
        <f>IFERROR(IF(AR1308=AR1307,INDEX('Aub Demand'!K:K,MATCH($O1307,'Aub Demand'!$A:$A,0))-IF(AN1307="",0,AN1307)+AP1308,INDEX('Aub Demand'!K:K,MATCH($O1307,'Aub Demand'!$A:$A,0))-IF(AN1307="",0,AN1307)),"")</f>
        <v>5115</v>
      </c>
      <c r="S1307" s="53" t="str">
        <f t="shared" si="560"/>
        <v>n/a</v>
      </c>
      <c r="T1307" s="52" t="str">
        <f t="shared" si="561"/>
        <v/>
      </c>
      <c r="U1307" s="52">
        <f>IFERROR(IF(AR1308=AR1307,INDEX('Aub Demand'!Q:Q,MATCH($O1307,'Aub Demand'!$A:$A,0))-IF(AN1307="",0,AN1307)+AP1308,INDEX('Aub Demand'!Q:Q,MATCH($O1307,'Aub Demand'!$A:$A,0))-IF(AN1307="",0,AN1307)),"")</f>
        <v>5115</v>
      </c>
      <c r="V1307" s="53" t="str">
        <f t="shared" si="562"/>
        <v>n/a</v>
      </c>
      <c r="W1307" s="52" t="str">
        <f t="shared" si="563"/>
        <v/>
      </c>
      <c r="X1307" s="52">
        <f>IFERROR(IF(AND(AR1308=AR1307,AM1307&lt;&gt;""),INDEX('Aub Demand'!Q:Q,MATCH($O1307,'Aub Demand'!$A:$A,0))-IF(AN1307="",0,AN1307)+AP1308+AD1307+AL1307,IF(AR1308=AR1307,INDEX('Aub Demand'!Q:Q,MATCH($O1307,'Aub Demand'!$A:$A,0))-IF(AN1307="",0,AN1307)+AP1308+AD1307,IF(AM1307&lt;&gt;"",INDEX('Aub Demand'!Q:Q,MATCH($O1307,'Aub Demand'!$A:$A,0))-IF(AN1307="",0,AN1307)+AD1307+AL1307,INDEX('Aub Demand'!Q:Q,MATCH($O1307,'Aub Demand'!$A:$A,0))-IF(AN1307="",0,AN1307)+AD1307))),"")</f>
        <v>5115</v>
      </c>
      <c r="Y1307" s="53" t="str">
        <f t="shared" si="564"/>
        <v>n/a</v>
      </c>
      <c r="Z1307" s="52">
        <f>IF(L1307="","",INDEX('Aub Demand'!H:H,MATCH($O1307,'Aub Demand'!$A:$A,0)))</f>
        <v>0</v>
      </c>
      <c r="AA1307" s="52" t="str">
        <f t="shared" si="565"/>
        <v>-spike-</v>
      </c>
      <c r="AB1307" s="52">
        <f>IFERROR(INDEX('Aub Demand'!L:L,MATCH($O1307,'Aub Demand'!$A:$A,0)),"")</f>
        <v>0</v>
      </c>
      <c r="AC1307" s="52">
        <f>IFERROR(IF(O1307="","",SUMIFS('CPL Mats'!F:F,'CPL Mats'!Q:Q,AR1307,'CPL Mats'!S:S,AS1307)),"")</f>
        <v>0</v>
      </c>
      <c r="AF1307" s="25" t="str">
        <f>IF(SUMIFS('Supp Consol'!S:S,'Supp Consol'!Y:Y,"Releasable",'Supp Consol'!A:A,O1307)=0,"",SUMIFS('Supp Consol'!S:S,'Supp Consol'!Y:Y,"Releasable",'Supp Consol'!A:A,O1307))</f>
        <v/>
      </c>
      <c r="AG1307" s="25" t="str">
        <f>IFERROR(INDEX('Hun Demand'!Q:Q,MATCH(O1307,'Hun Demand'!A:A,0)),"")</f>
        <v/>
      </c>
      <c r="AH1307" s="25" t="str">
        <f>IFERROR(INDEX('Hun Demand'!H:H,MATCH($O1307,'Hun Demand'!$A:$A,0)),"")</f>
        <v/>
      </c>
      <c r="AI1307" s="25" t="str">
        <f>IF(SUMIFS('Supp Consol'!AA:AA,'Supp Consol'!Z:Z,"Expires this month",'Supp Consol'!A:A,O1307)=0,"",SUMIFS('Supp Consol'!AA:AA,'Supp Consol'!Z:Z,"Expires this month",'Supp Consol'!A:A,O1307))</f>
        <v/>
      </c>
      <c r="AJ1307" s="25" t="str">
        <f>IF(SUMIFS('Supp Consol'!AA:AA,'Supp Consol'!Z:Z,"Expired Previous Months",'Supp Consol'!A:A,O1307)=0,"",SUMIFS('Supp Consol'!AA:AA,'Supp Consol'!Z:Z,"Expired Previous Months",'Supp Consol'!A:A,O1307))</f>
        <v/>
      </c>
      <c r="AK1307" s="25" t="str">
        <f>IFERROR(INDEX('Hun Release Current'!B:B,MATCH(O1307,'Hun Release Current'!A:A,0)),"")</f>
        <v/>
      </c>
      <c r="AL1307" s="25" t="str">
        <f>IF(SUMIF('Prev Aub'!A:A,O1307,'Prev Aub'!B:B)=0,"",SUMIF('Prev Aub'!A:A,O1307,'Prev Aub'!B:B))</f>
        <v/>
      </c>
      <c r="AN1307" s="25" t="s">
        <v>3790</v>
      </c>
      <c r="AO1307" s="25" t="s">
        <v>3790</v>
      </c>
      <c r="AP1307" s="25">
        <f t="shared" si="566"/>
        <v>0</v>
      </c>
      <c r="AQ1307" s="151" t="str">
        <f>IF(SUMIFS('Supp Consol'!S:S,'Supp Consol'!A:A,O1307,'Supp Consol'!I:I,"PENDING")=0,"",SUMIFS('Supp Consol'!S:S,'Supp Consol'!A:A,O1307,'Supp Consol'!I:I,"PENDING"))</f>
        <v/>
      </c>
      <c r="AR1307" s="27" t="str">
        <f t="shared" si="567"/>
        <v>WC175</v>
      </c>
      <c r="AS1307" s="27" t="str">
        <f t="shared" si="568"/>
        <v>50</v>
      </c>
      <c r="AT1307" s="27" t="str">
        <f t="shared" si="569"/>
        <v/>
      </c>
      <c r="AU1307" s="27" t="str">
        <f t="shared" si="570"/>
        <v/>
      </c>
      <c r="AV1307" s="27" t="str">
        <f t="shared" si="571"/>
        <v/>
      </c>
      <c r="AW1307" s="27" t="str">
        <f t="shared" si="572"/>
        <v/>
      </c>
      <c r="AX1307" s="27" t="str">
        <f t="shared" si="573"/>
        <v/>
      </c>
      <c r="AY1307" s="27" t="str">
        <f t="shared" si="574"/>
        <v/>
      </c>
      <c r="AZ1307" s="27" t="str">
        <f t="shared" si="575"/>
        <v/>
      </c>
      <c r="BA1307" s="27" t="str">
        <f t="shared" si="576"/>
        <v/>
      </c>
      <c r="BB1307" s="27" t="str">
        <f t="shared" si="577"/>
        <v/>
      </c>
      <c r="BC1307" s="27" t="str">
        <f t="shared" si="578"/>
        <v/>
      </c>
      <c r="BD1307" s="27" t="str">
        <f t="shared" si="579"/>
        <v/>
      </c>
      <c r="BE1307" s="27" t="str">
        <f t="shared" si="580"/>
        <v/>
      </c>
      <c r="BF1307" s="27" t="str">
        <f t="shared" si="581"/>
        <v/>
      </c>
      <c r="BG1307" s="27" t="str">
        <f t="shared" si="582"/>
        <v/>
      </c>
      <c r="BH1307" s="27" t="str">
        <f t="shared" si="583"/>
        <v/>
      </c>
      <c r="BI1307" s="27" t="str">
        <f t="shared" si="584"/>
        <v/>
      </c>
      <c r="BJ1307" s="27" t="str">
        <f t="shared" si="585"/>
        <v/>
      </c>
      <c r="BK1307" s="27" t="str">
        <f t="shared" si="586"/>
        <v/>
      </c>
      <c r="BL1307" s="27" t="str">
        <f t="shared" si="587"/>
        <v/>
      </c>
      <c r="BM1307" s="21" t="s">
        <v>5581</v>
      </c>
    </row>
    <row r="1308" spans="1:65" ht="15">
      <c r="A1308" s="25" t="str">
        <f>IFERROR(INDEX('Hun Demand'!W:W,MATCH(O1308,'Hun Demand'!A:A,0)),"")</f>
        <v/>
      </c>
      <c r="B1308" s="25" t="str">
        <f>IFERROR(INDEX('Hun Demand'!V:V,MATCH(O1308,'Hun Demand'!A:A,0)),"")</f>
        <v/>
      </c>
      <c r="C1308" s="25" t="str">
        <f>IFERROR(INDEX('Hun Demand'!U:U,MATCH(O1308,'Hun Demand'!A:A,0)),"")</f>
        <v/>
      </c>
      <c r="D1308" s="25" t="str">
        <f>IFERROR(INDEX('Hun Demand'!T:T,MATCH(O1308,'Hun Demand'!A:A,0)),"")</f>
        <v/>
      </c>
      <c r="E1308" s="25" t="str">
        <f>IFERROR(INDEX('Hun Demand'!S:S,MATCH(O1308,'Hun Demand'!A:A,0)),"")</f>
        <v/>
      </c>
      <c r="F1308" s="25" t="str">
        <f>IFERROR(INDEX('Hun Demand'!R:R,MATCH(O1308,'Hun Demand'!A:A,0)),"")</f>
        <v/>
      </c>
      <c r="G1308" s="25">
        <f>IFERROR(INDEX('Aub Demand'!W:W,MATCH(O1308,'Aub Demand'!A:A,0)),"")</f>
        <v>0</v>
      </c>
      <c r="H1308" s="25">
        <f>IFERROR(INDEX('Aub Demand'!V:V,MATCH(O1308,'Aub Demand'!A:A,0)),"")</f>
        <v>0</v>
      </c>
      <c r="I1308" s="25">
        <f>IFERROR(INDEX('Aub Demand'!U:U,MATCH(O1308,'Aub Demand'!A:A,0)),"")</f>
        <v>0</v>
      </c>
      <c r="J1308" s="25">
        <f>IFERROR(INDEX('Aub Demand'!T:T,MATCH(O1308,'Aub Demand'!A:A,0)),"")</f>
        <v>0</v>
      </c>
      <c r="K1308" s="25">
        <f>IFERROR(INDEX('Aub Demand'!S:S,MATCH(O1308,'Aub Demand'!A:A,0)),"")</f>
        <v>0</v>
      </c>
      <c r="L1308" s="25">
        <f>IFERROR(INDEX('Aub Demand'!R:R,MATCH(O1308,'Aub Demand'!A:A,0)),"")</f>
        <v>0</v>
      </c>
      <c r="O1308" s="27" t="s">
        <v>1620</v>
      </c>
      <c r="P1308" s="27" t="str">
        <f>IFERROR(INDEX('Aub Demand'!B:B,MATCH($O1308,'Aub Demand'!$A:$A,0)),"")</f>
        <v>AMERICAN CHERRY</v>
      </c>
      <c r="Q1308" s="27" t="str">
        <f>IFERROR(INDEX('Aub Demand'!C:C,MATCH($O1308,'Aub Demand'!$A:$A,0)),"")</f>
        <v>IMPRE</v>
      </c>
      <c r="R1308" s="52">
        <f>IFERROR(IF(AR1309=AR1308,INDEX('Aub Demand'!K:K,MATCH($O1308,'Aub Demand'!$A:$A,0))-IF(AN1308="",0,AN1308)+AP1309,INDEX('Aub Demand'!K:K,MATCH($O1308,'Aub Demand'!$A:$A,0))-IF(AN1308="",0,AN1308)),"")</f>
        <v>3254</v>
      </c>
      <c r="S1308" s="53" t="str">
        <f t="shared" si="560"/>
        <v>n/a</v>
      </c>
      <c r="T1308" s="52" t="str">
        <f t="shared" si="561"/>
        <v/>
      </c>
      <c r="U1308" s="52">
        <f>IFERROR(IF(AR1309=AR1308,INDEX('Aub Demand'!Q:Q,MATCH($O1308,'Aub Demand'!$A:$A,0))-IF(AN1308="",0,AN1308)+AP1309,INDEX('Aub Demand'!Q:Q,MATCH($O1308,'Aub Demand'!$A:$A,0))-IF(AN1308="",0,AN1308)),"")</f>
        <v>3254</v>
      </c>
      <c r="V1308" s="53" t="str">
        <f t="shared" si="562"/>
        <v>n/a</v>
      </c>
      <c r="W1308" s="52" t="str">
        <f t="shared" si="563"/>
        <v/>
      </c>
      <c r="X1308" s="52">
        <f>IFERROR(IF(AND(AR1309=AR1308,AM1308&lt;&gt;""),INDEX('Aub Demand'!Q:Q,MATCH($O1308,'Aub Demand'!$A:$A,0))-IF(AN1308="",0,AN1308)+AP1309+AD1308+AL1308,IF(AR1309=AR1308,INDEX('Aub Demand'!Q:Q,MATCH($O1308,'Aub Demand'!$A:$A,0))-IF(AN1308="",0,AN1308)+AP1309+AD1308,IF(AM1308&lt;&gt;"",INDEX('Aub Demand'!Q:Q,MATCH($O1308,'Aub Demand'!$A:$A,0))-IF(AN1308="",0,AN1308)+AD1308+AL1308,INDEX('Aub Demand'!Q:Q,MATCH($O1308,'Aub Demand'!$A:$A,0))-IF(AN1308="",0,AN1308)+AD1308))),"")</f>
        <v>3254</v>
      </c>
      <c r="Y1308" s="53" t="str">
        <f t="shared" si="564"/>
        <v>n/a</v>
      </c>
      <c r="Z1308" s="52">
        <f>IF(L1308="","",INDEX('Aub Demand'!H:H,MATCH($O1308,'Aub Demand'!$A:$A,0)))</f>
        <v>0</v>
      </c>
      <c r="AA1308" s="52" t="str">
        <f t="shared" si="565"/>
        <v>-spike-</v>
      </c>
      <c r="AB1308" s="52">
        <f>IFERROR(INDEX('Aub Demand'!L:L,MATCH($O1308,'Aub Demand'!$A:$A,0)),"")</f>
        <v>0</v>
      </c>
      <c r="AC1308" s="52">
        <f>IFERROR(IF(O1308="","",SUMIFS('CPL Mats'!F:F,'CPL Mats'!Q:Q,AR1308,'CPL Mats'!S:S,AS1308)),"")</f>
        <v>0</v>
      </c>
      <c r="AF1308" s="25" t="str">
        <f>IF(SUMIFS('Supp Consol'!S:S,'Supp Consol'!Y:Y,"Releasable",'Supp Consol'!A:A,O1308)=0,"",SUMIFS('Supp Consol'!S:S,'Supp Consol'!Y:Y,"Releasable",'Supp Consol'!A:A,O1308))</f>
        <v/>
      </c>
      <c r="AG1308" s="25" t="str">
        <f>IFERROR(INDEX('Hun Demand'!Q:Q,MATCH(O1308,'Hun Demand'!A:A,0)),"")</f>
        <v/>
      </c>
      <c r="AH1308" s="25" t="str">
        <f>IFERROR(INDEX('Hun Demand'!H:H,MATCH($O1308,'Hun Demand'!$A:$A,0)),"")</f>
        <v/>
      </c>
      <c r="AI1308" s="25" t="str">
        <f>IF(SUMIFS('Supp Consol'!AA:AA,'Supp Consol'!Z:Z,"Expires this month",'Supp Consol'!A:A,O1308)=0,"",SUMIFS('Supp Consol'!AA:AA,'Supp Consol'!Z:Z,"Expires this month",'Supp Consol'!A:A,O1308))</f>
        <v/>
      </c>
      <c r="AJ1308" s="25" t="str">
        <f>IF(SUMIFS('Supp Consol'!AA:AA,'Supp Consol'!Z:Z,"Expired Previous Months",'Supp Consol'!A:A,O1308)=0,"",SUMIFS('Supp Consol'!AA:AA,'Supp Consol'!Z:Z,"Expired Previous Months",'Supp Consol'!A:A,O1308))</f>
        <v/>
      </c>
      <c r="AK1308" s="25" t="str">
        <f>IFERROR(INDEX('Hun Release Current'!B:B,MATCH(O1308,'Hun Release Current'!A:A,0)),"")</f>
        <v/>
      </c>
      <c r="AL1308" s="25" t="str">
        <f>IF(SUMIF('Prev Aub'!A:A,O1308,'Prev Aub'!B:B)=0,"",SUMIF('Prev Aub'!A:A,O1308,'Prev Aub'!B:B))</f>
        <v/>
      </c>
      <c r="AN1308" s="25" t="s">
        <v>3790</v>
      </c>
      <c r="AO1308" s="25" t="s">
        <v>3790</v>
      </c>
      <c r="AP1308" s="25">
        <f t="shared" si="566"/>
        <v>0</v>
      </c>
      <c r="AQ1308" s="151" t="str">
        <f>IF(SUMIFS('Supp Consol'!S:S,'Supp Consol'!A:A,O1308,'Supp Consol'!I:I,"PENDING")=0,"",SUMIFS('Supp Consol'!S:S,'Supp Consol'!A:A,O1308,'Supp Consol'!I:I,"PENDING"))</f>
        <v/>
      </c>
      <c r="AR1308" s="27" t="str">
        <f t="shared" si="567"/>
        <v>WC175</v>
      </c>
      <c r="AS1308" s="27" t="str">
        <f t="shared" si="568"/>
        <v>62</v>
      </c>
      <c r="AT1308" s="27" t="str">
        <f t="shared" si="569"/>
        <v/>
      </c>
      <c r="AU1308" s="27" t="str">
        <f t="shared" si="570"/>
        <v/>
      </c>
      <c r="AV1308" s="27" t="str">
        <f t="shared" si="571"/>
        <v/>
      </c>
      <c r="AW1308" s="27" t="str">
        <f t="shared" si="572"/>
        <v/>
      </c>
      <c r="AX1308" s="27" t="str">
        <f t="shared" si="573"/>
        <v/>
      </c>
      <c r="AY1308" s="27" t="str">
        <f t="shared" si="574"/>
        <v/>
      </c>
      <c r="AZ1308" s="27" t="str">
        <f t="shared" si="575"/>
        <v/>
      </c>
      <c r="BA1308" s="27" t="str">
        <f t="shared" si="576"/>
        <v/>
      </c>
      <c r="BB1308" s="27" t="str">
        <f t="shared" si="577"/>
        <v/>
      </c>
      <c r="BC1308" s="27" t="str">
        <f t="shared" si="578"/>
        <v/>
      </c>
      <c r="BD1308" s="27" t="str">
        <f t="shared" si="579"/>
        <v/>
      </c>
      <c r="BE1308" s="27" t="str">
        <f t="shared" si="580"/>
        <v/>
      </c>
      <c r="BF1308" s="27" t="str">
        <f t="shared" si="581"/>
        <v/>
      </c>
      <c r="BG1308" s="27" t="str">
        <f t="shared" si="582"/>
        <v/>
      </c>
      <c r="BH1308" s="27" t="str">
        <f t="shared" si="583"/>
        <v/>
      </c>
      <c r="BI1308" s="27" t="str">
        <f t="shared" si="584"/>
        <v/>
      </c>
      <c r="BJ1308" s="27" t="str">
        <f t="shared" si="585"/>
        <v/>
      </c>
      <c r="BK1308" s="27" t="str">
        <f t="shared" si="586"/>
        <v/>
      </c>
      <c r="BL1308" s="27" t="str">
        <f t="shared" si="587"/>
        <v/>
      </c>
      <c r="BM1308" s="21" t="s">
        <v>5581</v>
      </c>
    </row>
    <row r="1309" spans="1:65" ht="15">
      <c r="A1309" s="25" t="str">
        <f>IFERROR(INDEX('Hun Demand'!W:W,MATCH(O1309,'Hun Demand'!A:A,0)),"")</f>
        <v/>
      </c>
      <c r="B1309" s="25" t="str">
        <f>IFERROR(INDEX('Hun Demand'!V:V,MATCH(O1309,'Hun Demand'!A:A,0)),"")</f>
        <v/>
      </c>
      <c r="C1309" s="25" t="str">
        <f>IFERROR(INDEX('Hun Demand'!U:U,MATCH(O1309,'Hun Demand'!A:A,0)),"")</f>
        <v/>
      </c>
      <c r="D1309" s="25" t="str">
        <f>IFERROR(INDEX('Hun Demand'!T:T,MATCH(O1309,'Hun Demand'!A:A,0)),"")</f>
        <v/>
      </c>
      <c r="E1309" s="25" t="str">
        <f>IFERROR(INDEX('Hun Demand'!S:S,MATCH(O1309,'Hun Demand'!A:A,0)),"")</f>
        <v/>
      </c>
      <c r="F1309" s="25" t="str">
        <f>IFERROR(INDEX('Hun Demand'!R:R,MATCH(O1309,'Hun Demand'!A:A,0)),"")</f>
        <v/>
      </c>
      <c r="G1309" s="25">
        <f>IFERROR(INDEX('Aub Demand'!W:W,MATCH(O1309,'Aub Demand'!A:A,0)),"")</f>
        <v>41</v>
      </c>
      <c r="H1309" s="25">
        <f>IFERROR(INDEX('Aub Demand'!V:V,MATCH(O1309,'Aub Demand'!A:A,0)),"")</f>
        <v>65</v>
      </c>
      <c r="I1309" s="25">
        <f>IFERROR(INDEX('Aub Demand'!U:U,MATCH(O1309,'Aub Demand'!A:A,0)),"")</f>
        <v>0</v>
      </c>
      <c r="J1309" s="25">
        <f>IFERROR(INDEX('Aub Demand'!T:T,MATCH(O1309,'Aub Demand'!A:A,0)),"")</f>
        <v>0</v>
      </c>
      <c r="K1309" s="25">
        <f>IFERROR(INDEX('Aub Demand'!S:S,MATCH(O1309,'Aub Demand'!A:A,0)),"")</f>
        <v>122</v>
      </c>
      <c r="L1309" s="25">
        <f>IFERROR(INDEX('Aub Demand'!R:R,MATCH(O1309,'Aub Demand'!A:A,0)),"")</f>
        <v>0</v>
      </c>
      <c r="O1309" s="27" t="s">
        <v>2928</v>
      </c>
      <c r="P1309" s="27" t="str">
        <f>IFERROR(INDEX('Aub Demand'!B:B,MATCH($O1309,'Aub Demand'!$A:$A,0)),"")</f>
        <v>CALUNA CHERRY 50"</v>
      </c>
      <c r="Q1309" s="27" t="str">
        <f>IFERROR(INDEX('Aub Demand'!C:C,MATCH($O1309,'Aub Demand'!$A:$A,0)),"")</f>
        <v>SUDDE</v>
      </c>
      <c r="R1309" s="52">
        <f>IFERROR(IF(AR1310=AR1309,INDEX('Aub Demand'!K:K,MATCH($O1309,'Aub Demand'!$A:$A,0))-IF(AN1309="",0,AN1309)+AP1310,INDEX('Aub Demand'!K:K,MATCH($O1309,'Aub Demand'!$A:$A,0))-IF(AN1309="",0,AN1309)),"")</f>
        <v>40</v>
      </c>
      <c r="S1309" s="53">
        <f t="shared" si="560"/>
        <v>4.2</v>
      </c>
      <c r="T1309" s="52" t="str">
        <f t="shared" si="561"/>
        <v/>
      </c>
      <c r="U1309" s="52">
        <f>IFERROR(IF(AR1310=AR1309,INDEX('Aub Demand'!Q:Q,MATCH($O1309,'Aub Demand'!$A:$A,0))-IF(AN1309="",0,AN1309)+AP1310,INDEX('Aub Demand'!Q:Q,MATCH($O1309,'Aub Demand'!$A:$A,0))-IF(AN1309="",0,AN1309)),"")</f>
        <v>40</v>
      </c>
      <c r="V1309" s="53">
        <f t="shared" si="562"/>
        <v>4.2</v>
      </c>
      <c r="W1309" s="52" t="str">
        <f t="shared" si="563"/>
        <v/>
      </c>
      <c r="X1309" s="52">
        <f>IFERROR(IF(AND(AR1310=AR1309,AM1309&lt;&gt;""),INDEX('Aub Demand'!Q:Q,MATCH($O1309,'Aub Demand'!$A:$A,0))-IF(AN1309="",0,AN1309)+AP1310+AD1309+AL1309,IF(AR1310=AR1309,INDEX('Aub Demand'!Q:Q,MATCH($O1309,'Aub Demand'!$A:$A,0))-IF(AN1309="",0,AN1309)+AP1310+AD1309,IF(AM1309&lt;&gt;"",INDEX('Aub Demand'!Q:Q,MATCH($O1309,'Aub Demand'!$A:$A,0))-IF(AN1309="",0,AN1309)+AD1309+AL1309,INDEX('Aub Demand'!Q:Q,MATCH($O1309,'Aub Demand'!$A:$A,0))-IF(AN1309="",0,AN1309)+AD1309))),"")</f>
        <v>40</v>
      </c>
      <c r="Y1309" s="53">
        <f t="shared" si="564"/>
        <v>4.2</v>
      </c>
      <c r="Z1309" s="52">
        <f>IF(L1309="","",INDEX('Aub Demand'!H:H,MATCH($O1309,'Aub Demand'!$A:$A,0)))</f>
        <v>41</v>
      </c>
      <c r="AA1309" s="52" t="str">
        <f t="shared" si="565"/>
        <v>-spike-</v>
      </c>
      <c r="AB1309" s="52">
        <f>IFERROR(INDEX('Aub Demand'!L:L,MATCH($O1309,'Aub Demand'!$A:$A,0)),"")</f>
        <v>130</v>
      </c>
      <c r="AC1309" s="52">
        <f>IFERROR(IF(O1309="","",SUMIFS('CPL Mats'!F:F,'CPL Mats'!Q:Q,AR1309,'CPL Mats'!S:S,AS1309)),"")</f>
        <v>1700</v>
      </c>
      <c r="AF1309" s="25" t="str">
        <f>IF(SUMIFS('Supp Consol'!S:S,'Supp Consol'!Y:Y,"Releasable",'Supp Consol'!A:A,O1309)=0,"",SUMIFS('Supp Consol'!S:S,'Supp Consol'!Y:Y,"Releasable",'Supp Consol'!A:A,O1309))</f>
        <v/>
      </c>
      <c r="AG1309" s="25" t="str">
        <f>IFERROR(INDEX('Hun Demand'!Q:Q,MATCH(O1309,'Hun Demand'!A:A,0)),"")</f>
        <v/>
      </c>
      <c r="AH1309" s="25" t="str">
        <f>IFERROR(INDEX('Hun Demand'!H:H,MATCH($O1309,'Hun Demand'!$A:$A,0)),"")</f>
        <v/>
      </c>
      <c r="AI1309" s="25" t="str">
        <f>IF(SUMIFS('Supp Consol'!AA:AA,'Supp Consol'!Z:Z,"Expires this month",'Supp Consol'!A:A,O1309)=0,"",SUMIFS('Supp Consol'!AA:AA,'Supp Consol'!Z:Z,"Expires this month",'Supp Consol'!A:A,O1309))</f>
        <v/>
      </c>
      <c r="AJ1309" s="25" t="str">
        <f>IF(SUMIFS('Supp Consol'!AA:AA,'Supp Consol'!Z:Z,"Expired Previous Months",'Supp Consol'!A:A,O1309)=0,"",SUMIFS('Supp Consol'!AA:AA,'Supp Consol'!Z:Z,"Expired Previous Months",'Supp Consol'!A:A,O1309))</f>
        <v/>
      </c>
      <c r="AK1309" s="25" t="str">
        <f>IFERROR(INDEX('Hun Release Current'!B:B,MATCH(O1309,'Hun Release Current'!A:A,0)),"")</f>
        <v/>
      </c>
      <c r="AL1309" s="25" t="str">
        <f>IF(SUMIF('Prev Aub'!A:A,O1309,'Prev Aub'!B:B)=0,"",SUMIF('Prev Aub'!A:A,O1309,'Prev Aub'!B:B))</f>
        <v/>
      </c>
      <c r="AN1309" s="25" t="s">
        <v>3790</v>
      </c>
      <c r="AO1309" s="25" t="s">
        <v>3790</v>
      </c>
      <c r="AP1309" s="25">
        <f t="shared" si="566"/>
        <v>0</v>
      </c>
      <c r="AQ1309" s="151" t="str">
        <f>IF(SUMIFS('Supp Consol'!S:S,'Supp Consol'!A:A,O1309,'Supp Consol'!I:I,"PENDING")=0,"",SUMIFS('Supp Consol'!S:S,'Supp Consol'!A:A,O1309,'Supp Consol'!I:I,"PENDING"))</f>
        <v/>
      </c>
      <c r="AR1309" s="27" t="str">
        <f t="shared" si="567"/>
        <v>WC200</v>
      </c>
      <c r="AS1309" s="27" t="str">
        <f t="shared" si="568"/>
        <v>50</v>
      </c>
      <c r="AT1309" s="27" t="str">
        <f t="shared" si="569"/>
        <v/>
      </c>
      <c r="AU1309" s="27" t="str">
        <f t="shared" si="570"/>
        <v/>
      </c>
      <c r="AV1309" s="27" t="str">
        <f t="shared" si="571"/>
        <v/>
      </c>
      <c r="AW1309" s="27" t="str">
        <f t="shared" si="572"/>
        <v/>
      </c>
      <c r="AX1309" s="27" t="str">
        <f t="shared" si="573"/>
        <v/>
      </c>
      <c r="AY1309" s="27" t="str">
        <f t="shared" si="574"/>
        <v/>
      </c>
      <c r="AZ1309" s="27" t="str">
        <f t="shared" si="575"/>
        <v>Supp</v>
      </c>
      <c r="BA1309" s="27" t="str">
        <f t="shared" si="576"/>
        <v/>
      </c>
      <c r="BB1309" s="27" t="str">
        <f t="shared" si="577"/>
        <v/>
      </c>
      <c r="BC1309" s="27" t="str">
        <f t="shared" si="578"/>
        <v/>
      </c>
      <c r="BD1309" s="27" t="str">
        <f t="shared" si="579"/>
        <v/>
      </c>
      <c r="BE1309" s="27" t="str">
        <f t="shared" si="580"/>
        <v/>
      </c>
      <c r="BF1309" s="27" t="str">
        <f t="shared" si="581"/>
        <v/>
      </c>
      <c r="BG1309" s="27" t="str">
        <f t="shared" si="582"/>
        <v/>
      </c>
      <c r="BH1309" s="27" t="str">
        <f t="shared" si="583"/>
        <v/>
      </c>
      <c r="BI1309" s="27" t="str">
        <f t="shared" si="584"/>
        <v/>
      </c>
      <c r="BJ1309" s="27" t="str">
        <f t="shared" si="585"/>
        <v>Supp or Hun</v>
      </c>
      <c r="BK1309" s="27" t="str">
        <f t="shared" si="586"/>
        <v/>
      </c>
      <c r="BL1309" s="27" t="str">
        <f t="shared" si="587"/>
        <v/>
      </c>
      <c r="BM1309" s="21" t="s">
        <v>5581</v>
      </c>
    </row>
    <row r="1310" spans="1:65" ht="15">
      <c r="A1310" s="25" t="str">
        <f>IFERROR(INDEX('Hun Demand'!W:W,MATCH(O1310,'Hun Demand'!A:A,0)),"")</f>
        <v/>
      </c>
      <c r="B1310" s="25" t="str">
        <f>IFERROR(INDEX('Hun Demand'!V:V,MATCH(O1310,'Hun Demand'!A:A,0)),"")</f>
        <v/>
      </c>
      <c r="C1310" s="25" t="str">
        <f>IFERROR(INDEX('Hun Demand'!U:U,MATCH(O1310,'Hun Demand'!A:A,0)),"")</f>
        <v/>
      </c>
      <c r="D1310" s="25" t="str">
        <f>IFERROR(INDEX('Hun Demand'!T:T,MATCH(O1310,'Hun Demand'!A:A,0)),"")</f>
        <v/>
      </c>
      <c r="E1310" s="25" t="str">
        <f>IFERROR(INDEX('Hun Demand'!S:S,MATCH(O1310,'Hun Demand'!A:A,0)),"")</f>
        <v/>
      </c>
      <c r="F1310" s="25" t="str">
        <f>IFERROR(INDEX('Hun Demand'!R:R,MATCH(O1310,'Hun Demand'!A:A,0)),"")</f>
        <v/>
      </c>
      <c r="G1310" s="25">
        <f>IFERROR(INDEX('Aub Demand'!W:W,MATCH(O1310,'Aub Demand'!A:A,0)),"")</f>
        <v>402</v>
      </c>
      <c r="H1310" s="25">
        <f>IFERROR(INDEX('Aub Demand'!V:V,MATCH(O1310,'Aub Demand'!A:A,0)),"")</f>
        <v>0</v>
      </c>
      <c r="I1310" s="25">
        <f>IFERROR(INDEX('Aub Demand'!U:U,MATCH(O1310,'Aub Demand'!A:A,0)),"")</f>
        <v>26</v>
      </c>
      <c r="J1310" s="25">
        <f>IFERROR(INDEX('Aub Demand'!T:T,MATCH(O1310,'Aub Demand'!A:A,0)),"")</f>
        <v>67</v>
      </c>
      <c r="K1310" s="25">
        <f>IFERROR(INDEX('Aub Demand'!S:S,MATCH(O1310,'Aub Demand'!A:A,0)),"")</f>
        <v>0</v>
      </c>
      <c r="L1310" s="25">
        <f>IFERROR(INDEX('Aub Demand'!R:R,MATCH(O1310,'Aub Demand'!A:A,0)),"")</f>
        <v>0</v>
      </c>
      <c r="O1310" s="27" t="s">
        <v>2930</v>
      </c>
      <c r="P1310" s="27" t="str">
        <f>IFERROR(INDEX('Aub Demand'!B:B,MATCH($O1310,'Aub Demand'!$A:$A,0)),"")</f>
        <v>CALUNA CHERRY 62"</v>
      </c>
      <c r="Q1310" s="27" t="str">
        <f>IFERROR(INDEX('Aub Demand'!C:C,MATCH($O1310,'Aub Demand'!$A:$A,0)),"")</f>
        <v>SUDDE</v>
      </c>
      <c r="R1310" s="52">
        <f>IFERROR(IF(AR1311=AR1310,INDEX('Aub Demand'!K:K,MATCH($O1310,'Aub Demand'!$A:$A,0))-IF(AN1310="",0,AN1310)+AP1311,INDEX('Aub Demand'!K:K,MATCH($O1310,'Aub Demand'!$A:$A,0))-IF(AN1310="",0,AN1310)),"")</f>
        <v>129</v>
      </c>
      <c r="S1310" s="53">
        <f t="shared" si="560"/>
        <v>17.8</v>
      </c>
      <c r="T1310" s="52" t="str">
        <f t="shared" si="561"/>
        <v/>
      </c>
      <c r="U1310" s="52">
        <f>IFERROR(IF(AR1311=AR1310,INDEX('Aub Demand'!Q:Q,MATCH($O1310,'Aub Demand'!$A:$A,0))-IF(AN1310="",0,AN1310)+AP1311,INDEX('Aub Demand'!Q:Q,MATCH($O1310,'Aub Demand'!$A:$A,0))-IF(AN1310="",0,AN1310)),"")</f>
        <v>109</v>
      </c>
      <c r="V1310" s="53">
        <f t="shared" si="562"/>
        <v>15.1</v>
      </c>
      <c r="W1310" s="52" t="str">
        <f t="shared" si="563"/>
        <v/>
      </c>
      <c r="X1310" s="52">
        <f>IFERROR(IF(AND(AR1311=AR1310,AM1310&lt;&gt;""),INDEX('Aub Demand'!Q:Q,MATCH($O1310,'Aub Demand'!$A:$A,0))-IF(AN1310="",0,AN1310)+AP1311+AD1310+AL1310,IF(AR1311=AR1310,INDEX('Aub Demand'!Q:Q,MATCH($O1310,'Aub Demand'!$A:$A,0))-IF(AN1310="",0,AN1310)+AP1311+AD1310,IF(AM1310&lt;&gt;"",INDEX('Aub Demand'!Q:Q,MATCH($O1310,'Aub Demand'!$A:$A,0))-IF(AN1310="",0,AN1310)+AD1310+AL1310,INDEX('Aub Demand'!Q:Q,MATCH($O1310,'Aub Demand'!$A:$A,0))-IF(AN1310="",0,AN1310)+AD1310))),"")</f>
        <v>109</v>
      </c>
      <c r="Y1310" s="53">
        <f t="shared" si="564"/>
        <v>15.1</v>
      </c>
      <c r="Z1310" s="52">
        <f>IF(L1310="","",INDEX('Aub Demand'!H:H,MATCH($O1310,'Aub Demand'!$A:$A,0)))</f>
        <v>31</v>
      </c>
      <c r="AA1310" s="52">
        <f t="shared" si="565"/>
        <v>46.5</v>
      </c>
      <c r="AB1310" s="52">
        <f>IFERROR(INDEX('Aub Demand'!L:L,MATCH($O1310,'Aub Demand'!$A:$A,0)),"")</f>
        <v>45</v>
      </c>
      <c r="AC1310" s="52">
        <f>IFERROR(IF(O1310="","",SUMIFS('CPL Mats'!F:F,'CPL Mats'!Q:Q,AR1310,'CPL Mats'!S:S,AS1310)),"")</f>
        <v>0</v>
      </c>
      <c r="AF1310" s="25">
        <f>IF(SUMIFS('Supp Consol'!S:S,'Supp Consol'!Y:Y,"Releasable",'Supp Consol'!A:A,O1310)=0,"",SUMIFS('Supp Consol'!S:S,'Supp Consol'!Y:Y,"Releasable",'Supp Consol'!A:A,O1310))</f>
        <v>2421</v>
      </c>
      <c r="AG1310" s="25" t="str">
        <f>IFERROR(INDEX('Hun Demand'!Q:Q,MATCH(O1310,'Hun Demand'!A:A,0)),"")</f>
        <v/>
      </c>
      <c r="AH1310" s="25" t="str">
        <f>IFERROR(INDEX('Hun Demand'!H:H,MATCH($O1310,'Hun Demand'!$A:$A,0)),"")</f>
        <v/>
      </c>
      <c r="AI1310" s="25" t="str">
        <f>IF(SUMIFS('Supp Consol'!AA:AA,'Supp Consol'!Z:Z,"Expires this month",'Supp Consol'!A:A,O1310)=0,"",SUMIFS('Supp Consol'!AA:AA,'Supp Consol'!Z:Z,"Expires this month",'Supp Consol'!A:A,O1310))</f>
        <v/>
      </c>
      <c r="AJ1310" s="25" t="str">
        <f>IF(SUMIFS('Supp Consol'!AA:AA,'Supp Consol'!Z:Z,"Expired Previous Months",'Supp Consol'!A:A,O1310)=0,"",SUMIFS('Supp Consol'!AA:AA,'Supp Consol'!Z:Z,"Expired Previous Months",'Supp Consol'!A:A,O1310))</f>
        <v/>
      </c>
      <c r="AK1310" s="25" t="str">
        <f>IFERROR(INDEX('Hun Release Current'!B:B,MATCH(O1310,'Hun Release Current'!A:A,0)),"")</f>
        <v/>
      </c>
      <c r="AL1310" s="25" t="str">
        <f>IF(SUMIF('Prev Aub'!A:A,O1310,'Prev Aub'!B:B)=0,"",SUMIF('Prev Aub'!A:A,O1310,'Prev Aub'!B:B))</f>
        <v/>
      </c>
      <c r="AN1310" s="25">
        <v>50</v>
      </c>
      <c r="AO1310" s="25" t="s">
        <v>3790</v>
      </c>
      <c r="AP1310" s="25">
        <f t="shared" si="566"/>
        <v>40</v>
      </c>
      <c r="AQ1310" s="151" t="str">
        <f>IF(SUMIFS('Supp Consol'!S:S,'Supp Consol'!A:A,O1310,'Supp Consol'!I:I,"PENDING")=0,"",SUMIFS('Supp Consol'!S:S,'Supp Consol'!A:A,O1310,'Supp Consol'!I:I,"PENDING"))</f>
        <v/>
      </c>
      <c r="AR1310" s="27" t="str">
        <f t="shared" si="567"/>
        <v>WC200</v>
      </c>
      <c r="AS1310" s="27" t="str">
        <f t="shared" si="568"/>
        <v>62</v>
      </c>
      <c r="AT1310" s="27" t="str">
        <f t="shared" si="569"/>
        <v/>
      </c>
      <c r="AU1310" s="27" t="str">
        <f t="shared" si="570"/>
        <v/>
      </c>
      <c r="AV1310" s="27" t="str">
        <f t="shared" si="571"/>
        <v/>
      </c>
      <c r="AW1310" s="27" t="str">
        <f t="shared" si="572"/>
        <v/>
      </c>
      <c r="AX1310" s="27" t="str">
        <f t="shared" si="573"/>
        <v>WC200</v>
      </c>
      <c r="AY1310" s="27" t="str">
        <f t="shared" si="574"/>
        <v/>
      </c>
      <c r="AZ1310" s="27" t="str">
        <f t="shared" si="575"/>
        <v>Supp</v>
      </c>
      <c r="BA1310" s="27" t="str">
        <f t="shared" si="576"/>
        <v/>
      </c>
      <c r="BB1310" s="27" t="str">
        <f t="shared" si="577"/>
        <v/>
      </c>
      <c r="BC1310" s="27" t="str">
        <f t="shared" si="578"/>
        <v/>
      </c>
      <c r="BD1310" s="27" t="str">
        <f t="shared" si="579"/>
        <v/>
      </c>
      <c r="BE1310" s="27" t="str">
        <f t="shared" si="580"/>
        <v/>
      </c>
      <c r="BF1310" s="27" t="str">
        <f t="shared" si="581"/>
        <v/>
      </c>
      <c r="BG1310" s="27" t="str">
        <f t="shared" si="582"/>
        <v/>
      </c>
      <c r="BH1310" s="27" t="str">
        <f t="shared" si="583"/>
        <v/>
      </c>
      <c r="BI1310" s="27" t="str">
        <f t="shared" si="584"/>
        <v/>
      </c>
      <c r="BJ1310" s="27" t="str">
        <f t="shared" si="585"/>
        <v>Supp or Hun</v>
      </c>
      <c r="BK1310" s="27" t="str">
        <f t="shared" si="586"/>
        <v/>
      </c>
      <c r="BL1310" s="27" t="str">
        <f t="shared" si="587"/>
        <v/>
      </c>
      <c r="BM1310" s="21" t="s">
        <v>5581</v>
      </c>
    </row>
    <row r="1311" spans="1:65" ht="15">
      <c r="A1311" s="25">
        <f>IFERROR(INDEX('Hun Demand'!W:W,MATCH(O1311,'Hun Demand'!A:A,0)),"")</f>
        <v>0</v>
      </c>
      <c r="B1311" s="25">
        <f>IFERROR(INDEX('Hun Demand'!V:V,MATCH(O1311,'Hun Demand'!A:A,0)),"")</f>
        <v>238</v>
      </c>
      <c r="C1311" s="25">
        <f>IFERROR(INDEX('Hun Demand'!U:U,MATCH(O1311,'Hun Demand'!A:A,0)),"")</f>
        <v>207</v>
      </c>
      <c r="D1311" s="25">
        <f>IFERROR(INDEX('Hun Demand'!T:T,MATCH(O1311,'Hun Demand'!A:A,0)),"")</f>
        <v>0</v>
      </c>
      <c r="E1311" s="25">
        <f>IFERROR(INDEX('Hun Demand'!S:S,MATCH(O1311,'Hun Demand'!A:A,0)),"")</f>
        <v>172</v>
      </c>
      <c r="F1311" s="25">
        <f>IFERROR(INDEX('Hun Demand'!R:R,MATCH(O1311,'Hun Demand'!A:A,0)),"")</f>
        <v>0</v>
      </c>
      <c r="G1311" s="25">
        <f>IFERROR(INDEX('Aub Demand'!W:W,MATCH(O1311,'Aub Demand'!A:A,0)),"")</f>
        <v>37</v>
      </c>
      <c r="H1311" s="25">
        <f>IFERROR(INDEX('Aub Demand'!V:V,MATCH(O1311,'Aub Demand'!A:A,0)),"")</f>
        <v>636</v>
      </c>
      <c r="I1311" s="25">
        <f>IFERROR(INDEX('Aub Demand'!U:U,MATCH(O1311,'Aub Demand'!A:A,0)),"")</f>
        <v>58</v>
      </c>
      <c r="J1311" s="25">
        <f>IFERROR(INDEX('Aub Demand'!T:T,MATCH(O1311,'Aub Demand'!A:A,0)),"")</f>
        <v>0</v>
      </c>
      <c r="K1311" s="25">
        <f>IFERROR(INDEX('Aub Demand'!S:S,MATCH(O1311,'Aub Demand'!A:A,0)),"")</f>
        <v>52</v>
      </c>
      <c r="L1311" s="25">
        <f>IFERROR(INDEX('Aub Demand'!R:R,MATCH(O1311,'Aub Demand'!A:A,0)),"")</f>
        <v>0</v>
      </c>
      <c r="O1311" s="27" t="s">
        <v>1621</v>
      </c>
      <c r="P1311" s="27" t="str">
        <f>IFERROR(INDEX('Aub Demand'!B:B,MATCH($O1311,'Aub Demand'!$A:$A,0)),"")</f>
        <v>CHOCOLATE MALT</v>
      </c>
      <c r="Q1311" s="27" t="str">
        <f>IFERROR(INDEX('Aub Demand'!C:C,MATCH($O1311,'Aub Demand'!$A:$A,0)),"")</f>
        <v>SCHAT</v>
      </c>
      <c r="R1311" s="52">
        <f>IFERROR(IF(AR1312=AR1311,INDEX('Aub Demand'!K:K,MATCH($O1311,'Aub Demand'!$A:$A,0))-IF(AN1311="",0,AN1311)+AP1312,INDEX('Aub Demand'!K:K,MATCH($O1311,'Aub Demand'!$A:$A,0))-IF(AN1311="",0,AN1311)),"")</f>
        <v>1277</v>
      </c>
      <c r="S1311" s="53">
        <f t="shared" si="560"/>
        <v>147.9</v>
      </c>
      <c r="T1311" s="52" t="str">
        <f t="shared" si="561"/>
        <v/>
      </c>
      <c r="U1311" s="52">
        <f>IFERROR(IF(AR1312=AR1311,INDEX('Aub Demand'!Q:Q,MATCH($O1311,'Aub Demand'!$A:$A,0))-IF(AN1311="",0,AN1311)+AP1312,INDEX('Aub Demand'!Q:Q,MATCH($O1311,'Aub Demand'!$A:$A,0))-IF(AN1311="",0,AN1311)),"")</f>
        <v>1191</v>
      </c>
      <c r="V1311" s="53">
        <f t="shared" si="562"/>
        <v>138</v>
      </c>
      <c r="W1311" s="52" t="str">
        <f t="shared" si="563"/>
        <v/>
      </c>
      <c r="X1311" s="52">
        <f>IFERROR(IF(AND(AR1312=AR1311,AM1311&lt;&gt;""),INDEX('Aub Demand'!Q:Q,MATCH($O1311,'Aub Demand'!$A:$A,0))-IF(AN1311="",0,AN1311)+AP1312+AD1311+AL1311,IF(AR1312=AR1311,INDEX('Aub Demand'!Q:Q,MATCH($O1311,'Aub Demand'!$A:$A,0))-IF(AN1311="",0,AN1311)+AP1312+AD1311,IF(AM1311&lt;&gt;"",INDEX('Aub Demand'!Q:Q,MATCH($O1311,'Aub Demand'!$A:$A,0))-IF(AN1311="",0,AN1311)+AD1311+AL1311,INDEX('Aub Demand'!Q:Q,MATCH($O1311,'Aub Demand'!$A:$A,0))-IF(AN1311="",0,AN1311)+AD1311))),"")</f>
        <v>1191</v>
      </c>
      <c r="Y1311" s="53">
        <f t="shared" si="564"/>
        <v>138</v>
      </c>
      <c r="Z1311" s="52">
        <f>IF(L1311="","",INDEX('Aub Demand'!H:H,MATCH($O1311,'Aub Demand'!$A:$A,0)))</f>
        <v>37</v>
      </c>
      <c r="AA1311" s="52">
        <f t="shared" si="565"/>
        <v>55</v>
      </c>
      <c r="AB1311" s="52">
        <f>IFERROR(INDEX('Aub Demand'!L:L,MATCH($O1311,'Aub Demand'!$A:$A,0)),"")</f>
        <v>117</v>
      </c>
      <c r="AC1311" s="52">
        <f>IFERROR(IF(O1311="","",SUMIFS('CPL Mats'!F:F,'CPL Mats'!Q:Q,AR1311,'CPL Mats'!S:S,AS1311)),"")</f>
        <v>1377</v>
      </c>
      <c r="AF1311" s="25" t="str">
        <f>IF(SUMIFS('Supp Consol'!S:S,'Supp Consol'!Y:Y,"Releasable",'Supp Consol'!A:A,O1311)=0,"",SUMIFS('Supp Consol'!S:S,'Supp Consol'!Y:Y,"Releasable",'Supp Consol'!A:A,O1311))</f>
        <v/>
      </c>
      <c r="AG1311" s="25">
        <f>IFERROR(INDEX('Hun Demand'!Q:Q,MATCH(O1311,'Hun Demand'!A:A,0)),"")</f>
        <v>0</v>
      </c>
      <c r="AH1311" s="25">
        <f>IFERROR(INDEX('Hun Demand'!H:H,MATCH($O1311,'Hun Demand'!$A:$A,0)),"")</f>
        <v>126</v>
      </c>
      <c r="AI1311" s="25" t="str">
        <f>IF(SUMIFS('Supp Consol'!AA:AA,'Supp Consol'!Z:Z,"Expires this month",'Supp Consol'!A:A,O1311)=0,"",SUMIFS('Supp Consol'!AA:AA,'Supp Consol'!Z:Z,"Expires this month",'Supp Consol'!A:A,O1311))</f>
        <v/>
      </c>
      <c r="AJ1311" s="25" t="str">
        <f>IF(SUMIFS('Supp Consol'!AA:AA,'Supp Consol'!Z:Z,"Expired Previous Months",'Supp Consol'!A:A,O1311)=0,"",SUMIFS('Supp Consol'!AA:AA,'Supp Consol'!Z:Z,"Expired Previous Months",'Supp Consol'!A:A,O1311))</f>
        <v/>
      </c>
      <c r="AK1311" s="25" t="str">
        <f>IFERROR(INDEX('Hun Release Current'!B:B,MATCH(O1311,'Hun Release Current'!A:A,0)),"")</f>
        <v/>
      </c>
      <c r="AL1311" s="25" t="str">
        <f>IF(SUMIF('Prev Aub'!A:A,O1311,'Prev Aub'!B:B)=0,"",SUMIF('Prev Aub'!A:A,O1311,'Prev Aub'!B:B))</f>
        <v/>
      </c>
      <c r="AN1311" s="25" t="s">
        <v>3790</v>
      </c>
      <c r="AO1311" s="25" t="s">
        <v>3790</v>
      </c>
      <c r="AP1311" s="25">
        <f t="shared" si="566"/>
        <v>0</v>
      </c>
      <c r="AQ1311" s="151" t="str">
        <f>IF(SUMIFS('Supp Consol'!S:S,'Supp Consol'!A:A,O1311,'Supp Consol'!I:I,"PENDING")=0,"",SUMIFS('Supp Consol'!S:S,'Supp Consol'!A:A,O1311,'Supp Consol'!I:I,"PENDING"))</f>
        <v/>
      </c>
      <c r="AR1311" s="27" t="str">
        <f t="shared" si="567"/>
        <v>WC210</v>
      </c>
      <c r="AS1311" s="27" t="str">
        <f t="shared" si="568"/>
        <v>50</v>
      </c>
      <c r="AT1311" s="27" t="str">
        <f t="shared" si="569"/>
        <v/>
      </c>
      <c r="AU1311" s="27" t="str">
        <f t="shared" si="570"/>
        <v/>
      </c>
      <c r="AV1311" s="27" t="str">
        <f t="shared" si="571"/>
        <v/>
      </c>
      <c r="AW1311" s="27" t="str">
        <f t="shared" si="572"/>
        <v/>
      </c>
      <c r="AX1311" s="27" t="str">
        <f t="shared" si="573"/>
        <v/>
      </c>
      <c r="AY1311" s="27" t="str">
        <f t="shared" si="574"/>
        <v/>
      </c>
      <c r="AZ1311" s="27" t="str">
        <f t="shared" si="575"/>
        <v/>
      </c>
      <c r="BA1311" s="27" t="str">
        <f t="shared" si="576"/>
        <v>Hun</v>
      </c>
      <c r="BB1311" s="27" t="str">
        <f t="shared" si="577"/>
        <v/>
      </c>
      <c r="BC1311" s="27" t="str">
        <f t="shared" si="578"/>
        <v/>
      </c>
      <c r="BD1311" s="27" t="str">
        <f t="shared" si="579"/>
        <v/>
      </c>
      <c r="BE1311" s="27" t="str">
        <f t="shared" si="580"/>
        <v/>
      </c>
      <c r="BF1311" s="27" t="str">
        <f t="shared" si="581"/>
        <v/>
      </c>
      <c r="BG1311" s="27" t="str">
        <f t="shared" si="582"/>
        <v/>
      </c>
      <c r="BH1311" s="27" t="str">
        <f t="shared" si="583"/>
        <v/>
      </c>
      <c r="BI1311" s="27" t="str">
        <f t="shared" si="584"/>
        <v/>
      </c>
      <c r="BJ1311" s="27" t="str">
        <f t="shared" si="585"/>
        <v>Supp or Hun</v>
      </c>
      <c r="BK1311" s="27" t="str">
        <f t="shared" si="586"/>
        <v/>
      </c>
      <c r="BL1311" s="27" t="str">
        <f t="shared" si="587"/>
        <v/>
      </c>
      <c r="BM1311" s="21" t="s">
        <v>5581</v>
      </c>
    </row>
    <row r="1312" spans="1:65" ht="15">
      <c r="A1312" s="25">
        <f>IFERROR(INDEX('Hun Demand'!W:W,MATCH(O1312,'Hun Demand'!A:A,0)),"")</f>
        <v>0</v>
      </c>
      <c r="B1312" s="25">
        <f>IFERROR(INDEX('Hun Demand'!V:V,MATCH(O1312,'Hun Demand'!A:A,0)),"")</f>
        <v>0</v>
      </c>
      <c r="C1312" s="25">
        <f>IFERROR(INDEX('Hun Demand'!U:U,MATCH(O1312,'Hun Demand'!A:A,0)),"")</f>
        <v>0</v>
      </c>
      <c r="D1312" s="25">
        <f>IFERROR(INDEX('Hun Demand'!T:T,MATCH(O1312,'Hun Demand'!A:A,0)),"")</f>
        <v>0</v>
      </c>
      <c r="E1312" s="25">
        <f>IFERROR(INDEX('Hun Demand'!S:S,MATCH(O1312,'Hun Demand'!A:A,0)),"")</f>
        <v>0</v>
      </c>
      <c r="F1312" s="25">
        <f>IFERROR(INDEX('Hun Demand'!R:R,MATCH(O1312,'Hun Demand'!A:A,0)),"")</f>
        <v>0</v>
      </c>
      <c r="G1312" s="25">
        <f>IFERROR(INDEX('Aub Demand'!W:W,MATCH(O1312,'Aub Demand'!A:A,0)),"")</f>
        <v>0</v>
      </c>
      <c r="H1312" s="25">
        <f>IFERROR(INDEX('Aub Demand'!V:V,MATCH(O1312,'Aub Demand'!A:A,0)),"")</f>
        <v>0</v>
      </c>
      <c r="I1312" s="25">
        <f>IFERROR(INDEX('Aub Demand'!U:U,MATCH(O1312,'Aub Demand'!A:A,0)),"")</f>
        <v>51</v>
      </c>
      <c r="J1312" s="25">
        <f>IFERROR(INDEX('Aub Demand'!T:T,MATCH(O1312,'Aub Demand'!A:A,0)),"")</f>
        <v>0</v>
      </c>
      <c r="K1312" s="25">
        <f>IFERROR(INDEX('Aub Demand'!S:S,MATCH(O1312,'Aub Demand'!A:A,0)),"")</f>
        <v>6</v>
      </c>
      <c r="L1312" s="25">
        <f>IFERROR(INDEX('Aub Demand'!R:R,MATCH(O1312,'Aub Demand'!A:A,0)),"")</f>
        <v>0</v>
      </c>
      <c r="O1312" s="27" t="s">
        <v>1624</v>
      </c>
      <c r="P1312" s="27" t="str">
        <f>IFERROR(INDEX('Aub Demand'!B:B,MATCH($O1312,'Aub Demand'!$A:$A,0)),"")</f>
        <v>CHOCOLATE MALT</v>
      </c>
      <c r="Q1312" s="27" t="str">
        <f>IFERROR(INDEX('Aub Demand'!C:C,MATCH($O1312,'Aub Demand'!$A:$A,0)),"")</f>
        <v>SCHAT</v>
      </c>
      <c r="R1312" s="52">
        <f>IFERROR(IF(AR1313=AR1312,INDEX('Aub Demand'!K:K,MATCH($O1312,'Aub Demand'!$A:$A,0))-IF(AN1312="",0,AN1312)+AP1313,INDEX('Aub Demand'!K:K,MATCH($O1312,'Aub Demand'!$A:$A,0))-IF(AN1312="",0,AN1312)),"")</f>
        <v>1483</v>
      </c>
      <c r="S1312" s="53">
        <f t="shared" si="560"/>
        <v>334.5</v>
      </c>
      <c r="T1312" s="52" t="str">
        <f t="shared" si="561"/>
        <v/>
      </c>
      <c r="U1312" s="52">
        <f>IFERROR(IF(AR1313=AR1312,INDEX('Aub Demand'!Q:Q,MATCH($O1312,'Aub Demand'!$A:$A,0))-IF(AN1312="",0,AN1312)+AP1313,INDEX('Aub Demand'!Q:Q,MATCH($O1312,'Aub Demand'!$A:$A,0))-IF(AN1312="",0,AN1312)),"")</f>
        <v>1449</v>
      </c>
      <c r="V1312" s="53">
        <f t="shared" si="562"/>
        <v>326.8</v>
      </c>
      <c r="W1312" s="52" t="str">
        <f t="shared" si="563"/>
        <v/>
      </c>
      <c r="X1312" s="52">
        <f>IFERROR(IF(AND(AR1313=AR1312,AM1312&lt;&gt;""),INDEX('Aub Demand'!Q:Q,MATCH($O1312,'Aub Demand'!$A:$A,0))-IF(AN1312="",0,AN1312)+AP1313+AD1312+AL1312,IF(AR1313=AR1312,INDEX('Aub Demand'!Q:Q,MATCH($O1312,'Aub Demand'!$A:$A,0))-IF(AN1312="",0,AN1312)+AP1313+AD1312,IF(AM1312&lt;&gt;"",INDEX('Aub Demand'!Q:Q,MATCH($O1312,'Aub Demand'!$A:$A,0))-IF(AN1312="",0,AN1312)+AD1312+AL1312,INDEX('Aub Demand'!Q:Q,MATCH($O1312,'Aub Demand'!$A:$A,0))-IF(AN1312="",0,AN1312)+AD1312))),"")</f>
        <v>1449</v>
      </c>
      <c r="Y1312" s="53">
        <f t="shared" si="564"/>
        <v>326.8</v>
      </c>
      <c r="Z1312" s="52">
        <f>IF(L1312="","",INDEX('Aub Demand'!H:H,MATCH($O1312,'Aub Demand'!$A:$A,0)))</f>
        <v>19</v>
      </c>
      <c r="AA1312" s="52">
        <f t="shared" si="565"/>
        <v>28.5</v>
      </c>
      <c r="AB1312" s="52">
        <f>IFERROR(INDEX('Aub Demand'!L:L,MATCH($O1312,'Aub Demand'!$A:$A,0)),"")</f>
        <v>0</v>
      </c>
      <c r="AC1312" s="52">
        <f>IFERROR(IF(O1312="","",SUMIFS('CPL Mats'!F:F,'CPL Mats'!Q:Q,AR1312,'CPL Mats'!S:S,AS1312)),"")</f>
        <v>0</v>
      </c>
      <c r="AF1312" s="25" t="str">
        <f>IF(SUMIFS('Supp Consol'!S:S,'Supp Consol'!Y:Y,"Releasable",'Supp Consol'!A:A,O1312)=0,"",SUMIFS('Supp Consol'!S:S,'Supp Consol'!Y:Y,"Releasable",'Supp Consol'!A:A,O1312))</f>
        <v/>
      </c>
      <c r="AG1312" s="25">
        <f>IFERROR(INDEX('Hun Demand'!Q:Q,MATCH(O1312,'Hun Demand'!A:A,0)),"")</f>
        <v>340</v>
      </c>
      <c r="AH1312" s="25">
        <f>IFERROR(INDEX('Hun Demand'!H:H,MATCH($O1312,'Hun Demand'!$A:$A,0)),"")</f>
        <v>0</v>
      </c>
      <c r="AI1312" s="25" t="str">
        <f>IF(SUMIFS('Supp Consol'!AA:AA,'Supp Consol'!Z:Z,"Expires this month",'Supp Consol'!A:A,O1312)=0,"",SUMIFS('Supp Consol'!AA:AA,'Supp Consol'!Z:Z,"Expires this month",'Supp Consol'!A:A,O1312))</f>
        <v/>
      </c>
      <c r="AJ1312" s="25" t="str">
        <f>IF(SUMIFS('Supp Consol'!AA:AA,'Supp Consol'!Z:Z,"Expired Previous Months",'Supp Consol'!A:A,O1312)=0,"",SUMIFS('Supp Consol'!AA:AA,'Supp Consol'!Z:Z,"Expired Previous Months",'Supp Consol'!A:A,O1312))</f>
        <v/>
      </c>
      <c r="AK1312" s="25" t="str">
        <f>IFERROR(INDEX('Hun Release Current'!B:B,MATCH(O1312,'Hun Release Current'!A:A,0)),"")</f>
        <v/>
      </c>
      <c r="AL1312" s="25" t="str">
        <f>IF(SUMIF('Prev Aub'!A:A,O1312,'Prev Aub'!B:B)=0,"",SUMIF('Prev Aub'!A:A,O1312,'Prev Aub'!B:B))</f>
        <v/>
      </c>
      <c r="AN1312" s="25" t="s">
        <v>3790</v>
      </c>
      <c r="AO1312" s="25" t="s">
        <v>3790</v>
      </c>
      <c r="AP1312" s="25">
        <f t="shared" si="566"/>
        <v>0</v>
      </c>
      <c r="AQ1312" s="151" t="str">
        <f>IF(SUMIFS('Supp Consol'!S:S,'Supp Consol'!A:A,O1312,'Supp Consol'!I:I,"PENDING")=0,"",SUMIFS('Supp Consol'!S:S,'Supp Consol'!A:A,O1312,'Supp Consol'!I:I,"PENDING"))</f>
        <v/>
      </c>
      <c r="AR1312" s="27" t="str">
        <f t="shared" si="567"/>
        <v>WC210</v>
      </c>
      <c r="AS1312" s="27" t="str">
        <f t="shared" si="568"/>
        <v>62</v>
      </c>
      <c r="AT1312" s="27" t="str">
        <f t="shared" si="569"/>
        <v/>
      </c>
      <c r="AU1312" s="27" t="str">
        <f t="shared" si="570"/>
        <v/>
      </c>
      <c r="AV1312" s="27" t="str">
        <f t="shared" si="571"/>
        <v/>
      </c>
      <c r="AW1312" s="27" t="str">
        <f t="shared" si="572"/>
        <v/>
      </c>
      <c r="AX1312" s="27" t="str">
        <f t="shared" si="573"/>
        <v/>
      </c>
      <c r="AY1312" s="27" t="str">
        <f t="shared" si="574"/>
        <v>WC210</v>
      </c>
      <c r="AZ1312" s="27" t="str">
        <f t="shared" si="575"/>
        <v/>
      </c>
      <c r="BA1312" s="27" t="str">
        <f t="shared" si="576"/>
        <v>Hun</v>
      </c>
      <c r="BB1312" s="27" t="str">
        <f t="shared" si="577"/>
        <v/>
      </c>
      <c r="BC1312" s="27" t="str">
        <f t="shared" si="578"/>
        <v/>
      </c>
      <c r="BD1312" s="27" t="str">
        <f t="shared" si="579"/>
        <v/>
      </c>
      <c r="BE1312" s="27" t="str">
        <f t="shared" si="580"/>
        <v/>
      </c>
      <c r="BF1312" s="27" t="str">
        <f t="shared" si="581"/>
        <v/>
      </c>
      <c r="BG1312" s="27" t="str">
        <f t="shared" si="582"/>
        <v/>
      </c>
      <c r="BH1312" s="27" t="str">
        <f t="shared" si="583"/>
        <v/>
      </c>
      <c r="BI1312" s="27" t="str">
        <f t="shared" si="584"/>
        <v/>
      </c>
      <c r="BJ1312" s="27" t="str">
        <f t="shared" si="585"/>
        <v>Supp or Hun</v>
      </c>
      <c r="BK1312" s="27" t="str">
        <f t="shared" si="586"/>
        <v/>
      </c>
      <c r="BL1312" s="27" t="str">
        <f t="shared" si="587"/>
        <v/>
      </c>
      <c r="BM1312" s="21" t="s">
        <v>5581</v>
      </c>
    </row>
    <row r="1313" spans="1:65" ht="15">
      <c r="A1313" s="25" t="str">
        <f>IFERROR(INDEX('Hun Demand'!W:W,MATCH(O1313,'Hun Demand'!A:A,0)),"")</f>
        <v/>
      </c>
      <c r="B1313" s="25" t="str">
        <f>IFERROR(INDEX('Hun Demand'!V:V,MATCH(O1313,'Hun Demand'!A:A,0)),"")</f>
        <v/>
      </c>
      <c r="C1313" s="25" t="str">
        <f>IFERROR(INDEX('Hun Demand'!U:U,MATCH(O1313,'Hun Demand'!A:A,0)),"")</f>
        <v/>
      </c>
      <c r="D1313" s="25" t="str">
        <f>IFERROR(INDEX('Hun Demand'!T:T,MATCH(O1313,'Hun Demand'!A:A,0)),"")</f>
        <v/>
      </c>
      <c r="E1313" s="25" t="str">
        <f>IFERROR(INDEX('Hun Demand'!S:S,MATCH(O1313,'Hun Demand'!A:A,0)),"")</f>
        <v/>
      </c>
      <c r="F1313" s="25" t="str">
        <f>IFERROR(INDEX('Hun Demand'!R:R,MATCH(O1313,'Hun Demand'!A:A,0)),"")</f>
        <v/>
      </c>
      <c r="G1313" s="25">
        <f>IFERROR(INDEX('Aub Demand'!W:W,MATCH(O1313,'Aub Demand'!A:A,0)),"")</f>
        <v>0</v>
      </c>
      <c r="H1313" s="25">
        <f>IFERROR(INDEX('Aub Demand'!V:V,MATCH(O1313,'Aub Demand'!A:A,0)),"")</f>
        <v>36</v>
      </c>
      <c r="I1313" s="25">
        <f>IFERROR(INDEX('Aub Demand'!U:U,MATCH(O1313,'Aub Demand'!A:A,0)),"")</f>
        <v>10</v>
      </c>
      <c r="J1313" s="25">
        <f>IFERROR(INDEX('Aub Demand'!T:T,MATCH(O1313,'Aub Demand'!A:A,0)),"")</f>
        <v>7</v>
      </c>
      <c r="K1313" s="25">
        <f>IFERROR(INDEX('Aub Demand'!S:S,MATCH(O1313,'Aub Demand'!A:A,0)),"")</f>
        <v>11</v>
      </c>
      <c r="L1313" s="25">
        <f>IFERROR(INDEX('Aub Demand'!R:R,MATCH(O1313,'Aub Demand'!A:A,0)),"")</f>
        <v>12</v>
      </c>
      <c r="O1313" s="27" t="s">
        <v>1625</v>
      </c>
      <c r="P1313" s="27" t="str">
        <f>IFERROR(INDEX('Aub Demand'!B:B,MATCH($O1313,'Aub Demand'!$A:$A,0)),"")</f>
        <v>BUTTER TOFFEE</v>
      </c>
      <c r="Q1313" s="27" t="str">
        <f>IFERROR(INDEX('Aub Demand'!C:C,MATCH($O1313,'Aub Demand'!$A:$A,0)),"")</f>
        <v>SCHAT</v>
      </c>
      <c r="R1313" s="52">
        <f>IFERROR(IF(AR1314=AR1313,INDEX('Aub Demand'!K:K,MATCH($O1313,'Aub Demand'!$A:$A,0))-IF(AN1313="",0,AN1313)+AP1314,INDEX('Aub Demand'!K:K,MATCH($O1313,'Aub Demand'!$A:$A,0))-IF(AN1313="",0,AN1313)),"")</f>
        <v>2010</v>
      </c>
      <c r="S1313" s="53">
        <f t="shared" si="560"/>
        <v>957.1</v>
      </c>
      <c r="T1313" s="52" t="str">
        <f t="shared" si="561"/>
        <v/>
      </c>
      <c r="U1313" s="52">
        <f>IFERROR(IF(AR1314=AR1313,INDEX('Aub Demand'!Q:Q,MATCH($O1313,'Aub Demand'!$A:$A,0))-IF(AN1313="",0,AN1313)+AP1314,INDEX('Aub Demand'!Q:Q,MATCH($O1313,'Aub Demand'!$A:$A,0))-IF(AN1313="",0,AN1313)),"")</f>
        <v>2002</v>
      </c>
      <c r="V1313" s="53">
        <f t="shared" si="562"/>
        <v>953.3</v>
      </c>
      <c r="W1313" s="52" t="str">
        <f t="shared" si="563"/>
        <v/>
      </c>
      <c r="X1313" s="52">
        <f>IFERROR(IF(AND(AR1314=AR1313,AM1313&lt;&gt;""),INDEX('Aub Demand'!Q:Q,MATCH($O1313,'Aub Demand'!$A:$A,0))-IF(AN1313="",0,AN1313)+AP1314+AD1313+AL1313,IF(AR1314=AR1313,INDEX('Aub Demand'!Q:Q,MATCH($O1313,'Aub Demand'!$A:$A,0))-IF(AN1313="",0,AN1313)+AP1314+AD1313,IF(AM1313&lt;&gt;"",INDEX('Aub Demand'!Q:Q,MATCH($O1313,'Aub Demand'!$A:$A,0))-IF(AN1313="",0,AN1313)+AD1313+AL1313,INDEX('Aub Demand'!Q:Q,MATCH($O1313,'Aub Demand'!$A:$A,0))-IF(AN1313="",0,AN1313)+AD1313))),"")</f>
        <v>2002</v>
      </c>
      <c r="Y1313" s="53">
        <f t="shared" si="564"/>
        <v>953.3</v>
      </c>
      <c r="Z1313" s="52">
        <f>IF(L1313="","",INDEX('Aub Demand'!H:H,MATCH($O1313,'Aub Demand'!$A:$A,0)))</f>
        <v>9</v>
      </c>
      <c r="AA1313" s="52">
        <f t="shared" si="565"/>
        <v>11.5</v>
      </c>
      <c r="AB1313" s="52">
        <f>IFERROR(INDEX('Aub Demand'!L:L,MATCH($O1313,'Aub Demand'!$A:$A,0)),"")</f>
        <v>54</v>
      </c>
      <c r="AC1313" s="52">
        <f>IFERROR(IF(O1313="","",SUMIFS('CPL Mats'!F:F,'CPL Mats'!Q:Q,AR1313,'CPL Mats'!S:S,AS1313)),"")</f>
        <v>0</v>
      </c>
      <c r="AF1313" s="25" t="str">
        <f>IF(SUMIFS('Supp Consol'!S:S,'Supp Consol'!Y:Y,"Releasable",'Supp Consol'!A:A,O1313)=0,"",SUMIFS('Supp Consol'!S:S,'Supp Consol'!Y:Y,"Releasable",'Supp Consol'!A:A,O1313))</f>
        <v/>
      </c>
      <c r="AG1313" s="25" t="str">
        <f>IFERROR(INDEX('Hun Demand'!Q:Q,MATCH(O1313,'Hun Demand'!A:A,0)),"")</f>
        <v/>
      </c>
      <c r="AH1313" s="25" t="str">
        <f>IFERROR(INDEX('Hun Demand'!H:H,MATCH($O1313,'Hun Demand'!$A:$A,0)),"")</f>
        <v/>
      </c>
      <c r="AI1313" s="25" t="str">
        <f>IF(SUMIFS('Supp Consol'!AA:AA,'Supp Consol'!Z:Z,"Expires this month",'Supp Consol'!A:A,O1313)=0,"",SUMIFS('Supp Consol'!AA:AA,'Supp Consol'!Z:Z,"Expires this month",'Supp Consol'!A:A,O1313))</f>
        <v/>
      </c>
      <c r="AJ1313" s="25" t="str">
        <f>IF(SUMIFS('Supp Consol'!AA:AA,'Supp Consol'!Z:Z,"Expired Previous Months",'Supp Consol'!A:A,O1313)=0,"",SUMIFS('Supp Consol'!AA:AA,'Supp Consol'!Z:Z,"Expired Previous Months",'Supp Consol'!A:A,O1313))</f>
        <v/>
      </c>
      <c r="AK1313" s="25" t="str">
        <f>IFERROR(INDEX('Hun Release Current'!B:B,MATCH(O1313,'Hun Release Current'!A:A,0)),"")</f>
        <v/>
      </c>
      <c r="AL1313" s="25" t="str">
        <f>IF(SUMIF('Prev Aub'!A:A,O1313,'Prev Aub'!B:B)=0,"",SUMIF('Prev Aub'!A:A,O1313,'Prev Aub'!B:B))</f>
        <v/>
      </c>
      <c r="AN1313" s="25" t="s">
        <v>3790</v>
      </c>
      <c r="AO1313" s="25" t="s">
        <v>3790</v>
      </c>
      <c r="AP1313" s="25">
        <f t="shared" si="566"/>
        <v>0</v>
      </c>
      <c r="AQ1313" s="151" t="str">
        <f>IF(SUMIFS('Supp Consol'!S:S,'Supp Consol'!A:A,O1313,'Supp Consol'!I:I,"PENDING")=0,"",SUMIFS('Supp Consol'!S:S,'Supp Consol'!A:A,O1313,'Supp Consol'!I:I,"PENDING"))</f>
        <v/>
      </c>
      <c r="AR1313" s="27" t="str">
        <f t="shared" si="567"/>
        <v>WC230</v>
      </c>
      <c r="AS1313" s="27" t="str">
        <f t="shared" si="568"/>
        <v>50</v>
      </c>
      <c r="AT1313" s="27" t="str">
        <f t="shared" si="569"/>
        <v/>
      </c>
      <c r="AU1313" s="27" t="str">
        <f t="shared" si="570"/>
        <v/>
      </c>
      <c r="AV1313" s="27" t="str">
        <f t="shared" si="571"/>
        <v/>
      </c>
      <c r="AW1313" s="27" t="str">
        <f t="shared" si="572"/>
        <v/>
      </c>
      <c r="AX1313" s="27" t="str">
        <f t="shared" si="573"/>
        <v/>
      </c>
      <c r="AY1313" s="27" t="str">
        <f t="shared" si="574"/>
        <v/>
      </c>
      <c r="AZ1313" s="27" t="str">
        <f t="shared" si="575"/>
        <v/>
      </c>
      <c r="BA1313" s="27" t="str">
        <f t="shared" si="576"/>
        <v/>
      </c>
      <c r="BB1313" s="27" t="str">
        <f t="shared" si="577"/>
        <v/>
      </c>
      <c r="BC1313" s="27" t="str">
        <f t="shared" si="578"/>
        <v/>
      </c>
      <c r="BD1313" s="27" t="str">
        <f t="shared" si="579"/>
        <v/>
      </c>
      <c r="BE1313" s="27" t="str">
        <f t="shared" si="580"/>
        <v/>
      </c>
      <c r="BF1313" s="27" t="str">
        <f t="shared" si="581"/>
        <v/>
      </c>
      <c r="BG1313" s="27" t="str">
        <f t="shared" si="582"/>
        <v/>
      </c>
      <c r="BH1313" s="27" t="str">
        <f t="shared" si="583"/>
        <v/>
      </c>
      <c r="BI1313" s="27" t="str">
        <f t="shared" si="584"/>
        <v/>
      </c>
      <c r="BJ1313" s="27" t="str">
        <f t="shared" si="585"/>
        <v/>
      </c>
      <c r="BK1313" s="27" t="str">
        <f t="shared" si="586"/>
        <v/>
      </c>
      <c r="BL1313" s="27" t="str">
        <f t="shared" si="587"/>
        <v/>
      </c>
      <c r="BM1313" s="21" t="s">
        <v>5581</v>
      </c>
    </row>
    <row r="1314" spans="1:65" ht="15">
      <c r="A1314" s="25" t="str">
        <f>IFERROR(INDEX('Hun Demand'!W:W,MATCH(O1314,'Hun Demand'!A:A,0)),"")</f>
        <v/>
      </c>
      <c r="B1314" s="25" t="str">
        <f>IFERROR(INDEX('Hun Demand'!V:V,MATCH(O1314,'Hun Demand'!A:A,0)),"")</f>
        <v/>
      </c>
      <c r="C1314" s="25" t="str">
        <f>IFERROR(INDEX('Hun Demand'!U:U,MATCH(O1314,'Hun Demand'!A:A,0)),"")</f>
        <v/>
      </c>
      <c r="D1314" s="25" t="str">
        <f>IFERROR(INDEX('Hun Demand'!T:T,MATCH(O1314,'Hun Demand'!A:A,0)),"")</f>
        <v/>
      </c>
      <c r="E1314" s="25" t="str">
        <f>IFERROR(INDEX('Hun Demand'!S:S,MATCH(O1314,'Hun Demand'!A:A,0)),"")</f>
        <v/>
      </c>
      <c r="F1314" s="25" t="str">
        <f>IFERROR(INDEX('Hun Demand'!R:R,MATCH(O1314,'Hun Demand'!A:A,0)),"")</f>
        <v/>
      </c>
      <c r="G1314" s="25">
        <f>IFERROR(INDEX('Aub Demand'!W:W,MATCH(O1314,'Aub Demand'!A:A,0)),"")</f>
        <v>0</v>
      </c>
      <c r="H1314" s="25">
        <f>IFERROR(INDEX('Aub Demand'!V:V,MATCH(O1314,'Aub Demand'!A:A,0)),"")</f>
        <v>0</v>
      </c>
      <c r="I1314" s="25">
        <f>IFERROR(INDEX('Aub Demand'!U:U,MATCH(O1314,'Aub Demand'!A:A,0)),"")</f>
        <v>0</v>
      </c>
      <c r="J1314" s="25">
        <f>IFERROR(INDEX('Aub Demand'!T:T,MATCH(O1314,'Aub Demand'!A:A,0)),"")</f>
        <v>0</v>
      </c>
      <c r="K1314" s="25">
        <f>IFERROR(INDEX('Aub Demand'!S:S,MATCH(O1314,'Aub Demand'!A:A,0)),"")</f>
        <v>11</v>
      </c>
      <c r="L1314" s="25">
        <f>IFERROR(INDEX('Aub Demand'!R:R,MATCH(O1314,'Aub Demand'!A:A,0)),"")</f>
        <v>0</v>
      </c>
      <c r="O1314" s="27" t="s">
        <v>1627</v>
      </c>
      <c r="P1314" s="27" t="str">
        <f>IFERROR(INDEX('Aub Demand'!B:B,MATCH($O1314,'Aub Demand'!$A:$A,0)),"")</f>
        <v>BUTTER TOFFEE</v>
      </c>
      <c r="Q1314" s="27" t="str">
        <f>IFERROR(INDEX('Aub Demand'!C:C,MATCH($O1314,'Aub Demand'!$A:$A,0)),"")</f>
        <v>SCHAT</v>
      </c>
      <c r="R1314" s="52">
        <f>IFERROR(IF(AR1315=AR1314,INDEX('Aub Demand'!K:K,MATCH($O1314,'Aub Demand'!$A:$A,0))-IF(AN1314="",0,AN1314)+AP1315,INDEX('Aub Demand'!K:K,MATCH($O1314,'Aub Demand'!$A:$A,0))-IF(AN1314="",0,AN1314)),"")</f>
        <v>1526</v>
      </c>
      <c r="S1314" s="53">
        <f t="shared" si="560"/>
        <v>1635</v>
      </c>
      <c r="T1314" s="52" t="str">
        <f t="shared" si="561"/>
        <v/>
      </c>
      <c r="U1314" s="52">
        <f>IFERROR(IF(AR1315=AR1314,INDEX('Aub Demand'!Q:Q,MATCH($O1314,'Aub Demand'!$A:$A,0))-IF(AN1314="",0,AN1314)+AP1315,INDEX('Aub Demand'!Q:Q,MATCH($O1314,'Aub Demand'!$A:$A,0))-IF(AN1314="",0,AN1314)),"")</f>
        <v>1499</v>
      </c>
      <c r="V1314" s="53">
        <f t="shared" si="562"/>
        <v>1606.1</v>
      </c>
      <c r="W1314" s="52" t="str">
        <f t="shared" si="563"/>
        <v/>
      </c>
      <c r="X1314" s="52">
        <f>IFERROR(IF(AND(AR1315=AR1314,AM1314&lt;&gt;""),INDEX('Aub Demand'!Q:Q,MATCH($O1314,'Aub Demand'!$A:$A,0))-IF(AN1314="",0,AN1314)+AP1315+AD1314+AL1314,IF(AR1315=AR1314,INDEX('Aub Demand'!Q:Q,MATCH($O1314,'Aub Demand'!$A:$A,0))-IF(AN1314="",0,AN1314)+AP1315+AD1314,IF(AM1314&lt;&gt;"",INDEX('Aub Demand'!Q:Q,MATCH($O1314,'Aub Demand'!$A:$A,0))-IF(AN1314="",0,AN1314)+AD1314+AL1314,INDEX('Aub Demand'!Q:Q,MATCH($O1314,'Aub Demand'!$A:$A,0))-IF(AN1314="",0,AN1314)+AD1314))),"")</f>
        <v>1499</v>
      </c>
      <c r="Y1314" s="53">
        <f t="shared" si="564"/>
        <v>1606.1</v>
      </c>
      <c r="Z1314" s="52">
        <f>IF(L1314="","",INDEX('Aub Demand'!H:H,MATCH($O1314,'Aub Demand'!$A:$A,0)))</f>
        <v>4</v>
      </c>
      <c r="AA1314" s="52" t="str">
        <f t="shared" si="565"/>
        <v>-spike-</v>
      </c>
      <c r="AB1314" s="52">
        <f>IFERROR(INDEX('Aub Demand'!L:L,MATCH($O1314,'Aub Demand'!$A:$A,0)),"")</f>
        <v>10</v>
      </c>
      <c r="AC1314" s="52">
        <f>IFERROR(IF(O1314="","",SUMIFS('CPL Mats'!F:F,'CPL Mats'!Q:Q,AR1314,'CPL Mats'!S:S,AS1314)),"")</f>
        <v>0</v>
      </c>
      <c r="AF1314" s="25" t="str">
        <f>IF(SUMIFS('Supp Consol'!S:S,'Supp Consol'!Y:Y,"Releasable",'Supp Consol'!A:A,O1314)=0,"",SUMIFS('Supp Consol'!S:S,'Supp Consol'!Y:Y,"Releasable",'Supp Consol'!A:A,O1314))</f>
        <v/>
      </c>
      <c r="AG1314" s="25" t="str">
        <f>IFERROR(INDEX('Hun Demand'!Q:Q,MATCH(O1314,'Hun Demand'!A:A,0)),"")</f>
        <v/>
      </c>
      <c r="AH1314" s="25" t="str">
        <f>IFERROR(INDEX('Hun Demand'!H:H,MATCH($O1314,'Hun Demand'!$A:$A,0)),"")</f>
        <v/>
      </c>
      <c r="AI1314" s="25" t="str">
        <f>IF(SUMIFS('Supp Consol'!AA:AA,'Supp Consol'!Z:Z,"Expires this month",'Supp Consol'!A:A,O1314)=0,"",SUMIFS('Supp Consol'!AA:AA,'Supp Consol'!Z:Z,"Expires this month",'Supp Consol'!A:A,O1314))</f>
        <v/>
      </c>
      <c r="AJ1314" s="25" t="str">
        <f>IF(SUMIFS('Supp Consol'!AA:AA,'Supp Consol'!Z:Z,"Expired Previous Months",'Supp Consol'!A:A,O1314)=0,"",SUMIFS('Supp Consol'!AA:AA,'Supp Consol'!Z:Z,"Expired Previous Months",'Supp Consol'!A:A,O1314))</f>
        <v/>
      </c>
      <c r="AK1314" s="25" t="str">
        <f>IFERROR(INDEX('Hun Release Current'!B:B,MATCH(O1314,'Hun Release Current'!A:A,0)),"")</f>
        <v/>
      </c>
      <c r="AL1314" s="25" t="str">
        <f>IF(SUMIF('Prev Aub'!A:A,O1314,'Prev Aub'!B:B)=0,"",SUMIF('Prev Aub'!A:A,O1314,'Prev Aub'!B:B))</f>
        <v/>
      </c>
      <c r="AN1314" s="25" t="s">
        <v>3790</v>
      </c>
      <c r="AO1314" s="25" t="s">
        <v>3790</v>
      </c>
      <c r="AP1314" s="25">
        <f t="shared" si="566"/>
        <v>0</v>
      </c>
      <c r="AQ1314" s="151" t="str">
        <f>IF(SUMIFS('Supp Consol'!S:S,'Supp Consol'!A:A,O1314,'Supp Consol'!I:I,"PENDING")=0,"",SUMIFS('Supp Consol'!S:S,'Supp Consol'!A:A,O1314,'Supp Consol'!I:I,"PENDING"))</f>
        <v/>
      </c>
      <c r="AR1314" s="27" t="str">
        <f t="shared" si="567"/>
        <v>WC230</v>
      </c>
      <c r="AS1314" s="27" t="str">
        <f t="shared" si="568"/>
        <v>62</v>
      </c>
      <c r="AT1314" s="27" t="str">
        <f t="shared" si="569"/>
        <v/>
      </c>
      <c r="AU1314" s="27" t="str">
        <f t="shared" si="570"/>
        <v/>
      </c>
      <c r="AV1314" s="27" t="str">
        <f t="shared" si="571"/>
        <v/>
      </c>
      <c r="AW1314" s="27" t="str">
        <f t="shared" si="572"/>
        <v/>
      </c>
      <c r="AX1314" s="27" t="str">
        <f t="shared" si="573"/>
        <v/>
      </c>
      <c r="AY1314" s="27" t="str">
        <f t="shared" si="574"/>
        <v/>
      </c>
      <c r="AZ1314" s="27" t="str">
        <f t="shared" si="575"/>
        <v/>
      </c>
      <c r="BA1314" s="27" t="str">
        <f t="shared" si="576"/>
        <v/>
      </c>
      <c r="BB1314" s="27" t="str">
        <f t="shared" si="577"/>
        <v/>
      </c>
      <c r="BC1314" s="27" t="str">
        <f t="shared" si="578"/>
        <v/>
      </c>
      <c r="BD1314" s="27" t="str">
        <f t="shared" si="579"/>
        <v/>
      </c>
      <c r="BE1314" s="27" t="str">
        <f t="shared" si="580"/>
        <v/>
      </c>
      <c r="BF1314" s="27" t="str">
        <f t="shared" si="581"/>
        <v/>
      </c>
      <c r="BG1314" s="27" t="str">
        <f t="shared" si="582"/>
        <v/>
      </c>
      <c r="BH1314" s="27" t="str">
        <f t="shared" si="583"/>
        <v/>
      </c>
      <c r="BI1314" s="27" t="str">
        <f t="shared" si="584"/>
        <v/>
      </c>
      <c r="BJ1314" s="27" t="str">
        <f t="shared" si="585"/>
        <v/>
      </c>
      <c r="BK1314" s="27" t="str">
        <f t="shared" si="586"/>
        <v/>
      </c>
      <c r="BL1314" s="27" t="str">
        <f t="shared" si="587"/>
        <v/>
      </c>
      <c r="BM1314" s="21" t="s">
        <v>5581</v>
      </c>
    </row>
    <row r="1315" spans="1:65" ht="15">
      <c r="A1315" s="25">
        <f>IFERROR(INDEX('Hun Demand'!W:W,MATCH(O1315,'Hun Demand'!A:A,0)),"")</f>
        <v>0</v>
      </c>
      <c r="B1315" s="25">
        <f>IFERROR(INDEX('Hun Demand'!V:V,MATCH(O1315,'Hun Demand'!A:A,0)),"")</f>
        <v>0</v>
      </c>
      <c r="C1315" s="25">
        <f>IFERROR(INDEX('Hun Demand'!U:U,MATCH(O1315,'Hun Demand'!A:A,0)),"")</f>
        <v>0</v>
      </c>
      <c r="D1315" s="25">
        <f>IFERROR(INDEX('Hun Demand'!T:T,MATCH(O1315,'Hun Demand'!A:A,0)),"")</f>
        <v>0</v>
      </c>
      <c r="E1315" s="25">
        <f>IFERROR(INDEX('Hun Demand'!S:S,MATCH(O1315,'Hun Demand'!A:A,0)),"")</f>
        <v>0</v>
      </c>
      <c r="F1315" s="25">
        <f>IFERROR(INDEX('Hun Demand'!R:R,MATCH(O1315,'Hun Demand'!A:A,0)),"")</f>
        <v>0</v>
      </c>
      <c r="G1315" s="25">
        <f>IFERROR(INDEX('Aub Demand'!W:W,MATCH(O1315,'Aub Demand'!A:A,0)),"")</f>
        <v>0</v>
      </c>
      <c r="H1315" s="25">
        <f>IFERROR(INDEX('Aub Demand'!V:V,MATCH(O1315,'Aub Demand'!A:A,0)),"")</f>
        <v>0</v>
      </c>
      <c r="I1315" s="25">
        <f>IFERROR(INDEX('Aub Demand'!U:U,MATCH(O1315,'Aub Demand'!A:A,0)),"")</f>
        <v>0</v>
      </c>
      <c r="J1315" s="25">
        <f>IFERROR(INDEX('Aub Demand'!T:T,MATCH(O1315,'Aub Demand'!A:A,0)),"")</f>
        <v>0</v>
      </c>
      <c r="K1315" s="25">
        <f>IFERROR(INDEX('Aub Demand'!S:S,MATCH(O1315,'Aub Demand'!A:A,0)),"")</f>
        <v>0</v>
      </c>
      <c r="L1315" s="25">
        <f>IFERROR(INDEX('Aub Demand'!R:R,MATCH(O1315,'Aub Demand'!A:A,0)),"")</f>
        <v>0</v>
      </c>
      <c r="O1315" s="27" t="s">
        <v>2932</v>
      </c>
      <c r="P1315" s="27" t="str">
        <f>IFERROR(INDEX('Aub Demand'!B:B,MATCH($O1315,'Aub Demand'!$A:$A,0)),"")</f>
        <v>SOVEREIGN CHERRY</v>
      </c>
      <c r="Q1315" s="27" t="str">
        <f>IFERROR(INDEX('Aub Demand'!C:C,MATCH($O1315,'Aub Demand'!$A:$A,0)),"")</f>
        <v>INTER</v>
      </c>
      <c r="R1315" s="52">
        <f>IFERROR(IF(AR1316=AR1315,INDEX('Aub Demand'!K:K,MATCH($O1315,'Aub Demand'!$A:$A,0))-IF(AN1315="",0,AN1315)+AP1316,INDEX('Aub Demand'!K:K,MATCH($O1315,'Aub Demand'!$A:$A,0))-IF(AN1315="",0,AN1315)),"")</f>
        <v>753</v>
      </c>
      <c r="S1315" s="53" t="str">
        <f t="shared" si="560"/>
        <v>n/a</v>
      </c>
      <c r="T1315" s="52" t="str">
        <f t="shared" si="561"/>
        <v/>
      </c>
      <c r="U1315" s="52">
        <f>IFERROR(IF(AR1316=AR1315,INDEX('Aub Demand'!Q:Q,MATCH($O1315,'Aub Demand'!$A:$A,0))-IF(AN1315="",0,AN1315)+AP1316,INDEX('Aub Demand'!Q:Q,MATCH($O1315,'Aub Demand'!$A:$A,0))-IF(AN1315="",0,AN1315)),"")</f>
        <v>753</v>
      </c>
      <c r="V1315" s="53" t="str">
        <f t="shared" si="562"/>
        <v>n/a</v>
      </c>
      <c r="W1315" s="52" t="str">
        <f t="shared" si="563"/>
        <v/>
      </c>
      <c r="X1315" s="52">
        <f>IFERROR(IF(AND(AR1316=AR1315,AM1315&lt;&gt;""),INDEX('Aub Demand'!Q:Q,MATCH($O1315,'Aub Demand'!$A:$A,0))-IF(AN1315="",0,AN1315)+AP1316+AD1315+AL1315,IF(AR1316=AR1315,INDEX('Aub Demand'!Q:Q,MATCH($O1315,'Aub Demand'!$A:$A,0))-IF(AN1315="",0,AN1315)+AP1316+AD1315,IF(AM1315&lt;&gt;"",INDEX('Aub Demand'!Q:Q,MATCH($O1315,'Aub Demand'!$A:$A,0))-IF(AN1315="",0,AN1315)+AD1315+AL1315,INDEX('Aub Demand'!Q:Q,MATCH($O1315,'Aub Demand'!$A:$A,0))-IF(AN1315="",0,AN1315)+AD1315))),"")</f>
        <v>753</v>
      </c>
      <c r="Y1315" s="53" t="str">
        <f t="shared" si="564"/>
        <v>n/a</v>
      </c>
      <c r="Z1315" s="52">
        <f>IF(L1315="","",INDEX('Aub Demand'!H:H,MATCH($O1315,'Aub Demand'!$A:$A,0)))</f>
        <v>0</v>
      </c>
      <c r="AA1315" s="52" t="str">
        <f t="shared" si="565"/>
        <v>-spike-</v>
      </c>
      <c r="AB1315" s="52">
        <f>IFERROR(INDEX('Aub Demand'!L:L,MATCH($O1315,'Aub Demand'!$A:$A,0)),"")</f>
        <v>0</v>
      </c>
      <c r="AC1315" s="52">
        <f>IFERROR(IF(O1315="","",SUMIFS('CPL Mats'!F:F,'CPL Mats'!Q:Q,AR1315,'CPL Mats'!S:S,AS1315)),"")</f>
        <v>0</v>
      </c>
      <c r="AF1315" s="25" t="str">
        <f>IF(SUMIFS('Supp Consol'!S:S,'Supp Consol'!Y:Y,"Releasable",'Supp Consol'!A:A,O1315)=0,"",SUMIFS('Supp Consol'!S:S,'Supp Consol'!Y:Y,"Releasable",'Supp Consol'!A:A,O1315))</f>
        <v/>
      </c>
      <c r="AG1315" s="25">
        <f>IFERROR(INDEX('Hun Demand'!Q:Q,MATCH(O1315,'Hun Demand'!A:A,0)),"")</f>
        <v>311</v>
      </c>
      <c r="AH1315" s="25">
        <f>IFERROR(INDEX('Hun Demand'!H:H,MATCH($O1315,'Hun Demand'!$A:$A,0)),"")</f>
        <v>0</v>
      </c>
      <c r="AI1315" s="25" t="str">
        <f>IF(SUMIFS('Supp Consol'!AA:AA,'Supp Consol'!Z:Z,"Expires this month",'Supp Consol'!A:A,O1315)=0,"",SUMIFS('Supp Consol'!AA:AA,'Supp Consol'!Z:Z,"Expires this month",'Supp Consol'!A:A,O1315))</f>
        <v/>
      </c>
      <c r="AJ1315" s="25" t="str">
        <f>IF(SUMIFS('Supp Consol'!AA:AA,'Supp Consol'!Z:Z,"Expired Previous Months",'Supp Consol'!A:A,O1315)=0,"",SUMIFS('Supp Consol'!AA:AA,'Supp Consol'!Z:Z,"Expired Previous Months",'Supp Consol'!A:A,O1315))</f>
        <v/>
      </c>
      <c r="AK1315" s="25" t="str">
        <f>IFERROR(INDEX('Hun Release Current'!B:B,MATCH(O1315,'Hun Release Current'!A:A,0)),"")</f>
        <v/>
      </c>
      <c r="AL1315" s="25" t="str">
        <f>IF(SUMIF('Prev Aub'!A:A,O1315,'Prev Aub'!B:B)=0,"",SUMIF('Prev Aub'!A:A,O1315,'Prev Aub'!B:B))</f>
        <v/>
      </c>
      <c r="AN1315" s="25" t="s">
        <v>3790</v>
      </c>
      <c r="AO1315" s="25" t="s">
        <v>3790</v>
      </c>
      <c r="AP1315" s="25">
        <f t="shared" si="566"/>
        <v>0</v>
      </c>
      <c r="AQ1315" s="151" t="str">
        <f>IF(SUMIFS('Supp Consol'!S:S,'Supp Consol'!A:A,O1315,'Supp Consol'!I:I,"PENDING")=0,"",SUMIFS('Supp Consol'!S:S,'Supp Consol'!A:A,O1315,'Supp Consol'!I:I,"PENDING"))</f>
        <v/>
      </c>
      <c r="AR1315" s="27" t="str">
        <f t="shared" si="567"/>
        <v>WC291</v>
      </c>
      <c r="AS1315" s="27" t="str">
        <f t="shared" si="568"/>
        <v>50</v>
      </c>
      <c r="AT1315" s="27" t="str">
        <f t="shared" si="569"/>
        <v/>
      </c>
      <c r="AU1315" s="27" t="str">
        <f t="shared" si="570"/>
        <v/>
      </c>
      <c r="AV1315" s="27" t="str">
        <f t="shared" si="571"/>
        <v/>
      </c>
      <c r="AW1315" s="27" t="str">
        <f t="shared" si="572"/>
        <v/>
      </c>
      <c r="AX1315" s="27" t="str">
        <f t="shared" si="573"/>
        <v/>
      </c>
      <c r="AY1315" s="27" t="str">
        <f t="shared" si="574"/>
        <v>WC291</v>
      </c>
      <c r="AZ1315" s="27" t="str">
        <f t="shared" si="575"/>
        <v/>
      </c>
      <c r="BA1315" s="27" t="str">
        <f t="shared" si="576"/>
        <v>Hun</v>
      </c>
      <c r="BB1315" s="27" t="str">
        <f t="shared" si="577"/>
        <v/>
      </c>
      <c r="BC1315" s="27" t="str">
        <f t="shared" si="578"/>
        <v/>
      </c>
      <c r="BD1315" s="27" t="str">
        <f t="shared" si="579"/>
        <v/>
      </c>
      <c r="BE1315" s="27" t="str">
        <f t="shared" si="580"/>
        <v/>
      </c>
      <c r="BF1315" s="27" t="str">
        <f t="shared" si="581"/>
        <v/>
      </c>
      <c r="BG1315" s="27" t="str">
        <f t="shared" si="582"/>
        <v/>
      </c>
      <c r="BH1315" s="27" t="str">
        <f t="shared" si="583"/>
        <v/>
      </c>
      <c r="BI1315" s="27" t="str">
        <f t="shared" si="584"/>
        <v/>
      </c>
      <c r="BJ1315" s="27" t="str">
        <f t="shared" si="585"/>
        <v>Supp or Hun</v>
      </c>
      <c r="BK1315" s="27" t="str">
        <f t="shared" si="586"/>
        <v/>
      </c>
      <c r="BL1315" s="27" t="str">
        <f t="shared" si="587"/>
        <v/>
      </c>
      <c r="BM1315" s="21" t="s">
        <v>3790</v>
      </c>
    </row>
    <row r="1316" spans="1:65" ht="15">
      <c r="A1316" s="25" t="str">
        <f>IFERROR(INDEX('Hun Demand'!W:W,MATCH(O1316,'Hun Demand'!A:A,0)),"")</f>
        <v/>
      </c>
      <c r="B1316" s="25" t="str">
        <f>IFERROR(INDEX('Hun Demand'!V:V,MATCH(O1316,'Hun Demand'!A:A,0)),"")</f>
        <v/>
      </c>
      <c r="C1316" s="25" t="str">
        <f>IFERROR(INDEX('Hun Demand'!U:U,MATCH(O1316,'Hun Demand'!A:A,0)),"")</f>
        <v/>
      </c>
      <c r="D1316" s="25" t="str">
        <f>IFERROR(INDEX('Hun Demand'!T:T,MATCH(O1316,'Hun Demand'!A:A,0)),"")</f>
        <v/>
      </c>
      <c r="E1316" s="25" t="str">
        <f>IFERROR(INDEX('Hun Demand'!S:S,MATCH(O1316,'Hun Demand'!A:A,0)),"")</f>
        <v/>
      </c>
      <c r="F1316" s="25" t="str">
        <f>IFERROR(INDEX('Hun Demand'!R:R,MATCH(O1316,'Hun Demand'!A:A,0)),"")</f>
        <v/>
      </c>
      <c r="G1316" s="25">
        <f>IFERROR(INDEX('Aub Demand'!W:W,MATCH(O1316,'Aub Demand'!A:A,0)),"")</f>
        <v>0</v>
      </c>
      <c r="H1316" s="25">
        <f>IFERROR(INDEX('Aub Demand'!V:V,MATCH(O1316,'Aub Demand'!A:A,0)),"")</f>
        <v>0</v>
      </c>
      <c r="I1316" s="25">
        <f>IFERROR(INDEX('Aub Demand'!U:U,MATCH(O1316,'Aub Demand'!A:A,0)),"")</f>
        <v>20</v>
      </c>
      <c r="J1316" s="25">
        <f>IFERROR(INDEX('Aub Demand'!T:T,MATCH(O1316,'Aub Demand'!A:A,0)),"")</f>
        <v>12</v>
      </c>
      <c r="K1316" s="25">
        <f>IFERROR(INDEX('Aub Demand'!S:S,MATCH(O1316,'Aub Demand'!A:A,0)),"")</f>
        <v>0</v>
      </c>
      <c r="L1316" s="25">
        <f>IFERROR(INDEX('Aub Demand'!R:R,MATCH(O1316,'Aub Demand'!A:A,0)),"")</f>
        <v>0</v>
      </c>
      <c r="O1316" s="27" t="s">
        <v>5303</v>
      </c>
      <c r="P1316" s="27" t="str">
        <f>IFERROR(INDEX('Aub Demand'!B:B,MATCH($O1316,'Aub Demand'!$A:$A,0)),"")</f>
        <v>CAMBRIDGE CHERRY 50"</v>
      </c>
      <c r="Q1316" s="27" t="str">
        <f>IFERROR(INDEX('Aub Demand'!C:C,MATCH($O1316,'Aub Demand'!$A:$A,0)),"")</f>
        <v>TOPPA</v>
      </c>
      <c r="R1316" s="52">
        <f>IFERROR(IF(AR1317=AR1316,INDEX('Aub Demand'!K:K,MATCH($O1316,'Aub Demand'!$A:$A,0))-IF(AN1316="",0,AN1316)+AP1317,INDEX('Aub Demand'!K:K,MATCH($O1316,'Aub Demand'!$A:$A,0))-IF(AN1316="",0,AN1316)),"")</f>
        <v>0</v>
      </c>
      <c r="S1316" s="53">
        <f t="shared" si="560"/>
        <v>0</v>
      </c>
      <c r="T1316" s="52">
        <f t="shared" si="561"/>
        <v>12</v>
      </c>
      <c r="U1316" s="52">
        <f>IFERROR(IF(AR1317=AR1316,INDEX('Aub Demand'!Q:Q,MATCH($O1316,'Aub Demand'!$A:$A,0))-IF(AN1316="",0,AN1316)+AP1317,INDEX('Aub Demand'!Q:Q,MATCH($O1316,'Aub Demand'!$A:$A,0))-IF(AN1316="",0,AN1316)),"")</f>
        <v>0</v>
      </c>
      <c r="V1316" s="53">
        <f t="shared" si="562"/>
        <v>0</v>
      </c>
      <c r="W1316" s="52">
        <f t="shared" si="563"/>
        <v>12</v>
      </c>
      <c r="X1316" s="52">
        <f>IFERROR(IF(AND(AR1317=AR1316,AM1316&lt;&gt;""),INDEX('Aub Demand'!Q:Q,MATCH($O1316,'Aub Demand'!$A:$A,0))-IF(AN1316="",0,AN1316)+AP1317+AD1316+AL1316,IF(AR1317=AR1316,INDEX('Aub Demand'!Q:Q,MATCH($O1316,'Aub Demand'!$A:$A,0))-IF(AN1316="",0,AN1316)+AP1317+AD1316,IF(AM1316&lt;&gt;"",INDEX('Aub Demand'!Q:Q,MATCH($O1316,'Aub Demand'!$A:$A,0))-IF(AN1316="",0,AN1316)+AD1316+AL1316,INDEX('Aub Demand'!Q:Q,MATCH($O1316,'Aub Demand'!$A:$A,0))-IF(AN1316="",0,AN1316)+AD1316))),"")</f>
        <v>0</v>
      </c>
      <c r="Y1316" s="53">
        <f t="shared" si="564"/>
        <v>0</v>
      </c>
      <c r="Z1316" s="52">
        <f>IF(L1316="","",INDEX('Aub Demand'!H:H,MATCH($O1316,'Aub Demand'!$A:$A,0)))</f>
        <v>11</v>
      </c>
      <c r="AA1316" s="52">
        <f t="shared" si="565"/>
        <v>16</v>
      </c>
      <c r="AB1316" s="52">
        <f>IFERROR(INDEX('Aub Demand'!L:L,MATCH($O1316,'Aub Demand'!$A:$A,0)),"")</f>
        <v>5</v>
      </c>
      <c r="AC1316" s="52">
        <f>IFERROR(IF(O1316="","",SUMIFS('CPL Mats'!F:F,'CPL Mats'!Q:Q,AR1316,'CPL Mats'!S:S,AS1316)),"")</f>
        <v>0</v>
      </c>
      <c r="AF1316" s="25" t="str">
        <f>IF(SUMIFS('Supp Consol'!S:S,'Supp Consol'!Y:Y,"Releasable",'Supp Consol'!A:A,O1316)=0,"",SUMIFS('Supp Consol'!S:S,'Supp Consol'!Y:Y,"Releasable",'Supp Consol'!A:A,O1316))</f>
        <v/>
      </c>
      <c r="AG1316" s="25" t="str">
        <f>IFERROR(INDEX('Hun Demand'!Q:Q,MATCH(O1316,'Hun Demand'!A:A,0)),"")</f>
        <v/>
      </c>
      <c r="AH1316" s="25" t="str">
        <f>IFERROR(INDEX('Hun Demand'!H:H,MATCH($O1316,'Hun Demand'!$A:$A,0)),"")</f>
        <v/>
      </c>
      <c r="AI1316" s="25" t="str">
        <f>IF(SUMIFS('Supp Consol'!AA:AA,'Supp Consol'!Z:Z,"Expires this month",'Supp Consol'!A:A,O1316)=0,"",SUMIFS('Supp Consol'!AA:AA,'Supp Consol'!Z:Z,"Expires this month",'Supp Consol'!A:A,O1316))</f>
        <v/>
      </c>
      <c r="AJ1316" s="25" t="str">
        <f>IF(SUMIFS('Supp Consol'!AA:AA,'Supp Consol'!Z:Z,"Expired Previous Months",'Supp Consol'!A:A,O1316)=0,"",SUMIFS('Supp Consol'!AA:AA,'Supp Consol'!Z:Z,"Expired Previous Months",'Supp Consol'!A:A,O1316))</f>
        <v/>
      </c>
      <c r="AK1316" s="25" t="str">
        <f>IFERROR(INDEX('Hun Release Current'!B:B,MATCH(O1316,'Hun Release Current'!A:A,0)),"")</f>
        <v/>
      </c>
      <c r="AL1316" s="25" t="str">
        <f>IF(SUMIF('Prev Aub'!A:A,O1316,'Prev Aub'!B:B)=0,"",SUMIF('Prev Aub'!A:A,O1316,'Prev Aub'!B:B))</f>
        <v/>
      </c>
      <c r="AN1316" s="25" t="s">
        <v>3790</v>
      </c>
      <c r="AO1316" s="25" t="s">
        <v>3790</v>
      </c>
      <c r="AP1316" s="25">
        <f t="shared" si="566"/>
        <v>0</v>
      </c>
      <c r="AQ1316" s="151" t="str">
        <f>IF(SUMIFS('Supp Consol'!S:S,'Supp Consol'!A:A,O1316,'Supp Consol'!I:I,"PENDING")=0,"",SUMIFS('Supp Consol'!S:S,'Supp Consol'!A:A,O1316,'Supp Consol'!I:I,"PENDING"))</f>
        <v/>
      </c>
      <c r="AR1316" s="27" t="str">
        <f t="shared" si="567"/>
        <v>WC301</v>
      </c>
      <c r="AS1316" s="27" t="str">
        <f t="shared" si="568"/>
        <v>50</v>
      </c>
      <c r="AT1316" s="27" t="str">
        <f t="shared" si="569"/>
        <v>WC301</v>
      </c>
      <c r="AU1316" s="27" t="str">
        <f t="shared" si="570"/>
        <v>WC301</v>
      </c>
      <c r="AV1316" s="27" t="str">
        <f t="shared" si="571"/>
        <v>WC301</v>
      </c>
      <c r="AW1316" s="27" t="str">
        <f t="shared" si="572"/>
        <v/>
      </c>
      <c r="AX1316" s="27" t="str">
        <f t="shared" si="573"/>
        <v/>
      </c>
      <c r="AY1316" s="27" t="str">
        <f t="shared" si="574"/>
        <v/>
      </c>
      <c r="AZ1316" s="27" t="str">
        <f t="shared" si="575"/>
        <v/>
      </c>
      <c r="BA1316" s="27" t="str">
        <f t="shared" si="576"/>
        <v/>
      </c>
      <c r="BB1316" s="27" t="str">
        <f t="shared" si="577"/>
        <v>Gross</v>
      </c>
      <c r="BC1316" s="27" t="str">
        <f t="shared" si="578"/>
        <v>Net</v>
      </c>
      <c r="BD1316" s="27" t="str">
        <f t="shared" si="579"/>
        <v>Net</v>
      </c>
      <c r="BE1316" s="27" t="str">
        <f t="shared" si="580"/>
        <v/>
      </c>
      <c r="BF1316" s="27" t="str">
        <f t="shared" si="581"/>
        <v/>
      </c>
      <c r="BG1316" s="27" t="str">
        <f t="shared" si="582"/>
        <v/>
      </c>
      <c r="BH1316" s="27" t="str">
        <f t="shared" si="583"/>
        <v/>
      </c>
      <c r="BI1316" s="27" t="str">
        <f t="shared" si="584"/>
        <v/>
      </c>
      <c r="BJ1316" s="27" t="str">
        <f t="shared" si="585"/>
        <v/>
      </c>
      <c r="BK1316" s="27" t="str">
        <f t="shared" si="586"/>
        <v/>
      </c>
      <c r="BL1316" s="27" t="str">
        <f t="shared" si="587"/>
        <v/>
      </c>
      <c r="BM1316" s="21" t="s">
        <v>5581</v>
      </c>
    </row>
    <row r="1317" spans="1:65" ht="15">
      <c r="A1317" s="25" t="str">
        <f>IFERROR(INDEX('Hun Demand'!W:W,MATCH(O1317,'Hun Demand'!A:A,0)),"")</f>
        <v/>
      </c>
      <c r="B1317" s="25" t="str">
        <f>IFERROR(INDEX('Hun Demand'!V:V,MATCH(O1317,'Hun Demand'!A:A,0)),"")</f>
        <v/>
      </c>
      <c r="C1317" s="25" t="str">
        <f>IFERROR(INDEX('Hun Demand'!U:U,MATCH(O1317,'Hun Demand'!A:A,0)),"")</f>
        <v/>
      </c>
      <c r="D1317" s="25" t="str">
        <f>IFERROR(INDEX('Hun Demand'!T:T,MATCH(O1317,'Hun Demand'!A:A,0)),"")</f>
        <v/>
      </c>
      <c r="E1317" s="25" t="str">
        <f>IFERROR(INDEX('Hun Demand'!S:S,MATCH(O1317,'Hun Demand'!A:A,0)),"")</f>
        <v/>
      </c>
      <c r="F1317" s="25" t="str">
        <f>IFERROR(INDEX('Hun Demand'!R:R,MATCH(O1317,'Hun Demand'!A:A,0)),"")</f>
        <v/>
      </c>
      <c r="G1317" s="25">
        <f>IFERROR(INDEX('Aub Demand'!W:W,MATCH(O1317,'Aub Demand'!A:A,0)),"")</f>
        <v>225</v>
      </c>
      <c r="H1317" s="25">
        <f>IFERROR(INDEX('Aub Demand'!V:V,MATCH(O1317,'Aub Demand'!A:A,0)),"")</f>
        <v>0</v>
      </c>
      <c r="I1317" s="25">
        <f>IFERROR(INDEX('Aub Demand'!U:U,MATCH(O1317,'Aub Demand'!A:A,0)),"")</f>
        <v>17</v>
      </c>
      <c r="J1317" s="25">
        <f>IFERROR(INDEX('Aub Demand'!T:T,MATCH(O1317,'Aub Demand'!A:A,0)),"")</f>
        <v>0</v>
      </c>
      <c r="K1317" s="25">
        <f>IFERROR(INDEX('Aub Demand'!S:S,MATCH(O1317,'Aub Demand'!A:A,0)),"")</f>
        <v>0</v>
      </c>
      <c r="L1317" s="25">
        <f>IFERROR(INDEX('Aub Demand'!R:R,MATCH(O1317,'Aub Demand'!A:A,0)),"")</f>
        <v>0</v>
      </c>
      <c r="O1317" s="27" t="s">
        <v>2935</v>
      </c>
      <c r="P1317" s="27" t="str">
        <f>IFERROR(INDEX('Aub Demand'!B:B,MATCH($O1317,'Aub Demand'!$A:$A,0)),"")</f>
        <v>CAMBRIDGE CHERRY 62"</v>
      </c>
      <c r="Q1317" s="27" t="str">
        <f>IFERROR(INDEX('Aub Demand'!C:C,MATCH($O1317,'Aub Demand'!$A:$A,0)),"")</f>
        <v>TOPPA</v>
      </c>
      <c r="R1317" s="52">
        <f>IFERROR(IF(AR1318=AR1317,INDEX('Aub Demand'!K:K,MATCH($O1317,'Aub Demand'!$A:$A,0))-IF(AN1317="",0,AN1317)+AP1318,INDEX('Aub Demand'!K:K,MATCH($O1317,'Aub Demand'!$A:$A,0))-IF(AN1317="",0,AN1317)),"")</f>
        <v>242</v>
      </c>
      <c r="S1317" s="53">
        <f t="shared" si="560"/>
        <v>172.9</v>
      </c>
      <c r="T1317" s="52" t="str">
        <f t="shared" si="561"/>
        <v/>
      </c>
      <c r="U1317" s="52">
        <f>IFERROR(IF(AR1318=AR1317,INDEX('Aub Demand'!Q:Q,MATCH($O1317,'Aub Demand'!$A:$A,0))-IF(AN1317="",0,AN1317)+AP1318,INDEX('Aub Demand'!Q:Q,MATCH($O1317,'Aub Demand'!$A:$A,0))-IF(AN1317="",0,AN1317)),"")</f>
        <v>242</v>
      </c>
      <c r="V1317" s="53">
        <f t="shared" si="562"/>
        <v>172.9</v>
      </c>
      <c r="W1317" s="52" t="str">
        <f t="shared" si="563"/>
        <v/>
      </c>
      <c r="X1317" s="52">
        <f>IFERROR(IF(AND(AR1318=AR1317,AM1317&lt;&gt;""),INDEX('Aub Demand'!Q:Q,MATCH($O1317,'Aub Demand'!$A:$A,0))-IF(AN1317="",0,AN1317)+AP1318+AD1317+AL1317,IF(AR1318=AR1317,INDEX('Aub Demand'!Q:Q,MATCH($O1317,'Aub Demand'!$A:$A,0))-IF(AN1317="",0,AN1317)+AP1318+AD1317,IF(AM1317&lt;&gt;"",INDEX('Aub Demand'!Q:Q,MATCH($O1317,'Aub Demand'!$A:$A,0))-IF(AN1317="",0,AN1317)+AD1317+AL1317,INDEX('Aub Demand'!Q:Q,MATCH($O1317,'Aub Demand'!$A:$A,0))-IF(AN1317="",0,AN1317)+AD1317))),"")</f>
        <v>242</v>
      </c>
      <c r="Y1317" s="53">
        <f t="shared" si="564"/>
        <v>172.9</v>
      </c>
      <c r="Z1317" s="52">
        <f>IF(L1317="","",INDEX('Aub Demand'!H:H,MATCH($O1317,'Aub Demand'!$A:$A,0)))</f>
        <v>6</v>
      </c>
      <c r="AA1317" s="52" t="str">
        <f t="shared" si="565"/>
        <v>-spike-</v>
      </c>
      <c r="AB1317" s="52">
        <f>IFERROR(INDEX('Aub Demand'!L:L,MATCH($O1317,'Aub Demand'!$A:$A,0)),"")</f>
        <v>0</v>
      </c>
      <c r="AC1317" s="52">
        <f>IFERROR(IF(O1317="","",SUMIFS('CPL Mats'!F:F,'CPL Mats'!Q:Q,AR1317,'CPL Mats'!S:S,AS1317)),"")</f>
        <v>0</v>
      </c>
      <c r="AF1317" s="25" t="str">
        <f>IF(SUMIFS('Supp Consol'!S:S,'Supp Consol'!Y:Y,"Releasable",'Supp Consol'!A:A,O1317)=0,"",SUMIFS('Supp Consol'!S:S,'Supp Consol'!Y:Y,"Releasable",'Supp Consol'!A:A,O1317))</f>
        <v/>
      </c>
      <c r="AG1317" s="25" t="str">
        <f>IFERROR(INDEX('Hun Demand'!Q:Q,MATCH(O1317,'Hun Demand'!A:A,0)),"")</f>
        <v/>
      </c>
      <c r="AH1317" s="25" t="str">
        <f>IFERROR(INDEX('Hun Demand'!H:H,MATCH($O1317,'Hun Demand'!$A:$A,0)),"")</f>
        <v/>
      </c>
      <c r="AI1317" s="25" t="str">
        <f>IF(SUMIFS('Supp Consol'!AA:AA,'Supp Consol'!Z:Z,"Expires this month",'Supp Consol'!A:A,O1317)=0,"",SUMIFS('Supp Consol'!AA:AA,'Supp Consol'!Z:Z,"Expires this month",'Supp Consol'!A:A,O1317))</f>
        <v/>
      </c>
      <c r="AJ1317" s="25" t="str">
        <f>IF(SUMIFS('Supp Consol'!AA:AA,'Supp Consol'!Z:Z,"Expired Previous Months",'Supp Consol'!A:A,O1317)=0,"",SUMIFS('Supp Consol'!AA:AA,'Supp Consol'!Z:Z,"Expired Previous Months",'Supp Consol'!A:A,O1317))</f>
        <v/>
      </c>
      <c r="AK1317" s="25" t="str">
        <f>IFERROR(INDEX('Hun Release Current'!B:B,MATCH(O1317,'Hun Release Current'!A:A,0)),"")</f>
        <v/>
      </c>
      <c r="AL1317" s="25" t="str">
        <f>IF(SUMIF('Prev Aub'!A:A,O1317,'Prev Aub'!B:B)=0,"",SUMIF('Prev Aub'!A:A,O1317,'Prev Aub'!B:B))</f>
        <v/>
      </c>
      <c r="AN1317" s="25" t="s">
        <v>3790</v>
      </c>
      <c r="AO1317" s="25" t="s">
        <v>3790</v>
      </c>
      <c r="AP1317" s="25">
        <f t="shared" si="566"/>
        <v>0</v>
      </c>
      <c r="AQ1317" s="151" t="str">
        <f>IF(SUMIFS('Supp Consol'!S:S,'Supp Consol'!A:A,O1317,'Supp Consol'!I:I,"PENDING")=0,"",SUMIFS('Supp Consol'!S:S,'Supp Consol'!A:A,O1317,'Supp Consol'!I:I,"PENDING"))</f>
        <v/>
      </c>
      <c r="AR1317" s="27" t="str">
        <f t="shared" si="567"/>
        <v>WC301</v>
      </c>
      <c r="AS1317" s="27" t="str">
        <f t="shared" si="568"/>
        <v>62</v>
      </c>
      <c r="AT1317" s="27" t="str">
        <f t="shared" si="569"/>
        <v/>
      </c>
      <c r="AU1317" s="27" t="str">
        <f t="shared" si="570"/>
        <v/>
      </c>
      <c r="AV1317" s="27" t="str">
        <f t="shared" si="571"/>
        <v/>
      </c>
      <c r="AW1317" s="27" t="str">
        <f t="shared" si="572"/>
        <v/>
      </c>
      <c r="AX1317" s="27" t="str">
        <f t="shared" si="573"/>
        <v/>
      </c>
      <c r="AY1317" s="27" t="str">
        <f t="shared" si="574"/>
        <v/>
      </c>
      <c r="AZ1317" s="27" t="str">
        <f t="shared" si="575"/>
        <v/>
      </c>
      <c r="BA1317" s="27" t="str">
        <f t="shared" si="576"/>
        <v/>
      </c>
      <c r="BB1317" s="27" t="str">
        <f t="shared" si="577"/>
        <v>Gross</v>
      </c>
      <c r="BC1317" s="27" t="str">
        <f t="shared" si="578"/>
        <v>Net</v>
      </c>
      <c r="BD1317" s="27" t="str">
        <f t="shared" si="579"/>
        <v>Net</v>
      </c>
      <c r="BE1317" s="27" t="str">
        <f t="shared" si="580"/>
        <v/>
      </c>
      <c r="BF1317" s="27" t="str">
        <f t="shared" si="581"/>
        <v/>
      </c>
      <c r="BG1317" s="27" t="str">
        <f t="shared" si="582"/>
        <v/>
      </c>
      <c r="BH1317" s="27" t="str">
        <f t="shared" si="583"/>
        <v/>
      </c>
      <c r="BI1317" s="27" t="str">
        <f t="shared" si="584"/>
        <v/>
      </c>
      <c r="BJ1317" s="27" t="str">
        <f t="shared" si="585"/>
        <v/>
      </c>
      <c r="BK1317" s="27" t="str">
        <f t="shared" si="586"/>
        <v/>
      </c>
      <c r="BL1317" s="27" t="str">
        <f t="shared" si="587"/>
        <v/>
      </c>
      <c r="BM1317" s="21" t="s">
        <v>5581</v>
      </c>
    </row>
    <row r="1318" spans="1:65" ht="15">
      <c r="A1318" s="25" t="str">
        <f>IFERROR(INDEX('Hun Demand'!W:W,MATCH(O1318,'Hun Demand'!A:A,0)),"")</f>
        <v/>
      </c>
      <c r="B1318" s="25" t="str">
        <f>IFERROR(INDEX('Hun Demand'!V:V,MATCH(O1318,'Hun Demand'!A:A,0)),"")</f>
        <v/>
      </c>
      <c r="C1318" s="25" t="str">
        <f>IFERROR(INDEX('Hun Demand'!U:U,MATCH(O1318,'Hun Demand'!A:A,0)),"")</f>
        <v/>
      </c>
      <c r="D1318" s="25" t="str">
        <f>IFERROR(INDEX('Hun Demand'!T:T,MATCH(O1318,'Hun Demand'!A:A,0)),"")</f>
        <v/>
      </c>
      <c r="E1318" s="25" t="str">
        <f>IFERROR(INDEX('Hun Demand'!S:S,MATCH(O1318,'Hun Demand'!A:A,0)),"")</f>
        <v/>
      </c>
      <c r="F1318" s="25" t="str">
        <f>IFERROR(INDEX('Hun Demand'!R:R,MATCH(O1318,'Hun Demand'!A:A,0)),"")</f>
        <v/>
      </c>
      <c r="G1318" s="25">
        <f>IFERROR(INDEX('Aub Demand'!W:W,MATCH(O1318,'Aub Demand'!A:A,0)),"")</f>
        <v>40</v>
      </c>
      <c r="H1318" s="25">
        <f>IFERROR(INDEX('Aub Demand'!V:V,MATCH(O1318,'Aub Demand'!A:A,0)),"")</f>
        <v>0</v>
      </c>
      <c r="I1318" s="25">
        <f>IFERROR(INDEX('Aub Demand'!U:U,MATCH(O1318,'Aub Demand'!A:A,0)),"")</f>
        <v>99</v>
      </c>
      <c r="J1318" s="25">
        <f>IFERROR(INDEX('Aub Demand'!T:T,MATCH(O1318,'Aub Demand'!A:A,0)),"")</f>
        <v>17</v>
      </c>
      <c r="K1318" s="25">
        <f>IFERROR(INDEX('Aub Demand'!S:S,MATCH(O1318,'Aub Demand'!A:A,0)),"")</f>
        <v>0</v>
      </c>
      <c r="L1318" s="25">
        <f>IFERROR(INDEX('Aub Demand'!R:R,MATCH(O1318,'Aub Demand'!A:A,0)),"")</f>
        <v>0</v>
      </c>
      <c r="O1318" s="27" t="s">
        <v>1628</v>
      </c>
      <c r="P1318" s="27" t="str">
        <f>IFERROR(INDEX('Aub Demand'!B:B,MATCH($O1318,'Aub Demand'!$A:$A,0)),"")</f>
        <v>VICTORIAN CHERRY</v>
      </c>
      <c r="Q1318" s="27" t="str">
        <f>IFERROR(INDEX('Aub Demand'!C:C,MATCH($O1318,'Aub Demand'!$A:$A,0)),"")</f>
        <v>TOPPA</v>
      </c>
      <c r="R1318" s="52">
        <f>IFERROR(IF(AR1319=AR1318,INDEX('Aub Demand'!K:K,MATCH($O1318,'Aub Demand'!$A:$A,0))-IF(AN1318="",0,AN1318)+AP1319,INDEX('Aub Demand'!K:K,MATCH($O1318,'Aub Demand'!$A:$A,0))-IF(AN1318="",0,AN1318)),"")</f>
        <v>1502</v>
      </c>
      <c r="S1318" s="53">
        <f t="shared" si="560"/>
        <v>165.1</v>
      </c>
      <c r="T1318" s="52" t="str">
        <f t="shared" si="561"/>
        <v/>
      </c>
      <c r="U1318" s="52">
        <f>IFERROR(IF(AR1319=AR1318,INDEX('Aub Demand'!Q:Q,MATCH($O1318,'Aub Demand'!$A:$A,0))-IF(AN1318="",0,AN1318)+AP1319,INDEX('Aub Demand'!Q:Q,MATCH($O1318,'Aub Demand'!$A:$A,0))-IF(AN1318="",0,AN1318)),"")</f>
        <v>1496</v>
      </c>
      <c r="V1318" s="53">
        <f t="shared" si="562"/>
        <v>164.4</v>
      </c>
      <c r="W1318" s="52" t="str">
        <f t="shared" si="563"/>
        <v/>
      </c>
      <c r="X1318" s="52">
        <f>IFERROR(IF(AND(AR1319=AR1318,AM1318&lt;&gt;""),INDEX('Aub Demand'!Q:Q,MATCH($O1318,'Aub Demand'!$A:$A,0))-IF(AN1318="",0,AN1318)+AP1319+AD1318+AL1318,IF(AR1319=AR1318,INDEX('Aub Demand'!Q:Q,MATCH($O1318,'Aub Demand'!$A:$A,0))-IF(AN1318="",0,AN1318)+AP1319+AD1318,IF(AM1318&lt;&gt;"",INDEX('Aub Demand'!Q:Q,MATCH($O1318,'Aub Demand'!$A:$A,0))-IF(AN1318="",0,AN1318)+AD1318+AL1318,INDEX('Aub Demand'!Q:Q,MATCH($O1318,'Aub Demand'!$A:$A,0))-IF(AN1318="",0,AN1318)+AD1318))),"")</f>
        <v>1496</v>
      </c>
      <c r="Y1318" s="53">
        <f t="shared" si="564"/>
        <v>164.4</v>
      </c>
      <c r="Z1318" s="52">
        <f>IF(L1318="","",INDEX('Aub Demand'!H:H,MATCH($O1318,'Aub Demand'!$A:$A,0)))</f>
        <v>39</v>
      </c>
      <c r="AA1318" s="52">
        <f t="shared" si="565"/>
        <v>58</v>
      </c>
      <c r="AB1318" s="52">
        <f>IFERROR(INDEX('Aub Demand'!L:L,MATCH($O1318,'Aub Demand'!$A:$A,0)),"")</f>
        <v>13</v>
      </c>
      <c r="AC1318" s="52">
        <f>IFERROR(IF(O1318="","",SUMIFS('CPL Mats'!F:F,'CPL Mats'!Q:Q,AR1318,'CPL Mats'!S:S,AS1318)),"")</f>
        <v>0</v>
      </c>
      <c r="AF1318" s="25" t="str">
        <f>IF(SUMIFS('Supp Consol'!S:S,'Supp Consol'!Y:Y,"Releasable",'Supp Consol'!A:A,O1318)=0,"",SUMIFS('Supp Consol'!S:S,'Supp Consol'!Y:Y,"Releasable",'Supp Consol'!A:A,O1318))</f>
        <v/>
      </c>
      <c r="AG1318" s="25" t="str">
        <f>IFERROR(INDEX('Hun Demand'!Q:Q,MATCH(O1318,'Hun Demand'!A:A,0)),"")</f>
        <v/>
      </c>
      <c r="AH1318" s="25" t="str">
        <f>IFERROR(INDEX('Hun Demand'!H:H,MATCH($O1318,'Hun Demand'!$A:$A,0)),"")</f>
        <v/>
      </c>
      <c r="AI1318" s="25" t="str">
        <f>IF(SUMIFS('Supp Consol'!AA:AA,'Supp Consol'!Z:Z,"Expires this month",'Supp Consol'!A:A,O1318)=0,"",SUMIFS('Supp Consol'!AA:AA,'Supp Consol'!Z:Z,"Expires this month",'Supp Consol'!A:A,O1318))</f>
        <v/>
      </c>
      <c r="AJ1318" s="25" t="str">
        <f>IF(SUMIFS('Supp Consol'!AA:AA,'Supp Consol'!Z:Z,"Expired Previous Months",'Supp Consol'!A:A,O1318)=0,"",SUMIFS('Supp Consol'!AA:AA,'Supp Consol'!Z:Z,"Expired Previous Months",'Supp Consol'!A:A,O1318))</f>
        <v/>
      </c>
      <c r="AK1318" s="25" t="str">
        <f>IFERROR(INDEX('Hun Release Current'!B:B,MATCH(O1318,'Hun Release Current'!A:A,0)),"")</f>
        <v/>
      </c>
      <c r="AL1318" s="25" t="str">
        <f>IF(SUMIF('Prev Aub'!A:A,O1318,'Prev Aub'!B:B)=0,"",SUMIF('Prev Aub'!A:A,O1318,'Prev Aub'!B:B))</f>
        <v/>
      </c>
      <c r="AN1318" s="25" t="s">
        <v>3790</v>
      </c>
      <c r="AO1318" s="25" t="s">
        <v>3790</v>
      </c>
      <c r="AP1318" s="25">
        <f t="shared" si="566"/>
        <v>0</v>
      </c>
      <c r="AQ1318" s="151" t="str">
        <f>IF(SUMIFS('Supp Consol'!S:S,'Supp Consol'!A:A,O1318,'Supp Consol'!I:I,"PENDING")=0,"",SUMIFS('Supp Consol'!S:S,'Supp Consol'!A:A,O1318,'Supp Consol'!I:I,"PENDING"))</f>
        <v/>
      </c>
      <c r="AR1318" s="27" t="str">
        <f t="shared" si="567"/>
        <v>WC331</v>
      </c>
      <c r="AS1318" s="27" t="str">
        <f t="shared" si="568"/>
        <v>50</v>
      </c>
      <c r="AT1318" s="27" t="str">
        <f t="shared" si="569"/>
        <v/>
      </c>
      <c r="AU1318" s="27" t="str">
        <f t="shared" si="570"/>
        <v/>
      </c>
      <c r="AV1318" s="27" t="str">
        <f t="shared" si="571"/>
        <v/>
      </c>
      <c r="AW1318" s="27" t="str">
        <f t="shared" si="572"/>
        <v/>
      </c>
      <c r="AX1318" s="27" t="str">
        <f t="shared" si="573"/>
        <v/>
      </c>
      <c r="AY1318" s="27" t="str">
        <f t="shared" si="574"/>
        <v/>
      </c>
      <c r="AZ1318" s="27" t="str">
        <f t="shared" si="575"/>
        <v/>
      </c>
      <c r="BA1318" s="27" t="str">
        <f t="shared" si="576"/>
        <v/>
      </c>
      <c r="BB1318" s="27" t="str">
        <f t="shared" si="577"/>
        <v/>
      </c>
      <c r="BC1318" s="27" t="str">
        <f t="shared" si="578"/>
        <v/>
      </c>
      <c r="BD1318" s="27" t="str">
        <f t="shared" si="579"/>
        <v/>
      </c>
      <c r="BE1318" s="27" t="str">
        <f t="shared" si="580"/>
        <v/>
      </c>
      <c r="BF1318" s="27" t="str">
        <f t="shared" si="581"/>
        <v/>
      </c>
      <c r="BG1318" s="27" t="str">
        <f t="shared" si="582"/>
        <v/>
      </c>
      <c r="BH1318" s="27" t="str">
        <f t="shared" si="583"/>
        <v/>
      </c>
      <c r="BI1318" s="27" t="str">
        <f t="shared" si="584"/>
        <v/>
      </c>
      <c r="BJ1318" s="27" t="str">
        <f t="shared" si="585"/>
        <v/>
      </c>
      <c r="BK1318" s="27" t="str">
        <f t="shared" si="586"/>
        <v/>
      </c>
      <c r="BL1318" s="27" t="str">
        <f t="shared" si="587"/>
        <v/>
      </c>
      <c r="BM1318" s="21" t="s">
        <v>5581</v>
      </c>
    </row>
    <row r="1319" spans="1:65" ht="15">
      <c r="A1319" s="25" t="str">
        <f>IFERROR(INDEX('Hun Demand'!W:W,MATCH(O1319,'Hun Demand'!A:A,0)),"")</f>
        <v/>
      </c>
      <c r="B1319" s="25" t="str">
        <f>IFERROR(INDEX('Hun Demand'!V:V,MATCH(O1319,'Hun Demand'!A:A,0)),"")</f>
        <v/>
      </c>
      <c r="C1319" s="25" t="str">
        <f>IFERROR(INDEX('Hun Demand'!U:U,MATCH(O1319,'Hun Demand'!A:A,0)),"")</f>
        <v/>
      </c>
      <c r="D1319" s="25" t="str">
        <f>IFERROR(INDEX('Hun Demand'!T:T,MATCH(O1319,'Hun Demand'!A:A,0)),"")</f>
        <v/>
      </c>
      <c r="E1319" s="25" t="str">
        <f>IFERROR(INDEX('Hun Demand'!S:S,MATCH(O1319,'Hun Demand'!A:A,0)),"")</f>
        <v/>
      </c>
      <c r="F1319" s="25" t="str">
        <f>IFERROR(INDEX('Hun Demand'!R:R,MATCH(O1319,'Hun Demand'!A:A,0)),"")</f>
        <v/>
      </c>
      <c r="G1319" s="25">
        <f>IFERROR(INDEX('Aub Demand'!W:W,MATCH(O1319,'Aub Demand'!A:A,0)),"")</f>
        <v>57</v>
      </c>
      <c r="H1319" s="25">
        <f>IFERROR(INDEX('Aub Demand'!V:V,MATCH(O1319,'Aub Demand'!A:A,0)),"")</f>
        <v>0</v>
      </c>
      <c r="I1319" s="25">
        <f>IFERROR(INDEX('Aub Demand'!U:U,MATCH(O1319,'Aub Demand'!A:A,0)),"")</f>
        <v>0</v>
      </c>
      <c r="J1319" s="25">
        <f>IFERROR(INDEX('Aub Demand'!T:T,MATCH(O1319,'Aub Demand'!A:A,0)),"")</f>
        <v>0</v>
      </c>
      <c r="K1319" s="25">
        <f>IFERROR(INDEX('Aub Demand'!S:S,MATCH(O1319,'Aub Demand'!A:A,0)),"")</f>
        <v>65</v>
      </c>
      <c r="L1319" s="25">
        <f>IFERROR(INDEX('Aub Demand'!R:R,MATCH(O1319,'Aub Demand'!A:A,0)),"")</f>
        <v>0</v>
      </c>
      <c r="O1319" s="27" t="s">
        <v>1631</v>
      </c>
      <c r="P1319" s="27" t="str">
        <f>IFERROR(INDEX('Aub Demand'!B:B,MATCH($O1319,'Aub Demand'!$A:$A,0)),"")</f>
        <v>VICTORIAN CHERRY</v>
      </c>
      <c r="Q1319" s="27" t="str">
        <f>IFERROR(INDEX('Aub Demand'!C:C,MATCH($O1319,'Aub Demand'!$A:$A,0)),"")</f>
        <v>TOPPA</v>
      </c>
      <c r="R1319" s="52">
        <f>IFERROR(IF(AR1320=AR1319,INDEX('Aub Demand'!K:K,MATCH($O1319,'Aub Demand'!$A:$A,0))-IF(AN1319="",0,AN1319)+AP1320,INDEX('Aub Demand'!K:K,MATCH($O1319,'Aub Demand'!$A:$A,0))-IF(AN1319="",0,AN1319)),"")</f>
        <v>2107</v>
      </c>
      <c r="S1319" s="53">
        <f t="shared" si="560"/>
        <v>410.5</v>
      </c>
      <c r="T1319" s="52" t="str">
        <f t="shared" si="561"/>
        <v/>
      </c>
      <c r="U1319" s="52">
        <f>IFERROR(IF(AR1320=AR1319,INDEX('Aub Demand'!Q:Q,MATCH($O1319,'Aub Demand'!$A:$A,0))-IF(AN1319="",0,AN1319)+AP1320,INDEX('Aub Demand'!Q:Q,MATCH($O1319,'Aub Demand'!$A:$A,0))-IF(AN1319="",0,AN1319)),"")</f>
        <v>2107</v>
      </c>
      <c r="V1319" s="53">
        <f t="shared" si="562"/>
        <v>410.5</v>
      </c>
      <c r="W1319" s="52" t="str">
        <f t="shared" si="563"/>
        <v/>
      </c>
      <c r="X1319" s="52">
        <f>IFERROR(IF(AND(AR1320=AR1319,AM1319&lt;&gt;""),INDEX('Aub Demand'!Q:Q,MATCH($O1319,'Aub Demand'!$A:$A,0))-IF(AN1319="",0,AN1319)+AP1320+AD1319+AL1319,IF(AR1320=AR1319,INDEX('Aub Demand'!Q:Q,MATCH($O1319,'Aub Demand'!$A:$A,0))-IF(AN1319="",0,AN1319)+AP1320+AD1319,IF(AM1319&lt;&gt;"",INDEX('Aub Demand'!Q:Q,MATCH($O1319,'Aub Demand'!$A:$A,0))-IF(AN1319="",0,AN1319)+AD1319+AL1319,INDEX('Aub Demand'!Q:Q,MATCH($O1319,'Aub Demand'!$A:$A,0))-IF(AN1319="",0,AN1319)+AD1319))),"")</f>
        <v>2107</v>
      </c>
      <c r="Y1319" s="53">
        <f t="shared" si="564"/>
        <v>410.5</v>
      </c>
      <c r="Z1319" s="52">
        <f>IF(L1319="","",INDEX('Aub Demand'!H:H,MATCH($O1319,'Aub Demand'!$A:$A,0)))</f>
        <v>22</v>
      </c>
      <c r="AA1319" s="52" t="str">
        <f t="shared" si="565"/>
        <v>-spike-</v>
      </c>
      <c r="AB1319" s="52">
        <f>IFERROR(INDEX('Aub Demand'!L:L,MATCH($O1319,'Aub Demand'!$A:$A,0)),"")</f>
        <v>0</v>
      </c>
      <c r="AC1319" s="52">
        <f>IFERROR(IF(O1319="","",SUMIFS('CPL Mats'!F:F,'CPL Mats'!Q:Q,AR1319,'CPL Mats'!S:S,AS1319)),"")</f>
        <v>0</v>
      </c>
      <c r="AF1319" s="25" t="str">
        <f>IF(SUMIFS('Supp Consol'!S:S,'Supp Consol'!Y:Y,"Releasable",'Supp Consol'!A:A,O1319)=0,"",SUMIFS('Supp Consol'!S:S,'Supp Consol'!Y:Y,"Releasable",'Supp Consol'!A:A,O1319))</f>
        <v/>
      </c>
      <c r="AG1319" s="25" t="str">
        <f>IFERROR(INDEX('Hun Demand'!Q:Q,MATCH(O1319,'Hun Demand'!A:A,0)),"")</f>
        <v/>
      </c>
      <c r="AH1319" s="25" t="str">
        <f>IFERROR(INDEX('Hun Demand'!H:H,MATCH($O1319,'Hun Demand'!$A:$A,0)),"")</f>
        <v/>
      </c>
      <c r="AI1319" s="25" t="str">
        <f>IF(SUMIFS('Supp Consol'!AA:AA,'Supp Consol'!Z:Z,"Expires this month",'Supp Consol'!A:A,O1319)=0,"",SUMIFS('Supp Consol'!AA:AA,'Supp Consol'!Z:Z,"Expires this month",'Supp Consol'!A:A,O1319))</f>
        <v/>
      </c>
      <c r="AJ1319" s="25" t="str">
        <f>IF(SUMIFS('Supp Consol'!AA:AA,'Supp Consol'!Z:Z,"Expired Previous Months",'Supp Consol'!A:A,O1319)=0,"",SUMIFS('Supp Consol'!AA:AA,'Supp Consol'!Z:Z,"Expired Previous Months",'Supp Consol'!A:A,O1319))</f>
        <v/>
      </c>
      <c r="AK1319" s="25" t="str">
        <f>IFERROR(INDEX('Hun Release Current'!B:B,MATCH(O1319,'Hun Release Current'!A:A,0)),"")</f>
        <v/>
      </c>
      <c r="AL1319" s="25" t="str">
        <f>IF(SUMIF('Prev Aub'!A:A,O1319,'Prev Aub'!B:B)=0,"",SUMIF('Prev Aub'!A:A,O1319,'Prev Aub'!B:B))</f>
        <v/>
      </c>
      <c r="AN1319" s="25" t="s">
        <v>3790</v>
      </c>
      <c r="AO1319" s="25" t="s">
        <v>3790</v>
      </c>
      <c r="AP1319" s="25">
        <f t="shared" si="566"/>
        <v>0</v>
      </c>
      <c r="AQ1319" s="151" t="str">
        <f>IF(SUMIFS('Supp Consol'!S:S,'Supp Consol'!A:A,O1319,'Supp Consol'!I:I,"PENDING")=0,"",SUMIFS('Supp Consol'!S:S,'Supp Consol'!A:A,O1319,'Supp Consol'!I:I,"PENDING"))</f>
        <v/>
      </c>
      <c r="AR1319" s="27" t="str">
        <f t="shared" si="567"/>
        <v>WC331</v>
      </c>
      <c r="AS1319" s="27" t="str">
        <f t="shared" si="568"/>
        <v>62</v>
      </c>
      <c r="AT1319" s="27" t="str">
        <f t="shared" si="569"/>
        <v/>
      </c>
      <c r="AU1319" s="27" t="str">
        <f t="shared" si="570"/>
        <v/>
      </c>
      <c r="AV1319" s="27" t="str">
        <f t="shared" si="571"/>
        <v/>
      </c>
      <c r="AW1319" s="27" t="str">
        <f t="shared" si="572"/>
        <v/>
      </c>
      <c r="AX1319" s="27" t="str">
        <f t="shared" si="573"/>
        <v/>
      </c>
      <c r="AY1319" s="27" t="str">
        <f t="shared" si="574"/>
        <v/>
      </c>
      <c r="AZ1319" s="27" t="str">
        <f t="shared" si="575"/>
        <v/>
      </c>
      <c r="BA1319" s="27" t="str">
        <f t="shared" si="576"/>
        <v/>
      </c>
      <c r="BB1319" s="27" t="str">
        <f t="shared" si="577"/>
        <v/>
      </c>
      <c r="BC1319" s="27" t="str">
        <f t="shared" si="578"/>
        <v/>
      </c>
      <c r="BD1319" s="27" t="str">
        <f t="shared" si="579"/>
        <v/>
      </c>
      <c r="BE1319" s="27" t="str">
        <f t="shared" si="580"/>
        <v/>
      </c>
      <c r="BF1319" s="27" t="str">
        <f t="shared" si="581"/>
        <v/>
      </c>
      <c r="BG1319" s="27" t="str">
        <f t="shared" si="582"/>
        <v/>
      </c>
      <c r="BH1319" s="27" t="str">
        <f t="shared" si="583"/>
        <v/>
      </c>
      <c r="BI1319" s="27" t="str">
        <f t="shared" si="584"/>
        <v/>
      </c>
      <c r="BJ1319" s="27" t="str">
        <f t="shared" si="585"/>
        <v/>
      </c>
      <c r="BK1319" s="27" t="str">
        <f t="shared" si="586"/>
        <v/>
      </c>
      <c r="BL1319" s="27" t="str">
        <f t="shared" si="587"/>
        <v/>
      </c>
      <c r="BM1319" s="21" t="s">
        <v>5581</v>
      </c>
    </row>
    <row r="1320" spans="1:65" ht="15">
      <c r="A1320" s="25">
        <f>IFERROR(INDEX('Hun Demand'!W:W,MATCH(O1320,'Hun Demand'!A:A,0)),"")</f>
        <v>210</v>
      </c>
      <c r="B1320" s="25">
        <f>IFERROR(INDEX('Hun Demand'!V:V,MATCH(O1320,'Hun Demand'!A:A,0)),"")</f>
        <v>0</v>
      </c>
      <c r="C1320" s="25">
        <f>IFERROR(INDEX('Hun Demand'!U:U,MATCH(O1320,'Hun Demand'!A:A,0)),"")</f>
        <v>0</v>
      </c>
      <c r="D1320" s="25">
        <f>IFERROR(INDEX('Hun Demand'!T:T,MATCH(O1320,'Hun Demand'!A:A,0)),"")</f>
        <v>0</v>
      </c>
      <c r="E1320" s="25">
        <f>IFERROR(INDEX('Hun Demand'!S:S,MATCH(O1320,'Hun Demand'!A:A,0)),"")</f>
        <v>0</v>
      </c>
      <c r="F1320" s="25">
        <f>IFERROR(INDEX('Hun Demand'!R:R,MATCH(O1320,'Hun Demand'!A:A,0)),"")</f>
        <v>0</v>
      </c>
      <c r="G1320" s="25">
        <f>IFERROR(INDEX('Aub Demand'!W:W,MATCH(O1320,'Aub Demand'!A:A,0)),"")</f>
        <v>0</v>
      </c>
      <c r="H1320" s="25">
        <f>IFERROR(INDEX('Aub Demand'!V:V,MATCH(O1320,'Aub Demand'!A:A,0)),"")</f>
        <v>0</v>
      </c>
      <c r="I1320" s="25">
        <f>IFERROR(INDEX('Aub Demand'!U:U,MATCH(O1320,'Aub Demand'!A:A,0)),"")</f>
        <v>25</v>
      </c>
      <c r="J1320" s="25">
        <f>IFERROR(INDEX('Aub Demand'!T:T,MATCH(O1320,'Aub Demand'!A:A,0)),"")</f>
        <v>29</v>
      </c>
      <c r="K1320" s="25">
        <f>IFERROR(INDEX('Aub Demand'!S:S,MATCH(O1320,'Aub Demand'!A:A,0)),"")</f>
        <v>0</v>
      </c>
      <c r="L1320" s="25">
        <f>IFERROR(INDEX('Aub Demand'!R:R,MATCH(O1320,'Aub Demand'!A:A,0)),"")</f>
        <v>0</v>
      </c>
      <c r="O1320" s="27" t="s">
        <v>2938</v>
      </c>
      <c r="P1320" s="27" t="str">
        <f>IFERROR(INDEX('Aub Demand'!B:B,MATCH($O1320,'Aub Demand'!$A:$A,0)),"")</f>
        <v>WILD CHERRY 50"</v>
      </c>
      <c r="Q1320" s="27" t="str">
        <f>IFERROR(INDEX('Aub Demand'!C:C,MATCH($O1320,'Aub Demand'!$A:$A,0)),"")</f>
        <v>TOPPA</v>
      </c>
      <c r="R1320" s="52">
        <f>IFERROR(IF(AR1321=AR1320,INDEX('Aub Demand'!K:K,MATCH($O1320,'Aub Demand'!$A:$A,0))-IF(AN1320="",0,AN1320)+AP1321,INDEX('Aub Demand'!K:K,MATCH($O1320,'Aub Demand'!$A:$A,0))-IF(AN1320="",0,AN1320)),"")</f>
        <v>1479</v>
      </c>
      <c r="S1320" s="53">
        <f t="shared" si="560"/>
        <v>352.1</v>
      </c>
      <c r="T1320" s="52" t="str">
        <f t="shared" si="561"/>
        <v/>
      </c>
      <c r="U1320" s="52">
        <f>IFERROR(IF(AR1321=AR1320,INDEX('Aub Demand'!Q:Q,MATCH($O1320,'Aub Demand'!$A:$A,0))-IF(AN1320="",0,AN1320)+AP1321,INDEX('Aub Demand'!Q:Q,MATCH($O1320,'Aub Demand'!$A:$A,0))-IF(AN1320="",0,AN1320)),"")</f>
        <v>1479</v>
      </c>
      <c r="V1320" s="53">
        <f t="shared" si="562"/>
        <v>352.1</v>
      </c>
      <c r="W1320" s="52" t="str">
        <f t="shared" si="563"/>
        <v/>
      </c>
      <c r="X1320" s="52">
        <f>IFERROR(IF(AND(AR1321=AR1320,AM1320&lt;&gt;""),INDEX('Aub Demand'!Q:Q,MATCH($O1320,'Aub Demand'!$A:$A,0))-IF(AN1320="",0,AN1320)+AP1321+AD1320+AL1320,IF(AR1321=AR1320,INDEX('Aub Demand'!Q:Q,MATCH($O1320,'Aub Demand'!$A:$A,0))-IF(AN1320="",0,AN1320)+AP1321+AD1320,IF(AM1320&lt;&gt;"",INDEX('Aub Demand'!Q:Q,MATCH($O1320,'Aub Demand'!$A:$A,0))-IF(AN1320="",0,AN1320)+AD1320+AL1320,INDEX('Aub Demand'!Q:Q,MATCH($O1320,'Aub Demand'!$A:$A,0))-IF(AN1320="",0,AN1320)+AD1320))),"")</f>
        <v>1479</v>
      </c>
      <c r="Y1320" s="53">
        <f t="shared" si="564"/>
        <v>352.1</v>
      </c>
      <c r="Z1320" s="52">
        <f>IF(L1320="","",INDEX('Aub Demand'!H:H,MATCH($O1320,'Aub Demand'!$A:$A,0)))</f>
        <v>18</v>
      </c>
      <c r="AA1320" s="52">
        <f t="shared" si="565"/>
        <v>27</v>
      </c>
      <c r="AB1320" s="52">
        <f>IFERROR(INDEX('Aub Demand'!L:L,MATCH($O1320,'Aub Demand'!$A:$A,0)),"")</f>
        <v>13</v>
      </c>
      <c r="AC1320" s="52">
        <f>IFERROR(IF(O1320="","",SUMIFS('CPL Mats'!F:F,'CPL Mats'!Q:Q,AR1320,'CPL Mats'!S:S,AS1320)),"")</f>
        <v>0</v>
      </c>
      <c r="AF1320" s="25" t="str">
        <f>IF(SUMIFS('Supp Consol'!S:S,'Supp Consol'!Y:Y,"Releasable",'Supp Consol'!A:A,O1320)=0,"",SUMIFS('Supp Consol'!S:S,'Supp Consol'!Y:Y,"Releasable",'Supp Consol'!A:A,O1320))</f>
        <v/>
      </c>
      <c r="AG1320" s="25">
        <f>IFERROR(INDEX('Hun Demand'!Q:Q,MATCH(O1320,'Hun Demand'!A:A,0)),"")</f>
        <v>539</v>
      </c>
      <c r="AH1320" s="25">
        <f>IFERROR(INDEX('Hun Demand'!H:H,MATCH($O1320,'Hun Demand'!$A:$A,0)),"")</f>
        <v>0</v>
      </c>
      <c r="AI1320" s="25" t="str">
        <f>IF(SUMIFS('Supp Consol'!AA:AA,'Supp Consol'!Z:Z,"Expires this month",'Supp Consol'!A:A,O1320)=0,"",SUMIFS('Supp Consol'!AA:AA,'Supp Consol'!Z:Z,"Expires this month",'Supp Consol'!A:A,O1320))</f>
        <v/>
      </c>
      <c r="AJ1320" s="25" t="str">
        <f>IF(SUMIFS('Supp Consol'!AA:AA,'Supp Consol'!Z:Z,"Expired Previous Months",'Supp Consol'!A:A,O1320)=0,"",SUMIFS('Supp Consol'!AA:AA,'Supp Consol'!Z:Z,"Expired Previous Months",'Supp Consol'!A:A,O1320))</f>
        <v/>
      </c>
      <c r="AK1320" s="25" t="str">
        <f>IFERROR(INDEX('Hun Release Current'!B:B,MATCH(O1320,'Hun Release Current'!A:A,0)),"")</f>
        <v/>
      </c>
      <c r="AL1320" s="25" t="str">
        <f>IF(SUMIF('Prev Aub'!A:A,O1320,'Prev Aub'!B:B)=0,"",SUMIF('Prev Aub'!A:A,O1320,'Prev Aub'!B:B))</f>
        <v/>
      </c>
      <c r="AN1320" s="25" t="s">
        <v>3790</v>
      </c>
      <c r="AO1320" s="25" t="s">
        <v>3790</v>
      </c>
      <c r="AP1320" s="25">
        <f t="shared" si="566"/>
        <v>0</v>
      </c>
      <c r="AQ1320" s="151" t="str">
        <f>IF(SUMIFS('Supp Consol'!S:S,'Supp Consol'!A:A,O1320,'Supp Consol'!I:I,"PENDING")=0,"",SUMIFS('Supp Consol'!S:S,'Supp Consol'!A:A,O1320,'Supp Consol'!I:I,"PENDING"))</f>
        <v/>
      </c>
      <c r="AR1320" s="27" t="str">
        <f t="shared" si="567"/>
        <v>WC341</v>
      </c>
      <c r="AS1320" s="27" t="str">
        <f t="shared" si="568"/>
        <v>50</v>
      </c>
      <c r="AT1320" s="27" t="str">
        <f t="shared" si="569"/>
        <v/>
      </c>
      <c r="AU1320" s="27" t="str">
        <f t="shared" si="570"/>
        <v/>
      </c>
      <c r="AV1320" s="27" t="str">
        <f t="shared" si="571"/>
        <v/>
      </c>
      <c r="AW1320" s="27" t="str">
        <f t="shared" si="572"/>
        <v/>
      </c>
      <c r="AX1320" s="27" t="str">
        <f t="shared" si="573"/>
        <v/>
      </c>
      <c r="AY1320" s="27" t="str">
        <f t="shared" si="574"/>
        <v>WC341</v>
      </c>
      <c r="AZ1320" s="27" t="str">
        <f t="shared" si="575"/>
        <v/>
      </c>
      <c r="BA1320" s="27" t="str">
        <f t="shared" si="576"/>
        <v>Hun</v>
      </c>
      <c r="BB1320" s="27" t="str">
        <f t="shared" si="577"/>
        <v/>
      </c>
      <c r="BC1320" s="27" t="str">
        <f t="shared" si="578"/>
        <v/>
      </c>
      <c r="BD1320" s="27" t="str">
        <f t="shared" si="579"/>
        <v/>
      </c>
      <c r="BE1320" s="27" t="str">
        <f t="shared" si="580"/>
        <v/>
      </c>
      <c r="BF1320" s="27" t="str">
        <f t="shared" si="581"/>
        <v/>
      </c>
      <c r="BG1320" s="27" t="str">
        <f t="shared" si="582"/>
        <v/>
      </c>
      <c r="BH1320" s="27" t="str">
        <f t="shared" si="583"/>
        <v/>
      </c>
      <c r="BI1320" s="27" t="str">
        <f t="shared" si="584"/>
        <v/>
      </c>
      <c r="BJ1320" s="27" t="str">
        <f t="shared" si="585"/>
        <v>Supp or Hun</v>
      </c>
      <c r="BK1320" s="27" t="str">
        <f t="shared" si="586"/>
        <v/>
      </c>
      <c r="BL1320" s="27" t="str">
        <f t="shared" si="587"/>
        <v/>
      </c>
      <c r="BM1320" s="21" t="s">
        <v>5581</v>
      </c>
    </row>
    <row r="1321" spans="1:65" ht="15">
      <c r="A1321" s="25">
        <f>IFERROR(INDEX('Hun Demand'!W:W,MATCH(O1321,'Hun Demand'!A:A,0)),"")</f>
        <v>0</v>
      </c>
      <c r="B1321" s="25">
        <f>IFERROR(INDEX('Hun Demand'!V:V,MATCH(O1321,'Hun Demand'!A:A,0)),"")</f>
        <v>0</v>
      </c>
      <c r="C1321" s="25">
        <f>IFERROR(INDEX('Hun Demand'!U:U,MATCH(O1321,'Hun Demand'!A:A,0)),"")</f>
        <v>0</v>
      </c>
      <c r="D1321" s="25">
        <f>IFERROR(INDEX('Hun Demand'!T:T,MATCH(O1321,'Hun Demand'!A:A,0)),"")</f>
        <v>0</v>
      </c>
      <c r="E1321" s="25">
        <f>IFERROR(INDEX('Hun Demand'!S:S,MATCH(O1321,'Hun Demand'!A:A,0)),"")</f>
        <v>0</v>
      </c>
      <c r="F1321" s="25">
        <f>IFERROR(INDEX('Hun Demand'!R:R,MATCH(O1321,'Hun Demand'!A:A,0)),"")</f>
        <v>0</v>
      </c>
      <c r="G1321" s="25">
        <f>IFERROR(INDEX('Aub Demand'!W:W,MATCH(O1321,'Aub Demand'!A:A,0)),"")</f>
        <v>0</v>
      </c>
      <c r="H1321" s="25">
        <f>IFERROR(INDEX('Aub Demand'!V:V,MATCH(O1321,'Aub Demand'!A:A,0)),"")</f>
        <v>0</v>
      </c>
      <c r="I1321" s="25">
        <f>IFERROR(INDEX('Aub Demand'!U:U,MATCH(O1321,'Aub Demand'!A:A,0)),"")</f>
        <v>0</v>
      </c>
      <c r="J1321" s="25">
        <f>IFERROR(INDEX('Aub Demand'!T:T,MATCH(O1321,'Aub Demand'!A:A,0)),"")</f>
        <v>0</v>
      </c>
      <c r="K1321" s="25">
        <f>IFERROR(INDEX('Aub Demand'!S:S,MATCH(O1321,'Aub Demand'!A:A,0)),"")</f>
        <v>0</v>
      </c>
      <c r="L1321" s="25">
        <f>IFERROR(INDEX('Aub Demand'!R:R,MATCH(O1321,'Aub Demand'!A:A,0)),"")</f>
        <v>0</v>
      </c>
      <c r="O1321" s="27" t="s">
        <v>2941</v>
      </c>
      <c r="P1321" s="27" t="str">
        <f>IFERROR(INDEX('Aub Demand'!B:B,MATCH($O1321,'Aub Demand'!$A:$A,0)),"")</f>
        <v>WILD CHERRY 62"</v>
      </c>
      <c r="Q1321" s="27" t="str">
        <f>IFERROR(INDEX('Aub Demand'!C:C,MATCH($O1321,'Aub Demand'!$A:$A,0)),"")</f>
        <v>TOPPA</v>
      </c>
      <c r="R1321" s="52">
        <f>IFERROR(IF(AR1322=AR1321,INDEX('Aub Demand'!K:K,MATCH($O1321,'Aub Demand'!$A:$A,0))-IF(AN1321="",0,AN1321)+AP1322,INDEX('Aub Demand'!K:K,MATCH($O1321,'Aub Demand'!$A:$A,0))-IF(AN1321="",0,AN1321)),"")</f>
        <v>2298</v>
      </c>
      <c r="S1321" s="53" t="str">
        <f t="shared" si="560"/>
        <v>n/a</v>
      </c>
      <c r="T1321" s="52" t="str">
        <f t="shared" si="561"/>
        <v/>
      </c>
      <c r="U1321" s="52">
        <f>IFERROR(IF(AR1322=AR1321,INDEX('Aub Demand'!Q:Q,MATCH($O1321,'Aub Demand'!$A:$A,0))-IF(AN1321="",0,AN1321)+AP1322,INDEX('Aub Demand'!Q:Q,MATCH($O1321,'Aub Demand'!$A:$A,0))-IF(AN1321="",0,AN1321)),"")</f>
        <v>2298</v>
      </c>
      <c r="V1321" s="53" t="str">
        <f t="shared" si="562"/>
        <v>n/a</v>
      </c>
      <c r="W1321" s="52" t="str">
        <f t="shared" si="563"/>
        <v/>
      </c>
      <c r="X1321" s="52">
        <f>IFERROR(IF(AND(AR1322=AR1321,AM1321&lt;&gt;""),INDEX('Aub Demand'!Q:Q,MATCH($O1321,'Aub Demand'!$A:$A,0))-IF(AN1321="",0,AN1321)+AP1322+AD1321+AL1321,IF(AR1322=AR1321,INDEX('Aub Demand'!Q:Q,MATCH($O1321,'Aub Demand'!$A:$A,0))-IF(AN1321="",0,AN1321)+AP1322+AD1321,IF(AM1321&lt;&gt;"",INDEX('Aub Demand'!Q:Q,MATCH($O1321,'Aub Demand'!$A:$A,0))-IF(AN1321="",0,AN1321)+AD1321+AL1321,INDEX('Aub Demand'!Q:Q,MATCH($O1321,'Aub Demand'!$A:$A,0))-IF(AN1321="",0,AN1321)+AD1321))),"")</f>
        <v>2298</v>
      </c>
      <c r="Y1321" s="53" t="str">
        <f t="shared" si="564"/>
        <v>n/a</v>
      </c>
      <c r="Z1321" s="52">
        <f>IF(L1321="","",INDEX('Aub Demand'!H:H,MATCH($O1321,'Aub Demand'!$A:$A,0)))</f>
        <v>0</v>
      </c>
      <c r="AA1321" s="52" t="str">
        <f t="shared" si="565"/>
        <v>-spike-</v>
      </c>
      <c r="AB1321" s="52">
        <f>IFERROR(INDEX('Aub Demand'!L:L,MATCH($O1321,'Aub Demand'!$A:$A,0)),"")</f>
        <v>6</v>
      </c>
      <c r="AC1321" s="52">
        <f>IFERROR(IF(O1321="","",SUMIFS('CPL Mats'!F:F,'CPL Mats'!Q:Q,AR1321,'CPL Mats'!S:S,AS1321)),"")</f>
        <v>0</v>
      </c>
      <c r="AF1321" s="25" t="str">
        <f>IF(SUMIFS('Supp Consol'!S:S,'Supp Consol'!Y:Y,"Releasable",'Supp Consol'!A:A,O1321)=0,"",SUMIFS('Supp Consol'!S:S,'Supp Consol'!Y:Y,"Releasable",'Supp Consol'!A:A,O1321))</f>
        <v/>
      </c>
      <c r="AG1321" s="25">
        <f>IFERROR(INDEX('Hun Demand'!Q:Q,MATCH(O1321,'Hun Demand'!A:A,0)),"")</f>
        <v>702</v>
      </c>
      <c r="AH1321" s="25">
        <f>IFERROR(INDEX('Hun Demand'!H:H,MATCH($O1321,'Hun Demand'!$A:$A,0)),"")</f>
        <v>0</v>
      </c>
      <c r="AI1321" s="25" t="str">
        <f>IF(SUMIFS('Supp Consol'!AA:AA,'Supp Consol'!Z:Z,"Expires this month",'Supp Consol'!A:A,O1321)=0,"",SUMIFS('Supp Consol'!AA:AA,'Supp Consol'!Z:Z,"Expires this month",'Supp Consol'!A:A,O1321))</f>
        <v/>
      </c>
      <c r="AJ1321" s="25" t="str">
        <f>IF(SUMIFS('Supp Consol'!AA:AA,'Supp Consol'!Z:Z,"Expired Previous Months",'Supp Consol'!A:A,O1321)=0,"",SUMIFS('Supp Consol'!AA:AA,'Supp Consol'!Z:Z,"Expired Previous Months",'Supp Consol'!A:A,O1321))</f>
        <v/>
      </c>
      <c r="AK1321" s="25" t="str">
        <f>IFERROR(INDEX('Hun Release Current'!B:B,MATCH(O1321,'Hun Release Current'!A:A,0)),"")</f>
        <v/>
      </c>
      <c r="AL1321" s="25" t="str">
        <f>IF(SUMIF('Prev Aub'!A:A,O1321,'Prev Aub'!B:B)=0,"",SUMIF('Prev Aub'!A:A,O1321,'Prev Aub'!B:B))</f>
        <v/>
      </c>
      <c r="AN1321" s="25" t="s">
        <v>3790</v>
      </c>
      <c r="AO1321" s="25" t="s">
        <v>3790</v>
      </c>
      <c r="AP1321" s="25">
        <f t="shared" si="566"/>
        <v>0</v>
      </c>
      <c r="AQ1321" s="151" t="str">
        <f>IF(SUMIFS('Supp Consol'!S:S,'Supp Consol'!A:A,O1321,'Supp Consol'!I:I,"PENDING")=0,"",SUMIFS('Supp Consol'!S:S,'Supp Consol'!A:A,O1321,'Supp Consol'!I:I,"PENDING"))</f>
        <v/>
      </c>
      <c r="AR1321" s="27" t="str">
        <f t="shared" si="567"/>
        <v>WC341</v>
      </c>
      <c r="AS1321" s="27" t="str">
        <f t="shared" si="568"/>
        <v>62</v>
      </c>
      <c r="AT1321" s="27" t="str">
        <f t="shared" si="569"/>
        <v/>
      </c>
      <c r="AU1321" s="27" t="str">
        <f t="shared" si="570"/>
        <v/>
      </c>
      <c r="AV1321" s="27" t="str">
        <f t="shared" si="571"/>
        <v/>
      </c>
      <c r="AW1321" s="27" t="str">
        <f t="shared" si="572"/>
        <v/>
      </c>
      <c r="AX1321" s="27" t="str">
        <f t="shared" si="573"/>
        <v/>
      </c>
      <c r="AY1321" s="27" t="str">
        <f t="shared" si="574"/>
        <v>WC341</v>
      </c>
      <c r="AZ1321" s="27" t="str">
        <f t="shared" si="575"/>
        <v/>
      </c>
      <c r="BA1321" s="27" t="str">
        <f t="shared" si="576"/>
        <v>Hun</v>
      </c>
      <c r="BB1321" s="27" t="str">
        <f t="shared" si="577"/>
        <v/>
      </c>
      <c r="BC1321" s="27" t="str">
        <f t="shared" si="578"/>
        <v/>
      </c>
      <c r="BD1321" s="27" t="str">
        <f t="shared" si="579"/>
        <v/>
      </c>
      <c r="BE1321" s="27" t="str">
        <f t="shared" si="580"/>
        <v/>
      </c>
      <c r="BF1321" s="27" t="str">
        <f t="shared" si="581"/>
        <v/>
      </c>
      <c r="BG1321" s="27" t="str">
        <f t="shared" si="582"/>
        <v/>
      </c>
      <c r="BH1321" s="27" t="str">
        <f t="shared" si="583"/>
        <v/>
      </c>
      <c r="BI1321" s="27" t="str">
        <f t="shared" si="584"/>
        <v/>
      </c>
      <c r="BJ1321" s="27" t="str">
        <f t="shared" si="585"/>
        <v>Supp or Hun</v>
      </c>
      <c r="BK1321" s="27" t="str">
        <f t="shared" si="586"/>
        <v/>
      </c>
      <c r="BL1321" s="27" t="str">
        <f t="shared" si="587"/>
        <v/>
      </c>
      <c r="BM1321" s="21" t="s">
        <v>5581</v>
      </c>
    </row>
    <row r="1322" spans="1:65" ht="15">
      <c r="A1322" s="25" t="str">
        <f>IFERROR(INDEX('Hun Demand'!W:W,MATCH(O1322,'Hun Demand'!A:A,0)),"")</f>
        <v/>
      </c>
      <c r="B1322" s="25" t="str">
        <f>IFERROR(INDEX('Hun Demand'!V:V,MATCH(O1322,'Hun Demand'!A:A,0)),"")</f>
        <v/>
      </c>
      <c r="C1322" s="25" t="str">
        <f>IFERROR(INDEX('Hun Demand'!U:U,MATCH(O1322,'Hun Demand'!A:A,0)),"")</f>
        <v/>
      </c>
      <c r="D1322" s="25" t="str">
        <f>IFERROR(INDEX('Hun Demand'!T:T,MATCH(O1322,'Hun Demand'!A:A,0)),"")</f>
        <v/>
      </c>
      <c r="E1322" s="25" t="str">
        <f>IFERROR(INDEX('Hun Demand'!S:S,MATCH(O1322,'Hun Demand'!A:A,0)),"")</f>
        <v/>
      </c>
      <c r="F1322" s="25" t="str">
        <f>IFERROR(INDEX('Hun Demand'!R:R,MATCH(O1322,'Hun Demand'!A:A,0)),"")</f>
        <v/>
      </c>
      <c r="G1322" s="25">
        <f>IFERROR(INDEX('Aub Demand'!W:W,MATCH(O1322,'Aub Demand'!A:A,0)),"")</f>
        <v>0</v>
      </c>
      <c r="H1322" s="25">
        <f>IFERROR(INDEX('Aub Demand'!V:V,MATCH(O1322,'Aub Demand'!A:A,0)),"")</f>
        <v>0</v>
      </c>
      <c r="I1322" s="25">
        <f>IFERROR(INDEX('Aub Demand'!U:U,MATCH(O1322,'Aub Demand'!A:A,0)),"")</f>
        <v>0</v>
      </c>
      <c r="J1322" s="25">
        <f>IFERROR(INDEX('Aub Demand'!T:T,MATCH(O1322,'Aub Demand'!A:A,0)),"")</f>
        <v>0</v>
      </c>
      <c r="K1322" s="25">
        <f>IFERROR(INDEX('Aub Demand'!S:S,MATCH(O1322,'Aub Demand'!A:A,0)),"")</f>
        <v>0</v>
      </c>
      <c r="L1322" s="25">
        <f>IFERROR(INDEX('Aub Demand'!R:R,MATCH(O1322,'Aub Demand'!A:A,0)),"")</f>
        <v>0</v>
      </c>
      <c r="O1322" s="27" t="s">
        <v>1633</v>
      </c>
      <c r="P1322" s="27" t="str">
        <f>IFERROR(INDEX('Aub Demand'!B:B,MATCH($O1322,'Aub Demand'!$A:$A,0)),"")</f>
        <v>YORKSHIRE CHERRY</v>
      </c>
      <c r="Q1322" s="27" t="str">
        <f>IFERROR(INDEX('Aub Demand'!C:C,MATCH($O1322,'Aub Demand'!$A:$A,0)),"")</f>
        <v>TOPPA</v>
      </c>
      <c r="R1322" s="52">
        <f>IFERROR(IF(AR1323=AR1322,INDEX('Aub Demand'!K:K,MATCH($O1322,'Aub Demand'!$A:$A,0))-IF(AN1322="",0,AN1322)+AP1323,INDEX('Aub Demand'!K:K,MATCH($O1322,'Aub Demand'!$A:$A,0))-IF(AN1322="",0,AN1322)),"")</f>
        <v>849</v>
      </c>
      <c r="S1322" s="53" t="str">
        <f t="shared" si="560"/>
        <v>n/a</v>
      </c>
      <c r="T1322" s="52" t="str">
        <f t="shared" si="561"/>
        <v/>
      </c>
      <c r="U1322" s="52">
        <f>IFERROR(IF(AR1323=AR1322,INDEX('Aub Demand'!Q:Q,MATCH($O1322,'Aub Demand'!$A:$A,0))-IF(AN1322="",0,AN1322)+AP1323,INDEX('Aub Demand'!Q:Q,MATCH($O1322,'Aub Demand'!$A:$A,0))-IF(AN1322="",0,AN1322)),"")</f>
        <v>849</v>
      </c>
      <c r="V1322" s="53" t="str">
        <f t="shared" si="562"/>
        <v>n/a</v>
      </c>
      <c r="W1322" s="52" t="str">
        <f t="shared" si="563"/>
        <v/>
      </c>
      <c r="X1322" s="52">
        <f>IFERROR(IF(AND(AR1323=AR1322,AM1322&lt;&gt;""),INDEX('Aub Demand'!Q:Q,MATCH($O1322,'Aub Demand'!$A:$A,0))-IF(AN1322="",0,AN1322)+AP1323+AD1322+AL1322,IF(AR1323=AR1322,INDEX('Aub Demand'!Q:Q,MATCH($O1322,'Aub Demand'!$A:$A,0))-IF(AN1322="",0,AN1322)+AP1323+AD1322,IF(AM1322&lt;&gt;"",INDEX('Aub Demand'!Q:Q,MATCH($O1322,'Aub Demand'!$A:$A,0))-IF(AN1322="",0,AN1322)+AD1322+AL1322,INDEX('Aub Demand'!Q:Q,MATCH($O1322,'Aub Demand'!$A:$A,0))-IF(AN1322="",0,AN1322)+AD1322))),"")</f>
        <v>849</v>
      </c>
      <c r="Y1322" s="53" t="str">
        <f t="shared" si="564"/>
        <v>n/a</v>
      </c>
      <c r="Z1322" s="52">
        <f>IF(L1322="","",INDEX('Aub Demand'!H:H,MATCH($O1322,'Aub Demand'!$A:$A,0)))</f>
        <v>0</v>
      </c>
      <c r="AA1322" s="52" t="str">
        <f t="shared" si="565"/>
        <v>-spike-</v>
      </c>
      <c r="AB1322" s="52">
        <f>IFERROR(INDEX('Aub Demand'!L:L,MATCH($O1322,'Aub Demand'!$A:$A,0)),"")</f>
        <v>0</v>
      </c>
      <c r="AC1322" s="52">
        <f>IFERROR(IF(O1322="","",SUMIFS('CPL Mats'!F:F,'CPL Mats'!Q:Q,AR1322,'CPL Mats'!S:S,AS1322)),"")</f>
        <v>0</v>
      </c>
      <c r="AF1322" s="25" t="str">
        <f>IF(SUMIFS('Supp Consol'!S:S,'Supp Consol'!Y:Y,"Releasable",'Supp Consol'!A:A,O1322)=0,"",SUMIFS('Supp Consol'!S:S,'Supp Consol'!Y:Y,"Releasable",'Supp Consol'!A:A,O1322))</f>
        <v/>
      </c>
      <c r="AG1322" s="25" t="str">
        <f>IFERROR(INDEX('Hun Demand'!Q:Q,MATCH(O1322,'Hun Demand'!A:A,0)),"")</f>
        <v/>
      </c>
      <c r="AH1322" s="25" t="str">
        <f>IFERROR(INDEX('Hun Demand'!H:H,MATCH($O1322,'Hun Demand'!$A:$A,0)),"")</f>
        <v/>
      </c>
      <c r="AI1322" s="25" t="str">
        <f>IF(SUMIFS('Supp Consol'!AA:AA,'Supp Consol'!Z:Z,"Expires this month",'Supp Consol'!A:A,O1322)=0,"",SUMIFS('Supp Consol'!AA:AA,'Supp Consol'!Z:Z,"Expires this month",'Supp Consol'!A:A,O1322))</f>
        <v/>
      </c>
      <c r="AJ1322" s="25" t="str">
        <f>IF(SUMIFS('Supp Consol'!AA:AA,'Supp Consol'!Z:Z,"Expired Previous Months",'Supp Consol'!A:A,O1322)=0,"",SUMIFS('Supp Consol'!AA:AA,'Supp Consol'!Z:Z,"Expired Previous Months",'Supp Consol'!A:A,O1322))</f>
        <v/>
      </c>
      <c r="AK1322" s="25" t="str">
        <f>IFERROR(INDEX('Hun Release Current'!B:B,MATCH(O1322,'Hun Release Current'!A:A,0)),"")</f>
        <v/>
      </c>
      <c r="AL1322" s="25" t="str">
        <f>IF(SUMIF('Prev Aub'!A:A,O1322,'Prev Aub'!B:B)=0,"",SUMIF('Prev Aub'!A:A,O1322,'Prev Aub'!B:B))</f>
        <v/>
      </c>
      <c r="AN1322" s="25" t="s">
        <v>3790</v>
      </c>
      <c r="AO1322" s="25" t="s">
        <v>3790</v>
      </c>
      <c r="AP1322" s="25">
        <f t="shared" si="566"/>
        <v>0</v>
      </c>
      <c r="AQ1322" s="151" t="str">
        <f>IF(SUMIFS('Supp Consol'!S:S,'Supp Consol'!A:A,O1322,'Supp Consol'!I:I,"PENDING")=0,"",SUMIFS('Supp Consol'!S:S,'Supp Consol'!A:A,O1322,'Supp Consol'!I:I,"PENDING"))</f>
        <v/>
      </c>
      <c r="AR1322" s="27" t="str">
        <f t="shared" si="567"/>
        <v>WC411</v>
      </c>
      <c r="AS1322" s="27" t="str">
        <f t="shared" si="568"/>
        <v>37</v>
      </c>
      <c r="AT1322" s="27" t="str">
        <f t="shared" si="569"/>
        <v/>
      </c>
      <c r="AU1322" s="27" t="str">
        <f t="shared" si="570"/>
        <v/>
      </c>
      <c r="AV1322" s="27" t="str">
        <f t="shared" si="571"/>
        <v/>
      </c>
      <c r="AW1322" s="27" t="str">
        <f t="shared" si="572"/>
        <v/>
      </c>
      <c r="AX1322" s="27" t="str">
        <f t="shared" si="573"/>
        <v/>
      </c>
      <c r="AY1322" s="27" t="str">
        <f t="shared" si="574"/>
        <v/>
      </c>
      <c r="AZ1322" s="27" t="str">
        <f t="shared" si="575"/>
        <v/>
      </c>
      <c r="BA1322" s="27" t="str">
        <f t="shared" si="576"/>
        <v>Hun</v>
      </c>
      <c r="BB1322" s="27" t="str">
        <f t="shared" si="577"/>
        <v>Gross</v>
      </c>
      <c r="BC1322" s="27" t="str">
        <f t="shared" si="578"/>
        <v>Net</v>
      </c>
      <c r="BD1322" s="27" t="str">
        <f t="shared" si="579"/>
        <v>Net</v>
      </c>
      <c r="BE1322" s="27" t="str">
        <f t="shared" si="580"/>
        <v/>
      </c>
      <c r="BF1322" s="27" t="str">
        <f t="shared" si="581"/>
        <v/>
      </c>
      <c r="BG1322" s="27" t="str">
        <f t="shared" si="582"/>
        <v/>
      </c>
      <c r="BH1322" s="27" t="str">
        <f t="shared" si="583"/>
        <v>H+N</v>
      </c>
      <c r="BI1322" s="27" t="str">
        <f t="shared" si="584"/>
        <v>H+Nex</v>
      </c>
      <c r="BJ1322" s="27" t="str">
        <f t="shared" si="585"/>
        <v>Supp or Hun</v>
      </c>
      <c r="BK1322" s="27" t="str">
        <f t="shared" si="586"/>
        <v>Supp or Hun Need</v>
      </c>
      <c r="BL1322" s="27" t="str">
        <f t="shared" si="587"/>
        <v>SorHandNandE</v>
      </c>
      <c r="BM1322" s="21" t="s">
        <v>5581</v>
      </c>
    </row>
    <row r="1323" spans="1:65" ht="15">
      <c r="A1323" s="25">
        <f>IFERROR(INDEX('Hun Demand'!W:W,MATCH(O1323,'Hun Demand'!A:A,0)),"")</f>
        <v>0</v>
      </c>
      <c r="B1323" s="25">
        <f>IFERROR(INDEX('Hun Demand'!V:V,MATCH(O1323,'Hun Demand'!A:A,0)),"")</f>
        <v>0</v>
      </c>
      <c r="C1323" s="25">
        <f>IFERROR(INDEX('Hun Demand'!U:U,MATCH(O1323,'Hun Demand'!A:A,0)),"")</f>
        <v>0</v>
      </c>
      <c r="D1323" s="25">
        <f>IFERROR(INDEX('Hun Demand'!T:T,MATCH(O1323,'Hun Demand'!A:A,0)),"")</f>
        <v>224</v>
      </c>
      <c r="E1323" s="25">
        <f>IFERROR(INDEX('Hun Demand'!S:S,MATCH(O1323,'Hun Demand'!A:A,0)),"")</f>
        <v>0</v>
      </c>
      <c r="F1323" s="25">
        <f>IFERROR(INDEX('Hun Demand'!R:R,MATCH(O1323,'Hun Demand'!A:A,0)),"")</f>
        <v>0</v>
      </c>
      <c r="G1323" s="25">
        <f>IFERROR(INDEX('Aub Demand'!W:W,MATCH(O1323,'Aub Demand'!A:A,0)),"")</f>
        <v>74</v>
      </c>
      <c r="H1323" s="25">
        <f>IFERROR(INDEX('Aub Demand'!V:V,MATCH(O1323,'Aub Demand'!A:A,0)),"")</f>
        <v>148</v>
      </c>
      <c r="I1323" s="25">
        <f>IFERROR(INDEX('Aub Demand'!U:U,MATCH(O1323,'Aub Demand'!A:A,0)),"")</f>
        <v>126</v>
      </c>
      <c r="J1323" s="25">
        <f>IFERROR(INDEX('Aub Demand'!T:T,MATCH(O1323,'Aub Demand'!A:A,0)),"")</f>
        <v>0</v>
      </c>
      <c r="K1323" s="25">
        <f>IFERROR(INDEX('Aub Demand'!S:S,MATCH(O1323,'Aub Demand'!A:A,0)),"")</f>
        <v>0</v>
      </c>
      <c r="L1323" s="25">
        <f>IFERROR(INDEX('Aub Demand'!R:R,MATCH(O1323,'Aub Demand'!A:A,0)),"")</f>
        <v>0</v>
      </c>
      <c r="O1323" s="27" t="s">
        <v>1635</v>
      </c>
      <c r="P1323" s="27" t="str">
        <f>IFERROR(INDEX('Aub Demand'!B:B,MATCH($O1323,'Aub Demand'!$A:$A,0)),"")</f>
        <v>YORKSHIRE CHERRY</v>
      </c>
      <c r="Q1323" s="27" t="str">
        <f>IFERROR(INDEX('Aub Demand'!C:C,MATCH($O1323,'Aub Demand'!$A:$A,0)),"")</f>
        <v>TOPPA</v>
      </c>
      <c r="R1323" s="52">
        <f>IFERROR(IF(AR1324=AR1323,INDEX('Aub Demand'!K:K,MATCH($O1323,'Aub Demand'!$A:$A,0))-IF(AN1323="",0,AN1323)+AP1324,INDEX('Aub Demand'!K:K,MATCH($O1323,'Aub Demand'!$A:$A,0))-IF(AN1323="",0,AN1323)),"")</f>
        <v>0</v>
      </c>
      <c r="S1323" s="53">
        <f t="shared" si="560"/>
        <v>0</v>
      </c>
      <c r="T1323" s="52" t="str">
        <f t="shared" si="561"/>
        <v/>
      </c>
      <c r="U1323" s="52">
        <f>IFERROR(IF(AR1324=AR1323,INDEX('Aub Demand'!Q:Q,MATCH($O1323,'Aub Demand'!$A:$A,0))-IF(AN1323="",0,AN1323)+AP1324,INDEX('Aub Demand'!Q:Q,MATCH($O1323,'Aub Demand'!$A:$A,0))-IF(AN1323="",0,AN1323)),"")</f>
        <v>-8</v>
      </c>
      <c r="V1323" s="53">
        <f t="shared" si="562"/>
        <v>-0.8</v>
      </c>
      <c r="W1323" s="52" t="str">
        <f t="shared" si="563"/>
        <v/>
      </c>
      <c r="X1323" s="52">
        <f>IFERROR(IF(AND(AR1324=AR1323,AM1323&lt;&gt;""),INDEX('Aub Demand'!Q:Q,MATCH($O1323,'Aub Demand'!$A:$A,0))-IF(AN1323="",0,AN1323)+AP1324+AD1323+AL1323,IF(AR1324=AR1323,INDEX('Aub Demand'!Q:Q,MATCH($O1323,'Aub Demand'!$A:$A,0))-IF(AN1323="",0,AN1323)+AP1324+AD1323,IF(AM1323&lt;&gt;"",INDEX('Aub Demand'!Q:Q,MATCH($O1323,'Aub Demand'!$A:$A,0))-IF(AN1323="",0,AN1323)+AD1323+AL1323,INDEX('Aub Demand'!Q:Q,MATCH($O1323,'Aub Demand'!$A:$A,0))-IF(AN1323="",0,AN1323)+AD1323))),"")</f>
        <v>-8</v>
      </c>
      <c r="Y1323" s="53">
        <f t="shared" si="564"/>
        <v>-0.8</v>
      </c>
      <c r="Z1323" s="52">
        <f>IF(L1323="","",INDEX('Aub Demand'!H:H,MATCH($O1323,'Aub Demand'!$A:$A,0)))</f>
        <v>42</v>
      </c>
      <c r="AA1323" s="52" t="str">
        <f t="shared" si="565"/>
        <v>-spike-</v>
      </c>
      <c r="AB1323" s="52">
        <f>IFERROR(INDEX('Aub Demand'!L:L,MATCH($O1323,'Aub Demand'!$A:$A,0)),"")</f>
        <v>80</v>
      </c>
      <c r="AC1323" s="52">
        <f>IFERROR(IF(O1323="","",SUMIFS('CPL Mats'!F:F,'CPL Mats'!Q:Q,AR1323,'CPL Mats'!S:S,AS1323)),"")</f>
        <v>0</v>
      </c>
      <c r="AF1323" s="25" t="str">
        <f>IF(SUMIFS('Supp Consol'!S:S,'Supp Consol'!Y:Y,"Releasable",'Supp Consol'!A:A,O1323)=0,"",SUMIFS('Supp Consol'!S:S,'Supp Consol'!Y:Y,"Releasable",'Supp Consol'!A:A,O1323))</f>
        <v/>
      </c>
      <c r="AG1323" s="25">
        <f>IFERROR(INDEX('Hun Demand'!Q:Q,MATCH(O1323,'Hun Demand'!A:A,0)),"")</f>
        <v>0</v>
      </c>
      <c r="AH1323" s="25">
        <f>IFERROR(INDEX('Hun Demand'!H:H,MATCH($O1323,'Hun Demand'!$A:$A,0)),"")</f>
        <v>75</v>
      </c>
      <c r="AI1323" s="25" t="str">
        <f>IF(SUMIFS('Supp Consol'!AA:AA,'Supp Consol'!Z:Z,"Expires this month",'Supp Consol'!A:A,O1323)=0,"",SUMIFS('Supp Consol'!AA:AA,'Supp Consol'!Z:Z,"Expires this month",'Supp Consol'!A:A,O1323))</f>
        <v/>
      </c>
      <c r="AJ1323" s="25" t="str">
        <f>IF(SUMIFS('Supp Consol'!AA:AA,'Supp Consol'!Z:Z,"Expired Previous Months",'Supp Consol'!A:A,O1323)=0,"",SUMIFS('Supp Consol'!AA:AA,'Supp Consol'!Z:Z,"Expired Previous Months",'Supp Consol'!A:A,O1323))</f>
        <v/>
      </c>
      <c r="AK1323" s="25" t="str">
        <f>IFERROR(INDEX('Hun Release Current'!B:B,MATCH(O1323,'Hun Release Current'!A:A,0)),"")</f>
        <v/>
      </c>
      <c r="AL1323" s="25" t="str">
        <f>IF(SUMIF('Prev Aub'!A:A,O1323,'Prev Aub'!B:B)=0,"",SUMIF('Prev Aub'!A:A,O1323,'Prev Aub'!B:B))</f>
        <v/>
      </c>
      <c r="AN1323" s="25" t="s">
        <v>3790</v>
      </c>
      <c r="AO1323" s="25" t="s">
        <v>3790</v>
      </c>
      <c r="AP1323" s="25">
        <f t="shared" si="566"/>
        <v>0</v>
      </c>
      <c r="AQ1323" s="151" t="str">
        <f>IF(SUMIFS('Supp Consol'!S:S,'Supp Consol'!A:A,O1323,'Supp Consol'!I:I,"PENDING")=0,"",SUMIFS('Supp Consol'!S:S,'Supp Consol'!A:A,O1323,'Supp Consol'!I:I,"PENDING"))</f>
        <v/>
      </c>
      <c r="AR1323" s="27" t="str">
        <f t="shared" si="567"/>
        <v>WC411</v>
      </c>
      <c r="AS1323" s="27" t="str">
        <f t="shared" si="568"/>
        <v>50</v>
      </c>
      <c r="AT1323" s="27" t="str">
        <f t="shared" si="569"/>
        <v>WC411</v>
      </c>
      <c r="AU1323" s="27" t="str">
        <f t="shared" si="570"/>
        <v>WC411</v>
      </c>
      <c r="AV1323" s="27" t="str">
        <f t="shared" si="571"/>
        <v>WC411</v>
      </c>
      <c r="AW1323" s="27" t="str">
        <f t="shared" si="572"/>
        <v/>
      </c>
      <c r="AX1323" s="27" t="str">
        <f t="shared" si="573"/>
        <v/>
      </c>
      <c r="AY1323" s="27" t="str">
        <f t="shared" si="574"/>
        <v/>
      </c>
      <c r="AZ1323" s="27" t="str">
        <f t="shared" si="575"/>
        <v/>
      </c>
      <c r="BA1323" s="27" t="str">
        <f t="shared" si="576"/>
        <v>Hun</v>
      </c>
      <c r="BB1323" s="27" t="str">
        <f t="shared" si="577"/>
        <v>Gross</v>
      </c>
      <c r="BC1323" s="27" t="str">
        <f t="shared" si="578"/>
        <v>Net</v>
      </c>
      <c r="BD1323" s="27" t="str">
        <f t="shared" si="579"/>
        <v>Net</v>
      </c>
      <c r="BE1323" s="27" t="str">
        <f t="shared" si="580"/>
        <v/>
      </c>
      <c r="BF1323" s="27" t="str">
        <f t="shared" si="581"/>
        <v/>
      </c>
      <c r="BG1323" s="27" t="str">
        <f t="shared" si="582"/>
        <v/>
      </c>
      <c r="BH1323" s="27" t="str">
        <f t="shared" si="583"/>
        <v>H+N</v>
      </c>
      <c r="BI1323" s="27" t="str">
        <f t="shared" si="584"/>
        <v>H+Nex</v>
      </c>
      <c r="BJ1323" s="27" t="str">
        <f t="shared" si="585"/>
        <v>Supp or Hun</v>
      </c>
      <c r="BK1323" s="27" t="str">
        <f t="shared" si="586"/>
        <v>Supp or Hun Need</v>
      </c>
      <c r="BL1323" s="27" t="str">
        <f t="shared" si="587"/>
        <v>SorHandNandE</v>
      </c>
      <c r="BM1323" s="21" t="s">
        <v>5581</v>
      </c>
    </row>
    <row r="1324" spans="1:65" ht="15">
      <c r="A1324" s="25">
        <f>IFERROR(INDEX('Hun Demand'!W:W,MATCH(O1324,'Hun Demand'!A:A,0)),"")</f>
        <v>0</v>
      </c>
      <c r="B1324" s="25">
        <f>IFERROR(INDEX('Hun Demand'!V:V,MATCH(O1324,'Hun Demand'!A:A,0)),"")</f>
        <v>0</v>
      </c>
      <c r="C1324" s="25">
        <f>IFERROR(INDEX('Hun Demand'!U:U,MATCH(O1324,'Hun Demand'!A:A,0)),"")</f>
        <v>206</v>
      </c>
      <c r="D1324" s="25">
        <f>IFERROR(INDEX('Hun Demand'!T:T,MATCH(O1324,'Hun Demand'!A:A,0)),"")</f>
        <v>0</v>
      </c>
      <c r="E1324" s="25">
        <f>IFERROR(INDEX('Hun Demand'!S:S,MATCH(O1324,'Hun Demand'!A:A,0)),"")</f>
        <v>0</v>
      </c>
      <c r="F1324" s="25">
        <f>IFERROR(INDEX('Hun Demand'!R:R,MATCH(O1324,'Hun Demand'!A:A,0)),"")</f>
        <v>0</v>
      </c>
      <c r="G1324" s="25">
        <f>IFERROR(INDEX('Aub Demand'!W:W,MATCH(O1324,'Aub Demand'!A:A,0)),"")</f>
        <v>87</v>
      </c>
      <c r="H1324" s="25">
        <f>IFERROR(INDEX('Aub Demand'!V:V,MATCH(O1324,'Aub Demand'!A:A,0)),"")</f>
        <v>29</v>
      </c>
      <c r="I1324" s="25">
        <f>IFERROR(INDEX('Aub Demand'!U:U,MATCH(O1324,'Aub Demand'!A:A,0)),"")</f>
        <v>60</v>
      </c>
      <c r="J1324" s="25">
        <f>IFERROR(INDEX('Aub Demand'!T:T,MATCH(O1324,'Aub Demand'!A:A,0)),"")</f>
        <v>116</v>
      </c>
      <c r="K1324" s="25">
        <f>IFERROR(INDEX('Aub Demand'!S:S,MATCH(O1324,'Aub Demand'!A:A,0)),"")</f>
        <v>0</v>
      </c>
      <c r="L1324" s="25">
        <f>IFERROR(INDEX('Aub Demand'!R:R,MATCH(O1324,'Aub Demand'!A:A,0)),"")</f>
        <v>0</v>
      </c>
      <c r="O1324" s="27" t="s">
        <v>1637</v>
      </c>
      <c r="P1324" s="27" t="str">
        <f>IFERROR(INDEX('Aub Demand'!B:B,MATCH($O1324,'Aub Demand'!$A:$A,0)),"")</f>
        <v>YORKSHIRE CHERRY</v>
      </c>
      <c r="Q1324" s="27" t="str">
        <f>IFERROR(INDEX('Aub Demand'!C:C,MATCH($O1324,'Aub Demand'!$A:$A,0)),"")</f>
        <v>TOPPA</v>
      </c>
      <c r="R1324" s="52">
        <f>IFERROR(IF(AR1325=AR1324,INDEX('Aub Demand'!K:K,MATCH($O1324,'Aub Demand'!$A:$A,0))-IF(AN1324="",0,AN1324)+AP1325,INDEX('Aub Demand'!K:K,MATCH($O1324,'Aub Demand'!$A:$A,0))-IF(AN1324="",0,AN1324)),"")</f>
        <v>2711</v>
      </c>
      <c r="S1324" s="53">
        <f t="shared" si="560"/>
        <v>196.9</v>
      </c>
      <c r="T1324" s="52" t="str">
        <f t="shared" si="561"/>
        <v/>
      </c>
      <c r="U1324" s="52">
        <f>IFERROR(IF(AR1325=AR1324,INDEX('Aub Demand'!Q:Q,MATCH($O1324,'Aub Demand'!$A:$A,0))-IF(AN1324="",0,AN1324)+AP1325,INDEX('Aub Demand'!Q:Q,MATCH($O1324,'Aub Demand'!$A:$A,0))-IF(AN1324="",0,AN1324)),"")</f>
        <v>2711</v>
      </c>
      <c r="V1324" s="53">
        <f t="shared" si="562"/>
        <v>196.9</v>
      </c>
      <c r="W1324" s="52" t="str">
        <f t="shared" si="563"/>
        <v/>
      </c>
      <c r="X1324" s="52">
        <f>IFERROR(IF(AND(AR1325=AR1324,AM1324&lt;&gt;""),INDEX('Aub Demand'!Q:Q,MATCH($O1324,'Aub Demand'!$A:$A,0))-IF(AN1324="",0,AN1324)+AP1325+AD1324+AL1324,IF(AR1325=AR1324,INDEX('Aub Demand'!Q:Q,MATCH($O1324,'Aub Demand'!$A:$A,0))-IF(AN1324="",0,AN1324)+AP1325+AD1324,IF(AM1324&lt;&gt;"",INDEX('Aub Demand'!Q:Q,MATCH($O1324,'Aub Demand'!$A:$A,0))-IF(AN1324="",0,AN1324)+AD1324+AL1324,INDEX('Aub Demand'!Q:Q,MATCH($O1324,'Aub Demand'!$A:$A,0))-IF(AN1324="",0,AN1324)+AD1324))),"")</f>
        <v>2711</v>
      </c>
      <c r="Y1324" s="53">
        <f t="shared" si="564"/>
        <v>196.9</v>
      </c>
      <c r="Z1324" s="52">
        <f>IF(L1324="","",INDEX('Aub Demand'!H:H,MATCH($O1324,'Aub Demand'!$A:$A,0)))</f>
        <v>59</v>
      </c>
      <c r="AA1324" s="52">
        <f t="shared" si="565"/>
        <v>88</v>
      </c>
      <c r="AB1324" s="52">
        <f>IFERROR(INDEX('Aub Demand'!L:L,MATCH($O1324,'Aub Demand'!$A:$A,0)),"")</f>
        <v>103</v>
      </c>
      <c r="AC1324" s="52">
        <f>IFERROR(IF(O1324="","",SUMIFS('CPL Mats'!F:F,'CPL Mats'!Q:Q,AR1324,'CPL Mats'!S:S,AS1324)),"")</f>
        <v>0</v>
      </c>
      <c r="AF1324" s="25" t="str">
        <f>IF(SUMIFS('Supp Consol'!S:S,'Supp Consol'!Y:Y,"Releasable",'Supp Consol'!A:A,O1324)=0,"",SUMIFS('Supp Consol'!S:S,'Supp Consol'!Y:Y,"Releasable",'Supp Consol'!A:A,O1324))</f>
        <v/>
      </c>
      <c r="AG1324" s="25">
        <f>IFERROR(INDEX('Hun Demand'!Q:Q,MATCH(O1324,'Hun Demand'!A:A,0)),"")</f>
        <v>372</v>
      </c>
      <c r="AH1324" s="25">
        <f>IFERROR(INDEX('Hun Demand'!H:H,MATCH($O1324,'Hun Demand'!$A:$A,0)),"")</f>
        <v>69</v>
      </c>
      <c r="AI1324" s="25" t="str">
        <f>IF(SUMIFS('Supp Consol'!AA:AA,'Supp Consol'!Z:Z,"Expires this month",'Supp Consol'!A:A,O1324)=0,"",SUMIFS('Supp Consol'!AA:AA,'Supp Consol'!Z:Z,"Expires this month",'Supp Consol'!A:A,O1324))</f>
        <v/>
      </c>
      <c r="AJ1324" s="25" t="str">
        <f>IF(SUMIFS('Supp Consol'!AA:AA,'Supp Consol'!Z:Z,"Expired Previous Months",'Supp Consol'!A:A,O1324)=0,"",SUMIFS('Supp Consol'!AA:AA,'Supp Consol'!Z:Z,"Expired Previous Months",'Supp Consol'!A:A,O1324))</f>
        <v/>
      </c>
      <c r="AK1324" s="25" t="str">
        <f>IFERROR(INDEX('Hun Release Current'!B:B,MATCH(O1324,'Hun Release Current'!A:A,0)),"")</f>
        <v/>
      </c>
      <c r="AL1324" s="25" t="str">
        <f>IF(SUMIF('Prev Aub'!A:A,O1324,'Prev Aub'!B:B)=0,"",SUMIF('Prev Aub'!A:A,O1324,'Prev Aub'!B:B))</f>
        <v/>
      </c>
      <c r="AN1324" s="25" t="s">
        <v>3790</v>
      </c>
      <c r="AO1324" s="25" t="s">
        <v>3790</v>
      </c>
      <c r="AP1324" s="25">
        <f t="shared" si="566"/>
        <v>0</v>
      </c>
      <c r="AQ1324" s="151" t="str">
        <f>IF(SUMIFS('Supp Consol'!S:S,'Supp Consol'!A:A,O1324,'Supp Consol'!I:I,"PENDING")=0,"",SUMIFS('Supp Consol'!S:S,'Supp Consol'!A:A,O1324,'Supp Consol'!I:I,"PENDING"))</f>
        <v/>
      </c>
      <c r="AR1324" s="27" t="str">
        <f t="shared" si="567"/>
        <v>WC411</v>
      </c>
      <c r="AS1324" s="27" t="str">
        <f t="shared" si="568"/>
        <v>62</v>
      </c>
      <c r="AT1324" s="27" t="str">
        <f t="shared" si="569"/>
        <v/>
      </c>
      <c r="AU1324" s="27" t="str">
        <f t="shared" si="570"/>
        <v/>
      </c>
      <c r="AV1324" s="27" t="str">
        <f t="shared" si="571"/>
        <v/>
      </c>
      <c r="AW1324" s="27" t="str">
        <f t="shared" si="572"/>
        <v/>
      </c>
      <c r="AX1324" s="27" t="str">
        <f t="shared" si="573"/>
        <v/>
      </c>
      <c r="AY1324" s="27" t="str">
        <f t="shared" si="574"/>
        <v>WC411</v>
      </c>
      <c r="AZ1324" s="27" t="str">
        <f t="shared" si="575"/>
        <v/>
      </c>
      <c r="BA1324" s="27" t="str">
        <f t="shared" si="576"/>
        <v>Hun</v>
      </c>
      <c r="BB1324" s="27" t="str">
        <f t="shared" si="577"/>
        <v>Gross</v>
      </c>
      <c r="BC1324" s="27" t="str">
        <f t="shared" si="578"/>
        <v>Net</v>
      </c>
      <c r="BD1324" s="27" t="str">
        <f t="shared" si="579"/>
        <v>Net</v>
      </c>
      <c r="BE1324" s="27" t="str">
        <f t="shared" si="580"/>
        <v/>
      </c>
      <c r="BF1324" s="27" t="str">
        <f t="shared" si="581"/>
        <v/>
      </c>
      <c r="BG1324" s="27" t="str">
        <f t="shared" si="582"/>
        <v/>
      </c>
      <c r="BH1324" s="27" t="str">
        <f t="shared" si="583"/>
        <v>H+N</v>
      </c>
      <c r="BI1324" s="27" t="str">
        <f t="shared" si="584"/>
        <v>H+Nex</v>
      </c>
      <c r="BJ1324" s="27" t="str">
        <f t="shared" si="585"/>
        <v>Supp or Hun</v>
      </c>
      <c r="BK1324" s="27" t="str">
        <f t="shared" si="586"/>
        <v>Supp or Hun Need</v>
      </c>
      <c r="BL1324" s="27" t="str">
        <f t="shared" si="587"/>
        <v>SorHandNandE</v>
      </c>
      <c r="BM1324" s="21" t="s">
        <v>5581</v>
      </c>
    </row>
    <row r="1325" spans="1:65" ht="15">
      <c r="A1325" s="25" t="str">
        <f>IFERROR(INDEX('Hun Demand'!W:W,MATCH(O1325,'Hun Demand'!A:A,0)),"")</f>
        <v/>
      </c>
      <c r="B1325" s="25" t="str">
        <f>IFERROR(INDEX('Hun Demand'!V:V,MATCH(O1325,'Hun Demand'!A:A,0)),"")</f>
        <v/>
      </c>
      <c r="C1325" s="25" t="str">
        <f>IFERROR(INDEX('Hun Demand'!U:U,MATCH(O1325,'Hun Demand'!A:A,0)),"")</f>
        <v/>
      </c>
      <c r="D1325" s="25" t="str">
        <f>IFERROR(INDEX('Hun Demand'!T:T,MATCH(O1325,'Hun Demand'!A:A,0)),"")</f>
        <v/>
      </c>
      <c r="E1325" s="25" t="str">
        <f>IFERROR(INDEX('Hun Demand'!S:S,MATCH(O1325,'Hun Demand'!A:A,0)),"")</f>
        <v/>
      </c>
      <c r="F1325" s="25" t="str">
        <f>IFERROR(INDEX('Hun Demand'!R:R,MATCH(O1325,'Hun Demand'!A:A,0)),"")</f>
        <v/>
      </c>
      <c r="G1325" s="25">
        <f>IFERROR(INDEX('Aub Demand'!W:W,MATCH(O1325,'Aub Demand'!A:A,0)),"")</f>
        <v>0</v>
      </c>
      <c r="H1325" s="25">
        <f>IFERROR(INDEX('Aub Demand'!V:V,MATCH(O1325,'Aub Demand'!A:A,0)),"")</f>
        <v>0</v>
      </c>
      <c r="I1325" s="25">
        <f>IFERROR(INDEX('Aub Demand'!U:U,MATCH(O1325,'Aub Demand'!A:A,0)),"")</f>
        <v>0</v>
      </c>
      <c r="J1325" s="25">
        <f>IFERROR(INDEX('Aub Demand'!T:T,MATCH(O1325,'Aub Demand'!A:A,0)),"")</f>
        <v>6</v>
      </c>
      <c r="K1325" s="25">
        <f>IFERROR(INDEX('Aub Demand'!S:S,MATCH(O1325,'Aub Demand'!A:A,0)),"")</f>
        <v>0</v>
      </c>
      <c r="L1325" s="25">
        <f>IFERROR(INDEX('Aub Demand'!R:R,MATCH(O1325,'Aub Demand'!A:A,0)),"")</f>
        <v>0</v>
      </c>
      <c r="O1325" s="27" t="s">
        <v>5425</v>
      </c>
      <c r="P1325" s="27" t="str">
        <f>IFERROR(INDEX('Aub Demand'!B:B,MATCH($O1325,'Aub Demand'!$A:$A,0)),"")</f>
        <v>OILED CHERRY</v>
      </c>
      <c r="Q1325" s="27" t="str">
        <f>IFERROR(INDEX('Aub Demand'!C:C,MATCH($O1325,'Aub Demand'!$A:$A,0)),"")</f>
        <v>SUDDE</v>
      </c>
      <c r="R1325" s="52">
        <f>IFERROR(IF(AR1326=AR1325,INDEX('Aub Demand'!K:K,MATCH($O1325,'Aub Demand'!$A:$A,0))-IF(AN1325="",0,AN1325)+AP1326,INDEX('Aub Demand'!K:K,MATCH($O1325,'Aub Demand'!$A:$A,0))-IF(AN1325="",0,AN1325)),"")</f>
        <v>20</v>
      </c>
      <c r="S1325" s="53">
        <f t="shared" si="560"/>
        <v>42.9</v>
      </c>
      <c r="T1325" s="52" t="str">
        <f t="shared" si="561"/>
        <v/>
      </c>
      <c r="U1325" s="52">
        <f>IFERROR(IF(AR1326=AR1325,INDEX('Aub Demand'!Q:Q,MATCH($O1325,'Aub Demand'!$A:$A,0))-IF(AN1325="",0,AN1325)+AP1326,INDEX('Aub Demand'!Q:Q,MATCH($O1325,'Aub Demand'!$A:$A,0))-IF(AN1325="",0,AN1325)),"")</f>
        <v>20</v>
      </c>
      <c r="V1325" s="53">
        <f t="shared" si="562"/>
        <v>42.9</v>
      </c>
      <c r="W1325" s="52" t="str">
        <f t="shared" si="563"/>
        <v/>
      </c>
      <c r="X1325" s="52">
        <f>IFERROR(IF(AND(AR1326=AR1325,AM1325&lt;&gt;""),INDEX('Aub Demand'!Q:Q,MATCH($O1325,'Aub Demand'!$A:$A,0))-IF(AN1325="",0,AN1325)+AP1326+AD1325+AL1325,IF(AR1326=AR1325,INDEX('Aub Demand'!Q:Q,MATCH($O1325,'Aub Demand'!$A:$A,0))-IF(AN1325="",0,AN1325)+AP1326+AD1325,IF(AM1325&lt;&gt;"",INDEX('Aub Demand'!Q:Q,MATCH($O1325,'Aub Demand'!$A:$A,0))-IF(AN1325="",0,AN1325)+AD1325+AL1325,INDEX('Aub Demand'!Q:Q,MATCH($O1325,'Aub Demand'!$A:$A,0))-IF(AN1325="",0,AN1325)+AD1325))),"")</f>
        <v>20</v>
      </c>
      <c r="Y1325" s="53">
        <f t="shared" si="564"/>
        <v>42.9</v>
      </c>
      <c r="Z1325" s="52">
        <f>IF(L1325="","",INDEX('Aub Demand'!H:H,MATCH($O1325,'Aub Demand'!$A:$A,0)))</f>
        <v>2</v>
      </c>
      <c r="AA1325" s="52" t="str">
        <f t="shared" si="565"/>
        <v>-spike-</v>
      </c>
      <c r="AB1325" s="52">
        <f>IFERROR(INDEX('Aub Demand'!L:L,MATCH($O1325,'Aub Demand'!$A:$A,0)),"")</f>
        <v>0</v>
      </c>
      <c r="AC1325" s="52">
        <f>IFERROR(IF(O1325="","",SUMIFS('CPL Mats'!F:F,'CPL Mats'!Q:Q,AR1325,'CPL Mats'!S:S,AS1325)),"")</f>
        <v>0</v>
      </c>
      <c r="AF1325" s="25" t="str">
        <f>IF(SUMIFS('Supp Consol'!S:S,'Supp Consol'!Y:Y,"Releasable",'Supp Consol'!A:A,O1325)=0,"",SUMIFS('Supp Consol'!S:S,'Supp Consol'!Y:Y,"Releasable",'Supp Consol'!A:A,O1325))</f>
        <v/>
      </c>
      <c r="AG1325" s="25" t="str">
        <f>IFERROR(INDEX('Hun Demand'!Q:Q,MATCH(O1325,'Hun Demand'!A:A,0)),"")</f>
        <v/>
      </c>
      <c r="AH1325" s="25" t="str">
        <f>IFERROR(INDEX('Hun Demand'!H:H,MATCH($O1325,'Hun Demand'!$A:$A,0)),"")</f>
        <v/>
      </c>
      <c r="AI1325" s="25" t="str">
        <f>IF(SUMIFS('Supp Consol'!AA:AA,'Supp Consol'!Z:Z,"Expires this month",'Supp Consol'!A:A,O1325)=0,"",SUMIFS('Supp Consol'!AA:AA,'Supp Consol'!Z:Z,"Expires this month",'Supp Consol'!A:A,O1325))</f>
        <v/>
      </c>
      <c r="AJ1325" s="25" t="str">
        <f>IF(SUMIFS('Supp Consol'!AA:AA,'Supp Consol'!Z:Z,"Expired Previous Months",'Supp Consol'!A:A,O1325)=0,"",SUMIFS('Supp Consol'!AA:AA,'Supp Consol'!Z:Z,"Expired Previous Months",'Supp Consol'!A:A,O1325))</f>
        <v/>
      </c>
      <c r="AK1325" s="25" t="str">
        <f>IFERROR(INDEX('Hun Release Current'!B:B,MATCH(O1325,'Hun Release Current'!A:A,0)),"")</f>
        <v/>
      </c>
      <c r="AL1325" s="25" t="str">
        <f>IF(SUMIF('Prev Aub'!A:A,O1325,'Prev Aub'!B:B)=0,"",SUMIF('Prev Aub'!A:A,O1325,'Prev Aub'!B:B))</f>
        <v/>
      </c>
      <c r="AN1325" s="25" t="s">
        <v>3790</v>
      </c>
      <c r="AO1325" s="25" t="s">
        <v>3790</v>
      </c>
      <c r="AP1325" s="25">
        <f t="shared" si="566"/>
        <v>0</v>
      </c>
      <c r="AQ1325" s="151" t="str">
        <f>IF(SUMIFS('Supp Consol'!S:S,'Supp Consol'!A:A,O1325,'Supp Consol'!I:I,"PENDING")=0,"",SUMIFS('Supp Consol'!S:S,'Supp Consol'!A:A,O1325,'Supp Consol'!I:I,"PENDING"))</f>
        <v/>
      </c>
      <c r="AR1325" s="27" t="str">
        <f t="shared" si="567"/>
        <v>WC421</v>
      </c>
      <c r="AS1325" s="27" t="str">
        <f t="shared" si="568"/>
        <v>37</v>
      </c>
      <c r="AT1325" s="27" t="str">
        <f t="shared" si="569"/>
        <v/>
      </c>
      <c r="AU1325" s="27" t="str">
        <f t="shared" si="570"/>
        <v/>
      </c>
      <c r="AV1325" s="27" t="str">
        <f t="shared" si="571"/>
        <v/>
      </c>
      <c r="AW1325" s="27" t="str">
        <f t="shared" si="572"/>
        <v/>
      </c>
      <c r="AX1325" s="27" t="str">
        <f t="shared" si="573"/>
        <v/>
      </c>
      <c r="AY1325" s="27" t="str">
        <f t="shared" si="574"/>
        <v/>
      </c>
      <c r="AZ1325" s="27" t="str">
        <f t="shared" si="575"/>
        <v>Supp</v>
      </c>
      <c r="BA1325" s="27" t="str">
        <f t="shared" si="576"/>
        <v>Hun</v>
      </c>
      <c r="BB1325" s="27" t="str">
        <f t="shared" si="577"/>
        <v/>
      </c>
      <c r="BC1325" s="27" t="str">
        <f t="shared" si="578"/>
        <v/>
      </c>
      <c r="BD1325" s="27" t="str">
        <f t="shared" si="579"/>
        <v/>
      </c>
      <c r="BE1325" s="27" t="str">
        <f t="shared" si="580"/>
        <v/>
      </c>
      <c r="BF1325" s="27" t="str">
        <f t="shared" si="581"/>
        <v/>
      </c>
      <c r="BG1325" s="27" t="str">
        <f t="shared" si="582"/>
        <v/>
      </c>
      <c r="BH1325" s="27" t="str">
        <f t="shared" si="583"/>
        <v/>
      </c>
      <c r="BI1325" s="27" t="str">
        <f t="shared" si="584"/>
        <v/>
      </c>
      <c r="BJ1325" s="27" t="str">
        <f t="shared" si="585"/>
        <v>Supp or Hun</v>
      </c>
      <c r="BK1325" s="27" t="str">
        <f t="shared" si="586"/>
        <v/>
      </c>
      <c r="BL1325" s="27" t="str">
        <f t="shared" si="587"/>
        <v/>
      </c>
      <c r="BM1325" s="21" t="s">
        <v>3790</v>
      </c>
    </row>
    <row r="1326" spans="1:65" ht="15">
      <c r="A1326" s="25" t="str">
        <f>IFERROR(INDEX('Hun Demand'!W:W,MATCH(O1326,'Hun Demand'!A:A,0)),"")</f>
        <v/>
      </c>
      <c r="B1326" s="25" t="str">
        <f>IFERROR(INDEX('Hun Demand'!V:V,MATCH(O1326,'Hun Demand'!A:A,0)),"")</f>
        <v/>
      </c>
      <c r="C1326" s="25" t="str">
        <f>IFERROR(INDEX('Hun Demand'!U:U,MATCH(O1326,'Hun Demand'!A:A,0)),"")</f>
        <v/>
      </c>
      <c r="D1326" s="25" t="str">
        <f>IFERROR(INDEX('Hun Demand'!T:T,MATCH(O1326,'Hun Demand'!A:A,0)),"")</f>
        <v/>
      </c>
      <c r="E1326" s="25" t="str">
        <f>IFERROR(INDEX('Hun Demand'!S:S,MATCH(O1326,'Hun Demand'!A:A,0)),"")</f>
        <v/>
      </c>
      <c r="F1326" s="25" t="str">
        <f>IFERROR(INDEX('Hun Demand'!R:R,MATCH(O1326,'Hun Demand'!A:A,0)),"")</f>
        <v/>
      </c>
      <c r="G1326" s="25">
        <f>IFERROR(INDEX('Aub Demand'!W:W,MATCH(O1326,'Aub Demand'!A:A,0)),"")</f>
        <v>0</v>
      </c>
      <c r="H1326" s="25">
        <f>IFERROR(INDEX('Aub Demand'!V:V,MATCH(O1326,'Aub Demand'!A:A,0)),"")</f>
        <v>0</v>
      </c>
      <c r="I1326" s="25">
        <f>IFERROR(INDEX('Aub Demand'!U:U,MATCH(O1326,'Aub Demand'!A:A,0)),"")</f>
        <v>0</v>
      </c>
      <c r="J1326" s="25">
        <f>IFERROR(INDEX('Aub Demand'!T:T,MATCH(O1326,'Aub Demand'!A:A,0)),"")</f>
        <v>0</v>
      </c>
      <c r="K1326" s="25">
        <f>IFERROR(INDEX('Aub Demand'!S:S,MATCH(O1326,'Aub Demand'!A:A,0)),"")</f>
        <v>0</v>
      </c>
      <c r="L1326" s="25">
        <f>IFERROR(INDEX('Aub Demand'!R:R,MATCH(O1326,'Aub Demand'!A:A,0)),"")</f>
        <v>0</v>
      </c>
      <c r="O1326" s="27" t="s">
        <v>1639</v>
      </c>
      <c r="P1326" s="27" t="str">
        <f>IFERROR(INDEX('Aub Demand'!B:B,MATCH($O1326,'Aub Demand'!$A:$A,0)),"")</f>
        <v>OILED CHERRY LEFT</v>
      </c>
      <c r="Q1326" s="27" t="str">
        <f>IFERROR(INDEX('Aub Demand'!C:C,MATCH($O1326,'Aub Demand'!$A:$A,0)),"")</f>
        <v>SUDDE</v>
      </c>
      <c r="R1326" s="52">
        <f>IFERROR(IF(AR1327=AR1326,INDEX('Aub Demand'!K:K,MATCH($O1326,'Aub Demand'!$A:$A,0))-IF(AN1326="",0,AN1326)+AP1327,INDEX('Aub Demand'!K:K,MATCH($O1326,'Aub Demand'!$A:$A,0))-IF(AN1326="",0,AN1326)),"")</f>
        <v>22</v>
      </c>
      <c r="S1326" s="53" t="str">
        <f t="shared" si="560"/>
        <v>n/a</v>
      </c>
      <c r="T1326" s="52" t="str">
        <f t="shared" si="561"/>
        <v/>
      </c>
      <c r="U1326" s="52">
        <f>IFERROR(IF(AR1327=AR1326,INDEX('Aub Demand'!Q:Q,MATCH($O1326,'Aub Demand'!$A:$A,0))-IF(AN1326="",0,AN1326)+AP1327,INDEX('Aub Demand'!Q:Q,MATCH($O1326,'Aub Demand'!$A:$A,0))-IF(AN1326="",0,AN1326)),"")</f>
        <v>22</v>
      </c>
      <c r="V1326" s="53" t="str">
        <f t="shared" si="562"/>
        <v>n/a</v>
      </c>
      <c r="W1326" s="52" t="str">
        <f t="shared" si="563"/>
        <v/>
      </c>
      <c r="X1326" s="52">
        <f>IFERROR(IF(AND(AR1327=AR1326,AM1326&lt;&gt;""),INDEX('Aub Demand'!Q:Q,MATCH($O1326,'Aub Demand'!$A:$A,0))-IF(AN1326="",0,AN1326)+AP1327+AD1326+AL1326,IF(AR1327=AR1326,INDEX('Aub Demand'!Q:Q,MATCH($O1326,'Aub Demand'!$A:$A,0))-IF(AN1326="",0,AN1326)+AP1327+AD1326,IF(AM1326&lt;&gt;"",INDEX('Aub Demand'!Q:Q,MATCH($O1326,'Aub Demand'!$A:$A,0))-IF(AN1326="",0,AN1326)+AD1326+AL1326,INDEX('Aub Demand'!Q:Q,MATCH($O1326,'Aub Demand'!$A:$A,0))-IF(AN1326="",0,AN1326)+AD1326))),"")</f>
        <v>22</v>
      </c>
      <c r="Y1326" s="53" t="str">
        <f t="shared" si="564"/>
        <v>n/a</v>
      </c>
      <c r="Z1326" s="52">
        <f>IF(L1326="","",INDEX('Aub Demand'!H:H,MATCH($O1326,'Aub Demand'!$A:$A,0)))</f>
        <v>0</v>
      </c>
      <c r="AA1326" s="52" t="str">
        <f t="shared" si="565"/>
        <v>-spike-</v>
      </c>
      <c r="AB1326" s="52">
        <f>IFERROR(INDEX('Aub Demand'!L:L,MATCH($O1326,'Aub Demand'!$A:$A,0)),"")</f>
        <v>0</v>
      </c>
      <c r="AC1326" s="52">
        <f>IFERROR(IF(O1326="","",SUMIFS('CPL Mats'!F:F,'CPL Mats'!Q:Q,AR1326,'CPL Mats'!S:S,AS1326)),"")</f>
        <v>0</v>
      </c>
      <c r="AF1326" s="25" t="str">
        <f>IF(SUMIFS('Supp Consol'!S:S,'Supp Consol'!Y:Y,"Releasable",'Supp Consol'!A:A,O1326)=0,"",SUMIFS('Supp Consol'!S:S,'Supp Consol'!Y:Y,"Releasable",'Supp Consol'!A:A,O1326))</f>
        <v/>
      </c>
      <c r="AG1326" s="25" t="str">
        <f>IFERROR(INDEX('Hun Demand'!Q:Q,MATCH(O1326,'Hun Demand'!A:A,0)),"")</f>
        <v/>
      </c>
      <c r="AH1326" s="25" t="str">
        <f>IFERROR(INDEX('Hun Demand'!H:H,MATCH($O1326,'Hun Demand'!$A:$A,0)),"")</f>
        <v/>
      </c>
      <c r="AI1326" s="25" t="str">
        <f>IF(SUMIFS('Supp Consol'!AA:AA,'Supp Consol'!Z:Z,"Expires this month",'Supp Consol'!A:A,O1326)=0,"",SUMIFS('Supp Consol'!AA:AA,'Supp Consol'!Z:Z,"Expires this month",'Supp Consol'!A:A,O1326))</f>
        <v/>
      </c>
      <c r="AJ1326" s="25" t="str">
        <f>IF(SUMIFS('Supp Consol'!AA:AA,'Supp Consol'!Z:Z,"Expired Previous Months",'Supp Consol'!A:A,O1326)=0,"",SUMIFS('Supp Consol'!AA:AA,'Supp Consol'!Z:Z,"Expired Previous Months",'Supp Consol'!A:A,O1326))</f>
        <v/>
      </c>
      <c r="AK1326" s="25" t="str">
        <f>IFERROR(INDEX('Hun Release Current'!B:B,MATCH(O1326,'Hun Release Current'!A:A,0)),"")</f>
        <v/>
      </c>
      <c r="AL1326" s="25" t="str">
        <f>IF(SUMIF('Prev Aub'!A:A,O1326,'Prev Aub'!B:B)=0,"",SUMIF('Prev Aub'!A:A,O1326,'Prev Aub'!B:B))</f>
        <v/>
      </c>
      <c r="AN1326" s="25">
        <v>25</v>
      </c>
      <c r="AO1326" s="25" t="s">
        <v>3891</v>
      </c>
      <c r="AP1326" s="25">
        <f t="shared" si="566"/>
        <v>20</v>
      </c>
      <c r="AQ1326" s="151" t="str">
        <f>IF(SUMIFS('Supp Consol'!S:S,'Supp Consol'!A:A,O1326,'Supp Consol'!I:I,"PENDING")=0,"",SUMIFS('Supp Consol'!S:S,'Supp Consol'!A:A,O1326,'Supp Consol'!I:I,"PENDING"))</f>
        <v/>
      </c>
      <c r="AR1326" s="27" t="str">
        <f t="shared" si="567"/>
        <v>WC421</v>
      </c>
      <c r="AS1326" s="27" t="str">
        <f t="shared" si="568"/>
        <v>43</v>
      </c>
      <c r="AT1326" s="27" t="str">
        <f t="shared" si="569"/>
        <v/>
      </c>
      <c r="AU1326" s="27" t="str">
        <f t="shared" si="570"/>
        <v/>
      </c>
      <c r="AV1326" s="27" t="str">
        <f t="shared" si="571"/>
        <v/>
      </c>
      <c r="AW1326" s="27" t="str">
        <f t="shared" si="572"/>
        <v/>
      </c>
      <c r="AX1326" s="27" t="str">
        <f t="shared" si="573"/>
        <v/>
      </c>
      <c r="AY1326" s="27" t="str">
        <f t="shared" si="574"/>
        <v/>
      </c>
      <c r="AZ1326" s="27" t="str">
        <f t="shared" si="575"/>
        <v>Supp</v>
      </c>
      <c r="BA1326" s="27" t="str">
        <f t="shared" si="576"/>
        <v>Hun</v>
      </c>
      <c r="BB1326" s="27" t="str">
        <f t="shared" si="577"/>
        <v/>
      </c>
      <c r="BC1326" s="27" t="str">
        <f t="shared" si="578"/>
        <v/>
      </c>
      <c r="BD1326" s="27" t="str">
        <f t="shared" si="579"/>
        <v/>
      </c>
      <c r="BE1326" s="27" t="str">
        <f t="shared" si="580"/>
        <v/>
      </c>
      <c r="BF1326" s="27" t="str">
        <f t="shared" si="581"/>
        <v/>
      </c>
      <c r="BG1326" s="27" t="str">
        <f t="shared" si="582"/>
        <v/>
      </c>
      <c r="BH1326" s="27" t="str">
        <f t="shared" si="583"/>
        <v/>
      </c>
      <c r="BI1326" s="27" t="str">
        <f t="shared" si="584"/>
        <v/>
      </c>
      <c r="BJ1326" s="27" t="str">
        <f t="shared" si="585"/>
        <v>Supp or Hun</v>
      </c>
      <c r="BK1326" s="27" t="str">
        <f t="shared" si="586"/>
        <v/>
      </c>
      <c r="BL1326" s="27" t="str">
        <f t="shared" si="587"/>
        <v/>
      </c>
      <c r="BM1326" s="21" t="s">
        <v>3790</v>
      </c>
    </row>
    <row r="1327" spans="1:65" ht="15">
      <c r="A1327" s="25" t="str">
        <f>IFERROR(INDEX('Hun Demand'!W:W,MATCH(O1327,'Hun Demand'!A:A,0)),"")</f>
        <v/>
      </c>
      <c r="B1327" s="25" t="str">
        <f>IFERROR(INDEX('Hun Demand'!V:V,MATCH(O1327,'Hun Demand'!A:A,0)),"")</f>
        <v/>
      </c>
      <c r="C1327" s="25" t="str">
        <f>IFERROR(INDEX('Hun Demand'!U:U,MATCH(O1327,'Hun Demand'!A:A,0)),"")</f>
        <v/>
      </c>
      <c r="D1327" s="25" t="str">
        <f>IFERROR(INDEX('Hun Demand'!T:T,MATCH(O1327,'Hun Demand'!A:A,0)),"")</f>
        <v/>
      </c>
      <c r="E1327" s="25" t="str">
        <f>IFERROR(INDEX('Hun Demand'!S:S,MATCH(O1327,'Hun Demand'!A:A,0)),"")</f>
        <v/>
      </c>
      <c r="F1327" s="25" t="str">
        <f>IFERROR(INDEX('Hun Demand'!R:R,MATCH(O1327,'Hun Demand'!A:A,0)),"")</f>
        <v/>
      </c>
      <c r="G1327" s="25">
        <f>IFERROR(INDEX('Aub Demand'!W:W,MATCH(O1327,'Aub Demand'!A:A,0)),"")</f>
        <v>0</v>
      </c>
      <c r="H1327" s="25">
        <f>IFERROR(INDEX('Aub Demand'!V:V,MATCH(O1327,'Aub Demand'!A:A,0)),"")</f>
        <v>0</v>
      </c>
      <c r="I1327" s="25">
        <f>IFERROR(INDEX('Aub Demand'!U:U,MATCH(O1327,'Aub Demand'!A:A,0)),"")</f>
        <v>0</v>
      </c>
      <c r="J1327" s="25">
        <f>IFERROR(INDEX('Aub Demand'!T:T,MATCH(O1327,'Aub Demand'!A:A,0)),"")</f>
        <v>0</v>
      </c>
      <c r="K1327" s="25">
        <f>IFERROR(INDEX('Aub Demand'!S:S,MATCH(O1327,'Aub Demand'!A:A,0)),"")</f>
        <v>0</v>
      </c>
      <c r="L1327" s="25">
        <f>IFERROR(INDEX('Aub Demand'!R:R,MATCH(O1327,'Aub Demand'!A:A,0)),"")</f>
        <v>0</v>
      </c>
      <c r="O1327" s="27" t="s">
        <v>1641</v>
      </c>
      <c r="P1327" s="27" t="str">
        <f>IFERROR(INDEX('Aub Demand'!B:B,MATCH($O1327,'Aub Demand'!$A:$A,0)),"")</f>
        <v>OILED CHERRY RIGHT</v>
      </c>
      <c r="Q1327" s="27" t="str">
        <f>IFERROR(INDEX('Aub Demand'!C:C,MATCH($O1327,'Aub Demand'!$A:$A,0)),"")</f>
        <v>SUDDE</v>
      </c>
      <c r="R1327" s="52">
        <f>IFERROR(IF(AR1328=AR1327,INDEX('Aub Demand'!K:K,MATCH($O1327,'Aub Demand'!$A:$A,0))-IF(AN1327="",0,AN1327)+AP1328,INDEX('Aub Demand'!K:K,MATCH($O1327,'Aub Demand'!$A:$A,0))-IF(AN1327="",0,AN1327)),"")</f>
        <v>60</v>
      </c>
      <c r="S1327" s="53" t="str">
        <f t="shared" si="560"/>
        <v>n/a</v>
      </c>
      <c r="T1327" s="52" t="str">
        <f t="shared" si="561"/>
        <v/>
      </c>
      <c r="U1327" s="52">
        <f>IFERROR(IF(AR1328=AR1327,INDEX('Aub Demand'!Q:Q,MATCH($O1327,'Aub Demand'!$A:$A,0))-IF(AN1327="",0,AN1327)+AP1328,INDEX('Aub Demand'!Q:Q,MATCH($O1327,'Aub Demand'!$A:$A,0))-IF(AN1327="",0,AN1327)),"")</f>
        <v>60</v>
      </c>
      <c r="V1327" s="53" t="str">
        <f t="shared" si="562"/>
        <v>n/a</v>
      </c>
      <c r="W1327" s="52" t="str">
        <f t="shared" si="563"/>
        <v/>
      </c>
      <c r="X1327" s="52">
        <f>IFERROR(IF(AND(AR1328=AR1327,AM1327&lt;&gt;""),INDEX('Aub Demand'!Q:Q,MATCH($O1327,'Aub Demand'!$A:$A,0))-IF(AN1327="",0,AN1327)+AP1328+AD1327+AL1327,IF(AR1328=AR1327,INDEX('Aub Demand'!Q:Q,MATCH($O1327,'Aub Demand'!$A:$A,0))-IF(AN1327="",0,AN1327)+AP1328+AD1327,IF(AM1327&lt;&gt;"",INDEX('Aub Demand'!Q:Q,MATCH($O1327,'Aub Demand'!$A:$A,0))-IF(AN1327="",0,AN1327)+AD1327+AL1327,INDEX('Aub Demand'!Q:Q,MATCH($O1327,'Aub Demand'!$A:$A,0))-IF(AN1327="",0,AN1327)+AD1327))),"")</f>
        <v>60</v>
      </c>
      <c r="Y1327" s="53" t="str">
        <f t="shared" si="564"/>
        <v>n/a</v>
      </c>
      <c r="Z1327" s="52">
        <f>IF(L1327="","",INDEX('Aub Demand'!H:H,MATCH($O1327,'Aub Demand'!$A:$A,0)))</f>
        <v>0</v>
      </c>
      <c r="AA1327" s="52" t="str">
        <f t="shared" si="565"/>
        <v>-spike-</v>
      </c>
      <c r="AB1327" s="52">
        <f>IFERROR(INDEX('Aub Demand'!L:L,MATCH($O1327,'Aub Demand'!$A:$A,0)),"")</f>
        <v>0</v>
      </c>
      <c r="AC1327" s="52">
        <f>IFERROR(IF(O1327="","",SUMIFS('CPL Mats'!F:F,'CPL Mats'!Q:Q,AR1327,'CPL Mats'!S:S,AS1327)),"")</f>
        <v>0</v>
      </c>
      <c r="AF1327" s="25" t="str">
        <f>IF(SUMIFS('Supp Consol'!S:S,'Supp Consol'!Y:Y,"Releasable",'Supp Consol'!A:A,O1327)=0,"",SUMIFS('Supp Consol'!S:S,'Supp Consol'!Y:Y,"Releasable",'Supp Consol'!A:A,O1327))</f>
        <v/>
      </c>
      <c r="AG1327" s="25" t="str">
        <f>IFERROR(INDEX('Hun Demand'!Q:Q,MATCH(O1327,'Hun Demand'!A:A,0)),"")</f>
        <v/>
      </c>
      <c r="AH1327" s="25" t="str">
        <f>IFERROR(INDEX('Hun Demand'!H:H,MATCH($O1327,'Hun Demand'!$A:$A,0)),"")</f>
        <v/>
      </c>
      <c r="AI1327" s="25" t="str">
        <f>IF(SUMIFS('Supp Consol'!AA:AA,'Supp Consol'!Z:Z,"Expires this month",'Supp Consol'!A:A,O1327)=0,"",SUMIFS('Supp Consol'!AA:AA,'Supp Consol'!Z:Z,"Expires this month",'Supp Consol'!A:A,O1327))</f>
        <v/>
      </c>
      <c r="AJ1327" s="25" t="str">
        <f>IF(SUMIFS('Supp Consol'!AA:AA,'Supp Consol'!Z:Z,"Expired Previous Months",'Supp Consol'!A:A,O1327)=0,"",SUMIFS('Supp Consol'!AA:AA,'Supp Consol'!Z:Z,"Expired Previous Months",'Supp Consol'!A:A,O1327))</f>
        <v/>
      </c>
      <c r="AK1327" s="25" t="str">
        <f>IFERROR(INDEX('Hun Release Current'!B:B,MATCH(O1327,'Hun Release Current'!A:A,0)),"")</f>
        <v/>
      </c>
      <c r="AL1327" s="25" t="str">
        <f>IF(SUMIF('Prev Aub'!A:A,O1327,'Prev Aub'!B:B)=0,"",SUMIF('Prev Aub'!A:A,O1327,'Prev Aub'!B:B))</f>
        <v/>
      </c>
      <c r="AN1327" s="25" t="s">
        <v>3790</v>
      </c>
      <c r="AO1327" s="25" t="s">
        <v>3790</v>
      </c>
      <c r="AP1327" s="25">
        <f t="shared" si="566"/>
        <v>0</v>
      </c>
      <c r="AQ1327" s="151" t="str">
        <f>IF(SUMIFS('Supp Consol'!S:S,'Supp Consol'!A:A,O1327,'Supp Consol'!I:I,"PENDING")=0,"",SUMIFS('Supp Consol'!S:S,'Supp Consol'!A:A,O1327,'Supp Consol'!I:I,"PENDING"))</f>
        <v/>
      </c>
      <c r="AR1327" s="27" t="str">
        <f t="shared" si="567"/>
        <v>WC421</v>
      </c>
      <c r="AS1327" s="27" t="str">
        <f t="shared" si="568"/>
        <v>43</v>
      </c>
      <c r="AT1327" s="27" t="str">
        <f t="shared" si="569"/>
        <v/>
      </c>
      <c r="AU1327" s="27" t="str">
        <f t="shared" si="570"/>
        <v/>
      </c>
      <c r="AV1327" s="27" t="str">
        <f t="shared" si="571"/>
        <v/>
      </c>
      <c r="AW1327" s="27" t="str">
        <f t="shared" si="572"/>
        <v/>
      </c>
      <c r="AX1327" s="27" t="str">
        <f t="shared" si="573"/>
        <v/>
      </c>
      <c r="AY1327" s="27" t="str">
        <f t="shared" si="574"/>
        <v/>
      </c>
      <c r="AZ1327" s="27" t="str">
        <f t="shared" si="575"/>
        <v>Supp</v>
      </c>
      <c r="BA1327" s="27" t="str">
        <f t="shared" si="576"/>
        <v>Hun</v>
      </c>
      <c r="BB1327" s="27" t="str">
        <f t="shared" si="577"/>
        <v/>
      </c>
      <c r="BC1327" s="27" t="str">
        <f t="shared" si="578"/>
        <v/>
      </c>
      <c r="BD1327" s="27" t="str">
        <f t="shared" si="579"/>
        <v/>
      </c>
      <c r="BE1327" s="27" t="str">
        <f t="shared" si="580"/>
        <v/>
      </c>
      <c r="BF1327" s="27" t="str">
        <f t="shared" si="581"/>
        <v/>
      </c>
      <c r="BG1327" s="27" t="str">
        <f t="shared" si="582"/>
        <v/>
      </c>
      <c r="BH1327" s="27" t="str">
        <f t="shared" si="583"/>
        <v/>
      </c>
      <c r="BI1327" s="27" t="str">
        <f t="shared" si="584"/>
        <v/>
      </c>
      <c r="BJ1327" s="27" t="str">
        <f t="shared" si="585"/>
        <v>Supp or Hun</v>
      </c>
      <c r="BK1327" s="27" t="str">
        <f t="shared" si="586"/>
        <v/>
      </c>
      <c r="BL1327" s="27" t="str">
        <f t="shared" si="587"/>
        <v/>
      </c>
      <c r="BM1327" s="21" t="s">
        <v>3790</v>
      </c>
    </row>
    <row r="1328" spans="1:65" ht="15">
      <c r="A1328" s="25">
        <f>IFERROR(INDEX('Hun Demand'!W:W,MATCH(O1328,'Hun Demand'!A:A,0)),"")</f>
        <v>91</v>
      </c>
      <c r="B1328" s="25">
        <f>IFERROR(INDEX('Hun Demand'!V:V,MATCH(O1328,'Hun Demand'!A:A,0)),"")</f>
        <v>0</v>
      </c>
      <c r="C1328" s="25">
        <f>IFERROR(INDEX('Hun Demand'!U:U,MATCH(O1328,'Hun Demand'!A:A,0)),"")</f>
        <v>125</v>
      </c>
      <c r="D1328" s="25">
        <f>IFERROR(INDEX('Hun Demand'!T:T,MATCH(O1328,'Hun Demand'!A:A,0)),"")</f>
        <v>294</v>
      </c>
      <c r="E1328" s="25">
        <f>IFERROR(INDEX('Hun Demand'!S:S,MATCH(O1328,'Hun Demand'!A:A,0)),"")</f>
        <v>111</v>
      </c>
      <c r="F1328" s="25">
        <f>IFERROR(INDEX('Hun Demand'!R:R,MATCH(O1328,'Hun Demand'!A:A,0)),"")</f>
        <v>0</v>
      </c>
      <c r="G1328" s="25">
        <f>IFERROR(INDEX('Aub Demand'!W:W,MATCH(O1328,'Aub Demand'!A:A,0)),"")</f>
        <v>580</v>
      </c>
      <c r="H1328" s="25">
        <f>IFERROR(INDEX('Aub Demand'!V:V,MATCH(O1328,'Aub Demand'!A:A,0)),"")</f>
        <v>81</v>
      </c>
      <c r="I1328" s="25">
        <f>IFERROR(INDEX('Aub Demand'!U:U,MATCH(O1328,'Aub Demand'!A:A,0)),"")</f>
        <v>0</v>
      </c>
      <c r="J1328" s="25">
        <f>IFERROR(INDEX('Aub Demand'!T:T,MATCH(O1328,'Aub Demand'!A:A,0)),"")</f>
        <v>157</v>
      </c>
      <c r="K1328" s="25">
        <f>IFERROR(INDEX('Aub Demand'!S:S,MATCH(O1328,'Aub Demand'!A:A,0)),"")</f>
        <v>130</v>
      </c>
      <c r="L1328" s="25">
        <f>IFERROR(INDEX('Aub Demand'!R:R,MATCH(O1328,'Aub Demand'!A:A,0)),"")</f>
        <v>0</v>
      </c>
      <c r="O1328" s="27" t="s">
        <v>1643</v>
      </c>
      <c r="P1328" s="27" t="str">
        <f>IFERROR(INDEX('Aub Demand'!B:B,MATCH($O1328,'Aub Demand'!$A:$A,0)),"")</f>
        <v>OILED CHERRY</v>
      </c>
      <c r="Q1328" s="27" t="str">
        <f>IFERROR(INDEX('Aub Demand'!C:C,MATCH($O1328,'Aub Demand'!$A:$A,0)),"")</f>
        <v>SUDDE</v>
      </c>
      <c r="R1328" s="52">
        <f>IFERROR(IF(AR1329=AR1328,INDEX('Aub Demand'!K:K,MATCH($O1328,'Aub Demand'!$A:$A,0))-IF(AN1328="",0,AN1328)+AP1329,INDEX('Aub Demand'!K:K,MATCH($O1328,'Aub Demand'!$A:$A,0))-IF(AN1328="",0,AN1328)),"")</f>
        <v>913</v>
      </c>
      <c r="S1328" s="53">
        <f t="shared" si="560"/>
        <v>40.799999999999997</v>
      </c>
      <c r="T1328" s="52" t="str">
        <f t="shared" si="561"/>
        <v/>
      </c>
      <c r="U1328" s="52">
        <f>IFERROR(IF(AR1329=AR1328,INDEX('Aub Demand'!Q:Q,MATCH($O1328,'Aub Demand'!$A:$A,0))-IF(AN1328="",0,AN1328)+AP1329,INDEX('Aub Demand'!Q:Q,MATCH($O1328,'Aub Demand'!$A:$A,0))-IF(AN1328="",0,AN1328)),"")</f>
        <v>869</v>
      </c>
      <c r="V1328" s="53">
        <f t="shared" si="562"/>
        <v>38.799999999999997</v>
      </c>
      <c r="W1328" s="52" t="str">
        <f t="shared" si="563"/>
        <v/>
      </c>
      <c r="X1328" s="52">
        <f>IFERROR(IF(AND(AR1329=AR1328,AM1328&lt;&gt;""),INDEX('Aub Demand'!Q:Q,MATCH($O1328,'Aub Demand'!$A:$A,0))-IF(AN1328="",0,AN1328)+AP1329+AD1328+AL1328,IF(AR1329=AR1328,INDEX('Aub Demand'!Q:Q,MATCH($O1328,'Aub Demand'!$A:$A,0))-IF(AN1328="",0,AN1328)+AP1329+AD1328,IF(AM1328&lt;&gt;"",INDEX('Aub Demand'!Q:Q,MATCH($O1328,'Aub Demand'!$A:$A,0))-IF(AN1328="",0,AN1328)+AD1328+AL1328,INDEX('Aub Demand'!Q:Q,MATCH($O1328,'Aub Demand'!$A:$A,0))-IF(AN1328="",0,AN1328)+AD1328))),"")</f>
        <v>869</v>
      </c>
      <c r="Y1328" s="53">
        <f t="shared" si="564"/>
        <v>38.799999999999997</v>
      </c>
      <c r="Z1328" s="52">
        <f>IF(L1328="","",INDEX('Aub Demand'!H:H,MATCH($O1328,'Aub Demand'!$A:$A,0)))</f>
        <v>96</v>
      </c>
      <c r="AA1328" s="52">
        <f t="shared" si="565"/>
        <v>143.5</v>
      </c>
      <c r="AB1328" s="52">
        <f>IFERROR(INDEX('Aub Demand'!L:L,MATCH($O1328,'Aub Demand'!$A:$A,0)),"")</f>
        <v>247</v>
      </c>
      <c r="AC1328" s="52">
        <f>IFERROR(IF(O1328="","",SUMIFS('CPL Mats'!F:F,'CPL Mats'!Q:Q,AR1328,'CPL Mats'!S:S,AS1328)),"")</f>
        <v>2200</v>
      </c>
      <c r="AF1328" s="25">
        <f>IF(SUMIFS('Supp Consol'!S:S,'Supp Consol'!Y:Y,"Releasable",'Supp Consol'!A:A,O1328)=0,"",SUMIFS('Supp Consol'!S:S,'Supp Consol'!Y:Y,"Releasable",'Supp Consol'!A:A,O1328))</f>
        <v>1459</v>
      </c>
      <c r="AG1328" s="25">
        <f>IFERROR(INDEX('Hun Demand'!Q:Q,MATCH(O1328,'Hun Demand'!A:A,0)),"")</f>
        <v>540</v>
      </c>
      <c r="AH1328" s="25">
        <f>IFERROR(INDEX('Hun Demand'!H:H,MATCH($O1328,'Hun Demand'!$A:$A,0)),"")</f>
        <v>177</v>
      </c>
      <c r="AI1328" s="25" t="str">
        <f>IF(SUMIFS('Supp Consol'!AA:AA,'Supp Consol'!Z:Z,"Expires this month",'Supp Consol'!A:A,O1328)=0,"",SUMIFS('Supp Consol'!AA:AA,'Supp Consol'!Z:Z,"Expires this month",'Supp Consol'!A:A,O1328))</f>
        <v/>
      </c>
      <c r="AJ1328" s="25" t="str">
        <f>IF(SUMIFS('Supp Consol'!AA:AA,'Supp Consol'!Z:Z,"Expired Previous Months",'Supp Consol'!A:A,O1328)=0,"",SUMIFS('Supp Consol'!AA:AA,'Supp Consol'!Z:Z,"Expired Previous Months",'Supp Consol'!A:A,O1328))</f>
        <v/>
      </c>
      <c r="AK1328" s="25" t="str">
        <f>IFERROR(INDEX('Hun Release Current'!B:B,MATCH(O1328,'Hun Release Current'!A:A,0)),"")</f>
        <v/>
      </c>
      <c r="AL1328" s="25" t="str">
        <f>IF(SUMIF('Prev Aub'!A:A,O1328,'Prev Aub'!B:B)=0,"",SUMIF('Prev Aub'!A:A,O1328,'Prev Aub'!B:B))</f>
        <v/>
      </c>
      <c r="AN1328" s="25" t="s">
        <v>3790</v>
      </c>
      <c r="AO1328" s="25" t="s">
        <v>3790</v>
      </c>
      <c r="AP1328" s="25">
        <f t="shared" si="566"/>
        <v>0</v>
      </c>
      <c r="AQ1328" s="151" t="str">
        <f>IF(SUMIFS('Supp Consol'!S:S,'Supp Consol'!A:A,O1328,'Supp Consol'!I:I,"PENDING")=0,"",SUMIFS('Supp Consol'!S:S,'Supp Consol'!A:A,O1328,'Supp Consol'!I:I,"PENDING"))</f>
        <v/>
      </c>
      <c r="AR1328" s="27" t="str">
        <f t="shared" si="567"/>
        <v>WC421</v>
      </c>
      <c r="AS1328" s="27" t="str">
        <f t="shared" si="568"/>
        <v>50</v>
      </c>
      <c r="AT1328" s="27" t="str">
        <f t="shared" si="569"/>
        <v/>
      </c>
      <c r="AU1328" s="27" t="str">
        <f t="shared" si="570"/>
        <v/>
      </c>
      <c r="AV1328" s="27" t="str">
        <f t="shared" si="571"/>
        <v/>
      </c>
      <c r="AW1328" s="27" t="str">
        <f t="shared" si="572"/>
        <v/>
      </c>
      <c r="AX1328" s="27" t="str">
        <f t="shared" si="573"/>
        <v>WC421</v>
      </c>
      <c r="AY1328" s="27" t="str">
        <f t="shared" si="574"/>
        <v>WC421</v>
      </c>
      <c r="AZ1328" s="27" t="str">
        <f t="shared" si="575"/>
        <v>Supp</v>
      </c>
      <c r="BA1328" s="27" t="str">
        <f t="shared" si="576"/>
        <v>Hun</v>
      </c>
      <c r="BB1328" s="27" t="str">
        <f t="shared" si="577"/>
        <v/>
      </c>
      <c r="BC1328" s="27" t="str">
        <f t="shared" si="578"/>
        <v/>
      </c>
      <c r="BD1328" s="27" t="str">
        <f t="shared" si="579"/>
        <v/>
      </c>
      <c r="BE1328" s="27" t="str">
        <f t="shared" si="580"/>
        <v/>
      </c>
      <c r="BF1328" s="27" t="str">
        <f t="shared" si="581"/>
        <v/>
      </c>
      <c r="BG1328" s="27" t="str">
        <f t="shared" si="582"/>
        <v/>
      </c>
      <c r="BH1328" s="27" t="str">
        <f t="shared" si="583"/>
        <v/>
      </c>
      <c r="BI1328" s="27" t="str">
        <f t="shared" si="584"/>
        <v/>
      </c>
      <c r="BJ1328" s="27" t="str">
        <f t="shared" si="585"/>
        <v>Supp or Hun</v>
      </c>
      <c r="BK1328" s="27" t="str">
        <f t="shared" si="586"/>
        <v/>
      </c>
      <c r="BL1328" s="27" t="str">
        <f t="shared" si="587"/>
        <v/>
      </c>
      <c r="BM1328" s="21" t="s">
        <v>5581</v>
      </c>
    </row>
    <row r="1329" spans="1:65" ht="15">
      <c r="A1329" s="25">
        <f>IFERROR(INDEX('Hun Demand'!W:W,MATCH(O1329,'Hun Demand'!A:A,0)),"")</f>
        <v>230</v>
      </c>
      <c r="B1329" s="25">
        <f>IFERROR(INDEX('Hun Demand'!V:V,MATCH(O1329,'Hun Demand'!A:A,0)),"")</f>
        <v>266</v>
      </c>
      <c r="C1329" s="25">
        <f>IFERROR(INDEX('Hun Demand'!U:U,MATCH(O1329,'Hun Demand'!A:A,0)),"")</f>
        <v>104</v>
      </c>
      <c r="D1329" s="25">
        <f>IFERROR(INDEX('Hun Demand'!T:T,MATCH(O1329,'Hun Demand'!A:A,0)),"")</f>
        <v>463</v>
      </c>
      <c r="E1329" s="25">
        <f>IFERROR(INDEX('Hun Demand'!S:S,MATCH(O1329,'Hun Demand'!A:A,0)),"")</f>
        <v>0</v>
      </c>
      <c r="F1329" s="25">
        <f>IFERROR(INDEX('Hun Demand'!R:R,MATCH(O1329,'Hun Demand'!A:A,0)),"")</f>
        <v>0</v>
      </c>
      <c r="G1329" s="25">
        <f>IFERROR(INDEX('Aub Demand'!W:W,MATCH(O1329,'Aub Demand'!A:A,0)),"")</f>
        <v>0</v>
      </c>
      <c r="H1329" s="25">
        <f>IFERROR(INDEX('Aub Demand'!V:V,MATCH(O1329,'Aub Demand'!A:A,0)),"")</f>
        <v>23</v>
      </c>
      <c r="I1329" s="25">
        <f>IFERROR(INDEX('Aub Demand'!U:U,MATCH(O1329,'Aub Demand'!A:A,0)),"")</f>
        <v>47</v>
      </c>
      <c r="J1329" s="25">
        <f>IFERROR(INDEX('Aub Demand'!T:T,MATCH(O1329,'Aub Demand'!A:A,0)),"")</f>
        <v>42</v>
      </c>
      <c r="K1329" s="25">
        <f>IFERROR(INDEX('Aub Demand'!S:S,MATCH(O1329,'Aub Demand'!A:A,0)),"")</f>
        <v>0</v>
      </c>
      <c r="L1329" s="25">
        <f>IFERROR(INDEX('Aub Demand'!R:R,MATCH(O1329,'Aub Demand'!A:A,0)),"")</f>
        <v>0</v>
      </c>
      <c r="O1329" s="27" t="s">
        <v>1644</v>
      </c>
      <c r="P1329" s="27" t="str">
        <f>IFERROR(INDEX('Aub Demand'!B:B,MATCH($O1329,'Aub Demand'!$A:$A,0)),"")</f>
        <v>OILED CHERRY</v>
      </c>
      <c r="Q1329" s="27" t="str">
        <f>IFERROR(INDEX('Aub Demand'!C:C,MATCH($O1329,'Aub Demand'!$A:$A,0)),"")</f>
        <v>SUDDE</v>
      </c>
      <c r="R1329" s="52">
        <f>IFERROR(IF(AR1330=AR1329,INDEX('Aub Demand'!K:K,MATCH($O1329,'Aub Demand'!$A:$A,0))-IF(AN1329="",0,AN1329)+AP1330,INDEX('Aub Demand'!K:K,MATCH($O1329,'Aub Demand'!$A:$A,0))-IF(AN1329="",0,AN1329)),"")</f>
        <v>3559</v>
      </c>
      <c r="S1329" s="53">
        <f t="shared" si="560"/>
        <v>508.4</v>
      </c>
      <c r="T1329" s="52" t="str">
        <f t="shared" si="561"/>
        <v/>
      </c>
      <c r="U1329" s="52">
        <f>IFERROR(IF(AR1330=AR1329,INDEX('Aub Demand'!Q:Q,MATCH($O1329,'Aub Demand'!$A:$A,0))-IF(AN1329="",0,AN1329)+AP1330,INDEX('Aub Demand'!Q:Q,MATCH($O1329,'Aub Demand'!$A:$A,0))-IF(AN1329="",0,AN1329)),"")</f>
        <v>3542</v>
      </c>
      <c r="V1329" s="53">
        <f t="shared" si="562"/>
        <v>506</v>
      </c>
      <c r="W1329" s="52" t="str">
        <f t="shared" si="563"/>
        <v/>
      </c>
      <c r="X1329" s="52">
        <f>IFERROR(IF(AND(AR1330=AR1329,AM1329&lt;&gt;""),INDEX('Aub Demand'!Q:Q,MATCH($O1329,'Aub Demand'!$A:$A,0))-IF(AN1329="",0,AN1329)+AP1330+AD1329+AL1329,IF(AR1330=AR1329,INDEX('Aub Demand'!Q:Q,MATCH($O1329,'Aub Demand'!$A:$A,0))-IF(AN1329="",0,AN1329)+AP1330+AD1329,IF(AM1329&lt;&gt;"",INDEX('Aub Demand'!Q:Q,MATCH($O1329,'Aub Demand'!$A:$A,0))-IF(AN1329="",0,AN1329)+AD1329+AL1329,INDEX('Aub Demand'!Q:Q,MATCH($O1329,'Aub Demand'!$A:$A,0))-IF(AN1329="",0,AN1329)+AD1329))),"")</f>
        <v>3542</v>
      </c>
      <c r="Y1329" s="53">
        <f t="shared" si="564"/>
        <v>506</v>
      </c>
      <c r="Z1329" s="52">
        <f>IF(L1329="","",INDEX('Aub Demand'!H:H,MATCH($O1329,'Aub Demand'!$A:$A,0)))</f>
        <v>30</v>
      </c>
      <c r="AA1329" s="52">
        <f t="shared" si="565"/>
        <v>44.5</v>
      </c>
      <c r="AB1329" s="52">
        <f>IFERROR(INDEX('Aub Demand'!L:L,MATCH($O1329,'Aub Demand'!$A:$A,0)),"")</f>
        <v>30</v>
      </c>
      <c r="AC1329" s="52">
        <f>IFERROR(IF(O1329="","",SUMIFS('CPL Mats'!F:F,'CPL Mats'!Q:Q,AR1329,'CPL Mats'!S:S,AS1329)),"")</f>
        <v>0</v>
      </c>
      <c r="AF1329" s="25">
        <f>IF(SUMIFS('Supp Consol'!S:S,'Supp Consol'!Y:Y,"Releasable",'Supp Consol'!A:A,O1329)=0,"",SUMIFS('Supp Consol'!S:S,'Supp Consol'!Y:Y,"Releasable",'Supp Consol'!A:A,O1329))</f>
        <v>993</v>
      </c>
      <c r="AG1329" s="25">
        <f>IFERROR(INDEX('Hun Demand'!Q:Q,MATCH(O1329,'Hun Demand'!A:A,0)),"")</f>
        <v>170</v>
      </c>
      <c r="AH1329" s="25">
        <f>IFERROR(INDEX('Hun Demand'!H:H,MATCH($O1329,'Hun Demand'!$A:$A,0)),"")</f>
        <v>189</v>
      </c>
      <c r="AI1329" s="25" t="str">
        <f>IF(SUMIFS('Supp Consol'!AA:AA,'Supp Consol'!Z:Z,"Expires this month",'Supp Consol'!A:A,O1329)=0,"",SUMIFS('Supp Consol'!AA:AA,'Supp Consol'!Z:Z,"Expires this month",'Supp Consol'!A:A,O1329))</f>
        <v/>
      </c>
      <c r="AJ1329" s="25" t="str">
        <f>IF(SUMIFS('Supp Consol'!AA:AA,'Supp Consol'!Z:Z,"Expired Previous Months",'Supp Consol'!A:A,O1329)=0,"",SUMIFS('Supp Consol'!AA:AA,'Supp Consol'!Z:Z,"Expired Previous Months",'Supp Consol'!A:A,O1329))</f>
        <v/>
      </c>
      <c r="AK1329" s="25" t="str">
        <f>IFERROR(INDEX('Hun Release Current'!B:B,MATCH(O1329,'Hun Release Current'!A:A,0)),"")</f>
        <v/>
      </c>
      <c r="AL1329" s="25" t="str">
        <f>IF(SUMIF('Prev Aub'!A:A,O1329,'Prev Aub'!B:B)=0,"",SUMIF('Prev Aub'!A:A,O1329,'Prev Aub'!B:B))</f>
        <v/>
      </c>
      <c r="AN1329" s="25" t="s">
        <v>3790</v>
      </c>
      <c r="AO1329" s="25" t="s">
        <v>3790</v>
      </c>
      <c r="AP1329" s="25">
        <f t="shared" si="566"/>
        <v>0</v>
      </c>
      <c r="AQ1329" s="151" t="str">
        <f>IF(SUMIFS('Supp Consol'!S:S,'Supp Consol'!A:A,O1329,'Supp Consol'!I:I,"PENDING")=0,"",SUMIFS('Supp Consol'!S:S,'Supp Consol'!A:A,O1329,'Supp Consol'!I:I,"PENDING"))</f>
        <v/>
      </c>
      <c r="AR1329" s="27" t="str">
        <f t="shared" si="567"/>
        <v>WC421</v>
      </c>
      <c r="AS1329" s="27" t="str">
        <f t="shared" si="568"/>
        <v>62</v>
      </c>
      <c r="AT1329" s="27" t="str">
        <f t="shared" si="569"/>
        <v/>
      </c>
      <c r="AU1329" s="27" t="str">
        <f t="shared" si="570"/>
        <v/>
      </c>
      <c r="AV1329" s="27" t="str">
        <f t="shared" si="571"/>
        <v/>
      </c>
      <c r="AW1329" s="27" t="str">
        <f t="shared" si="572"/>
        <v/>
      </c>
      <c r="AX1329" s="27" t="str">
        <f t="shared" si="573"/>
        <v>WC421</v>
      </c>
      <c r="AY1329" s="27" t="str">
        <f t="shared" si="574"/>
        <v/>
      </c>
      <c r="AZ1329" s="27" t="str">
        <f t="shared" si="575"/>
        <v>Supp</v>
      </c>
      <c r="BA1329" s="27" t="str">
        <f t="shared" si="576"/>
        <v>Hun</v>
      </c>
      <c r="BB1329" s="27" t="str">
        <f t="shared" si="577"/>
        <v/>
      </c>
      <c r="BC1329" s="27" t="str">
        <f t="shared" si="578"/>
        <v/>
      </c>
      <c r="BD1329" s="27" t="str">
        <f t="shared" si="579"/>
        <v/>
      </c>
      <c r="BE1329" s="27" t="str">
        <f t="shared" si="580"/>
        <v/>
      </c>
      <c r="BF1329" s="27" t="str">
        <f t="shared" si="581"/>
        <v/>
      </c>
      <c r="BG1329" s="27" t="str">
        <f t="shared" si="582"/>
        <v/>
      </c>
      <c r="BH1329" s="27" t="str">
        <f t="shared" si="583"/>
        <v/>
      </c>
      <c r="BI1329" s="27" t="str">
        <f t="shared" si="584"/>
        <v/>
      </c>
      <c r="BJ1329" s="27" t="str">
        <f t="shared" si="585"/>
        <v>Supp or Hun</v>
      </c>
      <c r="BK1329" s="27" t="str">
        <f t="shared" si="586"/>
        <v/>
      </c>
      <c r="BL1329" s="27" t="str">
        <f t="shared" si="587"/>
        <v/>
      </c>
      <c r="BM1329" s="21" t="s">
        <v>5581</v>
      </c>
    </row>
    <row r="1330" spans="1:65" ht="15">
      <c r="A1330" s="25" t="str">
        <f>IFERROR(INDEX('Hun Demand'!W:W,MATCH(O1330,'Hun Demand'!A:A,0)),"")</f>
        <v/>
      </c>
      <c r="B1330" s="25" t="str">
        <f>IFERROR(INDEX('Hun Demand'!V:V,MATCH(O1330,'Hun Demand'!A:A,0)),"")</f>
        <v/>
      </c>
      <c r="C1330" s="25" t="str">
        <f>IFERROR(INDEX('Hun Demand'!U:U,MATCH(O1330,'Hun Demand'!A:A,0)),"")</f>
        <v/>
      </c>
      <c r="D1330" s="25" t="str">
        <f>IFERROR(INDEX('Hun Demand'!T:T,MATCH(O1330,'Hun Demand'!A:A,0)),"")</f>
        <v/>
      </c>
      <c r="E1330" s="25" t="str">
        <f>IFERROR(INDEX('Hun Demand'!S:S,MATCH(O1330,'Hun Demand'!A:A,0)),"")</f>
        <v/>
      </c>
      <c r="F1330" s="25" t="str">
        <f>IFERROR(INDEX('Hun Demand'!R:R,MATCH(O1330,'Hun Demand'!A:A,0)),"")</f>
        <v/>
      </c>
      <c r="G1330" s="25">
        <f>IFERROR(INDEX('Aub Demand'!W:W,MATCH(O1330,'Aub Demand'!A:A,0)),"")</f>
        <v>0</v>
      </c>
      <c r="H1330" s="25">
        <f>IFERROR(INDEX('Aub Demand'!V:V,MATCH(O1330,'Aub Demand'!A:A,0)),"")</f>
        <v>0</v>
      </c>
      <c r="I1330" s="25">
        <f>IFERROR(INDEX('Aub Demand'!U:U,MATCH(O1330,'Aub Demand'!A:A,0)),"")</f>
        <v>0</v>
      </c>
      <c r="J1330" s="25">
        <f>IFERROR(INDEX('Aub Demand'!T:T,MATCH(O1330,'Aub Demand'!A:A,0)),"")</f>
        <v>0</v>
      </c>
      <c r="K1330" s="25">
        <f>IFERROR(INDEX('Aub Demand'!S:S,MATCH(O1330,'Aub Demand'!A:A,0)),"")</f>
        <v>0</v>
      </c>
      <c r="L1330" s="25">
        <f>IFERROR(INDEX('Aub Demand'!R:R,MATCH(O1330,'Aub Demand'!A:A,0)),"")</f>
        <v>0</v>
      </c>
      <c r="O1330" s="27" t="s">
        <v>1646</v>
      </c>
      <c r="P1330" s="27" t="str">
        <f>IFERROR(INDEX('Aub Demand'!B:B,MATCH($O1330,'Aub Demand'!$A:$A,0)),"")</f>
        <v>MILLWORK CHERRY</v>
      </c>
      <c r="Q1330" s="27" t="str">
        <f>IFERROR(INDEX('Aub Demand'!C:C,MATCH($O1330,'Aub Demand'!$A:$A,0)),"")</f>
        <v>SUDDE</v>
      </c>
      <c r="R1330" s="52">
        <f>IFERROR(IF(AR1331=AR1330,INDEX('Aub Demand'!K:K,MATCH($O1330,'Aub Demand'!$A:$A,0))-IF(AN1330="",0,AN1330)+AP1331,INDEX('Aub Demand'!K:K,MATCH($O1330,'Aub Demand'!$A:$A,0))-IF(AN1330="",0,AN1330)),"")</f>
        <v>0</v>
      </c>
      <c r="S1330" s="53" t="str">
        <f t="shared" si="560"/>
        <v>n/a</v>
      </c>
      <c r="T1330" s="52" t="str">
        <f t="shared" si="561"/>
        <v/>
      </c>
      <c r="U1330" s="52">
        <f>IFERROR(IF(AR1331=AR1330,INDEX('Aub Demand'!Q:Q,MATCH($O1330,'Aub Demand'!$A:$A,0))-IF(AN1330="",0,AN1330)+AP1331,INDEX('Aub Demand'!Q:Q,MATCH($O1330,'Aub Demand'!$A:$A,0))-IF(AN1330="",0,AN1330)),"")</f>
        <v>-10</v>
      </c>
      <c r="V1330" s="53" t="str">
        <f t="shared" si="562"/>
        <v>n/a</v>
      </c>
      <c r="W1330" s="52" t="str">
        <f t="shared" si="563"/>
        <v/>
      </c>
      <c r="X1330" s="52">
        <f>IFERROR(IF(AND(AR1331=AR1330,AM1330&lt;&gt;""),INDEX('Aub Demand'!Q:Q,MATCH($O1330,'Aub Demand'!$A:$A,0))-IF(AN1330="",0,AN1330)+AP1331+AD1330+AL1330,IF(AR1331=AR1330,INDEX('Aub Demand'!Q:Q,MATCH($O1330,'Aub Demand'!$A:$A,0))-IF(AN1330="",0,AN1330)+AP1331+AD1330,IF(AM1330&lt;&gt;"",INDEX('Aub Demand'!Q:Q,MATCH($O1330,'Aub Demand'!$A:$A,0))-IF(AN1330="",0,AN1330)+AD1330+AL1330,INDEX('Aub Demand'!Q:Q,MATCH($O1330,'Aub Demand'!$A:$A,0))-IF(AN1330="",0,AN1330)+AD1330))),"")</f>
        <v>-10</v>
      </c>
      <c r="Y1330" s="53" t="str">
        <f t="shared" si="564"/>
        <v>n/a</v>
      </c>
      <c r="Z1330" s="52">
        <f>IF(L1330="","",INDEX('Aub Demand'!H:H,MATCH($O1330,'Aub Demand'!$A:$A,0)))</f>
        <v>0</v>
      </c>
      <c r="AA1330" s="52" t="str">
        <f t="shared" si="565"/>
        <v>-spike-</v>
      </c>
      <c r="AB1330" s="52">
        <f>IFERROR(INDEX('Aub Demand'!L:L,MATCH($O1330,'Aub Demand'!$A:$A,0)),"")</f>
        <v>0</v>
      </c>
      <c r="AC1330" s="52">
        <f>IFERROR(IF(O1330="","",SUMIFS('CPL Mats'!F:F,'CPL Mats'!Q:Q,AR1330,'CPL Mats'!S:S,AS1330)),"")</f>
        <v>0</v>
      </c>
      <c r="AF1330" s="25" t="str">
        <f>IF(SUMIFS('Supp Consol'!S:S,'Supp Consol'!Y:Y,"Releasable",'Supp Consol'!A:A,O1330)=0,"",SUMIFS('Supp Consol'!S:S,'Supp Consol'!Y:Y,"Releasable",'Supp Consol'!A:A,O1330))</f>
        <v/>
      </c>
      <c r="AG1330" s="25" t="str">
        <f>IFERROR(INDEX('Hun Demand'!Q:Q,MATCH(O1330,'Hun Demand'!A:A,0)),"")</f>
        <v/>
      </c>
      <c r="AH1330" s="25" t="str">
        <f>IFERROR(INDEX('Hun Demand'!H:H,MATCH($O1330,'Hun Demand'!$A:$A,0)),"")</f>
        <v/>
      </c>
      <c r="AI1330" s="25" t="str">
        <f>IF(SUMIFS('Supp Consol'!AA:AA,'Supp Consol'!Z:Z,"Expires this month",'Supp Consol'!A:A,O1330)=0,"",SUMIFS('Supp Consol'!AA:AA,'Supp Consol'!Z:Z,"Expires this month",'Supp Consol'!A:A,O1330))</f>
        <v/>
      </c>
      <c r="AJ1330" s="25" t="str">
        <f>IF(SUMIFS('Supp Consol'!AA:AA,'Supp Consol'!Z:Z,"Expired Previous Months",'Supp Consol'!A:A,O1330)=0,"",SUMIFS('Supp Consol'!AA:AA,'Supp Consol'!Z:Z,"Expired Previous Months",'Supp Consol'!A:A,O1330))</f>
        <v/>
      </c>
      <c r="AK1330" s="25" t="str">
        <f>IFERROR(INDEX('Hun Release Current'!B:B,MATCH(O1330,'Hun Release Current'!A:A,0)),"")</f>
        <v/>
      </c>
      <c r="AL1330" s="25" t="str">
        <f>IF(SUMIF('Prev Aub'!A:A,O1330,'Prev Aub'!B:B)=0,"",SUMIF('Prev Aub'!A:A,O1330,'Prev Aub'!B:B))</f>
        <v/>
      </c>
      <c r="AN1330" s="25" t="s">
        <v>3790</v>
      </c>
      <c r="AO1330" s="25" t="s">
        <v>3790</v>
      </c>
      <c r="AP1330" s="25">
        <f t="shared" si="566"/>
        <v>0</v>
      </c>
      <c r="AQ1330" s="151" t="str">
        <f>IF(SUMIFS('Supp Consol'!S:S,'Supp Consol'!A:A,O1330,'Supp Consol'!I:I,"PENDING")=0,"",SUMIFS('Supp Consol'!S:S,'Supp Consol'!A:A,O1330,'Supp Consol'!I:I,"PENDING"))</f>
        <v/>
      </c>
      <c r="AR1330" s="27" t="str">
        <f t="shared" si="567"/>
        <v>WC431</v>
      </c>
      <c r="AS1330" s="27" t="str">
        <f t="shared" si="568"/>
        <v>37</v>
      </c>
      <c r="AT1330" s="27" t="str">
        <f t="shared" si="569"/>
        <v/>
      </c>
      <c r="AU1330" s="27" t="str">
        <f t="shared" si="570"/>
        <v/>
      </c>
      <c r="AV1330" s="27" t="str">
        <f t="shared" si="571"/>
        <v/>
      </c>
      <c r="AW1330" s="27" t="str">
        <f t="shared" si="572"/>
        <v/>
      </c>
      <c r="AX1330" s="27" t="str">
        <f t="shared" si="573"/>
        <v/>
      </c>
      <c r="AY1330" s="27" t="str">
        <f t="shared" si="574"/>
        <v/>
      </c>
      <c r="AZ1330" s="27" t="str">
        <f t="shared" si="575"/>
        <v/>
      </c>
      <c r="BA1330" s="27" t="str">
        <f t="shared" si="576"/>
        <v>Hun</v>
      </c>
      <c r="BB1330" s="27" t="str">
        <f t="shared" si="577"/>
        <v/>
      </c>
      <c r="BC1330" s="27" t="str">
        <f t="shared" si="578"/>
        <v/>
      </c>
      <c r="BD1330" s="27" t="str">
        <f t="shared" si="579"/>
        <v/>
      </c>
      <c r="BE1330" s="27" t="str">
        <f t="shared" si="580"/>
        <v/>
      </c>
      <c r="BF1330" s="27" t="str">
        <f t="shared" si="581"/>
        <v/>
      </c>
      <c r="BG1330" s="27" t="str">
        <f t="shared" si="582"/>
        <v/>
      </c>
      <c r="BH1330" s="27" t="str">
        <f t="shared" si="583"/>
        <v/>
      </c>
      <c r="BI1330" s="27" t="str">
        <f t="shared" si="584"/>
        <v/>
      </c>
      <c r="BJ1330" s="27" t="str">
        <f t="shared" si="585"/>
        <v>Supp or Hun</v>
      </c>
      <c r="BK1330" s="27" t="str">
        <f t="shared" si="586"/>
        <v/>
      </c>
      <c r="BL1330" s="27" t="str">
        <f t="shared" si="587"/>
        <v/>
      </c>
      <c r="BM1330" s="21" t="s">
        <v>3790</v>
      </c>
    </row>
    <row r="1331" spans="1:65" ht="15">
      <c r="A1331" s="25">
        <f>IFERROR(INDEX('Hun Demand'!W:W,MATCH(O1331,'Hun Demand'!A:A,0)),"")</f>
        <v>260</v>
      </c>
      <c r="B1331" s="25">
        <f>IFERROR(INDEX('Hun Demand'!V:V,MATCH(O1331,'Hun Demand'!A:A,0)),"")</f>
        <v>82</v>
      </c>
      <c r="C1331" s="25">
        <f>IFERROR(INDEX('Hun Demand'!U:U,MATCH(O1331,'Hun Demand'!A:A,0)),"")</f>
        <v>0</v>
      </c>
      <c r="D1331" s="25">
        <f>IFERROR(INDEX('Hun Demand'!T:T,MATCH(O1331,'Hun Demand'!A:A,0)),"")</f>
        <v>0</v>
      </c>
      <c r="E1331" s="25">
        <f>IFERROR(INDEX('Hun Demand'!S:S,MATCH(O1331,'Hun Demand'!A:A,0)),"")</f>
        <v>0</v>
      </c>
      <c r="F1331" s="25">
        <f>IFERROR(INDEX('Hun Demand'!R:R,MATCH(O1331,'Hun Demand'!A:A,0)),"")</f>
        <v>0</v>
      </c>
      <c r="G1331" s="25">
        <f>IFERROR(INDEX('Aub Demand'!W:W,MATCH(O1331,'Aub Demand'!A:A,0)),"")</f>
        <v>290</v>
      </c>
      <c r="H1331" s="25">
        <f>IFERROR(INDEX('Aub Demand'!V:V,MATCH(O1331,'Aub Demand'!A:A,0)),"")</f>
        <v>358</v>
      </c>
      <c r="I1331" s="25">
        <f>IFERROR(INDEX('Aub Demand'!U:U,MATCH(O1331,'Aub Demand'!A:A,0)),"")</f>
        <v>15</v>
      </c>
      <c r="J1331" s="25">
        <f>IFERROR(INDEX('Aub Demand'!T:T,MATCH(O1331,'Aub Demand'!A:A,0)),"")</f>
        <v>370</v>
      </c>
      <c r="K1331" s="25">
        <f>IFERROR(INDEX('Aub Demand'!S:S,MATCH(O1331,'Aub Demand'!A:A,0)),"")</f>
        <v>271</v>
      </c>
      <c r="L1331" s="25">
        <f>IFERROR(INDEX('Aub Demand'!R:R,MATCH(O1331,'Aub Demand'!A:A,0)),"")</f>
        <v>0</v>
      </c>
      <c r="O1331" s="27" t="s">
        <v>1648</v>
      </c>
      <c r="P1331" s="27" t="str">
        <f>IFERROR(INDEX('Aub Demand'!B:B,MATCH($O1331,'Aub Demand'!$A:$A,0)),"")</f>
        <v>MILLWORK CHERRY</v>
      </c>
      <c r="Q1331" s="27" t="str">
        <f>IFERROR(INDEX('Aub Demand'!C:C,MATCH($O1331,'Aub Demand'!$A:$A,0)),"")</f>
        <v>SUDDE</v>
      </c>
      <c r="R1331" s="52">
        <f>IFERROR(IF(AR1332=AR1331,INDEX('Aub Demand'!K:K,MATCH($O1331,'Aub Demand'!$A:$A,0))-IF(AN1331="",0,AN1331)+AP1332,INDEX('Aub Demand'!K:K,MATCH($O1331,'Aub Demand'!$A:$A,0))-IF(AN1331="",0,AN1331)),"")</f>
        <v>4430</v>
      </c>
      <c r="S1331" s="53">
        <f t="shared" si="560"/>
        <v>86.7</v>
      </c>
      <c r="T1331" s="52" t="str">
        <f t="shared" si="561"/>
        <v/>
      </c>
      <c r="U1331" s="52">
        <f>IFERROR(IF(AR1332=AR1331,INDEX('Aub Demand'!Q:Q,MATCH($O1331,'Aub Demand'!$A:$A,0))-IF(AN1331="",0,AN1331)+AP1332,INDEX('Aub Demand'!Q:Q,MATCH($O1331,'Aub Demand'!$A:$A,0))-IF(AN1331="",0,AN1331)),"")</f>
        <v>4234</v>
      </c>
      <c r="V1331" s="53">
        <f t="shared" si="562"/>
        <v>82.9</v>
      </c>
      <c r="W1331" s="52" t="str">
        <f t="shared" si="563"/>
        <v/>
      </c>
      <c r="X1331" s="52">
        <f>IFERROR(IF(AND(AR1332=AR1331,AM1331&lt;&gt;""),INDEX('Aub Demand'!Q:Q,MATCH($O1331,'Aub Demand'!$A:$A,0))-IF(AN1331="",0,AN1331)+AP1332+AD1331+AL1331,IF(AR1332=AR1331,INDEX('Aub Demand'!Q:Q,MATCH($O1331,'Aub Demand'!$A:$A,0))-IF(AN1331="",0,AN1331)+AP1332+AD1331,IF(AM1331&lt;&gt;"",INDEX('Aub Demand'!Q:Q,MATCH($O1331,'Aub Demand'!$A:$A,0))-IF(AN1331="",0,AN1331)+AD1331+AL1331,INDEX('Aub Demand'!Q:Q,MATCH($O1331,'Aub Demand'!$A:$A,0))-IF(AN1331="",0,AN1331)+AD1331))),"")</f>
        <v>4234</v>
      </c>
      <c r="Y1331" s="53">
        <f t="shared" si="564"/>
        <v>82.9</v>
      </c>
      <c r="Z1331" s="52">
        <f>IF(L1331="","",INDEX('Aub Demand'!H:H,MATCH($O1331,'Aub Demand'!$A:$A,0)))</f>
        <v>219</v>
      </c>
      <c r="AA1331" s="52">
        <f t="shared" si="565"/>
        <v>320.5</v>
      </c>
      <c r="AB1331" s="52">
        <f>IFERROR(INDEX('Aub Demand'!L:L,MATCH($O1331,'Aub Demand'!$A:$A,0)),"")</f>
        <v>185</v>
      </c>
      <c r="AC1331" s="52">
        <f>IFERROR(IF(O1331="","",SUMIFS('CPL Mats'!F:F,'CPL Mats'!Q:Q,AR1331,'CPL Mats'!S:S,AS1331)),"")</f>
        <v>1200</v>
      </c>
      <c r="AF1331" s="25" t="str">
        <f>IF(SUMIFS('Supp Consol'!S:S,'Supp Consol'!Y:Y,"Releasable",'Supp Consol'!A:A,O1331)=0,"",SUMIFS('Supp Consol'!S:S,'Supp Consol'!Y:Y,"Releasable",'Supp Consol'!A:A,O1331))</f>
        <v/>
      </c>
      <c r="AG1331" s="25">
        <f>IFERROR(INDEX('Hun Demand'!Q:Q,MATCH(O1331,'Hun Demand'!A:A,0)),"")</f>
        <v>686</v>
      </c>
      <c r="AH1331" s="25">
        <f>IFERROR(INDEX('Hun Demand'!H:H,MATCH($O1331,'Hun Demand'!$A:$A,0)),"")</f>
        <v>0</v>
      </c>
      <c r="AI1331" s="25" t="str">
        <f>IF(SUMIFS('Supp Consol'!AA:AA,'Supp Consol'!Z:Z,"Expires this month",'Supp Consol'!A:A,O1331)=0,"",SUMIFS('Supp Consol'!AA:AA,'Supp Consol'!Z:Z,"Expires this month",'Supp Consol'!A:A,O1331))</f>
        <v/>
      </c>
      <c r="AJ1331" s="25" t="str">
        <f>IF(SUMIFS('Supp Consol'!AA:AA,'Supp Consol'!Z:Z,"Expired Previous Months",'Supp Consol'!A:A,O1331)=0,"",SUMIFS('Supp Consol'!AA:AA,'Supp Consol'!Z:Z,"Expired Previous Months",'Supp Consol'!A:A,O1331))</f>
        <v/>
      </c>
      <c r="AK1331" s="25" t="str">
        <f>IFERROR(INDEX('Hun Release Current'!B:B,MATCH(O1331,'Hun Release Current'!A:A,0)),"")</f>
        <v/>
      </c>
      <c r="AL1331" s="25" t="str">
        <f>IF(SUMIF('Prev Aub'!A:A,O1331,'Prev Aub'!B:B)=0,"",SUMIF('Prev Aub'!A:A,O1331,'Prev Aub'!B:B))</f>
        <v/>
      </c>
      <c r="AN1331" s="25" t="s">
        <v>3790</v>
      </c>
      <c r="AO1331" s="25" t="s">
        <v>3790</v>
      </c>
      <c r="AP1331" s="25">
        <f t="shared" si="566"/>
        <v>0</v>
      </c>
      <c r="AQ1331" s="151" t="str">
        <f>IF(SUMIFS('Supp Consol'!S:S,'Supp Consol'!A:A,O1331,'Supp Consol'!I:I,"PENDING")=0,"",SUMIFS('Supp Consol'!S:S,'Supp Consol'!A:A,O1331,'Supp Consol'!I:I,"PENDING"))</f>
        <v/>
      </c>
      <c r="AR1331" s="27" t="str">
        <f t="shared" si="567"/>
        <v>WC431</v>
      </c>
      <c r="AS1331" s="27" t="str">
        <f t="shared" si="568"/>
        <v>50</v>
      </c>
      <c r="AT1331" s="27" t="str">
        <f t="shared" si="569"/>
        <v/>
      </c>
      <c r="AU1331" s="27" t="str">
        <f t="shared" si="570"/>
        <v/>
      </c>
      <c r="AV1331" s="27" t="str">
        <f t="shared" si="571"/>
        <v/>
      </c>
      <c r="AW1331" s="27" t="str">
        <f t="shared" si="572"/>
        <v/>
      </c>
      <c r="AX1331" s="27" t="str">
        <f t="shared" si="573"/>
        <v/>
      </c>
      <c r="AY1331" s="27" t="str">
        <f t="shared" si="574"/>
        <v>WC431</v>
      </c>
      <c r="AZ1331" s="27" t="str">
        <f t="shared" si="575"/>
        <v/>
      </c>
      <c r="BA1331" s="27" t="str">
        <f t="shared" si="576"/>
        <v>Hun</v>
      </c>
      <c r="BB1331" s="27" t="str">
        <f t="shared" si="577"/>
        <v/>
      </c>
      <c r="BC1331" s="27" t="str">
        <f t="shared" si="578"/>
        <v/>
      </c>
      <c r="BD1331" s="27" t="str">
        <f t="shared" si="579"/>
        <v/>
      </c>
      <c r="BE1331" s="27" t="str">
        <f t="shared" si="580"/>
        <v/>
      </c>
      <c r="BF1331" s="27" t="str">
        <f t="shared" si="581"/>
        <v/>
      </c>
      <c r="BG1331" s="27" t="str">
        <f t="shared" si="582"/>
        <v/>
      </c>
      <c r="BH1331" s="27" t="str">
        <f t="shared" si="583"/>
        <v/>
      </c>
      <c r="BI1331" s="27" t="str">
        <f t="shared" si="584"/>
        <v/>
      </c>
      <c r="BJ1331" s="27" t="str">
        <f t="shared" si="585"/>
        <v>Supp or Hun</v>
      </c>
      <c r="BK1331" s="27" t="str">
        <f t="shared" si="586"/>
        <v/>
      </c>
      <c r="BL1331" s="27" t="str">
        <f t="shared" si="587"/>
        <v/>
      </c>
      <c r="BM1331" s="21" t="s">
        <v>5581</v>
      </c>
    </row>
    <row r="1332" spans="1:65" ht="15">
      <c r="A1332" s="25">
        <f>IFERROR(INDEX('Hun Demand'!W:W,MATCH(O1332,'Hun Demand'!A:A,0)),"")</f>
        <v>0</v>
      </c>
      <c r="B1332" s="25">
        <f>IFERROR(INDEX('Hun Demand'!V:V,MATCH(O1332,'Hun Demand'!A:A,0)),"")</f>
        <v>0</v>
      </c>
      <c r="C1332" s="25">
        <f>IFERROR(INDEX('Hun Demand'!U:U,MATCH(O1332,'Hun Demand'!A:A,0)),"")</f>
        <v>0</v>
      </c>
      <c r="D1332" s="25">
        <f>IFERROR(INDEX('Hun Demand'!T:T,MATCH(O1332,'Hun Demand'!A:A,0)),"")</f>
        <v>0</v>
      </c>
      <c r="E1332" s="25">
        <f>IFERROR(INDEX('Hun Demand'!S:S,MATCH(O1332,'Hun Demand'!A:A,0)),"")</f>
        <v>0</v>
      </c>
      <c r="F1332" s="25">
        <f>IFERROR(INDEX('Hun Demand'!R:R,MATCH(O1332,'Hun Demand'!A:A,0)),"")</f>
        <v>0</v>
      </c>
      <c r="G1332" s="25">
        <f>IFERROR(INDEX('Aub Demand'!W:W,MATCH(O1332,'Aub Demand'!A:A,0)),"")</f>
        <v>0</v>
      </c>
      <c r="H1332" s="25">
        <f>IFERROR(INDEX('Aub Demand'!V:V,MATCH(O1332,'Aub Demand'!A:A,0)),"")</f>
        <v>0</v>
      </c>
      <c r="I1332" s="25">
        <f>IFERROR(INDEX('Aub Demand'!U:U,MATCH(O1332,'Aub Demand'!A:A,0)),"")</f>
        <v>0</v>
      </c>
      <c r="J1332" s="25">
        <f>IFERROR(INDEX('Aub Demand'!T:T,MATCH(O1332,'Aub Demand'!A:A,0)),"")</f>
        <v>30</v>
      </c>
      <c r="K1332" s="25">
        <f>IFERROR(INDEX('Aub Demand'!S:S,MATCH(O1332,'Aub Demand'!A:A,0)),"")</f>
        <v>203</v>
      </c>
      <c r="L1332" s="25">
        <f>IFERROR(INDEX('Aub Demand'!R:R,MATCH(O1332,'Aub Demand'!A:A,0)),"")</f>
        <v>0</v>
      </c>
      <c r="O1332" s="27" t="s">
        <v>1649</v>
      </c>
      <c r="P1332" s="27" t="str">
        <f>IFERROR(INDEX('Aub Demand'!B:B,MATCH($O1332,'Aub Demand'!$A:$A,0)),"")</f>
        <v>MILLWORK CHERRY</v>
      </c>
      <c r="Q1332" s="27" t="str">
        <f>IFERROR(INDEX('Aub Demand'!C:C,MATCH($O1332,'Aub Demand'!$A:$A,0)),"")</f>
        <v>SUDDE</v>
      </c>
      <c r="R1332" s="52">
        <f>IFERROR(IF(AR1333=AR1332,INDEX('Aub Demand'!K:K,MATCH($O1332,'Aub Demand'!$A:$A,0))-IF(AN1332="",0,AN1332)+AP1333,INDEX('Aub Demand'!K:K,MATCH($O1332,'Aub Demand'!$A:$A,0))-IF(AN1332="",0,AN1332)),"")</f>
        <v>2498</v>
      </c>
      <c r="S1332" s="53">
        <f t="shared" si="560"/>
        <v>137.30000000000001</v>
      </c>
      <c r="T1332" s="52" t="str">
        <f t="shared" si="561"/>
        <v/>
      </c>
      <c r="U1332" s="52">
        <f>IFERROR(IF(AR1333=AR1332,INDEX('Aub Demand'!Q:Q,MATCH($O1332,'Aub Demand'!$A:$A,0))-IF(AN1332="",0,AN1332)+AP1333,INDEX('Aub Demand'!Q:Q,MATCH($O1332,'Aub Demand'!$A:$A,0))-IF(AN1332="",0,AN1332)),"")</f>
        <v>2452</v>
      </c>
      <c r="V1332" s="53">
        <f t="shared" si="562"/>
        <v>134.69999999999999</v>
      </c>
      <c r="W1332" s="52" t="str">
        <f t="shared" si="563"/>
        <v/>
      </c>
      <c r="X1332" s="52">
        <f>IFERROR(IF(AND(AR1333=AR1332,AM1332&lt;&gt;""),INDEX('Aub Demand'!Q:Q,MATCH($O1332,'Aub Demand'!$A:$A,0))-IF(AN1332="",0,AN1332)+AP1333+AD1332+AL1332,IF(AR1333=AR1332,INDEX('Aub Demand'!Q:Q,MATCH($O1332,'Aub Demand'!$A:$A,0))-IF(AN1332="",0,AN1332)+AP1333+AD1332,IF(AM1332&lt;&gt;"",INDEX('Aub Demand'!Q:Q,MATCH($O1332,'Aub Demand'!$A:$A,0))-IF(AN1332="",0,AN1332)+AD1332+AL1332,INDEX('Aub Demand'!Q:Q,MATCH($O1332,'Aub Demand'!$A:$A,0))-IF(AN1332="",0,AN1332)+AD1332))),"")</f>
        <v>2452</v>
      </c>
      <c r="Y1332" s="53">
        <f t="shared" si="564"/>
        <v>134.69999999999999</v>
      </c>
      <c r="Z1332" s="52">
        <f>IF(L1332="","",INDEX('Aub Demand'!H:H,MATCH($O1332,'Aub Demand'!$A:$A,0)))</f>
        <v>78</v>
      </c>
      <c r="AA1332" s="52">
        <f t="shared" si="565"/>
        <v>116.5</v>
      </c>
      <c r="AB1332" s="52">
        <f>IFERROR(INDEX('Aub Demand'!L:L,MATCH($O1332,'Aub Demand'!$A:$A,0)),"")</f>
        <v>74</v>
      </c>
      <c r="AC1332" s="52">
        <f>IFERROR(IF(O1332="","",SUMIFS('CPL Mats'!F:F,'CPL Mats'!Q:Q,AR1332,'CPL Mats'!S:S,AS1332)),"")</f>
        <v>0</v>
      </c>
      <c r="AF1332" s="25" t="str">
        <f>IF(SUMIFS('Supp Consol'!S:S,'Supp Consol'!Y:Y,"Releasable",'Supp Consol'!A:A,O1332)=0,"",SUMIFS('Supp Consol'!S:S,'Supp Consol'!Y:Y,"Releasable",'Supp Consol'!A:A,O1332))</f>
        <v/>
      </c>
      <c r="AG1332" s="25">
        <f>IFERROR(INDEX('Hun Demand'!Q:Q,MATCH(O1332,'Hun Demand'!A:A,0)),"")</f>
        <v>1427</v>
      </c>
      <c r="AH1332" s="25">
        <f>IFERROR(INDEX('Hun Demand'!H:H,MATCH($O1332,'Hun Demand'!$A:$A,0)),"")</f>
        <v>0</v>
      </c>
      <c r="AI1332" s="25" t="str">
        <f>IF(SUMIFS('Supp Consol'!AA:AA,'Supp Consol'!Z:Z,"Expires this month",'Supp Consol'!A:A,O1332)=0,"",SUMIFS('Supp Consol'!AA:AA,'Supp Consol'!Z:Z,"Expires this month",'Supp Consol'!A:A,O1332))</f>
        <v/>
      </c>
      <c r="AJ1332" s="25" t="str">
        <f>IF(SUMIFS('Supp Consol'!AA:AA,'Supp Consol'!Z:Z,"Expired Previous Months",'Supp Consol'!A:A,O1332)=0,"",SUMIFS('Supp Consol'!AA:AA,'Supp Consol'!Z:Z,"Expired Previous Months",'Supp Consol'!A:A,O1332))</f>
        <v/>
      </c>
      <c r="AK1332" s="25" t="str">
        <f>IFERROR(INDEX('Hun Release Current'!B:B,MATCH(O1332,'Hun Release Current'!A:A,0)),"")</f>
        <v/>
      </c>
      <c r="AL1332" s="25" t="str">
        <f>IF(SUMIF('Prev Aub'!A:A,O1332,'Prev Aub'!B:B)=0,"",SUMIF('Prev Aub'!A:A,O1332,'Prev Aub'!B:B))</f>
        <v/>
      </c>
      <c r="AN1332" s="25" t="s">
        <v>3790</v>
      </c>
      <c r="AO1332" s="25" t="s">
        <v>3790</v>
      </c>
      <c r="AP1332" s="25">
        <f t="shared" si="566"/>
        <v>0</v>
      </c>
      <c r="AQ1332" s="151" t="str">
        <f>IF(SUMIFS('Supp Consol'!S:S,'Supp Consol'!A:A,O1332,'Supp Consol'!I:I,"PENDING")=0,"",SUMIFS('Supp Consol'!S:S,'Supp Consol'!A:A,O1332,'Supp Consol'!I:I,"PENDING"))</f>
        <v/>
      </c>
      <c r="AR1332" s="27" t="str">
        <f t="shared" si="567"/>
        <v>WC431</v>
      </c>
      <c r="AS1332" s="27" t="str">
        <f t="shared" si="568"/>
        <v>62</v>
      </c>
      <c r="AT1332" s="27" t="str">
        <f t="shared" si="569"/>
        <v/>
      </c>
      <c r="AU1332" s="27" t="str">
        <f t="shared" si="570"/>
        <v/>
      </c>
      <c r="AV1332" s="27" t="str">
        <f t="shared" si="571"/>
        <v/>
      </c>
      <c r="AW1332" s="27" t="str">
        <f t="shared" si="572"/>
        <v/>
      </c>
      <c r="AX1332" s="27" t="str">
        <f t="shared" si="573"/>
        <v/>
      </c>
      <c r="AY1332" s="27" t="str">
        <f t="shared" si="574"/>
        <v>WC431</v>
      </c>
      <c r="AZ1332" s="27" t="str">
        <f t="shared" si="575"/>
        <v/>
      </c>
      <c r="BA1332" s="27" t="str">
        <f t="shared" si="576"/>
        <v>Hun</v>
      </c>
      <c r="BB1332" s="27" t="str">
        <f t="shared" si="577"/>
        <v/>
      </c>
      <c r="BC1332" s="27" t="str">
        <f t="shared" si="578"/>
        <v/>
      </c>
      <c r="BD1332" s="27" t="str">
        <f t="shared" si="579"/>
        <v/>
      </c>
      <c r="BE1332" s="27" t="str">
        <f t="shared" si="580"/>
        <v/>
      </c>
      <c r="BF1332" s="27" t="str">
        <f t="shared" si="581"/>
        <v/>
      </c>
      <c r="BG1332" s="27" t="str">
        <f t="shared" si="582"/>
        <v/>
      </c>
      <c r="BH1332" s="27" t="str">
        <f t="shared" si="583"/>
        <v/>
      </c>
      <c r="BI1332" s="27" t="str">
        <f t="shared" si="584"/>
        <v/>
      </c>
      <c r="BJ1332" s="27" t="str">
        <f t="shared" si="585"/>
        <v>Supp or Hun</v>
      </c>
      <c r="BK1332" s="27" t="str">
        <f t="shared" si="586"/>
        <v/>
      </c>
      <c r="BL1332" s="27" t="str">
        <f t="shared" si="587"/>
        <v/>
      </c>
      <c r="BM1332" s="21" t="s">
        <v>5581</v>
      </c>
    </row>
    <row r="1333" spans="1:65" ht="15">
      <c r="A1333" s="25">
        <f>IFERROR(INDEX('Hun Demand'!W:W,MATCH(O1333,'Hun Demand'!A:A,0)),"")</f>
        <v>0</v>
      </c>
      <c r="B1333" s="25">
        <f>IFERROR(INDEX('Hun Demand'!V:V,MATCH(O1333,'Hun Demand'!A:A,0)),"")</f>
        <v>0</v>
      </c>
      <c r="C1333" s="25">
        <f>IFERROR(INDEX('Hun Demand'!U:U,MATCH(O1333,'Hun Demand'!A:A,0)),"")</f>
        <v>0</v>
      </c>
      <c r="D1333" s="25">
        <f>IFERROR(INDEX('Hun Demand'!T:T,MATCH(O1333,'Hun Demand'!A:A,0)),"")</f>
        <v>0</v>
      </c>
      <c r="E1333" s="25">
        <f>IFERROR(INDEX('Hun Demand'!S:S,MATCH(O1333,'Hun Demand'!A:A,0)),"")</f>
        <v>0</v>
      </c>
      <c r="F1333" s="25">
        <f>IFERROR(INDEX('Hun Demand'!R:R,MATCH(O1333,'Hun Demand'!A:A,0)),"")</f>
        <v>0</v>
      </c>
      <c r="G1333" s="25">
        <f>IFERROR(INDEX('Aub Demand'!W:W,MATCH(O1333,'Aub Demand'!A:A,0)),"")</f>
        <v>0</v>
      </c>
      <c r="H1333" s="25">
        <f>IFERROR(INDEX('Aub Demand'!V:V,MATCH(O1333,'Aub Demand'!A:A,0)),"")</f>
        <v>0</v>
      </c>
      <c r="I1333" s="25">
        <f>IFERROR(INDEX('Aub Demand'!U:U,MATCH(O1333,'Aub Demand'!A:A,0)),"")</f>
        <v>0</v>
      </c>
      <c r="J1333" s="25">
        <f>IFERROR(INDEX('Aub Demand'!T:T,MATCH(O1333,'Aub Demand'!A:A,0)),"")</f>
        <v>0</v>
      </c>
      <c r="K1333" s="25">
        <f>IFERROR(INDEX('Aub Demand'!S:S,MATCH(O1333,'Aub Demand'!A:A,0)),"")</f>
        <v>0</v>
      </c>
      <c r="L1333" s="25">
        <f>IFERROR(INDEX('Aub Demand'!R:R,MATCH(O1333,'Aub Demand'!A:A,0)),"")</f>
        <v>0</v>
      </c>
      <c r="O1333" s="27" t="s">
        <v>1650</v>
      </c>
      <c r="P1333" s="27" t="str">
        <f>IFERROR(INDEX('Aub Demand'!B:B,MATCH($O1333,'Aub Demand'!$A:$A,0)),"")</f>
        <v>AMANA CHERRY</v>
      </c>
      <c r="Q1333" s="27" t="str">
        <f>IFERROR(INDEX('Aub Demand'!C:C,MATCH($O1333,'Aub Demand'!$A:$A,0)),"")</f>
        <v>TOPPA</v>
      </c>
      <c r="R1333" s="52">
        <f>IFERROR(IF(AR1334=AR1333,INDEX('Aub Demand'!K:K,MATCH($O1333,'Aub Demand'!$A:$A,0))-IF(AN1333="",0,AN1333)+AP1334,INDEX('Aub Demand'!K:K,MATCH($O1333,'Aub Demand'!$A:$A,0))-IF(AN1333="",0,AN1333)),"")</f>
        <v>194</v>
      </c>
      <c r="S1333" s="53" t="str">
        <f t="shared" si="560"/>
        <v>n/a</v>
      </c>
      <c r="T1333" s="52" t="str">
        <f t="shared" si="561"/>
        <v/>
      </c>
      <c r="U1333" s="52">
        <f>IFERROR(IF(AR1334=AR1333,INDEX('Aub Demand'!Q:Q,MATCH($O1333,'Aub Demand'!$A:$A,0))-IF(AN1333="",0,AN1333)+AP1334,INDEX('Aub Demand'!Q:Q,MATCH($O1333,'Aub Demand'!$A:$A,0))-IF(AN1333="",0,AN1333)),"")</f>
        <v>194</v>
      </c>
      <c r="V1333" s="53" t="str">
        <f t="shared" si="562"/>
        <v>n/a</v>
      </c>
      <c r="W1333" s="52" t="str">
        <f t="shared" si="563"/>
        <v/>
      </c>
      <c r="X1333" s="52">
        <f>IFERROR(IF(AND(AR1334=AR1333,AM1333&lt;&gt;""),INDEX('Aub Demand'!Q:Q,MATCH($O1333,'Aub Demand'!$A:$A,0))-IF(AN1333="",0,AN1333)+AP1334+AD1333+AL1333,IF(AR1334=AR1333,INDEX('Aub Demand'!Q:Q,MATCH($O1333,'Aub Demand'!$A:$A,0))-IF(AN1333="",0,AN1333)+AP1334+AD1333,IF(AM1333&lt;&gt;"",INDEX('Aub Demand'!Q:Q,MATCH($O1333,'Aub Demand'!$A:$A,0))-IF(AN1333="",0,AN1333)+AD1333+AL1333,INDEX('Aub Demand'!Q:Q,MATCH($O1333,'Aub Demand'!$A:$A,0))-IF(AN1333="",0,AN1333)+AD1333))),"")</f>
        <v>194</v>
      </c>
      <c r="Y1333" s="53" t="str">
        <f t="shared" si="564"/>
        <v>n/a</v>
      </c>
      <c r="Z1333" s="52">
        <f>IF(L1333="","",INDEX('Aub Demand'!H:H,MATCH($O1333,'Aub Demand'!$A:$A,0)))</f>
        <v>0</v>
      </c>
      <c r="AA1333" s="52" t="str">
        <f t="shared" si="565"/>
        <v>-spike-</v>
      </c>
      <c r="AB1333" s="52">
        <f>IFERROR(INDEX('Aub Demand'!L:L,MATCH($O1333,'Aub Demand'!$A:$A,0)),"")</f>
        <v>0</v>
      </c>
      <c r="AC1333" s="52">
        <f>IFERROR(IF(O1333="","",SUMIFS('CPL Mats'!F:F,'CPL Mats'!Q:Q,AR1333,'CPL Mats'!S:S,AS1333)),"")</f>
        <v>0</v>
      </c>
      <c r="AF1333" s="25" t="str">
        <f>IF(SUMIFS('Supp Consol'!S:S,'Supp Consol'!Y:Y,"Releasable",'Supp Consol'!A:A,O1333)=0,"",SUMIFS('Supp Consol'!S:S,'Supp Consol'!Y:Y,"Releasable",'Supp Consol'!A:A,O1333))</f>
        <v/>
      </c>
      <c r="AG1333" s="25">
        <f>IFERROR(INDEX('Hun Demand'!Q:Q,MATCH(O1333,'Hun Demand'!A:A,0)),"")</f>
        <v>-61</v>
      </c>
      <c r="AH1333" s="25">
        <f>IFERROR(INDEX('Hun Demand'!H:H,MATCH($O1333,'Hun Demand'!$A:$A,0)),"")</f>
        <v>0</v>
      </c>
      <c r="AI1333" s="25" t="str">
        <f>IF(SUMIFS('Supp Consol'!AA:AA,'Supp Consol'!Z:Z,"Expires this month",'Supp Consol'!A:A,O1333)=0,"",SUMIFS('Supp Consol'!AA:AA,'Supp Consol'!Z:Z,"Expires this month",'Supp Consol'!A:A,O1333))</f>
        <v/>
      </c>
      <c r="AJ1333" s="25" t="str">
        <f>IF(SUMIFS('Supp Consol'!AA:AA,'Supp Consol'!Z:Z,"Expired Previous Months",'Supp Consol'!A:A,O1333)=0,"",SUMIFS('Supp Consol'!AA:AA,'Supp Consol'!Z:Z,"Expired Previous Months",'Supp Consol'!A:A,O1333))</f>
        <v/>
      </c>
      <c r="AK1333" s="25" t="str">
        <f>IFERROR(INDEX('Hun Release Current'!B:B,MATCH(O1333,'Hun Release Current'!A:A,0)),"")</f>
        <v/>
      </c>
      <c r="AL1333" s="25" t="str">
        <f>IF(SUMIF('Prev Aub'!A:A,O1333,'Prev Aub'!B:B)=0,"",SUMIF('Prev Aub'!A:A,O1333,'Prev Aub'!B:B))</f>
        <v/>
      </c>
      <c r="AN1333" s="25" t="s">
        <v>3790</v>
      </c>
      <c r="AO1333" s="25" t="s">
        <v>3790</v>
      </c>
      <c r="AP1333" s="25">
        <f t="shared" si="566"/>
        <v>0</v>
      </c>
      <c r="AQ1333" s="151" t="str">
        <f>IF(SUMIFS('Supp Consol'!S:S,'Supp Consol'!A:A,O1333,'Supp Consol'!I:I,"PENDING")=0,"",SUMIFS('Supp Consol'!S:S,'Supp Consol'!A:A,O1333,'Supp Consol'!I:I,"PENDING"))</f>
        <v/>
      </c>
      <c r="AR1333" s="27" t="str">
        <f t="shared" si="567"/>
        <v>WC471</v>
      </c>
      <c r="AS1333" s="27" t="str">
        <f t="shared" si="568"/>
        <v>50</v>
      </c>
      <c r="AT1333" s="27" t="str">
        <f t="shared" si="569"/>
        <v/>
      </c>
      <c r="AU1333" s="27" t="str">
        <f t="shared" si="570"/>
        <v/>
      </c>
      <c r="AV1333" s="27" t="str">
        <f t="shared" si="571"/>
        <v/>
      </c>
      <c r="AW1333" s="27" t="str">
        <f t="shared" si="572"/>
        <v/>
      </c>
      <c r="AX1333" s="27" t="str">
        <f t="shared" si="573"/>
        <v/>
      </c>
      <c r="AY1333" s="27" t="str">
        <f t="shared" si="574"/>
        <v/>
      </c>
      <c r="AZ1333" s="27" t="str">
        <f t="shared" si="575"/>
        <v/>
      </c>
      <c r="BA1333" s="27" t="str">
        <f t="shared" si="576"/>
        <v/>
      </c>
      <c r="BB1333" s="27" t="str">
        <f t="shared" si="577"/>
        <v/>
      </c>
      <c r="BC1333" s="27" t="str">
        <f t="shared" si="578"/>
        <v/>
      </c>
      <c r="BD1333" s="27" t="str">
        <f t="shared" si="579"/>
        <v/>
      </c>
      <c r="BE1333" s="27" t="str">
        <f t="shared" si="580"/>
        <v/>
      </c>
      <c r="BF1333" s="27" t="str">
        <f t="shared" si="581"/>
        <v/>
      </c>
      <c r="BG1333" s="27" t="str">
        <f t="shared" si="582"/>
        <v/>
      </c>
      <c r="BH1333" s="27" t="str">
        <f t="shared" si="583"/>
        <v/>
      </c>
      <c r="BI1333" s="27" t="str">
        <f t="shared" si="584"/>
        <v/>
      </c>
      <c r="BJ1333" s="27" t="str">
        <f t="shared" si="585"/>
        <v/>
      </c>
      <c r="BK1333" s="27" t="str">
        <f t="shared" si="586"/>
        <v/>
      </c>
      <c r="BL1333" s="27" t="str">
        <f t="shared" si="587"/>
        <v/>
      </c>
      <c r="BM1333" s="21" t="s">
        <v>5581</v>
      </c>
    </row>
    <row r="1334" spans="1:65" ht="15">
      <c r="A1334" s="25">
        <f>IFERROR(INDEX('Hun Demand'!W:W,MATCH(O1334,'Hun Demand'!A:A,0)),"")</f>
        <v>0</v>
      </c>
      <c r="B1334" s="25">
        <f>IFERROR(INDEX('Hun Demand'!V:V,MATCH(O1334,'Hun Demand'!A:A,0)),"")</f>
        <v>0</v>
      </c>
      <c r="C1334" s="25">
        <f>IFERROR(INDEX('Hun Demand'!U:U,MATCH(O1334,'Hun Demand'!A:A,0)),"")</f>
        <v>134</v>
      </c>
      <c r="D1334" s="25">
        <f>IFERROR(INDEX('Hun Demand'!T:T,MATCH(O1334,'Hun Demand'!A:A,0)),"")</f>
        <v>0</v>
      </c>
      <c r="E1334" s="25">
        <f>IFERROR(INDEX('Hun Demand'!S:S,MATCH(O1334,'Hun Demand'!A:A,0)),"")</f>
        <v>0</v>
      </c>
      <c r="F1334" s="25">
        <f>IFERROR(INDEX('Hun Demand'!R:R,MATCH(O1334,'Hun Demand'!A:A,0)),"")</f>
        <v>0</v>
      </c>
      <c r="G1334" s="25">
        <f>IFERROR(INDEX('Aub Demand'!W:W,MATCH(O1334,'Aub Demand'!A:A,0)),"")</f>
        <v>24</v>
      </c>
      <c r="H1334" s="25">
        <f>IFERROR(INDEX('Aub Demand'!V:V,MATCH(O1334,'Aub Demand'!A:A,0)),"")</f>
        <v>0</v>
      </c>
      <c r="I1334" s="25">
        <f>IFERROR(INDEX('Aub Demand'!U:U,MATCH(O1334,'Aub Demand'!A:A,0)),"")</f>
        <v>5</v>
      </c>
      <c r="J1334" s="25">
        <f>IFERROR(INDEX('Aub Demand'!T:T,MATCH(O1334,'Aub Demand'!A:A,0)),"")</f>
        <v>0</v>
      </c>
      <c r="K1334" s="25">
        <f>IFERROR(INDEX('Aub Demand'!S:S,MATCH(O1334,'Aub Demand'!A:A,0)),"")</f>
        <v>0</v>
      </c>
      <c r="L1334" s="25">
        <f>IFERROR(INDEX('Aub Demand'!R:R,MATCH(O1334,'Aub Demand'!A:A,0)),"")</f>
        <v>17</v>
      </c>
      <c r="O1334" s="27" t="s">
        <v>1653</v>
      </c>
      <c r="P1334" s="27" t="str">
        <f>IFERROR(INDEX('Aub Demand'!B:B,MATCH($O1334,'Aub Demand'!$A:$A,0)),"")</f>
        <v>SHAKER CHERRY</v>
      </c>
      <c r="Q1334" s="27" t="str">
        <f>IFERROR(INDEX('Aub Demand'!C:C,MATCH($O1334,'Aub Demand'!$A:$A,0)),"")</f>
        <v>TOPPA</v>
      </c>
      <c r="R1334" s="52">
        <f>IFERROR(IF(AR1335=AR1334,INDEX('Aub Demand'!K:K,MATCH($O1334,'Aub Demand'!$A:$A,0))-IF(AN1334="",0,AN1334)+AP1335,INDEX('Aub Demand'!K:K,MATCH($O1334,'Aub Demand'!$A:$A,0))-IF(AN1334="",0,AN1334)),"")</f>
        <v>0</v>
      </c>
      <c r="S1334" s="53">
        <f t="shared" si="560"/>
        <v>0</v>
      </c>
      <c r="T1334" s="52">
        <f t="shared" si="561"/>
        <v>8.25</v>
      </c>
      <c r="U1334" s="52">
        <f>IFERROR(IF(AR1335=AR1334,INDEX('Aub Demand'!Q:Q,MATCH($O1334,'Aub Demand'!$A:$A,0))-IF(AN1334="",0,AN1334)+AP1335,INDEX('Aub Demand'!Q:Q,MATCH($O1334,'Aub Demand'!$A:$A,0))-IF(AN1334="",0,AN1334)),"")</f>
        <v>-39</v>
      </c>
      <c r="V1334" s="53">
        <f t="shared" si="562"/>
        <v>-83.6</v>
      </c>
      <c r="W1334" s="52">
        <f t="shared" si="563"/>
        <v>238.14999999999998</v>
      </c>
      <c r="X1334" s="52">
        <f>IFERROR(IF(AND(AR1335=AR1334,AM1334&lt;&gt;""),INDEX('Aub Demand'!Q:Q,MATCH($O1334,'Aub Demand'!$A:$A,0))-IF(AN1334="",0,AN1334)+AP1335+AD1334+AL1334,IF(AR1335=AR1334,INDEX('Aub Demand'!Q:Q,MATCH($O1334,'Aub Demand'!$A:$A,0))-IF(AN1334="",0,AN1334)+AP1335+AD1334,IF(AM1334&lt;&gt;"",INDEX('Aub Demand'!Q:Q,MATCH($O1334,'Aub Demand'!$A:$A,0))-IF(AN1334="",0,AN1334)+AD1334+AL1334,INDEX('Aub Demand'!Q:Q,MATCH($O1334,'Aub Demand'!$A:$A,0))-IF(AN1334="",0,AN1334)+AD1334))),"")</f>
        <v>-39</v>
      </c>
      <c r="Y1334" s="53">
        <f t="shared" si="564"/>
        <v>-83.6</v>
      </c>
      <c r="Z1334" s="52">
        <f>IF(L1334="","",INDEX('Aub Demand'!H:H,MATCH($O1334,'Aub Demand'!$A:$A,0)))</f>
        <v>2</v>
      </c>
      <c r="AA1334" s="52">
        <f t="shared" si="565"/>
        <v>11</v>
      </c>
      <c r="AB1334" s="52">
        <f>IFERROR(INDEX('Aub Demand'!L:L,MATCH($O1334,'Aub Demand'!$A:$A,0)),"")</f>
        <v>16</v>
      </c>
      <c r="AC1334" s="52">
        <f>IFERROR(IF(O1334="","",SUMIFS('CPL Mats'!F:F,'CPL Mats'!Q:Q,AR1334,'CPL Mats'!S:S,AS1334)),"")</f>
        <v>0</v>
      </c>
      <c r="AF1334" s="25" t="str">
        <f>IF(SUMIFS('Supp Consol'!S:S,'Supp Consol'!Y:Y,"Releasable",'Supp Consol'!A:A,O1334)=0,"",SUMIFS('Supp Consol'!S:S,'Supp Consol'!Y:Y,"Releasable",'Supp Consol'!A:A,O1334))</f>
        <v/>
      </c>
      <c r="AG1334" s="25">
        <f>IFERROR(INDEX('Hun Demand'!Q:Q,MATCH(O1334,'Hun Demand'!A:A,0)),"")</f>
        <v>0</v>
      </c>
      <c r="AH1334" s="25">
        <f>IFERROR(INDEX('Hun Demand'!H:H,MATCH($O1334,'Hun Demand'!$A:$A,0)),"")</f>
        <v>45</v>
      </c>
      <c r="AI1334" s="25" t="str">
        <f>IF(SUMIFS('Supp Consol'!AA:AA,'Supp Consol'!Z:Z,"Expires this month",'Supp Consol'!A:A,O1334)=0,"",SUMIFS('Supp Consol'!AA:AA,'Supp Consol'!Z:Z,"Expires this month",'Supp Consol'!A:A,O1334))</f>
        <v/>
      </c>
      <c r="AJ1334" s="25" t="str">
        <f>IF(SUMIFS('Supp Consol'!AA:AA,'Supp Consol'!Z:Z,"Expired Previous Months",'Supp Consol'!A:A,O1334)=0,"",SUMIFS('Supp Consol'!AA:AA,'Supp Consol'!Z:Z,"Expired Previous Months",'Supp Consol'!A:A,O1334))</f>
        <v/>
      </c>
      <c r="AK1334" s="25" t="str">
        <f>IFERROR(INDEX('Hun Release Current'!B:B,MATCH(O1334,'Hun Release Current'!A:A,0)),"")</f>
        <v/>
      </c>
      <c r="AL1334" s="25" t="str">
        <f>IF(SUMIF('Prev Aub'!A:A,O1334,'Prev Aub'!B:B)=0,"",SUMIF('Prev Aub'!A:A,O1334,'Prev Aub'!B:B))</f>
        <v/>
      </c>
      <c r="AN1334" s="25" t="s">
        <v>3790</v>
      </c>
      <c r="AO1334" s="25" t="s">
        <v>3790</v>
      </c>
      <c r="AP1334" s="25">
        <f t="shared" si="566"/>
        <v>0</v>
      </c>
      <c r="AQ1334" s="151" t="str">
        <f>IF(SUMIFS('Supp Consol'!S:S,'Supp Consol'!A:A,O1334,'Supp Consol'!I:I,"PENDING")=0,"",SUMIFS('Supp Consol'!S:S,'Supp Consol'!A:A,O1334,'Supp Consol'!I:I,"PENDING"))</f>
        <v/>
      </c>
      <c r="AR1334" s="27" t="str">
        <f t="shared" si="567"/>
        <v>WC521</v>
      </c>
      <c r="AS1334" s="27" t="str">
        <f t="shared" si="568"/>
        <v>50</v>
      </c>
      <c r="AT1334" s="27" t="str">
        <f t="shared" si="569"/>
        <v>WC521</v>
      </c>
      <c r="AU1334" s="27" t="str">
        <f t="shared" si="570"/>
        <v>WC521</v>
      </c>
      <c r="AV1334" s="27" t="str">
        <f t="shared" si="571"/>
        <v>WC521</v>
      </c>
      <c r="AW1334" s="27" t="str">
        <f t="shared" si="572"/>
        <v/>
      </c>
      <c r="AX1334" s="27" t="str">
        <f t="shared" si="573"/>
        <v/>
      </c>
      <c r="AY1334" s="27" t="str">
        <f t="shared" si="574"/>
        <v/>
      </c>
      <c r="AZ1334" s="27" t="str">
        <f t="shared" si="575"/>
        <v/>
      </c>
      <c r="BA1334" s="27" t="str">
        <f t="shared" si="576"/>
        <v>Hun</v>
      </c>
      <c r="BB1334" s="27" t="str">
        <f t="shared" si="577"/>
        <v>Gross</v>
      </c>
      <c r="BC1334" s="27" t="str">
        <f t="shared" si="578"/>
        <v>Net</v>
      </c>
      <c r="BD1334" s="27" t="str">
        <f t="shared" si="579"/>
        <v>Net</v>
      </c>
      <c r="BE1334" s="27" t="str">
        <f t="shared" si="580"/>
        <v/>
      </c>
      <c r="BF1334" s="27" t="str">
        <f t="shared" si="581"/>
        <v/>
      </c>
      <c r="BG1334" s="27" t="str">
        <f t="shared" si="582"/>
        <v/>
      </c>
      <c r="BH1334" s="27" t="str">
        <f t="shared" si="583"/>
        <v>H+N</v>
      </c>
      <c r="BI1334" s="27" t="str">
        <f t="shared" si="584"/>
        <v>H+Nex</v>
      </c>
      <c r="BJ1334" s="27" t="str">
        <f t="shared" si="585"/>
        <v>Supp or Hun</v>
      </c>
      <c r="BK1334" s="27" t="str">
        <f t="shared" si="586"/>
        <v>Supp or Hun Need</v>
      </c>
      <c r="BL1334" s="27" t="str">
        <f t="shared" si="587"/>
        <v>SorHandNandE</v>
      </c>
      <c r="BM1334" s="21" t="s">
        <v>5581</v>
      </c>
    </row>
    <row r="1335" spans="1:65" ht="15">
      <c r="A1335" s="25">
        <f>IFERROR(INDEX('Hun Demand'!W:W,MATCH(O1335,'Hun Demand'!A:A,0)),"")</f>
        <v>0</v>
      </c>
      <c r="B1335" s="25">
        <f>IFERROR(INDEX('Hun Demand'!V:V,MATCH(O1335,'Hun Demand'!A:A,0)),"")</f>
        <v>0</v>
      </c>
      <c r="C1335" s="25">
        <f>IFERROR(INDEX('Hun Demand'!U:U,MATCH(O1335,'Hun Demand'!A:A,0)),"")</f>
        <v>0</v>
      </c>
      <c r="D1335" s="25">
        <f>IFERROR(INDEX('Hun Demand'!T:T,MATCH(O1335,'Hun Demand'!A:A,0)),"")</f>
        <v>0</v>
      </c>
      <c r="E1335" s="25">
        <f>IFERROR(INDEX('Hun Demand'!S:S,MATCH(O1335,'Hun Demand'!A:A,0)),"")</f>
        <v>0</v>
      </c>
      <c r="F1335" s="25">
        <f>IFERROR(INDEX('Hun Demand'!R:R,MATCH(O1335,'Hun Demand'!A:A,0)),"")</f>
        <v>0</v>
      </c>
      <c r="G1335" s="25">
        <f>IFERROR(INDEX('Aub Demand'!W:W,MATCH(O1335,'Aub Demand'!A:A,0)),"")</f>
        <v>0</v>
      </c>
      <c r="H1335" s="25">
        <f>IFERROR(INDEX('Aub Demand'!V:V,MATCH(O1335,'Aub Demand'!A:A,0)),"")</f>
        <v>0</v>
      </c>
      <c r="I1335" s="25">
        <f>IFERROR(INDEX('Aub Demand'!U:U,MATCH(O1335,'Aub Demand'!A:A,0)),"")</f>
        <v>10</v>
      </c>
      <c r="J1335" s="25">
        <f>IFERROR(INDEX('Aub Demand'!T:T,MATCH(O1335,'Aub Demand'!A:A,0)),"")</f>
        <v>29</v>
      </c>
      <c r="K1335" s="25">
        <f>IFERROR(INDEX('Aub Demand'!S:S,MATCH(O1335,'Aub Demand'!A:A,0)),"")</f>
        <v>26</v>
      </c>
      <c r="L1335" s="25">
        <f>IFERROR(INDEX('Aub Demand'!R:R,MATCH(O1335,'Aub Demand'!A:A,0)),"")</f>
        <v>0</v>
      </c>
      <c r="O1335" s="27" t="s">
        <v>1655</v>
      </c>
      <c r="P1335" s="27" t="str">
        <f>IFERROR(INDEX('Aub Demand'!B:B,MATCH($O1335,'Aub Demand'!$A:$A,0)),"")</f>
        <v>SHAKER CHERRY</v>
      </c>
      <c r="Q1335" s="27" t="str">
        <f>IFERROR(INDEX('Aub Demand'!C:C,MATCH($O1335,'Aub Demand'!$A:$A,0)),"")</f>
        <v>TOPPA</v>
      </c>
      <c r="R1335" s="52">
        <f>IFERROR(IF(AR1336=AR1335,INDEX('Aub Demand'!K:K,MATCH($O1335,'Aub Demand'!$A:$A,0))-IF(AN1335="",0,AN1335)+AP1336,INDEX('Aub Demand'!K:K,MATCH($O1335,'Aub Demand'!$A:$A,0))-IF(AN1335="",0,AN1335)),"")</f>
        <v>1229</v>
      </c>
      <c r="S1335" s="53">
        <f t="shared" si="560"/>
        <v>239.4</v>
      </c>
      <c r="T1335" s="52" t="str">
        <f t="shared" si="561"/>
        <v/>
      </c>
      <c r="U1335" s="52">
        <f>IFERROR(IF(AR1336=AR1335,INDEX('Aub Demand'!Q:Q,MATCH($O1335,'Aub Demand'!$A:$A,0))-IF(AN1335="",0,AN1335)+AP1336,INDEX('Aub Demand'!Q:Q,MATCH($O1335,'Aub Demand'!$A:$A,0))-IF(AN1335="",0,AN1335)),"")</f>
        <v>1229</v>
      </c>
      <c r="V1335" s="53">
        <f t="shared" si="562"/>
        <v>239.4</v>
      </c>
      <c r="W1335" s="52" t="str">
        <f t="shared" si="563"/>
        <v/>
      </c>
      <c r="X1335" s="52">
        <f>IFERROR(IF(AND(AR1336=AR1335,AM1335&lt;&gt;""),INDEX('Aub Demand'!Q:Q,MATCH($O1335,'Aub Demand'!$A:$A,0))-IF(AN1335="",0,AN1335)+AP1336+AD1335+AL1335,IF(AR1336=AR1335,INDEX('Aub Demand'!Q:Q,MATCH($O1335,'Aub Demand'!$A:$A,0))-IF(AN1335="",0,AN1335)+AP1336+AD1335,IF(AM1335&lt;&gt;"",INDEX('Aub Demand'!Q:Q,MATCH($O1335,'Aub Demand'!$A:$A,0))-IF(AN1335="",0,AN1335)+AD1335+AL1335,INDEX('Aub Demand'!Q:Q,MATCH($O1335,'Aub Demand'!$A:$A,0))-IF(AN1335="",0,AN1335)+AD1335))),"")</f>
        <v>1229</v>
      </c>
      <c r="Y1335" s="53">
        <f t="shared" si="564"/>
        <v>239.4</v>
      </c>
      <c r="Z1335" s="52">
        <f>IF(L1335="","",INDEX('Aub Demand'!H:H,MATCH($O1335,'Aub Demand'!$A:$A,0)))</f>
        <v>22</v>
      </c>
      <c r="AA1335" s="52">
        <f t="shared" si="565"/>
        <v>27.5</v>
      </c>
      <c r="AB1335" s="52">
        <f>IFERROR(INDEX('Aub Demand'!L:L,MATCH($O1335,'Aub Demand'!$A:$A,0)),"")</f>
        <v>0</v>
      </c>
      <c r="AC1335" s="52">
        <f>IFERROR(IF(O1335="","",SUMIFS('CPL Mats'!F:F,'CPL Mats'!Q:Q,AR1335,'CPL Mats'!S:S,AS1335)),"")</f>
        <v>0</v>
      </c>
      <c r="AF1335" s="25" t="str">
        <f>IF(SUMIFS('Supp Consol'!S:S,'Supp Consol'!Y:Y,"Releasable",'Supp Consol'!A:A,O1335)=0,"",SUMIFS('Supp Consol'!S:S,'Supp Consol'!Y:Y,"Releasable",'Supp Consol'!A:A,O1335))</f>
        <v/>
      </c>
      <c r="AG1335" s="25">
        <f>IFERROR(INDEX('Hun Demand'!Q:Q,MATCH(O1335,'Hun Demand'!A:A,0)),"")</f>
        <v>168</v>
      </c>
      <c r="AH1335" s="25">
        <f>IFERROR(INDEX('Hun Demand'!H:H,MATCH($O1335,'Hun Demand'!$A:$A,0)),"")</f>
        <v>0</v>
      </c>
      <c r="AI1335" s="25" t="str">
        <f>IF(SUMIFS('Supp Consol'!AA:AA,'Supp Consol'!Z:Z,"Expires this month",'Supp Consol'!A:A,O1335)=0,"",SUMIFS('Supp Consol'!AA:AA,'Supp Consol'!Z:Z,"Expires this month",'Supp Consol'!A:A,O1335))</f>
        <v/>
      </c>
      <c r="AJ1335" s="25" t="str">
        <f>IF(SUMIFS('Supp Consol'!AA:AA,'Supp Consol'!Z:Z,"Expired Previous Months",'Supp Consol'!A:A,O1335)=0,"",SUMIFS('Supp Consol'!AA:AA,'Supp Consol'!Z:Z,"Expired Previous Months",'Supp Consol'!A:A,O1335))</f>
        <v/>
      </c>
      <c r="AK1335" s="25" t="str">
        <f>IFERROR(INDEX('Hun Release Current'!B:B,MATCH(O1335,'Hun Release Current'!A:A,0)),"")</f>
        <v/>
      </c>
      <c r="AL1335" s="25" t="str">
        <f>IF(SUMIF('Prev Aub'!A:A,O1335,'Prev Aub'!B:B)=0,"",SUMIF('Prev Aub'!A:A,O1335,'Prev Aub'!B:B))</f>
        <v/>
      </c>
      <c r="AN1335" s="25" t="s">
        <v>3790</v>
      </c>
      <c r="AO1335" s="25" t="s">
        <v>3790</v>
      </c>
      <c r="AP1335" s="25">
        <f t="shared" si="566"/>
        <v>0</v>
      </c>
      <c r="AQ1335" s="151" t="str">
        <f>IF(SUMIFS('Supp Consol'!S:S,'Supp Consol'!A:A,O1335,'Supp Consol'!I:I,"PENDING")=0,"",SUMIFS('Supp Consol'!S:S,'Supp Consol'!A:A,O1335,'Supp Consol'!I:I,"PENDING"))</f>
        <v/>
      </c>
      <c r="AR1335" s="27" t="str">
        <f t="shared" si="567"/>
        <v>WC521</v>
      </c>
      <c r="AS1335" s="27" t="str">
        <f t="shared" si="568"/>
        <v>62</v>
      </c>
      <c r="AT1335" s="27" t="str">
        <f t="shared" si="569"/>
        <v/>
      </c>
      <c r="AU1335" s="27" t="str">
        <f t="shared" si="570"/>
        <v/>
      </c>
      <c r="AV1335" s="27" t="str">
        <f t="shared" si="571"/>
        <v/>
      </c>
      <c r="AW1335" s="27" t="str">
        <f t="shared" si="572"/>
        <v/>
      </c>
      <c r="AX1335" s="27" t="str">
        <f t="shared" si="573"/>
        <v/>
      </c>
      <c r="AY1335" s="27" t="str">
        <f t="shared" si="574"/>
        <v>WC521</v>
      </c>
      <c r="AZ1335" s="27" t="str">
        <f t="shared" si="575"/>
        <v/>
      </c>
      <c r="BA1335" s="27" t="str">
        <f t="shared" si="576"/>
        <v>Hun</v>
      </c>
      <c r="BB1335" s="27" t="str">
        <f t="shared" si="577"/>
        <v>Gross</v>
      </c>
      <c r="BC1335" s="27" t="str">
        <f t="shared" si="578"/>
        <v>Net</v>
      </c>
      <c r="BD1335" s="27" t="str">
        <f t="shared" si="579"/>
        <v>Net</v>
      </c>
      <c r="BE1335" s="27" t="str">
        <f t="shared" si="580"/>
        <v/>
      </c>
      <c r="BF1335" s="27" t="str">
        <f t="shared" si="581"/>
        <v/>
      </c>
      <c r="BG1335" s="27" t="str">
        <f t="shared" si="582"/>
        <v/>
      </c>
      <c r="BH1335" s="27" t="str">
        <f t="shared" si="583"/>
        <v>H+N</v>
      </c>
      <c r="BI1335" s="27" t="str">
        <f t="shared" si="584"/>
        <v>H+Nex</v>
      </c>
      <c r="BJ1335" s="27" t="str">
        <f t="shared" si="585"/>
        <v>Supp or Hun</v>
      </c>
      <c r="BK1335" s="27" t="str">
        <f t="shared" si="586"/>
        <v>Supp or Hun Need</v>
      </c>
      <c r="BL1335" s="27" t="str">
        <f t="shared" si="587"/>
        <v>SorHandNandE</v>
      </c>
      <c r="BM1335" s="21" t="s">
        <v>5581</v>
      </c>
    </row>
    <row r="1336" spans="1:65" ht="15">
      <c r="A1336" s="25">
        <f>IFERROR(INDEX('Hun Demand'!W:W,MATCH(O1336,'Hun Demand'!A:A,0)),"")</f>
        <v>342</v>
      </c>
      <c r="B1336" s="25">
        <f>IFERROR(INDEX('Hun Demand'!V:V,MATCH(O1336,'Hun Demand'!A:A,0)),"")</f>
        <v>0</v>
      </c>
      <c r="C1336" s="25">
        <f>IFERROR(INDEX('Hun Demand'!U:U,MATCH(O1336,'Hun Demand'!A:A,0)),"")</f>
        <v>0</v>
      </c>
      <c r="D1336" s="25">
        <f>IFERROR(INDEX('Hun Demand'!T:T,MATCH(O1336,'Hun Demand'!A:A,0)),"")</f>
        <v>0</v>
      </c>
      <c r="E1336" s="25">
        <f>IFERROR(INDEX('Hun Demand'!S:S,MATCH(O1336,'Hun Demand'!A:A,0)),"")</f>
        <v>0</v>
      </c>
      <c r="F1336" s="25">
        <f>IFERROR(INDEX('Hun Demand'!R:R,MATCH(O1336,'Hun Demand'!A:A,0)),"")</f>
        <v>0</v>
      </c>
      <c r="G1336" s="25">
        <f>IFERROR(INDEX('Aub Demand'!W:W,MATCH(O1336,'Aub Demand'!A:A,0)),"")</f>
        <v>0</v>
      </c>
      <c r="H1336" s="25">
        <f>IFERROR(INDEX('Aub Demand'!V:V,MATCH(O1336,'Aub Demand'!A:A,0)),"")</f>
        <v>58</v>
      </c>
      <c r="I1336" s="25">
        <f>IFERROR(INDEX('Aub Demand'!U:U,MATCH(O1336,'Aub Demand'!A:A,0)),"")</f>
        <v>0</v>
      </c>
      <c r="J1336" s="25">
        <f>IFERROR(INDEX('Aub Demand'!T:T,MATCH(O1336,'Aub Demand'!A:A,0)),"")</f>
        <v>0</v>
      </c>
      <c r="K1336" s="25">
        <f>IFERROR(INDEX('Aub Demand'!S:S,MATCH(O1336,'Aub Demand'!A:A,0)),"")</f>
        <v>0</v>
      </c>
      <c r="L1336" s="25">
        <f>IFERROR(INDEX('Aub Demand'!R:R,MATCH(O1336,'Aub Demand'!A:A,0)),"")</f>
        <v>0</v>
      </c>
      <c r="O1336" s="27" t="s">
        <v>1656</v>
      </c>
      <c r="P1336" s="27" t="str">
        <f>IFERROR(INDEX('Aub Demand'!B:B,MATCH($O1336,'Aub Demand'!$A:$A,0)),"")</f>
        <v>COASTAL COTTAGE</v>
      </c>
      <c r="Q1336" s="27" t="str">
        <f>IFERROR(INDEX('Aub Demand'!C:C,MATCH($O1336,'Aub Demand'!$A:$A,0)),"")</f>
        <v>LAMIG</v>
      </c>
      <c r="R1336" s="52">
        <f>IFERROR(IF(AR1337=AR1336,INDEX('Aub Demand'!K:K,MATCH($O1336,'Aub Demand'!$A:$A,0))-IF(AN1336="",0,AN1336)+AP1337,INDEX('Aub Demand'!K:K,MATCH($O1336,'Aub Demand'!$A:$A,0))-IF(AN1336="",0,AN1336)),"")</f>
        <v>2954</v>
      </c>
      <c r="S1336" s="53" t="str">
        <f t="shared" si="560"/>
        <v>n/a</v>
      </c>
      <c r="T1336" s="52" t="str">
        <f t="shared" si="561"/>
        <v/>
      </c>
      <c r="U1336" s="52">
        <f>IFERROR(IF(AR1337=AR1336,INDEX('Aub Demand'!Q:Q,MATCH($O1336,'Aub Demand'!$A:$A,0))-IF(AN1336="",0,AN1336)+AP1337,INDEX('Aub Demand'!Q:Q,MATCH($O1336,'Aub Demand'!$A:$A,0))-IF(AN1336="",0,AN1336)),"")</f>
        <v>2948</v>
      </c>
      <c r="V1336" s="53" t="str">
        <f t="shared" si="562"/>
        <v>n/a</v>
      </c>
      <c r="W1336" s="52" t="str">
        <f t="shared" si="563"/>
        <v/>
      </c>
      <c r="X1336" s="52">
        <f>IFERROR(IF(AND(AR1337=AR1336,AM1336&lt;&gt;""),INDEX('Aub Demand'!Q:Q,MATCH($O1336,'Aub Demand'!$A:$A,0))-IF(AN1336="",0,AN1336)+AP1337+AD1336+AL1336,IF(AR1337=AR1336,INDEX('Aub Demand'!Q:Q,MATCH($O1336,'Aub Demand'!$A:$A,0))-IF(AN1336="",0,AN1336)+AP1337+AD1336,IF(AM1336&lt;&gt;"",INDEX('Aub Demand'!Q:Q,MATCH($O1336,'Aub Demand'!$A:$A,0))-IF(AN1336="",0,AN1336)+AD1336+AL1336,INDEX('Aub Demand'!Q:Q,MATCH($O1336,'Aub Demand'!$A:$A,0))-IF(AN1336="",0,AN1336)+AD1336))),"")</f>
        <v>2948</v>
      </c>
      <c r="Y1336" s="53" t="str">
        <f t="shared" si="564"/>
        <v>n/a</v>
      </c>
      <c r="Z1336" s="52">
        <f>IF(L1336="","",INDEX('Aub Demand'!H:H,MATCH($O1336,'Aub Demand'!$A:$A,0)))</f>
        <v>0</v>
      </c>
      <c r="AA1336" s="52" t="str">
        <f t="shared" si="565"/>
        <v>-spike-</v>
      </c>
      <c r="AB1336" s="52">
        <f>IFERROR(INDEX('Aub Demand'!L:L,MATCH($O1336,'Aub Demand'!$A:$A,0)),"")</f>
        <v>46</v>
      </c>
      <c r="AC1336" s="52">
        <f>IFERROR(IF(O1336="","",SUMIFS('CPL Mats'!F:F,'CPL Mats'!Q:Q,AR1336,'CPL Mats'!S:S,AS1336)),"")</f>
        <v>0</v>
      </c>
      <c r="AF1336" s="25" t="str">
        <f>IF(SUMIFS('Supp Consol'!S:S,'Supp Consol'!Y:Y,"Releasable",'Supp Consol'!A:A,O1336)=0,"",SUMIFS('Supp Consol'!S:S,'Supp Consol'!Y:Y,"Releasable",'Supp Consol'!A:A,O1336))</f>
        <v/>
      </c>
      <c r="AG1336" s="25">
        <f>IFERROR(INDEX('Hun Demand'!Q:Q,MATCH(O1336,'Hun Demand'!A:A,0)),"")</f>
        <v>302</v>
      </c>
      <c r="AH1336" s="25">
        <f>IFERROR(INDEX('Hun Demand'!H:H,MATCH($O1336,'Hun Demand'!$A:$A,0)),"")</f>
        <v>0</v>
      </c>
      <c r="AI1336" s="25" t="str">
        <f>IF(SUMIFS('Supp Consol'!AA:AA,'Supp Consol'!Z:Z,"Expires this month",'Supp Consol'!A:A,O1336)=0,"",SUMIFS('Supp Consol'!AA:AA,'Supp Consol'!Z:Z,"Expires this month",'Supp Consol'!A:A,O1336))</f>
        <v/>
      </c>
      <c r="AJ1336" s="25" t="str">
        <f>IF(SUMIFS('Supp Consol'!AA:AA,'Supp Consol'!Z:Z,"Expired Previous Months",'Supp Consol'!A:A,O1336)=0,"",SUMIFS('Supp Consol'!AA:AA,'Supp Consol'!Z:Z,"Expired Previous Months",'Supp Consol'!A:A,O1336))</f>
        <v/>
      </c>
      <c r="AK1336" s="25" t="str">
        <f>IFERROR(INDEX('Hun Release Current'!B:B,MATCH(O1336,'Hun Release Current'!A:A,0)),"")</f>
        <v/>
      </c>
      <c r="AL1336" s="25" t="str">
        <f>IF(SUMIF('Prev Aub'!A:A,O1336,'Prev Aub'!B:B)=0,"",SUMIF('Prev Aub'!A:A,O1336,'Prev Aub'!B:B))</f>
        <v/>
      </c>
      <c r="AN1336" s="25" t="s">
        <v>3790</v>
      </c>
      <c r="AO1336" s="25" t="s">
        <v>3790</v>
      </c>
      <c r="AP1336" s="25">
        <f t="shared" si="566"/>
        <v>0</v>
      </c>
      <c r="AQ1336" s="151" t="str">
        <f>IF(SUMIFS('Supp Consol'!S:S,'Supp Consol'!A:A,O1336,'Supp Consol'!I:I,"PENDING")=0,"",SUMIFS('Supp Consol'!S:S,'Supp Consol'!A:A,O1336,'Supp Consol'!I:I,"PENDING"))</f>
        <v/>
      </c>
      <c r="AR1336" s="27" t="str">
        <f t="shared" si="567"/>
        <v>WC652</v>
      </c>
      <c r="AS1336" s="27" t="str">
        <f t="shared" si="568"/>
        <v>50</v>
      </c>
      <c r="AT1336" s="27" t="str">
        <f t="shared" si="569"/>
        <v/>
      </c>
      <c r="AU1336" s="27" t="str">
        <f t="shared" si="570"/>
        <v/>
      </c>
      <c r="AV1336" s="27" t="str">
        <f t="shared" si="571"/>
        <v/>
      </c>
      <c r="AW1336" s="27" t="str">
        <f t="shared" si="572"/>
        <v/>
      </c>
      <c r="AX1336" s="27" t="str">
        <f t="shared" si="573"/>
        <v/>
      </c>
      <c r="AY1336" s="27" t="str">
        <f t="shared" si="574"/>
        <v>WC652</v>
      </c>
      <c r="AZ1336" s="27" t="str">
        <f t="shared" si="575"/>
        <v/>
      </c>
      <c r="BA1336" s="27" t="str">
        <f t="shared" si="576"/>
        <v>Hun</v>
      </c>
      <c r="BB1336" s="27" t="str">
        <f t="shared" si="577"/>
        <v/>
      </c>
      <c r="BC1336" s="27" t="str">
        <f t="shared" si="578"/>
        <v/>
      </c>
      <c r="BD1336" s="27" t="str">
        <f t="shared" si="579"/>
        <v/>
      </c>
      <c r="BE1336" s="27" t="str">
        <f t="shared" si="580"/>
        <v/>
      </c>
      <c r="BF1336" s="27" t="str">
        <f t="shared" si="581"/>
        <v/>
      </c>
      <c r="BG1336" s="27" t="str">
        <f t="shared" si="582"/>
        <v/>
      </c>
      <c r="BH1336" s="27" t="str">
        <f t="shared" si="583"/>
        <v/>
      </c>
      <c r="BI1336" s="27" t="str">
        <f t="shared" si="584"/>
        <v/>
      </c>
      <c r="BJ1336" s="27" t="str">
        <f t="shared" si="585"/>
        <v>Supp or Hun</v>
      </c>
      <c r="BK1336" s="27" t="str">
        <f t="shared" si="586"/>
        <v/>
      </c>
      <c r="BL1336" s="27" t="str">
        <f t="shared" si="587"/>
        <v/>
      </c>
      <c r="BM1336" s="21" t="s">
        <v>5581</v>
      </c>
    </row>
    <row r="1337" spans="1:65" ht="15">
      <c r="A1337" s="25">
        <f>IFERROR(INDEX('Hun Demand'!W:W,MATCH(O1337,'Hun Demand'!A:A,0)),"")</f>
        <v>0</v>
      </c>
      <c r="B1337" s="25">
        <f>IFERROR(INDEX('Hun Demand'!V:V,MATCH(O1337,'Hun Demand'!A:A,0)),"")</f>
        <v>176</v>
      </c>
      <c r="C1337" s="25">
        <f>IFERROR(INDEX('Hun Demand'!U:U,MATCH(O1337,'Hun Demand'!A:A,0)),"")</f>
        <v>0</v>
      </c>
      <c r="D1337" s="25">
        <f>IFERROR(INDEX('Hun Demand'!T:T,MATCH(O1337,'Hun Demand'!A:A,0)),"")</f>
        <v>0</v>
      </c>
      <c r="E1337" s="25">
        <f>IFERROR(INDEX('Hun Demand'!S:S,MATCH(O1337,'Hun Demand'!A:A,0)),"")</f>
        <v>0</v>
      </c>
      <c r="F1337" s="25">
        <f>IFERROR(INDEX('Hun Demand'!R:R,MATCH(O1337,'Hun Demand'!A:A,0)),"")</f>
        <v>0</v>
      </c>
      <c r="G1337" s="25">
        <f>IFERROR(INDEX('Aub Demand'!W:W,MATCH(O1337,'Aub Demand'!A:A,0)),"")</f>
        <v>0</v>
      </c>
      <c r="H1337" s="25">
        <f>IFERROR(INDEX('Aub Demand'!V:V,MATCH(O1337,'Aub Demand'!A:A,0)),"")</f>
        <v>0</v>
      </c>
      <c r="I1337" s="25">
        <f>IFERROR(INDEX('Aub Demand'!U:U,MATCH(O1337,'Aub Demand'!A:A,0)),"")</f>
        <v>0</v>
      </c>
      <c r="J1337" s="25">
        <f>IFERROR(INDEX('Aub Demand'!T:T,MATCH(O1337,'Aub Demand'!A:A,0)),"")</f>
        <v>0</v>
      </c>
      <c r="K1337" s="25">
        <f>IFERROR(INDEX('Aub Demand'!S:S,MATCH(O1337,'Aub Demand'!A:A,0)),"")</f>
        <v>0</v>
      </c>
      <c r="L1337" s="25">
        <f>IFERROR(INDEX('Aub Demand'!R:R,MATCH(O1337,'Aub Demand'!A:A,0)),"")</f>
        <v>0</v>
      </c>
      <c r="O1337" s="27" t="s">
        <v>1658</v>
      </c>
      <c r="P1337" s="27" t="str">
        <f>IFERROR(INDEX('Aub Demand'!B:B,MATCH($O1337,'Aub Demand'!$A:$A,0)),"")</f>
        <v>COASTAL COTTAGE</v>
      </c>
      <c r="Q1337" s="27" t="str">
        <f>IFERROR(INDEX('Aub Demand'!C:C,MATCH($O1337,'Aub Demand'!$A:$A,0)),"")</f>
        <v>LAMIG</v>
      </c>
      <c r="R1337" s="52">
        <f>IFERROR(IF(AR1338=AR1337,INDEX('Aub Demand'!K:K,MATCH($O1337,'Aub Demand'!$A:$A,0))-IF(AN1337="",0,AN1337)+AP1338,INDEX('Aub Demand'!K:K,MATCH($O1337,'Aub Demand'!$A:$A,0))-IF(AN1337="",0,AN1337)),"")</f>
        <v>3589</v>
      </c>
      <c r="S1337" s="53" t="str">
        <f t="shared" si="560"/>
        <v>n/a</v>
      </c>
      <c r="T1337" s="52" t="str">
        <f t="shared" si="561"/>
        <v/>
      </c>
      <c r="U1337" s="52">
        <f>IFERROR(IF(AR1338=AR1337,INDEX('Aub Demand'!Q:Q,MATCH($O1337,'Aub Demand'!$A:$A,0))-IF(AN1337="",0,AN1337)+AP1338,INDEX('Aub Demand'!Q:Q,MATCH($O1337,'Aub Demand'!$A:$A,0))-IF(AN1337="",0,AN1337)),"")</f>
        <v>3587</v>
      </c>
      <c r="V1337" s="53" t="str">
        <f t="shared" si="562"/>
        <v>n/a</v>
      </c>
      <c r="W1337" s="52" t="str">
        <f t="shared" si="563"/>
        <v/>
      </c>
      <c r="X1337" s="52">
        <f>IFERROR(IF(AND(AR1338=AR1337,AM1337&lt;&gt;""),INDEX('Aub Demand'!Q:Q,MATCH($O1337,'Aub Demand'!$A:$A,0))-IF(AN1337="",0,AN1337)+AP1338+AD1337+AL1337,IF(AR1338=AR1337,INDEX('Aub Demand'!Q:Q,MATCH($O1337,'Aub Demand'!$A:$A,0))-IF(AN1337="",0,AN1337)+AP1338+AD1337,IF(AM1337&lt;&gt;"",INDEX('Aub Demand'!Q:Q,MATCH($O1337,'Aub Demand'!$A:$A,0))-IF(AN1337="",0,AN1337)+AD1337+AL1337,INDEX('Aub Demand'!Q:Q,MATCH($O1337,'Aub Demand'!$A:$A,0))-IF(AN1337="",0,AN1337)+AD1337))),"")</f>
        <v>3587</v>
      </c>
      <c r="Y1337" s="53" t="str">
        <f t="shared" si="564"/>
        <v>n/a</v>
      </c>
      <c r="Z1337" s="52">
        <f>IF(L1337="","",INDEX('Aub Demand'!H:H,MATCH($O1337,'Aub Demand'!$A:$A,0)))</f>
        <v>0</v>
      </c>
      <c r="AA1337" s="52" t="str">
        <f t="shared" si="565"/>
        <v>-spike-</v>
      </c>
      <c r="AB1337" s="52">
        <f>IFERROR(INDEX('Aub Demand'!L:L,MATCH($O1337,'Aub Demand'!$A:$A,0)),"")</f>
        <v>75</v>
      </c>
      <c r="AC1337" s="52">
        <f>IFERROR(IF(O1337="","",SUMIFS('CPL Mats'!F:F,'CPL Mats'!Q:Q,AR1337,'CPL Mats'!S:S,AS1337)),"")</f>
        <v>0</v>
      </c>
      <c r="AF1337" s="25" t="str">
        <f>IF(SUMIFS('Supp Consol'!S:S,'Supp Consol'!Y:Y,"Releasable",'Supp Consol'!A:A,O1337)=0,"",SUMIFS('Supp Consol'!S:S,'Supp Consol'!Y:Y,"Releasable",'Supp Consol'!A:A,O1337))</f>
        <v/>
      </c>
      <c r="AG1337" s="25">
        <f>IFERROR(INDEX('Hun Demand'!Q:Q,MATCH(O1337,'Hun Demand'!A:A,0)),"")</f>
        <v>784</v>
      </c>
      <c r="AH1337" s="25">
        <f>IFERROR(INDEX('Hun Demand'!H:H,MATCH($O1337,'Hun Demand'!$A:$A,0)),"")</f>
        <v>0</v>
      </c>
      <c r="AI1337" s="25" t="str">
        <f>IF(SUMIFS('Supp Consol'!AA:AA,'Supp Consol'!Z:Z,"Expires this month",'Supp Consol'!A:A,O1337)=0,"",SUMIFS('Supp Consol'!AA:AA,'Supp Consol'!Z:Z,"Expires this month",'Supp Consol'!A:A,O1337))</f>
        <v/>
      </c>
      <c r="AJ1337" s="25" t="str">
        <f>IF(SUMIFS('Supp Consol'!AA:AA,'Supp Consol'!Z:Z,"Expired Previous Months",'Supp Consol'!A:A,O1337)=0,"",SUMIFS('Supp Consol'!AA:AA,'Supp Consol'!Z:Z,"Expired Previous Months",'Supp Consol'!A:A,O1337))</f>
        <v/>
      </c>
      <c r="AK1337" s="25" t="str">
        <f>IFERROR(INDEX('Hun Release Current'!B:B,MATCH(O1337,'Hun Release Current'!A:A,0)),"")</f>
        <v/>
      </c>
      <c r="AL1337" s="25" t="str">
        <f>IF(SUMIF('Prev Aub'!A:A,O1337,'Prev Aub'!B:B)=0,"",SUMIF('Prev Aub'!A:A,O1337,'Prev Aub'!B:B))</f>
        <v/>
      </c>
      <c r="AN1337" s="25" t="s">
        <v>3790</v>
      </c>
      <c r="AO1337" s="25" t="s">
        <v>3790</v>
      </c>
      <c r="AP1337" s="25">
        <f t="shared" si="566"/>
        <v>0</v>
      </c>
      <c r="AQ1337" s="151" t="str">
        <f>IF(SUMIFS('Supp Consol'!S:S,'Supp Consol'!A:A,O1337,'Supp Consol'!I:I,"PENDING")=0,"",SUMIFS('Supp Consol'!S:S,'Supp Consol'!A:A,O1337,'Supp Consol'!I:I,"PENDING"))</f>
        <v/>
      </c>
      <c r="AR1337" s="27" t="str">
        <f t="shared" si="567"/>
        <v>WC652</v>
      </c>
      <c r="AS1337" s="27" t="str">
        <f t="shared" si="568"/>
        <v>62</v>
      </c>
      <c r="AT1337" s="27" t="str">
        <f t="shared" si="569"/>
        <v/>
      </c>
      <c r="AU1337" s="27" t="str">
        <f t="shared" si="570"/>
        <v/>
      </c>
      <c r="AV1337" s="27" t="str">
        <f t="shared" si="571"/>
        <v/>
      </c>
      <c r="AW1337" s="27" t="str">
        <f t="shared" si="572"/>
        <v/>
      </c>
      <c r="AX1337" s="27" t="str">
        <f t="shared" si="573"/>
        <v/>
      </c>
      <c r="AY1337" s="27" t="str">
        <f t="shared" si="574"/>
        <v>WC652</v>
      </c>
      <c r="AZ1337" s="27" t="str">
        <f t="shared" si="575"/>
        <v/>
      </c>
      <c r="BA1337" s="27" t="str">
        <f t="shared" si="576"/>
        <v>Hun</v>
      </c>
      <c r="BB1337" s="27" t="str">
        <f t="shared" si="577"/>
        <v/>
      </c>
      <c r="BC1337" s="27" t="str">
        <f t="shared" si="578"/>
        <v/>
      </c>
      <c r="BD1337" s="27" t="str">
        <f t="shared" si="579"/>
        <v/>
      </c>
      <c r="BE1337" s="27" t="str">
        <f t="shared" si="580"/>
        <v/>
      </c>
      <c r="BF1337" s="27" t="str">
        <f t="shared" si="581"/>
        <v/>
      </c>
      <c r="BG1337" s="27" t="str">
        <f t="shared" si="582"/>
        <v/>
      </c>
      <c r="BH1337" s="27" t="str">
        <f t="shared" si="583"/>
        <v/>
      </c>
      <c r="BI1337" s="27" t="str">
        <f t="shared" si="584"/>
        <v/>
      </c>
      <c r="BJ1337" s="27" t="str">
        <f t="shared" si="585"/>
        <v>Supp or Hun</v>
      </c>
      <c r="BK1337" s="27" t="str">
        <f t="shared" si="586"/>
        <v/>
      </c>
      <c r="BL1337" s="27" t="str">
        <f t="shared" si="587"/>
        <v/>
      </c>
      <c r="BM1337" s="21" t="s">
        <v>5581</v>
      </c>
    </row>
    <row r="1338" spans="1:65" ht="15">
      <c r="A1338" s="25" t="str">
        <f>IFERROR(INDEX('Hun Demand'!W:W,MATCH(O1338,'Hun Demand'!A:A,0)),"")</f>
        <v/>
      </c>
      <c r="B1338" s="25" t="str">
        <f>IFERROR(INDEX('Hun Demand'!V:V,MATCH(O1338,'Hun Demand'!A:A,0)),"")</f>
        <v/>
      </c>
      <c r="C1338" s="25" t="str">
        <f>IFERROR(INDEX('Hun Demand'!U:U,MATCH(O1338,'Hun Demand'!A:A,0)),"")</f>
        <v/>
      </c>
      <c r="D1338" s="25" t="str">
        <f>IFERROR(INDEX('Hun Demand'!T:T,MATCH(O1338,'Hun Demand'!A:A,0)),"")</f>
        <v/>
      </c>
      <c r="E1338" s="25" t="str">
        <f>IFERROR(INDEX('Hun Demand'!S:S,MATCH(O1338,'Hun Demand'!A:A,0)),"")</f>
        <v/>
      </c>
      <c r="F1338" s="25" t="str">
        <f>IFERROR(INDEX('Hun Demand'!R:R,MATCH(O1338,'Hun Demand'!A:A,0)),"")</f>
        <v/>
      </c>
      <c r="G1338" s="25">
        <f>IFERROR(INDEX('Aub Demand'!W:W,MATCH(O1338,'Aub Demand'!A:A,0)),"")</f>
        <v>0</v>
      </c>
      <c r="H1338" s="25">
        <f>IFERROR(INDEX('Aub Demand'!V:V,MATCH(O1338,'Aub Demand'!A:A,0)),"")</f>
        <v>0</v>
      </c>
      <c r="I1338" s="25">
        <f>IFERROR(INDEX('Aub Demand'!U:U,MATCH(O1338,'Aub Demand'!A:A,0)),"")</f>
        <v>0</v>
      </c>
      <c r="J1338" s="25">
        <f>IFERROR(INDEX('Aub Demand'!T:T,MATCH(O1338,'Aub Demand'!A:A,0)),"")</f>
        <v>0</v>
      </c>
      <c r="K1338" s="25">
        <f>IFERROR(INDEX('Aub Demand'!S:S,MATCH(O1338,'Aub Demand'!A:A,0)),"")</f>
        <v>0</v>
      </c>
      <c r="L1338" s="25">
        <f>IFERROR(INDEX('Aub Demand'!R:R,MATCH(O1338,'Aub Demand'!A:A,0)),"")</f>
        <v>0</v>
      </c>
      <c r="O1338" s="27" t="s">
        <v>2943</v>
      </c>
      <c r="P1338" s="27" t="str">
        <f>IFERROR(INDEX('Aub Demand'!B:B,MATCH($O1338,'Aub Demand'!$A:$A,0)),"")</f>
        <v>KENTUCKY KRAFTWOOD 5</v>
      </c>
      <c r="Q1338" s="27" t="str">
        <f>IFERROR(INDEX('Aub Demand'!C:C,MATCH($O1338,'Aub Demand'!$A:$A,0)),"")</f>
        <v>TOPPA</v>
      </c>
      <c r="R1338" s="52">
        <f>IFERROR(IF(AR1339=AR1338,INDEX('Aub Demand'!K:K,MATCH($O1338,'Aub Demand'!$A:$A,0))-IF(AN1338="",0,AN1338)+AP1339,INDEX('Aub Demand'!K:K,MATCH($O1338,'Aub Demand'!$A:$A,0))-IF(AN1338="",0,AN1338)),"")</f>
        <v>7841</v>
      </c>
      <c r="S1338" s="53" t="str">
        <f t="shared" si="560"/>
        <v>n/a</v>
      </c>
      <c r="T1338" s="52" t="str">
        <f t="shared" si="561"/>
        <v/>
      </c>
      <c r="U1338" s="52">
        <f>IFERROR(IF(AR1339=AR1338,INDEX('Aub Demand'!Q:Q,MATCH($O1338,'Aub Demand'!$A:$A,0))-IF(AN1338="",0,AN1338)+AP1339,INDEX('Aub Demand'!Q:Q,MATCH($O1338,'Aub Demand'!$A:$A,0))-IF(AN1338="",0,AN1338)),"")</f>
        <v>7841</v>
      </c>
      <c r="V1338" s="53" t="str">
        <f t="shared" si="562"/>
        <v>n/a</v>
      </c>
      <c r="W1338" s="52" t="str">
        <f t="shared" si="563"/>
        <v/>
      </c>
      <c r="X1338" s="52">
        <f>IFERROR(IF(AND(AR1339=AR1338,AM1338&lt;&gt;""),INDEX('Aub Demand'!Q:Q,MATCH($O1338,'Aub Demand'!$A:$A,0))-IF(AN1338="",0,AN1338)+AP1339+AD1338+AL1338,IF(AR1339=AR1338,INDEX('Aub Demand'!Q:Q,MATCH($O1338,'Aub Demand'!$A:$A,0))-IF(AN1338="",0,AN1338)+AP1339+AD1338,IF(AM1338&lt;&gt;"",INDEX('Aub Demand'!Q:Q,MATCH($O1338,'Aub Demand'!$A:$A,0))-IF(AN1338="",0,AN1338)+AD1338+AL1338,INDEX('Aub Demand'!Q:Q,MATCH($O1338,'Aub Demand'!$A:$A,0))-IF(AN1338="",0,AN1338)+AD1338))),"")</f>
        <v>7841</v>
      </c>
      <c r="Y1338" s="53" t="str">
        <f t="shared" si="564"/>
        <v>n/a</v>
      </c>
      <c r="Z1338" s="52">
        <f>IF(L1338="","",INDEX('Aub Demand'!H:H,MATCH($O1338,'Aub Demand'!$A:$A,0)))</f>
        <v>0</v>
      </c>
      <c r="AA1338" s="52" t="str">
        <f t="shared" si="565"/>
        <v>-spike-</v>
      </c>
      <c r="AB1338" s="52">
        <f>IFERROR(INDEX('Aub Demand'!L:L,MATCH($O1338,'Aub Demand'!$A:$A,0)),"")</f>
        <v>34</v>
      </c>
      <c r="AC1338" s="52">
        <f>IFERROR(IF(O1338="","",SUMIFS('CPL Mats'!F:F,'CPL Mats'!Q:Q,AR1338,'CPL Mats'!S:S,AS1338)),"")</f>
        <v>0</v>
      </c>
      <c r="AF1338" s="25" t="str">
        <f>IF(SUMIFS('Supp Consol'!S:S,'Supp Consol'!Y:Y,"Releasable",'Supp Consol'!A:A,O1338)=0,"",SUMIFS('Supp Consol'!S:S,'Supp Consol'!Y:Y,"Releasable",'Supp Consol'!A:A,O1338))</f>
        <v/>
      </c>
      <c r="AG1338" s="25" t="str">
        <f>IFERROR(INDEX('Hun Demand'!Q:Q,MATCH(O1338,'Hun Demand'!A:A,0)),"")</f>
        <v/>
      </c>
      <c r="AH1338" s="25" t="str">
        <f>IFERROR(INDEX('Hun Demand'!H:H,MATCH($O1338,'Hun Demand'!$A:$A,0)),"")</f>
        <v/>
      </c>
      <c r="AI1338" s="25" t="str">
        <f>IF(SUMIFS('Supp Consol'!AA:AA,'Supp Consol'!Z:Z,"Expires this month",'Supp Consol'!A:A,O1338)=0,"",SUMIFS('Supp Consol'!AA:AA,'Supp Consol'!Z:Z,"Expires this month",'Supp Consol'!A:A,O1338))</f>
        <v/>
      </c>
      <c r="AJ1338" s="25" t="str">
        <f>IF(SUMIFS('Supp Consol'!AA:AA,'Supp Consol'!Z:Z,"Expired Previous Months",'Supp Consol'!A:A,O1338)=0,"",SUMIFS('Supp Consol'!AA:AA,'Supp Consol'!Z:Z,"Expired Previous Months",'Supp Consol'!A:A,O1338))</f>
        <v/>
      </c>
      <c r="AK1338" s="25" t="str">
        <f>IFERROR(INDEX('Hun Release Current'!B:B,MATCH(O1338,'Hun Release Current'!A:A,0)),"")</f>
        <v/>
      </c>
      <c r="AL1338" s="25" t="str">
        <f>IF(SUMIF('Prev Aub'!A:A,O1338,'Prev Aub'!B:B)=0,"",SUMIF('Prev Aub'!A:A,O1338,'Prev Aub'!B:B))</f>
        <v/>
      </c>
      <c r="AN1338" s="25" t="s">
        <v>3790</v>
      </c>
      <c r="AO1338" s="25" t="s">
        <v>3790</v>
      </c>
      <c r="AP1338" s="25">
        <f t="shared" si="566"/>
        <v>0</v>
      </c>
      <c r="AQ1338" s="151" t="str">
        <f>IF(SUMIFS('Supp Consol'!S:S,'Supp Consol'!A:A,O1338,'Supp Consol'!I:I,"PENDING")=0,"",SUMIFS('Supp Consol'!S:S,'Supp Consol'!A:A,O1338,'Supp Consol'!I:I,"PENDING"))</f>
        <v/>
      </c>
      <c r="AR1338" s="27" t="str">
        <f t="shared" si="567"/>
        <v>WD001</v>
      </c>
      <c r="AS1338" s="27" t="str">
        <f t="shared" si="568"/>
        <v>50</v>
      </c>
      <c r="AT1338" s="27" t="str">
        <f t="shared" si="569"/>
        <v/>
      </c>
      <c r="AU1338" s="27" t="str">
        <f t="shared" si="570"/>
        <v/>
      </c>
      <c r="AV1338" s="27" t="str">
        <f t="shared" si="571"/>
        <v/>
      </c>
      <c r="AW1338" s="27" t="str">
        <f t="shared" si="572"/>
        <v/>
      </c>
      <c r="AX1338" s="27" t="str">
        <f t="shared" si="573"/>
        <v/>
      </c>
      <c r="AY1338" s="27" t="str">
        <f t="shared" si="574"/>
        <v/>
      </c>
      <c r="AZ1338" s="27" t="str">
        <f t="shared" si="575"/>
        <v/>
      </c>
      <c r="BA1338" s="27" t="str">
        <f t="shared" si="576"/>
        <v/>
      </c>
      <c r="BB1338" s="27" t="str">
        <f t="shared" si="577"/>
        <v/>
      </c>
      <c r="BC1338" s="27" t="str">
        <f t="shared" si="578"/>
        <v/>
      </c>
      <c r="BD1338" s="27" t="str">
        <f t="shared" si="579"/>
        <v/>
      </c>
      <c r="BE1338" s="27" t="str">
        <f t="shared" si="580"/>
        <v/>
      </c>
      <c r="BF1338" s="27" t="str">
        <f t="shared" si="581"/>
        <v/>
      </c>
      <c r="BG1338" s="27" t="str">
        <f t="shared" si="582"/>
        <v/>
      </c>
      <c r="BH1338" s="27" t="str">
        <f t="shared" si="583"/>
        <v/>
      </c>
      <c r="BI1338" s="27" t="str">
        <f t="shared" si="584"/>
        <v/>
      </c>
      <c r="BJ1338" s="27" t="str">
        <f t="shared" si="585"/>
        <v/>
      </c>
      <c r="BK1338" s="27" t="str">
        <f t="shared" si="586"/>
        <v/>
      </c>
      <c r="BL1338" s="27" t="str">
        <f t="shared" si="587"/>
        <v/>
      </c>
      <c r="BM1338" s="21" t="s">
        <v>3790</v>
      </c>
    </row>
    <row r="1339" spans="1:65" ht="15">
      <c r="A1339" s="25" t="str">
        <f>IFERROR(INDEX('Hun Demand'!W:W,MATCH(O1339,'Hun Demand'!A:A,0)),"")</f>
        <v/>
      </c>
      <c r="B1339" s="25" t="str">
        <f>IFERROR(INDEX('Hun Demand'!V:V,MATCH(O1339,'Hun Demand'!A:A,0)),"")</f>
        <v/>
      </c>
      <c r="C1339" s="25" t="str">
        <f>IFERROR(INDEX('Hun Demand'!U:U,MATCH(O1339,'Hun Demand'!A:A,0)),"")</f>
        <v/>
      </c>
      <c r="D1339" s="25" t="str">
        <f>IFERROR(INDEX('Hun Demand'!T:T,MATCH(O1339,'Hun Demand'!A:A,0)),"")</f>
        <v/>
      </c>
      <c r="E1339" s="25" t="str">
        <f>IFERROR(INDEX('Hun Demand'!S:S,MATCH(O1339,'Hun Demand'!A:A,0)),"")</f>
        <v/>
      </c>
      <c r="F1339" s="25" t="str">
        <f>IFERROR(INDEX('Hun Demand'!R:R,MATCH(O1339,'Hun Demand'!A:A,0)),"")</f>
        <v/>
      </c>
      <c r="G1339" s="25">
        <f>IFERROR(INDEX('Aub Demand'!W:W,MATCH(O1339,'Aub Demand'!A:A,0)),"")</f>
        <v>6</v>
      </c>
      <c r="H1339" s="25">
        <f>IFERROR(INDEX('Aub Demand'!V:V,MATCH(O1339,'Aub Demand'!A:A,0)),"")</f>
        <v>0</v>
      </c>
      <c r="I1339" s="25">
        <f>IFERROR(INDEX('Aub Demand'!U:U,MATCH(O1339,'Aub Demand'!A:A,0)),"")</f>
        <v>0</v>
      </c>
      <c r="J1339" s="25">
        <f>IFERROR(INDEX('Aub Demand'!T:T,MATCH(O1339,'Aub Demand'!A:A,0)),"")</f>
        <v>0</v>
      </c>
      <c r="K1339" s="25">
        <f>IFERROR(INDEX('Aub Demand'!S:S,MATCH(O1339,'Aub Demand'!A:A,0)),"")</f>
        <v>0</v>
      </c>
      <c r="L1339" s="25">
        <f>IFERROR(INDEX('Aub Demand'!R:R,MATCH(O1339,'Aub Demand'!A:A,0)),"")</f>
        <v>0</v>
      </c>
      <c r="O1339" s="27" t="s">
        <v>1659</v>
      </c>
      <c r="P1339" s="27" t="str">
        <f>IFERROR(INDEX('Aub Demand'!B:B,MATCH($O1339,'Aub Demand'!$A:$A,0)),"")</f>
        <v>ASCOT ELM (LEFT C/D)</v>
      </c>
      <c r="Q1339" s="27" t="str">
        <f>IFERROR(INDEX('Aub Demand'!C:C,MATCH($O1339,'Aub Demand'!$A:$A,0)),"")</f>
        <v>TOPPA</v>
      </c>
      <c r="R1339" s="52">
        <f>IFERROR(IF(AR1340=AR1339,INDEX('Aub Demand'!K:K,MATCH($O1339,'Aub Demand'!$A:$A,0))-IF(AN1339="",0,AN1339)+AP1340,INDEX('Aub Demand'!K:K,MATCH($O1339,'Aub Demand'!$A:$A,0))-IF(AN1339="",0,AN1339)),"")</f>
        <v>34</v>
      </c>
      <c r="S1339" s="53" t="str">
        <f t="shared" si="560"/>
        <v>n/a</v>
      </c>
      <c r="T1339" s="52" t="str">
        <f t="shared" si="561"/>
        <v/>
      </c>
      <c r="U1339" s="52">
        <f>IFERROR(IF(AR1340=AR1339,INDEX('Aub Demand'!Q:Q,MATCH($O1339,'Aub Demand'!$A:$A,0))-IF(AN1339="",0,AN1339)+AP1340,INDEX('Aub Demand'!Q:Q,MATCH($O1339,'Aub Demand'!$A:$A,0))-IF(AN1339="",0,AN1339)),"")</f>
        <v>34</v>
      </c>
      <c r="V1339" s="53" t="str">
        <f t="shared" si="562"/>
        <v>n/a</v>
      </c>
      <c r="W1339" s="52" t="str">
        <f t="shared" si="563"/>
        <v/>
      </c>
      <c r="X1339" s="52">
        <f>IFERROR(IF(AND(AR1340=AR1339,AM1339&lt;&gt;""),INDEX('Aub Demand'!Q:Q,MATCH($O1339,'Aub Demand'!$A:$A,0))-IF(AN1339="",0,AN1339)+AP1340+AD1339+AL1339,IF(AR1340=AR1339,INDEX('Aub Demand'!Q:Q,MATCH($O1339,'Aub Demand'!$A:$A,0))-IF(AN1339="",0,AN1339)+AP1340+AD1339,IF(AM1339&lt;&gt;"",INDEX('Aub Demand'!Q:Q,MATCH($O1339,'Aub Demand'!$A:$A,0))-IF(AN1339="",0,AN1339)+AD1339+AL1339,INDEX('Aub Demand'!Q:Q,MATCH($O1339,'Aub Demand'!$A:$A,0))-IF(AN1339="",0,AN1339)+AD1339))),"")</f>
        <v>34</v>
      </c>
      <c r="Y1339" s="53" t="str">
        <f t="shared" si="564"/>
        <v>n/a</v>
      </c>
      <c r="Z1339" s="52">
        <f>IF(L1339="","",INDEX('Aub Demand'!H:H,MATCH($O1339,'Aub Demand'!$A:$A,0)))</f>
        <v>0</v>
      </c>
      <c r="AA1339" s="52" t="str">
        <f t="shared" si="565"/>
        <v>-spike-</v>
      </c>
      <c r="AB1339" s="52">
        <f>IFERROR(INDEX('Aub Demand'!L:L,MATCH($O1339,'Aub Demand'!$A:$A,0)),"")</f>
        <v>0</v>
      </c>
      <c r="AC1339" s="52">
        <f>IFERROR(IF(O1339="","",SUMIFS('CPL Mats'!F:F,'CPL Mats'!Q:Q,AR1339,'CPL Mats'!S:S,AS1339)),"")</f>
        <v>0</v>
      </c>
      <c r="AF1339" s="25" t="str">
        <f>IF(SUMIFS('Supp Consol'!S:S,'Supp Consol'!Y:Y,"Releasable",'Supp Consol'!A:A,O1339)=0,"",SUMIFS('Supp Consol'!S:S,'Supp Consol'!Y:Y,"Releasable",'Supp Consol'!A:A,O1339))</f>
        <v/>
      </c>
      <c r="AG1339" s="25" t="str">
        <f>IFERROR(INDEX('Hun Demand'!Q:Q,MATCH(O1339,'Hun Demand'!A:A,0)),"")</f>
        <v/>
      </c>
      <c r="AH1339" s="25" t="str">
        <f>IFERROR(INDEX('Hun Demand'!H:H,MATCH($O1339,'Hun Demand'!$A:$A,0)),"")</f>
        <v/>
      </c>
      <c r="AI1339" s="25" t="str">
        <f>IF(SUMIFS('Supp Consol'!AA:AA,'Supp Consol'!Z:Z,"Expires this month",'Supp Consol'!A:A,O1339)=0,"",SUMIFS('Supp Consol'!AA:AA,'Supp Consol'!Z:Z,"Expires this month",'Supp Consol'!A:A,O1339))</f>
        <v/>
      </c>
      <c r="AJ1339" s="25" t="str">
        <f>IF(SUMIFS('Supp Consol'!AA:AA,'Supp Consol'!Z:Z,"Expired Previous Months",'Supp Consol'!A:A,O1339)=0,"",SUMIFS('Supp Consol'!AA:AA,'Supp Consol'!Z:Z,"Expired Previous Months",'Supp Consol'!A:A,O1339))</f>
        <v/>
      </c>
      <c r="AK1339" s="25" t="str">
        <f>IFERROR(INDEX('Hun Release Current'!B:B,MATCH(O1339,'Hun Release Current'!A:A,0)),"")</f>
        <v/>
      </c>
      <c r="AL1339" s="25" t="str">
        <f>IF(SUMIF('Prev Aub'!A:A,O1339,'Prev Aub'!B:B)=0,"",SUMIF('Prev Aub'!A:A,O1339,'Prev Aub'!B:B))</f>
        <v/>
      </c>
      <c r="AN1339" s="25" t="s">
        <v>3790</v>
      </c>
      <c r="AO1339" s="25" t="s">
        <v>3790</v>
      </c>
      <c r="AP1339" s="25">
        <f t="shared" si="566"/>
        <v>0</v>
      </c>
      <c r="AQ1339" s="151" t="str">
        <f>IF(SUMIFS('Supp Consol'!S:S,'Supp Consol'!A:A,O1339,'Supp Consol'!I:I,"PENDING")=0,"",SUMIFS('Supp Consol'!S:S,'Supp Consol'!A:A,O1339,'Supp Consol'!I:I,"PENDING"))</f>
        <v/>
      </c>
      <c r="AR1339" s="27" t="str">
        <f t="shared" si="567"/>
        <v>WE250</v>
      </c>
      <c r="AS1339" s="27" t="str">
        <f t="shared" si="568"/>
        <v>45</v>
      </c>
      <c r="AT1339" s="27" t="str">
        <f t="shared" si="569"/>
        <v/>
      </c>
      <c r="AU1339" s="27" t="str">
        <f t="shared" si="570"/>
        <v/>
      </c>
      <c r="AV1339" s="27" t="str">
        <f t="shared" si="571"/>
        <v/>
      </c>
      <c r="AW1339" s="27" t="str">
        <f t="shared" si="572"/>
        <v/>
      </c>
      <c r="AX1339" s="27" t="str">
        <f t="shared" si="573"/>
        <v/>
      </c>
      <c r="AY1339" s="27" t="str">
        <f t="shared" si="574"/>
        <v/>
      </c>
      <c r="AZ1339" s="27" t="str">
        <f t="shared" si="575"/>
        <v/>
      </c>
      <c r="BA1339" s="27" t="str">
        <f t="shared" si="576"/>
        <v/>
      </c>
      <c r="BB1339" s="27" t="str">
        <f t="shared" si="577"/>
        <v/>
      </c>
      <c r="BC1339" s="27" t="str">
        <f t="shared" si="578"/>
        <v/>
      </c>
      <c r="BD1339" s="27" t="str">
        <f t="shared" si="579"/>
        <v/>
      </c>
      <c r="BE1339" s="27" t="str">
        <f t="shared" si="580"/>
        <v/>
      </c>
      <c r="BF1339" s="27" t="str">
        <f t="shared" si="581"/>
        <v/>
      </c>
      <c r="BG1339" s="27" t="str">
        <f t="shared" si="582"/>
        <v/>
      </c>
      <c r="BH1339" s="27" t="str">
        <f t="shared" si="583"/>
        <v/>
      </c>
      <c r="BI1339" s="27" t="str">
        <f t="shared" si="584"/>
        <v/>
      </c>
      <c r="BJ1339" s="27" t="str">
        <f t="shared" si="585"/>
        <v/>
      </c>
      <c r="BK1339" s="27" t="str">
        <f t="shared" si="586"/>
        <v/>
      </c>
      <c r="BL1339" s="27" t="str">
        <f t="shared" si="587"/>
        <v/>
      </c>
      <c r="BM1339" s="21" t="s">
        <v>5581</v>
      </c>
    </row>
    <row r="1340" spans="1:65" ht="15">
      <c r="A1340" s="25" t="str">
        <f>IFERROR(INDEX('Hun Demand'!W:W,MATCH(O1340,'Hun Demand'!A:A,0)),"")</f>
        <v/>
      </c>
      <c r="B1340" s="25" t="str">
        <f>IFERROR(INDEX('Hun Demand'!V:V,MATCH(O1340,'Hun Demand'!A:A,0)),"")</f>
        <v/>
      </c>
      <c r="C1340" s="25" t="str">
        <f>IFERROR(INDEX('Hun Demand'!U:U,MATCH(O1340,'Hun Demand'!A:A,0)),"")</f>
        <v/>
      </c>
      <c r="D1340" s="25" t="str">
        <f>IFERROR(INDEX('Hun Demand'!T:T,MATCH(O1340,'Hun Demand'!A:A,0)),"")</f>
        <v/>
      </c>
      <c r="E1340" s="25" t="str">
        <f>IFERROR(INDEX('Hun Demand'!S:S,MATCH(O1340,'Hun Demand'!A:A,0)),"")</f>
        <v/>
      </c>
      <c r="F1340" s="25" t="str">
        <f>IFERROR(INDEX('Hun Demand'!R:R,MATCH(O1340,'Hun Demand'!A:A,0)),"")</f>
        <v/>
      </c>
      <c r="G1340" s="25">
        <f>IFERROR(INDEX('Aub Demand'!W:W,MATCH(O1340,'Aub Demand'!A:A,0)),"")</f>
        <v>5</v>
      </c>
      <c r="H1340" s="25">
        <f>IFERROR(INDEX('Aub Demand'!V:V,MATCH(O1340,'Aub Demand'!A:A,0)),"")</f>
        <v>0</v>
      </c>
      <c r="I1340" s="25">
        <f>IFERROR(INDEX('Aub Demand'!U:U,MATCH(O1340,'Aub Demand'!A:A,0)),"")</f>
        <v>0</v>
      </c>
      <c r="J1340" s="25">
        <f>IFERROR(INDEX('Aub Demand'!T:T,MATCH(O1340,'Aub Demand'!A:A,0)),"")</f>
        <v>0</v>
      </c>
      <c r="K1340" s="25">
        <f>IFERROR(INDEX('Aub Demand'!S:S,MATCH(O1340,'Aub Demand'!A:A,0)),"")</f>
        <v>0</v>
      </c>
      <c r="L1340" s="25">
        <f>IFERROR(INDEX('Aub Demand'!R:R,MATCH(O1340,'Aub Demand'!A:A,0)),"")</f>
        <v>0</v>
      </c>
      <c r="O1340" s="27" t="s">
        <v>1661</v>
      </c>
      <c r="P1340" s="27" t="str">
        <f>IFERROR(INDEX('Aub Demand'!B:B,MATCH($O1340,'Aub Demand'!$A:$A,0)),"")</f>
        <v>ASCOT ELM (RIGHT C/D</v>
      </c>
      <c r="Q1340" s="27" t="str">
        <f>IFERROR(INDEX('Aub Demand'!C:C,MATCH($O1340,'Aub Demand'!$A:$A,0)),"")</f>
        <v>TOPPA</v>
      </c>
      <c r="R1340" s="52">
        <f>IFERROR(IF(AR1341=AR1340,INDEX('Aub Demand'!K:K,MATCH($O1340,'Aub Demand'!$A:$A,0))-IF(AN1340="",0,AN1340)+AP1341,INDEX('Aub Demand'!K:K,MATCH($O1340,'Aub Demand'!$A:$A,0))-IF(AN1340="",0,AN1340)),"")</f>
        <v>35</v>
      </c>
      <c r="S1340" s="53" t="str">
        <f t="shared" si="560"/>
        <v>n/a</v>
      </c>
      <c r="T1340" s="52" t="str">
        <f t="shared" si="561"/>
        <v/>
      </c>
      <c r="U1340" s="52">
        <f>IFERROR(IF(AR1341=AR1340,INDEX('Aub Demand'!Q:Q,MATCH($O1340,'Aub Demand'!$A:$A,0))-IF(AN1340="",0,AN1340)+AP1341,INDEX('Aub Demand'!Q:Q,MATCH($O1340,'Aub Demand'!$A:$A,0))-IF(AN1340="",0,AN1340)),"")</f>
        <v>35</v>
      </c>
      <c r="V1340" s="53" t="str">
        <f t="shared" si="562"/>
        <v>n/a</v>
      </c>
      <c r="W1340" s="52" t="str">
        <f t="shared" si="563"/>
        <v/>
      </c>
      <c r="X1340" s="52">
        <f>IFERROR(IF(AND(AR1341=AR1340,AM1340&lt;&gt;""),INDEX('Aub Demand'!Q:Q,MATCH($O1340,'Aub Demand'!$A:$A,0))-IF(AN1340="",0,AN1340)+AP1341+AD1340+AL1340,IF(AR1341=AR1340,INDEX('Aub Demand'!Q:Q,MATCH($O1340,'Aub Demand'!$A:$A,0))-IF(AN1340="",0,AN1340)+AP1341+AD1340,IF(AM1340&lt;&gt;"",INDEX('Aub Demand'!Q:Q,MATCH($O1340,'Aub Demand'!$A:$A,0))-IF(AN1340="",0,AN1340)+AD1340+AL1340,INDEX('Aub Demand'!Q:Q,MATCH($O1340,'Aub Demand'!$A:$A,0))-IF(AN1340="",0,AN1340)+AD1340))),"")</f>
        <v>35</v>
      </c>
      <c r="Y1340" s="53" t="str">
        <f t="shared" si="564"/>
        <v>n/a</v>
      </c>
      <c r="Z1340" s="52">
        <f>IF(L1340="","",INDEX('Aub Demand'!H:H,MATCH($O1340,'Aub Demand'!$A:$A,0)))</f>
        <v>0</v>
      </c>
      <c r="AA1340" s="52" t="str">
        <f t="shared" si="565"/>
        <v>-spike-</v>
      </c>
      <c r="AB1340" s="52">
        <f>IFERROR(INDEX('Aub Demand'!L:L,MATCH($O1340,'Aub Demand'!$A:$A,0)),"")</f>
        <v>0</v>
      </c>
      <c r="AC1340" s="52">
        <f>IFERROR(IF(O1340="","",SUMIFS('CPL Mats'!F:F,'CPL Mats'!Q:Q,AR1340,'CPL Mats'!S:S,AS1340)),"")</f>
        <v>0</v>
      </c>
      <c r="AF1340" s="25" t="str">
        <f>IF(SUMIFS('Supp Consol'!S:S,'Supp Consol'!Y:Y,"Releasable",'Supp Consol'!A:A,O1340)=0,"",SUMIFS('Supp Consol'!S:S,'Supp Consol'!Y:Y,"Releasable",'Supp Consol'!A:A,O1340))</f>
        <v/>
      </c>
      <c r="AG1340" s="25" t="str">
        <f>IFERROR(INDEX('Hun Demand'!Q:Q,MATCH(O1340,'Hun Demand'!A:A,0)),"")</f>
        <v/>
      </c>
      <c r="AH1340" s="25" t="str">
        <f>IFERROR(INDEX('Hun Demand'!H:H,MATCH($O1340,'Hun Demand'!$A:$A,0)),"")</f>
        <v/>
      </c>
      <c r="AI1340" s="25" t="str">
        <f>IF(SUMIFS('Supp Consol'!AA:AA,'Supp Consol'!Z:Z,"Expires this month",'Supp Consol'!A:A,O1340)=0,"",SUMIFS('Supp Consol'!AA:AA,'Supp Consol'!Z:Z,"Expires this month",'Supp Consol'!A:A,O1340))</f>
        <v/>
      </c>
      <c r="AJ1340" s="25" t="str">
        <f>IF(SUMIFS('Supp Consol'!AA:AA,'Supp Consol'!Z:Z,"Expired Previous Months",'Supp Consol'!A:A,O1340)=0,"",SUMIFS('Supp Consol'!AA:AA,'Supp Consol'!Z:Z,"Expired Previous Months",'Supp Consol'!A:A,O1340))</f>
        <v/>
      </c>
      <c r="AK1340" s="25" t="str">
        <f>IFERROR(INDEX('Hun Release Current'!B:B,MATCH(O1340,'Hun Release Current'!A:A,0)),"")</f>
        <v/>
      </c>
      <c r="AL1340" s="25" t="str">
        <f>IF(SUMIF('Prev Aub'!A:A,O1340,'Prev Aub'!B:B)=0,"",SUMIF('Prev Aub'!A:A,O1340,'Prev Aub'!B:B))</f>
        <v/>
      </c>
      <c r="AN1340" s="25" t="s">
        <v>3790</v>
      </c>
      <c r="AO1340" s="25" t="s">
        <v>3790</v>
      </c>
      <c r="AP1340" s="25">
        <f t="shared" si="566"/>
        <v>0</v>
      </c>
      <c r="AQ1340" s="151" t="str">
        <f>IF(SUMIFS('Supp Consol'!S:S,'Supp Consol'!A:A,O1340,'Supp Consol'!I:I,"PENDING")=0,"",SUMIFS('Supp Consol'!S:S,'Supp Consol'!A:A,O1340,'Supp Consol'!I:I,"PENDING"))</f>
        <v/>
      </c>
      <c r="AR1340" s="27" t="str">
        <f t="shared" si="567"/>
        <v>WE250</v>
      </c>
      <c r="AS1340" s="27" t="str">
        <f t="shared" si="568"/>
        <v>45</v>
      </c>
      <c r="AT1340" s="27" t="str">
        <f t="shared" si="569"/>
        <v/>
      </c>
      <c r="AU1340" s="27" t="str">
        <f t="shared" si="570"/>
        <v/>
      </c>
      <c r="AV1340" s="27" t="str">
        <f t="shared" si="571"/>
        <v/>
      </c>
      <c r="AW1340" s="27" t="str">
        <f t="shared" si="572"/>
        <v/>
      </c>
      <c r="AX1340" s="27" t="str">
        <f t="shared" si="573"/>
        <v/>
      </c>
      <c r="AY1340" s="27" t="str">
        <f t="shared" si="574"/>
        <v/>
      </c>
      <c r="AZ1340" s="27" t="str">
        <f t="shared" si="575"/>
        <v/>
      </c>
      <c r="BA1340" s="27" t="str">
        <f t="shared" si="576"/>
        <v/>
      </c>
      <c r="BB1340" s="27" t="str">
        <f t="shared" si="577"/>
        <v/>
      </c>
      <c r="BC1340" s="27" t="str">
        <f t="shared" si="578"/>
        <v/>
      </c>
      <c r="BD1340" s="27" t="str">
        <f t="shared" si="579"/>
        <v/>
      </c>
      <c r="BE1340" s="27" t="str">
        <f t="shared" si="580"/>
        <v/>
      </c>
      <c r="BF1340" s="27" t="str">
        <f t="shared" si="581"/>
        <v/>
      </c>
      <c r="BG1340" s="27" t="str">
        <f t="shared" si="582"/>
        <v/>
      </c>
      <c r="BH1340" s="27" t="str">
        <f t="shared" si="583"/>
        <v/>
      </c>
      <c r="BI1340" s="27" t="str">
        <f t="shared" si="584"/>
        <v/>
      </c>
      <c r="BJ1340" s="27" t="str">
        <f t="shared" si="585"/>
        <v/>
      </c>
      <c r="BK1340" s="27" t="str">
        <f t="shared" si="586"/>
        <v/>
      </c>
      <c r="BL1340" s="27" t="str">
        <f t="shared" si="587"/>
        <v/>
      </c>
      <c r="BM1340" s="21" t="s">
        <v>5581</v>
      </c>
    </row>
    <row r="1341" spans="1:65" ht="15">
      <c r="A1341" s="25" t="str">
        <f>IFERROR(INDEX('Hun Demand'!W:W,MATCH(O1341,'Hun Demand'!A:A,0)),"")</f>
        <v/>
      </c>
      <c r="B1341" s="25" t="str">
        <f>IFERROR(INDEX('Hun Demand'!V:V,MATCH(O1341,'Hun Demand'!A:A,0)),"")</f>
        <v/>
      </c>
      <c r="C1341" s="25" t="str">
        <f>IFERROR(INDEX('Hun Demand'!U:U,MATCH(O1341,'Hun Demand'!A:A,0)),"")</f>
        <v/>
      </c>
      <c r="D1341" s="25" t="str">
        <f>IFERROR(INDEX('Hun Demand'!T:T,MATCH(O1341,'Hun Demand'!A:A,0)),"")</f>
        <v/>
      </c>
      <c r="E1341" s="25" t="str">
        <f>IFERROR(INDEX('Hun Demand'!S:S,MATCH(O1341,'Hun Demand'!A:A,0)),"")</f>
        <v/>
      </c>
      <c r="F1341" s="25" t="str">
        <f>IFERROR(INDEX('Hun Demand'!R:R,MATCH(O1341,'Hun Demand'!A:A,0)),"")</f>
        <v/>
      </c>
      <c r="G1341" s="25">
        <f>IFERROR(INDEX('Aub Demand'!W:W,MATCH(O1341,'Aub Demand'!A:A,0)),"")</f>
        <v>149</v>
      </c>
      <c r="H1341" s="25">
        <f>IFERROR(INDEX('Aub Demand'!V:V,MATCH(O1341,'Aub Demand'!A:A,0)),"")</f>
        <v>0</v>
      </c>
      <c r="I1341" s="25">
        <f>IFERROR(INDEX('Aub Demand'!U:U,MATCH(O1341,'Aub Demand'!A:A,0)),"")</f>
        <v>9</v>
      </c>
      <c r="J1341" s="25">
        <f>IFERROR(INDEX('Aub Demand'!T:T,MATCH(O1341,'Aub Demand'!A:A,0)),"")</f>
        <v>0</v>
      </c>
      <c r="K1341" s="25">
        <f>IFERROR(INDEX('Aub Demand'!S:S,MATCH(O1341,'Aub Demand'!A:A,0)),"")</f>
        <v>0</v>
      </c>
      <c r="L1341" s="25">
        <f>IFERROR(INDEX('Aub Demand'!R:R,MATCH(O1341,'Aub Demand'!A:A,0)),"")</f>
        <v>10</v>
      </c>
      <c r="O1341" s="27" t="s">
        <v>1663</v>
      </c>
      <c r="P1341" s="27" t="str">
        <f>IFERROR(INDEX('Aub Demand'!B:B,MATCH($O1341,'Aub Demand'!$A:$A,0)),"")</f>
        <v>ASCOT ELM</v>
      </c>
      <c r="Q1341" s="27" t="str">
        <f>IFERROR(INDEX('Aub Demand'!C:C,MATCH($O1341,'Aub Demand'!$A:$A,0)),"")</f>
        <v>TOPPA</v>
      </c>
      <c r="R1341" s="52">
        <f>IFERROR(IF(AR1342=AR1341,INDEX('Aub Demand'!K:K,MATCH($O1341,'Aub Demand'!$A:$A,0))-IF(AN1341="",0,AN1341)+AP1342,INDEX('Aub Demand'!K:K,MATCH($O1341,'Aub Demand'!$A:$A,0))-IF(AN1341="",0,AN1341)),"")</f>
        <v>472</v>
      </c>
      <c r="S1341" s="53">
        <f t="shared" si="560"/>
        <v>674.3</v>
      </c>
      <c r="T1341" s="52" t="str">
        <f t="shared" si="561"/>
        <v/>
      </c>
      <c r="U1341" s="52">
        <f>IFERROR(IF(AR1342=AR1341,INDEX('Aub Demand'!Q:Q,MATCH($O1341,'Aub Demand'!$A:$A,0))-IF(AN1341="",0,AN1341)+AP1342,INDEX('Aub Demand'!Q:Q,MATCH($O1341,'Aub Demand'!$A:$A,0))-IF(AN1341="",0,AN1341)),"")</f>
        <v>464</v>
      </c>
      <c r="V1341" s="53">
        <f t="shared" si="562"/>
        <v>662.9</v>
      </c>
      <c r="W1341" s="52" t="str">
        <f t="shared" si="563"/>
        <v/>
      </c>
      <c r="X1341" s="52">
        <f>IFERROR(IF(AND(AR1342=AR1341,AM1341&lt;&gt;""),INDEX('Aub Demand'!Q:Q,MATCH($O1341,'Aub Demand'!$A:$A,0))-IF(AN1341="",0,AN1341)+AP1342+AD1341+AL1341,IF(AR1342=AR1341,INDEX('Aub Demand'!Q:Q,MATCH($O1341,'Aub Demand'!$A:$A,0))-IF(AN1341="",0,AN1341)+AP1342+AD1341,IF(AM1341&lt;&gt;"",INDEX('Aub Demand'!Q:Q,MATCH($O1341,'Aub Demand'!$A:$A,0))-IF(AN1341="",0,AN1341)+AD1341+AL1341,INDEX('Aub Demand'!Q:Q,MATCH($O1341,'Aub Demand'!$A:$A,0))-IF(AN1341="",0,AN1341)+AD1341))),"")</f>
        <v>464</v>
      </c>
      <c r="Y1341" s="53">
        <f t="shared" si="564"/>
        <v>662.9</v>
      </c>
      <c r="Z1341" s="52">
        <f>IF(L1341="","",INDEX('Aub Demand'!H:H,MATCH($O1341,'Aub Demand'!$A:$A,0)))</f>
        <v>3</v>
      </c>
      <c r="AA1341" s="52">
        <f t="shared" si="565"/>
        <v>9.5</v>
      </c>
      <c r="AB1341" s="52">
        <f>IFERROR(INDEX('Aub Demand'!L:L,MATCH($O1341,'Aub Demand'!$A:$A,0)),"")</f>
        <v>10</v>
      </c>
      <c r="AC1341" s="52">
        <f>IFERROR(IF(O1341="","",SUMIFS('CPL Mats'!F:F,'CPL Mats'!Q:Q,AR1341,'CPL Mats'!S:S,AS1341)),"")</f>
        <v>0</v>
      </c>
      <c r="AF1341" s="25" t="str">
        <f>IF(SUMIFS('Supp Consol'!S:S,'Supp Consol'!Y:Y,"Releasable",'Supp Consol'!A:A,O1341)=0,"",SUMIFS('Supp Consol'!S:S,'Supp Consol'!Y:Y,"Releasable",'Supp Consol'!A:A,O1341))</f>
        <v/>
      </c>
      <c r="AG1341" s="25" t="str">
        <f>IFERROR(INDEX('Hun Demand'!Q:Q,MATCH(O1341,'Hun Demand'!A:A,0)),"")</f>
        <v/>
      </c>
      <c r="AH1341" s="25" t="str">
        <f>IFERROR(INDEX('Hun Demand'!H:H,MATCH($O1341,'Hun Demand'!$A:$A,0)),"")</f>
        <v/>
      </c>
      <c r="AI1341" s="25" t="str">
        <f>IF(SUMIFS('Supp Consol'!AA:AA,'Supp Consol'!Z:Z,"Expires this month",'Supp Consol'!A:A,O1341)=0,"",SUMIFS('Supp Consol'!AA:AA,'Supp Consol'!Z:Z,"Expires this month",'Supp Consol'!A:A,O1341))</f>
        <v/>
      </c>
      <c r="AJ1341" s="25" t="str">
        <f>IF(SUMIFS('Supp Consol'!AA:AA,'Supp Consol'!Z:Z,"Expired Previous Months",'Supp Consol'!A:A,O1341)=0,"",SUMIFS('Supp Consol'!AA:AA,'Supp Consol'!Z:Z,"Expired Previous Months",'Supp Consol'!A:A,O1341))</f>
        <v/>
      </c>
      <c r="AK1341" s="25" t="str">
        <f>IFERROR(INDEX('Hun Release Current'!B:B,MATCH(O1341,'Hun Release Current'!A:A,0)),"")</f>
        <v/>
      </c>
      <c r="AL1341" s="25" t="str">
        <f>IF(SUMIF('Prev Aub'!A:A,O1341,'Prev Aub'!B:B)=0,"",SUMIF('Prev Aub'!A:A,O1341,'Prev Aub'!B:B))</f>
        <v/>
      </c>
      <c r="AN1341" s="25" t="s">
        <v>3790</v>
      </c>
      <c r="AO1341" s="25" t="s">
        <v>3790</v>
      </c>
      <c r="AP1341" s="25">
        <f t="shared" si="566"/>
        <v>0</v>
      </c>
      <c r="AQ1341" s="151" t="str">
        <f>IF(SUMIFS('Supp Consol'!S:S,'Supp Consol'!A:A,O1341,'Supp Consol'!I:I,"PENDING")=0,"",SUMIFS('Supp Consol'!S:S,'Supp Consol'!A:A,O1341,'Supp Consol'!I:I,"PENDING"))</f>
        <v/>
      </c>
      <c r="AR1341" s="27" t="str">
        <f t="shared" si="567"/>
        <v>WE250</v>
      </c>
      <c r="AS1341" s="27" t="str">
        <f t="shared" si="568"/>
        <v>50</v>
      </c>
      <c r="AT1341" s="27" t="str">
        <f t="shared" si="569"/>
        <v/>
      </c>
      <c r="AU1341" s="27" t="str">
        <f t="shared" si="570"/>
        <v/>
      </c>
      <c r="AV1341" s="27" t="str">
        <f t="shared" si="571"/>
        <v/>
      </c>
      <c r="AW1341" s="27" t="str">
        <f t="shared" si="572"/>
        <v/>
      </c>
      <c r="AX1341" s="27" t="str">
        <f t="shared" si="573"/>
        <v/>
      </c>
      <c r="AY1341" s="27" t="str">
        <f t="shared" si="574"/>
        <v/>
      </c>
      <c r="AZ1341" s="27" t="str">
        <f t="shared" si="575"/>
        <v/>
      </c>
      <c r="BA1341" s="27" t="str">
        <f t="shared" si="576"/>
        <v/>
      </c>
      <c r="BB1341" s="27" t="str">
        <f t="shared" si="577"/>
        <v/>
      </c>
      <c r="BC1341" s="27" t="str">
        <f t="shared" si="578"/>
        <v/>
      </c>
      <c r="BD1341" s="27" t="str">
        <f t="shared" si="579"/>
        <v/>
      </c>
      <c r="BE1341" s="27" t="str">
        <f t="shared" si="580"/>
        <v/>
      </c>
      <c r="BF1341" s="27" t="str">
        <f t="shared" si="581"/>
        <v/>
      </c>
      <c r="BG1341" s="27" t="str">
        <f t="shared" si="582"/>
        <v/>
      </c>
      <c r="BH1341" s="27" t="str">
        <f t="shared" si="583"/>
        <v/>
      </c>
      <c r="BI1341" s="27" t="str">
        <f t="shared" si="584"/>
        <v/>
      </c>
      <c r="BJ1341" s="27" t="str">
        <f t="shared" si="585"/>
        <v/>
      </c>
      <c r="BK1341" s="27" t="str">
        <f t="shared" si="586"/>
        <v/>
      </c>
      <c r="BL1341" s="27" t="str">
        <f t="shared" si="587"/>
        <v/>
      </c>
      <c r="BM1341" s="21" t="s">
        <v>5581</v>
      </c>
    </row>
    <row r="1342" spans="1:65" ht="15">
      <c r="A1342" s="25" t="str">
        <f>IFERROR(INDEX('Hun Demand'!W:W,MATCH(O1342,'Hun Demand'!A:A,0)),"")</f>
        <v/>
      </c>
      <c r="B1342" s="25" t="str">
        <f>IFERROR(INDEX('Hun Demand'!V:V,MATCH(O1342,'Hun Demand'!A:A,0)),"")</f>
        <v/>
      </c>
      <c r="C1342" s="25" t="str">
        <f>IFERROR(INDEX('Hun Demand'!U:U,MATCH(O1342,'Hun Demand'!A:A,0)),"")</f>
        <v/>
      </c>
      <c r="D1342" s="25" t="str">
        <f>IFERROR(INDEX('Hun Demand'!T:T,MATCH(O1342,'Hun Demand'!A:A,0)),"")</f>
        <v/>
      </c>
      <c r="E1342" s="25" t="str">
        <f>IFERROR(INDEX('Hun Demand'!S:S,MATCH(O1342,'Hun Demand'!A:A,0)),"")</f>
        <v/>
      </c>
      <c r="F1342" s="25" t="str">
        <f>IFERROR(INDEX('Hun Demand'!R:R,MATCH(O1342,'Hun Demand'!A:A,0)),"")</f>
        <v/>
      </c>
      <c r="G1342" s="25">
        <f>IFERROR(INDEX('Aub Demand'!W:W,MATCH(O1342,'Aub Demand'!A:A,0)),"")</f>
        <v>5</v>
      </c>
      <c r="H1342" s="25">
        <f>IFERROR(INDEX('Aub Demand'!V:V,MATCH(O1342,'Aub Demand'!A:A,0)),"")</f>
        <v>0</v>
      </c>
      <c r="I1342" s="25">
        <f>IFERROR(INDEX('Aub Demand'!U:U,MATCH(O1342,'Aub Demand'!A:A,0)),"")</f>
        <v>0</v>
      </c>
      <c r="J1342" s="25">
        <f>IFERROR(INDEX('Aub Demand'!T:T,MATCH(O1342,'Aub Demand'!A:A,0)),"")</f>
        <v>0</v>
      </c>
      <c r="K1342" s="25">
        <f>IFERROR(INDEX('Aub Demand'!S:S,MATCH(O1342,'Aub Demand'!A:A,0)),"")</f>
        <v>0</v>
      </c>
      <c r="L1342" s="25">
        <f>IFERROR(INDEX('Aub Demand'!R:R,MATCH(O1342,'Aub Demand'!A:A,0)),"")</f>
        <v>0</v>
      </c>
      <c r="O1342" s="27" t="s">
        <v>1665</v>
      </c>
      <c r="P1342" s="27" t="str">
        <f>IFERROR(INDEX('Aub Demand'!B:B,MATCH($O1342,'Aub Demand'!$A:$A,0)),"")</f>
        <v>ASCOT ELM</v>
      </c>
      <c r="Q1342" s="27" t="str">
        <f>IFERROR(INDEX('Aub Demand'!C:C,MATCH($O1342,'Aub Demand'!$A:$A,0)),"")</f>
        <v>TOPPA</v>
      </c>
      <c r="R1342" s="52">
        <f>IFERROR(IF(AR1343=AR1342,INDEX('Aub Demand'!K:K,MATCH($O1342,'Aub Demand'!$A:$A,0))-IF(AN1342="",0,AN1342)+AP1343,INDEX('Aub Demand'!K:K,MATCH($O1342,'Aub Demand'!$A:$A,0))-IF(AN1342="",0,AN1342)),"")</f>
        <v>1870</v>
      </c>
      <c r="S1342" s="53" t="str">
        <f t="shared" si="560"/>
        <v>n/a</v>
      </c>
      <c r="T1342" s="52" t="str">
        <f t="shared" si="561"/>
        <v/>
      </c>
      <c r="U1342" s="52">
        <f>IFERROR(IF(AR1343=AR1342,INDEX('Aub Demand'!Q:Q,MATCH($O1342,'Aub Demand'!$A:$A,0))-IF(AN1342="",0,AN1342)+AP1343,INDEX('Aub Demand'!Q:Q,MATCH($O1342,'Aub Demand'!$A:$A,0))-IF(AN1342="",0,AN1342)),"")</f>
        <v>1870</v>
      </c>
      <c r="V1342" s="53" t="str">
        <f t="shared" si="562"/>
        <v>n/a</v>
      </c>
      <c r="W1342" s="52" t="str">
        <f t="shared" si="563"/>
        <v/>
      </c>
      <c r="X1342" s="52">
        <f>IFERROR(IF(AND(AR1343=AR1342,AM1342&lt;&gt;""),INDEX('Aub Demand'!Q:Q,MATCH($O1342,'Aub Demand'!$A:$A,0))-IF(AN1342="",0,AN1342)+AP1343+AD1342+AL1342,IF(AR1343=AR1342,INDEX('Aub Demand'!Q:Q,MATCH($O1342,'Aub Demand'!$A:$A,0))-IF(AN1342="",0,AN1342)+AP1343+AD1342,IF(AM1342&lt;&gt;"",INDEX('Aub Demand'!Q:Q,MATCH($O1342,'Aub Demand'!$A:$A,0))-IF(AN1342="",0,AN1342)+AD1342+AL1342,INDEX('Aub Demand'!Q:Q,MATCH($O1342,'Aub Demand'!$A:$A,0))-IF(AN1342="",0,AN1342)+AD1342))),"")</f>
        <v>1870</v>
      </c>
      <c r="Y1342" s="53" t="str">
        <f t="shared" si="564"/>
        <v>n/a</v>
      </c>
      <c r="Z1342" s="52">
        <f>IF(L1342="","",INDEX('Aub Demand'!H:H,MATCH($O1342,'Aub Demand'!$A:$A,0)))</f>
        <v>0</v>
      </c>
      <c r="AA1342" s="52" t="str">
        <f t="shared" si="565"/>
        <v>-spike-</v>
      </c>
      <c r="AB1342" s="52">
        <f>IFERROR(INDEX('Aub Demand'!L:L,MATCH($O1342,'Aub Demand'!$A:$A,0)),"")</f>
        <v>0</v>
      </c>
      <c r="AC1342" s="52">
        <f>IFERROR(IF(O1342="","",SUMIFS('CPL Mats'!F:F,'CPL Mats'!Q:Q,AR1342,'CPL Mats'!S:S,AS1342)),"")</f>
        <v>0</v>
      </c>
      <c r="AF1342" s="25" t="str">
        <f>IF(SUMIFS('Supp Consol'!S:S,'Supp Consol'!Y:Y,"Releasable",'Supp Consol'!A:A,O1342)=0,"",SUMIFS('Supp Consol'!S:S,'Supp Consol'!Y:Y,"Releasable",'Supp Consol'!A:A,O1342))</f>
        <v/>
      </c>
      <c r="AG1342" s="25" t="str">
        <f>IFERROR(INDEX('Hun Demand'!Q:Q,MATCH(O1342,'Hun Demand'!A:A,0)),"")</f>
        <v/>
      </c>
      <c r="AH1342" s="25" t="str">
        <f>IFERROR(INDEX('Hun Demand'!H:H,MATCH($O1342,'Hun Demand'!$A:$A,0)),"")</f>
        <v/>
      </c>
      <c r="AI1342" s="25" t="str">
        <f>IF(SUMIFS('Supp Consol'!AA:AA,'Supp Consol'!Z:Z,"Expires this month",'Supp Consol'!A:A,O1342)=0,"",SUMIFS('Supp Consol'!AA:AA,'Supp Consol'!Z:Z,"Expires this month",'Supp Consol'!A:A,O1342))</f>
        <v/>
      </c>
      <c r="AJ1342" s="25" t="str">
        <f>IF(SUMIFS('Supp Consol'!AA:AA,'Supp Consol'!Z:Z,"Expired Previous Months",'Supp Consol'!A:A,O1342)=0,"",SUMIFS('Supp Consol'!AA:AA,'Supp Consol'!Z:Z,"Expired Previous Months",'Supp Consol'!A:A,O1342))</f>
        <v/>
      </c>
      <c r="AK1342" s="25" t="str">
        <f>IFERROR(INDEX('Hun Release Current'!B:B,MATCH(O1342,'Hun Release Current'!A:A,0)),"")</f>
        <v/>
      </c>
      <c r="AL1342" s="25" t="str">
        <f>IF(SUMIF('Prev Aub'!A:A,O1342,'Prev Aub'!B:B)=0,"",SUMIF('Prev Aub'!A:A,O1342,'Prev Aub'!B:B))</f>
        <v/>
      </c>
      <c r="AN1342" s="25" t="s">
        <v>3790</v>
      </c>
      <c r="AO1342" s="25" t="s">
        <v>3790</v>
      </c>
      <c r="AP1342" s="25">
        <f t="shared" si="566"/>
        <v>0</v>
      </c>
      <c r="AQ1342" s="151" t="str">
        <f>IF(SUMIFS('Supp Consol'!S:S,'Supp Consol'!A:A,O1342,'Supp Consol'!I:I,"PENDING")=0,"",SUMIFS('Supp Consol'!S:S,'Supp Consol'!A:A,O1342,'Supp Consol'!I:I,"PENDING"))</f>
        <v/>
      </c>
      <c r="AR1342" s="27" t="str">
        <f t="shared" si="567"/>
        <v>WE250</v>
      </c>
      <c r="AS1342" s="27" t="str">
        <f t="shared" si="568"/>
        <v>62</v>
      </c>
      <c r="AT1342" s="27" t="str">
        <f t="shared" si="569"/>
        <v/>
      </c>
      <c r="AU1342" s="27" t="str">
        <f t="shared" si="570"/>
        <v/>
      </c>
      <c r="AV1342" s="27" t="str">
        <f t="shared" si="571"/>
        <v/>
      </c>
      <c r="AW1342" s="27" t="str">
        <f t="shared" si="572"/>
        <v/>
      </c>
      <c r="AX1342" s="27" t="str">
        <f t="shared" si="573"/>
        <v/>
      </c>
      <c r="AY1342" s="27" t="str">
        <f t="shared" si="574"/>
        <v/>
      </c>
      <c r="AZ1342" s="27" t="str">
        <f t="shared" si="575"/>
        <v/>
      </c>
      <c r="BA1342" s="27" t="str">
        <f t="shared" si="576"/>
        <v/>
      </c>
      <c r="BB1342" s="27" t="str">
        <f t="shared" si="577"/>
        <v/>
      </c>
      <c r="BC1342" s="27" t="str">
        <f t="shared" si="578"/>
        <v/>
      </c>
      <c r="BD1342" s="27" t="str">
        <f t="shared" si="579"/>
        <v/>
      </c>
      <c r="BE1342" s="27" t="str">
        <f t="shared" si="580"/>
        <v/>
      </c>
      <c r="BF1342" s="27" t="str">
        <f t="shared" si="581"/>
        <v/>
      </c>
      <c r="BG1342" s="27" t="str">
        <f t="shared" si="582"/>
        <v/>
      </c>
      <c r="BH1342" s="27" t="str">
        <f t="shared" si="583"/>
        <v/>
      </c>
      <c r="BI1342" s="27" t="str">
        <f t="shared" si="584"/>
        <v/>
      </c>
      <c r="BJ1342" s="27" t="str">
        <f t="shared" si="585"/>
        <v/>
      </c>
      <c r="BK1342" s="27" t="str">
        <f t="shared" si="586"/>
        <v/>
      </c>
      <c r="BL1342" s="27" t="str">
        <f t="shared" si="587"/>
        <v/>
      </c>
      <c r="BM1342" s="21" t="s">
        <v>5581</v>
      </c>
    </row>
    <row r="1343" spans="1:65" ht="15">
      <c r="A1343" s="25">
        <f>IFERROR(INDEX('Hun Demand'!W:W,MATCH(O1343,'Hun Demand'!A:A,0)),"")</f>
        <v>0</v>
      </c>
      <c r="B1343" s="25">
        <f>IFERROR(INDEX('Hun Demand'!V:V,MATCH(O1343,'Hun Demand'!A:A,0)),"")</f>
        <v>0</v>
      </c>
      <c r="C1343" s="25">
        <f>IFERROR(INDEX('Hun Demand'!U:U,MATCH(O1343,'Hun Demand'!A:A,0)),"")</f>
        <v>0</v>
      </c>
      <c r="D1343" s="25">
        <f>IFERROR(INDEX('Hun Demand'!T:T,MATCH(O1343,'Hun Demand'!A:A,0)),"")</f>
        <v>135</v>
      </c>
      <c r="E1343" s="25">
        <f>IFERROR(INDEX('Hun Demand'!S:S,MATCH(O1343,'Hun Demand'!A:A,0)),"")</f>
        <v>0</v>
      </c>
      <c r="F1343" s="25">
        <f>IFERROR(INDEX('Hun Demand'!R:R,MATCH(O1343,'Hun Demand'!A:A,0)),"")</f>
        <v>0</v>
      </c>
      <c r="G1343" s="25">
        <f>IFERROR(INDEX('Aub Demand'!W:W,MATCH(O1343,'Aub Demand'!A:A,0)),"")</f>
        <v>595</v>
      </c>
      <c r="H1343" s="25">
        <f>IFERROR(INDEX('Aub Demand'!V:V,MATCH(O1343,'Aub Demand'!A:A,0)),"")</f>
        <v>233</v>
      </c>
      <c r="I1343" s="25">
        <f>IFERROR(INDEX('Aub Demand'!U:U,MATCH(O1343,'Aub Demand'!A:A,0)),"")</f>
        <v>598</v>
      </c>
      <c r="J1343" s="25">
        <f>IFERROR(INDEX('Aub Demand'!T:T,MATCH(O1343,'Aub Demand'!A:A,0)),"")</f>
        <v>0</v>
      </c>
      <c r="K1343" s="25">
        <f>IFERROR(INDEX('Aub Demand'!S:S,MATCH(O1343,'Aub Demand'!A:A,0)),"")</f>
        <v>410</v>
      </c>
      <c r="L1343" s="25">
        <f>IFERROR(INDEX('Aub Demand'!R:R,MATCH(O1343,'Aub Demand'!A:A,0)),"")</f>
        <v>0</v>
      </c>
      <c r="O1343" s="27" t="s">
        <v>1666</v>
      </c>
      <c r="P1343" s="27" t="str">
        <f>IFERROR(INDEX('Aub Demand'!B:B,MATCH($O1343,'Aub Demand'!$A:$A,0)),"")</f>
        <v>WHITE ELM</v>
      </c>
      <c r="Q1343" s="27" t="str">
        <f>IFERROR(INDEX('Aub Demand'!C:C,MATCH($O1343,'Aub Demand'!$A:$A,0)),"")</f>
        <v>DNP A</v>
      </c>
      <c r="R1343" s="52">
        <f>IFERROR(IF(AR1344=AR1343,INDEX('Aub Demand'!K:K,MATCH($O1343,'Aub Demand'!$A:$A,0))-IF(AN1343="",0,AN1343)+AP1344,INDEX('Aub Demand'!K:K,MATCH($O1343,'Aub Demand'!$A:$A,0))-IF(AN1343="",0,AN1343)),"")</f>
        <v>104</v>
      </c>
      <c r="S1343" s="53">
        <f t="shared" si="560"/>
        <v>1.3</v>
      </c>
      <c r="T1343" s="52">
        <f t="shared" si="561"/>
        <v>214.2</v>
      </c>
      <c r="U1343" s="52">
        <f>IFERROR(IF(AR1344=AR1343,INDEX('Aub Demand'!Q:Q,MATCH($O1343,'Aub Demand'!$A:$A,0))-IF(AN1343="",0,AN1343)+AP1344,INDEX('Aub Demand'!Q:Q,MATCH($O1343,'Aub Demand'!$A:$A,0))-IF(AN1343="",0,AN1343)),"")</f>
        <v>53</v>
      </c>
      <c r="V1343" s="53">
        <f t="shared" si="562"/>
        <v>0.7</v>
      </c>
      <c r="W1343" s="52">
        <f t="shared" si="563"/>
        <v>289.79999999999995</v>
      </c>
      <c r="X1343" s="52">
        <f>IFERROR(IF(AND(AR1344=AR1343,AM1343&lt;&gt;""),INDEX('Aub Demand'!Q:Q,MATCH($O1343,'Aub Demand'!$A:$A,0))-IF(AN1343="",0,AN1343)+AP1344+AD1343+AL1343,IF(AR1344=AR1343,INDEX('Aub Demand'!Q:Q,MATCH($O1343,'Aub Demand'!$A:$A,0))-IF(AN1343="",0,AN1343)+AP1344+AD1343,IF(AM1343&lt;&gt;"",INDEX('Aub Demand'!Q:Q,MATCH($O1343,'Aub Demand'!$A:$A,0))-IF(AN1343="",0,AN1343)+AD1343+AL1343,INDEX('Aub Demand'!Q:Q,MATCH($O1343,'Aub Demand'!$A:$A,0))-IF(AN1343="",0,AN1343)+AD1343))),"")</f>
        <v>53</v>
      </c>
      <c r="Y1343" s="53">
        <f t="shared" si="564"/>
        <v>0.7</v>
      </c>
      <c r="Z1343" s="52">
        <f>IF(L1343="","",INDEX('Aub Demand'!H:H,MATCH($O1343,'Aub Demand'!$A:$A,0)))</f>
        <v>336</v>
      </c>
      <c r="AA1343" s="52">
        <f t="shared" si="565"/>
        <v>504</v>
      </c>
      <c r="AB1343" s="52">
        <f>IFERROR(INDEX('Aub Demand'!L:L,MATCH($O1343,'Aub Demand'!$A:$A,0)),"")</f>
        <v>520</v>
      </c>
      <c r="AC1343" s="52">
        <f>IFERROR(IF(O1343="","",SUMIFS('CPL Mats'!F:F,'CPL Mats'!Q:Q,AR1343,'CPL Mats'!S:S,AS1343)),"")</f>
        <v>2800</v>
      </c>
      <c r="AF1343" s="25" t="str">
        <f>IF(SUMIFS('Supp Consol'!S:S,'Supp Consol'!Y:Y,"Releasable",'Supp Consol'!A:A,O1343)=0,"",SUMIFS('Supp Consol'!S:S,'Supp Consol'!Y:Y,"Releasable",'Supp Consol'!A:A,O1343))</f>
        <v/>
      </c>
      <c r="AG1343" s="25">
        <f>IFERROR(INDEX('Hun Demand'!Q:Q,MATCH(O1343,'Hun Demand'!A:A,0)),"")</f>
        <v>0</v>
      </c>
      <c r="AH1343" s="25">
        <f>IFERROR(INDEX('Hun Demand'!H:H,MATCH($O1343,'Hun Demand'!$A:$A,0)),"")</f>
        <v>45</v>
      </c>
      <c r="AI1343" s="25" t="str">
        <f>IF(SUMIFS('Supp Consol'!AA:AA,'Supp Consol'!Z:Z,"Expires this month",'Supp Consol'!A:A,O1343)=0,"",SUMIFS('Supp Consol'!AA:AA,'Supp Consol'!Z:Z,"Expires this month",'Supp Consol'!A:A,O1343))</f>
        <v/>
      </c>
      <c r="AJ1343" s="25" t="str">
        <f>IF(SUMIFS('Supp Consol'!AA:AA,'Supp Consol'!Z:Z,"Expired Previous Months",'Supp Consol'!A:A,O1343)=0,"",SUMIFS('Supp Consol'!AA:AA,'Supp Consol'!Z:Z,"Expired Previous Months",'Supp Consol'!A:A,O1343))</f>
        <v/>
      </c>
      <c r="AK1343" s="25" t="str">
        <f>IFERROR(INDEX('Hun Release Current'!B:B,MATCH(O1343,'Hun Release Current'!A:A,0)),"")</f>
        <v/>
      </c>
      <c r="AL1343" s="25" t="str">
        <f>IF(SUMIF('Prev Aub'!A:A,O1343,'Prev Aub'!B:B)=0,"",SUMIF('Prev Aub'!A:A,O1343,'Prev Aub'!B:B))</f>
        <v/>
      </c>
      <c r="AN1343" s="25" t="s">
        <v>3790</v>
      </c>
      <c r="AO1343" s="25" t="s">
        <v>3790</v>
      </c>
      <c r="AP1343" s="25">
        <f t="shared" si="566"/>
        <v>0</v>
      </c>
      <c r="AQ1343" s="151" t="str">
        <f>IF(SUMIFS('Supp Consol'!S:S,'Supp Consol'!A:A,O1343,'Supp Consol'!I:I,"PENDING")=0,"",SUMIFS('Supp Consol'!S:S,'Supp Consol'!A:A,O1343,'Supp Consol'!I:I,"PENDING"))</f>
        <v/>
      </c>
      <c r="AR1343" s="27" t="str">
        <f t="shared" si="567"/>
        <v>WE261</v>
      </c>
      <c r="AS1343" s="27" t="str">
        <f t="shared" si="568"/>
        <v>50</v>
      </c>
      <c r="AT1343" s="27" t="str">
        <f t="shared" si="569"/>
        <v>WE261</v>
      </c>
      <c r="AU1343" s="27" t="str">
        <f t="shared" si="570"/>
        <v>WE261</v>
      </c>
      <c r="AV1343" s="27" t="str">
        <f t="shared" si="571"/>
        <v>WE261</v>
      </c>
      <c r="AW1343" s="27" t="str">
        <f t="shared" si="572"/>
        <v/>
      </c>
      <c r="AX1343" s="27" t="str">
        <f t="shared" si="573"/>
        <v/>
      </c>
      <c r="AY1343" s="27" t="str">
        <f t="shared" si="574"/>
        <v/>
      </c>
      <c r="AZ1343" s="27" t="str">
        <f t="shared" si="575"/>
        <v/>
      </c>
      <c r="BA1343" s="27" t="str">
        <f t="shared" si="576"/>
        <v/>
      </c>
      <c r="BB1343" s="27" t="str">
        <f t="shared" si="577"/>
        <v>Gross</v>
      </c>
      <c r="BC1343" s="27" t="str">
        <f t="shared" si="578"/>
        <v>Net</v>
      </c>
      <c r="BD1343" s="27" t="str">
        <f t="shared" si="579"/>
        <v>Net</v>
      </c>
      <c r="BE1343" s="27" t="str">
        <f t="shared" si="580"/>
        <v/>
      </c>
      <c r="BF1343" s="27" t="str">
        <f t="shared" si="581"/>
        <v/>
      </c>
      <c r="BG1343" s="27" t="str">
        <f t="shared" si="582"/>
        <v/>
      </c>
      <c r="BH1343" s="27" t="str">
        <f t="shared" si="583"/>
        <v/>
      </c>
      <c r="BI1343" s="27" t="str">
        <f t="shared" si="584"/>
        <v/>
      </c>
      <c r="BJ1343" s="27" t="str">
        <f t="shared" si="585"/>
        <v/>
      </c>
      <c r="BK1343" s="27" t="str">
        <f t="shared" si="586"/>
        <v/>
      </c>
      <c r="BL1343" s="27" t="str">
        <f t="shared" si="587"/>
        <v/>
      </c>
      <c r="BM1343" s="21" t="s">
        <v>5581</v>
      </c>
    </row>
    <row r="1344" spans="1:65" ht="15">
      <c r="A1344" s="25" t="str">
        <f>IFERROR(INDEX('Hun Demand'!W:W,MATCH(O1344,'Hun Demand'!A:A,0)),"")</f>
        <v/>
      </c>
      <c r="B1344" s="25" t="str">
        <f>IFERROR(INDEX('Hun Demand'!V:V,MATCH(O1344,'Hun Demand'!A:A,0)),"")</f>
        <v/>
      </c>
      <c r="C1344" s="25" t="str">
        <f>IFERROR(INDEX('Hun Demand'!U:U,MATCH(O1344,'Hun Demand'!A:A,0)),"")</f>
        <v/>
      </c>
      <c r="D1344" s="25" t="str">
        <f>IFERROR(INDEX('Hun Demand'!T:T,MATCH(O1344,'Hun Demand'!A:A,0)),"")</f>
        <v/>
      </c>
      <c r="E1344" s="25" t="str">
        <f>IFERROR(INDEX('Hun Demand'!S:S,MATCH(O1344,'Hun Demand'!A:A,0)),"")</f>
        <v/>
      </c>
      <c r="F1344" s="25" t="str">
        <f>IFERROR(INDEX('Hun Demand'!R:R,MATCH(O1344,'Hun Demand'!A:A,0)),"")</f>
        <v/>
      </c>
      <c r="G1344" s="25">
        <f>IFERROR(INDEX('Aub Demand'!W:W,MATCH(O1344,'Aub Demand'!A:A,0)),"")</f>
        <v>94</v>
      </c>
      <c r="H1344" s="25">
        <f>IFERROR(INDEX('Aub Demand'!V:V,MATCH(O1344,'Aub Demand'!A:A,0)),"")</f>
        <v>37</v>
      </c>
      <c r="I1344" s="25">
        <f>IFERROR(INDEX('Aub Demand'!U:U,MATCH(O1344,'Aub Demand'!A:A,0)),"")</f>
        <v>111</v>
      </c>
      <c r="J1344" s="25">
        <f>IFERROR(INDEX('Aub Demand'!T:T,MATCH(O1344,'Aub Demand'!A:A,0)),"")</f>
        <v>121</v>
      </c>
      <c r="K1344" s="25">
        <f>IFERROR(INDEX('Aub Demand'!S:S,MATCH(O1344,'Aub Demand'!A:A,0)),"")</f>
        <v>129</v>
      </c>
      <c r="L1344" s="25">
        <f>IFERROR(INDEX('Aub Demand'!R:R,MATCH(O1344,'Aub Demand'!A:A,0)),"")</f>
        <v>0</v>
      </c>
      <c r="O1344" s="27" t="s">
        <v>1668</v>
      </c>
      <c r="P1344" s="27" t="str">
        <f>IFERROR(INDEX('Aub Demand'!B:B,MATCH($O1344,'Aub Demand'!$A:$A,0)),"")</f>
        <v>WHITE ELM</v>
      </c>
      <c r="Q1344" s="27" t="str">
        <f>IFERROR(INDEX('Aub Demand'!C:C,MATCH($O1344,'Aub Demand'!$A:$A,0)),"")</f>
        <v>DNP A</v>
      </c>
      <c r="R1344" s="52">
        <f>IFERROR(IF(AR1345=AR1344,INDEX('Aub Demand'!K:K,MATCH($O1344,'Aub Demand'!$A:$A,0))-IF(AN1344="",0,AN1344)+AP1345,INDEX('Aub Demand'!K:K,MATCH($O1344,'Aub Demand'!$A:$A,0))-IF(AN1344="",0,AN1344)),"")</f>
        <v>683</v>
      </c>
      <c r="S1344" s="53">
        <f t="shared" si="560"/>
        <v>24.4</v>
      </c>
      <c r="T1344" s="52" t="str">
        <f t="shared" si="561"/>
        <v/>
      </c>
      <c r="U1344" s="52">
        <f>IFERROR(IF(AR1345=AR1344,INDEX('Aub Demand'!Q:Q,MATCH($O1344,'Aub Demand'!$A:$A,0))-IF(AN1344="",0,AN1344)+AP1345,INDEX('Aub Demand'!Q:Q,MATCH($O1344,'Aub Demand'!$A:$A,0))-IF(AN1344="",0,AN1344)),"")</f>
        <v>650</v>
      </c>
      <c r="V1344" s="53">
        <f t="shared" si="562"/>
        <v>23.2</v>
      </c>
      <c r="W1344" s="52" t="str">
        <f t="shared" si="563"/>
        <v/>
      </c>
      <c r="X1344" s="52">
        <f>IFERROR(IF(AND(AR1345=AR1344,AM1344&lt;&gt;""),INDEX('Aub Demand'!Q:Q,MATCH($O1344,'Aub Demand'!$A:$A,0))-IF(AN1344="",0,AN1344)+AP1345+AD1344+AL1344,IF(AR1345=AR1344,INDEX('Aub Demand'!Q:Q,MATCH($O1344,'Aub Demand'!$A:$A,0))-IF(AN1344="",0,AN1344)+AP1345+AD1344,IF(AM1344&lt;&gt;"",INDEX('Aub Demand'!Q:Q,MATCH($O1344,'Aub Demand'!$A:$A,0))-IF(AN1344="",0,AN1344)+AD1344+AL1344,INDEX('Aub Demand'!Q:Q,MATCH($O1344,'Aub Demand'!$A:$A,0))-IF(AN1344="",0,AN1344)+AD1344))),"")</f>
        <v>650</v>
      </c>
      <c r="Y1344" s="53">
        <f t="shared" si="564"/>
        <v>23.2</v>
      </c>
      <c r="Z1344" s="52">
        <f>IF(L1344="","",INDEX('Aub Demand'!H:H,MATCH($O1344,'Aub Demand'!$A:$A,0)))</f>
        <v>120</v>
      </c>
      <c r="AA1344" s="52">
        <f t="shared" si="565"/>
        <v>125</v>
      </c>
      <c r="AB1344" s="52">
        <f>IFERROR(INDEX('Aub Demand'!L:L,MATCH($O1344,'Aub Demand'!$A:$A,0)),"")</f>
        <v>202</v>
      </c>
      <c r="AC1344" s="52">
        <f>IFERROR(IF(O1344="","",SUMIFS('CPL Mats'!F:F,'CPL Mats'!Q:Q,AR1344,'CPL Mats'!S:S,AS1344)),"")</f>
        <v>0</v>
      </c>
      <c r="AF1344" s="25" t="str">
        <f>IF(SUMIFS('Supp Consol'!S:S,'Supp Consol'!Y:Y,"Releasable",'Supp Consol'!A:A,O1344)=0,"",SUMIFS('Supp Consol'!S:S,'Supp Consol'!Y:Y,"Releasable",'Supp Consol'!A:A,O1344))</f>
        <v/>
      </c>
      <c r="AG1344" s="25" t="str">
        <f>IFERROR(INDEX('Hun Demand'!Q:Q,MATCH(O1344,'Hun Demand'!A:A,0)),"")</f>
        <v/>
      </c>
      <c r="AH1344" s="25" t="str">
        <f>IFERROR(INDEX('Hun Demand'!H:H,MATCH($O1344,'Hun Demand'!$A:$A,0)),"")</f>
        <v/>
      </c>
      <c r="AI1344" s="25" t="str">
        <f>IF(SUMIFS('Supp Consol'!AA:AA,'Supp Consol'!Z:Z,"Expires this month",'Supp Consol'!A:A,O1344)=0,"",SUMIFS('Supp Consol'!AA:AA,'Supp Consol'!Z:Z,"Expires this month",'Supp Consol'!A:A,O1344))</f>
        <v/>
      </c>
      <c r="AJ1344" s="25" t="str">
        <f>IF(SUMIFS('Supp Consol'!AA:AA,'Supp Consol'!Z:Z,"Expired Previous Months",'Supp Consol'!A:A,O1344)=0,"",SUMIFS('Supp Consol'!AA:AA,'Supp Consol'!Z:Z,"Expired Previous Months",'Supp Consol'!A:A,O1344))</f>
        <v/>
      </c>
      <c r="AK1344" s="25" t="str">
        <f>IFERROR(INDEX('Hun Release Current'!B:B,MATCH(O1344,'Hun Release Current'!A:A,0)),"")</f>
        <v/>
      </c>
      <c r="AL1344" s="25" t="str">
        <f>IF(SUMIF('Prev Aub'!A:A,O1344,'Prev Aub'!B:B)=0,"",SUMIF('Prev Aub'!A:A,O1344,'Prev Aub'!B:B))</f>
        <v/>
      </c>
      <c r="AN1344" s="25" t="s">
        <v>3790</v>
      </c>
      <c r="AO1344" s="25" t="s">
        <v>3790</v>
      </c>
      <c r="AP1344" s="25">
        <f t="shared" si="566"/>
        <v>0</v>
      </c>
      <c r="AQ1344" s="151" t="str">
        <f>IF(SUMIFS('Supp Consol'!S:S,'Supp Consol'!A:A,O1344,'Supp Consol'!I:I,"PENDING")=0,"",SUMIFS('Supp Consol'!S:S,'Supp Consol'!A:A,O1344,'Supp Consol'!I:I,"PENDING"))</f>
        <v/>
      </c>
      <c r="AR1344" s="27" t="str">
        <f t="shared" si="567"/>
        <v>WE261</v>
      </c>
      <c r="AS1344" s="27" t="str">
        <f t="shared" si="568"/>
        <v>62</v>
      </c>
      <c r="AT1344" s="27" t="str">
        <f t="shared" si="569"/>
        <v/>
      </c>
      <c r="AU1344" s="27" t="str">
        <f t="shared" si="570"/>
        <v/>
      </c>
      <c r="AV1344" s="27" t="str">
        <f t="shared" si="571"/>
        <v/>
      </c>
      <c r="AW1344" s="27" t="str">
        <f t="shared" si="572"/>
        <v/>
      </c>
      <c r="AX1344" s="27" t="str">
        <f t="shared" si="573"/>
        <v/>
      </c>
      <c r="AY1344" s="27" t="str">
        <f t="shared" si="574"/>
        <v/>
      </c>
      <c r="AZ1344" s="27" t="str">
        <f t="shared" si="575"/>
        <v/>
      </c>
      <c r="BA1344" s="27" t="str">
        <f t="shared" si="576"/>
        <v/>
      </c>
      <c r="BB1344" s="27" t="str">
        <f t="shared" si="577"/>
        <v>Gross</v>
      </c>
      <c r="BC1344" s="27" t="str">
        <f t="shared" si="578"/>
        <v>Net</v>
      </c>
      <c r="BD1344" s="27" t="str">
        <f t="shared" si="579"/>
        <v>Net</v>
      </c>
      <c r="BE1344" s="27" t="str">
        <f t="shared" si="580"/>
        <v/>
      </c>
      <c r="BF1344" s="27" t="str">
        <f t="shared" si="581"/>
        <v/>
      </c>
      <c r="BG1344" s="27" t="str">
        <f t="shared" si="582"/>
        <v/>
      </c>
      <c r="BH1344" s="27" t="str">
        <f t="shared" si="583"/>
        <v/>
      </c>
      <c r="BI1344" s="27" t="str">
        <f t="shared" si="584"/>
        <v/>
      </c>
      <c r="BJ1344" s="27" t="str">
        <f t="shared" si="585"/>
        <v/>
      </c>
      <c r="BK1344" s="27" t="str">
        <f t="shared" si="586"/>
        <v/>
      </c>
      <c r="BL1344" s="27" t="str">
        <f t="shared" si="587"/>
        <v/>
      </c>
      <c r="BM1344" s="21" t="s">
        <v>5581</v>
      </c>
    </row>
    <row r="1345" spans="1:65" ht="15">
      <c r="A1345" s="25">
        <f>IFERROR(INDEX('Hun Demand'!W:W,MATCH(O1345,'Hun Demand'!A:A,0)),"")</f>
        <v>53</v>
      </c>
      <c r="B1345" s="25">
        <f>IFERROR(INDEX('Hun Demand'!V:V,MATCH(O1345,'Hun Demand'!A:A,0)),"")</f>
        <v>0</v>
      </c>
      <c r="C1345" s="25">
        <f>IFERROR(INDEX('Hun Demand'!U:U,MATCH(O1345,'Hun Demand'!A:A,0)),"")</f>
        <v>0</v>
      </c>
      <c r="D1345" s="25">
        <f>IFERROR(INDEX('Hun Demand'!T:T,MATCH(O1345,'Hun Demand'!A:A,0)),"")</f>
        <v>0</v>
      </c>
      <c r="E1345" s="25">
        <f>IFERROR(INDEX('Hun Demand'!S:S,MATCH(O1345,'Hun Demand'!A:A,0)),"")</f>
        <v>0</v>
      </c>
      <c r="F1345" s="25">
        <f>IFERROR(INDEX('Hun Demand'!R:R,MATCH(O1345,'Hun Demand'!A:A,0)),"")</f>
        <v>0</v>
      </c>
      <c r="G1345" s="25">
        <f>IFERROR(INDEX('Aub Demand'!W:W,MATCH(O1345,'Aub Demand'!A:A,0)),"")</f>
        <v>165</v>
      </c>
      <c r="H1345" s="25">
        <f>IFERROR(INDEX('Aub Demand'!V:V,MATCH(O1345,'Aub Demand'!A:A,0)),"")</f>
        <v>163</v>
      </c>
      <c r="I1345" s="25">
        <f>IFERROR(INDEX('Aub Demand'!U:U,MATCH(O1345,'Aub Demand'!A:A,0)),"")</f>
        <v>105</v>
      </c>
      <c r="J1345" s="25">
        <f>IFERROR(INDEX('Aub Demand'!T:T,MATCH(O1345,'Aub Demand'!A:A,0)),"")</f>
        <v>63</v>
      </c>
      <c r="K1345" s="25">
        <f>IFERROR(INDEX('Aub Demand'!S:S,MATCH(O1345,'Aub Demand'!A:A,0)),"")</f>
        <v>307</v>
      </c>
      <c r="L1345" s="25">
        <f>IFERROR(INDEX('Aub Demand'!R:R,MATCH(O1345,'Aub Demand'!A:A,0)),"")</f>
        <v>10</v>
      </c>
      <c r="O1345" s="27" t="s">
        <v>2946</v>
      </c>
      <c r="P1345" s="27" t="str">
        <f>IFERROR(INDEX('Aub Demand'!B:B,MATCH($O1345,'Aub Demand'!$A:$A,0)),"")</f>
        <v>MEDITATION ELM</v>
      </c>
      <c r="Q1345" s="27" t="str">
        <f>IFERROR(INDEX('Aub Demand'!C:C,MATCH($O1345,'Aub Demand'!$A:$A,0)),"")</f>
        <v>INTER</v>
      </c>
      <c r="R1345" s="52">
        <f>IFERROR(IF(AR1346=AR1345,INDEX('Aub Demand'!K:K,MATCH($O1345,'Aub Demand'!$A:$A,0))-IF(AN1345="",0,AN1345)+AP1346,INDEX('Aub Demand'!K:K,MATCH($O1345,'Aub Demand'!$A:$A,0))-IF(AN1345="",0,AN1345)),"")</f>
        <v>1313</v>
      </c>
      <c r="S1345" s="53">
        <f t="shared" si="560"/>
        <v>35.6</v>
      </c>
      <c r="T1345" s="52" t="str">
        <f t="shared" si="561"/>
        <v/>
      </c>
      <c r="U1345" s="52">
        <f>IFERROR(IF(AR1346=AR1345,INDEX('Aub Demand'!Q:Q,MATCH($O1345,'Aub Demand'!$A:$A,0))-IF(AN1345="",0,AN1345)+AP1346,INDEX('Aub Demand'!Q:Q,MATCH($O1345,'Aub Demand'!$A:$A,0))-IF(AN1345="",0,AN1345)),"")</f>
        <v>1206</v>
      </c>
      <c r="V1345" s="53">
        <f t="shared" si="562"/>
        <v>32.700000000000003</v>
      </c>
      <c r="W1345" s="52" t="str">
        <f t="shared" si="563"/>
        <v/>
      </c>
      <c r="X1345" s="52">
        <f>IFERROR(IF(AND(AR1346=AR1345,AM1345&lt;&gt;""),INDEX('Aub Demand'!Q:Q,MATCH($O1345,'Aub Demand'!$A:$A,0))-IF(AN1345="",0,AN1345)+AP1346+AD1345+AL1345,IF(AR1346=AR1345,INDEX('Aub Demand'!Q:Q,MATCH($O1345,'Aub Demand'!$A:$A,0))-IF(AN1345="",0,AN1345)+AP1346+AD1345,IF(AM1345&lt;&gt;"",INDEX('Aub Demand'!Q:Q,MATCH($O1345,'Aub Demand'!$A:$A,0))-IF(AN1345="",0,AN1345)+AD1345+AL1345,INDEX('Aub Demand'!Q:Q,MATCH($O1345,'Aub Demand'!$A:$A,0))-IF(AN1345="",0,AN1345)+AD1345))),"")</f>
        <v>1206</v>
      </c>
      <c r="Y1345" s="53">
        <f t="shared" si="564"/>
        <v>32.700000000000003</v>
      </c>
      <c r="Z1345" s="52">
        <f>IF(L1345="","",INDEX('Aub Demand'!H:H,MATCH($O1345,'Aub Demand'!$A:$A,0)))</f>
        <v>158</v>
      </c>
      <c r="AA1345" s="52">
        <f t="shared" si="565"/>
        <v>206</v>
      </c>
      <c r="AB1345" s="52">
        <f>IFERROR(INDEX('Aub Demand'!L:L,MATCH($O1345,'Aub Demand'!$A:$A,0)),"")</f>
        <v>281</v>
      </c>
      <c r="AC1345" s="52">
        <f>IFERROR(IF(O1345="","",SUMIFS('CPL Mats'!F:F,'CPL Mats'!Q:Q,AR1345,'CPL Mats'!S:S,AS1345)),"")</f>
        <v>3458.47</v>
      </c>
      <c r="AF1345" s="25" t="str">
        <f>IF(SUMIFS('Supp Consol'!S:S,'Supp Consol'!Y:Y,"Releasable",'Supp Consol'!A:A,O1345)=0,"",SUMIFS('Supp Consol'!S:S,'Supp Consol'!Y:Y,"Releasable",'Supp Consol'!A:A,O1345))</f>
        <v/>
      </c>
      <c r="AG1345" s="25">
        <f>IFERROR(INDEX('Hun Demand'!Q:Q,MATCH(O1345,'Hun Demand'!A:A,0)),"")</f>
        <v>99</v>
      </c>
      <c r="AH1345" s="25">
        <f>IFERROR(INDEX('Hun Demand'!H:H,MATCH($O1345,'Hun Demand'!$A:$A,0)),"")</f>
        <v>0</v>
      </c>
      <c r="AI1345" s="25" t="str">
        <f>IF(SUMIFS('Supp Consol'!AA:AA,'Supp Consol'!Z:Z,"Expires this month",'Supp Consol'!A:A,O1345)=0,"",SUMIFS('Supp Consol'!AA:AA,'Supp Consol'!Z:Z,"Expires this month",'Supp Consol'!A:A,O1345))</f>
        <v/>
      </c>
      <c r="AJ1345" s="25" t="str">
        <f>IF(SUMIFS('Supp Consol'!AA:AA,'Supp Consol'!Z:Z,"Expired Previous Months",'Supp Consol'!A:A,O1345)=0,"",SUMIFS('Supp Consol'!AA:AA,'Supp Consol'!Z:Z,"Expired Previous Months",'Supp Consol'!A:A,O1345))</f>
        <v/>
      </c>
      <c r="AK1345" s="25" t="str">
        <f>IFERROR(INDEX('Hun Release Current'!B:B,MATCH(O1345,'Hun Release Current'!A:A,0)),"")</f>
        <v/>
      </c>
      <c r="AL1345" s="25" t="str">
        <f>IF(SUMIF('Prev Aub'!A:A,O1345,'Prev Aub'!B:B)=0,"",SUMIF('Prev Aub'!A:A,O1345,'Prev Aub'!B:B))</f>
        <v/>
      </c>
      <c r="AN1345" s="25" t="s">
        <v>3790</v>
      </c>
      <c r="AO1345" s="25" t="s">
        <v>3790</v>
      </c>
      <c r="AP1345" s="25">
        <f t="shared" si="566"/>
        <v>0</v>
      </c>
      <c r="AQ1345" s="151" t="str">
        <f>IF(SUMIFS('Supp Consol'!S:S,'Supp Consol'!A:A,O1345,'Supp Consol'!I:I,"PENDING")=0,"",SUMIFS('Supp Consol'!S:S,'Supp Consol'!A:A,O1345,'Supp Consol'!I:I,"PENDING"))</f>
        <v/>
      </c>
      <c r="AR1345" s="27" t="str">
        <f t="shared" si="567"/>
        <v>WE270</v>
      </c>
      <c r="AS1345" s="27" t="str">
        <f t="shared" si="568"/>
        <v>50</v>
      </c>
      <c r="AT1345" s="27" t="str">
        <f t="shared" si="569"/>
        <v/>
      </c>
      <c r="AU1345" s="27" t="str">
        <f t="shared" si="570"/>
        <v/>
      </c>
      <c r="AV1345" s="27" t="str">
        <f t="shared" si="571"/>
        <v/>
      </c>
      <c r="AW1345" s="27" t="str">
        <f t="shared" si="572"/>
        <v/>
      </c>
      <c r="AX1345" s="27" t="str">
        <f t="shared" si="573"/>
        <v/>
      </c>
      <c r="AY1345" s="27" t="str">
        <f t="shared" si="574"/>
        <v>WE270</v>
      </c>
      <c r="AZ1345" s="27" t="str">
        <f t="shared" si="575"/>
        <v/>
      </c>
      <c r="BA1345" s="27" t="str">
        <f t="shared" si="576"/>
        <v>Hun</v>
      </c>
      <c r="BB1345" s="27" t="str">
        <f t="shared" si="577"/>
        <v/>
      </c>
      <c r="BC1345" s="27" t="str">
        <f t="shared" si="578"/>
        <v/>
      </c>
      <c r="BD1345" s="27" t="str">
        <f t="shared" si="579"/>
        <v/>
      </c>
      <c r="BE1345" s="27" t="str">
        <f t="shared" si="580"/>
        <v/>
      </c>
      <c r="BF1345" s="27" t="str">
        <f t="shared" si="581"/>
        <v/>
      </c>
      <c r="BG1345" s="27" t="str">
        <f t="shared" si="582"/>
        <v/>
      </c>
      <c r="BH1345" s="27" t="str">
        <f t="shared" si="583"/>
        <v/>
      </c>
      <c r="BI1345" s="27" t="str">
        <f t="shared" si="584"/>
        <v/>
      </c>
      <c r="BJ1345" s="27" t="str">
        <f t="shared" si="585"/>
        <v>Supp or Hun</v>
      </c>
      <c r="BK1345" s="27" t="str">
        <f t="shared" si="586"/>
        <v/>
      </c>
      <c r="BL1345" s="27" t="str">
        <f t="shared" si="587"/>
        <v/>
      </c>
      <c r="BM1345" s="21" t="s">
        <v>5581</v>
      </c>
    </row>
    <row r="1346" spans="1:65" ht="15">
      <c r="A1346" s="25">
        <f>IFERROR(INDEX('Hun Demand'!W:W,MATCH(O1346,'Hun Demand'!A:A,0)),"")</f>
        <v>0</v>
      </c>
      <c r="B1346" s="25">
        <f>IFERROR(INDEX('Hun Demand'!V:V,MATCH(O1346,'Hun Demand'!A:A,0)),"")</f>
        <v>0</v>
      </c>
      <c r="C1346" s="25">
        <f>IFERROR(INDEX('Hun Demand'!U:U,MATCH(O1346,'Hun Demand'!A:A,0)),"")</f>
        <v>0</v>
      </c>
      <c r="D1346" s="25">
        <f>IFERROR(INDEX('Hun Demand'!T:T,MATCH(O1346,'Hun Demand'!A:A,0)),"")</f>
        <v>0</v>
      </c>
      <c r="E1346" s="25">
        <f>IFERROR(INDEX('Hun Demand'!S:S,MATCH(O1346,'Hun Demand'!A:A,0)),"")</f>
        <v>0</v>
      </c>
      <c r="F1346" s="25">
        <f>IFERROR(INDEX('Hun Demand'!R:R,MATCH(O1346,'Hun Demand'!A:A,0)),"")</f>
        <v>0</v>
      </c>
      <c r="G1346" s="25">
        <f>IFERROR(INDEX('Aub Demand'!W:W,MATCH(O1346,'Aub Demand'!A:A,0)),"")</f>
        <v>195</v>
      </c>
      <c r="H1346" s="25">
        <f>IFERROR(INDEX('Aub Demand'!V:V,MATCH(O1346,'Aub Demand'!A:A,0)),"")</f>
        <v>0</v>
      </c>
      <c r="I1346" s="25">
        <f>IFERROR(INDEX('Aub Demand'!U:U,MATCH(O1346,'Aub Demand'!A:A,0)),"")</f>
        <v>58</v>
      </c>
      <c r="J1346" s="25">
        <f>IFERROR(INDEX('Aub Demand'!T:T,MATCH(O1346,'Aub Demand'!A:A,0)),"")</f>
        <v>20</v>
      </c>
      <c r="K1346" s="25">
        <f>IFERROR(INDEX('Aub Demand'!S:S,MATCH(O1346,'Aub Demand'!A:A,0)),"")</f>
        <v>12</v>
      </c>
      <c r="L1346" s="25">
        <f>IFERROR(INDEX('Aub Demand'!R:R,MATCH(O1346,'Aub Demand'!A:A,0)),"")</f>
        <v>101</v>
      </c>
      <c r="O1346" s="27" t="s">
        <v>2948</v>
      </c>
      <c r="P1346" s="27" t="str">
        <f>IFERROR(INDEX('Aub Demand'!B:B,MATCH($O1346,'Aub Demand'!$A:$A,0)),"")</f>
        <v>MEDITATION ELM</v>
      </c>
      <c r="Q1346" s="27" t="str">
        <f>IFERROR(INDEX('Aub Demand'!C:C,MATCH($O1346,'Aub Demand'!$A:$A,0)),"")</f>
        <v>INTER</v>
      </c>
      <c r="R1346" s="52">
        <f>IFERROR(IF(AR1347=AR1346,INDEX('Aub Demand'!K:K,MATCH($O1346,'Aub Demand'!$A:$A,0))-IF(AN1346="",0,AN1346)+AP1347,INDEX('Aub Demand'!K:K,MATCH($O1346,'Aub Demand'!$A:$A,0))-IF(AN1346="",0,AN1346)),"")</f>
        <v>1063</v>
      </c>
      <c r="S1346" s="53">
        <f t="shared" si="560"/>
        <v>151.9</v>
      </c>
      <c r="T1346" s="52" t="str">
        <f t="shared" si="561"/>
        <v/>
      </c>
      <c r="U1346" s="52">
        <f>IFERROR(IF(AR1347=AR1346,INDEX('Aub Demand'!Q:Q,MATCH($O1346,'Aub Demand'!$A:$A,0))-IF(AN1346="",0,AN1346)+AP1347,INDEX('Aub Demand'!Q:Q,MATCH($O1346,'Aub Demand'!$A:$A,0))-IF(AN1346="",0,AN1346)),"")</f>
        <v>1023</v>
      </c>
      <c r="V1346" s="53">
        <f t="shared" si="562"/>
        <v>146.1</v>
      </c>
      <c r="W1346" s="52" t="str">
        <f t="shared" si="563"/>
        <v/>
      </c>
      <c r="X1346" s="52">
        <f>IFERROR(IF(AND(AR1347=AR1346,AM1346&lt;&gt;""),INDEX('Aub Demand'!Q:Q,MATCH($O1346,'Aub Demand'!$A:$A,0))-IF(AN1346="",0,AN1346)+AP1347+AD1346+AL1346,IF(AR1347=AR1346,INDEX('Aub Demand'!Q:Q,MATCH($O1346,'Aub Demand'!$A:$A,0))-IF(AN1346="",0,AN1346)+AP1347+AD1346,IF(AM1346&lt;&gt;"",INDEX('Aub Demand'!Q:Q,MATCH($O1346,'Aub Demand'!$A:$A,0))-IF(AN1346="",0,AN1346)+AD1346+AL1346,INDEX('Aub Demand'!Q:Q,MATCH($O1346,'Aub Demand'!$A:$A,0))-IF(AN1346="",0,AN1346)+AD1346))),"")</f>
        <v>1023</v>
      </c>
      <c r="Y1346" s="53">
        <f t="shared" si="564"/>
        <v>146.1</v>
      </c>
      <c r="Z1346" s="52">
        <f>IF(L1346="","",INDEX('Aub Demand'!H:H,MATCH($O1346,'Aub Demand'!$A:$A,0)))</f>
        <v>30</v>
      </c>
      <c r="AA1346" s="52">
        <f t="shared" si="565"/>
        <v>79.5</v>
      </c>
      <c r="AB1346" s="52">
        <f>IFERROR(INDEX('Aub Demand'!L:L,MATCH($O1346,'Aub Demand'!$A:$A,0)),"")</f>
        <v>23</v>
      </c>
      <c r="AC1346" s="52">
        <f>IFERROR(IF(O1346="","",SUMIFS('CPL Mats'!F:F,'CPL Mats'!Q:Q,AR1346,'CPL Mats'!S:S,AS1346)),"")</f>
        <v>0</v>
      </c>
      <c r="AF1346" s="25" t="str">
        <f>IF(SUMIFS('Supp Consol'!S:S,'Supp Consol'!Y:Y,"Releasable",'Supp Consol'!A:A,O1346)=0,"",SUMIFS('Supp Consol'!S:S,'Supp Consol'!Y:Y,"Releasable",'Supp Consol'!A:A,O1346))</f>
        <v/>
      </c>
      <c r="AG1346" s="25">
        <f>IFERROR(INDEX('Hun Demand'!Q:Q,MATCH(O1346,'Hun Demand'!A:A,0)),"")</f>
        <v>-83</v>
      </c>
      <c r="AH1346" s="25">
        <f>IFERROR(INDEX('Hun Demand'!H:H,MATCH($O1346,'Hun Demand'!$A:$A,0)),"")</f>
        <v>0</v>
      </c>
      <c r="AI1346" s="25" t="str">
        <f>IF(SUMIFS('Supp Consol'!AA:AA,'Supp Consol'!Z:Z,"Expires this month",'Supp Consol'!A:A,O1346)=0,"",SUMIFS('Supp Consol'!AA:AA,'Supp Consol'!Z:Z,"Expires this month",'Supp Consol'!A:A,O1346))</f>
        <v/>
      </c>
      <c r="AJ1346" s="25" t="str">
        <f>IF(SUMIFS('Supp Consol'!AA:AA,'Supp Consol'!Z:Z,"Expired Previous Months",'Supp Consol'!A:A,O1346)=0,"",SUMIFS('Supp Consol'!AA:AA,'Supp Consol'!Z:Z,"Expired Previous Months",'Supp Consol'!A:A,O1346))</f>
        <v/>
      </c>
      <c r="AK1346" s="25" t="str">
        <f>IFERROR(INDEX('Hun Release Current'!B:B,MATCH(O1346,'Hun Release Current'!A:A,0)),"")</f>
        <v/>
      </c>
      <c r="AL1346" s="25" t="str">
        <f>IF(SUMIF('Prev Aub'!A:A,O1346,'Prev Aub'!B:B)=0,"",SUMIF('Prev Aub'!A:A,O1346,'Prev Aub'!B:B))</f>
        <v/>
      </c>
      <c r="AN1346" s="25" t="s">
        <v>3790</v>
      </c>
      <c r="AO1346" s="25" t="s">
        <v>3790</v>
      </c>
      <c r="AP1346" s="25">
        <f t="shared" si="566"/>
        <v>0</v>
      </c>
      <c r="AQ1346" s="151" t="str">
        <f>IF(SUMIFS('Supp Consol'!S:S,'Supp Consol'!A:A,O1346,'Supp Consol'!I:I,"PENDING")=0,"",SUMIFS('Supp Consol'!S:S,'Supp Consol'!A:A,O1346,'Supp Consol'!I:I,"PENDING"))</f>
        <v/>
      </c>
      <c r="AR1346" s="27" t="str">
        <f t="shared" si="567"/>
        <v>WE270</v>
      </c>
      <c r="AS1346" s="27" t="str">
        <f t="shared" si="568"/>
        <v>62</v>
      </c>
      <c r="AT1346" s="27" t="str">
        <f t="shared" si="569"/>
        <v/>
      </c>
      <c r="AU1346" s="27" t="str">
        <f t="shared" si="570"/>
        <v/>
      </c>
      <c r="AV1346" s="27" t="str">
        <f t="shared" si="571"/>
        <v/>
      </c>
      <c r="AW1346" s="27" t="str">
        <f t="shared" si="572"/>
        <v/>
      </c>
      <c r="AX1346" s="27" t="str">
        <f t="shared" si="573"/>
        <v/>
      </c>
      <c r="AY1346" s="27" t="str">
        <f t="shared" si="574"/>
        <v/>
      </c>
      <c r="AZ1346" s="27" t="str">
        <f t="shared" si="575"/>
        <v/>
      </c>
      <c r="BA1346" s="27" t="str">
        <f t="shared" si="576"/>
        <v>Hun</v>
      </c>
      <c r="BB1346" s="27" t="str">
        <f t="shared" si="577"/>
        <v/>
      </c>
      <c r="BC1346" s="27" t="str">
        <f t="shared" si="578"/>
        <v/>
      </c>
      <c r="BD1346" s="27" t="str">
        <f t="shared" si="579"/>
        <v/>
      </c>
      <c r="BE1346" s="27" t="str">
        <f t="shared" si="580"/>
        <v/>
      </c>
      <c r="BF1346" s="27" t="str">
        <f t="shared" si="581"/>
        <v/>
      </c>
      <c r="BG1346" s="27" t="str">
        <f t="shared" si="582"/>
        <v/>
      </c>
      <c r="BH1346" s="27" t="str">
        <f t="shared" si="583"/>
        <v/>
      </c>
      <c r="BI1346" s="27" t="str">
        <f t="shared" si="584"/>
        <v/>
      </c>
      <c r="BJ1346" s="27" t="str">
        <f t="shared" si="585"/>
        <v>Supp or Hun</v>
      </c>
      <c r="BK1346" s="27" t="str">
        <f t="shared" si="586"/>
        <v/>
      </c>
      <c r="BL1346" s="27" t="str">
        <f t="shared" si="587"/>
        <v/>
      </c>
      <c r="BM1346" s="21" t="s">
        <v>5581</v>
      </c>
    </row>
    <row r="1347" spans="1:65" ht="15">
      <c r="A1347" s="25" t="str">
        <f>IFERROR(INDEX('Hun Demand'!W:W,MATCH(O1347,'Hun Demand'!A:A,0)),"")</f>
        <v/>
      </c>
      <c r="B1347" s="25" t="str">
        <f>IFERROR(INDEX('Hun Demand'!V:V,MATCH(O1347,'Hun Demand'!A:A,0)),"")</f>
        <v/>
      </c>
      <c r="C1347" s="25" t="str">
        <f>IFERROR(INDEX('Hun Demand'!U:U,MATCH(O1347,'Hun Demand'!A:A,0)),"")</f>
        <v/>
      </c>
      <c r="D1347" s="25" t="str">
        <f>IFERROR(INDEX('Hun Demand'!T:T,MATCH(O1347,'Hun Demand'!A:A,0)),"")</f>
        <v/>
      </c>
      <c r="E1347" s="25" t="str">
        <f>IFERROR(INDEX('Hun Demand'!S:S,MATCH(O1347,'Hun Demand'!A:A,0)),"")</f>
        <v/>
      </c>
      <c r="F1347" s="25" t="str">
        <f>IFERROR(INDEX('Hun Demand'!R:R,MATCH(O1347,'Hun Demand'!A:A,0)),"")</f>
        <v/>
      </c>
      <c r="G1347" s="25">
        <f>IFERROR(INDEX('Aub Demand'!W:W,MATCH(O1347,'Aub Demand'!A:A,0)),"")</f>
        <v>30</v>
      </c>
      <c r="H1347" s="25">
        <f>IFERROR(INDEX('Aub Demand'!V:V,MATCH(O1347,'Aub Demand'!A:A,0)),"")</f>
        <v>0</v>
      </c>
      <c r="I1347" s="25">
        <f>IFERROR(INDEX('Aub Demand'!U:U,MATCH(O1347,'Aub Demand'!A:A,0)),"")</f>
        <v>2</v>
      </c>
      <c r="J1347" s="25">
        <f>IFERROR(INDEX('Aub Demand'!T:T,MATCH(O1347,'Aub Demand'!A:A,0)),"")</f>
        <v>0</v>
      </c>
      <c r="K1347" s="25">
        <f>IFERROR(INDEX('Aub Demand'!S:S,MATCH(O1347,'Aub Demand'!A:A,0)),"")</f>
        <v>0</v>
      </c>
      <c r="L1347" s="25">
        <f>IFERROR(INDEX('Aub Demand'!R:R,MATCH(O1347,'Aub Demand'!A:A,0)),"")</f>
        <v>0</v>
      </c>
      <c r="O1347" s="27" t="s">
        <v>1669</v>
      </c>
      <c r="P1347" s="27" t="str">
        <f>IFERROR(INDEX('Aub Demand'!B:B,MATCH($O1347,'Aub Demand'!$A:$A,0)),"")</f>
        <v>WINDSOR ELM</v>
      </c>
      <c r="Q1347" s="27" t="str">
        <f>IFERROR(INDEX('Aub Demand'!C:C,MATCH($O1347,'Aub Demand'!$A:$A,0)),"")</f>
        <v>TOPPA</v>
      </c>
      <c r="R1347" s="52">
        <f>IFERROR(IF(AR1348=AR1347,INDEX('Aub Demand'!K:K,MATCH($O1347,'Aub Demand'!$A:$A,0))-IF(AN1347="",0,AN1347)+AP1348,INDEX('Aub Demand'!K:K,MATCH($O1347,'Aub Demand'!$A:$A,0))-IF(AN1347="",0,AN1347)),"")</f>
        <v>406</v>
      </c>
      <c r="S1347" s="53">
        <f t="shared" ref="S1347:S1410" si="588">IFERROR(IF(O1347="","",ROUND(R1347/((Z1347/30)*7),1)),"n/a")</f>
        <v>1740</v>
      </c>
      <c r="T1347" s="52" t="str">
        <f t="shared" ref="T1347:T1410" si="589">IFERROR(IF(S1347&lt;3.1,IF(AA1347="spike",(3-S1347)*(Z1347/4),(3-S1347)*(AA1347/4)),""),"")</f>
        <v/>
      </c>
      <c r="U1347" s="52">
        <f>IFERROR(IF(AR1348=AR1347,INDEX('Aub Demand'!Q:Q,MATCH($O1347,'Aub Demand'!$A:$A,0))-IF(AN1347="",0,AN1347)+AP1348,INDEX('Aub Demand'!Q:Q,MATCH($O1347,'Aub Demand'!$A:$A,0))-IF(AN1347="",0,AN1347)),"")</f>
        <v>406</v>
      </c>
      <c r="V1347" s="53">
        <f t="shared" ref="V1347:V1410" si="590">IFERROR(IF(O1347="","",ROUND(U1347/((Z1347/30)*7),1)),"n/a")</f>
        <v>1740</v>
      </c>
      <c r="W1347" s="52" t="str">
        <f t="shared" ref="W1347:W1410" si="591">IF(IFERROR(IF(V1347&lt;3.1,IF(AA1347="spike",(3-V1347)*(Z1347/4),(3-V1347)*(AA1347/4)),""),"")&lt;0,0,IFERROR(IF(V1347&lt;3.1,IF(AA1347="spike",(3-V1347)*(Z1347/4),(3-V1347)*(AA1347/4)),""),""))</f>
        <v/>
      </c>
      <c r="X1347" s="52">
        <f>IFERROR(IF(AND(AR1348=AR1347,AM1347&lt;&gt;""),INDEX('Aub Demand'!Q:Q,MATCH($O1347,'Aub Demand'!$A:$A,0))-IF(AN1347="",0,AN1347)+AP1348+AD1347+AL1347,IF(AR1348=AR1347,INDEX('Aub Demand'!Q:Q,MATCH($O1347,'Aub Demand'!$A:$A,0))-IF(AN1347="",0,AN1347)+AP1348+AD1347,IF(AM1347&lt;&gt;"",INDEX('Aub Demand'!Q:Q,MATCH($O1347,'Aub Demand'!$A:$A,0))-IF(AN1347="",0,AN1347)+AD1347+AL1347,INDEX('Aub Demand'!Q:Q,MATCH($O1347,'Aub Demand'!$A:$A,0))-IF(AN1347="",0,AN1347)+AD1347))),"")</f>
        <v>406</v>
      </c>
      <c r="Y1347" s="53">
        <f t="shared" ref="Y1347:Y1410" si="592">IFERROR(IF(O1347="","",ROUND(X1347/((Z1347/30)*7),1)),"n/a")</f>
        <v>1740</v>
      </c>
      <c r="Z1347" s="52">
        <f>IF(L1347="","",INDEX('Aub Demand'!H:H,MATCH($O1347,'Aub Demand'!$A:$A,0)))</f>
        <v>1</v>
      </c>
      <c r="AA1347" s="52" t="str">
        <f t="shared" ref="AA1347:AA1410" si="593">IF(L1347="","",IF(LARGE(I1347:L1347,2)=0,"-spike-",AVERAGE(LARGE(I1347:L1347,1),LARGE(I1347:L1347,2))))</f>
        <v>-spike-</v>
      </c>
      <c r="AB1347" s="52">
        <f>IFERROR(INDEX('Aub Demand'!L:L,MATCH($O1347,'Aub Demand'!$A:$A,0)),"")</f>
        <v>3</v>
      </c>
      <c r="AC1347" s="52">
        <f>IFERROR(IF(O1347="","",SUMIFS('CPL Mats'!F:F,'CPL Mats'!Q:Q,AR1347,'CPL Mats'!S:S,AS1347)),"")</f>
        <v>0</v>
      </c>
      <c r="AF1347" s="25" t="str">
        <f>IF(SUMIFS('Supp Consol'!S:S,'Supp Consol'!Y:Y,"Releasable",'Supp Consol'!A:A,O1347)=0,"",SUMIFS('Supp Consol'!S:S,'Supp Consol'!Y:Y,"Releasable",'Supp Consol'!A:A,O1347))</f>
        <v/>
      </c>
      <c r="AG1347" s="25" t="str">
        <f>IFERROR(INDEX('Hun Demand'!Q:Q,MATCH(O1347,'Hun Demand'!A:A,0)),"")</f>
        <v/>
      </c>
      <c r="AH1347" s="25" t="str">
        <f>IFERROR(INDEX('Hun Demand'!H:H,MATCH($O1347,'Hun Demand'!$A:$A,0)),"")</f>
        <v/>
      </c>
      <c r="AI1347" s="25" t="str">
        <f>IF(SUMIFS('Supp Consol'!AA:AA,'Supp Consol'!Z:Z,"Expires this month",'Supp Consol'!A:A,O1347)=0,"",SUMIFS('Supp Consol'!AA:AA,'Supp Consol'!Z:Z,"Expires this month",'Supp Consol'!A:A,O1347))</f>
        <v/>
      </c>
      <c r="AJ1347" s="25" t="str">
        <f>IF(SUMIFS('Supp Consol'!AA:AA,'Supp Consol'!Z:Z,"Expired Previous Months",'Supp Consol'!A:A,O1347)=0,"",SUMIFS('Supp Consol'!AA:AA,'Supp Consol'!Z:Z,"Expired Previous Months",'Supp Consol'!A:A,O1347))</f>
        <v/>
      </c>
      <c r="AK1347" s="25" t="str">
        <f>IFERROR(INDEX('Hun Release Current'!B:B,MATCH(O1347,'Hun Release Current'!A:A,0)),"")</f>
        <v/>
      </c>
      <c r="AL1347" s="25" t="str">
        <f>IF(SUMIF('Prev Aub'!A:A,O1347,'Prev Aub'!B:B)=0,"",SUMIF('Prev Aub'!A:A,O1347,'Prev Aub'!B:B))</f>
        <v/>
      </c>
      <c r="AN1347" s="25" t="s">
        <v>3790</v>
      </c>
      <c r="AO1347" s="25" t="s">
        <v>3790</v>
      </c>
      <c r="AP1347" s="25">
        <f t="shared" ref="AP1347:AP1410" si="594">IFERROR(IF(O1347="","",IF(AN1347="",0,VALUE(AN1347)-(VALUE(AN1347)*0.2))),"")</f>
        <v>0</v>
      </c>
      <c r="AQ1347" s="151" t="str">
        <f>IF(SUMIFS('Supp Consol'!S:S,'Supp Consol'!A:A,O1347,'Supp Consol'!I:I,"PENDING")=0,"",SUMIFS('Supp Consol'!S:S,'Supp Consol'!A:A,O1347,'Supp Consol'!I:I,"PENDING"))</f>
        <v/>
      </c>
      <c r="AR1347" s="27" t="str">
        <f t="shared" ref="AR1347:AR1410" si="595">MID(O1347,4,5)</f>
        <v>WE280</v>
      </c>
      <c r="AS1347" s="27" t="str">
        <f t="shared" ref="AS1347:AS1410" si="596">MID(O1347,10,2)</f>
        <v>50</v>
      </c>
      <c r="AT1347" s="27" t="str">
        <f t="shared" ref="AT1347:AT1410" si="597">IF(S1347&lt;3.1,AR1347,"")</f>
        <v/>
      </c>
      <c r="AU1347" s="27" t="str">
        <f t="shared" ref="AU1347:AU1410" si="598">IF(Y1347&lt;3.1,AR1347,"")</f>
        <v/>
      </c>
      <c r="AV1347" s="27" t="str">
        <f t="shared" ref="AV1347:AV1410" si="599">IF(AND(AA1347="Spike",L1347=0,K1347=0,X1347&gt;=0),"",IF(Y1347&lt;3.1,AR1347,""))</f>
        <v/>
      </c>
      <c r="AW1347" s="27" t="str">
        <f t="shared" ref="AW1347:AW1410" si="600">IF(AI1347=AL1347,"",IF(OR(AI1347&lt;&gt;"",AJ1347&lt;&gt;""),AR1347,""))</f>
        <v/>
      </c>
      <c r="AX1347" s="27" t="str">
        <f t="shared" ref="AX1347:AX1410" si="601">IF(AF1347&lt;&gt;"",AR1347,"")</f>
        <v/>
      </c>
      <c r="AY1347" s="27" t="str">
        <f t="shared" ref="AY1347:AY1410" si="602">IF(AND(AG1347&lt;&gt;"",AG1347&gt;AH1347),AR1347,"")</f>
        <v/>
      </c>
      <c r="AZ1347" s="27" t="str">
        <f t="shared" ref="AZ1347:AZ1410" si="603">IFERROR(IF(O1347="","",IF(ISERROR(MATCH(AR1347,AX:AX,0)),"","Supp")),"")</f>
        <v/>
      </c>
      <c r="BA1347" s="27" t="str">
        <f t="shared" ref="BA1347:BA1410" si="604">IFERROR(IF(O1347="","",IF(ISERROR(MATCH(AR1347,AY:AY,0)),"","Hun")),"")</f>
        <v/>
      </c>
      <c r="BB1347" s="27" t="str">
        <f t="shared" ref="BB1347:BB1410" si="605">IFERROR(IF(O1347="","",IF(ISERROR(MATCH(AR1347,AT:AT,0)),"","Gross")),"")</f>
        <v/>
      </c>
      <c r="BC1347" s="27" t="str">
        <f t="shared" ref="BC1347:BC1410" si="606">IFERROR(IF(O1347="","",IF(ISERROR(MATCH(AR1347,AU:AU,0)),"","Net")),"")</f>
        <v/>
      </c>
      <c r="BD1347" s="27" t="str">
        <f t="shared" ref="BD1347:BD1410" si="607">IFERROR(IF(O1347="","",IF(ISERROR(MATCH(AR1347,AV:AV,0)),"","Net")),"")</f>
        <v/>
      </c>
      <c r="BE1347" s="27" t="str">
        <f t="shared" ref="BE1347:BE1410" si="608">IFERROR(IF(O1347="","",IF(ISERROR(MATCH(AR1347,AW:AW,0)),"","Exp")),"")</f>
        <v/>
      </c>
      <c r="BF1347" s="27" t="str">
        <f t="shared" ref="BF1347:BF1410" si="609">IFERROR(IF(O1347="","",IF(AND(AZ1347="Supp",BC1347="Net"),"S+N","")),"")</f>
        <v/>
      </c>
      <c r="BG1347" s="27" t="str">
        <f t="shared" ref="BG1347:BG1410" si="610">IFERROR(IF(O1347="","",IF(OR(BE1347&lt;&gt;"",BF1347&lt;&gt;""),"S+NorE","")),"")</f>
        <v/>
      </c>
      <c r="BH1347" s="27" t="str">
        <f t="shared" ref="BH1347:BH1410" si="611">IFERROR(IF(O1347="","",IF(AND(BA1347&lt;&gt;"",BC1347&lt;&gt;""),"H+N","")),"")</f>
        <v/>
      </c>
      <c r="BI1347" s="27" t="str">
        <f t="shared" ref="BI1347:BI1410" si="612">IFERROR(IF(O1347="","",IF(AND(BA1347&lt;&gt;"",BD1347&lt;&gt;""),"H+Nex","")),"")</f>
        <v/>
      </c>
      <c r="BJ1347" s="27" t="str">
        <f t="shared" ref="BJ1347:BJ1410" si="613">IF(OR(AZ1347&lt;&gt;"",BA1347&lt;&gt;""),"Supp or Hun","")</f>
        <v/>
      </c>
      <c r="BK1347" s="27" t="str">
        <f t="shared" ref="BK1347:BK1410" si="614">IF(AND(BJ1347&lt;&gt;"",BC1347&lt;&gt;""),"Supp or Hun Need","")</f>
        <v/>
      </c>
      <c r="BL1347" s="27" t="str">
        <f t="shared" ref="BL1347:BL1410" si="615">IF(OR(BK1347&lt;&gt;"",BE1347&lt;&gt;""),"SorHandNandE","")</f>
        <v/>
      </c>
      <c r="BM1347" s="21" t="s">
        <v>5581</v>
      </c>
    </row>
    <row r="1348" spans="1:65" ht="15">
      <c r="A1348" s="25" t="str">
        <f>IFERROR(INDEX('Hun Demand'!W:W,MATCH(O1348,'Hun Demand'!A:A,0)),"")</f>
        <v/>
      </c>
      <c r="B1348" s="25" t="str">
        <f>IFERROR(INDEX('Hun Demand'!V:V,MATCH(O1348,'Hun Demand'!A:A,0)),"")</f>
        <v/>
      </c>
      <c r="C1348" s="25" t="str">
        <f>IFERROR(INDEX('Hun Demand'!U:U,MATCH(O1348,'Hun Demand'!A:A,0)),"")</f>
        <v/>
      </c>
      <c r="D1348" s="25" t="str">
        <f>IFERROR(INDEX('Hun Demand'!T:T,MATCH(O1348,'Hun Demand'!A:A,0)),"")</f>
        <v/>
      </c>
      <c r="E1348" s="25" t="str">
        <f>IFERROR(INDEX('Hun Demand'!S:S,MATCH(O1348,'Hun Demand'!A:A,0)),"")</f>
        <v/>
      </c>
      <c r="F1348" s="25" t="str">
        <f>IFERROR(INDEX('Hun Demand'!R:R,MATCH(O1348,'Hun Demand'!A:A,0)),"")</f>
        <v/>
      </c>
      <c r="G1348" s="25">
        <f>IFERROR(INDEX('Aub Demand'!W:W,MATCH(O1348,'Aub Demand'!A:A,0)),"")</f>
        <v>0</v>
      </c>
      <c r="H1348" s="25">
        <f>IFERROR(INDEX('Aub Demand'!V:V,MATCH(O1348,'Aub Demand'!A:A,0)),"")</f>
        <v>0</v>
      </c>
      <c r="I1348" s="25">
        <f>IFERROR(INDEX('Aub Demand'!U:U,MATCH(O1348,'Aub Demand'!A:A,0)),"")</f>
        <v>0</v>
      </c>
      <c r="J1348" s="25">
        <f>IFERROR(INDEX('Aub Demand'!T:T,MATCH(O1348,'Aub Demand'!A:A,0)),"")</f>
        <v>0</v>
      </c>
      <c r="K1348" s="25">
        <f>IFERROR(INDEX('Aub Demand'!S:S,MATCH(O1348,'Aub Demand'!A:A,0)),"")</f>
        <v>0</v>
      </c>
      <c r="L1348" s="25">
        <f>IFERROR(INDEX('Aub Demand'!R:R,MATCH(O1348,'Aub Demand'!A:A,0)),"")</f>
        <v>0</v>
      </c>
      <c r="O1348" s="27" t="s">
        <v>1671</v>
      </c>
      <c r="P1348" s="27" t="str">
        <f>IFERROR(INDEX('Aub Demand'!B:B,MATCH($O1348,'Aub Demand'!$A:$A,0)),"")</f>
        <v>WINDSOR ELM</v>
      </c>
      <c r="Q1348" s="27" t="str">
        <f>IFERROR(INDEX('Aub Demand'!C:C,MATCH($O1348,'Aub Demand'!$A:$A,0)),"")</f>
        <v>TOPPA</v>
      </c>
      <c r="R1348" s="52">
        <f>IFERROR(IF(AR1349=AR1348,INDEX('Aub Demand'!K:K,MATCH($O1348,'Aub Demand'!$A:$A,0))-IF(AN1348="",0,AN1348)+AP1349,INDEX('Aub Demand'!K:K,MATCH($O1348,'Aub Demand'!$A:$A,0))-IF(AN1348="",0,AN1348)),"")</f>
        <v>935</v>
      </c>
      <c r="S1348" s="53" t="str">
        <f t="shared" si="588"/>
        <v>n/a</v>
      </c>
      <c r="T1348" s="52" t="str">
        <f t="shared" si="589"/>
        <v/>
      </c>
      <c r="U1348" s="52">
        <f>IFERROR(IF(AR1349=AR1348,INDEX('Aub Demand'!Q:Q,MATCH($O1348,'Aub Demand'!$A:$A,0))-IF(AN1348="",0,AN1348)+AP1349,INDEX('Aub Demand'!Q:Q,MATCH($O1348,'Aub Demand'!$A:$A,0))-IF(AN1348="",0,AN1348)),"")</f>
        <v>935</v>
      </c>
      <c r="V1348" s="53" t="str">
        <f t="shared" si="590"/>
        <v>n/a</v>
      </c>
      <c r="W1348" s="52" t="str">
        <f t="shared" si="591"/>
        <v/>
      </c>
      <c r="X1348" s="52">
        <f>IFERROR(IF(AND(AR1349=AR1348,AM1348&lt;&gt;""),INDEX('Aub Demand'!Q:Q,MATCH($O1348,'Aub Demand'!$A:$A,0))-IF(AN1348="",0,AN1348)+AP1349+AD1348+AL1348,IF(AR1349=AR1348,INDEX('Aub Demand'!Q:Q,MATCH($O1348,'Aub Demand'!$A:$A,0))-IF(AN1348="",0,AN1348)+AP1349+AD1348,IF(AM1348&lt;&gt;"",INDEX('Aub Demand'!Q:Q,MATCH($O1348,'Aub Demand'!$A:$A,0))-IF(AN1348="",0,AN1348)+AD1348+AL1348,INDEX('Aub Demand'!Q:Q,MATCH($O1348,'Aub Demand'!$A:$A,0))-IF(AN1348="",0,AN1348)+AD1348))),"")</f>
        <v>935</v>
      </c>
      <c r="Y1348" s="53" t="str">
        <f t="shared" si="592"/>
        <v>n/a</v>
      </c>
      <c r="Z1348" s="52">
        <f>IF(L1348="","",INDEX('Aub Demand'!H:H,MATCH($O1348,'Aub Demand'!$A:$A,0)))</f>
        <v>0</v>
      </c>
      <c r="AA1348" s="52" t="str">
        <f t="shared" si="593"/>
        <v>-spike-</v>
      </c>
      <c r="AB1348" s="52">
        <f>IFERROR(INDEX('Aub Demand'!L:L,MATCH($O1348,'Aub Demand'!$A:$A,0)),"")</f>
        <v>0</v>
      </c>
      <c r="AC1348" s="52">
        <f>IFERROR(IF(O1348="","",SUMIFS('CPL Mats'!F:F,'CPL Mats'!Q:Q,AR1348,'CPL Mats'!S:S,AS1348)),"")</f>
        <v>0</v>
      </c>
      <c r="AF1348" s="25" t="str">
        <f>IF(SUMIFS('Supp Consol'!S:S,'Supp Consol'!Y:Y,"Releasable",'Supp Consol'!A:A,O1348)=0,"",SUMIFS('Supp Consol'!S:S,'Supp Consol'!Y:Y,"Releasable",'Supp Consol'!A:A,O1348))</f>
        <v/>
      </c>
      <c r="AG1348" s="25" t="str">
        <f>IFERROR(INDEX('Hun Demand'!Q:Q,MATCH(O1348,'Hun Demand'!A:A,0)),"")</f>
        <v/>
      </c>
      <c r="AH1348" s="25" t="str">
        <f>IFERROR(INDEX('Hun Demand'!H:H,MATCH($O1348,'Hun Demand'!$A:$A,0)),"")</f>
        <v/>
      </c>
      <c r="AI1348" s="25" t="str">
        <f>IF(SUMIFS('Supp Consol'!AA:AA,'Supp Consol'!Z:Z,"Expires this month",'Supp Consol'!A:A,O1348)=0,"",SUMIFS('Supp Consol'!AA:AA,'Supp Consol'!Z:Z,"Expires this month",'Supp Consol'!A:A,O1348))</f>
        <v/>
      </c>
      <c r="AJ1348" s="25" t="str">
        <f>IF(SUMIFS('Supp Consol'!AA:AA,'Supp Consol'!Z:Z,"Expired Previous Months",'Supp Consol'!A:A,O1348)=0,"",SUMIFS('Supp Consol'!AA:AA,'Supp Consol'!Z:Z,"Expired Previous Months",'Supp Consol'!A:A,O1348))</f>
        <v/>
      </c>
      <c r="AK1348" s="25" t="str">
        <f>IFERROR(INDEX('Hun Release Current'!B:B,MATCH(O1348,'Hun Release Current'!A:A,0)),"")</f>
        <v/>
      </c>
      <c r="AL1348" s="25" t="str">
        <f>IF(SUMIF('Prev Aub'!A:A,O1348,'Prev Aub'!B:B)=0,"",SUMIF('Prev Aub'!A:A,O1348,'Prev Aub'!B:B))</f>
        <v/>
      </c>
      <c r="AN1348" s="25" t="s">
        <v>3790</v>
      </c>
      <c r="AO1348" s="25" t="s">
        <v>3790</v>
      </c>
      <c r="AP1348" s="25">
        <f t="shared" si="594"/>
        <v>0</v>
      </c>
      <c r="AQ1348" s="151" t="str">
        <f>IF(SUMIFS('Supp Consol'!S:S,'Supp Consol'!A:A,O1348,'Supp Consol'!I:I,"PENDING")=0,"",SUMIFS('Supp Consol'!S:S,'Supp Consol'!A:A,O1348,'Supp Consol'!I:I,"PENDING"))</f>
        <v/>
      </c>
      <c r="AR1348" s="27" t="str">
        <f t="shared" si="595"/>
        <v>WE280</v>
      </c>
      <c r="AS1348" s="27" t="str">
        <f t="shared" si="596"/>
        <v>62</v>
      </c>
      <c r="AT1348" s="27" t="str">
        <f t="shared" si="597"/>
        <v/>
      </c>
      <c r="AU1348" s="27" t="str">
        <f t="shared" si="598"/>
        <v/>
      </c>
      <c r="AV1348" s="27" t="str">
        <f t="shared" si="599"/>
        <v/>
      </c>
      <c r="AW1348" s="27" t="str">
        <f t="shared" si="600"/>
        <v/>
      </c>
      <c r="AX1348" s="27" t="str">
        <f t="shared" si="601"/>
        <v/>
      </c>
      <c r="AY1348" s="27" t="str">
        <f t="shared" si="602"/>
        <v/>
      </c>
      <c r="AZ1348" s="27" t="str">
        <f t="shared" si="603"/>
        <v/>
      </c>
      <c r="BA1348" s="27" t="str">
        <f t="shared" si="604"/>
        <v/>
      </c>
      <c r="BB1348" s="27" t="str">
        <f t="shared" si="605"/>
        <v/>
      </c>
      <c r="BC1348" s="27" t="str">
        <f t="shared" si="606"/>
        <v/>
      </c>
      <c r="BD1348" s="27" t="str">
        <f t="shared" si="607"/>
        <v/>
      </c>
      <c r="BE1348" s="27" t="str">
        <f t="shared" si="608"/>
        <v/>
      </c>
      <c r="BF1348" s="27" t="str">
        <f t="shared" si="609"/>
        <v/>
      </c>
      <c r="BG1348" s="27" t="str">
        <f t="shared" si="610"/>
        <v/>
      </c>
      <c r="BH1348" s="27" t="str">
        <f t="shared" si="611"/>
        <v/>
      </c>
      <c r="BI1348" s="27" t="str">
        <f t="shared" si="612"/>
        <v/>
      </c>
      <c r="BJ1348" s="27" t="str">
        <f t="shared" si="613"/>
        <v/>
      </c>
      <c r="BK1348" s="27" t="str">
        <f t="shared" si="614"/>
        <v/>
      </c>
      <c r="BL1348" s="27" t="str">
        <f t="shared" si="615"/>
        <v/>
      </c>
      <c r="BM1348" s="21" t="s">
        <v>5581</v>
      </c>
    </row>
    <row r="1349" spans="1:65" ht="15">
      <c r="A1349" s="25">
        <f>IFERROR(INDEX('Hun Demand'!W:W,MATCH(O1349,'Hun Demand'!A:A,0)),"")</f>
        <v>108</v>
      </c>
      <c r="B1349" s="25">
        <f>IFERROR(INDEX('Hun Demand'!V:V,MATCH(O1349,'Hun Demand'!A:A,0)),"")</f>
        <v>135</v>
      </c>
      <c r="C1349" s="25">
        <f>IFERROR(INDEX('Hun Demand'!U:U,MATCH(O1349,'Hun Demand'!A:A,0)),"")</f>
        <v>0</v>
      </c>
      <c r="D1349" s="25">
        <f>IFERROR(INDEX('Hun Demand'!T:T,MATCH(O1349,'Hun Demand'!A:A,0)),"")</f>
        <v>148</v>
      </c>
      <c r="E1349" s="25">
        <f>IFERROR(INDEX('Hun Demand'!S:S,MATCH(O1349,'Hun Demand'!A:A,0)),"")</f>
        <v>112</v>
      </c>
      <c r="F1349" s="25">
        <f>IFERROR(INDEX('Hun Demand'!R:R,MATCH(O1349,'Hun Demand'!A:A,0)),"")</f>
        <v>0</v>
      </c>
      <c r="G1349" s="25">
        <f>IFERROR(INDEX('Aub Demand'!W:W,MATCH(O1349,'Aub Demand'!A:A,0)),"")</f>
        <v>836</v>
      </c>
      <c r="H1349" s="25">
        <f>IFERROR(INDEX('Aub Demand'!V:V,MATCH(O1349,'Aub Demand'!A:A,0)),"")</f>
        <v>0</v>
      </c>
      <c r="I1349" s="25">
        <f>IFERROR(INDEX('Aub Demand'!U:U,MATCH(O1349,'Aub Demand'!A:A,0)),"")</f>
        <v>0</v>
      </c>
      <c r="J1349" s="25">
        <f>IFERROR(INDEX('Aub Demand'!T:T,MATCH(O1349,'Aub Demand'!A:A,0)),"")</f>
        <v>0</v>
      </c>
      <c r="K1349" s="25">
        <f>IFERROR(INDEX('Aub Demand'!S:S,MATCH(O1349,'Aub Demand'!A:A,0)),"")</f>
        <v>0</v>
      </c>
      <c r="L1349" s="25">
        <f>IFERROR(INDEX('Aub Demand'!R:R,MATCH(O1349,'Aub Demand'!A:A,0)),"")</f>
        <v>0</v>
      </c>
      <c r="O1349" s="27" t="s">
        <v>1672</v>
      </c>
      <c r="P1349" s="27" t="str">
        <f>IFERROR(INDEX('Aub Demand'!B:B,MATCH($O1349,'Aub Demand'!$A:$A,0)),"")</f>
        <v>OPULENT OLMO</v>
      </c>
      <c r="Q1349" s="27" t="str">
        <f>IFERROR(INDEX('Aub Demand'!C:C,MATCH($O1349,'Aub Demand'!$A:$A,0)),"")</f>
        <v>SCHAT</v>
      </c>
      <c r="R1349" s="52">
        <f>IFERROR(IF(AR1350=AR1349,INDEX('Aub Demand'!K:K,MATCH($O1349,'Aub Demand'!$A:$A,0))-IF(AN1349="",0,AN1349)+AP1350,INDEX('Aub Demand'!K:K,MATCH($O1349,'Aub Demand'!$A:$A,0))-IF(AN1349="",0,AN1349)),"")</f>
        <v>2223</v>
      </c>
      <c r="S1349" s="53" t="str">
        <f t="shared" si="588"/>
        <v>n/a</v>
      </c>
      <c r="T1349" s="52" t="str">
        <f t="shared" si="589"/>
        <v/>
      </c>
      <c r="U1349" s="52">
        <f>IFERROR(IF(AR1350=AR1349,INDEX('Aub Demand'!Q:Q,MATCH($O1349,'Aub Demand'!$A:$A,0))-IF(AN1349="",0,AN1349)+AP1350,INDEX('Aub Demand'!Q:Q,MATCH($O1349,'Aub Demand'!$A:$A,0))-IF(AN1349="",0,AN1349)),"")</f>
        <v>2223</v>
      </c>
      <c r="V1349" s="53" t="str">
        <f t="shared" si="590"/>
        <v>n/a</v>
      </c>
      <c r="W1349" s="52" t="str">
        <f t="shared" si="591"/>
        <v/>
      </c>
      <c r="X1349" s="52">
        <f>IFERROR(IF(AND(AR1350=AR1349,AM1349&lt;&gt;""),INDEX('Aub Demand'!Q:Q,MATCH($O1349,'Aub Demand'!$A:$A,0))-IF(AN1349="",0,AN1349)+AP1350+AD1349+AL1349,IF(AR1350=AR1349,INDEX('Aub Demand'!Q:Q,MATCH($O1349,'Aub Demand'!$A:$A,0))-IF(AN1349="",0,AN1349)+AP1350+AD1349,IF(AM1349&lt;&gt;"",INDEX('Aub Demand'!Q:Q,MATCH($O1349,'Aub Demand'!$A:$A,0))-IF(AN1349="",0,AN1349)+AD1349+AL1349,INDEX('Aub Demand'!Q:Q,MATCH($O1349,'Aub Demand'!$A:$A,0))-IF(AN1349="",0,AN1349)+AD1349))),"")</f>
        <v>2223</v>
      </c>
      <c r="Y1349" s="53" t="str">
        <f t="shared" si="592"/>
        <v>n/a</v>
      </c>
      <c r="Z1349" s="52">
        <f>IF(L1349="","",INDEX('Aub Demand'!H:H,MATCH($O1349,'Aub Demand'!$A:$A,0)))</f>
        <v>0</v>
      </c>
      <c r="AA1349" s="52" t="str">
        <f t="shared" si="593"/>
        <v>-spike-</v>
      </c>
      <c r="AB1349" s="52">
        <f>IFERROR(INDEX('Aub Demand'!L:L,MATCH($O1349,'Aub Demand'!$A:$A,0)),"")</f>
        <v>0</v>
      </c>
      <c r="AC1349" s="52">
        <f>IFERROR(IF(O1349="","",SUMIFS('CPL Mats'!F:F,'CPL Mats'!Q:Q,AR1349,'CPL Mats'!S:S,AS1349)),"")</f>
        <v>0</v>
      </c>
      <c r="AF1349" s="25" t="str">
        <f>IF(SUMIFS('Supp Consol'!S:S,'Supp Consol'!Y:Y,"Releasable",'Supp Consol'!A:A,O1349)=0,"",SUMIFS('Supp Consol'!S:S,'Supp Consol'!Y:Y,"Releasable",'Supp Consol'!A:A,O1349))</f>
        <v/>
      </c>
      <c r="AG1349" s="25">
        <f>IFERROR(INDEX('Hun Demand'!Q:Q,MATCH(O1349,'Hun Demand'!A:A,0)),"")</f>
        <v>576</v>
      </c>
      <c r="AH1349" s="25">
        <f>IFERROR(INDEX('Hun Demand'!H:H,MATCH($O1349,'Hun Demand'!$A:$A,0)),"")</f>
        <v>87</v>
      </c>
      <c r="AI1349" s="25" t="str">
        <f>IF(SUMIFS('Supp Consol'!AA:AA,'Supp Consol'!Z:Z,"Expires this month",'Supp Consol'!A:A,O1349)=0,"",SUMIFS('Supp Consol'!AA:AA,'Supp Consol'!Z:Z,"Expires this month",'Supp Consol'!A:A,O1349))</f>
        <v/>
      </c>
      <c r="AJ1349" s="25" t="str">
        <f>IF(SUMIFS('Supp Consol'!AA:AA,'Supp Consol'!Z:Z,"Expired Previous Months",'Supp Consol'!A:A,O1349)=0,"",SUMIFS('Supp Consol'!AA:AA,'Supp Consol'!Z:Z,"Expired Previous Months",'Supp Consol'!A:A,O1349))</f>
        <v/>
      </c>
      <c r="AK1349" s="25" t="str">
        <f>IFERROR(INDEX('Hun Release Current'!B:B,MATCH(O1349,'Hun Release Current'!A:A,0)),"")</f>
        <v/>
      </c>
      <c r="AL1349" s="25" t="str">
        <f>IF(SUMIF('Prev Aub'!A:A,O1349,'Prev Aub'!B:B)=0,"",SUMIF('Prev Aub'!A:A,O1349,'Prev Aub'!B:B))</f>
        <v/>
      </c>
      <c r="AN1349" s="25" t="s">
        <v>3790</v>
      </c>
      <c r="AO1349" s="25" t="s">
        <v>3790</v>
      </c>
      <c r="AP1349" s="25">
        <f t="shared" si="594"/>
        <v>0</v>
      </c>
      <c r="AQ1349" s="151" t="str">
        <f>IF(SUMIFS('Supp Consol'!S:S,'Supp Consol'!A:A,O1349,'Supp Consol'!I:I,"PENDING")=0,"",SUMIFS('Supp Consol'!S:S,'Supp Consol'!A:A,O1349,'Supp Consol'!I:I,"PENDING"))</f>
        <v/>
      </c>
      <c r="AR1349" s="27" t="str">
        <f t="shared" si="595"/>
        <v>WE300</v>
      </c>
      <c r="AS1349" s="27" t="str">
        <f t="shared" si="596"/>
        <v>50</v>
      </c>
      <c r="AT1349" s="27" t="str">
        <f t="shared" si="597"/>
        <v/>
      </c>
      <c r="AU1349" s="27" t="str">
        <f t="shared" si="598"/>
        <v/>
      </c>
      <c r="AV1349" s="27" t="str">
        <f t="shared" si="599"/>
        <v/>
      </c>
      <c r="AW1349" s="27" t="str">
        <f t="shared" si="600"/>
        <v/>
      </c>
      <c r="AX1349" s="27" t="str">
        <f t="shared" si="601"/>
        <v/>
      </c>
      <c r="AY1349" s="27" t="str">
        <f t="shared" si="602"/>
        <v>WE300</v>
      </c>
      <c r="AZ1349" s="27" t="str">
        <f t="shared" si="603"/>
        <v/>
      </c>
      <c r="BA1349" s="27" t="str">
        <f t="shared" si="604"/>
        <v>Hun</v>
      </c>
      <c r="BB1349" s="27" t="str">
        <f t="shared" si="605"/>
        <v/>
      </c>
      <c r="BC1349" s="27" t="str">
        <f t="shared" si="606"/>
        <v/>
      </c>
      <c r="BD1349" s="27" t="str">
        <f t="shared" si="607"/>
        <v/>
      </c>
      <c r="BE1349" s="27" t="str">
        <f t="shared" si="608"/>
        <v/>
      </c>
      <c r="BF1349" s="27" t="str">
        <f t="shared" si="609"/>
        <v/>
      </c>
      <c r="BG1349" s="27" t="str">
        <f t="shared" si="610"/>
        <v/>
      </c>
      <c r="BH1349" s="27" t="str">
        <f t="shared" si="611"/>
        <v/>
      </c>
      <c r="BI1349" s="27" t="str">
        <f t="shared" si="612"/>
        <v/>
      </c>
      <c r="BJ1349" s="27" t="str">
        <f t="shared" si="613"/>
        <v>Supp or Hun</v>
      </c>
      <c r="BK1349" s="27" t="str">
        <f t="shared" si="614"/>
        <v/>
      </c>
      <c r="BL1349" s="27" t="str">
        <f t="shared" si="615"/>
        <v/>
      </c>
      <c r="BM1349" s="21" t="s">
        <v>5581</v>
      </c>
    </row>
    <row r="1350" spans="1:65" ht="15">
      <c r="A1350" s="25">
        <f>IFERROR(INDEX('Hun Demand'!W:W,MATCH(O1350,'Hun Demand'!A:A,0)),"")</f>
        <v>0</v>
      </c>
      <c r="B1350" s="25">
        <f>IFERROR(INDEX('Hun Demand'!V:V,MATCH(O1350,'Hun Demand'!A:A,0)),"")</f>
        <v>0</v>
      </c>
      <c r="C1350" s="25">
        <f>IFERROR(INDEX('Hun Demand'!U:U,MATCH(O1350,'Hun Demand'!A:A,0)),"")</f>
        <v>184</v>
      </c>
      <c r="D1350" s="25">
        <f>IFERROR(INDEX('Hun Demand'!T:T,MATCH(O1350,'Hun Demand'!A:A,0)),"")</f>
        <v>253</v>
      </c>
      <c r="E1350" s="25">
        <f>IFERROR(INDEX('Hun Demand'!S:S,MATCH(O1350,'Hun Demand'!A:A,0)),"")</f>
        <v>0</v>
      </c>
      <c r="F1350" s="25">
        <f>IFERROR(INDEX('Hun Demand'!R:R,MATCH(O1350,'Hun Demand'!A:A,0)),"")</f>
        <v>0</v>
      </c>
      <c r="G1350" s="25">
        <f>IFERROR(INDEX('Aub Demand'!W:W,MATCH(O1350,'Aub Demand'!A:A,0)),"")</f>
        <v>0</v>
      </c>
      <c r="H1350" s="25">
        <f>IFERROR(INDEX('Aub Demand'!V:V,MATCH(O1350,'Aub Demand'!A:A,0)),"")</f>
        <v>0</v>
      </c>
      <c r="I1350" s="25">
        <f>IFERROR(INDEX('Aub Demand'!U:U,MATCH(O1350,'Aub Demand'!A:A,0)),"")</f>
        <v>0</v>
      </c>
      <c r="J1350" s="25">
        <f>IFERROR(INDEX('Aub Demand'!T:T,MATCH(O1350,'Aub Demand'!A:A,0)),"")</f>
        <v>703</v>
      </c>
      <c r="K1350" s="25">
        <f>IFERROR(INDEX('Aub Demand'!S:S,MATCH(O1350,'Aub Demand'!A:A,0)),"")</f>
        <v>0</v>
      </c>
      <c r="L1350" s="25">
        <f>IFERROR(INDEX('Aub Demand'!R:R,MATCH(O1350,'Aub Demand'!A:A,0)),"")</f>
        <v>0</v>
      </c>
      <c r="O1350" s="27" t="s">
        <v>1675</v>
      </c>
      <c r="P1350" s="27" t="str">
        <f>IFERROR(INDEX('Aub Demand'!B:B,MATCH($O1350,'Aub Demand'!$A:$A,0)),"")</f>
        <v>OPULENT OLMO</v>
      </c>
      <c r="Q1350" s="27" t="str">
        <f>IFERROR(INDEX('Aub Demand'!C:C,MATCH($O1350,'Aub Demand'!$A:$A,0)),"")</f>
        <v>SCHAT</v>
      </c>
      <c r="R1350" s="52">
        <f>IFERROR(IF(AR1351=AR1350,INDEX('Aub Demand'!K:K,MATCH($O1350,'Aub Demand'!$A:$A,0))-IF(AN1350="",0,AN1350)+AP1351,INDEX('Aub Demand'!K:K,MATCH($O1350,'Aub Demand'!$A:$A,0))-IF(AN1350="",0,AN1350)),"")</f>
        <v>1495</v>
      </c>
      <c r="S1350" s="53">
        <f t="shared" si="588"/>
        <v>27.4</v>
      </c>
      <c r="T1350" s="52" t="str">
        <f t="shared" si="589"/>
        <v/>
      </c>
      <c r="U1350" s="52">
        <f>IFERROR(IF(AR1351=AR1350,INDEX('Aub Demand'!Q:Q,MATCH($O1350,'Aub Demand'!$A:$A,0))-IF(AN1350="",0,AN1350)+AP1351,INDEX('Aub Demand'!Q:Q,MATCH($O1350,'Aub Demand'!$A:$A,0))-IF(AN1350="",0,AN1350)),"")</f>
        <v>1495</v>
      </c>
      <c r="V1350" s="53">
        <f t="shared" si="590"/>
        <v>27.4</v>
      </c>
      <c r="W1350" s="52" t="str">
        <f t="shared" si="591"/>
        <v/>
      </c>
      <c r="X1350" s="52">
        <f>IFERROR(IF(AND(AR1351=AR1350,AM1350&lt;&gt;""),INDEX('Aub Demand'!Q:Q,MATCH($O1350,'Aub Demand'!$A:$A,0))-IF(AN1350="",0,AN1350)+AP1351+AD1350+AL1350,IF(AR1351=AR1350,INDEX('Aub Demand'!Q:Q,MATCH($O1350,'Aub Demand'!$A:$A,0))-IF(AN1350="",0,AN1350)+AP1351+AD1350,IF(AM1350&lt;&gt;"",INDEX('Aub Demand'!Q:Q,MATCH($O1350,'Aub Demand'!$A:$A,0))-IF(AN1350="",0,AN1350)+AD1350+AL1350,INDEX('Aub Demand'!Q:Q,MATCH($O1350,'Aub Demand'!$A:$A,0))-IF(AN1350="",0,AN1350)+AD1350))),"")</f>
        <v>1495</v>
      </c>
      <c r="Y1350" s="53">
        <f t="shared" si="592"/>
        <v>27.4</v>
      </c>
      <c r="Z1350" s="52">
        <f>IF(L1350="","",INDEX('Aub Demand'!H:H,MATCH($O1350,'Aub Demand'!$A:$A,0)))</f>
        <v>234</v>
      </c>
      <c r="AA1350" s="52" t="str">
        <f t="shared" si="593"/>
        <v>-spike-</v>
      </c>
      <c r="AB1350" s="52">
        <f>IFERROR(INDEX('Aub Demand'!L:L,MATCH($O1350,'Aub Demand'!$A:$A,0)),"")</f>
        <v>11</v>
      </c>
      <c r="AC1350" s="52">
        <f>IFERROR(IF(O1350="","",SUMIFS('CPL Mats'!F:F,'CPL Mats'!Q:Q,AR1350,'CPL Mats'!S:S,AS1350)),"")</f>
        <v>0</v>
      </c>
      <c r="AF1350" s="25" t="str">
        <f>IF(SUMIFS('Supp Consol'!S:S,'Supp Consol'!Y:Y,"Releasable",'Supp Consol'!A:A,O1350)=0,"",SUMIFS('Supp Consol'!S:S,'Supp Consol'!Y:Y,"Releasable",'Supp Consol'!A:A,O1350))</f>
        <v/>
      </c>
      <c r="AG1350" s="25">
        <f>IFERROR(INDEX('Hun Demand'!Q:Q,MATCH(O1350,'Hun Demand'!A:A,0)),"")</f>
        <v>450</v>
      </c>
      <c r="AH1350" s="25">
        <f>IFERROR(INDEX('Hun Demand'!H:H,MATCH($O1350,'Hun Demand'!$A:$A,0)),"")</f>
        <v>146</v>
      </c>
      <c r="AI1350" s="25" t="str">
        <f>IF(SUMIFS('Supp Consol'!AA:AA,'Supp Consol'!Z:Z,"Expires this month",'Supp Consol'!A:A,O1350)=0,"",SUMIFS('Supp Consol'!AA:AA,'Supp Consol'!Z:Z,"Expires this month",'Supp Consol'!A:A,O1350))</f>
        <v/>
      </c>
      <c r="AJ1350" s="25" t="str">
        <f>IF(SUMIFS('Supp Consol'!AA:AA,'Supp Consol'!Z:Z,"Expired Previous Months",'Supp Consol'!A:A,O1350)=0,"",SUMIFS('Supp Consol'!AA:AA,'Supp Consol'!Z:Z,"Expired Previous Months",'Supp Consol'!A:A,O1350))</f>
        <v/>
      </c>
      <c r="AK1350" s="25" t="str">
        <f>IFERROR(INDEX('Hun Release Current'!B:B,MATCH(O1350,'Hun Release Current'!A:A,0)),"")</f>
        <v/>
      </c>
      <c r="AL1350" s="25" t="str">
        <f>IF(SUMIF('Prev Aub'!A:A,O1350,'Prev Aub'!B:B)=0,"",SUMIF('Prev Aub'!A:A,O1350,'Prev Aub'!B:B))</f>
        <v/>
      </c>
      <c r="AN1350" s="25" t="s">
        <v>3790</v>
      </c>
      <c r="AO1350" s="25" t="s">
        <v>3790</v>
      </c>
      <c r="AP1350" s="25">
        <f t="shared" si="594"/>
        <v>0</v>
      </c>
      <c r="AQ1350" s="151" t="str">
        <f>IF(SUMIFS('Supp Consol'!S:S,'Supp Consol'!A:A,O1350,'Supp Consol'!I:I,"PENDING")=0,"",SUMIFS('Supp Consol'!S:S,'Supp Consol'!A:A,O1350,'Supp Consol'!I:I,"PENDING"))</f>
        <v/>
      </c>
      <c r="AR1350" s="27" t="str">
        <f t="shared" si="595"/>
        <v>WE300</v>
      </c>
      <c r="AS1350" s="27" t="str">
        <f t="shared" si="596"/>
        <v>62</v>
      </c>
      <c r="AT1350" s="27" t="str">
        <f t="shared" si="597"/>
        <v/>
      </c>
      <c r="AU1350" s="27" t="str">
        <f t="shared" si="598"/>
        <v/>
      </c>
      <c r="AV1350" s="27" t="str">
        <f t="shared" si="599"/>
        <v/>
      </c>
      <c r="AW1350" s="27" t="str">
        <f t="shared" si="600"/>
        <v/>
      </c>
      <c r="AX1350" s="27" t="str">
        <f t="shared" si="601"/>
        <v/>
      </c>
      <c r="AY1350" s="27" t="str">
        <f t="shared" si="602"/>
        <v>WE300</v>
      </c>
      <c r="AZ1350" s="27" t="str">
        <f t="shared" si="603"/>
        <v/>
      </c>
      <c r="BA1350" s="27" t="str">
        <f t="shared" si="604"/>
        <v>Hun</v>
      </c>
      <c r="BB1350" s="27" t="str">
        <f t="shared" si="605"/>
        <v/>
      </c>
      <c r="BC1350" s="27" t="str">
        <f t="shared" si="606"/>
        <v/>
      </c>
      <c r="BD1350" s="27" t="str">
        <f t="shared" si="607"/>
        <v/>
      </c>
      <c r="BE1350" s="27" t="str">
        <f t="shared" si="608"/>
        <v/>
      </c>
      <c r="BF1350" s="27" t="str">
        <f t="shared" si="609"/>
        <v/>
      </c>
      <c r="BG1350" s="27" t="str">
        <f t="shared" si="610"/>
        <v/>
      </c>
      <c r="BH1350" s="27" t="str">
        <f t="shared" si="611"/>
        <v/>
      </c>
      <c r="BI1350" s="27" t="str">
        <f t="shared" si="612"/>
        <v/>
      </c>
      <c r="BJ1350" s="27" t="str">
        <f t="shared" si="613"/>
        <v>Supp or Hun</v>
      </c>
      <c r="BK1350" s="27" t="str">
        <f t="shared" si="614"/>
        <v/>
      </c>
      <c r="BL1350" s="27" t="str">
        <f t="shared" si="615"/>
        <v/>
      </c>
      <c r="BM1350" s="21" t="s">
        <v>5581</v>
      </c>
    </row>
    <row r="1351" spans="1:65" ht="15">
      <c r="A1351" s="25">
        <f>IFERROR(INDEX('Hun Demand'!W:W,MATCH(O1351,'Hun Demand'!A:A,0)),"")</f>
        <v>400</v>
      </c>
      <c r="B1351" s="25">
        <f>IFERROR(INDEX('Hun Demand'!V:V,MATCH(O1351,'Hun Demand'!A:A,0)),"")</f>
        <v>0</v>
      </c>
      <c r="C1351" s="25">
        <f>IFERROR(INDEX('Hun Demand'!U:U,MATCH(O1351,'Hun Demand'!A:A,0)),"")</f>
        <v>0</v>
      </c>
      <c r="D1351" s="25">
        <f>IFERROR(INDEX('Hun Demand'!T:T,MATCH(O1351,'Hun Demand'!A:A,0)),"")</f>
        <v>0</v>
      </c>
      <c r="E1351" s="25">
        <f>IFERROR(INDEX('Hun Demand'!S:S,MATCH(O1351,'Hun Demand'!A:A,0)),"")</f>
        <v>201</v>
      </c>
      <c r="F1351" s="25">
        <f>IFERROR(INDEX('Hun Demand'!R:R,MATCH(O1351,'Hun Demand'!A:A,0)),"")</f>
        <v>0</v>
      </c>
      <c r="G1351" s="25">
        <f>IFERROR(INDEX('Aub Demand'!W:W,MATCH(O1351,'Aub Demand'!A:A,0)),"")</f>
        <v>79</v>
      </c>
      <c r="H1351" s="25">
        <f>IFERROR(INDEX('Aub Demand'!V:V,MATCH(O1351,'Aub Demand'!A:A,0)),"")</f>
        <v>11</v>
      </c>
      <c r="I1351" s="25">
        <f>IFERROR(INDEX('Aub Demand'!U:U,MATCH(O1351,'Aub Demand'!A:A,0)),"")</f>
        <v>33</v>
      </c>
      <c r="J1351" s="25">
        <f>IFERROR(INDEX('Aub Demand'!T:T,MATCH(O1351,'Aub Demand'!A:A,0)),"")</f>
        <v>208</v>
      </c>
      <c r="K1351" s="25">
        <f>IFERROR(INDEX('Aub Demand'!S:S,MATCH(O1351,'Aub Demand'!A:A,0)),"")</f>
        <v>10</v>
      </c>
      <c r="L1351" s="25">
        <f>IFERROR(INDEX('Aub Demand'!R:R,MATCH(O1351,'Aub Demand'!A:A,0)),"")</f>
        <v>658</v>
      </c>
      <c r="O1351" s="27" t="s">
        <v>1676</v>
      </c>
      <c r="P1351" s="27" t="str">
        <f>IFERROR(INDEX('Aub Demand'!B:B,MATCH($O1351,'Aub Demand'!$A:$A,0)),"")</f>
        <v>EXQUISITE ELM</v>
      </c>
      <c r="Q1351" s="27" t="str">
        <f>IFERROR(INDEX('Aub Demand'!C:C,MATCH($O1351,'Aub Demand'!$A:$A,0)),"")</f>
        <v>SCHAT</v>
      </c>
      <c r="R1351" s="52">
        <f>IFERROR(IF(AR1352=AR1351,INDEX('Aub Demand'!K:K,MATCH($O1351,'Aub Demand'!$A:$A,0))-IF(AN1351="",0,AN1351)+AP1352,INDEX('Aub Demand'!K:K,MATCH($O1351,'Aub Demand'!$A:$A,0))-IF(AN1351="",0,AN1351)),"")</f>
        <v>4083</v>
      </c>
      <c r="S1351" s="53">
        <f t="shared" si="588"/>
        <v>208.3</v>
      </c>
      <c r="T1351" s="52" t="str">
        <f t="shared" si="589"/>
        <v/>
      </c>
      <c r="U1351" s="52">
        <f>IFERROR(IF(AR1352=AR1351,INDEX('Aub Demand'!Q:Q,MATCH($O1351,'Aub Demand'!$A:$A,0))-IF(AN1351="",0,AN1351)+AP1352,INDEX('Aub Demand'!Q:Q,MATCH($O1351,'Aub Demand'!$A:$A,0))-IF(AN1351="",0,AN1351)),"")</f>
        <v>4078</v>
      </c>
      <c r="V1351" s="53">
        <f t="shared" si="590"/>
        <v>208.1</v>
      </c>
      <c r="W1351" s="52" t="str">
        <f t="shared" si="591"/>
        <v/>
      </c>
      <c r="X1351" s="52">
        <f>IFERROR(IF(AND(AR1352=AR1351,AM1351&lt;&gt;""),INDEX('Aub Demand'!Q:Q,MATCH($O1351,'Aub Demand'!$A:$A,0))-IF(AN1351="",0,AN1351)+AP1352+AD1351+AL1351,IF(AR1352=AR1351,INDEX('Aub Demand'!Q:Q,MATCH($O1351,'Aub Demand'!$A:$A,0))-IF(AN1351="",0,AN1351)+AP1352+AD1351,IF(AM1351&lt;&gt;"",INDEX('Aub Demand'!Q:Q,MATCH($O1351,'Aub Demand'!$A:$A,0))-IF(AN1351="",0,AN1351)+AD1351+AL1351,INDEX('Aub Demand'!Q:Q,MATCH($O1351,'Aub Demand'!$A:$A,0))-IF(AN1351="",0,AN1351)+AD1351))),"")</f>
        <v>4078</v>
      </c>
      <c r="Y1351" s="53">
        <f t="shared" si="592"/>
        <v>208.1</v>
      </c>
      <c r="Z1351" s="52">
        <f>IF(L1351="","",INDEX('Aub Demand'!H:H,MATCH($O1351,'Aub Demand'!$A:$A,0)))</f>
        <v>84</v>
      </c>
      <c r="AA1351" s="52">
        <f t="shared" si="593"/>
        <v>433</v>
      </c>
      <c r="AB1351" s="52">
        <f>IFERROR(INDEX('Aub Demand'!L:L,MATCH($O1351,'Aub Demand'!$A:$A,0)),"")</f>
        <v>0</v>
      </c>
      <c r="AC1351" s="52">
        <f>IFERROR(IF(O1351="","",SUMIFS('CPL Mats'!F:F,'CPL Mats'!Q:Q,AR1351,'CPL Mats'!S:S,AS1351)),"")</f>
        <v>0</v>
      </c>
      <c r="AF1351" s="25" t="str">
        <f>IF(SUMIFS('Supp Consol'!S:S,'Supp Consol'!Y:Y,"Releasable",'Supp Consol'!A:A,O1351)=0,"",SUMIFS('Supp Consol'!S:S,'Supp Consol'!Y:Y,"Releasable",'Supp Consol'!A:A,O1351))</f>
        <v/>
      </c>
      <c r="AG1351" s="25">
        <f>IFERROR(INDEX('Hun Demand'!Q:Q,MATCH(O1351,'Hun Demand'!A:A,0)),"")</f>
        <v>-190</v>
      </c>
      <c r="AH1351" s="25">
        <f>IFERROR(INDEX('Hun Demand'!H:H,MATCH($O1351,'Hun Demand'!$A:$A,0)),"")</f>
        <v>67</v>
      </c>
      <c r="AI1351" s="25" t="str">
        <f>IF(SUMIFS('Supp Consol'!AA:AA,'Supp Consol'!Z:Z,"Expires this month",'Supp Consol'!A:A,O1351)=0,"",SUMIFS('Supp Consol'!AA:AA,'Supp Consol'!Z:Z,"Expires this month",'Supp Consol'!A:A,O1351))</f>
        <v/>
      </c>
      <c r="AJ1351" s="25" t="str">
        <f>IF(SUMIFS('Supp Consol'!AA:AA,'Supp Consol'!Z:Z,"Expired Previous Months",'Supp Consol'!A:A,O1351)=0,"",SUMIFS('Supp Consol'!AA:AA,'Supp Consol'!Z:Z,"Expired Previous Months",'Supp Consol'!A:A,O1351))</f>
        <v/>
      </c>
      <c r="AK1351" s="25" t="str">
        <f>IFERROR(INDEX('Hun Release Current'!B:B,MATCH(O1351,'Hun Release Current'!A:A,0)),"")</f>
        <v/>
      </c>
      <c r="AL1351" s="25" t="str">
        <f>IF(SUMIF('Prev Aub'!A:A,O1351,'Prev Aub'!B:B)=0,"",SUMIF('Prev Aub'!A:A,O1351,'Prev Aub'!B:B))</f>
        <v/>
      </c>
      <c r="AN1351" s="25" t="s">
        <v>3790</v>
      </c>
      <c r="AO1351" s="25" t="s">
        <v>3790</v>
      </c>
      <c r="AP1351" s="25">
        <f t="shared" si="594"/>
        <v>0</v>
      </c>
      <c r="AQ1351" s="151" t="str">
        <f>IF(SUMIFS('Supp Consol'!S:S,'Supp Consol'!A:A,O1351,'Supp Consol'!I:I,"PENDING")=0,"",SUMIFS('Supp Consol'!S:S,'Supp Consol'!A:A,O1351,'Supp Consol'!I:I,"PENDING"))</f>
        <v/>
      </c>
      <c r="AR1351" s="27" t="str">
        <f t="shared" si="595"/>
        <v>WE350</v>
      </c>
      <c r="AS1351" s="27" t="str">
        <f t="shared" si="596"/>
        <v>50</v>
      </c>
      <c r="AT1351" s="27" t="str">
        <f t="shared" si="597"/>
        <v/>
      </c>
      <c r="AU1351" s="27" t="str">
        <f t="shared" si="598"/>
        <v/>
      </c>
      <c r="AV1351" s="27" t="str">
        <f t="shared" si="599"/>
        <v/>
      </c>
      <c r="AW1351" s="27" t="str">
        <f t="shared" si="600"/>
        <v/>
      </c>
      <c r="AX1351" s="27" t="str">
        <f t="shared" si="601"/>
        <v/>
      </c>
      <c r="AY1351" s="27" t="str">
        <f t="shared" si="602"/>
        <v/>
      </c>
      <c r="AZ1351" s="27" t="str">
        <f t="shared" si="603"/>
        <v/>
      </c>
      <c r="BA1351" s="27" t="str">
        <f t="shared" si="604"/>
        <v/>
      </c>
      <c r="BB1351" s="27" t="str">
        <f t="shared" si="605"/>
        <v/>
      </c>
      <c r="BC1351" s="27" t="str">
        <f t="shared" si="606"/>
        <v/>
      </c>
      <c r="BD1351" s="27" t="str">
        <f t="shared" si="607"/>
        <v/>
      </c>
      <c r="BE1351" s="27" t="str">
        <f t="shared" si="608"/>
        <v/>
      </c>
      <c r="BF1351" s="27" t="str">
        <f t="shared" si="609"/>
        <v/>
      </c>
      <c r="BG1351" s="27" t="str">
        <f t="shared" si="610"/>
        <v/>
      </c>
      <c r="BH1351" s="27" t="str">
        <f t="shared" si="611"/>
        <v/>
      </c>
      <c r="BI1351" s="27" t="str">
        <f t="shared" si="612"/>
        <v/>
      </c>
      <c r="BJ1351" s="27" t="str">
        <f t="shared" si="613"/>
        <v/>
      </c>
      <c r="BK1351" s="27" t="str">
        <f t="shared" si="614"/>
        <v/>
      </c>
      <c r="BL1351" s="27" t="str">
        <f t="shared" si="615"/>
        <v/>
      </c>
      <c r="BM1351" s="21" t="s">
        <v>5581</v>
      </c>
    </row>
    <row r="1352" spans="1:65" ht="15">
      <c r="A1352" s="25">
        <f>IFERROR(INDEX('Hun Demand'!W:W,MATCH(O1352,'Hun Demand'!A:A,0)),"")</f>
        <v>0</v>
      </c>
      <c r="B1352" s="25">
        <f>IFERROR(INDEX('Hun Demand'!V:V,MATCH(O1352,'Hun Demand'!A:A,0)),"")</f>
        <v>0</v>
      </c>
      <c r="C1352" s="25">
        <f>IFERROR(INDEX('Hun Demand'!U:U,MATCH(O1352,'Hun Demand'!A:A,0)),"")</f>
        <v>121</v>
      </c>
      <c r="D1352" s="25">
        <f>IFERROR(INDEX('Hun Demand'!T:T,MATCH(O1352,'Hun Demand'!A:A,0)),"")</f>
        <v>0</v>
      </c>
      <c r="E1352" s="25">
        <f>IFERROR(INDEX('Hun Demand'!S:S,MATCH(O1352,'Hun Demand'!A:A,0)),"")</f>
        <v>0</v>
      </c>
      <c r="F1352" s="25">
        <f>IFERROR(INDEX('Hun Demand'!R:R,MATCH(O1352,'Hun Demand'!A:A,0)),"")</f>
        <v>0</v>
      </c>
      <c r="G1352" s="25">
        <f>IFERROR(INDEX('Aub Demand'!W:W,MATCH(O1352,'Aub Demand'!A:A,0)),"")</f>
        <v>0</v>
      </c>
      <c r="H1352" s="25">
        <f>IFERROR(INDEX('Aub Demand'!V:V,MATCH(O1352,'Aub Demand'!A:A,0)),"")</f>
        <v>0</v>
      </c>
      <c r="I1352" s="25">
        <f>IFERROR(INDEX('Aub Demand'!U:U,MATCH(O1352,'Aub Demand'!A:A,0)),"")</f>
        <v>121</v>
      </c>
      <c r="J1352" s="25">
        <f>IFERROR(INDEX('Aub Demand'!T:T,MATCH(O1352,'Aub Demand'!A:A,0)),"")</f>
        <v>0</v>
      </c>
      <c r="K1352" s="25">
        <f>IFERROR(INDEX('Aub Demand'!S:S,MATCH(O1352,'Aub Demand'!A:A,0)),"")</f>
        <v>0</v>
      </c>
      <c r="L1352" s="25">
        <f>IFERROR(INDEX('Aub Demand'!R:R,MATCH(O1352,'Aub Demand'!A:A,0)),"")</f>
        <v>0</v>
      </c>
      <c r="O1352" s="27" t="s">
        <v>1679</v>
      </c>
      <c r="P1352" s="27" t="str">
        <f>IFERROR(INDEX('Aub Demand'!B:B,MATCH($O1352,'Aub Demand'!$A:$A,0)),"")</f>
        <v>EXQUISITE ELM</v>
      </c>
      <c r="Q1352" s="27" t="str">
        <f>IFERROR(INDEX('Aub Demand'!C:C,MATCH($O1352,'Aub Demand'!$A:$A,0)),"")</f>
        <v>SCHAT</v>
      </c>
      <c r="R1352" s="52">
        <f>IFERROR(IF(AR1353=AR1352,INDEX('Aub Demand'!K:K,MATCH($O1352,'Aub Demand'!$A:$A,0))-IF(AN1352="",0,AN1352)+AP1353,INDEX('Aub Demand'!K:K,MATCH($O1352,'Aub Demand'!$A:$A,0))-IF(AN1352="",0,AN1352)),"")</f>
        <v>2916</v>
      </c>
      <c r="S1352" s="53">
        <f t="shared" si="588"/>
        <v>312.39999999999998</v>
      </c>
      <c r="T1352" s="52" t="str">
        <f t="shared" si="589"/>
        <v/>
      </c>
      <c r="U1352" s="52">
        <f>IFERROR(IF(AR1353=AR1352,INDEX('Aub Demand'!Q:Q,MATCH($O1352,'Aub Demand'!$A:$A,0))-IF(AN1352="",0,AN1352)+AP1353,INDEX('Aub Demand'!Q:Q,MATCH($O1352,'Aub Demand'!$A:$A,0))-IF(AN1352="",0,AN1352)),"")</f>
        <v>2916</v>
      </c>
      <c r="V1352" s="53">
        <f t="shared" si="590"/>
        <v>312.39999999999998</v>
      </c>
      <c r="W1352" s="52" t="str">
        <f t="shared" si="591"/>
        <v/>
      </c>
      <c r="X1352" s="52">
        <f>IFERROR(IF(AND(AR1353=AR1352,AM1352&lt;&gt;""),INDEX('Aub Demand'!Q:Q,MATCH($O1352,'Aub Demand'!$A:$A,0))-IF(AN1352="",0,AN1352)+AP1353+AD1352+AL1352,IF(AR1353=AR1352,INDEX('Aub Demand'!Q:Q,MATCH($O1352,'Aub Demand'!$A:$A,0))-IF(AN1352="",0,AN1352)+AP1353+AD1352,IF(AM1352&lt;&gt;"",INDEX('Aub Demand'!Q:Q,MATCH($O1352,'Aub Demand'!$A:$A,0))-IF(AN1352="",0,AN1352)+AD1352+AL1352,INDEX('Aub Demand'!Q:Q,MATCH($O1352,'Aub Demand'!$A:$A,0))-IF(AN1352="",0,AN1352)+AD1352))),"")</f>
        <v>2916</v>
      </c>
      <c r="Y1352" s="53">
        <f t="shared" si="592"/>
        <v>312.39999999999998</v>
      </c>
      <c r="Z1352" s="52">
        <f>IF(L1352="","",INDEX('Aub Demand'!H:H,MATCH($O1352,'Aub Demand'!$A:$A,0)))</f>
        <v>40</v>
      </c>
      <c r="AA1352" s="52" t="str">
        <f t="shared" si="593"/>
        <v>-spike-</v>
      </c>
      <c r="AB1352" s="52">
        <f>IFERROR(INDEX('Aub Demand'!L:L,MATCH($O1352,'Aub Demand'!$A:$A,0)),"")</f>
        <v>0</v>
      </c>
      <c r="AC1352" s="52">
        <f>IFERROR(IF(O1352="","",SUMIFS('CPL Mats'!F:F,'CPL Mats'!Q:Q,AR1352,'CPL Mats'!S:S,AS1352)),"")</f>
        <v>0</v>
      </c>
      <c r="AF1352" s="25" t="str">
        <f>IF(SUMIFS('Supp Consol'!S:S,'Supp Consol'!Y:Y,"Releasable",'Supp Consol'!A:A,O1352)=0,"",SUMIFS('Supp Consol'!S:S,'Supp Consol'!Y:Y,"Releasable",'Supp Consol'!A:A,O1352))</f>
        <v/>
      </c>
      <c r="AG1352" s="25">
        <f>IFERROR(INDEX('Hun Demand'!Q:Q,MATCH(O1352,'Hun Demand'!A:A,0)),"")</f>
        <v>0</v>
      </c>
      <c r="AH1352" s="25">
        <f>IFERROR(INDEX('Hun Demand'!H:H,MATCH($O1352,'Hun Demand'!$A:$A,0)),"")</f>
        <v>40</v>
      </c>
      <c r="AI1352" s="25" t="str">
        <f>IF(SUMIFS('Supp Consol'!AA:AA,'Supp Consol'!Z:Z,"Expires this month",'Supp Consol'!A:A,O1352)=0,"",SUMIFS('Supp Consol'!AA:AA,'Supp Consol'!Z:Z,"Expires this month",'Supp Consol'!A:A,O1352))</f>
        <v/>
      </c>
      <c r="AJ1352" s="25" t="str">
        <f>IF(SUMIFS('Supp Consol'!AA:AA,'Supp Consol'!Z:Z,"Expired Previous Months",'Supp Consol'!A:A,O1352)=0,"",SUMIFS('Supp Consol'!AA:AA,'Supp Consol'!Z:Z,"Expired Previous Months",'Supp Consol'!A:A,O1352))</f>
        <v/>
      </c>
      <c r="AK1352" s="25" t="str">
        <f>IFERROR(INDEX('Hun Release Current'!B:B,MATCH(O1352,'Hun Release Current'!A:A,0)),"")</f>
        <v/>
      </c>
      <c r="AL1352" s="25" t="str">
        <f>IF(SUMIF('Prev Aub'!A:A,O1352,'Prev Aub'!B:B)=0,"",SUMIF('Prev Aub'!A:A,O1352,'Prev Aub'!B:B))</f>
        <v/>
      </c>
      <c r="AN1352" s="25" t="s">
        <v>3790</v>
      </c>
      <c r="AO1352" s="25" t="s">
        <v>3790</v>
      </c>
      <c r="AP1352" s="25">
        <f t="shared" si="594"/>
        <v>0</v>
      </c>
      <c r="AQ1352" s="151" t="str">
        <f>IF(SUMIFS('Supp Consol'!S:S,'Supp Consol'!A:A,O1352,'Supp Consol'!I:I,"PENDING")=0,"",SUMIFS('Supp Consol'!S:S,'Supp Consol'!A:A,O1352,'Supp Consol'!I:I,"PENDING"))</f>
        <v/>
      </c>
      <c r="AR1352" s="27" t="str">
        <f t="shared" si="595"/>
        <v>WE350</v>
      </c>
      <c r="AS1352" s="27" t="str">
        <f t="shared" si="596"/>
        <v>62</v>
      </c>
      <c r="AT1352" s="27" t="str">
        <f t="shared" si="597"/>
        <v/>
      </c>
      <c r="AU1352" s="27" t="str">
        <f t="shared" si="598"/>
        <v/>
      </c>
      <c r="AV1352" s="27" t="str">
        <f t="shared" si="599"/>
        <v/>
      </c>
      <c r="AW1352" s="27" t="str">
        <f t="shared" si="600"/>
        <v/>
      </c>
      <c r="AX1352" s="27" t="str">
        <f t="shared" si="601"/>
        <v/>
      </c>
      <c r="AY1352" s="27" t="str">
        <f t="shared" si="602"/>
        <v/>
      </c>
      <c r="AZ1352" s="27" t="str">
        <f t="shared" si="603"/>
        <v/>
      </c>
      <c r="BA1352" s="27" t="str">
        <f t="shared" si="604"/>
        <v/>
      </c>
      <c r="BB1352" s="27" t="str">
        <f t="shared" si="605"/>
        <v/>
      </c>
      <c r="BC1352" s="27" t="str">
        <f t="shared" si="606"/>
        <v/>
      </c>
      <c r="BD1352" s="27" t="str">
        <f t="shared" si="607"/>
        <v/>
      </c>
      <c r="BE1352" s="27" t="str">
        <f t="shared" si="608"/>
        <v/>
      </c>
      <c r="BF1352" s="27" t="str">
        <f t="shared" si="609"/>
        <v/>
      </c>
      <c r="BG1352" s="27" t="str">
        <f t="shared" si="610"/>
        <v/>
      </c>
      <c r="BH1352" s="27" t="str">
        <f t="shared" si="611"/>
        <v/>
      </c>
      <c r="BI1352" s="27" t="str">
        <f t="shared" si="612"/>
        <v/>
      </c>
      <c r="BJ1352" s="27" t="str">
        <f t="shared" si="613"/>
        <v/>
      </c>
      <c r="BK1352" s="27" t="str">
        <f t="shared" si="614"/>
        <v/>
      </c>
      <c r="BL1352" s="27" t="str">
        <f t="shared" si="615"/>
        <v/>
      </c>
      <c r="BM1352" s="21" t="s">
        <v>5581</v>
      </c>
    </row>
    <row r="1353" spans="1:65" ht="15">
      <c r="A1353" s="25">
        <f>IFERROR(INDEX('Hun Demand'!W:W,MATCH(O1353,'Hun Demand'!A:A,0)),"")</f>
        <v>0</v>
      </c>
      <c r="B1353" s="25">
        <f>IFERROR(INDEX('Hun Demand'!V:V,MATCH(O1353,'Hun Demand'!A:A,0)),"")</f>
        <v>0</v>
      </c>
      <c r="C1353" s="25">
        <f>IFERROR(INDEX('Hun Demand'!U:U,MATCH(O1353,'Hun Demand'!A:A,0)),"")</f>
        <v>0</v>
      </c>
      <c r="D1353" s="25">
        <f>IFERROR(INDEX('Hun Demand'!T:T,MATCH(O1353,'Hun Demand'!A:A,0)),"")</f>
        <v>0</v>
      </c>
      <c r="E1353" s="25">
        <f>IFERROR(INDEX('Hun Demand'!S:S,MATCH(O1353,'Hun Demand'!A:A,0)),"")</f>
        <v>0</v>
      </c>
      <c r="F1353" s="25">
        <f>IFERROR(INDEX('Hun Demand'!R:R,MATCH(O1353,'Hun Demand'!A:A,0)),"")</f>
        <v>0</v>
      </c>
      <c r="G1353" s="25">
        <f>IFERROR(INDEX('Aub Demand'!W:W,MATCH(O1353,'Aub Demand'!A:A,0)),"")</f>
        <v>0</v>
      </c>
      <c r="H1353" s="25">
        <f>IFERROR(INDEX('Aub Demand'!V:V,MATCH(O1353,'Aub Demand'!A:A,0)),"")</f>
        <v>0</v>
      </c>
      <c r="I1353" s="25">
        <f>IFERROR(INDEX('Aub Demand'!U:U,MATCH(O1353,'Aub Demand'!A:A,0)),"")</f>
        <v>29</v>
      </c>
      <c r="J1353" s="25">
        <f>IFERROR(INDEX('Aub Demand'!T:T,MATCH(O1353,'Aub Demand'!A:A,0)),"")</f>
        <v>500</v>
      </c>
      <c r="K1353" s="25">
        <f>IFERROR(INDEX('Aub Demand'!S:S,MATCH(O1353,'Aub Demand'!A:A,0)),"")</f>
        <v>17</v>
      </c>
      <c r="L1353" s="25">
        <f>IFERROR(INDEX('Aub Demand'!R:R,MATCH(O1353,'Aub Demand'!A:A,0)),"")</f>
        <v>0</v>
      </c>
      <c r="O1353" s="27" t="s">
        <v>1680</v>
      </c>
      <c r="P1353" s="27" t="str">
        <f>IFERROR(INDEX('Aub Demand'!B:B,MATCH($O1353,'Aub Demand'!$A:$A,0)),"")</f>
        <v>AMERICA'S PASTIME</v>
      </c>
      <c r="Q1353" s="27" t="str">
        <f>IFERROR(INDEX('Aub Demand'!C:C,MATCH($O1353,'Aub Demand'!$A:$A,0)),"")</f>
        <v>IMPRE</v>
      </c>
      <c r="R1353" s="52">
        <f>IFERROR(IF(AR1354=AR1353,INDEX('Aub Demand'!K:K,MATCH($O1353,'Aub Demand'!$A:$A,0))-IF(AN1353="",0,AN1353)+AP1354,INDEX('Aub Demand'!K:K,MATCH($O1353,'Aub Demand'!$A:$A,0))-IF(AN1353="",0,AN1353)),"")</f>
        <v>366</v>
      </c>
      <c r="S1353" s="53">
        <f t="shared" si="588"/>
        <v>8.6</v>
      </c>
      <c r="T1353" s="52" t="str">
        <f t="shared" si="589"/>
        <v/>
      </c>
      <c r="U1353" s="52">
        <f>IFERROR(IF(AR1354=AR1353,INDEX('Aub Demand'!Q:Q,MATCH($O1353,'Aub Demand'!$A:$A,0))-IF(AN1353="",0,AN1353)+AP1354,INDEX('Aub Demand'!Q:Q,MATCH($O1353,'Aub Demand'!$A:$A,0))-IF(AN1353="",0,AN1353)),"")</f>
        <v>366</v>
      </c>
      <c r="V1353" s="53">
        <f t="shared" si="590"/>
        <v>8.6</v>
      </c>
      <c r="W1353" s="52" t="str">
        <f t="shared" si="591"/>
        <v/>
      </c>
      <c r="X1353" s="52">
        <f>IFERROR(IF(AND(AR1354=AR1353,AM1353&lt;&gt;""),INDEX('Aub Demand'!Q:Q,MATCH($O1353,'Aub Demand'!$A:$A,0))-IF(AN1353="",0,AN1353)+AP1354+AD1353+AL1353,IF(AR1354=AR1353,INDEX('Aub Demand'!Q:Q,MATCH($O1353,'Aub Demand'!$A:$A,0))-IF(AN1353="",0,AN1353)+AP1354+AD1353,IF(AM1353&lt;&gt;"",INDEX('Aub Demand'!Q:Q,MATCH($O1353,'Aub Demand'!$A:$A,0))-IF(AN1353="",0,AN1353)+AD1353+AL1353,INDEX('Aub Demand'!Q:Q,MATCH($O1353,'Aub Demand'!$A:$A,0))-IF(AN1353="",0,AN1353)+AD1353))),"")</f>
        <v>366</v>
      </c>
      <c r="Y1353" s="53">
        <f t="shared" si="592"/>
        <v>8.6</v>
      </c>
      <c r="Z1353" s="52">
        <f>IF(L1353="","",INDEX('Aub Demand'!H:H,MATCH($O1353,'Aub Demand'!$A:$A,0)))</f>
        <v>182</v>
      </c>
      <c r="AA1353" s="52">
        <f t="shared" si="593"/>
        <v>264.5</v>
      </c>
      <c r="AB1353" s="52">
        <f>IFERROR(INDEX('Aub Demand'!L:L,MATCH($O1353,'Aub Demand'!$A:$A,0)),"")</f>
        <v>40</v>
      </c>
      <c r="AC1353" s="52">
        <f>IFERROR(IF(O1353="","",SUMIFS('CPL Mats'!F:F,'CPL Mats'!Q:Q,AR1353,'CPL Mats'!S:S,AS1353)),"")</f>
        <v>7847</v>
      </c>
      <c r="AF1353" s="25" t="str">
        <f>IF(SUMIFS('Supp Consol'!S:S,'Supp Consol'!Y:Y,"Releasable",'Supp Consol'!A:A,O1353)=0,"",SUMIFS('Supp Consol'!S:S,'Supp Consol'!Y:Y,"Releasable",'Supp Consol'!A:A,O1353))</f>
        <v/>
      </c>
      <c r="AG1353" s="25">
        <f>IFERROR(INDEX('Hun Demand'!Q:Q,MATCH(O1353,'Hun Demand'!A:A,0)),"")</f>
        <v>71</v>
      </c>
      <c r="AH1353" s="25">
        <f>IFERROR(INDEX('Hun Demand'!H:H,MATCH($O1353,'Hun Demand'!$A:$A,0)),"")</f>
        <v>0</v>
      </c>
      <c r="AI1353" s="25" t="str">
        <f>IF(SUMIFS('Supp Consol'!AA:AA,'Supp Consol'!Z:Z,"Expires this month",'Supp Consol'!A:A,O1353)=0,"",SUMIFS('Supp Consol'!AA:AA,'Supp Consol'!Z:Z,"Expires this month",'Supp Consol'!A:A,O1353))</f>
        <v/>
      </c>
      <c r="AJ1353" s="25" t="str">
        <f>IF(SUMIFS('Supp Consol'!AA:AA,'Supp Consol'!Z:Z,"Expired Previous Months",'Supp Consol'!A:A,O1353)=0,"",SUMIFS('Supp Consol'!AA:AA,'Supp Consol'!Z:Z,"Expired Previous Months",'Supp Consol'!A:A,O1353))</f>
        <v/>
      </c>
      <c r="AK1353" s="25" t="str">
        <f>IFERROR(INDEX('Hun Release Current'!B:B,MATCH(O1353,'Hun Release Current'!A:A,0)),"")</f>
        <v/>
      </c>
      <c r="AL1353" s="25" t="str">
        <f>IF(SUMIF('Prev Aub'!A:A,O1353,'Prev Aub'!B:B)=0,"",SUMIF('Prev Aub'!A:A,O1353,'Prev Aub'!B:B))</f>
        <v/>
      </c>
      <c r="AN1353" s="25" t="s">
        <v>3790</v>
      </c>
      <c r="AO1353" s="25" t="s">
        <v>3790</v>
      </c>
      <c r="AP1353" s="25">
        <f t="shared" si="594"/>
        <v>0</v>
      </c>
      <c r="AQ1353" s="151" t="str">
        <f>IF(SUMIFS('Supp Consol'!S:S,'Supp Consol'!A:A,O1353,'Supp Consol'!I:I,"PENDING")=0,"",SUMIFS('Supp Consol'!S:S,'Supp Consol'!A:A,O1353,'Supp Consol'!I:I,"PENDING"))</f>
        <v/>
      </c>
      <c r="AR1353" s="27" t="str">
        <f t="shared" si="595"/>
        <v>WE360</v>
      </c>
      <c r="AS1353" s="27" t="str">
        <f t="shared" si="596"/>
        <v>50</v>
      </c>
      <c r="AT1353" s="27" t="str">
        <f t="shared" si="597"/>
        <v/>
      </c>
      <c r="AU1353" s="27" t="str">
        <f t="shared" si="598"/>
        <v/>
      </c>
      <c r="AV1353" s="27" t="str">
        <f t="shared" si="599"/>
        <v/>
      </c>
      <c r="AW1353" s="27" t="str">
        <f t="shared" si="600"/>
        <v/>
      </c>
      <c r="AX1353" s="27" t="str">
        <f t="shared" si="601"/>
        <v/>
      </c>
      <c r="AY1353" s="27" t="str">
        <f t="shared" si="602"/>
        <v>WE360</v>
      </c>
      <c r="AZ1353" s="27" t="str">
        <f t="shared" si="603"/>
        <v/>
      </c>
      <c r="BA1353" s="27" t="str">
        <f t="shared" si="604"/>
        <v>Hun</v>
      </c>
      <c r="BB1353" s="27" t="str">
        <f t="shared" si="605"/>
        <v/>
      </c>
      <c r="BC1353" s="27" t="str">
        <f t="shared" si="606"/>
        <v/>
      </c>
      <c r="BD1353" s="27" t="str">
        <f t="shared" si="607"/>
        <v/>
      </c>
      <c r="BE1353" s="27" t="str">
        <f t="shared" si="608"/>
        <v/>
      </c>
      <c r="BF1353" s="27" t="str">
        <f t="shared" si="609"/>
        <v/>
      </c>
      <c r="BG1353" s="27" t="str">
        <f t="shared" si="610"/>
        <v/>
      </c>
      <c r="BH1353" s="27" t="str">
        <f t="shared" si="611"/>
        <v/>
      </c>
      <c r="BI1353" s="27" t="str">
        <f t="shared" si="612"/>
        <v/>
      </c>
      <c r="BJ1353" s="27" t="str">
        <f t="shared" si="613"/>
        <v>Supp or Hun</v>
      </c>
      <c r="BK1353" s="27" t="str">
        <f t="shared" si="614"/>
        <v/>
      </c>
      <c r="BL1353" s="27" t="str">
        <f t="shared" si="615"/>
        <v/>
      </c>
      <c r="BM1353" s="21" t="s">
        <v>5581</v>
      </c>
    </row>
    <row r="1354" spans="1:65" ht="15">
      <c r="A1354" s="25" t="str">
        <f>IFERROR(INDEX('Hun Demand'!W:W,MATCH(O1354,'Hun Demand'!A:A,0)),"")</f>
        <v/>
      </c>
      <c r="B1354" s="25" t="str">
        <f>IFERROR(INDEX('Hun Demand'!V:V,MATCH(O1354,'Hun Demand'!A:A,0)),"")</f>
        <v/>
      </c>
      <c r="C1354" s="25" t="str">
        <f>IFERROR(INDEX('Hun Demand'!U:U,MATCH(O1354,'Hun Demand'!A:A,0)),"")</f>
        <v/>
      </c>
      <c r="D1354" s="25" t="str">
        <f>IFERROR(INDEX('Hun Demand'!T:T,MATCH(O1354,'Hun Demand'!A:A,0)),"")</f>
        <v/>
      </c>
      <c r="E1354" s="25" t="str">
        <f>IFERROR(INDEX('Hun Demand'!S:S,MATCH(O1354,'Hun Demand'!A:A,0)),"")</f>
        <v/>
      </c>
      <c r="F1354" s="25" t="str">
        <f>IFERROR(INDEX('Hun Demand'!R:R,MATCH(O1354,'Hun Demand'!A:A,0)),"")</f>
        <v/>
      </c>
      <c r="G1354" s="25">
        <f>IFERROR(INDEX('Aub Demand'!W:W,MATCH(O1354,'Aub Demand'!A:A,0)),"")</f>
        <v>28</v>
      </c>
      <c r="H1354" s="25">
        <f>IFERROR(INDEX('Aub Demand'!V:V,MATCH(O1354,'Aub Demand'!A:A,0)),"")</f>
        <v>0</v>
      </c>
      <c r="I1354" s="25">
        <f>IFERROR(INDEX('Aub Demand'!U:U,MATCH(O1354,'Aub Demand'!A:A,0)),"")</f>
        <v>0</v>
      </c>
      <c r="J1354" s="25">
        <f>IFERROR(INDEX('Aub Demand'!T:T,MATCH(O1354,'Aub Demand'!A:A,0)),"")</f>
        <v>27</v>
      </c>
      <c r="K1354" s="25">
        <f>IFERROR(INDEX('Aub Demand'!S:S,MATCH(O1354,'Aub Demand'!A:A,0)),"")</f>
        <v>0</v>
      </c>
      <c r="L1354" s="25">
        <f>IFERROR(INDEX('Aub Demand'!R:R,MATCH(O1354,'Aub Demand'!A:A,0)),"")</f>
        <v>0</v>
      </c>
      <c r="O1354" s="27" t="s">
        <v>1682</v>
      </c>
      <c r="P1354" s="27" t="str">
        <f>IFERROR(INDEX('Aub Demand'!B:B,MATCH($O1354,'Aub Demand'!$A:$A,0)),"")</f>
        <v>AMERICA'S PASTIME</v>
      </c>
      <c r="Q1354" s="27" t="str">
        <f>IFERROR(INDEX('Aub Demand'!C:C,MATCH($O1354,'Aub Demand'!$A:$A,0)),"")</f>
        <v>IMPRE</v>
      </c>
      <c r="R1354" s="52">
        <f>IFERROR(IF(AR1355=AR1354,INDEX('Aub Demand'!K:K,MATCH($O1354,'Aub Demand'!$A:$A,0))-IF(AN1354="",0,AN1354)+AP1355,INDEX('Aub Demand'!K:K,MATCH($O1354,'Aub Demand'!$A:$A,0))-IF(AN1354="",0,AN1354)),"")</f>
        <v>859</v>
      </c>
      <c r="S1354" s="53">
        <f t="shared" si="588"/>
        <v>409</v>
      </c>
      <c r="T1354" s="52" t="str">
        <f t="shared" si="589"/>
        <v/>
      </c>
      <c r="U1354" s="52">
        <f>IFERROR(IF(AR1355=AR1354,INDEX('Aub Demand'!Q:Q,MATCH($O1354,'Aub Demand'!$A:$A,0))-IF(AN1354="",0,AN1354)+AP1355,INDEX('Aub Demand'!Q:Q,MATCH($O1354,'Aub Demand'!$A:$A,0))-IF(AN1354="",0,AN1354)),"")</f>
        <v>859</v>
      </c>
      <c r="V1354" s="53">
        <f t="shared" si="590"/>
        <v>409</v>
      </c>
      <c r="W1354" s="52" t="str">
        <f t="shared" si="591"/>
        <v/>
      </c>
      <c r="X1354" s="52">
        <f>IFERROR(IF(AND(AR1355=AR1354,AM1354&lt;&gt;""),INDEX('Aub Demand'!Q:Q,MATCH($O1354,'Aub Demand'!$A:$A,0))-IF(AN1354="",0,AN1354)+AP1355+AD1354+AL1354,IF(AR1355=AR1354,INDEX('Aub Demand'!Q:Q,MATCH($O1354,'Aub Demand'!$A:$A,0))-IF(AN1354="",0,AN1354)+AP1355+AD1354,IF(AM1354&lt;&gt;"",INDEX('Aub Demand'!Q:Q,MATCH($O1354,'Aub Demand'!$A:$A,0))-IF(AN1354="",0,AN1354)+AD1354+AL1354,INDEX('Aub Demand'!Q:Q,MATCH($O1354,'Aub Demand'!$A:$A,0))-IF(AN1354="",0,AN1354)+AD1354))),"")</f>
        <v>859</v>
      </c>
      <c r="Y1354" s="53">
        <f t="shared" si="592"/>
        <v>409</v>
      </c>
      <c r="Z1354" s="52">
        <f>IF(L1354="","",INDEX('Aub Demand'!H:H,MATCH($O1354,'Aub Demand'!$A:$A,0)))</f>
        <v>9</v>
      </c>
      <c r="AA1354" s="52" t="str">
        <f t="shared" si="593"/>
        <v>-spike-</v>
      </c>
      <c r="AB1354" s="52">
        <f>IFERROR(INDEX('Aub Demand'!L:L,MATCH($O1354,'Aub Demand'!$A:$A,0)),"")</f>
        <v>0</v>
      </c>
      <c r="AC1354" s="52">
        <f>IFERROR(IF(O1354="","",SUMIFS('CPL Mats'!F:F,'CPL Mats'!Q:Q,AR1354,'CPL Mats'!S:S,AS1354)),"")</f>
        <v>0</v>
      </c>
      <c r="AF1354" s="25" t="str">
        <f>IF(SUMIFS('Supp Consol'!S:S,'Supp Consol'!Y:Y,"Releasable",'Supp Consol'!A:A,O1354)=0,"",SUMIFS('Supp Consol'!S:S,'Supp Consol'!Y:Y,"Releasable",'Supp Consol'!A:A,O1354))</f>
        <v/>
      </c>
      <c r="AG1354" s="25" t="str">
        <f>IFERROR(INDEX('Hun Demand'!Q:Q,MATCH(O1354,'Hun Demand'!A:A,0)),"")</f>
        <v/>
      </c>
      <c r="AH1354" s="25" t="str">
        <f>IFERROR(INDEX('Hun Demand'!H:H,MATCH($O1354,'Hun Demand'!$A:$A,0)),"")</f>
        <v/>
      </c>
      <c r="AI1354" s="25" t="str">
        <f>IF(SUMIFS('Supp Consol'!AA:AA,'Supp Consol'!Z:Z,"Expires this month",'Supp Consol'!A:A,O1354)=0,"",SUMIFS('Supp Consol'!AA:AA,'Supp Consol'!Z:Z,"Expires this month",'Supp Consol'!A:A,O1354))</f>
        <v/>
      </c>
      <c r="AJ1354" s="25" t="str">
        <f>IF(SUMIFS('Supp Consol'!AA:AA,'Supp Consol'!Z:Z,"Expired Previous Months",'Supp Consol'!A:A,O1354)=0,"",SUMIFS('Supp Consol'!AA:AA,'Supp Consol'!Z:Z,"Expired Previous Months",'Supp Consol'!A:A,O1354))</f>
        <v/>
      </c>
      <c r="AK1354" s="25" t="str">
        <f>IFERROR(INDEX('Hun Release Current'!B:B,MATCH(O1354,'Hun Release Current'!A:A,0)),"")</f>
        <v/>
      </c>
      <c r="AL1354" s="25" t="str">
        <f>IF(SUMIF('Prev Aub'!A:A,O1354,'Prev Aub'!B:B)=0,"",SUMIF('Prev Aub'!A:A,O1354,'Prev Aub'!B:B))</f>
        <v/>
      </c>
      <c r="AN1354" s="25" t="s">
        <v>3790</v>
      </c>
      <c r="AO1354" s="25" t="s">
        <v>3790</v>
      </c>
      <c r="AP1354" s="25">
        <f t="shared" si="594"/>
        <v>0</v>
      </c>
      <c r="AQ1354" s="151" t="str">
        <f>IF(SUMIFS('Supp Consol'!S:S,'Supp Consol'!A:A,O1354,'Supp Consol'!I:I,"PENDING")=0,"",SUMIFS('Supp Consol'!S:S,'Supp Consol'!A:A,O1354,'Supp Consol'!I:I,"PENDING"))</f>
        <v/>
      </c>
      <c r="AR1354" s="27" t="str">
        <f t="shared" si="595"/>
        <v>WE360</v>
      </c>
      <c r="AS1354" s="27" t="str">
        <f t="shared" si="596"/>
        <v>62</v>
      </c>
      <c r="AT1354" s="27" t="str">
        <f t="shared" si="597"/>
        <v/>
      </c>
      <c r="AU1354" s="27" t="str">
        <f t="shared" si="598"/>
        <v/>
      </c>
      <c r="AV1354" s="27" t="str">
        <f t="shared" si="599"/>
        <v/>
      </c>
      <c r="AW1354" s="27" t="str">
        <f t="shared" si="600"/>
        <v/>
      </c>
      <c r="AX1354" s="27" t="str">
        <f t="shared" si="601"/>
        <v/>
      </c>
      <c r="AY1354" s="27" t="str">
        <f t="shared" si="602"/>
        <v/>
      </c>
      <c r="AZ1354" s="27" t="str">
        <f t="shared" si="603"/>
        <v/>
      </c>
      <c r="BA1354" s="27" t="str">
        <f t="shared" si="604"/>
        <v>Hun</v>
      </c>
      <c r="BB1354" s="27" t="str">
        <f t="shared" si="605"/>
        <v/>
      </c>
      <c r="BC1354" s="27" t="str">
        <f t="shared" si="606"/>
        <v/>
      </c>
      <c r="BD1354" s="27" t="str">
        <f t="shared" si="607"/>
        <v/>
      </c>
      <c r="BE1354" s="27" t="str">
        <f t="shared" si="608"/>
        <v/>
      </c>
      <c r="BF1354" s="27" t="str">
        <f t="shared" si="609"/>
        <v/>
      </c>
      <c r="BG1354" s="27" t="str">
        <f t="shared" si="610"/>
        <v/>
      </c>
      <c r="BH1354" s="27" t="str">
        <f t="shared" si="611"/>
        <v/>
      </c>
      <c r="BI1354" s="27" t="str">
        <f t="shared" si="612"/>
        <v/>
      </c>
      <c r="BJ1354" s="27" t="str">
        <f t="shared" si="613"/>
        <v>Supp or Hun</v>
      </c>
      <c r="BK1354" s="27" t="str">
        <f t="shared" si="614"/>
        <v/>
      </c>
      <c r="BL1354" s="27" t="str">
        <f t="shared" si="615"/>
        <v/>
      </c>
      <c r="BM1354" s="21" t="s">
        <v>5581</v>
      </c>
    </row>
    <row r="1355" spans="1:65" ht="15">
      <c r="A1355" s="25" t="str">
        <f>IFERROR(INDEX('Hun Demand'!W:W,MATCH(O1355,'Hun Demand'!A:A,0)),"")</f>
        <v/>
      </c>
      <c r="B1355" s="25" t="str">
        <f>IFERROR(INDEX('Hun Demand'!V:V,MATCH(O1355,'Hun Demand'!A:A,0)),"")</f>
        <v/>
      </c>
      <c r="C1355" s="25" t="str">
        <f>IFERROR(INDEX('Hun Demand'!U:U,MATCH(O1355,'Hun Demand'!A:A,0)),"")</f>
        <v/>
      </c>
      <c r="D1355" s="25" t="str">
        <f>IFERROR(INDEX('Hun Demand'!T:T,MATCH(O1355,'Hun Demand'!A:A,0)),"")</f>
        <v/>
      </c>
      <c r="E1355" s="25" t="str">
        <f>IFERROR(INDEX('Hun Demand'!S:S,MATCH(O1355,'Hun Demand'!A:A,0)),"")</f>
        <v/>
      </c>
      <c r="F1355" s="25" t="str">
        <f>IFERROR(INDEX('Hun Demand'!R:R,MATCH(O1355,'Hun Demand'!A:A,0)),"")</f>
        <v/>
      </c>
      <c r="G1355" s="25">
        <f>IFERROR(INDEX('Aub Demand'!W:W,MATCH(O1355,'Aub Demand'!A:A,0)),"")</f>
        <v>0</v>
      </c>
      <c r="H1355" s="25">
        <f>IFERROR(INDEX('Aub Demand'!V:V,MATCH(O1355,'Aub Demand'!A:A,0)),"")</f>
        <v>0</v>
      </c>
      <c r="I1355" s="25">
        <f>IFERROR(INDEX('Aub Demand'!U:U,MATCH(O1355,'Aub Demand'!A:A,0)),"")</f>
        <v>0</v>
      </c>
      <c r="J1355" s="25">
        <f>IFERROR(INDEX('Aub Demand'!T:T,MATCH(O1355,'Aub Demand'!A:A,0)),"")</f>
        <v>24</v>
      </c>
      <c r="K1355" s="25">
        <f>IFERROR(INDEX('Aub Demand'!S:S,MATCH(O1355,'Aub Demand'!A:A,0)),"")</f>
        <v>35</v>
      </c>
      <c r="L1355" s="25">
        <f>IFERROR(INDEX('Aub Demand'!R:R,MATCH(O1355,'Aub Demand'!A:A,0)),"")</f>
        <v>0</v>
      </c>
      <c r="O1355" s="27" t="s">
        <v>2949</v>
      </c>
      <c r="P1355" s="27" t="str">
        <f>IFERROR(INDEX('Aub Demand'!B:B,MATCH($O1355,'Aub Demand'!$A:$A,0)),"")</f>
        <v>EDENWOOD 48"</v>
      </c>
      <c r="Q1355" s="27" t="str">
        <f>IFERROR(INDEX('Aub Demand'!C:C,MATCH($O1355,'Aub Demand'!$A:$A,0)),"")</f>
        <v>LAMIG</v>
      </c>
      <c r="R1355" s="52">
        <f>IFERROR(IF(AR1356=AR1355,INDEX('Aub Demand'!K:K,MATCH($O1355,'Aub Demand'!$A:$A,0))-IF(AN1355="",0,AN1355)+AP1356,INDEX('Aub Demand'!K:K,MATCH($O1355,'Aub Demand'!$A:$A,0))-IF(AN1355="",0,AN1355)),"")</f>
        <v>2552</v>
      </c>
      <c r="S1355" s="53">
        <f t="shared" si="588"/>
        <v>546.9</v>
      </c>
      <c r="T1355" s="52" t="str">
        <f t="shared" si="589"/>
        <v/>
      </c>
      <c r="U1355" s="52">
        <f>IFERROR(IF(AR1356=AR1355,INDEX('Aub Demand'!Q:Q,MATCH($O1355,'Aub Demand'!$A:$A,0))-IF(AN1355="",0,AN1355)+AP1356,INDEX('Aub Demand'!Q:Q,MATCH($O1355,'Aub Demand'!$A:$A,0))-IF(AN1355="",0,AN1355)),"")</f>
        <v>2524</v>
      </c>
      <c r="V1355" s="53">
        <f t="shared" si="590"/>
        <v>540.9</v>
      </c>
      <c r="W1355" s="52" t="str">
        <f t="shared" si="591"/>
        <v/>
      </c>
      <c r="X1355" s="52">
        <f>IFERROR(IF(AND(AR1356=AR1355,AM1355&lt;&gt;""),INDEX('Aub Demand'!Q:Q,MATCH($O1355,'Aub Demand'!$A:$A,0))-IF(AN1355="",0,AN1355)+AP1356+AD1355+AL1355,IF(AR1356=AR1355,INDEX('Aub Demand'!Q:Q,MATCH($O1355,'Aub Demand'!$A:$A,0))-IF(AN1355="",0,AN1355)+AP1356+AD1355,IF(AM1355&lt;&gt;"",INDEX('Aub Demand'!Q:Q,MATCH($O1355,'Aub Demand'!$A:$A,0))-IF(AN1355="",0,AN1355)+AD1355+AL1355,INDEX('Aub Demand'!Q:Q,MATCH($O1355,'Aub Demand'!$A:$A,0))-IF(AN1355="",0,AN1355)+AD1355))),"")</f>
        <v>2524</v>
      </c>
      <c r="Y1355" s="53">
        <f t="shared" si="592"/>
        <v>540.9</v>
      </c>
      <c r="Z1355" s="52">
        <f>IF(L1355="","",INDEX('Aub Demand'!H:H,MATCH($O1355,'Aub Demand'!$A:$A,0)))</f>
        <v>20</v>
      </c>
      <c r="AA1355" s="52">
        <f t="shared" si="593"/>
        <v>29.5</v>
      </c>
      <c r="AB1355" s="52">
        <f>IFERROR(INDEX('Aub Demand'!L:L,MATCH($O1355,'Aub Demand'!$A:$A,0)),"")</f>
        <v>37</v>
      </c>
      <c r="AC1355" s="52">
        <f>IFERROR(IF(O1355="","",SUMIFS('CPL Mats'!F:F,'CPL Mats'!Q:Q,AR1355,'CPL Mats'!S:S,AS1355)),"")</f>
        <v>0</v>
      </c>
      <c r="AF1355" s="25" t="str">
        <f>IF(SUMIFS('Supp Consol'!S:S,'Supp Consol'!Y:Y,"Releasable",'Supp Consol'!A:A,O1355)=0,"",SUMIFS('Supp Consol'!S:S,'Supp Consol'!Y:Y,"Releasable",'Supp Consol'!A:A,O1355))</f>
        <v/>
      </c>
      <c r="AG1355" s="25" t="str">
        <f>IFERROR(INDEX('Hun Demand'!Q:Q,MATCH(O1355,'Hun Demand'!A:A,0)),"")</f>
        <v/>
      </c>
      <c r="AH1355" s="25" t="str">
        <f>IFERROR(INDEX('Hun Demand'!H:H,MATCH($O1355,'Hun Demand'!$A:$A,0)),"")</f>
        <v/>
      </c>
      <c r="AI1355" s="25" t="str">
        <f>IF(SUMIFS('Supp Consol'!AA:AA,'Supp Consol'!Z:Z,"Expires this month",'Supp Consol'!A:A,O1355)=0,"",SUMIFS('Supp Consol'!AA:AA,'Supp Consol'!Z:Z,"Expires this month",'Supp Consol'!A:A,O1355))</f>
        <v/>
      </c>
      <c r="AJ1355" s="25" t="str">
        <f>IF(SUMIFS('Supp Consol'!AA:AA,'Supp Consol'!Z:Z,"Expired Previous Months",'Supp Consol'!A:A,O1355)=0,"",SUMIFS('Supp Consol'!AA:AA,'Supp Consol'!Z:Z,"Expired Previous Months",'Supp Consol'!A:A,O1355))</f>
        <v/>
      </c>
      <c r="AK1355" s="25" t="str">
        <f>IFERROR(INDEX('Hun Release Current'!B:B,MATCH(O1355,'Hun Release Current'!A:A,0)),"")</f>
        <v/>
      </c>
      <c r="AL1355" s="25" t="str">
        <f>IF(SUMIF('Prev Aub'!A:A,O1355,'Prev Aub'!B:B)=0,"",SUMIF('Prev Aub'!A:A,O1355,'Prev Aub'!B:B))</f>
        <v/>
      </c>
      <c r="AN1355" s="25" t="s">
        <v>3790</v>
      </c>
      <c r="AO1355" s="25" t="s">
        <v>3790</v>
      </c>
      <c r="AP1355" s="25">
        <f t="shared" si="594"/>
        <v>0</v>
      </c>
      <c r="AQ1355" s="151" t="str">
        <f>IF(SUMIFS('Supp Consol'!S:S,'Supp Consol'!A:A,O1355,'Supp Consol'!I:I,"PENDING")=0,"",SUMIFS('Supp Consol'!S:S,'Supp Consol'!A:A,O1355,'Supp Consol'!I:I,"PENDING"))</f>
        <v/>
      </c>
      <c r="AR1355" s="27" t="str">
        <f t="shared" si="595"/>
        <v>WF001</v>
      </c>
      <c r="AS1355" s="27" t="str">
        <f t="shared" si="596"/>
        <v>50</v>
      </c>
      <c r="AT1355" s="27" t="str">
        <f t="shared" si="597"/>
        <v/>
      </c>
      <c r="AU1355" s="27" t="str">
        <f t="shared" si="598"/>
        <v/>
      </c>
      <c r="AV1355" s="27" t="str">
        <f t="shared" si="599"/>
        <v/>
      </c>
      <c r="AW1355" s="27" t="str">
        <f t="shared" si="600"/>
        <v/>
      </c>
      <c r="AX1355" s="27" t="str">
        <f t="shared" si="601"/>
        <v/>
      </c>
      <c r="AY1355" s="27" t="str">
        <f t="shared" si="602"/>
        <v/>
      </c>
      <c r="AZ1355" s="27" t="str">
        <f t="shared" si="603"/>
        <v/>
      </c>
      <c r="BA1355" s="27" t="str">
        <f t="shared" si="604"/>
        <v/>
      </c>
      <c r="BB1355" s="27" t="str">
        <f t="shared" si="605"/>
        <v/>
      </c>
      <c r="BC1355" s="27" t="str">
        <f t="shared" si="606"/>
        <v/>
      </c>
      <c r="BD1355" s="27" t="str">
        <f t="shared" si="607"/>
        <v/>
      </c>
      <c r="BE1355" s="27" t="str">
        <f t="shared" si="608"/>
        <v/>
      </c>
      <c r="BF1355" s="27" t="str">
        <f t="shared" si="609"/>
        <v/>
      </c>
      <c r="BG1355" s="27" t="str">
        <f t="shared" si="610"/>
        <v/>
      </c>
      <c r="BH1355" s="27" t="str">
        <f t="shared" si="611"/>
        <v/>
      </c>
      <c r="BI1355" s="27" t="str">
        <f t="shared" si="612"/>
        <v/>
      </c>
      <c r="BJ1355" s="27" t="str">
        <f t="shared" si="613"/>
        <v/>
      </c>
      <c r="BK1355" s="27" t="str">
        <f t="shared" si="614"/>
        <v/>
      </c>
      <c r="BL1355" s="27" t="str">
        <f t="shared" si="615"/>
        <v/>
      </c>
      <c r="BM1355" s="21" t="s">
        <v>5581</v>
      </c>
    </row>
    <row r="1356" spans="1:65" ht="15">
      <c r="A1356" s="25" t="str">
        <f>IFERROR(INDEX('Hun Demand'!W:W,MATCH(O1356,'Hun Demand'!A:A,0)),"")</f>
        <v/>
      </c>
      <c r="B1356" s="25" t="str">
        <f>IFERROR(INDEX('Hun Demand'!V:V,MATCH(O1356,'Hun Demand'!A:A,0)),"")</f>
        <v/>
      </c>
      <c r="C1356" s="25" t="str">
        <f>IFERROR(INDEX('Hun Demand'!U:U,MATCH(O1356,'Hun Demand'!A:A,0)),"")</f>
        <v/>
      </c>
      <c r="D1356" s="25" t="str">
        <f>IFERROR(INDEX('Hun Demand'!T:T,MATCH(O1356,'Hun Demand'!A:A,0)),"")</f>
        <v/>
      </c>
      <c r="E1356" s="25" t="str">
        <f>IFERROR(INDEX('Hun Demand'!S:S,MATCH(O1356,'Hun Demand'!A:A,0)),"")</f>
        <v/>
      </c>
      <c r="F1356" s="25" t="str">
        <f>IFERROR(INDEX('Hun Demand'!R:R,MATCH(O1356,'Hun Demand'!A:A,0)),"")</f>
        <v/>
      </c>
      <c r="G1356" s="25">
        <f>IFERROR(INDEX('Aub Demand'!W:W,MATCH(O1356,'Aub Demand'!A:A,0)),"")</f>
        <v>0</v>
      </c>
      <c r="H1356" s="25">
        <f>IFERROR(INDEX('Aub Demand'!V:V,MATCH(O1356,'Aub Demand'!A:A,0)),"")</f>
        <v>0</v>
      </c>
      <c r="I1356" s="25">
        <f>IFERROR(INDEX('Aub Demand'!U:U,MATCH(O1356,'Aub Demand'!A:A,0)),"")</f>
        <v>12</v>
      </c>
      <c r="J1356" s="25">
        <f>IFERROR(INDEX('Aub Demand'!T:T,MATCH(O1356,'Aub Demand'!A:A,0)),"")</f>
        <v>0</v>
      </c>
      <c r="K1356" s="25">
        <f>IFERROR(INDEX('Aub Demand'!S:S,MATCH(O1356,'Aub Demand'!A:A,0)),"")</f>
        <v>0</v>
      </c>
      <c r="L1356" s="25">
        <f>IFERROR(INDEX('Aub Demand'!R:R,MATCH(O1356,'Aub Demand'!A:A,0)),"")</f>
        <v>0</v>
      </c>
      <c r="O1356" s="27" t="s">
        <v>2952</v>
      </c>
      <c r="P1356" s="27" t="str">
        <f>IFERROR(INDEX('Aub Demand'!B:B,MATCH($O1356,'Aub Demand'!$A:$A,0)),"")</f>
        <v>EDENWOOD 60"</v>
      </c>
      <c r="Q1356" s="27" t="str">
        <f>IFERROR(INDEX('Aub Demand'!C:C,MATCH($O1356,'Aub Demand'!$A:$A,0)),"")</f>
        <v>LAMIG</v>
      </c>
      <c r="R1356" s="52">
        <f>IFERROR(IF(AR1357=AR1356,INDEX('Aub Demand'!K:K,MATCH($O1356,'Aub Demand'!$A:$A,0))-IF(AN1356="",0,AN1356)+AP1357,INDEX('Aub Demand'!K:K,MATCH($O1356,'Aub Demand'!$A:$A,0))-IF(AN1356="",0,AN1356)),"")</f>
        <v>1221</v>
      </c>
      <c r="S1356" s="53">
        <f t="shared" si="588"/>
        <v>1308.2</v>
      </c>
      <c r="T1356" s="52" t="str">
        <f t="shared" si="589"/>
        <v/>
      </c>
      <c r="U1356" s="52">
        <f>IFERROR(IF(AR1357=AR1356,INDEX('Aub Demand'!Q:Q,MATCH($O1356,'Aub Demand'!$A:$A,0))-IF(AN1356="",0,AN1356)+AP1357,INDEX('Aub Demand'!Q:Q,MATCH($O1356,'Aub Demand'!$A:$A,0))-IF(AN1356="",0,AN1356)),"")</f>
        <v>1221</v>
      </c>
      <c r="V1356" s="53">
        <f t="shared" si="590"/>
        <v>1308.2</v>
      </c>
      <c r="W1356" s="52" t="str">
        <f t="shared" si="591"/>
        <v/>
      </c>
      <c r="X1356" s="52">
        <f>IFERROR(IF(AND(AR1357=AR1356,AM1356&lt;&gt;""),INDEX('Aub Demand'!Q:Q,MATCH($O1356,'Aub Demand'!$A:$A,0))-IF(AN1356="",0,AN1356)+AP1357+AD1356+AL1356,IF(AR1357=AR1356,INDEX('Aub Demand'!Q:Q,MATCH($O1356,'Aub Demand'!$A:$A,0))-IF(AN1356="",0,AN1356)+AP1357+AD1356,IF(AM1356&lt;&gt;"",INDEX('Aub Demand'!Q:Q,MATCH($O1356,'Aub Demand'!$A:$A,0))-IF(AN1356="",0,AN1356)+AD1356+AL1356,INDEX('Aub Demand'!Q:Q,MATCH($O1356,'Aub Demand'!$A:$A,0))-IF(AN1356="",0,AN1356)+AD1356))),"")</f>
        <v>1221</v>
      </c>
      <c r="Y1356" s="53">
        <f t="shared" si="592"/>
        <v>1308.2</v>
      </c>
      <c r="Z1356" s="52">
        <f>IF(L1356="","",INDEX('Aub Demand'!H:H,MATCH($O1356,'Aub Demand'!$A:$A,0)))</f>
        <v>4</v>
      </c>
      <c r="AA1356" s="52" t="str">
        <f t="shared" si="593"/>
        <v>-spike-</v>
      </c>
      <c r="AB1356" s="52">
        <f>IFERROR(INDEX('Aub Demand'!L:L,MATCH($O1356,'Aub Demand'!$A:$A,0)),"")</f>
        <v>0</v>
      </c>
      <c r="AC1356" s="52">
        <f>IFERROR(IF(O1356="","",SUMIFS('CPL Mats'!F:F,'CPL Mats'!Q:Q,AR1356,'CPL Mats'!S:S,AS1356)),"")</f>
        <v>0</v>
      </c>
      <c r="AF1356" s="25" t="str">
        <f>IF(SUMIFS('Supp Consol'!S:S,'Supp Consol'!Y:Y,"Releasable",'Supp Consol'!A:A,O1356)=0,"",SUMIFS('Supp Consol'!S:S,'Supp Consol'!Y:Y,"Releasable",'Supp Consol'!A:A,O1356))</f>
        <v/>
      </c>
      <c r="AG1356" s="25" t="str">
        <f>IFERROR(INDEX('Hun Demand'!Q:Q,MATCH(O1356,'Hun Demand'!A:A,0)),"")</f>
        <v/>
      </c>
      <c r="AH1356" s="25" t="str">
        <f>IFERROR(INDEX('Hun Demand'!H:H,MATCH($O1356,'Hun Demand'!$A:$A,0)),"")</f>
        <v/>
      </c>
      <c r="AI1356" s="25" t="str">
        <f>IF(SUMIFS('Supp Consol'!AA:AA,'Supp Consol'!Z:Z,"Expires this month",'Supp Consol'!A:A,O1356)=0,"",SUMIFS('Supp Consol'!AA:AA,'Supp Consol'!Z:Z,"Expires this month",'Supp Consol'!A:A,O1356))</f>
        <v/>
      </c>
      <c r="AJ1356" s="25" t="str">
        <f>IF(SUMIFS('Supp Consol'!AA:AA,'Supp Consol'!Z:Z,"Expired Previous Months",'Supp Consol'!A:A,O1356)=0,"",SUMIFS('Supp Consol'!AA:AA,'Supp Consol'!Z:Z,"Expired Previous Months",'Supp Consol'!A:A,O1356))</f>
        <v/>
      </c>
      <c r="AK1356" s="25" t="str">
        <f>IFERROR(INDEX('Hun Release Current'!B:B,MATCH(O1356,'Hun Release Current'!A:A,0)),"")</f>
        <v/>
      </c>
      <c r="AL1356" s="25" t="str">
        <f>IF(SUMIF('Prev Aub'!A:A,O1356,'Prev Aub'!B:B)=0,"",SUMIF('Prev Aub'!A:A,O1356,'Prev Aub'!B:B))</f>
        <v/>
      </c>
      <c r="AN1356" s="25" t="s">
        <v>3790</v>
      </c>
      <c r="AO1356" s="25" t="s">
        <v>3790</v>
      </c>
      <c r="AP1356" s="25">
        <f t="shared" si="594"/>
        <v>0</v>
      </c>
      <c r="AQ1356" s="151" t="str">
        <f>IF(SUMIFS('Supp Consol'!S:S,'Supp Consol'!A:A,O1356,'Supp Consol'!I:I,"PENDING")=0,"",SUMIFS('Supp Consol'!S:S,'Supp Consol'!A:A,O1356,'Supp Consol'!I:I,"PENDING"))</f>
        <v/>
      </c>
      <c r="AR1356" s="27" t="str">
        <f t="shared" si="595"/>
        <v>WF001</v>
      </c>
      <c r="AS1356" s="27" t="str">
        <f t="shared" si="596"/>
        <v>62</v>
      </c>
      <c r="AT1356" s="27" t="str">
        <f t="shared" si="597"/>
        <v/>
      </c>
      <c r="AU1356" s="27" t="str">
        <f t="shared" si="598"/>
        <v/>
      </c>
      <c r="AV1356" s="27" t="str">
        <f t="shared" si="599"/>
        <v/>
      </c>
      <c r="AW1356" s="27" t="str">
        <f t="shared" si="600"/>
        <v/>
      </c>
      <c r="AX1356" s="27" t="str">
        <f t="shared" si="601"/>
        <v/>
      </c>
      <c r="AY1356" s="27" t="str">
        <f t="shared" si="602"/>
        <v/>
      </c>
      <c r="AZ1356" s="27" t="str">
        <f t="shared" si="603"/>
        <v/>
      </c>
      <c r="BA1356" s="27" t="str">
        <f t="shared" si="604"/>
        <v/>
      </c>
      <c r="BB1356" s="27" t="str">
        <f t="shared" si="605"/>
        <v/>
      </c>
      <c r="BC1356" s="27" t="str">
        <f t="shared" si="606"/>
        <v/>
      </c>
      <c r="BD1356" s="27" t="str">
        <f t="shared" si="607"/>
        <v/>
      </c>
      <c r="BE1356" s="27" t="str">
        <f t="shared" si="608"/>
        <v/>
      </c>
      <c r="BF1356" s="27" t="str">
        <f t="shared" si="609"/>
        <v/>
      </c>
      <c r="BG1356" s="27" t="str">
        <f t="shared" si="610"/>
        <v/>
      </c>
      <c r="BH1356" s="27" t="str">
        <f t="shared" si="611"/>
        <v/>
      </c>
      <c r="BI1356" s="27" t="str">
        <f t="shared" si="612"/>
        <v/>
      </c>
      <c r="BJ1356" s="27" t="str">
        <f t="shared" si="613"/>
        <v/>
      </c>
      <c r="BK1356" s="27" t="str">
        <f t="shared" si="614"/>
        <v/>
      </c>
      <c r="BL1356" s="27" t="str">
        <f t="shared" si="615"/>
        <v/>
      </c>
      <c r="BM1356" s="21" t="s">
        <v>5581</v>
      </c>
    </row>
    <row r="1357" spans="1:65" ht="15">
      <c r="A1357" s="25" t="str">
        <f>IFERROR(INDEX('Hun Demand'!W:W,MATCH(O1357,'Hun Demand'!A:A,0)),"")</f>
        <v/>
      </c>
      <c r="B1357" s="25" t="str">
        <f>IFERROR(INDEX('Hun Demand'!V:V,MATCH(O1357,'Hun Demand'!A:A,0)),"")</f>
        <v/>
      </c>
      <c r="C1357" s="25" t="str">
        <f>IFERROR(INDEX('Hun Demand'!U:U,MATCH(O1357,'Hun Demand'!A:A,0)),"")</f>
        <v/>
      </c>
      <c r="D1357" s="25" t="str">
        <f>IFERROR(INDEX('Hun Demand'!T:T,MATCH(O1357,'Hun Demand'!A:A,0)),"")</f>
        <v/>
      </c>
      <c r="E1357" s="25" t="str">
        <f>IFERROR(INDEX('Hun Demand'!S:S,MATCH(O1357,'Hun Demand'!A:A,0)),"")</f>
        <v/>
      </c>
      <c r="F1357" s="25" t="str">
        <f>IFERROR(INDEX('Hun Demand'!R:R,MATCH(O1357,'Hun Demand'!A:A,0)),"")</f>
        <v/>
      </c>
      <c r="G1357" s="25">
        <f>IFERROR(INDEX('Aub Demand'!W:W,MATCH(O1357,'Aub Demand'!A:A,0)),"")</f>
        <v>210</v>
      </c>
      <c r="H1357" s="25">
        <f>IFERROR(INDEX('Aub Demand'!V:V,MATCH(O1357,'Aub Demand'!A:A,0)),"")</f>
        <v>0</v>
      </c>
      <c r="I1357" s="25">
        <f>IFERROR(INDEX('Aub Demand'!U:U,MATCH(O1357,'Aub Demand'!A:A,0)),"")</f>
        <v>141</v>
      </c>
      <c r="J1357" s="25">
        <f>IFERROR(INDEX('Aub Demand'!T:T,MATCH(O1357,'Aub Demand'!A:A,0)),"")</f>
        <v>0</v>
      </c>
      <c r="K1357" s="25">
        <f>IFERROR(INDEX('Aub Demand'!S:S,MATCH(O1357,'Aub Demand'!A:A,0)),"")</f>
        <v>0</v>
      </c>
      <c r="L1357" s="25">
        <f>IFERROR(INDEX('Aub Demand'!R:R,MATCH(O1357,'Aub Demand'!A:A,0)),"")</f>
        <v>0</v>
      </c>
      <c r="O1357" s="27" t="s">
        <v>2955</v>
      </c>
      <c r="P1357" s="27" t="str">
        <f>IFERROR(INDEX('Aub Demand'!B:B,MATCH($O1357,'Aub Demand'!$A:$A,0)),"")</f>
        <v>WASHINGTON APPLE 50"</v>
      </c>
      <c r="Q1357" s="27" t="str">
        <f>IFERROR(INDEX('Aub Demand'!C:C,MATCH($O1357,'Aub Demand'!$A:$A,0)),"")</f>
        <v>DNP A</v>
      </c>
      <c r="R1357" s="52">
        <f>IFERROR(IF(AR1358=AR1357,INDEX('Aub Demand'!K:K,MATCH($O1357,'Aub Demand'!$A:$A,0))-IF(AN1357="",0,AN1357)+AP1358,INDEX('Aub Demand'!K:K,MATCH($O1357,'Aub Demand'!$A:$A,0))-IF(AN1357="",0,AN1357)),"")</f>
        <v>0</v>
      </c>
      <c r="S1357" s="53">
        <f t="shared" si="588"/>
        <v>0</v>
      </c>
      <c r="T1357" s="52" t="str">
        <f t="shared" si="589"/>
        <v/>
      </c>
      <c r="U1357" s="52">
        <f>IFERROR(IF(AR1358=AR1357,INDEX('Aub Demand'!Q:Q,MATCH($O1357,'Aub Demand'!$A:$A,0))-IF(AN1357="",0,AN1357)+AP1358,INDEX('Aub Demand'!Q:Q,MATCH($O1357,'Aub Demand'!$A:$A,0))-IF(AN1357="",0,AN1357)),"")</f>
        <v>0</v>
      </c>
      <c r="V1357" s="53">
        <f t="shared" si="590"/>
        <v>0</v>
      </c>
      <c r="W1357" s="52" t="str">
        <f t="shared" si="591"/>
        <v/>
      </c>
      <c r="X1357" s="52">
        <f>IFERROR(IF(AND(AR1358=AR1357,AM1357&lt;&gt;""),INDEX('Aub Demand'!Q:Q,MATCH($O1357,'Aub Demand'!$A:$A,0))-IF(AN1357="",0,AN1357)+AP1358+AD1357+AL1357,IF(AR1358=AR1357,INDEX('Aub Demand'!Q:Q,MATCH($O1357,'Aub Demand'!$A:$A,0))-IF(AN1357="",0,AN1357)+AP1358+AD1357,IF(AM1357&lt;&gt;"",INDEX('Aub Demand'!Q:Q,MATCH($O1357,'Aub Demand'!$A:$A,0))-IF(AN1357="",0,AN1357)+AD1357+AL1357,INDEX('Aub Demand'!Q:Q,MATCH($O1357,'Aub Demand'!$A:$A,0))-IF(AN1357="",0,AN1357)+AD1357))),"")</f>
        <v>0</v>
      </c>
      <c r="Y1357" s="53">
        <f t="shared" si="592"/>
        <v>0</v>
      </c>
      <c r="Z1357" s="52">
        <f>IF(L1357="","",INDEX('Aub Demand'!H:H,MATCH($O1357,'Aub Demand'!$A:$A,0)))</f>
        <v>47</v>
      </c>
      <c r="AA1357" s="52" t="str">
        <f t="shared" si="593"/>
        <v>-spike-</v>
      </c>
      <c r="AB1357" s="52">
        <f>IFERROR(INDEX('Aub Demand'!L:L,MATCH($O1357,'Aub Demand'!$A:$A,0)),"")</f>
        <v>48</v>
      </c>
      <c r="AC1357" s="52">
        <f>IFERROR(IF(O1357="","",SUMIFS('CPL Mats'!F:F,'CPL Mats'!Q:Q,AR1357,'CPL Mats'!S:S,AS1357)),"")</f>
        <v>0</v>
      </c>
      <c r="AF1357" s="25" t="str">
        <f>IF(SUMIFS('Supp Consol'!S:S,'Supp Consol'!Y:Y,"Releasable",'Supp Consol'!A:A,O1357)=0,"",SUMIFS('Supp Consol'!S:S,'Supp Consol'!Y:Y,"Releasable",'Supp Consol'!A:A,O1357))</f>
        <v/>
      </c>
      <c r="AG1357" s="25" t="str">
        <f>IFERROR(INDEX('Hun Demand'!Q:Q,MATCH(O1357,'Hun Demand'!A:A,0)),"")</f>
        <v/>
      </c>
      <c r="AH1357" s="25" t="str">
        <f>IFERROR(INDEX('Hun Demand'!H:H,MATCH($O1357,'Hun Demand'!$A:$A,0)),"")</f>
        <v/>
      </c>
      <c r="AI1357" s="25" t="str">
        <f>IF(SUMIFS('Supp Consol'!AA:AA,'Supp Consol'!Z:Z,"Expires this month",'Supp Consol'!A:A,O1357)=0,"",SUMIFS('Supp Consol'!AA:AA,'Supp Consol'!Z:Z,"Expires this month",'Supp Consol'!A:A,O1357))</f>
        <v/>
      </c>
      <c r="AJ1357" s="25" t="str">
        <f>IF(SUMIFS('Supp Consol'!AA:AA,'Supp Consol'!Z:Z,"Expired Previous Months",'Supp Consol'!A:A,O1357)=0,"",SUMIFS('Supp Consol'!AA:AA,'Supp Consol'!Z:Z,"Expired Previous Months",'Supp Consol'!A:A,O1357))</f>
        <v/>
      </c>
      <c r="AK1357" s="25" t="str">
        <f>IFERROR(INDEX('Hun Release Current'!B:B,MATCH(O1357,'Hun Release Current'!A:A,0)),"")</f>
        <v/>
      </c>
      <c r="AL1357" s="25" t="str">
        <f>IF(SUMIF('Prev Aub'!A:A,O1357,'Prev Aub'!B:B)=0,"",SUMIF('Prev Aub'!A:A,O1357,'Prev Aub'!B:B))</f>
        <v/>
      </c>
      <c r="AN1357" s="25" t="s">
        <v>3790</v>
      </c>
      <c r="AO1357" s="25" t="s">
        <v>3790</v>
      </c>
      <c r="AP1357" s="25">
        <f t="shared" si="594"/>
        <v>0</v>
      </c>
      <c r="AQ1357" s="151" t="str">
        <f>IF(SUMIFS('Supp Consol'!S:S,'Supp Consol'!A:A,O1357,'Supp Consol'!I:I,"PENDING")=0,"",SUMIFS('Supp Consol'!S:S,'Supp Consol'!A:A,O1357,'Supp Consol'!I:I,"PENDING"))</f>
        <v/>
      </c>
      <c r="AR1357" s="27" t="str">
        <f t="shared" si="595"/>
        <v>WF002</v>
      </c>
      <c r="AS1357" s="27" t="str">
        <f t="shared" si="596"/>
        <v>50</v>
      </c>
      <c r="AT1357" s="27" t="str">
        <f t="shared" si="597"/>
        <v>WF002</v>
      </c>
      <c r="AU1357" s="27" t="str">
        <f t="shared" si="598"/>
        <v>WF002</v>
      </c>
      <c r="AV1357" s="27" t="str">
        <f t="shared" si="599"/>
        <v>WF002</v>
      </c>
      <c r="AW1357" s="27" t="str">
        <f t="shared" si="600"/>
        <v/>
      </c>
      <c r="AX1357" s="27" t="str">
        <f t="shared" si="601"/>
        <v/>
      </c>
      <c r="AY1357" s="27" t="str">
        <f t="shared" si="602"/>
        <v/>
      </c>
      <c r="AZ1357" s="27" t="str">
        <f t="shared" si="603"/>
        <v/>
      </c>
      <c r="BA1357" s="27" t="str">
        <f t="shared" si="604"/>
        <v/>
      </c>
      <c r="BB1357" s="27" t="str">
        <f t="shared" si="605"/>
        <v>Gross</v>
      </c>
      <c r="BC1357" s="27" t="str">
        <f t="shared" si="606"/>
        <v>Net</v>
      </c>
      <c r="BD1357" s="27" t="str">
        <f t="shared" si="607"/>
        <v>Net</v>
      </c>
      <c r="BE1357" s="27" t="str">
        <f t="shared" si="608"/>
        <v/>
      </c>
      <c r="BF1357" s="27" t="str">
        <f t="shared" si="609"/>
        <v/>
      </c>
      <c r="BG1357" s="27" t="str">
        <f t="shared" si="610"/>
        <v/>
      </c>
      <c r="BH1357" s="27" t="str">
        <f t="shared" si="611"/>
        <v/>
      </c>
      <c r="BI1357" s="27" t="str">
        <f t="shared" si="612"/>
        <v/>
      </c>
      <c r="BJ1357" s="27" t="str">
        <f t="shared" si="613"/>
        <v/>
      </c>
      <c r="BK1357" s="27" t="str">
        <f t="shared" si="614"/>
        <v/>
      </c>
      <c r="BL1357" s="27" t="str">
        <f t="shared" si="615"/>
        <v/>
      </c>
      <c r="BM1357" s="21" t="s">
        <v>5581</v>
      </c>
    </row>
    <row r="1358" spans="1:65" ht="15">
      <c r="A1358" s="25" t="str">
        <f>IFERROR(INDEX('Hun Demand'!W:W,MATCH(O1358,'Hun Demand'!A:A,0)),"")</f>
        <v/>
      </c>
      <c r="B1358" s="25" t="str">
        <f>IFERROR(INDEX('Hun Demand'!V:V,MATCH(O1358,'Hun Demand'!A:A,0)),"")</f>
        <v/>
      </c>
      <c r="C1358" s="25" t="str">
        <f>IFERROR(INDEX('Hun Demand'!U:U,MATCH(O1358,'Hun Demand'!A:A,0)),"")</f>
        <v/>
      </c>
      <c r="D1358" s="25" t="str">
        <f>IFERROR(INDEX('Hun Demand'!T:T,MATCH(O1358,'Hun Demand'!A:A,0)),"")</f>
        <v/>
      </c>
      <c r="E1358" s="25" t="str">
        <f>IFERROR(INDEX('Hun Demand'!S:S,MATCH(O1358,'Hun Demand'!A:A,0)),"")</f>
        <v/>
      </c>
      <c r="F1358" s="25" t="str">
        <f>IFERROR(INDEX('Hun Demand'!R:R,MATCH(O1358,'Hun Demand'!A:A,0)),"")</f>
        <v/>
      </c>
      <c r="G1358" s="25">
        <f>IFERROR(INDEX('Aub Demand'!W:W,MATCH(O1358,'Aub Demand'!A:A,0)),"")</f>
        <v>0</v>
      </c>
      <c r="H1358" s="25">
        <f>IFERROR(INDEX('Aub Demand'!V:V,MATCH(O1358,'Aub Demand'!A:A,0)),"")</f>
        <v>15</v>
      </c>
      <c r="I1358" s="25">
        <f>IFERROR(INDEX('Aub Demand'!U:U,MATCH(O1358,'Aub Demand'!A:A,0)),"")</f>
        <v>89</v>
      </c>
      <c r="J1358" s="25">
        <f>IFERROR(INDEX('Aub Demand'!T:T,MATCH(O1358,'Aub Demand'!A:A,0)),"")</f>
        <v>0</v>
      </c>
      <c r="K1358" s="25">
        <f>IFERROR(INDEX('Aub Demand'!S:S,MATCH(O1358,'Aub Demand'!A:A,0)),"")</f>
        <v>0</v>
      </c>
      <c r="L1358" s="25">
        <f>IFERROR(INDEX('Aub Demand'!R:R,MATCH(O1358,'Aub Demand'!A:A,0)),"")</f>
        <v>0</v>
      </c>
      <c r="O1358" s="27" t="s">
        <v>2958</v>
      </c>
      <c r="P1358" s="27" t="str">
        <f>IFERROR(INDEX('Aub Demand'!B:B,MATCH($O1358,'Aub Demand'!$A:$A,0)),"")</f>
        <v>WASHINGTON APPLE 62"</v>
      </c>
      <c r="Q1358" s="27" t="str">
        <f>IFERROR(INDEX('Aub Demand'!C:C,MATCH($O1358,'Aub Demand'!$A:$A,0)),"")</f>
        <v>DNP A</v>
      </c>
      <c r="R1358" s="52">
        <f>IFERROR(IF(AR1359=AR1358,INDEX('Aub Demand'!K:K,MATCH($O1358,'Aub Demand'!$A:$A,0))-IF(AN1358="",0,AN1358)+AP1359,INDEX('Aub Demand'!K:K,MATCH($O1358,'Aub Demand'!$A:$A,0))-IF(AN1358="",0,AN1358)),"")</f>
        <v>1295</v>
      </c>
      <c r="S1358" s="53">
        <f t="shared" si="588"/>
        <v>185</v>
      </c>
      <c r="T1358" s="52" t="str">
        <f t="shared" si="589"/>
        <v/>
      </c>
      <c r="U1358" s="52">
        <f>IFERROR(IF(AR1359=AR1358,INDEX('Aub Demand'!Q:Q,MATCH($O1358,'Aub Demand'!$A:$A,0))-IF(AN1358="",0,AN1358)+AP1359,INDEX('Aub Demand'!Q:Q,MATCH($O1358,'Aub Demand'!$A:$A,0))-IF(AN1358="",0,AN1358)),"")</f>
        <v>1295</v>
      </c>
      <c r="V1358" s="53">
        <f t="shared" si="590"/>
        <v>185</v>
      </c>
      <c r="W1358" s="52" t="str">
        <f t="shared" si="591"/>
        <v/>
      </c>
      <c r="X1358" s="52">
        <f>IFERROR(IF(AND(AR1359=AR1358,AM1358&lt;&gt;""),INDEX('Aub Demand'!Q:Q,MATCH($O1358,'Aub Demand'!$A:$A,0))-IF(AN1358="",0,AN1358)+AP1359+AD1358+AL1358,IF(AR1359=AR1358,INDEX('Aub Demand'!Q:Q,MATCH($O1358,'Aub Demand'!$A:$A,0))-IF(AN1358="",0,AN1358)+AP1359+AD1358,IF(AM1358&lt;&gt;"",INDEX('Aub Demand'!Q:Q,MATCH($O1358,'Aub Demand'!$A:$A,0))-IF(AN1358="",0,AN1358)+AD1358+AL1358,INDEX('Aub Demand'!Q:Q,MATCH($O1358,'Aub Demand'!$A:$A,0))-IF(AN1358="",0,AN1358)+AD1358))),"")</f>
        <v>1295</v>
      </c>
      <c r="Y1358" s="53">
        <f t="shared" si="592"/>
        <v>185</v>
      </c>
      <c r="Z1358" s="52">
        <f>IF(L1358="","",INDEX('Aub Demand'!H:H,MATCH($O1358,'Aub Demand'!$A:$A,0)))</f>
        <v>30</v>
      </c>
      <c r="AA1358" s="52" t="str">
        <f t="shared" si="593"/>
        <v>-spike-</v>
      </c>
      <c r="AB1358" s="52">
        <f>IFERROR(INDEX('Aub Demand'!L:L,MATCH($O1358,'Aub Demand'!$A:$A,0)),"")</f>
        <v>7</v>
      </c>
      <c r="AC1358" s="52">
        <f>IFERROR(IF(O1358="","",SUMIFS('CPL Mats'!F:F,'CPL Mats'!Q:Q,AR1358,'CPL Mats'!S:S,AS1358)),"")</f>
        <v>0</v>
      </c>
      <c r="AF1358" s="25" t="str">
        <f>IF(SUMIFS('Supp Consol'!S:S,'Supp Consol'!Y:Y,"Releasable",'Supp Consol'!A:A,O1358)=0,"",SUMIFS('Supp Consol'!S:S,'Supp Consol'!Y:Y,"Releasable",'Supp Consol'!A:A,O1358))</f>
        <v/>
      </c>
      <c r="AG1358" s="25" t="str">
        <f>IFERROR(INDEX('Hun Demand'!Q:Q,MATCH(O1358,'Hun Demand'!A:A,0)),"")</f>
        <v/>
      </c>
      <c r="AH1358" s="25" t="str">
        <f>IFERROR(INDEX('Hun Demand'!H:H,MATCH($O1358,'Hun Demand'!$A:$A,0)),"")</f>
        <v/>
      </c>
      <c r="AI1358" s="25" t="str">
        <f>IF(SUMIFS('Supp Consol'!AA:AA,'Supp Consol'!Z:Z,"Expires this month",'Supp Consol'!A:A,O1358)=0,"",SUMIFS('Supp Consol'!AA:AA,'Supp Consol'!Z:Z,"Expires this month",'Supp Consol'!A:A,O1358))</f>
        <v/>
      </c>
      <c r="AJ1358" s="25" t="str">
        <f>IF(SUMIFS('Supp Consol'!AA:AA,'Supp Consol'!Z:Z,"Expired Previous Months",'Supp Consol'!A:A,O1358)=0,"",SUMIFS('Supp Consol'!AA:AA,'Supp Consol'!Z:Z,"Expired Previous Months",'Supp Consol'!A:A,O1358))</f>
        <v/>
      </c>
      <c r="AK1358" s="25" t="str">
        <f>IFERROR(INDEX('Hun Release Current'!B:B,MATCH(O1358,'Hun Release Current'!A:A,0)),"")</f>
        <v/>
      </c>
      <c r="AL1358" s="25" t="str">
        <f>IF(SUMIF('Prev Aub'!A:A,O1358,'Prev Aub'!B:B)=0,"",SUMIF('Prev Aub'!A:A,O1358,'Prev Aub'!B:B))</f>
        <v/>
      </c>
      <c r="AN1358" s="25" t="s">
        <v>3790</v>
      </c>
      <c r="AO1358" s="25" t="s">
        <v>3790</v>
      </c>
      <c r="AP1358" s="25">
        <f t="shared" si="594"/>
        <v>0</v>
      </c>
      <c r="AQ1358" s="151" t="str">
        <f>IF(SUMIFS('Supp Consol'!S:S,'Supp Consol'!A:A,O1358,'Supp Consol'!I:I,"PENDING")=0,"",SUMIFS('Supp Consol'!S:S,'Supp Consol'!A:A,O1358,'Supp Consol'!I:I,"PENDING"))</f>
        <v/>
      </c>
      <c r="AR1358" s="27" t="str">
        <f t="shared" si="595"/>
        <v>WF002</v>
      </c>
      <c r="AS1358" s="27" t="str">
        <f t="shared" si="596"/>
        <v>62</v>
      </c>
      <c r="AT1358" s="27" t="str">
        <f t="shared" si="597"/>
        <v/>
      </c>
      <c r="AU1358" s="27" t="str">
        <f t="shared" si="598"/>
        <v/>
      </c>
      <c r="AV1358" s="27" t="str">
        <f t="shared" si="599"/>
        <v/>
      </c>
      <c r="AW1358" s="27" t="str">
        <f t="shared" si="600"/>
        <v/>
      </c>
      <c r="AX1358" s="27" t="str">
        <f t="shared" si="601"/>
        <v/>
      </c>
      <c r="AY1358" s="27" t="str">
        <f t="shared" si="602"/>
        <v/>
      </c>
      <c r="AZ1358" s="27" t="str">
        <f t="shared" si="603"/>
        <v/>
      </c>
      <c r="BA1358" s="27" t="str">
        <f t="shared" si="604"/>
        <v/>
      </c>
      <c r="BB1358" s="27" t="str">
        <f t="shared" si="605"/>
        <v>Gross</v>
      </c>
      <c r="BC1358" s="27" t="str">
        <f t="shared" si="606"/>
        <v>Net</v>
      </c>
      <c r="BD1358" s="27" t="str">
        <f t="shared" si="607"/>
        <v>Net</v>
      </c>
      <c r="BE1358" s="27" t="str">
        <f t="shared" si="608"/>
        <v/>
      </c>
      <c r="BF1358" s="27" t="str">
        <f t="shared" si="609"/>
        <v/>
      </c>
      <c r="BG1358" s="27" t="str">
        <f t="shared" si="610"/>
        <v/>
      </c>
      <c r="BH1358" s="27" t="str">
        <f t="shared" si="611"/>
        <v/>
      </c>
      <c r="BI1358" s="27" t="str">
        <f t="shared" si="612"/>
        <v/>
      </c>
      <c r="BJ1358" s="27" t="str">
        <f t="shared" si="613"/>
        <v/>
      </c>
      <c r="BK1358" s="27" t="str">
        <f t="shared" si="614"/>
        <v/>
      </c>
      <c r="BL1358" s="27" t="str">
        <f t="shared" si="615"/>
        <v/>
      </c>
      <c r="BM1358" s="21" t="s">
        <v>5581</v>
      </c>
    </row>
    <row r="1359" spans="1:65" ht="15">
      <c r="A1359" s="25" t="str">
        <f>IFERROR(INDEX('Hun Demand'!W:W,MATCH(O1359,'Hun Demand'!A:A,0)),"")</f>
        <v/>
      </c>
      <c r="B1359" s="25" t="str">
        <f>IFERROR(INDEX('Hun Demand'!V:V,MATCH(O1359,'Hun Demand'!A:A,0)),"")</f>
        <v/>
      </c>
      <c r="C1359" s="25" t="str">
        <f>IFERROR(INDEX('Hun Demand'!U:U,MATCH(O1359,'Hun Demand'!A:A,0)),"")</f>
        <v/>
      </c>
      <c r="D1359" s="25" t="str">
        <f>IFERROR(INDEX('Hun Demand'!T:T,MATCH(O1359,'Hun Demand'!A:A,0)),"")</f>
        <v/>
      </c>
      <c r="E1359" s="25" t="str">
        <f>IFERROR(INDEX('Hun Demand'!S:S,MATCH(O1359,'Hun Demand'!A:A,0)),"")</f>
        <v/>
      </c>
      <c r="F1359" s="25" t="str">
        <f>IFERROR(INDEX('Hun Demand'!R:R,MATCH(O1359,'Hun Demand'!A:A,0)),"")</f>
        <v/>
      </c>
      <c r="G1359" s="25">
        <f>IFERROR(INDEX('Aub Demand'!W:W,MATCH(O1359,'Aub Demand'!A:A,0)),"")</f>
        <v>0</v>
      </c>
      <c r="H1359" s="25">
        <f>IFERROR(INDEX('Aub Demand'!V:V,MATCH(O1359,'Aub Demand'!A:A,0)),"")</f>
        <v>0</v>
      </c>
      <c r="I1359" s="25">
        <f>IFERROR(INDEX('Aub Demand'!U:U,MATCH(O1359,'Aub Demand'!A:A,0)),"")</f>
        <v>0</v>
      </c>
      <c r="J1359" s="25">
        <f>IFERROR(INDEX('Aub Demand'!T:T,MATCH(O1359,'Aub Demand'!A:A,0)),"")</f>
        <v>0</v>
      </c>
      <c r="K1359" s="25">
        <f>IFERROR(INDEX('Aub Demand'!S:S,MATCH(O1359,'Aub Demand'!A:A,0)),"")</f>
        <v>0</v>
      </c>
      <c r="L1359" s="25">
        <f>IFERROR(INDEX('Aub Demand'!R:R,MATCH(O1359,'Aub Demand'!A:A,0)),"")</f>
        <v>0</v>
      </c>
      <c r="O1359" s="27" t="s">
        <v>3424</v>
      </c>
      <c r="P1359" s="27" t="str">
        <f>IFERROR(INDEX('Aub Demand'!B:B,MATCH($O1359,'Aub Demand'!$A:$A,0)),"")</f>
        <v>HILLSIDE PEAR</v>
      </c>
      <c r="Q1359" s="27" t="str">
        <f>IFERROR(INDEX('Aub Demand'!C:C,MATCH($O1359,'Aub Demand'!$A:$A,0)),"")</f>
        <v>INTER</v>
      </c>
      <c r="R1359" s="52">
        <f>IFERROR(IF(AR1360=AR1359,INDEX('Aub Demand'!K:K,MATCH($O1359,'Aub Demand'!$A:$A,0))-IF(AN1359="",0,AN1359)+AP1360,INDEX('Aub Demand'!K:K,MATCH($O1359,'Aub Demand'!$A:$A,0))-IF(AN1359="",0,AN1359)),"")</f>
        <v>1547</v>
      </c>
      <c r="S1359" s="53" t="str">
        <f t="shared" si="588"/>
        <v>n/a</v>
      </c>
      <c r="T1359" s="52" t="str">
        <f t="shared" si="589"/>
        <v/>
      </c>
      <c r="U1359" s="52">
        <f>IFERROR(IF(AR1360=AR1359,INDEX('Aub Demand'!Q:Q,MATCH($O1359,'Aub Demand'!$A:$A,0))-IF(AN1359="",0,AN1359)+AP1360,INDEX('Aub Demand'!Q:Q,MATCH($O1359,'Aub Demand'!$A:$A,0))-IF(AN1359="",0,AN1359)),"")</f>
        <v>1547</v>
      </c>
      <c r="V1359" s="53" t="str">
        <f t="shared" si="590"/>
        <v>n/a</v>
      </c>
      <c r="W1359" s="52" t="str">
        <f t="shared" si="591"/>
        <v/>
      </c>
      <c r="X1359" s="52">
        <f>IFERROR(IF(AND(AR1360=AR1359,AM1359&lt;&gt;""),INDEX('Aub Demand'!Q:Q,MATCH($O1359,'Aub Demand'!$A:$A,0))-IF(AN1359="",0,AN1359)+AP1360+AD1359+AL1359,IF(AR1360=AR1359,INDEX('Aub Demand'!Q:Q,MATCH($O1359,'Aub Demand'!$A:$A,0))-IF(AN1359="",0,AN1359)+AP1360+AD1359,IF(AM1359&lt;&gt;"",INDEX('Aub Demand'!Q:Q,MATCH($O1359,'Aub Demand'!$A:$A,0))-IF(AN1359="",0,AN1359)+AD1359+AL1359,INDEX('Aub Demand'!Q:Q,MATCH($O1359,'Aub Demand'!$A:$A,0))-IF(AN1359="",0,AN1359)+AD1359))),"")</f>
        <v>1547</v>
      </c>
      <c r="Y1359" s="53" t="str">
        <f t="shared" si="592"/>
        <v>n/a</v>
      </c>
      <c r="Z1359" s="52">
        <f>IF(L1359="","",INDEX('Aub Demand'!H:H,MATCH($O1359,'Aub Demand'!$A:$A,0)))</f>
        <v>0</v>
      </c>
      <c r="AA1359" s="52" t="str">
        <f t="shared" si="593"/>
        <v>-spike-</v>
      </c>
      <c r="AB1359" s="52">
        <f>IFERROR(INDEX('Aub Demand'!L:L,MATCH($O1359,'Aub Demand'!$A:$A,0)),"")</f>
        <v>0</v>
      </c>
      <c r="AC1359" s="52">
        <f>IFERROR(IF(O1359="","",SUMIFS('CPL Mats'!F:F,'CPL Mats'!Q:Q,AR1359,'CPL Mats'!S:S,AS1359)),"")</f>
        <v>0</v>
      </c>
      <c r="AF1359" s="25" t="str">
        <f>IF(SUMIFS('Supp Consol'!S:S,'Supp Consol'!Y:Y,"Releasable",'Supp Consol'!A:A,O1359)=0,"",SUMIFS('Supp Consol'!S:S,'Supp Consol'!Y:Y,"Releasable",'Supp Consol'!A:A,O1359))</f>
        <v/>
      </c>
      <c r="AG1359" s="25" t="str">
        <f>IFERROR(INDEX('Hun Demand'!Q:Q,MATCH(O1359,'Hun Demand'!A:A,0)),"")</f>
        <v/>
      </c>
      <c r="AH1359" s="25" t="str">
        <f>IFERROR(INDEX('Hun Demand'!H:H,MATCH($O1359,'Hun Demand'!$A:$A,0)),"")</f>
        <v/>
      </c>
      <c r="AI1359" s="25" t="str">
        <f>IF(SUMIFS('Supp Consol'!AA:AA,'Supp Consol'!Z:Z,"Expires this month",'Supp Consol'!A:A,O1359)=0,"",SUMIFS('Supp Consol'!AA:AA,'Supp Consol'!Z:Z,"Expires this month",'Supp Consol'!A:A,O1359))</f>
        <v/>
      </c>
      <c r="AJ1359" s="25" t="str">
        <f>IF(SUMIFS('Supp Consol'!AA:AA,'Supp Consol'!Z:Z,"Expired Previous Months",'Supp Consol'!A:A,O1359)=0,"",SUMIFS('Supp Consol'!AA:AA,'Supp Consol'!Z:Z,"Expired Previous Months",'Supp Consol'!A:A,O1359))</f>
        <v/>
      </c>
      <c r="AK1359" s="25" t="str">
        <f>IFERROR(INDEX('Hun Release Current'!B:B,MATCH(O1359,'Hun Release Current'!A:A,0)),"")</f>
        <v/>
      </c>
      <c r="AL1359" s="25" t="str">
        <f>IF(SUMIF('Prev Aub'!A:A,O1359,'Prev Aub'!B:B)=0,"",SUMIF('Prev Aub'!A:A,O1359,'Prev Aub'!B:B))</f>
        <v/>
      </c>
      <c r="AN1359" s="25" t="s">
        <v>3790</v>
      </c>
      <c r="AO1359" s="25" t="s">
        <v>3790</v>
      </c>
      <c r="AP1359" s="25">
        <f t="shared" si="594"/>
        <v>0</v>
      </c>
      <c r="AQ1359" s="151" t="str">
        <f>IF(SUMIFS('Supp Consol'!S:S,'Supp Consol'!A:A,O1359,'Supp Consol'!I:I,"PENDING")=0,"",SUMIFS('Supp Consol'!S:S,'Supp Consol'!A:A,O1359,'Supp Consol'!I:I,"PENDING"))</f>
        <v/>
      </c>
      <c r="AR1359" s="27" t="str">
        <f t="shared" si="595"/>
        <v>WF009</v>
      </c>
      <c r="AS1359" s="27" t="str">
        <f t="shared" si="596"/>
        <v>37</v>
      </c>
      <c r="AT1359" s="27" t="str">
        <f t="shared" si="597"/>
        <v/>
      </c>
      <c r="AU1359" s="27" t="str">
        <f t="shared" si="598"/>
        <v/>
      </c>
      <c r="AV1359" s="27" t="str">
        <f t="shared" si="599"/>
        <v/>
      </c>
      <c r="AW1359" s="27" t="str">
        <f t="shared" si="600"/>
        <v/>
      </c>
      <c r="AX1359" s="27" t="str">
        <f t="shared" si="601"/>
        <v/>
      </c>
      <c r="AY1359" s="27" t="str">
        <f t="shared" si="602"/>
        <v/>
      </c>
      <c r="AZ1359" s="27" t="str">
        <f t="shared" si="603"/>
        <v/>
      </c>
      <c r="BA1359" s="27" t="str">
        <f t="shared" si="604"/>
        <v/>
      </c>
      <c r="BB1359" s="27" t="str">
        <f t="shared" si="605"/>
        <v/>
      </c>
      <c r="BC1359" s="27" t="str">
        <f t="shared" si="606"/>
        <v/>
      </c>
      <c r="BD1359" s="27" t="str">
        <f t="shared" si="607"/>
        <v/>
      </c>
      <c r="BE1359" s="27" t="str">
        <f t="shared" si="608"/>
        <v/>
      </c>
      <c r="BF1359" s="27" t="str">
        <f t="shared" si="609"/>
        <v/>
      </c>
      <c r="BG1359" s="27" t="str">
        <f t="shared" si="610"/>
        <v/>
      </c>
      <c r="BH1359" s="27" t="str">
        <f t="shared" si="611"/>
        <v/>
      </c>
      <c r="BI1359" s="27" t="str">
        <f t="shared" si="612"/>
        <v/>
      </c>
      <c r="BJ1359" s="27" t="str">
        <f t="shared" si="613"/>
        <v/>
      </c>
      <c r="BK1359" s="27" t="str">
        <f t="shared" si="614"/>
        <v/>
      </c>
      <c r="BL1359" s="27" t="str">
        <f t="shared" si="615"/>
        <v/>
      </c>
      <c r="BM1359" s="21" t="s">
        <v>5581</v>
      </c>
    </row>
    <row r="1360" spans="1:65" ht="15">
      <c r="A1360" s="25">
        <f>IFERROR(INDEX('Hun Demand'!W:W,MATCH(O1360,'Hun Demand'!A:A,0)),"")</f>
        <v>1178</v>
      </c>
      <c r="B1360" s="25">
        <f>IFERROR(INDEX('Hun Demand'!V:V,MATCH(O1360,'Hun Demand'!A:A,0)),"")</f>
        <v>558</v>
      </c>
      <c r="C1360" s="25">
        <f>IFERROR(INDEX('Hun Demand'!U:U,MATCH(O1360,'Hun Demand'!A:A,0)),"")</f>
        <v>1486</v>
      </c>
      <c r="D1360" s="25">
        <f>IFERROR(INDEX('Hun Demand'!T:T,MATCH(O1360,'Hun Demand'!A:A,0)),"")</f>
        <v>0</v>
      </c>
      <c r="E1360" s="25">
        <f>IFERROR(INDEX('Hun Demand'!S:S,MATCH(O1360,'Hun Demand'!A:A,0)),"")</f>
        <v>0</v>
      </c>
      <c r="F1360" s="25">
        <f>IFERROR(INDEX('Hun Demand'!R:R,MATCH(O1360,'Hun Demand'!A:A,0)),"")</f>
        <v>0</v>
      </c>
      <c r="G1360" s="25">
        <f>IFERROR(INDEX('Aub Demand'!W:W,MATCH(O1360,'Aub Demand'!A:A,0)),"")</f>
        <v>2641</v>
      </c>
      <c r="H1360" s="25">
        <f>IFERROR(INDEX('Aub Demand'!V:V,MATCH(O1360,'Aub Demand'!A:A,0)),"")</f>
        <v>2160</v>
      </c>
      <c r="I1360" s="25">
        <f>IFERROR(INDEX('Aub Demand'!U:U,MATCH(O1360,'Aub Demand'!A:A,0)),"")</f>
        <v>1570</v>
      </c>
      <c r="J1360" s="25">
        <f>IFERROR(INDEX('Aub Demand'!T:T,MATCH(O1360,'Aub Demand'!A:A,0)),"")</f>
        <v>1511</v>
      </c>
      <c r="K1360" s="25">
        <f>IFERROR(INDEX('Aub Demand'!S:S,MATCH(O1360,'Aub Demand'!A:A,0)),"")</f>
        <v>352</v>
      </c>
      <c r="L1360" s="25">
        <f>IFERROR(INDEX('Aub Demand'!R:R,MATCH(O1360,'Aub Demand'!A:A,0)),"")</f>
        <v>258</v>
      </c>
      <c r="O1360" s="27" t="s">
        <v>2961</v>
      </c>
      <c r="P1360" s="27" t="str">
        <f>IFERROR(INDEX('Aub Demand'!B:B,MATCH($O1360,'Aub Demand'!$A:$A,0)),"")</f>
        <v>MACCHIATO</v>
      </c>
      <c r="Q1360" s="27" t="str">
        <f>IFERROR(INDEX('Aub Demand'!C:C,MATCH($O1360,'Aub Demand'!$A:$A,0)),"")</f>
        <v>AHLST</v>
      </c>
      <c r="R1360" s="52">
        <f>IFERROR(IF(AR1361=AR1360,INDEX('Aub Demand'!K:K,MATCH($O1360,'Aub Demand'!$A:$A,0))-IF(AN1360="",0,AN1360)+AP1361,INDEX('Aub Demand'!K:K,MATCH($O1360,'Aub Demand'!$A:$A,0))-IF(AN1360="",0,AN1360)),"")</f>
        <v>2915</v>
      </c>
      <c r="S1360" s="53">
        <f t="shared" si="588"/>
        <v>10.9</v>
      </c>
      <c r="T1360" s="52" t="str">
        <f t="shared" si="589"/>
        <v/>
      </c>
      <c r="U1360" s="52">
        <f>IFERROR(IF(AR1361=AR1360,INDEX('Aub Demand'!Q:Q,MATCH($O1360,'Aub Demand'!$A:$A,0))-IF(AN1360="",0,AN1360)+AP1361,INDEX('Aub Demand'!Q:Q,MATCH($O1360,'Aub Demand'!$A:$A,0))-IF(AN1360="",0,AN1360)),"")</f>
        <v>2536</v>
      </c>
      <c r="V1360" s="53">
        <f t="shared" si="590"/>
        <v>9.5</v>
      </c>
      <c r="W1360" s="52" t="str">
        <f t="shared" si="591"/>
        <v/>
      </c>
      <c r="X1360" s="52">
        <f>IFERROR(IF(AND(AR1361=AR1360,AM1360&lt;&gt;""),INDEX('Aub Demand'!Q:Q,MATCH($O1360,'Aub Demand'!$A:$A,0))-IF(AN1360="",0,AN1360)+AP1361+AD1360+AL1360,IF(AR1361=AR1360,INDEX('Aub Demand'!Q:Q,MATCH($O1360,'Aub Demand'!$A:$A,0))-IF(AN1360="",0,AN1360)+AP1361+AD1360,IF(AM1360&lt;&gt;"",INDEX('Aub Demand'!Q:Q,MATCH($O1360,'Aub Demand'!$A:$A,0))-IF(AN1360="",0,AN1360)+AD1360+AL1360,INDEX('Aub Demand'!Q:Q,MATCH($O1360,'Aub Demand'!$A:$A,0))-IF(AN1360="",0,AN1360)+AD1360))),"")</f>
        <v>2536</v>
      </c>
      <c r="Y1360" s="53">
        <f t="shared" si="592"/>
        <v>9.5</v>
      </c>
      <c r="Z1360" s="52">
        <f>IF(L1360="","",INDEX('Aub Demand'!H:H,MATCH($O1360,'Aub Demand'!$A:$A,0)))</f>
        <v>1144</v>
      </c>
      <c r="AA1360" s="52">
        <f t="shared" si="593"/>
        <v>1540.5</v>
      </c>
      <c r="AB1360" s="52">
        <f>IFERROR(INDEX('Aub Demand'!L:L,MATCH($O1360,'Aub Demand'!$A:$A,0)),"")</f>
        <v>1161</v>
      </c>
      <c r="AC1360" s="52">
        <f>IFERROR(IF(O1360="","",SUMIFS('CPL Mats'!F:F,'CPL Mats'!Q:Q,AR1360,'CPL Mats'!S:S,AS1360)),"")</f>
        <v>10171</v>
      </c>
      <c r="AF1360" s="25">
        <f>IF(SUMIFS('Supp Consol'!S:S,'Supp Consol'!Y:Y,"Releasable",'Supp Consol'!A:A,O1360)=0,"",SUMIFS('Supp Consol'!S:S,'Supp Consol'!Y:Y,"Releasable",'Supp Consol'!A:A,O1360))</f>
        <v>1642</v>
      </c>
      <c r="AG1360" s="25">
        <f>IFERROR(INDEX('Hun Demand'!Q:Q,MATCH(O1360,'Hun Demand'!A:A,0)),"")</f>
        <v>725</v>
      </c>
      <c r="AH1360" s="25">
        <f>IFERROR(INDEX('Hun Demand'!H:H,MATCH($O1360,'Hun Demand'!$A:$A,0)),"")</f>
        <v>495</v>
      </c>
      <c r="AI1360" s="25" t="str">
        <f>IF(SUMIFS('Supp Consol'!AA:AA,'Supp Consol'!Z:Z,"Expires this month",'Supp Consol'!A:A,O1360)=0,"",SUMIFS('Supp Consol'!AA:AA,'Supp Consol'!Z:Z,"Expires this month",'Supp Consol'!A:A,O1360))</f>
        <v/>
      </c>
      <c r="AJ1360" s="25" t="str">
        <f>IF(SUMIFS('Supp Consol'!AA:AA,'Supp Consol'!Z:Z,"Expired Previous Months",'Supp Consol'!A:A,O1360)=0,"",SUMIFS('Supp Consol'!AA:AA,'Supp Consol'!Z:Z,"Expired Previous Months",'Supp Consol'!A:A,O1360))</f>
        <v/>
      </c>
      <c r="AK1360" s="25" t="str">
        <f>IFERROR(INDEX('Hun Release Current'!B:B,MATCH(O1360,'Hun Release Current'!A:A,0)),"")</f>
        <v/>
      </c>
      <c r="AL1360" s="25" t="str">
        <f>IF(SUMIF('Prev Aub'!A:A,O1360,'Prev Aub'!B:B)=0,"",SUMIF('Prev Aub'!A:A,O1360,'Prev Aub'!B:B))</f>
        <v/>
      </c>
      <c r="AN1360" s="25" t="s">
        <v>3790</v>
      </c>
      <c r="AO1360" s="25" t="s">
        <v>3790</v>
      </c>
      <c r="AP1360" s="25">
        <f t="shared" si="594"/>
        <v>0</v>
      </c>
      <c r="AQ1360" s="151" t="str">
        <f>IF(SUMIFS('Supp Consol'!S:S,'Supp Consol'!A:A,O1360,'Supp Consol'!I:I,"PENDING")=0,"",SUMIFS('Supp Consol'!S:S,'Supp Consol'!A:A,O1360,'Supp Consol'!I:I,"PENDING"))</f>
        <v/>
      </c>
      <c r="AR1360" s="27" t="str">
        <f t="shared" si="595"/>
        <v>WF011</v>
      </c>
      <c r="AS1360" s="27" t="str">
        <f t="shared" si="596"/>
        <v>50</v>
      </c>
      <c r="AT1360" s="27" t="str">
        <f t="shared" si="597"/>
        <v/>
      </c>
      <c r="AU1360" s="27" t="str">
        <f t="shared" si="598"/>
        <v/>
      </c>
      <c r="AV1360" s="27" t="str">
        <f t="shared" si="599"/>
        <v/>
      </c>
      <c r="AW1360" s="27" t="str">
        <f t="shared" si="600"/>
        <v/>
      </c>
      <c r="AX1360" s="27" t="str">
        <f t="shared" si="601"/>
        <v>WF011</v>
      </c>
      <c r="AY1360" s="27" t="str">
        <f t="shared" si="602"/>
        <v>WF011</v>
      </c>
      <c r="AZ1360" s="27" t="str">
        <f t="shared" si="603"/>
        <v>Supp</v>
      </c>
      <c r="BA1360" s="27" t="str">
        <f t="shared" si="604"/>
        <v>Hun</v>
      </c>
      <c r="BB1360" s="27" t="str">
        <f t="shared" si="605"/>
        <v/>
      </c>
      <c r="BC1360" s="27" t="str">
        <f t="shared" si="606"/>
        <v/>
      </c>
      <c r="BD1360" s="27" t="str">
        <f t="shared" si="607"/>
        <v/>
      </c>
      <c r="BE1360" s="27" t="str">
        <f t="shared" si="608"/>
        <v/>
      </c>
      <c r="BF1360" s="27" t="str">
        <f t="shared" si="609"/>
        <v/>
      </c>
      <c r="BG1360" s="27" t="str">
        <f t="shared" si="610"/>
        <v/>
      </c>
      <c r="BH1360" s="27" t="str">
        <f t="shared" si="611"/>
        <v/>
      </c>
      <c r="BI1360" s="27" t="str">
        <f t="shared" si="612"/>
        <v/>
      </c>
      <c r="BJ1360" s="27" t="str">
        <f t="shared" si="613"/>
        <v>Supp or Hun</v>
      </c>
      <c r="BK1360" s="27" t="str">
        <f t="shared" si="614"/>
        <v/>
      </c>
      <c r="BL1360" s="27" t="str">
        <f t="shared" si="615"/>
        <v/>
      </c>
      <c r="BM1360" s="21" t="s">
        <v>5581</v>
      </c>
    </row>
    <row r="1361" spans="1:65" ht="15">
      <c r="A1361" s="25">
        <f>IFERROR(INDEX('Hun Demand'!W:W,MATCH(O1361,'Hun Demand'!A:A,0)),"")</f>
        <v>0</v>
      </c>
      <c r="B1361" s="25">
        <f>IFERROR(INDEX('Hun Demand'!V:V,MATCH(O1361,'Hun Demand'!A:A,0)),"")</f>
        <v>320</v>
      </c>
      <c r="C1361" s="25">
        <f>IFERROR(INDEX('Hun Demand'!U:U,MATCH(O1361,'Hun Demand'!A:A,0)),"")</f>
        <v>440</v>
      </c>
      <c r="D1361" s="25">
        <f>IFERROR(INDEX('Hun Demand'!T:T,MATCH(O1361,'Hun Demand'!A:A,0)),"")</f>
        <v>478</v>
      </c>
      <c r="E1361" s="25">
        <f>IFERROR(INDEX('Hun Demand'!S:S,MATCH(O1361,'Hun Demand'!A:A,0)),"")</f>
        <v>0</v>
      </c>
      <c r="F1361" s="25">
        <f>IFERROR(INDEX('Hun Demand'!R:R,MATCH(O1361,'Hun Demand'!A:A,0)),"")</f>
        <v>0</v>
      </c>
      <c r="G1361" s="25">
        <f>IFERROR(INDEX('Aub Demand'!W:W,MATCH(O1361,'Aub Demand'!A:A,0)),"")</f>
        <v>1013</v>
      </c>
      <c r="H1361" s="25">
        <f>IFERROR(INDEX('Aub Demand'!V:V,MATCH(O1361,'Aub Demand'!A:A,0)),"")</f>
        <v>490</v>
      </c>
      <c r="I1361" s="25">
        <f>IFERROR(INDEX('Aub Demand'!U:U,MATCH(O1361,'Aub Demand'!A:A,0)),"")</f>
        <v>161</v>
      </c>
      <c r="J1361" s="25">
        <f>IFERROR(INDEX('Aub Demand'!T:T,MATCH(O1361,'Aub Demand'!A:A,0)),"")</f>
        <v>52</v>
      </c>
      <c r="K1361" s="25">
        <f>IFERROR(INDEX('Aub Demand'!S:S,MATCH(O1361,'Aub Demand'!A:A,0)),"")</f>
        <v>345</v>
      </c>
      <c r="L1361" s="25">
        <f>IFERROR(INDEX('Aub Demand'!R:R,MATCH(O1361,'Aub Demand'!A:A,0)),"")</f>
        <v>0</v>
      </c>
      <c r="O1361" s="27" t="s">
        <v>2963</v>
      </c>
      <c r="P1361" s="27" t="str">
        <f>IFERROR(INDEX('Aub Demand'!B:B,MATCH($O1361,'Aub Demand'!$A:$A,0)),"")</f>
        <v>MACCHIATO</v>
      </c>
      <c r="Q1361" s="27" t="str">
        <f>IFERROR(INDEX('Aub Demand'!C:C,MATCH($O1361,'Aub Demand'!$A:$A,0)),"")</f>
        <v>AHLST</v>
      </c>
      <c r="R1361" s="52">
        <f>IFERROR(IF(AR1362=AR1361,INDEX('Aub Demand'!K:K,MATCH($O1361,'Aub Demand'!$A:$A,0))-IF(AN1361="",0,AN1361)+AP1362,INDEX('Aub Demand'!K:K,MATCH($O1361,'Aub Demand'!$A:$A,0))-IF(AN1361="",0,AN1361)),"")</f>
        <v>182</v>
      </c>
      <c r="S1361" s="53">
        <f t="shared" si="588"/>
        <v>4.2</v>
      </c>
      <c r="T1361" s="52" t="str">
        <f t="shared" si="589"/>
        <v/>
      </c>
      <c r="U1361" s="52">
        <f>IFERROR(IF(AR1362=AR1361,INDEX('Aub Demand'!Q:Q,MATCH($O1361,'Aub Demand'!$A:$A,0))-IF(AN1361="",0,AN1361)+AP1362,INDEX('Aub Demand'!Q:Q,MATCH($O1361,'Aub Demand'!$A:$A,0))-IF(AN1361="",0,AN1361)),"")</f>
        <v>76</v>
      </c>
      <c r="V1361" s="53">
        <f t="shared" si="590"/>
        <v>1.8</v>
      </c>
      <c r="W1361" s="52">
        <f t="shared" si="591"/>
        <v>75.899999999999991</v>
      </c>
      <c r="X1361" s="52">
        <f>IFERROR(IF(AND(AR1362=AR1361,AM1361&lt;&gt;""),INDEX('Aub Demand'!Q:Q,MATCH($O1361,'Aub Demand'!$A:$A,0))-IF(AN1361="",0,AN1361)+AP1362+AD1361+AL1361,IF(AR1362=AR1361,INDEX('Aub Demand'!Q:Q,MATCH($O1361,'Aub Demand'!$A:$A,0))-IF(AN1361="",0,AN1361)+AP1362+AD1361,IF(AM1361&lt;&gt;"",INDEX('Aub Demand'!Q:Q,MATCH($O1361,'Aub Demand'!$A:$A,0))-IF(AN1361="",0,AN1361)+AD1361+AL1361,INDEX('Aub Demand'!Q:Q,MATCH($O1361,'Aub Demand'!$A:$A,0))-IF(AN1361="",0,AN1361)+AD1361))),"")</f>
        <v>576</v>
      </c>
      <c r="Y1361" s="53">
        <f t="shared" si="592"/>
        <v>13.3</v>
      </c>
      <c r="Z1361" s="52">
        <f>IF(L1361="","",INDEX('Aub Demand'!H:H,MATCH($O1361,'Aub Demand'!$A:$A,0)))</f>
        <v>186</v>
      </c>
      <c r="AA1361" s="52">
        <f t="shared" si="593"/>
        <v>253</v>
      </c>
      <c r="AB1361" s="52">
        <f>IFERROR(INDEX('Aub Demand'!L:L,MATCH($O1361,'Aub Demand'!$A:$A,0)),"")</f>
        <v>275</v>
      </c>
      <c r="AC1361" s="52">
        <f>IFERROR(IF(O1361="","",SUMIFS('CPL Mats'!F:F,'CPL Mats'!Q:Q,AR1361,'CPL Mats'!S:S,AS1361)),"")</f>
        <v>1800</v>
      </c>
      <c r="AD1361" s="25">
        <v>500</v>
      </c>
      <c r="AE1361" s="52" t="s">
        <v>5583</v>
      </c>
      <c r="AF1361" s="25">
        <f>IF(SUMIFS('Supp Consol'!S:S,'Supp Consol'!Y:Y,"Releasable",'Supp Consol'!A:A,O1361)=0,"",SUMIFS('Supp Consol'!S:S,'Supp Consol'!Y:Y,"Releasable",'Supp Consol'!A:A,O1361))</f>
        <v>6685</v>
      </c>
      <c r="AG1361" s="25">
        <f>IFERROR(INDEX('Hun Demand'!Q:Q,MATCH(O1361,'Hun Demand'!A:A,0)),"")</f>
        <v>478</v>
      </c>
      <c r="AH1361" s="25">
        <f>IFERROR(INDEX('Hun Demand'!H:H,MATCH($O1361,'Hun Demand'!$A:$A,0)),"")</f>
        <v>306</v>
      </c>
      <c r="AI1361" s="25" t="str">
        <f>IF(SUMIFS('Supp Consol'!AA:AA,'Supp Consol'!Z:Z,"Expires this month",'Supp Consol'!A:A,O1361)=0,"",SUMIFS('Supp Consol'!AA:AA,'Supp Consol'!Z:Z,"Expires this month",'Supp Consol'!A:A,O1361))</f>
        <v/>
      </c>
      <c r="AJ1361" s="25" t="str">
        <f>IF(SUMIFS('Supp Consol'!AA:AA,'Supp Consol'!Z:Z,"Expired Previous Months",'Supp Consol'!A:A,O1361)=0,"",SUMIFS('Supp Consol'!AA:AA,'Supp Consol'!Z:Z,"Expired Previous Months",'Supp Consol'!A:A,O1361))</f>
        <v/>
      </c>
      <c r="AK1361" s="25" t="str">
        <f>IFERROR(INDEX('Hun Release Current'!B:B,MATCH(O1361,'Hun Release Current'!A:A,0)),"")</f>
        <v/>
      </c>
      <c r="AL1361" s="25" t="str">
        <f>IF(SUMIF('Prev Aub'!A:A,O1361,'Prev Aub'!B:B)=0,"",SUMIF('Prev Aub'!A:A,O1361,'Prev Aub'!B:B))</f>
        <v/>
      </c>
      <c r="AN1361" s="25" t="s">
        <v>3790</v>
      </c>
      <c r="AO1361" s="25" t="s">
        <v>3790</v>
      </c>
      <c r="AP1361" s="25">
        <f t="shared" si="594"/>
        <v>0</v>
      </c>
      <c r="AQ1361" s="151" t="str">
        <f>IF(SUMIFS('Supp Consol'!S:S,'Supp Consol'!A:A,O1361,'Supp Consol'!I:I,"PENDING")=0,"",SUMIFS('Supp Consol'!S:S,'Supp Consol'!A:A,O1361,'Supp Consol'!I:I,"PENDING"))</f>
        <v/>
      </c>
      <c r="AR1361" s="27" t="str">
        <f t="shared" si="595"/>
        <v>WF011</v>
      </c>
      <c r="AS1361" s="27" t="str">
        <f t="shared" si="596"/>
        <v>62</v>
      </c>
      <c r="AT1361" s="27" t="str">
        <f t="shared" si="597"/>
        <v/>
      </c>
      <c r="AU1361" s="27" t="str">
        <f t="shared" si="598"/>
        <v/>
      </c>
      <c r="AV1361" s="27" t="str">
        <f t="shared" si="599"/>
        <v/>
      </c>
      <c r="AW1361" s="27" t="str">
        <f t="shared" si="600"/>
        <v/>
      </c>
      <c r="AX1361" s="27" t="str">
        <f t="shared" si="601"/>
        <v>WF011</v>
      </c>
      <c r="AY1361" s="27" t="str">
        <f t="shared" si="602"/>
        <v>WF011</v>
      </c>
      <c r="AZ1361" s="27" t="str">
        <f t="shared" si="603"/>
        <v>Supp</v>
      </c>
      <c r="BA1361" s="27" t="str">
        <f t="shared" si="604"/>
        <v>Hun</v>
      </c>
      <c r="BB1361" s="27" t="str">
        <f t="shared" si="605"/>
        <v/>
      </c>
      <c r="BC1361" s="27" t="str">
        <f t="shared" si="606"/>
        <v/>
      </c>
      <c r="BD1361" s="27" t="str">
        <f t="shared" si="607"/>
        <v/>
      </c>
      <c r="BE1361" s="27" t="str">
        <f t="shared" si="608"/>
        <v/>
      </c>
      <c r="BF1361" s="27" t="str">
        <f t="shared" si="609"/>
        <v/>
      </c>
      <c r="BG1361" s="27" t="str">
        <f t="shared" si="610"/>
        <v/>
      </c>
      <c r="BH1361" s="27" t="str">
        <f t="shared" si="611"/>
        <v/>
      </c>
      <c r="BI1361" s="27" t="str">
        <f t="shared" si="612"/>
        <v/>
      </c>
      <c r="BJ1361" s="27" t="str">
        <f t="shared" si="613"/>
        <v>Supp or Hun</v>
      </c>
      <c r="BK1361" s="27" t="str">
        <f t="shared" si="614"/>
        <v/>
      </c>
      <c r="BL1361" s="27" t="str">
        <f t="shared" si="615"/>
        <v/>
      </c>
      <c r="BM1361" s="21" t="s">
        <v>5581</v>
      </c>
    </row>
    <row r="1362" spans="1:65" ht="15">
      <c r="A1362" s="25" t="str">
        <f>IFERROR(INDEX('Hun Demand'!W:W,MATCH(O1362,'Hun Demand'!A:A,0)),"")</f>
        <v/>
      </c>
      <c r="B1362" s="25" t="str">
        <f>IFERROR(INDEX('Hun Demand'!V:V,MATCH(O1362,'Hun Demand'!A:A,0)),"")</f>
        <v/>
      </c>
      <c r="C1362" s="25" t="str">
        <f>IFERROR(INDEX('Hun Demand'!U:U,MATCH(O1362,'Hun Demand'!A:A,0)),"")</f>
        <v/>
      </c>
      <c r="D1362" s="25" t="str">
        <f>IFERROR(INDEX('Hun Demand'!T:T,MATCH(O1362,'Hun Demand'!A:A,0)),"")</f>
        <v/>
      </c>
      <c r="E1362" s="25" t="str">
        <f>IFERROR(INDEX('Hun Demand'!S:S,MATCH(O1362,'Hun Demand'!A:A,0)),"")</f>
        <v/>
      </c>
      <c r="F1362" s="25" t="str">
        <f>IFERROR(INDEX('Hun Demand'!R:R,MATCH(O1362,'Hun Demand'!A:A,0)),"")</f>
        <v/>
      </c>
      <c r="G1362" s="25">
        <f>IFERROR(INDEX('Aub Demand'!W:W,MATCH(O1362,'Aub Demand'!A:A,0)),"")</f>
        <v>84</v>
      </c>
      <c r="H1362" s="25">
        <f>IFERROR(INDEX('Aub Demand'!V:V,MATCH(O1362,'Aub Demand'!A:A,0)),"")</f>
        <v>145</v>
      </c>
      <c r="I1362" s="25">
        <f>IFERROR(INDEX('Aub Demand'!U:U,MATCH(O1362,'Aub Demand'!A:A,0)),"")</f>
        <v>100</v>
      </c>
      <c r="J1362" s="25">
        <f>IFERROR(INDEX('Aub Demand'!T:T,MATCH(O1362,'Aub Demand'!A:A,0)),"")</f>
        <v>14</v>
      </c>
      <c r="K1362" s="25">
        <f>IFERROR(INDEX('Aub Demand'!S:S,MATCH(O1362,'Aub Demand'!A:A,0)),"")</f>
        <v>34</v>
      </c>
      <c r="L1362" s="25">
        <f>IFERROR(INDEX('Aub Demand'!R:R,MATCH(O1362,'Aub Demand'!A:A,0)),"")</f>
        <v>0</v>
      </c>
      <c r="O1362" s="27" t="s">
        <v>1683</v>
      </c>
      <c r="P1362" s="27" t="str">
        <f>IFERROR(INDEX('Aub Demand'!B:B,MATCH($O1362,'Aub Demand'!$A:$A,0)),"")</f>
        <v>VANA</v>
      </c>
      <c r="Q1362" s="27" t="str">
        <f>IFERROR(INDEX('Aub Demand'!C:C,MATCH($O1362,'Aub Demand'!$A:$A,0)),"")</f>
        <v>DNP A</v>
      </c>
      <c r="R1362" s="52">
        <f>IFERROR(IF(AR1363=AR1362,INDEX('Aub Demand'!K:K,MATCH($O1362,'Aub Demand'!$A:$A,0))-IF(AN1362="",0,AN1362)+AP1363,INDEX('Aub Demand'!K:K,MATCH($O1362,'Aub Demand'!$A:$A,0))-IF(AN1362="",0,AN1362)),"")</f>
        <v>1512</v>
      </c>
      <c r="S1362" s="53">
        <f t="shared" si="588"/>
        <v>132.19999999999999</v>
      </c>
      <c r="T1362" s="52" t="str">
        <f t="shared" si="589"/>
        <v/>
      </c>
      <c r="U1362" s="52">
        <f>IFERROR(IF(AR1363=AR1362,INDEX('Aub Demand'!Q:Q,MATCH($O1362,'Aub Demand'!$A:$A,0))-IF(AN1362="",0,AN1362)+AP1363,INDEX('Aub Demand'!Q:Q,MATCH($O1362,'Aub Demand'!$A:$A,0))-IF(AN1362="",0,AN1362)),"")</f>
        <v>1482</v>
      </c>
      <c r="V1362" s="53">
        <f t="shared" si="590"/>
        <v>129.6</v>
      </c>
      <c r="W1362" s="52" t="str">
        <f t="shared" si="591"/>
        <v/>
      </c>
      <c r="X1362" s="52">
        <f>IFERROR(IF(AND(AR1363=AR1362,AM1362&lt;&gt;""),INDEX('Aub Demand'!Q:Q,MATCH($O1362,'Aub Demand'!$A:$A,0))-IF(AN1362="",0,AN1362)+AP1363+AD1362+AL1362,IF(AR1363=AR1362,INDEX('Aub Demand'!Q:Q,MATCH($O1362,'Aub Demand'!$A:$A,0))-IF(AN1362="",0,AN1362)+AP1363+AD1362,IF(AM1362&lt;&gt;"",INDEX('Aub Demand'!Q:Q,MATCH($O1362,'Aub Demand'!$A:$A,0))-IF(AN1362="",0,AN1362)+AD1362+AL1362,INDEX('Aub Demand'!Q:Q,MATCH($O1362,'Aub Demand'!$A:$A,0))-IF(AN1362="",0,AN1362)+AD1362))),"")</f>
        <v>1482</v>
      </c>
      <c r="Y1362" s="53">
        <f t="shared" si="592"/>
        <v>129.6</v>
      </c>
      <c r="Z1362" s="52">
        <f>IF(L1362="","",INDEX('Aub Demand'!H:H,MATCH($O1362,'Aub Demand'!$A:$A,0)))</f>
        <v>49</v>
      </c>
      <c r="AA1362" s="52">
        <f t="shared" si="593"/>
        <v>67</v>
      </c>
      <c r="AB1362" s="52">
        <f>IFERROR(INDEX('Aub Demand'!L:L,MATCH($O1362,'Aub Demand'!$A:$A,0)),"")</f>
        <v>106</v>
      </c>
      <c r="AC1362" s="52">
        <f>IFERROR(IF(O1362="","",SUMIFS('CPL Mats'!F:F,'CPL Mats'!Q:Q,AR1362,'CPL Mats'!S:S,AS1362)),"")</f>
        <v>0</v>
      </c>
      <c r="AF1362" s="25" t="str">
        <f>IF(SUMIFS('Supp Consol'!S:S,'Supp Consol'!Y:Y,"Releasable",'Supp Consol'!A:A,O1362)=0,"",SUMIFS('Supp Consol'!S:S,'Supp Consol'!Y:Y,"Releasable",'Supp Consol'!A:A,O1362))</f>
        <v/>
      </c>
      <c r="AG1362" s="25" t="str">
        <f>IFERROR(INDEX('Hun Demand'!Q:Q,MATCH(O1362,'Hun Demand'!A:A,0)),"")</f>
        <v/>
      </c>
      <c r="AH1362" s="25" t="str">
        <f>IFERROR(INDEX('Hun Demand'!H:H,MATCH($O1362,'Hun Demand'!$A:$A,0)),"")</f>
        <v/>
      </c>
      <c r="AI1362" s="25" t="str">
        <f>IF(SUMIFS('Supp Consol'!AA:AA,'Supp Consol'!Z:Z,"Expires this month",'Supp Consol'!A:A,O1362)=0,"",SUMIFS('Supp Consol'!AA:AA,'Supp Consol'!Z:Z,"Expires this month",'Supp Consol'!A:A,O1362))</f>
        <v/>
      </c>
      <c r="AJ1362" s="25" t="str">
        <f>IF(SUMIFS('Supp Consol'!AA:AA,'Supp Consol'!Z:Z,"Expired Previous Months",'Supp Consol'!A:A,O1362)=0,"",SUMIFS('Supp Consol'!AA:AA,'Supp Consol'!Z:Z,"Expired Previous Months",'Supp Consol'!A:A,O1362))</f>
        <v/>
      </c>
      <c r="AK1362" s="25" t="str">
        <f>IFERROR(INDEX('Hun Release Current'!B:B,MATCH(O1362,'Hun Release Current'!A:A,0)),"")</f>
        <v/>
      </c>
      <c r="AL1362" s="25" t="str">
        <f>IF(SUMIF('Prev Aub'!A:A,O1362,'Prev Aub'!B:B)=0,"",SUMIF('Prev Aub'!A:A,O1362,'Prev Aub'!B:B))</f>
        <v/>
      </c>
      <c r="AN1362" s="25" t="s">
        <v>3790</v>
      </c>
      <c r="AO1362" s="25" t="s">
        <v>3790</v>
      </c>
      <c r="AP1362" s="25">
        <f t="shared" si="594"/>
        <v>0</v>
      </c>
      <c r="AQ1362" s="151" t="str">
        <f>IF(SUMIFS('Supp Consol'!S:S,'Supp Consol'!A:A,O1362,'Supp Consol'!I:I,"PENDING")=0,"",SUMIFS('Supp Consol'!S:S,'Supp Consol'!A:A,O1362,'Supp Consol'!I:I,"PENDING"))</f>
        <v/>
      </c>
      <c r="AR1362" s="27" t="str">
        <f t="shared" si="595"/>
        <v>WF131</v>
      </c>
      <c r="AS1362" s="27" t="str">
        <f t="shared" si="596"/>
        <v>50</v>
      </c>
      <c r="AT1362" s="27" t="str">
        <f t="shared" si="597"/>
        <v/>
      </c>
      <c r="AU1362" s="27" t="str">
        <f t="shared" si="598"/>
        <v/>
      </c>
      <c r="AV1362" s="27" t="str">
        <f t="shared" si="599"/>
        <v/>
      </c>
      <c r="AW1362" s="27" t="str">
        <f t="shared" si="600"/>
        <v/>
      </c>
      <c r="AX1362" s="27" t="str">
        <f t="shared" si="601"/>
        <v/>
      </c>
      <c r="AY1362" s="27" t="str">
        <f t="shared" si="602"/>
        <v/>
      </c>
      <c r="AZ1362" s="27" t="str">
        <f t="shared" si="603"/>
        <v/>
      </c>
      <c r="BA1362" s="27" t="str">
        <f t="shared" si="604"/>
        <v/>
      </c>
      <c r="BB1362" s="27" t="str">
        <f t="shared" si="605"/>
        <v/>
      </c>
      <c r="BC1362" s="27" t="str">
        <f t="shared" si="606"/>
        <v/>
      </c>
      <c r="BD1362" s="27" t="str">
        <f t="shared" si="607"/>
        <v/>
      </c>
      <c r="BE1362" s="27" t="str">
        <f t="shared" si="608"/>
        <v/>
      </c>
      <c r="BF1362" s="27" t="str">
        <f t="shared" si="609"/>
        <v/>
      </c>
      <c r="BG1362" s="27" t="str">
        <f t="shared" si="610"/>
        <v/>
      </c>
      <c r="BH1362" s="27" t="str">
        <f t="shared" si="611"/>
        <v/>
      </c>
      <c r="BI1362" s="27" t="str">
        <f t="shared" si="612"/>
        <v/>
      </c>
      <c r="BJ1362" s="27" t="str">
        <f t="shared" si="613"/>
        <v/>
      </c>
      <c r="BK1362" s="27" t="str">
        <f t="shared" si="614"/>
        <v/>
      </c>
      <c r="BL1362" s="27" t="str">
        <f t="shared" si="615"/>
        <v/>
      </c>
      <c r="BM1362" s="21" t="s">
        <v>5581</v>
      </c>
    </row>
    <row r="1363" spans="1:65" ht="15">
      <c r="A1363" s="25" t="str">
        <f>IFERROR(INDEX('Hun Demand'!W:W,MATCH(O1363,'Hun Demand'!A:A,0)),"")</f>
        <v/>
      </c>
      <c r="B1363" s="25" t="str">
        <f>IFERROR(INDEX('Hun Demand'!V:V,MATCH(O1363,'Hun Demand'!A:A,0)),"")</f>
        <v/>
      </c>
      <c r="C1363" s="25" t="str">
        <f>IFERROR(INDEX('Hun Demand'!U:U,MATCH(O1363,'Hun Demand'!A:A,0)),"")</f>
        <v/>
      </c>
      <c r="D1363" s="25" t="str">
        <f>IFERROR(INDEX('Hun Demand'!T:T,MATCH(O1363,'Hun Demand'!A:A,0)),"")</f>
        <v/>
      </c>
      <c r="E1363" s="25" t="str">
        <f>IFERROR(INDEX('Hun Demand'!S:S,MATCH(O1363,'Hun Demand'!A:A,0)),"")</f>
        <v/>
      </c>
      <c r="F1363" s="25" t="str">
        <f>IFERROR(INDEX('Hun Demand'!R:R,MATCH(O1363,'Hun Demand'!A:A,0)),"")</f>
        <v/>
      </c>
      <c r="G1363" s="25">
        <f>IFERROR(INDEX('Aub Demand'!W:W,MATCH(O1363,'Aub Demand'!A:A,0)),"")</f>
        <v>143</v>
      </c>
      <c r="H1363" s="25">
        <f>IFERROR(INDEX('Aub Demand'!V:V,MATCH(O1363,'Aub Demand'!A:A,0)),"")</f>
        <v>0</v>
      </c>
      <c r="I1363" s="25">
        <f>IFERROR(INDEX('Aub Demand'!U:U,MATCH(O1363,'Aub Demand'!A:A,0)),"")</f>
        <v>201</v>
      </c>
      <c r="J1363" s="25">
        <f>IFERROR(INDEX('Aub Demand'!T:T,MATCH(O1363,'Aub Demand'!A:A,0)),"")</f>
        <v>82</v>
      </c>
      <c r="K1363" s="25">
        <f>IFERROR(INDEX('Aub Demand'!S:S,MATCH(O1363,'Aub Demand'!A:A,0)),"")</f>
        <v>0</v>
      </c>
      <c r="L1363" s="25">
        <f>IFERROR(INDEX('Aub Demand'!R:R,MATCH(O1363,'Aub Demand'!A:A,0)),"")</f>
        <v>0</v>
      </c>
      <c r="O1363" s="27" t="s">
        <v>1685</v>
      </c>
      <c r="P1363" s="27" t="str">
        <f>IFERROR(INDEX('Aub Demand'!B:B,MATCH($O1363,'Aub Demand'!$A:$A,0)),"")</f>
        <v>VANA</v>
      </c>
      <c r="Q1363" s="27" t="str">
        <f>IFERROR(INDEX('Aub Demand'!C:C,MATCH($O1363,'Aub Demand'!$A:$A,0)),"")</f>
        <v>DNP A</v>
      </c>
      <c r="R1363" s="52">
        <f>IFERROR(IF(AR1364=AR1363,INDEX('Aub Demand'!K:K,MATCH($O1363,'Aub Demand'!$A:$A,0))-IF(AN1363="",0,AN1363)+AP1364,INDEX('Aub Demand'!K:K,MATCH($O1363,'Aub Demand'!$A:$A,0))-IF(AN1363="",0,AN1363)),"")</f>
        <v>2746</v>
      </c>
      <c r="S1363" s="53">
        <f t="shared" si="588"/>
        <v>125.2</v>
      </c>
      <c r="T1363" s="52" t="str">
        <f t="shared" si="589"/>
        <v/>
      </c>
      <c r="U1363" s="52">
        <f>IFERROR(IF(AR1364=AR1363,INDEX('Aub Demand'!Q:Q,MATCH($O1363,'Aub Demand'!$A:$A,0))-IF(AN1363="",0,AN1363)+AP1364,INDEX('Aub Demand'!Q:Q,MATCH($O1363,'Aub Demand'!$A:$A,0))-IF(AN1363="",0,AN1363)),"")</f>
        <v>2709</v>
      </c>
      <c r="V1363" s="53">
        <f t="shared" si="590"/>
        <v>123.5</v>
      </c>
      <c r="W1363" s="52" t="str">
        <f t="shared" si="591"/>
        <v/>
      </c>
      <c r="X1363" s="52">
        <f>IFERROR(IF(AND(AR1364=AR1363,AM1363&lt;&gt;""),INDEX('Aub Demand'!Q:Q,MATCH($O1363,'Aub Demand'!$A:$A,0))-IF(AN1363="",0,AN1363)+AP1364+AD1363+AL1363,IF(AR1364=AR1363,INDEX('Aub Demand'!Q:Q,MATCH($O1363,'Aub Demand'!$A:$A,0))-IF(AN1363="",0,AN1363)+AP1364+AD1363,IF(AM1363&lt;&gt;"",INDEX('Aub Demand'!Q:Q,MATCH($O1363,'Aub Demand'!$A:$A,0))-IF(AN1363="",0,AN1363)+AD1363+AL1363,INDEX('Aub Demand'!Q:Q,MATCH($O1363,'Aub Demand'!$A:$A,0))-IF(AN1363="",0,AN1363)+AD1363))),"")</f>
        <v>2709</v>
      </c>
      <c r="Y1363" s="53">
        <f t="shared" si="592"/>
        <v>123.5</v>
      </c>
      <c r="Z1363" s="52">
        <f>IF(L1363="","",INDEX('Aub Demand'!H:H,MATCH($O1363,'Aub Demand'!$A:$A,0)))</f>
        <v>94</v>
      </c>
      <c r="AA1363" s="52">
        <f t="shared" si="593"/>
        <v>141.5</v>
      </c>
      <c r="AB1363" s="52">
        <f>IFERROR(INDEX('Aub Demand'!L:L,MATCH($O1363,'Aub Demand'!$A:$A,0)),"")</f>
        <v>135</v>
      </c>
      <c r="AC1363" s="52">
        <f>IFERROR(IF(O1363="","",SUMIFS('CPL Mats'!F:F,'CPL Mats'!Q:Q,AR1363,'CPL Mats'!S:S,AS1363)),"")</f>
        <v>0</v>
      </c>
      <c r="AF1363" s="25" t="str">
        <f>IF(SUMIFS('Supp Consol'!S:S,'Supp Consol'!Y:Y,"Releasable",'Supp Consol'!A:A,O1363)=0,"",SUMIFS('Supp Consol'!S:S,'Supp Consol'!Y:Y,"Releasable",'Supp Consol'!A:A,O1363))</f>
        <v/>
      </c>
      <c r="AG1363" s="25" t="str">
        <f>IFERROR(INDEX('Hun Demand'!Q:Q,MATCH(O1363,'Hun Demand'!A:A,0)),"")</f>
        <v/>
      </c>
      <c r="AH1363" s="25" t="str">
        <f>IFERROR(INDEX('Hun Demand'!H:H,MATCH($O1363,'Hun Demand'!$A:$A,0)),"")</f>
        <v/>
      </c>
      <c r="AI1363" s="25" t="str">
        <f>IF(SUMIFS('Supp Consol'!AA:AA,'Supp Consol'!Z:Z,"Expires this month",'Supp Consol'!A:A,O1363)=0,"",SUMIFS('Supp Consol'!AA:AA,'Supp Consol'!Z:Z,"Expires this month",'Supp Consol'!A:A,O1363))</f>
        <v/>
      </c>
      <c r="AJ1363" s="25" t="str">
        <f>IF(SUMIFS('Supp Consol'!AA:AA,'Supp Consol'!Z:Z,"Expired Previous Months",'Supp Consol'!A:A,O1363)=0,"",SUMIFS('Supp Consol'!AA:AA,'Supp Consol'!Z:Z,"Expired Previous Months",'Supp Consol'!A:A,O1363))</f>
        <v/>
      </c>
      <c r="AK1363" s="25" t="str">
        <f>IFERROR(INDEX('Hun Release Current'!B:B,MATCH(O1363,'Hun Release Current'!A:A,0)),"")</f>
        <v/>
      </c>
      <c r="AL1363" s="25" t="str">
        <f>IF(SUMIF('Prev Aub'!A:A,O1363,'Prev Aub'!B:B)=0,"",SUMIF('Prev Aub'!A:A,O1363,'Prev Aub'!B:B))</f>
        <v/>
      </c>
      <c r="AN1363" s="25" t="s">
        <v>3790</v>
      </c>
      <c r="AO1363" s="25" t="s">
        <v>3790</v>
      </c>
      <c r="AP1363" s="25">
        <f t="shared" si="594"/>
        <v>0</v>
      </c>
      <c r="AQ1363" s="151" t="str">
        <f>IF(SUMIFS('Supp Consol'!S:S,'Supp Consol'!A:A,O1363,'Supp Consol'!I:I,"PENDING")=0,"",SUMIFS('Supp Consol'!S:S,'Supp Consol'!A:A,O1363,'Supp Consol'!I:I,"PENDING"))</f>
        <v/>
      </c>
      <c r="AR1363" s="27" t="str">
        <f t="shared" si="595"/>
        <v>WF131</v>
      </c>
      <c r="AS1363" s="27" t="str">
        <f t="shared" si="596"/>
        <v>62</v>
      </c>
      <c r="AT1363" s="27" t="str">
        <f t="shared" si="597"/>
        <v/>
      </c>
      <c r="AU1363" s="27" t="str">
        <f t="shared" si="598"/>
        <v/>
      </c>
      <c r="AV1363" s="27" t="str">
        <f t="shared" si="599"/>
        <v/>
      </c>
      <c r="AW1363" s="27" t="str">
        <f t="shared" si="600"/>
        <v/>
      </c>
      <c r="AX1363" s="27" t="str">
        <f t="shared" si="601"/>
        <v/>
      </c>
      <c r="AY1363" s="27" t="str">
        <f t="shared" si="602"/>
        <v/>
      </c>
      <c r="AZ1363" s="27" t="str">
        <f t="shared" si="603"/>
        <v/>
      </c>
      <c r="BA1363" s="27" t="str">
        <f t="shared" si="604"/>
        <v/>
      </c>
      <c r="BB1363" s="27" t="str">
        <f t="shared" si="605"/>
        <v/>
      </c>
      <c r="BC1363" s="27" t="str">
        <f t="shared" si="606"/>
        <v/>
      </c>
      <c r="BD1363" s="27" t="str">
        <f t="shared" si="607"/>
        <v/>
      </c>
      <c r="BE1363" s="27" t="str">
        <f t="shared" si="608"/>
        <v/>
      </c>
      <c r="BF1363" s="27" t="str">
        <f t="shared" si="609"/>
        <v/>
      </c>
      <c r="BG1363" s="27" t="str">
        <f t="shared" si="610"/>
        <v/>
      </c>
      <c r="BH1363" s="27" t="str">
        <f t="shared" si="611"/>
        <v/>
      </c>
      <c r="BI1363" s="27" t="str">
        <f t="shared" si="612"/>
        <v/>
      </c>
      <c r="BJ1363" s="27" t="str">
        <f t="shared" si="613"/>
        <v/>
      </c>
      <c r="BK1363" s="27" t="str">
        <f t="shared" si="614"/>
        <v/>
      </c>
      <c r="BL1363" s="27" t="str">
        <f t="shared" si="615"/>
        <v/>
      </c>
      <c r="BM1363" s="21" t="s">
        <v>5581</v>
      </c>
    </row>
    <row r="1364" spans="1:65" ht="15">
      <c r="A1364" s="25">
        <f>IFERROR(INDEX('Hun Demand'!W:W,MATCH(O1364,'Hun Demand'!A:A,0)),"")</f>
        <v>0</v>
      </c>
      <c r="B1364" s="25">
        <f>IFERROR(INDEX('Hun Demand'!V:V,MATCH(O1364,'Hun Demand'!A:A,0)),"")</f>
        <v>0</v>
      </c>
      <c r="C1364" s="25">
        <f>IFERROR(INDEX('Hun Demand'!U:U,MATCH(O1364,'Hun Demand'!A:A,0)),"")</f>
        <v>0</v>
      </c>
      <c r="D1364" s="25">
        <f>IFERROR(INDEX('Hun Demand'!T:T,MATCH(O1364,'Hun Demand'!A:A,0)),"")</f>
        <v>0</v>
      </c>
      <c r="E1364" s="25">
        <f>IFERROR(INDEX('Hun Demand'!S:S,MATCH(O1364,'Hun Demand'!A:A,0)),"")</f>
        <v>0</v>
      </c>
      <c r="F1364" s="25">
        <f>IFERROR(INDEX('Hun Demand'!R:R,MATCH(O1364,'Hun Demand'!A:A,0)),"")</f>
        <v>0</v>
      </c>
      <c r="G1364" s="25">
        <f>IFERROR(INDEX('Aub Demand'!W:W,MATCH(O1364,'Aub Demand'!A:A,0)),"")</f>
        <v>0</v>
      </c>
      <c r="H1364" s="25">
        <f>IFERROR(INDEX('Aub Demand'!V:V,MATCH(O1364,'Aub Demand'!A:A,0)),"")</f>
        <v>116</v>
      </c>
      <c r="I1364" s="25">
        <f>IFERROR(INDEX('Aub Demand'!U:U,MATCH(O1364,'Aub Demand'!A:A,0)),"")</f>
        <v>203</v>
      </c>
      <c r="J1364" s="25">
        <f>IFERROR(INDEX('Aub Demand'!T:T,MATCH(O1364,'Aub Demand'!A:A,0)),"")</f>
        <v>349</v>
      </c>
      <c r="K1364" s="25">
        <f>IFERROR(INDEX('Aub Demand'!S:S,MATCH(O1364,'Aub Demand'!A:A,0)),"")</f>
        <v>0</v>
      </c>
      <c r="L1364" s="25">
        <f>IFERROR(INDEX('Aub Demand'!R:R,MATCH(O1364,'Aub Demand'!A:A,0)),"")</f>
        <v>0</v>
      </c>
      <c r="O1364" s="27" t="s">
        <v>1686</v>
      </c>
      <c r="P1364" s="27" t="str">
        <f>IFERROR(INDEX('Aub Demand'!B:B,MATCH($O1364,'Aub Demand'!$A:$A,0)),"")</f>
        <v>ICE FISHIN</v>
      </c>
      <c r="Q1364" s="27" t="str">
        <f>IFERROR(INDEX('Aub Demand'!C:C,MATCH($O1364,'Aub Demand'!$A:$A,0)),"")</f>
        <v>DNP A</v>
      </c>
      <c r="R1364" s="52">
        <f>IFERROR(IF(AR1365=AR1364,INDEX('Aub Demand'!K:K,MATCH($O1364,'Aub Demand'!$A:$A,0))-IF(AN1364="",0,AN1364)+AP1365,INDEX('Aub Demand'!K:K,MATCH($O1364,'Aub Demand'!$A:$A,0))-IF(AN1364="",0,AN1364)),"")</f>
        <v>1861</v>
      </c>
      <c r="S1364" s="53">
        <f t="shared" si="588"/>
        <v>43.3</v>
      </c>
      <c r="T1364" s="52" t="str">
        <f t="shared" si="589"/>
        <v/>
      </c>
      <c r="U1364" s="52">
        <f>IFERROR(IF(AR1365=AR1364,INDEX('Aub Demand'!Q:Q,MATCH($O1364,'Aub Demand'!$A:$A,0))-IF(AN1364="",0,AN1364)+AP1365,INDEX('Aub Demand'!Q:Q,MATCH($O1364,'Aub Demand'!$A:$A,0))-IF(AN1364="",0,AN1364)),"")</f>
        <v>1821</v>
      </c>
      <c r="V1364" s="53">
        <f t="shared" si="590"/>
        <v>42.4</v>
      </c>
      <c r="W1364" s="52" t="str">
        <f t="shared" si="591"/>
        <v/>
      </c>
      <c r="X1364" s="52">
        <f>IFERROR(IF(AND(AR1365=AR1364,AM1364&lt;&gt;""),INDEX('Aub Demand'!Q:Q,MATCH($O1364,'Aub Demand'!$A:$A,0))-IF(AN1364="",0,AN1364)+AP1365+AD1364+AL1364,IF(AR1365=AR1364,INDEX('Aub Demand'!Q:Q,MATCH($O1364,'Aub Demand'!$A:$A,0))-IF(AN1364="",0,AN1364)+AP1365+AD1364,IF(AM1364&lt;&gt;"",INDEX('Aub Demand'!Q:Q,MATCH($O1364,'Aub Demand'!$A:$A,0))-IF(AN1364="",0,AN1364)+AD1364+AL1364,INDEX('Aub Demand'!Q:Q,MATCH($O1364,'Aub Demand'!$A:$A,0))-IF(AN1364="",0,AN1364)+AD1364))),"")</f>
        <v>1821</v>
      </c>
      <c r="Y1364" s="53">
        <f t="shared" si="592"/>
        <v>42.4</v>
      </c>
      <c r="Z1364" s="52">
        <f>IF(L1364="","",INDEX('Aub Demand'!H:H,MATCH($O1364,'Aub Demand'!$A:$A,0)))</f>
        <v>184</v>
      </c>
      <c r="AA1364" s="52">
        <f t="shared" si="593"/>
        <v>276</v>
      </c>
      <c r="AB1364" s="52">
        <f>IFERROR(INDEX('Aub Demand'!L:L,MATCH($O1364,'Aub Demand'!$A:$A,0)),"")</f>
        <v>45</v>
      </c>
      <c r="AC1364" s="52">
        <f>IFERROR(IF(O1364="","",SUMIFS('CPL Mats'!F:F,'CPL Mats'!Q:Q,AR1364,'CPL Mats'!S:S,AS1364)),"")</f>
        <v>0</v>
      </c>
      <c r="AF1364" s="25" t="str">
        <f>IF(SUMIFS('Supp Consol'!S:S,'Supp Consol'!Y:Y,"Releasable",'Supp Consol'!A:A,O1364)=0,"",SUMIFS('Supp Consol'!S:S,'Supp Consol'!Y:Y,"Releasable",'Supp Consol'!A:A,O1364))</f>
        <v/>
      </c>
      <c r="AG1364" s="25">
        <f>IFERROR(INDEX('Hun Demand'!Q:Q,MATCH(O1364,'Hun Demand'!A:A,0)),"")</f>
        <v>89</v>
      </c>
      <c r="AH1364" s="25">
        <f>IFERROR(INDEX('Hun Demand'!H:H,MATCH($O1364,'Hun Demand'!$A:$A,0)),"")</f>
        <v>0</v>
      </c>
      <c r="AI1364" s="25" t="str">
        <f>IF(SUMIFS('Supp Consol'!AA:AA,'Supp Consol'!Z:Z,"Expires this month",'Supp Consol'!A:A,O1364)=0,"",SUMIFS('Supp Consol'!AA:AA,'Supp Consol'!Z:Z,"Expires this month",'Supp Consol'!A:A,O1364))</f>
        <v/>
      </c>
      <c r="AJ1364" s="25" t="str">
        <f>IF(SUMIFS('Supp Consol'!AA:AA,'Supp Consol'!Z:Z,"Expired Previous Months",'Supp Consol'!A:A,O1364)=0,"",SUMIFS('Supp Consol'!AA:AA,'Supp Consol'!Z:Z,"Expired Previous Months",'Supp Consol'!A:A,O1364))</f>
        <v/>
      </c>
      <c r="AK1364" s="25" t="str">
        <f>IFERROR(INDEX('Hun Release Current'!B:B,MATCH(O1364,'Hun Release Current'!A:A,0)),"")</f>
        <v/>
      </c>
      <c r="AL1364" s="25" t="str">
        <f>IF(SUMIF('Prev Aub'!A:A,O1364,'Prev Aub'!B:B)=0,"",SUMIF('Prev Aub'!A:A,O1364,'Prev Aub'!B:B))</f>
        <v/>
      </c>
      <c r="AN1364" s="25" t="s">
        <v>3790</v>
      </c>
      <c r="AO1364" s="25" t="s">
        <v>3790</v>
      </c>
      <c r="AP1364" s="25">
        <f t="shared" si="594"/>
        <v>0</v>
      </c>
      <c r="AQ1364" s="151" t="str">
        <f>IF(SUMIFS('Supp Consol'!S:S,'Supp Consol'!A:A,O1364,'Supp Consol'!I:I,"PENDING")=0,"",SUMIFS('Supp Consol'!S:S,'Supp Consol'!A:A,O1364,'Supp Consol'!I:I,"PENDING"))</f>
        <v/>
      </c>
      <c r="AR1364" s="27" t="str">
        <f t="shared" si="595"/>
        <v>WF181</v>
      </c>
      <c r="AS1364" s="27" t="str">
        <f t="shared" si="596"/>
        <v>50</v>
      </c>
      <c r="AT1364" s="27" t="str">
        <f t="shared" si="597"/>
        <v/>
      </c>
      <c r="AU1364" s="27" t="str">
        <f t="shared" si="598"/>
        <v/>
      </c>
      <c r="AV1364" s="27" t="str">
        <f t="shared" si="599"/>
        <v/>
      </c>
      <c r="AW1364" s="27" t="str">
        <f t="shared" si="600"/>
        <v/>
      </c>
      <c r="AX1364" s="27" t="str">
        <f t="shared" si="601"/>
        <v/>
      </c>
      <c r="AY1364" s="27" t="str">
        <f t="shared" si="602"/>
        <v>WF181</v>
      </c>
      <c r="AZ1364" s="27" t="str">
        <f t="shared" si="603"/>
        <v/>
      </c>
      <c r="BA1364" s="27" t="str">
        <f t="shared" si="604"/>
        <v>Hun</v>
      </c>
      <c r="BB1364" s="27" t="str">
        <f t="shared" si="605"/>
        <v/>
      </c>
      <c r="BC1364" s="27" t="str">
        <f t="shared" si="606"/>
        <v/>
      </c>
      <c r="BD1364" s="27" t="str">
        <f t="shared" si="607"/>
        <v/>
      </c>
      <c r="BE1364" s="27" t="str">
        <f t="shared" si="608"/>
        <v/>
      </c>
      <c r="BF1364" s="27" t="str">
        <f t="shared" si="609"/>
        <v/>
      </c>
      <c r="BG1364" s="27" t="str">
        <f t="shared" si="610"/>
        <v/>
      </c>
      <c r="BH1364" s="27" t="str">
        <f t="shared" si="611"/>
        <v/>
      </c>
      <c r="BI1364" s="27" t="str">
        <f t="shared" si="612"/>
        <v/>
      </c>
      <c r="BJ1364" s="27" t="str">
        <f t="shared" si="613"/>
        <v>Supp or Hun</v>
      </c>
      <c r="BK1364" s="27" t="str">
        <f t="shared" si="614"/>
        <v/>
      </c>
      <c r="BL1364" s="27" t="str">
        <f t="shared" si="615"/>
        <v/>
      </c>
      <c r="BM1364" s="21" t="s">
        <v>5581</v>
      </c>
    </row>
    <row r="1365" spans="1:65" ht="15">
      <c r="A1365" s="25" t="str">
        <f>IFERROR(INDEX('Hun Demand'!W:W,MATCH(O1365,'Hun Demand'!A:A,0)),"")</f>
        <v/>
      </c>
      <c r="B1365" s="25" t="str">
        <f>IFERROR(INDEX('Hun Demand'!V:V,MATCH(O1365,'Hun Demand'!A:A,0)),"")</f>
        <v/>
      </c>
      <c r="C1365" s="25" t="str">
        <f>IFERROR(INDEX('Hun Demand'!U:U,MATCH(O1365,'Hun Demand'!A:A,0)),"")</f>
        <v/>
      </c>
      <c r="D1365" s="25" t="str">
        <f>IFERROR(INDEX('Hun Demand'!T:T,MATCH(O1365,'Hun Demand'!A:A,0)),"")</f>
        <v/>
      </c>
      <c r="E1365" s="25" t="str">
        <f>IFERROR(INDEX('Hun Demand'!S:S,MATCH(O1365,'Hun Demand'!A:A,0)),"")</f>
        <v/>
      </c>
      <c r="F1365" s="25" t="str">
        <f>IFERROR(INDEX('Hun Demand'!R:R,MATCH(O1365,'Hun Demand'!A:A,0)),"")</f>
        <v/>
      </c>
      <c r="G1365" s="25">
        <f>IFERROR(INDEX('Aub Demand'!W:W,MATCH(O1365,'Aub Demand'!A:A,0)),"")</f>
        <v>252</v>
      </c>
      <c r="H1365" s="25">
        <f>IFERROR(INDEX('Aub Demand'!V:V,MATCH(O1365,'Aub Demand'!A:A,0)),"")</f>
        <v>85</v>
      </c>
      <c r="I1365" s="25">
        <f>IFERROR(INDEX('Aub Demand'!U:U,MATCH(O1365,'Aub Demand'!A:A,0)),"")</f>
        <v>0</v>
      </c>
      <c r="J1365" s="25">
        <f>IFERROR(INDEX('Aub Demand'!T:T,MATCH(O1365,'Aub Demand'!A:A,0)),"")</f>
        <v>137</v>
      </c>
      <c r="K1365" s="25">
        <f>IFERROR(INDEX('Aub Demand'!S:S,MATCH(O1365,'Aub Demand'!A:A,0)),"")</f>
        <v>78</v>
      </c>
      <c r="L1365" s="25">
        <f>IFERROR(INDEX('Aub Demand'!R:R,MATCH(O1365,'Aub Demand'!A:A,0)),"")</f>
        <v>0</v>
      </c>
      <c r="O1365" s="27" t="s">
        <v>1688</v>
      </c>
      <c r="P1365" s="27" t="str">
        <f>IFERROR(INDEX('Aub Demand'!B:B,MATCH($O1365,'Aub Demand'!$A:$A,0)),"")</f>
        <v>ICE FISHIN</v>
      </c>
      <c r="Q1365" s="27" t="str">
        <f>IFERROR(INDEX('Aub Demand'!C:C,MATCH($O1365,'Aub Demand'!$A:$A,0)),"")</f>
        <v>DNP A</v>
      </c>
      <c r="R1365" s="52">
        <f>IFERROR(IF(AR1366=AR1365,INDEX('Aub Demand'!K:K,MATCH($O1365,'Aub Demand'!$A:$A,0))-IF(AN1365="",0,AN1365)+AP1366,INDEX('Aub Demand'!K:K,MATCH($O1365,'Aub Demand'!$A:$A,0))-IF(AN1365="",0,AN1365)),"")</f>
        <v>2206</v>
      </c>
      <c r="S1365" s="53">
        <f t="shared" si="588"/>
        <v>131.30000000000001</v>
      </c>
      <c r="T1365" s="52" t="str">
        <f t="shared" si="589"/>
        <v/>
      </c>
      <c r="U1365" s="52">
        <f>IFERROR(IF(AR1366=AR1365,INDEX('Aub Demand'!Q:Q,MATCH($O1365,'Aub Demand'!$A:$A,0))-IF(AN1365="",0,AN1365)+AP1366,INDEX('Aub Demand'!Q:Q,MATCH($O1365,'Aub Demand'!$A:$A,0))-IF(AN1365="",0,AN1365)),"")</f>
        <v>2173</v>
      </c>
      <c r="V1365" s="53">
        <f t="shared" si="590"/>
        <v>129.30000000000001</v>
      </c>
      <c r="W1365" s="52" t="str">
        <f t="shared" si="591"/>
        <v/>
      </c>
      <c r="X1365" s="52">
        <f>IFERROR(IF(AND(AR1366=AR1365,AM1365&lt;&gt;""),INDEX('Aub Demand'!Q:Q,MATCH($O1365,'Aub Demand'!$A:$A,0))-IF(AN1365="",0,AN1365)+AP1366+AD1365+AL1365,IF(AR1366=AR1365,INDEX('Aub Demand'!Q:Q,MATCH($O1365,'Aub Demand'!$A:$A,0))-IF(AN1365="",0,AN1365)+AP1366+AD1365,IF(AM1365&lt;&gt;"",INDEX('Aub Demand'!Q:Q,MATCH($O1365,'Aub Demand'!$A:$A,0))-IF(AN1365="",0,AN1365)+AD1365+AL1365,INDEX('Aub Demand'!Q:Q,MATCH($O1365,'Aub Demand'!$A:$A,0))-IF(AN1365="",0,AN1365)+AD1365))),"")</f>
        <v>2173</v>
      </c>
      <c r="Y1365" s="53">
        <f t="shared" si="592"/>
        <v>129.30000000000001</v>
      </c>
      <c r="Z1365" s="52">
        <f>IF(L1365="","",INDEX('Aub Demand'!H:H,MATCH($O1365,'Aub Demand'!$A:$A,0)))</f>
        <v>72</v>
      </c>
      <c r="AA1365" s="52">
        <f t="shared" si="593"/>
        <v>107.5</v>
      </c>
      <c r="AB1365" s="52">
        <f>IFERROR(INDEX('Aub Demand'!L:L,MATCH($O1365,'Aub Demand'!$A:$A,0)),"")</f>
        <v>70</v>
      </c>
      <c r="AC1365" s="52">
        <f>IFERROR(IF(O1365="","",SUMIFS('CPL Mats'!F:F,'CPL Mats'!Q:Q,AR1365,'CPL Mats'!S:S,AS1365)),"")</f>
        <v>0</v>
      </c>
      <c r="AF1365" s="25" t="str">
        <f>IF(SUMIFS('Supp Consol'!S:S,'Supp Consol'!Y:Y,"Releasable",'Supp Consol'!A:A,O1365)=0,"",SUMIFS('Supp Consol'!S:S,'Supp Consol'!Y:Y,"Releasable",'Supp Consol'!A:A,O1365))</f>
        <v/>
      </c>
      <c r="AG1365" s="25" t="str">
        <f>IFERROR(INDEX('Hun Demand'!Q:Q,MATCH(O1365,'Hun Demand'!A:A,0)),"")</f>
        <v/>
      </c>
      <c r="AH1365" s="25" t="str">
        <f>IFERROR(INDEX('Hun Demand'!H:H,MATCH($O1365,'Hun Demand'!$A:$A,0)),"")</f>
        <v/>
      </c>
      <c r="AI1365" s="25" t="str">
        <f>IF(SUMIFS('Supp Consol'!AA:AA,'Supp Consol'!Z:Z,"Expires this month",'Supp Consol'!A:A,O1365)=0,"",SUMIFS('Supp Consol'!AA:AA,'Supp Consol'!Z:Z,"Expires this month",'Supp Consol'!A:A,O1365))</f>
        <v/>
      </c>
      <c r="AJ1365" s="25" t="str">
        <f>IF(SUMIFS('Supp Consol'!AA:AA,'Supp Consol'!Z:Z,"Expired Previous Months",'Supp Consol'!A:A,O1365)=0,"",SUMIFS('Supp Consol'!AA:AA,'Supp Consol'!Z:Z,"Expired Previous Months",'Supp Consol'!A:A,O1365))</f>
        <v/>
      </c>
      <c r="AK1365" s="25" t="str">
        <f>IFERROR(INDEX('Hun Release Current'!B:B,MATCH(O1365,'Hun Release Current'!A:A,0)),"")</f>
        <v/>
      </c>
      <c r="AL1365" s="25" t="str">
        <f>IF(SUMIF('Prev Aub'!A:A,O1365,'Prev Aub'!B:B)=0,"",SUMIF('Prev Aub'!A:A,O1365,'Prev Aub'!B:B))</f>
        <v/>
      </c>
      <c r="AN1365" s="25" t="s">
        <v>3790</v>
      </c>
      <c r="AO1365" s="25" t="s">
        <v>3790</v>
      </c>
      <c r="AP1365" s="25">
        <f t="shared" si="594"/>
        <v>0</v>
      </c>
      <c r="AQ1365" s="151" t="str">
        <f>IF(SUMIFS('Supp Consol'!S:S,'Supp Consol'!A:A,O1365,'Supp Consol'!I:I,"PENDING")=0,"",SUMIFS('Supp Consol'!S:S,'Supp Consol'!A:A,O1365,'Supp Consol'!I:I,"PENDING"))</f>
        <v/>
      </c>
      <c r="AR1365" s="27" t="str">
        <f t="shared" si="595"/>
        <v>WF181</v>
      </c>
      <c r="AS1365" s="27" t="str">
        <f t="shared" si="596"/>
        <v>62</v>
      </c>
      <c r="AT1365" s="27" t="str">
        <f t="shared" si="597"/>
        <v/>
      </c>
      <c r="AU1365" s="27" t="str">
        <f t="shared" si="598"/>
        <v/>
      </c>
      <c r="AV1365" s="27" t="str">
        <f t="shared" si="599"/>
        <v/>
      </c>
      <c r="AW1365" s="27" t="str">
        <f t="shared" si="600"/>
        <v/>
      </c>
      <c r="AX1365" s="27" t="str">
        <f t="shared" si="601"/>
        <v/>
      </c>
      <c r="AY1365" s="27" t="str">
        <f t="shared" si="602"/>
        <v/>
      </c>
      <c r="AZ1365" s="27" t="str">
        <f t="shared" si="603"/>
        <v/>
      </c>
      <c r="BA1365" s="27" t="str">
        <f t="shared" si="604"/>
        <v>Hun</v>
      </c>
      <c r="BB1365" s="27" t="str">
        <f t="shared" si="605"/>
        <v/>
      </c>
      <c r="BC1365" s="27" t="str">
        <f t="shared" si="606"/>
        <v/>
      </c>
      <c r="BD1365" s="27" t="str">
        <f t="shared" si="607"/>
        <v/>
      </c>
      <c r="BE1365" s="27" t="str">
        <f t="shared" si="608"/>
        <v/>
      </c>
      <c r="BF1365" s="27" t="str">
        <f t="shared" si="609"/>
        <v/>
      </c>
      <c r="BG1365" s="27" t="str">
        <f t="shared" si="610"/>
        <v/>
      </c>
      <c r="BH1365" s="27" t="str">
        <f t="shared" si="611"/>
        <v/>
      </c>
      <c r="BI1365" s="27" t="str">
        <f t="shared" si="612"/>
        <v/>
      </c>
      <c r="BJ1365" s="27" t="str">
        <f t="shared" si="613"/>
        <v>Supp or Hun</v>
      </c>
      <c r="BK1365" s="27" t="str">
        <f t="shared" si="614"/>
        <v/>
      </c>
      <c r="BL1365" s="27" t="str">
        <f t="shared" si="615"/>
        <v/>
      </c>
      <c r="BM1365" s="21" t="s">
        <v>5581</v>
      </c>
    </row>
    <row r="1366" spans="1:65" ht="15">
      <c r="A1366" s="25" t="str">
        <f>IFERROR(INDEX('Hun Demand'!W:W,MATCH(O1366,'Hun Demand'!A:A,0)),"")</f>
        <v/>
      </c>
      <c r="B1366" s="25" t="str">
        <f>IFERROR(INDEX('Hun Demand'!V:V,MATCH(O1366,'Hun Demand'!A:A,0)),"")</f>
        <v/>
      </c>
      <c r="C1366" s="25" t="str">
        <f>IFERROR(INDEX('Hun Demand'!U:U,MATCH(O1366,'Hun Demand'!A:A,0)),"")</f>
        <v/>
      </c>
      <c r="D1366" s="25" t="str">
        <f>IFERROR(INDEX('Hun Demand'!T:T,MATCH(O1366,'Hun Demand'!A:A,0)),"")</f>
        <v/>
      </c>
      <c r="E1366" s="25" t="str">
        <f>IFERROR(INDEX('Hun Demand'!S:S,MATCH(O1366,'Hun Demand'!A:A,0)),"")</f>
        <v/>
      </c>
      <c r="F1366" s="25" t="str">
        <f>IFERROR(INDEX('Hun Demand'!R:R,MATCH(O1366,'Hun Demand'!A:A,0)),"")</f>
        <v/>
      </c>
      <c r="G1366" s="25">
        <f>IFERROR(INDEX('Aub Demand'!W:W,MATCH(O1366,'Aub Demand'!A:A,0)),"")</f>
        <v>0</v>
      </c>
      <c r="H1366" s="25">
        <f>IFERROR(INDEX('Aub Demand'!V:V,MATCH(O1366,'Aub Demand'!A:A,0)),"")</f>
        <v>0</v>
      </c>
      <c r="I1366" s="25">
        <f>IFERROR(INDEX('Aub Demand'!U:U,MATCH(O1366,'Aub Demand'!A:A,0)),"")</f>
        <v>0</v>
      </c>
      <c r="J1366" s="25">
        <f>IFERROR(INDEX('Aub Demand'!T:T,MATCH(O1366,'Aub Demand'!A:A,0)),"")</f>
        <v>0</v>
      </c>
      <c r="K1366" s="25">
        <f>IFERROR(INDEX('Aub Demand'!S:S,MATCH(O1366,'Aub Demand'!A:A,0)),"")</f>
        <v>0</v>
      </c>
      <c r="L1366" s="25">
        <f>IFERROR(INDEX('Aub Demand'!R:R,MATCH(O1366,'Aub Demand'!A:A,0)),"")</f>
        <v>0</v>
      </c>
      <c r="O1366" s="27" t="s">
        <v>1689</v>
      </c>
      <c r="P1366" s="27" t="str">
        <f>IFERROR(INDEX('Aub Demand'!B:B,MATCH($O1366,'Aub Demand'!$A:$A,0)),"")</f>
        <v>ACADIA BEECH</v>
      </c>
      <c r="Q1366" s="27" t="str">
        <f>IFERROR(INDEX('Aub Demand'!C:C,MATCH($O1366,'Aub Demand'!$A:$A,0)),"")</f>
        <v>INTER</v>
      </c>
      <c r="R1366" s="52">
        <f>IFERROR(IF(AR1367=AR1366,INDEX('Aub Demand'!K:K,MATCH($O1366,'Aub Demand'!$A:$A,0))-IF(AN1366="",0,AN1366)+AP1367,INDEX('Aub Demand'!K:K,MATCH($O1366,'Aub Demand'!$A:$A,0))-IF(AN1366="",0,AN1366)),"")</f>
        <v>63</v>
      </c>
      <c r="S1366" s="53" t="str">
        <f t="shared" si="588"/>
        <v>n/a</v>
      </c>
      <c r="T1366" s="52" t="str">
        <f t="shared" si="589"/>
        <v/>
      </c>
      <c r="U1366" s="52">
        <f>IFERROR(IF(AR1367=AR1366,INDEX('Aub Demand'!Q:Q,MATCH($O1366,'Aub Demand'!$A:$A,0))-IF(AN1366="",0,AN1366)+AP1367,INDEX('Aub Demand'!Q:Q,MATCH($O1366,'Aub Demand'!$A:$A,0))-IF(AN1366="",0,AN1366)),"")</f>
        <v>63</v>
      </c>
      <c r="V1366" s="53" t="str">
        <f t="shared" si="590"/>
        <v>n/a</v>
      </c>
      <c r="W1366" s="52" t="str">
        <f t="shared" si="591"/>
        <v/>
      </c>
      <c r="X1366" s="52">
        <f>IFERROR(IF(AND(AR1367=AR1366,AM1366&lt;&gt;""),INDEX('Aub Demand'!Q:Q,MATCH($O1366,'Aub Demand'!$A:$A,0))-IF(AN1366="",0,AN1366)+AP1367+AD1366+AL1366,IF(AR1367=AR1366,INDEX('Aub Demand'!Q:Q,MATCH($O1366,'Aub Demand'!$A:$A,0))-IF(AN1366="",0,AN1366)+AP1367+AD1366,IF(AM1366&lt;&gt;"",INDEX('Aub Demand'!Q:Q,MATCH($O1366,'Aub Demand'!$A:$A,0))-IF(AN1366="",0,AN1366)+AD1366+AL1366,INDEX('Aub Demand'!Q:Q,MATCH($O1366,'Aub Demand'!$A:$A,0))-IF(AN1366="",0,AN1366)+AD1366))),"")</f>
        <v>63</v>
      </c>
      <c r="Y1366" s="53" t="str">
        <f t="shared" si="592"/>
        <v>n/a</v>
      </c>
      <c r="Z1366" s="52">
        <f>IF(L1366="","",INDEX('Aub Demand'!H:H,MATCH($O1366,'Aub Demand'!$A:$A,0)))</f>
        <v>0</v>
      </c>
      <c r="AA1366" s="52" t="str">
        <f t="shared" si="593"/>
        <v>-spike-</v>
      </c>
      <c r="AB1366" s="52">
        <f>IFERROR(INDEX('Aub Demand'!L:L,MATCH($O1366,'Aub Demand'!$A:$A,0)),"")</f>
        <v>0</v>
      </c>
      <c r="AC1366" s="52">
        <f>IFERROR(IF(O1366="","",SUMIFS('CPL Mats'!F:F,'CPL Mats'!Q:Q,AR1366,'CPL Mats'!S:S,AS1366)),"")</f>
        <v>0</v>
      </c>
      <c r="AF1366" s="25" t="str">
        <f>IF(SUMIFS('Supp Consol'!S:S,'Supp Consol'!Y:Y,"Releasable",'Supp Consol'!A:A,O1366)=0,"",SUMIFS('Supp Consol'!S:S,'Supp Consol'!Y:Y,"Releasable",'Supp Consol'!A:A,O1366))</f>
        <v/>
      </c>
      <c r="AG1366" s="25" t="str">
        <f>IFERROR(INDEX('Hun Demand'!Q:Q,MATCH(O1366,'Hun Demand'!A:A,0)),"")</f>
        <v/>
      </c>
      <c r="AH1366" s="25" t="str">
        <f>IFERROR(INDEX('Hun Demand'!H:H,MATCH($O1366,'Hun Demand'!$A:$A,0)),"")</f>
        <v/>
      </c>
      <c r="AI1366" s="25" t="str">
        <f>IF(SUMIFS('Supp Consol'!AA:AA,'Supp Consol'!Z:Z,"Expires this month",'Supp Consol'!A:A,O1366)=0,"",SUMIFS('Supp Consol'!AA:AA,'Supp Consol'!Z:Z,"Expires this month",'Supp Consol'!A:A,O1366))</f>
        <v/>
      </c>
      <c r="AJ1366" s="25" t="str">
        <f>IF(SUMIFS('Supp Consol'!AA:AA,'Supp Consol'!Z:Z,"Expired Previous Months",'Supp Consol'!A:A,O1366)=0,"",SUMIFS('Supp Consol'!AA:AA,'Supp Consol'!Z:Z,"Expired Previous Months",'Supp Consol'!A:A,O1366))</f>
        <v/>
      </c>
      <c r="AK1366" s="25" t="str">
        <f>IFERROR(INDEX('Hun Release Current'!B:B,MATCH(O1366,'Hun Release Current'!A:A,0)),"")</f>
        <v/>
      </c>
      <c r="AL1366" s="25" t="str">
        <f>IF(SUMIF('Prev Aub'!A:A,O1366,'Prev Aub'!B:B)=0,"",SUMIF('Prev Aub'!A:A,O1366,'Prev Aub'!B:B))</f>
        <v/>
      </c>
      <c r="AN1366" s="25" t="s">
        <v>3790</v>
      </c>
      <c r="AO1366" s="25" t="s">
        <v>3790</v>
      </c>
      <c r="AP1366" s="25">
        <f t="shared" si="594"/>
        <v>0</v>
      </c>
      <c r="AQ1366" s="151" t="str">
        <f>IF(SUMIFS('Supp Consol'!S:S,'Supp Consol'!A:A,O1366,'Supp Consol'!I:I,"PENDING")=0,"",SUMIFS('Supp Consol'!S:S,'Supp Consol'!A:A,O1366,'Supp Consol'!I:I,"PENDING"))</f>
        <v/>
      </c>
      <c r="AR1366" s="27" t="str">
        <f t="shared" si="595"/>
        <v>WG101</v>
      </c>
      <c r="AS1366" s="27" t="str">
        <f t="shared" si="596"/>
        <v>37</v>
      </c>
      <c r="AT1366" s="27" t="str">
        <f t="shared" si="597"/>
        <v/>
      </c>
      <c r="AU1366" s="27" t="str">
        <f t="shared" si="598"/>
        <v/>
      </c>
      <c r="AV1366" s="27" t="str">
        <f t="shared" si="599"/>
        <v/>
      </c>
      <c r="AW1366" s="27" t="str">
        <f t="shared" si="600"/>
        <v/>
      </c>
      <c r="AX1366" s="27" t="str">
        <f t="shared" si="601"/>
        <v/>
      </c>
      <c r="AY1366" s="27" t="str">
        <f t="shared" si="602"/>
        <v/>
      </c>
      <c r="AZ1366" s="27" t="str">
        <f t="shared" si="603"/>
        <v/>
      </c>
      <c r="BA1366" s="27" t="str">
        <f t="shared" si="604"/>
        <v/>
      </c>
      <c r="BB1366" s="27" t="str">
        <f t="shared" si="605"/>
        <v/>
      </c>
      <c r="BC1366" s="27" t="str">
        <f t="shared" si="606"/>
        <v/>
      </c>
      <c r="BD1366" s="27" t="str">
        <f t="shared" si="607"/>
        <v/>
      </c>
      <c r="BE1366" s="27" t="str">
        <f t="shared" si="608"/>
        <v/>
      </c>
      <c r="BF1366" s="27" t="str">
        <f t="shared" si="609"/>
        <v/>
      </c>
      <c r="BG1366" s="27" t="str">
        <f t="shared" si="610"/>
        <v/>
      </c>
      <c r="BH1366" s="27" t="str">
        <f t="shared" si="611"/>
        <v/>
      </c>
      <c r="BI1366" s="27" t="str">
        <f t="shared" si="612"/>
        <v/>
      </c>
      <c r="BJ1366" s="27" t="str">
        <f t="shared" si="613"/>
        <v/>
      </c>
      <c r="BK1366" s="27" t="str">
        <f t="shared" si="614"/>
        <v/>
      </c>
      <c r="BL1366" s="27" t="str">
        <f t="shared" si="615"/>
        <v/>
      </c>
      <c r="BM1366" s="21" t="s">
        <v>3790</v>
      </c>
    </row>
    <row r="1367" spans="1:65" ht="15">
      <c r="A1367" s="25" t="str">
        <f>IFERROR(INDEX('Hun Demand'!W:W,MATCH(O1367,'Hun Demand'!A:A,0)),"")</f>
        <v/>
      </c>
      <c r="B1367" s="25" t="str">
        <f>IFERROR(INDEX('Hun Demand'!V:V,MATCH(O1367,'Hun Demand'!A:A,0)),"")</f>
        <v/>
      </c>
      <c r="C1367" s="25" t="str">
        <f>IFERROR(INDEX('Hun Demand'!U:U,MATCH(O1367,'Hun Demand'!A:A,0)),"")</f>
        <v/>
      </c>
      <c r="D1367" s="25" t="str">
        <f>IFERROR(INDEX('Hun Demand'!T:T,MATCH(O1367,'Hun Demand'!A:A,0)),"")</f>
        <v/>
      </c>
      <c r="E1367" s="25" t="str">
        <f>IFERROR(INDEX('Hun Demand'!S:S,MATCH(O1367,'Hun Demand'!A:A,0)),"")</f>
        <v/>
      </c>
      <c r="F1367" s="25" t="str">
        <f>IFERROR(INDEX('Hun Demand'!R:R,MATCH(O1367,'Hun Demand'!A:A,0)),"")</f>
        <v/>
      </c>
      <c r="G1367" s="25">
        <f>IFERROR(INDEX('Aub Demand'!W:W,MATCH(O1367,'Aub Demand'!A:A,0)),"")</f>
        <v>0</v>
      </c>
      <c r="H1367" s="25">
        <f>IFERROR(INDEX('Aub Demand'!V:V,MATCH(O1367,'Aub Demand'!A:A,0)),"")</f>
        <v>200</v>
      </c>
      <c r="I1367" s="25">
        <f>IFERROR(INDEX('Aub Demand'!U:U,MATCH(O1367,'Aub Demand'!A:A,0)),"")</f>
        <v>0</v>
      </c>
      <c r="J1367" s="25">
        <f>IFERROR(INDEX('Aub Demand'!T:T,MATCH(O1367,'Aub Demand'!A:A,0)),"")</f>
        <v>0</v>
      </c>
      <c r="K1367" s="25">
        <f>IFERROR(INDEX('Aub Demand'!S:S,MATCH(O1367,'Aub Demand'!A:A,0)),"")</f>
        <v>0</v>
      </c>
      <c r="L1367" s="25">
        <f>IFERROR(INDEX('Aub Demand'!R:R,MATCH(O1367,'Aub Demand'!A:A,0)),"")</f>
        <v>0</v>
      </c>
      <c r="O1367" s="27" t="s">
        <v>1691</v>
      </c>
      <c r="P1367" s="27" t="str">
        <f>IFERROR(INDEX('Aub Demand'!B:B,MATCH($O1367,'Aub Demand'!$A:$A,0)),"")</f>
        <v>ACADIA BEECH</v>
      </c>
      <c r="Q1367" s="27" t="str">
        <f>IFERROR(INDEX('Aub Demand'!C:C,MATCH($O1367,'Aub Demand'!$A:$A,0)),"")</f>
        <v>INTER</v>
      </c>
      <c r="R1367" s="52">
        <f>IFERROR(IF(AR1368=AR1367,INDEX('Aub Demand'!K:K,MATCH($O1367,'Aub Demand'!$A:$A,0))-IF(AN1367="",0,AN1367)+AP1368,INDEX('Aub Demand'!K:K,MATCH($O1367,'Aub Demand'!$A:$A,0))-IF(AN1367="",0,AN1367)),"")</f>
        <v>489</v>
      </c>
      <c r="S1367" s="53" t="str">
        <f t="shared" si="588"/>
        <v>n/a</v>
      </c>
      <c r="T1367" s="52" t="str">
        <f t="shared" si="589"/>
        <v/>
      </c>
      <c r="U1367" s="52">
        <f>IFERROR(IF(AR1368=AR1367,INDEX('Aub Demand'!Q:Q,MATCH($O1367,'Aub Demand'!$A:$A,0))-IF(AN1367="",0,AN1367)+AP1368,INDEX('Aub Demand'!Q:Q,MATCH($O1367,'Aub Demand'!$A:$A,0))-IF(AN1367="",0,AN1367)),"")</f>
        <v>489</v>
      </c>
      <c r="V1367" s="53" t="str">
        <f t="shared" si="590"/>
        <v>n/a</v>
      </c>
      <c r="W1367" s="52" t="str">
        <f t="shared" si="591"/>
        <v/>
      </c>
      <c r="X1367" s="52">
        <f>IFERROR(IF(AND(AR1368=AR1367,AM1367&lt;&gt;""),INDEX('Aub Demand'!Q:Q,MATCH($O1367,'Aub Demand'!$A:$A,0))-IF(AN1367="",0,AN1367)+AP1368+AD1367+AL1367,IF(AR1368=AR1367,INDEX('Aub Demand'!Q:Q,MATCH($O1367,'Aub Demand'!$A:$A,0))-IF(AN1367="",0,AN1367)+AP1368+AD1367,IF(AM1367&lt;&gt;"",INDEX('Aub Demand'!Q:Q,MATCH($O1367,'Aub Demand'!$A:$A,0))-IF(AN1367="",0,AN1367)+AD1367+AL1367,INDEX('Aub Demand'!Q:Q,MATCH($O1367,'Aub Demand'!$A:$A,0))-IF(AN1367="",0,AN1367)+AD1367))),"")</f>
        <v>489</v>
      </c>
      <c r="Y1367" s="53" t="str">
        <f t="shared" si="592"/>
        <v>n/a</v>
      </c>
      <c r="Z1367" s="52">
        <f>IF(L1367="","",INDEX('Aub Demand'!H:H,MATCH($O1367,'Aub Demand'!$A:$A,0)))</f>
        <v>0</v>
      </c>
      <c r="AA1367" s="52" t="str">
        <f t="shared" si="593"/>
        <v>-spike-</v>
      </c>
      <c r="AB1367" s="52">
        <f>IFERROR(INDEX('Aub Demand'!L:L,MATCH($O1367,'Aub Demand'!$A:$A,0)),"")</f>
        <v>0</v>
      </c>
      <c r="AC1367" s="52">
        <f>IFERROR(IF(O1367="","",SUMIFS('CPL Mats'!F:F,'CPL Mats'!Q:Q,AR1367,'CPL Mats'!S:S,AS1367)),"")</f>
        <v>0</v>
      </c>
      <c r="AF1367" s="25" t="str">
        <f>IF(SUMIFS('Supp Consol'!S:S,'Supp Consol'!Y:Y,"Releasable",'Supp Consol'!A:A,O1367)=0,"",SUMIFS('Supp Consol'!S:S,'Supp Consol'!Y:Y,"Releasable",'Supp Consol'!A:A,O1367))</f>
        <v/>
      </c>
      <c r="AG1367" s="25" t="str">
        <f>IFERROR(INDEX('Hun Demand'!Q:Q,MATCH(O1367,'Hun Demand'!A:A,0)),"")</f>
        <v/>
      </c>
      <c r="AH1367" s="25" t="str">
        <f>IFERROR(INDEX('Hun Demand'!H:H,MATCH($O1367,'Hun Demand'!$A:$A,0)),"")</f>
        <v/>
      </c>
      <c r="AI1367" s="25" t="str">
        <f>IF(SUMIFS('Supp Consol'!AA:AA,'Supp Consol'!Z:Z,"Expires this month",'Supp Consol'!A:A,O1367)=0,"",SUMIFS('Supp Consol'!AA:AA,'Supp Consol'!Z:Z,"Expires this month",'Supp Consol'!A:A,O1367))</f>
        <v/>
      </c>
      <c r="AJ1367" s="25" t="str">
        <f>IF(SUMIFS('Supp Consol'!AA:AA,'Supp Consol'!Z:Z,"Expired Previous Months",'Supp Consol'!A:A,O1367)=0,"",SUMIFS('Supp Consol'!AA:AA,'Supp Consol'!Z:Z,"Expired Previous Months",'Supp Consol'!A:A,O1367))</f>
        <v/>
      </c>
      <c r="AK1367" s="25" t="str">
        <f>IFERROR(INDEX('Hun Release Current'!B:B,MATCH(O1367,'Hun Release Current'!A:A,0)),"")</f>
        <v/>
      </c>
      <c r="AL1367" s="25" t="str">
        <f>IF(SUMIF('Prev Aub'!A:A,O1367,'Prev Aub'!B:B)=0,"",SUMIF('Prev Aub'!A:A,O1367,'Prev Aub'!B:B))</f>
        <v/>
      </c>
      <c r="AN1367" s="25" t="s">
        <v>3790</v>
      </c>
      <c r="AO1367" s="25" t="s">
        <v>3790</v>
      </c>
      <c r="AP1367" s="25">
        <f t="shared" si="594"/>
        <v>0</v>
      </c>
      <c r="AQ1367" s="151" t="str">
        <f>IF(SUMIFS('Supp Consol'!S:S,'Supp Consol'!A:A,O1367,'Supp Consol'!I:I,"PENDING")=0,"",SUMIFS('Supp Consol'!S:S,'Supp Consol'!A:A,O1367,'Supp Consol'!I:I,"PENDING"))</f>
        <v/>
      </c>
      <c r="AR1367" s="27" t="str">
        <f t="shared" si="595"/>
        <v>WG101</v>
      </c>
      <c r="AS1367" s="27" t="str">
        <f t="shared" si="596"/>
        <v>62</v>
      </c>
      <c r="AT1367" s="27" t="str">
        <f t="shared" si="597"/>
        <v/>
      </c>
      <c r="AU1367" s="27" t="str">
        <f t="shared" si="598"/>
        <v/>
      </c>
      <c r="AV1367" s="27" t="str">
        <f t="shared" si="599"/>
        <v/>
      </c>
      <c r="AW1367" s="27" t="str">
        <f t="shared" si="600"/>
        <v/>
      </c>
      <c r="AX1367" s="27" t="str">
        <f t="shared" si="601"/>
        <v/>
      </c>
      <c r="AY1367" s="27" t="str">
        <f t="shared" si="602"/>
        <v/>
      </c>
      <c r="AZ1367" s="27" t="str">
        <f t="shared" si="603"/>
        <v/>
      </c>
      <c r="BA1367" s="27" t="str">
        <f t="shared" si="604"/>
        <v/>
      </c>
      <c r="BB1367" s="27" t="str">
        <f t="shared" si="605"/>
        <v/>
      </c>
      <c r="BC1367" s="27" t="str">
        <f t="shared" si="606"/>
        <v/>
      </c>
      <c r="BD1367" s="27" t="str">
        <f t="shared" si="607"/>
        <v/>
      </c>
      <c r="BE1367" s="27" t="str">
        <f t="shared" si="608"/>
        <v/>
      </c>
      <c r="BF1367" s="27" t="str">
        <f t="shared" si="609"/>
        <v/>
      </c>
      <c r="BG1367" s="27" t="str">
        <f t="shared" si="610"/>
        <v/>
      </c>
      <c r="BH1367" s="27" t="str">
        <f t="shared" si="611"/>
        <v/>
      </c>
      <c r="BI1367" s="27" t="str">
        <f t="shared" si="612"/>
        <v/>
      </c>
      <c r="BJ1367" s="27" t="str">
        <f t="shared" si="613"/>
        <v/>
      </c>
      <c r="BK1367" s="27" t="str">
        <f t="shared" si="614"/>
        <v/>
      </c>
      <c r="BL1367" s="27" t="str">
        <f t="shared" si="615"/>
        <v/>
      </c>
      <c r="BM1367" s="21" t="s">
        <v>3790</v>
      </c>
    </row>
    <row r="1368" spans="1:65" ht="15">
      <c r="A1368" s="25">
        <f>IFERROR(INDEX('Hun Demand'!W:W,MATCH(O1368,'Hun Demand'!A:A,0)),"")</f>
        <v>0</v>
      </c>
      <c r="B1368" s="25">
        <f>IFERROR(INDEX('Hun Demand'!V:V,MATCH(O1368,'Hun Demand'!A:A,0)),"")</f>
        <v>194</v>
      </c>
      <c r="C1368" s="25">
        <f>IFERROR(INDEX('Hun Demand'!U:U,MATCH(O1368,'Hun Demand'!A:A,0)),"")</f>
        <v>0</v>
      </c>
      <c r="D1368" s="25">
        <f>IFERROR(INDEX('Hun Demand'!T:T,MATCH(O1368,'Hun Demand'!A:A,0)),"")</f>
        <v>0</v>
      </c>
      <c r="E1368" s="25">
        <f>IFERROR(INDEX('Hun Demand'!S:S,MATCH(O1368,'Hun Demand'!A:A,0)),"")</f>
        <v>0</v>
      </c>
      <c r="F1368" s="25">
        <f>IFERROR(INDEX('Hun Demand'!R:R,MATCH(O1368,'Hun Demand'!A:A,0)),"")</f>
        <v>0</v>
      </c>
      <c r="G1368" s="25">
        <f>IFERROR(INDEX('Aub Demand'!W:W,MATCH(O1368,'Aub Demand'!A:A,0)),"")</f>
        <v>64</v>
      </c>
      <c r="H1368" s="25">
        <f>IFERROR(INDEX('Aub Demand'!V:V,MATCH(O1368,'Aub Demand'!A:A,0)),"")</f>
        <v>827</v>
      </c>
      <c r="I1368" s="25">
        <f>IFERROR(INDEX('Aub Demand'!U:U,MATCH(O1368,'Aub Demand'!A:A,0)),"")</f>
        <v>357</v>
      </c>
      <c r="J1368" s="25">
        <f>IFERROR(INDEX('Aub Demand'!T:T,MATCH(O1368,'Aub Demand'!A:A,0)),"")</f>
        <v>0</v>
      </c>
      <c r="K1368" s="25">
        <f>IFERROR(INDEX('Aub Demand'!S:S,MATCH(O1368,'Aub Demand'!A:A,0)),"")</f>
        <v>318</v>
      </c>
      <c r="L1368" s="25">
        <f>IFERROR(INDEX('Aub Demand'!R:R,MATCH(O1368,'Aub Demand'!A:A,0)),"")</f>
        <v>0</v>
      </c>
      <c r="O1368" s="27" t="s">
        <v>2964</v>
      </c>
      <c r="P1368" s="27" t="str">
        <f>IFERROR(INDEX('Aub Demand'!B:B,MATCH($O1368,'Aub Demand'!$A:$A,0)),"")</f>
        <v>RUGGED TRAIL</v>
      </c>
      <c r="Q1368" s="27" t="str">
        <f>IFERROR(INDEX('Aub Demand'!C:C,MATCH($O1368,'Aub Demand'!$A:$A,0)),"")</f>
        <v>SCHAT</v>
      </c>
      <c r="R1368" s="52">
        <f>IFERROR(IF(AR1369=AR1368,INDEX('Aub Demand'!K:K,MATCH($O1368,'Aub Demand'!$A:$A,0))-IF(AN1368="",0,AN1368)+AP1369,INDEX('Aub Demand'!K:K,MATCH($O1368,'Aub Demand'!$A:$A,0))-IF(AN1368="",0,AN1368)),"")</f>
        <v>918</v>
      </c>
      <c r="S1368" s="53">
        <f t="shared" si="588"/>
        <v>17.5</v>
      </c>
      <c r="T1368" s="52" t="str">
        <f t="shared" si="589"/>
        <v/>
      </c>
      <c r="U1368" s="52">
        <f>IFERROR(IF(AR1369=AR1368,INDEX('Aub Demand'!Q:Q,MATCH($O1368,'Aub Demand'!$A:$A,0))-IF(AN1368="",0,AN1368)+AP1369,INDEX('Aub Demand'!Q:Q,MATCH($O1368,'Aub Demand'!$A:$A,0))-IF(AN1368="",0,AN1368)),"")</f>
        <v>915</v>
      </c>
      <c r="V1368" s="53">
        <f t="shared" si="590"/>
        <v>17.399999999999999</v>
      </c>
      <c r="W1368" s="52" t="str">
        <f t="shared" si="591"/>
        <v/>
      </c>
      <c r="X1368" s="52">
        <f>IFERROR(IF(AND(AR1369=AR1368,AM1368&lt;&gt;""),INDEX('Aub Demand'!Q:Q,MATCH($O1368,'Aub Demand'!$A:$A,0))-IF(AN1368="",0,AN1368)+AP1369+AD1368+AL1368,IF(AR1369=AR1368,INDEX('Aub Demand'!Q:Q,MATCH($O1368,'Aub Demand'!$A:$A,0))-IF(AN1368="",0,AN1368)+AP1369+AD1368,IF(AM1368&lt;&gt;"",INDEX('Aub Demand'!Q:Q,MATCH($O1368,'Aub Demand'!$A:$A,0))-IF(AN1368="",0,AN1368)+AD1368+AL1368,INDEX('Aub Demand'!Q:Q,MATCH($O1368,'Aub Demand'!$A:$A,0))-IF(AN1368="",0,AN1368)+AD1368))),"")</f>
        <v>915</v>
      </c>
      <c r="Y1368" s="53">
        <f t="shared" si="592"/>
        <v>17.399999999999999</v>
      </c>
      <c r="Z1368" s="52">
        <f>IF(L1368="","",INDEX('Aub Demand'!H:H,MATCH($O1368,'Aub Demand'!$A:$A,0)))</f>
        <v>225</v>
      </c>
      <c r="AA1368" s="52">
        <f t="shared" si="593"/>
        <v>337.5</v>
      </c>
      <c r="AB1368" s="52">
        <f>IFERROR(INDEX('Aub Demand'!L:L,MATCH($O1368,'Aub Demand'!$A:$A,0)),"")</f>
        <v>31</v>
      </c>
      <c r="AC1368" s="52">
        <f>IFERROR(IF(O1368="","",SUMIFS('CPL Mats'!F:F,'CPL Mats'!Q:Q,AR1368,'CPL Mats'!S:S,AS1368)),"")</f>
        <v>0</v>
      </c>
      <c r="AF1368" s="25" t="str">
        <f>IF(SUMIFS('Supp Consol'!S:S,'Supp Consol'!Y:Y,"Releasable",'Supp Consol'!A:A,O1368)=0,"",SUMIFS('Supp Consol'!S:S,'Supp Consol'!Y:Y,"Releasable",'Supp Consol'!A:A,O1368))</f>
        <v/>
      </c>
      <c r="AG1368" s="25">
        <f>IFERROR(INDEX('Hun Demand'!Q:Q,MATCH(O1368,'Hun Demand'!A:A,0)),"")</f>
        <v>480</v>
      </c>
      <c r="AH1368" s="25">
        <f>IFERROR(INDEX('Hun Demand'!H:H,MATCH($O1368,'Hun Demand'!$A:$A,0)),"")</f>
        <v>0</v>
      </c>
      <c r="AI1368" s="25" t="str">
        <f>IF(SUMIFS('Supp Consol'!AA:AA,'Supp Consol'!Z:Z,"Expires this month",'Supp Consol'!A:A,O1368)=0,"",SUMIFS('Supp Consol'!AA:AA,'Supp Consol'!Z:Z,"Expires this month",'Supp Consol'!A:A,O1368))</f>
        <v/>
      </c>
      <c r="AJ1368" s="25" t="str">
        <f>IF(SUMIFS('Supp Consol'!AA:AA,'Supp Consol'!Z:Z,"Expired Previous Months",'Supp Consol'!A:A,O1368)=0,"",SUMIFS('Supp Consol'!AA:AA,'Supp Consol'!Z:Z,"Expired Previous Months",'Supp Consol'!A:A,O1368))</f>
        <v/>
      </c>
      <c r="AK1368" s="25" t="str">
        <f>IFERROR(INDEX('Hun Release Current'!B:B,MATCH(O1368,'Hun Release Current'!A:A,0)),"")</f>
        <v/>
      </c>
      <c r="AL1368" s="25" t="str">
        <f>IF(SUMIF('Prev Aub'!A:A,O1368,'Prev Aub'!B:B)=0,"",SUMIF('Prev Aub'!A:A,O1368,'Prev Aub'!B:B))</f>
        <v/>
      </c>
      <c r="AN1368" s="25" t="s">
        <v>3790</v>
      </c>
      <c r="AO1368" s="25" t="s">
        <v>3790</v>
      </c>
      <c r="AP1368" s="25">
        <f t="shared" si="594"/>
        <v>0</v>
      </c>
      <c r="AQ1368" s="151" t="str">
        <f>IF(SUMIFS('Supp Consol'!S:S,'Supp Consol'!A:A,O1368,'Supp Consol'!I:I,"PENDING")=0,"",SUMIFS('Supp Consol'!S:S,'Supp Consol'!A:A,O1368,'Supp Consol'!I:I,"PENDING"))</f>
        <v/>
      </c>
      <c r="AR1368" s="27" t="str">
        <f t="shared" si="595"/>
        <v>WH005</v>
      </c>
      <c r="AS1368" s="27" t="str">
        <f t="shared" si="596"/>
        <v>50</v>
      </c>
      <c r="AT1368" s="27" t="str">
        <f t="shared" si="597"/>
        <v/>
      </c>
      <c r="AU1368" s="27" t="str">
        <f t="shared" si="598"/>
        <v/>
      </c>
      <c r="AV1368" s="27" t="str">
        <f t="shared" si="599"/>
        <v/>
      </c>
      <c r="AW1368" s="27" t="str">
        <f t="shared" si="600"/>
        <v/>
      </c>
      <c r="AX1368" s="27" t="str">
        <f t="shared" si="601"/>
        <v/>
      </c>
      <c r="AY1368" s="27" t="str">
        <f t="shared" si="602"/>
        <v>WH005</v>
      </c>
      <c r="AZ1368" s="27" t="str">
        <f t="shared" si="603"/>
        <v/>
      </c>
      <c r="BA1368" s="27" t="str">
        <f t="shared" si="604"/>
        <v>Hun</v>
      </c>
      <c r="BB1368" s="27" t="str">
        <f t="shared" si="605"/>
        <v/>
      </c>
      <c r="BC1368" s="27" t="str">
        <f t="shared" si="606"/>
        <v/>
      </c>
      <c r="BD1368" s="27" t="str">
        <f t="shared" si="607"/>
        <v/>
      </c>
      <c r="BE1368" s="27" t="str">
        <f t="shared" si="608"/>
        <v/>
      </c>
      <c r="BF1368" s="27" t="str">
        <f t="shared" si="609"/>
        <v/>
      </c>
      <c r="BG1368" s="27" t="str">
        <f t="shared" si="610"/>
        <v/>
      </c>
      <c r="BH1368" s="27" t="str">
        <f t="shared" si="611"/>
        <v/>
      </c>
      <c r="BI1368" s="27" t="str">
        <f t="shared" si="612"/>
        <v/>
      </c>
      <c r="BJ1368" s="27" t="str">
        <f t="shared" si="613"/>
        <v>Supp or Hun</v>
      </c>
      <c r="BK1368" s="27" t="str">
        <f t="shared" si="614"/>
        <v/>
      </c>
      <c r="BL1368" s="27" t="str">
        <f t="shared" si="615"/>
        <v/>
      </c>
      <c r="BM1368" s="21" t="s">
        <v>5581</v>
      </c>
    </row>
    <row r="1369" spans="1:65" ht="15">
      <c r="A1369" s="25">
        <f>IFERROR(INDEX('Hun Demand'!W:W,MATCH(O1369,'Hun Demand'!A:A,0)),"")</f>
        <v>0</v>
      </c>
      <c r="B1369" s="25">
        <f>IFERROR(INDEX('Hun Demand'!V:V,MATCH(O1369,'Hun Demand'!A:A,0)),"")</f>
        <v>0</v>
      </c>
      <c r="C1369" s="25">
        <f>IFERROR(INDEX('Hun Demand'!U:U,MATCH(O1369,'Hun Demand'!A:A,0)),"")</f>
        <v>343</v>
      </c>
      <c r="D1369" s="25">
        <f>IFERROR(INDEX('Hun Demand'!T:T,MATCH(O1369,'Hun Demand'!A:A,0)),"")</f>
        <v>0</v>
      </c>
      <c r="E1369" s="25">
        <f>IFERROR(INDEX('Hun Demand'!S:S,MATCH(O1369,'Hun Demand'!A:A,0)),"")</f>
        <v>0</v>
      </c>
      <c r="F1369" s="25">
        <f>IFERROR(INDEX('Hun Demand'!R:R,MATCH(O1369,'Hun Demand'!A:A,0)),"")</f>
        <v>0</v>
      </c>
      <c r="G1369" s="25">
        <f>IFERROR(INDEX('Aub Demand'!W:W,MATCH(O1369,'Aub Demand'!A:A,0)),"")</f>
        <v>0</v>
      </c>
      <c r="H1369" s="25">
        <f>IFERROR(INDEX('Aub Demand'!V:V,MATCH(O1369,'Aub Demand'!A:A,0)),"")</f>
        <v>0</v>
      </c>
      <c r="I1369" s="25">
        <f>IFERROR(INDEX('Aub Demand'!U:U,MATCH(O1369,'Aub Demand'!A:A,0)),"")</f>
        <v>864</v>
      </c>
      <c r="J1369" s="25">
        <f>IFERROR(INDEX('Aub Demand'!T:T,MATCH(O1369,'Aub Demand'!A:A,0)),"")</f>
        <v>58</v>
      </c>
      <c r="K1369" s="25">
        <f>IFERROR(INDEX('Aub Demand'!S:S,MATCH(O1369,'Aub Demand'!A:A,0)),"")</f>
        <v>92</v>
      </c>
      <c r="L1369" s="25">
        <f>IFERROR(INDEX('Aub Demand'!R:R,MATCH(O1369,'Aub Demand'!A:A,0)),"")</f>
        <v>0</v>
      </c>
      <c r="O1369" s="27" t="s">
        <v>2966</v>
      </c>
      <c r="P1369" s="27" t="str">
        <f>IFERROR(INDEX('Aub Demand'!B:B,MATCH($O1369,'Aub Demand'!$A:$A,0)),"")</f>
        <v>RUGGED TRAIL</v>
      </c>
      <c r="Q1369" s="27" t="str">
        <f>IFERROR(INDEX('Aub Demand'!C:C,MATCH($O1369,'Aub Demand'!$A:$A,0)),"")</f>
        <v>SCHAT</v>
      </c>
      <c r="R1369" s="52">
        <f>IFERROR(IF(AR1370=AR1369,INDEX('Aub Demand'!K:K,MATCH($O1369,'Aub Demand'!$A:$A,0))-IF(AN1369="",0,AN1369)+AP1370,INDEX('Aub Demand'!K:K,MATCH($O1369,'Aub Demand'!$A:$A,0))-IF(AN1369="",0,AN1369)),"")</f>
        <v>1138</v>
      </c>
      <c r="S1369" s="53">
        <f t="shared" si="588"/>
        <v>14.4</v>
      </c>
      <c r="T1369" s="52" t="str">
        <f t="shared" si="589"/>
        <v/>
      </c>
      <c r="U1369" s="52">
        <f>IFERROR(IF(AR1370=AR1369,INDEX('Aub Demand'!Q:Q,MATCH($O1369,'Aub Demand'!$A:$A,0))-IF(AN1369="",0,AN1369)+AP1370,INDEX('Aub Demand'!Q:Q,MATCH($O1369,'Aub Demand'!$A:$A,0))-IF(AN1369="",0,AN1369)),"")</f>
        <v>1115</v>
      </c>
      <c r="V1369" s="53">
        <f t="shared" si="590"/>
        <v>14.1</v>
      </c>
      <c r="W1369" s="52" t="str">
        <f t="shared" si="591"/>
        <v/>
      </c>
      <c r="X1369" s="52">
        <f>IFERROR(IF(AND(AR1370=AR1369,AM1369&lt;&gt;""),INDEX('Aub Demand'!Q:Q,MATCH($O1369,'Aub Demand'!$A:$A,0))-IF(AN1369="",0,AN1369)+AP1370+AD1369+AL1369,IF(AR1370=AR1369,INDEX('Aub Demand'!Q:Q,MATCH($O1369,'Aub Demand'!$A:$A,0))-IF(AN1369="",0,AN1369)+AP1370+AD1369,IF(AM1369&lt;&gt;"",INDEX('Aub Demand'!Q:Q,MATCH($O1369,'Aub Demand'!$A:$A,0))-IF(AN1369="",0,AN1369)+AD1369+AL1369,INDEX('Aub Demand'!Q:Q,MATCH($O1369,'Aub Demand'!$A:$A,0))-IF(AN1369="",0,AN1369)+AD1369))),"")</f>
        <v>1115</v>
      </c>
      <c r="Y1369" s="53">
        <f t="shared" si="592"/>
        <v>14.1</v>
      </c>
      <c r="Z1369" s="52">
        <f>IF(L1369="","",INDEX('Aub Demand'!H:H,MATCH($O1369,'Aub Demand'!$A:$A,0)))</f>
        <v>338</v>
      </c>
      <c r="AA1369" s="52">
        <f t="shared" si="593"/>
        <v>478</v>
      </c>
      <c r="AB1369" s="52">
        <f>IFERROR(INDEX('Aub Demand'!L:L,MATCH($O1369,'Aub Demand'!$A:$A,0)),"")</f>
        <v>25</v>
      </c>
      <c r="AC1369" s="52">
        <f>IFERROR(IF(O1369="","",SUMIFS('CPL Mats'!F:F,'CPL Mats'!Q:Q,AR1369,'CPL Mats'!S:S,AS1369)),"")</f>
        <v>0</v>
      </c>
      <c r="AF1369" s="25" t="str">
        <f>IF(SUMIFS('Supp Consol'!S:S,'Supp Consol'!Y:Y,"Releasable",'Supp Consol'!A:A,O1369)=0,"",SUMIFS('Supp Consol'!S:S,'Supp Consol'!Y:Y,"Releasable",'Supp Consol'!A:A,O1369))</f>
        <v/>
      </c>
      <c r="AG1369" s="25">
        <f>IFERROR(INDEX('Hun Demand'!Q:Q,MATCH(O1369,'Hun Demand'!A:A,0)),"")</f>
        <v>468</v>
      </c>
      <c r="AH1369" s="25">
        <f>IFERROR(INDEX('Hun Demand'!H:H,MATCH($O1369,'Hun Demand'!$A:$A,0)),"")</f>
        <v>114</v>
      </c>
      <c r="AI1369" s="25" t="str">
        <f>IF(SUMIFS('Supp Consol'!AA:AA,'Supp Consol'!Z:Z,"Expires this month",'Supp Consol'!A:A,O1369)=0,"",SUMIFS('Supp Consol'!AA:AA,'Supp Consol'!Z:Z,"Expires this month",'Supp Consol'!A:A,O1369))</f>
        <v/>
      </c>
      <c r="AJ1369" s="25" t="str">
        <f>IF(SUMIFS('Supp Consol'!AA:AA,'Supp Consol'!Z:Z,"Expired Previous Months",'Supp Consol'!A:A,O1369)=0,"",SUMIFS('Supp Consol'!AA:AA,'Supp Consol'!Z:Z,"Expired Previous Months",'Supp Consol'!A:A,O1369))</f>
        <v/>
      </c>
      <c r="AK1369" s="25" t="str">
        <f>IFERROR(INDEX('Hun Release Current'!B:B,MATCH(O1369,'Hun Release Current'!A:A,0)),"")</f>
        <v/>
      </c>
      <c r="AL1369" s="25" t="str">
        <f>IF(SUMIF('Prev Aub'!A:A,O1369,'Prev Aub'!B:B)=0,"",SUMIF('Prev Aub'!A:A,O1369,'Prev Aub'!B:B))</f>
        <v/>
      </c>
      <c r="AN1369" s="25" t="s">
        <v>3790</v>
      </c>
      <c r="AO1369" s="25" t="s">
        <v>3790</v>
      </c>
      <c r="AP1369" s="25">
        <f t="shared" si="594"/>
        <v>0</v>
      </c>
      <c r="AQ1369" s="151" t="str">
        <f>IF(SUMIFS('Supp Consol'!S:S,'Supp Consol'!A:A,O1369,'Supp Consol'!I:I,"PENDING")=0,"",SUMIFS('Supp Consol'!S:S,'Supp Consol'!A:A,O1369,'Supp Consol'!I:I,"PENDING"))</f>
        <v/>
      </c>
      <c r="AR1369" s="27" t="str">
        <f t="shared" si="595"/>
        <v>WH005</v>
      </c>
      <c r="AS1369" s="27" t="str">
        <f t="shared" si="596"/>
        <v>62</v>
      </c>
      <c r="AT1369" s="27" t="str">
        <f t="shared" si="597"/>
        <v/>
      </c>
      <c r="AU1369" s="27" t="str">
        <f t="shared" si="598"/>
        <v/>
      </c>
      <c r="AV1369" s="27" t="str">
        <f t="shared" si="599"/>
        <v/>
      </c>
      <c r="AW1369" s="27" t="str">
        <f t="shared" si="600"/>
        <v/>
      </c>
      <c r="AX1369" s="27" t="str">
        <f t="shared" si="601"/>
        <v/>
      </c>
      <c r="AY1369" s="27" t="str">
        <f t="shared" si="602"/>
        <v>WH005</v>
      </c>
      <c r="AZ1369" s="27" t="str">
        <f t="shared" si="603"/>
        <v/>
      </c>
      <c r="BA1369" s="27" t="str">
        <f t="shared" si="604"/>
        <v>Hun</v>
      </c>
      <c r="BB1369" s="27" t="str">
        <f t="shared" si="605"/>
        <v/>
      </c>
      <c r="BC1369" s="27" t="str">
        <f t="shared" si="606"/>
        <v/>
      </c>
      <c r="BD1369" s="27" t="str">
        <f t="shared" si="607"/>
        <v/>
      </c>
      <c r="BE1369" s="27" t="str">
        <f t="shared" si="608"/>
        <v/>
      </c>
      <c r="BF1369" s="27" t="str">
        <f t="shared" si="609"/>
        <v/>
      </c>
      <c r="BG1369" s="27" t="str">
        <f t="shared" si="610"/>
        <v/>
      </c>
      <c r="BH1369" s="27" t="str">
        <f t="shared" si="611"/>
        <v/>
      </c>
      <c r="BI1369" s="27" t="str">
        <f t="shared" si="612"/>
        <v/>
      </c>
      <c r="BJ1369" s="27" t="str">
        <f t="shared" si="613"/>
        <v>Supp or Hun</v>
      </c>
      <c r="BK1369" s="27" t="str">
        <f t="shared" si="614"/>
        <v/>
      </c>
      <c r="BL1369" s="27" t="str">
        <f t="shared" si="615"/>
        <v/>
      </c>
      <c r="BM1369" s="21" t="s">
        <v>5581</v>
      </c>
    </row>
    <row r="1370" spans="1:65" ht="15">
      <c r="A1370" s="25">
        <f>IFERROR(INDEX('Hun Demand'!W:W,MATCH(O1370,'Hun Demand'!A:A,0)),"")</f>
        <v>0</v>
      </c>
      <c r="B1370" s="25">
        <f>IFERROR(INDEX('Hun Demand'!V:V,MATCH(O1370,'Hun Demand'!A:A,0)),"")</f>
        <v>84</v>
      </c>
      <c r="C1370" s="25">
        <f>IFERROR(INDEX('Hun Demand'!U:U,MATCH(O1370,'Hun Demand'!A:A,0)),"")</f>
        <v>0</v>
      </c>
      <c r="D1370" s="25">
        <f>IFERROR(INDEX('Hun Demand'!T:T,MATCH(O1370,'Hun Demand'!A:A,0)),"")</f>
        <v>1210</v>
      </c>
      <c r="E1370" s="25">
        <f>IFERROR(INDEX('Hun Demand'!S:S,MATCH(O1370,'Hun Demand'!A:A,0)),"")</f>
        <v>0</v>
      </c>
      <c r="F1370" s="25">
        <f>IFERROR(INDEX('Hun Demand'!R:R,MATCH(O1370,'Hun Demand'!A:A,0)),"")</f>
        <v>0</v>
      </c>
      <c r="G1370" s="25">
        <f>IFERROR(INDEX('Aub Demand'!W:W,MATCH(O1370,'Aub Demand'!A:A,0)),"")</f>
        <v>302</v>
      </c>
      <c r="H1370" s="25">
        <f>IFERROR(INDEX('Aub Demand'!V:V,MATCH(O1370,'Aub Demand'!A:A,0)),"")</f>
        <v>424</v>
      </c>
      <c r="I1370" s="25">
        <f>IFERROR(INDEX('Aub Demand'!U:U,MATCH(O1370,'Aub Demand'!A:A,0)),"")</f>
        <v>612</v>
      </c>
      <c r="J1370" s="25">
        <f>IFERROR(INDEX('Aub Demand'!T:T,MATCH(O1370,'Aub Demand'!A:A,0)),"")</f>
        <v>343</v>
      </c>
      <c r="K1370" s="25">
        <f>IFERROR(INDEX('Aub Demand'!S:S,MATCH(O1370,'Aub Demand'!A:A,0)),"")</f>
        <v>210</v>
      </c>
      <c r="L1370" s="25">
        <f>IFERROR(INDEX('Aub Demand'!R:R,MATCH(O1370,'Aub Demand'!A:A,0)),"")</f>
        <v>2001</v>
      </c>
      <c r="O1370" s="27" t="s">
        <v>2967</v>
      </c>
      <c r="P1370" s="27" t="str">
        <f>IFERROR(INDEX('Aub Demand'!B:B,MATCH($O1370,'Aub Demand'!$A:$A,0)),"")</f>
        <v>GLISTENING TRAIL</v>
      </c>
      <c r="Q1370" s="27" t="str">
        <f>IFERROR(INDEX('Aub Demand'!C:C,MATCH($O1370,'Aub Demand'!$A:$A,0)),"")</f>
        <v>SCHAT</v>
      </c>
      <c r="R1370" s="52">
        <f>IFERROR(IF(AR1371=AR1370,INDEX('Aub Demand'!K:K,MATCH($O1370,'Aub Demand'!$A:$A,0))-IF(AN1370="",0,AN1370)+AP1371,INDEX('Aub Demand'!K:K,MATCH($O1370,'Aub Demand'!$A:$A,0))-IF(AN1370="",0,AN1370)),"")</f>
        <v>5685</v>
      </c>
      <c r="S1370" s="53">
        <f t="shared" si="588"/>
        <v>62.8</v>
      </c>
      <c r="T1370" s="52" t="str">
        <f t="shared" si="589"/>
        <v/>
      </c>
      <c r="U1370" s="52">
        <f>IFERROR(IF(AR1371=AR1370,INDEX('Aub Demand'!Q:Q,MATCH($O1370,'Aub Demand'!$A:$A,0))-IF(AN1370="",0,AN1370)+AP1371,INDEX('Aub Demand'!Q:Q,MATCH($O1370,'Aub Demand'!$A:$A,0))-IF(AN1370="",0,AN1370)),"")</f>
        <v>5184</v>
      </c>
      <c r="V1370" s="53">
        <f t="shared" si="590"/>
        <v>57.3</v>
      </c>
      <c r="W1370" s="52" t="str">
        <f t="shared" si="591"/>
        <v/>
      </c>
      <c r="X1370" s="52">
        <f>IFERROR(IF(AND(AR1371=AR1370,AM1370&lt;&gt;""),INDEX('Aub Demand'!Q:Q,MATCH($O1370,'Aub Demand'!$A:$A,0))-IF(AN1370="",0,AN1370)+AP1371+AD1370+AL1370,IF(AR1371=AR1370,INDEX('Aub Demand'!Q:Q,MATCH($O1370,'Aub Demand'!$A:$A,0))-IF(AN1370="",0,AN1370)+AP1371+AD1370,IF(AM1370&lt;&gt;"",INDEX('Aub Demand'!Q:Q,MATCH($O1370,'Aub Demand'!$A:$A,0))-IF(AN1370="",0,AN1370)+AD1370+AL1370,INDEX('Aub Demand'!Q:Q,MATCH($O1370,'Aub Demand'!$A:$A,0))-IF(AN1370="",0,AN1370)+AD1370))),"")</f>
        <v>5184</v>
      </c>
      <c r="Y1370" s="53">
        <f t="shared" si="592"/>
        <v>57.3</v>
      </c>
      <c r="Z1370" s="52">
        <f>IF(L1370="","",INDEX('Aub Demand'!H:H,MATCH($O1370,'Aub Demand'!$A:$A,0)))</f>
        <v>388</v>
      </c>
      <c r="AA1370" s="52">
        <f t="shared" si="593"/>
        <v>1306.5</v>
      </c>
      <c r="AB1370" s="52">
        <f>IFERROR(INDEX('Aub Demand'!L:L,MATCH($O1370,'Aub Demand'!$A:$A,0)),"")</f>
        <v>509</v>
      </c>
      <c r="AC1370" s="52">
        <f>IFERROR(IF(O1370="","",SUMIFS('CPL Mats'!F:F,'CPL Mats'!Q:Q,AR1370,'CPL Mats'!S:S,AS1370)),"")</f>
        <v>3793</v>
      </c>
      <c r="AF1370" s="25" t="str">
        <f>IF(SUMIFS('Supp Consol'!S:S,'Supp Consol'!Y:Y,"Releasable",'Supp Consol'!A:A,O1370)=0,"",SUMIFS('Supp Consol'!S:S,'Supp Consol'!Y:Y,"Releasable",'Supp Consol'!A:A,O1370))</f>
        <v/>
      </c>
      <c r="AG1370" s="25">
        <f>IFERROR(INDEX('Hun Demand'!Q:Q,MATCH(O1370,'Hun Demand'!A:A,0)),"")</f>
        <v>-1162</v>
      </c>
      <c r="AH1370" s="25">
        <f>IFERROR(INDEX('Hun Demand'!H:H,MATCH($O1370,'Hun Demand'!$A:$A,0)),"")</f>
        <v>403</v>
      </c>
      <c r="AI1370" s="25" t="str">
        <f>IF(SUMIFS('Supp Consol'!AA:AA,'Supp Consol'!Z:Z,"Expires this month",'Supp Consol'!A:A,O1370)=0,"",SUMIFS('Supp Consol'!AA:AA,'Supp Consol'!Z:Z,"Expires this month",'Supp Consol'!A:A,O1370))</f>
        <v/>
      </c>
      <c r="AJ1370" s="25" t="str">
        <f>IF(SUMIFS('Supp Consol'!AA:AA,'Supp Consol'!Z:Z,"Expired Previous Months",'Supp Consol'!A:A,O1370)=0,"",SUMIFS('Supp Consol'!AA:AA,'Supp Consol'!Z:Z,"Expired Previous Months",'Supp Consol'!A:A,O1370))</f>
        <v/>
      </c>
      <c r="AK1370" s="25" t="str">
        <f>IFERROR(INDEX('Hun Release Current'!B:B,MATCH(O1370,'Hun Release Current'!A:A,0)),"")</f>
        <v/>
      </c>
      <c r="AL1370" s="25" t="str">
        <f>IF(SUMIF('Prev Aub'!A:A,O1370,'Prev Aub'!B:B)=0,"",SUMIF('Prev Aub'!A:A,O1370,'Prev Aub'!B:B))</f>
        <v/>
      </c>
      <c r="AN1370" s="25" t="s">
        <v>3790</v>
      </c>
      <c r="AO1370" s="25" t="s">
        <v>3790</v>
      </c>
      <c r="AP1370" s="25">
        <f t="shared" si="594"/>
        <v>0</v>
      </c>
      <c r="AQ1370" s="151" t="str">
        <f>IF(SUMIFS('Supp Consol'!S:S,'Supp Consol'!A:A,O1370,'Supp Consol'!I:I,"PENDING")=0,"",SUMIFS('Supp Consol'!S:S,'Supp Consol'!A:A,O1370,'Supp Consol'!I:I,"PENDING"))</f>
        <v/>
      </c>
      <c r="AR1370" s="27" t="str">
        <f t="shared" si="595"/>
        <v>WH100</v>
      </c>
      <c r="AS1370" s="27" t="str">
        <f t="shared" si="596"/>
        <v>50</v>
      </c>
      <c r="AT1370" s="27" t="str">
        <f t="shared" si="597"/>
        <v/>
      </c>
      <c r="AU1370" s="27" t="str">
        <f t="shared" si="598"/>
        <v/>
      </c>
      <c r="AV1370" s="27" t="str">
        <f t="shared" si="599"/>
        <v/>
      </c>
      <c r="AW1370" s="27" t="str">
        <f t="shared" si="600"/>
        <v/>
      </c>
      <c r="AX1370" s="27" t="str">
        <f t="shared" si="601"/>
        <v/>
      </c>
      <c r="AY1370" s="27" t="str">
        <f t="shared" si="602"/>
        <v/>
      </c>
      <c r="AZ1370" s="27" t="str">
        <f t="shared" si="603"/>
        <v/>
      </c>
      <c r="BA1370" s="27" t="str">
        <f t="shared" si="604"/>
        <v>Hun</v>
      </c>
      <c r="BB1370" s="27" t="str">
        <f t="shared" si="605"/>
        <v/>
      </c>
      <c r="BC1370" s="27" t="str">
        <f t="shared" si="606"/>
        <v/>
      </c>
      <c r="BD1370" s="27" t="str">
        <f t="shared" si="607"/>
        <v/>
      </c>
      <c r="BE1370" s="27" t="str">
        <f t="shared" si="608"/>
        <v/>
      </c>
      <c r="BF1370" s="27" t="str">
        <f t="shared" si="609"/>
        <v/>
      </c>
      <c r="BG1370" s="27" t="str">
        <f t="shared" si="610"/>
        <v/>
      </c>
      <c r="BH1370" s="27" t="str">
        <f t="shared" si="611"/>
        <v/>
      </c>
      <c r="BI1370" s="27" t="str">
        <f t="shared" si="612"/>
        <v/>
      </c>
      <c r="BJ1370" s="27" t="str">
        <f t="shared" si="613"/>
        <v>Supp or Hun</v>
      </c>
      <c r="BK1370" s="27" t="str">
        <f t="shared" si="614"/>
        <v/>
      </c>
      <c r="BL1370" s="27" t="str">
        <f t="shared" si="615"/>
        <v/>
      </c>
      <c r="BM1370" s="21" t="s">
        <v>5581</v>
      </c>
    </row>
    <row r="1371" spans="1:65" ht="15">
      <c r="A1371" s="25">
        <f>IFERROR(INDEX('Hun Demand'!W:W,MATCH(O1371,'Hun Demand'!A:A,0)),"")</f>
        <v>948</v>
      </c>
      <c r="B1371" s="25">
        <f>IFERROR(INDEX('Hun Demand'!V:V,MATCH(O1371,'Hun Demand'!A:A,0)),"")</f>
        <v>0</v>
      </c>
      <c r="C1371" s="25">
        <f>IFERROR(INDEX('Hun Demand'!U:U,MATCH(O1371,'Hun Demand'!A:A,0)),"")</f>
        <v>490</v>
      </c>
      <c r="D1371" s="25">
        <f>IFERROR(INDEX('Hun Demand'!T:T,MATCH(O1371,'Hun Demand'!A:A,0)),"")</f>
        <v>0</v>
      </c>
      <c r="E1371" s="25">
        <f>IFERROR(INDEX('Hun Demand'!S:S,MATCH(O1371,'Hun Demand'!A:A,0)),"")</f>
        <v>2334</v>
      </c>
      <c r="F1371" s="25">
        <f>IFERROR(INDEX('Hun Demand'!R:R,MATCH(O1371,'Hun Demand'!A:A,0)),"")</f>
        <v>345</v>
      </c>
      <c r="G1371" s="25">
        <f>IFERROR(INDEX('Aub Demand'!W:W,MATCH(O1371,'Aub Demand'!A:A,0)),"")</f>
        <v>940</v>
      </c>
      <c r="H1371" s="25">
        <f>IFERROR(INDEX('Aub Demand'!V:V,MATCH(O1371,'Aub Demand'!A:A,0)),"")</f>
        <v>48</v>
      </c>
      <c r="I1371" s="25">
        <f>IFERROR(INDEX('Aub Demand'!U:U,MATCH(O1371,'Aub Demand'!A:A,0)),"")</f>
        <v>158</v>
      </c>
      <c r="J1371" s="25">
        <f>IFERROR(INDEX('Aub Demand'!T:T,MATCH(O1371,'Aub Demand'!A:A,0)),"")</f>
        <v>248</v>
      </c>
      <c r="K1371" s="25">
        <f>IFERROR(INDEX('Aub Demand'!S:S,MATCH(O1371,'Aub Demand'!A:A,0)),"")</f>
        <v>3783</v>
      </c>
      <c r="L1371" s="25">
        <f>IFERROR(INDEX('Aub Demand'!R:R,MATCH(O1371,'Aub Demand'!A:A,0)),"")</f>
        <v>0</v>
      </c>
      <c r="O1371" s="27" t="s">
        <v>2969</v>
      </c>
      <c r="P1371" s="27" t="str">
        <f>IFERROR(INDEX('Aub Demand'!B:B,MATCH($O1371,'Aub Demand'!$A:$A,0)),"")</f>
        <v>GLISTENING TRAIL</v>
      </c>
      <c r="Q1371" s="27" t="str">
        <f>IFERROR(INDEX('Aub Demand'!C:C,MATCH($O1371,'Aub Demand'!$A:$A,0)),"")</f>
        <v>SCHAT</v>
      </c>
      <c r="R1371" s="52">
        <f>IFERROR(IF(AR1372=AR1371,INDEX('Aub Demand'!K:K,MATCH($O1371,'Aub Demand'!$A:$A,0))-IF(AN1371="",0,AN1371)+AP1372,INDEX('Aub Demand'!K:K,MATCH($O1371,'Aub Demand'!$A:$A,0))-IF(AN1371="",0,AN1371)),"")</f>
        <v>22643</v>
      </c>
      <c r="S1371" s="53">
        <f t="shared" si="588"/>
        <v>69.5</v>
      </c>
      <c r="T1371" s="52" t="str">
        <f t="shared" si="589"/>
        <v/>
      </c>
      <c r="U1371" s="52">
        <f>IFERROR(IF(AR1372=AR1371,INDEX('Aub Demand'!Q:Q,MATCH($O1371,'Aub Demand'!$A:$A,0))-IF(AN1371="",0,AN1371)+AP1372,INDEX('Aub Demand'!Q:Q,MATCH($O1371,'Aub Demand'!$A:$A,0))-IF(AN1371="",0,AN1371)),"")</f>
        <v>22568</v>
      </c>
      <c r="V1371" s="53">
        <f t="shared" si="590"/>
        <v>69.3</v>
      </c>
      <c r="W1371" s="52" t="str">
        <f t="shared" si="591"/>
        <v/>
      </c>
      <c r="X1371" s="52">
        <f>IFERROR(IF(AND(AR1372=AR1371,AM1371&lt;&gt;""),INDEX('Aub Demand'!Q:Q,MATCH($O1371,'Aub Demand'!$A:$A,0))-IF(AN1371="",0,AN1371)+AP1372+AD1371+AL1371,IF(AR1372=AR1371,INDEX('Aub Demand'!Q:Q,MATCH($O1371,'Aub Demand'!$A:$A,0))-IF(AN1371="",0,AN1371)+AP1372+AD1371,IF(AM1371&lt;&gt;"",INDEX('Aub Demand'!Q:Q,MATCH($O1371,'Aub Demand'!$A:$A,0))-IF(AN1371="",0,AN1371)+AD1371+AL1371,INDEX('Aub Demand'!Q:Q,MATCH($O1371,'Aub Demand'!$A:$A,0))-IF(AN1371="",0,AN1371)+AD1371))),"")</f>
        <v>22568</v>
      </c>
      <c r="Y1371" s="53">
        <f t="shared" si="592"/>
        <v>69.3</v>
      </c>
      <c r="Z1371" s="52">
        <f>IF(L1371="","",INDEX('Aub Demand'!H:H,MATCH($O1371,'Aub Demand'!$A:$A,0)))</f>
        <v>1396</v>
      </c>
      <c r="AA1371" s="52">
        <f t="shared" si="593"/>
        <v>2015.5</v>
      </c>
      <c r="AB1371" s="52">
        <f>IFERROR(INDEX('Aub Demand'!L:L,MATCH($O1371,'Aub Demand'!$A:$A,0)),"")</f>
        <v>49</v>
      </c>
      <c r="AC1371" s="52">
        <f>IFERROR(IF(O1371="","",SUMIFS('CPL Mats'!F:F,'CPL Mats'!Q:Q,AR1371,'CPL Mats'!S:S,AS1371)),"")</f>
        <v>0</v>
      </c>
      <c r="AF1371" s="25" t="str">
        <f>IF(SUMIFS('Supp Consol'!S:S,'Supp Consol'!Y:Y,"Releasable",'Supp Consol'!A:A,O1371)=0,"",SUMIFS('Supp Consol'!S:S,'Supp Consol'!Y:Y,"Releasable",'Supp Consol'!A:A,O1371))</f>
        <v/>
      </c>
      <c r="AG1371" s="25">
        <f>IFERROR(INDEX('Hun Demand'!Q:Q,MATCH(O1371,'Hun Demand'!A:A,0)),"")</f>
        <v>1309</v>
      </c>
      <c r="AH1371" s="25">
        <f>IFERROR(INDEX('Hun Demand'!H:H,MATCH($O1371,'Hun Demand'!$A:$A,0)),"")</f>
        <v>941</v>
      </c>
      <c r="AI1371" s="25" t="str">
        <f>IF(SUMIFS('Supp Consol'!AA:AA,'Supp Consol'!Z:Z,"Expires this month",'Supp Consol'!A:A,O1371)=0,"",SUMIFS('Supp Consol'!AA:AA,'Supp Consol'!Z:Z,"Expires this month",'Supp Consol'!A:A,O1371))</f>
        <v/>
      </c>
      <c r="AJ1371" s="25" t="str">
        <f>IF(SUMIFS('Supp Consol'!AA:AA,'Supp Consol'!Z:Z,"Expired Previous Months",'Supp Consol'!A:A,O1371)=0,"",SUMIFS('Supp Consol'!AA:AA,'Supp Consol'!Z:Z,"Expired Previous Months",'Supp Consol'!A:A,O1371))</f>
        <v/>
      </c>
      <c r="AK1371" s="25" t="str">
        <f>IFERROR(INDEX('Hun Release Current'!B:B,MATCH(O1371,'Hun Release Current'!A:A,0)),"")</f>
        <v/>
      </c>
      <c r="AL1371" s="25" t="str">
        <f>IF(SUMIF('Prev Aub'!A:A,O1371,'Prev Aub'!B:B)=0,"",SUMIF('Prev Aub'!A:A,O1371,'Prev Aub'!B:B))</f>
        <v/>
      </c>
      <c r="AN1371" s="25" t="s">
        <v>3790</v>
      </c>
      <c r="AO1371" s="25" t="s">
        <v>3790</v>
      </c>
      <c r="AP1371" s="25">
        <f t="shared" si="594"/>
        <v>0</v>
      </c>
      <c r="AQ1371" s="151" t="str">
        <f>IF(SUMIFS('Supp Consol'!S:S,'Supp Consol'!A:A,O1371,'Supp Consol'!I:I,"PENDING")=0,"",SUMIFS('Supp Consol'!S:S,'Supp Consol'!A:A,O1371,'Supp Consol'!I:I,"PENDING"))</f>
        <v/>
      </c>
      <c r="AR1371" s="27" t="str">
        <f t="shared" si="595"/>
        <v>WH100</v>
      </c>
      <c r="AS1371" s="27" t="str">
        <f t="shared" si="596"/>
        <v>62</v>
      </c>
      <c r="AT1371" s="27" t="str">
        <f t="shared" si="597"/>
        <v/>
      </c>
      <c r="AU1371" s="27" t="str">
        <f t="shared" si="598"/>
        <v/>
      </c>
      <c r="AV1371" s="27" t="str">
        <f t="shared" si="599"/>
        <v/>
      </c>
      <c r="AW1371" s="27" t="str">
        <f t="shared" si="600"/>
        <v/>
      </c>
      <c r="AX1371" s="27" t="str">
        <f t="shared" si="601"/>
        <v/>
      </c>
      <c r="AY1371" s="27" t="str">
        <f t="shared" si="602"/>
        <v>WH100</v>
      </c>
      <c r="AZ1371" s="27" t="str">
        <f t="shared" si="603"/>
        <v/>
      </c>
      <c r="BA1371" s="27" t="str">
        <f t="shared" si="604"/>
        <v>Hun</v>
      </c>
      <c r="BB1371" s="27" t="str">
        <f t="shared" si="605"/>
        <v/>
      </c>
      <c r="BC1371" s="27" t="str">
        <f t="shared" si="606"/>
        <v/>
      </c>
      <c r="BD1371" s="27" t="str">
        <f t="shared" si="607"/>
        <v/>
      </c>
      <c r="BE1371" s="27" t="str">
        <f t="shared" si="608"/>
        <v/>
      </c>
      <c r="BF1371" s="27" t="str">
        <f t="shared" si="609"/>
        <v/>
      </c>
      <c r="BG1371" s="27" t="str">
        <f t="shared" si="610"/>
        <v/>
      </c>
      <c r="BH1371" s="27" t="str">
        <f t="shared" si="611"/>
        <v/>
      </c>
      <c r="BI1371" s="27" t="str">
        <f t="shared" si="612"/>
        <v/>
      </c>
      <c r="BJ1371" s="27" t="str">
        <f t="shared" si="613"/>
        <v>Supp or Hun</v>
      </c>
      <c r="BK1371" s="27" t="str">
        <f t="shared" si="614"/>
        <v/>
      </c>
      <c r="BL1371" s="27" t="str">
        <f t="shared" si="615"/>
        <v/>
      </c>
      <c r="BM1371" s="21" t="s">
        <v>5581</v>
      </c>
    </row>
    <row r="1372" spans="1:65" ht="15">
      <c r="A1372" s="25" t="str">
        <f>IFERROR(INDEX('Hun Demand'!W:W,MATCH(O1372,'Hun Demand'!A:A,0)),"")</f>
        <v/>
      </c>
      <c r="B1372" s="25" t="str">
        <f>IFERROR(INDEX('Hun Demand'!V:V,MATCH(O1372,'Hun Demand'!A:A,0)),"")</f>
        <v/>
      </c>
      <c r="C1372" s="25" t="str">
        <f>IFERROR(INDEX('Hun Demand'!U:U,MATCH(O1372,'Hun Demand'!A:A,0)),"")</f>
        <v/>
      </c>
      <c r="D1372" s="25" t="str">
        <f>IFERROR(INDEX('Hun Demand'!T:T,MATCH(O1372,'Hun Demand'!A:A,0)),"")</f>
        <v/>
      </c>
      <c r="E1372" s="25" t="str">
        <f>IFERROR(INDEX('Hun Demand'!S:S,MATCH(O1372,'Hun Demand'!A:A,0)),"")</f>
        <v/>
      </c>
      <c r="F1372" s="25" t="str">
        <f>IFERROR(INDEX('Hun Demand'!R:R,MATCH(O1372,'Hun Demand'!A:A,0)),"")</f>
        <v/>
      </c>
      <c r="G1372" s="25">
        <f>IFERROR(INDEX('Aub Demand'!W:W,MATCH(O1372,'Aub Demand'!A:A,0)),"")</f>
        <v>0</v>
      </c>
      <c r="H1372" s="25">
        <f>IFERROR(INDEX('Aub Demand'!V:V,MATCH(O1372,'Aub Demand'!A:A,0)),"")</f>
        <v>0</v>
      </c>
      <c r="I1372" s="25">
        <f>IFERROR(INDEX('Aub Demand'!U:U,MATCH(O1372,'Aub Demand'!A:A,0)),"")</f>
        <v>0</v>
      </c>
      <c r="J1372" s="25">
        <f>IFERROR(INDEX('Aub Demand'!T:T,MATCH(O1372,'Aub Demand'!A:A,0)),"")</f>
        <v>8</v>
      </c>
      <c r="K1372" s="25">
        <f>IFERROR(INDEX('Aub Demand'!S:S,MATCH(O1372,'Aub Demand'!A:A,0)),"")</f>
        <v>0</v>
      </c>
      <c r="L1372" s="25">
        <f>IFERROR(INDEX('Aub Demand'!R:R,MATCH(O1372,'Aub Demand'!A:A,0)),"")</f>
        <v>3</v>
      </c>
      <c r="O1372" s="27" t="s">
        <v>1692</v>
      </c>
      <c r="P1372" s="27" t="str">
        <f>IFERROR(INDEX('Aub Demand'!B:B,MATCH($O1372,'Aub Demand'!$A:$A,0)),"")</f>
        <v>HOUSE OF CHEVRON</v>
      </c>
      <c r="Q1372" s="27" t="str">
        <f>IFERROR(INDEX('Aub Demand'!C:C,MATCH($O1372,'Aub Demand'!$A:$A,0)),"")</f>
        <v>SUDDE</v>
      </c>
      <c r="R1372" s="52">
        <f>IFERROR(IF(AR1373=AR1372,INDEX('Aub Demand'!K:K,MATCH($O1372,'Aub Demand'!$A:$A,0))-IF(AN1372="",0,AN1372)+AP1373,INDEX('Aub Demand'!K:K,MATCH($O1372,'Aub Demand'!$A:$A,0))-IF(AN1372="",0,AN1372)),"")</f>
        <v>1274</v>
      </c>
      <c r="S1372" s="53">
        <f t="shared" si="588"/>
        <v>1820</v>
      </c>
      <c r="T1372" s="52" t="str">
        <f t="shared" si="589"/>
        <v/>
      </c>
      <c r="U1372" s="52">
        <f>IFERROR(IF(AR1373=AR1372,INDEX('Aub Demand'!Q:Q,MATCH($O1372,'Aub Demand'!$A:$A,0))-IF(AN1372="",0,AN1372)+AP1373,INDEX('Aub Demand'!Q:Q,MATCH($O1372,'Aub Demand'!$A:$A,0))-IF(AN1372="",0,AN1372)),"")</f>
        <v>1270</v>
      </c>
      <c r="V1372" s="53">
        <f t="shared" si="590"/>
        <v>1814.3</v>
      </c>
      <c r="W1372" s="52" t="str">
        <f t="shared" si="591"/>
        <v/>
      </c>
      <c r="X1372" s="52">
        <f>IFERROR(IF(AND(AR1373=AR1372,AM1372&lt;&gt;""),INDEX('Aub Demand'!Q:Q,MATCH($O1372,'Aub Demand'!$A:$A,0))-IF(AN1372="",0,AN1372)+AP1373+AD1372+AL1372,IF(AR1373=AR1372,INDEX('Aub Demand'!Q:Q,MATCH($O1372,'Aub Demand'!$A:$A,0))-IF(AN1372="",0,AN1372)+AP1373+AD1372,IF(AM1372&lt;&gt;"",INDEX('Aub Demand'!Q:Q,MATCH($O1372,'Aub Demand'!$A:$A,0))-IF(AN1372="",0,AN1372)+AD1372+AL1372,INDEX('Aub Demand'!Q:Q,MATCH($O1372,'Aub Demand'!$A:$A,0))-IF(AN1372="",0,AN1372)+AD1372))),"")</f>
        <v>1270</v>
      </c>
      <c r="Y1372" s="53">
        <f t="shared" si="592"/>
        <v>1814.3</v>
      </c>
      <c r="Z1372" s="52">
        <f>IF(L1372="","",INDEX('Aub Demand'!H:H,MATCH($O1372,'Aub Demand'!$A:$A,0)))</f>
        <v>3</v>
      </c>
      <c r="AA1372" s="52">
        <f t="shared" si="593"/>
        <v>5.5</v>
      </c>
      <c r="AB1372" s="52">
        <f>IFERROR(INDEX('Aub Demand'!L:L,MATCH($O1372,'Aub Demand'!$A:$A,0)),"")</f>
        <v>6</v>
      </c>
      <c r="AC1372" s="52">
        <f>IFERROR(IF(O1372="","",SUMIFS('CPL Mats'!F:F,'CPL Mats'!Q:Q,AR1372,'CPL Mats'!S:S,AS1372)),"")</f>
        <v>0</v>
      </c>
      <c r="AF1372" s="25" t="str">
        <f>IF(SUMIFS('Supp Consol'!S:S,'Supp Consol'!Y:Y,"Releasable",'Supp Consol'!A:A,O1372)=0,"",SUMIFS('Supp Consol'!S:S,'Supp Consol'!Y:Y,"Releasable",'Supp Consol'!A:A,O1372))</f>
        <v/>
      </c>
      <c r="AG1372" s="25" t="str">
        <f>IFERROR(INDEX('Hun Demand'!Q:Q,MATCH(O1372,'Hun Demand'!A:A,0)),"")</f>
        <v/>
      </c>
      <c r="AH1372" s="25" t="str">
        <f>IFERROR(INDEX('Hun Demand'!H:H,MATCH($O1372,'Hun Demand'!$A:$A,0)),"")</f>
        <v/>
      </c>
      <c r="AI1372" s="25" t="str">
        <f>IF(SUMIFS('Supp Consol'!AA:AA,'Supp Consol'!Z:Z,"Expires this month",'Supp Consol'!A:A,O1372)=0,"",SUMIFS('Supp Consol'!AA:AA,'Supp Consol'!Z:Z,"Expires this month",'Supp Consol'!A:A,O1372))</f>
        <v/>
      </c>
      <c r="AJ1372" s="25" t="str">
        <f>IF(SUMIFS('Supp Consol'!AA:AA,'Supp Consol'!Z:Z,"Expired Previous Months",'Supp Consol'!A:A,O1372)=0,"",SUMIFS('Supp Consol'!AA:AA,'Supp Consol'!Z:Z,"Expired Previous Months",'Supp Consol'!A:A,O1372))</f>
        <v/>
      </c>
      <c r="AK1372" s="25" t="str">
        <f>IFERROR(INDEX('Hun Release Current'!B:B,MATCH(O1372,'Hun Release Current'!A:A,0)),"")</f>
        <v/>
      </c>
      <c r="AL1372" s="25" t="str">
        <f>IF(SUMIF('Prev Aub'!A:A,O1372,'Prev Aub'!B:B)=0,"",SUMIF('Prev Aub'!A:A,O1372,'Prev Aub'!B:B))</f>
        <v/>
      </c>
      <c r="AN1372" s="25" t="s">
        <v>3790</v>
      </c>
      <c r="AO1372" s="25" t="s">
        <v>3790</v>
      </c>
      <c r="AP1372" s="25">
        <f t="shared" si="594"/>
        <v>0</v>
      </c>
      <c r="AQ1372" s="151" t="str">
        <f>IF(SUMIFS('Supp Consol'!S:S,'Supp Consol'!A:A,O1372,'Supp Consol'!I:I,"PENDING")=0,"",SUMIFS('Supp Consol'!S:S,'Supp Consol'!A:A,O1372,'Supp Consol'!I:I,"PENDING"))</f>
        <v/>
      </c>
      <c r="AR1372" s="27" t="str">
        <f t="shared" si="595"/>
        <v>WH110</v>
      </c>
      <c r="AS1372" s="27" t="str">
        <f t="shared" si="596"/>
        <v>50</v>
      </c>
      <c r="AT1372" s="27" t="str">
        <f t="shared" si="597"/>
        <v/>
      </c>
      <c r="AU1372" s="27" t="str">
        <f t="shared" si="598"/>
        <v/>
      </c>
      <c r="AV1372" s="27" t="str">
        <f t="shared" si="599"/>
        <v/>
      </c>
      <c r="AW1372" s="27" t="str">
        <f t="shared" si="600"/>
        <v/>
      </c>
      <c r="AX1372" s="27" t="str">
        <f t="shared" si="601"/>
        <v/>
      </c>
      <c r="AY1372" s="27" t="str">
        <f t="shared" si="602"/>
        <v/>
      </c>
      <c r="AZ1372" s="27" t="str">
        <f t="shared" si="603"/>
        <v/>
      </c>
      <c r="BA1372" s="27" t="str">
        <f t="shared" si="604"/>
        <v/>
      </c>
      <c r="BB1372" s="27" t="str">
        <f t="shared" si="605"/>
        <v/>
      </c>
      <c r="BC1372" s="27" t="str">
        <f t="shared" si="606"/>
        <v/>
      </c>
      <c r="BD1372" s="27" t="str">
        <f t="shared" si="607"/>
        <v/>
      </c>
      <c r="BE1372" s="27" t="str">
        <f t="shared" si="608"/>
        <v/>
      </c>
      <c r="BF1372" s="27" t="str">
        <f t="shared" si="609"/>
        <v/>
      </c>
      <c r="BG1372" s="27" t="str">
        <f t="shared" si="610"/>
        <v/>
      </c>
      <c r="BH1372" s="27" t="str">
        <f t="shared" si="611"/>
        <v/>
      </c>
      <c r="BI1372" s="27" t="str">
        <f t="shared" si="612"/>
        <v/>
      </c>
      <c r="BJ1372" s="27" t="str">
        <f t="shared" si="613"/>
        <v/>
      </c>
      <c r="BK1372" s="27" t="str">
        <f t="shared" si="614"/>
        <v/>
      </c>
      <c r="BL1372" s="27" t="str">
        <f t="shared" si="615"/>
        <v/>
      </c>
      <c r="BM1372" s="21" t="s">
        <v>5581</v>
      </c>
    </row>
    <row r="1373" spans="1:65" ht="15">
      <c r="A1373" s="25" t="str">
        <f>IFERROR(INDEX('Hun Demand'!W:W,MATCH(O1373,'Hun Demand'!A:A,0)),"")</f>
        <v/>
      </c>
      <c r="B1373" s="25" t="str">
        <f>IFERROR(INDEX('Hun Demand'!V:V,MATCH(O1373,'Hun Demand'!A:A,0)),"")</f>
        <v/>
      </c>
      <c r="C1373" s="25" t="str">
        <f>IFERROR(INDEX('Hun Demand'!U:U,MATCH(O1373,'Hun Demand'!A:A,0)),"")</f>
        <v/>
      </c>
      <c r="D1373" s="25" t="str">
        <f>IFERROR(INDEX('Hun Demand'!T:T,MATCH(O1373,'Hun Demand'!A:A,0)),"")</f>
        <v/>
      </c>
      <c r="E1373" s="25" t="str">
        <f>IFERROR(INDEX('Hun Demand'!S:S,MATCH(O1373,'Hun Demand'!A:A,0)),"")</f>
        <v/>
      </c>
      <c r="F1373" s="25" t="str">
        <f>IFERROR(INDEX('Hun Demand'!R:R,MATCH(O1373,'Hun Demand'!A:A,0)),"")</f>
        <v/>
      </c>
      <c r="G1373" s="25">
        <f>IFERROR(INDEX('Aub Demand'!W:W,MATCH(O1373,'Aub Demand'!A:A,0)),"")</f>
        <v>0</v>
      </c>
      <c r="H1373" s="25">
        <f>IFERROR(INDEX('Aub Demand'!V:V,MATCH(O1373,'Aub Demand'!A:A,0)),"")</f>
        <v>0</v>
      </c>
      <c r="I1373" s="25">
        <f>IFERROR(INDEX('Aub Demand'!U:U,MATCH(O1373,'Aub Demand'!A:A,0)),"")</f>
        <v>0</v>
      </c>
      <c r="J1373" s="25">
        <f>IFERROR(INDEX('Aub Demand'!T:T,MATCH(O1373,'Aub Demand'!A:A,0)),"")</f>
        <v>0</v>
      </c>
      <c r="K1373" s="25">
        <f>IFERROR(INDEX('Aub Demand'!S:S,MATCH(O1373,'Aub Demand'!A:A,0)),"")</f>
        <v>0</v>
      </c>
      <c r="L1373" s="25">
        <f>IFERROR(INDEX('Aub Demand'!R:R,MATCH(O1373,'Aub Demand'!A:A,0)),"")</f>
        <v>0</v>
      </c>
      <c r="O1373" s="27" t="s">
        <v>1694</v>
      </c>
      <c r="P1373" s="27" t="str">
        <f>IFERROR(INDEX('Aub Demand'!B:B,MATCH($O1373,'Aub Demand'!$A:$A,0)),"")</f>
        <v>HOUSE OF CHEVRON</v>
      </c>
      <c r="Q1373" s="27" t="str">
        <f>IFERROR(INDEX('Aub Demand'!C:C,MATCH($O1373,'Aub Demand'!$A:$A,0)),"")</f>
        <v>SUDDE</v>
      </c>
      <c r="R1373" s="52">
        <f>IFERROR(IF(AR1374=AR1373,INDEX('Aub Demand'!K:K,MATCH($O1373,'Aub Demand'!$A:$A,0))-IF(AN1373="",0,AN1373)+AP1374,INDEX('Aub Demand'!K:K,MATCH($O1373,'Aub Demand'!$A:$A,0))-IF(AN1373="",0,AN1373)),"")</f>
        <v>3362</v>
      </c>
      <c r="S1373" s="53" t="str">
        <f t="shared" si="588"/>
        <v>n/a</v>
      </c>
      <c r="T1373" s="52" t="str">
        <f t="shared" si="589"/>
        <v/>
      </c>
      <c r="U1373" s="52">
        <f>IFERROR(IF(AR1374=AR1373,INDEX('Aub Demand'!Q:Q,MATCH($O1373,'Aub Demand'!$A:$A,0))-IF(AN1373="",0,AN1373)+AP1374,INDEX('Aub Demand'!Q:Q,MATCH($O1373,'Aub Demand'!$A:$A,0))-IF(AN1373="",0,AN1373)),"")</f>
        <v>3362</v>
      </c>
      <c r="V1373" s="53" t="str">
        <f t="shared" si="590"/>
        <v>n/a</v>
      </c>
      <c r="W1373" s="52" t="str">
        <f t="shared" si="591"/>
        <v/>
      </c>
      <c r="X1373" s="52">
        <f>IFERROR(IF(AND(AR1374=AR1373,AM1373&lt;&gt;""),INDEX('Aub Demand'!Q:Q,MATCH($O1373,'Aub Demand'!$A:$A,0))-IF(AN1373="",0,AN1373)+AP1374+AD1373+AL1373,IF(AR1374=AR1373,INDEX('Aub Demand'!Q:Q,MATCH($O1373,'Aub Demand'!$A:$A,0))-IF(AN1373="",0,AN1373)+AP1374+AD1373,IF(AM1373&lt;&gt;"",INDEX('Aub Demand'!Q:Q,MATCH($O1373,'Aub Demand'!$A:$A,0))-IF(AN1373="",0,AN1373)+AD1373+AL1373,INDEX('Aub Demand'!Q:Q,MATCH($O1373,'Aub Demand'!$A:$A,0))-IF(AN1373="",0,AN1373)+AD1373))),"")</f>
        <v>3362</v>
      </c>
      <c r="Y1373" s="53" t="str">
        <f t="shared" si="592"/>
        <v>n/a</v>
      </c>
      <c r="Z1373" s="52">
        <f>IF(L1373="","",INDEX('Aub Demand'!H:H,MATCH($O1373,'Aub Demand'!$A:$A,0)))</f>
        <v>0</v>
      </c>
      <c r="AA1373" s="52" t="str">
        <f t="shared" si="593"/>
        <v>-spike-</v>
      </c>
      <c r="AB1373" s="52">
        <f>IFERROR(INDEX('Aub Demand'!L:L,MATCH($O1373,'Aub Demand'!$A:$A,0)),"")</f>
        <v>0</v>
      </c>
      <c r="AC1373" s="52">
        <f>IFERROR(IF(O1373="","",SUMIFS('CPL Mats'!F:F,'CPL Mats'!Q:Q,AR1373,'CPL Mats'!S:S,AS1373)),"")</f>
        <v>0</v>
      </c>
      <c r="AF1373" s="25" t="str">
        <f>IF(SUMIFS('Supp Consol'!S:S,'Supp Consol'!Y:Y,"Releasable",'Supp Consol'!A:A,O1373)=0,"",SUMIFS('Supp Consol'!S:S,'Supp Consol'!Y:Y,"Releasable",'Supp Consol'!A:A,O1373))</f>
        <v/>
      </c>
      <c r="AG1373" s="25" t="str">
        <f>IFERROR(INDEX('Hun Demand'!Q:Q,MATCH(O1373,'Hun Demand'!A:A,0)),"")</f>
        <v/>
      </c>
      <c r="AH1373" s="25" t="str">
        <f>IFERROR(INDEX('Hun Demand'!H:H,MATCH($O1373,'Hun Demand'!$A:$A,0)),"")</f>
        <v/>
      </c>
      <c r="AI1373" s="25" t="str">
        <f>IF(SUMIFS('Supp Consol'!AA:AA,'Supp Consol'!Z:Z,"Expires this month",'Supp Consol'!A:A,O1373)=0,"",SUMIFS('Supp Consol'!AA:AA,'Supp Consol'!Z:Z,"Expires this month",'Supp Consol'!A:A,O1373))</f>
        <v/>
      </c>
      <c r="AJ1373" s="25" t="str">
        <f>IF(SUMIFS('Supp Consol'!AA:AA,'Supp Consol'!Z:Z,"Expired Previous Months",'Supp Consol'!A:A,O1373)=0,"",SUMIFS('Supp Consol'!AA:AA,'Supp Consol'!Z:Z,"Expired Previous Months",'Supp Consol'!A:A,O1373))</f>
        <v/>
      </c>
      <c r="AK1373" s="25" t="str">
        <f>IFERROR(INDEX('Hun Release Current'!B:B,MATCH(O1373,'Hun Release Current'!A:A,0)),"")</f>
        <v/>
      </c>
      <c r="AL1373" s="25" t="str">
        <f>IF(SUMIF('Prev Aub'!A:A,O1373,'Prev Aub'!B:B)=0,"",SUMIF('Prev Aub'!A:A,O1373,'Prev Aub'!B:B))</f>
        <v/>
      </c>
      <c r="AN1373" s="25" t="s">
        <v>3790</v>
      </c>
      <c r="AO1373" s="25" t="s">
        <v>3790</v>
      </c>
      <c r="AP1373" s="25">
        <f t="shared" si="594"/>
        <v>0</v>
      </c>
      <c r="AQ1373" s="151" t="str">
        <f>IF(SUMIFS('Supp Consol'!S:S,'Supp Consol'!A:A,O1373,'Supp Consol'!I:I,"PENDING")=0,"",SUMIFS('Supp Consol'!S:S,'Supp Consol'!A:A,O1373,'Supp Consol'!I:I,"PENDING"))</f>
        <v/>
      </c>
      <c r="AR1373" s="27" t="str">
        <f t="shared" si="595"/>
        <v>WH110</v>
      </c>
      <c r="AS1373" s="27" t="str">
        <f t="shared" si="596"/>
        <v>62</v>
      </c>
      <c r="AT1373" s="27" t="str">
        <f t="shared" si="597"/>
        <v/>
      </c>
      <c r="AU1373" s="27" t="str">
        <f t="shared" si="598"/>
        <v/>
      </c>
      <c r="AV1373" s="27" t="str">
        <f t="shared" si="599"/>
        <v/>
      </c>
      <c r="AW1373" s="27" t="str">
        <f t="shared" si="600"/>
        <v/>
      </c>
      <c r="AX1373" s="27" t="str">
        <f t="shared" si="601"/>
        <v/>
      </c>
      <c r="AY1373" s="27" t="str">
        <f t="shared" si="602"/>
        <v/>
      </c>
      <c r="AZ1373" s="27" t="str">
        <f t="shared" si="603"/>
        <v/>
      </c>
      <c r="BA1373" s="27" t="str">
        <f t="shared" si="604"/>
        <v/>
      </c>
      <c r="BB1373" s="27" t="str">
        <f t="shared" si="605"/>
        <v/>
      </c>
      <c r="BC1373" s="27" t="str">
        <f t="shared" si="606"/>
        <v/>
      </c>
      <c r="BD1373" s="27" t="str">
        <f t="shared" si="607"/>
        <v/>
      </c>
      <c r="BE1373" s="27" t="str">
        <f t="shared" si="608"/>
        <v/>
      </c>
      <c r="BF1373" s="27" t="str">
        <f t="shared" si="609"/>
        <v/>
      </c>
      <c r="BG1373" s="27" t="str">
        <f t="shared" si="610"/>
        <v/>
      </c>
      <c r="BH1373" s="27" t="str">
        <f t="shared" si="611"/>
        <v/>
      </c>
      <c r="BI1373" s="27" t="str">
        <f t="shared" si="612"/>
        <v/>
      </c>
      <c r="BJ1373" s="27" t="str">
        <f t="shared" si="613"/>
        <v/>
      </c>
      <c r="BK1373" s="27" t="str">
        <f t="shared" si="614"/>
        <v/>
      </c>
      <c r="BL1373" s="27" t="str">
        <f t="shared" si="615"/>
        <v/>
      </c>
      <c r="BM1373" s="21" t="s">
        <v>5581</v>
      </c>
    </row>
    <row r="1374" spans="1:65" ht="15">
      <c r="A1374" s="25" t="str">
        <f>IFERROR(INDEX('Hun Demand'!W:W,MATCH(O1374,'Hun Demand'!A:A,0)),"")</f>
        <v/>
      </c>
      <c r="B1374" s="25" t="str">
        <f>IFERROR(INDEX('Hun Demand'!V:V,MATCH(O1374,'Hun Demand'!A:A,0)),"")</f>
        <v/>
      </c>
      <c r="C1374" s="25" t="str">
        <f>IFERROR(INDEX('Hun Demand'!U:U,MATCH(O1374,'Hun Demand'!A:A,0)),"")</f>
        <v/>
      </c>
      <c r="D1374" s="25" t="str">
        <f>IFERROR(INDEX('Hun Demand'!T:T,MATCH(O1374,'Hun Demand'!A:A,0)),"")</f>
        <v/>
      </c>
      <c r="E1374" s="25" t="str">
        <f>IFERROR(INDEX('Hun Demand'!S:S,MATCH(O1374,'Hun Demand'!A:A,0)),"")</f>
        <v/>
      </c>
      <c r="F1374" s="25" t="str">
        <f>IFERROR(INDEX('Hun Demand'!R:R,MATCH(O1374,'Hun Demand'!A:A,0)),"")</f>
        <v/>
      </c>
      <c r="G1374" s="25">
        <f>IFERROR(INDEX('Aub Demand'!W:W,MATCH(O1374,'Aub Demand'!A:A,0)),"")</f>
        <v>109</v>
      </c>
      <c r="H1374" s="25">
        <f>IFERROR(INDEX('Aub Demand'!V:V,MATCH(O1374,'Aub Demand'!A:A,0)),"")</f>
        <v>0</v>
      </c>
      <c r="I1374" s="25">
        <f>IFERROR(INDEX('Aub Demand'!U:U,MATCH(O1374,'Aub Demand'!A:A,0)),"")</f>
        <v>179</v>
      </c>
      <c r="J1374" s="25">
        <f>IFERROR(INDEX('Aub Demand'!T:T,MATCH(O1374,'Aub Demand'!A:A,0)),"")</f>
        <v>396</v>
      </c>
      <c r="K1374" s="25">
        <f>IFERROR(INDEX('Aub Demand'!S:S,MATCH(O1374,'Aub Demand'!A:A,0)),"")</f>
        <v>465</v>
      </c>
      <c r="L1374" s="25">
        <f>IFERROR(INDEX('Aub Demand'!R:R,MATCH(O1374,'Aub Demand'!A:A,0)),"")</f>
        <v>0</v>
      </c>
      <c r="O1374" s="27" t="s">
        <v>2970</v>
      </c>
      <c r="P1374" s="27" t="str">
        <f>IFERROR(INDEX('Aub Demand'!B:B,MATCH($O1374,'Aub Demand'!$A:$A,0)),"")</f>
        <v>VENERABLE OLD OAK</v>
      </c>
      <c r="Q1374" s="27" t="str">
        <f>IFERROR(INDEX('Aub Demand'!C:C,MATCH($O1374,'Aub Demand'!$A:$A,0)),"")</f>
        <v>INTER</v>
      </c>
      <c r="R1374" s="52">
        <f>IFERROR(IF(AR1375=AR1374,INDEX('Aub Demand'!K:K,MATCH($O1374,'Aub Demand'!$A:$A,0))-IF(AN1374="",0,AN1374)+AP1375,INDEX('Aub Demand'!K:K,MATCH($O1374,'Aub Demand'!$A:$A,0))-IF(AN1374="",0,AN1374)),"")</f>
        <v>319</v>
      </c>
      <c r="S1374" s="53">
        <f t="shared" si="588"/>
        <v>3.9</v>
      </c>
      <c r="T1374" s="52" t="str">
        <f t="shared" si="589"/>
        <v/>
      </c>
      <c r="U1374" s="52">
        <f>IFERROR(IF(AR1375=AR1374,INDEX('Aub Demand'!Q:Q,MATCH($O1374,'Aub Demand'!$A:$A,0))-IF(AN1374="",0,AN1374)+AP1375,INDEX('Aub Demand'!Q:Q,MATCH($O1374,'Aub Demand'!$A:$A,0))-IF(AN1374="",0,AN1374)),"")</f>
        <v>186</v>
      </c>
      <c r="V1374" s="53">
        <f t="shared" si="590"/>
        <v>2.2999999999999998</v>
      </c>
      <c r="W1374" s="52">
        <f t="shared" si="591"/>
        <v>75.33750000000002</v>
      </c>
      <c r="X1374" s="52">
        <f>IFERROR(IF(AND(AR1375=AR1374,AM1374&lt;&gt;""),INDEX('Aub Demand'!Q:Q,MATCH($O1374,'Aub Demand'!$A:$A,0))-IF(AN1374="",0,AN1374)+AP1375+AD1374+AL1374,IF(AR1375=AR1374,INDEX('Aub Demand'!Q:Q,MATCH($O1374,'Aub Demand'!$A:$A,0))-IF(AN1374="",0,AN1374)+AP1375+AD1374,IF(AM1374&lt;&gt;"",INDEX('Aub Demand'!Q:Q,MATCH($O1374,'Aub Demand'!$A:$A,0))-IF(AN1374="",0,AN1374)+AD1374+AL1374,INDEX('Aub Demand'!Q:Q,MATCH($O1374,'Aub Demand'!$A:$A,0))-IF(AN1374="",0,AN1374)+AD1374))),"")</f>
        <v>652</v>
      </c>
      <c r="Y1374" s="53">
        <f t="shared" si="592"/>
        <v>8.1</v>
      </c>
      <c r="Z1374" s="52">
        <f>IF(L1374="","",INDEX('Aub Demand'!H:H,MATCH($O1374,'Aub Demand'!$A:$A,0)))</f>
        <v>347</v>
      </c>
      <c r="AA1374" s="52">
        <f t="shared" si="593"/>
        <v>430.5</v>
      </c>
      <c r="AB1374" s="52">
        <f>IFERROR(INDEX('Aub Demand'!L:L,MATCH($O1374,'Aub Demand'!$A:$A,0)),"")</f>
        <v>297</v>
      </c>
      <c r="AC1374" s="52">
        <f>IFERROR(IF(O1374="","",SUMIFS('CPL Mats'!F:F,'CPL Mats'!Q:Q,AR1374,'CPL Mats'!S:S,AS1374)),"")</f>
        <v>1841.36</v>
      </c>
      <c r="AD1374" s="25">
        <v>466</v>
      </c>
      <c r="AE1374" s="52" t="s">
        <v>5583</v>
      </c>
      <c r="AF1374" s="25">
        <f>IF(SUMIFS('Supp Consol'!S:S,'Supp Consol'!Y:Y,"Releasable",'Supp Consol'!A:A,O1374)=0,"",SUMIFS('Supp Consol'!S:S,'Supp Consol'!Y:Y,"Releasable",'Supp Consol'!A:A,O1374))</f>
        <v>466</v>
      </c>
      <c r="AG1374" s="25" t="str">
        <f>IFERROR(INDEX('Hun Demand'!Q:Q,MATCH(O1374,'Hun Demand'!A:A,0)),"")</f>
        <v/>
      </c>
      <c r="AH1374" s="25" t="str">
        <f>IFERROR(INDEX('Hun Demand'!H:H,MATCH($O1374,'Hun Demand'!$A:$A,0)),"")</f>
        <v/>
      </c>
      <c r="AI1374" s="25">
        <f>IF(SUMIFS('Supp Consol'!AA:AA,'Supp Consol'!Z:Z,"Expires this month",'Supp Consol'!A:A,O1374)=0,"",SUMIFS('Supp Consol'!AA:AA,'Supp Consol'!Z:Z,"Expires this month",'Supp Consol'!A:A,O1374))</f>
        <v>466</v>
      </c>
      <c r="AJ1374" s="25" t="str">
        <f>IF(SUMIFS('Supp Consol'!AA:AA,'Supp Consol'!Z:Z,"Expired Previous Months",'Supp Consol'!A:A,O1374)=0,"",SUMIFS('Supp Consol'!AA:AA,'Supp Consol'!Z:Z,"Expired Previous Months",'Supp Consol'!A:A,O1374))</f>
        <v/>
      </c>
      <c r="AK1374" s="25" t="str">
        <f>IFERROR(INDEX('Hun Release Current'!B:B,MATCH(O1374,'Hun Release Current'!A:A,0)),"")</f>
        <v/>
      </c>
      <c r="AL1374" s="25" t="str">
        <f>IF(SUMIF('Prev Aub'!A:A,O1374,'Prev Aub'!B:B)=0,"",SUMIF('Prev Aub'!A:A,O1374,'Prev Aub'!B:B))</f>
        <v/>
      </c>
      <c r="AN1374" s="25" t="s">
        <v>3790</v>
      </c>
      <c r="AO1374" s="25" t="s">
        <v>3790</v>
      </c>
      <c r="AP1374" s="25">
        <f t="shared" si="594"/>
        <v>0</v>
      </c>
      <c r="AQ1374" s="151" t="str">
        <f>IF(SUMIFS('Supp Consol'!S:S,'Supp Consol'!A:A,O1374,'Supp Consol'!I:I,"PENDING")=0,"",SUMIFS('Supp Consol'!S:S,'Supp Consol'!A:A,O1374,'Supp Consol'!I:I,"PENDING"))</f>
        <v/>
      </c>
      <c r="AR1374" s="27" t="str">
        <f t="shared" si="595"/>
        <v>WK017</v>
      </c>
      <c r="AS1374" s="27" t="str">
        <f t="shared" si="596"/>
        <v>50</v>
      </c>
      <c r="AT1374" s="27" t="str">
        <f t="shared" si="597"/>
        <v/>
      </c>
      <c r="AU1374" s="27" t="str">
        <f t="shared" si="598"/>
        <v/>
      </c>
      <c r="AV1374" s="27" t="str">
        <f t="shared" si="599"/>
        <v/>
      </c>
      <c r="AW1374" s="27" t="str">
        <f t="shared" si="600"/>
        <v>WK017</v>
      </c>
      <c r="AX1374" s="27" t="str">
        <f t="shared" si="601"/>
        <v>WK017</v>
      </c>
      <c r="AY1374" s="27" t="str">
        <f t="shared" si="602"/>
        <v/>
      </c>
      <c r="AZ1374" s="27" t="str">
        <f t="shared" si="603"/>
        <v>Supp</v>
      </c>
      <c r="BA1374" s="27" t="str">
        <f t="shared" si="604"/>
        <v>Hun</v>
      </c>
      <c r="BB1374" s="27" t="str">
        <f t="shared" si="605"/>
        <v/>
      </c>
      <c r="BC1374" s="27" t="str">
        <f t="shared" si="606"/>
        <v/>
      </c>
      <c r="BD1374" s="27" t="str">
        <f t="shared" si="607"/>
        <v/>
      </c>
      <c r="BE1374" s="27" t="str">
        <f t="shared" si="608"/>
        <v>Exp</v>
      </c>
      <c r="BF1374" s="27" t="str">
        <f t="shared" si="609"/>
        <v/>
      </c>
      <c r="BG1374" s="27" t="str">
        <f t="shared" si="610"/>
        <v>S+NorE</v>
      </c>
      <c r="BH1374" s="27" t="str">
        <f t="shared" si="611"/>
        <v/>
      </c>
      <c r="BI1374" s="27" t="str">
        <f t="shared" si="612"/>
        <v/>
      </c>
      <c r="BJ1374" s="27" t="str">
        <f t="shared" si="613"/>
        <v>Supp or Hun</v>
      </c>
      <c r="BK1374" s="27" t="str">
        <f t="shared" si="614"/>
        <v/>
      </c>
      <c r="BL1374" s="27" t="str">
        <f t="shared" si="615"/>
        <v>SorHandNandE</v>
      </c>
      <c r="BM1374" s="21" t="s">
        <v>5581</v>
      </c>
    </row>
    <row r="1375" spans="1:65" ht="15">
      <c r="A1375" s="25">
        <f>IFERROR(INDEX('Hun Demand'!W:W,MATCH(O1375,'Hun Demand'!A:A,0)),"")</f>
        <v>210</v>
      </c>
      <c r="B1375" s="25">
        <f>IFERROR(INDEX('Hun Demand'!V:V,MATCH(O1375,'Hun Demand'!A:A,0)),"")</f>
        <v>0</v>
      </c>
      <c r="C1375" s="25">
        <f>IFERROR(INDEX('Hun Demand'!U:U,MATCH(O1375,'Hun Demand'!A:A,0)),"")</f>
        <v>0</v>
      </c>
      <c r="D1375" s="25">
        <f>IFERROR(INDEX('Hun Demand'!T:T,MATCH(O1375,'Hun Demand'!A:A,0)),"")</f>
        <v>0</v>
      </c>
      <c r="E1375" s="25">
        <f>IFERROR(INDEX('Hun Demand'!S:S,MATCH(O1375,'Hun Demand'!A:A,0)),"")</f>
        <v>0</v>
      </c>
      <c r="F1375" s="25">
        <f>IFERROR(INDEX('Hun Demand'!R:R,MATCH(O1375,'Hun Demand'!A:A,0)),"")</f>
        <v>0</v>
      </c>
      <c r="G1375" s="25">
        <f>IFERROR(INDEX('Aub Demand'!W:W,MATCH(O1375,'Aub Demand'!A:A,0)),"")</f>
        <v>33</v>
      </c>
      <c r="H1375" s="25">
        <f>IFERROR(INDEX('Aub Demand'!V:V,MATCH(O1375,'Aub Demand'!A:A,0)),"")</f>
        <v>106</v>
      </c>
      <c r="I1375" s="25">
        <f>IFERROR(INDEX('Aub Demand'!U:U,MATCH(O1375,'Aub Demand'!A:A,0)),"")</f>
        <v>37</v>
      </c>
      <c r="J1375" s="25">
        <f>IFERROR(INDEX('Aub Demand'!T:T,MATCH(O1375,'Aub Demand'!A:A,0)),"")</f>
        <v>42</v>
      </c>
      <c r="K1375" s="25">
        <f>IFERROR(INDEX('Aub Demand'!S:S,MATCH(O1375,'Aub Demand'!A:A,0)),"")</f>
        <v>146</v>
      </c>
      <c r="L1375" s="25">
        <f>IFERROR(INDEX('Aub Demand'!R:R,MATCH(O1375,'Aub Demand'!A:A,0)),"")</f>
        <v>0</v>
      </c>
      <c r="O1375" s="27" t="s">
        <v>2972</v>
      </c>
      <c r="P1375" s="27" t="str">
        <f>IFERROR(INDEX('Aub Demand'!B:B,MATCH($O1375,'Aub Demand'!$A:$A,0)),"")</f>
        <v>VENERABLE OLD OAK</v>
      </c>
      <c r="Q1375" s="27" t="str">
        <f>IFERROR(INDEX('Aub Demand'!C:C,MATCH($O1375,'Aub Demand'!$A:$A,0)),"")</f>
        <v>INTER</v>
      </c>
      <c r="R1375" s="52">
        <f>IFERROR(IF(AR1376=AR1375,INDEX('Aub Demand'!K:K,MATCH($O1375,'Aub Demand'!$A:$A,0))-IF(AN1375="",0,AN1375)+AP1376,INDEX('Aub Demand'!K:K,MATCH($O1375,'Aub Demand'!$A:$A,0))-IF(AN1375="",0,AN1375)),"")</f>
        <v>195</v>
      </c>
      <c r="S1375" s="53">
        <f t="shared" si="588"/>
        <v>11.1</v>
      </c>
      <c r="T1375" s="52" t="str">
        <f t="shared" si="589"/>
        <v/>
      </c>
      <c r="U1375" s="52">
        <f>IFERROR(IF(AR1376=AR1375,INDEX('Aub Demand'!Q:Q,MATCH($O1375,'Aub Demand'!$A:$A,0))-IF(AN1375="",0,AN1375)+AP1376,INDEX('Aub Demand'!Q:Q,MATCH($O1375,'Aub Demand'!$A:$A,0))-IF(AN1375="",0,AN1375)),"")</f>
        <v>162</v>
      </c>
      <c r="V1375" s="53">
        <f t="shared" si="590"/>
        <v>9.3000000000000007</v>
      </c>
      <c r="W1375" s="52" t="str">
        <f t="shared" si="591"/>
        <v/>
      </c>
      <c r="X1375" s="52">
        <f>IFERROR(IF(AND(AR1376=AR1375,AM1375&lt;&gt;""),INDEX('Aub Demand'!Q:Q,MATCH($O1375,'Aub Demand'!$A:$A,0))-IF(AN1375="",0,AN1375)+AP1376+AD1375+AL1375,IF(AR1376=AR1375,INDEX('Aub Demand'!Q:Q,MATCH($O1375,'Aub Demand'!$A:$A,0))-IF(AN1375="",0,AN1375)+AP1376+AD1375,IF(AM1375&lt;&gt;"",INDEX('Aub Demand'!Q:Q,MATCH($O1375,'Aub Demand'!$A:$A,0))-IF(AN1375="",0,AN1375)+AD1375+AL1375,INDEX('Aub Demand'!Q:Q,MATCH($O1375,'Aub Demand'!$A:$A,0))-IF(AN1375="",0,AN1375)+AD1375))),"")</f>
        <v>162</v>
      </c>
      <c r="Y1375" s="53">
        <f t="shared" si="592"/>
        <v>9.3000000000000007</v>
      </c>
      <c r="Z1375" s="52">
        <f>IF(L1375="","",INDEX('Aub Demand'!H:H,MATCH($O1375,'Aub Demand'!$A:$A,0)))</f>
        <v>75</v>
      </c>
      <c r="AA1375" s="52">
        <f t="shared" si="593"/>
        <v>94</v>
      </c>
      <c r="AB1375" s="52">
        <f>IFERROR(INDEX('Aub Demand'!L:L,MATCH($O1375,'Aub Demand'!$A:$A,0)),"")</f>
        <v>27</v>
      </c>
      <c r="AC1375" s="52">
        <f>IFERROR(IF(O1375="","",SUMIFS('CPL Mats'!F:F,'CPL Mats'!Q:Q,AR1375,'CPL Mats'!S:S,AS1375)),"")</f>
        <v>0</v>
      </c>
      <c r="AF1375" s="25">
        <f>IF(SUMIFS('Supp Consol'!S:S,'Supp Consol'!Y:Y,"Releasable",'Supp Consol'!A:A,O1375)=0,"",SUMIFS('Supp Consol'!S:S,'Supp Consol'!Y:Y,"Releasable",'Supp Consol'!A:A,O1375))</f>
        <v>776</v>
      </c>
      <c r="AG1375" s="25">
        <f>IFERROR(INDEX('Hun Demand'!Q:Q,MATCH(O1375,'Hun Demand'!A:A,0)),"")</f>
        <v>882</v>
      </c>
      <c r="AH1375" s="25">
        <f>IFERROR(INDEX('Hun Demand'!H:H,MATCH($O1375,'Hun Demand'!$A:$A,0)),"")</f>
        <v>0</v>
      </c>
      <c r="AI1375" s="25">
        <f>IF(SUMIFS('Supp Consol'!AA:AA,'Supp Consol'!Z:Z,"Expires this month",'Supp Consol'!A:A,O1375)=0,"",SUMIFS('Supp Consol'!AA:AA,'Supp Consol'!Z:Z,"Expires this month",'Supp Consol'!A:A,O1375))</f>
        <v>776</v>
      </c>
      <c r="AJ1375" s="25" t="str">
        <f>IF(SUMIFS('Supp Consol'!AA:AA,'Supp Consol'!Z:Z,"Expired Previous Months",'Supp Consol'!A:A,O1375)=0,"",SUMIFS('Supp Consol'!AA:AA,'Supp Consol'!Z:Z,"Expired Previous Months",'Supp Consol'!A:A,O1375))</f>
        <v/>
      </c>
      <c r="AK1375" s="25" t="str">
        <f>IFERROR(INDEX('Hun Release Current'!B:B,MATCH(O1375,'Hun Release Current'!A:A,0)),"")</f>
        <v/>
      </c>
      <c r="AL1375" s="25" t="str">
        <f>IF(SUMIF('Prev Aub'!A:A,O1375,'Prev Aub'!B:B)=0,"",SUMIF('Prev Aub'!A:A,O1375,'Prev Aub'!B:B))</f>
        <v/>
      </c>
      <c r="AN1375" s="25" t="s">
        <v>3790</v>
      </c>
      <c r="AO1375" s="25" t="s">
        <v>3790</v>
      </c>
      <c r="AP1375" s="25">
        <f t="shared" si="594"/>
        <v>0</v>
      </c>
      <c r="AQ1375" s="151" t="str">
        <f>IF(SUMIFS('Supp Consol'!S:S,'Supp Consol'!A:A,O1375,'Supp Consol'!I:I,"PENDING")=0,"",SUMIFS('Supp Consol'!S:S,'Supp Consol'!A:A,O1375,'Supp Consol'!I:I,"PENDING"))</f>
        <v/>
      </c>
      <c r="AR1375" s="27" t="str">
        <f t="shared" si="595"/>
        <v>WK017</v>
      </c>
      <c r="AS1375" s="27" t="str">
        <f t="shared" si="596"/>
        <v>62</v>
      </c>
      <c r="AT1375" s="27" t="str">
        <f t="shared" si="597"/>
        <v/>
      </c>
      <c r="AU1375" s="27" t="str">
        <f t="shared" si="598"/>
        <v/>
      </c>
      <c r="AV1375" s="27" t="str">
        <f t="shared" si="599"/>
        <v/>
      </c>
      <c r="AW1375" s="27" t="str">
        <f t="shared" si="600"/>
        <v>WK017</v>
      </c>
      <c r="AX1375" s="27" t="str">
        <f t="shared" si="601"/>
        <v>WK017</v>
      </c>
      <c r="AY1375" s="27" t="str">
        <f t="shared" si="602"/>
        <v>WK017</v>
      </c>
      <c r="AZ1375" s="27" t="str">
        <f t="shared" si="603"/>
        <v>Supp</v>
      </c>
      <c r="BA1375" s="27" t="str">
        <f t="shared" si="604"/>
        <v>Hun</v>
      </c>
      <c r="BB1375" s="27" t="str">
        <f t="shared" si="605"/>
        <v/>
      </c>
      <c r="BC1375" s="27" t="str">
        <f t="shared" si="606"/>
        <v/>
      </c>
      <c r="BD1375" s="27" t="str">
        <f t="shared" si="607"/>
        <v/>
      </c>
      <c r="BE1375" s="27" t="str">
        <f t="shared" si="608"/>
        <v>Exp</v>
      </c>
      <c r="BF1375" s="27" t="str">
        <f t="shared" si="609"/>
        <v/>
      </c>
      <c r="BG1375" s="27" t="str">
        <f t="shared" si="610"/>
        <v>S+NorE</v>
      </c>
      <c r="BH1375" s="27" t="str">
        <f t="shared" si="611"/>
        <v/>
      </c>
      <c r="BI1375" s="27" t="str">
        <f t="shared" si="612"/>
        <v/>
      </c>
      <c r="BJ1375" s="27" t="str">
        <f t="shared" si="613"/>
        <v>Supp or Hun</v>
      </c>
      <c r="BK1375" s="27" t="str">
        <f t="shared" si="614"/>
        <v/>
      </c>
      <c r="BL1375" s="27" t="str">
        <f t="shared" si="615"/>
        <v>SorHandNandE</v>
      </c>
      <c r="BM1375" s="21" t="s">
        <v>5581</v>
      </c>
    </row>
    <row r="1376" spans="1:65" ht="15">
      <c r="A1376" s="25">
        <f>IFERROR(INDEX('Hun Demand'!W:W,MATCH(O1376,'Hun Demand'!A:A,0)),"")</f>
        <v>222</v>
      </c>
      <c r="B1376" s="25">
        <f>IFERROR(INDEX('Hun Demand'!V:V,MATCH(O1376,'Hun Demand'!A:A,0)),"")</f>
        <v>120</v>
      </c>
      <c r="C1376" s="25">
        <f>IFERROR(INDEX('Hun Demand'!U:U,MATCH(O1376,'Hun Demand'!A:A,0)),"")</f>
        <v>112</v>
      </c>
      <c r="D1376" s="25">
        <f>IFERROR(INDEX('Hun Demand'!T:T,MATCH(O1376,'Hun Demand'!A:A,0)),"")</f>
        <v>102</v>
      </c>
      <c r="E1376" s="25">
        <f>IFERROR(INDEX('Hun Demand'!S:S,MATCH(O1376,'Hun Demand'!A:A,0)),"")</f>
        <v>0</v>
      </c>
      <c r="F1376" s="25">
        <f>IFERROR(INDEX('Hun Demand'!R:R,MATCH(O1376,'Hun Demand'!A:A,0)),"")</f>
        <v>0</v>
      </c>
      <c r="G1376" s="25">
        <f>IFERROR(INDEX('Aub Demand'!W:W,MATCH(O1376,'Aub Demand'!A:A,0)),"")</f>
        <v>383</v>
      </c>
      <c r="H1376" s="25">
        <f>IFERROR(INDEX('Aub Demand'!V:V,MATCH(O1376,'Aub Demand'!A:A,0)),"")</f>
        <v>1333</v>
      </c>
      <c r="I1376" s="25">
        <f>IFERROR(INDEX('Aub Demand'!U:U,MATCH(O1376,'Aub Demand'!A:A,0)),"")</f>
        <v>69</v>
      </c>
      <c r="J1376" s="25">
        <f>IFERROR(INDEX('Aub Demand'!T:T,MATCH(O1376,'Aub Demand'!A:A,0)),"")</f>
        <v>10</v>
      </c>
      <c r="K1376" s="25">
        <f>IFERROR(INDEX('Aub Demand'!S:S,MATCH(O1376,'Aub Demand'!A:A,0)),"")</f>
        <v>61</v>
      </c>
      <c r="L1376" s="25">
        <f>IFERROR(INDEX('Aub Demand'!R:R,MATCH(O1376,'Aub Demand'!A:A,0)),"")</f>
        <v>89</v>
      </c>
      <c r="O1376" s="27" t="s">
        <v>2973</v>
      </c>
      <c r="P1376" s="27" t="str">
        <f>IFERROR(INDEX('Aub Demand'!B:B,MATCH($O1376,'Aub Demand'!$A:$A,0)),"")</f>
        <v>ANTOCCINO</v>
      </c>
      <c r="Q1376" s="27" t="str">
        <f>IFERROR(INDEX('Aub Demand'!C:C,MATCH($O1376,'Aub Demand'!$A:$A,0)),"")</f>
        <v>PANOL</v>
      </c>
      <c r="R1376" s="52">
        <f>IFERROR(IF(AR1377=AR1376,INDEX('Aub Demand'!K:K,MATCH($O1376,'Aub Demand'!$A:$A,0))-IF(AN1376="",0,AN1376)+AP1377,INDEX('Aub Demand'!K:K,MATCH($O1376,'Aub Demand'!$A:$A,0))-IF(AN1376="",0,AN1376)),"")</f>
        <v>1694</v>
      </c>
      <c r="S1376" s="53">
        <f t="shared" si="588"/>
        <v>154.5</v>
      </c>
      <c r="T1376" s="52" t="str">
        <f t="shared" si="589"/>
        <v/>
      </c>
      <c r="U1376" s="52">
        <f>IFERROR(IF(AR1377=AR1376,INDEX('Aub Demand'!Q:Q,MATCH($O1376,'Aub Demand'!$A:$A,0))-IF(AN1376="",0,AN1376)+AP1377,INDEX('Aub Demand'!Q:Q,MATCH($O1376,'Aub Demand'!$A:$A,0))-IF(AN1376="",0,AN1376)),"")</f>
        <v>1651</v>
      </c>
      <c r="V1376" s="53">
        <f t="shared" si="590"/>
        <v>150.5</v>
      </c>
      <c r="W1376" s="52" t="str">
        <f t="shared" si="591"/>
        <v/>
      </c>
      <c r="X1376" s="52">
        <f>IFERROR(IF(AND(AR1377=AR1376,AM1376&lt;&gt;""),INDEX('Aub Demand'!Q:Q,MATCH($O1376,'Aub Demand'!$A:$A,0))-IF(AN1376="",0,AN1376)+AP1377+AD1376+AL1376,IF(AR1377=AR1376,INDEX('Aub Demand'!Q:Q,MATCH($O1376,'Aub Demand'!$A:$A,0))-IF(AN1376="",0,AN1376)+AP1377+AD1376,IF(AM1376&lt;&gt;"",INDEX('Aub Demand'!Q:Q,MATCH($O1376,'Aub Demand'!$A:$A,0))-IF(AN1376="",0,AN1376)+AD1376+AL1376,INDEX('Aub Demand'!Q:Q,MATCH($O1376,'Aub Demand'!$A:$A,0))-IF(AN1376="",0,AN1376)+AD1376))),"")</f>
        <v>1651</v>
      </c>
      <c r="Y1376" s="53">
        <f t="shared" si="592"/>
        <v>150.5</v>
      </c>
      <c r="Z1376" s="52">
        <f>IF(L1376="","",INDEX('Aub Demand'!H:H,MATCH($O1376,'Aub Demand'!$A:$A,0)))</f>
        <v>47</v>
      </c>
      <c r="AA1376" s="52">
        <f t="shared" si="593"/>
        <v>79</v>
      </c>
      <c r="AB1376" s="52">
        <f>IFERROR(INDEX('Aub Demand'!L:L,MATCH($O1376,'Aub Demand'!$A:$A,0)),"")</f>
        <v>221</v>
      </c>
      <c r="AC1376" s="52">
        <f>IFERROR(IF(O1376="","",SUMIFS('CPL Mats'!F:F,'CPL Mats'!Q:Q,AR1376,'CPL Mats'!S:S,AS1376)),"")</f>
        <v>900</v>
      </c>
      <c r="AF1376" s="25" t="str">
        <f>IF(SUMIFS('Supp Consol'!S:S,'Supp Consol'!Y:Y,"Releasable",'Supp Consol'!A:A,O1376)=0,"",SUMIFS('Supp Consol'!S:S,'Supp Consol'!Y:Y,"Releasable",'Supp Consol'!A:A,O1376))</f>
        <v/>
      </c>
      <c r="AG1376" s="25">
        <f>IFERROR(INDEX('Hun Demand'!Q:Q,MATCH(O1376,'Hun Demand'!A:A,0)),"")</f>
        <v>66</v>
      </c>
      <c r="AH1376" s="25">
        <f>IFERROR(INDEX('Hun Demand'!H:H,MATCH($O1376,'Hun Demand'!$A:$A,0)),"")</f>
        <v>71</v>
      </c>
      <c r="AI1376" s="25" t="str">
        <f>IF(SUMIFS('Supp Consol'!AA:AA,'Supp Consol'!Z:Z,"Expires this month",'Supp Consol'!A:A,O1376)=0,"",SUMIFS('Supp Consol'!AA:AA,'Supp Consol'!Z:Z,"Expires this month",'Supp Consol'!A:A,O1376))</f>
        <v/>
      </c>
      <c r="AJ1376" s="25" t="str">
        <f>IF(SUMIFS('Supp Consol'!AA:AA,'Supp Consol'!Z:Z,"Expired Previous Months",'Supp Consol'!A:A,O1376)=0,"",SUMIFS('Supp Consol'!AA:AA,'Supp Consol'!Z:Z,"Expired Previous Months",'Supp Consol'!A:A,O1376))</f>
        <v/>
      </c>
      <c r="AK1376" s="25" t="str">
        <f>IFERROR(INDEX('Hun Release Current'!B:B,MATCH(O1376,'Hun Release Current'!A:A,0)),"")</f>
        <v/>
      </c>
      <c r="AL1376" s="25" t="str">
        <f>IF(SUMIF('Prev Aub'!A:A,O1376,'Prev Aub'!B:B)=0,"",SUMIF('Prev Aub'!A:A,O1376,'Prev Aub'!B:B))</f>
        <v/>
      </c>
      <c r="AN1376" s="25" t="s">
        <v>3790</v>
      </c>
      <c r="AO1376" s="25" t="s">
        <v>3790</v>
      </c>
      <c r="AP1376" s="25">
        <f t="shared" si="594"/>
        <v>0</v>
      </c>
      <c r="AQ1376" s="151" t="str">
        <f>IF(SUMIFS('Supp Consol'!S:S,'Supp Consol'!A:A,O1376,'Supp Consol'!I:I,"PENDING")=0,"",SUMIFS('Supp Consol'!S:S,'Supp Consol'!A:A,O1376,'Supp Consol'!I:I,"PENDING"))</f>
        <v/>
      </c>
      <c r="AR1376" s="27" t="str">
        <f t="shared" si="595"/>
        <v>WK022</v>
      </c>
      <c r="AS1376" s="27" t="str">
        <f t="shared" si="596"/>
        <v>50</v>
      </c>
      <c r="AT1376" s="27" t="str">
        <f t="shared" si="597"/>
        <v/>
      </c>
      <c r="AU1376" s="27" t="str">
        <f t="shared" si="598"/>
        <v/>
      </c>
      <c r="AV1376" s="27" t="str">
        <f t="shared" si="599"/>
        <v/>
      </c>
      <c r="AW1376" s="27" t="str">
        <f t="shared" si="600"/>
        <v/>
      </c>
      <c r="AX1376" s="27" t="str">
        <f t="shared" si="601"/>
        <v/>
      </c>
      <c r="AY1376" s="27" t="str">
        <f t="shared" si="602"/>
        <v/>
      </c>
      <c r="AZ1376" s="27" t="str">
        <f t="shared" si="603"/>
        <v/>
      </c>
      <c r="BA1376" s="27" t="str">
        <f t="shared" si="604"/>
        <v/>
      </c>
      <c r="BB1376" s="27" t="str">
        <f t="shared" si="605"/>
        <v/>
      </c>
      <c r="BC1376" s="27" t="str">
        <f t="shared" si="606"/>
        <v/>
      </c>
      <c r="BD1376" s="27" t="str">
        <f t="shared" si="607"/>
        <v/>
      </c>
      <c r="BE1376" s="27" t="str">
        <f t="shared" si="608"/>
        <v/>
      </c>
      <c r="BF1376" s="27" t="str">
        <f t="shared" si="609"/>
        <v/>
      </c>
      <c r="BG1376" s="27" t="str">
        <f t="shared" si="610"/>
        <v/>
      </c>
      <c r="BH1376" s="27" t="str">
        <f t="shared" si="611"/>
        <v/>
      </c>
      <c r="BI1376" s="27" t="str">
        <f t="shared" si="612"/>
        <v/>
      </c>
      <c r="BJ1376" s="27" t="str">
        <f t="shared" si="613"/>
        <v/>
      </c>
      <c r="BK1376" s="27" t="str">
        <f t="shared" si="614"/>
        <v/>
      </c>
      <c r="BL1376" s="27" t="str">
        <f t="shared" si="615"/>
        <v/>
      </c>
      <c r="BM1376" s="21" t="s">
        <v>5581</v>
      </c>
    </row>
    <row r="1377" spans="1:65" ht="15">
      <c r="A1377" s="25" t="str">
        <f>IFERROR(INDEX('Hun Demand'!W:W,MATCH(O1377,'Hun Demand'!A:A,0)),"")</f>
        <v/>
      </c>
      <c r="B1377" s="25" t="str">
        <f>IFERROR(INDEX('Hun Demand'!V:V,MATCH(O1377,'Hun Demand'!A:A,0)),"")</f>
        <v/>
      </c>
      <c r="C1377" s="25" t="str">
        <f>IFERROR(INDEX('Hun Demand'!U:U,MATCH(O1377,'Hun Demand'!A:A,0)),"")</f>
        <v/>
      </c>
      <c r="D1377" s="25" t="str">
        <f>IFERROR(INDEX('Hun Demand'!T:T,MATCH(O1377,'Hun Demand'!A:A,0)),"")</f>
        <v/>
      </c>
      <c r="E1377" s="25" t="str">
        <f>IFERROR(INDEX('Hun Demand'!S:S,MATCH(O1377,'Hun Demand'!A:A,0)),"")</f>
        <v/>
      </c>
      <c r="F1377" s="25" t="str">
        <f>IFERROR(INDEX('Hun Demand'!R:R,MATCH(O1377,'Hun Demand'!A:A,0)),"")</f>
        <v/>
      </c>
      <c r="G1377" s="25">
        <f>IFERROR(INDEX('Aub Demand'!W:W,MATCH(O1377,'Aub Demand'!A:A,0)),"")</f>
        <v>441</v>
      </c>
      <c r="H1377" s="25">
        <f>IFERROR(INDEX('Aub Demand'!V:V,MATCH(O1377,'Aub Demand'!A:A,0)),"")</f>
        <v>155</v>
      </c>
      <c r="I1377" s="25">
        <f>IFERROR(INDEX('Aub Demand'!U:U,MATCH(O1377,'Aub Demand'!A:A,0)),"")</f>
        <v>22</v>
      </c>
      <c r="J1377" s="25">
        <f>IFERROR(INDEX('Aub Demand'!T:T,MATCH(O1377,'Aub Demand'!A:A,0)),"")</f>
        <v>161</v>
      </c>
      <c r="K1377" s="25">
        <f>IFERROR(INDEX('Aub Demand'!S:S,MATCH(O1377,'Aub Demand'!A:A,0)),"")</f>
        <v>34</v>
      </c>
      <c r="L1377" s="25">
        <f>IFERROR(INDEX('Aub Demand'!R:R,MATCH(O1377,'Aub Demand'!A:A,0)),"")</f>
        <v>0</v>
      </c>
      <c r="O1377" s="27" t="s">
        <v>2977</v>
      </c>
      <c r="P1377" s="27" t="str">
        <f>IFERROR(INDEX('Aub Demand'!B:B,MATCH($O1377,'Aub Demand'!$A:$A,0)),"")</f>
        <v>ANTOCCINO</v>
      </c>
      <c r="Q1377" s="27" t="str">
        <f>IFERROR(INDEX('Aub Demand'!C:C,MATCH($O1377,'Aub Demand'!$A:$A,0)),"")</f>
        <v>SCHAT</v>
      </c>
      <c r="R1377" s="52">
        <f>IFERROR(IF(AR1378=AR1377,INDEX('Aub Demand'!K:K,MATCH($O1377,'Aub Demand'!$A:$A,0))-IF(AN1377="",0,AN1377)+AP1378,INDEX('Aub Demand'!K:K,MATCH($O1377,'Aub Demand'!$A:$A,0))-IF(AN1377="",0,AN1377)),"")</f>
        <v>1093</v>
      </c>
      <c r="S1377" s="53">
        <f t="shared" si="588"/>
        <v>65.099999999999994</v>
      </c>
      <c r="T1377" s="52" t="str">
        <f t="shared" si="589"/>
        <v/>
      </c>
      <c r="U1377" s="52">
        <f>IFERROR(IF(AR1378=AR1377,INDEX('Aub Demand'!Q:Q,MATCH($O1377,'Aub Demand'!$A:$A,0))-IF(AN1377="",0,AN1377)+AP1378,INDEX('Aub Demand'!Q:Q,MATCH($O1377,'Aub Demand'!$A:$A,0))-IF(AN1377="",0,AN1377)),"")</f>
        <v>1050</v>
      </c>
      <c r="V1377" s="53">
        <f t="shared" si="590"/>
        <v>62.5</v>
      </c>
      <c r="W1377" s="52" t="str">
        <f t="shared" si="591"/>
        <v/>
      </c>
      <c r="X1377" s="52">
        <f>IFERROR(IF(AND(AR1378=AR1377,AM1377&lt;&gt;""),INDEX('Aub Demand'!Q:Q,MATCH($O1377,'Aub Demand'!$A:$A,0))-IF(AN1377="",0,AN1377)+AP1378+AD1377+AL1377,IF(AR1378=AR1377,INDEX('Aub Demand'!Q:Q,MATCH($O1377,'Aub Demand'!$A:$A,0))-IF(AN1377="",0,AN1377)+AP1378+AD1377,IF(AM1377&lt;&gt;"",INDEX('Aub Demand'!Q:Q,MATCH($O1377,'Aub Demand'!$A:$A,0))-IF(AN1377="",0,AN1377)+AD1377+AL1377,INDEX('Aub Demand'!Q:Q,MATCH($O1377,'Aub Demand'!$A:$A,0))-IF(AN1377="",0,AN1377)+AD1377))),"")</f>
        <v>1050</v>
      </c>
      <c r="Y1377" s="53">
        <f t="shared" si="592"/>
        <v>62.5</v>
      </c>
      <c r="Z1377" s="52">
        <f>IF(L1377="","",INDEX('Aub Demand'!H:H,MATCH($O1377,'Aub Demand'!$A:$A,0)))</f>
        <v>72</v>
      </c>
      <c r="AA1377" s="52">
        <f t="shared" si="593"/>
        <v>97.5</v>
      </c>
      <c r="AB1377" s="52">
        <f>IFERROR(INDEX('Aub Demand'!L:L,MATCH($O1377,'Aub Demand'!$A:$A,0)),"")</f>
        <v>28</v>
      </c>
      <c r="AC1377" s="52">
        <f>IFERROR(IF(O1377="","",SUMIFS('CPL Mats'!F:F,'CPL Mats'!Q:Q,AR1377,'CPL Mats'!S:S,AS1377)),"")</f>
        <v>0</v>
      </c>
      <c r="AF1377" s="25" t="str">
        <f>IF(SUMIFS('Supp Consol'!S:S,'Supp Consol'!Y:Y,"Releasable",'Supp Consol'!A:A,O1377)=0,"",SUMIFS('Supp Consol'!S:S,'Supp Consol'!Y:Y,"Releasable",'Supp Consol'!A:A,O1377))</f>
        <v/>
      </c>
      <c r="AG1377" s="25" t="str">
        <f>IFERROR(INDEX('Hun Demand'!Q:Q,MATCH(O1377,'Hun Demand'!A:A,0)),"")</f>
        <v/>
      </c>
      <c r="AH1377" s="25" t="str">
        <f>IFERROR(INDEX('Hun Demand'!H:H,MATCH($O1377,'Hun Demand'!$A:$A,0)),"")</f>
        <v/>
      </c>
      <c r="AI1377" s="25" t="str">
        <f>IF(SUMIFS('Supp Consol'!AA:AA,'Supp Consol'!Z:Z,"Expires this month",'Supp Consol'!A:A,O1377)=0,"",SUMIFS('Supp Consol'!AA:AA,'Supp Consol'!Z:Z,"Expires this month",'Supp Consol'!A:A,O1377))</f>
        <v/>
      </c>
      <c r="AJ1377" s="25" t="str">
        <f>IF(SUMIFS('Supp Consol'!AA:AA,'Supp Consol'!Z:Z,"Expired Previous Months",'Supp Consol'!A:A,O1377)=0,"",SUMIFS('Supp Consol'!AA:AA,'Supp Consol'!Z:Z,"Expired Previous Months",'Supp Consol'!A:A,O1377))</f>
        <v/>
      </c>
      <c r="AK1377" s="25" t="str">
        <f>IFERROR(INDEX('Hun Release Current'!B:B,MATCH(O1377,'Hun Release Current'!A:A,0)),"")</f>
        <v/>
      </c>
      <c r="AL1377" s="25" t="str">
        <f>IF(SUMIF('Prev Aub'!A:A,O1377,'Prev Aub'!B:B)=0,"",SUMIF('Prev Aub'!A:A,O1377,'Prev Aub'!B:B))</f>
        <v/>
      </c>
      <c r="AN1377" s="25" t="s">
        <v>3790</v>
      </c>
      <c r="AO1377" s="25" t="s">
        <v>3790</v>
      </c>
      <c r="AP1377" s="25">
        <f t="shared" si="594"/>
        <v>0</v>
      </c>
      <c r="AQ1377" s="151" t="str">
        <f>IF(SUMIFS('Supp Consol'!S:S,'Supp Consol'!A:A,O1377,'Supp Consol'!I:I,"PENDING")=0,"",SUMIFS('Supp Consol'!S:S,'Supp Consol'!A:A,O1377,'Supp Consol'!I:I,"PENDING"))</f>
        <v/>
      </c>
      <c r="AR1377" s="27" t="str">
        <f t="shared" si="595"/>
        <v>WK022</v>
      </c>
      <c r="AS1377" s="27" t="str">
        <f t="shared" si="596"/>
        <v>62</v>
      </c>
      <c r="AT1377" s="27" t="str">
        <f t="shared" si="597"/>
        <v/>
      </c>
      <c r="AU1377" s="27" t="str">
        <f t="shared" si="598"/>
        <v/>
      </c>
      <c r="AV1377" s="27" t="str">
        <f t="shared" si="599"/>
        <v/>
      </c>
      <c r="AW1377" s="27" t="str">
        <f t="shared" si="600"/>
        <v/>
      </c>
      <c r="AX1377" s="27" t="str">
        <f t="shared" si="601"/>
        <v/>
      </c>
      <c r="AY1377" s="27" t="str">
        <f t="shared" si="602"/>
        <v/>
      </c>
      <c r="AZ1377" s="27" t="str">
        <f t="shared" si="603"/>
        <v/>
      </c>
      <c r="BA1377" s="27" t="str">
        <f t="shared" si="604"/>
        <v/>
      </c>
      <c r="BB1377" s="27" t="str">
        <f t="shared" si="605"/>
        <v/>
      </c>
      <c r="BC1377" s="27" t="str">
        <f t="shared" si="606"/>
        <v/>
      </c>
      <c r="BD1377" s="27" t="str">
        <f t="shared" si="607"/>
        <v/>
      </c>
      <c r="BE1377" s="27" t="str">
        <f t="shared" si="608"/>
        <v/>
      </c>
      <c r="BF1377" s="27" t="str">
        <f t="shared" si="609"/>
        <v/>
      </c>
      <c r="BG1377" s="27" t="str">
        <f t="shared" si="610"/>
        <v/>
      </c>
      <c r="BH1377" s="27" t="str">
        <f t="shared" si="611"/>
        <v/>
      </c>
      <c r="BI1377" s="27" t="str">
        <f t="shared" si="612"/>
        <v/>
      </c>
      <c r="BJ1377" s="27" t="str">
        <f t="shared" si="613"/>
        <v/>
      </c>
      <c r="BK1377" s="27" t="str">
        <f t="shared" si="614"/>
        <v/>
      </c>
      <c r="BL1377" s="27" t="str">
        <f t="shared" si="615"/>
        <v/>
      </c>
      <c r="BM1377" s="21" t="s">
        <v>5581</v>
      </c>
    </row>
    <row r="1378" spans="1:65" ht="15">
      <c r="A1378" s="25">
        <f>IFERROR(INDEX('Hun Demand'!W:W,MATCH(O1378,'Hun Demand'!A:A,0)),"")</f>
        <v>0</v>
      </c>
      <c r="B1378" s="25">
        <f>IFERROR(INDEX('Hun Demand'!V:V,MATCH(O1378,'Hun Demand'!A:A,0)),"")</f>
        <v>0</v>
      </c>
      <c r="C1378" s="25">
        <f>IFERROR(INDEX('Hun Demand'!U:U,MATCH(O1378,'Hun Demand'!A:A,0)),"")</f>
        <v>0</v>
      </c>
      <c r="D1378" s="25">
        <f>IFERROR(INDEX('Hun Demand'!T:T,MATCH(O1378,'Hun Demand'!A:A,0)),"")</f>
        <v>0</v>
      </c>
      <c r="E1378" s="25">
        <f>IFERROR(INDEX('Hun Demand'!S:S,MATCH(O1378,'Hun Demand'!A:A,0)),"")</f>
        <v>0</v>
      </c>
      <c r="F1378" s="25">
        <f>IFERROR(INDEX('Hun Demand'!R:R,MATCH(O1378,'Hun Demand'!A:A,0)),"")</f>
        <v>0</v>
      </c>
      <c r="G1378" s="25">
        <f>IFERROR(INDEX('Aub Demand'!W:W,MATCH(O1378,'Aub Demand'!A:A,0)),"")</f>
        <v>18</v>
      </c>
      <c r="H1378" s="25">
        <f>IFERROR(INDEX('Aub Demand'!V:V,MATCH(O1378,'Aub Demand'!A:A,0)),"")</f>
        <v>0</v>
      </c>
      <c r="I1378" s="25">
        <f>IFERROR(INDEX('Aub Demand'!U:U,MATCH(O1378,'Aub Demand'!A:A,0)),"")</f>
        <v>0</v>
      </c>
      <c r="J1378" s="25">
        <f>IFERROR(INDEX('Aub Demand'!T:T,MATCH(O1378,'Aub Demand'!A:A,0)),"")</f>
        <v>0</v>
      </c>
      <c r="K1378" s="25">
        <f>IFERROR(INDEX('Aub Demand'!S:S,MATCH(O1378,'Aub Demand'!A:A,0)),"")</f>
        <v>0</v>
      </c>
      <c r="L1378" s="25">
        <f>IFERROR(INDEX('Aub Demand'!R:R,MATCH(O1378,'Aub Demand'!A:A,0)),"")</f>
        <v>14</v>
      </c>
      <c r="O1378" s="27" t="s">
        <v>2978</v>
      </c>
      <c r="P1378" s="27" t="str">
        <f>IFERROR(INDEX('Aub Demand'!B:B,MATCH($O1378,'Aub Demand'!$A:$A,0)),"")</f>
        <v>MAROCCHINO</v>
      </c>
      <c r="Q1378" s="27" t="str">
        <f>IFERROR(INDEX('Aub Demand'!C:C,MATCH($O1378,'Aub Demand'!$A:$A,0)),"")</f>
        <v>SCHAT</v>
      </c>
      <c r="R1378" s="52">
        <f>IFERROR(IF(AR1379=AR1378,INDEX('Aub Demand'!K:K,MATCH($O1378,'Aub Demand'!$A:$A,0))-IF(AN1378="",0,AN1378)+AP1379,INDEX('Aub Demand'!K:K,MATCH($O1378,'Aub Demand'!$A:$A,0))-IF(AN1378="",0,AN1378)),"")</f>
        <v>0</v>
      </c>
      <c r="S1378" s="53" t="str">
        <f t="shared" si="588"/>
        <v>n/a</v>
      </c>
      <c r="T1378" s="52" t="str">
        <f t="shared" si="589"/>
        <v/>
      </c>
      <c r="U1378" s="52">
        <f>IFERROR(IF(AR1379=AR1378,INDEX('Aub Demand'!Q:Q,MATCH($O1378,'Aub Demand'!$A:$A,0))-IF(AN1378="",0,AN1378)+AP1379,INDEX('Aub Demand'!Q:Q,MATCH($O1378,'Aub Demand'!$A:$A,0))-IF(AN1378="",0,AN1378)),"")</f>
        <v>-18</v>
      </c>
      <c r="V1378" s="53" t="str">
        <f t="shared" si="590"/>
        <v>n/a</v>
      </c>
      <c r="W1378" s="52" t="str">
        <f t="shared" si="591"/>
        <v/>
      </c>
      <c r="X1378" s="52">
        <f>IFERROR(IF(AND(AR1379=AR1378,AM1378&lt;&gt;""),INDEX('Aub Demand'!Q:Q,MATCH($O1378,'Aub Demand'!$A:$A,0))-IF(AN1378="",0,AN1378)+AP1379+AD1378+AL1378,IF(AR1379=AR1378,INDEX('Aub Demand'!Q:Q,MATCH($O1378,'Aub Demand'!$A:$A,0))-IF(AN1378="",0,AN1378)+AP1379+AD1378,IF(AM1378&lt;&gt;"",INDEX('Aub Demand'!Q:Q,MATCH($O1378,'Aub Demand'!$A:$A,0))-IF(AN1378="",0,AN1378)+AD1378+AL1378,INDEX('Aub Demand'!Q:Q,MATCH($O1378,'Aub Demand'!$A:$A,0))-IF(AN1378="",0,AN1378)+AD1378))),"")</f>
        <v>-18</v>
      </c>
      <c r="Y1378" s="53" t="str">
        <f t="shared" si="592"/>
        <v>n/a</v>
      </c>
      <c r="Z1378" s="52">
        <f>IF(L1378="","",INDEX('Aub Demand'!H:H,MATCH($O1378,'Aub Demand'!$A:$A,0)))</f>
        <v>0</v>
      </c>
      <c r="AA1378" s="52" t="str">
        <f t="shared" si="593"/>
        <v>-spike-</v>
      </c>
      <c r="AB1378" s="52">
        <f>IFERROR(INDEX('Aub Demand'!L:L,MATCH($O1378,'Aub Demand'!$A:$A,0)),"")</f>
        <v>26</v>
      </c>
      <c r="AC1378" s="52">
        <f>IFERROR(IF(O1378="","",SUMIFS('CPL Mats'!F:F,'CPL Mats'!Q:Q,AR1378,'CPL Mats'!S:S,AS1378)),"")</f>
        <v>0</v>
      </c>
      <c r="AF1378" s="25" t="str">
        <f>IF(SUMIFS('Supp Consol'!S:S,'Supp Consol'!Y:Y,"Releasable",'Supp Consol'!A:A,O1378)=0,"",SUMIFS('Supp Consol'!S:S,'Supp Consol'!Y:Y,"Releasable",'Supp Consol'!A:A,O1378))</f>
        <v/>
      </c>
      <c r="AG1378" s="25">
        <f>IFERROR(INDEX('Hun Demand'!Q:Q,MATCH(O1378,'Hun Demand'!A:A,0)),"")</f>
        <v>220</v>
      </c>
      <c r="AH1378" s="25">
        <f>IFERROR(INDEX('Hun Demand'!H:H,MATCH($O1378,'Hun Demand'!$A:$A,0)),"")</f>
        <v>0</v>
      </c>
      <c r="AI1378" s="25" t="str">
        <f>IF(SUMIFS('Supp Consol'!AA:AA,'Supp Consol'!Z:Z,"Expires this month",'Supp Consol'!A:A,O1378)=0,"",SUMIFS('Supp Consol'!AA:AA,'Supp Consol'!Z:Z,"Expires this month",'Supp Consol'!A:A,O1378))</f>
        <v/>
      </c>
      <c r="AJ1378" s="25" t="str">
        <f>IF(SUMIFS('Supp Consol'!AA:AA,'Supp Consol'!Z:Z,"Expired Previous Months",'Supp Consol'!A:A,O1378)=0,"",SUMIFS('Supp Consol'!AA:AA,'Supp Consol'!Z:Z,"Expired Previous Months",'Supp Consol'!A:A,O1378))</f>
        <v/>
      </c>
      <c r="AK1378" s="25" t="str">
        <f>IFERROR(INDEX('Hun Release Current'!B:B,MATCH(O1378,'Hun Release Current'!A:A,0)),"")</f>
        <v/>
      </c>
      <c r="AL1378" s="25" t="str">
        <f>IF(SUMIF('Prev Aub'!A:A,O1378,'Prev Aub'!B:B)=0,"",SUMIF('Prev Aub'!A:A,O1378,'Prev Aub'!B:B))</f>
        <v/>
      </c>
      <c r="AN1378" s="25" t="s">
        <v>3790</v>
      </c>
      <c r="AO1378" s="25" t="s">
        <v>3790</v>
      </c>
      <c r="AP1378" s="25">
        <f t="shared" si="594"/>
        <v>0</v>
      </c>
      <c r="AQ1378" s="151" t="str">
        <f>IF(SUMIFS('Supp Consol'!S:S,'Supp Consol'!A:A,O1378,'Supp Consol'!I:I,"PENDING")=0,"",SUMIFS('Supp Consol'!S:S,'Supp Consol'!A:A,O1378,'Supp Consol'!I:I,"PENDING"))</f>
        <v/>
      </c>
      <c r="AR1378" s="27" t="str">
        <f t="shared" si="595"/>
        <v>WK023</v>
      </c>
      <c r="AS1378" s="27" t="str">
        <f t="shared" si="596"/>
        <v>50</v>
      </c>
      <c r="AT1378" s="27" t="str">
        <f t="shared" si="597"/>
        <v/>
      </c>
      <c r="AU1378" s="27" t="str">
        <f t="shared" si="598"/>
        <v/>
      </c>
      <c r="AV1378" s="27" t="str">
        <f t="shared" si="599"/>
        <v/>
      </c>
      <c r="AW1378" s="27" t="str">
        <f t="shared" si="600"/>
        <v/>
      </c>
      <c r="AX1378" s="27" t="str">
        <f t="shared" si="601"/>
        <v/>
      </c>
      <c r="AY1378" s="27" t="str">
        <f t="shared" si="602"/>
        <v>WK023</v>
      </c>
      <c r="AZ1378" s="27" t="str">
        <f t="shared" si="603"/>
        <v/>
      </c>
      <c r="BA1378" s="27" t="str">
        <f t="shared" si="604"/>
        <v>Hun</v>
      </c>
      <c r="BB1378" s="27" t="str">
        <f t="shared" si="605"/>
        <v/>
      </c>
      <c r="BC1378" s="27" t="str">
        <f t="shared" si="606"/>
        <v/>
      </c>
      <c r="BD1378" s="27" t="str">
        <f t="shared" si="607"/>
        <v/>
      </c>
      <c r="BE1378" s="27" t="str">
        <f t="shared" si="608"/>
        <v/>
      </c>
      <c r="BF1378" s="27" t="str">
        <f t="shared" si="609"/>
        <v/>
      </c>
      <c r="BG1378" s="27" t="str">
        <f t="shared" si="610"/>
        <v/>
      </c>
      <c r="BH1378" s="27" t="str">
        <f t="shared" si="611"/>
        <v/>
      </c>
      <c r="BI1378" s="27" t="str">
        <f t="shared" si="612"/>
        <v/>
      </c>
      <c r="BJ1378" s="27" t="str">
        <f t="shared" si="613"/>
        <v>Supp or Hun</v>
      </c>
      <c r="BK1378" s="27" t="str">
        <f t="shared" si="614"/>
        <v/>
      </c>
      <c r="BL1378" s="27" t="str">
        <f t="shared" si="615"/>
        <v/>
      </c>
      <c r="BM1378" s="21" t="s">
        <v>5581</v>
      </c>
    </row>
    <row r="1379" spans="1:65" ht="15">
      <c r="A1379" s="25" t="str">
        <f>IFERROR(INDEX('Hun Demand'!W:W,MATCH(O1379,'Hun Demand'!A:A,0)),"")</f>
        <v/>
      </c>
      <c r="B1379" s="25" t="str">
        <f>IFERROR(INDEX('Hun Demand'!V:V,MATCH(O1379,'Hun Demand'!A:A,0)),"")</f>
        <v/>
      </c>
      <c r="C1379" s="25" t="str">
        <f>IFERROR(INDEX('Hun Demand'!U:U,MATCH(O1379,'Hun Demand'!A:A,0)),"")</f>
        <v/>
      </c>
      <c r="D1379" s="25" t="str">
        <f>IFERROR(INDEX('Hun Demand'!T:T,MATCH(O1379,'Hun Demand'!A:A,0)),"")</f>
        <v/>
      </c>
      <c r="E1379" s="25" t="str">
        <f>IFERROR(INDEX('Hun Demand'!S:S,MATCH(O1379,'Hun Demand'!A:A,0)),"")</f>
        <v/>
      </c>
      <c r="F1379" s="25" t="str">
        <f>IFERROR(INDEX('Hun Demand'!R:R,MATCH(O1379,'Hun Demand'!A:A,0)),"")</f>
        <v/>
      </c>
      <c r="G1379" s="25">
        <f>IFERROR(INDEX('Aub Demand'!W:W,MATCH(O1379,'Aub Demand'!A:A,0)),"")</f>
        <v>0</v>
      </c>
      <c r="H1379" s="25">
        <f>IFERROR(INDEX('Aub Demand'!V:V,MATCH(O1379,'Aub Demand'!A:A,0)),"")</f>
        <v>0</v>
      </c>
      <c r="I1379" s="25">
        <f>IFERROR(INDEX('Aub Demand'!U:U,MATCH(O1379,'Aub Demand'!A:A,0)),"")</f>
        <v>0</v>
      </c>
      <c r="J1379" s="25">
        <f>IFERROR(INDEX('Aub Demand'!T:T,MATCH(O1379,'Aub Demand'!A:A,0)),"")</f>
        <v>0</v>
      </c>
      <c r="K1379" s="25">
        <f>IFERROR(INDEX('Aub Demand'!S:S,MATCH(O1379,'Aub Demand'!A:A,0)),"")</f>
        <v>53</v>
      </c>
      <c r="L1379" s="25">
        <f>IFERROR(INDEX('Aub Demand'!R:R,MATCH(O1379,'Aub Demand'!A:A,0)),"")</f>
        <v>0</v>
      </c>
      <c r="O1379" s="27" t="s">
        <v>2980</v>
      </c>
      <c r="P1379" s="27" t="str">
        <f>IFERROR(INDEX('Aub Demand'!B:B,MATCH($O1379,'Aub Demand'!$A:$A,0)),"")</f>
        <v>MAROCCHINO</v>
      </c>
      <c r="Q1379" s="27" t="str">
        <f>IFERROR(INDEX('Aub Demand'!C:C,MATCH($O1379,'Aub Demand'!$A:$A,0)),"")</f>
        <v>SCHAT</v>
      </c>
      <c r="R1379" s="52">
        <f>IFERROR(IF(AR1380=AR1379,INDEX('Aub Demand'!K:K,MATCH($O1379,'Aub Demand'!$A:$A,0))-IF(AN1379="",0,AN1379)+AP1380,INDEX('Aub Demand'!K:K,MATCH($O1379,'Aub Demand'!$A:$A,0))-IF(AN1379="",0,AN1379)),"")</f>
        <v>732</v>
      </c>
      <c r="S1379" s="53">
        <f t="shared" si="588"/>
        <v>174.3</v>
      </c>
      <c r="T1379" s="52" t="str">
        <f t="shared" si="589"/>
        <v/>
      </c>
      <c r="U1379" s="52">
        <f>IFERROR(IF(AR1380=AR1379,INDEX('Aub Demand'!Q:Q,MATCH($O1379,'Aub Demand'!$A:$A,0))-IF(AN1379="",0,AN1379)+AP1380,INDEX('Aub Demand'!Q:Q,MATCH($O1379,'Aub Demand'!$A:$A,0))-IF(AN1379="",0,AN1379)),"")</f>
        <v>721</v>
      </c>
      <c r="V1379" s="53">
        <f t="shared" si="590"/>
        <v>171.7</v>
      </c>
      <c r="W1379" s="52" t="str">
        <f t="shared" si="591"/>
        <v/>
      </c>
      <c r="X1379" s="52">
        <f>IFERROR(IF(AND(AR1380=AR1379,AM1379&lt;&gt;""),INDEX('Aub Demand'!Q:Q,MATCH($O1379,'Aub Demand'!$A:$A,0))-IF(AN1379="",0,AN1379)+AP1380+AD1379+AL1379,IF(AR1380=AR1379,INDEX('Aub Demand'!Q:Q,MATCH($O1379,'Aub Demand'!$A:$A,0))-IF(AN1379="",0,AN1379)+AP1380+AD1379,IF(AM1379&lt;&gt;"",INDEX('Aub Demand'!Q:Q,MATCH($O1379,'Aub Demand'!$A:$A,0))-IF(AN1379="",0,AN1379)+AD1379+AL1379,INDEX('Aub Demand'!Q:Q,MATCH($O1379,'Aub Demand'!$A:$A,0))-IF(AN1379="",0,AN1379)+AD1379))),"")</f>
        <v>721</v>
      </c>
      <c r="Y1379" s="53">
        <f t="shared" si="592"/>
        <v>171.7</v>
      </c>
      <c r="Z1379" s="52">
        <f>IF(L1379="","",INDEX('Aub Demand'!H:H,MATCH($O1379,'Aub Demand'!$A:$A,0)))</f>
        <v>18</v>
      </c>
      <c r="AA1379" s="52" t="str">
        <f t="shared" si="593"/>
        <v>-spike-</v>
      </c>
      <c r="AB1379" s="52">
        <f>IFERROR(INDEX('Aub Demand'!L:L,MATCH($O1379,'Aub Demand'!$A:$A,0)),"")</f>
        <v>6</v>
      </c>
      <c r="AC1379" s="52">
        <f>IFERROR(IF(O1379="","",SUMIFS('CPL Mats'!F:F,'CPL Mats'!Q:Q,AR1379,'CPL Mats'!S:S,AS1379)),"")</f>
        <v>0</v>
      </c>
      <c r="AF1379" s="25" t="str">
        <f>IF(SUMIFS('Supp Consol'!S:S,'Supp Consol'!Y:Y,"Releasable",'Supp Consol'!A:A,O1379)=0,"",SUMIFS('Supp Consol'!S:S,'Supp Consol'!Y:Y,"Releasable",'Supp Consol'!A:A,O1379))</f>
        <v/>
      </c>
      <c r="AG1379" s="25" t="str">
        <f>IFERROR(INDEX('Hun Demand'!Q:Q,MATCH(O1379,'Hun Demand'!A:A,0)),"")</f>
        <v/>
      </c>
      <c r="AH1379" s="25" t="str">
        <f>IFERROR(INDEX('Hun Demand'!H:H,MATCH($O1379,'Hun Demand'!$A:$A,0)),"")</f>
        <v/>
      </c>
      <c r="AI1379" s="25" t="str">
        <f>IF(SUMIFS('Supp Consol'!AA:AA,'Supp Consol'!Z:Z,"Expires this month",'Supp Consol'!A:A,O1379)=0,"",SUMIFS('Supp Consol'!AA:AA,'Supp Consol'!Z:Z,"Expires this month",'Supp Consol'!A:A,O1379))</f>
        <v/>
      </c>
      <c r="AJ1379" s="25" t="str">
        <f>IF(SUMIFS('Supp Consol'!AA:AA,'Supp Consol'!Z:Z,"Expired Previous Months",'Supp Consol'!A:A,O1379)=0,"",SUMIFS('Supp Consol'!AA:AA,'Supp Consol'!Z:Z,"Expired Previous Months",'Supp Consol'!A:A,O1379))</f>
        <v/>
      </c>
      <c r="AK1379" s="25" t="str">
        <f>IFERROR(INDEX('Hun Release Current'!B:B,MATCH(O1379,'Hun Release Current'!A:A,0)),"")</f>
        <v/>
      </c>
      <c r="AL1379" s="25" t="str">
        <f>IF(SUMIF('Prev Aub'!A:A,O1379,'Prev Aub'!B:B)=0,"",SUMIF('Prev Aub'!A:A,O1379,'Prev Aub'!B:B))</f>
        <v/>
      </c>
      <c r="AN1379" s="25" t="s">
        <v>3790</v>
      </c>
      <c r="AO1379" s="25" t="s">
        <v>3790</v>
      </c>
      <c r="AP1379" s="25">
        <f t="shared" si="594"/>
        <v>0</v>
      </c>
      <c r="AQ1379" s="151" t="str">
        <f>IF(SUMIFS('Supp Consol'!S:S,'Supp Consol'!A:A,O1379,'Supp Consol'!I:I,"PENDING")=0,"",SUMIFS('Supp Consol'!S:S,'Supp Consol'!A:A,O1379,'Supp Consol'!I:I,"PENDING"))</f>
        <v/>
      </c>
      <c r="AR1379" s="27" t="str">
        <f t="shared" si="595"/>
        <v>WK023</v>
      </c>
      <c r="AS1379" s="27" t="str">
        <f t="shared" si="596"/>
        <v>62</v>
      </c>
      <c r="AT1379" s="27" t="str">
        <f t="shared" si="597"/>
        <v/>
      </c>
      <c r="AU1379" s="27" t="str">
        <f t="shared" si="598"/>
        <v/>
      </c>
      <c r="AV1379" s="27" t="str">
        <f t="shared" si="599"/>
        <v/>
      </c>
      <c r="AW1379" s="27" t="str">
        <f t="shared" si="600"/>
        <v/>
      </c>
      <c r="AX1379" s="27" t="str">
        <f t="shared" si="601"/>
        <v/>
      </c>
      <c r="AY1379" s="27" t="str">
        <f t="shared" si="602"/>
        <v/>
      </c>
      <c r="AZ1379" s="27" t="str">
        <f t="shared" si="603"/>
        <v/>
      </c>
      <c r="BA1379" s="27" t="str">
        <f t="shared" si="604"/>
        <v>Hun</v>
      </c>
      <c r="BB1379" s="27" t="str">
        <f t="shared" si="605"/>
        <v/>
      </c>
      <c r="BC1379" s="27" t="str">
        <f t="shared" si="606"/>
        <v/>
      </c>
      <c r="BD1379" s="27" t="str">
        <f t="shared" si="607"/>
        <v/>
      </c>
      <c r="BE1379" s="27" t="str">
        <f t="shared" si="608"/>
        <v/>
      </c>
      <c r="BF1379" s="27" t="str">
        <f t="shared" si="609"/>
        <v/>
      </c>
      <c r="BG1379" s="27" t="str">
        <f t="shared" si="610"/>
        <v/>
      </c>
      <c r="BH1379" s="27" t="str">
        <f t="shared" si="611"/>
        <v/>
      </c>
      <c r="BI1379" s="27" t="str">
        <f t="shared" si="612"/>
        <v/>
      </c>
      <c r="BJ1379" s="27" t="str">
        <f t="shared" si="613"/>
        <v>Supp or Hun</v>
      </c>
      <c r="BK1379" s="27" t="str">
        <f t="shared" si="614"/>
        <v/>
      </c>
      <c r="BL1379" s="27" t="str">
        <f t="shared" si="615"/>
        <v/>
      </c>
      <c r="BM1379" s="21" t="s">
        <v>5581</v>
      </c>
    </row>
    <row r="1380" spans="1:65" ht="15">
      <c r="A1380" s="25">
        <f>IFERROR(INDEX('Hun Demand'!W:W,MATCH(O1380,'Hun Demand'!A:A,0)),"")</f>
        <v>0</v>
      </c>
      <c r="B1380" s="25">
        <f>IFERROR(INDEX('Hun Demand'!V:V,MATCH(O1380,'Hun Demand'!A:A,0)),"")</f>
        <v>275</v>
      </c>
      <c r="C1380" s="25">
        <f>IFERROR(INDEX('Hun Demand'!U:U,MATCH(O1380,'Hun Demand'!A:A,0)),"")</f>
        <v>0</v>
      </c>
      <c r="D1380" s="25">
        <f>IFERROR(INDEX('Hun Demand'!T:T,MATCH(O1380,'Hun Demand'!A:A,0)),"")</f>
        <v>0</v>
      </c>
      <c r="E1380" s="25">
        <f>IFERROR(INDEX('Hun Demand'!S:S,MATCH(O1380,'Hun Demand'!A:A,0)),"")</f>
        <v>0</v>
      </c>
      <c r="F1380" s="25">
        <f>IFERROR(INDEX('Hun Demand'!R:R,MATCH(O1380,'Hun Demand'!A:A,0)),"")</f>
        <v>0</v>
      </c>
      <c r="G1380" s="25">
        <f>IFERROR(INDEX('Aub Demand'!W:W,MATCH(O1380,'Aub Demand'!A:A,0)),"")</f>
        <v>90</v>
      </c>
      <c r="H1380" s="25">
        <f>IFERROR(INDEX('Aub Demand'!V:V,MATCH(O1380,'Aub Demand'!A:A,0)),"")</f>
        <v>1250</v>
      </c>
      <c r="I1380" s="25">
        <f>IFERROR(INDEX('Aub Demand'!U:U,MATCH(O1380,'Aub Demand'!A:A,0)),"")</f>
        <v>0</v>
      </c>
      <c r="J1380" s="25">
        <f>IFERROR(INDEX('Aub Demand'!T:T,MATCH(O1380,'Aub Demand'!A:A,0)),"")</f>
        <v>9</v>
      </c>
      <c r="K1380" s="25">
        <f>IFERROR(INDEX('Aub Demand'!S:S,MATCH(O1380,'Aub Demand'!A:A,0)),"")</f>
        <v>230</v>
      </c>
      <c r="L1380" s="25">
        <f>IFERROR(INDEX('Aub Demand'!R:R,MATCH(O1380,'Aub Demand'!A:A,0)),"")</f>
        <v>0</v>
      </c>
      <c r="O1380" s="27" t="s">
        <v>2981</v>
      </c>
      <c r="P1380" s="27" t="str">
        <f>IFERROR(INDEX('Aub Demand'!B:B,MATCH($O1380,'Aub Demand'!$A:$A,0)),"")</f>
        <v>PALAZZO</v>
      </c>
      <c r="Q1380" s="27" t="str">
        <f>IFERROR(INDEX('Aub Demand'!C:C,MATCH($O1380,'Aub Demand'!$A:$A,0)),"")</f>
        <v>SCHAT</v>
      </c>
      <c r="R1380" s="52">
        <f>IFERROR(IF(AR1381=AR1380,INDEX('Aub Demand'!K:K,MATCH($O1380,'Aub Demand'!$A:$A,0))-IF(AN1380="",0,AN1380)+AP1381,INDEX('Aub Demand'!K:K,MATCH($O1380,'Aub Demand'!$A:$A,0))-IF(AN1380="",0,AN1380)),"")</f>
        <v>546</v>
      </c>
      <c r="S1380" s="53">
        <f t="shared" si="588"/>
        <v>29.3</v>
      </c>
      <c r="T1380" s="52" t="str">
        <f t="shared" si="589"/>
        <v/>
      </c>
      <c r="U1380" s="52">
        <f>IFERROR(IF(AR1381=AR1380,INDEX('Aub Demand'!Q:Q,MATCH($O1380,'Aub Demand'!$A:$A,0))-IF(AN1380="",0,AN1380)+AP1381,INDEX('Aub Demand'!Q:Q,MATCH($O1380,'Aub Demand'!$A:$A,0))-IF(AN1380="",0,AN1380)),"")</f>
        <v>510</v>
      </c>
      <c r="V1380" s="53">
        <f t="shared" si="590"/>
        <v>27.3</v>
      </c>
      <c r="W1380" s="52" t="str">
        <f t="shared" si="591"/>
        <v/>
      </c>
      <c r="X1380" s="52">
        <f>IFERROR(IF(AND(AR1381=AR1380,AM1380&lt;&gt;""),INDEX('Aub Demand'!Q:Q,MATCH($O1380,'Aub Demand'!$A:$A,0))-IF(AN1380="",0,AN1380)+AP1381+AD1380+AL1380,IF(AR1381=AR1380,INDEX('Aub Demand'!Q:Q,MATCH($O1380,'Aub Demand'!$A:$A,0))-IF(AN1380="",0,AN1380)+AP1381+AD1380,IF(AM1380&lt;&gt;"",INDEX('Aub Demand'!Q:Q,MATCH($O1380,'Aub Demand'!$A:$A,0))-IF(AN1380="",0,AN1380)+AD1380+AL1380,INDEX('Aub Demand'!Q:Q,MATCH($O1380,'Aub Demand'!$A:$A,0))-IF(AN1380="",0,AN1380)+AD1380))),"")</f>
        <v>510</v>
      </c>
      <c r="Y1380" s="53">
        <f t="shared" si="592"/>
        <v>27.3</v>
      </c>
      <c r="Z1380" s="52">
        <f>IF(L1380="","",INDEX('Aub Demand'!H:H,MATCH($O1380,'Aub Demand'!$A:$A,0)))</f>
        <v>80</v>
      </c>
      <c r="AA1380" s="52">
        <f t="shared" si="593"/>
        <v>119.5</v>
      </c>
      <c r="AB1380" s="52">
        <f>IFERROR(INDEX('Aub Demand'!L:L,MATCH($O1380,'Aub Demand'!$A:$A,0)),"")</f>
        <v>206</v>
      </c>
      <c r="AC1380" s="52">
        <f>IFERROR(IF(O1380="","",SUMIFS('CPL Mats'!F:F,'CPL Mats'!Q:Q,AR1380,'CPL Mats'!S:S,AS1380)),"")</f>
        <v>2200</v>
      </c>
      <c r="AF1380" s="25" t="str">
        <f>IF(SUMIFS('Supp Consol'!S:S,'Supp Consol'!Y:Y,"Releasable",'Supp Consol'!A:A,O1380)=0,"",SUMIFS('Supp Consol'!S:S,'Supp Consol'!Y:Y,"Releasable",'Supp Consol'!A:A,O1380))</f>
        <v/>
      </c>
      <c r="AG1380" s="25">
        <f>IFERROR(INDEX('Hun Demand'!Q:Q,MATCH(O1380,'Hun Demand'!A:A,0)),"")</f>
        <v>913</v>
      </c>
      <c r="AH1380" s="25">
        <f>IFERROR(INDEX('Hun Demand'!H:H,MATCH($O1380,'Hun Demand'!$A:$A,0)),"")</f>
        <v>0</v>
      </c>
      <c r="AI1380" s="25" t="str">
        <f>IF(SUMIFS('Supp Consol'!AA:AA,'Supp Consol'!Z:Z,"Expires this month",'Supp Consol'!A:A,O1380)=0,"",SUMIFS('Supp Consol'!AA:AA,'Supp Consol'!Z:Z,"Expires this month",'Supp Consol'!A:A,O1380))</f>
        <v/>
      </c>
      <c r="AJ1380" s="25" t="str">
        <f>IF(SUMIFS('Supp Consol'!AA:AA,'Supp Consol'!Z:Z,"Expired Previous Months",'Supp Consol'!A:A,O1380)=0,"",SUMIFS('Supp Consol'!AA:AA,'Supp Consol'!Z:Z,"Expired Previous Months",'Supp Consol'!A:A,O1380))</f>
        <v/>
      </c>
      <c r="AK1380" s="25" t="str">
        <f>IFERROR(INDEX('Hun Release Current'!B:B,MATCH(O1380,'Hun Release Current'!A:A,0)),"")</f>
        <v/>
      </c>
      <c r="AL1380" s="25" t="str">
        <f>IF(SUMIF('Prev Aub'!A:A,O1380,'Prev Aub'!B:B)=0,"",SUMIF('Prev Aub'!A:A,O1380,'Prev Aub'!B:B))</f>
        <v/>
      </c>
      <c r="AN1380" s="25" t="s">
        <v>3790</v>
      </c>
      <c r="AO1380" s="25" t="s">
        <v>3790</v>
      </c>
      <c r="AP1380" s="25">
        <f t="shared" si="594"/>
        <v>0</v>
      </c>
      <c r="AQ1380" s="151" t="str">
        <f>IF(SUMIFS('Supp Consol'!S:S,'Supp Consol'!A:A,O1380,'Supp Consol'!I:I,"PENDING")=0,"",SUMIFS('Supp Consol'!S:S,'Supp Consol'!A:A,O1380,'Supp Consol'!I:I,"PENDING"))</f>
        <v/>
      </c>
      <c r="AR1380" s="27" t="str">
        <f t="shared" si="595"/>
        <v>WK024</v>
      </c>
      <c r="AS1380" s="27" t="str">
        <f t="shared" si="596"/>
        <v>50</v>
      </c>
      <c r="AT1380" s="27" t="str">
        <f t="shared" si="597"/>
        <v/>
      </c>
      <c r="AU1380" s="27" t="str">
        <f t="shared" si="598"/>
        <v/>
      </c>
      <c r="AV1380" s="27" t="str">
        <f t="shared" si="599"/>
        <v/>
      </c>
      <c r="AW1380" s="27" t="str">
        <f t="shared" si="600"/>
        <v/>
      </c>
      <c r="AX1380" s="27" t="str">
        <f t="shared" si="601"/>
        <v/>
      </c>
      <c r="AY1380" s="27" t="str">
        <f t="shared" si="602"/>
        <v>WK024</v>
      </c>
      <c r="AZ1380" s="27" t="str">
        <f t="shared" si="603"/>
        <v/>
      </c>
      <c r="BA1380" s="27" t="str">
        <f t="shared" si="604"/>
        <v>Hun</v>
      </c>
      <c r="BB1380" s="27" t="str">
        <f t="shared" si="605"/>
        <v/>
      </c>
      <c r="BC1380" s="27" t="str">
        <f t="shared" si="606"/>
        <v/>
      </c>
      <c r="BD1380" s="27" t="str">
        <f t="shared" si="607"/>
        <v/>
      </c>
      <c r="BE1380" s="27" t="str">
        <f t="shared" si="608"/>
        <v/>
      </c>
      <c r="BF1380" s="27" t="str">
        <f t="shared" si="609"/>
        <v/>
      </c>
      <c r="BG1380" s="27" t="str">
        <f t="shared" si="610"/>
        <v/>
      </c>
      <c r="BH1380" s="27" t="str">
        <f t="shared" si="611"/>
        <v/>
      </c>
      <c r="BI1380" s="27" t="str">
        <f t="shared" si="612"/>
        <v/>
      </c>
      <c r="BJ1380" s="27" t="str">
        <f t="shared" si="613"/>
        <v>Supp or Hun</v>
      </c>
      <c r="BK1380" s="27" t="str">
        <f t="shared" si="614"/>
        <v/>
      </c>
      <c r="BL1380" s="27" t="str">
        <f t="shared" si="615"/>
        <v/>
      </c>
      <c r="BM1380" s="21" t="s">
        <v>5581</v>
      </c>
    </row>
    <row r="1381" spans="1:65" ht="15">
      <c r="A1381" s="25">
        <f>IFERROR(INDEX('Hun Demand'!W:W,MATCH(O1381,'Hun Demand'!A:A,0)),"")</f>
        <v>0</v>
      </c>
      <c r="B1381" s="25">
        <f>IFERROR(INDEX('Hun Demand'!V:V,MATCH(O1381,'Hun Demand'!A:A,0)),"")</f>
        <v>0</v>
      </c>
      <c r="C1381" s="25">
        <f>IFERROR(INDEX('Hun Demand'!U:U,MATCH(O1381,'Hun Demand'!A:A,0)),"")</f>
        <v>0</v>
      </c>
      <c r="D1381" s="25">
        <f>IFERROR(INDEX('Hun Demand'!T:T,MATCH(O1381,'Hun Demand'!A:A,0)),"")</f>
        <v>0</v>
      </c>
      <c r="E1381" s="25">
        <f>IFERROR(INDEX('Hun Demand'!S:S,MATCH(O1381,'Hun Demand'!A:A,0)),"")</f>
        <v>0</v>
      </c>
      <c r="F1381" s="25">
        <f>IFERROR(INDEX('Hun Demand'!R:R,MATCH(O1381,'Hun Demand'!A:A,0)),"")</f>
        <v>0</v>
      </c>
      <c r="G1381" s="25">
        <f>IFERROR(INDEX('Aub Demand'!W:W,MATCH(O1381,'Aub Demand'!A:A,0)),"")</f>
        <v>0</v>
      </c>
      <c r="H1381" s="25">
        <f>IFERROR(INDEX('Aub Demand'!V:V,MATCH(O1381,'Aub Demand'!A:A,0)),"")</f>
        <v>0</v>
      </c>
      <c r="I1381" s="25">
        <f>IFERROR(INDEX('Aub Demand'!U:U,MATCH(O1381,'Aub Demand'!A:A,0)),"")</f>
        <v>136</v>
      </c>
      <c r="J1381" s="25">
        <f>IFERROR(INDEX('Aub Demand'!T:T,MATCH(O1381,'Aub Demand'!A:A,0)),"")</f>
        <v>0</v>
      </c>
      <c r="K1381" s="25">
        <f>IFERROR(INDEX('Aub Demand'!S:S,MATCH(O1381,'Aub Demand'!A:A,0)),"")</f>
        <v>15</v>
      </c>
      <c r="L1381" s="25">
        <f>IFERROR(INDEX('Aub Demand'!R:R,MATCH(O1381,'Aub Demand'!A:A,0)),"")</f>
        <v>0</v>
      </c>
      <c r="O1381" s="27" t="s">
        <v>2983</v>
      </c>
      <c r="P1381" s="27" t="str">
        <f>IFERROR(INDEX('Aub Demand'!B:B,MATCH($O1381,'Aub Demand'!$A:$A,0)),"")</f>
        <v>PALAZZO</v>
      </c>
      <c r="Q1381" s="27" t="str">
        <f>IFERROR(INDEX('Aub Demand'!C:C,MATCH($O1381,'Aub Demand'!$A:$A,0)),"")</f>
        <v>SCHAT</v>
      </c>
      <c r="R1381" s="52">
        <f>IFERROR(IF(AR1382=AR1381,INDEX('Aub Demand'!K:K,MATCH($O1381,'Aub Demand'!$A:$A,0))-IF(AN1381="",0,AN1381)+AP1382,INDEX('Aub Demand'!K:K,MATCH($O1381,'Aub Demand'!$A:$A,0))-IF(AN1381="",0,AN1381)),"")</f>
        <v>1317</v>
      </c>
      <c r="S1381" s="53">
        <f t="shared" si="588"/>
        <v>112.9</v>
      </c>
      <c r="T1381" s="52" t="str">
        <f t="shared" si="589"/>
        <v/>
      </c>
      <c r="U1381" s="52">
        <f>IFERROR(IF(AR1382=AR1381,INDEX('Aub Demand'!Q:Q,MATCH($O1381,'Aub Demand'!$A:$A,0))-IF(AN1381="",0,AN1381)+AP1382,INDEX('Aub Demand'!Q:Q,MATCH($O1381,'Aub Demand'!$A:$A,0))-IF(AN1381="",0,AN1381)),"")</f>
        <v>1317</v>
      </c>
      <c r="V1381" s="53">
        <f t="shared" si="590"/>
        <v>112.9</v>
      </c>
      <c r="W1381" s="52" t="str">
        <f t="shared" si="591"/>
        <v/>
      </c>
      <c r="X1381" s="52">
        <f>IFERROR(IF(AND(AR1382=AR1381,AM1381&lt;&gt;""),INDEX('Aub Demand'!Q:Q,MATCH($O1381,'Aub Demand'!$A:$A,0))-IF(AN1381="",0,AN1381)+AP1382+AD1381+AL1381,IF(AR1382=AR1381,INDEX('Aub Demand'!Q:Q,MATCH($O1381,'Aub Demand'!$A:$A,0))-IF(AN1381="",0,AN1381)+AP1382+AD1381,IF(AM1381&lt;&gt;"",INDEX('Aub Demand'!Q:Q,MATCH($O1381,'Aub Demand'!$A:$A,0))-IF(AN1381="",0,AN1381)+AD1381+AL1381,INDEX('Aub Demand'!Q:Q,MATCH($O1381,'Aub Demand'!$A:$A,0))-IF(AN1381="",0,AN1381)+AD1381))),"")</f>
        <v>1317</v>
      </c>
      <c r="Y1381" s="53">
        <f t="shared" si="592"/>
        <v>112.9</v>
      </c>
      <c r="Z1381" s="52">
        <f>IF(L1381="","",INDEX('Aub Demand'!H:H,MATCH($O1381,'Aub Demand'!$A:$A,0)))</f>
        <v>50</v>
      </c>
      <c r="AA1381" s="52">
        <f t="shared" si="593"/>
        <v>75.5</v>
      </c>
      <c r="AB1381" s="52">
        <f>IFERROR(INDEX('Aub Demand'!L:L,MATCH($O1381,'Aub Demand'!$A:$A,0)),"")</f>
        <v>0</v>
      </c>
      <c r="AC1381" s="52">
        <f>IFERROR(IF(O1381="","",SUMIFS('CPL Mats'!F:F,'CPL Mats'!Q:Q,AR1381,'CPL Mats'!S:S,AS1381)),"")</f>
        <v>0</v>
      </c>
      <c r="AF1381" s="25" t="str">
        <f>IF(SUMIFS('Supp Consol'!S:S,'Supp Consol'!Y:Y,"Releasable",'Supp Consol'!A:A,O1381)=0,"",SUMIFS('Supp Consol'!S:S,'Supp Consol'!Y:Y,"Releasable",'Supp Consol'!A:A,O1381))</f>
        <v/>
      </c>
      <c r="AG1381" s="25">
        <f>IFERROR(INDEX('Hun Demand'!Q:Q,MATCH(O1381,'Hun Demand'!A:A,0)),"")</f>
        <v>161</v>
      </c>
      <c r="AH1381" s="25">
        <f>IFERROR(INDEX('Hun Demand'!H:H,MATCH($O1381,'Hun Demand'!$A:$A,0)),"")</f>
        <v>0</v>
      </c>
      <c r="AI1381" s="25" t="str">
        <f>IF(SUMIFS('Supp Consol'!AA:AA,'Supp Consol'!Z:Z,"Expires this month",'Supp Consol'!A:A,O1381)=0,"",SUMIFS('Supp Consol'!AA:AA,'Supp Consol'!Z:Z,"Expires this month",'Supp Consol'!A:A,O1381))</f>
        <v/>
      </c>
      <c r="AJ1381" s="25" t="str">
        <f>IF(SUMIFS('Supp Consol'!AA:AA,'Supp Consol'!Z:Z,"Expired Previous Months",'Supp Consol'!A:A,O1381)=0,"",SUMIFS('Supp Consol'!AA:AA,'Supp Consol'!Z:Z,"Expired Previous Months",'Supp Consol'!A:A,O1381))</f>
        <v/>
      </c>
      <c r="AK1381" s="25" t="str">
        <f>IFERROR(INDEX('Hun Release Current'!B:B,MATCH(O1381,'Hun Release Current'!A:A,0)),"")</f>
        <v/>
      </c>
      <c r="AL1381" s="25" t="str">
        <f>IF(SUMIF('Prev Aub'!A:A,O1381,'Prev Aub'!B:B)=0,"",SUMIF('Prev Aub'!A:A,O1381,'Prev Aub'!B:B))</f>
        <v/>
      </c>
      <c r="AN1381" s="25" t="s">
        <v>3790</v>
      </c>
      <c r="AO1381" s="25" t="s">
        <v>3790</v>
      </c>
      <c r="AP1381" s="25">
        <f t="shared" si="594"/>
        <v>0</v>
      </c>
      <c r="AQ1381" s="151" t="str">
        <f>IF(SUMIFS('Supp Consol'!S:S,'Supp Consol'!A:A,O1381,'Supp Consol'!I:I,"PENDING")=0,"",SUMIFS('Supp Consol'!S:S,'Supp Consol'!A:A,O1381,'Supp Consol'!I:I,"PENDING"))</f>
        <v/>
      </c>
      <c r="AR1381" s="27" t="str">
        <f t="shared" si="595"/>
        <v>WK024</v>
      </c>
      <c r="AS1381" s="27" t="str">
        <f t="shared" si="596"/>
        <v>62</v>
      </c>
      <c r="AT1381" s="27" t="str">
        <f t="shared" si="597"/>
        <v/>
      </c>
      <c r="AU1381" s="27" t="str">
        <f t="shared" si="598"/>
        <v/>
      </c>
      <c r="AV1381" s="27" t="str">
        <f t="shared" si="599"/>
        <v/>
      </c>
      <c r="AW1381" s="27" t="str">
        <f t="shared" si="600"/>
        <v/>
      </c>
      <c r="AX1381" s="27" t="str">
        <f t="shared" si="601"/>
        <v/>
      </c>
      <c r="AY1381" s="27" t="str">
        <f t="shared" si="602"/>
        <v>WK024</v>
      </c>
      <c r="AZ1381" s="27" t="str">
        <f t="shared" si="603"/>
        <v/>
      </c>
      <c r="BA1381" s="27" t="str">
        <f t="shared" si="604"/>
        <v>Hun</v>
      </c>
      <c r="BB1381" s="27" t="str">
        <f t="shared" si="605"/>
        <v/>
      </c>
      <c r="BC1381" s="27" t="str">
        <f t="shared" si="606"/>
        <v/>
      </c>
      <c r="BD1381" s="27" t="str">
        <f t="shared" si="607"/>
        <v/>
      </c>
      <c r="BE1381" s="27" t="str">
        <f t="shared" si="608"/>
        <v/>
      </c>
      <c r="BF1381" s="27" t="str">
        <f t="shared" si="609"/>
        <v/>
      </c>
      <c r="BG1381" s="27" t="str">
        <f t="shared" si="610"/>
        <v/>
      </c>
      <c r="BH1381" s="27" t="str">
        <f t="shared" si="611"/>
        <v/>
      </c>
      <c r="BI1381" s="27" t="str">
        <f t="shared" si="612"/>
        <v/>
      </c>
      <c r="BJ1381" s="27" t="str">
        <f t="shared" si="613"/>
        <v>Supp or Hun</v>
      </c>
      <c r="BK1381" s="27" t="str">
        <f t="shared" si="614"/>
        <v/>
      </c>
      <c r="BL1381" s="27" t="str">
        <f t="shared" si="615"/>
        <v/>
      </c>
      <c r="BM1381" s="21" t="s">
        <v>5581</v>
      </c>
    </row>
    <row r="1382" spans="1:65" ht="15">
      <c r="A1382" s="25" t="str">
        <f>IFERROR(INDEX('Hun Demand'!W:W,MATCH(O1382,'Hun Demand'!A:A,0)),"")</f>
        <v/>
      </c>
      <c r="B1382" s="25" t="str">
        <f>IFERROR(INDEX('Hun Demand'!V:V,MATCH(O1382,'Hun Demand'!A:A,0)),"")</f>
        <v/>
      </c>
      <c r="C1382" s="25" t="str">
        <f>IFERROR(INDEX('Hun Demand'!U:U,MATCH(O1382,'Hun Demand'!A:A,0)),"")</f>
        <v/>
      </c>
      <c r="D1382" s="25" t="str">
        <f>IFERROR(INDEX('Hun Demand'!T:T,MATCH(O1382,'Hun Demand'!A:A,0)),"")</f>
        <v/>
      </c>
      <c r="E1382" s="25" t="str">
        <f>IFERROR(INDEX('Hun Demand'!S:S,MATCH(O1382,'Hun Demand'!A:A,0)),"")</f>
        <v/>
      </c>
      <c r="F1382" s="25" t="str">
        <f>IFERROR(INDEX('Hun Demand'!R:R,MATCH(O1382,'Hun Demand'!A:A,0)),"")</f>
        <v/>
      </c>
      <c r="G1382" s="25">
        <f>IFERROR(INDEX('Aub Demand'!W:W,MATCH(O1382,'Aub Demand'!A:A,0)),"")</f>
        <v>84</v>
      </c>
      <c r="H1382" s="25">
        <f>IFERROR(INDEX('Aub Demand'!V:V,MATCH(O1382,'Aub Demand'!A:A,0)),"")</f>
        <v>358</v>
      </c>
      <c r="I1382" s="25">
        <f>IFERROR(INDEX('Aub Demand'!U:U,MATCH(O1382,'Aub Demand'!A:A,0)),"")</f>
        <v>132</v>
      </c>
      <c r="J1382" s="25">
        <f>IFERROR(INDEX('Aub Demand'!T:T,MATCH(O1382,'Aub Demand'!A:A,0)),"")</f>
        <v>66</v>
      </c>
      <c r="K1382" s="25">
        <f>IFERROR(INDEX('Aub Demand'!S:S,MATCH(O1382,'Aub Demand'!A:A,0)),"")</f>
        <v>0</v>
      </c>
      <c r="L1382" s="25">
        <f>IFERROR(INDEX('Aub Demand'!R:R,MATCH(O1382,'Aub Demand'!A:A,0)),"")</f>
        <v>0</v>
      </c>
      <c r="O1382" s="27" t="s">
        <v>2984</v>
      </c>
      <c r="P1382" s="27" t="str">
        <f>IFERROR(INDEX('Aub Demand'!B:B,MATCH($O1382,'Aub Demand'!$A:$A,0)),"")</f>
        <v>CHAI</v>
      </c>
      <c r="Q1382" s="27" t="str">
        <f>IFERROR(INDEX('Aub Demand'!C:C,MATCH($O1382,'Aub Demand'!$A:$A,0)),"")</f>
        <v>INTER</v>
      </c>
      <c r="R1382" s="52">
        <f>IFERROR(IF(AR1383=AR1382,INDEX('Aub Demand'!K:K,MATCH($O1382,'Aub Demand'!$A:$A,0))-IF(AN1382="",0,AN1382)+AP1383,INDEX('Aub Demand'!K:K,MATCH($O1382,'Aub Demand'!$A:$A,0))-IF(AN1382="",0,AN1382)),"")</f>
        <v>502</v>
      </c>
      <c r="S1382" s="53">
        <f t="shared" si="588"/>
        <v>32.6</v>
      </c>
      <c r="T1382" s="52" t="str">
        <f t="shared" si="589"/>
        <v/>
      </c>
      <c r="U1382" s="52">
        <f>IFERROR(IF(AR1383=AR1382,INDEX('Aub Demand'!Q:Q,MATCH($O1382,'Aub Demand'!$A:$A,0))-IF(AN1382="",0,AN1382)+AP1383,INDEX('Aub Demand'!Q:Q,MATCH($O1382,'Aub Demand'!$A:$A,0))-IF(AN1382="",0,AN1382)),"")</f>
        <v>502</v>
      </c>
      <c r="V1382" s="53">
        <f t="shared" si="590"/>
        <v>32.6</v>
      </c>
      <c r="W1382" s="52" t="str">
        <f t="shared" si="591"/>
        <v/>
      </c>
      <c r="X1382" s="52">
        <f>IFERROR(IF(AND(AR1383=AR1382,AM1382&lt;&gt;""),INDEX('Aub Demand'!Q:Q,MATCH($O1382,'Aub Demand'!$A:$A,0))-IF(AN1382="",0,AN1382)+AP1383+AD1382+AL1382,IF(AR1383=AR1382,INDEX('Aub Demand'!Q:Q,MATCH($O1382,'Aub Demand'!$A:$A,0))-IF(AN1382="",0,AN1382)+AP1383+AD1382,IF(AM1382&lt;&gt;"",INDEX('Aub Demand'!Q:Q,MATCH($O1382,'Aub Demand'!$A:$A,0))-IF(AN1382="",0,AN1382)+AD1382+AL1382,INDEX('Aub Demand'!Q:Q,MATCH($O1382,'Aub Demand'!$A:$A,0))-IF(AN1382="",0,AN1382)+AD1382))),"")</f>
        <v>502</v>
      </c>
      <c r="Y1382" s="53">
        <f t="shared" si="592"/>
        <v>32.6</v>
      </c>
      <c r="Z1382" s="52">
        <f>IF(L1382="","",INDEX('Aub Demand'!H:H,MATCH($O1382,'Aub Demand'!$A:$A,0)))</f>
        <v>66</v>
      </c>
      <c r="AA1382" s="52">
        <f t="shared" si="593"/>
        <v>99</v>
      </c>
      <c r="AB1382" s="52">
        <f>IFERROR(INDEX('Aub Demand'!L:L,MATCH($O1382,'Aub Demand'!$A:$A,0)),"")</f>
        <v>8</v>
      </c>
      <c r="AC1382" s="52">
        <f>IFERROR(IF(O1382="","",SUMIFS('CPL Mats'!F:F,'CPL Mats'!Q:Q,AR1382,'CPL Mats'!S:S,AS1382)),"")</f>
        <v>0</v>
      </c>
      <c r="AF1382" s="25">
        <f>IF(SUMIFS('Supp Consol'!S:S,'Supp Consol'!Y:Y,"Releasable",'Supp Consol'!A:A,O1382)=0,"",SUMIFS('Supp Consol'!S:S,'Supp Consol'!Y:Y,"Releasable",'Supp Consol'!A:A,O1382))</f>
        <v>706</v>
      </c>
      <c r="AG1382" s="25" t="str">
        <f>IFERROR(INDEX('Hun Demand'!Q:Q,MATCH(O1382,'Hun Demand'!A:A,0)),"")</f>
        <v/>
      </c>
      <c r="AH1382" s="25" t="str">
        <f>IFERROR(INDEX('Hun Demand'!H:H,MATCH($O1382,'Hun Demand'!$A:$A,0)),"")</f>
        <v/>
      </c>
      <c r="AI1382" s="25" t="str">
        <f>IF(SUMIFS('Supp Consol'!AA:AA,'Supp Consol'!Z:Z,"Expires this month",'Supp Consol'!A:A,O1382)=0,"",SUMIFS('Supp Consol'!AA:AA,'Supp Consol'!Z:Z,"Expires this month",'Supp Consol'!A:A,O1382))</f>
        <v/>
      </c>
      <c r="AJ1382" s="25" t="str">
        <f>IF(SUMIFS('Supp Consol'!AA:AA,'Supp Consol'!Z:Z,"Expired Previous Months",'Supp Consol'!A:A,O1382)=0,"",SUMIFS('Supp Consol'!AA:AA,'Supp Consol'!Z:Z,"Expired Previous Months",'Supp Consol'!A:A,O1382))</f>
        <v/>
      </c>
      <c r="AK1382" s="25" t="str">
        <f>IFERROR(INDEX('Hun Release Current'!B:B,MATCH(O1382,'Hun Release Current'!A:A,0)),"")</f>
        <v/>
      </c>
      <c r="AL1382" s="25" t="str">
        <f>IF(SUMIF('Prev Aub'!A:A,O1382,'Prev Aub'!B:B)=0,"",SUMIF('Prev Aub'!A:A,O1382,'Prev Aub'!B:B))</f>
        <v/>
      </c>
      <c r="AN1382" s="25" t="s">
        <v>3790</v>
      </c>
      <c r="AO1382" s="25" t="s">
        <v>3790</v>
      </c>
      <c r="AP1382" s="25">
        <f t="shared" si="594"/>
        <v>0</v>
      </c>
      <c r="AQ1382" s="151" t="str">
        <f>IF(SUMIFS('Supp Consol'!S:S,'Supp Consol'!A:A,O1382,'Supp Consol'!I:I,"PENDING")=0,"",SUMIFS('Supp Consol'!S:S,'Supp Consol'!A:A,O1382,'Supp Consol'!I:I,"PENDING"))</f>
        <v/>
      </c>
      <c r="AR1382" s="27" t="str">
        <f t="shared" si="595"/>
        <v>WK025</v>
      </c>
      <c r="AS1382" s="27" t="str">
        <f t="shared" si="596"/>
        <v>50</v>
      </c>
      <c r="AT1382" s="27" t="str">
        <f t="shared" si="597"/>
        <v/>
      </c>
      <c r="AU1382" s="27" t="str">
        <f t="shared" si="598"/>
        <v/>
      </c>
      <c r="AV1382" s="27" t="str">
        <f t="shared" si="599"/>
        <v/>
      </c>
      <c r="AW1382" s="27" t="str">
        <f t="shared" si="600"/>
        <v/>
      </c>
      <c r="AX1382" s="27" t="str">
        <f t="shared" si="601"/>
        <v>WK025</v>
      </c>
      <c r="AY1382" s="27" t="str">
        <f t="shared" si="602"/>
        <v/>
      </c>
      <c r="AZ1382" s="27" t="str">
        <f t="shared" si="603"/>
        <v>Supp</v>
      </c>
      <c r="BA1382" s="27" t="str">
        <f t="shared" si="604"/>
        <v/>
      </c>
      <c r="BB1382" s="27" t="str">
        <f t="shared" si="605"/>
        <v/>
      </c>
      <c r="BC1382" s="27" t="str">
        <f t="shared" si="606"/>
        <v/>
      </c>
      <c r="BD1382" s="27" t="str">
        <f t="shared" si="607"/>
        <v/>
      </c>
      <c r="BE1382" s="27" t="str">
        <f t="shared" si="608"/>
        <v/>
      </c>
      <c r="BF1382" s="27" t="str">
        <f t="shared" si="609"/>
        <v/>
      </c>
      <c r="BG1382" s="27" t="str">
        <f t="shared" si="610"/>
        <v/>
      </c>
      <c r="BH1382" s="27" t="str">
        <f t="shared" si="611"/>
        <v/>
      </c>
      <c r="BI1382" s="27" t="str">
        <f t="shared" si="612"/>
        <v/>
      </c>
      <c r="BJ1382" s="27" t="str">
        <f t="shared" si="613"/>
        <v>Supp or Hun</v>
      </c>
      <c r="BK1382" s="27" t="str">
        <f t="shared" si="614"/>
        <v/>
      </c>
      <c r="BL1382" s="27" t="str">
        <f t="shared" si="615"/>
        <v/>
      </c>
      <c r="BM1382" s="21" t="s">
        <v>5581</v>
      </c>
    </row>
    <row r="1383" spans="1:65" ht="15">
      <c r="A1383" s="25" t="str">
        <f>IFERROR(INDEX('Hun Demand'!W:W,MATCH(O1383,'Hun Demand'!A:A,0)),"")</f>
        <v/>
      </c>
      <c r="B1383" s="25" t="str">
        <f>IFERROR(INDEX('Hun Demand'!V:V,MATCH(O1383,'Hun Demand'!A:A,0)),"")</f>
        <v/>
      </c>
      <c r="C1383" s="25" t="str">
        <f>IFERROR(INDEX('Hun Demand'!U:U,MATCH(O1383,'Hun Demand'!A:A,0)),"")</f>
        <v/>
      </c>
      <c r="D1383" s="25" t="str">
        <f>IFERROR(INDEX('Hun Demand'!T:T,MATCH(O1383,'Hun Demand'!A:A,0)),"")</f>
        <v/>
      </c>
      <c r="E1383" s="25" t="str">
        <f>IFERROR(INDEX('Hun Demand'!S:S,MATCH(O1383,'Hun Demand'!A:A,0)),"")</f>
        <v/>
      </c>
      <c r="F1383" s="25" t="str">
        <f>IFERROR(INDEX('Hun Demand'!R:R,MATCH(O1383,'Hun Demand'!A:A,0)),"")</f>
        <v/>
      </c>
      <c r="G1383" s="25">
        <f>IFERROR(INDEX('Aub Demand'!W:W,MATCH(O1383,'Aub Demand'!A:A,0)),"")</f>
        <v>584</v>
      </c>
      <c r="H1383" s="25">
        <f>IFERROR(INDEX('Aub Demand'!V:V,MATCH(O1383,'Aub Demand'!A:A,0)),"")</f>
        <v>940</v>
      </c>
      <c r="I1383" s="25">
        <f>IFERROR(INDEX('Aub Demand'!U:U,MATCH(O1383,'Aub Demand'!A:A,0)),"")</f>
        <v>0</v>
      </c>
      <c r="J1383" s="25">
        <f>IFERROR(INDEX('Aub Demand'!T:T,MATCH(O1383,'Aub Demand'!A:A,0)),"")</f>
        <v>26</v>
      </c>
      <c r="K1383" s="25">
        <f>IFERROR(INDEX('Aub Demand'!S:S,MATCH(O1383,'Aub Demand'!A:A,0)),"")</f>
        <v>0</v>
      </c>
      <c r="L1383" s="25">
        <f>IFERROR(INDEX('Aub Demand'!R:R,MATCH(O1383,'Aub Demand'!A:A,0)),"")</f>
        <v>0</v>
      </c>
      <c r="O1383" s="27" t="s">
        <v>2986</v>
      </c>
      <c r="P1383" s="27" t="str">
        <f>IFERROR(INDEX('Aub Demand'!B:B,MATCH($O1383,'Aub Demand'!$A:$A,0)),"")</f>
        <v>CHAI</v>
      </c>
      <c r="Q1383" s="27" t="str">
        <f>IFERROR(INDEX('Aub Demand'!C:C,MATCH($O1383,'Aub Demand'!$A:$A,0)),"")</f>
        <v>INTER</v>
      </c>
      <c r="R1383" s="52">
        <f>IFERROR(IF(AR1384=AR1383,INDEX('Aub Demand'!K:K,MATCH($O1383,'Aub Demand'!$A:$A,0))-IF(AN1383="",0,AN1383)+AP1384,INDEX('Aub Demand'!K:K,MATCH($O1383,'Aub Demand'!$A:$A,0))-IF(AN1383="",0,AN1383)),"")</f>
        <v>634</v>
      </c>
      <c r="S1383" s="53">
        <f t="shared" si="588"/>
        <v>301.89999999999998</v>
      </c>
      <c r="T1383" s="52" t="str">
        <f t="shared" si="589"/>
        <v/>
      </c>
      <c r="U1383" s="52">
        <f>IFERROR(IF(AR1384=AR1383,INDEX('Aub Demand'!Q:Q,MATCH($O1383,'Aub Demand'!$A:$A,0))-IF(AN1383="",0,AN1383)+AP1384,INDEX('Aub Demand'!Q:Q,MATCH($O1383,'Aub Demand'!$A:$A,0))-IF(AN1383="",0,AN1383)),"")</f>
        <v>634</v>
      </c>
      <c r="V1383" s="53">
        <f t="shared" si="590"/>
        <v>301.89999999999998</v>
      </c>
      <c r="W1383" s="52" t="str">
        <f t="shared" si="591"/>
        <v/>
      </c>
      <c r="X1383" s="52">
        <f>IFERROR(IF(AND(AR1384=AR1383,AM1383&lt;&gt;""),INDEX('Aub Demand'!Q:Q,MATCH($O1383,'Aub Demand'!$A:$A,0))-IF(AN1383="",0,AN1383)+AP1384+AD1383+AL1383,IF(AR1384=AR1383,INDEX('Aub Demand'!Q:Q,MATCH($O1383,'Aub Demand'!$A:$A,0))-IF(AN1383="",0,AN1383)+AP1384+AD1383,IF(AM1383&lt;&gt;"",INDEX('Aub Demand'!Q:Q,MATCH($O1383,'Aub Demand'!$A:$A,0))-IF(AN1383="",0,AN1383)+AD1383+AL1383,INDEX('Aub Demand'!Q:Q,MATCH($O1383,'Aub Demand'!$A:$A,0))-IF(AN1383="",0,AN1383)+AD1383))),"")</f>
        <v>634</v>
      </c>
      <c r="Y1383" s="53">
        <f t="shared" si="592"/>
        <v>301.89999999999998</v>
      </c>
      <c r="Z1383" s="52">
        <f>IF(L1383="","",INDEX('Aub Demand'!H:H,MATCH($O1383,'Aub Demand'!$A:$A,0)))</f>
        <v>9</v>
      </c>
      <c r="AA1383" s="52" t="str">
        <f t="shared" si="593"/>
        <v>-spike-</v>
      </c>
      <c r="AB1383" s="52">
        <f>IFERROR(INDEX('Aub Demand'!L:L,MATCH($O1383,'Aub Demand'!$A:$A,0)),"")</f>
        <v>0</v>
      </c>
      <c r="AC1383" s="52">
        <f>IFERROR(IF(O1383="","",SUMIFS('CPL Mats'!F:F,'CPL Mats'!Q:Q,AR1383,'CPL Mats'!S:S,AS1383)),"")</f>
        <v>0</v>
      </c>
      <c r="AF1383" s="25">
        <f>IF(SUMIFS('Supp Consol'!S:S,'Supp Consol'!Y:Y,"Releasable",'Supp Consol'!A:A,O1383)=0,"",SUMIFS('Supp Consol'!S:S,'Supp Consol'!Y:Y,"Releasable",'Supp Consol'!A:A,O1383))</f>
        <v>1706</v>
      </c>
      <c r="AG1383" s="25" t="str">
        <f>IFERROR(INDEX('Hun Demand'!Q:Q,MATCH(O1383,'Hun Demand'!A:A,0)),"")</f>
        <v/>
      </c>
      <c r="AH1383" s="25" t="str">
        <f>IFERROR(INDEX('Hun Demand'!H:H,MATCH($O1383,'Hun Demand'!$A:$A,0)),"")</f>
        <v/>
      </c>
      <c r="AI1383" s="25" t="str">
        <f>IF(SUMIFS('Supp Consol'!AA:AA,'Supp Consol'!Z:Z,"Expires this month",'Supp Consol'!A:A,O1383)=0,"",SUMIFS('Supp Consol'!AA:AA,'Supp Consol'!Z:Z,"Expires this month",'Supp Consol'!A:A,O1383))</f>
        <v/>
      </c>
      <c r="AJ1383" s="25" t="str">
        <f>IF(SUMIFS('Supp Consol'!AA:AA,'Supp Consol'!Z:Z,"Expired Previous Months",'Supp Consol'!A:A,O1383)=0,"",SUMIFS('Supp Consol'!AA:AA,'Supp Consol'!Z:Z,"Expired Previous Months",'Supp Consol'!A:A,O1383))</f>
        <v/>
      </c>
      <c r="AK1383" s="25" t="str">
        <f>IFERROR(INDEX('Hun Release Current'!B:B,MATCH(O1383,'Hun Release Current'!A:A,0)),"")</f>
        <v/>
      </c>
      <c r="AL1383" s="25" t="str">
        <f>IF(SUMIF('Prev Aub'!A:A,O1383,'Prev Aub'!B:B)=0,"",SUMIF('Prev Aub'!A:A,O1383,'Prev Aub'!B:B))</f>
        <v/>
      </c>
      <c r="AN1383" s="25" t="s">
        <v>3790</v>
      </c>
      <c r="AO1383" s="25" t="s">
        <v>3790</v>
      </c>
      <c r="AP1383" s="25">
        <f t="shared" si="594"/>
        <v>0</v>
      </c>
      <c r="AQ1383" s="151" t="str">
        <f>IF(SUMIFS('Supp Consol'!S:S,'Supp Consol'!A:A,O1383,'Supp Consol'!I:I,"PENDING")=0,"",SUMIFS('Supp Consol'!S:S,'Supp Consol'!A:A,O1383,'Supp Consol'!I:I,"PENDING"))</f>
        <v/>
      </c>
      <c r="AR1383" s="27" t="str">
        <f t="shared" si="595"/>
        <v>WK025</v>
      </c>
      <c r="AS1383" s="27" t="str">
        <f t="shared" si="596"/>
        <v>62</v>
      </c>
      <c r="AT1383" s="27" t="str">
        <f t="shared" si="597"/>
        <v/>
      </c>
      <c r="AU1383" s="27" t="str">
        <f t="shared" si="598"/>
        <v/>
      </c>
      <c r="AV1383" s="27" t="str">
        <f t="shared" si="599"/>
        <v/>
      </c>
      <c r="AW1383" s="27" t="str">
        <f t="shared" si="600"/>
        <v/>
      </c>
      <c r="AX1383" s="27" t="str">
        <f t="shared" si="601"/>
        <v>WK025</v>
      </c>
      <c r="AY1383" s="27" t="str">
        <f t="shared" si="602"/>
        <v/>
      </c>
      <c r="AZ1383" s="27" t="str">
        <f t="shared" si="603"/>
        <v>Supp</v>
      </c>
      <c r="BA1383" s="27" t="str">
        <f t="shared" si="604"/>
        <v/>
      </c>
      <c r="BB1383" s="27" t="str">
        <f t="shared" si="605"/>
        <v/>
      </c>
      <c r="BC1383" s="27" t="str">
        <f t="shared" si="606"/>
        <v/>
      </c>
      <c r="BD1383" s="27" t="str">
        <f t="shared" si="607"/>
        <v/>
      </c>
      <c r="BE1383" s="27" t="str">
        <f t="shared" si="608"/>
        <v/>
      </c>
      <c r="BF1383" s="27" t="str">
        <f t="shared" si="609"/>
        <v/>
      </c>
      <c r="BG1383" s="27" t="str">
        <f t="shared" si="610"/>
        <v/>
      </c>
      <c r="BH1383" s="27" t="str">
        <f t="shared" si="611"/>
        <v/>
      </c>
      <c r="BI1383" s="27" t="str">
        <f t="shared" si="612"/>
        <v/>
      </c>
      <c r="BJ1383" s="27" t="str">
        <f t="shared" si="613"/>
        <v>Supp or Hun</v>
      </c>
      <c r="BK1383" s="27" t="str">
        <f t="shared" si="614"/>
        <v/>
      </c>
      <c r="BL1383" s="27" t="str">
        <f t="shared" si="615"/>
        <v/>
      </c>
      <c r="BM1383" s="21" t="s">
        <v>5581</v>
      </c>
    </row>
    <row r="1384" spans="1:65" ht="15">
      <c r="A1384" s="25" t="str">
        <f>IFERROR(INDEX('Hun Demand'!W:W,MATCH(O1384,'Hun Demand'!A:A,0)),"")</f>
        <v/>
      </c>
      <c r="B1384" s="25" t="str">
        <f>IFERROR(INDEX('Hun Demand'!V:V,MATCH(O1384,'Hun Demand'!A:A,0)),"")</f>
        <v/>
      </c>
      <c r="C1384" s="25" t="str">
        <f>IFERROR(INDEX('Hun Demand'!U:U,MATCH(O1384,'Hun Demand'!A:A,0)),"")</f>
        <v/>
      </c>
      <c r="D1384" s="25" t="str">
        <f>IFERROR(INDEX('Hun Demand'!T:T,MATCH(O1384,'Hun Demand'!A:A,0)),"")</f>
        <v/>
      </c>
      <c r="E1384" s="25" t="str">
        <f>IFERROR(INDEX('Hun Demand'!S:S,MATCH(O1384,'Hun Demand'!A:A,0)),"")</f>
        <v/>
      </c>
      <c r="F1384" s="25" t="str">
        <f>IFERROR(INDEX('Hun Demand'!R:R,MATCH(O1384,'Hun Demand'!A:A,0)),"")</f>
        <v/>
      </c>
      <c r="G1384" s="25">
        <f>IFERROR(INDEX('Aub Demand'!W:W,MATCH(O1384,'Aub Demand'!A:A,0)),"")</f>
        <v>1139</v>
      </c>
      <c r="H1384" s="25">
        <f>IFERROR(INDEX('Aub Demand'!V:V,MATCH(O1384,'Aub Demand'!A:A,0)),"")</f>
        <v>31</v>
      </c>
      <c r="I1384" s="25">
        <f>IFERROR(INDEX('Aub Demand'!U:U,MATCH(O1384,'Aub Demand'!A:A,0)),"")</f>
        <v>15</v>
      </c>
      <c r="J1384" s="25">
        <f>IFERROR(INDEX('Aub Demand'!T:T,MATCH(O1384,'Aub Demand'!A:A,0)),"")</f>
        <v>152</v>
      </c>
      <c r="K1384" s="25">
        <f>IFERROR(INDEX('Aub Demand'!S:S,MATCH(O1384,'Aub Demand'!A:A,0)),"")</f>
        <v>286</v>
      </c>
      <c r="L1384" s="25">
        <f>IFERROR(INDEX('Aub Demand'!R:R,MATCH(O1384,'Aub Demand'!A:A,0)),"")</f>
        <v>0</v>
      </c>
      <c r="O1384" s="27" t="s">
        <v>2987</v>
      </c>
      <c r="P1384" s="27" t="str">
        <f>IFERROR(INDEX('Aub Demand'!B:B,MATCH($O1384,'Aub Demand'!$A:$A,0)),"")</f>
        <v>BAILEY</v>
      </c>
      <c r="Q1384" s="27" t="str">
        <f>IFERROR(INDEX('Aub Demand'!C:C,MATCH($O1384,'Aub Demand'!$A:$A,0)),"")</f>
        <v>INTER</v>
      </c>
      <c r="R1384" s="52">
        <f>IFERROR(IF(AR1385=AR1384,INDEX('Aub Demand'!K:K,MATCH($O1384,'Aub Demand'!$A:$A,0))-IF(AN1384="",0,AN1384)+AP1385,INDEX('Aub Demand'!K:K,MATCH($O1384,'Aub Demand'!$A:$A,0))-IF(AN1384="",0,AN1384)),"")</f>
        <v>0</v>
      </c>
      <c r="S1384" s="53">
        <f t="shared" si="588"/>
        <v>0</v>
      </c>
      <c r="T1384" s="52">
        <f t="shared" si="589"/>
        <v>164.25</v>
      </c>
      <c r="U1384" s="52">
        <f>IFERROR(IF(AR1385=AR1384,INDEX('Aub Demand'!Q:Q,MATCH($O1384,'Aub Demand'!$A:$A,0))-IF(AN1384="",0,AN1384)+AP1385,INDEX('Aub Demand'!Q:Q,MATCH($O1384,'Aub Demand'!$A:$A,0))-IF(AN1384="",0,AN1384)),"")</f>
        <v>-17</v>
      </c>
      <c r="V1384" s="53">
        <f t="shared" si="590"/>
        <v>-0.5</v>
      </c>
      <c r="W1384" s="52">
        <f t="shared" si="591"/>
        <v>191.625</v>
      </c>
      <c r="X1384" s="52">
        <f>IFERROR(IF(AND(AR1385=AR1384,AM1384&lt;&gt;""),INDEX('Aub Demand'!Q:Q,MATCH($O1384,'Aub Demand'!$A:$A,0))-IF(AN1384="",0,AN1384)+AP1385+AD1384+AL1384,IF(AR1385=AR1384,INDEX('Aub Demand'!Q:Q,MATCH($O1384,'Aub Demand'!$A:$A,0))-IF(AN1384="",0,AN1384)+AP1385+AD1384,IF(AM1384&lt;&gt;"",INDEX('Aub Demand'!Q:Q,MATCH($O1384,'Aub Demand'!$A:$A,0))-IF(AN1384="",0,AN1384)+AD1384+AL1384,INDEX('Aub Demand'!Q:Q,MATCH($O1384,'Aub Demand'!$A:$A,0))-IF(AN1384="",0,AN1384)+AD1384))),"")</f>
        <v>-17</v>
      </c>
      <c r="Y1384" s="53">
        <f t="shared" si="592"/>
        <v>-0.5</v>
      </c>
      <c r="Z1384" s="52">
        <f>IF(L1384="","",INDEX('Aub Demand'!H:H,MATCH($O1384,'Aub Demand'!$A:$A,0)))</f>
        <v>151</v>
      </c>
      <c r="AA1384" s="52">
        <f t="shared" si="593"/>
        <v>219</v>
      </c>
      <c r="AB1384" s="52">
        <f>IFERROR(INDEX('Aub Demand'!L:L,MATCH($O1384,'Aub Demand'!$A:$A,0)),"")</f>
        <v>283</v>
      </c>
      <c r="AC1384" s="52">
        <f>IFERROR(IF(O1384="","",SUMIFS('CPL Mats'!F:F,'CPL Mats'!Q:Q,AR1384,'CPL Mats'!S:S,AS1384)),"")</f>
        <v>4109</v>
      </c>
      <c r="AF1384" s="25" t="str">
        <f>IF(SUMIFS('Supp Consol'!S:S,'Supp Consol'!Y:Y,"Releasable",'Supp Consol'!A:A,O1384)=0,"",SUMIFS('Supp Consol'!S:S,'Supp Consol'!Y:Y,"Releasable",'Supp Consol'!A:A,O1384))</f>
        <v/>
      </c>
      <c r="AG1384" s="25" t="str">
        <f>IFERROR(INDEX('Hun Demand'!Q:Q,MATCH(O1384,'Hun Demand'!A:A,0)),"")</f>
        <v/>
      </c>
      <c r="AH1384" s="25" t="str">
        <f>IFERROR(INDEX('Hun Demand'!H:H,MATCH($O1384,'Hun Demand'!$A:$A,0)),"")</f>
        <v/>
      </c>
      <c r="AI1384" s="25" t="str">
        <f>IF(SUMIFS('Supp Consol'!AA:AA,'Supp Consol'!Z:Z,"Expires this month",'Supp Consol'!A:A,O1384)=0,"",SUMIFS('Supp Consol'!AA:AA,'Supp Consol'!Z:Z,"Expires this month",'Supp Consol'!A:A,O1384))</f>
        <v/>
      </c>
      <c r="AJ1384" s="25" t="str">
        <f>IF(SUMIFS('Supp Consol'!AA:AA,'Supp Consol'!Z:Z,"Expired Previous Months",'Supp Consol'!A:A,O1384)=0,"",SUMIFS('Supp Consol'!AA:AA,'Supp Consol'!Z:Z,"Expired Previous Months",'Supp Consol'!A:A,O1384))</f>
        <v/>
      </c>
      <c r="AK1384" s="25" t="str">
        <f>IFERROR(INDEX('Hun Release Current'!B:B,MATCH(O1384,'Hun Release Current'!A:A,0)),"")</f>
        <v/>
      </c>
      <c r="AL1384" s="25">
        <f>IF(SUMIF('Prev Aub'!A:A,O1384,'Prev Aub'!B:B)=0,"",SUMIF('Prev Aub'!A:A,O1384,'Prev Aub'!B:B))</f>
        <v>500</v>
      </c>
      <c r="AN1384" s="25" t="s">
        <v>3790</v>
      </c>
      <c r="AO1384" s="25" t="s">
        <v>3790</v>
      </c>
      <c r="AP1384" s="25">
        <f t="shared" si="594"/>
        <v>0</v>
      </c>
      <c r="AQ1384" s="151">
        <f>IF(SUMIFS('Supp Consol'!S:S,'Supp Consol'!A:A,O1384,'Supp Consol'!I:I,"PENDING")=0,"",SUMIFS('Supp Consol'!S:S,'Supp Consol'!A:A,O1384,'Supp Consol'!I:I,"PENDING"))</f>
        <v>1938</v>
      </c>
      <c r="AR1384" s="27" t="str">
        <f t="shared" si="595"/>
        <v>WK027</v>
      </c>
      <c r="AS1384" s="27" t="str">
        <f t="shared" si="596"/>
        <v>50</v>
      </c>
      <c r="AT1384" s="27" t="str">
        <f t="shared" si="597"/>
        <v>WK027</v>
      </c>
      <c r="AU1384" s="27" t="str">
        <f t="shared" si="598"/>
        <v>WK027</v>
      </c>
      <c r="AV1384" s="27" t="str">
        <f t="shared" si="599"/>
        <v>WK027</v>
      </c>
      <c r="AW1384" s="27" t="str">
        <f t="shared" si="600"/>
        <v/>
      </c>
      <c r="AX1384" s="27" t="str">
        <f t="shared" si="601"/>
        <v/>
      </c>
      <c r="AY1384" s="27" t="str">
        <f t="shared" si="602"/>
        <v/>
      </c>
      <c r="AZ1384" s="27" t="str">
        <f t="shared" si="603"/>
        <v/>
      </c>
      <c r="BA1384" s="27" t="str">
        <f t="shared" si="604"/>
        <v>Hun</v>
      </c>
      <c r="BB1384" s="27" t="str">
        <f t="shared" si="605"/>
        <v>Gross</v>
      </c>
      <c r="BC1384" s="27" t="str">
        <f t="shared" si="606"/>
        <v>Net</v>
      </c>
      <c r="BD1384" s="27" t="str">
        <f t="shared" si="607"/>
        <v>Net</v>
      </c>
      <c r="BE1384" s="27" t="str">
        <f t="shared" si="608"/>
        <v/>
      </c>
      <c r="BF1384" s="27" t="str">
        <f t="shared" si="609"/>
        <v/>
      </c>
      <c r="BG1384" s="27" t="str">
        <f t="shared" si="610"/>
        <v/>
      </c>
      <c r="BH1384" s="27" t="str">
        <f t="shared" si="611"/>
        <v>H+N</v>
      </c>
      <c r="BI1384" s="27" t="str">
        <f t="shared" si="612"/>
        <v>H+Nex</v>
      </c>
      <c r="BJ1384" s="27" t="str">
        <f t="shared" si="613"/>
        <v>Supp or Hun</v>
      </c>
      <c r="BK1384" s="27" t="str">
        <f t="shared" si="614"/>
        <v>Supp or Hun Need</v>
      </c>
      <c r="BL1384" s="27" t="str">
        <f t="shared" si="615"/>
        <v>SorHandNandE</v>
      </c>
      <c r="BM1384" s="21" t="s">
        <v>5581</v>
      </c>
    </row>
    <row r="1385" spans="1:65" ht="15">
      <c r="A1385" s="25">
        <f>IFERROR(INDEX('Hun Demand'!W:W,MATCH(O1385,'Hun Demand'!A:A,0)),"")</f>
        <v>0</v>
      </c>
      <c r="B1385" s="25">
        <f>IFERROR(INDEX('Hun Demand'!V:V,MATCH(O1385,'Hun Demand'!A:A,0)),"")</f>
        <v>0</v>
      </c>
      <c r="C1385" s="25">
        <f>IFERROR(INDEX('Hun Demand'!U:U,MATCH(O1385,'Hun Demand'!A:A,0)),"")</f>
        <v>0</v>
      </c>
      <c r="D1385" s="25">
        <f>IFERROR(INDEX('Hun Demand'!T:T,MATCH(O1385,'Hun Demand'!A:A,0)),"")</f>
        <v>0</v>
      </c>
      <c r="E1385" s="25">
        <f>IFERROR(INDEX('Hun Demand'!S:S,MATCH(O1385,'Hun Demand'!A:A,0)),"")</f>
        <v>0</v>
      </c>
      <c r="F1385" s="25">
        <f>IFERROR(INDEX('Hun Demand'!R:R,MATCH(O1385,'Hun Demand'!A:A,0)),"")</f>
        <v>0</v>
      </c>
      <c r="G1385" s="25">
        <f>IFERROR(INDEX('Aub Demand'!W:W,MATCH(O1385,'Aub Demand'!A:A,0)),"")</f>
        <v>28</v>
      </c>
      <c r="H1385" s="25">
        <f>IFERROR(INDEX('Aub Demand'!V:V,MATCH(O1385,'Aub Demand'!A:A,0)),"")</f>
        <v>8</v>
      </c>
      <c r="I1385" s="25">
        <f>IFERROR(INDEX('Aub Demand'!U:U,MATCH(O1385,'Aub Demand'!A:A,0)),"")</f>
        <v>96</v>
      </c>
      <c r="J1385" s="25">
        <f>IFERROR(INDEX('Aub Demand'!T:T,MATCH(O1385,'Aub Demand'!A:A,0)),"")</f>
        <v>34</v>
      </c>
      <c r="K1385" s="25">
        <f>IFERROR(INDEX('Aub Demand'!S:S,MATCH(O1385,'Aub Demand'!A:A,0)),"")</f>
        <v>35</v>
      </c>
      <c r="L1385" s="25">
        <f>IFERROR(INDEX('Aub Demand'!R:R,MATCH(O1385,'Aub Demand'!A:A,0)),"")</f>
        <v>0</v>
      </c>
      <c r="O1385" s="27" t="s">
        <v>2989</v>
      </c>
      <c r="P1385" s="27" t="str">
        <f>IFERROR(INDEX('Aub Demand'!B:B,MATCH($O1385,'Aub Demand'!$A:$A,0)),"")</f>
        <v>BAILEY</v>
      </c>
      <c r="Q1385" s="27" t="str">
        <f>IFERROR(INDEX('Aub Demand'!C:C,MATCH($O1385,'Aub Demand'!$A:$A,0)),"")</f>
        <v>INTER</v>
      </c>
      <c r="R1385" s="52">
        <f>IFERROR(IF(AR1386=AR1385,INDEX('Aub Demand'!K:K,MATCH($O1385,'Aub Demand'!$A:$A,0))-IF(AN1385="",0,AN1385)+AP1386,INDEX('Aub Demand'!K:K,MATCH($O1385,'Aub Demand'!$A:$A,0))-IF(AN1385="",0,AN1385)),"")</f>
        <v>94</v>
      </c>
      <c r="S1385" s="53">
        <f t="shared" si="588"/>
        <v>7.3</v>
      </c>
      <c r="T1385" s="52" t="str">
        <f t="shared" si="589"/>
        <v/>
      </c>
      <c r="U1385" s="52">
        <f>IFERROR(IF(AR1386=AR1385,INDEX('Aub Demand'!Q:Q,MATCH($O1385,'Aub Demand'!$A:$A,0))-IF(AN1385="",0,AN1385)+AP1386,INDEX('Aub Demand'!Q:Q,MATCH($O1385,'Aub Demand'!$A:$A,0))-IF(AN1385="",0,AN1385)),"")</f>
        <v>87</v>
      </c>
      <c r="V1385" s="53">
        <f t="shared" si="590"/>
        <v>6.8</v>
      </c>
      <c r="W1385" s="52" t="str">
        <f t="shared" si="591"/>
        <v/>
      </c>
      <c r="X1385" s="52">
        <f>IFERROR(IF(AND(AR1386=AR1385,AM1385&lt;&gt;""),INDEX('Aub Demand'!Q:Q,MATCH($O1385,'Aub Demand'!$A:$A,0))-IF(AN1385="",0,AN1385)+AP1386+AD1385+AL1385,IF(AR1386=AR1385,INDEX('Aub Demand'!Q:Q,MATCH($O1385,'Aub Demand'!$A:$A,0))-IF(AN1385="",0,AN1385)+AP1386+AD1385,IF(AM1385&lt;&gt;"",INDEX('Aub Demand'!Q:Q,MATCH($O1385,'Aub Demand'!$A:$A,0))-IF(AN1385="",0,AN1385)+AD1385+AL1385,INDEX('Aub Demand'!Q:Q,MATCH($O1385,'Aub Demand'!$A:$A,0))-IF(AN1385="",0,AN1385)+AD1385))),"")</f>
        <v>87</v>
      </c>
      <c r="Y1385" s="53">
        <f t="shared" si="592"/>
        <v>6.8</v>
      </c>
      <c r="Z1385" s="52">
        <f>IF(L1385="","",INDEX('Aub Demand'!H:H,MATCH($O1385,'Aub Demand'!$A:$A,0)))</f>
        <v>55</v>
      </c>
      <c r="AA1385" s="52">
        <f t="shared" si="593"/>
        <v>65.5</v>
      </c>
      <c r="AB1385" s="52">
        <f>IFERROR(INDEX('Aub Demand'!L:L,MATCH($O1385,'Aub Demand'!$A:$A,0)),"")</f>
        <v>4</v>
      </c>
      <c r="AC1385" s="52">
        <f>IFERROR(IF(O1385="","",SUMIFS('CPL Mats'!F:F,'CPL Mats'!Q:Q,AR1385,'CPL Mats'!S:S,AS1385)),"")</f>
        <v>0</v>
      </c>
      <c r="AF1385" s="25" t="str">
        <f>IF(SUMIFS('Supp Consol'!S:S,'Supp Consol'!Y:Y,"Releasable",'Supp Consol'!A:A,O1385)=0,"",SUMIFS('Supp Consol'!S:S,'Supp Consol'!Y:Y,"Releasable",'Supp Consol'!A:A,O1385))</f>
        <v/>
      </c>
      <c r="AG1385" s="25">
        <f>IFERROR(INDEX('Hun Demand'!Q:Q,MATCH(O1385,'Hun Demand'!A:A,0)),"")</f>
        <v>60</v>
      </c>
      <c r="AH1385" s="25">
        <f>IFERROR(INDEX('Hun Demand'!H:H,MATCH($O1385,'Hun Demand'!$A:$A,0)),"")</f>
        <v>0</v>
      </c>
      <c r="AI1385" s="25" t="str">
        <f>IF(SUMIFS('Supp Consol'!AA:AA,'Supp Consol'!Z:Z,"Expires this month",'Supp Consol'!A:A,O1385)=0,"",SUMIFS('Supp Consol'!AA:AA,'Supp Consol'!Z:Z,"Expires this month",'Supp Consol'!A:A,O1385))</f>
        <v/>
      </c>
      <c r="AJ1385" s="25" t="str">
        <f>IF(SUMIFS('Supp Consol'!AA:AA,'Supp Consol'!Z:Z,"Expired Previous Months",'Supp Consol'!A:A,O1385)=0,"",SUMIFS('Supp Consol'!AA:AA,'Supp Consol'!Z:Z,"Expired Previous Months",'Supp Consol'!A:A,O1385))</f>
        <v/>
      </c>
      <c r="AK1385" s="25" t="str">
        <f>IFERROR(INDEX('Hun Release Current'!B:B,MATCH(O1385,'Hun Release Current'!A:A,0)),"")</f>
        <v/>
      </c>
      <c r="AL1385" s="25" t="str">
        <f>IF(SUMIF('Prev Aub'!A:A,O1385,'Prev Aub'!B:B)=0,"",SUMIF('Prev Aub'!A:A,O1385,'Prev Aub'!B:B))</f>
        <v/>
      </c>
      <c r="AN1385" s="25" t="s">
        <v>3790</v>
      </c>
      <c r="AO1385" s="25" t="s">
        <v>3790</v>
      </c>
      <c r="AP1385" s="25">
        <f t="shared" si="594"/>
        <v>0</v>
      </c>
      <c r="AQ1385" s="151">
        <f>IF(SUMIFS('Supp Consol'!S:S,'Supp Consol'!A:A,O1385,'Supp Consol'!I:I,"PENDING")=0,"",SUMIFS('Supp Consol'!S:S,'Supp Consol'!A:A,O1385,'Supp Consol'!I:I,"PENDING"))</f>
        <v>939</v>
      </c>
      <c r="AR1385" s="27" t="str">
        <f t="shared" si="595"/>
        <v>WK027</v>
      </c>
      <c r="AS1385" s="27" t="str">
        <f t="shared" si="596"/>
        <v>62</v>
      </c>
      <c r="AT1385" s="27" t="str">
        <f t="shared" si="597"/>
        <v/>
      </c>
      <c r="AU1385" s="27" t="str">
        <f t="shared" si="598"/>
        <v/>
      </c>
      <c r="AV1385" s="27" t="str">
        <f t="shared" si="599"/>
        <v/>
      </c>
      <c r="AW1385" s="27" t="str">
        <f t="shared" si="600"/>
        <v/>
      </c>
      <c r="AX1385" s="27" t="str">
        <f t="shared" si="601"/>
        <v/>
      </c>
      <c r="AY1385" s="27" t="str">
        <f t="shared" si="602"/>
        <v>WK027</v>
      </c>
      <c r="AZ1385" s="27" t="str">
        <f t="shared" si="603"/>
        <v/>
      </c>
      <c r="BA1385" s="27" t="str">
        <f t="shared" si="604"/>
        <v>Hun</v>
      </c>
      <c r="BB1385" s="27" t="str">
        <f t="shared" si="605"/>
        <v>Gross</v>
      </c>
      <c r="BC1385" s="27" t="str">
        <f t="shared" si="606"/>
        <v>Net</v>
      </c>
      <c r="BD1385" s="27" t="str">
        <f t="shared" si="607"/>
        <v>Net</v>
      </c>
      <c r="BE1385" s="27" t="str">
        <f t="shared" si="608"/>
        <v/>
      </c>
      <c r="BF1385" s="27" t="str">
        <f t="shared" si="609"/>
        <v/>
      </c>
      <c r="BG1385" s="27" t="str">
        <f t="shared" si="610"/>
        <v/>
      </c>
      <c r="BH1385" s="27" t="str">
        <f t="shared" si="611"/>
        <v>H+N</v>
      </c>
      <c r="BI1385" s="27" t="str">
        <f t="shared" si="612"/>
        <v>H+Nex</v>
      </c>
      <c r="BJ1385" s="27" t="str">
        <f t="shared" si="613"/>
        <v>Supp or Hun</v>
      </c>
      <c r="BK1385" s="27" t="str">
        <f t="shared" si="614"/>
        <v>Supp or Hun Need</v>
      </c>
      <c r="BL1385" s="27" t="str">
        <f t="shared" si="615"/>
        <v>SorHandNandE</v>
      </c>
      <c r="BM1385" s="21" t="s">
        <v>5581</v>
      </c>
    </row>
    <row r="1386" spans="1:65" ht="15">
      <c r="A1386" s="25" t="str">
        <f>IFERROR(INDEX('Hun Demand'!W:W,MATCH(O1386,'Hun Demand'!A:A,0)),"")</f>
        <v/>
      </c>
      <c r="B1386" s="25" t="str">
        <f>IFERROR(INDEX('Hun Demand'!V:V,MATCH(O1386,'Hun Demand'!A:A,0)),"")</f>
        <v/>
      </c>
      <c r="C1386" s="25" t="str">
        <f>IFERROR(INDEX('Hun Demand'!U:U,MATCH(O1386,'Hun Demand'!A:A,0)),"")</f>
        <v/>
      </c>
      <c r="D1386" s="25" t="str">
        <f>IFERROR(INDEX('Hun Demand'!T:T,MATCH(O1386,'Hun Demand'!A:A,0)),"")</f>
        <v/>
      </c>
      <c r="E1386" s="25" t="str">
        <f>IFERROR(INDEX('Hun Demand'!S:S,MATCH(O1386,'Hun Demand'!A:A,0)),"")</f>
        <v/>
      </c>
      <c r="F1386" s="25" t="str">
        <f>IFERROR(INDEX('Hun Demand'!R:R,MATCH(O1386,'Hun Demand'!A:A,0)),"")</f>
        <v/>
      </c>
      <c r="G1386" s="25">
        <f>IFERROR(INDEX('Aub Demand'!W:W,MATCH(O1386,'Aub Demand'!A:A,0)),"")</f>
        <v>65</v>
      </c>
      <c r="H1386" s="25">
        <f>IFERROR(INDEX('Aub Demand'!V:V,MATCH(O1386,'Aub Demand'!A:A,0)),"")</f>
        <v>55</v>
      </c>
      <c r="I1386" s="25">
        <f>IFERROR(INDEX('Aub Demand'!U:U,MATCH(O1386,'Aub Demand'!A:A,0)),"")</f>
        <v>0</v>
      </c>
      <c r="J1386" s="25">
        <f>IFERROR(INDEX('Aub Demand'!T:T,MATCH(O1386,'Aub Demand'!A:A,0)),"")</f>
        <v>85</v>
      </c>
      <c r="K1386" s="25">
        <f>IFERROR(INDEX('Aub Demand'!S:S,MATCH(O1386,'Aub Demand'!A:A,0)),"")</f>
        <v>134</v>
      </c>
      <c r="L1386" s="25">
        <f>IFERROR(INDEX('Aub Demand'!R:R,MATCH(O1386,'Aub Demand'!A:A,0)),"")</f>
        <v>0</v>
      </c>
      <c r="O1386" s="27" t="s">
        <v>2990</v>
      </c>
      <c r="P1386" s="27" t="str">
        <f>IFERROR(INDEX('Aub Demand'!B:B,MATCH($O1386,'Aub Demand'!$A:$A,0)),"")</f>
        <v>SIREN MAPLE 50"</v>
      </c>
      <c r="Q1386" s="27" t="str">
        <f>IFERROR(INDEX('Aub Demand'!C:C,MATCH($O1386,'Aub Demand'!$A:$A,0)),"")</f>
        <v>TOPPA</v>
      </c>
      <c r="R1386" s="52">
        <f>IFERROR(IF(AR1387=AR1386,INDEX('Aub Demand'!K:K,MATCH($O1386,'Aub Demand'!$A:$A,0))-IF(AN1386="",0,AN1386)+AP1387,INDEX('Aub Demand'!K:K,MATCH($O1386,'Aub Demand'!$A:$A,0))-IF(AN1386="",0,AN1386)),"")</f>
        <v>0</v>
      </c>
      <c r="S1386" s="53">
        <f t="shared" si="588"/>
        <v>0</v>
      </c>
      <c r="T1386" s="52">
        <f t="shared" si="589"/>
        <v>82.125</v>
      </c>
      <c r="U1386" s="52">
        <f>IFERROR(IF(AR1387=AR1386,INDEX('Aub Demand'!Q:Q,MATCH($O1386,'Aub Demand'!$A:$A,0))-IF(AN1386="",0,AN1386)+AP1387,INDEX('Aub Demand'!Q:Q,MATCH($O1386,'Aub Demand'!$A:$A,0))-IF(AN1386="",0,AN1386)),"")</f>
        <v>-33</v>
      </c>
      <c r="V1386" s="53">
        <f t="shared" si="590"/>
        <v>-1.9</v>
      </c>
      <c r="W1386" s="52">
        <f t="shared" si="591"/>
        <v>134.13750000000002</v>
      </c>
      <c r="X1386" s="52">
        <f>IFERROR(IF(AND(AR1387=AR1386,AM1386&lt;&gt;""),INDEX('Aub Demand'!Q:Q,MATCH($O1386,'Aub Demand'!$A:$A,0))-IF(AN1386="",0,AN1386)+AP1387+AD1386+AL1386,IF(AR1387=AR1386,INDEX('Aub Demand'!Q:Q,MATCH($O1386,'Aub Demand'!$A:$A,0))-IF(AN1386="",0,AN1386)+AP1387+AD1386,IF(AM1386&lt;&gt;"",INDEX('Aub Demand'!Q:Q,MATCH($O1386,'Aub Demand'!$A:$A,0))-IF(AN1386="",0,AN1386)+AD1386+AL1386,INDEX('Aub Demand'!Q:Q,MATCH($O1386,'Aub Demand'!$A:$A,0))-IF(AN1386="",0,AN1386)+AD1386))),"")</f>
        <v>-33</v>
      </c>
      <c r="Y1386" s="53">
        <f t="shared" si="592"/>
        <v>-1.9</v>
      </c>
      <c r="Z1386" s="52">
        <f>IF(L1386="","",INDEX('Aub Demand'!H:H,MATCH($O1386,'Aub Demand'!$A:$A,0)))</f>
        <v>73</v>
      </c>
      <c r="AA1386" s="52">
        <f t="shared" si="593"/>
        <v>109.5</v>
      </c>
      <c r="AB1386" s="52">
        <f>IFERROR(INDEX('Aub Demand'!L:L,MATCH($O1386,'Aub Demand'!$A:$A,0)),"")</f>
        <v>123</v>
      </c>
      <c r="AC1386" s="52">
        <f>IFERROR(IF(O1386="","",SUMIFS('CPL Mats'!F:F,'CPL Mats'!Q:Q,AR1386,'CPL Mats'!S:S,AS1386)),"")</f>
        <v>2150</v>
      </c>
      <c r="AF1386" s="25" t="str">
        <f>IF(SUMIFS('Supp Consol'!S:S,'Supp Consol'!Y:Y,"Releasable",'Supp Consol'!A:A,O1386)=0,"",SUMIFS('Supp Consol'!S:S,'Supp Consol'!Y:Y,"Releasable",'Supp Consol'!A:A,O1386))</f>
        <v/>
      </c>
      <c r="AG1386" s="25" t="str">
        <f>IFERROR(INDEX('Hun Demand'!Q:Q,MATCH(O1386,'Hun Demand'!A:A,0)),"")</f>
        <v/>
      </c>
      <c r="AH1386" s="25" t="str">
        <f>IFERROR(INDEX('Hun Demand'!H:H,MATCH($O1386,'Hun Demand'!$A:$A,0)),"")</f>
        <v/>
      </c>
      <c r="AI1386" s="25" t="str">
        <f>IF(SUMIFS('Supp Consol'!AA:AA,'Supp Consol'!Z:Z,"Expires this month",'Supp Consol'!A:A,O1386)=0,"",SUMIFS('Supp Consol'!AA:AA,'Supp Consol'!Z:Z,"Expires this month",'Supp Consol'!A:A,O1386))</f>
        <v/>
      </c>
      <c r="AJ1386" s="25" t="str">
        <f>IF(SUMIFS('Supp Consol'!AA:AA,'Supp Consol'!Z:Z,"Expired Previous Months",'Supp Consol'!A:A,O1386)=0,"",SUMIFS('Supp Consol'!AA:AA,'Supp Consol'!Z:Z,"Expired Previous Months",'Supp Consol'!A:A,O1386))</f>
        <v/>
      </c>
      <c r="AK1386" s="25" t="str">
        <f>IFERROR(INDEX('Hun Release Current'!B:B,MATCH(O1386,'Hun Release Current'!A:A,0)),"")</f>
        <v/>
      </c>
      <c r="AL1386" s="25" t="str">
        <f>IF(SUMIF('Prev Aub'!A:A,O1386,'Prev Aub'!B:B)=0,"",SUMIF('Prev Aub'!A:A,O1386,'Prev Aub'!B:B))</f>
        <v/>
      </c>
      <c r="AN1386" s="25" t="s">
        <v>3790</v>
      </c>
      <c r="AO1386" s="25" t="s">
        <v>3790</v>
      </c>
      <c r="AP1386" s="25">
        <f t="shared" si="594"/>
        <v>0</v>
      </c>
      <c r="AQ1386" s="151" t="str">
        <f>IF(SUMIFS('Supp Consol'!S:S,'Supp Consol'!A:A,O1386,'Supp Consol'!I:I,"PENDING")=0,"",SUMIFS('Supp Consol'!S:S,'Supp Consol'!A:A,O1386,'Supp Consol'!I:I,"PENDING"))</f>
        <v/>
      </c>
      <c r="AR1386" s="27" t="str">
        <f t="shared" si="595"/>
        <v>WM005</v>
      </c>
      <c r="AS1386" s="27" t="str">
        <f t="shared" si="596"/>
        <v>50</v>
      </c>
      <c r="AT1386" s="27" t="str">
        <f t="shared" si="597"/>
        <v>WM005</v>
      </c>
      <c r="AU1386" s="27" t="str">
        <f t="shared" si="598"/>
        <v>WM005</v>
      </c>
      <c r="AV1386" s="27" t="str">
        <f t="shared" si="599"/>
        <v>WM005</v>
      </c>
      <c r="AW1386" s="27" t="str">
        <f t="shared" si="600"/>
        <v/>
      </c>
      <c r="AX1386" s="27" t="str">
        <f t="shared" si="601"/>
        <v/>
      </c>
      <c r="AY1386" s="27" t="str">
        <f t="shared" si="602"/>
        <v/>
      </c>
      <c r="AZ1386" s="27" t="str">
        <f t="shared" si="603"/>
        <v/>
      </c>
      <c r="BA1386" s="27" t="str">
        <f t="shared" si="604"/>
        <v/>
      </c>
      <c r="BB1386" s="27" t="str">
        <f t="shared" si="605"/>
        <v>Gross</v>
      </c>
      <c r="BC1386" s="27" t="str">
        <f t="shared" si="606"/>
        <v>Net</v>
      </c>
      <c r="BD1386" s="27" t="str">
        <f t="shared" si="607"/>
        <v>Net</v>
      </c>
      <c r="BE1386" s="27" t="str">
        <f t="shared" si="608"/>
        <v/>
      </c>
      <c r="BF1386" s="27" t="str">
        <f t="shared" si="609"/>
        <v/>
      </c>
      <c r="BG1386" s="27" t="str">
        <f t="shared" si="610"/>
        <v/>
      </c>
      <c r="BH1386" s="27" t="str">
        <f t="shared" si="611"/>
        <v/>
      </c>
      <c r="BI1386" s="27" t="str">
        <f t="shared" si="612"/>
        <v/>
      </c>
      <c r="BJ1386" s="27" t="str">
        <f t="shared" si="613"/>
        <v/>
      </c>
      <c r="BK1386" s="27" t="str">
        <f t="shared" si="614"/>
        <v/>
      </c>
      <c r="BL1386" s="27" t="str">
        <f t="shared" si="615"/>
        <v/>
      </c>
      <c r="BM1386" s="21" t="s">
        <v>5581</v>
      </c>
    </row>
    <row r="1387" spans="1:65" ht="15">
      <c r="A1387" s="25" t="str">
        <f>IFERROR(INDEX('Hun Demand'!W:W,MATCH(O1387,'Hun Demand'!A:A,0)),"")</f>
        <v/>
      </c>
      <c r="B1387" s="25" t="str">
        <f>IFERROR(INDEX('Hun Demand'!V:V,MATCH(O1387,'Hun Demand'!A:A,0)),"")</f>
        <v/>
      </c>
      <c r="C1387" s="25" t="str">
        <f>IFERROR(INDEX('Hun Demand'!U:U,MATCH(O1387,'Hun Demand'!A:A,0)),"")</f>
        <v/>
      </c>
      <c r="D1387" s="25" t="str">
        <f>IFERROR(INDEX('Hun Demand'!T:T,MATCH(O1387,'Hun Demand'!A:A,0)),"")</f>
        <v/>
      </c>
      <c r="E1387" s="25" t="str">
        <f>IFERROR(INDEX('Hun Demand'!S:S,MATCH(O1387,'Hun Demand'!A:A,0)),"")</f>
        <v/>
      </c>
      <c r="F1387" s="25" t="str">
        <f>IFERROR(INDEX('Hun Demand'!R:R,MATCH(O1387,'Hun Demand'!A:A,0)),"")</f>
        <v/>
      </c>
      <c r="G1387" s="25">
        <f>IFERROR(INDEX('Aub Demand'!W:W,MATCH(O1387,'Aub Demand'!A:A,0)),"")</f>
        <v>144</v>
      </c>
      <c r="H1387" s="25">
        <f>IFERROR(INDEX('Aub Demand'!V:V,MATCH(O1387,'Aub Demand'!A:A,0)),"")</f>
        <v>39</v>
      </c>
      <c r="I1387" s="25">
        <f>IFERROR(INDEX('Aub Demand'!U:U,MATCH(O1387,'Aub Demand'!A:A,0)),"")</f>
        <v>0</v>
      </c>
      <c r="J1387" s="25">
        <f>IFERROR(INDEX('Aub Demand'!T:T,MATCH(O1387,'Aub Demand'!A:A,0)),"")</f>
        <v>0</v>
      </c>
      <c r="K1387" s="25">
        <f>IFERROR(INDEX('Aub Demand'!S:S,MATCH(O1387,'Aub Demand'!A:A,0)),"")</f>
        <v>29</v>
      </c>
      <c r="L1387" s="25">
        <f>IFERROR(INDEX('Aub Demand'!R:R,MATCH(O1387,'Aub Demand'!A:A,0)),"")</f>
        <v>0</v>
      </c>
      <c r="O1387" s="27" t="s">
        <v>2993</v>
      </c>
      <c r="P1387" s="27" t="str">
        <f>IFERROR(INDEX('Aub Demand'!B:B,MATCH($O1387,'Aub Demand'!$A:$A,0)),"")</f>
        <v>SIREN MAPLE 62"</v>
      </c>
      <c r="Q1387" s="27" t="str">
        <f>IFERROR(INDEX('Aub Demand'!C:C,MATCH($O1387,'Aub Demand'!$A:$A,0)),"")</f>
        <v>TOPPA</v>
      </c>
      <c r="R1387" s="52">
        <f>IFERROR(IF(AR1388=AR1387,INDEX('Aub Demand'!K:K,MATCH($O1387,'Aub Demand'!$A:$A,0))-IF(AN1387="",0,AN1387)+AP1388,INDEX('Aub Demand'!K:K,MATCH($O1387,'Aub Demand'!$A:$A,0))-IF(AN1387="",0,AN1387)),"")</f>
        <v>385</v>
      </c>
      <c r="S1387" s="53">
        <f t="shared" si="588"/>
        <v>165</v>
      </c>
      <c r="T1387" s="52" t="str">
        <f t="shared" si="589"/>
        <v/>
      </c>
      <c r="U1387" s="52">
        <f>IFERROR(IF(AR1388=AR1387,INDEX('Aub Demand'!Q:Q,MATCH($O1387,'Aub Demand'!$A:$A,0))-IF(AN1387="",0,AN1387)+AP1388,INDEX('Aub Demand'!Q:Q,MATCH($O1387,'Aub Demand'!$A:$A,0))-IF(AN1387="",0,AN1387)),"")</f>
        <v>368</v>
      </c>
      <c r="V1387" s="53">
        <f t="shared" si="590"/>
        <v>157.69999999999999</v>
      </c>
      <c r="W1387" s="52" t="str">
        <f t="shared" si="591"/>
        <v/>
      </c>
      <c r="X1387" s="52">
        <f>IFERROR(IF(AND(AR1388=AR1387,AM1387&lt;&gt;""),INDEX('Aub Demand'!Q:Q,MATCH($O1387,'Aub Demand'!$A:$A,0))-IF(AN1387="",0,AN1387)+AP1388+AD1387+AL1387,IF(AR1388=AR1387,INDEX('Aub Demand'!Q:Q,MATCH($O1387,'Aub Demand'!$A:$A,0))-IF(AN1387="",0,AN1387)+AP1388+AD1387,IF(AM1387&lt;&gt;"",INDEX('Aub Demand'!Q:Q,MATCH($O1387,'Aub Demand'!$A:$A,0))-IF(AN1387="",0,AN1387)+AD1387+AL1387,INDEX('Aub Demand'!Q:Q,MATCH($O1387,'Aub Demand'!$A:$A,0))-IF(AN1387="",0,AN1387)+AD1387))),"")</f>
        <v>368</v>
      </c>
      <c r="Y1387" s="53">
        <f t="shared" si="592"/>
        <v>157.69999999999999</v>
      </c>
      <c r="Z1387" s="52">
        <f>IF(L1387="","",INDEX('Aub Demand'!H:H,MATCH($O1387,'Aub Demand'!$A:$A,0)))</f>
        <v>10</v>
      </c>
      <c r="AA1387" s="52" t="str">
        <f t="shared" si="593"/>
        <v>-spike-</v>
      </c>
      <c r="AB1387" s="52">
        <f>IFERROR(INDEX('Aub Demand'!L:L,MATCH($O1387,'Aub Demand'!$A:$A,0)),"")</f>
        <v>8</v>
      </c>
      <c r="AC1387" s="52">
        <f>IFERROR(IF(O1387="","",SUMIFS('CPL Mats'!F:F,'CPL Mats'!Q:Q,AR1387,'CPL Mats'!S:S,AS1387)),"")</f>
        <v>0</v>
      </c>
      <c r="AF1387" s="25" t="str">
        <f>IF(SUMIFS('Supp Consol'!S:S,'Supp Consol'!Y:Y,"Releasable",'Supp Consol'!A:A,O1387)=0,"",SUMIFS('Supp Consol'!S:S,'Supp Consol'!Y:Y,"Releasable",'Supp Consol'!A:A,O1387))</f>
        <v/>
      </c>
      <c r="AG1387" s="25" t="str">
        <f>IFERROR(INDEX('Hun Demand'!Q:Q,MATCH(O1387,'Hun Demand'!A:A,0)),"")</f>
        <v/>
      </c>
      <c r="AH1387" s="25" t="str">
        <f>IFERROR(INDEX('Hun Demand'!H:H,MATCH($O1387,'Hun Demand'!$A:$A,0)),"")</f>
        <v/>
      </c>
      <c r="AI1387" s="25" t="str">
        <f>IF(SUMIFS('Supp Consol'!AA:AA,'Supp Consol'!Z:Z,"Expires this month",'Supp Consol'!A:A,O1387)=0,"",SUMIFS('Supp Consol'!AA:AA,'Supp Consol'!Z:Z,"Expires this month",'Supp Consol'!A:A,O1387))</f>
        <v/>
      </c>
      <c r="AJ1387" s="25" t="str">
        <f>IF(SUMIFS('Supp Consol'!AA:AA,'Supp Consol'!Z:Z,"Expired Previous Months",'Supp Consol'!A:A,O1387)=0,"",SUMIFS('Supp Consol'!AA:AA,'Supp Consol'!Z:Z,"Expired Previous Months",'Supp Consol'!A:A,O1387))</f>
        <v/>
      </c>
      <c r="AK1387" s="25" t="str">
        <f>IFERROR(INDEX('Hun Release Current'!B:B,MATCH(O1387,'Hun Release Current'!A:A,0)),"")</f>
        <v/>
      </c>
      <c r="AL1387" s="25" t="str">
        <f>IF(SUMIF('Prev Aub'!A:A,O1387,'Prev Aub'!B:B)=0,"",SUMIF('Prev Aub'!A:A,O1387,'Prev Aub'!B:B))</f>
        <v/>
      </c>
      <c r="AN1387" s="25" t="s">
        <v>3790</v>
      </c>
      <c r="AO1387" s="25" t="s">
        <v>3790</v>
      </c>
      <c r="AP1387" s="25">
        <f t="shared" si="594"/>
        <v>0</v>
      </c>
      <c r="AQ1387" s="151" t="str">
        <f>IF(SUMIFS('Supp Consol'!S:S,'Supp Consol'!A:A,O1387,'Supp Consol'!I:I,"PENDING")=0,"",SUMIFS('Supp Consol'!S:S,'Supp Consol'!A:A,O1387,'Supp Consol'!I:I,"PENDING"))</f>
        <v/>
      </c>
      <c r="AR1387" s="27" t="str">
        <f t="shared" si="595"/>
        <v>WM005</v>
      </c>
      <c r="AS1387" s="27" t="str">
        <f t="shared" si="596"/>
        <v>62</v>
      </c>
      <c r="AT1387" s="27" t="str">
        <f t="shared" si="597"/>
        <v/>
      </c>
      <c r="AU1387" s="27" t="str">
        <f t="shared" si="598"/>
        <v/>
      </c>
      <c r="AV1387" s="27" t="str">
        <f t="shared" si="599"/>
        <v/>
      </c>
      <c r="AW1387" s="27" t="str">
        <f t="shared" si="600"/>
        <v/>
      </c>
      <c r="AX1387" s="27" t="str">
        <f t="shared" si="601"/>
        <v/>
      </c>
      <c r="AY1387" s="27" t="str">
        <f t="shared" si="602"/>
        <v/>
      </c>
      <c r="AZ1387" s="27" t="str">
        <f t="shared" si="603"/>
        <v/>
      </c>
      <c r="BA1387" s="27" t="str">
        <f t="shared" si="604"/>
        <v/>
      </c>
      <c r="BB1387" s="27" t="str">
        <f t="shared" si="605"/>
        <v>Gross</v>
      </c>
      <c r="BC1387" s="27" t="str">
        <f t="shared" si="606"/>
        <v>Net</v>
      </c>
      <c r="BD1387" s="27" t="str">
        <f t="shared" si="607"/>
        <v>Net</v>
      </c>
      <c r="BE1387" s="27" t="str">
        <f t="shared" si="608"/>
        <v/>
      </c>
      <c r="BF1387" s="27" t="str">
        <f t="shared" si="609"/>
        <v/>
      </c>
      <c r="BG1387" s="27" t="str">
        <f t="shared" si="610"/>
        <v/>
      </c>
      <c r="BH1387" s="27" t="str">
        <f t="shared" si="611"/>
        <v/>
      </c>
      <c r="BI1387" s="27" t="str">
        <f t="shared" si="612"/>
        <v/>
      </c>
      <c r="BJ1387" s="27" t="str">
        <f t="shared" si="613"/>
        <v/>
      </c>
      <c r="BK1387" s="27" t="str">
        <f t="shared" si="614"/>
        <v/>
      </c>
      <c r="BL1387" s="27" t="str">
        <f t="shared" si="615"/>
        <v/>
      </c>
      <c r="BM1387" s="21" t="s">
        <v>5581</v>
      </c>
    </row>
    <row r="1388" spans="1:65" ht="15">
      <c r="A1388" s="25" t="str">
        <f>IFERROR(INDEX('Hun Demand'!W:W,MATCH(O1388,'Hun Demand'!A:A,0)),"")</f>
        <v/>
      </c>
      <c r="B1388" s="25" t="str">
        <f>IFERROR(INDEX('Hun Demand'!V:V,MATCH(O1388,'Hun Demand'!A:A,0)),"")</f>
        <v/>
      </c>
      <c r="C1388" s="25" t="str">
        <f>IFERROR(INDEX('Hun Demand'!U:U,MATCH(O1388,'Hun Demand'!A:A,0)),"")</f>
        <v/>
      </c>
      <c r="D1388" s="25" t="str">
        <f>IFERROR(INDEX('Hun Demand'!T:T,MATCH(O1388,'Hun Demand'!A:A,0)),"")</f>
        <v/>
      </c>
      <c r="E1388" s="25" t="str">
        <f>IFERROR(INDEX('Hun Demand'!S:S,MATCH(O1388,'Hun Demand'!A:A,0)),"")</f>
        <v/>
      </c>
      <c r="F1388" s="25" t="str">
        <f>IFERROR(INDEX('Hun Demand'!R:R,MATCH(O1388,'Hun Demand'!A:A,0)),"")</f>
        <v/>
      </c>
      <c r="G1388" s="25">
        <f>IFERROR(INDEX('Aub Demand'!W:W,MATCH(O1388,'Aub Demand'!A:A,0)),"")</f>
        <v>0</v>
      </c>
      <c r="H1388" s="25">
        <f>IFERROR(INDEX('Aub Demand'!V:V,MATCH(O1388,'Aub Demand'!A:A,0)),"")</f>
        <v>0</v>
      </c>
      <c r="I1388" s="25">
        <f>IFERROR(INDEX('Aub Demand'!U:U,MATCH(O1388,'Aub Demand'!A:A,0)),"")</f>
        <v>0</v>
      </c>
      <c r="J1388" s="25">
        <f>IFERROR(INDEX('Aub Demand'!T:T,MATCH(O1388,'Aub Demand'!A:A,0)),"")</f>
        <v>0</v>
      </c>
      <c r="K1388" s="25">
        <f>IFERROR(INDEX('Aub Demand'!S:S,MATCH(O1388,'Aub Demand'!A:A,0)),"")</f>
        <v>0</v>
      </c>
      <c r="L1388" s="25">
        <f>IFERROR(INDEX('Aub Demand'!R:R,MATCH(O1388,'Aub Demand'!A:A,0)),"")</f>
        <v>0</v>
      </c>
      <c r="O1388" s="27" t="s">
        <v>2996</v>
      </c>
      <c r="P1388" s="27" t="str">
        <f>IFERROR(INDEX('Aub Demand'!B:B,MATCH($O1388,'Aub Demand'!$A:$A,0)),"")</f>
        <v>ILLUSTRIOUS MAPLE (L</v>
      </c>
      <c r="Q1388" s="27">
        <f>IFERROR(INDEX('Aub Demand'!C:C,MATCH($O1388,'Aub Demand'!$A:$A,0)),"")</f>
        <v>0</v>
      </c>
      <c r="R1388" s="52">
        <f>IFERROR(IF(AR1389=AR1388,INDEX('Aub Demand'!K:K,MATCH($O1388,'Aub Demand'!$A:$A,0))-IF(AN1388="",0,AN1388)+AP1389,INDEX('Aub Demand'!K:K,MATCH($O1388,'Aub Demand'!$A:$A,0))-IF(AN1388="",0,AN1388)),"")</f>
        <v>70</v>
      </c>
      <c r="S1388" s="53" t="str">
        <f t="shared" si="588"/>
        <v>n/a</v>
      </c>
      <c r="T1388" s="52" t="str">
        <f t="shared" si="589"/>
        <v/>
      </c>
      <c r="U1388" s="52">
        <f>IFERROR(IF(AR1389=AR1388,INDEX('Aub Demand'!Q:Q,MATCH($O1388,'Aub Demand'!$A:$A,0))-IF(AN1388="",0,AN1388)+AP1389,INDEX('Aub Demand'!Q:Q,MATCH($O1388,'Aub Demand'!$A:$A,0))-IF(AN1388="",0,AN1388)),"")</f>
        <v>70</v>
      </c>
      <c r="V1388" s="53" t="str">
        <f t="shared" si="590"/>
        <v>n/a</v>
      </c>
      <c r="W1388" s="52" t="str">
        <f t="shared" si="591"/>
        <v/>
      </c>
      <c r="X1388" s="52">
        <f>IFERROR(IF(AND(AR1389=AR1388,AM1388&lt;&gt;""),INDEX('Aub Demand'!Q:Q,MATCH($O1388,'Aub Demand'!$A:$A,0))-IF(AN1388="",0,AN1388)+AP1389+AD1388+AL1388,IF(AR1389=AR1388,INDEX('Aub Demand'!Q:Q,MATCH($O1388,'Aub Demand'!$A:$A,0))-IF(AN1388="",0,AN1388)+AP1389+AD1388,IF(AM1388&lt;&gt;"",INDEX('Aub Demand'!Q:Q,MATCH($O1388,'Aub Demand'!$A:$A,0))-IF(AN1388="",0,AN1388)+AD1388+AL1388,INDEX('Aub Demand'!Q:Q,MATCH($O1388,'Aub Demand'!$A:$A,0))-IF(AN1388="",0,AN1388)+AD1388))),"")</f>
        <v>70</v>
      </c>
      <c r="Y1388" s="53" t="str">
        <f t="shared" si="592"/>
        <v>n/a</v>
      </c>
      <c r="Z1388" s="52">
        <f>IF(L1388="","",INDEX('Aub Demand'!H:H,MATCH($O1388,'Aub Demand'!$A:$A,0)))</f>
        <v>0</v>
      </c>
      <c r="AA1388" s="52" t="str">
        <f t="shared" si="593"/>
        <v>-spike-</v>
      </c>
      <c r="AB1388" s="52">
        <f>IFERROR(INDEX('Aub Demand'!L:L,MATCH($O1388,'Aub Demand'!$A:$A,0)),"")</f>
        <v>0</v>
      </c>
      <c r="AC1388" s="52">
        <f>IFERROR(IF(O1388="","",SUMIFS('CPL Mats'!F:F,'CPL Mats'!Q:Q,AR1388,'CPL Mats'!S:S,AS1388)),"")</f>
        <v>0</v>
      </c>
      <c r="AF1388" s="25" t="str">
        <f>IF(SUMIFS('Supp Consol'!S:S,'Supp Consol'!Y:Y,"Releasable",'Supp Consol'!A:A,O1388)=0,"",SUMIFS('Supp Consol'!S:S,'Supp Consol'!Y:Y,"Releasable",'Supp Consol'!A:A,O1388))</f>
        <v/>
      </c>
      <c r="AG1388" s="25" t="str">
        <f>IFERROR(INDEX('Hun Demand'!Q:Q,MATCH(O1388,'Hun Demand'!A:A,0)),"")</f>
        <v/>
      </c>
      <c r="AH1388" s="25" t="str">
        <f>IFERROR(INDEX('Hun Demand'!H:H,MATCH($O1388,'Hun Demand'!$A:$A,0)),"")</f>
        <v/>
      </c>
      <c r="AI1388" s="25" t="str">
        <f>IF(SUMIFS('Supp Consol'!AA:AA,'Supp Consol'!Z:Z,"Expires this month",'Supp Consol'!A:A,O1388)=0,"",SUMIFS('Supp Consol'!AA:AA,'Supp Consol'!Z:Z,"Expires this month",'Supp Consol'!A:A,O1388))</f>
        <v/>
      </c>
      <c r="AJ1388" s="25" t="str">
        <f>IF(SUMIFS('Supp Consol'!AA:AA,'Supp Consol'!Z:Z,"Expired Previous Months",'Supp Consol'!A:A,O1388)=0,"",SUMIFS('Supp Consol'!AA:AA,'Supp Consol'!Z:Z,"Expired Previous Months",'Supp Consol'!A:A,O1388))</f>
        <v/>
      </c>
      <c r="AK1388" s="25" t="str">
        <f>IFERROR(INDEX('Hun Release Current'!B:B,MATCH(O1388,'Hun Release Current'!A:A,0)),"")</f>
        <v/>
      </c>
      <c r="AL1388" s="25" t="str">
        <f>IF(SUMIF('Prev Aub'!A:A,O1388,'Prev Aub'!B:B)=0,"",SUMIF('Prev Aub'!A:A,O1388,'Prev Aub'!B:B))</f>
        <v/>
      </c>
      <c r="AN1388" s="25" t="s">
        <v>3790</v>
      </c>
      <c r="AO1388" s="25" t="s">
        <v>3790</v>
      </c>
      <c r="AP1388" s="25">
        <f t="shared" si="594"/>
        <v>0</v>
      </c>
      <c r="AQ1388" s="151" t="str">
        <f>IF(SUMIFS('Supp Consol'!S:S,'Supp Consol'!A:A,O1388,'Supp Consol'!I:I,"PENDING")=0,"",SUMIFS('Supp Consol'!S:S,'Supp Consol'!A:A,O1388,'Supp Consol'!I:I,"PENDING"))</f>
        <v/>
      </c>
      <c r="AR1388" s="27" t="str">
        <f t="shared" si="595"/>
        <v>WM046</v>
      </c>
      <c r="AS1388" s="27" t="str">
        <f t="shared" si="596"/>
        <v>45</v>
      </c>
      <c r="AT1388" s="27" t="str">
        <f t="shared" si="597"/>
        <v/>
      </c>
      <c r="AU1388" s="27" t="str">
        <f t="shared" si="598"/>
        <v/>
      </c>
      <c r="AV1388" s="27" t="str">
        <f t="shared" si="599"/>
        <v/>
      </c>
      <c r="AW1388" s="27" t="str">
        <f t="shared" si="600"/>
        <v/>
      </c>
      <c r="AX1388" s="27" t="str">
        <f t="shared" si="601"/>
        <v/>
      </c>
      <c r="AY1388" s="27" t="str">
        <f t="shared" si="602"/>
        <v/>
      </c>
      <c r="AZ1388" s="27" t="str">
        <f t="shared" si="603"/>
        <v/>
      </c>
      <c r="BA1388" s="27" t="str">
        <f t="shared" si="604"/>
        <v/>
      </c>
      <c r="BB1388" s="27" t="str">
        <f t="shared" si="605"/>
        <v/>
      </c>
      <c r="BC1388" s="27" t="str">
        <f t="shared" si="606"/>
        <v/>
      </c>
      <c r="BD1388" s="27" t="str">
        <f t="shared" si="607"/>
        <v/>
      </c>
      <c r="BE1388" s="27" t="str">
        <f t="shared" si="608"/>
        <v/>
      </c>
      <c r="BF1388" s="27" t="str">
        <f t="shared" si="609"/>
        <v/>
      </c>
      <c r="BG1388" s="27" t="str">
        <f t="shared" si="610"/>
        <v/>
      </c>
      <c r="BH1388" s="27" t="str">
        <f t="shared" si="611"/>
        <v/>
      </c>
      <c r="BI1388" s="27" t="str">
        <f t="shared" si="612"/>
        <v/>
      </c>
      <c r="BJ1388" s="27" t="str">
        <f t="shared" si="613"/>
        <v/>
      </c>
      <c r="BK1388" s="27" t="str">
        <f t="shared" si="614"/>
        <v/>
      </c>
      <c r="BL1388" s="27" t="str">
        <f t="shared" si="615"/>
        <v/>
      </c>
      <c r="BM1388" s="21" t="s">
        <v>5581</v>
      </c>
    </row>
    <row r="1389" spans="1:65" ht="15">
      <c r="A1389" s="25" t="str">
        <f>IFERROR(INDEX('Hun Demand'!W:W,MATCH(O1389,'Hun Demand'!A:A,0)),"")</f>
        <v/>
      </c>
      <c r="B1389" s="25" t="str">
        <f>IFERROR(INDEX('Hun Demand'!V:V,MATCH(O1389,'Hun Demand'!A:A,0)),"")</f>
        <v/>
      </c>
      <c r="C1389" s="25" t="str">
        <f>IFERROR(INDEX('Hun Demand'!U:U,MATCH(O1389,'Hun Demand'!A:A,0)),"")</f>
        <v/>
      </c>
      <c r="D1389" s="25" t="str">
        <f>IFERROR(INDEX('Hun Demand'!T:T,MATCH(O1389,'Hun Demand'!A:A,0)),"")</f>
        <v/>
      </c>
      <c r="E1389" s="25" t="str">
        <f>IFERROR(INDEX('Hun Demand'!S:S,MATCH(O1389,'Hun Demand'!A:A,0)),"")</f>
        <v/>
      </c>
      <c r="F1389" s="25" t="str">
        <f>IFERROR(INDEX('Hun Demand'!R:R,MATCH(O1389,'Hun Demand'!A:A,0)),"")</f>
        <v/>
      </c>
      <c r="G1389" s="25">
        <f>IFERROR(INDEX('Aub Demand'!W:W,MATCH(O1389,'Aub Demand'!A:A,0)),"")</f>
        <v>0</v>
      </c>
      <c r="H1389" s="25">
        <f>IFERROR(INDEX('Aub Demand'!V:V,MATCH(O1389,'Aub Demand'!A:A,0)),"")</f>
        <v>0</v>
      </c>
      <c r="I1389" s="25">
        <f>IFERROR(INDEX('Aub Demand'!U:U,MATCH(O1389,'Aub Demand'!A:A,0)),"")</f>
        <v>0</v>
      </c>
      <c r="J1389" s="25">
        <f>IFERROR(INDEX('Aub Demand'!T:T,MATCH(O1389,'Aub Demand'!A:A,0)),"")</f>
        <v>0</v>
      </c>
      <c r="K1389" s="25">
        <f>IFERROR(INDEX('Aub Demand'!S:S,MATCH(O1389,'Aub Demand'!A:A,0)),"")</f>
        <v>0</v>
      </c>
      <c r="L1389" s="25">
        <f>IFERROR(INDEX('Aub Demand'!R:R,MATCH(O1389,'Aub Demand'!A:A,0)),"")</f>
        <v>0</v>
      </c>
      <c r="O1389" s="27" t="s">
        <v>2998</v>
      </c>
      <c r="P1389" s="27" t="str">
        <f>IFERROR(INDEX('Aub Demand'!B:B,MATCH($O1389,'Aub Demand'!$A:$A,0)),"")</f>
        <v>ILLUSTRIOUS MAPLE (R</v>
      </c>
      <c r="Q1389" s="27">
        <f>IFERROR(INDEX('Aub Demand'!C:C,MATCH($O1389,'Aub Demand'!$A:$A,0)),"")</f>
        <v>0</v>
      </c>
      <c r="R1389" s="52">
        <f>IFERROR(IF(AR1390=AR1389,INDEX('Aub Demand'!K:K,MATCH($O1389,'Aub Demand'!$A:$A,0))-IF(AN1389="",0,AN1389)+AP1390,INDEX('Aub Demand'!K:K,MATCH($O1389,'Aub Demand'!$A:$A,0))-IF(AN1389="",0,AN1389)),"")</f>
        <v>68</v>
      </c>
      <c r="S1389" s="53" t="str">
        <f t="shared" si="588"/>
        <v>n/a</v>
      </c>
      <c r="T1389" s="52" t="str">
        <f t="shared" si="589"/>
        <v/>
      </c>
      <c r="U1389" s="52">
        <f>IFERROR(IF(AR1390=AR1389,INDEX('Aub Demand'!Q:Q,MATCH($O1389,'Aub Demand'!$A:$A,0))-IF(AN1389="",0,AN1389)+AP1390,INDEX('Aub Demand'!Q:Q,MATCH($O1389,'Aub Demand'!$A:$A,0))-IF(AN1389="",0,AN1389)),"")</f>
        <v>68</v>
      </c>
      <c r="V1389" s="53" t="str">
        <f t="shared" si="590"/>
        <v>n/a</v>
      </c>
      <c r="W1389" s="52" t="str">
        <f t="shared" si="591"/>
        <v/>
      </c>
      <c r="X1389" s="52">
        <f>IFERROR(IF(AND(AR1390=AR1389,AM1389&lt;&gt;""),INDEX('Aub Demand'!Q:Q,MATCH($O1389,'Aub Demand'!$A:$A,0))-IF(AN1389="",0,AN1389)+AP1390+AD1389+AL1389,IF(AR1390=AR1389,INDEX('Aub Demand'!Q:Q,MATCH($O1389,'Aub Demand'!$A:$A,0))-IF(AN1389="",0,AN1389)+AP1390+AD1389,IF(AM1389&lt;&gt;"",INDEX('Aub Demand'!Q:Q,MATCH($O1389,'Aub Demand'!$A:$A,0))-IF(AN1389="",0,AN1389)+AD1389+AL1389,INDEX('Aub Demand'!Q:Q,MATCH($O1389,'Aub Demand'!$A:$A,0))-IF(AN1389="",0,AN1389)+AD1389))),"")</f>
        <v>68</v>
      </c>
      <c r="Y1389" s="53" t="str">
        <f t="shared" si="592"/>
        <v>n/a</v>
      </c>
      <c r="Z1389" s="52">
        <f>IF(L1389="","",INDEX('Aub Demand'!H:H,MATCH($O1389,'Aub Demand'!$A:$A,0)))</f>
        <v>0</v>
      </c>
      <c r="AA1389" s="52" t="str">
        <f t="shared" si="593"/>
        <v>-spike-</v>
      </c>
      <c r="AB1389" s="52">
        <f>IFERROR(INDEX('Aub Demand'!L:L,MATCH($O1389,'Aub Demand'!$A:$A,0)),"")</f>
        <v>0</v>
      </c>
      <c r="AC1389" s="52">
        <f>IFERROR(IF(O1389="","",SUMIFS('CPL Mats'!F:F,'CPL Mats'!Q:Q,AR1389,'CPL Mats'!S:S,AS1389)),"")</f>
        <v>0</v>
      </c>
      <c r="AF1389" s="25" t="str">
        <f>IF(SUMIFS('Supp Consol'!S:S,'Supp Consol'!Y:Y,"Releasable",'Supp Consol'!A:A,O1389)=0,"",SUMIFS('Supp Consol'!S:S,'Supp Consol'!Y:Y,"Releasable",'Supp Consol'!A:A,O1389))</f>
        <v/>
      </c>
      <c r="AG1389" s="25" t="str">
        <f>IFERROR(INDEX('Hun Demand'!Q:Q,MATCH(O1389,'Hun Demand'!A:A,0)),"")</f>
        <v/>
      </c>
      <c r="AH1389" s="25" t="str">
        <f>IFERROR(INDEX('Hun Demand'!H:H,MATCH($O1389,'Hun Demand'!$A:$A,0)),"")</f>
        <v/>
      </c>
      <c r="AI1389" s="25" t="str">
        <f>IF(SUMIFS('Supp Consol'!AA:AA,'Supp Consol'!Z:Z,"Expires this month",'Supp Consol'!A:A,O1389)=0,"",SUMIFS('Supp Consol'!AA:AA,'Supp Consol'!Z:Z,"Expires this month",'Supp Consol'!A:A,O1389))</f>
        <v/>
      </c>
      <c r="AJ1389" s="25" t="str">
        <f>IF(SUMIFS('Supp Consol'!AA:AA,'Supp Consol'!Z:Z,"Expired Previous Months",'Supp Consol'!A:A,O1389)=0,"",SUMIFS('Supp Consol'!AA:AA,'Supp Consol'!Z:Z,"Expired Previous Months",'Supp Consol'!A:A,O1389))</f>
        <v/>
      </c>
      <c r="AK1389" s="25" t="str">
        <f>IFERROR(INDEX('Hun Release Current'!B:B,MATCH(O1389,'Hun Release Current'!A:A,0)),"")</f>
        <v/>
      </c>
      <c r="AL1389" s="25" t="str">
        <f>IF(SUMIF('Prev Aub'!A:A,O1389,'Prev Aub'!B:B)=0,"",SUMIF('Prev Aub'!A:A,O1389,'Prev Aub'!B:B))</f>
        <v/>
      </c>
      <c r="AN1389" s="25" t="s">
        <v>3790</v>
      </c>
      <c r="AO1389" s="25" t="s">
        <v>3790</v>
      </c>
      <c r="AP1389" s="25">
        <f t="shared" si="594"/>
        <v>0</v>
      </c>
      <c r="AQ1389" s="151" t="str">
        <f>IF(SUMIFS('Supp Consol'!S:S,'Supp Consol'!A:A,O1389,'Supp Consol'!I:I,"PENDING")=0,"",SUMIFS('Supp Consol'!S:S,'Supp Consol'!A:A,O1389,'Supp Consol'!I:I,"PENDING"))</f>
        <v/>
      </c>
      <c r="AR1389" s="27" t="str">
        <f t="shared" si="595"/>
        <v>WM046</v>
      </c>
      <c r="AS1389" s="27" t="str">
        <f t="shared" si="596"/>
        <v>45</v>
      </c>
      <c r="AT1389" s="27" t="str">
        <f t="shared" si="597"/>
        <v/>
      </c>
      <c r="AU1389" s="27" t="str">
        <f t="shared" si="598"/>
        <v/>
      </c>
      <c r="AV1389" s="27" t="str">
        <f t="shared" si="599"/>
        <v/>
      </c>
      <c r="AW1389" s="27" t="str">
        <f t="shared" si="600"/>
        <v/>
      </c>
      <c r="AX1389" s="27" t="str">
        <f t="shared" si="601"/>
        <v/>
      </c>
      <c r="AY1389" s="27" t="str">
        <f t="shared" si="602"/>
        <v/>
      </c>
      <c r="AZ1389" s="27" t="str">
        <f t="shared" si="603"/>
        <v/>
      </c>
      <c r="BA1389" s="27" t="str">
        <f t="shared" si="604"/>
        <v/>
      </c>
      <c r="BB1389" s="27" t="str">
        <f t="shared" si="605"/>
        <v/>
      </c>
      <c r="BC1389" s="27" t="str">
        <f t="shared" si="606"/>
        <v/>
      </c>
      <c r="BD1389" s="27" t="str">
        <f t="shared" si="607"/>
        <v/>
      </c>
      <c r="BE1389" s="27" t="str">
        <f t="shared" si="608"/>
        <v/>
      </c>
      <c r="BF1389" s="27" t="str">
        <f t="shared" si="609"/>
        <v/>
      </c>
      <c r="BG1389" s="27" t="str">
        <f t="shared" si="610"/>
        <v/>
      </c>
      <c r="BH1389" s="27" t="str">
        <f t="shared" si="611"/>
        <v/>
      </c>
      <c r="BI1389" s="27" t="str">
        <f t="shared" si="612"/>
        <v/>
      </c>
      <c r="BJ1389" s="27" t="str">
        <f t="shared" si="613"/>
        <v/>
      </c>
      <c r="BK1389" s="27" t="str">
        <f t="shared" si="614"/>
        <v/>
      </c>
      <c r="BL1389" s="27" t="str">
        <f t="shared" si="615"/>
        <v/>
      </c>
      <c r="BM1389" s="21" t="s">
        <v>5581</v>
      </c>
    </row>
    <row r="1390" spans="1:65" ht="15">
      <c r="A1390" s="25" t="str">
        <f>IFERROR(INDEX('Hun Demand'!W:W,MATCH(O1390,'Hun Demand'!A:A,0)),"")</f>
        <v/>
      </c>
      <c r="B1390" s="25" t="str">
        <f>IFERROR(INDEX('Hun Demand'!V:V,MATCH(O1390,'Hun Demand'!A:A,0)),"")</f>
        <v/>
      </c>
      <c r="C1390" s="25" t="str">
        <f>IFERROR(INDEX('Hun Demand'!U:U,MATCH(O1390,'Hun Demand'!A:A,0)),"")</f>
        <v/>
      </c>
      <c r="D1390" s="25" t="str">
        <f>IFERROR(INDEX('Hun Demand'!T:T,MATCH(O1390,'Hun Demand'!A:A,0)),"")</f>
        <v/>
      </c>
      <c r="E1390" s="25" t="str">
        <f>IFERROR(INDEX('Hun Demand'!S:S,MATCH(O1390,'Hun Demand'!A:A,0)),"")</f>
        <v/>
      </c>
      <c r="F1390" s="25" t="str">
        <f>IFERROR(INDEX('Hun Demand'!R:R,MATCH(O1390,'Hun Demand'!A:A,0)),"")</f>
        <v/>
      </c>
      <c r="G1390" s="25">
        <f>IFERROR(INDEX('Aub Demand'!W:W,MATCH(O1390,'Aub Demand'!A:A,0)),"")</f>
        <v>674</v>
      </c>
      <c r="H1390" s="25">
        <f>IFERROR(INDEX('Aub Demand'!V:V,MATCH(O1390,'Aub Demand'!A:A,0)),"")</f>
        <v>0</v>
      </c>
      <c r="I1390" s="25">
        <f>IFERROR(INDEX('Aub Demand'!U:U,MATCH(O1390,'Aub Demand'!A:A,0)),"")</f>
        <v>0</v>
      </c>
      <c r="J1390" s="25">
        <f>IFERROR(INDEX('Aub Demand'!T:T,MATCH(O1390,'Aub Demand'!A:A,0)),"")</f>
        <v>321</v>
      </c>
      <c r="K1390" s="25">
        <f>IFERROR(INDEX('Aub Demand'!S:S,MATCH(O1390,'Aub Demand'!A:A,0)),"")</f>
        <v>136</v>
      </c>
      <c r="L1390" s="25">
        <f>IFERROR(INDEX('Aub Demand'!R:R,MATCH(O1390,'Aub Demand'!A:A,0)),"")</f>
        <v>0</v>
      </c>
      <c r="O1390" s="27" t="s">
        <v>3000</v>
      </c>
      <c r="P1390" s="27" t="str">
        <f>IFERROR(INDEX('Aub Demand'!B:B,MATCH($O1390,'Aub Demand'!$A:$A,0)),"")</f>
        <v>ILLUSTRIOUS MAPLE 16</v>
      </c>
      <c r="Q1390" s="27" t="str">
        <f>IFERROR(INDEX('Aub Demand'!C:C,MATCH($O1390,'Aub Demand'!$A:$A,0)),"")</f>
        <v>SCHAT</v>
      </c>
      <c r="R1390" s="52">
        <f>IFERROR(IF(AR1391=AR1390,INDEX('Aub Demand'!K:K,MATCH($O1390,'Aub Demand'!$A:$A,0))-IF(AN1390="",0,AN1390)+AP1391,INDEX('Aub Demand'!K:K,MATCH($O1390,'Aub Demand'!$A:$A,0))-IF(AN1390="",0,AN1390)),"")</f>
        <v>8461</v>
      </c>
      <c r="S1390" s="53">
        <f t="shared" si="588"/>
        <v>238.6</v>
      </c>
      <c r="T1390" s="52" t="str">
        <f t="shared" si="589"/>
        <v/>
      </c>
      <c r="U1390" s="52">
        <f>IFERROR(IF(AR1391=AR1390,INDEX('Aub Demand'!Q:Q,MATCH($O1390,'Aub Demand'!$A:$A,0))-IF(AN1390="",0,AN1390)+AP1391,INDEX('Aub Demand'!Q:Q,MATCH($O1390,'Aub Demand'!$A:$A,0))-IF(AN1390="",0,AN1390)),"")</f>
        <v>8261</v>
      </c>
      <c r="V1390" s="53">
        <f t="shared" si="590"/>
        <v>232.9</v>
      </c>
      <c r="W1390" s="52" t="str">
        <f t="shared" si="591"/>
        <v/>
      </c>
      <c r="X1390" s="52">
        <f>IFERROR(IF(AND(AR1391=AR1390,AM1390&lt;&gt;""),INDEX('Aub Demand'!Q:Q,MATCH($O1390,'Aub Demand'!$A:$A,0))-IF(AN1390="",0,AN1390)+AP1391+AD1390+AL1390,IF(AR1391=AR1390,INDEX('Aub Demand'!Q:Q,MATCH($O1390,'Aub Demand'!$A:$A,0))-IF(AN1390="",0,AN1390)+AP1391+AD1390,IF(AM1390&lt;&gt;"",INDEX('Aub Demand'!Q:Q,MATCH($O1390,'Aub Demand'!$A:$A,0))-IF(AN1390="",0,AN1390)+AD1390+AL1390,INDEX('Aub Demand'!Q:Q,MATCH($O1390,'Aub Demand'!$A:$A,0))-IF(AN1390="",0,AN1390)+AD1390))),"")</f>
        <v>8261</v>
      </c>
      <c r="Y1390" s="53">
        <f t="shared" si="592"/>
        <v>232.9</v>
      </c>
      <c r="Z1390" s="52">
        <f>IF(L1390="","",INDEX('Aub Demand'!H:H,MATCH($O1390,'Aub Demand'!$A:$A,0)))</f>
        <v>152</v>
      </c>
      <c r="AA1390" s="52">
        <f t="shared" si="593"/>
        <v>228.5</v>
      </c>
      <c r="AB1390" s="52">
        <f>IFERROR(INDEX('Aub Demand'!L:L,MATCH($O1390,'Aub Demand'!$A:$A,0)),"")</f>
        <v>104</v>
      </c>
      <c r="AC1390" s="52">
        <f>IFERROR(IF(O1390="","",SUMIFS('CPL Mats'!F:F,'CPL Mats'!Q:Q,AR1390,'CPL Mats'!S:S,AS1390)),"")</f>
        <v>2521.87</v>
      </c>
      <c r="AF1390" s="25" t="str">
        <f>IF(SUMIFS('Supp Consol'!S:S,'Supp Consol'!Y:Y,"Releasable",'Supp Consol'!A:A,O1390)=0,"",SUMIFS('Supp Consol'!S:S,'Supp Consol'!Y:Y,"Releasable",'Supp Consol'!A:A,O1390))</f>
        <v/>
      </c>
      <c r="AG1390" s="25" t="str">
        <f>IFERROR(INDEX('Hun Demand'!Q:Q,MATCH(O1390,'Hun Demand'!A:A,0)),"")</f>
        <v/>
      </c>
      <c r="AH1390" s="25" t="str">
        <f>IFERROR(INDEX('Hun Demand'!H:H,MATCH($O1390,'Hun Demand'!$A:$A,0)),"")</f>
        <v/>
      </c>
      <c r="AI1390" s="25" t="str">
        <f>IF(SUMIFS('Supp Consol'!AA:AA,'Supp Consol'!Z:Z,"Expires this month",'Supp Consol'!A:A,O1390)=0,"",SUMIFS('Supp Consol'!AA:AA,'Supp Consol'!Z:Z,"Expires this month",'Supp Consol'!A:A,O1390))</f>
        <v/>
      </c>
      <c r="AJ1390" s="25" t="str">
        <f>IF(SUMIFS('Supp Consol'!AA:AA,'Supp Consol'!Z:Z,"Expired Previous Months",'Supp Consol'!A:A,O1390)=0,"",SUMIFS('Supp Consol'!AA:AA,'Supp Consol'!Z:Z,"Expired Previous Months",'Supp Consol'!A:A,O1390))</f>
        <v/>
      </c>
      <c r="AK1390" s="25" t="str">
        <f>IFERROR(INDEX('Hun Release Current'!B:B,MATCH(O1390,'Hun Release Current'!A:A,0)),"")</f>
        <v/>
      </c>
      <c r="AL1390" s="25" t="str">
        <f>IF(SUMIF('Prev Aub'!A:A,O1390,'Prev Aub'!B:B)=0,"",SUMIF('Prev Aub'!A:A,O1390,'Prev Aub'!B:B))</f>
        <v/>
      </c>
      <c r="AN1390" s="25" t="s">
        <v>3790</v>
      </c>
      <c r="AO1390" s="25" t="s">
        <v>3790</v>
      </c>
      <c r="AP1390" s="25">
        <f t="shared" si="594"/>
        <v>0</v>
      </c>
      <c r="AQ1390" s="151" t="str">
        <f>IF(SUMIFS('Supp Consol'!S:S,'Supp Consol'!A:A,O1390,'Supp Consol'!I:I,"PENDING")=0,"",SUMIFS('Supp Consol'!S:S,'Supp Consol'!A:A,O1390,'Supp Consol'!I:I,"PENDING"))</f>
        <v/>
      </c>
      <c r="AR1390" s="27" t="str">
        <f t="shared" si="595"/>
        <v>WM046</v>
      </c>
      <c r="AS1390" s="27" t="str">
        <f t="shared" si="596"/>
        <v>50</v>
      </c>
      <c r="AT1390" s="27" t="str">
        <f t="shared" si="597"/>
        <v/>
      </c>
      <c r="AU1390" s="27" t="str">
        <f t="shared" si="598"/>
        <v/>
      </c>
      <c r="AV1390" s="27" t="str">
        <f t="shared" si="599"/>
        <v/>
      </c>
      <c r="AW1390" s="27" t="str">
        <f t="shared" si="600"/>
        <v/>
      </c>
      <c r="AX1390" s="27" t="str">
        <f t="shared" si="601"/>
        <v/>
      </c>
      <c r="AY1390" s="27" t="str">
        <f t="shared" si="602"/>
        <v/>
      </c>
      <c r="AZ1390" s="27" t="str">
        <f t="shared" si="603"/>
        <v/>
      </c>
      <c r="BA1390" s="27" t="str">
        <f t="shared" si="604"/>
        <v/>
      </c>
      <c r="BB1390" s="27" t="str">
        <f t="shared" si="605"/>
        <v/>
      </c>
      <c r="BC1390" s="27" t="str">
        <f t="shared" si="606"/>
        <v/>
      </c>
      <c r="BD1390" s="27" t="str">
        <f t="shared" si="607"/>
        <v/>
      </c>
      <c r="BE1390" s="27" t="str">
        <f t="shared" si="608"/>
        <v/>
      </c>
      <c r="BF1390" s="27" t="str">
        <f t="shared" si="609"/>
        <v/>
      </c>
      <c r="BG1390" s="27" t="str">
        <f t="shared" si="610"/>
        <v/>
      </c>
      <c r="BH1390" s="27" t="str">
        <f t="shared" si="611"/>
        <v/>
      </c>
      <c r="BI1390" s="27" t="str">
        <f t="shared" si="612"/>
        <v/>
      </c>
      <c r="BJ1390" s="27" t="str">
        <f t="shared" si="613"/>
        <v/>
      </c>
      <c r="BK1390" s="27" t="str">
        <f t="shared" si="614"/>
        <v/>
      </c>
      <c r="BL1390" s="27" t="str">
        <f t="shared" si="615"/>
        <v/>
      </c>
      <c r="BM1390" s="21" t="s">
        <v>5581</v>
      </c>
    </row>
    <row r="1391" spans="1:65" ht="15">
      <c r="A1391" s="25" t="str">
        <f>IFERROR(INDEX('Hun Demand'!W:W,MATCH(O1391,'Hun Demand'!A:A,0)),"")</f>
        <v/>
      </c>
      <c r="B1391" s="25" t="str">
        <f>IFERROR(INDEX('Hun Demand'!V:V,MATCH(O1391,'Hun Demand'!A:A,0)),"")</f>
        <v/>
      </c>
      <c r="C1391" s="25" t="str">
        <f>IFERROR(INDEX('Hun Demand'!U:U,MATCH(O1391,'Hun Demand'!A:A,0)),"")</f>
        <v/>
      </c>
      <c r="D1391" s="25" t="str">
        <f>IFERROR(INDEX('Hun Demand'!T:T,MATCH(O1391,'Hun Demand'!A:A,0)),"")</f>
        <v/>
      </c>
      <c r="E1391" s="25" t="str">
        <f>IFERROR(INDEX('Hun Demand'!S:S,MATCH(O1391,'Hun Demand'!A:A,0)),"")</f>
        <v/>
      </c>
      <c r="F1391" s="25" t="str">
        <f>IFERROR(INDEX('Hun Demand'!R:R,MATCH(O1391,'Hun Demand'!A:A,0)),"")</f>
        <v/>
      </c>
      <c r="G1391" s="25">
        <f>IFERROR(INDEX('Aub Demand'!W:W,MATCH(O1391,'Aub Demand'!A:A,0)),"")</f>
        <v>0</v>
      </c>
      <c r="H1391" s="25">
        <f>IFERROR(INDEX('Aub Demand'!V:V,MATCH(O1391,'Aub Demand'!A:A,0)),"")</f>
        <v>5</v>
      </c>
      <c r="I1391" s="25">
        <f>IFERROR(INDEX('Aub Demand'!U:U,MATCH(O1391,'Aub Demand'!A:A,0)),"")</f>
        <v>46</v>
      </c>
      <c r="J1391" s="25">
        <f>IFERROR(INDEX('Aub Demand'!T:T,MATCH(O1391,'Aub Demand'!A:A,0)),"")</f>
        <v>10</v>
      </c>
      <c r="K1391" s="25">
        <f>IFERROR(INDEX('Aub Demand'!S:S,MATCH(O1391,'Aub Demand'!A:A,0)),"")</f>
        <v>19</v>
      </c>
      <c r="L1391" s="25">
        <f>IFERROR(INDEX('Aub Demand'!R:R,MATCH(O1391,'Aub Demand'!A:A,0)),"")</f>
        <v>0</v>
      </c>
      <c r="O1391" s="27" t="s">
        <v>3002</v>
      </c>
      <c r="P1391" s="27" t="str">
        <f>IFERROR(INDEX('Aub Demand'!B:B,MATCH($O1391,'Aub Demand'!$A:$A,0)),"")</f>
        <v>Illustrious Maple 16</v>
      </c>
      <c r="Q1391" s="27" t="str">
        <f>IFERROR(INDEX('Aub Demand'!C:C,MATCH($O1391,'Aub Demand'!$A:$A,0)),"")</f>
        <v>SCHAT</v>
      </c>
      <c r="R1391" s="52">
        <f>IFERROR(IF(AR1392=AR1391,INDEX('Aub Demand'!K:K,MATCH($O1391,'Aub Demand'!$A:$A,0))-IF(AN1391="",0,AN1391)+AP1392,INDEX('Aub Demand'!K:K,MATCH($O1391,'Aub Demand'!$A:$A,0))-IF(AN1391="",0,AN1391)),"")</f>
        <v>3107</v>
      </c>
      <c r="S1391" s="53">
        <f t="shared" si="588"/>
        <v>532.6</v>
      </c>
      <c r="T1391" s="52" t="str">
        <f t="shared" si="589"/>
        <v/>
      </c>
      <c r="U1391" s="52">
        <f>IFERROR(IF(AR1392=AR1391,INDEX('Aub Demand'!Q:Q,MATCH($O1391,'Aub Demand'!$A:$A,0))-IF(AN1391="",0,AN1391)+AP1392,INDEX('Aub Demand'!Q:Q,MATCH($O1391,'Aub Demand'!$A:$A,0))-IF(AN1391="",0,AN1391)),"")</f>
        <v>3102</v>
      </c>
      <c r="V1391" s="53">
        <f t="shared" si="590"/>
        <v>531.79999999999995</v>
      </c>
      <c r="W1391" s="52" t="str">
        <f t="shared" si="591"/>
        <v/>
      </c>
      <c r="X1391" s="52">
        <f>IFERROR(IF(AND(AR1392=AR1391,AM1391&lt;&gt;""),INDEX('Aub Demand'!Q:Q,MATCH($O1391,'Aub Demand'!$A:$A,0))-IF(AN1391="",0,AN1391)+AP1392+AD1391+AL1391,IF(AR1392=AR1391,INDEX('Aub Demand'!Q:Q,MATCH($O1391,'Aub Demand'!$A:$A,0))-IF(AN1391="",0,AN1391)+AP1392+AD1391,IF(AM1391&lt;&gt;"",INDEX('Aub Demand'!Q:Q,MATCH($O1391,'Aub Demand'!$A:$A,0))-IF(AN1391="",0,AN1391)+AD1391+AL1391,INDEX('Aub Demand'!Q:Q,MATCH($O1391,'Aub Demand'!$A:$A,0))-IF(AN1391="",0,AN1391)+AD1391))),"")</f>
        <v>3102</v>
      </c>
      <c r="Y1391" s="53">
        <f t="shared" si="592"/>
        <v>531.79999999999995</v>
      </c>
      <c r="Z1391" s="52">
        <f>IF(L1391="","",INDEX('Aub Demand'!H:H,MATCH($O1391,'Aub Demand'!$A:$A,0)))</f>
        <v>25</v>
      </c>
      <c r="AA1391" s="52">
        <f t="shared" si="593"/>
        <v>32.5</v>
      </c>
      <c r="AB1391" s="52">
        <f>IFERROR(INDEX('Aub Demand'!L:L,MATCH($O1391,'Aub Demand'!$A:$A,0)),"")</f>
        <v>11</v>
      </c>
      <c r="AC1391" s="52">
        <f>IFERROR(IF(O1391="","",SUMIFS('CPL Mats'!F:F,'CPL Mats'!Q:Q,AR1391,'CPL Mats'!S:S,AS1391)),"")</f>
        <v>0</v>
      </c>
      <c r="AF1391" s="25" t="str">
        <f>IF(SUMIFS('Supp Consol'!S:S,'Supp Consol'!Y:Y,"Releasable",'Supp Consol'!A:A,O1391)=0,"",SUMIFS('Supp Consol'!S:S,'Supp Consol'!Y:Y,"Releasable",'Supp Consol'!A:A,O1391))</f>
        <v/>
      </c>
      <c r="AG1391" s="25" t="str">
        <f>IFERROR(INDEX('Hun Demand'!Q:Q,MATCH(O1391,'Hun Demand'!A:A,0)),"")</f>
        <v/>
      </c>
      <c r="AH1391" s="25" t="str">
        <f>IFERROR(INDEX('Hun Demand'!H:H,MATCH($O1391,'Hun Demand'!$A:$A,0)),"")</f>
        <v/>
      </c>
      <c r="AI1391" s="25" t="str">
        <f>IF(SUMIFS('Supp Consol'!AA:AA,'Supp Consol'!Z:Z,"Expires this month",'Supp Consol'!A:A,O1391)=0,"",SUMIFS('Supp Consol'!AA:AA,'Supp Consol'!Z:Z,"Expires this month",'Supp Consol'!A:A,O1391))</f>
        <v/>
      </c>
      <c r="AJ1391" s="25" t="str">
        <f>IF(SUMIFS('Supp Consol'!AA:AA,'Supp Consol'!Z:Z,"Expired Previous Months",'Supp Consol'!A:A,O1391)=0,"",SUMIFS('Supp Consol'!AA:AA,'Supp Consol'!Z:Z,"Expired Previous Months",'Supp Consol'!A:A,O1391))</f>
        <v/>
      </c>
      <c r="AK1391" s="25" t="str">
        <f>IFERROR(INDEX('Hun Release Current'!B:B,MATCH(O1391,'Hun Release Current'!A:A,0)),"")</f>
        <v/>
      </c>
      <c r="AL1391" s="25" t="str">
        <f>IF(SUMIF('Prev Aub'!A:A,O1391,'Prev Aub'!B:B)=0,"",SUMIF('Prev Aub'!A:A,O1391,'Prev Aub'!B:B))</f>
        <v/>
      </c>
      <c r="AN1391" s="25" t="s">
        <v>3790</v>
      </c>
      <c r="AO1391" s="25" t="s">
        <v>3790</v>
      </c>
      <c r="AP1391" s="25">
        <f t="shared" si="594"/>
        <v>0</v>
      </c>
      <c r="AQ1391" s="151" t="str">
        <f>IF(SUMIFS('Supp Consol'!S:S,'Supp Consol'!A:A,O1391,'Supp Consol'!I:I,"PENDING")=0,"",SUMIFS('Supp Consol'!S:S,'Supp Consol'!A:A,O1391,'Supp Consol'!I:I,"PENDING"))</f>
        <v/>
      </c>
      <c r="AR1391" s="27" t="str">
        <f t="shared" si="595"/>
        <v>WM046</v>
      </c>
      <c r="AS1391" s="27" t="str">
        <f t="shared" si="596"/>
        <v>62</v>
      </c>
      <c r="AT1391" s="27" t="str">
        <f t="shared" si="597"/>
        <v/>
      </c>
      <c r="AU1391" s="27" t="str">
        <f t="shared" si="598"/>
        <v/>
      </c>
      <c r="AV1391" s="27" t="str">
        <f t="shared" si="599"/>
        <v/>
      </c>
      <c r="AW1391" s="27" t="str">
        <f t="shared" si="600"/>
        <v/>
      </c>
      <c r="AX1391" s="27" t="str">
        <f t="shared" si="601"/>
        <v/>
      </c>
      <c r="AY1391" s="27" t="str">
        <f t="shared" si="602"/>
        <v/>
      </c>
      <c r="AZ1391" s="27" t="str">
        <f t="shared" si="603"/>
        <v/>
      </c>
      <c r="BA1391" s="27" t="str">
        <f t="shared" si="604"/>
        <v/>
      </c>
      <c r="BB1391" s="27" t="str">
        <f t="shared" si="605"/>
        <v/>
      </c>
      <c r="BC1391" s="27" t="str">
        <f t="shared" si="606"/>
        <v/>
      </c>
      <c r="BD1391" s="27" t="str">
        <f t="shared" si="607"/>
        <v/>
      </c>
      <c r="BE1391" s="27" t="str">
        <f t="shared" si="608"/>
        <v/>
      </c>
      <c r="BF1391" s="27" t="str">
        <f t="shared" si="609"/>
        <v/>
      </c>
      <c r="BG1391" s="27" t="str">
        <f t="shared" si="610"/>
        <v/>
      </c>
      <c r="BH1391" s="27" t="str">
        <f t="shared" si="611"/>
        <v/>
      </c>
      <c r="BI1391" s="27" t="str">
        <f t="shared" si="612"/>
        <v/>
      </c>
      <c r="BJ1391" s="27" t="str">
        <f t="shared" si="613"/>
        <v/>
      </c>
      <c r="BK1391" s="27" t="str">
        <f t="shared" si="614"/>
        <v/>
      </c>
      <c r="BL1391" s="27" t="str">
        <f t="shared" si="615"/>
        <v/>
      </c>
      <c r="BM1391" s="21" t="s">
        <v>5581</v>
      </c>
    </row>
    <row r="1392" spans="1:65" ht="15">
      <c r="A1392" s="25">
        <f>IFERROR(INDEX('Hun Demand'!W:W,MATCH(O1392,'Hun Demand'!A:A,0)),"")</f>
        <v>0</v>
      </c>
      <c r="B1392" s="25">
        <f>IFERROR(INDEX('Hun Demand'!V:V,MATCH(O1392,'Hun Demand'!A:A,0)),"")</f>
        <v>0</v>
      </c>
      <c r="C1392" s="25">
        <f>IFERROR(INDEX('Hun Demand'!U:U,MATCH(O1392,'Hun Demand'!A:A,0)),"")</f>
        <v>0</v>
      </c>
      <c r="D1392" s="25">
        <f>IFERROR(INDEX('Hun Demand'!T:T,MATCH(O1392,'Hun Demand'!A:A,0)),"")</f>
        <v>0</v>
      </c>
      <c r="E1392" s="25">
        <f>IFERROR(INDEX('Hun Demand'!S:S,MATCH(O1392,'Hun Demand'!A:A,0)),"")</f>
        <v>0</v>
      </c>
      <c r="F1392" s="25">
        <f>IFERROR(INDEX('Hun Demand'!R:R,MATCH(O1392,'Hun Demand'!A:A,0)),"")</f>
        <v>120</v>
      </c>
      <c r="G1392" s="25">
        <f>IFERROR(INDEX('Aub Demand'!W:W,MATCH(O1392,'Aub Demand'!A:A,0)),"")</f>
        <v>177</v>
      </c>
      <c r="H1392" s="25">
        <f>IFERROR(INDEX('Aub Demand'!V:V,MATCH(O1392,'Aub Demand'!A:A,0)),"")</f>
        <v>86</v>
      </c>
      <c r="I1392" s="25">
        <f>IFERROR(INDEX('Aub Demand'!U:U,MATCH(O1392,'Aub Demand'!A:A,0)),"")</f>
        <v>0</v>
      </c>
      <c r="J1392" s="25">
        <f>IFERROR(INDEX('Aub Demand'!T:T,MATCH(O1392,'Aub Demand'!A:A,0)),"")</f>
        <v>0</v>
      </c>
      <c r="K1392" s="25">
        <f>IFERROR(INDEX('Aub Demand'!S:S,MATCH(O1392,'Aub Demand'!A:A,0)),"")</f>
        <v>2469</v>
      </c>
      <c r="L1392" s="25">
        <f>IFERROR(INDEX('Aub Demand'!R:R,MATCH(O1392,'Aub Demand'!A:A,0)),"")</f>
        <v>758</v>
      </c>
      <c r="O1392" s="27" t="s">
        <v>3004</v>
      </c>
      <c r="P1392" s="27" t="str">
        <f>IFERROR(INDEX('Aub Demand'!B:B,MATCH($O1392,'Aub Demand'!$A:$A,0)),"")</f>
        <v>Iconic Maple 16016-L</v>
      </c>
      <c r="Q1392" s="27" t="str">
        <f>IFERROR(INDEX('Aub Demand'!C:C,MATCH($O1392,'Aub Demand'!$A:$A,0)),"")</f>
        <v>SCHAT</v>
      </c>
      <c r="R1392" s="52">
        <f>IFERROR(IF(AR1393=AR1392,INDEX('Aub Demand'!K:K,MATCH($O1392,'Aub Demand'!$A:$A,0))-IF(AN1392="",0,AN1392)+AP1393,INDEX('Aub Demand'!K:K,MATCH($O1392,'Aub Demand'!$A:$A,0))-IF(AN1392="",0,AN1392)),"")</f>
        <v>1564</v>
      </c>
      <c r="S1392" s="53">
        <f t="shared" si="588"/>
        <v>8.1</v>
      </c>
      <c r="T1392" s="52" t="str">
        <f t="shared" si="589"/>
        <v/>
      </c>
      <c r="U1392" s="52">
        <f>IFERROR(IF(AR1393=AR1392,INDEX('Aub Demand'!Q:Q,MATCH($O1392,'Aub Demand'!$A:$A,0))-IF(AN1392="",0,AN1392)+AP1393,INDEX('Aub Demand'!Q:Q,MATCH($O1392,'Aub Demand'!$A:$A,0))-IF(AN1392="",0,AN1392)),"")</f>
        <v>1552</v>
      </c>
      <c r="V1392" s="53">
        <f t="shared" si="590"/>
        <v>8.1</v>
      </c>
      <c r="W1392" s="52" t="str">
        <f t="shared" si="591"/>
        <v/>
      </c>
      <c r="X1392" s="52">
        <f>IFERROR(IF(AND(AR1393=AR1392,AM1392&lt;&gt;""),INDEX('Aub Demand'!Q:Q,MATCH($O1392,'Aub Demand'!$A:$A,0))-IF(AN1392="",0,AN1392)+AP1393+AD1392+AL1392,IF(AR1393=AR1392,INDEX('Aub Demand'!Q:Q,MATCH($O1392,'Aub Demand'!$A:$A,0))-IF(AN1392="",0,AN1392)+AP1393+AD1392,IF(AM1392&lt;&gt;"",INDEX('Aub Demand'!Q:Q,MATCH($O1392,'Aub Demand'!$A:$A,0))-IF(AN1392="",0,AN1392)+AD1392+AL1392,INDEX('Aub Demand'!Q:Q,MATCH($O1392,'Aub Demand'!$A:$A,0))-IF(AN1392="",0,AN1392)+AD1392))),"")</f>
        <v>1552</v>
      </c>
      <c r="Y1392" s="53">
        <f t="shared" si="592"/>
        <v>8.1</v>
      </c>
      <c r="Z1392" s="52">
        <f>IF(L1392="","",INDEX('Aub Demand'!H:H,MATCH($O1392,'Aub Demand'!$A:$A,0)))</f>
        <v>823</v>
      </c>
      <c r="AA1392" s="52">
        <f t="shared" si="593"/>
        <v>1613.5</v>
      </c>
      <c r="AB1392" s="52">
        <f>IFERROR(INDEX('Aub Demand'!L:L,MATCH($O1392,'Aub Demand'!$A:$A,0)),"")</f>
        <v>195</v>
      </c>
      <c r="AC1392" s="52">
        <f>IFERROR(IF(O1392="","",SUMIFS('CPL Mats'!F:F,'CPL Mats'!Q:Q,AR1392,'CPL Mats'!S:S,AS1392)),"")</f>
        <v>3900</v>
      </c>
      <c r="AF1392" s="25" t="str">
        <f>IF(SUMIFS('Supp Consol'!S:S,'Supp Consol'!Y:Y,"Releasable",'Supp Consol'!A:A,O1392)=0,"",SUMIFS('Supp Consol'!S:S,'Supp Consol'!Y:Y,"Releasable",'Supp Consol'!A:A,O1392))</f>
        <v/>
      </c>
      <c r="AG1392" s="25">
        <f>IFERROR(INDEX('Hun Demand'!Q:Q,MATCH(O1392,'Hun Demand'!A:A,0)),"")</f>
        <v>-183</v>
      </c>
      <c r="AH1392" s="25">
        <f>IFERROR(INDEX('Hun Demand'!H:H,MATCH($O1392,'Hun Demand'!$A:$A,0)),"")</f>
        <v>0</v>
      </c>
      <c r="AI1392" s="25" t="str">
        <f>IF(SUMIFS('Supp Consol'!AA:AA,'Supp Consol'!Z:Z,"Expires this month",'Supp Consol'!A:A,O1392)=0,"",SUMIFS('Supp Consol'!AA:AA,'Supp Consol'!Z:Z,"Expires this month",'Supp Consol'!A:A,O1392))</f>
        <v/>
      </c>
      <c r="AJ1392" s="25" t="str">
        <f>IF(SUMIFS('Supp Consol'!AA:AA,'Supp Consol'!Z:Z,"Expired Previous Months",'Supp Consol'!A:A,O1392)=0,"",SUMIFS('Supp Consol'!AA:AA,'Supp Consol'!Z:Z,"Expired Previous Months",'Supp Consol'!A:A,O1392))</f>
        <v/>
      </c>
      <c r="AK1392" s="25" t="str">
        <f>IFERROR(INDEX('Hun Release Current'!B:B,MATCH(O1392,'Hun Release Current'!A:A,0)),"")</f>
        <v/>
      </c>
      <c r="AL1392" s="25" t="str">
        <f>IF(SUMIF('Prev Aub'!A:A,O1392,'Prev Aub'!B:B)=0,"",SUMIF('Prev Aub'!A:A,O1392,'Prev Aub'!B:B))</f>
        <v/>
      </c>
      <c r="AN1392" s="25" t="s">
        <v>3790</v>
      </c>
      <c r="AO1392" s="25" t="s">
        <v>3790</v>
      </c>
      <c r="AP1392" s="25">
        <f t="shared" si="594"/>
        <v>0</v>
      </c>
      <c r="AQ1392" s="151" t="str">
        <f>IF(SUMIFS('Supp Consol'!S:S,'Supp Consol'!A:A,O1392,'Supp Consol'!I:I,"PENDING")=0,"",SUMIFS('Supp Consol'!S:S,'Supp Consol'!A:A,O1392,'Supp Consol'!I:I,"PENDING"))</f>
        <v/>
      </c>
      <c r="AR1392" s="27" t="str">
        <f t="shared" si="595"/>
        <v>WM047</v>
      </c>
      <c r="AS1392" s="27" t="str">
        <f t="shared" si="596"/>
        <v>50</v>
      </c>
      <c r="AT1392" s="27" t="str">
        <f t="shared" si="597"/>
        <v/>
      </c>
      <c r="AU1392" s="27" t="str">
        <f t="shared" si="598"/>
        <v/>
      </c>
      <c r="AV1392" s="27" t="str">
        <f t="shared" si="599"/>
        <v/>
      </c>
      <c r="AW1392" s="27" t="str">
        <f t="shared" si="600"/>
        <v/>
      </c>
      <c r="AX1392" s="27" t="str">
        <f t="shared" si="601"/>
        <v/>
      </c>
      <c r="AY1392" s="27" t="str">
        <f t="shared" si="602"/>
        <v/>
      </c>
      <c r="AZ1392" s="27" t="str">
        <f t="shared" si="603"/>
        <v/>
      </c>
      <c r="BA1392" s="27" t="str">
        <f t="shared" si="604"/>
        <v>Hun</v>
      </c>
      <c r="BB1392" s="27" t="str">
        <f t="shared" si="605"/>
        <v/>
      </c>
      <c r="BC1392" s="27" t="str">
        <f t="shared" si="606"/>
        <v/>
      </c>
      <c r="BD1392" s="27" t="str">
        <f t="shared" si="607"/>
        <v/>
      </c>
      <c r="BE1392" s="27" t="str">
        <f t="shared" si="608"/>
        <v/>
      </c>
      <c r="BF1392" s="27" t="str">
        <f t="shared" si="609"/>
        <v/>
      </c>
      <c r="BG1392" s="27" t="str">
        <f t="shared" si="610"/>
        <v/>
      </c>
      <c r="BH1392" s="27" t="str">
        <f t="shared" si="611"/>
        <v/>
      </c>
      <c r="BI1392" s="27" t="str">
        <f t="shared" si="612"/>
        <v/>
      </c>
      <c r="BJ1392" s="27" t="str">
        <f t="shared" si="613"/>
        <v>Supp or Hun</v>
      </c>
      <c r="BK1392" s="27" t="str">
        <f t="shared" si="614"/>
        <v/>
      </c>
      <c r="BL1392" s="27" t="str">
        <f t="shared" si="615"/>
        <v/>
      </c>
      <c r="BM1392" s="21" t="s">
        <v>5581</v>
      </c>
    </row>
    <row r="1393" spans="1:65" ht="15">
      <c r="A1393" s="25">
        <f>IFERROR(INDEX('Hun Demand'!W:W,MATCH(O1393,'Hun Demand'!A:A,0)),"")</f>
        <v>215</v>
      </c>
      <c r="B1393" s="25">
        <f>IFERROR(INDEX('Hun Demand'!V:V,MATCH(O1393,'Hun Demand'!A:A,0)),"")</f>
        <v>0</v>
      </c>
      <c r="C1393" s="25">
        <f>IFERROR(INDEX('Hun Demand'!U:U,MATCH(O1393,'Hun Demand'!A:A,0)),"")</f>
        <v>222</v>
      </c>
      <c r="D1393" s="25">
        <f>IFERROR(INDEX('Hun Demand'!T:T,MATCH(O1393,'Hun Demand'!A:A,0)),"")</f>
        <v>0</v>
      </c>
      <c r="E1393" s="25">
        <f>IFERROR(INDEX('Hun Demand'!S:S,MATCH(O1393,'Hun Demand'!A:A,0)),"")</f>
        <v>0</v>
      </c>
      <c r="F1393" s="25">
        <f>IFERROR(INDEX('Hun Demand'!R:R,MATCH(O1393,'Hun Demand'!A:A,0)),"")</f>
        <v>0</v>
      </c>
      <c r="G1393" s="25">
        <f>IFERROR(INDEX('Aub Demand'!W:W,MATCH(O1393,'Aub Demand'!A:A,0)),"")</f>
        <v>95</v>
      </c>
      <c r="H1393" s="25">
        <f>IFERROR(INDEX('Aub Demand'!V:V,MATCH(O1393,'Aub Demand'!A:A,0)),"")</f>
        <v>93</v>
      </c>
      <c r="I1393" s="25">
        <f>IFERROR(INDEX('Aub Demand'!U:U,MATCH(O1393,'Aub Demand'!A:A,0)),"")</f>
        <v>971</v>
      </c>
      <c r="J1393" s="25">
        <f>IFERROR(INDEX('Aub Demand'!T:T,MATCH(O1393,'Aub Demand'!A:A,0)),"")</f>
        <v>0</v>
      </c>
      <c r="K1393" s="25">
        <f>IFERROR(INDEX('Aub Demand'!S:S,MATCH(O1393,'Aub Demand'!A:A,0)),"")</f>
        <v>0</v>
      </c>
      <c r="L1393" s="25">
        <f>IFERROR(INDEX('Aub Demand'!R:R,MATCH(O1393,'Aub Demand'!A:A,0)),"")</f>
        <v>0</v>
      </c>
      <c r="O1393" s="27" t="s">
        <v>3006</v>
      </c>
      <c r="P1393" s="27" t="str">
        <f>IFERROR(INDEX('Aub Demand'!B:B,MATCH($O1393,'Aub Demand'!$A:$A,0)),"")</f>
        <v>ICONIC MAPLE 16016-L</v>
      </c>
      <c r="Q1393" s="27" t="str">
        <f>IFERROR(INDEX('Aub Demand'!C:C,MATCH($O1393,'Aub Demand'!$A:$A,0)),"")</f>
        <v>SCHAT</v>
      </c>
      <c r="R1393" s="52">
        <f>IFERROR(IF(AR1394=AR1393,INDEX('Aub Demand'!K:K,MATCH($O1393,'Aub Demand'!$A:$A,0))-IF(AN1393="",0,AN1393)+AP1394,INDEX('Aub Demand'!K:K,MATCH($O1393,'Aub Demand'!$A:$A,0))-IF(AN1393="",0,AN1393)),"")</f>
        <v>12117</v>
      </c>
      <c r="S1393" s="53">
        <f t="shared" si="588"/>
        <v>160.30000000000001</v>
      </c>
      <c r="T1393" s="52" t="str">
        <f t="shared" si="589"/>
        <v/>
      </c>
      <c r="U1393" s="52">
        <f>IFERROR(IF(AR1394=AR1393,INDEX('Aub Demand'!Q:Q,MATCH($O1393,'Aub Demand'!$A:$A,0))-IF(AN1393="",0,AN1393)+AP1394,INDEX('Aub Demand'!Q:Q,MATCH($O1393,'Aub Demand'!$A:$A,0))-IF(AN1393="",0,AN1393)),"")</f>
        <v>12098</v>
      </c>
      <c r="V1393" s="53">
        <f t="shared" si="590"/>
        <v>160</v>
      </c>
      <c r="W1393" s="52" t="str">
        <f t="shared" si="591"/>
        <v/>
      </c>
      <c r="X1393" s="52">
        <f>IFERROR(IF(AND(AR1394=AR1393,AM1393&lt;&gt;""),INDEX('Aub Demand'!Q:Q,MATCH($O1393,'Aub Demand'!$A:$A,0))-IF(AN1393="",0,AN1393)+AP1394+AD1393+AL1393,IF(AR1394=AR1393,INDEX('Aub Demand'!Q:Q,MATCH($O1393,'Aub Demand'!$A:$A,0))-IF(AN1393="",0,AN1393)+AP1394+AD1393,IF(AM1393&lt;&gt;"",INDEX('Aub Demand'!Q:Q,MATCH($O1393,'Aub Demand'!$A:$A,0))-IF(AN1393="",0,AN1393)+AD1393+AL1393,INDEX('Aub Demand'!Q:Q,MATCH($O1393,'Aub Demand'!$A:$A,0))-IF(AN1393="",0,AN1393)+AD1393))),"")</f>
        <v>12098</v>
      </c>
      <c r="Y1393" s="53">
        <f t="shared" si="592"/>
        <v>160</v>
      </c>
      <c r="Z1393" s="52">
        <f>IF(L1393="","",INDEX('Aub Demand'!H:H,MATCH($O1393,'Aub Demand'!$A:$A,0)))</f>
        <v>324</v>
      </c>
      <c r="AA1393" s="52" t="str">
        <f t="shared" si="593"/>
        <v>-spike-</v>
      </c>
      <c r="AB1393" s="52">
        <f>IFERROR(INDEX('Aub Demand'!L:L,MATCH($O1393,'Aub Demand'!$A:$A,0)),"")</f>
        <v>51</v>
      </c>
      <c r="AC1393" s="52">
        <f>IFERROR(IF(O1393="","",SUMIFS('CPL Mats'!F:F,'CPL Mats'!Q:Q,AR1393,'CPL Mats'!S:S,AS1393)),"")</f>
        <v>0</v>
      </c>
      <c r="AF1393" s="25" t="str">
        <f>IF(SUMIFS('Supp Consol'!S:S,'Supp Consol'!Y:Y,"Releasable",'Supp Consol'!A:A,O1393)=0,"",SUMIFS('Supp Consol'!S:S,'Supp Consol'!Y:Y,"Releasable",'Supp Consol'!A:A,O1393))</f>
        <v/>
      </c>
      <c r="AG1393" s="25">
        <f>IFERROR(INDEX('Hun Demand'!Q:Q,MATCH(O1393,'Hun Demand'!A:A,0)),"")</f>
        <v>1057</v>
      </c>
      <c r="AH1393" s="25">
        <f>IFERROR(INDEX('Hun Demand'!H:H,MATCH($O1393,'Hun Demand'!$A:$A,0)),"")</f>
        <v>74</v>
      </c>
      <c r="AI1393" s="25" t="str">
        <f>IF(SUMIFS('Supp Consol'!AA:AA,'Supp Consol'!Z:Z,"Expires this month",'Supp Consol'!A:A,O1393)=0,"",SUMIFS('Supp Consol'!AA:AA,'Supp Consol'!Z:Z,"Expires this month",'Supp Consol'!A:A,O1393))</f>
        <v/>
      </c>
      <c r="AJ1393" s="25" t="str">
        <f>IF(SUMIFS('Supp Consol'!AA:AA,'Supp Consol'!Z:Z,"Expired Previous Months",'Supp Consol'!A:A,O1393)=0,"",SUMIFS('Supp Consol'!AA:AA,'Supp Consol'!Z:Z,"Expired Previous Months",'Supp Consol'!A:A,O1393))</f>
        <v/>
      </c>
      <c r="AK1393" s="25" t="str">
        <f>IFERROR(INDEX('Hun Release Current'!B:B,MATCH(O1393,'Hun Release Current'!A:A,0)),"")</f>
        <v/>
      </c>
      <c r="AL1393" s="25" t="str">
        <f>IF(SUMIF('Prev Aub'!A:A,O1393,'Prev Aub'!B:B)=0,"",SUMIF('Prev Aub'!A:A,O1393,'Prev Aub'!B:B))</f>
        <v/>
      </c>
      <c r="AN1393" s="25" t="s">
        <v>3790</v>
      </c>
      <c r="AO1393" s="25" t="s">
        <v>3790</v>
      </c>
      <c r="AP1393" s="25">
        <f t="shared" si="594"/>
        <v>0</v>
      </c>
      <c r="AQ1393" s="151" t="str">
        <f>IF(SUMIFS('Supp Consol'!S:S,'Supp Consol'!A:A,O1393,'Supp Consol'!I:I,"PENDING")=0,"",SUMIFS('Supp Consol'!S:S,'Supp Consol'!A:A,O1393,'Supp Consol'!I:I,"PENDING"))</f>
        <v/>
      </c>
      <c r="AR1393" s="27" t="str">
        <f t="shared" si="595"/>
        <v>WM047</v>
      </c>
      <c r="AS1393" s="27" t="str">
        <f t="shared" si="596"/>
        <v>62</v>
      </c>
      <c r="AT1393" s="27" t="str">
        <f t="shared" si="597"/>
        <v/>
      </c>
      <c r="AU1393" s="27" t="str">
        <f t="shared" si="598"/>
        <v/>
      </c>
      <c r="AV1393" s="27" t="str">
        <f t="shared" si="599"/>
        <v/>
      </c>
      <c r="AW1393" s="27" t="str">
        <f t="shared" si="600"/>
        <v/>
      </c>
      <c r="AX1393" s="27" t="str">
        <f t="shared" si="601"/>
        <v/>
      </c>
      <c r="AY1393" s="27" t="str">
        <f t="shared" si="602"/>
        <v>WM047</v>
      </c>
      <c r="AZ1393" s="27" t="str">
        <f t="shared" si="603"/>
        <v/>
      </c>
      <c r="BA1393" s="27" t="str">
        <f t="shared" si="604"/>
        <v>Hun</v>
      </c>
      <c r="BB1393" s="27" t="str">
        <f t="shared" si="605"/>
        <v/>
      </c>
      <c r="BC1393" s="27" t="str">
        <f t="shared" si="606"/>
        <v/>
      </c>
      <c r="BD1393" s="27" t="str">
        <f t="shared" si="607"/>
        <v/>
      </c>
      <c r="BE1393" s="27" t="str">
        <f t="shared" si="608"/>
        <v/>
      </c>
      <c r="BF1393" s="27" t="str">
        <f t="shared" si="609"/>
        <v/>
      </c>
      <c r="BG1393" s="27" t="str">
        <f t="shared" si="610"/>
        <v/>
      </c>
      <c r="BH1393" s="27" t="str">
        <f t="shared" si="611"/>
        <v/>
      </c>
      <c r="BI1393" s="27" t="str">
        <f t="shared" si="612"/>
        <v/>
      </c>
      <c r="BJ1393" s="27" t="str">
        <f t="shared" si="613"/>
        <v>Supp or Hun</v>
      </c>
      <c r="BK1393" s="27" t="str">
        <f t="shared" si="614"/>
        <v/>
      </c>
      <c r="BL1393" s="27" t="str">
        <f t="shared" si="615"/>
        <v/>
      </c>
      <c r="BM1393" s="21" t="s">
        <v>5581</v>
      </c>
    </row>
    <row r="1394" spans="1:65" ht="15">
      <c r="A1394" s="25" t="str">
        <f>IFERROR(INDEX('Hun Demand'!W:W,MATCH(O1394,'Hun Demand'!A:A,0)),"")</f>
        <v/>
      </c>
      <c r="B1394" s="25" t="str">
        <f>IFERROR(INDEX('Hun Demand'!V:V,MATCH(O1394,'Hun Demand'!A:A,0)),"")</f>
        <v/>
      </c>
      <c r="C1394" s="25" t="str">
        <f>IFERROR(INDEX('Hun Demand'!U:U,MATCH(O1394,'Hun Demand'!A:A,0)),"")</f>
        <v/>
      </c>
      <c r="D1394" s="25" t="str">
        <f>IFERROR(INDEX('Hun Demand'!T:T,MATCH(O1394,'Hun Demand'!A:A,0)),"")</f>
        <v/>
      </c>
      <c r="E1394" s="25" t="str">
        <f>IFERROR(INDEX('Hun Demand'!S:S,MATCH(O1394,'Hun Demand'!A:A,0)),"")</f>
        <v/>
      </c>
      <c r="F1394" s="25" t="str">
        <f>IFERROR(INDEX('Hun Demand'!R:R,MATCH(O1394,'Hun Demand'!A:A,0)),"")</f>
        <v/>
      </c>
      <c r="G1394" s="25">
        <f>IFERROR(INDEX('Aub Demand'!W:W,MATCH(O1394,'Aub Demand'!A:A,0)),"")</f>
        <v>325</v>
      </c>
      <c r="H1394" s="25">
        <f>IFERROR(INDEX('Aub Demand'!V:V,MATCH(O1394,'Aub Demand'!A:A,0)),"")</f>
        <v>0</v>
      </c>
      <c r="I1394" s="25">
        <f>IFERROR(INDEX('Aub Demand'!U:U,MATCH(O1394,'Aub Demand'!A:A,0)),"")</f>
        <v>0</v>
      </c>
      <c r="J1394" s="25">
        <f>IFERROR(INDEX('Aub Demand'!T:T,MATCH(O1394,'Aub Demand'!A:A,0)),"")</f>
        <v>0</v>
      </c>
      <c r="K1394" s="25">
        <f>IFERROR(INDEX('Aub Demand'!S:S,MATCH(O1394,'Aub Demand'!A:A,0)),"")</f>
        <v>0</v>
      </c>
      <c r="L1394" s="25">
        <f>IFERROR(INDEX('Aub Demand'!R:R,MATCH(O1394,'Aub Demand'!A:A,0)),"")</f>
        <v>0</v>
      </c>
      <c r="O1394" s="27" t="s">
        <v>1695</v>
      </c>
      <c r="P1394" s="27" t="str">
        <f>IFERROR(INDEX('Aub Demand'!B:B,MATCH($O1394,'Aub Demand'!$A:$A,0)),"")</f>
        <v>RIGHT BRUNSWICK MAPL</v>
      </c>
      <c r="Q1394" s="27" t="str">
        <f>IFERROR(INDEX('Aub Demand'!C:C,MATCH($O1394,'Aub Demand'!$A:$A,0)),"")</f>
        <v>SUDDE</v>
      </c>
      <c r="R1394" s="52">
        <f>IFERROR(IF(AR1395=AR1394,INDEX('Aub Demand'!K:K,MATCH($O1394,'Aub Demand'!$A:$A,0))-IF(AN1394="",0,AN1394)+AP1395,INDEX('Aub Demand'!K:K,MATCH($O1394,'Aub Demand'!$A:$A,0))-IF(AN1394="",0,AN1394)),"")</f>
        <v>2864</v>
      </c>
      <c r="S1394" s="53" t="str">
        <f t="shared" si="588"/>
        <v>n/a</v>
      </c>
      <c r="T1394" s="52" t="str">
        <f t="shared" si="589"/>
        <v/>
      </c>
      <c r="U1394" s="52">
        <f>IFERROR(IF(AR1395=AR1394,INDEX('Aub Demand'!Q:Q,MATCH($O1394,'Aub Demand'!$A:$A,0))-IF(AN1394="",0,AN1394)+AP1395,INDEX('Aub Demand'!Q:Q,MATCH($O1394,'Aub Demand'!$A:$A,0))-IF(AN1394="",0,AN1394)),"")</f>
        <v>2855</v>
      </c>
      <c r="V1394" s="53" t="str">
        <f t="shared" si="590"/>
        <v>n/a</v>
      </c>
      <c r="W1394" s="52" t="str">
        <f t="shared" si="591"/>
        <v/>
      </c>
      <c r="X1394" s="52">
        <f>IFERROR(IF(AND(AR1395=AR1394,AM1394&lt;&gt;""),INDEX('Aub Demand'!Q:Q,MATCH($O1394,'Aub Demand'!$A:$A,0))-IF(AN1394="",0,AN1394)+AP1395+AD1394+AL1394,IF(AR1395=AR1394,INDEX('Aub Demand'!Q:Q,MATCH($O1394,'Aub Demand'!$A:$A,0))-IF(AN1394="",0,AN1394)+AP1395+AD1394,IF(AM1394&lt;&gt;"",INDEX('Aub Demand'!Q:Q,MATCH($O1394,'Aub Demand'!$A:$A,0))-IF(AN1394="",0,AN1394)+AD1394+AL1394,INDEX('Aub Demand'!Q:Q,MATCH($O1394,'Aub Demand'!$A:$A,0))-IF(AN1394="",0,AN1394)+AD1394))),"")</f>
        <v>2855</v>
      </c>
      <c r="Y1394" s="53" t="str">
        <f t="shared" si="592"/>
        <v>n/a</v>
      </c>
      <c r="Z1394" s="52">
        <f>IF(L1394="","",INDEX('Aub Demand'!H:H,MATCH($O1394,'Aub Demand'!$A:$A,0)))</f>
        <v>0</v>
      </c>
      <c r="AA1394" s="52" t="str">
        <f t="shared" si="593"/>
        <v>-spike-</v>
      </c>
      <c r="AB1394" s="52">
        <f>IFERROR(INDEX('Aub Demand'!L:L,MATCH($O1394,'Aub Demand'!$A:$A,0)),"")</f>
        <v>104</v>
      </c>
      <c r="AC1394" s="52">
        <f>IFERROR(IF(O1394="","",SUMIFS('CPL Mats'!F:F,'CPL Mats'!Q:Q,AR1394,'CPL Mats'!S:S,AS1394)),"")</f>
        <v>0</v>
      </c>
      <c r="AF1394" s="25" t="str">
        <f>IF(SUMIFS('Supp Consol'!S:S,'Supp Consol'!Y:Y,"Releasable",'Supp Consol'!A:A,O1394)=0,"",SUMIFS('Supp Consol'!S:S,'Supp Consol'!Y:Y,"Releasable",'Supp Consol'!A:A,O1394))</f>
        <v/>
      </c>
      <c r="AG1394" s="25" t="str">
        <f>IFERROR(INDEX('Hun Demand'!Q:Q,MATCH(O1394,'Hun Demand'!A:A,0)),"")</f>
        <v/>
      </c>
      <c r="AH1394" s="25" t="str">
        <f>IFERROR(INDEX('Hun Demand'!H:H,MATCH($O1394,'Hun Demand'!$A:$A,0)),"")</f>
        <v/>
      </c>
      <c r="AI1394" s="25" t="str">
        <f>IF(SUMIFS('Supp Consol'!AA:AA,'Supp Consol'!Z:Z,"Expires this month",'Supp Consol'!A:A,O1394)=0,"",SUMIFS('Supp Consol'!AA:AA,'Supp Consol'!Z:Z,"Expires this month",'Supp Consol'!A:A,O1394))</f>
        <v/>
      </c>
      <c r="AJ1394" s="25" t="str">
        <f>IF(SUMIFS('Supp Consol'!AA:AA,'Supp Consol'!Z:Z,"Expired Previous Months",'Supp Consol'!A:A,O1394)=0,"",SUMIFS('Supp Consol'!AA:AA,'Supp Consol'!Z:Z,"Expired Previous Months",'Supp Consol'!A:A,O1394))</f>
        <v/>
      </c>
      <c r="AK1394" s="25" t="str">
        <f>IFERROR(INDEX('Hun Release Current'!B:B,MATCH(O1394,'Hun Release Current'!A:A,0)),"")</f>
        <v/>
      </c>
      <c r="AL1394" s="25" t="str">
        <f>IF(SUMIF('Prev Aub'!A:A,O1394,'Prev Aub'!B:B)=0,"",SUMIF('Prev Aub'!A:A,O1394,'Prev Aub'!B:B))</f>
        <v/>
      </c>
      <c r="AN1394" s="25" t="s">
        <v>3790</v>
      </c>
      <c r="AO1394" s="25" t="s">
        <v>3790</v>
      </c>
      <c r="AP1394" s="25">
        <f t="shared" si="594"/>
        <v>0</v>
      </c>
      <c r="AQ1394" s="151" t="str">
        <f>IF(SUMIFS('Supp Consol'!S:S,'Supp Consol'!A:A,O1394,'Supp Consol'!I:I,"PENDING")=0,"",SUMIFS('Supp Consol'!S:S,'Supp Consol'!A:A,O1394,'Supp Consol'!I:I,"PENDING"))</f>
        <v/>
      </c>
      <c r="AR1394" s="27" t="str">
        <f t="shared" si="595"/>
        <v>WM101</v>
      </c>
      <c r="AS1394" s="27" t="str">
        <f t="shared" si="596"/>
        <v>62</v>
      </c>
      <c r="AT1394" s="27" t="str">
        <f t="shared" si="597"/>
        <v/>
      </c>
      <c r="AU1394" s="27" t="str">
        <f t="shared" si="598"/>
        <v/>
      </c>
      <c r="AV1394" s="27" t="str">
        <f t="shared" si="599"/>
        <v/>
      </c>
      <c r="AW1394" s="27" t="str">
        <f t="shared" si="600"/>
        <v/>
      </c>
      <c r="AX1394" s="27" t="str">
        <f t="shared" si="601"/>
        <v/>
      </c>
      <c r="AY1394" s="27" t="str">
        <f t="shared" si="602"/>
        <v/>
      </c>
      <c r="AZ1394" s="27" t="str">
        <f t="shared" si="603"/>
        <v/>
      </c>
      <c r="BA1394" s="27" t="str">
        <f t="shared" si="604"/>
        <v/>
      </c>
      <c r="BB1394" s="27" t="str">
        <f t="shared" si="605"/>
        <v/>
      </c>
      <c r="BC1394" s="27" t="str">
        <f t="shared" si="606"/>
        <v/>
      </c>
      <c r="BD1394" s="27" t="str">
        <f t="shared" si="607"/>
        <v/>
      </c>
      <c r="BE1394" s="27" t="str">
        <f t="shared" si="608"/>
        <v/>
      </c>
      <c r="BF1394" s="27" t="str">
        <f t="shared" si="609"/>
        <v/>
      </c>
      <c r="BG1394" s="27" t="str">
        <f t="shared" si="610"/>
        <v/>
      </c>
      <c r="BH1394" s="27" t="str">
        <f t="shared" si="611"/>
        <v/>
      </c>
      <c r="BI1394" s="27" t="str">
        <f t="shared" si="612"/>
        <v/>
      </c>
      <c r="BJ1394" s="27" t="str">
        <f t="shared" si="613"/>
        <v/>
      </c>
      <c r="BK1394" s="27" t="str">
        <f t="shared" si="614"/>
        <v/>
      </c>
      <c r="BL1394" s="27" t="str">
        <f t="shared" si="615"/>
        <v/>
      </c>
      <c r="BM1394" s="21" t="s">
        <v>5581</v>
      </c>
    </row>
    <row r="1395" spans="1:65" ht="15">
      <c r="A1395" s="25" t="str">
        <f>IFERROR(INDEX('Hun Demand'!W:W,MATCH(O1395,'Hun Demand'!A:A,0)),"")</f>
        <v/>
      </c>
      <c r="B1395" s="25" t="str">
        <f>IFERROR(INDEX('Hun Demand'!V:V,MATCH(O1395,'Hun Demand'!A:A,0)),"")</f>
        <v/>
      </c>
      <c r="C1395" s="25" t="str">
        <f>IFERROR(INDEX('Hun Demand'!U:U,MATCH(O1395,'Hun Demand'!A:A,0)),"")</f>
        <v/>
      </c>
      <c r="D1395" s="25" t="str">
        <f>IFERROR(INDEX('Hun Demand'!T:T,MATCH(O1395,'Hun Demand'!A:A,0)),"")</f>
        <v/>
      </c>
      <c r="E1395" s="25" t="str">
        <f>IFERROR(INDEX('Hun Demand'!S:S,MATCH(O1395,'Hun Demand'!A:A,0)),"")</f>
        <v/>
      </c>
      <c r="F1395" s="25" t="str">
        <f>IFERROR(INDEX('Hun Demand'!R:R,MATCH(O1395,'Hun Demand'!A:A,0)),"")</f>
        <v/>
      </c>
      <c r="G1395" s="25">
        <f>IFERROR(INDEX('Aub Demand'!W:W,MATCH(O1395,'Aub Demand'!A:A,0)),"")</f>
        <v>60</v>
      </c>
      <c r="H1395" s="25">
        <f>IFERROR(INDEX('Aub Demand'!V:V,MATCH(O1395,'Aub Demand'!A:A,0)),"")</f>
        <v>0</v>
      </c>
      <c r="I1395" s="25">
        <f>IFERROR(INDEX('Aub Demand'!U:U,MATCH(O1395,'Aub Demand'!A:A,0)),"")</f>
        <v>85</v>
      </c>
      <c r="J1395" s="25">
        <f>IFERROR(INDEX('Aub Demand'!T:T,MATCH(O1395,'Aub Demand'!A:A,0)),"")</f>
        <v>0</v>
      </c>
      <c r="K1395" s="25">
        <f>IFERROR(INDEX('Aub Demand'!S:S,MATCH(O1395,'Aub Demand'!A:A,0)),"")</f>
        <v>31</v>
      </c>
      <c r="L1395" s="25">
        <f>IFERROR(INDEX('Aub Demand'!R:R,MATCH(O1395,'Aub Demand'!A:A,0)),"")</f>
        <v>0</v>
      </c>
      <c r="O1395" s="27" t="s">
        <v>1698</v>
      </c>
      <c r="P1395" s="27" t="str">
        <f>IFERROR(INDEX('Aub Demand'!B:B,MATCH($O1395,'Aub Demand'!$A:$A,0)),"")</f>
        <v>RETURN MAPLE PRINT</v>
      </c>
      <c r="Q1395" s="27" t="str">
        <f>IFERROR(INDEX('Aub Demand'!C:C,MATCH($O1395,'Aub Demand'!$A:$A,0)),"")</f>
        <v>SUDDE</v>
      </c>
      <c r="R1395" s="52">
        <f>IFERROR(IF(AR1396=AR1395,INDEX('Aub Demand'!K:K,MATCH($O1395,'Aub Demand'!$A:$A,0))-IF(AN1395="",0,AN1395)+AP1396,INDEX('Aub Demand'!K:K,MATCH($O1395,'Aub Demand'!$A:$A,0))-IF(AN1395="",0,AN1395)),"")</f>
        <v>0</v>
      </c>
      <c r="S1395" s="53">
        <f t="shared" si="588"/>
        <v>0</v>
      </c>
      <c r="T1395" s="52">
        <f t="shared" si="589"/>
        <v>43.5</v>
      </c>
      <c r="U1395" s="52">
        <f>IFERROR(IF(AR1396=AR1395,INDEX('Aub Demand'!Q:Q,MATCH($O1395,'Aub Demand'!$A:$A,0))-IF(AN1395="",0,AN1395)+AP1396,INDEX('Aub Demand'!Q:Q,MATCH($O1395,'Aub Demand'!$A:$A,0))-IF(AN1395="",0,AN1395)),"")</f>
        <v>0</v>
      </c>
      <c r="V1395" s="53">
        <f t="shared" si="590"/>
        <v>0</v>
      </c>
      <c r="W1395" s="52">
        <f t="shared" si="591"/>
        <v>43.5</v>
      </c>
      <c r="X1395" s="52">
        <f>IFERROR(IF(AND(AR1396=AR1395,AM1395&lt;&gt;""),INDEX('Aub Demand'!Q:Q,MATCH($O1395,'Aub Demand'!$A:$A,0))-IF(AN1395="",0,AN1395)+AP1396+AD1395+AL1395,IF(AR1396=AR1395,INDEX('Aub Demand'!Q:Q,MATCH($O1395,'Aub Demand'!$A:$A,0))-IF(AN1395="",0,AN1395)+AP1396+AD1395,IF(AM1395&lt;&gt;"",INDEX('Aub Demand'!Q:Q,MATCH($O1395,'Aub Demand'!$A:$A,0))-IF(AN1395="",0,AN1395)+AD1395+AL1395,INDEX('Aub Demand'!Q:Q,MATCH($O1395,'Aub Demand'!$A:$A,0))-IF(AN1395="",0,AN1395)+AD1395))),"")</f>
        <v>0</v>
      </c>
      <c r="Y1395" s="53">
        <f t="shared" si="592"/>
        <v>0</v>
      </c>
      <c r="Z1395" s="52">
        <f>IF(L1395="","",INDEX('Aub Demand'!H:H,MATCH($O1395,'Aub Demand'!$A:$A,0)))</f>
        <v>39</v>
      </c>
      <c r="AA1395" s="52">
        <f t="shared" si="593"/>
        <v>58</v>
      </c>
      <c r="AB1395" s="52">
        <f>IFERROR(INDEX('Aub Demand'!L:L,MATCH($O1395,'Aub Demand'!$A:$A,0)),"")</f>
        <v>19</v>
      </c>
      <c r="AC1395" s="52">
        <f>IFERROR(IF(O1395="","",SUMIFS('CPL Mats'!F:F,'CPL Mats'!Q:Q,AR1395,'CPL Mats'!S:S,AS1395)),"")</f>
        <v>0</v>
      </c>
      <c r="AF1395" s="25" t="str">
        <f>IF(SUMIFS('Supp Consol'!S:S,'Supp Consol'!Y:Y,"Releasable",'Supp Consol'!A:A,O1395)=0,"",SUMIFS('Supp Consol'!S:S,'Supp Consol'!Y:Y,"Releasable",'Supp Consol'!A:A,O1395))</f>
        <v/>
      </c>
      <c r="AG1395" s="25" t="str">
        <f>IFERROR(INDEX('Hun Demand'!Q:Q,MATCH(O1395,'Hun Demand'!A:A,0)),"")</f>
        <v/>
      </c>
      <c r="AH1395" s="25" t="str">
        <f>IFERROR(INDEX('Hun Demand'!H:H,MATCH($O1395,'Hun Demand'!$A:$A,0)),"")</f>
        <v/>
      </c>
      <c r="AI1395" s="25" t="str">
        <f>IF(SUMIFS('Supp Consol'!AA:AA,'Supp Consol'!Z:Z,"Expires this month",'Supp Consol'!A:A,O1395)=0,"",SUMIFS('Supp Consol'!AA:AA,'Supp Consol'!Z:Z,"Expires this month",'Supp Consol'!A:A,O1395))</f>
        <v/>
      </c>
      <c r="AJ1395" s="25" t="str">
        <f>IF(SUMIFS('Supp Consol'!AA:AA,'Supp Consol'!Z:Z,"Expired Previous Months",'Supp Consol'!A:A,O1395)=0,"",SUMIFS('Supp Consol'!AA:AA,'Supp Consol'!Z:Z,"Expired Previous Months",'Supp Consol'!A:A,O1395))</f>
        <v/>
      </c>
      <c r="AK1395" s="25" t="str">
        <f>IFERROR(INDEX('Hun Release Current'!B:B,MATCH(O1395,'Hun Release Current'!A:A,0)),"")</f>
        <v/>
      </c>
      <c r="AL1395" s="25" t="str">
        <f>IF(SUMIF('Prev Aub'!A:A,O1395,'Prev Aub'!B:B)=0,"",SUMIF('Prev Aub'!A:A,O1395,'Prev Aub'!B:B))</f>
        <v/>
      </c>
      <c r="AN1395" s="25" t="s">
        <v>3790</v>
      </c>
      <c r="AO1395" s="25" t="s">
        <v>3790</v>
      </c>
      <c r="AP1395" s="25">
        <f t="shared" si="594"/>
        <v>0</v>
      </c>
      <c r="AQ1395" s="151" t="str">
        <f>IF(SUMIFS('Supp Consol'!S:S,'Supp Consol'!A:A,O1395,'Supp Consol'!I:I,"PENDING")=0,"",SUMIFS('Supp Consol'!S:S,'Supp Consol'!A:A,O1395,'Supp Consol'!I:I,"PENDING"))</f>
        <v/>
      </c>
      <c r="AR1395" s="27" t="str">
        <f t="shared" si="595"/>
        <v>WM111</v>
      </c>
      <c r="AS1395" s="27" t="str">
        <f t="shared" si="596"/>
        <v>43</v>
      </c>
      <c r="AT1395" s="27" t="str">
        <f t="shared" si="597"/>
        <v>WM111</v>
      </c>
      <c r="AU1395" s="27" t="str">
        <f t="shared" si="598"/>
        <v>WM111</v>
      </c>
      <c r="AV1395" s="27" t="str">
        <f t="shared" si="599"/>
        <v>WM111</v>
      </c>
      <c r="AW1395" s="27" t="str">
        <f t="shared" si="600"/>
        <v/>
      </c>
      <c r="AX1395" s="27" t="str">
        <f t="shared" si="601"/>
        <v/>
      </c>
      <c r="AY1395" s="27" t="str">
        <f t="shared" si="602"/>
        <v/>
      </c>
      <c r="AZ1395" s="27" t="str">
        <f t="shared" si="603"/>
        <v/>
      </c>
      <c r="BA1395" s="27" t="str">
        <f t="shared" si="604"/>
        <v/>
      </c>
      <c r="BB1395" s="27" t="str">
        <f t="shared" si="605"/>
        <v>Gross</v>
      </c>
      <c r="BC1395" s="27" t="str">
        <f t="shared" si="606"/>
        <v>Net</v>
      </c>
      <c r="BD1395" s="27" t="str">
        <f t="shared" si="607"/>
        <v>Net</v>
      </c>
      <c r="BE1395" s="27" t="str">
        <f t="shared" si="608"/>
        <v/>
      </c>
      <c r="BF1395" s="27" t="str">
        <f t="shared" si="609"/>
        <v/>
      </c>
      <c r="BG1395" s="27" t="str">
        <f t="shared" si="610"/>
        <v/>
      </c>
      <c r="BH1395" s="27" t="str">
        <f t="shared" si="611"/>
        <v/>
      </c>
      <c r="BI1395" s="27" t="str">
        <f t="shared" si="612"/>
        <v/>
      </c>
      <c r="BJ1395" s="27" t="str">
        <f t="shared" si="613"/>
        <v/>
      </c>
      <c r="BK1395" s="27" t="str">
        <f t="shared" si="614"/>
        <v/>
      </c>
      <c r="BL1395" s="27" t="str">
        <f t="shared" si="615"/>
        <v/>
      </c>
      <c r="BM1395" s="21" t="s">
        <v>5581</v>
      </c>
    </row>
    <row r="1396" spans="1:65" ht="15">
      <c r="A1396" s="25" t="str">
        <f>IFERROR(INDEX('Hun Demand'!W:W,MATCH(O1396,'Hun Demand'!A:A,0)),"")</f>
        <v/>
      </c>
      <c r="B1396" s="25" t="str">
        <f>IFERROR(INDEX('Hun Demand'!V:V,MATCH(O1396,'Hun Demand'!A:A,0)),"")</f>
        <v/>
      </c>
      <c r="C1396" s="25" t="str">
        <f>IFERROR(INDEX('Hun Demand'!U:U,MATCH(O1396,'Hun Demand'!A:A,0)),"")</f>
        <v/>
      </c>
      <c r="D1396" s="25" t="str">
        <f>IFERROR(INDEX('Hun Demand'!T:T,MATCH(O1396,'Hun Demand'!A:A,0)),"")</f>
        <v/>
      </c>
      <c r="E1396" s="25" t="str">
        <f>IFERROR(INDEX('Hun Demand'!S:S,MATCH(O1396,'Hun Demand'!A:A,0)),"")</f>
        <v/>
      </c>
      <c r="F1396" s="25" t="str">
        <f>IFERROR(INDEX('Hun Demand'!R:R,MATCH(O1396,'Hun Demand'!A:A,0)),"")</f>
        <v/>
      </c>
      <c r="G1396" s="25">
        <f>IFERROR(INDEX('Aub Demand'!W:W,MATCH(O1396,'Aub Demand'!A:A,0)),"")</f>
        <v>0</v>
      </c>
      <c r="H1396" s="25">
        <f>IFERROR(INDEX('Aub Demand'!V:V,MATCH(O1396,'Aub Demand'!A:A,0)),"")</f>
        <v>0</v>
      </c>
      <c r="I1396" s="25">
        <f>IFERROR(INDEX('Aub Demand'!U:U,MATCH(O1396,'Aub Demand'!A:A,0)),"")</f>
        <v>14</v>
      </c>
      <c r="J1396" s="25">
        <f>IFERROR(INDEX('Aub Demand'!T:T,MATCH(O1396,'Aub Demand'!A:A,0)),"")</f>
        <v>30</v>
      </c>
      <c r="K1396" s="25">
        <f>IFERROR(INDEX('Aub Demand'!S:S,MATCH(O1396,'Aub Demand'!A:A,0)),"")</f>
        <v>0</v>
      </c>
      <c r="L1396" s="25">
        <f>IFERROR(INDEX('Aub Demand'!R:R,MATCH(O1396,'Aub Demand'!A:A,0)),"")</f>
        <v>0</v>
      </c>
      <c r="O1396" s="27" t="s">
        <v>1700</v>
      </c>
      <c r="P1396" s="27" t="str">
        <f>IFERROR(INDEX('Aub Demand'!B:B,MATCH($O1396,'Aub Demand'!$A:$A,0)),"")</f>
        <v>RETURN MAPLE PRINT</v>
      </c>
      <c r="Q1396" s="27" t="str">
        <f>IFERROR(INDEX('Aub Demand'!C:C,MATCH($O1396,'Aub Demand'!$A:$A,0)),"")</f>
        <v>SUDDE</v>
      </c>
      <c r="R1396" s="52">
        <f>IFERROR(IF(AR1397=AR1396,INDEX('Aub Demand'!K:K,MATCH($O1396,'Aub Demand'!$A:$A,0))-IF(AN1396="",0,AN1396)+AP1397,INDEX('Aub Demand'!K:K,MATCH($O1396,'Aub Demand'!$A:$A,0))-IF(AN1396="",0,AN1396)),"")</f>
        <v>1735</v>
      </c>
      <c r="S1396" s="53">
        <f t="shared" si="588"/>
        <v>495.7</v>
      </c>
      <c r="T1396" s="52" t="str">
        <f t="shared" si="589"/>
        <v/>
      </c>
      <c r="U1396" s="52">
        <f>IFERROR(IF(AR1397=AR1396,INDEX('Aub Demand'!Q:Q,MATCH($O1396,'Aub Demand'!$A:$A,0))-IF(AN1396="",0,AN1396)+AP1397,INDEX('Aub Demand'!Q:Q,MATCH($O1396,'Aub Demand'!$A:$A,0))-IF(AN1396="",0,AN1396)),"")</f>
        <v>1725</v>
      </c>
      <c r="V1396" s="53">
        <f t="shared" si="590"/>
        <v>492.9</v>
      </c>
      <c r="W1396" s="52" t="str">
        <f t="shared" si="591"/>
        <v/>
      </c>
      <c r="X1396" s="52">
        <f>IFERROR(IF(AND(AR1397=AR1396,AM1396&lt;&gt;""),INDEX('Aub Demand'!Q:Q,MATCH($O1396,'Aub Demand'!$A:$A,0))-IF(AN1396="",0,AN1396)+AP1397+AD1396+AL1396,IF(AR1397=AR1396,INDEX('Aub Demand'!Q:Q,MATCH($O1396,'Aub Demand'!$A:$A,0))-IF(AN1396="",0,AN1396)+AP1397+AD1396,IF(AM1396&lt;&gt;"",INDEX('Aub Demand'!Q:Q,MATCH($O1396,'Aub Demand'!$A:$A,0))-IF(AN1396="",0,AN1396)+AD1396+AL1396,INDEX('Aub Demand'!Q:Q,MATCH($O1396,'Aub Demand'!$A:$A,0))-IF(AN1396="",0,AN1396)+AD1396))),"")</f>
        <v>1725</v>
      </c>
      <c r="Y1396" s="53">
        <f t="shared" si="592"/>
        <v>492.9</v>
      </c>
      <c r="Z1396" s="52">
        <f>IF(L1396="","",INDEX('Aub Demand'!H:H,MATCH($O1396,'Aub Demand'!$A:$A,0)))</f>
        <v>15</v>
      </c>
      <c r="AA1396" s="52">
        <f t="shared" si="593"/>
        <v>22</v>
      </c>
      <c r="AB1396" s="52">
        <f>IFERROR(INDEX('Aub Demand'!L:L,MATCH($O1396,'Aub Demand'!$A:$A,0)),"")</f>
        <v>6</v>
      </c>
      <c r="AC1396" s="52">
        <f>IFERROR(IF(O1396="","",SUMIFS('CPL Mats'!F:F,'CPL Mats'!Q:Q,AR1396,'CPL Mats'!S:S,AS1396)),"")</f>
        <v>0</v>
      </c>
      <c r="AF1396" s="25" t="str">
        <f>IF(SUMIFS('Supp Consol'!S:S,'Supp Consol'!Y:Y,"Releasable",'Supp Consol'!A:A,O1396)=0,"",SUMIFS('Supp Consol'!S:S,'Supp Consol'!Y:Y,"Releasable",'Supp Consol'!A:A,O1396))</f>
        <v/>
      </c>
      <c r="AG1396" s="25" t="str">
        <f>IFERROR(INDEX('Hun Demand'!Q:Q,MATCH(O1396,'Hun Demand'!A:A,0)),"")</f>
        <v/>
      </c>
      <c r="AH1396" s="25" t="str">
        <f>IFERROR(INDEX('Hun Demand'!H:H,MATCH($O1396,'Hun Demand'!$A:$A,0)),"")</f>
        <v/>
      </c>
      <c r="AI1396" s="25" t="str">
        <f>IF(SUMIFS('Supp Consol'!AA:AA,'Supp Consol'!Z:Z,"Expires this month",'Supp Consol'!A:A,O1396)=0,"",SUMIFS('Supp Consol'!AA:AA,'Supp Consol'!Z:Z,"Expires this month",'Supp Consol'!A:A,O1396))</f>
        <v/>
      </c>
      <c r="AJ1396" s="25" t="str">
        <f>IF(SUMIFS('Supp Consol'!AA:AA,'Supp Consol'!Z:Z,"Expired Previous Months",'Supp Consol'!A:A,O1396)=0,"",SUMIFS('Supp Consol'!AA:AA,'Supp Consol'!Z:Z,"Expired Previous Months",'Supp Consol'!A:A,O1396))</f>
        <v/>
      </c>
      <c r="AK1396" s="25" t="str">
        <f>IFERROR(INDEX('Hun Release Current'!B:B,MATCH(O1396,'Hun Release Current'!A:A,0)),"")</f>
        <v/>
      </c>
      <c r="AL1396" s="25" t="str">
        <f>IF(SUMIF('Prev Aub'!A:A,O1396,'Prev Aub'!B:B)=0,"",SUMIF('Prev Aub'!A:A,O1396,'Prev Aub'!B:B))</f>
        <v/>
      </c>
      <c r="AN1396" s="25" t="s">
        <v>3790</v>
      </c>
      <c r="AO1396" s="25" t="s">
        <v>3790</v>
      </c>
      <c r="AP1396" s="25">
        <f t="shared" si="594"/>
        <v>0</v>
      </c>
      <c r="AQ1396" s="151" t="str">
        <f>IF(SUMIFS('Supp Consol'!S:S,'Supp Consol'!A:A,O1396,'Supp Consol'!I:I,"PENDING")=0,"",SUMIFS('Supp Consol'!S:S,'Supp Consol'!A:A,O1396,'Supp Consol'!I:I,"PENDING"))</f>
        <v/>
      </c>
      <c r="AR1396" s="27" t="str">
        <f t="shared" si="595"/>
        <v>WM111</v>
      </c>
      <c r="AS1396" s="27" t="str">
        <f t="shared" si="596"/>
        <v>62</v>
      </c>
      <c r="AT1396" s="27" t="str">
        <f t="shared" si="597"/>
        <v/>
      </c>
      <c r="AU1396" s="27" t="str">
        <f t="shared" si="598"/>
        <v/>
      </c>
      <c r="AV1396" s="27" t="str">
        <f t="shared" si="599"/>
        <v/>
      </c>
      <c r="AW1396" s="27" t="str">
        <f t="shared" si="600"/>
        <v/>
      </c>
      <c r="AX1396" s="27" t="str">
        <f t="shared" si="601"/>
        <v/>
      </c>
      <c r="AY1396" s="27" t="str">
        <f t="shared" si="602"/>
        <v/>
      </c>
      <c r="AZ1396" s="27" t="str">
        <f t="shared" si="603"/>
        <v/>
      </c>
      <c r="BA1396" s="27" t="str">
        <f t="shared" si="604"/>
        <v/>
      </c>
      <c r="BB1396" s="27" t="str">
        <f t="shared" si="605"/>
        <v>Gross</v>
      </c>
      <c r="BC1396" s="27" t="str">
        <f t="shared" si="606"/>
        <v>Net</v>
      </c>
      <c r="BD1396" s="27" t="str">
        <f t="shared" si="607"/>
        <v>Net</v>
      </c>
      <c r="BE1396" s="27" t="str">
        <f t="shared" si="608"/>
        <v/>
      </c>
      <c r="BF1396" s="27" t="str">
        <f t="shared" si="609"/>
        <v/>
      </c>
      <c r="BG1396" s="27" t="str">
        <f t="shared" si="610"/>
        <v/>
      </c>
      <c r="BH1396" s="27" t="str">
        <f t="shared" si="611"/>
        <v/>
      </c>
      <c r="BI1396" s="27" t="str">
        <f t="shared" si="612"/>
        <v/>
      </c>
      <c r="BJ1396" s="27" t="str">
        <f t="shared" si="613"/>
        <v/>
      </c>
      <c r="BK1396" s="27" t="str">
        <f t="shared" si="614"/>
        <v/>
      </c>
      <c r="BL1396" s="27" t="str">
        <f t="shared" si="615"/>
        <v/>
      </c>
      <c r="BM1396" s="21" t="s">
        <v>5581</v>
      </c>
    </row>
    <row r="1397" spans="1:65" ht="15">
      <c r="A1397" s="25">
        <f>IFERROR(INDEX('Hun Demand'!W:W,MATCH(O1397,'Hun Demand'!A:A,0)),"")</f>
        <v>0</v>
      </c>
      <c r="B1397" s="25">
        <f>IFERROR(INDEX('Hun Demand'!V:V,MATCH(O1397,'Hun Demand'!A:A,0)),"")</f>
        <v>0</v>
      </c>
      <c r="C1397" s="25">
        <f>IFERROR(INDEX('Hun Demand'!U:U,MATCH(O1397,'Hun Demand'!A:A,0)),"")</f>
        <v>0</v>
      </c>
      <c r="D1397" s="25">
        <f>IFERROR(INDEX('Hun Demand'!T:T,MATCH(O1397,'Hun Demand'!A:A,0)),"")</f>
        <v>0</v>
      </c>
      <c r="E1397" s="25">
        <f>IFERROR(INDEX('Hun Demand'!S:S,MATCH(O1397,'Hun Demand'!A:A,0)),"")</f>
        <v>0</v>
      </c>
      <c r="F1397" s="25">
        <f>IFERROR(INDEX('Hun Demand'!R:R,MATCH(O1397,'Hun Demand'!A:A,0)),"")</f>
        <v>0</v>
      </c>
      <c r="G1397" s="25">
        <f>IFERROR(INDEX('Aub Demand'!W:W,MATCH(O1397,'Aub Demand'!A:A,0)),"")</f>
        <v>1256</v>
      </c>
      <c r="H1397" s="25">
        <f>IFERROR(INDEX('Aub Demand'!V:V,MATCH(O1397,'Aub Demand'!A:A,0)),"")</f>
        <v>305</v>
      </c>
      <c r="I1397" s="25">
        <f>IFERROR(INDEX('Aub Demand'!U:U,MATCH(O1397,'Aub Demand'!A:A,0)),"")</f>
        <v>859</v>
      </c>
      <c r="J1397" s="25">
        <f>IFERROR(INDEX('Aub Demand'!T:T,MATCH(O1397,'Aub Demand'!A:A,0)),"")</f>
        <v>283</v>
      </c>
      <c r="K1397" s="25">
        <f>IFERROR(INDEX('Aub Demand'!S:S,MATCH(O1397,'Aub Demand'!A:A,0)),"")</f>
        <v>233</v>
      </c>
      <c r="L1397" s="25">
        <f>IFERROR(INDEX('Aub Demand'!R:R,MATCH(O1397,'Aub Demand'!A:A,0)),"")</f>
        <v>0</v>
      </c>
      <c r="O1397" s="27" t="s">
        <v>1701</v>
      </c>
      <c r="P1397" s="27" t="str">
        <f>IFERROR(INDEX('Aub Demand'!B:B,MATCH($O1397,'Aub Demand'!$A:$A,0)),"")</f>
        <v>SUGAR MAPLE II</v>
      </c>
      <c r="Q1397" s="27" t="str">
        <f>IFERROR(INDEX('Aub Demand'!C:C,MATCH($O1397,'Aub Demand'!$A:$A,0)),"")</f>
        <v>SUDDE</v>
      </c>
      <c r="R1397" s="52">
        <f>IFERROR(IF(AR1398=AR1397,INDEX('Aub Demand'!K:K,MATCH($O1397,'Aub Demand'!$A:$A,0))-IF(AN1397="",0,AN1397)+AP1398,INDEX('Aub Demand'!K:K,MATCH($O1397,'Aub Demand'!$A:$A,0))-IF(AN1397="",0,AN1397)),"")</f>
        <v>3895</v>
      </c>
      <c r="S1397" s="53">
        <f t="shared" si="588"/>
        <v>36.4</v>
      </c>
      <c r="T1397" s="52" t="str">
        <f t="shared" si="589"/>
        <v/>
      </c>
      <c r="U1397" s="52">
        <f>IFERROR(IF(AR1398=AR1397,INDEX('Aub Demand'!Q:Q,MATCH($O1397,'Aub Demand'!$A:$A,0))-IF(AN1397="",0,AN1397)+AP1398,INDEX('Aub Demand'!Q:Q,MATCH($O1397,'Aub Demand'!$A:$A,0))-IF(AN1397="",0,AN1397)),"")</f>
        <v>3685</v>
      </c>
      <c r="V1397" s="53">
        <f t="shared" si="590"/>
        <v>34.5</v>
      </c>
      <c r="W1397" s="52" t="str">
        <f t="shared" si="591"/>
        <v/>
      </c>
      <c r="X1397" s="52">
        <f>IFERROR(IF(AND(AR1398=AR1397,AM1397&lt;&gt;""),INDEX('Aub Demand'!Q:Q,MATCH($O1397,'Aub Demand'!$A:$A,0))-IF(AN1397="",0,AN1397)+AP1398+AD1397+AL1397,IF(AR1398=AR1397,INDEX('Aub Demand'!Q:Q,MATCH($O1397,'Aub Demand'!$A:$A,0))-IF(AN1397="",0,AN1397)+AP1398+AD1397,IF(AM1397&lt;&gt;"",INDEX('Aub Demand'!Q:Q,MATCH($O1397,'Aub Demand'!$A:$A,0))-IF(AN1397="",0,AN1397)+AD1397+AL1397,INDEX('Aub Demand'!Q:Q,MATCH($O1397,'Aub Demand'!$A:$A,0))-IF(AN1397="",0,AN1397)+AD1397))),"")</f>
        <v>3685</v>
      </c>
      <c r="Y1397" s="53">
        <f t="shared" si="592"/>
        <v>34.5</v>
      </c>
      <c r="Z1397" s="52">
        <f>IF(L1397="","",INDEX('Aub Demand'!H:H,MATCH($O1397,'Aub Demand'!$A:$A,0)))</f>
        <v>458</v>
      </c>
      <c r="AA1397" s="52">
        <f t="shared" si="593"/>
        <v>571</v>
      </c>
      <c r="AB1397" s="52">
        <f>IFERROR(INDEX('Aub Demand'!L:L,MATCH($O1397,'Aub Demand'!$A:$A,0)),"")</f>
        <v>430</v>
      </c>
      <c r="AC1397" s="52">
        <f>IFERROR(IF(O1397="","",SUMIFS('CPL Mats'!F:F,'CPL Mats'!Q:Q,AR1397,'CPL Mats'!S:S,AS1397)),"")</f>
        <v>3650</v>
      </c>
      <c r="AF1397" s="25" t="str">
        <f>IF(SUMIFS('Supp Consol'!S:S,'Supp Consol'!Y:Y,"Releasable",'Supp Consol'!A:A,O1397)=0,"",SUMIFS('Supp Consol'!S:S,'Supp Consol'!Y:Y,"Releasable",'Supp Consol'!A:A,O1397))</f>
        <v/>
      </c>
      <c r="AG1397" s="25">
        <f>IFERROR(INDEX('Hun Demand'!Q:Q,MATCH(O1397,'Hun Demand'!A:A,0)),"")</f>
        <v>169</v>
      </c>
      <c r="AH1397" s="25">
        <f>IFERROR(INDEX('Hun Demand'!H:H,MATCH($O1397,'Hun Demand'!$A:$A,0)),"")</f>
        <v>0</v>
      </c>
      <c r="AI1397" s="25" t="str">
        <f>IF(SUMIFS('Supp Consol'!AA:AA,'Supp Consol'!Z:Z,"Expires this month",'Supp Consol'!A:A,O1397)=0,"",SUMIFS('Supp Consol'!AA:AA,'Supp Consol'!Z:Z,"Expires this month",'Supp Consol'!A:A,O1397))</f>
        <v/>
      </c>
      <c r="AJ1397" s="25" t="str">
        <f>IF(SUMIFS('Supp Consol'!AA:AA,'Supp Consol'!Z:Z,"Expired Previous Months",'Supp Consol'!A:A,O1397)=0,"",SUMIFS('Supp Consol'!AA:AA,'Supp Consol'!Z:Z,"Expired Previous Months",'Supp Consol'!A:A,O1397))</f>
        <v/>
      </c>
      <c r="AK1397" s="25" t="str">
        <f>IFERROR(INDEX('Hun Release Current'!B:B,MATCH(O1397,'Hun Release Current'!A:A,0)),"")</f>
        <v/>
      </c>
      <c r="AL1397" s="25" t="str">
        <f>IF(SUMIF('Prev Aub'!A:A,O1397,'Prev Aub'!B:B)=0,"",SUMIF('Prev Aub'!A:A,O1397,'Prev Aub'!B:B))</f>
        <v/>
      </c>
      <c r="AN1397" s="25" t="s">
        <v>3790</v>
      </c>
      <c r="AO1397" s="25" t="s">
        <v>3790</v>
      </c>
      <c r="AP1397" s="25">
        <f t="shared" si="594"/>
        <v>0</v>
      </c>
      <c r="AQ1397" s="151" t="str">
        <f>IF(SUMIFS('Supp Consol'!S:S,'Supp Consol'!A:A,O1397,'Supp Consol'!I:I,"PENDING")=0,"",SUMIFS('Supp Consol'!S:S,'Supp Consol'!A:A,O1397,'Supp Consol'!I:I,"PENDING"))</f>
        <v/>
      </c>
      <c r="AR1397" s="27" t="str">
        <f t="shared" si="595"/>
        <v>WM115</v>
      </c>
      <c r="AS1397" s="27" t="str">
        <f t="shared" si="596"/>
        <v>50</v>
      </c>
      <c r="AT1397" s="27" t="str">
        <f t="shared" si="597"/>
        <v/>
      </c>
      <c r="AU1397" s="27" t="str">
        <f t="shared" si="598"/>
        <v/>
      </c>
      <c r="AV1397" s="27" t="str">
        <f t="shared" si="599"/>
        <v/>
      </c>
      <c r="AW1397" s="27" t="str">
        <f t="shared" si="600"/>
        <v/>
      </c>
      <c r="AX1397" s="27" t="str">
        <f t="shared" si="601"/>
        <v/>
      </c>
      <c r="AY1397" s="27" t="str">
        <f t="shared" si="602"/>
        <v>WM115</v>
      </c>
      <c r="AZ1397" s="27" t="str">
        <f t="shared" si="603"/>
        <v>Supp</v>
      </c>
      <c r="BA1397" s="27" t="str">
        <f t="shared" si="604"/>
        <v>Hun</v>
      </c>
      <c r="BB1397" s="27" t="str">
        <f t="shared" si="605"/>
        <v/>
      </c>
      <c r="BC1397" s="27" t="str">
        <f t="shared" si="606"/>
        <v/>
      </c>
      <c r="BD1397" s="27" t="str">
        <f t="shared" si="607"/>
        <v/>
      </c>
      <c r="BE1397" s="27" t="str">
        <f t="shared" si="608"/>
        <v/>
      </c>
      <c r="BF1397" s="27" t="str">
        <f t="shared" si="609"/>
        <v/>
      </c>
      <c r="BG1397" s="27" t="str">
        <f t="shared" si="610"/>
        <v/>
      </c>
      <c r="BH1397" s="27" t="str">
        <f t="shared" si="611"/>
        <v/>
      </c>
      <c r="BI1397" s="27" t="str">
        <f t="shared" si="612"/>
        <v/>
      </c>
      <c r="BJ1397" s="27" t="str">
        <f t="shared" si="613"/>
        <v>Supp or Hun</v>
      </c>
      <c r="BK1397" s="27" t="str">
        <f t="shared" si="614"/>
        <v/>
      </c>
      <c r="BL1397" s="27" t="str">
        <f t="shared" si="615"/>
        <v/>
      </c>
      <c r="BM1397" s="21" t="s">
        <v>5581</v>
      </c>
    </row>
    <row r="1398" spans="1:65" ht="15">
      <c r="A1398" s="25">
        <f>IFERROR(INDEX('Hun Demand'!W:W,MATCH(O1398,'Hun Demand'!A:A,0)),"")</f>
        <v>183</v>
      </c>
      <c r="B1398" s="25">
        <f>IFERROR(INDEX('Hun Demand'!V:V,MATCH(O1398,'Hun Demand'!A:A,0)),"")</f>
        <v>76</v>
      </c>
      <c r="C1398" s="25">
        <f>IFERROR(INDEX('Hun Demand'!U:U,MATCH(O1398,'Hun Demand'!A:A,0)),"")</f>
        <v>0</v>
      </c>
      <c r="D1398" s="25">
        <f>IFERROR(INDEX('Hun Demand'!T:T,MATCH(O1398,'Hun Demand'!A:A,0)),"")</f>
        <v>589</v>
      </c>
      <c r="E1398" s="25">
        <f>IFERROR(INDEX('Hun Demand'!S:S,MATCH(O1398,'Hun Demand'!A:A,0)),"")</f>
        <v>307</v>
      </c>
      <c r="F1398" s="25">
        <f>IFERROR(INDEX('Hun Demand'!R:R,MATCH(O1398,'Hun Demand'!A:A,0)),"")</f>
        <v>0</v>
      </c>
      <c r="G1398" s="25">
        <f>IFERROR(INDEX('Aub Demand'!W:W,MATCH(O1398,'Aub Demand'!A:A,0)),"")</f>
        <v>421</v>
      </c>
      <c r="H1398" s="25">
        <f>IFERROR(INDEX('Aub Demand'!V:V,MATCH(O1398,'Aub Demand'!A:A,0)),"")</f>
        <v>689</v>
      </c>
      <c r="I1398" s="25">
        <f>IFERROR(INDEX('Aub Demand'!U:U,MATCH(O1398,'Aub Demand'!A:A,0)),"")</f>
        <v>427</v>
      </c>
      <c r="J1398" s="25">
        <f>IFERROR(INDEX('Aub Demand'!T:T,MATCH(O1398,'Aub Demand'!A:A,0)),"")</f>
        <v>78</v>
      </c>
      <c r="K1398" s="25">
        <f>IFERROR(INDEX('Aub Demand'!S:S,MATCH(O1398,'Aub Demand'!A:A,0)),"")</f>
        <v>8</v>
      </c>
      <c r="L1398" s="25">
        <f>IFERROR(INDEX('Aub Demand'!R:R,MATCH(O1398,'Aub Demand'!A:A,0)),"")</f>
        <v>0</v>
      </c>
      <c r="O1398" s="27" t="s">
        <v>1703</v>
      </c>
      <c r="P1398" s="27" t="str">
        <f>IFERROR(INDEX('Aub Demand'!B:B,MATCH($O1398,'Aub Demand'!$A:$A,0)),"")</f>
        <v>SUGAR MAPLE II</v>
      </c>
      <c r="Q1398" s="27" t="str">
        <f>IFERROR(INDEX('Aub Demand'!C:C,MATCH($O1398,'Aub Demand'!$A:$A,0)),"")</f>
        <v>SUDDE</v>
      </c>
      <c r="R1398" s="52">
        <f>IFERROR(IF(AR1399=AR1398,INDEX('Aub Demand'!K:K,MATCH($O1398,'Aub Demand'!$A:$A,0))-IF(AN1398="",0,AN1398)+AP1399,INDEX('Aub Demand'!K:K,MATCH($O1398,'Aub Demand'!$A:$A,0))-IF(AN1398="",0,AN1398)),"")</f>
        <v>507</v>
      </c>
      <c r="S1398" s="53">
        <f t="shared" si="588"/>
        <v>12.7</v>
      </c>
      <c r="T1398" s="52" t="str">
        <f t="shared" si="589"/>
        <v/>
      </c>
      <c r="U1398" s="52">
        <f>IFERROR(IF(AR1399=AR1398,INDEX('Aub Demand'!Q:Q,MATCH($O1398,'Aub Demand'!$A:$A,0))-IF(AN1398="",0,AN1398)+AP1399,INDEX('Aub Demand'!Q:Q,MATCH($O1398,'Aub Demand'!$A:$A,0))-IF(AN1398="",0,AN1398)),"")</f>
        <v>477</v>
      </c>
      <c r="V1398" s="53">
        <f t="shared" si="590"/>
        <v>12</v>
      </c>
      <c r="W1398" s="52" t="str">
        <f t="shared" si="591"/>
        <v/>
      </c>
      <c r="X1398" s="52">
        <f>IFERROR(IF(AND(AR1399=AR1398,AM1398&lt;&gt;""),INDEX('Aub Demand'!Q:Q,MATCH($O1398,'Aub Demand'!$A:$A,0))-IF(AN1398="",0,AN1398)+AP1399+AD1398+AL1398,IF(AR1399=AR1398,INDEX('Aub Demand'!Q:Q,MATCH($O1398,'Aub Demand'!$A:$A,0))-IF(AN1398="",0,AN1398)+AP1399+AD1398,IF(AM1398&lt;&gt;"",INDEX('Aub Demand'!Q:Q,MATCH($O1398,'Aub Demand'!$A:$A,0))-IF(AN1398="",0,AN1398)+AD1398+AL1398,INDEX('Aub Demand'!Q:Q,MATCH($O1398,'Aub Demand'!$A:$A,0))-IF(AN1398="",0,AN1398)+AD1398))),"")</f>
        <v>477</v>
      </c>
      <c r="Y1398" s="53">
        <f t="shared" si="592"/>
        <v>12</v>
      </c>
      <c r="Z1398" s="52">
        <f>IF(L1398="","",INDEX('Aub Demand'!H:H,MATCH($O1398,'Aub Demand'!$A:$A,0)))</f>
        <v>171</v>
      </c>
      <c r="AA1398" s="52">
        <f t="shared" si="593"/>
        <v>252.5</v>
      </c>
      <c r="AB1398" s="52">
        <f>IFERROR(INDEX('Aub Demand'!L:L,MATCH($O1398,'Aub Demand'!$A:$A,0)),"")</f>
        <v>53</v>
      </c>
      <c r="AC1398" s="52">
        <f>IFERROR(IF(O1398="","",SUMIFS('CPL Mats'!F:F,'CPL Mats'!Q:Q,AR1398,'CPL Mats'!S:S,AS1398)),"")</f>
        <v>0</v>
      </c>
      <c r="AF1398" s="25">
        <f>IF(SUMIFS('Supp Consol'!S:S,'Supp Consol'!Y:Y,"Releasable",'Supp Consol'!A:A,O1398)=0,"",SUMIFS('Supp Consol'!S:S,'Supp Consol'!Y:Y,"Releasable",'Supp Consol'!A:A,O1398))</f>
        <v>2870</v>
      </c>
      <c r="AG1398" s="25">
        <f>IFERROR(INDEX('Hun Demand'!Q:Q,MATCH(O1398,'Hun Demand'!A:A,0)),"")</f>
        <v>1119</v>
      </c>
      <c r="AH1398" s="25">
        <f>IFERROR(INDEX('Hun Demand'!H:H,MATCH($O1398,'Hun Demand'!$A:$A,0)),"")</f>
        <v>299</v>
      </c>
      <c r="AI1398" s="25" t="str">
        <f>IF(SUMIFS('Supp Consol'!AA:AA,'Supp Consol'!Z:Z,"Expires this month",'Supp Consol'!A:A,O1398)=0,"",SUMIFS('Supp Consol'!AA:AA,'Supp Consol'!Z:Z,"Expires this month",'Supp Consol'!A:A,O1398))</f>
        <v/>
      </c>
      <c r="AJ1398" s="25" t="str">
        <f>IF(SUMIFS('Supp Consol'!AA:AA,'Supp Consol'!Z:Z,"Expired Previous Months",'Supp Consol'!A:A,O1398)=0,"",SUMIFS('Supp Consol'!AA:AA,'Supp Consol'!Z:Z,"Expired Previous Months",'Supp Consol'!A:A,O1398))</f>
        <v/>
      </c>
      <c r="AK1398" s="25" t="str">
        <f>IFERROR(INDEX('Hun Release Current'!B:B,MATCH(O1398,'Hun Release Current'!A:A,0)),"")</f>
        <v/>
      </c>
      <c r="AL1398" s="25" t="str">
        <f>IF(SUMIF('Prev Aub'!A:A,O1398,'Prev Aub'!B:B)=0,"",SUMIF('Prev Aub'!A:A,O1398,'Prev Aub'!B:B))</f>
        <v/>
      </c>
      <c r="AN1398" s="25" t="s">
        <v>3790</v>
      </c>
      <c r="AO1398" s="25" t="s">
        <v>3790</v>
      </c>
      <c r="AP1398" s="25">
        <f t="shared" si="594"/>
        <v>0</v>
      </c>
      <c r="AQ1398" s="151" t="str">
        <f>IF(SUMIFS('Supp Consol'!S:S,'Supp Consol'!A:A,O1398,'Supp Consol'!I:I,"PENDING")=0,"",SUMIFS('Supp Consol'!S:S,'Supp Consol'!A:A,O1398,'Supp Consol'!I:I,"PENDING"))</f>
        <v/>
      </c>
      <c r="AR1398" s="27" t="str">
        <f t="shared" si="595"/>
        <v>WM115</v>
      </c>
      <c r="AS1398" s="27" t="str">
        <f t="shared" si="596"/>
        <v>62</v>
      </c>
      <c r="AT1398" s="27" t="str">
        <f t="shared" si="597"/>
        <v/>
      </c>
      <c r="AU1398" s="27" t="str">
        <f t="shared" si="598"/>
        <v/>
      </c>
      <c r="AV1398" s="27" t="str">
        <f t="shared" si="599"/>
        <v/>
      </c>
      <c r="AW1398" s="27" t="str">
        <f t="shared" si="600"/>
        <v/>
      </c>
      <c r="AX1398" s="27" t="str">
        <f t="shared" si="601"/>
        <v>WM115</v>
      </c>
      <c r="AY1398" s="27" t="str">
        <f t="shared" si="602"/>
        <v>WM115</v>
      </c>
      <c r="AZ1398" s="27" t="str">
        <f t="shared" si="603"/>
        <v>Supp</v>
      </c>
      <c r="BA1398" s="27" t="str">
        <f t="shared" si="604"/>
        <v>Hun</v>
      </c>
      <c r="BB1398" s="27" t="str">
        <f t="shared" si="605"/>
        <v/>
      </c>
      <c r="BC1398" s="27" t="str">
        <f t="shared" si="606"/>
        <v/>
      </c>
      <c r="BD1398" s="27" t="str">
        <f t="shared" si="607"/>
        <v/>
      </c>
      <c r="BE1398" s="27" t="str">
        <f t="shared" si="608"/>
        <v/>
      </c>
      <c r="BF1398" s="27" t="str">
        <f t="shared" si="609"/>
        <v/>
      </c>
      <c r="BG1398" s="27" t="str">
        <f t="shared" si="610"/>
        <v/>
      </c>
      <c r="BH1398" s="27" t="str">
        <f t="shared" si="611"/>
        <v/>
      </c>
      <c r="BI1398" s="27" t="str">
        <f t="shared" si="612"/>
        <v/>
      </c>
      <c r="BJ1398" s="27" t="str">
        <f t="shared" si="613"/>
        <v>Supp or Hun</v>
      </c>
      <c r="BK1398" s="27" t="str">
        <f t="shared" si="614"/>
        <v/>
      </c>
      <c r="BL1398" s="27" t="str">
        <f t="shared" si="615"/>
        <v/>
      </c>
      <c r="BM1398" s="21" t="s">
        <v>5581</v>
      </c>
    </row>
    <row r="1399" spans="1:65" ht="15">
      <c r="A1399" s="25">
        <f>IFERROR(INDEX('Hun Demand'!W:W,MATCH(O1399,'Hun Demand'!A:A,0)),"")</f>
        <v>0</v>
      </c>
      <c r="B1399" s="25">
        <f>IFERROR(INDEX('Hun Demand'!V:V,MATCH(O1399,'Hun Demand'!A:A,0)),"")</f>
        <v>0</v>
      </c>
      <c r="C1399" s="25">
        <f>IFERROR(INDEX('Hun Demand'!U:U,MATCH(O1399,'Hun Demand'!A:A,0)),"")</f>
        <v>0</v>
      </c>
      <c r="D1399" s="25">
        <f>IFERROR(INDEX('Hun Demand'!T:T,MATCH(O1399,'Hun Demand'!A:A,0)),"")</f>
        <v>0</v>
      </c>
      <c r="E1399" s="25">
        <f>IFERROR(INDEX('Hun Demand'!S:S,MATCH(O1399,'Hun Demand'!A:A,0)),"")</f>
        <v>0</v>
      </c>
      <c r="F1399" s="25">
        <f>IFERROR(INDEX('Hun Demand'!R:R,MATCH(O1399,'Hun Demand'!A:A,0)),"")</f>
        <v>0</v>
      </c>
      <c r="G1399" s="25">
        <f>IFERROR(INDEX('Aub Demand'!W:W,MATCH(O1399,'Aub Demand'!A:A,0)),"")</f>
        <v>0</v>
      </c>
      <c r="H1399" s="25">
        <f>IFERROR(INDEX('Aub Demand'!V:V,MATCH(O1399,'Aub Demand'!A:A,0)),"")</f>
        <v>0</v>
      </c>
      <c r="I1399" s="25">
        <f>IFERROR(INDEX('Aub Demand'!U:U,MATCH(O1399,'Aub Demand'!A:A,0)),"")</f>
        <v>0</v>
      </c>
      <c r="J1399" s="25">
        <f>IFERROR(INDEX('Aub Demand'!T:T,MATCH(O1399,'Aub Demand'!A:A,0)),"")</f>
        <v>0</v>
      </c>
      <c r="K1399" s="25">
        <f>IFERROR(INDEX('Aub Demand'!S:S,MATCH(O1399,'Aub Demand'!A:A,0)),"")</f>
        <v>0</v>
      </c>
      <c r="L1399" s="25">
        <f>IFERROR(INDEX('Aub Demand'!R:R,MATCH(O1399,'Aub Demand'!A:A,0)),"")</f>
        <v>0</v>
      </c>
      <c r="O1399" s="27" t="s">
        <v>1704</v>
      </c>
      <c r="P1399" s="27" t="str">
        <f>IFERROR(INDEX('Aub Demand'!B:B,MATCH($O1399,'Aub Demand'!$A:$A,0)),"")</f>
        <v>BUSH ACCORD MAPLE</v>
      </c>
      <c r="Q1399" s="27" t="str">
        <f>IFERROR(INDEX('Aub Demand'!C:C,MATCH($O1399,'Aub Demand'!$A:$A,0)),"")</f>
        <v>TOPPA</v>
      </c>
      <c r="R1399" s="52">
        <f>IFERROR(IF(AR1400=AR1399,INDEX('Aub Demand'!K:K,MATCH($O1399,'Aub Demand'!$A:$A,0))-IF(AN1399="",0,AN1399)+AP1400,INDEX('Aub Demand'!K:K,MATCH($O1399,'Aub Demand'!$A:$A,0))-IF(AN1399="",0,AN1399)),"")</f>
        <v>723</v>
      </c>
      <c r="S1399" s="53" t="str">
        <f t="shared" si="588"/>
        <v>n/a</v>
      </c>
      <c r="T1399" s="52" t="str">
        <f t="shared" si="589"/>
        <v/>
      </c>
      <c r="U1399" s="52">
        <f>IFERROR(IF(AR1400=AR1399,INDEX('Aub Demand'!Q:Q,MATCH($O1399,'Aub Demand'!$A:$A,0))-IF(AN1399="",0,AN1399)+AP1400,INDEX('Aub Demand'!Q:Q,MATCH($O1399,'Aub Demand'!$A:$A,0))-IF(AN1399="",0,AN1399)),"")</f>
        <v>723</v>
      </c>
      <c r="V1399" s="53" t="str">
        <f t="shared" si="590"/>
        <v>n/a</v>
      </c>
      <c r="W1399" s="52" t="str">
        <f t="shared" si="591"/>
        <v/>
      </c>
      <c r="X1399" s="52">
        <f>IFERROR(IF(AND(AR1400=AR1399,AM1399&lt;&gt;""),INDEX('Aub Demand'!Q:Q,MATCH($O1399,'Aub Demand'!$A:$A,0))-IF(AN1399="",0,AN1399)+AP1400+AD1399+AL1399,IF(AR1400=AR1399,INDEX('Aub Demand'!Q:Q,MATCH($O1399,'Aub Demand'!$A:$A,0))-IF(AN1399="",0,AN1399)+AP1400+AD1399,IF(AM1399&lt;&gt;"",INDEX('Aub Demand'!Q:Q,MATCH($O1399,'Aub Demand'!$A:$A,0))-IF(AN1399="",0,AN1399)+AD1399+AL1399,INDEX('Aub Demand'!Q:Q,MATCH($O1399,'Aub Demand'!$A:$A,0))-IF(AN1399="",0,AN1399)+AD1399))),"")</f>
        <v>723</v>
      </c>
      <c r="Y1399" s="53" t="str">
        <f t="shared" si="592"/>
        <v>n/a</v>
      </c>
      <c r="Z1399" s="52">
        <f>IF(L1399="","",INDEX('Aub Demand'!H:H,MATCH($O1399,'Aub Demand'!$A:$A,0)))</f>
        <v>0</v>
      </c>
      <c r="AA1399" s="52" t="str">
        <f t="shared" si="593"/>
        <v>-spike-</v>
      </c>
      <c r="AB1399" s="52">
        <f>IFERROR(INDEX('Aub Demand'!L:L,MATCH($O1399,'Aub Demand'!$A:$A,0)),"")</f>
        <v>0</v>
      </c>
      <c r="AC1399" s="52">
        <f>IFERROR(IF(O1399="","",SUMIFS('CPL Mats'!F:F,'CPL Mats'!Q:Q,AR1399,'CPL Mats'!S:S,AS1399)),"")</f>
        <v>0</v>
      </c>
      <c r="AF1399" s="25" t="str">
        <f>IF(SUMIFS('Supp Consol'!S:S,'Supp Consol'!Y:Y,"Releasable",'Supp Consol'!A:A,O1399)=0,"",SUMIFS('Supp Consol'!S:S,'Supp Consol'!Y:Y,"Releasable",'Supp Consol'!A:A,O1399))</f>
        <v/>
      </c>
      <c r="AG1399" s="25">
        <f>IFERROR(INDEX('Hun Demand'!Q:Q,MATCH(O1399,'Hun Demand'!A:A,0)),"")</f>
        <v>934</v>
      </c>
      <c r="AH1399" s="25">
        <f>IFERROR(INDEX('Hun Demand'!H:H,MATCH($O1399,'Hun Demand'!$A:$A,0)),"")</f>
        <v>0</v>
      </c>
      <c r="AI1399" s="25" t="str">
        <f>IF(SUMIFS('Supp Consol'!AA:AA,'Supp Consol'!Z:Z,"Expires this month",'Supp Consol'!A:A,O1399)=0,"",SUMIFS('Supp Consol'!AA:AA,'Supp Consol'!Z:Z,"Expires this month",'Supp Consol'!A:A,O1399))</f>
        <v/>
      </c>
      <c r="AJ1399" s="25" t="str">
        <f>IF(SUMIFS('Supp Consol'!AA:AA,'Supp Consol'!Z:Z,"Expired Previous Months",'Supp Consol'!A:A,O1399)=0,"",SUMIFS('Supp Consol'!AA:AA,'Supp Consol'!Z:Z,"Expired Previous Months",'Supp Consol'!A:A,O1399))</f>
        <v/>
      </c>
      <c r="AK1399" s="25" t="str">
        <f>IFERROR(INDEX('Hun Release Current'!B:B,MATCH(O1399,'Hun Release Current'!A:A,0)),"")</f>
        <v/>
      </c>
      <c r="AL1399" s="25" t="str">
        <f>IF(SUMIF('Prev Aub'!A:A,O1399,'Prev Aub'!B:B)=0,"",SUMIF('Prev Aub'!A:A,O1399,'Prev Aub'!B:B))</f>
        <v/>
      </c>
      <c r="AN1399" s="25" t="s">
        <v>3790</v>
      </c>
      <c r="AO1399" s="25" t="s">
        <v>3790</v>
      </c>
      <c r="AP1399" s="25">
        <f t="shared" si="594"/>
        <v>0</v>
      </c>
      <c r="AQ1399" s="151" t="str">
        <f>IF(SUMIFS('Supp Consol'!S:S,'Supp Consol'!A:A,O1399,'Supp Consol'!I:I,"PENDING")=0,"",SUMIFS('Supp Consol'!S:S,'Supp Consol'!A:A,O1399,'Supp Consol'!I:I,"PENDING"))</f>
        <v/>
      </c>
      <c r="AR1399" s="27" t="str">
        <f t="shared" si="595"/>
        <v>WM215</v>
      </c>
      <c r="AS1399" s="27" t="str">
        <f t="shared" si="596"/>
        <v>62</v>
      </c>
      <c r="AT1399" s="27" t="str">
        <f t="shared" si="597"/>
        <v/>
      </c>
      <c r="AU1399" s="27" t="str">
        <f t="shared" si="598"/>
        <v/>
      </c>
      <c r="AV1399" s="27" t="str">
        <f t="shared" si="599"/>
        <v/>
      </c>
      <c r="AW1399" s="27" t="str">
        <f t="shared" si="600"/>
        <v/>
      </c>
      <c r="AX1399" s="27" t="str">
        <f t="shared" si="601"/>
        <v/>
      </c>
      <c r="AY1399" s="27" t="str">
        <f t="shared" si="602"/>
        <v>WM215</v>
      </c>
      <c r="AZ1399" s="27" t="str">
        <f t="shared" si="603"/>
        <v/>
      </c>
      <c r="BA1399" s="27" t="str">
        <f t="shared" si="604"/>
        <v>Hun</v>
      </c>
      <c r="BB1399" s="27" t="str">
        <f t="shared" si="605"/>
        <v/>
      </c>
      <c r="BC1399" s="27" t="str">
        <f t="shared" si="606"/>
        <v/>
      </c>
      <c r="BD1399" s="27" t="str">
        <f t="shared" si="607"/>
        <v/>
      </c>
      <c r="BE1399" s="27" t="str">
        <f t="shared" si="608"/>
        <v/>
      </c>
      <c r="BF1399" s="27" t="str">
        <f t="shared" si="609"/>
        <v/>
      </c>
      <c r="BG1399" s="27" t="str">
        <f t="shared" si="610"/>
        <v/>
      </c>
      <c r="BH1399" s="27" t="str">
        <f t="shared" si="611"/>
        <v/>
      </c>
      <c r="BI1399" s="27" t="str">
        <f t="shared" si="612"/>
        <v/>
      </c>
      <c r="BJ1399" s="27" t="str">
        <f t="shared" si="613"/>
        <v>Supp or Hun</v>
      </c>
      <c r="BK1399" s="27" t="str">
        <f t="shared" si="614"/>
        <v/>
      </c>
      <c r="BL1399" s="27" t="str">
        <f t="shared" si="615"/>
        <v/>
      </c>
      <c r="BM1399" s="21" t="s">
        <v>5582</v>
      </c>
    </row>
    <row r="1400" spans="1:65" ht="15">
      <c r="A1400" s="25" t="str">
        <f>IFERROR(INDEX('Hun Demand'!W:W,MATCH(O1400,'Hun Demand'!A:A,0)),"")</f>
        <v/>
      </c>
      <c r="B1400" s="25" t="str">
        <f>IFERROR(INDEX('Hun Demand'!V:V,MATCH(O1400,'Hun Demand'!A:A,0)),"")</f>
        <v/>
      </c>
      <c r="C1400" s="25" t="str">
        <f>IFERROR(INDEX('Hun Demand'!U:U,MATCH(O1400,'Hun Demand'!A:A,0)),"")</f>
        <v/>
      </c>
      <c r="D1400" s="25" t="str">
        <f>IFERROR(INDEX('Hun Demand'!T:T,MATCH(O1400,'Hun Demand'!A:A,0)),"")</f>
        <v/>
      </c>
      <c r="E1400" s="25" t="str">
        <f>IFERROR(INDEX('Hun Demand'!S:S,MATCH(O1400,'Hun Demand'!A:A,0)),"")</f>
        <v/>
      </c>
      <c r="F1400" s="25" t="str">
        <f>IFERROR(INDEX('Hun Demand'!R:R,MATCH(O1400,'Hun Demand'!A:A,0)),"")</f>
        <v/>
      </c>
      <c r="G1400" s="25">
        <f>IFERROR(INDEX('Aub Demand'!W:W,MATCH(O1400,'Aub Demand'!A:A,0)),"")</f>
        <v>216</v>
      </c>
      <c r="H1400" s="25">
        <f>IFERROR(INDEX('Aub Demand'!V:V,MATCH(O1400,'Aub Demand'!A:A,0)),"")</f>
        <v>80</v>
      </c>
      <c r="I1400" s="25">
        <f>IFERROR(INDEX('Aub Demand'!U:U,MATCH(O1400,'Aub Demand'!A:A,0)),"")</f>
        <v>100</v>
      </c>
      <c r="J1400" s="25">
        <f>IFERROR(INDEX('Aub Demand'!T:T,MATCH(O1400,'Aub Demand'!A:A,0)),"")</f>
        <v>0</v>
      </c>
      <c r="K1400" s="25">
        <f>IFERROR(INDEX('Aub Demand'!S:S,MATCH(O1400,'Aub Demand'!A:A,0)),"")</f>
        <v>0</v>
      </c>
      <c r="L1400" s="25">
        <f>IFERROR(INDEX('Aub Demand'!R:R,MATCH(O1400,'Aub Demand'!A:A,0)),"")</f>
        <v>0</v>
      </c>
      <c r="O1400" s="27" t="s">
        <v>1707</v>
      </c>
      <c r="P1400" s="27" t="str">
        <f>IFERROR(INDEX('Aub Demand'!B:B,MATCH($O1400,'Aub Demand'!$A:$A,0)),"")</f>
        <v>AMBER CURLY MAPLE</v>
      </c>
      <c r="Q1400" s="27" t="str">
        <f>IFERROR(INDEX('Aub Demand'!C:C,MATCH($O1400,'Aub Demand'!$A:$A,0)),"")</f>
        <v>AHLST</v>
      </c>
      <c r="R1400" s="52">
        <f>IFERROR(IF(AR1401=AR1400,INDEX('Aub Demand'!K:K,MATCH($O1400,'Aub Demand'!$A:$A,0))-IF(AN1400="",0,AN1400)+AP1401,INDEX('Aub Demand'!K:K,MATCH($O1400,'Aub Demand'!$A:$A,0))-IF(AN1400="",0,AN1400)),"")</f>
        <v>1916</v>
      </c>
      <c r="S1400" s="53">
        <f t="shared" si="588"/>
        <v>248.8</v>
      </c>
      <c r="T1400" s="52" t="str">
        <f t="shared" si="589"/>
        <v/>
      </c>
      <c r="U1400" s="52">
        <f>IFERROR(IF(AR1401=AR1400,INDEX('Aub Demand'!Q:Q,MATCH($O1400,'Aub Demand'!$A:$A,0))-IF(AN1400="",0,AN1400)+AP1401,INDEX('Aub Demand'!Q:Q,MATCH($O1400,'Aub Demand'!$A:$A,0))-IF(AN1400="",0,AN1400)),"")</f>
        <v>1909</v>
      </c>
      <c r="V1400" s="53">
        <f t="shared" si="590"/>
        <v>247.9</v>
      </c>
      <c r="W1400" s="52" t="str">
        <f t="shared" si="591"/>
        <v/>
      </c>
      <c r="X1400" s="52">
        <f>IFERROR(IF(AND(AR1401=AR1400,AM1400&lt;&gt;""),INDEX('Aub Demand'!Q:Q,MATCH($O1400,'Aub Demand'!$A:$A,0))-IF(AN1400="",0,AN1400)+AP1401+AD1400+AL1400,IF(AR1401=AR1400,INDEX('Aub Demand'!Q:Q,MATCH($O1400,'Aub Demand'!$A:$A,0))-IF(AN1400="",0,AN1400)+AP1401+AD1400,IF(AM1400&lt;&gt;"",INDEX('Aub Demand'!Q:Q,MATCH($O1400,'Aub Demand'!$A:$A,0))-IF(AN1400="",0,AN1400)+AD1400+AL1400,INDEX('Aub Demand'!Q:Q,MATCH($O1400,'Aub Demand'!$A:$A,0))-IF(AN1400="",0,AN1400)+AD1400))),"")</f>
        <v>1909</v>
      </c>
      <c r="Y1400" s="53">
        <f t="shared" si="592"/>
        <v>247.9</v>
      </c>
      <c r="Z1400" s="52">
        <f>IF(L1400="","",INDEX('Aub Demand'!H:H,MATCH($O1400,'Aub Demand'!$A:$A,0)))</f>
        <v>33</v>
      </c>
      <c r="AA1400" s="52" t="str">
        <f t="shared" si="593"/>
        <v>-spike-</v>
      </c>
      <c r="AB1400" s="52">
        <f>IFERROR(INDEX('Aub Demand'!L:L,MATCH($O1400,'Aub Demand'!$A:$A,0)),"")</f>
        <v>71</v>
      </c>
      <c r="AC1400" s="52">
        <f>IFERROR(IF(O1400="","",SUMIFS('CPL Mats'!F:F,'CPL Mats'!Q:Q,AR1400,'CPL Mats'!S:S,AS1400)),"")</f>
        <v>0</v>
      </c>
      <c r="AF1400" s="25" t="str">
        <f>IF(SUMIFS('Supp Consol'!S:S,'Supp Consol'!Y:Y,"Releasable",'Supp Consol'!A:A,O1400)=0,"",SUMIFS('Supp Consol'!S:S,'Supp Consol'!Y:Y,"Releasable",'Supp Consol'!A:A,O1400))</f>
        <v/>
      </c>
      <c r="AG1400" s="25" t="str">
        <f>IFERROR(INDEX('Hun Demand'!Q:Q,MATCH(O1400,'Hun Demand'!A:A,0)),"")</f>
        <v/>
      </c>
      <c r="AH1400" s="25" t="str">
        <f>IFERROR(INDEX('Hun Demand'!H:H,MATCH($O1400,'Hun Demand'!$A:$A,0)),"")</f>
        <v/>
      </c>
      <c r="AI1400" s="25" t="str">
        <f>IF(SUMIFS('Supp Consol'!AA:AA,'Supp Consol'!Z:Z,"Expires this month",'Supp Consol'!A:A,O1400)=0,"",SUMIFS('Supp Consol'!AA:AA,'Supp Consol'!Z:Z,"Expires this month",'Supp Consol'!A:A,O1400))</f>
        <v/>
      </c>
      <c r="AJ1400" s="25" t="str">
        <f>IF(SUMIFS('Supp Consol'!AA:AA,'Supp Consol'!Z:Z,"Expired Previous Months",'Supp Consol'!A:A,O1400)=0,"",SUMIFS('Supp Consol'!AA:AA,'Supp Consol'!Z:Z,"Expired Previous Months",'Supp Consol'!A:A,O1400))</f>
        <v/>
      </c>
      <c r="AK1400" s="25" t="str">
        <f>IFERROR(INDEX('Hun Release Current'!B:B,MATCH(O1400,'Hun Release Current'!A:A,0)),"")</f>
        <v/>
      </c>
      <c r="AL1400" s="25" t="str">
        <f>IF(SUMIF('Prev Aub'!A:A,O1400,'Prev Aub'!B:B)=0,"",SUMIF('Prev Aub'!A:A,O1400,'Prev Aub'!B:B))</f>
        <v/>
      </c>
      <c r="AN1400" s="25" t="s">
        <v>3790</v>
      </c>
      <c r="AO1400" s="25" t="s">
        <v>3790</v>
      </c>
      <c r="AP1400" s="25">
        <f t="shared" si="594"/>
        <v>0</v>
      </c>
      <c r="AQ1400" s="151" t="str">
        <f>IF(SUMIFS('Supp Consol'!S:S,'Supp Consol'!A:A,O1400,'Supp Consol'!I:I,"PENDING")=0,"",SUMIFS('Supp Consol'!S:S,'Supp Consol'!A:A,O1400,'Supp Consol'!I:I,"PENDING"))</f>
        <v/>
      </c>
      <c r="AR1400" s="27" t="str">
        <f t="shared" si="595"/>
        <v>WM221</v>
      </c>
      <c r="AS1400" s="27" t="str">
        <f t="shared" si="596"/>
        <v>50</v>
      </c>
      <c r="AT1400" s="27" t="str">
        <f t="shared" si="597"/>
        <v/>
      </c>
      <c r="AU1400" s="27" t="str">
        <f t="shared" si="598"/>
        <v/>
      </c>
      <c r="AV1400" s="27" t="str">
        <f t="shared" si="599"/>
        <v/>
      </c>
      <c r="AW1400" s="27" t="str">
        <f t="shared" si="600"/>
        <v/>
      </c>
      <c r="AX1400" s="27" t="str">
        <f t="shared" si="601"/>
        <v/>
      </c>
      <c r="AY1400" s="27" t="str">
        <f t="shared" si="602"/>
        <v/>
      </c>
      <c r="AZ1400" s="27" t="str">
        <f t="shared" si="603"/>
        <v/>
      </c>
      <c r="BA1400" s="27" t="str">
        <f t="shared" si="604"/>
        <v/>
      </c>
      <c r="BB1400" s="27" t="str">
        <f t="shared" si="605"/>
        <v/>
      </c>
      <c r="BC1400" s="27" t="str">
        <f t="shared" si="606"/>
        <v/>
      </c>
      <c r="BD1400" s="27" t="str">
        <f t="shared" si="607"/>
        <v/>
      </c>
      <c r="BE1400" s="27" t="str">
        <f t="shared" si="608"/>
        <v/>
      </c>
      <c r="BF1400" s="27" t="str">
        <f t="shared" si="609"/>
        <v/>
      </c>
      <c r="BG1400" s="27" t="str">
        <f t="shared" si="610"/>
        <v/>
      </c>
      <c r="BH1400" s="27" t="str">
        <f t="shared" si="611"/>
        <v/>
      </c>
      <c r="BI1400" s="27" t="str">
        <f t="shared" si="612"/>
        <v/>
      </c>
      <c r="BJ1400" s="27" t="str">
        <f t="shared" si="613"/>
        <v/>
      </c>
      <c r="BK1400" s="27" t="str">
        <f t="shared" si="614"/>
        <v/>
      </c>
      <c r="BL1400" s="27" t="str">
        <f t="shared" si="615"/>
        <v/>
      </c>
      <c r="BM1400" s="21" t="s">
        <v>5581</v>
      </c>
    </row>
    <row r="1401" spans="1:65" ht="15">
      <c r="A1401" s="25" t="str">
        <f>IFERROR(INDEX('Hun Demand'!W:W,MATCH(O1401,'Hun Demand'!A:A,0)),"")</f>
        <v/>
      </c>
      <c r="B1401" s="25" t="str">
        <f>IFERROR(INDEX('Hun Demand'!V:V,MATCH(O1401,'Hun Demand'!A:A,0)),"")</f>
        <v/>
      </c>
      <c r="C1401" s="25" t="str">
        <f>IFERROR(INDEX('Hun Demand'!U:U,MATCH(O1401,'Hun Demand'!A:A,0)),"")</f>
        <v/>
      </c>
      <c r="D1401" s="25" t="str">
        <f>IFERROR(INDEX('Hun Demand'!T:T,MATCH(O1401,'Hun Demand'!A:A,0)),"")</f>
        <v/>
      </c>
      <c r="E1401" s="25" t="str">
        <f>IFERROR(INDEX('Hun Demand'!S:S,MATCH(O1401,'Hun Demand'!A:A,0)),"")</f>
        <v/>
      </c>
      <c r="F1401" s="25" t="str">
        <f>IFERROR(INDEX('Hun Demand'!R:R,MATCH(O1401,'Hun Demand'!A:A,0)),"")</f>
        <v/>
      </c>
      <c r="G1401" s="25">
        <f>IFERROR(INDEX('Aub Demand'!W:W,MATCH(O1401,'Aub Demand'!A:A,0)),"")</f>
        <v>6</v>
      </c>
      <c r="H1401" s="25">
        <f>IFERROR(INDEX('Aub Demand'!V:V,MATCH(O1401,'Aub Demand'!A:A,0)),"")</f>
        <v>0</v>
      </c>
      <c r="I1401" s="25">
        <f>IFERROR(INDEX('Aub Demand'!U:U,MATCH(O1401,'Aub Demand'!A:A,0)),"")</f>
        <v>43</v>
      </c>
      <c r="J1401" s="25">
        <f>IFERROR(INDEX('Aub Demand'!T:T,MATCH(O1401,'Aub Demand'!A:A,0)),"")</f>
        <v>31</v>
      </c>
      <c r="K1401" s="25">
        <f>IFERROR(INDEX('Aub Demand'!S:S,MATCH(O1401,'Aub Demand'!A:A,0)),"")</f>
        <v>161</v>
      </c>
      <c r="L1401" s="25">
        <f>IFERROR(INDEX('Aub Demand'!R:R,MATCH(O1401,'Aub Demand'!A:A,0)),"")</f>
        <v>0</v>
      </c>
      <c r="O1401" s="27" t="s">
        <v>1709</v>
      </c>
      <c r="P1401" s="27" t="str">
        <f>IFERROR(INDEX('Aub Demand'!B:B,MATCH($O1401,'Aub Demand'!$A:$A,0)),"")</f>
        <v>AMBER CURLY MAPLE</v>
      </c>
      <c r="Q1401" s="27" t="str">
        <f>IFERROR(INDEX('Aub Demand'!C:C,MATCH($O1401,'Aub Demand'!$A:$A,0)),"")</f>
        <v>AHLST</v>
      </c>
      <c r="R1401" s="52">
        <f>IFERROR(IF(AR1402=AR1401,INDEX('Aub Demand'!K:K,MATCH($O1401,'Aub Demand'!$A:$A,0))-IF(AN1401="",0,AN1401)+AP1402,INDEX('Aub Demand'!K:K,MATCH($O1401,'Aub Demand'!$A:$A,0))-IF(AN1401="",0,AN1401)),"")</f>
        <v>718</v>
      </c>
      <c r="S1401" s="53">
        <f t="shared" si="588"/>
        <v>39.5</v>
      </c>
      <c r="T1401" s="52" t="str">
        <f t="shared" si="589"/>
        <v/>
      </c>
      <c r="U1401" s="52">
        <f>IFERROR(IF(AR1402=AR1401,INDEX('Aub Demand'!Q:Q,MATCH($O1401,'Aub Demand'!$A:$A,0))-IF(AN1401="",0,AN1401)+AP1402,INDEX('Aub Demand'!Q:Q,MATCH($O1401,'Aub Demand'!$A:$A,0))-IF(AN1401="",0,AN1401)),"")</f>
        <v>718</v>
      </c>
      <c r="V1401" s="53">
        <f t="shared" si="590"/>
        <v>39.5</v>
      </c>
      <c r="W1401" s="52" t="str">
        <f t="shared" si="591"/>
        <v/>
      </c>
      <c r="X1401" s="52">
        <f>IFERROR(IF(AND(AR1402=AR1401,AM1401&lt;&gt;""),INDEX('Aub Demand'!Q:Q,MATCH($O1401,'Aub Demand'!$A:$A,0))-IF(AN1401="",0,AN1401)+AP1402+AD1401+AL1401,IF(AR1402=AR1401,INDEX('Aub Demand'!Q:Q,MATCH($O1401,'Aub Demand'!$A:$A,0))-IF(AN1401="",0,AN1401)+AP1402+AD1401,IF(AM1401&lt;&gt;"",INDEX('Aub Demand'!Q:Q,MATCH($O1401,'Aub Demand'!$A:$A,0))-IF(AN1401="",0,AN1401)+AD1401+AL1401,INDEX('Aub Demand'!Q:Q,MATCH($O1401,'Aub Demand'!$A:$A,0))-IF(AN1401="",0,AN1401)+AD1401))),"")</f>
        <v>718</v>
      </c>
      <c r="Y1401" s="53">
        <f t="shared" si="592"/>
        <v>39.5</v>
      </c>
      <c r="Z1401" s="52">
        <f>IF(L1401="","",INDEX('Aub Demand'!H:H,MATCH($O1401,'Aub Demand'!$A:$A,0)))</f>
        <v>78</v>
      </c>
      <c r="AA1401" s="52">
        <f t="shared" si="593"/>
        <v>102</v>
      </c>
      <c r="AB1401" s="52">
        <f>IFERROR(INDEX('Aub Demand'!L:L,MATCH($O1401,'Aub Demand'!$A:$A,0)),"")</f>
        <v>33</v>
      </c>
      <c r="AC1401" s="52">
        <f>IFERROR(IF(O1401="","",SUMIFS('CPL Mats'!F:F,'CPL Mats'!Q:Q,AR1401,'CPL Mats'!S:S,AS1401)),"")</f>
        <v>0</v>
      </c>
      <c r="AF1401" s="25" t="str">
        <f>IF(SUMIFS('Supp Consol'!S:S,'Supp Consol'!Y:Y,"Releasable",'Supp Consol'!A:A,O1401)=0,"",SUMIFS('Supp Consol'!S:S,'Supp Consol'!Y:Y,"Releasable",'Supp Consol'!A:A,O1401))</f>
        <v/>
      </c>
      <c r="AG1401" s="25" t="str">
        <f>IFERROR(INDEX('Hun Demand'!Q:Q,MATCH(O1401,'Hun Demand'!A:A,0)),"")</f>
        <v/>
      </c>
      <c r="AH1401" s="25" t="str">
        <f>IFERROR(INDEX('Hun Demand'!H:H,MATCH($O1401,'Hun Demand'!$A:$A,0)),"")</f>
        <v/>
      </c>
      <c r="AI1401" s="25" t="str">
        <f>IF(SUMIFS('Supp Consol'!AA:AA,'Supp Consol'!Z:Z,"Expires this month",'Supp Consol'!A:A,O1401)=0,"",SUMIFS('Supp Consol'!AA:AA,'Supp Consol'!Z:Z,"Expires this month",'Supp Consol'!A:A,O1401))</f>
        <v/>
      </c>
      <c r="AJ1401" s="25" t="str">
        <f>IF(SUMIFS('Supp Consol'!AA:AA,'Supp Consol'!Z:Z,"Expired Previous Months",'Supp Consol'!A:A,O1401)=0,"",SUMIFS('Supp Consol'!AA:AA,'Supp Consol'!Z:Z,"Expired Previous Months",'Supp Consol'!A:A,O1401))</f>
        <v/>
      </c>
      <c r="AK1401" s="25" t="str">
        <f>IFERROR(INDEX('Hun Release Current'!B:B,MATCH(O1401,'Hun Release Current'!A:A,0)),"")</f>
        <v/>
      </c>
      <c r="AL1401" s="25" t="str">
        <f>IF(SUMIF('Prev Aub'!A:A,O1401,'Prev Aub'!B:B)=0,"",SUMIF('Prev Aub'!A:A,O1401,'Prev Aub'!B:B))</f>
        <v/>
      </c>
      <c r="AN1401" s="25" t="s">
        <v>3790</v>
      </c>
      <c r="AO1401" s="25" t="s">
        <v>3790</v>
      </c>
      <c r="AP1401" s="25">
        <f t="shared" si="594"/>
        <v>0</v>
      </c>
      <c r="AQ1401" s="151" t="str">
        <f>IF(SUMIFS('Supp Consol'!S:S,'Supp Consol'!A:A,O1401,'Supp Consol'!I:I,"PENDING")=0,"",SUMIFS('Supp Consol'!S:S,'Supp Consol'!A:A,O1401,'Supp Consol'!I:I,"PENDING"))</f>
        <v/>
      </c>
      <c r="AR1401" s="27" t="str">
        <f t="shared" si="595"/>
        <v>WM221</v>
      </c>
      <c r="AS1401" s="27" t="str">
        <f t="shared" si="596"/>
        <v>62</v>
      </c>
      <c r="AT1401" s="27" t="str">
        <f t="shared" si="597"/>
        <v/>
      </c>
      <c r="AU1401" s="27" t="str">
        <f t="shared" si="598"/>
        <v/>
      </c>
      <c r="AV1401" s="27" t="str">
        <f t="shared" si="599"/>
        <v/>
      </c>
      <c r="AW1401" s="27" t="str">
        <f t="shared" si="600"/>
        <v/>
      </c>
      <c r="AX1401" s="27" t="str">
        <f t="shared" si="601"/>
        <v/>
      </c>
      <c r="AY1401" s="27" t="str">
        <f t="shared" si="602"/>
        <v/>
      </c>
      <c r="AZ1401" s="27" t="str">
        <f t="shared" si="603"/>
        <v/>
      </c>
      <c r="BA1401" s="27" t="str">
        <f t="shared" si="604"/>
        <v/>
      </c>
      <c r="BB1401" s="27" t="str">
        <f t="shared" si="605"/>
        <v/>
      </c>
      <c r="BC1401" s="27" t="str">
        <f t="shared" si="606"/>
        <v/>
      </c>
      <c r="BD1401" s="27" t="str">
        <f t="shared" si="607"/>
        <v/>
      </c>
      <c r="BE1401" s="27" t="str">
        <f t="shared" si="608"/>
        <v/>
      </c>
      <c r="BF1401" s="27" t="str">
        <f t="shared" si="609"/>
        <v/>
      </c>
      <c r="BG1401" s="27" t="str">
        <f t="shared" si="610"/>
        <v/>
      </c>
      <c r="BH1401" s="27" t="str">
        <f t="shared" si="611"/>
        <v/>
      </c>
      <c r="BI1401" s="27" t="str">
        <f t="shared" si="612"/>
        <v/>
      </c>
      <c r="BJ1401" s="27" t="str">
        <f t="shared" si="613"/>
        <v/>
      </c>
      <c r="BK1401" s="27" t="str">
        <f t="shared" si="614"/>
        <v/>
      </c>
      <c r="BL1401" s="27" t="str">
        <f t="shared" si="615"/>
        <v/>
      </c>
      <c r="BM1401" s="21" t="s">
        <v>5581</v>
      </c>
    </row>
    <row r="1402" spans="1:65" ht="15">
      <c r="A1402" s="25">
        <f>IFERROR(INDEX('Hun Demand'!W:W,MATCH(O1402,'Hun Demand'!A:A,0)),"")</f>
        <v>0</v>
      </c>
      <c r="B1402" s="25">
        <f>IFERROR(INDEX('Hun Demand'!V:V,MATCH(O1402,'Hun Demand'!A:A,0)),"")</f>
        <v>0</v>
      </c>
      <c r="C1402" s="25">
        <f>IFERROR(INDEX('Hun Demand'!U:U,MATCH(O1402,'Hun Demand'!A:A,0)),"")</f>
        <v>0</v>
      </c>
      <c r="D1402" s="25">
        <f>IFERROR(INDEX('Hun Demand'!T:T,MATCH(O1402,'Hun Demand'!A:A,0)),"")</f>
        <v>0</v>
      </c>
      <c r="E1402" s="25">
        <f>IFERROR(INDEX('Hun Demand'!S:S,MATCH(O1402,'Hun Demand'!A:A,0)),"")</f>
        <v>0</v>
      </c>
      <c r="F1402" s="25">
        <f>IFERROR(INDEX('Hun Demand'!R:R,MATCH(O1402,'Hun Demand'!A:A,0)),"")</f>
        <v>0</v>
      </c>
      <c r="G1402" s="25">
        <f>IFERROR(INDEX('Aub Demand'!W:W,MATCH(O1402,'Aub Demand'!A:A,0)),"")</f>
        <v>0</v>
      </c>
      <c r="H1402" s="25">
        <f>IFERROR(INDEX('Aub Demand'!V:V,MATCH(O1402,'Aub Demand'!A:A,0)),"")</f>
        <v>0</v>
      </c>
      <c r="I1402" s="25">
        <f>IFERROR(INDEX('Aub Demand'!U:U,MATCH(O1402,'Aub Demand'!A:A,0)),"")</f>
        <v>0</v>
      </c>
      <c r="J1402" s="25">
        <f>IFERROR(INDEX('Aub Demand'!T:T,MATCH(O1402,'Aub Demand'!A:A,0)),"")</f>
        <v>0</v>
      </c>
      <c r="K1402" s="25">
        <f>IFERROR(INDEX('Aub Demand'!S:S,MATCH(O1402,'Aub Demand'!A:A,0)),"")</f>
        <v>0</v>
      </c>
      <c r="L1402" s="25">
        <f>IFERROR(INDEX('Aub Demand'!R:R,MATCH(O1402,'Aub Demand'!A:A,0)),"")</f>
        <v>0</v>
      </c>
      <c r="O1402" s="27" t="s">
        <v>3430</v>
      </c>
      <c r="P1402" s="27" t="str">
        <f>IFERROR(INDEX('Aub Demand'!B:B,MATCH($O1402,'Aub Demand'!$A:$A,0)),"")</f>
        <v>MAPLE SYRUP</v>
      </c>
      <c r="Q1402" s="27">
        <f>IFERROR(INDEX('Aub Demand'!C:C,MATCH($O1402,'Aub Demand'!$A:$A,0)),"")</f>
        <v>0</v>
      </c>
      <c r="R1402" s="52">
        <f>IFERROR(IF(AR1403=AR1402,INDEX('Aub Demand'!K:K,MATCH($O1402,'Aub Demand'!$A:$A,0))-IF(AN1402="",0,AN1402)+AP1403,INDEX('Aub Demand'!K:K,MATCH($O1402,'Aub Demand'!$A:$A,0))-IF(AN1402="",0,AN1402)),"")</f>
        <v>1527</v>
      </c>
      <c r="S1402" s="53" t="str">
        <f t="shared" si="588"/>
        <v>n/a</v>
      </c>
      <c r="T1402" s="52" t="str">
        <f t="shared" si="589"/>
        <v/>
      </c>
      <c r="U1402" s="52">
        <f>IFERROR(IF(AR1403=AR1402,INDEX('Aub Demand'!Q:Q,MATCH($O1402,'Aub Demand'!$A:$A,0))-IF(AN1402="",0,AN1402)+AP1403,INDEX('Aub Demand'!Q:Q,MATCH($O1402,'Aub Demand'!$A:$A,0))-IF(AN1402="",0,AN1402)),"")</f>
        <v>1527</v>
      </c>
      <c r="V1402" s="53" t="str">
        <f t="shared" si="590"/>
        <v>n/a</v>
      </c>
      <c r="W1402" s="52" t="str">
        <f t="shared" si="591"/>
        <v/>
      </c>
      <c r="X1402" s="52">
        <f>IFERROR(IF(AND(AR1403=AR1402,AM1402&lt;&gt;""),INDEX('Aub Demand'!Q:Q,MATCH($O1402,'Aub Demand'!$A:$A,0))-IF(AN1402="",0,AN1402)+AP1403+AD1402+AL1402,IF(AR1403=AR1402,INDEX('Aub Demand'!Q:Q,MATCH($O1402,'Aub Demand'!$A:$A,0))-IF(AN1402="",0,AN1402)+AP1403+AD1402,IF(AM1402&lt;&gt;"",INDEX('Aub Demand'!Q:Q,MATCH($O1402,'Aub Demand'!$A:$A,0))-IF(AN1402="",0,AN1402)+AD1402+AL1402,INDEX('Aub Demand'!Q:Q,MATCH($O1402,'Aub Demand'!$A:$A,0))-IF(AN1402="",0,AN1402)+AD1402))),"")</f>
        <v>1527</v>
      </c>
      <c r="Y1402" s="53" t="str">
        <f t="shared" si="592"/>
        <v>n/a</v>
      </c>
      <c r="Z1402" s="52">
        <f>IF(L1402="","",INDEX('Aub Demand'!H:H,MATCH($O1402,'Aub Demand'!$A:$A,0)))</f>
        <v>0</v>
      </c>
      <c r="AA1402" s="52" t="str">
        <f t="shared" si="593"/>
        <v>-spike-</v>
      </c>
      <c r="AB1402" s="52">
        <f>IFERROR(INDEX('Aub Demand'!L:L,MATCH($O1402,'Aub Demand'!$A:$A,0)),"")</f>
        <v>0</v>
      </c>
      <c r="AC1402" s="52">
        <f>IFERROR(IF(O1402="","",SUMIFS('CPL Mats'!F:F,'CPL Mats'!Q:Q,AR1402,'CPL Mats'!S:S,AS1402)),"")</f>
        <v>0</v>
      </c>
      <c r="AF1402" s="25" t="str">
        <f>IF(SUMIFS('Supp Consol'!S:S,'Supp Consol'!Y:Y,"Releasable",'Supp Consol'!A:A,O1402)=0,"",SUMIFS('Supp Consol'!S:S,'Supp Consol'!Y:Y,"Releasable",'Supp Consol'!A:A,O1402))</f>
        <v/>
      </c>
      <c r="AG1402" s="25">
        <f>IFERROR(INDEX('Hun Demand'!Q:Q,MATCH(O1402,'Hun Demand'!A:A,0)),"")</f>
        <v>186</v>
      </c>
      <c r="AH1402" s="25">
        <f>IFERROR(INDEX('Hun Demand'!H:H,MATCH($O1402,'Hun Demand'!$A:$A,0)),"")</f>
        <v>0</v>
      </c>
      <c r="AI1402" s="25" t="str">
        <f>IF(SUMIFS('Supp Consol'!AA:AA,'Supp Consol'!Z:Z,"Expires this month",'Supp Consol'!A:A,O1402)=0,"",SUMIFS('Supp Consol'!AA:AA,'Supp Consol'!Z:Z,"Expires this month",'Supp Consol'!A:A,O1402))</f>
        <v/>
      </c>
      <c r="AJ1402" s="25" t="str">
        <f>IF(SUMIFS('Supp Consol'!AA:AA,'Supp Consol'!Z:Z,"Expired Previous Months",'Supp Consol'!A:A,O1402)=0,"",SUMIFS('Supp Consol'!AA:AA,'Supp Consol'!Z:Z,"Expired Previous Months",'Supp Consol'!A:A,O1402))</f>
        <v/>
      </c>
      <c r="AK1402" s="25" t="str">
        <f>IFERROR(INDEX('Hun Release Current'!B:B,MATCH(O1402,'Hun Release Current'!A:A,0)),"")</f>
        <v/>
      </c>
      <c r="AL1402" s="25" t="str">
        <f>IF(SUMIF('Prev Aub'!A:A,O1402,'Prev Aub'!B:B)=0,"",SUMIF('Prev Aub'!A:A,O1402,'Prev Aub'!B:B))</f>
        <v/>
      </c>
      <c r="AN1402" s="25" t="s">
        <v>3790</v>
      </c>
      <c r="AO1402" s="25" t="s">
        <v>3790</v>
      </c>
      <c r="AP1402" s="25">
        <f t="shared" si="594"/>
        <v>0</v>
      </c>
      <c r="AQ1402" s="151" t="str">
        <f>IF(SUMIFS('Supp Consol'!S:S,'Supp Consol'!A:A,O1402,'Supp Consol'!I:I,"PENDING")=0,"",SUMIFS('Supp Consol'!S:S,'Supp Consol'!A:A,O1402,'Supp Consol'!I:I,"PENDING"))</f>
        <v/>
      </c>
      <c r="AR1402" s="27" t="str">
        <f t="shared" si="595"/>
        <v>WM225</v>
      </c>
      <c r="AS1402" s="27" t="str">
        <f t="shared" si="596"/>
        <v>62</v>
      </c>
      <c r="AT1402" s="27" t="str">
        <f t="shared" si="597"/>
        <v/>
      </c>
      <c r="AU1402" s="27" t="str">
        <f t="shared" si="598"/>
        <v/>
      </c>
      <c r="AV1402" s="27" t="str">
        <f t="shared" si="599"/>
        <v/>
      </c>
      <c r="AW1402" s="27" t="str">
        <f t="shared" si="600"/>
        <v/>
      </c>
      <c r="AX1402" s="27" t="str">
        <f t="shared" si="601"/>
        <v/>
      </c>
      <c r="AY1402" s="27" t="str">
        <f t="shared" si="602"/>
        <v>WM225</v>
      </c>
      <c r="AZ1402" s="27" t="str">
        <f t="shared" si="603"/>
        <v/>
      </c>
      <c r="BA1402" s="27" t="str">
        <f t="shared" si="604"/>
        <v>Hun</v>
      </c>
      <c r="BB1402" s="27" t="str">
        <f t="shared" si="605"/>
        <v/>
      </c>
      <c r="BC1402" s="27" t="str">
        <f t="shared" si="606"/>
        <v/>
      </c>
      <c r="BD1402" s="27" t="str">
        <f t="shared" si="607"/>
        <v/>
      </c>
      <c r="BE1402" s="27" t="str">
        <f t="shared" si="608"/>
        <v/>
      </c>
      <c r="BF1402" s="27" t="str">
        <f t="shared" si="609"/>
        <v/>
      </c>
      <c r="BG1402" s="27" t="str">
        <f t="shared" si="610"/>
        <v/>
      </c>
      <c r="BH1402" s="27" t="str">
        <f t="shared" si="611"/>
        <v/>
      </c>
      <c r="BI1402" s="27" t="str">
        <f t="shared" si="612"/>
        <v/>
      </c>
      <c r="BJ1402" s="27" t="str">
        <f t="shared" si="613"/>
        <v>Supp or Hun</v>
      </c>
      <c r="BK1402" s="27" t="str">
        <f t="shared" si="614"/>
        <v/>
      </c>
      <c r="BL1402" s="27" t="str">
        <f t="shared" si="615"/>
        <v/>
      </c>
      <c r="BM1402" s="21" t="s">
        <v>5581</v>
      </c>
    </row>
    <row r="1403" spans="1:65" ht="15">
      <c r="A1403" s="25">
        <f>IFERROR(INDEX('Hun Demand'!W:W,MATCH(O1403,'Hun Demand'!A:A,0)),"")</f>
        <v>0</v>
      </c>
      <c r="B1403" s="25">
        <f>IFERROR(INDEX('Hun Demand'!V:V,MATCH(O1403,'Hun Demand'!A:A,0)),"")</f>
        <v>0</v>
      </c>
      <c r="C1403" s="25">
        <f>IFERROR(INDEX('Hun Demand'!U:U,MATCH(O1403,'Hun Demand'!A:A,0)),"")</f>
        <v>0</v>
      </c>
      <c r="D1403" s="25">
        <f>IFERROR(INDEX('Hun Demand'!T:T,MATCH(O1403,'Hun Demand'!A:A,0)),"")</f>
        <v>0</v>
      </c>
      <c r="E1403" s="25">
        <f>IFERROR(INDEX('Hun Demand'!S:S,MATCH(O1403,'Hun Demand'!A:A,0)),"")</f>
        <v>0</v>
      </c>
      <c r="F1403" s="25">
        <f>IFERROR(INDEX('Hun Demand'!R:R,MATCH(O1403,'Hun Demand'!A:A,0)),"")</f>
        <v>0</v>
      </c>
      <c r="G1403" s="25">
        <f>IFERROR(INDEX('Aub Demand'!W:W,MATCH(O1403,'Aub Demand'!A:A,0)),"")</f>
        <v>0</v>
      </c>
      <c r="H1403" s="25">
        <f>IFERROR(INDEX('Aub Demand'!V:V,MATCH(O1403,'Aub Demand'!A:A,0)),"")</f>
        <v>0</v>
      </c>
      <c r="I1403" s="25">
        <f>IFERROR(INDEX('Aub Demand'!U:U,MATCH(O1403,'Aub Demand'!A:A,0)),"")</f>
        <v>0</v>
      </c>
      <c r="J1403" s="25">
        <f>IFERROR(INDEX('Aub Demand'!T:T,MATCH(O1403,'Aub Demand'!A:A,0)),"")</f>
        <v>0</v>
      </c>
      <c r="K1403" s="25">
        <f>IFERROR(INDEX('Aub Demand'!S:S,MATCH(O1403,'Aub Demand'!A:A,0)),"")</f>
        <v>0</v>
      </c>
      <c r="L1403" s="25">
        <f>IFERROR(INDEX('Aub Demand'!R:R,MATCH(O1403,'Aub Demand'!A:A,0)),"")</f>
        <v>0</v>
      </c>
      <c r="O1403" s="27" t="s">
        <v>3432</v>
      </c>
      <c r="P1403" s="27" t="str">
        <f>IFERROR(INDEX('Aub Demand'!B:B,MATCH($O1403,'Aub Demand'!$A:$A,0)),"")</f>
        <v>MAPLEWOOD</v>
      </c>
      <c r="Q1403" s="27">
        <f>IFERROR(INDEX('Aub Demand'!C:C,MATCH($O1403,'Aub Demand'!$A:$A,0)),"")</f>
        <v>0</v>
      </c>
      <c r="R1403" s="52">
        <f>IFERROR(IF(AR1404=AR1403,INDEX('Aub Demand'!K:K,MATCH($O1403,'Aub Demand'!$A:$A,0))-IF(AN1403="",0,AN1403)+AP1404,INDEX('Aub Demand'!K:K,MATCH($O1403,'Aub Demand'!$A:$A,0))-IF(AN1403="",0,AN1403)),"")</f>
        <v>490</v>
      </c>
      <c r="S1403" s="53" t="str">
        <f t="shared" si="588"/>
        <v>n/a</v>
      </c>
      <c r="T1403" s="52" t="str">
        <f t="shared" si="589"/>
        <v/>
      </c>
      <c r="U1403" s="52">
        <f>IFERROR(IF(AR1404=AR1403,INDEX('Aub Demand'!Q:Q,MATCH($O1403,'Aub Demand'!$A:$A,0))-IF(AN1403="",0,AN1403)+AP1404,INDEX('Aub Demand'!Q:Q,MATCH($O1403,'Aub Demand'!$A:$A,0))-IF(AN1403="",0,AN1403)),"")</f>
        <v>490</v>
      </c>
      <c r="V1403" s="53" t="str">
        <f t="shared" si="590"/>
        <v>n/a</v>
      </c>
      <c r="W1403" s="52" t="str">
        <f t="shared" si="591"/>
        <v/>
      </c>
      <c r="X1403" s="52">
        <f>IFERROR(IF(AND(AR1404=AR1403,AM1403&lt;&gt;""),INDEX('Aub Demand'!Q:Q,MATCH($O1403,'Aub Demand'!$A:$A,0))-IF(AN1403="",0,AN1403)+AP1404+AD1403+AL1403,IF(AR1404=AR1403,INDEX('Aub Demand'!Q:Q,MATCH($O1403,'Aub Demand'!$A:$A,0))-IF(AN1403="",0,AN1403)+AP1404+AD1403,IF(AM1403&lt;&gt;"",INDEX('Aub Demand'!Q:Q,MATCH($O1403,'Aub Demand'!$A:$A,0))-IF(AN1403="",0,AN1403)+AD1403+AL1403,INDEX('Aub Demand'!Q:Q,MATCH($O1403,'Aub Demand'!$A:$A,0))-IF(AN1403="",0,AN1403)+AD1403))),"")</f>
        <v>490</v>
      </c>
      <c r="Y1403" s="53" t="str">
        <f t="shared" si="592"/>
        <v>n/a</v>
      </c>
      <c r="Z1403" s="52">
        <f>IF(L1403="","",INDEX('Aub Demand'!H:H,MATCH($O1403,'Aub Demand'!$A:$A,0)))</f>
        <v>0</v>
      </c>
      <c r="AA1403" s="52" t="str">
        <f t="shared" si="593"/>
        <v>-spike-</v>
      </c>
      <c r="AB1403" s="52">
        <f>IFERROR(INDEX('Aub Demand'!L:L,MATCH($O1403,'Aub Demand'!$A:$A,0)),"")</f>
        <v>0</v>
      </c>
      <c r="AC1403" s="52">
        <f>IFERROR(IF(O1403="","",SUMIFS('CPL Mats'!F:F,'CPL Mats'!Q:Q,AR1403,'CPL Mats'!S:S,AS1403)),"")</f>
        <v>0</v>
      </c>
      <c r="AF1403" s="25" t="str">
        <f>IF(SUMIFS('Supp Consol'!S:S,'Supp Consol'!Y:Y,"Releasable",'Supp Consol'!A:A,O1403)=0,"",SUMIFS('Supp Consol'!S:S,'Supp Consol'!Y:Y,"Releasable",'Supp Consol'!A:A,O1403))</f>
        <v/>
      </c>
      <c r="AG1403" s="25">
        <f>IFERROR(INDEX('Hun Demand'!Q:Q,MATCH(O1403,'Hun Demand'!A:A,0)),"")</f>
        <v>1139</v>
      </c>
      <c r="AH1403" s="25">
        <f>IFERROR(INDEX('Hun Demand'!H:H,MATCH($O1403,'Hun Demand'!$A:$A,0)),"")</f>
        <v>0</v>
      </c>
      <c r="AI1403" s="25" t="str">
        <f>IF(SUMIFS('Supp Consol'!AA:AA,'Supp Consol'!Z:Z,"Expires this month",'Supp Consol'!A:A,O1403)=0,"",SUMIFS('Supp Consol'!AA:AA,'Supp Consol'!Z:Z,"Expires this month",'Supp Consol'!A:A,O1403))</f>
        <v/>
      </c>
      <c r="AJ1403" s="25" t="str">
        <f>IF(SUMIFS('Supp Consol'!AA:AA,'Supp Consol'!Z:Z,"Expired Previous Months",'Supp Consol'!A:A,O1403)=0,"",SUMIFS('Supp Consol'!AA:AA,'Supp Consol'!Z:Z,"Expired Previous Months",'Supp Consol'!A:A,O1403))</f>
        <v/>
      </c>
      <c r="AK1403" s="25" t="str">
        <f>IFERROR(INDEX('Hun Release Current'!B:B,MATCH(O1403,'Hun Release Current'!A:A,0)),"")</f>
        <v/>
      </c>
      <c r="AL1403" s="25" t="str">
        <f>IF(SUMIF('Prev Aub'!A:A,O1403,'Prev Aub'!B:B)=0,"",SUMIF('Prev Aub'!A:A,O1403,'Prev Aub'!B:B))</f>
        <v/>
      </c>
      <c r="AN1403" s="25" t="s">
        <v>3790</v>
      </c>
      <c r="AO1403" s="25" t="s">
        <v>3790</v>
      </c>
      <c r="AP1403" s="25">
        <f t="shared" si="594"/>
        <v>0</v>
      </c>
      <c r="AQ1403" s="151" t="str">
        <f>IF(SUMIFS('Supp Consol'!S:S,'Supp Consol'!A:A,O1403,'Supp Consol'!I:I,"PENDING")=0,"",SUMIFS('Supp Consol'!S:S,'Supp Consol'!A:A,O1403,'Supp Consol'!I:I,"PENDING"))</f>
        <v/>
      </c>
      <c r="AR1403" s="27" t="str">
        <f t="shared" si="595"/>
        <v>WM228</v>
      </c>
      <c r="AS1403" s="27" t="str">
        <f t="shared" si="596"/>
        <v>50</v>
      </c>
      <c r="AT1403" s="27" t="str">
        <f t="shared" si="597"/>
        <v/>
      </c>
      <c r="AU1403" s="27" t="str">
        <f t="shared" si="598"/>
        <v/>
      </c>
      <c r="AV1403" s="27" t="str">
        <f t="shared" si="599"/>
        <v/>
      </c>
      <c r="AW1403" s="27" t="str">
        <f t="shared" si="600"/>
        <v/>
      </c>
      <c r="AX1403" s="27" t="str">
        <f t="shared" si="601"/>
        <v/>
      </c>
      <c r="AY1403" s="27" t="str">
        <f t="shared" si="602"/>
        <v>WM228</v>
      </c>
      <c r="AZ1403" s="27" t="str">
        <f t="shared" si="603"/>
        <v/>
      </c>
      <c r="BA1403" s="27" t="str">
        <f t="shared" si="604"/>
        <v>Hun</v>
      </c>
      <c r="BB1403" s="27" t="str">
        <f t="shared" si="605"/>
        <v/>
      </c>
      <c r="BC1403" s="27" t="str">
        <f t="shared" si="606"/>
        <v/>
      </c>
      <c r="BD1403" s="27" t="str">
        <f t="shared" si="607"/>
        <v/>
      </c>
      <c r="BE1403" s="27" t="str">
        <f t="shared" si="608"/>
        <v/>
      </c>
      <c r="BF1403" s="27" t="str">
        <f t="shared" si="609"/>
        <v/>
      </c>
      <c r="BG1403" s="27" t="str">
        <f t="shared" si="610"/>
        <v/>
      </c>
      <c r="BH1403" s="27" t="str">
        <f t="shared" si="611"/>
        <v/>
      </c>
      <c r="BI1403" s="27" t="str">
        <f t="shared" si="612"/>
        <v/>
      </c>
      <c r="BJ1403" s="27" t="str">
        <f t="shared" si="613"/>
        <v>Supp or Hun</v>
      </c>
      <c r="BK1403" s="27" t="str">
        <f t="shared" si="614"/>
        <v/>
      </c>
      <c r="BL1403" s="27" t="str">
        <f t="shared" si="615"/>
        <v/>
      </c>
      <c r="BM1403" s="21" t="s">
        <v>5581</v>
      </c>
    </row>
    <row r="1404" spans="1:65" ht="15">
      <c r="A1404" s="25" t="str">
        <f>IFERROR(INDEX('Hun Demand'!W:W,MATCH(O1404,'Hun Demand'!A:A,0)),"")</f>
        <v/>
      </c>
      <c r="B1404" s="25" t="str">
        <f>IFERROR(INDEX('Hun Demand'!V:V,MATCH(O1404,'Hun Demand'!A:A,0)),"")</f>
        <v/>
      </c>
      <c r="C1404" s="25" t="str">
        <f>IFERROR(INDEX('Hun Demand'!U:U,MATCH(O1404,'Hun Demand'!A:A,0)),"")</f>
        <v/>
      </c>
      <c r="D1404" s="25" t="str">
        <f>IFERROR(INDEX('Hun Demand'!T:T,MATCH(O1404,'Hun Demand'!A:A,0)),"")</f>
        <v/>
      </c>
      <c r="E1404" s="25" t="str">
        <f>IFERROR(INDEX('Hun Demand'!S:S,MATCH(O1404,'Hun Demand'!A:A,0)),"")</f>
        <v/>
      </c>
      <c r="F1404" s="25" t="str">
        <f>IFERROR(INDEX('Hun Demand'!R:R,MATCH(O1404,'Hun Demand'!A:A,0)),"")</f>
        <v/>
      </c>
      <c r="G1404" s="25">
        <f>IFERROR(INDEX('Aub Demand'!W:W,MATCH(O1404,'Aub Demand'!A:A,0)),"")</f>
        <v>0</v>
      </c>
      <c r="H1404" s="25">
        <f>IFERROR(INDEX('Aub Demand'!V:V,MATCH(O1404,'Aub Demand'!A:A,0)),"")</f>
        <v>35</v>
      </c>
      <c r="I1404" s="25">
        <f>IFERROR(INDEX('Aub Demand'!U:U,MATCH(O1404,'Aub Demand'!A:A,0)),"")</f>
        <v>0</v>
      </c>
      <c r="J1404" s="25">
        <f>IFERROR(INDEX('Aub Demand'!T:T,MATCH(O1404,'Aub Demand'!A:A,0)),"")</f>
        <v>35</v>
      </c>
      <c r="K1404" s="25">
        <f>IFERROR(INDEX('Aub Demand'!S:S,MATCH(O1404,'Aub Demand'!A:A,0)),"")</f>
        <v>34</v>
      </c>
      <c r="L1404" s="25">
        <f>IFERROR(INDEX('Aub Demand'!R:R,MATCH(O1404,'Aub Demand'!A:A,0)),"")</f>
        <v>0</v>
      </c>
      <c r="O1404" s="27" t="s">
        <v>1710</v>
      </c>
      <c r="P1404" s="27" t="str">
        <f>IFERROR(INDEX('Aub Demand'!B:B,MATCH($O1404,'Aub Demand'!$A:$A,0)),"")</f>
        <v>OFS BLOND MAPLE</v>
      </c>
      <c r="Q1404" s="27" t="str">
        <f>IFERROR(INDEX('Aub Demand'!C:C,MATCH($O1404,'Aub Demand'!$A:$A,0)),"")</f>
        <v>INTER</v>
      </c>
      <c r="R1404" s="52">
        <f>IFERROR(IF(AR1405=AR1404,INDEX('Aub Demand'!K:K,MATCH($O1404,'Aub Demand'!$A:$A,0))-IF(AN1404="",0,AN1404)+AP1405,INDEX('Aub Demand'!K:K,MATCH($O1404,'Aub Demand'!$A:$A,0))-IF(AN1404="",0,AN1404)),"")</f>
        <v>0</v>
      </c>
      <c r="S1404" s="53">
        <f t="shared" si="588"/>
        <v>0</v>
      </c>
      <c r="T1404" s="52">
        <f t="shared" si="589"/>
        <v>25.875</v>
      </c>
      <c r="U1404" s="52">
        <f>IFERROR(IF(AR1405=AR1404,INDEX('Aub Demand'!Q:Q,MATCH($O1404,'Aub Demand'!$A:$A,0))-IF(AN1404="",0,AN1404)+AP1405,INDEX('Aub Demand'!Q:Q,MATCH($O1404,'Aub Demand'!$A:$A,0))-IF(AN1404="",0,AN1404)),"")</f>
        <v>-12</v>
      </c>
      <c r="V1404" s="53">
        <f t="shared" si="590"/>
        <v>-2.2000000000000002</v>
      </c>
      <c r="W1404" s="52">
        <f t="shared" si="591"/>
        <v>44.85</v>
      </c>
      <c r="X1404" s="52">
        <f>IFERROR(IF(AND(AR1405=AR1404,AM1404&lt;&gt;""),INDEX('Aub Demand'!Q:Q,MATCH($O1404,'Aub Demand'!$A:$A,0))-IF(AN1404="",0,AN1404)+AP1405+AD1404+AL1404,IF(AR1405=AR1404,INDEX('Aub Demand'!Q:Q,MATCH($O1404,'Aub Demand'!$A:$A,0))-IF(AN1404="",0,AN1404)+AP1405+AD1404,IF(AM1404&lt;&gt;"",INDEX('Aub Demand'!Q:Q,MATCH($O1404,'Aub Demand'!$A:$A,0))-IF(AN1404="",0,AN1404)+AD1404+AL1404,INDEX('Aub Demand'!Q:Q,MATCH($O1404,'Aub Demand'!$A:$A,0))-IF(AN1404="",0,AN1404)+AD1404))),"")</f>
        <v>-12</v>
      </c>
      <c r="Y1404" s="53">
        <f t="shared" si="592"/>
        <v>-2.2000000000000002</v>
      </c>
      <c r="Z1404" s="52">
        <f>IF(L1404="","",INDEX('Aub Demand'!H:H,MATCH($O1404,'Aub Demand'!$A:$A,0)))</f>
        <v>23</v>
      </c>
      <c r="AA1404" s="52">
        <f t="shared" si="593"/>
        <v>34.5</v>
      </c>
      <c r="AB1404" s="52">
        <f>IFERROR(INDEX('Aub Demand'!L:L,MATCH($O1404,'Aub Demand'!$A:$A,0)),"")</f>
        <v>33</v>
      </c>
      <c r="AC1404" s="52">
        <f>IFERROR(IF(O1404="","",SUMIFS('CPL Mats'!F:F,'CPL Mats'!Q:Q,AR1404,'CPL Mats'!S:S,AS1404)),"")</f>
        <v>0</v>
      </c>
      <c r="AF1404" s="25" t="str">
        <f>IF(SUMIFS('Supp Consol'!S:S,'Supp Consol'!Y:Y,"Releasable",'Supp Consol'!A:A,O1404)=0,"",SUMIFS('Supp Consol'!S:S,'Supp Consol'!Y:Y,"Releasable",'Supp Consol'!A:A,O1404))</f>
        <v/>
      </c>
      <c r="AG1404" s="25" t="str">
        <f>IFERROR(INDEX('Hun Demand'!Q:Q,MATCH(O1404,'Hun Demand'!A:A,0)),"")</f>
        <v/>
      </c>
      <c r="AH1404" s="25" t="str">
        <f>IFERROR(INDEX('Hun Demand'!H:H,MATCH($O1404,'Hun Demand'!$A:$A,0)),"")</f>
        <v/>
      </c>
      <c r="AI1404" s="25" t="str">
        <f>IF(SUMIFS('Supp Consol'!AA:AA,'Supp Consol'!Z:Z,"Expires this month",'Supp Consol'!A:A,O1404)=0,"",SUMIFS('Supp Consol'!AA:AA,'Supp Consol'!Z:Z,"Expires this month",'Supp Consol'!A:A,O1404))</f>
        <v/>
      </c>
      <c r="AJ1404" s="25" t="str">
        <f>IF(SUMIFS('Supp Consol'!AA:AA,'Supp Consol'!Z:Z,"Expired Previous Months",'Supp Consol'!A:A,O1404)=0,"",SUMIFS('Supp Consol'!AA:AA,'Supp Consol'!Z:Z,"Expired Previous Months",'Supp Consol'!A:A,O1404))</f>
        <v/>
      </c>
      <c r="AK1404" s="25" t="str">
        <f>IFERROR(INDEX('Hun Release Current'!B:B,MATCH(O1404,'Hun Release Current'!A:A,0)),"")</f>
        <v/>
      </c>
      <c r="AL1404" s="25" t="str">
        <f>IF(SUMIF('Prev Aub'!A:A,O1404,'Prev Aub'!B:B)=0,"",SUMIF('Prev Aub'!A:A,O1404,'Prev Aub'!B:B))</f>
        <v/>
      </c>
      <c r="AN1404" s="25" t="s">
        <v>3790</v>
      </c>
      <c r="AO1404" s="25" t="s">
        <v>3790</v>
      </c>
      <c r="AP1404" s="25">
        <f t="shared" si="594"/>
        <v>0</v>
      </c>
      <c r="AQ1404" s="151" t="str">
        <f>IF(SUMIFS('Supp Consol'!S:S,'Supp Consol'!A:A,O1404,'Supp Consol'!I:I,"PENDING")=0,"",SUMIFS('Supp Consol'!S:S,'Supp Consol'!A:A,O1404,'Supp Consol'!I:I,"PENDING"))</f>
        <v/>
      </c>
      <c r="AR1404" s="27" t="str">
        <f t="shared" si="595"/>
        <v>WM255</v>
      </c>
      <c r="AS1404" s="27" t="str">
        <f t="shared" si="596"/>
        <v>50</v>
      </c>
      <c r="AT1404" s="27" t="str">
        <f t="shared" si="597"/>
        <v>WM255</v>
      </c>
      <c r="AU1404" s="27" t="str">
        <f t="shared" si="598"/>
        <v>WM255</v>
      </c>
      <c r="AV1404" s="27" t="str">
        <f t="shared" si="599"/>
        <v>WM255</v>
      </c>
      <c r="AW1404" s="27" t="str">
        <f t="shared" si="600"/>
        <v/>
      </c>
      <c r="AX1404" s="27" t="str">
        <f t="shared" si="601"/>
        <v/>
      </c>
      <c r="AY1404" s="27" t="str">
        <f t="shared" si="602"/>
        <v/>
      </c>
      <c r="AZ1404" s="27" t="str">
        <f t="shared" si="603"/>
        <v/>
      </c>
      <c r="BA1404" s="27" t="str">
        <f t="shared" si="604"/>
        <v/>
      </c>
      <c r="BB1404" s="27" t="str">
        <f t="shared" si="605"/>
        <v>Gross</v>
      </c>
      <c r="BC1404" s="27" t="str">
        <f t="shared" si="606"/>
        <v>Net</v>
      </c>
      <c r="BD1404" s="27" t="str">
        <f t="shared" si="607"/>
        <v>Net</v>
      </c>
      <c r="BE1404" s="27" t="str">
        <f t="shared" si="608"/>
        <v/>
      </c>
      <c r="BF1404" s="27" t="str">
        <f t="shared" si="609"/>
        <v/>
      </c>
      <c r="BG1404" s="27" t="str">
        <f t="shared" si="610"/>
        <v/>
      </c>
      <c r="BH1404" s="27" t="str">
        <f t="shared" si="611"/>
        <v/>
      </c>
      <c r="BI1404" s="27" t="str">
        <f t="shared" si="612"/>
        <v/>
      </c>
      <c r="BJ1404" s="27" t="str">
        <f t="shared" si="613"/>
        <v/>
      </c>
      <c r="BK1404" s="27" t="str">
        <f t="shared" si="614"/>
        <v/>
      </c>
      <c r="BL1404" s="27" t="str">
        <f t="shared" si="615"/>
        <v/>
      </c>
      <c r="BM1404" s="21" t="s">
        <v>5581</v>
      </c>
    </row>
    <row r="1405" spans="1:65" ht="15">
      <c r="A1405" s="25" t="str">
        <f>IFERROR(INDEX('Hun Demand'!W:W,MATCH(O1405,'Hun Demand'!A:A,0)),"")</f>
        <v/>
      </c>
      <c r="B1405" s="25" t="str">
        <f>IFERROR(INDEX('Hun Demand'!V:V,MATCH(O1405,'Hun Demand'!A:A,0)),"")</f>
        <v/>
      </c>
      <c r="C1405" s="25" t="str">
        <f>IFERROR(INDEX('Hun Demand'!U:U,MATCH(O1405,'Hun Demand'!A:A,0)),"")</f>
        <v/>
      </c>
      <c r="D1405" s="25" t="str">
        <f>IFERROR(INDEX('Hun Demand'!T:T,MATCH(O1405,'Hun Demand'!A:A,0)),"")</f>
        <v/>
      </c>
      <c r="E1405" s="25" t="str">
        <f>IFERROR(INDEX('Hun Demand'!S:S,MATCH(O1405,'Hun Demand'!A:A,0)),"")</f>
        <v/>
      </c>
      <c r="F1405" s="25" t="str">
        <f>IFERROR(INDEX('Hun Demand'!R:R,MATCH(O1405,'Hun Demand'!A:A,0)),"")</f>
        <v/>
      </c>
      <c r="G1405" s="25">
        <f>IFERROR(INDEX('Aub Demand'!W:W,MATCH(O1405,'Aub Demand'!A:A,0)),"")</f>
        <v>159</v>
      </c>
      <c r="H1405" s="25">
        <f>IFERROR(INDEX('Aub Demand'!V:V,MATCH(O1405,'Aub Demand'!A:A,0)),"")</f>
        <v>94</v>
      </c>
      <c r="I1405" s="25">
        <f>IFERROR(INDEX('Aub Demand'!U:U,MATCH(O1405,'Aub Demand'!A:A,0)),"")</f>
        <v>0</v>
      </c>
      <c r="J1405" s="25">
        <f>IFERROR(INDEX('Aub Demand'!T:T,MATCH(O1405,'Aub Demand'!A:A,0)),"")</f>
        <v>41</v>
      </c>
      <c r="K1405" s="25">
        <f>IFERROR(INDEX('Aub Demand'!S:S,MATCH(O1405,'Aub Demand'!A:A,0)),"")</f>
        <v>0</v>
      </c>
      <c r="L1405" s="25">
        <f>IFERROR(INDEX('Aub Demand'!R:R,MATCH(O1405,'Aub Demand'!A:A,0)),"")</f>
        <v>0</v>
      </c>
      <c r="O1405" s="27" t="s">
        <v>1713</v>
      </c>
      <c r="P1405" s="27" t="str">
        <f>IFERROR(INDEX('Aub Demand'!B:B,MATCH($O1405,'Aub Demand'!$A:$A,0)),"")</f>
        <v>OFS BLOND MAPLE</v>
      </c>
      <c r="Q1405" s="27" t="str">
        <f>IFERROR(INDEX('Aub Demand'!C:C,MATCH($O1405,'Aub Demand'!$A:$A,0)),"")</f>
        <v>INTER</v>
      </c>
      <c r="R1405" s="52">
        <f>IFERROR(IF(AR1406=AR1405,INDEX('Aub Demand'!K:K,MATCH($O1405,'Aub Demand'!$A:$A,0))-IF(AN1405="",0,AN1405)+AP1406,INDEX('Aub Demand'!K:K,MATCH($O1405,'Aub Demand'!$A:$A,0))-IF(AN1405="",0,AN1405)),"")</f>
        <v>442</v>
      </c>
      <c r="S1405" s="53">
        <f t="shared" si="588"/>
        <v>135.30000000000001</v>
      </c>
      <c r="T1405" s="52" t="str">
        <f t="shared" si="589"/>
        <v/>
      </c>
      <c r="U1405" s="52">
        <f>IFERROR(IF(AR1406=AR1405,INDEX('Aub Demand'!Q:Q,MATCH($O1405,'Aub Demand'!$A:$A,0))-IF(AN1405="",0,AN1405)+AP1406,INDEX('Aub Demand'!Q:Q,MATCH($O1405,'Aub Demand'!$A:$A,0))-IF(AN1405="",0,AN1405)),"")</f>
        <v>442</v>
      </c>
      <c r="V1405" s="53">
        <f t="shared" si="590"/>
        <v>135.30000000000001</v>
      </c>
      <c r="W1405" s="52" t="str">
        <f t="shared" si="591"/>
        <v/>
      </c>
      <c r="X1405" s="52">
        <f>IFERROR(IF(AND(AR1406=AR1405,AM1405&lt;&gt;""),INDEX('Aub Demand'!Q:Q,MATCH($O1405,'Aub Demand'!$A:$A,0))-IF(AN1405="",0,AN1405)+AP1406+AD1405+AL1405,IF(AR1406=AR1405,INDEX('Aub Demand'!Q:Q,MATCH($O1405,'Aub Demand'!$A:$A,0))-IF(AN1405="",0,AN1405)+AP1406+AD1405,IF(AM1405&lt;&gt;"",INDEX('Aub Demand'!Q:Q,MATCH($O1405,'Aub Demand'!$A:$A,0))-IF(AN1405="",0,AN1405)+AD1405+AL1405,INDEX('Aub Demand'!Q:Q,MATCH($O1405,'Aub Demand'!$A:$A,0))-IF(AN1405="",0,AN1405)+AD1405))),"")</f>
        <v>442</v>
      </c>
      <c r="Y1405" s="53">
        <f t="shared" si="592"/>
        <v>135.30000000000001</v>
      </c>
      <c r="Z1405" s="52">
        <f>IF(L1405="","",INDEX('Aub Demand'!H:H,MATCH($O1405,'Aub Demand'!$A:$A,0)))</f>
        <v>14</v>
      </c>
      <c r="AA1405" s="52" t="str">
        <f t="shared" si="593"/>
        <v>-spike-</v>
      </c>
      <c r="AB1405" s="52">
        <f>IFERROR(INDEX('Aub Demand'!L:L,MATCH($O1405,'Aub Demand'!$A:$A,0)),"")</f>
        <v>70</v>
      </c>
      <c r="AC1405" s="52">
        <f>IFERROR(IF(O1405="","",SUMIFS('CPL Mats'!F:F,'CPL Mats'!Q:Q,AR1405,'CPL Mats'!S:S,AS1405)),"")</f>
        <v>305.12</v>
      </c>
      <c r="AF1405" s="25" t="str">
        <f>IF(SUMIFS('Supp Consol'!S:S,'Supp Consol'!Y:Y,"Releasable",'Supp Consol'!A:A,O1405)=0,"",SUMIFS('Supp Consol'!S:S,'Supp Consol'!Y:Y,"Releasable",'Supp Consol'!A:A,O1405))</f>
        <v/>
      </c>
      <c r="AG1405" s="25" t="str">
        <f>IFERROR(INDEX('Hun Demand'!Q:Q,MATCH(O1405,'Hun Demand'!A:A,0)),"")</f>
        <v/>
      </c>
      <c r="AH1405" s="25" t="str">
        <f>IFERROR(INDEX('Hun Demand'!H:H,MATCH($O1405,'Hun Demand'!$A:$A,0)),"")</f>
        <v/>
      </c>
      <c r="AI1405" s="25" t="str">
        <f>IF(SUMIFS('Supp Consol'!AA:AA,'Supp Consol'!Z:Z,"Expires this month",'Supp Consol'!A:A,O1405)=0,"",SUMIFS('Supp Consol'!AA:AA,'Supp Consol'!Z:Z,"Expires this month",'Supp Consol'!A:A,O1405))</f>
        <v/>
      </c>
      <c r="AJ1405" s="25" t="str">
        <f>IF(SUMIFS('Supp Consol'!AA:AA,'Supp Consol'!Z:Z,"Expired Previous Months",'Supp Consol'!A:A,O1405)=0,"",SUMIFS('Supp Consol'!AA:AA,'Supp Consol'!Z:Z,"Expired Previous Months",'Supp Consol'!A:A,O1405))</f>
        <v/>
      </c>
      <c r="AK1405" s="25" t="str">
        <f>IFERROR(INDEX('Hun Release Current'!B:B,MATCH(O1405,'Hun Release Current'!A:A,0)),"")</f>
        <v/>
      </c>
      <c r="AL1405" s="25" t="str">
        <f>IF(SUMIF('Prev Aub'!A:A,O1405,'Prev Aub'!B:B)=0,"",SUMIF('Prev Aub'!A:A,O1405,'Prev Aub'!B:B))</f>
        <v/>
      </c>
      <c r="AN1405" s="25" t="s">
        <v>3790</v>
      </c>
      <c r="AO1405" s="25" t="s">
        <v>3790</v>
      </c>
      <c r="AP1405" s="25">
        <f t="shared" si="594"/>
        <v>0</v>
      </c>
      <c r="AQ1405" s="151" t="str">
        <f>IF(SUMIFS('Supp Consol'!S:S,'Supp Consol'!A:A,O1405,'Supp Consol'!I:I,"PENDING")=0,"",SUMIFS('Supp Consol'!S:S,'Supp Consol'!A:A,O1405,'Supp Consol'!I:I,"PENDING"))</f>
        <v/>
      </c>
      <c r="AR1405" s="27" t="str">
        <f t="shared" si="595"/>
        <v>WM255</v>
      </c>
      <c r="AS1405" s="27" t="str">
        <f t="shared" si="596"/>
        <v>62</v>
      </c>
      <c r="AT1405" s="27" t="str">
        <f t="shared" si="597"/>
        <v/>
      </c>
      <c r="AU1405" s="27" t="str">
        <f t="shared" si="598"/>
        <v/>
      </c>
      <c r="AV1405" s="27" t="str">
        <f t="shared" si="599"/>
        <v/>
      </c>
      <c r="AW1405" s="27" t="str">
        <f t="shared" si="600"/>
        <v/>
      </c>
      <c r="AX1405" s="27" t="str">
        <f t="shared" si="601"/>
        <v/>
      </c>
      <c r="AY1405" s="27" t="str">
        <f t="shared" si="602"/>
        <v/>
      </c>
      <c r="AZ1405" s="27" t="str">
        <f t="shared" si="603"/>
        <v/>
      </c>
      <c r="BA1405" s="27" t="str">
        <f t="shared" si="604"/>
        <v/>
      </c>
      <c r="BB1405" s="27" t="str">
        <f t="shared" si="605"/>
        <v>Gross</v>
      </c>
      <c r="BC1405" s="27" t="str">
        <f t="shared" si="606"/>
        <v>Net</v>
      </c>
      <c r="BD1405" s="27" t="str">
        <f t="shared" si="607"/>
        <v>Net</v>
      </c>
      <c r="BE1405" s="27" t="str">
        <f t="shared" si="608"/>
        <v/>
      </c>
      <c r="BF1405" s="27" t="str">
        <f t="shared" si="609"/>
        <v/>
      </c>
      <c r="BG1405" s="27" t="str">
        <f t="shared" si="610"/>
        <v/>
      </c>
      <c r="BH1405" s="27" t="str">
        <f t="shared" si="611"/>
        <v/>
      </c>
      <c r="BI1405" s="27" t="str">
        <f t="shared" si="612"/>
        <v/>
      </c>
      <c r="BJ1405" s="27" t="str">
        <f t="shared" si="613"/>
        <v/>
      </c>
      <c r="BK1405" s="27" t="str">
        <f t="shared" si="614"/>
        <v/>
      </c>
      <c r="BL1405" s="27" t="str">
        <f t="shared" si="615"/>
        <v/>
      </c>
      <c r="BM1405" s="21" t="s">
        <v>5581</v>
      </c>
    </row>
    <row r="1406" spans="1:65" ht="15">
      <c r="A1406" s="25" t="str">
        <f>IFERROR(INDEX('Hun Demand'!W:W,MATCH(O1406,'Hun Demand'!A:A,0)),"")</f>
        <v/>
      </c>
      <c r="B1406" s="25" t="str">
        <f>IFERROR(INDEX('Hun Demand'!V:V,MATCH(O1406,'Hun Demand'!A:A,0)),"")</f>
        <v/>
      </c>
      <c r="C1406" s="25" t="str">
        <f>IFERROR(INDEX('Hun Demand'!U:U,MATCH(O1406,'Hun Demand'!A:A,0)),"")</f>
        <v/>
      </c>
      <c r="D1406" s="25" t="str">
        <f>IFERROR(INDEX('Hun Demand'!T:T,MATCH(O1406,'Hun Demand'!A:A,0)),"")</f>
        <v/>
      </c>
      <c r="E1406" s="25" t="str">
        <f>IFERROR(INDEX('Hun Demand'!S:S,MATCH(O1406,'Hun Demand'!A:A,0)),"")</f>
        <v/>
      </c>
      <c r="F1406" s="25" t="str">
        <f>IFERROR(INDEX('Hun Demand'!R:R,MATCH(O1406,'Hun Demand'!A:A,0)),"")</f>
        <v/>
      </c>
      <c r="G1406" s="25">
        <f>IFERROR(INDEX('Aub Demand'!W:W,MATCH(O1406,'Aub Demand'!A:A,0)),"")</f>
        <v>0</v>
      </c>
      <c r="H1406" s="25">
        <f>IFERROR(INDEX('Aub Demand'!V:V,MATCH(O1406,'Aub Demand'!A:A,0)),"")</f>
        <v>566</v>
      </c>
      <c r="I1406" s="25">
        <f>IFERROR(INDEX('Aub Demand'!U:U,MATCH(O1406,'Aub Demand'!A:A,0)),"")</f>
        <v>0</v>
      </c>
      <c r="J1406" s="25">
        <f>IFERROR(INDEX('Aub Demand'!T:T,MATCH(O1406,'Aub Demand'!A:A,0)),"")</f>
        <v>0</v>
      </c>
      <c r="K1406" s="25">
        <f>IFERROR(INDEX('Aub Demand'!S:S,MATCH(O1406,'Aub Demand'!A:A,0)),"")</f>
        <v>369</v>
      </c>
      <c r="L1406" s="25">
        <f>IFERROR(INDEX('Aub Demand'!R:R,MATCH(O1406,'Aub Demand'!A:A,0)),"")</f>
        <v>0</v>
      </c>
      <c r="O1406" s="27" t="s">
        <v>1714</v>
      </c>
      <c r="P1406" s="27" t="str">
        <f>IFERROR(INDEX('Aub Demand'!B:B,MATCH($O1406,'Aub Demand'!$A:$A,0)),"")</f>
        <v>IQ MAPLE LANE (CENTE</v>
      </c>
      <c r="Q1406" s="27" t="str">
        <f>IFERROR(INDEX('Aub Demand'!C:C,MATCH($O1406,'Aub Demand'!$A:$A,0)),"")</f>
        <v>INTER</v>
      </c>
      <c r="R1406" s="52">
        <f>IFERROR(IF(AR1407=AR1406,INDEX('Aub Demand'!K:K,MATCH($O1406,'Aub Demand'!$A:$A,0))-IF(AN1406="",0,AN1406)+AP1407,INDEX('Aub Demand'!K:K,MATCH($O1406,'Aub Demand'!$A:$A,0))-IF(AN1406="",0,AN1406)),"")</f>
        <v>571</v>
      </c>
      <c r="S1406" s="53">
        <f t="shared" si="588"/>
        <v>19.899999999999999</v>
      </c>
      <c r="T1406" s="52" t="str">
        <f t="shared" si="589"/>
        <v/>
      </c>
      <c r="U1406" s="52">
        <f>IFERROR(IF(AR1407=AR1406,INDEX('Aub Demand'!Q:Q,MATCH($O1406,'Aub Demand'!$A:$A,0))-IF(AN1406="",0,AN1406)+AP1407,INDEX('Aub Demand'!Q:Q,MATCH($O1406,'Aub Demand'!$A:$A,0))-IF(AN1406="",0,AN1406)),"")</f>
        <v>121</v>
      </c>
      <c r="V1406" s="53">
        <f t="shared" si="590"/>
        <v>4.2</v>
      </c>
      <c r="W1406" s="52" t="str">
        <f t="shared" si="591"/>
        <v/>
      </c>
      <c r="X1406" s="52">
        <f>IFERROR(IF(AND(AR1407=AR1406,AM1406&lt;&gt;""),INDEX('Aub Demand'!Q:Q,MATCH($O1406,'Aub Demand'!$A:$A,0))-IF(AN1406="",0,AN1406)+AP1407+AD1406+AL1406,IF(AR1407=AR1406,INDEX('Aub Demand'!Q:Q,MATCH($O1406,'Aub Demand'!$A:$A,0))-IF(AN1406="",0,AN1406)+AP1407+AD1406,IF(AM1406&lt;&gt;"",INDEX('Aub Demand'!Q:Q,MATCH($O1406,'Aub Demand'!$A:$A,0))-IF(AN1406="",0,AN1406)+AD1406+AL1406,INDEX('Aub Demand'!Q:Q,MATCH($O1406,'Aub Demand'!$A:$A,0))-IF(AN1406="",0,AN1406)+AD1406))),"")</f>
        <v>121</v>
      </c>
      <c r="Y1406" s="53">
        <f t="shared" si="592"/>
        <v>4.2</v>
      </c>
      <c r="Z1406" s="52">
        <f>IF(L1406="","",INDEX('Aub Demand'!H:H,MATCH($O1406,'Aub Demand'!$A:$A,0)))</f>
        <v>123</v>
      </c>
      <c r="AA1406" s="52" t="str">
        <f t="shared" si="593"/>
        <v>-spike-</v>
      </c>
      <c r="AB1406" s="52">
        <f>IFERROR(INDEX('Aub Demand'!L:L,MATCH($O1406,'Aub Demand'!$A:$A,0)),"")</f>
        <v>72</v>
      </c>
      <c r="AC1406" s="52">
        <f>IFERROR(IF(O1406="","",SUMIFS('CPL Mats'!F:F,'CPL Mats'!Q:Q,AR1406,'CPL Mats'!S:S,AS1406)),"")</f>
        <v>0</v>
      </c>
      <c r="AF1406" s="25">
        <f>IF(SUMIFS('Supp Consol'!S:S,'Supp Consol'!Y:Y,"Releasable",'Supp Consol'!A:A,O1406)=0,"",SUMIFS('Supp Consol'!S:S,'Supp Consol'!Y:Y,"Releasable",'Supp Consol'!A:A,O1406))</f>
        <v>2193</v>
      </c>
      <c r="AG1406" s="25" t="str">
        <f>IFERROR(INDEX('Hun Demand'!Q:Q,MATCH(O1406,'Hun Demand'!A:A,0)),"")</f>
        <v/>
      </c>
      <c r="AH1406" s="25" t="str">
        <f>IFERROR(INDEX('Hun Demand'!H:H,MATCH($O1406,'Hun Demand'!$A:$A,0)),"")</f>
        <v/>
      </c>
      <c r="AI1406" s="25" t="str">
        <f>IF(SUMIFS('Supp Consol'!AA:AA,'Supp Consol'!Z:Z,"Expires this month",'Supp Consol'!A:A,O1406)=0,"",SUMIFS('Supp Consol'!AA:AA,'Supp Consol'!Z:Z,"Expires this month",'Supp Consol'!A:A,O1406))</f>
        <v/>
      </c>
      <c r="AJ1406" s="25" t="str">
        <f>IF(SUMIFS('Supp Consol'!AA:AA,'Supp Consol'!Z:Z,"Expired Previous Months",'Supp Consol'!A:A,O1406)=0,"",SUMIFS('Supp Consol'!AA:AA,'Supp Consol'!Z:Z,"Expired Previous Months",'Supp Consol'!A:A,O1406))</f>
        <v/>
      </c>
      <c r="AK1406" s="25" t="str">
        <f>IFERROR(INDEX('Hun Release Current'!B:B,MATCH(O1406,'Hun Release Current'!A:A,0)),"")</f>
        <v/>
      </c>
      <c r="AL1406" s="25">
        <f>IF(SUMIF('Prev Aub'!A:A,O1406,'Prev Aub'!B:B)=0,"",SUMIF('Prev Aub'!A:A,O1406,'Prev Aub'!B:B))</f>
        <v>500</v>
      </c>
      <c r="AN1406" s="25" t="s">
        <v>3790</v>
      </c>
      <c r="AO1406" s="25" t="s">
        <v>3790</v>
      </c>
      <c r="AP1406" s="25">
        <f t="shared" si="594"/>
        <v>0</v>
      </c>
      <c r="AQ1406" s="151" t="str">
        <f>IF(SUMIFS('Supp Consol'!S:S,'Supp Consol'!A:A,O1406,'Supp Consol'!I:I,"PENDING")=0,"",SUMIFS('Supp Consol'!S:S,'Supp Consol'!A:A,O1406,'Supp Consol'!I:I,"PENDING"))</f>
        <v/>
      </c>
      <c r="AR1406" s="27" t="str">
        <f t="shared" si="595"/>
        <v>WM301</v>
      </c>
      <c r="AS1406" s="27" t="str">
        <f t="shared" si="596"/>
        <v>62</v>
      </c>
      <c r="AT1406" s="27" t="str">
        <f t="shared" si="597"/>
        <v/>
      </c>
      <c r="AU1406" s="27" t="str">
        <f t="shared" si="598"/>
        <v/>
      </c>
      <c r="AV1406" s="27" t="str">
        <f t="shared" si="599"/>
        <v/>
      </c>
      <c r="AW1406" s="27" t="str">
        <f t="shared" si="600"/>
        <v/>
      </c>
      <c r="AX1406" s="27" t="str">
        <f t="shared" si="601"/>
        <v>WM301</v>
      </c>
      <c r="AY1406" s="27" t="str">
        <f t="shared" si="602"/>
        <v/>
      </c>
      <c r="AZ1406" s="27" t="str">
        <f t="shared" si="603"/>
        <v>Supp</v>
      </c>
      <c r="BA1406" s="27" t="str">
        <f t="shared" si="604"/>
        <v/>
      </c>
      <c r="BB1406" s="27" t="str">
        <f t="shared" si="605"/>
        <v/>
      </c>
      <c r="BC1406" s="27" t="str">
        <f t="shared" si="606"/>
        <v/>
      </c>
      <c r="BD1406" s="27" t="str">
        <f t="shared" si="607"/>
        <v/>
      </c>
      <c r="BE1406" s="27" t="str">
        <f t="shared" si="608"/>
        <v/>
      </c>
      <c r="BF1406" s="27" t="str">
        <f t="shared" si="609"/>
        <v/>
      </c>
      <c r="BG1406" s="27" t="str">
        <f t="shared" si="610"/>
        <v/>
      </c>
      <c r="BH1406" s="27" t="str">
        <f t="shared" si="611"/>
        <v/>
      </c>
      <c r="BI1406" s="27" t="str">
        <f t="shared" si="612"/>
        <v/>
      </c>
      <c r="BJ1406" s="27" t="str">
        <f t="shared" si="613"/>
        <v>Supp or Hun</v>
      </c>
      <c r="BK1406" s="27" t="str">
        <f t="shared" si="614"/>
        <v/>
      </c>
      <c r="BL1406" s="27" t="str">
        <f t="shared" si="615"/>
        <v/>
      </c>
      <c r="BM1406" s="21" t="s">
        <v>5581</v>
      </c>
    </row>
    <row r="1407" spans="1:65" ht="15">
      <c r="A1407" s="25" t="str">
        <f>IFERROR(INDEX('Hun Demand'!W:W,MATCH(O1407,'Hun Demand'!A:A,0)),"")</f>
        <v/>
      </c>
      <c r="B1407" s="25" t="str">
        <f>IFERROR(INDEX('Hun Demand'!V:V,MATCH(O1407,'Hun Demand'!A:A,0)),"")</f>
        <v/>
      </c>
      <c r="C1407" s="25" t="str">
        <f>IFERROR(INDEX('Hun Demand'!U:U,MATCH(O1407,'Hun Demand'!A:A,0)),"")</f>
        <v/>
      </c>
      <c r="D1407" s="25" t="str">
        <f>IFERROR(INDEX('Hun Demand'!T:T,MATCH(O1407,'Hun Demand'!A:A,0)),"")</f>
        <v/>
      </c>
      <c r="E1407" s="25" t="str">
        <f>IFERROR(INDEX('Hun Demand'!S:S,MATCH(O1407,'Hun Demand'!A:A,0)),"")</f>
        <v/>
      </c>
      <c r="F1407" s="25" t="str">
        <f>IFERROR(INDEX('Hun Demand'!R:R,MATCH(O1407,'Hun Demand'!A:A,0)),"")</f>
        <v/>
      </c>
      <c r="G1407" s="25">
        <f>IFERROR(INDEX('Aub Demand'!W:W,MATCH(O1407,'Aub Demand'!A:A,0)),"")</f>
        <v>0</v>
      </c>
      <c r="H1407" s="25">
        <f>IFERROR(INDEX('Aub Demand'!V:V,MATCH(O1407,'Aub Demand'!A:A,0)),"")</f>
        <v>0</v>
      </c>
      <c r="I1407" s="25">
        <f>IFERROR(INDEX('Aub Demand'!U:U,MATCH(O1407,'Aub Demand'!A:A,0)),"")</f>
        <v>134</v>
      </c>
      <c r="J1407" s="25">
        <f>IFERROR(INDEX('Aub Demand'!T:T,MATCH(O1407,'Aub Demand'!A:A,0)),"")</f>
        <v>0</v>
      </c>
      <c r="K1407" s="25">
        <f>IFERROR(INDEX('Aub Demand'!S:S,MATCH(O1407,'Aub Demand'!A:A,0)),"")</f>
        <v>0</v>
      </c>
      <c r="L1407" s="25">
        <f>IFERROR(INDEX('Aub Demand'!R:R,MATCH(O1407,'Aub Demand'!A:A,0)),"")</f>
        <v>0</v>
      </c>
      <c r="O1407" s="27" t="s">
        <v>3009</v>
      </c>
      <c r="P1407" s="27" t="str">
        <f>IFERROR(INDEX('Aub Demand'!B:B,MATCH($O1407,'Aub Demand'!$A:$A,0)),"")</f>
        <v>HONEY MAPLE 62"</v>
      </c>
      <c r="Q1407" s="27" t="str">
        <f>IFERROR(INDEX('Aub Demand'!C:C,MATCH($O1407,'Aub Demand'!$A:$A,0)),"")</f>
        <v>DNP A</v>
      </c>
      <c r="R1407" s="52">
        <f>IFERROR(IF(AR1408=AR1407,INDEX('Aub Demand'!K:K,MATCH($O1407,'Aub Demand'!$A:$A,0))-IF(AN1407="",0,AN1407)+AP1408,INDEX('Aub Demand'!K:K,MATCH($O1407,'Aub Demand'!$A:$A,0))-IF(AN1407="",0,AN1407)),"")</f>
        <v>241</v>
      </c>
      <c r="S1407" s="53">
        <f t="shared" si="588"/>
        <v>23</v>
      </c>
      <c r="T1407" s="52" t="str">
        <f t="shared" si="589"/>
        <v/>
      </c>
      <c r="U1407" s="52">
        <f>IFERROR(IF(AR1408=AR1407,INDEX('Aub Demand'!Q:Q,MATCH($O1407,'Aub Demand'!$A:$A,0))-IF(AN1407="",0,AN1407)+AP1408,INDEX('Aub Demand'!Q:Q,MATCH($O1407,'Aub Demand'!$A:$A,0))-IF(AN1407="",0,AN1407)),"")</f>
        <v>241</v>
      </c>
      <c r="V1407" s="53">
        <f t="shared" si="590"/>
        <v>23</v>
      </c>
      <c r="W1407" s="52" t="str">
        <f t="shared" si="591"/>
        <v/>
      </c>
      <c r="X1407" s="52">
        <f>IFERROR(IF(AND(AR1408=AR1407,AM1407&lt;&gt;""),INDEX('Aub Demand'!Q:Q,MATCH($O1407,'Aub Demand'!$A:$A,0))-IF(AN1407="",0,AN1407)+AP1408+AD1407+AL1407,IF(AR1408=AR1407,INDEX('Aub Demand'!Q:Q,MATCH($O1407,'Aub Demand'!$A:$A,0))-IF(AN1407="",0,AN1407)+AP1408+AD1407,IF(AM1407&lt;&gt;"",INDEX('Aub Demand'!Q:Q,MATCH($O1407,'Aub Demand'!$A:$A,0))-IF(AN1407="",0,AN1407)+AD1407+AL1407,INDEX('Aub Demand'!Q:Q,MATCH($O1407,'Aub Demand'!$A:$A,0))-IF(AN1407="",0,AN1407)+AD1407))),"")</f>
        <v>241</v>
      </c>
      <c r="Y1407" s="53">
        <f t="shared" si="592"/>
        <v>23</v>
      </c>
      <c r="Z1407" s="52">
        <f>IF(L1407="","",INDEX('Aub Demand'!H:H,MATCH($O1407,'Aub Demand'!$A:$A,0)))</f>
        <v>45</v>
      </c>
      <c r="AA1407" s="52" t="str">
        <f t="shared" si="593"/>
        <v>-spike-</v>
      </c>
      <c r="AB1407" s="52">
        <f>IFERROR(INDEX('Aub Demand'!L:L,MATCH($O1407,'Aub Demand'!$A:$A,0)),"")</f>
        <v>0</v>
      </c>
      <c r="AC1407" s="52">
        <f>IFERROR(IF(O1407="","",SUMIFS('CPL Mats'!F:F,'CPL Mats'!Q:Q,AR1407,'CPL Mats'!S:S,AS1407)),"")</f>
        <v>0</v>
      </c>
      <c r="AF1407" s="25">
        <f>IF(SUMIFS('Supp Consol'!S:S,'Supp Consol'!Y:Y,"Releasable",'Supp Consol'!A:A,O1407)=0,"",SUMIFS('Supp Consol'!S:S,'Supp Consol'!Y:Y,"Releasable",'Supp Consol'!A:A,O1407))</f>
        <v>1148</v>
      </c>
      <c r="AG1407" s="25" t="str">
        <f>IFERROR(INDEX('Hun Demand'!Q:Q,MATCH(O1407,'Hun Demand'!A:A,0)),"")</f>
        <v/>
      </c>
      <c r="AH1407" s="25" t="str">
        <f>IFERROR(INDEX('Hun Demand'!H:H,MATCH($O1407,'Hun Demand'!$A:$A,0)),"")</f>
        <v/>
      </c>
      <c r="AI1407" s="25">
        <f>IF(SUMIFS('Supp Consol'!AA:AA,'Supp Consol'!Z:Z,"Expires this month",'Supp Consol'!A:A,O1407)=0,"",SUMIFS('Supp Consol'!AA:AA,'Supp Consol'!Z:Z,"Expires this month",'Supp Consol'!A:A,O1407))</f>
        <v>1000</v>
      </c>
      <c r="AJ1407" s="25" t="str">
        <f>IF(SUMIFS('Supp Consol'!AA:AA,'Supp Consol'!Z:Z,"Expired Previous Months",'Supp Consol'!A:A,O1407)=0,"",SUMIFS('Supp Consol'!AA:AA,'Supp Consol'!Z:Z,"Expired Previous Months",'Supp Consol'!A:A,O1407))</f>
        <v/>
      </c>
      <c r="AK1407" s="25" t="str">
        <f>IFERROR(INDEX('Hun Release Current'!B:B,MATCH(O1407,'Hun Release Current'!A:A,0)),"")</f>
        <v/>
      </c>
      <c r="AL1407" s="25" t="str">
        <f>IF(SUMIF('Prev Aub'!A:A,O1407,'Prev Aub'!B:B)=0,"",SUMIF('Prev Aub'!A:A,O1407,'Prev Aub'!B:B))</f>
        <v/>
      </c>
      <c r="AN1407" s="25" t="s">
        <v>3790</v>
      </c>
      <c r="AO1407" s="25" t="s">
        <v>3790</v>
      </c>
      <c r="AP1407" s="25">
        <f t="shared" si="594"/>
        <v>0</v>
      </c>
      <c r="AQ1407" s="151" t="str">
        <f>IF(SUMIFS('Supp Consol'!S:S,'Supp Consol'!A:A,O1407,'Supp Consol'!I:I,"PENDING")=0,"",SUMIFS('Supp Consol'!S:S,'Supp Consol'!A:A,O1407,'Supp Consol'!I:I,"PENDING"))</f>
        <v/>
      </c>
      <c r="AR1407" s="27" t="str">
        <f t="shared" si="595"/>
        <v>WM303</v>
      </c>
      <c r="AS1407" s="27" t="str">
        <f t="shared" si="596"/>
        <v>62</v>
      </c>
      <c r="AT1407" s="27" t="str">
        <f t="shared" si="597"/>
        <v/>
      </c>
      <c r="AU1407" s="27" t="str">
        <f t="shared" si="598"/>
        <v/>
      </c>
      <c r="AV1407" s="27" t="str">
        <f t="shared" si="599"/>
        <v/>
      </c>
      <c r="AW1407" s="27" t="str">
        <f t="shared" si="600"/>
        <v>WM303</v>
      </c>
      <c r="AX1407" s="27" t="str">
        <f t="shared" si="601"/>
        <v>WM303</v>
      </c>
      <c r="AY1407" s="27" t="str">
        <f t="shared" si="602"/>
        <v/>
      </c>
      <c r="AZ1407" s="27" t="str">
        <f t="shared" si="603"/>
        <v>Supp</v>
      </c>
      <c r="BA1407" s="27" t="str">
        <f t="shared" si="604"/>
        <v/>
      </c>
      <c r="BB1407" s="27" t="str">
        <f t="shared" si="605"/>
        <v/>
      </c>
      <c r="BC1407" s="27" t="str">
        <f t="shared" si="606"/>
        <v/>
      </c>
      <c r="BD1407" s="27" t="str">
        <f t="shared" si="607"/>
        <v/>
      </c>
      <c r="BE1407" s="27" t="str">
        <f t="shared" si="608"/>
        <v>Exp</v>
      </c>
      <c r="BF1407" s="27" t="str">
        <f t="shared" si="609"/>
        <v/>
      </c>
      <c r="BG1407" s="27" t="str">
        <f t="shared" si="610"/>
        <v>S+NorE</v>
      </c>
      <c r="BH1407" s="27" t="str">
        <f t="shared" si="611"/>
        <v/>
      </c>
      <c r="BI1407" s="27" t="str">
        <f t="shared" si="612"/>
        <v/>
      </c>
      <c r="BJ1407" s="27" t="str">
        <f t="shared" si="613"/>
        <v>Supp or Hun</v>
      </c>
      <c r="BK1407" s="27" t="str">
        <f t="shared" si="614"/>
        <v/>
      </c>
      <c r="BL1407" s="27" t="str">
        <f t="shared" si="615"/>
        <v>SorHandNandE</v>
      </c>
      <c r="BM1407" s="21" t="s">
        <v>5581</v>
      </c>
    </row>
    <row r="1408" spans="1:65" ht="15">
      <c r="A1408" s="25" t="str">
        <f>IFERROR(INDEX('Hun Demand'!W:W,MATCH(O1408,'Hun Demand'!A:A,0)),"")</f>
        <v/>
      </c>
      <c r="B1408" s="25" t="str">
        <f>IFERROR(INDEX('Hun Demand'!V:V,MATCH(O1408,'Hun Demand'!A:A,0)),"")</f>
        <v/>
      </c>
      <c r="C1408" s="25" t="str">
        <f>IFERROR(INDEX('Hun Demand'!U:U,MATCH(O1408,'Hun Demand'!A:A,0)),"")</f>
        <v/>
      </c>
      <c r="D1408" s="25" t="str">
        <f>IFERROR(INDEX('Hun Demand'!T:T,MATCH(O1408,'Hun Demand'!A:A,0)),"")</f>
        <v/>
      </c>
      <c r="E1408" s="25" t="str">
        <f>IFERROR(INDEX('Hun Demand'!S:S,MATCH(O1408,'Hun Demand'!A:A,0)),"")</f>
        <v/>
      </c>
      <c r="F1408" s="25" t="str">
        <f>IFERROR(INDEX('Hun Demand'!R:R,MATCH(O1408,'Hun Demand'!A:A,0)),"")</f>
        <v/>
      </c>
      <c r="G1408" s="25">
        <f>IFERROR(INDEX('Aub Demand'!W:W,MATCH(O1408,'Aub Demand'!A:A,0)),"")</f>
        <v>229</v>
      </c>
      <c r="H1408" s="25">
        <f>IFERROR(INDEX('Aub Demand'!V:V,MATCH(O1408,'Aub Demand'!A:A,0)),"")</f>
        <v>0</v>
      </c>
      <c r="I1408" s="25">
        <f>IFERROR(INDEX('Aub Demand'!U:U,MATCH(O1408,'Aub Demand'!A:A,0)),"")</f>
        <v>0</v>
      </c>
      <c r="J1408" s="25">
        <f>IFERROR(INDEX('Aub Demand'!T:T,MATCH(O1408,'Aub Demand'!A:A,0)),"")</f>
        <v>147</v>
      </c>
      <c r="K1408" s="25">
        <f>IFERROR(INDEX('Aub Demand'!S:S,MATCH(O1408,'Aub Demand'!A:A,0)),"")</f>
        <v>0</v>
      </c>
      <c r="L1408" s="25">
        <f>IFERROR(INDEX('Aub Demand'!R:R,MATCH(O1408,'Aub Demand'!A:A,0)),"")</f>
        <v>0</v>
      </c>
      <c r="O1408" s="27" t="s">
        <v>1717</v>
      </c>
      <c r="P1408" s="27" t="str">
        <f>IFERROR(INDEX('Aub Demand'!B:B,MATCH($O1408,'Aub Demand'!$A:$A,0)),"")</f>
        <v>IQ MAPLE LANE LH</v>
      </c>
      <c r="Q1408" s="27" t="str">
        <f>IFERROR(INDEX('Aub Demand'!C:C,MATCH($O1408,'Aub Demand'!$A:$A,0)),"")</f>
        <v>INTER</v>
      </c>
      <c r="R1408" s="52">
        <f>IFERROR(IF(AR1409=AR1408,INDEX('Aub Demand'!K:K,MATCH($O1408,'Aub Demand'!$A:$A,0))-IF(AN1408="",0,AN1408)+AP1409,INDEX('Aub Demand'!K:K,MATCH($O1408,'Aub Demand'!$A:$A,0))-IF(AN1408="",0,AN1408)),"")</f>
        <v>897</v>
      </c>
      <c r="S1408" s="53">
        <f t="shared" si="588"/>
        <v>78.5</v>
      </c>
      <c r="T1408" s="52" t="str">
        <f t="shared" si="589"/>
        <v/>
      </c>
      <c r="U1408" s="52">
        <f>IFERROR(IF(AR1409=AR1408,INDEX('Aub Demand'!Q:Q,MATCH($O1408,'Aub Demand'!$A:$A,0))-IF(AN1408="",0,AN1408)+AP1409,INDEX('Aub Demand'!Q:Q,MATCH($O1408,'Aub Demand'!$A:$A,0))-IF(AN1408="",0,AN1408)),"")</f>
        <v>534</v>
      </c>
      <c r="V1408" s="53">
        <f t="shared" si="590"/>
        <v>46.7</v>
      </c>
      <c r="W1408" s="52" t="str">
        <f t="shared" si="591"/>
        <v/>
      </c>
      <c r="X1408" s="52">
        <f>IFERROR(IF(AND(AR1409=AR1408,AM1408&lt;&gt;""),INDEX('Aub Demand'!Q:Q,MATCH($O1408,'Aub Demand'!$A:$A,0))-IF(AN1408="",0,AN1408)+AP1409+AD1408+AL1408,IF(AR1409=AR1408,INDEX('Aub Demand'!Q:Q,MATCH($O1408,'Aub Demand'!$A:$A,0))-IF(AN1408="",0,AN1408)+AP1409+AD1408,IF(AM1408&lt;&gt;"",INDEX('Aub Demand'!Q:Q,MATCH($O1408,'Aub Demand'!$A:$A,0))-IF(AN1408="",0,AN1408)+AD1408+AL1408,INDEX('Aub Demand'!Q:Q,MATCH($O1408,'Aub Demand'!$A:$A,0))-IF(AN1408="",0,AN1408)+AD1408))),"")</f>
        <v>534</v>
      </c>
      <c r="Y1408" s="53">
        <f t="shared" si="592"/>
        <v>46.7</v>
      </c>
      <c r="Z1408" s="52">
        <f>IF(L1408="","",INDEX('Aub Demand'!H:H,MATCH($O1408,'Aub Demand'!$A:$A,0)))</f>
        <v>49</v>
      </c>
      <c r="AA1408" s="52" t="str">
        <f t="shared" si="593"/>
        <v>-spike-</v>
      </c>
      <c r="AB1408" s="52">
        <f>IFERROR(INDEX('Aub Demand'!L:L,MATCH($O1408,'Aub Demand'!$A:$A,0)),"")</f>
        <v>6</v>
      </c>
      <c r="AC1408" s="52">
        <f>IFERROR(IF(O1408="","",SUMIFS('CPL Mats'!F:F,'CPL Mats'!Q:Q,AR1408,'CPL Mats'!S:S,AS1408)),"")</f>
        <v>0</v>
      </c>
      <c r="AF1408" s="25" t="str">
        <f>IF(SUMIFS('Supp Consol'!S:S,'Supp Consol'!Y:Y,"Releasable",'Supp Consol'!A:A,O1408)=0,"",SUMIFS('Supp Consol'!S:S,'Supp Consol'!Y:Y,"Releasable",'Supp Consol'!A:A,O1408))</f>
        <v/>
      </c>
      <c r="AG1408" s="25" t="str">
        <f>IFERROR(INDEX('Hun Demand'!Q:Q,MATCH(O1408,'Hun Demand'!A:A,0)),"")</f>
        <v/>
      </c>
      <c r="AH1408" s="25" t="str">
        <f>IFERROR(INDEX('Hun Demand'!H:H,MATCH($O1408,'Hun Demand'!$A:$A,0)),"")</f>
        <v/>
      </c>
      <c r="AI1408" s="25" t="str">
        <f>IF(SUMIFS('Supp Consol'!AA:AA,'Supp Consol'!Z:Z,"Expires this month",'Supp Consol'!A:A,O1408)=0,"",SUMIFS('Supp Consol'!AA:AA,'Supp Consol'!Z:Z,"Expires this month",'Supp Consol'!A:A,O1408))</f>
        <v/>
      </c>
      <c r="AJ1408" s="25" t="str">
        <f>IF(SUMIFS('Supp Consol'!AA:AA,'Supp Consol'!Z:Z,"Expired Previous Months",'Supp Consol'!A:A,O1408)=0,"",SUMIFS('Supp Consol'!AA:AA,'Supp Consol'!Z:Z,"Expired Previous Months",'Supp Consol'!A:A,O1408))</f>
        <v/>
      </c>
      <c r="AK1408" s="25" t="str">
        <f>IFERROR(INDEX('Hun Release Current'!B:B,MATCH(O1408,'Hun Release Current'!A:A,0)),"")</f>
        <v/>
      </c>
      <c r="AL1408" s="25" t="str">
        <f>IF(SUMIF('Prev Aub'!A:A,O1408,'Prev Aub'!B:B)=0,"",SUMIF('Prev Aub'!A:A,O1408,'Prev Aub'!B:B))</f>
        <v/>
      </c>
      <c r="AN1408" s="25" t="s">
        <v>3790</v>
      </c>
      <c r="AO1408" s="25" t="s">
        <v>3790</v>
      </c>
      <c r="AP1408" s="25">
        <f t="shared" si="594"/>
        <v>0</v>
      </c>
      <c r="AQ1408" s="151" t="str">
        <f>IF(SUMIFS('Supp Consol'!S:S,'Supp Consol'!A:A,O1408,'Supp Consol'!I:I,"PENDING")=0,"",SUMIFS('Supp Consol'!S:S,'Supp Consol'!A:A,O1408,'Supp Consol'!I:I,"PENDING"))</f>
        <v/>
      </c>
      <c r="AR1408" s="27" t="str">
        <f t="shared" si="595"/>
        <v>WM311</v>
      </c>
      <c r="AS1408" s="27" t="str">
        <f t="shared" si="596"/>
        <v>43</v>
      </c>
      <c r="AT1408" s="27" t="str">
        <f t="shared" si="597"/>
        <v/>
      </c>
      <c r="AU1408" s="27" t="str">
        <f t="shared" si="598"/>
        <v/>
      </c>
      <c r="AV1408" s="27" t="str">
        <f t="shared" si="599"/>
        <v/>
      </c>
      <c r="AW1408" s="27" t="str">
        <f t="shared" si="600"/>
        <v/>
      </c>
      <c r="AX1408" s="27" t="str">
        <f t="shared" si="601"/>
        <v/>
      </c>
      <c r="AY1408" s="27" t="str">
        <f t="shared" si="602"/>
        <v/>
      </c>
      <c r="AZ1408" s="27" t="str">
        <f t="shared" si="603"/>
        <v/>
      </c>
      <c r="BA1408" s="27" t="str">
        <f t="shared" si="604"/>
        <v/>
      </c>
      <c r="BB1408" s="27" t="str">
        <f t="shared" si="605"/>
        <v/>
      </c>
      <c r="BC1408" s="27" t="str">
        <f t="shared" si="606"/>
        <v/>
      </c>
      <c r="BD1408" s="27" t="str">
        <f t="shared" si="607"/>
        <v/>
      </c>
      <c r="BE1408" s="27" t="str">
        <f t="shared" si="608"/>
        <v/>
      </c>
      <c r="BF1408" s="27" t="str">
        <f t="shared" si="609"/>
        <v/>
      </c>
      <c r="BG1408" s="27" t="str">
        <f t="shared" si="610"/>
        <v/>
      </c>
      <c r="BH1408" s="27" t="str">
        <f t="shared" si="611"/>
        <v/>
      </c>
      <c r="BI1408" s="27" t="str">
        <f t="shared" si="612"/>
        <v/>
      </c>
      <c r="BJ1408" s="27" t="str">
        <f t="shared" si="613"/>
        <v/>
      </c>
      <c r="BK1408" s="27" t="str">
        <f t="shared" si="614"/>
        <v/>
      </c>
      <c r="BL1408" s="27" t="str">
        <f t="shared" si="615"/>
        <v/>
      </c>
      <c r="BM1408" s="21" t="s">
        <v>5581</v>
      </c>
    </row>
    <row r="1409" spans="1:65" ht="15">
      <c r="A1409" s="25" t="str">
        <f>IFERROR(INDEX('Hun Demand'!W:W,MATCH(O1409,'Hun Demand'!A:A,0)),"")</f>
        <v/>
      </c>
      <c r="B1409" s="25" t="str">
        <f>IFERROR(INDEX('Hun Demand'!V:V,MATCH(O1409,'Hun Demand'!A:A,0)),"")</f>
        <v/>
      </c>
      <c r="C1409" s="25" t="str">
        <f>IFERROR(INDEX('Hun Demand'!U:U,MATCH(O1409,'Hun Demand'!A:A,0)),"")</f>
        <v/>
      </c>
      <c r="D1409" s="25" t="str">
        <f>IFERROR(INDEX('Hun Demand'!T:T,MATCH(O1409,'Hun Demand'!A:A,0)),"")</f>
        <v/>
      </c>
      <c r="E1409" s="25" t="str">
        <f>IFERROR(INDEX('Hun Demand'!S:S,MATCH(O1409,'Hun Demand'!A:A,0)),"")</f>
        <v/>
      </c>
      <c r="F1409" s="25" t="str">
        <f>IFERROR(INDEX('Hun Demand'!R:R,MATCH(O1409,'Hun Demand'!A:A,0)),"")</f>
        <v/>
      </c>
      <c r="G1409" s="25">
        <f>IFERROR(INDEX('Aub Demand'!W:W,MATCH(O1409,'Aub Demand'!A:A,0)),"")</f>
        <v>512</v>
      </c>
      <c r="H1409" s="25">
        <f>IFERROR(INDEX('Aub Demand'!V:V,MATCH(O1409,'Aub Demand'!A:A,0)),"")</f>
        <v>106</v>
      </c>
      <c r="I1409" s="25">
        <f>IFERROR(INDEX('Aub Demand'!U:U,MATCH(O1409,'Aub Demand'!A:A,0)),"")</f>
        <v>0</v>
      </c>
      <c r="J1409" s="25">
        <f>IFERROR(INDEX('Aub Demand'!T:T,MATCH(O1409,'Aub Demand'!A:A,0)),"")</f>
        <v>299</v>
      </c>
      <c r="K1409" s="25">
        <f>IFERROR(INDEX('Aub Demand'!S:S,MATCH(O1409,'Aub Demand'!A:A,0)),"")</f>
        <v>0</v>
      </c>
      <c r="L1409" s="25">
        <f>IFERROR(INDEX('Aub Demand'!R:R,MATCH(O1409,'Aub Demand'!A:A,0)),"")</f>
        <v>0</v>
      </c>
      <c r="O1409" s="27" t="s">
        <v>1719</v>
      </c>
      <c r="P1409" s="27" t="str">
        <f>IFERROR(INDEX('Aub Demand'!B:B,MATCH($O1409,'Aub Demand'!$A:$A,0)),"")</f>
        <v>IQ MAPLE LANE RH</v>
      </c>
      <c r="Q1409" s="27" t="str">
        <f>IFERROR(INDEX('Aub Demand'!C:C,MATCH($O1409,'Aub Demand'!$A:$A,0)),"")</f>
        <v>INTER</v>
      </c>
      <c r="R1409" s="52">
        <f>IFERROR(IF(AR1410=AR1409,INDEX('Aub Demand'!K:K,MATCH($O1409,'Aub Demand'!$A:$A,0))-IF(AN1409="",0,AN1409)+AP1410,INDEX('Aub Demand'!K:K,MATCH($O1409,'Aub Demand'!$A:$A,0))-IF(AN1409="",0,AN1409)),"")</f>
        <v>840</v>
      </c>
      <c r="S1409" s="53">
        <f t="shared" si="588"/>
        <v>36</v>
      </c>
      <c r="T1409" s="52" t="str">
        <f t="shared" si="589"/>
        <v/>
      </c>
      <c r="U1409" s="52">
        <f>IFERROR(IF(AR1410=AR1409,INDEX('Aub Demand'!Q:Q,MATCH($O1409,'Aub Demand'!$A:$A,0))-IF(AN1409="",0,AN1409)+AP1410,INDEX('Aub Demand'!Q:Q,MATCH($O1409,'Aub Demand'!$A:$A,0))-IF(AN1409="",0,AN1409)),"")</f>
        <v>472</v>
      </c>
      <c r="V1409" s="53">
        <f t="shared" si="590"/>
        <v>20.2</v>
      </c>
      <c r="W1409" s="52" t="str">
        <f t="shared" si="591"/>
        <v/>
      </c>
      <c r="X1409" s="52">
        <f>IFERROR(IF(AND(AR1410=AR1409,AM1409&lt;&gt;""),INDEX('Aub Demand'!Q:Q,MATCH($O1409,'Aub Demand'!$A:$A,0))-IF(AN1409="",0,AN1409)+AP1410+AD1409+AL1409,IF(AR1410=AR1409,INDEX('Aub Demand'!Q:Q,MATCH($O1409,'Aub Demand'!$A:$A,0))-IF(AN1409="",0,AN1409)+AP1410+AD1409,IF(AM1409&lt;&gt;"",INDEX('Aub Demand'!Q:Q,MATCH($O1409,'Aub Demand'!$A:$A,0))-IF(AN1409="",0,AN1409)+AD1409+AL1409,INDEX('Aub Demand'!Q:Q,MATCH($O1409,'Aub Demand'!$A:$A,0))-IF(AN1409="",0,AN1409)+AD1409))),"")</f>
        <v>472</v>
      </c>
      <c r="Y1409" s="53">
        <f t="shared" si="592"/>
        <v>20.2</v>
      </c>
      <c r="Z1409" s="52">
        <f>IF(L1409="","",INDEX('Aub Demand'!H:H,MATCH($O1409,'Aub Demand'!$A:$A,0)))</f>
        <v>100</v>
      </c>
      <c r="AA1409" s="52" t="str">
        <f t="shared" si="593"/>
        <v>-spike-</v>
      </c>
      <c r="AB1409" s="52">
        <f>IFERROR(INDEX('Aub Demand'!L:L,MATCH($O1409,'Aub Demand'!$A:$A,0)),"")</f>
        <v>67</v>
      </c>
      <c r="AC1409" s="52">
        <f>IFERROR(IF(O1409="","",SUMIFS('CPL Mats'!F:F,'CPL Mats'!Q:Q,AR1409,'CPL Mats'!S:S,AS1409)),"")</f>
        <v>0</v>
      </c>
      <c r="AF1409" s="25" t="str">
        <f>IF(SUMIFS('Supp Consol'!S:S,'Supp Consol'!Y:Y,"Releasable",'Supp Consol'!A:A,O1409)=0,"",SUMIFS('Supp Consol'!S:S,'Supp Consol'!Y:Y,"Releasable",'Supp Consol'!A:A,O1409))</f>
        <v/>
      </c>
      <c r="AG1409" s="25" t="str">
        <f>IFERROR(INDEX('Hun Demand'!Q:Q,MATCH(O1409,'Hun Demand'!A:A,0)),"")</f>
        <v/>
      </c>
      <c r="AH1409" s="25" t="str">
        <f>IFERROR(INDEX('Hun Demand'!H:H,MATCH($O1409,'Hun Demand'!$A:$A,0)),"")</f>
        <v/>
      </c>
      <c r="AI1409" s="25" t="str">
        <f>IF(SUMIFS('Supp Consol'!AA:AA,'Supp Consol'!Z:Z,"Expires this month",'Supp Consol'!A:A,O1409)=0,"",SUMIFS('Supp Consol'!AA:AA,'Supp Consol'!Z:Z,"Expires this month",'Supp Consol'!A:A,O1409))</f>
        <v/>
      </c>
      <c r="AJ1409" s="25" t="str">
        <f>IF(SUMIFS('Supp Consol'!AA:AA,'Supp Consol'!Z:Z,"Expired Previous Months",'Supp Consol'!A:A,O1409)=0,"",SUMIFS('Supp Consol'!AA:AA,'Supp Consol'!Z:Z,"Expired Previous Months",'Supp Consol'!A:A,O1409))</f>
        <v/>
      </c>
      <c r="AK1409" s="25" t="str">
        <f>IFERROR(INDEX('Hun Release Current'!B:B,MATCH(O1409,'Hun Release Current'!A:A,0)),"")</f>
        <v/>
      </c>
      <c r="AL1409" s="25" t="str">
        <f>IF(SUMIF('Prev Aub'!A:A,O1409,'Prev Aub'!B:B)=0,"",SUMIF('Prev Aub'!A:A,O1409,'Prev Aub'!B:B))</f>
        <v/>
      </c>
      <c r="AN1409" s="25" t="s">
        <v>3790</v>
      </c>
      <c r="AO1409" s="25" t="s">
        <v>3790</v>
      </c>
      <c r="AP1409" s="25">
        <f t="shared" si="594"/>
        <v>0</v>
      </c>
      <c r="AQ1409" s="151" t="str">
        <f>IF(SUMIFS('Supp Consol'!S:S,'Supp Consol'!A:A,O1409,'Supp Consol'!I:I,"PENDING")=0,"",SUMIFS('Supp Consol'!S:S,'Supp Consol'!A:A,O1409,'Supp Consol'!I:I,"PENDING"))</f>
        <v/>
      </c>
      <c r="AR1409" s="27" t="str">
        <f t="shared" si="595"/>
        <v>WM321</v>
      </c>
      <c r="AS1409" s="27" t="str">
        <f t="shared" si="596"/>
        <v>43</v>
      </c>
      <c r="AT1409" s="27" t="str">
        <f t="shared" si="597"/>
        <v/>
      </c>
      <c r="AU1409" s="27" t="str">
        <f t="shared" si="598"/>
        <v/>
      </c>
      <c r="AV1409" s="27" t="str">
        <f t="shared" si="599"/>
        <v/>
      </c>
      <c r="AW1409" s="27" t="str">
        <f t="shared" si="600"/>
        <v/>
      </c>
      <c r="AX1409" s="27" t="str">
        <f t="shared" si="601"/>
        <v/>
      </c>
      <c r="AY1409" s="27" t="str">
        <f t="shared" si="602"/>
        <v/>
      </c>
      <c r="AZ1409" s="27" t="str">
        <f t="shared" si="603"/>
        <v/>
      </c>
      <c r="BA1409" s="27" t="str">
        <f t="shared" si="604"/>
        <v/>
      </c>
      <c r="BB1409" s="27" t="str">
        <f t="shared" si="605"/>
        <v/>
      </c>
      <c r="BC1409" s="27" t="str">
        <f t="shared" si="606"/>
        <v/>
      </c>
      <c r="BD1409" s="27" t="str">
        <f t="shared" si="607"/>
        <v/>
      </c>
      <c r="BE1409" s="27" t="str">
        <f t="shared" si="608"/>
        <v/>
      </c>
      <c r="BF1409" s="27" t="str">
        <f t="shared" si="609"/>
        <v/>
      </c>
      <c r="BG1409" s="27" t="str">
        <f t="shared" si="610"/>
        <v/>
      </c>
      <c r="BH1409" s="27" t="str">
        <f t="shared" si="611"/>
        <v/>
      </c>
      <c r="BI1409" s="27" t="str">
        <f t="shared" si="612"/>
        <v/>
      </c>
      <c r="BJ1409" s="27" t="str">
        <f t="shared" si="613"/>
        <v/>
      </c>
      <c r="BK1409" s="27" t="str">
        <f t="shared" si="614"/>
        <v/>
      </c>
      <c r="BL1409" s="27" t="str">
        <f t="shared" si="615"/>
        <v/>
      </c>
      <c r="BM1409" s="21" t="s">
        <v>5581</v>
      </c>
    </row>
    <row r="1410" spans="1:65" ht="15">
      <c r="A1410" s="25" t="str">
        <f>IFERROR(INDEX('Hun Demand'!W:W,MATCH(O1410,'Hun Demand'!A:A,0)),"")</f>
        <v/>
      </c>
      <c r="B1410" s="25" t="str">
        <f>IFERROR(INDEX('Hun Demand'!V:V,MATCH(O1410,'Hun Demand'!A:A,0)),"")</f>
        <v/>
      </c>
      <c r="C1410" s="25" t="str">
        <f>IFERROR(INDEX('Hun Demand'!U:U,MATCH(O1410,'Hun Demand'!A:A,0)),"")</f>
        <v/>
      </c>
      <c r="D1410" s="25" t="str">
        <f>IFERROR(INDEX('Hun Demand'!T:T,MATCH(O1410,'Hun Demand'!A:A,0)),"")</f>
        <v/>
      </c>
      <c r="E1410" s="25" t="str">
        <f>IFERROR(INDEX('Hun Demand'!S:S,MATCH(O1410,'Hun Demand'!A:A,0)),"")</f>
        <v/>
      </c>
      <c r="F1410" s="25" t="str">
        <f>IFERROR(INDEX('Hun Demand'!R:R,MATCH(O1410,'Hun Demand'!A:A,0)),"")</f>
        <v/>
      </c>
      <c r="G1410" s="25">
        <f>IFERROR(INDEX('Aub Demand'!W:W,MATCH(O1410,'Aub Demand'!A:A,0)),"")</f>
        <v>0</v>
      </c>
      <c r="H1410" s="25">
        <f>IFERROR(INDEX('Aub Demand'!V:V,MATCH(O1410,'Aub Demand'!A:A,0)),"")</f>
        <v>0</v>
      </c>
      <c r="I1410" s="25">
        <f>IFERROR(INDEX('Aub Demand'!U:U,MATCH(O1410,'Aub Demand'!A:A,0)),"")</f>
        <v>11</v>
      </c>
      <c r="J1410" s="25">
        <f>IFERROR(INDEX('Aub Demand'!T:T,MATCH(O1410,'Aub Demand'!A:A,0)),"")</f>
        <v>0</v>
      </c>
      <c r="K1410" s="25">
        <f>IFERROR(INDEX('Aub Demand'!S:S,MATCH(O1410,'Aub Demand'!A:A,0)),"")</f>
        <v>77</v>
      </c>
      <c r="L1410" s="25">
        <f>IFERROR(INDEX('Aub Demand'!R:R,MATCH(O1410,'Aub Demand'!A:A,0)),"")</f>
        <v>0</v>
      </c>
      <c r="O1410" s="27" t="s">
        <v>1721</v>
      </c>
      <c r="P1410" s="27" t="str">
        <f>IFERROR(INDEX('Aub Demand'!B:B,MATCH($O1410,'Aub Demand'!$A:$A,0)),"")</f>
        <v>MURREY LANE</v>
      </c>
      <c r="Q1410" s="27" t="str">
        <f>IFERROR(INDEX('Aub Demand'!C:C,MATCH($O1410,'Aub Demand'!$A:$A,0)),"")</f>
        <v>SUDDE</v>
      </c>
      <c r="R1410" s="52">
        <f>IFERROR(IF(AR1411=AR1410,INDEX('Aub Demand'!K:K,MATCH($O1410,'Aub Demand'!$A:$A,0))-IF(AN1410="",0,AN1410)+AP1411,INDEX('Aub Demand'!K:K,MATCH($O1410,'Aub Demand'!$A:$A,0))-IF(AN1410="",0,AN1410)),"")</f>
        <v>110</v>
      </c>
      <c r="S1410" s="53">
        <f t="shared" si="588"/>
        <v>16.3</v>
      </c>
      <c r="T1410" s="52" t="str">
        <f t="shared" si="589"/>
        <v/>
      </c>
      <c r="U1410" s="52">
        <f>IFERROR(IF(AR1411=AR1410,INDEX('Aub Demand'!Q:Q,MATCH($O1410,'Aub Demand'!$A:$A,0))-IF(AN1410="",0,AN1410)+AP1411,INDEX('Aub Demand'!Q:Q,MATCH($O1410,'Aub Demand'!$A:$A,0))-IF(AN1410="",0,AN1410)),"")</f>
        <v>-121</v>
      </c>
      <c r="V1410" s="53">
        <f t="shared" si="590"/>
        <v>-17.899999999999999</v>
      </c>
      <c r="W1410" s="52">
        <f t="shared" si="591"/>
        <v>229.89999999999998</v>
      </c>
      <c r="X1410" s="52">
        <f>IFERROR(IF(AND(AR1411=AR1410,AM1410&lt;&gt;""),INDEX('Aub Demand'!Q:Q,MATCH($O1410,'Aub Demand'!$A:$A,0))-IF(AN1410="",0,AN1410)+AP1411+AD1410+AL1410,IF(AR1411=AR1410,INDEX('Aub Demand'!Q:Q,MATCH($O1410,'Aub Demand'!$A:$A,0))-IF(AN1410="",0,AN1410)+AP1411+AD1410,IF(AM1410&lt;&gt;"",INDEX('Aub Demand'!Q:Q,MATCH($O1410,'Aub Demand'!$A:$A,0))-IF(AN1410="",0,AN1410)+AD1410+AL1410,INDEX('Aub Demand'!Q:Q,MATCH($O1410,'Aub Demand'!$A:$A,0))-IF(AN1410="",0,AN1410)+AD1410))),"")</f>
        <v>379</v>
      </c>
      <c r="Y1410" s="53">
        <f t="shared" si="592"/>
        <v>56</v>
      </c>
      <c r="Z1410" s="52">
        <f>IF(L1410="","",INDEX('Aub Demand'!H:H,MATCH($O1410,'Aub Demand'!$A:$A,0)))</f>
        <v>29</v>
      </c>
      <c r="AA1410" s="52">
        <f t="shared" si="593"/>
        <v>44</v>
      </c>
      <c r="AB1410" s="52">
        <f>IFERROR(INDEX('Aub Demand'!L:L,MATCH($O1410,'Aub Demand'!$A:$A,0)),"")</f>
        <v>35</v>
      </c>
      <c r="AC1410" s="52">
        <f>IFERROR(IF(O1410="","",SUMIFS('CPL Mats'!F:F,'CPL Mats'!Q:Q,AR1410,'CPL Mats'!S:S,AS1410)),"")</f>
        <v>0</v>
      </c>
      <c r="AD1410" s="25">
        <v>500</v>
      </c>
      <c r="AE1410" s="52" t="s">
        <v>5583</v>
      </c>
      <c r="AF1410" s="25">
        <f>IF(SUMIFS('Supp Consol'!S:S,'Supp Consol'!Y:Y,"Releasable",'Supp Consol'!A:A,O1410)=0,"",SUMIFS('Supp Consol'!S:S,'Supp Consol'!Y:Y,"Releasable",'Supp Consol'!A:A,O1410))</f>
        <v>1163</v>
      </c>
      <c r="AG1410" s="25" t="str">
        <f>IFERROR(INDEX('Hun Demand'!Q:Q,MATCH(O1410,'Hun Demand'!A:A,0)),"")</f>
        <v/>
      </c>
      <c r="AH1410" s="25" t="str">
        <f>IFERROR(INDEX('Hun Demand'!H:H,MATCH($O1410,'Hun Demand'!$A:$A,0)),"")</f>
        <v/>
      </c>
      <c r="AI1410" s="25" t="str">
        <f>IF(SUMIFS('Supp Consol'!AA:AA,'Supp Consol'!Z:Z,"Expires this month",'Supp Consol'!A:A,O1410)=0,"",SUMIFS('Supp Consol'!AA:AA,'Supp Consol'!Z:Z,"Expires this month",'Supp Consol'!A:A,O1410))</f>
        <v/>
      </c>
      <c r="AJ1410" s="25" t="str">
        <f>IF(SUMIFS('Supp Consol'!AA:AA,'Supp Consol'!Z:Z,"Expired Previous Months",'Supp Consol'!A:A,O1410)=0,"",SUMIFS('Supp Consol'!AA:AA,'Supp Consol'!Z:Z,"Expired Previous Months",'Supp Consol'!A:A,O1410))</f>
        <v/>
      </c>
      <c r="AK1410" s="25" t="str">
        <f>IFERROR(INDEX('Hun Release Current'!B:B,MATCH(O1410,'Hun Release Current'!A:A,0)),"")</f>
        <v/>
      </c>
      <c r="AL1410" s="25" t="str">
        <f>IF(SUMIF('Prev Aub'!A:A,O1410,'Prev Aub'!B:B)=0,"",SUMIF('Prev Aub'!A:A,O1410,'Prev Aub'!B:B))</f>
        <v/>
      </c>
      <c r="AN1410" s="25" t="s">
        <v>3790</v>
      </c>
      <c r="AO1410" s="25" t="s">
        <v>3790</v>
      </c>
      <c r="AP1410" s="25">
        <f t="shared" si="594"/>
        <v>0</v>
      </c>
      <c r="AQ1410" s="151" t="str">
        <f>IF(SUMIFS('Supp Consol'!S:S,'Supp Consol'!A:A,O1410,'Supp Consol'!I:I,"PENDING")=0,"",SUMIFS('Supp Consol'!S:S,'Supp Consol'!A:A,O1410,'Supp Consol'!I:I,"PENDING"))</f>
        <v/>
      </c>
      <c r="AR1410" s="27" t="str">
        <f t="shared" si="595"/>
        <v>WM331</v>
      </c>
      <c r="AS1410" s="27" t="str">
        <f t="shared" si="596"/>
        <v>32</v>
      </c>
      <c r="AT1410" s="27" t="str">
        <f t="shared" si="597"/>
        <v/>
      </c>
      <c r="AU1410" s="27" t="str">
        <f t="shared" si="598"/>
        <v/>
      </c>
      <c r="AV1410" s="27" t="str">
        <f t="shared" si="599"/>
        <v/>
      </c>
      <c r="AW1410" s="27" t="str">
        <f t="shared" si="600"/>
        <v/>
      </c>
      <c r="AX1410" s="27" t="str">
        <f t="shared" si="601"/>
        <v>WM331</v>
      </c>
      <c r="AY1410" s="27" t="str">
        <f t="shared" si="602"/>
        <v/>
      </c>
      <c r="AZ1410" s="27" t="str">
        <f t="shared" si="603"/>
        <v>Supp</v>
      </c>
      <c r="BA1410" s="27" t="str">
        <f t="shared" si="604"/>
        <v/>
      </c>
      <c r="BB1410" s="27" t="str">
        <f t="shared" si="605"/>
        <v>Gross</v>
      </c>
      <c r="BC1410" s="27" t="str">
        <f t="shared" si="606"/>
        <v>Net</v>
      </c>
      <c r="BD1410" s="27" t="str">
        <f t="shared" si="607"/>
        <v>Net</v>
      </c>
      <c r="BE1410" s="27" t="str">
        <f t="shared" si="608"/>
        <v/>
      </c>
      <c r="BF1410" s="27" t="str">
        <f t="shared" si="609"/>
        <v>S+N</v>
      </c>
      <c r="BG1410" s="27" t="str">
        <f t="shared" si="610"/>
        <v>S+NorE</v>
      </c>
      <c r="BH1410" s="27" t="str">
        <f t="shared" si="611"/>
        <v/>
      </c>
      <c r="BI1410" s="27" t="str">
        <f t="shared" si="612"/>
        <v/>
      </c>
      <c r="BJ1410" s="27" t="str">
        <f t="shared" si="613"/>
        <v>Supp or Hun</v>
      </c>
      <c r="BK1410" s="27" t="str">
        <f t="shared" si="614"/>
        <v>Supp or Hun Need</v>
      </c>
      <c r="BL1410" s="27" t="str">
        <f t="shared" si="615"/>
        <v>SorHandNandE</v>
      </c>
      <c r="BM1410" s="21" t="s">
        <v>3790</v>
      </c>
    </row>
    <row r="1411" spans="1:65" ht="15">
      <c r="A1411" s="25" t="str">
        <f>IFERROR(INDEX('Hun Demand'!W:W,MATCH(O1411,'Hun Demand'!A:A,0)),"")</f>
        <v/>
      </c>
      <c r="B1411" s="25" t="str">
        <f>IFERROR(INDEX('Hun Demand'!V:V,MATCH(O1411,'Hun Demand'!A:A,0)),"")</f>
        <v/>
      </c>
      <c r="C1411" s="25" t="str">
        <f>IFERROR(INDEX('Hun Demand'!U:U,MATCH(O1411,'Hun Demand'!A:A,0)),"")</f>
        <v/>
      </c>
      <c r="D1411" s="25" t="str">
        <f>IFERROR(INDEX('Hun Demand'!T:T,MATCH(O1411,'Hun Demand'!A:A,0)),"")</f>
        <v/>
      </c>
      <c r="E1411" s="25" t="str">
        <f>IFERROR(INDEX('Hun Demand'!S:S,MATCH(O1411,'Hun Demand'!A:A,0)),"")</f>
        <v/>
      </c>
      <c r="F1411" s="25" t="str">
        <f>IFERROR(INDEX('Hun Demand'!R:R,MATCH(O1411,'Hun Demand'!A:A,0)),"")</f>
        <v/>
      </c>
      <c r="G1411" s="25">
        <f>IFERROR(INDEX('Aub Demand'!W:W,MATCH(O1411,'Aub Demand'!A:A,0)),"")</f>
        <v>238</v>
      </c>
      <c r="H1411" s="25">
        <f>IFERROR(INDEX('Aub Demand'!V:V,MATCH(O1411,'Aub Demand'!A:A,0)),"")</f>
        <v>0</v>
      </c>
      <c r="I1411" s="25">
        <f>IFERROR(INDEX('Aub Demand'!U:U,MATCH(O1411,'Aub Demand'!A:A,0)),"")</f>
        <v>0</v>
      </c>
      <c r="J1411" s="25">
        <f>IFERROR(INDEX('Aub Demand'!T:T,MATCH(O1411,'Aub Demand'!A:A,0)),"")</f>
        <v>0</v>
      </c>
      <c r="K1411" s="25">
        <f>IFERROR(INDEX('Aub Demand'!S:S,MATCH(O1411,'Aub Demand'!A:A,0)),"")</f>
        <v>244</v>
      </c>
      <c r="L1411" s="25">
        <f>IFERROR(INDEX('Aub Demand'!R:R,MATCH(O1411,'Aub Demand'!A:A,0)),"")</f>
        <v>0</v>
      </c>
      <c r="O1411" s="27" t="s">
        <v>1723</v>
      </c>
      <c r="P1411" s="27" t="str">
        <f>IFERROR(INDEX('Aub Demand'!B:B,MATCH($O1411,'Aub Demand'!$A:$A,0)),"")</f>
        <v>MURREY LANE (CENTER)</v>
      </c>
      <c r="Q1411" s="27" t="str">
        <f>IFERROR(INDEX('Aub Demand'!C:C,MATCH($O1411,'Aub Demand'!$A:$A,0)),"")</f>
        <v>SUDDE</v>
      </c>
      <c r="R1411" s="52">
        <f>IFERROR(IF(AR1412=AR1411,INDEX('Aub Demand'!K:K,MATCH($O1411,'Aub Demand'!$A:$A,0))-IF(AN1411="",0,AN1411)+AP1412,INDEX('Aub Demand'!K:K,MATCH($O1411,'Aub Demand'!$A:$A,0))-IF(AN1411="",0,AN1411)),"")</f>
        <v>0</v>
      </c>
      <c r="S1411" s="53">
        <f t="shared" ref="S1411:S1474" si="616">IFERROR(IF(O1411="","",ROUND(R1411/((Z1411/30)*7),1)),"n/a")</f>
        <v>0</v>
      </c>
      <c r="T1411" s="52" t="str">
        <f t="shared" ref="T1411:T1474" si="617">IFERROR(IF(S1411&lt;3.1,IF(AA1411="spike",(3-S1411)*(Z1411/4),(3-S1411)*(AA1411/4)),""),"")</f>
        <v/>
      </c>
      <c r="U1411" s="52">
        <f>IFERROR(IF(AR1412=AR1411,INDEX('Aub Demand'!Q:Q,MATCH($O1411,'Aub Demand'!$A:$A,0))-IF(AN1411="",0,AN1411)+AP1412,INDEX('Aub Demand'!Q:Q,MATCH($O1411,'Aub Demand'!$A:$A,0))-IF(AN1411="",0,AN1411)),"")</f>
        <v>-310</v>
      </c>
      <c r="V1411" s="53">
        <f t="shared" ref="V1411:V1474" si="618">IFERROR(IF(O1411="","",ROUND(U1411/((Z1411/30)*7),1)),"n/a")</f>
        <v>-16.399999999999999</v>
      </c>
      <c r="W1411" s="52" t="str">
        <f t="shared" ref="W1411:W1474" si="619">IF(IFERROR(IF(V1411&lt;3.1,IF(AA1411="spike",(3-V1411)*(Z1411/4),(3-V1411)*(AA1411/4)),""),"")&lt;0,0,IFERROR(IF(V1411&lt;3.1,IF(AA1411="spike",(3-V1411)*(Z1411/4),(3-V1411)*(AA1411/4)),""),""))</f>
        <v/>
      </c>
      <c r="X1411" s="52">
        <f>IFERROR(IF(AND(AR1412=AR1411,AM1411&lt;&gt;""),INDEX('Aub Demand'!Q:Q,MATCH($O1411,'Aub Demand'!$A:$A,0))-IF(AN1411="",0,AN1411)+AP1412+AD1411+AL1411,IF(AR1412=AR1411,INDEX('Aub Demand'!Q:Q,MATCH($O1411,'Aub Demand'!$A:$A,0))-IF(AN1411="",0,AN1411)+AP1412+AD1411,IF(AM1411&lt;&gt;"",INDEX('Aub Demand'!Q:Q,MATCH($O1411,'Aub Demand'!$A:$A,0))-IF(AN1411="",0,AN1411)+AD1411+AL1411,INDEX('Aub Demand'!Q:Q,MATCH($O1411,'Aub Demand'!$A:$A,0))-IF(AN1411="",0,AN1411)+AD1411))),"")</f>
        <v>-310</v>
      </c>
      <c r="Y1411" s="53">
        <f t="shared" ref="Y1411:Y1474" si="620">IFERROR(IF(O1411="","",ROUND(X1411/((Z1411/30)*7),1)),"n/a")</f>
        <v>-16.399999999999999</v>
      </c>
      <c r="Z1411" s="52">
        <f>IF(L1411="","",INDEX('Aub Demand'!H:H,MATCH($O1411,'Aub Demand'!$A:$A,0)))</f>
        <v>81</v>
      </c>
      <c r="AA1411" s="52" t="str">
        <f t="shared" ref="AA1411:AA1474" si="621">IF(L1411="","",IF(LARGE(I1411:L1411,2)=0,"-spike-",AVERAGE(LARGE(I1411:L1411,1),LARGE(I1411:L1411,2))))</f>
        <v>-spike-</v>
      </c>
      <c r="AB1411" s="52">
        <f>IFERROR(INDEX('Aub Demand'!L:L,MATCH($O1411,'Aub Demand'!$A:$A,0)),"")</f>
        <v>65</v>
      </c>
      <c r="AC1411" s="52">
        <f>IFERROR(IF(O1411="","",SUMIFS('CPL Mats'!F:F,'CPL Mats'!Q:Q,AR1411,'CPL Mats'!S:S,AS1411)),"")</f>
        <v>0</v>
      </c>
      <c r="AF1411" s="25" t="str">
        <f>IF(SUMIFS('Supp Consol'!S:S,'Supp Consol'!Y:Y,"Releasable",'Supp Consol'!A:A,O1411)=0,"",SUMIFS('Supp Consol'!S:S,'Supp Consol'!Y:Y,"Releasable",'Supp Consol'!A:A,O1411))</f>
        <v/>
      </c>
      <c r="AG1411" s="25" t="str">
        <f>IFERROR(INDEX('Hun Demand'!Q:Q,MATCH(O1411,'Hun Demand'!A:A,0)),"")</f>
        <v/>
      </c>
      <c r="AH1411" s="25" t="str">
        <f>IFERROR(INDEX('Hun Demand'!H:H,MATCH($O1411,'Hun Demand'!$A:$A,0)),"")</f>
        <v/>
      </c>
      <c r="AI1411" s="25" t="str">
        <f>IF(SUMIFS('Supp Consol'!AA:AA,'Supp Consol'!Z:Z,"Expires this month",'Supp Consol'!A:A,O1411)=0,"",SUMIFS('Supp Consol'!AA:AA,'Supp Consol'!Z:Z,"Expires this month",'Supp Consol'!A:A,O1411))</f>
        <v/>
      </c>
      <c r="AJ1411" s="25" t="str">
        <f>IF(SUMIFS('Supp Consol'!AA:AA,'Supp Consol'!Z:Z,"Expired Previous Months",'Supp Consol'!A:A,O1411)=0,"",SUMIFS('Supp Consol'!AA:AA,'Supp Consol'!Z:Z,"Expired Previous Months",'Supp Consol'!A:A,O1411))</f>
        <v/>
      </c>
      <c r="AK1411" s="25" t="str">
        <f>IFERROR(INDEX('Hun Release Current'!B:B,MATCH(O1411,'Hun Release Current'!A:A,0)),"")</f>
        <v/>
      </c>
      <c r="AL1411" s="25" t="str">
        <f>IF(SUMIF('Prev Aub'!A:A,O1411,'Prev Aub'!B:B)=0,"",SUMIF('Prev Aub'!A:A,O1411,'Prev Aub'!B:B))</f>
        <v/>
      </c>
      <c r="AN1411" s="25" t="s">
        <v>3790</v>
      </c>
      <c r="AO1411" s="25" t="s">
        <v>3790</v>
      </c>
      <c r="AP1411" s="25">
        <f t="shared" ref="AP1411:AP1474" si="622">IFERROR(IF(O1411="","",IF(AN1411="",0,VALUE(AN1411)-(VALUE(AN1411)*0.2))),"")</f>
        <v>0</v>
      </c>
      <c r="AQ1411" s="151" t="str">
        <f>IF(SUMIFS('Supp Consol'!S:S,'Supp Consol'!A:A,O1411,'Supp Consol'!I:I,"PENDING")=0,"",SUMIFS('Supp Consol'!S:S,'Supp Consol'!A:A,O1411,'Supp Consol'!I:I,"PENDING"))</f>
        <v/>
      </c>
      <c r="AR1411" s="27" t="str">
        <f t="shared" ref="AR1411:AR1474" si="623">MID(O1411,4,5)</f>
        <v>WM331</v>
      </c>
      <c r="AS1411" s="27" t="str">
        <f t="shared" ref="AS1411:AS1474" si="624">MID(O1411,10,2)</f>
        <v>43</v>
      </c>
      <c r="AT1411" s="27" t="str">
        <f t="shared" ref="AT1411:AT1474" si="625">IF(S1411&lt;3.1,AR1411,"")</f>
        <v>WM331</v>
      </c>
      <c r="AU1411" s="27" t="str">
        <f t="shared" ref="AU1411:AU1474" si="626">IF(Y1411&lt;3.1,AR1411,"")</f>
        <v>WM331</v>
      </c>
      <c r="AV1411" s="27" t="str">
        <f t="shared" ref="AV1411:AV1474" si="627">IF(AND(AA1411="Spike",L1411=0,K1411=0,X1411&gt;=0),"",IF(Y1411&lt;3.1,AR1411,""))</f>
        <v>WM331</v>
      </c>
      <c r="AW1411" s="27" t="str">
        <f t="shared" ref="AW1411:AW1474" si="628">IF(AI1411=AL1411,"",IF(OR(AI1411&lt;&gt;"",AJ1411&lt;&gt;""),AR1411,""))</f>
        <v/>
      </c>
      <c r="AX1411" s="27" t="str">
        <f t="shared" ref="AX1411:AX1474" si="629">IF(AF1411&lt;&gt;"",AR1411,"")</f>
        <v/>
      </c>
      <c r="AY1411" s="27" t="str">
        <f t="shared" ref="AY1411:AY1474" si="630">IF(AND(AG1411&lt;&gt;"",AG1411&gt;AH1411),AR1411,"")</f>
        <v/>
      </c>
      <c r="AZ1411" s="27" t="str">
        <f t="shared" ref="AZ1411:AZ1474" si="631">IFERROR(IF(O1411="","",IF(ISERROR(MATCH(AR1411,AX:AX,0)),"","Supp")),"")</f>
        <v>Supp</v>
      </c>
      <c r="BA1411" s="27" t="str">
        <f t="shared" ref="BA1411:BA1474" si="632">IFERROR(IF(O1411="","",IF(ISERROR(MATCH(AR1411,AY:AY,0)),"","Hun")),"")</f>
        <v/>
      </c>
      <c r="BB1411" s="27" t="str">
        <f t="shared" ref="BB1411:BB1474" si="633">IFERROR(IF(O1411="","",IF(ISERROR(MATCH(AR1411,AT:AT,0)),"","Gross")),"")</f>
        <v>Gross</v>
      </c>
      <c r="BC1411" s="27" t="str">
        <f t="shared" ref="BC1411:BC1474" si="634">IFERROR(IF(O1411="","",IF(ISERROR(MATCH(AR1411,AU:AU,0)),"","Net")),"")</f>
        <v>Net</v>
      </c>
      <c r="BD1411" s="27" t="str">
        <f t="shared" ref="BD1411:BD1474" si="635">IFERROR(IF(O1411="","",IF(ISERROR(MATCH(AR1411,AV:AV,0)),"","Net")),"")</f>
        <v>Net</v>
      </c>
      <c r="BE1411" s="27" t="str">
        <f t="shared" ref="BE1411:BE1474" si="636">IFERROR(IF(O1411="","",IF(ISERROR(MATCH(AR1411,AW:AW,0)),"","Exp")),"")</f>
        <v/>
      </c>
      <c r="BF1411" s="27" t="str">
        <f t="shared" ref="BF1411:BF1474" si="637">IFERROR(IF(O1411="","",IF(AND(AZ1411="Supp",BC1411="Net"),"S+N","")),"")</f>
        <v>S+N</v>
      </c>
      <c r="BG1411" s="27" t="str">
        <f t="shared" ref="BG1411:BG1474" si="638">IFERROR(IF(O1411="","",IF(OR(BE1411&lt;&gt;"",BF1411&lt;&gt;""),"S+NorE","")),"")</f>
        <v>S+NorE</v>
      </c>
      <c r="BH1411" s="27" t="str">
        <f t="shared" ref="BH1411:BH1474" si="639">IFERROR(IF(O1411="","",IF(AND(BA1411&lt;&gt;"",BC1411&lt;&gt;""),"H+N","")),"")</f>
        <v/>
      </c>
      <c r="BI1411" s="27" t="str">
        <f t="shared" ref="BI1411:BI1474" si="640">IFERROR(IF(O1411="","",IF(AND(BA1411&lt;&gt;"",BD1411&lt;&gt;""),"H+Nex","")),"")</f>
        <v/>
      </c>
      <c r="BJ1411" s="27" t="str">
        <f t="shared" ref="BJ1411:BJ1474" si="641">IF(OR(AZ1411&lt;&gt;"",BA1411&lt;&gt;""),"Supp or Hun","")</f>
        <v>Supp or Hun</v>
      </c>
      <c r="BK1411" s="27" t="str">
        <f t="shared" ref="BK1411:BK1474" si="642">IF(AND(BJ1411&lt;&gt;"",BC1411&lt;&gt;""),"Supp or Hun Need","")</f>
        <v>Supp or Hun Need</v>
      </c>
      <c r="BL1411" s="27" t="str">
        <f t="shared" ref="BL1411:BL1474" si="643">IF(OR(BK1411&lt;&gt;"",BE1411&lt;&gt;""),"SorHandNandE","")</f>
        <v>SorHandNandE</v>
      </c>
      <c r="BM1411" s="21" t="s">
        <v>5581</v>
      </c>
    </row>
    <row r="1412" spans="1:65" ht="15">
      <c r="A1412" s="25" t="str">
        <f>IFERROR(INDEX('Hun Demand'!W:W,MATCH(O1412,'Hun Demand'!A:A,0)),"")</f>
        <v/>
      </c>
      <c r="B1412" s="25" t="str">
        <f>IFERROR(INDEX('Hun Demand'!V:V,MATCH(O1412,'Hun Demand'!A:A,0)),"")</f>
        <v/>
      </c>
      <c r="C1412" s="25" t="str">
        <f>IFERROR(INDEX('Hun Demand'!U:U,MATCH(O1412,'Hun Demand'!A:A,0)),"")</f>
        <v/>
      </c>
      <c r="D1412" s="25" t="str">
        <f>IFERROR(INDEX('Hun Demand'!T:T,MATCH(O1412,'Hun Demand'!A:A,0)),"")</f>
        <v/>
      </c>
      <c r="E1412" s="25" t="str">
        <f>IFERROR(INDEX('Hun Demand'!S:S,MATCH(O1412,'Hun Demand'!A:A,0)),"")</f>
        <v/>
      </c>
      <c r="F1412" s="25" t="str">
        <f>IFERROR(INDEX('Hun Demand'!R:R,MATCH(O1412,'Hun Demand'!A:A,0)),"")</f>
        <v/>
      </c>
      <c r="G1412" s="25">
        <f>IFERROR(INDEX('Aub Demand'!W:W,MATCH(O1412,'Aub Demand'!A:A,0)),"")</f>
        <v>439</v>
      </c>
      <c r="H1412" s="25">
        <f>IFERROR(INDEX('Aub Demand'!V:V,MATCH(O1412,'Aub Demand'!A:A,0)),"")</f>
        <v>0</v>
      </c>
      <c r="I1412" s="25">
        <f>IFERROR(INDEX('Aub Demand'!U:U,MATCH(O1412,'Aub Demand'!A:A,0)),"")</f>
        <v>234</v>
      </c>
      <c r="J1412" s="25">
        <f>IFERROR(INDEX('Aub Demand'!T:T,MATCH(O1412,'Aub Demand'!A:A,0)),"")</f>
        <v>124</v>
      </c>
      <c r="K1412" s="25">
        <f>IFERROR(INDEX('Aub Demand'!S:S,MATCH(O1412,'Aub Demand'!A:A,0)),"")</f>
        <v>137</v>
      </c>
      <c r="L1412" s="25">
        <f>IFERROR(INDEX('Aub Demand'!R:R,MATCH(O1412,'Aub Demand'!A:A,0)),"")</f>
        <v>0</v>
      </c>
      <c r="O1412" s="27" t="s">
        <v>1725</v>
      </c>
      <c r="P1412" s="27" t="str">
        <f>IFERROR(INDEX('Aub Demand'!B:B,MATCH($O1412,'Aub Demand'!$A:$A,0)),"")</f>
        <v>MURREY LANE LH</v>
      </c>
      <c r="Q1412" s="27" t="str">
        <f>IFERROR(INDEX('Aub Demand'!C:C,MATCH($O1412,'Aub Demand'!$A:$A,0)),"")</f>
        <v>SUDDE</v>
      </c>
      <c r="R1412" s="52">
        <f>IFERROR(IF(AR1413=AR1412,INDEX('Aub Demand'!K:K,MATCH($O1412,'Aub Demand'!$A:$A,0))-IF(AN1412="",0,AN1412)+AP1413,INDEX('Aub Demand'!K:K,MATCH($O1412,'Aub Demand'!$A:$A,0))-IF(AN1412="",0,AN1412)),"")</f>
        <v>130</v>
      </c>
      <c r="S1412" s="53">
        <f t="shared" si="616"/>
        <v>3.4</v>
      </c>
      <c r="T1412" s="52" t="str">
        <f t="shared" si="617"/>
        <v/>
      </c>
      <c r="U1412" s="52">
        <f>IFERROR(IF(AR1413=AR1412,INDEX('Aub Demand'!Q:Q,MATCH($O1412,'Aub Demand'!$A:$A,0))-IF(AN1412="",0,AN1412)+AP1413,INDEX('Aub Demand'!Q:Q,MATCH($O1412,'Aub Demand'!$A:$A,0))-IF(AN1412="",0,AN1412)),"")</f>
        <v>54</v>
      </c>
      <c r="V1412" s="53">
        <f t="shared" si="618"/>
        <v>1.4</v>
      </c>
      <c r="W1412" s="52">
        <f t="shared" si="619"/>
        <v>74.2</v>
      </c>
      <c r="X1412" s="52">
        <f>IFERROR(IF(AND(AR1413=AR1412,AM1412&lt;&gt;""),INDEX('Aub Demand'!Q:Q,MATCH($O1412,'Aub Demand'!$A:$A,0))-IF(AN1412="",0,AN1412)+AP1413+AD1412+AL1412,IF(AR1413=AR1412,INDEX('Aub Demand'!Q:Q,MATCH($O1412,'Aub Demand'!$A:$A,0))-IF(AN1412="",0,AN1412)+AP1413+AD1412,IF(AM1412&lt;&gt;"",INDEX('Aub Demand'!Q:Q,MATCH($O1412,'Aub Demand'!$A:$A,0))-IF(AN1412="",0,AN1412)+AD1412+AL1412,INDEX('Aub Demand'!Q:Q,MATCH($O1412,'Aub Demand'!$A:$A,0))-IF(AN1412="",0,AN1412)+AD1412))),"")</f>
        <v>54</v>
      </c>
      <c r="Y1412" s="53">
        <f t="shared" si="620"/>
        <v>1.4</v>
      </c>
      <c r="Z1412" s="52">
        <f>IF(L1412="","",INDEX('Aub Demand'!H:H,MATCH($O1412,'Aub Demand'!$A:$A,0)))</f>
        <v>165</v>
      </c>
      <c r="AA1412" s="52">
        <f t="shared" si="621"/>
        <v>185.5</v>
      </c>
      <c r="AB1412" s="52">
        <f>IFERROR(INDEX('Aub Demand'!L:L,MATCH($O1412,'Aub Demand'!$A:$A,0)),"")</f>
        <v>380</v>
      </c>
      <c r="AC1412" s="52">
        <f>IFERROR(IF(O1412="","",SUMIFS('CPL Mats'!F:F,'CPL Mats'!Q:Q,AR1412,'CPL Mats'!S:S,AS1412)),"")</f>
        <v>0</v>
      </c>
      <c r="AF1412" s="25" t="str">
        <f>IF(SUMIFS('Supp Consol'!S:S,'Supp Consol'!Y:Y,"Releasable",'Supp Consol'!A:A,O1412)=0,"",SUMIFS('Supp Consol'!S:S,'Supp Consol'!Y:Y,"Releasable",'Supp Consol'!A:A,O1412))</f>
        <v/>
      </c>
      <c r="AG1412" s="25" t="str">
        <f>IFERROR(INDEX('Hun Demand'!Q:Q,MATCH(O1412,'Hun Demand'!A:A,0)),"")</f>
        <v/>
      </c>
      <c r="AH1412" s="25" t="str">
        <f>IFERROR(INDEX('Hun Demand'!H:H,MATCH($O1412,'Hun Demand'!$A:$A,0)),"")</f>
        <v/>
      </c>
      <c r="AI1412" s="25" t="str">
        <f>IF(SUMIFS('Supp Consol'!AA:AA,'Supp Consol'!Z:Z,"Expires this month",'Supp Consol'!A:A,O1412)=0,"",SUMIFS('Supp Consol'!AA:AA,'Supp Consol'!Z:Z,"Expires this month",'Supp Consol'!A:A,O1412))</f>
        <v/>
      </c>
      <c r="AJ1412" s="25" t="str">
        <f>IF(SUMIFS('Supp Consol'!AA:AA,'Supp Consol'!Z:Z,"Expired Previous Months",'Supp Consol'!A:A,O1412)=0,"",SUMIFS('Supp Consol'!AA:AA,'Supp Consol'!Z:Z,"Expired Previous Months",'Supp Consol'!A:A,O1412))</f>
        <v/>
      </c>
      <c r="AK1412" s="25" t="str">
        <f>IFERROR(INDEX('Hun Release Current'!B:B,MATCH(O1412,'Hun Release Current'!A:A,0)),"")</f>
        <v/>
      </c>
      <c r="AL1412" s="25">
        <f>IF(SUMIF('Prev Aub'!A:A,O1412,'Prev Aub'!B:B)=0,"",SUMIF('Prev Aub'!A:A,O1412,'Prev Aub'!B:B))</f>
        <v>500</v>
      </c>
      <c r="AN1412" s="25" t="s">
        <v>3790</v>
      </c>
      <c r="AO1412" s="25" t="s">
        <v>3790</v>
      </c>
      <c r="AP1412" s="25">
        <f t="shared" si="622"/>
        <v>0</v>
      </c>
      <c r="AQ1412" s="151" t="str">
        <f>IF(SUMIFS('Supp Consol'!S:S,'Supp Consol'!A:A,O1412,'Supp Consol'!I:I,"PENDING")=0,"",SUMIFS('Supp Consol'!S:S,'Supp Consol'!A:A,O1412,'Supp Consol'!I:I,"PENDING"))</f>
        <v/>
      </c>
      <c r="AR1412" s="27" t="str">
        <f t="shared" si="623"/>
        <v>WM332</v>
      </c>
      <c r="AS1412" s="27" t="str">
        <f t="shared" si="624"/>
        <v>62</v>
      </c>
      <c r="AT1412" s="27" t="str">
        <f t="shared" si="625"/>
        <v/>
      </c>
      <c r="AU1412" s="27" t="str">
        <f t="shared" si="626"/>
        <v>WM332</v>
      </c>
      <c r="AV1412" s="27" t="str">
        <f t="shared" si="627"/>
        <v>WM332</v>
      </c>
      <c r="AW1412" s="27" t="str">
        <f t="shared" si="628"/>
        <v/>
      </c>
      <c r="AX1412" s="27" t="str">
        <f t="shared" si="629"/>
        <v/>
      </c>
      <c r="AY1412" s="27" t="str">
        <f t="shared" si="630"/>
        <v/>
      </c>
      <c r="AZ1412" s="27" t="str">
        <f t="shared" si="631"/>
        <v/>
      </c>
      <c r="BA1412" s="27" t="str">
        <f t="shared" si="632"/>
        <v/>
      </c>
      <c r="BB1412" s="27" t="str">
        <f t="shared" si="633"/>
        <v/>
      </c>
      <c r="BC1412" s="27" t="str">
        <f t="shared" si="634"/>
        <v>Net</v>
      </c>
      <c r="BD1412" s="27" t="str">
        <f t="shared" si="635"/>
        <v>Net</v>
      </c>
      <c r="BE1412" s="27" t="str">
        <f t="shared" si="636"/>
        <v/>
      </c>
      <c r="BF1412" s="27" t="str">
        <f t="shared" si="637"/>
        <v/>
      </c>
      <c r="BG1412" s="27" t="str">
        <f t="shared" si="638"/>
        <v/>
      </c>
      <c r="BH1412" s="27" t="str">
        <f t="shared" si="639"/>
        <v/>
      </c>
      <c r="BI1412" s="27" t="str">
        <f t="shared" si="640"/>
        <v/>
      </c>
      <c r="BJ1412" s="27" t="str">
        <f t="shared" si="641"/>
        <v/>
      </c>
      <c r="BK1412" s="27" t="str">
        <f t="shared" si="642"/>
        <v/>
      </c>
      <c r="BL1412" s="27" t="str">
        <f t="shared" si="643"/>
        <v/>
      </c>
      <c r="BM1412" s="21" t="s">
        <v>5581</v>
      </c>
    </row>
    <row r="1413" spans="1:65" ht="15">
      <c r="A1413" s="25" t="str">
        <f>IFERROR(INDEX('Hun Demand'!W:W,MATCH(O1413,'Hun Demand'!A:A,0)),"")</f>
        <v/>
      </c>
      <c r="B1413" s="25" t="str">
        <f>IFERROR(INDEX('Hun Demand'!V:V,MATCH(O1413,'Hun Demand'!A:A,0)),"")</f>
        <v/>
      </c>
      <c r="C1413" s="25" t="str">
        <f>IFERROR(INDEX('Hun Demand'!U:U,MATCH(O1413,'Hun Demand'!A:A,0)),"")</f>
        <v/>
      </c>
      <c r="D1413" s="25" t="str">
        <f>IFERROR(INDEX('Hun Demand'!T:T,MATCH(O1413,'Hun Demand'!A:A,0)),"")</f>
        <v/>
      </c>
      <c r="E1413" s="25" t="str">
        <f>IFERROR(INDEX('Hun Demand'!S:S,MATCH(O1413,'Hun Demand'!A:A,0)),"")</f>
        <v/>
      </c>
      <c r="F1413" s="25" t="str">
        <f>IFERROR(INDEX('Hun Demand'!R:R,MATCH(O1413,'Hun Demand'!A:A,0)),"")</f>
        <v/>
      </c>
      <c r="G1413" s="25">
        <f>IFERROR(INDEX('Aub Demand'!W:W,MATCH(O1413,'Aub Demand'!A:A,0)),"")</f>
        <v>23</v>
      </c>
      <c r="H1413" s="25">
        <f>IFERROR(INDEX('Aub Demand'!V:V,MATCH(O1413,'Aub Demand'!A:A,0)),"")</f>
        <v>0</v>
      </c>
      <c r="I1413" s="25">
        <f>IFERROR(INDEX('Aub Demand'!U:U,MATCH(O1413,'Aub Demand'!A:A,0)),"")</f>
        <v>318</v>
      </c>
      <c r="J1413" s="25">
        <f>IFERROR(INDEX('Aub Demand'!T:T,MATCH(O1413,'Aub Demand'!A:A,0)),"")</f>
        <v>0</v>
      </c>
      <c r="K1413" s="25">
        <f>IFERROR(INDEX('Aub Demand'!S:S,MATCH(O1413,'Aub Demand'!A:A,0)),"")</f>
        <v>129</v>
      </c>
      <c r="L1413" s="25">
        <f>IFERROR(INDEX('Aub Demand'!R:R,MATCH(O1413,'Aub Demand'!A:A,0)),"")</f>
        <v>0</v>
      </c>
      <c r="O1413" s="27" t="s">
        <v>1728</v>
      </c>
      <c r="P1413" s="27" t="str">
        <f>IFERROR(INDEX('Aub Demand'!B:B,MATCH($O1413,'Aub Demand'!$A:$A,0)),"")</f>
        <v>MURREY LANE RH</v>
      </c>
      <c r="Q1413" s="27" t="str">
        <f>IFERROR(INDEX('Aub Demand'!C:C,MATCH($O1413,'Aub Demand'!$A:$A,0)),"")</f>
        <v>SUDDE</v>
      </c>
      <c r="R1413" s="52">
        <f>IFERROR(IF(AR1414=AR1413,INDEX('Aub Demand'!K:K,MATCH($O1413,'Aub Demand'!$A:$A,0))-IF(AN1413="",0,AN1413)+AP1414,INDEX('Aub Demand'!K:K,MATCH($O1413,'Aub Demand'!$A:$A,0))-IF(AN1413="",0,AN1413)),"")</f>
        <v>543</v>
      </c>
      <c r="S1413" s="53">
        <f t="shared" si="616"/>
        <v>15.6</v>
      </c>
      <c r="T1413" s="52" t="str">
        <f t="shared" si="617"/>
        <v/>
      </c>
      <c r="U1413" s="52">
        <f>IFERROR(IF(AR1414=AR1413,INDEX('Aub Demand'!Q:Q,MATCH($O1413,'Aub Demand'!$A:$A,0))-IF(AN1413="",0,AN1413)+AP1414,INDEX('Aub Demand'!Q:Q,MATCH($O1413,'Aub Demand'!$A:$A,0))-IF(AN1413="",0,AN1413)),"")</f>
        <v>374</v>
      </c>
      <c r="V1413" s="53">
        <f t="shared" si="618"/>
        <v>10.8</v>
      </c>
      <c r="W1413" s="52" t="str">
        <f t="shared" si="619"/>
        <v/>
      </c>
      <c r="X1413" s="52">
        <f>IFERROR(IF(AND(AR1414=AR1413,AM1413&lt;&gt;""),INDEX('Aub Demand'!Q:Q,MATCH($O1413,'Aub Demand'!$A:$A,0))-IF(AN1413="",0,AN1413)+AP1414+AD1413+AL1413,IF(AR1414=AR1413,INDEX('Aub Demand'!Q:Q,MATCH($O1413,'Aub Demand'!$A:$A,0))-IF(AN1413="",0,AN1413)+AP1414+AD1413,IF(AM1413&lt;&gt;"",INDEX('Aub Demand'!Q:Q,MATCH($O1413,'Aub Demand'!$A:$A,0))-IF(AN1413="",0,AN1413)+AD1413+AL1413,INDEX('Aub Demand'!Q:Q,MATCH($O1413,'Aub Demand'!$A:$A,0))-IF(AN1413="",0,AN1413)+AD1413))),"")</f>
        <v>374</v>
      </c>
      <c r="Y1413" s="53">
        <f t="shared" si="620"/>
        <v>10.8</v>
      </c>
      <c r="Z1413" s="52">
        <f>IF(L1413="","",INDEX('Aub Demand'!H:H,MATCH($O1413,'Aub Demand'!$A:$A,0)))</f>
        <v>149</v>
      </c>
      <c r="AA1413" s="52">
        <f t="shared" si="621"/>
        <v>223.5</v>
      </c>
      <c r="AB1413" s="52">
        <f>IFERROR(INDEX('Aub Demand'!L:L,MATCH($O1413,'Aub Demand'!$A:$A,0)),"")</f>
        <v>302</v>
      </c>
      <c r="AC1413" s="52">
        <f>IFERROR(IF(O1413="","",SUMIFS('CPL Mats'!F:F,'CPL Mats'!Q:Q,AR1413,'CPL Mats'!S:S,AS1413)),"")</f>
        <v>0</v>
      </c>
      <c r="AF1413" s="25" t="str">
        <f>IF(SUMIFS('Supp Consol'!S:S,'Supp Consol'!Y:Y,"Releasable",'Supp Consol'!A:A,O1413)=0,"",SUMIFS('Supp Consol'!S:S,'Supp Consol'!Y:Y,"Releasable",'Supp Consol'!A:A,O1413))</f>
        <v/>
      </c>
      <c r="AG1413" s="25" t="str">
        <f>IFERROR(INDEX('Hun Demand'!Q:Q,MATCH(O1413,'Hun Demand'!A:A,0)),"")</f>
        <v/>
      </c>
      <c r="AH1413" s="25" t="str">
        <f>IFERROR(INDEX('Hun Demand'!H:H,MATCH($O1413,'Hun Demand'!$A:$A,0)),"")</f>
        <v/>
      </c>
      <c r="AI1413" s="25" t="str">
        <f>IF(SUMIFS('Supp Consol'!AA:AA,'Supp Consol'!Z:Z,"Expires this month",'Supp Consol'!A:A,O1413)=0,"",SUMIFS('Supp Consol'!AA:AA,'Supp Consol'!Z:Z,"Expires this month",'Supp Consol'!A:A,O1413))</f>
        <v/>
      </c>
      <c r="AJ1413" s="25" t="str">
        <f>IF(SUMIFS('Supp Consol'!AA:AA,'Supp Consol'!Z:Z,"Expired Previous Months",'Supp Consol'!A:A,O1413)=0,"",SUMIFS('Supp Consol'!AA:AA,'Supp Consol'!Z:Z,"Expired Previous Months",'Supp Consol'!A:A,O1413))</f>
        <v/>
      </c>
      <c r="AK1413" s="25" t="str">
        <f>IFERROR(INDEX('Hun Release Current'!B:B,MATCH(O1413,'Hun Release Current'!A:A,0)),"")</f>
        <v/>
      </c>
      <c r="AL1413" s="25" t="str">
        <f>IF(SUMIF('Prev Aub'!A:A,O1413,'Prev Aub'!B:B)=0,"",SUMIF('Prev Aub'!A:A,O1413,'Prev Aub'!B:B))</f>
        <v/>
      </c>
      <c r="AN1413" s="25" t="s">
        <v>3790</v>
      </c>
      <c r="AO1413" s="25" t="s">
        <v>3790</v>
      </c>
      <c r="AP1413" s="25">
        <f t="shared" si="622"/>
        <v>0</v>
      </c>
      <c r="AQ1413" s="151" t="str">
        <f>IF(SUMIFS('Supp Consol'!S:S,'Supp Consol'!A:A,O1413,'Supp Consol'!I:I,"PENDING")=0,"",SUMIFS('Supp Consol'!S:S,'Supp Consol'!A:A,O1413,'Supp Consol'!I:I,"PENDING"))</f>
        <v/>
      </c>
      <c r="AR1413" s="27" t="str">
        <f t="shared" si="623"/>
        <v>WM333</v>
      </c>
      <c r="AS1413" s="27" t="str">
        <f t="shared" si="624"/>
        <v>62</v>
      </c>
      <c r="AT1413" s="27" t="str">
        <f t="shared" si="625"/>
        <v/>
      </c>
      <c r="AU1413" s="27" t="str">
        <f t="shared" si="626"/>
        <v/>
      </c>
      <c r="AV1413" s="27" t="str">
        <f t="shared" si="627"/>
        <v/>
      </c>
      <c r="AW1413" s="27" t="str">
        <f t="shared" si="628"/>
        <v/>
      </c>
      <c r="AX1413" s="27" t="str">
        <f t="shared" si="629"/>
        <v/>
      </c>
      <c r="AY1413" s="27" t="str">
        <f t="shared" si="630"/>
        <v/>
      </c>
      <c r="AZ1413" s="27" t="str">
        <f t="shared" si="631"/>
        <v/>
      </c>
      <c r="BA1413" s="27" t="str">
        <f t="shared" si="632"/>
        <v/>
      </c>
      <c r="BB1413" s="27" t="str">
        <f t="shared" si="633"/>
        <v/>
      </c>
      <c r="BC1413" s="27" t="str">
        <f t="shared" si="634"/>
        <v/>
      </c>
      <c r="BD1413" s="27" t="str">
        <f t="shared" si="635"/>
        <v/>
      </c>
      <c r="BE1413" s="27" t="str">
        <f t="shared" si="636"/>
        <v/>
      </c>
      <c r="BF1413" s="27" t="str">
        <f t="shared" si="637"/>
        <v/>
      </c>
      <c r="BG1413" s="27" t="str">
        <f t="shared" si="638"/>
        <v/>
      </c>
      <c r="BH1413" s="27" t="str">
        <f t="shared" si="639"/>
        <v/>
      </c>
      <c r="BI1413" s="27" t="str">
        <f t="shared" si="640"/>
        <v/>
      </c>
      <c r="BJ1413" s="27" t="str">
        <f t="shared" si="641"/>
        <v/>
      </c>
      <c r="BK1413" s="27" t="str">
        <f t="shared" si="642"/>
        <v/>
      </c>
      <c r="BL1413" s="27" t="str">
        <f t="shared" si="643"/>
        <v/>
      </c>
      <c r="BM1413" s="21" t="s">
        <v>5581</v>
      </c>
    </row>
    <row r="1414" spans="1:65" ht="15">
      <c r="A1414" s="25">
        <f>IFERROR(INDEX('Hun Demand'!W:W,MATCH(O1414,'Hun Demand'!A:A,0)),"")</f>
        <v>0</v>
      </c>
      <c r="B1414" s="25">
        <f>IFERROR(INDEX('Hun Demand'!V:V,MATCH(O1414,'Hun Demand'!A:A,0)),"")</f>
        <v>350</v>
      </c>
      <c r="C1414" s="25">
        <f>IFERROR(INDEX('Hun Demand'!U:U,MATCH(O1414,'Hun Demand'!A:A,0)),"")</f>
        <v>0</v>
      </c>
      <c r="D1414" s="25">
        <f>IFERROR(INDEX('Hun Demand'!T:T,MATCH(O1414,'Hun Demand'!A:A,0)),"")</f>
        <v>0</v>
      </c>
      <c r="E1414" s="25">
        <f>IFERROR(INDEX('Hun Demand'!S:S,MATCH(O1414,'Hun Demand'!A:A,0)),"")</f>
        <v>322</v>
      </c>
      <c r="F1414" s="25">
        <f>IFERROR(INDEX('Hun Demand'!R:R,MATCH(O1414,'Hun Demand'!A:A,0)),"")</f>
        <v>0</v>
      </c>
      <c r="G1414" s="25">
        <f>IFERROR(INDEX('Aub Demand'!W:W,MATCH(O1414,'Aub Demand'!A:A,0)),"")</f>
        <v>419</v>
      </c>
      <c r="H1414" s="25">
        <f>IFERROR(INDEX('Aub Demand'!V:V,MATCH(O1414,'Aub Demand'!A:A,0)),"")</f>
        <v>73</v>
      </c>
      <c r="I1414" s="25">
        <f>IFERROR(INDEX('Aub Demand'!U:U,MATCH(O1414,'Aub Demand'!A:A,0)),"")</f>
        <v>164</v>
      </c>
      <c r="J1414" s="25">
        <f>IFERROR(INDEX('Aub Demand'!T:T,MATCH(O1414,'Aub Demand'!A:A,0)),"")</f>
        <v>227</v>
      </c>
      <c r="K1414" s="25">
        <f>IFERROR(INDEX('Aub Demand'!S:S,MATCH(O1414,'Aub Demand'!A:A,0)),"")</f>
        <v>569</v>
      </c>
      <c r="L1414" s="25">
        <f>IFERROR(INDEX('Aub Demand'!R:R,MATCH(O1414,'Aub Demand'!A:A,0)),"")</f>
        <v>0</v>
      </c>
      <c r="O1414" s="27" t="s">
        <v>1731</v>
      </c>
      <c r="P1414" s="27" t="str">
        <f>IFERROR(INDEX('Aub Demand'!B:B,MATCH($O1414,'Aub Demand'!$A:$A,0)),"")</f>
        <v>MAPLE CREAM</v>
      </c>
      <c r="Q1414" s="27" t="str">
        <f>IFERROR(INDEX('Aub Demand'!C:C,MATCH($O1414,'Aub Demand'!$A:$A,0)),"")</f>
        <v>IMPRE</v>
      </c>
      <c r="R1414" s="52">
        <f>IFERROR(IF(AR1415=AR1414,INDEX('Aub Demand'!K:K,MATCH($O1414,'Aub Demand'!$A:$A,0))-IF(AN1414="",0,AN1414)+AP1415,INDEX('Aub Demand'!K:K,MATCH($O1414,'Aub Demand'!$A:$A,0))-IF(AN1414="",0,AN1414)),"")</f>
        <v>529</v>
      </c>
      <c r="S1414" s="53">
        <f t="shared" si="616"/>
        <v>7.1</v>
      </c>
      <c r="T1414" s="52" t="str">
        <f t="shared" si="617"/>
        <v/>
      </c>
      <c r="U1414" s="52">
        <f>IFERROR(IF(AR1415=AR1414,INDEX('Aub Demand'!Q:Q,MATCH($O1414,'Aub Demand'!$A:$A,0))-IF(AN1414="",0,AN1414)+AP1415,INDEX('Aub Demand'!Q:Q,MATCH($O1414,'Aub Demand'!$A:$A,0))-IF(AN1414="",0,AN1414)),"")</f>
        <v>478</v>
      </c>
      <c r="V1414" s="53">
        <f t="shared" si="618"/>
        <v>6.4</v>
      </c>
      <c r="W1414" s="52" t="str">
        <f t="shared" si="619"/>
        <v/>
      </c>
      <c r="X1414" s="52">
        <f>IFERROR(IF(AND(AR1415=AR1414,AM1414&lt;&gt;""),INDEX('Aub Demand'!Q:Q,MATCH($O1414,'Aub Demand'!$A:$A,0))-IF(AN1414="",0,AN1414)+AP1415+AD1414+AL1414,IF(AR1415=AR1414,INDEX('Aub Demand'!Q:Q,MATCH($O1414,'Aub Demand'!$A:$A,0))-IF(AN1414="",0,AN1414)+AP1415+AD1414,IF(AM1414&lt;&gt;"",INDEX('Aub Demand'!Q:Q,MATCH($O1414,'Aub Demand'!$A:$A,0))-IF(AN1414="",0,AN1414)+AD1414+AL1414,INDEX('Aub Demand'!Q:Q,MATCH($O1414,'Aub Demand'!$A:$A,0))-IF(AN1414="",0,AN1414)+AD1414))),"")</f>
        <v>478</v>
      </c>
      <c r="Y1414" s="53">
        <f t="shared" si="620"/>
        <v>6.4</v>
      </c>
      <c r="Z1414" s="52">
        <f>IF(L1414="","",INDEX('Aub Demand'!H:H,MATCH($O1414,'Aub Demand'!$A:$A,0)))</f>
        <v>320</v>
      </c>
      <c r="AA1414" s="52">
        <f t="shared" si="621"/>
        <v>398</v>
      </c>
      <c r="AB1414" s="52">
        <f>IFERROR(INDEX('Aub Demand'!L:L,MATCH($O1414,'Aub Demand'!$A:$A,0)),"")</f>
        <v>108</v>
      </c>
      <c r="AC1414" s="52">
        <f>IFERROR(IF(O1414="","",SUMIFS('CPL Mats'!F:F,'CPL Mats'!Q:Q,AR1414,'CPL Mats'!S:S,AS1414)),"")</f>
        <v>1005.57</v>
      </c>
      <c r="AF1414" s="25" t="str">
        <f>IF(SUMIFS('Supp Consol'!S:S,'Supp Consol'!Y:Y,"Releasable",'Supp Consol'!A:A,O1414)=0,"",SUMIFS('Supp Consol'!S:S,'Supp Consol'!Y:Y,"Releasable",'Supp Consol'!A:A,O1414))</f>
        <v/>
      </c>
      <c r="AG1414" s="25">
        <f>IFERROR(INDEX('Hun Demand'!Q:Q,MATCH(O1414,'Hun Demand'!A:A,0)),"")</f>
        <v>186</v>
      </c>
      <c r="AH1414" s="25">
        <f>IFERROR(INDEX('Hun Demand'!H:H,MATCH($O1414,'Hun Demand'!$A:$A,0)),"")</f>
        <v>107</v>
      </c>
      <c r="AI1414" s="25" t="str">
        <f>IF(SUMIFS('Supp Consol'!AA:AA,'Supp Consol'!Z:Z,"Expires this month",'Supp Consol'!A:A,O1414)=0,"",SUMIFS('Supp Consol'!AA:AA,'Supp Consol'!Z:Z,"Expires this month",'Supp Consol'!A:A,O1414))</f>
        <v/>
      </c>
      <c r="AJ1414" s="25" t="str">
        <f>IF(SUMIFS('Supp Consol'!AA:AA,'Supp Consol'!Z:Z,"Expired Previous Months",'Supp Consol'!A:A,O1414)=0,"",SUMIFS('Supp Consol'!AA:AA,'Supp Consol'!Z:Z,"Expired Previous Months",'Supp Consol'!A:A,O1414))</f>
        <v/>
      </c>
      <c r="AK1414" s="25" t="str">
        <f>IFERROR(INDEX('Hun Release Current'!B:B,MATCH(O1414,'Hun Release Current'!A:A,0)),"")</f>
        <v/>
      </c>
      <c r="AL1414" s="25" t="str">
        <f>IF(SUMIF('Prev Aub'!A:A,O1414,'Prev Aub'!B:B)=0,"",SUMIF('Prev Aub'!A:A,O1414,'Prev Aub'!B:B))</f>
        <v/>
      </c>
      <c r="AN1414" s="25" t="s">
        <v>3790</v>
      </c>
      <c r="AO1414" s="25" t="s">
        <v>3790</v>
      </c>
      <c r="AP1414" s="25">
        <f t="shared" si="622"/>
        <v>0</v>
      </c>
      <c r="AQ1414" s="151" t="str">
        <f>IF(SUMIFS('Supp Consol'!S:S,'Supp Consol'!A:A,O1414,'Supp Consol'!I:I,"PENDING")=0,"",SUMIFS('Supp Consol'!S:S,'Supp Consol'!A:A,O1414,'Supp Consol'!I:I,"PENDING"))</f>
        <v/>
      </c>
      <c r="AR1414" s="27" t="str">
        <f t="shared" si="623"/>
        <v>WM345</v>
      </c>
      <c r="AS1414" s="27" t="str">
        <f t="shared" si="624"/>
        <v>50</v>
      </c>
      <c r="AT1414" s="27" t="str">
        <f t="shared" si="625"/>
        <v/>
      </c>
      <c r="AU1414" s="27" t="str">
        <f t="shared" si="626"/>
        <v/>
      </c>
      <c r="AV1414" s="27" t="str">
        <f t="shared" si="627"/>
        <v/>
      </c>
      <c r="AW1414" s="27" t="str">
        <f t="shared" si="628"/>
        <v/>
      </c>
      <c r="AX1414" s="27" t="str">
        <f t="shared" si="629"/>
        <v/>
      </c>
      <c r="AY1414" s="27" t="str">
        <f t="shared" si="630"/>
        <v>WM345</v>
      </c>
      <c r="AZ1414" s="27" t="str">
        <f t="shared" si="631"/>
        <v>Supp</v>
      </c>
      <c r="BA1414" s="27" t="str">
        <f t="shared" si="632"/>
        <v>Hun</v>
      </c>
      <c r="BB1414" s="27" t="str">
        <f t="shared" si="633"/>
        <v/>
      </c>
      <c r="BC1414" s="27" t="str">
        <f t="shared" si="634"/>
        <v/>
      </c>
      <c r="BD1414" s="27" t="str">
        <f t="shared" si="635"/>
        <v/>
      </c>
      <c r="BE1414" s="27" t="str">
        <f t="shared" si="636"/>
        <v/>
      </c>
      <c r="BF1414" s="27" t="str">
        <f t="shared" si="637"/>
        <v/>
      </c>
      <c r="BG1414" s="27" t="str">
        <f t="shared" si="638"/>
        <v/>
      </c>
      <c r="BH1414" s="27" t="str">
        <f t="shared" si="639"/>
        <v/>
      </c>
      <c r="BI1414" s="27" t="str">
        <f t="shared" si="640"/>
        <v/>
      </c>
      <c r="BJ1414" s="27" t="str">
        <f t="shared" si="641"/>
        <v>Supp or Hun</v>
      </c>
      <c r="BK1414" s="27" t="str">
        <f t="shared" si="642"/>
        <v/>
      </c>
      <c r="BL1414" s="27" t="str">
        <f t="shared" si="643"/>
        <v/>
      </c>
      <c r="BM1414" s="21" t="s">
        <v>5581</v>
      </c>
    </row>
    <row r="1415" spans="1:65" ht="15">
      <c r="A1415" s="25">
        <f>IFERROR(INDEX('Hun Demand'!W:W,MATCH(O1415,'Hun Demand'!A:A,0)),"")</f>
        <v>0</v>
      </c>
      <c r="B1415" s="25">
        <f>IFERROR(INDEX('Hun Demand'!V:V,MATCH(O1415,'Hun Demand'!A:A,0)),"")</f>
        <v>0</v>
      </c>
      <c r="C1415" s="25">
        <f>IFERROR(INDEX('Hun Demand'!U:U,MATCH(O1415,'Hun Demand'!A:A,0)),"")</f>
        <v>233</v>
      </c>
      <c r="D1415" s="25">
        <f>IFERROR(INDEX('Hun Demand'!T:T,MATCH(O1415,'Hun Demand'!A:A,0)),"")</f>
        <v>0</v>
      </c>
      <c r="E1415" s="25">
        <f>IFERROR(INDEX('Hun Demand'!S:S,MATCH(O1415,'Hun Demand'!A:A,0)),"")</f>
        <v>0</v>
      </c>
      <c r="F1415" s="25">
        <f>IFERROR(INDEX('Hun Demand'!R:R,MATCH(O1415,'Hun Demand'!A:A,0)),"")</f>
        <v>0</v>
      </c>
      <c r="G1415" s="25">
        <f>IFERROR(INDEX('Aub Demand'!W:W,MATCH(O1415,'Aub Demand'!A:A,0)),"")</f>
        <v>250</v>
      </c>
      <c r="H1415" s="25">
        <f>IFERROR(INDEX('Aub Demand'!V:V,MATCH(O1415,'Aub Demand'!A:A,0)),"")</f>
        <v>0</v>
      </c>
      <c r="I1415" s="25">
        <f>IFERROR(INDEX('Aub Demand'!U:U,MATCH(O1415,'Aub Demand'!A:A,0)),"")</f>
        <v>8</v>
      </c>
      <c r="J1415" s="25">
        <f>IFERROR(INDEX('Aub Demand'!T:T,MATCH(O1415,'Aub Demand'!A:A,0)),"")</f>
        <v>72</v>
      </c>
      <c r="K1415" s="25">
        <f>IFERROR(INDEX('Aub Demand'!S:S,MATCH(O1415,'Aub Demand'!A:A,0)),"")</f>
        <v>207</v>
      </c>
      <c r="L1415" s="25">
        <f>IFERROR(INDEX('Aub Demand'!R:R,MATCH(O1415,'Aub Demand'!A:A,0)),"")</f>
        <v>0</v>
      </c>
      <c r="O1415" s="27" t="s">
        <v>1733</v>
      </c>
      <c r="P1415" s="27" t="str">
        <f>IFERROR(INDEX('Aub Demand'!B:B,MATCH($O1415,'Aub Demand'!$A:$A,0)),"")</f>
        <v>MAPLE CREAM</v>
      </c>
      <c r="Q1415" s="27" t="str">
        <f>IFERROR(INDEX('Aub Demand'!C:C,MATCH($O1415,'Aub Demand'!$A:$A,0)),"")</f>
        <v>IMPRE</v>
      </c>
      <c r="R1415" s="52">
        <f>IFERROR(IF(AR1416=AR1415,INDEX('Aub Demand'!K:K,MATCH($O1415,'Aub Demand'!$A:$A,0))-IF(AN1415="",0,AN1415)+AP1416,INDEX('Aub Demand'!K:K,MATCH($O1415,'Aub Demand'!$A:$A,0))-IF(AN1415="",0,AN1415)),"")</f>
        <v>817</v>
      </c>
      <c r="S1415" s="53">
        <f t="shared" si="616"/>
        <v>36.5</v>
      </c>
      <c r="T1415" s="52" t="str">
        <f t="shared" si="617"/>
        <v/>
      </c>
      <c r="U1415" s="52">
        <f>IFERROR(IF(AR1416=AR1415,INDEX('Aub Demand'!Q:Q,MATCH($O1415,'Aub Demand'!$A:$A,0))-IF(AN1415="",0,AN1415)+AP1416,INDEX('Aub Demand'!Q:Q,MATCH($O1415,'Aub Demand'!$A:$A,0))-IF(AN1415="",0,AN1415)),"")</f>
        <v>784</v>
      </c>
      <c r="V1415" s="53">
        <f t="shared" si="618"/>
        <v>35</v>
      </c>
      <c r="W1415" s="52" t="str">
        <f t="shared" si="619"/>
        <v/>
      </c>
      <c r="X1415" s="52">
        <f>IFERROR(IF(AND(AR1416=AR1415,AM1415&lt;&gt;""),INDEX('Aub Demand'!Q:Q,MATCH($O1415,'Aub Demand'!$A:$A,0))-IF(AN1415="",0,AN1415)+AP1416+AD1415+AL1415,IF(AR1416=AR1415,INDEX('Aub Demand'!Q:Q,MATCH($O1415,'Aub Demand'!$A:$A,0))-IF(AN1415="",0,AN1415)+AP1416+AD1415,IF(AM1415&lt;&gt;"",INDEX('Aub Demand'!Q:Q,MATCH($O1415,'Aub Demand'!$A:$A,0))-IF(AN1415="",0,AN1415)+AD1415+AL1415,INDEX('Aub Demand'!Q:Q,MATCH($O1415,'Aub Demand'!$A:$A,0))-IF(AN1415="",0,AN1415)+AD1415))),"")</f>
        <v>784</v>
      </c>
      <c r="Y1415" s="53">
        <f t="shared" si="620"/>
        <v>35</v>
      </c>
      <c r="Z1415" s="52">
        <f>IF(L1415="","",INDEX('Aub Demand'!H:H,MATCH($O1415,'Aub Demand'!$A:$A,0)))</f>
        <v>96</v>
      </c>
      <c r="AA1415" s="52">
        <f t="shared" si="621"/>
        <v>139.5</v>
      </c>
      <c r="AB1415" s="52">
        <f>IFERROR(INDEX('Aub Demand'!L:L,MATCH($O1415,'Aub Demand'!$A:$A,0)),"")</f>
        <v>0</v>
      </c>
      <c r="AC1415" s="52">
        <f>IFERROR(IF(O1415="","",SUMIFS('CPL Mats'!F:F,'CPL Mats'!Q:Q,AR1415,'CPL Mats'!S:S,AS1415)),"")</f>
        <v>0</v>
      </c>
      <c r="AF1415" s="25">
        <f>IF(SUMIFS('Supp Consol'!S:S,'Supp Consol'!Y:Y,"Releasable",'Supp Consol'!A:A,O1415)=0,"",SUMIFS('Supp Consol'!S:S,'Supp Consol'!Y:Y,"Releasable",'Supp Consol'!A:A,O1415))</f>
        <v>1610</v>
      </c>
      <c r="AG1415" s="25">
        <f>IFERROR(INDEX('Hun Demand'!Q:Q,MATCH(O1415,'Hun Demand'!A:A,0)),"")</f>
        <v>0</v>
      </c>
      <c r="AH1415" s="25">
        <f>IFERROR(INDEX('Hun Demand'!H:H,MATCH($O1415,'Hun Demand'!$A:$A,0)),"")</f>
        <v>78</v>
      </c>
      <c r="AI1415" s="25" t="str">
        <f>IF(SUMIFS('Supp Consol'!AA:AA,'Supp Consol'!Z:Z,"Expires this month",'Supp Consol'!A:A,O1415)=0,"",SUMIFS('Supp Consol'!AA:AA,'Supp Consol'!Z:Z,"Expires this month",'Supp Consol'!A:A,O1415))</f>
        <v/>
      </c>
      <c r="AJ1415" s="25" t="str">
        <f>IF(SUMIFS('Supp Consol'!AA:AA,'Supp Consol'!Z:Z,"Expired Previous Months",'Supp Consol'!A:A,O1415)=0,"",SUMIFS('Supp Consol'!AA:AA,'Supp Consol'!Z:Z,"Expired Previous Months",'Supp Consol'!A:A,O1415))</f>
        <v/>
      </c>
      <c r="AK1415" s="25" t="str">
        <f>IFERROR(INDEX('Hun Release Current'!B:B,MATCH(O1415,'Hun Release Current'!A:A,0)),"")</f>
        <v/>
      </c>
      <c r="AL1415" s="25" t="str">
        <f>IF(SUMIF('Prev Aub'!A:A,O1415,'Prev Aub'!B:B)=0,"",SUMIF('Prev Aub'!A:A,O1415,'Prev Aub'!B:B))</f>
        <v/>
      </c>
      <c r="AN1415" s="25" t="s">
        <v>3790</v>
      </c>
      <c r="AO1415" s="25" t="s">
        <v>3790</v>
      </c>
      <c r="AP1415" s="25">
        <f t="shared" si="622"/>
        <v>0</v>
      </c>
      <c r="AQ1415" s="151" t="str">
        <f>IF(SUMIFS('Supp Consol'!S:S,'Supp Consol'!A:A,O1415,'Supp Consol'!I:I,"PENDING")=0,"",SUMIFS('Supp Consol'!S:S,'Supp Consol'!A:A,O1415,'Supp Consol'!I:I,"PENDING"))</f>
        <v/>
      </c>
      <c r="AR1415" s="27" t="str">
        <f t="shared" si="623"/>
        <v>WM345</v>
      </c>
      <c r="AS1415" s="27" t="str">
        <f t="shared" si="624"/>
        <v>62</v>
      </c>
      <c r="AT1415" s="27" t="str">
        <f t="shared" si="625"/>
        <v/>
      </c>
      <c r="AU1415" s="27" t="str">
        <f t="shared" si="626"/>
        <v/>
      </c>
      <c r="AV1415" s="27" t="str">
        <f t="shared" si="627"/>
        <v/>
      </c>
      <c r="AW1415" s="27" t="str">
        <f t="shared" si="628"/>
        <v/>
      </c>
      <c r="AX1415" s="27" t="str">
        <f t="shared" si="629"/>
        <v>WM345</v>
      </c>
      <c r="AY1415" s="27" t="str">
        <f t="shared" si="630"/>
        <v/>
      </c>
      <c r="AZ1415" s="27" t="str">
        <f t="shared" si="631"/>
        <v>Supp</v>
      </c>
      <c r="BA1415" s="27" t="str">
        <f t="shared" si="632"/>
        <v>Hun</v>
      </c>
      <c r="BB1415" s="27" t="str">
        <f t="shared" si="633"/>
        <v/>
      </c>
      <c r="BC1415" s="27" t="str">
        <f t="shared" si="634"/>
        <v/>
      </c>
      <c r="BD1415" s="27" t="str">
        <f t="shared" si="635"/>
        <v/>
      </c>
      <c r="BE1415" s="27" t="str">
        <f t="shared" si="636"/>
        <v/>
      </c>
      <c r="BF1415" s="27" t="str">
        <f t="shared" si="637"/>
        <v/>
      </c>
      <c r="BG1415" s="27" t="str">
        <f t="shared" si="638"/>
        <v/>
      </c>
      <c r="BH1415" s="27" t="str">
        <f t="shared" si="639"/>
        <v/>
      </c>
      <c r="BI1415" s="27" t="str">
        <f t="shared" si="640"/>
        <v/>
      </c>
      <c r="BJ1415" s="27" t="str">
        <f t="shared" si="641"/>
        <v>Supp or Hun</v>
      </c>
      <c r="BK1415" s="27" t="str">
        <f t="shared" si="642"/>
        <v/>
      </c>
      <c r="BL1415" s="27" t="str">
        <f t="shared" si="643"/>
        <v/>
      </c>
      <c r="BM1415" s="21" t="s">
        <v>5581</v>
      </c>
    </row>
    <row r="1416" spans="1:65" ht="15">
      <c r="A1416" s="25" t="str">
        <f>IFERROR(INDEX('Hun Demand'!W:W,MATCH(O1416,'Hun Demand'!A:A,0)),"")</f>
        <v/>
      </c>
      <c r="B1416" s="25" t="str">
        <f>IFERROR(INDEX('Hun Demand'!V:V,MATCH(O1416,'Hun Demand'!A:A,0)),"")</f>
        <v/>
      </c>
      <c r="C1416" s="25" t="str">
        <f>IFERROR(INDEX('Hun Demand'!U:U,MATCH(O1416,'Hun Demand'!A:A,0)),"")</f>
        <v/>
      </c>
      <c r="D1416" s="25" t="str">
        <f>IFERROR(INDEX('Hun Demand'!T:T,MATCH(O1416,'Hun Demand'!A:A,0)),"")</f>
        <v/>
      </c>
      <c r="E1416" s="25" t="str">
        <f>IFERROR(INDEX('Hun Demand'!S:S,MATCH(O1416,'Hun Demand'!A:A,0)),"")</f>
        <v/>
      </c>
      <c r="F1416" s="25" t="str">
        <f>IFERROR(INDEX('Hun Demand'!R:R,MATCH(O1416,'Hun Demand'!A:A,0)),"")</f>
        <v/>
      </c>
      <c r="G1416" s="25">
        <f>IFERROR(INDEX('Aub Demand'!W:W,MATCH(O1416,'Aub Demand'!A:A,0)),"")</f>
        <v>0</v>
      </c>
      <c r="H1416" s="25">
        <f>IFERROR(INDEX('Aub Demand'!V:V,MATCH(O1416,'Aub Demand'!A:A,0)),"")</f>
        <v>3</v>
      </c>
      <c r="I1416" s="25">
        <f>IFERROR(INDEX('Aub Demand'!U:U,MATCH(O1416,'Aub Demand'!A:A,0)),"")</f>
        <v>8</v>
      </c>
      <c r="J1416" s="25">
        <f>IFERROR(INDEX('Aub Demand'!T:T,MATCH(O1416,'Aub Demand'!A:A,0)),"")</f>
        <v>0</v>
      </c>
      <c r="K1416" s="25">
        <f>IFERROR(INDEX('Aub Demand'!S:S,MATCH(O1416,'Aub Demand'!A:A,0)),"")</f>
        <v>0</v>
      </c>
      <c r="L1416" s="25">
        <f>IFERROR(INDEX('Aub Demand'!R:R,MATCH(O1416,'Aub Demand'!A:A,0)),"")</f>
        <v>0</v>
      </c>
      <c r="O1416" s="27" t="s">
        <v>1734</v>
      </c>
      <c r="P1416" s="27" t="str">
        <f>IFERROR(INDEX('Aub Demand'!B:B,MATCH($O1416,'Aub Demand'!$A:$A,0)),"")</f>
        <v>BRUNSWICK WANDERER W</v>
      </c>
      <c r="Q1416" s="27" t="str">
        <f>IFERROR(INDEX('Aub Demand'!C:C,MATCH($O1416,'Aub Demand'!$A:$A,0)),"")</f>
        <v>INTER</v>
      </c>
      <c r="R1416" s="52">
        <f>IFERROR(IF(AR1417=AR1416,INDEX('Aub Demand'!K:K,MATCH($O1416,'Aub Demand'!$A:$A,0))-IF(AN1416="",0,AN1416)+AP1417,INDEX('Aub Demand'!K:K,MATCH($O1416,'Aub Demand'!$A:$A,0))-IF(AN1416="",0,AN1416)),"")</f>
        <v>617</v>
      </c>
      <c r="S1416" s="53">
        <f t="shared" si="616"/>
        <v>881.4</v>
      </c>
      <c r="T1416" s="52" t="str">
        <f t="shared" si="617"/>
        <v/>
      </c>
      <c r="U1416" s="52">
        <f>IFERROR(IF(AR1417=AR1416,INDEX('Aub Demand'!Q:Q,MATCH($O1416,'Aub Demand'!$A:$A,0))-IF(AN1416="",0,AN1416)+AP1417,INDEX('Aub Demand'!Q:Q,MATCH($O1416,'Aub Demand'!$A:$A,0))-IF(AN1416="",0,AN1416)),"")</f>
        <v>617</v>
      </c>
      <c r="V1416" s="53">
        <f t="shared" si="618"/>
        <v>881.4</v>
      </c>
      <c r="W1416" s="52" t="str">
        <f t="shared" si="619"/>
        <v/>
      </c>
      <c r="X1416" s="52">
        <f>IFERROR(IF(AND(AR1417=AR1416,AM1416&lt;&gt;""),INDEX('Aub Demand'!Q:Q,MATCH($O1416,'Aub Demand'!$A:$A,0))-IF(AN1416="",0,AN1416)+AP1417+AD1416+AL1416,IF(AR1417=AR1416,INDEX('Aub Demand'!Q:Q,MATCH($O1416,'Aub Demand'!$A:$A,0))-IF(AN1416="",0,AN1416)+AP1417+AD1416,IF(AM1416&lt;&gt;"",INDEX('Aub Demand'!Q:Q,MATCH($O1416,'Aub Demand'!$A:$A,0))-IF(AN1416="",0,AN1416)+AD1416+AL1416,INDEX('Aub Demand'!Q:Q,MATCH($O1416,'Aub Demand'!$A:$A,0))-IF(AN1416="",0,AN1416)+AD1416))),"")</f>
        <v>617</v>
      </c>
      <c r="Y1416" s="53">
        <f t="shared" si="620"/>
        <v>881.4</v>
      </c>
      <c r="Z1416" s="52">
        <f>IF(L1416="","",INDEX('Aub Demand'!H:H,MATCH($O1416,'Aub Demand'!$A:$A,0)))</f>
        <v>3</v>
      </c>
      <c r="AA1416" s="52" t="str">
        <f t="shared" si="621"/>
        <v>-spike-</v>
      </c>
      <c r="AB1416" s="52">
        <f>IFERROR(INDEX('Aub Demand'!L:L,MATCH($O1416,'Aub Demand'!$A:$A,0)),"")</f>
        <v>14</v>
      </c>
      <c r="AC1416" s="52">
        <f>IFERROR(IF(O1416="","",SUMIFS('CPL Mats'!F:F,'CPL Mats'!Q:Q,AR1416,'CPL Mats'!S:S,AS1416)),"")</f>
        <v>0</v>
      </c>
      <c r="AF1416" s="25" t="str">
        <f>IF(SUMIFS('Supp Consol'!S:S,'Supp Consol'!Y:Y,"Releasable",'Supp Consol'!A:A,O1416)=0,"",SUMIFS('Supp Consol'!S:S,'Supp Consol'!Y:Y,"Releasable",'Supp Consol'!A:A,O1416))</f>
        <v/>
      </c>
      <c r="AG1416" s="25" t="str">
        <f>IFERROR(INDEX('Hun Demand'!Q:Q,MATCH(O1416,'Hun Demand'!A:A,0)),"")</f>
        <v/>
      </c>
      <c r="AH1416" s="25" t="str">
        <f>IFERROR(INDEX('Hun Demand'!H:H,MATCH($O1416,'Hun Demand'!$A:$A,0)),"")</f>
        <v/>
      </c>
      <c r="AI1416" s="25" t="str">
        <f>IF(SUMIFS('Supp Consol'!AA:AA,'Supp Consol'!Z:Z,"Expires this month",'Supp Consol'!A:A,O1416)=0,"",SUMIFS('Supp Consol'!AA:AA,'Supp Consol'!Z:Z,"Expires this month",'Supp Consol'!A:A,O1416))</f>
        <v/>
      </c>
      <c r="AJ1416" s="25" t="str">
        <f>IF(SUMIFS('Supp Consol'!AA:AA,'Supp Consol'!Z:Z,"Expired Previous Months",'Supp Consol'!A:A,O1416)=0,"",SUMIFS('Supp Consol'!AA:AA,'Supp Consol'!Z:Z,"Expired Previous Months",'Supp Consol'!A:A,O1416))</f>
        <v/>
      </c>
      <c r="AK1416" s="25" t="str">
        <f>IFERROR(INDEX('Hun Release Current'!B:B,MATCH(O1416,'Hun Release Current'!A:A,0)),"")</f>
        <v/>
      </c>
      <c r="AL1416" s="25" t="str">
        <f>IF(SUMIF('Prev Aub'!A:A,O1416,'Prev Aub'!B:B)=0,"",SUMIF('Prev Aub'!A:A,O1416,'Prev Aub'!B:B))</f>
        <v/>
      </c>
      <c r="AN1416" s="25" t="s">
        <v>3790</v>
      </c>
      <c r="AO1416" s="25" t="s">
        <v>3790</v>
      </c>
      <c r="AP1416" s="25">
        <f t="shared" si="622"/>
        <v>0</v>
      </c>
      <c r="AQ1416" s="151" t="str">
        <f>IF(SUMIFS('Supp Consol'!S:S,'Supp Consol'!A:A,O1416,'Supp Consol'!I:I,"PENDING")=0,"",SUMIFS('Supp Consol'!S:S,'Supp Consol'!A:A,O1416,'Supp Consol'!I:I,"PENDING"))</f>
        <v/>
      </c>
      <c r="AR1416" s="27" t="str">
        <f t="shared" si="623"/>
        <v>WM361</v>
      </c>
      <c r="AS1416" s="27" t="str">
        <f t="shared" si="624"/>
        <v>62</v>
      </c>
      <c r="AT1416" s="27" t="str">
        <f t="shared" si="625"/>
        <v/>
      </c>
      <c r="AU1416" s="27" t="str">
        <f t="shared" si="626"/>
        <v/>
      </c>
      <c r="AV1416" s="27" t="str">
        <f t="shared" si="627"/>
        <v/>
      </c>
      <c r="AW1416" s="27" t="str">
        <f t="shared" si="628"/>
        <v/>
      </c>
      <c r="AX1416" s="27" t="str">
        <f t="shared" si="629"/>
        <v/>
      </c>
      <c r="AY1416" s="27" t="str">
        <f t="shared" si="630"/>
        <v/>
      </c>
      <c r="AZ1416" s="27" t="str">
        <f t="shared" si="631"/>
        <v/>
      </c>
      <c r="BA1416" s="27" t="str">
        <f t="shared" si="632"/>
        <v/>
      </c>
      <c r="BB1416" s="27" t="str">
        <f t="shared" si="633"/>
        <v/>
      </c>
      <c r="BC1416" s="27" t="str">
        <f t="shared" si="634"/>
        <v/>
      </c>
      <c r="BD1416" s="27" t="str">
        <f t="shared" si="635"/>
        <v/>
      </c>
      <c r="BE1416" s="27" t="str">
        <f t="shared" si="636"/>
        <v/>
      </c>
      <c r="BF1416" s="27" t="str">
        <f t="shared" si="637"/>
        <v/>
      </c>
      <c r="BG1416" s="27" t="str">
        <f t="shared" si="638"/>
        <v/>
      </c>
      <c r="BH1416" s="27" t="str">
        <f t="shared" si="639"/>
        <v/>
      </c>
      <c r="BI1416" s="27" t="str">
        <f t="shared" si="640"/>
        <v/>
      </c>
      <c r="BJ1416" s="27" t="str">
        <f t="shared" si="641"/>
        <v/>
      </c>
      <c r="BK1416" s="27" t="str">
        <f t="shared" si="642"/>
        <v/>
      </c>
      <c r="BL1416" s="27" t="str">
        <f t="shared" si="643"/>
        <v/>
      </c>
      <c r="BM1416" s="21" t="s">
        <v>5581</v>
      </c>
    </row>
    <row r="1417" spans="1:65" ht="15">
      <c r="A1417" s="25" t="str">
        <f>IFERROR(INDEX('Hun Demand'!W:W,MATCH(O1417,'Hun Demand'!A:A,0)),"")</f>
        <v/>
      </c>
      <c r="B1417" s="25" t="str">
        <f>IFERROR(INDEX('Hun Demand'!V:V,MATCH(O1417,'Hun Demand'!A:A,0)),"")</f>
        <v/>
      </c>
      <c r="C1417" s="25" t="str">
        <f>IFERROR(INDEX('Hun Demand'!U:U,MATCH(O1417,'Hun Demand'!A:A,0)),"")</f>
        <v/>
      </c>
      <c r="D1417" s="25" t="str">
        <f>IFERROR(INDEX('Hun Demand'!T:T,MATCH(O1417,'Hun Demand'!A:A,0)),"")</f>
        <v/>
      </c>
      <c r="E1417" s="25" t="str">
        <f>IFERROR(INDEX('Hun Demand'!S:S,MATCH(O1417,'Hun Demand'!A:A,0)),"")</f>
        <v/>
      </c>
      <c r="F1417" s="25" t="str">
        <f>IFERROR(INDEX('Hun Demand'!R:R,MATCH(O1417,'Hun Demand'!A:A,0)),"")</f>
        <v/>
      </c>
      <c r="G1417" s="25">
        <f>IFERROR(INDEX('Aub Demand'!W:W,MATCH(O1417,'Aub Demand'!A:A,0)),"")</f>
        <v>0</v>
      </c>
      <c r="H1417" s="25">
        <f>IFERROR(INDEX('Aub Demand'!V:V,MATCH(O1417,'Aub Demand'!A:A,0)),"")</f>
        <v>0</v>
      </c>
      <c r="I1417" s="25">
        <f>IFERROR(INDEX('Aub Demand'!U:U,MATCH(O1417,'Aub Demand'!A:A,0)),"")</f>
        <v>0</v>
      </c>
      <c r="J1417" s="25">
        <f>IFERROR(INDEX('Aub Demand'!T:T,MATCH(O1417,'Aub Demand'!A:A,0)),"")</f>
        <v>0</v>
      </c>
      <c r="K1417" s="25">
        <f>IFERROR(INDEX('Aub Demand'!S:S,MATCH(O1417,'Aub Demand'!A:A,0)),"")</f>
        <v>0</v>
      </c>
      <c r="L1417" s="25">
        <f>IFERROR(INDEX('Aub Demand'!R:R,MATCH(O1417,'Aub Demand'!A:A,0)),"")</f>
        <v>0</v>
      </c>
      <c r="O1417" s="27" t="s">
        <v>1737</v>
      </c>
      <c r="P1417" s="27" t="str">
        <f>IFERROR(INDEX('Aub Demand'!B:B,MATCH($O1417,'Aub Demand'!$A:$A,0)),"")</f>
        <v>OPEN MAPLE LANE (C)</v>
      </c>
      <c r="Q1417" s="27" t="str">
        <f>IFERROR(INDEX('Aub Demand'!C:C,MATCH($O1417,'Aub Demand'!$A:$A,0)),"")</f>
        <v>SUDDE</v>
      </c>
      <c r="R1417" s="52">
        <f>IFERROR(IF(AR1418=AR1417,INDEX('Aub Demand'!K:K,MATCH($O1417,'Aub Demand'!$A:$A,0))-IF(AN1417="",0,AN1417)+AP1418,INDEX('Aub Demand'!K:K,MATCH($O1417,'Aub Demand'!$A:$A,0))-IF(AN1417="",0,AN1417)),"")</f>
        <v>1354</v>
      </c>
      <c r="S1417" s="53" t="str">
        <f t="shared" si="616"/>
        <v>n/a</v>
      </c>
      <c r="T1417" s="52" t="str">
        <f t="shared" si="617"/>
        <v/>
      </c>
      <c r="U1417" s="52">
        <f>IFERROR(IF(AR1418=AR1417,INDEX('Aub Demand'!Q:Q,MATCH($O1417,'Aub Demand'!$A:$A,0))-IF(AN1417="",0,AN1417)+AP1418,INDEX('Aub Demand'!Q:Q,MATCH($O1417,'Aub Demand'!$A:$A,0))-IF(AN1417="",0,AN1417)),"")</f>
        <v>1354</v>
      </c>
      <c r="V1417" s="53" t="str">
        <f t="shared" si="618"/>
        <v>n/a</v>
      </c>
      <c r="W1417" s="52" t="str">
        <f t="shared" si="619"/>
        <v/>
      </c>
      <c r="X1417" s="52">
        <f>IFERROR(IF(AND(AR1418=AR1417,AM1417&lt;&gt;""),INDEX('Aub Demand'!Q:Q,MATCH($O1417,'Aub Demand'!$A:$A,0))-IF(AN1417="",0,AN1417)+AP1418+AD1417+AL1417,IF(AR1418=AR1417,INDEX('Aub Demand'!Q:Q,MATCH($O1417,'Aub Demand'!$A:$A,0))-IF(AN1417="",0,AN1417)+AP1418+AD1417,IF(AM1417&lt;&gt;"",INDEX('Aub Demand'!Q:Q,MATCH($O1417,'Aub Demand'!$A:$A,0))-IF(AN1417="",0,AN1417)+AD1417+AL1417,INDEX('Aub Demand'!Q:Q,MATCH($O1417,'Aub Demand'!$A:$A,0))-IF(AN1417="",0,AN1417)+AD1417))),"")</f>
        <v>1354</v>
      </c>
      <c r="Y1417" s="53" t="str">
        <f t="shared" si="620"/>
        <v>n/a</v>
      </c>
      <c r="Z1417" s="52">
        <f>IF(L1417="","",INDEX('Aub Demand'!H:H,MATCH($O1417,'Aub Demand'!$A:$A,0)))</f>
        <v>0</v>
      </c>
      <c r="AA1417" s="52" t="str">
        <f t="shared" si="621"/>
        <v>-spike-</v>
      </c>
      <c r="AB1417" s="52">
        <f>IFERROR(INDEX('Aub Demand'!L:L,MATCH($O1417,'Aub Demand'!$A:$A,0)),"")</f>
        <v>0</v>
      </c>
      <c r="AC1417" s="52">
        <f>IFERROR(IF(O1417="","",SUMIFS('CPL Mats'!F:F,'CPL Mats'!Q:Q,AR1417,'CPL Mats'!S:S,AS1417)),"")</f>
        <v>0</v>
      </c>
      <c r="AF1417" s="25" t="str">
        <f>IF(SUMIFS('Supp Consol'!S:S,'Supp Consol'!Y:Y,"Releasable",'Supp Consol'!A:A,O1417)=0,"",SUMIFS('Supp Consol'!S:S,'Supp Consol'!Y:Y,"Releasable",'Supp Consol'!A:A,O1417))</f>
        <v/>
      </c>
      <c r="AG1417" s="25" t="str">
        <f>IFERROR(INDEX('Hun Demand'!Q:Q,MATCH(O1417,'Hun Demand'!A:A,0)),"")</f>
        <v/>
      </c>
      <c r="AH1417" s="25" t="str">
        <f>IFERROR(INDEX('Hun Demand'!H:H,MATCH($O1417,'Hun Demand'!$A:$A,0)),"")</f>
        <v/>
      </c>
      <c r="AI1417" s="25" t="str">
        <f>IF(SUMIFS('Supp Consol'!AA:AA,'Supp Consol'!Z:Z,"Expires this month",'Supp Consol'!A:A,O1417)=0,"",SUMIFS('Supp Consol'!AA:AA,'Supp Consol'!Z:Z,"Expires this month",'Supp Consol'!A:A,O1417))</f>
        <v/>
      </c>
      <c r="AJ1417" s="25" t="str">
        <f>IF(SUMIFS('Supp Consol'!AA:AA,'Supp Consol'!Z:Z,"Expired Previous Months",'Supp Consol'!A:A,O1417)=0,"",SUMIFS('Supp Consol'!AA:AA,'Supp Consol'!Z:Z,"Expired Previous Months",'Supp Consol'!A:A,O1417))</f>
        <v/>
      </c>
      <c r="AK1417" s="25" t="str">
        <f>IFERROR(INDEX('Hun Release Current'!B:B,MATCH(O1417,'Hun Release Current'!A:A,0)),"")</f>
        <v/>
      </c>
      <c r="AL1417" s="25" t="str">
        <f>IF(SUMIF('Prev Aub'!A:A,O1417,'Prev Aub'!B:B)=0,"",SUMIF('Prev Aub'!A:A,O1417,'Prev Aub'!B:B))</f>
        <v/>
      </c>
      <c r="AN1417" s="25" t="s">
        <v>3790</v>
      </c>
      <c r="AO1417" s="25" t="s">
        <v>3790</v>
      </c>
      <c r="AP1417" s="25">
        <f t="shared" si="622"/>
        <v>0</v>
      </c>
      <c r="AQ1417" s="151" t="str">
        <f>IF(SUMIFS('Supp Consol'!S:S,'Supp Consol'!A:A,O1417,'Supp Consol'!I:I,"PENDING")=0,"",SUMIFS('Supp Consol'!S:S,'Supp Consol'!A:A,O1417,'Supp Consol'!I:I,"PENDING"))</f>
        <v/>
      </c>
      <c r="AR1417" s="27" t="str">
        <f t="shared" si="623"/>
        <v>WM511</v>
      </c>
      <c r="AS1417" s="27" t="str">
        <f t="shared" si="624"/>
        <v>43</v>
      </c>
      <c r="AT1417" s="27" t="str">
        <f t="shared" si="625"/>
        <v/>
      </c>
      <c r="AU1417" s="27" t="str">
        <f t="shared" si="626"/>
        <v/>
      </c>
      <c r="AV1417" s="27" t="str">
        <f t="shared" si="627"/>
        <v/>
      </c>
      <c r="AW1417" s="27" t="str">
        <f t="shared" si="628"/>
        <v/>
      </c>
      <c r="AX1417" s="27" t="str">
        <f t="shared" si="629"/>
        <v/>
      </c>
      <c r="AY1417" s="27" t="str">
        <f t="shared" si="630"/>
        <v/>
      </c>
      <c r="AZ1417" s="27" t="str">
        <f t="shared" si="631"/>
        <v/>
      </c>
      <c r="BA1417" s="27" t="str">
        <f t="shared" si="632"/>
        <v/>
      </c>
      <c r="BB1417" s="27" t="str">
        <f t="shared" si="633"/>
        <v/>
      </c>
      <c r="BC1417" s="27" t="str">
        <f t="shared" si="634"/>
        <v/>
      </c>
      <c r="BD1417" s="27" t="str">
        <f t="shared" si="635"/>
        <v/>
      </c>
      <c r="BE1417" s="27" t="str">
        <f t="shared" si="636"/>
        <v/>
      </c>
      <c r="BF1417" s="27" t="str">
        <f t="shared" si="637"/>
        <v/>
      </c>
      <c r="BG1417" s="27" t="str">
        <f t="shared" si="638"/>
        <v/>
      </c>
      <c r="BH1417" s="27" t="str">
        <f t="shared" si="639"/>
        <v/>
      </c>
      <c r="BI1417" s="27" t="str">
        <f t="shared" si="640"/>
        <v/>
      </c>
      <c r="BJ1417" s="27" t="str">
        <f t="shared" si="641"/>
        <v/>
      </c>
      <c r="BK1417" s="27" t="str">
        <f t="shared" si="642"/>
        <v/>
      </c>
      <c r="BL1417" s="27" t="str">
        <f t="shared" si="643"/>
        <v/>
      </c>
      <c r="BM1417" s="21" t="s">
        <v>5581</v>
      </c>
    </row>
    <row r="1418" spans="1:65" ht="15">
      <c r="A1418" s="25" t="str">
        <f>IFERROR(INDEX('Hun Demand'!W:W,MATCH(O1418,'Hun Demand'!A:A,0)),"")</f>
        <v/>
      </c>
      <c r="B1418" s="25" t="str">
        <f>IFERROR(INDEX('Hun Demand'!V:V,MATCH(O1418,'Hun Demand'!A:A,0)),"")</f>
        <v/>
      </c>
      <c r="C1418" s="25" t="str">
        <f>IFERROR(INDEX('Hun Demand'!U:U,MATCH(O1418,'Hun Demand'!A:A,0)),"")</f>
        <v/>
      </c>
      <c r="D1418" s="25" t="str">
        <f>IFERROR(INDEX('Hun Demand'!T:T,MATCH(O1418,'Hun Demand'!A:A,0)),"")</f>
        <v/>
      </c>
      <c r="E1418" s="25" t="str">
        <f>IFERROR(INDEX('Hun Demand'!S:S,MATCH(O1418,'Hun Demand'!A:A,0)),"")</f>
        <v/>
      </c>
      <c r="F1418" s="25" t="str">
        <f>IFERROR(INDEX('Hun Demand'!R:R,MATCH(O1418,'Hun Demand'!A:A,0)),"")</f>
        <v/>
      </c>
      <c r="G1418" s="25">
        <f>IFERROR(INDEX('Aub Demand'!W:W,MATCH(O1418,'Aub Demand'!A:A,0)),"")</f>
        <v>0</v>
      </c>
      <c r="H1418" s="25">
        <f>IFERROR(INDEX('Aub Demand'!V:V,MATCH(O1418,'Aub Demand'!A:A,0)),"")</f>
        <v>0</v>
      </c>
      <c r="I1418" s="25">
        <f>IFERROR(INDEX('Aub Demand'!U:U,MATCH(O1418,'Aub Demand'!A:A,0)),"")</f>
        <v>0</v>
      </c>
      <c r="J1418" s="25">
        <f>IFERROR(INDEX('Aub Demand'!T:T,MATCH(O1418,'Aub Demand'!A:A,0)),"")</f>
        <v>0</v>
      </c>
      <c r="K1418" s="25">
        <f>IFERROR(INDEX('Aub Demand'!S:S,MATCH(O1418,'Aub Demand'!A:A,0)),"")</f>
        <v>0</v>
      </c>
      <c r="L1418" s="25">
        <f>IFERROR(INDEX('Aub Demand'!R:R,MATCH(O1418,'Aub Demand'!A:A,0)),"")</f>
        <v>0</v>
      </c>
      <c r="O1418" s="27" t="s">
        <v>1740</v>
      </c>
      <c r="P1418" s="27" t="str">
        <f>IFERROR(INDEX('Aub Demand'!B:B,MATCH($O1418,'Aub Demand'!$A:$A,0)),"")</f>
        <v>OPEN MAPLE LANE (L)</v>
      </c>
      <c r="Q1418" s="27" t="str">
        <f>IFERROR(INDEX('Aub Demand'!C:C,MATCH($O1418,'Aub Demand'!$A:$A,0)),"")</f>
        <v>SUDDE</v>
      </c>
      <c r="R1418" s="52">
        <f>IFERROR(IF(AR1419=AR1418,INDEX('Aub Demand'!K:K,MATCH($O1418,'Aub Demand'!$A:$A,0))-IF(AN1418="",0,AN1418)+AP1419,INDEX('Aub Demand'!K:K,MATCH($O1418,'Aub Demand'!$A:$A,0))-IF(AN1418="",0,AN1418)),"")</f>
        <v>569</v>
      </c>
      <c r="S1418" s="53" t="str">
        <f t="shared" si="616"/>
        <v>n/a</v>
      </c>
      <c r="T1418" s="52" t="str">
        <f t="shared" si="617"/>
        <v/>
      </c>
      <c r="U1418" s="52">
        <f>IFERROR(IF(AR1419=AR1418,INDEX('Aub Demand'!Q:Q,MATCH($O1418,'Aub Demand'!$A:$A,0))-IF(AN1418="",0,AN1418)+AP1419,INDEX('Aub Demand'!Q:Q,MATCH($O1418,'Aub Demand'!$A:$A,0))-IF(AN1418="",0,AN1418)),"")</f>
        <v>567</v>
      </c>
      <c r="V1418" s="53" t="str">
        <f t="shared" si="618"/>
        <v>n/a</v>
      </c>
      <c r="W1418" s="52" t="str">
        <f t="shared" si="619"/>
        <v/>
      </c>
      <c r="X1418" s="52">
        <f>IFERROR(IF(AND(AR1419=AR1418,AM1418&lt;&gt;""),INDEX('Aub Demand'!Q:Q,MATCH($O1418,'Aub Demand'!$A:$A,0))-IF(AN1418="",0,AN1418)+AP1419+AD1418+AL1418,IF(AR1419=AR1418,INDEX('Aub Demand'!Q:Q,MATCH($O1418,'Aub Demand'!$A:$A,0))-IF(AN1418="",0,AN1418)+AP1419+AD1418,IF(AM1418&lt;&gt;"",INDEX('Aub Demand'!Q:Q,MATCH($O1418,'Aub Demand'!$A:$A,0))-IF(AN1418="",0,AN1418)+AD1418+AL1418,INDEX('Aub Demand'!Q:Q,MATCH($O1418,'Aub Demand'!$A:$A,0))-IF(AN1418="",0,AN1418)+AD1418))),"")</f>
        <v>567</v>
      </c>
      <c r="Y1418" s="53" t="str">
        <f t="shared" si="620"/>
        <v>n/a</v>
      </c>
      <c r="Z1418" s="52">
        <f>IF(L1418="","",INDEX('Aub Demand'!H:H,MATCH($O1418,'Aub Demand'!$A:$A,0)))</f>
        <v>0</v>
      </c>
      <c r="AA1418" s="52" t="str">
        <f t="shared" si="621"/>
        <v>-spike-</v>
      </c>
      <c r="AB1418" s="52">
        <f>IFERROR(INDEX('Aub Demand'!L:L,MATCH($O1418,'Aub Demand'!$A:$A,0)),"")</f>
        <v>0</v>
      </c>
      <c r="AC1418" s="52">
        <f>IFERROR(IF(O1418="","",SUMIFS('CPL Mats'!F:F,'CPL Mats'!Q:Q,AR1418,'CPL Mats'!S:S,AS1418)),"")</f>
        <v>0</v>
      </c>
      <c r="AF1418" s="25" t="str">
        <f>IF(SUMIFS('Supp Consol'!S:S,'Supp Consol'!Y:Y,"Releasable",'Supp Consol'!A:A,O1418)=0,"",SUMIFS('Supp Consol'!S:S,'Supp Consol'!Y:Y,"Releasable",'Supp Consol'!A:A,O1418))</f>
        <v/>
      </c>
      <c r="AG1418" s="25" t="str">
        <f>IFERROR(INDEX('Hun Demand'!Q:Q,MATCH(O1418,'Hun Demand'!A:A,0)),"")</f>
        <v/>
      </c>
      <c r="AH1418" s="25" t="str">
        <f>IFERROR(INDEX('Hun Demand'!H:H,MATCH($O1418,'Hun Demand'!$A:$A,0)),"")</f>
        <v/>
      </c>
      <c r="AI1418" s="25" t="str">
        <f>IF(SUMIFS('Supp Consol'!AA:AA,'Supp Consol'!Z:Z,"Expires this month",'Supp Consol'!A:A,O1418)=0,"",SUMIFS('Supp Consol'!AA:AA,'Supp Consol'!Z:Z,"Expires this month",'Supp Consol'!A:A,O1418))</f>
        <v/>
      </c>
      <c r="AJ1418" s="25" t="str">
        <f>IF(SUMIFS('Supp Consol'!AA:AA,'Supp Consol'!Z:Z,"Expired Previous Months",'Supp Consol'!A:A,O1418)=0,"",SUMIFS('Supp Consol'!AA:AA,'Supp Consol'!Z:Z,"Expired Previous Months",'Supp Consol'!A:A,O1418))</f>
        <v/>
      </c>
      <c r="AK1418" s="25" t="str">
        <f>IFERROR(INDEX('Hun Release Current'!B:B,MATCH(O1418,'Hun Release Current'!A:A,0)),"")</f>
        <v/>
      </c>
      <c r="AL1418" s="25" t="str">
        <f>IF(SUMIF('Prev Aub'!A:A,O1418,'Prev Aub'!B:B)=0,"",SUMIF('Prev Aub'!A:A,O1418,'Prev Aub'!B:B))</f>
        <v/>
      </c>
      <c r="AN1418" s="25" t="s">
        <v>3790</v>
      </c>
      <c r="AO1418" s="25" t="s">
        <v>3790</v>
      </c>
      <c r="AP1418" s="25">
        <f t="shared" si="622"/>
        <v>0</v>
      </c>
      <c r="AQ1418" s="151" t="str">
        <f>IF(SUMIFS('Supp Consol'!S:S,'Supp Consol'!A:A,O1418,'Supp Consol'!I:I,"PENDING")=0,"",SUMIFS('Supp Consol'!S:S,'Supp Consol'!A:A,O1418,'Supp Consol'!I:I,"PENDING"))</f>
        <v/>
      </c>
      <c r="AR1418" s="27" t="str">
        <f t="shared" si="623"/>
        <v>WM521</v>
      </c>
      <c r="AS1418" s="27" t="str">
        <f t="shared" si="624"/>
        <v>62</v>
      </c>
      <c r="AT1418" s="27" t="str">
        <f t="shared" si="625"/>
        <v/>
      </c>
      <c r="AU1418" s="27" t="str">
        <f t="shared" si="626"/>
        <v/>
      </c>
      <c r="AV1418" s="27" t="str">
        <f t="shared" si="627"/>
        <v/>
      </c>
      <c r="AW1418" s="27" t="str">
        <f t="shared" si="628"/>
        <v/>
      </c>
      <c r="AX1418" s="27" t="str">
        <f t="shared" si="629"/>
        <v/>
      </c>
      <c r="AY1418" s="27" t="str">
        <f t="shared" si="630"/>
        <v/>
      </c>
      <c r="AZ1418" s="27" t="str">
        <f t="shared" si="631"/>
        <v/>
      </c>
      <c r="BA1418" s="27" t="str">
        <f t="shared" si="632"/>
        <v/>
      </c>
      <c r="BB1418" s="27" t="str">
        <f t="shared" si="633"/>
        <v/>
      </c>
      <c r="BC1418" s="27" t="str">
        <f t="shared" si="634"/>
        <v/>
      </c>
      <c r="BD1418" s="27" t="str">
        <f t="shared" si="635"/>
        <v/>
      </c>
      <c r="BE1418" s="27" t="str">
        <f t="shared" si="636"/>
        <v/>
      </c>
      <c r="BF1418" s="27" t="str">
        <f t="shared" si="637"/>
        <v/>
      </c>
      <c r="BG1418" s="27" t="str">
        <f t="shared" si="638"/>
        <v/>
      </c>
      <c r="BH1418" s="27" t="str">
        <f t="shared" si="639"/>
        <v/>
      </c>
      <c r="BI1418" s="27" t="str">
        <f t="shared" si="640"/>
        <v/>
      </c>
      <c r="BJ1418" s="27" t="str">
        <f t="shared" si="641"/>
        <v/>
      </c>
      <c r="BK1418" s="27" t="str">
        <f t="shared" si="642"/>
        <v/>
      </c>
      <c r="BL1418" s="27" t="str">
        <f t="shared" si="643"/>
        <v/>
      </c>
      <c r="BM1418" s="21" t="s">
        <v>5581</v>
      </c>
    </row>
    <row r="1419" spans="1:65" ht="15">
      <c r="A1419" s="25" t="str">
        <f>IFERROR(INDEX('Hun Demand'!W:W,MATCH(O1419,'Hun Demand'!A:A,0)),"")</f>
        <v/>
      </c>
      <c r="B1419" s="25" t="str">
        <f>IFERROR(INDEX('Hun Demand'!V:V,MATCH(O1419,'Hun Demand'!A:A,0)),"")</f>
        <v/>
      </c>
      <c r="C1419" s="25" t="str">
        <f>IFERROR(INDEX('Hun Demand'!U:U,MATCH(O1419,'Hun Demand'!A:A,0)),"")</f>
        <v/>
      </c>
      <c r="D1419" s="25" t="str">
        <f>IFERROR(INDEX('Hun Demand'!T:T,MATCH(O1419,'Hun Demand'!A:A,0)),"")</f>
        <v/>
      </c>
      <c r="E1419" s="25" t="str">
        <f>IFERROR(INDEX('Hun Demand'!S:S,MATCH(O1419,'Hun Demand'!A:A,0)),"")</f>
        <v/>
      </c>
      <c r="F1419" s="25" t="str">
        <f>IFERROR(INDEX('Hun Demand'!R:R,MATCH(O1419,'Hun Demand'!A:A,0)),"")</f>
        <v/>
      </c>
      <c r="G1419" s="25">
        <f>IFERROR(INDEX('Aub Demand'!W:W,MATCH(O1419,'Aub Demand'!A:A,0)),"")</f>
        <v>1040</v>
      </c>
      <c r="H1419" s="25">
        <f>IFERROR(INDEX('Aub Demand'!V:V,MATCH(O1419,'Aub Demand'!A:A,0)),"")</f>
        <v>70</v>
      </c>
      <c r="I1419" s="25">
        <f>IFERROR(INDEX('Aub Demand'!U:U,MATCH(O1419,'Aub Demand'!A:A,0)),"")</f>
        <v>110</v>
      </c>
      <c r="J1419" s="25">
        <f>IFERROR(INDEX('Aub Demand'!T:T,MATCH(O1419,'Aub Demand'!A:A,0)),"")</f>
        <v>294</v>
      </c>
      <c r="K1419" s="25">
        <f>IFERROR(INDEX('Aub Demand'!S:S,MATCH(O1419,'Aub Demand'!A:A,0)),"")</f>
        <v>422</v>
      </c>
      <c r="L1419" s="25">
        <f>IFERROR(INDEX('Aub Demand'!R:R,MATCH(O1419,'Aub Demand'!A:A,0)),"")</f>
        <v>90</v>
      </c>
      <c r="O1419" s="27" t="s">
        <v>3011</v>
      </c>
      <c r="P1419" s="27" t="str">
        <f>IFERROR(INDEX('Aub Demand'!B:B,MATCH($O1419,'Aub Demand'!$A:$A,0)),"")</f>
        <v>VERMONT MAPLE 50"</v>
      </c>
      <c r="Q1419" s="27" t="str">
        <f>IFERROR(INDEX('Aub Demand'!C:C,MATCH($O1419,'Aub Demand'!$A:$A,0)),"")</f>
        <v>INTER</v>
      </c>
      <c r="R1419" s="52">
        <f>IFERROR(IF(AR1420=AR1419,INDEX('Aub Demand'!K:K,MATCH($O1419,'Aub Demand'!$A:$A,0))-IF(AN1419="",0,AN1419)+AP1420,INDEX('Aub Demand'!K:K,MATCH($O1419,'Aub Demand'!$A:$A,0))-IF(AN1419="",0,AN1419)),"")</f>
        <v>117</v>
      </c>
      <c r="S1419" s="53">
        <f t="shared" si="616"/>
        <v>1.8</v>
      </c>
      <c r="T1419" s="52">
        <f t="shared" si="617"/>
        <v>107.39999999999999</v>
      </c>
      <c r="U1419" s="52">
        <f>IFERROR(IF(AR1420=AR1419,INDEX('Aub Demand'!Q:Q,MATCH($O1419,'Aub Demand'!$A:$A,0))-IF(AN1419="",0,AN1419)+AP1420,INDEX('Aub Demand'!Q:Q,MATCH($O1419,'Aub Demand'!$A:$A,0))-IF(AN1419="",0,AN1419)),"")</f>
        <v>77</v>
      </c>
      <c r="V1419" s="53">
        <f t="shared" si="618"/>
        <v>1.2</v>
      </c>
      <c r="W1419" s="52">
        <f t="shared" si="619"/>
        <v>161.1</v>
      </c>
      <c r="X1419" s="52">
        <f>IFERROR(IF(AND(AR1420=AR1419,AM1419&lt;&gt;""),INDEX('Aub Demand'!Q:Q,MATCH($O1419,'Aub Demand'!$A:$A,0))-IF(AN1419="",0,AN1419)+AP1420+AD1419+AL1419,IF(AR1420=AR1419,INDEX('Aub Demand'!Q:Q,MATCH($O1419,'Aub Demand'!$A:$A,0))-IF(AN1419="",0,AN1419)+AP1420+AD1419,IF(AM1419&lt;&gt;"",INDEX('Aub Demand'!Q:Q,MATCH($O1419,'Aub Demand'!$A:$A,0))-IF(AN1419="",0,AN1419)+AD1419+AL1419,INDEX('Aub Demand'!Q:Q,MATCH($O1419,'Aub Demand'!$A:$A,0))-IF(AN1419="",0,AN1419)+AD1419))),"")</f>
        <v>77</v>
      </c>
      <c r="Y1419" s="53">
        <f t="shared" si="620"/>
        <v>1.2</v>
      </c>
      <c r="Z1419" s="52">
        <f>IF(L1419="","",INDEX('Aub Demand'!H:H,MATCH($O1419,'Aub Demand'!$A:$A,0)))</f>
        <v>275</v>
      </c>
      <c r="AA1419" s="52">
        <f t="shared" si="621"/>
        <v>358</v>
      </c>
      <c r="AB1419" s="52">
        <f>IFERROR(INDEX('Aub Demand'!L:L,MATCH($O1419,'Aub Demand'!$A:$A,0)),"")</f>
        <v>447</v>
      </c>
      <c r="AC1419" s="52">
        <f>IFERROR(IF(O1419="","",SUMIFS('CPL Mats'!F:F,'CPL Mats'!Q:Q,AR1419,'CPL Mats'!S:S,AS1419)),"")</f>
        <v>387.74</v>
      </c>
      <c r="AF1419" s="25" t="str">
        <f>IF(SUMIFS('Supp Consol'!S:S,'Supp Consol'!Y:Y,"Releasable",'Supp Consol'!A:A,O1419)=0,"",SUMIFS('Supp Consol'!S:S,'Supp Consol'!Y:Y,"Releasable",'Supp Consol'!A:A,O1419))</f>
        <v/>
      </c>
      <c r="AG1419" s="25" t="str">
        <f>IFERROR(INDEX('Hun Demand'!Q:Q,MATCH(O1419,'Hun Demand'!A:A,0)),"")</f>
        <v/>
      </c>
      <c r="AH1419" s="25" t="str">
        <f>IFERROR(INDEX('Hun Demand'!H:H,MATCH($O1419,'Hun Demand'!$A:$A,0)),"")</f>
        <v/>
      </c>
      <c r="AI1419" s="25" t="str">
        <f>IF(SUMIFS('Supp Consol'!AA:AA,'Supp Consol'!Z:Z,"Expires this month",'Supp Consol'!A:A,O1419)=0,"",SUMIFS('Supp Consol'!AA:AA,'Supp Consol'!Z:Z,"Expires this month",'Supp Consol'!A:A,O1419))</f>
        <v/>
      </c>
      <c r="AJ1419" s="25" t="str">
        <f>IF(SUMIFS('Supp Consol'!AA:AA,'Supp Consol'!Z:Z,"Expired Previous Months",'Supp Consol'!A:A,O1419)=0,"",SUMIFS('Supp Consol'!AA:AA,'Supp Consol'!Z:Z,"Expired Previous Months",'Supp Consol'!A:A,O1419))</f>
        <v/>
      </c>
      <c r="AK1419" s="25" t="str">
        <f>IFERROR(INDEX('Hun Release Current'!B:B,MATCH(O1419,'Hun Release Current'!A:A,0)),"")</f>
        <v/>
      </c>
      <c r="AL1419" s="25" t="str">
        <f>IF(SUMIF('Prev Aub'!A:A,O1419,'Prev Aub'!B:B)=0,"",SUMIF('Prev Aub'!A:A,O1419,'Prev Aub'!B:B))</f>
        <v/>
      </c>
      <c r="AN1419" s="25" t="s">
        <v>3790</v>
      </c>
      <c r="AO1419" s="25" t="s">
        <v>3790</v>
      </c>
      <c r="AP1419" s="25">
        <f t="shared" si="622"/>
        <v>0</v>
      </c>
      <c r="AQ1419" s="151" t="str">
        <f>IF(SUMIFS('Supp Consol'!S:S,'Supp Consol'!A:A,O1419,'Supp Consol'!I:I,"PENDING")=0,"",SUMIFS('Supp Consol'!S:S,'Supp Consol'!A:A,O1419,'Supp Consol'!I:I,"PENDING"))</f>
        <v/>
      </c>
      <c r="AR1419" s="27" t="str">
        <f t="shared" si="623"/>
        <v>WM528</v>
      </c>
      <c r="AS1419" s="27" t="str">
        <f t="shared" si="624"/>
        <v>50</v>
      </c>
      <c r="AT1419" s="27" t="str">
        <f t="shared" si="625"/>
        <v>WM528</v>
      </c>
      <c r="AU1419" s="27" t="str">
        <f t="shared" si="626"/>
        <v>WM528</v>
      </c>
      <c r="AV1419" s="27" t="str">
        <f t="shared" si="627"/>
        <v>WM528</v>
      </c>
      <c r="AW1419" s="27" t="str">
        <f t="shared" si="628"/>
        <v/>
      </c>
      <c r="AX1419" s="27" t="str">
        <f t="shared" si="629"/>
        <v/>
      </c>
      <c r="AY1419" s="27" t="str">
        <f t="shared" si="630"/>
        <v/>
      </c>
      <c r="AZ1419" s="27" t="str">
        <f t="shared" si="631"/>
        <v/>
      </c>
      <c r="BA1419" s="27" t="str">
        <f t="shared" si="632"/>
        <v/>
      </c>
      <c r="BB1419" s="27" t="str">
        <f t="shared" si="633"/>
        <v>Gross</v>
      </c>
      <c r="BC1419" s="27" t="str">
        <f t="shared" si="634"/>
        <v>Net</v>
      </c>
      <c r="BD1419" s="27" t="str">
        <f t="shared" si="635"/>
        <v>Net</v>
      </c>
      <c r="BE1419" s="27" t="str">
        <f t="shared" si="636"/>
        <v/>
      </c>
      <c r="BF1419" s="27" t="str">
        <f t="shared" si="637"/>
        <v/>
      </c>
      <c r="BG1419" s="27" t="str">
        <f t="shared" si="638"/>
        <v/>
      </c>
      <c r="BH1419" s="27" t="str">
        <f t="shared" si="639"/>
        <v/>
      </c>
      <c r="BI1419" s="27" t="str">
        <f t="shared" si="640"/>
        <v/>
      </c>
      <c r="BJ1419" s="27" t="str">
        <f t="shared" si="641"/>
        <v/>
      </c>
      <c r="BK1419" s="27" t="str">
        <f t="shared" si="642"/>
        <v/>
      </c>
      <c r="BL1419" s="27" t="str">
        <f t="shared" si="643"/>
        <v/>
      </c>
      <c r="BM1419" s="21" t="s">
        <v>5581</v>
      </c>
    </row>
    <row r="1420" spans="1:65" ht="15">
      <c r="A1420" s="25" t="str">
        <f>IFERROR(INDEX('Hun Demand'!W:W,MATCH(O1420,'Hun Demand'!A:A,0)),"")</f>
        <v/>
      </c>
      <c r="B1420" s="25" t="str">
        <f>IFERROR(INDEX('Hun Demand'!V:V,MATCH(O1420,'Hun Demand'!A:A,0)),"")</f>
        <v/>
      </c>
      <c r="C1420" s="25" t="str">
        <f>IFERROR(INDEX('Hun Demand'!U:U,MATCH(O1420,'Hun Demand'!A:A,0)),"")</f>
        <v/>
      </c>
      <c r="D1420" s="25" t="str">
        <f>IFERROR(INDEX('Hun Demand'!T:T,MATCH(O1420,'Hun Demand'!A:A,0)),"")</f>
        <v/>
      </c>
      <c r="E1420" s="25" t="str">
        <f>IFERROR(INDEX('Hun Demand'!S:S,MATCH(O1420,'Hun Demand'!A:A,0)),"")</f>
        <v/>
      </c>
      <c r="F1420" s="25" t="str">
        <f>IFERROR(INDEX('Hun Demand'!R:R,MATCH(O1420,'Hun Demand'!A:A,0)),"")</f>
        <v/>
      </c>
      <c r="G1420" s="25">
        <f>IFERROR(INDEX('Aub Demand'!W:W,MATCH(O1420,'Aub Demand'!A:A,0)),"")</f>
        <v>98</v>
      </c>
      <c r="H1420" s="25">
        <f>IFERROR(INDEX('Aub Demand'!V:V,MATCH(O1420,'Aub Demand'!A:A,0)),"")</f>
        <v>0</v>
      </c>
      <c r="I1420" s="25">
        <f>IFERROR(INDEX('Aub Demand'!U:U,MATCH(O1420,'Aub Demand'!A:A,0)),"")</f>
        <v>71</v>
      </c>
      <c r="J1420" s="25">
        <f>IFERROR(INDEX('Aub Demand'!T:T,MATCH(O1420,'Aub Demand'!A:A,0)),"")</f>
        <v>70</v>
      </c>
      <c r="K1420" s="25">
        <f>IFERROR(INDEX('Aub Demand'!S:S,MATCH(O1420,'Aub Demand'!A:A,0)),"")</f>
        <v>117</v>
      </c>
      <c r="L1420" s="25">
        <f>IFERROR(INDEX('Aub Demand'!R:R,MATCH(O1420,'Aub Demand'!A:A,0)),"")</f>
        <v>0</v>
      </c>
      <c r="O1420" s="27" t="s">
        <v>3014</v>
      </c>
      <c r="P1420" s="27" t="str">
        <f>IFERROR(INDEX('Aub Demand'!B:B,MATCH($O1420,'Aub Demand'!$A:$A,0)),"")</f>
        <v>VERMONT MAPLE 62"</v>
      </c>
      <c r="Q1420" s="27" t="str">
        <f>IFERROR(INDEX('Aub Demand'!C:C,MATCH($O1420,'Aub Demand'!$A:$A,0)),"")</f>
        <v>INTER</v>
      </c>
      <c r="R1420" s="52">
        <f>IFERROR(IF(AR1421=AR1420,INDEX('Aub Demand'!K:K,MATCH($O1420,'Aub Demand'!$A:$A,0))-IF(AN1420="",0,AN1420)+AP1421,INDEX('Aub Demand'!K:K,MATCH($O1420,'Aub Demand'!$A:$A,0))-IF(AN1420="",0,AN1420)),"")</f>
        <v>2828</v>
      </c>
      <c r="S1420" s="53">
        <f t="shared" si="616"/>
        <v>140.9</v>
      </c>
      <c r="T1420" s="52" t="str">
        <f t="shared" si="617"/>
        <v/>
      </c>
      <c r="U1420" s="52">
        <f>IFERROR(IF(AR1421=AR1420,INDEX('Aub Demand'!Q:Q,MATCH($O1420,'Aub Demand'!$A:$A,0))-IF(AN1420="",0,AN1420)+AP1421,INDEX('Aub Demand'!Q:Q,MATCH($O1420,'Aub Demand'!$A:$A,0))-IF(AN1420="",0,AN1420)),"")</f>
        <v>2748</v>
      </c>
      <c r="V1420" s="53">
        <f t="shared" si="618"/>
        <v>136.9</v>
      </c>
      <c r="W1420" s="52" t="str">
        <f t="shared" si="619"/>
        <v/>
      </c>
      <c r="X1420" s="52">
        <f>IFERROR(IF(AND(AR1421=AR1420,AM1420&lt;&gt;""),INDEX('Aub Demand'!Q:Q,MATCH($O1420,'Aub Demand'!$A:$A,0))-IF(AN1420="",0,AN1420)+AP1421+AD1420+AL1420,IF(AR1421=AR1420,INDEX('Aub Demand'!Q:Q,MATCH($O1420,'Aub Demand'!$A:$A,0))-IF(AN1420="",0,AN1420)+AP1421+AD1420,IF(AM1420&lt;&gt;"",INDEX('Aub Demand'!Q:Q,MATCH($O1420,'Aub Demand'!$A:$A,0))-IF(AN1420="",0,AN1420)+AD1420+AL1420,INDEX('Aub Demand'!Q:Q,MATCH($O1420,'Aub Demand'!$A:$A,0))-IF(AN1420="",0,AN1420)+AD1420))),"")</f>
        <v>2748</v>
      </c>
      <c r="Y1420" s="53">
        <f t="shared" si="620"/>
        <v>136.9</v>
      </c>
      <c r="Z1420" s="52">
        <f>IF(L1420="","",INDEX('Aub Demand'!H:H,MATCH($O1420,'Aub Demand'!$A:$A,0)))</f>
        <v>86</v>
      </c>
      <c r="AA1420" s="52">
        <f t="shared" si="621"/>
        <v>94</v>
      </c>
      <c r="AB1420" s="52">
        <f>IFERROR(INDEX('Aub Demand'!L:L,MATCH($O1420,'Aub Demand'!$A:$A,0)),"")</f>
        <v>68</v>
      </c>
      <c r="AC1420" s="52">
        <f>IFERROR(IF(O1420="","",SUMIFS('CPL Mats'!F:F,'CPL Mats'!Q:Q,AR1420,'CPL Mats'!S:S,AS1420)),"")</f>
        <v>0</v>
      </c>
      <c r="AF1420" s="25" t="str">
        <f>IF(SUMIFS('Supp Consol'!S:S,'Supp Consol'!Y:Y,"Releasable",'Supp Consol'!A:A,O1420)=0,"",SUMIFS('Supp Consol'!S:S,'Supp Consol'!Y:Y,"Releasable",'Supp Consol'!A:A,O1420))</f>
        <v/>
      </c>
      <c r="AG1420" s="25" t="str">
        <f>IFERROR(INDEX('Hun Demand'!Q:Q,MATCH(O1420,'Hun Demand'!A:A,0)),"")</f>
        <v/>
      </c>
      <c r="AH1420" s="25" t="str">
        <f>IFERROR(INDEX('Hun Demand'!H:H,MATCH($O1420,'Hun Demand'!$A:$A,0)),"")</f>
        <v/>
      </c>
      <c r="AI1420" s="25" t="str">
        <f>IF(SUMIFS('Supp Consol'!AA:AA,'Supp Consol'!Z:Z,"Expires this month",'Supp Consol'!A:A,O1420)=0,"",SUMIFS('Supp Consol'!AA:AA,'Supp Consol'!Z:Z,"Expires this month",'Supp Consol'!A:A,O1420))</f>
        <v/>
      </c>
      <c r="AJ1420" s="25" t="str">
        <f>IF(SUMIFS('Supp Consol'!AA:AA,'Supp Consol'!Z:Z,"Expired Previous Months",'Supp Consol'!A:A,O1420)=0,"",SUMIFS('Supp Consol'!AA:AA,'Supp Consol'!Z:Z,"Expired Previous Months",'Supp Consol'!A:A,O1420))</f>
        <v/>
      </c>
      <c r="AK1420" s="25" t="str">
        <f>IFERROR(INDEX('Hun Release Current'!B:B,MATCH(O1420,'Hun Release Current'!A:A,0)),"")</f>
        <v/>
      </c>
      <c r="AL1420" s="25" t="str">
        <f>IF(SUMIF('Prev Aub'!A:A,O1420,'Prev Aub'!B:B)=0,"",SUMIF('Prev Aub'!A:A,O1420,'Prev Aub'!B:B))</f>
        <v/>
      </c>
      <c r="AN1420" s="25" t="s">
        <v>3790</v>
      </c>
      <c r="AO1420" s="25" t="s">
        <v>3790</v>
      </c>
      <c r="AP1420" s="25">
        <f t="shared" si="622"/>
        <v>0</v>
      </c>
      <c r="AQ1420" s="151" t="str">
        <f>IF(SUMIFS('Supp Consol'!S:S,'Supp Consol'!A:A,O1420,'Supp Consol'!I:I,"PENDING")=0,"",SUMIFS('Supp Consol'!S:S,'Supp Consol'!A:A,O1420,'Supp Consol'!I:I,"PENDING"))</f>
        <v/>
      </c>
      <c r="AR1420" s="27" t="str">
        <f t="shared" si="623"/>
        <v>WM528</v>
      </c>
      <c r="AS1420" s="27" t="str">
        <f t="shared" si="624"/>
        <v>62</v>
      </c>
      <c r="AT1420" s="27" t="str">
        <f t="shared" si="625"/>
        <v/>
      </c>
      <c r="AU1420" s="27" t="str">
        <f t="shared" si="626"/>
        <v/>
      </c>
      <c r="AV1420" s="27" t="str">
        <f t="shared" si="627"/>
        <v/>
      </c>
      <c r="AW1420" s="27" t="str">
        <f t="shared" si="628"/>
        <v/>
      </c>
      <c r="AX1420" s="27" t="str">
        <f t="shared" si="629"/>
        <v/>
      </c>
      <c r="AY1420" s="27" t="str">
        <f t="shared" si="630"/>
        <v/>
      </c>
      <c r="AZ1420" s="27" t="str">
        <f t="shared" si="631"/>
        <v/>
      </c>
      <c r="BA1420" s="27" t="str">
        <f t="shared" si="632"/>
        <v/>
      </c>
      <c r="BB1420" s="27" t="str">
        <f t="shared" si="633"/>
        <v>Gross</v>
      </c>
      <c r="BC1420" s="27" t="str">
        <f t="shared" si="634"/>
        <v>Net</v>
      </c>
      <c r="BD1420" s="27" t="str">
        <f t="shared" si="635"/>
        <v>Net</v>
      </c>
      <c r="BE1420" s="27" t="str">
        <f t="shared" si="636"/>
        <v/>
      </c>
      <c r="BF1420" s="27" t="str">
        <f t="shared" si="637"/>
        <v/>
      </c>
      <c r="BG1420" s="27" t="str">
        <f t="shared" si="638"/>
        <v/>
      </c>
      <c r="BH1420" s="27" t="str">
        <f t="shared" si="639"/>
        <v/>
      </c>
      <c r="BI1420" s="27" t="str">
        <f t="shared" si="640"/>
        <v/>
      </c>
      <c r="BJ1420" s="27" t="str">
        <f t="shared" si="641"/>
        <v/>
      </c>
      <c r="BK1420" s="27" t="str">
        <f t="shared" si="642"/>
        <v/>
      </c>
      <c r="BL1420" s="27" t="str">
        <f t="shared" si="643"/>
        <v/>
      </c>
      <c r="BM1420" s="21" t="s">
        <v>5581</v>
      </c>
    </row>
    <row r="1421" spans="1:65" ht="15">
      <c r="A1421" s="25" t="str">
        <f>IFERROR(INDEX('Hun Demand'!W:W,MATCH(O1421,'Hun Demand'!A:A,0)),"")</f>
        <v/>
      </c>
      <c r="B1421" s="25" t="str">
        <f>IFERROR(INDEX('Hun Demand'!V:V,MATCH(O1421,'Hun Demand'!A:A,0)),"")</f>
        <v/>
      </c>
      <c r="C1421" s="25" t="str">
        <f>IFERROR(INDEX('Hun Demand'!U:U,MATCH(O1421,'Hun Demand'!A:A,0)),"")</f>
        <v/>
      </c>
      <c r="D1421" s="25" t="str">
        <f>IFERROR(INDEX('Hun Demand'!T:T,MATCH(O1421,'Hun Demand'!A:A,0)),"")</f>
        <v/>
      </c>
      <c r="E1421" s="25" t="str">
        <f>IFERROR(INDEX('Hun Demand'!S:S,MATCH(O1421,'Hun Demand'!A:A,0)),"")</f>
        <v/>
      </c>
      <c r="F1421" s="25" t="str">
        <f>IFERROR(INDEX('Hun Demand'!R:R,MATCH(O1421,'Hun Demand'!A:A,0)),"")</f>
        <v/>
      </c>
      <c r="G1421" s="25">
        <f>IFERROR(INDEX('Aub Demand'!W:W,MATCH(O1421,'Aub Demand'!A:A,0)),"")</f>
        <v>0</v>
      </c>
      <c r="H1421" s="25">
        <f>IFERROR(INDEX('Aub Demand'!V:V,MATCH(O1421,'Aub Demand'!A:A,0)),"")</f>
        <v>0</v>
      </c>
      <c r="I1421" s="25">
        <f>IFERROR(INDEX('Aub Demand'!U:U,MATCH(O1421,'Aub Demand'!A:A,0)),"")</f>
        <v>0</v>
      </c>
      <c r="J1421" s="25">
        <f>IFERROR(INDEX('Aub Demand'!T:T,MATCH(O1421,'Aub Demand'!A:A,0)),"")</f>
        <v>0</v>
      </c>
      <c r="K1421" s="25">
        <f>IFERROR(INDEX('Aub Demand'!S:S,MATCH(O1421,'Aub Demand'!A:A,0)),"")</f>
        <v>120</v>
      </c>
      <c r="L1421" s="25">
        <f>IFERROR(INDEX('Aub Demand'!R:R,MATCH(O1421,'Aub Demand'!A:A,0)),"")</f>
        <v>0</v>
      </c>
      <c r="O1421" s="27" t="s">
        <v>1742</v>
      </c>
      <c r="P1421" s="27" t="str">
        <f>IFERROR(INDEX('Aub Demand'!B:B,MATCH($O1421,'Aub Demand'!$A:$A,0)),"")</f>
        <v>OPEN MAPLE LANE (R)</v>
      </c>
      <c r="Q1421" s="27" t="str">
        <f>IFERROR(INDEX('Aub Demand'!C:C,MATCH($O1421,'Aub Demand'!$A:$A,0)),"")</f>
        <v>SUDDE</v>
      </c>
      <c r="R1421" s="52">
        <f>IFERROR(IF(AR1422=AR1421,INDEX('Aub Demand'!K:K,MATCH($O1421,'Aub Demand'!$A:$A,0))-IF(AN1421="",0,AN1421)+AP1422,INDEX('Aub Demand'!K:K,MATCH($O1421,'Aub Demand'!$A:$A,0))-IF(AN1421="",0,AN1421)),"")</f>
        <v>1865</v>
      </c>
      <c r="S1421" s="53">
        <f t="shared" si="616"/>
        <v>199.8</v>
      </c>
      <c r="T1421" s="52" t="str">
        <f t="shared" si="617"/>
        <v/>
      </c>
      <c r="U1421" s="52">
        <f>IFERROR(IF(AR1422=AR1421,INDEX('Aub Demand'!Q:Q,MATCH($O1421,'Aub Demand'!$A:$A,0))-IF(AN1421="",0,AN1421)+AP1422,INDEX('Aub Demand'!Q:Q,MATCH($O1421,'Aub Demand'!$A:$A,0))-IF(AN1421="",0,AN1421)),"")</f>
        <v>1832</v>
      </c>
      <c r="V1421" s="53">
        <f t="shared" si="618"/>
        <v>196.3</v>
      </c>
      <c r="W1421" s="52" t="str">
        <f t="shared" si="619"/>
        <v/>
      </c>
      <c r="X1421" s="52">
        <f>IFERROR(IF(AND(AR1422=AR1421,AM1421&lt;&gt;""),INDEX('Aub Demand'!Q:Q,MATCH($O1421,'Aub Demand'!$A:$A,0))-IF(AN1421="",0,AN1421)+AP1422+AD1421+AL1421,IF(AR1422=AR1421,INDEX('Aub Demand'!Q:Q,MATCH($O1421,'Aub Demand'!$A:$A,0))-IF(AN1421="",0,AN1421)+AP1422+AD1421,IF(AM1421&lt;&gt;"",INDEX('Aub Demand'!Q:Q,MATCH($O1421,'Aub Demand'!$A:$A,0))-IF(AN1421="",0,AN1421)+AD1421+AL1421,INDEX('Aub Demand'!Q:Q,MATCH($O1421,'Aub Demand'!$A:$A,0))-IF(AN1421="",0,AN1421)+AD1421))),"")</f>
        <v>1832</v>
      </c>
      <c r="Y1421" s="53">
        <f t="shared" si="620"/>
        <v>196.3</v>
      </c>
      <c r="Z1421" s="52">
        <f>IF(L1421="","",INDEX('Aub Demand'!H:H,MATCH($O1421,'Aub Demand'!$A:$A,0)))</f>
        <v>40</v>
      </c>
      <c r="AA1421" s="52" t="str">
        <f t="shared" si="621"/>
        <v>-spike-</v>
      </c>
      <c r="AB1421" s="52">
        <f>IFERROR(INDEX('Aub Demand'!L:L,MATCH($O1421,'Aub Demand'!$A:$A,0)),"")</f>
        <v>19</v>
      </c>
      <c r="AC1421" s="52">
        <f>IFERROR(IF(O1421="","",SUMIFS('CPL Mats'!F:F,'CPL Mats'!Q:Q,AR1421,'CPL Mats'!S:S,AS1421)),"")</f>
        <v>0</v>
      </c>
      <c r="AF1421" s="25" t="str">
        <f>IF(SUMIFS('Supp Consol'!S:S,'Supp Consol'!Y:Y,"Releasable",'Supp Consol'!A:A,O1421)=0,"",SUMIFS('Supp Consol'!S:S,'Supp Consol'!Y:Y,"Releasable",'Supp Consol'!A:A,O1421))</f>
        <v/>
      </c>
      <c r="AG1421" s="25" t="str">
        <f>IFERROR(INDEX('Hun Demand'!Q:Q,MATCH(O1421,'Hun Demand'!A:A,0)),"")</f>
        <v/>
      </c>
      <c r="AH1421" s="25" t="str">
        <f>IFERROR(INDEX('Hun Demand'!H:H,MATCH($O1421,'Hun Demand'!$A:$A,0)),"")</f>
        <v/>
      </c>
      <c r="AI1421" s="25" t="str">
        <f>IF(SUMIFS('Supp Consol'!AA:AA,'Supp Consol'!Z:Z,"Expires this month",'Supp Consol'!A:A,O1421)=0,"",SUMIFS('Supp Consol'!AA:AA,'Supp Consol'!Z:Z,"Expires this month",'Supp Consol'!A:A,O1421))</f>
        <v/>
      </c>
      <c r="AJ1421" s="25" t="str">
        <f>IF(SUMIFS('Supp Consol'!AA:AA,'Supp Consol'!Z:Z,"Expired Previous Months",'Supp Consol'!A:A,O1421)=0,"",SUMIFS('Supp Consol'!AA:AA,'Supp Consol'!Z:Z,"Expired Previous Months",'Supp Consol'!A:A,O1421))</f>
        <v/>
      </c>
      <c r="AK1421" s="25" t="str">
        <f>IFERROR(INDEX('Hun Release Current'!B:B,MATCH(O1421,'Hun Release Current'!A:A,0)),"")</f>
        <v/>
      </c>
      <c r="AL1421" s="25" t="str">
        <f>IF(SUMIF('Prev Aub'!A:A,O1421,'Prev Aub'!B:B)=0,"",SUMIF('Prev Aub'!A:A,O1421,'Prev Aub'!B:B))</f>
        <v/>
      </c>
      <c r="AN1421" s="25" t="s">
        <v>3790</v>
      </c>
      <c r="AO1421" s="25" t="s">
        <v>3790</v>
      </c>
      <c r="AP1421" s="25">
        <f t="shared" si="622"/>
        <v>0</v>
      </c>
      <c r="AQ1421" s="151" t="str">
        <f>IF(SUMIFS('Supp Consol'!S:S,'Supp Consol'!A:A,O1421,'Supp Consol'!I:I,"PENDING")=0,"",SUMIFS('Supp Consol'!S:S,'Supp Consol'!A:A,O1421,'Supp Consol'!I:I,"PENDING"))</f>
        <v/>
      </c>
      <c r="AR1421" s="27" t="str">
        <f t="shared" si="623"/>
        <v>WM531</v>
      </c>
      <c r="AS1421" s="27" t="str">
        <f t="shared" si="624"/>
        <v>62</v>
      </c>
      <c r="AT1421" s="27" t="str">
        <f t="shared" si="625"/>
        <v/>
      </c>
      <c r="AU1421" s="27" t="str">
        <f t="shared" si="626"/>
        <v/>
      </c>
      <c r="AV1421" s="27" t="str">
        <f t="shared" si="627"/>
        <v/>
      </c>
      <c r="AW1421" s="27" t="str">
        <f t="shared" si="628"/>
        <v/>
      </c>
      <c r="AX1421" s="27" t="str">
        <f t="shared" si="629"/>
        <v/>
      </c>
      <c r="AY1421" s="27" t="str">
        <f t="shared" si="630"/>
        <v/>
      </c>
      <c r="AZ1421" s="27" t="str">
        <f t="shared" si="631"/>
        <v/>
      </c>
      <c r="BA1421" s="27" t="str">
        <f t="shared" si="632"/>
        <v/>
      </c>
      <c r="BB1421" s="27" t="str">
        <f t="shared" si="633"/>
        <v/>
      </c>
      <c r="BC1421" s="27" t="str">
        <f t="shared" si="634"/>
        <v/>
      </c>
      <c r="BD1421" s="27" t="str">
        <f t="shared" si="635"/>
        <v/>
      </c>
      <c r="BE1421" s="27" t="str">
        <f t="shared" si="636"/>
        <v/>
      </c>
      <c r="BF1421" s="27" t="str">
        <f t="shared" si="637"/>
        <v/>
      </c>
      <c r="BG1421" s="27" t="str">
        <f t="shared" si="638"/>
        <v/>
      </c>
      <c r="BH1421" s="27" t="str">
        <f t="shared" si="639"/>
        <v/>
      </c>
      <c r="BI1421" s="27" t="str">
        <f t="shared" si="640"/>
        <v/>
      </c>
      <c r="BJ1421" s="27" t="str">
        <f t="shared" si="641"/>
        <v/>
      </c>
      <c r="BK1421" s="27" t="str">
        <f t="shared" si="642"/>
        <v/>
      </c>
      <c r="BL1421" s="27" t="str">
        <f t="shared" si="643"/>
        <v/>
      </c>
      <c r="BM1421" s="21" t="s">
        <v>5581</v>
      </c>
    </row>
    <row r="1422" spans="1:65" ht="15">
      <c r="A1422" s="25" t="str">
        <f>IFERROR(INDEX('Hun Demand'!W:W,MATCH(O1422,'Hun Demand'!A:A,0)),"")</f>
        <v/>
      </c>
      <c r="B1422" s="25" t="str">
        <f>IFERROR(INDEX('Hun Demand'!V:V,MATCH(O1422,'Hun Demand'!A:A,0)),"")</f>
        <v/>
      </c>
      <c r="C1422" s="25" t="str">
        <f>IFERROR(INDEX('Hun Demand'!U:U,MATCH(O1422,'Hun Demand'!A:A,0)),"")</f>
        <v/>
      </c>
      <c r="D1422" s="25" t="str">
        <f>IFERROR(INDEX('Hun Demand'!T:T,MATCH(O1422,'Hun Demand'!A:A,0)),"")</f>
        <v/>
      </c>
      <c r="E1422" s="25" t="str">
        <f>IFERROR(INDEX('Hun Demand'!S:S,MATCH(O1422,'Hun Demand'!A:A,0)),"")</f>
        <v/>
      </c>
      <c r="F1422" s="25" t="str">
        <f>IFERROR(INDEX('Hun Demand'!R:R,MATCH(O1422,'Hun Demand'!A:A,0)),"")</f>
        <v/>
      </c>
      <c r="G1422" s="25">
        <f>IFERROR(INDEX('Aub Demand'!W:W,MATCH(O1422,'Aub Demand'!A:A,0)),"")</f>
        <v>0</v>
      </c>
      <c r="H1422" s="25">
        <f>IFERROR(INDEX('Aub Demand'!V:V,MATCH(O1422,'Aub Demand'!A:A,0)),"")</f>
        <v>8</v>
      </c>
      <c r="I1422" s="25">
        <f>IFERROR(INDEX('Aub Demand'!U:U,MATCH(O1422,'Aub Demand'!A:A,0)),"")</f>
        <v>0</v>
      </c>
      <c r="J1422" s="25">
        <f>IFERROR(INDEX('Aub Demand'!T:T,MATCH(O1422,'Aub Demand'!A:A,0)),"")</f>
        <v>0</v>
      </c>
      <c r="K1422" s="25">
        <f>IFERROR(INDEX('Aub Demand'!S:S,MATCH(O1422,'Aub Demand'!A:A,0)),"")</f>
        <v>77</v>
      </c>
      <c r="L1422" s="25">
        <f>IFERROR(INDEX('Aub Demand'!R:R,MATCH(O1422,'Aub Demand'!A:A,0)),"")</f>
        <v>0</v>
      </c>
      <c r="O1422" s="27" t="s">
        <v>3016</v>
      </c>
      <c r="P1422" s="27" t="str">
        <f>IFERROR(INDEX('Aub Demand'!B:B,MATCH($O1422,'Aub Demand'!$A:$A,0)),"")</f>
        <v>SCANDIA MAPLE</v>
      </c>
      <c r="Q1422" s="27" t="str">
        <f>IFERROR(INDEX('Aub Demand'!C:C,MATCH($O1422,'Aub Demand'!$A:$A,0)),"")</f>
        <v>PANOL</v>
      </c>
      <c r="R1422" s="52">
        <f>IFERROR(IF(AR1423=AR1422,INDEX('Aub Demand'!K:K,MATCH($O1422,'Aub Demand'!$A:$A,0))-IF(AN1422="",0,AN1422)+AP1423,INDEX('Aub Demand'!K:K,MATCH($O1422,'Aub Demand'!$A:$A,0))-IF(AN1422="",0,AN1422)),"")</f>
        <v>0</v>
      </c>
      <c r="S1422" s="53">
        <f t="shared" si="616"/>
        <v>0</v>
      </c>
      <c r="T1422" s="52" t="str">
        <f t="shared" si="617"/>
        <v/>
      </c>
      <c r="U1422" s="52">
        <f>IFERROR(IF(AR1423=AR1422,INDEX('Aub Demand'!Q:Q,MATCH($O1422,'Aub Demand'!$A:$A,0))-IF(AN1422="",0,AN1422)+AP1423,INDEX('Aub Demand'!Q:Q,MATCH($O1422,'Aub Demand'!$A:$A,0))-IF(AN1422="",0,AN1422)),"")</f>
        <v>-43</v>
      </c>
      <c r="V1422" s="53">
        <f t="shared" si="618"/>
        <v>-7.1</v>
      </c>
      <c r="W1422" s="52" t="str">
        <f t="shared" si="619"/>
        <v/>
      </c>
      <c r="X1422" s="52">
        <f>IFERROR(IF(AND(AR1423=AR1422,AM1422&lt;&gt;""),INDEX('Aub Demand'!Q:Q,MATCH($O1422,'Aub Demand'!$A:$A,0))-IF(AN1422="",0,AN1422)+AP1423+AD1422+AL1422,IF(AR1423=AR1422,INDEX('Aub Demand'!Q:Q,MATCH($O1422,'Aub Demand'!$A:$A,0))-IF(AN1422="",0,AN1422)+AP1423+AD1422,IF(AM1422&lt;&gt;"",INDEX('Aub Demand'!Q:Q,MATCH($O1422,'Aub Demand'!$A:$A,0))-IF(AN1422="",0,AN1422)+AD1422+AL1422,INDEX('Aub Demand'!Q:Q,MATCH($O1422,'Aub Demand'!$A:$A,0))-IF(AN1422="",0,AN1422)+AD1422))),"")</f>
        <v>-43</v>
      </c>
      <c r="Y1422" s="53">
        <f t="shared" si="620"/>
        <v>-7.1</v>
      </c>
      <c r="Z1422" s="52">
        <f>IF(L1422="","",INDEX('Aub Demand'!H:H,MATCH($O1422,'Aub Demand'!$A:$A,0)))</f>
        <v>26</v>
      </c>
      <c r="AA1422" s="52" t="str">
        <f t="shared" si="621"/>
        <v>-spike-</v>
      </c>
      <c r="AB1422" s="52">
        <f>IFERROR(INDEX('Aub Demand'!L:L,MATCH($O1422,'Aub Demand'!$A:$A,0)),"")</f>
        <v>86</v>
      </c>
      <c r="AC1422" s="52">
        <f>IFERROR(IF(O1422="","",SUMIFS('CPL Mats'!F:F,'CPL Mats'!Q:Q,AR1422,'CPL Mats'!S:S,AS1422)),"")</f>
        <v>0</v>
      </c>
      <c r="AF1422" s="25" t="str">
        <f>IF(SUMIFS('Supp Consol'!S:S,'Supp Consol'!Y:Y,"Releasable",'Supp Consol'!A:A,O1422)=0,"",SUMIFS('Supp Consol'!S:S,'Supp Consol'!Y:Y,"Releasable",'Supp Consol'!A:A,O1422))</f>
        <v/>
      </c>
      <c r="AG1422" s="25" t="str">
        <f>IFERROR(INDEX('Hun Demand'!Q:Q,MATCH(O1422,'Hun Demand'!A:A,0)),"")</f>
        <v/>
      </c>
      <c r="AH1422" s="25" t="str">
        <f>IFERROR(INDEX('Hun Demand'!H:H,MATCH($O1422,'Hun Demand'!$A:$A,0)),"")</f>
        <v/>
      </c>
      <c r="AI1422" s="25" t="str">
        <f>IF(SUMIFS('Supp Consol'!AA:AA,'Supp Consol'!Z:Z,"Expires this month",'Supp Consol'!A:A,O1422)=0,"",SUMIFS('Supp Consol'!AA:AA,'Supp Consol'!Z:Z,"Expires this month",'Supp Consol'!A:A,O1422))</f>
        <v/>
      </c>
      <c r="AJ1422" s="25" t="str">
        <f>IF(SUMIFS('Supp Consol'!AA:AA,'Supp Consol'!Z:Z,"Expired Previous Months",'Supp Consol'!A:A,O1422)=0,"",SUMIFS('Supp Consol'!AA:AA,'Supp Consol'!Z:Z,"Expired Previous Months",'Supp Consol'!A:A,O1422))</f>
        <v/>
      </c>
      <c r="AK1422" s="25" t="str">
        <f>IFERROR(INDEX('Hun Release Current'!B:B,MATCH(O1422,'Hun Release Current'!A:A,0)),"")</f>
        <v/>
      </c>
      <c r="AL1422" s="25" t="str">
        <f>IF(SUMIF('Prev Aub'!A:A,O1422,'Prev Aub'!B:B)=0,"",SUMIF('Prev Aub'!A:A,O1422,'Prev Aub'!B:B))</f>
        <v/>
      </c>
      <c r="AN1422" s="25" t="s">
        <v>3790</v>
      </c>
      <c r="AO1422" s="25" t="s">
        <v>3790</v>
      </c>
      <c r="AP1422" s="25">
        <f t="shared" si="622"/>
        <v>0</v>
      </c>
      <c r="AQ1422" s="151" t="str">
        <f>IF(SUMIFS('Supp Consol'!S:S,'Supp Consol'!A:A,O1422,'Supp Consol'!I:I,"PENDING")=0,"",SUMIFS('Supp Consol'!S:S,'Supp Consol'!A:A,O1422,'Supp Consol'!I:I,"PENDING"))</f>
        <v/>
      </c>
      <c r="AR1422" s="27" t="str">
        <f t="shared" si="623"/>
        <v>WM577</v>
      </c>
      <c r="AS1422" s="27" t="str">
        <f t="shared" si="624"/>
        <v>50</v>
      </c>
      <c r="AT1422" s="27" t="str">
        <f t="shared" si="625"/>
        <v>WM577</v>
      </c>
      <c r="AU1422" s="27" t="str">
        <f t="shared" si="626"/>
        <v>WM577</v>
      </c>
      <c r="AV1422" s="27" t="str">
        <f t="shared" si="627"/>
        <v>WM577</v>
      </c>
      <c r="AW1422" s="27" t="str">
        <f t="shared" si="628"/>
        <v/>
      </c>
      <c r="AX1422" s="27" t="str">
        <f t="shared" si="629"/>
        <v/>
      </c>
      <c r="AY1422" s="27" t="str">
        <f t="shared" si="630"/>
        <v/>
      </c>
      <c r="AZ1422" s="27" t="str">
        <f t="shared" si="631"/>
        <v/>
      </c>
      <c r="BA1422" s="27" t="str">
        <f t="shared" si="632"/>
        <v/>
      </c>
      <c r="BB1422" s="27" t="str">
        <f t="shared" si="633"/>
        <v>Gross</v>
      </c>
      <c r="BC1422" s="27" t="str">
        <f t="shared" si="634"/>
        <v>Net</v>
      </c>
      <c r="BD1422" s="27" t="str">
        <f t="shared" si="635"/>
        <v>Net</v>
      </c>
      <c r="BE1422" s="27" t="str">
        <f t="shared" si="636"/>
        <v/>
      </c>
      <c r="BF1422" s="27" t="str">
        <f t="shared" si="637"/>
        <v/>
      </c>
      <c r="BG1422" s="27" t="str">
        <f t="shared" si="638"/>
        <v/>
      </c>
      <c r="BH1422" s="27" t="str">
        <f t="shared" si="639"/>
        <v/>
      </c>
      <c r="BI1422" s="27" t="str">
        <f t="shared" si="640"/>
        <v/>
      </c>
      <c r="BJ1422" s="27" t="str">
        <f t="shared" si="641"/>
        <v/>
      </c>
      <c r="BK1422" s="27" t="str">
        <f t="shared" si="642"/>
        <v/>
      </c>
      <c r="BL1422" s="27" t="str">
        <f t="shared" si="643"/>
        <v/>
      </c>
      <c r="BM1422" s="21" t="s">
        <v>5581</v>
      </c>
    </row>
    <row r="1423" spans="1:65" ht="15">
      <c r="A1423" s="25" t="str">
        <f>IFERROR(INDEX('Hun Demand'!W:W,MATCH(O1423,'Hun Demand'!A:A,0)),"")</f>
        <v/>
      </c>
      <c r="B1423" s="25" t="str">
        <f>IFERROR(INDEX('Hun Demand'!V:V,MATCH(O1423,'Hun Demand'!A:A,0)),"")</f>
        <v/>
      </c>
      <c r="C1423" s="25" t="str">
        <f>IFERROR(INDEX('Hun Demand'!U:U,MATCH(O1423,'Hun Demand'!A:A,0)),"")</f>
        <v/>
      </c>
      <c r="D1423" s="25" t="str">
        <f>IFERROR(INDEX('Hun Demand'!T:T,MATCH(O1423,'Hun Demand'!A:A,0)),"")</f>
        <v/>
      </c>
      <c r="E1423" s="25" t="str">
        <f>IFERROR(INDEX('Hun Demand'!S:S,MATCH(O1423,'Hun Demand'!A:A,0)),"")</f>
        <v/>
      </c>
      <c r="F1423" s="25" t="str">
        <f>IFERROR(INDEX('Hun Demand'!R:R,MATCH(O1423,'Hun Demand'!A:A,0)),"")</f>
        <v/>
      </c>
      <c r="G1423" s="25">
        <f>IFERROR(INDEX('Aub Demand'!W:W,MATCH(O1423,'Aub Demand'!A:A,0)),"")</f>
        <v>153</v>
      </c>
      <c r="H1423" s="25">
        <f>IFERROR(INDEX('Aub Demand'!V:V,MATCH(O1423,'Aub Demand'!A:A,0)),"")</f>
        <v>75</v>
      </c>
      <c r="I1423" s="25">
        <f>IFERROR(INDEX('Aub Demand'!U:U,MATCH(O1423,'Aub Demand'!A:A,0)),"")</f>
        <v>0</v>
      </c>
      <c r="J1423" s="25">
        <f>IFERROR(INDEX('Aub Demand'!T:T,MATCH(O1423,'Aub Demand'!A:A,0)),"")</f>
        <v>0</v>
      </c>
      <c r="K1423" s="25">
        <f>IFERROR(INDEX('Aub Demand'!S:S,MATCH(O1423,'Aub Demand'!A:A,0)),"")</f>
        <v>0</v>
      </c>
      <c r="L1423" s="25">
        <f>IFERROR(INDEX('Aub Demand'!R:R,MATCH(O1423,'Aub Demand'!A:A,0)),"")</f>
        <v>0</v>
      </c>
      <c r="O1423" s="27" t="s">
        <v>3020</v>
      </c>
      <c r="P1423" s="27" t="str">
        <f>IFERROR(INDEX('Aub Demand'!B:B,MATCH($O1423,'Aub Demand'!$A:$A,0)),"")</f>
        <v>SCANDIA MAPLE</v>
      </c>
      <c r="Q1423" s="27" t="str">
        <f>IFERROR(INDEX('Aub Demand'!C:C,MATCH($O1423,'Aub Demand'!$A:$A,0)),"")</f>
        <v>INTER</v>
      </c>
      <c r="R1423" s="52">
        <f>IFERROR(IF(AR1424=AR1423,INDEX('Aub Demand'!K:K,MATCH($O1423,'Aub Demand'!$A:$A,0))-IF(AN1423="",0,AN1423)+AP1424,INDEX('Aub Demand'!K:K,MATCH($O1423,'Aub Demand'!$A:$A,0))-IF(AN1423="",0,AN1423)),"")</f>
        <v>1132</v>
      </c>
      <c r="S1423" s="53" t="str">
        <f t="shared" si="616"/>
        <v>n/a</v>
      </c>
      <c r="T1423" s="52" t="str">
        <f t="shared" si="617"/>
        <v/>
      </c>
      <c r="U1423" s="52">
        <f>IFERROR(IF(AR1424=AR1423,INDEX('Aub Demand'!Q:Q,MATCH($O1423,'Aub Demand'!$A:$A,0))-IF(AN1423="",0,AN1423)+AP1424,INDEX('Aub Demand'!Q:Q,MATCH($O1423,'Aub Demand'!$A:$A,0))-IF(AN1423="",0,AN1423)),"")</f>
        <v>1132</v>
      </c>
      <c r="V1423" s="53" t="str">
        <f t="shared" si="618"/>
        <v>n/a</v>
      </c>
      <c r="W1423" s="52" t="str">
        <f t="shared" si="619"/>
        <v/>
      </c>
      <c r="X1423" s="52">
        <f>IFERROR(IF(AND(AR1424=AR1423,AM1423&lt;&gt;""),INDEX('Aub Demand'!Q:Q,MATCH($O1423,'Aub Demand'!$A:$A,0))-IF(AN1423="",0,AN1423)+AP1424+AD1423+AL1423,IF(AR1424=AR1423,INDEX('Aub Demand'!Q:Q,MATCH($O1423,'Aub Demand'!$A:$A,0))-IF(AN1423="",0,AN1423)+AP1424+AD1423,IF(AM1423&lt;&gt;"",INDEX('Aub Demand'!Q:Q,MATCH($O1423,'Aub Demand'!$A:$A,0))-IF(AN1423="",0,AN1423)+AD1423+AL1423,INDEX('Aub Demand'!Q:Q,MATCH($O1423,'Aub Demand'!$A:$A,0))-IF(AN1423="",0,AN1423)+AD1423))),"")</f>
        <v>1132</v>
      </c>
      <c r="Y1423" s="53" t="str">
        <f t="shared" si="620"/>
        <v>n/a</v>
      </c>
      <c r="Z1423" s="52">
        <f>IF(L1423="","",INDEX('Aub Demand'!H:H,MATCH($O1423,'Aub Demand'!$A:$A,0)))</f>
        <v>0</v>
      </c>
      <c r="AA1423" s="52" t="str">
        <f t="shared" si="621"/>
        <v>-spike-</v>
      </c>
      <c r="AB1423" s="52">
        <f>IFERROR(INDEX('Aub Demand'!L:L,MATCH($O1423,'Aub Demand'!$A:$A,0)),"")</f>
        <v>0</v>
      </c>
      <c r="AC1423" s="52">
        <f>IFERROR(IF(O1423="","",SUMIFS('CPL Mats'!F:F,'CPL Mats'!Q:Q,AR1423,'CPL Mats'!S:S,AS1423)),"")</f>
        <v>0</v>
      </c>
      <c r="AF1423" s="25" t="str">
        <f>IF(SUMIFS('Supp Consol'!S:S,'Supp Consol'!Y:Y,"Releasable",'Supp Consol'!A:A,O1423)=0,"",SUMIFS('Supp Consol'!S:S,'Supp Consol'!Y:Y,"Releasable",'Supp Consol'!A:A,O1423))</f>
        <v/>
      </c>
      <c r="AG1423" s="25" t="str">
        <f>IFERROR(INDEX('Hun Demand'!Q:Q,MATCH(O1423,'Hun Demand'!A:A,0)),"")</f>
        <v/>
      </c>
      <c r="AH1423" s="25" t="str">
        <f>IFERROR(INDEX('Hun Demand'!H:H,MATCH($O1423,'Hun Demand'!$A:$A,0)),"")</f>
        <v/>
      </c>
      <c r="AI1423" s="25" t="str">
        <f>IF(SUMIFS('Supp Consol'!AA:AA,'Supp Consol'!Z:Z,"Expires this month",'Supp Consol'!A:A,O1423)=0,"",SUMIFS('Supp Consol'!AA:AA,'Supp Consol'!Z:Z,"Expires this month",'Supp Consol'!A:A,O1423))</f>
        <v/>
      </c>
      <c r="AJ1423" s="25" t="str">
        <f>IF(SUMIFS('Supp Consol'!AA:AA,'Supp Consol'!Z:Z,"Expired Previous Months",'Supp Consol'!A:A,O1423)=0,"",SUMIFS('Supp Consol'!AA:AA,'Supp Consol'!Z:Z,"Expired Previous Months",'Supp Consol'!A:A,O1423))</f>
        <v/>
      </c>
      <c r="AK1423" s="25" t="str">
        <f>IFERROR(INDEX('Hun Release Current'!B:B,MATCH(O1423,'Hun Release Current'!A:A,0)),"")</f>
        <v/>
      </c>
      <c r="AL1423" s="25" t="str">
        <f>IF(SUMIF('Prev Aub'!A:A,O1423,'Prev Aub'!B:B)=0,"",SUMIF('Prev Aub'!A:A,O1423,'Prev Aub'!B:B))</f>
        <v/>
      </c>
      <c r="AN1423" s="25" t="s">
        <v>3790</v>
      </c>
      <c r="AO1423" s="25" t="s">
        <v>3790</v>
      </c>
      <c r="AP1423" s="25">
        <f t="shared" si="622"/>
        <v>0</v>
      </c>
      <c r="AQ1423" s="151" t="str">
        <f>IF(SUMIFS('Supp Consol'!S:S,'Supp Consol'!A:A,O1423,'Supp Consol'!I:I,"PENDING")=0,"",SUMIFS('Supp Consol'!S:S,'Supp Consol'!A:A,O1423,'Supp Consol'!I:I,"PENDING"))</f>
        <v/>
      </c>
      <c r="AR1423" s="27" t="str">
        <f t="shared" si="623"/>
        <v>WM577</v>
      </c>
      <c r="AS1423" s="27" t="str">
        <f t="shared" si="624"/>
        <v>62</v>
      </c>
      <c r="AT1423" s="27" t="str">
        <f t="shared" si="625"/>
        <v/>
      </c>
      <c r="AU1423" s="27" t="str">
        <f t="shared" si="626"/>
        <v/>
      </c>
      <c r="AV1423" s="27" t="str">
        <f t="shared" si="627"/>
        <v/>
      </c>
      <c r="AW1423" s="27" t="str">
        <f t="shared" si="628"/>
        <v/>
      </c>
      <c r="AX1423" s="27" t="str">
        <f t="shared" si="629"/>
        <v/>
      </c>
      <c r="AY1423" s="27" t="str">
        <f t="shared" si="630"/>
        <v/>
      </c>
      <c r="AZ1423" s="27" t="str">
        <f t="shared" si="631"/>
        <v/>
      </c>
      <c r="BA1423" s="27" t="str">
        <f t="shared" si="632"/>
        <v/>
      </c>
      <c r="BB1423" s="27" t="str">
        <f t="shared" si="633"/>
        <v>Gross</v>
      </c>
      <c r="BC1423" s="27" t="str">
        <f t="shared" si="634"/>
        <v>Net</v>
      </c>
      <c r="BD1423" s="27" t="str">
        <f t="shared" si="635"/>
        <v>Net</v>
      </c>
      <c r="BE1423" s="27" t="str">
        <f t="shared" si="636"/>
        <v/>
      </c>
      <c r="BF1423" s="27" t="str">
        <f t="shared" si="637"/>
        <v/>
      </c>
      <c r="BG1423" s="27" t="str">
        <f t="shared" si="638"/>
        <v/>
      </c>
      <c r="BH1423" s="27" t="str">
        <f t="shared" si="639"/>
        <v/>
      </c>
      <c r="BI1423" s="27" t="str">
        <f t="shared" si="640"/>
        <v/>
      </c>
      <c r="BJ1423" s="27" t="str">
        <f t="shared" si="641"/>
        <v/>
      </c>
      <c r="BK1423" s="27" t="str">
        <f t="shared" si="642"/>
        <v/>
      </c>
      <c r="BL1423" s="27" t="str">
        <f t="shared" si="643"/>
        <v/>
      </c>
      <c r="BM1423" s="21" t="s">
        <v>5581</v>
      </c>
    </row>
    <row r="1424" spans="1:65" ht="15">
      <c r="A1424" s="25" t="str">
        <f>IFERROR(INDEX('Hun Demand'!W:W,MATCH(O1424,'Hun Demand'!A:A,0)),"")</f>
        <v/>
      </c>
      <c r="B1424" s="25" t="str">
        <f>IFERROR(INDEX('Hun Demand'!V:V,MATCH(O1424,'Hun Demand'!A:A,0)),"")</f>
        <v/>
      </c>
      <c r="C1424" s="25" t="str">
        <f>IFERROR(INDEX('Hun Demand'!U:U,MATCH(O1424,'Hun Demand'!A:A,0)),"")</f>
        <v/>
      </c>
      <c r="D1424" s="25" t="str">
        <f>IFERROR(INDEX('Hun Demand'!T:T,MATCH(O1424,'Hun Demand'!A:A,0)),"")</f>
        <v/>
      </c>
      <c r="E1424" s="25" t="str">
        <f>IFERROR(INDEX('Hun Demand'!S:S,MATCH(O1424,'Hun Demand'!A:A,0)),"")</f>
        <v/>
      </c>
      <c r="F1424" s="25" t="str">
        <f>IFERROR(INDEX('Hun Demand'!R:R,MATCH(O1424,'Hun Demand'!A:A,0)),"")</f>
        <v/>
      </c>
      <c r="G1424" s="25">
        <f>IFERROR(INDEX('Aub Demand'!W:W,MATCH(O1424,'Aub Demand'!A:A,0)),"")</f>
        <v>0</v>
      </c>
      <c r="H1424" s="25">
        <f>IFERROR(INDEX('Aub Demand'!V:V,MATCH(O1424,'Aub Demand'!A:A,0)),"")</f>
        <v>94</v>
      </c>
      <c r="I1424" s="25">
        <f>IFERROR(INDEX('Aub Demand'!U:U,MATCH(O1424,'Aub Demand'!A:A,0)),"")</f>
        <v>57</v>
      </c>
      <c r="J1424" s="25">
        <f>IFERROR(INDEX('Aub Demand'!T:T,MATCH(O1424,'Aub Demand'!A:A,0)),"")</f>
        <v>0</v>
      </c>
      <c r="K1424" s="25">
        <f>IFERROR(INDEX('Aub Demand'!S:S,MATCH(O1424,'Aub Demand'!A:A,0)),"")</f>
        <v>0</v>
      </c>
      <c r="L1424" s="25">
        <f>IFERROR(INDEX('Aub Demand'!R:R,MATCH(O1424,'Aub Demand'!A:A,0)),"")</f>
        <v>0</v>
      </c>
      <c r="O1424" s="27" t="s">
        <v>5357</v>
      </c>
      <c r="P1424" s="27" t="str">
        <f>IFERROR(INDEX('Aub Demand'!B:B,MATCH($O1424,'Aub Demand'!$A:$A,0)),"")</f>
        <v>OFS HONEY MAPLE II</v>
      </c>
      <c r="Q1424" s="27" t="str">
        <f>IFERROR(INDEX('Aub Demand'!C:C,MATCH($O1424,'Aub Demand'!$A:$A,0)),"")</f>
        <v>INTER</v>
      </c>
      <c r="R1424" s="52">
        <f>IFERROR(IF(AR1425=AR1424,INDEX('Aub Demand'!K:K,MATCH($O1424,'Aub Demand'!$A:$A,0))-IF(AN1424="",0,AN1424)+AP1425,INDEX('Aub Demand'!K:K,MATCH($O1424,'Aub Demand'!$A:$A,0))-IF(AN1424="",0,AN1424)),"")</f>
        <v>0</v>
      </c>
      <c r="S1424" s="53">
        <f t="shared" si="616"/>
        <v>0</v>
      </c>
      <c r="T1424" s="52" t="str">
        <f t="shared" si="617"/>
        <v/>
      </c>
      <c r="U1424" s="52">
        <f>IFERROR(IF(AR1425=AR1424,INDEX('Aub Demand'!Q:Q,MATCH($O1424,'Aub Demand'!$A:$A,0))-IF(AN1424="",0,AN1424)+AP1425,INDEX('Aub Demand'!Q:Q,MATCH($O1424,'Aub Demand'!$A:$A,0))-IF(AN1424="",0,AN1424)),"")</f>
        <v>0</v>
      </c>
      <c r="V1424" s="53">
        <f t="shared" si="618"/>
        <v>0</v>
      </c>
      <c r="W1424" s="52" t="str">
        <f t="shared" si="619"/>
        <v/>
      </c>
      <c r="X1424" s="52">
        <f>IFERROR(IF(AND(AR1425=AR1424,AM1424&lt;&gt;""),INDEX('Aub Demand'!Q:Q,MATCH($O1424,'Aub Demand'!$A:$A,0))-IF(AN1424="",0,AN1424)+AP1425+AD1424+AL1424,IF(AR1425=AR1424,INDEX('Aub Demand'!Q:Q,MATCH($O1424,'Aub Demand'!$A:$A,0))-IF(AN1424="",0,AN1424)+AP1425+AD1424,IF(AM1424&lt;&gt;"",INDEX('Aub Demand'!Q:Q,MATCH($O1424,'Aub Demand'!$A:$A,0))-IF(AN1424="",0,AN1424)+AD1424+AL1424,INDEX('Aub Demand'!Q:Q,MATCH($O1424,'Aub Demand'!$A:$A,0))-IF(AN1424="",0,AN1424)+AD1424))),"")</f>
        <v>0</v>
      </c>
      <c r="Y1424" s="53">
        <f t="shared" si="620"/>
        <v>0</v>
      </c>
      <c r="Z1424" s="52">
        <f>IF(L1424="","",INDEX('Aub Demand'!H:H,MATCH($O1424,'Aub Demand'!$A:$A,0)))</f>
        <v>19</v>
      </c>
      <c r="AA1424" s="52" t="str">
        <f t="shared" si="621"/>
        <v>-spike-</v>
      </c>
      <c r="AB1424" s="52">
        <f>IFERROR(INDEX('Aub Demand'!L:L,MATCH($O1424,'Aub Demand'!$A:$A,0)),"")</f>
        <v>0</v>
      </c>
      <c r="AC1424" s="52">
        <f>IFERROR(IF(O1424="","",SUMIFS('CPL Mats'!F:F,'CPL Mats'!Q:Q,AR1424,'CPL Mats'!S:S,AS1424)),"")</f>
        <v>0</v>
      </c>
      <c r="AF1424" s="25" t="str">
        <f>IF(SUMIFS('Supp Consol'!S:S,'Supp Consol'!Y:Y,"Releasable",'Supp Consol'!A:A,O1424)=0,"",SUMIFS('Supp Consol'!S:S,'Supp Consol'!Y:Y,"Releasable",'Supp Consol'!A:A,O1424))</f>
        <v/>
      </c>
      <c r="AG1424" s="25" t="str">
        <f>IFERROR(INDEX('Hun Demand'!Q:Q,MATCH(O1424,'Hun Demand'!A:A,0)),"")</f>
        <v/>
      </c>
      <c r="AH1424" s="25" t="str">
        <f>IFERROR(INDEX('Hun Demand'!H:H,MATCH($O1424,'Hun Demand'!$A:$A,0)),"")</f>
        <v/>
      </c>
      <c r="AI1424" s="25" t="str">
        <f>IF(SUMIFS('Supp Consol'!AA:AA,'Supp Consol'!Z:Z,"Expires this month",'Supp Consol'!A:A,O1424)=0,"",SUMIFS('Supp Consol'!AA:AA,'Supp Consol'!Z:Z,"Expires this month",'Supp Consol'!A:A,O1424))</f>
        <v/>
      </c>
      <c r="AJ1424" s="25" t="str">
        <f>IF(SUMIFS('Supp Consol'!AA:AA,'Supp Consol'!Z:Z,"Expired Previous Months",'Supp Consol'!A:A,O1424)=0,"",SUMIFS('Supp Consol'!AA:AA,'Supp Consol'!Z:Z,"Expired Previous Months",'Supp Consol'!A:A,O1424))</f>
        <v/>
      </c>
      <c r="AK1424" s="25" t="str">
        <f>IFERROR(INDEX('Hun Release Current'!B:B,MATCH(O1424,'Hun Release Current'!A:A,0)),"")</f>
        <v/>
      </c>
      <c r="AL1424" s="25" t="str">
        <f>IF(SUMIF('Prev Aub'!A:A,O1424,'Prev Aub'!B:B)=0,"",SUMIF('Prev Aub'!A:A,O1424,'Prev Aub'!B:B))</f>
        <v/>
      </c>
      <c r="AN1424" s="25" t="s">
        <v>3790</v>
      </c>
      <c r="AO1424" s="25" t="s">
        <v>3790</v>
      </c>
      <c r="AP1424" s="25">
        <f t="shared" si="622"/>
        <v>0</v>
      </c>
      <c r="AQ1424" s="151" t="str">
        <f>IF(SUMIFS('Supp Consol'!S:S,'Supp Consol'!A:A,O1424,'Supp Consol'!I:I,"PENDING")=0,"",SUMIFS('Supp Consol'!S:S,'Supp Consol'!A:A,O1424,'Supp Consol'!I:I,"PENDING"))</f>
        <v/>
      </c>
      <c r="AR1424" s="27" t="str">
        <f t="shared" si="623"/>
        <v>WM580</v>
      </c>
      <c r="AS1424" s="27" t="str">
        <f t="shared" si="624"/>
        <v>50</v>
      </c>
      <c r="AT1424" s="27" t="str">
        <f t="shared" si="625"/>
        <v>WM580</v>
      </c>
      <c r="AU1424" s="27" t="str">
        <f t="shared" si="626"/>
        <v>WM580</v>
      </c>
      <c r="AV1424" s="27" t="str">
        <f t="shared" si="627"/>
        <v>WM580</v>
      </c>
      <c r="AW1424" s="27" t="str">
        <f t="shared" si="628"/>
        <v/>
      </c>
      <c r="AX1424" s="27" t="str">
        <f t="shared" si="629"/>
        <v/>
      </c>
      <c r="AY1424" s="27" t="str">
        <f t="shared" si="630"/>
        <v/>
      </c>
      <c r="AZ1424" s="27" t="str">
        <f t="shared" si="631"/>
        <v/>
      </c>
      <c r="BA1424" s="27" t="str">
        <f t="shared" si="632"/>
        <v/>
      </c>
      <c r="BB1424" s="27" t="str">
        <f t="shared" si="633"/>
        <v>Gross</v>
      </c>
      <c r="BC1424" s="27" t="str">
        <f t="shared" si="634"/>
        <v>Net</v>
      </c>
      <c r="BD1424" s="27" t="str">
        <f t="shared" si="635"/>
        <v>Net</v>
      </c>
      <c r="BE1424" s="27" t="str">
        <f t="shared" si="636"/>
        <v/>
      </c>
      <c r="BF1424" s="27" t="str">
        <f t="shared" si="637"/>
        <v/>
      </c>
      <c r="BG1424" s="27" t="str">
        <f t="shared" si="638"/>
        <v/>
      </c>
      <c r="BH1424" s="27" t="str">
        <f t="shared" si="639"/>
        <v/>
      </c>
      <c r="BI1424" s="27" t="str">
        <f t="shared" si="640"/>
        <v/>
      </c>
      <c r="BJ1424" s="27" t="str">
        <f t="shared" si="641"/>
        <v/>
      </c>
      <c r="BK1424" s="27" t="str">
        <f t="shared" si="642"/>
        <v/>
      </c>
      <c r="BL1424" s="27" t="str">
        <f t="shared" si="643"/>
        <v/>
      </c>
      <c r="BM1424" s="21" t="s">
        <v>5581</v>
      </c>
    </row>
    <row r="1425" spans="1:65" ht="15">
      <c r="A1425" s="25" t="str">
        <f>IFERROR(INDEX('Hun Demand'!W:W,MATCH(O1425,'Hun Demand'!A:A,0)),"")</f>
        <v/>
      </c>
      <c r="B1425" s="25" t="str">
        <f>IFERROR(INDEX('Hun Demand'!V:V,MATCH(O1425,'Hun Demand'!A:A,0)),"")</f>
        <v/>
      </c>
      <c r="C1425" s="25" t="str">
        <f>IFERROR(INDEX('Hun Demand'!U:U,MATCH(O1425,'Hun Demand'!A:A,0)),"")</f>
        <v/>
      </c>
      <c r="D1425" s="25" t="str">
        <f>IFERROR(INDEX('Hun Demand'!T:T,MATCH(O1425,'Hun Demand'!A:A,0)),"")</f>
        <v/>
      </c>
      <c r="E1425" s="25" t="str">
        <f>IFERROR(INDEX('Hun Demand'!S:S,MATCH(O1425,'Hun Demand'!A:A,0)),"")</f>
        <v/>
      </c>
      <c r="F1425" s="25" t="str">
        <f>IFERROR(INDEX('Hun Demand'!R:R,MATCH(O1425,'Hun Demand'!A:A,0)),"")</f>
        <v/>
      </c>
      <c r="G1425" s="25">
        <f>IFERROR(INDEX('Aub Demand'!W:W,MATCH(O1425,'Aub Demand'!A:A,0)),"")</f>
        <v>0</v>
      </c>
      <c r="H1425" s="25">
        <f>IFERROR(INDEX('Aub Demand'!V:V,MATCH(O1425,'Aub Demand'!A:A,0)),"")</f>
        <v>0</v>
      </c>
      <c r="I1425" s="25">
        <f>IFERROR(INDEX('Aub Demand'!U:U,MATCH(O1425,'Aub Demand'!A:A,0)),"")</f>
        <v>0</v>
      </c>
      <c r="J1425" s="25">
        <f>IFERROR(INDEX('Aub Demand'!T:T,MATCH(O1425,'Aub Demand'!A:A,0)),"")</f>
        <v>0</v>
      </c>
      <c r="K1425" s="25">
        <f>IFERROR(INDEX('Aub Demand'!S:S,MATCH(O1425,'Aub Demand'!A:A,0)),"")</f>
        <v>38</v>
      </c>
      <c r="L1425" s="25">
        <f>IFERROR(INDEX('Aub Demand'!R:R,MATCH(O1425,'Aub Demand'!A:A,0)),"")</f>
        <v>0</v>
      </c>
      <c r="O1425" s="27" t="s">
        <v>1745</v>
      </c>
      <c r="P1425" s="27" t="str">
        <f>IFERROR(INDEX('Aub Demand'!B:B,MATCH($O1425,'Aub Demand'!$A:$A,0)),"")</f>
        <v>OFS HONEY MAPLE II</v>
      </c>
      <c r="Q1425" s="27" t="str">
        <f>IFERROR(INDEX('Aub Demand'!C:C,MATCH($O1425,'Aub Demand'!$A:$A,0)),"")</f>
        <v>INTER</v>
      </c>
      <c r="R1425" s="52">
        <f>IFERROR(IF(AR1426=AR1425,INDEX('Aub Demand'!K:K,MATCH($O1425,'Aub Demand'!$A:$A,0))-IF(AN1425="",0,AN1425)+AP1426,INDEX('Aub Demand'!K:K,MATCH($O1425,'Aub Demand'!$A:$A,0))-IF(AN1425="",0,AN1425)),"")</f>
        <v>244</v>
      </c>
      <c r="S1425" s="53">
        <f t="shared" si="616"/>
        <v>80.400000000000006</v>
      </c>
      <c r="T1425" s="52" t="str">
        <f t="shared" si="617"/>
        <v/>
      </c>
      <c r="U1425" s="52">
        <f>IFERROR(IF(AR1426=AR1425,INDEX('Aub Demand'!Q:Q,MATCH($O1425,'Aub Demand'!$A:$A,0))-IF(AN1425="",0,AN1425)+AP1426,INDEX('Aub Demand'!Q:Q,MATCH($O1425,'Aub Demand'!$A:$A,0))-IF(AN1425="",0,AN1425)),"")</f>
        <v>244</v>
      </c>
      <c r="V1425" s="53">
        <f t="shared" si="618"/>
        <v>80.400000000000006</v>
      </c>
      <c r="W1425" s="52" t="str">
        <f t="shared" si="619"/>
        <v/>
      </c>
      <c r="X1425" s="52">
        <f>IFERROR(IF(AND(AR1426=AR1425,AM1425&lt;&gt;""),INDEX('Aub Demand'!Q:Q,MATCH($O1425,'Aub Demand'!$A:$A,0))-IF(AN1425="",0,AN1425)+AP1426+AD1425+AL1425,IF(AR1426=AR1425,INDEX('Aub Demand'!Q:Q,MATCH($O1425,'Aub Demand'!$A:$A,0))-IF(AN1425="",0,AN1425)+AP1426+AD1425,IF(AM1425&lt;&gt;"",INDEX('Aub Demand'!Q:Q,MATCH($O1425,'Aub Demand'!$A:$A,0))-IF(AN1425="",0,AN1425)+AD1425+AL1425,INDEX('Aub Demand'!Q:Q,MATCH($O1425,'Aub Demand'!$A:$A,0))-IF(AN1425="",0,AN1425)+AD1425))),"")</f>
        <v>244</v>
      </c>
      <c r="Y1425" s="53">
        <f t="shared" si="620"/>
        <v>80.400000000000006</v>
      </c>
      <c r="Z1425" s="52">
        <f>IF(L1425="","",INDEX('Aub Demand'!H:H,MATCH($O1425,'Aub Demand'!$A:$A,0)))</f>
        <v>13</v>
      </c>
      <c r="AA1425" s="52" t="str">
        <f t="shared" si="621"/>
        <v>-spike-</v>
      </c>
      <c r="AB1425" s="52">
        <f>IFERROR(INDEX('Aub Demand'!L:L,MATCH($O1425,'Aub Demand'!$A:$A,0)),"")</f>
        <v>17</v>
      </c>
      <c r="AC1425" s="52">
        <f>IFERROR(IF(O1425="","",SUMIFS('CPL Mats'!F:F,'CPL Mats'!Q:Q,AR1425,'CPL Mats'!S:S,AS1425)),"")</f>
        <v>0</v>
      </c>
      <c r="AF1425" s="25" t="str">
        <f>IF(SUMIFS('Supp Consol'!S:S,'Supp Consol'!Y:Y,"Releasable",'Supp Consol'!A:A,O1425)=0,"",SUMIFS('Supp Consol'!S:S,'Supp Consol'!Y:Y,"Releasable",'Supp Consol'!A:A,O1425))</f>
        <v/>
      </c>
      <c r="AG1425" s="25" t="str">
        <f>IFERROR(INDEX('Hun Demand'!Q:Q,MATCH(O1425,'Hun Demand'!A:A,0)),"")</f>
        <v/>
      </c>
      <c r="AH1425" s="25" t="str">
        <f>IFERROR(INDEX('Hun Demand'!H:H,MATCH($O1425,'Hun Demand'!$A:$A,0)),"")</f>
        <v/>
      </c>
      <c r="AI1425" s="25" t="str">
        <f>IF(SUMIFS('Supp Consol'!AA:AA,'Supp Consol'!Z:Z,"Expires this month",'Supp Consol'!A:A,O1425)=0,"",SUMIFS('Supp Consol'!AA:AA,'Supp Consol'!Z:Z,"Expires this month",'Supp Consol'!A:A,O1425))</f>
        <v/>
      </c>
      <c r="AJ1425" s="25" t="str">
        <f>IF(SUMIFS('Supp Consol'!AA:AA,'Supp Consol'!Z:Z,"Expired Previous Months",'Supp Consol'!A:A,O1425)=0,"",SUMIFS('Supp Consol'!AA:AA,'Supp Consol'!Z:Z,"Expired Previous Months",'Supp Consol'!A:A,O1425))</f>
        <v/>
      </c>
      <c r="AK1425" s="25" t="str">
        <f>IFERROR(INDEX('Hun Release Current'!B:B,MATCH(O1425,'Hun Release Current'!A:A,0)),"")</f>
        <v/>
      </c>
      <c r="AL1425" s="25" t="str">
        <f>IF(SUMIF('Prev Aub'!A:A,O1425,'Prev Aub'!B:B)=0,"",SUMIF('Prev Aub'!A:A,O1425,'Prev Aub'!B:B))</f>
        <v/>
      </c>
      <c r="AN1425" s="25" t="s">
        <v>3790</v>
      </c>
      <c r="AO1425" s="25" t="s">
        <v>3790</v>
      </c>
      <c r="AP1425" s="25">
        <f t="shared" si="622"/>
        <v>0</v>
      </c>
      <c r="AQ1425" s="151" t="str">
        <f>IF(SUMIFS('Supp Consol'!S:S,'Supp Consol'!A:A,O1425,'Supp Consol'!I:I,"PENDING")=0,"",SUMIFS('Supp Consol'!S:S,'Supp Consol'!A:A,O1425,'Supp Consol'!I:I,"PENDING"))</f>
        <v/>
      </c>
      <c r="AR1425" s="27" t="str">
        <f t="shared" si="623"/>
        <v>WM580</v>
      </c>
      <c r="AS1425" s="27" t="str">
        <f t="shared" si="624"/>
        <v>62</v>
      </c>
      <c r="AT1425" s="27" t="str">
        <f t="shared" si="625"/>
        <v/>
      </c>
      <c r="AU1425" s="27" t="str">
        <f t="shared" si="626"/>
        <v/>
      </c>
      <c r="AV1425" s="27" t="str">
        <f t="shared" si="627"/>
        <v/>
      </c>
      <c r="AW1425" s="27" t="str">
        <f t="shared" si="628"/>
        <v/>
      </c>
      <c r="AX1425" s="27" t="str">
        <f t="shared" si="629"/>
        <v/>
      </c>
      <c r="AY1425" s="27" t="str">
        <f t="shared" si="630"/>
        <v/>
      </c>
      <c r="AZ1425" s="27" t="str">
        <f t="shared" si="631"/>
        <v/>
      </c>
      <c r="BA1425" s="27" t="str">
        <f t="shared" si="632"/>
        <v/>
      </c>
      <c r="BB1425" s="27" t="str">
        <f t="shared" si="633"/>
        <v>Gross</v>
      </c>
      <c r="BC1425" s="27" t="str">
        <f t="shared" si="634"/>
        <v>Net</v>
      </c>
      <c r="BD1425" s="27" t="str">
        <f t="shared" si="635"/>
        <v>Net</v>
      </c>
      <c r="BE1425" s="27" t="str">
        <f t="shared" si="636"/>
        <v/>
      </c>
      <c r="BF1425" s="27" t="str">
        <f t="shared" si="637"/>
        <v/>
      </c>
      <c r="BG1425" s="27" t="str">
        <f t="shared" si="638"/>
        <v/>
      </c>
      <c r="BH1425" s="27" t="str">
        <f t="shared" si="639"/>
        <v/>
      </c>
      <c r="BI1425" s="27" t="str">
        <f t="shared" si="640"/>
        <v/>
      </c>
      <c r="BJ1425" s="27" t="str">
        <f t="shared" si="641"/>
        <v/>
      </c>
      <c r="BK1425" s="27" t="str">
        <f t="shared" si="642"/>
        <v/>
      </c>
      <c r="BL1425" s="27" t="str">
        <f t="shared" si="643"/>
        <v/>
      </c>
      <c r="BM1425" s="21" t="s">
        <v>5581</v>
      </c>
    </row>
    <row r="1426" spans="1:65" ht="15">
      <c r="A1426" s="25">
        <f>IFERROR(INDEX('Hun Demand'!W:W,MATCH(O1426,'Hun Demand'!A:A,0)),"")</f>
        <v>0</v>
      </c>
      <c r="B1426" s="25">
        <f>IFERROR(INDEX('Hun Demand'!V:V,MATCH(O1426,'Hun Demand'!A:A,0)),"")</f>
        <v>0</v>
      </c>
      <c r="C1426" s="25">
        <f>IFERROR(INDEX('Hun Demand'!U:U,MATCH(O1426,'Hun Demand'!A:A,0)),"")</f>
        <v>0</v>
      </c>
      <c r="D1426" s="25">
        <f>IFERROR(INDEX('Hun Demand'!T:T,MATCH(O1426,'Hun Demand'!A:A,0)),"")</f>
        <v>112</v>
      </c>
      <c r="E1426" s="25">
        <f>IFERROR(INDEX('Hun Demand'!S:S,MATCH(O1426,'Hun Demand'!A:A,0)),"")</f>
        <v>0</v>
      </c>
      <c r="F1426" s="25">
        <f>IFERROR(INDEX('Hun Demand'!R:R,MATCH(O1426,'Hun Demand'!A:A,0)),"")</f>
        <v>124</v>
      </c>
      <c r="G1426" s="25">
        <f>IFERROR(INDEX('Aub Demand'!W:W,MATCH(O1426,'Aub Demand'!A:A,0)),"")</f>
        <v>0</v>
      </c>
      <c r="H1426" s="25">
        <f>IFERROR(INDEX('Aub Demand'!V:V,MATCH(O1426,'Aub Demand'!A:A,0)),"")</f>
        <v>0</v>
      </c>
      <c r="I1426" s="25">
        <f>IFERROR(INDEX('Aub Demand'!U:U,MATCH(O1426,'Aub Demand'!A:A,0)),"")</f>
        <v>0</v>
      </c>
      <c r="J1426" s="25">
        <f>IFERROR(INDEX('Aub Demand'!T:T,MATCH(O1426,'Aub Demand'!A:A,0)),"")</f>
        <v>0</v>
      </c>
      <c r="K1426" s="25">
        <f>IFERROR(INDEX('Aub Demand'!S:S,MATCH(O1426,'Aub Demand'!A:A,0)),"")</f>
        <v>0</v>
      </c>
      <c r="L1426" s="25">
        <f>IFERROR(INDEX('Aub Demand'!R:R,MATCH(O1426,'Aub Demand'!A:A,0)),"")</f>
        <v>0</v>
      </c>
      <c r="O1426" s="27" t="s">
        <v>3021</v>
      </c>
      <c r="P1426" s="27" t="str">
        <f>IFERROR(INDEX('Aub Demand'!B:B,MATCH($O1426,'Aub Demand'!$A:$A,0)),"")</f>
        <v>FUSION MAPLE 50"</v>
      </c>
      <c r="Q1426" s="27" t="str">
        <f>IFERROR(INDEX('Aub Demand'!C:C,MATCH($O1426,'Aub Demand'!$A:$A,0)),"")</f>
        <v>SUDDE</v>
      </c>
      <c r="R1426" s="52">
        <f>IFERROR(IF(AR1427=AR1426,INDEX('Aub Demand'!K:K,MATCH($O1426,'Aub Demand'!$A:$A,0))-IF(AN1426="",0,AN1426)+AP1427,INDEX('Aub Demand'!K:K,MATCH($O1426,'Aub Demand'!$A:$A,0))-IF(AN1426="",0,AN1426)),"")</f>
        <v>384</v>
      </c>
      <c r="S1426" s="53" t="str">
        <f t="shared" si="616"/>
        <v>n/a</v>
      </c>
      <c r="T1426" s="52" t="str">
        <f t="shared" si="617"/>
        <v/>
      </c>
      <c r="U1426" s="52">
        <f>IFERROR(IF(AR1427=AR1426,INDEX('Aub Demand'!Q:Q,MATCH($O1426,'Aub Demand'!$A:$A,0))-IF(AN1426="",0,AN1426)+AP1427,INDEX('Aub Demand'!Q:Q,MATCH($O1426,'Aub Demand'!$A:$A,0))-IF(AN1426="",0,AN1426)),"")</f>
        <v>384</v>
      </c>
      <c r="V1426" s="53" t="str">
        <f t="shared" si="618"/>
        <v>n/a</v>
      </c>
      <c r="W1426" s="52" t="str">
        <f t="shared" si="619"/>
        <v/>
      </c>
      <c r="X1426" s="52">
        <f>IFERROR(IF(AND(AR1427=AR1426,AM1426&lt;&gt;""),INDEX('Aub Demand'!Q:Q,MATCH($O1426,'Aub Demand'!$A:$A,0))-IF(AN1426="",0,AN1426)+AP1427+AD1426+AL1426,IF(AR1427=AR1426,INDEX('Aub Demand'!Q:Q,MATCH($O1426,'Aub Demand'!$A:$A,0))-IF(AN1426="",0,AN1426)+AP1427+AD1426,IF(AM1426&lt;&gt;"",INDEX('Aub Demand'!Q:Q,MATCH($O1426,'Aub Demand'!$A:$A,0))-IF(AN1426="",0,AN1426)+AD1426+AL1426,INDEX('Aub Demand'!Q:Q,MATCH($O1426,'Aub Demand'!$A:$A,0))-IF(AN1426="",0,AN1426)+AD1426))),"")</f>
        <v>384</v>
      </c>
      <c r="Y1426" s="53" t="str">
        <f t="shared" si="620"/>
        <v>n/a</v>
      </c>
      <c r="Z1426" s="52">
        <f>IF(L1426="","",INDEX('Aub Demand'!H:H,MATCH($O1426,'Aub Demand'!$A:$A,0)))</f>
        <v>0</v>
      </c>
      <c r="AA1426" s="52" t="str">
        <f t="shared" si="621"/>
        <v>-spike-</v>
      </c>
      <c r="AB1426" s="52">
        <f>IFERROR(INDEX('Aub Demand'!L:L,MATCH($O1426,'Aub Demand'!$A:$A,0)),"")</f>
        <v>0</v>
      </c>
      <c r="AC1426" s="52">
        <f>IFERROR(IF(O1426="","",SUMIFS('CPL Mats'!F:F,'CPL Mats'!Q:Q,AR1426,'CPL Mats'!S:S,AS1426)),"")</f>
        <v>0</v>
      </c>
      <c r="AF1426" s="25">
        <f>IF(SUMIFS('Supp Consol'!S:S,'Supp Consol'!Y:Y,"Releasable",'Supp Consol'!A:A,O1426)=0,"",SUMIFS('Supp Consol'!S:S,'Supp Consol'!Y:Y,"Releasable",'Supp Consol'!A:A,O1426))</f>
        <v>2090</v>
      </c>
      <c r="AG1426" s="25">
        <f>IFERROR(INDEX('Hun Demand'!Q:Q,MATCH(O1426,'Hun Demand'!A:A,0)),"")</f>
        <v>204</v>
      </c>
      <c r="AH1426" s="25">
        <f>IFERROR(INDEX('Hun Demand'!H:H,MATCH($O1426,'Hun Demand'!$A:$A,0)),"")</f>
        <v>37</v>
      </c>
      <c r="AI1426" s="25" t="str">
        <f>IF(SUMIFS('Supp Consol'!AA:AA,'Supp Consol'!Z:Z,"Expires this month",'Supp Consol'!A:A,O1426)=0,"",SUMIFS('Supp Consol'!AA:AA,'Supp Consol'!Z:Z,"Expires this month",'Supp Consol'!A:A,O1426))</f>
        <v/>
      </c>
      <c r="AJ1426" s="25">
        <f>IF(SUMIFS('Supp Consol'!AA:AA,'Supp Consol'!Z:Z,"Expired Previous Months",'Supp Consol'!A:A,O1426)=0,"",SUMIFS('Supp Consol'!AA:AA,'Supp Consol'!Z:Z,"Expired Previous Months",'Supp Consol'!A:A,O1426))</f>
        <v>2090</v>
      </c>
      <c r="AK1426" s="25" t="str">
        <f>IFERROR(INDEX('Hun Release Current'!B:B,MATCH(O1426,'Hun Release Current'!A:A,0)),"")</f>
        <v/>
      </c>
      <c r="AL1426" s="25" t="str">
        <f>IF(SUMIF('Prev Aub'!A:A,O1426,'Prev Aub'!B:B)=0,"",SUMIF('Prev Aub'!A:A,O1426,'Prev Aub'!B:B))</f>
        <v/>
      </c>
      <c r="AN1426" s="25" t="s">
        <v>3790</v>
      </c>
      <c r="AO1426" s="25" t="s">
        <v>3790</v>
      </c>
      <c r="AP1426" s="25">
        <f t="shared" si="622"/>
        <v>0</v>
      </c>
      <c r="AQ1426" s="151" t="str">
        <f>IF(SUMIFS('Supp Consol'!S:S,'Supp Consol'!A:A,O1426,'Supp Consol'!I:I,"PENDING")=0,"",SUMIFS('Supp Consol'!S:S,'Supp Consol'!A:A,O1426,'Supp Consol'!I:I,"PENDING"))</f>
        <v/>
      </c>
      <c r="AR1426" s="27" t="str">
        <f t="shared" si="623"/>
        <v>WM717</v>
      </c>
      <c r="AS1426" s="27" t="str">
        <f t="shared" si="624"/>
        <v>50</v>
      </c>
      <c r="AT1426" s="27" t="str">
        <f t="shared" si="625"/>
        <v/>
      </c>
      <c r="AU1426" s="27" t="str">
        <f t="shared" si="626"/>
        <v/>
      </c>
      <c r="AV1426" s="27" t="str">
        <f t="shared" si="627"/>
        <v/>
      </c>
      <c r="AW1426" s="27" t="str">
        <f t="shared" si="628"/>
        <v/>
      </c>
      <c r="AX1426" s="27" t="str">
        <f t="shared" si="629"/>
        <v>WM717</v>
      </c>
      <c r="AY1426" s="27" t="str">
        <f t="shared" si="630"/>
        <v>WM717</v>
      </c>
      <c r="AZ1426" s="27" t="str">
        <f t="shared" si="631"/>
        <v>Supp</v>
      </c>
      <c r="BA1426" s="27" t="str">
        <f t="shared" si="632"/>
        <v>Hun</v>
      </c>
      <c r="BB1426" s="27" t="str">
        <f t="shared" si="633"/>
        <v/>
      </c>
      <c r="BC1426" s="27" t="str">
        <f t="shared" si="634"/>
        <v/>
      </c>
      <c r="BD1426" s="27" t="str">
        <f t="shared" si="635"/>
        <v/>
      </c>
      <c r="BE1426" s="27" t="str">
        <f t="shared" si="636"/>
        <v/>
      </c>
      <c r="BF1426" s="27" t="str">
        <f t="shared" si="637"/>
        <v/>
      </c>
      <c r="BG1426" s="27" t="str">
        <f t="shared" si="638"/>
        <v/>
      </c>
      <c r="BH1426" s="27" t="str">
        <f t="shared" si="639"/>
        <v/>
      </c>
      <c r="BI1426" s="27" t="str">
        <f t="shared" si="640"/>
        <v/>
      </c>
      <c r="BJ1426" s="27" t="str">
        <f t="shared" si="641"/>
        <v>Supp or Hun</v>
      </c>
      <c r="BK1426" s="27" t="str">
        <f t="shared" si="642"/>
        <v/>
      </c>
      <c r="BL1426" s="27" t="str">
        <f t="shared" si="643"/>
        <v/>
      </c>
      <c r="BM1426" s="21" t="s">
        <v>5581</v>
      </c>
    </row>
    <row r="1427" spans="1:65" ht="15">
      <c r="A1427" s="25">
        <f>IFERROR(INDEX('Hun Demand'!W:W,MATCH(O1427,'Hun Demand'!A:A,0)),"")</f>
        <v>233</v>
      </c>
      <c r="B1427" s="25">
        <f>IFERROR(INDEX('Hun Demand'!V:V,MATCH(O1427,'Hun Demand'!A:A,0)),"")</f>
        <v>500</v>
      </c>
      <c r="C1427" s="25">
        <f>IFERROR(INDEX('Hun Demand'!U:U,MATCH(O1427,'Hun Demand'!A:A,0)),"")</f>
        <v>175</v>
      </c>
      <c r="D1427" s="25">
        <f>IFERROR(INDEX('Hun Demand'!T:T,MATCH(O1427,'Hun Demand'!A:A,0)),"")</f>
        <v>334</v>
      </c>
      <c r="E1427" s="25">
        <f>IFERROR(INDEX('Hun Demand'!S:S,MATCH(O1427,'Hun Demand'!A:A,0)),"")</f>
        <v>0</v>
      </c>
      <c r="F1427" s="25">
        <f>IFERROR(INDEX('Hun Demand'!R:R,MATCH(O1427,'Hun Demand'!A:A,0)),"")</f>
        <v>192</v>
      </c>
      <c r="G1427" s="25">
        <f>IFERROR(INDEX('Aub Demand'!W:W,MATCH(O1427,'Aub Demand'!A:A,0)),"")</f>
        <v>0</v>
      </c>
      <c r="H1427" s="25">
        <f>IFERROR(INDEX('Aub Demand'!V:V,MATCH(O1427,'Aub Demand'!A:A,0)),"")</f>
        <v>0</v>
      </c>
      <c r="I1427" s="25">
        <f>IFERROR(INDEX('Aub Demand'!U:U,MATCH(O1427,'Aub Demand'!A:A,0)),"")</f>
        <v>0</v>
      </c>
      <c r="J1427" s="25">
        <f>IFERROR(INDEX('Aub Demand'!T:T,MATCH(O1427,'Aub Demand'!A:A,0)),"")</f>
        <v>0</v>
      </c>
      <c r="K1427" s="25">
        <f>IFERROR(INDEX('Aub Demand'!S:S,MATCH(O1427,'Aub Demand'!A:A,0)),"")</f>
        <v>0</v>
      </c>
      <c r="L1427" s="25">
        <f>IFERROR(INDEX('Aub Demand'!R:R,MATCH(O1427,'Aub Demand'!A:A,0)),"")</f>
        <v>0</v>
      </c>
      <c r="O1427" s="27" t="s">
        <v>3024</v>
      </c>
      <c r="P1427" s="27" t="str">
        <f>IFERROR(INDEX('Aub Demand'!B:B,MATCH($O1427,'Aub Demand'!$A:$A,0)),"")</f>
        <v>FUSION MAPLE 62"</v>
      </c>
      <c r="Q1427" s="27" t="str">
        <f>IFERROR(INDEX('Aub Demand'!C:C,MATCH($O1427,'Aub Demand'!$A:$A,0)),"")</f>
        <v>SUDDE</v>
      </c>
      <c r="R1427" s="52">
        <f>IFERROR(IF(AR1428=AR1427,INDEX('Aub Demand'!K:K,MATCH($O1427,'Aub Demand'!$A:$A,0))-IF(AN1427="",0,AN1427)+AP1428,INDEX('Aub Demand'!K:K,MATCH($O1427,'Aub Demand'!$A:$A,0))-IF(AN1427="",0,AN1427)),"")</f>
        <v>1205</v>
      </c>
      <c r="S1427" s="53" t="str">
        <f t="shared" si="616"/>
        <v>n/a</v>
      </c>
      <c r="T1427" s="52" t="str">
        <f t="shared" si="617"/>
        <v/>
      </c>
      <c r="U1427" s="52">
        <f>IFERROR(IF(AR1428=AR1427,INDEX('Aub Demand'!Q:Q,MATCH($O1427,'Aub Demand'!$A:$A,0))-IF(AN1427="",0,AN1427)+AP1428,INDEX('Aub Demand'!Q:Q,MATCH($O1427,'Aub Demand'!$A:$A,0))-IF(AN1427="",0,AN1427)),"")</f>
        <v>1205</v>
      </c>
      <c r="V1427" s="53" t="str">
        <f t="shared" si="618"/>
        <v>n/a</v>
      </c>
      <c r="W1427" s="52" t="str">
        <f t="shared" si="619"/>
        <v/>
      </c>
      <c r="X1427" s="52">
        <f>IFERROR(IF(AND(AR1428=AR1427,AM1427&lt;&gt;""),INDEX('Aub Demand'!Q:Q,MATCH($O1427,'Aub Demand'!$A:$A,0))-IF(AN1427="",0,AN1427)+AP1428+AD1427+AL1427,IF(AR1428=AR1427,INDEX('Aub Demand'!Q:Q,MATCH($O1427,'Aub Demand'!$A:$A,0))-IF(AN1427="",0,AN1427)+AP1428+AD1427,IF(AM1427&lt;&gt;"",INDEX('Aub Demand'!Q:Q,MATCH($O1427,'Aub Demand'!$A:$A,0))-IF(AN1427="",0,AN1427)+AD1427+AL1427,INDEX('Aub Demand'!Q:Q,MATCH($O1427,'Aub Demand'!$A:$A,0))-IF(AN1427="",0,AN1427)+AD1427))),"")</f>
        <v>1205</v>
      </c>
      <c r="Y1427" s="53" t="str">
        <f t="shared" si="620"/>
        <v>n/a</v>
      </c>
      <c r="Z1427" s="52">
        <f>IF(L1427="","",INDEX('Aub Demand'!H:H,MATCH($O1427,'Aub Demand'!$A:$A,0)))</f>
        <v>0</v>
      </c>
      <c r="AA1427" s="52" t="str">
        <f t="shared" si="621"/>
        <v>-spike-</v>
      </c>
      <c r="AB1427" s="52">
        <f>IFERROR(INDEX('Aub Demand'!L:L,MATCH($O1427,'Aub Demand'!$A:$A,0)),"")</f>
        <v>0</v>
      </c>
      <c r="AC1427" s="52">
        <f>IFERROR(IF(O1427="","",SUMIFS('CPL Mats'!F:F,'CPL Mats'!Q:Q,AR1427,'CPL Mats'!S:S,AS1427)),"")</f>
        <v>0</v>
      </c>
      <c r="AF1427" s="25">
        <f>IF(SUMIFS('Supp Consol'!S:S,'Supp Consol'!Y:Y,"Releasable",'Supp Consol'!A:A,O1427)=0,"",SUMIFS('Supp Consol'!S:S,'Supp Consol'!Y:Y,"Releasable",'Supp Consol'!A:A,O1427))</f>
        <v>3825</v>
      </c>
      <c r="AG1427" s="25">
        <f>IFERROR(INDEX('Hun Demand'!Q:Q,MATCH(O1427,'Hun Demand'!A:A,0)),"")</f>
        <v>396</v>
      </c>
      <c r="AH1427" s="25">
        <f>IFERROR(INDEX('Hun Demand'!H:H,MATCH($O1427,'Hun Demand'!$A:$A,0)),"")</f>
        <v>170</v>
      </c>
      <c r="AI1427" s="25" t="str">
        <f>IF(SUMIFS('Supp Consol'!AA:AA,'Supp Consol'!Z:Z,"Expires this month",'Supp Consol'!A:A,O1427)=0,"",SUMIFS('Supp Consol'!AA:AA,'Supp Consol'!Z:Z,"Expires this month",'Supp Consol'!A:A,O1427))</f>
        <v/>
      </c>
      <c r="AJ1427" s="25">
        <f>IF(SUMIFS('Supp Consol'!AA:AA,'Supp Consol'!Z:Z,"Expired Previous Months",'Supp Consol'!A:A,O1427)=0,"",SUMIFS('Supp Consol'!AA:AA,'Supp Consol'!Z:Z,"Expired Previous Months",'Supp Consol'!A:A,O1427))</f>
        <v>3825</v>
      </c>
      <c r="AK1427" s="25" t="str">
        <f>IFERROR(INDEX('Hun Release Current'!B:B,MATCH(O1427,'Hun Release Current'!A:A,0)),"")</f>
        <v/>
      </c>
      <c r="AL1427" s="25" t="str">
        <f>IF(SUMIF('Prev Aub'!A:A,O1427,'Prev Aub'!B:B)=0,"",SUMIF('Prev Aub'!A:A,O1427,'Prev Aub'!B:B))</f>
        <v/>
      </c>
      <c r="AN1427" s="25" t="s">
        <v>3790</v>
      </c>
      <c r="AO1427" s="25" t="s">
        <v>3790</v>
      </c>
      <c r="AP1427" s="25">
        <f t="shared" si="622"/>
        <v>0</v>
      </c>
      <c r="AQ1427" s="151" t="str">
        <f>IF(SUMIFS('Supp Consol'!S:S,'Supp Consol'!A:A,O1427,'Supp Consol'!I:I,"PENDING")=0,"",SUMIFS('Supp Consol'!S:S,'Supp Consol'!A:A,O1427,'Supp Consol'!I:I,"PENDING"))</f>
        <v/>
      </c>
      <c r="AR1427" s="27" t="str">
        <f t="shared" si="623"/>
        <v>WM717</v>
      </c>
      <c r="AS1427" s="27" t="str">
        <f t="shared" si="624"/>
        <v>62</v>
      </c>
      <c r="AT1427" s="27" t="str">
        <f t="shared" si="625"/>
        <v/>
      </c>
      <c r="AU1427" s="27" t="str">
        <f t="shared" si="626"/>
        <v/>
      </c>
      <c r="AV1427" s="27" t="str">
        <f t="shared" si="627"/>
        <v/>
      </c>
      <c r="AW1427" s="27" t="str">
        <f t="shared" si="628"/>
        <v/>
      </c>
      <c r="AX1427" s="27" t="str">
        <f t="shared" si="629"/>
        <v>WM717</v>
      </c>
      <c r="AY1427" s="27" t="str">
        <f t="shared" si="630"/>
        <v>WM717</v>
      </c>
      <c r="AZ1427" s="27" t="str">
        <f t="shared" si="631"/>
        <v>Supp</v>
      </c>
      <c r="BA1427" s="27" t="str">
        <f t="shared" si="632"/>
        <v>Hun</v>
      </c>
      <c r="BB1427" s="27" t="str">
        <f t="shared" si="633"/>
        <v/>
      </c>
      <c r="BC1427" s="27" t="str">
        <f t="shared" si="634"/>
        <v/>
      </c>
      <c r="BD1427" s="27" t="str">
        <f t="shared" si="635"/>
        <v/>
      </c>
      <c r="BE1427" s="27" t="str">
        <f t="shared" si="636"/>
        <v/>
      </c>
      <c r="BF1427" s="27" t="str">
        <f t="shared" si="637"/>
        <v/>
      </c>
      <c r="BG1427" s="27" t="str">
        <f t="shared" si="638"/>
        <v/>
      </c>
      <c r="BH1427" s="27" t="str">
        <f t="shared" si="639"/>
        <v/>
      </c>
      <c r="BI1427" s="27" t="str">
        <f t="shared" si="640"/>
        <v/>
      </c>
      <c r="BJ1427" s="27" t="str">
        <f t="shared" si="641"/>
        <v>Supp or Hun</v>
      </c>
      <c r="BK1427" s="27" t="str">
        <f t="shared" si="642"/>
        <v/>
      </c>
      <c r="BL1427" s="27" t="str">
        <f t="shared" si="643"/>
        <v/>
      </c>
      <c r="BM1427" s="21" t="s">
        <v>5581</v>
      </c>
    </row>
    <row r="1428" spans="1:65" ht="15">
      <c r="A1428" s="25" t="str">
        <f>IFERROR(INDEX('Hun Demand'!W:W,MATCH(O1428,'Hun Demand'!A:A,0)),"")</f>
        <v/>
      </c>
      <c r="B1428" s="25" t="str">
        <f>IFERROR(INDEX('Hun Demand'!V:V,MATCH(O1428,'Hun Demand'!A:A,0)),"")</f>
        <v/>
      </c>
      <c r="C1428" s="25" t="str">
        <f>IFERROR(INDEX('Hun Demand'!U:U,MATCH(O1428,'Hun Demand'!A:A,0)),"")</f>
        <v/>
      </c>
      <c r="D1428" s="25" t="str">
        <f>IFERROR(INDEX('Hun Demand'!T:T,MATCH(O1428,'Hun Demand'!A:A,0)),"")</f>
        <v/>
      </c>
      <c r="E1428" s="25" t="str">
        <f>IFERROR(INDEX('Hun Demand'!S:S,MATCH(O1428,'Hun Demand'!A:A,0)),"")</f>
        <v/>
      </c>
      <c r="F1428" s="25" t="str">
        <f>IFERROR(INDEX('Hun Demand'!R:R,MATCH(O1428,'Hun Demand'!A:A,0)),"")</f>
        <v/>
      </c>
      <c r="G1428" s="25">
        <f>IFERROR(INDEX('Aub Demand'!W:W,MATCH(O1428,'Aub Demand'!A:A,0)),"")</f>
        <v>108</v>
      </c>
      <c r="H1428" s="25">
        <f>IFERROR(INDEX('Aub Demand'!V:V,MATCH(O1428,'Aub Demand'!A:A,0)),"")</f>
        <v>1106</v>
      </c>
      <c r="I1428" s="25">
        <f>IFERROR(INDEX('Aub Demand'!U:U,MATCH(O1428,'Aub Demand'!A:A,0)),"")</f>
        <v>120</v>
      </c>
      <c r="J1428" s="25">
        <f>IFERROR(INDEX('Aub Demand'!T:T,MATCH(O1428,'Aub Demand'!A:A,0)),"")</f>
        <v>0</v>
      </c>
      <c r="K1428" s="25">
        <f>IFERROR(INDEX('Aub Demand'!S:S,MATCH(O1428,'Aub Demand'!A:A,0)),"")</f>
        <v>370</v>
      </c>
      <c r="L1428" s="25">
        <f>IFERROR(INDEX('Aub Demand'!R:R,MATCH(O1428,'Aub Demand'!A:A,0)),"")</f>
        <v>0</v>
      </c>
      <c r="O1428" s="27" t="s">
        <v>3027</v>
      </c>
      <c r="P1428" s="27" t="str">
        <f>IFERROR(INDEX('Aub Demand'!B:B,MATCH($O1428,'Aub Demand'!$A:$A,0)),"")</f>
        <v>AMF MAPLE R/E</v>
      </c>
      <c r="Q1428" s="27" t="str">
        <f>IFERROR(INDEX('Aub Demand'!C:C,MATCH($O1428,'Aub Demand'!$A:$A,0)),"")</f>
        <v>INTER</v>
      </c>
      <c r="R1428" s="52">
        <f>IFERROR(IF(AR1429=AR1428,INDEX('Aub Demand'!K:K,MATCH($O1428,'Aub Demand'!$A:$A,0))-IF(AN1428="",0,AN1428)+AP1429,INDEX('Aub Demand'!K:K,MATCH($O1428,'Aub Demand'!$A:$A,0))-IF(AN1428="",0,AN1428)),"")</f>
        <v>1182</v>
      </c>
      <c r="S1428" s="53">
        <f t="shared" si="616"/>
        <v>31.1</v>
      </c>
      <c r="T1428" s="52" t="str">
        <f t="shared" si="617"/>
        <v/>
      </c>
      <c r="U1428" s="52">
        <f>IFERROR(IF(AR1429=AR1428,INDEX('Aub Demand'!Q:Q,MATCH($O1428,'Aub Demand'!$A:$A,0))-IF(AN1428="",0,AN1428)+AP1429,INDEX('Aub Demand'!Q:Q,MATCH($O1428,'Aub Demand'!$A:$A,0))-IF(AN1428="",0,AN1428)),"")</f>
        <v>625</v>
      </c>
      <c r="V1428" s="53">
        <f t="shared" si="618"/>
        <v>16.399999999999999</v>
      </c>
      <c r="W1428" s="52" t="str">
        <f t="shared" si="619"/>
        <v/>
      </c>
      <c r="X1428" s="52">
        <f>IFERROR(IF(AND(AR1429=AR1428,AM1428&lt;&gt;""),INDEX('Aub Demand'!Q:Q,MATCH($O1428,'Aub Demand'!$A:$A,0))-IF(AN1428="",0,AN1428)+AP1429+AD1428+AL1428,IF(AR1429=AR1428,INDEX('Aub Demand'!Q:Q,MATCH($O1428,'Aub Demand'!$A:$A,0))-IF(AN1428="",0,AN1428)+AP1429+AD1428,IF(AM1428&lt;&gt;"",INDEX('Aub Demand'!Q:Q,MATCH($O1428,'Aub Demand'!$A:$A,0))-IF(AN1428="",0,AN1428)+AD1428+AL1428,INDEX('Aub Demand'!Q:Q,MATCH($O1428,'Aub Demand'!$A:$A,0))-IF(AN1428="",0,AN1428)+AD1428))),"")</f>
        <v>625</v>
      </c>
      <c r="Y1428" s="53">
        <f t="shared" si="620"/>
        <v>16.399999999999999</v>
      </c>
      <c r="Z1428" s="52">
        <f>IF(L1428="","",INDEX('Aub Demand'!H:H,MATCH($O1428,'Aub Demand'!$A:$A,0)))</f>
        <v>163</v>
      </c>
      <c r="AA1428" s="52">
        <f t="shared" si="621"/>
        <v>245</v>
      </c>
      <c r="AB1428" s="52">
        <f>IFERROR(INDEX('Aub Demand'!L:L,MATCH($O1428,'Aub Demand'!$A:$A,0)),"")</f>
        <v>259</v>
      </c>
      <c r="AC1428" s="52">
        <f>IFERROR(IF(O1428="","",SUMIFS('CPL Mats'!F:F,'CPL Mats'!Q:Q,AR1428,'CPL Mats'!S:S,AS1428)),"")</f>
        <v>0</v>
      </c>
      <c r="AF1428" s="25" t="str">
        <f>IF(SUMIFS('Supp Consol'!S:S,'Supp Consol'!Y:Y,"Releasable",'Supp Consol'!A:A,O1428)=0,"",SUMIFS('Supp Consol'!S:S,'Supp Consol'!Y:Y,"Releasable",'Supp Consol'!A:A,O1428))</f>
        <v/>
      </c>
      <c r="AG1428" s="25" t="str">
        <f>IFERROR(INDEX('Hun Demand'!Q:Q,MATCH(O1428,'Hun Demand'!A:A,0)),"")</f>
        <v/>
      </c>
      <c r="AH1428" s="25" t="str">
        <f>IFERROR(INDEX('Hun Demand'!H:H,MATCH($O1428,'Hun Demand'!$A:$A,0)),"")</f>
        <v/>
      </c>
      <c r="AI1428" s="25" t="str">
        <f>IF(SUMIFS('Supp Consol'!AA:AA,'Supp Consol'!Z:Z,"Expires this month",'Supp Consol'!A:A,O1428)=0,"",SUMIFS('Supp Consol'!AA:AA,'Supp Consol'!Z:Z,"Expires this month",'Supp Consol'!A:A,O1428))</f>
        <v/>
      </c>
      <c r="AJ1428" s="25" t="str">
        <f>IF(SUMIFS('Supp Consol'!AA:AA,'Supp Consol'!Z:Z,"Expired Previous Months",'Supp Consol'!A:A,O1428)=0,"",SUMIFS('Supp Consol'!AA:AA,'Supp Consol'!Z:Z,"Expired Previous Months",'Supp Consol'!A:A,O1428))</f>
        <v/>
      </c>
      <c r="AK1428" s="25" t="str">
        <f>IFERROR(INDEX('Hun Release Current'!B:B,MATCH(O1428,'Hun Release Current'!A:A,0)),"")</f>
        <v/>
      </c>
      <c r="AL1428" s="25" t="str">
        <f>IF(SUMIF('Prev Aub'!A:A,O1428,'Prev Aub'!B:B)=0,"",SUMIF('Prev Aub'!A:A,O1428,'Prev Aub'!B:B))</f>
        <v/>
      </c>
      <c r="AN1428" s="25" t="s">
        <v>3790</v>
      </c>
      <c r="AO1428" s="25" t="s">
        <v>3790</v>
      </c>
      <c r="AP1428" s="25">
        <f t="shared" si="622"/>
        <v>0</v>
      </c>
      <c r="AQ1428" s="151">
        <f>IF(SUMIFS('Supp Consol'!S:S,'Supp Consol'!A:A,O1428,'Supp Consol'!I:I,"PENDING")=0,"",SUMIFS('Supp Consol'!S:S,'Supp Consol'!A:A,O1428,'Supp Consol'!I:I,"PENDING"))</f>
        <v>821</v>
      </c>
      <c r="AR1428" s="27" t="str">
        <f t="shared" si="623"/>
        <v>WM741</v>
      </c>
      <c r="AS1428" s="27" t="str">
        <f t="shared" si="624"/>
        <v>62</v>
      </c>
      <c r="AT1428" s="27" t="str">
        <f t="shared" si="625"/>
        <v/>
      </c>
      <c r="AU1428" s="27" t="str">
        <f t="shared" si="626"/>
        <v/>
      </c>
      <c r="AV1428" s="27" t="str">
        <f t="shared" si="627"/>
        <v/>
      </c>
      <c r="AW1428" s="27" t="str">
        <f t="shared" si="628"/>
        <v/>
      </c>
      <c r="AX1428" s="27" t="str">
        <f t="shared" si="629"/>
        <v/>
      </c>
      <c r="AY1428" s="27" t="str">
        <f t="shared" si="630"/>
        <v/>
      </c>
      <c r="AZ1428" s="27" t="str">
        <f t="shared" si="631"/>
        <v/>
      </c>
      <c r="BA1428" s="27" t="str">
        <f t="shared" si="632"/>
        <v/>
      </c>
      <c r="BB1428" s="27" t="str">
        <f t="shared" si="633"/>
        <v/>
      </c>
      <c r="BC1428" s="27" t="str">
        <f t="shared" si="634"/>
        <v/>
      </c>
      <c r="BD1428" s="27" t="str">
        <f t="shared" si="635"/>
        <v/>
      </c>
      <c r="BE1428" s="27" t="str">
        <f t="shared" si="636"/>
        <v/>
      </c>
      <c r="BF1428" s="27" t="str">
        <f t="shared" si="637"/>
        <v/>
      </c>
      <c r="BG1428" s="27" t="str">
        <f t="shared" si="638"/>
        <v/>
      </c>
      <c r="BH1428" s="27" t="str">
        <f t="shared" si="639"/>
        <v/>
      </c>
      <c r="BI1428" s="27" t="str">
        <f t="shared" si="640"/>
        <v/>
      </c>
      <c r="BJ1428" s="27" t="str">
        <f t="shared" si="641"/>
        <v/>
      </c>
      <c r="BK1428" s="27" t="str">
        <f t="shared" si="642"/>
        <v/>
      </c>
      <c r="BL1428" s="27" t="str">
        <f t="shared" si="643"/>
        <v/>
      </c>
      <c r="BM1428" s="21" t="s">
        <v>5581</v>
      </c>
    </row>
    <row r="1429" spans="1:65" ht="15">
      <c r="A1429" s="25" t="str">
        <f>IFERROR(INDEX('Hun Demand'!W:W,MATCH(O1429,'Hun Demand'!A:A,0)),"")</f>
        <v/>
      </c>
      <c r="B1429" s="25" t="str">
        <f>IFERROR(INDEX('Hun Demand'!V:V,MATCH(O1429,'Hun Demand'!A:A,0)),"")</f>
        <v/>
      </c>
      <c r="C1429" s="25" t="str">
        <f>IFERROR(INDEX('Hun Demand'!U:U,MATCH(O1429,'Hun Demand'!A:A,0)),"")</f>
        <v/>
      </c>
      <c r="D1429" s="25" t="str">
        <f>IFERROR(INDEX('Hun Demand'!T:T,MATCH(O1429,'Hun Demand'!A:A,0)),"")</f>
        <v/>
      </c>
      <c r="E1429" s="25" t="str">
        <f>IFERROR(INDEX('Hun Demand'!S:S,MATCH(O1429,'Hun Demand'!A:A,0)),"")</f>
        <v/>
      </c>
      <c r="F1429" s="25" t="str">
        <f>IFERROR(INDEX('Hun Demand'!R:R,MATCH(O1429,'Hun Demand'!A:A,0)),"")</f>
        <v/>
      </c>
      <c r="G1429" s="25">
        <f>IFERROR(INDEX('Aub Demand'!W:W,MATCH(O1429,'Aub Demand'!A:A,0)),"")</f>
        <v>0</v>
      </c>
      <c r="H1429" s="25">
        <f>IFERROR(INDEX('Aub Demand'!V:V,MATCH(O1429,'Aub Demand'!A:A,0)),"")</f>
        <v>0</v>
      </c>
      <c r="I1429" s="25">
        <f>IFERROR(INDEX('Aub Demand'!U:U,MATCH(O1429,'Aub Demand'!A:A,0)),"")</f>
        <v>0</v>
      </c>
      <c r="J1429" s="25">
        <f>IFERROR(INDEX('Aub Demand'!T:T,MATCH(O1429,'Aub Demand'!A:A,0)),"")</f>
        <v>0</v>
      </c>
      <c r="K1429" s="25">
        <f>IFERROR(INDEX('Aub Demand'!S:S,MATCH(O1429,'Aub Demand'!A:A,0)),"")</f>
        <v>0</v>
      </c>
      <c r="L1429" s="25">
        <f>IFERROR(INDEX('Aub Demand'!R:R,MATCH(O1429,'Aub Demand'!A:A,0)),"")</f>
        <v>0</v>
      </c>
      <c r="O1429" s="27" t="s">
        <v>3030</v>
      </c>
      <c r="P1429" s="27" t="str">
        <f>IFERROR(INDEX('Aub Demand'!B:B,MATCH($O1429,'Aub Demand'!$A:$A,0)),"")</f>
        <v>AMF MAPLE L/O (CUT D</v>
      </c>
      <c r="Q1429" s="27" t="str">
        <f>IFERROR(INDEX('Aub Demand'!C:C,MATCH($O1429,'Aub Demand'!$A:$A,0)),"")</f>
        <v>INTER</v>
      </c>
      <c r="R1429" s="52">
        <f>IFERROR(IF(AR1430=AR1429,INDEX('Aub Demand'!K:K,MATCH($O1429,'Aub Demand'!$A:$A,0))-IF(AN1429="",0,AN1429)+AP1430,INDEX('Aub Demand'!K:K,MATCH($O1429,'Aub Demand'!$A:$A,0))-IF(AN1429="",0,AN1429)),"")</f>
        <v>0</v>
      </c>
      <c r="S1429" s="53" t="str">
        <f t="shared" si="616"/>
        <v>n/a</v>
      </c>
      <c r="T1429" s="52" t="str">
        <f t="shared" si="617"/>
        <v/>
      </c>
      <c r="U1429" s="52">
        <f>IFERROR(IF(AR1430=AR1429,INDEX('Aub Demand'!Q:Q,MATCH($O1429,'Aub Demand'!$A:$A,0))-IF(AN1429="",0,AN1429)+AP1430,INDEX('Aub Demand'!Q:Q,MATCH($O1429,'Aub Demand'!$A:$A,0))-IF(AN1429="",0,AN1429)),"")</f>
        <v>-18</v>
      </c>
      <c r="V1429" s="53" t="str">
        <f t="shared" si="618"/>
        <v>n/a</v>
      </c>
      <c r="W1429" s="52" t="str">
        <f t="shared" si="619"/>
        <v/>
      </c>
      <c r="X1429" s="52">
        <f>IFERROR(IF(AND(AR1430=AR1429,AM1429&lt;&gt;""),INDEX('Aub Demand'!Q:Q,MATCH($O1429,'Aub Demand'!$A:$A,0))-IF(AN1429="",0,AN1429)+AP1430+AD1429+AL1429,IF(AR1430=AR1429,INDEX('Aub Demand'!Q:Q,MATCH($O1429,'Aub Demand'!$A:$A,0))-IF(AN1429="",0,AN1429)+AP1430+AD1429,IF(AM1429&lt;&gt;"",INDEX('Aub Demand'!Q:Q,MATCH($O1429,'Aub Demand'!$A:$A,0))-IF(AN1429="",0,AN1429)+AD1429+AL1429,INDEX('Aub Demand'!Q:Q,MATCH($O1429,'Aub Demand'!$A:$A,0))-IF(AN1429="",0,AN1429)+AD1429))),"")</f>
        <v>-18</v>
      </c>
      <c r="Y1429" s="53" t="str">
        <f t="shared" si="620"/>
        <v>n/a</v>
      </c>
      <c r="Z1429" s="52">
        <f>IF(L1429="","",INDEX('Aub Demand'!H:H,MATCH($O1429,'Aub Demand'!$A:$A,0)))</f>
        <v>0</v>
      </c>
      <c r="AA1429" s="52" t="str">
        <f t="shared" si="621"/>
        <v>-spike-</v>
      </c>
      <c r="AB1429" s="52">
        <f>IFERROR(INDEX('Aub Demand'!L:L,MATCH($O1429,'Aub Demand'!$A:$A,0)),"")</f>
        <v>0</v>
      </c>
      <c r="AC1429" s="52">
        <f>IFERROR(IF(O1429="","",SUMIFS('CPL Mats'!F:F,'CPL Mats'!Q:Q,AR1429,'CPL Mats'!S:S,AS1429)),"")</f>
        <v>0</v>
      </c>
      <c r="AF1429" s="25" t="str">
        <f>IF(SUMIFS('Supp Consol'!S:S,'Supp Consol'!Y:Y,"Releasable",'Supp Consol'!A:A,O1429)=0,"",SUMIFS('Supp Consol'!S:S,'Supp Consol'!Y:Y,"Releasable",'Supp Consol'!A:A,O1429))</f>
        <v/>
      </c>
      <c r="AG1429" s="25" t="str">
        <f>IFERROR(INDEX('Hun Demand'!Q:Q,MATCH(O1429,'Hun Demand'!A:A,0)),"")</f>
        <v/>
      </c>
      <c r="AH1429" s="25" t="str">
        <f>IFERROR(INDEX('Hun Demand'!H:H,MATCH($O1429,'Hun Demand'!$A:$A,0)),"")</f>
        <v/>
      </c>
      <c r="AI1429" s="25" t="str">
        <f>IF(SUMIFS('Supp Consol'!AA:AA,'Supp Consol'!Z:Z,"Expires this month",'Supp Consol'!A:A,O1429)=0,"",SUMIFS('Supp Consol'!AA:AA,'Supp Consol'!Z:Z,"Expires this month",'Supp Consol'!A:A,O1429))</f>
        <v/>
      </c>
      <c r="AJ1429" s="25" t="str">
        <f>IF(SUMIFS('Supp Consol'!AA:AA,'Supp Consol'!Z:Z,"Expired Previous Months",'Supp Consol'!A:A,O1429)=0,"",SUMIFS('Supp Consol'!AA:AA,'Supp Consol'!Z:Z,"Expired Previous Months",'Supp Consol'!A:A,O1429))</f>
        <v/>
      </c>
      <c r="AK1429" s="25" t="str">
        <f>IFERROR(INDEX('Hun Release Current'!B:B,MATCH(O1429,'Hun Release Current'!A:A,0)),"")</f>
        <v/>
      </c>
      <c r="AL1429" s="25" t="str">
        <f>IF(SUMIF('Prev Aub'!A:A,O1429,'Prev Aub'!B:B)=0,"",SUMIF('Prev Aub'!A:A,O1429,'Prev Aub'!B:B))</f>
        <v/>
      </c>
      <c r="AN1429" s="25" t="s">
        <v>3790</v>
      </c>
      <c r="AO1429" s="25" t="s">
        <v>3790</v>
      </c>
      <c r="AP1429" s="25">
        <f t="shared" si="622"/>
        <v>0</v>
      </c>
      <c r="AQ1429" s="151" t="str">
        <f>IF(SUMIFS('Supp Consol'!S:S,'Supp Consol'!A:A,O1429,'Supp Consol'!I:I,"PENDING")=0,"",SUMIFS('Supp Consol'!S:S,'Supp Consol'!A:A,O1429,'Supp Consol'!I:I,"PENDING"))</f>
        <v/>
      </c>
      <c r="AR1429" s="27" t="str">
        <f t="shared" si="623"/>
        <v>WM742</v>
      </c>
      <c r="AS1429" s="27" t="str">
        <f t="shared" si="624"/>
        <v>50</v>
      </c>
      <c r="AT1429" s="27" t="str">
        <f t="shared" si="625"/>
        <v/>
      </c>
      <c r="AU1429" s="27" t="str">
        <f t="shared" si="626"/>
        <v/>
      </c>
      <c r="AV1429" s="27" t="str">
        <f t="shared" si="627"/>
        <v/>
      </c>
      <c r="AW1429" s="27" t="str">
        <f t="shared" si="628"/>
        <v/>
      </c>
      <c r="AX1429" s="27" t="str">
        <f t="shared" si="629"/>
        <v/>
      </c>
      <c r="AY1429" s="27" t="str">
        <f t="shared" si="630"/>
        <v/>
      </c>
      <c r="AZ1429" s="27" t="str">
        <f t="shared" si="631"/>
        <v/>
      </c>
      <c r="BA1429" s="27" t="str">
        <f t="shared" si="632"/>
        <v/>
      </c>
      <c r="BB1429" s="27" t="str">
        <f t="shared" si="633"/>
        <v/>
      </c>
      <c r="BC1429" s="27" t="str">
        <f t="shared" si="634"/>
        <v/>
      </c>
      <c r="BD1429" s="27" t="str">
        <f t="shared" si="635"/>
        <v/>
      </c>
      <c r="BE1429" s="27" t="str">
        <f t="shared" si="636"/>
        <v/>
      </c>
      <c r="BF1429" s="27" t="str">
        <f t="shared" si="637"/>
        <v/>
      </c>
      <c r="BG1429" s="27" t="str">
        <f t="shared" si="638"/>
        <v/>
      </c>
      <c r="BH1429" s="27" t="str">
        <f t="shared" si="639"/>
        <v/>
      </c>
      <c r="BI1429" s="27" t="str">
        <f t="shared" si="640"/>
        <v/>
      </c>
      <c r="BJ1429" s="27" t="str">
        <f t="shared" si="641"/>
        <v/>
      </c>
      <c r="BK1429" s="27" t="str">
        <f t="shared" si="642"/>
        <v/>
      </c>
      <c r="BL1429" s="27" t="str">
        <f t="shared" si="643"/>
        <v/>
      </c>
      <c r="BM1429" s="21" t="s">
        <v>3790</v>
      </c>
    </row>
    <row r="1430" spans="1:65" ht="15">
      <c r="A1430" s="25" t="str">
        <f>IFERROR(INDEX('Hun Demand'!W:W,MATCH(O1430,'Hun Demand'!A:A,0)),"")</f>
        <v/>
      </c>
      <c r="B1430" s="25" t="str">
        <f>IFERROR(INDEX('Hun Demand'!V:V,MATCH(O1430,'Hun Demand'!A:A,0)),"")</f>
        <v/>
      </c>
      <c r="C1430" s="25" t="str">
        <f>IFERROR(INDEX('Hun Demand'!U:U,MATCH(O1430,'Hun Demand'!A:A,0)),"")</f>
        <v/>
      </c>
      <c r="D1430" s="25" t="str">
        <f>IFERROR(INDEX('Hun Demand'!T:T,MATCH(O1430,'Hun Demand'!A:A,0)),"")</f>
        <v/>
      </c>
      <c r="E1430" s="25" t="str">
        <f>IFERROR(INDEX('Hun Demand'!S:S,MATCH(O1430,'Hun Demand'!A:A,0)),"")</f>
        <v/>
      </c>
      <c r="F1430" s="25" t="str">
        <f>IFERROR(INDEX('Hun Demand'!R:R,MATCH(O1430,'Hun Demand'!A:A,0)),"")</f>
        <v/>
      </c>
      <c r="G1430" s="25">
        <f>IFERROR(INDEX('Aub Demand'!W:W,MATCH(O1430,'Aub Demand'!A:A,0)),"")</f>
        <v>0</v>
      </c>
      <c r="H1430" s="25">
        <f>IFERROR(INDEX('Aub Demand'!V:V,MATCH(O1430,'Aub Demand'!A:A,0)),"")</f>
        <v>592</v>
      </c>
      <c r="I1430" s="25">
        <f>IFERROR(INDEX('Aub Demand'!U:U,MATCH(O1430,'Aub Demand'!A:A,0)),"")</f>
        <v>0</v>
      </c>
      <c r="J1430" s="25">
        <f>IFERROR(INDEX('Aub Demand'!T:T,MATCH(O1430,'Aub Demand'!A:A,0)),"")</f>
        <v>0</v>
      </c>
      <c r="K1430" s="25">
        <f>IFERROR(INDEX('Aub Demand'!S:S,MATCH(O1430,'Aub Demand'!A:A,0)),"")</f>
        <v>150</v>
      </c>
      <c r="L1430" s="25">
        <f>IFERROR(INDEX('Aub Demand'!R:R,MATCH(O1430,'Aub Demand'!A:A,0)),"")</f>
        <v>0</v>
      </c>
      <c r="O1430" s="27" t="s">
        <v>3031</v>
      </c>
      <c r="P1430" s="27" t="str">
        <f>IFERROR(INDEX('Aub Demand'!B:B,MATCH($O1430,'Aub Demand'!$A:$A,0)),"")</f>
        <v>AMF MAPLE L/O</v>
      </c>
      <c r="Q1430" s="27" t="str">
        <f>IFERROR(INDEX('Aub Demand'!C:C,MATCH($O1430,'Aub Demand'!$A:$A,0)),"")</f>
        <v>INTER</v>
      </c>
      <c r="R1430" s="52">
        <f>IFERROR(IF(AR1431=AR1430,INDEX('Aub Demand'!K:K,MATCH($O1430,'Aub Demand'!$A:$A,0))-IF(AN1430="",0,AN1430)+AP1431,INDEX('Aub Demand'!K:K,MATCH($O1430,'Aub Demand'!$A:$A,0))-IF(AN1430="",0,AN1430)),"")</f>
        <v>3517</v>
      </c>
      <c r="S1430" s="53">
        <f t="shared" si="616"/>
        <v>301.5</v>
      </c>
      <c r="T1430" s="52" t="str">
        <f t="shared" si="617"/>
        <v/>
      </c>
      <c r="U1430" s="52">
        <f>IFERROR(IF(AR1431=AR1430,INDEX('Aub Demand'!Q:Q,MATCH($O1430,'Aub Demand'!$A:$A,0))-IF(AN1430="",0,AN1430)+AP1431,INDEX('Aub Demand'!Q:Q,MATCH($O1430,'Aub Demand'!$A:$A,0))-IF(AN1430="",0,AN1430)),"")</f>
        <v>3228</v>
      </c>
      <c r="V1430" s="53">
        <f t="shared" si="618"/>
        <v>276.7</v>
      </c>
      <c r="W1430" s="52" t="str">
        <f t="shared" si="619"/>
        <v/>
      </c>
      <c r="X1430" s="52">
        <f>IFERROR(IF(AND(AR1431=AR1430,AM1430&lt;&gt;""),INDEX('Aub Demand'!Q:Q,MATCH($O1430,'Aub Demand'!$A:$A,0))-IF(AN1430="",0,AN1430)+AP1431+AD1430+AL1430,IF(AR1431=AR1430,INDEX('Aub Demand'!Q:Q,MATCH($O1430,'Aub Demand'!$A:$A,0))-IF(AN1430="",0,AN1430)+AP1431+AD1430,IF(AM1430&lt;&gt;"",INDEX('Aub Demand'!Q:Q,MATCH($O1430,'Aub Demand'!$A:$A,0))-IF(AN1430="",0,AN1430)+AD1430+AL1430,INDEX('Aub Demand'!Q:Q,MATCH($O1430,'Aub Demand'!$A:$A,0))-IF(AN1430="",0,AN1430)+AD1430))),"")</f>
        <v>3228</v>
      </c>
      <c r="Y1430" s="53">
        <f t="shared" si="620"/>
        <v>276.7</v>
      </c>
      <c r="Z1430" s="52">
        <f>IF(L1430="","",INDEX('Aub Demand'!H:H,MATCH($O1430,'Aub Demand'!$A:$A,0)))</f>
        <v>50</v>
      </c>
      <c r="AA1430" s="52" t="str">
        <f t="shared" si="621"/>
        <v>-spike-</v>
      </c>
      <c r="AB1430" s="52">
        <f>IFERROR(INDEX('Aub Demand'!L:L,MATCH($O1430,'Aub Demand'!$A:$A,0)),"")</f>
        <v>314</v>
      </c>
      <c r="AC1430" s="52">
        <f>IFERROR(IF(O1430="","",SUMIFS('CPL Mats'!F:F,'CPL Mats'!Q:Q,AR1430,'CPL Mats'!S:S,AS1430)),"")</f>
        <v>0</v>
      </c>
      <c r="AF1430" s="25" t="str">
        <f>IF(SUMIFS('Supp Consol'!S:S,'Supp Consol'!Y:Y,"Releasable",'Supp Consol'!A:A,O1430)=0,"",SUMIFS('Supp Consol'!S:S,'Supp Consol'!Y:Y,"Releasable",'Supp Consol'!A:A,O1430))</f>
        <v/>
      </c>
      <c r="AG1430" s="25" t="str">
        <f>IFERROR(INDEX('Hun Demand'!Q:Q,MATCH(O1430,'Hun Demand'!A:A,0)),"")</f>
        <v/>
      </c>
      <c r="AH1430" s="25" t="str">
        <f>IFERROR(INDEX('Hun Demand'!H:H,MATCH($O1430,'Hun Demand'!$A:$A,0)),"")</f>
        <v/>
      </c>
      <c r="AI1430" s="25" t="str">
        <f>IF(SUMIFS('Supp Consol'!AA:AA,'Supp Consol'!Z:Z,"Expires this month",'Supp Consol'!A:A,O1430)=0,"",SUMIFS('Supp Consol'!AA:AA,'Supp Consol'!Z:Z,"Expires this month",'Supp Consol'!A:A,O1430))</f>
        <v/>
      </c>
      <c r="AJ1430" s="25" t="str">
        <f>IF(SUMIFS('Supp Consol'!AA:AA,'Supp Consol'!Z:Z,"Expired Previous Months",'Supp Consol'!A:A,O1430)=0,"",SUMIFS('Supp Consol'!AA:AA,'Supp Consol'!Z:Z,"Expired Previous Months",'Supp Consol'!A:A,O1430))</f>
        <v/>
      </c>
      <c r="AK1430" s="25" t="str">
        <f>IFERROR(INDEX('Hun Release Current'!B:B,MATCH(O1430,'Hun Release Current'!A:A,0)),"")</f>
        <v/>
      </c>
      <c r="AL1430" s="25" t="str">
        <f>IF(SUMIF('Prev Aub'!A:A,O1430,'Prev Aub'!B:B)=0,"",SUMIF('Prev Aub'!A:A,O1430,'Prev Aub'!B:B))</f>
        <v/>
      </c>
      <c r="AN1430" s="25" t="s">
        <v>3790</v>
      </c>
      <c r="AO1430" s="25" t="s">
        <v>3790</v>
      </c>
      <c r="AP1430" s="25">
        <f t="shared" si="622"/>
        <v>0</v>
      </c>
      <c r="AQ1430" s="151" t="str">
        <f>IF(SUMIFS('Supp Consol'!S:S,'Supp Consol'!A:A,O1430,'Supp Consol'!I:I,"PENDING")=0,"",SUMIFS('Supp Consol'!S:S,'Supp Consol'!A:A,O1430,'Supp Consol'!I:I,"PENDING"))</f>
        <v/>
      </c>
      <c r="AR1430" s="27" t="str">
        <f t="shared" si="623"/>
        <v>WM742</v>
      </c>
      <c r="AS1430" s="27" t="str">
        <f t="shared" si="624"/>
        <v>62</v>
      </c>
      <c r="AT1430" s="27" t="str">
        <f t="shared" si="625"/>
        <v/>
      </c>
      <c r="AU1430" s="27" t="str">
        <f t="shared" si="626"/>
        <v/>
      </c>
      <c r="AV1430" s="27" t="str">
        <f t="shared" si="627"/>
        <v/>
      </c>
      <c r="AW1430" s="27" t="str">
        <f t="shared" si="628"/>
        <v/>
      </c>
      <c r="AX1430" s="27" t="str">
        <f t="shared" si="629"/>
        <v/>
      </c>
      <c r="AY1430" s="27" t="str">
        <f t="shared" si="630"/>
        <v/>
      </c>
      <c r="AZ1430" s="27" t="str">
        <f t="shared" si="631"/>
        <v/>
      </c>
      <c r="BA1430" s="27" t="str">
        <f t="shared" si="632"/>
        <v/>
      </c>
      <c r="BB1430" s="27" t="str">
        <f t="shared" si="633"/>
        <v/>
      </c>
      <c r="BC1430" s="27" t="str">
        <f t="shared" si="634"/>
        <v/>
      </c>
      <c r="BD1430" s="27" t="str">
        <f t="shared" si="635"/>
        <v/>
      </c>
      <c r="BE1430" s="27" t="str">
        <f t="shared" si="636"/>
        <v/>
      </c>
      <c r="BF1430" s="27" t="str">
        <f t="shared" si="637"/>
        <v/>
      </c>
      <c r="BG1430" s="27" t="str">
        <f t="shared" si="638"/>
        <v/>
      </c>
      <c r="BH1430" s="27" t="str">
        <f t="shared" si="639"/>
        <v/>
      </c>
      <c r="BI1430" s="27" t="str">
        <f t="shared" si="640"/>
        <v/>
      </c>
      <c r="BJ1430" s="27" t="str">
        <f t="shared" si="641"/>
        <v/>
      </c>
      <c r="BK1430" s="27" t="str">
        <f t="shared" si="642"/>
        <v/>
      </c>
      <c r="BL1430" s="27" t="str">
        <f t="shared" si="643"/>
        <v/>
      </c>
      <c r="BM1430" s="21" t="s">
        <v>5581</v>
      </c>
    </row>
    <row r="1431" spans="1:65" ht="15">
      <c r="A1431" s="25" t="str">
        <f>IFERROR(INDEX('Hun Demand'!W:W,MATCH(O1431,'Hun Demand'!A:A,0)),"")</f>
        <v/>
      </c>
      <c r="B1431" s="25" t="str">
        <f>IFERROR(INDEX('Hun Demand'!V:V,MATCH(O1431,'Hun Demand'!A:A,0)),"")</f>
        <v/>
      </c>
      <c r="C1431" s="25" t="str">
        <f>IFERROR(INDEX('Hun Demand'!U:U,MATCH(O1431,'Hun Demand'!A:A,0)),"")</f>
        <v/>
      </c>
      <c r="D1431" s="25" t="str">
        <f>IFERROR(INDEX('Hun Demand'!T:T,MATCH(O1431,'Hun Demand'!A:A,0)),"")</f>
        <v/>
      </c>
      <c r="E1431" s="25" t="str">
        <f>IFERROR(INDEX('Hun Demand'!S:S,MATCH(O1431,'Hun Demand'!A:A,0)),"")</f>
        <v/>
      </c>
      <c r="F1431" s="25" t="str">
        <f>IFERROR(INDEX('Hun Demand'!R:R,MATCH(O1431,'Hun Demand'!A:A,0)),"")</f>
        <v/>
      </c>
      <c r="G1431" s="25">
        <f>IFERROR(INDEX('Aub Demand'!W:W,MATCH(O1431,'Aub Demand'!A:A,0)),"")</f>
        <v>22</v>
      </c>
      <c r="H1431" s="25">
        <f>IFERROR(INDEX('Aub Demand'!V:V,MATCH(O1431,'Aub Demand'!A:A,0)),"")</f>
        <v>0</v>
      </c>
      <c r="I1431" s="25">
        <f>IFERROR(INDEX('Aub Demand'!U:U,MATCH(O1431,'Aub Demand'!A:A,0)),"")</f>
        <v>54</v>
      </c>
      <c r="J1431" s="25">
        <f>IFERROR(INDEX('Aub Demand'!T:T,MATCH(O1431,'Aub Demand'!A:A,0)),"")</f>
        <v>0</v>
      </c>
      <c r="K1431" s="25">
        <f>IFERROR(INDEX('Aub Demand'!S:S,MATCH(O1431,'Aub Demand'!A:A,0)),"")</f>
        <v>0</v>
      </c>
      <c r="L1431" s="25">
        <f>IFERROR(INDEX('Aub Demand'!R:R,MATCH(O1431,'Aub Demand'!A:A,0)),"")</f>
        <v>0</v>
      </c>
      <c r="O1431" s="27" t="s">
        <v>1747</v>
      </c>
      <c r="P1431" s="27" t="str">
        <f>IFERROR(INDEX('Aub Demand'!B:B,MATCH($O1431,'Aub Demand'!$A:$A,0)),"")</f>
        <v>HARDROCK MAPLE</v>
      </c>
      <c r="Q1431" s="27" t="str">
        <f>IFERROR(INDEX('Aub Demand'!C:C,MATCH($O1431,'Aub Demand'!$A:$A,0)),"")</f>
        <v>TOPPA</v>
      </c>
      <c r="R1431" s="52">
        <f>IFERROR(IF(AR1432=AR1431,INDEX('Aub Demand'!K:K,MATCH($O1431,'Aub Demand'!$A:$A,0))-IF(AN1431="",0,AN1431)+AP1432,INDEX('Aub Demand'!K:K,MATCH($O1431,'Aub Demand'!$A:$A,0))-IF(AN1431="",0,AN1431)),"")</f>
        <v>0</v>
      </c>
      <c r="S1431" s="53">
        <f t="shared" si="616"/>
        <v>0</v>
      </c>
      <c r="T1431" s="52" t="str">
        <f t="shared" si="617"/>
        <v/>
      </c>
      <c r="U1431" s="52">
        <f>IFERROR(IF(AR1432=AR1431,INDEX('Aub Demand'!Q:Q,MATCH($O1431,'Aub Demand'!$A:$A,0))-IF(AN1431="",0,AN1431)+AP1432,INDEX('Aub Demand'!Q:Q,MATCH($O1431,'Aub Demand'!$A:$A,0))-IF(AN1431="",0,AN1431)),"")</f>
        <v>-33</v>
      </c>
      <c r="V1431" s="53">
        <f t="shared" si="618"/>
        <v>-7.9</v>
      </c>
      <c r="W1431" s="52" t="str">
        <f t="shared" si="619"/>
        <v/>
      </c>
      <c r="X1431" s="52">
        <f>IFERROR(IF(AND(AR1432=AR1431,AM1431&lt;&gt;""),INDEX('Aub Demand'!Q:Q,MATCH($O1431,'Aub Demand'!$A:$A,0))-IF(AN1431="",0,AN1431)+AP1432+AD1431+AL1431,IF(AR1432=AR1431,INDEX('Aub Demand'!Q:Q,MATCH($O1431,'Aub Demand'!$A:$A,0))-IF(AN1431="",0,AN1431)+AP1432+AD1431,IF(AM1431&lt;&gt;"",INDEX('Aub Demand'!Q:Q,MATCH($O1431,'Aub Demand'!$A:$A,0))-IF(AN1431="",0,AN1431)+AD1431+AL1431,INDEX('Aub Demand'!Q:Q,MATCH($O1431,'Aub Demand'!$A:$A,0))-IF(AN1431="",0,AN1431)+AD1431))),"")</f>
        <v>-33</v>
      </c>
      <c r="Y1431" s="53">
        <f t="shared" si="620"/>
        <v>-7.9</v>
      </c>
      <c r="Z1431" s="52">
        <f>IF(L1431="","",INDEX('Aub Demand'!H:H,MATCH($O1431,'Aub Demand'!$A:$A,0)))</f>
        <v>18</v>
      </c>
      <c r="AA1431" s="52" t="str">
        <f t="shared" si="621"/>
        <v>-spike-</v>
      </c>
      <c r="AB1431" s="52">
        <f>IFERROR(INDEX('Aub Demand'!L:L,MATCH($O1431,'Aub Demand'!$A:$A,0)),"")</f>
        <v>8</v>
      </c>
      <c r="AC1431" s="52">
        <f>IFERROR(IF(O1431="","",SUMIFS('CPL Mats'!F:F,'CPL Mats'!Q:Q,AR1431,'CPL Mats'!S:S,AS1431)),"")</f>
        <v>0</v>
      </c>
      <c r="AF1431" s="25" t="str">
        <f>IF(SUMIFS('Supp Consol'!S:S,'Supp Consol'!Y:Y,"Releasable",'Supp Consol'!A:A,O1431)=0,"",SUMIFS('Supp Consol'!S:S,'Supp Consol'!Y:Y,"Releasable",'Supp Consol'!A:A,O1431))</f>
        <v/>
      </c>
      <c r="AG1431" s="25" t="str">
        <f>IFERROR(INDEX('Hun Demand'!Q:Q,MATCH(O1431,'Hun Demand'!A:A,0)),"")</f>
        <v/>
      </c>
      <c r="AH1431" s="25" t="str">
        <f>IFERROR(INDEX('Hun Demand'!H:H,MATCH($O1431,'Hun Demand'!$A:$A,0)),"")</f>
        <v/>
      </c>
      <c r="AI1431" s="25" t="str">
        <f>IF(SUMIFS('Supp Consol'!AA:AA,'Supp Consol'!Z:Z,"Expires this month",'Supp Consol'!A:A,O1431)=0,"",SUMIFS('Supp Consol'!AA:AA,'Supp Consol'!Z:Z,"Expires this month",'Supp Consol'!A:A,O1431))</f>
        <v/>
      </c>
      <c r="AJ1431" s="25" t="str">
        <f>IF(SUMIFS('Supp Consol'!AA:AA,'Supp Consol'!Z:Z,"Expired Previous Months",'Supp Consol'!A:A,O1431)=0,"",SUMIFS('Supp Consol'!AA:AA,'Supp Consol'!Z:Z,"Expired Previous Months",'Supp Consol'!A:A,O1431))</f>
        <v/>
      </c>
      <c r="AK1431" s="25" t="str">
        <f>IFERROR(INDEX('Hun Release Current'!B:B,MATCH(O1431,'Hun Release Current'!A:A,0)),"")</f>
        <v/>
      </c>
      <c r="AL1431" s="25" t="str">
        <f>IF(SUMIF('Prev Aub'!A:A,O1431,'Prev Aub'!B:B)=0,"",SUMIF('Prev Aub'!A:A,O1431,'Prev Aub'!B:B))</f>
        <v/>
      </c>
      <c r="AN1431" s="25" t="s">
        <v>3790</v>
      </c>
      <c r="AO1431" s="25" t="s">
        <v>3790</v>
      </c>
      <c r="AP1431" s="25">
        <f t="shared" si="622"/>
        <v>0</v>
      </c>
      <c r="AQ1431" s="151" t="str">
        <f>IF(SUMIFS('Supp Consol'!S:S,'Supp Consol'!A:A,O1431,'Supp Consol'!I:I,"PENDING")=0,"",SUMIFS('Supp Consol'!S:S,'Supp Consol'!A:A,O1431,'Supp Consol'!I:I,"PENDING"))</f>
        <v/>
      </c>
      <c r="AR1431" s="27" t="str">
        <f t="shared" si="623"/>
        <v>WM791</v>
      </c>
      <c r="AS1431" s="27" t="str">
        <f t="shared" si="624"/>
        <v>37</v>
      </c>
      <c r="AT1431" s="27" t="str">
        <f t="shared" si="625"/>
        <v>WM791</v>
      </c>
      <c r="AU1431" s="27" t="str">
        <f t="shared" si="626"/>
        <v>WM791</v>
      </c>
      <c r="AV1431" s="27" t="str">
        <f t="shared" si="627"/>
        <v>WM791</v>
      </c>
      <c r="AW1431" s="27" t="str">
        <f t="shared" si="628"/>
        <v/>
      </c>
      <c r="AX1431" s="27" t="str">
        <f t="shared" si="629"/>
        <v/>
      </c>
      <c r="AY1431" s="27" t="str">
        <f t="shared" si="630"/>
        <v/>
      </c>
      <c r="AZ1431" s="27" t="str">
        <f t="shared" si="631"/>
        <v/>
      </c>
      <c r="BA1431" s="27" t="str">
        <f t="shared" si="632"/>
        <v>Hun</v>
      </c>
      <c r="BB1431" s="27" t="str">
        <f t="shared" si="633"/>
        <v>Gross</v>
      </c>
      <c r="BC1431" s="27" t="str">
        <f t="shared" si="634"/>
        <v>Net</v>
      </c>
      <c r="BD1431" s="27" t="str">
        <f t="shared" si="635"/>
        <v>Net</v>
      </c>
      <c r="BE1431" s="27" t="str">
        <f t="shared" si="636"/>
        <v/>
      </c>
      <c r="BF1431" s="27" t="str">
        <f t="shared" si="637"/>
        <v/>
      </c>
      <c r="BG1431" s="27" t="str">
        <f t="shared" si="638"/>
        <v/>
      </c>
      <c r="BH1431" s="27" t="str">
        <f t="shared" si="639"/>
        <v>H+N</v>
      </c>
      <c r="BI1431" s="27" t="str">
        <f t="shared" si="640"/>
        <v>H+Nex</v>
      </c>
      <c r="BJ1431" s="27" t="str">
        <f t="shared" si="641"/>
        <v>Supp or Hun</v>
      </c>
      <c r="BK1431" s="27" t="str">
        <f t="shared" si="642"/>
        <v>Supp or Hun Need</v>
      </c>
      <c r="BL1431" s="27" t="str">
        <f t="shared" si="643"/>
        <v>SorHandNandE</v>
      </c>
      <c r="BM1431" s="21" t="s">
        <v>5581</v>
      </c>
    </row>
    <row r="1432" spans="1:65" ht="15">
      <c r="A1432" s="25">
        <f>IFERROR(INDEX('Hun Demand'!W:W,MATCH(O1432,'Hun Demand'!A:A,0)),"")</f>
        <v>2095</v>
      </c>
      <c r="B1432" s="25">
        <f>IFERROR(INDEX('Hun Demand'!V:V,MATCH(O1432,'Hun Demand'!A:A,0)),"")</f>
        <v>261</v>
      </c>
      <c r="C1432" s="25">
        <f>IFERROR(INDEX('Hun Demand'!U:U,MATCH(O1432,'Hun Demand'!A:A,0)),"")</f>
        <v>530</v>
      </c>
      <c r="D1432" s="25">
        <f>IFERROR(INDEX('Hun Demand'!T:T,MATCH(O1432,'Hun Demand'!A:A,0)),"")</f>
        <v>0</v>
      </c>
      <c r="E1432" s="25">
        <f>IFERROR(INDEX('Hun Demand'!S:S,MATCH(O1432,'Hun Demand'!A:A,0)),"")</f>
        <v>975</v>
      </c>
      <c r="F1432" s="25">
        <f>IFERROR(INDEX('Hun Demand'!R:R,MATCH(O1432,'Hun Demand'!A:A,0)),"")</f>
        <v>0</v>
      </c>
      <c r="G1432" s="25">
        <f>IFERROR(INDEX('Aub Demand'!W:W,MATCH(O1432,'Aub Demand'!A:A,0)),"")</f>
        <v>1001</v>
      </c>
      <c r="H1432" s="25">
        <f>IFERROR(INDEX('Aub Demand'!V:V,MATCH(O1432,'Aub Demand'!A:A,0)),"")</f>
        <v>539</v>
      </c>
      <c r="I1432" s="25">
        <f>IFERROR(INDEX('Aub Demand'!U:U,MATCH(O1432,'Aub Demand'!A:A,0)),"")</f>
        <v>0</v>
      </c>
      <c r="J1432" s="25">
        <f>IFERROR(INDEX('Aub Demand'!T:T,MATCH(O1432,'Aub Demand'!A:A,0)),"")</f>
        <v>202</v>
      </c>
      <c r="K1432" s="25">
        <f>IFERROR(INDEX('Aub Demand'!S:S,MATCH(O1432,'Aub Demand'!A:A,0)),"")</f>
        <v>917</v>
      </c>
      <c r="L1432" s="25">
        <f>IFERROR(INDEX('Aub Demand'!R:R,MATCH(O1432,'Aub Demand'!A:A,0)),"")</f>
        <v>672</v>
      </c>
      <c r="O1432" s="27" t="s">
        <v>1751</v>
      </c>
      <c r="P1432" s="27" t="str">
        <f>IFERROR(INDEX('Aub Demand'!B:B,MATCH($O1432,'Aub Demand'!$A:$A,0)),"")</f>
        <v>HARDROCK MAPLE</v>
      </c>
      <c r="Q1432" s="27" t="str">
        <f>IFERROR(INDEX('Aub Demand'!C:C,MATCH($O1432,'Aub Demand'!$A:$A,0)),"")</f>
        <v>TOPPA</v>
      </c>
      <c r="R1432" s="52">
        <f>IFERROR(IF(AR1433=AR1432,INDEX('Aub Demand'!K:K,MATCH($O1432,'Aub Demand'!$A:$A,0))-IF(AN1432="",0,AN1432)+AP1433,INDEX('Aub Demand'!K:K,MATCH($O1432,'Aub Demand'!$A:$A,0))-IF(AN1432="",0,AN1432)),"")</f>
        <v>1343</v>
      </c>
      <c r="S1432" s="53">
        <f t="shared" si="616"/>
        <v>15.4</v>
      </c>
      <c r="T1432" s="52" t="str">
        <f t="shared" si="617"/>
        <v/>
      </c>
      <c r="U1432" s="52">
        <f>IFERROR(IF(AR1433=AR1432,INDEX('Aub Demand'!Q:Q,MATCH($O1432,'Aub Demand'!$A:$A,0))-IF(AN1432="",0,AN1432)+AP1433,INDEX('Aub Demand'!Q:Q,MATCH($O1432,'Aub Demand'!$A:$A,0))-IF(AN1432="",0,AN1432)),"")</f>
        <v>1016</v>
      </c>
      <c r="V1432" s="53">
        <f t="shared" si="618"/>
        <v>11.7</v>
      </c>
      <c r="W1432" s="52" t="str">
        <f t="shared" si="619"/>
        <v/>
      </c>
      <c r="X1432" s="52">
        <f>IFERROR(IF(AND(AR1433=AR1432,AM1432&lt;&gt;""),INDEX('Aub Demand'!Q:Q,MATCH($O1432,'Aub Demand'!$A:$A,0))-IF(AN1432="",0,AN1432)+AP1433+AD1432+AL1432,IF(AR1433=AR1432,INDEX('Aub Demand'!Q:Q,MATCH($O1432,'Aub Demand'!$A:$A,0))-IF(AN1432="",0,AN1432)+AP1433+AD1432,IF(AM1432&lt;&gt;"",INDEX('Aub Demand'!Q:Q,MATCH($O1432,'Aub Demand'!$A:$A,0))-IF(AN1432="",0,AN1432)+AD1432+AL1432,INDEX('Aub Demand'!Q:Q,MATCH($O1432,'Aub Demand'!$A:$A,0))-IF(AN1432="",0,AN1432)+AD1432))),"")</f>
        <v>1016</v>
      </c>
      <c r="Y1432" s="53">
        <f t="shared" si="620"/>
        <v>11.7</v>
      </c>
      <c r="Z1432" s="52">
        <f>IF(L1432="","",INDEX('Aub Demand'!H:H,MATCH($O1432,'Aub Demand'!$A:$A,0)))</f>
        <v>373</v>
      </c>
      <c r="AA1432" s="52">
        <f t="shared" si="621"/>
        <v>794.5</v>
      </c>
      <c r="AB1432" s="52">
        <f>IFERROR(INDEX('Aub Demand'!L:L,MATCH($O1432,'Aub Demand'!$A:$A,0)),"")</f>
        <v>680</v>
      </c>
      <c r="AC1432" s="52">
        <f>IFERROR(IF(O1432="","",SUMIFS('CPL Mats'!F:F,'CPL Mats'!Q:Q,AR1432,'CPL Mats'!S:S,AS1432)),"")</f>
        <v>852</v>
      </c>
      <c r="AF1432" s="25" t="str">
        <f>IF(SUMIFS('Supp Consol'!S:S,'Supp Consol'!Y:Y,"Releasable",'Supp Consol'!A:A,O1432)=0,"",SUMIFS('Supp Consol'!S:S,'Supp Consol'!Y:Y,"Releasable",'Supp Consol'!A:A,O1432))</f>
        <v/>
      </c>
      <c r="AG1432" s="25">
        <f>IFERROR(INDEX('Hun Demand'!Q:Q,MATCH(O1432,'Hun Demand'!A:A,0)),"")</f>
        <v>1358</v>
      </c>
      <c r="AH1432" s="25">
        <f>IFERROR(INDEX('Hun Demand'!H:H,MATCH($O1432,'Hun Demand'!$A:$A,0)),"")</f>
        <v>502</v>
      </c>
      <c r="AI1432" s="25" t="str">
        <f>IF(SUMIFS('Supp Consol'!AA:AA,'Supp Consol'!Z:Z,"Expires this month",'Supp Consol'!A:A,O1432)=0,"",SUMIFS('Supp Consol'!AA:AA,'Supp Consol'!Z:Z,"Expires this month",'Supp Consol'!A:A,O1432))</f>
        <v/>
      </c>
      <c r="AJ1432" s="25" t="str">
        <f>IF(SUMIFS('Supp Consol'!AA:AA,'Supp Consol'!Z:Z,"Expired Previous Months",'Supp Consol'!A:A,O1432)=0,"",SUMIFS('Supp Consol'!AA:AA,'Supp Consol'!Z:Z,"Expired Previous Months",'Supp Consol'!A:A,O1432))</f>
        <v/>
      </c>
      <c r="AK1432" s="25" t="str">
        <f>IFERROR(INDEX('Hun Release Current'!B:B,MATCH(O1432,'Hun Release Current'!A:A,0)),"")</f>
        <v/>
      </c>
      <c r="AL1432" s="25" t="str">
        <f>IF(SUMIF('Prev Aub'!A:A,O1432,'Prev Aub'!B:B)=0,"",SUMIF('Prev Aub'!A:A,O1432,'Prev Aub'!B:B))</f>
        <v/>
      </c>
      <c r="AN1432" s="25" t="s">
        <v>3790</v>
      </c>
      <c r="AO1432" s="25" t="s">
        <v>3790</v>
      </c>
      <c r="AP1432" s="25">
        <f t="shared" si="622"/>
        <v>0</v>
      </c>
      <c r="AQ1432" s="151" t="str">
        <f>IF(SUMIFS('Supp Consol'!S:S,'Supp Consol'!A:A,O1432,'Supp Consol'!I:I,"PENDING")=0,"",SUMIFS('Supp Consol'!S:S,'Supp Consol'!A:A,O1432,'Supp Consol'!I:I,"PENDING"))</f>
        <v/>
      </c>
      <c r="AR1432" s="27" t="str">
        <f t="shared" si="623"/>
        <v>WM791</v>
      </c>
      <c r="AS1432" s="27" t="str">
        <f t="shared" si="624"/>
        <v>50</v>
      </c>
      <c r="AT1432" s="27" t="str">
        <f t="shared" si="625"/>
        <v/>
      </c>
      <c r="AU1432" s="27" t="str">
        <f t="shared" si="626"/>
        <v/>
      </c>
      <c r="AV1432" s="27" t="str">
        <f t="shared" si="627"/>
        <v/>
      </c>
      <c r="AW1432" s="27" t="str">
        <f t="shared" si="628"/>
        <v/>
      </c>
      <c r="AX1432" s="27" t="str">
        <f t="shared" si="629"/>
        <v/>
      </c>
      <c r="AY1432" s="27" t="str">
        <f t="shared" si="630"/>
        <v>WM791</v>
      </c>
      <c r="AZ1432" s="27" t="str">
        <f t="shared" si="631"/>
        <v/>
      </c>
      <c r="BA1432" s="27" t="str">
        <f t="shared" si="632"/>
        <v>Hun</v>
      </c>
      <c r="BB1432" s="27" t="str">
        <f t="shared" si="633"/>
        <v>Gross</v>
      </c>
      <c r="BC1432" s="27" t="str">
        <f t="shared" si="634"/>
        <v>Net</v>
      </c>
      <c r="BD1432" s="27" t="str">
        <f t="shared" si="635"/>
        <v>Net</v>
      </c>
      <c r="BE1432" s="27" t="str">
        <f t="shared" si="636"/>
        <v/>
      </c>
      <c r="BF1432" s="27" t="str">
        <f t="shared" si="637"/>
        <v/>
      </c>
      <c r="BG1432" s="27" t="str">
        <f t="shared" si="638"/>
        <v/>
      </c>
      <c r="BH1432" s="27" t="str">
        <f t="shared" si="639"/>
        <v>H+N</v>
      </c>
      <c r="BI1432" s="27" t="str">
        <f t="shared" si="640"/>
        <v>H+Nex</v>
      </c>
      <c r="BJ1432" s="27" t="str">
        <f t="shared" si="641"/>
        <v>Supp or Hun</v>
      </c>
      <c r="BK1432" s="27" t="str">
        <f t="shared" si="642"/>
        <v>Supp or Hun Need</v>
      </c>
      <c r="BL1432" s="27" t="str">
        <f t="shared" si="643"/>
        <v>SorHandNandE</v>
      </c>
      <c r="BM1432" s="21" t="s">
        <v>5581</v>
      </c>
    </row>
    <row r="1433" spans="1:65" ht="15">
      <c r="A1433" s="25">
        <f>IFERROR(INDEX('Hun Demand'!W:W,MATCH(O1433,'Hun Demand'!A:A,0)),"")</f>
        <v>264</v>
      </c>
      <c r="B1433" s="25">
        <f>IFERROR(INDEX('Hun Demand'!V:V,MATCH(O1433,'Hun Demand'!A:A,0)),"")</f>
        <v>0</v>
      </c>
      <c r="C1433" s="25">
        <f>IFERROR(INDEX('Hun Demand'!U:U,MATCH(O1433,'Hun Demand'!A:A,0)),"")</f>
        <v>178</v>
      </c>
      <c r="D1433" s="25">
        <f>IFERROR(INDEX('Hun Demand'!T:T,MATCH(O1433,'Hun Demand'!A:A,0)),"")</f>
        <v>0</v>
      </c>
      <c r="E1433" s="25">
        <f>IFERROR(INDEX('Hun Demand'!S:S,MATCH(O1433,'Hun Demand'!A:A,0)),"")</f>
        <v>0</v>
      </c>
      <c r="F1433" s="25">
        <f>IFERROR(INDEX('Hun Demand'!R:R,MATCH(O1433,'Hun Demand'!A:A,0)),"")</f>
        <v>0</v>
      </c>
      <c r="G1433" s="25">
        <f>IFERROR(INDEX('Aub Demand'!W:W,MATCH(O1433,'Aub Demand'!A:A,0)),"")</f>
        <v>170</v>
      </c>
      <c r="H1433" s="25">
        <f>IFERROR(INDEX('Aub Demand'!V:V,MATCH(O1433,'Aub Demand'!A:A,0)),"")</f>
        <v>766</v>
      </c>
      <c r="I1433" s="25">
        <f>IFERROR(INDEX('Aub Demand'!U:U,MATCH(O1433,'Aub Demand'!A:A,0)),"")</f>
        <v>263</v>
      </c>
      <c r="J1433" s="25">
        <f>IFERROR(INDEX('Aub Demand'!T:T,MATCH(O1433,'Aub Demand'!A:A,0)),"")</f>
        <v>758</v>
      </c>
      <c r="K1433" s="25">
        <f>IFERROR(INDEX('Aub Demand'!S:S,MATCH(O1433,'Aub Demand'!A:A,0)),"")</f>
        <v>1142</v>
      </c>
      <c r="L1433" s="25">
        <f>IFERROR(INDEX('Aub Demand'!R:R,MATCH(O1433,'Aub Demand'!A:A,0)),"")</f>
        <v>0</v>
      </c>
      <c r="O1433" s="27" t="s">
        <v>1752</v>
      </c>
      <c r="P1433" s="27" t="str">
        <f>IFERROR(INDEX('Aub Demand'!B:B,MATCH($O1433,'Aub Demand'!$A:$A,0)),"")</f>
        <v>HARDROCK MAPLE</v>
      </c>
      <c r="Q1433" s="27" t="str">
        <f>IFERROR(INDEX('Aub Demand'!C:C,MATCH($O1433,'Aub Demand'!$A:$A,0)),"")</f>
        <v>TOPPA</v>
      </c>
      <c r="R1433" s="52">
        <f>IFERROR(IF(AR1434=AR1433,INDEX('Aub Demand'!K:K,MATCH($O1433,'Aub Demand'!$A:$A,0))-IF(AN1433="",0,AN1433)+AP1434,INDEX('Aub Demand'!K:K,MATCH($O1433,'Aub Demand'!$A:$A,0))-IF(AN1433="",0,AN1433)),"")</f>
        <v>5637</v>
      </c>
      <c r="S1433" s="53">
        <f t="shared" si="616"/>
        <v>33.5</v>
      </c>
      <c r="T1433" s="52" t="str">
        <f t="shared" si="617"/>
        <v/>
      </c>
      <c r="U1433" s="52">
        <f>IFERROR(IF(AR1434=AR1433,INDEX('Aub Demand'!Q:Q,MATCH($O1433,'Aub Demand'!$A:$A,0))-IF(AN1433="",0,AN1433)+AP1434,INDEX('Aub Demand'!Q:Q,MATCH($O1433,'Aub Demand'!$A:$A,0))-IF(AN1433="",0,AN1433)),"")</f>
        <v>5193</v>
      </c>
      <c r="V1433" s="53">
        <f t="shared" si="618"/>
        <v>30.9</v>
      </c>
      <c r="W1433" s="52" t="str">
        <f t="shared" si="619"/>
        <v/>
      </c>
      <c r="X1433" s="52">
        <f>IFERROR(IF(AND(AR1434=AR1433,AM1433&lt;&gt;""),INDEX('Aub Demand'!Q:Q,MATCH($O1433,'Aub Demand'!$A:$A,0))-IF(AN1433="",0,AN1433)+AP1434+AD1433+AL1433,IF(AR1434=AR1433,INDEX('Aub Demand'!Q:Q,MATCH($O1433,'Aub Demand'!$A:$A,0))-IF(AN1433="",0,AN1433)+AP1434+AD1433,IF(AM1433&lt;&gt;"",INDEX('Aub Demand'!Q:Q,MATCH($O1433,'Aub Demand'!$A:$A,0))-IF(AN1433="",0,AN1433)+AD1433+AL1433,INDEX('Aub Demand'!Q:Q,MATCH($O1433,'Aub Demand'!$A:$A,0))-IF(AN1433="",0,AN1433)+AD1433))),"")</f>
        <v>5193</v>
      </c>
      <c r="Y1433" s="53">
        <f t="shared" si="620"/>
        <v>30.9</v>
      </c>
      <c r="Z1433" s="52">
        <f>IF(L1433="","",INDEX('Aub Demand'!H:H,MATCH($O1433,'Aub Demand'!$A:$A,0)))</f>
        <v>721</v>
      </c>
      <c r="AA1433" s="52">
        <f t="shared" si="621"/>
        <v>950</v>
      </c>
      <c r="AB1433" s="52">
        <f>IFERROR(INDEX('Aub Demand'!L:L,MATCH($O1433,'Aub Demand'!$A:$A,0)),"")</f>
        <v>2572</v>
      </c>
      <c r="AC1433" s="52">
        <f>IFERROR(IF(O1433="","",SUMIFS('CPL Mats'!F:F,'CPL Mats'!Q:Q,AR1433,'CPL Mats'!S:S,AS1433)),"")</f>
        <v>5341.36</v>
      </c>
      <c r="AF1433" s="25" t="str">
        <f>IF(SUMIFS('Supp Consol'!S:S,'Supp Consol'!Y:Y,"Releasable",'Supp Consol'!A:A,O1433)=0,"",SUMIFS('Supp Consol'!S:S,'Supp Consol'!Y:Y,"Releasable",'Supp Consol'!A:A,O1433))</f>
        <v/>
      </c>
      <c r="AG1433" s="25">
        <f>IFERROR(INDEX('Hun Demand'!Q:Q,MATCH(O1433,'Hun Demand'!A:A,0)),"")</f>
        <v>400</v>
      </c>
      <c r="AH1433" s="25">
        <f>IFERROR(INDEX('Hun Demand'!H:H,MATCH($O1433,'Hun Demand'!$A:$A,0)),"")</f>
        <v>59</v>
      </c>
      <c r="AI1433" s="25" t="str">
        <f>IF(SUMIFS('Supp Consol'!AA:AA,'Supp Consol'!Z:Z,"Expires this month",'Supp Consol'!A:A,O1433)=0,"",SUMIFS('Supp Consol'!AA:AA,'Supp Consol'!Z:Z,"Expires this month",'Supp Consol'!A:A,O1433))</f>
        <v/>
      </c>
      <c r="AJ1433" s="25" t="str">
        <f>IF(SUMIFS('Supp Consol'!AA:AA,'Supp Consol'!Z:Z,"Expired Previous Months",'Supp Consol'!A:A,O1433)=0,"",SUMIFS('Supp Consol'!AA:AA,'Supp Consol'!Z:Z,"Expired Previous Months",'Supp Consol'!A:A,O1433))</f>
        <v/>
      </c>
      <c r="AK1433" s="25" t="str">
        <f>IFERROR(INDEX('Hun Release Current'!B:B,MATCH(O1433,'Hun Release Current'!A:A,0)),"")</f>
        <v/>
      </c>
      <c r="AL1433" s="25" t="str">
        <f>IF(SUMIF('Prev Aub'!A:A,O1433,'Prev Aub'!B:B)=0,"",SUMIF('Prev Aub'!A:A,O1433,'Prev Aub'!B:B))</f>
        <v/>
      </c>
      <c r="AN1433" s="25" t="s">
        <v>3790</v>
      </c>
      <c r="AO1433" s="25" t="s">
        <v>3790</v>
      </c>
      <c r="AP1433" s="25">
        <f t="shared" si="622"/>
        <v>0</v>
      </c>
      <c r="AQ1433" s="151" t="str">
        <f>IF(SUMIFS('Supp Consol'!S:S,'Supp Consol'!A:A,O1433,'Supp Consol'!I:I,"PENDING")=0,"",SUMIFS('Supp Consol'!S:S,'Supp Consol'!A:A,O1433,'Supp Consol'!I:I,"PENDING"))</f>
        <v/>
      </c>
      <c r="AR1433" s="27" t="str">
        <f t="shared" si="623"/>
        <v>WM791</v>
      </c>
      <c r="AS1433" s="27" t="str">
        <f t="shared" si="624"/>
        <v>62</v>
      </c>
      <c r="AT1433" s="27" t="str">
        <f t="shared" si="625"/>
        <v/>
      </c>
      <c r="AU1433" s="27" t="str">
        <f t="shared" si="626"/>
        <v/>
      </c>
      <c r="AV1433" s="27" t="str">
        <f t="shared" si="627"/>
        <v/>
      </c>
      <c r="AW1433" s="27" t="str">
        <f t="shared" si="628"/>
        <v/>
      </c>
      <c r="AX1433" s="27" t="str">
        <f t="shared" si="629"/>
        <v/>
      </c>
      <c r="AY1433" s="27" t="str">
        <f t="shared" si="630"/>
        <v>WM791</v>
      </c>
      <c r="AZ1433" s="27" t="str">
        <f t="shared" si="631"/>
        <v/>
      </c>
      <c r="BA1433" s="27" t="str">
        <f t="shared" si="632"/>
        <v>Hun</v>
      </c>
      <c r="BB1433" s="27" t="str">
        <f t="shared" si="633"/>
        <v>Gross</v>
      </c>
      <c r="BC1433" s="27" t="str">
        <f t="shared" si="634"/>
        <v>Net</v>
      </c>
      <c r="BD1433" s="27" t="str">
        <f t="shared" si="635"/>
        <v>Net</v>
      </c>
      <c r="BE1433" s="27" t="str">
        <f t="shared" si="636"/>
        <v/>
      </c>
      <c r="BF1433" s="27" t="str">
        <f t="shared" si="637"/>
        <v/>
      </c>
      <c r="BG1433" s="27" t="str">
        <f t="shared" si="638"/>
        <v/>
      </c>
      <c r="BH1433" s="27" t="str">
        <f t="shared" si="639"/>
        <v>H+N</v>
      </c>
      <c r="BI1433" s="27" t="str">
        <f t="shared" si="640"/>
        <v>H+Nex</v>
      </c>
      <c r="BJ1433" s="27" t="str">
        <f t="shared" si="641"/>
        <v>Supp or Hun</v>
      </c>
      <c r="BK1433" s="27" t="str">
        <f t="shared" si="642"/>
        <v>Supp or Hun Need</v>
      </c>
      <c r="BL1433" s="27" t="str">
        <f t="shared" si="643"/>
        <v>SorHandNandE</v>
      </c>
      <c r="BM1433" s="21" t="s">
        <v>5581</v>
      </c>
    </row>
    <row r="1434" spans="1:65" ht="15">
      <c r="A1434" s="25" t="str">
        <f>IFERROR(INDEX('Hun Demand'!W:W,MATCH(O1434,'Hun Demand'!A:A,0)),"")</f>
        <v/>
      </c>
      <c r="B1434" s="25" t="str">
        <f>IFERROR(INDEX('Hun Demand'!V:V,MATCH(O1434,'Hun Demand'!A:A,0)),"")</f>
        <v/>
      </c>
      <c r="C1434" s="25" t="str">
        <f>IFERROR(INDEX('Hun Demand'!U:U,MATCH(O1434,'Hun Demand'!A:A,0)),"")</f>
        <v/>
      </c>
      <c r="D1434" s="25" t="str">
        <f>IFERROR(INDEX('Hun Demand'!T:T,MATCH(O1434,'Hun Demand'!A:A,0)),"")</f>
        <v/>
      </c>
      <c r="E1434" s="25" t="str">
        <f>IFERROR(INDEX('Hun Demand'!S:S,MATCH(O1434,'Hun Demand'!A:A,0)),"")</f>
        <v/>
      </c>
      <c r="F1434" s="25" t="str">
        <f>IFERROR(INDEX('Hun Demand'!R:R,MATCH(O1434,'Hun Demand'!A:A,0)),"")</f>
        <v/>
      </c>
      <c r="G1434" s="25">
        <f>IFERROR(INDEX('Aub Demand'!W:W,MATCH(O1434,'Aub Demand'!A:A,0)),"")</f>
        <v>0</v>
      </c>
      <c r="H1434" s="25">
        <f>IFERROR(INDEX('Aub Demand'!V:V,MATCH(O1434,'Aub Demand'!A:A,0)),"")</f>
        <v>0</v>
      </c>
      <c r="I1434" s="25">
        <f>IFERROR(INDEX('Aub Demand'!U:U,MATCH(O1434,'Aub Demand'!A:A,0)),"")</f>
        <v>0</v>
      </c>
      <c r="J1434" s="25">
        <f>IFERROR(INDEX('Aub Demand'!T:T,MATCH(O1434,'Aub Demand'!A:A,0)),"")</f>
        <v>0</v>
      </c>
      <c r="K1434" s="25">
        <f>IFERROR(INDEX('Aub Demand'!S:S,MATCH(O1434,'Aub Demand'!A:A,0)),"")</f>
        <v>0</v>
      </c>
      <c r="L1434" s="25">
        <f>IFERROR(INDEX('Aub Demand'!R:R,MATCH(O1434,'Aub Demand'!A:A,0)),"")</f>
        <v>0</v>
      </c>
      <c r="O1434" s="27" t="s">
        <v>3034</v>
      </c>
      <c r="P1434" s="27" t="str">
        <f>IFERROR(INDEX('Aub Demand'!B:B,MATCH($O1434,'Aub Demand'!$A:$A,0)),"")</f>
        <v>VESSEL OAK 48"</v>
      </c>
      <c r="Q1434" s="27" t="str">
        <f>IFERROR(INDEX('Aub Demand'!C:C,MATCH($O1434,'Aub Demand'!$A:$A,0)),"")</f>
        <v>INTER</v>
      </c>
      <c r="R1434" s="52">
        <f>IFERROR(IF(AR1435=AR1434,INDEX('Aub Demand'!K:K,MATCH($O1434,'Aub Demand'!$A:$A,0))-IF(AN1434="",0,AN1434)+AP1435,INDEX('Aub Demand'!K:K,MATCH($O1434,'Aub Demand'!$A:$A,0))-IF(AN1434="",0,AN1434)),"")</f>
        <v>88</v>
      </c>
      <c r="S1434" s="53" t="str">
        <f t="shared" si="616"/>
        <v>n/a</v>
      </c>
      <c r="T1434" s="52" t="str">
        <f t="shared" si="617"/>
        <v/>
      </c>
      <c r="U1434" s="52">
        <f>IFERROR(IF(AR1435=AR1434,INDEX('Aub Demand'!Q:Q,MATCH($O1434,'Aub Demand'!$A:$A,0))-IF(AN1434="",0,AN1434)+AP1435,INDEX('Aub Demand'!Q:Q,MATCH($O1434,'Aub Demand'!$A:$A,0))-IF(AN1434="",0,AN1434)),"")</f>
        <v>88</v>
      </c>
      <c r="V1434" s="53" t="str">
        <f t="shared" si="618"/>
        <v>n/a</v>
      </c>
      <c r="W1434" s="52" t="str">
        <f t="shared" si="619"/>
        <v/>
      </c>
      <c r="X1434" s="52">
        <f>IFERROR(IF(AND(AR1435=AR1434,AM1434&lt;&gt;""),INDEX('Aub Demand'!Q:Q,MATCH($O1434,'Aub Demand'!$A:$A,0))-IF(AN1434="",0,AN1434)+AP1435+AD1434+AL1434,IF(AR1435=AR1434,INDEX('Aub Demand'!Q:Q,MATCH($O1434,'Aub Demand'!$A:$A,0))-IF(AN1434="",0,AN1434)+AP1435+AD1434,IF(AM1434&lt;&gt;"",INDEX('Aub Demand'!Q:Q,MATCH($O1434,'Aub Demand'!$A:$A,0))-IF(AN1434="",0,AN1434)+AD1434+AL1434,INDEX('Aub Demand'!Q:Q,MATCH($O1434,'Aub Demand'!$A:$A,0))-IF(AN1434="",0,AN1434)+AD1434))),"")</f>
        <v>88</v>
      </c>
      <c r="Y1434" s="53" t="str">
        <f t="shared" si="620"/>
        <v>n/a</v>
      </c>
      <c r="Z1434" s="52">
        <f>IF(L1434="","",INDEX('Aub Demand'!H:H,MATCH($O1434,'Aub Demand'!$A:$A,0)))</f>
        <v>0</v>
      </c>
      <c r="AA1434" s="52" t="str">
        <f t="shared" si="621"/>
        <v>-spike-</v>
      </c>
      <c r="AB1434" s="52">
        <f>IFERROR(INDEX('Aub Demand'!L:L,MATCH($O1434,'Aub Demand'!$A:$A,0)),"")</f>
        <v>13</v>
      </c>
      <c r="AC1434" s="52">
        <f>IFERROR(IF(O1434="","",SUMIFS('CPL Mats'!F:F,'CPL Mats'!Q:Q,AR1434,'CPL Mats'!S:S,AS1434)),"")</f>
        <v>0</v>
      </c>
      <c r="AF1434" s="25" t="str">
        <f>IF(SUMIFS('Supp Consol'!S:S,'Supp Consol'!Y:Y,"Releasable",'Supp Consol'!A:A,O1434)=0,"",SUMIFS('Supp Consol'!S:S,'Supp Consol'!Y:Y,"Releasable",'Supp Consol'!A:A,O1434))</f>
        <v/>
      </c>
      <c r="AG1434" s="25" t="str">
        <f>IFERROR(INDEX('Hun Demand'!Q:Q,MATCH(O1434,'Hun Demand'!A:A,0)),"")</f>
        <v/>
      </c>
      <c r="AH1434" s="25" t="str">
        <f>IFERROR(INDEX('Hun Demand'!H:H,MATCH($O1434,'Hun Demand'!$A:$A,0)),"")</f>
        <v/>
      </c>
      <c r="AI1434" s="25" t="str">
        <f>IF(SUMIFS('Supp Consol'!AA:AA,'Supp Consol'!Z:Z,"Expires this month",'Supp Consol'!A:A,O1434)=0,"",SUMIFS('Supp Consol'!AA:AA,'Supp Consol'!Z:Z,"Expires this month",'Supp Consol'!A:A,O1434))</f>
        <v/>
      </c>
      <c r="AJ1434" s="25" t="str">
        <f>IF(SUMIFS('Supp Consol'!AA:AA,'Supp Consol'!Z:Z,"Expired Previous Months",'Supp Consol'!A:A,O1434)=0,"",SUMIFS('Supp Consol'!AA:AA,'Supp Consol'!Z:Z,"Expired Previous Months",'Supp Consol'!A:A,O1434))</f>
        <v/>
      </c>
      <c r="AK1434" s="25" t="str">
        <f>IFERROR(INDEX('Hun Release Current'!B:B,MATCH(O1434,'Hun Release Current'!A:A,0)),"")</f>
        <v/>
      </c>
      <c r="AL1434" s="25" t="str">
        <f>IF(SUMIF('Prev Aub'!A:A,O1434,'Prev Aub'!B:B)=0,"",SUMIF('Prev Aub'!A:A,O1434,'Prev Aub'!B:B))</f>
        <v/>
      </c>
      <c r="AN1434" s="25" t="s">
        <v>3790</v>
      </c>
      <c r="AO1434" s="25" t="s">
        <v>3790</v>
      </c>
      <c r="AP1434" s="25">
        <f t="shared" si="622"/>
        <v>0</v>
      </c>
      <c r="AQ1434" s="151" t="str">
        <f>IF(SUMIFS('Supp Consol'!S:S,'Supp Consol'!A:A,O1434,'Supp Consol'!I:I,"PENDING")=0,"",SUMIFS('Supp Consol'!S:S,'Supp Consol'!A:A,O1434,'Supp Consol'!I:I,"PENDING"))</f>
        <v/>
      </c>
      <c r="AR1434" s="27" t="str">
        <f t="shared" si="623"/>
        <v>WM818</v>
      </c>
      <c r="AS1434" s="27" t="str">
        <f t="shared" si="624"/>
        <v>50</v>
      </c>
      <c r="AT1434" s="27" t="str">
        <f t="shared" si="625"/>
        <v/>
      </c>
      <c r="AU1434" s="27" t="str">
        <f t="shared" si="626"/>
        <v/>
      </c>
      <c r="AV1434" s="27" t="str">
        <f t="shared" si="627"/>
        <v/>
      </c>
      <c r="AW1434" s="27" t="str">
        <f t="shared" si="628"/>
        <v/>
      </c>
      <c r="AX1434" s="27" t="str">
        <f t="shared" si="629"/>
        <v/>
      </c>
      <c r="AY1434" s="27" t="str">
        <f t="shared" si="630"/>
        <v/>
      </c>
      <c r="AZ1434" s="27" t="str">
        <f t="shared" si="631"/>
        <v/>
      </c>
      <c r="BA1434" s="27" t="str">
        <f t="shared" si="632"/>
        <v/>
      </c>
      <c r="BB1434" s="27" t="str">
        <f t="shared" si="633"/>
        <v/>
      </c>
      <c r="BC1434" s="27" t="str">
        <f t="shared" si="634"/>
        <v/>
      </c>
      <c r="BD1434" s="27" t="str">
        <f t="shared" si="635"/>
        <v/>
      </c>
      <c r="BE1434" s="27" t="str">
        <f t="shared" si="636"/>
        <v/>
      </c>
      <c r="BF1434" s="27" t="str">
        <f t="shared" si="637"/>
        <v/>
      </c>
      <c r="BG1434" s="27" t="str">
        <f t="shared" si="638"/>
        <v/>
      </c>
      <c r="BH1434" s="27" t="str">
        <f t="shared" si="639"/>
        <v/>
      </c>
      <c r="BI1434" s="27" t="str">
        <f t="shared" si="640"/>
        <v/>
      </c>
      <c r="BJ1434" s="27" t="str">
        <f t="shared" si="641"/>
        <v/>
      </c>
      <c r="BK1434" s="27" t="str">
        <f t="shared" si="642"/>
        <v/>
      </c>
      <c r="BL1434" s="27" t="str">
        <f t="shared" si="643"/>
        <v/>
      </c>
      <c r="BM1434" s="21" t="s">
        <v>3790</v>
      </c>
    </row>
    <row r="1435" spans="1:65" ht="15">
      <c r="A1435" s="25" t="str">
        <f>IFERROR(INDEX('Hun Demand'!W:W,MATCH(O1435,'Hun Demand'!A:A,0)),"")</f>
        <v/>
      </c>
      <c r="B1435" s="25" t="str">
        <f>IFERROR(INDEX('Hun Demand'!V:V,MATCH(O1435,'Hun Demand'!A:A,0)),"")</f>
        <v/>
      </c>
      <c r="C1435" s="25" t="str">
        <f>IFERROR(INDEX('Hun Demand'!U:U,MATCH(O1435,'Hun Demand'!A:A,0)),"")</f>
        <v/>
      </c>
      <c r="D1435" s="25" t="str">
        <f>IFERROR(INDEX('Hun Demand'!T:T,MATCH(O1435,'Hun Demand'!A:A,0)),"")</f>
        <v/>
      </c>
      <c r="E1435" s="25" t="str">
        <f>IFERROR(INDEX('Hun Demand'!S:S,MATCH(O1435,'Hun Demand'!A:A,0)),"")</f>
        <v/>
      </c>
      <c r="F1435" s="25" t="str">
        <f>IFERROR(INDEX('Hun Demand'!R:R,MATCH(O1435,'Hun Demand'!A:A,0)),"")</f>
        <v/>
      </c>
      <c r="G1435" s="25">
        <f>IFERROR(INDEX('Aub Demand'!W:W,MATCH(O1435,'Aub Demand'!A:A,0)),"")</f>
        <v>35</v>
      </c>
      <c r="H1435" s="25">
        <f>IFERROR(INDEX('Aub Demand'!V:V,MATCH(O1435,'Aub Demand'!A:A,0)),"")</f>
        <v>0</v>
      </c>
      <c r="I1435" s="25">
        <f>IFERROR(INDEX('Aub Demand'!U:U,MATCH(O1435,'Aub Demand'!A:A,0)),"")</f>
        <v>0</v>
      </c>
      <c r="J1435" s="25">
        <f>IFERROR(INDEX('Aub Demand'!T:T,MATCH(O1435,'Aub Demand'!A:A,0)),"")</f>
        <v>80</v>
      </c>
      <c r="K1435" s="25">
        <f>IFERROR(INDEX('Aub Demand'!S:S,MATCH(O1435,'Aub Demand'!A:A,0)),"")</f>
        <v>0</v>
      </c>
      <c r="L1435" s="25">
        <f>IFERROR(INDEX('Aub Demand'!R:R,MATCH(O1435,'Aub Demand'!A:A,0)),"")</f>
        <v>0</v>
      </c>
      <c r="O1435" s="27" t="s">
        <v>3037</v>
      </c>
      <c r="P1435" s="27" t="str">
        <f>IFERROR(INDEX('Aub Demand'!B:B,MATCH($O1435,'Aub Demand'!$A:$A,0)),"")</f>
        <v>AMBER PEARWOOD 48"</v>
      </c>
      <c r="Q1435" s="27" t="str">
        <f>IFERROR(INDEX('Aub Demand'!C:C,MATCH($O1435,'Aub Demand'!$A:$A,0)),"")</f>
        <v>DNP A</v>
      </c>
      <c r="R1435" s="52">
        <f>IFERROR(IF(AR1436=AR1435,INDEX('Aub Demand'!K:K,MATCH($O1435,'Aub Demand'!$A:$A,0))-IF(AN1435="",0,AN1435)+AP1436,INDEX('Aub Demand'!K:K,MATCH($O1435,'Aub Demand'!$A:$A,0))-IF(AN1435="",0,AN1435)),"")</f>
        <v>530</v>
      </c>
      <c r="S1435" s="53">
        <f t="shared" si="616"/>
        <v>84.1</v>
      </c>
      <c r="T1435" s="52" t="str">
        <f t="shared" si="617"/>
        <v/>
      </c>
      <c r="U1435" s="52">
        <f>IFERROR(IF(AR1436=AR1435,INDEX('Aub Demand'!Q:Q,MATCH($O1435,'Aub Demand'!$A:$A,0))-IF(AN1435="",0,AN1435)+AP1436,INDEX('Aub Demand'!Q:Q,MATCH($O1435,'Aub Demand'!$A:$A,0))-IF(AN1435="",0,AN1435)),"")</f>
        <v>494</v>
      </c>
      <c r="V1435" s="53">
        <f t="shared" si="618"/>
        <v>78.400000000000006</v>
      </c>
      <c r="W1435" s="52" t="str">
        <f t="shared" si="619"/>
        <v/>
      </c>
      <c r="X1435" s="52">
        <f>IFERROR(IF(AND(AR1436=AR1435,AM1435&lt;&gt;""),INDEX('Aub Demand'!Q:Q,MATCH($O1435,'Aub Demand'!$A:$A,0))-IF(AN1435="",0,AN1435)+AP1436+AD1435+AL1435,IF(AR1436=AR1435,INDEX('Aub Demand'!Q:Q,MATCH($O1435,'Aub Demand'!$A:$A,0))-IF(AN1435="",0,AN1435)+AP1436+AD1435,IF(AM1435&lt;&gt;"",INDEX('Aub Demand'!Q:Q,MATCH($O1435,'Aub Demand'!$A:$A,0))-IF(AN1435="",0,AN1435)+AD1435+AL1435,INDEX('Aub Demand'!Q:Q,MATCH($O1435,'Aub Demand'!$A:$A,0))-IF(AN1435="",0,AN1435)+AD1435))),"")</f>
        <v>494</v>
      </c>
      <c r="Y1435" s="53">
        <f t="shared" si="620"/>
        <v>78.400000000000006</v>
      </c>
      <c r="Z1435" s="52">
        <f>IF(L1435="","",INDEX('Aub Demand'!H:H,MATCH($O1435,'Aub Demand'!$A:$A,0)))</f>
        <v>27</v>
      </c>
      <c r="AA1435" s="52" t="str">
        <f t="shared" si="621"/>
        <v>-spike-</v>
      </c>
      <c r="AB1435" s="52">
        <f>IFERROR(INDEX('Aub Demand'!L:L,MATCH($O1435,'Aub Demand'!$A:$A,0)),"")</f>
        <v>19</v>
      </c>
      <c r="AC1435" s="52">
        <f>IFERROR(IF(O1435="","",SUMIFS('CPL Mats'!F:F,'CPL Mats'!Q:Q,AR1435,'CPL Mats'!S:S,AS1435)),"")</f>
        <v>0</v>
      </c>
      <c r="AF1435" s="25" t="str">
        <f>IF(SUMIFS('Supp Consol'!S:S,'Supp Consol'!Y:Y,"Releasable",'Supp Consol'!A:A,O1435)=0,"",SUMIFS('Supp Consol'!S:S,'Supp Consol'!Y:Y,"Releasable",'Supp Consol'!A:A,O1435))</f>
        <v/>
      </c>
      <c r="AG1435" s="25" t="str">
        <f>IFERROR(INDEX('Hun Demand'!Q:Q,MATCH(O1435,'Hun Demand'!A:A,0)),"")</f>
        <v/>
      </c>
      <c r="AH1435" s="25" t="str">
        <f>IFERROR(INDEX('Hun Demand'!H:H,MATCH($O1435,'Hun Demand'!$A:$A,0)),"")</f>
        <v/>
      </c>
      <c r="AI1435" s="25" t="str">
        <f>IF(SUMIFS('Supp Consol'!AA:AA,'Supp Consol'!Z:Z,"Expires this month",'Supp Consol'!A:A,O1435)=0,"",SUMIFS('Supp Consol'!AA:AA,'Supp Consol'!Z:Z,"Expires this month",'Supp Consol'!A:A,O1435))</f>
        <v/>
      </c>
      <c r="AJ1435" s="25" t="str">
        <f>IF(SUMIFS('Supp Consol'!AA:AA,'Supp Consol'!Z:Z,"Expired Previous Months",'Supp Consol'!A:A,O1435)=0,"",SUMIFS('Supp Consol'!AA:AA,'Supp Consol'!Z:Z,"Expired Previous Months",'Supp Consol'!A:A,O1435))</f>
        <v/>
      </c>
      <c r="AK1435" s="25" t="str">
        <f>IFERROR(INDEX('Hun Release Current'!B:B,MATCH(O1435,'Hun Release Current'!A:A,0)),"")</f>
        <v/>
      </c>
      <c r="AL1435" s="25" t="str">
        <f>IF(SUMIF('Prev Aub'!A:A,O1435,'Prev Aub'!B:B)=0,"",SUMIF('Prev Aub'!A:A,O1435,'Prev Aub'!B:B))</f>
        <v/>
      </c>
      <c r="AN1435" s="25" t="s">
        <v>3790</v>
      </c>
      <c r="AO1435" s="25" t="s">
        <v>3790</v>
      </c>
      <c r="AP1435" s="25">
        <f t="shared" si="622"/>
        <v>0</v>
      </c>
      <c r="AQ1435" s="151" t="str">
        <f>IF(SUMIFS('Supp Consol'!S:S,'Supp Consol'!A:A,O1435,'Supp Consol'!I:I,"PENDING")=0,"",SUMIFS('Supp Consol'!S:S,'Supp Consol'!A:A,O1435,'Supp Consol'!I:I,"PENDING"))</f>
        <v/>
      </c>
      <c r="AR1435" s="27" t="str">
        <f t="shared" si="623"/>
        <v>WM834</v>
      </c>
      <c r="AS1435" s="27" t="str">
        <f t="shared" si="624"/>
        <v>50</v>
      </c>
      <c r="AT1435" s="27" t="str">
        <f t="shared" si="625"/>
        <v/>
      </c>
      <c r="AU1435" s="27" t="str">
        <f t="shared" si="626"/>
        <v/>
      </c>
      <c r="AV1435" s="27" t="str">
        <f t="shared" si="627"/>
        <v/>
      </c>
      <c r="AW1435" s="27" t="str">
        <f t="shared" si="628"/>
        <v/>
      </c>
      <c r="AX1435" s="27" t="str">
        <f t="shared" si="629"/>
        <v/>
      </c>
      <c r="AY1435" s="27" t="str">
        <f t="shared" si="630"/>
        <v/>
      </c>
      <c r="AZ1435" s="27" t="str">
        <f t="shared" si="631"/>
        <v/>
      </c>
      <c r="BA1435" s="27" t="str">
        <f t="shared" si="632"/>
        <v/>
      </c>
      <c r="BB1435" s="27" t="str">
        <f t="shared" si="633"/>
        <v/>
      </c>
      <c r="BC1435" s="27" t="str">
        <f t="shared" si="634"/>
        <v/>
      </c>
      <c r="BD1435" s="27" t="str">
        <f t="shared" si="635"/>
        <v/>
      </c>
      <c r="BE1435" s="27" t="str">
        <f t="shared" si="636"/>
        <v/>
      </c>
      <c r="BF1435" s="27" t="str">
        <f t="shared" si="637"/>
        <v/>
      </c>
      <c r="BG1435" s="27" t="str">
        <f t="shared" si="638"/>
        <v/>
      </c>
      <c r="BH1435" s="27" t="str">
        <f t="shared" si="639"/>
        <v/>
      </c>
      <c r="BI1435" s="27" t="str">
        <f t="shared" si="640"/>
        <v/>
      </c>
      <c r="BJ1435" s="27" t="str">
        <f t="shared" si="641"/>
        <v/>
      </c>
      <c r="BK1435" s="27" t="str">
        <f t="shared" si="642"/>
        <v/>
      </c>
      <c r="BL1435" s="27" t="str">
        <f t="shared" si="643"/>
        <v/>
      </c>
      <c r="BM1435" s="21" t="s">
        <v>5581</v>
      </c>
    </row>
    <row r="1436" spans="1:65" ht="15">
      <c r="A1436" s="25" t="str">
        <f>IFERROR(INDEX('Hun Demand'!W:W,MATCH(O1436,'Hun Demand'!A:A,0)),"")</f>
        <v/>
      </c>
      <c r="B1436" s="25" t="str">
        <f>IFERROR(INDEX('Hun Demand'!V:V,MATCH(O1436,'Hun Demand'!A:A,0)),"")</f>
        <v/>
      </c>
      <c r="C1436" s="25" t="str">
        <f>IFERROR(INDEX('Hun Demand'!U:U,MATCH(O1436,'Hun Demand'!A:A,0)),"")</f>
        <v/>
      </c>
      <c r="D1436" s="25" t="str">
        <f>IFERROR(INDEX('Hun Demand'!T:T,MATCH(O1436,'Hun Demand'!A:A,0)),"")</f>
        <v/>
      </c>
      <c r="E1436" s="25" t="str">
        <f>IFERROR(INDEX('Hun Demand'!S:S,MATCH(O1436,'Hun Demand'!A:A,0)),"")</f>
        <v/>
      </c>
      <c r="F1436" s="25" t="str">
        <f>IFERROR(INDEX('Hun Demand'!R:R,MATCH(O1436,'Hun Demand'!A:A,0)),"")</f>
        <v/>
      </c>
      <c r="G1436" s="25">
        <f>IFERROR(INDEX('Aub Demand'!W:W,MATCH(O1436,'Aub Demand'!A:A,0)),"")</f>
        <v>0</v>
      </c>
      <c r="H1436" s="25">
        <f>IFERROR(INDEX('Aub Demand'!V:V,MATCH(O1436,'Aub Demand'!A:A,0)),"")</f>
        <v>0</v>
      </c>
      <c r="I1436" s="25">
        <f>IFERROR(INDEX('Aub Demand'!U:U,MATCH(O1436,'Aub Demand'!A:A,0)),"")</f>
        <v>0</v>
      </c>
      <c r="J1436" s="25">
        <f>IFERROR(INDEX('Aub Demand'!T:T,MATCH(O1436,'Aub Demand'!A:A,0)),"")</f>
        <v>0</v>
      </c>
      <c r="K1436" s="25">
        <f>IFERROR(INDEX('Aub Demand'!S:S,MATCH(O1436,'Aub Demand'!A:A,0)),"")</f>
        <v>0</v>
      </c>
      <c r="L1436" s="25">
        <f>IFERROR(INDEX('Aub Demand'!R:R,MATCH(O1436,'Aub Demand'!A:A,0)),"")</f>
        <v>0</v>
      </c>
      <c r="O1436" s="27" t="s">
        <v>3040</v>
      </c>
      <c r="P1436" s="27" t="str">
        <f>IFERROR(INDEX('Aub Demand'!B:B,MATCH($O1436,'Aub Demand'!$A:$A,0)),"")</f>
        <v>AMBER PEARWOOD 62"</v>
      </c>
      <c r="Q1436" s="27" t="str">
        <f>IFERROR(INDEX('Aub Demand'!C:C,MATCH($O1436,'Aub Demand'!$A:$A,0)),"")</f>
        <v>DNP A</v>
      </c>
      <c r="R1436" s="52">
        <f>IFERROR(IF(AR1437=AR1436,INDEX('Aub Demand'!K:K,MATCH($O1436,'Aub Demand'!$A:$A,0))-IF(AN1436="",0,AN1436)+AP1437,INDEX('Aub Demand'!K:K,MATCH($O1436,'Aub Demand'!$A:$A,0))-IF(AN1436="",0,AN1436)),"")</f>
        <v>2190</v>
      </c>
      <c r="S1436" s="53" t="str">
        <f t="shared" si="616"/>
        <v>n/a</v>
      </c>
      <c r="T1436" s="52" t="str">
        <f t="shared" si="617"/>
        <v/>
      </c>
      <c r="U1436" s="52">
        <f>IFERROR(IF(AR1437=AR1436,INDEX('Aub Demand'!Q:Q,MATCH($O1436,'Aub Demand'!$A:$A,0))-IF(AN1436="",0,AN1436)+AP1437,INDEX('Aub Demand'!Q:Q,MATCH($O1436,'Aub Demand'!$A:$A,0))-IF(AN1436="",0,AN1436)),"")</f>
        <v>2190</v>
      </c>
      <c r="V1436" s="53" t="str">
        <f t="shared" si="618"/>
        <v>n/a</v>
      </c>
      <c r="W1436" s="52" t="str">
        <f t="shared" si="619"/>
        <v/>
      </c>
      <c r="X1436" s="52">
        <f>IFERROR(IF(AND(AR1437=AR1436,AM1436&lt;&gt;""),INDEX('Aub Demand'!Q:Q,MATCH($O1436,'Aub Demand'!$A:$A,0))-IF(AN1436="",0,AN1436)+AP1437+AD1436+AL1436,IF(AR1437=AR1436,INDEX('Aub Demand'!Q:Q,MATCH($O1436,'Aub Demand'!$A:$A,0))-IF(AN1436="",0,AN1436)+AP1437+AD1436,IF(AM1436&lt;&gt;"",INDEX('Aub Demand'!Q:Q,MATCH($O1436,'Aub Demand'!$A:$A,0))-IF(AN1436="",0,AN1436)+AD1436+AL1436,INDEX('Aub Demand'!Q:Q,MATCH($O1436,'Aub Demand'!$A:$A,0))-IF(AN1436="",0,AN1436)+AD1436))),"")</f>
        <v>2190</v>
      </c>
      <c r="Y1436" s="53" t="str">
        <f t="shared" si="620"/>
        <v>n/a</v>
      </c>
      <c r="Z1436" s="52">
        <f>IF(L1436="","",INDEX('Aub Demand'!H:H,MATCH($O1436,'Aub Demand'!$A:$A,0)))</f>
        <v>0</v>
      </c>
      <c r="AA1436" s="52" t="str">
        <f t="shared" si="621"/>
        <v>-spike-</v>
      </c>
      <c r="AB1436" s="52">
        <f>IFERROR(INDEX('Aub Demand'!L:L,MATCH($O1436,'Aub Demand'!$A:$A,0)),"")</f>
        <v>0</v>
      </c>
      <c r="AC1436" s="52">
        <f>IFERROR(IF(O1436="","",SUMIFS('CPL Mats'!F:F,'CPL Mats'!Q:Q,AR1436,'CPL Mats'!S:S,AS1436)),"")</f>
        <v>0</v>
      </c>
      <c r="AF1436" s="25" t="str">
        <f>IF(SUMIFS('Supp Consol'!S:S,'Supp Consol'!Y:Y,"Releasable",'Supp Consol'!A:A,O1436)=0,"",SUMIFS('Supp Consol'!S:S,'Supp Consol'!Y:Y,"Releasable",'Supp Consol'!A:A,O1436))</f>
        <v/>
      </c>
      <c r="AG1436" s="25" t="str">
        <f>IFERROR(INDEX('Hun Demand'!Q:Q,MATCH(O1436,'Hun Demand'!A:A,0)),"")</f>
        <v/>
      </c>
      <c r="AH1436" s="25" t="str">
        <f>IFERROR(INDEX('Hun Demand'!H:H,MATCH($O1436,'Hun Demand'!$A:$A,0)),"")</f>
        <v/>
      </c>
      <c r="AI1436" s="25" t="str">
        <f>IF(SUMIFS('Supp Consol'!AA:AA,'Supp Consol'!Z:Z,"Expires this month",'Supp Consol'!A:A,O1436)=0,"",SUMIFS('Supp Consol'!AA:AA,'Supp Consol'!Z:Z,"Expires this month",'Supp Consol'!A:A,O1436))</f>
        <v/>
      </c>
      <c r="AJ1436" s="25" t="str">
        <f>IF(SUMIFS('Supp Consol'!AA:AA,'Supp Consol'!Z:Z,"Expired Previous Months",'Supp Consol'!A:A,O1436)=0,"",SUMIFS('Supp Consol'!AA:AA,'Supp Consol'!Z:Z,"Expired Previous Months",'Supp Consol'!A:A,O1436))</f>
        <v/>
      </c>
      <c r="AK1436" s="25" t="str">
        <f>IFERROR(INDEX('Hun Release Current'!B:B,MATCH(O1436,'Hun Release Current'!A:A,0)),"")</f>
        <v/>
      </c>
      <c r="AL1436" s="25" t="str">
        <f>IF(SUMIF('Prev Aub'!A:A,O1436,'Prev Aub'!B:B)=0,"",SUMIF('Prev Aub'!A:A,O1436,'Prev Aub'!B:B))</f>
        <v/>
      </c>
      <c r="AN1436" s="25" t="s">
        <v>3790</v>
      </c>
      <c r="AO1436" s="25" t="s">
        <v>3790</v>
      </c>
      <c r="AP1436" s="25">
        <f t="shared" si="622"/>
        <v>0</v>
      </c>
      <c r="AQ1436" s="151" t="str">
        <f>IF(SUMIFS('Supp Consol'!S:S,'Supp Consol'!A:A,O1436,'Supp Consol'!I:I,"PENDING")=0,"",SUMIFS('Supp Consol'!S:S,'Supp Consol'!A:A,O1436,'Supp Consol'!I:I,"PENDING"))</f>
        <v/>
      </c>
      <c r="AR1436" s="27" t="str">
        <f t="shared" si="623"/>
        <v>WM834</v>
      </c>
      <c r="AS1436" s="27" t="str">
        <f t="shared" si="624"/>
        <v>62</v>
      </c>
      <c r="AT1436" s="27" t="str">
        <f t="shared" si="625"/>
        <v/>
      </c>
      <c r="AU1436" s="27" t="str">
        <f t="shared" si="626"/>
        <v/>
      </c>
      <c r="AV1436" s="27" t="str">
        <f t="shared" si="627"/>
        <v/>
      </c>
      <c r="AW1436" s="27" t="str">
        <f t="shared" si="628"/>
        <v/>
      </c>
      <c r="AX1436" s="27" t="str">
        <f t="shared" si="629"/>
        <v/>
      </c>
      <c r="AY1436" s="27" t="str">
        <f t="shared" si="630"/>
        <v/>
      </c>
      <c r="AZ1436" s="27" t="str">
        <f t="shared" si="631"/>
        <v/>
      </c>
      <c r="BA1436" s="27" t="str">
        <f t="shared" si="632"/>
        <v/>
      </c>
      <c r="BB1436" s="27" t="str">
        <f t="shared" si="633"/>
        <v/>
      </c>
      <c r="BC1436" s="27" t="str">
        <f t="shared" si="634"/>
        <v/>
      </c>
      <c r="BD1436" s="27" t="str">
        <f t="shared" si="635"/>
        <v/>
      </c>
      <c r="BE1436" s="27" t="str">
        <f t="shared" si="636"/>
        <v/>
      </c>
      <c r="BF1436" s="27" t="str">
        <f t="shared" si="637"/>
        <v/>
      </c>
      <c r="BG1436" s="27" t="str">
        <f t="shared" si="638"/>
        <v/>
      </c>
      <c r="BH1436" s="27" t="str">
        <f t="shared" si="639"/>
        <v/>
      </c>
      <c r="BI1436" s="27" t="str">
        <f t="shared" si="640"/>
        <v/>
      </c>
      <c r="BJ1436" s="27" t="str">
        <f t="shared" si="641"/>
        <v/>
      </c>
      <c r="BK1436" s="27" t="str">
        <f t="shared" si="642"/>
        <v/>
      </c>
      <c r="BL1436" s="27" t="str">
        <f t="shared" si="643"/>
        <v/>
      </c>
      <c r="BM1436" s="21" t="s">
        <v>5581</v>
      </c>
    </row>
    <row r="1437" spans="1:65" ht="15">
      <c r="A1437" s="25" t="str">
        <f>IFERROR(INDEX('Hun Demand'!W:W,MATCH(O1437,'Hun Demand'!A:A,0)),"")</f>
        <v/>
      </c>
      <c r="B1437" s="25" t="str">
        <f>IFERROR(INDEX('Hun Demand'!V:V,MATCH(O1437,'Hun Demand'!A:A,0)),"")</f>
        <v/>
      </c>
      <c r="C1437" s="25" t="str">
        <f>IFERROR(INDEX('Hun Demand'!U:U,MATCH(O1437,'Hun Demand'!A:A,0)),"")</f>
        <v/>
      </c>
      <c r="D1437" s="25" t="str">
        <f>IFERROR(INDEX('Hun Demand'!T:T,MATCH(O1437,'Hun Demand'!A:A,0)),"")</f>
        <v/>
      </c>
      <c r="E1437" s="25" t="str">
        <f>IFERROR(INDEX('Hun Demand'!S:S,MATCH(O1437,'Hun Demand'!A:A,0)),"")</f>
        <v/>
      </c>
      <c r="F1437" s="25" t="str">
        <f>IFERROR(INDEX('Hun Demand'!R:R,MATCH(O1437,'Hun Demand'!A:A,0)),"")</f>
        <v/>
      </c>
      <c r="G1437" s="25">
        <f>IFERROR(INDEX('Aub Demand'!W:W,MATCH(O1437,'Aub Demand'!A:A,0)),"")</f>
        <v>23</v>
      </c>
      <c r="H1437" s="25">
        <f>IFERROR(INDEX('Aub Demand'!V:V,MATCH(O1437,'Aub Demand'!A:A,0)),"")</f>
        <v>0</v>
      </c>
      <c r="I1437" s="25">
        <f>IFERROR(INDEX('Aub Demand'!U:U,MATCH(O1437,'Aub Demand'!A:A,0)),"")</f>
        <v>0</v>
      </c>
      <c r="J1437" s="25">
        <f>IFERROR(INDEX('Aub Demand'!T:T,MATCH(O1437,'Aub Demand'!A:A,0)),"")</f>
        <v>0</v>
      </c>
      <c r="K1437" s="25">
        <f>IFERROR(INDEX('Aub Demand'!S:S,MATCH(O1437,'Aub Demand'!A:A,0)),"")</f>
        <v>0</v>
      </c>
      <c r="L1437" s="25">
        <f>IFERROR(INDEX('Aub Demand'!R:R,MATCH(O1437,'Aub Demand'!A:A,0)),"")</f>
        <v>0</v>
      </c>
      <c r="O1437" s="27" t="s">
        <v>3043</v>
      </c>
      <c r="P1437" s="27" t="str">
        <f>IFERROR(INDEX('Aub Demand'!B:B,MATCH($O1437,'Aub Demand'!$A:$A,0)),"")</f>
        <v>GRAND ISLE MAPLE 36"</v>
      </c>
      <c r="Q1437" s="27" t="str">
        <f>IFERROR(INDEX('Aub Demand'!C:C,MATCH($O1437,'Aub Demand'!$A:$A,0)),"")</f>
        <v>DNP A</v>
      </c>
      <c r="R1437" s="52">
        <f>IFERROR(IF(AR1438=AR1437,INDEX('Aub Demand'!K:K,MATCH($O1437,'Aub Demand'!$A:$A,0))-IF(AN1437="",0,AN1437)+AP1438,INDEX('Aub Demand'!K:K,MATCH($O1437,'Aub Demand'!$A:$A,0))-IF(AN1437="",0,AN1437)),"")</f>
        <v>0</v>
      </c>
      <c r="S1437" s="53" t="str">
        <f t="shared" si="616"/>
        <v>n/a</v>
      </c>
      <c r="T1437" s="52" t="str">
        <f t="shared" si="617"/>
        <v/>
      </c>
      <c r="U1437" s="52">
        <f>IFERROR(IF(AR1438=AR1437,INDEX('Aub Demand'!Q:Q,MATCH($O1437,'Aub Demand'!$A:$A,0))-IF(AN1437="",0,AN1437)+AP1438,INDEX('Aub Demand'!Q:Q,MATCH($O1437,'Aub Demand'!$A:$A,0))-IF(AN1437="",0,AN1437)),"")</f>
        <v>-3</v>
      </c>
      <c r="V1437" s="53" t="str">
        <f t="shared" si="618"/>
        <v>n/a</v>
      </c>
      <c r="W1437" s="52" t="str">
        <f t="shared" si="619"/>
        <v/>
      </c>
      <c r="X1437" s="52">
        <f>IFERROR(IF(AND(AR1438=AR1437,AM1437&lt;&gt;""),INDEX('Aub Demand'!Q:Q,MATCH($O1437,'Aub Demand'!$A:$A,0))-IF(AN1437="",0,AN1437)+AP1438+AD1437+AL1437,IF(AR1438=AR1437,INDEX('Aub Demand'!Q:Q,MATCH($O1437,'Aub Demand'!$A:$A,0))-IF(AN1437="",0,AN1437)+AP1438+AD1437,IF(AM1437&lt;&gt;"",INDEX('Aub Demand'!Q:Q,MATCH($O1437,'Aub Demand'!$A:$A,0))-IF(AN1437="",0,AN1437)+AD1437+AL1437,INDEX('Aub Demand'!Q:Q,MATCH($O1437,'Aub Demand'!$A:$A,0))-IF(AN1437="",0,AN1437)+AD1437))),"")</f>
        <v>-3</v>
      </c>
      <c r="Y1437" s="53" t="str">
        <f t="shared" si="620"/>
        <v>n/a</v>
      </c>
      <c r="Z1437" s="52">
        <f>IF(L1437="","",INDEX('Aub Demand'!H:H,MATCH($O1437,'Aub Demand'!$A:$A,0)))</f>
        <v>0</v>
      </c>
      <c r="AA1437" s="52" t="str">
        <f t="shared" si="621"/>
        <v>-spike-</v>
      </c>
      <c r="AB1437" s="52">
        <f>IFERROR(INDEX('Aub Demand'!L:L,MATCH($O1437,'Aub Demand'!$A:$A,0)),"")</f>
        <v>0</v>
      </c>
      <c r="AC1437" s="52">
        <f>IFERROR(IF(O1437="","",SUMIFS('CPL Mats'!F:F,'CPL Mats'!Q:Q,AR1437,'CPL Mats'!S:S,AS1437)),"")</f>
        <v>0</v>
      </c>
      <c r="AF1437" s="25" t="str">
        <f>IF(SUMIFS('Supp Consol'!S:S,'Supp Consol'!Y:Y,"Releasable",'Supp Consol'!A:A,O1437)=0,"",SUMIFS('Supp Consol'!S:S,'Supp Consol'!Y:Y,"Releasable",'Supp Consol'!A:A,O1437))</f>
        <v/>
      </c>
      <c r="AG1437" s="25" t="str">
        <f>IFERROR(INDEX('Hun Demand'!Q:Q,MATCH(O1437,'Hun Demand'!A:A,0)),"")</f>
        <v/>
      </c>
      <c r="AH1437" s="25" t="str">
        <f>IFERROR(INDEX('Hun Demand'!H:H,MATCH($O1437,'Hun Demand'!$A:$A,0)),"")</f>
        <v/>
      </c>
      <c r="AI1437" s="25" t="str">
        <f>IF(SUMIFS('Supp Consol'!AA:AA,'Supp Consol'!Z:Z,"Expires this month",'Supp Consol'!A:A,O1437)=0,"",SUMIFS('Supp Consol'!AA:AA,'Supp Consol'!Z:Z,"Expires this month",'Supp Consol'!A:A,O1437))</f>
        <v/>
      </c>
      <c r="AJ1437" s="25" t="str">
        <f>IF(SUMIFS('Supp Consol'!AA:AA,'Supp Consol'!Z:Z,"Expired Previous Months",'Supp Consol'!A:A,O1437)=0,"",SUMIFS('Supp Consol'!AA:AA,'Supp Consol'!Z:Z,"Expired Previous Months",'Supp Consol'!A:A,O1437))</f>
        <v/>
      </c>
      <c r="AK1437" s="25" t="str">
        <f>IFERROR(INDEX('Hun Release Current'!B:B,MATCH(O1437,'Hun Release Current'!A:A,0)),"")</f>
        <v/>
      </c>
      <c r="AL1437" s="25" t="str">
        <f>IF(SUMIF('Prev Aub'!A:A,O1437,'Prev Aub'!B:B)=0,"",SUMIF('Prev Aub'!A:A,O1437,'Prev Aub'!B:B))</f>
        <v/>
      </c>
      <c r="AN1437" s="25" t="s">
        <v>3790</v>
      </c>
      <c r="AO1437" s="25" t="s">
        <v>3790</v>
      </c>
      <c r="AP1437" s="25">
        <f t="shared" si="622"/>
        <v>0</v>
      </c>
      <c r="AQ1437" s="151" t="str">
        <f>IF(SUMIFS('Supp Consol'!S:S,'Supp Consol'!A:A,O1437,'Supp Consol'!I:I,"PENDING")=0,"",SUMIFS('Supp Consol'!S:S,'Supp Consol'!A:A,O1437,'Supp Consol'!I:I,"PENDING"))</f>
        <v/>
      </c>
      <c r="AR1437" s="27" t="str">
        <f t="shared" si="623"/>
        <v>WM837</v>
      </c>
      <c r="AS1437" s="27" t="str">
        <f t="shared" si="624"/>
        <v>37</v>
      </c>
      <c r="AT1437" s="27" t="str">
        <f t="shared" si="625"/>
        <v/>
      </c>
      <c r="AU1437" s="27" t="str">
        <f t="shared" si="626"/>
        <v/>
      </c>
      <c r="AV1437" s="27" t="str">
        <f t="shared" si="627"/>
        <v/>
      </c>
      <c r="AW1437" s="27" t="str">
        <f t="shared" si="628"/>
        <v/>
      </c>
      <c r="AX1437" s="27" t="str">
        <f t="shared" si="629"/>
        <v/>
      </c>
      <c r="AY1437" s="27" t="str">
        <f t="shared" si="630"/>
        <v/>
      </c>
      <c r="AZ1437" s="27" t="str">
        <f t="shared" si="631"/>
        <v/>
      </c>
      <c r="BA1437" s="27" t="str">
        <f t="shared" si="632"/>
        <v/>
      </c>
      <c r="BB1437" s="27" t="str">
        <f t="shared" si="633"/>
        <v/>
      </c>
      <c r="BC1437" s="27" t="str">
        <f t="shared" si="634"/>
        <v/>
      </c>
      <c r="BD1437" s="27" t="str">
        <f t="shared" si="635"/>
        <v/>
      </c>
      <c r="BE1437" s="27" t="str">
        <f t="shared" si="636"/>
        <v/>
      </c>
      <c r="BF1437" s="27" t="str">
        <f t="shared" si="637"/>
        <v/>
      </c>
      <c r="BG1437" s="27" t="str">
        <f t="shared" si="638"/>
        <v/>
      </c>
      <c r="BH1437" s="27" t="str">
        <f t="shared" si="639"/>
        <v/>
      </c>
      <c r="BI1437" s="27" t="str">
        <f t="shared" si="640"/>
        <v/>
      </c>
      <c r="BJ1437" s="27" t="str">
        <f t="shared" si="641"/>
        <v/>
      </c>
      <c r="BK1437" s="27" t="str">
        <f t="shared" si="642"/>
        <v/>
      </c>
      <c r="BL1437" s="27" t="str">
        <f t="shared" si="643"/>
        <v/>
      </c>
      <c r="BM1437" s="21" t="s">
        <v>5581</v>
      </c>
    </row>
    <row r="1438" spans="1:65" ht="15">
      <c r="A1438" s="25" t="str">
        <f>IFERROR(INDEX('Hun Demand'!W:W,MATCH(O1438,'Hun Demand'!A:A,0)),"")</f>
        <v/>
      </c>
      <c r="B1438" s="25" t="str">
        <f>IFERROR(INDEX('Hun Demand'!V:V,MATCH(O1438,'Hun Demand'!A:A,0)),"")</f>
        <v/>
      </c>
      <c r="C1438" s="25" t="str">
        <f>IFERROR(INDEX('Hun Demand'!U:U,MATCH(O1438,'Hun Demand'!A:A,0)),"")</f>
        <v/>
      </c>
      <c r="D1438" s="25" t="str">
        <f>IFERROR(INDEX('Hun Demand'!T:T,MATCH(O1438,'Hun Demand'!A:A,0)),"")</f>
        <v/>
      </c>
      <c r="E1438" s="25" t="str">
        <f>IFERROR(INDEX('Hun Demand'!S:S,MATCH(O1438,'Hun Demand'!A:A,0)),"")</f>
        <v/>
      </c>
      <c r="F1438" s="25" t="str">
        <f>IFERROR(INDEX('Hun Demand'!R:R,MATCH(O1438,'Hun Demand'!A:A,0)),"")</f>
        <v/>
      </c>
      <c r="G1438" s="25">
        <f>IFERROR(INDEX('Aub Demand'!W:W,MATCH(O1438,'Aub Demand'!A:A,0)),"")</f>
        <v>291</v>
      </c>
      <c r="H1438" s="25">
        <f>IFERROR(INDEX('Aub Demand'!V:V,MATCH(O1438,'Aub Demand'!A:A,0)),"")</f>
        <v>66</v>
      </c>
      <c r="I1438" s="25">
        <f>IFERROR(INDEX('Aub Demand'!U:U,MATCH(O1438,'Aub Demand'!A:A,0)),"")</f>
        <v>89</v>
      </c>
      <c r="J1438" s="25">
        <f>IFERROR(INDEX('Aub Demand'!T:T,MATCH(O1438,'Aub Demand'!A:A,0)),"")</f>
        <v>0</v>
      </c>
      <c r="K1438" s="25">
        <f>IFERROR(INDEX('Aub Demand'!S:S,MATCH(O1438,'Aub Demand'!A:A,0)),"")</f>
        <v>134</v>
      </c>
      <c r="L1438" s="25">
        <f>IFERROR(INDEX('Aub Demand'!R:R,MATCH(O1438,'Aub Demand'!A:A,0)),"")</f>
        <v>0</v>
      </c>
      <c r="O1438" s="27" t="s">
        <v>3045</v>
      </c>
      <c r="P1438" s="27" t="str">
        <f>IFERROR(INDEX('Aub Demand'!B:B,MATCH($O1438,'Aub Demand'!$A:$A,0)),"")</f>
        <v>GRAND ISLE MAPLE 50"</v>
      </c>
      <c r="Q1438" s="27" t="str">
        <f>IFERROR(INDEX('Aub Demand'!C:C,MATCH($O1438,'Aub Demand'!$A:$A,0)),"")</f>
        <v>DNP A</v>
      </c>
      <c r="R1438" s="52">
        <f>IFERROR(IF(AR1439=AR1438,INDEX('Aub Demand'!K:K,MATCH($O1438,'Aub Demand'!$A:$A,0))-IF(AN1438="",0,AN1438)+AP1439,INDEX('Aub Demand'!K:K,MATCH($O1438,'Aub Demand'!$A:$A,0))-IF(AN1438="",0,AN1438)),"")</f>
        <v>4431</v>
      </c>
      <c r="S1438" s="53">
        <f t="shared" si="616"/>
        <v>256.60000000000002</v>
      </c>
      <c r="T1438" s="52" t="str">
        <f t="shared" si="617"/>
        <v/>
      </c>
      <c r="U1438" s="52">
        <f>IFERROR(IF(AR1439=AR1438,INDEX('Aub Demand'!Q:Q,MATCH($O1438,'Aub Demand'!$A:$A,0))-IF(AN1438="",0,AN1438)+AP1439,INDEX('Aub Demand'!Q:Q,MATCH($O1438,'Aub Demand'!$A:$A,0))-IF(AN1438="",0,AN1438)),"")</f>
        <v>4200</v>
      </c>
      <c r="V1438" s="53">
        <f t="shared" si="618"/>
        <v>243.2</v>
      </c>
      <c r="W1438" s="52" t="str">
        <f t="shared" si="619"/>
        <v/>
      </c>
      <c r="X1438" s="52">
        <f>IFERROR(IF(AND(AR1439=AR1438,AM1438&lt;&gt;""),INDEX('Aub Demand'!Q:Q,MATCH($O1438,'Aub Demand'!$A:$A,0))-IF(AN1438="",0,AN1438)+AP1439+AD1438+AL1438,IF(AR1439=AR1438,INDEX('Aub Demand'!Q:Q,MATCH($O1438,'Aub Demand'!$A:$A,0))-IF(AN1438="",0,AN1438)+AP1439+AD1438,IF(AM1438&lt;&gt;"",INDEX('Aub Demand'!Q:Q,MATCH($O1438,'Aub Demand'!$A:$A,0))-IF(AN1438="",0,AN1438)+AD1438+AL1438,INDEX('Aub Demand'!Q:Q,MATCH($O1438,'Aub Demand'!$A:$A,0))-IF(AN1438="",0,AN1438)+AD1438))),"")</f>
        <v>4200</v>
      </c>
      <c r="Y1438" s="53">
        <f t="shared" si="620"/>
        <v>243.2</v>
      </c>
      <c r="Z1438" s="52">
        <f>IF(L1438="","",INDEX('Aub Demand'!H:H,MATCH($O1438,'Aub Demand'!$A:$A,0)))</f>
        <v>74</v>
      </c>
      <c r="AA1438" s="52">
        <f t="shared" si="621"/>
        <v>111.5</v>
      </c>
      <c r="AB1438" s="52">
        <f>IFERROR(INDEX('Aub Demand'!L:L,MATCH($O1438,'Aub Demand'!$A:$A,0)),"")</f>
        <v>122</v>
      </c>
      <c r="AC1438" s="52">
        <f>IFERROR(IF(O1438="","",SUMIFS('CPL Mats'!F:F,'CPL Mats'!Q:Q,AR1438,'CPL Mats'!S:S,AS1438)),"")</f>
        <v>0</v>
      </c>
      <c r="AF1438" s="25" t="str">
        <f>IF(SUMIFS('Supp Consol'!S:S,'Supp Consol'!Y:Y,"Releasable",'Supp Consol'!A:A,O1438)=0,"",SUMIFS('Supp Consol'!S:S,'Supp Consol'!Y:Y,"Releasable",'Supp Consol'!A:A,O1438))</f>
        <v/>
      </c>
      <c r="AG1438" s="25" t="str">
        <f>IFERROR(INDEX('Hun Demand'!Q:Q,MATCH(O1438,'Hun Demand'!A:A,0)),"")</f>
        <v/>
      </c>
      <c r="AH1438" s="25" t="str">
        <f>IFERROR(INDEX('Hun Demand'!H:H,MATCH($O1438,'Hun Demand'!$A:$A,0)),"")</f>
        <v/>
      </c>
      <c r="AI1438" s="25" t="str">
        <f>IF(SUMIFS('Supp Consol'!AA:AA,'Supp Consol'!Z:Z,"Expires this month",'Supp Consol'!A:A,O1438)=0,"",SUMIFS('Supp Consol'!AA:AA,'Supp Consol'!Z:Z,"Expires this month",'Supp Consol'!A:A,O1438))</f>
        <v/>
      </c>
      <c r="AJ1438" s="25" t="str">
        <f>IF(SUMIFS('Supp Consol'!AA:AA,'Supp Consol'!Z:Z,"Expired Previous Months",'Supp Consol'!A:A,O1438)=0,"",SUMIFS('Supp Consol'!AA:AA,'Supp Consol'!Z:Z,"Expired Previous Months",'Supp Consol'!A:A,O1438))</f>
        <v/>
      </c>
      <c r="AK1438" s="25" t="str">
        <f>IFERROR(INDEX('Hun Release Current'!B:B,MATCH(O1438,'Hun Release Current'!A:A,0)),"")</f>
        <v/>
      </c>
      <c r="AL1438" s="25" t="str">
        <f>IF(SUMIF('Prev Aub'!A:A,O1438,'Prev Aub'!B:B)=0,"",SUMIF('Prev Aub'!A:A,O1438,'Prev Aub'!B:B))</f>
        <v/>
      </c>
      <c r="AN1438" s="25" t="s">
        <v>3790</v>
      </c>
      <c r="AO1438" s="25" t="s">
        <v>3790</v>
      </c>
      <c r="AP1438" s="25">
        <f t="shared" si="622"/>
        <v>0</v>
      </c>
      <c r="AQ1438" s="151" t="str">
        <f>IF(SUMIFS('Supp Consol'!S:S,'Supp Consol'!A:A,O1438,'Supp Consol'!I:I,"PENDING")=0,"",SUMIFS('Supp Consol'!S:S,'Supp Consol'!A:A,O1438,'Supp Consol'!I:I,"PENDING"))</f>
        <v/>
      </c>
      <c r="AR1438" s="27" t="str">
        <f t="shared" si="623"/>
        <v>WM837</v>
      </c>
      <c r="AS1438" s="27" t="str">
        <f t="shared" si="624"/>
        <v>50</v>
      </c>
      <c r="AT1438" s="27" t="str">
        <f t="shared" si="625"/>
        <v/>
      </c>
      <c r="AU1438" s="27" t="str">
        <f t="shared" si="626"/>
        <v/>
      </c>
      <c r="AV1438" s="27" t="str">
        <f t="shared" si="627"/>
        <v/>
      </c>
      <c r="AW1438" s="27" t="str">
        <f t="shared" si="628"/>
        <v/>
      </c>
      <c r="AX1438" s="27" t="str">
        <f t="shared" si="629"/>
        <v/>
      </c>
      <c r="AY1438" s="27" t="str">
        <f t="shared" si="630"/>
        <v/>
      </c>
      <c r="AZ1438" s="27" t="str">
        <f t="shared" si="631"/>
        <v/>
      </c>
      <c r="BA1438" s="27" t="str">
        <f t="shared" si="632"/>
        <v/>
      </c>
      <c r="BB1438" s="27" t="str">
        <f t="shared" si="633"/>
        <v/>
      </c>
      <c r="BC1438" s="27" t="str">
        <f t="shared" si="634"/>
        <v/>
      </c>
      <c r="BD1438" s="27" t="str">
        <f t="shared" si="635"/>
        <v/>
      </c>
      <c r="BE1438" s="27" t="str">
        <f t="shared" si="636"/>
        <v/>
      </c>
      <c r="BF1438" s="27" t="str">
        <f t="shared" si="637"/>
        <v/>
      </c>
      <c r="BG1438" s="27" t="str">
        <f t="shared" si="638"/>
        <v/>
      </c>
      <c r="BH1438" s="27" t="str">
        <f t="shared" si="639"/>
        <v/>
      </c>
      <c r="BI1438" s="27" t="str">
        <f t="shared" si="640"/>
        <v/>
      </c>
      <c r="BJ1438" s="27" t="str">
        <f t="shared" si="641"/>
        <v/>
      </c>
      <c r="BK1438" s="27" t="str">
        <f t="shared" si="642"/>
        <v/>
      </c>
      <c r="BL1438" s="27" t="str">
        <f t="shared" si="643"/>
        <v/>
      </c>
      <c r="BM1438" s="21" t="s">
        <v>5581</v>
      </c>
    </row>
    <row r="1439" spans="1:65" ht="15">
      <c r="A1439" s="25" t="str">
        <f>IFERROR(INDEX('Hun Demand'!W:W,MATCH(O1439,'Hun Demand'!A:A,0)),"")</f>
        <v/>
      </c>
      <c r="B1439" s="25" t="str">
        <f>IFERROR(INDEX('Hun Demand'!V:V,MATCH(O1439,'Hun Demand'!A:A,0)),"")</f>
        <v/>
      </c>
      <c r="C1439" s="25" t="str">
        <f>IFERROR(INDEX('Hun Demand'!U:U,MATCH(O1439,'Hun Demand'!A:A,0)),"")</f>
        <v/>
      </c>
      <c r="D1439" s="25" t="str">
        <f>IFERROR(INDEX('Hun Demand'!T:T,MATCH(O1439,'Hun Demand'!A:A,0)),"")</f>
        <v/>
      </c>
      <c r="E1439" s="25" t="str">
        <f>IFERROR(INDEX('Hun Demand'!S:S,MATCH(O1439,'Hun Demand'!A:A,0)),"")</f>
        <v/>
      </c>
      <c r="F1439" s="25" t="str">
        <f>IFERROR(INDEX('Hun Demand'!R:R,MATCH(O1439,'Hun Demand'!A:A,0)),"")</f>
        <v/>
      </c>
      <c r="G1439" s="25">
        <f>IFERROR(INDEX('Aub Demand'!W:W,MATCH(O1439,'Aub Demand'!A:A,0)),"")</f>
        <v>219</v>
      </c>
      <c r="H1439" s="25">
        <f>IFERROR(INDEX('Aub Demand'!V:V,MATCH(O1439,'Aub Demand'!A:A,0)),"")</f>
        <v>89</v>
      </c>
      <c r="I1439" s="25">
        <f>IFERROR(INDEX('Aub Demand'!U:U,MATCH(O1439,'Aub Demand'!A:A,0)),"")</f>
        <v>48</v>
      </c>
      <c r="J1439" s="25">
        <f>IFERROR(INDEX('Aub Demand'!T:T,MATCH(O1439,'Aub Demand'!A:A,0)),"")</f>
        <v>0</v>
      </c>
      <c r="K1439" s="25">
        <f>IFERROR(INDEX('Aub Demand'!S:S,MATCH(O1439,'Aub Demand'!A:A,0)),"")</f>
        <v>138</v>
      </c>
      <c r="L1439" s="25">
        <f>IFERROR(INDEX('Aub Demand'!R:R,MATCH(O1439,'Aub Demand'!A:A,0)),"")</f>
        <v>0</v>
      </c>
      <c r="O1439" s="27" t="s">
        <v>3048</v>
      </c>
      <c r="P1439" s="27" t="str">
        <f>IFERROR(INDEX('Aub Demand'!B:B,MATCH($O1439,'Aub Demand'!$A:$A,0)),"")</f>
        <v>GRAND ISLE MAPLE 62"</v>
      </c>
      <c r="Q1439" s="27" t="str">
        <f>IFERROR(INDEX('Aub Demand'!C:C,MATCH($O1439,'Aub Demand'!$A:$A,0)),"")</f>
        <v>DNP A</v>
      </c>
      <c r="R1439" s="52">
        <f>IFERROR(IF(AR1440=AR1439,INDEX('Aub Demand'!K:K,MATCH($O1439,'Aub Demand'!$A:$A,0))-IF(AN1439="",0,AN1439)+AP1440,INDEX('Aub Demand'!K:K,MATCH($O1439,'Aub Demand'!$A:$A,0))-IF(AN1439="",0,AN1439)),"")</f>
        <v>4425</v>
      </c>
      <c r="S1439" s="53">
        <f t="shared" si="616"/>
        <v>305.89999999999998</v>
      </c>
      <c r="T1439" s="52" t="str">
        <f t="shared" si="617"/>
        <v/>
      </c>
      <c r="U1439" s="52">
        <f>IFERROR(IF(AR1440=AR1439,INDEX('Aub Demand'!Q:Q,MATCH($O1439,'Aub Demand'!$A:$A,0))-IF(AN1439="",0,AN1439)+AP1440,INDEX('Aub Demand'!Q:Q,MATCH($O1439,'Aub Demand'!$A:$A,0))-IF(AN1439="",0,AN1439)),"")</f>
        <v>4398</v>
      </c>
      <c r="V1439" s="53">
        <f t="shared" si="618"/>
        <v>304</v>
      </c>
      <c r="W1439" s="52" t="str">
        <f t="shared" si="619"/>
        <v/>
      </c>
      <c r="X1439" s="52">
        <f>IFERROR(IF(AND(AR1440=AR1439,AM1439&lt;&gt;""),INDEX('Aub Demand'!Q:Q,MATCH($O1439,'Aub Demand'!$A:$A,0))-IF(AN1439="",0,AN1439)+AP1440+AD1439+AL1439,IF(AR1440=AR1439,INDEX('Aub Demand'!Q:Q,MATCH($O1439,'Aub Demand'!$A:$A,0))-IF(AN1439="",0,AN1439)+AP1440+AD1439,IF(AM1439&lt;&gt;"",INDEX('Aub Demand'!Q:Q,MATCH($O1439,'Aub Demand'!$A:$A,0))-IF(AN1439="",0,AN1439)+AD1439+AL1439,INDEX('Aub Demand'!Q:Q,MATCH($O1439,'Aub Demand'!$A:$A,0))-IF(AN1439="",0,AN1439)+AD1439))),"")</f>
        <v>4398</v>
      </c>
      <c r="Y1439" s="53">
        <f t="shared" si="620"/>
        <v>304</v>
      </c>
      <c r="Z1439" s="52">
        <f>IF(L1439="","",INDEX('Aub Demand'!H:H,MATCH($O1439,'Aub Demand'!$A:$A,0)))</f>
        <v>62</v>
      </c>
      <c r="AA1439" s="52">
        <f t="shared" si="621"/>
        <v>93</v>
      </c>
      <c r="AB1439" s="52">
        <f>IFERROR(INDEX('Aub Demand'!L:L,MATCH($O1439,'Aub Demand'!$A:$A,0)),"")</f>
        <v>64</v>
      </c>
      <c r="AC1439" s="52">
        <f>IFERROR(IF(O1439="","",SUMIFS('CPL Mats'!F:F,'CPL Mats'!Q:Q,AR1439,'CPL Mats'!S:S,AS1439)),"")</f>
        <v>0</v>
      </c>
      <c r="AF1439" s="25" t="str">
        <f>IF(SUMIFS('Supp Consol'!S:S,'Supp Consol'!Y:Y,"Releasable",'Supp Consol'!A:A,O1439)=0,"",SUMIFS('Supp Consol'!S:S,'Supp Consol'!Y:Y,"Releasable",'Supp Consol'!A:A,O1439))</f>
        <v/>
      </c>
      <c r="AG1439" s="25" t="str">
        <f>IFERROR(INDEX('Hun Demand'!Q:Q,MATCH(O1439,'Hun Demand'!A:A,0)),"")</f>
        <v/>
      </c>
      <c r="AH1439" s="25" t="str">
        <f>IFERROR(INDEX('Hun Demand'!H:H,MATCH($O1439,'Hun Demand'!$A:$A,0)),"")</f>
        <v/>
      </c>
      <c r="AI1439" s="25" t="str">
        <f>IF(SUMIFS('Supp Consol'!AA:AA,'Supp Consol'!Z:Z,"Expires this month",'Supp Consol'!A:A,O1439)=0,"",SUMIFS('Supp Consol'!AA:AA,'Supp Consol'!Z:Z,"Expires this month",'Supp Consol'!A:A,O1439))</f>
        <v/>
      </c>
      <c r="AJ1439" s="25" t="str">
        <f>IF(SUMIFS('Supp Consol'!AA:AA,'Supp Consol'!Z:Z,"Expired Previous Months",'Supp Consol'!A:A,O1439)=0,"",SUMIFS('Supp Consol'!AA:AA,'Supp Consol'!Z:Z,"Expired Previous Months",'Supp Consol'!A:A,O1439))</f>
        <v/>
      </c>
      <c r="AK1439" s="25" t="str">
        <f>IFERROR(INDEX('Hun Release Current'!B:B,MATCH(O1439,'Hun Release Current'!A:A,0)),"")</f>
        <v/>
      </c>
      <c r="AL1439" s="25" t="str">
        <f>IF(SUMIF('Prev Aub'!A:A,O1439,'Prev Aub'!B:B)=0,"",SUMIF('Prev Aub'!A:A,O1439,'Prev Aub'!B:B))</f>
        <v/>
      </c>
      <c r="AN1439" s="25" t="s">
        <v>3790</v>
      </c>
      <c r="AO1439" s="25" t="s">
        <v>3790</v>
      </c>
      <c r="AP1439" s="25">
        <f t="shared" si="622"/>
        <v>0</v>
      </c>
      <c r="AQ1439" s="151" t="str">
        <f>IF(SUMIFS('Supp Consol'!S:S,'Supp Consol'!A:A,O1439,'Supp Consol'!I:I,"PENDING")=0,"",SUMIFS('Supp Consol'!S:S,'Supp Consol'!A:A,O1439,'Supp Consol'!I:I,"PENDING"))</f>
        <v/>
      </c>
      <c r="AR1439" s="27" t="str">
        <f t="shared" si="623"/>
        <v>WM837</v>
      </c>
      <c r="AS1439" s="27" t="str">
        <f t="shared" si="624"/>
        <v>62</v>
      </c>
      <c r="AT1439" s="27" t="str">
        <f t="shared" si="625"/>
        <v/>
      </c>
      <c r="AU1439" s="27" t="str">
        <f t="shared" si="626"/>
        <v/>
      </c>
      <c r="AV1439" s="27" t="str">
        <f t="shared" si="627"/>
        <v/>
      </c>
      <c r="AW1439" s="27" t="str">
        <f t="shared" si="628"/>
        <v/>
      </c>
      <c r="AX1439" s="27" t="str">
        <f t="shared" si="629"/>
        <v/>
      </c>
      <c r="AY1439" s="27" t="str">
        <f t="shared" si="630"/>
        <v/>
      </c>
      <c r="AZ1439" s="27" t="str">
        <f t="shared" si="631"/>
        <v/>
      </c>
      <c r="BA1439" s="27" t="str">
        <f t="shared" si="632"/>
        <v/>
      </c>
      <c r="BB1439" s="27" t="str">
        <f t="shared" si="633"/>
        <v/>
      </c>
      <c r="BC1439" s="27" t="str">
        <f t="shared" si="634"/>
        <v/>
      </c>
      <c r="BD1439" s="27" t="str">
        <f t="shared" si="635"/>
        <v/>
      </c>
      <c r="BE1439" s="27" t="str">
        <f t="shared" si="636"/>
        <v/>
      </c>
      <c r="BF1439" s="27" t="str">
        <f t="shared" si="637"/>
        <v/>
      </c>
      <c r="BG1439" s="27" t="str">
        <f t="shared" si="638"/>
        <v/>
      </c>
      <c r="BH1439" s="27" t="str">
        <f t="shared" si="639"/>
        <v/>
      </c>
      <c r="BI1439" s="27" t="str">
        <f t="shared" si="640"/>
        <v/>
      </c>
      <c r="BJ1439" s="27" t="str">
        <f t="shared" si="641"/>
        <v/>
      </c>
      <c r="BK1439" s="27" t="str">
        <f t="shared" si="642"/>
        <v/>
      </c>
      <c r="BL1439" s="27" t="str">
        <f t="shared" si="643"/>
        <v/>
      </c>
      <c r="BM1439" s="21" t="s">
        <v>5581</v>
      </c>
    </row>
    <row r="1440" spans="1:65" ht="15">
      <c r="A1440" s="25" t="str">
        <f>IFERROR(INDEX('Hun Demand'!W:W,MATCH(O1440,'Hun Demand'!A:A,0)),"")</f>
        <v/>
      </c>
      <c r="B1440" s="25" t="str">
        <f>IFERROR(INDEX('Hun Demand'!V:V,MATCH(O1440,'Hun Demand'!A:A,0)),"")</f>
        <v/>
      </c>
      <c r="C1440" s="25" t="str">
        <f>IFERROR(INDEX('Hun Demand'!U:U,MATCH(O1440,'Hun Demand'!A:A,0)),"")</f>
        <v/>
      </c>
      <c r="D1440" s="25" t="str">
        <f>IFERROR(INDEX('Hun Demand'!T:T,MATCH(O1440,'Hun Demand'!A:A,0)),"")</f>
        <v/>
      </c>
      <c r="E1440" s="25" t="str">
        <f>IFERROR(INDEX('Hun Demand'!S:S,MATCH(O1440,'Hun Demand'!A:A,0)),"")</f>
        <v/>
      </c>
      <c r="F1440" s="25" t="str">
        <f>IFERROR(INDEX('Hun Demand'!R:R,MATCH(O1440,'Hun Demand'!A:A,0)),"")</f>
        <v/>
      </c>
      <c r="G1440" s="25">
        <f>IFERROR(INDEX('Aub Demand'!W:W,MATCH(O1440,'Aub Demand'!A:A,0)),"")</f>
        <v>0</v>
      </c>
      <c r="H1440" s="25">
        <f>IFERROR(INDEX('Aub Demand'!V:V,MATCH(O1440,'Aub Demand'!A:A,0)),"")</f>
        <v>0</v>
      </c>
      <c r="I1440" s="25">
        <f>IFERROR(INDEX('Aub Demand'!U:U,MATCH(O1440,'Aub Demand'!A:A,0)),"")</f>
        <v>8</v>
      </c>
      <c r="J1440" s="25">
        <f>IFERROR(INDEX('Aub Demand'!T:T,MATCH(O1440,'Aub Demand'!A:A,0)),"")</f>
        <v>35</v>
      </c>
      <c r="K1440" s="25">
        <f>IFERROR(INDEX('Aub Demand'!S:S,MATCH(O1440,'Aub Demand'!A:A,0)),"")</f>
        <v>132</v>
      </c>
      <c r="L1440" s="25">
        <f>IFERROR(INDEX('Aub Demand'!R:R,MATCH(O1440,'Aub Demand'!A:A,0)),"")</f>
        <v>0</v>
      </c>
      <c r="O1440" s="27" t="s">
        <v>3050</v>
      </c>
      <c r="P1440" s="27" t="str">
        <f>IFERROR(INDEX('Aub Demand'!B:B,MATCH($O1440,'Aub Demand'!$A:$A,0)),"")</f>
        <v>CLEAR MAPLE 36"</v>
      </c>
      <c r="Q1440" s="27" t="str">
        <f>IFERROR(INDEX('Aub Demand'!C:C,MATCH($O1440,'Aub Demand'!$A:$A,0)),"")</f>
        <v>DNP A</v>
      </c>
      <c r="R1440" s="52">
        <f>IFERROR(IF(AR1441=AR1440,INDEX('Aub Demand'!K:K,MATCH($O1440,'Aub Demand'!$A:$A,0))-IF(AN1440="",0,AN1440)+AP1441,INDEX('Aub Demand'!K:K,MATCH($O1440,'Aub Demand'!$A:$A,0))-IF(AN1440="",0,AN1440)),"")</f>
        <v>200</v>
      </c>
      <c r="S1440" s="53">
        <f t="shared" si="616"/>
        <v>14.8</v>
      </c>
      <c r="T1440" s="52" t="str">
        <f t="shared" si="617"/>
        <v/>
      </c>
      <c r="U1440" s="52">
        <f>IFERROR(IF(AR1441=AR1440,INDEX('Aub Demand'!Q:Q,MATCH($O1440,'Aub Demand'!$A:$A,0))-IF(AN1440="",0,AN1440)+AP1441,INDEX('Aub Demand'!Q:Q,MATCH($O1440,'Aub Demand'!$A:$A,0))-IF(AN1440="",0,AN1440)),"")</f>
        <v>65</v>
      </c>
      <c r="V1440" s="53">
        <f t="shared" si="618"/>
        <v>4.8</v>
      </c>
      <c r="W1440" s="52" t="str">
        <f t="shared" si="619"/>
        <v/>
      </c>
      <c r="X1440" s="52">
        <f>IFERROR(IF(AND(AR1441=AR1440,AM1440&lt;&gt;""),INDEX('Aub Demand'!Q:Q,MATCH($O1440,'Aub Demand'!$A:$A,0))-IF(AN1440="",0,AN1440)+AP1441+AD1440+AL1440,IF(AR1441=AR1440,INDEX('Aub Demand'!Q:Q,MATCH($O1440,'Aub Demand'!$A:$A,0))-IF(AN1440="",0,AN1440)+AP1441+AD1440,IF(AM1440&lt;&gt;"",INDEX('Aub Demand'!Q:Q,MATCH($O1440,'Aub Demand'!$A:$A,0))-IF(AN1440="",0,AN1440)+AD1440+AL1440,INDEX('Aub Demand'!Q:Q,MATCH($O1440,'Aub Demand'!$A:$A,0))-IF(AN1440="",0,AN1440)+AD1440))),"")</f>
        <v>65</v>
      </c>
      <c r="Y1440" s="53">
        <f t="shared" si="620"/>
        <v>4.8</v>
      </c>
      <c r="Z1440" s="52">
        <f>IF(L1440="","",INDEX('Aub Demand'!H:H,MATCH($O1440,'Aub Demand'!$A:$A,0)))</f>
        <v>58</v>
      </c>
      <c r="AA1440" s="52">
        <f t="shared" si="621"/>
        <v>83.5</v>
      </c>
      <c r="AB1440" s="52">
        <f>IFERROR(INDEX('Aub Demand'!L:L,MATCH($O1440,'Aub Demand'!$A:$A,0)),"")</f>
        <v>22</v>
      </c>
      <c r="AC1440" s="52">
        <f>IFERROR(IF(O1440="","",SUMIFS('CPL Mats'!F:F,'CPL Mats'!Q:Q,AR1440,'CPL Mats'!S:S,AS1440)),"")</f>
        <v>0</v>
      </c>
      <c r="AF1440" s="25" t="str">
        <f>IF(SUMIFS('Supp Consol'!S:S,'Supp Consol'!Y:Y,"Releasable",'Supp Consol'!A:A,O1440)=0,"",SUMIFS('Supp Consol'!S:S,'Supp Consol'!Y:Y,"Releasable",'Supp Consol'!A:A,O1440))</f>
        <v/>
      </c>
      <c r="AG1440" s="25" t="str">
        <f>IFERROR(INDEX('Hun Demand'!Q:Q,MATCH(O1440,'Hun Demand'!A:A,0)),"")</f>
        <v/>
      </c>
      <c r="AH1440" s="25" t="str">
        <f>IFERROR(INDEX('Hun Demand'!H:H,MATCH($O1440,'Hun Demand'!$A:$A,0)),"")</f>
        <v/>
      </c>
      <c r="AI1440" s="25" t="str">
        <f>IF(SUMIFS('Supp Consol'!AA:AA,'Supp Consol'!Z:Z,"Expires this month",'Supp Consol'!A:A,O1440)=0,"",SUMIFS('Supp Consol'!AA:AA,'Supp Consol'!Z:Z,"Expires this month",'Supp Consol'!A:A,O1440))</f>
        <v/>
      </c>
      <c r="AJ1440" s="25" t="str">
        <f>IF(SUMIFS('Supp Consol'!AA:AA,'Supp Consol'!Z:Z,"Expired Previous Months",'Supp Consol'!A:A,O1440)=0,"",SUMIFS('Supp Consol'!AA:AA,'Supp Consol'!Z:Z,"Expired Previous Months",'Supp Consol'!A:A,O1440))</f>
        <v/>
      </c>
      <c r="AK1440" s="25" t="str">
        <f>IFERROR(INDEX('Hun Release Current'!B:B,MATCH(O1440,'Hun Release Current'!A:A,0)),"")</f>
        <v/>
      </c>
      <c r="AL1440" s="25" t="str">
        <f>IF(SUMIF('Prev Aub'!A:A,O1440,'Prev Aub'!B:B)=0,"",SUMIF('Prev Aub'!A:A,O1440,'Prev Aub'!B:B))</f>
        <v/>
      </c>
      <c r="AN1440" s="25" t="s">
        <v>3790</v>
      </c>
      <c r="AO1440" s="25" t="s">
        <v>3790</v>
      </c>
      <c r="AP1440" s="25">
        <f t="shared" si="622"/>
        <v>0</v>
      </c>
      <c r="AQ1440" s="151" t="str">
        <f>IF(SUMIFS('Supp Consol'!S:S,'Supp Consol'!A:A,O1440,'Supp Consol'!I:I,"PENDING")=0,"",SUMIFS('Supp Consol'!S:S,'Supp Consol'!A:A,O1440,'Supp Consol'!I:I,"PENDING"))</f>
        <v/>
      </c>
      <c r="AR1440" s="27" t="str">
        <f t="shared" si="623"/>
        <v>WM840</v>
      </c>
      <c r="AS1440" s="27" t="str">
        <f t="shared" si="624"/>
        <v>37</v>
      </c>
      <c r="AT1440" s="27" t="str">
        <f t="shared" si="625"/>
        <v/>
      </c>
      <c r="AU1440" s="27" t="str">
        <f t="shared" si="626"/>
        <v/>
      </c>
      <c r="AV1440" s="27" t="str">
        <f t="shared" si="627"/>
        <v/>
      </c>
      <c r="AW1440" s="27" t="str">
        <f t="shared" si="628"/>
        <v/>
      </c>
      <c r="AX1440" s="27" t="str">
        <f t="shared" si="629"/>
        <v/>
      </c>
      <c r="AY1440" s="27" t="str">
        <f t="shared" si="630"/>
        <v/>
      </c>
      <c r="AZ1440" s="27" t="str">
        <f t="shared" si="631"/>
        <v>Supp</v>
      </c>
      <c r="BA1440" s="27" t="str">
        <f t="shared" si="632"/>
        <v/>
      </c>
      <c r="BB1440" s="27" t="str">
        <f t="shared" si="633"/>
        <v/>
      </c>
      <c r="BC1440" s="27" t="str">
        <f t="shared" si="634"/>
        <v/>
      </c>
      <c r="BD1440" s="27" t="str">
        <f t="shared" si="635"/>
        <v/>
      </c>
      <c r="BE1440" s="27" t="str">
        <f t="shared" si="636"/>
        <v/>
      </c>
      <c r="BF1440" s="27" t="str">
        <f t="shared" si="637"/>
        <v/>
      </c>
      <c r="BG1440" s="27" t="str">
        <f t="shared" si="638"/>
        <v/>
      </c>
      <c r="BH1440" s="27" t="str">
        <f t="shared" si="639"/>
        <v/>
      </c>
      <c r="BI1440" s="27" t="str">
        <f t="shared" si="640"/>
        <v/>
      </c>
      <c r="BJ1440" s="27" t="str">
        <f t="shared" si="641"/>
        <v>Supp or Hun</v>
      </c>
      <c r="BK1440" s="27" t="str">
        <f t="shared" si="642"/>
        <v/>
      </c>
      <c r="BL1440" s="27" t="str">
        <f t="shared" si="643"/>
        <v/>
      </c>
      <c r="BM1440" s="21" t="s">
        <v>5581</v>
      </c>
    </row>
    <row r="1441" spans="1:65" ht="15">
      <c r="A1441" s="25">
        <f>IFERROR(INDEX('Hun Demand'!W:W,MATCH(O1441,'Hun Demand'!A:A,0)),"")</f>
        <v>0</v>
      </c>
      <c r="B1441" s="25">
        <f>IFERROR(INDEX('Hun Demand'!V:V,MATCH(O1441,'Hun Demand'!A:A,0)),"")</f>
        <v>159</v>
      </c>
      <c r="C1441" s="25">
        <f>IFERROR(INDEX('Hun Demand'!U:U,MATCH(O1441,'Hun Demand'!A:A,0)),"")</f>
        <v>345</v>
      </c>
      <c r="D1441" s="25">
        <f>IFERROR(INDEX('Hun Demand'!T:T,MATCH(O1441,'Hun Demand'!A:A,0)),"")</f>
        <v>245</v>
      </c>
      <c r="E1441" s="25">
        <f>IFERROR(INDEX('Hun Demand'!S:S,MATCH(O1441,'Hun Demand'!A:A,0)),"")</f>
        <v>232</v>
      </c>
      <c r="F1441" s="25">
        <f>IFERROR(INDEX('Hun Demand'!R:R,MATCH(O1441,'Hun Demand'!A:A,0)),"")</f>
        <v>0</v>
      </c>
      <c r="G1441" s="25">
        <f>IFERROR(INDEX('Aub Demand'!W:W,MATCH(O1441,'Aub Demand'!A:A,0)),"")</f>
        <v>680</v>
      </c>
      <c r="H1441" s="25">
        <f>IFERROR(INDEX('Aub Demand'!V:V,MATCH(O1441,'Aub Demand'!A:A,0)),"")</f>
        <v>530</v>
      </c>
      <c r="I1441" s="25">
        <f>IFERROR(INDEX('Aub Demand'!U:U,MATCH(O1441,'Aub Demand'!A:A,0)),"")</f>
        <v>12</v>
      </c>
      <c r="J1441" s="25">
        <f>IFERROR(INDEX('Aub Demand'!T:T,MATCH(O1441,'Aub Demand'!A:A,0)),"")</f>
        <v>306</v>
      </c>
      <c r="K1441" s="25">
        <f>IFERROR(INDEX('Aub Demand'!S:S,MATCH(O1441,'Aub Demand'!A:A,0)),"")</f>
        <v>453</v>
      </c>
      <c r="L1441" s="25">
        <f>IFERROR(INDEX('Aub Demand'!R:R,MATCH(O1441,'Aub Demand'!A:A,0)),"")</f>
        <v>74</v>
      </c>
      <c r="O1441" s="27" t="s">
        <v>3052</v>
      </c>
      <c r="P1441" s="27" t="str">
        <f>IFERROR(INDEX('Aub Demand'!B:B,MATCH($O1441,'Aub Demand'!$A:$A,0)),"")</f>
        <v>CLEAR MAPLE 50"</v>
      </c>
      <c r="Q1441" s="27" t="str">
        <f>IFERROR(INDEX('Aub Demand'!C:C,MATCH($O1441,'Aub Demand'!$A:$A,0)),"")</f>
        <v>DNP A</v>
      </c>
      <c r="R1441" s="52">
        <f>IFERROR(IF(AR1442=AR1441,INDEX('Aub Demand'!K:K,MATCH($O1441,'Aub Demand'!$A:$A,0))-IF(AN1441="",0,AN1441)+AP1442,INDEX('Aub Demand'!K:K,MATCH($O1441,'Aub Demand'!$A:$A,0))-IF(AN1441="",0,AN1441)),"")</f>
        <v>256</v>
      </c>
      <c r="S1441" s="53">
        <f t="shared" si="616"/>
        <v>4.3</v>
      </c>
      <c r="T1441" s="52" t="str">
        <f t="shared" si="617"/>
        <v/>
      </c>
      <c r="U1441" s="52">
        <f>IFERROR(IF(AR1442=AR1441,INDEX('Aub Demand'!Q:Q,MATCH($O1441,'Aub Demand'!$A:$A,0))-IF(AN1441="",0,AN1441)+AP1442,INDEX('Aub Demand'!Q:Q,MATCH($O1441,'Aub Demand'!$A:$A,0))-IF(AN1441="",0,AN1441)),"")</f>
        <v>-184</v>
      </c>
      <c r="V1441" s="53">
        <f t="shared" si="618"/>
        <v>-3.1</v>
      </c>
      <c r="W1441" s="52">
        <f t="shared" si="619"/>
        <v>578.73749999999995</v>
      </c>
      <c r="X1441" s="52">
        <f>IFERROR(IF(AND(AR1442=AR1441,AM1441&lt;&gt;""),INDEX('Aub Demand'!Q:Q,MATCH($O1441,'Aub Demand'!$A:$A,0))-IF(AN1441="",0,AN1441)+AP1442+AD1441+AL1441,IF(AR1442=AR1441,INDEX('Aub Demand'!Q:Q,MATCH($O1441,'Aub Demand'!$A:$A,0))-IF(AN1441="",0,AN1441)+AP1442+AD1441,IF(AM1441&lt;&gt;"",INDEX('Aub Demand'!Q:Q,MATCH($O1441,'Aub Demand'!$A:$A,0))-IF(AN1441="",0,AN1441)+AD1441+AL1441,INDEX('Aub Demand'!Q:Q,MATCH($O1441,'Aub Demand'!$A:$A,0))-IF(AN1441="",0,AN1441)+AD1441))),"")</f>
        <v>316</v>
      </c>
      <c r="Y1441" s="53">
        <f t="shared" si="620"/>
        <v>5.3</v>
      </c>
      <c r="Z1441" s="52">
        <f>IF(L1441="","",INDEX('Aub Demand'!H:H,MATCH($O1441,'Aub Demand'!$A:$A,0)))</f>
        <v>257</v>
      </c>
      <c r="AA1441" s="52">
        <f t="shared" si="621"/>
        <v>379.5</v>
      </c>
      <c r="AB1441" s="52">
        <f>IFERROR(INDEX('Aub Demand'!L:L,MATCH($O1441,'Aub Demand'!$A:$A,0)),"")</f>
        <v>508</v>
      </c>
      <c r="AC1441" s="52">
        <f>IFERROR(IF(O1441="","",SUMIFS('CPL Mats'!F:F,'CPL Mats'!Q:Q,AR1441,'CPL Mats'!S:S,AS1441)),"")</f>
        <v>6345.13</v>
      </c>
      <c r="AD1441" s="25">
        <v>500</v>
      </c>
      <c r="AE1441" s="52" t="s">
        <v>5583</v>
      </c>
      <c r="AF1441" s="25">
        <f>IF(SUMIFS('Supp Consol'!S:S,'Supp Consol'!Y:Y,"Releasable",'Supp Consol'!A:A,O1441)=0,"",SUMIFS('Supp Consol'!S:S,'Supp Consol'!Y:Y,"Releasable",'Supp Consol'!A:A,O1441))</f>
        <v>2156</v>
      </c>
      <c r="AG1441" s="25">
        <f>IFERROR(INDEX('Hun Demand'!Q:Q,MATCH(O1441,'Hun Demand'!A:A,0)),"")</f>
        <v>146</v>
      </c>
      <c r="AH1441" s="25">
        <f>IFERROR(INDEX('Hun Demand'!H:H,MATCH($O1441,'Hun Demand'!$A:$A,0)),"")</f>
        <v>274</v>
      </c>
      <c r="AI1441" s="25" t="str">
        <f>IF(SUMIFS('Supp Consol'!AA:AA,'Supp Consol'!Z:Z,"Expires this month",'Supp Consol'!A:A,O1441)=0,"",SUMIFS('Supp Consol'!AA:AA,'Supp Consol'!Z:Z,"Expires this month",'Supp Consol'!A:A,O1441))</f>
        <v/>
      </c>
      <c r="AJ1441" s="25" t="str">
        <f>IF(SUMIFS('Supp Consol'!AA:AA,'Supp Consol'!Z:Z,"Expired Previous Months",'Supp Consol'!A:A,O1441)=0,"",SUMIFS('Supp Consol'!AA:AA,'Supp Consol'!Z:Z,"Expired Previous Months",'Supp Consol'!A:A,O1441))</f>
        <v/>
      </c>
      <c r="AK1441" s="25" t="str">
        <f>IFERROR(INDEX('Hun Release Current'!B:B,MATCH(O1441,'Hun Release Current'!A:A,0)),"")</f>
        <v/>
      </c>
      <c r="AL1441" s="25" t="str">
        <f>IF(SUMIF('Prev Aub'!A:A,O1441,'Prev Aub'!B:B)=0,"",SUMIF('Prev Aub'!A:A,O1441,'Prev Aub'!B:B))</f>
        <v/>
      </c>
      <c r="AN1441" s="25">
        <v>250</v>
      </c>
      <c r="AO1441" s="25" t="s">
        <v>3790</v>
      </c>
      <c r="AP1441" s="25">
        <f t="shared" si="622"/>
        <v>200</v>
      </c>
      <c r="AQ1441" s="151" t="str">
        <f>IF(SUMIFS('Supp Consol'!S:S,'Supp Consol'!A:A,O1441,'Supp Consol'!I:I,"PENDING")=0,"",SUMIFS('Supp Consol'!S:S,'Supp Consol'!A:A,O1441,'Supp Consol'!I:I,"PENDING"))</f>
        <v/>
      </c>
      <c r="AR1441" s="27" t="str">
        <f t="shared" si="623"/>
        <v>WM840</v>
      </c>
      <c r="AS1441" s="27" t="str">
        <f t="shared" si="624"/>
        <v>50</v>
      </c>
      <c r="AT1441" s="27" t="str">
        <f t="shared" si="625"/>
        <v/>
      </c>
      <c r="AU1441" s="27" t="str">
        <f t="shared" si="626"/>
        <v/>
      </c>
      <c r="AV1441" s="27" t="str">
        <f t="shared" si="627"/>
        <v/>
      </c>
      <c r="AW1441" s="27" t="str">
        <f t="shared" si="628"/>
        <v/>
      </c>
      <c r="AX1441" s="27" t="str">
        <f t="shared" si="629"/>
        <v>WM840</v>
      </c>
      <c r="AY1441" s="27" t="str">
        <f t="shared" si="630"/>
        <v/>
      </c>
      <c r="AZ1441" s="27" t="str">
        <f t="shared" si="631"/>
        <v>Supp</v>
      </c>
      <c r="BA1441" s="27" t="str">
        <f t="shared" si="632"/>
        <v/>
      </c>
      <c r="BB1441" s="27" t="str">
        <f t="shared" si="633"/>
        <v/>
      </c>
      <c r="BC1441" s="27" t="str">
        <f t="shared" si="634"/>
        <v/>
      </c>
      <c r="BD1441" s="27" t="str">
        <f t="shared" si="635"/>
        <v/>
      </c>
      <c r="BE1441" s="27" t="str">
        <f t="shared" si="636"/>
        <v/>
      </c>
      <c r="BF1441" s="27" t="str">
        <f t="shared" si="637"/>
        <v/>
      </c>
      <c r="BG1441" s="27" t="str">
        <f t="shared" si="638"/>
        <v/>
      </c>
      <c r="BH1441" s="27" t="str">
        <f t="shared" si="639"/>
        <v/>
      </c>
      <c r="BI1441" s="27" t="str">
        <f t="shared" si="640"/>
        <v/>
      </c>
      <c r="BJ1441" s="27" t="str">
        <f t="shared" si="641"/>
        <v>Supp or Hun</v>
      </c>
      <c r="BK1441" s="27" t="str">
        <f t="shared" si="642"/>
        <v/>
      </c>
      <c r="BL1441" s="27" t="str">
        <f t="shared" si="643"/>
        <v/>
      </c>
      <c r="BM1441" s="21" t="s">
        <v>5581</v>
      </c>
    </row>
    <row r="1442" spans="1:65" ht="15">
      <c r="A1442" s="25">
        <f>IFERROR(INDEX('Hun Demand'!W:W,MATCH(O1442,'Hun Demand'!A:A,0)),"")</f>
        <v>929</v>
      </c>
      <c r="B1442" s="25">
        <f>IFERROR(INDEX('Hun Demand'!V:V,MATCH(O1442,'Hun Demand'!A:A,0)),"")</f>
        <v>1729</v>
      </c>
      <c r="C1442" s="25">
        <f>IFERROR(INDEX('Hun Demand'!U:U,MATCH(O1442,'Hun Demand'!A:A,0)),"")</f>
        <v>1844</v>
      </c>
      <c r="D1442" s="25">
        <f>IFERROR(INDEX('Hun Demand'!T:T,MATCH(O1442,'Hun Demand'!A:A,0)),"")</f>
        <v>1932</v>
      </c>
      <c r="E1442" s="25">
        <f>IFERROR(INDEX('Hun Demand'!S:S,MATCH(O1442,'Hun Demand'!A:A,0)),"")</f>
        <v>1656</v>
      </c>
      <c r="F1442" s="25">
        <f>IFERROR(INDEX('Hun Demand'!R:R,MATCH(O1442,'Hun Demand'!A:A,0)),"")</f>
        <v>0</v>
      </c>
      <c r="G1442" s="25">
        <f>IFERROR(INDEX('Aub Demand'!W:W,MATCH(O1442,'Aub Demand'!A:A,0)),"")</f>
        <v>106</v>
      </c>
      <c r="H1442" s="25">
        <f>IFERROR(INDEX('Aub Demand'!V:V,MATCH(O1442,'Aub Demand'!A:A,0)),"")</f>
        <v>176</v>
      </c>
      <c r="I1442" s="25">
        <f>IFERROR(INDEX('Aub Demand'!U:U,MATCH(O1442,'Aub Demand'!A:A,0)),"")</f>
        <v>189</v>
      </c>
      <c r="J1442" s="25">
        <f>IFERROR(INDEX('Aub Demand'!T:T,MATCH(O1442,'Aub Demand'!A:A,0)),"")</f>
        <v>320</v>
      </c>
      <c r="K1442" s="25">
        <f>IFERROR(INDEX('Aub Demand'!S:S,MATCH(O1442,'Aub Demand'!A:A,0)),"")</f>
        <v>276</v>
      </c>
      <c r="L1442" s="25">
        <f>IFERROR(INDEX('Aub Demand'!R:R,MATCH(O1442,'Aub Demand'!A:A,0)),"")</f>
        <v>0</v>
      </c>
      <c r="O1442" s="27" t="s">
        <v>3055</v>
      </c>
      <c r="P1442" s="27" t="str">
        <f>IFERROR(INDEX('Aub Demand'!B:B,MATCH($O1442,'Aub Demand'!$A:$A,0)),"")</f>
        <v>CLEAR MAPLE 62"</v>
      </c>
      <c r="Q1442" s="27" t="str">
        <f>IFERROR(INDEX('Aub Demand'!C:C,MATCH($O1442,'Aub Demand'!$A:$A,0)),"")</f>
        <v>DNP A</v>
      </c>
      <c r="R1442" s="52">
        <f>IFERROR(IF(AR1443=AR1442,INDEX('Aub Demand'!K:K,MATCH($O1442,'Aub Demand'!$A:$A,0))-IF(AN1442="",0,AN1442)+AP1443,INDEX('Aub Demand'!K:K,MATCH($O1442,'Aub Demand'!$A:$A,0))-IF(AN1442="",0,AN1442)),"")</f>
        <v>1138</v>
      </c>
      <c r="S1442" s="53">
        <f t="shared" si="616"/>
        <v>18.600000000000001</v>
      </c>
      <c r="T1442" s="52" t="str">
        <f t="shared" si="617"/>
        <v/>
      </c>
      <c r="U1442" s="52">
        <f>IFERROR(IF(AR1443=AR1442,INDEX('Aub Demand'!Q:Q,MATCH($O1442,'Aub Demand'!$A:$A,0))-IF(AN1442="",0,AN1442)+AP1443,INDEX('Aub Demand'!Q:Q,MATCH($O1442,'Aub Demand'!$A:$A,0))-IF(AN1442="",0,AN1442)),"")</f>
        <v>1096</v>
      </c>
      <c r="V1442" s="53">
        <f t="shared" si="618"/>
        <v>17.899999999999999</v>
      </c>
      <c r="W1442" s="52" t="str">
        <f t="shared" si="619"/>
        <v/>
      </c>
      <c r="X1442" s="52">
        <f>IFERROR(IF(AND(AR1443=AR1442,AM1442&lt;&gt;""),INDEX('Aub Demand'!Q:Q,MATCH($O1442,'Aub Demand'!$A:$A,0))-IF(AN1442="",0,AN1442)+AP1443+AD1442+AL1442,IF(AR1443=AR1442,INDEX('Aub Demand'!Q:Q,MATCH($O1442,'Aub Demand'!$A:$A,0))-IF(AN1442="",0,AN1442)+AP1443+AD1442,IF(AM1442&lt;&gt;"",INDEX('Aub Demand'!Q:Q,MATCH($O1442,'Aub Demand'!$A:$A,0))-IF(AN1442="",0,AN1442)+AD1442+AL1442,INDEX('Aub Demand'!Q:Q,MATCH($O1442,'Aub Demand'!$A:$A,0))-IF(AN1442="",0,AN1442)+AD1442))),"")</f>
        <v>1096</v>
      </c>
      <c r="Y1442" s="53">
        <f t="shared" si="620"/>
        <v>17.899999999999999</v>
      </c>
      <c r="Z1442" s="52">
        <f>IF(L1442="","",INDEX('Aub Demand'!H:H,MATCH($O1442,'Aub Demand'!$A:$A,0)))</f>
        <v>262</v>
      </c>
      <c r="AA1442" s="52">
        <f t="shared" si="621"/>
        <v>298</v>
      </c>
      <c r="AB1442" s="52">
        <f>IFERROR(INDEX('Aub Demand'!L:L,MATCH($O1442,'Aub Demand'!$A:$A,0)),"")</f>
        <v>184</v>
      </c>
      <c r="AC1442" s="52">
        <f>IFERROR(IF(O1442="","",SUMIFS('CPL Mats'!F:F,'CPL Mats'!Q:Q,AR1442,'CPL Mats'!S:S,AS1442)),"")</f>
        <v>3355.22</v>
      </c>
      <c r="AF1442" s="25">
        <f>IF(SUMIFS('Supp Consol'!S:S,'Supp Consol'!Y:Y,"Releasable",'Supp Consol'!A:A,O1442)=0,"",SUMIFS('Supp Consol'!S:S,'Supp Consol'!Y:Y,"Releasable",'Supp Consol'!A:A,O1442))</f>
        <v>3238</v>
      </c>
      <c r="AG1442" s="25">
        <f>IFERROR(INDEX('Hun Demand'!Q:Q,MATCH(O1442,'Hun Demand'!A:A,0)),"")</f>
        <v>757</v>
      </c>
      <c r="AH1442" s="25">
        <f>IFERROR(INDEX('Hun Demand'!H:H,MATCH($O1442,'Hun Demand'!$A:$A,0)),"")</f>
        <v>1811</v>
      </c>
      <c r="AI1442" s="25" t="str">
        <f>IF(SUMIFS('Supp Consol'!AA:AA,'Supp Consol'!Z:Z,"Expires this month",'Supp Consol'!A:A,O1442)=0,"",SUMIFS('Supp Consol'!AA:AA,'Supp Consol'!Z:Z,"Expires this month",'Supp Consol'!A:A,O1442))</f>
        <v/>
      </c>
      <c r="AJ1442" s="25" t="str">
        <f>IF(SUMIFS('Supp Consol'!AA:AA,'Supp Consol'!Z:Z,"Expired Previous Months",'Supp Consol'!A:A,O1442)=0,"",SUMIFS('Supp Consol'!AA:AA,'Supp Consol'!Z:Z,"Expired Previous Months",'Supp Consol'!A:A,O1442))</f>
        <v/>
      </c>
      <c r="AK1442" s="25" t="str">
        <f>IFERROR(INDEX('Hun Release Current'!B:B,MATCH(O1442,'Hun Release Current'!A:A,0)),"")</f>
        <v/>
      </c>
      <c r="AL1442" s="25" t="str">
        <f>IF(SUMIF('Prev Aub'!A:A,O1442,'Prev Aub'!B:B)=0,"",SUMIF('Prev Aub'!A:A,O1442,'Prev Aub'!B:B))</f>
        <v/>
      </c>
      <c r="AN1442" s="25" t="s">
        <v>3790</v>
      </c>
      <c r="AO1442" s="25" t="s">
        <v>3790</v>
      </c>
      <c r="AP1442" s="25">
        <f t="shared" si="622"/>
        <v>0</v>
      </c>
      <c r="AQ1442" s="151" t="str">
        <f>IF(SUMIFS('Supp Consol'!S:S,'Supp Consol'!A:A,O1442,'Supp Consol'!I:I,"PENDING")=0,"",SUMIFS('Supp Consol'!S:S,'Supp Consol'!A:A,O1442,'Supp Consol'!I:I,"PENDING"))</f>
        <v/>
      </c>
      <c r="AR1442" s="27" t="str">
        <f t="shared" si="623"/>
        <v>WM840</v>
      </c>
      <c r="AS1442" s="27" t="str">
        <f t="shared" si="624"/>
        <v>62</v>
      </c>
      <c r="AT1442" s="27" t="str">
        <f t="shared" si="625"/>
        <v/>
      </c>
      <c r="AU1442" s="27" t="str">
        <f t="shared" si="626"/>
        <v/>
      </c>
      <c r="AV1442" s="27" t="str">
        <f t="shared" si="627"/>
        <v/>
      </c>
      <c r="AW1442" s="27" t="str">
        <f t="shared" si="628"/>
        <v/>
      </c>
      <c r="AX1442" s="27" t="str">
        <f t="shared" si="629"/>
        <v>WM840</v>
      </c>
      <c r="AY1442" s="27" t="str">
        <f t="shared" si="630"/>
        <v/>
      </c>
      <c r="AZ1442" s="27" t="str">
        <f t="shared" si="631"/>
        <v>Supp</v>
      </c>
      <c r="BA1442" s="27" t="str">
        <f t="shared" si="632"/>
        <v/>
      </c>
      <c r="BB1442" s="27" t="str">
        <f t="shared" si="633"/>
        <v/>
      </c>
      <c r="BC1442" s="27" t="str">
        <f t="shared" si="634"/>
        <v/>
      </c>
      <c r="BD1442" s="27" t="str">
        <f t="shared" si="635"/>
        <v/>
      </c>
      <c r="BE1442" s="27" t="str">
        <f t="shared" si="636"/>
        <v/>
      </c>
      <c r="BF1442" s="27" t="str">
        <f t="shared" si="637"/>
        <v/>
      </c>
      <c r="BG1442" s="27" t="str">
        <f t="shared" si="638"/>
        <v/>
      </c>
      <c r="BH1442" s="27" t="str">
        <f t="shared" si="639"/>
        <v/>
      </c>
      <c r="BI1442" s="27" t="str">
        <f t="shared" si="640"/>
        <v/>
      </c>
      <c r="BJ1442" s="27" t="str">
        <f t="shared" si="641"/>
        <v>Supp or Hun</v>
      </c>
      <c r="BK1442" s="27" t="str">
        <f t="shared" si="642"/>
        <v/>
      </c>
      <c r="BL1442" s="27" t="str">
        <f t="shared" si="643"/>
        <v/>
      </c>
      <c r="BM1442" s="21" t="s">
        <v>5581</v>
      </c>
    </row>
    <row r="1443" spans="1:65" ht="15">
      <c r="A1443" s="25" t="str">
        <f>IFERROR(INDEX('Hun Demand'!W:W,MATCH(O1443,'Hun Demand'!A:A,0)),"")</f>
        <v/>
      </c>
      <c r="B1443" s="25" t="str">
        <f>IFERROR(INDEX('Hun Demand'!V:V,MATCH(O1443,'Hun Demand'!A:A,0)),"")</f>
        <v/>
      </c>
      <c r="C1443" s="25" t="str">
        <f>IFERROR(INDEX('Hun Demand'!U:U,MATCH(O1443,'Hun Demand'!A:A,0)),"")</f>
        <v/>
      </c>
      <c r="D1443" s="25" t="str">
        <f>IFERROR(INDEX('Hun Demand'!T:T,MATCH(O1443,'Hun Demand'!A:A,0)),"")</f>
        <v/>
      </c>
      <c r="E1443" s="25" t="str">
        <f>IFERROR(INDEX('Hun Demand'!S:S,MATCH(O1443,'Hun Demand'!A:A,0)),"")</f>
        <v/>
      </c>
      <c r="F1443" s="25" t="str">
        <f>IFERROR(INDEX('Hun Demand'!R:R,MATCH(O1443,'Hun Demand'!A:A,0)),"")</f>
        <v/>
      </c>
      <c r="G1443" s="25">
        <f>IFERROR(INDEX('Aub Demand'!W:W,MATCH(O1443,'Aub Demand'!A:A,0)),"")</f>
        <v>21</v>
      </c>
      <c r="H1443" s="25">
        <f>IFERROR(INDEX('Aub Demand'!V:V,MATCH(O1443,'Aub Demand'!A:A,0)),"")</f>
        <v>0</v>
      </c>
      <c r="I1443" s="25">
        <f>IFERROR(INDEX('Aub Demand'!U:U,MATCH(O1443,'Aub Demand'!A:A,0)),"")</f>
        <v>20</v>
      </c>
      <c r="J1443" s="25">
        <f>IFERROR(INDEX('Aub Demand'!T:T,MATCH(O1443,'Aub Demand'!A:A,0)),"")</f>
        <v>53</v>
      </c>
      <c r="K1443" s="25">
        <f>IFERROR(INDEX('Aub Demand'!S:S,MATCH(O1443,'Aub Demand'!A:A,0)),"")</f>
        <v>0</v>
      </c>
      <c r="L1443" s="25">
        <f>IFERROR(INDEX('Aub Demand'!R:R,MATCH(O1443,'Aub Demand'!A:A,0)),"")</f>
        <v>0</v>
      </c>
      <c r="O1443" s="27" t="s">
        <v>3057</v>
      </c>
      <c r="P1443" s="27" t="str">
        <f>IFERROR(INDEX('Aub Demand'!B:B,MATCH($O1443,'Aub Demand'!$A:$A,0)),"")</f>
        <v>CHAMPAGNE SAGAWOOD 5</v>
      </c>
      <c r="Q1443" s="27" t="str">
        <f>IFERROR(INDEX('Aub Demand'!C:C,MATCH($O1443,'Aub Demand'!$A:$A,0)),"")</f>
        <v>DNP A</v>
      </c>
      <c r="R1443" s="52">
        <f>IFERROR(IF(AR1444=AR1443,INDEX('Aub Demand'!K:K,MATCH($O1443,'Aub Demand'!$A:$A,0))-IF(AN1443="",0,AN1443)+AP1444,INDEX('Aub Demand'!K:K,MATCH($O1443,'Aub Demand'!$A:$A,0))-IF(AN1443="",0,AN1443)),"")</f>
        <v>2572</v>
      </c>
      <c r="S1443" s="53">
        <f t="shared" si="616"/>
        <v>459.3</v>
      </c>
      <c r="T1443" s="52" t="str">
        <f t="shared" si="617"/>
        <v/>
      </c>
      <c r="U1443" s="52">
        <f>IFERROR(IF(AR1444=AR1443,INDEX('Aub Demand'!Q:Q,MATCH($O1443,'Aub Demand'!$A:$A,0))-IF(AN1443="",0,AN1443)+AP1444,INDEX('Aub Demand'!Q:Q,MATCH($O1443,'Aub Demand'!$A:$A,0))-IF(AN1443="",0,AN1443)),"")</f>
        <v>2572</v>
      </c>
      <c r="V1443" s="53">
        <f t="shared" si="618"/>
        <v>459.3</v>
      </c>
      <c r="W1443" s="52" t="str">
        <f t="shared" si="619"/>
        <v/>
      </c>
      <c r="X1443" s="52">
        <f>IFERROR(IF(AND(AR1444=AR1443,AM1443&lt;&gt;""),INDEX('Aub Demand'!Q:Q,MATCH($O1443,'Aub Demand'!$A:$A,0))-IF(AN1443="",0,AN1443)+AP1444+AD1443+AL1443,IF(AR1444=AR1443,INDEX('Aub Demand'!Q:Q,MATCH($O1443,'Aub Demand'!$A:$A,0))-IF(AN1443="",0,AN1443)+AP1444+AD1443,IF(AM1443&lt;&gt;"",INDEX('Aub Demand'!Q:Q,MATCH($O1443,'Aub Demand'!$A:$A,0))-IF(AN1443="",0,AN1443)+AD1443+AL1443,INDEX('Aub Demand'!Q:Q,MATCH($O1443,'Aub Demand'!$A:$A,0))-IF(AN1443="",0,AN1443)+AD1443))),"")</f>
        <v>2572</v>
      </c>
      <c r="Y1443" s="53">
        <f t="shared" si="620"/>
        <v>459.3</v>
      </c>
      <c r="Z1443" s="52">
        <f>IF(L1443="","",INDEX('Aub Demand'!H:H,MATCH($O1443,'Aub Demand'!$A:$A,0)))</f>
        <v>24</v>
      </c>
      <c r="AA1443" s="52">
        <f t="shared" si="621"/>
        <v>36.5</v>
      </c>
      <c r="AB1443" s="52">
        <f>IFERROR(INDEX('Aub Demand'!L:L,MATCH($O1443,'Aub Demand'!$A:$A,0)),"")</f>
        <v>32</v>
      </c>
      <c r="AC1443" s="52">
        <f>IFERROR(IF(O1443="","",SUMIFS('CPL Mats'!F:F,'CPL Mats'!Q:Q,AR1443,'CPL Mats'!S:S,AS1443)),"")</f>
        <v>0</v>
      </c>
      <c r="AF1443" s="25" t="str">
        <f>IF(SUMIFS('Supp Consol'!S:S,'Supp Consol'!Y:Y,"Releasable",'Supp Consol'!A:A,O1443)=0,"",SUMIFS('Supp Consol'!S:S,'Supp Consol'!Y:Y,"Releasable",'Supp Consol'!A:A,O1443))</f>
        <v/>
      </c>
      <c r="AG1443" s="25" t="str">
        <f>IFERROR(INDEX('Hun Demand'!Q:Q,MATCH(O1443,'Hun Demand'!A:A,0)),"")</f>
        <v/>
      </c>
      <c r="AH1443" s="25" t="str">
        <f>IFERROR(INDEX('Hun Demand'!H:H,MATCH($O1443,'Hun Demand'!$A:$A,0)),"")</f>
        <v/>
      </c>
      <c r="AI1443" s="25" t="str">
        <f>IF(SUMIFS('Supp Consol'!AA:AA,'Supp Consol'!Z:Z,"Expires this month",'Supp Consol'!A:A,O1443)=0,"",SUMIFS('Supp Consol'!AA:AA,'Supp Consol'!Z:Z,"Expires this month",'Supp Consol'!A:A,O1443))</f>
        <v/>
      </c>
      <c r="AJ1443" s="25" t="str">
        <f>IF(SUMIFS('Supp Consol'!AA:AA,'Supp Consol'!Z:Z,"Expired Previous Months",'Supp Consol'!A:A,O1443)=0,"",SUMIFS('Supp Consol'!AA:AA,'Supp Consol'!Z:Z,"Expired Previous Months",'Supp Consol'!A:A,O1443))</f>
        <v/>
      </c>
      <c r="AK1443" s="25" t="str">
        <f>IFERROR(INDEX('Hun Release Current'!B:B,MATCH(O1443,'Hun Release Current'!A:A,0)),"")</f>
        <v/>
      </c>
      <c r="AL1443" s="25" t="str">
        <f>IF(SUMIF('Prev Aub'!A:A,O1443,'Prev Aub'!B:B)=0,"",SUMIF('Prev Aub'!A:A,O1443,'Prev Aub'!B:B))</f>
        <v/>
      </c>
      <c r="AN1443" s="25" t="s">
        <v>3790</v>
      </c>
      <c r="AO1443" s="25" t="s">
        <v>3790</v>
      </c>
      <c r="AP1443" s="25">
        <f t="shared" si="622"/>
        <v>0</v>
      </c>
      <c r="AQ1443" s="151" t="str">
        <f>IF(SUMIFS('Supp Consol'!S:S,'Supp Consol'!A:A,O1443,'Supp Consol'!I:I,"PENDING")=0,"",SUMIFS('Supp Consol'!S:S,'Supp Consol'!A:A,O1443,'Supp Consol'!I:I,"PENDING"))</f>
        <v/>
      </c>
      <c r="AR1443" s="27" t="str">
        <f t="shared" si="623"/>
        <v>WM849</v>
      </c>
      <c r="AS1443" s="27" t="str">
        <f t="shared" si="624"/>
        <v>50</v>
      </c>
      <c r="AT1443" s="27" t="str">
        <f t="shared" si="625"/>
        <v/>
      </c>
      <c r="AU1443" s="27" t="str">
        <f t="shared" si="626"/>
        <v/>
      </c>
      <c r="AV1443" s="27" t="str">
        <f t="shared" si="627"/>
        <v/>
      </c>
      <c r="AW1443" s="27" t="str">
        <f t="shared" si="628"/>
        <v/>
      </c>
      <c r="AX1443" s="27" t="str">
        <f t="shared" si="629"/>
        <v/>
      </c>
      <c r="AY1443" s="27" t="str">
        <f t="shared" si="630"/>
        <v/>
      </c>
      <c r="AZ1443" s="27" t="str">
        <f t="shared" si="631"/>
        <v/>
      </c>
      <c r="BA1443" s="27" t="str">
        <f t="shared" si="632"/>
        <v/>
      </c>
      <c r="BB1443" s="27" t="str">
        <f t="shared" si="633"/>
        <v/>
      </c>
      <c r="BC1443" s="27" t="str">
        <f t="shared" si="634"/>
        <v/>
      </c>
      <c r="BD1443" s="27" t="str">
        <f t="shared" si="635"/>
        <v/>
      </c>
      <c r="BE1443" s="27" t="str">
        <f t="shared" si="636"/>
        <v/>
      </c>
      <c r="BF1443" s="27" t="str">
        <f t="shared" si="637"/>
        <v/>
      </c>
      <c r="BG1443" s="27" t="str">
        <f t="shared" si="638"/>
        <v/>
      </c>
      <c r="BH1443" s="27" t="str">
        <f t="shared" si="639"/>
        <v/>
      </c>
      <c r="BI1443" s="27" t="str">
        <f t="shared" si="640"/>
        <v/>
      </c>
      <c r="BJ1443" s="27" t="str">
        <f t="shared" si="641"/>
        <v/>
      </c>
      <c r="BK1443" s="27" t="str">
        <f t="shared" si="642"/>
        <v/>
      </c>
      <c r="BL1443" s="27" t="str">
        <f t="shared" si="643"/>
        <v/>
      </c>
      <c r="BM1443" s="21" t="s">
        <v>5581</v>
      </c>
    </row>
    <row r="1444" spans="1:65" ht="15">
      <c r="A1444" s="25" t="str">
        <f>IFERROR(INDEX('Hun Demand'!W:W,MATCH(O1444,'Hun Demand'!A:A,0)),"")</f>
        <v/>
      </c>
      <c r="B1444" s="25" t="str">
        <f>IFERROR(INDEX('Hun Demand'!V:V,MATCH(O1444,'Hun Demand'!A:A,0)),"")</f>
        <v/>
      </c>
      <c r="C1444" s="25" t="str">
        <f>IFERROR(INDEX('Hun Demand'!U:U,MATCH(O1444,'Hun Demand'!A:A,0)),"")</f>
        <v/>
      </c>
      <c r="D1444" s="25" t="str">
        <f>IFERROR(INDEX('Hun Demand'!T:T,MATCH(O1444,'Hun Demand'!A:A,0)),"")</f>
        <v/>
      </c>
      <c r="E1444" s="25" t="str">
        <f>IFERROR(INDEX('Hun Demand'!S:S,MATCH(O1444,'Hun Demand'!A:A,0)),"")</f>
        <v/>
      </c>
      <c r="F1444" s="25" t="str">
        <f>IFERROR(INDEX('Hun Demand'!R:R,MATCH(O1444,'Hun Demand'!A:A,0)),"")</f>
        <v/>
      </c>
      <c r="G1444" s="25">
        <f>IFERROR(INDEX('Aub Demand'!W:W,MATCH(O1444,'Aub Demand'!A:A,0)),"")</f>
        <v>0</v>
      </c>
      <c r="H1444" s="25">
        <f>IFERROR(INDEX('Aub Demand'!V:V,MATCH(O1444,'Aub Demand'!A:A,0)),"")</f>
        <v>0</v>
      </c>
      <c r="I1444" s="25">
        <f>IFERROR(INDEX('Aub Demand'!U:U,MATCH(O1444,'Aub Demand'!A:A,0)),"")</f>
        <v>0</v>
      </c>
      <c r="J1444" s="25">
        <f>IFERROR(INDEX('Aub Demand'!T:T,MATCH(O1444,'Aub Demand'!A:A,0)),"")</f>
        <v>0</v>
      </c>
      <c r="K1444" s="25">
        <f>IFERROR(INDEX('Aub Demand'!S:S,MATCH(O1444,'Aub Demand'!A:A,0)),"")</f>
        <v>0</v>
      </c>
      <c r="L1444" s="25">
        <f>IFERROR(INDEX('Aub Demand'!R:R,MATCH(O1444,'Aub Demand'!A:A,0)),"")</f>
        <v>0</v>
      </c>
      <c r="O1444" s="27" t="s">
        <v>3060</v>
      </c>
      <c r="P1444" s="27" t="str">
        <f>IFERROR(INDEX('Aub Demand'!B:B,MATCH($O1444,'Aub Demand'!$A:$A,0)),"")</f>
        <v>CHAMPAGNE SAGAWOOD 6</v>
      </c>
      <c r="Q1444" s="27" t="str">
        <f>IFERROR(INDEX('Aub Demand'!C:C,MATCH($O1444,'Aub Demand'!$A:$A,0)),"")</f>
        <v>DNP A</v>
      </c>
      <c r="R1444" s="52">
        <f>IFERROR(IF(AR1445=AR1444,INDEX('Aub Demand'!K:K,MATCH($O1444,'Aub Demand'!$A:$A,0))-IF(AN1444="",0,AN1444)+AP1445,INDEX('Aub Demand'!K:K,MATCH($O1444,'Aub Demand'!$A:$A,0))-IF(AN1444="",0,AN1444)),"")</f>
        <v>601</v>
      </c>
      <c r="S1444" s="53" t="str">
        <f t="shared" si="616"/>
        <v>n/a</v>
      </c>
      <c r="T1444" s="52" t="str">
        <f t="shared" si="617"/>
        <v/>
      </c>
      <c r="U1444" s="52">
        <f>IFERROR(IF(AR1445=AR1444,INDEX('Aub Demand'!Q:Q,MATCH($O1444,'Aub Demand'!$A:$A,0))-IF(AN1444="",0,AN1444)+AP1445,INDEX('Aub Demand'!Q:Q,MATCH($O1444,'Aub Demand'!$A:$A,0))-IF(AN1444="",0,AN1444)),"")</f>
        <v>601</v>
      </c>
      <c r="V1444" s="53" t="str">
        <f t="shared" si="618"/>
        <v>n/a</v>
      </c>
      <c r="W1444" s="52" t="str">
        <f t="shared" si="619"/>
        <v/>
      </c>
      <c r="X1444" s="52">
        <f>IFERROR(IF(AND(AR1445=AR1444,AM1444&lt;&gt;""),INDEX('Aub Demand'!Q:Q,MATCH($O1444,'Aub Demand'!$A:$A,0))-IF(AN1444="",0,AN1444)+AP1445+AD1444+AL1444,IF(AR1445=AR1444,INDEX('Aub Demand'!Q:Q,MATCH($O1444,'Aub Demand'!$A:$A,0))-IF(AN1444="",0,AN1444)+AP1445+AD1444,IF(AM1444&lt;&gt;"",INDEX('Aub Demand'!Q:Q,MATCH($O1444,'Aub Demand'!$A:$A,0))-IF(AN1444="",0,AN1444)+AD1444+AL1444,INDEX('Aub Demand'!Q:Q,MATCH($O1444,'Aub Demand'!$A:$A,0))-IF(AN1444="",0,AN1444)+AD1444))),"")</f>
        <v>601</v>
      </c>
      <c r="Y1444" s="53" t="str">
        <f t="shared" si="620"/>
        <v>n/a</v>
      </c>
      <c r="Z1444" s="52">
        <f>IF(L1444="","",INDEX('Aub Demand'!H:H,MATCH($O1444,'Aub Demand'!$A:$A,0)))</f>
        <v>0</v>
      </c>
      <c r="AA1444" s="52" t="str">
        <f t="shared" si="621"/>
        <v>-spike-</v>
      </c>
      <c r="AB1444" s="52">
        <f>IFERROR(INDEX('Aub Demand'!L:L,MATCH($O1444,'Aub Demand'!$A:$A,0)),"")</f>
        <v>13</v>
      </c>
      <c r="AC1444" s="52">
        <f>IFERROR(IF(O1444="","",SUMIFS('CPL Mats'!F:F,'CPL Mats'!Q:Q,AR1444,'CPL Mats'!S:S,AS1444)),"")</f>
        <v>0</v>
      </c>
      <c r="AF1444" s="25" t="str">
        <f>IF(SUMIFS('Supp Consol'!S:S,'Supp Consol'!Y:Y,"Releasable",'Supp Consol'!A:A,O1444)=0,"",SUMIFS('Supp Consol'!S:S,'Supp Consol'!Y:Y,"Releasable",'Supp Consol'!A:A,O1444))</f>
        <v/>
      </c>
      <c r="AG1444" s="25" t="str">
        <f>IFERROR(INDEX('Hun Demand'!Q:Q,MATCH(O1444,'Hun Demand'!A:A,0)),"")</f>
        <v/>
      </c>
      <c r="AH1444" s="25" t="str">
        <f>IFERROR(INDEX('Hun Demand'!H:H,MATCH($O1444,'Hun Demand'!$A:$A,0)),"")</f>
        <v/>
      </c>
      <c r="AI1444" s="25" t="str">
        <f>IF(SUMIFS('Supp Consol'!AA:AA,'Supp Consol'!Z:Z,"Expires this month",'Supp Consol'!A:A,O1444)=0,"",SUMIFS('Supp Consol'!AA:AA,'Supp Consol'!Z:Z,"Expires this month",'Supp Consol'!A:A,O1444))</f>
        <v/>
      </c>
      <c r="AJ1444" s="25" t="str">
        <f>IF(SUMIFS('Supp Consol'!AA:AA,'Supp Consol'!Z:Z,"Expired Previous Months",'Supp Consol'!A:A,O1444)=0,"",SUMIFS('Supp Consol'!AA:AA,'Supp Consol'!Z:Z,"Expired Previous Months",'Supp Consol'!A:A,O1444))</f>
        <v/>
      </c>
      <c r="AK1444" s="25" t="str">
        <f>IFERROR(INDEX('Hun Release Current'!B:B,MATCH(O1444,'Hun Release Current'!A:A,0)),"")</f>
        <v/>
      </c>
      <c r="AL1444" s="25" t="str">
        <f>IF(SUMIF('Prev Aub'!A:A,O1444,'Prev Aub'!B:B)=0,"",SUMIF('Prev Aub'!A:A,O1444,'Prev Aub'!B:B))</f>
        <v/>
      </c>
      <c r="AN1444" s="25" t="s">
        <v>3790</v>
      </c>
      <c r="AO1444" s="25" t="s">
        <v>3790</v>
      </c>
      <c r="AP1444" s="25">
        <f t="shared" si="622"/>
        <v>0</v>
      </c>
      <c r="AQ1444" s="151" t="str">
        <f>IF(SUMIFS('Supp Consol'!S:S,'Supp Consol'!A:A,O1444,'Supp Consol'!I:I,"PENDING")=0,"",SUMIFS('Supp Consol'!S:S,'Supp Consol'!A:A,O1444,'Supp Consol'!I:I,"PENDING"))</f>
        <v/>
      </c>
      <c r="AR1444" s="27" t="str">
        <f t="shared" si="623"/>
        <v>WM849</v>
      </c>
      <c r="AS1444" s="27" t="str">
        <f t="shared" si="624"/>
        <v>62</v>
      </c>
      <c r="AT1444" s="27" t="str">
        <f t="shared" si="625"/>
        <v/>
      </c>
      <c r="AU1444" s="27" t="str">
        <f t="shared" si="626"/>
        <v/>
      </c>
      <c r="AV1444" s="27" t="str">
        <f t="shared" si="627"/>
        <v/>
      </c>
      <c r="AW1444" s="27" t="str">
        <f t="shared" si="628"/>
        <v/>
      </c>
      <c r="AX1444" s="27" t="str">
        <f t="shared" si="629"/>
        <v/>
      </c>
      <c r="AY1444" s="27" t="str">
        <f t="shared" si="630"/>
        <v/>
      </c>
      <c r="AZ1444" s="27" t="str">
        <f t="shared" si="631"/>
        <v/>
      </c>
      <c r="BA1444" s="27" t="str">
        <f t="shared" si="632"/>
        <v/>
      </c>
      <c r="BB1444" s="27" t="str">
        <f t="shared" si="633"/>
        <v/>
      </c>
      <c r="BC1444" s="27" t="str">
        <f t="shared" si="634"/>
        <v/>
      </c>
      <c r="BD1444" s="27" t="str">
        <f t="shared" si="635"/>
        <v/>
      </c>
      <c r="BE1444" s="27" t="str">
        <f t="shared" si="636"/>
        <v/>
      </c>
      <c r="BF1444" s="27" t="str">
        <f t="shared" si="637"/>
        <v/>
      </c>
      <c r="BG1444" s="27" t="str">
        <f t="shared" si="638"/>
        <v/>
      </c>
      <c r="BH1444" s="27" t="str">
        <f t="shared" si="639"/>
        <v/>
      </c>
      <c r="BI1444" s="27" t="str">
        <f t="shared" si="640"/>
        <v/>
      </c>
      <c r="BJ1444" s="27" t="str">
        <f t="shared" si="641"/>
        <v/>
      </c>
      <c r="BK1444" s="27" t="str">
        <f t="shared" si="642"/>
        <v/>
      </c>
      <c r="BL1444" s="27" t="str">
        <f t="shared" si="643"/>
        <v/>
      </c>
      <c r="BM1444" s="21" t="s">
        <v>5581</v>
      </c>
    </row>
    <row r="1445" spans="1:65" ht="15">
      <c r="A1445" s="25" t="str">
        <f>IFERROR(INDEX('Hun Demand'!W:W,MATCH(O1445,'Hun Demand'!A:A,0)),"")</f>
        <v/>
      </c>
      <c r="B1445" s="25" t="str">
        <f>IFERROR(INDEX('Hun Demand'!V:V,MATCH(O1445,'Hun Demand'!A:A,0)),"")</f>
        <v/>
      </c>
      <c r="C1445" s="25" t="str">
        <f>IFERROR(INDEX('Hun Demand'!U:U,MATCH(O1445,'Hun Demand'!A:A,0)),"")</f>
        <v/>
      </c>
      <c r="D1445" s="25" t="str">
        <f>IFERROR(INDEX('Hun Demand'!T:T,MATCH(O1445,'Hun Demand'!A:A,0)),"")</f>
        <v/>
      </c>
      <c r="E1445" s="25" t="str">
        <f>IFERROR(INDEX('Hun Demand'!S:S,MATCH(O1445,'Hun Demand'!A:A,0)),"")</f>
        <v/>
      </c>
      <c r="F1445" s="25" t="str">
        <f>IFERROR(INDEX('Hun Demand'!R:R,MATCH(O1445,'Hun Demand'!A:A,0)),"")</f>
        <v/>
      </c>
      <c r="G1445" s="25">
        <f>IFERROR(INDEX('Aub Demand'!W:W,MATCH(O1445,'Aub Demand'!A:A,0)),"")</f>
        <v>0</v>
      </c>
      <c r="H1445" s="25">
        <f>IFERROR(INDEX('Aub Demand'!V:V,MATCH(O1445,'Aub Demand'!A:A,0)),"")</f>
        <v>0</v>
      </c>
      <c r="I1445" s="25">
        <f>IFERROR(INDEX('Aub Demand'!U:U,MATCH(O1445,'Aub Demand'!A:A,0)),"")</f>
        <v>0</v>
      </c>
      <c r="J1445" s="25">
        <f>IFERROR(INDEX('Aub Demand'!T:T,MATCH(O1445,'Aub Demand'!A:A,0)),"")</f>
        <v>0</v>
      </c>
      <c r="K1445" s="25">
        <f>IFERROR(INDEX('Aub Demand'!S:S,MATCH(O1445,'Aub Demand'!A:A,0)),"")</f>
        <v>0</v>
      </c>
      <c r="L1445" s="25">
        <f>IFERROR(INDEX('Aub Demand'!R:R,MATCH(O1445,'Aub Demand'!A:A,0)),"")</f>
        <v>0</v>
      </c>
      <c r="O1445" s="27" t="s">
        <v>3062</v>
      </c>
      <c r="P1445" s="27" t="str">
        <f>IFERROR(INDEX('Aub Demand'!B:B,MATCH($O1445,'Aub Demand'!$A:$A,0)),"")</f>
        <v>CARMEL SAGAWOOD 36"</v>
      </c>
      <c r="Q1445" s="27" t="str">
        <f>IFERROR(INDEX('Aub Demand'!C:C,MATCH($O1445,'Aub Demand'!$A:$A,0)),"")</f>
        <v>DNP A</v>
      </c>
      <c r="R1445" s="52">
        <f>IFERROR(IF(AR1446=AR1445,INDEX('Aub Demand'!K:K,MATCH($O1445,'Aub Demand'!$A:$A,0))-IF(AN1445="",0,AN1445)+AP1446,INDEX('Aub Demand'!K:K,MATCH($O1445,'Aub Demand'!$A:$A,0))-IF(AN1445="",0,AN1445)),"")</f>
        <v>0</v>
      </c>
      <c r="S1445" s="53" t="str">
        <f t="shared" si="616"/>
        <v>n/a</v>
      </c>
      <c r="T1445" s="52" t="str">
        <f t="shared" si="617"/>
        <v/>
      </c>
      <c r="U1445" s="52">
        <f>IFERROR(IF(AR1446=AR1445,INDEX('Aub Demand'!Q:Q,MATCH($O1445,'Aub Demand'!$A:$A,0))-IF(AN1445="",0,AN1445)+AP1446,INDEX('Aub Demand'!Q:Q,MATCH($O1445,'Aub Demand'!$A:$A,0))-IF(AN1445="",0,AN1445)),"")</f>
        <v>-2</v>
      </c>
      <c r="V1445" s="53" t="str">
        <f t="shared" si="618"/>
        <v>n/a</v>
      </c>
      <c r="W1445" s="52" t="str">
        <f t="shared" si="619"/>
        <v/>
      </c>
      <c r="X1445" s="52">
        <f>IFERROR(IF(AND(AR1446=AR1445,AM1445&lt;&gt;""),INDEX('Aub Demand'!Q:Q,MATCH($O1445,'Aub Demand'!$A:$A,0))-IF(AN1445="",0,AN1445)+AP1446+AD1445+AL1445,IF(AR1446=AR1445,INDEX('Aub Demand'!Q:Q,MATCH($O1445,'Aub Demand'!$A:$A,0))-IF(AN1445="",0,AN1445)+AP1446+AD1445,IF(AM1445&lt;&gt;"",INDEX('Aub Demand'!Q:Q,MATCH($O1445,'Aub Demand'!$A:$A,0))-IF(AN1445="",0,AN1445)+AD1445+AL1445,INDEX('Aub Demand'!Q:Q,MATCH($O1445,'Aub Demand'!$A:$A,0))-IF(AN1445="",0,AN1445)+AD1445))),"")</f>
        <v>-2</v>
      </c>
      <c r="Y1445" s="53" t="str">
        <f t="shared" si="620"/>
        <v>n/a</v>
      </c>
      <c r="Z1445" s="52">
        <f>IF(L1445="","",INDEX('Aub Demand'!H:H,MATCH($O1445,'Aub Demand'!$A:$A,0)))</f>
        <v>0</v>
      </c>
      <c r="AA1445" s="52" t="str">
        <f t="shared" si="621"/>
        <v>-spike-</v>
      </c>
      <c r="AB1445" s="52">
        <f>IFERROR(INDEX('Aub Demand'!L:L,MATCH($O1445,'Aub Demand'!$A:$A,0)),"")</f>
        <v>0</v>
      </c>
      <c r="AC1445" s="52">
        <f>IFERROR(IF(O1445="","",SUMIFS('CPL Mats'!F:F,'CPL Mats'!Q:Q,AR1445,'CPL Mats'!S:S,AS1445)),"")</f>
        <v>0</v>
      </c>
      <c r="AF1445" s="25" t="str">
        <f>IF(SUMIFS('Supp Consol'!S:S,'Supp Consol'!Y:Y,"Releasable",'Supp Consol'!A:A,O1445)=0,"",SUMIFS('Supp Consol'!S:S,'Supp Consol'!Y:Y,"Releasable",'Supp Consol'!A:A,O1445))</f>
        <v/>
      </c>
      <c r="AG1445" s="25" t="str">
        <f>IFERROR(INDEX('Hun Demand'!Q:Q,MATCH(O1445,'Hun Demand'!A:A,0)),"")</f>
        <v/>
      </c>
      <c r="AH1445" s="25" t="str">
        <f>IFERROR(INDEX('Hun Demand'!H:H,MATCH($O1445,'Hun Demand'!$A:$A,0)),"")</f>
        <v/>
      </c>
      <c r="AI1445" s="25" t="str">
        <f>IF(SUMIFS('Supp Consol'!AA:AA,'Supp Consol'!Z:Z,"Expires this month",'Supp Consol'!A:A,O1445)=0,"",SUMIFS('Supp Consol'!AA:AA,'Supp Consol'!Z:Z,"Expires this month",'Supp Consol'!A:A,O1445))</f>
        <v/>
      </c>
      <c r="AJ1445" s="25" t="str">
        <f>IF(SUMIFS('Supp Consol'!AA:AA,'Supp Consol'!Z:Z,"Expired Previous Months",'Supp Consol'!A:A,O1445)=0,"",SUMIFS('Supp Consol'!AA:AA,'Supp Consol'!Z:Z,"Expired Previous Months",'Supp Consol'!A:A,O1445))</f>
        <v/>
      </c>
      <c r="AK1445" s="25" t="str">
        <f>IFERROR(INDEX('Hun Release Current'!B:B,MATCH(O1445,'Hun Release Current'!A:A,0)),"")</f>
        <v/>
      </c>
      <c r="AL1445" s="25" t="str">
        <f>IF(SUMIF('Prev Aub'!A:A,O1445,'Prev Aub'!B:B)=0,"",SUMIF('Prev Aub'!A:A,O1445,'Prev Aub'!B:B))</f>
        <v/>
      </c>
      <c r="AN1445" s="25" t="s">
        <v>3790</v>
      </c>
      <c r="AO1445" s="25" t="s">
        <v>3790</v>
      </c>
      <c r="AP1445" s="25">
        <f t="shared" si="622"/>
        <v>0</v>
      </c>
      <c r="AQ1445" s="151" t="str">
        <f>IF(SUMIFS('Supp Consol'!S:S,'Supp Consol'!A:A,O1445,'Supp Consol'!I:I,"PENDING")=0,"",SUMIFS('Supp Consol'!S:S,'Supp Consol'!A:A,O1445,'Supp Consol'!I:I,"PENDING"))</f>
        <v/>
      </c>
      <c r="AR1445" s="27" t="str">
        <f t="shared" si="623"/>
        <v>WM850</v>
      </c>
      <c r="AS1445" s="27" t="str">
        <f t="shared" si="624"/>
        <v>37</v>
      </c>
      <c r="AT1445" s="27" t="str">
        <f t="shared" si="625"/>
        <v/>
      </c>
      <c r="AU1445" s="27" t="str">
        <f t="shared" si="626"/>
        <v/>
      </c>
      <c r="AV1445" s="27" t="str">
        <f t="shared" si="627"/>
        <v/>
      </c>
      <c r="AW1445" s="27" t="str">
        <f t="shared" si="628"/>
        <v/>
      </c>
      <c r="AX1445" s="27" t="str">
        <f t="shared" si="629"/>
        <v/>
      </c>
      <c r="AY1445" s="27" t="str">
        <f t="shared" si="630"/>
        <v/>
      </c>
      <c r="AZ1445" s="27" t="str">
        <f t="shared" si="631"/>
        <v/>
      </c>
      <c r="BA1445" s="27" t="str">
        <f t="shared" si="632"/>
        <v>Hun</v>
      </c>
      <c r="BB1445" s="27" t="str">
        <f t="shared" si="633"/>
        <v/>
      </c>
      <c r="BC1445" s="27" t="str">
        <f t="shared" si="634"/>
        <v/>
      </c>
      <c r="BD1445" s="27" t="str">
        <f t="shared" si="635"/>
        <v/>
      </c>
      <c r="BE1445" s="27" t="str">
        <f t="shared" si="636"/>
        <v/>
      </c>
      <c r="BF1445" s="27" t="str">
        <f t="shared" si="637"/>
        <v/>
      </c>
      <c r="BG1445" s="27" t="str">
        <f t="shared" si="638"/>
        <v/>
      </c>
      <c r="BH1445" s="27" t="str">
        <f t="shared" si="639"/>
        <v/>
      </c>
      <c r="BI1445" s="27" t="str">
        <f t="shared" si="640"/>
        <v/>
      </c>
      <c r="BJ1445" s="27" t="str">
        <f t="shared" si="641"/>
        <v>Supp or Hun</v>
      </c>
      <c r="BK1445" s="27" t="str">
        <f t="shared" si="642"/>
        <v/>
      </c>
      <c r="BL1445" s="27" t="str">
        <f t="shared" si="643"/>
        <v/>
      </c>
      <c r="BM1445" s="21" t="s">
        <v>3790</v>
      </c>
    </row>
    <row r="1446" spans="1:65" ht="15">
      <c r="A1446" s="25">
        <f>IFERROR(INDEX('Hun Demand'!W:W,MATCH(O1446,'Hun Demand'!A:A,0)),"")</f>
        <v>0</v>
      </c>
      <c r="B1446" s="25">
        <f>IFERROR(INDEX('Hun Demand'!V:V,MATCH(O1446,'Hun Demand'!A:A,0)),"")</f>
        <v>0</v>
      </c>
      <c r="C1446" s="25">
        <f>IFERROR(INDEX('Hun Demand'!U:U,MATCH(O1446,'Hun Demand'!A:A,0)),"")</f>
        <v>0</v>
      </c>
      <c r="D1446" s="25">
        <f>IFERROR(INDEX('Hun Demand'!T:T,MATCH(O1446,'Hun Demand'!A:A,0)),"")</f>
        <v>0</v>
      </c>
      <c r="E1446" s="25">
        <f>IFERROR(INDEX('Hun Demand'!S:S,MATCH(O1446,'Hun Demand'!A:A,0)),"")</f>
        <v>0</v>
      </c>
      <c r="F1446" s="25">
        <f>IFERROR(INDEX('Hun Demand'!R:R,MATCH(O1446,'Hun Demand'!A:A,0)),"")</f>
        <v>0</v>
      </c>
      <c r="G1446" s="25">
        <f>IFERROR(INDEX('Aub Demand'!W:W,MATCH(O1446,'Aub Demand'!A:A,0)),"")</f>
        <v>0</v>
      </c>
      <c r="H1446" s="25">
        <f>IFERROR(INDEX('Aub Demand'!V:V,MATCH(O1446,'Aub Demand'!A:A,0)),"")</f>
        <v>103</v>
      </c>
      <c r="I1446" s="25">
        <f>IFERROR(INDEX('Aub Demand'!U:U,MATCH(O1446,'Aub Demand'!A:A,0)),"")</f>
        <v>0</v>
      </c>
      <c r="J1446" s="25">
        <f>IFERROR(INDEX('Aub Demand'!T:T,MATCH(O1446,'Aub Demand'!A:A,0)),"")</f>
        <v>0</v>
      </c>
      <c r="K1446" s="25">
        <f>IFERROR(INDEX('Aub Demand'!S:S,MATCH(O1446,'Aub Demand'!A:A,0)),"")</f>
        <v>197</v>
      </c>
      <c r="L1446" s="25">
        <f>IFERROR(INDEX('Aub Demand'!R:R,MATCH(O1446,'Aub Demand'!A:A,0)),"")</f>
        <v>0</v>
      </c>
      <c r="O1446" s="27" t="s">
        <v>3063</v>
      </c>
      <c r="P1446" s="27" t="str">
        <f>IFERROR(INDEX('Aub Demand'!B:B,MATCH($O1446,'Aub Demand'!$A:$A,0)),"")</f>
        <v>CARMEL SAGAWOOD 50"</v>
      </c>
      <c r="Q1446" s="27" t="str">
        <f>IFERROR(INDEX('Aub Demand'!C:C,MATCH($O1446,'Aub Demand'!$A:$A,0)),"")</f>
        <v>DNP A</v>
      </c>
      <c r="R1446" s="52">
        <f>IFERROR(IF(AR1447=AR1446,INDEX('Aub Demand'!K:K,MATCH($O1446,'Aub Demand'!$A:$A,0))-IF(AN1446="",0,AN1446)+AP1447,INDEX('Aub Demand'!K:K,MATCH($O1446,'Aub Demand'!$A:$A,0))-IF(AN1446="",0,AN1446)),"")</f>
        <v>2842</v>
      </c>
      <c r="S1446" s="53">
        <f t="shared" si="616"/>
        <v>184.5</v>
      </c>
      <c r="T1446" s="52" t="str">
        <f t="shared" si="617"/>
        <v/>
      </c>
      <c r="U1446" s="52">
        <f>IFERROR(IF(AR1447=AR1446,INDEX('Aub Demand'!Q:Q,MATCH($O1446,'Aub Demand'!$A:$A,0))-IF(AN1446="",0,AN1446)+AP1447,INDEX('Aub Demand'!Q:Q,MATCH($O1446,'Aub Demand'!$A:$A,0))-IF(AN1446="",0,AN1446)),"")</f>
        <v>2796</v>
      </c>
      <c r="V1446" s="53">
        <f t="shared" si="618"/>
        <v>181.6</v>
      </c>
      <c r="W1446" s="52" t="str">
        <f t="shared" si="619"/>
        <v/>
      </c>
      <c r="X1446" s="52">
        <f>IFERROR(IF(AND(AR1447=AR1446,AM1446&lt;&gt;""),INDEX('Aub Demand'!Q:Q,MATCH($O1446,'Aub Demand'!$A:$A,0))-IF(AN1446="",0,AN1446)+AP1447+AD1446+AL1446,IF(AR1447=AR1446,INDEX('Aub Demand'!Q:Q,MATCH($O1446,'Aub Demand'!$A:$A,0))-IF(AN1446="",0,AN1446)+AP1447+AD1446,IF(AM1446&lt;&gt;"",INDEX('Aub Demand'!Q:Q,MATCH($O1446,'Aub Demand'!$A:$A,0))-IF(AN1446="",0,AN1446)+AD1446+AL1446,INDEX('Aub Demand'!Q:Q,MATCH($O1446,'Aub Demand'!$A:$A,0))-IF(AN1446="",0,AN1446)+AD1446))),"")</f>
        <v>2796</v>
      </c>
      <c r="Y1446" s="53">
        <f t="shared" si="620"/>
        <v>181.6</v>
      </c>
      <c r="Z1446" s="52">
        <f>IF(L1446="","",INDEX('Aub Demand'!H:H,MATCH($O1446,'Aub Demand'!$A:$A,0)))</f>
        <v>66</v>
      </c>
      <c r="AA1446" s="52" t="str">
        <f t="shared" si="621"/>
        <v>-spike-</v>
      </c>
      <c r="AB1446" s="52">
        <f>IFERROR(INDEX('Aub Demand'!L:L,MATCH($O1446,'Aub Demand'!$A:$A,0)),"")</f>
        <v>183</v>
      </c>
      <c r="AC1446" s="52">
        <f>IFERROR(IF(O1446="","",SUMIFS('CPL Mats'!F:F,'CPL Mats'!Q:Q,AR1446,'CPL Mats'!S:S,AS1446)),"")</f>
        <v>2340</v>
      </c>
      <c r="AF1446" s="25" t="str">
        <f>IF(SUMIFS('Supp Consol'!S:S,'Supp Consol'!Y:Y,"Releasable",'Supp Consol'!A:A,O1446)=0,"",SUMIFS('Supp Consol'!S:S,'Supp Consol'!Y:Y,"Releasable",'Supp Consol'!A:A,O1446))</f>
        <v/>
      </c>
      <c r="AG1446" s="25">
        <f>IFERROR(INDEX('Hun Demand'!Q:Q,MATCH(O1446,'Hun Demand'!A:A,0)),"")</f>
        <v>502</v>
      </c>
      <c r="AH1446" s="25">
        <f>IFERROR(INDEX('Hun Demand'!H:H,MATCH($O1446,'Hun Demand'!$A:$A,0)),"")</f>
        <v>0</v>
      </c>
      <c r="AI1446" s="25" t="str">
        <f>IF(SUMIFS('Supp Consol'!AA:AA,'Supp Consol'!Z:Z,"Expires this month",'Supp Consol'!A:A,O1446)=0,"",SUMIFS('Supp Consol'!AA:AA,'Supp Consol'!Z:Z,"Expires this month",'Supp Consol'!A:A,O1446))</f>
        <v/>
      </c>
      <c r="AJ1446" s="25" t="str">
        <f>IF(SUMIFS('Supp Consol'!AA:AA,'Supp Consol'!Z:Z,"Expired Previous Months",'Supp Consol'!A:A,O1446)=0,"",SUMIFS('Supp Consol'!AA:AA,'Supp Consol'!Z:Z,"Expired Previous Months",'Supp Consol'!A:A,O1446))</f>
        <v/>
      </c>
      <c r="AK1446" s="25" t="str">
        <f>IFERROR(INDEX('Hun Release Current'!B:B,MATCH(O1446,'Hun Release Current'!A:A,0)),"")</f>
        <v/>
      </c>
      <c r="AL1446" s="25" t="str">
        <f>IF(SUMIF('Prev Aub'!A:A,O1446,'Prev Aub'!B:B)=0,"",SUMIF('Prev Aub'!A:A,O1446,'Prev Aub'!B:B))</f>
        <v/>
      </c>
      <c r="AN1446" s="25" t="s">
        <v>3790</v>
      </c>
      <c r="AO1446" s="25" t="s">
        <v>3790</v>
      </c>
      <c r="AP1446" s="25">
        <f t="shared" si="622"/>
        <v>0</v>
      </c>
      <c r="AQ1446" s="151" t="str">
        <f>IF(SUMIFS('Supp Consol'!S:S,'Supp Consol'!A:A,O1446,'Supp Consol'!I:I,"PENDING")=0,"",SUMIFS('Supp Consol'!S:S,'Supp Consol'!A:A,O1446,'Supp Consol'!I:I,"PENDING"))</f>
        <v/>
      </c>
      <c r="AR1446" s="27" t="str">
        <f t="shared" si="623"/>
        <v>WM850</v>
      </c>
      <c r="AS1446" s="27" t="str">
        <f t="shared" si="624"/>
        <v>50</v>
      </c>
      <c r="AT1446" s="27" t="str">
        <f t="shared" si="625"/>
        <v/>
      </c>
      <c r="AU1446" s="27" t="str">
        <f t="shared" si="626"/>
        <v/>
      </c>
      <c r="AV1446" s="27" t="str">
        <f t="shared" si="627"/>
        <v/>
      </c>
      <c r="AW1446" s="27" t="str">
        <f t="shared" si="628"/>
        <v/>
      </c>
      <c r="AX1446" s="27" t="str">
        <f t="shared" si="629"/>
        <v/>
      </c>
      <c r="AY1446" s="27" t="str">
        <f t="shared" si="630"/>
        <v>WM850</v>
      </c>
      <c r="AZ1446" s="27" t="str">
        <f t="shared" si="631"/>
        <v/>
      </c>
      <c r="BA1446" s="27" t="str">
        <f t="shared" si="632"/>
        <v>Hun</v>
      </c>
      <c r="BB1446" s="27" t="str">
        <f t="shared" si="633"/>
        <v/>
      </c>
      <c r="BC1446" s="27" t="str">
        <f t="shared" si="634"/>
        <v/>
      </c>
      <c r="BD1446" s="27" t="str">
        <f t="shared" si="635"/>
        <v/>
      </c>
      <c r="BE1446" s="27" t="str">
        <f t="shared" si="636"/>
        <v/>
      </c>
      <c r="BF1446" s="27" t="str">
        <f t="shared" si="637"/>
        <v/>
      </c>
      <c r="BG1446" s="27" t="str">
        <f t="shared" si="638"/>
        <v/>
      </c>
      <c r="BH1446" s="27" t="str">
        <f t="shared" si="639"/>
        <v/>
      </c>
      <c r="BI1446" s="27" t="str">
        <f t="shared" si="640"/>
        <v/>
      </c>
      <c r="BJ1446" s="27" t="str">
        <f t="shared" si="641"/>
        <v>Supp or Hun</v>
      </c>
      <c r="BK1446" s="27" t="str">
        <f t="shared" si="642"/>
        <v/>
      </c>
      <c r="BL1446" s="27" t="str">
        <f t="shared" si="643"/>
        <v/>
      </c>
      <c r="BM1446" s="21" t="s">
        <v>5581</v>
      </c>
    </row>
    <row r="1447" spans="1:65" ht="15">
      <c r="A1447" s="25" t="str">
        <f>IFERROR(INDEX('Hun Demand'!W:W,MATCH(O1447,'Hun Demand'!A:A,0)),"")</f>
        <v/>
      </c>
      <c r="B1447" s="25" t="str">
        <f>IFERROR(INDEX('Hun Demand'!V:V,MATCH(O1447,'Hun Demand'!A:A,0)),"")</f>
        <v/>
      </c>
      <c r="C1447" s="25" t="str">
        <f>IFERROR(INDEX('Hun Demand'!U:U,MATCH(O1447,'Hun Demand'!A:A,0)),"")</f>
        <v/>
      </c>
      <c r="D1447" s="25" t="str">
        <f>IFERROR(INDEX('Hun Demand'!T:T,MATCH(O1447,'Hun Demand'!A:A,0)),"")</f>
        <v/>
      </c>
      <c r="E1447" s="25" t="str">
        <f>IFERROR(INDEX('Hun Demand'!S:S,MATCH(O1447,'Hun Demand'!A:A,0)),"")</f>
        <v/>
      </c>
      <c r="F1447" s="25" t="str">
        <f>IFERROR(INDEX('Hun Demand'!R:R,MATCH(O1447,'Hun Demand'!A:A,0)),"")</f>
        <v/>
      </c>
      <c r="G1447" s="25">
        <f>IFERROR(INDEX('Aub Demand'!W:W,MATCH(O1447,'Aub Demand'!A:A,0)),"")</f>
        <v>7</v>
      </c>
      <c r="H1447" s="25">
        <f>IFERROR(INDEX('Aub Demand'!V:V,MATCH(O1447,'Aub Demand'!A:A,0)),"")</f>
        <v>0</v>
      </c>
      <c r="I1447" s="25">
        <f>IFERROR(INDEX('Aub Demand'!U:U,MATCH(O1447,'Aub Demand'!A:A,0)),"")</f>
        <v>15</v>
      </c>
      <c r="J1447" s="25">
        <f>IFERROR(INDEX('Aub Demand'!T:T,MATCH(O1447,'Aub Demand'!A:A,0)),"")</f>
        <v>0</v>
      </c>
      <c r="K1447" s="25">
        <f>IFERROR(INDEX('Aub Demand'!S:S,MATCH(O1447,'Aub Demand'!A:A,0)),"")</f>
        <v>14</v>
      </c>
      <c r="L1447" s="25">
        <f>IFERROR(INDEX('Aub Demand'!R:R,MATCH(O1447,'Aub Demand'!A:A,0)),"")</f>
        <v>0</v>
      </c>
      <c r="O1447" s="27" t="s">
        <v>3066</v>
      </c>
      <c r="P1447" s="27" t="str">
        <f>IFERROR(INDEX('Aub Demand'!B:B,MATCH($O1447,'Aub Demand'!$A:$A,0)),"")</f>
        <v>CARMEL SAGAWOOD 62"</v>
      </c>
      <c r="Q1447" s="27" t="str">
        <f>IFERROR(INDEX('Aub Demand'!C:C,MATCH($O1447,'Aub Demand'!$A:$A,0)),"")</f>
        <v>DNP A</v>
      </c>
      <c r="R1447" s="52">
        <f>IFERROR(IF(AR1448=AR1447,INDEX('Aub Demand'!K:K,MATCH($O1447,'Aub Demand'!$A:$A,0))-IF(AN1447="",0,AN1447)+AP1448,INDEX('Aub Demand'!K:K,MATCH($O1447,'Aub Demand'!$A:$A,0))-IF(AN1447="",0,AN1447)),"")</f>
        <v>1452</v>
      </c>
      <c r="S1447" s="53">
        <f t="shared" si="616"/>
        <v>622.29999999999995</v>
      </c>
      <c r="T1447" s="52" t="str">
        <f t="shared" si="617"/>
        <v/>
      </c>
      <c r="U1447" s="52">
        <f>IFERROR(IF(AR1448=AR1447,INDEX('Aub Demand'!Q:Q,MATCH($O1447,'Aub Demand'!$A:$A,0))-IF(AN1447="",0,AN1447)+AP1448,INDEX('Aub Demand'!Q:Q,MATCH($O1447,'Aub Demand'!$A:$A,0))-IF(AN1447="",0,AN1447)),"")</f>
        <v>1452</v>
      </c>
      <c r="V1447" s="53">
        <f t="shared" si="618"/>
        <v>622.29999999999995</v>
      </c>
      <c r="W1447" s="52" t="str">
        <f t="shared" si="619"/>
        <v/>
      </c>
      <c r="X1447" s="52">
        <f>IFERROR(IF(AND(AR1448=AR1447,AM1447&lt;&gt;""),INDEX('Aub Demand'!Q:Q,MATCH($O1447,'Aub Demand'!$A:$A,0))-IF(AN1447="",0,AN1447)+AP1448+AD1447+AL1447,IF(AR1448=AR1447,INDEX('Aub Demand'!Q:Q,MATCH($O1447,'Aub Demand'!$A:$A,0))-IF(AN1447="",0,AN1447)+AP1448+AD1447,IF(AM1447&lt;&gt;"",INDEX('Aub Demand'!Q:Q,MATCH($O1447,'Aub Demand'!$A:$A,0))-IF(AN1447="",0,AN1447)+AD1447+AL1447,INDEX('Aub Demand'!Q:Q,MATCH($O1447,'Aub Demand'!$A:$A,0))-IF(AN1447="",0,AN1447)+AD1447))),"")</f>
        <v>1452</v>
      </c>
      <c r="Y1447" s="53">
        <f t="shared" si="620"/>
        <v>622.29999999999995</v>
      </c>
      <c r="Z1447" s="52">
        <f>IF(L1447="","",INDEX('Aub Demand'!H:H,MATCH($O1447,'Aub Demand'!$A:$A,0)))</f>
        <v>10</v>
      </c>
      <c r="AA1447" s="52">
        <f t="shared" si="621"/>
        <v>14.5</v>
      </c>
      <c r="AB1447" s="52">
        <f>IFERROR(INDEX('Aub Demand'!L:L,MATCH($O1447,'Aub Demand'!$A:$A,0)),"")</f>
        <v>11</v>
      </c>
      <c r="AC1447" s="52">
        <f>IFERROR(IF(O1447="","",SUMIFS('CPL Mats'!F:F,'CPL Mats'!Q:Q,AR1447,'CPL Mats'!S:S,AS1447)),"")</f>
        <v>0</v>
      </c>
      <c r="AF1447" s="25" t="str">
        <f>IF(SUMIFS('Supp Consol'!S:S,'Supp Consol'!Y:Y,"Releasable",'Supp Consol'!A:A,O1447)=0,"",SUMIFS('Supp Consol'!S:S,'Supp Consol'!Y:Y,"Releasable",'Supp Consol'!A:A,O1447))</f>
        <v/>
      </c>
      <c r="AG1447" s="25" t="str">
        <f>IFERROR(INDEX('Hun Demand'!Q:Q,MATCH(O1447,'Hun Demand'!A:A,0)),"")</f>
        <v/>
      </c>
      <c r="AH1447" s="25" t="str">
        <f>IFERROR(INDEX('Hun Demand'!H:H,MATCH($O1447,'Hun Demand'!$A:$A,0)),"")</f>
        <v/>
      </c>
      <c r="AI1447" s="25" t="str">
        <f>IF(SUMIFS('Supp Consol'!AA:AA,'Supp Consol'!Z:Z,"Expires this month",'Supp Consol'!A:A,O1447)=0,"",SUMIFS('Supp Consol'!AA:AA,'Supp Consol'!Z:Z,"Expires this month",'Supp Consol'!A:A,O1447))</f>
        <v/>
      </c>
      <c r="AJ1447" s="25" t="str">
        <f>IF(SUMIFS('Supp Consol'!AA:AA,'Supp Consol'!Z:Z,"Expired Previous Months",'Supp Consol'!A:A,O1447)=0,"",SUMIFS('Supp Consol'!AA:AA,'Supp Consol'!Z:Z,"Expired Previous Months",'Supp Consol'!A:A,O1447))</f>
        <v/>
      </c>
      <c r="AK1447" s="25" t="str">
        <f>IFERROR(INDEX('Hun Release Current'!B:B,MATCH(O1447,'Hun Release Current'!A:A,0)),"")</f>
        <v/>
      </c>
      <c r="AL1447" s="25" t="str">
        <f>IF(SUMIF('Prev Aub'!A:A,O1447,'Prev Aub'!B:B)=0,"",SUMIF('Prev Aub'!A:A,O1447,'Prev Aub'!B:B))</f>
        <v/>
      </c>
      <c r="AN1447" s="25" t="s">
        <v>3790</v>
      </c>
      <c r="AO1447" s="25" t="s">
        <v>3790</v>
      </c>
      <c r="AP1447" s="25">
        <f t="shared" si="622"/>
        <v>0</v>
      </c>
      <c r="AQ1447" s="151" t="str">
        <f>IF(SUMIFS('Supp Consol'!S:S,'Supp Consol'!A:A,O1447,'Supp Consol'!I:I,"PENDING")=0,"",SUMIFS('Supp Consol'!S:S,'Supp Consol'!A:A,O1447,'Supp Consol'!I:I,"PENDING"))</f>
        <v/>
      </c>
      <c r="AR1447" s="27" t="str">
        <f t="shared" si="623"/>
        <v>WM850</v>
      </c>
      <c r="AS1447" s="27" t="str">
        <f t="shared" si="624"/>
        <v>62</v>
      </c>
      <c r="AT1447" s="27" t="str">
        <f t="shared" si="625"/>
        <v/>
      </c>
      <c r="AU1447" s="27" t="str">
        <f t="shared" si="626"/>
        <v/>
      </c>
      <c r="AV1447" s="27" t="str">
        <f t="shared" si="627"/>
        <v/>
      </c>
      <c r="AW1447" s="27" t="str">
        <f t="shared" si="628"/>
        <v/>
      </c>
      <c r="AX1447" s="27" t="str">
        <f t="shared" si="629"/>
        <v/>
      </c>
      <c r="AY1447" s="27" t="str">
        <f t="shared" si="630"/>
        <v/>
      </c>
      <c r="AZ1447" s="27" t="str">
        <f t="shared" si="631"/>
        <v/>
      </c>
      <c r="BA1447" s="27" t="str">
        <f t="shared" si="632"/>
        <v>Hun</v>
      </c>
      <c r="BB1447" s="27" t="str">
        <f t="shared" si="633"/>
        <v/>
      </c>
      <c r="BC1447" s="27" t="str">
        <f t="shared" si="634"/>
        <v/>
      </c>
      <c r="BD1447" s="27" t="str">
        <f t="shared" si="635"/>
        <v/>
      </c>
      <c r="BE1447" s="27" t="str">
        <f t="shared" si="636"/>
        <v/>
      </c>
      <c r="BF1447" s="27" t="str">
        <f t="shared" si="637"/>
        <v/>
      </c>
      <c r="BG1447" s="27" t="str">
        <f t="shared" si="638"/>
        <v/>
      </c>
      <c r="BH1447" s="27" t="str">
        <f t="shared" si="639"/>
        <v/>
      </c>
      <c r="BI1447" s="27" t="str">
        <f t="shared" si="640"/>
        <v/>
      </c>
      <c r="BJ1447" s="27" t="str">
        <f t="shared" si="641"/>
        <v>Supp or Hun</v>
      </c>
      <c r="BK1447" s="27" t="str">
        <f t="shared" si="642"/>
        <v/>
      </c>
      <c r="BL1447" s="27" t="str">
        <f t="shared" si="643"/>
        <v/>
      </c>
      <c r="BM1447" s="21" t="s">
        <v>5581</v>
      </c>
    </row>
    <row r="1448" spans="1:65" ht="15">
      <c r="A1448" s="25">
        <f>IFERROR(INDEX('Hun Demand'!W:W,MATCH(O1448,'Hun Demand'!A:A,0)),"")</f>
        <v>0</v>
      </c>
      <c r="B1448" s="25">
        <f>IFERROR(INDEX('Hun Demand'!V:V,MATCH(O1448,'Hun Demand'!A:A,0)),"")</f>
        <v>0</v>
      </c>
      <c r="C1448" s="25">
        <f>IFERROR(INDEX('Hun Demand'!U:U,MATCH(O1448,'Hun Demand'!A:A,0)),"")</f>
        <v>0</v>
      </c>
      <c r="D1448" s="25">
        <f>IFERROR(INDEX('Hun Demand'!T:T,MATCH(O1448,'Hun Demand'!A:A,0)),"")</f>
        <v>0</v>
      </c>
      <c r="E1448" s="25">
        <f>IFERROR(INDEX('Hun Demand'!S:S,MATCH(O1448,'Hun Demand'!A:A,0)),"")</f>
        <v>0</v>
      </c>
      <c r="F1448" s="25">
        <f>IFERROR(INDEX('Hun Demand'!R:R,MATCH(O1448,'Hun Demand'!A:A,0)),"")</f>
        <v>0</v>
      </c>
      <c r="G1448" s="25">
        <f>IFERROR(INDEX('Aub Demand'!W:W,MATCH(O1448,'Aub Demand'!A:A,0)),"")</f>
        <v>0</v>
      </c>
      <c r="H1448" s="25">
        <f>IFERROR(INDEX('Aub Demand'!V:V,MATCH(O1448,'Aub Demand'!A:A,0)),"")</f>
        <v>0</v>
      </c>
      <c r="I1448" s="25">
        <f>IFERROR(INDEX('Aub Demand'!U:U,MATCH(O1448,'Aub Demand'!A:A,0)),"")</f>
        <v>0</v>
      </c>
      <c r="J1448" s="25">
        <f>IFERROR(INDEX('Aub Demand'!T:T,MATCH(O1448,'Aub Demand'!A:A,0)),"")</f>
        <v>0</v>
      </c>
      <c r="K1448" s="25">
        <f>IFERROR(INDEX('Aub Demand'!S:S,MATCH(O1448,'Aub Demand'!A:A,0)),"")</f>
        <v>0</v>
      </c>
      <c r="L1448" s="25">
        <f>IFERROR(INDEX('Aub Demand'!R:R,MATCH(O1448,'Aub Demand'!A:A,0)),"")</f>
        <v>750</v>
      </c>
      <c r="O1448" s="27" t="s">
        <v>1754</v>
      </c>
      <c r="P1448" s="27" t="str">
        <f>IFERROR(INDEX('Aub Demand'!B:B,MATCH($O1448,'Aub Demand'!$A:$A,0)),"")</f>
        <v>NATURAL MAPLE</v>
      </c>
      <c r="Q1448" s="27" t="str">
        <f>IFERROR(INDEX('Aub Demand'!C:C,MATCH($O1448,'Aub Demand'!$A:$A,0)),"")</f>
        <v>TOPPA</v>
      </c>
      <c r="R1448" s="52">
        <f>IFERROR(IF(AR1449=AR1448,INDEX('Aub Demand'!K:K,MATCH($O1448,'Aub Demand'!$A:$A,0))-IF(AN1448="",0,AN1448)+AP1449,INDEX('Aub Demand'!K:K,MATCH($O1448,'Aub Demand'!$A:$A,0))-IF(AN1448="",0,AN1448)),"")</f>
        <v>743</v>
      </c>
      <c r="S1448" s="53" t="str">
        <f t="shared" si="616"/>
        <v>n/a</v>
      </c>
      <c r="T1448" s="52" t="str">
        <f t="shared" si="617"/>
        <v/>
      </c>
      <c r="U1448" s="52">
        <f>IFERROR(IF(AR1449=AR1448,INDEX('Aub Demand'!Q:Q,MATCH($O1448,'Aub Demand'!$A:$A,0))-IF(AN1448="",0,AN1448)+AP1449,INDEX('Aub Demand'!Q:Q,MATCH($O1448,'Aub Demand'!$A:$A,0))-IF(AN1448="",0,AN1448)),"")</f>
        <v>731</v>
      </c>
      <c r="V1448" s="53" t="str">
        <f t="shared" si="618"/>
        <v>n/a</v>
      </c>
      <c r="W1448" s="52" t="str">
        <f t="shared" si="619"/>
        <v/>
      </c>
      <c r="X1448" s="52">
        <f>IFERROR(IF(AND(AR1449=AR1448,AM1448&lt;&gt;""),INDEX('Aub Demand'!Q:Q,MATCH($O1448,'Aub Demand'!$A:$A,0))-IF(AN1448="",0,AN1448)+AP1449+AD1448+AL1448,IF(AR1449=AR1448,INDEX('Aub Demand'!Q:Q,MATCH($O1448,'Aub Demand'!$A:$A,0))-IF(AN1448="",0,AN1448)+AP1449+AD1448,IF(AM1448&lt;&gt;"",INDEX('Aub Demand'!Q:Q,MATCH($O1448,'Aub Demand'!$A:$A,0))-IF(AN1448="",0,AN1448)+AD1448+AL1448,INDEX('Aub Demand'!Q:Q,MATCH($O1448,'Aub Demand'!$A:$A,0))-IF(AN1448="",0,AN1448)+AD1448))),"")</f>
        <v>731</v>
      </c>
      <c r="Y1448" s="53" t="str">
        <f t="shared" si="620"/>
        <v>n/a</v>
      </c>
      <c r="Z1448" s="52">
        <f>IF(L1448="","",INDEX('Aub Demand'!H:H,MATCH($O1448,'Aub Demand'!$A:$A,0)))</f>
        <v>0</v>
      </c>
      <c r="AA1448" s="52" t="str">
        <f t="shared" si="621"/>
        <v>-spike-</v>
      </c>
      <c r="AB1448" s="52">
        <f>IFERROR(INDEX('Aub Demand'!L:L,MATCH($O1448,'Aub Demand'!$A:$A,0)),"")</f>
        <v>14</v>
      </c>
      <c r="AC1448" s="52">
        <f>IFERROR(IF(O1448="","",SUMIFS('CPL Mats'!F:F,'CPL Mats'!Q:Q,AR1448,'CPL Mats'!S:S,AS1448)),"")</f>
        <v>0</v>
      </c>
      <c r="AF1448" s="25" t="str">
        <f>IF(SUMIFS('Supp Consol'!S:S,'Supp Consol'!Y:Y,"Releasable",'Supp Consol'!A:A,O1448)=0,"",SUMIFS('Supp Consol'!S:S,'Supp Consol'!Y:Y,"Releasable",'Supp Consol'!A:A,O1448))</f>
        <v/>
      </c>
      <c r="AG1448" s="25">
        <f>IFERROR(INDEX('Hun Demand'!Q:Q,MATCH(O1448,'Hun Demand'!A:A,0)),"")</f>
        <v>-146</v>
      </c>
      <c r="AH1448" s="25">
        <f>IFERROR(INDEX('Hun Demand'!H:H,MATCH($O1448,'Hun Demand'!$A:$A,0)),"")</f>
        <v>0</v>
      </c>
      <c r="AI1448" s="25" t="str">
        <f>IF(SUMIFS('Supp Consol'!AA:AA,'Supp Consol'!Z:Z,"Expires this month",'Supp Consol'!A:A,O1448)=0,"",SUMIFS('Supp Consol'!AA:AA,'Supp Consol'!Z:Z,"Expires this month",'Supp Consol'!A:A,O1448))</f>
        <v/>
      </c>
      <c r="AJ1448" s="25" t="str">
        <f>IF(SUMIFS('Supp Consol'!AA:AA,'Supp Consol'!Z:Z,"Expired Previous Months",'Supp Consol'!A:A,O1448)=0,"",SUMIFS('Supp Consol'!AA:AA,'Supp Consol'!Z:Z,"Expired Previous Months",'Supp Consol'!A:A,O1448))</f>
        <v/>
      </c>
      <c r="AK1448" s="25" t="str">
        <f>IFERROR(INDEX('Hun Release Current'!B:B,MATCH(O1448,'Hun Release Current'!A:A,0)),"")</f>
        <v/>
      </c>
      <c r="AL1448" s="25" t="str">
        <f>IF(SUMIF('Prev Aub'!A:A,O1448,'Prev Aub'!B:B)=0,"",SUMIF('Prev Aub'!A:A,O1448,'Prev Aub'!B:B))</f>
        <v/>
      </c>
      <c r="AN1448" s="25" t="s">
        <v>3790</v>
      </c>
      <c r="AO1448" s="25" t="s">
        <v>3790</v>
      </c>
      <c r="AP1448" s="25">
        <f t="shared" si="622"/>
        <v>0</v>
      </c>
      <c r="AQ1448" s="151" t="str">
        <f>IF(SUMIFS('Supp Consol'!S:S,'Supp Consol'!A:A,O1448,'Supp Consol'!I:I,"PENDING")=0,"",SUMIFS('Supp Consol'!S:S,'Supp Consol'!A:A,O1448,'Supp Consol'!I:I,"PENDING"))</f>
        <v/>
      </c>
      <c r="AR1448" s="27" t="str">
        <f t="shared" si="623"/>
        <v>WM851</v>
      </c>
      <c r="AS1448" s="27" t="str">
        <f t="shared" si="624"/>
        <v>50</v>
      </c>
      <c r="AT1448" s="27" t="str">
        <f t="shared" si="625"/>
        <v/>
      </c>
      <c r="AU1448" s="27" t="str">
        <f t="shared" si="626"/>
        <v/>
      </c>
      <c r="AV1448" s="27" t="str">
        <f t="shared" si="627"/>
        <v/>
      </c>
      <c r="AW1448" s="27" t="str">
        <f t="shared" si="628"/>
        <v/>
      </c>
      <c r="AX1448" s="27" t="str">
        <f t="shared" si="629"/>
        <v/>
      </c>
      <c r="AY1448" s="27" t="str">
        <f t="shared" si="630"/>
        <v/>
      </c>
      <c r="AZ1448" s="27" t="str">
        <f t="shared" si="631"/>
        <v/>
      </c>
      <c r="BA1448" s="27" t="str">
        <f t="shared" si="632"/>
        <v>Hun</v>
      </c>
      <c r="BB1448" s="27" t="str">
        <f t="shared" si="633"/>
        <v/>
      </c>
      <c r="BC1448" s="27" t="str">
        <f t="shared" si="634"/>
        <v/>
      </c>
      <c r="BD1448" s="27" t="str">
        <f t="shared" si="635"/>
        <v/>
      </c>
      <c r="BE1448" s="27" t="str">
        <f t="shared" si="636"/>
        <v/>
      </c>
      <c r="BF1448" s="27" t="str">
        <f t="shared" si="637"/>
        <v/>
      </c>
      <c r="BG1448" s="27" t="str">
        <f t="shared" si="638"/>
        <v/>
      </c>
      <c r="BH1448" s="27" t="str">
        <f t="shared" si="639"/>
        <v/>
      </c>
      <c r="BI1448" s="27" t="str">
        <f t="shared" si="640"/>
        <v/>
      </c>
      <c r="BJ1448" s="27" t="str">
        <f t="shared" si="641"/>
        <v>Supp or Hun</v>
      </c>
      <c r="BK1448" s="27" t="str">
        <f t="shared" si="642"/>
        <v/>
      </c>
      <c r="BL1448" s="27" t="str">
        <f t="shared" si="643"/>
        <v/>
      </c>
      <c r="BM1448" s="21" t="s">
        <v>5581</v>
      </c>
    </row>
    <row r="1449" spans="1:65" ht="15">
      <c r="A1449" s="25">
        <f>IFERROR(INDEX('Hun Demand'!W:W,MATCH(O1449,'Hun Demand'!A:A,0)),"")</f>
        <v>0</v>
      </c>
      <c r="B1449" s="25">
        <f>IFERROR(INDEX('Hun Demand'!V:V,MATCH(O1449,'Hun Demand'!A:A,0)),"")</f>
        <v>0</v>
      </c>
      <c r="C1449" s="25">
        <f>IFERROR(INDEX('Hun Demand'!U:U,MATCH(O1449,'Hun Demand'!A:A,0)),"")</f>
        <v>0</v>
      </c>
      <c r="D1449" s="25">
        <f>IFERROR(INDEX('Hun Demand'!T:T,MATCH(O1449,'Hun Demand'!A:A,0)),"")</f>
        <v>0</v>
      </c>
      <c r="E1449" s="25">
        <f>IFERROR(INDEX('Hun Demand'!S:S,MATCH(O1449,'Hun Demand'!A:A,0)),"")</f>
        <v>0</v>
      </c>
      <c r="F1449" s="25">
        <f>IFERROR(INDEX('Hun Demand'!R:R,MATCH(O1449,'Hun Demand'!A:A,0)),"")</f>
        <v>0</v>
      </c>
      <c r="G1449" s="25">
        <f>IFERROR(INDEX('Aub Demand'!W:W,MATCH(O1449,'Aub Demand'!A:A,0)),"")</f>
        <v>0</v>
      </c>
      <c r="H1449" s="25">
        <f>IFERROR(INDEX('Aub Demand'!V:V,MATCH(O1449,'Aub Demand'!A:A,0)),"")</f>
        <v>0</v>
      </c>
      <c r="I1449" s="25">
        <f>IFERROR(INDEX('Aub Demand'!U:U,MATCH(O1449,'Aub Demand'!A:A,0)),"")</f>
        <v>0</v>
      </c>
      <c r="J1449" s="25">
        <f>IFERROR(INDEX('Aub Demand'!T:T,MATCH(O1449,'Aub Demand'!A:A,0)),"")</f>
        <v>0</v>
      </c>
      <c r="K1449" s="25">
        <f>IFERROR(INDEX('Aub Demand'!S:S,MATCH(O1449,'Aub Demand'!A:A,0)),"")</f>
        <v>0</v>
      </c>
      <c r="L1449" s="25">
        <f>IFERROR(INDEX('Aub Demand'!R:R,MATCH(O1449,'Aub Demand'!A:A,0)),"")</f>
        <v>0</v>
      </c>
      <c r="O1449" s="27" t="s">
        <v>1757</v>
      </c>
      <c r="P1449" s="27" t="str">
        <f>IFERROR(INDEX('Aub Demand'!B:B,MATCH($O1449,'Aub Demand'!$A:$A,0)),"")</f>
        <v>NATURAL MAPLE</v>
      </c>
      <c r="Q1449" s="27" t="str">
        <f>IFERROR(INDEX('Aub Demand'!C:C,MATCH($O1449,'Aub Demand'!$A:$A,0)),"")</f>
        <v>TOPPA</v>
      </c>
      <c r="R1449" s="52">
        <f>IFERROR(IF(AR1450=AR1449,INDEX('Aub Demand'!K:K,MATCH($O1449,'Aub Demand'!$A:$A,0))-IF(AN1449="",0,AN1449)+AP1450,INDEX('Aub Demand'!K:K,MATCH($O1449,'Aub Demand'!$A:$A,0))-IF(AN1449="",0,AN1449)),"")</f>
        <v>880</v>
      </c>
      <c r="S1449" s="53" t="str">
        <f t="shared" si="616"/>
        <v>n/a</v>
      </c>
      <c r="T1449" s="52" t="str">
        <f t="shared" si="617"/>
        <v/>
      </c>
      <c r="U1449" s="52">
        <f>IFERROR(IF(AR1450=AR1449,INDEX('Aub Demand'!Q:Q,MATCH($O1449,'Aub Demand'!$A:$A,0))-IF(AN1449="",0,AN1449)+AP1450,INDEX('Aub Demand'!Q:Q,MATCH($O1449,'Aub Demand'!$A:$A,0))-IF(AN1449="",0,AN1449)),"")</f>
        <v>880</v>
      </c>
      <c r="V1449" s="53" t="str">
        <f t="shared" si="618"/>
        <v>n/a</v>
      </c>
      <c r="W1449" s="52" t="str">
        <f t="shared" si="619"/>
        <v/>
      </c>
      <c r="X1449" s="52">
        <f>IFERROR(IF(AND(AR1450=AR1449,AM1449&lt;&gt;""),INDEX('Aub Demand'!Q:Q,MATCH($O1449,'Aub Demand'!$A:$A,0))-IF(AN1449="",0,AN1449)+AP1450+AD1449+AL1449,IF(AR1450=AR1449,INDEX('Aub Demand'!Q:Q,MATCH($O1449,'Aub Demand'!$A:$A,0))-IF(AN1449="",0,AN1449)+AP1450+AD1449,IF(AM1449&lt;&gt;"",INDEX('Aub Demand'!Q:Q,MATCH($O1449,'Aub Demand'!$A:$A,0))-IF(AN1449="",0,AN1449)+AD1449+AL1449,INDEX('Aub Demand'!Q:Q,MATCH($O1449,'Aub Demand'!$A:$A,0))-IF(AN1449="",0,AN1449)+AD1449))),"")</f>
        <v>880</v>
      </c>
      <c r="Y1449" s="53" t="str">
        <f t="shared" si="620"/>
        <v>n/a</v>
      </c>
      <c r="Z1449" s="52">
        <f>IF(L1449="","",INDEX('Aub Demand'!H:H,MATCH($O1449,'Aub Demand'!$A:$A,0)))</f>
        <v>0</v>
      </c>
      <c r="AA1449" s="52" t="str">
        <f t="shared" si="621"/>
        <v>-spike-</v>
      </c>
      <c r="AB1449" s="52">
        <f>IFERROR(INDEX('Aub Demand'!L:L,MATCH($O1449,'Aub Demand'!$A:$A,0)),"")</f>
        <v>0</v>
      </c>
      <c r="AC1449" s="52">
        <f>IFERROR(IF(O1449="","",SUMIFS('CPL Mats'!F:F,'CPL Mats'!Q:Q,AR1449,'CPL Mats'!S:S,AS1449)),"")</f>
        <v>0</v>
      </c>
      <c r="AF1449" s="25" t="str">
        <f>IF(SUMIFS('Supp Consol'!S:S,'Supp Consol'!Y:Y,"Releasable",'Supp Consol'!A:A,O1449)=0,"",SUMIFS('Supp Consol'!S:S,'Supp Consol'!Y:Y,"Releasable",'Supp Consol'!A:A,O1449))</f>
        <v/>
      </c>
      <c r="AG1449" s="25">
        <f>IFERROR(INDEX('Hun Demand'!Q:Q,MATCH(O1449,'Hun Demand'!A:A,0)),"")</f>
        <v>168</v>
      </c>
      <c r="AH1449" s="25">
        <f>IFERROR(INDEX('Hun Demand'!H:H,MATCH($O1449,'Hun Demand'!$A:$A,0)),"")</f>
        <v>0</v>
      </c>
      <c r="AI1449" s="25" t="str">
        <f>IF(SUMIFS('Supp Consol'!AA:AA,'Supp Consol'!Z:Z,"Expires this month",'Supp Consol'!A:A,O1449)=0,"",SUMIFS('Supp Consol'!AA:AA,'Supp Consol'!Z:Z,"Expires this month",'Supp Consol'!A:A,O1449))</f>
        <v/>
      </c>
      <c r="AJ1449" s="25" t="str">
        <f>IF(SUMIFS('Supp Consol'!AA:AA,'Supp Consol'!Z:Z,"Expired Previous Months",'Supp Consol'!A:A,O1449)=0,"",SUMIFS('Supp Consol'!AA:AA,'Supp Consol'!Z:Z,"Expired Previous Months",'Supp Consol'!A:A,O1449))</f>
        <v/>
      </c>
      <c r="AK1449" s="25" t="str">
        <f>IFERROR(INDEX('Hun Release Current'!B:B,MATCH(O1449,'Hun Release Current'!A:A,0)),"")</f>
        <v/>
      </c>
      <c r="AL1449" s="25" t="str">
        <f>IF(SUMIF('Prev Aub'!A:A,O1449,'Prev Aub'!B:B)=0,"",SUMIF('Prev Aub'!A:A,O1449,'Prev Aub'!B:B))</f>
        <v/>
      </c>
      <c r="AN1449" s="25" t="s">
        <v>3790</v>
      </c>
      <c r="AO1449" s="25" t="s">
        <v>3790</v>
      </c>
      <c r="AP1449" s="25">
        <f t="shared" si="622"/>
        <v>0</v>
      </c>
      <c r="AQ1449" s="151" t="str">
        <f>IF(SUMIFS('Supp Consol'!S:S,'Supp Consol'!A:A,O1449,'Supp Consol'!I:I,"PENDING")=0,"",SUMIFS('Supp Consol'!S:S,'Supp Consol'!A:A,O1449,'Supp Consol'!I:I,"PENDING"))</f>
        <v/>
      </c>
      <c r="AR1449" s="27" t="str">
        <f t="shared" si="623"/>
        <v>WM851</v>
      </c>
      <c r="AS1449" s="27" t="str">
        <f t="shared" si="624"/>
        <v>62</v>
      </c>
      <c r="AT1449" s="27" t="str">
        <f t="shared" si="625"/>
        <v/>
      </c>
      <c r="AU1449" s="27" t="str">
        <f t="shared" si="626"/>
        <v/>
      </c>
      <c r="AV1449" s="27" t="str">
        <f t="shared" si="627"/>
        <v/>
      </c>
      <c r="AW1449" s="27" t="str">
        <f t="shared" si="628"/>
        <v/>
      </c>
      <c r="AX1449" s="27" t="str">
        <f t="shared" si="629"/>
        <v/>
      </c>
      <c r="AY1449" s="27" t="str">
        <f t="shared" si="630"/>
        <v>WM851</v>
      </c>
      <c r="AZ1449" s="27" t="str">
        <f t="shared" si="631"/>
        <v/>
      </c>
      <c r="BA1449" s="27" t="str">
        <f t="shared" si="632"/>
        <v>Hun</v>
      </c>
      <c r="BB1449" s="27" t="str">
        <f t="shared" si="633"/>
        <v/>
      </c>
      <c r="BC1449" s="27" t="str">
        <f t="shared" si="634"/>
        <v/>
      </c>
      <c r="BD1449" s="27" t="str">
        <f t="shared" si="635"/>
        <v/>
      </c>
      <c r="BE1449" s="27" t="str">
        <f t="shared" si="636"/>
        <v/>
      </c>
      <c r="BF1449" s="27" t="str">
        <f t="shared" si="637"/>
        <v/>
      </c>
      <c r="BG1449" s="27" t="str">
        <f t="shared" si="638"/>
        <v/>
      </c>
      <c r="BH1449" s="27" t="str">
        <f t="shared" si="639"/>
        <v/>
      </c>
      <c r="BI1449" s="27" t="str">
        <f t="shared" si="640"/>
        <v/>
      </c>
      <c r="BJ1449" s="27" t="str">
        <f t="shared" si="641"/>
        <v>Supp or Hun</v>
      </c>
      <c r="BK1449" s="27" t="str">
        <f t="shared" si="642"/>
        <v/>
      </c>
      <c r="BL1449" s="27" t="str">
        <f t="shared" si="643"/>
        <v/>
      </c>
      <c r="BM1449" s="21" t="s">
        <v>5581</v>
      </c>
    </row>
    <row r="1450" spans="1:65" ht="15">
      <c r="A1450" s="25" t="str">
        <f>IFERROR(INDEX('Hun Demand'!W:W,MATCH(O1450,'Hun Demand'!A:A,0)),"")</f>
        <v/>
      </c>
      <c r="B1450" s="25" t="str">
        <f>IFERROR(INDEX('Hun Demand'!V:V,MATCH(O1450,'Hun Demand'!A:A,0)),"")</f>
        <v/>
      </c>
      <c r="C1450" s="25" t="str">
        <f>IFERROR(INDEX('Hun Demand'!U:U,MATCH(O1450,'Hun Demand'!A:A,0)),"")</f>
        <v/>
      </c>
      <c r="D1450" s="25" t="str">
        <f>IFERROR(INDEX('Hun Demand'!T:T,MATCH(O1450,'Hun Demand'!A:A,0)),"")</f>
        <v/>
      </c>
      <c r="E1450" s="25" t="str">
        <f>IFERROR(INDEX('Hun Demand'!S:S,MATCH(O1450,'Hun Demand'!A:A,0)),"")</f>
        <v/>
      </c>
      <c r="F1450" s="25" t="str">
        <f>IFERROR(INDEX('Hun Demand'!R:R,MATCH(O1450,'Hun Demand'!A:A,0)),"")</f>
        <v/>
      </c>
      <c r="G1450" s="25">
        <f>IFERROR(INDEX('Aub Demand'!W:W,MATCH(O1450,'Aub Demand'!A:A,0)),"")</f>
        <v>42</v>
      </c>
      <c r="H1450" s="25">
        <f>IFERROR(INDEX('Aub Demand'!V:V,MATCH(O1450,'Aub Demand'!A:A,0)),"")</f>
        <v>0</v>
      </c>
      <c r="I1450" s="25">
        <f>IFERROR(INDEX('Aub Demand'!U:U,MATCH(O1450,'Aub Demand'!A:A,0)),"")</f>
        <v>0</v>
      </c>
      <c r="J1450" s="25">
        <f>IFERROR(INDEX('Aub Demand'!T:T,MATCH(O1450,'Aub Demand'!A:A,0)),"")</f>
        <v>0</v>
      </c>
      <c r="K1450" s="25">
        <f>IFERROR(INDEX('Aub Demand'!S:S,MATCH(O1450,'Aub Demand'!A:A,0)),"")</f>
        <v>0</v>
      </c>
      <c r="L1450" s="25">
        <f>IFERROR(INDEX('Aub Demand'!R:R,MATCH(O1450,'Aub Demand'!A:A,0)),"")</f>
        <v>0</v>
      </c>
      <c r="O1450" s="27" t="s">
        <v>3068</v>
      </c>
      <c r="P1450" s="27" t="str">
        <f>IFERROR(INDEX('Aub Demand'!B:B,MATCH($O1450,'Aub Demand'!$A:$A,0)),"")</f>
        <v>BEIGE RENAISSANCE 36</v>
      </c>
      <c r="Q1450" s="27" t="str">
        <f>IFERROR(INDEX('Aub Demand'!C:C,MATCH($O1450,'Aub Demand'!$A:$A,0)),"")</f>
        <v>TOPPA</v>
      </c>
      <c r="R1450" s="52">
        <f>IFERROR(IF(AR1451=AR1450,INDEX('Aub Demand'!K:K,MATCH($O1450,'Aub Demand'!$A:$A,0))-IF(AN1450="",0,AN1450)+AP1451,INDEX('Aub Demand'!K:K,MATCH($O1450,'Aub Demand'!$A:$A,0))-IF(AN1450="",0,AN1450)),"")</f>
        <v>0</v>
      </c>
      <c r="S1450" s="53" t="str">
        <f t="shared" si="616"/>
        <v>n/a</v>
      </c>
      <c r="T1450" s="52" t="str">
        <f t="shared" si="617"/>
        <v/>
      </c>
      <c r="U1450" s="52">
        <f>IFERROR(IF(AR1451=AR1450,INDEX('Aub Demand'!Q:Q,MATCH($O1450,'Aub Demand'!$A:$A,0))-IF(AN1450="",0,AN1450)+AP1451,INDEX('Aub Demand'!Q:Q,MATCH($O1450,'Aub Demand'!$A:$A,0))-IF(AN1450="",0,AN1450)),"")</f>
        <v>-18</v>
      </c>
      <c r="V1450" s="53" t="str">
        <f t="shared" si="618"/>
        <v>n/a</v>
      </c>
      <c r="W1450" s="52" t="str">
        <f t="shared" si="619"/>
        <v/>
      </c>
      <c r="X1450" s="52">
        <f>IFERROR(IF(AND(AR1451=AR1450,AM1450&lt;&gt;""),INDEX('Aub Demand'!Q:Q,MATCH($O1450,'Aub Demand'!$A:$A,0))-IF(AN1450="",0,AN1450)+AP1451+AD1450+AL1450,IF(AR1451=AR1450,INDEX('Aub Demand'!Q:Q,MATCH($O1450,'Aub Demand'!$A:$A,0))-IF(AN1450="",0,AN1450)+AP1451+AD1450,IF(AM1450&lt;&gt;"",INDEX('Aub Demand'!Q:Q,MATCH($O1450,'Aub Demand'!$A:$A,0))-IF(AN1450="",0,AN1450)+AD1450+AL1450,INDEX('Aub Demand'!Q:Q,MATCH($O1450,'Aub Demand'!$A:$A,0))-IF(AN1450="",0,AN1450)+AD1450))),"")</f>
        <v>-18</v>
      </c>
      <c r="Y1450" s="53" t="str">
        <f t="shared" si="620"/>
        <v>n/a</v>
      </c>
      <c r="Z1450" s="52">
        <f>IF(L1450="","",INDEX('Aub Demand'!H:H,MATCH($O1450,'Aub Demand'!$A:$A,0)))</f>
        <v>0</v>
      </c>
      <c r="AA1450" s="52" t="str">
        <f t="shared" si="621"/>
        <v>-spike-</v>
      </c>
      <c r="AB1450" s="52">
        <f>IFERROR(INDEX('Aub Demand'!L:L,MATCH($O1450,'Aub Demand'!$A:$A,0)),"")</f>
        <v>6</v>
      </c>
      <c r="AC1450" s="52">
        <f>IFERROR(IF(O1450="","",SUMIFS('CPL Mats'!F:F,'CPL Mats'!Q:Q,AR1450,'CPL Mats'!S:S,AS1450)),"")</f>
        <v>0</v>
      </c>
      <c r="AF1450" s="25" t="str">
        <f>IF(SUMIFS('Supp Consol'!S:S,'Supp Consol'!Y:Y,"Releasable",'Supp Consol'!A:A,O1450)=0,"",SUMIFS('Supp Consol'!S:S,'Supp Consol'!Y:Y,"Releasable",'Supp Consol'!A:A,O1450))</f>
        <v/>
      </c>
      <c r="AG1450" s="25" t="str">
        <f>IFERROR(INDEX('Hun Demand'!Q:Q,MATCH(O1450,'Hun Demand'!A:A,0)),"")</f>
        <v/>
      </c>
      <c r="AH1450" s="25" t="str">
        <f>IFERROR(INDEX('Hun Demand'!H:H,MATCH($O1450,'Hun Demand'!$A:$A,0)),"")</f>
        <v/>
      </c>
      <c r="AI1450" s="25" t="str">
        <f>IF(SUMIFS('Supp Consol'!AA:AA,'Supp Consol'!Z:Z,"Expires this month",'Supp Consol'!A:A,O1450)=0,"",SUMIFS('Supp Consol'!AA:AA,'Supp Consol'!Z:Z,"Expires this month",'Supp Consol'!A:A,O1450))</f>
        <v/>
      </c>
      <c r="AJ1450" s="25" t="str">
        <f>IF(SUMIFS('Supp Consol'!AA:AA,'Supp Consol'!Z:Z,"Expired Previous Months",'Supp Consol'!A:A,O1450)=0,"",SUMIFS('Supp Consol'!AA:AA,'Supp Consol'!Z:Z,"Expired Previous Months",'Supp Consol'!A:A,O1450))</f>
        <v/>
      </c>
      <c r="AK1450" s="25" t="str">
        <f>IFERROR(INDEX('Hun Release Current'!B:B,MATCH(O1450,'Hun Release Current'!A:A,0)),"")</f>
        <v/>
      </c>
      <c r="AL1450" s="25" t="str">
        <f>IF(SUMIF('Prev Aub'!A:A,O1450,'Prev Aub'!B:B)=0,"",SUMIF('Prev Aub'!A:A,O1450,'Prev Aub'!B:B))</f>
        <v/>
      </c>
      <c r="AN1450" s="25" t="s">
        <v>3790</v>
      </c>
      <c r="AO1450" s="25" t="s">
        <v>3790</v>
      </c>
      <c r="AP1450" s="25">
        <f t="shared" si="622"/>
        <v>0</v>
      </c>
      <c r="AQ1450" s="151" t="str">
        <f>IF(SUMIFS('Supp Consol'!S:S,'Supp Consol'!A:A,O1450,'Supp Consol'!I:I,"PENDING")=0,"",SUMIFS('Supp Consol'!S:S,'Supp Consol'!A:A,O1450,'Supp Consol'!I:I,"PENDING"))</f>
        <v/>
      </c>
      <c r="AR1450" s="27" t="str">
        <f t="shared" si="623"/>
        <v>WM858</v>
      </c>
      <c r="AS1450" s="27" t="str">
        <f t="shared" si="624"/>
        <v>37</v>
      </c>
      <c r="AT1450" s="27" t="str">
        <f t="shared" si="625"/>
        <v/>
      </c>
      <c r="AU1450" s="27" t="str">
        <f t="shared" si="626"/>
        <v/>
      </c>
      <c r="AV1450" s="27" t="str">
        <f t="shared" si="627"/>
        <v/>
      </c>
      <c r="AW1450" s="27" t="str">
        <f t="shared" si="628"/>
        <v/>
      </c>
      <c r="AX1450" s="27" t="str">
        <f t="shared" si="629"/>
        <v/>
      </c>
      <c r="AY1450" s="27" t="str">
        <f t="shared" si="630"/>
        <v/>
      </c>
      <c r="AZ1450" s="27" t="str">
        <f t="shared" si="631"/>
        <v/>
      </c>
      <c r="BA1450" s="27" t="str">
        <f t="shared" si="632"/>
        <v/>
      </c>
      <c r="BB1450" s="27" t="str">
        <f t="shared" si="633"/>
        <v>Gross</v>
      </c>
      <c r="BC1450" s="27" t="str">
        <f t="shared" si="634"/>
        <v>Net</v>
      </c>
      <c r="BD1450" s="27" t="str">
        <f t="shared" si="635"/>
        <v>Net</v>
      </c>
      <c r="BE1450" s="27" t="str">
        <f t="shared" si="636"/>
        <v/>
      </c>
      <c r="BF1450" s="27" t="str">
        <f t="shared" si="637"/>
        <v/>
      </c>
      <c r="BG1450" s="27" t="str">
        <f t="shared" si="638"/>
        <v/>
      </c>
      <c r="BH1450" s="27" t="str">
        <f t="shared" si="639"/>
        <v/>
      </c>
      <c r="BI1450" s="27" t="str">
        <f t="shared" si="640"/>
        <v/>
      </c>
      <c r="BJ1450" s="27" t="str">
        <f t="shared" si="641"/>
        <v/>
      </c>
      <c r="BK1450" s="27" t="str">
        <f t="shared" si="642"/>
        <v/>
      </c>
      <c r="BL1450" s="27" t="str">
        <f t="shared" si="643"/>
        <v/>
      </c>
      <c r="BM1450" s="21" t="s">
        <v>5581</v>
      </c>
    </row>
    <row r="1451" spans="1:65" ht="15">
      <c r="A1451" s="25" t="str">
        <f>IFERROR(INDEX('Hun Demand'!W:W,MATCH(O1451,'Hun Demand'!A:A,0)),"")</f>
        <v/>
      </c>
      <c r="B1451" s="25" t="str">
        <f>IFERROR(INDEX('Hun Demand'!V:V,MATCH(O1451,'Hun Demand'!A:A,0)),"")</f>
        <v/>
      </c>
      <c r="C1451" s="25" t="str">
        <f>IFERROR(INDEX('Hun Demand'!U:U,MATCH(O1451,'Hun Demand'!A:A,0)),"")</f>
        <v/>
      </c>
      <c r="D1451" s="25" t="str">
        <f>IFERROR(INDEX('Hun Demand'!T:T,MATCH(O1451,'Hun Demand'!A:A,0)),"")</f>
        <v/>
      </c>
      <c r="E1451" s="25" t="str">
        <f>IFERROR(INDEX('Hun Demand'!S:S,MATCH(O1451,'Hun Demand'!A:A,0)),"")</f>
        <v/>
      </c>
      <c r="F1451" s="25" t="str">
        <f>IFERROR(INDEX('Hun Demand'!R:R,MATCH(O1451,'Hun Demand'!A:A,0)),"")</f>
        <v/>
      </c>
      <c r="G1451" s="25">
        <f>IFERROR(INDEX('Aub Demand'!W:W,MATCH(O1451,'Aub Demand'!A:A,0)),"")</f>
        <v>42</v>
      </c>
      <c r="H1451" s="25">
        <f>IFERROR(INDEX('Aub Demand'!V:V,MATCH(O1451,'Aub Demand'!A:A,0)),"")</f>
        <v>148</v>
      </c>
      <c r="I1451" s="25">
        <f>IFERROR(INDEX('Aub Demand'!U:U,MATCH(O1451,'Aub Demand'!A:A,0)),"")</f>
        <v>100</v>
      </c>
      <c r="J1451" s="25">
        <f>IFERROR(INDEX('Aub Demand'!T:T,MATCH(O1451,'Aub Demand'!A:A,0)),"")</f>
        <v>0</v>
      </c>
      <c r="K1451" s="25">
        <f>IFERROR(INDEX('Aub Demand'!S:S,MATCH(O1451,'Aub Demand'!A:A,0)),"")</f>
        <v>68</v>
      </c>
      <c r="L1451" s="25">
        <f>IFERROR(INDEX('Aub Demand'!R:R,MATCH(O1451,'Aub Demand'!A:A,0)),"")</f>
        <v>0</v>
      </c>
      <c r="O1451" s="27" t="s">
        <v>3070</v>
      </c>
      <c r="P1451" s="27" t="str">
        <f>IFERROR(INDEX('Aub Demand'!B:B,MATCH($O1451,'Aub Demand'!$A:$A,0)),"")</f>
        <v>BEIGE RENAISSANCE 48</v>
      </c>
      <c r="Q1451" s="27" t="str">
        <f>IFERROR(INDEX('Aub Demand'!C:C,MATCH($O1451,'Aub Demand'!$A:$A,0)),"")</f>
        <v>TOPPA</v>
      </c>
      <c r="R1451" s="52">
        <f>IFERROR(IF(AR1452=AR1451,INDEX('Aub Demand'!K:K,MATCH($O1451,'Aub Demand'!$A:$A,0))-IF(AN1451="",0,AN1451)+AP1452,INDEX('Aub Demand'!K:K,MATCH($O1451,'Aub Demand'!$A:$A,0))-IF(AN1451="",0,AN1451)),"")</f>
        <v>0</v>
      </c>
      <c r="S1451" s="53">
        <f t="shared" si="616"/>
        <v>0</v>
      </c>
      <c r="T1451" s="52">
        <f t="shared" si="617"/>
        <v>63</v>
      </c>
      <c r="U1451" s="52">
        <f>IFERROR(IF(AR1452=AR1451,INDEX('Aub Demand'!Q:Q,MATCH($O1451,'Aub Demand'!$A:$A,0))-IF(AN1451="",0,AN1451)+AP1452,INDEX('Aub Demand'!Q:Q,MATCH($O1451,'Aub Demand'!$A:$A,0))-IF(AN1451="",0,AN1451)),"")</f>
        <v>0</v>
      </c>
      <c r="V1451" s="53">
        <f t="shared" si="618"/>
        <v>0</v>
      </c>
      <c r="W1451" s="52">
        <f t="shared" si="619"/>
        <v>63</v>
      </c>
      <c r="X1451" s="52">
        <f>IFERROR(IF(AND(AR1452=AR1451,AM1451&lt;&gt;""),INDEX('Aub Demand'!Q:Q,MATCH($O1451,'Aub Demand'!$A:$A,0))-IF(AN1451="",0,AN1451)+AP1452+AD1451+AL1451,IF(AR1452=AR1451,INDEX('Aub Demand'!Q:Q,MATCH($O1451,'Aub Demand'!$A:$A,0))-IF(AN1451="",0,AN1451)+AP1452+AD1451,IF(AM1451&lt;&gt;"",INDEX('Aub Demand'!Q:Q,MATCH($O1451,'Aub Demand'!$A:$A,0))-IF(AN1451="",0,AN1451)+AD1451+AL1451,INDEX('Aub Demand'!Q:Q,MATCH($O1451,'Aub Demand'!$A:$A,0))-IF(AN1451="",0,AN1451)+AD1451))),"")</f>
        <v>0</v>
      </c>
      <c r="Y1451" s="53">
        <f t="shared" si="620"/>
        <v>0</v>
      </c>
      <c r="Z1451" s="52">
        <f>IF(L1451="","",INDEX('Aub Demand'!H:H,MATCH($O1451,'Aub Demand'!$A:$A,0)))</f>
        <v>56</v>
      </c>
      <c r="AA1451" s="52">
        <f t="shared" si="621"/>
        <v>84</v>
      </c>
      <c r="AB1451" s="52">
        <f>IFERROR(INDEX('Aub Demand'!L:L,MATCH($O1451,'Aub Demand'!$A:$A,0)),"")</f>
        <v>120</v>
      </c>
      <c r="AC1451" s="52">
        <f>IFERROR(IF(O1451="","",SUMIFS('CPL Mats'!F:F,'CPL Mats'!Q:Q,AR1451,'CPL Mats'!S:S,AS1451)),"")</f>
        <v>900</v>
      </c>
      <c r="AF1451" s="25" t="str">
        <f>IF(SUMIFS('Supp Consol'!S:S,'Supp Consol'!Y:Y,"Releasable",'Supp Consol'!A:A,O1451)=0,"",SUMIFS('Supp Consol'!S:S,'Supp Consol'!Y:Y,"Releasable",'Supp Consol'!A:A,O1451))</f>
        <v/>
      </c>
      <c r="AG1451" s="25" t="str">
        <f>IFERROR(INDEX('Hun Demand'!Q:Q,MATCH(O1451,'Hun Demand'!A:A,0)),"")</f>
        <v/>
      </c>
      <c r="AH1451" s="25" t="str">
        <f>IFERROR(INDEX('Hun Demand'!H:H,MATCH($O1451,'Hun Demand'!$A:$A,0)),"")</f>
        <v/>
      </c>
      <c r="AI1451" s="25" t="str">
        <f>IF(SUMIFS('Supp Consol'!AA:AA,'Supp Consol'!Z:Z,"Expires this month",'Supp Consol'!A:A,O1451)=0,"",SUMIFS('Supp Consol'!AA:AA,'Supp Consol'!Z:Z,"Expires this month",'Supp Consol'!A:A,O1451))</f>
        <v/>
      </c>
      <c r="AJ1451" s="25" t="str">
        <f>IF(SUMIFS('Supp Consol'!AA:AA,'Supp Consol'!Z:Z,"Expired Previous Months",'Supp Consol'!A:A,O1451)=0,"",SUMIFS('Supp Consol'!AA:AA,'Supp Consol'!Z:Z,"Expired Previous Months",'Supp Consol'!A:A,O1451))</f>
        <v/>
      </c>
      <c r="AK1451" s="25" t="str">
        <f>IFERROR(INDEX('Hun Release Current'!B:B,MATCH(O1451,'Hun Release Current'!A:A,0)),"")</f>
        <v/>
      </c>
      <c r="AL1451" s="25" t="str">
        <f>IF(SUMIF('Prev Aub'!A:A,O1451,'Prev Aub'!B:B)=0,"",SUMIF('Prev Aub'!A:A,O1451,'Prev Aub'!B:B))</f>
        <v/>
      </c>
      <c r="AN1451" s="25" t="s">
        <v>3790</v>
      </c>
      <c r="AO1451" s="25" t="s">
        <v>3790</v>
      </c>
      <c r="AP1451" s="25">
        <f t="shared" si="622"/>
        <v>0</v>
      </c>
      <c r="AQ1451" s="151" t="str">
        <f>IF(SUMIFS('Supp Consol'!S:S,'Supp Consol'!A:A,O1451,'Supp Consol'!I:I,"PENDING")=0,"",SUMIFS('Supp Consol'!S:S,'Supp Consol'!A:A,O1451,'Supp Consol'!I:I,"PENDING"))</f>
        <v/>
      </c>
      <c r="AR1451" s="27" t="str">
        <f t="shared" si="623"/>
        <v>WM858</v>
      </c>
      <c r="AS1451" s="27" t="str">
        <f t="shared" si="624"/>
        <v>50</v>
      </c>
      <c r="AT1451" s="27" t="str">
        <f t="shared" si="625"/>
        <v>WM858</v>
      </c>
      <c r="AU1451" s="27" t="str">
        <f t="shared" si="626"/>
        <v>WM858</v>
      </c>
      <c r="AV1451" s="27" t="str">
        <f t="shared" si="627"/>
        <v>WM858</v>
      </c>
      <c r="AW1451" s="27" t="str">
        <f t="shared" si="628"/>
        <v/>
      </c>
      <c r="AX1451" s="27" t="str">
        <f t="shared" si="629"/>
        <v/>
      </c>
      <c r="AY1451" s="27" t="str">
        <f t="shared" si="630"/>
        <v/>
      </c>
      <c r="AZ1451" s="27" t="str">
        <f t="shared" si="631"/>
        <v/>
      </c>
      <c r="BA1451" s="27" t="str">
        <f t="shared" si="632"/>
        <v/>
      </c>
      <c r="BB1451" s="27" t="str">
        <f t="shared" si="633"/>
        <v>Gross</v>
      </c>
      <c r="BC1451" s="27" t="str">
        <f t="shared" si="634"/>
        <v>Net</v>
      </c>
      <c r="BD1451" s="27" t="str">
        <f t="shared" si="635"/>
        <v>Net</v>
      </c>
      <c r="BE1451" s="27" t="str">
        <f t="shared" si="636"/>
        <v/>
      </c>
      <c r="BF1451" s="27" t="str">
        <f t="shared" si="637"/>
        <v/>
      </c>
      <c r="BG1451" s="27" t="str">
        <f t="shared" si="638"/>
        <v/>
      </c>
      <c r="BH1451" s="27" t="str">
        <f t="shared" si="639"/>
        <v/>
      </c>
      <c r="BI1451" s="27" t="str">
        <f t="shared" si="640"/>
        <v/>
      </c>
      <c r="BJ1451" s="27" t="str">
        <f t="shared" si="641"/>
        <v/>
      </c>
      <c r="BK1451" s="27" t="str">
        <f t="shared" si="642"/>
        <v/>
      </c>
      <c r="BL1451" s="27" t="str">
        <f t="shared" si="643"/>
        <v/>
      </c>
      <c r="BM1451" s="21" t="s">
        <v>5581</v>
      </c>
    </row>
    <row r="1452" spans="1:65" ht="15">
      <c r="A1452" s="25" t="str">
        <f>IFERROR(INDEX('Hun Demand'!W:W,MATCH(O1452,'Hun Demand'!A:A,0)),"")</f>
        <v/>
      </c>
      <c r="B1452" s="25" t="str">
        <f>IFERROR(INDEX('Hun Demand'!V:V,MATCH(O1452,'Hun Demand'!A:A,0)),"")</f>
        <v/>
      </c>
      <c r="C1452" s="25" t="str">
        <f>IFERROR(INDEX('Hun Demand'!U:U,MATCH(O1452,'Hun Demand'!A:A,0)),"")</f>
        <v/>
      </c>
      <c r="D1452" s="25" t="str">
        <f>IFERROR(INDEX('Hun Demand'!T:T,MATCH(O1452,'Hun Demand'!A:A,0)),"")</f>
        <v/>
      </c>
      <c r="E1452" s="25" t="str">
        <f>IFERROR(INDEX('Hun Demand'!S:S,MATCH(O1452,'Hun Demand'!A:A,0)),"")</f>
        <v/>
      </c>
      <c r="F1452" s="25" t="str">
        <f>IFERROR(INDEX('Hun Demand'!R:R,MATCH(O1452,'Hun Demand'!A:A,0)),"")</f>
        <v/>
      </c>
      <c r="G1452" s="25">
        <f>IFERROR(INDEX('Aub Demand'!W:W,MATCH(O1452,'Aub Demand'!A:A,0)),"")</f>
        <v>29</v>
      </c>
      <c r="H1452" s="25">
        <f>IFERROR(INDEX('Aub Demand'!V:V,MATCH(O1452,'Aub Demand'!A:A,0)),"")</f>
        <v>27</v>
      </c>
      <c r="I1452" s="25">
        <f>IFERROR(INDEX('Aub Demand'!U:U,MATCH(O1452,'Aub Demand'!A:A,0)),"")</f>
        <v>21</v>
      </c>
      <c r="J1452" s="25">
        <f>IFERROR(INDEX('Aub Demand'!T:T,MATCH(O1452,'Aub Demand'!A:A,0)),"")</f>
        <v>54</v>
      </c>
      <c r="K1452" s="25">
        <f>IFERROR(INDEX('Aub Demand'!S:S,MATCH(O1452,'Aub Demand'!A:A,0)),"")</f>
        <v>90</v>
      </c>
      <c r="L1452" s="25">
        <f>IFERROR(INDEX('Aub Demand'!R:R,MATCH(O1452,'Aub Demand'!A:A,0)),"")</f>
        <v>0</v>
      </c>
      <c r="O1452" s="27" t="s">
        <v>3073</v>
      </c>
      <c r="P1452" s="27" t="str">
        <f>IFERROR(INDEX('Aub Demand'!B:B,MATCH($O1452,'Aub Demand'!$A:$A,0)),"")</f>
        <v>BEIGE RENAISSANCE 60</v>
      </c>
      <c r="Q1452" s="27" t="str">
        <f>IFERROR(INDEX('Aub Demand'!C:C,MATCH($O1452,'Aub Demand'!$A:$A,0)),"")</f>
        <v>TOPPA</v>
      </c>
      <c r="R1452" s="52">
        <f>IFERROR(IF(AR1453=AR1452,INDEX('Aub Demand'!K:K,MATCH($O1452,'Aub Demand'!$A:$A,0))-IF(AN1452="",0,AN1452)+AP1453,INDEX('Aub Demand'!K:K,MATCH($O1452,'Aub Demand'!$A:$A,0))-IF(AN1452="",0,AN1452)),"")</f>
        <v>971</v>
      </c>
      <c r="S1452" s="53">
        <f t="shared" si="616"/>
        <v>75.7</v>
      </c>
      <c r="T1452" s="52" t="str">
        <f t="shared" si="617"/>
        <v/>
      </c>
      <c r="U1452" s="52">
        <f>IFERROR(IF(AR1453=AR1452,INDEX('Aub Demand'!Q:Q,MATCH($O1452,'Aub Demand'!$A:$A,0))-IF(AN1452="",0,AN1452)+AP1453,INDEX('Aub Demand'!Q:Q,MATCH($O1452,'Aub Demand'!$A:$A,0))-IF(AN1452="",0,AN1452)),"")</f>
        <v>916</v>
      </c>
      <c r="V1452" s="53">
        <f t="shared" si="618"/>
        <v>71.400000000000006</v>
      </c>
      <c r="W1452" s="52" t="str">
        <f t="shared" si="619"/>
        <v/>
      </c>
      <c r="X1452" s="52">
        <f>IFERROR(IF(AND(AR1453=AR1452,AM1452&lt;&gt;""),INDEX('Aub Demand'!Q:Q,MATCH($O1452,'Aub Demand'!$A:$A,0))-IF(AN1452="",0,AN1452)+AP1453+AD1452+AL1452,IF(AR1453=AR1452,INDEX('Aub Demand'!Q:Q,MATCH($O1452,'Aub Demand'!$A:$A,0))-IF(AN1452="",0,AN1452)+AP1453+AD1452,IF(AM1452&lt;&gt;"",INDEX('Aub Demand'!Q:Q,MATCH($O1452,'Aub Demand'!$A:$A,0))-IF(AN1452="",0,AN1452)+AD1452+AL1452,INDEX('Aub Demand'!Q:Q,MATCH($O1452,'Aub Demand'!$A:$A,0))-IF(AN1452="",0,AN1452)+AD1452))),"")</f>
        <v>916</v>
      </c>
      <c r="Y1452" s="53">
        <f t="shared" si="620"/>
        <v>71.400000000000006</v>
      </c>
      <c r="Z1452" s="52">
        <f>IF(L1452="","",INDEX('Aub Demand'!H:H,MATCH($O1452,'Aub Demand'!$A:$A,0)))</f>
        <v>55</v>
      </c>
      <c r="AA1452" s="52">
        <f t="shared" si="621"/>
        <v>72</v>
      </c>
      <c r="AB1452" s="52">
        <f>IFERROR(INDEX('Aub Demand'!L:L,MATCH($O1452,'Aub Demand'!$A:$A,0)),"")</f>
        <v>36</v>
      </c>
      <c r="AC1452" s="52">
        <f>IFERROR(IF(O1452="","",SUMIFS('CPL Mats'!F:F,'CPL Mats'!Q:Q,AR1452,'CPL Mats'!S:S,AS1452)),"")</f>
        <v>0</v>
      </c>
      <c r="AF1452" s="25" t="str">
        <f>IF(SUMIFS('Supp Consol'!S:S,'Supp Consol'!Y:Y,"Releasable",'Supp Consol'!A:A,O1452)=0,"",SUMIFS('Supp Consol'!S:S,'Supp Consol'!Y:Y,"Releasable",'Supp Consol'!A:A,O1452))</f>
        <v/>
      </c>
      <c r="AG1452" s="25" t="str">
        <f>IFERROR(INDEX('Hun Demand'!Q:Q,MATCH(O1452,'Hun Demand'!A:A,0)),"")</f>
        <v/>
      </c>
      <c r="AH1452" s="25" t="str">
        <f>IFERROR(INDEX('Hun Demand'!H:H,MATCH($O1452,'Hun Demand'!$A:$A,0)),"")</f>
        <v/>
      </c>
      <c r="AI1452" s="25" t="str">
        <f>IF(SUMIFS('Supp Consol'!AA:AA,'Supp Consol'!Z:Z,"Expires this month",'Supp Consol'!A:A,O1452)=0,"",SUMIFS('Supp Consol'!AA:AA,'Supp Consol'!Z:Z,"Expires this month",'Supp Consol'!A:A,O1452))</f>
        <v/>
      </c>
      <c r="AJ1452" s="25" t="str">
        <f>IF(SUMIFS('Supp Consol'!AA:AA,'Supp Consol'!Z:Z,"Expired Previous Months",'Supp Consol'!A:A,O1452)=0,"",SUMIFS('Supp Consol'!AA:AA,'Supp Consol'!Z:Z,"Expired Previous Months",'Supp Consol'!A:A,O1452))</f>
        <v/>
      </c>
      <c r="AK1452" s="25" t="str">
        <f>IFERROR(INDEX('Hun Release Current'!B:B,MATCH(O1452,'Hun Release Current'!A:A,0)),"")</f>
        <v/>
      </c>
      <c r="AL1452" s="25" t="str">
        <f>IF(SUMIF('Prev Aub'!A:A,O1452,'Prev Aub'!B:B)=0,"",SUMIF('Prev Aub'!A:A,O1452,'Prev Aub'!B:B))</f>
        <v/>
      </c>
      <c r="AN1452" s="25" t="s">
        <v>3790</v>
      </c>
      <c r="AO1452" s="25" t="s">
        <v>3790</v>
      </c>
      <c r="AP1452" s="25">
        <f t="shared" si="622"/>
        <v>0</v>
      </c>
      <c r="AQ1452" s="151" t="str">
        <f>IF(SUMIFS('Supp Consol'!S:S,'Supp Consol'!A:A,O1452,'Supp Consol'!I:I,"PENDING")=0,"",SUMIFS('Supp Consol'!S:S,'Supp Consol'!A:A,O1452,'Supp Consol'!I:I,"PENDING"))</f>
        <v/>
      </c>
      <c r="AR1452" s="27" t="str">
        <f t="shared" si="623"/>
        <v>WM858</v>
      </c>
      <c r="AS1452" s="27" t="str">
        <f t="shared" si="624"/>
        <v>62</v>
      </c>
      <c r="AT1452" s="27" t="str">
        <f t="shared" si="625"/>
        <v/>
      </c>
      <c r="AU1452" s="27" t="str">
        <f t="shared" si="626"/>
        <v/>
      </c>
      <c r="AV1452" s="27" t="str">
        <f t="shared" si="627"/>
        <v/>
      </c>
      <c r="AW1452" s="27" t="str">
        <f t="shared" si="628"/>
        <v/>
      </c>
      <c r="AX1452" s="27" t="str">
        <f t="shared" si="629"/>
        <v/>
      </c>
      <c r="AY1452" s="27" t="str">
        <f t="shared" si="630"/>
        <v/>
      </c>
      <c r="AZ1452" s="27" t="str">
        <f t="shared" si="631"/>
        <v/>
      </c>
      <c r="BA1452" s="27" t="str">
        <f t="shared" si="632"/>
        <v/>
      </c>
      <c r="BB1452" s="27" t="str">
        <f t="shared" si="633"/>
        <v>Gross</v>
      </c>
      <c r="BC1452" s="27" t="str">
        <f t="shared" si="634"/>
        <v>Net</v>
      </c>
      <c r="BD1452" s="27" t="str">
        <f t="shared" si="635"/>
        <v>Net</v>
      </c>
      <c r="BE1452" s="27" t="str">
        <f t="shared" si="636"/>
        <v/>
      </c>
      <c r="BF1452" s="27" t="str">
        <f t="shared" si="637"/>
        <v/>
      </c>
      <c r="BG1452" s="27" t="str">
        <f t="shared" si="638"/>
        <v/>
      </c>
      <c r="BH1452" s="27" t="str">
        <f t="shared" si="639"/>
        <v/>
      </c>
      <c r="BI1452" s="27" t="str">
        <f t="shared" si="640"/>
        <v/>
      </c>
      <c r="BJ1452" s="27" t="str">
        <f t="shared" si="641"/>
        <v/>
      </c>
      <c r="BK1452" s="27" t="str">
        <f t="shared" si="642"/>
        <v/>
      </c>
      <c r="BL1452" s="27" t="str">
        <f t="shared" si="643"/>
        <v/>
      </c>
      <c r="BM1452" s="21" t="s">
        <v>5581</v>
      </c>
    </row>
    <row r="1453" spans="1:65" ht="15">
      <c r="A1453" s="25" t="str">
        <f>IFERROR(INDEX('Hun Demand'!W:W,MATCH(O1453,'Hun Demand'!A:A,0)),"")</f>
        <v/>
      </c>
      <c r="B1453" s="25" t="str">
        <f>IFERROR(INDEX('Hun Demand'!V:V,MATCH(O1453,'Hun Demand'!A:A,0)),"")</f>
        <v/>
      </c>
      <c r="C1453" s="25" t="str">
        <f>IFERROR(INDEX('Hun Demand'!U:U,MATCH(O1453,'Hun Demand'!A:A,0)),"")</f>
        <v/>
      </c>
      <c r="D1453" s="25" t="str">
        <f>IFERROR(INDEX('Hun Demand'!T:T,MATCH(O1453,'Hun Demand'!A:A,0)),"")</f>
        <v/>
      </c>
      <c r="E1453" s="25" t="str">
        <f>IFERROR(INDEX('Hun Demand'!S:S,MATCH(O1453,'Hun Demand'!A:A,0)),"")</f>
        <v/>
      </c>
      <c r="F1453" s="25" t="str">
        <f>IFERROR(INDEX('Hun Demand'!R:R,MATCH(O1453,'Hun Demand'!A:A,0)),"")</f>
        <v/>
      </c>
      <c r="G1453" s="25">
        <f>IFERROR(INDEX('Aub Demand'!W:W,MATCH(O1453,'Aub Demand'!A:A,0)),"")</f>
        <v>0</v>
      </c>
      <c r="H1453" s="25">
        <f>IFERROR(INDEX('Aub Demand'!V:V,MATCH(O1453,'Aub Demand'!A:A,0)),"")</f>
        <v>0</v>
      </c>
      <c r="I1453" s="25">
        <f>IFERROR(INDEX('Aub Demand'!U:U,MATCH(O1453,'Aub Demand'!A:A,0)),"")</f>
        <v>0</v>
      </c>
      <c r="J1453" s="25">
        <f>IFERROR(INDEX('Aub Demand'!T:T,MATCH(O1453,'Aub Demand'!A:A,0)),"")</f>
        <v>0</v>
      </c>
      <c r="K1453" s="25">
        <f>IFERROR(INDEX('Aub Demand'!S:S,MATCH(O1453,'Aub Demand'!A:A,0)),"")</f>
        <v>9</v>
      </c>
      <c r="L1453" s="25">
        <f>IFERROR(INDEX('Aub Demand'!R:R,MATCH(O1453,'Aub Demand'!A:A,0)),"")</f>
        <v>0</v>
      </c>
      <c r="O1453" s="27" t="s">
        <v>6317</v>
      </c>
      <c r="P1453" s="27" t="str">
        <f>IFERROR(INDEX('Aub Demand'!B:B,MATCH($O1453,'Aub Demand'!$A:$A,0)),"")</f>
        <v>RUSTIC QUARTERED OAK</v>
      </c>
      <c r="Q1453" s="27" t="str">
        <f>IFERROR(INDEX('Aub Demand'!C:C,MATCH($O1453,'Aub Demand'!$A:$A,0)),"")</f>
        <v>DNP A</v>
      </c>
      <c r="R1453" s="52">
        <f>IFERROR(IF(AR1454=AR1453,INDEX('Aub Demand'!K:K,MATCH($O1453,'Aub Demand'!$A:$A,0))-IF(AN1453="",0,AN1453)+AP1454,INDEX('Aub Demand'!K:K,MATCH($O1453,'Aub Demand'!$A:$A,0))-IF(AN1453="",0,AN1453)),"")</f>
        <v>20</v>
      </c>
      <c r="S1453" s="53">
        <f t="shared" si="616"/>
        <v>28.6</v>
      </c>
      <c r="T1453" s="52" t="str">
        <f t="shared" si="617"/>
        <v/>
      </c>
      <c r="U1453" s="52">
        <f>IFERROR(IF(AR1454=AR1453,INDEX('Aub Demand'!Q:Q,MATCH($O1453,'Aub Demand'!$A:$A,0))-IF(AN1453="",0,AN1453)+AP1454,INDEX('Aub Demand'!Q:Q,MATCH($O1453,'Aub Demand'!$A:$A,0))-IF(AN1453="",0,AN1453)),"")</f>
        <v>16</v>
      </c>
      <c r="V1453" s="53">
        <f t="shared" si="618"/>
        <v>22.9</v>
      </c>
      <c r="W1453" s="52" t="str">
        <f t="shared" si="619"/>
        <v/>
      </c>
      <c r="X1453" s="52">
        <f>IFERROR(IF(AND(AR1454=AR1453,AM1453&lt;&gt;""),INDEX('Aub Demand'!Q:Q,MATCH($O1453,'Aub Demand'!$A:$A,0))-IF(AN1453="",0,AN1453)+AP1454+AD1453+AL1453,IF(AR1454=AR1453,INDEX('Aub Demand'!Q:Q,MATCH($O1453,'Aub Demand'!$A:$A,0))-IF(AN1453="",0,AN1453)+AP1454+AD1453,IF(AM1453&lt;&gt;"",INDEX('Aub Demand'!Q:Q,MATCH($O1453,'Aub Demand'!$A:$A,0))-IF(AN1453="",0,AN1453)+AD1453+AL1453,INDEX('Aub Demand'!Q:Q,MATCH($O1453,'Aub Demand'!$A:$A,0))-IF(AN1453="",0,AN1453)+AD1453))),"")</f>
        <v>16</v>
      </c>
      <c r="Y1453" s="53">
        <f t="shared" si="620"/>
        <v>22.9</v>
      </c>
      <c r="Z1453" s="52">
        <f>IF(L1453="","",INDEX('Aub Demand'!H:H,MATCH($O1453,'Aub Demand'!$A:$A,0)))</f>
        <v>3</v>
      </c>
      <c r="AA1453" s="52" t="str">
        <f t="shared" si="621"/>
        <v>-spike-</v>
      </c>
      <c r="AB1453" s="52">
        <f>IFERROR(INDEX('Aub Demand'!L:L,MATCH($O1453,'Aub Demand'!$A:$A,0)),"")</f>
        <v>3</v>
      </c>
      <c r="AC1453" s="52">
        <f>IFERROR(IF(O1453="","",SUMIFS('CPL Mats'!F:F,'CPL Mats'!Q:Q,AR1453,'CPL Mats'!S:S,AS1453)),"")</f>
        <v>0</v>
      </c>
      <c r="AF1453" s="25" t="str">
        <f>IF(SUMIFS('Supp Consol'!S:S,'Supp Consol'!Y:Y,"Releasable",'Supp Consol'!A:A,O1453)=0,"",SUMIFS('Supp Consol'!S:S,'Supp Consol'!Y:Y,"Releasable",'Supp Consol'!A:A,O1453))</f>
        <v/>
      </c>
      <c r="AG1453" s="25" t="str">
        <f>IFERROR(INDEX('Hun Demand'!Q:Q,MATCH(O1453,'Hun Demand'!A:A,0)),"")</f>
        <v/>
      </c>
      <c r="AH1453" s="25" t="str">
        <f>IFERROR(INDEX('Hun Demand'!H:H,MATCH($O1453,'Hun Demand'!$A:$A,0)),"")</f>
        <v/>
      </c>
      <c r="AI1453" s="25" t="str">
        <f>IF(SUMIFS('Supp Consol'!AA:AA,'Supp Consol'!Z:Z,"Expires this month",'Supp Consol'!A:A,O1453)=0,"",SUMIFS('Supp Consol'!AA:AA,'Supp Consol'!Z:Z,"Expires this month",'Supp Consol'!A:A,O1453))</f>
        <v/>
      </c>
      <c r="AJ1453" s="25" t="str">
        <f>IF(SUMIFS('Supp Consol'!AA:AA,'Supp Consol'!Z:Z,"Expired Previous Months",'Supp Consol'!A:A,O1453)=0,"",SUMIFS('Supp Consol'!AA:AA,'Supp Consol'!Z:Z,"Expired Previous Months",'Supp Consol'!A:A,O1453))</f>
        <v/>
      </c>
      <c r="AK1453" s="25" t="str">
        <f>IFERROR(INDEX('Hun Release Current'!B:B,MATCH(O1453,'Hun Release Current'!A:A,0)),"")</f>
        <v/>
      </c>
      <c r="AL1453" s="25" t="str">
        <f>IF(SUMIF('Prev Aub'!A:A,O1453,'Prev Aub'!B:B)=0,"",SUMIF('Prev Aub'!A:A,O1453,'Prev Aub'!B:B))</f>
        <v/>
      </c>
      <c r="AN1453" s="25" t="s">
        <v>3790</v>
      </c>
      <c r="AO1453" s="25" t="s">
        <v>3790</v>
      </c>
      <c r="AP1453" s="25">
        <f t="shared" si="622"/>
        <v>0</v>
      </c>
      <c r="AQ1453" s="151" t="str">
        <f>IF(SUMIFS('Supp Consol'!S:S,'Supp Consol'!A:A,O1453,'Supp Consol'!I:I,"PENDING")=0,"",SUMIFS('Supp Consol'!S:S,'Supp Consol'!A:A,O1453,'Supp Consol'!I:I,"PENDING"))</f>
        <v/>
      </c>
      <c r="AR1453" s="27" t="str">
        <f t="shared" si="623"/>
        <v>WM864</v>
      </c>
      <c r="AS1453" s="27" t="str">
        <f t="shared" si="624"/>
        <v>37</v>
      </c>
      <c r="AT1453" s="27" t="str">
        <f t="shared" si="625"/>
        <v/>
      </c>
      <c r="AU1453" s="27" t="str">
        <f t="shared" si="626"/>
        <v/>
      </c>
      <c r="AV1453" s="27" t="str">
        <f t="shared" si="627"/>
        <v/>
      </c>
      <c r="AW1453" s="27" t="str">
        <f t="shared" si="628"/>
        <v/>
      </c>
      <c r="AX1453" s="27" t="str">
        <f t="shared" si="629"/>
        <v/>
      </c>
      <c r="AY1453" s="27" t="str">
        <f t="shared" si="630"/>
        <v/>
      </c>
      <c r="AZ1453" s="27" t="str">
        <f t="shared" si="631"/>
        <v>Supp</v>
      </c>
      <c r="BA1453" s="27" t="str">
        <f t="shared" si="632"/>
        <v/>
      </c>
      <c r="BB1453" s="27" t="str">
        <f t="shared" si="633"/>
        <v/>
      </c>
      <c r="BC1453" s="27" t="str">
        <f t="shared" si="634"/>
        <v/>
      </c>
      <c r="BD1453" s="27" t="str">
        <f t="shared" si="635"/>
        <v/>
      </c>
      <c r="BE1453" s="27" t="str">
        <f t="shared" si="636"/>
        <v/>
      </c>
      <c r="BF1453" s="27" t="str">
        <f t="shared" si="637"/>
        <v/>
      </c>
      <c r="BG1453" s="27" t="str">
        <f t="shared" si="638"/>
        <v/>
      </c>
      <c r="BH1453" s="27" t="str">
        <f t="shared" si="639"/>
        <v/>
      </c>
      <c r="BI1453" s="27" t="str">
        <f t="shared" si="640"/>
        <v/>
      </c>
      <c r="BJ1453" s="27" t="str">
        <f t="shared" si="641"/>
        <v>Supp or Hun</v>
      </c>
      <c r="BK1453" s="27" t="str">
        <f t="shared" si="642"/>
        <v/>
      </c>
      <c r="BL1453" s="27" t="str">
        <f t="shared" si="643"/>
        <v/>
      </c>
      <c r="BM1453" s="21" t="s">
        <v>3790</v>
      </c>
    </row>
    <row r="1454" spans="1:65" ht="15">
      <c r="A1454" s="25" t="str">
        <f>IFERROR(INDEX('Hun Demand'!W:W,MATCH(O1454,'Hun Demand'!A:A,0)),"")</f>
        <v/>
      </c>
      <c r="B1454" s="25" t="str">
        <f>IFERROR(INDEX('Hun Demand'!V:V,MATCH(O1454,'Hun Demand'!A:A,0)),"")</f>
        <v/>
      </c>
      <c r="C1454" s="25" t="str">
        <f>IFERROR(INDEX('Hun Demand'!U:U,MATCH(O1454,'Hun Demand'!A:A,0)),"")</f>
        <v/>
      </c>
      <c r="D1454" s="25" t="str">
        <f>IFERROR(INDEX('Hun Demand'!T:T,MATCH(O1454,'Hun Demand'!A:A,0)),"")</f>
        <v/>
      </c>
      <c r="E1454" s="25" t="str">
        <f>IFERROR(INDEX('Hun Demand'!S:S,MATCH(O1454,'Hun Demand'!A:A,0)),"")</f>
        <v/>
      </c>
      <c r="F1454" s="25" t="str">
        <f>IFERROR(INDEX('Hun Demand'!R:R,MATCH(O1454,'Hun Demand'!A:A,0)),"")</f>
        <v/>
      </c>
      <c r="G1454" s="25">
        <f>IFERROR(INDEX('Aub Demand'!W:W,MATCH(O1454,'Aub Demand'!A:A,0)),"")</f>
        <v>0</v>
      </c>
      <c r="H1454" s="25">
        <f>IFERROR(INDEX('Aub Demand'!V:V,MATCH(O1454,'Aub Demand'!A:A,0)),"")</f>
        <v>0</v>
      </c>
      <c r="I1454" s="25">
        <f>IFERROR(INDEX('Aub Demand'!U:U,MATCH(O1454,'Aub Demand'!A:A,0)),"")</f>
        <v>0</v>
      </c>
      <c r="J1454" s="25">
        <f>IFERROR(INDEX('Aub Demand'!T:T,MATCH(O1454,'Aub Demand'!A:A,0)),"")</f>
        <v>0</v>
      </c>
      <c r="K1454" s="25">
        <f>IFERROR(INDEX('Aub Demand'!S:S,MATCH(O1454,'Aub Demand'!A:A,0)),"")</f>
        <v>56</v>
      </c>
      <c r="L1454" s="25">
        <f>IFERROR(INDEX('Aub Demand'!R:R,MATCH(O1454,'Aub Demand'!A:A,0)),"")</f>
        <v>0</v>
      </c>
      <c r="O1454" s="27" t="s">
        <v>3075</v>
      </c>
      <c r="P1454" s="27" t="str">
        <f>IFERROR(INDEX('Aub Demand'!B:B,MATCH($O1454,'Aub Demand'!$A:$A,0)),"")</f>
        <v>RUSTIC QUARTERED OAK</v>
      </c>
      <c r="Q1454" s="27" t="str">
        <f>IFERROR(INDEX('Aub Demand'!C:C,MATCH($O1454,'Aub Demand'!$A:$A,0)),"")</f>
        <v>DNP A</v>
      </c>
      <c r="R1454" s="52">
        <f>IFERROR(IF(AR1455=AR1454,INDEX('Aub Demand'!K:K,MATCH($O1454,'Aub Demand'!$A:$A,0))-IF(AN1454="",0,AN1454)+AP1455,INDEX('Aub Demand'!K:K,MATCH($O1454,'Aub Demand'!$A:$A,0))-IF(AN1454="",0,AN1454)),"")</f>
        <v>1040</v>
      </c>
      <c r="S1454" s="53">
        <f t="shared" si="616"/>
        <v>234.6</v>
      </c>
      <c r="T1454" s="52" t="str">
        <f t="shared" si="617"/>
        <v/>
      </c>
      <c r="U1454" s="52">
        <f>IFERROR(IF(AR1455=AR1454,INDEX('Aub Demand'!Q:Q,MATCH($O1454,'Aub Demand'!$A:$A,0))-IF(AN1454="",0,AN1454)+AP1455,INDEX('Aub Demand'!Q:Q,MATCH($O1454,'Aub Demand'!$A:$A,0))-IF(AN1454="",0,AN1454)),"")</f>
        <v>1028</v>
      </c>
      <c r="V1454" s="53">
        <f t="shared" si="618"/>
        <v>231.9</v>
      </c>
      <c r="W1454" s="52" t="str">
        <f t="shared" si="619"/>
        <v/>
      </c>
      <c r="X1454" s="52">
        <f>IFERROR(IF(AND(AR1455=AR1454,AM1454&lt;&gt;""),INDEX('Aub Demand'!Q:Q,MATCH($O1454,'Aub Demand'!$A:$A,0))-IF(AN1454="",0,AN1454)+AP1455+AD1454+AL1454,IF(AR1455=AR1454,INDEX('Aub Demand'!Q:Q,MATCH($O1454,'Aub Demand'!$A:$A,0))-IF(AN1454="",0,AN1454)+AP1455+AD1454,IF(AM1454&lt;&gt;"",INDEX('Aub Demand'!Q:Q,MATCH($O1454,'Aub Demand'!$A:$A,0))-IF(AN1454="",0,AN1454)+AD1454+AL1454,INDEX('Aub Demand'!Q:Q,MATCH($O1454,'Aub Demand'!$A:$A,0))-IF(AN1454="",0,AN1454)+AD1454))),"")</f>
        <v>1028</v>
      </c>
      <c r="Y1454" s="53">
        <f t="shared" si="620"/>
        <v>231.9</v>
      </c>
      <c r="Z1454" s="52">
        <f>IF(L1454="","",INDEX('Aub Demand'!H:H,MATCH($O1454,'Aub Demand'!$A:$A,0)))</f>
        <v>19</v>
      </c>
      <c r="AA1454" s="52" t="str">
        <f t="shared" si="621"/>
        <v>-spike-</v>
      </c>
      <c r="AB1454" s="52">
        <f>IFERROR(INDEX('Aub Demand'!L:L,MATCH($O1454,'Aub Demand'!$A:$A,0)),"")</f>
        <v>20</v>
      </c>
      <c r="AC1454" s="52">
        <f>IFERROR(IF(O1454="","",SUMIFS('CPL Mats'!F:F,'CPL Mats'!Q:Q,AR1454,'CPL Mats'!S:S,AS1454)),"")</f>
        <v>0</v>
      </c>
      <c r="AF1454" s="25">
        <f>IF(SUMIFS('Supp Consol'!S:S,'Supp Consol'!Y:Y,"Releasable",'Supp Consol'!A:A,O1454)=0,"",SUMIFS('Supp Consol'!S:S,'Supp Consol'!Y:Y,"Releasable",'Supp Consol'!A:A,O1454))</f>
        <v>1078</v>
      </c>
      <c r="AG1454" s="25" t="str">
        <f>IFERROR(INDEX('Hun Demand'!Q:Q,MATCH(O1454,'Hun Demand'!A:A,0)),"")</f>
        <v/>
      </c>
      <c r="AH1454" s="25" t="str">
        <f>IFERROR(INDEX('Hun Demand'!H:H,MATCH($O1454,'Hun Demand'!$A:$A,0)),"")</f>
        <v/>
      </c>
      <c r="AI1454" s="25" t="str">
        <f>IF(SUMIFS('Supp Consol'!AA:AA,'Supp Consol'!Z:Z,"Expires this month",'Supp Consol'!A:A,O1454)=0,"",SUMIFS('Supp Consol'!AA:AA,'Supp Consol'!Z:Z,"Expires this month",'Supp Consol'!A:A,O1454))</f>
        <v/>
      </c>
      <c r="AJ1454" s="25" t="str">
        <f>IF(SUMIFS('Supp Consol'!AA:AA,'Supp Consol'!Z:Z,"Expired Previous Months",'Supp Consol'!A:A,O1454)=0,"",SUMIFS('Supp Consol'!AA:AA,'Supp Consol'!Z:Z,"Expired Previous Months",'Supp Consol'!A:A,O1454))</f>
        <v/>
      </c>
      <c r="AK1454" s="25" t="str">
        <f>IFERROR(INDEX('Hun Release Current'!B:B,MATCH(O1454,'Hun Release Current'!A:A,0)),"")</f>
        <v/>
      </c>
      <c r="AL1454" s="25" t="str">
        <f>IF(SUMIF('Prev Aub'!A:A,O1454,'Prev Aub'!B:B)=0,"",SUMIF('Prev Aub'!A:A,O1454,'Prev Aub'!B:B))</f>
        <v/>
      </c>
      <c r="AN1454" s="25">
        <v>25</v>
      </c>
      <c r="AO1454" s="25" t="s">
        <v>3891</v>
      </c>
      <c r="AP1454" s="25">
        <f t="shared" si="622"/>
        <v>20</v>
      </c>
      <c r="AQ1454" s="151" t="str">
        <f>IF(SUMIFS('Supp Consol'!S:S,'Supp Consol'!A:A,O1454,'Supp Consol'!I:I,"PENDING")=0,"",SUMIFS('Supp Consol'!S:S,'Supp Consol'!A:A,O1454,'Supp Consol'!I:I,"PENDING"))</f>
        <v/>
      </c>
      <c r="AR1454" s="27" t="str">
        <f t="shared" si="623"/>
        <v>WM864</v>
      </c>
      <c r="AS1454" s="27" t="str">
        <f t="shared" si="624"/>
        <v>50</v>
      </c>
      <c r="AT1454" s="27" t="str">
        <f t="shared" si="625"/>
        <v/>
      </c>
      <c r="AU1454" s="27" t="str">
        <f t="shared" si="626"/>
        <v/>
      </c>
      <c r="AV1454" s="27" t="str">
        <f t="shared" si="627"/>
        <v/>
      </c>
      <c r="AW1454" s="27" t="str">
        <f t="shared" si="628"/>
        <v/>
      </c>
      <c r="AX1454" s="27" t="str">
        <f t="shared" si="629"/>
        <v>WM864</v>
      </c>
      <c r="AY1454" s="27" t="str">
        <f t="shared" si="630"/>
        <v/>
      </c>
      <c r="AZ1454" s="27" t="str">
        <f t="shared" si="631"/>
        <v>Supp</v>
      </c>
      <c r="BA1454" s="27" t="str">
        <f t="shared" si="632"/>
        <v/>
      </c>
      <c r="BB1454" s="27" t="str">
        <f t="shared" si="633"/>
        <v/>
      </c>
      <c r="BC1454" s="27" t="str">
        <f t="shared" si="634"/>
        <v/>
      </c>
      <c r="BD1454" s="27" t="str">
        <f t="shared" si="635"/>
        <v/>
      </c>
      <c r="BE1454" s="27" t="str">
        <f t="shared" si="636"/>
        <v/>
      </c>
      <c r="BF1454" s="27" t="str">
        <f t="shared" si="637"/>
        <v/>
      </c>
      <c r="BG1454" s="27" t="str">
        <f t="shared" si="638"/>
        <v/>
      </c>
      <c r="BH1454" s="27" t="str">
        <f t="shared" si="639"/>
        <v/>
      </c>
      <c r="BI1454" s="27" t="str">
        <f t="shared" si="640"/>
        <v/>
      </c>
      <c r="BJ1454" s="27" t="str">
        <f t="shared" si="641"/>
        <v>Supp or Hun</v>
      </c>
      <c r="BK1454" s="27" t="str">
        <f t="shared" si="642"/>
        <v/>
      </c>
      <c r="BL1454" s="27" t="str">
        <f t="shared" si="643"/>
        <v/>
      </c>
      <c r="BM1454" s="21" t="s">
        <v>5581</v>
      </c>
    </row>
    <row r="1455" spans="1:65" ht="15">
      <c r="A1455" s="25" t="str">
        <f>IFERROR(INDEX('Hun Demand'!W:W,MATCH(O1455,'Hun Demand'!A:A,0)),"")</f>
        <v/>
      </c>
      <c r="B1455" s="25" t="str">
        <f>IFERROR(INDEX('Hun Demand'!V:V,MATCH(O1455,'Hun Demand'!A:A,0)),"")</f>
        <v/>
      </c>
      <c r="C1455" s="25" t="str">
        <f>IFERROR(INDEX('Hun Demand'!U:U,MATCH(O1455,'Hun Demand'!A:A,0)),"")</f>
        <v/>
      </c>
      <c r="D1455" s="25" t="str">
        <f>IFERROR(INDEX('Hun Demand'!T:T,MATCH(O1455,'Hun Demand'!A:A,0)),"")</f>
        <v/>
      </c>
      <c r="E1455" s="25" t="str">
        <f>IFERROR(INDEX('Hun Demand'!S:S,MATCH(O1455,'Hun Demand'!A:A,0)),"")</f>
        <v/>
      </c>
      <c r="F1455" s="25" t="str">
        <f>IFERROR(INDEX('Hun Demand'!R:R,MATCH(O1455,'Hun Demand'!A:A,0)),"")</f>
        <v/>
      </c>
      <c r="G1455" s="25">
        <f>IFERROR(INDEX('Aub Demand'!W:W,MATCH(O1455,'Aub Demand'!A:A,0)),"")</f>
        <v>0</v>
      </c>
      <c r="H1455" s="25">
        <f>IFERROR(INDEX('Aub Demand'!V:V,MATCH(O1455,'Aub Demand'!A:A,0)),"")</f>
        <v>15</v>
      </c>
      <c r="I1455" s="25">
        <f>IFERROR(INDEX('Aub Demand'!U:U,MATCH(O1455,'Aub Demand'!A:A,0)),"")</f>
        <v>0</v>
      </c>
      <c r="J1455" s="25">
        <f>IFERROR(INDEX('Aub Demand'!T:T,MATCH(O1455,'Aub Demand'!A:A,0)),"")</f>
        <v>17</v>
      </c>
      <c r="K1455" s="25">
        <f>IFERROR(INDEX('Aub Demand'!S:S,MATCH(O1455,'Aub Demand'!A:A,0)),"")</f>
        <v>0</v>
      </c>
      <c r="L1455" s="25">
        <f>IFERROR(INDEX('Aub Demand'!R:R,MATCH(O1455,'Aub Demand'!A:A,0)),"")</f>
        <v>0</v>
      </c>
      <c r="O1455" s="27" t="s">
        <v>3078</v>
      </c>
      <c r="P1455" s="27" t="str">
        <f>IFERROR(INDEX('Aub Demand'!B:B,MATCH($O1455,'Aub Demand'!$A:$A,0)),"")</f>
        <v>RUSTIC QUARTERED OAK</v>
      </c>
      <c r="Q1455" s="27" t="str">
        <f>IFERROR(INDEX('Aub Demand'!C:C,MATCH($O1455,'Aub Demand'!$A:$A,0)),"")</f>
        <v>DNP A</v>
      </c>
      <c r="R1455" s="52">
        <f>IFERROR(IF(AR1456=AR1455,INDEX('Aub Demand'!K:K,MATCH($O1455,'Aub Demand'!$A:$A,0))-IF(AN1455="",0,AN1455)+AP1456,INDEX('Aub Demand'!K:K,MATCH($O1455,'Aub Demand'!$A:$A,0))-IF(AN1455="",0,AN1455)),"")</f>
        <v>247</v>
      </c>
      <c r="S1455" s="53">
        <f t="shared" si="616"/>
        <v>176.4</v>
      </c>
      <c r="T1455" s="52" t="str">
        <f t="shared" si="617"/>
        <v/>
      </c>
      <c r="U1455" s="52">
        <f>IFERROR(IF(AR1456=AR1455,INDEX('Aub Demand'!Q:Q,MATCH($O1455,'Aub Demand'!$A:$A,0))-IF(AN1455="",0,AN1455)+AP1456,INDEX('Aub Demand'!Q:Q,MATCH($O1455,'Aub Demand'!$A:$A,0))-IF(AN1455="",0,AN1455)),"")</f>
        <v>247</v>
      </c>
      <c r="V1455" s="53">
        <f t="shared" si="618"/>
        <v>176.4</v>
      </c>
      <c r="W1455" s="52" t="str">
        <f t="shared" si="619"/>
        <v/>
      </c>
      <c r="X1455" s="52">
        <f>IFERROR(IF(AND(AR1456=AR1455,AM1455&lt;&gt;""),INDEX('Aub Demand'!Q:Q,MATCH($O1455,'Aub Demand'!$A:$A,0))-IF(AN1455="",0,AN1455)+AP1456+AD1455+AL1455,IF(AR1456=AR1455,INDEX('Aub Demand'!Q:Q,MATCH($O1455,'Aub Demand'!$A:$A,0))-IF(AN1455="",0,AN1455)+AP1456+AD1455,IF(AM1455&lt;&gt;"",INDEX('Aub Demand'!Q:Q,MATCH($O1455,'Aub Demand'!$A:$A,0))-IF(AN1455="",0,AN1455)+AD1455+AL1455,INDEX('Aub Demand'!Q:Q,MATCH($O1455,'Aub Demand'!$A:$A,0))-IF(AN1455="",0,AN1455)+AD1455))),"")</f>
        <v>247</v>
      </c>
      <c r="Y1455" s="53">
        <f t="shared" si="620"/>
        <v>176.4</v>
      </c>
      <c r="Z1455" s="52">
        <f>IF(L1455="","",INDEX('Aub Demand'!H:H,MATCH($O1455,'Aub Demand'!$A:$A,0)))</f>
        <v>6</v>
      </c>
      <c r="AA1455" s="52" t="str">
        <f t="shared" si="621"/>
        <v>-spike-</v>
      </c>
      <c r="AB1455" s="52">
        <f>IFERROR(INDEX('Aub Demand'!L:L,MATCH($O1455,'Aub Demand'!$A:$A,0)),"")</f>
        <v>4</v>
      </c>
      <c r="AC1455" s="52">
        <f>IFERROR(IF(O1455="","",SUMIFS('CPL Mats'!F:F,'CPL Mats'!Q:Q,AR1455,'CPL Mats'!S:S,AS1455)),"")</f>
        <v>0</v>
      </c>
      <c r="AF1455" s="25">
        <f>IF(SUMIFS('Supp Consol'!S:S,'Supp Consol'!Y:Y,"Releasable",'Supp Consol'!A:A,O1455)=0,"",SUMIFS('Supp Consol'!S:S,'Supp Consol'!Y:Y,"Releasable",'Supp Consol'!A:A,O1455))</f>
        <v>1547</v>
      </c>
      <c r="AG1455" s="25" t="str">
        <f>IFERROR(INDEX('Hun Demand'!Q:Q,MATCH(O1455,'Hun Demand'!A:A,0)),"")</f>
        <v/>
      </c>
      <c r="AH1455" s="25" t="str">
        <f>IFERROR(INDEX('Hun Demand'!H:H,MATCH($O1455,'Hun Demand'!$A:$A,0)),"")</f>
        <v/>
      </c>
      <c r="AI1455" s="25" t="str">
        <f>IF(SUMIFS('Supp Consol'!AA:AA,'Supp Consol'!Z:Z,"Expires this month",'Supp Consol'!A:A,O1455)=0,"",SUMIFS('Supp Consol'!AA:AA,'Supp Consol'!Z:Z,"Expires this month",'Supp Consol'!A:A,O1455))</f>
        <v/>
      </c>
      <c r="AJ1455" s="25" t="str">
        <f>IF(SUMIFS('Supp Consol'!AA:AA,'Supp Consol'!Z:Z,"Expired Previous Months",'Supp Consol'!A:A,O1455)=0,"",SUMIFS('Supp Consol'!AA:AA,'Supp Consol'!Z:Z,"Expired Previous Months",'Supp Consol'!A:A,O1455))</f>
        <v/>
      </c>
      <c r="AK1455" s="25" t="str">
        <f>IFERROR(INDEX('Hun Release Current'!B:B,MATCH(O1455,'Hun Release Current'!A:A,0)),"")</f>
        <v/>
      </c>
      <c r="AL1455" s="25" t="str">
        <f>IF(SUMIF('Prev Aub'!A:A,O1455,'Prev Aub'!B:B)=0,"",SUMIF('Prev Aub'!A:A,O1455,'Prev Aub'!B:B))</f>
        <v/>
      </c>
      <c r="AN1455" s="25" t="s">
        <v>3790</v>
      </c>
      <c r="AO1455" s="25" t="s">
        <v>3790</v>
      </c>
      <c r="AP1455" s="25">
        <f t="shared" si="622"/>
        <v>0</v>
      </c>
      <c r="AQ1455" s="151" t="str">
        <f>IF(SUMIFS('Supp Consol'!S:S,'Supp Consol'!A:A,O1455,'Supp Consol'!I:I,"PENDING")=0,"",SUMIFS('Supp Consol'!S:S,'Supp Consol'!A:A,O1455,'Supp Consol'!I:I,"PENDING"))</f>
        <v/>
      </c>
      <c r="AR1455" s="27" t="str">
        <f t="shared" si="623"/>
        <v>WM864</v>
      </c>
      <c r="AS1455" s="27" t="str">
        <f t="shared" si="624"/>
        <v>62</v>
      </c>
      <c r="AT1455" s="27" t="str">
        <f t="shared" si="625"/>
        <v/>
      </c>
      <c r="AU1455" s="27" t="str">
        <f t="shared" si="626"/>
        <v/>
      </c>
      <c r="AV1455" s="27" t="str">
        <f t="shared" si="627"/>
        <v/>
      </c>
      <c r="AW1455" s="27" t="str">
        <f t="shared" si="628"/>
        <v/>
      </c>
      <c r="AX1455" s="27" t="str">
        <f t="shared" si="629"/>
        <v>WM864</v>
      </c>
      <c r="AY1455" s="27" t="str">
        <f t="shared" si="630"/>
        <v/>
      </c>
      <c r="AZ1455" s="27" t="str">
        <f t="shared" si="631"/>
        <v>Supp</v>
      </c>
      <c r="BA1455" s="27" t="str">
        <f t="shared" si="632"/>
        <v/>
      </c>
      <c r="BB1455" s="27" t="str">
        <f t="shared" si="633"/>
        <v/>
      </c>
      <c r="BC1455" s="27" t="str">
        <f t="shared" si="634"/>
        <v/>
      </c>
      <c r="BD1455" s="27" t="str">
        <f t="shared" si="635"/>
        <v/>
      </c>
      <c r="BE1455" s="27" t="str">
        <f t="shared" si="636"/>
        <v/>
      </c>
      <c r="BF1455" s="27" t="str">
        <f t="shared" si="637"/>
        <v/>
      </c>
      <c r="BG1455" s="27" t="str">
        <f t="shared" si="638"/>
        <v/>
      </c>
      <c r="BH1455" s="27" t="str">
        <f t="shared" si="639"/>
        <v/>
      </c>
      <c r="BI1455" s="27" t="str">
        <f t="shared" si="640"/>
        <v/>
      </c>
      <c r="BJ1455" s="27" t="str">
        <f t="shared" si="641"/>
        <v>Supp or Hun</v>
      </c>
      <c r="BK1455" s="27" t="str">
        <f t="shared" si="642"/>
        <v/>
      </c>
      <c r="BL1455" s="27" t="str">
        <f t="shared" si="643"/>
        <v/>
      </c>
      <c r="BM1455" s="21" t="s">
        <v>5581</v>
      </c>
    </row>
    <row r="1456" spans="1:65" ht="15">
      <c r="A1456" s="25" t="str">
        <f>IFERROR(INDEX('Hun Demand'!W:W,MATCH(O1456,'Hun Demand'!A:A,0)),"")</f>
        <v/>
      </c>
      <c r="B1456" s="25" t="str">
        <f>IFERROR(INDEX('Hun Demand'!V:V,MATCH(O1456,'Hun Demand'!A:A,0)),"")</f>
        <v/>
      </c>
      <c r="C1456" s="25" t="str">
        <f>IFERROR(INDEX('Hun Demand'!U:U,MATCH(O1456,'Hun Demand'!A:A,0)),"")</f>
        <v/>
      </c>
      <c r="D1456" s="25" t="str">
        <f>IFERROR(INDEX('Hun Demand'!T:T,MATCH(O1456,'Hun Demand'!A:A,0)),"")</f>
        <v/>
      </c>
      <c r="E1456" s="25" t="str">
        <f>IFERROR(INDEX('Hun Demand'!S:S,MATCH(O1456,'Hun Demand'!A:A,0)),"")</f>
        <v/>
      </c>
      <c r="F1456" s="25" t="str">
        <f>IFERROR(INDEX('Hun Demand'!R:R,MATCH(O1456,'Hun Demand'!A:A,0)),"")</f>
        <v/>
      </c>
      <c r="G1456" s="25">
        <f>IFERROR(INDEX('Aub Demand'!W:W,MATCH(O1456,'Aub Demand'!A:A,0)),"")</f>
        <v>0</v>
      </c>
      <c r="H1456" s="25">
        <f>IFERROR(INDEX('Aub Demand'!V:V,MATCH(O1456,'Aub Demand'!A:A,0)),"")</f>
        <v>0</v>
      </c>
      <c r="I1456" s="25">
        <f>IFERROR(INDEX('Aub Demand'!U:U,MATCH(O1456,'Aub Demand'!A:A,0)),"")</f>
        <v>0</v>
      </c>
      <c r="J1456" s="25">
        <f>IFERROR(INDEX('Aub Demand'!T:T,MATCH(O1456,'Aub Demand'!A:A,0)),"")</f>
        <v>85</v>
      </c>
      <c r="K1456" s="25">
        <f>IFERROR(INDEX('Aub Demand'!S:S,MATCH(O1456,'Aub Demand'!A:A,0)),"")</f>
        <v>9</v>
      </c>
      <c r="L1456" s="25">
        <f>IFERROR(INDEX('Aub Demand'!R:R,MATCH(O1456,'Aub Demand'!A:A,0)),"")</f>
        <v>0</v>
      </c>
      <c r="O1456" s="27" t="s">
        <v>5557</v>
      </c>
      <c r="P1456" s="27" t="str">
        <f>IFERROR(INDEX('Aub Demand'!B:B,MATCH($O1456,'Aub Demand'!$A:$A,0)),"")</f>
        <v>HONEY MAPLE</v>
      </c>
      <c r="Q1456" s="27" t="str">
        <f>IFERROR(INDEX('Aub Demand'!C:C,MATCH($O1456,'Aub Demand'!$A:$A,0)),"")</f>
        <v>TOPPA</v>
      </c>
      <c r="R1456" s="52">
        <f>IFERROR(IF(AR1457=AR1456,INDEX('Aub Demand'!K:K,MATCH($O1456,'Aub Demand'!$A:$A,0))-IF(AN1456="",0,AN1456)+AP1457,INDEX('Aub Demand'!K:K,MATCH($O1456,'Aub Demand'!$A:$A,0))-IF(AN1456="",0,AN1456)),"")</f>
        <v>0</v>
      </c>
      <c r="S1456" s="53">
        <f t="shared" si="616"/>
        <v>0</v>
      </c>
      <c r="T1456" s="52">
        <f t="shared" si="617"/>
        <v>35.25</v>
      </c>
      <c r="U1456" s="52">
        <f>IFERROR(IF(AR1457=AR1456,INDEX('Aub Demand'!Q:Q,MATCH($O1456,'Aub Demand'!$A:$A,0))-IF(AN1456="",0,AN1456)+AP1457,INDEX('Aub Demand'!Q:Q,MATCH($O1456,'Aub Demand'!$A:$A,0))-IF(AN1456="",0,AN1456)),"")</f>
        <v>-26</v>
      </c>
      <c r="V1456" s="53">
        <f t="shared" si="618"/>
        <v>-3.6</v>
      </c>
      <c r="W1456" s="52">
        <f t="shared" si="619"/>
        <v>77.55</v>
      </c>
      <c r="X1456" s="52">
        <f>IFERROR(IF(AND(AR1457=AR1456,AM1456&lt;&gt;""),INDEX('Aub Demand'!Q:Q,MATCH($O1456,'Aub Demand'!$A:$A,0))-IF(AN1456="",0,AN1456)+AP1457+AD1456+AL1456,IF(AR1457=AR1456,INDEX('Aub Demand'!Q:Q,MATCH($O1456,'Aub Demand'!$A:$A,0))-IF(AN1456="",0,AN1456)+AP1457+AD1456,IF(AM1456&lt;&gt;"",INDEX('Aub Demand'!Q:Q,MATCH($O1456,'Aub Demand'!$A:$A,0))-IF(AN1456="",0,AN1456)+AD1456+AL1456,INDEX('Aub Demand'!Q:Q,MATCH($O1456,'Aub Demand'!$A:$A,0))-IF(AN1456="",0,AN1456)+AD1456))),"")</f>
        <v>-26</v>
      </c>
      <c r="Y1456" s="53">
        <f t="shared" si="620"/>
        <v>-3.6</v>
      </c>
      <c r="Z1456" s="52">
        <f>IF(L1456="","",INDEX('Aub Demand'!H:H,MATCH($O1456,'Aub Demand'!$A:$A,0)))</f>
        <v>31</v>
      </c>
      <c r="AA1456" s="52">
        <f t="shared" si="621"/>
        <v>47</v>
      </c>
      <c r="AB1456" s="52">
        <f>IFERROR(INDEX('Aub Demand'!L:L,MATCH($O1456,'Aub Demand'!$A:$A,0)),"")</f>
        <v>0</v>
      </c>
      <c r="AC1456" s="52">
        <f>IFERROR(IF(O1456="","",SUMIFS('CPL Mats'!F:F,'CPL Mats'!Q:Q,AR1456,'CPL Mats'!S:S,AS1456)),"")</f>
        <v>0</v>
      </c>
      <c r="AF1456" s="25" t="str">
        <f>IF(SUMIFS('Supp Consol'!S:S,'Supp Consol'!Y:Y,"Releasable",'Supp Consol'!A:A,O1456)=0,"",SUMIFS('Supp Consol'!S:S,'Supp Consol'!Y:Y,"Releasable",'Supp Consol'!A:A,O1456))</f>
        <v/>
      </c>
      <c r="AG1456" s="25" t="str">
        <f>IFERROR(INDEX('Hun Demand'!Q:Q,MATCH(O1456,'Hun Demand'!A:A,0)),"")</f>
        <v/>
      </c>
      <c r="AH1456" s="25" t="str">
        <f>IFERROR(INDEX('Hun Demand'!H:H,MATCH($O1456,'Hun Demand'!$A:$A,0)),"")</f>
        <v/>
      </c>
      <c r="AI1456" s="25" t="str">
        <f>IF(SUMIFS('Supp Consol'!AA:AA,'Supp Consol'!Z:Z,"Expires this month",'Supp Consol'!A:A,O1456)=0,"",SUMIFS('Supp Consol'!AA:AA,'Supp Consol'!Z:Z,"Expires this month",'Supp Consol'!A:A,O1456))</f>
        <v/>
      </c>
      <c r="AJ1456" s="25" t="str">
        <f>IF(SUMIFS('Supp Consol'!AA:AA,'Supp Consol'!Z:Z,"Expired Previous Months",'Supp Consol'!A:A,O1456)=0,"",SUMIFS('Supp Consol'!AA:AA,'Supp Consol'!Z:Z,"Expired Previous Months",'Supp Consol'!A:A,O1456))</f>
        <v/>
      </c>
      <c r="AK1456" s="25" t="str">
        <f>IFERROR(INDEX('Hun Release Current'!B:B,MATCH(O1456,'Hun Release Current'!A:A,0)),"")</f>
        <v/>
      </c>
      <c r="AL1456" s="25" t="str">
        <f>IF(SUMIF('Prev Aub'!A:A,O1456,'Prev Aub'!B:B)=0,"",SUMIF('Prev Aub'!A:A,O1456,'Prev Aub'!B:B))</f>
        <v/>
      </c>
      <c r="AN1456" s="25" t="s">
        <v>3790</v>
      </c>
      <c r="AO1456" s="25" t="s">
        <v>3790</v>
      </c>
      <c r="AP1456" s="25">
        <f t="shared" si="622"/>
        <v>0</v>
      </c>
      <c r="AQ1456" s="151" t="str">
        <f>IF(SUMIFS('Supp Consol'!S:S,'Supp Consol'!A:A,O1456,'Supp Consol'!I:I,"PENDING")=0,"",SUMIFS('Supp Consol'!S:S,'Supp Consol'!A:A,O1456,'Supp Consol'!I:I,"PENDING"))</f>
        <v/>
      </c>
      <c r="AR1456" s="27" t="str">
        <f t="shared" si="623"/>
        <v>WM951</v>
      </c>
      <c r="AS1456" s="27" t="str">
        <f t="shared" si="624"/>
        <v>37</v>
      </c>
      <c r="AT1456" s="27" t="str">
        <f t="shared" si="625"/>
        <v>WM951</v>
      </c>
      <c r="AU1456" s="27" t="str">
        <f t="shared" si="626"/>
        <v>WM951</v>
      </c>
      <c r="AV1456" s="27" t="str">
        <f t="shared" si="627"/>
        <v>WM951</v>
      </c>
      <c r="AW1456" s="27" t="str">
        <f t="shared" si="628"/>
        <v/>
      </c>
      <c r="AX1456" s="27" t="str">
        <f t="shared" si="629"/>
        <v/>
      </c>
      <c r="AY1456" s="27" t="str">
        <f t="shared" si="630"/>
        <v/>
      </c>
      <c r="AZ1456" s="27" t="str">
        <f t="shared" si="631"/>
        <v/>
      </c>
      <c r="BA1456" s="27" t="str">
        <f t="shared" si="632"/>
        <v>Hun</v>
      </c>
      <c r="BB1456" s="27" t="str">
        <f t="shared" si="633"/>
        <v>Gross</v>
      </c>
      <c r="BC1456" s="27" t="str">
        <f t="shared" si="634"/>
        <v>Net</v>
      </c>
      <c r="BD1456" s="27" t="str">
        <f t="shared" si="635"/>
        <v>Net</v>
      </c>
      <c r="BE1456" s="27" t="str">
        <f t="shared" si="636"/>
        <v/>
      </c>
      <c r="BF1456" s="27" t="str">
        <f t="shared" si="637"/>
        <v/>
      </c>
      <c r="BG1456" s="27" t="str">
        <f t="shared" si="638"/>
        <v/>
      </c>
      <c r="BH1456" s="27" t="str">
        <f t="shared" si="639"/>
        <v>H+N</v>
      </c>
      <c r="BI1456" s="27" t="str">
        <f t="shared" si="640"/>
        <v>H+Nex</v>
      </c>
      <c r="BJ1456" s="27" t="str">
        <f t="shared" si="641"/>
        <v>Supp or Hun</v>
      </c>
      <c r="BK1456" s="27" t="str">
        <f t="shared" si="642"/>
        <v>Supp or Hun Need</v>
      </c>
      <c r="BL1456" s="27" t="str">
        <f t="shared" si="643"/>
        <v>SorHandNandE</v>
      </c>
      <c r="BM1456" s="21" t="s">
        <v>5581</v>
      </c>
    </row>
    <row r="1457" spans="1:65" ht="15">
      <c r="A1457" s="25">
        <f>IFERROR(INDEX('Hun Demand'!W:W,MATCH(O1457,'Hun Demand'!A:A,0)),"")</f>
        <v>0</v>
      </c>
      <c r="B1457" s="25">
        <f>IFERROR(INDEX('Hun Demand'!V:V,MATCH(O1457,'Hun Demand'!A:A,0)),"")</f>
        <v>309</v>
      </c>
      <c r="C1457" s="25">
        <f>IFERROR(INDEX('Hun Demand'!U:U,MATCH(O1457,'Hun Demand'!A:A,0)),"")</f>
        <v>0</v>
      </c>
      <c r="D1457" s="25">
        <f>IFERROR(INDEX('Hun Demand'!T:T,MATCH(O1457,'Hun Demand'!A:A,0)),"")</f>
        <v>546</v>
      </c>
      <c r="E1457" s="25">
        <f>IFERROR(INDEX('Hun Demand'!S:S,MATCH(O1457,'Hun Demand'!A:A,0)),"")</f>
        <v>0</v>
      </c>
      <c r="F1457" s="25">
        <f>IFERROR(INDEX('Hun Demand'!R:R,MATCH(O1457,'Hun Demand'!A:A,0)),"")</f>
        <v>0</v>
      </c>
      <c r="G1457" s="25">
        <f>IFERROR(INDEX('Aub Demand'!W:W,MATCH(O1457,'Aub Demand'!A:A,0)),"")</f>
        <v>0</v>
      </c>
      <c r="H1457" s="25">
        <f>IFERROR(INDEX('Aub Demand'!V:V,MATCH(O1457,'Aub Demand'!A:A,0)),"")</f>
        <v>1615</v>
      </c>
      <c r="I1457" s="25">
        <f>IFERROR(INDEX('Aub Demand'!U:U,MATCH(O1457,'Aub Demand'!A:A,0)),"")</f>
        <v>524</v>
      </c>
      <c r="J1457" s="25">
        <f>IFERROR(INDEX('Aub Demand'!T:T,MATCH(O1457,'Aub Demand'!A:A,0)),"")</f>
        <v>194</v>
      </c>
      <c r="K1457" s="25">
        <f>IFERROR(INDEX('Aub Demand'!S:S,MATCH(O1457,'Aub Demand'!A:A,0)),"")</f>
        <v>282</v>
      </c>
      <c r="L1457" s="25">
        <f>IFERROR(INDEX('Aub Demand'!R:R,MATCH(O1457,'Aub Demand'!A:A,0)),"")</f>
        <v>62</v>
      </c>
      <c r="O1457" s="27" t="s">
        <v>1759</v>
      </c>
      <c r="P1457" s="27" t="str">
        <f>IFERROR(INDEX('Aub Demand'!B:B,MATCH($O1457,'Aub Demand'!$A:$A,0)),"")</f>
        <v>HONEY MAPLE</v>
      </c>
      <c r="Q1457" s="27" t="str">
        <f>IFERROR(INDEX('Aub Demand'!C:C,MATCH($O1457,'Aub Demand'!$A:$A,0)),"")</f>
        <v>TOPPA</v>
      </c>
      <c r="R1457" s="52">
        <f>IFERROR(IF(AR1458=AR1457,INDEX('Aub Demand'!K:K,MATCH($O1457,'Aub Demand'!$A:$A,0))-IF(AN1457="",0,AN1457)+AP1458,INDEX('Aub Demand'!K:K,MATCH($O1457,'Aub Demand'!$A:$A,0))-IF(AN1457="",0,AN1457)),"")</f>
        <v>806</v>
      </c>
      <c r="S1457" s="53">
        <f t="shared" si="616"/>
        <v>10.4</v>
      </c>
      <c r="T1457" s="52" t="str">
        <f t="shared" si="617"/>
        <v/>
      </c>
      <c r="U1457" s="52">
        <f>IFERROR(IF(AR1458=AR1457,INDEX('Aub Demand'!Q:Q,MATCH($O1457,'Aub Demand'!$A:$A,0))-IF(AN1457="",0,AN1457)+AP1458,INDEX('Aub Demand'!Q:Q,MATCH($O1457,'Aub Demand'!$A:$A,0))-IF(AN1457="",0,AN1457)),"")</f>
        <v>450</v>
      </c>
      <c r="V1457" s="53">
        <f t="shared" si="618"/>
        <v>5.8</v>
      </c>
      <c r="W1457" s="52" t="str">
        <f t="shared" si="619"/>
        <v/>
      </c>
      <c r="X1457" s="52">
        <f>IFERROR(IF(AND(AR1458=AR1457,AM1457&lt;&gt;""),INDEX('Aub Demand'!Q:Q,MATCH($O1457,'Aub Demand'!$A:$A,0))-IF(AN1457="",0,AN1457)+AP1458+AD1457+AL1457,IF(AR1458=AR1457,INDEX('Aub Demand'!Q:Q,MATCH($O1457,'Aub Demand'!$A:$A,0))-IF(AN1457="",0,AN1457)+AP1458+AD1457,IF(AM1457&lt;&gt;"",INDEX('Aub Demand'!Q:Q,MATCH($O1457,'Aub Demand'!$A:$A,0))-IF(AN1457="",0,AN1457)+AD1457+AL1457,INDEX('Aub Demand'!Q:Q,MATCH($O1457,'Aub Demand'!$A:$A,0))-IF(AN1457="",0,AN1457)+AD1457))),"")</f>
        <v>450</v>
      </c>
      <c r="Y1457" s="53">
        <f t="shared" si="620"/>
        <v>5.8</v>
      </c>
      <c r="Z1457" s="52">
        <f>IF(L1457="","",INDEX('Aub Demand'!H:H,MATCH($O1457,'Aub Demand'!$A:$A,0)))</f>
        <v>333</v>
      </c>
      <c r="AA1457" s="52">
        <f t="shared" si="621"/>
        <v>403</v>
      </c>
      <c r="AB1457" s="52">
        <f>IFERROR(INDEX('Aub Demand'!L:L,MATCH($O1457,'Aub Demand'!$A:$A,0)),"")</f>
        <v>302</v>
      </c>
      <c r="AC1457" s="52">
        <f>IFERROR(IF(O1457="","",SUMIFS('CPL Mats'!F:F,'CPL Mats'!Q:Q,AR1457,'CPL Mats'!S:S,AS1457)),"")</f>
        <v>0</v>
      </c>
      <c r="AF1457" s="25" t="str">
        <f>IF(SUMIFS('Supp Consol'!S:S,'Supp Consol'!Y:Y,"Releasable",'Supp Consol'!A:A,O1457)=0,"",SUMIFS('Supp Consol'!S:S,'Supp Consol'!Y:Y,"Releasable",'Supp Consol'!A:A,O1457))</f>
        <v/>
      </c>
      <c r="AG1457" s="25">
        <f>IFERROR(INDEX('Hun Demand'!Q:Q,MATCH(O1457,'Hun Demand'!A:A,0)),"")</f>
        <v>1592</v>
      </c>
      <c r="AH1457" s="25">
        <f>IFERROR(INDEX('Hun Demand'!H:H,MATCH($O1457,'Hun Demand'!$A:$A,0)),"")</f>
        <v>182</v>
      </c>
      <c r="AI1457" s="25" t="str">
        <f>IF(SUMIFS('Supp Consol'!AA:AA,'Supp Consol'!Z:Z,"Expires this month",'Supp Consol'!A:A,O1457)=0,"",SUMIFS('Supp Consol'!AA:AA,'Supp Consol'!Z:Z,"Expires this month",'Supp Consol'!A:A,O1457))</f>
        <v/>
      </c>
      <c r="AJ1457" s="25" t="str">
        <f>IF(SUMIFS('Supp Consol'!AA:AA,'Supp Consol'!Z:Z,"Expired Previous Months",'Supp Consol'!A:A,O1457)=0,"",SUMIFS('Supp Consol'!AA:AA,'Supp Consol'!Z:Z,"Expired Previous Months",'Supp Consol'!A:A,O1457))</f>
        <v/>
      </c>
      <c r="AK1457" s="25" t="str">
        <f>IFERROR(INDEX('Hun Release Current'!B:B,MATCH(O1457,'Hun Release Current'!A:A,0)),"")</f>
        <v/>
      </c>
      <c r="AL1457" s="25" t="str">
        <f>IF(SUMIF('Prev Aub'!A:A,O1457,'Prev Aub'!B:B)=0,"",SUMIF('Prev Aub'!A:A,O1457,'Prev Aub'!B:B))</f>
        <v/>
      </c>
      <c r="AN1457" s="25" t="s">
        <v>3790</v>
      </c>
      <c r="AO1457" s="25" t="s">
        <v>3790</v>
      </c>
      <c r="AP1457" s="25">
        <f t="shared" si="622"/>
        <v>0</v>
      </c>
      <c r="AQ1457" s="151" t="str">
        <f>IF(SUMIFS('Supp Consol'!S:S,'Supp Consol'!A:A,O1457,'Supp Consol'!I:I,"PENDING")=0,"",SUMIFS('Supp Consol'!S:S,'Supp Consol'!A:A,O1457,'Supp Consol'!I:I,"PENDING"))</f>
        <v/>
      </c>
      <c r="AR1457" s="27" t="str">
        <f t="shared" si="623"/>
        <v>WM951</v>
      </c>
      <c r="AS1457" s="27" t="str">
        <f t="shared" si="624"/>
        <v>50</v>
      </c>
      <c r="AT1457" s="27" t="str">
        <f t="shared" si="625"/>
        <v/>
      </c>
      <c r="AU1457" s="27" t="str">
        <f t="shared" si="626"/>
        <v/>
      </c>
      <c r="AV1457" s="27" t="str">
        <f t="shared" si="627"/>
        <v/>
      </c>
      <c r="AW1457" s="27" t="str">
        <f t="shared" si="628"/>
        <v/>
      </c>
      <c r="AX1457" s="27" t="str">
        <f t="shared" si="629"/>
        <v/>
      </c>
      <c r="AY1457" s="27" t="str">
        <f t="shared" si="630"/>
        <v>WM951</v>
      </c>
      <c r="AZ1457" s="27" t="str">
        <f t="shared" si="631"/>
        <v/>
      </c>
      <c r="BA1457" s="27" t="str">
        <f t="shared" si="632"/>
        <v>Hun</v>
      </c>
      <c r="BB1457" s="27" t="str">
        <f t="shared" si="633"/>
        <v>Gross</v>
      </c>
      <c r="BC1457" s="27" t="str">
        <f t="shared" si="634"/>
        <v>Net</v>
      </c>
      <c r="BD1457" s="27" t="str">
        <f t="shared" si="635"/>
        <v>Net</v>
      </c>
      <c r="BE1457" s="27" t="str">
        <f t="shared" si="636"/>
        <v/>
      </c>
      <c r="BF1457" s="27" t="str">
        <f t="shared" si="637"/>
        <v/>
      </c>
      <c r="BG1457" s="27" t="str">
        <f t="shared" si="638"/>
        <v/>
      </c>
      <c r="BH1457" s="27" t="str">
        <f t="shared" si="639"/>
        <v>H+N</v>
      </c>
      <c r="BI1457" s="27" t="str">
        <f t="shared" si="640"/>
        <v>H+Nex</v>
      </c>
      <c r="BJ1457" s="27" t="str">
        <f t="shared" si="641"/>
        <v>Supp or Hun</v>
      </c>
      <c r="BK1457" s="27" t="str">
        <f t="shared" si="642"/>
        <v>Supp or Hun Need</v>
      </c>
      <c r="BL1457" s="27" t="str">
        <f t="shared" si="643"/>
        <v>SorHandNandE</v>
      </c>
      <c r="BM1457" s="21" t="s">
        <v>5581</v>
      </c>
    </row>
    <row r="1458" spans="1:65" ht="15">
      <c r="A1458" s="25">
        <f>IFERROR(INDEX('Hun Demand'!W:W,MATCH(O1458,'Hun Demand'!A:A,0)),"")</f>
        <v>0</v>
      </c>
      <c r="B1458" s="25">
        <f>IFERROR(INDEX('Hun Demand'!V:V,MATCH(O1458,'Hun Demand'!A:A,0)),"")</f>
        <v>704</v>
      </c>
      <c r="C1458" s="25">
        <f>IFERROR(INDEX('Hun Demand'!U:U,MATCH(O1458,'Hun Demand'!A:A,0)),"")</f>
        <v>0</v>
      </c>
      <c r="D1458" s="25">
        <f>IFERROR(INDEX('Hun Demand'!T:T,MATCH(O1458,'Hun Demand'!A:A,0)),"")</f>
        <v>772</v>
      </c>
      <c r="E1458" s="25">
        <f>IFERROR(INDEX('Hun Demand'!S:S,MATCH(O1458,'Hun Demand'!A:A,0)),"")</f>
        <v>0</v>
      </c>
      <c r="F1458" s="25">
        <f>IFERROR(INDEX('Hun Demand'!R:R,MATCH(O1458,'Hun Demand'!A:A,0)),"")</f>
        <v>0</v>
      </c>
      <c r="G1458" s="25">
        <f>IFERROR(INDEX('Aub Demand'!W:W,MATCH(O1458,'Aub Demand'!A:A,0)),"")</f>
        <v>0</v>
      </c>
      <c r="H1458" s="25">
        <f>IFERROR(INDEX('Aub Demand'!V:V,MATCH(O1458,'Aub Demand'!A:A,0)),"")</f>
        <v>1019</v>
      </c>
      <c r="I1458" s="25">
        <f>IFERROR(INDEX('Aub Demand'!U:U,MATCH(O1458,'Aub Demand'!A:A,0)),"")</f>
        <v>97</v>
      </c>
      <c r="J1458" s="25">
        <f>IFERROR(INDEX('Aub Demand'!T:T,MATCH(O1458,'Aub Demand'!A:A,0)),"")</f>
        <v>305</v>
      </c>
      <c r="K1458" s="25">
        <f>IFERROR(INDEX('Aub Demand'!S:S,MATCH(O1458,'Aub Demand'!A:A,0)),"")</f>
        <v>254</v>
      </c>
      <c r="L1458" s="25">
        <f>IFERROR(INDEX('Aub Demand'!R:R,MATCH(O1458,'Aub Demand'!A:A,0)),"")</f>
        <v>0</v>
      </c>
      <c r="O1458" s="27" t="s">
        <v>1761</v>
      </c>
      <c r="P1458" s="27" t="str">
        <f>IFERROR(INDEX('Aub Demand'!B:B,MATCH($O1458,'Aub Demand'!$A:$A,0)),"")</f>
        <v>HONEY MAPLE</v>
      </c>
      <c r="Q1458" s="27" t="str">
        <f>IFERROR(INDEX('Aub Demand'!C:C,MATCH($O1458,'Aub Demand'!$A:$A,0)),"")</f>
        <v>TOPPA</v>
      </c>
      <c r="R1458" s="52">
        <f>IFERROR(IF(AR1459=AR1458,INDEX('Aub Demand'!K:K,MATCH($O1458,'Aub Demand'!$A:$A,0))-IF(AN1458="",0,AN1458)+AP1459,INDEX('Aub Demand'!K:K,MATCH($O1458,'Aub Demand'!$A:$A,0))-IF(AN1458="",0,AN1458)),"")</f>
        <v>918</v>
      </c>
      <c r="S1458" s="53">
        <f t="shared" si="616"/>
        <v>18</v>
      </c>
      <c r="T1458" s="52" t="str">
        <f t="shared" si="617"/>
        <v/>
      </c>
      <c r="U1458" s="52">
        <f>IFERROR(IF(AR1459=AR1458,INDEX('Aub Demand'!Q:Q,MATCH($O1458,'Aub Demand'!$A:$A,0))-IF(AN1458="",0,AN1458)+AP1459,INDEX('Aub Demand'!Q:Q,MATCH($O1458,'Aub Demand'!$A:$A,0))-IF(AN1458="",0,AN1458)),"")</f>
        <v>852</v>
      </c>
      <c r="V1458" s="53">
        <f t="shared" si="618"/>
        <v>16.7</v>
      </c>
      <c r="W1458" s="52" t="str">
        <f t="shared" si="619"/>
        <v/>
      </c>
      <c r="X1458" s="52">
        <f>IFERROR(IF(AND(AR1459=AR1458,AM1458&lt;&gt;""),INDEX('Aub Demand'!Q:Q,MATCH($O1458,'Aub Demand'!$A:$A,0))-IF(AN1458="",0,AN1458)+AP1459+AD1458+AL1458,IF(AR1459=AR1458,INDEX('Aub Demand'!Q:Q,MATCH($O1458,'Aub Demand'!$A:$A,0))-IF(AN1458="",0,AN1458)+AP1459+AD1458,IF(AM1458&lt;&gt;"",INDEX('Aub Demand'!Q:Q,MATCH($O1458,'Aub Demand'!$A:$A,0))-IF(AN1458="",0,AN1458)+AD1458+AL1458,INDEX('Aub Demand'!Q:Q,MATCH($O1458,'Aub Demand'!$A:$A,0))-IF(AN1458="",0,AN1458)+AD1458))),"")</f>
        <v>852</v>
      </c>
      <c r="Y1458" s="53">
        <f t="shared" si="620"/>
        <v>16.7</v>
      </c>
      <c r="Z1458" s="52">
        <f>IF(L1458="","",INDEX('Aub Demand'!H:H,MATCH($O1458,'Aub Demand'!$A:$A,0)))</f>
        <v>219</v>
      </c>
      <c r="AA1458" s="52">
        <f t="shared" si="621"/>
        <v>279.5</v>
      </c>
      <c r="AB1458" s="52">
        <f>IFERROR(INDEX('Aub Demand'!L:L,MATCH($O1458,'Aub Demand'!$A:$A,0)),"")</f>
        <v>127</v>
      </c>
      <c r="AC1458" s="52">
        <f>IFERROR(IF(O1458="","",SUMIFS('CPL Mats'!F:F,'CPL Mats'!Q:Q,AR1458,'CPL Mats'!S:S,AS1458)),"")</f>
        <v>571.09</v>
      </c>
      <c r="AF1458" s="25" t="str">
        <f>IF(SUMIFS('Supp Consol'!S:S,'Supp Consol'!Y:Y,"Releasable",'Supp Consol'!A:A,O1458)=0,"",SUMIFS('Supp Consol'!S:S,'Supp Consol'!Y:Y,"Releasable",'Supp Consol'!A:A,O1458))</f>
        <v/>
      </c>
      <c r="AG1458" s="25">
        <f>IFERROR(INDEX('Hun Demand'!Q:Q,MATCH(O1458,'Hun Demand'!A:A,0)),"")</f>
        <v>370</v>
      </c>
      <c r="AH1458" s="25">
        <f>IFERROR(INDEX('Hun Demand'!H:H,MATCH($O1458,'Hun Demand'!$A:$A,0)),"")</f>
        <v>257</v>
      </c>
      <c r="AI1458" s="25" t="str">
        <f>IF(SUMIFS('Supp Consol'!AA:AA,'Supp Consol'!Z:Z,"Expires this month",'Supp Consol'!A:A,O1458)=0,"",SUMIFS('Supp Consol'!AA:AA,'Supp Consol'!Z:Z,"Expires this month",'Supp Consol'!A:A,O1458))</f>
        <v/>
      </c>
      <c r="AJ1458" s="25" t="str">
        <f>IF(SUMIFS('Supp Consol'!AA:AA,'Supp Consol'!Z:Z,"Expired Previous Months",'Supp Consol'!A:A,O1458)=0,"",SUMIFS('Supp Consol'!AA:AA,'Supp Consol'!Z:Z,"Expired Previous Months",'Supp Consol'!A:A,O1458))</f>
        <v/>
      </c>
      <c r="AK1458" s="25" t="str">
        <f>IFERROR(INDEX('Hun Release Current'!B:B,MATCH(O1458,'Hun Release Current'!A:A,0)),"")</f>
        <v/>
      </c>
      <c r="AL1458" s="25" t="str">
        <f>IF(SUMIF('Prev Aub'!A:A,O1458,'Prev Aub'!B:B)=0,"",SUMIF('Prev Aub'!A:A,O1458,'Prev Aub'!B:B))</f>
        <v/>
      </c>
      <c r="AN1458" s="25" t="s">
        <v>3790</v>
      </c>
      <c r="AO1458" s="25" t="s">
        <v>3790</v>
      </c>
      <c r="AP1458" s="25">
        <f t="shared" si="622"/>
        <v>0</v>
      </c>
      <c r="AQ1458" s="151" t="str">
        <f>IF(SUMIFS('Supp Consol'!S:S,'Supp Consol'!A:A,O1458,'Supp Consol'!I:I,"PENDING")=0,"",SUMIFS('Supp Consol'!S:S,'Supp Consol'!A:A,O1458,'Supp Consol'!I:I,"PENDING"))</f>
        <v/>
      </c>
      <c r="AR1458" s="27" t="str">
        <f t="shared" si="623"/>
        <v>WM951</v>
      </c>
      <c r="AS1458" s="27" t="str">
        <f t="shared" si="624"/>
        <v>62</v>
      </c>
      <c r="AT1458" s="27" t="str">
        <f t="shared" si="625"/>
        <v/>
      </c>
      <c r="AU1458" s="27" t="str">
        <f t="shared" si="626"/>
        <v/>
      </c>
      <c r="AV1458" s="27" t="str">
        <f t="shared" si="627"/>
        <v/>
      </c>
      <c r="AW1458" s="27" t="str">
        <f t="shared" si="628"/>
        <v/>
      </c>
      <c r="AX1458" s="27" t="str">
        <f t="shared" si="629"/>
        <v/>
      </c>
      <c r="AY1458" s="27" t="str">
        <f t="shared" si="630"/>
        <v>WM951</v>
      </c>
      <c r="AZ1458" s="27" t="str">
        <f t="shared" si="631"/>
        <v/>
      </c>
      <c r="BA1458" s="27" t="str">
        <f t="shared" si="632"/>
        <v>Hun</v>
      </c>
      <c r="BB1458" s="27" t="str">
        <f t="shared" si="633"/>
        <v>Gross</v>
      </c>
      <c r="BC1458" s="27" t="str">
        <f t="shared" si="634"/>
        <v>Net</v>
      </c>
      <c r="BD1458" s="27" t="str">
        <f t="shared" si="635"/>
        <v>Net</v>
      </c>
      <c r="BE1458" s="27" t="str">
        <f t="shared" si="636"/>
        <v/>
      </c>
      <c r="BF1458" s="27" t="str">
        <f t="shared" si="637"/>
        <v/>
      </c>
      <c r="BG1458" s="27" t="str">
        <f t="shared" si="638"/>
        <v/>
      </c>
      <c r="BH1458" s="27" t="str">
        <f t="shared" si="639"/>
        <v>H+N</v>
      </c>
      <c r="BI1458" s="27" t="str">
        <f t="shared" si="640"/>
        <v>H+Nex</v>
      </c>
      <c r="BJ1458" s="27" t="str">
        <f t="shared" si="641"/>
        <v>Supp or Hun</v>
      </c>
      <c r="BK1458" s="27" t="str">
        <f t="shared" si="642"/>
        <v>Supp or Hun Need</v>
      </c>
      <c r="BL1458" s="27" t="str">
        <f t="shared" si="643"/>
        <v>SorHandNandE</v>
      </c>
      <c r="BM1458" s="21" t="s">
        <v>5581</v>
      </c>
    </row>
    <row r="1459" spans="1:65" ht="15">
      <c r="A1459" s="25" t="str">
        <f>IFERROR(INDEX('Hun Demand'!W:W,MATCH(O1459,'Hun Demand'!A:A,0)),"")</f>
        <v/>
      </c>
      <c r="B1459" s="25" t="str">
        <f>IFERROR(INDEX('Hun Demand'!V:V,MATCH(O1459,'Hun Demand'!A:A,0)),"")</f>
        <v/>
      </c>
      <c r="C1459" s="25" t="str">
        <f>IFERROR(INDEX('Hun Demand'!U:U,MATCH(O1459,'Hun Demand'!A:A,0)),"")</f>
        <v/>
      </c>
      <c r="D1459" s="25" t="str">
        <f>IFERROR(INDEX('Hun Demand'!T:T,MATCH(O1459,'Hun Demand'!A:A,0)),"")</f>
        <v/>
      </c>
      <c r="E1459" s="25" t="str">
        <f>IFERROR(INDEX('Hun Demand'!S:S,MATCH(O1459,'Hun Demand'!A:A,0)),"")</f>
        <v/>
      </c>
      <c r="F1459" s="25" t="str">
        <f>IFERROR(INDEX('Hun Demand'!R:R,MATCH(O1459,'Hun Demand'!A:A,0)),"")</f>
        <v/>
      </c>
      <c r="G1459" s="25">
        <f>IFERROR(INDEX('Aub Demand'!W:W,MATCH(O1459,'Aub Demand'!A:A,0)),"")</f>
        <v>658</v>
      </c>
      <c r="H1459" s="25">
        <f>IFERROR(INDEX('Aub Demand'!V:V,MATCH(O1459,'Aub Demand'!A:A,0)),"")</f>
        <v>0</v>
      </c>
      <c r="I1459" s="25">
        <f>IFERROR(INDEX('Aub Demand'!U:U,MATCH(O1459,'Aub Demand'!A:A,0)),"")</f>
        <v>0</v>
      </c>
      <c r="J1459" s="25">
        <f>IFERROR(INDEX('Aub Demand'!T:T,MATCH(O1459,'Aub Demand'!A:A,0)),"")</f>
        <v>0</v>
      </c>
      <c r="K1459" s="25">
        <f>IFERROR(INDEX('Aub Demand'!S:S,MATCH(O1459,'Aub Demand'!A:A,0)),"")</f>
        <v>0</v>
      </c>
      <c r="L1459" s="25">
        <f>IFERROR(INDEX('Aub Demand'!R:R,MATCH(O1459,'Aub Demand'!A:A,0)),"")</f>
        <v>0</v>
      </c>
      <c r="O1459" s="27" t="s">
        <v>1762</v>
      </c>
      <c r="P1459" s="27" t="str">
        <f>IFERROR(INDEX('Aub Demand'!B:B,MATCH($O1459,'Aub Demand'!$A:$A,0)),"")</f>
        <v>LEFT BRUNSWICK MAPLE</v>
      </c>
      <c r="Q1459" s="27" t="str">
        <f>IFERROR(INDEX('Aub Demand'!C:C,MATCH($O1459,'Aub Demand'!$A:$A,0)),"")</f>
        <v>SUDDE</v>
      </c>
      <c r="R1459" s="52">
        <f>IFERROR(IF(AR1460=AR1459,INDEX('Aub Demand'!K:K,MATCH($O1459,'Aub Demand'!$A:$A,0))-IF(AN1459="",0,AN1459)+AP1460,INDEX('Aub Demand'!K:K,MATCH($O1459,'Aub Demand'!$A:$A,0))-IF(AN1459="",0,AN1459)),"")</f>
        <v>833</v>
      </c>
      <c r="S1459" s="53" t="str">
        <f t="shared" si="616"/>
        <v>n/a</v>
      </c>
      <c r="T1459" s="52" t="str">
        <f t="shared" si="617"/>
        <v/>
      </c>
      <c r="U1459" s="52">
        <f>IFERROR(IF(AR1460=AR1459,INDEX('Aub Demand'!Q:Q,MATCH($O1459,'Aub Demand'!$A:$A,0))-IF(AN1459="",0,AN1459)+AP1460,INDEX('Aub Demand'!Q:Q,MATCH($O1459,'Aub Demand'!$A:$A,0))-IF(AN1459="",0,AN1459)),"")</f>
        <v>817</v>
      </c>
      <c r="V1459" s="53" t="str">
        <f t="shared" si="618"/>
        <v>n/a</v>
      </c>
      <c r="W1459" s="52" t="str">
        <f t="shared" si="619"/>
        <v/>
      </c>
      <c r="X1459" s="52">
        <f>IFERROR(IF(AND(AR1460=AR1459,AM1459&lt;&gt;""),INDEX('Aub Demand'!Q:Q,MATCH($O1459,'Aub Demand'!$A:$A,0))-IF(AN1459="",0,AN1459)+AP1460+AD1459+AL1459,IF(AR1460=AR1459,INDEX('Aub Demand'!Q:Q,MATCH($O1459,'Aub Demand'!$A:$A,0))-IF(AN1459="",0,AN1459)+AP1460+AD1459,IF(AM1459&lt;&gt;"",INDEX('Aub Demand'!Q:Q,MATCH($O1459,'Aub Demand'!$A:$A,0))-IF(AN1459="",0,AN1459)+AD1459+AL1459,INDEX('Aub Demand'!Q:Q,MATCH($O1459,'Aub Demand'!$A:$A,0))-IF(AN1459="",0,AN1459)+AD1459))),"")</f>
        <v>817</v>
      </c>
      <c r="Y1459" s="53" t="str">
        <f t="shared" si="620"/>
        <v>n/a</v>
      </c>
      <c r="Z1459" s="52">
        <f>IF(L1459="","",INDEX('Aub Demand'!H:H,MATCH($O1459,'Aub Demand'!$A:$A,0)))</f>
        <v>0</v>
      </c>
      <c r="AA1459" s="52" t="str">
        <f t="shared" si="621"/>
        <v>-spike-</v>
      </c>
      <c r="AB1459" s="52">
        <f>IFERROR(INDEX('Aub Demand'!L:L,MATCH($O1459,'Aub Demand'!$A:$A,0)),"")</f>
        <v>0</v>
      </c>
      <c r="AC1459" s="52">
        <f>IFERROR(IF(O1459="","",SUMIFS('CPL Mats'!F:F,'CPL Mats'!Q:Q,AR1459,'CPL Mats'!S:S,AS1459)),"")</f>
        <v>0</v>
      </c>
      <c r="AF1459" s="25">
        <f>IF(SUMIFS('Supp Consol'!S:S,'Supp Consol'!Y:Y,"Releasable",'Supp Consol'!A:A,O1459)=0,"",SUMIFS('Supp Consol'!S:S,'Supp Consol'!Y:Y,"Releasable",'Supp Consol'!A:A,O1459))</f>
        <v>2003</v>
      </c>
      <c r="AG1459" s="25" t="str">
        <f>IFERROR(INDEX('Hun Demand'!Q:Q,MATCH(O1459,'Hun Demand'!A:A,0)),"")</f>
        <v/>
      </c>
      <c r="AH1459" s="25" t="str">
        <f>IFERROR(INDEX('Hun Demand'!H:H,MATCH($O1459,'Hun Demand'!$A:$A,0)),"")</f>
        <v/>
      </c>
      <c r="AI1459" s="25" t="str">
        <f>IF(SUMIFS('Supp Consol'!AA:AA,'Supp Consol'!Z:Z,"Expires this month",'Supp Consol'!A:A,O1459)=0,"",SUMIFS('Supp Consol'!AA:AA,'Supp Consol'!Z:Z,"Expires this month",'Supp Consol'!A:A,O1459))</f>
        <v/>
      </c>
      <c r="AJ1459" s="25" t="str">
        <f>IF(SUMIFS('Supp Consol'!AA:AA,'Supp Consol'!Z:Z,"Expired Previous Months",'Supp Consol'!A:A,O1459)=0,"",SUMIFS('Supp Consol'!AA:AA,'Supp Consol'!Z:Z,"Expired Previous Months",'Supp Consol'!A:A,O1459))</f>
        <v/>
      </c>
      <c r="AK1459" s="25" t="str">
        <f>IFERROR(INDEX('Hun Release Current'!B:B,MATCH(O1459,'Hun Release Current'!A:A,0)),"")</f>
        <v/>
      </c>
      <c r="AL1459" s="25" t="str">
        <f>IF(SUMIF('Prev Aub'!A:A,O1459,'Prev Aub'!B:B)=0,"",SUMIF('Prev Aub'!A:A,O1459,'Prev Aub'!B:B))</f>
        <v/>
      </c>
      <c r="AN1459" s="25" t="s">
        <v>3790</v>
      </c>
      <c r="AO1459" s="25" t="s">
        <v>3790</v>
      </c>
      <c r="AP1459" s="25">
        <f t="shared" si="622"/>
        <v>0</v>
      </c>
      <c r="AQ1459" s="151" t="str">
        <f>IF(SUMIFS('Supp Consol'!S:S,'Supp Consol'!A:A,O1459,'Supp Consol'!I:I,"PENDING")=0,"",SUMIFS('Supp Consol'!S:S,'Supp Consol'!A:A,O1459,'Supp Consol'!I:I,"PENDING"))</f>
        <v/>
      </c>
      <c r="AR1459" s="27" t="str">
        <f t="shared" si="623"/>
        <v>WM981</v>
      </c>
      <c r="AS1459" s="27" t="str">
        <f t="shared" si="624"/>
        <v>62</v>
      </c>
      <c r="AT1459" s="27" t="str">
        <f t="shared" si="625"/>
        <v/>
      </c>
      <c r="AU1459" s="27" t="str">
        <f t="shared" si="626"/>
        <v/>
      </c>
      <c r="AV1459" s="27" t="str">
        <f t="shared" si="627"/>
        <v/>
      </c>
      <c r="AW1459" s="27" t="str">
        <f t="shared" si="628"/>
        <v/>
      </c>
      <c r="AX1459" s="27" t="str">
        <f t="shared" si="629"/>
        <v>WM981</v>
      </c>
      <c r="AY1459" s="27" t="str">
        <f t="shared" si="630"/>
        <v/>
      </c>
      <c r="AZ1459" s="27" t="str">
        <f t="shared" si="631"/>
        <v>Supp</v>
      </c>
      <c r="BA1459" s="27" t="str">
        <f t="shared" si="632"/>
        <v/>
      </c>
      <c r="BB1459" s="27" t="str">
        <f t="shared" si="633"/>
        <v/>
      </c>
      <c r="BC1459" s="27" t="str">
        <f t="shared" si="634"/>
        <v/>
      </c>
      <c r="BD1459" s="27" t="str">
        <f t="shared" si="635"/>
        <v/>
      </c>
      <c r="BE1459" s="27" t="str">
        <f t="shared" si="636"/>
        <v/>
      </c>
      <c r="BF1459" s="27" t="str">
        <f t="shared" si="637"/>
        <v/>
      </c>
      <c r="BG1459" s="27" t="str">
        <f t="shared" si="638"/>
        <v/>
      </c>
      <c r="BH1459" s="27" t="str">
        <f t="shared" si="639"/>
        <v/>
      </c>
      <c r="BI1459" s="27" t="str">
        <f t="shared" si="640"/>
        <v/>
      </c>
      <c r="BJ1459" s="27" t="str">
        <f t="shared" si="641"/>
        <v>Supp or Hun</v>
      </c>
      <c r="BK1459" s="27" t="str">
        <f t="shared" si="642"/>
        <v/>
      </c>
      <c r="BL1459" s="27" t="str">
        <f t="shared" si="643"/>
        <v/>
      </c>
      <c r="BM1459" s="21" t="s">
        <v>5581</v>
      </c>
    </row>
    <row r="1460" spans="1:65" ht="15">
      <c r="A1460" s="25" t="str">
        <f>IFERROR(INDEX('Hun Demand'!W:W,MATCH(O1460,'Hun Demand'!A:A,0)),"")</f>
        <v/>
      </c>
      <c r="B1460" s="25" t="str">
        <f>IFERROR(INDEX('Hun Demand'!V:V,MATCH(O1460,'Hun Demand'!A:A,0)),"")</f>
        <v/>
      </c>
      <c r="C1460" s="25" t="str">
        <f>IFERROR(INDEX('Hun Demand'!U:U,MATCH(O1460,'Hun Demand'!A:A,0)),"")</f>
        <v/>
      </c>
      <c r="D1460" s="25" t="str">
        <f>IFERROR(INDEX('Hun Demand'!T:T,MATCH(O1460,'Hun Demand'!A:A,0)),"")</f>
        <v/>
      </c>
      <c r="E1460" s="25" t="str">
        <f>IFERROR(INDEX('Hun Demand'!S:S,MATCH(O1460,'Hun Demand'!A:A,0)),"")</f>
        <v/>
      </c>
      <c r="F1460" s="25" t="str">
        <f>IFERROR(INDEX('Hun Demand'!R:R,MATCH(O1460,'Hun Demand'!A:A,0)),"")</f>
        <v/>
      </c>
      <c r="G1460" s="25">
        <f>IFERROR(INDEX('Aub Demand'!W:W,MATCH(O1460,'Aub Demand'!A:A,0)),"")</f>
        <v>839</v>
      </c>
      <c r="H1460" s="25">
        <f>IFERROR(INDEX('Aub Demand'!V:V,MATCH(O1460,'Aub Demand'!A:A,0)),"")</f>
        <v>0</v>
      </c>
      <c r="I1460" s="25">
        <f>IFERROR(INDEX('Aub Demand'!U:U,MATCH(O1460,'Aub Demand'!A:A,0)),"")</f>
        <v>240</v>
      </c>
      <c r="J1460" s="25">
        <f>IFERROR(INDEX('Aub Demand'!T:T,MATCH(O1460,'Aub Demand'!A:A,0)),"")</f>
        <v>239</v>
      </c>
      <c r="K1460" s="25">
        <f>IFERROR(INDEX('Aub Demand'!S:S,MATCH(O1460,'Aub Demand'!A:A,0)),"")</f>
        <v>252</v>
      </c>
      <c r="L1460" s="25">
        <f>IFERROR(INDEX('Aub Demand'!R:R,MATCH(O1460,'Aub Demand'!A:A,0)),"")</f>
        <v>0</v>
      </c>
      <c r="O1460" s="27" t="s">
        <v>1764</v>
      </c>
      <c r="P1460" s="27" t="str">
        <f>IFERROR(INDEX('Aub Demand'!B:B,MATCH($O1460,'Aub Demand'!$A:$A,0)),"")</f>
        <v>MAPLE LANE PRINT (W)</v>
      </c>
      <c r="Q1460" s="27" t="str">
        <f>IFERROR(INDEX('Aub Demand'!C:C,MATCH($O1460,'Aub Demand'!$A:$A,0)),"")</f>
        <v>SUDDE</v>
      </c>
      <c r="R1460" s="52">
        <f>IFERROR(IF(AR1461=AR1460,INDEX('Aub Demand'!K:K,MATCH($O1460,'Aub Demand'!$A:$A,0))-IF(AN1460="",0,AN1460)+AP1461,INDEX('Aub Demand'!K:K,MATCH($O1460,'Aub Demand'!$A:$A,0))-IF(AN1460="",0,AN1460)),"")</f>
        <v>207</v>
      </c>
      <c r="S1460" s="53">
        <f t="shared" si="616"/>
        <v>3.6</v>
      </c>
      <c r="T1460" s="52" t="str">
        <f t="shared" si="617"/>
        <v/>
      </c>
      <c r="U1460" s="52">
        <f>IFERROR(IF(AR1461=AR1460,INDEX('Aub Demand'!Q:Q,MATCH($O1460,'Aub Demand'!$A:$A,0))-IF(AN1460="",0,AN1460)+AP1461,INDEX('Aub Demand'!Q:Q,MATCH($O1460,'Aub Demand'!$A:$A,0))-IF(AN1460="",0,AN1460)),"")</f>
        <v>167</v>
      </c>
      <c r="V1460" s="53">
        <f t="shared" si="618"/>
        <v>2.9</v>
      </c>
      <c r="W1460" s="52">
        <f t="shared" si="619"/>
        <v>6.1500000000000057</v>
      </c>
      <c r="X1460" s="52">
        <f>IFERROR(IF(AND(AR1461=AR1460,AM1460&lt;&gt;""),INDEX('Aub Demand'!Q:Q,MATCH($O1460,'Aub Demand'!$A:$A,0))-IF(AN1460="",0,AN1460)+AP1461+AD1460+AL1460,IF(AR1461=AR1460,INDEX('Aub Demand'!Q:Q,MATCH($O1460,'Aub Demand'!$A:$A,0))-IF(AN1460="",0,AN1460)+AP1461+AD1460,IF(AM1460&lt;&gt;"",INDEX('Aub Demand'!Q:Q,MATCH($O1460,'Aub Demand'!$A:$A,0))-IF(AN1460="",0,AN1460)+AD1460+AL1460,INDEX('Aub Demand'!Q:Q,MATCH($O1460,'Aub Demand'!$A:$A,0))-IF(AN1460="",0,AN1460)+AD1460))),"")</f>
        <v>167</v>
      </c>
      <c r="Y1460" s="53">
        <f t="shared" si="620"/>
        <v>2.9</v>
      </c>
      <c r="Z1460" s="52">
        <f>IF(L1460="","",INDEX('Aub Demand'!H:H,MATCH($O1460,'Aub Demand'!$A:$A,0)))</f>
        <v>244</v>
      </c>
      <c r="AA1460" s="52">
        <f t="shared" si="621"/>
        <v>246</v>
      </c>
      <c r="AB1460" s="52">
        <f>IFERROR(INDEX('Aub Demand'!L:L,MATCH($O1460,'Aub Demand'!$A:$A,0)),"")</f>
        <v>280</v>
      </c>
      <c r="AC1460" s="52">
        <f>IFERROR(IF(O1460="","",SUMIFS('CPL Mats'!F:F,'CPL Mats'!Q:Q,AR1460,'CPL Mats'!S:S,AS1460)),"")</f>
        <v>0</v>
      </c>
      <c r="AF1460" s="25" t="str">
        <f>IF(SUMIFS('Supp Consol'!S:S,'Supp Consol'!Y:Y,"Releasable",'Supp Consol'!A:A,O1460)=0,"",SUMIFS('Supp Consol'!S:S,'Supp Consol'!Y:Y,"Releasable",'Supp Consol'!A:A,O1460))</f>
        <v/>
      </c>
      <c r="AG1460" s="25" t="str">
        <f>IFERROR(INDEX('Hun Demand'!Q:Q,MATCH(O1460,'Hun Demand'!A:A,0)),"")</f>
        <v/>
      </c>
      <c r="AH1460" s="25" t="str">
        <f>IFERROR(INDEX('Hun Demand'!H:H,MATCH($O1460,'Hun Demand'!$A:$A,0)),"")</f>
        <v/>
      </c>
      <c r="AI1460" s="25" t="str">
        <f>IF(SUMIFS('Supp Consol'!AA:AA,'Supp Consol'!Z:Z,"Expires this month",'Supp Consol'!A:A,O1460)=0,"",SUMIFS('Supp Consol'!AA:AA,'Supp Consol'!Z:Z,"Expires this month",'Supp Consol'!A:A,O1460))</f>
        <v/>
      </c>
      <c r="AJ1460" s="25" t="str">
        <f>IF(SUMIFS('Supp Consol'!AA:AA,'Supp Consol'!Z:Z,"Expired Previous Months",'Supp Consol'!A:A,O1460)=0,"",SUMIFS('Supp Consol'!AA:AA,'Supp Consol'!Z:Z,"Expired Previous Months",'Supp Consol'!A:A,O1460))</f>
        <v/>
      </c>
      <c r="AK1460" s="25" t="str">
        <f>IFERROR(INDEX('Hun Release Current'!B:B,MATCH(O1460,'Hun Release Current'!A:A,0)),"")</f>
        <v/>
      </c>
      <c r="AL1460" s="25" t="str">
        <f>IF(SUMIF('Prev Aub'!A:A,O1460,'Prev Aub'!B:B)=0,"",SUMIF('Prev Aub'!A:A,O1460,'Prev Aub'!B:B))</f>
        <v/>
      </c>
      <c r="AN1460" s="25" t="s">
        <v>3790</v>
      </c>
      <c r="AO1460" s="25" t="s">
        <v>3790</v>
      </c>
      <c r="AP1460" s="25">
        <f t="shared" si="622"/>
        <v>0</v>
      </c>
      <c r="AQ1460" s="151" t="str">
        <f>IF(SUMIFS('Supp Consol'!S:S,'Supp Consol'!A:A,O1460,'Supp Consol'!I:I,"PENDING")=0,"",SUMIFS('Supp Consol'!S:S,'Supp Consol'!A:A,O1460,'Supp Consol'!I:I,"PENDING"))</f>
        <v/>
      </c>
      <c r="AR1460" s="27" t="str">
        <f t="shared" si="623"/>
        <v>WM991</v>
      </c>
      <c r="AS1460" s="27" t="str">
        <f t="shared" si="624"/>
        <v>43</v>
      </c>
      <c r="AT1460" s="27" t="str">
        <f t="shared" si="625"/>
        <v/>
      </c>
      <c r="AU1460" s="27" t="str">
        <f t="shared" si="626"/>
        <v>WM991</v>
      </c>
      <c r="AV1460" s="27" t="str">
        <f t="shared" si="627"/>
        <v>WM991</v>
      </c>
      <c r="AW1460" s="27" t="str">
        <f t="shared" si="628"/>
        <v/>
      </c>
      <c r="AX1460" s="27" t="str">
        <f t="shared" si="629"/>
        <v/>
      </c>
      <c r="AY1460" s="27" t="str">
        <f t="shared" si="630"/>
        <v/>
      </c>
      <c r="AZ1460" s="27" t="str">
        <f t="shared" si="631"/>
        <v/>
      </c>
      <c r="BA1460" s="27" t="str">
        <f t="shared" si="632"/>
        <v/>
      </c>
      <c r="BB1460" s="27" t="str">
        <f t="shared" si="633"/>
        <v/>
      </c>
      <c r="BC1460" s="27" t="str">
        <f t="shared" si="634"/>
        <v>Net</v>
      </c>
      <c r="BD1460" s="27" t="str">
        <f t="shared" si="635"/>
        <v>Net</v>
      </c>
      <c r="BE1460" s="27" t="str">
        <f t="shared" si="636"/>
        <v/>
      </c>
      <c r="BF1460" s="27" t="str">
        <f t="shared" si="637"/>
        <v/>
      </c>
      <c r="BG1460" s="27" t="str">
        <f t="shared" si="638"/>
        <v/>
      </c>
      <c r="BH1460" s="27" t="str">
        <f t="shared" si="639"/>
        <v/>
      </c>
      <c r="BI1460" s="27" t="str">
        <f t="shared" si="640"/>
        <v/>
      </c>
      <c r="BJ1460" s="27" t="str">
        <f t="shared" si="641"/>
        <v/>
      </c>
      <c r="BK1460" s="27" t="str">
        <f t="shared" si="642"/>
        <v/>
      </c>
      <c r="BL1460" s="27" t="str">
        <f t="shared" si="643"/>
        <v/>
      </c>
      <c r="BM1460" s="21" t="s">
        <v>5581</v>
      </c>
    </row>
    <row r="1461" spans="1:65" ht="15">
      <c r="A1461" s="25" t="str">
        <f>IFERROR(INDEX('Hun Demand'!W:W,MATCH(O1461,'Hun Demand'!A:A,0)),"")</f>
        <v/>
      </c>
      <c r="B1461" s="25" t="str">
        <f>IFERROR(INDEX('Hun Demand'!V:V,MATCH(O1461,'Hun Demand'!A:A,0)),"")</f>
        <v/>
      </c>
      <c r="C1461" s="25" t="str">
        <f>IFERROR(INDEX('Hun Demand'!U:U,MATCH(O1461,'Hun Demand'!A:A,0)),"")</f>
        <v/>
      </c>
      <c r="D1461" s="25" t="str">
        <f>IFERROR(INDEX('Hun Demand'!T:T,MATCH(O1461,'Hun Demand'!A:A,0)),"")</f>
        <v/>
      </c>
      <c r="E1461" s="25" t="str">
        <f>IFERROR(INDEX('Hun Demand'!S:S,MATCH(O1461,'Hun Demand'!A:A,0)),"")</f>
        <v/>
      </c>
      <c r="F1461" s="25" t="str">
        <f>IFERROR(INDEX('Hun Demand'!R:R,MATCH(O1461,'Hun Demand'!A:A,0)),"")</f>
        <v/>
      </c>
      <c r="G1461" s="25">
        <f>IFERROR(INDEX('Aub Demand'!W:W,MATCH(O1461,'Aub Demand'!A:A,0)),"")</f>
        <v>0</v>
      </c>
      <c r="H1461" s="25">
        <f>IFERROR(INDEX('Aub Demand'!V:V,MATCH(O1461,'Aub Demand'!A:A,0)),"")</f>
        <v>0</v>
      </c>
      <c r="I1461" s="25">
        <f>IFERROR(INDEX('Aub Demand'!U:U,MATCH(O1461,'Aub Demand'!A:A,0)),"")</f>
        <v>6</v>
      </c>
      <c r="J1461" s="25">
        <f>IFERROR(INDEX('Aub Demand'!T:T,MATCH(O1461,'Aub Demand'!A:A,0)),"")</f>
        <v>0</v>
      </c>
      <c r="K1461" s="25">
        <f>IFERROR(INDEX('Aub Demand'!S:S,MATCH(O1461,'Aub Demand'!A:A,0)),"")</f>
        <v>75</v>
      </c>
      <c r="L1461" s="25">
        <f>IFERROR(INDEX('Aub Demand'!R:R,MATCH(O1461,'Aub Demand'!A:A,0)),"")</f>
        <v>0</v>
      </c>
      <c r="O1461" s="27" t="s">
        <v>3079</v>
      </c>
      <c r="P1461" s="27" t="str">
        <f>IFERROR(INDEX('Aub Demand'!B:B,MATCH($O1461,'Aub Demand'!$A:$A,0)),"")</f>
        <v>STRAIGHTAWAY OAK 36"</v>
      </c>
      <c r="Q1461" s="27" t="str">
        <f>IFERROR(INDEX('Aub Demand'!C:C,MATCH($O1461,'Aub Demand'!$A:$A,0)),"")</f>
        <v>TOPPA</v>
      </c>
      <c r="R1461" s="52">
        <f>IFERROR(IF(AR1462=AR1461,INDEX('Aub Demand'!K:K,MATCH($O1461,'Aub Demand'!$A:$A,0))-IF(AN1461="",0,AN1461)+AP1462,INDEX('Aub Demand'!K:K,MATCH($O1461,'Aub Demand'!$A:$A,0))-IF(AN1461="",0,AN1461)),"")</f>
        <v>20</v>
      </c>
      <c r="S1461" s="53">
        <f t="shared" si="616"/>
        <v>3.2</v>
      </c>
      <c r="T1461" s="52" t="str">
        <f t="shared" si="617"/>
        <v/>
      </c>
      <c r="U1461" s="52">
        <f>IFERROR(IF(AR1462=AR1461,INDEX('Aub Demand'!Q:Q,MATCH($O1461,'Aub Demand'!$A:$A,0))-IF(AN1461="",0,AN1461)+AP1462,INDEX('Aub Demand'!Q:Q,MATCH($O1461,'Aub Demand'!$A:$A,0))-IF(AN1461="",0,AN1461)),"")</f>
        <v>20</v>
      </c>
      <c r="V1461" s="53">
        <f t="shared" si="618"/>
        <v>3.2</v>
      </c>
      <c r="W1461" s="52" t="str">
        <f t="shared" si="619"/>
        <v/>
      </c>
      <c r="X1461" s="52">
        <f>IFERROR(IF(AND(AR1462=AR1461,AM1461&lt;&gt;""),INDEX('Aub Demand'!Q:Q,MATCH($O1461,'Aub Demand'!$A:$A,0))-IF(AN1461="",0,AN1461)+AP1462+AD1461+AL1461,IF(AR1462=AR1461,INDEX('Aub Demand'!Q:Q,MATCH($O1461,'Aub Demand'!$A:$A,0))-IF(AN1461="",0,AN1461)+AP1462+AD1461,IF(AM1461&lt;&gt;"",INDEX('Aub Demand'!Q:Q,MATCH($O1461,'Aub Demand'!$A:$A,0))-IF(AN1461="",0,AN1461)+AD1461+AL1461,INDEX('Aub Demand'!Q:Q,MATCH($O1461,'Aub Demand'!$A:$A,0))-IF(AN1461="",0,AN1461)+AD1461))),"")</f>
        <v>20</v>
      </c>
      <c r="Y1461" s="53">
        <f t="shared" si="620"/>
        <v>3.2</v>
      </c>
      <c r="Z1461" s="52">
        <f>IF(L1461="","",INDEX('Aub Demand'!H:H,MATCH($O1461,'Aub Demand'!$A:$A,0)))</f>
        <v>27</v>
      </c>
      <c r="AA1461" s="52">
        <f t="shared" si="621"/>
        <v>40.5</v>
      </c>
      <c r="AB1461" s="52">
        <f>IFERROR(INDEX('Aub Demand'!L:L,MATCH($O1461,'Aub Demand'!$A:$A,0)),"")</f>
        <v>4</v>
      </c>
      <c r="AC1461" s="52">
        <f>IFERROR(IF(O1461="","",SUMIFS('CPL Mats'!F:F,'CPL Mats'!Q:Q,AR1461,'CPL Mats'!S:S,AS1461)),"")</f>
        <v>0</v>
      </c>
      <c r="AF1461" s="25" t="str">
        <f>IF(SUMIFS('Supp Consol'!S:S,'Supp Consol'!Y:Y,"Releasable",'Supp Consol'!A:A,O1461)=0,"",SUMIFS('Supp Consol'!S:S,'Supp Consol'!Y:Y,"Releasable",'Supp Consol'!A:A,O1461))</f>
        <v/>
      </c>
      <c r="AG1461" s="25" t="str">
        <f>IFERROR(INDEX('Hun Demand'!Q:Q,MATCH(O1461,'Hun Demand'!A:A,0)),"")</f>
        <v/>
      </c>
      <c r="AH1461" s="25" t="str">
        <f>IFERROR(INDEX('Hun Demand'!H:H,MATCH($O1461,'Hun Demand'!$A:$A,0)),"")</f>
        <v/>
      </c>
      <c r="AI1461" s="25" t="str">
        <f>IF(SUMIFS('Supp Consol'!AA:AA,'Supp Consol'!Z:Z,"Expires this month",'Supp Consol'!A:A,O1461)=0,"",SUMIFS('Supp Consol'!AA:AA,'Supp Consol'!Z:Z,"Expires this month",'Supp Consol'!A:A,O1461))</f>
        <v/>
      </c>
      <c r="AJ1461" s="25" t="str">
        <f>IF(SUMIFS('Supp Consol'!AA:AA,'Supp Consol'!Z:Z,"Expired Previous Months",'Supp Consol'!A:A,O1461)=0,"",SUMIFS('Supp Consol'!AA:AA,'Supp Consol'!Z:Z,"Expired Previous Months",'Supp Consol'!A:A,O1461))</f>
        <v/>
      </c>
      <c r="AK1461" s="25" t="str">
        <f>IFERROR(INDEX('Hun Release Current'!B:B,MATCH(O1461,'Hun Release Current'!A:A,0)),"")</f>
        <v/>
      </c>
      <c r="AL1461" s="25" t="str">
        <f>IF(SUMIF('Prev Aub'!A:A,O1461,'Prev Aub'!B:B)=0,"",SUMIF('Prev Aub'!A:A,O1461,'Prev Aub'!B:B))</f>
        <v/>
      </c>
      <c r="AN1461" s="25" t="s">
        <v>3790</v>
      </c>
      <c r="AO1461" s="25" t="s">
        <v>3790</v>
      </c>
      <c r="AP1461" s="25">
        <f t="shared" si="622"/>
        <v>0</v>
      </c>
      <c r="AQ1461" s="151" t="str">
        <f>IF(SUMIFS('Supp Consol'!S:S,'Supp Consol'!A:A,O1461,'Supp Consol'!I:I,"PENDING")=0,"",SUMIFS('Supp Consol'!S:S,'Supp Consol'!A:A,O1461,'Supp Consol'!I:I,"PENDING"))</f>
        <v/>
      </c>
      <c r="AR1461" s="27" t="str">
        <f t="shared" si="623"/>
        <v>WO040</v>
      </c>
      <c r="AS1461" s="27" t="str">
        <f t="shared" si="624"/>
        <v>37</v>
      </c>
      <c r="AT1461" s="27" t="str">
        <f t="shared" si="625"/>
        <v/>
      </c>
      <c r="AU1461" s="27" t="str">
        <f t="shared" si="626"/>
        <v/>
      </c>
      <c r="AV1461" s="27" t="str">
        <f t="shared" si="627"/>
        <v/>
      </c>
      <c r="AW1461" s="27" t="str">
        <f t="shared" si="628"/>
        <v/>
      </c>
      <c r="AX1461" s="27" t="str">
        <f t="shared" si="629"/>
        <v/>
      </c>
      <c r="AY1461" s="27" t="str">
        <f t="shared" si="630"/>
        <v/>
      </c>
      <c r="AZ1461" s="27" t="str">
        <f t="shared" si="631"/>
        <v>Supp</v>
      </c>
      <c r="BA1461" s="27" t="str">
        <f t="shared" si="632"/>
        <v>Hun</v>
      </c>
      <c r="BB1461" s="27" t="str">
        <f t="shared" si="633"/>
        <v/>
      </c>
      <c r="BC1461" s="27" t="str">
        <f t="shared" si="634"/>
        <v/>
      </c>
      <c r="BD1461" s="27" t="str">
        <f t="shared" si="635"/>
        <v/>
      </c>
      <c r="BE1461" s="27" t="str">
        <f t="shared" si="636"/>
        <v/>
      </c>
      <c r="BF1461" s="27" t="str">
        <f t="shared" si="637"/>
        <v/>
      </c>
      <c r="BG1461" s="27" t="str">
        <f t="shared" si="638"/>
        <v/>
      </c>
      <c r="BH1461" s="27" t="str">
        <f t="shared" si="639"/>
        <v/>
      </c>
      <c r="BI1461" s="27" t="str">
        <f t="shared" si="640"/>
        <v/>
      </c>
      <c r="BJ1461" s="27" t="str">
        <f t="shared" si="641"/>
        <v>Supp or Hun</v>
      </c>
      <c r="BK1461" s="27" t="str">
        <f t="shared" si="642"/>
        <v/>
      </c>
      <c r="BL1461" s="27" t="str">
        <f t="shared" si="643"/>
        <v/>
      </c>
      <c r="BM1461" s="21" t="s">
        <v>5581</v>
      </c>
    </row>
    <row r="1462" spans="1:65" ht="15">
      <c r="A1462" s="25">
        <f>IFERROR(INDEX('Hun Demand'!W:W,MATCH(O1462,'Hun Demand'!A:A,0)),"")</f>
        <v>0</v>
      </c>
      <c r="B1462" s="25">
        <f>IFERROR(INDEX('Hun Demand'!V:V,MATCH(O1462,'Hun Demand'!A:A,0)),"")</f>
        <v>172</v>
      </c>
      <c r="C1462" s="25">
        <f>IFERROR(INDEX('Hun Demand'!U:U,MATCH(O1462,'Hun Demand'!A:A,0)),"")</f>
        <v>0</v>
      </c>
      <c r="D1462" s="25">
        <f>IFERROR(INDEX('Hun Demand'!T:T,MATCH(O1462,'Hun Demand'!A:A,0)),"")</f>
        <v>0</v>
      </c>
      <c r="E1462" s="25">
        <f>IFERROR(INDEX('Hun Demand'!S:S,MATCH(O1462,'Hun Demand'!A:A,0)),"")</f>
        <v>0</v>
      </c>
      <c r="F1462" s="25">
        <f>IFERROR(INDEX('Hun Demand'!R:R,MATCH(O1462,'Hun Demand'!A:A,0)),"")</f>
        <v>0</v>
      </c>
      <c r="G1462" s="25">
        <f>IFERROR(INDEX('Aub Demand'!W:W,MATCH(O1462,'Aub Demand'!A:A,0)),"")</f>
        <v>160</v>
      </c>
      <c r="H1462" s="25">
        <f>IFERROR(INDEX('Aub Demand'!V:V,MATCH(O1462,'Aub Demand'!A:A,0)),"")</f>
        <v>209</v>
      </c>
      <c r="I1462" s="25">
        <f>IFERROR(INDEX('Aub Demand'!U:U,MATCH(O1462,'Aub Demand'!A:A,0)),"")</f>
        <v>67</v>
      </c>
      <c r="J1462" s="25">
        <f>IFERROR(INDEX('Aub Demand'!T:T,MATCH(O1462,'Aub Demand'!A:A,0)),"")</f>
        <v>268</v>
      </c>
      <c r="K1462" s="25">
        <f>IFERROR(INDEX('Aub Demand'!S:S,MATCH(O1462,'Aub Demand'!A:A,0)),"")</f>
        <v>167</v>
      </c>
      <c r="L1462" s="25">
        <f>IFERROR(INDEX('Aub Demand'!R:R,MATCH(O1462,'Aub Demand'!A:A,0)),"")</f>
        <v>0</v>
      </c>
      <c r="O1462" s="27" t="s">
        <v>3081</v>
      </c>
      <c r="P1462" s="27" t="str">
        <f>IFERROR(INDEX('Aub Demand'!B:B,MATCH($O1462,'Aub Demand'!$A:$A,0)),"")</f>
        <v>STRAIGHTAWAY OAK 48"</v>
      </c>
      <c r="Q1462" s="27" t="str">
        <f>IFERROR(INDEX('Aub Demand'!C:C,MATCH($O1462,'Aub Demand'!$A:$A,0)),"")</f>
        <v>TOPPA</v>
      </c>
      <c r="R1462" s="52">
        <f>IFERROR(IF(AR1463=AR1462,INDEX('Aub Demand'!K:K,MATCH($O1462,'Aub Demand'!$A:$A,0))-IF(AN1462="",0,AN1462)+AP1463,INDEX('Aub Demand'!K:K,MATCH($O1462,'Aub Demand'!$A:$A,0))-IF(AN1462="",0,AN1462)),"")</f>
        <v>7691</v>
      </c>
      <c r="S1462" s="53">
        <f t="shared" si="616"/>
        <v>197.4</v>
      </c>
      <c r="T1462" s="52" t="str">
        <f t="shared" si="617"/>
        <v/>
      </c>
      <c r="U1462" s="52">
        <f>IFERROR(IF(AR1463=AR1462,INDEX('Aub Demand'!Q:Q,MATCH($O1462,'Aub Demand'!$A:$A,0))-IF(AN1462="",0,AN1462)+AP1463,INDEX('Aub Demand'!Q:Q,MATCH($O1462,'Aub Demand'!$A:$A,0))-IF(AN1462="",0,AN1462)),"")</f>
        <v>6695</v>
      </c>
      <c r="V1462" s="53">
        <f t="shared" si="618"/>
        <v>171.8</v>
      </c>
      <c r="W1462" s="52" t="str">
        <f t="shared" si="619"/>
        <v/>
      </c>
      <c r="X1462" s="52">
        <f>IFERROR(IF(AND(AR1463=AR1462,AM1462&lt;&gt;""),INDEX('Aub Demand'!Q:Q,MATCH($O1462,'Aub Demand'!$A:$A,0))-IF(AN1462="",0,AN1462)+AP1463+AD1462+AL1462,IF(AR1463=AR1462,INDEX('Aub Demand'!Q:Q,MATCH($O1462,'Aub Demand'!$A:$A,0))-IF(AN1462="",0,AN1462)+AP1463+AD1462,IF(AM1462&lt;&gt;"",INDEX('Aub Demand'!Q:Q,MATCH($O1462,'Aub Demand'!$A:$A,0))-IF(AN1462="",0,AN1462)+AD1462+AL1462,INDEX('Aub Demand'!Q:Q,MATCH($O1462,'Aub Demand'!$A:$A,0))-IF(AN1462="",0,AN1462)+AD1462))),"")</f>
        <v>6695</v>
      </c>
      <c r="Y1462" s="53">
        <f t="shared" si="620"/>
        <v>171.8</v>
      </c>
      <c r="Z1462" s="52">
        <f>IF(L1462="","",INDEX('Aub Demand'!H:H,MATCH($O1462,'Aub Demand'!$A:$A,0)))</f>
        <v>167</v>
      </c>
      <c r="AA1462" s="52">
        <f t="shared" si="621"/>
        <v>217.5</v>
      </c>
      <c r="AB1462" s="52">
        <f>IFERROR(INDEX('Aub Demand'!L:L,MATCH($O1462,'Aub Demand'!$A:$A,0)),"")</f>
        <v>224</v>
      </c>
      <c r="AC1462" s="52">
        <f>IFERROR(IF(O1462="","",SUMIFS('CPL Mats'!F:F,'CPL Mats'!Q:Q,AR1462,'CPL Mats'!S:S,AS1462)),"")</f>
        <v>2956.88</v>
      </c>
      <c r="AF1462" s="25">
        <f>IF(SUMIFS('Supp Consol'!S:S,'Supp Consol'!Y:Y,"Releasable",'Supp Consol'!A:A,O1462)=0,"",SUMIFS('Supp Consol'!S:S,'Supp Consol'!Y:Y,"Releasable",'Supp Consol'!A:A,O1462))</f>
        <v>6983</v>
      </c>
      <c r="AG1462" s="25">
        <f>IFERROR(INDEX('Hun Demand'!Q:Q,MATCH(O1462,'Hun Demand'!A:A,0)),"")</f>
        <v>458</v>
      </c>
      <c r="AH1462" s="25">
        <f>IFERROR(INDEX('Hun Demand'!H:H,MATCH($O1462,'Hun Demand'!$A:$A,0)),"")</f>
        <v>0</v>
      </c>
      <c r="AI1462" s="25" t="str">
        <f>IF(SUMIFS('Supp Consol'!AA:AA,'Supp Consol'!Z:Z,"Expires this month",'Supp Consol'!A:A,O1462)=0,"",SUMIFS('Supp Consol'!AA:AA,'Supp Consol'!Z:Z,"Expires this month",'Supp Consol'!A:A,O1462))</f>
        <v/>
      </c>
      <c r="AJ1462" s="25" t="str">
        <f>IF(SUMIFS('Supp Consol'!AA:AA,'Supp Consol'!Z:Z,"Expired Previous Months",'Supp Consol'!A:A,O1462)=0,"",SUMIFS('Supp Consol'!AA:AA,'Supp Consol'!Z:Z,"Expired Previous Months",'Supp Consol'!A:A,O1462))</f>
        <v/>
      </c>
      <c r="AK1462" s="25" t="str">
        <f>IFERROR(INDEX('Hun Release Current'!B:B,MATCH(O1462,'Hun Release Current'!A:A,0)),"")</f>
        <v/>
      </c>
      <c r="AL1462" s="25" t="str">
        <f>IF(SUMIF('Prev Aub'!A:A,O1462,'Prev Aub'!B:B)=0,"",SUMIF('Prev Aub'!A:A,O1462,'Prev Aub'!B:B))</f>
        <v/>
      </c>
      <c r="AN1462" s="25">
        <v>25</v>
      </c>
      <c r="AO1462" s="25" t="s">
        <v>3891</v>
      </c>
      <c r="AP1462" s="25">
        <f t="shared" si="622"/>
        <v>20</v>
      </c>
      <c r="AQ1462" s="151" t="str">
        <f>IF(SUMIFS('Supp Consol'!S:S,'Supp Consol'!A:A,O1462,'Supp Consol'!I:I,"PENDING")=0,"",SUMIFS('Supp Consol'!S:S,'Supp Consol'!A:A,O1462,'Supp Consol'!I:I,"PENDING"))</f>
        <v/>
      </c>
      <c r="AR1462" s="27" t="str">
        <f t="shared" si="623"/>
        <v>WO040</v>
      </c>
      <c r="AS1462" s="27" t="str">
        <f t="shared" si="624"/>
        <v>50</v>
      </c>
      <c r="AT1462" s="27" t="str">
        <f t="shared" si="625"/>
        <v/>
      </c>
      <c r="AU1462" s="27" t="str">
        <f t="shared" si="626"/>
        <v/>
      </c>
      <c r="AV1462" s="27" t="str">
        <f t="shared" si="627"/>
        <v/>
      </c>
      <c r="AW1462" s="27" t="str">
        <f t="shared" si="628"/>
        <v/>
      </c>
      <c r="AX1462" s="27" t="str">
        <f t="shared" si="629"/>
        <v>WO040</v>
      </c>
      <c r="AY1462" s="27" t="str">
        <f t="shared" si="630"/>
        <v>WO040</v>
      </c>
      <c r="AZ1462" s="27" t="str">
        <f t="shared" si="631"/>
        <v>Supp</v>
      </c>
      <c r="BA1462" s="27" t="str">
        <f t="shared" si="632"/>
        <v>Hun</v>
      </c>
      <c r="BB1462" s="27" t="str">
        <f t="shared" si="633"/>
        <v/>
      </c>
      <c r="BC1462" s="27" t="str">
        <f t="shared" si="634"/>
        <v/>
      </c>
      <c r="BD1462" s="27" t="str">
        <f t="shared" si="635"/>
        <v/>
      </c>
      <c r="BE1462" s="27" t="str">
        <f t="shared" si="636"/>
        <v/>
      </c>
      <c r="BF1462" s="27" t="str">
        <f t="shared" si="637"/>
        <v/>
      </c>
      <c r="BG1462" s="27" t="str">
        <f t="shared" si="638"/>
        <v/>
      </c>
      <c r="BH1462" s="27" t="str">
        <f t="shared" si="639"/>
        <v/>
      </c>
      <c r="BI1462" s="27" t="str">
        <f t="shared" si="640"/>
        <v/>
      </c>
      <c r="BJ1462" s="27" t="str">
        <f t="shared" si="641"/>
        <v>Supp or Hun</v>
      </c>
      <c r="BK1462" s="27" t="str">
        <f t="shared" si="642"/>
        <v/>
      </c>
      <c r="BL1462" s="27" t="str">
        <f t="shared" si="643"/>
        <v/>
      </c>
      <c r="BM1462" s="21" t="s">
        <v>5581</v>
      </c>
    </row>
    <row r="1463" spans="1:65" ht="15">
      <c r="A1463" s="25">
        <f>IFERROR(INDEX('Hun Demand'!W:W,MATCH(O1463,'Hun Demand'!A:A,0)),"")</f>
        <v>0</v>
      </c>
      <c r="B1463" s="25">
        <f>IFERROR(INDEX('Hun Demand'!V:V,MATCH(O1463,'Hun Demand'!A:A,0)),"")</f>
        <v>0</v>
      </c>
      <c r="C1463" s="25">
        <f>IFERROR(INDEX('Hun Demand'!U:U,MATCH(O1463,'Hun Demand'!A:A,0)),"")</f>
        <v>0</v>
      </c>
      <c r="D1463" s="25">
        <f>IFERROR(INDEX('Hun Demand'!T:T,MATCH(O1463,'Hun Demand'!A:A,0)),"")</f>
        <v>0</v>
      </c>
      <c r="E1463" s="25">
        <f>IFERROR(INDEX('Hun Demand'!S:S,MATCH(O1463,'Hun Demand'!A:A,0)),"")</f>
        <v>0</v>
      </c>
      <c r="F1463" s="25">
        <f>IFERROR(INDEX('Hun Demand'!R:R,MATCH(O1463,'Hun Demand'!A:A,0)),"")</f>
        <v>0</v>
      </c>
      <c r="G1463" s="25">
        <f>IFERROR(INDEX('Aub Demand'!W:W,MATCH(O1463,'Aub Demand'!A:A,0)),"")</f>
        <v>0</v>
      </c>
      <c r="H1463" s="25">
        <f>IFERROR(INDEX('Aub Demand'!V:V,MATCH(O1463,'Aub Demand'!A:A,0)),"")</f>
        <v>27</v>
      </c>
      <c r="I1463" s="25">
        <f>IFERROR(INDEX('Aub Demand'!U:U,MATCH(O1463,'Aub Demand'!A:A,0)),"")</f>
        <v>40</v>
      </c>
      <c r="J1463" s="25">
        <f>IFERROR(INDEX('Aub Demand'!T:T,MATCH(O1463,'Aub Demand'!A:A,0)),"")</f>
        <v>0</v>
      </c>
      <c r="K1463" s="25">
        <f>IFERROR(INDEX('Aub Demand'!S:S,MATCH(O1463,'Aub Demand'!A:A,0)),"")</f>
        <v>5</v>
      </c>
      <c r="L1463" s="25">
        <f>IFERROR(INDEX('Aub Demand'!R:R,MATCH(O1463,'Aub Demand'!A:A,0)),"")</f>
        <v>0</v>
      </c>
      <c r="O1463" s="27" t="s">
        <v>3084</v>
      </c>
      <c r="P1463" s="27" t="str">
        <f>IFERROR(INDEX('Aub Demand'!B:B,MATCH($O1463,'Aub Demand'!$A:$A,0)),"")</f>
        <v>STRAIGHTAWAY OAK 60"</v>
      </c>
      <c r="Q1463" s="27" t="str">
        <f>IFERROR(INDEX('Aub Demand'!C:C,MATCH($O1463,'Aub Demand'!$A:$A,0)),"")</f>
        <v>TOPPA</v>
      </c>
      <c r="R1463" s="52">
        <f>IFERROR(IF(AR1464=AR1463,INDEX('Aub Demand'!K:K,MATCH($O1463,'Aub Demand'!$A:$A,0))-IF(AN1463="",0,AN1463)+AP1464,INDEX('Aub Demand'!K:K,MATCH($O1463,'Aub Demand'!$A:$A,0))-IF(AN1463="",0,AN1463)),"")</f>
        <v>2039</v>
      </c>
      <c r="S1463" s="53">
        <f t="shared" si="616"/>
        <v>582.6</v>
      </c>
      <c r="T1463" s="52" t="str">
        <f t="shared" si="617"/>
        <v/>
      </c>
      <c r="U1463" s="52">
        <f>IFERROR(IF(AR1464=AR1463,INDEX('Aub Demand'!Q:Q,MATCH($O1463,'Aub Demand'!$A:$A,0))-IF(AN1463="",0,AN1463)+AP1464,INDEX('Aub Demand'!Q:Q,MATCH($O1463,'Aub Demand'!$A:$A,0))-IF(AN1463="",0,AN1463)),"")</f>
        <v>1945</v>
      </c>
      <c r="V1463" s="53">
        <f t="shared" si="618"/>
        <v>555.70000000000005</v>
      </c>
      <c r="W1463" s="52" t="str">
        <f t="shared" si="619"/>
        <v/>
      </c>
      <c r="X1463" s="52">
        <f>IFERROR(IF(AND(AR1464=AR1463,AM1463&lt;&gt;""),INDEX('Aub Demand'!Q:Q,MATCH($O1463,'Aub Demand'!$A:$A,0))-IF(AN1463="",0,AN1463)+AP1464+AD1463+AL1463,IF(AR1464=AR1463,INDEX('Aub Demand'!Q:Q,MATCH($O1463,'Aub Demand'!$A:$A,0))-IF(AN1463="",0,AN1463)+AP1464+AD1463,IF(AM1463&lt;&gt;"",INDEX('Aub Demand'!Q:Q,MATCH($O1463,'Aub Demand'!$A:$A,0))-IF(AN1463="",0,AN1463)+AD1463+AL1463,INDEX('Aub Demand'!Q:Q,MATCH($O1463,'Aub Demand'!$A:$A,0))-IF(AN1463="",0,AN1463)+AD1463))),"")</f>
        <v>1945</v>
      </c>
      <c r="Y1463" s="53">
        <f t="shared" si="620"/>
        <v>555.70000000000005</v>
      </c>
      <c r="Z1463" s="52">
        <f>IF(L1463="","",INDEX('Aub Demand'!H:H,MATCH($O1463,'Aub Demand'!$A:$A,0)))</f>
        <v>15</v>
      </c>
      <c r="AA1463" s="52">
        <f t="shared" si="621"/>
        <v>22.5</v>
      </c>
      <c r="AB1463" s="52">
        <f>IFERROR(INDEX('Aub Demand'!L:L,MATCH($O1463,'Aub Demand'!$A:$A,0)),"")</f>
        <v>8</v>
      </c>
      <c r="AC1463" s="52">
        <f>IFERROR(IF(O1463="","",SUMIFS('CPL Mats'!F:F,'CPL Mats'!Q:Q,AR1463,'CPL Mats'!S:S,AS1463)),"")</f>
        <v>0</v>
      </c>
      <c r="AF1463" s="25">
        <f>IF(SUMIFS('Supp Consol'!S:S,'Supp Consol'!Y:Y,"Releasable",'Supp Consol'!A:A,O1463)=0,"",SUMIFS('Supp Consol'!S:S,'Supp Consol'!Y:Y,"Releasable",'Supp Consol'!A:A,O1463))</f>
        <v>1031</v>
      </c>
      <c r="AG1463" s="25">
        <f>IFERROR(INDEX('Hun Demand'!Q:Q,MATCH(O1463,'Hun Demand'!A:A,0)),"")</f>
        <v>638</v>
      </c>
      <c r="AH1463" s="25">
        <f>IFERROR(INDEX('Hun Demand'!H:H,MATCH($O1463,'Hun Demand'!$A:$A,0)),"")</f>
        <v>0</v>
      </c>
      <c r="AI1463" s="25" t="str">
        <f>IF(SUMIFS('Supp Consol'!AA:AA,'Supp Consol'!Z:Z,"Expires this month",'Supp Consol'!A:A,O1463)=0,"",SUMIFS('Supp Consol'!AA:AA,'Supp Consol'!Z:Z,"Expires this month",'Supp Consol'!A:A,O1463))</f>
        <v/>
      </c>
      <c r="AJ1463" s="25" t="str">
        <f>IF(SUMIFS('Supp Consol'!AA:AA,'Supp Consol'!Z:Z,"Expired Previous Months",'Supp Consol'!A:A,O1463)=0,"",SUMIFS('Supp Consol'!AA:AA,'Supp Consol'!Z:Z,"Expired Previous Months",'Supp Consol'!A:A,O1463))</f>
        <v/>
      </c>
      <c r="AK1463" s="25" t="str">
        <f>IFERROR(INDEX('Hun Release Current'!B:B,MATCH(O1463,'Hun Release Current'!A:A,0)),"")</f>
        <v/>
      </c>
      <c r="AL1463" s="25" t="str">
        <f>IF(SUMIF('Prev Aub'!A:A,O1463,'Prev Aub'!B:B)=0,"",SUMIF('Prev Aub'!A:A,O1463,'Prev Aub'!B:B))</f>
        <v/>
      </c>
      <c r="AN1463" s="25" t="s">
        <v>3790</v>
      </c>
      <c r="AO1463" s="25" t="s">
        <v>3790</v>
      </c>
      <c r="AP1463" s="25">
        <f t="shared" si="622"/>
        <v>0</v>
      </c>
      <c r="AQ1463" s="151" t="str">
        <f>IF(SUMIFS('Supp Consol'!S:S,'Supp Consol'!A:A,O1463,'Supp Consol'!I:I,"PENDING")=0,"",SUMIFS('Supp Consol'!S:S,'Supp Consol'!A:A,O1463,'Supp Consol'!I:I,"PENDING"))</f>
        <v/>
      </c>
      <c r="AR1463" s="27" t="str">
        <f t="shared" si="623"/>
        <v>WO040</v>
      </c>
      <c r="AS1463" s="27" t="str">
        <f t="shared" si="624"/>
        <v>62</v>
      </c>
      <c r="AT1463" s="27" t="str">
        <f t="shared" si="625"/>
        <v/>
      </c>
      <c r="AU1463" s="27" t="str">
        <f t="shared" si="626"/>
        <v/>
      </c>
      <c r="AV1463" s="27" t="str">
        <f t="shared" si="627"/>
        <v/>
      </c>
      <c r="AW1463" s="27" t="str">
        <f t="shared" si="628"/>
        <v/>
      </c>
      <c r="AX1463" s="27" t="str">
        <f t="shared" si="629"/>
        <v>WO040</v>
      </c>
      <c r="AY1463" s="27" t="str">
        <f t="shared" si="630"/>
        <v>WO040</v>
      </c>
      <c r="AZ1463" s="27" t="str">
        <f t="shared" si="631"/>
        <v>Supp</v>
      </c>
      <c r="BA1463" s="27" t="str">
        <f t="shared" si="632"/>
        <v>Hun</v>
      </c>
      <c r="BB1463" s="27" t="str">
        <f t="shared" si="633"/>
        <v/>
      </c>
      <c r="BC1463" s="27" t="str">
        <f t="shared" si="634"/>
        <v/>
      </c>
      <c r="BD1463" s="27" t="str">
        <f t="shared" si="635"/>
        <v/>
      </c>
      <c r="BE1463" s="27" t="str">
        <f t="shared" si="636"/>
        <v/>
      </c>
      <c r="BF1463" s="27" t="str">
        <f t="shared" si="637"/>
        <v/>
      </c>
      <c r="BG1463" s="27" t="str">
        <f t="shared" si="638"/>
        <v/>
      </c>
      <c r="BH1463" s="27" t="str">
        <f t="shared" si="639"/>
        <v/>
      </c>
      <c r="BI1463" s="27" t="str">
        <f t="shared" si="640"/>
        <v/>
      </c>
      <c r="BJ1463" s="27" t="str">
        <f t="shared" si="641"/>
        <v>Supp or Hun</v>
      </c>
      <c r="BK1463" s="27" t="str">
        <f t="shared" si="642"/>
        <v/>
      </c>
      <c r="BL1463" s="27" t="str">
        <f t="shared" si="643"/>
        <v/>
      </c>
      <c r="BM1463" s="21" t="s">
        <v>5581</v>
      </c>
    </row>
    <row r="1464" spans="1:65" ht="15">
      <c r="A1464" s="25" t="str">
        <f>IFERROR(INDEX('Hun Demand'!W:W,MATCH(O1464,'Hun Demand'!A:A,0)),"")</f>
        <v/>
      </c>
      <c r="B1464" s="25" t="str">
        <f>IFERROR(INDEX('Hun Demand'!V:V,MATCH(O1464,'Hun Demand'!A:A,0)),"")</f>
        <v/>
      </c>
      <c r="C1464" s="25" t="str">
        <f>IFERROR(INDEX('Hun Demand'!U:U,MATCH(O1464,'Hun Demand'!A:A,0)),"")</f>
        <v/>
      </c>
      <c r="D1464" s="25" t="str">
        <f>IFERROR(INDEX('Hun Demand'!T:T,MATCH(O1464,'Hun Demand'!A:A,0)),"")</f>
        <v/>
      </c>
      <c r="E1464" s="25" t="str">
        <f>IFERROR(INDEX('Hun Demand'!S:S,MATCH(O1464,'Hun Demand'!A:A,0)),"")</f>
        <v/>
      </c>
      <c r="F1464" s="25" t="str">
        <f>IFERROR(INDEX('Hun Demand'!R:R,MATCH(O1464,'Hun Demand'!A:A,0)),"")</f>
        <v/>
      </c>
      <c r="G1464" s="25">
        <f>IFERROR(INDEX('Aub Demand'!W:W,MATCH(O1464,'Aub Demand'!A:A,0)),"")</f>
        <v>0</v>
      </c>
      <c r="H1464" s="25">
        <f>IFERROR(INDEX('Aub Demand'!V:V,MATCH(O1464,'Aub Demand'!A:A,0)),"")</f>
        <v>0</v>
      </c>
      <c r="I1464" s="25">
        <f>IFERROR(INDEX('Aub Demand'!U:U,MATCH(O1464,'Aub Demand'!A:A,0)),"")</f>
        <v>123</v>
      </c>
      <c r="J1464" s="25">
        <f>IFERROR(INDEX('Aub Demand'!T:T,MATCH(O1464,'Aub Demand'!A:A,0)),"")</f>
        <v>25</v>
      </c>
      <c r="K1464" s="25">
        <f>IFERROR(INDEX('Aub Demand'!S:S,MATCH(O1464,'Aub Demand'!A:A,0)),"")</f>
        <v>13</v>
      </c>
      <c r="L1464" s="25">
        <f>IFERROR(INDEX('Aub Demand'!R:R,MATCH(O1464,'Aub Demand'!A:A,0)),"")</f>
        <v>0</v>
      </c>
      <c r="O1464" s="27" t="s">
        <v>1766</v>
      </c>
      <c r="P1464" s="27" t="str">
        <f>IFERROR(INDEX('Aub Demand'!B:B,MATCH($O1464,'Aub Demand'!$A:$A,0)),"")</f>
        <v>ORNATE OAK</v>
      </c>
      <c r="Q1464" s="27" t="str">
        <f>IFERROR(INDEX('Aub Demand'!C:C,MATCH($O1464,'Aub Demand'!$A:$A,0)),"")</f>
        <v>TOPPA</v>
      </c>
      <c r="R1464" s="52">
        <f>IFERROR(IF(AR1465=AR1464,INDEX('Aub Demand'!K:K,MATCH($O1464,'Aub Demand'!$A:$A,0))-IF(AN1464="",0,AN1464)+AP1465,INDEX('Aub Demand'!K:K,MATCH($O1464,'Aub Demand'!$A:$A,0))-IF(AN1464="",0,AN1464)),"")</f>
        <v>0</v>
      </c>
      <c r="S1464" s="53">
        <f t="shared" si="616"/>
        <v>0</v>
      </c>
      <c r="T1464" s="52">
        <f t="shared" si="617"/>
        <v>55.5</v>
      </c>
      <c r="U1464" s="52">
        <f>IFERROR(IF(AR1465=AR1464,INDEX('Aub Demand'!Q:Q,MATCH($O1464,'Aub Demand'!$A:$A,0))-IF(AN1464="",0,AN1464)+AP1465,INDEX('Aub Demand'!Q:Q,MATCH($O1464,'Aub Demand'!$A:$A,0))-IF(AN1464="",0,AN1464)),"")</f>
        <v>0</v>
      </c>
      <c r="V1464" s="53">
        <f t="shared" si="618"/>
        <v>0</v>
      </c>
      <c r="W1464" s="52">
        <f t="shared" si="619"/>
        <v>55.5</v>
      </c>
      <c r="X1464" s="52">
        <f>IFERROR(IF(AND(AR1465=AR1464,AM1464&lt;&gt;""),INDEX('Aub Demand'!Q:Q,MATCH($O1464,'Aub Demand'!$A:$A,0))-IF(AN1464="",0,AN1464)+AP1465+AD1464+AL1464,IF(AR1465=AR1464,INDEX('Aub Demand'!Q:Q,MATCH($O1464,'Aub Demand'!$A:$A,0))-IF(AN1464="",0,AN1464)+AP1465+AD1464,IF(AM1464&lt;&gt;"",INDEX('Aub Demand'!Q:Q,MATCH($O1464,'Aub Demand'!$A:$A,0))-IF(AN1464="",0,AN1464)+AD1464+AL1464,INDEX('Aub Demand'!Q:Q,MATCH($O1464,'Aub Demand'!$A:$A,0))-IF(AN1464="",0,AN1464)+AD1464))),"")</f>
        <v>0</v>
      </c>
      <c r="Y1464" s="53">
        <f t="shared" si="620"/>
        <v>0</v>
      </c>
      <c r="Z1464" s="52">
        <f>IF(L1464="","",INDEX('Aub Demand'!H:H,MATCH($O1464,'Aub Demand'!$A:$A,0)))</f>
        <v>54</v>
      </c>
      <c r="AA1464" s="52">
        <f t="shared" si="621"/>
        <v>74</v>
      </c>
      <c r="AB1464" s="52">
        <f>IFERROR(INDEX('Aub Demand'!L:L,MATCH($O1464,'Aub Demand'!$A:$A,0)),"")</f>
        <v>3</v>
      </c>
      <c r="AC1464" s="52">
        <f>IFERROR(IF(O1464="","",SUMIFS('CPL Mats'!F:F,'CPL Mats'!Q:Q,AR1464,'CPL Mats'!S:S,AS1464)),"")</f>
        <v>0</v>
      </c>
      <c r="AF1464" s="25" t="str">
        <f>IF(SUMIFS('Supp Consol'!S:S,'Supp Consol'!Y:Y,"Releasable",'Supp Consol'!A:A,O1464)=0,"",SUMIFS('Supp Consol'!S:S,'Supp Consol'!Y:Y,"Releasable",'Supp Consol'!A:A,O1464))</f>
        <v/>
      </c>
      <c r="AG1464" s="25" t="str">
        <f>IFERROR(INDEX('Hun Demand'!Q:Q,MATCH(O1464,'Hun Demand'!A:A,0)),"")</f>
        <v/>
      </c>
      <c r="AH1464" s="25" t="str">
        <f>IFERROR(INDEX('Hun Demand'!H:H,MATCH($O1464,'Hun Demand'!$A:$A,0)),"")</f>
        <v/>
      </c>
      <c r="AI1464" s="25" t="str">
        <f>IF(SUMIFS('Supp Consol'!AA:AA,'Supp Consol'!Z:Z,"Expires this month",'Supp Consol'!A:A,O1464)=0,"",SUMIFS('Supp Consol'!AA:AA,'Supp Consol'!Z:Z,"Expires this month",'Supp Consol'!A:A,O1464))</f>
        <v/>
      </c>
      <c r="AJ1464" s="25" t="str">
        <f>IF(SUMIFS('Supp Consol'!AA:AA,'Supp Consol'!Z:Z,"Expired Previous Months",'Supp Consol'!A:A,O1464)=0,"",SUMIFS('Supp Consol'!AA:AA,'Supp Consol'!Z:Z,"Expired Previous Months",'Supp Consol'!A:A,O1464))</f>
        <v/>
      </c>
      <c r="AK1464" s="25" t="str">
        <f>IFERROR(INDEX('Hun Release Current'!B:B,MATCH(O1464,'Hun Release Current'!A:A,0)),"")</f>
        <v/>
      </c>
      <c r="AL1464" s="25" t="str">
        <f>IF(SUMIF('Prev Aub'!A:A,O1464,'Prev Aub'!B:B)=0,"",SUMIF('Prev Aub'!A:A,O1464,'Prev Aub'!B:B))</f>
        <v/>
      </c>
      <c r="AN1464" s="25" t="s">
        <v>3790</v>
      </c>
      <c r="AO1464" s="25" t="s">
        <v>3790</v>
      </c>
      <c r="AP1464" s="25">
        <f t="shared" si="622"/>
        <v>0</v>
      </c>
      <c r="AQ1464" s="151" t="str">
        <f>IF(SUMIFS('Supp Consol'!S:S,'Supp Consol'!A:A,O1464,'Supp Consol'!I:I,"PENDING")=0,"",SUMIFS('Supp Consol'!S:S,'Supp Consol'!A:A,O1464,'Supp Consol'!I:I,"PENDING"))</f>
        <v/>
      </c>
      <c r="AR1464" s="27" t="str">
        <f t="shared" si="623"/>
        <v>WO095</v>
      </c>
      <c r="AS1464" s="27" t="str">
        <f t="shared" si="624"/>
        <v>50</v>
      </c>
      <c r="AT1464" s="27" t="str">
        <f t="shared" si="625"/>
        <v>WO095</v>
      </c>
      <c r="AU1464" s="27" t="str">
        <f t="shared" si="626"/>
        <v>WO095</v>
      </c>
      <c r="AV1464" s="27" t="str">
        <f t="shared" si="627"/>
        <v>WO095</v>
      </c>
      <c r="AW1464" s="27" t="str">
        <f t="shared" si="628"/>
        <v/>
      </c>
      <c r="AX1464" s="27" t="str">
        <f t="shared" si="629"/>
        <v/>
      </c>
      <c r="AY1464" s="27" t="str">
        <f t="shared" si="630"/>
        <v/>
      </c>
      <c r="AZ1464" s="27" t="str">
        <f t="shared" si="631"/>
        <v/>
      </c>
      <c r="BA1464" s="27" t="str">
        <f t="shared" si="632"/>
        <v/>
      </c>
      <c r="BB1464" s="27" t="str">
        <f t="shared" si="633"/>
        <v>Gross</v>
      </c>
      <c r="BC1464" s="27" t="str">
        <f t="shared" si="634"/>
        <v>Net</v>
      </c>
      <c r="BD1464" s="27" t="str">
        <f t="shared" si="635"/>
        <v>Net</v>
      </c>
      <c r="BE1464" s="27" t="str">
        <f t="shared" si="636"/>
        <v/>
      </c>
      <c r="BF1464" s="27" t="str">
        <f t="shared" si="637"/>
        <v/>
      </c>
      <c r="BG1464" s="27" t="str">
        <f t="shared" si="638"/>
        <v/>
      </c>
      <c r="BH1464" s="27" t="str">
        <f t="shared" si="639"/>
        <v/>
      </c>
      <c r="BI1464" s="27" t="str">
        <f t="shared" si="640"/>
        <v/>
      </c>
      <c r="BJ1464" s="27" t="str">
        <f t="shared" si="641"/>
        <v/>
      </c>
      <c r="BK1464" s="27" t="str">
        <f t="shared" si="642"/>
        <v/>
      </c>
      <c r="BL1464" s="27" t="str">
        <f t="shared" si="643"/>
        <v/>
      </c>
      <c r="BM1464" s="21" t="s">
        <v>5581</v>
      </c>
    </row>
    <row r="1465" spans="1:65" ht="15">
      <c r="A1465" s="25" t="str">
        <f>IFERROR(INDEX('Hun Demand'!W:W,MATCH(O1465,'Hun Demand'!A:A,0)),"")</f>
        <v/>
      </c>
      <c r="B1465" s="25" t="str">
        <f>IFERROR(INDEX('Hun Demand'!V:V,MATCH(O1465,'Hun Demand'!A:A,0)),"")</f>
        <v/>
      </c>
      <c r="C1465" s="25" t="str">
        <f>IFERROR(INDEX('Hun Demand'!U:U,MATCH(O1465,'Hun Demand'!A:A,0)),"")</f>
        <v/>
      </c>
      <c r="D1465" s="25" t="str">
        <f>IFERROR(INDEX('Hun Demand'!T:T,MATCH(O1465,'Hun Demand'!A:A,0)),"")</f>
        <v/>
      </c>
      <c r="E1465" s="25" t="str">
        <f>IFERROR(INDEX('Hun Demand'!S:S,MATCH(O1465,'Hun Demand'!A:A,0)),"")</f>
        <v/>
      </c>
      <c r="F1465" s="25" t="str">
        <f>IFERROR(INDEX('Hun Demand'!R:R,MATCH(O1465,'Hun Demand'!A:A,0)),"")</f>
        <v/>
      </c>
      <c r="G1465" s="25">
        <f>IFERROR(INDEX('Aub Demand'!W:W,MATCH(O1465,'Aub Demand'!A:A,0)),"")</f>
        <v>0</v>
      </c>
      <c r="H1465" s="25">
        <f>IFERROR(INDEX('Aub Demand'!V:V,MATCH(O1465,'Aub Demand'!A:A,0)),"")</f>
        <v>0</v>
      </c>
      <c r="I1465" s="25">
        <f>IFERROR(INDEX('Aub Demand'!U:U,MATCH(O1465,'Aub Demand'!A:A,0)),"")</f>
        <v>26</v>
      </c>
      <c r="J1465" s="25">
        <f>IFERROR(INDEX('Aub Demand'!T:T,MATCH(O1465,'Aub Demand'!A:A,0)),"")</f>
        <v>0</v>
      </c>
      <c r="K1465" s="25">
        <f>IFERROR(INDEX('Aub Demand'!S:S,MATCH(O1465,'Aub Demand'!A:A,0)),"")</f>
        <v>0</v>
      </c>
      <c r="L1465" s="25">
        <f>IFERROR(INDEX('Aub Demand'!R:R,MATCH(O1465,'Aub Demand'!A:A,0)),"")</f>
        <v>0</v>
      </c>
      <c r="O1465" s="27" t="s">
        <v>1768</v>
      </c>
      <c r="P1465" s="27" t="str">
        <f>IFERROR(INDEX('Aub Demand'!B:B,MATCH($O1465,'Aub Demand'!$A:$A,0)),"")</f>
        <v>ORNATE OAK</v>
      </c>
      <c r="Q1465" s="27" t="str">
        <f>IFERROR(INDEX('Aub Demand'!C:C,MATCH($O1465,'Aub Demand'!$A:$A,0)),"")</f>
        <v>TOPPA</v>
      </c>
      <c r="R1465" s="52">
        <f>IFERROR(IF(AR1466=AR1465,INDEX('Aub Demand'!K:K,MATCH($O1465,'Aub Demand'!$A:$A,0))-IF(AN1465="",0,AN1465)+AP1466,INDEX('Aub Demand'!K:K,MATCH($O1465,'Aub Demand'!$A:$A,0))-IF(AN1465="",0,AN1465)),"")</f>
        <v>1693</v>
      </c>
      <c r="S1465" s="53">
        <f t="shared" si="616"/>
        <v>806.2</v>
      </c>
      <c r="T1465" s="52" t="str">
        <f t="shared" si="617"/>
        <v/>
      </c>
      <c r="U1465" s="52">
        <f>IFERROR(IF(AR1466=AR1465,INDEX('Aub Demand'!Q:Q,MATCH($O1465,'Aub Demand'!$A:$A,0))-IF(AN1465="",0,AN1465)+AP1466,INDEX('Aub Demand'!Q:Q,MATCH($O1465,'Aub Demand'!$A:$A,0))-IF(AN1465="",0,AN1465)),"")</f>
        <v>1693</v>
      </c>
      <c r="V1465" s="53">
        <f t="shared" si="618"/>
        <v>806.2</v>
      </c>
      <c r="W1465" s="52" t="str">
        <f t="shared" si="619"/>
        <v/>
      </c>
      <c r="X1465" s="52">
        <f>IFERROR(IF(AND(AR1466=AR1465,AM1465&lt;&gt;""),INDEX('Aub Demand'!Q:Q,MATCH($O1465,'Aub Demand'!$A:$A,0))-IF(AN1465="",0,AN1465)+AP1466+AD1465+AL1465,IF(AR1466=AR1465,INDEX('Aub Demand'!Q:Q,MATCH($O1465,'Aub Demand'!$A:$A,0))-IF(AN1465="",0,AN1465)+AP1466+AD1465,IF(AM1465&lt;&gt;"",INDEX('Aub Demand'!Q:Q,MATCH($O1465,'Aub Demand'!$A:$A,0))-IF(AN1465="",0,AN1465)+AD1465+AL1465,INDEX('Aub Demand'!Q:Q,MATCH($O1465,'Aub Demand'!$A:$A,0))-IF(AN1465="",0,AN1465)+AD1465))),"")</f>
        <v>1693</v>
      </c>
      <c r="Y1465" s="53">
        <f t="shared" si="620"/>
        <v>806.2</v>
      </c>
      <c r="Z1465" s="52">
        <f>IF(L1465="","",INDEX('Aub Demand'!H:H,MATCH($O1465,'Aub Demand'!$A:$A,0)))</f>
        <v>9</v>
      </c>
      <c r="AA1465" s="52" t="str">
        <f t="shared" si="621"/>
        <v>-spike-</v>
      </c>
      <c r="AB1465" s="52">
        <f>IFERROR(INDEX('Aub Demand'!L:L,MATCH($O1465,'Aub Demand'!$A:$A,0)),"")</f>
        <v>0</v>
      </c>
      <c r="AC1465" s="52">
        <f>IFERROR(IF(O1465="","",SUMIFS('CPL Mats'!F:F,'CPL Mats'!Q:Q,AR1465,'CPL Mats'!S:S,AS1465)),"")</f>
        <v>0</v>
      </c>
      <c r="AF1465" s="25" t="str">
        <f>IF(SUMIFS('Supp Consol'!S:S,'Supp Consol'!Y:Y,"Releasable",'Supp Consol'!A:A,O1465)=0,"",SUMIFS('Supp Consol'!S:S,'Supp Consol'!Y:Y,"Releasable",'Supp Consol'!A:A,O1465))</f>
        <v/>
      </c>
      <c r="AG1465" s="25" t="str">
        <f>IFERROR(INDEX('Hun Demand'!Q:Q,MATCH(O1465,'Hun Demand'!A:A,0)),"")</f>
        <v/>
      </c>
      <c r="AH1465" s="25" t="str">
        <f>IFERROR(INDEX('Hun Demand'!H:H,MATCH($O1465,'Hun Demand'!$A:$A,0)),"")</f>
        <v/>
      </c>
      <c r="AI1465" s="25" t="str">
        <f>IF(SUMIFS('Supp Consol'!AA:AA,'Supp Consol'!Z:Z,"Expires this month",'Supp Consol'!A:A,O1465)=0,"",SUMIFS('Supp Consol'!AA:AA,'Supp Consol'!Z:Z,"Expires this month",'Supp Consol'!A:A,O1465))</f>
        <v/>
      </c>
      <c r="AJ1465" s="25" t="str">
        <f>IF(SUMIFS('Supp Consol'!AA:AA,'Supp Consol'!Z:Z,"Expired Previous Months",'Supp Consol'!A:A,O1465)=0,"",SUMIFS('Supp Consol'!AA:AA,'Supp Consol'!Z:Z,"Expired Previous Months",'Supp Consol'!A:A,O1465))</f>
        <v/>
      </c>
      <c r="AK1465" s="25" t="str">
        <f>IFERROR(INDEX('Hun Release Current'!B:B,MATCH(O1465,'Hun Release Current'!A:A,0)),"")</f>
        <v/>
      </c>
      <c r="AL1465" s="25" t="str">
        <f>IF(SUMIF('Prev Aub'!A:A,O1465,'Prev Aub'!B:B)=0,"",SUMIF('Prev Aub'!A:A,O1465,'Prev Aub'!B:B))</f>
        <v/>
      </c>
      <c r="AN1465" s="25" t="s">
        <v>3790</v>
      </c>
      <c r="AO1465" s="25" t="s">
        <v>3790</v>
      </c>
      <c r="AP1465" s="25">
        <f t="shared" si="622"/>
        <v>0</v>
      </c>
      <c r="AQ1465" s="151" t="str">
        <f>IF(SUMIFS('Supp Consol'!S:S,'Supp Consol'!A:A,O1465,'Supp Consol'!I:I,"PENDING")=0,"",SUMIFS('Supp Consol'!S:S,'Supp Consol'!A:A,O1465,'Supp Consol'!I:I,"PENDING"))</f>
        <v/>
      </c>
      <c r="AR1465" s="27" t="str">
        <f t="shared" si="623"/>
        <v>WO095</v>
      </c>
      <c r="AS1465" s="27" t="str">
        <f t="shared" si="624"/>
        <v>62</v>
      </c>
      <c r="AT1465" s="27" t="str">
        <f t="shared" si="625"/>
        <v/>
      </c>
      <c r="AU1465" s="27" t="str">
        <f t="shared" si="626"/>
        <v/>
      </c>
      <c r="AV1465" s="27" t="str">
        <f t="shared" si="627"/>
        <v/>
      </c>
      <c r="AW1465" s="27" t="str">
        <f t="shared" si="628"/>
        <v/>
      </c>
      <c r="AX1465" s="27" t="str">
        <f t="shared" si="629"/>
        <v/>
      </c>
      <c r="AY1465" s="27" t="str">
        <f t="shared" si="630"/>
        <v/>
      </c>
      <c r="AZ1465" s="27" t="str">
        <f t="shared" si="631"/>
        <v/>
      </c>
      <c r="BA1465" s="27" t="str">
        <f t="shared" si="632"/>
        <v/>
      </c>
      <c r="BB1465" s="27" t="str">
        <f t="shared" si="633"/>
        <v>Gross</v>
      </c>
      <c r="BC1465" s="27" t="str">
        <f t="shared" si="634"/>
        <v>Net</v>
      </c>
      <c r="BD1465" s="27" t="str">
        <f t="shared" si="635"/>
        <v>Net</v>
      </c>
      <c r="BE1465" s="27" t="str">
        <f t="shared" si="636"/>
        <v/>
      </c>
      <c r="BF1465" s="27" t="str">
        <f t="shared" si="637"/>
        <v/>
      </c>
      <c r="BG1465" s="27" t="str">
        <f t="shared" si="638"/>
        <v/>
      </c>
      <c r="BH1465" s="27" t="str">
        <f t="shared" si="639"/>
        <v/>
      </c>
      <c r="BI1465" s="27" t="str">
        <f t="shared" si="640"/>
        <v/>
      </c>
      <c r="BJ1465" s="27" t="str">
        <f t="shared" si="641"/>
        <v/>
      </c>
      <c r="BK1465" s="27" t="str">
        <f t="shared" si="642"/>
        <v/>
      </c>
      <c r="BL1465" s="27" t="str">
        <f t="shared" si="643"/>
        <v/>
      </c>
      <c r="BM1465" s="21" t="s">
        <v>5581</v>
      </c>
    </row>
    <row r="1466" spans="1:65" ht="15">
      <c r="A1466" s="25" t="str">
        <f>IFERROR(INDEX('Hun Demand'!W:W,MATCH(O1466,'Hun Demand'!A:A,0)),"")</f>
        <v/>
      </c>
      <c r="B1466" s="25" t="str">
        <f>IFERROR(INDEX('Hun Demand'!V:V,MATCH(O1466,'Hun Demand'!A:A,0)),"")</f>
        <v/>
      </c>
      <c r="C1466" s="25" t="str">
        <f>IFERROR(INDEX('Hun Demand'!U:U,MATCH(O1466,'Hun Demand'!A:A,0)),"")</f>
        <v/>
      </c>
      <c r="D1466" s="25" t="str">
        <f>IFERROR(INDEX('Hun Demand'!T:T,MATCH(O1466,'Hun Demand'!A:A,0)),"")</f>
        <v/>
      </c>
      <c r="E1466" s="25" t="str">
        <f>IFERROR(INDEX('Hun Demand'!S:S,MATCH(O1466,'Hun Demand'!A:A,0)),"")</f>
        <v/>
      </c>
      <c r="F1466" s="25" t="str">
        <f>IFERROR(INDEX('Hun Demand'!R:R,MATCH(O1466,'Hun Demand'!A:A,0)),"")</f>
        <v/>
      </c>
      <c r="G1466" s="25">
        <f>IFERROR(INDEX('Aub Demand'!W:W,MATCH(O1466,'Aub Demand'!A:A,0)),"")</f>
        <v>36</v>
      </c>
      <c r="H1466" s="25">
        <f>IFERROR(INDEX('Aub Demand'!V:V,MATCH(O1466,'Aub Demand'!A:A,0)),"")</f>
        <v>0</v>
      </c>
      <c r="I1466" s="25">
        <f>IFERROR(INDEX('Aub Demand'!U:U,MATCH(O1466,'Aub Demand'!A:A,0)),"")</f>
        <v>0</v>
      </c>
      <c r="J1466" s="25">
        <f>IFERROR(INDEX('Aub Demand'!T:T,MATCH(O1466,'Aub Demand'!A:A,0)),"")</f>
        <v>0</v>
      </c>
      <c r="K1466" s="25">
        <f>IFERROR(INDEX('Aub Demand'!S:S,MATCH(O1466,'Aub Demand'!A:A,0)),"")</f>
        <v>5</v>
      </c>
      <c r="L1466" s="25">
        <f>IFERROR(INDEX('Aub Demand'!R:R,MATCH(O1466,'Aub Demand'!A:A,0)),"")</f>
        <v>0</v>
      </c>
      <c r="O1466" s="27" t="s">
        <v>3087</v>
      </c>
      <c r="P1466" s="27" t="str">
        <f>IFERROR(INDEX('Aub Demand'!B:B,MATCH($O1466,'Aub Demand'!$A:$A,0)),"")</f>
        <v>BOHEMIAN EDGE</v>
      </c>
      <c r="Q1466" s="27" t="str">
        <f>IFERROR(INDEX('Aub Demand'!C:C,MATCH($O1466,'Aub Demand'!$A:$A,0)),"")</f>
        <v>IMPRE</v>
      </c>
      <c r="R1466" s="52">
        <f>IFERROR(IF(AR1467=AR1466,INDEX('Aub Demand'!K:K,MATCH($O1466,'Aub Demand'!$A:$A,0))-IF(AN1466="",0,AN1466)+AP1467,INDEX('Aub Demand'!K:K,MATCH($O1466,'Aub Demand'!$A:$A,0))-IF(AN1466="",0,AN1466)),"")</f>
        <v>83</v>
      </c>
      <c r="S1466" s="53">
        <f t="shared" si="616"/>
        <v>177.9</v>
      </c>
      <c r="T1466" s="52" t="str">
        <f t="shared" si="617"/>
        <v/>
      </c>
      <c r="U1466" s="52">
        <f>IFERROR(IF(AR1467=AR1466,INDEX('Aub Demand'!Q:Q,MATCH($O1466,'Aub Demand'!$A:$A,0))-IF(AN1466="",0,AN1466)+AP1467,INDEX('Aub Demand'!Q:Q,MATCH($O1466,'Aub Demand'!$A:$A,0))-IF(AN1466="",0,AN1466)),"")</f>
        <v>83</v>
      </c>
      <c r="V1466" s="53">
        <f t="shared" si="618"/>
        <v>177.9</v>
      </c>
      <c r="W1466" s="52" t="str">
        <f t="shared" si="619"/>
        <v/>
      </c>
      <c r="X1466" s="52">
        <f>IFERROR(IF(AND(AR1467=AR1466,AM1466&lt;&gt;""),INDEX('Aub Demand'!Q:Q,MATCH($O1466,'Aub Demand'!$A:$A,0))-IF(AN1466="",0,AN1466)+AP1467+AD1466+AL1466,IF(AR1467=AR1466,INDEX('Aub Demand'!Q:Q,MATCH($O1466,'Aub Demand'!$A:$A,0))-IF(AN1466="",0,AN1466)+AP1467+AD1466,IF(AM1466&lt;&gt;"",INDEX('Aub Demand'!Q:Q,MATCH($O1466,'Aub Demand'!$A:$A,0))-IF(AN1466="",0,AN1466)+AD1466+AL1466,INDEX('Aub Demand'!Q:Q,MATCH($O1466,'Aub Demand'!$A:$A,0))-IF(AN1466="",0,AN1466)+AD1466))),"")</f>
        <v>83</v>
      </c>
      <c r="Y1466" s="53">
        <f t="shared" si="620"/>
        <v>177.9</v>
      </c>
      <c r="Z1466" s="52">
        <f>IF(L1466="","",INDEX('Aub Demand'!H:H,MATCH($O1466,'Aub Demand'!$A:$A,0)))</f>
        <v>2</v>
      </c>
      <c r="AA1466" s="52" t="str">
        <f t="shared" si="621"/>
        <v>-spike-</v>
      </c>
      <c r="AB1466" s="52">
        <f>IFERROR(INDEX('Aub Demand'!L:L,MATCH($O1466,'Aub Demand'!$A:$A,0)),"")</f>
        <v>0</v>
      </c>
      <c r="AC1466" s="52">
        <f>IFERROR(IF(O1466="","",SUMIFS('CPL Mats'!F:F,'CPL Mats'!Q:Q,AR1466,'CPL Mats'!S:S,AS1466)),"")</f>
        <v>0</v>
      </c>
      <c r="AF1466" s="25" t="str">
        <f>IF(SUMIFS('Supp Consol'!S:S,'Supp Consol'!Y:Y,"Releasable",'Supp Consol'!A:A,O1466)=0,"",SUMIFS('Supp Consol'!S:S,'Supp Consol'!Y:Y,"Releasable",'Supp Consol'!A:A,O1466))</f>
        <v/>
      </c>
      <c r="AG1466" s="25" t="str">
        <f>IFERROR(INDEX('Hun Demand'!Q:Q,MATCH(O1466,'Hun Demand'!A:A,0)),"")</f>
        <v/>
      </c>
      <c r="AH1466" s="25" t="str">
        <f>IFERROR(INDEX('Hun Demand'!H:H,MATCH($O1466,'Hun Demand'!$A:$A,0)),"")</f>
        <v/>
      </c>
      <c r="AI1466" s="25" t="str">
        <f>IF(SUMIFS('Supp Consol'!AA:AA,'Supp Consol'!Z:Z,"Expires this month",'Supp Consol'!A:A,O1466)=0,"",SUMIFS('Supp Consol'!AA:AA,'Supp Consol'!Z:Z,"Expires this month",'Supp Consol'!A:A,O1466))</f>
        <v/>
      </c>
      <c r="AJ1466" s="25" t="str">
        <f>IF(SUMIFS('Supp Consol'!AA:AA,'Supp Consol'!Z:Z,"Expired Previous Months",'Supp Consol'!A:A,O1466)=0,"",SUMIFS('Supp Consol'!AA:AA,'Supp Consol'!Z:Z,"Expired Previous Months",'Supp Consol'!A:A,O1466))</f>
        <v/>
      </c>
      <c r="AK1466" s="25" t="str">
        <f>IFERROR(INDEX('Hun Release Current'!B:B,MATCH(O1466,'Hun Release Current'!A:A,0)),"")</f>
        <v/>
      </c>
      <c r="AL1466" s="25" t="str">
        <f>IF(SUMIF('Prev Aub'!A:A,O1466,'Prev Aub'!B:B)=0,"",SUMIF('Prev Aub'!A:A,O1466,'Prev Aub'!B:B))</f>
        <v/>
      </c>
      <c r="AN1466" s="25" t="s">
        <v>3790</v>
      </c>
      <c r="AO1466" s="25" t="s">
        <v>3790</v>
      </c>
      <c r="AP1466" s="25">
        <f t="shared" si="622"/>
        <v>0</v>
      </c>
      <c r="AQ1466" s="151" t="str">
        <f>IF(SUMIFS('Supp Consol'!S:S,'Supp Consol'!A:A,O1466,'Supp Consol'!I:I,"PENDING")=0,"",SUMIFS('Supp Consol'!S:S,'Supp Consol'!A:A,O1466,'Supp Consol'!I:I,"PENDING"))</f>
        <v/>
      </c>
      <c r="AR1466" s="27" t="str">
        <f t="shared" si="623"/>
        <v>WO140</v>
      </c>
      <c r="AS1466" s="27" t="str">
        <f t="shared" si="624"/>
        <v>50</v>
      </c>
      <c r="AT1466" s="27" t="str">
        <f t="shared" si="625"/>
        <v/>
      </c>
      <c r="AU1466" s="27" t="str">
        <f t="shared" si="626"/>
        <v/>
      </c>
      <c r="AV1466" s="27" t="str">
        <f t="shared" si="627"/>
        <v/>
      </c>
      <c r="AW1466" s="27" t="str">
        <f t="shared" si="628"/>
        <v/>
      </c>
      <c r="AX1466" s="27" t="str">
        <f t="shared" si="629"/>
        <v/>
      </c>
      <c r="AY1466" s="27" t="str">
        <f t="shared" si="630"/>
        <v/>
      </c>
      <c r="AZ1466" s="27" t="str">
        <f t="shared" si="631"/>
        <v/>
      </c>
      <c r="BA1466" s="27" t="str">
        <f t="shared" si="632"/>
        <v>Hun</v>
      </c>
      <c r="BB1466" s="27" t="str">
        <f t="shared" si="633"/>
        <v/>
      </c>
      <c r="BC1466" s="27" t="str">
        <f t="shared" si="634"/>
        <v/>
      </c>
      <c r="BD1466" s="27" t="str">
        <f t="shared" si="635"/>
        <v/>
      </c>
      <c r="BE1466" s="27" t="str">
        <f t="shared" si="636"/>
        <v/>
      </c>
      <c r="BF1466" s="27" t="str">
        <f t="shared" si="637"/>
        <v/>
      </c>
      <c r="BG1466" s="27" t="str">
        <f t="shared" si="638"/>
        <v/>
      </c>
      <c r="BH1466" s="27" t="str">
        <f t="shared" si="639"/>
        <v/>
      </c>
      <c r="BI1466" s="27" t="str">
        <f t="shared" si="640"/>
        <v/>
      </c>
      <c r="BJ1466" s="27" t="str">
        <f t="shared" si="641"/>
        <v>Supp or Hun</v>
      </c>
      <c r="BK1466" s="27" t="str">
        <f t="shared" si="642"/>
        <v/>
      </c>
      <c r="BL1466" s="27" t="str">
        <f t="shared" si="643"/>
        <v/>
      </c>
      <c r="BM1466" s="21" t="s">
        <v>3790</v>
      </c>
    </row>
    <row r="1467" spans="1:65" ht="15">
      <c r="A1467" s="25">
        <f>IFERROR(INDEX('Hun Demand'!W:W,MATCH(O1467,'Hun Demand'!A:A,0)),"")</f>
        <v>0</v>
      </c>
      <c r="B1467" s="25">
        <f>IFERROR(INDEX('Hun Demand'!V:V,MATCH(O1467,'Hun Demand'!A:A,0)),"")</f>
        <v>0</v>
      </c>
      <c r="C1467" s="25">
        <f>IFERROR(INDEX('Hun Demand'!U:U,MATCH(O1467,'Hun Demand'!A:A,0)),"")</f>
        <v>0</v>
      </c>
      <c r="D1467" s="25">
        <f>IFERROR(INDEX('Hun Demand'!T:T,MATCH(O1467,'Hun Demand'!A:A,0)),"")</f>
        <v>0</v>
      </c>
      <c r="E1467" s="25">
        <f>IFERROR(INDEX('Hun Demand'!S:S,MATCH(O1467,'Hun Demand'!A:A,0)),"")</f>
        <v>0</v>
      </c>
      <c r="F1467" s="25">
        <f>IFERROR(INDEX('Hun Demand'!R:R,MATCH(O1467,'Hun Demand'!A:A,0)),"")</f>
        <v>0</v>
      </c>
      <c r="G1467" s="25">
        <f>IFERROR(INDEX('Aub Demand'!W:W,MATCH(O1467,'Aub Demand'!A:A,0)),"")</f>
        <v>189</v>
      </c>
      <c r="H1467" s="25">
        <f>IFERROR(INDEX('Aub Demand'!V:V,MATCH(O1467,'Aub Demand'!A:A,0)),"")</f>
        <v>0</v>
      </c>
      <c r="I1467" s="25">
        <f>IFERROR(INDEX('Aub Demand'!U:U,MATCH(O1467,'Aub Demand'!A:A,0)),"")</f>
        <v>0</v>
      </c>
      <c r="J1467" s="25">
        <f>IFERROR(INDEX('Aub Demand'!T:T,MATCH(O1467,'Aub Demand'!A:A,0)),"")</f>
        <v>98</v>
      </c>
      <c r="K1467" s="25">
        <f>IFERROR(INDEX('Aub Demand'!S:S,MATCH(O1467,'Aub Demand'!A:A,0)),"")</f>
        <v>0</v>
      </c>
      <c r="L1467" s="25">
        <f>IFERROR(INDEX('Aub Demand'!R:R,MATCH(O1467,'Aub Demand'!A:A,0)),"")</f>
        <v>0</v>
      </c>
      <c r="O1467" s="27" t="s">
        <v>3090</v>
      </c>
      <c r="P1467" s="27" t="str">
        <f>IFERROR(INDEX('Aub Demand'!B:B,MATCH($O1467,'Aub Demand'!$A:$A,0)),"")</f>
        <v>BOHEMIAN EDGE</v>
      </c>
      <c r="Q1467" s="27" t="str">
        <f>IFERROR(INDEX('Aub Demand'!C:C,MATCH($O1467,'Aub Demand'!$A:$A,0)),"")</f>
        <v>IMPRE</v>
      </c>
      <c r="R1467" s="52">
        <f>IFERROR(IF(AR1468=AR1467,INDEX('Aub Demand'!K:K,MATCH($O1467,'Aub Demand'!$A:$A,0))-IF(AN1467="",0,AN1467)+AP1468,INDEX('Aub Demand'!K:K,MATCH($O1467,'Aub Demand'!$A:$A,0))-IF(AN1467="",0,AN1467)),"")</f>
        <v>615</v>
      </c>
      <c r="S1467" s="53">
        <f t="shared" si="616"/>
        <v>79.900000000000006</v>
      </c>
      <c r="T1467" s="52" t="str">
        <f t="shared" si="617"/>
        <v/>
      </c>
      <c r="U1467" s="52">
        <f>IFERROR(IF(AR1468=AR1467,INDEX('Aub Demand'!Q:Q,MATCH($O1467,'Aub Demand'!$A:$A,0))-IF(AN1467="",0,AN1467)+AP1468,INDEX('Aub Demand'!Q:Q,MATCH($O1467,'Aub Demand'!$A:$A,0))-IF(AN1467="",0,AN1467)),"")</f>
        <v>615</v>
      </c>
      <c r="V1467" s="53">
        <f t="shared" si="618"/>
        <v>79.900000000000006</v>
      </c>
      <c r="W1467" s="52" t="str">
        <f t="shared" si="619"/>
        <v/>
      </c>
      <c r="X1467" s="52">
        <f>IFERROR(IF(AND(AR1468=AR1467,AM1467&lt;&gt;""),INDEX('Aub Demand'!Q:Q,MATCH($O1467,'Aub Demand'!$A:$A,0))-IF(AN1467="",0,AN1467)+AP1468+AD1467+AL1467,IF(AR1468=AR1467,INDEX('Aub Demand'!Q:Q,MATCH($O1467,'Aub Demand'!$A:$A,0))-IF(AN1467="",0,AN1467)+AP1468+AD1467,IF(AM1467&lt;&gt;"",INDEX('Aub Demand'!Q:Q,MATCH($O1467,'Aub Demand'!$A:$A,0))-IF(AN1467="",0,AN1467)+AD1467+AL1467,INDEX('Aub Demand'!Q:Q,MATCH($O1467,'Aub Demand'!$A:$A,0))-IF(AN1467="",0,AN1467)+AD1467))),"")</f>
        <v>615</v>
      </c>
      <c r="Y1467" s="53">
        <f t="shared" si="620"/>
        <v>79.900000000000006</v>
      </c>
      <c r="Z1467" s="52">
        <f>IF(L1467="","",INDEX('Aub Demand'!H:H,MATCH($O1467,'Aub Demand'!$A:$A,0)))</f>
        <v>33</v>
      </c>
      <c r="AA1467" s="52" t="str">
        <f t="shared" si="621"/>
        <v>-spike-</v>
      </c>
      <c r="AB1467" s="52">
        <f>IFERROR(INDEX('Aub Demand'!L:L,MATCH($O1467,'Aub Demand'!$A:$A,0)),"")</f>
        <v>56</v>
      </c>
      <c r="AC1467" s="52">
        <f>IFERROR(IF(O1467="","",SUMIFS('CPL Mats'!F:F,'CPL Mats'!Q:Q,AR1467,'CPL Mats'!S:S,AS1467)),"")</f>
        <v>0</v>
      </c>
      <c r="AF1467" s="25" t="str">
        <f>IF(SUMIFS('Supp Consol'!S:S,'Supp Consol'!Y:Y,"Releasable",'Supp Consol'!A:A,O1467)=0,"",SUMIFS('Supp Consol'!S:S,'Supp Consol'!Y:Y,"Releasable",'Supp Consol'!A:A,O1467))</f>
        <v/>
      </c>
      <c r="AG1467" s="25">
        <f>IFERROR(INDEX('Hun Demand'!Q:Q,MATCH(O1467,'Hun Demand'!A:A,0)),"")</f>
        <v>160</v>
      </c>
      <c r="AH1467" s="25">
        <f>IFERROR(INDEX('Hun Demand'!H:H,MATCH($O1467,'Hun Demand'!$A:$A,0)),"")</f>
        <v>0</v>
      </c>
      <c r="AI1467" s="25" t="str">
        <f>IF(SUMIFS('Supp Consol'!AA:AA,'Supp Consol'!Z:Z,"Expires this month",'Supp Consol'!A:A,O1467)=0,"",SUMIFS('Supp Consol'!AA:AA,'Supp Consol'!Z:Z,"Expires this month",'Supp Consol'!A:A,O1467))</f>
        <v/>
      </c>
      <c r="AJ1467" s="25" t="str">
        <f>IF(SUMIFS('Supp Consol'!AA:AA,'Supp Consol'!Z:Z,"Expired Previous Months",'Supp Consol'!A:A,O1467)=0,"",SUMIFS('Supp Consol'!AA:AA,'Supp Consol'!Z:Z,"Expired Previous Months",'Supp Consol'!A:A,O1467))</f>
        <v/>
      </c>
      <c r="AK1467" s="25" t="str">
        <f>IFERROR(INDEX('Hun Release Current'!B:B,MATCH(O1467,'Hun Release Current'!A:A,0)),"")</f>
        <v/>
      </c>
      <c r="AL1467" s="25" t="str">
        <f>IF(SUMIF('Prev Aub'!A:A,O1467,'Prev Aub'!B:B)=0,"",SUMIF('Prev Aub'!A:A,O1467,'Prev Aub'!B:B))</f>
        <v/>
      </c>
      <c r="AN1467" s="25" t="s">
        <v>3790</v>
      </c>
      <c r="AO1467" s="25" t="s">
        <v>3790</v>
      </c>
      <c r="AP1467" s="25">
        <f t="shared" si="622"/>
        <v>0</v>
      </c>
      <c r="AQ1467" s="151" t="str">
        <f>IF(SUMIFS('Supp Consol'!S:S,'Supp Consol'!A:A,O1467,'Supp Consol'!I:I,"PENDING")=0,"",SUMIFS('Supp Consol'!S:S,'Supp Consol'!A:A,O1467,'Supp Consol'!I:I,"PENDING"))</f>
        <v/>
      </c>
      <c r="AR1467" s="27" t="str">
        <f t="shared" si="623"/>
        <v>WO140</v>
      </c>
      <c r="AS1467" s="27" t="str">
        <f t="shared" si="624"/>
        <v>62</v>
      </c>
      <c r="AT1467" s="27" t="str">
        <f t="shared" si="625"/>
        <v/>
      </c>
      <c r="AU1467" s="27" t="str">
        <f t="shared" si="626"/>
        <v/>
      </c>
      <c r="AV1467" s="27" t="str">
        <f t="shared" si="627"/>
        <v/>
      </c>
      <c r="AW1467" s="27" t="str">
        <f t="shared" si="628"/>
        <v/>
      </c>
      <c r="AX1467" s="27" t="str">
        <f t="shared" si="629"/>
        <v/>
      </c>
      <c r="AY1467" s="27" t="str">
        <f t="shared" si="630"/>
        <v>WO140</v>
      </c>
      <c r="AZ1467" s="27" t="str">
        <f t="shared" si="631"/>
        <v/>
      </c>
      <c r="BA1467" s="27" t="str">
        <f t="shared" si="632"/>
        <v>Hun</v>
      </c>
      <c r="BB1467" s="27" t="str">
        <f t="shared" si="633"/>
        <v/>
      </c>
      <c r="BC1467" s="27" t="str">
        <f t="shared" si="634"/>
        <v/>
      </c>
      <c r="BD1467" s="27" t="str">
        <f t="shared" si="635"/>
        <v/>
      </c>
      <c r="BE1467" s="27" t="str">
        <f t="shared" si="636"/>
        <v/>
      </c>
      <c r="BF1467" s="27" t="str">
        <f t="shared" si="637"/>
        <v/>
      </c>
      <c r="BG1467" s="27" t="str">
        <f t="shared" si="638"/>
        <v/>
      </c>
      <c r="BH1467" s="27" t="str">
        <f t="shared" si="639"/>
        <v/>
      </c>
      <c r="BI1467" s="27" t="str">
        <f t="shared" si="640"/>
        <v/>
      </c>
      <c r="BJ1467" s="27" t="str">
        <f t="shared" si="641"/>
        <v>Supp or Hun</v>
      </c>
      <c r="BK1467" s="27" t="str">
        <f t="shared" si="642"/>
        <v/>
      </c>
      <c r="BL1467" s="27" t="str">
        <f t="shared" si="643"/>
        <v/>
      </c>
      <c r="BM1467" s="21" t="s">
        <v>3790</v>
      </c>
    </row>
    <row r="1468" spans="1:65" ht="15">
      <c r="A1468" s="25" t="str">
        <f>IFERROR(INDEX('Hun Demand'!W:W,MATCH(O1468,'Hun Demand'!A:A,0)),"")</f>
        <v/>
      </c>
      <c r="B1468" s="25" t="str">
        <f>IFERROR(INDEX('Hun Demand'!V:V,MATCH(O1468,'Hun Demand'!A:A,0)),"")</f>
        <v/>
      </c>
      <c r="C1468" s="25" t="str">
        <f>IFERROR(INDEX('Hun Demand'!U:U,MATCH(O1468,'Hun Demand'!A:A,0)),"")</f>
        <v/>
      </c>
      <c r="D1468" s="25" t="str">
        <f>IFERROR(INDEX('Hun Demand'!T:T,MATCH(O1468,'Hun Demand'!A:A,0)),"")</f>
        <v/>
      </c>
      <c r="E1468" s="25" t="str">
        <f>IFERROR(INDEX('Hun Demand'!S:S,MATCH(O1468,'Hun Demand'!A:A,0)),"")</f>
        <v/>
      </c>
      <c r="F1468" s="25" t="str">
        <f>IFERROR(INDEX('Hun Demand'!R:R,MATCH(O1468,'Hun Demand'!A:A,0)),"")</f>
        <v/>
      </c>
      <c r="G1468" s="25">
        <f>IFERROR(INDEX('Aub Demand'!W:W,MATCH(O1468,'Aub Demand'!A:A,0)),"")</f>
        <v>195</v>
      </c>
      <c r="H1468" s="25">
        <f>IFERROR(INDEX('Aub Demand'!V:V,MATCH(O1468,'Aub Demand'!A:A,0)),"")</f>
        <v>290</v>
      </c>
      <c r="I1468" s="25">
        <f>IFERROR(INDEX('Aub Demand'!U:U,MATCH(O1468,'Aub Demand'!A:A,0)),"")</f>
        <v>135</v>
      </c>
      <c r="J1468" s="25">
        <f>IFERROR(INDEX('Aub Demand'!T:T,MATCH(O1468,'Aub Demand'!A:A,0)),"")</f>
        <v>180</v>
      </c>
      <c r="K1468" s="25">
        <f>IFERROR(INDEX('Aub Demand'!S:S,MATCH(O1468,'Aub Demand'!A:A,0)),"")</f>
        <v>189</v>
      </c>
      <c r="L1468" s="25">
        <f>IFERROR(INDEX('Aub Demand'!R:R,MATCH(O1468,'Aub Demand'!A:A,0)),"")</f>
        <v>0</v>
      </c>
      <c r="O1468" s="27" t="s">
        <v>1769</v>
      </c>
      <c r="P1468" s="27" t="str">
        <f>IFERROR(INDEX('Aub Demand'!B:B,MATCH($O1468,'Aub Demand'!$A:$A,0)),"")</f>
        <v>OFS CLEAR OAK</v>
      </c>
      <c r="Q1468" s="27" t="str">
        <f>IFERROR(INDEX('Aub Demand'!C:C,MATCH($O1468,'Aub Demand'!$A:$A,0)),"")</f>
        <v>INTER</v>
      </c>
      <c r="R1468" s="52">
        <f>IFERROR(IF(AR1469=AR1468,INDEX('Aub Demand'!K:K,MATCH($O1468,'Aub Demand'!$A:$A,0))-IF(AN1468="",0,AN1468)+AP1469,INDEX('Aub Demand'!K:K,MATCH($O1468,'Aub Demand'!$A:$A,0))-IF(AN1468="",0,AN1468)),"")</f>
        <v>1144</v>
      </c>
      <c r="S1468" s="53">
        <f t="shared" si="616"/>
        <v>29.2</v>
      </c>
      <c r="T1468" s="52" t="str">
        <f t="shared" si="617"/>
        <v/>
      </c>
      <c r="U1468" s="52">
        <f>IFERROR(IF(AR1469=AR1468,INDEX('Aub Demand'!Q:Q,MATCH($O1468,'Aub Demand'!$A:$A,0))-IF(AN1468="",0,AN1468)+AP1469,INDEX('Aub Demand'!Q:Q,MATCH($O1468,'Aub Demand'!$A:$A,0))-IF(AN1468="",0,AN1468)),"")</f>
        <v>1114</v>
      </c>
      <c r="V1468" s="53">
        <f t="shared" si="618"/>
        <v>28.4</v>
      </c>
      <c r="W1468" s="52" t="str">
        <f t="shared" si="619"/>
        <v/>
      </c>
      <c r="X1468" s="52">
        <f>IFERROR(IF(AND(AR1469=AR1468,AM1468&lt;&gt;""),INDEX('Aub Demand'!Q:Q,MATCH($O1468,'Aub Demand'!$A:$A,0))-IF(AN1468="",0,AN1468)+AP1469+AD1468+AL1468,IF(AR1469=AR1468,INDEX('Aub Demand'!Q:Q,MATCH($O1468,'Aub Demand'!$A:$A,0))-IF(AN1468="",0,AN1468)+AP1469+AD1468,IF(AM1468&lt;&gt;"",INDEX('Aub Demand'!Q:Q,MATCH($O1468,'Aub Demand'!$A:$A,0))-IF(AN1468="",0,AN1468)+AD1468+AL1468,INDEX('Aub Demand'!Q:Q,MATCH($O1468,'Aub Demand'!$A:$A,0))-IF(AN1468="",0,AN1468)+AD1468))),"")</f>
        <v>1114</v>
      </c>
      <c r="Y1468" s="53">
        <f t="shared" si="620"/>
        <v>28.4</v>
      </c>
      <c r="Z1468" s="52">
        <f>IF(L1468="","",INDEX('Aub Demand'!H:H,MATCH($O1468,'Aub Demand'!$A:$A,0)))</f>
        <v>168</v>
      </c>
      <c r="AA1468" s="52">
        <f t="shared" si="621"/>
        <v>184.5</v>
      </c>
      <c r="AB1468" s="52">
        <f>IFERROR(INDEX('Aub Demand'!L:L,MATCH($O1468,'Aub Demand'!$A:$A,0)),"")</f>
        <v>125</v>
      </c>
      <c r="AC1468" s="52">
        <f>IFERROR(IF(O1468="","",SUMIFS('CPL Mats'!F:F,'CPL Mats'!Q:Q,AR1468,'CPL Mats'!S:S,AS1468)),"")</f>
        <v>0</v>
      </c>
      <c r="AF1468" s="25" t="str">
        <f>IF(SUMIFS('Supp Consol'!S:S,'Supp Consol'!Y:Y,"Releasable",'Supp Consol'!A:A,O1468)=0,"",SUMIFS('Supp Consol'!S:S,'Supp Consol'!Y:Y,"Releasable",'Supp Consol'!A:A,O1468))</f>
        <v/>
      </c>
      <c r="AG1468" s="25" t="str">
        <f>IFERROR(INDEX('Hun Demand'!Q:Q,MATCH(O1468,'Hun Demand'!A:A,0)),"")</f>
        <v/>
      </c>
      <c r="AH1468" s="25" t="str">
        <f>IFERROR(INDEX('Hun Demand'!H:H,MATCH($O1468,'Hun Demand'!$A:$A,0)),"")</f>
        <v/>
      </c>
      <c r="AI1468" s="25" t="str">
        <f>IF(SUMIFS('Supp Consol'!AA:AA,'Supp Consol'!Z:Z,"Expires this month",'Supp Consol'!A:A,O1468)=0,"",SUMIFS('Supp Consol'!AA:AA,'Supp Consol'!Z:Z,"Expires this month",'Supp Consol'!A:A,O1468))</f>
        <v/>
      </c>
      <c r="AJ1468" s="25" t="str">
        <f>IF(SUMIFS('Supp Consol'!AA:AA,'Supp Consol'!Z:Z,"Expired Previous Months",'Supp Consol'!A:A,O1468)=0,"",SUMIFS('Supp Consol'!AA:AA,'Supp Consol'!Z:Z,"Expired Previous Months",'Supp Consol'!A:A,O1468))</f>
        <v/>
      </c>
      <c r="AK1468" s="25" t="str">
        <f>IFERROR(INDEX('Hun Release Current'!B:B,MATCH(O1468,'Hun Release Current'!A:A,0)),"")</f>
        <v/>
      </c>
      <c r="AL1468" s="25" t="str">
        <f>IF(SUMIF('Prev Aub'!A:A,O1468,'Prev Aub'!B:B)=0,"",SUMIF('Prev Aub'!A:A,O1468,'Prev Aub'!B:B))</f>
        <v/>
      </c>
      <c r="AN1468" s="25" t="s">
        <v>3790</v>
      </c>
      <c r="AO1468" s="25" t="s">
        <v>3790</v>
      </c>
      <c r="AP1468" s="25">
        <f t="shared" si="622"/>
        <v>0</v>
      </c>
      <c r="AQ1468" s="151" t="str">
        <f>IF(SUMIFS('Supp Consol'!S:S,'Supp Consol'!A:A,O1468,'Supp Consol'!I:I,"PENDING")=0,"",SUMIFS('Supp Consol'!S:S,'Supp Consol'!A:A,O1468,'Supp Consol'!I:I,"PENDING"))</f>
        <v/>
      </c>
      <c r="AR1468" s="27" t="str">
        <f t="shared" si="623"/>
        <v>WO145</v>
      </c>
      <c r="AS1468" s="27" t="str">
        <f t="shared" si="624"/>
        <v>62</v>
      </c>
      <c r="AT1468" s="27" t="str">
        <f t="shared" si="625"/>
        <v/>
      </c>
      <c r="AU1468" s="27" t="str">
        <f t="shared" si="626"/>
        <v/>
      </c>
      <c r="AV1468" s="27" t="str">
        <f t="shared" si="627"/>
        <v/>
      </c>
      <c r="AW1468" s="27" t="str">
        <f t="shared" si="628"/>
        <v/>
      </c>
      <c r="AX1468" s="27" t="str">
        <f t="shared" si="629"/>
        <v/>
      </c>
      <c r="AY1468" s="27" t="str">
        <f t="shared" si="630"/>
        <v/>
      </c>
      <c r="AZ1468" s="27" t="str">
        <f t="shared" si="631"/>
        <v/>
      </c>
      <c r="BA1468" s="27" t="str">
        <f t="shared" si="632"/>
        <v/>
      </c>
      <c r="BB1468" s="27" t="str">
        <f t="shared" si="633"/>
        <v/>
      </c>
      <c r="BC1468" s="27" t="str">
        <f t="shared" si="634"/>
        <v/>
      </c>
      <c r="BD1468" s="27" t="str">
        <f t="shared" si="635"/>
        <v/>
      </c>
      <c r="BE1468" s="27" t="str">
        <f t="shared" si="636"/>
        <v/>
      </c>
      <c r="BF1468" s="27" t="str">
        <f t="shared" si="637"/>
        <v/>
      </c>
      <c r="BG1468" s="27" t="str">
        <f t="shared" si="638"/>
        <v/>
      </c>
      <c r="BH1468" s="27" t="str">
        <f t="shared" si="639"/>
        <v/>
      </c>
      <c r="BI1468" s="27" t="str">
        <f t="shared" si="640"/>
        <v/>
      </c>
      <c r="BJ1468" s="27" t="str">
        <f t="shared" si="641"/>
        <v/>
      </c>
      <c r="BK1468" s="27" t="str">
        <f t="shared" si="642"/>
        <v/>
      </c>
      <c r="BL1468" s="27" t="str">
        <f t="shared" si="643"/>
        <v/>
      </c>
      <c r="BM1468" s="21" t="s">
        <v>5581</v>
      </c>
    </row>
    <row r="1469" spans="1:65" ht="15">
      <c r="A1469" s="25">
        <f>IFERROR(INDEX('Hun Demand'!W:W,MATCH(O1469,'Hun Demand'!A:A,0)),"")</f>
        <v>0</v>
      </c>
      <c r="B1469" s="25">
        <f>IFERROR(INDEX('Hun Demand'!V:V,MATCH(O1469,'Hun Demand'!A:A,0)),"")</f>
        <v>0</v>
      </c>
      <c r="C1469" s="25">
        <f>IFERROR(INDEX('Hun Demand'!U:U,MATCH(O1469,'Hun Demand'!A:A,0)),"")</f>
        <v>0</v>
      </c>
      <c r="D1469" s="25">
        <f>IFERROR(INDEX('Hun Demand'!T:T,MATCH(O1469,'Hun Demand'!A:A,0)),"")</f>
        <v>0</v>
      </c>
      <c r="E1469" s="25">
        <f>IFERROR(INDEX('Hun Demand'!S:S,MATCH(O1469,'Hun Demand'!A:A,0)),"")</f>
        <v>0</v>
      </c>
      <c r="F1469" s="25">
        <f>IFERROR(INDEX('Hun Demand'!R:R,MATCH(O1469,'Hun Demand'!A:A,0)),"")</f>
        <v>0</v>
      </c>
      <c r="G1469" s="25">
        <f>IFERROR(INDEX('Aub Demand'!W:W,MATCH(O1469,'Aub Demand'!A:A,0)),"")</f>
        <v>0</v>
      </c>
      <c r="H1469" s="25">
        <f>IFERROR(INDEX('Aub Demand'!V:V,MATCH(O1469,'Aub Demand'!A:A,0)),"")</f>
        <v>0</v>
      </c>
      <c r="I1469" s="25">
        <f>IFERROR(INDEX('Aub Demand'!U:U,MATCH(O1469,'Aub Demand'!A:A,0)),"")</f>
        <v>0</v>
      </c>
      <c r="J1469" s="25">
        <f>IFERROR(INDEX('Aub Demand'!T:T,MATCH(O1469,'Aub Demand'!A:A,0)),"")</f>
        <v>0</v>
      </c>
      <c r="K1469" s="25">
        <f>IFERROR(INDEX('Aub Demand'!S:S,MATCH(O1469,'Aub Demand'!A:A,0)),"")</f>
        <v>0</v>
      </c>
      <c r="L1469" s="25">
        <f>IFERROR(INDEX('Aub Demand'!R:R,MATCH(O1469,'Aub Demand'!A:A,0)),"")</f>
        <v>0</v>
      </c>
      <c r="O1469" s="27" t="s">
        <v>1771</v>
      </c>
      <c r="P1469" s="27" t="str">
        <f>IFERROR(INDEX('Aub Demand'!B:B,MATCH($O1469,'Aub Demand'!$A:$A,0)),"")</f>
        <v>VILLAGE OAK</v>
      </c>
      <c r="Q1469" s="27" t="str">
        <f>IFERROR(INDEX('Aub Demand'!C:C,MATCH($O1469,'Aub Demand'!$A:$A,0)),"")</f>
        <v>TOPPA</v>
      </c>
      <c r="R1469" s="52">
        <f>IFERROR(IF(AR1470=AR1469,INDEX('Aub Demand'!K:K,MATCH($O1469,'Aub Demand'!$A:$A,0))-IF(AN1469="",0,AN1469)+AP1470,INDEX('Aub Demand'!K:K,MATCH($O1469,'Aub Demand'!$A:$A,0))-IF(AN1469="",0,AN1469)),"")</f>
        <v>1442</v>
      </c>
      <c r="S1469" s="53" t="str">
        <f t="shared" si="616"/>
        <v>n/a</v>
      </c>
      <c r="T1469" s="52" t="str">
        <f t="shared" si="617"/>
        <v/>
      </c>
      <c r="U1469" s="52">
        <f>IFERROR(IF(AR1470=AR1469,INDEX('Aub Demand'!Q:Q,MATCH($O1469,'Aub Demand'!$A:$A,0))-IF(AN1469="",0,AN1469)+AP1470,INDEX('Aub Demand'!Q:Q,MATCH($O1469,'Aub Demand'!$A:$A,0))-IF(AN1469="",0,AN1469)),"")</f>
        <v>1442</v>
      </c>
      <c r="V1469" s="53" t="str">
        <f t="shared" si="618"/>
        <v>n/a</v>
      </c>
      <c r="W1469" s="52" t="str">
        <f t="shared" si="619"/>
        <v/>
      </c>
      <c r="X1469" s="52">
        <f>IFERROR(IF(AND(AR1470=AR1469,AM1469&lt;&gt;""),INDEX('Aub Demand'!Q:Q,MATCH($O1469,'Aub Demand'!$A:$A,0))-IF(AN1469="",0,AN1469)+AP1470+AD1469+AL1469,IF(AR1470=AR1469,INDEX('Aub Demand'!Q:Q,MATCH($O1469,'Aub Demand'!$A:$A,0))-IF(AN1469="",0,AN1469)+AP1470+AD1469,IF(AM1469&lt;&gt;"",INDEX('Aub Demand'!Q:Q,MATCH($O1469,'Aub Demand'!$A:$A,0))-IF(AN1469="",0,AN1469)+AD1469+AL1469,INDEX('Aub Demand'!Q:Q,MATCH($O1469,'Aub Demand'!$A:$A,0))-IF(AN1469="",0,AN1469)+AD1469))),"")</f>
        <v>1442</v>
      </c>
      <c r="Y1469" s="53" t="str">
        <f t="shared" si="620"/>
        <v>n/a</v>
      </c>
      <c r="Z1469" s="52">
        <f>IF(L1469="","",INDEX('Aub Demand'!H:H,MATCH($O1469,'Aub Demand'!$A:$A,0)))</f>
        <v>0</v>
      </c>
      <c r="AA1469" s="52" t="str">
        <f t="shared" si="621"/>
        <v>-spike-</v>
      </c>
      <c r="AB1469" s="52">
        <f>IFERROR(INDEX('Aub Demand'!L:L,MATCH($O1469,'Aub Demand'!$A:$A,0)),"")</f>
        <v>0</v>
      </c>
      <c r="AC1469" s="52">
        <f>IFERROR(IF(O1469="","",SUMIFS('CPL Mats'!F:F,'CPL Mats'!Q:Q,AR1469,'CPL Mats'!S:S,AS1469)),"")</f>
        <v>0</v>
      </c>
      <c r="AF1469" s="25" t="str">
        <f>IF(SUMIFS('Supp Consol'!S:S,'Supp Consol'!Y:Y,"Releasable",'Supp Consol'!A:A,O1469)=0,"",SUMIFS('Supp Consol'!S:S,'Supp Consol'!Y:Y,"Releasable",'Supp Consol'!A:A,O1469))</f>
        <v/>
      </c>
      <c r="AG1469" s="25">
        <f>IFERROR(INDEX('Hun Demand'!Q:Q,MATCH(O1469,'Hun Demand'!A:A,0)),"")</f>
        <v>315</v>
      </c>
      <c r="AH1469" s="25">
        <f>IFERROR(INDEX('Hun Demand'!H:H,MATCH($O1469,'Hun Demand'!$A:$A,0)),"")</f>
        <v>0</v>
      </c>
      <c r="AI1469" s="25" t="str">
        <f>IF(SUMIFS('Supp Consol'!AA:AA,'Supp Consol'!Z:Z,"Expires this month",'Supp Consol'!A:A,O1469)=0,"",SUMIFS('Supp Consol'!AA:AA,'Supp Consol'!Z:Z,"Expires this month",'Supp Consol'!A:A,O1469))</f>
        <v/>
      </c>
      <c r="AJ1469" s="25" t="str">
        <f>IF(SUMIFS('Supp Consol'!AA:AA,'Supp Consol'!Z:Z,"Expired Previous Months",'Supp Consol'!A:A,O1469)=0,"",SUMIFS('Supp Consol'!AA:AA,'Supp Consol'!Z:Z,"Expired Previous Months",'Supp Consol'!A:A,O1469))</f>
        <v/>
      </c>
      <c r="AK1469" s="25" t="str">
        <f>IFERROR(INDEX('Hun Release Current'!B:B,MATCH(O1469,'Hun Release Current'!A:A,0)),"")</f>
        <v/>
      </c>
      <c r="AL1469" s="25" t="str">
        <f>IF(SUMIF('Prev Aub'!A:A,O1469,'Prev Aub'!B:B)=0,"",SUMIF('Prev Aub'!A:A,O1469,'Prev Aub'!B:B))</f>
        <v/>
      </c>
      <c r="AN1469" s="25" t="s">
        <v>3790</v>
      </c>
      <c r="AO1469" s="25" t="s">
        <v>3790</v>
      </c>
      <c r="AP1469" s="25">
        <f t="shared" si="622"/>
        <v>0</v>
      </c>
      <c r="AQ1469" s="151" t="str">
        <f>IF(SUMIFS('Supp Consol'!S:S,'Supp Consol'!A:A,O1469,'Supp Consol'!I:I,"PENDING")=0,"",SUMIFS('Supp Consol'!S:S,'Supp Consol'!A:A,O1469,'Supp Consol'!I:I,"PENDING"))</f>
        <v/>
      </c>
      <c r="AR1469" s="27" t="str">
        <f t="shared" si="623"/>
        <v>WO241</v>
      </c>
      <c r="AS1469" s="27" t="str">
        <f t="shared" si="624"/>
        <v>62</v>
      </c>
      <c r="AT1469" s="27" t="str">
        <f t="shared" si="625"/>
        <v/>
      </c>
      <c r="AU1469" s="27" t="str">
        <f t="shared" si="626"/>
        <v/>
      </c>
      <c r="AV1469" s="27" t="str">
        <f t="shared" si="627"/>
        <v/>
      </c>
      <c r="AW1469" s="27" t="str">
        <f t="shared" si="628"/>
        <v/>
      </c>
      <c r="AX1469" s="27" t="str">
        <f t="shared" si="629"/>
        <v/>
      </c>
      <c r="AY1469" s="27" t="str">
        <f t="shared" si="630"/>
        <v>WO241</v>
      </c>
      <c r="AZ1469" s="27" t="str">
        <f t="shared" si="631"/>
        <v/>
      </c>
      <c r="BA1469" s="27" t="str">
        <f t="shared" si="632"/>
        <v>Hun</v>
      </c>
      <c r="BB1469" s="27" t="str">
        <f t="shared" si="633"/>
        <v/>
      </c>
      <c r="BC1469" s="27" t="str">
        <f t="shared" si="634"/>
        <v/>
      </c>
      <c r="BD1469" s="27" t="str">
        <f t="shared" si="635"/>
        <v/>
      </c>
      <c r="BE1469" s="27" t="str">
        <f t="shared" si="636"/>
        <v/>
      </c>
      <c r="BF1469" s="27" t="str">
        <f t="shared" si="637"/>
        <v/>
      </c>
      <c r="BG1469" s="27" t="str">
        <f t="shared" si="638"/>
        <v/>
      </c>
      <c r="BH1469" s="27" t="str">
        <f t="shared" si="639"/>
        <v/>
      </c>
      <c r="BI1469" s="27" t="str">
        <f t="shared" si="640"/>
        <v/>
      </c>
      <c r="BJ1469" s="27" t="str">
        <f t="shared" si="641"/>
        <v>Supp or Hun</v>
      </c>
      <c r="BK1469" s="27" t="str">
        <f t="shared" si="642"/>
        <v/>
      </c>
      <c r="BL1469" s="27" t="str">
        <f t="shared" si="643"/>
        <v/>
      </c>
      <c r="BM1469" s="21" t="s">
        <v>5581</v>
      </c>
    </row>
    <row r="1470" spans="1:65" ht="15">
      <c r="A1470" s="25" t="str">
        <f>IFERROR(INDEX('Hun Demand'!W:W,MATCH(O1470,'Hun Demand'!A:A,0)),"")</f>
        <v/>
      </c>
      <c r="B1470" s="25" t="str">
        <f>IFERROR(INDEX('Hun Demand'!V:V,MATCH(O1470,'Hun Demand'!A:A,0)),"")</f>
        <v/>
      </c>
      <c r="C1470" s="25" t="str">
        <f>IFERROR(INDEX('Hun Demand'!U:U,MATCH(O1470,'Hun Demand'!A:A,0)),"")</f>
        <v/>
      </c>
      <c r="D1470" s="25" t="str">
        <f>IFERROR(INDEX('Hun Demand'!T:T,MATCH(O1470,'Hun Demand'!A:A,0)),"")</f>
        <v/>
      </c>
      <c r="E1470" s="25" t="str">
        <f>IFERROR(INDEX('Hun Demand'!S:S,MATCH(O1470,'Hun Demand'!A:A,0)),"")</f>
        <v/>
      </c>
      <c r="F1470" s="25" t="str">
        <f>IFERROR(INDEX('Hun Demand'!R:R,MATCH(O1470,'Hun Demand'!A:A,0)),"")</f>
        <v/>
      </c>
      <c r="G1470" s="25">
        <f>IFERROR(INDEX('Aub Demand'!W:W,MATCH(O1470,'Aub Demand'!A:A,0)),"")</f>
        <v>244</v>
      </c>
      <c r="H1470" s="25">
        <f>IFERROR(INDEX('Aub Demand'!V:V,MATCH(O1470,'Aub Demand'!A:A,0)),"")</f>
        <v>0</v>
      </c>
      <c r="I1470" s="25">
        <f>IFERROR(INDEX('Aub Demand'!U:U,MATCH(O1470,'Aub Demand'!A:A,0)),"")</f>
        <v>0</v>
      </c>
      <c r="J1470" s="25">
        <f>IFERROR(INDEX('Aub Demand'!T:T,MATCH(O1470,'Aub Demand'!A:A,0)),"")</f>
        <v>0</v>
      </c>
      <c r="K1470" s="25">
        <f>IFERROR(INDEX('Aub Demand'!S:S,MATCH(O1470,'Aub Demand'!A:A,0)),"")</f>
        <v>77</v>
      </c>
      <c r="L1470" s="25">
        <f>IFERROR(INDEX('Aub Demand'!R:R,MATCH(O1470,'Aub Demand'!A:A,0)),"")</f>
        <v>0</v>
      </c>
      <c r="O1470" s="27" t="s">
        <v>1774</v>
      </c>
      <c r="P1470" s="27" t="str">
        <f>IFERROR(INDEX('Aub Demand'!B:B,MATCH($O1470,'Aub Demand'!$A:$A,0)),"")</f>
        <v>STATE OAK</v>
      </c>
      <c r="Q1470" s="27" t="str">
        <f>IFERROR(INDEX('Aub Demand'!C:C,MATCH($O1470,'Aub Demand'!$A:$A,0)),"")</f>
        <v>TOPPA</v>
      </c>
      <c r="R1470" s="52">
        <f>IFERROR(IF(AR1471=AR1470,INDEX('Aub Demand'!K:K,MATCH($O1470,'Aub Demand'!$A:$A,0))-IF(AN1470="",0,AN1470)+AP1471,INDEX('Aub Demand'!K:K,MATCH($O1470,'Aub Demand'!$A:$A,0))-IF(AN1470="",0,AN1470)),"")</f>
        <v>1248</v>
      </c>
      <c r="S1470" s="53">
        <f t="shared" si="616"/>
        <v>205.7</v>
      </c>
      <c r="T1470" s="52" t="str">
        <f t="shared" si="617"/>
        <v/>
      </c>
      <c r="U1470" s="52">
        <f>IFERROR(IF(AR1471=AR1470,INDEX('Aub Demand'!Q:Q,MATCH($O1470,'Aub Demand'!$A:$A,0))-IF(AN1470="",0,AN1470)+AP1471,INDEX('Aub Demand'!Q:Q,MATCH($O1470,'Aub Demand'!$A:$A,0))-IF(AN1470="",0,AN1470)),"")</f>
        <v>1248</v>
      </c>
      <c r="V1470" s="53">
        <f t="shared" si="618"/>
        <v>205.7</v>
      </c>
      <c r="W1470" s="52" t="str">
        <f t="shared" si="619"/>
        <v/>
      </c>
      <c r="X1470" s="52">
        <f>IFERROR(IF(AND(AR1471=AR1470,AM1470&lt;&gt;""),INDEX('Aub Demand'!Q:Q,MATCH($O1470,'Aub Demand'!$A:$A,0))-IF(AN1470="",0,AN1470)+AP1471+AD1470+AL1470,IF(AR1471=AR1470,INDEX('Aub Demand'!Q:Q,MATCH($O1470,'Aub Demand'!$A:$A,0))-IF(AN1470="",0,AN1470)+AP1471+AD1470,IF(AM1470&lt;&gt;"",INDEX('Aub Demand'!Q:Q,MATCH($O1470,'Aub Demand'!$A:$A,0))-IF(AN1470="",0,AN1470)+AD1470+AL1470,INDEX('Aub Demand'!Q:Q,MATCH($O1470,'Aub Demand'!$A:$A,0))-IF(AN1470="",0,AN1470)+AD1470))),"")</f>
        <v>1248</v>
      </c>
      <c r="Y1470" s="53">
        <f t="shared" si="620"/>
        <v>205.7</v>
      </c>
      <c r="Z1470" s="52">
        <f>IF(L1470="","",INDEX('Aub Demand'!H:H,MATCH($O1470,'Aub Demand'!$A:$A,0)))</f>
        <v>26</v>
      </c>
      <c r="AA1470" s="52" t="str">
        <f t="shared" si="621"/>
        <v>-spike-</v>
      </c>
      <c r="AB1470" s="52">
        <f>IFERROR(INDEX('Aub Demand'!L:L,MATCH($O1470,'Aub Demand'!$A:$A,0)),"")</f>
        <v>0</v>
      </c>
      <c r="AC1470" s="52">
        <f>IFERROR(IF(O1470="","",SUMIFS('CPL Mats'!F:F,'CPL Mats'!Q:Q,AR1470,'CPL Mats'!S:S,AS1470)),"")</f>
        <v>0</v>
      </c>
      <c r="AF1470" s="25" t="str">
        <f>IF(SUMIFS('Supp Consol'!S:S,'Supp Consol'!Y:Y,"Releasable",'Supp Consol'!A:A,O1470)=0,"",SUMIFS('Supp Consol'!S:S,'Supp Consol'!Y:Y,"Releasable",'Supp Consol'!A:A,O1470))</f>
        <v/>
      </c>
      <c r="AG1470" s="25" t="str">
        <f>IFERROR(INDEX('Hun Demand'!Q:Q,MATCH(O1470,'Hun Demand'!A:A,0)),"")</f>
        <v/>
      </c>
      <c r="AH1470" s="25" t="str">
        <f>IFERROR(INDEX('Hun Demand'!H:H,MATCH($O1470,'Hun Demand'!$A:$A,0)),"")</f>
        <v/>
      </c>
      <c r="AI1470" s="25" t="str">
        <f>IF(SUMIFS('Supp Consol'!AA:AA,'Supp Consol'!Z:Z,"Expires this month",'Supp Consol'!A:A,O1470)=0,"",SUMIFS('Supp Consol'!AA:AA,'Supp Consol'!Z:Z,"Expires this month",'Supp Consol'!A:A,O1470))</f>
        <v/>
      </c>
      <c r="AJ1470" s="25" t="str">
        <f>IF(SUMIFS('Supp Consol'!AA:AA,'Supp Consol'!Z:Z,"Expired Previous Months",'Supp Consol'!A:A,O1470)=0,"",SUMIFS('Supp Consol'!AA:AA,'Supp Consol'!Z:Z,"Expired Previous Months",'Supp Consol'!A:A,O1470))</f>
        <v/>
      </c>
      <c r="AK1470" s="25" t="str">
        <f>IFERROR(INDEX('Hun Release Current'!B:B,MATCH(O1470,'Hun Release Current'!A:A,0)),"")</f>
        <v/>
      </c>
      <c r="AL1470" s="25" t="str">
        <f>IF(SUMIF('Prev Aub'!A:A,O1470,'Prev Aub'!B:B)=0,"",SUMIF('Prev Aub'!A:A,O1470,'Prev Aub'!B:B))</f>
        <v/>
      </c>
      <c r="AN1470" s="25" t="s">
        <v>3790</v>
      </c>
      <c r="AO1470" s="25" t="s">
        <v>3790</v>
      </c>
      <c r="AP1470" s="25">
        <f t="shared" si="622"/>
        <v>0</v>
      </c>
      <c r="AQ1470" s="151" t="str">
        <f>IF(SUMIFS('Supp Consol'!S:S,'Supp Consol'!A:A,O1470,'Supp Consol'!I:I,"PENDING")=0,"",SUMIFS('Supp Consol'!S:S,'Supp Consol'!A:A,O1470,'Supp Consol'!I:I,"PENDING"))</f>
        <v/>
      </c>
      <c r="AR1470" s="27" t="str">
        <f t="shared" si="623"/>
        <v>WO251</v>
      </c>
      <c r="AS1470" s="27" t="str">
        <f t="shared" si="624"/>
        <v>50</v>
      </c>
      <c r="AT1470" s="27" t="str">
        <f t="shared" si="625"/>
        <v/>
      </c>
      <c r="AU1470" s="27" t="str">
        <f t="shared" si="626"/>
        <v/>
      </c>
      <c r="AV1470" s="27" t="str">
        <f t="shared" si="627"/>
        <v/>
      </c>
      <c r="AW1470" s="27" t="str">
        <f t="shared" si="628"/>
        <v/>
      </c>
      <c r="AX1470" s="27" t="str">
        <f t="shared" si="629"/>
        <v/>
      </c>
      <c r="AY1470" s="27" t="str">
        <f t="shared" si="630"/>
        <v/>
      </c>
      <c r="AZ1470" s="27" t="str">
        <f t="shared" si="631"/>
        <v/>
      </c>
      <c r="BA1470" s="27" t="str">
        <f t="shared" si="632"/>
        <v/>
      </c>
      <c r="BB1470" s="27" t="str">
        <f t="shared" si="633"/>
        <v/>
      </c>
      <c r="BC1470" s="27" t="str">
        <f t="shared" si="634"/>
        <v/>
      </c>
      <c r="BD1470" s="27" t="str">
        <f t="shared" si="635"/>
        <v/>
      </c>
      <c r="BE1470" s="27" t="str">
        <f t="shared" si="636"/>
        <v/>
      </c>
      <c r="BF1470" s="27" t="str">
        <f t="shared" si="637"/>
        <v/>
      </c>
      <c r="BG1470" s="27" t="str">
        <f t="shared" si="638"/>
        <v/>
      </c>
      <c r="BH1470" s="27" t="str">
        <f t="shared" si="639"/>
        <v/>
      </c>
      <c r="BI1470" s="27" t="str">
        <f t="shared" si="640"/>
        <v/>
      </c>
      <c r="BJ1470" s="27" t="str">
        <f t="shared" si="641"/>
        <v/>
      </c>
      <c r="BK1470" s="27" t="str">
        <f t="shared" si="642"/>
        <v/>
      </c>
      <c r="BL1470" s="27" t="str">
        <f t="shared" si="643"/>
        <v/>
      </c>
      <c r="BM1470" s="21" t="s">
        <v>5581</v>
      </c>
    </row>
    <row r="1471" spans="1:65" ht="15">
      <c r="A1471" s="25" t="str">
        <f>IFERROR(INDEX('Hun Demand'!W:W,MATCH(O1471,'Hun Demand'!A:A,0)),"")</f>
        <v/>
      </c>
      <c r="B1471" s="25" t="str">
        <f>IFERROR(INDEX('Hun Demand'!V:V,MATCH(O1471,'Hun Demand'!A:A,0)),"")</f>
        <v/>
      </c>
      <c r="C1471" s="25" t="str">
        <f>IFERROR(INDEX('Hun Demand'!U:U,MATCH(O1471,'Hun Demand'!A:A,0)),"")</f>
        <v/>
      </c>
      <c r="D1471" s="25" t="str">
        <f>IFERROR(INDEX('Hun Demand'!T:T,MATCH(O1471,'Hun Demand'!A:A,0)),"")</f>
        <v/>
      </c>
      <c r="E1471" s="25" t="str">
        <f>IFERROR(INDEX('Hun Demand'!S:S,MATCH(O1471,'Hun Demand'!A:A,0)),"")</f>
        <v/>
      </c>
      <c r="F1471" s="25" t="str">
        <f>IFERROR(INDEX('Hun Demand'!R:R,MATCH(O1471,'Hun Demand'!A:A,0)),"")</f>
        <v/>
      </c>
      <c r="G1471" s="25">
        <f>IFERROR(INDEX('Aub Demand'!W:W,MATCH(O1471,'Aub Demand'!A:A,0)),"")</f>
        <v>0</v>
      </c>
      <c r="H1471" s="25">
        <f>IFERROR(INDEX('Aub Demand'!V:V,MATCH(O1471,'Aub Demand'!A:A,0)),"")</f>
        <v>11</v>
      </c>
      <c r="I1471" s="25">
        <f>IFERROR(INDEX('Aub Demand'!U:U,MATCH(O1471,'Aub Demand'!A:A,0)),"")</f>
        <v>24</v>
      </c>
      <c r="J1471" s="25">
        <f>IFERROR(INDEX('Aub Demand'!T:T,MATCH(O1471,'Aub Demand'!A:A,0)),"")</f>
        <v>17</v>
      </c>
      <c r="K1471" s="25">
        <f>IFERROR(INDEX('Aub Demand'!S:S,MATCH(O1471,'Aub Demand'!A:A,0)),"")</f>
        <v>112</v>
      </c>
      <c r="L1471" s="25">
        <f>IFERROR(INDEX('Aub Demand'!R:R,MATCH(O1471,'Aub Demand'!A:A,0)),"")</f>
        <v>0</v>
      </c>
      <c r="O1471" s="27" t="s">
        <v>1778</v>
      </c>
      <c r="P1471" s="27" t="str">
        <f>IFERROR(INDEX('Aub Demand'!B:B,MATCH($O1471,'Aub Demand'!$A:$A,0)),"")</f>
        <v>WISCONSIN OAK</v>
      </c>
      <c r="Q1471" s="27" t="str">
        <f>IFERROR(INDEX('Aub Demand'!C:C,MATCH($O1471,'Aub Demand'!$A:$A,0)),"")</f>
        <v>INTER</v>
      </c>
      <c r="R1471" s="52">
        <f>IFERROR(IF(AR1472=AR1471,INDEX('Aub Demand'!K:K,MATCH($O1471,'Aub Demand'!$A:$A,0))-IF(AN1471="",0,AN1471)+AP1472,INDEX('Aub Demand'!K:K,MATCH($O1471,'Aub Demand'!$A:$A,0))-IF(AN1471="",0,AN1471)),"")</f>
        <v>494</v>
      </c>
      <c r="S1471" s="53">
        <f t="shared" si="616"/>
        <v>41.5</v>
      </c>
      <c r="T1471" s="52" t="str">
        <f t="shared" si="617"/>
        <v/>
      </c>
      <c r="U1471" s="52">
        <f>IFERROR(IF(AR1472=AR1471,INDEX('Aub Demand'!Q:Q,MATCH($O1471,'Aub Demand'!$A:$A,0))-IF(AN1471="",0,AN1471)+AP1472,INDEX('Aub Demand'!Q:Q,MATCH($O1471,'Aub Demand'!$A:$A,0))-IF(AN1471="",0,AN1471)),"")</f>
        <v>392</v>
      </c>
      <c r="V1471" s="53">
        <f t="shared" si="618"/>
        <v>32.9</v>
      </c>
      <c r="W1471" s="52" t="str">
        <f t="shared" si="619"/>
        <v/>
      </c>
      <c r="X1471" s="52">
        <f>IFERROR(IF(AND(AR1472=AR1471,AM1471&lt;&gt;""),INDEX('Aub Demand'!Q:Q,MATCH($O1471,'Aub Demand'!$A:$A,0))-IF(AN1471="",0,AN1471)+AP1472+AD1471+AL1471,IF(AR1472=AR1471,INDEX('Aub Demand'!Q:Q,MATCH($O1471,'Aub Demand'!$A:$A,0))-IF(AN1471="",0,AN1471)+AP1472+AD1471,IF(AM1471&lt;&gt;"",INDEX('Aub Demand'!Q:Q,MATCH($O1471,'Aub Demand'!$A:$A,0))-IF(AN1471="",0,AN1471)+AD1471+AL1471,INDEX('Aub Demand'!Q:Q,MATCH($O1471,'Aub Demand'!$A:$A,0))-IF(AN1471="",0,AN1471)+AD1471))),"")</f>
        <v>392</v>
      </c>
      <c r="Y1471" s="53">
        <f t="shared" si="620"/>
        <v>32.9</v>
      </c>
      <c r="Z1471" s="52">
        <f>IF(L1471="","",INDEX('Aub Demand'!H:H,MATCH($O1471,'Aub Demand'!$A:$A,0)))</f>
        <v>51</v>
      </c>
      <c r="AA1471" s="52">
        <f t="shared" si="621"/>
        <v>68</v>
      </c>
      <c r="AB1471" s="52">
        <f>IFERROR(INDEX('Aub Demand'!L:L,MATCH($O1471,'Aub Demand'!$A:$A,0)),"")</f>
        <v>9</v>
      </c>
      <c r="AC1471" s="52">
        <f>IFERROR(IF(O1471="","",SUMIFS('CPL Mats'!F:F,'CPL Mats'!Q:Q,AR1471,'CPL Mats'!S:S,AS1471)),"")</f>
        <v>0</v>
      </c>
      <c r="AF1471" s="25">
        <f>IF(SUMIFS('Supp Consol'!S:S,'Supp Consol'!Y:Y,"Releasable",'Supp Consol'!A:A,O1471)=0,"",SUMIFS('Supp Consol'!S:S,'Supp Consol'!Y:Y,"Releasable",'Supp Consol'!A:A,O1471))</f>
        <v>500</v>
      </c>
      <c r="AG1471" s="25" t="str">
        <f>IFERROR(INDEX('Hun Demand'!Q:Q,MATCH(O1471,'Hun Demand'!A:A,0)),"")</f>
        <v/>
      </c>
      <c r="AH1471" s="25" t="str">
        <f>IFERROR(INDEX('Hun Demand'!H:H,MATCH($O1471,'Hun Demand'!$A:$A,0)),"")</f>
        <v/>
      </c>
      <c r="AI1471" s="25" t="str">
        <f>IF(SUMIFS('Supp Consol'!AA:AA,'Supp Consol'!Z:Z,"Expires this month",'Supp Consol'!A:A,O1471)=0,"",SUMIFS('Supp Consol'!AA:AA,'Supp Consol'!Z:Z,"Expires this month",'Supp Consol'!A:A,O1471))</f>
        <v/>
      </c>
      <c r="AJ1471" s="25" t="str">
        <f>IF(SUMIFS('Supp Consol'!AA:AA,'Supp Consol'!Z:Z,"Expired Previous Months",'Supp Consol'!A:A,O1471)=0,"",SUMIFS('Supp Consol'!AA:AA,'Supp Consol'!Z:Z,"Expired Previous Months",'Supp Consol'!A:A,O1471))</f>
        <v/>
      </c>
      <c r="AK1471" s="25" t="str">
        <f>IFERROR(INDEX('Hun Release Current'!B:B,MATCH(O1471,'Hun Release Current'!A:A,0)),"")</f>
        <v/>
      </c>
      <c r="AL1471" s="25" t="str">
        <f>IF(SUMIF('Prev Aub'!A:A,O1471,'Prev Aub'!B:B)=0,"",SUMIF('Prev Aub'!A:A,O1471,'Prev Aub'!B:B))</f>
        <v/>
      </c>
      <c r="AN1471" s="25" t="s">
        <v>3790</v>
      </c>
      <c r="AO1471" s="25" t="s">
        <v>3790</v>
      </c>
      <c r="AP1471" s="25">
        <f t="shared" si="622"/>
        <v>0</v>
      </c>
      <c r="AQ1471" s="151" t="str">
        <f>IF(SUMIFS('Supp Consol'!S:S,'Supp Consol'!A:A,O1471,'Supp Consol'!I:I,"PENDING")=0,"",SUMIFS('Supp Consol'!S:S,'Supp Consol'!A:A,O1471,'Supp Consol'!I:I,"PENDING"))</f>
        <v/>
      </c>
      <c r="AR1471" s="27" t="str">
        <f t="shared" si="623"/>
        <v>WO581</v>
      </c>
      <c r="AS1471" s="27" t="str">
        <f t="shared" si="624"/>
        <v>50</v>
      </c>
      <c r="AT1471" s="27" t="str">
        <f t="shared" si="625"/>
        <v/>
      </c>
      <c r="AU1471" s="27" t="str">
        <f t="shared" si="626"/>
        <v/>
      </c>
      <c r="AV1471" s="27" t="str">
        <f t="shared" si="627"/>
        <v/>
      </c>
      <c r="AW1471" s="27" t="str">
        <f t="shared" si="628"/>
        <v/>
      </c>
      <c r="AX1471" s="27" t="str">
        <f t="shared" si="629"/>
        <v>WO581</v>
      </c>
      <c r="AY1471" s="27" t="str">
        <f t="shared" si="630"/>
        <v/>
      </c>
      <c r="AZ1471" s="27" t="str">
        <f t="shared" si="631"/>
        <v>Supp</v>
      </c>
      <c r="BA1471" s="27" t="str">
        <f t="shared" si="632"/>
        <v/>
      </c>
      <c r="BB1471" s="27" t="str">
        <f t="shared" si="633"/>
        <v/>
      </c>
      <c r="BC1471" s="27" t="str">
        <f t="shared" si="634"/>
        <v/>
      </c>
      <c r="BD1471" s="27" t="str">
        <f t="shared" si="635"/>
        <v/>
      </c>
      <c r="BE1471" s="27" t="str">
        <f t="shared" si="636"/>
        <v/>
      </c>
      <c r="BF1471" s="27" t="str">
        <f t="shared" si="637"/>
        <v/>
      </c>
      <c r="BG1471" s="27" t="str">
        <f t="shared" si="638"/>
        <v/>
      </c>
      <c r="BH1471" s="27" t="str">
        <f t="shared" si="639"/>
        <v/>
      </c>
      <c r="BI1471" s="27" t="str">
        <f t="shared" si="640"/>
        <v/>
      </c>
      <c r="BJ1471" s="27" t="str">
        <f t="shared" si="641"/>
        <v>Supp or Hun</v>
      </c>
      <c r="BK1471" s="27" t="str">
        <f t="shared" si="642"/>
        <v/>
      </c>
      <c r="BL1471" s="27" t="str">
        <f t="shared" si="643"/>
        <v/>
      </c>
      <c r="BM1471" s="21" t="s">
        <v>5581</v>
      </c>
    </row>
    <row r="1472" spans="1:65" ht="15">
      <c r="A1472" s="25" t="str">
        <f>IFERROR(INDEX('Hun Demand'!W:W,MATCH(O1472,'Hun Demand'!A:A,0)),"")</f>
        <v/>
      </c>
      <c r="B1472" s="25" t="str">
        <f>IFERROR(INDEX('Hun Demand'!V:V,MATCH(O1472,'Hun Demand'!A:A,0)),"")</f>
        <v/>
      </c>
      <c r="C1472" s="25" t="str">
        <f>IFERROR(INDEX('Hun Demand'!U:U,MATCH(O1472,'Hun Demand'!A:A,0)),"")</f>
        <v/>
      </c>
      <c r="D1472" s="25" t="str">
        <f>IFERROR(INDEX('Hun Demand'!T:T,MATCH(O1472,'Hun Demand'!A:A,0)),"")</f>
        <v/>
      </c>
      <c r="E1472" s="25" t="str">
        <f>IFERROR(INDEX('Hun Demand'!S:S,MATCH(O1472,'Hun Demand'!A:A,0)),"")</f>
        <v/>
      </c>
      <c r="F1472" s="25" t="str">
        <f>IFERROR(INDEX('Hun Demand'!R:R,MATCH(O1472,'Hun Demand'!A:A,0)),"")</f>
        <v/>
      </c>
      <c r="G1472" s="25">
        <f>IFERROR(INDEX('Aub Demand'!W:W,MATCH(O1472,'Aub Demand'!A:A,0)),"")</f>
        <v>0</v>
      </c>
      <c r="H1472" s="25">
        <f>IFERROR(INDEX('Aub Demand'!V:V,MATCH(O1472,'Aub Demand'!A:A,0)),"")</f>
        <v>39</v>
      </c>
      <c r="I1472" s="25">
        <f>IFERROR(INDEX('Aub Demand'!U:U,MATCH(O1472,'Aub Demand'!A:A,0)),"")</f>
        <v>3</v>
      </c>
      <c r="J1472" s="25">
        <f>IFERROR(INDEX('Aub Demand'!T:T,MATCH(O1472,'Aub Demand'!A:A,0)),"")</f>
        <v>22</v>
      </c>
      <c r="K1472" s="25">
        <f>IFERROR(INDEX('Aub Demand'!S:S,MATCH(O1472,'Aub Demand'!A:A,0)),"")</f>
        <v>120</v>
      </c>
      <c r="L1472" s="25">
        <f>IFERROR(INDEX('Aub Demand'!R:R,MATCH(O1472,'Aub Demand'!A:A,0)),"")</f>
        <v>0</v>
      </c>
      <c r="O1472" s="27" t="s">
        <v>1779</v>
      </c>
      <c r="P1472" s="27" t="str">
        <f>IFERROR(INDEX('Aub Demand'!B:B,MATCH($O1472,'Aub Demand'!$A:$A,0)),"")</f>
        <v>WISCONSIN OAK</v>
      </c>
      <c r="Q1472" s="27" t="str">
        <f>IFERROR(INDEX('Aub Demand'!C:C,MATCH($O1472,'Aub Demand'!$A:$A,0)),"")</f>
        <v>INTER</v>
      </c>
      <c r="R1472" s="52">
        <f>IFERROR(IF(AR1473=AR1472,INDEX('Aub Demand'!K:K,MATCH($O1472,'Aub Demand'!$A:$A,0))-IF(AN1472="",0,AN1472)+AP1473,INDEX('Aub Demand'!K:K,MATCH($O1472,'Aub Demand'!$A:$A,0))-IF(AN1472="",0,AN1472)),"")</f>
        <v>415</v>
      </c>
      <c r="S1472" s="53">
        <f t="shared" si="616"/>
        <v>37.1</v>
      </c>
      <c r="T1472" s="52" t="str">
        <f t="shared" si="617"/>
        <v/>
      </c>
      <c r="U1472" s="52">
        <f>IFERROR(IF(AR1473=AR1472,INDEX('Aub Demand'!Q:Q,MATCH($O1472,'Aub Demand'!$A:$A,0))-IF(AN1472="",0,AN1472)+AP1473,INDEX('Aub Demand'!Q:Q,MATCH($O1472,'Aub Demand'!$A:$A,0))-IF(AN1472="",0,AN1472)),"")</f>
        <v>250</v>
      </c>
      <c r="V1472" s="53">
        <f t="shared" si="618"/>
        <v>22.3</v>
      </c>
      <c r="W1472" s="52" t="str">
        <f t="shared" si="619"/>
        <v/>
      </c>
      <c r="X1472" s="52">
        <f>IFERROR(IF(AND(AR1473=AR1472,AM1472&lt;&gt;""),INDEX('Aub Demand'!Q:Q,MATCH($O1472,'Aub Demand'!$A:$A,0))-IF(AN1472="",0,AN1472)+AP1473+AD1472+AL1472,IF(AR1473=AR1472,INDEX('Aub Demand'!Q:Q,MATCH($O1472,'Aub Demand'!$A:$A,0))-IF(AN1472="",0,AN1472)+AP1473+AD1472,IF(AM1472&lt;&gt;"",INDEX('Aub Demand'!Q:Q,MATCH($O1472,'Aub Demand'!$A:$A,0))-IF(AN1472="",0,AN1472)+AD1472+AL1472,INDEX('Aub Demand'!Q:Q,MATCH($O1472,'Aub Demand'!$A:$A,0))-IF(AN1472="",0,AN1472)+AD1472))),"")</f>
        <v>250</v>
      </c>
      <c r="Y1472" s="53">
        <f t="shared" si="620"/>
        <v>22.3</v>
      </c>
      <c r="Z1472" s="52">
        <f>IF(L1472="","",INDEX('Aub Demand'!H:H,MATCH($O1472,'Aub Demand'!$A:$A,0)))</f>
        <v>48</v>
      </c>
      <c r="AA1472" s="52">
        <f t="shared" si="621"/>
        <v>71</v>
      </c>
      <c r="AB1472" s="52">
        <f>IFERROR(INDEX('Aub Demand'!L:L,MATCH($O1472,'Aub Demand'!$A:$A,0)),"")</f>
        <v>5</v>
      </c>
      <c r="AC1472" s="52">
        <f>IFERROR(IF(O1472="","",SUMIFS('CPL Mats'!F:F,'CPL Mats'!Q:Q,AR1472,'CPL Mats'!S:S,AS1472)),"")</f>
        <v>0</v>
      </c>
      <c r="AF1472" s="25">
        <f>IF(SUMIFS('Supp Consol'!S:S,'Supp Consol'!Y:Y,"Releasable",'Supp Consol'!A:A,O1472)=0,"",SUMIFS('Supp Consol'!S:S,'Supp Consol'!Y:Y,"Releasable",'Supp Consol'!A:A,O1472))</f>
        <v>2167</v>
      </c>
      <c r="AG1472" s="25" t="str">
        <f>IFERROR(INDEX('Hun Demand'!Q:Q,MATCH(O1472,'Hun Demand'!A:A,0)),"")</f>
        <v/>
      </c>
      <c r="AH1472" s="25" t="str">
        <f>IFERROR(INDEX('Hun Demand'!H:H,MATCH($O1472,'Hun Demand'!$A:$A,0)),"")</f>
        <v/>
      </c>
      <c r="AI1472" s="25" t="str">
        <f>IF(SUMIFS('Supp Consol'!AA:AA,'Supp Consol'!Z:Z,"Expires this month",'Supp Consol'!A:A,O1472)=0,"",SUMIFS('Supp Consol'!AA:AA,'Supp Consol'!Z:Z,"Expires this month",'Supp Consol'!A:A,O1472))</f>
        <v/>
      </c>
      <c r="AJ1472" s="25" t="str">
        <f>IF(SUMIFS('Supp Consol'!AA:AA,'Supp Consol'!Z:Z,"Expired Previous Months",'Supp Consol'!A:A,O1472)=0,"",SUMIFS('Supp Consol'!AA:AA,'Supp Consol'!Z:Z,"Expired Previous Months",'Supp Consol'!A:A,O1472))</f>
        <v/>
      </c>
      <c r="AK1472" s="25" t="str">
        <f>IFERROR(INDEX('Hun Release Current'!B:B,MATCH(O1472,'Hun Release Current'!A:A,0)),"")</f>
        <v/>
      </c>
      <c r="AL1472" s="25" t="str">
        <f>IF(SUMIF('Prev Aub'!A:A,O1472,'Prev Aub'!B:B)=0,"",SUMIF('Prev Aub'!A:A,O1472,'Prev Aub'!B:B))</f>
        <v/>
      </c>
      <c r="AN1472" s="25" t="s">
        <v>3790</v>
      </c>
      <c r="AO1472" s="25" t="s">
        <v>3790</v>
      </c>
      <c r="AP1472" s="25">
        <f t="shared" si="622"/>
        <v>0</v>
      </c>
      <c r="AQ1472" s="151" t="str">
        <f>IF(SUMIFS('Supp Consol'!S:S,'Supp Consol'!A:A,O1472,'Supp Consol'!I:I,"PENDING")=0,"",SUMIFS('Supp Consol'!S:S,'Supp Consol'!A:A,O1472,'Supp Consol'!I:I,"PENDING"))</f>
        <v/>
      </c>
      <c r="AR1472" s="27" t="str">
        <f t="shared" si="623"/>
        <v>WO581</v>
      </c>
      <c r="AS1472" s="27" t="str">
        <f t="shared" si="624"/>
        <v>62</v>
      </c>
      <c r="AT1472" s="27" t="str">
        <f t="shared" si="625"/>
        <v/>
      </c>
      <c r="AU1472" s="27" t="str">
        <f t="shared" si="626"/>
        <v/>
      </c>
      <c r="AV1472" s="27" t="str">
        <f t="shared" si="627"/>
        <v/>
      </c>
      <c r="AW1472" s="27" t="str">
        <f t="shared" si="628"/>
        <v/>
      </c>
      <c r="AX1472" s="27" t="str">
        <f t="shared" si="629"/>
        <v>WO581</v>
      </c>
      <c r="AY1472" s="27" t="str">
        <f t="shared" si="630"/>
        <v/>
      </c>
      <c r="AZ1472" s="27" t="str">
        <f t="shared" si="631"/>
        <v>Supp</v>
      </c>
      <c r="BA1472" s="27" t="str">
        <f t="shared" si="632"/>
        <v/>
      </c>
      <c r="BB1472" s="27" t="str">
        <f t="shared" si="633"/>
        <v/>
      </c>
      <c r="BC1472" s="27" t="str">
        <f t="shared" si="634"/>
        <v/>
      </c>
      <c r="BD1472" s="27" t="str">
        <f t="shared" si="635"/>
        <v/>
      </c>
      <c r="BE1472" s="27" t="str">
        <f t="shared" si="636"/>
        <v/>
      </c>
      <c r="BF1472" s="27" t="str">
        <f t="shared" si="637"/>
        <v/>
      </c>
      <c r="BG1472" s="27" t="str">
        <f t="shared" si="638"/>
        <v/>
      </c>
      <c r="BH1472" s="27" t="str">
        <f t="shared" si="639"/>
        <v/>
      </c>
      <c r="BI1472" s="27" t="str">
        <f t="shared" si="640"/>
        <v/>
      </c>
      <c r="BJ1472" s="27" t="str">
        <f t="shared" si="641"/>
        <v>Supp or Hun</v>
      </c>
      <c r="BK1472" s="27" t="str">
        <f t="shared" si="642"/>
        <v/>
      </c>
      <c r="BL1472" s="27" t="str">
        <f t="shared" si="643"/>
        <v/>
      </c>
      <c r="BM1472" s="21" t="s">
        <v>5581</v>
      </c>
    </row>
    <row r="1473" spans="1:65" ht="15">
      <c r="A1473" s="25">
        <f>IFERROR(INDEX('Hun Demand'!W:W,MATCH(O1473,'Hun Demand'!A:A,0)),"")</f>
        <v>256</v>
      </c>
      <c r="B1473" s="25">
        <f>IFERROR(INDEX('Hun Demand'!V:V,MATCH(O1473,'Hun Demand'!A:A,0)),"")</f>
        <v>147</v>
      </c>
      <c r="C1473" s="25">
        <f>IFERROR(INDEX('Hun Demand'!U:U,MATCH(O1473,'Hun Demand'!A:A,0)),"")</f>
        <v>0</v>
      </c>
      <c r="D1473" s="25">
        <f>IFERROR(INDEX('Hun Demand'!T:T,MATCH(O1473,'Hun Demand'!A:A,0)),"")</f>
        <v>0</v>
      </c>
      <c r="E1473" s="25">
        <f>IFERROR(INDEX('Hun Demand'!S:S,MATCH(O1473,'Hun Demand'!A:A,0)),"")</f>
        <v>0</v>
      </c>
      <c r="F1473" s="25">
        <f>IFERROR(INDEX('Hun Demand'!R:R,MATCH(O1473,'Hun Demand'!A:A,0)),"")</f>
        <v>0</v>
      </c>
      <c r="G1473" s="25">
        <f>IFERROR(INDEX('Aub Demand'!W:W,MATCH(O1473,'Aub Demand'!A:A,0)),"")</f>
        <v>205</v>
      </c>
      <c r="H1473" s="25">
        <f>IFERROR(INDEX('Aub Demand'!V:V,MATCH(O1473,'Aub Demand'!A:A,0)),"")</f>
        <v>407</v>
      </c>
      <c r="I1473" s="25">
        <f>IFERROR(INDEX('Aub Demand'!U:U,MATCH(O1473,'Aub Demand'!A:A,0)),"")</f>
        <v>462</v>
      </c>
      <c r="J1473" s="25">
        <f>IFERROR(INDEX('Aub Demand'!T:T,MATCH(O1473,'Aub Demand'!A:A,0)),"")</f>
        <v>53</v>
      </c>
      <c r="K1473" s="25">
        <f>IFERROR(INDEX('Aub Demand'!S:S,MATCH(O1473,'Aub Demand'!A:A,0)),"")</f>
        <v>605</v>
      </c>
      <c r="L1473" s="25">
        <f>IFERROR(INDEX('Aub Demand'!R:R,MATCH(O1473,'Aub Demand'!A:A,0)),"")</f>
        <v>0</v>
      </c>
      <c r="O1473" s="27" t="s">
        <v>1780</v>
      </c>
      <c r="P1473" s="27" t="str">
        <f>IFERROR(INDEX('Aub Demand'!B:B,MATCH($O1473,'Aub Demand'!$A:$A,0)),"")</f>
        <v>CRACKLE CRUNCH</v>
      </c>
      <c r="Q1473" s="27" t="str">
        <f>IFERROR(INDEX('Aub Demand'!C:C,MATCH($O1473,'Aub Demand'!$A:$A,0)),"")</f>
        <v>LAMIG</v>
      </c>
      <c r="R1473" s="52">
        <f>IFERROR(IF(AR1474=AR1473,INDEX('Aub Demand'!K:K,MATCH($O1473,'Aub Demand'!$A:$A,0))-IF(AN1473="",0,AN1473)+AP1474,INDEX('Aub Demand'!K:K,MATCH($O1473,'Aub Demand'!$A:$A,0))-IF(AN1473="",0,AN1473)),"")</f>
        <v>2255</v>
      </c>
      <c r="S1473" s="53">
        <f t="shared" si="616"/>
        <v>25.9</v>
      </c>
      <c r="T1473" s="52" t="str">
        <f t="shared" si="617"/>
        <v/>
      </c>
      <c r="U1473" s="52">
        <f>IFERROR(IF(AR1474=AR1473,INDEX('Aub Demand'!Q:Q,MATCH($O1473,'Aub Demand'!$A:$A,0))-IF(AN1473="",0,AN1473)+AP1474,INDEX('Aub Demand'!Q:Q,MATCH($O1473,'Aub Demand'!$A:$A,0))-IF(AN1473="",0,AN1473)),"")</f>
        <v>2218</v>
      </c>
      <c r="V1473" s="53">
        <f t="shared" si="618"/>
        <v>25.5</v>
      </c>
      <c r="W1473" s="52" t="str">
        <f t="shared" si="619"/>
        <v/>
      </c>
      <c r="X1473" s="52">
        <f>IFERROR(IF(AND(AR1474=AR1473,AM1473&lt;&gt;""),INDEX('Aub Demand'!Q:Q,MATCH($O1473,'Aub Demand'!$A:$A,0))-IF(AN1473="",0,AN1473)+AP1474+AD1473+AL1473,IF(AR1474=AR1473,INDEX('Aub Demand'!Q:Q,MATCH($O1473,'Aub Demand'!$A:$A,0))-IF(AN1473="",0,AN1473)+AP1474+AD1473,IF(AM1473&lt;&gt;"",INDEX('Aub Demand'!Q:Q,MATCH($O1473,'Aub Demand'!$A:$A,0))-IF(AN1473="",0,AN1473)+AD1473+AL1473,INDEX('Aub Demand'!Q:Q,MATCH($O1473,'Aub Demand'!$A:$A,0))-IF(AN1473="",0,AN1473)+AD1473))),"")</f>
        <v>2218</v>
      </c>
      <c r="Y1473" s="53">
        <f t="shared" si="620"/>
        <v>25.5</v>
      </c>
      <c r="Z1473" s="52">
        <f>IF(L1473="","",INDEX('Aub Demand'!H:H,MATCH($O1473,'Aub Demand'!$A:$A,0)))</f>
        <v>373</v>
      </c>
      <c r="AA1473" s="52">
        <f t="shared" si="621"/>
        <v>533.5</v>
      </c>
      <c r="AB1473" s="52">
        <f>IFERROR(INDEX('Aub Demand'!L:L,MATCH($O1473,'Aub Demand'!$A:$A,0)),"")</f>
        <v>772</v>
      </c>
      <c r="AC1473" s="52">
        <f>IFERROR(IF(O1473="","",SUMIFS('CPL Mats'!F:F,'CPL Mats'!Q:Q,AR1473,'CPL Mats'!S:S,AS1473)),"")</f>
        <v>11305.86</v>
      </c>
      <c r="AF1473" s="25" t="str">
        <f>IF(SUMIFS('Supp Consol'!S:S,'Supp Consol'!Y:Y,"Releasable",'Supp Consol'!A:A,O1473)=0,"",SUMIFS('Supp Consol'!S:S,'Supp Consol'!Y:Y,"Releasable",'Supp Consol'!A:A,O1473))</f>
        <v/>
      </c>
      <c r="AG1473" s="25">
        <f>IFERROR(INDEX('Hun Demand'!Q:Q,MATCH(O1473,'Hun Demand'!A:A,0)),"")</f>
        <v>336</v>
      </c>
      <c r="AH1473" s="25">
        <f>IFERROR(INDEX('Hun Demand'!H:H,MATCH($O1473,'Hun Demand'!$A:$A,0)),"")</f>
        <v>0</v>
      </c>
      <c r="AI1473" s="25" t="str">
        <f>IF(SUMIFS('Supp Consol'!AA:AA,'Supp Consol'!Z:Z,"Expires this month",'Supp Consol'!A:A,O1473)=0,"",SUMIFS('Supp Consol'!AA:AA,'Supp Consol'!Z:Z,"Expires this month",'Supp Consol'!A:A,O1473))</f>
        <v/>
      </c>
      <c r="AJ1473" s="25" t="str">
        <f>IF(SUMIFS('Supp Consol'!AA:AA,'Supp Consol'!Z:Z,"Expired Previous Months",'Supp Consol'!A:A,O1473)=0,"",SUMIFS('Supp Consol'!AA:AA,'Supp Consol'!Z:Z,"Expired Previous Months",'Supp Consol'!A:A,O1473))</f>
        <v/>
      </c>
      <c r="AK1473" s="25" t="str">
        <f>IFERROR(INDEX('Hun Release Current'!B:B,MATCH(O1473,'Hun Release Current'!A:A,0)),"")</f>
        <v/>
      </c>
      <c r="AL1473" s="25" t="str">
        <f>IF(SUMIF('Prev Aub'!A:A,O1473,'Prev Aub'!B:B)=0,"",SUMIF('Prev Aub'!A:A,O1473,'Prev Aub'!B:B))</f>
        <v/>
      </c>
      <c r="AN1473" s="25" t="s">
        <v>3790</v>
      </c>
      <c r="AO1473" s="25" t="s">
        <v>3790</v>
      </c>
      <c r="AP1473" s="25">
        <f t="shared" si="622"/>
        <v>0</v>
      </c>
      <c r="AQ1473" s="151" t="str">
        <f>IF(SUMIFS('Supp Consol'!S:S,'Supp Consol'!A:A,O1473,'Supp Consol'!I:I,"PENDING")=0,"",SUMIFS('Supp Consol'!S:S,'Supp Consol'!A:A,O1473,'Supp Consol'!I:I,"PENDING"))</f>
        <v/>
      </c>
      <c r="AR1473" s="27" t="str">
        <f t="shared" si="623"/>
        <v>WO680</v>
      </c>
      <c r="AS1473" s="27" t="str">
        <f t="shared" si="624"/>
        <v>50</v>
      </c>
      <c r="AT1473" s="27" t="str">
        <f t="shared" si="625"/>
        <v/>
      </c>
      <c r="AU1473" s="27" t="str">
        <f t="shared" si="626"/>
        <v/>
      </c>
      <c r="AV1473" s="27" t="str">
        <f t="shared" si="627"/>
        <v/>
      </c>
      <c r="AW1473" s="27" t="str">
        <f t="shared" si="628"/>
        <v/>
      </c>
      <c r="AX1473" s="27" t="str">
        <f t="shared" si="629"/>
        <v/>
      </c>
      <c r="AY1473" s="27" t="str">
        <f t="shared" si="630"/>
        <v>WO680</v>
      </c>
      <c r="AZ1473" s="27" t="str">
        <f t="shared" si="631"/>
        <v/>
      </c>
      <c r="BA1473" s="27" t="str">
        <f t="shared" si="632"/>
        <v>Hun</v>
      </c>
      <c r="BB1473" s="27" t="str">
        <f t="shared" si="633"/>
        <v/>
      </c>
      <c r="BC1473" s="27" t="str">
        <f t="shared" si="634"/>
        <v/>
      </c>
      <c r="BD1473" s="27" t="str">
        <f t="shared" si="635"/>
        <v/>
      </c>
      <c r="BE1473" s="27" t="str">
        <f t="shared" si="636"/>
        <v/>
      </c>
      <c r="BF1473" s="27" t="str">
        <f t="shared" si="637"/>
        <v/>
      </c>
      <c r="BG1473" s="27" t="str">
        <f t="shared" si="638"/>
        <v/>
      </c>
      <c r="BH1473" s="27" t="str">
        <f t="shared" si="639"/>
        <v/>
      </c>
      <c r="BI1473" s="27" t="str">
        <f t="shared" si="640"/>
        <v/>
      </c>
      <c r="BJ1473" s="27" t="str">
        <f t="shared" si="641"/>
        <v>Supp or Hun</v>
      </c>
      <c r="BK1473" s="27" t="str">
        <f t="shared" si="642"/>
        <v/>
      </c>
      <c r="BL1473" s="27" t="str">
        <f t="shared" si="643"/>
        <v/>
      </c>
      <c r="BM1473" s="21" t="s">
        <v>5581</v>
      </c>
    </row>
    <row r="1474" spans="1:65" ht="15">
      <c r="A1474" s="25">
        <f>IFERROR(INDEX('Hun Demand'!W:W,MATCH(O1474,'Hun Demand'!A:A,0)),"")</f>
        <v>0</v>
      </c>
      <c r="B1474" s="25">
        <f>IFERROR(INDEX('Hun Demand'!V:V,MATCH(O1474,'Hun Demand'!A:A,0)),"")</f>
        <v>0</v>
      </c>
      <c r="C1474" s="25">
        <f>IFERROR(INDEX('Hun Demand'!U:U,MATCH(O1474,'Hun Demand'!A:A,0)),"")</f>
        <v>130</v>
      </c>
      <c r="D1474" s="25">
        <f>IFERROR(INDEX('Hun Demand'!T:T,MATCH(O1474,'Hun Demand'!A:A,0)),"")</f>
        <v>0</v>
      </c>
      <c r="E1474" s="25">
        <f>IFERROR(INDEX('Hun Demand'!S:S,MATCH(O1474,'Hun Demand'!A:A,0)),"")</f>
        <v>130</v>
      </c>
      <c r="F1474" s="25">
        <f>IFERROR(INDEX('Hun Demand'!R:R,MATCH(O1474,'Hun Demand'!A:A,0)),"")</f>
        <v>0</v>
      </c>
      <c r="G1474" s="25">
        <f>IFERROR(INDEX('Aub Demand'!W:W,MATCH(O1474,'Aub Demand'!A:A,0)),"")</f>
        <v>111</v>
      </c>
      <c r="H1474" s="25">
        <f>IFERROR(INDEX('Aub Demand'!V:V,MATCH(O1474,'Aub Demand'!A:A,0)),"")</f>
        <v>12</v>
      </c>
      <c r="I1474" s="25">
        <f>IFERROR(INDEX('Aub Demand'!U:U,MATCH(O1474,'Aub Demand'!A:A,0)),"")</f>
        <v>0</v>
      </c>
      <c r="J1474" s="25">
        <f>IFERROR(INDEX('Aub Demand'!T:T,MATCH(O1474,'Aub Demand'!A:A,0)),"")</f>
        <v>263</v>
      </c>
      <c r="K1474" s="25">
        <f>IFERROR(INDEX('Aub Demand'!S:S,MATCH(O1474,'Aub Demand'!A:A,0)),"")</f>
        <v>228</v>
      </c>
      <c r="L1474" s="25">
        <f>IFERROR(INDEX('Aub Demand'!R:R,MATCH(O1474,'Aub Demand'!A:A,0)),"")</f>
        <v>0</v>
      </c>
      <c r="O1474" s="27" t="s">
        <v>1783</v>
      </c>
      <c r="P1474" s="27" t="str">
        <f>IFERROR(INDEX('Aub Demand'!B:B,MATCH($O1474,'Aub Demand'!$A:$A,0)),"")</f>
        <v>CRACKLE CRUNCH</v>
      </c>
      <c r="Q1474" s="27" t="str">
        <f>IFERROR(INDEX('Aub Demand'!C:C,MATCH($O1474,'Aub Demand'!$A:$A,0)),"")</f>
        <v>LAMIG</v>
      </c>
      <c r="R1474" s="52">
        <f>IFERROR(IF(AR1475=AR1474,INDEX('Aub Demand'!K:K,MATCH($O1474,'Aub Demand'!$A:$A,0))-IF(AN1474="",0,AN1474)+AP1475,INDEX('Aub Demand'!K:K,MATCH($O1474,'Aub Demand'!$A:$A,0))-IF(AN1474="",0,AN1474)),"")</f>
        <v>1864</v>
      </c>
      <c r="S1474" s="53">
        <f t="shared" si="616"/>
        <v>48.7</v>
      </c>
      <c r="T1474" s="52" t="str">
        <f t="shared" si="617"/>
        <v/>
      </c>
      <c r="U1474" s="52">
        <f>IFERROR(IF(AR1475=AR1474,INDEX('Aub Demand'!Q:Q,MATCH($O1474,'Aub Demand'!$A:$A,0))-IF(AN1474="",0,AN1474)+AP1475,INDEX('Aub Demand'!Q:Q,MATCH($O1474,'Aub Demand'!$A:$A,0))-IF(AN1474="",0,AN1474)),"")</f>
        <v>1856</v>
      </c>
      <c r="V1474" s="53">
        <f t="shared" si="618"/>
        <v>48.5</v>
      </c>
      <c r="W1474" s="52" t="str">
        <f t="shared" si="619"/>
        <v/>
      </c>
      <c r="X1474" s="52">
        <f>IFERROR(IF(AND(AR1475=AR1474,AM1474&lt;&gt;""),INDEX('Aub Demand'!Q:Q,MATCH($O1474,'Aub Demand'!$A:$A,0))-IF(AN1474="",0,AN1474)+AP1475+AD1474+AL1474,IF(AR1475=AR1474,INDEX('Aub Demand'!Q:Q,MATCH($O1474,'Aub Demand'!$A:$A,0))-IF(AN1474="",0,AN1474)+AP1475+AD1474,IF(AM1474&lt;&gt;"",INDEX('Aub Demand'!Q:Q,MATCH($O1474,'Aub Demand'!$A:$A,0))-IF(AN1474="",0,AN1474)+AD1474+AL1474,INDEX('Aub Demand'!Q:Q,MATCH($O1474,'Aub Demand'!$A:$A,0))-IF(AN1474="",0,AN1474)+AD1474))),"")</f>
        <v>1856</v>
      </c>
      <c r="Y1474" s="53">
        <f t="shared" si="620"/>
        <v>48.5</v>
      </c>
      <c r="Z1474" s="52">
        <f>IF(L1474="","",INDEX('Aub Demand'!H:H,MATCH($O1474,'Aub Demand'!$A:$A,0)))</f>
        <v>164</v>
      </c>
      <c r="AA1474" s="52">
        <f t="shared" si="621"/>
        <v>245.5</v>
      </c>
      <c r="AB1474" s="52">
        <f>IFERROR(INDEX('Aub Demand'!L:L,MATCH($O1474,'Aub Demand'!$A:$A,0)),"")</f>
        <v>164</v>
      </c>
      <c r="AC1474" s="52">
        <f>IFERROR(IF(O1474="","",SUMIFS('CPL Mats'!F:F,'CPL Mats'!Q:Q,AR1474,'CPL Mats'!S:S,AS1474)),"")</f>
        <v>2850</v>
      </c>
      <c r="AF1474" s="25" t="str">
        <f>IF(SUMIFS('Supp Consol'!S:S,'Supp Consol'!Y:Y,"Releasable",'Supp Consol'!A:A,O1474)=0,"",SUMIFS('Supp Consol'!S:S,'Supp Consol'!Y:Y,"Releasable",'Supp Consol'!A:A,O1474))</f>
        <v/>
      </c>
      <c r="AG1474" s="25">
        <f>IFERROR(INDEX('Hun Demand'!Q:Q,MATCH(O1474,'Hun Demand'!A:A,0)),"")</f>
        <v>147</v>
      </c>
      <c r="AH1474" s="25">
        <f>IFERROR(INDEX('Hun Demand'!H:H,MATCH($O1474,'Hun Demand'!$A:$A,0)),"")</f>
        <v>87</v>
      </c>
      <c r="AI1474" s="25" t="str">
        <f>IF(SUMIFS('Supp Consol'!AA:AA,'Supp Consol'!Z:Z,"Expires this month",'Supp Consol'!A:A,O1474)=0,"",SUMIFS('Supp Consol'!AA:AA,'Supp Consol'!Z:Z,"Expires this month",'Supp Consol'!A:A,O1474))</f>
        <v/>
      </c>
      <c r="AJ1474" s="25" t="str">
        <f>IF(SUMIFS('Supp Consol'!AA:AA,'Supp Consol'!Z:Z,"Expired Previous Months",'Supp Consol'!A:A,O1474)=0,"",SUMIFS('Supp Consol'!AA:AA,'Supp Consol'!Z:Z,"Expired Previous Months",'Supp Consol'!A:A,O1474))</f>
        <v/>
      </c>
      <c r="AK1474" s="25" t="str">
        <f>IFERROR(INDEX('Hun Release Current'!B:B,MATCH(O1474,'Hun Release Current'!A:A,0)),"")</f>
        <v/>
      </c>
      <c r="AL1474" s="25" t="str">
        <f>IF(SUMIF('Prev Aub'!A:A,O1474,'Prev Aub'!B:B)=0,"",SUMIF('Prev Aub'!A:A,O1474,'Prev Aub'!B:B))</f>
        <v/>
      </c>
      <c r="AN1474" s="25" t="s">
        <v>3790</v>
      </c>
      <c r="AO1474" s="25" t="s">
        <v>3790</v>
      </c>
      <c r="AP1474" s="25">
        <f t="shared" si="622"/>
        <v>0</v>
      </c>
      <c r="AQ1474" s="151" t="str">
        <f>IF(SUMIFS('Supp Consol'!S:S,'Supp Consol'!A:A,O1474,'Supp Consol'!I:I,"PENDING")=0,"",SUMIFS('Supp Consol'!S:S,'Supp Consol'!A:A,O1474,'Supp Consol'!I:I,"PENDING"))</f>
        <v/>
      </c>
      <c r="AR1474" s="27" t="str">
        <f t="shared" si="623"/>
        <v>WO680</v>
      </c>
      <c r="AS1474" s="27" t="str">
        <f t="shared" si="624"/>
        <v>62</v>
      </c>
      <c r="AT1474" s="27" t="str">
        <f t="shared" si="625"/>
        <v/>
      </c>
      <c r="AU1474" s="27" t="str">
        <f t="shared" si="626"/>
        <v/>
      </c>
      <c r="AV1474" s="27" t="str">
        <f t="shared" si="627"/>
        <v/>
      </c>
      <c r="AW1474" s="27" t="str">
        <f t="shared" si="628"/>
        <v/>
      </c>
      <c r="AX1474" s="27" t="str">
        <f t="shared" si="629"/>
        <v/>
      </c>
      <c r="AY1474" s="27" t="str">
        <f t="shared" si="630"/>
        <v>WO680</v>
      </c>
      <c r="AZ1474" s="27" t="str">
        <f t="shared" si="631"/>
        <v/>
      </c>
      <c r="BA1474" s="27" t="str">
        <f t="shared" si="632"/>
        <v>Hun</v>
      </c>
      <c r="BB1474" s="27" t="str">
        <f t="shared" si="633"/>
        <v/>
      </c>
      <c r="BC1474" s="27" t="str">
        <f t="shared" si="634"/>
        <v/>
      </c>
      <c r="BD1474" s="27" t="str">
        <f t="shared" si="635"/>
        <v/>
      </c>
      <c r="BE1474" s="27" t="str">
        <f t="shared" si="636"/>
        <v/>
      </c>
      <c r="BF1474" s="27" t="str">
        <f t="shared" si="637"/>
        <v/>
      </c>
      <c r="BG1474" s="27" t="str">
        <f t="shared" si="638"/>
        <v/>
      </c>
      <c r="BH1474" s="27" t="str">
        <f t="shared" si="639"/>
        <v/>
      </c>
      <c r="BI1474" s="27" t="str">
        <f t="shared" si="640"/>
        <v/>
      </c>
      <c r="BJ1474" s="27" t="str">
        <f t="shared" si="641"/>
        <v>Supp or Hun</v>
      </c>
      <c r="BK1474" s="27" t="str">
        <f t="shared" si="642"/>
        <v/>
      </c>
      <c r="BL1474" s="27" t="str">
        <f t="shared" si="643"/>
        <v/>
      </c>
      <c r="BM1474" s="21" t="s">
        <v>5581</v>
      </c>
    </row>
    <row r="1475" spans="1:65" ht="15">
      <c r="A1475" s="25">
        <f>IFERROR(INDEX('Hun Demand'!W:W,MATCH(O1475,'Hun Demand'!A:A,0)),"")</f>
        <v>0</v>
      </c>
      <c r="B1475" s="25">
        <f>IFERROR(INDEX('Hun Demand'!V:V,MATCH(O1475,'Hun Demand'!A:A,0)),"")</f>
        <v>0</v>
      </c>
      <c r="C1475" s="25">
        <f>IFERROR(INDEX('Hun Demand'!U:U,MATCH(O1475,'Hun Demand'!A:A,0)),"")</f>
        <v>135</v>
      </c>
      <c r="D1475" s="25">
        <f>IFERROR(INDEX('Hun Demand'!T:T,MATCH(O1475,'Hun Demand'!A:A,0)),"")</f>
        <v>72</v>
      </c>
      <c r="E1475" s="25">
        <f>IFERROR(INDEX('Hun Demand'!S:S,MATCH(O1475,'Hun Demand'!A:A,0)),"")</f>
        <v>0</v>
      </c>
      <c r="F1475" s="25">
        <f>IFERROR(INDEX('Hun Demand'!R:R,MATCH(O1475,'Hun Demand'!A:A,0)),"")</f>
        <v>0</v>
      </c>
      <c r="G1475" s="25">
        <f>IFERROR(INDEX('Aub Demand'!W:W,MATCH(O1475,'Aub Demand'!A:A,0)),"")</f>
        <v>25</v>
      </c>
      <c r="H1475" s="25">
        <f>IFERROR(INDEX('Aub Demand'!V:V,MATCH(O1475,'Aub Demand'!A:A,0)),"")</f>
        <v>11</v>
      </c>
      <c r="I1475" s="25">
        <f>IFERROR(INDEX('Aub Demand'!U:U,MATCH(O1475,'Aub Demand'!A:A,0)),"")</f>
        <v>135</v>
      </c>
      <c r="J1475" s="25">
        <f>IFERROR(INDEX('Aub Demand'!T:T,MATCH(O1475,'Aub Demand'!A:A,0)),"")</f>
        <v>73</v>
      </c>
      <c r="K1475" s="25">
        <f>IFERROR(INDEX('Aub Demand'!S:S,MATCH(O1475,'Aub Demand'!A:A,0)),"")</f>
        <v>0</v>
      </c>
      <c r="L1475" s="25">
        <f>IFERROR(INDEX('Aub Demand'!R:R,MATCH(O1475,'Aub Demand'!A:A,0)),"")</f>
        <v>0</v>
      </c>
      <c r="O1475" s="27" t="s">
        <v>1784</v>
      </c>
      <c r="P1475" s="27" t="str">
        <f>IFERROR(INDEX('Aub Demand'!B:B,MATCH($O1475,'Aub Demand'!$A:$A,0)),"")</f>
        <v>GREAT WHITE OAK</v>
      </c>
      <c r="Q1475" s="27" t="str">
        <f>IFERROR(INDEX('Aub Demand'!C:C,MATCH($O1475,'Aub Demand'!$A:$A,0)),"")</f>
        <v>TOPPA</v>
      </c>
      <c r="R1475" s="52">
        <f>IFERROR(IF(AR1476=AR1475,INDEX('Aub Demand'!K:K,MATCH($O1475,'Aub Demand'!$A:$A,0))-IF(AN1475="",0,AN1475)+AP1476,INDEX('Aub Demand'!K:K,MATCH($O1475,'Aub Demand'!$A:$A,0))-IF(AN1475="",0,AN1475)),"")</f>
        <v>1866</v>
      </c>
      <c r="S1475" s="53">
        <f t="shared" ref="S1475:S1538" si="644">IFERROR(IF(O1475="","",ROUND(R1475/((Z1475/30)*7),1)),"n/a")</f>
        <v>115.9</v>
      </c>
      <c r="T1475" s="52" t="str">
        <f t="shared" ref="T1475:T1538" si="645">IFERROR(IF(S1475&lt;3.1,IF(AA1475="spike",(3-S1475)*(Z1475/4),(3-S1475)*(AA1475/4)),""),"")</f>
        <v/>
      </c>
      <c r="U1475" s="52">
        <f>IFERROR(IF(AR1476=AR1475,INDEX('Aub Demand'!Q:Q,MATCH($O1475,'Aub Demand'!$A:$A,0))-IF(AN1475="",0,AN1475)+AP1476,INDEX('Aub Demand'!Q:Q,MATCH($O1475,'Aub Demand'!$A:$A,0))-IF(AN1475="",0,AN1475)),"")</f>
        <v>1866</v>
      </c>
      <c r="V1475" s="53">
        <f t="shared" ref="V1475:V1538" si="646">IFERROR(IF(O1475="","",ROUND(U1475/((Z1475/30)*7),1)),"n/a")</f>
        <v>115.9</v>
      </c>
      <c r="W1475" s="52" t="str">
        <f t="shared" ref="W1475:W1538" si="647">IF(IFERROR(IF(V1475&lt;3.1,IF(AA1475="spike",(3-V1475)*(Z1475/4),(3-V1475)*(AA1475/4)),""),"")&lt;0,0,IFERROR(IF(V1475&lt;3.1,IF(AA1475="spike",(3-V1475)*(Z1475/4),(3-V1475)*(AA1475/4)),""),""))</f>
        <v/>
      </c>
      <c r="X1475" s="52">
        <f>IFERROR(IF(AND(AR1476=AR1475,AM1475&lt;&gt;""),INDEX('Aub Demand'!Q:Q,MATCH($O1475,'Aub Demand'!$A:$A,0))-IF(AN1475="",0,AN1475)+AP1476+AD1475+AL1475,IF(AR1476=AR1475,INDEX('Aub Demand'!Q:Q,MATCH($O1475,'Aub Demand'!$A:$A,0))-IF(AN1475="",0,AN1475)+AP1476+AD1475,IF(AM1475&lt;&gt;"",INDEX('Aub Demand'!Q:Q,MATCH($O1475,'Aub Demand'!$A:$A,0))-IF(AN1475="",0,AN1475)+AD1475+AL1475,INDEX('Aub Demand'!Q:Q,MATCH($O1475,'Aub Demand'!$A:$A,0))-IF(AN1475="",0,AN1475)+AD1475))),"")</f>
        <v>1866</v>
      </c>
      <c r="Y1475" s="53">
        <f t="shared" ref="Y1475:Y1538" si="648">IFERROR(IF(O1475="","",ROUND(X1475/((Z1475/30)*7),1)),"n/a")</f>
        <v>115.9</v>
      </c>
      <c r="Z1475" s="52">
        <f>IF(L1475="","",INDEX('Aub Demand'!H:H,MATCH($O1475,'Aub Demand'!$A:$A,0)))</f>
        <v>69</v>
      </c>
      <c r="AA1475" s="52">
        <f t="shared" ref="AA1475:AA1538" si="649">IF(L1475="","",IF(LARGE(I1475:L1475,2)=0,"-spike-",AVERAGE(LARGE(I1475:L1475,1),LARGE(I1475:L1475,2))))</f>
        <v>104</v>
      </c>
      <c r="AB1475" s="52">
        <f>IFERROR(INDEX('Aub Demand'!L:L,MATCH($O1475,'Aub Demand'!$A:$A,0)),"")</f>
        <v>0</v>
      </c>
      <c r="AC1475" s="52">
        <f>IFERROR(IF(O1475="","",SUMIFS('CPL Mats'!F:F,'CPL Mats'!Q:Q,AR1475,'CPL Mats'!S:S,AS1475)),"")</f>
        <v>0</v>
      </c>
      <c r="AF1475" s="25" t="str">
        <f>IF(SUMIFS('Supp Consol'!S:S,'Supp Consol'!Y:Y,"Releasable",'Supp Consol'!A:A,O1475)=0,"",SUMIFS('Supp Consol'!S:S,'Supp Consol'!Y:Y,"Releasable",'Supp Consol'!A:A,O1475))</f>
        <v/>
      </c>
      <c r="AG1475" s="25">
        <f>IFERROR(INDEX('Hun Demand'!Q:Q,MATCH(O1475,'Hun Demand'!A:A,0)),"")</f>
        <v>0</v>
      </c>
      <c r="AH1475" s="25">
        <f>IFERROR(INDEX('Hun Demand'!H:H,MATCH($O1475,'Hun Demand'!$A:$A,0)),"")</f>
        <v>69</v>
      </c>
      <c r="AI1475" s="25" t="str">
        <f>IF(SUMIFS('Supp Consol'!AA:AA,'Supp Consol'!Z:Z,"Expires this month",'Supp Consol'!A:A,O1475)=0,"",SUMIFS('Supp Consol'!AA:AA,'Supp Consol'!Z:Z,"Expires this month",'Supp Consol'!A:A,O1475))</f>
        <v/>
      </c>
      <c r="AJ1475" s="25" t="str">
        <f>IF(SUMIFS('Supp Consol'!AA:AA,'Supp Consol'!Z:Z,"Expired Previous Months",'Supp Consol'!A:A,O1475)=0,"",SUMIFS('Supp Consol'!AA:AA,'Supp Consol'!Z:Z,"Expired Previous Months",'Supp Consol'!A:A,O1475))</f>
        <v/>
      </c>
      <c r="AK1475" s="25" t="str">
        <f>IFERROR(INDEX('Hun Release Current'!B:B,MATCH(O1475,'Hun Release Current'!A:A,0)),"")</f>
        <v/>
      </c>
      <c r="AL1475" s="25" t="str">
        <f>IF(SUMIF('Prev Aub'!A:A,O1475,'Prev Aub'!B:B)=0,"",SUMIF('Prev Aub'!A:A,O1475,'Prev Aub'!B:B))</f>
        <v/>
      </c>
      <c r="AN1475" s="25" t="s">
        <v>3790</v>
      </c>
      <c r="AO1475" s="25" t="s">
        <v>3790</v>
      </c>
      <c r="AP1475" s="25">
        <f t="shared" ref="AP1475:AP1538" si="650">IFERROR(IF(O1475="","",IF(AN1475="",0,VALUE(AN1475)-(VALUE(AN1475)*0.2))),"")</f>
        <v>0</v>
      </c>
      <c r="AQ1475" s="151" t="str">
        <f>IF(SUMIFS('Supp Consol'!S:S,'Supp Consol'!A:A,O1475,'Supp Consol'!I:I,"PENDING")=0,"",SUMIFS('Supp Consol'!S:S,'Supp Consol'!A:A,O1475,'Supp Consol'!I:I,"PENDING"))</f>
        <v/>
      </c>
      <c r="AR1475" s="27" t="str">
        <f t="shared" ref="AR1475:AR1538" si="651">MID(O1475,4,5)</f>
        <v>WO700</v>
      </c>
      <c r="AS1475" s="27" t="str">
        <f t="shared" ref="AS1475:AS1538" si="652">MID(O1475,10,2)</f>
        <v>50</v>
      </c>
      <c r="AT1475" s="27" t="str">
        <f t="shared" ref="AT1475:AT1538" si="653">IF(S1475&lt;3.1,AR1475,"")</f>
        <v/>
      </c>
      <c r="AU1475" s="27" t="str">
        <f t="shared" ref="AU1475:AU1538" si="654">IF(Y1475&lt;3.1,AR1475,"")</f>
        <v/>
      </c>
      <c r="AV1475" s="27" t="str">
        <f t="shared" ref="AV1475:AV1538" si="655">IF(AND(AA1475="Spike",L1475=0,K1475=0,X1475&gt;=0),"",IF(Y1475&lt;3.1,AR1475,""))</f>
        <v/>
      </c>
      <c r="AW1475" s="27" t="str">
        <f t="shared" ref="AW1475:AW1538" si="656">IF(AI1475=AL1475,"",IF(OR(AI1475&lt;&gt;"",AJ1475&lt;&gt;""),AR1475,""))</f>
        <v/>
      </c>
      <c r="AX1475" s="27" t="str">
        <f t="shared" ref="AX1475:AX1538" si="657">IF(AF1475&lt;&gt;"",AR1475,"")</f>
        <v/>
      </c>
      <c r="AY1475" s="27" t="str">
        <f t="shared" ref="AY1475:AY1538" si="658">IF(AND(AG1475&lt;&gt;"",AG1475&gt;AH1475),AR1475,"")</f>
        <v/>
      </c>
      <c r="AZ1475" s="27" t="str">
        <f t="shared" ref="AZ1475:AZ1538" si="659">IFERROR(IF(O1475="","",IF(ISERROR(MATCH(AR1475,AX:AX,0)),"","Supp")),"")</f>
        <v/>
      </c>
      <c r="BA1475" s="27" t="str">
        <f t="shared" ref="BA1475:BA1538" si="660">IFERROR(IF(O1475="","",IF(ISERROR(MATCH(AR1475,AY:AY,0)),"","Hun")),"")</f>
        <v/>
      </c>
      <c r="BB1475" s="27" t="str">
        <f t="shared" ref="BB1475:BB1538" si="661">IFERROR(IF(O1475="","",IF(ISERROR(MATCH(AR1475,AT:AT,0)),"","Gross")),"")</f>
        <v/>
      </c>
      <c r="BC1475" s="27" t="str">
        <f t="shared" ref="BC1475:BC1538" si="662">IFERROR(IF(O1475="","",IF(ISERROR(MATCH(AR1475,AU:AU,0)),"","Net")),"")</f>
        <v/>
      </c>
      <c r="BD1475" s="27" t="str">
        <f t="shared" ref="BD1475:BD1538" si="663">IFERROR(IF(O1475="","",IF(ISERROR(MATCH(AR1475,AV:AV,0)),"","Net")),"")</f>
        <v/>
      </c>
      <c r="BE1475" s="27" t="str">
        <f t="shared" ref="BE1475:BE1538" si="664">IFERROR(IF(O1475="","",IF(ISERROR(MATCH(AR1475,AW:AW,0)),"","Exp")),"")</f>
        <v/>
      </c>
      <c r="BF1475" s="27" t="str">
        <f t="shared" ref="BF1475:BF1538" si="665">IFERROR(IF(O1475="","",IF(AND(AZ1475="Supp",BC1475="Net"),"S+N","")),"")</f>
        <v/>
      </c>
      <c r="BG1475" s="27" t="str">
        <f t="shared" ref="BG1475:BG1538" si="666">IFERROR(IF(O1475="","",IF(OR(BE1475&lt;&gt;"",BF1475&lt;&gt;""),"S+NorE","")),"")</f>
        <v/>
      </c>
      <c r="BH1475" s="27" t="str">
        <f t="shared" ref="BH1475:BH1538" si="667">IFERROR(IF(O1475="","",IF(AND(BA1475&lt;&gt;"",BC1475&lt;&gt;""),"H+N","")),"")</f>
        <v/>
      </c>
      <c r="BI1475" s="27" t="str">
        <f t="shared" ref="BI1475:BI1538" si="668">IFERROR(IF(O1475="","",IF(AND(BA1475&lt;&gt;"",BD1475&lt;&gt;""),"H+Nex","")),"")</f>
        <v/>
      </c>
      <c r="BJ1475" s="27" t="str">
        <f t="shared" ref="BJ1475:BJ1538" si="669">IF(OR(AZ1475&lt;&gt;"",BA1475&lt;&gt;""),"Supp or Hun","")</f>
        <v/>
      </c>
      <c r="BK1475" s="27" t="str">
        <f t="shared" ref="BK1475:BK1538" si="670">IF(AND(BJ1475&lt;&gt;"",BC1475&lt;&gt;""),"Supp or Hun Need","")</f>
        <v/>
      </c>
      <c r="BL1475" s="27" t="str">
        <f t="shared" ref="BL1475:BL1538" si="671">IF(OR(BK1475&lt;&gt;"",BE1475&lt;&gt;""),"SorHandNandE","")</f>
        <v/>
      </c>
      <c r="BM1475" s="21" t="s">
        <v>5581</v>
      </c>
    </row>
    <row r="1476" spans="1:65" ht="15">
      <c r="A1476" s="25">
        <f>IFERROR(INDEX('Hun Demand'!W:W,MATCH(O1476,'Hun Demand'!A:A,0)),"")</f>
        <v>38</v>
      </c>
      <c r="B1476" s="25">
        <f>IFERROR(INDEX('Hun Demand'!V:V,MATCH(O1476,'Hun Demand'!A:A,0)),"")</f>
        <v>258</v>
      </c>
      <c r="C1476" s="25">
        <f>IFERROR(INDEX('Hun Demand'!U:U,MATCH(O1476,'Hun Demand'!A:A,0)),"")</f>
        <v>0</v>
      </c>
      <c r="D1476" s="25">
        <f>IFERROR(INDEX('Hun Demand'!T:T,MATCH(O1476,'Hun Demand'!A:A,0)),"")</f>
        <v>154</v>
      </c>
      <c r="E1476" s="25">
        <f>IFERROR(INDEX('Hun Demand'!S:S,MATCH(O1476,'Hun Demand'!A:A,0)),"")</f>
        <v>0</v>
      </c>
      <c r="F1476" s="25">
        <f>IFERROR(INDEX('Hun Demand'!R:R,MATCH(O1476,'Hun Demand'!A:A,0)),"")</f>
        <v>0</v>
      </c>
      <c r="G1476" s="25">
        <f>IFERROR(INDEX('Aub Demand'!W:W,MATCH(O1476,'Aub Demand'!A:A,0)),"")</f>
        <v>0</v>
      </c>
      <c r="H1476" s="25">
        <f>IFERROR(INDEX('Aub Demand'!V:V,MATCH(O1476,'Aub Demand'!A:A,0)),"")</f>
        <v>86</v>
      </c>
      <c r="I1476" s="25">
        <f>IFERROR(INDEX('Aub Demand'!U:U,MATCH(O1476,'Aub Demand'!A:A,0)),"")</f>
        <v>0</v>
      </c>
      <c r="J1476" s="25">
        <f>IFERROR(INDEX('Aub Demand'!T:T,MATCH(O1476,'Aub Demand'!A:A,0)),"")</f>
        <v>293</v>
      </c>
      <c r="K1476" s="25">
        <f>IFERROR(INDEX('Aub Demand'!S:S,MATCH(O1476,'Aub Demand'!A:A,0)),"")</f>
        <v>875</v>
      </c>
      <c r="L1476" s="25">
        <f>IFERROR(INDEX('Aub Demand'!R:R,MATCH(O1476,'Aub Demand'!A:A,0)),"")</f>
        <v>0</v>
      </c>
      <c r="O1476" s="27" t="s">
        <v>3091</v>
      </c>
      <c r="P1476" s="27" t="str">
        <f>IFERROR(INDEX('Aub Demand'!B:B,MATCH($O1476,'Aub Demand'!$A:$A,0)),"")</f>
        <v>SIMPLICITY</v>
      </c>
      <c r="Q1476" s="27" t="str">
        <f>IFERROR(INDEX('Aub Demand'!C:C,MATCH($O1476,'Aub Demand'!$A:$A,0)),"")</f>
        <v>LAMIG</v>
      </c>
      <c r="R1476" s="52">
        <f>IFERROR(IF(AR1477=AR1476,INDEX('Aub Demand'!K:K,MATCH($O1476,'Aub Demand'!$A:$A,0))-IF(AN1476="",0,AN1476)+AP1477,INDEX('Aub Demand'!K:K,MATCH($O1476,'Aub Demand'!$A:$A,0))-IF(AN1476="",0,AN1476)),"")</f>
        <v>2966</v>
      </c>
      <c r="S1476" s="53">
        <f t="shared" si="644"/>
        <v>32.700000000000003</v>
      </c>
      <c r="T1476" s="52" t="str">
        <f t="shared" si="645"/>
        <v/>
      </c>
      <c r="U1476" s="52">
        <f>IFERROR(IF(AR1477=AR1476,INDEX('Aub Demand'!Q:Q,MATCH($O1476,'Aub Demand'!$A:$A,0))-IF(AN1476="",0,AN1476)+AP1477,INDEX('Aub Demand'!Q:Q,MATCH($O1476,'Aub Demand'!$A:$A,0))-IF(AN1476="",0,AN1476)),"")</f>
        <v>2929</v>
      </c>
      <c r="V1476" s="53">
        <f t="shared" si="646"/>
        <v>32.299999999999997</v>
      </c>
      <c r="W1476" s="52" t="str">
        <f t="shared" si="647"/>
        <v/>
      </c>
      <c r="X1476" s="52">
        <f>IFERROR(IF(AND(AR1477=AR1476,AM1476&lt;&gt;""),INDEX('Aub Demand'!Q:Q,MATCH($O1476,'Aub Demand'!$A:$A,0))-IF(AN1476="",0,AN1476)+AP1477+AD1476+AL1476,IF(AR1477=AR1476,INDEX('Aub Demand'!Q:Q,MATCH($O1476,'Aub Demand'!$A:$A,0))-IF(AN1476="",0,AN1476)+AP1477+AD1476,IF(AM1476&lt;&gt;"",INDEX('Aub Demand'!Q:Q,MATCH($O1476,'Aub Demand'!$A:$A,0))-IF(AN1476="",0,AN1476)+AD1476+AL1476,INDEX('Aub Demand'!Q:Q,MATCH($O1476,'Aub Demand'!$A:$A,0))-IF(AN1476="",0,AN1476)+AD1476))),"")</f>
        <v>2929</v>
      </c>
      <c r="Y1476" s="53">
        <f t="shared" si="648"/>
        <v>32.299999999999997</v>
      </c>
      <c r="Z1476" s="52">
        <f>IF(L1476="","",INDEX('Aub Demand'!H:H,MATCH($O1476,'Aub Demand'!$A:$A,0)))</f>
        <v>389</v>
      </c>
      <c r="AA1476" s="52">
        <f t="shared" si="649"/>
        <v>584</v>
      </c>
      <c r="AB1476" s="52">
        <f>IFERROR(INDEX('Aub Demand'!L:L,MATCH($O1476,'Aub Demand'!$A:$A,0)),"")</f>
        <v>55</v>
      </c>
      <c r="AC1476" s="52">
        <f>IFERROR(IF(O1476="","",SUMIFS('CPL Mats'!F:F,'CPL Mats'!Q:Q,AR1476,'CPL Mats'!S:S,AS1476)),"")</f>
        <v>0</v>
      </c>
      <c r="AF1476" s="25" t="str">
        <f>IF(SUMIFS('Supp Consol'!S:S,'Supp Consol'!Y:Y,"Releasable",'Supp Consol'!A:A,O1476)=0,"",SUMIFS('Supp Consol'!S:S,'Supp Consol'!Y:Y,"Releasable",'Supp Consol'!A:A,O1476))</f>
        <v/>
      </c>
      <c r="AG1476" s="25">
        <f>IFERROR(INDEX('Hun Demand'!Q:Q,MATCH(O1476,'Hun Demand'!A:A,0)),"")</f>
        <v>0</v>
      </c>
      <c r="AH1476" s="25">
        <f>IFERROR(INDEX('Hun Demand'!H:H,MATCH($O1476,'Hun Demand'!$A:$A,0)),"")</f>
        <v>51</v>
      </c>
      <c r="AI1476" s="25" t="str">
        <f>IF(SUMIFS('Supp Consol'!AA:AA,'Supp Consol'!Z:Z,"Expires this month",'Supp Consol'!A:A,O1476)=0,"",SUMIFS('Supp Consol'!AA:AA,'Supp Consol'!Z:Z,"Expires this month",'Supp Consol'!A:A,O1476))</f>
        <v/>
      </c>
      <c r="AJ1476" s="25" t="str">
        <f>IF(SUMIFS('Supp Consol'!AA:AA,'Supp Consol'!Z:Z,"Expired Previous Months",'Supp Consol'!A:A,O1476)=0,"",SUMIFS('Supp Consol'!AA:AA,'Supp Consol'!Z:Z,"Expired Previous Months",'Supp Consol'!A:A,O1476))</f>
        <v/>
      </c>
      <c r="AK1476" s="25" t="str">
        <f>IFERROR(INDEX('Hun Release Current'!B:B,MATCH(O1476,'Hun Release Current'!A:A,0)),"")</f>
        <v/>
      </c>
      <c r="AL1476" s="25" t="str">
        <f>IF(SUMIF('Prev Aub'!A:A,O1476,'Prev Aub'!B:B)=0,"",SUMIF('Prev Aub'!A:A,O1476,'Prev Aub'!B:B))</f>
        <v/>
      </c>
      <c r="AN1476" s="25" t="s">
        <v>3790</v>
      </c>
      <c r="AO1476" s="25" t="s">
        <v>3790</v>
      </c>
      <c r="AP1476" s="25">
        <f t="shared" si="650"/>
        <v>0</v>
      </c>
      <c r="AQ1476" s="151" t="str">
        <f>IF(SUMIFS('Supp Consol'!S:S,'Supp Consol'!A:A,O1476,'Supp Consol'!I:I,"PENDING")=0,"",SUMIFS('Supp Consol'!S:S,'Supp Consol'!A:A,O1476,'Supp Consol'!I:I,"PENDING"))</f>
        <v/>
      </c>
      <c r="AR1476" s="27" t="str">
        <f t="shared" si="651"/>
        <v>WO710</v>
      </c>
      <c r="AS1476" s="27" t="str">
        <f t="shared" si="652"/>
        <v>50</v>
      </c>
      <c r="AT1476" s="27" t="str">
        <f t="shared" si="653"/>
        <v/>
      </c>
      <c r="AU1476" s="27" t="str">
        <f t="shared" si="654"/>
        <v/>
      </c>
      <c r="AV1476" s="27" t="str">
        <f t="shared" si="655"/>
        <v/>
      </c>
      <c r="AW1476" s="27" t="str">
        <f t="shared" si="656"/>
        <v/>
      </c>
      <c r="AX1476" s="27" t="str">
        <f t="shared" si="657"/>
        <v/>
      </c>
      <c r="AY1476" s="27" t="str">
        <f t="shared" si="658"/>
        <v/>
      </c>
      <c r="AZ1476" s="27" t="str">
        <f t="shared" si="659"/>
        <v/>
      </c>
      <c r="BA1476" s="27" t="str">
        <f t="shared" si="660"/>
        <v>Hun</v>
      </c>
      <c r="BB1476" s="27" t="str">
        <f t="shared" si="661"/>
        <v/>
      </c>
      <c r="BC1476" s="27" t="str">
        <f t="shared" si="662"/>
        <v/>
      </c>
      <c r="BD1476" s="27" t="str">
        <f t="shared" si="663"/>
        <v/>
      </c>
      <c r="BE1476" s="27" t="str">
        <f t="shared" si="664"/>
        <v/>
      </c>
      <c r="BF1476" s="27" t="str">
        <f t="shared" si="665"/>
        <v/>
      </c>
      <c r="BG1476" s="27" t="str">
        <f t="shared" si="666"/>
        <v/>
      </c>
      <c r="BH1476" s="27" t="str">
        <f t="shared" si="667"/>
        <v/>
      </c>
      <c r="BI1476" s="27" t="str">
        <f t="shared" si="668"/>
        <v/>
      </c>
      <c r="BJ1476" s="27" t="str">
        <f t="shared" si="669"/>
        <v>Supp or Hun</v>
      </c>
      <c r="BK1476" s="27" t="str">
        <f t="shared" si="670"/>
        <v/>
      </c>
      <c r="BL1476" s="27" t="str">
        <f t="shared" si="671"/>
        <v/>
      </c>
      <c r="BM1476" s="21" t="s">
        <v>5581</v>
      </c>
    </row>
    <row r="1477" spans="1:65" ht="15">
      <c r="A1477" s="25">
        <f>IFERROR(INDEX('Hun Demand'!W:W,MATCH(O1477,'Hun Demand'!A:A,0)),"")</f>
        <v>435</v>
      </c>
      <c r="B1477" s="25">
        <f>IFERROR(INDEX('Hun Demand'!V:V,MATCH(O1477,'Hun Demand'!A:A,0)),"")</f>
        <v>0</v>
      </c>
      <c r="C1477" s="25">
        <f>IFERROR(INDEX('Hun Demand'!U:U,MATCH(O1477,'Hun Demand'!A:A,0)),"")</f>
        <v>354</v>
      </c>
      <c r="D1477" s="25">
        <f>IFERROR(INDEX('Hun Demand'!T:T,MATCH(O1477,'Hun Demand'!A:A,0)),"")</f>
        <v>0</v>
      </c>
      <c r="E1477" s="25">
        <f>IFERROR(INDEX('Hun Demand'!S:S,MATCH(O1477,'Hun Demand'!A:A,0)),"")</f>
        <v>0</v>
      </c>
      <c r="F1477" s="25">
        <f>IFERROR(INDEX('Hun Demand'!R:R,MATCH(O1477,'Hun Demand'!A:A,0)),"")</f>
        <v>0</v>
      </c>
      <c r="G1477" s="25">
        <f>IFERROR(INDEX('Aub Demand'!W:W,MATCH(O1477,'Aub Demand'!A:A,0)),"")</f>
        <v>0</v>
      </c>
      <c r="H1477" s="25">
        <f>IFERROR(INDEX('Aub Demand'!V:V,MATCH(O1477,'Aub Demand'!A:A,0)),"")</f>
        <v>0</v>
      </c>
      <c r="I1477" s="25">
        <f>IFERROR(INDEX('Aub Demand'!U:U,MATCH(O1477,'Aub Demand'!A:A,0)),"")</f>
        <v>0</v>
      </c>
      <c r="J1477" s="25">
        <f>IFERROR(INDEX('Aub Demand'!T:T,MATCH(O1477,'Aub Demand'!A:A,0)),"")</f>
        <v>56</v>
      </c>
      <c r="K1477" s="25">
        <f>IFERROR(INDEX('Aub Demand'!S:S,MATCH(O1477,'Aub Demand'!A:A,0)),"")</f>
        <v>43</v>
      </c>
      <c r="L1477" s="25">
        <f>IFERROR(INDEX('Aub Demand'!R:R,MATCH(O1477,'Aub Demand'!A:A,0)),"")</f>
        <v>0</v>
      </c>
      <c r="O1477" s="27" t="s">
        <v>3093</v>
      </c>
      <c r="P1477" s="27" t="str">
        <f>IFERROR(INDEX('Aub Demand'!B:B,MATCH($O1477,'Aub Demand'!$A:$A,0)),"")</f>
        <v>SIMPLICITY</v>
      </c>
      <c r="Q1477" s="27" t="str">
        <f>IFERROR(INDEX('Aub Demand'!C:C,MATCH($O1477,'Aub Demand'!$A:$A,0)),"")</f>
        <v>LAMIG</v>
      </c>
      <c r="R1477" s="52">
        <f>IFERROR(IF(AR1478=AR1477,INDEX('Aub Demand'!K:K,MATCH($O1477,'Aub Demand'!$A:$A,0))-IF(AN1477="",0,AN1477)+AP1478,INDEX('Aub Demand'!K:K,MATCH($O1477,'Aub Demand'!$A:$A,0))-IF(AN1477="",0,AN1477)),"")</f>
        <v>4251</v>
      </c>
      <c r="S1477" s="53">
        <f t="shared" si="644"/>
        <v>552.1</v>
      </c>
      <c r="T1477" s="52" t="str">
        <f t="shared" si="645"/>
        <v/>
      </c>
      <c r="U1477" s="52">
        <f>IFERROR(IF(AR1478=AR1477,INDEX('Aub Demand'!Q:Q,MATCH($O1477,'Aub Demand'!$A:$A,0))-IF(AN1477="",0,AN1477)+AP1478,INDEX('Aub Demand'!Q:Q,MATCH($O1477,'Aub Demand'!$A:$A,0))-IF(AN1477="",0,AN1477)),"")</f>
        <v>4222</v>
      </c>
      <c r="V1477" s="53">
        <f t="shared" si="646"/>
        <v>548.29999999999995</v>
      </c>
      <c r="W1477" s="52" t="str">
        <f t="shared" si="647"/>
        <v/>
      </c>
      <c r="X1477" s="52">
        <f>IFERROR(IF(AND(AR1478=AR1477,AM1477&lt;&gt;""),INDEX('Aub Demand'!Q:Q,MATCH($O1477,'Aub Demand'!$A:$A,0))-IF(AN1477="",0,AN1477)+AP1478+AD1477+AL1477,IF(AR1478=AR1477,INDEX('Aub Demand'!Q:Q,MATCH($O1477,'Aub Demand'!$A:$A,0))-IF(AN1477="",0,AN1477)+AP1478+AD1477,IF(AM1477&lt;&gt;"",INDEX('Aub Demand'!Q:Q,MATCH($O1477,'Aub Demand'!$A:$A,0))-IF(AN1477="",0,AN1477)+AD1477+AL1477,INDEX('Aub Demand'!Q:Q,MATCH($O1477,'Aub Demand'!$A:$A,0))-IF(AN1477="",0,AN1477)+AD1477))),"")</f>
        <v>4222</v>
      </c>
      <c r="Y1477" s="53">
        <f t="shared" si="648"/>
        <v>548.29999999999995</v>
      </c>
      <c r="Z1477" s="52">
        <f>IF(L1477="","",INDEX('Aub Demand'!H:H,MATCH($O1477,'Aub Demand'!$A:$A,0)))</f>
        <v>33</v>
      </c>
      <c r="AA1477" s="52">
        <f t="shared" si="649"/>
        <v>49.5</v>
      </c>
      <c r="AB1477" s="52">
        <f>IFERROR(INDEX('Aub Demand'!L:L,MATCH($O1477,'Aub Demand'!$A:$A,0)),"")</f>
        <v>9</v>
      </c>
      <c r="AC1477" s="52">
        <f>IFERROR(IF(O1477="","",SUMIFS('CPL Mats'!F:F,'CPL Mats'!Q:Q,AR1477,'CPL Mats'!S:S,AS1477)),"")</f>
        <v>0</v>
      </c>
      <c r="AF1477" s="25" t="str">
        <f>IF(SUMIFS('Supp Consol'!S:S,'Supp Consol'!Y:Y,"Releasable",'Supp Consol'!A:A,O1477)=0,"",SUMIFS('Supp Consol'!S:S,'Supp Consol'!Y:Y,"Releasable",'Supp Consol'!A:A,O1477))</f>
        <v/>
      </c>
      <c r="AG1477" s="25">
        <f>IFERROR(INDEX('Hun Demand'!Q:Q,MATCH(O1477,'Hun Demand'!A:A,0)),"")</f>
        <v>208</v>
      </c>
      <c r="AH1477" s="25">
        <f>IFERROR(INDEX('Hun Demand'!H:H,MATCH($O1477,'Hun Demand'!$A:$A,0)),"")</f>
        <v>118</v>
      </c>
      <c r="AI1477" s="25" t="str">
        <f>IF(SUMIFS('Supp Consol'!AA:AA,'Supp Consol'!Z:Z,"Expires this month",'Supp Consol'!A:A,O1477)=0,"",SUMIFS('Supp Consol'!AA:AA,'Supp Consol'!Z:Z,"Expires this month",'Supp Consol'!A:A,O1477))</f>
        <v/>
      </c>
      <c r="AJ1477" s="25" t="str">
        <f>IF(SUMIFS('Supp Consol'!AA:AA,'Supp Consol'!Z:Z,"Expired Previous Months",'Supp Consol'!A:A,O1477)=0,"",SUMIFS('Supp Consol'!AA:AA,'Supp Consol'!Z:Z,"Expired Previous Months",'Supp Consol'!A:A,O1477))</f>
        <v/>
      </c>
      <c r="AK1477" s="25" t="str">
        <f>IFERROR(INDEX('Hun Release Current'!B:B,MATCH(O1477,'Hun Release Current'!A:A,0)),"")</f>
        <v/>
      </c>
      <c r="AL1477" s="25" t="str">
        <f>IF(SUMIF('Prev Aub'!A:A,O1477,'Prev Aub'!B:B)=0,"",SUMIF('Prev Aub'!A:A,O1477,'Prev Aub'!B:B))</f>
        <v/>
      </c>
      <c r="AN1477" s="25" t="s">
        <v>3790</v>
      </c>
      <c r="AO1477" s="25" t="s">
        <v>3790</v>
      </c>
      <c r="AP1477" s="25">
        <f t="shared" si="650"/>
        <v>0</v>
      </c>
      <c r="AQ1477" s="151" t="str">
        <f>IF(SUMIFS('Supp Consol'!S:S,'Supp Consol'!A:A,O1477,'Supp Consol'!I:I,"PENDING")=0,"",SUMIFS('Supp Consol'!S:S,'Supp Consol'!A:A,O1477,'Supp Consol'!I:I,"PENDING"))</f>
        <v/>
      </c>
      <c r="AR1477" s="27" t="str">
        <f t="shared" si="651"/>
        <v>WO710</v>
      </c>
      <c r="AS1477" s="27" t="str">
        <f t="shared" si="652"/>
        <v>62</v>
      </c>
      <c r="AT1477" s="27" t="str">
        <f t="shared" si="653"/>
        <v/>
      </c>
      <c r="AU1477" s="27" t="str">
        <f t="shared" si="654"/>
        <v/>
      </c>
      <c r="AV1477" s="27" t="str">
        <f t="shared" si="655"/>
        <v/>
      </c>
      <c r="AW1477" s="27" t="str">
        <f t="shared" si="656"/>
        <v/>
      </c>
      <c r="AX1477" s="27" t="str">
        <f t="shared" si="657"/>
        <v/>
      </c>
      <c r="AY1477" s="27" t="str">
        <f t="shared" si="658"/>
        <v>WO710</v>
      </c>
      <c r="AZ1477" s="27" t="str">
        <f t="shared" si="659"/>
        <v/>
      </c>
      <c r="BA1477" s="27" t="str">
        <f t="shared" si="660"/>
        <v>Hun</v>
      </c>
      <c r="BB1477" s="27" t="str">
        <f t="shared" si="661"/>
        <v/>
      </c>
      <c r="BC1477" s="27" t="str">
        <f t="shared" si="662"/>
        <v/>
      </c>
      <c r="BD1477" s="27" t="str">
        <f t="shared" si="663"/>
        <v/>
      </c>
      <c r="BE1477" s="27" t="str">
        <f t="shared" si="664"/>
        <v/>
      </c>
      <c r="BF1477" s="27" t="str">
        <f t="shared" si="665"/>
        <v/>
      </c>
      <c r="BG1477" s="27" t="str">
        <f t="shared" si="666"/>
        <v/>
      </c>
      <c r="BH1477" s="27" t="str">
        <f t="shared" si="667"/>
        <v/>
      </c>
      <c r="BI1477" s="27" t="str">
        <f t="shared" si="668"/>
        <v/>
      </c>
      <c r="BJ1477" s="27" t="str">
        <f t="shared" si="669"/>
        <v>Supp or Hun</v>
      </c>
      <c r="BK1477" s="27" t="str">
        <f t="shared" si="670"/>
        <v/>
      </c>
      <c r="BL1477" s="27" t="str">
        <f t="shared" si="671"/>
        <v/>
      </c>
      <c r="BM1477" s="21" t="s">
        <v>5581</v>
      </c>
    </row>
    <row r="1478" spans="1:65" ht="15">
      <c r="A1478" s="25" t="str">
        <f>IFERROR(INDEX('Hun Demand'!W:W,MATCH(O1478,'Hun Demand'!A:A,0)),"")</f>
        <v/>
      </c>
      <c r="B1478" s="25" t="str">
        <f>IFERROR(INDEX('Hun Demand'!V:V,MATCH(O1478,'Hun Demand'!A:A,0)),"")</f>
        <v/>
      </c>
      <c r="C1478" s="25" t="str">
        <f>IFERROR(INDEX('Hun Demand'!U:U,MATCH(O1478,'Hun Demand'!A:A,0)),"")</f>
        <v/>
      </c>
      <c r="D1478" s="25" t="str">
        <f>IFERROR(INDEX('Hun Demand'!T:T,MATCH(O1478,'Hun Demand'!A:A,0)),"")</f>
        <v/>
      </c>
      <c r="E1478" s="25" t="str">
        <f>IFERROR(INDEX('Hun Demand'!S:S,MATCH(O1478,'Hun Demand'!A:A,0)),"")</f>
        <v/>
      </c>
      <c r="F1478" s="25" t="str">
        <f>IFERROR(INDEX('Hun Demand'!R:R,MATCH(O1478,'Hun Demand'!A:A,0)),"")</f>
        <v/>
      </c>
      <c r="G1478" s="25">
        <f>IFERROR(INDEX('Aub Demand'!W:W,MATCH(O1478,'Aub Demand'!A:A,0)),"")</f>
        <v>358</v>
      </c>
      <c r="H1478" s="25">
        <f>IFERROR(INDEX('Aub Demand'!V:V,MATCH(O1478,'Aub Demand'!A:A,0)),"")</f>
        <v>307</v>
      </c>
      <c r="I1478" s="25">
        <f>IFERROR(INDEX('Aub Demand'!U:U,MATCH(O1478,'Aub Demand'!A:A,0)),"")</f>
        <v>618</v>
      </c>
      <c r="J1478" s="25">
        <f>IFERROR(INDEX('Aub Demand'!T:T,MATCH(O1478,'Aub Demand'!A:A,0)),"")</f>
        <v>2019</v>
      </c>
      <c r="K1478" s="25">
        <f>IFERROR(INDEX('Aub Demand'!S:S,MATCH(O1478,'Aub Demand'!A:A,0)),"")</f>
        <v>0</v>
      </c>
      <c r="L1478" s="25">
        <f>IFERROR(INDEX('Aub Demand'!R:R,MATCH(O1478,'Aub Demand'!A:A,0)),"")</f>
        <v>0</v>
      </c>
      <c r="O1478" s="27" t="s">
        <v>1786</v>
      </c>
      <c r="P1478" s="27" t="str">
        <f>IFERROR(INDEX('Aub Demand'!B:B,MATCH($O1478,'Aub Demand'!$A:$A,0)),"")</f>
        <v>MORCHELLA HUNT (BCO)</v>
      </c>
      <c r="Q1478" s="27" t="str">
        <f>IFERROR(INDEX('Aub Demand'!C:C,MATCH($O1478,'Aub Demand'!$A:$A,0)),"")</f>
        <v>INTER</v>
      </c>
      <c r="R1478" s="52">
        <f>IFERROR(IF(AR1479=AR1478,INDEX('Aub Demand'!K:K,MATCH($O1478,'Aub Demand'!$A:$A,0))-IF(AN1478="",0,AN1478)+AP1479,INDEX('Aub Demand'!K:K,MATCH($O1478,'Aub Demand'!$A:$A,0))-IF(AN1478="",0,AN1478)),"")</f>
        <v>2619</v>
      </c>
      <c r="S1478" s="53">
        <f t="shared" si="644"/>
        <v>12.8</v>
      </c>
      <c r="T1478" s="52" t="str">
        <f t="shared" si="645"/>
        <v/>
      </c>
      <c r="U1478" s="52">
        <f>IFERROR(IF(AR1479=AR1478,INDEX('Aub Demand'!Q:Q,MATCH($O1478,'Aub Demand'!$A:$A,0))-IF(AN1478="",0,AN1478)+AP1479,INDEX('Aub Demand'!Q:Q,MATCH($O1478,'Aub Demand'!$A:$A,0))-IF(AN1478="",0,AN1478)),"")</f>
        <v>2615</v>
      </c>
      <c r="V1478" s="53">
        <f t="shared" si="646"/>
        <v>12.7</v>
      </c>
      <c r="W1478" s="52" t="str">
        <f t="shared" si="647"/>
        <v/>
      </c>
      <c r="X1478" s="52">
        <f>IFERROR(IF(AND(AR1479=AR1478,AM1478&lt;&gt;""),INDEX('Aub Demand'!Q:Q,MATCH($O1478,'Aub Demand'!$A:$A,0))-IF(AN1478="",0,AN1478)+AP1479+AD1478+AL1478,IF(AR1479=AR1478,INDEX('Aub Demand'!Q:Q,MATCH($O1478,'Aub Demand'!$A:$A,0))-IF(AN1478="",0,AN1478)+AP1479+AD1478,IF(AM1478&lt;&gt;"",INDEX('Aub Demand'!Q:Q,MATCH($O1478,'Aub Demand'!$A:$A,0))-IF(AN1478="",0,AN1478)+AD1478+AL1478,INDEX('Aub Demand'!Q:Q,MATCH($O1478,'Aub Demand'!$A:$A,0))-IF(AN1478="",0,AN1478)+AD1478))),"")</f>
        <v>2615</v>
      </c>
      <c r="Y1478" s="53">
        <f t="shared" si="648"/>
        <v>12.7</v>
      </c>
      <c r="Z1478" s="52">
        <f>IF(L1478="","",INDEX('Aub Demand'!H:H,MATCH($O1478,'Aub Demand'!$A:$A,0)))</f>
        <v>879</v>
      </c>
      <c r="AA1478" s="52">
        <f t="shared" si="649"/>
        <v>1318.5</v>
      </c>
      <c r="AB1478" s="52">
        <f>IFERROR(INDEX('Aub Demand'!L:L,MATCH($O1478,'Aub Demand'!$A:$A,0)),"")</f>
        <v>150</v>
      </c>
      <c r="AC1478" s="52">
        <f>IFERROR(IF(O1478="","",SUMIFS('CPL Mats'!F:F,'CPL Mats'!Q:Q,AR1478,'CPL Mats'!S:S,AS1478)),"")</f>
        <v>0</v>
      </c>
      <c r="AF1478" s="25" t="str">
        <f>IF(SUMIFS('Supp Consol'!S:S,'Supp Consol'!Y:Y,"Releasable",'Supp Consol'!A:A,O1478)=0,"",SUMIFS('Supp Consol'!S:S,'Supp Consol'!Y:Y,"Releasable",'Supp Consol'!A:A,O1478))</f>
        <v/>
      </c>
      <c r="AG1478" s="25" t="str">
        <f>IFERROR(INDEX('Hun Demand'!Q:Q,MATCH(O1478,'Hun Demand'!A:A,0)),"")</f>
        <v/>
      </c>
      <c r="AH1478" s="25" t="str">
        <f>IFERROR(INDEX('Hun Demand'!H:H,MATCH($O1478,'Hun Demand'!$A:$A,0)),"")</f>
        <v/>
      </c>
      <c r="AI1478" s="25" t="str">
        <f>IF(SUMIFS('Supp Consol'!AA:AA,'Supp Consol'!Z:Z,"Expires this month",'Supp Consol'!A:A,O1478)=0,"",SUMIFS('Supp Consol'!AA:AA,'Supp Consol'!Z:Z,"Expires this month",'Supp Consol'!A:A,O1478))</f>
        <v/>
      </c>
      <c r="AJ1478" s="25" t="str">
        <f>IF(SUMIFS('Supp Consol'!AA:AA,'Supp Consol'!Z:Z,"Expired Previous Months",'Supp Consol'!A:A,O1478)=0,"",SUMIFS('Supp Consol'!AA:AA,'Supp Consol'!Z:Z,"Expired Previous Months",'Supp Consol'!A:A,O1478))</f>
        <v/>
      </c>
      <c r="AK1478" s="25" t="str">
        <f>IFERROR(INDEX('Hun Release Current'!B:B,MATCH(O1478,'Hun Release Current'!A:A,0)),"")</f>
        <v/>
      </c>
      <c r="AL1478" s="25" t="str">
        <f>IF(SUMIF('Prev Aub'!A:A,O1478,'Prev Aub'!B:B)=0,"",SUMIF('Prev Aub'!A:A,O1478,'Prev Aub'!B:B))</f>
        <v/>
      </c>
      <c r="AN1478" s="25" t="s">
        <v>3790</v>
      </c>
      <c r="AO1478" s="25" t="s">
        <v>3790</v>
      </c>
      <c r="AP1478" s="25">
        <f t="shared" si="650"/>
        <v>0</v>
      </c>
      <c r="AQ1478" s="151" t="str">
        <f>IF(SUMIFS('Supp Consol'!S:S,'Supp Consol'!A:A,O1478,'Supp Consol'!I:I,"PENDING")=0,"",SUMIFS('Supp Consol'!S:S,'Supp Consol'!A:A,O1478,'Supp Consol'!I:I,"PENDING"))</f>
        <v/>
      </c>
      <c r="AR1478" s="27" t="str">
        <f t="shared" si="651"/>
        <v>WO740</v>
      </c>
      <c r="AS1478" s="27" t="str">
        <f t="shared" si="652"/>
        <v>50</v>
      </c>
      <c r="AT1478" s="27" t="str">
        <f t="shared" si="653"/>
        <v/>
      </c>
      <c r="AU1478" s="27" t="str">
        <f t="shared" si="654"/>
        <v/>
      </c>
      <c r="AV1478" s="27" t="str">
        <f t="shared" si="655"/>
        <v/>
      </c>
      <c r="AW1478" s="27" t="str">
        <f t="shared" si="656"/>
        <v/>
      </c>
      <c r="AX1478" s="27" t="str">
        <f t="shared" si="657"/>
        <v/>
      </c>
      <c r="AY1478" s="27" t="str">
        <f t="shared" si="658"/>
        <v/>
      </c>
      <c r="AZ1478" s="27" t="str">
        <f t="shared" si="659"/>
        <v/>
      </c>
      <c r="BA1478" s="27" t="str">
        <f t="shared" si="660"/>
        <v/>
      </c>
      <c r="BB1478" s="27" t="str">
        <f t="shared" si="661"/>
        <v/>
      </c>
      <c r="BC1478" s="27" t="str">
        <f t="shared" si="662"/>
        <v/>
      </c>
      <c r="BD1478" s="27" t="str">
        <f t="shared" si="663"/>
        <v/>
      </c>
      <c r="BE1478" s="27" t="str">
        <f t="shared" si="664"/>
        <v/>
      </c>
      <c r="BF1478" s="27" t="str">
        <f t="shared" si="665"/>
        <v/>
      </c>
      <c r="BG1478" s="27" t="str">
        <f t="shared" si="666"/>
        <v/>
      </c>
      <c r="BH1478" s="27" t="str">
        <f t="shared" si="667"/>
        <v/>
      </c>
      <c r="BI1478" s="27" t="str">
        <f t="shared" si="668"/>
        <v/>
      </c>
      <c r="BJ1478" s="27" t="str">
        <f t="shared" si="669"/>
        <v/>
      </c>
      <c r="BK1478" s="27" t="str">
        <f t="shared" si="670"/>
        <v/>
      </c>
      <c r="BL1478" s="27" t="str">
        <f t="shared" si="671"/>
        <v/>
      </c>
      <c r="BM1478" s="21" t="s">
        <v>5581</v>
      </c>
    </row>
    <row r="1479" spans="1:65" ht="15">
      <c r="A1479" s="25" t="str">
        <f>IFERROR(INDEX('Hun Demand'!W:W,MATCH(O1479,'Hun Demand'!A:A,0)),"")</f>
        <v/>
      </c>
      <c r="B1479" s="25" t="str">
        <f>IFERROR(INDEX('Hun Demand'!V:V,MATCH(O1479,'Hun Demand'!A:A,0)),"")</f>
        <v/>
      </c>
      <c r="C1479" s="25" t="str">
        <f>IFERROR(INDEX('Hun Demand'!U:U,MATCH(O1479,'Hun Demand'!A:A,0)),"")</f>
        <v/>
      </c>
      <c r="D1479" s="25" t="str">
        <f>IFERROR(INDEX('Hun Demand'!T:T,MATCH(O1479,'Hun Demand'!A:A,0)),"")</f>
        <v/>
      </c>
      <c r="E1479" s="25" t="str">
        <f>IFERROR(INDEX('Hun Demand'!S:S,MATCH(O1479,'Hun Demand'!A:A,0)),"")</f>
        <v/>
      </c>
      <c r="F1479" s="25" t="str">
        <f>IFERROR(INDEX('Hun Demand'!R:R,MATCH(O1479,'Hun Demand'!A:A,0)),"")</f>
        <v/>
      </c>
      <c r="G1479" s="25">
        <f>IFERROR(INDEX('Aub Demand'!W:W,MATCH(O1479,'Aub Demand'!A:A,0)),"")</f>
        <v>0</v>
      </c>
      <c r="H1479" s="25">
        <f>IFERROR(INDEX('Aub Demand'!V:V,MATCH(O1479,'Aub Demand'!A:A,0)),"")</f>
        <v>0</v>
      </c>
      <c r="I1479" s="25">
        <f>IFERROR(INDEX('Aub Demand'!U:U,MATCH(O1479,'Aub Demand'!A:A,0)),"")</f>
        <v>7</v>
      </c>
      <c r="J1479" s="25">
        <f>IFERROR(INDEX('Aub Demand'!T:T,MATCH(O1479,'Aub Demand'!A:A,0)),"")</f>
        <v>0</v>
      </c>
      <c r="K1479" s="25">
        <f>IFERROR(INDEX('Aub Demand'!S:S,MATCH(O1479,'Aub Demand'!A:A,0)),"")</f>
        <v>7</v>
      </c>
      <c r="L1479" s="25">
        <f>IFERROR(INDEX('Aub Demand'!R:R,MATCH(O1479,'Aub Demand'!A:A,0)),"")</f>
        <v>0</v>
      </c>
      <c r="O1479" s="27" t="s">
        <v>5297</v>
      </c>
      <c r="P1479" s="27" t="str">
        <f>IFERROR(INDEX('Aub Demand'!B:B,MATCH($O1479,'Aub Demand'!$A:$A,0)),"")</f>
        <v>GRAND OAK</v>
      </c>
      <c r="Q1479" s="27" t="str">
        <f>IFERROR(INDEX('Aub Demand'!C:C,MATCH($O1479,'Aub Demand'!$A:$A,0)),"")</f>
        <v>SUDDE</v>
      </c>
      <c r="R1479" s="52">
        <f>IFERROR(IF(AR1480=AR1479,INDEX('Aub Demand'!K:K,MATCH($O1479,'Aub Demand'!$A:$A,0))-IF(AN1479="",0,AN1479)+AP1480,INDEX('Aub Demand'!K:K,MATCH($O1479,'Aub Demand'!$A:$A,0))-IF(AN1479="",0,AN1479)),"")</f>
        <v>0</v>
      </c>
      <c r="S1479" s="53">
        <f t="shared" si="644"/>
        <v>0</v>
      </c>
      <c r="T1479" s="52">
        <f t="shared" si="645"/>
        <v>5.25</v>
      </c>
      <c r="U1479" s="52">
        <f>IFERROR(IF(AR1480=AR1479,INDEX('Aub Demand'!Q:Q,MATCH($O1479,'Aub Demand'!$A:$A,0))-IF(AN1479="",0,AN1479)+AP1480,INDEX('Aub Demand'!Q:Q,MATCH($O1479,'Aub Demand'!$A:$A,0))-IF(AN1479="",0,AN1479)),"")</f>
        <v>-2</v>
      </c>
      <c r="V1479" s="53">
        <f t="shared" si="646"/>
        <v>-1.7</v>
      </c>
      <c r="W1479" s="52">
        <f t="shared" si="647"/>
        <v>8.2249999999999996</v>
      </c>
      <c r="X1479" s="52">
        <f>IFERROR(IF(AND(AR1480=AR1479,AM1479&lt;&gt;""),INDEX('Aub Demand'!Q:Q,MATCH($O1479,'Aub Demand'!$A:$A,0))-IF(AN1479="",0,AN1479)+AP1480+AD1479+AL1479,IF(AR1480=AR1479,INDEX('Aub Demand'!Q:Q,MATCH($O1479,'Aub Demand'!$A:$A,0))-IF(AN1479="",0,AN1479)+AP1480+AD1479,IF(AM1479&lt;&gt;"",INDEX('Aub Demand'!Q:Q,MATCH($O1479,'Aub Demand'!$A:$A,0))-IF(AN1479="",0,AN1479)+AD1479+AL1479,INDEX('Aub Demand'!Q:Q,MATCH($O1479,'Aub Demand'!$A:$A,0))-IF(AN1479="",0,AN1479)+AD1479))),"")</f>
        <v>-2</v>
      </c>
      <c r="Y1479" s="53">
        <f t="shared" si="648"/>
        <v>-1.7</v>
      </c>
      <c r="Z1479" s="52">
        <f>IF(L1479="","",INDEX('Aub Demand'!H:H,MATCH($O1479,'Aub Demand'!$A:$A,0)))</f>
        <v>5</v>
      </c>
      <c r="AA1479" s="52">
        <f t="shared" si="649"/>
        <v>7</v>
      </c>
      <c r="AB1479" s="52">
        <f>IFERROR(INDEX('Aub Demand'!L:L,MATCH($O1479,'Aub Demand'!$A:$A,0)),"")</f>
        <v>2</v>
      </c>
      <c r="AC1479" s="52">
        <f>IFERROR(IF(O1479="","",SUMIFS('CPL Mats'!F:F,'CPL Mats'!Q:Q,AR1479,'CPL Mats'!S:S,AS1479)),"")</f>
        <v>0</v>
      </c>
      <c r="AF1479" s="25" t="str">
        <f>IF(SUMIFS('Supp Consol'!S:S,'Supp Consol'!Y:Y,"Releasable",'Supp Consol'!A:A,O1479)=0,"",SUMIFS('Supp Consol'!S:S,'Supp Consol'!Y:Y,"Releasable",'Supp Consol'!A:A,O1479))</f>
        <v/>
      </c>
      <c r="AG1479" s="25" t="str">
        <f>IFERROR(INDEX('Hun Demand'!Q:Q,MATCH(O1479,'Hun Demand'!A:A,0)),"")</f>
        <v/>
      </c>
      <c r="AH1479" s="25" t="str">
        <f>IFERROR(INDEX('Hun Demand'!H:H,MATCH($O1479,'Hun Demand'!$A:$A,0)),"")</f>
        <v/>
      </c>
      <c r="AI1479" s="25" t="str">
        <f>IF(SUMIFS('Supp Consol'!AA:AA,'Supp Consol'!Z:Z,"Expires this month",'Supp Consol'!A:A,O1479)=0,"",SUMIFS('Supp Consol'!AA:AA,'Supp Consol'!Z:Z,"Expires this month",'Supp Consol'!A:A,O1479))</f>
        <v/>
      </c>
      <c r="AJ1479" s="25" t="str">
        <f>IF(SUMIFS('Supp Consol'!AA:AA,'Supp Consol'!Z:Z,"Expired Previous Months",'Supp Consol'!A:A,O1479)=0,"",SUMIFS('Supp Consol'!AA:AA,'Supp Consol'!Z:Z,"Expired Previous Months",'Supp Consol'!A:A,O1479))</f>
        <v/>
      </c>
      <c r="AK1479" s="25" t="str">
        <f>IFERROR(INDEX('Hun Release Current'!B:B,MATCH(O1479,'Hun Release Current'!A:A,0)),"")</f>
        <v/>
      </c>
      <c r="AL1479" s="25" t="str">
        <f>IF(SUMIF('Prev Aub'!A:A,O1479,'Prev Aub'!B:B)=0,"",SUMIF('Prev Aub'!A:A,O1479,'Prev Aub'!B:B))</f>
        <v/>
      </c>
      <c r="AN1479" s="25" t="s">
        <v>3790</v>
      </c>
      <c r="AO1479" s="25" t="s">
        <v>3790</v>
      </c>
      <c r="AP1479" s="25">
        <f t="shared" si="650"/>
        <v>0</v>
      </c>
      <c r="AQ1479" s="151" t="str">
        <f>IF(SUMIFS('Supp Consol'!S:S,'Supp Consol'!A:A,O1479,'Supp Consol'!I:I,"PENDING")=0,"",SUMIFS('Supp Consol'!S:S,'Supp Consol'!A:A,O1479,'Supp Consol'!I:I,"PENDING"))</f>
        <v/>
      </c>
      <c r="AR1479" s="27" t="str">
        <f t="shared" si="651"/>
        <v>WO861</v>
      </c>
      <c r="AS1479" s="27" t="str">
        <f t="shared" si="652"/>
        <v>37</v>
      </c>
      <c r="AT1479" s="27" t="str">
        <f t="shared" si="653"/>
        <v>WO861</v>
      </c>
      <c r="AU1479" s="27" t="str">
        <f t="shared" si="654"/>
        <v>WO861</v>
      </c>
      <c r="AV1479" s="27" t="str">
        <f t="shared" si="655"/>
        <v>WO861</v>
      </c>
      <c r="AW1479" s="27" t="str">
        <f t="shared" si="656"/>
        <v/>
      </c>
      <c r="AX1479" s="27" t="str">
        <f t="shared" si="657"/>
        <v/>
      </c>
      <c r="AY1479" s="27" t="str">
        <f t="shared" si="658"/>
        <v/>
      </c>
      <c r="AZ1479" s="27" t="str">
        <f t="shared" si="659"/>
        <v/>
      </c>
      <c r="BA1479" s="27" t="str">
        <f t="shared" si="660"/>
        <v/>
      </c>
      <c r="BB1479" s="27" t="str">
        <f t="shared" si="661"/>
        <v>Gross</v>
      </c>
      <c r="BC1479" s="27" t="str">
        <f t="shared" si="662"/>
        <v>Net</v>
      </c>
      <c r="BD1479" s="27" t="str">
        <f t="shared" si="663"/>
        <v>Net</v>
      </c>
      <c r="BE1479" s="27" t="str">
        <f t="shared" si="664"/>
        <v/>
      </c>
      <c r="BF1479" s="27" t="str">
        <f t="shared" si="665"/>
        <v/>
      </c>
      <c r="BG1479" s="27" t="str">
        <f t="shared" si="666"/>
        <v/>
      </c>
      <c r="BH1479" s="27" t="str">
        <f t="shared" si="667"/>
        <v/>
      </c>
      <c r="BI1479" s="27" t="str">
        <f t="shared" si="668"/>
        <v/>
      </c>
      <c r="BJ1479" s="27" t="str">
        <f t="shared" si="669"/>
        <v/>
      </c>
      <c r="BK1479" s="27" t="str">
        <f t="shared" si="670"/>
        <v/>
      </c>
      <c r="BL1479" s="27" t="str">
        <f t="shared" si="671"/>
        <v/>
      </c>
      <c r="BM1479" s="21" t="s">
        <v>5581</v>
      </c>
    </row>
    <row r="1480" spans="1:65" ht="15">
      <c r="A1480" s="25" t="str">
        <f>IFERROR(INDEX('Hun Demand'!W:W,MATCH(O1480,'Hun Demand'!A:A,0)),"")</f>
        <v/>
      </c>
      <c r="B1480" s="25" t="str">
        <f>IFERROR(INDEX('Hun Demand'!V:V,MATCH(O1480,'Hun Demand'!A:A,0)),"")</f>
        <v/>
      </c>
      <c r="C1480" s="25" t="str">
        <f>IFERROR(INDEX('Hun Demand'!U:U,MATCH(O1480,'Hun Demand'!A:A,0)),"")</f>
        <v/>
      </c>
      <c r="D1480" s="25" t="str">
        <f>IFERROR(INDEX('Hun Demand'!T:T,MATCH(O1480,'Hun Demand'!A:A,0)),"")</f>
        <v/>
      </c>
      <c r="E1480" s="25" t="str">
        <f>IFERROR(INDEX('Hun Demand'!S:S,MATCH(O1480,'Hun Demand'!A:A,0)),"")</f>
        <v/>
      </c>
      <c r="F1480" s="25" t="str">
        <f>IFERROR(INDEX('Hun Demand'!R:R,MATCH(O1480,'Hun Demand'!A:A,0)),"")</f>
        <v/>
      </c>
      <c r="G1480" s="25">
        <f>IFERROR(INDEX('Aub Demand'!W:W,MATCH(O1480,'Aub Demand'!A:A,0)),"")</f>
        <v>45</v>
      </c>
      <c r="H1480" s="25">
        <f>IFERROR(INDEX('Aub Demand'!V:V,MATCH(O1480,'Aub Demand'!A:A,0)),"")</f>
        <v>0</v>
      </c>
      <c r="I1480" s="25">
        <f>IFERROR(INDEX('Aub Demand'!U:U,MATCH(O1480,'Aub Demand'!A:A,0)),"")</f>
        <v>41</v>
      </c>
      <c r="J1480" s="25">
        <f>IFERROR(INDEX('Aub Demand'!T:T,MATCH(O1480,'Aub Demand'!A:A,0)),"")</f>
        <v>0</v>
      </c>
      <c r="K1480" s="25">
        <f>IFERROR(INDEX('Aub Demand'!S:S,MATCH(O1480,'Aub Demand'!A:A,0)),"")</f>
        <v>15</v>
      </c>
      <c r="L1480" s="25">
        <f>IFERROR(INDEX('Aub Demand'!R:R,MATCH(O1480,'Aub Demand'!A:A,0)),"")</f>
        <v>0</v>
      </c>
      <c r="O1480" s="27" t="s">
        <v>1789</v>
      </c>
      <c r="P1480" s="27" t="str">
        <f>IFERROR(INDEX('Aub Demand'!B:B,MATCH($O1480,'Aub Demand'!$A:$A,0)),"")</f>
        <v>GRAND OAK</v>
      </c>
      <c r="Q1480" s="27" t="str">
        <f>IFERROR(INDEX('Aub Demand'!C:C,MATCH($O1480,'Aub Demand'!$A:$A,0)),"")</f>
        <v>SUDDE</v>
      </c>
      <c r="R1480" s="52">
        <f>IFERROR(IF(AR1481=AR1480,INDEX('Aub Demand'!K:K,MATCH($O1480,'Aub Demand'!$A:$A,0))-IF(AN1480="",0,AN1480)+AP1481,INDEX('Aub Demand'!K:K,MATCH($O1480,'Aub Demand'!$A:$A,0))-IF(AN1480="",0,AN1480)),"")</f>
        <v>1394</v>
      </c>
      <c r="S1480" s="53">
        <f t="shared" si="644"/>
        <v>314.39999999999998</v>
      </c>
      <c r="T1480" s="52" t="str">
        <f t="shared" si="645"/>
        <v/>
      </c>
      <c r="U1480" s="52">
        <f>IFERROR(IF(AR1481=AR1480,INDEX('Aub Demand'!Q:Q,MATCH($O1480,'Aub Demand'!$A:$A,0))-IF(AN1480="",0,AN1480)+AP1481,INDEX('Aub Demand'!Q:Q,MATCH($O1480,'Aub Demand'!$A:$A,0))-IF(AN1480="",0,AN1480)),"")</f>
        <v>1384</v>
      </c>
      <c r="V1480" s="53">
        <f t="shared" si="646"/>
        <v>312.2</v>
      </c>
      <c r="W1480" s="52" t="str">
        <f t="shared" si="647"/>
        <v/>
      </c>
      <c r="X1480" s="52">
        <f>IFERROR(IF(AND(AR1481=AR1480,AM1480&lt;&gt;""),INDEX('Aub Demand'!Q:Q,MATCH($O1480,'Aub Demand'!$A:$A,0))-IF(AN1480="",0,AN1480)+AP1481+AD1480+AL1480,IF(AR1481=AR1480,INDEX('Aub Demand'!Q:Q,MATCH($O1480,'Aub Demand'!$A:$A,0))-IF(AN1480="",0,AN1480)+AP1481+AD1480,IF(AM1480&lt;&gt;"",INDEX('Aub Demand'!Q:Q,MATCH($O1480,'Aub Demand'!$A:$A,0))-IF(AN1480="",0,AN1480)+AD1480+AL1480,INDEX('Aub Demand'!Q:Q,MATCH($O1480,'Aub Demand'!$A:$A,0))-IF(AN1480="",0,AN1480)+AD1480))),"")</f>
        <v>1384</v>
      </c>
      <c r="Y1480" s="53">
        <f t="shared" si="648"/>
        <v>312.2</v>
      </c>
      <c r="Z1480" s="52">
        <f>IF(L1480="","",INDEX('Aub Demand'!H:H,MATCH($O1480,'Aub Demand'!$A:$A,0)))</f>
        <v>19</v>
      </c>
      <c r="AA1480" s="52">
        <f t="shared" si="649"/>
        <v>28</v>
      </c>
      <c r="AB1480" s="52">
        <f>IFERROR(INDEX('Aub Demand'!L:L,MATCH($O1480,'Aub Demand'!$A:$A,0)),"")</f>
        <v>33</v>
      </c>
      <c r="AC1480" s="52">
        <f>IFERROR(IF(O1480="","",SUMIFS('CPL Mats'!F:F,'CPL Mats'!Q:Q,AR1480,'CPL Mats'!S:S,AS1480)),"")</f>
        <v>0</v>
      </c>
      <c r="AF1480" s="25" t="str">
        <f>IF(SUMIFS('Supp Consol'!S:S,'Supp Consol'!Y:Y,"Releasable",'Supp Consol'!A:A,O1480)=0,"",SUMIFS('Supp Consol'!S:S,'Supp Consol'!Y:Y,"Releasable",'Supp Consol'!A:A,O1480))</f>
        <v/>
      </c>
      <c r="AG1480" s="25" t="str">
        <f>IFERROR(INDEX('Hun Demand'!Q:Q,MATCH(O1480,'Hun Demand'!A:A,0)),"")</f>
        <v/>
      </c>
      <c r="AH1480" s="25" t="str">
        <f>IFERROR(INDEX('Hun Demand'!H:H,MATCH($O1480,'Hun Demand'!$A:$A,0)),"")</f>
        <v/>
      </c>
      <c r="AI1480" s="25" t="str">
        <f>IF(SUMIFS('Supp Consol'!AA:AA,'Supp Consol'!Z:Z,"Expires this month",'Supp Consol'!A:A,O1480)=0,"",SUMIFS('Supp Consol'!AA:AA,'Supp Consol'!Z:Z,"Expires this month",'Supp Consol'!A:A,O1480))</f>
        <v/>
      </c>
      <c r="AJ1480" s="25" t="str">
        <f>IF(SUMIFS('Supp Consol'!AA:AA,'Supp Consol'!Z:Z,"Expired Previous Months",'Supp Consol'!A:A,O1480)=0,"",SUMIFS('Supp Consol'!AA:AA,'Supp Consol'!Z:Z,"Expired Previous Months",'Supp Consol'!A:A,O1480))</f>
        <v/>
      </c>
      <c r="AK1480" s="25" t="str">
        <f>IFERROR(INDEX('Hun Release Current'!B:B,MATCH(O1480,'Hun Release Current'!A:A,0)),"")</f>
        <v/>
      </c>
      <c r="AL1480" s="25" t="str">
        <f>IF(SUMIF('Prev Aub'!A:A,O1480,'Prev Aub'!B:B)=0,"",SUMIF('Prev Aub'!A:A,O1480,'Prev Aub'!B:B))</f>
        <v/>
      </c>
      <c r="AN1480" s="25" t="s">
        <v>3790</v>
      </c>
      <c r="AO1480" s="25" t="s">
        <v>3790</v>
      </c>
      <c r="AP1480" s="25">
        <f t="shared" si="650"/>
        <v>0</v>
      </c>
      <c r="AQ1480" s="151" t="str">
        <f>IF(SUMIFS('Supp Consol'!S:S,'Supp Consol'!A:A,O1480,'Supp Consol'!I:I,"PENDING")=0,"",SUMIFS('Supp Consol'!S:S,'Supp Consol'!A:A,O1480,'Supp Consol'!I:I,"PENDING"))</f>
        <v/>
      </c>
      <c r="AR1480" s="27" t="str">
        <f t="shared" si="651"/>
        <v>WO861</v>
      </c>
      <c r="AS1480" s="27" t="str">
        <f t="shared" si="652"/>
        <v>50</v>
      </c>
      <c r="AT1480" s="27" t="str">
        <f t="shared" si="653"/>
        <v/>
      </c>
      <c r="AU1480" s="27" t="str">
        <f t="shared" si="654"/>
        <v/>
      </c>
      <c r="AV1480" s="27" t="str">
        <f t="shared" si="655"/>
        <v/>
      </c>
      <c r="AW1480" s="27" t="str">
        <f t="shared" si="656"/>
        <v/>
      </c>
      <c r="AX1480" s="27" t="str">
        <f t="shared" si="657"/>
        <v/>
      </c>
      <c r="AY1480" s="27" t="str">
        <f t="shared" si="658"/>
        <v/>
      </c>
      <c r="AZ1480" s="27" t="str">
        <f t="shared" si="659"/>
        <v/>
      </c>
      <c r="BA1480" s="27" t="str">
        <f t="shared" si="660"/>
        <v/>
      </c>
      <c r="BB1480" s="27" t="str">
        <f t="shared" si="661"/>
        <v>Gross</v>
      </c>
      <c r="BC1480" s="27" t="str">
        <f t="shared" si="662"/>
        <v>Net</v>
      </c>
      <c r="BD1480" s="27" t="str">
        <f t="shared" si="663"/>
        <v>Net</v>
      </c>
      <c r="BE1480" s="27" t="str">
        <f t="shared" si="664"/>
        <v/>
      </c>
      <c r="BF1480" s="27" t="str">
        <f t="shared" si="665"/>
        <v/>
      </c>
      <c r="BG1480" s="27" t="str">
        <f t="shared" si="666"/>
        <v/>
      </c>
      <c r="BH1480" s="27" t="str">
        <f t="shared" si="667"/>
        <v/>
      </c>
      <c r="BI1480" s="27" t="str">
        <f t="shared" si="668"/>
        <v/>
      </c>
      <c r="BJ1480" s="27" t="str">
        <f t="shared" si="669"/>
        <v/>
      </c>
      <c r="BK1480" s="27" t="str">
        <f t="shared" si="670"/>
        <v/>
      </c>
      <c r="BL1480" s="27" t="str">
        <f t="shared" si="671"/>
        <v/>
      </c>
      <c r="BM1480" s="21" t="s">
        <v>5581</v>
      </c>
    </row>
    <row r="1481" spans="1:65" ht="15">
      <c r="A1481" s="25" t="str">
        <f>IFERROR(INDEX('Hun Demand'!W:W,MATCH(O1481,'Hun Demand'!A:A,0)),"")</f>
        <v/>
      </c>
      <c r="B1481" s="25" t="str">
        <f>IFERROR(INDEX('Hun Demand'!V:V,MATCH(O1481,'Hun Demand'!A:A,0)),"")</f>
        <v/>
      </c>
      <c r="C1481" s="25" t="str">
        <f>IFERROR(INDEX('Hun Demand'!U:U,MATCH(O1481,'Hun Demand'!A:A,0)),"")</f>
        <v/>
      </c>
      <c r="D1481" s="25" t="str">
        <f>IFERROR(INDEX('Hun Demand'!T:T,MATCH(O1481,'Hun Demand'!A:A,0)),"")</f>
        <v/>
      </c>
      <c r="E1481" s="25" t="str">
        <f>IFERROR(INDEX('Hun Demand'!S:S,MATCH(O1481,'Hun Demand'!A:A,0)),"")</f>
        <v/>
      </c>
      <c r="F1481" s="25" t="str">
        <f>IFERROR(INDEX('Hun Demand'!R:R,MATCH(O1481,'Hun Demand'!A:A,0)),"")</f>
        <v/>
      </c>
      <c r="G1481" s="25">
        <f>IFERROR(INDEX('Aub Demand'!W:W,MATCH(O1481,'Aub Demand'!A:A,0)),"")</f>
        <v>134</v>
      </c>
      <c r="H1481" s="25">
        <f>IFERROR(INDEX('Aub Demand'!V:V,MATCH(O1481,'Aub Demand'!A:A,0)),"")</f>
        <v>0</v>
      </c>
      <c r="I1481" s="25">
        <f>IFERROR(INDEX('Aub Demand'!U:U,MATCH(O1481,'Aub Demand'!A:A,0)),"")</f>
        <v>0</v>
      </c>
      <c r="J1481" s="25">
        <f>IFERROR(INDEX('Aub Demand'!T:T,MATCH(O1481,'Aub Demand'!A:A,0)),"")</f>
        <v>74</v>
      </c>
      <c r="K1481" s="25">
        <f>IFERROR(INDEX('Aub Demand'!S:S,MATCH(O1481,'Aub Demand'!A:A,0)),"")</f>
        <v>0</v>
      </c>
      <c r="L1481" s="25">
        <f>IFERROR(INDEX('Aub Demand'!R:R,MATCH(O1481,'Aub Demand'!A:A,0)),"")</f>
        <v>0</v>
      </c>
      <c r="O1481" s="27" t="s">
        <v>1791</v>
      </c>
      <c r="P1481" s="27" t="str">
        <f>IFERROR(INDEX('Aub Demand'!B:B,MATCH($O1481,'Aub Demand'!$A:$A,0)),"")</f>
        <v>GRAND OAK</v>
      </c>
      <c r="Q1481" s="27" t="str">
        <f>IFERROR(INDEX('Aub Demand'!C:C,MATCH($O1481,'Aub Demand'!$A:$A,0)),"")</f>
        <v>SUDDE</v>
      </c>
      <c r="R1481" s="52">
        <f>IFERROR(IF(AR1482=AR1481,INDEX('Aub Demand'!K:K,MATCH($O1481,'Aub Demand'!$A:$A,0))-IF(AN1481="",0,AN1481)+AP1482,INDEX('Aub Demand'!K:K,MATCH($O1481,'Aub Demand'!$A:$A,0))-IF(AN1481="",0,AN1481)),"")</f>
        <v>1208</v>
      </c>
      <c r="S1481" s="53">
        <f t="shared" si="644"/>
        <v>207.1</v>
      </c>
      <c r="T1481" s="52" t="str">
        <f t="shared" si="645"/>
        <v/>
      </c>
      <c r="U1481" s="52">
        <f>IFERROR(IF(AR1482=AR1481,INDEX('Aub Demand'!Q:Q,MATCH($O1481,'Aub Demand'!$A:$A,0))-IF(AN1481="",0,AN1481)+AP1482,INDEX('Aub Demand'!Q:Q,MATCH($O1481,'Aub Demand'!$A:$A,0))-IF(AN1481="",0,AN1481)),"")</f>
        <v>1191</v>
      </c>
      <c r="V1481" s="53">
        <f t="shared" si="646"/>
        <v>204.2</v>
      </c>
      <c r="W1481" s="52" t="str">
        <f t="shared" si="647"/>
        <v/>
      </c>
      <c r="X1481" s="52">
        <f>IFERROR(IF(AND(AR1482=AR1481,AM1481&lt;&gt;""),INDEX('Aub Demand'!Q:Q,MATCH($O1481,'Aub Demand'!$A:$A,0))-IF(AN1481="",0,AN1481)+AP1482+AD1481+AL1481,IF(AR1482=AR1481,INDEX('Aub Demand'!Q:Q,MATCH($O1481,'Aub Demand'!$A:$A,0))-IF(AN1481="",0,AN1481)+AP1482+AD1481,IF(AM1481&lt;&gt;"",INDEX('Aub Demand'!Q:Q,MATCH($O1481,'Aub Demand'!$A:$A,0))-IF(AN1481="",0,AN1481)+AD1481+AL1481,INDEX('Aub Demand'!Q:Q,MATCH($O1481,'Aub Demand'!$A:$A,0))-IF(AN1481="",0,AN1481)+AD1481))),"")</f>
        <v>1191</v>
      </c>
      <c r="Y1481" s="53">
        <f t="shared" si="648"/>
        <v>204.2</v>
      </c>
      <c r="Z1481" s="52">
        <f>IF(L1481="","",INDEX('Aub Demand'!H:H,MATCH($O1481,'Aub Demand'!$A:$A,0)))</f>
        <v>25</v>
      </c>
      <c r="AA1481" s="52" t="str">
        <f t="shared" si="649"/>
        <v>-spike-</v>
      </c>
      <c r="AB1481" s="52">
        <f>IFERROR(INDEX('Aub Demand'!L:L,MATCH($O1481,'Aub Demand'!$A:$A,0)),"")</f>
        <v>28</v>
      </c>
      <c r="AC1481" s="52">
        <f>IFERROR(IF(O1481="","",SUMIFS('CPL Mats'!F:F,'CPL Mats'!Q:Q,AR1481,'CPL Mats'!S:S,AS1481)),"")</f>
        <v>0</v>
      </c>
      <c r="AF1481" s="25" t="str">
        <f>IF(SUMIFS('Supp Consol'!S:S,'Supp Consol'!Y:Y,"Releasable",'Supp Consol'!A:A,O1481)=0,"",SUMIFS('Supp Consol'!S:S,'Supp Consol'!Y:Y,"Releasable",'Supp Consol'!A:A,O1481))</f>
        <v/>
      </c>
      <c r="AG1481" s="25" t="str">
        <f>IFERROR(INDEX('Hun Demand'!Q:Q,MATCH(O1481,'Hun Demand'!A:A,0)),"")</f>
        <v/>
      </c>
      <c r="AH1481" s="25" t="str">
        <f>IFERROR(INDEX('Hun Demand'!H:H,MATCH($O1481,'Hun Demand'!$A:$A,0)),"")</f>
        <v/>
      </c>
      <c r="AI1481" s="25" t="str">
        <f>IF(SUMIFS('Supp Consol'!AA:AA,'Supp Consol'!Z:Z,"Expires this month",'Supp Consol'!A:A,O1481)=0,"",SUMIFS('Supp Consol'!AA:AA,'Supp Consol'!Z:Z,"Expires this month",'Supp Consol'!A:A,O1481))</f>
        <v/>
      </c>
      <c r="AJ1481" s="25" t="str">
        <f>IF(SUMIFS('Supp Consol'!AA:AA,'Supp Consol'!Z:Z,"Expired Previous Months",'Supp Consol'!A:A,O1481)=0,"",SUMIFS('Supp Consol'!AA:AA,'Supp Consol'!Z:Z,"Expired Previous Months",'Supp Consol'!A:A,O1481))</f>
        <v/>
      </c>
      <c r="AK1481" s="25" t="str">
        <f>IFERROR(INDEX('Hun Release Current'!B:B,MATCH(O1481,'Hun Release Current'!A:A,0)),"")</f>
        <v/>
      </c>
      <c r="AL1481" s="25" t="str">
        <f>IF(SUMIF('Prev Aub'!A:A,O1481,'Prev Aub'!B:B)=0,"",SUMIF('Prev Aub'!A:A,O1481,'Prev Aub'!B:B))</f>
        <v/>
      </c>
      <c r="AN1481" s="25" t="s">
        <v>3790</v>
      </c>
      <c r="AO1481" s="25" t="s">
        <v>3790</v>
      </c>
      <c r="AP1481" s="25">
        <f t="shared" si="650"/>
        <v>0</v>
      </c>
      <c r="AQ1481" s="151" t="str">
        <f>IF(SUMIFS('Supp Consol'!S:S,'Supp Consol'!A:A,O1481,'Supp Consol'!I:I,"PENDING")=0,"",SUMIFS('Supp Consol'!S:S,'Supp Consol'!A:A,O1481,'Supp Consol'!I:I,"PENDING"))</f>
        <v/>
      </c>
      <c r="AR1481" s="27" t="str">
        <f t="shared" si="651"/>
        <v>WO861</v>
      </c>
      <c r="AS1481" s="27" t="str">
        <f t="shared" si="652"/>
        <v>62</v>
      </c>
      <c r="AT1481" s="27" t="str">
        <f t="shared" si="653"/>
        <v/>
      </c>
      <c r="AU1481" s="27" t="str">
        <f t="shared" si="654"/>
        <v/>
      </c>
      <c r="AV1481" s="27" t="str">
        <f t="shared" si="655"/>
        <v/>
      </c>
      <c r="AW1481" s="27" t="str">
        <f t="shared" si="656"/>
        <v/>
      </c>
      <c r="AX1481" s="27" t="str">
        <f t="shared" si="657"/>
        <v/>
      </c>
      <c r="AY1481" s="27" t="str">
        <f t="shared" si="658"/>
        <v/>
      </c>
      <c r="AZ1481" s="27" t="str">
        <f t="shared" si="659"/>
        <v/>
      </c>
      <c r="BA1481" s="27" t="str">
        <f t="shared" si="660"/>
        <v/>
      </c>
      <c r="BB1481" s="27" t="str">
        <f t="shared" si="661"/>
        <v>Gross</v>
      </c>
      <c r="BC1481" s="27" t="str">
        <f t="shared" si="662"/>
        <v>Net</v>
      </c>
      <c r="BD1481" s="27" t="str">
        <f t="shared" si="663"/>
        <v>Net</v>
      </c>
      <c r="BE1481" s="27" t="str">
        <f t="shared" si="664"/>
        <v/>
      </c>
      <c r="BF1481" s="27" t="str">
        <f t="shared" si="665"/>
        <v/>
      </c>
      <c r="BG1481" s="27" t="str">
        <f t="shared" si="666"/>
        <v/>
      </c>
      <c r="BH1481" s="27" t="str">
        <f t="shared" si="667"/>
        <v/>
      </c>
      <c r="BI1481" s="27" t="str">
        <f t="shared" si="668"/>
        <v/>
      </c>
      <c r="BJ1481" s="27" t="str">
        <f t="shared" si="669"/>
        <v/>
      </c>
      <c r="BK1481" s="27" t="str">
        <f t="shared" si="670"/>
        <v/>
      </c>
      <c r="BL1481" s="27" t="str">
        <f t="shared" si="671"/>
        <v/>
      </c>
      <c r="BM1481" s="21" t="s">
        <v>5581</v>
      </c>
    </row>
    <row r="1482" spans="1:65" ht="15">
      <c r="A1482" s="25">
        <f>IFERROR(INDEX('Hun Demand'!W:W,MATCH(O1482,'Hun Demand'!A:A,0)),"")</f>
        <v>0</v>
      </c>
      <c r="B1482" s="25">
        <f>IFERROR(INDEX('Hun Demand'!V:V,MATCH(O1482,'Hun Demand'!A:A,0)),"")</f>
        <v>0</v>
      </c>
      <c r="C1482" s="25">
        <f>IFERROR(INDEX('Hun Demand'!U:U,MATCH(O1482,'Hun Demand'!A:A,0)),"")</f>
        <v>0</v>
      </c>
      <c r="D1482" s="25">
        <f>IFERROR(INDEX('Hun Demand'!T:T,MATCH(O1482,'Hun Demand'!A:A,0)),"")</f>
        <v>0</v>
      </c>
      <c r="E1482" s="25">
        <f>IFERROR(INDEX('Hun Demand'!S:S,MATCH(O1482,'Hun Demand'!A:A,0)),"")</f>
        <v>0</v>
      </c>
      <c r="F1482" s="25">
        <f>IFERROR(INDEX('Hun Demand'!R:R,MATCH(O1482,'Hun Demand'!A:A,0)),"")</f>
        <v>0</v>
      </c>
      <c r="G1482" s="25">
        <f>IFERROR(INDEX('Aub Demand'!W:W,MATCH(O1482,'Aub Demand'!A:A,0)),"")</f>
        <v>56</v>
      </c>
      <c r="H1482" s="25">
        <f>IFERROR(INDEX('Aub Demand'!V:V,MATCH(O1482,'Aub Demand'!A:A,0)),"")</f>
        <v>0</v>
      </c>
      <c r="I1482" s="25">
        <f>IFERROR(INDEX('Aub Demand'!U:U,MATCH(O1482,'Aub Demand'!A:A,0)),"")</f>
        <v>45</v>
      </c>
      <c r="J1482" s="25">
        <f>IFERROR(INDEX('Aub Demand'!T:T,MATCH(O1482,'Aub Demand'!A:A,0)),"")</f>
        <v>54</v>
      </c>
      <c r="K1482" s="25">
        <f>IFERROR(INDEX('Aub Demand'!S:S,MATCH(O1482,'Aub Demand'!A:A,0)),"")</f>
        <v>0</v>
      </c>
      <c r="L1482" s="25">
        <f>IFERROR(INDEX('Aub Demand'!R:R,MATCH(O1482,'Aub Demand'!A:A,0)),"")</f>
        <v>0</v>
      </c>
      <c r="O1482" s="27" t="s">
        <v>1792</v>
      </c>
      <c r="P1482" s="27" t="str">
        <f>IFERROR(INDEX('Aub Demand'!B:B,MATCH($O1482,'Aub Demand'!$A:$A,0)),"")</f>
        <v>SHERWOOD OAK</v>
      </c>
      <c r="Q1482" s="27" t="str">
        <f>IFERROR(INDEX('Aub Demand'!C:C,MATCH($O1482,'Aub Demand'!$A:$A,0)),"")</f>
        <v>SUDDE</v>
      </c>
      <c r="R1482" s="52">
        <f>IFERROR(IF(AR1483=AR1482,INDEX('Aub Demand'!K:K,MATCH($O1482,'Aub Demand'!$A:$A,0))-IF(AN1482="",0,AN1482)+AP1483,INDEX('Aub Demand'!K:K,MATCH($O1482,'Aub Demand'!$A:$A,0))-IF(AN1482="",0,AN1482)),"")</f>
        <v>1619</v>
      </c>
      <c r="S1482" s="53">
        <f t="shared" si="644"/>
        <v>210.3</v>
      </c>
      <c r="T1482" s="52" t="str">
        <f t="shared" si="645"/>
        <v/>
      </c>
      <c r="U1482" s="52">
        <f>IFERROR(IF(AR1483=AR1482,INDEX('Aub Demand'!Q:Q,MATCH($O1482,'Aub Demand'!$A:$A,0))-IF(AN1482="",0,AN1482)+AP1483,INDEX('Aub Demand'!Q:Q,MATCH($O1482,'Aub Demand'!$A:$A,0))-IF(AN1482="",0,AN1482)),"")</f>
        <v>1597</v>
      </c>
      <c r="V1482" s="53">
        <f t="shared" si="646"/>
        <v>207.4</v>
      </c>
      <c r="W1482" s="52" t="str">
        <f t="shared" si="647"/>
        <v/>
      </c>
      <c r="X1482" s="52">
        <f>IFERROR(IF(AND(AR1483=AR1482,AM1482&lt;&gt;""),INDEX('Aub Demand'!Q:Q,MATCH($O1482,'Aub Demand'!$A:$A,0))-IF(AN1482="",0,AN1482)+AP1483+AD1482+AL1482,IF(AR1483=AR1482,INDEX('Aub Demand'!Q:Q,MATCH($O1482,'Aub Demand'!$A:$A,0))-IF(AN1482="",0,AN1482)+AP1483+AD1482,IF(AM1482&lt;&gt;"",INDEX('Aub Demand'!Q:Q,MATCH($O1482,'Aub Demand'!$A:$A,0))-IF(AN1482="",0,AN1482)+AD1482+AL1482,INDEX('Aub Demand'!Q:Q,MATCH($O1482,'Aub Demand'!$A:$A,0))-IF(AN1482="",0,AN1482)+AD1482))),"")</f>
        <v>1597</v>
      </c>
      <c r="Y1482" s="53">
        <f t="shared" si="648"/>
        <v>207.4</v>
      </c>
      <c r="Z1482" s="52">
        <f>IF(L1482="","",INDEX('Aub Demand'!H:H,MATCH($O1482,'Aub Demand'!$A:$A,0)))</f>
        <v>33</v>
      </c>
      <c r="AA1482" s="52">
        <f t="shared" si="649"/>
        <v>49.5</v>
      </c>
      <c r="AB1482" s="52">
        <f>IFERROR(INDEX('Aub Demand'!L:L,MATCH($O1482,'Aub Demand'!$A:$A,0)),"")</f>
        <v>52</v>
      </c>
      <c r="AC1482" s="52">
        <f>IFERROR(IF(O1482="","",SUMIFS('CPL Mats'!F:F,'CPL Mats'!Q:Q,AR1482,'CPL Mats'!S:S,AS1482)),"")</f>
        <v>0</v>
      </c>
      <c r="AF1482" s="25" t="str">
        <f>IF(SUMIFS('Supp Consol'!S:S,'Supp Consol'!Y:Y,"Releasable",'Supp Consol'!A:A,O1482)=0,"",SUMIFS('Supp Consol'!S:S,'Supp Consol'!Y:Y,"Releasable",'Supp Consol'!A:A,O1482))</f>
        <v/>
      </c>
      <c r="AG1482" s="25">
        <f>IFERROR(INDEX('Hun Demand'!Q:Q,MATCH(O1482,'Hun Demand'!A:A,0)),"")</f>
        <v>360</v>
      </c>
      <c r="AH1482" s="25">
        <f>IFERROR(INDEX('Hun Demand'!H:H,MATCH($O1482,'Hun Demand'!$A:$A,0)),"")</f>
        <v>0</v>
      </c>
      <c r="AI1482" s="25" t="str">
        <f>IF(SUMIFS('Supp Consol'!AA:AA,'Supp Consol'!Z:Z,"Expires this month",'Supp Consol'!A:A,O1482)=0,"",SUMIFS('Supp Consol'!AA:AA,'Supp Consol'!Z:Z,"Expires this month",'Supp Consol'!A:A,O1482))</f>
        <v/>
      </c>
      <c r="AJ1482" s="25" t="str">
        <f>IF(SUMIFS('Supp Consol'!AA:AA,'Supp Consol'!Z:Z,"Expired Previous Months",'Supp Consol'!A:A,O1482)=0,"",SUMIFS('Supp Consol'!AA:AA,'Supp Consol'!Z:Z,"Expired Previous Months",'Supp Consol'!A:A,O1482))</f>
        <v/>
      </c>
      <c r="AK1482" s="25" t="str">
        <f>IFERROR(INDEX('Hun Release Current'!B:B,MATCH(O1482,'Hun Release Current'!A:A,0)),"")</f>
        <v/>
      </c>
      <c r="AL1482" s="25" t="str">
        <f>IF(SUMIF('Prev Aub'!A:A,O1482,'Prev Aub'!B:B)=0,"",SUMIF('Prev Aub'!A:A,O1482,'Prev Aub'!B:B))</f>
        <v/>
      </c>
      <c r="AN1482" s="25" t="s">
        <v>3790</v>
      </c>
      <c r="AO1482" s="25" t="s">
        <v>3790</v>
      </c>
      <c r="AP1482" s="25">
        <f t="shared" si="650"/>
        <v>0</v>
      </c>
      <c r="AQ1482" s="151" t="str">
        <f>IF(SUMIFS('Supp Consol'!S:S,'Supp Consol'!A:A,O1482,'Supp Consol'!I:I,"PENDING")=0,"",SUMIFS('Supp Consol'!S:S,'Supp Consol'!A:A,O1482,'Supp Consol'!I:I,"PENDING"))</f>
        <v/>
      </c>
      <c r="AR1482" s="27" t="str">
        <f t="shared" si="651"/>
        <v>WO891</v>
      </c>
      <c r="AS1482" s="27" t="str">
        <f t="shared" si="652"/>
        <v>50</v>
      </c>
      <c r="AT1482" s="27" t="str">
        <f t="shared" si="653"/>
        <v/>
      </c>
      <c r="AU1482" s="27" t="str">
        <f t="shared" si="654"/>
        <v/>
      </c>
      <c r="AV1482" s="27" t="str">
        <f t="shared" si="655"/>
        <v/>
      </c>
      <c r="AW1482" s="27" t="str">
        <f t="shared" si="656"/>
        <v/>
      </c>
      <c r="AX1482" s="27" t="str">
        <f t="shared" si="657"/>
        <v/>
      </c>
      <c r="AY1482" s="27" t="str">
        <f t="shared" si="658"/>
        <v>WO891</v>
      </c>
      <c r="AZ1482" s="27" t="str">
        <f t="shared" si="659"/>
        <v/>
      </c>
      <c r="BA1482" s="27" t="str">
        <f t="shared" si="660"/>
        <v>Hun</v>
      </c>
      <c r="BB1482" s="27" t="str">
        <f t="shared" si="661"/>
        <v/>
      </c>
      <c r="BC1482" s="27" t="str">
        <f t="shared" si="662"/>
        <v/>
      </c>
      <c r="BD1482" s="27" t="str">
        <f t="shared" si="663"/>
        <v/>
      </c>
      <c r="BE1482" s="27" t="str">
        <f t="shared" si="664"/>
        <v/>
      </c>
      <c r="BF1482" s="27" t="str">
        <f t="shared" si="665"/>
        <v/>
      </c>
      <c r="BG1482" s="27" t="str">
        <f t="shared" si="666"/>
        <v/>
      </c>
      <c r="BH1482" s="27" t="str">
        <f t="shared" si="667"/>
        <v/>
      </c>
      <c r="BI1482" s="27" t="str">
        <f t="shared" si="668"/>
        <v/>
      </c>
      <c r="BJ1482" s="27" t="str">
        <f t="shared" si="669"/>
        <v>Supp or Hun</v>
      </c>
      <c r="BK1482" s="27" t="str">
        <f t="shared" si="670"/>
        <v/>
      </c>
      <c r="BL1482" s="27" t="str">
        <f t="shared" si="671"/>
        <v/>
      </c>
      <c r="BM1482" s="21" t="s">
        <v>5581</v>
      </c>
    </row>
    <row r="1483" spans="1:65" ht="15">
      <c r="A1483" s="25">
        <f>IFERROR(INDEX('Hun Demand'!W:W,MATCH(O1483,'Hun Demand'!A:A,0)),"")</f>
        <v>0</v>
      </c>
      <c r="B1483" s="25">
        <f>IFERROR(INDEX('Hun Demand'!V:V,MATCH(O1483,'Hun Demand'!A:A,0)),"")</f>
        <v>309</v>
      </c>
      <c r="C1483" s="25">
        <f>IFERROR(INDEX('Hun Demand'!U:U,MATCH(O1483,'Hun Demand'!A:A,0)),"")</f>
        <v>0</v>
      </c>
      <c r="D1483" s="25">
        <f>IFERROR(INDEX('Hun Demand'!T:T,MATCH(O1483,'Hun Demand'!A:A,0)),"")</f>
        <v>0</v>
      </c>
      <c r="E1483" s="25">
        <f>IFERROR(INDEX('Hun Demand'!S:S,MATCH(O1483,'Hun Demand'!A:A,0)),"")</f>
        <v>0</v>
      </c>
      <c r="F1483" s="25">
        <f>IFERROR(INDEX('Hun Demand'!R:R,MATCH(O1483,'Hun Demand'!A:A,0)),"")</f>
        <v>236</v>
      </c>
      <c r="G1483" s="25">
        <f>IFERROR(INDEX('Aub Demand'!W:W,MATCH(O1483,'Aub Demand'!A:A,0)),"")</f>
        <v>7</v>
      </c>
      <c r="H1483" s="25">
        <f>IFERROR(INDEX('Aub Demand'!V:V,MATCH(O1483,'Aub Demand'!A:A,0)),"")</f>
        <v>0</v>
      </c>
      <c r="I1483" s="25">
        <f>IFERROR(INDEX('Aub Demand'!U:U,MATCH(O1483,'Aub Demand'!A:A,0)),"")</f>
        <v>19</v>
      </c>
      <c r="J1483" s="25">
        <f>IFERROR(INDEX('Aub Demand'!T:T,MATCH(O1483,'Aub Demand'!A:A,0)),"")</f>
        <v>20</v>
      </c>
      <c r="K1483" s="25">
        <f>IFERROR(INDEX('Aub Demand'!S:S,MATCH(O1483,'Aub Demand'!A:A,0)),"")</f>
        <v>0</v>
      </c>
      <c r="L1483" s="25">
        <f>IFERROR(INDEX('Aub Demand'!R:R,MATCH(O1483,'Aub Demand'!A:A,0)),"")</f>
        <v>0</v>
      </c>
      <c r="O1483" s="27" t="s">
        <v>1795</v>
      </c>
      <c r="P1483" s="27" t="str">
        <f>IFERROR(INDEX('Aub Demand'!B:B,MATCH($O1483,'Aub Demand'!$A:$A,0)),"")</f>
        <v>SHERWOOD OAK</v>
      </c>
      <c r="Q1483" s="27" t="str">
        <f>IFERROR(INDEX('Aub Demand'!C:C,MATCH($O1483,'Aub Demand'!$A:$A,0)),"")</f>
        <v>SUDDE</v>
      </c>
      <c r="R1483" s="52">
        <f>IFERROR(IF(AR1484=AR1483,INDEX('Aub Demand'!K:K,MATCH($O1483,'Aub Demand'!$A:$A,0))-IF(AN1483="",0,AN1483)+AP1484,INDEX('Aub Demand'!K:K,MATCH($O1483,'Aub Demand'!$A:$A,0))-IF(AN1483="",0,AN1483)),"")</f>
        <v>3188</v>
      </c>
      <c r="S1483" s="53">
        <f t="shared" si="644"/>
        <v>1051</v>
      </c>
      <c r="T1483" s="52" t="str">
        <f t="shared" si="645"/>
        <v/>
      </c>
      <c r="U1483" s="52">
        <f>IFERROR(IF(AR1484=AR1483,INDEX('Aub Demand'!Q:Q,MATCH($O1483,'Aub Demand'!$A:$A,0))-IF(AN1483="",0,AN1483)+AP1484,INDEX('Aub Demand'!Q:Q,MATCH($O1483,'Aub Demand'!$A:$A,0))-IF(AN1483="",0,AN1483)),"")</f>
        <v>3188</v>
      </c>
      <c r="V1483" s="53">
        <f t="shared" si="646"/>
        <v>1051</v>
      </c>
      <c r="W1483" s="52" t="str">
        <f t="shared" si="647"/>
        <v/>
      </c>
      <c r="X1483" s="52">
        <f>IFERROR(IF(AND(AR1484=AR1483,AM1483&lt;&gt;""),INDEX('Aub Demand'!Q:Q,MATCH($O1483,'Aub Demand'!$A:$A,0))-IF(AN1483="",0,AN1483)+AP1484+AD1483+AL1483,IF(AR1484=AR1483,INDEX('Aub Demand'!Q:Q,MATCH($O1483,'Aub Demand'!$A:$A,0))-IF(AN1483="",0,AN1483)+AP1484+AD1483,IF(AM1483&lt;&gt;"",INDEX('Aub Demand'!Q:Q,MATCH($O1483,'Aub Demand'!$A:$A,0))-IF(AN1483="",0,AN1483)+AD1483+AL1483,INDEX('Aub Demand'!Q:Q,MATCH($O1483,'Aub Demand'!$A:$A,0))-IF(AN1483="",0,AN1483)+AD1483))),"")</f>
        <v>3188</v>
      </c>
      <c r="Y1483" s="53">
        <f t="shared" si="648"/>
        <v>1051</v>
      </c>
      <c r="Z1483" s="52">
        <f>IF(L1483="","",INDEX('Aub Demand'!H:H,MATCH($O1483,'Aub Demand'!$A:$A,0)))</f>
        <v>13</v>
      </c>
      <c r="AA1483" s="52">
        <f t="shared" si="649"/>
        <v>19.5</v>
      </c>
      <c r="AB1483" s="52">
        <f>IFERROR(INDEX('Aub Demand'!L:L,MATCH($O1483,'Aub Demand'!$A:$A,0)),"")</f>
        <v>34</v>
      </c>
      <c r="AC1483" s="52">
        <f>IFERROR(IF(O1483="","",SUMIFS('CPL Mats'!F:F,'CPL Mats'!Q:Q,AR1483,'CPL Mats'!S:S,AS1483)),"")</f>
        <v>0</v>
      </c>
      <c r="AF1483" s="25" t="str">
        <f>IF(SUMIFS('Supp Consol'!S:S,'Supp Consol'!Y:Y,"Releasable",'Supp Consol'!A:A,O1483)=0,"",SUMIFS('Supp Consol'!S:S,'Supp Consol'!Y:Y,"Releasable",'Supp Consol'!A:A,O1483))</f>
        <v/>
      </c>
      <c r="AG1483" s="25">
        <f>IFERROR(INDEX('Hun Demand'!Q:Q,MATCH(O1483,'Hun Demand'!A:A,0)),"")</f>
        <v>0</v>
      </c>
      <c r="AH1483" s="25">
        <f>IFERROR(INDEX('Hun Demand'!H:H,MATCH($O1483,'Hun Demand'!$A:$A,0)),"")</f>
        <v>0</v>
      </c>
      <c r="AI1483" s="25" t="str">
        <f>IF(SUMIFS('Supp Consol'!AA:AA,'Supp Consol'!Z:Z,"Expires this month",'Supp Consol'!A:A,O1483)=0,"",SUMIFS('Supp Consol'!AA:AA,'Supp Consol'!Z:Z,"Expires this month",'Supp Consol'!A:A,O1483))</f>
        <v/>
      </c>
      <c r="AJ1483" s="25" t="str">
        <f>IF(SUMIFS('Supp Consol'!AA:AA,'Supp Consol'!Z:Z,"Expired Previous Months",'Supp Consol'!A:A,O1483)=0,"",SUMIFS('Supp Consol'!AA:AA,'Supp Consol'!Z:Z,"Expired Previous Months",'Supp Consol'!A:A,O1483))</f>
        <v/>
      </c>
      <c r="AK1483" s="25" t="str">
        <f>IFERROR(INDEX('Hun Release Current'!B:B,MATCH(O1483,'Hun Release Current'!A:A,0)),"")</f>
        <v/>
      </c>
      <c r="AL1483" s="25" t="str">
        <f>IF(SUMIF('Prev Aub'!A:A,O1483,'Prev Aub'!B:B)=0,"",SUMIF('Prev Aub'!A:A,O1483,'Prev Aub'!B:B))</f>
        <v/>
      </c>
      <c r="AN1483" s="25" t="s">
        <v>3790</v>
      </c>
      <c r="AO1483" s="25" t="s">
        <v>3790</v>
      </c>
      <c r="AP1483" s="25">
        <f t="shared" si="650"/>
        <v>0</v>
      </c>
      <c r="AQ1483" s="151" t="str">
        <f>IF(SUMIFS('Supp Consol'!S:S,'Supp Consol'!A:A,O1483,'Supp Consol'!I:I,"PENDING")=0,"",SUMIFS('Supp Consol'!S:S,'Supp Consol'!A:A,O1483,'Supp Consol'!I:I,"PENDING"))</f>
        <v/>
      </c>
      <c r="AR1483" s="27" t="str">
        <f t="shared" si="651"/>
        <v>WO891</v>
      </c>
      <c r="AS1483" s="27" t="str">
        <f t="shared" si="652"/>
        <v>62</v>
      </c>
      <c r="AT1483" s="27" t="str">
        <f t="shared" si="653"/>
        <v/>
      </c>
      <c r="AU1483" s="27" t="str">
        <f t="shared" si="654"/>
        <v/>
      </c>
      <c r="AV1483" s="27" t="str">
        <f t="shared" si="655"/>
        <v/>
      </c>
      <c r="AW1483" s="27" t="str">
        <f t="shared" si="656"/>
        <v/>
      </c>
      <c r="AX1483" s="27" t="str">
        <f t="shared" si="657"/>
        <v/>
      </c>
      <c r="AY1483" s="27" t="str">
        <f t="shared" si="658"/>
        <v/>
      </c>
      <c r="AZ1483" s="27" t="str">
        <f t="shared" si="659"/>
        <v/>
      </c>
      <c r="BA1483" s="27" t="str">
        <f t="shared" si="660"/>
        <v>Hun</v>
      </c>
      <c r="BB1483" s="27" t="str">
        <f t="shared" si="661"/>
        <v/>
      </c>
      <c r="BC1483" s="27" t="str">
        <f t="shared" si="662"/>
        <v/>
      </c>
      <c r="BD1483" s="27" t="str">
        <f t="shared" si="663"/>
        <v/>
      </c>
      <c r="BE1483" s="27" t="str">
        <f t="shared" si="664"/>
        <v/>
      </c>
      <c r="BF1483" s="27" t="str">
        <f t="shared" si="665"/>
        <v/>
      </c>
      <c r="BG1483" s="27" t="str">
        <f t="shared" si="666"/>
        <v/>
      </c>
      <c r="BH1483" s="27" t="str">
        <f t="shared" si="667"/>
        <v/>
      </c>
      <c r="BI1483" s="27" t="str">
        <f t="shared" si="668"/>
        <v/>
      </c>
      <c r="BJ1483" s="27" t="str">
        <f t="shared" si="669"/>
        <v>Supp or Hun</v>
      </c>
      <c r="BK1483" s="27" t="str">
        <f t="shared" si="670"/>
        <v/>
      </c>
      <c r="BL1483" s="27" t="str">
        <f t="shared" si="671"/>
        <v/>
      </c>
      <c r="BM1483" s="21" t="s">
        <v>5581</v>
      </c>
    </row>
    <row r="1484" spans="1:65" ht="15">
      <c r="A1484" s="25" t="str">
        <f>IFERROR(INDEX('Hun Demand'!W:W,MATCH(O1484,'Hun Demand'!A:A,0)),"")</f>
        <v/>
      </c>
      <c r="B1484" s="25" t="str">
        <f>IFERROR(INDEX('Hun Demand'!V:V,MATCH(O1484,'Hun Demand'!A:A,0)),"")</f>
        <v/>
      </c>
      <c r="C1484" s="25" t="str">
        <f>IFERROR(INDEX('Hun Demand'!U:U,MATCH(O1484,'Hun Demand'!A:A,0)),"")</f>
        <v/>
      </c>
      <c r="D1484" s="25" t="str">
        <f>IFERROR(INDEX('Hun Demand'!T:T,MATCH(O1484,'Hun Demand'!A:A,0)),"")</f>
        <v/>
      </c>
      <c r="E1484" s="25" t="str">
        <f>IFERROR(INDEX('Hun Demand'!S:S,MATCH(O1484,'Hun Demand'!A:A,0)),"")</f>
        <v/>
      </c>
      <c r="F1484" s="25" t="str">
        <f>IFERROR(INDEX('Hun Demand'!R:R,MATCH(O1484,'Hun Demand'!A:A,0)),"")</f>
        <v/>
      </c>
      <c r="G1484" s="25">
        <f>IFERROR(INDEX('Aub Demand'!W:W,MATCH(O1484,'Aub Demand'!A:A,0)),"")</f>
        <v>71</v>
      </c>
      <c r="H1484" s="25">
        <f>IFERROR(INDEX('Aub Demand'!V:V,MATCH(O1484,'Aub Demand'!A:A,0)),"")</f>
        <v>0</v>
      </c>
      <c r="I1484" s="25">
        <f>IFERROR(INDEX('Aub Demand'!U:U,MATCH(O1484,'Aub Demand'!A:A,0)),"")</f>
        <v>0</v>
      </c>
      <c r="J1484" s="25">
        <f>IFERROR(INDEX('Aub Demand'!T:T,MATCH(O1484,'Aub Demand'!A:A,0)),"")</f>
        <v>0</v>
      </c>
      <c r="K1484" s="25">
        <f>IFERROR(INDEX('Aub Demand'!S:S,MATCH(O1484,'Aub Demand'!A:A,0)),"")</f>
        <v>0</v>
      </c>
      <c r="L1484" s="25">
        <f>IFERROR(INDEX('Aub Demand'!R:R,MATCH(O1484,'Aub Demand'!A:A,0)),"")</f>
        <v>0</v>
      </c>
      <c r="O1484" s="27" t="s">
        <v>1797</v>
      </c>
      <c r="P1484" s="27" t="str">
        <f>IFERROR(INDEX('Aub Demand'!B:B,MATCH($O1484,'Aub Demand'!$A:$A,0)),"")</f>
        <v>FINE OAK</v>
      </c>
      <c r="Q1484" s="27" t="str">
        <f>IFERROR(INDEX('Aub Demand'!C:C,MATCH($O1484,'Aub Demand'!$A:$A,0)),"")</f>
        <v>INTER</v>
      </c>
      <c r="R1484" s="52">
        <f>IFERROR(IF(AR1485=AR1484,INDEX('Aub Demand'!K:K,MATCH($O1484,'Aub Demand'!$A:$A,0))-IF(AN1484="",0,AN1484)+AP1485,INDEX('Aub Demand'!K:K,MATCH($O1484,'Aub Demand'!$A:$A,0))-IF(AN1484="",0,AN1484)),"")</f>
        <v>0</v>
      </c>
      <c r="S1484" s="53" t="str">
        <f t="shared" si="644"/>
        <v>n/a</v>
      </c>
      <c r="T1484" s="52" t="str">
        <f t="shared" si="645"/>
        <v/>
      </c>
      <c r="U1484" s="52">
        <f>IFERROR(IF(AR1485=AR1484,INDEX('Aub Demand'!Q:Q,MATCH($O1484,'Aub Demand'!$A:$A,0))-IF(AN1484="",0,AN1484)+AP1485,INDEX('Aub Demand'!Q:Q,MATCH($O1484,'Aub Demand'!$A:$A,0))-IF(AN1484="",0,AN1484)),"")</f>
        <v>0</v>
      </c>
      <c r="V1484" s="53" t="str">
        <f t="shared" si="646"/>
        <v>n/a</v>
      </c>
      <c r="W1484" s="52" t="str">
        <f t="shared" si="647"/>
        <v/>
      </c>
      <c r="X1484" s="52">
        <f>IFERROR(IF(AND(AR1485=AR1484,AM1484&lt;&gt;""),INDEX('Aub Demand'!Q:Q,MATCH($O1484,'Aub Demand'!$A:$A,0))-IF(AN1484="",0,AN1484)+AP1485+AD1484+AL1484,IF(AR1485=AR1484,INDEX('Aub Demand'!Q:Q,MATCH($O1484,'Aub Demand'!$A:$A,0))-IF(AN1484="",0,AN1484)+AP1485+AD1484,IF(AM1484&lt;&gt;"",INDEX('Aub Demand'!Q:Q,MATCH($O1484,'Aub Demand'!$A:$A,0))-IF(AN1484="",0,AN1484)+AD1484+AL1484,INDEX('Aub Demand'!Q:Q,MATCH($O1484,'Aub Demand'!$A:$A,0))-IF(AN1484="",0,AN1484)+AD1484))),"")</f>
        <v>0</v>
      </c>
      <c r="Y1484" s="53" t="str">
        <f t="shared" si="648"/>
        <v>n/a</v>
      </c>
      <c r="Z1484" s="52">
        <f>IF(L1484="","",INDEX('Aub Demand'!H:H,MATCH($O1484,'Aub Demand'!$A:$A,0)))</f>
        <v>0</v>
      </c>
      <c r="AA1484" s="52" t="str">
        <f t="shared" si="649"/>
        <v>-spike-</v>
      </c>
      <c r="AB1484" s="52">
        <f>IFERROR(INDEX('Aub Demand'!L:L,MATCH($O1484,'Aub Demand'!$A:$A,0)),"")</f>
        <v>15</v>
      </c>
      <c r="AC1484" s="52">
        <f>IFERROR(IF(O1484="","",SUMIFS('CPL Mats'!F:F,'CPL Mats'!Q:Q,AR1484,'CPL Mats'!S:S,AS1484)),"")</f>
        <v>0</v>
      </c>
      <c r="AF1484" s="25" t="str">
        <f>IF(SUMIFS('Supp Consol'!S:S,'Supp Consol'!Y:Y,"Releasable",'Supp Consol'!A:A,O1484)=0,"",SUMIFS('Supp Consol'!S:S,'Supp Consol'!Y:Y,"Releasable",'Supp Consol'!A:A,O1484))</f>
        <v/>
      </c>
      <c r="AG1484" s="25" t="str">
        <f>IFERROR(INDEX('Hun Demand'!Q:Q,MATCH(O1484,'Hun Demand'!A:A,0)),"")</f>
        <v/>
      </c>
      <c r="AH1484" s="25" t="str">
        <f>IFERROR(INDEX('Hun Demand'!H:H,MATCH($O1484,'Hun Demand'!$A:$A,0)),"")</f>
        <v/>
      </c>
      <c r="AI1484" s="25" t="str">
        <f>IF(SUMIFS('Supp Consol'!AA:AA,'Supp Consol'!Z:Z,"Expires this month",'Supp Consol'!A:A,O1484)=0,"",SUMIFS('Supp Consol'!AA:AA,'Supp Consol'!Z:Z,"Expires this month",'Supp Consol'!A:A,O1484))</f>
        <v/>
      </c>
      <c r="AJ1484" s="25" t="str">
        <f>IF(SUMIFS('Supp Consol'!AA:AA,'Supp Consol'!Z:Z,"Expired Previous Months",'Supp Consol'!A:A,O1484)=0,"",SUMIFS('Supp Consol'!AA:AA,'Supp Consol'!Z:Z,"Expired Previous Months",'Supp Consol'!A:A,O1484))</f>
        <v/>
      </c>
      <c r="AK1484" s="25" t="str">
        <f>IFERROR(INDEX('Hun Release Current'!B:B,MATCH(O1484,'Hun Release Current'!A:A,0)),"")</f>
        <v/>
      </c>
      <c r="AL1484" s="25" t="str">
        <f>IF(SUMIF('Prev Aub'!A:A,O1484,'Prev Aub'!B:B)=0,"",SUMIF('Prev Aub'!A:A,O1484,'Prev Aub'!B:B))</f>
        <v/>
      </c>
      <c r="AN1484" s="25" t="s">
        <v>3790</v>
      </c>
      <c r="AO1484" s="25" t="s">
        <v>3790</v>
      </c>
      <c r="AP1484" s="25">
        <f t="shared" si="650"/>
        <v>0</v>
      </c>
      <c r="AQ1484" s="151" t="str">
        <f>IF(SUMIFS('Supp Consol'!S:S,'Supp Consol'!A:A,O1484,'Supp Consol'!I:I,"PENDING")=0,"",SUMIFS('Supp Consol'!S:S,'Supp Consol'!A:A,O1484,'Supp Consol'!I:I,"PENDING"))</f>
        <v/>
      </c>
      <c r="AR1484" s="27" t="str">
        <f t="shared" si="651"/>
        <v>WO951</v>
      </c>
      <c r="AS1484" s="27" t="str">
        <f t="shared" si="652"/>
        <v>37</v>
      </c>
      <c r="AT1484" s="27" t="str">
        <f t="shared" si="653"/>
        <v/>
      </c>
      <c r="AU1484" s="27" t="str">
        <f t="shared" si="654"/>
        <v/>
      </c>
      <c r="AV1484" s="27" t="str">
        <f t="shared" si="655"/>
        <v/>
      </c>
      <c r="AW1484" s="27" t="str">
        <f t="shared" si="656"/>
        <v/>
      </c>
      <c r="AX1484" s="27" t="str">
        <f t="shared" si="657"/>
        <v/>
      </c>
      <c r="AY1484" s="27" t="str">
        <f t="shared" si="658"/>
        <v/>
      </c>
      <c r="AZ1484" s="27" t="str">
        <f t="shared" si="659"/>
        <v>Supp</v>
      </c>
      <c r="BA1484" s="27" t="str">
        <f t="shared" si="660"/>
        <v/>
      </c>
      <c r="BB1484" s="27" t="str">
        <f t="shared" si="661"/>
        <v/>
      </c>
      <c r="BC1484" s="27" t="str">
        <f t="shared" si="662"/>
        <v/>
      </c>
      <c r="BD1484" s="27" t="str">
        <f t="shared" si="663"/>
        <v/>
      </c>
      <c r="BE1484" s="27" t="str">
        <f t="shared" si="664"/>
        <v>Exp</v>
      </c>
      <c r="BF1484" s="27" t="str">
        <f t="shared" si="665"/>
        <v/>
      </c>
      <c r="BG1484" s="27" t="str">
        <f t="shared" si="666"/>
        <v>S+NorE</v>
      </c>
      <c r="BH1484" s="27" t="str">
        <f t="shared" si="667"/>
        <v/>
      </c>
      <c r="BI1484" s="27" t="str">
        <f t="shared" si="668"/>
        <v/>
      </c>
      <c r="BJ1484" s="27" t="str">
        <f t="shared" si="669"/>
        <v>Supp or Hun</v>
      </c>
      <c r="BK1484" s="27" t="str">
        <f t="shared" si="670"/>
        <v/>
      </c>
      <c r="BL1484" s="27" t="str">
        <f t="shared" si="671"/>
        <v>SorHandNandE</v>
      </c>
      <c r="BM1484" s="21" t="s">
        <v>5581</v>
      </c>
    </row>
    <row r="1485" spans="1:65" ht="15">
      <c r="A1485" s="25" t="str">
        <f>IFERROR(INDEX('Hun Demand'!W:W,MATCH(O1485,'Hun Demand'!A:A,0)),"")</f>
        <v/>
      </c>
      <c r="B1485" s="25" t="str">
        <f>IFERROR(INDEX('Hun Demand'!V:V,MATCH(O1485,'Hun Demand'!A:A,0)),"")</f>
        <v/>
      </c>
      <c r="C1485" s="25" t="str">
        <f>IFERROR(INDEX('Hun Demand'!U:U,MATCH(O1485,'Hun Demand'!A:A,0)),"")</f>
        <v/>
      </c>
      <c r="D1485" s="25" t="str">
        <f>IFERROR(INDEX('Hun Demand'!T:T,MATCH(O1485,'Hun Demand'!A:A,0)),"")</f>
        <v/>
      </c>
      <c r="E1485" s="25" t="str">
        <f>IFERROR(INDEX('Hun Demand'!S:S,MATCH(O1485,'Hun Demand'!A:A,0)),"")</f>
        <v/>
      </c>
      <c r="F1485" s="25" t="str">
        <f>IFERROR(INDEX('Hun Demand'!R:R,MATCH(O1485,'Hun Demand'!A:A,0)),"")</f>
        <v/>
      </c>
      <c r="G1485" s="25">
        <f>IFERROR(INDEX('Aub Demand'!W:W,MATCH(O1485,'Aub Demand'!A:A,0)),"")</f>
        <v>396</v>
      </c>
      <c r="H1485" s="25">
        <f>IFERROR(INDEX('Aub Demand'!V:V,MATCH(O1485,'Aub Demand'!A:A,0)),"")</f>
        <v>247</v>
      </c>
      <c r="I1485" s="25">
        <f>IFERROR(INDEX('Aub Demand'!U:U,MATCH(O1485,'Aub Demand'!A:A,0)),"")</f>
        <v>57</v>
      </c>
      <c r="J1485" s="25">
        <f>IFERROR(INDEX('Aub Demand'!T:T,MATCH(O1485,'Aub Demand'!A:A,0)),"")</f>
        <v>160</v>
      </c>
      <c r="K1485" s="25">
        <f>IFERROR(INDEX('Aub Demand'!S:S,MATCH(O1485,'Aub Demand'!A:A,0)),"")</f>
        <v>417</v>
      </c>
      <c r="L1485" s="25">
        <f>IFERROR(INDEX('Aub Demand'!R:R,MATCH(O1485,'Aub Demand'!A:A,0)),"")</f>
        <v>0</v>
      </c>
      <c r="O1485" s="27" t="s">
        <v>1799</v>
      </c>
      <c r="P1485" s="27" t="str">
        <f>IFERROR(INDEX('Aub Demand'!B:B,MATCH($O1485,'Aub Demand'!$A:$A,0)),"")</f>
        <v>FINE OAK</v>
      </c>
      <c r="Q1485" s="27" t="str">
        <f>IFERROR(INDEX('Aub Demand'!C:C,MATCH($O1485,'Aub Demand'!$A:$A,0)),"")</f>
        <v>INTER</v>
      </c>
      <c r="R1485" s="52">
        <f>IFERROR(IF(AR1486=AR1485,INDEX('Aub Demand'!K:K,MATCH($O1485,'Aub Demand'!$A:$A,0))-IF(AN1485="",0,AN1485)+AP1486,INDEX('Aub Demand'!K:K,MATCH($O1485,'Aub Demand'!$A:$A,0))-IF(AN1485="",0,AN1485)),"")</f>
        <v>765</v>
      </c>
      <c r="S1485" s="53">
        <f t="shared" si="644"/>
        <v>15.5</v>
      </c>
      <c r="T1485" s="52" t="str">
        <f t="shared" si="645"/>
        <v/>
      </c>
      <c r="U1485" s="52">
        <f>IFERROR(IF(AR1486=AR1485,INDEX('Aub Demand'!Q:Q,MATCH($O1485,'Aub Demand'!$A:$A,0))-IF(AN1485="",0,AN1485)+AP1486,INDEX('Aub Demand'!Q:Q,MATCH($O1485,'Aub Demand'!$A:$A,0))-IF(AN1485="",0,AN1485)),"")</f>
        <v>589</v>
      </c>
      <c r="V1485" s="53">
        <f t="shared" si="646"/>
        <v>12</v>
      </c>
      <c r="W1485" s="52" t="str">
        <f t="shared" si="647"/>
        <v/>
      </c>
      <c r="X1485" s="52">
        <f>IFERROR(IF(AND(AR1486=AR1485,AM1485&lt;&gt;""),INDEX('Aub Demand'!Q:Q,MATCH($O1485,'Aub Demand'!$A:$A,0))-IF(AN1485="",0,AN1485)+AP1486+AD1485+AL1485,IF(AR1486=AR1485,INDEX('Aub Demand'!Q:Q,MATCH($O1485,'Aub Demand'!$A:$A,0))-IF(AN1485="",0,AN1485)+AP1486+AD1485,IF(AM1485&lt;&gt;"",INDEX('Aub Demand'!Q:Q,MATCH($O1485,'Aub Demand'!$A:$A,0))-IF(AN1485="",0,AN1485)+AD1485+AL1485,INDEX('Aub Demand'!Q:Q,MATCH($O1485,'Aub Demand'!$A:$A,0))-IF(AN1485="",0,AN1485)+AD1485))),"")</f>
        <v>589</v>
      </c>
      <c r="Y1485" s="53">
        <f t="shared" si="648"/>
        <v>12</v>
      </c>
      <c r="Z1485" s="52">
        <f>IF(L1485="","",INDEX('Aub Demand'!H:H,MATCH($O1485,'Aub Demand'!$A:$A,0)))</f>
        <v>211</v>
      </c>
      <c r="AA1485" s="52">
        <f t="shared" si="649"/>
        <v>288.5</v>
      </c>
      <c r="AB1485" s="52">
        <f>IFERROR(INDEX('Aub Demand'!L:L,MATCH($O1485,'Aub Demand'!$A:$A,0)),"")</f>
        <v>441</v>
      </c>
      <c r="AC1485" s="52">
        <f>IFERROR(IF(O1485="","",SUMIFS('CPL Mats'!F:F,'CPL Mats'!Q:Q,AR1485,'CPL Mats'!S:S,AS1485)),"")</f>
        <v>5400</v>
      </c>
      <c r="AF1485" s="25" t="str">
        <f>IF(SUMIFS('Supp Consol'!S:S,'Supp Consol'!Y:Y,"Releasable",'Supp Consol'!A:A,O1485)=0,"",SUMIFS('Supp Consol'!S:S,'Supp Consol'!Y:Y,"Releasable",'Supp Consol'!A:A,O1485))</f>
        <v/>
      </c>
      <c r="AG1485" s="25" t="str">
        <f>IFERROR(INDEX('Hun Demand'!Q:Q,MATCH(O1485,'Hun Demand'!A:A,0)),"")</f>
        <v/>
      </c>
      <c r="AH1485" s="25" t="str">
        <f>IFERROR(INDEX('Hun Demand'!H:H,MATCH($O1485,'Hun Demand'!$A:$A,0)),"")</f>
        <v/>
      </c>
      <c r="AI1485" s="25" t="str">
        <f>IF(SUMIFS('Supp Consol'!AA:AA,'Supp Consol'!Z:Z,"Expires this month",'Supp Consol'!A:A,O1485)=0,"",SUMIFS('Supp Consol'!AA:AA,'Supp Consol'!Z:Z,"Expires this month",'Supp Consol'!A:A,O1485))</f>
        <v/>
      </c>
      <c r="AJ1485" s="25" t="str">
        <f>IF(SUMIFS('Supp Consol'!AA:AA,'Supp Consol'!Z:Z,"Expired Previous Months",'Supp Consol'!A:A,O1485)=0,"",SUMIFS('Supp Consol'!AA:AA,'Supp Consol'!Z:Z,"Expired Previous Months",'Supp Consol'!A:A,O1485))</f>
        <v/>
      </c>
      <c r="AK1485" s="25" t="str">
        <f>IFERROR(INDEX('Hun Release Current'!B:B,MATCH(O1485,'Hun Release Current'!A:A,0)),"")</f>
        <v/>
      </c>
      <c r="AL1485" s="25" t="str">
        <f>IF(SUMIF('Prev Aub'!A:A,O1485,'Prev Aub'!B:B)=0,"",SUMIF('Prev Aub'!A:A,O1485,'Prev Aub'!B:B))</f>
        <v/>
      </c>
      <c r="AN1485" s="25" t="s">
        <v>3790</v>
      </c>
      <c r="AO1485" s="25" t="s">
        <v>3790</v>
      </c>
      <c r="AP1485" s="25">
        <f t="shared" si="650"/>
        <v>0</v>
      </c>
      <c r="AQ1485" s="151" t="str">
        <f>IF(SUMIFS('Supp Consol'!S:S,'Supp Consol'!A:A,O1485,'Supp Consol'!I:I,"PENDING")=0,"",SUMIFS('Supp Consol'!S:S,'Supp Consol'!A:A,O1485,'Supp Consol'!I:I,"PENDING"))</f>
        <v/>
      </c>
      <c r="AR1485" s="27" t="str">
        <f t="shared" si="651"/>
        <v>WO951</v>
      </c>
      <c r="AS1485" s="27" t="str">
        <f t="shared" si="652"/>
        <v>50</v>
      </c>
      <c r="AT1485" s="27" t="str">
        <f t="shared" si="653"/>
        <v/>
      </c>
      <c r="AU1485" s="27" t="str">
        <f t="shared" si="654"/>
        <v/>
      </c>
      <c r="AV1485" s="27" t="str">
        <f t="shared" si="655"/>
        <v/>
      </c>
      <c r="AW1485" s="27" t="str">
        <f t="shared" si="656"/>
        <v/>
      </c>
      <c r="AX1485" s="27" t="str">
        <f t="shared" si="657"/>
        <v/>
      </c>
      <c r="AY1485" s="27" t="str">
        <f t="shared" si="658"/>
        <v/>
      </c>
      <c r="AZ1485" s="27" t="str">
        <f t="shared" si="659"/>
        <v>Supp</v>
      </c>
      <c r="BA1485" s="27" t="str">
        <f t="shared" si="660"/>
        <v/>
      </c>
      <c r="BB1485" s="27" t="str">
        <f t="shared" si="661"/>
        <v/>
      </c>
      <c r="BC1485" s="27" t="str">
        <f t="shared" si="662"/>
        <v/>
      </c>
      <c r="BD1485" s="27" t="str">
        <f t="shared" si="663"/>
        <v/>
      </c>
      <c r="BE1485" s="27" t="str">
        <f t="shared" si="664"/>
        <v>Exp</v>
      </c>
      <c r="BF1485" s="27" t="str">
        <f t="shared" si="665"/>
        <v/>
      </c>
      <c r="BG1485" s="27" t="str">
        <f t="shared" si="666"/>
        <v>S+NorE</v>
      </c>
      <c r="BH1485" s="27" t="str">
        <f t="shared" si="667"/>
        <v/>
      </c>
      <c r="BI1485" s="27" t="str">
        <f t="shared" si="668"/>
        <v/>
      </c>
      <c r="BJ1485" s="27" t="str">
        <f t="shared" si="669"/>
        <v>Supp or Hun</v>
      </c>
      <c r="BK1485" s="27" t="str">
        <f t="shared" si="670"/>
        <v/>
      </c>
      <c r="BL1485" s="27" t="str">
        <f t="shared" si="671"/>
        <v>SorHandNandE</v>
      </c>
      <c r="BM1485" s="21" t="s">
        <v>5581</v>
      </c>
    </row>
    <row r="1486" spans="1:65" ht="15">
      <c r="A1486" s="25" t="str">
        <f>IFERROR(INDEX('Hun Demand'!W:W,MATCH(O1486,'Hun Demand'!A:A,0)),"")</f>
        <v/>
      </c>
      <c r="B1486" s="25" t="str">
        <f>IFERROR(INDEX('Hun Demand'!V:V,MATCH(O1486,'Hun Demand'!A:A,0)),"")</f>
        <v/>
      </c>
      <c r="C1486" s="25" t="str">
        <f>IFERROR(INDEX('Hun Demand'!U:U,MATCH(O1486,'Hun Demand'!A:A,0)),"")</f>
        <v/>
      </c>
      <c r="D1486" s="25" t="str">
        <f>IFERROR(INDEX('Hun Demand'!T:T,MATCH(O1486,'Hun Demand'!A:A,0)),"")</f>
        <v/>
      </c>
      <c r="E1486" s="25" t="str">
        <f>IFERROR(INDEX('Hun Demand'!S:S,MATCH(O1486,'Hun Demand'!A:A,0)),"")</f>
        <v/>
      </c>
      <c r="F1486" s="25" t="str">
        <f>IFERROR(INDEX('Hun Demand'!R:R,MATCH(O1486,'Hun Demand'!A:A,0)),"")</f>
        <v/>
      </c>
      <c r="G1486" s="25">
        <f>IFERROR(INDEX('Aub Demand'!W:W,MATCH(O1486,'Aub Demand'!A:A,0)),"")</f>
        <v>268</v>
      </c>
      <c r="H1486" s="25">
        <f>IFERROR(INDEX('Aub Demand'!V:V,MATCH(O1486,'Aub Demand'!A:A,0)),"")</f>
        <v>77</v>
      </c>
      <c r="I1486" s="25">
        <f>IFERROR(INDEX('Aub Demand'!U:U,MATCH(O1486,'Aub Demand'!A:A,0)),"")</f>
        <v>122</v>
      </c>
      <c r="J1486" s="25">
        <f>IFERROR(INDEX('Aub Demand'!T:T,MATCH(O1486,'Aub Demand'!A:A,0)),"")</f>
        <v>166</v>
      </c>
      <c r="K1486" s="25">
        <f>IFERROR(INDEX('Aub Demand'!S:S,MATCH(O1486,'Aub Demand'!A:A,0)),"")</f>
        <v>32</v>
      </c>
      <c r="L1486" s="25">
        <f>IFERROR(INDEX('Aub Demand'!R:R,MATCH(O1486,'Aub Demand'!A:A,0)),"")</f>
        <v>0</v>
      </c>
      <c r="O1486" s="27" t="s">
        <v>1801</v>
      </c>
      <c r="P1486" s="27" t="str">
        <f>IFERROR(INDEX('Aub Demand'!B:B,MATCH($O1486,'Aub Demand'!$A:$A,0)),"")</f>
        <v>FINE OAK</v>
      </c>
      <c r="Q1486" s="27" t="str">
        <f>IFERROR(INDEX('Aub Demand'!C:C,MATCH($O1486,'Aub Demand'!$A:$A,0)),"")</f>
        <v>INTER</v>
      </c>
      <c r="R1486" s="52">
        <f>IFERROR(IF(AR1487=AR1486,INDEX('Aub Demand'!K:K,MATCH($O1486,'Aub Demand'!$A:$A,0))-IF(AN1486="",0,AN1486)+AP1487,INDEX('Aub Demand'!K:K,MATCH($O1486,'Aub Demand'!$A:$A,0))-IF(AN1486="",0,AN1486)),"")</f>
        <v>663</v>
      </c>
      <c r="S1486" s="53">
        <f t="shared" si="644"/>
        <v>26.6</v>
      </c>
      <c r="T1486" s="52" t="str">
        <f t="shared" si="645"/>
        <v/>
      </c>
      <c r="U1486" s="52">
        <f>IFERROR(IF(AR1487=AR1486,INDEX('Aub Demand'!Q:Q,MATCH($O1486,'Aub Demand'!$A:$A,0))-IF(AN1486="",0,AN1486)+AP1487,INDEX('Aub Demand'!Q:Q,MATCH($O1486,'Aub Demand'!$A:$A,0))-IF(AN1486="",0,AN1486)),"")</f>
        <v>567</v>
      </c>
      <c r="V1486" s="53">
        <f t="shared" si="646"/>
        <v>22.7</v>
      </c>
      <c r="W1486" s="52" t="str">
        <f t="shared" si="647"/>
        <v/>
      </c>
      <c r="X1486" s="52">
        <f>IFERROR(IF(AND(AR1487=AR1486,AM1486&lt;&gt;""),INDEX('Aub Demand'!Q:Q,MATCH($O1486,'Aub Demand'!$A:$A,0))-IF(AN1486="",0,AN1486)+AP1487+AD1486+AL1486,IF(AR1487=AR1486,INDEX('Aub Demand'!Q:Q,MATCH($O1486,'Aub Demand'!$A:$A,0))-IF(AN1486="",0,AN1486)+AP1487+AD1486,IF(AM1486&lt;&gt;"",INDEX('Aub Demand'!Q:Q,MATCH($O1486,'Aub Demand'!$A:$A,0))-IF(AN1486="",0,AN1486)+AD1486+AL1486,INDEX('Aub Demand'!Q:Q,MATCH($O1486,'Aub Demand'!$A:$A,0))-IF(AN1486="",0,AN1486)+AD1486))),"")</f>
        <v>567</v>
      </c>
      <c r="Y1486" s="53">
        <f t="shared" si="648"/>
        <v>22.7</v>
      </c>
      <c r="Z1486" s="52">
        <f>IF(L1486="","",INDEX('Aub Demand'!H:H,MATCH($O1486,'Aub Demand'!$A:$A,0)))</f>
        <v>107</v>
      </c>
      <c r="AA1486" s="52">
        <f t="shared" si="649"/>
        <v>144</v>
      </c>
      <c r="AB1486" s="52">
        <f>IFERROR(INDEX('Aub Demand'!L:L,MATCH($O1486,'Aub Demand'!$A:$A,0)),"")</f>
        <v>66</v>
      </c>
      <c r="AC1486" s="52">
        <f>IFERROR(IF(O1486="","",SUMIFS('CPL Mats'!F:F,'CPL Mats'!Q:Q,AR1486,'CPL Mats'!S:S,AS1486)),"")</f>
        <v>0</v>
      </c>
      <c r="AF1486" s="25">
        <f>IF(SUMIFS('Supp Consol'!S:S,'Supp Consol'!Y:Y,"Releasable",'Supp Consol'!A:A,O1486)=0,"",SUMIFS('Supp Consol'!S:S,'Supp Consol'!Y:Y,"Releasable",'Supp Consol'!A:A,O1486))</f>
        <v>168</v>
      </c>
      <c r="AG1486" s="25" t="str">
        <f>IFERROR(INDEX('Hun Demand'!Q:Q,MATCH(O1486,'Hun Demand'!A:A,0)),"")</f>
        <v/>
      </c>
      <c r="AH1486" s="25" t="str">
        <f>IFERROR(INDEX('Hun Demand'!H:H,MATCH($O1486,'Hun Demand'!$A:$A,0)),"")</f>
        <v/>
      </c>
      <c r="AI1486" s="25">
        <f>IF(SUMIFS('Supp Consol'!AA:AA,'Supp Consol'!Z:Z,"Expires this month",'Supp Consol'!A:A,O1486)=0,"",SUMIFS('Supp Consol'!AA:AA,'Supp Consol'!Z:Z,"Expires this month",'Supp Consol'!A:A,O1486))</f>
        <v>168</v>
      </c>
      <c r="AJ1486" s="25" t="str">
        <f>IF(SUMIFS('Supp Consol'!AA:AA,'Supp Consol'!Z:Z,"Expired Previous Months",'Supp Consol'!A:A,O1486)=0,"",SUMIFS('Supp Consol'!AA:AA,'Supp Consol'!Z:Z,"Expired Previous Months",'Supp Consol'!A:A,O1486))</f>
        <v/>
      </c>
      <c r="AK1486" s="25" t="str">
        <f>IFERROR(INDEX('Hun Release Current'!B:B,MATCH(O1486,'Hun Release Current'!A:A,0)),"")</f>
        <v/>
      </c>
      <c r="AL1486" s="25" t="str">
        <f>IF(SUMIF('Prev Aub'!A:A,O1486,'Prev Aub'!B:B)=0,"",SUMIF('Prev Aub'!A:A,O1486,'Prev Aub'!B:B))</f>
        <v/>
      </c>
      <c r="AN1486" s="25" t="s">
        <v>3790</v>
      </c>
      <c r="AO1486" s="25" t="s">
        <v>3790</v>
      </c>
      <c r="AP1486" s="25">
        <f t="shared" si="650"/>
        <v>0</v>
      </c>
      <c r="AQ1486" s="151">
        <f>IF(SUMIFS('Supp Consol'!S:S,'Supp Consol'!A:A,O1486,'Supp Consol'!I:I,"PENDING")=0,"",SUMIFS('Supp Consol'!S:S,'Supp Consol'!A:A,O1486,'Supp Consol'!I:I,"PENDING"))</f>
        <v>3111</v>
      </c>
      <c r="AR1486" s="27" t="str">
        <f t="shared" si="651"/>
        <v>WO951</v>
      </c>
      <c r="AS1486" s="27" t="str">
        <f t="shared" si="652"/>
        <v>62</v>
      </c>
      <c r="AT1486" s="27" t="str">
        <f t="shared" si="653"/>
        <v/>
      </c>
      <c r="AU1486" s="27" t="str">
        <f t="shared" si="654"/>
        <v/>
      </c>
      <c r="AV1486" s="27" t="str">
        <f t="shared" si="655"/>
        <v/>
      </c>
      <c r="AW1486" s="27" t="str">
        <f t="shared" si="656"/>
        <v>WO951</v>
      </c>
      <c r="AX1486" s="27" t="str">
        <f t="shared" si="657"/>
        <v>WO951</v>
      </c>
      <c r="AY1486" s="27" t="str">
        <f t="shared" si="658"/>
        <v/>
      </c>
      <c r="AZ1486" s="27" t="str">
        <f t="shared" si="659"/>
        <v>Supp</v>
      </c>
      <c r="BA1486" s="27" t="str">
        <f t="shared" si="660"/>
        <v/>
      </c>
      <c r="BB1486" s="27" t="str">
        <f t="shared" si="661"/>
        <v/>
      </c>
      <c r="BC1486" s="27" t="str">
        <f t="shared" si="662"/>
        <v/>
      </c>
      <c r="BD1486" s="27" t="str">
        <f t="shared" si="663"/>
        <v/>
      </c>
      <c r="BE1486" s="27" t="str">
        <f t="shared" si="664"/>
        <v>Exp</v>
      </c>
      <c r="BF1486" s="27" t="str">
        <f t="shared" si="665"/>
        <v/>
      </c>
      <c r="BG1486" s="27" t="str">
        <f t="shared" si="666"/>
        <v>S+NorE</v>
      </c>
      <c r="BH1486" s="27" t="str">
        <f t="shared" si="667"/>
        <v/>
      </c>
      <c r="BI1486" s="27" t="str">
        <f t="shared" si="668"/>
        <v/>
      </c>
      <c r="BJ1486" s="27" t="str">
        <f t="shared" si="669"/>
        <v>Supp or Hun</v>
      </c>
      <c r="BK1486" s="27" t="str">
        <f t="shared" si="670"/>
        <v/>
      </c>
      <c r="BL1486" s="27" t="str">
        <f t="shared" si="671"/>
        <v>SorHandNandE</v>
      </c>
      <c r="BM1486" s="21" t="s">
        <v>5581</v>
      </c>
    </row>
    <row r="1487" spans="1:65" ht="15">
      <c r="A1487" s="25" t="str">
        <f>IFERROR(INDEX('Hun Demand'!W:W,MATCH(O1487,'Hun Demand'!A:A,0)),"")</f>
        <v/>
      </c>
      <c r="B1487" s="25" t="str">
        <f>IFERROR(INDEX('Hun Demand'!V:V,MATCH(O1487,'Hun Demand'!A:A,0)),"")</f>
        <v/>
      </c>
      <c r="C1487" s="25" t="str">
        <f>IFERROR(INDEX('Hun Demand'!U:U,MATCH(O1487,'Hun Demand'!A:A,0)),"")</f>
        <v/>
      </c>
      <c r="D1487" s="25" t="str">
        <f>IFERROR(INDEX('Hun Demand'!T:T,MATCH(O1487,'Hun Demand'!A:A,0)),"")</f>
        <v/>
      </c>
      <c r="E1487" s="25" t="str">
        <f>IFERROR(INDEX('Hun Demand'!S:S,MATCH(O1487,'Hun Demand'!A:A,0)),"")</f>
        <v/>
      </c>
      <c r="F1487" s="25" t="str">
        <f>IFERROR(INDEX('Hun Demand'!R:R,MATCH(O1487,'Hun Demand'!A:A,0)),"")</f>
        <v/>
      </c>
      <c r="G1487" s="25">
        <f>IFERROR(INDEX('Aub Demand'!W:W,MATCH(O1487,'Aub Demand'!A:A,0)),"")</f>
        <v>0</v>
      </c>
      <c r="H1487" s="25">
        <f>IFERROR(INDEX('Aub Demand'!V:V,MATCH(O1487,'Aub Demand'!A:A,0)),"")</f>
        <v>0</v>
      </c>
      <c r="I1487" s="25">
        <f>IFERROR(INDEX('Aub Demand'!U:U,MATCH(O1487,'Aub Demand'!A:A,0)),"")</f>
        <v>0</v>
      </c>
      <c r="J1487" s="25">
        <f>IFERROR(INDEX('Aub Demand'!T:T,MATCH(O1487,'Aub Demand'!A:A,0)),"")</f>
        <v>0</v>
      </c>
      <c r="K1487" s="25">
        <f>IFERROR(INDEX('Aub Demand'!S:S,MATCH(O1487,'Aub Demand'!A:A,0)),"")</f>
        <v>57</v>
      </c>
      <c r="L1487" s="25">
        <f>IFERROR(INDEX('Aub Demand'!R:R,MATCH(O1487,'Aub Demand'!A:A,0)),"")</f>
        <v>0</v>
      </c>
      <c r="O1487" s="27" t="s">
        <v>3435</v>
      </c>
      <c r="P1487" s="27" t="str">
        <f>IFERROR(INDEX('Aub Demand'!B:B,MATCH($O1487,'Aub Demand'!$A:$A,0)),"")</f>
        <v>SOUTHERN PINE</v>
      </c>
      <c r="Q1487" s="27" t="str">
        <f>IFERROR(INDEX('Aub Demand'!C:C,MATCH($O1487,'Aub Demand'!$A:$A,0)),"")</f>
        <v>TOPPA</v>
      </c>
      <c r="R1487" s="52">
        <f>IFERROR(IF(AR1488=AR1487,INDEX('Aub Demand'!K:K,MATCH($O1487,'Aub Demand'!$A:$A,0))-IF(AN1487="",0,AN1487)+AP1488,INDEX('Aub Demand'!K:K,MATCH($O1487,'Aub Demand'!$A:$A,0))-IF(AN1487="",0,AN1487)),"")</f>
        <v>575</v>
      </c>
      <c r="S1487" s="53">
        <f t="shared" si="644"/>
        <v>129.69999999999999</v>
      </c>
      <c r="T1487" s="52" t="str">
        <f t="shared" si="645"/>
        <v/>
      </c>
      <c r="U1487" s="52">
        <f>IFERROR(IF(AR1488=AR1487,INDEX('Aub Demand'!Q:Q,MATCH($O1487,'Aub Demand'!$A:$A,0))-IF(AN1487="",0,AN1487)+AP1488,INDEX('Aub Demand'!Q:Q,MATCH($O1487,'Aub Demand'!$A:$A,0))-IF(AN1487="",0,AN1487)),"")</f>
        <v>574</v>
      </c>
      <c r="V1487" s="53">
        <f t="shared" si="646"/>
        <v>129.5</v>
      </c>
      <c r="W1487" s="52" t="str">
        <f t="shared" si="647"/>
        <v/>
      </c>
      <c r="X1487" s="52">
        <f>IFERROR(IF(AND(AR1488=AR1487,AM1487&lt;&gt;""),INDEX('Aub Demand'!Q:Q,MATCH($O1487,'Aub Demand'!$A:$A,0))-IF(AN1487="",0,AN1487)+AP1488+AD1487+AL1487,IF(AR1488=AR1487,INDEX('Aub Demand'!Q:Q,MATCH($O1487,'Aub Demand'!$A:$A,0))-IF(AN1487="",0,AN1487)+AP1488+AD1487,IF(AM1487&lt;&gt;"",INDEX('Aub Demand'!Q:Q,MATCH($O1487,'Aub Demand'!$A:$A,0))-IF(AN1487="",0,AN1487)+AD1487+AL1487,INDEX('Aub Demand'!Q:Q,MATCH($O1487,'Aub Demand'!$A:$A,0))-IF(AN1487="",0,AN1487)+AD1487))),"")</f>
        <v>574</v>
      </c>
      <c r="Y1487" s="53">
        <f t="shared" si="648"/>
        <v>129.5</v>
      </c>
      <c r="Z1487" s="52">
        <f>IF(L1487="","",INDEX('Aub Demand'!H:H,MATCH($O1487,'Aub Demand'!$A:$A,0)))</f>
        <v>19</v>
      </c>
      <c r="AA1487" s="52" t="str">
        <f t="shared" si="649"/>
        <v>-spike-</v>
      </c>
      <c r="AB1487" s="52">
        <f>IFERROR(INDEX('Aub Demand'!L:L,MATCH($O1487,'Aub Demand'!$A:$A,0)),"")</f>
        <v>6</v>
      </c>
      <c r="AC1487" s="52">
        <f>IFERROR(IF(O1487="","",SUMIFS('CPL Mats'!F:F,'CPL Mats'!Q:Q,AR1487,'CPL Mats'!S:S,AS1487)),"")</f>
        <v>0</v>
      </c>
      <c r="AF1487" s="25" t="str">
        <f>IF(SUMIFS('Supp Consol'!S:S,'Supp Consol'!Y:Y,"Releasable",'Supp Consol'!A:A,O1487)=0,"",SUMIFS('Supp Consol'!S:S,'Supp Consol'!Y:Y,"Releasable",'Supp Consol'!A:A,O1487))</f>
        <v/>
      </c>
      <c r="AG1487" s="25" t="str">
        <f>IFERROR(INDEX('Hun Demand'!Q:Q,MATCH(O1487,'Hun Demand'!A:A,0)),"")</f>
        <v/>
      </c>
      <c r="AH1487" s="25" t="str">
        <f>IFERROR(INDEX('Hun Demand'!H:H,MATCH($O1487,'Hun Demand'!$A:$A,0)),"")</f>
        <v/>
      </c>
      <c r="AI1487" s="25" t="str">
        <f>IF(SUMIFS('Supp Consol'!AA:AA,'Supp Consol'!Z:Z,"Expires this month",'Supp Consol'!A:A,O1487)=0,"",SUMIFS('Supp Consol'!AA:AA,'Supp Consol'!Z:Z,"Expires this month",'Supp Consol'!A:A,O1487))</f>
        <v/>
      </c>
      <c r="AJ1487" s="25" t="str">
        <f>IF(SUMIFS('Supp Consol'!AA:AA,'Supp Consol'!Z:Z,"Expired Previous Months",'Supp Consol'!A:A,O1487)=0,"",SUMIFS('Supp Consol'!AA:AA,'Supp Consol'!Z:Z,"Expired Previous Months",'Supp Consol'!A:A,O1487))</f>
        <v/>
      </c>
      <c r="AK1487" s="25" t="str">
        <f>IFERROR(INDEX('Hun Release Current'!B:B,MATCH(O1487,'Hun Release Current'!A:A,0)),"")</f>
        <v/>
      </c>
      <c r="AL1487" s="25" t="str">
        <f>IF(SUMIF('Prev Aub'!A:A,O1487,'Prev Aub'!B:B)=0,"",SUMIF('Prev Aub'!A:A,O1487,'Prev Aub'!B:B))</f>
        <v/>
      </c>
      <c r="AN1487" s="25" t="s">
        <v>3790</v>
      </c>
      <c r="AO1487" s="25" t="s">
        <v>3790</v>
      </c>
      <c r="AP1487" s="25">
        <f t="shared" si="650"/>
        <v>0</v>
      </c>
      <c r="AQ1487" s="151" t="str">
        <f>IF(SUMIFS('Supp Consol'!S:S,'Supp Consol'!A:A,O1487,'Supp Consol'!I:I,"PENDING")=0,"",SUMIFS('Supp Consol'!S:S,'Supp Consol'!A:A,O1487,'Supp Consol'!I:I,"PENDING"))</f>
        <v/>
      </c>
      <c r="AR1487" s="27" t="str">
        <f t="shared" si="651"/>
        <v>WP013</v>
      </c>
      <c r="AS1487" s="27" t="str">
        <f t="shared" si="652"/>
        <v>62</v>
      </c>
      <c r="AT1487" s="27" t="str">
        <f t="shared" si="653"/>
        <v/>
      </c>
      <c r="AU1487" s="27" t="str">
        <f t="shared" si="654"/>
        <v/>
      </c>
      <c r="AV1487" s="27" t="str">
        <f t="shared" si="655"/>
        <v/>
      </c>
      <c r="AW1487" s="27" t="str">
        <f t="shared" si="656"/>
        <v/>
      </c>
      <c r="AX1487" s="27" t="str">
        <f t="shared" si="657"/>
        <v/>
      </c>
      <c r="AY1487" s="27" t="str">
        <f t="shared" si="658"/>
        <v/>
      </c>
      <c r="AZ1487" s="27" t="str">
        <f t="shared" si="659"/>
        <v/>
      </c>
      <c r="BA1487" s="27" t="str">
        <f t="shared" si="660"/>
        <v/>
      </c>
      <c r="BB1487" s="27" t="str">
        <f t="shared" si="661"/>
        <v/>
      </c>
      <c r="BC1487" s="27" t="str">
        <f t="shared" si="662"/>
        <v/>
      </c>
      <c r="BD1487" s="27" t="str">
        <f t="shared" si="663"/>
        <v/>
      </c>
      <c r="BE1487" s="27" t="str">
        <f t="shared" si="664"/>
        <v/>
      </c>
      <c r="BF1487" s="27" t="str">
        <f t="shared" si="665"/>
        <v/>
      </c>
      <c r="BG1487" s="27" t="str">
        <f t="shared" si="666"/>
        <v/>
      </c>
      <c r="BH1487" s="27" t="str">
        <f t="shared" si="667"/>
        <v/>
      </c>
      <c r="BI1487" s="27" t="str">
        <f t="shared" si="668"/>
        <v/>
      </c>
      <c r="BJ1487" s="27" t="str">
        <f t="shared" si="669"/>
        <v/>
      </c>
      <c r="BK1487" s="27" t="str">
        <f t="shared" si="670"/>
        <v/>
      </c>
      <c r="BL1487" s="27" t="str">
        <f t="shared" si="671"/>
        <v/>
      </c>
      <c r="BM1487" s="21" t="s">
        <v>5581</v>
      </c>
    </row>
    <row r="1488" spans="1:65" ht="15">
      <c r="A1488" s="25">
        <f>IFERROR(INDEX('Hun Demand'!W:W,MATCH(O1488,'Hun Demand'!A:A,0)),"")</f>
        <v>0</v>
      </c>
      <c r="B1488" s="25">
        <f>IFERROR(INDEX('Hun Demand'!V:V,MATCH(O1488,'Hun Demand'!A:A,0)),"")</f>
        <v>0</v>
      </c>
      <c r="C1488" s="25">
        <f>IFERROR(INDEX('Hun Demand'!U:U,MATCH(O1488,'Hun Demand'!A:A,0)),"")</f>
        <v>0</v>
      </c>
      <c r="D1488" s="25">
        <f>IFERROR(INDEX('Hun Demand'!T:T,MATCH(O1488,'Hun Demand'!A:A,0)),"")</f>
        <v>0</v>
      </c>
      <c r="E1488" s="25">
        <f>IFERROR(INDEX('Hun Demand'!S:S,MATCH(O1488,'Hun Demand'!A:A,0)),"")</f>
        <v>0</v>
      </c>
      <c r="F1488" s="25">
        <f>IFERROR(INDEX('Hun Demand'!R:R,MATCH(O1488,'Hun Demand'!A:A,0)),"")</f>
        <v>0</v>
      </c>
      <c r="G1488" s="25">
        <f>IFERROR(INDEX('Aub Demand'!W:W,MATCH(O1488,'Aub Demand'!A:A,0)),"")</f>
        <v>0</v>
      </c>
      <c r="H1488" s="25">
        <f>IFERROR(INDEX('Aub Demand'!V:V,MATCH(O1488,'Aub Demand'!A:A,0)),"")</f>
        <v>0</v>
      </c>
      <c r="I1488" s="25">
        <f>IFERROR(INDEX('Aub Demand'!U:U,MATCH(O1488,'Aub Demand'!A:A,0)),"")</f>
        <v>0</v>
      </c>
      <c r="J1488" s="25">
        <f>IFERROR(INDEX('Aub Demand'!T:T,MATCH(O1488,'Aub Demand'!A:A,0)),"")</f>
        <v>0</v>
      </c>
      <c r="K1488" s="25">
        <f>IFERROR(INDEX('Aub Demand'!S:S,MATCH(O1488,'Aub Demand'!A:A,0)),"")</f>
        <v>0</v>
      </c>
      <c r="L1488" s="25">
        <f>IFERROR(INDEX('Aub Demand'!R:R,MATCH(O1488,'Aub Demand'!A:A,0)),"")</f>
        <v>0</v>
      </c>
      <c r="O1488" s="27" t="s">
        <v>1802</v>
      </c>
      <c r="P1488" s="27" t="str">
        <f>IFERROR(INDEX('Aub Demand'!B:B,MATCH($O1488,'Aub Demand'!$A:$A,0)),"")</f>
        <v>KNOTTY PINE</v>
      </c>
      <c r="Q1488" s="27" t="str">
        <f>IFERROR(INDEX('Aub Demand'!C:C,MATCH($O1488,'Aub Demand'!$A:$A,0)),"")</f>
        <v>INTER</v>
      </c>
      <c r="R1488" s="52">
        <f>IFERROR(IF(AR1489=AR1488,INDEX('Aub Demand'!K:K,MATCH($O1488,'Aub Demand'!$A:$A,0))-IF(AN1488="",0,AN1488)+AP1489,INDEX('Aub Demand'!K:K,MATCH($O1488,'Aub Demand'!$A:$A,0))-IF(AN1488="",0,AN1488)),"")</f>
        <v>1036</v>
      </c>
      <c r="S1488" s="53" t="str">
        <f t="shared" si="644"/>
        <v>n/a</v>
      </c>
      <c r="T1488" s="52" t="str">
        <f t="shared" si="645"/>
        <v/>
      </c>
      <c r="U1488" s="52">
        <f>IFERROR(IF(AR1489=AR1488,INDEX('Aub Demand'!Q:Q,MATCH($O1488,'Aub Demand'!$A:$A,0))-IF(AN1488="",0,AN1488)+AP1489,INDEX('Aub Demand'!Q:Q,MATCH($O1488,'Aub Demand'!$A:$A,0))-IF(AN1488="",0,AN1488)),"")</f>
        <v>1036</v>
      </c>
      <c r="V1488" s="53" t="str">
        <f t="shared" si="646"/>
        <v>n/a</v>
      </c>
      <c r="W1488" s="52" t="str">
        <f t="shared" si="647"/>
        <v/>
      </c>
      <c r="X1488" s="52">
        <f>IFERROR(IF(AND(AR1489=AR1488,AM1488&lt;&gt;""),INDEX('Aub Demand'!Q:Q,MATCH($O1488,'Aub Demand'!$A:$A,0))-IF(AN1488="",0,AN1488)+AP1489+AD1488+AL1488,IF(AR1489=AR1488,INDEX('Aub Demand'!Q:Q,MATCH($O1488,'Aub Demand'!$A:$A,0))-IF(AN1488="",0,AN1488)+AP1489+AD1488,IF(AM1488&lt;&gt;"",INDEX('Aub Demand'!Q:Q,MATCH($O1488,'Aub Demand'!$A:$A,0))-IF(AN1488="",0,AN1488)+AD1488+AL1488,INDEX('Aub Demand'!Q:Q,MATCH($O1488,'Aub Demand'!$A:$A,0))-IF(AN1488="",0,AN1488)+AD1488))),"")</f>
        <v>1036</v>
      </c>
      <c r="Y1488" s="53" t="str">
        <f t="shared" si="648"/>
        <v>n/a</v>
      </c>
      <c r="Z1488" s="52">
        <f>IF(L1488="","",INDEX('Aub Demand'!H:H,MATCH($O1488,'Aub Demand'!$A:$A,0)))</f>
        <v>0</v>
      </c>
      <c r="AA1488" s="52" t="str">
        <f t="shared" si="649"/>
        <v>-spike-</v>
      </c>
      <c r="AB1488" s="52">
        <f>IFERROR(INDEX('Aub Demand'!L:L,MATCH($O1488,'Aub Demand'!$A:$A,0)),"")</f>
        <v>0</v>
      </c>
      <c r="AC1488" s="52">
        <f>IFERROR(IF(O1488="","",SUMIFS('CPL Mats'!F:F,'CPL Mats'!Q:Q,AR1488,'CPL Mats'!S:S,AS1488)),"")</f>
        <v>0</v>
      </c>
      <c r="AF1488" s="25" t="str">
        <f>IF(SUMIFS('Supp Consol'!S:S,'Supp Consol'!Y:Y,"Releasable",'Supp Consol'!A:A,O1488)=0,"",SUMIFS('Supp Consol'!S:S,'Supp Consol'!Y:Y,"Releasable",'Supp Consol'!A:A,O1488))</f>
        <v/>
      </c>
      <c r="AG1488" s="25">
        <f>IFERROR(INDEX('Hun Demand'!Q:Q,MATCH(O1488,'Hun Demand'!A:A,0)),"")</f>
        <v>491</v>
      </c>
      <c r="AH1488" s="25">
        <f>IFERROR(INDEX('Hun Demand'!H:H,MATCH($O1488,'Hun Demand'!$A:$A,0)),"")</f>
        <v>0</v>
      </c>
      <c r="AI1488" s="25" t="str">
        <f>IF(SUMIFS('Supp Consol'!AA:AA,'Supp Consol'!Z:Z,"Expires this month",'Supp Consol'!A:A,O1488)=0,"",SUMIFS('Supp Consol'!AA:AA,'Supp Consol'!Z:Z,"Expires this month",'Supp Consol'!A:A,O1488))</f>
        <v/>
      </c>
      <c r="AJ1488" s="25" t="str">
        <f>IF(SUMIFS('Supp Consol'!AA:AA,'Supp Consol'!Z:Z,"Expired Previous Months",'Supp Consol'!A:A,O1488)=0,"",SUMIFS('Supp Consol'!AA:AA,'Supp Consol'!Z:Z,"Expired Previous Months",'Supp Consol'!A:A,O1488))</f>
        <v/>
      </c>
      <c r="AK1488" s="25" t="str">
        <f>IFERROR(INDEX('Hun Release Current'!B:B,MATCH(O1488,'Hun Release Current'!A:A,0)),"")</f>
        <v/>
      </c>
      <c r="AL1488" s="25" t="str">
        <f>IF(SUMIF('Prev Aub'!A:A,O1488,'Prev Aub'!B:B)=0,"",SUMIF('Prev Aub'!A:A,O1488,'Prev Aub'!B:B))</f>
        <v/>
      </c>
      <c r="AN1488" s="25" t="s">
        <v>3790</v>
      </c>
      <c r="AO1488" s="25" t="s">
        <v>3790</v>
      </c>
      <c r="AP1488" s="25">
        <f t="shared" si="650"/>
        <v>0</v>
      </c>
      <c r="AQ1488" s="151" t="str">
        <f>IF(SUMIFS('Supp Consol'!S:S,'Supp Consol'!A:A,O1488,'Supp Consol'!I:I,"PENDING")=0,"",SUMIFS('Supp Consol'!S:S,'Supp Consol'!A:A,O1488,'Supp Consol'!I:I,"PENDING"))</f>
        <v/>
      </c>
      <c r="AR1488" s="27" t="str">
        <f t="shared" si="651"/>
        <v>WP101</v>
      </c>
      <c r="AS1488" s="27" t="str">
        <f t="shared" si="652"/>
        <v>50</v>
      </c>
      <c r="AT1488" s="27" t="str">
        <f t="shared" si="653"/>
        <v/>
      </c>
      <c r="AU1488" s="27" t="str">
        <f t="shared" si="654"/>
        <v/>
      </c>
      <c r="AV1488" s="27" t="str">
        <f t="shared" si="655"/>
        <v/>
      </c>
      <c r="AW1488" s="27" t="str">
        <f t="shared" si="656"/>
        <v/>
      </c>
      <c r="AX1488" s="27" t="str">
        <f t="shared" si="657"/>
        <v/>
      </c>
      <c r="AY1488" s="27" t="str">
        <f t="shared" si="658"/>
        <v>WP101</v>
      </c>
      <c r="AZ1488" s="27" t="str">
        <f t="shared" si="659"/>
        <v/>
      </c>
      <c r="BA1488" s="27" t="str">
        <f t="shared" si="660"/>
        <v>Hun</v>
      </c>
      <c r="BB1488" s="27" t="str">
        <f t="shared" si="661"/>
        <v/>
      </c>
      <c r="BC1488" s="27" t="str">
        <f t="shared" si="662"/>
        <v/>
      </c>
      <c r="BD1488" s="27" t="str">
        <f t="shared" si="663"/>
        <v/>
      </c>
      <c r="BE1488" s="27" t="str">
        <f t="shared" si="664"/>
        <v/>
      </c>
      <c r="BF1488" s="27" t="str">
        <f t="shared" si="665"/>
        <v/>
      </c>
      <c r="BG1488" s="27" t="str">
        <f t="shared" si="666"/>
        <v/>
      </c>
      <c r="BH1488" s="27" t="str">
        <f t="shared" si="667"/>
        <v/>
      </c>
      <c r="BI1488" s="27" t="str">
        <f t="shared" si="668"/>
        <v/>
      </c>
      <c r="BJ1488" s="27" t="str">
        <f t="shared" si="669"/>
        <v>Supp or Hun</v>
      </c>
      <c r="BK1488" s="27" t="str">
        <f t="shared" si="670"/>
        <v/>
      </c>
      <c r="BL1488" s="27" t="str">
        <f t="shared" si="671"/>
        <v/>
      </c>
      <c r="BM1488" s="21" t="s">
        <v>5581</v>
      </c>
    </row>
    <row r="1489" spans="1:65" ht="15">
      <c r="A1489" s="25">
        <f>IFERROR(INDEX('Hun Demand'!W:W,MATCH(O1489,'Hun Demand'!A:A,0)),"")</f>
        <v>2024</v>
      </c>
      <c r="B1489" s="25">
        <f>IFERROR(INDEX('Hun Demand'!V:V,MATCH(O1489,'Hun Demand'!A:A,0)),"")</f>
        <v>514</v>
      </c>
      <c r="C1489" s="25">
        <f>IFERROR(INDEX('Hun Demand'!U:U,MATCH(O1489,'Hun Demand'!A:A,0)),"")</f>
        <v>2241</v>
      </c>
      <c r="D1489" s="25">
        <f>IFERROR(INDEX('Hun Demand'!T:T,MATCH(O1489,'Hun Demand'!A:A,0)),"")</f>
        <v>554</v>
      </c>
      <c r="E1489" s="25">
        <f>IFERROR(INDEX('Hun Demand'!S:S,MATCH(O1489,'Hun Demand'!A:A,0)),"")</f>
        <v>1833</v>
      </c>
      <c r="F1489" s="25">
        <f>IFERROR(INDEX('Hun Demand'!R:R,MATCH(O1489,'Hun Demand'!A:A,0)),"")</f>
        <v>425</v>
      </c>
      <c r="G1489" s="25">
        <f>IFERROR(INDEX('Aub Demand'!W:W,MATCH(O1489,'Aub Demand'!A:A,0)),"")</f>
        <v>1258</v>
      </c>
      <c r="H1489" s="25">
        <f>IFERROR(INDEX('Aub Demand'!V:V,MATCH(O1489,'Aub Demand'!A:A,0)),"")</f>
        <v>792</v>
      </c>
      <c r="I1489" s="25">
        <f>IFERROR(INDEX('Aub Demand'!U:U,MATCH(O1489,'Aub Demand'!A:A,0)),"")</f>
        <v>3853</v>
      </c>
      <c r="J1489" s="25">
        <f>IFERROR(INDEX('Aub Demand'!T:T,MATCH(O1489,'Aub Demand'!A:A,0)),"")</f>
        <v>1611</v>
      </c>
      <c r="K1489" s="25">
        <f>IFERROR(INDEX('Aub Demand'!S:S,MATCH(O1489,'Aub Demand'!A:A,0)),"")</f>
        <v>2014</v>
      </c>
      <c r="L1489" s="25">
        <f>IFERROR(INDEX('Aub Demand'!R:R,MATCH(O1489,'Aub Demand'!A:A,0)),"")</f>
        <v>0</v>
      </c>
      <c r="O1489" s="27" t="s">
        <v>1804</v>
      </c>
      <c r="P1489" s="27" t="str">
        <f>IFERROR(INDEX('Aub Demand'!B:B,MATCH($O1489,'Aub Demand'!$A:$A,0)),"")</f>
        <v>LOOKS LIKATRE</v>
      </c>
      <c r="Q1489" s="27" t="str">
        <f>IFERROR(INDEX('Aub Demand'!C:C,MATCH($O1489,'Aub Demand'!$A:$A,0)),"")</f>
        <v>SCHAT</v>
      </c>
      <c r="R1489" s="52">
        <f>IFERROR(IF(AR1490=AR1489,INDEX('Aub Demand'!K:K,MATCH($O1489,'Aub Demand'!$A:$A,0))-IF(AN1489="",0,AN1489)+AP1490,INDEX('Aub Demand'!K:K,MATCH($O1489,'Aub Demand'!$A:$A,0))-IF(AN1489="",0,AN1489)),"")</f>
        <v>3630</v>
      </c>
      <c r="S1489" s="53">
        <f t="shared" si="644"/>
        <v>6.2</v>
      </c>
      <c r="T1489" s="52" t="str">
        <f t="shared" si="645"/>
        <v/>
      </c>
      <c r="U1489" s="52">
        <f>IFERROR(IF(AR1490=AR1489,INDEX('Aub Demand'!Q:Q,MATCH($O1489,'Aub Demand'!$A:$A,0))-IF(AN1489="",0,AN1489)+AP1490,INDEX('Aub Demand'!Q:Q,MATCH($O1489,'Aub Demand'!$A:$A,0))-IF(AN1489="",0,AN1489)),"")</f>
        <v>2691</v>
      </c>
      <c r="V1489" s="53">
        <f t="shared" si="646"/>
        <v>4.5999999999999996</v>
      </c>
      <c r="W1489" s="52" t="str">
        <f t="shared" si="647"/>
        <v/>
      </c>
      <c r="X1489" s="52">
        <f>IFERROR(IF(AND(AR1490=AR1489,AM1489&lt;&gt;""),INDEX('Aub Demand'!Q:Q,MATCH($O1489,'Aub Demand'!$A:$A,0))-IF(AN1489="",0,AN1489)+AP1490+AD1489+AL1489,IF(AR1490=AR1489,INDEX('Aub Demand'!Q:Q,MATCH($O1489,'Aub Demand'!$A:$A,0))-IF(AN1489="",0,AN1489)+AP1490+AD1489,IF(AM1489&lt;&gt;"",INDEX('Aub Demand'!Q:Q,MATCH($O1489,'Aub Demand'!$A:$A,0))-IF(AN1489="",0,AN1489)+AD1489+AL1489,INDEX('Aub Demand'!Q:Q,MATCH($O1489,'Aub Demand'!$A:$A,0))-IF(AN1489="",0,AN1489)+AD1489))),"")</f>
        <v>2691</v>
      </c>
      <c r="Y1489" s="53">
        <f t="shared" si="648"/>
        <v>4.5999999999999996</v>
      </c>
      <c r="Z1489" s="52">
        <f>IF(L1489="","",INDEX('Aub Demand'!H:H,MATCH($O1489,'Aub Demand'!$A:$A,0)))</f>
        <v>2493</v>
      </c>
      <c r="AA1489" s="52">
        <f t="shared" si="649"/>
        <v>2933.5</v>
      </c>
      <c r="AB1489" s="52">
        <f>IFERROR(INDEX('Aub Demand'!L:L,MATCH($O1489,'Aub Demand'!$A:$A,0)),"")</f>
        <v>347</v>
      </c>
      <c r="AC1489" s="52">
        <f>IFERROR(IF(O1489="","",SUMIFS('CPL Mats'!F:F,'CPL Mats'!Q:Q,AR1489,'CPL Mats'!S:S,AS1489)),"")</f>
        <v>1531.86</v>
      </c>
      <c r="AF1489" s="25">
        <f>IF(SUMIFS('Supp Consol'!S:S,'Supp Consol'!Y:Y,"Releasable",'Supp Consol'!A:A,O1489)=0,"",SUMIFS('Supp Consol'!S:S,'Supp Consol'!Y:Y,"Releasable",'Supp Consol'!A:A,O1489))</f>
        <v>3033</v>
      </c>
      <c r="AG1489" s="25">
        <f>IFERROR(INDEX('Hun Demand'!Q:Q,MATCH(O1489,'Hun Demand'!A:A,0)),"")</f>
        <v>2719</v>
      </c>
      <c r="AH1489" s="25">
        <f>IFERROR(INDEX('Hun Demand'!H:H,MATCH($O1489,'Hun Demand'!$A:$A,0)),"")</f>
        <v>1543</v>
      </c>
      <c r="AI1489" s="25" t="str">
        <f>IF(SUMIFS('Supp Consol'!AA:AA,'Supp Consol'!Z:Z,"Expires this month",'Supp Consol'!A:A,O1489)=0,"",SUMIFS('Supp Consol'!AA:AA,'Supp Consol'!Z:Z,"Expires this month",'Supp Consol'!A:A,O1489))</f>
        <v/>
      </c>
      <c r="AJ1489" s="25">
        <f>IF(SUMIFS('Supp Consol'!AA:AA,'Supp Consol'!Z:Z,"Expired Previous Months",'Supp Consol'!A:A,O1489)=0,"",SUMIFS('Supp Consol'!AA:AA,'Supp Consol'!Z:Z,"Expired Previous Months",'Supp Consol'!A:A,O1489))</f>
        <v>2652</v>
      </c>
      <c r="AK1489" s="25" t="str">
        <f>IFERROR(INDEX('Hun Release Current'!B:B,MATCH(O1489,'Hun Release Current'!A:A,0)),"")</f>
        <v/>
      </c>
      <c r="AL1489" s="25" t="str">
        <f>IF(SUMIF('Prev Aub'!A:A,O1489,'Prev Aub'!B:B)=0,"",SUMIF('Prev Aub'!A:A,O1489,'Prev Aub'!B:B))</f>
        <v/>
      </c>
      <c r="AN1489" s="25" t="s">
        <v>3790</v>
      </c>
      <c r="AO1489" s="25" t="s">
        <v>3790</v>
      </c>
      <c r="AP1489" s="25">
        <f t="shared" si="650"/>
        <v>0</v>
      </c>
      <c r="AQ1489" s="151" t="str">
        <f>IF(SUMIFS('Supp Consol'!S:S,'Supp Consol'!A:A,O1489,'Supp Consol'!I:I,"PENDING")=0,"",SUMIFS('Supp Consol'!S:S,'Supp Consol'!A:A,O1489,'Supp Consol'!I:I,"PENDING"))</f>
        <v/>
      </c>
      <c r="AR1489" s="27" t="str">
        <f t="shared" si="651"/>
        <v>WP110</v>
      </c>
      <c r="AS1489" s="27" t="str">
        <f t="shared" si="652"/>
        <v>50</v>
      </c>
      <c r="AT1489" s="27" t="str">
        <f t="shared" si="653"/>
        <v/>
      </c>
      <c r="AU1489" s="27" t="str">
        <f t="shared" si="654"/>
        <v/>
      </c>
      <c r="AV1489" s="27" t="str">
        <f t="shared" si="655"/>
        <v/>
      </c>
      <c r="AW1489" s="27" t="str">
        <f t="shared" si="656"/>
        <v/>
      </c>
      <c r="AX1489" s="27" t="str">
        <f t="shared" si="657"/>
        <v>WP110</v>
      </c>
      <c r="AY1489" s="27" t="str">
        <f t="shared" si="658"/>
        <v>WP110</v>
      </c>
      <c r="AZ1489" s="27" t="str">
        <f t="shared" si="659"/>
        <v>Supp</v>
      </c>
      <c r="BA1489" s="27" t="str">
        <f t="shared" si="660"/>
        <v>Hun</v>
      </c>
      <c r="BB1489" s="27" t="str">
        <f t="shared" si="661"/>
        <v/>
      </c>
      <c r="BC1489" s="27" t="str">
        <f t="shared" si="662"/>
        <v/>
      </c>
      <c r="BD1489" s="27" t="str">
        <f t="shared" si="663"/>
        <v/>
      </c>
      <c r="BE1489" s="27" t="str">
        <f t="shared" si="664"/>
        <v/>
      </c>
      <c r="BF1489" s="27" t="str">
        <f t="shared" si="665"/>
        <v/>
      </c>
      <c r="BG1489" s="27" t="str">
        <f t="shared" si="666"/>
        <v/>
      </c>
      <c r="BH1489" s="27" t="str">
        <f t="shared" si="667"/>
        <v/>
      </c>
      <c r="BI1489" s="27" t="str">
        <f t="shared" si="668"/>
        <v/>
      </c>
      <c r="BJ1489" s="27" t="str">
        <f t="shared" si="669"/>
        <v>Supp or Hun</v>
      </c>
      <c r="BK1489" s="27" t="str">
        <f t="shared" si="670"/>
        <v/>
      </c>
      <c r="BL1489" s="27" t="str">
        <f t="shared" si="671"/>
        <v/>
      </c>
      <c r="BM1489" s="21" t="s">
        <v>5582</v>
      </c>
    </row>
    <row r="1490" spans="1:65" ht="15">
      <c r="A1490" s="25">
        <f>IFERROR(INDEX('Hun Demand'!W:W,MATCH(O1490,'Hun Demand'!A:A,0)),"")</f>
        <v>1938</v>
      </c>
      <c r="B1490" s="25">
        <f>IFERROR(INDEX('Hun Demand'!V:V,MATCH(O1490,'Hun Demand'!A:A,0)),"")</f>
        <v>2104</v>
      </c>
      <c r="C1490" s="25">
        <f>IFERROR(INDEX('Hun Demand'!U:U,MATCH(O1490,'Hun Demand'!A:A,0)),"")</f>
        <v>1572</v>
      </c>
      <c r="D1490" s="25">
        <f>IFERROR(INDEX('Hun Demand'!T:T,MATCH(O1490,'Hun Demand'!A:A,0)),"")</f>
        <v>660</v>
      </c>
      <c r="E1490" s="25">
        <f>IFERROR(INDEX('Hun Demand'!S:S,MATCH(O1490,'Hun Demand'!A:A,0)),"")</f>
        <v>1285</v>
      </c>
      <c r="F1490" s="25">
        <f>IFERROR(INDEX('Hun Demand'!R:R,MATCH(O1490,'Hun Demand'!A:A,0)),"")</f>
        <v>337</v>
      </c>
      <c r="G1490" s="25">
        <f>IFERROR(INDEX('Aub Demand'!W:W,MATCH(O1490,'Aub Demand'!A:A,0)),"")</f>
        <v>461</v>
      </c>
      <c r="H1490" s="25">
        <f>IFERROR(INDEX('Aub Demand'!V:V,MATCH(O1490,'Aub Demand'!A:A,0)),"")</f>
        <v>367</v>
      </c>
      <c r="I1490" s="25">
        <f>IFERROR(INDEX('Aub Demand'!U:U,MATCH(O1490,'Aub Demand'!A:A,0)),"")</f>
        <v>830</v>
      </c>
      <c r="J1490" s="25">
        <f>IFERROR(INDEX('Aub Demand'!T:T,MATCH(O1490,'Aub Demand'!A:A,0)),"")</f>
        <v>546</v>
      </c>
      <c r="K1490" s="25">
        <f>IFERROR(INDEX('Aub Demand'!S:S,MATCH(O1490,'Aub Demand'!A:A,0)),"")</f>
        <v>582</v>
      </c>
      <c r="L1490" s="25">
        <f>IFERROR(INDEX('Aub Demand'!R:R,MATCH(O1490,'Aub Demand'!A:A,0)),"")</f>
        <v>0</v>
      </c>
      <c r="O1490" s="27" t="s">
        <v>1807</v>
      </c>
      <c r="P1490" s="27" t="str">
        <f>IFERROR(INDEX('Aub Demand'!B:B,MATCH($O1490,'Aub Demand'!$A:$A,0)),"")</f>
        <v>LOOKS LIKATRE</v>
      </c>
      <c r="Q1490" s="27" t="str">
        <f>IFERROR(INDEX('Aub Demand'!C:C,MATCH($O1490,'Aub Demand'!$A:$A,0)),"")</f>
        <v>SCHAT</v>
      </c>
      <c r="R1490" s="52">
        <f>IFERROR(IF(AR1491=AR1490,INDEX('Aub Demand'!K:K,MATCH($O1490,'Aub Demand'!$A:$A,0))-IF(AN1490="",0,AN1490)+AP1491,INDEX('Aub Demand'!K:K,MATCH($O1490,'Aub Demand'!$A:$A,0))-IF(AN1490="",0,AN1490)),"")</f>
        <v>4482</v>
      </c>
      <c r="S1490" s="53">
        <f t="shared" si="644"/>
        <v>29.4</v>
      </c>
      <c r="T1490" s="52" t="str">
        <f t="shared" si="645"/>
        <v/>
      </c>
      <c r="U1490" s="52">
        <f>IFERROR(IF(AR1491=AR1490,INDEX('Aub Demand'!Q:Q,MATCH($O1490,'Aub Demand'!$A:$A,0))-IF(AN1490="",0,AN1490)+AP1491,INDEX('Aub Demand'!Q:Q,MATCH($O1490,'Aub Demand'!$A:$A,0))-IF(AN1490="",0,AN1490)),"")</f>
        <v>4278</v>
      </c>
      <c r="V1490" s="53">
        <f t="shared" si="646"/>
        <v>28.1</v>
      </c>
      <c r="W1490" s="52" t="str">
        <f t="shared" si="647"/>
        <v/>
      </c>
      <c r="X1490" s="52">
        <f>IFERROR(IF(AND(AR1491=AR1490,AM1490&lt;&gt;""),INDEX('Aub Demand'!Q:Q,MATCH($O1490,'Aub Demand'!$A:$A,0))-IF(AN1490="",0,AN1490)+AP1491+AD1490+AL1490,IF(AR1491=AR1490,INDEX('Aub Demand'!Q:Q,MATCH($O1490,'Aub Demand'!$A:$A,0))-IF(AN1490="",0,AN1490)+AP1491+AD1490,IF(AM1490&lt;&gt;"",INDEX('Aub Demand'!Q:Q,MATCH($O1490,'Aub Demand'!$A:$A,0))-IF(AN1490="",0,AN1490)+AD1490+AL1490,INDEX('Aub Demand'!Q:Q,MATCH($O1490,'Aub Demand'!$A:$A,0))-IF(AN1490="",0,AN1490)+AD1490))),"")</f>
        <v>4278</v>
      </c>
      <c r="Y1490" s="53">
        <f t="shared" si="648"/>
        <v>28.1</v>
      </c>
      <c r="Z1490" s="52">
        <f>IF(L1490="","",INDEX('Aub Demand'!H:H,MATCH($O1490,'Aub Demand'!$A:$A,0)))</f>
        <v>653</v>
      </c>
      <c r="AA1490" s="52">
        <f t="shared" si="649"/>
        <v>706</v>
      </c>
      <c r="AB1490" s="52">
        <f>IFERROR(INDEX('Aub Demand'!L:L,MATCH($O1490,'Aub Demand'!$A:$A,0)),"")</f>
        <v>591</v>
      </c>
      <c r="AC1490" s="52">
        <f>IFERROR(IF(O1490="","",SUMIFS('CPL Mats'!F:F,'CPL Mats'!Q:Q,AR1490,'CPL Mats'!S:S,AS1490)),"")</f>
        <v>1560.03</v>
      </c>
      <c r="AF1490" s="25" t="str">
        <f>IF(SUMIFS('Supp Consol'!S:S,'Supp Consol'!Y:Y,"Releasable",'Supp Consol'!A:A,O1490)=0,"",SUMIFS('Supp Consol'!S:S,'Supp Consol'!Y:Y,"Releasable",'Supp Consol'!A:A,O1490))</f>
        <v/>
      </c>
      <c r="AG1490" s="25">
        <f>IFERROR(INDEX('Hun Demand'!Q:Q,MATCH(O1490,'Hun Demand'!A:A,0)),"")</f>
        <v>10791</v>
      </c>
      <c r="AH1490" s="25">
        <f>IFERROR(INDEX('Hun Demand'!H:H,MATCH($O1490,'Hun Demand'!$A:$A,0)),"")</f>
        <v>1172</v>
      </c>
      <c r="AI1490" s="25" t="str">
        <f>IF(SUMIFS('Supp Consol'!AA:AA,'Supp Consol'!Z:Z,"Expires this month",'Supp Consol'!A:A,O1490)=0,"",SUMIFS('Supp Consol'!AA:AA,'Supp Consol'!Z:Z,"Expires this month",'Supp Consol'!A:A,O1490))</f>
        <v/>
      </c>
      <c r="AJ1490" s="25" t="str">
        <f>IF(SUMIFS('Supp Consol'!AA:AA,'Supp Consol'!Z:Z,"Expired Previous Months",'Supp Consol'!A:A,O1490)=0,"",SUMIFS('Supp Consol'!AA:AA,'Supp Consol'!Z:Z,"Expired Previous Months",'Supp Consol'!A:A,O1490))</f>
        <v/>
      </c>
      <c r="AK1490" s="25" t="str">
        <f>IFERROR(INDEX('Hun Release Current'!B:B,MATCH(O1490,'Hun Release Current'!A:A,0)),"")</f>
        <v/>
      </c>
      <c r="AL1490" s="25" t="str">
        <f>IF(SUMIF('Prev Aub'!A:A,O1490,'Prev Aub'!B:B)=0,"",SUMIF('Prev Aub'!A:A,O1490,'Prev Aub'!B:B))</f>
        <v/>
      </c>
      <c r="AN1490" s="25" t="s">
        <v>3790</v>
      </c>
      <c r="AO1490" s="25" t="s">
        <v>3790</v>
      </c>
      <c r="AP1490" s="25">
        <f t="shared" si="650"/>
        <v>0</v>
      </c>
      <c r="AQ1490" s="151" t="str">
        <f>IF(SUMIFS('Supp Consol'!S:S,'Supp Consol'!A:A,O1490,'Supp Consol'!I:I,"PENDING")=0,"",SUMIFS('Supp Consol'!S:S,'Supp Consol'!A:A,O1490,'Supp Consol'!I:I,"PENDING"))</f>
        <v/>
      </c>
      <c r="AR1490" s="27" t="str">
        <f t="shared" si="651"/>
        <v>WP110</v>
      </c>
      <c r="AS1490" s="27" t="str">
        <f t="shared" si="652"/>
        <v>62</v>
      </c>
      <c r="AT1490" s="27" t="str">
        <f t="shared" si="653"/>
        <v/>
      </c>
      <c r="AU1490" s="27" t="str">
        <f t="shared" si="654"/>
        <v/>
      </c>
      <c r="AV1490" s="27" t="str">
        <f t="shared" si="655"/>
        <v/>
      </c>
      <c r="AW1490" s="27" t="str">
        <f t="shared" si="656"/>
        <v/>
      </c>
      <c r="AX1490" s="27" t="str">
        <f t="shared" si="657"/>
        <v/>
      </c>
      <c r="AY1490" s="27" t="str">
        <f t="shared" si="658"/>
        <v>WP110</v>
      </c>
      <c r="AZ1490" s="27" t="str">
        <f t="shared" si="659"/>
        <v>Supp</v>
      </c>
      <c r="BA1490" s="27" t="str">
        <f t="shared" si="660"/>
        <v>Hun</v>
      </c>
      <c r="BB1490" s="27" t="str">
        <f t="shared" si="661"/>
        <v/>
      </c>
      <c r="BC1490" s="27" t="str">
        <f t="shared" si="662"/>
        <v/>
      </c>
      <c r="BD1490" s="27" t="str">
        <f t="shared" si="663"/>
        <v/>
      </c>
      <c r="BE1490" s="27" t="str">
        <f t="shared" si="664"/>
        <v/>
      </c>
      <c r="BF1490" s="27" t="str">
        <f t="shared" si="665"/>
        <v/>
      </c>
      <c r="BG1490" s="27" t="str">
        <f t="shared" si="666"/>
        <v/>
      </c>
      <c r="BH1490" s="27" t="str">
        <f t="shared" si="667"/>
        <v/>
      </c>
      <c r="BI1490" s="27" t="str">
        <f t="shared" si="668"/>
        <v/>
      </c>
      <c r="BJ1490" s="27" t="str">
        <f t="shared" si="669"/>
        <v>Supp or Hun</v>
      </c>
      <c r="BK1490" s="27" t="str">
        <f t="shared" si="670"/>
        <v/>
      </c>
      <c r="BL1490" s="27" t="str">
        <f t="shared" si="671"/>
        <v/>
      </c>
      <c r="BM1490" s="21" t="s">
        <v>5582</v>
      </c>
    </row>
    <row r="1491" spans="1:65" ht="15">
      <c r="A1491" s="25">
        <f>IFERROR(INDEX('Hun Demand'!W:W,MATCH(O1491,'Hun Demand'!A:A,0)),"")</f>
        <v>0</v>
      </c>
      <c r="B1491" s="25">
        <f>IFERROR(INDEX('Hun Demand'!V:V,MATCH(O1491,'Hun Demand'!A:A,0)),"")</f>
        <v>0</v>
      </c>
      <c r="C1491" s="25">
        <f>IFERROR(INDEX('Hun Demand'!U:U,MATCH(O1491,'Hun Demand'!A:A,0)),"")</f>
        <v>270</v>
      </c>
      <c r="D1491" s="25">
        <f>IFERROR(INDEX('Hun Demand'!T:T,MATCH(O1491,'Hun Demand'!A:A,0)),"")</f>
        <v>0</v>
      </c>
      <c r="E1491" s="25">
        <f>IFERROR(INDEX('Hun Demand'!S:S,MATCH(O1491,'Hun Demand'!A:A,0)),"")</f>
        <v>0</v>
      </c>
      <c r="F1491" s="25">
        <f>IFERROR(INDEX('Hun Demand'!R:R,MATCH(O1491,'Hun Demand'!A:A,0)),"")</f>
        <v>0</v>
      </c>
      <c r="G1491" s="25">
        <f>IFERROR(INDEX('Aub Demand'!W:W,MATCH(O1491,'Aub Demand'!A:A,0)),"")</f>
        <v>716</v>
      </c>
      <c r="H1491" s="25">
        <f>IFERROR(INDEX('Aub Demand'!V:V,MATCH(O1491,'Aub Demand'!A:A,0)),"")</f>
        <v>65</v>
      </c>
      <c r="I1491" s="25">
        <f>IFERROR(INDEX('Aub Demand'!U:U,MATCH(O1491,'Aub Demand'!A:A,0)),"")</f>
        <v>681</v>
      </c>
      <c r="J1491" s="25">
        <f>IFERROR(INDEX('Aub Demand'!T:T,MATCH(O1491,'Aub Demand'!A:A,0)),"")</f>
        <v>60</v>
      </c>
      <c r="K1491" s="25">
        <f>IFERROR(INDEX('Aub Demand'!S:S,MATCH(O1491,'Aub Demand'!A:A,0)),"")</f>
        <v>199</v>
      </c>
      <c r="L1491" s="25">
        <f>IFERROR(INDEX('Aub Demand'!R:R,MATCH(O1491,'Aub Demand'!A:A,0)),"")</f>
        <v>0</v>
      </c>
      <c r="O1491" s="27" t="s">
        <v>1808</v>
      </c>
      <c r="P1491" s="27" t="str">
        <f>IFERROR(INDEX('Aub Demand'!B:B,MATCH($O1491,'Aub Demand'!$A:$A,0)),"")</f>
        <v>APPEARS LIKATRE</v>
      </c>
      <c r="Q1491" s="27" t="str">
        <f>IFERROR(INDEX('Aub Demand'!C:C,MATCH($O1491,'Aub Demand'!$A:$A,0)),"")</f>
        <v>SCHAT</v>
      </c>
      <c r="R1491" s="52">
        <f>IFERROR(IF(AR1492=AR1491,INDEX('Aub Demand'!K:K,MATCH($O1491,'Aub Demand'!$A:$A,0))-IF(AN1491="",0,AN1491)+AP1492,INDEX('Aub Demand'!K:K,MATCH($O1491,'Aub Demand'!$A:$A,0))-IF(AN1491="",0,AN1491)),"")</f>
        <v>1895</v>
      </c>
      <c r="S1491" s="53">
        <f t="shared" si="644"/>
        <v>25.9</v>
      </c>
      <c r="T1491" s="52" t="str">
        <f t="shared" si="645"/>
        <v/>
      </c>
      <c r="U1491" s="52">
        <f>IFERROR(IF(AR1492=AR1491,INDEX('Aub Demand'!Q:Q,MATCH($O1491,'Aub Demand'!$A:$A,0))-IF(AN1491="",0,AN1491)+AP1492,INDEX('Aub Demand'!Q:Q,MATCH($O1491,'Aub Demand'!$A:$A,0))-IF(AN1491="",0,AN1491)),"")</f>
        <v>1851</v>
      </c>
      <c r="V1491" s="53">
        <f t="shared" si="646"/>
        <v>25.3</v>
      </c>
      <c r="W1491" s="52" t="str">
        <f t="shared" si="647"/>
        <v/>
      </c>
      <c r="X1491" s="52">
        <f>IFERROR(IF(AND(AR1492=AR1491,AM1491&lt;&gt;""),INDEX('Aub Demand'!Q:Q,MATCH($O1491,'Aub Demand'!$A:$A,0))-IF(AN1491="",0,AN1491)+AP1492+AD1491+AL1491,IF(AR1492=AR1491,INDEX('Aub Demand'!Q:Q,MATCH($O1491,'Aub Demand'!$A:$A,0))-IF(AN1491="",0,AN1491)+AP1492+AD1491,IF(AM1491&lt;&gt;"",INDEX('Aub Demand'!Q:Q,MATCH($O1491,'Aub Demand'!$A:$A,0))-IF(AN1491="",0,AN1491)+AD1491+AL1491,INDEX('Aub Demand'!Q:Q,MATCH($O1491,'Aub Demand'!$A:$A,0))-IF(AN1491="",0,AN1491)+AD1491))),"")</f>
        <v>1851</v>
      </c>
      <c r="Y1491" s="53">
        <f t="shared" si="648"/>
        <v>25.3</v>
      </c>
      <c r="Z1491" s="52">
        <f>IF(L1491="","",INDEX('Aub Demand'!H:H,MATCH($O1491,'Aub Demand'!$A:$A,0)))</f>
        <v>313</v>
      </c>
      <c r="AA1491" s="52">
        <f t="shared" si="649"/>
        <v>440</v>
      </c>
      <c r="AB1491" s="52">
        <f>IFERROR(INDEX('Aub Demand'!L:L,MATCH($O1491,'Aub Demand'!$A:$A,0)),"")</f>
        <v>136</v>
      </c>
      <c r="AC1491" s="52">
        <f>IFERROR(IF(O1491="","",SUMIFS('CPL Mats'!F:F,'CPL Mats'!Q:Q,AR1491,'CPL Mats'!S:S,AS1491)),"")</f>
        <v>1400</v>
      </c>
      <c r="AF1491" s="25">
        <f>IF(SUMIFS('Supp Consol'!S:S,'Supp Consol'!Y:Y,"Releasable",'Supp Consol'!A:A,O1491)=0,"",SUMIFS('Supp Consol'!S:S,'Supp Consol'!Y:Y,"Releasable",'Supp Consol'!A:A,O1491))</f>
        <v>2015</v>
      </c>
      <c r="AG1491" s="25">
        <f>IFERROR(INDEX('Hun Demand'!Q:Q,MATCH(O1491,'Hun Demand'!A:A,0)),"")</f>
        <v>576</v>
      </c>
      <c r="AH1491" s="25">
        <f>IFERROR(INDEX('Hun Demand'!H:H,MATCH($O1491,'Hun Demand'!$A:$A,0)),"")</f>
        <v>90</v>
      </c>
      <c r="AI1491" s="25" t="str">
        <f>IF(SUMIFS('Supp Consol'!AA:AA,'Supp Consol'!Z:Z,"Expires this month",'Supp Consol'!A:A,O1491)=0,"",SUMIFS('Supp Consol'!AA:AA,'Supp Consol'!Z:Z,"Expires this month",'Supp Consol'!A:A,O1491))</f>
        <v/>
      </c>
      <c r="AJ1491" s="25" t="str">
        <f>IF(SUMIFS('Supp Consol'!AA:AA,'Supp Consol'!Z:Z,"Expired Previous Months",'Supp Consol'!A:A,O1491)=0,"",SUMIFS('Supp Consol'!AA:AA,'Supp Consol'!Z:Z,"Expired Previous Months",'Supp Consol'!A:A,O1491))</f>
        <v/>
      </c>
      <c r="AK1491" s="25" t="str">
        <f>IFERROR(INDEX('Hun Release Current'!B:B,MATCH(O1491,'Hun Release Current'!A:A,0)),"")</f>
        <v/>
      </c>
      <c r="AL1491" s="25" t="str">
        <f>IF(SUMIF('Prev Aub'!A:A,O1491,'Prev Aub'!B:B)=0,"",SUMIF('Prev Aub'!A:A,O1491,'Prev Aub'!B:B))</f>
        <v/>
      </c>
      <c r="AN1491" s="25" t="s">
        <v>3790</v>
      </c>
      <c r="AO1491" s="25" t="s">
        <v>3790</v>
      </c>
      <c r="AP1491" s="25">
        <f t="shared" si="650"/>
        <v>0</v>
      </c>
      <c r="AQ1491" s="151" t="str">
        <f>IF(SUMIFS('Supp Consol'!S:S,'Supp Consol'!A:A,O1491,'Supp Consol'!I:I,"PENDING")=0,"",SUMIFS('Supp Consol'!S:S,'Supp Consol'!A:A,O1491,'Supp Consol'!I:I,"PENDING"))</f>
        <v/>
      </c>
      <c r="AR1491" s="27" t="str">
        <f t="shared" si="651"/>
        <v>WP115</v>
      </c>
      <c r="AS1491" s="27" t="str">
        <f t="shared" si="652"/>
        <v>50</v>
      </c>
      <c r="AT1491" s="27" t="str">
        <f t="shared" si="653"/>
        <v/>
      </c>
      <c r="AU1491" s="27" t="str">
        <f t="shared" si="654"/>
        <v/>
      </c>
      <c r="AV1491" s="27" t="str">
        <f t="shared" si="655"/>
        <v/>
      </c>
      <c r="AW1491" s="27" t="str">
        <f t="shared" si="656"/>
        <v/>
      </c>
      <c r="AX1491" s="27" t="str">
        <f t="shared" si="657"/>
        <v>WP115</v>
      </c>
      <c r="AY1491" s="27" t="str">
        <f t="shared" si="658"/>
        <v>WP115</v>
      </c>
      <c r="AZ1491" s="27" t="str">
        <f t="shared" si="659"/>
        <v>Supp</v>
      </c>
      <c r="BA1491" s="27" t="str">
        <f t="shared" si="660"/>
        <v>Hun</v>
      </c>
      <c r="BB1491" s="27" t="str">
        <f t="shared" si="661"/>
        <v/>
      </c>
      <c r="BC1491" s="27" t="str">
        <f t="shared" si="662"/>
        <v/>
      </c>
      <c r="BD1491" s="27" t="str">
        <f t="shared" si="663"/>
        <v/>
      </c>
      <c r="BE1491" s="27" t="str">
        <f t="shared" si="664"/>
        <v/>
      </c>
      <c r="BF1491" s="27" t="str">
        <f t="shared" si="665"/>
        <v/>
      </c>
      <c r="BG1491" s="27" t="str">
        <f t="shared" si="666"/>
        <v/>
      </c>
      <c r="BH1491" s="27" t="str">
        <f t="shared" si="667"/>
        <v/>
      </c>
      <c r="BI1491" s="27" t="str">
        <f t="shared" si="668"/>
        <v/>
      </c>
      <c r="BJ1491" s="27" t="str">
        <f t="shared" si="669"/>
        <v>Supp or Hun</v>
      </c>
      <c r="BK1491" s="27" t="str">
        <f t="shared" si="670"/>
        <v/>
      </c>
      <c r="BL1491" s="27" t="str">
        <f t="shared" si="671"/>
        <v/>
      </c>
      <c r="BM1491" s="21" t="s">
        <v>5582</v>
      </c>
    </row>
    <row r="1492" spans="1:65" ht="15">
      <c r="A1492" s="25">
        <f>IFERROR(INDEX('Hun Demand'!W:W,MATCH(O1492,'Hun Demand'!A:A,0)),"")</f>
        <v>0</v>
      </c>
      <c r="B1492" s="25">
        <f>IFERROR(INDEX('Hun Demand'!V:V,MATCH(O1492,'Hun Demand'!A:A,0)),"")</f>
        <v>0</v>
      </c>
      <c r="C1492" s="25">
        <f>IFERROR(INDEX('Hun Demand'!U:U,MATCH(O1492,'Hun Demand'!A:A,0)),"")</f>
        <v>0</v>
      </c>
      <c r="D1492" s="25">
        <f>IFERROR(INDEX('Hun Demand'!T:T,MATCH(O1492,'Hun Demand'!A:A,0)),"")</f>
        <v>0</v>
      </c>
      <c r="E1492" s="25">
        <f>IFERROR(INDEX('Hun Demand'!S:S,MATCH(O1492,'Hun Demand'!A:A,0)),"")</f>
        <v>0</v>
      </c>
      <c r="F1492" s="25">
        <f>IFERROR(INDEX('Hun Demand'!R:R,MATCH(O1492,'Hun Demand'!A:A,0)),"")</f>
        <v>0</v>
      </c>
      <c r="G1492" s="25">
        <f>IFERROR(INDEX('Aub Demand'!W:W,MATCH(O1492,'Aub Demand'!A:A,0)),"")</f>
        <v>0</v>
      </c>
      <c r="H1492" s="25">
        <f>IFERROR(INDEX('Aub Demand'!V:V,MATCH(O1492,'Aub Demand'!A:A,0)),"")</f>
        <v>0</v>
      </c>
      <c r="I1492" s="25">
        <f>IFERROR(INDEX('Aub Demand'!U:U,MATCH(O1492,'Aub Demand'!A:A,0)),"")</f>
        <v>260</v>
      </c>
      <c r="J1492" s="25">
        <f>IFERROR(INDEX('Aub Demand'!T:T,MATCH(O1492,'Aub Demand'!A:A,0)),"")</f>
        <v>351</v>
      </c>
      <c r="K1492" s="25">
        <f>IFERROR(INDEX('Aub Demand'!S:S,MATCH(O1492,'Aub Demand'!A:A,0)),"")</f>
        <v>0</v>
      </c>
      <c r="L1492" s="25">
        <f>IFERROR(INDEX('Aub Demand'!R:R,MATCH(O1492,'Aub Demand'!A:A,0)),"")</f>
        <v>0</v>
      </c>
      <c r="O1492" s="27" t="s">
        <v>1810</v>
      </c>
      <c r="P1492" s="27" t="str">
        <f>IFERROR(INDEX('Aub Demand'!B:B,MATCH($O1492,'Aub Demand'!$A:$A,0)),"")</f>
        <v>APPEARS LIKATRE</v>
      </c>
      <c r="Q1492" s="27" t="str">
        <f>IFERROR(INDEX('Aub Demand'!C:C,MATCH($O1492,'Aub Demand'!$A:$A,0)),"")</f>
        <v>SCHAT</v>
      </c>
      <c r="R1492" s="52">
        <f>IFERROR(IF(AR1493=AR1492,INDEX('Aub Demand'!K:K,MATCH($O1492,'Aub Demand'!$A:$A,0))-IF(AN1492="",0,AN1492)+AP1493,INDEX('Aub Demand'!K:K,MATCH($O1492,'Aub Demand'!$A:$A,0))-IF(AN1492="",0,AN1492)),"")</f>
        <v>2628</v>
      </c>
      <c r="S1492" s="53">
        <f t="shared" si="644"/>
        <v>55.2</v>
      </c>
      <c r="T1492" s="52" t="str">
        <f t="shared" si="645"/>
        <v/>
      </c>
      <c r="U1492" s="52">
        <f>IFERROR(IF(AR1493=AR1492,INDEX('Aub Demand'!Q:Q,MATCH($O1492,'Aub Demand'!$A:$A,0))-IF(AN1492="",0,AN1492)+AP1493,INDEX('Aub Demand'!Q:Q,MATCH($O1492,'Aub Demand'!$A:$A,0))-IF(AN1492="",0,AN1492)),"")</f>
        <v>2603</v>
      </c>
      <c r="V1492" s="53">
        <f t="shared" si="646"/>
        <v>54.7</v>
      </c>
      <c r="W1492" s="52" t="str">
        <f t="shared" si="647"/>
        <v/>
      </c>
      <c r="X1492" s="52">
        <f>IFERROR(IF(AND(AR1493=AR1492,AM1492&lt;&gt;""),INDEX('Aub Demand'!Q:Q,MATCH($O1492,'Aub Demand'!$A:$A,0))-IF(AN1492="",0,AN1492)+AP1493+AD1492+AL1492,IF(AR1493=AR1492,INDEX('Aub Demand'!Q:Q,MATCH($O1492,'Aub Demand'!$A:$A,0))-IF(AN1492="",0,AN1492)+AP1493+AD1492,IF(AM1492&lt;&gt;"",INDEX('Aub Demand'!Q:Q,MATCH($O1492,'Aub Demand'!$A:$A,0))-IF(AN1492="",0,AN1492)+AD1492+AL1492,INDEX('Aub Demand'!Q:Q,MATCH($O1492,'Aub Demand'!$A:$A,0))-IF(AN1492="",0,AN1492)+AD1492))),"")</f>
        <v>2603</v>
      </c>
      <c r="Y1492" s="53">
        <f t="shared" si="648"/>
        <v>54.7</v>
      </c>
      <c r="Z1492" s="52">
        <f>IF(L1492="","",INDEX('Aub Demand'!H:H,MATCH($O1492,'Aub Demand'!$A:$A,0)))</f>
        <v>204</v>
      </c>
      <c r="AA1492" s="52">
        <f t="shared" si="649"/>
        <v>305.5</v>
      </c>
      <c r="AB1492" s="52">
        <f>IFERROR(INDEX('Aub Demand'!L:L,MATCH($O1492,'Aub Demand'!$A:$A,0)),"")</f>
        <v>131</v>
      </c>
      <c r="AC1492" s="52">
        <f>IFERROR(IF(O1492="","",SUMIFS('CPL Mats'!F:F,'CPL Mats'!Q:Q,AR1492,'CPL Mats'!S:S,AS1492)),"")</f>
        <v>0</v>
      </c>
      <c r="AF1492" s="25">
        <f>IF(SUMIFS('Supp Consol'!S:S,'Supp Consol'!Y:Y,"Releasable",'Supp Consol'!A:A,O1492)=0,"",SUMIFS('Supp Consol'!S:S,'Supp Consol'!Y:Y,"Releasable",'Supp Consol'!A:A,O1492))</f>
        <v>1093</v>
      </c>
      <c r="AG1492" s="25">
        <f>IFERROR(INDEX('Hun Demand'!Q:Q,MATCH(O1492,'Hun Demand'!A:A,0)),"")</f>
        <v>87</v>
      </c>
      <c r="AH1492" s="25">
        <f>IFERROR(INDEX('Hun Demand'!H:H,MATCH($O1492,'Hun Demand'!$A:$A,0)),"")</f>
        <v>0</v>
      </c>
      <c r="AI1492" s="25" t="str">
        <f>IF(SUMIFS('Supp Consol'!AA:AA,'Supp Consol'!Z:Z,"Expires this month",'Supp Consol'!A:A,O1492)=0,"",SUMIFS('Supp Consol'!AA:AA,'Supp Consol'!Z:Z,"Expires this month",'Supp Consol'!A:A,O1492))</f>
        <v/>
      </c>
      <c r="AJ1492" s="25" t="str">
        <f>IF(SUMIFS('Supp Consol'!AA:AA,'Supp Consol'!Z:Z,"Expired Previous Months",'Supp Consol'!A:A,O1492)=0,"",SUMIFS('Supp Consol'!AA:AA,'Supp Consol'!Z:Z,"Expired Previous Months",'Supp Consol'!A:A,O1492))</f>
        <v/>
      </c>
      <c r="AK1492" s="25" t="str">
        <f>IFERROR(INDEX('Hun Release Current'!B:B,MATCH(O1492,'Hun Release Current'!A:A,0)),"")</f>
        <v/>
      </c>
      <c r="AL1492" s="25" t="str">
        <f>IF(SUMIF('Prev Aub'!A:A,O1492,'Prev Aub'!B:B)=0,"",SUMIF('Prev Aub'!A:A,O1492,'Prev Aub'!B:B))</f>
        <v/>
      </c>
      <c r="AN1492" s="25" t="s">
        <v>3790</v>
      </c>
      <c r="AO1492" s="25" t="s">
        <v>3790</v>
      </c>
      <c r="AP1492" s="25">
        <f t="shared" si="650"/>
        <v>0</v>
      </c>
      <c r="AQ1492" s="151" t="str">
        <f>IF(SUMIFS('Supp Consol'!S:S,'Supp Consol'!A:A,O1492,'Supp Consol'!I:I,"PENDING")=0,"",SUMIFS('Supp Consol'!S:S,'Supp Consol'!A:A,O1492,'Supp Consol'!I:I,"PENDING"))</f>
        <v/>
      </c>
      <c r="AR1492" s="27" t="str">
        <f t="shared" si="651"/>
        <v>WP115</v>
      </c>
      <c r="AS1492" s="27" t="str">
        <f t="shared" si="652"/>
        <v>62</v>
      </c>
      <c r="AT1492" s="27" t="str">
        <f t="shared" si="653"/>
        <v/>
      </c>
      <c r="AU1492" s="27" t="str">
        <f t="shared" si="654"/>
        <v/>
      </c>
      <c r="AV1492" s="27" t="str">
        <f t="shared" si="655"/>
        <v/>
      </c>
      <c r="AW1492" s="27" t="str">
        <f t="shared" si="656"/>
        <v/>
      </c>
      <c r="AX1492" s="27" t="str">
        <f t="shared" si="657"/>
        <v>WP115</v>
      </c>
      <c r="AY1492" s="27" t="str">
        <f t="shared" si="658"/>
        <v>WP115</v>
      </c>
      <c r="AZ1492" s="27" t="str">
        <f t="shared" si="659"/>
        <v>Supp</v>
      </c>
      <c r="BA1492" s="27" t="str">
        <f t="shared" si="660"/>
        <v>Hun</v>
      </c>
      <c r="BB1492" s="27" t="str">
        <f t="shared" si="661"/>
        <v/>
      </c>
      <c r="BC1492" s="27" t="str">
        <f t="shared" si="662"/>
        <v/>
      </c>
      <c r="BD1492" s="27" t="str">
        <f t="shared" si="663"/>
        <v/>
      </c>
      <c r="BE1492" s="27" t="str">
        <f t="shared" si="664"/>
        <v/>
      </c>
      <c r="BF1492" s="27" t="str">
        <f t="shared" si="665"/>
        <v/>
      </c>
      <c r="BG1492" s="27" t="str">
        <f t="shared" si="666"/>
        <v/>
      </c>
      <c r="BH1492" s="27" t="str">
        <f t="shared" si="667"/>
        <v/>
      </c>
      <c r="BI1492" s="27" t="str">
        <f t="shared" si="668"/>
        <v/>
      </c>
      <c r="BJ1492" s="27" t="str">
        <f t="shared" si="669"/>
        <v>Supp or Hun</v>
      </c>
      <c r="BK1492" s="27" t="str">
        <f t="shared" si="670"/>
        <v/>
      </c>
      <c r="BL1492" s="27" t="str">
        <f t="shared" si="671"/>
        <v/>
      </c>
      <c r="BM1492" s="21" t="s">
        <v>5582</v>
      </c>
    </row>
    <row r="1493" spans="1:65" ht="15">
      <c r="A1493" s="25">
        <f>IFERROR(INDEX('Hun Demand'!W:W,MATCH(O1493,'Hun Demand'!A:A,0)),"")</f>
        <v>1140</v>
      </c>
      <c r="B1493" s="25">
        <f>IFERROR(INDEX('Hun Demand'!V:V,MATCH(O1493,'Hun Demand'!A:A,0)),"")</f>
        <v>128</v>
      </c>
      <c r="C1493" s="25">
        <f>IFERROR(INDEX('Hun Demand'!U:U,MATCH(O1493,'Hun Demand'!A:A,0)),"")</f>
        <v>0</v>
      </c>
      <c r="D1493" s="25">
        <f>IFERROR(INDEX('Hun Demand'!T:T,MATCH(O1493,'Hun Demand'!A:A,0)),"")</f>
        <v>0</v>
      </c>
      <c r="E1493" s="25">
        <f>IFERROR(INDEX('Hun Demand'!S:S,MATCH(O1493,'Hun Demand'!A:A,0)),"")</f>
        <v>168</v>
      </c>
      <c r="F1493" s="25">
        <f>IFERROR(INDEX('Hun Demand'!R:R,MATCH(O1493,'Hun Demand'!A:A,0)),"")</f>
        <v>0</v>
      </c>
      <c r="G1493" s="25">
        <f>IFERROR(INDEX('Aub Demand'!W:W,MATCH(O1493,'Aub Demand'!A:A,0)),"")</f>
        <v>170</v>
      </c>
      <c r="H1493" s="25">
        <f>IFERROR(INDEX('Aub Demand'!V:V,MATCH(O1493,'Aub Demand'!A:A,0)),"")</f>
        <v>150</v>
      </c>
      <c r="I1493" s="25">
        <f>IFERROR(INDEX('Aub Demand'!U:U,MATCH(O1493,'Aub Demand'!A:A,0)),"")</f>
        <v>0</v>
      </c>
      <c r="J1493" s="25">
        <f>IFERROR(INDEX('Aub Demand'!T:T,MATCH(O1493,'Aub Demand'!A:A,0)),"")</f>
        <v>55</v>
      </c>
      <c r="K1493" s="25">
        <f>IFERROR(INDEX('Aub Demand'!S:S,MATCH(O1493,'Aub Demand'!A:A,0)),"")</f>
        <v>65</v>
      </c>
      <c r="L1493" s="25">
        <f>IFERROR(INDEX('Aub Demand'!R:R,MATCH(O1493,'Aub Demand'!A:A,0)),"")</f>
        <v>0</v>
      </c>
      <c r="O1493" s="27" t="s">
        <v>1811</v>
      </c>
      <c r="P1493" s="27" t="str">
        <f>IFERROR(INDEX('Aub Demand'!B:B,MATCH($O1493,'Aub Demand'!$A:$A,0)),"")</f>
        <v>LEAVE LIKATRE</v>
      </c>
      <c r="Q1493" s="27" t="str">
        <f>IFERROR(INDEX('Aub Demand'!C:C,MATCH($O1493,'Aub Demand'!$A:$A,0)),"")</f>
        <v>SCHAT</v>
      </c>
      <c r="R1493" s="52">
        <f>IFERROR(IF(AR1494=AR1493,INDEX('Aub Demand'!K:K,MATCH($O1493,'Aub Demand'!$A:$A,0))-IF(AN1493="",0,AN1493)+AP1494,INDEX('Aub Demand'!K:K,MATCH($O1493,'Aub Demand'!$A:$A,0))-IF(AN1493="",0,AN1493)),"")</f>
        <v>3445</v>
      </c>
      <c r="S1493" s="53">
        <f t="shared" si="644"/>
        <v>369.1</v>
      </c>
      <c r="T1493" s="52" t="str">
        <f t="shared" si="645"/>
        <v/>
      </c>
      <c r="U1493" s="52">
        <f>IFERROR(IF(AR1494=AR1493,INDEX('Aub Demand'!Q:Q,MATCH($O1493,'Aub Demand'!$A:$A,0))-IF(AN1493="",0,AN1493)+AP1494,INDEX('Aub Demand'!Q:Q,MATCH($O1493,'Aub Demand'!$A:$A,0))-IF(AN1493="",0,AN1493)),"")</f>
        <v>3165</v>
      </c>
      <c r="V1493" s="53">
        <f t="shared" si="646"/>
        <v>339.1</v>
      </c>
      <c r="W1493" s="52" t="str">
        <f t="shared" si="647"/>
        <v/>
      </c>
      <c r="X1493" s="52">
        <f>IFERROR(IF(AND(AR1494=AR1493,AM1493&lt;&gt;""),INDEX('Aub Demand'!Q:Q,MATCH($O1493,'Aub Demand'!$A:$A,0))-IF(AN1493="",0,AN1493)+AP1494+AD1493+AL1493,IF(AR1494=AR1493,INDEX('Aub Demand'!Q:Q,MATCH($O1493,'Aub Demand'!$A:$A,0))-IF(AN1493="",0,AN1493)+AP1494+AD1493,IF(AM1493&lt;&gt;"",INDEX('Aub Demand'!Q:Q,MATCH($O1493,'Aub Demand'!$A:$A,0))-IF(AN1493="",0,AN1493)+AD1493+AL1493,INDEX('Aub Demand'!Q:Q,MATCH($O1493,'Aub Demand'!$A:$A,0))-IF(AN1493="",0,AN1493)+AD1493))),"")</f>
        <v>3165</v>
      </c>
      <c r="Y1493" s="53">
        <f t="shared" si="648"/>
        <v>339.1</v>
      </c>
      <c r="Z1493" s="52">
        <f>IF(L1493="","",INDEX('Aub Demand'!H:H,MATCH($O1493,'Aub Demand'!$A:$A,0)))</f>
        <v>40</v>
      </c>
      <c r="AA1493" s="52">
        <f t="shared" si="649"/>
        <v>60</v>
      </c>
      <c r="AB1493" s="52">
        <f>IFERROR(INDEX('Aub Demand'!L:L,MATCH($O1493,'Aub Demand'!$A:$A,0)),"")</f>
        <v>52</v>
      </c>
      <c r="AC1493" s="52">
        <f>IFERROR(IF(O1493="","",SUMIFS('CPL Mats'!F:F,'CPL Mats'!Q:Q,AR1493,'CPL Mats'!S:S,AS1493)),"")</f>
        <v>0</v>
      </c>
      <c r="AF1493" s="25" t="str">
        <f>IF(SUMIFS('Supp Consol'!S:S,'Supp Consol'!Y:Y,"Releasable",'Supp Consol'!A:A,O1493)=0,"",SUMIFS('Supp Consol'!S:S,'Supp Consol'!Y:Y,"Releasable",'Supp Consol'!A:A,O1493))</f>
        <v/>
      </c>
      <c r="AG1493" s="25">
        <f>IFERROR(INDEX('Hun Demand'!Q:Q,MATCH(O1493,'Hun Demand'!A:A,0)),"")</f>
        <v>1318</v>
      </c>
      <c r="AH1493" s="25">
        <f>IFERROR(INDEX('Hun Demand'!H:H,MATCH($O1493,'Hun Demand'!$A:$A,0)),"")</f>
        <v>56</v>
      </c>
      <c r="AI1493" s="25" t="str">
        <f>IF(SUMIFS('Supp Consol'!AA:AA,'Supp Consol'!Z:Z,"Expires this month",'Supp Consol'!A:A,O1493)=0,"",SUMIFS('Supp Consol'!AA:AA,'Supp Consol'!Z:Z,"Expires this month",'Supp Consol'!A:A,O1493))</f>
        <v/>
      </c>
      <c r="AJ1493" s="25" t="str">
        <f>IF(SUMIFS('Supp Consol'!AA:AA,'Supp Consol'!Z:Z,"Expired Previous Months",'Supp Consol'!A:A,O1493)=0,"",SUMIFS('Supp Consol'!AA:AA,'Supp Consol'!Z:Z,"Expired Previous Months",'Supp Consol'!A:A,O1493))</f>
        <v/>
      </c>
      <c r="AK1493" s="25" t="str">
        <f>IFERROR(INDEX('Hun Release Current'!B:B,MATCH(O1493,'Hun Release Current'!A:A,0)),"")</f>
        <v/>
      </c>
      <c r="AL1493" s="25" t="str">
        <f>IF(SUMIF('Prev Aub'!A:A,O1493,'Prev Aub'!B:B)=0,"",SUMIF('Prev Aub'!A:A,O1493,'Prev Aub'!B:B))</f>
        <v/>
      </c>
      <c r="AN1493" s="25" t="s">
        <v>3790</v>
      </c>
      <c r="AO1493" s="25" t="s">
        <v>3790</v>
      </c>
      <c r="AP1493" s="25">
        <f t="shared" si="650"/>
        <v>0</v>
      </c>
      <c r="AQ1493" s="151" t="str">
        <f>IF(SUMIFS('Supp Consol'!S:S,'Supp Consol'!A:A,O1493,'Supp Consol'!I:I,"PENDING")=0,"",SUMIFS('Supp Consol'!S:S,'Supp Consol'!A:A,O1493,'Supp Consol'!I:I,"PENDING"))</f>
        <v/>
      </c>
      <c r="AR1493" s="27" t="str">
        <f t="shared" si="651"/>
        <v>WP120</v>
      </c>
      <c r="AS1493" s="27" t="str">
        <f t="shared" si="652"/>
        <v>50</v>
      </c>
      <c r="AT1493" s="27" t="str">
        <f t="shared" si="653"/>
        <v/>
      </c>
      <c r="AU1493" s="27" t="str">
        <f t="shared" si="654"/>
        <v/>
      </c>
      <c r="AV1493" s="27" t="str">
        <f t="shared" si="655"/>
        <v/>
      </c>
      <c r="AW1493" s="27" t="str">
        <f t="shared" si="656"/>
        <v/>
      </c>
      <c r="AX1493" s="27" t="str">
        <f t="shared" si="657"/>
        <v/>
      </c>
      <c r="AY1493" s="27" t="str">
        <f t="shared" si="658"/>
        <v>WP120</v>
      </c>
      <c r="AZ1493" s="27" t="str">
        <f t="shared" si="659"/>
        <v/>
      </c>
      <c r="BA1493" s="27" t="str">
        <f t="shared" si="660"/>
        <v>Hun</v>
      </c>
      <c r="BB1493" s="27" t="str">
        <f t="shared" si="661"/>
        <v/>
      </c>
      <c r="BC1493" s="27" t="str">
        <f t="shared" si="662"/>
        <v/>
      </c>
      <c r="BD1493" s="27" t="str">
        <f t="shared" si="663"/>
        <v/>
      </c>
      <c r="BE1493" s="27" t="str">
        <f t="shared" si="664"/>
        <v/>
      </c>
      <c r="BF1493" s="27" t="str">
        <f t="shared" si="665"/>
        <v/>
      </c>
      <c r="BG1493" s="27" t="str">
        <f t="shared" si="666"/>
        <v/>
      </c>
      <c r="BH1493" s="27" t="str">
        <f t="shared" si="667"/>
        <v/>
      </c>
      <c r="BI1493" s="27" t="str">
        <f t="shared" si="668"/>
        <v/>
      </c>
      <c r="BJ1493" s="27" t="str">
        <f t="shared" si="669"/>
        <v>Supp or Hun</v>
      </c>
      <c r="BK1493" s="27" t="str">
        <f t="shared" si="670"/>
        <v/>
      </c>
      <c r="BL1493" s="27" t="str">
        <f t="shared" si="671"/>
        <v/>
      </c>
      <c r="BM1493" s="21" t="s">
        <v>5582</v>
      </c>
    </row>
    <row r="1494" spans="1:65" ht="15">
      <c r="A1494" s="25">
        <f>IFERROR(INDEX('Hun Demand'!W:W,MATCH(O1494,'Hun Demand'!A:A,0)),"")</f>
        <v>438</v>
      </c>
      <c r="B1494" s="25">
        <f>IFERROR(INDEX('Hun Demand'!V:V,MATCH(O1494,'Hun Demand'!A:A,0)),"")</f>
        <v>422</v>
      </c>
      <c r="C1494" s="25">
        <f>IFERROR(INDEX('Hun Demand'!U:U,MATCH(O1494,'Hun Demand'!A:A,0)),"")</f>
        <v>0</v>
      </c>
      <c r="D1494" s="25">
        <f>IFERROR(INDEX('Hun Demand'!T:T,MATCH(O1494,'Hun Demand'!A:A,0)),"")</f>
        <v>152</v>
      </c>
      <c r="E1494" s="25">
        <f>IFERROR(INDEX('Hun Demand'!S:S,MATCH(O1494,'Hun Demand'!A:A,0)),"")</f>
        <v>0</v>
      </c>
      <c r="F1494" s="25">
        <f>IFERROR(INDEX('Hun Demand'!R:R,MATCH(O1494,'Hun Demand'!A:A,0)),"")</f>
        <v>0</v>
      </c>
      <c r="G1494" s="25">
        <f>IFERROR(INDEX('Aub Demand'!W:W,MATCH(O1494,'Aub Demand'!A:A,0)),"")</f>
        <v>0</v>
      </c>
      <c r="H1494" s="25">
        <f>IFERROR(INDEX('Aub Demand'!V:V,MATCH(O1494,'Aub Demand'!A:A,0)),"")</f>
        <v>14</v>
      </c>
      <c r="I1494" s="25">
        <f>IFERROR(INDEX('Aub Demand'!U:U,MATCH(O1494,'Aub Demand'!A:A,0)),"")</f>
        <v>0</v>
      </c>
      <c r="J1494" s="25">
        <f>IFERROR(INDEX('Aub Demand'!T:T,MATCH(O1494,'Aub Demand'!A:A,0)),"")</f>
        <v>0</v>
      </c>
      <c r="K1494" s="25">
        <f>IFERROR(INDEX('Aub Demand'!S:S,MATCH(O1494,'Aub Demand'!A:A,0)),"")</f>
        <v>0</v>
      </c>
      <c r="L1494" s="25">
        <f>IFERROR(INDEX('Aub Demand'!R:R,MATCH(O1494,'Aub Demand'!A:A,0)),"")</f>
        <v>0</v>
      </c>
      <c r="O1494" s="27" t="s">
        <v>1813</v>
      </c>
      <c r="P1494" s="27" t="str">
        <f>IFERROR(INDEX('Aub Demand'!B:B,MATCH($O1494,'Aub Demand'!$A:$A,0)),"")</f>
        <v>LEAVE LIKATRE</v>
      </c>
      <c r="Q1494" s="27" t="str">
        <f>IFERROR(INDEX('Aub Demand'!C:C,MATCH($O1494,'Aub Demand'!$A:$A,0)),"")</f>
        <v>SCHAT</v>
      </c>
      <c r="R1494" s="52">
        <f>IFERROR(IF(AR1495=AR1494,INDEX('Aub Demand'!K:K,MATCH($O1494,'Aub Demand'!$A:$A,0))-IF(AN1494="",0,AN1494)+AP1495,INDEX('Aub Demand'!K:K,MATCH($O1494,'Aub Demand'!$A:$A,0))-IF(AN1494="",0,AN1494)),"")</f>
        <v>9006</v>
      </c>
      <c r="S1494" s="53" t="str">
        <f t="shared" si="644"/>
        <v>n/a</v>
      </c>
      <c r="T1494" s="52" t="str">
        <f t="shared" si="645"/>
        <v/>
      </c>
      <c r="U1494" s="52">
        <f>IFERROR(IF(AR1495=AR1494,INDEX('Aub Demand'!Q:Q,MATCH($O1494,'Aub Demand'!$A:$A,0))-IF(AN1494="",0,AN1494)+AP1495,INDEX('Aub Demand'!Q:Q,MATCH($O1494,'Aub Demand'!$A:$A,0))-IF(AN1494="",0,AN1494)),"")</f>
        <v>9006</v>
      </c>
      <c r="V1494" s="53" t="str">
        <f t="shared" si="646"/>
        <v>n/a</v>
      </c>
      <c r="W1494" s="52" t="str">
        <f t="shared" si="647"/>
        <v/>
      </c>
      <c r="X1494" s="52">
        <f>IFERROR(IF(AND(AR1495=AR1494,AM1494&lt;&gt;""),INDEX('Aub Demand'!Q:Q,MATCH($O1494,'Aub Demand'!$A:$A,0))-IF(AN1494="",0,AN1494)+AP1495+AD1494+AL1494,IF(AR1495=AR1494,INDEX('Aub Demand'!Q:Q,MATCH($O1494,'Aub Demand'!$A:$A,0))-IF(AN1494="",0,AN1494)+AP1495+AD1494,IF(AM1494&lt;&gt;"",INDEX('Aub Demand'!Q:Q,MATCH($O1494,'Aub Demand'!$A:$A,0))-IF(AN1494="",0,AN1494)+AD1494+AL1494,INDEX('Aub Demand'!Q:Q,MATCH($O1494,'Aub Demand'!$A:$A,0))-IF(AN1494="",0,AN1494)+AD1494))),"")</f>
        <v>9006</v>
      </c>
      <c r="Y1494" s="53" t="str">
        <f t="shared" si="648"/>
        <v>n/a</v>
      </c>
      <c r="Z1494" s="52">
        <f>IF(L1494="","",INDEX('Aub Demand'!H:H,MATCH($O1494,'Aub Demand'!$A:$A,0)))</f>
        <v>0</v>
      </c>
      <c r="AA1494" s="52" t="str">
        <f t="shared" si="649"/>
        <v>-spike-</v>
      </c>
      <c r="AB1494" s="52">
        <f>IFERROR(INDEX('Aub Demand'!L:L,MATCH($O1494,'Aub Demand'!$A:$A,0)),"")</f>
        <v>35</v>
      </c>
      <c r="AC1494" s="52">
        <f>IFERROR(IF(O1494="","",SUMIFS('CPL Mats'!F:F,'CPL Mats'!Q:Q,AR1494,'CPL Mats'!S:S,AS1494)),"")</f>
        <v>0</v>
      </c>
      <c r="AF1494" s="25" t="str">
        <f>IF(SUMIFS('Supp Consol'!S:S,'Supp Consol'!Y:Y,"Releasable",'Supp Consol'!A:A,O1494)=0,"",SUMIFS('Supp Consol'!S:S,'Supp Consol'!Y:Y,"Releasable",'Supp Consol'!A:A,O1494))</f>
        <v/>
      </c>
      <c r="AG1494" s="25">
        <f>IFERROR(INDEX('Hun Demand'!Q:Q,MATCH(O1494,'Hun Demand'!A:A,0)),"")</f>
        <v>2246</v>
      </c>
      <c r="AH1494" s="25">
        <f>IFERROR(INDEX('Hun Demand'!H:H,MATCH($O1494,'Hun Demand'!$A:$A,0)),"")</f>
        <v>51</v>
      </c>
      <c r="AI1494" s="25" t="str">
        <f>IF(SUMIFS('Supp Consol'!AA:AA,'Supp Consol'!Z:Z,"Expires this month",'Supp Consol'!A:A,O1494)=0,"",SUMIFS('Supp Consol'!AA:AA,'Supp Consol'!Z:Z,"Expires this month",'Supp Consol'!A:A,O1494))</f>
        <v/>
      </c>
      <c r="AJ1494" s="25" t="str">
        <f>IF(SUMIFS('Supp Consol'!AA:AA,'Supp Consol'!Z:Z,"Expired Previous Months",'Supp Consol'!A:A,O1494)=0,"",SUMIFS('Supp Consol'!AA:AA,'Supp Consol'!Z:Z,"Expired Previous Months",'Supp Consol'!A:A,O1494))</f>
        <v/>
      </c>
      <c r="AK1494" s="25" t="str">
        <f>IFERROR(INDEX('Hun Release Current'!B:B,MATCH(O1494,'Hun Release Current'!A:A,0)),"")</f>
        <v/>
      </c>
      <c r="AL1494" s="25" t="str">
        <f>IF(SUMIF('Prev Aub'!A:A,O1494,'Prev Aub'!B:B)=0,"",SUMIF('Prev Aub'!A:A,O1494,'Prev Aub'!B:B))</f>
        <v/>
      </c>
      <c r="AN1494" s="25" t="s">
        <v>3790</v>
      </c>
      <c r="AO1494" s="25" t="s">
        <v>3790</v>
      </c>
      <c r="AP1494" s="25">
        <f t="shared" si="650"/>
        <v>0</v>
      </c>
      <c r="AQ1494" s="151" t="str">
        <f>IF(SUMIFS('Supp Consol'!S:S,'Supp Consol'!A:A,O1494,'Supp Consol'!I:I,"PENDING")=0,"",SUMIFS('Supp Consol'!S:S,'Supp Consol'!A:A,O1494,'Supp Consol'!I:I,"PENDING"))</f>
        <v/>
      </c>
      <c r="AR1494" s="27" t="str">
        <f t="shared" si="651"/>
        <v>WP120</v>
      </c>
      <c r="AS1494" s="27" t="str">
        <f t="shared" si="652"/>
        <v>62</v>
      </c>
      <c r="AT1494" s="27" t="str">
        <f t="shared" si="653"/>
        <v/>
      </c>
      <c r="AU1494" s="27" t="str">
        <f t="shared" si="654"/>
        <v/>
      </c>
      <c r="AV1494" s="27" t="str">
        <f t="shared" si="655"/>
        <v/>
      </c>
      <c r="AW1494" s="27" t="str">
        <f t="shared" si="656"/>
        <v/>
      </c>
      <c r="AX1494" s="27" t="str">
        <f t="shared" si="657"/>
        <v/>
      </c>
      <c r="AY1494" s="27" t="str">
        <f t="shared" si="658"/>
        <v>WP120</v>
      </c>
      <c r="AZ1494" s="27" t="str">
        <f t="shared" si="659"/>
        <v/>
      </c>
      <c r="BA1494" s="27" t="str">
        <f t="shared" si="660"/>
        <v>Hun</v>
      </c>
      <c r="BB1494" s="27" t="str">
        <f t="shared" si="661"/>
        <v/>
      </c>
      <c r="BC1494" s="27" t="str">
        <f t="shared" si="662"/>
        <v/>
      </c>
      <c r="BD1494" s="27" t="str">
        <f t="shared" si="663"/>
        <v/>
      </c>
      <c r="BE1494" s="27" t="str">
        <f t="shared" si="664"/>
        <v/>
      </c>
      <c r="BF1494" s="27" t="str">
        <f t="shared" si="665"/>
        <v/>
      </c>
      <c r="BG1494" s="27" t="str">
        <f t="shared" si="666"/>
        <v/>
      </c>
      <c r="BH1494" s="27" t="str">
        <f t="shared" si="667"/>
        <v/>
      </c>
      <c r="BI1494" s="27" t="str">
        <f t="shared" si="668"/>
        <v/>
      </c>
      <c r="BJ1494" s="27" t="str">
        <f t="shared" si="669"/>
        <v>Supp or Hun</v>
      </c>
      <c r="BK1494" s="27" t="str">
        <f t="shared" si="670"/>
        <v/>
      </c>
      <c r="BL1494" s="27" t="str">
        <f t="shared" si="671"/>
        <v/>
      </c>
      <c r="BM1494" s="21" t="s">
        <v>5582</v>
      </c>
    </row>
    <row r="1495" spans="1:65" ht="15">
      <c r="A1495" s="25">
        <f>IFERROR(INDEX('Hun Demand'!W:W,MATCH(O1495,'Hun Demand'!A:A,0)),"")</f>
        <v>0</v>
      </c>
      <c r="B1495" s="25">
        <f>IFERROR(INDEX('Hun Demand'!V:V,MATCH(O1495,'Hun Demand'!A:A,0)),"")</f>
        <v>0</v>
      </c>
      <c r="C1495" s="25">
        <f>IFERROR(INDEX('Hun Demand'!U:U,MATCH(O1495,'Hun Demand'!A:A,0)),"")</f>
        <v>0</v>
      </c>
      <c r="D1495" s="25">
        <f>IFERROR(INDEX('Hun Demand'!T:T,MATCH(O1495,'Hun Demand'!A:A,0)),"")</f>
        <v>0</v>
      </c>
      <c r="E1495" s="25">
        <f>IFERROR(INDEX('Hun Demand'!S:S,MATCH(O1495,'Hun Demand'!A:A,0)),"")</f>
        <v>0</v>
      </c>
      <c r="F1495" s="25">
        <f>IFERROR(INDEX('Hun Demand'!R:R,MATCH(O1495,'Hun Demand'!A:A,0)),"")</f>
        <v>0</v>
      </c>
      <c r="G1495" s="25">
        <f>IFERROR(INDEX('Aub Demand'!W:W,MATCH(O1495,'Aub Demand'!A:A,0)),"")</f>
        <v>278</v>
      </c>
      <c r="H1495" s="25">
        <f>IFERROR(INDEX('Aub Demand'!V:V,MATCH(O1495,'Aub Demand'!A:A,0)),"")</f>
        <v>121</v>
      </c>
      <c r="I1495" s="25">
        <f>IFERROR(INDEX('Aub Demand'!U:U,MATCH(O1495,'Aub Demand'!A:A,0)),"")</f>
        <v>286</v>
      </c>
      <c r="J1495" s="25">
        <f>IFERROR(INDEX('Aub Demand'!T:T,MATCH(O1495,'Aub Demand'!A:A,0)),"")</f>
        <v>420</v>
      </c>
      <c r="K1495" s="25">
        <f>IFERROR(INDEX('Aub Demand'!S:S,MATCH(O1495,'Aub Demand'!A:A,0)),"")</f>
        <v>207</v>
      </c>
      <c r="L1495" s="25">
        <f>IFERROR(INDEX('Aub Demand'!R:R,MATCH(O1495,'Aub Demand'!A:A,0)),"")</f>
        <v>0</v>
      </c>
      <c r="O1495" s="27" t="s">
        <v>1814</v>
      </c>
      <c r="P1495" s="27" t="str">
        <f>IFERROR(INDEX('Aub Demand'!B:B,MATCH($O1495,'Aub Demand'!$A:$A,0)),"")</f>
        <v>SEEMS LIKATRE</v>
      </c>
      <c r="Q1495" s="27" t="str">
        <f>IFERROR(INDEX('Aub Demand'!C:C,MATCH($O1495,'Aub Demand'!$A:$A,0)),"")</f>
        <v>SCHAT</v>
      </c>
      <c r="R1495" s="52">
        <f>IFERROR(IF(AR1496=AR1495,INDEX('Aub Demand'!K:K,MATCH($O1495,'Aub Demand'!$A:$A,0))-IF(AN1495="",0,AN1495)+AP1496,INDEX('Aub Demand'!K:K,MATCH($O1495,'Aub Demand'!$A:$A,0))-IF(AN1495="",0,AN1495)),"")</f>
        <v>263</v>
      </c>
      <c r="S1495" s="53">
        <f t="shared" si="644"/>
        <v>3.7</v>
      </c>
      <c r="T1495" s="52" t="str">
        <f t="shared" si="645"/>
        <v/>
      </c>
      <c r="U1495" s="52">
        <f>IFERROR(IF(AR1496=AR1495,INDEX('Aub Demand'!Q:Q,MATCH($O1495,'Aub Demand'!$A:$A,0))-IF(AN1495="",0,AN1495)+AP1496,INDEX('Aub Demand'!Q:Q,MATCH($O1495,'Aub Demand'!$A:$A,0))-IF(AN1495="",0,AN1495)),"")</f>
        <v>208</v>
      </c>
      <c r="V1495" s="53">
        <f t="shared" si="646"/>
        <v>2.9</v>
      </c>
      <c r="W1495" s="52">
        <f t="shared" si="647"/>
        <v>8.8250000000000082</v>
      </c>
      <c r="X1495" s="52">
        <f>IFERROR(IF(AND(AR1496=AR1495,AM1495&lt;&gt;""),INDEX('Aub Demand'!Q:Q,MATCH($O1495,'Aub Demand'!$A:$A,0))-IF(AN1495="",0,AN1495)+AP1496+AD1495+AL1495,IF(AR1496=AR1495,INDEX('Aub Demand'!Q:Q,MATCH($O1495,'Aub Demand'!$A:$A,0))-IF(AN1495="",0,AN1495)+AP1496+AD1495,IF(AM1495&lt;&gt;"",INDEX('Aub Demand'!Q:Q,MATCH($O1495,'Aub Demand'!$A:$A,0))-IF(AN1495="",0,AN1495)+AD1495+AL1495,INDEX('Aub Demand'!Q:Q,MATCH($O1495,'Aub Demand'!$A:$A,0))-IF(AN1495="",0,AN1495)+AD1495))),"")</f>
        <v>208</v>
      </c>
      <c r="Y1495" s="53">
        <f t="shared" si="648"/>
        <v>2.9</v>
      </c>
      <c r="Z1495" s="52">
        <f>IF(L1495="","",INDEX('Aub Demand'!H:H,MATCH($O1495,'Aub Demand'!$A:$A,0)))</f>
        <v>304</v>
      </c>
      <c r="AA1495" s="52">
        <f t="shared" si="649"/>
        <v>353</v>
      </c>
      <c r="AB1495" s="52">
        <f>IFERROR(INDEX('Aub Demand'!L:L,MATCH($O1495,'Aub Demand'!$A:$A,0)),"")</f>
        <v>229</v>
      </c>
      <c r="AC1495" s="52">
        <f>IFERROR(IF(O1495="","",SUMIFS('CPL Mats'!F:F,'CPL Mats'!Q:Q,AR1495,'CPL Mats'!S:S,AS1495)),"")</f>
        <v>2205.5700000000002</v>
      </c>
      <c r="AF1495" s="25" t="str">
        <f>IF(SUMIFS('Supp Consol'!S:S,'Supp Consol'!Y:Y,"Releasable",'Supp Consol'!A:A,O1495)=0,"",SUMIFS('Supp Consol'!S:S,'Supp Consol'!Y:Y,"Releasable",'Supp Consol'!A:A,O1495))</f>
        <v/>
      </c>
      <c r="AG1495" s="25">
        <f>IFERROR(INDEX('Hun Demand'!Q:Q,MATCH(O1495,'Hun Demand'!A:A,0)),"")</f>
        <v>976</v>
      </c>
      <c r="AH1495" s="25">
        <f>IFERROR(INDEX('Hun Demand'!H:H,MATCH($O1495,'Hun Demand'!$A:$A,0)),"")</f>
        <v>0</v>
      </c>
      <c r="AI1495" s="25" t="str">
        <f>IF(SUMIFS('Supp Consol'!AA:AA,'Supp Consol'!Z:Z,"Expires this month",'Supp Consol'!A:A,O1495)=0,"",SUMIFS('Supp Consol'!AA:AA,'Supp Consol'!Z:Z,"Expires this month",'Supp Consol'!A:A,O1495))</f>
        <v/>
      </c>
      <c r="AJ1495" s="25" t="str">
        <f>IF(SUMIFS('Supp Consol'!AA:AA,'Supp Consol'!Z:Z,"Expired Previous Months",'Supp Consol'!A:A,O1495)=0,"",SUMIFS('Supp Consol'!AA:AA,'Supp Consol'!Z:Z,"Expired Previous Months",'Supp Consol'!A:A,O1495))</f>
        <v/>
      </c>
      <c r="AK1495" s="25" t="str">
        <f>IFERROR(INDEX('Hun Release Current'!B:B,MATCH(O1495,'Hun Release Current'!A:A,0)),"")</f>
        <v/>
      </c>
      <c r="AL1495" s="25" t="str">
        <f>IF(SUMIF('Prev Aub'!A:A,O1495,'Prev Aub'!B:B)=0,"",SUMIF('Prev Aub'!A:A,O1495,'Prev Aub'!B:B))</f>
        <v/>
      </c>
      <c r="AN1495" s="25" t="s">
        <v>3790</v>
      </c>
      <c r="AO1495" s="25" t="s">
        <v>3790</v>
      </c>
      <c r="AP1495" s="25">
        <f t="shared" si="650"/>
        <v>0</v>
      </c>
      <c r="AQ1495" s="151" t="str">
        <f>IF(SUMIFS('Supp Consol'!S:S,'Supp Consol'!A:A,O1495,'Supp Consol'!I:I,"PENDING")=0,"",SUMIFS('Supp Consol'!S:S,'Supp Consol'!A:A,O1495,'Supp Consol'!I:I,"PENDING"))</f>
        <v/>
      </c>
      <c r="AR1495" s="27" t="str">
        <f t="shared" si="651"/>
        <v>WP125</v>
      </c>
      <c r="AS1495" s="27" t="str">
        <f t="shared" si="652"/>
        <v>50</v>
      </c>
      <c r="AT1495" s="27" t="str">
        <f t="shared" si="653"/>
        <v/>
      </c>
      <c r="AU1495" s="27" t="str">
        <f t="shared" si="654"/>
        <v>WP125</v>
      </c>
      <c r="AV1495" s="27" t="str">
        <f t="shared" si="655"/>
        <v>WP125</v>
      </c>
      <c r="AW1495" s="27" t="str">
        <f t="shared" si="656"/>
        <v/>
      </c>
      <c r="AX1495" s="27" t="str">
        <f t="shared" si="657"/>
        <v/>
      </c>
      <c r="AY1495" s="27" t="str">
        <f t="shared" si="658"/>
        <v>WP125</v>
      </c>
      <c r="AZ1495" s="27" t="str">
        <f t="shared" si="659"/>
        <v/>
      </c>
      <c r="BA1495" s="27" t="str">
        <f t="shared" si="660"/>
        <v>Hun</v>
      </c>
      <c r="BB1495" s="27" t="str">
        <f t="shared" si="661"/>
        <v/>
      </c>
      <c r="BC1495" s="27" t="str">
        <f t="shared" si="662"/>
        <v>Net</v>
      </c>
      <c r="BD1495" s="27" t="str">
        <f t="shared" si="663"/>
        <v>Net</v>
      </c>
      <c r="BE1495" s="27" t="str">
        <f t="shared" si="664"/>
        <v/>
      </c>
      <c r="BF1495" s="27" t="str">
        <f t="shared" si="665"/>
        <v/>
      </c>
      <c r="BG1495" s="27" t="str">
        <f t="shared" si="666"/>
        <v/>
      </c>
      <c r="BH1495" s="27" t="str">
        <f t="shared" si="667"/>
        <v>H+N</v>
      </c>
      <c r="BI1495" s="27" t="str">
        <f t="shared" si="668"/>
        <v>H+Nex</v>
      </c>
      <c r="BJ1495" s="27" t="str">
        <f t="shared" si="669"/>
        <v>Supp or Hun</v>
      </c>
      <c r="BK1495" s="27" t="str">
        <f t="shared" si="670"/>
        <v>Supp or Hun Need</v>
      </c>
      <c r="BL1495" s="27" t="str">
        <f t="shared" si="671"/>
        <v>SorHandNandE</v>
      </c>
      <c r="BM1495" s="21" t="s">
        <v>5582</v>
      </c>
    </row>
    <row r="1496" spans="1:65" ht="15">
      <c r="A1496" s="25">
        <f>IFERROR(INDEX('Hun Demand'!W:W,MATCH(O1496,'Hun Demand'!A:A,0)),"")</f>
        <v>0</v>
      </c>
      <c r="B1496" s="25">
        <f>IFERROR(INDEX('Hun Demand'!V:V,MATCH(O1496,'Hun Demand'!A:A,0)),"")</f>
        <v>0</v>
      </c>
      <c r="C1496" s="25">
        <f>IFERROR(INDEX('Hun Demand'!U:U,MATCH(O1496,'Hun Demand'!A:A,0)),"")</f>
        <v>0</v>
      </c>
      <c r="D1496" s="25">
        <f>IFERROR(INDEX('Hun Demand'!T:T,MATCH(O1496,'Hun Demand'!A:A,0)),"")</f>
        <v>0</v>
      </c>
      <c r="E1496" s="25">
        <f>IFERROR(INDEX('Hun Demand'!S:S,MATCH(O1496,'Hun Demand'!A:A,0)),"")</f>
        <v>0</v>
      </c>
      <c r="F1496" s="25">
        <f>IFERROR(INDEX('Hun Demand'!R:R,MATCH(O1496,'Hun Demand'!A:A,0)),"")</f>
        <v>0</v>
      </c>
      <c r="G1496" s="25">
        <f>IFERROR(INDEX('Aub Demand'!W:W,MATCH(O1496,'Aub Demand'!A:A,0)),"")</f>
        <v>21</v>
      </c>
      <c r="H1496" s="25">
        <f>IFERROR(INDEX('Aub Demand'!V:V,MATCH(O1496,'Aub Demand'!A:A,0)),"")</f>
        <v>0</v>
      </c>
      <c r="I1496" s="25">
        <f>IFERROR(INDEX('Aub Demand'!U:U,MATCH(O1496,'Aub Demand'!A:A,0)),"")</f>
        <v>114</v>
      </c>
      <c r="J1496" s="25">
        <f>IFERROR(INDEX('Aub Demand'!T:T,MATCH(O1496,'Aub Demand'!A:A,0)),"")</f>
        <v>138</v>
      </c>
      <c r="K1496" s="25">
        <f>IFERROR(INDEX('Aub Demand'!S:S,MATCH(O1496,'Aub Demand'!A:A,0)),"")</f>
        <v>0</v>
      </c>
      <c r="L1496" s="25">
        <f>IFERROR(INDEX('Aub Demand'!R:R,MATCH(O1496,'Aub Demand'!A:A,0)),"")</f>
        <v>0</v>
      </c>
      <c r="O1496" s="27" t="s">
        <v>1816</v>
      </c>
      <c r="P1496" s="27" t="str">
        <f>IFERROR(INDEX('Aub Demand'!B:B,MATCH($O1496,'Aub Demand'!$A:$A,0)),"")</f>
        <v>SEEMS LIKATRE</v>
      </c>
      <c r="Q1496" s="27" t="str">
        <f>IFERROR(INDEX('Aub Demand'!C:C,MATCH($O1496,'Aub Demand'!$A:$A,0)),"")</f>
        <v>SCHAT</v>
      </c>
      <c r="R1496" s="52">
        <f>IFERROR(IF(AR1497=AR1496,INDEX('Aub Demand'!K:K,MATCH($O1496,'Aub Demand'!$A:$A,0))-IF(AN1496="",0,AN1496)+AP1497,INDEX('Aub Demand'!K:K,MATCH($O1496,'Aub Demand'!$A:$A,0))-IF(AN1496="",0,AN1496)),"")</f>
        <v>1332</v>
      </c>
      <c r="S1496" s="53">
        <f t="shared" si="644"/>
        <v>68</v>
      </c>
      <c r="T1496" s="52" t="str">
        <f t="shared" si="645"/>
        <v/>
      </c>
      <c r="U1496" s="52">
        <f>IFERROR(IF(AR1497=AR1496,INDEX('Aub Demand'!Q:Q,MATCH($O1496,'Aub Demand'!$A:$A,0))-IF(AN1496="",0,AN1496)+AP1497,INDEX('Aub Demand'!Q:Q,MATCH($O1496,'Aub Demand'!$A:$A,0))-IF(AN1496="",0,AN1496)),"")</f>
        <v>1315</v>
      </c>
      <c r="V1496" s="53">
        <f t="shared" si="646"/>
        <v>67.099999999999994</v>
      </c>
      <c r="W1496" s="52" t="str">
        <f t="shared" si="647"/>
        <v/>
      </c>
      <c r="X1496" s="52">
        <f>IFERROR(IF(AND(AR1497=AR1496,AM1496&lt;&gt;""),INDEX('Aub Demand'!Q:Q,MATCH($O1496,'Aub Demand'!$A:$A,0))-IF(AN1496="",0,AN1496)+AP1497+AD1496+AL1496,IF(AR1497=AR1496,INDEX('Aub Demand'!Q:Q,MATCH($O1496,'Aub Demand'!$A:$A,0))-IF(AN1496="",0,AN1496)+AP1497+AD1496,IF(AM1496&lt;&gt;"",INDEX('Aub Demand'!Q:Q,MATCH($O1496,'Aub Demand'!$A:$A,0))-IF(AN1496="",0,AN1496)+AD1496+AL1496,INDEX('Aub Demand'!Q:Q,MATCH($O1496,'Aub Demand'!$A:$A,0))-IF(AN1496="",0,AN1496)+AD1496))),"")</f>
        <v>1315</v>
      </c>
      <c r="Y1496" s="53">
        <f t="shared" si="648"/>
        <v>67.099999999999994</v>
      </c>
      <c r="Z1496" s="52">
        <f>IF(L1496="","",INDEX('Aub Demand'!H:H,MATCH($O1496,'Aub Demand'!$A:$A,0)))</f>
        <v>84</v>
      </c>
      <c r="AA1496" s="52">
        <f t="shared" si="649"/>
        <v>126</v>
      </c>
      <c r="AB1496" s="52">
        <f>IFERROR(INDEX('Aub Demand'!L:L,MATCH($O1496,'Aub Demand'!$A:$A,0)),"")</f>
        <v>27</v>
      </c>
      <c r="AC1496" s="52">
        <f>IFERROR(IF(O1496="","",SUMIFS('CPL Mats'!F:F,'CPL Mats'!Q:Q,AR1496,'CPL Mats'!S:S,AS1496)),"")</f>
        <v>0</v>
      </c>
      <c r="AF1496" s="25" t="str">
        <f>IF(SUMIFS('Supp Consol'!S:S,'Supp Consol'!Y:Y,"Releasable",'Supp Consol'!A:A,O1496)=0,"",SUMIFS('Supp Consol'!S:S,'Supp Consol'!Y:Y,"Releasable",'Supp Consol'!A:A,O1496))</f>
        <v/>
      </c>
      <c r="AG1496" s="25">
        <f>IFERROR(INDEX('Hun Demand'!Q:Q,MATCH(O1496,'Hun Demand'!A:A,0)),"")</f>
        <v>1103</v>
      </c>
      <c r="AH1496" s="25">
        <f>IFERROR(INDEX('Hun Demand'!H:H,MATCH($O1496,'Hun Demand'!$A:$A,0)),"")</f>
        <v>0</v>
      </c>
      <c r="AI1496" s="25" t="str">
        <f>IF(SUMIFS('Supp Consol'!AA:AA,'Supp Consol'!Z:Z,"Expires this month",'Supp Consol'!A:A,O1496)=0,"",SUMIFS('Supp Consol'!AA:AA,'Supp Consol'!Z:Z,"Expires this month",'Supp Consol'!A:A,O1496))</f>
        <v/>
      </c>
      <c r="AJ1496" s="25" t="str">
        <f>IF(SUMIFS('Supp Consol'!AA:AA,'Supp Consol'!Z:Z,"Expired Previous Months",'Supp Consol'!A:A,O1496)=0,"",SUMIFS('Supp Consol'!AA:AA,'Supp Consol'!Z:Z,"Expired Previous Months",'Supp Consol'!A:A,O1496))</f>
        <v/>
      </c>
      <c r="AK1496" s="25" t="str">
        <f>IFERROR(INDEX('Hun Release Current'!B:B,MATCH(O1496,'Hun Release Current'!A:A,0)),"")</f>
        <v/>
      </c>
      <c r="AL1496" s="25" t="str">
        <f>IF(SUMIF('Prev Aub'!A:A,O1496,'Prev Aub'!B:B)=0,"",SUMIF('Prev Aub'!A:A,O1496,'Prev Aub'!B:B))</f>
        <v/>
      </c>
      <c r="AN1496" s="25" t="s">
        <v>3790</v>
      </c>
      <c r="AO1496" s="25" t="s">
        <v>3790</v>
      </c>
      <c r="AP1496" s="25">
        <f t="shared" si="650"/>
        <v>0</v>
      </c>
      <c r="AQ1496" s="151" t="str">
        <f>IF(SUMIFS('Supp Consol'!S:S,'Supp Consol'!A:A,O1496,'Supp Consol'!I:I,"PENDING")=0,"",SUMIFS('Supp Consol'!S:S,'Supp Consol'!A:A,O1496,'Supp Consol'!I:I,"PENDING"))</f>
        <v/>
      </c>
      <c r="AR1496" s="27" t="str">
        <f t="shared" si="651"/>
        <v>WP125</v>
      </c>
      <c r="AS1496" s="27" t="str">
        <f t="shared" si="652"/>
        <v>62</v>
      </c>
      <c r="AT1496" s="27" t="str">
        <f t="shared" si="653"/>
        <v/>
      </c>
      <c r="AU1496" s="27" t="str">
        <f t="shared" si="654"/>
        <v/>
      </c>
      <c r="AV1496" s="27" t="str">
        <f t="shared" si="655"/>
        <v/>
      </c>
      <c r="AW1496" s="27" t="str">
        <f t="shared" si="656"/>
        <v/>
      </c>
      <c r="AX1496" s="27" t="str">
        <f t="shared" si="657"/>
        <v/>
      </c>
      <c r="AY1496" s="27" t="str">
        <f t="shared" si="658"/>
        <v>WP125</v>
      </c>
      <c r="AZ1496" s="27" t="str">
        <f t="shared" si="659"/>
        <v/>
      </c>
      <c r="BA1496" s="27" t="str">
        <f t="shared" si="660"/>
        <v>Hun</v>
      </c>
      <c r="BB1496" s="27" t="str">
        <f t="shared" si="661"/>
        <v/>
      </c>
      <c r="BC1496" s="27" t="str">
        <f t="shared" si="662"/>
        <v>Net</v>
      </c>
      <c r="BD1496" s="27" t="str">
        <f t="shared" si="663"/>
        <v>Net</v>
      </c>
      <c r="BE1496" s="27" t="str">
        <f t="shared" si="664"/>
        <v/>
      </c>
      <c r="BF1496" s="27" t="str">
        <f t="shared" si="665"/>
        <v/>
      </c>
      <c r="BG1496" s="27" t="str">
        <f t="shared" si="666"/>
        <v/>
      </c>
      <c r="BH1496" s="27" t="str">
        <f t="shared" si="667"/>
        <v>H+N</v>
      </c>
      <c r="BI1496" s="27" t="str">
        <f t="shared" si="668"/>
        <v>H+Nex</v>
      </c>
      <c r="BJ1496" s="27" t="str">
        <f t="shared" si="669"/>
        <v>Supp or Hun</v>
      </c>
      <c r="BK1496" s="27" t="str">
        <f t="shared" si="670"/>
        <v>Supp or Hun Need</v>
      </c>
      <c r="BL1496" s="27" t="str">
        <f t="shared" si="671"/>
        <v>SorHandNandE</v>
      </c>
      <c r="BM1496" s="21" t="s">
        <v>5582</v>
      </c>
    </row>
    <row r="1497" spans="1:65" ht="15">
      <c r="A1497" s="25" t="str">
        <f>IFERROR(INDEX('Hun Demand'!W:W,MATCH(O1497,'Hun Demand'!A:A,0)),"")</f>
        <v/>
      </c>
      <c r="B1497" s="25" t="str">
        <f>IFERROR(INDEX('Hun Demand'!V:V,MATCH(O1497,'Hun Demand'!A:A,0)),"")</f>
        <v/>
      </c>
      <c r="C1497" s="25" t="str">
        <f>IFERROR(INDEX('Hun Demand'!U:U,MATCH(O1497,'Hun Demand'!A:A,0)),"")</f>
        <v/>
      </c>
      <c r="D1497" s="25" t="str">
        <f>IFERROR(INDEX('Hun Demand'!T:T,MATCH(O1497,'Hun Demand'!A:A,0)),"")</f>
        <v/>
      </c>
      <c r="E1497" s="25" t="str">
        <f>IFERROR(INDEX('Hun Demand'!S:S,MATCH(O1497,'Hun Demand'!A:A,0)),"")</f>
        <v/>
      </c>
      <c r="F1497" s="25" t="str">
        <f>IFERROR(INDEX('Hun Demand'!R:R,MATCH(O1497,'Hun Demand'!A:A,0)),"")</f>
        <v/>
      </c>
      <c r="G1497" s="25">
        <f>IFERROR(INDEX('Aub Demand'!W:W,MATCH(O1497,'Aub Demand'!A:A,0)),"")</f>
        <v>0</v>
      </c>
      <c r="H1497" s="25">
        <f>IFERROR(INDEX('Aub Demand'!V:V,MATCH(O1497,'Aub Demand'!A:A,0)),"")</f>
        <v>0</v>
      </c>
      <c r="I1497" s="25">
        <f>IFERROR(INDEX('Aub Demand'!U:U,MATCH(O1497,'Aub Demand'!A:A,0)),"")</f>
        <v>0</v>
      </c>
      <c r="J1497" s="25">
        <f>IFERROR(INDEX('Aub Demand'!T:T,MATCH(O1497,'Aub Demand'!A:A,0)),"")</f>
        <v>0</v>
      </c>
      <c r="K1497" s="25">
        <f>IFERROR(INDEX('Aub Demand'!S:S,MATCH(O1497,'Aub Demand'!A:A,0)),"")</f>
        <v>26</v>
      </c>
      <c r="L1497" s="25">
        <f>IFERROR(INDEX('Aub Demand'!R:R,MATCH(O1497,'Aub Demand'!A:A,0)),"")</f>
        <v>0</v>
      </c>
      <c r="O1497" s="27" t="s">
        <v>5941</v>
      </c>
      <c r="P1497" s="27" t="str">
        <f>IFERROR(INDEX('Aub Demand'!B:B,MATCH($O1497,'Aub Demand'!$A:$A,0)),"")</f>
        <v>MOLTEN LAVA</v>
      </c>
      <c r="Q1497" s="27" t="str">
        <f>IFERROR(INDEX('Aub Demand'!C:C,MATCH($O1497,'Aub Demand'!$A:$A,0)),"")</f>
        <v>SCHAT</v>
      </c>
      <c r="R1497" s="52">
        <f>IFERROR(IF(AR1498=AR1497,INDEX('Aub Demand'!K:K,MATCH($O1497,'Aub Demand'!$A:$A,0))-IF(AN1497="",0,AN1497)+AP1498,INDEX('Aub Demand'!K:K,MATCH($O1497,'Aub Demand'!$A:$A,0))-IF(AN1497="",0,AN1497)),"")</f>
        <v>0</v>
      </c>
      <c r="S1497" s="53">
        <f t="shared" si="644"/>
        <v>0</v>
      </c>
      <c r="T1497" s="52" t="str">
        <f t="shared" si="645"/>
        <v/>
      </c>
      <c r="U1497" s="52">
        <f>IFERROR(IF(AR1498=AR1497,INDEX('Aub Demand'!Q:Q,MATCH($O1497,'Aub Demand'!$A:$A,0))-IF(AN1497="",0,AN1497)+AP1498,INDEX('Aub Demand'!Q:Q,MATCH($O1497,'Aub Demand'!$A:$A,0))-IF(AN1497="",0,AN1497)),"")</f>
        <v>0</v>
      </c>
      <c r="V1497" s="53">
        <f t="shared" si="646"/>
        <v>0</v>
      </c>
      <c r="W1497" s="52" t="str">
        <f t="shared" si="647"/>
        <v/>
      </c>
      <c r="X1497" s="52">
        <f>IFERROR(IF(AND(AR1498=AR1497,AM1497&lt;&gt;""),INDEX('Aub Demand'!Q:Q,MATCH($O1497,'Aub Demand'!$A:$A,0))-IF(AN1497="",0,AN1497)+AP1498+AD1497+AL1497,IF(AR1498=AR1497,INDEX('Aub Demand'!Q:Q,MATCH($O1497,'Aub Demand'!$A:$A,0))-IF(AN1497="",0,AN1497)+AP1498+AD1497,IF(AM1497&lt;&gt;"",INDEX('Aub Demand'!Q:Q,MATCH($O1497,'Aub Demand'!$A:$A,0))-IF(AN1497="",0,AN1497)+AD1497+AL1497,INDEX('Aub Demand'!Q:Q,MATCH($O1497,'Aub Demand'!$A:$A,0))-IF(AN1497="",0,AN1497)+AD1497))),"")</f>
        <v>0</v>
      </c>
      <c r="Y1497" s="53">
        <f t="shared" si="648"/>
        <v>0</v>
      </c>
      <c r="Z1497" s="52">
        <f>IF(L1497="","",INDEX('Aub Demand'!H:H,MATCH($O1497,'Aub Demand'!$A:$A,0)))</f>
        <v>9</v>
      </c>
      <c r="AA1497" s="52" t="str">
        <f t="shared" si="649"/>
        <v>-spike-</v>
      </c>
      <c r="AB1497" s="52">
        <f>IFERROR(INDEX('Aub Demand'!L:L,MATCH($O1497,'Aub Demand'!$A:$A,0)),"")</f>
        <v>0</v>
      </c>
      <c r="AC1497" s="52">
        <f>IFERROR(IF(O1497="","",SUMIFS('CPL Mats'!F:F,'CPL Mats'!Q:Q,AR1497,'CPL Mats'!S:S,AS1497)),"")</f>
        <v>0</v>
      </c>
      <c r="AF1497" s="25" t="str">
        <f>IF(SUMIFS('Supp Consol'!S:S,'Supp Consol'!Y:Y,"Releasable",'Supp Consol'!A:A,O1497)=0,"",SUMIFS('Supp Consol'!S:S,'Supp Consol'!Y:Y,"Releasable",'Supp Consol'!A:A,O1497))</f>
        <v/>
      </c>
      <c r="AG1497" s="25" t="str">
        <f>IFERROR(INDEX('Hun Demand'!Q:Q,MATCH(O1497,'Hun Demand'!A:A,0)),"")</f>
        <v/>
      </c>
      <c r="AH1497" s="25" t="str">
        <f>IFERROR(INDEX('Hun Demand'!H:H,MATCH($O1497,'Hun Demand'!$A:$A,0)),"")</f>
        <v/>
      </c>
      <c r="AI1497" s="25" t="str">
        <f>IF(SUMIFS('Supp Consol'!AA:AA,'Supp Consol'!Z:Z,"Expires this month",'Supp Consol'!A:A,O1497)=0,"",SUMIFS('Supp Consol'!AA:AA,'Supp Consol'!Z:Z,"Expires this month",'Supp Consol'!A:A,O1497))</f>
        <v/>
      </c>
      <c r="AJ1497" s="25" t="str">
        <f>IF(SUMIFS('Supp Consol'!AA:AA,'Supp Consol'!Z:Z,"Expired Previous Months",'Supp Consol'!A:A,O1497)=0,"",SUMIFS('Supp Consol'!AA:AA,'Supp Consol'!Z:Z,"Expired Previous Months",'Supp Consol'!A:A,O1497))</f>
        <v/>
      </c>
      <c r="AK1497" s="25" t="str">
        <f>IFERROR(INDEX('Hun Release Current'!B:B,MATCH(O1497,'Hun Release Current'!A:A,0)),"")</f>
        <v/>
      </c>
      <c r="AL1497" s="25" t="str">
        <f>IF(SUMIF('Prev Aub'!A:A,O1497,'Prev Aub'!B:B)=0,"",SUMIF('Prev Aub'!A:A,O1497,'Prev Aub'!B:B))</f>
        <v/>
      </c>
      <c r="AN1497" s="25" t="s">
        <v>3790</v>
      </c>
      <c r="AO1497" s="25" t="s">
        <v>3790</v>
      </c>
      <c r="AP1497" s="25">
        <f t="shared" si="650"/>
        <v>0</v>
      </c>
      <c r="AQ1497" s="151" t="str">
        <f>IF(SUMIFS('Supp Consol'!S:S,'Supp Consol'!A:A,O1497,'Supp Consol'!I:I,"PENDING")=0,"",SUMIFS('Supp Consol'!S:S,'Supp Consol'!A:A,O1497,'Supp Consol'!I:I,"PENDING"))</f>
        <v/>
      </c>
      <c r="AR1497" s="27" t="str">
        <f t="shared" si="651"/>
        <v>WP130</v>
      </c>
      <c r="AS1497" s="27" t="str">
        <f t="shared" si="652"/>
        <v>50</v>
      </c>
      <c r="AT1497" s="27" t="str">
        <f t="shared" si="653"/>
        <v>WP130</v>
      </c>
      <c r="AU1497" s="27" t="str">
        <f t="shared" si="654"/>
        <v>WP130</v>
      </c>
      <c r="AV1497" s="27" t="str">
        <f t="shared" si="655"/>
        <v>WP130</v>
      </c>
      <c r="AW1497" s="27" t="str">
        <f t="shared" si="656"/>
        <v/>
      </c>
      <c r="AX1497" s="27" t="str">
        <f t="shared" si="657"/>
        <v/>
      </c>
      <c r="AY1497" s="27" t="str">
        <f t="shared" si="658"/>
        <v/>
      </c>
      <c r="AZ1497" s="27" t="str">
        <f t="shared" si="659"/>
        <v/>
      </c>
      <c r="BA1497" s="27" t="str">
        <f t="shared" si="660"/>
        <v/>
      </c>
      <c r="BB1497" s="27" t="str">
        <f t="shared" si="661"/>
        <v>Gross</v>
      </c>
      <c r="BC1497" s="27" t="str">
        <f t="shared" si="662"/>
        <v>Net</v>
      </c>
      <c r="BD1497" s="27" t="str">
        <f t="shared" si="663"/>
        <v>Net</v>
      </c>
      <c r="BE1497" s="27" t="str">
        <f t="shared" si="664"/>
        <v/>
      </c>
      <c r="BF1497" s="27" t="str">
        <f t="shared" si="665"/>
        <v/>
      </c>
      <c r="BG1497" s="27" t="str">
        <f t="shared" si="666"/>
        <v/>
      </c>
      <c r="BH1497" s="27" t="str">
        <f t="shared" si="667"/>
        <v/>
      </c>
      <c r="BI1497" s="27" t="str">
        <f t="shared" si="668"/>
        <v/>
      </c>
      <c r="BJ1497" s="27" t="str">
        <f t="shared" si="669"/>
        <v/>
      </c>
      <c r="BK1497" s="27" t="str">
        <f t="shared" si="670"/>
        <v/>
      </c>
      <c r="BL1497" s="27" t="str">
        <f t="shared" si="671"/>
        <v/>
      </c>
      <c r="BM1497" s="21" t="s">
        <v>3790</v>
      </c>
    </row>
    <row r="1498" spans="1:65" ht="15">
      <c r="A1498" s="25" t="str">
        <f>IFERROR(INDEX('Hun Demand'!W:W,MATCH(O1498,'Hun Demand'!A:A,0)),"")</f>
        <v/>
      </c>
      <c r="B1498" s="25" t="str">
        <f>IFERROR(INDEX('Hun Demand'!V:V,MATCH(O1498,'Hun Demand'!A:A,0)),"")</f>
        <v/>
      </c>
      <c r="C1498" s="25" t="str">
        <f>IFERROR(INDEX('Hun Demand'!U:U,MATCH(O1498,'Hun Demand'!A:A,0)),"")</f>
        <v/>
      </c>
      <c r="D1498" s="25" t="str">
        <f>IFERROR(INDEX('Hun Demand'!T:T,MATCH(O1498,'Hun Demand'!A:A,0)),"")</f>
        <v/>
      </c>
      <c r="E1498" s="25" t="str">
        <f>IFERROR(INDEX('Hun Demand'!S:S,MATCH(O1498,'Hun Demand'!A:A,0)),"")</f>
        <v/>
      </c>
      <c r="F1498" s="25" t="str">
        <f>IFERROR(INDEX('Hun Demand'!R:R,MATCH(O1498,'Hun Demand'!A:A,0)),"")</f>
        <v/>
      </c>
      <c r="G1498" s="25">
        <f>IFERROR(INDEX('Aub Demand'!W:W,MATCH(O1498,'Aub Demand'!A:A,0)),"")</f>
        <v>0</v>
      </c>
      <c r="H1498" s="25">
        <f>IFERROR(INDEX('Aub Demand'!V:V,MATCH(O1498,'Aub Demand'!A:A,0)),"")</f>
        <v>0</v>
      </c>
      <c r="I1498" s="25">
        <f>IFERROR(INDEX('Aub Demand'!U:U,MATCH(O1498,'Aub Demand'!A:A,0)),"")</f>
        <v>0</v>
      </c>
      <c r="J1498" s="25">
        <f>IFERROR(INDEX('Aub Demand'!T:T,MATCH(O1498,'Aub Demand'!A:A,0)),"")</f>
        <v>0</v>
      </c>
      <c r="K1498" s="25">
        <f>IFERROR(INDEX('Aub Demand'!S:S,MATCH(O1498,'Aub Demand'!A:A,0)),"")</f>
        <v>0</v>
      </c>
      <c r="L1498" s="25">
        <f>IFERROR(INDEX('Aub Demand'!R:R,MATCH(O1498,'Aub Demand'!A:A,0)),"")</f>
        <v>0</v>
      </c>
      <c r="O1498" s="27" t="s">
        <v>1819</v>
      </c>
      <c r="P1498" s="27" t="str">
        <f>IFERROR(INDEX('Aub Demand'!B:B,MATCH($O1498,'Aub Demand'!$A:$A,0)),"")</f>
        <v>MOLTEN LAVA</v>
      </c>
      <c r="Q1498" s="27" t="str">
        <f>IFERROR(INDEX('Aub Demand'!C:C,MATCH($O1498,'Aub Demand'!$A:$A,0)),"")</f>
        <v>SCHAT</v>
      </c>
      <c r="R1498" s="52">
        <f>IFERROR(IF(AR1499=AR1498,INDEX('Aub Demand'!K:K,MATCH($O1498,'Aub Demand'!$A:$A,0))-IF(AN1498="",0,AN1498)+AP1499,INDEX('Aub Demand'!K:K,MATCH($O1498,'Aub Demand'!$A:$A,0))-IF(AN1498="",0,AN1498)),"")</f>
        <v>3090</v>
      </c>
      <c r="S1498" s="53" t="str">
        <f t="shared" si="644"/>
        <v>n/a</v>
      </c>
      <c r="T1498" s="52" t="str">
        <f t="shared" si="645"/>
        <v/>
      </c>
      <c r="U1498" s="52">
        <f>IFERROR(IF(AR1499=AR1498,INDEX('Aub Demand'!Q:Q,MATCH($O1498,'Aub Demand'!$A:$A,0))-IF(AN1498="",0,AN1498)+AP1499,INDEX('Aub Demand'!Q:Q,MATCH($O1498,'Aub Demand'!$A:$A,0))-IF(AN1498="",0,AN1498)),"")</f>
        <v>3090</v>
      </c>
      <c r="V1498" s="53" t="str">
        <f t="shared" si="646"/>
        <v>n/a</v>
      </c>
      <c r="W1498" s="52" t="str">
        <f t="shared" si="647"/>
        <v/>
      </c>
      <c r="X1498" s="52">
        <f>IFERROR(IF(AND(AR1499=AR1498,AM1498&lt;&gt;""),INDEX('Aub Demand'!Q:Q,MATCH($O1498,'Aub Demand'!$A:$A,0))-IF(AN1498="",0,AN1498)+AP1499+AD1498+AL1498,IF(AR1499=AR1498,INDEX('Aub Demand'!Q:Q,MATCH($O1498,'Aub Demand'!$A:$A,0))-IF(AN1498="",0,AN1498)+AP1499+AD1498,IF(AM1498&lt;&gt;"",INDEX('Aub Demand'!Q:Q,MATCH($O1498,'Aub Demand'!$A:$A,0))-IF(AN1498="",0,AN1498)+AD1498+AL1498,INDEX('Aub Demand'!Q:Q,MATCH($O1498,'Aub Demand'!$A:$A,0))-IF(AN1498="",0,AN1498)+AD1498))),"")</f>
        <v>3090</v>
      </c>
      <c r="Y1498" s="53" t="str">
        <f t="shared" si="648"/>
        <v>n/a</v>
      </c>
      <c r="Z1498" s="52">
        <f>IF(L1498="","",INDEX('Aub Demand'!H:H,MATCH($O1498,'Aub Demand'!$A:$A,0)))</f>
        <v>0</v>
      </c>
      <c r="AA1498" s="52" t="str">
        <f t="shared" si="649"/>
        <v>-spike-</v>
      </c>
      <c r="AB1498" s="52">
        <f>IFERROR(INDEX('Aub Demand'!L:L,MATCH($O1498,'Aub Demand'!$A:$A,0)),"")</f>
        <v>0</v>
      </c>
      <c r="AC1498" s="52">
        <f>IFERROR(IF(O1498="","",SUMIFS('CPL Mats'!F:F,'CPL Mats'!Q:Q,AR1498,'CPL Mats'!S:S,AS1498)),"")</f>
        <v>0</v>
      </c>
      <c r="AF1498" s="25" t="str">
        <f>IF(SUMIFS('Supp Consol'!S:S,'Supp Consol'!Y:Y,"Releasable",'Supp Consol'!A:A,O1498)=0,"",SUMIFS('Supp Consol'!S:S,'Supp Consol'!Y:Y,"Releasable",'Supp Consol'!A:A,O1498))</f>
        <v/>
      </c>
      <c r="AG1498" s="25" t="str">
        <f>IFERROR(INDEX('Hun Demand'!Q:Q,MATCH(O1498,'Hun Demand'!A:A,0)),"")</f>
        <v/>
      </c>
      <c r="AH1498" s="25" t="str">
        <f>IFERROR(INDEX('Hun Demand'!H:H,MATCH($O1498,'Hun Demand'!$A:$A,0)),"")</f>
        <v/>
      </c>
      <c r="AI1498" s="25" t="str">
        <f>IF(SUMIFS('Supp Consol'!AA:AA,'Supp Consol'!Z:Z,"Expires this month",'Supp Consol'!A:A,O1498)=0,"",SUMIFS('Supp Consol'!AA:AA,'Supp Consol'!Z:Z,"Expires this month",'Supp Consol'!A:A,O1498))</f>
        <v/>
      </c>
      <c r="AJ1498" s="25" t="str">
        <f>IF(SUMIFS('Supp Consol'!AA:AA,'Supp Consol'!Z:Z,"Expired Previous Months",'Supp Consol'!A:A,O1498)=0,"",SUMIFS('Supp Consol'!AA:AA,'Supp Consol'!Z:Z,"Expired Previous Months",'Supp Consol'!A:A,O1498))</f>
        <v/>
      </c>
      <c r="AK1498" s="25" t="str">
        <f>IFERROR(INDEX('Hun Release Current'!B:B,MATCH(O1498,'Hun Release Current'!A:A,0)),"")</f>
        <v/>
      </c>
      <c r="AL1498" s="25" t="str">
        <f>IF(SUMIF('Prev Aub'!A:A,O1498,'Prev Aub'!B:B)=0,"",SUMIF('Prev Aub'!A:A,O1498,'Prev Aub'!B:B))</f>
        <v/>
      </c>
      <c r="AN1498" s="25" t="s">
        <v>3790</v>
      </c>
      <c r="AO1498" s="25" t="s">
        <v>3790</v>
      </c>
      <c r="AP1498" s="25">
        <f t="shared" si="650"/>
        <v>0</v>
      </c>
      <c r="AQ1498" s="151" t="str">
        <f>IF(SUMIFS('Supp Consol'!S:S,'Supp Consol'!A:A,O1498,'Supp Consol'!I:I,"PENDING")=0,"",SUMIFS('Supp Consol'!S:S,'Supp Consol'!A:A,O1498,'Supp Consol'!I:I,"PENDING"))</f>
        <v/>
      </c>
      <c r="AR1498" s="27" t="str">
        <f t="shared" si="651"/>
        <v>WP130</v>
      </c>
      <c r="AS1498" s="27" t="str">
        <f t="shared" si="652"/>
        <v>62</v>
      </c>
      <c r="AT1498" s="27" t="str">
        <f t="shared" si="653"/>
        <v/>
      </c>
      <c r="AU1498" s="27" t="str">
        <f t="shared" si="654"/>
        <v/>
      </c>
      <c r="AV1498" s="27" t="str">
        <f t="shared" si="655"/>
        <v/>
      </c>
      <c r="AW1498" s="27" t="str">
        <f t="shared" si="656"/>
        <v/>
      </c>
      <c r="AX1498" s="27" t="str">
        <f t="shared" si="657"/>
        <v/>
      </c>
      <c r="AY1498" s="27" t="str">
        <f t="shared" si="658"/>
        <v/>
      </c>
      <c r="AZ1498" s="27" t="str">
        <f t="shared" si="659"/>
        <v/>
      </c>
      <c r="BA1498" s="27" t="str">
        <f t="shared" si="660"/>
        <v/>
      </c>
      <c r="BB1498" s="27" t="str">
        <f t="shared" si="661"/>
        <v>Gross</v>
      </c>
      <c r="BC1498" s="27" t="str">
        <f t="shared" si="662"/>
        <v>Net</v>
      </c>
      <c r="BD1498" s="27" t="str">
        <f t="shared" si="663"/>
        <v>Net</v>
      </c>
      <c r="BE1498" s="27" t="str">
        <f t="shared" si="664"/>
        <v/>
      </c>
      <c r="BF1498" s="27" t="str">
        <f t="shared" si="665"/>
        <v/>
      </c>
      <c r="BG1498" s="27" t="str">
        <f t="shared" si="666"/>
        <v/>
      </c>
      <c r="BH1498" s="27" t="str">
        <f t="shared" si="667"/>
        <v/>
      </c>
      <c r="BI1498" s="27" t="str">
        <f t="shared" si="668"/>
        <v/>
      </c>
      <c r="BJ1498" s="27" t="str">
        <f t="shared" si="669"/>
        <v/>
      </c>
      <c r="BK1498" s="27" t="str">
        <f t="shared" si="670"/>
        <v/>
      </c>
      <c r="BL1498" s="27" t="str">
        <f t="shared" si="671"/>
        <v/>
      </c>
      <c r="BM1498" s="21" t="s">
        <v>3790</v>
      </c>
    </row>
    <row r="1499" spans="1:65" ht="15">
      <c r="A1499" s="25">
        <f>IFERROR(INDEX('Hun Demand'!W:W,MATCH(O1499,'Hun Demand'!A:A,0)),"")</f>
        <v>0</v>
      </c>
      <c r="B1499" s="25">
        <f>IFERROR(INDEX('Hun Demand'!V:V,MATCH(O1499,'Hun Demand'!A:A,0)),"")</f>
        <v>100</v>
      </c>
      <c r="C1499" s="25">
        <f>IFERROR(INDEX('Hun Demand'!U:U,MATCH(O1499,'Hun Demand'!A:A,0)),"")</f>
        <v>100</v>
      </c>
      <c r="D1499" s="25">
        <f>IFERROR(INDEX('Hun Demand'!T:T,MATCH(O1499,'Hun Demand'!A:A,0)),"")</f>
        <v>0</v>
      </c>
      <c r="E1499" s="25">
        <f>IFERROR(INDEX('Hun Demand'!S:S,MATCH(O1499,'Hun Demand'!A:A,0)),"")</f>
        <v>0</v>
      </c>
      <c r="F1499" s="25">
        <f>IFERROR(INDEX('Hun Demand'!R:R,MATCH(O1499,'Hun Demand'!A:A,0)),"")</f>
        <v>0</v>
      </c>
      <c r="G1499" s="25">
        <f>IFERROR(INDEX('Aub Demand'!W:W,MATCH(O1499,'Aub Demand'!A:A,0)),"")</f>
        <v>44</v>
      </c>
      <c r="H1499" s="25">
        <f>IFERROR(INDEX('Aub Demand'!V:V,MATCH(O1499,'Aub Demand'!A:A,0)),"")</f>
        <v>302</v>
      </c>
      <c r="I1499" s="25">
        <f>IFERROR(INDEX('Aub Demand'!U:U,MATCH(O1499,'Aub Demand'!A:A,0)),"")</f>
        <v>67</v>
      </c>
      <c r="J1499" s="25">
        <f>IFERROR(INDEX('Aub Demand'!T:T,MATCH(O1499,'Aub Demand'!A:A,0)),"")</f>
        <v>104</v>
      </c>
      <c r="K1499" s="25">
        <f>IFERROR(INDEX('Aub Demand'!S:S,MATCH(O1499,'Aub Demand'!A:A,0)),"")</f>
        <v>169</v>
      </c>
      <c r="L1499" s="25">
        <f>IFERROR(INDEX('Aub Demand'!R:R,MATCH(O1499,'Aub Demand'!A:A,0)),"")</f>
        <v>0</v>
      </c>
      <c r="O1499" s="27" t="s">
        <v>1820</v>
      </c>
      <c r="P1499" s="27" t="str">
        <f>IFERROR(INDEX('Aub Demand'!B:B,MATCH($O1499,'Aub Demand'!$A:$A,0)),"")</f>
        <v>LICORICE STICK</v>
      </c>
      <c r="Q1499" s="27" t="str">
        <f>IFERROR(INDEX('Aub Demand'!C:C,MATCH($O1499,'Aub Demand'!$A:$A,0)),"")</f>
        <v>SCHAT</v>
      </c>
      <c r="R1499" s="52">
        <f>IFERROR(IF(AR1500=AR1499,INDEX('Aub Demand'!K:K,MATCH($O1499,'Aub Demand'!$A:$A,0))-IF(AN1499="",0,AN1499)+AP1500,INDEX('Aub Demand'!K:K,MATCH($O1499,'Aub Demand'!$A:$A,0))-IF(AN1499="",0,AN1499)),"")</f>
        <v>621</v>
      </c>
      <c r="S1499" s="53">
        <f t="shared" si="644"/>
        <v>23.6</v>
      </c>
      <c r="T1499" s="52" t="str">
        <f t="shared" si="645"/>
        <v/>
      </c>
      <c r="U1499" s="52">
        <f>IFERROR(IF(AR1500=AR1499,INDEX('Aub Demand'!Q:Q,MATCH($O1499,'Aub Demand'!$A:$A,0))-IF(AN1499="",0,AN1499)+AP1500,INDEX('Aub Demand'!Q:Q,MATCH($O1499,'Aub Demand'!$A:$A,0))-IF(AN1499="",0,AN1499)),"")</f>
        <v>553</v>
      </c>
      <c r="V1499" s="53">
        <f t="shared" si="646"/>
        <v>21</v>
      </c>
      <c r="W1499" s="52" t="str">
        <f t="shared" si="647"/>
        <v/>
      </c>
      <c r="X1499" s="52">
        <f>IFERROR(IF(AND(AR1500=AR1499,AM1499&lt;&gt;""),INDEX('Aub Demand'!Q:Q,MATCH($O1499,'Aub Demand'!$A:$A,0))-IF(AN1499="",0,AN1499)+AP1500+AD1499+AL1499,IF(AR1500=AR1499,INDEX('Aub Demand'!Q:Q,MATCH($O1499,'Aub Demand'!$A:$A,0))-IF(AN1499="",0,AN1499)+AP1500+AD1499,IF(AM1499&lt;&gt;"",INDEX('Aub Demand'!Q:Q,MATCH($O1499,'Aub Demand'!$A:$A,0))-IF(AN1499="",0,AN1499)+AD1499+AL1499,INDEX('Aub Demand'!Q:Q,MATCH($O1499,'Aub Demand'!$A:$A,0))-IF(AN1499="",0,AN1499)+AD1499))),"")</f>
        <v>553</v>
      </c>
      <c r="Y1499" s="53">
        <f t="shared" si="648"/>
        <v>21</v>
      </c>
      <c r="Z1499" s="52">
        <f>IF(L1499="","",INDEX('Aub Demand'!H:H,MATCH($O1499,'Aub Demand'!$A:$A,0)))</f>
        <v>113</v>
      </c>
      <c r="AA1499" s="52">
        <f t="shared" si="649"/>
        <v>136.5</v>
      </c>
      <c r="AB1499" s="52">
        <f>IFERROR(INDEX('Aub Demand'!L:L,MATCH($O1499,'Aub Demand'!$A:$A,0)),"")</f>
        <v>8</v>
      </c>
      <c r="AC1499" s="52">
        <f>IFERROR(IF(O1499="","",SUMIFS('CPL Mats'!F:F,'CPL Mats'!Q:Q,AR1499,'CPL Mats'!S:S,AS1499)),"")</f>
        <v>0</v>
      </c>
      <c r="AF1499" s="25" t="str">
        <f>IF(SUMIFS('Supp Consol'!S:S,'Supp Consol'!Y:Y,"Releasable",'Supp Consol'!A:A,O1499)=0,"",SUMIFS('Supp Consol'!S:S,'Supp Consol'!Y:Y,"Releasable",'Supp Consol'!A:A,O1499))</f>
        <v/>
      </c>
      <c r="AG1499" s="25">
        <f>IFERROR(INDEX('Hun Demand'!Q:Q,MATCH(O1499,'Hun Demand'!A:A,0)),"")</f>
        <v>178</v>
      </c>
      <c r="AH1499" s="25">
        <f>IFERROR(INDEX('Hun Demand'!H:H,MATCH($O1499,'Hun Demand'!$A:$A,0)),"")</f>
        <v>33</v>
      </c>
      <c r="AI1499" s="25" t="str">
        <f>IF(SUMIFS('Supp Consol'!AA:AA,'Supp Consol'!Z:Z,"Expires this month",'Supp Consol'!A:A,O1499)=0,"",SUMIFS('Supp Consol'!AA:AA,'Supp Consol'!Z:Z,"Expires this month",'Supp Consol'!A:A,O1499))</f>
        <v/>
      </c>
      <c r="AJ1499" s="25" t="str">
        <f>IF(SUMIFS('Supp Consol'!AA:AA,'Supp Consol'!Z:Z,"Expired Previous Months",'Supp Consol'!A:A,O1499)=0,"",SUMIFS('Supp Consol'!AA:AA,'Supp Consol'!Z:Z,"Expired Previous Months",'Supp Consol'!A:A,O1499))</f>
        <v/>
      </c>
      <c r="AK1499" s="25" t="str">
        <f>IFERROR(INDEX('Hun Release Current'!B:B,MATCH(O1499,'Hun Release Current'!A:A,0)),"")</f>
        <v/>
      </c>
      <c r="AL1499" s="25" t="str">
        <f>IF(SUMIF('Prev Aub'!A:A,O1499,'Prev Aub'!B:B)=0,"",SUMIF('Prev Aub'!A:A,O1499,'Prev Aub'!B:B))</f>
        <v/>
      </c>
      <c r="AN1499" s="25" t="s">
        <v>3790</v>
      </c>
      <c r="AO1499" s="25" t="s">
        <v>3790</v>
      </c>
      <c r="AP1499" s="25">
        <f t="shared" si="650"/>
        <v>0</v>
      </c>
      <c r="AQ1499" s="151" t="str">
        <f>IF(SUMIFS('Supp Consol'!S:S,'Supp Consol'!A:A,O1499,'Supp Consol'!I:I,"PENDING")=0,"",SUMIFS('Supp Consol'!S:S,'Supp Consol'!A:A,O1499,'Supp Consol'!I:I,"PENDING"))</f>
        <v/>
      </c>
      <c r="AR1499" s="27" t="str">
        <f t="shared" si="651"/>
        <v>WP140</v>
      </c>
      <c r="AS1499" s="27" t="str">
        <f t="shared" si="652"/>
        <v>50</v>
      </c>
      <c r="AT1499" s="27" t="str">
        <f t="shared" si="653"/>
        <v/>
      </c>
      <c r="AU1499" s="27" t="str">
        <f t="shared" si="654"/>
        <v/>
      </c>
      <c r="AV1499" s="27" t="str">
        <f t="shared" si="655"/>
        <v/>
      </c>
      <c r="AW1499" s="27" t="str">
        <f t="shared" si="656"/>
        <v/>
      </c>
      <c r="AX1499" s="27" t="str">
        <f t="shared" si="657"/>
        <v/>
      </c>
      <c r="AY1499" s="27" t="str">
        <f t="shared" si="658"/>
        <v>WP140</v>
      </c>
      <c r="AZ1499" s="27" t="str">
        <f t="shared" si="659"/>
        <v/>
      </c>
      <c r="BA1499" s="27" t="str">
        <f t="shared" si="660"/>
        <v>Hun</v>
      </c>
      <c r="BB1499" s="27" t="str">
        <f t="shared" si="661"/>
        <v/>
      </c>
      <c r="BC1499" s="27" t="str">
        <f t="shared" si="662"/>
        <v/>
      </c>
      <c r="BD1499" s="27" t="str">
        <f t="shared" si="663"/>
        <v/>
      </c>
      <c r="BE1499" s="27" t="str">
        <f t="shared" si="664"/>
        <v/>
      </c>
      <c r="BF1499" s="27" t="str">
        <f t="shared" si="665"/>
        <v/>
      </c>
      <c r="BG1499" s="27" t="str">
        <f t="shared" si="666"/>
        <v/>
      </c>
      <c r="BH1499" s="27" t="str">
        <f t="shared" si="667"/>
        <v/>
      </c>
      <c r="BI1499" s="27" t="str">
        <f t="shared" si="668"/>
        <v/>
      </c>
      <c r="BJ1499" s="27" t="str">
        <f t="shared" si="669"/>
        <v>Supp or Hun</v>
      </c>
      <c r="BK1499" s="27" t="str">
        <f t="shared" si="670"/>
        <v/>
      </c>
      <c r="BL1499" s="27" t="str">
        <f t="shared" si="671"/>
        <v/>
      </c>
      <c r="BM1499" s="21" t="s">
        <v>5581</v>
      </c>
    </row>
    <row r="1500" spans="1:65" ht="15">
      <c r="A1500" s="25" t="str">
        <f>IFERROR(INDEX('Hun Demand'!W:W,MATCH(O1500,'Hun Demand'!A:A,0)),"")</f>
        <v/>
      </c>
      <c r="B1500" s="25" t="str">
        <f>IFERROR(INDEX('Hun Demand'!V:V,MATCH(O1500,'Hun Demand'!A:A,0)),"")</f>
        <v/>
      </c>
      <c r="C1500" s="25" t="str">
        <f>IFERROR(INDEX('Hun Demand'!U:U,MATCH(O1500,'Hun Demand'!A:A,0)),"")</f>
        <v/>
      </c>
      <c r="D1500" s="25" t="str">
        <f>IFERROR(INDEX('Hun Demand'!T:T,MATCH(O1500,'Hun Demand'!A:A,0)),"")</f>
        <v/>
      </c>
      <c r="E1500" s="25" t="str">
        <f>IFERROR(INDEX('Hun Demand'!S:S,MATCH(O1500,'Hun Demand'!A:A,0)),"")</f>
        <v/>
      </c>
      <c r="F1500" s="25" t="str">
        <f>IFERROR(INDEX('Hun Demand'!R:R,MATCH(O1500,'Hun Demand'!A:A,0)),"")</f>
        <v/>
      </c>
      <c r="G1500" s="25">
        <f>IFERROR(INDEX('Aub Demand'!W:W,MATCH(O1500,'Aub Demand'!A:A,0)),"")</f>
        <v>0</v>
      </c>
      <c r="H1500" s="25">
        <f>IFERROR(INDEX('Aub Demand'!V:V,MATCH(O1500,'Aub Demand'!A:A,0)),"")</f>
        <v>0</v>
      </c>
      <c r="I1500" s="25">
        <f>IFERROR(INDEX('Aub Demand'!U:U,MATCH(O1500,'Aub Demand'!A:A,0)),"")</f>
        <v>0</v>
      </c>
      <c r="J1500" s="25">
        <f>IFERROR(INDEX('Aub Demand'!T:T,MATCH(O1500,'Aub Demand'!A:A,0)),"")</f>
        <v>0</v>
      </c>
      <c r="K1500" s="25">
        <f>IFERROR(INDEX('Aub Demand'!S:S,MATCH(O1500,'Aub Demand'!A:A,0)),"")</f>
        <v>21</v>
      </c>
      <c r="L1500" s="25">
        <f>IFERROR(INDEX('Aub Demand'!R:R,MATCH(O1500,'Aub Demand'!A:A,0)),"")</f>
        <v>0</v>
      </c>
      <c r="O1500" s="27" t="s">
        <v>1822</v>
      </c>
      <c r="P1500" s="27" t="str">
        <f>IFERROR(INDEX('Aub Demand'!B:B,MATCH($O1500,'Aub Demand'!$A:$A,0)),"")</f>
        <v>LICORICE STICK</v>
      </c>
      <c r="Q1500" s="27" t="str">
        <f>IFERROR(INDEX('Aub Demand'!C:C,MATCH($O1500,'Aub Demand'!$A:$A,0)),"")</f>
        <v>SCHAT</v>
      </c>
      <c r="R1500" s="52">
        <f>IFERROR(IF(AR1501=AR1500,INDEX('Aub Demand'!K:K,MATCH($O1500,'Aub Demand'!$A:$A,0))-IF(AN1500="",0,AN1500)+AP1501,INDEX('Aub Demand'!K:K,MATCH($O1500,'Aub Demand'!$A:$A,0))-IF(AN1500="",0,AN1500)),"")</f>
        <v>2110</v>
      </c>
      <c r="S1500" s="53">
        <f t="shared" si="644"/>
        <v>1291.8</v>
      </c>
      <c r="T1500" s="52" t="str">
        <f t="shared" si="645"/>
        <v/>
      </c>
      <c r="U1500" s="52">
        <f>IFERROR(IF(AR1501=AR1500,INDEX('Aub Demand'!Q:Q,MATCH($O1500,'Aub Demand'!$A:$A,0))-IF(AN1500="",0,AN1500)+AP1501,INDEX('Aub Demand'!Q:Q,MATCH($O1500,'Aub Demand'!$A:$A,0))-IF(AN1500="",0,AN1500)),"")</f>
        <v>2110</v>
      </c>
      <c r="V1500" s="53">
        <f t="shared" si="646"/>
        <v>1291.8</v>
      </c>
      <c r="W1500" s="52" t="str">
        <f t="shared" si="647"/>
        <v/>
      </c>
      <c r="X1500" s="52">
        <f>IFERROR(IF(AND(AR1501=AR1500,AM1500&lt;&gt;""),INDEX('Aub Demand'!Q:Q,MATCH($O1500,'Aub Demand'!$A:$A,0))-IF(AN1500="",0,AN1500)+AP1501+AD1500+AL1500,IF(AR1501=AR1500,INDEX('Aub Demand'!Q:Q,MATCH($O1500,'Aub Demand'!$A:$A,0))-IF(AN1500="",0,AN1500)+AP1501+AD1500,IF(AM1500&lt;&gt;"",INDEX('Aub Demand'!Q:Q,MATCH($O1500,'Aub Demand'!$A:$A,0))-IF(AN1500="",0,AN1500)+AD1500+AL1500,INDEX('Aub Demand'!Q:Q,MATCH($O1500,'Aub Demand'!$A:$A,0))-IF(AN1500="",0,AN1500)+AD1500))),"")</f>
        <v>2110</v>
      </c>
      <c r="Y1500" s="53">
        <f t="shared" si="648"/>
        <v>1291.8</v>
      </c>
      <c r="Z1500" s="52">
        <f>IF(L1500="","",INDEX('Aub Demand'!H:H,MATCH($O1500,'Aub Demand'!$A:$A,0)))</f>
        <v>7</v>
      </c>
      <c r="AA1500" s="52" t="str">
        <f t="shared" si="649"/>
        <v>-spike-</v>
      </c>
      <c r="AB1500" s="52">
        <f>IFERROR(INDEX('Aub Demand'!L:L,MATCH($O1500,'Aub Demand'!$A:$A,0)),"")</f>
        <v>19</v>
      </c>
      <c r="AC1500" s="52">
        <f>IFERROR(IF(O1500="","",SUMIFS('CPL Mats'!F:F,'CPL Mats'!Q:Q,AR1500,'CPL Mats'!S:S,AS1500)),"")</f>
        <v>0</v>
      </c>
      <c r="AF1500" s="25" t="str">
        <f>IF(SUMIFS('Supp Consol'!S:S,'Supp Consol'!Y:Y,"Releasable",'Supp Consol'!A:A,O1500)=0,"",SUMIFS('Supp Consol'!S:S,'Supp Consol'!Y:Y,"Releasable",'Supp Consol'!A:A,O1500))</f>
        <v/>
      </c>
      <c r="AG1500" s="25" t="str">
        <f>IFERROR(INDEX('Hun Demand'!Q:Q,MATCH(O1500,'Hun Demand'!A:A,0)),"")</f>
        <v/>
      </c>
      <c r="AH1500" s="25" t="str">
        <f>IFERROR(INDEX('Hun Demand'!H:H,MATCH($O1500,'Hun Demand'!$A:$A,0)),"")</f>
        <v/>
      </c>
      <c r="AI1500" s="25" t="str">
        <f>IF(SUMIFS('Supp Consol'!AA:AA,'Supp Consol'!Z:Z,"Expires this month",'Supp Consol'!A:A,O1500)=0,"",SUMIFS('Supp Consol'!AA:AA,'Supp Consol'!Z:Z,"Expires this month",'Supp Consol'!A:A,O1500))</f>
        <v/>
      </c>
      <c r="AJ1500" s="25" t="str">
        <f>IF(SUMIFS('Supp Consol'!AA:AA,'Supp Consol'!Z:Z,"Expired Previous Months",'Supp Consol'!A:A,O1500)=0,"",SUMIFS('Supp Consol'!AA:AA,'Supp Consol'!Z:Z,"Expired Previous Months",'Supp Consol'!A:A,O1500))</f>
        <v/>
      </c>
      <c r="AK1500" s="25" t="str">
        <f>IFERROR(INDEX('Hun Release Current'!B:B,MATCH(O1500,'Hun Release Current'!A:A,0)),"")</f>
        <v/>
      </c>
      <c r="AL1500" s="25" t="str">
        <f>IF(SUMIF('Prev Aub'!A:A,O1500,'Prev Aub'!B:B)=0,"",SUMIF('Prev Aub'!A:A,O1500,'Prev Aub'!B:B))</f>
        <v/>
      </c>
      <c r="AN1500" s="25" t="s">
        <v>3790</v>
      </c>
      <c r="AO1500" s="25" t="s">
        <v>3790</v>
      </c>
      <c r="AP1500" s="25">
        <f t="shared" si="650"/>
        <v>0</v>
      </c>
      <c r="AQ1500" s="151" t="str">
        <f>IF(SUMIFS('Supp Consol'!S:S,'Supp Consol'!A:A,O1500,'Supp Consol'!I:I,"PENDING")=0,"",SUMIFS('Supp Consol'!S:S,'Supp Consol'!A:A,O1500,'Supp Consol'!I:I,"PENDING"))</f>
        <v/>
      </c>
      <c r="AR1500" s="27" t="str">
        <f t="shared" si="651"/>
        <v>WP140</v>
      </c>
      <c r="AS1500" s="27" t="str">
        <f t="shared" si="652"/>
        <v>62</v>
      </c>
      <c r="AT1500" s="27" t="str">
        <f t="shared" si="653"/>
        <v/>
      </c>
      <c r="AU1500" s="27" t="str">
        <f t="shared" si="654"/>
        <v/>
      </c>
      <c r="AV1500" s="27" t="str">
        <f t="shared" si="655"/>
        <v/>
      </c>
      <c r="AW1500" s="27" t="str">
        <f t="shared" si="656"/>
        <v/>
      </c>
      <c r="AX1500" s="27" t="str">
        <f t="shared" si="657"/>
        <v/>
      </c>
      <c r="AY1500" s="27" t="str">
        <f t="shared" si="658"/>
        <v/>
      </c>
      <c r="AZ1500" s="27" t="str">
        <f t="shared" si="659"/>
        <v/>
      </c>
      <c r="BA1500" s="27" t="str">
        <f t="shared" si="660"/>
        <v>Hun</v>
      </c>
      <c r="BB1500" s="27" t="str">
        <f t="shared" si="661"/>
        <v/>
      </c>
      <c r="BC1500" s="27" t="str">
        <f t="shared" si="662"/>
        <v/>
      </c>
      <c r="BD1500" s="27" t="str">
        <f t="shared" si="663"/>
        <v/>
      </c>
      <c r="BE1500" s="27" t="str">
        <f t="shared" si="664"/>
        <v/>
      </c>
      <c r="BF1500" s="27" t="str">
        <f t="shared" si="665"/>
        <v/>
      </c>
      <c r="BG1500" s="27" t="str">
        <f t="shared" si="666"/>
        <v/>
      </c>
      <c r="BH1500" s="27" t="str">
        <f t="shared" si="667"/>
        <v/>
      </c>
      <c r="BI1500" s="27" t="str">
        <f t="shared" si="668"/>
        <v/>
      </c>
      <c r="BJ1500" s="27" t="str">
        <f t="shared" si="669"/>
        <v>Supp or Hun</v>
      </c>
      <c r="BK1500" s="27" t="str">
        <f t="shared" si="670"/>
        <v/>
      </c>
      <c r="BL1500" s="27" t="str">
        <f t="shared" si="671"/>
        <v/>
      </c>
      <c r="BM1500" s="21" t="s">
        <v>5581</v>
      </c>
    </row>
    <row r="1501" spans="1:65" ht="15">
      <c r="A1501" s="25" t="str">
        <f>IFERROR(INDEX('Hun Demand'!W:W,MATCH(O1501,'Hun Demand'!A:A,0)),"")</f>
        <v/>
      </c>
      <c r="B1501" s="25" t="str">
        <f>IFERROR(INDEX('Hun Demand'!V:V,MATCH(O1501,'Hun Demand'!A:A,0)),"")</f>
        <v/>
      </c>
      <c r="C1501" s="25" t="str">
        <f>IFERROR(INDEX('Hun Demand'!U:U,MATCH(O1501,'Hun Demand'!A:A,0)),"")</f>
        <v/>
      </c>
      <c r="D1501" s="25" t="str">
        <f>IFERROR(INDEX('Hun Demand'!T:T,MATCH(O1501,'Hun Demand'!A:A,0)),"")</f>
        <v/>
      </c>
      <c r="E1501" s="25" t="str">
        <f>IFERROR(INDEX('Hun Demand'!S:S,MATCH(O1501,'Hun Demand'!A:A,0)),"")</f>
        <v/>
      </c>
      <c r="F1501" s="25" t="str">
        <f>IFERROR(INDEX('Hun Demand'!R:R,MATCH(O1501,'Hun Demand'!A:A,0)),"")</f>
        <v/>
      </c>
      <c r="G1501" s="25">
        <f>IFERROR(INDEX('Aub Demand'!W:W,MATCH(O1501,'Aub Demand'!A:A,0)),"")</f>
        <v>65</v>
      </c>
      <c r="H1501" s="25">
        <f>IFERROR(INDEX('Aub Demand'!V:V,MATCH(O1501,'Aub Demand'!A:A,0)),"")</f>
        <v>0</v>
      </c>
      <c r="I1501" s="25">
        <f>IFERROR(INDEX('Aub Demand'!U:U,MATCH(O1501,'Aub Demand'!A:A,0)),"")</f>
        <v>0</v>
      </c>
      <c r="J1501" s="25">
        <f>IFERROR(INDEX('Aub Demand'!T:T,MATCH(O1501,'Aub Demand'!A:A,0)),"")</f>
        <v>0</v>
      </c>
      <c r="K1501" s="25">
        <f>IFERROR(INDEX('Aub Demand'!S:S,MATCH(O1501,'Aub Demand'!A:A,0)),"")</f>
        <v>0</v>
      </c>
      <c r="L1501" s="25">
        <f>IFERROR(INDEX('Aub Demand'!R:R,MATCH(O1501,'Aub Demand'!A:A,0)),"")</f>
        <v>0</v>
      </c>
      <c r="O1501" s="27" t="s">
        <v>3094</v>
      </c>
      <c r="P1501" s="27" t="str">
        <f>IFERROR(INDEX('Aub Demand'!B:B,MATCH($O1501,'Aub Demand'!$A:$A,0)),"")</f>
        <v>WEATHERED STORM</v>
      </c>
      <c r="Q1501" s="27" t="str">
        <f>IFERROR(INDEX('Aub Demand'!C:C,MATCH($O1501,'Aub Demand'!$A:$A,0)),"")</f>
        <v>TOPPA</v>
      </c>
      <c r="R1501" s="52">
        <f>IFERROR(IF(AR1502=AR1501,INDEX('Aub Demand'!K:K,MATCH($O1501,'Aub Demand'!$A:$A,0))-IF(AN1501="",0,AN1501)+AP1502,INDEX('Aub Demand'!K:K,MATCH($O1501,'Aub Demand'!$A:$A,0))-IF(AN1501="",0,AN1501)),"")</f>
        <v>188</v>
      </c>
      <c r="S1501" s="53" t="str">
        <f t="shared" si="644"/>
        <v>n/a</v>
      </c>
      <c r="T1501" s="52" t="str">
        <f t="shared" si="645"/>
        <v/>
      </c>
      <c r="U1501" s="52">
        <f>IFERROR(IF(AR1502=AR1501,INDEX('Aub Demand'!Q:Q,MATCH($O1501,'Aub Demand'!$A:$A,0))-IF(AN1501="",0,AN1501)+AP1502,INDEX('Aub Demand'!Q:Q,MATCH($O1501,'Aub Demand'!$A:$A,0))-IF(AN1501="",0,AN1501)),"")</f>
        <v>188</v>
      </c>
      <c r="V1501" s="53" t="str">
        <f t="shared" si="646"/>
        <v>n/a</v>
      </c>
      <c r="W1501" s="52" t="str">
        <f t="shared" si="647"/>
        <v/>
      </c>
      <c r="X1501" s="52">
        <f>IFERROR(IF(AND(AR1502=AR1501,AM1501&lt;&gt;""),INDEX('Aub Demand'!Q:Q,MATCH($O1501,'Aub Demand'!$A:$A,0))-IF(AN1501="",0,AN1501)+AP1502+AD1501+AL1501,IF(AR1502=AR1501,INDEX('Aub Demand'!Q:Q,MATCH($O1501,'Aub Demand'!$A:$A,0))-IF(AN1501="",0,AN1501)+AP1502+AD1501,IF(AM1501&lt;&gt;"",INDEX('Aub Demand'!Q:Q,MATCH($O1501,'Aub Demand'!$A:$A,0))-IF(AN1501="",0,AN1501)+AD1501+AL1501,INDEX('Aub Demand'!Q:Q,MATCH($O1501,'Aub Demand'!$A:$A,0))-IF(AN1501="",0,AN1501)+AD1501))),"")</f>
        <v>188</v>
      </c>
      <c r="Y1501" s="53" t="str">
        <f t="shared" si="648"/>
        <v>n/a</v>
      </c>
      <c r="Z1501" s="52">
        <f>IF(L1501="","",INDEX('Aub Demand'!H:H,MATCH($O1501,'Aub Demand'!$A:$A,0)))</f>
        <v>0</v>
      </c>
      <c r="AA1501" s="52" t="str">
        <f t="shared" si="649"/>
        <v>-spike-</v>
      </c>
      <c r="AB1501" s="52">
        <f>IFERROR(INDEX('Aub Demand'!L:L,MATCH($O1501,'Aub Demand'!$A:$A,0)),"")</f>
        <v>17</v>
      </c>
      <c r="AC1501" s="52">
        <f>IFERROR(IF(O1501="","",SUMIFS('CPL Mats'!F:F,'CPL Mats'!Q:Q,AR1501,'CPL Mats'!S:S,AS1501)),"")</f>
        <v>0</v>
      </c>
      <c r="AF1501" s="25" t="str">
        <f>IF(SUMIFS('Supp Consol'!S:S,'Supp Consol'!Y:Y,"Releasable",'Supp Consol'!A:A,O1501)=0,"",SUMIFS('Supp Consol'!S:S,'Supp Consol'!Y:Y,"Releasable",'Supp Consol'!A:A,O1501))</f>
        <v/>
      </c>
      <c r="AG1501" s="25" t="str">
        <f>IFERROR(INDEX('Hun Demand'!Q:Q,MATCH(O1501,'Hun Demand'!A:A,0)),"")</f>
        <v/>
      </c>
      <c r="AH1501" s="25" t="str">
        <f>IFERROR(INDEX('Hun Demand'!H:H,MATCH($O1501,'Hun Demand'!$A:$A,0)),"")</f>
        <v/>
      </c>
      <c r="AI1501" s="25" t="str">
        <f>IF(SUMIFS('Supp Consol'!AA:AA,'Supp Consol'!Z:Z,"Expires this month",'Supp Consol'!A:A,O1501)=0,"",SUMIFS('Supp Consol'!AA:AA,'Supp Consol'!Z:Z,"Expires this month",'Supp Consol'!A:A,O1501))</f>
        <v/>
      </c>
      <c r="AJ1501" s="25" t="str">
        <f>IF(SUMIFS('Supp Consol'!AA:AA,'Supp Consol'!Z:Z,"Expired Previous Months",'Supp Consol'!A:A,O1501)=0,"",SUMIFS('Supp Consol'!AA:AA,'Supp Consol'!Z:Z,"Expired Previous Months",'Supp Consol'!A:A,O1501))</f>
        <v/>
      </c>
      <c r="AK1501" s="25" t="str">
        <f>IFERROR(INDEX('Hun Release Current'!B:B,MATCH(O1501,'Hun Release Current'!A:A,0)),"")</f>
        <v/>
      </c>
      <c r="AL1501" s="25" t="str">
        <f>IF(SUMIF('Prev Aub'!A:A,O1501,'Prev Aub'!B:B)=0,"",SUMIF('Prev Aub'!A:A,O1501,'Prev Aub'!B:B))</f>
        <v/>
      </c>
      <c r="AN1501" s="25" t="s">
        <v>3790</v>
      </c>
      <c r="AO1501" s="25" t="s">
        <v>3790</v>
      </c>
      <c r="AP1501" s="25">
        <f t="shared" si="650"/>
        <v>0</v>
      </c>
      <c r="AQ1501" s="151" t="str">
        <f>IF(SUMIFS('Supp Consol'!S:S,'Supp Consol'!A:A,O1501,'Supp Consol'!I:I,"PENDING")=0,"",SUMIFS('Supp Consol'!S:S,'Supp Consol'!A:A,O1501,'Supp Consol'!I:I,"PENDING"))</f>
        <v/>
      </c>
      <c r="AR1501" s="27" t="str">
        <f t="shared" si="651"/>
        <v>WP300</v>
      </c>
      <c r="AS1501" s="27" t="str">
        <f t="shared" si="652"/>
        <v>50</v>
      </c>
      <c r="AT1501" s="27" t="str">
        <f t="shared" si="653"/>
        <v/>
      </c>
      <c r="AU1501" s="27" t="str">
        <f t="shared" si="654"/>
        <v/>
      </c>
      <c r="AV1501" s="27" t="str">
        <f t="shared" si="655"/>
        <v/>
      </c>
      <c r="AW1501" s="27" t="str">
        <f t="shared" si="656"/>
        <v/>
      </c>
      <c r="AX1501" s="27" t="str">
        <f t="shared" si="657"/>
        <v/>
      </c>
      <c r="AY1501" s="27" t="str">
        <f t="shared" si="658"/>
        <v/>
      </c>
      <c r="AZ1501" s="27" t="str">
        <f t="shared" si="659"/>
        <v/>
      </c>
      <c r="BA1501" s="27" t="str">
        <f t="shared" si="660"/>
        <v>Hun</v>
      </c>
      <c r="BB1501" s="27" t="str">
        <f t="shared" si="661"/>
        <v/>
      </c>
      <c r="BC1501" s="27" t="str">
        <f t="shared" si="662"/>
        <v/>
      </c>
      <c r="BD1501" s="27" t="str">
        <f t="shared" si="663"/>
        <v/>
      </c>
      <c r="BE1501" s="27" t="str">
        <f t="shared" si="664"/>
        <v/>
      </c>
      <c r="BF1501" s="27" t="str">
        <f t="shared" si="665"/>
        <v/>
      </c>
      <c r="BG1501" s="27" t="str">
        <f t="shared" si="666"/>
        <v/>
      </c>
      <c r="BH1501" s="27" t="str">
        <f t="shared" si="667"/>
        <v/>
      </c>
      <c r="BI1501" s="27" t="str">
        <f t="shared" si="668"/>
        <v/>
      </c>
      <c r="BJ1501" s="27" t="str">
        <f t="shared" si="669"/>
        <v>Supp or Hun</v>
      </c>
      <c r="BK1501" s="27" t="str">
        <f t="shared" si="670"/>
        <v/>
      </c>
      <c r="BL1501" s="27" t="str">
        <f t="shared" si="671"/>
        <v/>
      </c>
      <c r="BM1501" s="21" t="s">
        <v>5581</v>
      </c>
    </row>
    <row r="1502" spans="1:65" ht="15">
      <c r="A1502" s="25">
        <f>IFERROR(INDEX('Hun Demand'!W:W,MATCH(O1502,'Hun Demand'!A:A,0)),"")</f>
        <v>0</v>
      </c>
      <c r="B1502" s="25">
        <f>IFERROR(INDEX('Hun Demand'!V:V,MATCH(O1502,'Hun Demand'!A:A,0)),"")</f>
        <v>0</v>
      </c>
      <c r="C1502" s="25">
        <f>IFERROR(INDEX('Hun Demand'!U:U,MATCH(O1502,'Hun Demand'!A:A,0)),"")</f>
        <v>0</v>
      </c>
      <c r="D1502" s="25">
        <f>IFERROR(INDEX('Hun Demand'!T:T,MATCH(O1502,'Hun Demand'!A:A,0)),"")</f>
        <v>0</v>
      </c>
      <c r="E1502" s="25">
        <f>IFERROR(INDEX('Hun Demand'!S:S,MATCH(O1502,'Hun Demand'!A:A,0)),"")</f>
        <v>0</v>
      </c>
      <c r="F1502" s="25">
        <f>IFERROR(INDEX('Hun Demand'!R:R,MATCH(O1502,'Hun Demand'!A:A,0)),"")</f>
        <v>0</v>
      </c>
      <c r="G1502" s="25">
        <f>IFERROR(INDEX('Aub Demand'!W:W,MATCH(O1502,'Aub Demand'!A:A,0)),"")</f>
        <v>35</v>
      </c>
      <c r="H1502" s="25">
        <f>IFERROR(INDEX('Aub Demand'!V:V,MATCH(O1502,'Aub Demand'!A:A,0)),"")</f>
        <v>0</v>
      </c>
      <c r="I1502" s="25">
        <f>IFERROR(INDEX('Aub Demand'!U:U,MATCH(O1502,'Aub Demand'!A:A,0)),"")</f>
        <v>0</v>
      </c>
      <c r="J1502" s="25">
        <f>IFERROR(INDEX('Aub Demand'!T:T,MATCH(O1502,'Aub Demand'!A:A,0)),"")</f>
        <v>0</v>
      </c>
      <c r="K1502" s="25">
        <f>IFERROR(INDEX('Aub Demand'!S:S,MATCH(O1502,'Aub Demand'!A:A,0)),"")</f>
        <v>0</v>
      </c>
      <c r="L1502" s="25">
        <f>IFERROR(INDEX('Aub Demand'!R:R,MATCH(O1502,'Aub Demand'!A:A,0)),"")</f>
        <v>0</v>
      </c>
      <c r="O1502" s="27" t="s">
        <v>3096</v>
      </c>
      <c r="P1502" s="27" t="str">
        <f>IFERROR(INDEX('Aub Demand'!B:B,MATCH($O1502,'Aub Demand'!$A:$A,0)),"")</f>
        <v>WEATHERED STORM</v>
      </c>
      <c r="Q1502" s="27" t="str">
        <f>IFERROR(INDEX('Aub Demand'!C:C,MATCH($O1502,'Aub Demand'!$A:$A,0)),"")</f>
        <v>TOPPA</v>
      </c>
      <c r="R1502" s="52">
        <f>IFERROR(IF(AR1503=AR1502,INDEX('Aub Demand'!K:K,MATCH($O1502,'Aub Demand'!$A:$A,0))-IF(AN1502="",0,AN1502)+AP1503,INDEX('Aub Demand'!K:K,MATCH($O1502,'Aub Demand'!$A:$A,0))-IF(AN1502="",0,AN1502)),"")</f>
        <v>1810</v>
      </c>
      <c r="S1502" s="53" t="str">
        <f t="shared" si="644"/>
        <v>n/a</v>
      </c>
      <c r="T1502" s="52" t="str">
        <f t="shared" si="645"/>
        <v/>
      </c>
      <c r="U1502" s="52">
        <f>IFERROR(IF(AR1503=AR1502,INDEX('Aub Demand'!Q:Q,MATCH($O1502,'Aub Demand'!$A:$A,0))-IF(AN1502="",0,AN1502)+AP1503,INDEX('Aub Demand'!Q:Q,MATCH($O1502,'Aub Demand'!$A:$A,0))-IF(AN1502="",0,AN1502)),"")</f>
        <v>1810</v>
      </c>
      <c r="V1502" s="53" t="str">
        <f t="shared" si="646"/>
        <v>n/a</v>
      </c>
      <c r="W1502" s="52" t="str">
        <f t="shared" si="647"/>
        <v/>
      </c>
      <c r="X1502" s="52">
        <f>IFERROR(IF(AND(AR1503=AR1502,AM1502&lt;&gt;""),INDEX('Aub Demand'!Q:Q,MATCH($O1502,'Aub Demand'!$A:$A,0))-IF(AN1502="",0,AN1502)+AP1503+AD1502+AL1502,IF(AR1503=AR1502,INDEX('Aub Demand'!Q:Q,MATCH($O1502,'Aub Demand'!$A:$A,0))-IF(AN1502="",0,AN1502)+AP1503+AD1502,IF(AM1502&lt;&gt;"",INDEX('Aub Demand'!Q:Q,MATCH($O1502,'Aub Demand'!$A:$A,0))-IF(AN1502="",0,AN1502)+AD1502+AL1502,INDEX('Aub Demand'!Q:Q,MATCH($O1502,'Aub Demand'!$A:$A,0))-IF(AN1502="",0,AN1502)+AD1502))),"")</f>
        <v>1810</v>
      </c>
      <c r="Y1502" s="53" t="str">
        <f t="shared" si="648"/>
        <v>n/a</v>
      </c>
      <c r="Z1502" s="52">
        <f>IF(L1502="","",INDEX('Aub Demand'!H:H,MATCH($O1502,'Aub Demand'!$A:$A,0)))</f>
        <v>0</v>
      </c>
      <c r="AA1502" s="52" t="str">
        <f t="shared" si="649"/>
        <v>-spike-</v>
      </c>
      <c r="AB1502" s="52">
        <f>IFERROR(INDEX('Aub Demand'!L:L,MATCH($O1502,'Aub Demand'!$A:$A,0)),"")</f>
        <v>0</v>
      </c>
      <c r="AC1502" s="52">
        <f>IFERROR(IF(O1502="","",SUMIFS('CPL Mats'!F:F,'CPL Mats'!Q:Q,AR1502,'CPL Mats'!S:S,AS1502)),"")</f>
        <v>0</v>
      </c>
      <c r="AF1502" s="25" t="str">
        <f>IF(SUMIFS('Supp Consol'!S:S,'Supp Consol'!Y:Y,"Releasable",'Supp Consol'!A:A,O1502)=0,"",SUMIFS('Supp Consol'!S:S,'Supp Consol'!Y:Y,"Releasable",'Supp Consol'!A:A,O1502))</f>
        <v/>
      </c>
      <c r="AG1502" s="25">
        <f>IFERROR(INDEX('Hun Demand'!Q:Q,MATCH(O1502,'Hun Demand'!A:A,0)),"")</f>
        <v>145</v>
      </c>
      <c r="AH1502" s="25">
        <f>IFERROR(INDEX('Hun Demand'!H:H,MATCH($O1502,'Hun Demand'!$A:$A,0)),"")</f>
        <v>0</v>
      </c>
      <c r="AI1502" s="25" t="str">
        <f>IF(SUMIFS('Supp Consol'!AA:AA,'Supp Consol'!Z:Z,"Expires this month",'Supp Consol'!A:A,O1502)=0,"",SUMIFS('Supp Consol'!AA:AA,'Supp Consol'!Z:Z,"Expires this month",'Supp Consol'!A:A,O1502))</f>
        <v/>
      </c>
      <c r="AJ1502" s="25" t="str">
        <f>IF(SUMIFS('Supp Consol'!AA:AA,'Supp Consol'!Z:Z,"Expired Previous Months",'Supp Consol'!A:A,O1502)=0,"",SUMIFS('Supp Consol'!AA:AA,'Supp Consol'!Z:Z,"Expired Previous Months",'Supp Consol'!A:A,O1502))</f>
        <v/>
      </c>
      <c r="AK1502" s="25" t="str">
        <f>IFERROR(INDEX('Hun Release Current'!B:B,MATCH(O1502,'Hun Release Current'!A:A,0)),"")</f>
        <v/>
      </c>
      <c r="AL1502" s="25" t="str">
        <f>IF(SUMIF('Prev Aub'!A:A,O1502,'Prev Aub'!B:B)=0,"",SUMIF('Prev Aub'!A:A,O1502,'Prev Aub'!B:B))</f>
        <v/>
      </c>
      <c r="AN1502" s="25" t="s">
        <v>3790</v>
      </c>
      <c r="AO1502" s="25" t="s">
        <v>3790</v>
      </c>
      <c r="AP1502" s="25">
        <f t="shared" si="650"/>
        <v>0</v>
      </c>
      <c r="AQ1502" s="151" t="str">
        <f>IF(SUMIFS('Supp Consol'!S:S,'Supp Consol'!A:A,O1502,'Supp Consol'!I:I,"PENDING")=0,"",SUMIFS('Supp Consol'!S:S,'Supp Consol'!A:A,O1502,'Supp Consol'!I:I,"PENDING"))</f>
        <v/>
      </c>
      <c r="AR1502" s="27" t="str">
        <f t="shared" si="651"/>
        <v>WP300</v>
      </c>
      <c r="AS1502" s="27" t="str">
        <f t="shared" si="652"/>
        <v>62</v>
      </c>
      <c r="AT1502" s="27" t="str">
        <f t="shared" si="653"/>
        <v/>
      </c>
      <c r="AU1502" s="27" t="str">
        <f t="shared" si="654"/>
        <v/>
      </c>
      <c r="AV1502" s="27" t="str">
        <f t="shared" si="655"/>
        <v/>
      </c>
      <c r="AW1502" s="27" t="str">
        <f t="shared" si="656"/>
        <v/>
      </c>
      <c r="AX1502" s="27" t="str">
        <f t="shared" si="657"/>
        <v/>
      </c>
      <c r="AY1502" s="27" t="str">
        <f t="shared" si="658"/>
        <v>WP300</v>
      </c>
      <c r="AZ1502" s="27" t="str">
        <f t="shared" si="659"/>
        <v/>
      </c>
      <c r="BA1502" s="27" t="str">
        <f t="shared" si="660"/>
        <v>Hun</v>
      </c>
      <c r="BB1502" s="27" t="str">
        <f t="shared" si="661"/>
        <v/>
      </c>
      <c r="BC1502" s="27" t="str">
        <f t="shared" si="662"/>
        <v/>
      </c>
      <c r="BD1502" s="27" t="str">
        <f t="shared" si="663"/>
        <v/>
      </c>
      <c r="BE1502" s="27" t="str">
        <f t="shared" si="664"/>
        <v/>
      </c>
      <c r="BF1502" s="27" t="str">
        <f t="shared" si="665"/>
        <v/>
      </c>
      <c r="BG1502" s="27" t="str">
        <f t="shared" si="666"/>
        <v/>
      </c>
      <c r="BH1502" s="27" t="str">
        <f t="shared" si="667"/>
        <v/>
      </c>
      <c r="BI1502" s="27" t="str">
        <f t="shared" si="668"/>
        <v/>
      </c>
      <c r="BJ1502" s="27" t="str">
        <f t="shared" si="669"/>
        <v>Supp or Hun</v>
      </c>
      <c r="BK1502" s="27" t="str">
        <f t="shared" si="670"/>
        <v/>
      </c>
      <c r="BL1502" s="27" t="str">
        <f t="shared" si="671"/>
        <v/>
      </c>
      <c r="BM1502" s="21" t="s">
        <v>5581</v>
      </c>
    </row>
    <row r="1503" spans="1:65" ht="15">
      <c r="A1503" s="25">
        <f>IFERROR(INDEX('Hun Demand'!W:W,MATCH(O1503,'Hun Demand'!A:A,0)),"")</f>
        <v>0</v>
      </c>
      <c r="B1503" s="25">
        <f>IFERROR(INDEX('Hun Demand'!V:V,MATCH(O1503,'Hun Demand'!A:A,0)),"")</f>
        <v>258</v>
      </c>
      <c r="C1503" s="25">
        <f>IFERROR(INDEX('Hun Demand'!U:U,MATCH(O1503,'Hun Demand'!A:A,0)),"")</f>
        <v>0</v>
      </c>
      <c r="D1503" s="25">
        <f>IFERROR(INDEX('Hun Demand'!T:T,MATCH(O1503,'Hun Demand'!A:A,0)),"")</f>
        <v>0</v>
      </c>
      <c r="E1503" s="25">
        <f>IFERROR(INDEX('Hun Demand'!S:S,MATCH(O1503,'Hun Demand'!A:A,0)),"")</f>
        <v>0</v>
      </c>
      <c r="F1503" s="25">
        <f>IFERROR(INDEX('Hun Demand'!R:R,MATCH(O1503,'Hun Demand'!A:A,0)),"")</f>
        <v>0</v>
      </c>
      <c r="G1503" s="25">
        <f>IFERROR(INDEX('Aub Demand'!W:W,MATCH(O1503,'Aub Demand'!A:A,0)),"")</f>
        <v>750</v>
      </c>
      <c r="H1503" s="25">
        <f>IFERROR(INDEX('Aub Demand'!V:V,MATCH(O1503,'Aub Demand'!A:A,0)),"")</f>
        <v>0</v>
      </c>
      <c r="I1503" s="25">
        <f>IFERROR(INDEX('Aub Demand'!U:U,MATCH(O1503,'Aub Demand'!A:A,0)),"")</f>
        <v>94</v>
      </c>
      <c r="J1503" s="25">
        <f>IFERROR(INDEX('Aub Demand'!T:T,MATCH(O1503,'Aub Demand'!A:A,0)),"")</f>
        <v>51</v>
      </c>
      <c r="K1503" s="25">
        <f>IFERROR(INDEX('Aub Demand'!S:S,MATCH(O1503,'Aub Demand'!A:A,0)),"")</f>
        <v>24</v>
      </c>
      <c r="L1503" s="25">
        <f>IFERROR(INDEX('Aub Demand'!R:R,MATCH(O1503,'Aub Demand'!A:A,0)),"")</f>
        <v>0</v>
      </c>
      <c r="O1503" s="27" t="s">
        <v>1823</v>
      </c>
      <c r="P1503" s="27" t="str">
        <f>IFERROR(INDEX('Aub Demand'!B:B,MATCH($O1503,'Aub Demand'!$A:$A,0)),"")</f>
        <v>S'MORES</v>
      </c>
      <c r="Q1503" s="27" t="str">
        <f>IFERROR(INDEX('Aub Demand'!C:C,MATCH($O1503,'Aub Demand'!$A:$A,0)),"")</f>
        <v>LAMIG</v>
      </c>
      <c r="R1503" s="52">
        <f>IFERROR(IF(AR1504=AR1503,INDEX('Aub Demand'!K:K,MATCH($O1503,'Aub Demand'!$A:$A,0))-IF(AN1503="",0,AN1503)+AP1504,INDEX('Aub Demand'!K:K,MATCH($O1503,'Aub Demand'!$A:$A,0))-IF(AN1503="",0,AN1503)),"")</f>
        <v>212</v>
      </c>
      <c r="S1503" s="53">
        <f t="shared" si="644"/>
        <v>16.2</v>
      </c>
      <c r="T1503" s="52" t="str">
        <f t="shared" si="645"/>
        <v/>
      </c>
      <c r="U1503" s="52">
        <f>IFERROR(IF(AR1504=AR1503,INDEX('Aub Demand'!Q:Q,MATCH($O1503,'Aub Demand'!$A:$A,0))-IF(AN1503="",0,AN1503)+AP1504,INDEX('Aub Demand'!Q:Q,MATCH($O1503,'Aub Demand'!$A:$A,0))-IF(AN1503="",0,AN1503)),"")</f>
        <v>206</v>
      </c>
      <c r="V1503" s="53">
        <f t="shared" si="646"/>
        <v>15.8</v>
      </c>
      <c r="W1503" s="52" t="str">
        <f t="shared" si="647"/>
        <v/>
      </c>
      <c r="X1503" s="52">
        <f>IFERROR(IF(AND(AR1504=AR1503,AM1503&lt;&gt;""),INDEX('Aub Demand'!Q:Q,MATCH($O1503,'Aub Demand'!$A:$A,0))-IF(AN1503="",0,AN1503)+AP1504+AD1503+AL1503,IF(AR1504=AR1503,INDEX('Aub Demand'!Q:Q,MATCH($O1503,'Aub Demand'!$A:$A,0))-IF(AN1503="",0,AN1503)+AP1504+AD1503,IF(AM1503&lt;&gt;"",INDEX('Aub Demand'!Q:Q,MATCH($O1503,'Aub Demand'!$A:$A,0))-IF(AN1503="",0,AN1503)+AD1503+AL1503,INDEX('Aub Demand'!Q:Q,MATCH($O1503,'Aub Demand'!$A:$A,0))-IF(AN1503="",0,AN1503)+AD1503))),"")</f>
        <v>206</v>
      </c>
      <c r="Y1503" s="53">
        <f t="shared" si="648"/>
        <v>15.8</v>
      </c>
      <c r="Z1503" s="52">
        <f>IF(L1503="","",INDEX('Aub Demand'!H:H,MATCH($O1503,'Aub Demand'!$A:$A,0)))</f>
        <v>56</v>
      </c>
      <c r="AA1503" s="52">
        <f t="shared" si="649"/>
        <v>72.5</v>
      </c>
      <c r="AB1503" s="52">
        <f>IFERROR(INDEX('Aub Demand'!L:L,MATCH($O1503,'Aub Demand'!$A:$A,0)),"")</f>
        <v>32</v>
      </c>
      <c r="AC1503" s="52">
        <f>IFERROR(IF(O1503="","",SUMIFS('CPL Mats'!F:F,'CPL Mats'!Q:Q,AR1503,'CPL Mats'!S:S,AS1503)),"")</f>
        <v>0</v>
      </c>
      <c r="AF1503" s="25" t="str">
        <f>IF(SUMIFS('Supp Consol'!S:S,'Supp Consol'!Y:Y,"Releasable",'Supp Consol'!A:A,O1503)=0,"",SUMIFS('Supp Consol'!S:S,'Supp Consol'!Y:Y,"Releasable",'Supp Consol'!A:A,O1503))</f>
        <v/>
      </c>
      <c r="AG1503" s="25">
        <f>IFERROR(INDEX('Hun Demand'!Q:Q,MATCH(O1503,'Hun Demand'!A:A,0)),"")</f>
        <v>-53</v>
      </c>
      <c r="AH1503" s="25">
        <f>IFERROR(INDEX('Hun Demand'!H:H,MATCH($O1503,'Hun Demand'!$A:$A,0)),"")</f>
        <v>0</v>
      </c>
      <c r="AI1503" s="25" t="str">
        <f>IF(SUMIFS('Supp Consol'!AA:AA,'Supp Consol'!Z:Z,"Expires this month",'Supp Consol'!A:A,O1503)=0,"",SUMIFS('Supp Consol'!AA:AA,'Supp Consol'!Z:Z,"Expires this month",'Supp Consol'!A:A,O1503))</f>
        <v/>
      </c>
      <c r="AJ1503" s="25" t="str">
        <f>IF(SUMIFS('Supp Consol'!AA:AA,'Supp Consol'!Z:Z,"Expired Previous Months",'Supp Consol'!A:A,O1503)=0,"",SUMIFS('Supp Consol'!AA:AA,'Supp Consol'!Z:Z,"Expired Previous Months",'Supp Consol'!A:A,O1503))</f>
        <v/>
      </c>
      <c r="AK1503" s="25" t="str">
        <f>IFERROR(INDEX('Hun Release Current'!B:B,MATCH(O1503,'Hun Release Current'!A:A,0)),"")</f>
        <v/>
      </c>
      <c r="AL1503" s="25" t="str">
        <f>IF(SUMIF('Prev Aub'!A:A,O1503,'Prev Aub'!B:B)=0,"",SUMIF('Prev Aub'!A:A,O1503,'Prev Aub'!B:B))</f>
        <v/>
      </c>
      <c r="AN1503" s="25" t="s">
        <v>3790</v>
      </c>
      <c r="AO1503" s="25" t="s">
        <v>3790</v>
      </c>
      <c r="AP1503" s="25">
        <f t="shared" si="650"/>
        <v>0</v>
      </c>
      <c r="AQ1503" s="151" t="str">
        <f>IF(SUMIFS('Supp Consol'!S:S,'Supp Consol'!A:A,O1503,'Supp Consol'!I:I,"PENDING")=0,"",SUMIFS('Supp Consol'!S:S,'Supp Consol'!A:A,O1503,'Supp Consol'!I:I,"PENDING"))</f>
        <v/>
      </c>
      <c r="AR1503" s="27" t="str">
        <f t="shared" si="651"/>
        <v>WP500</v>
      </c>
      <c r="AS1503" s="27" t="str">
        <f t="shared" si="652"/>
        <v>50</v>
      </c>
      <c r="AT1503" s="27" t="str">
        <f t="shared" si="653"/>
        <v/>
      </c>
      <c r="AU1503" s="27" t="str">
        <f t="shared" si="654"/>
        <v/>
      </c>
      <c r="AV1503" s="27" t="str">
        <f t="shared" si="655"/>
        <v/>
      </c>
      <c r="AW1503" s="27" t="str">
        <f t="shared" si="656"/>
        <v/>
      </c>
      <c r="AX1503" s="27" t="str">
        <f t="shared" si="657"/>
        <v/>
      </c>
      <c r="AY1503" s="27" t="str">
        <f t="shared" si="658"/>
        <v/>
      </c>
      <c r="AZ1503" s="27" t="str">
        <f t="shared" si="659"/>
        <v/>
      </c>
      <c r="BA1503" s="27" t="str">
        <f t="shared" si="660"/>
        <v>Hun</v>
      </c>
      <c r="BB1503" s="27" t="str">
        <f t="shared" si="661"/>
        <v/>
      </c>
      <c r="BC1503" s="27" t="str">
        <f t="shared" si="662"/>
        <v/>
      </c>
      <c r="BD1503" s="27" t="str">
        <f t="shared" si="663"/>
        <v/>
      </c>
      <c r="BE1503" s="27" t="str">
        <f t="shared" si="664"/>
        <v/>
      </c>
      <c r="BF1503" s="27" t="str">
        <f t="shared" si="665"/>
        <v/>
      </c>
      <c r="BG1503" s="27" t="str">
        <f t="shared" si="666"/>
        <v/>
      </c>
      <c r="BH1503" s="27" t="str">
        <f t="shared" si="667"/>
        <v/>
      </c>
      <c r="BI1503" s="27" t="str">
        <f t="shared" si="668"/>
        <v/>
      </c>
      <c r="BJ1503" s="27" t="str">
        <f t="shared" si="669"/>
        <v>Supp or Hun</v>
      </c>
      <c r="BK1503" s="27" t="str">
        <f t="shared" si="670"/>
        <v/>
      </c>
      <c r="BL1503" s="27" t="str">
        <f t="shared" si="671"/>
        <v/>
      </c>
      <c r="BM1503" s="21" t="s">
        <v>5581</v>
      </c>
    </row>
    <row r="1504" spans="1:65" ht="15">
      <c r="A1504" s="25">
        <f>IFERROR(INDEX('Hun Demand'!W:W,MATCH(O1504,'Hun Demand'!A:A,0)),"")</f>
        <v>311</v>
      </c>
      <c r="B1504" s="25">
        <f>IFERROR(INDEX('Hun Demand'!V:V,MATCH(O1504,'Hun Demand'!A:A,0)),"")</f>
        <v>166</v>
      </c>
      <c r="C1504" s="25">
        <f>IFERROR(INDEX('Hun Demand'!U:U,MATCH(O1504,'Hun Demand'!A:A,0)),"")</f>
        <v>0</v>
      </c>
      <c r="D1504" s="25">
        <f>IFERROR(INDEX('Hun Demand'!T:T,MATCH(O1504,'Hun Demand'!A:A,0)),"")</f>
        <v>0</v>
      </c>
      <c r="E1504" s="25">
        <f>IFERROR(INDEX('Hun Demand'!S:S,MATCH(O1504,'Hun Demand'!A:A,0)),"")</f>
        <v>0</v>
      </c>
      <c r="F1504" s="25">
        <f>IFERROR(INDEX('Hun Demand'!R:R,MATCH(O1504,'Hun Demand'!A:A,0)),"")</f>
        <v>0</v>
      </c>
      <c r="G1504" s="25">
        <f>IFERROR(INDEX('Aub Demand'!W:W,MATCH(O1504,'Aub Demand'!A:A,0)),"")</f>
        <v>14</v>
      </c>
      <c r="H1504" s="25">
        <f>IFERROR(INDEX('Aub Demand'!V:V,MATCH(O1504,'Aub Demand'!A:A,0)),"")</f>
        <v>0</v>
      </c>
      <c r="I1504" s="25">
        <f>IFERROR(INDEX('Aub Demand'!U:U,MATCH(O1504,'Aub Demand'!A:A,0)),"")</f>
        <v>309</v>
      </c>
      <c r="J1504" s="25">
        <f>IFERROR(INDEX('Aub Demand'!T:T,MATCH(O1504,'Aub Demand'!A:A,0)),"")</f>
        <v>17</v>
      </c>
      <c r="K1504" s="25">
        <f>IFERROR(INDEX('Aub Demand'!S:S,MATCH(O1504,'Aub Demand'!A:A,0)),"")</f>
        <v>33</v>
      </c>
      <c r="L1504" s="25">
        <f>IFERROR(INDEX('Aub Demand'!R:R,MATCH(O1504,'Aub Demand'!A:A,0)),"")</f>
        <v>0</v>
      </c>
      <c r="O1504" s="27" t="s">
        <v>1825</v>
      </c>
      <c r="P1504" s="27" t="str">
        <f>IFERROR(INDEX('Aub Demand'!B:B,MATCH($O1504,'Aub Demand'!$A:$A,0)),"")</f>
        <v>S'MORES</v>
      </c>
      <c r="Q1504" s="27" t="str">
        <f>IFERROR(INDEX('Aub Demand'!C:C,MATCH($O1504,'Aub Demand'!$A:$A,0)),"")</f>
        <v>LAMIG</v>
      </c>
      <c r="R1504" s="52">
        <f>IFERROR(IF(AR1505=AR1504,INDEX('Aub Demand'!K:K,MATCH($O1504,'Aub Demand'!$A:$A,0))-IF(AN1504="",0,AN1504)+AP1505,INDEX('Aub Demand'!K:K,MATCH($O1504,'Aub Demand'!$A:$A,0))-IF(AN1504="",0,AN1504)),"")</f>
        <v>6762</v>
      </c>
      <c r="S1504" s="53">
        <f t="shared" si="644"/>
        <v>241.5</v>
      </c>
      <c r="T1504" s="52" t="str">
        <f t="shared" si="645"/>
        <v/>
      </c>
      <c r="U1504" s="52">
        <f>IFERROR(IF(AR1505=AR1504,INDEX('Aub Demand'!Q:Q,MATCH($O1504,'Aub Demand'!$A:$A,0))-IF(AN1504="",0,AN1504)+AP1505,INDEX('Aub Demand'!Q:Q,MATCH($O1504,'Aub Demand'!$A:$A,0))-IF(AN1504="",0,AN1504)),"")</f>
        <v>6733</v>
      </c>
      <c r="V1504" s="53">
        <f t="shared" si="646"/>
        <v>240.5</v>
      </c>
      <c r="W1504" s="52" t="str">
        <f t="shared" si="647"/>
        <v/>
      </c>
      <c r="X1504" s="52">
        <f>IFERROR(IF(AND(AR1505=AR1504,AM1504&lt;&gt;""),INDEX('Aub Demand'!Q:Q,MATCH($O1504,'Aub Demand'!$A:$A,0))-IF(AN1504="",0,AN1504)+AP1505+AD1504+AL1504,IF(AR1505=AR1504,INDEX('Aub Demand'!Q:Q,MATCH($O1504,'Aub Demand'!$A:$A,0))-IF(AN1504="",0,AN1504)+AP1505+AD1504,IF(AM1504&lt;&gt;"",INDEX('Aub Demand'!Q:Q,MATCH($O1504,'Aub Demand'!$A:$A,0))-IF(AN1504="",0,AN1504)+AD1504+AL1504,INDEX('Aub Demand'!Q:Q,MATCH($O1504,'Aub Demand'!$A:$A,0))-IF(AN1504="",0,AN1504)+AD1504))),"")</f>
        <v>6733</v>
      </c>
      <c r="Y1504" s="53">
        <f t="shared" si="648"/>
        <v>240.5</v>
      </c>
      <c r="Z1504" s="52">
        <f>IF(L1504="","",INDEX('Aub Demand'!H:H,MATCH($O1504,'Aub Demand'!$A:$A,0)))</f>
        <v>120</v>
      </c>
      <c r="AA1504" s="52">
        <f t="shared" si="649"/>
        <v>171</v>
      </c>
      <c r="AB1504" s="52">
        <f>IFERROR(INDEX('Aub Demand'!L:L,MATCH($O1504,'Aub Demand'!$A:$A,0)),"")</f>
        <v>11</v>
      </c>
      <c r="AC1504" s="52">
        <f>IFERROR(IF(O1504="","",SUMIFS('CPL Mats'!F:F,'CPL Mats'!Q:Q,AR1504,'CPL Mats'!S:S,AS1504)),"")</f>
        <v>31.99</v>
      </c>
      <c r="AF1504" s="25" t="str">
        <f>IF(SUMIFS('Supp Consol'!S:S,'Supp Consol'!Y:Y,"Releasable",'Supp Consol'!A:A,O1504)=0,"",SUMIFS('Supp Consol'!S:S,'Supp Consol'!Y:Y,"Releasable",'Supp Consol'!A:A,O1504))</f>
        <v/>
      </c>
      <c r="AG1504" s="25">
        <f>IFERROR(INDEX('Hun Demand'!Q:Q,MATCH(O1504,'Hun Demand'!A:A,0)),"")</f>
        <v>262</v>
      </c>
      <c r="AH1504" s="25">
        <f>IFERROR(INDEX('Hun Demand'!H:H,MATCH($O1504,'Hun Demand'!$A:$A,0)),"")</f>
        <v>0</v>
      </c>
      <c r="AI1504" s="25" t="str">
        <f>IF(SUMIFS('Supp Consol'!AA:AA,'Supp Consol'!Z:Z,"Expires this month",'Supp Consol'!A:A,O1504)=0,"",SUMIFS('Supp Consol'!AA:AA,'Supp Consol'!Z:Z,"Expires this month",'Supp Consol'!A:A,O1504))</f>
        <v/>
      </c>
      <c r="AJ1504" s="25" t="str">
        <f>IF(SUMIFS('Supp Consol'!AA:AA,'Supp Consol'!Z:Z,"Expired Previous Months",'Supp Consol'!A:A,O1504)=0,"",SUMIFS('Supp Consol'!AA:AA,'Supp Consol'!Z:Z,"Expired Previous Months",'Supp Consol'!A:A,O1504))</f>
        <v/>
      </c>
      <c r="AK1504" s="25" t="str">
        <f>IFERROR(INDEX('Hun Release Current'!B:B,MATCH(O1504,'Hun Release Current'!A:A,0)),"")</f>
        <v/>
      </c>
      <c r="AL1504" s="25" t="str">
        <f>IF(SUMIF('Prev Aub'!A:A,O1504,'Prev Aub'!B:B)=0,"",SUMIF('Prev Aub'!A:A,O1504,'Prev Aub'!B:B))</f>
        <v/>
      </c>
      <c r="AN1504" s="25" t="s">
        <v>3790</v>
      </c>
      <c r="AO1504" s="25" t="s">
        <v>3790</v>
      </c>
      <c r="AP1504" s="25">
        <f t="shared" si="650"/>
        <v>0</v>
      </c>
      <c r="AQ1504" s="151" t="str">
        <f>IF(SUMIFS('Supp Consol'!S:S,'Supp Consol'!A:A,O1504,'Supp Consol'!I:I,"PENDING")=0,"",SUMIFS('Supp Consol'!S:S,'Supp Consol'!A:A,O1504,'Supp Consol'!I:I,"PENDING"))</f>
        <v/>
      </c>
      <c r="AR1504" s="27" t="str">
        <f t="shared" si="651"/>
        <v>WP500</v>
      </c>
      <c r="AS1504" s="27" t="str">
        <f t="shared" si="652"/>
        <v>62</v>
      </c>
      <c r="AT1504" s="27" t="str">
        <f t="shared" si="653"/>
        <v/>
      </c>
      <c r="AU1504" s="27" t="str">
        <f t="shared" si="654"/>
        <v/>
      </c>
      <c r="AV1504" s="27" t="str">
        <f t="shared" si="655"/>
        <v/>
      </c>
      <c r="AW1504" s="27" t="str">
        <f t="shared" si="656"/>
        <v/>
      </c>
      <c r="AX1504" s="27" t="str">
        <f t="shared" si="657"/>
        <v/>
      </c>
      <c r="AY1504" s="27" t="str">
        <f t="shared" si="658"/>
        <v>WP500</v>
      </c>
      <c r="AZ1504" s="27" t="str">
        <f t="shared" si="659"/>
        <v/>
      </c>
      <c r="BA1504" s="27" t="str">
        <f t="shared" si="660"/>
        <v>Hun</v>
      </c>
      <c r="BB1504" s="27" t="str">
        <f t="shared" si="661"/>
        <v/>
      </c>
      <c r="BC1504" s="27" t="str">
        <f t="shared" si="662"/>
        <v/>
      </c>
      <c r="BD1504" s="27" t="str">
        <f t="shared" si="663"/>
        <v/>
      </c>
      <c r="BE1504" s="27" t="str">
        <f t="shared" si="664"/>
        <v/>
      </c>
      <c r="BF1504" s="27" t="str">
        <f t="shared" si="665"/>
        <v/>
      </c>
      <c r="BG1504" s="27" t="str">
        <f t="shared" si="666"/>
        <v/>
      </c>
      <c r="BH1504" s="27" t="str">
        <f t="shared" si="667"/>
        <v/>
      </c>
      <c r="BI1504" s="27" t="str">
        <f t="shared" si="668"/>
        <v/>
      </c>
      <c r="BJ1504" s="27" t="str">
        <f t="shared" si="669"/>
        <v>Supp or Hun</v>
      </c>
      <c r="BK1504" s="27" t="str">
        <f t="shared" si="670"/>
        <v/>
      </c>
      <c r="BL1504" s="27" t="str">
        <f t="shared" si="671"/>
        <v/>
      </c>
      <c r="BM1504" s="21" t="s">
        <v>5581</v>
      </c>
    </row>
    <row r="1505" spans="1:65" ht="15">
      <c r="A1505" s="25" t="str">
        <f>IFERROR(INDEX('Hun Demand'!W:W,MATCH(O1505,'Hun Demand'!A:A,0)),"")</f>
        <v/>
      </c>
      <c r="B1505" s="25" t="str">
        <f>IFERROR(INDEX('Hun Demand'!V:V,MATCH(O1505,'Hun Demand'!A:A,0)),"")</f>
        <v/>
      </c>
      <c r="C1505" s="25" t="str">
        <f>IFERROR(INDEX('Hun Demand'!U:U,MATCH(O1505,'Hun Demand'!A:A,0)),"")</f>
        <v/>
      </c>
      <c r="D1505" s="25" t="str">
        <f>IFERROR(INDEX('Hun Demand'!T:T,MATCH(O1505,'Hun Demand'!A:A,0)),"")</f>
        <v/>
      </c>
      <c r="E1505" s="25" t="str">
        <f>IFERROR(INDEX('Hun Demand'!S:S,MATCH(O1505,'Hun Demand'!A:A,0)),"")</f>
        <v/>
      </c>
      <c r="F1505" s="25" t="str">
        <f>IFERROR(INDEX('Hun Demand'!R:R,MATCH(O1505,'Hun Demand'!A:A,0)),"")</f>
        <v/>
      </c>
      <c r="G1505" s="25">
        <f>IFERROR(INDEX('Aub Demand'!W:W,MATCH(O1505,'Aub Demand'!A:A,0)),"")</f>
        <v>129</v>
      </c>
      <c r="H1505" s="25">
        <f>IFERROR(INDEX('Aub Demand'!V:V,MATCH(O1505,'Aub Demand'!A:A,0)),"")</f>
        <v>158</v>
      </c>
      <c r="I1505" s="25">
        <f>IFERROR(INDEX('Aub Demand'!U:U,MATCH(O1505,'Aub Demand'!A:A,0)),"")</f>
        <v>0</v>
      </c>
      <c r="J1505" s="25">
        <f>IFERROR(INDEX('Aub Demand'!T:T,MATCH(O1505,'Aub Demand'!A:A,0)),"")</f>
        <v>0</v>
      </c>
      <c r="K1505" s="25">
        <f>IFERROR(INDEX('Aub Demand'!S:S,MATCH(O1505,'Aub Demand'!A:A,0)),"")</f>
        <v>0</v>
      </c>
      <c r="L1505" s="25">
        <f>IFERROR(INDEX('Aub Demand'!R:R,MATCH(O1505,'Aub Demand'!A:A,0)),"")</f>
        <v>0</v>
      </c>
      <c r="O1505" s="27" t="s">
        <v>3437</v>
      </c>
      <c r="P1505" s="27" t="str">
        <f>IFERROR(INDEX('Aub Demand'!B:B,MATCH($O1505,'Aub Demand'!$A:$A,0)),"")</f>
        <v>INDIAN ROSEWOOD 50"</v>
      </c>
      <c r="Q1505" s="27">
        <f>IFERROR(INDEX('Aub Demand'!C:C,MATCH($O1505,'Aub Demand'!$A:$A,0)),"")</f>
        <v>0</v>
      </c>
      <c r="R1505" s="52">
        <f>IFERROR(IF(AR1506=AR1505,INDEX('Aub Demand'!K:K,MATCH($O1505,'Aub Demand'!$A:$A,0))-IF(AN1505="",0,AN1505)+AP1506,INDEX('Aub Demand'!K:K,MATCH($O1505,'Aub Demand'!$A:$A,0))-IF(AN1505="",0,AN1505)),"")</f>
        <v>321</v>
      </c>
      <c r="S1505" s="53" t="str">
        <f t="shared" si="644"/>
        <v>n/a</v>
      </c>
      <c r="T1505" s="52" t="str">
        <f t="shared" si="645"/>
        <v/>
      </c>
      <c r="U1505" s="52">
        <f>IFERROR(IF(AR1506=AR1505,INDEX('Aub Demand'!Q:Q,MATCH($O1505,'Aub Demand'!$A:$A,0))-IF(AN1505="",0,AN1505)+AP1506,INDEX('Aub Demand'!Q:Q,MATCH($O1505,'Aub Demand'!$A:$A,0))-IF(AN1505="",0,AN1505)),"")</f>
        <v>321</v>
      </c>
      <c r="V1505" s="53" t="str">
        <f t="shared" si="646"/>
        <v>n/a</v>
      </c>
      <c r="W1505" s="52" t="str">
        <f t="shared" si="647"/>
        <v/>
      </c>
      <c r="X1505" s="52">
        <f>IFERROR(IF(AND(AR1506=AR1505,AM1505&lt;&gt;""),INDEX('Aub Demand'!Q:Q,MATCH($O1505,'Aub Demand'!$A:$A,0))-IF(AN1505="",0,AN1505)+AP1506+AD1505+AL1505,IF(AR1506=AR1505,INDEX('Aub Demand'!Q:Q,MATCH($O1505,'Aub Demand'!$A:$A,0))-IF(AN1505="",0,AN1505)+AP1506+AD1505,IF(AM1505&lt;&gt;"",INDEX('Aub Demand'!Q:Q,MATCH($O1505,'Aub Demand'!$A:$A,0))-IF(AN1505="",0,AN1505)+AD1505+AL1505,INDEX('Aub Demand'!Q:Q,MATCH($O1505,'Aub Demand'!$A:$A,0))-IF(AN1505="",0,AN1505)+AD1505))),"")</f>
        <v>321</v>
      </c>
      <c r="Y1505" s="53" t="str">
        <f t="shared" si="648"/>
        <v>n/a</v>
      </c>
      <c r="Z1505" s="52">
        <f>IF(L1505="","",INDEX('Aub Demand'!H:H,MATCH($O1505,'Aub Demand'!$A:$A,0)))</f>
        <v>0</v>
      </c>
      <c r="AA1505" s="52" t="str">
        <f t="shared" si="649"/>
        <v>-spike-</v>
      </c>
      <c r="AB1505" s="52">
        <f>IFERROR(INDEX('Aub Demand'!L:L,MATCH($O1505,'Aub Demand'!$A:$A,0)),"")</f>
        <v>35</v>
      </c>
      <c r="AC1505" s="52">
        <f>IFERROR(IF(O1505="","",SUMIFS('CPL Mats'!F:F,'CPL Mats'!Q:Q,AR1505,'CPL Mats'!S:S,AS1505)),"")</f>
        <v>0</v>
      </c>
      <c r="AF1505" s="25" t="str">
        <f>IF(SUMIFS('Supp Consol'!S:S,'Supp Consol'!Y:Y,"Releasable",'Supp Consol'!A:A,O1505)=0,"",SUMIFS('Supp Consol'!S:S,'Supp Consol'!Y:Y,"Releasable",'Supp Consol'!A:A,O1505))</f>
        <v/>
      </c>
      <c r="AG1505" s="25" t="str">
        <f>IFERROR(INDEX('Hun Demand'!Q:Q,MATCH(O1505,'Hun Demand'!A:A,0)),"")</f>
        <v/>
      </c>
      <c r="AH1505" s="25" t="str">
        <f>IFERROR(INDEX('Hun Demand'!H:H,MATCH($O1505,'Hun Demand'!$A:$A,0)),"")</f>
        <v/>
      </c>
      <c r="AI1505" s="25" t="str">
        <f>IF(SUMIFS('Supp Consol'!AA:AA,'Supp Consol'!Z:Z,"Expires this month",'Supp Consol'!A:A,O1505)=0,"",SUMIFS('Supp Consol'!AA:AA,'Supp Consol'!Z:Z,"Expires this month",'Supp Consol'!A:A,O1505))</f>
        <v/>
      </c>
      <c r="AJ1505" s="25" t="str">
        <f>IF(SUMIFS('Supp Consol'!AA:AA,'Supp Consol'!Z:Z,"Expired Previous Months",'Supp Consol'!A:A,O1505)=0,"",SUMIFS('Supp Consol'!AA:AA,'Supp Consol'!Z:Z,"Expired Previous Months",'Supp Consol'!A:A,O1505))</f>
        <v/>
      </c>
      <c r="AK1505" s="25" t="str">
        <f>IFERROR(INDEX('Hun Release Current'!B:B,MATCH(O1505,'Hun Release Current'!A:A,0)),"")</f>
        <v/>
      </c>
      <c r="AL1505" s="25" t="str">
        <f>IF(SUMIF('Prev Aub'!A:A,O1505,'Prev Aub'!B:B)=0,"",SUMIF('Prev Aub'!A:A,O1505,'Prev Aub'!B:B))</f>
        <v/>
      </c>
      <c r="AN1505" s="25" t="s">
        <v>3790</v>
      </c>
      <c r="AO1505" s="25" t="s">
        <v>3790</v>
      </c>
      <c r="AP1505" s="25">
        <f t="shared" si="650"/>
        <v>0</v>
      </c>
      <c r="AQ1505" s="151" t="str">
        <f>IF(SUMIFS('Supp Consol'!S:S,'Supp Consol'!A:A,O1505,'Supp Consol'!I:I,"PENDING")=0,"",SUMIFS('Supp Consol'!S:S,'Supp Consol'!A:A,O1505,'Supp Consol'!I:I,"PENDING"))</f>
        <v/>
      </c>
      <c r="AR1505" s="27" t="str">
        <f t="shared" si="651"/>
        <v>WR002</v>
      </c>
      <c r="AS1505" s="27" t="str">
        <f t="shared" si="652"/>
        <v>50</v>
      </c>
      <c r="AT1505" s="27" t="str">
        <f t="shared" si="653"/>
        <v/>
      </c>
      <c r="AU1505" s="27" t="str">
        <f t="shared" si="654"/>
        <v/>
      </c>
      <c r="AV1505" s="27" t="str">
        <f t="shared" si="655"/>
        <v/>
      </c>
      <c r="AW1505" s="27" t="str">
        <f t="shared" si="656"/>
        <v/>
      </c>
      <c r="AX1505" s="27" t="str">
        <f t="shared" si="657"/>
        <v/>
      </c>
      <c r="AY1505" s="27" t="str">
        <f t="shared" si="658"/>
        <v/>
      </c>
      <c r="AZ1505" s="27" t="str">
        <f t="shared" si="659"/>
        <v/>
      </c>
      <c r="BA1505" s="27" t="str">
        <f t="shared" si="660"/>
        <v/>
      </c>
      <c r="BB1505" s="27" t="str">
        <f t="shared" si="661"/>
        <v/>
      </c>
      <c r="BC1505" s="27" t="str">
        <f t="shared" si="662"/>
        <v/>
      </c>
      <c r="BD1505" s="27" t="str">
        <f t="shared" si="663"/>
        <v/>
      </c>
      <c r="BE1505" s="27" t="str">
        <f t="shared" si="664"/>
        <v/>
      </c>
      <c r="BF1505" s="27" t="str">
        <f t="shared" si="665"/>
        <v/>
      </c>
      <c r="BG1505" s="27" t="str">
        <f t="shared" si="666"/>
        <v/>
      </c>
      <c r="BH1505" s="27" t="str">
        <f t="shared" si="667"/>
        <v/>
      </c>
      <c r="BI1505" s="27" t="str">
        <f t="shared" si="668"/>
        <v/>
      </c>
      <c r="BJ1505" s="27" t="str">
        <f t="shared" si="669"/>
        <v/>
      </c>
      <c r="BK1505" s="27" t="str">
        <f t="shared" si="670"/>
        <v/>
      </c>
      <c r="BL1505" s="27" t="str">
        <f t="shared" si="671"/>
        <v/>
      </c>
      <c r="BM1505" s="21" t="s">
        <v>5581</v>
      </c>
    </row>
    <row r="1506" spans="1:65" ht="15">
      <c r="A1506" s="25" t="str">
        <f>IFERROR(INDEX('Hun Demand'!W:W,MATCH(O1506,'Hun Demand'!A:A,0)),"")</f>
        <v/>
      </c>
      <c r="B1506" s="25" t="str">
        <f>IFERROR(INDEX('Hun Demand'!V:V,MATCH(O1506,'Hun Demand'!A:A,0)),"")</f>
        <v/>
      </c>
      <c r="C1506" s="25" t="str">
        <f>IFERROR(INDEX('Hun Demand'!U:U,MATCH(O1506,'Hun Demand'!A:A,0)),"")</f>
        <v/>
      </c>
      <c r="D1506" s="25" t="str">
        <f>IFERROR(INDEX('Hun Demand'!T:T,MATCH(O1506,'Hun Demand'!A:A,0)),"")</f>
        <v/>
      </c>
      <c r="E1506" s="25" t="str">
        <f>IFERROR(INDEX('Hun Demand'!S:S,MATCH(O1506,'Hun Demand'!A:A,0)),"")</f>
        <v/>
      </c>
      <c r="F1506" s="25" t="str">
        <f>IFERROR(INDEX('Hun Demand'!R:R,MATCH(O1506,'Hun Demand'!A:A,0)),"")</f>
        <v/>
      </c>
      <c r="G1506" s="25">
        <f>IFERROR(INDEX('Aub Demand'!W:W,MATCH(O1506,'Aub Demand'!A:A,0)),"")</f>
        <v>0</v>
      </c>
      <c r="H1506" s="25">
        <f>IFERROR(INDEX('Aub Demand'!V:V,MATCH(O1506,'Aub Demand'!A:A,0)),"")</f>
        <v>0</v>
      </c>
      <c r="I1506" s="25">
        <f>IFERROR(INDEX('Aub Demand'!U:U,MATCH(O1506,'Aub Demand'!A:A,0)),"")</f>
        <v>0</v>
      </c>
      <c r="J1506" s="25">
        <f>IFERROR(INDEX('Aub Demand'!T:T,MATCH(O1506,'Aub Demand'!A:A,0)),"")</f>
        <v>0</v>
      </c>
      <c r="K1506" s="25">
        <f>IFERROR(INDEX('Aub Demand'!S:S,MATCH(O1506,'Aub Demand'!A:A,0)),"")</f>
        <v>0</v>
      </c>
      <c r="L1506" s="25">
        <f>IFERROR(INDEX('Aub Demand'!R:R,MATCH(O1506,'Aub Demand'!A:A,0)),"")</f>
        <v>0</v>
      </c>
      <c r="O1506" s="27" t="s">
        <v>3097</v>
      </c>
      <c r="P1506" s="27" t="str">
        <f>IFERROR(INDEX('Aub Demand'!B:B,MATCH($O1506,'Aub Demand'!$A:$A,0)),"")</f>
        <v>F. LAUREN MAHOGANY 6</v>
      </c>
      <c r="Q1506" s="27">
        <f>IFERROR(INDEX('Aub Demand'!C:C,MATCH($O1506,'Aub Demand'!$A:$A,0)),"")</f>
        <v>0</v>
      </c>
      <c r="R1506" s="52">
        <f>IFERROR(IF(AR1507=AR1506,INDEX('Aub Demand'!K:K,MATCH($O1506,'Aub Demand'!$A:$A,0))-IF(AN1506="",0,AN1506)+AP1507,INDEX('Aub Demand'!K:K,MATCH($O1506,'Aub Demand'!$A:$A,0))-IF(AN1506="",0,AN1506)),"")</f>
        <v>1931</v>
      </c>
      <c r="S1506" s="53" t="str">
        <f t="shared" si="644"/>
        <v>n/a</v>
      </c>
      <c r="T1506" s="52" t="str">
        <f t="shared" si="645"/>
        <v/>
      </c>
      <c r="U1506" s="52">
        <f>IFERROR(IF(AR1507=AR1506,INDEX('Aub Demand'!Q:Q,MATCH($O1506,'Aub Demand'!$A:$A,0))-IF(AN1506="",0,AN1506)+AP1507,INDEX('Aub Demand'!Q:Q,MATCH($O1506,'Aub Demand'!$A:$A,0))-IF(AN1506="",0,AN1506)),"")</f>
        <v>1931</v>
      </c>
      <c r="V1506" s="53" t="str">
        <f t="shared" si="646"/>
        <v>n/a</v>
      </c>
      <c r="W1506" s="52" t="str">
        <f t="shared" si="647"/>
        <v/>
      </c>
      <c r="X1506" s="52">
        <f>IFERROR(IF(AND(AR1507=AR1506,AM1506&lt;&gt;""),INDEX('Aub Demand'!Q:Q,MATCH($O1506,'Aub Demand'!$A:$A,0))-IF(AN1506="",0,AN1506)+AP1507+AD1506+AL1506,IF(AR1507=AR1506,INDEX('Aub Demand'!Q:Q,MATCH($O1506,'Aub Demand'!$A:$A,0))-IF(AN1506="",0,AN1506)+AP1507+AD1506,IF(AM1506&lt;&gt;"",INDEX('Aub Demand'!Q:Q,MATCH($O1506,'Aub Demand'!$A:$A,0))-IF(AN1506="",0,AN1506)+AD1506+AL1506,INDEX('Aub Demand'!Q:Q,MATCH($O1506,'Aub Demand'!$A:$A,0))-IF(AN1506="",0,AN1506)+AD1506))),"")</f>
        <v>1931</v>
      </c>
      <c r="Y1506" s="53" t="str">
        <f t="shared" si="648"/>
        <v>n/a</v>
      </c>
      <c r="Z1506" s="52">
        <f>IF(L1506="","",INDEX('Aub Demand'!H:H,MATCH($O1506,'Aub Demand'!$A:$A,0)))</f>
        <v>0</v>
      </c>
      <c r="AA1506" s="52" t="str">
        <f t="shared" si="649"/>
        <v>-spike-</v>
      </c>
      <c r="AB1506" s="52">
        <f>IFERROR(INDEX('Aub Demand'!L:L,MATCH($O1506,'Aub Demand'!$A:$A,0)),"")</f>
        <v>0</v>
      </c>
      <c r="AC1506" s="52">
        <f>IFERROR(IF(O1506="","",SUMIFS('CPL Mats'!F:F,'CPL Mats'!Q:Q,AR1506,'CPL Mats'!S:S,AS1506)),"")</f>
        <v>0</v>
      </c>
      <c r="AF1506" s="25" t="str">
        <f>IF(SUMIFS('Supp Consol'!S:S,'Supp Consol'!Y:Y,"Releasable",'Supp Consol'!A:A,O1506)=0,"",SUMIFS('Supp Consol'!S:S,'Supp Consol'!Y:Y,"Releasable",'Supp Consol'!A:A,O1506))</f>
        <v/>
      </c>
      <c r="AG1506" s="25" t="str">
        <f>IFERROR(INDEX('Hun Demand'!Q:Q,MATCH(O1506,'Hun Demand'!A:A,0)),"")</f>
        <v/>
      </c>
      <c r="AH1506" s="25" t="str">
        <f>IFERROR(INDEX('Hun Demand'!H:H,MATCH($O1506,'Hun Demand'!$A:$A,0)),"")</f>
        <v/>
      </c>
      <c r="AI1506" s="25" t="str">
        <f>IF(SUMIFS('Supp Consol'!AA:AA,'Supp Consol'!Z:Z,"Expires this month",'Supp Consol'!A:A,O1506)=0,"",SUMIFS('Supp Consol'!AA:AA,'Supp Consol'!Z:Z,"Expires this month",'Supp Consol'!A:A,O1506))</f>
        <v/>
      </c>
      <c r="AJ1506" s="25" t="str">
        <f>IF(SUMIFS('Supp Consol'!AA:AA,'Supp Consol'!Z:Z,"Expired Previous Months",'Supp Consol'!A:A,O1506)=0,"",SUMIFS('Supp Consol'!AA:AA,'Supp Consol'!Z:Z,"Expired Previous Months",'Supp Consol'!A:A,O1506))</f>
        <v/>
      </c>
      <c r="AK1506" s="25" t="str">
        <f>IFERROR(INDEX('Hun Release Current'!B:B,MATCH(O1506,'Hun Release Current'!A:A,0)),"")</f>
        <v/>
      </c>
      <c r="AL1506" s="25" t="str">
        <f>IF(SUMIF('Prev Aub'!A:A,O1506,'Prev Aub'!B:B)=0,"",SUMIF('Prev Aub'!A:A,O1506,'Prev Aub'!B:B))</f>
        <v/>
      </c>
      <c r="AN1506" s="25" t="s">
        <v>3790</v>
      </c>
      <c r="AO1506" s="25" t="s">
        <v>3790</v>
      </c>
      <c r="AP1506" s="25">
        <f t="shared" si="650"/>
        <v>0</v>
      </c>
      <c r="AQ1506" s="151" t="str">
        <f>IF(SUMIFS('Supp Consol'!S:S,'Supp Consol'!A:A,O1506,'Supp Consol'!I:I,"PENDING")=0,"",SUMIFS('Supp Consol'!S:S,'Supp Consol'!A:A,O1506,'Supp Consol'!I:I,"PENDING"))</f>
        <v/>
      </c>
      <c r="AR1506" s="27" t="str">
        <f t="shared" si="651"/>
        <v>WS009</v>
      </c>
      <c r="AS1506" s="27" t="str">
        <f t="shared" si="652"/>
        <v>62</v>
      </c>
      <c r="AT1506" s="27" t="str">
        <f t="shared" si="653"/>
        <v/>
      </c>
      <c r="AU1506" s="27" t="str">
        <f t="shared" si="654"/>
        <v/>
      </c>
      <c r="AV1506" s="27" t="str">
        <f t="shared" si="655"/>
        <v/>
      </c>
      <c r="AW1506" s="27" t="str">
        <f t="shared" si="656"/>
        <v/>
      </c>
      <c r="AX1506" s="27" t="str">
        <f t="shared" si="657"/>
        <v/>
      </c>
      <c r="AY1506" s="27" t="str">
        <f t="shared" si="658"/>
        <v/>
      </c>
      <c r="AZ1506" s="27" t="str">
        <f t="shared" si="659"/>
        <v/>
      </c>
      <c r="BA1506" s="27" t="str">
        <f t="shared" si="660"/>
        <v/>
      </c>
      <c r="BB1506" s="27" t="str">
        <f t="shared" si="661"/>
        <v/>
      </c>
      <c r="BC1506" s="27" t="str">
        <f t="shared" si="662"/>
        <v/>
      </c>
      <c r="BD1506" s="27" t="str">
        <f t="shared" si="663"/>
        <v/>
      </c>
      <c r="BE1506" s="27" t="str">
        <f t="shared" si="664"/>
        <v/>
      </c>
      <c r="BF1506" s="27" t="str">
        <f t="shared" si="665"/>
        <v/>
      </c>
      <c r="BG1506" s="27" t="str">
        <f t="shared" si="666"/>
        <v/>
      </c>
      <c r="BH1506" s="27" t="str">
        <f t="shared" si="667"/>
        <v/>
      </c>
      <c r="BI1506" s="27" t="str">
        <f t="shared" si="668"/>
        <v/>
      </c>
      <c r="BJ1506" s="27" t="str">
        <f t="shared" si="669"/>
        <v/>
      </c>
      <c r="BK1506" s="27" t="str">
        <f t="shared" si="670"/>
        <v/>
      </c>
      <c r="BL1506" s="27" t="str">
        <f t="shared" si="671"/>
        <v/>
      </c>
      <c r="BM1506" s="21" t="s">
        <v>5581</v>
      </c>
    </row>
    <row r="1507" spans="1:65" ht="15">
      <c r="A1507" s="25" t="str">
        <f>IFERROR(INDEX('Hun Demand'!W:W,MATCH(O1507,'Hun Demand'!A:A,0)),"")</f>
        <v/>
      </c>
      <c r="B1507" s="25" t="str">
        <f>IFERROR(INDEX('Hun Demand'!V:V,MATCH(O1507,'Hun Demand'!A:A,0)),"")</f>
        <v/>
      </c>
      <c r="C1507" s="25" t="str">
        <f>IFERROR(INDEX('Hun Demand'!U:U,MATCH(O1507,'Hun Demand'!A:A,0)),"")</f>
        <v/>
      </c>
      <c r="D1507" s="25" t="str">
        <f>IFERROR(INDEX('Hun Demand'!T:T,MATCH(O1507,'Hun Demand'!A:A,0)),"")</f>
        <v/>
      </c>
      <c r="E1507" s="25" t="str">
        <f>IFERROR(INDEX('Hun Demand'!S:S,MATCH(O1507,'Hun Demand'!A:A,0)),"")</f>
        <v/>
      </c>
      <c r="F1507" s="25" t="str">
        <f>IFERROR(INDEX('Hun Demand'!R:R,MATCH(O1507,'Hun Demand'!A:A,0)),"")</f>
        <v/>
      </c>
      <c r="G1507" s="25">
        <f>IFERROR(INDEX('Aub Demand'!W:W,MATCH(O1507,'Aub Demand'!A:A,0)),"")</f>
        <v>348</v>
      </c>
      <c r="H1507" s="25">
        <f>IFERROR(INDEX('Aub Demand'!V:V,MATCH(O1507,'Aub Demand'!A:A,0)),"")</f>
        <v>140</v>
      </c>
      <c r="I1507" s="25">
        <f>IFERROR(INDEX('Aub Demand'!U:U,MATCH(O1507,'Aub Demand'!A:A,0)),"")</f>
        <v>201</v>
      </c>
      <c r="J1507" s="25">
        <f>IFERROR(INDEX('Aub Demand'!T:T,MATCH(O1507,'Aub Demand'!A:A,0)),"")</f>
        <v>116</v>
      </c>
      <c r="K1507" s="25">
        <f>IFERROR(INDEX('Aub Demand'!S:S,MATCH(O1507,'Aub Demand'!A:A,0)),"")</f>
        <v>0</v>
      </c>
      <c r="L1507" s="25">
        <f>IFERROR(INDEX('Aub Demand'!R:R,MATCH(O1507,'Aub Demand'!A:A,0)),"")</f>
        <v>86</v>
      </c>
      <c r="O1507" s="27" t="s">
        <v>3100</v>
      </c>
      <c r="P1507" s="27" t="str">
        <f>IFERROR(INDEX('Aub Demand'!B:B,MATCH($O1507,'Aub Demand'!$A:$A,0)),"")</f>
        <v>REGENCY MAHOGANY 50"</v>
      </c>
      <c r="Q1507" s="27" t="str">
        <f>IFERROR(INDEX('Aub Demand'!C:C,MATCH($O1507,'Aub Demand'!$A:$A,0)),"")</f>
        <v>TOPPA</v>
      </c>
      <c r="R1507" s="52">
        <f>IFERROR(IF(AR1508=AR1507,INDEX('Aub Demand'!K:K,MATCH($O1507,'Aub Demand'!$A:$A,0))-IF(AN1507="",0,AN1507)+AP1508,INDEX('Aub Demand'!K:K,MATCH($O1507,'Aub Demand'!$A:$A,0))-IF(AN1507="",0,AN1507)),"")</f>
        <v>970</v>
      </c>
      <c r="S1507" s="53">
        <f t="shared" si="644"/>
        <v>39.200000000000003</v>
      </c>
      <c r="T1507" s="52" t="str">
        <f t="shared" si="645"/>
        <v/>
      </c>
      <c r="U1507" s="52">
        <f>IFERROR(IF(AR1508=AR1507,INDEX('Aub Demand'!Q:Q,MATCH($O1507,'Aub Demand'!$A:$A,0))-IF(AN1507="",0,AN1507)+AP1508,INDEX('Aub Demand'!Q:Q,MATCH($O1507,'Aub Demand'!$A:$A,0))-IF(AN1507="",0,AN1507)),"")</f>
        <v>933</v>
      </c>
      <c r="V1507" s="53">
        <f t="shared" si="646"/>
        <v>37.700000000000003</v>
      </c>
      <c r="W1507" s="52" t="str">
        <f t="shared" si="647"/>
        <v/>
      </c>
      <c r="X1507" s="52">
        <f>IFERROR(IF(AND(AR1508=AR1507,AM1507&lt;&gt;""),INDEX('Aub Demand'!Q:Q,MATCH($O1507,'Aub Demand'!$A:$A,0))-IF(AN1507="",0,AN1507)+AP1508+AD1507+AL1507,IF(AR1508=AR1507,INDEX('Aub Demand'!Q:Q,MATCH($O1507,'Aub Demand'!$A:$A,0))-IF(AN1507="",0,AN1507)+AP1508+AD1507,IF(AM1507&lt;&gt;"",INDEX('Aub Demand'!Q:Q,MATCH($O1507,'Aub Demand'!$A:$A,0))-IF(AN1507="",0,AN1507)+AD1507+AL1507,INDEX('Aub Demand'!Q:Q,MATCH($O1507,'Aub Demand'!$A:$A,0))-IF(AN1507="",0,AN1507)+AD1507))),"")</f>
        <v>933</v>
      </c>
      <c r="Y1507" s="53">
        <f t="shared" si="648"/>
        <v>37.700000000000003</v>
      </c>
      <c r="Z1507" s="52">
        <f>IF(L1507="","",INDEX('Aub Demand'!H:H,MATCH($O1507,'Aub Demand'!$A:$A,0)))</f>
        <v>106</v>
      </c>
      <c r="AA1507" s="52">
        <f t="shared" si="649"/>
        <v>158.5</v>
      </c>
      <c r="AB1507" s="52">
        <f>IFERROR(INDEX('Aub Demand'!L:L,MATCH($O1507,'Aub Demand'!$A:$A,0)),"")</f>
        <v>118</v>
      </c>
      <c r="AC1507" s="52">
        <f>IFERROR(IF(O1507="","",SUMIFS('CPL Mats'!F:F,'CPL Mats'!Q:Q,AR1507,'CPL Mats'!S:S,AS1507)),"")</f>
        <v>0</v>
      </c>
      <c r="AF1507" s="25" t="str">
        <f>IF(SUMIFS('Supp Consol'!S:S,'Supp Consol'!Y:Y,"Releasable",'Supp Consol'!A:A,O1507)=0,"",SUMIFS('Supp Consol'!S:S,'Supp Consol'!Y:Y,"Releasable",'Supp Consol'!A:A,O1507))</f>
        <v/>
      </c>
      <c r="AG1507" s="25" t="str">
        <f>IFERROR(INDEX('Hun Demand'!Q:Q,MATCH(O1507,'Hun Demand'!A:A,0)),"")</f>
        <v/>
      </c>
      <c r="AH1507" s="25" t="str">
        <f>IFERROR(INDEX('Hun Demand'!H:H,MATCH($O1507,'Hun Demand'!$A:$A,0)),"")</f>
        <v/>
      </c>
      <c r="AI1507" s="25" t="str">
        <f>IF(SUMIFS('Supp Consol'!AA:AA,'Supp Consol'!Z:Z,"Expires this month",'Supp Consol'!A:A,O1507)=0,"",SUMIFS('Supp Consol'!AA:AA,'Supp Consol'!Z:Z,"Expires this month",'Supp Consol'!A:A,O1507))</f>
        <v/>
      </c>
      <c r="AJ1507" s="25" t="str">
        <f>IF(SUMIFS('Supp Consol'!AA:AA,'Supp Consol'!Z:Z,"Expired Previous Months",'Supp Consol'!A:A,O1507)=0,"",SUMIFS('Supp Consol'!AA:AA,'Supp Consol'!Z:Z,"Expired Previous Months",'Supp Consol'!A:A,O1507))</f>
        <v/>
      </c>
      <c r="AK1507" s="25" t="str">
        <f>IFERROR(INDEX('Hun Release Current'!B:B,MATCH(O1507,'Hun Release Current'!A:A,0)),"")</f>
        <v/>
      </c>
      <c r="AL1507" s="25" t="str">
        <f>IF(SUMIF('Prev Aub'!A:A,O1507,'Prev Aub'!B:B)=0,"",SUMIF('Prev Aub'!A:A,O1507,'Prev Aub'!B:B))</f>
        <v/>
      </c>
      <c r="AN1507" s="25" t="s">
        <v>3790</v>
      </c>
      <c r="AO1507" s="25" t="s">
        <v>3790</v>
      </c>
      <c r="AP1507" s="25">
        <f t="shared" si="650"/>
        <v>0</v>
      </c>
      <c r="AQ1507" s="151" t="str">
        <f>IF(SUMIFS('Supp Consol'!S:S,'Supp Consol'!A:A,O1507,'Supp Consol'!I:I,"PENDING")=0,"",SUMIFS('Supp Consol'!S:S,'Supp Consol'!A:A,O1507,'Supp Consol'!I:I,"PENDING"))</f>
        <v/>
      </c>
      <c r="AR1507" s="27" t="str">
        <f t="shared" si="651"/>
        <v>WS016</v>
      </c>
      <c r="AS1507" s="27" t="str">
        <f t="shared" si="652"/>
        <v>50</v>
      </c>
      <c r="AT1507" s="27" t="str">
        <f t="shared" si="653"/>
        <v/>
      </c>
      <c r="AU1507" s="27" t="str">
        <f t="shared" si="654"/>
        <v/>
      </c>
      <c r="AV1507" s="27" t="str">
        <f t="shared" si="655"/>
        <v/>
      </c>
      <c r="AW1507" s="27" t="str">
        <f t="shared" si="656"/>
        <v/>
      </c>
      <c r="AX1507" s="27" t="str">
        <f t="shared" si="657"/>
        <v/>
      </c>
      <c r="AY1507" s="27" t="str">
        <f t="shared" si="658"/>
        <v/>
      </c>
      <c r="AZ1507" s="27" t="str">
        <f t="shared" si="659"/>
        <v/>
      </c>
      <c r="BA1507" s="27" t="str">
        <f t="shared" si="660"/>
        <v/>
      </c>
      <c r="BB1507" s="27" t="str">
        <f t="shared" si="661"/>
        <v/>
      </c>
      <c r="BC1507" s="27" t="str">
        <f t="shared" si="662"/>
        <v/>
      </c>
      <c r="BD1507" s="27" t="str">
        <f t="shared" si="663"/>
        <v/>
      </c>
      <c r="BE1507" s="27" t="str">
        <f t="shared" si="664"/>
        <v/>
      </c>
      <c r="BF1507" s="27" t="str">
        <f t="shared" si="665"/>
        <v/>
      </c>
      <c r="BG1507" s="27" t="str">
        <f t="shared" si="666"/>
        <v/>
      </c>
      <c r="BH1507" s="27" t="str">
        <f t="shared" si="667"/>
        <v/>
      </c>
      <c r="BI1507" s="27" t="str">
        <f t="shared" si="668"/>
        <v/>
      </c>
      <c r="BJ1507" s="27" t="str">
        <f t="shared" si="669"/>
        <v/>
      </c>
      <c r="BK1507" s="27" t="str">
        <f t="shared" si="670"/>
        <v/>
      </c>
      <c r="BL1507" s="27" t="str">
        <f t="shared" si="671"/>
        <v/>
      </c>
      <c r="BM1507" s="21" t="s">
        <v>5581</v>
      </c>
    </row>
    <row r="1508" spans="1:65" ht="15">
      <c r="A1508" s="25" t="str">
        <f>IFERROR(INDEX('Hun Demand'!W:W,MATCH(O1508,'Hun Demand'!A:A,0)),"")</f>
        <v/>
      </c>
      <c r="B1508" s="25" t="str">
        <f>IFERROR(INDEX('Hun Demand'!V:V,MATCH(O1508,'Hun Demand'!A:A,0)),"")</f>
        <v/>
      </c>
      <c r="C1508" s="25" t="str">
        <f>IFERROR(INDEX('Hun Demand'!U:U,MATCH(O1508,'Hun Demand'!A:A,0)),"")</f>
        <v/>
      </c>
      <c r="D1508" s="25" t="str">
        <f>IFERROR(INDEX('Hun Demand'!T:T,MATCH(O1508,'Hun Demand'!A:A,0)),"")</f>
        <v/>
      </c>
      <c r="E1508" s="25" t="str">
        <f>IFERROR(INDEX('Hun Demand'!S:S,MATCH(O1508,'Hun Demand'!A:A,0)),"")</f>
        <v/>
      </c>
      <c r="F1508" s="25" t="str">
        <f>IFERROR(INDEX('Hun Demand'!R:R,MATCH(O1508,'Hun Demand'!A:A,0)),"")</f>
        <v/>
      </c>
      <c r="G1508" s="25">
        <f>IFERROR(INDEX('Aub Demand'!W:W,MATCH(O1508,'Aub Demand'!A:A,0)),"")</f>
        <v>22</v>
      </c>
      <c r="H1508" s="25">
        <f>IFERROR(INDEX('Aub Demand'!V:V,MATCH(O1508,'Aub Demand'!A:A,0)),"")</f>
        <v>0</v>
      </c>
      <c r="I1508" s="25">
        <f>IFERROR(INDEX('Aub Demand'!U:U,MATCH(O1508,'Aub Demand'!A:A,0)),"")</f>
        <v>90</v>
      </c>
      <c r="J1508" s="25">
        <f>IFERROR(INDEX('Aub Demand'!T:T,MATCH(O1508,'Aub Demand'!A:A,0)),"")</f>
        <v>6</v>
      </c>
      <c r="K1508" s="25">
        <f>IFERROR(INDEX('Aub Demand'!S:S,MATCH(O1508,'Aub Demand'!A:A,0)),"")</f>
        <v>37</v>
      </c>
      <c r="L1508" s="25">
        <f>IFERROR(INDEX('Aub Demand'!R:R,MATCH(O1508,'Aub Demand'!A:A,0)),"")</f>
        <v>0</v>
      </c>
      <c r="O1508" s="27" t="s">
        <v>3103</v>
      </c>
      <c r="P1508" s="27" t="str">
        <f>IFERROR(INDEX('Aub Demand'!B:B,MATCH($O1508,'Aub Demand'!$A:$A,0)),"")</f>
        <v>REGENCY MAHOGANY 60"</v>
      </c>
      <c r="Q1508" s="27" t="str">
        <f>IFERROR(INDEX('Aub Demand'!C:C,MATCH($O1508,'Aub Demand'!$A:$A,0)),"")</f>
        <v>TOPPA</v>
      </c>
      <c r="R1508" s="52">
        <f>IFERROR(IF(AR1509=AR1508,INDEX('Aub Demand'!K:K,MATCH($O1508,'Aub Demand'!$A:$A,0))-IF(AN1508="",0,AN1508)+AP1509,INDEX('Aub Demand'!K:K,MATCH($O1508,'Aub Demand'!$A:$A,0))-IF(AN1508="",0,AN1508)),"")</f>
        <v>491</v>
      </c>
      <c r="S1508" s="53">
        <f t="shared" si="644"/>
        <v>47.8</v>
      </c>
      <c r="T1508" s="52" t="str">
        <f t="shared" si="645"/>
        <v/>
      </c>
      <c r="U1508" s="52">
        <f>IFERROR(IF(AR1509=AR1508,INDEX('Aub Demand'!Q:Q,MATCH($O1508,'Aub Demand'!$A:$A,0))-IF(AN1508="",0,AN1508)+AP1509,INDEX('Aub Demand'!Q:Q,MATCH($O1508,'Aub Demand'!$A:$A,0))-IF(AN1508="",0,AN1508)),"")</f>
        <v>463</v>
      </c>
      <c r="V1508" s="53">
        <f t="shared" si="646"/>
        <v>45.1</v>
      </c>
      <c r="W1508" s="52" t="str">
        <f t="shared" si="647"/>
        <v/>
      </c>
      <c r="X1508" s="52">
        <f>IFERROR(IF(AND(AR1509=AR1508,AM1508&lt;&gt;""),INDEX('Aub Demand'!Q:Q,MATCH($O1508,'Aub Demand'!$A:$A,0))-IF(AN1508="",0,AN1508)+AP1509+AD1508+AL1508,IF(AR1509=AR1508,INDEX('Aub Demand'!Q:Q,MATCH($O1508,'Aub Demand'!$A:$A,0))-IF(AN1508="",0,AN1508)+AP1509+AD1508,IF(AM1508&lt;&gt;"",INDEX('Aub Demand'!Q:Q,MATCH($O1508,'Aub Demand'!$A:$A,0))-IF(AN1508="",0,AN1508)+AD1508+AL1508,INDEX('Aub Demand'!Q:Q,MATCH($O1508,'Aub Demand'!$A:$A,0))-IF(AN1508="",0,AN1508)+AD1508))),"")</f>
        <v>463</v>
      </c>
      <c r="Y1508" s="53">
        <f t="shared" si="648"/>
        <v>45.1</v>
      </c>
      <c r="Z1508" s="52">
        <f>IF(L1508="","",INDEX('Aub Demand'!H:H,MATCH($O1508,'Aub Demand'!$A:$A,0)))</f>
        <v>44</v>
      </c>
      <c r="AA1508" s="52">
        <f t="shared" si="649"/>
        <v>63.5</v>
      </c>
      <c r="AB1508" s="52">
        <f>IFERROR(INDEX('Aub Demand'!L:L,MATCH($O1508,'Aub Demand'!$A:$A,0)),"")</f>
        <v>0</v>
      </c>
      <c r="AC1508" s="52">
        <f>IFERROR(IF(O1508="","",SUMIFS('CPL Mats'!F:F,'CPL Mats'!Q:Q,AR1508,'CPL Mats'!S:S,AS1508)),"")</f>
        <v>0</v>
      </c>
      <c r="AF1508" s="25" t="str">
        <f>IF(SUMIFS('Supp Consol'!S:S,'Supp Consol'!Y:Y,"Releasable",'Supp Consol'!A:A,O1508)=0,"",SUMIFS('Supp Consol'!S:S,'Supp Consol'!Y:Y,"Releasable",'Supp Consol'!A:A,O1508))</f>
        <v/>
      </c>
      <c r="AG1508" s="25" t="str">
        <f>IFERROR(INDEX('Hun Demand'!Q:Q,MATCH(O1508,'Hun Demand'!A:A,0)),"")</f>
        <v/>
      </c>
      <c r="AH1508" s="25" t="str">
        <f>IFERROR(INDEX('Hun Demand'!H:H,MATCH($O1508,'Hun Demand'!$A:$A,0)),"")</f>
        <v/>
      </c>
      <c r="AI1508" s="25" t="str">
        <f>IF(SUMIFS('Supp Consol'!AA:AA,'Supp Consol'!Z:Z,"Expires this month",'Supp Consol'!A:A,O1508)=0,"",SUMIFS('Supp Consol'!AA:AA,'Supp Consol'!Z:Z,"Expires this month",'Supp Consol'!A:A,O1508))</f>
        <v/>
      </c>
      <c r="AJ1508" s="25" t="str">
        <f>IF(SUMIFS('Supp Consol'!AA:AA,'Supp Consol'!Z:Z,"Expired Previous Months",'Supp Consol'!A:A,O1508)=0,"",SUMIFS('Supp Consol'!AA:AA,'Supp Consol'!Z:Z,"Expired Previous Months",'Supp Consol'!A:A,O1508))</f>
        <v/>
      </c>
      <c r="AK1508" s="25" t="str">
        <f>IFERROR(INDEX('Hun Release Current'!B:B,MATCH(O1508,'Hun Release Current'!A:A,0)),"")</f>
        <v/>
      </c>
      <c r="AL1508" s="25" t="str">
        <f>IF(SUMIF('Prev Aub'!A:A,O1508,'Prev Aub'!B:B)=0,"",SUMIF('Prev Aub'!A:A,O1508,'Prev Aub'!B:B))</f>
        <v/>
      </c>
      <c r="AN1508" s="25" t="s">
        <v>3790</v>
      </c>
      <c r="AO1508" s="25" t="s">
        <v>3790</v>
      </c>
      <c r="AP1508" s="25">
        <f t="shared" si="650"/>
        <v>0</v>
      </c>
      <c r="AQ1508" s="151" t="str">
        <f>IF(SUMIFS('Supp Consol'!S:S,'Supp Consol'!A:A,O1508,'Supp Consol'!I:I,"PENDING")=0,"",SUMIFS('Supp Consol'!S:S,'Supp Consol'!A:A,O1508,'Supp Consol'!I:I,"PENDING"))</f>
        <v/>
      </c>
      <c r="AR1508" s="27" t="str">
        <f t="shared" si="651"/>
        <v>WS016</v>
      </c>
      <c r="AS1508" s="27" t="str">
        <f t="shared" si="652"/>
        <v>62</v>
      </c>
      <c r="AT1508" s="27" t="str">
        <f t="shared" si="653"/>
        <v/>
      </c>
      <c r="AU1508" s="27" t="str">
        <f t="shared" si="654"/>
        <v/>
      </c>
      <c r="AV1508" s="27" t="str">
        <f t="shared" si="655"/>
        <v/>
      </c>
      <c r="AW1508" s="27" t="str">
        <f t="shared" si="656"/>
        <v/>
      </c>
      <c r="AX1508" s="27" t="str">
        <f t="shared" si="657"/>
        <v/>
      </c>
      <c r="AY1508" s="27" t="str">
        <f t="shared" si="658"/>
        <v/>
      </c>
      <c r="AZ1508" s="27" t="str">
        <f t="shared" si="659"/>
        <v/>
      </c>
      <c r="BA1508" s="27" t="str">
        <f t="shared" si="660"/>
        <v/>
      </c>
      <c r="BB1508" s="27" t="str">
        <f t="shared" si="661"/>
        <v/>
      </c>
      <c r="BC1508" s="27" t="str">
        <f t="shared" si="662"/>
        <v/>
      </c>
      <c r="BD1508" s="27" t="str">
        <f t="shared" si="663"/>
        <v/>
      </c>
      <c r="BE1508" s="27" t="str">
        <f t="shared" si="664"/>
        <v/>
      </c>
      <c r="BF1508" s="27" t="str">
        <f t="shared" si="665"/>
        <v/>
      </c>
      <c r="BG1508" s="27" t="str">
        <f t="shared" si="666"/>
        <v/>
      </c>
      <c r="BH1508" s="27" t="str">
        <f t="shared" si="667"/>
        <v/>
      </c>
      <c r="BI1508" s="27" t="str">
        <f t="shared" si="668"/>
        <v/>
      </c>
      <c r="BJ1508" s="27" t="str">
        <f t="shared" si="669"/>
        <v/>
      </c>
      <c r="BK1508" s="27" t="str">
        <f t="shared" si="670"/>
        <v/>
      </c>
      <c r="BL1508" s="27" t="str">
        <f t="shared" si="671"/>
        <v/>
      </c>
      <c r="BM1508" s="21" t="s">
        <v>5581</v>
      </c>
    </row>
    <row r="1509" spans="1:65" ht="15">
      <c r="A1509" s="25" t="str">
        <f>IFERROR(INDEX('Hun Demand'!W:W,MATCH(O1509,'Hun Demand'!A:A,0)),"")</f>
        <v/>
      </c>
      <c r="B1509" s="25" t="str">
        <f>IFERROR(INDEX('Hun Demand'!V:V,MATCH(O1509,'Hun Demand'!A:A,0)),"")</f>
        <v/>
      </c>
      <c r="C1509" s="25" t="str">
        <f>IFERROR(INDEX('Hun Demand'!U:U,MATCH(O1509,'Hun Demand'!A:A,0)),"")</f>
        <v/>
      </c>
      <c r="D1509" s="25" t="str">
        <f>IFERROR(INDEX('Hun Demand'!T:T,MATCH(O1509,'Hun Demand'!A:A,0)),"")</f>
        <v/>
      </c>
      <c r="E1509" s="25" t="str">
        <f>IFERROR(INDEX('Hun Demand'!S:S,MATCH(O1509,'Hun Demand'!A:A,0)),"")</f>
        <v/>
      </c>
      <c r="F1509" s="25" t="str">
        <f>IFERROR(INDEX('Hun Demand'!R:R,MATCH(O1509,'Hun Demand'!A:A,0)),"")</f>
        <v/>
      </c>
      <c r="G1509" s="25">
        <f>IFERROR(INDEX('Aub Demand'!W:W,MATCH(O1509,'Aub Demand'!A:A,0)),"")</f>
        <v>0</v>
      </c>
      <c r="H1509" s="25">
        <f>IFERROR(INDEX('Aub Demand'!V:V,MATCH(O1509,'Aub Demand'!A:A,0)),"")</f>
        <v>0</v>
      </c>
      <c r="I1509" s="25">
        <f>IFERROR(INDEX('Aub Demand'!U:U,MATCH(O1509,'Aub Demand'!A:A,0)),"")</f>
        <v>0</v>
      </c>
      <c r="J1509" s="25">
        <f>IFERROR(INDEX('Aub Demand'!T:T,MATCH(O1509,'Aub Demand'!A:A,0)),"")</f>
        <v>0</v>
      </c>
      <c r="K1509" s="25">
        <f>IFERROR(INDEX('Aub Demand'!S:S,MATCH(O1509,'Aub Demand'!A:A,0)),"")</f>
        <v>0</v>
      </c>
      <c r="L1509" s="25">
        <f>IFERROR(INDEX('Aub Demand'!R:R,MATCH(O1509,'Aub Demand'!A:A,0)),"")</f>
        <v>0</v>
      </c>
      <c r="O1509" s="27" t="s">
        <v>3439</v>
      </c>
      <c r="P1509" s="27" t="str">
        <f>IFERROR(INDEX('Aub Demand'!B:B,MATCH($O1509,'Aub Demand'!$A:$A,0)),"")</f>
        <v>Carolina Mahogany L1</v>
      </c>
      <c r="Q1509" s="27" t="str">
        <f>IFERROR(INDEX('Aub Demand'!C:C,MATCH($O1509,'Aub Demand'!$A:$A,0)),"")</f>
        <v>SCHAT</v>
      </c>
      <c r="R1509" s="52">
        <f>IFERROR(IF(AR1510=AR1509,INDEX('Aub Demand'!K:K,MATCH($O1509,'Aub Demand'!$A:$A,0))-IF(AN1509="",0,AN1509)+AP1510,INDEX('Aub Demand'!K:K,MATCH($O1509,'Aub Demand'!$A:$A,0))-IF(AN1509="",0,AN1509)),"")</f>
        <v>1746</v>
      </c>
      <c r="S1509" s="53" t="str">
        <f t="shared" si="644"/>
        <v>n/a</v>
      </c>
      <c r="T1509" s="52" t="str">
        <f t="shared" si="645"/>
        <v/>
      </c>
      <c r="U1509" s="52">
        <f>IFERROR(IF(AR1510=AR1509,INDEX('Aub Demand'!Q:Q,MATCH($O1509,'Aub Demand'!$A:$A,0))-IF(AN1509="",0,AN1509)+AP1510,INDEX('Aub Demand'!Q:Q,MATCH($O1509,'Aub Demand'!$A:$A,0))-IF(AN1509="",0,AN1509)),"")</f>
        <v>1746</v>
      </c>
      <c r="V1509" s="53" t="str">
        <f t="shared" si="646"/>
        <v>n/a</v>
      </c>
      <c r="W1509" s="52" t="str">
        <f t="shared" si="647"/>
        <v/>
      </c>
      <c r="X1509" s="52">
        <f>IFERROR(IF(AND(AR1510=AR1509,AM1509&lt;&gt;""),INDEX('Aub Demand'!Q:Q,MATCH($O1509,'Aub Demand'!$A:$A,0))-IF(AN1509="",0,AN1509)+AP1510+AD1509+AL1509,IF(AR1510=AR1509,INDEX('Aub Demand'!Q:Q,MATCH($O1509,'Aub Demand'!$A:$A,0))-IF(AN1509="",0,AN1509)+AP1510+AD1509,IF(AM1509&lt;&gt;"",INDEX('Aub Demand'!Q:Q,MATCH($O1509,'Aub Demand'!$A:$A,0))-IF(AN1509="",0,AN1509)+AD1509+AL1509,INDEX('Aub Demand'!Q:Q,MATCH($O1509,'Aub Demand'!$A:$A,0))-IF(AN1509="",0,AN1509)+AD1509))),"")</f>
        <v>1746</v>
      </c>
      <c r="Y1509" s="53" t="str">
        <f t="shared" si="648"/>
        <v>n/a</v>
      </c>
      <c r="Z1509" s="52">
        <f>IF(L1509="","",INDEX('Aub Demand'!H:H,MATCH($O1509,'Aub Demand'!$A:$A,0)))</f>
        <v>0</v>
      </c>
      <c r="AA1509" s="52" t="str">
        <f t="shared" si="649"/>
        <v>-spike-</v>
      </c>
      <c r="AB1509" s="52">
        <f>IFERROR(INDEX('Aub Demand'!L:L,MATCH($O1509,'Aub Demand'!$A:$A,0)),"")</f>
        <v>66</v>
      </c>
      <c r="AC1509" s="52">
        <f>IFERROR(IF(O1509="","",SUMIFS('CPL Mats'!F:F,'CPL Mats'!Q:Q,AR1509,'CPL Mats'!S:S,AS1509)),"")</f>
        <v>0</v>
      </c>
      <c r="AF1509" s="25" t="str">
        <f>IF(SUMIFS('Supp Consol'!S:S,'Supp Consol'!Y:Y,"Releasable",'Supp Consol'!A:A,O1509)=0,"",SUMIFS('Supp Consol'!S:S,'Supp Consol'!Y:Y,"Releasable",'Supp Consol'!A:A,O1509))</f>
        <v/>
      </c>
      <c r="AG1509" s="25" t="str">
        <f>IFERROR(INDEX('Hun Demand'!Q:Q,MATCH(O1509,'Hun Demand'!A:A,0)),"")</f>
        <v/>
      </c>
      <c r="AH1509" s="25" t="str">
        <f>IFERROR(INDEX('Hun Demand'!H:H,MATCH($O1509,'Hun Demand'!$A:$A,0)),"")</f>
        <v/>
      </c>
      <c r="AI1509" s="25" t="str">
        <f>IF(SUMIFS('Supp Consol'!AA:AA,'Supp Consol'!Z:Z,"Expires this month",'Supp Consol'!A:A,O1509)=0,"",SUMIFS('Supp Consol'!AA:AA,'Supp Consol'!Z:Z,"Expires this month",'Supp Consol'!A:A,O1509))</f>
        <v/>
      </c>
      <c r="AJ1509" s="25" t="str">
        <f>IF(SUMIFS('Supp Consol'!AA:AA,'Supp Consol'!Z:Z,"Expired Previous Months",'Supp Consol'!A:A,O1509)=0,"",SUMIFS('Supp Consol'!AA:AA,'Supp Consol'!Z:Z,"Expired Previous Months",'Supp Consol'!A:A,O1509))</f>
        <v/>
      </c>
      <c r="AK1509" s="25" t="str">
        <f>IFERROR(INDEX('Hun Release Current'!B:B,MATCH(O1509,'Hun Release Current'!A:A,0)),"")</f>
        <v/>
      </c>
      <c r="AL1509" s="25" t="str">
        <f>IF(SUMIF('Prev Aub'!A:A,O1509,'Prev Aub'!B:B)=0,"",SUMIF('Prev Aub'!A:A,O1509,'Prev Aub'!B:B))</f>
        <v/>
      </c>
      <c r="AN1509" s="25" t="s">
        <v>3790</v>
      </c>
      <c r="AO1509" s="25" t="s">
        <v>3790</v>
      </c>
      <c r="AP1509" s="25">
        <f t="shared" si="650"/>
        <v>0</v>
      </c>
      <c r="AQ1509" s="151" t="str">
        <f>IF(SUMIFS('Supp Consol'!S:S,'Supp Consol'!A:A,O1509,'Supp Consol'!I:I,"PENDING")=0,"",SUMIFS('Supp Consol'!S:S,'Supp Consol'!A:A,O1509,'Supp Consol'!I:I,"PENDING"))</f>
        <v/>
      </c>
      <c r="AR1509" s="27" t="str">
        <f t="shared" si="651"/>
        <v>WS020</v>
      </c>
      <c r="AS1509" s="27" t="str">
        <f t="shared" si="652"/>
        <v>62</v>
      </c>
      <c r="AT1509" s="27" t="str">
        <f t="shared" si="653"/>
        <v/>
      </c>
      <c r="AU1509" s="27" t="str">
        <f t="shared" si="654"/>
        <v/>
      </c>
      <c r="AV1509" s="27" t="str">
        <f t="shared" si="655"/>
        <v/>
      </c>
      <c r="AW1509" s="27" t="str">
        <f t="shared" si="656"/>
        <v/>
      </c>
      <c r="AX1509" s="27" t="str">
        <f t="shared" si="657"/>
        <v/>
      </c>
      <c r="AY1509" s="27" t="str">
        <f t="shared" si="658"/>
        <v/>
      </c>
      <c r="AZ1509" s="27" t="str">
        <f t="shared" si="659"/>
        <v/>
      </c>
      <c r="BA1509" s="27" t="str">
        <f t="shared" si="660"/>
        <v/>
      </c>
      <c r="BB1509" s="27" t="str">
        <f t="shared" si="661"/>
        <v/>
      </c>
      <c r="BC1509" s="27" t="str">
        <f t="shared" si="662"/>
        <v/>
      </c>
      <c r="BD1509" s="27" t="str">
        <f t="shared" si="663"/>
        <v/>
      </c>
      <c r="BE1509" s="27" t="str">
        <f t="shared" si="664"/>
        <v/>
      </c>
      <c r="BF1509" s="27" t="str">
        <f t="shared" si="665"/>
        <v/>
      </c>
      <c r="BG1509" s="27" t="str">
        <f t="shared" si="666"/>
        <v/>
      </c>
      <c r="BH1509" s="27" t="str">
        <f t="shared" si="667"/>
        <v/>
      </c>
      <c r="BI1509" s="27" t="str">
        <f t="shared" si="668"/>
        <v/>
      </c>
      <c r="BJ1509" s="27" t="str">
        <f t="shared" si="669"/>
        <v/>
      </c>
      <c r="BK1509" s="27" t="str">
        <f t="shared" si="670"/>
        <v/>
      </c>
      <c r="BL1509" s="27" t="str">
        <f t="shared" si="671"/>
        <v/>
      </c>
      <c r="BM1509" s="21" t="s">
        <v>5581</v>
      </c>
    </row>
    <row r="1510" spans="1:65" ht="15">
      <c r="A1510" s="25" t="str">
        <f>IFERROR(INDEX('Hun Demand'!W:W,MATCH(O1510,'Hun Demand'!A:A,0)),"")</f>
        <v/>
      </c>
      <c r="B1510" s="25" t="str">
        <f>IFERROR(INDEX('Hun Demand'!V:V,MATCH(O1510,'Hun Demand'!A:A,0)),"")</f>
        <v/>
      </c>
      <c r="C1510" s="25" t="str">
        <f>IFERROR(INDEX('Hun Demand'!U:U,MATCH(O1510,'Hun Demand'!A:A,0)),"")</f>
        <v/>
      </c>
      <c r="D1510" s="25" t="str">
        <f>IFERROR(INDEX('Hun Demand'!T:T,MATCH(O1510,'Hun Demand'!A:A,0)),"")</f>
        <v/>
      </c>
      <c r="E1510" s="25" t="str">
        <f>IFERROR(INDEX('Hun Demand'!S:S,MATCH(O1510,'Hun Demand'!A:A,0)),"")</f>
        <v/>
      </c>
      <c r="F1510" s="25" t="str">
        <f>IFERROR(INDEX('Hun Demand'!R:R,MATCH(O1510,'Hun Demand'!A:A,0)),"")</f>
        <v/>
      </c>
      <c r="G1510" s="25">
        <f>IFERROR(INDEX('Aub Demand'!W:W,MATCH(O1510,'Aub Demand'!A:A,0)),"")</f>
        <v>0</v>
      </c>
      <c r="H1510" s="25">
        <f>IFERROR(INDEX('Aub Demand'!V:V,MATCH(O1510,'Aub Demand'!A:A,0)),"")</f>
        <v>0</v>
      </c>
      <c r="I1510" s="25">
        <f>IFERROR(INDEX('Aub Demand'!U:U,MATCH(O1510,'Aub Demand'!A:A,0)),"")</f>
        <v>56</v>
      </c>
      <c r="J1510" s="25">
        <f>IFERROR(INDEX('Aub Demand'!T:T,MATCH(O1510,'Aub Demand'!A:A,0)),"")</f>
        <v>0</v>
      </c>
      <c r="K1510" s="25">
        <f>IFERROR(INDEX('Aub Demand'!S:S,MATCH(O1510,'Aub Demand'!A:A,0)),"")</f>
        <v>0</v>
      </c>
      <c r="L1510" s="25">
        <f>IFERROR(INDEX('Aub Demand'!R:R,MATCH(O1510,'Aub Demand'!A:A,0)),"")</f>
        <v>0</v>
      </c>
      <c r="O1510" s="27" t="s">
        <v>5359</v>
      </c>
      <c r="P1510" s="27" t="str">
        <f>IFERROR(INDEX('Aub Demand'!B:B,MATCH($O1510,'Aub Demand'!$A:$A,0)),"")</f>
        <v>CREST MAHOGANY 36"</v>
      </c>
      <c r="Q1510" s="27" t="str">
        <f>IFERROR(INDEX('Aub Demand'!C:C,MATCH($O1510,'Aub Demand'!$A:$A,0)),"")</f>
        <v>DNP A</v>
      </c>
      <c r="R1510" s="52">
        <f>IFERROR(IF(AR1511=AR1510,INDEX('Aub Demand'!K:K,MATCH($O1510,'Aub Demand'!$A:$A,0))-IF(AN1510="",0,AN1510)+AP1511,INDEX('Aub Demand'!K:K,MATCH($O1510,'Aub Demand'!$A:$A,0))-IF(AN1510="",0,AN1510)),"")</f>
        <v>20</v>
      </c>
      <c r="S1510" s="53">
        <f t="shared" si="644"/>
        <v>4.5</v>
      </c>
      <c r="T1510" s="52" t="str">
        <f t="shared" si="645"/>
        <v/>
      </c>
      <c r="U1510" s="52">
        <f>IFERROR(IF(AR1511=AR1510,INDEX('Aub Demand'!Q:Q,MATCH($O1510,'Aub Demand'!$A:$A,0))-IF(AN1510="",0,AN1510)+AP1511,INDEX('Aub Demand'!Q:Q,MATCH($O1510,'Aub Demand'!$A:$A,0))-IF(AN1510="",0,AN1510)),"")</f>
        <v>20</v>
      </c>
      <c r="V1510" s="53">
        <f t="shared" si="646"/>
        <v>4.5</v>
      </c>
      <c r="W1510" s="52" t="str">
        <f t="shared" si="647"/>
        <v/>
      </c>
      <c r="X1510" s="52">
        <f>IFERROR(IF(AND(AR1511=AR1510,AM1510&lt;&gt;""),INDEX('Aub Demand'!Q:Q,MATCH($O1510,'Aub Demand'!$A:$A,0))-IF(AN1510="",0,AN1510)+AP1511+AD1510+AL1510,IF(AR1511=AR1510,INDEX('Aub Demand'!Q:Q,MATCH($O1510,'Aub Demand'!$A:$A,0))-IF(AN1510="",0,AN1510)+AP1511+AD1510,IF(AM1510&lt;&gt;"",INDEX('Aub Demand'!Q:Q,MATCH($O1510,'Aub Demand'!$A:$A,0))-IF(AN1510="",0,AN1510)+AD1510+AL1510,INDEX('Aub Demand'!Q:Q,MATCH($O1510,'Aub Demand'!$A:$A,0))-IF(AN1510="",0,AN1510)+AD1510))),"")</f>
        <v>20</v>
      </c>
      <c r="Y1510" s="53">
        <f t="shared" si="648"/>
        <v>4.5</v>
      </c>
      <c r="Z1510" s="52">
        <f>IF(L1510="","",INDEX('Aub Demand'!H:H,MATCH($O1510,'Aub Demand'!$A:$A,0)))</f>
        <v>19</v>
      </c>
      <c r="AA1510" s="52" t="str">
        <f t="shared" si="649"/>
        <v>-spike-</v>
      </c>
      <c r="AB1510" s="52">
        <f>IFERROR(INDEX('Aub Demand'!L:L,MATCH($O1510,'Aub Demand'!$A:$A,0)),"")</f>
        <v>0</v>
      </c>
      <c r="AC1510" s="52">
        <f>IFERROR(IF(O1510="","",SUMIFS('CPL Mats'!F:F,'CPL Mats'!Q:Q,AR1510,'CPL Mats'!S:S,AS1510)),"")</f>
        <v>0</v>
      </c>
      <c r="AF1510" s="25" t="str">
        <f>IF(SUMIFS('Supp Consol'!S:S,'Supp Consol'!Y:Y,"Releasable",'Supp Consol'!A:A,O1510)=0,"",SUMIFS('Supp Consol'!S:S,'Supp Consol'!Y:Y,"Releasable",'Supp Consol'!A:A,O1510))</f>
        <v/>
      </c>
      <c r="AG1510" s="25" t="str">
        <f>IFERROR(INDEX('Hun Demand'!Q:Q,MATCH(O1510,'Hun Demand'!A:A,0)),"")</f>
        <v/>
      </c>
      <c r="AH1510" s="25" t="str">
        <f>IFERROR(INDEX('Hun Demand'!H:H,MATCH($O1510,'Hun Demand'!$A:$A,0)),"")</f>
        <v/>
      </c>
      <c r="AI1510" s="25" t="str">
        <f>IF(SUMIFS('Supp Consol'!AA:AA,'Supp Consol'!Z:Z,"Expires this month",'Supp Consol'!A:A,O1510)=0,"",SUMIFS('Supp Consol'!AA:AA,'Supp Consol'!Z:Z,"Expires this month",'Supp Consol'!A:A,O1510))</f>
        <v/>
      </c>
      <c r="AJ1510" s="25" t="str">
        <f>IF(SUMIFS('Supp Consol'!AA:AA,'Supp Consol'!Z:Z,"Expired Previous Months",'Supp Consol'!A:A,O1510)=0,"",SUMIFS('Supp Consol'!AA:AA,'Supp Consol'!Z:Z,"Expired Previous Months",'Supp Consol'!A:A,O1510))</f>
        <v/>
      </c>
      <c r="AK1510" s="25" t="str">
        <f>IFERROR(INDEX('Hun Release Current'!B:B,MATCH(O1510,'Hun Release Current'!A:A,0)),"")</f>
        <v/>
      </c>
      <c r="AL1510" s="25" t="str">
        <f>IF(SUMIF('Prev Aub'!A:A,O1510,'Prev Aub'!B:B)=0,"",SUMIF('Prev Aub'!A:A,O1510,'Prev Aub'!B:B))</f>
        <v/>
      </c>
      <c r="AN1510" s="25" t="s">
        <v>3790</v>
      </c>
      <c r="AO1510" s="25" t="s">
        <v>3790</v>
      </c>
      <c r="AP1510" s="25">
        <f t="shared" si="650"/>
        <v>0</v>
      </c>
      <c r="AQ1510" s="151" t="str">
        <f>IF(SUMIFS('Supp Consol'!S:S,'Supp Consol'!A:A,O1510,'Supp Consol'!I:I,"PENDING")=0,"",SUMIFS('Supp Consol'!S:S,'Supp Consol'!A:A,O1510,'Supp Consol'!I:I,"PENDING"))</f>
        <v/>
      </c>
      <c r="AR1510" s="27" t="str">
        <f t="shared" si="651"/>
        <v>WS843</v>
      </c>
      <c r="AS1510" s="27" t="str">
        <f t="shared" si="652"/>
        <v>37</v>
      </c>
      <c r="AT1510" s="27" t="str">
        <f t="shared" si="653"/>
        <v/>
      </c>
      <c r="AU1510" s="27" t="str">
        <f t="shared" si="654"/>
        <v/>
      </c>
      <c r="AV1510" s="27" t="str">
        <f t="shared" si="655"/>
        <v/>
      </c>
      <c r="AW1510" s="27" t="str">
        <f t="shared" si="656"/>
        <v/>
      </c>
      <c r="AX1510" s="27" t="str">
        <f t="shared" si="657"/>
        <v/>
      </c>
      <c r="AY1510" s="27" t="str">
        <f t="shared" si="658"/>
        <v/>
      </c>
      <c r="AZ1510" s="27" t="str">
        <f t="shared" si="659"/>
        <v>Supp</v>
      </c>
      <c r="BA1510" s="27" t="str">
        <f t="shared" si="660"/>
        <v/>
      </c>
      <c r="BB1510" s="27" t="str">
        <f t="shared" si="661"/>
        <v/>
      </c>
      <c r="BC1510" s="27" t="str">
        <f t="shared" si="662"/>
        <v/>
      </c>
      <c r="BD1510" s="27" t="str">
        <f t="shared" si="663"/>
        <v/>
      </c>
      <c r="BE1510" s="27" t="str">
        <f t="shared" si="664"/>
        <v>Exp</v>
      </c>
      <c r="BF1510" s="27" t="str">
        <f t="shared" si="665"/>
        <v/>
      </c>
      <c r="BG1510" s="27" t="str">
        <f t="shared" si="666"/>
        <v>S+NorE</v>
      </c>
      <c r="BH1510" s="27" t="str">
        <f t="shared" si="667"/>
        <v/>
      </c>
      <c r="BI1510" s="27" t="str">
        <f t="shared" si="668"/>
        <v/>
      </c>
      <c r="BJ1510" s="27" t="str">
        <f t="shared" si="669"/>
        <v>Supp or Hun</v>
      </c>
      <c r="BK1510" s="27" t="str">
        <f t="shared" si="670"/>
        <v/>
      </c>
      <c r="BL1510" s="27" t="str">
        <f t="shared" si="671"/>
        <v>SorHandNandE</v>
      </c>
      <c r="BM1510" s="21" t="s">
        <v>5581</v>
      </c>
    </row>
    <row r="1511" spans="1:65" ht="15">
      <c r="A1511" s="25" t="str">
        <f>IFERROR(INDEX('Hun Demand'!W:W,MATCH(O1511,'Hun Demand'!A:A,0)),"")</f>
        <v/>
      </c>
      <c r="B1511" s="25" t="str">
        <f>IFERROR(INDEX('Hun Demand'!V:V,MATCH(O1511,'Hun Demand'!A:A,0)),"")</f>
        <v/>
      </c>
      <c r="C1511" s="25" t="str">
        <f>IFERROR(INDEX('Hun Demand'!U:U,MATCH(O1511,'Hun Demand'!A:A,0)),"")</f>
        <v/>
      </c>
      <c r="D1511" s="25" t="str">
        <f>IFERROR(INDEX('Hun Demand'!T:T,MATCH(O1511,'Hun Demand'!A:A,0)),"")</f>
        <v/>
      </c>
      <c r="E1511" s="25" t="str">
        <f>IFERROR(INDEX('Hun Demand'!S:S,MATCH(O1511,'Hun Demand'!A:A,0)),"")</f>
        <v/>
      </c>
      <c r="F1511" s="25" t="str">
        <f>IFERROR(INDEX('Hun Demand'!R:R,MATCH(O1511,'Hun Demand'!A:A,0)),"")</f>
        <v/>
      </c>
      <c r="G1511" s="25">
        <f>IFERROR(INDEX('Aub Demand'!W:W,MATCH(O1511,'Aub Demand'!A:A,0)),"")</f>
        <v>0</v>
      </c>
      <c r="H1511" s="25">
        <f>IFERROR(INDEX('Aub Demand'!V:V,MATCH(O1511,'Aub Demand'!A:A,0)),"")</f>
        <v>131</v>
      </c>
      <c r="I1511" s="25">
        <f>IFERROR(INDEX('Aub Demand'!U:U,MATCH(O1511,'Aub Demand'!A:A,0)),"")</f>
        <v>146</v>
      </c>
      <c r="J1511" s="25">
        <f>IFERROR(INDEX('Aub Demand'!T:T,MATCH(O1511,'Aub Demand'!A:A,0)),"")</f>
        <v>0</v>
      </c>
      <c r="K1511" s="25">
        <f>IFERROR(INDEX('Aub Demand'!S:S,MATCH(O1511,'Aub Demand'!A:A,0)),"")</f>
        <v>30</v>
      </c>
      <c r="L1511" s="25">
        <f>IFERROR(INDEX('Aub Demand'!R:R,MATCH(O1511,'Aub Demand'!A:A,0)),"")</f>
        <v>0</v>
      </c>
      <c r="O1511" s="27" t="s">
        <v>3106</v>
      </c>
      <c r="P1511" s="27" t="str">
        <f>IFERROR(INDEX('Aub Demand'!B:B,MATCH($O1511,'Aub Demand'!$A:$A,0)),"")</f>
        <v>CREST MAHOGANY 48"</v>
      </c>
      <c r="Q1511" s="27" t="str">
        <f>IFERROR(INDEX('Aub Demand'!C:C,MATCH($O1511,'Aub Demand'!$A:$A,0)),"")</f>
        <v>DNP A</v>
      </c>
      <c r="R1511" s="52">
        <f>IFERROR(IF(AR1512=AR1511,INDEX('Aub Demand'!K:K,MATCH($O1511,'Aub Demand'!$A:$A,0))-IF(AN1511="",0,AN1511)+AP1512,INDEX('Aub Demand'!K:K,MATCH($O1511,'Aub Demand'!$A:$A,0))-IF(AN1511="",0,AN1511)),"")</f>
        <v>224</v>
      </c>
      <c r="S1511" s="53">
        <f t="shared" si="644"/>
        <v>16.3</v>
      </c>
      <c r="T1511" s="52" t="str">
        <f t="shared" si="645"/>
        <v/>
      </c>
      <c r="U1511" s="52">
        <f>IFERROR(IF(AR1512=AR1511,INDEX('Aub Demand'!Q:Q,MATCH($O1511,'Aub Demand'!$A:$A,0))-IF(AN1511="",0,AN1511)+AP1512,INDEX('Aub Demand'!Q:Q,MATCH($O1511,'Aub Demand'!$A:$A,0))-IF(AN1511="",0,AN1511)),"")</f>
        <v>210</v>
      </c>
      <c r="V1511" s="53">
        <f t="shared" si="646"/>
        <v>15.3</v>
      </c>
      <c r="W1511" s="52" t="str">
        <f t="shared" si="647"/>
        <v/>
      </c>
      <c r="X1511" s="52">
        <f>IFERROR(IF(AND(AR1512=AR1511,AM1511&lt;&gt;""),INDEX('Aub Demand'!Q:Q,MATCH($O1511,'Aub Demand'!$A:$A,0))-IF(AN1511="",0,AN1511)+AP1512+AD1511+AL1511,IF(AR1512=AR1511,INDEX('Aub Demand'!Q:Q,MATCH($O1511,'Aub Demand'!$A:$A,0))-IF(AN1511="",0,AN1511)+AP1512+AD1511,IF(AM1511&lt;&gt;"",INDEX('Aub Demand'!Q:Q,MATCH($O1511,'Aub Demand'!$A:$A,0))-IF(AN1511="",0,AN1511)+AD1511+AL1511,INDEX('Aub Demand'!Q:Q,MATCH($O1511,'Aub Demand'!$A:$A,0))-IF(AN1511="",0,AN1511)+AD1511))),"")</f>
        <v>210</v>
      </c>
      <c r="Y1511" s="53">
        <f t="shared" si="648"/>
        <v>15.3</v>
      </c>
      <c r="Z1511" s="52">
        <f>IF(L1511="","",INDEX('Aub Demand'!H:H,MATCH($O1511,'Aub Demand'!$A:$A,0)))</f>
        <v>59</v>
      </c>
      <c r="AA1511" s="52">
        <f t="shared" si="649"/>
        <v>88</v>
      </c>
      <c r="AB1511" s="52">
        <f>IFERROR(INDEX('Aub Demand'!L:L,MATCH($O1511,'Aub Demand'!$A:$A,0)),"")</f>
        <v>18</v>
      </c>
      <c r="AC1511" s="52">
        <f>IFERROR(IF(O1511="","",SUMIFS('CPL Mats'!F:F,'CPL Mats'!Q:Q,AR1511,'CPL Mats'!S:S,AS1511)),"")</f>
        <v>0</v>
      </c>
      <c r="AF1511" s="25">
        <f>IF(SUMIFS('Supp Consol'!S:S,'Supp Consol'!Y:Y,"Releasable",'Supp Consol'!A:A,O1511)=0,"",SUMIFS('Supp Consol'!S:S,'Supp Consol'!Y:Y,"Releasable",'Supp Consol'!A:A,O1511))</f>
        <v>576</v>
      </c>
      <c r="AG1511" s="25" t="str">
        <f>IFERROR(INDEX('Hun Demand'!Q:Q,MATCH(O1511,'Hun Demand'!A:A,0)),"")</f>
        <v/>
      </c>
      <c r="AH1511" s="25" t="str">
        <f>IFERROR(INDEX('Hun Demand'!H:H,MATCH($O1511,'Hun Demand'!$A:$A,0)),"")</f>
        <v/>
      </c>
      <c r="AI1511" s="25">
        <f>IF(SUMIFS('Supp Consol'!AA:AA,'Supp Consol'!Z:Z,"Expires this month",'Supp Consol'!A:A,O1511)=0,"",SUMIFS('Supp Consol'!AA:AA,'Supp Consol'!Z:Z,"Expires this month",'Supp Consol'!A:A,O1511))</f>
        <v>500</v>
      </c>
      <c r="AJ1511" s="25" t="str">
        <f>IF(SUMIFS('Supp Consol'!AA:AA,'Supp Consol'!Z:Z,"Expired Previous Months",'Supp Consol'!A:A,O1511)=0,"",SUMIFS('Supp Consol'!AA:AA,'Supp Consol'!Z:Z,"Expired Previous Months",'Supp Consol'!A:A,O1511))</f>
        <v/>
      </c>
      <c r="AK1511" s="25" t="str">
        <f>IFERROR(INDEX('Hun Release Current'!B:B,MATCH(O1511,'Hun Release Current'!A:A,0)),"")</f>
        <v/>
      </c>
      <c r="AL1511" s="25" t="str">
        <f>IF(SUMIF('Prev Aub'!A:A,O1511,'Prev Aub'!B:B)=0,"",SUMIF('Prev Aub'!A:A,O1511,'Prev Aub'!B:B))</f>
        <v/>
      </c>
      <c r="AN1511" s="25">
        <v>25</v>
      </c>
      <c r="AO1511" s="25" t="s">
        <v>3891</v>
      </c>
      <c r="AP1511" s="25">
        <f t="shared" si="650"/>
        <v>20</v>
      </c>
      <c r="AQ1511" s="151" t="str">
        <f>IF(SUMIFS('Supp Consol'!S:S,'Supp Consol'!A:A,O1511,'Supp Consol'!I:I,"PENDING")=0,"",SUMIFS('Supp Consol'!S:S,'Supp Consol'!A:A,O1511,'Supp Consol'!I:I,"PENDING"))</f>
        <v/>
      </c>
      <c r="AR1511" s="27" t="str">
        <f t="shared" si="651"/>
        <v>WS843</v>
      </c>
      <c r="AS1511" s="27" t="str">
        <f t="shared" si="652"/>
        <v>50</v>
      </c>
      <c r="AT1511" s="27" t="str">
        <f t="shared" si="653"/>
        <v/>
      </c>
      <c r="AU1511" s="27" t="str">
        <f t="shared" si="654"/>
        <v/>
      </c>
      <c r="AV1511" s="27" t="str">
        <f t="shared" si="655"/>
        <v/>
      </c>
      <c r="AW1511" s="27" t="str">
        <f t="shared" si="656"/>
        <v>WS843</v>
      </c>
      <c r="AX1511" s="27" t="str">
        <f t="shared" si="657"/>
        <v>WS843</v>
      </c>
      <c r="AY1511" s="27" t="str">
        <f t="shared" si="658"/>
        <v/>
      </c>
      <c r="AZ1511" s="27" t="str">
        <f t="shared" si="659"/>
        <v>Supp</v>
      </c>
      <c r="BA1511" s="27" t="str">
        <f t="shared" si="660"/>
        <v/>
      </c>
      <c r="BB1511" s="27" t="str">
        <f t="shared" si="661"/>
        <v/>
      </c>
      <c r="BC1511" s="27" t="str">
        <f t="shared" si="662"/>
        <v/>
      </c>
      <c r="BD1511" s="27" t="str">
        <f t="shared" si="663"/>
        <v/>
      </c>
      <c r="BE1511" s="27" t="str">
        <f t="shared" si="664"/>
        <v>Exp</v>
      </c>
      <c r="BF1511" s="27" t="str">
        <f t="shared" si="665"/>
        <v/>
      </c>
      <c r="BG1511" s="27" t="str">
        <f t="shared" si="666"/>
        <v>S+NorE</v>
      </c>
      <c r="BH1511" s="27" t="str">
        <f t="shared" si="667"/>
        <v/>
      </c>
      <c r="BI1511" s="27" t="str">
        <f t="shared" si="668"/>
        <v/>
      </c>
      <c r="BJ1511" s="27" t="str">
        <f t="shared" si="669"/>
        <v>Supp or Hun</v>
      </c>
      <c r="BK1511" s="27" t="str">
        <f t="shared" si="670"/>
        <v/>
      </c>
      <c r="BL1511" s="27" t="str">
        <f t="shared" si="671"/>
        <v>SorHandNandE</v>
      </c>
      <c r="BM1511" s="21" t="s">
        <v>5581</v>
      </c>
    </row>
    <row r="1512" spans="1:65" ht="15">
      <c r="A1512" s="25" t="str">
        <f>IFERROR(INDEX('Hun Demand'!W:W,MATCH(O1512,'Hun Demand'!A:A,0)),"")</f>
        <v/>
      </c>
      <c r="B1512" s="25" t="str">
        <f>IFERROR(INDEX('Hun Demand'!V:V,MATCH(O1512,'Hun Demand'!A:A,0)),"")</f>
        <v/>
      </c>
      <c r="C1512" s="25" t="str">
        <f>IFERROR(INDEX('Hun Demand'!U:U,MATCH(O1512,'Hun Demand'!A:A,0)),"")</f>
        <v/>
      </c>
      <c r="D1512" s="25" t="str">
        <f>IFERROR(INDEX('Hun Demand'!T:T,MATCH(O1512,'Hun Demand'!A:A,0)),"")</f>
        <v/>
      </c>
      <c r="E1512" s="25" t="str">
        <f>IFERROR(INDEX('Hun Demand'!S:S,MATCH(O1512,'Hun Demand'!A:A,0)),"")</f>
        <v/>
      </c>
      <c r="F1512" s="25" t="str">
        <f>IFERROR(INDEX('Hun Demand'!R:R,MATCH(O1512,'Hun Demand'!A:A,0)),"")</f>
        <v/>
      </c>
      <c r="G1512" s="25">
        <f>IFERROR(INDEX('Aub Demand'!W:W,MATCH(O1512,'Aub Demand'!A:A,0)),"")</f>
        <v>0</v>
      </c>
      <c r="H1512" s="25">
        <f>IFERROR(INDEX('Aub Demand'!V:V,MATCH(O1512,'Aub Demand'!A:A,0)),"")</f>
        <v>0</v>
      </c>
      <c r="I1512" s="25">
        <f>IFERROR(INDEX('Aub Demand'!U:U,MATCH(O1512,'Aub Demand'!A:A,0)),"")</f>
        <v>0</v>
      </c>
      <c r="J1512" s="25">
        <f>IFERROR(INDEX('Aub Demand'!T:T,MATCH(O1512,'Aub Demand'!A:A,0)),"")</f>
        <v>0</v>
      </c>
      <c r="K1512" s="25">
        <f>IFERROR(INDEX('Aub Demand'!S:S,MATCH(O1512,'Aub Demand'!A:A,0)),"")</f>
        <v>0</v>
      </c>
      <c r="L1512" s="25">
        <f>IFERROR(INDEX('Aub Demand'!R:R,MATCH(O1512,'Aub Demand'!A:A,0)),"")</f>
        <v>0</v>
      </c>
      <c r="O1512" s="27" t="s">
        <v>3109</v>
      </c>
      <c r="P1512" s="27" t="str">
        <f>IFERROR(INDEX('Aub Demand'!B:B,MATCH($O1512,'Aub Demand'!$A:$A,0)),"")</f>
        <v>CREST MAHOGANY 60"</v>
      </c>
      <c r="Q1512" s="27" t="str">
        <f>IFERROR(INDEX('Aub Demand'!C:C,MATCH($O1512,'Aub Demand'!$A:$A,0)),"")</f>
        <v>DNP A</v>
      </c>
      <c r="R1512" s="52">
        <f>IFERROR(IF(AR1513=AR1512,INDEX('Aub Demand'!K:K,MATCH($O1512,'Aub Demand'!$A:$A,0))-IF(AN1512="",0,AN1512)+AP1513,INDEX('Aub Demand'!K:K,MATCH($O1512,'Aub Demand'!$A:$A,0))-IF(AN1512="",0,AN1512)),"")</f>
        <v>1135</v>
      </c>
      <c r="S1512" s="53" t="str">
        <f t="shared" si="644"/>
        <v>n/a</v>
      </c>
      <c r="T1512" s="52" t="str">
        <f t="shared" si="645"/>
        <v/>
      </c>
      <c r="U1512" s="52">
        <f>IFERROR(IF(AR1513=AR1512,INDEX('Aub Demand'!Q:Q,MATCH($O1512,'Aub Demand'!$A:$A,0))-IF(AN1512="",0,AN1512)+AP1513,INDEX('Aub Demand'!Q:Q,MATCH($O1512,'Aub Demand'!$A:$A,0))-IF(AN1512="",0,AN1512)),"")</f>
        <v>1135</v>
      </c>
      <c r="V1512" s="53" t="str">
        <f t="shared" si="646"/>
        <v>n/a</v>
      </c>
      <c r="W1512" s="52" t="str">
        <f t="shared" si="647"/>
        <v/>
      </c>
      <c r="X1512" s="52">
        <f>IFERROR(IF(AND(AR1513=AR1512,AM1512&lt;&gt;""),INDEX('Aub Demand'!Q:Q,MATCH($O1512,'Aub Demand'!$A:$A,0))-IF(AN1512="",0,AN1512)+AP1513+AD1512+AL1512,IF(AR1513=AR1512,INDEX('Aub Demand'!Q:Q,MATCH($O1512,'Aub Demand'!$A:$A,0))-IF(AN1512="",0,AN1512)+AP1513+AD1512,IF(AM1512&lt;&gt;"",INDEX('Aub Demand'!Q:Q,MATCH($O1512,'Aub Demand'!$A:$A,0))-IF(AN1512="",0,AN1512)+AD1512+AL1512,INDEX('Aub Demand'!Q:Q,MATCH($O1512,'Aub Demand'!$A:$A,0))-IF(AN1512="",0,AN1512)+AD1512))),"")</f>
        <v>1135</v>
      </c>
      <c r="Y1512" s="53" t="str">
        <f t="shared" si="648"/>
        <v>n/a</v>
      </c>
      <c r="Z1512" s="52">
        <f>IF(L1512="","",INDEX('Aub Demand'!H:H,MATCH($O1512,'Aub Demand'!$A:$A,0)))</f>
        <v>0</v>
      </c>
      <c r="AA1512" s="52" t="str">
        <f t="shared" si="649"/>
        <v>-spike-</v>
      </c>
      <c r="AB1512" s="52">
        <f>IFERROR(INDEX('Aub Demand'!L:L,MATCH($O1512,'Aub Demand'!$A:$A,0)),"")</f>
        <v>78</v>
      </c>
      <c r="AC1512" s="52">
        <f>IFERROR(IF(O1512="","",SUMIFS('CPL Mats'!F:F,'CPL Mats'!Q:Q,AR1512,'CPL Mats'!S:S,AS1512)),"")</f>
        <v>0</v>
      </c>
      <c r="AF1512" s="25" t="str">
        <f>IF(SUMIFS('Supp Consol'!S:S,'Supp Consol'!Y:Y,"Releasable",'Supp Consol'!A:A,O1512)=0,"",SUMIFS('Supp Consol'!S:S,'Supp Consol'!Y:Y,"Releasable",'Supp Consol'!A:A,O1512))</f>
        <v/>
      </c>
      <c r="AG1512" s="25" t="str">
        <f>IFERROR(INDEX('Hun Demand'!Q:Q,MATCH(O1512,'Hun Demand'!A:A,0)),"")</f>
        <v/>
      </c>
      <c r="AH1512" s="25" t="str">
        <f>IFERROR(INDEX('Hun Demand'!H:H,MATCH($O1512,'Hun Demand'!$A:$A,0)),"")</f>
        <v/>
      </c>
      <c r="AI1512" s="25" t="str">
        <f>IF(SUMIFS('Supp Consol'!AA:AA,'Supp Consol'!Z:Z,"Expires this month",'Supp Consol'!A:A,O1512)=0,"",SUMIFS('Supp Consol'!AA:AA,'Supp Consol'!Z:Z,"Expires this month",'Supp Consol'!A:A,O1512))</f>
        <v/>
      </c>
      <c r="AJ1512" s="25" t="str">
        <f>IF(SUMIFS('Supp Consol'!AA:AA,'Supp Consol'!Z:Z,"Expired Previous Months",'Supp Consol'!A:A,O1512)=0,"",SUMIFS('Supp Consol'!AA:AA,'Supp Consol'!Z:Z,"Expired Previous Months",'Supp Consol'!A:A,O1512))</f>
        <v/>
      </c>
      <c r="AK1512" s="25" t="str">
        <f>IFERROR(INDEX('Hun Release Current'!B:B,MATCH(O1512,'Hun Release Current'!A:A,0)),"")</f>
        <v/>
      </c>
      <c r="AL1512" s="25" t="str">
        <f>IF(SUMIF('Prev Aub'!A:A,O1512,'Prev Aub'!B:B)=0,"",SUMIF('Prev Aub'!A:A,O1512,'Prev Aub'!B:B))</f>
        <v/>
      </c>
      <c r="AN1512" s="25" t="s">
        <v>3790</v>
      </c>
      <c r="AO1512" s="25" t="s">
        <v>3790</v>
      </c>
      <c r="AP1512" s="25">
        <f t="shared" si="650"/>
        <v>0</v>
      </c>
      <c r="AQ1512" s="151" t="str">
        <f>IF(SUMIFS('Supp Consol'!S:S,'Supp Consol'!A:A,O1512,'Supp Consol'!I:I,"PENDING")=0,"",SUMIFS('Supp Consol'!S:S,'Supp Consol'!A:A,O1512,'Supp Consol'!I:I,"PENDING"))</f>
        <v/>
      </c>
      <c r="AR1512" s="27" t="str">
        <f t="shared" si="651"/>
        <v>WS843</v>
      </c>
      <c r="AS1512" s="27" t="str">
        <f t="shared" si="652"/>
        <v>62</v>
      </c>
      <c r="AT1512" s="27" t="str">
        <f t="shared" si="653"/>
        <v/>
      </c>
      <c r="AU1512" s="27" t="str">
        <f t="shared" si="654"/>
        <v/>
      </c>
      <c r="AV1512" s="27" t="str">
        <f t="shared" si="655"/>
        <v/>
      </c>
      <c r="AW1512" s="27" t="str">
        <f t="shared" si="656"/>
        <v/>
      </c>
      <c r="AX1512" s="27" t="str">
        <f t="shared" si="657"/>
        <v/>
      </c>
      <c r="AY1512" s="27" t="str">
        <f t="shared" si="658"/>
        <v/>
      </c>
      <c r="AZ1512" s="27" t="str">
        <f t="shared" si="659"/>
        <v>Supp</v>
      </c>
      <c r="BA1512" s="27" t="str">
        <f t="shared" si="660"/>
        <v/>
      </c>
      <c r="BB1512" s="27" t="str">
        <f t="shared" si="661"/>
        <v/>
      </c>
      <c r="BC1512" s="27" t="str">
        <f t="shared" si="662"/>
        <v/>
      </c>
      <c r="BD1512" s="27" t="str">
        <f t="shared" si="663"/>
        <v/>
      </c>
      <c r="BE1512" s="27" t="str">
        <f t="shared" si="664"/>
        <v>Exp</v>
      </c>
      <c r="BF1512" s="27" t="str">
        <f t="shared" si="665"/>
        <v/>
      </c>
      <c r="BG1512" s="27" t="str">
        <f t="shared" si="666"/>
        <v>S+NorE</v>
      </c>
      <c r="BH1512" s="27" t="str">
        <f t="shared" si="667"/>
        <v/>
      </c>
      <c r="BI1512" s="27" t="str">
        <f t="shared" si="668"/>
        <v/>
      </c>
      <c r="BJ1512" s="27" t="str">
        <f t="shared" si="669"/>
        <v>Supp or Hun</v>
      </c>
      <c r="BK1512" s="27" t="str">
        <f t="shared" si="670"/>
        <v/>
      </c>
      <c r="BL1512" s="27" t="str">
        <f t="shared" si="671"/>
        <v>SorHandNandE</v>
      </c>
      <c r="BM1512" s="21" t="s">
        <v>5581</v>
      </c>
    </row>
    <row r="1513" spans="1:65" ht="15">
      <c r="A1513" s="25" t="str">
        <f>IFERROR(INDEX('Hun Demand'!W:W,MATCH(O1513,'Hun Demand'!A:A,0)),"")</f>
        <v/>
      </c>
      <c r="B1513" s="25" t="str">
        <f>IFERROR(INDEX('Hun Demand'!V:V,MATCH(O1513,'Hun Demand'!A:A,0)),"")</f>
        <v/>
      </c>
      <c r="C1513" s="25" t="str">
        <f>IFERROR(INDEX('Hun Demand'!U:U,MATCH(O1513,'Hun Demand'!A:A,0)),"")</f>
        <v/>
      </c>
      <c r="D1513" s="25" t="str">
        <f>IFERROR(INDEX('Hun Demand'!T:T,MATCH(O1513,'Hun Demand'!A:A,0)),"")</f>
        <v/>
      </c>
      <c r="E1513" s="25" t="str">
        <f>IFERROR(INDEX('Hun Demand'!S:S,MATCH(O1513,'Hun Demand'!A:A,0)),"")</f>
        <v/>
      </c>
      <c r="F1513" s="25" t="str">
        <f>IFERROR(INDEX('Hun Demand'!R:R,MATCH(O1513,'Hun Demand'!A:A,0)),"")</f>
        <v/>
      </c>
      <c r="G1513" s="25">
        <f>IFERROR(INDEX('Aub Demand'!W:W,MATCH(O1513,'Aub Demand'!A:A,0)),"")</f>
        <v>99</v>
      </c>
      <c r="H1513" s="25">
        <f>IFERROR(INDEX('Aub Demand'!V:V,MATCH(O1513,'Aub Demand'!A:A,0)),"")</f>
        <v>129</v>
      </c>
      <c r="I1513" s="25">
        <f>IFERROR(INDEX('Aub Demand'!U:U,MATCH(O1513,'Aub Demand'!A:A,0)),"")</f>
        <v>126</v>
      </c>
      <c r="J1513" s="25">
        <f>IFERROR(INDEX('Aub Demand'!T:T,MATCH(O1513,'Aub Demand'!A:A,0)),"")</f>
        <v>0</v>
      </c>
      <c r="K1513" s="25">
        <f>IFERROR(INDEX('Aub Demand'!S:S,MATCH(O1513,'Aub Demand'!A:A,0)),"")</f>
        <v>75</v>
      </c>
      <c r="L1513" s="25">
        <f>IFERROR(INDEX('Aub Demand'!R:R,MATCH(O1513,'Aub Demand'!A:A,0)),"")</f>
        <v>0</v>
      </c>
      <c r="O1513" s="27" t="s">
        <v>3112</v>
      </c>
      <c r="P1513" s="27" t="str">
        <f>IFERROR(INDEX('Aub Demand'!B:B,MATCH($O1513,'Aub Demand'!$A:$A,0)),"")</f>
        <v>ROYAL MAHOGANY</v>
      </c>
      <c r="Q1513" s="27" t="str">
        <f>IFERROR(INDEX('Aub Demand'!C:C,MATCH($O1513,'Aub Demand'!$A:$A,0)),"")</f>
        <v>TOPPA</v>
      </c>
      <c r="R1513" s="52">
        <f>IFERROR(IF(AR1514=AR1513,INDEX('Aub Demand'!K:K,MATCH($O1513,'Aub Demand'!$A:$A,0))-IF(AN1513="",0,AN1513)+AP1514,INDEX('Aub Demand'!K:K,MATCH($O1513,'Aub Demand'!$A:$A,0))-IF(AN1513="",0,AN1513)),"")</f>
        <v>0</v>
      </c>
      <c r="S1513" s="53">
        <f t="shared" si="644"/>
        <v>0</v>
      </c>
      <c r="T1513" s="52">
        <f t="shared" si="645"/>
        <v>75.375</v>
      </c>
      <c r="U1513" s="52">
        <f>IFERROR(IF(AR1514=AR1513,INDEX('Aub Demand'!Q:Q,MATCH($O1513,'Aub Demand'!$A:$A,0))-IF(AN1513="",0,AN1513)+AP1514,INDEX('Aub Demand'!Q:Q,MATCH($O1513,'Aub Demand'!$A:$A,0))-IF(AN1513="",0,AN1513)),"")</f>
        <v>-27</v>
      </c>
      <c r="V1513" s="53">
        <f t="shared" si="646"/>
        <v>-1.7</v>
      </c>
      <c r="W1513" s="52">
        <f t="shared" si="647"/>
        <v>118.08750000000001</v>
      </c>
      <c r="X1513" s="52">
        <f>IFERROR(IF(AND(AR1514=AR1513,AM1513&lt;&gt;""),INDEX('Aub Demand'!Q:Q,MATCH($O1513,'Aub Demand'!$A:$A,0))-IF(AN1513="",0,AN1513)+AP1514+AD1513+AL1513,IF(AR1514=AR1513,INDEX('Aub Demand'!Q:Q,MATCH($O1513,'Aub Demand'!$A:$A,0))-IF(AN1513="",0,AN1513)+AP1514+AD1513,IF(AM1513&lt;&gt;"",INDEX('Aub Demand'!Q:Q,MATCH($O1513,'Aub Demand'!$A:$A,0))-IF(AN1513="",0,AN1513)+AD1513+AL1513,INDEX('Aub Demand'!Q:Q,MATCH($O1513,'Aub Demand'!$A:$A,0))-IF(AN1513="",0,AN1513)+AD1513))),"")</f>
        <v>-27</v>
      </c>
      <c r="Y1513" s="53">
        <f t="shared" si="648"/>
        <v>-1.7</v>
      </c>
      <c r="Z1513" s="52">
        <f>IF(L1513="","",INDEX('Aub Demand'!H:H,MATCH($O1513,'Aub Demand'!$A:$A,0)))</f>
        <v>67</v>
      </c>
      <c r="AA1513" s="52">
        <f t="shared" si="649"/>
        <v>100.5</v>
      </c>
      <c r="AB1513" s="52">
        <f>IFERROR(INDEX('Aub Demand'!L:L,MATCH($O1513,'Aub Demand'!$A:$A,0)),"")</f>
        <v>19</v>
      </c>
      <c r="AC1513" s="52">
        <f>IFERROR(IF(O1513="","",SUMIFS('CPL Mats'!F:F,'CPL Mats'!Q:Q,AR1513,'CPL Mats'!S:S,AS1513)),"")</f>
        <v>0</v>
      </c>
      <c r="AF1513" s="25" t="str">
        <f>IF(SUMIFS('Supp Consol'!S:S,'Supp Consol'!Y:Y,"Releasable",'Supp Consol'!A:A,O1513)=0,"",SUMIFS('Supp Consol'!S:S,'Supp Consol'!Y:Y,"Releasable",'Supp Consol'!A:A,O1513))</f>
        <v/>
      </c>
      <c r="AG1513" s="25" t="str">
        <f>IFERROR(INDEX('Hun Demand'!Q:Q,MATCH(O1513,'Hun Demand'!A:A,0)),"")</f>
        <v/>
      </c>
      <c r="AH1513" s="25" t="str">
        <f>IFERROR(INDEX('Hun Demand'!H:H,MATCH($O1513,'Hun Demand'!$A:$A,0)),"")</f>
        <v/>
      </c>
      <c r="AI1513" s="25" t="str">
        <f>IF(SUMIFS('Supp Consol'!AA:AA,'Supp Consol'!Z:Z,"Expires this month",'Supp Consol'!A:A,O1513)=0,"",SUMIFS('Supp Consol'!AA:AA,'Supp Consol'!Z:Z,"Expires this month",'Supp Consol'!A:A,O1513))</f>
        <v/>
      </c>
      <c r="AJ1513" s="25" t="str">
        <f>IF(SUMIFS('Supp Consol'!AA:AA,'Supp Consol'!Z:Z,"Expired Previous Months",'Supp Consol'!A:A,O1513)=0,"",SUMIFS('Supp Consol'!AA:AA,'Supp Consol'!Z:Z,"Expired Previous Months",'Supp Consol'!A:A,O1513))</f>
        <v/>
      </c>
      <c r="AK1513" s="25" t="str">
        <f>IFERROR(INDEX('Hun Release Current'!B:B,MATCH(O1513,'Hun Release Current'!A:A,0)),"")</f>
        <v/>
      </c>
      <c r="AL1513" s="25" t="str">
        <f>IF(SUMIF('Prev Aub'!A:A,O1513,'Prev Aub'!B:B)=0,"",SUMIF('Prev Aub'!A:A,O1513,'Prev Aub'!B:B))</f>
        <v/>
      </c>
      <c r="AN1513" s="25" t="s">
        <v>3790</v>
      </c>
      <c r="AO1513" s="25" t="s">
        <v>3790</v>
      </c>
      <c r="AP1513" s="25">
        <f t="shared" si="650"/>
        <v>0</v>
      </c>
      <c r="AQ1513" s="151" t="str">
        <f>IF(SUMIFS('Supp Consol'!S:S,'Supp Consol'!A:A,O1513,'Supp Consol'!I:I,"PENDING")=0,"",SUMIFS('Supp Consol'!S:S,'Supp Consol'!A:A,O1513,'Supp Consol'!I:I,"PENDING"))</f>
        <v/>
      </c>
      <c r="AR1513" s="27" t="str">
        <f t="shared" si="651"/>
        <v>WS950</v>
      </c>
      <c r="AS1513" s="27" t="str">
        <f t="shared" si="652"/>
        <v>50</v>
      </c>
      <c r="AT1513" s="27" t="str">
        <f t="shared" si="653"/>
        <v>WS950</v>
      </c>
      <c r="AU1513" s="27" t="str">
        <f t="shared" si="654"/>
        <v>WS950</v>
      </c>
      <c r="AV1513" s="27" t="str">
        <f t="shared" si="655"/>
        <v>WS950</v>
      </c>
      <c r="AW1513" s="27" t="str">
        <f t="shared" si="656"/>
        <v/>
      </c>
      <c r="AX1513" s="27" t="str">
        <f t="shared" si="657"/>
        <v/>
      </c>
      <c r="AY1513" s="27" t="str">
        <f t="shared" si="658"/>
        <v/>
      </c>
      <c r="AZ1513" s="27" t="str">
        <f t="shared" si="659"/>
        <v/>
      </c>
      <c r="BA1513" s="27" t="str">
        <f t="shared" si="660"/>
        <v/>
      </c>
      <c r="BB1513" s="27" t="str">
        <f t="shared" si="661"/>
        <v>Gross</v>
      </c>
      <c r="BC1513" s="27" t="str">
        <f t="shared" si="662"/>
        <v>Net</v>
      </c>
      <c r="BD1513" s="27" t="str">
        <f t="shared" si="663"/>
        <v>Net</v>
      </c>
      <c r="BE1513" s="27" t="str">
        <f t="shared" si="664"/>
        <v/>
      </c>
      <c r="BF1513" s="27" t="str">
        <f t="shared" si="665"/>
        <v/>
      </c>
      <c r="BG1513" s="27" t="str">
        <f t="shared" si="666"/>
        <v/>
      </c>
      <c r="BH1513" s="27" t="str">
        <f t="shared" si="667"/>
        <v/>
      </c>
      <c r="BI1513" s="27" t="str">
        <f t="shared" si="668"/>
        <v/>
      </c>
      <c r="BJ1513" s="27" t="str">
        <f t="shared" si="669"/>
        <v/>
      </c>
      <c r="BK1513" s="27" t="str">
        <f t="shared" si="670"/>
        <v/>
      </c>
      <c r="BL1513" s="27" t="str">
        <f t="shared" si="671"/>
        <v/>
      </c>
      <c r="BM1513" s="21" t="s">
        <v>5581</v>
      </c>
    </row>
    <row r="1514" spans="1:65" ht="15">
      <c r="A1514" s="25" t="str">
        <f>IFERROR(INDEX('Hun Demand'!W:W,MATCH(O1514,'Hun Demand'!A:A,0)),"")</f>
        <v/>
      </c>
      <c r="B1514" s="25" t="str">
        <f>IFERROR(INDEX('Hun Demand'!V:V,MATCH(O1514,'Hun Demand'!A:A,0)),"")</f>
        <v/>
      </c>
      <c r="C1514" s="25" t="str">
        <f>IFERROR(INDEX('Hun Demand'!U:U,MATCH(O1514,'Hun Demand'!A:A,0)),"")</f>
        <v/>
      </c>
      <c r="D1514" s="25" t="str">
        <f>IFERROR(INDEX('Hun Demand'!T:T,MATCH(O1514,'Hun Demand'!A:A,0)),"")</f>
        <v/>
      </c>
      <c r="E1514" s="25" t="str">
        <f>IFERROR(INDEX('Hun Demand'!S:S,MATCH(O1514,'Hun Demand'!A:A,0)),"")</f>
        <v/>
      </c>
      <c r="F1514" s="25" t="str">
        <f>IFERROR(INDEX('Hun Demand'!R:R,MATCH(O1514,'Hun Demand'!A:A,0)),"")</f>
        <v/>
      </c>
      <c r="G1514" s="25">
        <f>IFERROR(INDEX('Aub Demand'!W:W,MATCH(O1514,'Aub Demand'!A:A,0)),"")</f>
        <v>0</v>
      </c>
      <c r="H1514" s="25">
        <f>IFERROR(INDEX('Aub Demand'!V:V,MATCH(O1514,'Aub Demand'!A:A,0)),"")</f>
        <v>0</v>
      </c>
      <c r="I1514" s="25">
        <f>IFERROR(INDEX('Aub Demand'!U:U,MATCH(O1514,'Aub Demand'!A:A,0)),"")</f>
        <v>0</v>
      </c>
      <c r="J1514" s="25">
        <f>IFERROR(INDEX('Aub Demand'!T:T,MATCH(O1514,'Aub Demand'!A:A,0)),"")</f>
        <v>0</v>
      </c>
      <c r="K1514" s="25">
        <f>IFERROR(INDEX('Aub Demand'!S:S,MATCH(O1514,'Aub Demand'!A:A,0)),"")</f>
        <v>0</v>
      </c>
      <c r="L1514" s="25">
        <f>IFERROR(INDEX('Aub Demand'!R:R,MATCH(O1514,'Aub Demand'!A:A,0)),"")</f>
        <v>0</v>
      </c>
      <c r="O1514" s="27" t="s">
        <v>3115</v>
      </c>
      <c r="P1514" s="27" t="str">
        <f>IFERROR(INDEX('Aub Demand'!B:B,MATCH($O1514,'Aub Demand'!$A:$A,0)),"")</f>
        <v>ROYAL MAHOGANY</v>
      </c>
      <c r="Q1514" s="27" t="str">
        <f>IFERROR(INDEX('Aub Demand'!C:C,MATCH($O1514,'Aub Demand'!$A:$A,0)),"")</f>
        <v>TOPPA</v>
      </c>
      <c r="R1514" s="52">
        <f>IFERROR(IF(AR1515=AR1514,INDEX('Aub Demand'!K:K,MATCH($O1514,'Aub Demand'!$A:$A,0))-IF(AN1514="",0,AN1514)+AP1515,INDEX('Aub Demand'!K:K,MATCH($O1514,'Aub Demand'!$A:$A,0))-IF(AN1514="",0,AN1514)),"")</f>
        <v>570</v>
      </c>
      <c r="S1514" s="53" t="str">
        <f t="shared" si="644"/>
        <v>n/a</v>
      </c>
      <c r="T1514" s="52" t="str">
        <f t="shared" si="645"/>
        <v/>
      </c>
      <c r="U1514" s="52">
        <f>IFERROR(IF(AR1515=AR1514,INDEX('Aub Demand'!Q:Q,MATCH($O1514,'Aub Demand'!$A:$A,0))-IF(AN1514="",0,AN1514)+AP1515,INDEX('Aub Demand'!Q:Q,MATCH($O1514,'Aub Demand'!$A:$A,0))-IF(AN1514="",0,AN1514)),"")</f>
        <v>570</v>
      </c>
      <c r="V1514" s="53" t="str">
        <f t="shared" si="646"/>
        <v>n/a</v>
      </c>
      <c r="W1514" s="52" t="str">
        <f t="shared" si="647"/>
        <v/>
      </c>
      <c r="X1514" s="52">
        <f>IFERROR(IF(AND(AR1515=AR1514,AM1514&lt;&gt;""),INDEX('Aub Demand'!Q:Q,MATCH($O1514,'Aub Demand'!$A:$A,0))-IF(AN1514="",0,AN1514)+AP1515+AD1514+AL1514,IF(AR1515=AR1514,INDEX('Aub Demand'!Q:Q,MATCH($O1514,'Aub Demand'!$A:$A,0))-IF(AN1514="",0,AN1514)+AP1515+AD1514,IF(AM1514&lt;&gt;"",INDEX('Aub Demand'!Q:Q,MATCH($O1514,'Aub Demand'!$A:$A,0))-IF(AN1514="",0,AN1514)+AD1514+AL1514,INDEX('Aub Demand'!Q:Q,MATCH($O1514,'Aub Demand'!$A:$A,0))-IF(AN1514="",0,AN1514)+AD1514))),"")</f>
        <v>570</v>
      </c>
      <c r="Y1514" s="53" t="str">
        <f t="shared" si="648"/>
        <v>n/a</v>
      </c>
      <c r="Z1514" s="52">
        <f>IF(L1514="","",INDEX('Aub Demand'!H:H,MATCH($O1514,'Aub Demand'!$A:$A,0)))</f>
        <v>0</v>
      </c>
      <c r="AA1514" s="52" t="str">
        <f t="shared" si="649"/>
        <v>-spike-</v>
      </c>
      <c r="AB1514" s="52">
        <f>IFERROR(INDEX('Aub Demand'!L:L,MATCH($O1514,'Aub Demand'!$A:$A,0)),"")</f>
        <v>23</v>
      </c>
      <c r="AC1514" s="52">
        <f>IFERROR(IF(O1514="","",SUMIFS('CPL Mats'!F:F,'CPL Mats'!Q:Q,AR1514,'CPL Mats'!S:S,AS1514)),"")</f>
        <v>0</v>
      </c>
      <c r="AF1514" s="25" t="str">
        <f>IF(SUMIFS('Supp Consol'!S:S,'Supp Consol'!Y:Y,"Releasable",'Supp Consol'!A:A,O1514)=0,"",SUMIFS('Supp Consol'!S:S,'Supp Consol'!Y:Y,"Releasable",'Supp Consol'!A:A,O1514))</f>
        <v/>
      </c>
      <c r="AG1514" s="25" t="str">
        <f>IFERROR(INDEX('Hun Demand'!Q:Q,MATCH(O1514,'Hun Demand'!A:A,0)),"")</f>
        <v/>
      </c>
      <c r="AH1514" s="25" t="str">
        <f>IFERROR(INDEX('Hun Demand'!H:H,MATCH($O1514,'Hun Demand'!$A:$A,0)),"")</f>
        <v/>
      </c>
      <c r="AI1514" s="25" t="str">
        <f>IF(SUMIFS('Supp Consol'!AA:AA,'Supp Consol'!Z:Z,"Expires this month",'Supp Consol'!A:A,O1514)=0,"",SUMIFS('Supp Consol'!AA:AA,'Supp Consol'!Z:Z,"Expires this month",'Supp Consol'!A:A,O1514))</f>
        <v/>
      </c>
      <c r="AJ1514" s="25" t="str">
        <f>IF(SUMIFS('Supp Consol'!AA:AA,'Supp Consol'!Z:Z,"Expired Previous Months",'Supp Consol'!A:A,O1514)=0,"",SUMIFS('Supp Consol'!AA:AA,'Supp Consol'!Z:Z,"Expired Previous Months",'Supp Consol'!A:A,O1514))</f>
        <v/>
      </c>
      <c r="AK1514" s="25" t="str">
        <f>IFERROR(INDEX('Hun Release Current'!B:B,MATCH(O1514,'Hun Release Current'!A:A,0)),"")</f>
        <v/>
      </c>
      <c r="AL1514" s="25" t="str">
        <f>IF(SUMIF('Prev Aub'!A:A,O1514,'Prev Aub'!B:B)=0,"",SUMIF('Prev Aub'!A:A,O1514,'Prev Aub'!B:B))</f>
        <v/>
      </c>
      <c r="AN1514" s="25" t="s">
        <v>3790</v>
      </c>
      <c r="AO1514" s="25" t="s">
        <v>3790</v>
      </c>
      <c r="AP1514" s="25">
        <f t="shared" si="650"/>
        <v>0</v>
      </c>
      <c r="AQ1514" s="151" t="str">
        <f>IF(SUMIFS('Supp Consol'!S:S,'Supp Consol'!A:A,O1514,'Supp Consol'!I:I,"PENDING")=0,"",SUMIFS('Supp Consol'!S:S,'Supp Consol'!A:A,O1514,'Supp Consol'!I:I,"PENDING"))</f>
        <v/>
      </c>
      <c r="AR1514" s="27" t="str">
        <f t="shared" si="651"/>
        <v>WS950</v>
      </c>
      <c r="AS1514" s="27" t="str">
        <f t="shared" si="652"/>
        <v>62</v>
      </c>
      <c r="AT1514" s="27" t="str">
        <f t="shared" si="653"/>
        <v/>
      </c>
      <c r="AU1514" s="27" t="str">
        <f t="shared" si="654"/>
        <v/>
      </c>
      <c r="AV1514" s="27" t="str">
        <f t="shared" si="655"/>
        <v/>
      </c>
      <c r="AW1514" s="27" t="str">
        <f t="shared" si="656"/>
        <v/>
      </c>
      <c r="AX1514" s="27" t="str">
        <f t="shared" si="657"/>
        <v/>
      </c>
      <c r="AY1514" s="27" t="str">
        <f t="shared" si="658"/>
        <v/>
      </c>
      <c r="AZ1514" s="27" t="str">
        <f t="shared" si="659"/>
        <v/>
      </c>
      <c r="BA1514" s="27" t="str">
        <f t="shared" si="660"/>
        <v/>
      </c>
      <c r="BB1514" s="27" t="str">
        <f t="shared" si="661"/>
        <v>Gross</v>
      </c>
      <c r="BC1514" s="27" t="str">
        <f t="shared" si="662"/>
        <v>Net</v>
      </c>
      <c r="BD1514" s="27" t="str">
        <f t="shared" si="663"/>
        <v>Net</v>
      </c>
      <c r="BE1514" s="27" t="str">
        <f t="shared" si="664"/>
        <v/>
      </c>
      <c r="BF1514" s="27" t="str">
        <f t="shared" si="665"/>
        <v/>
      </c>
      <c r="BG1514" s="27" t="str">
        <f t="shared" si="666"/>
        <v/>
      </c>
      <c r="BH1514" s="27" t="str">
        <f t="shared" si="667"/>
        <v/>
      </c>
      <c r="BI1514" s="27" t="str">
        <f t="shared" si="668"/>
        <v/>
      </c>
      <c r="BJ1514" s="27" t="str">
        <f t="shared" si="669"/>
        <v/>
      </c>
      <c r="BK1514" s="27" t="str">
        <f t="shared" si="670"/>
        <v/>
      </c>
      <c r="BL1514" s="27" t="str">
        <f t="shared" si="671"/>
        <v/>
      </c>
      <c r="BM1514" s="21" t="s">
        <v>5581</v>
      </c>
    </row>
    <row r="1515" spans="1:65" ht="15">
      <c r="A1515" s="25" t="str">
        <f>IFERROR(INDEX('Hun Demand'!W:W,MATCH(O1515,'Hun Demand'!A:A,0)),"")</f>
        <v/>
      </c>
      <c r="B1515" s="25" t="str">
        <f>IFERROR(INDEX('Hun Demand'!V:V,MATCH(O1515,'Hun Demand'!A:A,0)),"")</f>
        <v/>
      </c>
      <c r="C1515" s="25" t="str">
        <f>IFERROR(INDEX('Hun Demand'!U:U,MATCH(O1515,'Hun Demand'!A:A,0)),"")</f>
        <v/>
      </c>
      <c r="D1515" s="25" t="str">
        <f>IFERROR(INDEX('Hun Demand'!T:T,MATCH(O1515,'Hun Demand'!A:A,0)),"")</f>
        <v/>
      </c>
      <c r="E1515" s="25" t="str">
        <f>IFERROR(INDEX('Hun Demand'!S:S,MATCH(O1515,'Hun Demand'!A:A,0)),"")</f>
        <v/>
      </c>
      <c r="F1515" s="25" t="str">
        <f>IFERROR(INDEX('Hun Demand'!R:R,MATCH(O1515,'Hun Demand'!A:A,0)),"")</f>
        <v/>
      </c>
      <c r="G1515" s="25">
        <f>IFERROR(INDEX('Aub Demand'!W:W,MATCH(O1515,'Aub Demand'!A:A,0)),"")</f>
        <v>601</v>
      </c>
      <c r="H1515" s="25">
        <f>IFERROR(INDEX('Aub Demand'!V:V,MATCH(O1515,'Aub Demand'!A:A,0)),"")</f>
        <v>0</v>
      </c>
      <c r="I1515" s="25">
        <f>IFERROR(INDEX('Aub Demand'!U:U,MATCH(O1515,'Aub Demand'!A:A,0)),"")</f>
        <v>101</v>
      </c>
      <c r="J1515" s="25">
        <f>IFERROR(INDEX('Aub Demand'!T:T,MATCH(O1515,'Aub Demand'!A:A,0)),"")</f>
        <v>1059</v>
      </c>
      <c r="K1515" s="25">
        <f>IFERROR(INDEX('Aub Demand'!S:S,MATCH(O1515,'Aub Demand'!A:A,0)),"")</f>
        <v>307</v>
      </c>
      <c r="L1515" s="25">
        <f>IFERROR(INDEX('Aub Demand'!R:R,MATCH(O1515,'Aub Demand'!A:A,0)),"")</f>
        <v>0</v>
      </c>
      <c r="O1515" s="27" t="s">
        <v>3118</v>
      </c>
      <c r="P1515" s="27" t="str">
        <f>IFERROR(INDEX('Aub Demand'!B:B,MATCH($O1515,'Aub Demand'!$A:$A,0)),"")</f>
        <v>VALENCIA TEAK</v>
      </c>
      <c r="Q1515" s="27" t="str">
        <f>IFERROR(INDEX('Aub Demand'!C:C,MATCH($O1515,'Aub Demand'!$A:$A,0)),"")</f>
        <v>INTER</v>
      </c>
      <c r="R1515" s="52">
        <f>IFERROR(IF(AR1516=AR1515,INDEX('Aub Demand'!K:K,MATCH($O1515,'Aub Demand'!$A:$A,0))-IF(AN1515="",0,AN1515)+AP1516,INDEX('Aub Demand'!K:K,MATCH($O1515,'Aub Demand'!$A:$A,0))-IF(AN1515="",0,AN1515)),"")</f>
        <v>821</v>
      </c>
      <c r="S1515" s="53">
        <f t="shared" si="644"/>
        <v>7.2</v>
      </c>
      <c r="T1515" s="52" t="str">
        <f t="shared" si="645"/>
        <v/>
      </c>
      <c r="U1515" s="52">
        <f>IFERROR(IF(AR1516=AR1515,INDEX('Aub Demand'!Q:Q,MATCH($O1515,'Aub Demand'!$A:$A,0))-IF(AN1515="",0,AN1515)+AP1516,INDEX('Aub Demand'!Q:Q,MATCH($O1515,'Aub Demand'!$A:$A,0))-IF(AN1515="",0,AN1515)),"")</f>
        <v>699</v>
      </c>
      <c r="V1515" s="53">
        <f t="shared" si="646"/>
        <v>6.1</v>
      </c>
      <c r="W1515" s="52" t="str">
        <f t="shared" si="647"/>
        <v/>
      </c>
      <c r="X1515" s="52">
        <f>IFERROR(IF(AND(AR1516=AR1515,AM1515&lt;&gt;""),INDEX('Aub Demand'!Q:Q,MATCH($O1515,'Aub Demand'!$A:$A,0))-IF(AN1515="",0,AN1515)+AP1516+AD1515+AL1515,IF(AR1516=AR1515,INDEX('Aub Demand'!Q:Q,MATCH($O1515,'Aub Demand'!$A:$A,0))-IF(AN1515="",0,AN1515)+AP1516+AD1515,IF(AM1515&lt;&gt;"",INDEX('Aub Demand'!Q:Q,MATCH($O1515,'Aub Demand'!$A:$A,0))-IF(AN1515="",0,AN1515)+AD1515+AL1515,INDEX('Aub Demand'!Q:Q,MATCH($O1515,'Aub Demand'!$A:$A,0))-IF(AN1515="",0,AN1515)+AD1515))),"")</f>
        <v>699</v>
      </c>
      <c r="Y1515" s="53">
        <f t="shared" si="648"/>
        <v>6.1</v>
      </c>
      <c r="Z1515" s="52">
        <f>IF(L1515="","",INDEX('Aub Demand'!H:H,MATCH($O1515,'Aub Demand'!$A:$A,0)))</f>
        <v>489</v>
      </c>
      <c r="AA1515" s="52">
        <f t="shared" si="649"/>
        <v>683</v>
      </c>
      <c r="AB1515" s="52">
        <f>IFERROR(INDEX('Aub Demand'!L:L,MATCH($O1515,'Aub Demand'!$A:$A,0)),"")</f>
        <v>182</v>
      </c>
      <c r="AC1515" s="52">
        <f>IFERROR(IF(O1515="","",SUMIFS('CPL Mats'!F:F,'CPL Mats'!Q:Q,AR1515,'CPL Mats'!S:S,AS1515)),"")</f>
        <v>0</v>
      </c>
      <c r="AF1515" s="25" t="str">
        <f>IF(SUMIFS('Supp Consol'!S:S,'Supp Consol'!Y:Y,"Releasable",'Supp Consol'!A:A,O1515)=0,"",SUMIFS('Supp Consol'!S:S,'Supp Consol'!Y:Y,"Releasable",'Supp Consol'!A:A,O1515))</f>
        <v/>
      </c>
      <c r="AG1515" s="25" t="str">
        <f>IFERROR(INDEX('Hun Demand'!Q:Q,MATCH(O1515,'Hun Demand'!A:A,0)),"")</f>
        <v/>
      </c>
      <c r="AH1515" s="25" t="str">
        <f>IFERROR(INDEX('Hun Demand'!H:H,MATCH($O1515,'Hun Demand'!$A:$A,0)),"")</f>
        <v/>
      </c>
      <c r="AI1515" s="25" t="str">
        <f>IF(SUMIFS('Supp Consol'!AA:AA,'Supp Consol'!Z:Z,"Expires this month",'Supp Consol'!A:A,O1515)=0,"",SUMIFS('Supp Consol'!AA:AA,'Supp Consol'!Z:Z,"Expires this month",'Supp Consol'!A:A,O1515))</f>
        <v/>
      </c>
      <c r="AJ1515" s="25" t="str">
        <f>IF(SUMIFS('Supp Consol'!AA:AA,'Supp Consol'!Z:Z,"Expired Previous Months",'Supp Consol'!A:A,O1515)=0,"",SUMIFS('Supp Consol'!AA:AA,'Supp Consol'!Z:Z,"Expired Previous Months",'Supp Consol'!A:A,O1515))</f>
        <v/>
      </c>
      <c r="AK1515" s="25" t="str">
        <f>IFERROR(INDEX('Hun Release Current'!B:B,MATCH(O1515,'Hun Release Current'!A:A,0)),"")</f>
        <v/>
      </c>
      <c r="AL1515" s="25" t="str">
        <f>IF(SUMIF('Prev Aub'!A:A,O1515,'Prev Aub'!B:B)=0,"",SUMIF('Prev Aub'!A:A,O1515,'Prev Aub'!B:B))</f>
        <v/>
      </c>
      <c r="AN1515" s="25" t="s">
        <v>3790</v>
      </c>
      <c r="AO1515" s="25" t="s">
        <v>3790</v>
      </c>
      <c r="AP1515" s="25">
        <f t="shared" si="650"/>
        <v>0</v>
      </c>
      <c r="AQ1515" s="151" t="str">
        <f>IF(SUMIFS('Supp Consol'!S:S,'Supp Consol'!A:A,O1515,'Supp Consol'!I:I,"PENDING")=0,"",SUMIFS('Supp Consol'!S:S,'Supp Consol'!A:A,O1515,'Supp Consol'!I:I,"PENDING"))</f>
        <v/>
      </c>
      <c r="AR1515" s="27" t="str">
        <f t="shared" si="651"/>
        <v>WT003</v>
      </c>
      <c r="AS1515" s="27" t="str">
        <f t="shared" si="652"/>
        <v>50</v>
      </c>
      <c r="AT1515" s="27" t="str">
        <f t="shared" si="653"/>
        <v/>
      </c>
      <c r="AU1515" s="27" t="str">
        <f t="shared" si="654"/>
        <v/>
      </c>
      <c r="AV1515" s="27" t="str">
        <f t="shared" si="655"/>
        <v/>
      </c>
      <c r="AW1515" s="27" t="str">
        <f t="shared" si="656"/>
        <v/>
      </c>
      <c r="AX1515" s="27" t="str">
        <f t="shared" si="657"/>
        <v/>
      </c>
      <c r="AY1515" s="27" t="str">
        <f t="shared" si="658"/>
        <v/>
      </c>
      <c r="AZ1515" s="27" t="str">
        <f t="shared" si="659"/>
        <v>Supp</v>
      </c>
      <c r="BA1515" s="27" t="str">
        <f t="shared" si="660"/>
        <v/>
      </c>
      <c r="BB1515" s="27" t="str">
        <f t="shared" si="661"/>
        <v/>
      </c>
      <c r="BC1515" s="27" t="str">
        <f t="shared" si="662"/>
        <v/>
      </c>
      <c r="BD1515" s="27" t="str">
        <f t="shared" si="663"/>
        <v/>
      </c>
      <c r="BE1515" s="27" t="str">
        <f t="shared" si="664"/>
        <v/>
      </c>
      <c r="BF1515" s="27" t="str">
        <f t="shared" si="665"/>
        <v/>
      </c>
      <c r="BG1515" s="27" t="str">
        <f t="shared" si="666"/>
        <v/>
      </c>
      <c r="BH1515" s="27" t="str">
        <f t="shared" si="667"/>
        <v/>
      </c>
      <c r="BI1515" s="27" t="str">
        <f t="shared" si="668"/>
        <v/>
      </c>
      <c r="BJ1515" s="27" t="str">
        <f t="shared" si="669"/>
        <v>Supp or Hun</v>
      </c>
      <c r="BK1515" s="27" t="str">
        <f t="shared" si="670"/>
        <v/>
      </c>
      <c r="BL1515" s="27" t="str">
        <f t="shared" si="671"/>
        <v/>
      </c>
      <c r="BM1515" s="21" t="s">
        <v>5581</v>
      </c>
    </row>
    <row r="1516" spans="1:65" ht="15">
      <c r="A1516" s="25" t="str">
        <f>IFERROR(INDEX('Hun Demand'!W:W,MATCH(O1516,'Hun Demand'!A:A,0)),"")</f>
        <v/>
      </c>
      <c r="B1516" s="25" t="str">
        <f>IFERROR(INDEX('Hun Demand'!V:V,MATCH(O1516,'Hun Demand'!A:A,0)),"")</f>
        <v/>
      </c>
      <c r="C1516" s="25" t="str">
        <f>IFERROR(INDEX('Hun Demand'!U:U,MATCH(O1516,'Hun Demand'!A:A,0)),"")</f>
        <v/>
      </c>
      <c r="D1516" s="25" t="str">
        <f>IFERROR(INDEX('Hun Demand'!T:T,MATCH(O1516,'Hun Demand'!A:A,0)),"")</f>
        <v/>
      </c>
      <c r="E1516" s="25" t="str">
        <f>IFERROR(INDEX('Hun Demand'!S:S,MATCH(O1516,'Hun Demand'!A:A,0)),"")</f>
        <v/>
      </c>
      <c r="F1516" s="25" t="str">
        <f>IFERROR(INDEX('Hun Demand'!R:R,MATCH(O1516,'Hun Demand'!A:A,0)),"")</f>
        <v/>
      </c>
      <c r="G1516" s="25">
        <f>IFERROR(INDEX('Aub Demand'!W:W,MATCH(O1516,'Aub Demand'!A:A,0)),"")</f>
        <v>105</v>
      </c>
      <c r="H1516" s="25">
        <f>IFERROR(INDEX('Aub Demand'!V:V,MATCH(O1516,'Aub Demand'!A:A,0)),"")</f>
        <v>200</v>
      </c>
      <c r="I1516" s="25">
        <f>IFERROR(INDEX('Aub Demand'!U:U,MATCH(O1516,'Aub Demand'!A:A,0)),"")</f>
        <v>0</v>
      </c>
      <c r="J1516" s="25">
        <f>IFERROR(INDEX('Aub Demand'!T:T,MATCH(O1516,'Aub Demand'!A:A,0)),"")</f>
        <v>0</v>
      </c>
      <c r="K1516" s="25">
        <f>IFERROR(INDEX('Aub Demand'!S:S,MATCH(O1516,'Aub Demand'!A:A,0)),"")</f>
        <v>222</v>
      </c>
      <c r="L1516" s="25">
        <f>IFERROR(INDEX('Aub Demand'!R:R,MATCH(O1516,'Aub Demand'!A:A,0)),"")</f>
        <v>0</v>
      </c>
      <c r="O1516" s="27" t="s">
        <v>3119</v>
      </c>
      <c r="P1516" s="27" t="str">
        <f>IFERROR(INDEX('Aub Demand'!B:B,MATCH($O1516,'Aub Demand'!$A:$A,0)),"")</f>
        <v>VALENCIA TEAK</v>
      </c>
      <c r="Q1516" s="27" t="str">
        <f>IFERROR(INDEX('Aub Demand'!C:C,MATCH($O1516,'Aub Demand'!$A:$A,0)),"")</f>
        <v>INTER</v>
      </c>
      <c r="R1516" s="52">
        <f>IFERROR(IF(AR1517=AR1516,INDEX('Aub Demand'!K:K,MATCH($O1516,'Aub Demand'!$A:$A,0))-IF(AN1516="",0,AN1516)+AP1517,INDEX('Aub Demand'!K:K,MATCH($O1516,'Aub Demand'!$A:$A,0))-IF(AN1516="",0,AN1516)),"")</f>
        <v>635</v>
      </c>
      <c r="S1516" s="53">
        <f t="shared" si="644"/>
        <v>36.799999999999997</v>
      </c>
      <c r="T1516" s="52" t="str">
        <f t="shared" si="645"/>
        <v/>
      </c>
      <c r="U1516" s="52">
        <f>IFERROR(IF(AR1517=AR1516,INDEX('Aub Demand'!Q:Q,MATCH($O1516,'Aub Demand'!$A:$A,0))-IF(AN1516="",0,AN1516)+AP1517,INDEX('Aub Demand'!Q:Q,MATCH($O1516,'Aub Demand'!$A:$A,0))-IF(AN1516="",0,AN1516)),"")</f>
        <v>576</v>
      </c>
      <c r="V1516" s="53">
        <f t="shared" si="646"/>
        <v>33.4</v>
      </c>
      <c r="W1516" s="52" t="str">
        <f t="shared" si="647"/>
        <v/>
      </c>
      <c r="X1516" s="52">
        <f>IFERROR(IF(AND(AR1517=AR1516,AM1516&lt;&gt;""),INDEX('Aub Demand'!Q:Q,MATCH($O1516,'Aub Demand'!$A:$A,0))-IF(AN1516="",0,AN1516)+AP1517+AD1516+AL1516,IF(AR1517=AR1516,INDEX('Aub Demand'!Q:Q,MATCH($O1516,'Aub Demand'!$A:$A,0))-IF(AN1516="",0,AN1516)+AP1517+AD1516,IF(AM1516&lt;&gt;"",INDEX('Aub Demand'!Q:Q,MATCH($O1516,'Aub Demand'!$A:$A,0))-IF(AN1516="",0,AN1516)+AD1516+AL1516,INDEX('Aub Demand'!Q:Q,MATCH($O1516,'Aub Demand'!$A:$A,0))-IF(AN1516="",0,AN1516)+AD1516))),"")</f>
        <v>576</v>
      </c>
      <c r="Y1516" s="53">
        <f t="shared" si="648"/>
        <v>33.4</v>
      </c>
      <c r="Z1516" s="52">
        <f>IF(L1516="","",INDEX('Aub Demand'!H:H,MATCH($O1516,'Aub Demand'!$A:$A,0)))</f>
        <v>74</v>
      </c>
      <c r="AA1516" s="52" t="str">
        <f t="shared" si="649"/>
        <v>-spike-</v>
      </c>
      <c r="AB1516" s="52">
        <f>IFERROR(INDEX('Aub Demand'!L:L,MATCH($O1516,'Aub Demand'!$A:$A,0)),"")</f>
        <v>46</v>
      </c>
      <c r="AC1516" s="52">
        <f>IFERROR(IF(O1516="","",SUMIFS('CPL Mats'!F:F,'CPL Mats'!Q:Q,AR1516,'CPL Mats'!S:S,AS1516)),"")</f>
        <v>0</v>
      </c>
      <c r="AF1516" s="25">
        <f>IF(SUMIFS('Supp Consol'!S:S,'Supp Consol'!Y:Y,"Releasable",'Supp Consol'!A:A,O1516)=0,"",SUMIFS('Supp Consol'!S:S,'Supp Consol'!Y:Y,"Releasable",'Supp Consol'!A:A,O1516))</f>
        <v>1596</v>
      </c>
      <c r="AG1516" s="25" t="str">
        <f>IFERROR(INDEX('Hun Demand'!Q:Q,MATCH(O1516,'Hun Demand'!A:A,0)),"")</f>
        <v/>
      </c>
      <c r="AH1516" s="25" t="str">
        <f>IFERROR(INDEX('Hun Demand'!H:H,MATCH($O1516,'Hun Demand'!$A:$A,0)),"")</f>
        <v/>
      </c>
      <c r="AI1516" s="25" t="str">
        <f>IF(SUMIFS('Supp Consol'!AA:AA,'Supp Consol'!Z:Z,"Expires this month",'Supp Consol'!A:A,O1516)=0,"",SUMIFS('Supp Consol'!AA:AA,'Supp Consol'!Z:Z,"Expires this month",'Supp Consol'!A:A,O1516))</f>
        <v/>
      </c>
      <c r="AJ1516" s="25" t="str">
        <f>IF(SUMIFS('Supp Consol'!AA:AA,'Supp Consol'!Z:Z,"Expired Previous Months",'Supp Consol'!A:A,O1516)=0,"",SUMIFS('Supp Consol'!AA:AA,'Supp Consol'!Z:Z,"Expired Previous Months",'Supp Consol'!A:A,O1516))</f>
        <v/>
      </c>
      <c r="AK1516" s="25" t="str">
        <f>IFERROR(INDEX('Hun Release Current'!B:B,MATCH(O1516,'Hun Release Current'!A:A,0)),"")</f>
        <v/>
      </c>
      <c r="AL1516" s="25" t="str">
        <f>IF(SUMIF('Prev Aub'!A:A,O1516,'Prev Aub'!B:B)=0,"",SUMIF('Prev Aub'!A:A,O1516,'Prev Aub'!B:B))</f>
        <v/>
      </c>
      <c r="AN1516" s="25" t="s">
        <v>3790</v>
      </c>
      <c r="AO1516" s="25" t="s">
        <v>3790</v>
      </c>
      <c r="AP1516" s="25">
        <f t="shared" si="650"/>
        <v>0</v>
      </c>
      <c r="AQ1516" s="151" t="str">
        <f>IF(SUMIFS('Supp Consol'!S:S,'Supp Consol'!A:A,O1516,'Supp Consol'!I:I,"PENDING")=0,"",SUMIFS('Supp Consol'!S:S,'Supp Consol'!A:A,O1516,'Supp Consol'!I:I,"PENDING"))</f>
        <v/>
      </c>
      <c r="AR1516" s="27" t="str">
        <f t="shared" si="651"/>
        <v>WT003</v>
      </c>
      <c r="AS1516" s="27" t="str">
        <f t="shared" si="652"/>
        <v>62</v>
      </c>
      <c r="AT1516" s="27" t="str">
        <f t="shared" si="653"/>
        <v/>
      </c>
      <c r="AU1516" s="27" t="str">
        <f t="shared" si="654"/>
        <v/>
      </c>
      <c r="AV1516" s="27" t="str">
        <f t="shared" si="655"/>
        <v/>
      </c>
      <c r="AW1516" s="27" t="str">
        <f t="shared" si="656"/>
        <v/>
      </c>
      <c r="AX1516" s="27" t="str">
        <f t="shared" si="657"/>
        <v>WT003</v>
      </c>
      <c r="AY1516" s="27" t="str">
        <f t="shared" si="658"/>
        <v/>
      </c>
      <c r="AZ1516" s="27" t="str">
        <f t="shared" si="659"/>
        <v>Supp</v>
      </c>
      <c r="BA1516" s="27" t="str">
        <f t="shared" si="660"/>
        <v/>
      </c>
      <c r="BB1516" s="27" t="str">
        <f t="shared" si="661"/>
        <v/>
      </c>
      <c r="BC1516" s="27" t="str">
        <f t="shared" si="662"/>
        <v/>
      </c>
      <c r="BD1516" s="27" t="str">
        <f t="shared" si="663"/>
        <v/>
      </c>
      <c r="BE1516" s="27" t="str">
        <f t="shared" si="664"/>
        <v/>
      </c>
      <c r="BF1516" s="27" t="str">
        <f t="shared" si="665"/>
        <v/>
      </c>
      <c r="BG1516" s="27" t="str">
        <f t="shared" si="666"/>
        <v/>
      </c>
      <c r="BH1516" s="27" t="str">
        <f t="shared" si="667"/>
        <v/>
      </c>
      <c r="BI1516" s="27" t="str">
        <f t="shared" si="668"/>
        <v/>
      </c>
      <c r="BJ1516" s="27" t="str">
        <f t="shared" si="669"/>
        <v>Supp or Hun</v>
      </c>
      <c r="BK1516" s="27" t="str">
        <f t="shared" si="670"/>
        <v/>
      </c>
      <c r="BL1516" s="27" t="str">
        <f t="shared" si="671"/>
        <v/>
      </c>
      <c r="BM1516" s="21" t="s">
        <v>5581</v>
      </c>
    </row>
    <row r="1517" spans="1:65" ht="15">
      <c r="A1517" s="25" t="str">
        <f>IFERROR(INDEX('Hun Demand'!W:W,MATCH(O1517,'Hun Demand'!A:A,0)),"")</f>
        <v/>
      </c>
      <c r="B1517" s="25" t="str">
        <f>IFERROR(INDEX('Hun Demand'!V:V,MATCH(O1517,'Hun Demand'!A:A,0)),"")</f>
        <v/>
      </c>
      <c r="C1517" s="25" t="str">
        <f>IFERROR(INDEX('Hun Demand'!U:U,MATCH(O1517,'Hun Demand'!A:A,0)),"")</f>
        <v/>
      </c>
      <c r="D1517" s="25" t="str">
        <f>IFERROR(INDEX('Hun Demand'!T:T,MATCH(O1517,'Hun Demand'!A:A,0)),"")</f>
        <v/>
      </c>
      <c r="E1517" s="25" t="str">
        <f>IFERROR(INDEX('Hun Demand'!S:S,MATCH(O1517,'Hun Demand'!A:A,0)),"")</f>
        <v/>
      </c>
      <c r="F1517" s="25" t="str">
        <f>IFERROR(INDEX('Hun Demand'!R:R,MATCH(O1517,'Hun Demand'!A:A,0)),"")</f>
        <v/>
      </c>
      <c r="G1517" s="25">
        <f>IFERROR(INDEX('Aub Demand'!W:W,MATCH(O1517,'Aub Demand'!A:A,0)),"")</f>
        <v>109</v>
      </c>
      <c r="H1517" s="25">
        <f>IFERROR(INDEX('Aub Demand'!V:V,MATCH(O1517,'Aub Demand'!A:A,0)),"")</f>
        <v>1</v>
      </c>
      <c r="I1517" s="25">
        <f>IFERROR(INDEX('Aub Demand'!U:U,MATCH(O1517,'Aub Demand'!A:A,0)),"")</f>
        <v>58</v>
      </c>
      <c r="J1517" s="25">
        <f>IFERROR(INDEX('Aub Demand'!T:T,MATCH(O1517,'Aub Demand'!A:A,0)),"")</f>
        <v>0</v>
      </c>
      <c r="K1517" s="25">
        <f>IFERROR(INDEX('Aub Demand'!S:S,MATCH(O1517,'Aub Demand'!A:A,0)),"")</f>
        <v>43</v>
      </c>
      <c r="L1517" s="25">
        <f>IFERROR(INDEX('Aub Demand'!R:R,MATCH(O1517,'Aub Demand'!A:A,0)),"")</f>
        <v>0</v>
      </c>
      <c r="O1517" s="27" t="s">
        <v>3120</v>
      </c>
      <c r="P1517" s="27" t="str">
        <f>IFERROR(INDEX('Aub Demand'!B:B,MATCH($O1517,'Aub Demand'!$A:$A,0)),"")</f>
        <v>Luminary Teak A09/20</v>
      </c>
      <c r="Q1517" s="27" t="str">
        <f>IFERROR(INDEX('Aub Demand'!C:C,MATCH($O1517,'Aub Demand'!$A:$A,0)),"")</f>
        <v>INTER</v>
      </c>
      <c r="R1517" s="52">
        <f>IFERROR(IF(AR1518=AR1517,INDEX('Aub Demand'!K:K,MATCH($O1517,'Aub Demand'!$A:$A,0))-IF(AN1517="",0,AN1517)+AP1518,INDEX('Aub Demand'!K:K,MATCH($O1517,'Aub Demand'!$A:$A,0))-IF(AN1517="",0,AN1517)),"")</f>
        <v>531</v>
      </c>
      <c r="S1517" s="53">
        <f t="shared" si="644"/>
        <v>66.900000000000006</v>
      </c>
      <c r="T1517" s="52" t="str">
        <f t="shared" si="645"/>
        <v/>
      </c>
      <c r="U1517" s="52">
        <f>IFERROR(IF(AR1518=AR1517,INDEX('Aub Demand'!Q:Q,MATCH($O1517,'Aub Demand'!$A:$A,0))-IF(AN1517="",0,AN1517)+AP1518,INDEX('Aub Demand'!Q:Q,MATCH($O1517,'Aub Demand'!$A:$A,0))-IF(AN1517="",0,AN1517)),"")</f>
        <v>501</v>
      </c>
      <c r="V1517" s="53">
        <f t="shared" si="646"/>
        <v>63.2</v>
      </c>
      <c r="W1517" s="52" t="str">
        <f t="shared" si="647"/>
        <v/>
      </c>
      <c r="X1517" s="52">
        <f>IFERROR(IF(AND(AR1518=AR1517,AM1517&lt;&gt;""),INDEX('Aub Demand'!Q:Q,MATCH($O1517,'Aub Demand'!$A:$A,0))-IF(AN1517="",0,AN1517)+AP1518+AD1517+AL1517,IF(AR1518=AR1517,INDEX('Aub Demand'!Q:Q,MATCH($O1517,'Aub Demand'!$A:$A,0))-IF(AN1517="",0,AN1517)+AP1518+AD1517,IF(AM1517&lt;&gt;"",INDEX('Aub Demand'!Q:Q,MATCH($O1517,'Aub Demand'!$A:$A,0))-IF(AN1517="",0,AN1517)+AD1517+AL1517,INDEX('Aub Demand'!Q:Q,MATCH($O1517,'Aub Demand'!$A:$A,0))-IF(AN1517="",0,AN1517)+AD1517))),"")</f>
        <v>501</v>
      </c>
      <c r="Y1517" s="53">
        <f t="shared" si="648"/>
        <v>63.2</v>
      </c>
      <c r="Z1517" s="52">
        <f>IF(L1517="","",INDEX('Aub Demand'!H:H,MATCH($O1517,'Aub Demand'!$A:$A,0)))</f>
        <v>34</v>
      </c>
      <c r="AA1517" s="52">
        <f t="shared" si="649"/>
        <v>50.5</v>
      </c>
      <c r="AB1517" s="52">
        <f>IFERROR(INDEX('Aub Demand'!L:L,MATCH($O1517,'Aub Demand'!$A:$A,0)),"")</f>
        <v>34</v>
      </c>
      <c r="AC1517" s="52">
        <f>IFERROR(IF(O1517="","",SUMIFS('CPL Mats'!F:F,'CPL Mats'!Q:Q,AR1517,'CPL Mats'!S:S,AS1517)),"")</f>
        <v>0</v>
      </c>
      <c r="AF1517" s="25" t="str">
        <f>IF(SUMIFS('Supp Consol'!S:S,'Supp Consol'!Y:Y,"Releasable",'Supp Consol'!A:A,O1517)=0,"",SUMIFS('Supp Consol'!S:S,'Supp Consol'!Y:Y,"Releasable",'Supp Consol'!A:A,O1517))</f>
        <v/>
      </c>
      <c r="AG1517" s="25" t="str">
        <f>IFERROR(INDEX('Hun Demand'!Q:Q,MATCH(O1517,'Hun Demand'!A:A,0)),"")</f>
        <v/>
      </c>
      <c r="AH1517" s="25" t="str">
        <f>IFERROR(INDEX('Hun Demand'!H:H,MATCH($O1517,'Hun Demand'!$A:$A,0)),"")</f>
        <v/>
      </c>
      <c r="AI1517" s="25" t="str">
        <f>IF(SUMIFS('Supp Consol'!AA:AA,'Supp Consol'!Z:Z,"Expires this month",'Supp Consol'!A:A,O1517)=0,"",SUMIFS('Supp Consol'!AA:AA,'Supp Consol'!Z:Z,"Expires this month",'Supp Consol'!A:A,O1517))</f>
        <v/>
      </c>
      <c r="AJ1517" s="25" t="str">
        <f>IF(SUMIFS('Supp Consol'!AA:AA,'Supp Consol'!Z:Z,"Expired Previous Months",'Supp Consol'!A:A,O1517)=0,"",SUMIFS('Supp Consol'!AA:AA,'Supp Consol'!Z:Z,"Expired Previous Months",'Supp Consol'!A:A,O1517))</f>
        <v/>
      </c>
      <c r="AK1517" s="25" t="str">
        <f>IFERROR(INDEX('Hun Release Current'!B:B,MATCH(O1517,'Hun Release Current'!A:A,0)),"")</f>
        <v/>
      </c>
      <c r="AL1517" s="25" t="str">
        <f>IF(SUMIF('Prev Aub'!A:A,O1517,'Prev Aub'!B:B)=0,"",SUMIF('Prev Aub'!A:A,O1517,'Prev Aub'!B:B))</f>
        <v/>
      </c>
      <c r="AN1517" s="25" t="s">
        <v>3790</v>
      </c>
      <c r="AO1517" s="25" t="s">
        <v>3790</v>
      </c>
      <c r="AP1517" s="25">
        <f t="shared" si="650"/>
        <v>0</v>
      </c>
      <c r="AQ1517" s="151" t="str">
        <f>IF(SUMIFS('Supp Consol'!S:S,'Supp Consol'!A:A,O1517,'Supp Consol'!I:I,"PENDING")=0,"",SUMIFS('Supp Consol'!S:S,'Supp Consol'!A:A,O1517,'Supp Consol'!I:I,"PENDING"))</f>
        <v/>
      </c>
      <c r="AR1517" s="27" t="str">
        <f t="shared" si="651"/>
        <v>WT005</v>
      </c>
      <c r="AS1517" s="27" t="str">
        <f t="shared" si="652"/>
        <v>50</v>
      </c>
      <c r="AT1517" s="27" t="str">
        <f t="shared" si="653"/>
        <v/>
      </c>
      <c r="AU1517" s="27" t="str">
        <f t="shared" si="654"/>
        <v/>
      </c>
      <c r="AV1517" s="27" t="str">
        <f t="shared" si="655"/>
        <v/>
      </c>
      <c r="AW1517" s="27" t="str">
        <f t="shared" si="656"/>
        <v/>
      </c>
      <c r="AX1517" s="27" t="str">
        <f t="shared" si="657"/>
        <v/>
      </c>
      <c r="AY1517" s="27" t="str">
        <f t="shared" si="658"/>
        <v/>
      </c>
      <c r="AZ1517" s="27" t="str">
        <f t="shared" si="659"/>
        <v/>
      </c>
      <c r="BA1517" s="27" t="str">
        <f t="shared" si="660"/>
        <v/>
      </c>
      <c r="BB1517" s="27" t="str">
        <f t="shared" si="661"/>
        <v/>
      </c>
      <c r="BC1517" s="27" t="str">
        <f t="shared" si="662"/>
        <v/>
      </c>
      <c r="BD1517" s="27" t="str">
        <f t="shared" si="663"/>
        <v/>
      </c>
      <c r="BE1517" s="27" t="str">
        <f t="shared" si="664"/>
        <v/>
      </c>
      <c r="BF1517" s="27" t="str">
        <f t="shared" si="665"/>
        <v/>
      </c>
      <c r="BG1517" s="27" t="str">
        <f t="shared" si="666"/>
        <v/>
      </c>
      <c r="BH1517" s="27" t="str">
        <f t="shared" si="667"/>
        <v/>
      </c>
      <c r="BI1517" s="27" t="str">
        <f t="shared" si="668"/>
        <v/>
      </c>
      <c r="BJ1517" s="27" t="str">
        <f t="shared" si="669"/>
        <v/>
      </c>
      <c r="BK1517" s="27" t="str">
        <f t="shared" si="670"/>
        <v/>
      </c>
      <c r="BL1517" s="27" t="str">
        <f t="shared" si="671"/>
        <v/>
      </c>
      <c r="BM1517" s="21" t="s">
        <v>5581</v>
      </c>
    </row>
    <row r="1518" spans="1:65" ht="15">
      <c r="A1518" s="25" t="str">
        <f>IFERROR(INDEX('Hun Demand'!W:W,MATCH(O1518,'Hun Demand'!A:A,0)),"")</f>
        <v/>
      </c>
      <c r="B1518" s="25" t="str">
        <f>IFERROR(INDEX('Hun Demand'!V:V,MATCH(O1518,'Hun Demand'!A:A,0)),"")</f>
        <v/>
      </c>
      <c r="C1518" s="25" t="str">
        <f>IFERROR(INDEX('Hun Demand'!U:U,MATCH(O1518,'Hun Demand'!A:A,0)),"")</f>
        <v/>
      </c>
      <c r="D1518" s="25" t="str">
        <f>IFERROR(INDEX('Hun Demand'!T:T,MATCH(O1518,'Hun Demand'!A:A,0)),"")</f>
        <v/>
      </c>
      <c r="E1518" s="25" t="str">
        <f>IFERROR(INDEX('Hun Demand'!S:S,MATCH(O1518,'Hun Demand'!A:A,0)),"")</f>
        <v/>
      </c>
      <c r="F1518" s="25" t="str">
        <f>IFERROR(INDEX('Hun Demand'!R:R,MATCH(O1518,'Hun Demand'!A:A,0)),"")</f>
        <v/>
      </c>
      <c r="G1518" s="25">
        <f>IFERROR(INDEX('Aub Demand'!W:W,MATCH(O1518,'Aub Demand'!A:A,0)),"")</f>
        <v>7</v>
      </c>
      <c r="H1518" s="25">
        <f>IFERROR(INDEX('Aub Demand'!V:V,MATCH(O1518,'Aub Demand'!A:A,0)),"")</f>
        <v>33</v>
      </c>
      <c r="I1518" s="25">
        <f>IFERROR(INDEX('Aub Demand'!U:U,MATCH(O1518,'Aub Demand'!A:A,0)),"")</f>
        <v>0</v>
      </c>
      <c r="J1518" s="25">
        <f>IFERROR(INDEX('Aub Demand'!T:T,MATCH(O1518,'Aub Demand'!A:A,0)),"")</f>
        <v>13</v>
      </c>
      <c r="K1518" s="25">
        <f>IFERROR(INDEX('Aub Demand'!S:S,MATCH(O1518,'Aub Demand'!A:A,0)),"")</f>
        <v>0</v>
      </c>
      <c r="L1518" s="25">
        <f>IFERROR(INDEX('Aub Demand'!R:R,MATCH(O1518,'Aub Demand'!A:A,0)),"")</f>
        <v>0</v>
      </c>
      <c r="O1518" s="27" t="s">
        <v>3122</v>
      </c>
      <c r="P1518" s="27" t="str">
        <f>IFERROR(INDEX('Aub Demand'!B:B,MATCH($O1518,'Aub Demand'!$A:$A,0)),"")</f>
        <v>Luminary Teak A09/20</v>
      </c>
      <c r="Q1518" s="27" t="str">
        <f>IFERROR(INDEX('Aub Demand'!C:C,MATCH($O1518,'Aub Demand'!$A:$A,0)),"")</f>
        <v>INTER</v>
      </c>
      <c r="R1518" s="52">
        <f>IFERROR(IF(AR1519=AR1518,INDEX('Aub Demand'!K:K,MATCH($O1518,'Aub Demand'!$A:$A,0))-IF(AN1518="",0,AN1518)+AP1519,INDEX('Aub Demand'!K:K,MATCH($O1518,'Aub Demand'!$A:$A,0))-IF(AN1518="",0,AN1518)),"")</f>
        <v>2591</v>
      </c>
      <c r="S1518" s="53">
        <f t="shared" si="644"/>
        <v>2776.1</v>
      </c>
      <c r="T1518" s="52" t="str">
        <f t="shared" si="645"/>
        <v/>
      </c>
      <c r="U1518" s="52">
        <f>IFERROR(IF(AR1519=AR1518,INDEX('Aub Demand'!Q:Q,MATCH($O1518,'Aub Demand'!$A:$A,0))-IF(AN1518="",0,AN1518)+AP1519,INDEX('Aub Demand'!Q:Q,MATCH($O1518,'Aub Demand'!$A:$A,0))-IF(AN1518="",0,AN1518)),"")</f>
        <v>2586</v>
      </c>
      <c r="V1518" s="53">
        <f t="shared" si="646"/>
        <v>2770.7</v>
      </c>
      <c r="W1518" s="52" t="str">
        <f t="shared" si="647"/>
        <v/>
      </c>
      <c r="X1518" s="52">
        <f>IFERROR(IF(AND(AR1519=AR1518,AM1518&lt;&gt;""),INDEX('Aub Demand'!Q:Q,MATCH($O1518,'Aub Demand'!$A:$A,0))-IF(AN1518="",0,AN1518)+AP1519+AD1518+AL1518,IF(AR1519=AR1518,INDEX('Aub Demand'!Q:Q,MATCH($O1518,'Aub Demand'!$A:$A,0))-IF(AN1518="",0,AN1518)+AP1519+AD1518,IF(AM1518&lt;&gt;"",INDEX('Aub Demand'!Q:Q,MATCH($O1518,'Aub Demand'!$A:$A,0))-IF(AN1518="",0,AN1518)+AD1518+AL1518,INDEX('Aub Demand'!Q:Q,MATCH($O1518,'Aub Demand'!$A:$A,0))-IF(AN1518="",0,AN1518)+AD1518))),"")</f>
        <v>2586</v>
      </c>
      <c r="Y1518" s="53">
        <f t="shared" si="648"/>
        <v>2770.7</v>
      </c>
      <c r="Z1518" s="52">
        <f>IF(L1518="","",INDEX('Aub Demand'!H:H,MATCH($O1518,'Aub Demand'!$A:$A,0)))</f>
        <v>4</v>
      </c>
      <c r="AA1518" s="52" t="str">
        <f t="shared" si="649"/>
        <v>-spike-</v>
      </c>
      <c r="AB1518" s="52">
        <f>IFERROR(INDEX('Aub Demand'!L:L,MATCH($O1518,'Aub Demand'!$A:$A,0)),"")</f>
        <v>3</v>
      </c>
      <c r="AC1518" s="52">
        <f>IFERROR(IF(O1518="","",SUMIFS('CPL Mats'!F:F,'CPL Mats'!Q:Q,AR1518,'CPL Mats'!S:S,AS1518)),"")</f>
        <v>0</v>
      </c>
      <c r="AF1518" s="25" t="str">
        <f>IF(SUMIFS('Supp Consol'!S:S,'Supp Consol'!Y:Y,"Releasable",'Supp Consol'!A:A,O1518)=0,"",SUMIFS('Supp Consol'!S:S,'Supp Consol'!Y:Y,"Releasable",'Supp Consol'!A:A,O1518))</f>
        <v/>
      </c>
      <c r="AG1518" s="25" t="str">
        <f>IFERROR(INDEX('Hun Demand'!Q:Q,MATCH(O1518,'Hun Demand'!A:A,0)),"")</f>
        <v/>
      </c>
      <c r="AH1518" s="25" t="str">
        <f>IFERROR(INDEX('Hun Demand'!H:H,MATCH($O1518,'Hun Demand'!$A:$A,0)),"")</f>
        <v/>
      </c>
      <c r="AI1518" s="25" t="str">
        <f>IF(SUMIFS('Supp Consol'!AA:AA,'Supp Consol'!Z:Z,"Expires this month",'Supp Consol'!A:A,O1518)=0,"",SUMIFS('Supp Consol'!AA:AA,'Supp Consol'!Z:Z,"Expires this month",'Supp Consol'!A:A,O1518))</f>
        <v/>
      </c>
      <c r="AJ1518" s="25" t="str">
        <f>IF(SUMIFS('Supp Consol'!AA:AA,'Supp Consol'!Z:Z,"Expired Previous Months",'Supp Consol'!A:A,O1518)=0,"",SUMIFS('Supp Consol'!AA:AA,'Supp Consol'!Z:Z,"Expired Previous Months",'Supp Consol'!A:A,O1518))</f>
        <v/>
      </c>
      <c r="AK1518" s="25" t="str">
        <f>IFERROR(INDEX('Hun Release Current'!B:B,MATCH(O1518,'Hun Release Current'!A:A,0)),"")</f>
        <v/>
      </c>
      <c r="AL1518" s="25" t="str">
        <f>IF(SUMIF('Prev Aub'!A:A,O1518,'Prev Aub'!B:B)=0,"",SUMIF('Prev Aub'!A:A,O1518,'Prev Aub'!B:B))</f>
        <v/>
      </c>
      <c r="AN1518" s="25" t="s">
        <v>3790</v>
      </c>
      <c r="AO1518" s="25" t="s">
        <v>3790</v>
      </c>
      <c r="AP1518" s="25">
        <f t="shared" si="650"/>
        <v>0</v>
      </c>
      <c r="AQ1518" s="151" t="str">
        <f>IF(SUMIFS('Supp Consol'!S:S,'Supp Consol'!A:A,O1518,'Supp Consol'!I:I,"PENDING")=0,"",SUMIFS('Supp Consol'!S:S,'Supp Consol'!A:A,O1518,'Supp Consol'!I:I,"PENDING"))</f>
        <v/>
      </c>
      <c r="AR1518" s="27" t="str">
        <f t="shared" si="651"/>
        <v>WT005</v>
      </c>
      <c r="AS1518" s="27" t="str">
        <f t="shared" si="652"/>
        <v>62</v>
      </c>
      <c r="AT1518" s="27" t="str">
        <f t="shared" si="653"/>
        <v/>
      </c>
      <c r="AU1518" s="27" t="str">
        <f t="shared" si="654"/>
        <v/>
      </c>
      <c r="AV1518" s="27" t="str">
        <f t="shared" si="655"/>
        <v/>
      </c>
      <c r="AW1518" s="27" t="str">
        <f t="shared" si="656"/>
        <v/>
      </c>
      <c r="AX1518" s="27" t="str">
        <f t="shared" si="657"/>
        <v/>
      </c>
      <c r="AY1518" s="27" t="str">
        <f t="shared" si="658"/>
        <v/>
      </c>
      <c r="AZ1518" s="27" t="str">
        <f t="shared" si="659"/>
        <v/>
      </c>
      <c r="BA1518" s="27" t="str">
        <f t="shared" si="660"/>
        <v/>
      </c>
      <c r="BB1518" s="27" t="str">
        <f t="shared" si="661"/>
        <v/>
      </c>
      <c r="BC1518" s="27" t="str">
        <f t="shared" si="662"/>
        <v/>
      </c>
      <c r="BD1518" s="27" t="str">
        <f t="shared" si="663"/>
        <v/>
      </c>
      <c r="BE1518" s="27" t="str">
        <f t="shared" si="664"/>
        <v/>
      </c>
      <c r="BF1518" s="27" t="str">
        <f t="shared" si="665"/>
        <v/>
      </c>
      <c r="BG1518" s="27" t="str">
        <f t="shared" si="666"/>
        <v/>
      </c>
      <c r="BH1518" s="27" t="str">
        <f t="shared" si="667"/>
        <v/>
      </c>
      <c r="BI1518" s="27" t="str">
        <f t="shared" si="668"/>
        <v/>
      </c>
      <c r="BJ1518" s="27" t="str">
        <f t="shared" si="669"/>
        <v/>
      </c>
      <c r="BK1518" s="27" t="str">
        <f t="shared" si="670"/>
        <v/>
      </c>
      <c r="BL1518" s="27" t="str">
        <f t="shared" si="671"/>
        <v/>
      </c>
      <c r="BM1518" s="21" t="s">
        <v>5581</v>
      </c>
    </row>
    <row r="1519" spans="1:65" ht="15">
      <c r="A1519" s="25" t="str">
        <f>IFERROR(INDEX('Hun Demand'!W:W,MATCH(O1519,'Hun Demand'!A:A,0)),"")</f>
        <v/>
      </c>
      <c r="B1519" s="25" t="str">
        <f>IFERROR(INDEX('Hun Demand'!V:V,MATCH(O1519,'Hun Demand'!A:A,0)),"")</f>
        <v/>
      </c>
      <c r="C1519" s="25" t="str">
        <f>IFERROR(INDEX('Hun Demand'!U:U,MATCH(O1519,'Hun Demand'!A:A,0)),"")</f>
        <v/>
      </c>
      <c r="D1519" s="25" t="str">
        <f>IFERROR(INDEX('Hun Demand'!T:T,MATCH(O1519,'Hun Demand'!A:A,0)),"")</f>
        <v/>
      </c>
      <c r="E1519" s="25" t="str">
        <f>IFERROR(INDEX('Hun Demand'!S:S,MATCH(O1519,'Hun Demand'!A:A,0)),"")</f>
        <v/>
      </c>
      <c r="F1519" s="25" t="str">
        <f>IFERROR(INDEX('Hun Demand'!R:R,MATCH(O1519,'Hun Demand'!A:A,0)),"")</f>
        <v/>
      </c>
      <c r="G1519" s="25">
        <f>IFERROR(INDEX('Aub Demand'!W:W,MATCH(O1519,'Aub Demand'!A:A,0)),"")</f>
        <v>8</v>
      </c>
      <c r="H1519" s="25">
        <f>IFERROR(INDEX('Aub Demand'!V:V,MATCH(O1519,'Aub Demand'!A:A,0)),"")</f>
        <v>0</v>
      </c>
      <c r="I1519" s="25">
        <f>IFERROR(INDEX('Aub Demand'!U:U,MATCH(O1519,'Aub Demand'!A:A,0)),"")</f>
        <v>13</v>
      </c>
      <c r="J1519" s="25">
        <f>IFERROR(INDEX('Aub Demand'!T:T,MATCH(O1519,'Aub Demand'!A:A,0)),"")</f>
        <v>0</v>
      </c>
      <c r="K1519" s="25">
        <f>IFERROR(INDEX('Aub Demand'!S:S,MATCH(O1519,'Aub Demand'!A:A,0)),"")</f>
        <v>21</v>
      </c>
      <c r="L1519" s="25">
        <f>IFERROR(INDEX('Aub Demand'!R:R,MATCH(O1519,'Aub Demand'!A:A,0)),"")</f>
        <v>0</v>
      </c>
      <c r="O1519" s="27" t="s">
        <v>1828</v>
      </c>
      <c r="P1519" s="27" t="str">
        <f>IFERROR(INDEX('Aub Demand'!B:B,MATCH($O1519,'Aub Demand'!$A:$A,0)),"")</f>
        <v>TAJ TEAK</v>
      </c>
      <c r="Q1519" s="27" t="str">
        <f>IFERROR(INDEX('Aub Demand'!C:C,MATCH($O1519,'Aub Demand'!$A:$A,0)),"")</f>
        <v>DNP A</v>
      </c>
      <c r="R1519" s="52">
        <f>IFERROR(IF(AR1520=AR1519,INDEX('Aub Demand'!K:K,MATCH($O1519,'Aub Demand'!$A:$A,0))-IF(AN1519="",0,AN1519)+AP1520,INDEX('Aub Demand'!K:K,MATCH($O1519,'Aub Demand'!$A:$A,0))-IF(AN1519="",0,AN1519)),"")</f>
        <v>500</v>
      </c>
      <c r="S1519" s="53">
        <f t="shared" si="644"/>
        <v>194.8</v>
      </c>
      <c r="T1519" s="52" t="str">
        <f t="shared" si="645"/>
        <v/>
      </c>
      <c r="U1519" s="52">
        <f>IFERROR(IF(AR1520=AR1519,INDEX('Aub Demand'!Q:Q,MATCH($O1519,'Aub Demand'!$A:$A,0))-IF(AN1519="",0,AN1519)+AP1520,INDEX('Aub Demand'!Q:Q,MATCH($O1519,'Aub Demand'!$A:$A,0))-IF(AN1519="",0,AN1519)),"")</f>
        <v>475</v>
      </c>
      <c r="V1519" s="53">
        <f t="shared" si="646"/>
        <v>185.1</v>
      </c>
      <c r="W1519" s="52" t="str">
        <f t="shared" si="647"/>
        <v/>
      </c>
      <c r="X1519" s="52">
        <f>IFERROR(IF(AND(AR1520=AR1519,AM1519&lt;&gt;""),INDEX('Aub Demand'!Q:Q,MATCH($O1519,'Aub Demand'!$A:$A,0))-IF(AN1519="",0,AN1519)+AP1520+AD1519+AL1519,IF(AR1520=AR1519,INDEX('Aub Demand'!Q:Q,MATCH($O1519,'Aub Demand'!$A:$A,0))-IF(AN1519="",0,AN1519)+AP1520+AD1519,IF(AM1519&lt;&gt;"",INDEX('Aub Demand'!Q:Q,MATCH($O1519,'Aub Demand'!$A:$A,0))-IF(AN1519="",0,AN1519)+AD1519+AL1519,INDEX('Aub Demand'!Q:Q,MATCH($O1519,'Aub Demand'!$A:$A,0))-IF(AN1519="",0,AN1519)+AD1519))),"")</f>
        <v>475</v>
      </c>
      <c r="Y1519" s="53">
        <f t="shared" si="648"/>
        <v>185.1</v>
      </c>
      <c r="Z1519" s="52">
        <f>IF(L1519="","",INDEX('Aub Demand'!H:H,MATCH($O1519,'Aub Demand'!$A:$A,0)))</f>
        <v>11</v>
      </c>
      <c r="AA1519" s="52">
        <f t="shared" si="649"/>
        <v>17</v>
      </c>
      <c r="AB1519" s="52">
        <f>IFERROR(INDEX('Aub Demand'!L:L,MATCH($O1519,'Aub Demand'!$A:$A,0)),"")</f>
        <v>0</v>
      </c>
      <c r="AC1519" s="52">
        <f>IFERROR(IF(O1519="","",SUMIFS('CPL Mats'!F:F,'CPL Mats'!Q:Q,AR1519,'CPL Mats'!S:S,AS1519)),"")</f>
        <v>0</v>
      </c>
      <c r="AF1519" s="25">
        <f>IF(SUMIFS('Supp Consol'!S:S,'Supp Consol'!Y:Y,"Releasable",'Supp Consol'!A:A,O1519)=0,"",SUMIFS('Supp Consol'!S:S,'Supp Consol'!Y:Y,"Releasable",'Supp Consol'!A:A,O1519))</f>
        <v>1726</v>
      </c>
      <c r="AG1519" s="25" t="str">
        <f>IFERROR(INDEX('Hun Demand'!Q:Q,MATCH(O1519,'Hun Demand'!A:A,0)),"")</f>
        <v/>
      </c>
      <c r="AH1519" s="25" t="str">
        <f>IFERROR(INDEX('Hun Demand'!H:H,MATCH($O1519,'Hun Demand'!$A:$A,0)),"")</f>
        <v/>
      </c>
      <c r="AI1519" s="25" t="str">
        <f>IF(SUMIFS('Supp Consol'!AA:AA,'Supp Consol'!Z:Z,"Expires this month",'Supp Consol'!A:A,O1519)=0,"",SUMIFS('Supp Consol'!AA:AA,'Supp Consol'!Z:Z,"Expires this month",'Supp Consol'!A:A,O1519))</f>
        <v/>
      </c>
      <c r="AJ1519" s="25" t="str">
        <f>IF(SUMIFS('Supp Consol'!AA:AA,'Supp Consol'!Z:Z,"Expired Previous Months",'Supp Consol'!A:A,O1519)=0,"",SUMIFS('Supp Consol'!AA:AA,'Supp Consol'!Z:Z,"Expired Previous Months",'Supp Consol'!A:A,O1519))</f>
        <v/>
      </c>
      <c r="AK1519" s="25" t="str">
        <f>IFERROR(INDEX('Hun Release Current'!B:B,MATCH(O1519,'Hun Release Current'!A:A,0)),"")</f>
        <v/>
      </c>
      <c r="AL1519" s="25" t="str">
        <f>IF(SUMIF('Prev Aub'!A:A,O1519,'Prev Aub'!B:B)=0,"",SUMIF('Prev Aub'!A:A,O1519,'Prev Aub'!B:B))</f>
        <v/>
      </c>
      <c r="AN1519" s="25" t="s">
        <v>3790</v>
      </c>
      <c r="AO1519" s="25" t="s">
        <v>3790</v>
      </c>
      <c r="AP1519" s="25">
        <f t="shared" si="650"/>
        <v>0</v>
      </c>
      <c r="AQ1519" s="151" t="str">
        <f>IF(SUMIFS('Supp Consol'!S:S,'Supp Consol'!A:A,O1519,'Supp Consol'!I:I,"PENDING")=0,"",SUMIFS('Supp Consol'!S:S,'Supp Consol'!A:A,O1519,'Supp Consol'!I:I,"PENDING"))</f>
        <v/>
      </c>
      <c r="AR1519" s="27" t="str">
        <f t="shared" si="651"/>
        <v>WT741</v>
      </c>
      <c r="AS1519" s="27" t="str">
        <f t="shared" si="652"/>
        <v>50</v>
      </c>
      <c r="AT1519" s="27" t="str">
        <f t="shared" si="653"/>
        <v/>
      </c>
      <c r="AU1519" s="27" t="str">
        <f t="shared" si="654"/>
        <v/>
      </c>
      <c r="AV1519" s="27" t="str">
        <f t="shared" si="655"/>
        <v/>
      </c>
      <c r="AW1519" s="27" t="str">
        <f t="shared" si="656"/>
        <v/>
      </c>
      <c r="AX1519" s="27" t="str">
        <f t="shared" si="657"/>
        <v>WT741</v>
      </c>
      <c r="AY1519" s="27" t="str">
        <f t="shared" si="658"/>
        <v/>
      </c>
      <c r="AZ1519" s="27" t="str">
        <f t="shared" si="659"/>
        <v>Supp</v>
      </c>
      <c r="BA1519" s="27" t="str">
        <f t="shared" si="660"/>
        <v/>
      </c>
      <c r="BB1519" s="27" t="str">
        <f t="shared" si="661"/>
        <v/>
      </c>
      <c r="BC1519" s="27" t="str">
        <f t="shared" si="662"/>
        <v/>
      </c>
      <c r="BD1519" s="27" t="str">
        <f t="shared" si="663"/>
        <v/>
      </c>
      <c r="BE1519" s="27" t="str">
        <f t="shared" si="664"/>
        <v/>
      </c>
      <c r="BF1519" s="27" t="str">
        <f t="shared" si="665"/>
        <v/>
      </c>
      <c r="BG1519" s="27" t="str">
        <f t="shared" si="666"/>
        <v/>
      </c>
      <c r="BH1519" s="27" t="str">
        <f t="shared" si="667"/>
        <v/>
      </c>
      <c r="BI1519" s="27" t="str">
        <f t="shared" si="668"/>
        <v/>
      </c>
      <c r="BJ1519" s="27" t="str">
        <f t="shared" si="669"/>
        <v>Supp or Hun</v>
      </c>
      <c r="BK1519" s="27" t="str">
        <f t="shared" si="670"/>
        <v/>
      </c>
      <c r="BL1519" s="27" t="str">
        <f t="shared" si="671"/>
        <v/>
      </c>
      <c r="BM1519" s="21" t="s">
        <v>5581</v>
      </c>
    </row>
    <row r="1520" spans="1:65" ht="15">
      <c r="A1520" s="25" t="str">
        <f>IFERROR(INDEX('Hun Demand'!W:W,MATCH(O1520,'Hun Demand'!A:A,0)),"")</f>
        <v/>
      </c>
      <c r="B1520" s="25" t="str">
        <f>IFERROR(INDEX('Hun Demand'!V:V,MATCH(O1520,'Hun Demand'!A:A,0)),"")</f>
        <v/>
      </c>
      <c r="C1520" s="25" t="str">
        <f>IFERROR(INDEX('Hun Demand'!U:U,MATCH(O1520,'Hun Demand'!A:A,0)),"")</f>
        <v/>
      </c>
      <c r="D1520" s="25" t="str">
        <f>IFERROR(INDEX('Hun Demand'!T:T,MATCH(O1520,'Hun Demand'!A:A,0)),"")</f>
        <v/>
      </c>
      <c r="E1520" s="25" t="str">
        <f>IFERROR(INDEX('Hun Demand'!S:S,MATCH(O1520,'Hun Demand'!A:A,0)),"")</f>
        <v/>
      </c>
      <c r="F1520" s="25" t="str">
        <f>IFERROR(INDEX('Hun Demand'!R:R,MATCH(O1520,'Hun Demand'!A:A,0)),"")</f>
        <v/>
      </c>
      <c r="G1520" s="25">
        <f>IFERROR(INDEX('Aub Demand'!W:W,MATCH(O1520,'Aub Demand'!A:A,0)),"")</f>
        <v>0</v>
      </c>
      <c r="H1520" s="25">
        <f>IFERROR(INDEX('Aub Demand'!V:V,MATCH(O1520,'Aub Demand'!A:A,0)),"")</f>
        <v>0</v>
      </c>
      <c r="I1520" s="25">
        <f>IFERROR(INDEX('Aub Demand'!U:U,MATCH(O1520,'Aub Demand'!A:A,0)),"")</f>
        <v>0</v>
      </c>
      <c r="J1520" s="25">
        <f>IFERROR(INDEX('Aub Demand'!T:T,MATCH(O1520,'Aub Demand'!A:A,0)),"")</f>
        <v>0</v>
      </c>
      <c r="K1520" s="25">
        <f>IFERROR(INDEX('Aub Demand'!S:S,MATCH(O1520,'Aub Demand'!A:A,0)),"")</f>
        <v>0</v>
      </c>
      <c r="L1520" s="25">
        <f>IFERROR(INDEX('Aub Demand'!R:R,MATCH(O1520,'Aub Demand'!A:A,0)),"")</f>
        <v>0</v>
      </c>
      <c r="O1520" s="27" t="s">
        <v>1829</v>
      </c>
      <c r="P1520" s="27" t="str">
        <f>IFERROR(INDEX('Aub Demand'!B:B,MATCH($O1520,'Aub Demand'!$A:$A,0)),"")</f>
        <v>TAJ TEAK</v>
      </c>
      <c r="Q1520" s="27" t="str">
        <f>IFERROR(INDEX('Aub Demand'!C:C,MATCH($O1520,'Aub Demand'!$A:$A,0)),"")</f>
        <v>DNP A</v>
      </c>
      <c r="R1520" s="52">
        <f>IFERROR(IF(AR1521=AR1520,INDEX('Aub Demand'!K:K,MATCH($O1520,'Aub Demand'!$A:$A,0))-IF(AN1520="",0,AN1520)+AP1521,INDEX('Aub Demand'!K:K,MATCH($O1520,'Aub Demand'!$A:$A,0))-IF(AN1520="",0,AN1520)),"")</f>
        <v>292</v>
      </c>
      <c r="S1520" s="53" t="str">
        <f t="shared" si="644"/>
        <v>n/a</v>
      </c>
      <c r="T1520" s="52" t="str">
        <f t="shared" si="645"/>
        <v/>
      </c>
      <c r="U1520" s="52">
        <f>IFERROR(IF(AR1521=AR1520,INDEX('Aub Demand'!Q:Q,MATCH($O1520,'Aub Demand'!$A:$A,0))-IF(AN1520="",0,AN1520)+AP1521,INDEX('Aub Demand'!Q:Q,MATCH($O1520,'Aub Demand'!$A:$A,0))-IF(AN1520="",0,AN1520)),"")</f>
        <v>292</v>
      </c>
      <c r="V1520" s="53" t="str">
        <f t="shared" si="646"/>
        <v>n/a</v>
      </c>
      <c r="W1520" s="52" t="str">
        <f t="shared" si="647"/>
        <v/>
      </c>
      <c r="X1520" s="52">
        <f>IFERROR(IF(AND(AR1521=AR1520,AM1520&lt;&gt;""),INDEX('Aub Demand'!Q:Q,MATCH($O1520,'Aub Demand'!$A:$A,0))-IF(AN1520="",0,AN1520)+AP1521+AD1520+AL1520,IF(AR1521=AR1520,INDEX('Aub Demand'!Q:Q,MATCH($O1520,'Aub Demand'!$A:$A,0))-IF(AN1520="",0,AN1520)+AP1521+AD1520,IF(AM1520&lt;&gt;"",INDEX('Aub Demand'!Q:Q,MATCH($O1520,'Aub Demand'!$A:$A,0))-IF(AN1520="",0,AN1520)+AD1520+AL1520,INDEX('Aub Demand'!Q:Q,MATCH($O1520,'Aub Demand'!$A:$A,0))-IF(AN1520="",0,AN1520)+AD1520))),"")</f>
        <v>292</v>
      </c>
      <c r="Y1520" s="53" t="str">
        <f t="shared" si="648"/>
        <v>n/a</v>
      </c>
      <c r="Z1520" s="52">
        <f>IF(L1520="","",INDEX('Aub Demand'!H:H,MATCH($O1520,'Aub Demand'!$A:$A,0)))</f>
        <v>0</v>
      </c>
      <c r="AA1520" s="52" t="str">
        <f t="shared" si="649"/>
        <v>-spike-</v>
      </c>
      <c r="AB1520" s="52">
        <f>IFERROR(INDEX('Aub Demand'!L:L,MATCH($O1520,'Aub Demand'!$A:$A,0)),"")</f>
        <v>16</v>
      </c>
      <c r="AC1520" s="52">
        <f>IFERROR(IF(O1520="","",SUMIFS('CPL Mats'!F:F,'CPL Mats'!Q:Q,AR1520,'CPL Mats'!S:S,AS1520)),"")</f>
        <v>0</v>
      </c>
      <c r="AF1520" s="25">
        <f>IF(SUMIFS('Supp Consol'!S:S,'Supp Consol'!Y:Y,"Releasable",'Supp Consol'!A:A,O1520)=0,"",SUMIFS('Supp Consol'!S:S,'Supp Consol'!Y:Y,"Releasable",'Supp Consol'!A:A,O1520))</f>
        <v>518</v>
      </c>
      <c r="AG1520" s="25" t="str">
        <f>IFERROR(INDEX('Hun Demand'!Q:Q,MATCH(O1520,'Hun Demand'!A:A,0)),"")</f>
        <v/>
      </c>
      <c r="AH1520" s="25" t="str">
        <f>IFERROR(INDEX('Hun Demand'!H:H,MATCH($O1520,'Hun Demand'!$A:$A,0)),"")</f>
        <v/>
      </c>
      <c r="AI1520" s="25" t="str">
        <f>IF(SUMIFS('Supp Consol'!AA:AA,'Supp Consol'!Z:Z,"Expires this month",'Supp Consol'!A:A,O1520)=0,"",SUMIFS('Supp Consol'!AA:AA,'Supp Consol'!Z:Z,"Expires this month",'Supp Consol'!A:A,O1520))</f>
        <v/>
      </c>
      <c r="AJ1520" s="25" t="str">
        <f>IF(SUMIFS('Supp Consol'!AA:AA,'Supp Consol'!Z:Z,"Expired Previous Months",'Supp Consol'!A:A,O1520)=0,"",SUMIFS('Supp Consol'!AA:AA,'Supp Consol'!Z:Z,"Expired Previous Months",'Supp Consol'!A:A,O1520))</f>
        <v/>
      </c>
      <c r="AK1520" s="25" t="str">
        <f>IFERROR(INDEX('Hun Release Current'!B:B,MATCH(O1520,'Hun Release Current'!A:A,0)),"")</f>
        <v/>
      </c>
      <c r="AL1520" s="25" t="str">
        <f>IF(SUMIF('Prev Aub'!A:A,O1520,'Prev Aub'!B:B)=0,"",SUMIF('Prev Aub'!A:A,O1520,'Prev Aub'!B:B))</f>
        <v/>
      </c>
      <c r="AN1520" s="25" t="s">
        <v>3790</v>
      </c>
      <c r="AO1520" s="25" t="s">
        <v>3790</v>
      </c>
      <c r="AP1520" s="25">
        <f t="shared" si="650"/>
        <v>0</v>
      </c>
      <c r="AQ1520" s="151" t="str">
        <f>IF(SUMIFS('Supp Consol'!S:S,'Supp Consol'!A:A,O1520,'Supp Consol'!I:I,"PENDING")=0,"",SUMIFS('Supp Consol'!S:S,'Supp Consol'!A:A,O1520,'Supp Consol'!I:I,"PENDING"))</f>
        <v/>
      </c>
      <c r="AR1520" s="27" t="str">
        <f t="shared" si="651"/>
        <v>WT741</v>
      </c>
      <c r="AS1520" s="27" t="str">
        <f t="shared" si="652"/>
        <v>62</v>
      </c>
      <c r="AT1520" s="27" t="str">
        <f t="shared" si="653"/>
        <v/>
      </c>
      <c r="AU1520" s="27" t="str">
        <f t="shared" si="654"/>
        <v/>
      </c>
      <c r="AV1520" s="27" t="str">
        <f t="shared" si="655"/>
        <v/>
      </c>
      <c r="AW1520" s="27" t="str">
        <f t="shared" si="656"/>
        <v/>
      </c>
      <c r="AX1520" s="27" t="str">
        <f t="shared" si="657"/>
        <v>WT741</v>
      </c>
      <c r="AY1520" s="27" t="str">
        <f t="shared" si="658"/>
        <v/>
      </c>
      <c r="AZ1520" s="27" t="str">
        <f t="shared" si="659"/>
        <v>Supp</v>
      </c>
      <c r="BA1520" s="27" t="str">
        <f t="shared" si="660"/>
        <v/>
      </c>
      <c r="BB1520" s="27" t="str">
        <f t="shared" si="661"/>
        <v/>
      </c>
      <c r="BC1520" s="27" t="str">
        <f t="shared" si="662"/>
        <v/>
      </c>
      <c r="BD1520" s="27" t="str">
        <f t="shared" si="663"/>
        <v/>
      </c>
      <c r="BE1520" s="27" t="str">
        <f t="shared" si="664"/>
        <v/>
      </c>
      <c r="BF1520" s="27" t="str">
        <f t="shared" si="665"/>
        <v/>
      </c>
      <c r="BG1520" s="27" t="str">
        <f t="shared" si="666"/>
        <v/>
      </c>
      <c r="BH1520" s="27" t="str">
        <f t="shared" si="667"/>
        <v/>
      </c>
      <c r="BI1520" s="27" t="str">
        <f t="shared" si="668"/>
        <v/>
      </c>
      <c r="BJ1520" s="27" t="str">
        <f t="shared" si="669"/>
        <v>Supp or Hun</v>
      </c>
      <c r="BK1520" s="27" t="str">
        <f t="shared" si="670"/>
        <v/>
      </c>
      <c r="BL1520" s="27" t="str">
        <f t="shared" si="671"/>
        <v/>
      </c>
      <c r="BM1520" s="21" t="s">
        <v>5581</v>
      </c>
    </row>
    <row r="1521" spans="1:65" ht="15">
      <c r="A1521" s="25">
        <f>IFERROR(INDEX('Hun Demand'!W:W,MATCH(O1521,'Hun Demand'!A:A,0)),"")</f>
        <v>721</v>
      </c>
      <c r="B1521" s="25">
        <f>IFERROR(INDEX('Hun Demand'!V:V,MATCH(O1521,'Hun Demand'!A:A,0)),"")</f>
        <v>703</v>
      </c>
      <c r="C1521" s="25">
        <f>IFERROR(INDEX('Hun Demand'!U:U,MATCH(O1521,'Hun Demand'!A:A,0)),"")</f>
        <v>212</v>
      </c>
      <c r="D1521" s="25">
        <f>IFERROR(INDEX('Hun Demand'!T:T,MATCH(O1521,'Hun Demand'!A:A,0)),"")</f>
        <v>575</v>
      </c>
      <c r="E1521" s="25">
        <f>IFERROR(INDEX('Hun Demand'!S:S,MATCH(O1521,'Hun Demand'!A:A,0)),"")</f>
        <v>628</v>
      </c>
      <c r="F1521" s="25">
        <f>IFERROR(INDEX('Hun Demand'!R:R,MATCH(O1521,'Hun Demand'!A:A,0)),"")</f>
        <v>0</v>
      </c>
      <c r="G1521" s="25">
        <f>IFERROR(INDEX('Aub Demand'!W:W,MATCH(O1521,'Aub Demand'!A:A,0)),"")</f>
        <v>0</v>
      </c>
      <c r="H1521" s="25">
        <f>IFERROR(INDEX('Aub Demand'!V:V,MATCH(O1521,'Aub Demand'!A:A,0)),"")</f>
        <v>0</v>
      </c>
      <c r="I1521" s="25">
        <f>IFERROR(INDEX('Aub Demand'!U:U,MATCH(O1521,'Aub Demand'!A:A,0)),"")</f>
        <v>0</v>
      </c>
      <c r="J1521" s="25">
        <f>IFERROR(INDEX('Aub Demand'!T:T,MATCH(O1521,'Aub Demand'!A:A,0)),"")</f>
        <v>0</v>
      </c>
      <c r="K1521" s="25">
        <f>IFERROR(INDEX('Aub Demand'!S:S,MATCH(O1521,'Aub Demand'!A:A,0)),"")</f>
        <v>0</v>
      </c>
      <c r="L1521" s="25">
        <f>IFERROR(INDEX('Aub Demand'!R:R,MATCH(O1521,'Aub Demand'!A:A,0)),"")</f>
        <v>0</v>
      </c>
      <c r="O1521" s="27" t="s">
        <v>3123</v>
      </c>
      <c r="P1521" s="27" t="str">
        <f>IFERROR(INDEX('Aub Demand'!B:B,MATCH($O1521,'Aub Demand'!$A:$A,0)),"")</f>
        <v>CAFE AU LAIT</v>
      </c>
      <c r="Q1521" s="27" t="str">
        <f>IFERROR(INDEX('Aub Demand'!C:C,MATCH($O1521,'Aub Demand'!$A:$A,0)),"")</f>
        <v>INTER</v>
      </c>
      <c r="R1521" s="52">
        <f>IFERROR(IF(AR1522=AR1521,INDEX('Aub Demand'!K:K,MATCH($O1521,'Aub Demand'!$A:$A,0))-IF(AN1521="",0,AN1521)+AP1522,INDEX('Aub Demand'!K:K,MATCH($O1521,'Aub Demand'!$A:$A,0))-IF(AN1521="",0,AN1521)),"")</f>
        <v>833</v>
      </c>
      <c r="S1521" s="53" t="str">
        <f t="shared" si="644"/>
        <v>n/a</v>
      </c>
      <c r="T1521" s="52" t="str">
        <f t="shared" si="645"/>
        <v/>
      </c>
      <c r="U1521" s="52">
        <f>IFERROR(IF(AR1522=AR1521,INDEX('Aub Demand'!Q:Q,MATCH($O1521,'Aub Demand'!$A:$A,0))-IF(AN1521="",0,AN1521)+AP1522,INDEX('Aub Demand'!Q:Q,MATCH($O1521,'Aub Demand'!$A:$A,0))-IF(AN1521="",0,AN1521)),"")</f>
        <v>833</v>
      </c>
      <c r="V1521" s="53" t="str">
        <f t="shared" si="646"/>
        <v>n/a</v>
      </c>
      <c r="W1521" s="52" t="str">
        <f t="shared" si="647"/>
        <v/>
      </c>
      <c r="X1521" s="52">
        <f>IFERROR(IF(AND(AR1522=AR1521,AM1521&lt;&gt;""),INDEX('Aub Demand'!Q:Q,MATCH($O1521,'Aub Demand'!$A:$A,0))-IF(AN1521="",0,AN1521)+AP1522+AD1521+AL1521,IF(AR1522=AR1521,INDEX('Aub Demand'!Q:Q,MATCH($O1521,'Aub Demand'!$A:$A,0))-IF(AN1521="",0,AN1521)+AP1522+AD1521,IF(AM1521&lt;&gt;"",INDEX('Aub Demand'!Q:Q,MATCH($O1521,'Aub Demand'!$A:$A,0))-IF(AN1521="",0,AN1521)+AD1521+AL1521,INDEX('Aub Demand'!Q:Q,MATCH($O1521,'Aub Demand'!$A:$A,0))-IF(AN1521="",0,AN1521)+AD1521))),"")</f>
        <v>833</v>
      </c>
      <c r="Y1521" s="53" t="str">
        <f t="shared" si="648"/>
        <v>n/a</v>
      </c>
      <c r="Z1521" s="52">
        <f>IF(L1521="","",INDEX('Aub Demand'!H:H,MATCH($O1521,'Aub Demand'!$A:$A,0)))</f>
        <v>0</v>
      </c>
      <c r="AA1521" s="52" t="str">
        <f t="shared" si="649"/>
        <v>-spike-</v>
      </c>
      <c r="AB1521" s="52">
        <f>IFERROR(INDEX('Aub Demand'!L:L,MATCH($O1521,'Aub Demand'!$A:$A,0)),"")</f>
        <v>0</v>
      </c>
      <c r="AC1521" s="52">
        <f>IFERROR(IF(O1521="","",SUMIFS('CPL Mats'!F:F,'CPL Mats'!Q:Q,AR1521,'CPL Mats'!S:S,AS1521)),"")</f>
        <v>0</v>
      </c>
      <c r="AF1521" s="25">
        <f>IF(SUMIFS('Supp Consol'!S:S,'Supp Consol'!Y:Y,"Releasable",'Supp Consol'!A:A,O1521)=0,"",SUMIFS('Supp Consol'!S:S,'Supp Consol'!Y:Y,"Releasable",'Supp Consol'!A:A,O1521))</f>
        <v>662</v>
      </c>
      <c r="AG1521" s="25">
        <f>IFERROR(INDEX('Hun Demand'!Q:Q,MATCH(O1521,'Hun Demand'!A:A,0)),"")</f>
        <v>979</v>
      </c>
      <c r="AH1521" s="25">
        <f>IFERROR(INDEX('Hun Demand'!H:H,MATCH($O1521,'Hun Demand'!$A:$A,0)),"")</f>
        <v>472</v>
      </c>
      <c r="AI1521" s="25" t="str">
        <f>IF(SUMIFS('Supp Consol'!AA:AA,'Supp Consol'!Z:Z,"Expires this month",'Supp Consol'!A:A,O1521)=0,"",SUMIFS('Supp Consol'!AA:AA,'Supp Consol'!Z:Z,"Expires this month",'Supp Consol'!A:A,O1521))</f>
        <v/>
      </c>
      <c r="AJ1521" s="25" t="str">
        <f>IF(SUMIFS('Supp Consol'!AA:AA,'Supp Consol'!Z:Z,"Expired Previous Months",'Supp Consol'!A:A,O1521)=0,"",SUMIFS('Supp Consol'!AA:AA,'Supp Consol'!Z:Z,"Expired Previous Months",'Supp Consol'!A:A,O1521))</f>
        <v/>
      </c>
      <c r="AK1521" s="25" t="str">
        <f>IFERROR(INDEX('Hun Release Current'!B:B,MATCH(O1521,'Hun Release Current'!A:A,0)),"")</f>
        <v/>
      </c>
      <c r="AL1521" s="25" t="str">
        <f>IF(SUMIF('Prev Aub'!A:A,O1521,'Prev Aub'!B:B)=0,"",SUMIF('Prev Aub'!A:A,O1521,'Prev Aub'!B:B))</f>
        <v/>
      </c>
      <c r="AN1521" s="25" t="s">
        <v>3790</v>
      </c>
      <c r="AO1521" s="25" t="s">
        <v>3790</v>
      </c>
      <c r="AP1521" s="25">
        <f t="shared" si="650"/>
        <v>0</v>
      </c>
      <c r="AQ1521" s="151" t="str">
        <f>IF(SUMIFS('Supp Consol'!S:S,'Supp Consol'!A:A,O1521,'Supp Consol'!I:I,"PENDING")=0,"",SUMIFS('Supp Consol'!S:S,'Supp Consol'!A:A,O1521,'Supp Consol'!I:I,"PENDING"))</f>
        <v/>
      </c>
      <c r="AR1521" s="27" t="str">
        <f t="shared" si="651"/>
        <v>WT770</v>
      </c>
      <c r="AS1521" s="27" t="str">
        <f t="shared" si="652"/>
        <v>62</v>
      </c>
      <c r="AT1521" s="27" t="str">
        <f t="shared" si="653"/>
        <v/>
      </c>
      <c r="AU1521" s="27" t="str">
        <f t="shared" si="654"/>
        <v/>
      </c>
      <c r="AV1521" s="27" t="str">
        <f t="shared" si="655"/>
        <v/>
      </c>
      <c r="AW1521" s="27" t="str">
        <f t="shared" si="656"/>
        <v/>
      </c>
      <c r="AX1521" s="27" t="str">
        <f t="shared" si="657"/>
        <v>WT770</v>
      </c>
      <c r="AY1521" s="27" t="str">
        <f t="shared" si="658"/>
        <v>WT770</v>
      </c>
      <c r="AZ1521" s="27" t="str">
        <f t="shared" si="659"/>
        <v>Supp</v>
      </c>
      <c r="BA1521" s="27" t="str">
        <f t="shared" si="660"/>
        <v>Hun</v>
      </c>
      <c r="BB1521" s="27" t="str">
        <f t="shared" si="661"/>
        <v/>
      </c>
      <c r="BC1521" s="27" t="str">
        <f t="shared" si="662"/>
        <v/>
      </c>
      <c r="BD1521" s="27" t="str">
        <f t="shared" si="663"/>
        <v/>
      </c>
      <c r="BE1521" s="27" t="str">
        <f t="shared" si="664"/>
        <v/>
      </c>
      <c r="BF1521" s="27" t="str">
        <f t="shared" si="665"/>
        <v/>
      </c>
      <c r="BG1521" s="27" t="str">
        <f t="shared" si="666"/>
        <v/>
      </c>
      <c r="BH1521" s="27" t="str">
        <f t="shared" si="667"/>
        <v/>
      </c>
      <c r="BI1521" s="27" t="str">
        <f t="shared" si="668"/>
        <v/>
      </c>
      <c r="BJ1521" s="27" t="str">
        <f t="shared" si="669"/>
        <v>Supp or Hun</v>
      </c>
      <c r="BK1521" s="27" t="str">
        <f t="shared" si="670"/>
        <v/>
      </c>
      <c r="BL1521" s="27" t="str">
        <f t="shared" si="671"/>
        <v/>
      </c>
      <c r="BM1521" s="21" t="s">
        <v>5582</v>
      </c>
    </row>
    <row r="1522" spans="1:65" ht="15">
      <c r="A1522" s="25">
        <f>IFERROR(INDEX('Hun Demand'!W:W,MATCH(O1522,'Hun Demand'!A:A,0)),"")</f>
        <v>690</v>
      </c>
      <c r="B1522" s="25">
        <f>IFERROR(INDEX('Hun Demand'!V:V,MATCH(O1522,'Hun Demand'!A:A,0)),"")</f>
        <v>1101</v>
      </c>
      <c r="C1522" s="25">
        <f>IFERROR(INDEX('Hun Demand'!U:U,MATCH(O1522,'Hun Demand'!A:A,0)),"")</f>
        <v>157</v>
      </c>
      <c r="D1522" s="25">
        <f>IFERROR(INDEX('Hun Demand'!T:T,MATCH(O1522,'Hun Demand'!A:A,0)),"")</f>
        <v>0</v>
      </c>
      <c r="E1522" s="25">
        <f>IFERROR(INDEX('Hun Demand'!S:S,MATCH(O1522,'Hun Demand'!A:A,0)),"")</f>
        <v>0</v>
      </c>
      <c r="F1522" s="25">
        <f>IFERROR(INDEX('Hun Demand'!R:R,MATCH(O1522,'Hun Demand'!A:A,0)),"")</f>
        <v>270</v>
      </c>
      <c r="G1522" s="25">
        <f>IFERROR(INDEX('Aub Demand'!W:W,MATCH(O1522,'Aub Demand'!A:A,0)),"")</f>
        <v>148</v>
      </c>
      <c r="H1522" s="25">
        <f>IFERROR(INDEX('Aub Demand'!V:V,MATCH(O1522,'Aub Demand'!A:A,0)),"")</f>
        <v>551</v>
      </c>
      <c r="I1522" s="25">
        <f>IFERROR(INDEX('Aub Demand'!U:U,MATCH(O1522,'Aub Demand'!A:A,0)),"")</f>
        <v>60</v>
      </c>
      <c r="J1522" s="25">
        <f>IFERROR(INDEX('Aub Demand'!T:T,MATCH(O1522,'Aub Demand'!A:A,0)),"")</f>
        <v>689</v>
      </c>
      <c r="K1522" s="25">
        <f>IFERROR(INDEX('Aub Demand'!S:S,MATCH(O1522,'Aub Demand'!A:A,0)),"")</f>
        <v>0</v>
      </c>
      <c r="L1522" s="25">
        <f>IFERROR(INDEX('Aub Demand'!R:R,MATCH(O1522,'Aub Demand'!A:A,0)),"")</f>
        <v>65</v>
      </c>
      <c r="O1522" s="27" t="s">
        <v>1830</v>
      </c>
      <c r="P1522" s="27" t="str">
        <f>IFERROR(INDEX('Aub Demand'!B:B,MATCH($O1522,'Aub Demand'!$A:$A,0)),"")</f>
        <v>WEDDING CAKE</v>
      </c>
      <c r="Q1522" s="27" t="str">
        <f>IFERROR(INDEX('Aub Demand'!C:C,MATCH($O1522,'Aub Demand'!$A:$A,0)),"")</f>
        <v>AHLST</v>
      </c>
      <c r="R1522" s="52">
        <f>IFERROR(IF(AR1523=AR1522,INDEX('Aub Demand'!K:K,MATCH($O1522,'Aub Demand'!$A:$A,0))-IF(AN1522="",0,AN1522)+AP1523,INDEX('Aub Demand'!K:K,MATCH($O1522,'Aub Demand'!$A:$A,0))-IF(AN1522="",0,AN1522)),"")</f>
        <v>2224</v>
      </c>
      <c r="S1522" s="53">
        <f t="shared" si="644"/>
        <v>38.1</v>
      </c>
      <c r="T1522" s="52" t="str">
        <f t="shared" si="645"/>
        <v/>
      </c>
      <c r="U1522" s="52">
        <f>IFERROR(IF(AR1523=AR1522,INDEX('Aub Demand'!Q:Q,MATCH($O1522,'Aub Demand'!$A:$A,0))-IF(AN1522="",0,AN1522)+AP1523,INDEX('Aub Demand'!Q:Q,MATCH($O1522,'Aub Demand'!$A:$A,0))-IF(AN1522="",0,AN1522)),"")</f>
        <v>2131</v>
      </c>
      <c r="V1522" s="53">
        <f t="shared" si="646"/>
        <v>36.5</v>
      </c>
      <c r="W1522" s="52" t="str">
        <f t="shared" si="647"/>
        <v/>
      </c>
      <c r="X1522" s="52">
        <f>IFERROR(IF(AND(AR1523=AR1522,AM1522&lt;&gt;""),INDEX('Aub Demand'!Q:Q,MATCH($O1522,'Aub Demand'!$A:$A,0))-IF(AN1522="",0,AN1522)+AP1523+AD1522+AL1522,IF(AR1523=AR1522,INDEX('Aub Demand'!Q:Q,MATCH($O1522,'Aub Demand'!$A:$A,0))-IF(AN1522="",0,AN1522)+AP1523+AD1522,IF(AM1522&lt;&gt;"",INDEX('Aub Demand'!Q:Q,MATCH($O1522,'Aub Demand'!$A:$A,0))-IF(AN1522="",0,AN1522)+AD1522+AL1522,INDEX('Aub Demand'!Q:Q,MATCH($O1522,'Aub Demand'!$A:$A,0))-IF(AN1522="",0,AN1522)+AD1522))),"")</f>
        <v>2131</v>
      </c>
      <c r="Y1522" s="53">
        <f t="shared" si="648"/>
        <v>36.5</v>
      </c>
      <c r="Z1522" s="52">
        <f>IF(L1522="","",INDEX('Aub Demand'!H:H,MATCH($O1522,'Aub Demand'!$A:$A,0)))</f>
        <v>250</v>
      </c>
      <c r="AA1522" s="52">
        <f t="shared" si="649"/>
        <v>377</v>
      </c>
      <c r="AB1522" s="52">
        <f>IFERROR(INDEX('Aub Demand'!L:L,MATCH($O1522,'Aub Demand'!$A:$A,0)),"")</f>
        <v>71</v>
      </c>
      <c r="AC1522" s="52">
        <f>IFERROR(IF(O1522="","",SUMIFS('CPL Mats'!F:F,'CPL Mats'!Q:Q,AR1522,'CPL Mats'!S:S,AS1522)),"")</f>
        <v>0</v>
      </c>
      <c r="AF1522" s="25" t="str">
        <f>IF(SUMIFS('Supp Consol'!S:S,'Supp Consol'!Y:Y,"Releasable",'Supp Consol'!A:A,O1522)=0,"",SUMIFS('Supp Consol'!S:S,'Supp Consol'!Y:Y,"Releasable",'Supp Consol'!A:A,O1522))</f>
        <v/>
      </c>
      <c r="AG1522" s="25">
        <f>IFERROR(INDEX('Hun Demand'!Q:Q,MATCH(O1522,'Hun Demand'!A:A,0)),"")</f>
        <v>-94</v>
      </c>
      <c r="AH1522" s="25">
        <f>IFERROR(INDEX('Hun Demand'!H:H,MATCH($O1522,'Hun Demand'!$A:$A,0)),"")</f>
        <v>52</v>
      </c>
      <c r="AI1522" s="25" t="str">
        <f>IF(SUMIFS('Supp Consol'!AA:AA,'Supp Consol'!Z:Z,"Expires this month",'Supp Consol'!A:A,O1522)=0,"",SUMIFS('Supp Consol'!AA:AA,'Supp Consol'!Z:Z,"Expires this month",'Supp Consol'!A:A,O1522))</f>
        <v/>
      </c>
      <c r="AJ1522" s="25" t="str">
        <f>IF(SUMIFS('Supp Consol'!AA:AA,'Supp Consol'!Z:Z,"Expired Previous Months",'Supp Consol'!A:A,O1522)=0,"",SUMIFS('Supp Consol'!AA:AA,'Supp Consol'!Z:Z,"Expired Previous Months",'Supp Consol'!A:A,O1522))</f>
        <v/>
      </c>
      <c r="AK1522" s="25" t="str">
        <f>IFERROR(INDEX('Hun Release Current'!B:B,MATCH(O1522,'Hun Release Current'!A:A,0)),"")</f>
        <v/>
      </c>
      <c r="AL1522" s="25" t="str">
        <f>IF(SUMIF('Prev Aub'!A:A,O1522,'Prev Aub'!B:B)=0,"",SUMIF('Prev Aub'!A:A,O1522,'Prev Aub'!B:B))</f>
        <v/>
      </c>
      <c r="AN1522" s="25" t="s">
        <v>3790</v>
      </c>
      <c r="AO1522" s="25" t="s">
        <v>3790</v>
      </c>
      <c r="AP1522" s="25">
        <f t="shared" si="650"/>
        <v>0</v>
      </c>
      <c r="AQ1522" s="151" t="str">
        <f>IF(SUMIFS('Supp Consol'!S:S,'Supp Consol'!A:A,O1522,'Supp Consol'!I:I,"PENDING")=0,"",SUMIFS('Supp Consol'!S:S,'Supp Consol'!A:A,O1522,'Supp Consol'!I:I,"PENDING"))</f>
        <v/>
      </c>
      <c r="AR1522" s="27" t="str">
        <f t="shared" si="651"/>
        <v>WT790</v>
      </c>
      <c r="AS1522" s="27" t="str">
        <f t="shared" si="652"/>
        <v>50</v>
      </c>
      <c r="AT1522" s="27" t="str">
        <f t="shared" si="653"/>
        <v/>
      </c>
      <c r="AU1522" s="27" t="str">
        <f t="shared" si="654"/>
        <v/>
      </c>
      <c r="AV1522" s="27" t="str">
        <f t="shared" si="655"/>
        <v/>
      </c>
      <c r="AW1522" s="27" t="str">
        <f t="shared" si="656"/>
        <v/>
      </c>
      <c r="AX1522" s="27" t="str">
        <f t="shared" si="657"/>
        <v/>
      </c>
      <c r="AY1522" s="27" t="str">
        <f t="shared" si="658"/>
        <v/>
      </c>
      <c r="AZ1522" s="27" t="str">
        <f t="shared" si="659"/>
        <v>Supp</v>
      </c>
      <c r="BA1522" s="27" t="str">
        <f t="shared" si="660"/>
        <v>Hun</v>
      </c>
      <c r="BB1522" s="27" t="str">
        <f t="shared" si="661"/>
        <v/>
      </c>
      <c r="BC1522" s="27" t="str">
        <f t="shared" si="662"/>
        <v/>
      </c>
      <c r="BD1522" s="27" t="str">
        <f t="shared" si="663"/>
        <v/>
      </c>
      <c r="BE1522" s="27" t="str">
        <f t="shared" si="664"/>
        <v>Exp</v>
      </c>
      <c r="BF1522" s="27" t="str">
        <f t="shared" si="665"/>
        <v/>
      </c>
      <c r="BG1522" s="27" t="str">
        <f t="shared" si="666"/>
        <v>S+NorE</v>
      </c>
      <c r="BH1522" s="27" t="str">
        <f t="shared" si="667"/>
        <v/>
      </c>
      <c r="BI1522" s="27" t="str">
        <f t="shared" si="668"/>
        <v/>
      </c>
      <c r="BJ1522" s="27" t="str">
        <f t="shared" si="669"/>
        <v>Supp or Hun</v>
      </c>
      <c r="BK1522" s="27" t="str">
        <f t="shared" si="670"/>
        <v/>
      </c>
      <c r="BL1522" s="27" t="str">
        <f t="shared" si="671"/>
        <v>SorHandNandE</v>
      </c>
      <c r="BM1522" s="21" t="s">
        <v>5581</v>
      </c>
    </row>
    <row r="1523" spans="1:65" ht="15">
      <c r="A1523" s="25">
        <f>IFERROR(INDEX('Hun Demand'!W:W,MATCH(O1523,'Hun Demand'!A:A,0)),"")</f>
        <v>584</v>
      </c>
      <c r="B1523" s="25">
        <f>IFERROR(INDEX('Hun Demand'!V:V,MATCH(O1523,'Hun Demand'!A:A,0)),"")</f>
        <v>336</v>
      </c>
      <c r="C1523" s="25">
        <f>IFERROR(INDEX('Hun Demand'!U:U,MATCH(O1523,'Hun Demand'!A:A,0)),"")</f>
        <v>0</v>
      </c>
      <c r="D1523" s="25">
        <f>IFERROR(INDEX('Hun Demand'!T:T,MATCH(O1523,'Hun Demand'!A:A,0)),"")</f>
        <v>522</v>
      </c>
      <c r="E1523" s="25">
        <f>IFERROR(INDEX('Hun Demand'!S:S,MATCH(O1523,'Hun Demand'!A:A,0)),"")</f>
        <v>236</v>
      </c>
      <c r="F1523" s="25">
        <f>IFERROR(INDEX('Hun Demand'!R:R,MATCH(O1523,'Hun Demand'!A:A,0)),"")</f>
        <v>0</v>
      </c>
      <c r="G1523" s="25">
        <f>IFERROR(INDEX('Aub Demand'!W:W,MATCH(O1523,'Aub Demand'!A:A,0)),"")</f>
        <v>445</v>
      </c>
      <c r="H1523" s="25">
        <f>IFERROR(INDEX('Aub Demand'!V:V,MATCH(O1523,'Aub Demand'!A:A,0)),"")</f>
        <v>76</v>
      </c>
      <c r="I1523" s="25">
        <f>IFERROR(INDEX('Aub Demand'!U:U,MATCH(O1523,'Aub Demand'!A:A,0)),"")</f>
        <v>40</v>
      </c>
      <c r="J1523" s="25">
        <f>IFERROR(INDEX('Aub Demand'!T:T,MATCH(O1523,'Aub Demand'!A:A,0)),"")</f>
        <v>25</v>
      </c>
      <c r="K1523" s="25">
        <f>IFERROR(INDEX('Aub Demand'!S:S,MATCH(O1523,'Aub Demand'!A:A,0)),"")</f>
        <v>35</v>
      </c>
      <c r="L1523" s="25">
        <f>IFERROR(INDEX('Aub Demand'!R:R,MATCH(O1523,'Aub Demand'!A:A,0)),"")</f>
        <v>0</v>
      </c>
      <c r="O1523" s="27" t="s">
        <v>1832</v>
      </c>
      <c r="P1523" s="27" t="str">
        <f>IFERROR(INDEX('Aub Demand'!B:B,MATCH($O1523,'Aub Demand'!$A:$A,0)),"")</f>
        <v>WEDDING CAKE</v>
      </c>
      <c r="Q1523" s="27" t="str">
        <f>IFERROR(INDEX('Aub Demand'!C:C,MATCH($O1523,'Aub Demand'!$A:$A,0)),"")</f>
        <v>AHLST</v>
      </c>
      <c r="R1523" s="52">
        <f>IFERROR(IF(AR1524=AR1523,INDEX('Aub Demand'!K:K,MATCH($O1523,'Aub Demand'!$A:$A,0))-IF(AN1523="",0,AN1523)+AP1524,INDEX('Aub Demand'!K:K,MATCH($O1523,'Aub Demand'!$A:$A,0))-IF(AN1523="",0,AN1523)),"")</f>
        <v>683</v>
      </c>
      <c r="S1523" s="53">
        <f t="shared" si="644"/>
        <v>88.7</v>
      </c>
      <c r="T1523" s="52" t="str">
        <f t="shared" si="645"/>
        <v/>
      </c>
      <c r="U1523" s="52">
        <f>IFERROR(IF(AR1524=AR1523,INDEX('Aub Demand'!Q:Q,MATCH($O1523,'Aub Demand'!$A:$A,0))-IF(AN1523="",0,AN1523)+AP1524,INDEX('Aub Demand'!Q:Q,MATCH($O1523,'Aub Demand'!$A:$A,0))-IF(AN1523="",0,AN1523)),"")</f>
        <v>683</v>
      </c>
      <c r="V1523" s="53">
        <f t="shared" si="646"/>
        <v>88.7</v>
      </c>
      <c r="W1523" s="52" t="str">
        <f t="shared" si="647"/>
        <v/>
      </c>
      <c r="X1523" s="52">
        <f>IFERROR(IF(AND(AR1524=AR1523,AM1523&lt;&gt;""),INDEX('Aub Demand'!Q:Q,MATCH($O1523,'Aub Demand'!$A:$A,0))-IF(AN1523="",0,AN1523)+AP1524+AD1523+AL1523,IF(AR1524=AR1523,INDEX('Aub Demand'!Q:Q,MATCH($O1523,'Aub Demand'!$A:$A,0))-IF(AN1523="",0,AN1523)+AP1524+AD1523,IF(AM1523&lt;&gt;"",INDEX('Aub Demand'!Q:Q,MATCH($O1523,'Aub Demand'!$A:$A,0))-IF(AN1523="",0,AN1523)+AD1523+AL1523,INDEX('Aub Demand'!Q:Q,MATCH($O1523,'Aub Demand'!$A:$A,0))-IF(AN1523="",0,AN1523)+AD1523))),"")</f>
        <v>683</v>
      </c>
      <c r="Y1523" s="53">
        <f t="shared" si="648"/>
        <v>88.7</v>
      </c>
      <c r="Z1523" s="52">
        <f>IF(L1523="","",INDEX('Aub Demand'!H:H,MATCH($O1523,'Aub Demand'!$A:$A,0)))</f>
        <v>33</v>
      </c>
      <c r="AA1523" s="52">
        <f t="shared" si="649"/>
        <v>37.5</v>
      </c>
      <c r="AB1523" s="52">
        <f>IFERROR(INDEX('Aub Demand'!L:L,MATCH($O1523,'Aub Demand'!$A:$A,0)),"")</f>
        <v>5</v>
      </c>
      <c r="AC1523" s="52">
        <f>IFERROR(IF(O1523="","",SUMIFS('CPL Mats'!F:F,'CPL Mats'!Q:Q,AR1523,'CPL Mats'!S:S,AS1523)),"")</f>
        <v>0</v>
      </c>
      <c r="AF1523" s="25">
        <f>IF(SUMIFS('Supp Consol'!S:S,'Supp Consol'!Y:Y,"Releasable",'Supp Consol'!A:A,O1523)=0,"",SUMIFS('Supp Consol'!S:S,'Supp Consol'!Y:Y,"Releasable",'Supp Consol'!A:A,O1523))</f>
        <v>5029</v>
      </c>
      <c r="AG1523" s="25">
        <f>IFERROR(INDEX('Hun Demand'!Q:Q,MATCH(O1523,'Hun Demand'!A:A,0)),"")</f>
        <v>818</v>
      </c>
      <c r="AH1523" s="25">
        <f>IFERROR(INDEX('Hun Demand'!H:H,MATCH($O1523,'Hun Demand'!$A:$A,0)),"")</f>
        <v>253</v>
      </c>
      <c r="AI1523" s="25">
        <f>IF(SUMIFS('Supp Consol'!AA:AA,'Supp Consol'!Z:Z,"Expires this month",'Supp Consol'!A:A,O1523)=0,"",SUMIFS('Supp Consol'!AA:AA,'Supp Consol'!Z:Z,"Expires this month",'Supp Consol'!A:A,O1523))</f>
        <v>2121</v>
      </c>
      <c r="AJ1523" s="25" t="str">
        <f>IF(SUMIFS('Supp Consol'!AA:AA,'Supp Consol'!Z:Z,"Expired Previous Months",'Supp Consol'!A:A,O1523)=0,"",SUMIFS('Supp Consol'!AA:AA,'Supp Consol'!Z:Z,"Expired Previous Months",'Supp Consol'!A:A,O1523))</f>
        <v/>
      </c>
      <c r="AK1523" s="25" t="str">
        <f>IFERROR(INDEX('Hun Release Current'!B:B,MATCH(O1523,'Hun Release Current'!A:A,0)),"")</f>
        <v/>
      </c>
      <c r="AL1523" s="25" t="str">
        <f>IF(SUMIF('Prev Aub'!A:A,O1523,'Prev Aub'!B:B)=0,"",SUMIF('Prev Aub'!A:A,O1523,'Prev Aub'!B:B))</f>
        <v/>
      </c>
      <c r="AN1523" s="25" t="s">
        <v>3790</v>
      </c>
      <c r="AO1523" s="25" t="s">
        <v>3790</v>
      </c>
      <c r="AP1523" s="25">
        <f t="shared" si="650"/>
        <v>0</v>
      </c>
      <c r="AQ1523" s="151" t="str">
        <f>IF(SUMIFS('Supp Consol'!S:S,'Supp Consol'!A:A,O1523,'Supp Consol'!I:I,"PENDING")=0,"",SUMIFS('Supp Consol'!S:S,'Supp Consol'!A:A,O1523,'Supp Consol'!I:I,"PENDING"))</f>
        <v/>
      </c>
      <c r="AR1523" s="27" t="str">
        <f t="shared" si="651"/>
        <v>WT790</v>
      </c>
      <c r="AS1523" s="27" t="str">
        <f t="shared" si="652"/>
        <v>62</v>
      </c>
      <c r="AT1523" s="27" t="str">
        <f t="shared" si="653"/>
        <v/>
      </c>
      <c r="AU1523" s="27" t="str">
        <f t="shared" si="654"/>
        <v/>
      </c>
      <c r="AV1523" s="27" t="str">
        <f t="shared" si="655"/>
        <v/>
      </c>
      <c r="AW1523" s="27" t="str">
        <f t="shared" si="656"/>
        <v>WT790</v>
      </c>
      <c r="AX1523" s="27" t="str">
        <f t="shared" si="657"/>
        <v>WT790</v>
      </c>
      <c r="AY1523" s="27" t="str">
        <f t="shared" si="658"/>
        <v>WT790</v>
      </c>
      <c r="AZ1523" s="27" t="str">
        <f t="shared" si="659"/>
        <v>Supp</v>
      </c>
      <c r="BA1523" s="27" t="str">
        <f t="shared" si="660"/>
        <v>Hun</v>
      </c>
      <c r="BB1523" s="27" t="str">
        <f t="shared" si="661"/>
        <v/>
      </c>
      <c r="BC1523" s="27" t="str">
        <f t="shared" si="662"/>
        <v/>
      </c>
      <c r="BD1523" s="27" t="str">
        <f t="shared" si="663"/>
        <v/>
      </c>
      <c r="BE1523" s="27" t="str">
        <f t="shared" si="664"/>
        <v>Exp</v>
      </c>
      <c r="BF1523" s="27" t="str">
        <f t="shared" si="665"/>
        <v/>
      </c>
      <c r="BG1523" s="27" t="str">
        <f t="shared" si="666"/>
        <v>S+NorE</v>
      </c>
      <c r="BH1523" s="27" t="str">
        <f t="shared" si="667"/>
        <v/>
      </c>
      <c r="BI1523" s="27" t="str">
        <f t="shared" si="668"/>
        <v/>
      </c>
      <c r="BJ1523" s="27" t="str">
        <f t="shared" si="669"/>
        <v>Supp or Hun</v>
      </c>
      <c r="BK1523" s="27" t="str">
        <f t="shared" si="670"/>
        <v/>
      </c>
      <c r="BL1523" s="27" t="str">
        <f t="shared" si="671"/>
        <v>SorHandNandE</v>
      </c>
      <c r="BM1523" s="21" t="s">
        <v>5581</v>
      </c>
    </row>
    <row r="1524" spans="1:65" ht="15">
      <c r="A1524" s="25">
        <f>IFERROR(INDEX('Hun Demand'!W:W,MATCH(O1524,'Hun Demand'!A:A,0)),"")</f>
        <v>0</v>
      </c>
      <c r="B1524" s="25">
        <f>IFERROR(INDEX('Hun Demand'!V:V,MATCH(O1524,'Hun Demand'!A:A,0)),"")</f>
        <v>0</v>
      </c>
      <c r="C1524" s="25">
        <f>IFERROR(INDEX('Hun Demand'!U:U,MATCH(O1524,'Hun Demand'!A:A,0)),"")</f>
        <v>160</v>
      </c>
      <c r="D1524" s="25">
        <f>IFERROR(INDEX('Hun Demand'!T:T,MATCH(O1524,'Hun Demand'!A:A,0)),"")</f>
        <v>0</v>
      </c>
      <c r="E1524" s="25">
        <f>IFERROR(INDEX('Hun Demand'!S:S,MATCH(O1524,'Hun Demand'!A:A,0)),"")</f>
        <v>0</v>
      </c>
      <c r="F1524" s="25">
        <f>IFERROR(INDEX('Hun Demand'!R:R,MATCH(O1524,'Hun Demand'!A:A,0)),"")</f>
        <v>0</v>
      </c>
      <c r="G1524" s="25">
        <f>IFERROR(INDEX('Aub Demand'!W:W,MATCH(O1524,'Aub Demand'!A:A,0)),"")</f>
        <v>0</v>
      </c>
      <c r="H1524" s="25">
        <f>IFERROR(INDEX('Aub Demand'!V:V,MATCH(O1524,'Aub Demand'!A:A,0)),"")</f>
        <v>0</v>
      </c>
      <c r="I1524" s="25">
        <f>IFERROR(INDEX('Aub Demand'!U:U,MATCH(O1524,'Aub Demand'!A:A,0)),"")</f>
        <v>0</v>
      </c>
      <c r="J1524" s="25">
        <f>IFERROR(INDEX('Aub Demand'!T:T,MATCH(O1524,'Aub Demand'!A:A,0)),"")</f>
        <v>0</v>
      </c>
      <c r="K1524" s="25">
        <f>IFERROR(INDEX('Aub Demand'!S:S,MATCH(O1524,'Aub Demand'!A:A,0)),"")</f>
        <v>0</v>
      </c>
      <c r="L1524" s="25">
        <f>IFERROR(INDEX('Aub Demand'!R:R,MATCH(O1524,'Aub Demand'!A:A,0)),"")</f>
        <v>0</v>
      </c>
      <c r="O1524" s="27" t="s">
        <v>1833</v>
      </c>
      <c r="P1524" s="27" t="str">
        <f>IFERROR(INDEX('Aub Demand'!B:B,MATCH($O1524,'Aub Demand'!$A:$A,0)),"")</f>
        <v>AUBURN TEAK</v>
      </c>
      <c r="Q1524" s="27" t="str">
        <f>IFERROR(INDEX('Aub Demand'!C:C,MATCH($O1524,'Aub Demand'!$A:$A,0)),"")</f>
        <v>TOPPA</v>
      </c>
      <c r="R1524" s="52">
        <f>IFERROR(IF(AR1525=AR1524,INDEX('Aub Demand'!K:K,MATCH($O1524,'Aub Demand'!$A:$A,0))-IF(AN1524="",0,AN1524)+AP1525,INDEX('Aub Demand'!K:K,MATCH($O1524,'Aub Demand'!$A:$A,0))-IF(AN1524="",0,AN1524)),"")</f>
        <v>2945</v>
      </c>
      <c r="S1524" s="53" t="str">
        <f t="shared" si="644"/>
        <v>n/a</v>
      </c>
      <c r="T1524" s="52" t="str">
        <f t="shared" si="645"/>
        <v/>
      </c>
      <c r="U1524" s="52">
        <f>IFERROR(IF(AR1525=AR1524,INDEX('Aub Demand'!Q:Q,MATCH($O1524,'Aub Demand'!$A:$A,0))-IF(AN1524="",0,AN1524)+AP1525,INDEX('Aub Demand'!Q:Q,MATCH($O1524,'Aub Demand'!$A:$A,0))-IF(AN1524="",0,AN1524)),"")</f>
        <v>2945</v>
      </c>
      <c r="V1524" s="53" t="str">
        <f t="shared" si="646"/>
        <v>n/a</v>
      </c>
      <c r="W1524" s="52" t="str">
        <f t="shared" si="647"/>
        <v/>
      </c>
      <c r="X1524" s="52">
        <f>IFERROR(IF(AND(AR1525=AR1524,AM1524&lt;&gt;""),INDEX('Aub Demand'!Q:Q,MATCH($O1524,'Aub Demand'!$A:$A,0))-IF(AN1524="",0,AN1524)+AP1525+AD1524+AL1524,IF(AR1525=AR1524,INDEX('Aub Demand'!Q:Q,MATCH($O1524,'Aub Demand'!$A:$A,0))-IF(AN1524="",0,AN1524)+AP1525+AD1524,IF(AM1524&lt;&gt;"",INDEX('Aub Demand'!Q:Q,MATCH($O1524,'Aub Demand'!$A:$A,0))-IF(AN1524="",0,AN1524)+AD1524+AL1524,INDEX('Aub Demand'!Q:Q,MATCH($O1524,'Aub Demand'!$A:$A,0))-IF(AN1524="",0,AN1524)+AD1524))),"")</f>
        <v>2945</v>
      </c>
      <c r="Y1524" s="53" t="str">
        <f t="shared" si="648"/>
        <v>n/a</v>
      </c>
      <c r="Z1524" s="52">
        <f>IF(L1524="","",INDEX('Aub Demand'!H:H,MATCH($O1524,'Aub Demand'!$A:$A,0)))</f>
        <v>0</v>
      </c>
      <c r="AA1524" s="52" t="str">
        <f t="shared" si="649"/>
        <v>-spike-</v>
      </c>
      <c r="AB1524" s="52">
        <f>IFERROR(INDEX('Aub Demand'!L:L,MATCH($O1524,'Aub Demand'!$A:$A,0)),"")</f>
        <v>0</v>
      </c>
      <c r="AC1524" s="52">
        <f>IFERROR(IF(O1524="","",SUMIFS('CPL Mats'!F:F,'CPL Mats'!Q:Q,AR1524,'CPL Mats'!S:S,AS1524)),"")</f>
        <v>0</v>
      </c>
      <c r="AF1524" s="25" t="str">
        <f>IF(SUMIFS('Supp Consol'!S:S,'Supp Consol'!Y:Y,"Releasable",'Supp Consol'!A:A,O1524)=0,"",SUMIFS('Supp Consol'!S:S,'Supp Consol'!Y:Y,"Releasable",'Supp Consol'!A:A,O1524))</f>
        <v/>
      </c>
      <c r="AG1524" s="25">
        <f>IFERROR(INDEX('Hun Demand'!Q:Q,MATCH(O1524,'Hun Demand'!A:A,0)),"")</f>
        <v>511</v>
      </c>
      <c r="AH1524" s="25">
        <f>IFERROR(INDEX('Hun Demand'!H:H,MATCH($O1524,'Hun Demand'!$A:$A,0)),"")</f>
        <v>53</v>
      </c>
      <c r="AI1524" s="25" t="str">
        <f>IF(SUMIFS('Supp Consol'!AA:AA,'Supp Consol'!Z:Z,"Expires this month",'Supp Consol'!A:A,O1524)=0,"",SUMIFS('Supp Consol'!AA:AA,'Supp Consol'!Z:Z,"Expires this month",'Supp Consol'!A:A,O1524))</f>
        <v/>
      </c>
      <c r="AJ1524" s="25" t="str">
        <f>IF(SUMIFS('Supp Consol'!AA:AA,'Supp Consol'!Z:Z,"Expired Previous Months",'Supp Consol'!A:A,O1524)=0,"",SUMIFS('Supp Consol'!AA:AA,'Supp Consol'!Z:Z,"Expired Previous Months",'Supp Consol'!A:A,O1524))</f>
        <v/>
      </c>
      <c r="AK1524" s="25" t="str">
        <f>IFERROR(INDEX('Hun Release Current'!B:B,MATCH(O1524,'Hun Release Current'!A:A,0)),"")</f>
        <v/>
      </c>
      <c r="AL1524" s="25" t="str">
        <f>IF(SUMIF('Prev Aub'!A:A,O1524,'Prev Aub'!B:B)=0,"",SUMIF('Prev Aub'!A:A,O1524,'Prev Aub'!B:B))</f>
        <v/>
      </c>
      <c r="AN1524" s="25" t="s">
        <v>3790</v>
      </c>
      <c r="AO1524" s="25" t="s">
        <v>3790</v>
      </c>
      <c r="AP1524" s="25">
        <f t="shared" si="650"/>
        <v>0</v>
      </c>
      <c r="AQ1524" s="151" t="str">
        <f>IF(SUMIFS('Supp Consol'!S:S,'Supp Consol'!A:A,O1524,'Supp Consol'!I:I,"PENDING")=0,"",SUMIFS('Supp Consol'!S:S,'Supp Consol'!A:A,O1524,'Supp Consol'!I:I,"PENDING"))</f>
        <v/>
      </c>
      <c r="AR1524" s="27" t="str">
        <f t="shared" si="651"/>
        <v>WT840</v>
      </c>
      <c r="AS1524" s="27" t="str">
        <f t="shared" si="652"/>
        <v>62</v>
      </c>
      <c r="AT1524" s="27" t="str">
        <f t="shared" si="653"/>
        <v/>
      </c>
      <c r="AU1524" s="27" t="str">
        <f t="shared" si="654"/>
        <v/>
      </c>
      <c r="AV1524" s="27" t="str">
        <f t="shared" si="655"/>
        <v/>
      </c>
      <c r="AW1524" s="27" t="str">
        <f t="shared" si="656"/>
        <v/>
      </c>
      <c r="AX1524" s="27" t="str">
        <f t="shared" si="657"/>
        <v/>
      </c>
      <c r="AY1524" s="27" t="str">
        <f t="shared" si="658"/>
        <v>WT840</v>
      </c>
      <c r="AZ1524" s="27" t="str">
        <f t="shared" si="659"/>
        <v/>
      </c>
      <c r="BA1524" s="27" t="str">
        <f t="shared" si="660"/>
        <v>Hun</v>
      </c>
      <c r="BB1524" s="27" t="str">
        <f t="shared" si="661"/>
        <v/>
      </c>
      <c r="BC1524" s="27" t="str">
        <f t="shared" si="662"/>
        <v/>
      </c>
      <c r="BD1524" s="27" t="str">
        <f t="shared" si="663"/>
        <v/>
      </c>
      <c r="BE1524" s="27" t="str">
        <f t="shared" si="664"/>
        <v/>
      </c>
      <c r="BF1524" s="27" t="str">
        <f t="shared" si="665"/>
        <v/>
      </c>
      <c r="BG1524" s="27" t="str">
        <f t="shared" si="666"/>
        <v/>
      </c>
      <c r="BH1524" s="27" t="str">
        <f t="shared" si="667"/>
        <v/>
      </c>
      <c r="BI1524" s="27" t="str">
        <f t="shared" si="668"/>
        <v/>
      </c>
      <c r="BJ1524" s="27" t="str">
        <f t="shared" si="669"/>
        <v>Supp or Hun</v>
      </c>
      <c r="BK1524" s="27" t="str">
        <f t="shared" si="670"/>
        <v/>
      </c>
      <c r="BL1524" s="27" t="str">
        <f t="shared" si="671"/>
        <v/>
      </c>
      <c r="BM1524" s="21" t="s">
        <v>5581</v>
      </c>
    </row>
    <row r="1525" spans="1:65" ht="15">
      <c r="A1525" s="25">
        <f>IFERROR(INDEX('Hun Demand'!W:W,MATCH(O1525,'Hun Demand'!A:A,0)),"")</f>
        <v>1500</v>
      </c>
      <c r="B1525" s="25">
        <f>IFERROR(INDEX('Hun Demand'!V:V,MATCH(O1525,'Hun Demand'!A:A,0)),"")</f>
        <v>4502</v>
      </c>
      <c r="C1525" s="25">
        <f>IFERROR(INDEX('Hun Demand'!U:U,MATCH(O1525,'Hun Demand'!A:A,0)),"")</f>
        <v>0</v>
      </c>
      <c r="D1525" s="25">
        <f>IFERROR(INDEX('Hun Demand'!T:T,MATCH(O1525,'Hun Demand'!A:A,0)),"")</f>
        <v>0</v>
      </c>
      <c r="E1525" s="25">
        <f>IFERROR(INDEX('Hun Demand'!S:S,MATCH(O1525,'Hun Demand'!A:A,0)),"")</f>
        <v>281</v>
      </c>
      <c r="F1525" s="25">
        <f>IFERROR(INDEX('Hun Demand'!R:R,MATCH(O1525,'Hun Demand'!A:A,0)),"")</f>
        <v>0</v>
      </c>
      <c r="G1525" s="25">
        <f>IFERROR(INDEX('Aub Demand'!W:W,MATCH(O1525,'Aub Demand'!A:A,0)),"")</f>
        <v>64</v>
      </c>
      <c r="H1525" s="25">
        <f>IFERROR(INDEX('Aub Demand'!V:V,MATCH(O1525,'Aub Demand'!A:A,0)),"")</f>
        <v>108</v>
      </c>
      <c r="I1525" s="25">
        <f>IFERROR(INDEX('Aub Demand'!U:U,MATCH(O1525,'Aub Demand'!A:A,0)),"")</f>
        <v>287</v>
      </c>
      <c r="J1525" s="25">
        <f>IFERROR(INDEX('Aub Demand'!T:T,MATCH(O1525,'Aub Demand'!A:A,0)),"")</f>
        <v>0</v>
      </c>
      <c r="K1525" s="25">
        <f>IFERROR(INDEX('Aub Demand'!S:S,MATCH(O1525,'Aub Demand'!A:A,0)),"")</f>
        <v>321</v>
      </c>
      <c r="L1525" s="25">
        <f>IFERROR(INDEX('Aub Demand'!R:R,MATCH(O1525,'Aub Demand'!A:A,0)),"")</f>
        <v>56</v>
      </c>
      <c r="O1525" s="27" t="s">
        <v>1836</v>
      </c>
      <c r="P1525" s="27" t="str">
        <f>IFERROR(INDEX('Aub Demand'!B:B,MATCH($O1525,'Aub Demand'!$A:$A,0)),"")</f>
        <v>PEACH COBBLER</v>
      </c>
      <c r="Q1525" s="27" t="str">
        <f>IFERROR(INDEX('Aub Demand'!C:C,MATCH($O1525,'Aub Demand'!$A:$A,0)),"")</f>
        <v>AHLST</v>
      </c>
      <c r="R1525" s="52">
        <f>IFERROR(IF(AR1526=AR1525,INDEX('Aub Demand'!K:K,MATCH($O1525,'Aub Demand'!$A:$A,0))-IF(AN1525="",0,AN1525)+AP1526,INDEX('Aub Demand'!K:K,MATCH($O1525,'Aub Demand'!$A:$A,0))-IF(AN1525="",0,AN1525)),"")</f>
        <v>0</v>
      </c>
      <c r="S1525" s="53">
        <f t="shared" si="644"/>
        <v>0</v>
      </c>
      <c r="T1525" s="52">
        <f t="shared" si="645"/>
        <v>228</v>
      </c>
      <c r="U1525" s="52">
        <f>IFERROR(IF(AR1526=AR1525,INDEX('Aub Demand'!Q:Q,MATCH($O1525,'Aub Demand'!$A:$A,0))-IF(AN1525="",0,AN1525)+AP1526,INDEX('Aub Demand'!Q:Q,MATCH($O1525,'Aub Demand'!$A:$A,0))-IF(AN1525="",0,AN1525)),"")</f>
        <v>-52</v>
      </c>
      <c r="V1525" s="53">
        <f t="shared" si="646"/>
        <v>-1.1000000000000001</v>
      </c>
      <c r="W1525" s="52">
        <f t="shared" si="647"/>
        <v>311.59999999999997</v>
      </c>
      <c r="X1525" s="52">
        <f>IFERROR(IF(AND(AR1526=AR1525,AM1525&lt;&gt;""),INDEX('Aub Demand'!Q:Q,MATCH($O1525,'Aub Demand'!$A:$A,0))-IF(AN1525="",0,AN1525)+AP1526+AD1525+AL1525,IF(AR1526=AR1525,INDEX('Aub Demand'!Q:Q,MATCH($O1525,'Aub Demand'!$A:$A,0))-IF(AN1525="",0,AN1525)+AP1526+AD1525,IF(AM1525&lt;&gt;"",INDEX('Aub Demand'!Q:Q,MATCH($O1525,'Aub Demand'!$A:$A,0))-IF(AN1525="",0,AN1525)+AD1525+AL1525,INDEX('Aub Demand'!Q:Q,MATCH($O1525,'Aub Demand'!$A:$A,0))-IF(AN1525="",0,AN1525)+AD1525))),"")</f>
        <v>-52</v>
      </c>
      <c r="Y1525" s="53">
        <f t="shared" si="648"/>
        <v>-1.1000000000000001</v>
      </c>
      <c r="Z1525" s="52">
        <f>IF(L1525="","",INDEX('Aub Demand'!H:H,MATCH($O1525,'Aub Demand'!$A:$A,0)))</f>
        <v>203</v>
      </c>
      <c r="AA1525" s="52">
        <f t="shared" si="649"/>
        <v>304</v>
      </c>
      <c r="AB1525" s="52">
        <f>IFERROR(INDEX('Aub Demand'!L:L,MATCH($O1525,'Aub Demand'!$A:$A,0)),"")</f>
        <v>493</v>
      </c>
      <c r="AC1525" s="52">
        <f>IFERROR(IF(O1525="","",SUMIFS('CPL Mats'!F:F,'CPL Mats'!Q:Q,AR1525,'CPL Mats'!S:S,AS1525)),"")</f>
        <v>6024.99</v>
      </c>
      <c r="AF1525" s="25" t="str">
        <f>IF(SUMIFS('Supp Consol'!S:S,'Supp Consol'!Y:Y,"Releasable",'Supp Consol'!A:A,O1525)=0,"",SUMIFS('Supp Consol'!S:S,'Supp Consol'!Y:Y,"Releasable",'Supp Consol'!A:A,O1525))</f>
        <v/>
      </c>
      <c r="AG1525" s="25">
        <f>IFERROR(INDEX('Hun Demand'!Q:Q,MATCH(O1525,'Hun Demand'!A:A,0)),"")</f>
        <v>-147</v>
      </c>
      <c r="AH1525" s="25">
        <f>IFERROR(INDEX('Hun Demand'!H:H,MATCH($O1525,'Hun Demand'!$A:$A,0)),"")</f>
        <v>94</v>
      </c>
      <c r="AI1525" s="25" t="str">
        <f>IF(SUMIFS('Supp Consol'!AA:AA,'Supp Consol'!Z:Z,"Expires this month",'Supp Consol'!A:A,O1525)=0,"",SUMIFS('Supp Consol'!AA:AA,'Supp Consol'!Z:Z,"Expires this month",'Supp Consol'!A:A,O1525))</f>
        <v/>
      </c>
      <c r="AJ1525" s="25" t="str">
        <f>IF(SUMIFS('Supp Consol'!AA:AA,'Supp Consol'!Z:Z,"Expired Previous Months",'Supp Consol'!A:A,O1525)=0,"",SUMIFS('Supp Consol'!AA:AA,'Supp Consol'!Z:Z,"Expired Previous Months",'Supp Consol'!A:A,O1525))</f>
        <v/>
      </c>
      <c r="AK1525" s="25" t="str">
        <f>IFERROR(INDEX('Hun Release Current'!B:B,MATCH(O1525,'Hun Release Current'!A:A,0)),"")</f>
        <v/>
      </c>
      <c r="AL1525" s="25" t="str">
        <f>IF(SUMIF('Prev Aub'!A:A,O1525,'Prev Aub'!B:B)=0,"",SUMIF('Prev Aub'!A:A,O1525,'Prev Aub'!B:B))</f>
        <v/>
      </c>
      <c r="AN1525" s="25" t="s">
        <v>3790</v>
      </c>
      <c r="AO1525" s="25" t="s">
        <v>3790</v>
      </c>
      <c r="AP1525" s="25">
        <f t="shared" si="650"/>
        <v>0</v>
      </c>
      <c r="AQ1525" s="151" t="str">
        <f>IF(SUMIFS('Supp Consol'!S:S,'Supp Consol'!A:A,O1525,'Supp Consol'!I:I,"PENDING")=0,"",SUMIFS('Supp Consol'!S:S,'Supp Consol'!A:A,O1525,'Supp Consol'!I:I,"PENDING"))</f>
        <v/>
      </c>
      <c r="AR1525" s="27" t="str">
        <f t="shared" si="651"/>
        <v>WT850</v>
      </c>
      <c r="AS1525" s="27" t="str">
        <f t="shared" si="652"/>
        <v>50</v>
      </c>
      <c r="AT1525" s="27" t="str">
        <f t="shared" si="653"/>
        <v>WT850</v>
      </c>
      <c r="AU1525" s="27" t="str">
        <f t="shared" si="654"/>
        <v>WT850</v>
      </c>
      <c r="AV1525" s="27" t="str">
        <f t="shared" si="655"/>
        <v>WT850</v>
      </c>
      <c r="AW1525" s="27" t="str">
        <f t="shared" si="656"/>
        <v/>
      </c>
      <c r="AX1525" s="27" t="str">
        <f t="shared" si="657"/>
        <v/>
      </c>
      <c r="AY1525" s="27" t="str">
        <f t="shared" si="658"/>
        <v/>
      </c>
      <c r="AZ1525" s="27" t="str">
        <f t="shared" si="659"/>
        <v/>
      </c>
      <c r="BA1525" s="27" t="str">
        <f t="shared" si="660"/>
        <v>Hun</v>
      </c>
      <c r="BB1525" s="27" t="str">
        <f t="shared" si="661"/>
        <v>Gross</v>
      </c>
      <c r="BC1525" s="27" t="str">
        <f t="shared" si="662"/>
        <v>Net</v>
      </c>
      <c r="BD1525" s="27" t="str">
        <f t="shared" si="663"/>
        <v>Net</v>
      </c>
      <c r="BE1525" s="27" t="str">
        <f t="shared" si="664"/>
        <v/>
      </c>
      <c r="BF1525" s="27" t="str">
        <f t="shared" si="665"/>
        <v/>
      </c>
      <c r="BG1525" s="27" t="str">
        <f t="shared" si="666"/>
        <v/>
      </c>
      <c r="BH1525" s="27" t="str">
        <f t="shared" si="667"/>
        <v>H+N</v>
      </c>
      <c r="BI1525" s="27" t="str">
        <f t="shared" si="668"/>
        <v>H+Nex</v>
      </c>
      <c r="BJ1525" s="27" t="str">
        <f t="shared" si="669"/>
        <v>Supp or Hun</v>
      </c>
      <c r="BK1525" s="27" t="str">
        <f t="shared" si="670"/>
        <v>Supp or Hun Need</v>
      </c>
      <c r="BL1525" s="27" t="str">
        <f t="shared" si="671"/>
        <v>SorHandNandE</v>
      </c>
      <c r="BM1525" s="21" t="s">
        <v>5581</v>
      </c>
    </row>
    <row r="1526" spans="1:65" ht="15">
      <c r="A1526" s="25">
        <f>IFERROR(INDEX('Hun Demand'!W:W,MATCH(O1526,'Hun Demand'!A:A,0)),"")</f>
        <v>0</v>
      </c>
      <c r="B1526" s="25">
        <f>IFERROR(INDEX('Hun Demand'!V:V,MATCH(O1526,'Hun Demand'!A:A,0)),"")</f>
        <v>180</v>
      </c>
      <c r="C1526" s="25">
        <f>IFERROR(INDEX('Hun Demand'!U:U,MATCH(O1526,'Hun Demand'!A:A,0)),"")</f>
        <v>0</v>
      </c>
      <c r="D1526" s="25">
        <f>IFERROR(INDEX('Hun Demand'!T:T,MATCH(O1526,'Hun Demand'!A:A,0)),"")</f>
        <v>0</v>
      </c>
      <c r="E1526" s="25">
        <f>IFERROR(INDEX('Hun Demand'!S:S,MATCH(O1526,'Hun Demand'!A:A,0)),"")</f>
        <v>0</v>
      </c>
      <c r="F1526" s="25">
        <f>IFERROR(INDEX('Hun Demand'!R:R,MATCH(O1526,'Hun Demand'!A:A,0)),"")</f>
        <v>0</v>
      </c>
      <c r="G1526" s="25">
        <f>IFERROR(INDEX('Aub Demand'!W:W,MATCH(O1526,'Aub Demand'!A:A,0)),"")</f>
        <v>0</v>
      </c>
      <c r="H1526" s="25">
        <f>IFERROR(INDEX('Aub Demand'!V:V,MATCH(O1526,'Aub Demand'!A:A,0)),"")</f>
        <v>0</v>
      </c>
      <c r="I1526" s="25">
        <f>IFERROR(INDEX('Aub Demand'!U:U,MATCH(O1526,'Aub Demand'!A:A,0)),"")</f>
        <v>0</v>
      </c>
      <c r="J1526" s="25">
        <f>IFERROR(INDEX('Aub Demand'!T:T,MATCH(O1526,'Aub Demand'!A:A,0)),"")</f>
        <v>74</v>
      </c>
      <c r="K1526" s="25">
        <f>IFERROR(INDEX('Aub Demand'!S:S,MATCH(O1526,'Aub Demand'!A:A,0)),"")</f>
        <v>43</v>
      </c>
      <c r="L1526" s="25">
        <f>IFERROR(INDEX('Aub Demand'!R:R,MATCH(O1526,'Aub Demand'!A:A,0)),"")</f>
        <v>0</v>
      </c>
      <c r="O1526" s="27" t="s">
        <v>1838</v>
      </c>
      <c r="P1526" s="27" t="str">
        <f>IFERROR(INDEX('Aub Demand'!B:B,MATCH($O1526,'Aub Demand'!$A:$A,0)),"")</f>
        <v>PEACH COBBLER</v>
      </c>
      <c r="Q1526" s="27" t="str">
        <f>IFERROR(INDEX('Aub Demand'!C:C,MATCH($O1526,'Aub Demand'!$A:$A,0)),"")</f>
        <v>AHLST</v>
      </c>
      <c r="R1526" s="52">
        <f>IFERROR(IF(AR1527=AR1526,INDEX('Aub Demand'!K:K,MATCH($O1526,'Aub Demand'!$A:$A,0))-IF(AN1526="",0,AN1526)+AP1527,INDEX('Aub Demand'!K:K,MATCH($O1526,'Aub Demand'!$A:$A,0))-IF(AN1526="",0,AN1526)),"")</f>
        <v>355</v>
      </c>
      <c r="S1526" s="53">
        <f t="shared" si="644"/>
        <v>39</v>
      </c>
      <c r="T1526" s="52" t="str">
        <f t="shared" si="645"/>
        <v/>
      </c>
      <c r="U1526" s="52">
        <f>IFERROR(IF(AR1527=AR1526,INDEX('Aub Demand'!Q:Q,MATCH($O1526,'Aub Demand'!$A:$A,0))-IF(AN1526="",0,AN1526)+AP1527,INDEX('Aub Demand'!Q:Q,MATCH($O1526,'Aub Demand'!$A:$A,0))-IF(AN1526="",0,AN1526)),"")</f>
        <v>315</v>
      </c>
      <c r="V1526" s="53">
        <f t="shared" si="646"/>
        <v>34.6</v>
      </c>
      <c r="W1526" s="52" t="str">
        <f t="shared" si="647"/>
        <v/>
      </c>
      <c r="X1526" s="52">
        <f>IFERROR(IF(AND(AR1527=AR1526,AM1526&lt;&gt;""),INDEX('Aub Demand'!Q:Q,MATCH($O1526,'Aub Demand'!$A:$A,0))-IF(AN1526="",0,AN1526)+AP1527+AD1526+AL1526,IF(AR1527=AR1526,INDEX('Aub Demand'!Q:Q,MATCH($O1526,'Aub Demand'!$A:$A,0))-IF(AN1526="",0,AN1526)+AP1527+AD1526,IF(AM1526&lt;&gt;"",INDEX('Aub Demand'!Q:Q,MATCH($O1526,'Aub Demand'!$A:$A,0))-IF(AN1526="",0,AN1526)+AD1526+AL1526,INDEX('Aub Demand'!Q:Q,MATCH($O1526,'Aub Demand'!$A:$A,0))-IF(AN1526="",0,AN1526)+AD1526))),"")</f>
        <v>315</v>
      </c>
      <c r="Y1526" s="53">
        <f t="shared" si="648"/>
        <v>34.6</v>
      </c>
      <c r="Z1526" s="52">
        <f>IF(L1526="","",INDEX('Aub Demand'!H:H,MATCH($O1526,'Aub Demand'!$A:$A,0)))</f>
        <v>39</v>
      </c>
      <c r="AA1526" s="52">
        <f t="shared" si="649"/>
        <v>58.5</v>
      </c>
      <c r="AB1526" s="52">
        <f>IFERROR(INDEX('Aub Demand'!L:L,MATCH($O1526,'Aub Demand'!$A:$A,0)),"")</f>
        <v>0</v>
      </c>
      <c r="AC1526" s="52">
        <f>IFERROR(IF(O1526="","",SUMIFS('CPL Mats'!F:F,'CPL Mats'!Q:Q,AR1526,'CPL Mats'!S:S,AS1526)),"")</f>
        <v>0</v>
      </c>
      <c r="AF1526" s="25" t="str">
        <f>IF(SUMIFS('Supp Consol'!S:S,'Supp Consol'!Y:Y,"Releasable",'Supp Consol'!A:A,O1526)=0,"",SUMIFS('Supp Consol'!S:S,'Supp Consol'!Y:Y,"Releasable",'Supp Consol'!A:A,O1526))</f>
        <v/>
      </c>
      <c r="AG1526" s="25">
        <f>IFERROR(INDEX('Hun Demand'!Q:Q,MATCH(O1526,'Hun Demand'!A:A,0)),"")</f>
        <v>723</v>
      </c>
      <c r="AH1526" s="25">
        <f>IFERROR(INDEX('Hun Demand'!H:H,MATCH($O1526,'Hun Demand'!$A:$A,0)),"")</f>
        <v>0</v>
      </c>
      <c r="AI1526" s="25" t="str">
        <f>IF(SUMIFS('Supp Consol'!AA:AA,'Supp Consol'!Z:Z,"Expires this month",'Supp Consol'!A:A,O1526)=0,"",SUMIFS('Supp Consol'!AA:AA,'Supp Consol'!Z:Z,"Expires this month",'Supp Consol'!A:A,O1526))</f>
        <v/>
      </c>
      <c r="AJ1526" s="25" t="str">
        <f>IF(SUMIFS('Supp Consol'!AA:AA,'Supp Consol'!Z:Z,"Expired Previous Months",'Supp Consol'!A:A,O1526)=0,"",SUMIFS('Supp Consol'!AA:AA,'Supp Consol'!Z:Z,"Expired Previous Months",'Supp Consol'!A:A,O1526))</f>
        <v/>
      </c>
      <c r="AK1526" s="25" t="str">
        <f>IFERROR(INDEX('Hun Release Current'!B:B,MATCH(O1526,'Hun Release Current'!A:A,0)),"")</f>
        <v/>
      </c>
      <c r="AL1526" s="25" t="str">
        <f>IF(SUMIF('Prev Aub'!A:A,O1526,'Prev Aub'!B:B)=0,"",SUMIF('Prev Aub'!A:A,O1526,'Prev Aub'!B:B))</f>
        <v/>
      </c>
      <c r="AN1526" s="25" t="s">
        <v>3790</v>
      </c>
      <c r="AO1526" s="25" t="s">
        <v>3790</v>
      </c>
      <c r="AP1526" s="25">
        <f t="shared" si="650"/>
        <v>0</v>
      </c>
      <c r="AQ1526" s="151" t="str">
        <f>IF(SUMIFS('Supp Consol'!S:S,'Supp Consol'!A:A,O1526,'Supp Consol'!I:I,"PENDING")=0,"",SUMIFS('Supp Consol'!S:S,'Supp Consol'!A:A,O1526,'Supp Consol'!I:I,"PENDING"))</f>
        <v/>
      </c>
      <c r="AR1526" s="27" t="str">
        <f t="shared" si="651"/>
        <v>WT850</v>
      </c>
      <c r="AS1526" s="27" t="str">
        <f t="shared" si="652"/>
        <v>62</v>
      </c>
      <c r="AT1526" s="27" t="str">
        <f t="shared" si="653"/>
        <v/>
      </c>
      <c r="AU1526" s="27" t="str">
        <f t="shared" si="654"/>
        <v/>
      </c>
      <c r="AV1526" s="27" t="str">
        <f t="shared" si="655"/>
        <v/>
      </c>
      <c r="AW1526" s="27" t="str">
        <f t="shared" si="656"/>
        <v/>
      </c>
      <c r="AX1526" s="27" t="str">
        <f t="shared" si="657"/>
        <v/>
      </c>
      <c r="AY1526" s="27" t="str">
        <f t="shared" si="658"/>
        <v>WT850</v>
      </c>
      <c r="AZ1526" s="27" t="str">
        <f t="shared" si="659"/>
        <v/>
      </c>
      <c r="BA1526" s="27" t="str">
        <f t="shared" si="660"/>
        <v>Hun</v>
      </c>
      <c r="BB1526" s="27" t="str">
        <f t="shared" si="661"/>
        <v>Gross</v>
      </c>
      <c r="BC1526" s="27" t="str">
        <f t="shared" si="662"/>
        <v>Net</v>
      </c>
      <c r="BD1526" s="27" t="str">
        <f t="shared" si="663"/>
        <v>Net</v>
      </c>
      <c r="BE1526" s="27" t="str">
        <f t="shared" si="664"/>
        <v/>
      </c>
      <c r="BF1526" s="27" t="str">
        <f t="shared" si="665"/>
        <v/>
      </c>
      <c r="BG1526" s="27" t="str">
        <f t="shared" si="666"/>
        <v/>
      </c>
      <c r="BH1526" s="27" t="str">
        <f t="shared" si="667"/>
        <v>H+N</v>
      </c>
      <c r="BI1526" s="27" t="str">
        <f t="shared" si="668"/>
        <v>H+Nex</v>
      </c>
      <c r="BJ1526" s="27" t="str">
        <f t="shared" si="669"/>
        <v>Supp or Hun</v>
      </c>
      <c r="BK1526" s="27" t="str">
        <f t="shared" si="670"/>
        <v>Supp or Hun Need</v>
      </c>
      <c r="BL1526" s="27" t="str">
        <f t="shared" si="671"/>
        <v>SorHandNandE</v>
      </c>
      <c r="BM1526" s="21" t="s">
        <v>5581</v>
      </c>
    </row>
    <row r="1527" spans="1:65" ht="15">
      <c r="A1527" s="25">
        <f>IFERROR(INDEX('Hun Demand'!W:W,MATCH(O1527,'Hun Demand'!A:A,0)),"")</f>
        <v>0</v>
      </c>
      <c r="B1527" s="25">
        <f>IFERROR(INDEX('Hun Demand'!V:V,MATCH(O1527,'Hun Demand'!A:A,0)),"")</f>
        <v>324</v>
      </c>
      <c r="C1527" s="25">
        <f>IFERROR(INDEX('Hun Demand'!U:U,MATCH(O1527,'Hun Demand'!A:A,0)),"")</f>
        <v>0</v>
      </c>
      <c r="D1527" s="25">
        <f>IFERROR(INDEX('Hun Demand'!T:T,MATCH(O1527,'Hun Demand'!A:A,0)),"")</f>
        <v>134</v>
      </c>
      <c r="E1527" s="25">
        <f>IFERROR(INDEX('Hun Demand'!S:S,MATCH(O1527,'Hun Demand'!A:A,0)),"")</f>
        <v>0</v>
      </c>
      <c r="F1527" s="25">
        <f>IFERROR(INDEX('Hun Demand'!R:R,MATCH(O1527,'Hun Demand'!A:A,0)),"")</f>
        <v>0</v>
      </c>
      <c r="G1527" s="25">
        <f>IFERROR(INDEX('Aub Demand'!W:W,MATCH(O1527,'Aub Demand'!A:A,0)),"")</f>
        <v>92</v>
      </c>
      <c r="H1527" s="25">
        <f>IFERROR(INDEX('Aub Demand'!V:V,MATCH(O1527,'Aub Demand'!A:A,0)),"")</f>
        <v>11</v>
      </c>
      <c r="I1527" s="25">
        <f>IFERROR(INDEX('Aub Demand'!U:U,MATCH(O1527,'Aub Demand'!A:A,0)),"")</f>
        <v>21</v>
      </c>
      <c r="J1527" s="25">
        <f>IFERROR(INDEX('Aub Demand'!T:T,MATCH(O1527,'Aub Demand'!A:A,0)),"")</f>
        <v>29</v>
      </c>
      <c r="K1527" s="25">
        <f>IFERROR(INDEX('Aub Demand'!S:S,MATCH(O1527,'Aub Demand'!A:A,0)),"")</f>
        <v>13</v>
      </c>
      <c r="L1527" s="25">
        <f>IFERROR(INDEX('Aub Demand'!R:R,MATCH(O1527,'Aub Demand'!A:A,0)),"")</f>
        <v>21</v>
      </c>
      <c r="O1527" s="27" t="s">
        <v>1839</v>
      </c>
      <c r="P1527" s="27" t="str">
        <f>IFERROR(INDEX('Aub Demand'!B:B,MATCH($O1527,'Aub Demand'!$A:$A,0)),"")</f>
        <v>TAILGATING</v>
      </c>
      <c r="Q1527" s="27" t="str">
        <f>IFERROR(INDEX('Aub Demand'!C:C,MATCH($O1527,'Aub Demand'!$A:$A,0)),"")</f>
        <v>IMPRE</v>
      </c>
      <c r="R1527" s="52">
        <f>IFERROR(IF(AR1528=AR1527,INDEX('Aub Demand'!K:K,MATCH($O1527,'Aub Demand'!$A:$A,0))-IF(AN1527="",0,AN1527)+AP1528,INDEX('Aub Demand'!K:K,MATCH($O1527,'Aub Demand'!$A:$A,0))-IF(AN1527="",0,AN1527)),"")</f>
        <v>2653</v>
      </c>
      <c r="S1527" s="53">
        <f t="shared" si="644"/>
        <v>541.4</v>
      </c>
      <c r="T1527" s="52" t="str">
        <f t="shared" si="645"/>
        <v/>
      </c>
      <c r="U1527" s="52">
        <f>IFERROR(IF(AR1528=AR1527,INDEX('Aub Demand'!Q:Q,MATCH($O1527,'Aub Demand'!$A:$A,0))-IF(AN1527="",0,AN1527)+AP1528,INDEX('Aub Demand'!Q:Q,MATCH($O1527,'Aub Demand'!$A:$A,0))-IF(AN1527="",0,AN1527)),"")</f>
        <v>2634</v>
      </c>
      <c r="V1527" s="53">
        <f t="shared" si="646"/>
        <v>537.6</v>
      </c>
      <c r="W1527" s="52" t="str">
        <f t="shared" si="647"/>
        <v/>
      </c>
      <c r="X1527" s="52">
        <f>IFERROR(IF(AND(AR1528=AR1527,AM1527&lt;&gt;""),INDEX('Aub Demand'!Q:Q,MATCH($O1527,'Aub Demand'!$A:$A,0))-IF(AN1527="",0,AN1527)+AP1528+AD1527+AL1527,IF(AR1528=AR1527,INDEX('Aub Demand'!Q:Q,MATCH($O1527,'Aub Demand'!$A:$A,0))-IF(AN1527="",0,AN1527)+AP1528+AD1527,IF(AM1527&lt;&gt;"",INDEX('Aub Demand'!Q:Q,MATCH($O1527,'Aub Demand'!$A:$A,0))-IF(AN1527="",0,AN1527)+AD1527+AL1527,INDEX('Aub Demand'!Q:Q,MATCH($O1527,'Aub Demand'!$A:$A,0))-IF(AN1527="",0,AN1527)+AD1527))),"")</f>
        <v>2634</v>
      </c>
      <c r="Y1527" s="53">
        <f t="shared" si="648"/>
        <v>537.6</v>
      </c>
      <c r="Z1527" s="52">
        <f>IF(L1527="","",INDEX('Aub Demand'!H:H,MATCH($O1527,'Aub Demand'!$A:$A,0)))</f>
        <v>21</v>
      </c>
      <c r="AA1527" s="52">
        <f t="shared" si="649"/>
        <v>25</v>
      </c>
      <c r="AB1527" s="52">
        <f>IFERROR(INDEX('Aub Demand'!L:L,MATCH($O1527,'Aub Demand'!$A:$A,0)),"")</f>
        <v>55</v>
      </c>
      <c r="AC1527" s="52">
        <f>IFERROR(IF(O1527="","",SUMIFS('CPL Mats'!F:F,'CPL Mats'!Q:Q,AR1527,'CPL Mats'!S:S,AS1527)),"")</f>
        <v>0</v>
      </c>
      <c r="AF1527" s="25" t="str">
        <f>IF(SUMIFS('Supp Consol'!S:S,'Supp Consol'!Y:Y,"Releasable",'Supp Consol'!A:A,O1527)=0,"",SUMIFS('Supp Consol'!S:S,'Supp Consol'!Y:Y,"Releasable",'Supp Consol'!A:A,O1527))</f>
        <v/>
      </c>
      <c r="AG1527" s="25">
        <f>IFERROR(INDEX('Hun Demand'!Q:Q,MATCH(O1527,'Hun Demand'!A:A,0)),"")</f>
        <v>134</v>
      </c>
      <c r="AH1527" s="25">
        <f>IFERROR(INDEX('Hun Demand'!H:H,MATCH($O1527,'Hun Demand'!$A:$A,0)),"")</f>
        <v>45</v>
      </c>
      <c r="AI1527" s="25" t="str">
        <f>IF(SUMIFS('Supp Consol'!AA:AA,'Supp Consol'!Z:Z,"Expires this month",'Supp Consol'!A:A,O1527)=0,"",SUMIFS('Supp Consol'!AA:AA,'Supp Consol'!Z:Z,"Expires this month",'Supp Consol'!A:A,O1527))</f>
        <v/>
      </c>
      <c r="AJ1527" s="25" t="str">
        <f>IF(SUMIFS('Supp Consol'!AA:AA,'Supp Consol'!Z:Z,"Expired Previous Months",'Supp Consol'!A:A,O1527)=0,"",SUMIFS('Supp Consol'!AA:AA,'Supp Consol'!Z:Z,"Expired Previous Months",'Supp Consol'!A:A,O1527))</f>
        <v/>
      </c>
      <c r="AK1527" s="25" t="str">
        <f>IFERROR(INDEX('Hun Release Current'!B:B,MATCH(O1527,'Hun Release Current'!A:A,0)),"")</f>
        <v/>
      </c>
      <c r="AL1527" s="25" t="str">
        <f>IF(SUMIF('Prev Aub'!A:A,O1527,'Prev Aub'!B:B)=0,"",SUMIF('Prev Aub'!A:A,O1527,'Prev Aub'!B:B))</f>
        <v/>
      </c>
      <c r="AN1527" s="25" t="s">
        <v>3790</v>
      </c>
      <c r="AO1527" s="25" t="s">
        <v>3790</v>
      </c>
      <c r="AP1527" s="25">
        <f t="shared" si="650"/>
        <v>0</v>
      </c>
      <c r="AQ1527" s="151" t="str">
        <f>IF(SUMIFS('Supp Consol'!S:S,'Supp Consol'!A:A,O1527,'Supp Consol'!I:I,"PENDING")=0,"",SUMIFS('Supp Consol'!S:S,'Supp Consol'!A:A,O1527,'Supp Consol'!I:I,"PENDING"))</f>
        <v/>
      </c>
      <c r="AR1527" s="27" t="str">
        <f t="shared" si="651"/>
        <v>WT860</v>
      </c>
      <c r="AS1527" s="27" t="str">
        <f t="shared" si="652"/>
        <v>50</v>
      </c>
      <c r="AT1527" s="27" t="str">
        <f t="shared" si="653"/>
        <v/>
      </c>
      <c r="AU1527" s="27" t="str">
        <f t="shared" si="654"/>
        <v/>
      </c>
      <c r="AV1527" s="27" t="str">
        <f t="shared" si="655"/>
        <v/>
      </c>
      <c r="AW1527" s="27" t="str">
        <f t="shared" si="656"/>
        <v/>
      </c>
      <c r="AX1527" s="27" t="str">
        <f t="shared" si="657"/>
        <v/>
      </c>
      <c r="AY1527" s="27" t="str">
        <f t="shared" si="658"/>
        <v>WT860</v>
      </c>
      <c r="AZ1527" s="27" t="str">
        <f t="shared" si="659"/>
        <v/>
      </c>
      <c r="BA1527" s="27" t="str">
        <f t="shared" si="660"/>
        <v>Hun</v>
      </c>
      <c r="BB1527" s="27" t="str">
        <f t="shared" si="661"/>
        <v/>
      </c>
      <c r="BC1527" s="27" t="str">
        <f t="shared" si="662"/>
        <v/>
      </c>
      <c r="BD1527" s="27" t="str">
        <f t="shared" si="663"/>
        <v/>
      </c>
      <c r="BE1527" s="27" t="str">
        <f t="shared" si="664"/>
        <v/>
      </c>
      <c r="BF1527" s="27" t="str">
        <f t="shared" si="665"/>
        <v/>
      </c>
      <c r="BG1527" s="27" t="str">
        <f t="shared" si="666"/>
        <v/>
      </c>
      <c r="BH1527" s="27" t="str">
        <f t="shared" si="667"/>
        <v/>
      </c>
      <c r="BI1527" s="27" t="str">
        <f t="shared" si="668"/>
        <v/>
      </c>
      <c r="BJ1527" s="27" t="str">
        <f t="shared" si="669"/>
        <v>Supp or Hun</v>
      </c>
      <c r="BK1527" s="27" t="str">
        <f t="shared" si="670"/>
        <v/>
      </c>
      <c r="BL1527" s="27" t="str">
        <f t="shared" si="671"/>
        <v/>
      </c>
      <c r="BM1527" s="21" t="s">
        <v>5581</v>
      </c>
    </row>
    <row r="1528" spans="1:65" ht="15">
      <c r="A1528" s="25">
        <f>IFERROR(INDEX('Hun Demand'!W:W,MATCH(O1528,'Hun Demand'!A:A,0)),"")</f>
        <v>0</v>
      </c>
      <c r="B1528" s="25">
        <f>IFERROR(INDEX('Hun Demand'!V:V,MATCH(O1528,'Hun Demand'!A:A,0)),"")</f>
        <v>0</v>
      </c>
      <c r="C1528" s="25">
        <f>IFERROR(INDEX('Hun Demand'!U:U,MATCH(O1528,'Hun Demand'!A:A,0)),"")</f>
        <v>0</v>
      </c>
      <c r="D1528" s="25">
        <f>IFERROR(INDEX('Hun Demand'!T:T,MATCH(O1528,'Hun Demand'!A:A,0)),"")</f>
        <v>0</v>
      </c>
      <c r="E1528" s="25">
        <f>IFERROR(INDEX('Hun Demand'!S:S,MATCH(O1528,'Hun Demand'!A:A,0)),"")</f>
        <v>0</v>
      </c>
      <c r="F1528" s="25">
        <f>IFERROR(INDEX('Hun Demand'!R:R,MATCH(O1528,'Hun Demand'!A:A,0)),"")</f>
        <v>0</v>
      </c>
      <c r="G1528" s="25">
        <f>IFERROR(INDEX('Aub Demand'!W:W,MATCH(O1528,'Aub Demand'!A:A,0)),"")</f>
        <v>0</v>
      </c>
      <c r="H1528" s="25">
        <f>IFERROR(INDEX('Aub Demand'!V:V,MATCH(O1528,'Aub Demand'!A:A,0)),"")</f>
        <v>22</v>
      </c>
      <c r="I1528" s="25">
        <f>IFERROR(INDEX('Aub Demand'!U:U,MATCH(O1528,'Aub Demand'!A:A,0)),"")</f>
        <v>8</v>
      </c>
      <c r="J1528" s="25">
        <f>IFERROR(INDEX('Aub Demand'!T:T,MATCH(O1528,'Aub Demand'!A:A,0)),"")</f>
        <v>45</v>
      </c>
      <c r="K1528" s="25">
        <f>IFERROR(INDEX('Aub Demand'!S:S,MATCH(O1528,'Aub Demand'!A:A,0)),"")</f>
        <v>0</v>
      </c>
      <c r="L1528" s="25">
        <f>IFERROR(INDEX('Aub Demand'!R:R,MATCH(O1528,'Aub Demand'!A:A,0)),"")</f>
        <v>0</v>
      </c>
      <c r="O1528" s="27" t="s">
        <v>1841</v>
      </c>
      <c r="P1528" s="27" t="str">
        <f>IFERROR(INDEX('Aub Demand'!B:B,MATCH($O1528,'Aub Demand'!$A:$A,0)),"")</f>
        <v>TAILGATING</v>
      </c>
      <c r="Q1528" s="27" t="str">
        <f>IFERROR(INDEX('Aub Demand'!C:C,MATCH($O1528,'Aub Demand'!$A:$A,0)),"")</f>
        <v>IMPRE</v>
      </c>
      <c r="R1528" s="52">
        <f>IFERROR(IF(AR1529=AR1528,INDEX('Aub Demand'!K:K,MATCH($O1528,'Aub Demand'!$A:$A,0))-IF(AN1528="",0,AN1528)+AP1529,INDEX('Aub Demand'!K:K,MATCH($O1528,'Aub Demand'!$A:$A,0))-IF(AN1528="",0,AN1528)),"")</f>
        <v>2013</v>
      </c>
      <c r="S1528" s="53">
        <f t="shared" si="644"/>
        <v>479.3</v>
      </c>
      <c r="T1528" s="52" t="str">
        <f t="shared" si="645"/>
        <v/>
      </c>
      <c r="U1528" s="52">
        <f>IFERROR(IF(AR1529=AR1528,INDEX('Aub Demand'!Q:Q,MATCH($O1528,'Aub Demand'!$A:$A,0))-IF(AN1528="",0,AN1528)+AP1529,INDEX('Aub Demand'!Q:Q,MATCH($O1528,'Aub Demand'!$A:$A,0))-IF(AN1528="",0,AN1528)),"")</f>
        <v>1996</v>
      </c>
      <c r="V1528" s="53">
        <f t="shared" si="646"/>
        <v>475.2</v>
      </c>
      <c r="W1528" s="52" t="str">
        <f t="shared" si="647"/>
        <v/>
      </c>
      <c r="X1528" s="52">
        <f>IFERROR(IF(AND(AR1529=AR1528,AM1528&lt;&gt;""),INDEX('Aub Demand'!Q:Q,MATCH($O1528,'Aub Demand'!$A:$A,0))-IF(AN1528="",0,AN1528)+AP1529+AD1528+AL1528,IF(AR1529=AR1528,INDEX('Aub Demand'!Q:Q,MATCH($O1528,'Aub Demand'!$A:$A,0))-IF(AN1528="",0,AN1528)+AP1529+AD1528,IF(AM1528&lt;&gt;"",INDEX('Aub Demand'!Q:Q,MATCH($O1528,'Aub Demand'!$A:$A,0))-IF(AN1528="",0,AN1528)+AD1528+AL1528,INDEX('Aub Demand'!Q:Q,MATCH($O1528,'Aub Demand'!$A:$A,0))-IF(AN1528="",0,AN1528)+AD1528))),"")</f>
        <v>1996</v>
      </c>
      <c r="Y1528" s="53">
        <f t="shared" si="648"/>
        <v>475.2</v>
      </c>
      <c r="Z1528" s="52">
        <f>IF(L1528="","",INDEX('Aub Demand'!H:H,MATCH($O1528,'Aub Demand'!$A:$A,0)))</f>
        <v>18</v>
      </c>
      <c r="AA1528" s="52">
        <f t="shared" si="649"/>
        <v>26.5</v>
      </c>
      <c r="AB1528" s="52">
        <f>IFERROR(INDEX('Aub Demand'!L:L,MATCH($O1528,'Aub Demand'!$A:$A,0)),"")</f>
        <v>6</v>
      </c>
      <c r="AC1528" s="52">
        <f>IFERROR(IF(O1528="","",SUMIFS('CPL Mats'!F:F,'CPL Mats'!Q:Q,AR1528,'CPL Mats'!S:S,AS1528)),"")</f>
        <v>0</v>
      </c>
      <c r="AF1528" s="25" t="str">
        <f>IF(SUMIFS('Supp Consol'!S:S,'Supp Consol'!Y:Y,"Releasable",'Supp Consol'!A:A,O1528)=0,"",SUMIFS('Supp Consol'!S:S,'Supp Consol'!Y:Y,"Releasable",'Supp Consol'!A:A,O1528))</f>
        <v/>
      </c>
      <c r="AG1528" s="25">
        <f>IFERROR(INDEX('Hun Demand'!Q:Q,MATCH(O1528,'Hun Demand'!A:A,0)),"")</f>
        <v>56</v>
      </c>
      <c r="AH1528" s="25">
        <f>IFERROR(INDEX('Hun Demand'!H:H,MATCH($O1528,'Hun Demand'!$A:$A,0)),"")</f>
        <v>0</v>
      </c>
      <c r="AI1528" s="25" t="str">
        <f>IF(SUMIFS('Supp Consol'!AA:AA,'Supp Consol'!Z:Z,"Expires this month",'Supp Consol'!A:A,O1528)=0,"",SUMIFS('Supp Consol'!AA:AA,'Supp Consol'!Z:Z,"Expires this month",'Supp Consol'!A:A,O1528))</f>
        <v/>
      </c>
      <c r="AJ1528" s="25" t="str">
        <f>IF(SUMIFS('Supp Consol'!AA:AA,'Supp Consol'!Z:Z,"Expired Previous Months",'Supp Consol'!A:A,O1528)=0,"",SUMIFS('Supp Consol'!AA:AA,'Supp Consol'!Z:Z,"Expired Previous Months",'Supp Consol'!A:A,O1528))</f>
        <v/>
      </c>
      <c r="AK1528" s="25" t="str">
        <f>IFERROR(INDEX('Hun Release Current'!B:B,MATCH(O1528,'Hun Release Current'!A:A,0)),"")</f>
        <v/>
      </c>
      <c r="AL1528" s="25" t="str">
        <f>IF(SUMIF('Prev Aub'!A:A,O1528,'Prev Aub'!B:B)=0,"",SUMIF('Prev Aub'!A:A,O1528,'Prev Aub'!B:B))</f>
        <v/>
      </c>
      <c r="AN1528" s="25" t="s">
        <v>3790</v>
      </c>
      <c r="AO1528" s="25" t="s">
        <v>3790</v>
      </c>
      <c r="AP1528" s="25">
        <f t="shared" si="650"/>
        <v>0</v>
      </c>
      <c r="AQ1528" s="151" t="str">
        <f>IF(SUMIFS('Supp Consol'!S:S,'Supp Consol'!A:A,O1528,'Supp Consol'!I:I,"PENDING")=0,"",SUMIFS('Supp Consol'!S:S,'Supp Consol'!A:A,O1528,'Supp Consol'!I:I,"PENDING"))</f>
        <v/>
      </c>
      <c r="AR1528" s="27" t="str">
        <f t="shared" si="651"/>
        <v>WT860</v>
      </c>
      <c r="AS1528" s="27" t="str">
        <f t="shared" si="652"/>
        <v>62</v>
      </c>
      <c r="AT1528" s="27" t="str">
        <f t="shared" si="653"/>
        <v/>
      </c>
      <c r="AU1528" s="27" t="str">
        <f t="shared" si="654"/>
        <v/>
      </c>
      <c r="AV1528" s="27" t="str">
        <f t="shared" si="655"/>
        <v/>
      </c>
      <c r="AW1528" s="27" t="str">
        <f t="shared" si="656"/>
        <v/>
      </c>
      <c r="AX1528" s="27" t="str">
        <f t="shared" si="657"/>
        <v/>
      </c>
      <c r="AY1528" s="27" t="str">
        <f t="shared" si="658"/>
        <v>WT860</v>
      </c>
      <c r="AZ1528" s="27" t="str">
        <f t="shared" si="659"/>
        <v/>
      </c>
      <c r="BA1528" s="27" t="str">
        <f t="shared" si="660"/>
        <v>Hun</v>
      </c>
      <c r="BB1528" s="27" t="str">
        <f t="shared" si="661"/>
        <v/>
      </c>
      <c r="BC1528" s="27" t="str">
        <f t="shared" si="662"/>
        <v/>
      </c>
      <c r="BD1528" s="27" t="str">
        <f t="shared" si="663"/>
        <v/>
      </c>
      <c r="BE1528" s="27" t="str">
        <f t="shared" si="664"/>
        <v/>
      </c>
      <c r="BF1528" s="27" t="str">
        <f t="shared" si="665"/>
        <v/>
      </c>
      <c r="BG1528" s="27" t="str">
        <f t="shared" si="666"/>
        <v/>
      </c>
      <c r="BH1528" s="27" t="str">
        <f t="shared" si="667"/>
        <v/>
      </c>
      <c r="BI1528" s="27" t="str">
        <f t="shared" si="668"/>
        <v/>
      </c>
      <c r="BJ1528" s="27" t="str">
        <f t="shared" si="669"/>
        <v>Supp or Hun</v>
      </c>
      <c r="BK1528" s="27" t="str">
        <f t="shared" si="670"/>
        <v/>
      </c>
      <c r="BL1528" s="27" t="str">
        <f t="shared" si="671"/>
        <v/>
      </c>
      <c r="BM1528" s="21" t="s">
        <v>5581</v>
      </c>
    </row>
    <row r="1529" spans="1:65" ht="15">
      <c r="A1529" s="25">
        <f>IFERROR(INDEX('Hun Demand'!W:W,MATCH(O1529,'Hun Demand'!A:A,0)),"")</f>
        <v>642</v>
      </c>
      <c r="B1529" s="25">
        <f>IFERROR(INDEX('Hun Demand'!V:V,MATCH(O1529,'Hun Demand'!A:A,0)),"")</f>
        <v>78</v>
      </c>
      <c r="C1529" s="25">
        <f>IFERROR(INDEX('Hun Demand'!U:U,MATCH(O1529,'Hun Demand'!A:A,0)),"")</f>
        <v>0</v>
      </c>
      <c r="D1529" s="25">
        <f>IFERROR(INDEX('Hun Demand'!T:T,MATCH(O1529,'Hun Demand'!A:A,0)),"")</f>
        <v>0</v>
      </c>
      <c r="E1529" s="25">
        <f>IFERROR(INDEX('Hun Demand'!S:S,MATCH(O1529,'Hun Demand'!A:A,0)),"")</f>
        <v>0</v>
      </c>
      <c r="F1529" s="25">
        <f>IFERROR(INDEX('Hun Demand'!R:R,MATCH(O1529,'Hun Demand'!A:A,0)),"")</f>
        <v>0</v>
      </c>
      <c r="G1529" s="25">
        <f>IFERROR(INDEX('Aub Demand'!W:W,MATCH(O1529,'Aub Demand'!A:A,0)),"")</f>
        <v>1130</v>
      </c>
      <c r="H1529" s="25">
        <f>IFERROR(INDEX('Aub Demand'!V:V,MATCH(O1529,'Aub Demand'!A:A,0)),"")</f>
        <v>142</v>
      </c>
      <c r="I1529" s="25">
        <f>IFERROR(INDEX('Aub Demand'!U:U,MATCH(O1529,'Aub Demand'!A:A,0)),"")</f>
        <v>171</v>
      </c>
      <c r="J1529" s="25">
        <f>IFERROR(INDEX('Aub Demand'!T:T,MATCH(O1529,'Aub Demand'!A:A,0)),"")</f>
        <v>233</v>
      </c>
      <c r="K1529" s="25">
        <f>IFERROR(INDEX('Aub Demand'!S:S,MATCH(O1529,'Aub Demand'!A:A,0)),"")</f>
        <v>0</v>
      </c>
      <c r="L1529" s="25">
        <f>IFERROR(INDEX('Aub Demand'!R:R,MATCH(O1529,'Aub Demand'!A:A,0)),"")</f>
        <v>54</v>
      </c>
      <c r="O1529" s="27" t="s">
        <v>1842</v>
      </c>
      <c r="P1529" s="27" t="str">
        <f>IFERROR(INDEX('Aub Demand'!B:B,MATCH($O1529,'Aub Demand'!$A:$A,0)),"")</f>
        <v>SLEEPING IN</v>
      </c>
      <c r="Q1529" s="27" t="str">
        <f>IFERROR(INDEX('Aub Demand'!C:C,MATCH($O1529,'Aub Demand'!$A:$A,0)),"")</f>
        <v>IMPRE</v>
      </c>
      <c r="R1529" s="52">
        <f>IFERROR(IF(AR1530=AR1529,INDEX('Aub Demand'!K:K,MATCH($O1529,'Aub Demand'!$A:$A,0))-IF(AN1529="",0,AN1529)+AP1530,INDEX('Aub Demand'!K:K,MATCH($O1529,'Aub Demand'!$A:$A,0))-IF(AN1529="",0,AN1529)),"")</f>
        <v>11681</v>
      </c>
      <c r="S1529" s="53">
        <f t="shared" si="644"/>
        <v>370.8</v>
      </c>
      <c r="T1529" s="52" t="str">
        <f t="shared" si="645"/>
        <v/>
      </c>
      <c r="U1529" s="52">
        <f>IFERROR(IF(AR1530=AR1529,INDEX('Aub Demand'!Q:Q,MATCH($O1529,'Aub Demand'!$A:$A,0))-IF(AN1529="",0,AN1529)+AP1530,INDEX('Aub Demand'!Q:Q,MATCH($O1529,'Aub Demand'!$A:$A,0))-IF(AN1529="",0,AN1529)),"")</f>
        <v>11522</v>
      </c>
      <c r="V1529" s="53">
        <f t="shared" si="646"/>
        <v>365.8</v>
      </c>
      <c r="W1529" s="52" t="str">
        <f t="shared" si="647"/>
        <v/>
      </c>
      <c r="X1529" s="52">
        <f>IFERROR(IF(AND(AR1530=AR1529,AM1529&lt;&gt;""),INDEX('Aub Demand'!Q:Q,MATCH($O1529,'Aub Demand'!$A:$A,0))-IF(AN1529="",0,AN1529)+AP1530+AD1529+AL1529,IF(AR1530=AR1529,INDEX('Aub Demand'!Q:Q,MATCH($O1529,'Aub Demand'!$A:$A,0))-IF(AN1529="",0,AN1529)+AP1530+AD1529,IF(AM1529&lt;&gt;"",INDEX('Aub Demand'!Q:Q,MATCH($O1529,'Aub Demand'!$A:$A,0))-IF(AN1529="",0,AN1529)+AD1529+AL1529,INDEX('Aub Demand'!Q:Q,MATCH($O1529,'Aub Demand'!$A:$A,0))-IF(AN1529="",0,AN1529)+AD1529))),"")</f>
        <v>11522</v>
      </c>
      <c r="Y1529" s="53">
        <f t="shared" si="648"/>
        <v>365.8</v>
      </c>
      <c r="Z1529" s="52">
        <f>IF(L1529="","",INDEX('Aub Demand'!H:H,MATCH($O1529,'Aub Demand'!$A:$A,0)))</f>
        <v>135</v>
      </c>
      <c r="AA1529" s="52">
        <f t="shared" si="649"/>
        <v>202</v>
      </c>
      <c r="AB1529" s="52">
        <f>IFERROR(INDEX('Aub Demand'!L:L,MATCH($O1529,'Aub Demand'!$A:$A,0)),"")</f>
        <v>630</v>
      </c>
      <c r="AC1529" s="52">
        <f>IFERROR(IF(O1529="","",SUMIFS('CPL Mats'!F:F,'CPL Mats'!Q:Q,AR1529,'CPL Mats'!S:S,AS1529)),"")</f>
        <v>8354</v>
      </c>
      <c r="AF1529" s="25" t="str">
        <f>IF(SUMIFS('Supp Consol'!S:S,'Supp Consol'!Y:Y,"Releasable",'Supp Consol'!A:A,O1529)=0,"",SUMIFS('Supp Consol'!S:S,'Supp Consol'!Y:Y,"Releasable",'Supp Consol'!A:A,O1529))</f>
        <v/>
      </c>
      <c r="AG1529" s="25">
        <f>IFERROR(INDEX('Hun Demand'!Q:Q,MATCH(O1529,'Hun Demand'!A:A,0)),"")</f>
        <v>530</v>
      </c>
      <c r="AH1529" s="25">
        <f>IFERROR(INDEX('Hun Demand'!H:H,MATCH($O1529,'Hun Demand'!$A:$A,0)),"")</f>
        <v>0</v>
      </c>
      <c r="AI1529" s="25" t="str">
        <f>IF(SUMIFS('Supp Consol'!AA:AA,'Supp Consol'!Z:Z,"Expires this month",'Supp Consol'!A:A,O1529)=0,"",SUMIFS('Supp Consol'!AA:AA,'Supp Consol'!Z:Z,"Expires this month",'Supp Consol'!A:A,O1529))</f>
        <v/>
      </c>
      <c r="AJ1529" s="25" t="str">
        <f>IF(SUMIFS('Supp Consol'!AA:AA,'Supp Consol'!Z:Z,"Expired Previous Months",'Supp Consol'!A:A,O1529)=0,"",SUMIFS('Supp Consol'!AA:AA,'Supp Consol'!Z:Z,"Expired Previous Months",'Supp Consol'!A:A,O1529))</f>
        <v/>
      </c>
      <c r="AK1529" s="25" t="str">
        <f>IFERROR(INDEX('Hun Release Current'!B:B,MATCH(O1529,'Hun Release Current'!A:A,0)),"")</f>
        <v/>
      </c>
      <c r="AL1529" s="25" t="str">
        <f>IF(SUMIF('Prev Aub'!A:A,O1529,'Prev Aub'!B:B)=0,"",SUMIF('Prev Aub'!A:A,O1529,'Prev Aub'!B:B))</f>
        <v/>
      </c>
      <c r="AN1529" s="25" t="s">
        <v>3790</v>
      </c>
      <c r="AO1529" s="25" t="s">
        <v>3790</v>
      </c>
      <c r="AP1529" s="25">
        <f t="shared" si="650"/>
        <v>0</v>
      </c>
      <c r="AQ1529" s="151" t="str">
        <f>IF(SUMIFS('Supp Consol'!S:S,'Supp Consol'!A:A,O1529,'Supp Consol'!I:I,"PENDING")=0,"",SUMIFS('Supp Consol'!S:S,'Supp Consol'!A:A,O1529,'Supp Consol'!I:I,"PENDING"))</f>
        <v/>
      </c>
      <c r="AR1529" s="27" t="str">
        <f t="shared" si="651"/>
        <v>WT870</v>
      </c>
      <c r="AS1529" s="27" t="str">
        <f t="shared" si="652"/>
        <v>50</v>
      </c>
      <c r="AT1529" s="27" t="str">
        <f t="shared" si="653"/>
        <v/>
      </c>
      <c r="AU1529" s="27" t="str">
        <f t="shared" si="654"/>
        <v/>
      </c>
      <c r="AV1529" s="27" t="str">
        <f t="shared" si="655"/>
        <v/>
      </c>
      <c r="AW1529" s="27" t="str">
        <f t="shared" si="656"/>
        <v/>
      </c>
      <c r="AX1529" s="27" t="str">
        <f t="shared" si="657"/>
        <v/>
      </c>
      <c r="AY1529" s="27" t="str">
        <f t="shared" si="658"/>
        <v>WT870</v>
      </c>
      <c r="AZ1529" s="27" t="str">
        <f t="shared" si="659"/>
        <v>Supp</v>
      </c>
      <c r="BA1529" s="27" t="str">
        <f t="shared" si="660"/>
        <v>Hun</v>
      </c>
      <c r="BB1529" s="27" t="str">
        <f t="shared" si="661"/>
        <v/>
      </c>
      <c r="BC1529" s="27" t="str">
        <f t="shared" si="662"/>
        <v/>
      </c>
      <c r="BD1529" s="27" t="str">
        <f t="shared" si="663"/>
        <v/>
      </c>
      <c r="BE1529" s="27" t="str">
        <f t="shared" si="664"/>
        <v>Exp</v>
      </c>
      <c r="BF1529" s="27" t="str">
        <f t="shared" si="665"/>
        <v/>
      </c>
      <c r="BG1529" s="27" t="str">
        <f t="shared" si="666"/>
        <v>S+NorE</v>
      </c>
      <c r="BH1529" s="27" t="str">
        <f t="shared" si="667"/>
        <v/>
      </c>
      <c r="BI1529" s="27" t="str">
        <f t="shared" si="668"/>
        <v/>
      </c>
      <c r="BJ1529" s="27" t="str">
        <f t="shared" si="669"/>
        <v>Supp or Hun</v>
      </c>
      <c r="BK1529" s="27" t="str">
        <f t="shared" si="670"/>
        <v/>
      </c>
      <c r="BL1529" s="27" t="str">
        <f t="shared" si="671"/>
        <v>SorHandNandE</v>
      </c>
      <c r="BM1529" s="21" t="s">
        <v>5581</v>
      </c>
    </row>
    <row r="1530" spans="1:65" ht="15">
      <c r="A1530" s="25">
        <f>IFERROR(INDEX('Hun Demand'!W:W,MATCH(O1530,'Hun Demand'!A:A,0)),"")</f>
        <v>222</v>
      </c>
      <c r="B1530" s="25">
        <f>IFERROR(INDEX('Hun Demand'!V:V,MATCH(O1530,'Hun Demand'!A:A,0)),"")</f>
        <v>182</v>
      </c>
      <c r="C1530" s="25">
        <f>IFERROR(INDEX('Hun Demand'!U:U,MATCH(O1530,'Hun Demand'!A:A,0)),"")</f>
        <v>0</v>
      </c>
      <c r="D1530" s="25">
        <f>IFERROR(INDEX('Hun Demand'!T:T,MATCH(O1530,'Hun Demand'!A:A,0)),"")</f>
        <v>0</v>
      </c>
      <c r="E1530" s="25">
        <f>IFERROR(INDEX('Hun Demand'!S:S,MATCH(O1530,'Hun Demand'!A:A,0)),"")</f>
        <v>152</v>
      </c>
      <c r="F1530" s="25">
        <f>IFERROR(INDEX('Hun Demand'!R:R,MATCH(O1530,'Hun Demand'!A:A,0)),"")</f>
        <v>0</v>
      </c>
      <c r="G1530" s="25">
        <f>IFERROR(INDEX('Aub Demand'!W:W,MATCH(O1530,'Aub Demand'!A:A,0)),"")</f>
        <v>166</v>
      </c>
      <c r="H1530" s="25">
        <f>IFERROR(INDEX('Aub Demand'!V:V,MATCH(O1530,'Aub Demand'!A:A,0)),"")</f>
        <v>4</v>
      </c>
      <c r="I1530" s="25">
        <f>IFERROR(INDEX('Aub Demand'!U:U,MATCH(O1530,'Aub Demand'!A:A,0)),"")</f>
        <v>10</v>
      </c>
      <c r="J1530" s="25">
        <f>IFERROR(INDEX('Aub Demand'!T:T,MATCH(O1530,'Aub Demand'!A:A,0)),"")</f>
        <v>0</v>
      </c>
      <c r="K1530" s="25">
        <f>IFERROR(INDEX('Aub Demand'!S:S,MATCH(O1530,'Aub Demand'!A:A,0)),"")</f>
        <v>1196</v>
      </c>
      <c r="L1530" s="25">
        <f>IFERROR(INDEX('Aub Demand'!R:R,MATCH(O1530,'Aub Demand'!A:A,0)),"")</f>
        <v>18</v>
      </c>
      <c r="O1530" s="27" t="s">
        <v>1844</v>
      </c>
      <c r="P1530" s="27" t="str">
        <f>IFERROR(INDEX('Aub Demand'!B:B,MATCH($O1530,'Aub Demand'!$A:$A,0)),"")</f>
        <v>SLEEPING IN</v>
      </c>
      <c r="Q1530" s="27" t="str">
        <f>IFERROR(INDEX('Aub Demand'!C:C,MATCH($O1530,'Aub Demand'!$A:$A,0)),"")</f>
        <v>IMPRE</v>
      </c>
      <c r="R1530" s="52">
        <f>IFERROR(IF(AR1531=AR1530,INDEX('Aub Demand'!K:K,MATCH($O1530,'Aub Demand'!$A:$A,0))-IF(AN1530="",0,AN1530)+AP1531,INDEX('Aub Demand'!K:K,MATCH($O1530,'Aub Demand'!$A:$A,0))-IF(AN1530="",0,AN1530)),"")</f>
        <v>6783</v>
      </c>
      <c r="S1530" s="53">
        <f t="shared" si="644"/>
        <v>72.3</v>
      </c>
      <c r="T1530" s="52" t="str">
        <f t="shared" si="645"/>
        <v/>
      </c>
      <c r="U1530" s="52">
        <f>IFERROR(IF(AR1531=AR1530,INDEX('Aub Demand'!Q:Q,MATCH($O1530,'Aub Demand'!$A:$A,0))-IF(AN1530="",0,AN1530)+AP1531,INDEX('Aub Demand'!Q:Q,MATCH($O1530,'Aub Demand'!$A:$A,0))-IF(AN1530="",0,AN1530)),"")</f>
        <v>6766</v>
      </c>
      <c r="V1530" s="53">
        <f t="shared" si="646"/>
        <v>72.099999999999994</v>
      </c>
      <c r="W1530" s="52" t="str">
        <f t="shared" si="647"/>
        <v/>
      </c>
      <c r="X1530" s="52">
        <f>IFERROR(IF(AND(AR1531=AR1530,AM1530&lt;&gt;""),INDEX('Aub Demand'!Q:Q,MATCH($O1530,'Aub Demand'!$A:$A,0))-IF(AN1530="",0,AN1530)+AP1531+AD1530+AL1530,IF(AR1531=AR1530,INDEX('Aub Demand'!Q:Q,MATCH($O1530,'Aub Demand'!$A:$A,0))-IF(AN1530="",0,AN1530)+AP1531+AD1530,IF(AM1530&lt;&gt;"",INDEX('Aub Demand'!Q:Q,MATCH($O1530,'Aub Demand'!$A:$A,0))-IF(AN1530="",0,AN1530)+AD1530+AL1530,INDEX('Aub Demand'!Q:Q,MATCH($O1530,'Aub Demand'!$A:$A,0))-IF(AN1530="",0,AN1530)+AD1530))),"")</f>
        <v>6766</v>
      </c>
      <c r="Y1530" s="53">
        <f t="shared" si="648"/>
        <v>72.099999999999994</v>
      </c>
      <c r="Z1530" s="52">
        <f>IF(L1530="","",INDEX('Aub Demand'!H:H,MATCH($O1530,'Aub Demand'!$A:$A,0)))</f>
        <v>402</v>
      </c>
      <c r="AA1530" s="52">
        <f t="shared" si="649"/>
        <v>607</v>
      </c>
      <c r="AB1530" s="52">
        <f>IFERROR(INDEX('Aub Demand'!L:L,MATCH($O1530,'Aub Demand'!$A:$A,0)),"")</f>
        <v>28</v>
      </c>
      <c r="AC1530" s="52">
        <f>IFERROR(IF(O1530="","",SUMIFS('CPL Mats'!F:F,'CPL Mats'!Q:Q,AR1530,'CPL Mats'!S:S,AS1530)),"")</f>
        <v>99.86</v>
      </c>
      <c r="AF1530" s="25">
        <f>IF(SUMIFS('Supp Consol'!S:S,'Supp Consol'!Y:Y,"Releasable",'Supp Consol'!A:A,O1530)=0,"",SUMIFS('Supp Consol'!S:S,'Supp Consol'!Y:Y,"Releasable",'Supp Consol'!A:A,O1530))</f>
        <v>5725</v>
      </c>
      <c r="AG1530" s="25">
        <f>IFERROR(INDEX('Hun Demand'!Q:Q,MATCH(O1530,'Hun Demand'!A:A,0)),"")</f>
        <v>992</v>
      </c>
      <c r="AH1530" s="25">
        <f>IFERROR(INDEX('Hun Demand'!H:H,MATCH($O1530,'Hun Demand'!$A:$A,0)),"")</f>
        <v>51</v>
      </c>
      <c r="AI1530" s="25">
        <f>IF(SUMIFS('Supp Consol'!AA:AA,'Supp Consol'!Z:Z,"Expires this month",'Supp Consol'!A:A,O1530)=0,"",SUMIFS('Supp Consol'!AA:AA,'Supp Consol'!Z:Z,"Expires this month",'Supp Consol'!A:A,O1530))</f>
        <v>2136</v>
      </c>
      <c r="AJ1530" s="25" t="str">
        <f>IF(SUMIFS('Supp Consol'!AA:AA,'Supp Consol'!Z:Z,"Expired Previous Months",'Supp Consol'!A:A,O1530)=0,"",SUMIFS('Supp Consol'!AA:AA,'Supp Consol'!Z:Z,"Expired Previous Months",'Supp Consol'!A:A,O1530))</f>
        <v/>
      </c>
      <c r="AK1530" s="25" t="str">
        <f>IFERROR(INDEX('Hun Release Current'!B:B,MATCH(O1530,'Hun Release Current'!A:A,0)),"")</f>
        <v/>
      </c>
      <c r="AL1530" s="25" t="str">
        <f>IF(SUMIF('Prev Aub'!A:A,O1530,'Prev Aub'!B:B)=0,"",SUMIF('Prev Aub'!A:A,O1530,'Prev Aub'!B:B))</f>
        <v/>
      </c>
      <c r="AN1530" s="25" t="s">
        <v>3790</v>
      </c>
      <c r="AO1530" s="25" t="s">
        <v>3790</v>
      </c>
      <c r="AP1530" s="25">
        <f t="shared" si="650"/>
        <v>0</v>
      </c>
      <c r="AQ1530" s="151" t="str">
        <f>IF(SUMIFS('Supp Consol'!S:S,'Supp Consol'!A:A,O1530,'Supp Consol'!I:I,"PENDING")=0,"",SUMIFS('Supp Consol'!S:S,'Supp Consol'!A:A,O1530,'Supp Consol'!I:I,"PENDING"))</f>
        <v/>
      </c>
      <c r="AR1530" s="27" t="str">
        <f t="shared" si="651"/>
        <v>WT870</v>
      </c>
      <c r="AS1530" s="27" t="str">
        <f t="shared" si="652"/>
        <v>62</v>
      </c>
      <c r="AT1530" s="27" t="str">
        <f t="shared" si="653"/>
        <v/>
      </c>
      <c r="AU1530" s="27" t="str">
        <f t="shared" si="654"/>
        <v/>
      </c>
      <c r="AV1530" s="27" t="str">
        <f t="shared" si="655"/>
        <v/>
      </c>
      <c r="AW1530" s="27" t="str">
        <f t="shared" si="656"/>
        <v>WT870</v>
      </c>
      <c r="AX1530" s="27" t="str">
        <f t="shared" si="657"/>
        <v>WT870</v>
      </c>
      <c r="AY1530" s="27" t="str">
        <f t="shared" si="658"/>
        <v>WT870</v>
      </c>
      <c r="AZ1530" s="27" t="str">
        <f t="shared" si="659"/>
        <v>Supp</v>
      </c>
      <c r="BA1530" s="27" t="str">
        <f t="shared" si="660"/>
        <v>Hun</v>
      </c>
      <c r="BB1530" s="27" t="str">
        <f t="shared" si="661"/>
        <v/>
      </c>
      <c r="BC1530" s="27" t="str">
        <f t="shared" si="662"/>
        <v/>
      </c>
      <c r="BD1530" s="27" t="str">
        <f t="shared" si="663"/>
        <v/>
      </c>
      <c r="BE1530" s="27" t="str">
        <f t="shared" si="664"/>
        <v>Exp</v>
      </c>
      <c r="BF1530" s="27" t="str">
        <f t="shared" si="665"/>
        <v/>
      </c>
      <c r="BG1530" s="27" t="str">
        <f t="shared" si="666"/>
        <v>S+NorE</v>
      </c>
      <c r="BH1530" s="27" t="str">
        <f t="shared" si="667"/>
        <v/>
      </c>
      <c r="BI1530" s="27" t="str">
        <f t="shared" si="668"/>
        <v/>
      </c>
      <c r="BJ1530" s="27" t="str">
        <f t="shared" si="669"/>
        <v>Supp or Hun</v>
      </c>
      <c r="BK1530" s="27" t="str">
        <f t="shared" si="670"/>
        <v/>
      </c>
      <c r="BL1530" s="27" t="str">
        <f t="shared" si="671"/>
        <v>SorHandNandE</v>
      </c>
      <c r="BM1530" s="21" t="s">
        <v>5581</v>
      </c>
    </row>
    <row r="1531" spans="1:65" ht="15">
      <c r="A1531" s="25" t="str">
        <f>IFERROR(INDEX('Hun Demand'!W:W,MATCH(O1531,'Hun Demand'!A:A,0)),"")</f>
        <v/>
      </c>
      <c r="B1531" s="25" t="str">
        <f>IFERROR(INDEX('Hun Demand'!V:V,MATCH(O1531,'Hun Demand'!A:A,0)),"")</f>
        <v/>
      </c>
      <c r="C1531" s="25" t="str">
        <f>IFERROR(INDEX('Hun Demand'!U:U,MATCH(O1531,'Hun Demand'!A:A,0)),"")</f>
        <v/>
      </c>
      <c r="D1531" s="25" t="str">
        <f>IFERROR(INDEX('Hun Demand'!T:T,MATCH(O1531,'Hun Demand'!A:A,0)),"")</f>
        <v/>
      </c>
      <c r="E1531" s="25" t="str">
        <f>IFERROR(INDEX('Hun Demand'!S:S,MATCH(O1531,'Hun Demand'!A:A,0)),"")</f>
        <v/>
      </c>
      <c r="F1531" s="25" t="str">
        <f>IFERROR(INDEX('Hun Demand'!R:R,MATCH(O1531,'Hun Demand'!A:A,0)),"")</f>
        <v/>
      </c>
      <c r="G1531" s="25">
        <f>IFERROR(INDEX('Aub Demand'!W:W,MATCH(O1531,'Aub Demand'!A:A,0)),"")</f>
        <v>0</v>
      </c>
      <c r="H1531" s="25">
        <f>IFERROR(INDEX('Aub Demand'!V:V,MATCH(O1531,'Aub Demand'!A:A,0)),"")</f>
        <v>0</v>
      </c>
      <c r="I1531" s="25">
        <f>IFERROR(INDEX('Aub Demand'!U:U,MATCH(O1531,'Aub Demand'!A:A,0)),"")</f>
        <v>0</v>
      </c>
      <c r="J1531" s="25">
        <f>IFERROR(INDEX('Aub Demand'!T:T,MATCH(O1531,'Aub Demand'!A:A,0)),"")</f>
        <v>58</v>
      </c>
      <c r="K1531" s="25">
        <f>IFERROR(INDEX('Aub Demand'!S:S,MATCH(O1531,'Aub Demand'!A:A,0)),"")</f>
        <v>0</v>
      </c>
      <c r="L1531" s="25">
        <f>IFERROR(INDEX('Aub Demand'!R:R,MATCH(O1531,'Aub Demand'!A:A,0)),"")</f>
        <v>0</v>
      </c>
      <c r="O1531" s="27" t="s">
        <v>1845</v>
      </c>
      <c r="P1531" s="27" t="str">
        <f>IFERROR(INDEX('Aub Demand'!B:B,MATCH($O1531,'Aub Demand'!$A:$A,0)),"")</f>
        <v>COOL AUTUMN NIGHT</v>
      </c>
      <c r="Q1531" s="27" t="str">
        <f>IFERROR(INDEX('Aub Demand'!C:C,MATCH($O1531,'Aub Demand'!$A:$A,0)),"")</f>
        <v>IMPRE</v>
      </c>
      <c r="R1531" s="52">
        <f>IFERROR(IF(AR1532=AR1531,INDEX('Aub Demand'!K:K,MATCH($O1531,'Aub Demand'!$A:$A,0))-IF(AN1531="",0,AN1531)+AP1532,INDEX('Aub Demand'!K:K,MATCH($O1531,'Aub Demand'!$A:$A,0))-IF(AN1531="",0,AN1531)),"")</f>
        <v>5821</v>
      </c>
      <c r="S1531" s="53">
        <f t="shared" si="644"/>
        <v>1313</v>
      </c>
      <c r="T1531" s="52" t="str">
        <f t="shared" si="645"/>
        <v/>
      </c>
      <c r="U1531" s="52">
        <f>IFERROR(IF(AR1532=AR1531,INDEX('Aub Demand'!Q:Q,MATCH($O1531,'Aub Demand'!$A:$A,0))-IF(AN1531="",0,AN1531)+AP1532,INDEX('Aub Demand'!Q:Q,MATCH($O1531,'Aub Demand'!$A:$A,0))-IF(AN1531="",0,AN1531)),"")</f>
        <v>5812</v>
      </c>
      <c r="V1531" s="53">
        <f t="shared" si="646"/>
        <v>1311</v>
      </c>
      <c r="W1531" s="52" t="str">
        <f t="shared" si="647"/>
        <v/>
      </c>
      <c r="X1531" s="52">
        <f>IFERROR(IF(AND(AR1532=AR1531,AM1531&lt;&gt;""),INDEX('Aub Demand'!Q:Q,MATCH($O1531,'Aub Demand'!$A:$A,0))-IF(AN1531="",0,AN1531)+AP1532+AD1531+AL1531,IF(AR1532=AR1531,INDEX('Aub Demand'!Q:Q,MATCH($O1531,'Aub Demand'!$A:$A,0))-IF(AN1531="",0,AN1531)+AP1532+AD1531,IF(AM1531&lt;&gt;"",INDEX('Aub Demand'!Q:Q,MATCH($O1531,'Aub Demand'!$A:$A,0))-IF(AN1531="",0,AN1531)+AD1531+AL1531,INDEX('Aub Demand'!Q:Q,MATCH($O1531,'Aub Demand'!$A:$A,0))-IF(AN1531="",0,AN1531)+AD1531))),"")</f>
        <v>5812</v>
      </c>
      <c r="Y1531" s="53">
        <f t="shared" si="648"/>
        <v>1311</v>
      </c>
      <c r="Z1531" s="52">
        <f>IF(L1531="","",INDEX('Aub Demand'!H:H,MATCH($O1531,'Aub Demand'!$A:$A,0)))</f>
        <v>19</v>
      </c>
      <c r="AA1531" s="52" t="str">
        <f t="shared" si="649"/>
        <v>-spike-</v>
      </c>
      <c r="AB1531" s="52">
        <f>IFERROR(INDEX('Aub Demand'!L:L,MATCH($O1531,'Aub Demand'!$A:$A,0)),"")</f>
        <v>34</v>
      </c>
      <c r="AC1531" s="52">
        <f>IFERROR(IF(O1531="","",SUMIFS('CPL Mats'!F:F,'CPL Mats'!Q:Q,AR1531,'CPL Mats'!S:S,AS1531)),"")</f>
        <v>0</v>
      </c>
      <c r="AF1531" s="25" t="str">
        <f>IF(SUMIFS('Supp Consol'!S:S,'Supp Consol'!Y:Y,"Releasable",'Supp Consol'!A:A,O1531)=0,"",SUMIFS('Supp Consol'!S:S,'Supp Consol'!Y:Y,"Releasable",'Supp Consol'!A:A,O1531))</f>
        <v/>
      </c>
      <c r="AG1531" s="25" t="str">
        <f>IFERROR(INDEX('Hun Demand'!Q:Q,MATCH(O1531,'Hun Demand'!A:A,0)),"")</f>
        <v/>
      </c>
      <c r="AH1531" s="25" t="str">
        <f>IFERROR(INDEX('Hun Demand'!H:H,MATCH($O1531,'Hun Demand'!$A:$A,0)),"")</f>
        <v/>
      </c>
      <c r="AI1531" s="25" t="str">
        <f>IF(SUMIFS('Supp Consol'!AA:AA,'Supp Consol'!Z:Z,"Expires this month",'Supp Consol'!A:A,O1531)=0,"",SUMIFS('Supp Consol'!AA:AA,'Supp Consol'!Z:Z,"Expires this month",'Supp Consol'!A:A,O1531))</f>
        <v/>
      </c>
      <c r="AJ1531" s="25" t="str">
        <f>IF(SUMIFS('Supp Consol'!AA:AA,'Supp Consol'!Z:Z,"Expired Previous Months",'Supp Consol'!A:A,O1531)=0,"",SUMIFS('Supp Consol'!AA:AA,'Supp Consol'!Z:Z,"Expired Previous Months",'Supp Consol'!A:A,O1531))</f>
        <v/>
      </c>
      <c r="AK1531" s="25" t="str">
        <f>IFERROR(INDEX('Hun Release Current'!B:B,MATCH(O1531,'Hun Release Current'!A:A,0)),"")</f>
        <v/>
      </c>
      <c r="AL1531" s="25" t="str">
        <f>IF(SUMIF('Prev Aub'!A:A,O1531,'Prev Aub'!B:B)=0,"",SUMIF('Prev Aub'!A:A,O1531,'Prev Aub'!B:B))</f>
        <v/>
      </c>
      <c r="AN1531" s="25" t="s">
        <v>3790</v>
      </c>
      <c r="AO1531" s="25" t="s">
        <v>3790</v>
      </c>
      <c r="AP1531" s="25">
        <f t="shared" si="650"/>
        <v>0</v>
      </c>
      <c r="AQ1531" s="151" t="str">
        <f>IF(SUMIFS('Supp Consol'!S:S,'Supp Consol'!A:A,O1531,'Supp Consol'!I:I,"PENDING")=0,"",SUMIFS('Supp Consol'!S:S,'Supp Consol'!A:A,O1531,'Supp Consol'!I:I,"PENDING"))</f>
        <v/>
      </c>
      <c r="AR1531" s="27" t="str">
        <f t="shared" si="651"/>
        <v>WT880</v>
      </c>
      <c r="AS1531" s="27" t="str">
        <f t="shared" si="652"/>
        <v>50</v>
      </c>
      <c r="AT1531" s="27" t="str">
        <f t="shared" si="653"/>
        <v/>
      </c>
      <c r="AU1531" s="27" t="str">
        <f t="shared" si="654"/>
        <v/>
      </c>
      <c r="AV1531" s="27" t="str">
        <f t="shared" si="655"/>
        <v/>
      </c>
      <c r="AW1531" s="27" t="str">
        <f t="shared" si="656"/>
        <v/>
      </c>
      <c r="AX1531" s="27" t="str">
        <f t="shared" si="657"/>
        <v/>
      </c>
      <c r="AY1531" s="27" t="str">
        <f t="shared" si="658"/>
        <v/>
      </c>
      <c r="AZ1531" s="27" t="str">
        <f t="shared" si="659"/>
        <v/>
      </c>
      <c r="BA1531" s="27" t="str">
        <f t="shared" si="660"/>
        <v/>
      </c>
      <c r="BB1531" s="27" t="str">
        <f t="shared" si="661"/>
        <v/>
      </c>
      <c r="BC1531" s="27" t="str">
        <f t="shared" si="662"/>
        <v/>
      </c>
      <c r="BD1531" s="27" t="str">
        <f t="shared" si="663"/>
        <v/>
      </c>
      <c r="BE1531" s="27" t="str">
        <f t="shared" si="664"/>
        <v/>
      </c>
      <c r="BF1531" s="27" t="str">
        <f t="shared" si="665"/>
        <v/>
      </c>
      <c r="BG1531" s="27" t="str">
        <f t="shared" si="666"/>
        <v/>
      </c>
      <c r="BH1531" s="27" t="str">
        <f t="shared" si="667"/>
        <v/>
      </c>
      <c r="BI1531" s="27" t="str">
        <f t="shared" si="668"/>
        <v/>
      </c>
      <c r="BJ1531" s="27" t="str">
        <f t="shared" si="669"/>
        <v/>
      </c>
      <c r="BK1531" s="27" t="str">
        <f t="shared" si="670"/>
        <v/>
      </c>
      <c r="BL1531" s="27" t="str">
        <f t="shared" si="671"/>
        <v/>
      </c>
      <c r="BM1531" s="21" t="s">
        <v>5581</v>
      </c>
    </row>
    <row r="1532" spans="1:65" ht="15">
      <c r="A1532" s="25" t="str">
        <f>IFERROR(INDEX('Hun Demand'!W:W,MATCH(O1532,'Hun Demand'!A:A,0)),"")</f>
        <v/>
      </c>
      <c r="B1532" s="25" t="str">
        <f>IFERROR(INDEX('Hun Demand'!V:V,MATCH(O1532,'Hun Demand'!A:A,0)),"")</f>
        <v/>
      </c>
      <c r="C1532" s="25" t="str">
        <f>IFERROR(INDEX('Hun Demand'!U:U,MATCH(O1532,'Hun Demand'!A:A,0)),"")</f>
        <v/>
      </c>
      <c r="D1532" s="25" t="str">
        <f>IFERROR(INDEX('Hun Demand'!T:T,MATCH(O1532,'Hun Demand'!A:A,0)),"")</f>
        <v/>
      </c>
      <c r="E1532" s="25" t="str">
        <f>IFERROR(INDEX('Hun Demand'!S:S,MATCH(O1532,'Hun Demand'!A:A,0)),"")</f>
        <v/>
      </c>
      <c r="F1532" s="25" t="str">
        <f>IFERROR(INDEX('Hun Demand'!R:R,MATCH(O1532,'Hun Demand'!A:A,0)),"")</f>
        <v/>
      </c>
      <c r="G1532" s="25">
        <f>IFERROR(INDEX('Aub Demand'!W:W,MATCH(O1532,'Aub Demand'!A:A,0)),"")</f>
        <v>0</v>
      </c>
      <c r="H1532" s="25">
        <f>IFERROR(INDEX('Aub Demand'!V:V,MATCH(O1532,'Aub Demand'!A:A,0)),"")</f>
        <v>0</v>
      </c>
      <c r="I1532" s="25">
        <f>IFERROR(INDEX('Aub Demand'!U:U,MATCH(O1532,'Aub Demand'!A:A,0)),"")</f>
        <v>0</v>
      </c>
      <c r="J1532" s="25">
        <f>IFERROR(INDEX('Aub Demand'!T:T,MATCH(O1532,'Aub Demand'!A:A,0)),"")</f>
        <v>0</v>
      </c>
      <c r="K1532" s="25">
        <f>IFERROR(INDEX('Aub Demand'!S:S,MATCH(O1532,'Aub Demand'!A:A,0)),"")</f>
        <v>44</v>
      </c>
      <c r="L1532" s="25">
        <f>IFERROR(INDEX('Aub Demand'!R:R,MATCH(O1532,'Aub Demand'!A:A,0)),"")</f>
        <v>0</v>
      </c>
      <c r="O1532" s="27" t="s">
        <v>1847</v>
      </c>
      <c r="P1532" s="27" t="str">
        <f>IFERROR(INDEX('Aub Demand'!B:B,MATCH($O1532,'Aub Demand'!$A:$A,0)),"")</f>
        <v>COOL AUTUMN NIGHT</v>
      </c>
      <c r="Q1532" s="27" t="str">
        <f>IFERROR(INDEX('Aub Demand'!C:C,MATCH($O1532,'Aub Demand'!$A:$A,0)),"")</f>
        <v>IMPRE</v>
      </c>
      <c r="R1532" s="52">
        <f>IFERROR(IF(AR1533=AR1532,INDEX('Aub Demand'!K:K,MATCH($O1532,'Aub Demand'!$A:$A,0))-IF(AN1532="",0,AN1532)+AP1533,INDEX('Aub Demand'!K:K,MATCH($O1532,'Aub Demand'!$A:$A,0))-IF(AN1532="",0,AN1532)),"")</f>
        <v>1480</v>
      </c>
      <c r="S1532" s="53">
        <f t="shared" si="644"/>
        <v>422.9</v>
      </c>
      <c r="T1532" s="52" t="str">
        <f t="shared" si="645"/>
        <v/>
      </c>
      <c r="U1532" s="52">
        <f>IFERROR(IF(AR1533=AR1532,INDEX('Aub Demand'!Q:Q,MATCH($O1532,'Aub Demand'!$A:$A,0))-IF(AN1532="",0,AN1532)+AP1533,INDEX('Aub Demand'!Q:Q,MATCH($O1532,'Aub Demand'!$A:$A,0))-IF(AN1532="",0,AN1532)),"")</f>
        <v>1463</v>
      </c>
      <c r="V1532" s="53">
        <f t="shared" si="646"/>
        <v>418</v>
      </c>
      <c r="W1532" s="52" t="str">
        <f t="shared" si="647"/>
        <v/>
      </c>
      <c r="X1532" s="52">
        <f>IFERROR(IF(AND(AR1533=AR1532,AM1532&lt;&gt;""),INDEX('Aub Demand'!Q:Q,MATCH($O1532,'Aub Demand'!$A:$A,0))-IF(AN1532="",0,AN1532)+AP1533+AD1532+AL1532,IF(AR1533=AR1532,INDEX('Aub Demand'!Q:Q,MATCH($O1532,'Aub Demand'!$A:$A,0))-IF(AN1532="",0,AN1532)+AP1533+AD1532,IF(AM1532&lt;&gt;"",INDEX('Aub Demand'!Q:Q,MATCH($O1532,'Aub Demand'!$A:$A,0))-IF(AN1532="",0,AN1532)+AD1532+AL1532,INDEX('Aub Demand'!Q:Q,MATCH($O1532,'Aub Demand'!$A:$A,0))-IF(AN1532="",0,AN1532)+AD1532))),"")</f>
        <v>1463</v>
      </c>
      <c r="Y1532" s="53">
        <f t="shared" si="648"/>
        <v>418</v>
      </c>
      <c r="Z1532" s="52">
        <f>IF(L1532="","",INDEX('Aub Demand'!H:H,MATCH($O1532,'Aub Demand'!$A:$A,0)))</f>
        <v>15</v>
      </c>
      <c r="AA1532" s="52" t="str">
        <f t="shared" si="649"/>
        <v>-spike-</v>
      </c>
      <c r="AB1532" s="52">
        <f>IFERROR(INDEX('Aub Demand'!L:L,MATCH($O1532,'Aub Demand'!$A:$A,0)),"")</f>
        <v>0</v>
      </c>
      <c r="AC1532" s="52">
        <f>IFERROR(IF(O1532="","",SUMIFS('CPL Mats'!F:F,'CPL Mats'!Q:Q,AR1532,'CPL Mats'!S:S,AS1532)),"")</f>
        <v>0</v>
      </c>
      <c r="AF1532" s="25" t="str">
        <f>IF(SUMIFS('Supp Consol'!S:S,'Supp Consol'!Y:Y,"Releasable",'Supp Consol'!A:A,O1532)=0,"",SUMIFS('Supp Consol'!S:S,'Supp Consol'!Y:Y,"Releasable",'Supp Consol'!A:A,O1532))</f>
        <v/>
      </c>
      <c r="AG1532" s="25" t="str">
        <f>IFERROR(INDEX('Hun Demand'!Q:Q,MATCH(O1532,'Hun Demand'!A:A,0)),"")</f>
        <v/>
      </c>
      <c r="AH1532" s="25" t="str">
        <f>IFERROR(INDEX('Hun Demand'!H:H,MATCH($O1532,'Hun Demand'!$A:$A,0)),"")</f>
        <v/>
      </c>
      <c r="AI1532" s="25" t="str">
        <f>IF(SUMIFS('Supp Consol'!AA:AA,'Supp Consol'!Z:Z,"Expires this month",'Supp Consol'!A:A,O1532)=0,"",SUMIFS('Supp Consol'!AA:AA,'Supp Consol'!Z:Z,"Expires this month",'Supp Consol'!A:A,O1532))</f>
        <v/>
      </c>
      <c r="AJ1532" s="25" t="str">
        <f>IF(SUMIFS('Supp Consol'!AA:AA,'Supp Consol'!Z:Z,"Expired Previous Months",'Supp Consol'!A:A,O1532)=0,"",SUMIFS('Supp Consol'!AA:AA,'Supp Consol'!Z:Z,"Expired Previous Months",'Supp Consol'!A:A,O1532))</f>
        <v/>
      </c>
      <c r="AK1532" s="25" t="str">
        <f>IFERROR(INDEX('Hun Release Current'!B:B,MATCH(O1532,'Hun Release Current'!A:A,0)),"")</f>
        <v/>
      </c>
      <c r="AL1532" s="25" t="str">
        <f>IF(SUMIF('Prev Aub'!A:A,O1532,'Prev Aub'!B:B)=0,"",SUMIF('Prev Aub'!A:A,O1532,'Prev Aub'!B:B))</f>
        <v/>
      </c>
      <c r="AN1532" s="25" t="s">
        <v>3790</v>
      </c>
      <c r="AO1532" s="25" t="s">
        <v>3790</v>
      </c>
      <c r="AP1532" s="25">
        <f t="shared" si="650"/>
        <v>0</v>
      </c>
      <c r="AQ1532" s="151" t="str">
        <f>IF(SUMIFS('Supp Consol'!S:S,'Supp Consol'!A:A,O1532,'Supp Consol'!I:I,"PENDING")=0,"",SUMIFS('Supp Consol'!S:S,'Supp Consol'!A:A,O1532,'Supp Consol'!I:I,"PENDING"))</f>
        <v/>
      </c>
      <c r="AR1532" s="27" t="str">
        <f t="shared" si="651"/>
        <v>WT880</v>
      </c>
      <c r="AS1532" s="27" t="str">
        <f t="shared" si="652"/>
        <v>62</v>
      </c>
      <c r="AT1532" s="27" t="str">
        <f t="shared" si="653"/>
        <v/>
      </c>
      <c r="AU1532" s="27" t="str">
        <f t="shared" si="654"/>
        <v/>
      </c>
      <c r="AV1532" s="27" t="str">
        <f t="shared" si="655"/>
        <v/>
      </c>
      <c r="AW1532" s="27" t="str">
        <f t="shared" si="656"/>
        <v/>
      </c>
      <c r="AX1532" s="27" t="str">
        <f t="shared" si="657"/>
        <v/>
      </c>
      <c r="AY1532" s="27" t="str">
        <f t="shared" si="658"/>
        <v/>
      </c>
      <c r="AZ1532" s="27" t="str">
        <f t="shared" si="659"/>
        <v/>
      </c>
      <c r="BA1532" s="27" t="str">
        <f t="shared" si="660"/>
        <v/>
      </c>
      <c r="BB1532" s="27" t="str">
        <f t="shared" si="661"/>
        <v/>
      </c>
      <c r="BC1532" s="27" t="str">
        <f t="shared" si="662"/>
        <v/>
      </c>
      <c r="BD1532" s="27" t="str">
        <f t="shared" si="663"/>
        <v/>
      </c>
      <c r="BE1532" s="27" t="str">
        <f t="shared" si="664"/>
        <v/>
      </c>
      <c r="BF1532" s="27" t="str">
        <f t="shared" si="665"/>
        <v/>
      </c>
      <c r="BG1532" s="27" t="str">
        <f t="shared" si="666"/>
        <v/>
      </c>
      <c r="BH1532" s="27" t="str">
        <f t="shared" si="667"/>
        <v/>
      </c>
      <c r="BI1532" s="27" t="str">
        <f t="shared" si="668"/>
        <v/>
      </c>
      <c r="BJ1532" s="27" t="str">
        <f t="shared" si="669"/>
        <v/>
      </c>
      <c r="BK1532" s="27" t="str">
        <f t="shared" si="670"/>
        <v/>
      </c>
      <c r="BL1532" s="27" t="str">
        <f t="shared" si="671"/>
        <v/>
      </c>
      <c r="BM1532" s="21" t="s">
        <v>5581</v>
      </c>
    </row>
    <row r="1533" spans="1:65" ht="15">
      <c r="A1533" s="25">
        <f>IFERROR(INDEX('Hun Demand'!W:W,MATCH(O1533,'Hun Demand'!A:A,0)),"")</f>
        <v>380</v>
      </c>
      <c r="B1533" s="25">
        <f>IFERROR(INDEX('Hun Demand'!V:V,MATCH(O1533,'Hun Demand'!A:A,0)),"")</f>
        <v>438</v>
      </c>
      <c r="C1533" s="25">
        <f>IFERROR(INDEX('Hun Demand'!U:U,MATCH(O1533,'Hun Demand'!A:A,0)),"")</f>
        <v>554</v>
      </c>
      <c r="D1533" s="25">
        <f>IFERROR(INDEX('Hun Demand'!T:T,MATCH(O1533,'Hun Demand'!A:A,0)),"")</f>
        <v>204</v>
      </c>
      <c r="E1533" s="25">
        <f>IFERROR(INDEX('Hun Demand'!S:S,MATCH(O1533,'Hun Demand'!A:A,0)),"")</f>
        <v>694</v>
      </c>
      <c r="F1533" s="25">
        <f>IFERROR(INDEX('Hun Demand'!R:R,MATCH(O1533,'Hun Demand'!A:A,0)),"")</f>
        <v>0</v>
      </c>
      <c r="G1533" s="25">
        <f>IFERROR(INDEX('Aub Demand'!W:W,MATCH(O1533,'Aub Demand'!A:A,0)),"")</f>
        <v>0</v>
      </c>
      <c r="H1533" s="25">
        <f>IFERROR(INDEX('Aub Demand'!V:V,MATCH(O1533,'Aub Demand'!A:A,0)),"")</f>
        <v>0</v>
      </c>
      <c r="I1533" s="25">
        <f>IFERROR(INDEX('Aub Demand'!U:U,MATCH(O1533,'Aub Demand'!A:A,0)),"")</f>
        <v>10</v>
      </c>
      <c r="J1533" s="25">
        <f>IFERROR(INDEX('Aub Demand'!T:T,MATCH(O1533,'Aub Demand'!A:A,0)),"")</f>
        <v>0</v>
      </c>
      <c r="K1533" s="25">
        <f>IFERROR(INDEX('Aub Demand'!S:S,MATCH(O1533,'Aub Demand'!A:A,0)),"")</f>
        <v>9</v>
      </c>
      <c r="L1533" s="25">
        <f>IFERROR(INDEX('Aub Demand'!R:R,MATCH(O1533,'Aub Demand'!A:A,0)),"")</f>
        <v>0</v>
      </c>
      <c r="O1533" s="27" t="s">
        <v>1848</v>
      </c>
      <c r="P1533" s="27" t="str">
        <f>IFERROR(INDEX('Aub Demand'!B:B,MATCH($O1533,'Aub Demand'!$A:$A,0)),"")</f>
        <v>WEATHERED TEAK (3H)</v>
      </c>
      <c r="Q1533" s="27" t="str">
        <f>IFERROR(INDEX('Aub Demand'!C:C,MATCH($O1533,'Aub Demand'!$A:$A,0)),"")</f>
        <v>INTER</v>
      </c>
      <c r="R1533" s="52">
        <f>IFERROR(IF(AR1534=AR1533,INDEX('Aub Demand'!K:K,MATCH($O1533,'Aub Demand'!$A:$A,0))-IF(AN1533="",0,AN1533)+AP1534,INDEX('Aub Demand'!K:K,MATCH($O1533,'Aub Demand'!$A:$A,0))-IF(AN1533="",0,AN1533)),"")</f>
        <v>675</v>
      </c>
      <c r="S1533" s="53">
        <f t="shared" si="644"/>
        <v>482.1</v>
      </c>
      <c r="T1533" s="52" t="str">
        <f t="shared" si="645"/>
        <v/>
      </c>
      <c r="U1533" s="52">
        <f>IFERROR(IF(AR1534=AR1533,INDEX('Aub Demand'!Q:Q,MATCH($O1533,'Aub Demand'!$A:$A,0))-IF(AN1533="",0,AN1533)+AP1534,INDEX('Aub Demand'!Q:Q,MATCH($O1533,'Aub Demand'!$A:$A,0))-IF(AN1533="",0,AN1533)),"")</f>
        <v>675</v>
      </c>
      <c r="V1533" s="53">
        <f t="shared" si="646"/>
        <v>482.1</v>
      </c>
      <c r="W1533" s="52" t="str">
        <f t="shared" si="647"/>
        <v/>
      </c>
      <c r="X1533" s="52">
        <f>IFERROR(IF(AND(AR1534=AR1533,AM1533&lt;&gt;""),INDEX('Aub Demand'!Q:Q,MATCH($O1533,'Aub Demand'!$A:$A,0))-IF(AN1533="",0,AN1533)+AP1534+AD1533+AL1533,IF(AR1534=AR1533,INDEX('Aub Demand'!Q:Q,MATCH($O1533,'Aub Demand'!$A:$A,0))-IF(AN1533="",0,AN1533)+AP1534+AD1533,IF(AM1533&lt;&gt;"",INDEX('Aub Demand'!Q:Q,MATCH($O1533,'Aub Demand'!$A:$A,0))-IF(AN1533="",0,AN1533)+AD1533+AL1533,INDEX('Aub Demand'!Q:Q,MATCH($O1533,'Aub Demand'!$A:$A,0))-IF(AN1533="",0,AN1533)+AD1533))),"")</f>
        <v>675</v>
      </c>
      <c r="Y1533" s="53">
        <f t="shared" si="648"/>
        <v>482.1</v>
      </c>
      <c r="Z1533" s="52">
        <f>IF(L1533="","",INDEX('Aub Demand'!H:H,MATCH($O1533,'Aub Demand'!$A:$A,0)))</f>
        <v>6</v>
      </c>
      <c r="AA1533" s="52">
        <f t="shared" si="649"/>
        <v>9.5</v>
      </c>
      <c r="AB1533" s="52">
        <f>IFERROR(INDEX('Aub Demand'!L:L,MATCH($O1533,'Aub Demand'!$A:$A,0)),"")</f>
        <v>2</v>
      </c>
      <c r="AC1533" s="52">
        <f>IFERROR(IF(O1533="","",SUMIFS('CPL Mats'!F:F,'CPL Mats'!Q:Q,AR1533,'CPL Mats'!S:S,AS1533)),"")</f>
        <v>0</v>
      </c>
      <c r="AF1533" s="25" t="str">
        <f>IF(SUMIFS('Supp Consol'!S:S,'Supp Consol'!Y:Y,"Releasable",'Supp Consol'!A:A,O1533)=0,"",SUMIFS('Supp Consol'!S:S,'Supp Consol'!Y:Y,"Releasable",'Supp Consol'!A:A,O1533))</f>
        <v/>
      </c>
      <c r="AG1533" s="25">
        <f>IFERROR(INDEX('Hun Demand'!Q:Q,MATCH(O1533,'Hun Demand'!A:A,0)),"")</f>
        <v>0</v>
      </c>
      <c r="AH1533" s="25">
        <f>IFERROR(INDEX('Hun Demand'!H:H,MATCH($O1533,'Hun Demand'!$A:$A,0)),"")</f>
        <v>484</v>
      </c>
      <c r="AI1533" s="25" t="str">
        <f>IF(SUMIFS('Supp Consol'!AA:AA,'Supp Consol'!Z:Z,"Expires this month",'Supp Consol'!A:A,O1533)=0,"",SUMIFS('Supp Consol'!AA:AA,'Supp Consol'!Z:Z,"Expires this month",'Supp Consol'!A:A,O1533))</f>
        <v/>
      </c>
      <c r="AJ1533" s="25" t="str">
        <f>IF(SUMIFS('Supp Consol'!AA:AA,'Supp Consol'!Z:Z,"Expired Previous Months",'Supp Consol'!A:A,O1533)=0,"",SUMIFS('Supp Consol'!AA:AA,'Supp Consol'!Z:Z,"Expired Previous Months",'Supp Consol'!A:A,O1533))</f>
        <v/>
      </c>
      <c r="AK1533" s="25">
        <f>IFERROR(INDEX('Hun Release Current'!B:B,MATCH(O1533,'Hun Release Current'!A:A,0)),"")</f>
        <v>1000</v>
      </c>
      <c r="AL1533" s="25" t="str">
        <f>IF(SUMIF('Prev Aub'!A:A,O1533,'Prev Aub'!B:B)=0,"",SUMIF('Prev Aub'!A:A,O1533,'Prev Aub'!B:B))</f>
        <v/>
      </c>
      <c r="AN1533" s="25" t="s">
        <v>3790</v>
      </c>
      <c r="AO1533" s="25" t="s">
        <v>3790</v>
      </c>
      <c r="AP1533" s="25">
        <f t="shared" si="650"/>
        <v>0</v>
      </c>
      <c r="AQ1533" s="151" t="str">
        <f>IF(SUMIFS('Supp Consol'!S:S,'Supp Consol'!A:A,O1533,'Supp Consol'!I:I,"PENDING")=0,"",SUMIFS('Supp Consol'!S:S,'Supp Consol'!A:A,O1533,'Supp Consol'!I:I,"PENDING"))</f>
        <v/>
      </c>
      <c r="AR1533" s="27" t="str">
        <f t="shared" si="651"/>
        <v>WT890</v>
      </c>
      <c r="AS1533" s="27" t="str">
        <f t="shared" si="652"/>
        <v>62</v>
      </c>
      <c r="AT1533" s="27" t="str">
        <f t="shared" si="653"/>
        <v/>
      </c>
      <c r="AU1533" s="27" t="str">
        <f t="shared" si="654"/>
        <v/>
      </c>
      <c r="AV1533" s="27" t="str">
        <f t="shared" si="655"/>
        <v/>
      </c>
      <c r="AW1533" s="27" t="str">
        <f t="shared" si="656"/>
        <v/>
      </c>
      <c r="AX1533" s="27" t="str">
        <f t="shared" si="657"/>
        <v/>
      </c>
      <c r="AY1533" s="27" t="str">
        <f t="shared" si="658"/>
        <v/>
      </c>
      <c r="AZ1533" s="27" t="str">
        <f t="shared" si="659"/>
        <v/>
      </c>
      <c r="BA1533" s="27" t="str">
        <f t="shared" si="660"/>
        <v/>
      </c>
      <c r="BB1533" s="27" t="str">
        <f t="shared" si="661"/>
        <v/>
      </c>
      <c r="BC1533" s="27" t="str">
        <f t="shared" si="662"/>
        <v/>
      </c>
      <c r="BD1533" s="27" t="str">
        <f t="shared" si="663"/>
        <v/>
      </c>
      <c r="BE1533" s="27" t="str">
        <f t="shared" si="664"/>
        <v/>
      </c>
      <c r="BF1533" s="27" t="str">
        <f t="shared" si="665"/>
        <v/>
      </c>
      <c r="BG1533" s="27" t="str">
        <f t="shared" si="666"/>
        <v/>
      </c>
      <c r="BH1533" s="27" t="str">
        <f t="shared" si="667"/>
        <v/>
      </c>
      <c r="BI1533" s="27" t="str">
        <f t="shared" si="668"/>
        <v/>
      </c>
      <c r="BJ1533" s="27" t="str">
        <f t="shared" si="669"/>
        <v/>
      </c>
      <c r="BK1533" s="27" t="str">
        <f t="shared" si="670"/>
        <v/>
      </c>
      <c r="BL1533" s="27" t="str">
        <f t="shared" si="671"/>
        <v/>
      </c>
      <c r="BM1533" s="21" t="s">
        <v>5582</v>
      </c>
    </row>
    <row r="1534" spans="1:65" ht="15">
      <c r="A1534" s="25">
        <f>IFERROR(INDEX('Hun Demand'!W:W,MATCH(O1534,'Hun Demand'!A:A,0)),"")</f>
        <v>0</v>
      </c>
      <c r="B1534" s="25">
        <f>IFERROR(INDEX('Hun Demand'!V:V,MATCH(O1534,'Hun Demand'!A:A,0)),"")</f>
        <v>90</v>
      </c>
      <c r="C1534" s="25">
        <f>IFERROR(INDEX('Hun Demand'!U:U,MATCH(O1534,'Hun Demand'!A:A,0)),"")</f>
        <v>0</v>
      </c>
      <c r="D1534" s="25">
        <f>IFERROR(INDEX('Hun Demand'!T:T,MATCH(O1534,'Hun Demand'!A:A,0)),"")</f>
        <v>0</v>
      </c>
      <c r="E1534" s="25">
        <f>IFERROR(INDEX('Hun Demand'!S:S,MATCH(O1534,'Hun Demand'!A:A,0)),"")</f>
        <v>0</v>
      </c>
      <c r="F1534" s="25">
        <f>IFERROR(INDEX('Hun Demand'!R:R,MATCH(O1534,'Hun Demand'!A:A,0)),"")</f>
        <v>0</v>
      </c>
      <c r="G1534" s="25">
        <f>IFERROR(INDEX('Aub Demand'!W:W,MATCH(O1534,'Aub Demand'!A:A,0)),"")</f>
        <v>37</v>
      </c>
      <c r="H1534" s="25">
        <f>IFERROR(INDEX('Aub Demand'!V:V,MATCH(O1534,'Aub Demand'!A:A,0)),"")</f>
        <v>190</v>
      </c>
      <c r="I1534" s="25">
        <f>IFERROR(INDEX('Aub Demand'!U:U,MATCH(O1534,'Aub Demand'!A:A,0)),"")</f>
        <v>160</v>
      </c>
      <c r="J1534" s="25">
        <f>IFERROR(INDEX('Aub Demand'!T:T,MATCH(O1534,'Aub Demand'!A:A,0)),"")</f>
        <v>222</v>
      </c>
      <c r="K1534" s="25">
        <f>IFERROR(INDEX('Aub Demand'!S:S,MATCH(O1534,'Aub Demand'!A:A,0)),"")</f>
        <v>0</v>
      </c>
      <c r="L1534" s="25">
        <f>IFERROR(INDEX('Aub Demand'!R:R,MATCH(O1534,'Aub Demand'!A:A,0)),"")</f>
        <v>0</v>
      </c>
      <c r="O1534" s="27" t="s">
        <v>3126</v>
      </c>
      <c r="P1534" s="27" t="str">
        <f>IFERROR(INDEX('Aub Demand'!B:B,MATCH($O1534,'Aub Demand'!$A:$A,0)),"")</f>
        <v>OUTER LIMITS</v>
      </c>
      <c r="Q1534" s="27" t="str">
        <f>IFERROR(INDEX('Aub Demand'!C:C,MATCH($O1534,'Aub Demand'!$A:$A,0)),"")</f>
        <v>LAMIG</v>
      </c>
      <c r="R1534" s="52">
        <f>IFERROR(IF(AR1535=AR1534,INDEX('Aub Demand'!K:K,MATCH($O1534,'Aub Demand'!$A:$A,0))-IF(AN1534="",0,AN1534)+AP1535,INDEX('Aub Demand'!K:K,MATCH($O1534,'Aub Demand'!$A:$A,0))-IF(AN1534="",0,AN1534)),"")</f>
        <v>0</v>
      </c>
      <c r="S1534" s="53">
        <f t="shared" si="644"/>
        <v>0</v>
      </c>
      <c r="T1534" s="52">
        <f t="shared" si="645"/>
        <v>143.25</v>
      </c>
      <c r="U1534" s="52">
        <f>IFERROR(IF(AR1535=AR1534,INDEX('Aub Demand'!Q:Q,MATCH($O1534,'Aub Demand'!$A:$A,0))-IF(AN1534="",0,AN1534)+AP1535,INDEX('Aub Demand'!Q:Q,MATCH($O1534,'Aub Demand'!$A:$A,0))-IF(AN1534="",0,AN1534)),"")</f>
        <v>-70</v>
      </c>
      <c r="V1534" s="53">
        <f t="shared" si="646"/>
        <v>-2.4</v>
      </c>
      <c r="W1534" s="52">
        <f t="shared" si="647"/>
        <v>257.85000000000002</v>
      </c>
      <c r="X1534" s="52">
        <f>IFERROR(IF(AND(AR1535=AR1534,AM1534&lt;&gt;""),INDEX('Aub Demand'!Q:Q,MATCH($O1534,'Aub Demand'!$A:$A,0))-IF(AN1534="",0,AN1534)+AP1535+AD1534+AL1534,IF(AR1535=AR1534,INDEX('Aub Demand'!Q:Q,MATCH($O1534,'Aub Demand'!$A:$A,0))-IF(AN1534="",0,AN1534)+AP1535+AD1534,IF(AM1534&lt;&gt;"",INDEX('Aub Demand'!Q:Q,MATCH($O1534,'Aub Demand'!$A:$A,0))-IF(AN1534="",0,AN1534)+AD1534+AL1534,INDEX('Aub Demand'!Q:Q,MATCH($O1534,'Aub Demand'!$A:$A,0))-IF(AN1534="",0,AN1534)+AD1534))),"")</f>
        <v>-70</v>
      </c>
      <c r="Y1534" s="53">
        <f t="shared" si="648"/>
        <v>-2.4</v>
      </c>
      <c r="Z1534" s="52">
        <f>IF(L1534="","",INDEX('Aub Demand'!H:H,MATCH($O1534,'Aub Demand'!$A:$A,0)))</f>
        <v>127</v>
      </c>
      <c r="AA1534" s="52">
        <f t="shared" si="649"/>
        <v>191</v>
      </c>
      <c r="AB1534" s="52">
        <f>IFERROR(INDEX('Aub Demand'!L:L,MATCH($O1534,'Aub Demand'!$A:$A,0)),"")</f>
        <v>128</v>
      </c>
      <c r="AC1534" s="52">
        <f>IFERROR(IF(O1534="","",SUMIFS('CPL Mats'!F:F,'CPL Mats'!Q:Q,AR1534,'CPL Mats'!S:S,AS1534)),"")</f>
        <v>0</v>
      </c>
      <c r="AF1534" s="25" t="str">
        <f>IF(SUMIFS('Supp Consol'!S:S,'Supp Consol'!Y:Y,"Releasable",'Supp Consol'!A:A,O1534)=0,"",SUMIFS('Supp Consol'!S:S,'Supp Consol'!Y:Y,"Releasable",'Supp Consol'!A:A,O1534))</f>
        <v/>
      </c>
      <c r="AG1534" s="25">
        <f>IFERROR(INDEX('Hun Demand'!Q:Q,MATCH(O1534,'Hun Demand'!A:A,0)),"")</f>
        <v>109</v>
      </c>
      <c r="AH1534" s="25">
        <f>IFERROR(INDEX('Hun Demand'!H:H,MATCH($O1534,'Hun Demand'!$A:$A,0)),"")</f>
        <v>0</v>
      </c>
      <c r="AI1534" s="25" t="str">
        <f>IF(SUMIFS('Supp Consol'!AA:AA,'Supp Consol'!Z:Z,"Expires this month",'Supp Consol'!A:A,O1534)=0,"",SUMIFS('Supp Consol'!AA:AA,'Supp Consol'!Z:Z,"Expires this month",'Supp Consol'!A:A,O1534))</f>
        <v/>
      </c>
      <c r="AJ1534" s="25" t="str">
        <f>IF(SUMIFS('Supp Consol'!AA:AA,'Supp Consol'!Z:Z,"Expired Previous Months",'Supp Consol'!A:A,O1534)=0,"",SUMIFS('Supp Consol'!AA:AA,'Supp Consol'!Z:Z,"Expired Previous Months",'Supp Consol'!A:A,O1534))</f>
        <v/>
      </c>
      <c r="AK1534" s="25" t="str">
        <f>IFERROR(INDEX('Hun Release Current'!B:B,MATCH(O1534,'Hun Release Current'!A:A,0)),"")</f>
        <v/>
      </c>
      <c r="AL1534" s="25" t="str">
        <f>IF(SUMIF('Prev Aub'!A:A,O1534,'Prev Aub'!B:B)=0,"",SUMIF('Prev Aub'!A:A,O1534,'Prev Aub'!B:B))</f>
        <v/>
      </c>
      <c r="AN1534" s="25" t="s">
        <v>3790</v>
      </c>
      <c r="AO1534" s="25" t="s">
        <v>3790</v>
      </c>
      <c r="AP1534" s="25">
        <f t="shared" si="650"/>
        <v>0</v>
      </c>
      <c r="AQ1534" s="151" t="str">
        <f>IF(SUMIFS('Supp Consol'!S:S,'Supp Consol'!A:A,O1534,'Supp Consol'!I:I,"PENDING")=0,"",SUMIFS('Supp Consol'!S:S,'Supp Consol'!A:A,O1534,'Supp Consol'!I:I,"PENDING"))</f>
        <v/>
      </c>
      <c r="AR1534" s="27" t="str">
        <f t="shared" si="651"/>
        <v>WU001</v>
      </c>
      <c r="AS1534" s="27" t="str">
        <f t="shared" si="652"/>
        <v>50</v>
      </c>
      <c r="AT1534" s="27" t="str">
        <f t="shared" si="653"/>
        <v>WU001</v>
      </c>
      <c r="AU1534" s="27" t="str">
        <f t="shared" si="654"/>
        <v>WU001</v>
      </c>
      <c r="AV1534" s="27" t="str">
        <f t="shared" si="655"/>
        <v>WU001</v>
      </c>
      <c r="AW1534" s="27" t="str">
        <f t="shared" si="656"/>
        <v/>
      </c>
      <c r="AX1534" s="27" t="str">
        <f t="shared" si="657"/>
        <v/>
      </c>
      <c r="AY1534" s="27" t="str">
        <f t="shared" si="658"/>
        <v>WU001</v>
      </c>
      <c r="AZ1534" s="27" t="str">
        <f t="shared" si="659"/>
        <v/>
      </c>
      <c r="BA1534" s="27" t="str">
        <f t="shared" si="660"/>
        <v>Hun</v>
      </c>
      <c r="BB1534" s="27" t="str">
        <f t="shared" si="661"/>
        <v>Gross</v>
      </c>
      <c r="BC1534" s="27" t="str">
        <f t="shared" si="662"/>
        <v>Net</v>
      </c>
      <c r="BD1534" s="27" t="str">
        <f t="shared" si="663"/>
        <v>Net</v>
      </c>
      <c r="BE1534" s="27" t="str">
        <f t="shared" si="664"/>
        <v/>
      </c>
      <c r="BF1534" s="27" t="str">
        <f t="shared" si="665"/>
        <v/>
      </c>
      <c r="BG1534" s="27" t="str">
        <f t="shared" si="666"/>
        <v/>
      </c>
      <c r="BH1534" s="27" t="str">
        <f t="shared" si="667"/>
        <v>H+N</v>
      </c>
      <c r="BI1534" s="27" t="str">
        <f t="shared" si="668"/>
        <v>H+Nex</v>
      </c>
      <c r="BJ1534" s="27" t="str">
        <f t="shared" si="669"/>
        <v>Supp or Hun</v>
      </c>
      <c r="BK1534" s="27" t="str">
        <f t="shared" si="670"/>
        <v>Supp or Hun Need</v>
      </c>
      <c r="BL1534" s="27" t="str">
        <f t="shared" si="671"/>
        <v>SorHandNandE</v>
      </c>
      <c r="BM1534" s="21" t="s">
        <v>5581</v>
      </c>
    </row>
    <row r="1535" spans="1:65" ht="15">
      <c r="A1535" s="25">
        <f>IFERROR(INDEX('Hun Demand'!W:W,MATCH(O1535,'Hun Demand'!A:A,0)),"")</f>
        <v>346</v>
      </c>
      <c r="B1535" s="25">
        <f>IFERROR(INDEX('Hun Demand'!V:V,MATCH(O1535,'Hun Demand'!A:A,0)),"")</f>
        <v>377</v>
      </c>
      <c r="C1535" s="25">
        <f>IFERROR(INDEX('Hun Demand'!U:U,MATCH(O1535,'Hun Demand'!A:A,0)),"")</f>
        <v>0</v>
      </c>
      <c r="D1535" s="25">
        <f>IFERROR(INDEX('Hun Demand'!T:T,MATCH(O1535,'Hun Demand'!A:A,0)),"")</f>
        <v>791</v>
      </c>
      <c r="E1535" s="25">
        <f>IFERROR(INDEX('Hun Demand'!S:S,MATCH(O1535,'Hun Demand'!A:A,0)),"")</f>
        <v>0</v>
      </c>
      <c r="F1535" s="25">
        <f>IFERROR(INDEX('Hun Demand'!R:R,MATCH(O1535,'Hun Demand'!A:A,0)),"")</f>
        <v>0</v>
      </c>
      <c r="G1535" s="25">
        <f>IFERROR(INDEX('Aub Demand'!W:W,MATCH(O1535,'Aub Demand'!A:A,0)),"")</f>
        <v>0</v>
      </c>
      <c r="H1535" s="25">
        <f>IFERROR(INDEX('Aub Demand'!V:V,MATCH(O1535,'Aub Demand'!A:A,0)),"")</f>
        <v>23</v>
      </c>
      <c r="I1535" s="25">
        <f>IFERROR(INDEX('Aub Demand'!U:U,MATCH(O1535,'Aub Demand'!A:A,0)),"")</f>
        <v>575</v>
      </c>
      <c r="J1535" s="25">
        <f>IFERROR(INDEX('Aub Demand'!T:T,MATCH(O1535,'Aub Demand'!A:A,0)),"")</f>
        <v>56</v>
      </c>
      <c r="K1535" s="25">
        <f>IFERROR(INDEX('Aub Demand'!S:S,MATCH(O1535,'Aub Demand'!A:A,0)),"")</f>
        <v>730</v>
      </c>
      <c r="L1535" s="25">
        <f>IFERROR(INDEX('Aub Demand'!R:R,MATCH(O1535,'Aub Demand'!A:A,0)),"")</f>
        <v>0</v>
      </c>
      <c r="O1535" s="27" t="s">
        <v>3128</v>
      </c>
      <c r="P1535" s="27" t="str">
        <f>IFERROR(INDEX('Aub Demand'!B:B,MATCH($O1535,'Aub Demand'!$A:$A,0)),"")</f>
        <v>OUTER LIMITS</v>
      </c>
      <c r="Q1535" s="27" t="str">
        <f>IFERROR(INDEX('Aub Demand'!C:C,MATCH($O1535,'Aub Demand'!$A:$A,0)),"")</f>
        <v>LAMIG</v>
      </c>
      <c r="R1535" s="52">
        <f>IFERROR(IF(AR1536=AR1535,INDEX('Aub Demand'!K:K,MATCH($O1535,'Aub Demand'!$A:$A,0))-IF(AN1535="",0,AN1535)+AP1536,INDEX('Aub Demand'!K:K,MATCH($O1535,'Aub Demand'!$A:$A,0))-IF(AN1535="",0,AN1535)),"")</f>
        <v>2075</v>
      </c>
      <c r="S1535" s="53">
        <f t="shared" si="644"/>
        <v>19.600000000000001</v>
      </c>
      <c r="T1535" s="52" t="str">
        <f t="shared" si="645"/>
        <v/>
      </c>
      <c r="U1535" s="52">
        <f>IFERROR(IF(AR1536=AR1535,INDEX('Aub Demand'!Q:Q,MATCH($O1535,'Aub Demand'!$A:$A,0))-IF(AN1535="",0,AN1535)+AP1536,INDEX('Aub Demand'!Q:Q,MATCH($O1535,'Aub Demand'!$A:$A,0))-IF(AN1535="",0,AN1535)),"")</f>
        <v>2000</v>
      </c>
      <c r="V1535" s="53">
        <f t="shared" si="646"/>
        <v>18.899999999999999</v>
      </c>
      <c r="W1535" s="52" t="str">
        <f t="shared" si="647"/>
        <v/>
      </c>
      <c r="X1535" s="52">
        <f>IFERROR(IF(AND(AR1536=AR1535,AM1535&lt;&gt;""),INDEX('Aub Demand'!Q:Q,MATCH($O1535,'Aub Demand'!$A:$A,0))-IF(AN1535="",0,AN1535)+AP1536+AD1535+AL1535,IF(AR1536=AR1535,INDEX('Aub Demand'!Q:Q,MATCH($O1535,'Aub Demand'!$A:$A,0))-IF(AN1535="",0,AN1535)+AP1536+AD1535,IF(AM1535&lt;&gt;"",INDEX('Aub Demand'!Q:Q,MATCH($O1535,'Aub Demand'!$A:$A,0))-IF(AN1535="",0,AN1535)+AD1535+AL1535,INDEX('Aub Demand'!Q:Q,MATCH($O1535,'Aub Demand'!$A:$A,0))-IF(AN1535="",0,AN1535)+AD1535))),"")</f>
        <v>2000</v>
      </c>
      <c r="Y1535" s="53">
        <f t="shared" si="648"/>
        <v>18.899999999999999</v>
      </c>
      <c r="Z1535" s="52">
        <f>IF(L1535="","",INDEX('Aub Demand'!H:H,MATCH($O1535,'Aub Demand'!$A:$A,0)))</f>
        <v>454</v>
      </c>
      <c r="AA1535" s="52">
        <f t="shared" si="649"/>
        <v>652.5</v>
      </c>
      <c r="AB1535" s="52">
        <f>IFERROR(INDEX('Aub Demand'!L:L,MATCH($O1535,'Aub Demand'!$A:$A,0)),"")</f>
        <v>0</v>
      </c>
      <c r="AC1535" s="52">
        <f>IFERROR(IF(O1535="","",SUMIFS('CPL Mats'!F:F,'CPL Mats'!Q:Q,AR1535,'CPL Mats'!S:S,AS1535)),"")</f>
        <v>0</v>
      </c>
      <c r="AF1535" s="25" t="str">
        <f>IF(SUMIFS('Supp Consol'!S:S,'Supp Consol'!Y:Y,"Releasable",'Supp Consol'!A:A,O1535)=0,"",SUMIFS('Supp Consol'!S:S,'Supp Consol'!Y:Y,"Releasable",'Supp Consol'!A:A,O1535))</f>
        <v/>
      </c>
      <c r="AG1535" s="25">
        <f>IFERROR(INDEX('Hun Demand'!Q:Q,MATCH(O1535,'Hun Demand'!A:A,0)),"")</f>
        <v>528</v>
      </c>
      <c r="AH1535" s="25">
        <f>IFERROR(INDEX('Hun Demand'!H:H,MATCH($O1535,'Hun Demand'!$A:$A,0)),"")</f>
        <v>264</v>
      </c>
      <c r="AI1535" s="25" t="str">
        <f>IF(SUMIFS('Supp Consol'!AA:AA,'Supp Consol'!Z:Z,"Expires this month",'Supp Consol'!A:A,O1535)=0,"",SUMIFS('Supp Consol'!AA:AA,'Supp Consol'!Z:Z,"Expires this month",'Supp Consol'!A:A,O1535))</f>
        <v/>
      </c>
      <c r="AJ1535" s="25" t="str">
        <f>IF(SUMIFS('Supp Consol'!AA:AA,'Supp Consol'!Z:Z,"Expired Previous Months",'Supp Consol'!A:A,O1535)=0,"",SUMIFS('Supp Consol'!AA:AA,'Supp Consol'!Z:Z,"Expired Previous Months",'Supp Consol'!A:A,O1535))</f>
        <v/>
      </c>
      <c r="AK1535" s="25" t="str">
        <f>IFERROR(INDEX('Hun Release Current'!B:B,MATCH(O1535,'Hun Release Current'!A:A,0)),"")</f>
        <v/>
      </c>
      <c r="AL1535" s="25" t="str">
        <f>IF(SUMIF('Prev Aub'!A:A,O1535,'Prev Aub'!B:B)=0,"",SUMIF('Prev Aub'!A:A,O1535,'Prev Aub'!B:B))</f>
        <v/>
      </c>
      <c r="AN1535" s="25" t="s">
        <v>3790</v>
      </c>
      <c r="AO1535" s="25" t="s">
        <v>3790</v>
      </c>
      <c r="AP1535" s="25">
        <f t="shared" si="650"/>
        <v>0</v>
      </c>
      <c r="AQ1535" s="151" t="str">
        <f>IF(SUMIFS('Supp Consol'!S:S,'Supp Consol'!A:A,O1535,'Supp Consol'!I:I,"PENDING")=0,"",SUMIFS('Supp Consol'!S:S,'Supp Consol'!A:A,O1535,'Supp Consol'!I:I,"PENDING"))</f>
        <v/>
      </c>
      <c r="AR1535" s="27" t="str">
        <f t="shared" si="651"/>
        <v>WU001</v>
      </c>
      <c r="AS1535" s="27" t="str">
        <f t="shared" si="652"/>
        <v>62</v>
      </c>
      <c r="AT1535" s="27" t="str">
        <f t="shared" si="653"/>
        <v/>
      </c>
      <c r="AU1535" s="27" t="str">
        <f t="shared" si="654"/>
        <v/>
      </c>
      <c r="AV1535" s="27" t="str">
        <f t="shared" si="655"/>
        <v/>
      </c>
      <c r="AW1535" s="27" t="str">
        <f t="shared" si="656"/>
        <v/>
      </c>
      <c r="AX1535" s="27" t="str">
        <f t="shared" si="657"/>
        <v/>
      </c>
      <c r="AY1535" s="27" t="str">
        <f t="shared" si="658"/>
        <v>WU001</v>
      </c>
      <c r="AZ1535" s="27" t="str">
        <f t="shared" si="659"/>
        <v/>
      </c>
      <c r="BA1535" s="27" t="str">
        <f t="shared" si="660"/>
        <v>Hun</v>
      </c>
      <c r="BB1535" s="27" t="str">
        <f t="shared" si="661"/>
        <v>Gross</v>
      </c>
      <c r="BC1535" s="27" t="str">
        <f t="shared" si="662"/>
        <v>Net</v>
      </c>
      <c r="BD1535" s="27" t="str">
        <f t="shared" si="663"/>
        <v>Net</v>
      </c>
      <c r="BE1535" s="27" t="str">
        <f t="shared" si="664"/>
        <v/>
      </c>
      <c r="BF1535" s="27" t="str">
        <f t="shared" si="665"/>
        <v/>
      </c>
      <c r="BG1535" s="27" t="str">
        <f t="shared" si="666"/>
        <v/>
      </c>
      <c r="BH1535" s="27" t="str">
        <f t="shared" si="667"/>
        <v>H+N</v>
      </c>
      <c r="BI1535" s="27" t="str">
        <f t="shared" si="668"/>
        <v>H+Nex</v>
      </c>
      <c r="BJ1535" s="27" t="str">
        <f t="shared" si="669"/>
        <v>Supp or Hun</v>
      </c>
      <c r="BK1535" s="27" t="str">
        <f t="shared" si="670"/>
        <v>Supp or Hun Need</v>
      </c>
      <c r="BL1535" s="27" t="str">
        <f t="shared" si="671"/>
        <v>SorHandNandE</v>
      </c>
      <c r="BM1535" s="21" t="s">
        <v>5581</v>
      </c>
    </row>
    <row r="1536" spans="1:65" ht="15">
      <c r="A1536" s="25" t="str">
        <f>IFERROR(INDEX('Hun Demand'!W:W,MATCH(O1536,'Hun Demand'!A:A,0)),"")</f>
        <v/>
      </c>
      <c r="B1536" s="25" t="str">
        <f>IFERROR(INDEX('Hun Demand'!V:V,MATCH(O1536,'Hun Demand'!A:A,0)),"")</f>
        <v/>
      </c>
      <c r="C1536" s="25" t="str">
        <f>IFERROR(INDEX('Hun Demand'!U:U,MATCH(O1536,'Hun Demand'!A:A,0)),"")</f>
        <v/>
      </c>
      <c r="D1536" s="25" t="str">
        <f>IFERROR(INDEX('Hun Demand'!T:T,MATCH(O1536,'Hun Demand'!A:A,0)),"")</f>
        <v/>
      </c>
      <c r="E1536" s="25" t="str">
        <f>IFERROR(INDEX('Hun Demand'!S:S,MATCH(O1536,'Hun Demand'!A:A,0)),"")</f>
        <v/>
      </c>
      <c r="F1536" s="25" t="str">
        <f>IFERROR(INDEX('Hun Demand'!R:R,MATCH(O1536,'Hun Demand'!A:A,0)),"")</f>
        <v/>
      </c>
      <c r="G1536" s="25">
        <f>IFERROR(INDEX('Aub Demand'!W:W,MATCH(O1536,'Aub Demand'!A:A,0)),"")</f>
        <v>180</v>
      </c>
      <c r="H1536" s="25">
        <f>IFERROR(INDEX('Aub Demand'!V:V,MATCH(O1536,'Aub Demand'!A:A,0)),"")</f>
        <v>55</v>
      </c>
      <c r="I1536" s="25">
        <f>IFERROR(INDEX('Aub Demand'!U:U,MATCH(O1536,'Aub Demand'!A:A,0)),"")</f>
        <v>240</v>
      </c>
      <c r="J1536" s="25">
        <f>IFERROR(INDEX('Aub Demand'!T:T,MATCH(O1536,'Aub Demand'!A:A,0)),"")</f>
        <v>342</v>
      </c>
      <c r="K1536" s="25">
        <f>IFERROR(INDEX('Aub Demand'!S:S,MATCH(O1536,'Aub Demand'!A:A,0)),"")</f>
        <v>0</v>
      </c>
      <c r="L1536" s="25">
        <f>IFERROR(INDEX('Aub Demand'!R:R,MATCH(O1536,'Aub Demand'!A:A,0)),"")</f>
        <v>0</v>
      </c>
      <c r="O1536" s="27" t="s">
        <v>3129</v>
      </c>
      <c r="P1536" s="27" t="str">
        <f>IFERROR(INDEX('Aub Demand'!B:B,MATCH($O1536,'Aub Demand'!$A:$A,0)),"")</f>
        <v>KINDRED SPIRIT</v>
      </c>
      <c r="Q1536" s="27" t="str">
        <f>IFERROR(INDEX('Aub Demand'!C:C,MATCH($O1536,'Aub Demand'!$A:$A,0)),"")</f>
        <v>SCHAT</v>
      </c>
      <c r="R1536" s="52">
        <f>IFERROR(IF(AR1537=AR1536,INDEX('Aub Demand'!K:K,MATCH($O1536,'Aub Demand'!$A:$A,0))-IF(AN1536="",0,AN1536)+AP1537,INDEX('Aub Demand'!K:K,MATCH($O1536,'Aub Demand'!$A:$A,0))-IF(AN1536="",0,AN1536)),"")</f>
        <v>2126</v>
      </c>
      <c r="S1536" s="53">
        <f t="shared" si="644"/>
        <v>47</v>
      </c>
      <c r="T1536" s="52" t="str">
        <f t="shared" si="645"/>
        <v/>
      </c>
      <c r="U1536" s="52">
        <f>IFERROR(IF(AR1537=AR1536,INDEX('Aub Demand'!Q:Q,MATCH($O1536,'Aub Demand'!$A:$A,0))-IF(AN1536="",0,AN1536)+AP1537,INDEX('Aub Demand'!Q:Q,MATCH($O1536,'Aub Demand'!$A:$A,0))-IF(AN1536="",0,AN1536)),"")</f>
        <v>2105</v>
      </c>
      <c r="V1536" s="53">
        <f t="shared" si="646"/>
        <v>46.5</v>
      </c>
      <c r="W1536" s="52" t="str">
        <f t="shared" si="647"/>
        <v/>
      </c>
      <c r="X1536" s="52">
        <f>IFERROR(IF(AND(AR1537=AR1536,AM1536&lt;&gt;""),INDEX('Aub Demand'!Q:Q,MATCH($O1536,'Aub Demand'!$A:$A,0))-IF(AN1536="",0,AN1536)+AP1537+AD1536+AL1536,IF(AR1537=AR1536,INDEX('Aub Demand'!Q:Q,MATCH($O1536,'Aub Demand'!$A:$A,0))-IF(AN1536="",0,AN1536)+AP1537+AD1536,IF(AM1536&lt;&gt;"",INDEX('Aub Demand'!Q:Q,MATCH($O1536,'Aub Demand'!$A:$A,0))-IF(AN1536="",0,AN1536)+AD1536+AL1536,INDEX('Aub Demand'!Q:Q,MATCH($O1536,'Aub Demand'!$A:$A,0))-IF(AN1536="",0,AN1536)+AD1536))),"")</f>
        <v>2105</v>
      </c>
      <c r="Y1536" s="53">
        <f t="shared" si="648"/>
        <v>46.5</v>
      </c>
      <c r="Z1536" s="52">
        <f>IF(L1536="","",INDEX('Aub Demand'!H:H,MATCH($O1536,'Aub Demand'!$A:$A,0)))</f>
        <v>194</v>
      </c>
      <c r="AA1536" s="52">
        <f t="shared" si="649"/>
        <v>291</v>
      </c>
      <c r="AB1536" s="52">
        <f>IFERROR(INDEX('Aub Demand'!L:L,MATCH($O1536,'Aub Demand'!$A:$A,0)),"")</f>
        <v>98</v>
      </c>
      <c r="AC1536" s="52">
        <f>IFERROR(IF(O1536="","",SUMIFS('CPL Mats'!F:F,'CPL Mats'!Q:Q,AR1536,'CPL Mats'!S:S,AS1536)),"")</f>
        <v>0</v>
      </c>
      <c r="AF1536" s="25" t="str">
        <f>IF(SUMIFS('Supp Consol'!S:S,'Supp Consol'!Y:Y,"Releasable",'Supp Consol'!A:A,O1536)=0,"",SUMIFS('Supp Consol'!S:S,'Supp Consol'!Y:Y,"Releasable",'Supp Consol'!A:A,O1536))</f>
        <v/>
      </c>
      <c r="AG1536" s="25" t="str">
        <f>IFERROR(INDEX('Hun Demand'!Q:Q,MATCH(O1536,'Hun Demand'!A:A,0)),"")</f>
        <v/>
      </c>
      <c r="AH1536" s="25" t="str">
        <f>IFERROR(INDEX('Hun Demand'!H:H,MATCH($O1536,'Hun Demand'!$A:$A,0)),"")</f>
        <v/>
      </c>
      <c r="AI1536" s="25" t="str">
        <f>IF(SUMIFS('Supp Consol'!AA:AA,'Supp Consol'!Z:Z,"Expires this month",'Supp Consol'!A:A,O1536)=0,"",SUMIFS('Supp Consol'!AA:AA,'Supp Consol'!Z:Z,"Expires this month",'Supp Consol'!A:A,O1536))</f>
        <v/>
      </c>
      <c r="AJ1536" s="25" t="str">
        <f>IF(SUMIFS('Supp Consol'!AA:AA,'Supp Consol'!Z:Z,"Expired Previous Months",'Supp Consol'!A:A,O1536)=0,"",SUMIFS('Supp Consol'!AA:AA,'Supp Consol'!Z:Z,"Expired Previous Months",'Supp Consol'!A:A,O1536))</f>
        <v/>
      </c>
      <c r="AK1536" s="25" t="str">
        <f>IFERROR(INDEX('Hun Release Current'!B:B,MATCH(O1536,'Hun Release Current'!A:A,0)),"")</f>
        <v/>
      </c>
      <c r="AL1536" s="25" t="str">
        <f>IF(SUMIF('Prev Aub'!A:A,O1536,'Prev Aub'!B:B)=0,"",SUMIF('Prev Aub'!A:A,O1536,'Prev Aub'!B:B))</f>
        <v/>
      </c>
      <c r="AN1536" s="25" t="s">
        <v>3790</v>
      </c>
      <c r="AO1536" s="25" t="s">
        <v>3790</v>
      </c>
      <c r="AP1536" s="25">
        <f t="shared" si="650"/>
        <v>0</v>
      </c>
      <c r="AQ1536" s="151" t="str">
        <f>IF(SUMIFS('Supp Consol'!S:S,'Supp Consol'!A:A,O1536,'Supp Consol'!I:I,"PENDING")=0,"",SUMIFS('Supp Consol'!S:S,'Supp Consol'!A:A,O1536,'Supp Consol'!I:I,"PENDING"))</f>
        <v/>
      </c>
      <c r="AR1536" s="27" t="str">
        <f t="shared" si="651"/>
        <v>WU003</v>
      </c>
      <c r="AS1536" s="27" t="str">
        <f t="shared" si="652"/>
        <v>50</v>
      </c>
      <c r="AT1536" s="27" t="str">
        <f t="shared" si="653"/>
        <v/>
      </c>
      <c r="AU1536" s="27" t="str">
        <f t="shared" si="654"/>
        <v/>
      </c>
      <c r="AV1536" s="27" t="str">
        <f t="shared" si="655"/>
        <v/>
      </c>
      <c r="AW1536" s="27" t="str">
        <f t="shared" si="656"/>
        <v/>
      </c>
      <c r="AX1536" s="27" t="str">
        <f t="shared" si="657"/>
        <v/>
      </c>
      <c r="AY1536" s="27" t="str">
        <f t="shared" si="658"/>
        <v/>
      </c>
      <c r="AZ1536" s="27" t="str">
        <f t="shared" si="659"/>
        <v/>
      </c>
      <c r="BA1536" s="27" t="str">
        <f t="shared" si="660"/>
        <v>Hun</v>
      </c>
      <c r="BB1536" s="27" t="str">
        <f t="shared" si="661"/>
        <v/>
      </c>
      <c r="BC1536" s="27" t="str">
        <f t="shared" si="662"/>
        <v/>
      </c>
      <c r="BD1536" s="27" t="str">
        <f t="shared" si="663"/>
        <v/>
      </c>
      <c r="BE1536" s="27" t="str">
        <f t="shared" si="664"/>
        <v/>
      </c>
      <c r="BF1536" s="27" t="str">
        <f t="shared" si="665"/>
        <v/>
      </c>
      <c r="BG1536" s="27" t="str">
        <f t="shared" si="666"/>
        <v/>
      </c>
      <c r="BH1536" s="27" t="str">
        <f t="shared" si="667"/>
        <v/>
      </c>
      <c r="BI1536" s="27" t="str">
        <f t="shared" si="668"/>
        <v/>
      </c>
      <c r="BJ1536" s="27" t="str">
        <f t="shared" si="669"/>
        <v>Supp or Hun</v>
      </c>
      <c r="BK1536" s="27" t="str">
        <f t="shared" si="670"/>
        <v/>
      </c>
      <c r="BL1536" s="27" t="str">
        <f t="shared" si="671"/>
        <v/>
      </c>
      <c r="BM1536" s="21" t="s">
        <v>5581</v>
      </c>
    </row>
    <row r="1537" spans="1:65" ht="15">
      <c r="A1537" s="25">
        <f>IFERROR(INDEX('Hun Demand'!W:W,MATCH(O1537,'Hun Demand'!A:A,0)),"")</f>
        <v>0</v>
      </c>
      <c r="B1537" s="25">
        <f>IFERROR(INDEX('Hun Demand'!V:V,MATCH(O1537,'Hun Demand'!A:A,0)),"")</f>
        <v>0</v>
      </c>
      <c r="C1537" s="25">
        <f>IFERROR(INDEX('Hun Demand'!U:U,MATCH(O1537,'Hun Demand'!A:A,0)),"")</f>
        <v>0</v>
      </c>
      <c r="D1537" s="25">
        <f>IFERROR(INDEX('Hun Demand'!T:T,MATCH(O1537,'Hun Demand'!A:A,0)),"")</f>
        <v>0</v>
      </c>
      <c r="E1537" s="25">
        <f>IFERROR(INDEX('Hun Demand'!S:S,MATCH(O1537,'Hun Demand'!A:A,0)),"")</f>
        <v>0</v>
      </c>
      <c r="F1537" s="25">
        <f>IFERROR(INDEX('Hun Demand'!R:R,MATCH(O1537,'Hun Demand'!A:A,0)),"")</f>
        <v>0</v>
      </c>
      <c r="G1537" s="25">
        <f>IFERROR(INDEX('Aub Demand'!W:W,MATCH(O1537,'Aub Demand'!A:A,0)),"")</f>
        <v>83</v>
      </c>
      <c r="H1537" s="25">
        <f>IFERROR(INDEX('Aub Demand'!V:V,MATCH(O1537,'Aub Demand'!A:A,0)),"")</f>
        <v>15</v>
      </c>
      <c r="I1537" s="25">
        <f>IFERROR(INDEX('Aub Demand'!U:U,MATCH(O1537,'Aub Demand'!A:A,0)),"")</f>
        <v>256</v>
      </c>
      <c r="J1537" s="25">
        <f>IFERROR(INDEX('Aub Demand'!T:T,MATCH(O1537,'Aub Demand'!A:A,0)),"")</f>
        <v>141</v>
      </c>
      <c r="K1537" s="25">
        <f>IFERROR(INDEX('Aub Demand'!S:S,MATCH(O1537,'Aub Demand'!A:A,0)),"")</f>
        <v>0</v>
      </c>
      <c r="L1537" s="25">
        <f>IFERROR(INDEX('Aub Demand'!R:R,MATCH(O1537,'Aub Demand'!A:A,0)),"")</f>
        <v>0</v>
      </c>
      <c r="O1537" s="27" t="s">
        <v>3131</v>
      </c>
      <c r="P1537" s="27" t="str">
        <f>IFERROR(INDEX('Aub Demand'!B:B,MATCH($O1537,'Aub Demand'!$A:$A,0)),"")</f>
        <v>KINDRED SPIRIT</v>
      </c>
      <c r="Q1537" s="27" t="str">
        <f>IFERROR(INDEX('Aub Demand'!C:C,MATCH($O1537,'Aub Demand'!$A:$A,0)),"")</f>
        <v>SCHAT</v>
      </c>
      <c r="R1537" s="52">
        <f>IFERROR(IF(AR1538=AR1537,INDEX('Aub Demand'!K:K,MATCH($O1537,'Aub Demand'!$A:$A,0))-IF(AN1537="",0,AN1537)+AP1538,INDEX('Aub Demand'!K:K,MATCH($O1537,'Aub Demand'!$A:$A,0))-IF(AN1537="",0,AN1537)),"")</f>
        <v>1121</v>
      </c>
      <c r="S1537" s="53">
        <f t="shared" si="644"/>
        <v>36.4</v>
      </c>
      <c r="T1537" s="52" t="str">
        <f t="shared" si="645"/>
        <v/>
      </c>
      <c r="U1537" s="52">
        <f>IFERROR(IF(AR1538=AR1537,INDEX('Aub Demand'!Q:Q,MATCH($O1537,'Aub Demand'!$A:$A,0))-IF(AN1537="",0,AN1537)+AP1538,INDEX('Aub Demand'!Q:Q,MATCH($O1537,'Aub Demand'!$A:$A,0))-IF(AN1537="",0,AN1537)),"")</f>
        <v>1096</v>
      </c>
      <c r="V1537" s="53">
        <f t="shared" si="646"/>
        <v>35.6</v>
      </c>
      <c r="W1537" s="52" t="str">
        <f t="shared" si="647"/>
        <v/>
      </c>
      <c r="X1537" s="52">
        <f>IFERROR(IF(AND(AR1538=AR1537,AM1537&lt;&gt;""),INDEX('Aub Demand'!Q:Q,MATCH($O1537,'Aub Demand'!$A:$A,0))-IF(AN1537="",0,AN1537)+AP1538+AD1537+AL1537,IF(AR1538=AR1537,INDEX('Aub Demand'!Q:Q,MATCH($O1537,'Aub Demand'!$A:$A,0))-IF(AN1537="",0,AN1537)+AP1538+AD1537,IF(AM1537&lt;&gt;"",INDEX('Aub Demand'!Q:Q,MATCH($O1537,'Aub Demand'!$A:$A,0))-IF(AN1537="",0,AN1537)+AD1537+AL1537,INDEX('Aub Demand'!Q:Q,MATCH($O1537,'Aub Demand'!$A:$A,0))-IF(AN1537="",0,AN1537)+AD1537))),"")</f>
        <v>1096</v>
      </c>
      <c r="Y1537" s="53">
        <f t="shared" si="648"/>
        <v>35.6</v>
      </c>
      <c r="Z1537" s="52">
        <f>IF(L1537="","",INDEX('Aub Demand'!H:H,MATCH($O1537,'Aub Demand'!$A:$A,0)))</f>
        <v>132</v>
      </c>
      <c r="AA1537" s="52">
        <f t="shared" si="649"/>
        <v>198.5</v>
      </c>
      <c r="AB1537" s="52">
        <f>IFERROR(INDEX('Aub Demand'!L:L,MATCH($O1537,'Aub Demand'!$A:$A,0)),"")</f>
        <v>76</v>
      </c>
      <c r="AC1537" s="52">
        <f>IFERROR(IF(O1537="","",SUMIFS('CPL Mats'!F:F,'CPL Mats'!Q:Q,AR1537,'CPL Mats'!S:S,AS1537)),"")</f>
        <v>0</v>
      </c>
      <c r="AF1537" s="25" t="str">
        <f>IF(SUMIFS('Supp Consol'!S:S,'Supp Consol'!Y:Y,"Releasable",'Supp Consol'!A:A,O1537)=0,"",SUMIFS('Supp Consol'!S:S,'Supp Consol'!Y:Y,"Releasable",'Supp Consol'!A:A,O1537))</f>
        <v/>
      </c>
      <c r="AG1537" s="25">
        <f>IFERROR(INDEX('Hun Demand'!Q:Q,MATCH(O1537,'Hun Demand'!A:A,0)),"")</f>
        <v>376</v>
      </c>
      <c r="AH1537" s="25">
        <f>IFERROR(INDEX('Hun Demand'!H:H,MATCH($O1537,'Hun Demand'!$A:$A,0)),"")</f>
        <v>0</v>
      </c>
      <c r="AI1537" s="25" t="str">
        <f>IF(SUMIFS('Supp Consol'!AA:AA,'Supp Consol'!Z:Z,"Expires this month",'Supp Consol'!A:A,O1537)=0,"",SUMIFS('Supp Consol'!AA:AA,'Supp Consol'!Z:Z,"Expires this month",'Supp Consol'!A:A,O1537))</f>
        <v/>
      </c>
      <c r="AJ1537" s="25" t="str">
        <f>IF(SUMIFS('Supp Consol'!AA:AA,'Supp Consol'!Z:Z,"Expired Previous Months",'Supp Consol'!A:A,O1537)=0,"",SUMIFS('Supp Consol'!AA:AA,'Supp Consol'!Z:Z,"Expired Previous Months",'Supp Consol'!A:A,O1537))</f>
        <v/>
      </c>
      <c r="AK1537" s="25" t="str">
        <f>IFERROR(INDEX('Hun Release Current'!B:B,MATCH(O1537,'Hun Release Current'!A:A,0)),"")</f>
        <v/>
      </c>
      <c r="AL1537" s="25" t="str">
        <f>IF(SUMIF('Prev Aub'!A:A,O1537,'Prev Aub'!B:B)=0,"",SUMIF('Prev Aub'!A:A,O1537,'Prev Aub'!B:B))</f>
        <v/>
      </c>
      <c r="AN1537" s="25" t="s">
        <v>3790</v>
      </c>
      <c r="AO1537" s="25" t="s">
        <v>3790</v>
      </c>
      <c r="AP1537" s="25">
        <f t="shared" si="650"/>
        <v>0</v>
      </c>
      <c r="AQ1537" s="151" t="str">
        <f>IF(SUMIFS('Supp Consol'!S:S,'Supp Consol'!A:A,O1537,'Supp Consol'!I:I,"PENDING")=0,"",SUMIFS('Supp Consol'!S:S,'Supp Consol'!A:A,O1537,'Supp Consol'!I:I,"PENDING"))</f>
        <v/>
      </c>
      <c r="AR1537" s="27" t="str">
        <f t="shared" si="651"/>
        <v>WU003</v>
      </c>
      <c r="AS1537" s="27" t="str">
        <f t="shared" si="652"/>
        <v>62</v>
      </c>
      <c r="AT1537" s="27" t="str">
        <f t="shared" si="653"/>
        <v/>
      </c>
      <c r="AU1537" s="27" t="str">
        <f t="shared" si="654"/>
        <v/>
      </c>
      <c r="AV1537" s="27" t="str">
        <f t="shared" si="655"/>
        <v/>
      </c>
      <c r="AW1537" s="27" t="str">
        <f t="shared" si="656"/>
        <v/>
      </c>
      <c r="AX1537" s="27" t="str">
        <f t="shared" si="657"/>
        <v/>
      </c>
      <c r="AY1537" s="27" t="str">
        <f t="shared" si="658"/>
        <v>WU003</v>
      </c>
      <c r="AZ1537" s="27" t="str">
        <f t="shared" si="659"/>
        <v/>
      </c>
      <c r="BA1537" s="27" t="str">
        <f t="shared" si="660"/>
        <v>Hun</v>
      </c>
      <c r="BB1537" s="27" t="str">
        <f t="shared" si="661"/>
        <v/>
      </c>
      <c r="BC1537" s="27" t="str">
        <f t="shared" si="662"/>
        <v/>
      </c>
      <c r="BD1537" s="27" t="str">
        <f t="shared" si="663"/>
        <v/>
      </c>
      <c r="BE1537" s="27" t="str">
        <f t="shared" si="664"/>
        <v/>
      </c>
      <c r="BF1537" s="27" t="str">
        <f t="shared" si="665"/>
        <v/>
      </c>
      <c r="BG1537" s="27" t="str">
        <f t="shared" si="666"/>
        <v/>
      </c>
      <c r="BH1537" s="27" t="str">
        <f t="shared" si="667"/>
        <v/>
      </c>
      <c r="BI1537" s="27" t="str">
        <f t="shared" si="668"/>
        <v/>
      </c>
      <c r="BJ1537" s="27" t="str">
        <f t="shared" si="669"/>
        <v>Supp or Hun</v>
      </c>
      <c r="BK1537" s="27" t="str">
        <f t="shared" si="670"/>
        <v/>
      </c>
      <c r="BL1537" s="27" t="str">
        <f t="shared" si="671"/>
        <v/>
      </c>
      <c r="BM1537" s="21" t="s">
        <v>5581</v>
      </c>
    </row>
    <row r="1538" spans="1:65" ht="15">
      <c r="A1538" s="25" t="str">
        <f>IFERROR(INDEX('Hun Demand'!W:W,MATCH(O1538,'Hun Demand'!A:A,0)),"")</f>
        <v/>
      </c>
      <c r="B1538" s="25" t="str">
        <f>IFERROR(INDEX('Hun Demand'!V:V,MATCH(O1538,'Hun Demand'!A:A,0)),"")</f>
        <v/>
      </c>
      <c r="C1538" s="25" t="str">
        <f>IFERROR(INDEX('Hun Demand'!U:U,MATCH(O1538,'Hun Demand'!A:A,0)),"")</f>
        <v/>
      </c>
      <c r="D1538" s="25" t="str">
        <f>IFERROR(INDEX('Hun Demand'!T:T,MATCH(O1538,'Hun Demand'!A:A,0)),"")</f>
        <v/>
      </c>
      <c r="E1538" s="25" t="str">
        <f>IFERROR(INDEX('Hun Demand'!S:S,MATCH(O1538,'Hun Demand'!A:A,0)),"")</f>
        <v/>
      </c>
      <c r="F1538" s="25" t="str">
        <f>IFERROR(INDEX('Hun Demand'!R:R,MATCH(O1538,'Hun Demand'!A:A,0)),"")</f>
        <v/>
      </c>
      <c r="G1538" s="25">
        <f>IFERROR(INDEX('Aub Demand'!W:W,MATCH(O1538,'Aub Demand'!A:A,0)),"")</f>
        <v>0</v>
      </c>
      <c r="H1538" s="25">
        <f>IFERROR(INDEX('Aub Demand'!V:V,MATCH(O1538,'Aub Demand'!A:A,0)),"")</f>
        <v>62</v>
      </c>
      <c r="I1538" s="25">
        <f>IFERROR(INDEX('Aub Demand'!U:U,MATCH(O1538,'Aub Demand'!A:A,0)),"")</f>
        <v>0</v>
      </c>
      <c r="J1538" s="25">
        <f>IFERROR(INDEX('Aub Demand'!T:T,MATCH(O1538,'Aub Demand'!A:A,0)),"")</f>
        <v>0</v>
      </c>
      <c r="K1538" s="25">
        <f>IFERROR(INDEX('Aub Demand'!S:S,MATCH(O1538,'Aub Demand'!A:A,0)),"")</f>
        <v>0</v>
      </c>
      <c r="L1538" s="25">
        <f>IFERROR(INDEX('Aub Demand'!R:R,MATCH(O1538,'Aub Demand'!A:A,0)),"")</f>
        <v>0</v>
      </c>
      <c r="O1538" s="27" t="s">
        <v>3132</v>
      </c>
      <c r="P1538" s="27" t="str">
        <f>IFERROR(INDEX('Aub Demand'!B:B,MATCH($O1538,'Aub Demand'!$A:$A,0)),"")</f>
        <v>BRAVE SPIRIT</v>
      </c>
      <c r="Q1538" s="27" t="str">
        <f>IFERROR(INDEX('Aub Demand'!C:C,MATCH($O1538,'Aub Demand'!$A:$A,0)),"")</f>
        <v>SCHAT</v>
      </c>
      <c r="R1538" s="52">
        <f>IFERROR(IF(AR1539=AR1538,INDEX('Aub Demand'!K:K,MATCH($O1538,'Aub Demand'!$A:$A,0))-IF(AN1538="",0,AN1538)+AP1539,INDEX('Aub Demand'!K:K,MATCH($O1538,'Aub Demand'!$A:$A,0))-IF(AN1538="",0,AN1538)),"")</f>
        <v>626</v>
      </c>
      <c r="S1538" s="53" t="str">
        <f t="shared" si="644"/>
        <v>n/a</v>
      </c>
      <c r="T1538" s="52" t="str">
        <f t="shared" si="645"/>
        <v/>
      </c>
      <c r="U1538" s="52">
        <f>IFERROR(IF(AR1539=AR1538,INDEX('Aub Demand'!Q:Q,MATCH($O1538,'Aub Demand'!$A:$A,0))-IF(AN1538="",0,AN1538)+AP1539,INDEX('Aub Demand'!Q:Q,MATCH($O1538,'Aub Demand'!$A:$A,0))-IF(AN1538="",0,AN1538)),"")</f>
        <v>626</v>
      </c>
      <c r="V1538" s="53" t="str">
        <f t="shared" si="646"/>
        <v>n/a</v>
      </c>
      <c r="W1538" s="52" t="str">
        <f t="shared" si="647"/>
        <v/>
      </c>
      <c r="X1538" s="52">
        <f>IFERROR(IF(AND(AR1539=AR1538,AM1538&lt;&gt;""),INDEX('Aub Demand'!Q:Q,MATCH($O1538,'Aub Demand'!$A:$A,0))-IF(AN1538="",0,AN1538)+AP1539+AD1538+AL1538,IF(AR1539=AR1538,INDEX('Aub Demand'!Q:Q,MATCH($O1538,'Aub Demand'!$A:$A,0))-IF(AN1538="",0,AN1538)+AP1539+AD1538,IF(AM1538&lt;&gt;"",INDEX('Aub Demand'!Q:Q,MATCH($O1538,'Aub Demand'!$A:$A,0))-IF(AN1538="",0,AN1538)+AD1538+AL1538,INDEX('Aub Demand'!Q:Q,MATCH($O1538,'Aub Demand'!$A:$A,0))-IF(AN1538="",0,AN1538)+AD1538))),"")</f>
        <v>626</v>
      </c>
      <c r="Y1538" s="53" t="str">
        <f t="shared" si="648"/>
        <v>n/a</v>
      </c>
      <c r="Z1538" s="52">
        <f>IF(L1538="","",INDEX('Aub Demand'!H:H,MATCH($O1538,'Aub Demand'!$A:$A,0)))</f>
        <v>0</v>
      </c>
      <c r="AA1538" s="52" t="str">
        <f t="shared" si="649"/>
        <v>-spike-</v>
      </c>
      <c r="AB1538" s="52">
        <f>IFERROR(INDEX('Aub Demand'!L:L,MATCH($O1538,'Aub Demand'!$A:$A,0)),"")</f>
        <v>4</v>
      </c>
      <c r="AC1538" s="52">
        <f>IFERROR(IF(O1538="","",SUMIFS('CPL Mats'!F:F,'CPL Mats'!Q:Q,AR1538,'CPL Mats'!S:S,AS1538)),"")</f>
        <v>0</v>
      </c>
      <c r="AF1538" s="25" t="str">
        <f>IF(SUMIFS('Supp Consol'!S:S,'Supp Consol'!Y:Y,"Releasable",'Supp Consol'!A:A,O1538)=0,"",SUMIFS('Supp Consol'!S:S,'Supp Consol'!Y:Y,"Releasable",'Supp Consol'!A:A,O1538))</f>
        <v/>
      </c>
      <c r="AG1538" s="25" t="str">
        <f>IFERROR(INDEX('Hun Demand'!Q:Q,MATCH(O1538,'Hun Demand'!A:A,0)),"")</f>
        <v/>
      </c>
      <c r="AH1538" s="25" t="str">
        <f>IFERROR(INDEX('Hun Demand'!H:H,MATCH($O1538,'Hun Demand'!$A:$A,0)),"")</f>
        <v/>
      </c>
      <c r="AI1538" s="25" t="str">
        <f>IF(SUMIFS('Supp Consol'!AA:AA,'Supp Consol'!Z:Z,"Expires this month",'Supp Consol'!A:A,O1538)=0,"",SUMIFS('Supp Consol'!AA:AA,'Supp Consol'!Z:Z,"Expires this month",'Supp Consol'!A:A,O1538))</f>
        <v/>
      </c>
      <c r="AJ1538" s="25" t="str">
        <f>IF(SUMIFS('Supp Consol'!AA:AA,'Supp Consol'!Z:Z,"Expired Previous Months",'Supp Consol'!A:A,O1538)=0,"",SUMIFS('Supp Consol'!AA:AA,'Supp Consol'!Z:Z,"Expired Previous Months",'Supp Consol'!A:A,O1538))</f>
        <v/>
      </c>
      <c r="AK1538" s="25" t="str">
        <f>IFERROR(INDEX('Hun Release Current'!B:B,MATCH(O1538,'Hun Release Current'!A:A,0)),"")</f>
        <v/>
      </c>
      <c r="AL1538" s="25" t="str">
        <f>IF(SUMIF('Prev Aub'!A:A,O1538,'Prev Aub'!B:B)=0,"",SUMIF('Prev Aub'!A:A,O1538,'Prev Aub'!B:B))</f>
        <v/>
      </c>
      <c r="AN1538" s="25" t="s">
        <v>3790</v>
      </c>
      <c r="AO1538" s="25" t="s">
        <v>3790</v>
      </c>
      <c r="AP1538" s="25">
        <f t="shared" si="650"/>
        <v>0</v>
      </c>
      <c r="AQ1538" s="151" t="str">
        <f>IF(SUMIFS('Supp Consol'!S:S,'Supp Consol'!A:A,O1538,'Supp Consol'!I:I,"PENDING")=0,"",SUMIFS('Supp Consol'!S:S,'Supp Consol'!A:A,O1538,'Supp Consol'!I:I,"PENDING"))</f>
        <v/>
      </c>
      <c r="AR1538" s="27" t="str">
        <f t="shared" si="651"/>
        <v>WU006</v>
      </c>
      <c r="AS1538" s="27" t="str">
        <f t="shared" si="652"/>
        <v>50</v>
      </c>
      <c r="AT1538" s="27" t="str">
        <f t="shared" si="653"/>
        <v/>
      </c>
      <c r="AU1538" s="27" t="str">
        <f t="shared" si="654"/>
        <v/>
      </c>
      <c r="AV1538" s="27" t="str">
        <f t="shared" si="655"/>
        <v/>
      </c>
      <c r="AW1538" s="27" t="str">
        <f t="shared" si="656"/>
        <v/>
      </c>
      <c r="AX1538" s="27" t="str">
        <f t="shared" si="657"/>
        <v/>
      </c>
      <c r="AY1538" s="27" t="str">
        <f t="shared" si="658"/>
        <v/>
      </c>
      <c r="AZ1538" s="27" t="str">
        <f t="shared" si="659"/>
        <v/>
      </c>
      <c r="BA1538" s="27" t="str">
        <f t="shared" si="660"/>
        <v/>
      </c>
      <c r="BB1538" s="27" t="str">
        <f t="shared" si="661"/>
        <v/>
      </c>
      <c r="BC1538" s="27" t="str">
        <f t="shared" si="662"/>
        <v/>
      </c>
      <c r="BD1538" s="27" t="str">
        <f t="shared" si="663"/>
        <v/>
      </c>
      <c r="BE1538" s="27" t="str">
        <f t="shared" si="664"/>
        <v/>
      </c>
      <c r="BF1538" s="27" t="str">
        <f t="shared" si="665"/>
        <v/>
      </c>
      <c r="BG1538" s="27" t="str">
        <f t="shared" si="666"/>
        <v/>
      </c>
      <c r="BH1538" s="27" t="str">
        <f t="shared" si="667"/>
        <v/>
      </c>
      <c r="BI1538" s="27" t="str">
        <f t="shared" si="668"/>
        <v/>
      </c>
      <c r="BJ1538" s="27" t="str">
        <f t="shared" si="669"/>
        <v/>
      </c>
      <c r="BK1538" s="27" t="str">
        <f t="shared" si="670"/>
        <v/>
      </c>
      <c r="BL1538" s="27" t="str">
        <f t="shared" si="671"/>
        <v/>
      </c>
      <c r="BM1538" s="21" t="s">
        <v>5581</v>
      </c>
    </row>
    <row r="1539" spans="1:65" ht="15">
      <c r="A1539" s="25">
        <f>IFERROR(INDEX('Hun Demand'!W:W,MATCH(O1539,'Hun Demand'!A:A,0)),"")</f>
        <v>0</v>
      </c>
      <c r="B1539" s="25">
        <f>IFERROR(INDEX('Hun Demand'!V:V,MATCH(O1539,'Hun Demand'!A:A,0)),"")</f>
        <v>0</v>
      </c>
      <c r="C1539" s="25">
        <f>IFERROR(INDEX('Hun Demand'!U:U,MATCH(O1539,'Hun Demand'!A:A,0)),"")</f>
        <v>311</v>
      </c>
      <c r="D1539" s="25">
        <f>IFERROR(INDEX('Hun Demand'!T:T,MATCH(O1539,'Hun Demand'!A:A,0)),"")</f>
        <v>0</v>
      </c>
      <c r="E1539" s="25">
        <f>IFERROR(INDEX('Hun Demand'!S:S,MATCH(O1539,'Hun Demand'!A:A,0)),"")</f>
        <v>0</v>
      </c>
      <c r="F1539" s="25">
        <f>IFERROR(INDEX('Hun Demand'!R:R,MATCH(O1539,'Hun Demand'!A:A,0)),"")</f>
        <v>0</v>
      </c>
      <c r="G1539" s="25">
        <f>IFERROR(INDEX('Aub Demand'!W:W,MATCH(O1539,'Aub Demand'!A:A,0)),"")</f>
        <v>19</v>
      </c>
      <c r="H1539" s="25">
        <f>IFERROR(INDEX('Aub Demand'!V:V,MATCH(O1539,'Aub Demand'!A:A,0)),"")</f>
        <v>202</v>
      </c>
      <c r="I1539" s="25">
        <f>IFERROR(INDEX('Aub Demand'!U:U,MATCH(O1539,'Aub Demand'!A:A,0)),"")</f>
        <v>109</v>
      </c>
      <c r="J1539" s="25">
        <f>IFERROR(INDEX('Aub Demand'!T:T,MATCH(O1539,'Aub Demand'!A:A,0)),"")</f>
        <v>0</v>
      </c>
      <c r="K1539" s="25">
        <f>IFERROR(INDEX('Aub Demand'!S:S,MATCH(O1539,'Aub Demand'!A:A,0)),"")</f>
        <v>0</v>
      </c>
      <c r="L1539" s="25">
        <f>IFERROR(INDEX('Aub Demand'!R:R,MATCH(O1539,'Aub Demand'!A:A,0)),"")</f>
        <v>0</v>
      </c>
      <c r="O1539" s="27" t="s">
        <v>3134</v>
      </c>
      <c r="P1539" s="27" t="str">
        <f>IFERROR(INDEX('Aub Demand'!B:B,MATCH($O1539,'Aub Demand'!$A:$A,0)),"")</f>
        <v>BRAVE SPIRIT</v>
      </c>
      <c r="Q1539" s="27" t="str">
        <f>IFERROR(INDEX('Aub Demand'!C:C,MATCH($O1539,'Aub Demand'!$A:$A,0)),"")</f>
        <v>SCHAT</v>
      </c>
      <c r="R1539" s="52">
        <f>IFERROR(IF(AR1540=AR1539,INDEX('Aub Demand'!K:K,MATCH($O1539,'Aub Demand'!$A:$A,0))-IF(AN1539="",0,AN1539)+AP1540,INDEX('Aub Demand'!K:K,MATCH($O1539,'Aub Demand'!$A:$A,0))-IF(AN1539="",0,AN1539)),"")</f>
        <v>2272</v>
      </c>
      <c r="S1539" s="53">
        <f t="shared" ref="S1539:S1602" si="672">IFERROR(IF(O1539="","",ROUND(R1539/((Z1539/30)*7),1)),"n/a")</f>
        <v>270.5</v>
      </c>
      <c r="T1539" s="52" t="str">
        <f t="shared" ref="T1539:T1602" si="673">IFERROR(IF(S1539&lt;3.1,IF(AA1539="spike",(3-S1539)*(Z1539/4),(3-S1539)*(AA1539/4)),""),"")</f>
        <v/>
      </c>
      <c r="U1539" s="52">
        <f>IFERROR(IF(AR1540=AR1539,INDEX('Aub Demand'!Q:Q,MATCH($O1539,'Aub Demand'!$A:$A,0))-IF(AN1539="",0,AN1539)+AP1540,INDEX('Aub Demand'!Q:Q,MATCH($O1539,'Aub Demand'!$A:$A,0))-IF(AN1539="",0,AN1539)),"")</f>
        <v>2272</v>
      </c>
      <c r="V1539" s="53">
        <f t="shared" ref="V1539:V1602" si="674">IFERROR(IF(O1539="","",ROUND(U1539/((Z1539/30)*7),1)),"n/a")</f>
        <v>270.5</v>
      </c>
      <c r="W1539" s="52" t="str">
        <f t="shared" ref="W1539:W1602" si="675">IF(IFERROR(IF(V1539&lt;3.1,IF(AA1539="spike",(3-V1539)*(Z1539/4),(3-V1539)*(AA1539/4)),""),"")&lt;0,0,IFERROR(IF(V1539&lt;3.1,IF(AA1539="spike",(3-V1539)*(Z1539/4),(3-V1539)*(AA1539/4)),""),""))</f>
        <v/>
      </c>
      <c r="X1539" s="52">
        <f>IFERROR(IF(AND(AR1540=AR1539,AM1539&lt;&gt;""),INDEX('Aub Demand'!Q:Q,MATCH($O1539,'Aub Demand'!$A:$A,0))-IF(AN1539="",0,AN1539)+AP1540+AD1539+AL1539,IF(AR1540=AR1539,INDEX('Aub Demand'!Q:Q,MATCH($O1539,'Aub Demand'!$A:$A,0))-IF(AN1539="",0,AN1539)+AP1540+AD1539,IF(AM1539&lt;&gt;"",INDEX('Aub Demand'!Q:Q,MATCH($O1539,'Aub Demand'!$A:$A,0))-IF(AN1539="",0,AN1539)+AD1539+AL1539,INDEX('Aub Demand'!Q:Q,MATCH($O1539,'Aub Demand'!$A:$A,0))-IF(AN1539="",0,AN1539)+AD1539))),"")</f>
        <v>2272</v>
      </c>
      <c r="Y1539" s="53">
        <f t="shared" ref="Y1539:Y1602" si="676">IFERROR(IF(O1539="","",ROUND(X1539/((Z1539/30)*7),1)),"n/a")</f>
        <v>270.5</v>
      </c>
      <c r="Z1539" s="52">
        <f>IF(L1539="","",INDEX('Aub Demand'!H:H,MATCH($O1539,'Aub Demand'!$A:$A,0)))</f>
        <v>36</v>
      </c>
      <c r="AA1539" s="52" t="str">
        <f t="shared" ref="AA1539:AA1602" si="677">IF(L1539="","",IF(LARGE(I1539:L1539,2)=0,"-spike-",AVERAGE(LARGE(I1539:L1539,1),LARGE(I1539:L1539,2))))</f>
        <v>-spike-</v>
      </c>
      <c r="AB1539" s="52">
        <f>IFERROR(INDEX('Aub Demand'!L:L,MATCH($O1539,'Aub Demand'!$A:$A,0)),"")</f>
        <v>0</v>
      </c>
      <c r="AC1539" s="52">
        <f>IFERROR(IF(O1539="","",SUMIFS('CPL Mats'!F:F,'CPL Mats'!Q:Q,AR1539,'CPL Mats'!S:S,AS1539)),"")</f>
        <v>0</v>
      </c>
      <c r="AF1539" s="25" t="str">
        <f>IF(SUMIFS('Supp Consol'!S:S,'Supp Consol'!Y:Y,"Releasable",'Supp Consol'!A:A,O1539)=0,"",SUMIFS('Supp Consol'!S:S,'Supp Consol'!Y:Y,"Releasable",'Supp Consol'!A:A,O1539))</f>
        <v/>
      </c>
      <c r="AG1539" s="25">
        <f>IFERROR(INDEX('Hun Demand'!Q:Q,MATCH(O1539,'Hun Demand'!A:A,0)),"")</f>
        <v>0</v>
      </c>
      <c r="AH1539" s="25">
        <f>IFERROR(INDEX('Hun Demand'!H:H,MATCH($O1539,'Hun Demand'!$A:$A,0)),"")</f>
        <v>104</v>
      </c>
      <c r="AI1539" s="25" t="str">
        <f>IF(SUMIFS('Supp Consol'!AA:AA,'Supp Consol'!Z:Z,"Expires this month",'Supp Consol'!A:A,O1539)=0,"",SUMIFS('Supp Consol'!AA:AA,'Supp Consol'!Z:Z,"Expires this month",'Supp Consol'!A:A,O1539))</f>
        <v/>
      </c>
      <c r="AJ1539" s="25" t="str">
        <f>IF(SUMIFS('Supp Consol'!AA:AA,'Supp Consol'!Z:Z,"Expired Previous Months",'Supp Consol'!A:A,O1539)=0,"",SUMIFS('Supp Consol'!AA:AA,'Supp Consol'!Z:Z,"Expired Previous Months",'Supp Consol'!A:A,O1539))</f>
        <v/>
      </c>
      <c r="AK1539" s="25" t="str">
        <f>IFERROR(INDEX('Hun Release Current'!B:B,MATCH(O1539,'Hun Release Current'!A:A,0)),"")</f>
        <v/>
      </c>
      <c r="AL1539" s="25" t="str">
        <f>IF(SUMIF('Prev Aub'!A:A,O1539,'Prev Aub'!B:B)=0,"",SUMIF('Prev Aub'!A:A,O1539,'Prev Aub'!B:B))</f>
        <v/>
      </c>
      <c r="AN1539" s="25" t="s">
        <v>3790</v>
      </c>
      <c r="AO1539" s="25" t="s">
        <v>3790</v>
      </c>
      <c r="AP1539" s="25">
        <f t="shared" ref="AP1539:AP1602" si="678">IFERROR(IF(O1539="","",IF(AN1539="",0,VALUE(AN1539)-(VALUE(AN1539)*0.2))),"")</f>
        <v>0</v>
      </c>
      <c r="AQ1539" s="151" t="str">
        <f>IF(SUMIFS('Supp Consol'!S:S,'Supp Consol'!A:A,O1539,'Supp Consol'!I:I,"PENDING")=0,"",SUMIFS('Supp Consol'!S:S,'Supp Consol'!A:A,O1539,'Supp Consol'!I:I,"PENDING"))</f>
        <v/>
      </c>
      <c r="AR1539" s="27" t="str">
        <f t="shared" ref="AR1539:AR1602" si="679">MID(O1539,4,5)</f>
        <v>WU006</v>
      </c>
      <c r="AS1539" s="27" t="str">
        <f t="shared" ref="AS1539:AS1602" si="680">MID(O1539,10,2)</f>
        <v>62</v>
      </c>
      <c r="AT1539" s="27" t="str">
        <f t="shared" ref="AT1539:AT1602" si="681">IF(S1539&lt;3.1,AR1539,"")</f>
        <v/>
      </c>
      <c r="AU1539" s="27" t="str">
        <f t="shared" ref="AU1539:AU1602" si="682">IF(Y1539&lt;3.1,AR1539,"")</f>
        <v/>
      </c>
      <c r="AV1539" s="27" t="str">
        <f t="shared" ref="AV1539:AV1602" si="683">IF(AND(AA1539="Spike",L1539=0,K1539=0,X1539&gt;=0),"",IF(Y1539&lt;3.1,AR1539,""))</f>
        <v/>
      </c>
      <c r="AW1539" s="27" t="str">
        <f t="shared" ref="AW1539:AW1602" si="684">IF(AI1539=AL1539,"",IF(OR(AI1539&lt;&gt;"",AJ1539&lt;&gt;""),AR1539,""))</f>
        <v/>
      </c>
      <c r="AX1539" s="27" t="str">
        <f t="shared" ref="AX1539:AX1602" si="685">IF(AF1539&lt;&gt;"",AR1539,"")</f>
        <v/>
      </c>
      <c r="AY1539" s="27" t="str">
        <f t="shared" ref="AY1539:AY1602" si="686">IF(AND(AG1539&lt;&gt;"",AG1539&gt;AH1539),AR1539,"")</f>
        <v/>
      </c>
      <c r="AZ1539" s="27" t="str">
        <f t="shared" ref="AZ1539:AZ1602" si="687">IFERROR(IF(O1539="","",IF(ISERROR(MATCH(AR1539,AX:AX,0)),"","Supp")),"")</f>
        <v/>
      </c>
      <c r="BA1539" s="27" t="str">
        <f t="shared" ref="BA1539:BA1602" si="688">IFERROR(IF(O1539="","",IF(ISERROR(MATCH(AR1539,AY:AY,0)),"","Hun")),"")</f>
        <v/>
      </c>
      <c r="BB1539" s="27" t="str">
        <f t="shared" ref="BB1539:BB1602" si="689">IFERROR(IF(O1539="","",IF(ISERROR(MATCH(AR1539,AT:AT,0)),"","Gross")),"")</f>
        <v/>
      </c>
      <c r="BC1539" s="27" t="str">
        <f t="shared" ref="BC1539:BC1602" si="690">IFERROR(IF(O1539="","",IF(ISERROR(MATCH(AR1539,AU:AU,0)),"","Net")),"")</f>
        <v/>
      </c>
      <c r="BD1539" s="27" t="str">
        <f t="shared" ref="BD1539:BD1602" si="691">IFERROR(IF(O1539="","",IF(ISERROR(MATCH(AR1539,AV:AV,0)),"","Net")),"")</f>
        <v/>
      </c>
      <c r="BE1539" s="27" t="str">
        <f t="shared" ref="BE1539:BE1602" si="692">IFERROR(IF(O1539="","",IF(ISERROR(MATCH(AR1539,AW:AW,0)),"","Exp")),"")</f>
        <v/>
      </c>
      <c r="BF1539" s="27" t="str">
        <f t="shared" ref="BF1539:BF1602" si="693">IFERROR(IF(O1539="","",IF(AND(AZ1539="Supp",BC1539="Net"),"S+N","")),"")</f>
        <v/>
      </c>
      <c r="BG1539" s="27" t="str">
        <f t="shared" ref="BG1539:BG1602" si="694">IFERROR(IF(O1539="","",IF(OR(BE1539&lt;&gt;"",BF1539&lt;&gt;""),"S+NorE","")),"")</f>
        <v/>
      </c>
      <c r="BH1539" s="27" t="str">
        <f t="shared" ref="BH1539:BH1602" si="695">IFERROR(IF(O1539="","",IF(AND(BA1539&lt;&gt;"",BC1539&lt;&gt;""),"H+N","")),"")</f>
        <v/>
      </c>
      <c r="BI1539" s="27" t="str">
        <f t="shared" ref="BI1539:BI1602" si="696">IFERROR(IF(O1539="","",IF(AND(BA1539&lt;&gt;"",BD1539&lt;&gt;""),"H+Nex","")),"")</f>
        <v/>
      </c>
      <c r="BJ1539" s="27" t="str">
        <f t="shared" ref="BJ1539:BJ1602" si="697">IF(OR(AZ1539&lt;&gt;"",BA1539&lt;&gt;""),"Supp or Hun","")</f>
        <v/>
      </c>
      <c r="BK1539" s="27" t="str">
        <f t="shared" ref="BK1539:BK1602" si="698">IF(AND(BJ1539&lt;&gt;"",BC1539&lt;&gt;""),"Supp or Hun Need","")</f>
        <v/>
      </c>
      <c r="BL1539" s="27" t="str">
        <f t="shared" ref="BL1539:BL1602" si="699">IF(OR(BK1539&lt;&gt;"",BE1539&lt;&gt;""),"SorHandNandE","")</f>
        <v/>
      </c>
      <c r="BM1539" s="21" t="s">
        <v>5581</v>
      </c>
    </row>
    <row r="1540" spans="1:65" ht="15">
      <c r="A1540" s="25">
        <f>IFERROR(INDEX('Hun Demand'!W:W,MATCH(O1540,'Hun Demand'!A:A,0)),"")</f>
        <v>0</v>
      </c>
      <c r="B1540" s="25">
        <f>IFERROR(INDEX('Hun Demand'!V:V,MATCH(O1540,'Hun Demand'!A:A,0)),"")</f>
        <v>0</v>
      </c>
      <c r="C1540" s="25">
        <f>IFERROR(INDEX('Hun Demand'!U:U,MATCH(O1540,'Hun Demand'!A:A,0)),"")</f>
        <v>0</v>
      </c>
      <c r="D1540" s="25">
        <f>IFERROR(INDEX('Hun Demand'!T:T,MATCH(O1540,'Hun Demand'!A:A,0)),"")</f>
        <v>0</v>
      </c>
      <c r="E1540" s="25">
        <f>IFERROR(INDEX('Hun Demand'!S:S,MATCH(O1540,'Hun Demand'!A:A,0)),"")</f>
        <v>0</v>
      </c>
      <c r="F1540" s="25">
        <f>IFERROR(INDEX('Hun Demand'!R:R,MATCH(O1540,'Hun Demand'!A:A,0)),"")</f>
        <v>0</v>
      </c>
      <c r="G1540" s="25">
        <f>IFERROR(INDEX('Aub Demand'!W:W,MATCH(O1540,'Aub Demand'!A:A,0)),"")</f>
        <v>0</v>
      </c>
      <c r="H1540" s="25">
        <f>IFERROR(INDEX('Aub Demand'!V:V,MATCH(O1540,'Aub Demand'!A:A,0)),"")</f>
        <v>624</v>
      </c>
      <c r="I1540" s="25">
        <f>IFERROR(INDEX('Aub Demand'!U:U,MATCH(O1540,'Aub Demand'!A:A,0)),"")</f>
        <v>403</v>
      </c>
      <c r="J1540" s="25">
        <f>IFERROR(INDEX('Aub Demand'!T:T,MATCH(O1540,'Aub Demand'!A:A,0)),"")</f>
        <v>0</v>
      </c>
      <c r="K1540" s="25">
        <f>IFERROR(INDEX('Aub Demand'!S:S,MATCH(O1540,'Aub Demand'!A:A,0)),"")</f>
        <v>128</v>
      </c>
      <c r="L1540" s="25">
        <f>IFERROR(INDEX('Aub Demand'!R:R,MATCH(O1540,'Aub Demand'!A:A,0)),"")</f>
        <v>0</v>
      </c>
      <c r="O1540" s="27" t="s">
        <v>1851</v>
      </c>
      <c r="P1540" s="27" t="str">
        <f>IFERROR(INDEX('Aub Demand'!B:B,MATCH($O1540,'Aub Demand'!$A:$A,0)),"")</f>
        <v>KINGSLEY</v>
      </c>
      <c r="Q1540" s="27" t="str">
        <f>IFERROR(INDEX('Aub Demand'!C:C,MATCH($O1540,'Aub Demand'!$A:$A,0)),"")</f>
        <v>SUDDE</v>
      </c>
      <c r="R1540" s="52">
        <f>IFERROR(IF(AR1541=AR1540,INDEX('Aub Demand'!K:K,MATCH($O1540,'Aub Demand'!$A:$A,0))-IF(AN1540="",0,AN1540)+AP1541,INDEX('Aub Demand'!K:K,MATCH($O1540,'Aub Demand'!$A:$A,0))-IF(AN1540="",0,AN1540)),"")</f>
        <v>4290</v>
      </c>
      <c r="S1540" s="53">
        <f t="shared" si="672"/>
        <v>103.9</v>
      </c>
      <c r="T1540" s="52" t="str">
        <f t="shared" si="673"/>
        <v/>
      </c>
      <c r="U1540" s="52">
        <f>IFERROR(IF(AR1541=AR1540,INDEX('Aub Demand'!Q:Q,MATCH($O1540,'Aub Demand'!$A:$A,0))-IF(AN1540="",0,AN1540)+AP1541,INDEX('Aub Demand'!Q:Q,MATCH($O1540,'Aub Demand'!$A:$A,0))-IF(AN1540="",0,AN1540)),"")</f>
        <v>4040</v>
      </c>
      <c r="V1540" s="53">
        <f t="shared" si="674"/>
        <v>97.8</v>
      </c>
      <c r="W1540" s="52" t="str">
        <f t="shared" si="675"/>
        <v/>
      </c>
      <c r="X1540" s="52">
        <f>IFERROR(IF(AND(AR1541=AR1540,AM1540&lt;&gt;""),INDEX('Aub Demand'!Q:Q,MATCH($O1540,'Aub Demand'!$A:$A,0))-IF(AN1540="",0,AN1540)+AP1541+AD1540+AL1540,IF(AR1541=AR1540,INDEX('Aub Demand'!Q:Q,MATCH($O1540,'Aub Demand'!$A:$A,0))-IF(AN1540="",0,AN1540)+AP1541+AD1540,IF(AM1540&lt;&gt;"",INDEX('Aub Demand'!Q:Q,MATCH($O1540,'Aub Demand'!$A:$A,0))-IF(AN1540="",0,AN1540)+AD1540+AL1540,INDEX('Aub Demand'!Q:Q,MATCH($O1540,'Aub Demand'!$A:$A,0))-IF(AN1540="",0,AN1540)+AD1540))),"")</f>
        <v>4040</v>
      </c>
      <c r="Y1540" s="53">
        <f t="shared" si="676"/>
        <v>97.8</v>
      </c>
      <c r="Z1540" s="52">
        <f>IF(L1540="","",INDEX('Aub Demand'!H:H,MATCH($O1540,'Aub Demand'!$A:$A,0)))</f>
        <v>177</v>
      </c>
      <c r="AA1540" s="52">
        <f t="shared" si="677"/>
        <v>265.5</v>
      </c>
      <c r="AB1540" s="52">
        <f>IFERROR(INDEX('Aub Demand'!L:L,MATCH($O1540,'Aub Demand'!$A:$A,0)),"")</f>
        <v>410</v>
      </c>
      <c r="AC1540" s="52">
        <f>IFERROR(IF(O1540="","",SUMIFS('CPL Mats'!F:F,'CPL Mats'!Q:Q,AR1540,'CPL Mats'!S:S,AS1540)),"")</f>
        <v>4888.29</v>
      </c>
      <c r="AF1540" s="25" t="str">
        <f>IF(SUMIFS('Supp Consol'!S:S,'Supp Consol'!Y:Y,"Releasable",'Supp Consol'!A:A,O1540)=0,"",SUMIFS('Supp Consol'!S:S,'Supp Consol'!Y:Y,"Releasable",'Supp Consol'!A:A,O1540))</f>
        <v/>
      </c>
      <c r="AG1540" s="25">
        <f>IFERROR(INDEX('Hun Demand'!Q:Q,MATCH(O1540,'Hun Demand'!A:A,0)),"")</f>
        <v>350</v>
      </c>
      <c r="AH1540" s="25">
        <f>IFERROR(INDEX('Hun Demand'!H:H,MATCH($O1540,'Hun Demand'!$A:$A,0)),"")</f>
        <v>0</v>
      </c>
      <c r="AI1540" s="25" t="str">
        <f>IF(SUMIFS('Supp Consol'!AA:AA,'Supp Consol'!Z:Z,"Expires this month",'Supp Consol'!A:A,O1540)=0,"",SUMIFS('Supp Consol'!AA:AA,'Supp Consol'!Z:Z,"Expires this month",'Supp Consol'!A:A,O1540))</f>
        <v/>
      </c>
      <c r="AJ1540" s="25" t="str">
        <f>IF(SUMIFS('Supp Consol'!AA:AA,'Supp Consol'!Z:Z,"Expired Previous Months",'Supp Consol'!A:A,O1540)=0,"",SUMIFS('Supp Consol'!AA:AA,'Supp Consol'!Z:Z,"Expired Previous Months",'Supp Consol'!A:A,O1540))</f>
        <v/>
      </c>
      <c r="AK1540" s="25" t="str">
        <f>IFERROR(INDEX('Hun Release Current'!B:B,MATCH(O1540,'Hun Release Current'!A:A,0)),"")</f>
        <v/>
      </c>
      <c r="AL1540" s="25" t="str">
        <f>IF(SUMIF('Prev Aub'!A:A,O1540,'Prev Aub'!B:B)=0,"",SUMIF('Prev Aub'!A:A,O1540,'Prev Aub'!B:B))</f>
        <v/>
      </c>
      <c r="AN1540" s="25" t="s">
        <v>3790</v>
      </c>
      <c r="AO1540" s="25" t="s">
        <v>3790</v>
      </c>
      <c r="AP1540" s="25">
        <f t="shared" si="678"/>
        <v>0</v>
      </c>
      <c r="AQ1540" s="151" t="str">
        <f>IF(SUMIFS('Supp Consol'!S:S,'Supp Consol'!A:A,O1540,'Supp Consol'!I:I,"PENDING")=0,"",SUMIFS('Supp Consol'!S:S,'Supp Consol'!A:A,O1540,'Supp Consol'!I:I,"PENDING"))</f>
        <v/>
      </c>
      <c r="AR1540" s="27" t="str">
        <f t="shared" si="679"/>
        <v>WW011</v>
      </c>
      <c r="AS1540" s="27" t="str">
        <f t="shared" si="680"/>
        <v>50</v>
      </c>
      <c r="AT1540" s="27" t="str">
        <f t="shared" si="681"/>
        <v/>
      </c>
      <c r="AU1540" s="27" t="str">
        <f t="shared" si="682"/>
        <v/>
      </c>
      <c r="AV1540" s="27" t="str">
        <f t="shared" si="683"/>
        <v/>
      </c>
      <c r="AW1540" s="27" t="str">
        <f t="shared" si="684"/>
        <v/>
      </c>
      <c r="AX1540" s="27" t="str">
        <f t="shared" si="685"/>
        <v/>
      </c>
      <c r="AY1540" s="27" t="str">
        <f t="shared" si="686"/>
        <v>WW011</v>
      </c>
      <c r="AZ1540" s="27" t="str">
        <f t="shared" si="687"/>
        <v>Supp</v>
      </c>
      <c r="BA1540" s="27" t="str">
        <f t="shared" si="688"/>
        <v>Hun</v>
      </c>
      <c r="BB1540" s="27" t="str">
        <f t="shared" si="689"/>
        <v/>
      </c>
      <c r="BC1540" s="27" t="str">
        <f t="shared" si="690"/>
        <v/>
      </c>
      <c r="BD1540" s="27" t="str">
        <f t="shared" si="691"/>
        <v/>
      </c>
      <c r="BE1540" s="27" t="str">
        <f t="shared" si="692"/>
        <v/>
      </c>
      <c r="BF1540" s="27" t="str">
        <f t="shared" si="693"/>
        <v/>
      </c>
      <c r="BG1540" s="27" t="str">
        <f t="shared" si="694"/>
        <v/>
      </c>
      <c r="BH1540" s="27" t="str">
        <f t="shared" si="695"/>
        <v/>
      </c>
      <c r="BI1540" s="27" t="str">
        <f t="shared" si="696"/>
        <v/>
      </c>
      <c r="BJ1540" s="27" t="str">
        <f t="shared" si="697"/>
        <v>Supp or Hun</v>
      </c>
      <c r="BK1540" s="27" t="str">
        <f t="shared" si="698"/>
        <v/>
      </c>
      <c r="BL1540" s="27" t="str">
        <f t="shared" si="699"/>
        <v/>
      </c>
      <c r="BM1540" s="21" t="s">
        <v>5581</v>
      </c>
    </row>
    <row r="1541" spans="1:65" ht="15">
      <c r="A1541" s="25">
        <f>IFERROR(INDEX('Hun Demand'!W:W,MATCH(O1541,'Hun Demand'!A:A,0)),"")</f>
        <v>346</v>
      </c>
      <c r="B1541" s="25">
        <f>IFERROR(INDEX('Hun Demand'!V:V,MATCH(O1541,'Hun Demand'!A:A,0)),"")</f>
        <v>0</v>
      </c>
      <c r="C1541" s="25">
        <f>IFERROR(INDEX('Hun Demand'!U:U,MATCH(O1541,'Hun Demand'!A:A,0)),"")</f>
        <v>494</v>
      </c>
      <c r="D1541" s="25">
        <f>IFERROR(INDEX('Hun Demand'!T:T,MATCH(O1541,'Hun Demand'!A:A,0)),"")</f>
        <v>0</v>
      </c>
      <c r="E1541" s="25">
        <f>IFERROR(INDEX('Hun Demand'!S:S,MATCH(O1541,'Hun Demand'!A:A,0)),"")</f>
        <v>0</v>
      </c>
      <c r="F1541" s="25">
        <f>IFERROR(INDEX('Hun Demand'!R:R,MATCH(O1541,'Hun Demand'!A:A,0)),"")</f>
        <v>0</v>
      </c>
      <c r="G1541" s="25">
        <f>IFERROR(INDEX('Aub Demand'!W:W,MATCH(O1541,'Aub Demand'!A:A,0)),"")</f>
        <v>174</v>
      </c>
      <c r="H1541" s="25">
        <f>IFERROR(INDEX('Aub Demand'!V:V,MATCH(O1541,'Aub Demand'!A:A,0)),"")</f>
        <v>483</v>
      </c>
      <c r="I1541" s="25">
        <f>IFERROR(INDEX('Aub Demand'!U:U,MATCH(O1541,'Aub Demand'!A:A,0)),"")</f>
        <v>0</v>
      </c>
      <c r="J1541" s="25">
        <f>IFERROR(INDEX('Aub Demand'!T:T,MATCH(O1541,'Aub Demand'!A:A,0)),"")</f>
        <v>23</v>
      </c>
      <c r="K1541" s="25">
        <f>IFERROR(INDEX('Aub Demand'!S:S,MATCH(O1541,'Aub Demand'!A:A,0)),"")</f>
        <v>17</v>
      </c>
      <c r="L1541" s="25">
        <f>IFERROR(INDEX('Aub Demand'!R:R,MATCH(O1541,'Aub Demand'!A:A,0)),"")</f>
        <v>0</v>
      </c>
      <c r="O1541" s="27" t="s">
        <v>1853</v>
      </c>
      <c r="P1541" s="27" t="str">
        <f>IFERROR(INDEX('Aub Demand'!B:B,MATCH($O1541,'Aub Demand'!$A:$A,0)),"")</f>
        <v>KINGSLEY</v>
      </c>
      <c r="Q1541" s="27" t="str">
        <f>IFERROR(INDEX('Aub Demand'!C:C,MATCH($O1541,'Aub Demand'!$A:$A,0)),"")</f>
        <v>SUDDE</v>
      </c>
      <c r="R1541" s="52">
        <f>IFERROR(IF(AR1542=AR1541,INDEX('Aub Demand'!K:K,MATCH($O1541,'Aub Demand'!$A:$A,0))-IF(AN1541="",0,AN1541)+AP1542,INDEX('Aub Demand'!K:K,MATCH($O1541,'Aub Demand'!$A:$A,0))-IF(AN1541="",0,AN1541)),"")</f>
        <v>2495</v>
      </c>
      <c r="S1541" s="53">
        <f t="shared" si="672"/>
        <v>822.5</v>
      </c>
      <c r="T1541" s="52" t="str">
        <f t="shared" si="673"/>
        <v/>
      </c>
      <c r="U1541" s="52">
        <f>IFERROR(IF(AR1542=AR1541,INDEX('Aub Demand'!Q:Q,MATCH($O1541,'Aub Demand'!$A:$A,0))-IF(AN1541="",0,AN1541)+AP1542,INDEX('Aub Demand'!Q:Q,MATCH($O1541,'Aub Demand'!$A:$A,0))-IF(AN1541="",0,AN1541)),"")</f>
        <v>2495</v>
      </c>
      <c r="V1541" s="53">
        <f t="shared" si="674"/>
        <v>822.5</v>
      </c>
      <c r="W1541" s="52" t="str">
        <f t="shared" si="675"/>
        <v/>
      </c>
      <c r="X1541" s="52">
        <f>IFERROR(IF(AND(AR1542=AR1541,AM1541&lt;&gt;""),INDEX('Aub Demand'!Q:Q,MATCH($O1541,'Aub Demand'!$A:$A,0))-IF(AN1541="",0,AN1541)+AP1542+AD1541+AL1541,IF(AR1542=AR1541,INDEX('Aub Demand'!Q:Q,MATCH($O1541,'Aub Demand'!$A:$A,0))-IF(AN1541="",0,AN1541)+AP1542+AD1541,IF(AM1541&lt;&gt;"",INDEX('Aub Demand'!Q:Q,MATCH($O1541,'Aub Demand'!$A:$A,0))-IF(AN1541="",0,AN1541)+AD1541+AL1541,INDEX('Aub Demand'!Q:Q,MATCH($O1541,'Aub Demand'!$A:$A,0))-IF(AN1541="",0,AN1541)+AD1541))),"")</f>
        <v>2495</v>
      </c>
      <c r="Y1541" s="53">
        <f t="shared" si="676"/>
        <v>822.5</v>
      </c>
      <c r="Z1541" s="52">
        <f>IF(L1541="","",INDEX('Aub Demand'!H:H,MATCH($O1541,'Aub Demand'!$A:$A,0)))</f>
        <v>13</v>
      </c>
      <c r="AA1541" s="52">
        <f t="shared" si="677"/>
        <v>20</v>
      </c>
      <c r="AB1541" s="52">
        <f>IFERROR(INDEX('Aub Demand'!L:L,MATCH($O1541,'Aub Demand'!$A:$A,0)),"")</f>
        <v>31</v>
      </c>
      <c r="AC1541" s="52">
        <f>IFERROR(IF(O1541="","",SUMIFS('CPL Mats'!F:F,'CPL Mats'!Q:Q,AR1541,'CPL Mats'!S:S,AS1541)),"")</f>
        <v>0</v>
      </c>
      <c r="AF1541" s="25">
        <f>IF(SUMIFS('Supp Consol'!S:S,'Supp Consol'!Y:Y,"Releasable",'Supp Consol'!A:A,O1541)=0,"",SUMIFS('Supp Consol'!S:S,'Supp Consol'!Y:Y,"Releasable",'Supp Consol'!A:A,O1541))</f>
        <v>2579</v>
      </c>
      <c r="AG1541" s="25">
        <f>IFERROR(INDEX('Hun Demand'!Q:Q,MATCH(O1541,'Hun Demand'!A:A,0)),"")</f>
        <v>483</v>
      </c>
      <c r="AH1541" s="25">
        <f>IFERROR(INDEX('Hun Demand'!H:H,MATCH($O1541,'Hun Demand'!$A:$A,0)),"")</f>
        <v>165</v>
      </c>
      <c r="AI1541" s="25" t="str">
        <f>IF(SUMIFS('Supp Consol'!AA:AA,'Supp Consol'!Z:Z,"Expires this month",'Supp Consol'!A:A,O1541)=0,"",SUMIFS('Supp Consol'!AA:AA,'Supp Consol'!Z:Z,"Expires this month",'Supp Consol'!A:A,O1541))</f>
        <v/>
      </c>
      <c r="AJ1541" s="25" t="str">
        <f>IF(SUMIFS('Supp Consol'!AA:AA,'Supp Consol'!Z:Z,"Expired Previous Months",'Supp Consol'!A:A,O1541)=0,"",SUMIFS('Supp Consol'!AA:AA,'Supp Consol'!Z:Z,"Expired Previous Months",'Supp Consol'!A:A,O1541))</f>
        <v/>
      </c>
      <c r="AK1541" s="25" t="str">
        <f>IFERROR(INDEX('Hun Release Current'!B:B,MATCH(O1541,'Hun Release Current'!A:A,0)),"")</f>
        <v/>
      </c>
      <c r="AL1541" s="25" t="str">
        <f>IF(SUMIF('Prev Aub'!A:A,O1541,'Prev Aub'!B:B)=0,"",SUMIF('Prev Aub'!A:A,O1541,'Prev Aub'!B:B))</f>
        <v/>
      </c>
      <c r="AN1541" s="25" t="s">
        <v>3790</v>
      </c>
      <c r="AO1541" s="25" t="s">
        <v>3790</v>
      </c>
      <c r="AP1541" s="25">
        <f t="shared" si="678"/>
        <v>0</v>
      </c>
      <c r="AQ1541" s="151" t="str">
        <f>IF(SUMIFS('Supp Consol'!S:S,'Supp Consol'!A:A,O1541,'Supp Consol'!I:I,"PENDING")=0,"",SUMIFS('Supp Consol'!S:S,'Supp Consol'!A:A,O1541,'Supp Consol'!I:I,"PENDING"))</f>
        <v/>
      </c>
      <c r="AR1541" s="27" t="str">
        <f t="shared" si="679"/>
        <v>WW011</v>
      </c>
      <c r="AS1541" s="27" t="str">
        <f t="shared" si="680"/>
        <v>62</v>
      </c>
      <c r="AT1541" s="27" t="str">
        <f t="shared" si="681"/>
        <v/>
      </c>
      <c r="AU1541" s="27" t="str">
        <f t="shared" si="682"/>
        <v/>
      </c>
      <c r="AV1541" s="27" t="str">
        <f t="shared" si="683"/>
        <v/>
      </c>
      <c r="AW1541" s="27" t="str">
        <f t="shared" si="684"/>
        <v/>
      </c>
      <c r="AX1541" s="27" t="str">
        <f t="shared" si="685"/>
        <v>WW011</v>
      </c>
      <c r="AY1541" s="27" t="str">
        <f t="shared" si="686"/>
        <v>WW011</v>
      </c>
      <c r="AZ1541" s="27" t="str">
        <f t="shared" si="687"/>
        <v>Supp</v>
      </c>
      <c r="BA1541" s="27" t="str">
        <f t="shared" si="688"/>
        <v>Hun</v>
      </c>
      <c r="BB1541" s="27" t="str">
        <f t="shared" si="689"/>
        <v/>
      </c>
      <c r="BC1541" s="27" t="str">
        <f t="shared" si="690"/>
        <v/>
      </c>
      <c r="BD1541" s="27" t="str">
        <f t="shared" si="691"/>
        <v/>
      </c>
      <c r="BE1541" s="27" t="str">
        <f t="shared" si="692"/>
        <v/>
      </c>
      <c r="BF1541" s="27" t="str">
        <f t="shared" si="693"/>
        <v/>
      </c>
      <c r="BG1541" s="27" t="str">
        <f t="shared" si="694"/>
        <v/>
      </c>
      <c r="BH1541" s="27" t="str">
        <f t="shared" si="695"/>
        <v/>
      </c>
      <c r="BI1541" s="27" t="str">
        <f t="shared" si="696"/>
        <v/>
      </c>
      <c r="BJ1541" s="27" t="str">
        <f t="shared" si="697"/>
        <v>Supp or Hun</v>
      </c>
      <c r="BK1541" s="27" t="str">
        <f t="shared" si="698"/>
        <v/>
      </c>
      <c r="BL1541" s="27" t="str">
        <f t="shared" si="699"/>
        <v/>
      </c>
      <c r="BM1541" s="21" t="s">
        <v>5581</v>
      </c>
    </row>
    <row r="1542" spans="1:65" ht="15">
      <c r="A1542" s="25" t="str">
        <f>IFERROR(INDEX('Hun Demand'!W:W,MATCH(O1542,'Hun Demand'!A:A,0)),"")</f>
        <v/>
      </c>
      <c r="B1542" s="25" t="str">
        <f>IFERROR(INDEX('Hun Demand'!V:V,MATCH(O1542,'Hun Demand'!A:A,0)),"")</f>
        <v/>
      </c>
      <c r="C1542" s="25" t="str">
        <f>IFERROR(INDEX('Hun Demand'!U:U,MATCH(O1542,'Hun Demand'!A:A,0)),"")</f>
        <v/>
      </c>
      <c r="D1542" s="25" t="str">
        <f>IFERROR(INDEX('Hun Demand'!T:T,MATCH(O1542,'Hun Demand'!A:A,0)),"")</f>
        <v/>
      </c>
      <c r="E1542" s="25" t="str">
        <f>IFERROR(INDEX('Hun Demand'!S:S,MATCH(O1542,'Hun Demand'!A:A,0)),"")</f>
        <v/>
      </c>
      <c r="F1542" s="25" t="str">
        <f>IFERROR(INDEX('Hun Demand'!R:R,MATCH(O1542,'Hun Demand'!A:A,0)),"")</f>
        <v/>
      </c>
      <c r="G1542" s="25">
        <f>IFERROR(INDEX('Aub Demand'!W:W,MATCH(O1542,'Aub Demand'!A:A,0)),"")</f>
        <v>97</v>
      </c>
      <c r="H1542" s="25">
        <f>IFERROR(INDEX('Aub Demand'!V:V,MATCH(O1542,'Aub Demand'!A:A,0)),"")</f>
        <v>11</v>
      </c>
      <c r="I1542" s="25">
        <f>IFERROR(INDEX('Aub Demand'!U:U,MATCH(O1542,'Aub Demand'!A:A,0)),"")</f>
        <v>76</v>
      </c>
      <c r="J1542" s="25">
        <f>IFERROR(INDEX('Aub Demand'!T:T,MATCH(O1542,'Aub Demand'!A:A,0)),"")</f>
        <v>22</v>
      </c>
      <c r="K1542" s="25">
        <f>IFERROR(INDEX('Aub Demand'!S:S,MATCH(O1542,'Aub Demand'!A:A,0)),"")</f>
        <v>20</v>
      </c>
      <c r="L1542" s="25">
        <f>IFERROR(INDEX('Aub Demand'!R:R,MATCH(O1542,'Aub Demand'!A:A,0)),"")</f>
        <v>0</v>
      </c>
      <c r="O1542" s="27" t="s">
        <v>3135</v>
      </c>
      <c r="P1542" s="27" t="str">
        <f>IFERROR(INDEX('Aub Demand'!B:B,MATCH($O1542,'Aub Demand'!$A:$A,0)),"")</f>
        <v>VANTAGE POINT WALNUT</v>
      </c>
      <c r="Q1542" s="27" t="str">
        <f>IFERROR(INDEX('Aub Demand'!C:C,MATCH($O1542,'Aub Demand'!$A:$A,0)),"")</f>
        <v>INTER</v>
      </c>
      <c r="R1542" s="52">
        <f>IFERROR(IF(AR1543=AR1542,INDEX('Aub Demand'!K:K,MATCH($O1542,'Aub Demand'!$A:$A,0))-IF(AN1542="",0,AN1542)+AP1543,INDEX('Aub Demand'!K:K,MATCH($O1542,'Aub Demand'!$A:$A,0))-IF(AN1542="",0,AN1542)),"")</f>
        <v>0</v>
      </c>
      <c r="S1542" s="53">
        <f t="shared" si="672"/>
        <v>0</v>
      </c>
      <c r="T1542" s="52">
        <f t="shared" si="673"/>
        <v>36.75</v>
      </c>
      <c r="U1542" s="52">
        <f>IFERROR(IF(AR1543=AR1542,INDEX('Aub Demand'!Q:Q,MATCH($O1542,'Aub Demand'!$A:$A,0))-IF(AN1542="",0,AN1542)+AP1543,INDEX('Aub Demand'!Q:Q,MATCH($O1542,'Aub Demand'!$A:$A,0))-IF(AN1542="",0,AN1542)),"")</f>
        <v>-9</v>
      </c>
      <c r="V1542" s="53">
        <f t="shared" si="674"/>
        <v>-1</v>
      </c>
      <c r="W1542" s="52">
        <f t="shared" si="675"/>
        <v>49</v>
      </c>
      <c r="X1542" s="52">
        <f>IFERROR(IF(AND(AR1543=AR1542,AM1542&lt;&gt;""),INDEX('Aub Demand'!Q:Q,MATCH($O1542,'Aub Demand'!$A:$A,0))-IF(AN1542="",0,AN1542)+AP1543+AD1542+AL1542,IF(AR1543=AR1542,INDEX('Aub Demand'!Q:Q,MATCH($O1542,'Aub Demand'!$A:$A,0))-IF(AN1542="",0,AN1542)+AP1543+AD1542,IF(AM1542&lt;&gt;"",INDEX('Aub Demand'!Q:Q,MATCH($O1542,'Aub Demand'!$A:$A,0))-IF(AN1542="",0,AN1542)+AD1542+AL1542,INDEX('Aub Demand'!Q:Q,MATCH($O1542,'Aub Demand'!$A:$A,0))-IF(AN1542="",0,AN1542)+AD1542))),"")</f>
        <v>-9</v>
      </c>
      <c r="Y1542" s="53">
        <f t="shared" si="676"/>
        <v>-1</v>
      </c>
      <c r="Z1542" s="52">
        <f>IF(L1542="","",INDEX('Aub Demand'!H:H,MATCH($O1542,'Aub Demand'!$A:$A,0)))</f>
        <v>39</v>
      </c>
      <c r="AA1542" s="52">
        <f t="shared" si="677"/>
        <v>49</v>
      </c>
      <c r="AB1542" s="52">
        <f>IFERROR(INDEX('Aub Demand'!L:L,MATCH($O1542,'Aub Demand'!$A:$A,0)),"")</f>
        <v>16</v>
      </c>
      <c r="AC1542" s="52">
        <f>IFERROR(IF(O1542="","",SUMIFS('CPL Mats'!F:F,'CPL Mats'!Q:Q,AR1542,'CPL Mats'!S:S,AS1542)),"")</f>
        <v>0</v>
      </c>
      <c r="AF1542" s="25" t="str">
        <f>IF(SUMIFS('Supp Consol'!S:S,'Supp Consol'!Y:Y,"Releasable",'Supp Consol'!A:A,O1542)=0,"",SUMIFS('Supp Consol'!S:S,'Supp Consol'!Y:Y,"Releasable",'Supp Consol'!A:A,O1542))</f>
        <v/>
      </c>
      <c r="AG1542" s="25" t="str">
        <f>IFERROR(INDEX('Hun Demand'!Q:Q,MATCH(O1542,'Hun Demand'!A:A,0)),"")</f>
        <v/>
      </c>
      <c r="AH1542" s="25" t="str">
        <f>IFERROR(INDEX('Hun Demand'!H:H,MATCH($O1542,'Hun Demand'!$A:$A,0)),"")</f>
        <v/>
      </c>
      <c r="AI1542" s="25" t="str">
        <f>IF(SUMIFS('Supp Consol'!AA:AA,'Supp Consol'!Z:Z,"Expires this month",'Supp Consol'!A:A,O1542)=0,"",SUMIFS('Supp Consol'!AA:AA,'Supp Consol'!Z:Z,"Expires this month",'Supp Consol'!A:A,O1542))</f>
        <v/>
      </c>
      <c r="AJ1542" s="25" t="str">
        <f>IF(SUMIFS('Supp Consol'!AA:AA,'Supp Consol'!Z:Z,"Expired Previous Months",'Supp Consol'!A:A,O1542)=0,"",SUMIFS('Supp Consol'!AA:AA,'Supp Consol'!Z:Z,"Expired Previous Months",'Supp Consol'!A:A,O1542))</f>
        <v/>
      </c>
      <c r="AK1542" s="25" t="str">
        <f>IFERROR(INDEX('Hun Release Current'!B:B,MATCH(O1542,'Hun Release Current'!A:A,0)),"")</f>
        <v/>
      </c>
      <c r="AL1542" s="25" t="str">
        <f>IF(SUMIF('Prev Aub'!A:A,O1542,'Prev Aub'!B:B)=0,"",SUMIF('Prev Aub'!A:A,O1542,'Prev Aub'!B:B))</f>
        <v/>
      </c>
      <c r="AN1542" s="25" t="s">
        <v>3790</v>
      </c>
      <c r="AO1542" s="25" t="s">
        <v>3790</v>
      </c>
      <c r="AP1542" s="25">
        <f t="shared" si="678"/>
        <v>0</v>
      </c>
      <c r="AQ1542" s="151" t="str">
        <f>IF(SUMIFS('Supp Consol'!S:S,'Supp Consol'!A:A,O1542,'Supp Consol'!I:I,"PENDING")=0,"",SUMIFS('Supp Consol'!S:S,'Supp Consol'!A:A,O1542,'Supp Consol'!I:I,"PENDING"))</f>
        <v/>
      </c>
      <c r="AR1542" s="27" t="str">
        <f t="shared" si="679"/>
        <v>WW013</v>
      </c>
      <c r="AS1542" s="27" t="str">
        <f t="shared" si="680"/>
        <v>50</v>
      </c>
      <c r="AT1542" s="27" t="str">
        <f t="shared" si="681"/>
        <v>WW013</v>
      </c>
      <c r="AU1542" s="27" t="str">
        <f t="shared" si="682"/>
        <v>WW013</v>
      </c>
      <c r="AV1542" s="27" t="str">
        <f t="shared" si="683"/>
        <v>WW013</v>
      </c>
      <c r="AW1542" s="27" t="str">
        <f t="shared" si="684"/>
        <v/>
      </c>
      <c r="AX1542" s="27" t="str">
        <f t="shared" si="685"/>
        <v/>
      </c>
      <c r="AY1542" s="27" t="str">
        <f t="shared" si="686"/>
        <v/>
      </c>
      <c r="AZ1542" s="27" t="str">
        <f t="shared" si="687"/>
        <v/>
      </c>
      <c r="BA1542" s="27" t="str">
        <f t="shared" si="688"/>
        <v/>
      </c>
      <c r="BB1542" s="27" t="str">
        <f t="shared" si="689"/>
        <v>Gross</v>
      </c>
      <c r="BC1542" s="27" t="str">
        <f t="shared" si="690"/>
        <v>Net</v>
      </c>
      <c r="BD1542" s="27" t="str">
        <f t="shared" si="691"/>
        <v>Net</v>
      </c>
      <c r="BE1542" s="27" t="str">
        <f t="shared" si="692"/>
        <v/>
      </c>
      <c r="BF1542" s="27" t="str">
        <f t="shared" si="693"/>
        <v/>
      </c>
      <c r="BG1542" s="27" t="str">
        <f t="shared" si="694"/>
        <v/>
      </c>
      <c r="BH1542" s="27" t="str">
        <f t="shared" si="695"/>
        <v/>
      </c>
      <c r="BI1542" s="27" t="str">
        <f t="shared" si="696"/>
        <v/>
      </c>
      <c r="BJ1542" s="27" t="str">
        <f t="shared" si="697"/>
        <v/>
      </c>
      <c r="BK1542" s="27" t="str">
        <f t="shared" si="698"/>
        <v/>
      </c>
      <c r="BL1542" s="27" t="str">
        <f t="shared" si="699"/>
        <v/>
      </c>
      <c r="BM1542" s="21" t="s">
        <v>5581</v>
      </c>
    </row>
    <row r="1543" spans="1:65" ht="15">
      <c r="A1543" s="25" t="str">
        <f>IFERROR(INDEX('Hun Demand'!W:W,MATCH(O1543,'Hun Demand'!A:A,0)),"")</f>
        <v/>
      </c>
      <c r="B1543" s="25" t="str">
        <f>IFERROR(INDEX('Hun Demand'!V:V,MATCH(O1543,'Hun Demand'!A:A,0)),"")</f>
        <v/>
      </c>
      <c r="C1543" s="25" t="str">
        <f>IFERROR(INDEX('Hun Demand'!U:U,MATCH(O1543,'Hun Demand'!A:A,0)),"")</f>
        <v/>
      </c>
      <c r="D1543" s="25" t="str">
        <f>IFERROR(INDEX('Hun Demand'!T:T,MATCH(O1543,'Hun Demand'!A:A,0)),"")</f>
        <v/>
      </c>
      <c r="E1543" s="25" t="str">
        <f>IFERROR(INDEX('Hun Demand'!S:S,MATCH(O1543,'Hun Demand'!A:A,0)),"")</f>
        <v/>
      </c>
      <c r="F1543" s="25" t="str">
        <f>IFERROR(INDEX('Hun Demand'!R:R,MATCH(O1543,'Hun Demand'!A:A,0)),"")</f>
        <v/>
      </c>
      <c r="G1543" s="25">
        <f>IFERROR(INDEX('Aub Demand'!W:W,MATCH(O1543,'Aub Demand'!A:A,0)),"")</f>
        <v>41</v>
      </c>
      <c r="H1543" s="25">
        <f>IFERROR(INDEX('Aub Demand'!V:V,MATCH(O1543,'Aub Demand'!A:A,0)),"")</f>
        <v>0</v>
      </c>
      <c r="I1543" s="25">
        <f>IFERROR(INDEX('Aub Demand'!U:U,MATCH(O1543,'Aub Demand'!A:A,0)),"")</f>
        <v>80</v>
      </c>
      <c r="J1543" s="25">
        <f>IFERROR(INDEX('Aub Demand'!T:T,MATCH(O1543,'Aub Demand'!A:A,0)),"")</f>
        <v>0</v>
      </c>
      <c r="K1543" s="25">
        <f>IFERROR(INDEX('Aub Demand'!S:S,MATCH(O1543,'Aub Demand'!A:A,0)),"")</f>
        <v>0</v>
      </c>
      <c r="L1543" s="25">
        <f>IFERROR(INDEX('Aub Demand'!R:R,MATCH(O1543,'Aub Demand'!A:A,0)),"")</f>
        <v>0</v>
      </c>
      <c r="O1543" s="27" t="s">
        <v>3137</v>
      </c>
      <c r="P1543" s="27" t="str">
        <f>IFERROR(INDEX('Aub Demand'!B:B,MATCH($O1543,'Aub Demand'!$A:$A,0)),"")</f>
        <v>VANTAGE POINT WALNUT</v>
      </c>
      <c r="Q1543" s="27" t="str">
        <f>IFERROR(INDEX('Aub Demand'!C:C,MATCH($O1543,'Aub Demand'!$A:$A,0)),"")</f>
        <v>INTER</v>
      </c>
      <c r="R1543" s="52">
        <f>IFERROR(IF(AR1544=AR1543,INDEX('Aub Demand'!K:K,MATCH($O1543,'Aub Demand'!$A:$A,0))-IF(AN1543="",0,AN1543)+AP1544,INDEX('Aub Demand'!K:K,MATCH($O1543,'Aub Demand'!$A:$A,0))-IF(AN1543="",0,AN1543)),"")</f>
        <v>3382</v>
      </c>
      <c r="S1543" s="53">
        <f t="shared" si="672"/>
        <v>536.79999999999995</v>
      </c>
      <c r="T1543" s="52" t="str">
        <f t="shared" si="673"/>
        <v/>
      </c>
      <c r="U1543" s="52">
        <f>IFERROR(IF(AR1544=AR1543,INDEX('Aub Demand'!Q:Q,MATCH($O1543,'Aub Demand'!$A:$A,0))-IF(AN1543="",0,AN1543)+AP1544,INDEX('Aub Demand'!Q:Q,MATCH($O1543,'Aub Demand'!$A:$A,0))-IF(AN1543="",0,AN1543)),"")</f>
        <v>3371</v>
      </c>
      <c r="V1543" s="53">
        <f t="shared" si="674"/>
        <v>535.1</v>
      </c>
      <c r="W1543" s="52" t="str">
        <f t="shared" si="675"/>
        <v/>
      </c>
      <c r="X1543" s="52">
        <f>IFERROR(IF(AND(AR1544=AR1543,AM1543&lt;&gt;""),INDEX('Aub Demand'!Q:Q,MATCH($O1543,'Aub Demand'!$A:$A,0))-IF(AN1543="",0,AN1543)+AP1544+AD1543+AL1543,IF(AR1544=AR1543,INDEX('Aub Demand'!Q:Q,MATCH($O1543,'Aub Demand'!$A:$A,0))-IF(AN1543="",0,AN1543)+AP1544+AD1543,IF(AM1543&lt;&gt;"",INDEX('Aub Demand'!Q:Q,MATCH($O1543,'Aub Demand'!$A:$A,0))-IF(AN1543="",0,AN1543)+AD1543+AL1543,INDEX('Aub Demand'!Q:Q,MATCH($O1543,'Aub Demand'!$A:$A,0))-IF(AN1543="",0,AN1543)+AD1543))),"")</f>
        <v>3371</v>
      </c>
      <c r="Y1543" s="53">
        <f t="shared" si="676"/>
        <v>535.1</v>
      </c>
      <c r="Z1543" s="52">
        <f>IF(L1543="","",INDEX('Aub Demand'!H:H,MATCH($O1543,'Aub Demand'!$A:$A,0)))</f>
        <v>27</v>
      </c>
      <c r="AA1543" s="52" t="str">
        <f t="shared" si="677"/>
        <v>-spike-</v>
      </c>
      <c r="AB1543" s="52">
        <f>IFERROR(INDEX('Aub Demand'!L:L,MATCH($O1543,'Aub Demand'!$A:$A,0)),"")</f>
        <v>0</v>
      </c>
      <c r="AC1543" s="52">
        <f>IFERROR(IF(O1543="","",SUMIFS('CPL Mats'!F:F,'CPL Mats'!Q:Q,AR1543,'CPL Mats'!S:S,AS1543)),"")</f>
        <v>0</v>
      </c>
      <c r="AF1543" s="25" t="str">
        <f>IF(SUMIFS('Supp Consol'!S:S,'Supp Consol'!Y:Y,"Releasable",'Supp Consol'!A:A,O1543)=0,"",SUMIFS('Supp Consol'!S:S,'Supp Consol'!Y:Y,"Releasable",'Supp Consol'!A:A,O1543))</f>
        <v/>
      </c>
      <c r="AG1543" s="25" t="str">
        <f>IFERROR(INDEX('Hun Demand'!Q:Q,MATCH(O1543,'Hun Demand'!A:A,0)),"")</f>
        <v/>
      </c>
      <c r="AH1543" s="25" t="str">
        <f>IFERROR(INDEX('Hun Demand'!H:H,MATCH($O1543,'Hun Demand'!$A:$A,0)),"")</f>
        <v/>
      </c>
      <c r="AI1543" s="25" t="str">
        <f>IF(SUMIFS('Supp Consol'!AA:AA,'Supp Consol'!Z:Z,"Expires this month",'Supp Consol'!A:A,O1543)=0,"",SUMIFS('Supp Consol'!AA:AA,'Supp Consol'!Z:Z,"Expires this month",'Supp Consol'!A:A,O1543))</f>
        <v/>
      </c>
      <c r="AJ1543" s="25" t="str">
        <f>IF(SUMIFS('Supp Consol'!AA:AA,'Supp Consol'!Z:Z,"Expired Previous Months",'Supp Consol'!A:A,O1543)=0,"",SUMIFS('Supp Consol'!AA:AA,'Supp Consol'!Z:Z,"Expired Previous Months",'Supp Consol'!A:A,O1543))</f>
        <v/>
      </c>
      <c r="AK1543" s="25" t="str">
        <f>IFERROR(INDEX('Hun Release Current'!B:B,MATCH(O1543,'Hun Release Current'!A:A,0)),"")</f>
        <v/>
      </c>
      <c r="AL1543" s="25" t="str">
        <f>IF(SUMIF('Prev Aub'!A:A,O1543,'Prev Aub'!B:B)=0,"",SUMIF('Prev Aub'!A:A,O1543,'Prev Aub'!B:B))</f>
        <v/>
      </c>
      <c r="AN1543" s="25" t="s">
        <v>3790</v>
      </c>
      <c r="AO1543" s="25" t="s">
        <v>3790</v>
      </c>
      <c r="AP1543" s="25">
        <f t="shared" si="678"/>
        <v>0</v>
      </c>
      <c r="AQ1543" s="151" t="str">
        <f>IF(SUMIFS('Supp Consol'!S:S,'Supp Consol'!A:A,O1543,'Supp Consol'!I:I,"PENDING")=0,"",SUMIFS('Supp Consol'!S:S,'Supp Consol'!A:A,O1543,'Supp Consol'!I:I,"PENDING"))</f>
        <v/>
      </c>
      <c r="AR1543" s="27" t="str">
        <f t="shared" si="679"/>
        <v>WW013</v>
      </c>
      <c r="AS1543" s="27" t="str">
        <f t="shared" si="680"/>
        <v>62</v>
      </c>
      <c r="AT1543" s="27" t="str">
        <f t="shared" si="681"/>
        <v/>
      </c>
      <c r="AU1543" s="27" t="str">
        <f t="shared" si="682"/>
        <v/>
      </c>
      <c r="AV1543" s="27" t="str">
        <f t="shared" si="683"/>
        <v/>
      </c>
      <c r="AW1543" s="27" t="str">
        <f t="shared" si="684"/>
        <v/>
      </c>
      <c r="AX1543" s="27" t="str">
        <f t="shared" si="685"/>
        <v/>
      </c>
      <c r="AY1543" s="27" t="str">
        <f t="shared" si="686"/>
        <v/>
      </c>
      <c r="AZ1543" s="27" t="str">
        <f t="shared" si="687"/>
        <v/>
      </c>
      <c r="BA1543" s="27" t="str">
        <f t="shared" si="688"/>
        <v/>
      </c>
      <c r="BB1543" s="27" t="str">
        <f t="shared" si="689"/>
        <v>Gross</v>
      </c>
      <c r="BC1543" s="27" t="str">
        <f t="shared" si="690"/>
        <v>Net</v>
      </c>
      <c r="BD1543" s="27" t="str">
        <f t="shared" si="691"/>
        <v>Net</v>
      </c>
      <c r="BE1543" s="27" t="str">
        <f t="shared" si="692"/>
        <v/>
      </c>
      <c r="BF1543" s="27" t="str">
        <f t="shared" si="693"/>
        <v/>
      </c>
      <c r="BG1543" s="27" t="str">
        <f t="shared" si="694"/>
        <v/>
      </c>
      <c r="BH1543" s="27" t="str">
        <f t="shared" si="695"/>
        <v/>
      </c>
      <c r="BI1543" s="27" t="str">
        <f t="shared" si="696"/>
        <v/>
      </c>
      <c r="BJ1543" s="27" t="str">
        <f t="shared" si="697"/>
        <v/>
      </c>
      <c r="BK1543" s="27" t="str">
        <f t="shared" si="698"/>
        <v/>
      </c>
      <c r="BL1543" s="27" t="str">
        <f t="shared" si="699"/>
        <v/>
      </c>
      <c r="BM1543" s="21" t="s">
        <v>5581</v>
      </c>
    </row>
    <row r="1544" spans="1:65" ht="15">
      <c r="A1544" s="25" t="str">
        <f>IFERROR(INDEX('Hun Demand'!W:W,MATCH(O1544,'Hun Demand'!A:A,0)),"")</f>
        <v/>
      </c>
      <c r="B1544" s="25" t="str">
        <f>IFERROR(INDEX('Hun Demand'!V:V,MATCH(O1544,'Hun Demand'!A:A,0)),"")</f>
        <v/>
      </c>
      <c r="C1544" s="25" t="str">
        <f>IFERROR(INDEX('Hun Demand'!U:U,MATCH(O1544,'Hun Demand'!A:A,0)),"")</f>
        <v/>
      </c>
      <c r="D1544" s="25" t="str">
        <f>IFERROR(INDEX('Hun Demand'!T:T,MATCH(O1544,'Hun Demand'!A:A,0)),"")</f>
        <v/>
      </c>
      <c r="E1544" s="25" t="str">
        <f>IFERROR(INDEX('Hun Demand'!S:S,MATCH(O1544,'Hun Demand'!A:A,0)),"")</f>
        <v/>
      </c>
      <c r="F1544" s="25" t="str">
        <f>IFERROR(INDEX('Hun Demand'!R:R,MATCH(O1544,'Hun Demand'!A:A,0)),"")</f>
        <v/>
      </c>
      <c r="G1544" s="25">
        <f>IFERROR(INDEX('Aub Demand'!W:W,MATCH(O1544,'Aub Demand'!A:A,0)),"")</f>
        <v>0</v>
      </c>
      <c r="H1544" s="25">
        <f>IFERROR(INDEX('Aub Demand'!V:V,MATCH(O1544,'Aub Demand'!A:A,0)),"")</f>
        <v>0</v>
      </c>
      <c r="I1544" s="25">
        <f>IFERROR(INDEX('Aub Demand'!U:U,MATCH(O1544,'Aub Demand'!A:A,0)),"")</f>
        <v>0</v>
      </c>
      <c r="J1544" s="25">
        <f>IFERROR(INDEX('Aub Demand'!T:T,MATCH(O1544,'Aub Demand'!A:A,0)),"")</f>
        <v>0</v>
      </c>
      <c r="K1544" s="25">
        <f>IFERROR(INDEX('Aub Demand'!S:S,MATCH(O1544,'Aub Demand'!A:A,0)),"")</f>
        <v>0</v>
      </c>
      <c r="L1544" s="25">
        <f>IFERROR(INDEX('Aub Demand'!R:R,MATCH(O1544,'Aub Demand'!A:A,0)),"")</f>
        <v>0</v>
      </c>
      <c r="O1544" s="27" t="s">
        <v>1854</v>
      </c>
      <c r="P1544" s="27" t="str">
        <f>IFERROR(INDEX('Aub Demand'!B:B,MATCH($O1544,'Aub Demand'!$A:$A,0)),"")</f>
        <v>CHOCOLATE WALNUT</v>
      </c>
      <c r="Q1544" s="27" t="str">
        <f>IFERROR(INDEX('Aub Demand'!C:C,MATCH($O1544,'Aub Demand'!$A:$A,0)),"")</f>
        <v>INTER</v>
      </c>
      <c r="R1544" s="52">
        <f>IFERROR(IF(AR1545=AR1544,INDEX('Aub Demand'!K:K,MATCH($O1544,'Aub Demand'!$A:$A,0))-IF(AN1544="",0,AN1544)+AP1545,INDEX('Aub Demand'!K:K,MATCH($O1544,'Aub Demand'!$A:$A,0))-IF(AN1544="",0,AN1544)),"")</f>
        <v>729</v>
      </c>
      <c r="S1544" s="53" t="str">
        <f t="shared" si="672"/>
        <v>n/a</v>
      </c>
      <c r="T1544" s="52" t="str">
        <f t="shared" si="673"/>
        <v/>
      </c>
      <c r="U1544" s="52">
        <f>IFERROR(IF(AR1545=AR1544,INDEX('Aub Demand'!Q:Q,MATCH($O1544,'Aub Demand'!$A:$A,0))-IF(AN1544="",0,AN1544)+AP1545,INDEX('Aub Demand'!Q:Q,MATCH($O1544,'Aub Demand'!$A:$A,0))-IF(AN1544="",0,AN1544)),"")</f>
        <v>729</v>
      </c>
      <c r="V1544" s="53" t="str">
        <f t="shared" si="674"/>
        <v>n/a</v>
      </c>
      <c r="W1544" s="52" t="str">
        <f t="shared" si="675"/>
        <v/>
      </c>
      <c r="X1544" s="52">
        <f>IFERROR(IF(AND(AR1545=AR1544,AM1544&lt;&gt;""),INDEX('Aub Demand'!Q:Q,MATCH($O1544,'Aub Demand'!$A:$A,0))-IF(AN1544="",0,AN1544)+AP1545+AD1544+AL1544,IF(AR1545=AR1544,INDEX('Aub Demand'!Q:Q,MATCH($O1544,'Aub Demand'!$A:$A,0))-IF(AN1544="",0,AN1544)+AP1545+AD1544,IF(AM1544&lt;&gt;"",INDEX('Aub Demand'!Q:Q,MATCH($O1544,'Aub Demand'!$A:$A,0))-IF(AN1544="",0,AN1544)+AD1544+AL1544,INDEX('Aub Demand'!Q:Q,MATCH($O1544,'Aub Demand'!$A:$A,0))-IF(AN1544="",0,AN1544)+AD1544))),"")</f>
        <v>729</v>
      </c>
      <c r="Y1544" s="53" t="str">
        <f t="shared" si="676"/>
        <v>n/a</v>
      </c>
      <c r="Z1544" s="52">
        <f>IF(L1544="","",INDEX('Aub Demand'!H:H,MATCH($O1544,'Aub Demand'!$A:$A,0)))</f>
        <v>0</v>
      </c>
      <c r="AA1544" s="52" t="str">
        <f t="shared" si="677"/>
        <v>-spike-</v>
      </c>
      <c r="AB1544" s="52">
        <f>IFERROR(INDEX('Aub Demand'!L:L,MATCH($O1544,'Aub Demand'!$A:$A,0)),"")</f>
        <v>0</v>
      </c>
      <c r="AC1544" s="52">
        <f>IFERROR(IF(O1544="","",SUMIFS('CPL Mats'!F:F,'CPL Mats'!Q:Q,AR1544,'CPL Mats'!S:S,AS1544)),"")</f>
        <v>0</v>
      </c>
      <c r="AF1544" s="25" t="str">
        <f>IF(SUMIFS('Supp Consol'!S:S,'Supp Consol'!Y:Y,"Releasable",'Supp Consol'!A:A,O1544)=0,"",SUMIFS('Supp Consol'!S:S,'Supp Consol'!Y:Y,"Releasable",'Supp Consol'!A:A,O1544))</f>
        <v/>
      </c>
      <c r="AG1544" s="25" t="str">
        <f>IFERROR(INDEX('Hun Demand'!Q:Q,MATCH(O1544,'Hun Demand'!A:A,0)),"")</f>
        <v/>
      </c>
      <c r="AH1544" s="25" t="str">
        <f>IFERROR(INDEX('Hun Demand'!H:H,MATCH($O1544,'Hun Demand'!$A:$A,0)),"")</f>
        <v/>
      </c>
      <c r="AI1544" s="25" t="str">
        <f>IF(SUMIFS('Supp Consol'!AA:AA,'Supp Consol'!Z:Z,"Expires this month",'Supp Consol'!A:A,O1544)=0,"",SUMIFS('Supp Consol'!AA:AA,'Supp Consol'!Z:Z,"Expires this month",'Supp Consol'!A:A,O1544))</f>
        <v/>
      </c>
      <c r="AJ1544" s="25" t="str">
        <f>IF(SUMIFS('Supp Consol'!AA:AA,'Supp Consol'!Z:Z,"Expired Previous Months",'Supp Consol'!A:A,O1544)=0,"",SUMIFS('Supp Consol'!AA:AA,'Supp Consol'!Z:Z,"Expired Previous Months",'Supp Consol'!A:A,O1544))</f>
        <v/>
      </c>
      <c r="AK1544" s="25" t="str">
        <f>IFERROR(INDEX('Hun Release Current'!B:B,MATCH(O1544,'Hun Release Current'!A:A,0)),"")</f>
        <v/>
      </c>
      <c r="AL1544" s="25" t="str">
        <f>IF(SUMIF('Prev Aub'!A:A,O1544,'Prev Aub'!B:B)=0,"",SUMIF('Prev Aub'!A:A,O1544,'Prev Aub'!B:B))</f>
        <v/>
      </c>
      <c r="AN1544" s="25" t="s">
        <v>3790</v>
      </c>
      <c r="AO1544" s="25" t="s">
        <v>3790</v>
      </c>
      <c r="AP1544" s="25">
        <f t="shared" si="678"/>
        <v>0</v>
      </c>
      <c r="AQ1544" s="151" t="str">
        <f>IF(SUMIFS('Supp Consol'!S:S,'Supp Consol'!A:A,O1544,'Supp Consol'!I:I,"PENDING")=0,"",SUMIFS('Supp Consol'!S:S,'Supp Consol'!A:A,O1544,'Supp Consol'!I:I,"PENDING"))</f>
        <v/>
      </c>
      <c r="AR1544" s="27" t="str">
        <f t="shared" si="679"/>
        <v>WW020</v>
      </c>
      <c r="AS1544" s="27" t="str">
        <f t="shared" si="680"/>
        <v>50</v>
      </c>
      <c r="AT1544" s="27" t="str">
        <f t="shared" si="681"/>
        <v/>
      </c>
      <c r="AU1544" s="27" t="str">
        <f t="shared" si="682"/>
        <v/>
      </c>
      <c r="AV1544" s="27" t="str">
        <f t="shared" si="683"/>
        <v/>
      </c>
      <c r="AW1544" s="27" t="str">
        <f t="shared" si="684"/>
        <v/>
      </c>
      <c r="AX1544" s="27" t="str">
        <f t="shared" si="685"/>
        <v/>
      </c>
      <c r="AY1544" s="27" t="str">
        <f t="shared" si="686"/>
        <v/>
      </c>
      <c r="AZ1544" s="27" t="str">
        <f t="shared" si="687"/>
        <v/>
      </c>
      <c r="BA1544" s="27" t="str">
        <f t="shared" si="688"/>
        <v>Hun</v>
      </c>
      <c r="BB1544" s="27" t="str">
        <f t="shared" si="689"/>
        <v/>
      </c>
      <c r="BC1544" s="27" t="str">
        <f t="shared" si="690"/>
        <v/>
      </c>
      <c r="BD1544" s="27" t="str">
        <f t="shared" si="691"/>
        <v/>
      </c>
      <c r="BE1544" s="27" t="str">
        <f t="shared" si="692"/>
        <v/>
      </c>
      <c r="BF1544" s="27" t="str">
        <f t="shared" si="693"/>
        <v/>
      </c>
      <c r="BG1544" s="27" t="str">
        <f t="shared" si="694"/>
        <v/>
      </c>
      <c r="BH1544" s="27" t="str">
        <f t="shared" si="695"/>
        <v/>
      </c>
      <c r="BI1544" s="27" t="str">
        <f t="shared" si="696"/>
        <v/>
      </c>
      <c r="BJ1544" s="27" t="str">
        <f t="shared" si="697"/>
        <v>Supp or Hun</v>
      </c>
      <c r="BK1544" s="27" t="str">
        <f t="shared" si="698"/>
        <v/>
      </c>
      <c r="BL1544" s="27" t="str">
        <f t="shared" si="699"/>
        <v/>
      </c>
      <c r="BM1544" s="21" t="s">
        <v>3790</v>
      </c>
    </row>
    <row r="1545" spans="1:65" ht="15">
      <c r="A1545" s="25">
        <f>IFERROR(INDEX('Hun Demand'!W:W,MATCH(O1545,'Hun Demand'!A:A,0)),"")</f>
        <v>0</v>
      </c>
      <c r="B1545" s="25">
        <f>IFERROR(INDEX('Hun Demand'!V:V,MATCH(O1545,'Hun Demand'!A:A,0)),"")</f>
        <v>0</v>
      </c>
      <c r="C1545" s="25">
        <f>IFERROR(INDEX('Hun Demand'!U:U,MATCH(O1545,'Hun Demand'!A:A,0)),"")</f>
        <v>0</v>
      </c>
      <c r="D1545" s="25">
        <f>IFERROR(INDEX('Hun Demand'!T:T,MATCH(O1545,'Hun Demand'!A:A,0)),"")</f>
        <v>0</v>
      </c>
      <c r="E1545" s="25">
        <f>IFERROR(INDEX('Hun Demand'!S:S,MATCH(O1545,'Hun Demand'!A:A,0)),"")</f>
        <v>0</v>
      </c>
      <c r="F1545" s="25">
        <f>IFERROR(INDEX('Hun Demand'!R:R,MATCH(O1545,'Hun Demand'!A:A,0)),"")</f>
        <v>0</v>
      </c>
      <c r="G1545" s="25">
        <f>IFERROR(INDEX('Aub Demand'!W:W,MATCH(O1545,'Aub Demand'!A:A,0)),"")</f>
        <v>0</v>
      </c>
      <c r="H1545" s="25">
        <f>IFERROR(INDEX('Aub Demand'!V:V,MATCH(O1545,'Aub Demand'!A:A,0)),"")</f>
        <v>0</v>
      </c>
      <c r="I1545" s="25">
        <f>IFERROR(INDEX('Aub Demand'!U:U,MATCH(O1545,'Aub Demand'!A:A,0)),"")</f>
        <v>0</v>
      </c>
      <c r="J1545" s="25">
        <f>IFERROR(INDEX('Aub Demand'!T:T,MATCH(O1545,'Aub Demand'!A:A,0)),"")</f>
        <v>0</v>
      </c>
      <c r="K1545" s="25">
        <f>IFERROR(INDEX('Aub Demand'!S:S,MATCH(O1545,'Aub Demand'!A:A,0)),"")</f>
        <v>0</v>
      </c>
      <c r="L1545" s="25">
        <f>IFERROR(INDEX('Aub Demand'!R:R,MATCH(O1545,'Aub Demand'!A:A,0)),"")</f>
        <v>0</v>
      </c>
      <c r="O1545" s="27" t="s">
        <v>1856</v>
      </c>
      <c r="P1545" s="27" t="str">
        <f>IFERROR(INDEX('Aub Demand'!B:B,MATCH($O1545,'Aub Demand'!$A:$A,0)),"")</f>
        <v>CHOCOLATE WALNUT</v>
      </c>
      <c r="Q1545" s="27" t="str">
        <f>IFERROR(INDEX('Aub Demand'!C:C,MATCH($O1545,'Aub Demand'!$A:$A,0)),"")</f>
        <v>INTER</v>
      </c>
      <c r="R1545" s="52">
        <f>IFERROR(IF(AR1546=AR1545,INDEX('Aub Demand'!K:K,MATCH($O1545,'Aub Demand'!$A:$A,0))-IF(AN1545="",0,AN1545)+AP1546,INDEX('Aub Demand'!K:K,MATCH($O1545,'Aub Demand'!$A:$A,0))-IF(AN1545="",0,AN1545)),"")</f>
        <v>4205</v>
      </c>
      <c r="S1545" s="53" t="str">
        <f t="shared" si="672"/>
        <v>n/a</v>
      </c>
      <c r="T1545" s="52" t="str">
        <f t="shared" si="673"/>
        <v/>
      </c>
      <c r="U1545" s="52">
        <f>IFERROR(IF(AR1546=AR1545,INDEX('Aub Demand'!Q:Q,MATCH($O1545,'Aub Demand'!$A:$A,0))-IF(AN1545="",0,AN1545)+AP1546,INDEX('Aub Demand'!Q:Q,MATCH($O1545,'Aub Demand'!$A:$A,0))-IF(AN1545="",0,AN1545)),"")</f>
        <v>4205</v>
      </c>
      <c r="V1545" s="53" t="str">
        <f t="shared" si="674"/>
        <v>n/a</v>
      </c>
      <c r="W1545" s="52" t="str">
        <f t="shared" si="675"/>
        <v/>
      </c>
      <c r="X1545" s="52">
        <f>IFERROR(IF(AND(AR1546=AR1545,AM1545&lt;&gt;""),INDEX('Aub Demand'!Q:Q,MATCH($O1545,'Aub Demand'!$A:$A,0))-IF(AN1545="",0,AN1545)+AP1546+AD1545+AL1545,IF(AR1546=AR1545,INDEX('Aub Demand'!Q:Q,MATCH($O1545,'Aub Demand'!$A:$A,0))-IF(AN1545="",0,AN1545)+AP1546+AD1545,IF(AM1545&lt;&gt;"",INDEX('Aub Demand'!Q:Q,MATCH($O1545,'Aub Demand'!$A:$A,0))-IF(AN1545="",0,AN1545)+AD1545+AL1545,INDEX('Aub Demand'!Q:Q,MATCH($O1545,'Aub Demand'!$A:$A,0))-IF(AN1545="",0,AN1545)+AD1545))),"")</f>
        <v>4205</v>
      </c>
      <c r="Y1545" s="53" t="str">
        <f t="shared" si="676"/>
        <v>n/a</v>
      </c>
      <c r="Z1545" s="52">
        <f>IF(L1545="","",INDEX('Aub Demand'!H:H,MATCH($O1545,'Aub Demand'!$A:$A,0)))</f>
        <v>0</v>
      </c>
      <c r="AA1545" s="52" t="str">
        <f t="shared" si="677"/>
        <v>-spike-</v>
      </c>
      <c r="AB1545" s="52">
        <f>IFERROR(INDEX('Aub Demand'!L:L,MATCH($O1545,'Aub Demand'!$A:$A,0)),"")</f>
        <v>0</v>
      </c>
      <c r="AC1545" s="52">
        <f>IFERROR(IF(O1545="","",SUMIFS('CPL Mats'!F:F,'CPL Mats'!Q:Q,AR1545,'CPL Mats'!S:S,AS1545)),"")</f>
        <v>0</v>
      </c>
      <c r="AF1545" s="25" t="str">
        <f>IF(SUMIFS('Supp Consol'!S:S,'Supp Consol'!Y:Y,"Releasable",'Supp Consol'!A:A,O1545)=0,"",SUMIFS('Supp Consol'!S:S,'Supp Consol'!Y:Y,"Releasable",'Supp Consol'!A:A,O1545))</f>
        <v/>
      </c>
      <c r="AG1545" s="25">
        <f>IFERROR(INDEX('Hun Demand'!Q:Q,MATCH(O1545,'Hun Demand'!A:A,0)),"")</f>
        <v>80</v>
      </c>
      <c r="AH1545" s="25">
        <f>IFERROR(INDEX('Hun Demand'!H:H,MATCH($O1545,'Hun Demand'!$A:$A,0)),"")</f>
        <v>0</v>
      </c>
      <c r="AI1545" s="25" t="str">
        <f>IF(SUMIFS('Supp Consol'!AA:AA,'Supp Consol'!Z:Z,"Expires this month",'Supp Consol'!A:A,O1545)=0,"",SUMIFS('Supp Consol'!AA:AA,'Supp Consol'!Z:Z,"Expires this month",'Supp Consol'!A:A,O1545))</f>
        <v/>
      </c>
      <c r="AJ1545" s="25" t="str">
        <f>IF(SUMIFS('Supp Consol'!AA:AA,'Supp Consol'!Z:Z,"Expired Previous Months",'Supp Consol'!A:A,O1545)=0,"",SUMIFS('Supp Consol'!AA:AA,'Supp Consol'!Z:Z,"Expired Previous Months",'Supp Consol'!A:A,O1545))</f>
        <v/>
      </c>
      <c r="AK1545" s="25" t="str">
        <f>IFERROR(INDEX('Hun Release Current'!B:B,MATCH(O1545,'Hun Release Current'!A:A,0)),"")</f>
        <v/>
      </c>
      <c r="AL1545" s="25" t="str">
        <f>IF(SUMIF('Prev Aub'!A:A,O1545,'Prev Aub'!B:B)=0,"",SUMIF('Prev Aub'!A:A,O1545,'Prev Aub'!B:B))</f>
        <v/>
      </c>
      <c r="AN1545" s="25" t="s">
        <v>3790</v>
      </c>
      <c r="AO1545" s="25" t="s">
        <v>3790</v>
      </c>
      <c r="AP1545" s="25">
        <f t="shared" si="678"/>
        <v>0</v>
      </c>
      <c r="AQ1545" s="151" t="str">
        <f>IF(SUMIFS('Supp Consol'!S:S,'Supp Consol'!A:A,O1545,'Supp Consol'!I:I,"PENDING")=0,"",SUMIFS('Supp Consol'!S:S,'Supp Consol'!A:A,O1545,'Supp Consol'!I:I,"PENDING"))</f>
        <v/>
      </c>
      <c r="AR1545" s="27" t="str">
        <f t="shared" si="679"/>
        <v>WW020</v>
      </c>
      <c r="AS1545" s="27" t="str">
        <f t="shared" si="680"/>
        <v>62</v>
      </c>
      <c r="AT1545" s="27" t="str">
        <f t="shared" si="681"/>
        <v/>
      </c>
      <c r="AU1545" s="27" t="str">
        <f t="shared" si="682"/>
        <v/>
      </c>
      <c r="AV1545" s="27" t="str">
        <f t="shared" si="683"/>
        <v/>
      </c>
      <c r="AW1545" s="27" t="str">
        <f t="shared" si="684"/>
        <v/>
      </c>
      <c r="AX1545" s="27" t="str">
        <f t="shared" si="685"/>
        <v/>
      </c>
      <c r="AY1545" s="27" t="str">
        <f t="shared" si="686"/>
        <v>WW020</v>
      </c>
      <c r="AZ1545" s="27" t="str">
        <f t="shared" si="687"/>
        <v/>
      </c>
      <c r="BA1545" s="27" t="str">
        <f t="shared" si="688"/>
        <v>Hun</v>
      </c>
      <c r="BB1545" s="27" t="str">
        <f t="shared" si="689"/>
        <v/>
      </c>
      <c r="BC1545" s="27" t="str">
        <f t="shared" si="690"/>
        <v/>
      </c>
      <c r="BD1545" s="27" t="str">
        <f t="shared" si="691"/>
        <v/>
      </c>
      <c r="BE1545" s="27" t="str">
        <f t="shared" si="692"/>
        <v/>
      </c>
      <c r="BF1545" s="27" t="str">
        <f t="shared" si="693"/>
        <v/>
      </c>
      <c r="BG1545" s="27" t="str">
        <f t="shared" si="694"/>
        <v/>
      </c>
      <c r="BH1545" s="27" t="str">
        <f t="shared" si="695"/>
        <v/>
      </c>
      <c r="BI1545" s="27" t="str">
        <f t="shared" si="696"/>
        <v/>
      </c>
      <c r="BJ1545" s="27" t="str">
        <f t="shared" si="697"/>
        <v>Supp or Hun</v>
      </c>
      <c r="BK1545" s="27" t="str">
        <f t="shared" si="698"/>
        <v/>
      </c>
      <c r="BL1545" s="27" t="str">
        <f t="shared" si="699"/>
        <v/>
      </c>
      <c r="BM1545" s="21" t="s">
        <v>3790</v>
      </c>
    </row>
    <row r="1546" spans="1:65" ht="15">
      <c r="A1546" s="25">
        <f>IFERROR(INDEX('Hun Demand'!W:W,MATCH(O1546,'Hun Demand'!A:A,0)),"")</f>
        <v>0</v>
      </c>
      <c r="B1546" s="25">
        <f>IFERROR(INDEX('Hun Demand'!V:V,MATCH(O1546,'Hun Demand'!A:A,0)),"")</f>
        <v>46</v>
      </c>
      <c r="C1546" s="25">
        <f>IFERROR(INDEX('Hun Demand'!U:U,MATCH(O1546,'Hun Demand'!A:A,0)),"")</f>
        <v>55</v>
      </c>
      <c r="D1546" s="25">
        <f>IFERROR(INDEX('Hun Demand'!T:T,MATCH(O1546,'Hun Demand'!A:A,0)),"")</f>
        <v>0</v>
      </c>
      <c r="E1546" s="25">
        <f>IFERROR(INDEX('Hun Demand'!S:S,MATCH(O1546,'Hun Demand'!A:A,0)),"")</f>
        <v>0</v>
      </c>
      <c r="F1546" s="25">
        <f>IFERROR(INDEX('Hun Demand'!R:R,MATCH(O1546,'Hun Demand'!A:A,0)),"")</f>
        <v>0</v>
      </c>
      <c r="G1546" s="25">
        <f>IFERROR(INDEX('Aub Demand'!W:W,MATCH(O1546,'Aub Demand'!A:A,0)),"")</f>
        <v>43</v>
      </c>
      <c r="H1546" s="25">
        <f>IFERROR(INDEX('Aub Demand'!V:V,MATCH(O1546,'Aub Demand'!A:A,0)),"")</f>
        <v>139</v>
      </c>
      <c r="I1546" s="25">
        <f>IFERROR(INDEX('Aub Demand'!U:U,MATCH(O1546,'Aub Demand'!A:A,0)),"")</f>
        <v>65</v>
      </c>
      <c r="J1546" s="25">
        <f>IFERROR(INDEX('Aub Demand'!T:T,MATCH(O1546,'Aub Demand'!A:A,0)),"")</f>
        <v>0</v>
      </c>
      <c r="K1546" s="25">
        <f>IFERROR(INDEX('Aub Demand'!S:S,MATCH(O1546,'Aub Demand'!A:A,0)),"")</f>
        <v>98</v>
      </c>
      <c r="L1546" s="25">
        <f>IFERROR(INDEX('Aub Demand'!R:R,MATCH(O1546,'Aub Demand'!A:A,0)),"")</f>
        <v>0</v>
      </c>
      <c r="O1546" s="27" t="s">
        <v>1857</v>
      </c>
      <c r="P1546" s="27" t="str">
        <f>IFERROR(INDEX('Aub Demand'!B:B,MATCH($O1546,'Aub Demand'!$A:$A,0)),"")</f>
        <v>WALNUT GROVE</v>
      </c>
      <c r="Q1546" s="27" t="str">
        <f>IFERROR(INDEX('Aub Demand'!C:C,MATCH($O1546,'Aub Demand'!$A:$A,0)),"")</f>
        <v>LAMIG</v>
      </c>
      <c r="R1546" s="52">
        <f>IFERROR(IF(AR1547=AR1546,INDEX('Aub Demand'!K:K,MATCH($O1546,'Aub Demand'!$A:$A,0))-IF(AN1546="",0,AN1546)+AP1547,INDEX('Aub Demand'!K:K,MATCH($O1546,'Aub Demand'!$A:$A,0))-IF(AN1546="",0,AN1546)),"")</f>
        <v>1826</v>
      </c>
      <c r="S1546" s="53">
        <f t="shared" si="672"/>
        <v>144.9</v>
      </c>
      <c r="T1546" s="52" t="str">
        <f t="shared" si="673"/>
        <v/>
      </c>
      <c r="U1546" s="52">
        <f>IFERROR(IF(AR1547=AR1546,INDEX('Aub Demand'!Q:Q,MATCH($O1546,'Aub Demand'!$A:$A,0))-IF(AN1546="",0,AN1546)+AP1547,INDEX('Aub Demand'!Q:Q,MATCH($O1546,'Aub Demand'!$A:$A,0))-IF(AN1546="",0,AN1546)),"")</f>
        <v>1785</v>
      </c>
      <c r="V1546" s="53">
        <f t="shared" si="674"/>
        <v>141.69999999999999</v>
      </c>
      <c r="W1546" s="52" t="str">
        <f t="shared" si="675"/>
        <v/>
      </c>
      <c r="X1546" s="52">
        <f>IFERROR(IF(AND(AR1547=AR1546,AM1546&lt;&gt;""),INDEX('Aub Demand'!Q:Q,MATCH($O1546,'Aub Demand'!$A:$A,0))-IF(AN1546="",0,AN1546)+AP1547+AD1546+AL1546,IF(AR1547=AR1546,INDEX('Aub Demand'!Q:Q,MATCH($O1546,'Aub Demand'!$A:$A,0))-IF(AN1546="",0,AN1546)+AP1547+AD1546,IF(AM1546&lt;&gt;"",INDEX('Aub Demand'!Q:Q,MATCH($O1546,'Aub Demand'!$A:$A,0))-IF(AN1546="",0,AN1546)+AD1546+AL1546,INDEX('Aub Demand'!Q:Q,MATCH($O1546,'Aub Demand'!$A:$A,0))-IF(AN1546="",0,AN1546)+AD1546))),"")</f>
        <v>1785</v>
      </c>
      <c r="Y1546" s="53">
        <f t="shared" si="676"/>
        <v>141.69999999999999</v>
      </c>
      <c r="Z1546" s="52">
        <f>IF(L1546="","",INDEX('Aub Demand'!H:H,MATCH($O1546,'Aub Demand'!$A:$A,0)))</f>
        <v>54</v>
      </c>
      <c r="AA1546" s="52">
        <f t="shared" si="677"/>
        <v>81.5</v>
      </c>
      <c r="AB1546" s="52">
        <f>IFERROR(INDEX('Aub Demand'!L:L,MATCH($O1546,'Aub Demand'!$A:$A,0)),"")</f>
        <v>117</v>
      </c>
      <c r="AC1546" s="52">
        <f>IFERROR(IF(O1546="","",SUMIFS('CPL Mats'!F:F,'CPL Mats'!Q:Q,AR1546,'CPL Mats'!S:S,AS1546)),"")</f>
        <v>1400</v>
      </c>
      <c r="AF1546" s="25" t="str">
        <f>IF(SUMIFS('Supp Consol'!S:S,'Supp Consol'!Y:Y,"Releasable",'Supp Consol'!A:A,O1546)=0,"",SUMIFS('Supp Consol'!S:S,'Supp Consol'!Y:Y,"Releasable",'Supp Consol'!A:A,O1546))</f>
        <v/>
      </c>
      <c r="AG1546" s="25">
        <f>IFERROR(INDEX('Hun Demand'!Q:Q,MATCH(O1546,'Hun Demand'!A:A,0)),"")</f>
        <v>111</v>
      </c>
      <c r="AH1546" s="25">
        <f>IFERROR(INDEX('Hun Demand'!H:H,MATCH($O1546,'Hun Demand'!$A:$A,0)),"")</f>
        <v>18</v>
      </c>
      <c r="AI1546" s="25" t="str">
        <f>IF(SUMIFS('Supp Consol'!AA:AA,'Supp Consol'!Z:Z,"Expires this month",'Supp Consol'!A:A,O1546)=0,"",SUMIFS('Supp Consol'!AA:AA,'Supp Consol'!Z:Z,"Expires this month",'Supp Consol'!A:A,O1546))</f>
        <v/>
      </c>
      <c r="AJ1546" s="25" t="str">
        <f>IF(SUMIFS('Supp Consol'!AA:AA,'Supp Consol'!Z:Z,"Expired Previous Months",'Supp Consol'!A:A,O1546)=0,"",SUMIFS('Supp Consol'!AA:AA,'Supp Consol'!Z:Z,"Expired Previous Months",'Supp Consol'!A:A,O1546))</f>
        <v/>
      </c>
      <c r="AK1546" s="25" t="str">
        <f>IFERROR(INDEX('Hun Release Current'!B:B,MATCH(O1546,'Hun Release Current'!A:A,0)),"")</f>
        <v/>
      </c>
      <c r="AL1546" s="25" t="str">
        <f>IF(SUMIF('Prev Aub'!A:A,O1546,'Prev Aub'!B:B)=0,"",SUMIF('Prev Aub'!A:A,O1546,'Prev Aub'!B:B))</f>
        <v/>
      </c>
      <c r="AN1546" s="25" t="s">
        <v>3790</v>
      </c>
      <c r="AO1546" s="25" t="s">
        <v>3790</v>
      </c>
      <c r="AP1546" s="25">
        <f t="shared" si="678"/>
        <v>0</v>
      </c>
      <c r="AQ1546" s="151" t="str">
        <f>IF(SUMIFS('Supp Consol'!S:S,'Supp Consol'!A:A,O1546,'Supp Consol'!I:I,"PENDING")=0,"",SUMIFS('Supp Consol'!S:S,'Supp Consol'!A:A,O1546,'Supp Consol'!I:I,"PENDING"))</f>
        <v/>
      </c>
      <c r="AR1546" s="27" t="str">
        <f t="shared" si="679"/>
        <v>WW050</v>
      </c>
      <c r="AS1546" s="27" t="str">
        <f t="shared" si="680"/>
        <v>50</v>
      </c>
      <c r="AT1546" s="27" t="str">
        <f t="shared" si="681"/>
        <v/>
      </c>
      <c r="AU1546" s="27" t="str">
        <f t="shared" si="682"/>
        <v/>
      </c>
      <c r="AV1546" s="27" t="str">
        <f t="shared" si="683"/>
        <v/>
      </c>
      <c r="AW1546" s="27" t="str">
        <f t="shared" si="684"/>
        <v/>
      </c>
      <c r="AX1546" s="27" t="str">
        <f t="shared" si="685"/>
        <v/>
      </c>
      <c r="AY1546" s="27" t="str">
        <f t="shared" si="686"/>
        <v>WW050</v>
      </c>
      <c r="AZ1546" s="27" t="str">
        <f t="shared" si="687"/>
        <v/>
      </c>
      <c r="BA1546" s="27" t="str">
        <f t="shared" si="688"/>
        <v>Hun</v>
      </c>
      <c r="BB1546" s="27" t="str">
        <f t="shared" si="689"/>
        <v/>
      </c>
      <c r="BC1546" s="27" t="str">
        <f t="shared" si="690"/>
        <v/>
      </c>
      <c r="BD1546" s="27" t="str">
        <f t="shared" si="691"/>
        <v/>
      </c>
      <c r="BE1546" s="27" t="str">
        <f t="shared" si="692"/>
        <v/>
      </c>
      <c r="BF1546" s="27" t="str">
        <f t="shared" si="693"/>
        <v/>
      </c>
      <c r="BG1546" s="27" t="str">
        <f t="shared" si="694"/>
        <v/>
      </c>
      <c r="BH1546" s="27" t="str">
        <f t="shared" si="695"/>
        <v/>
      </c>
      <c r="BI1546" s="27" t="str">
        <f t="shared" si="696"/>
        <v/>
      </c>
      <c r="BJ1546" s="27" t="str">
        <f t="shared" si="697"/>
        <v>Supp or Hun</v>
      </c>
      <c r="BK1546" s="27" t="str">
        <f t="shared" si="698"/>
        <v/>
      </c>
      <c r="BL1546" s="27" t="str">
        <f t="shared" si="699"/>
        <v/>
      </c>
      <c r="BM1546" s="21" t="s">
        <v>5581</v>
      </c>
    </row>
    <row r="1547" spans="1:65" ht="15">
      <c r="A1547" s="25" t="str">
        <f>IFERROR(INDEX('Hun Demand'!W:W,MATCH(O1547,'Hun Demand'!A:A,0)),"")</f>
        <v/>
      </c>
      <c r="B1547" s="25" t="str">
        <f>IFERROR(INDEX('Hun Demand'!V:V,MATCH(O1547,'Hun Demand'!A:A,0)),"")</f>
        <v/>
      </c>
      <c r="C1547" s="25" t="str">
        <f>IFERROR(INDEX('Hun Demand'!U:U,MATCH(O1547,'Hun Demand'!A:A,0)),"")</f>
        <v/>
      </c>
      <c r="D1547" s="25" t="str">
        <f>IFERROR(INDEX('Hun Demand'!T:T,MATCH(O1547,'Hun Demand'!A:A,0)),"")</f>
        <v/>
      </c>
      <c r="E1547" s="25" t="str">
        <f>IFERROR(INDEX('Hun Demand'!S:S,MATCH(O1547,'Hun Demand'!A:A,0)),"")</f>
        <v/>
      </c>
      <c r="F1547" s="25" t="str">
        <f>IFERROR(INDEX('Hun Demand'!R:R,MATCH(O1547,'Hun Demand'!A:A,0)),"")</f>
        <v/>
      </c>
      <c r="G1547" s="25">
        <f>IFERROR(INDEX('Aub Demand'!W:W,MATCH(O1547,'Aub Demand'!A:A,0)),"")</f>
        <v>0</v>
      </c>
      <c r="H1547" s="25">
        <f>IFERROR(INDEX('Aub Demand'!V:V,MATCH(O1547,'Aub Demand'!A:A,0)),"")</f>
        <v>27</v>
      </c>
      <c r="I1547" s="25">
        <f>IFERROR(INDEX('Aub Demand'!U:U,MATCH(O1547,'Aub Demand'!A:A,0)),"")</f>
        <v>14</v>
      </c>
      <c r="J1547" s="25">
        <f>IFERROR(INDEX('Aub Demand'!T:T,MATCH(O1547,'Aub Demand'!A:A,0)),"")</f>
        <v>116</v>
      </c>
      <c r="K1547" s="25">
        <f>IFERROR(INDEX('Aub Demand'!S:S,MATCH(O1547,'Aub Demand'!A:A,0)),"")</f>
        <v>150</v>
      </c>
      <c r="L1547" s="25">
        <f>IFERROR(INDEX('Aub Demand'!R:R,MATCH(O1547,'Aub Demand'!A:A,0)),"")</f>
        <v>0</v>
      </c>
      <c r="O1547" s="27" t="s">
        <v>1859</v>
      </c>
      <c r="P1547" s="27" t="str">
        <f>IFERROR(INDEX('Aub Demand'!B:B,MATCH($O1547,'Aub Demand'!$A:$A,0)),"")</f>
        <v>WALNUT GROVE</v>
      </c>
      <c r="Q1547" s="27" t="str">
        <f>IFERROR(INDEX('Aub Demand'!C:C,MATCH($O1547,'Aub Demand'!$A:$A,0)),"")</f>
        <v>LAMIG</v>
      </c>
      <c r="R1547" s="52">
        <f>IFERROR(IF(AR1548=AR1547,INDEX('Aub Demand'!K:K,MATCH($O1547,'Aub Demand'!$A:$A,0))-IF(AN1547="",0,AN1547)+AP1548,INDEX('Aub Demand'!K:K,MATCH($O1547,'Aub Demand'!$A:$A,0))-IF(AN1547="",0,AN1547)),"")</f>
        <v>1939</v>
      </c>
      <c r="S1547" s="53">
        <f t="shared" si="672"/>
        <v>89.4</v>
      </c>
      <c r="T1547" s="52" t="str">
        <f t="shared" si="673"/>
        <v/>
      </c>
      <c r="U1547" s="52">
        <f>IFERROR(IF(AR1548=AR1547,INDEX('Aub Demand'!Q:Q,MATCH($O1547,'Aub Demand'!$A:$A,0))-IF(AN1547="",0,AN1547)+AP1548,INDEX('Aub Demand'!Q:Q,MATCH($O1547,'Aub Demand'!$A:$A,0))-IF(AN1547="",0,AN1547)),"")</f>
        <v>1919</v>
      </c>
      <c r="V1547" s="53">
        <f t="shared" si="674"/>
        <v>88.4</v>
      </c>
      <c r="W1547" s="52" t="str">
        <f t="shared" si="675"/>
        <v/>
      </c>
      <c r="X1547" s="52">
        <f>IFERROR(IF(AND(AR1548=AR1547,AM1547&lt;&gt;""),INDEX('Aub Demand'!Q:Q,MATCH($O1547,'Aub Demand'!$A:$A,0))-IF(AN1547="",0,AN1547)+AP1548+AD1547+AL1547,IF(AR1548=AR1547,INDEX('Aub Demand'!Q:Q,MATCH($O1547,'Aub Demand'!$A:$A,0))-IF(AN1547="",0,AN1547)+AP1548+AD1547,IF(AM1547&lt;&gt;"",INDEX('Aub Demand'!Q:Q,MATCH($O1547,'Aub Demand'!$A:$A,0))-IF(AN1547="",0,AN1547)+AD1547+AL1547,INDEX('Aub Demand'!Q:Q,MATCH($O1547,'Aub Demand'!$A:$A,0))-IF(AN1547="",0,AN1547)+AD1547))),"")</f>
        <v>1919</v>
      </c>
      <c r="Y1547" s="53">
        <f t="shared" si="676"/>
        <v>88.4</v>
      </c>
      <c r="Z1547" s="52">
        <f>IF(L1547="","",INDEX('Aub Demand'!H:H,MATCH($O1547,'Aub Demand'!$A:$A,0)))</f>
        <v>93</v>
      </c>
      <c r="AA1547" s="52">
        <f t="shared" si="677"/>
        <v>133</v>
      </c>
      <c r="AB1547" s="52">
        <f>IFERROR(INDEX('Aub Demand'!L:L,MATCH($O1547,'Aub Demand'!$A:$A,0)),"")</f>
        <v>43</v>
      </c>
      <c r="AC1547" s="52">
        <f>IFERROR(IF(O1547="","",SUMIFS('CPL Mats'!F:F,'CPL Mats'!Q:Q,AR1547,'CPL Mats'!S:S,AS1547)),"")</f>
        <v>0</v>
      </c>
      <c r="AF1547" s="25" t="str">
        <f>IF(SUMIFS('Supp Consol'!S:S,'Supp Consol'!Y:Y,"Releasable",'Supp Consol'!A:A,O1547)=0,"",SUMIFS('Supp Consol'!S:S,'Supp Consol'!Y:Y,"Releasable",'Supp Consol'!A:A,O1547))</f>
        <v/>
      </c>
      <c r="AG1547" s="25" t="str">
        <f>IFERROR(INDEX('Hun Demand'!Q:Q,MATCH(O1547,'Hun Demand'!A:A,0)),"")</f>
        <v/>
      </c>
      <c r="AH1547" s="25" t="str">
        <f>IFERROR(INDEX('Hun Demand'!H:H,MATCH($O1547,'Hun Demand'!$A:$A,0)),"")</f>
        <v/>
      </c>
      <c r="AI1547" s="25" t="str">
        <f>IF(SUMIFS('Supp Consol'!AA:AA,'Supp Consol'!Z:Z,"Expires this month",'Supp Consol'!A:A,O1547)=0,"",SUMIFS('Supp Consol'!AA:AA,'Supp Consol'!Z:Z,"Expires this month",'Supp Consol'!A:A,O1547))</f>
        <v/>
      </c>
      <c r="AJ1547" s="25" t="str">
        <f>IF(SUMIFS('Supp Consol'!AA:AA,'Supp Consol'!Z:Z,"Expired Previous Months",'Supp Consol'!A:A,O1547)=0,"",SUMIFS('Supp Consol'!AA:AA,'Supp Consol'!Z:Z,"Expired Previous Months",'Supp Consol'!A:A,O1547))</f>
        <v/>
      </c>
      <c r="AK1547" s="25" t="str">
        <f>IFERROR(INDEX('Hun Release Current'!B:B,MATCH(O1547,'Hun Release Current'!A:A,0)),"")</f>
        <v/>
      </c>
      <c r="AL1547" s="25" t="str">
        <f>IF(SUMIF('Prev Aub'!A:A,O1547,'Prev Aub'!B:B)=0,"",SUMIF('Prev Aub'!A:A,O1547,'Prev Aub'!B:B))</f>
        <v/>
      </c>
      <c r="AN1547" s="25" t="s">
        <v>3790</v>
      </c>
      <c r="AO1547" s="25" t="s">
        <v>3790</v>
      </c>
      <c r="AP1547" s="25">
        <f t="shared" si="678"/>
        <v>0</v>
      </c>
      <c r="AQ1547" s="151" t="str">
        <f>IF(SUMIFS('Supp Consol'!S:S,'Supp Consol'!A:A,O1547,'Supp Consol'!I:I,"PENDING")=0,"",SUMIFS('Supp Consol'!S:S,'Supp Consol'!A:A,O1547,'Supp Consol'!I:I,"PENDING"))</f>
        <v/>
      </c>
      <c r="AR1547" s="27" t="str">
        <f t="shared" si="679"/>
        <v>WW050</v>
      </c>
      <c r="AS1547" s="27" t="str">
        <f t="shared" si="680"/>
        <v>62</v>
      </c>
      <c r="AT1547" s="27" t="str">
        <f t="shared" si="681"/>
        <v/>
      </c>
      <c r="AU1547" s="27" t="str">
        <f t="shared" si="682"/>
        <v/>
      </c>
      <c r="AV1547" s="27" t="str">
        <f t="shared" si="683"/>
        <v/>
      </c>
      <c r="AW1547" s="27" t="str">
        <f t="shared" si="684"/>
        <v/>
      </c>
      <c r="AX1547" s="27" t="str">
        <f t="shared" si="685"/>
        <v/>
      </c>
      <c r="AY1547" s="27" t="str">
        <f t="shared" si="686"/>
        <v/>
      </c>
      <c r="AZ1547" s="27" t="str">
        <f t="shared" si="687"/>
        <v/>
      </c>
      <c r="BA1547" s="27" t="str">
        <f t="shared" si="688"/>
        <v>Hun</v>
      </c>
      <c r="BB1547" s="27" t="str">
        <f t="shared" si="689"/>
        <v/>
      </c>
      <c r="BC1547" s="27" t="str">
        <f t="shared" si="690"/>
        <v/>
      </c>
      <c r="BD1547" s="27" t="str">
        <f t="shared" si="691"/>
        <v/>
      </c>
      <c r="BE1547" s="27" t="str">
        <f t="shared" si="692"/>
        <v/>
      </c>
      <c r="BF1547" s="27" t="str">
        <f t="shared" si="693"/>
        <v/>
      </c>
      <c r="BG1547" s="27" t="str">
        <f t="shared" si="694"/>
        <v/>
      </c>
      <c r="BH1547" s="27" t="str">
        <f t="shared" si="695"/>
        <v/>
      </c>
      <c r="BI1547" s="27" t="str">
        <f t="shared" si="696"/>
        <v/>
      </c>
      <c r="BJ1547" s="27" t="str">
        <f t="shared" si="697"/>
        <v>Supp or Hun</v>
      </c>
      <c r="BK1547" s="27" t="str">
        <f t="shared" si="698"/>
        <v/>
      </c>
      <c r="BL1547" s="27" t="str">
        <f t="shared" si="699"/>
        <v/>
      </c>
      <c r="BM1547" s="21" t="s">
        <v>5581</v>
      </c>
    </row>
    <row r="1548" spans="1:65" ht="15">
      <c r="A1548" s="25" t="str">
        <f>IFERROR(INDEX('Hun Demand'!W:W,MATCH(O1548,'Hun Demand'!A:A,0)),"")</f>
        <v/>
      </c>
      <c r="B1548" s="25" t="str">
        <f>IFERROR(INDEX('Hun Demand'!V:V,MATCH(O1548,'Hun Demand'!A:A,0)),"")</f>
        <v/>
      </c>
      <c r="C1548" s="25" t="str">
        <f>IFERROR(INDEX('Hun Demand'!U:U,MATCH(O1548,'Hun Demand'!A:A,0)),"")</f>
        <v/>
      </c>
      <c r="D1548" s="25" t="str">
        <f>IFERROR(INDEX('Hun Demand'!T:T,MATCH(O1548,'Hun Demand'!A:A,0)),"")</f>
        <v/>
      </c>
      <c r="E1548" s="25" t="str">
        <f>IFERROR(INDEX('Hun Demand'!S:S,MATCH(O1548,'Hun Demand'!A:A,0)),"")</f>
        <v/>
      </c>
      <c r="F1548" s="25" t="str">
        <f>IFERROR(INDEX('Hun Demand'!R:R,MATCH(O1548,'Hun Demand'!A:A,0)),"")</f>
        <v/>
      </c>
      <c r="G1548" s="25">
        <f>IFERROR(INDEX('Aub Demand'!W:W,MATCH(O1548,'Aub Demand'!A:A,0)),"")</f>
        <v>39</v>
      </c>
      <c r="H1548" s="25">
        <f>IFERROR(INDEX('Aub Demand'!V:V,MATCH(O1548,'Aub Demand'!A:A,0)),"")</f>
        <v>0</v>
      </c>
      <c r="I1548" s="25">
        <f>IFERROR(INDEX('Aub Demand'!U:U,MATCH(O1548,'Aub Demand'!A:A,0)),"")</f>
        <v>0</v>
      </c>
      <c r="J1548" s="25">
        <f>IFERROR(INDEX('Aub Demand'!T:T,MATCH(O1548,'Aub Demand'!A:A,0)),"")</f>
        <v>151</v>
      </c>
      <c r="K1548" s="25">
        <f>IFERROR(INDEX('Aub Demand'!S:S,MATCH(O1548,'Aub Demand'!A:A,0)),"")</f>
        <v>45</v>
      </c>
      <c r="L1548" s="25">
        <f>IFERROR(INDEX('Aub Demand'!R:R,MATCH(O1548,'Aub Demand'!A:A,0)),"")</f>
        <v>0</v>
      </c>
      <c r="O1548" s="27" t="s">
        <v>3444</v>
      </c>
      <c r="P1548" s="27" t="str">
        <f>IFERROR(INDEX('Aub Demand'!B:B,MATCH($O1548,'Aub Demand'!$A:$A,0)),"")</f>
        <v>COMBED WALNUT</v>
      </c>
      <c r="Q1548" s="27">
        <f>IFERROR(INDEX('Aub Demand'!C:C,MATCH($O1548,'Aub Demand'!$A:$A,0)),"")</f>
        <v>0</v>
      </c>
      <c r="R1548" s="52">
        <f>IFERROR(IF(AR1549=AR1548,INDEX('Aub Demand'!K:K,MATCH($O1548,'Aub Demand'!$A:$A,0))-IF(AN1548="",0,AN1548)+AP1549,INDEX('Aub Demand'!K:K,MATCH($O1548,'Aub Demand'!$A:$A,0))-IF(AN1548="",0,AN1548)),"")</f>
        <v>1901</v>
      </c>
      <c r="S1548" s="53">
        <f t="shared" si="672"/>
        <v>125.3</v>
      </c>
      <c r="T1548" s="52" t="str">
        <f t="shared" si="673"/>
        <v/>
      </c>
      <c r="U1548" s="52">
        <f>IFERROR(IF(AR1549=AR1548,INDEX('Aub Demand'!Q:Q,MATCH($O1548,'Aub Demand'!$A:$A,0))-IF(AN1548="",0,AN1548)+AP1549,INDEX('Aub Demand'!Q:Q,MATCH($O1548,'Aub Demand'!$A:$A,0))-IF(AN1548="",0,AN1548)),"")</f>
        <v>1901</v>
      </c>
      <c r="V1548" s="53">
        <f t="shared" si="674"/>
        <v>125.3</v>
      </c>
      <c r="W1548" s="52" t="str">
        <f t="shared" si="675"/>
        <v/>
      </c>
      <c r="X1548" s="52">
        <f>IFERROR(IF(AND(AR1549=AR1548,AM1548&lt;&gt;""),INDEX('Aub Demand'!Q:Q,MATCH($O1548,'Aub Demand'!$A:$A,0))-IF(AN1548="",0,AN1548)+AP1549+AD1548+AL1548,IF(AR1549=AR1548,INDEX('Aub Demand'!Q:Q,MATCH($O1548,'Aub Demand'!$A:$A,0))-IF(AN1548="",0,AN1548)+AP1549+AD1548,IF(AM1548&lt;&gt;"",INDEX('Aub Demand'!Q:Q,MATCH($O1548,'Aub Demand'!$A:$A,0))-IF(AN1548="",0,AN1548)+AD1548+AL1548,INDEX('Aub Demand'!Q:Q,MATCH($O1548,'Aub Demand'!$A:$A,0))-IF(AN1548="",0,AN1548)+AD1548))),"")</f>
        <v>1901</v>
      </c>
      <c r="Y1548" s="53">
        <f t="shared" si="676"/>
        <v>125.3</v>
      </c>
      <c r="Z1548" s="52">
        <f>IF(L1548="","",INDEX('Aub Demand'!H:H,MATCH($O1548,'Aub Demand'!$A:$A,0)))</f>
        <v>65</v>
      </c>
      <c r="AA1548" s="52">
        <f t="shared" si="677"/>
        <v>98</v>
      </c>
      <c r="AB1548" s="52">
        <f>IFERROR(INDEX('Aub Demand'!L:L,MATCH($O1548,'Aub Demand'!$A:$A,0)),"")</f>
        <v>0</v>
      </c>
      <c r="AC1548" s="52">
        <f>IFERROR(IF(O1548="","",SUMIFS('CPL Mats'!F:F,'CPL Mats'!Q:Q,AR1548,'CPL Mats'!S:S,AS1548)),"")</f>
        <v>0</v>
      </c>
      <c r="AF1548" s="25" t="str">
        <f>IF(SUMIFS('Supp Consol'!S:S,'Supp Consol'!Y:Y,"Releasable",'Supp Consol'!A:A,O1548)=0,"",SUMIFS('Supp Consol'!S:S,'Supp Consol'!Y:Y,"Releasable",'Supp Consol'!A:A,O1548))</f>
        <v/>
      </c>
      <c r="AG1548" s="25" t="str">
        <f>IFERROR(INDEX('Hun Demand'!Q:Q,MATCH(O1548,'Hun Demand'!A:A,0)),"")</f>
        <v/>
      </c>
      <c r="AH1548" s="25" t="str">
        <f>IFERROR(INDEX('Hun Demand'!H:H,MATCH($O1548,'Hun Demand'!$A:$A,0)),"")</f>
        <v/>
      </c>
      <c r="AI1548" s="25" t="str">
        <f>IF(SUMIFS('Supp Consol'!AA:AA,'Supp Consol'!Z:Z,"Expires this month",'Supp Consol'!A:A,O1548)=0,"",SUMIFS('Supp Consol'!AA:AA,'Supp Consol'!Z:Z,"Expires this month",'Supp Consol'!A:A,O1548))</f>
        <v/>
      </c>
      <c r="AJ1548" s="25" t="str">
        <f>IF(SUMIFS('Supp Consol'!AA:AA,'Supp Consol'!Z:Z,"Expired Previous Months",'Supp Consol'!A:A,O1548)=0,"",SUMIFS('Supp Consol'!AA:AA,'Supp Consol'!Z:Z,"Expired Previous Months",'Supp Consol'!A:A,O1548))</f>
        <v/>
      </c>
      <c r="AK1548" s="25" t="str">
        <f>IFERROR(INDEX('Hun Release Current'!B:B,MATCH(O1548,'Hun Release Current'!A:A,0)),"")</f>
        <v/>
      </c>
      <c r="AL1548" s="25" t="str">
        <f>IF(SUMIF('Prev Aub'!A:A,O1548,'Prev Aub'!B:B)=0,"",SUMIF('Prev Aub'!A:A,O1548,'Prev Aub'!B:B))</f>
        <v/>
      </c>
      <c r="AN1548" s="25" t="s">
        <v>3790</v>
      </c>
      <c r="AO1548" s="25" t="s">
        <v>3790</v>
      </c>
      <c r="AP1548" s="25">
        <f t="shared" si="678"/>
        <v>0</v>
      </c>
      <c r="AQ1548" s="151" t="str">
        <f>IF(SUMIFS('Supp Consol'!S:S,'Supp Consol'!A:A,O1548,'Supp Consol'!I:I,"PENDING")=0,"",SUMIFS('Supp Consol'!S:S,'Supp Consol'!A:A,O1548,'Supp Consol'!I:I,"PENDING"))</f>
        <v/>
      </c>
      <c r="AR1548" s="27" t="str">
        <f t="shared" si="679"/>
        <v>WW060</v>
      </c>
      <c r="AS1548" s="27" t="str">
        <f t="shared" si="680"/>
        <v>50</v>
      </c>
      <c r="AT1548" s="27" t="str">
        <f t="shared" si="681"/>
        <v/>
      </c>
      <c r="AU1548" s="27" t="str">
        <f t="shared" si="682"/>
        <v/>
      </c>
      <c r="AV1548" s="27" t="str">
        <f t="shared" si="683"/>
        <v/>
      </c>
      <c r="AW1548" s="27" t="str">
        <f t="shared" si="684"/>
        <v/>
      </c>
      <c r="AX1548" s="27" t="str">
        <f t="shared" si="685"/>
        <v/>
      </c>
      <c r="AY1548" s="27" t="str">
        <f t="shared" si="686"/>
        <v/>
      </c>
      <c r="AZ1548" s="27" t="str">
        <f t="shared" si="687"/>
        <v/>
      </c>
      <c r="BA1548" s="27" t="str">
        <f t="shared" si="688"/>
        <v/>
      </c>
      <c r="BB1548" s="27" t="str">
        <f t="shared" si="689"/>
        <v/>
      </c>
      <c r="BC1548" s="27" t="str">
        <f t="shared" si="690"/>
        <v/>
      </c>
      <c r="BD1548" s="27" t="str">
        <f t="shared" si="691"/>
        <v/>
      </c>
      <c r="BE1548" s="27" t="str">
        <f t="shared" si="692"/>
        <v/>
      </c>
      <c r="BF1548" s="27" t="str">
        <f t="shared" si="693"/>
        <v/>
      </c>
      <c r="BG1548" s="27" t="str">
        <f t="shared" si="694"/>
        <v/>
      </c>
      <c r="BH1548" s="27" t="str">
        <f t="shared" si="695"/>
        <v/>
      </c>
      <c r="BI1548" s="27" t="str">
        <f t="shared" si="696"/>
        <v/>
      </c>
      <c r="BJ1548" s="27" t="str">
        <f t="shared" si="697"/>
        <v/>
      </c>
      <c r="BK1548" s="27" t="str">
        <f t="shared" si="698"/>
        <v/>
      </c>
      <c r="BL1548" s="27" t="str">
        <f t="shared" si="699"/>
        <v/>
      </c>
      <c r="BM1548" s="21" t="s">
        <v>5581</v>
      </c>
    </row>
    <row r="1549" spans="1:65" ht="15">
      <c r="A1549" s="25" t="str">
        <f>IFERROR(INDEX('Hun Demand'!W:W,MATCH(O1549,'Hun Demand'!A:A,0)),"")</f>
        <v/>
      </c>
      <c r="B1549" s="25" t="str">
        <f>IFERROR(INDEX('Hun Demand'!V:V,MATCH(O1549,'Hun Demand'!A:A,0)),"")</f>
        <v/>
      </c>
      <c r="C1549" s="25" t="str">
        <f>IFERROR(INDEX('Hun Demand'!U:U,MATCH(O1549,'Hun Demand'!A:A,0)),"")</f>
        <v/>
      </c>
      <c r="D1549" s="25" t="str">
        <f>IFERROR(INDEX('Hun Demand'!T:T,MATCH(O1549,'Hun Demand'!A:A,0)),"")</f>
        <v/>
      </c>
      <c r="E1549" s="25" t="str">
        <f>IFERROR(INDEX('Hun Demand'!S:S,MATCH(O1549,'Hun Demand'!A:A,0)),"")</f>
        <v/>
      </c>
      <c r="F1549" s="25" t="str">
        <f>IFERROR(INDEX('Hun Demand'!R:R,MATCH(O1549,'Hun Demand'!A:A,0)),"")</f>
        <v/>
      </c>
      <c r="G1549" s="25">
        <f>IFERROR(INDEX('Aub Demand'!W:W,MATCH(O1549,'Aub Demand'!A:A,0)),"")</f>
        <v>0</v>
      </c>
      <c r="H1549" s="25">
        <f>IFERROR(INDEX('Aub Demand'!V:V,MATCH(O1549,'Aub Demand'!A:A,0)),"")</f>
        <v>0</v>
      </c>
      <c r="I1549" s="25">
        <f>IFERROR(INDEX('Aub Demand'!U:U,MATCH(O1549,'Aub Demand'!A:A,0)),"")</f>
        <v>291</v>
      </c>
      <c r="J1549" s="25">
        <f>IFERROR(INDEX('Aub Demand'!T:T,MATCH(O1549,'Aub Demand'!A:A,0)),"")</f>
        <v>422</v>
      </c>
      <c r="K1549" s="25">
        <f>IFERROR(INDEX('Aub Demand'!S:S,MATCH(O1549,'Aub Demand'!A:A,0)),"")</f>
        <v>0</v>
      </c>
      <c r="L1549" s="25">
        <f>IFERROR(INDEX('Aub Demand'!R:R,MATCH(O1549,'Aub Demand'!A:A,0)),"")</f>
        <v>0</v>
      </c>
      <c r="O1549" s="27" t="s">
        <v>1860</v>
      </c>
      <c r="P1549" s="27" t="str">
        <f>IFERROR(INDEX('Aub Demand'!B:B,MATCH($O1549,'Aub Demand'!$A:$A,0)),"")</f>
        <v>BRUNSWICK GUN SAV WA</v>
      </c>
      <c r="Q1549" s="27" t="str">
        <f>IFERROR(INDEX('Aub Demand'!C:C,MATCH($O1549,'Aub Demand'!$A:$A,0)),"")</f>
        <v>INTER</v>
      </c>
      <c r="R1549" s="52">
        <f>IFERROR(IF(AR1550=AR1549,INDEX('Aub Demand'!K:K,MATCH($O1549,'Aub Demand'!$A:$A,0))-IF(AN1549="",0,AN1549)+AP1550,INDEX('Aub Demand'!K:K,MATCH($O1549,'Aub Demand'!$A:$A,0))-IF(AN1549="",0,AN1549)),"")</f>
        <v>1166</v>
      </c>
      <c r="S1549" s="53">
        <f t="shared" si="672"/>
        <v>21</v>
      </c>
      <c r="T1549" s="52" t="str">
        <f t="shared" si="673"/>
        <v/>
      </c>
      <c r="U1549" s="52">
        <f>IFERROR(IF(AR1550=AR1549,INDEX('Aub Demand'!Q:Q,MATCH($O1549,'Aub Demand'!$A:$A,0))-IF(AN1549="",0,AN1549)+AP1550,INDEX('Aub Demand'!Q:Q,MATCH($O1549,'Aub Demand'!$A:$A,0))-IF(AN1549="",0,AN1549)),"")</f>
        <v>1165</v>
      </c>
      <c r="V1549" s="53">
        <f t="shared" si="674"/>
        <v>21</v>
      </c>
      <c r="W1549" s="52" t="str">
        <f t="shared" si="675"/>
        <v/>
      </c>
      <c r="X1549" s="52">
        <f>IFERROR(IF(AND(AR1550=AR1549,AM1549&lt;&gt;""),INDEX('Aub Demand'!Q:Q,MATCH($O1549,'Aub Demand'!$A:$A,0))-IF(AN1549="",0,AN1549)+AP1550+AD1549+AL1549,IF(AR1550=AR1549,INDEX('Aub Demand'!Q:Q,MATCH($O1549,'Aub Demand'!$A:$A,0))-IF(AN1549="",0,AN1549)+AP1550+AD1549,IF(AM1549&lt;&gt;"",INDEX('Aub Demand'!Q:Q,MATCH($O1549,'Aub Demand'!$A:$A,0))-IF(AN1549="",0,AN1549)+AD1549+AL1549,INDEX('Aub Demand'!Q:Q,MATCH($O1549,'Aub Demand'!$A:$A,0))-IF(AN1549="",0,AN1549)+AD1549))),"")</f>
        <v>1165</v>
      </c>
      <c r="Y1549" s="53">
        <f t="shared" si="676"/>
        <v>21</v>
      </c>
      <c r="Z1549" s="52">
        <f>IF(L1549="","",INDEX('Aub Demand'!H:H,MATCH($O1549,'Aub Demand'!$A:$A,0)))</f>
        <v>238</v>
      </c>
      <c r="AA1549" s="52">
        <f t="shared" si="677"/>
        <v>356.5</v>
      </c>
      <c r="AB1549" s="52">
        <f>IFERROR(INDEX('Aub Demand'!L:L,MATCH($O1549,'Aub Demand'!$A:$A,0)),"")</f>
        <v>146</v>
      </c>
      <c r="AC1549" s="52">
        <f>IFERROR(IF(O1549="","",SUMIFS('CPL Mats'!F:F,'CPL Mats'!Q:Q,AR1549,'CPL Mats'!S:S,AS1549)),"")</f>
        <v>0</v>
      </c>
      <c r="AF1549" s="25" t="str">
        <f>IF(SUMIFS('Supp Consol'!S:S,'Supp Consol'!Y:Y,"Releasable",'Supp Consol'!A:A,O1549)=0,"",SUMIFS('Supp Consol'!S:S,'Supp Consol'!Y:Y,"Releasable",'Supp Consol'!A:A,O1549))</f>
        <v/>
      </c>
      <c r="AG1549" s="25" t="str">
        <f>IFERROR(INDEX('Hun Demand'!Q:Q,MATCH(O1549,'Hun Demand'!A:A,0)),"")</f>
        <v/>
      </c>
      <c r="AH1549" s="25" t="str">
        <f>IFERROR(INDEX('Hun Demand'!H:H,MATCH($O1549,'Hun Demand'!$A:$A,0)),"")</f>
        <v/>
      </c>
      <c r="AI1549" s="25" t="str">
        <f>IF(SUMIFS('Supp Consol'!AA:AA,'Supp Consol'!Z:Z,"Expires this month",'Supp Consol'!A:A,O1549)=0,"",SUMIFS('Supp Consol'!AA:AA,'Supp Consol'!Z:Z,"Expires this month",'Supp Consol'!A:A,O1549))</f>
        <v/>
      </c>
      <c r="AJ1549" s="25" t="str">
        <f>IF(SUMIFS('Supp Consol'!AA:AA,'Supp Consol'!Z:Z,"Expired Previous Months",'Supp Consol'!A:A,O1549)=0,"",SUMIFS('Supp Consol'!AA:AA,'Supp Consol'!Z:Z,"Expired Previous Months",'Supp Consol'!A:A,O1549))</f>
        <v/>
      </c>
      <c r="AK1549" s="25" t="str">
        <f>IFERROR(INDEX('Hun Release Current'!B:B,MATCH(O1549,'Hun Release Current'!A:A,0)),"")</f>
        <v/>
      </c>
      <c r="AL1549" s="25" t="str">
        <f>IF(SUMIF('Prev Aub'!A:A,O1549,'Prev Aub'!B:B)=0,"",SUMIF('Prev Aub'!A:A,O1549,'Prev Aub'!B:B))</f>
        <v/>
      </c>
      <c r="AN1549" s="25" t="s">
        <v>3790</v>
      </c>
      <c r="AO1549" s="25" t="s">
        <v>3790</v>
      </c>
      <c r="AP1549" s="25">
        <f t="shared" si="678"/>
        <v>0</v>
      </c>
      <c r="AQ1549" s="151">
        <f>IF(SUMIFS('Supp Consol'!S:S,'Supp Consol'!A:A,O1549,'Supp Consol'!I:I,"PENDING")=0,"",SUMIFS('Supp Consol'!S:S,'Supp Consol'!A:A,O1549,'Supp Consol'!I:I,"PENDING"))</f>
        <v>501</v>
      </c>
      <c r="AR1549" s="27" t="str">
        <f t="shared" si="679"/>
        <v>WW070</v>
      </c>
      <c r="AS1549" s="27" t="str">
        <f t="shared" si="680"/>
        <v>62</v>
      </c>
      <c r="AT1549" s="27" t="str">
        <f t="shared" si="681"/>
        <v/>
      </c>
      <c r="AU1549" s="27" t="str">
        <f t="shared" si="682"/>
        <v/>
      </c>
      <c r="AV1549" s="27" t="str">
        <f t="shared" si="683"/>
        <v/>
      </c>
      <c r="AW1549" s="27" t="str">
        <f t="shared" si="684"/>
        <v/>
      </c>
      <c r="AX1549" s="27" t="str">
        <f t="shared" si="685"/>
        <v/>
      </c>
      <c r="AY1549" s="27" t="str">
        <f t="shared" si="686"/>
        <v/>
      </c>
      <c r="AZ1549" s="27" t="str">
        <f t="shared" si="687"/>
        <v/>
      </c>
      <c r="BA1549" s="27" t="str">
        <f t="shared" si="688"/>
        <v/>
      </c>
      <c r="BB1549" s="27" t="str">
        <f t="shared" si="689"/>
        <v/>
      </c>
      <c r="BC1549" s="27" t="str">
        <f t="shared" si="690"/>
        <v/>
      </c>
      <c r="BD1549" s="27" t="str">
        <f t="shared" si="691"/>
        <v/>
      </c>
      <c r="BE1549" s="27" t="str">
        <f t="shared" si="692"/>
        <v/>
      </c>
      <c r="BF1549" s="27" t="str">
        <f t="shared" si="693"/>
        <v/>
      </c>
      <c r="BG1549" s="27" t="str">
        <f t="shared" si="694"/>
        <v/>
      </c>
      <c r="BH1549" s="27" t="str">
        <f t="shared" si="695"/>
        <v/>
      </c>
      <c r="BI1549" s="27" t="str">
        <f t="shared" si="696"/>
        <v/>
      </c>
      <c r="BJ1549" s="27" t="str">
        <f t="shared" si="697"/>
        <v/>
      </c>
      <c r="BK1549" s="27" t="str">
        <f t="shared" si="698"/>
        <v/>
      </c>
      <c r="BL1549" s="27" t="str">
        <f t="shared" si="699"/>
        <v/>
      </c>
      <c r="BM1549" s="21" t="s">
        <v>5581</v>
      </c>
    </row>
    <row r="1550" spans="1:65" ht="15">
      <c r="A1550" s="25" t="str">
        <f>IFERROR(INDEX('Hun Demand'!W:W,MATCH(O1550,'Hun Demand'!A:A,0)),"")</f>
        <v/>
      </c>
      <c r="B1550" s="25" t="str">
        <f>IFERROR(INDEX('Hun Demand'!V:V,MATCH(O1550,'Hun Demand'!A:A,0)),"")</f>
        <v/>
      </c>
      <c r="C1550" s="25" t="str">
        <f>IFERROR(INDEX('Hun Demand'!U:U,MATCH(O1550,'Hun Demand'!A:A,0)),"")</f>
        <v/>
      </c>
      <c r="D1550" s="25" t="str">
        <f>IFERROR(INDEX('Hun Demand'!T:T,MATCH(O1550,'Hun Demand'!A:A,0)),"")</f>
        <v/>
      </c>
      <c r="E1550" s="25" t="str">
        <f>IFERROR(INDEX('Hun Demand'!S:S,MATCH(O1550,'Hun Demand'!A:A,0)),"")</f>
        <v/>
      </c>
      <c r="F1550" s="25" t="str">
        <f>IFERROR(INDEX('Hun Demand'!R:R,MATCH(O1550,'Hun Demand'!A:A,0)),"")</f>
        <v/>
      </c>
      <c r="G1550" s="25">
        <f>IFERROR(INDEX('Aub Demand'!W:W,MATCH(O1550,'Aub Demand'!A:A,0)),"")</f>
        <v>206</v>
      </c>
      <c r="H1550" s="25">
        <f>IFERROR(INDEX('Aub Demand'!V:V,MATCH(O1550,'Aub Demand'!A:A,0)),"")</f>
        <v>467</v>
      </c>
      <c r="I1550" s="25">
        <f>IFERROR(INDEX('Aub Demand'!U:U,MATCH(O1550,'Aub Demand'!A:A,0)),"")</f>
        <v>191</v>
      </c>
      <c r="J1550" s="25">
        <f>IFERROR(INDEX('Aub Demand'!T:T,MATCH(O1550,'Aub Demand'!A:A,0)),"")</f>
        <v>78</v>
      </c>
      <c r="K1550" s="25">
        <f>IFERROR(INDEX('Aub Demand'!S:S,MATCH(O1550,'Aub Demand'!A:A,0)),"")</f>
        <v>357</v>
      </c>
      <c r="L1550" s="25">
        <f>IFERROR(INDEX('Aub Demand'!R:R,MATCH(O1550,'Aub Demand'!A:A,0)),"")</f>
        <v>0</v>
      </c>
      <c r="O1550" s="27" t="s">
        <v>1862</v>
      </c>
      <c r="P1550" s="27" t="str">
        <f>IFERROR(INDEX('Aub Demand'!B:B,MATCH($O1550,'Aub Demand'!$A:$A,0)),"")</f>
        <v>ZEN</v>
      </c>
      <c r="Q1550" s="27" t="str">
        <f>IFERROR(INDEX('Aub Demand'!C:C,MATCH($O1550,'Aub Demand'!$A:$A,0)),"")</f>
        <v>INTER</v>
      </c>
      <c r="R1550" s="52">
        <f>IFERROR(IF(AR1551=AR1550,INDEX('Aub Demand'!K:K,MATCH($O1550,'Aub Demand'!$A:$A,0))-IF(AN1550="",0,AN1550)+AP1551,INDEX('Aub Demand'!K:K,MATCH($O1550,'Aub Demand'!$A:$A,0))-IF(AN1550="",0,AN1550)),"")</f>
        <v>695</v>
      </c>
      <c r="S1550" s="53">
        <f t="shared" si="672"/>
        <v>14.3</v>
      </c>
      <c r="T1550" s="52" t="str">
        <f t="shared" si="673"/>
        <v/>
      </c>
      <c r="U1550" s="52">
        <f>IFERROR(IF(AR1551=AR1550,INDEX('Aub Demand'!Q:Q,MATCH($O1550,'Aub Demand'!$A:$A,0))-IF(AN1550="",0,AN1550)+AP1551,INDEX('Aub Demand'!Q:Q,MATCH($O1550,'Aub Demand'!$A:$A,0))-IF(AN1550="",0,AN1550)),"")</f>
        <v>649</v>
      </c>
      <c r="V1550" s="53">
        <f t="shared" si="674"/>
        <v>13.3</v>
      </c>
      <c r="W1550" s="52" t="str">
        <f t="shared" si="675"/>
        <v/>
      </c>
      <c r="X1550" s="52">
        <f>IFERROR(IF(AND(AR1551=AR1550,AM1550&lt;&gt;""),INDEX('Aub Demand'!Q:Q,MATCH($O1550,'Aub Demand'!$A:$A,0))-IF(AN1550="",0,AN1550)+AP1551+AD1550+AL1550,IF(AR1551=AR1550,INDEX('Aub Demand'!Q:Q,MATCH($O1550,'Aub Demand'!$A:$A,0))-IF(AN1550="",0,AN1550)+AP1551+AD1550,IF(AM1550&lt;&gt;"",INDEX('Aub Demand'!Q:Q,MATCH($O1550,'Aub Demand'!$A:$A,0))-IF(AN1550="",0,AN1550)+AD1550+AL1550,INDEX('Aub Demand'!Q:Q,MATCH($O1550,'Aub Demand'!$A:$A,0))-IF(AN1550="",0,AN1550)+AD1550))),"")</f>
        <v>649</v>
      </c>
      <c r="Y1550" s="53">
        <f t="shared" si="676"/>
        <v>13.3</v>
      </c>
      <c r="Z1550" s="52">
        <f>IF(L1550="","",INDEX('Aub Demand'!H:H,MATCH($O1550,'Aub Demand'!$A:$A,0)))</f>
        <v>209</v>
      </c>
      <c r="AA1550" s="52">
        <f t="shared" si="677"/>
        <v>274</v>
      </c>
      <c r="AB1550" s="52">
        <f>IFERROR(INDEX('Aub Demand'!L:L,MATCH($O1550,'Aub Demand'!$A:$A,0)),"")</f>
        <v>304</v>
      </c>
      <c r="AC1550" s="52">
        <f>IFERROR(IF(O1550="","",SUMIFS('CPL Mats'!F:F,'CPL Mats'!Q:Q,AR1550,'CPL Mats'!S:S,AS1550)),"")</f>
        <v>1946.57</v>
      </c>
      <c r="AF1550" s="25" t="str">
        <f>IF(SUMIFS('Supp Consol'!S:S,'Supp Consol'!Y:Y,"Releasable",'Supp Consol'!A:A,O1550)=0,"",SUMIFS('Supp Consol'!S:S,'Supp Consol'!Y:Y,"Releasable",'Supp Consol'!A:A,O1550))</f>
        <v/>
      </c>
      <c r="AG1550" s="25" t="str">
        <f>IFERROR(INDEX('Hun Demand'!Q:Q,MATCH(O1550,'Hun Demand'!A:A,0)),"")</f>
        <v/>
      </c>
      <c r="AH1550" s="25" t="str">
        <f>IFERROR(INDEX('Hun Demand'!H:H,MATCH($O1550,'Hun Demand'!$A:$A,0)),"")</f>
        <v/>
      </c>
      <c r="AI1550" s="25" t="str">
        <f>IF(SUMIFS('Supp Consol'!AA:AA,'Supp Consol'!Z:Z,"Expires this month",'Supp Consol'!A:A,O1550)=0,"",SUMIFS('Supp Consol'!AA:AA,'Supp Consol'!Z:Z,"Expires this month",'Supp Consol'!A:A,O1550))</f>
        <v/>
      </c>
      <c r="AJ1550" s="25" t="str">
        <f>IF(SUMIFS('Supp Consol'!AA:AA,'Supp Consol'!Z:Z,"Expired Previous Months",'Supp Consol'!A:A,O1550)=0,"",SUMIFS('Supp Consol'!AA:AA,'Supp Consol'!Z:Z,"Expired Previous Months",'Supp Consol'!A:A,O1550))</f>
        <v/>
      </c>
      <c r="AK1550" s="25" t="str">
        <f>IFERROR(INDEX('Hun Release Current'!B:B,MATCH(O1550,'Hun Release Current'!A:A,0)),"")</f>
        <v/>
      </c>
      <c r="AL1550" s="25" t="str">
        <f>IF(SUMIF('Prev Aub'!A:A,O1550,'Prev Aub'!B:B)=0,"",SUMIF('Prev Aub'!A:A,O1550,'Prev Aub'!B:B))</f>
        <v/>
      </c>
      <c r="AN1550" s="25" t="s">
        <v>3790</v>
      </c>
      <c r="AO1550" s="25" t="s">
        <v>3790</v>
      </c>
      <c r="AP1550" s="25">
        <f t="shared" si="678"/>
        <v>0</v>
      </c>
      <c r="AQ1550" s="151" t="str">
        <f>IF(SUMIFS('Supp Consol'!S:S,'Supp Consol'!A:A,O1550,'Supp Consol'!I:I,"PENDING")=0,"",SUMIFS('Supp Consol'!S:S,'Supp Consol'!A:A,O1550,'Supp Consol'!I:I,"PENDING"))</f>
        <v/>
      </c>
      <c r="AR1550" s="27" t="str">
        <f t="shared" si="679"/>
        <v>WW075</v>
      </c>
      <c r="AS1550" s="27" t="str">
        <f t="shared" si="680"/>
        <v>50</v>
      </c>
      <c r="AT1550" s="27" t="str">
        <f t="shared" si="681"/>
        <v/>
      </c>
      <c r="AU1550" s="27" t="str">
        <f t="shared" si="682"/>
        <v/>
      </c>
      <c r="AV1550" s="27" t="str">
        <f t="shared" si="683"/>
        <v/>
      </c>
      <c r="AW1550" s="27" t="str">
        <f t="shared" si="684"/>
        <v/>
      </c>
      <c r="AX1550" s="27" t="str">
        <f t="shared" si="685"/>
        <v/>
      </c>
      <c r="AY1550" s="27" t="str">
        <f t="shared" si="686"/>
        <v/>
      </c>
      <c r="AZ1550" s="27" t="str">
        <f t="shared" si="687"/>
        <v>Supp</v>
      </c>
      <c r="BA1550" s="27" t="str">
        <f t="shared" si="688"/>
        <v/>
      </c>
      <c r="BB1550" s="27" t="str">
        <f t="shared" si="689"/>
        <v/>
      </c>
      <c r="BC1550" s="27" t="str">
        <f t="shared" si="690"/>
        <v/>
      </c>
      <c r="BD1550" s="27" t="str">
        <f t="shared" si="691"/>
        <v/>
      </c>
      <c r="BE1550" s="27" t="str">
        <f t="shared" si="692"/>
        <v/>
      </c>
      <c r="BF1550" s="27" t="str">
        <f t="shared" si="693"/>
        <v/>
      </c>
      <c r="BG1550" s="27" t="str">
        <f t="shared" si="694"/>
        <v/>
      </c>
      <c r="BH1550" s="27" t="str">
        <f t="shared" si="695"/>
        <v/>
      </c>
      <c r="BI1550" s="27" t="str">
        <f t="shared" si="696"/>
        <v/>
      </c>
      <c r="BJ1550" s="27" t="str">
        <f t="shared" si="697"/>
        <v>Supp or Hun</v>
      </c>
      <c r="BK1550" s="27" t="str">
        <f t="shared" si="698"/>
        <v/>
      </c>
      <c r="BL1550" s="27" t="str">
        <f t="shared" si="699"/>
        <v/>
      </c>
      <c r="BM1550" s="21" t="s">
        <v>5581</v>
      </c>
    </row>
    <row r="1551" spans="1:65" ht="15">
      <c r="A1551" s="25" t="str">
        <f>IFERROR(INDEX('Hun Demand'!W:W,MATCH(O1551,'Hun Demand'!A:A,0)),"")</f>
        <v/>
      </c>
      <c r="B1551" s="25" t="str">
        <f>IFERROR(INDEX('Hun Demand'!V:V,MATCH(O1551,'Hun Demand'!A:A,0)),"")</f>
        <v/>
      </c>
      <c r="C1551" s="25" t="str">
        <f>IFERROR(INDEX('Hun Demand'!U:U,MATCH(O1551,'Hun Demand'!A:A,0)),"")</f>
        <v/>
      </c>
      <c r="D1551" s="25" t="str">
        <f>IFERROR(INDEX('Hun Demand'!T:T,MATCH(O1551,'Hun Demand'!A:A,0)),"")</f>
        <v/>
      </c>
      <c r="E1551" s="25" t="str">
        <f>IFERROR(INDEX('Hun Demand'!S:S,MATCH(O1551,'Hun Demand'!A:A,0)),"")</f>
        <v/>
      </c>
      <c r="F1551" s="25" t="str">
        <f>IFERROR(INDEX('Hun Demand'!R:R,MATCH(O1551,'Hun Demand'!A:A,0)),"")</f>
        <v/>
      </c>
      <c r="G1551" s="25">
        <f>IFERROR(INDEX('Aub Demand'!W:W,MATCH(O1551,'Aub Demand'!A:A,0)),"")</f>
        <v>0</v>
      </c>
      <c r="H1551" s="25">
        <f>IFERROR(INDEX('Aub Demand'!V:V,MATCH(O1551,'Aub Demand'!A:A,0)),"")</f>
        <v>67</v>
      </c>
      <c r="I1551" s="25">
        <f>IFERROR(INDEX('Aub Demand'!U:U,MATCH(O1551,'Aub Demand'!A:A,0)),"")</f>
        <v>75</v>
      </c>
      <c r="J1551" s="25">
        <f>IFERROR(INDEX('Aub Demand'!T:T,MATCH(O1551,'Aub Demand'!A:A,0)),"")</f>
        <v>10</v>
      </c>
      <c r="K1551" s="25">
        <f>IFERROR(INDEX('Aub Demand'!S:S,MATCH(O1551,'Aub Demand'!A:A,0)),"")</f>
        <v>108</v>
      </c>
      <c r="L1551" s="25">
        <f>IFERROR(INDEX('Aub Demand'!R:R,MATCH(O1551,'Aub Demand'!A:A,0)),"")</f>
        <v>0</v>
      </c>
      <c r="O1551" s="27" t="s">
        <v>1864</v>
      </c>
      <c r="P1551" s="27" t="str">
        <f>IFERROR(INDEX('Aub Demand'!B:B,MATCH($O1551,'Aub Demand'!$A:$A,0)),"")</f>
        <v>ZEN</v>
      </c>
      <c r="Q1551" s="27" t="str">
        <f>IFERROR(INDEX('Aub Demand'!C:C,MATCH($O1551,'Aub Demand'!$A:$A,0)),"")</f>
        <v>INTER</v>
      </c>
      <c r="R1551" s="52">
        <f>IFERROR(IF(AR1552=AR1551,INDEX('Aub Demand'!K:K,MATCH($O1551,'Aub Demand'!$A:$A,0))-IF(AN1551="",0,AN1551)+AP1552,INDEX('Aub Demand'!K:K,MATCH($O1551,'Aub Demand'!$A:$A,0))-IF(AN1551="",0,AN1551)),"")</f>
        <v>198</v>
      </c>
      <c r="S1551" s="53">
        <f t="shared" si="672"/>
        <v>13.3</v>
      </c>
      <c r="T1551" s="52" t="str">
        <f t="shared" si="673"/>
        <v/>
      </c>
      <c r="U1551" s="52">
        <f>IFERROR(IF(AR1552=AR1551,INDEX('Aub Demand'!Q:Q,MATCH($O1551,'Aub Demand'!$A:$A,0))-IF(AN1551="",0,AN1551)+AP1552,INDEX('Aub Demand'!Q:Q,MATCH($O1551,'Aub Demand'!$A:$A,0))-IF(AN1551="",0,AN1551)),"")</f>
        <v>158</v>
      </c>
      <c r="V1551" s="53">
        <f t="shared" si="674"/>
        <v>10.6</v>
      </c>
      <c r="W1551" s="52" t="str">
        <f t="shared" si="675"/>
        <v/>
      </c>
      <c r="X1551" s="52">
        <f>IFERROR(IF(AND(AR1552=AR1551,AM1551&lt;&gt;""),INDEX('Aub Demand'!Q:Q,MATCH($O1551,'Aub Demand'!$A:$A,0))-IF(AN1551="",0,AN1551)+AP1552+AD1551+AL1551,IF(AR1552=AR1551,INDEX('Aub Demand'!Q:Q,MATCH($O1551,'Aub Demand'!$A:$A,0))-IF(AN1551="",0,AN1551)+AP1552+AD1551,IF(AM1551&lt;&gt;"",INDEX('Aub Demand'!Q:Q,MATCH($O1551,'Aub Demand'!$A:$A,0))-IF(AN1551="",0,AN1551)+AD1551+AL1551,INDEX('Aub Demand'!Q:Q,MATCH($O1551,'Aub Demand'!$A:$A,0))-IF(AN1551="",0,AN1551)+AD1551))),"")</f>
        <v>158</v>
      </c>
      <c r="Y1551" s="53">
        <f t="shared" si="676"/>
        <v>10.6</v>
      </c>
      <c r="Z1551" s="52">
        <f>IF(L1551="","",INDEX('Aub Demand'!H:H,MATCH($O1551,'Aub Demand'!$A:$A,0)))</f>
        <v>64</v>
      </c>
      <c r="AA1551" s="52">
        <f t="shared" si="677"/>
        <v>91.5</v>
      </c>
      <c r="AB1551" s="52">
        <f>IFERROR(INDEX('Aub Demand'!L:L,MATCH($O1551,'Aub Demand'!$A:$A,0)),"")</f>
        <v>59</v>
      </c>
      <c r="AC1551" s="52">
        <f>IFERROR(IF(O1551="","",SUMIFS('CPL Mats'!F:F,'CPL Mats'!Q:Q,AR1551,'CPL Mats'!S:S,AS1551)),"")</f>
        <v>0</v>
      </c>
      <c r="AF1551" s="25">
        <f>IF(SUMIFS('Supp Consol'!S:S,'Supp Consol'!Y:Y,"Releasable",'Supp Consol'!A:A,O1551)=0,"",SUMIFS('Supp Consol'!S:S,'Supp Consol'!Y:Y,"Releasable",'Supp Consol'!A:A,O1551))</f>
        <v>504</v>
      </c>
      <c r="AG1551" s="25" t="str">
        <f>IFERROR(INDEX('Hun Demand'!Q:Q,MATCH(O1551,'Hun Demand'!A:A,0)),"")</f>
        <v/>
      </c>
      <c r="AH1551" s="25" t="str">
        <f>IFERROR(INDEX('Hun Demand'!H:H,MATCH($O1551,'Hun Demand'!$A:$A,0)),"")</f>
        <v/>
      </c>
      <c r="AI1551" s="25" t="str">
        <f>IF(SUMIFS('Supp Consol'!AA:AA,'Supp Consol'!Z:Z,"Expires this month",'Supp Consol'!A:A,O1551)=0,"",SUMIFS('Supp Consol'!AA:AA,'Supp Consol'!Z:Z,"Expires this month",'Supp Consol'!A:A,O1551))</f>
        <v/>
      </c>
      <c r="AJ1551" s="25" t="str">
        <f>IF(SUMIFS('Supp Consol'!AA:AA,'Supp Consol'!Z:Z,"Expired Previous Months",'Supp Consol'!A:A,O1551)=0,"",SUMIFS('Supp Consol'!AA:AA,'Supp Consol'!Z:Z,"Expired Previous Months",'Supp Consol'!A:A,O1551))</f>
        <v/>
      </c>
      <c r="AK1551" s="25" t="str">
        <f>IFERROR(INDEX('Hun Release Current'!B:B,MATCH(O1551,'Hun Release Current'!A:A,0)),"")</f>
        <v/>
      </c>
      <c r="AL1551" s="25" t="str">
        <f>IF(SUMIF('Prev Aub'!A:A,O1551,'Prev Aub'!B:B)=0,"",SUMIF('Prev Aub'!A:A,O1551,'Prev Aub'!B:B))</f>
        <v/>
      </c>
      <c r="AN1551" s="25" t="s">
        <v>3790</v>
      </c>
      <c r="AO1551" s="25" t="s">
        <v>3790</v>
      </c>
      <c r="AP1551" s="25">
        <f t="shared" si="678"/>
        <v>0</v>
      </c>
      <c r="AQ1551" s="151" t="str">
        <f>IF(SUMIFS('Supp Consol'!S:S,'Supp Consol'!A:A,O1551,'Supp Consol'!I:I,"PENDING")=0,"",SUMIFS('Supp Consol'!S:S,'Supp Consol'!A:A,O1551,'Supp Consol'!I:I,"PENDING"))</f>
        <v/>
      </c>
      <c r="AR1551" s="27" t="str">
        <f t="shared" si="679"/>
        <v>WW075</v>
      </c>
      <c r="AS1551" s="27" t="str">
        <f t="shared" si="680"/>
        <v>62</v>
      </c>
      <c r="AT1551" s="27" t="str">
        <f t="shared" si="681"/>
        <v/>
      </c>
      <c r="AU1551" s="27" t="str">
        <f t="shared" si="682"/>
        <v/>
      </c>
      <c r="AV1551" s="27" t="str">
        <f t="shared" si="683"/>
        <v/>
      </c>
      <c r="AW1551" s="27" t="str">
        <f t="shared" si="684"/>
        <v/>
      </c>
      <c r="AX1551" s="27" t="str">
        <f t="shared" si="685"/>
        <v>WW075</v>
      </c>
      <c r="AY1551" s="27" t="str">
        <f t="shared" si="686"/>
        <v/>
      </c>
      <c r="AZ1551" s="27" t="str">
        <f t="shared" si="687"/>
        <v>Supp</v>
      </c>
      <c r="BA1551" s="27" t="str">
        <f t="shared" si="688"/>
        <v/>
      </c>
      <c r="BB1551" s="27" t="str">
        <f t="shared" si="689"/>
        <v/>
      </c>
      <c r="BC1551" s="27" t="str">
        <f t="shared" si="690"/>
        <v/>
      </c>
      <c r="BD1551" s="27" t="str">
        <f t="shared" si="691"/>
        <v/>
      </c>
      <c r="BE1551" s="27" t="str">
        <f t="shared" si="692"/>
        <v/>
      </c>
      <c r="BF1551" s="27" t="str">
        <f t="shared" si="693"/>
        <v/>
      </c>
      <c r="BG1551" s="27" t="str">
        <f t="shared" si="694"/>
        <v/>
      </c>
      <c r="BH1551" s="27" t="str">
        <f t="shared" si="695"/>
        <v/>
      </c>
      <c r="BI1551" s="27" t="str">
        <f t="shared" si="696"/>
        <v/>
      </c>
      <c r="BJ1551" s="27" t="str">
        <f t="shared" si="697"/>
        <v>Supp or Hun</v>
      </c>
      <c r="BK1551" s="27" t="str">
        <f t="shared" si="698"/>
        <v/>
      </c>
      <c r="BL1551" s="27" t="str">
        <f t="shared" si="699"/>
        <v/>
      </c>
      <c r="BM1551" s="21" t="s">
        <v>5581</v>
      </c>
    </row>
    <row r="1552" spans="1:65" ht="15">
      <c r="A1552" s="25" t="str">
        <f>IFERROR(INDEX('Hun Demand'!W:W,MATCH(O1552,'Hun Demand'!A:A,0)),"")</f>
        <v/>
      </c>
      <c r="B1552" s="25" t="str">
        <f>IFERROR(INDEX('Hun Demand'!V:V,MATCH(O1552,'Hun Demand'!A:A,0)),"")</f>
        <v/>
      </c>
      <c r="C1552" s="25" t="str">
        <f>IFERROR(INDEX('Hun Demand'!U:U,MATCH(O1552,'Hun Demand'!A:A,0)),"")</f>
        <v/>
      </c>
      <c r="D1552" s="25" t="str">
        <f>IFERROR(INDEX('Hun Demand'!T:T,MATCH(O1552,'Hun Demand'!A:A,0)),"")</f>
        <v/>
      </c>
      <c r="E1552" s="25" t="str">
        <f>IFERROR(INDEX('Hun Demand'!S:S,MATCH(O1552,'Hun Demand'!A:A,0)),"")</f>
        <v/>
      </c>
      <c r="F1552" s="25" t="str">
        <f>IFERROR(INDEX('Hun Demand'!R:R,MATCH(O1552,'Hun Demand'!A:A,0)),"")</f>
        <v/>
      </c>
      <c r="G1552" s="25">
        <f>IFERROR(INDEX('Aub Demand'!W:W,MATCH(O1552,'Aub Demand'!A:A,0)),"")</f>
        <v>0</v>
      </c>
      <c r="H1552" s="25">
        <f>IFERROR(INDEX('Aub Demand'!V:V,MATCH(O1552,'Aub Demand'!A:A,0)),"")</f>
        <v>0</v>
      </c>
      <c r="I1552" s="25">
        <f>IFERROR(INDEX('Aub Demand'!U:U,MATCH(O1552,'Aub Demand'!A:A,0)),"")</f>
        <v>0</v>
      </c>
      <c r="J1552" s="25">
        <f>IFERROR(INDEX('Aub Demand'!T:T,MATCH(O1552,'Aub Demand'!A:A,0)),"")</f>
        <v>0</v>
      </c>
      <c r="K1552" s="25">
        <f>IFERROR(INDEX('Aub Demand'!S:S,MATCH(O1552,'Aub Demand'!A:A,0)),"")</f>
        <v>0</v>
      </c>
      <c r="L1552" s="25">
        <f>IFERROR(INDEX('Aub Demand'!R:R,MATCH(O1552,'Aub Demand'!A:A,0)),"")</f>
        <v>0</v>
      </c>
      <c r="O1552" s="27" t="s">
        <v>3446</v>
      </c>
      <c r="P1552" s="27" t="str">
        <f>IFERROR(INDEX('Aub Demand'!B:B,MATCH($O1552,'Aub Demand'!$A:$A,0)),"")</f>
        <v>WILLOW WALNUT</v>
      </c>
      <c r="Q1552" s="27">
        <f>IFERROR(INDEX('Aub Demand'!C:C,MATCH($O1552,'Aub Demand'!$A:$A,0)),"")</f>
        <v>0</v>
      </c>
      <c r="R1552" s="52">
        <f>IFERROR(IF(AR1553=AR1552,INDEX('Aub Demand'!K:K,MATCH($O1552,'Aub Demand'!$A:$A,0))-IF(AN1552="",0,AN1552)+AP1553,INDEX('Aub Demand'!K:K,MATCH($O1552,'Aub Demand'!$A:$A,0))-IF(AN1552="",0,AN1552)),"")</f>
        <v>1747</v>
      </c>
      <c r="S1552" s="53" t="str">
        <f t="shared" si="672"/>
        <v>n/a</v>
      </c>
      <c r="T1552" s="52" t="str">
        <f t="shared" si="673"/>
        <v/>
      </c>
      <c r="U1552" s="52">
        <f>IFERROR(IF(AR1553=AR1552,INDEX('Aub Demand'!Q:Q,MATCH($O1552,'Aub Demand'!$A:$A,0))-IF(AN1552="",0,AN1552)+AP1553,INDEX('Aub Demand'!Q:Q,MATCH($O1552,'Aub Demand'!$A:$A,0))-IF(AN1552="",0,AN1552)),"")</f>
        <v>1743</v>
      </c>
      <c r="V1552" s="53" t="str">
        <f t="shared" si="674"/>
        <v>n/a</v>
      </c>
      <c r="W1552" s="52" t="str">
        <f t="shared" si="675"/>
        <v/>
      </c>
      <c r="X1552" s="52">
        <f>IFERROR(IF(AND(AR1553=AR1552,AM1552&lt;&gt;""),INDEX('Aub Demand'!Q:Q,MATCH($O1552,'Aub Demand'!$A:$A,0))-IF(AN1552="",0,AN1552)+AP1553+AD1552+AL1552,IF(AR1553=AR1552,INDEX('Aub Demand'!Q:Q,MATCH($O1552,'Aub Demand'!$A:$A,0))-IF(AN1552="",0,AN1552)+AP1553+AD1552,IF(AM1552&lt;&gt;"",INDEX('Aub Demand'!Q:Q,MATCH($O1552,'Aub Demand'!$A:$A,0))-IF(AN1552="",0,AN1552)+AD1552+AL1552,INDEX('Aub Demand'!Q:Q,MATCH($O1552,'Aub Demand'!$A:$A,0))-IF(AN1552="",0,AN1552)+AD1552))),"")</f>
        <v>1743</v>
      </c>
      <c r="Y1552" s="53" t="str">
        <f t="shared" si="676"/>
        <v>n/a</v>
      </c>
      <c r="Z1552" s="52">
        <f>IF(L1552="","",INDEX('Aub Demand'!H:H,MATCH($O1552,'Aub Demand'!$A:$A,0)))</f>
        <v>0</v>
      </c>
      <c r="AA1552" s="52" t="str">
        <f t="shared" si="677"/>
        <v>-spike-</v>
      </c>
      <c r="AB1552" s="52">
        <f>IFERROR(INDEX('Aub Demand'!L:L,MATCH($O1552,'Aub Demand'!$A:$A,0)),"")</f>
        <v>23</v>
      </c>
      <c r="AC1552" s="52">
        <f>IFERROR(IF(O1552="","",SUMIFS('CPL Mats'!F:F,'CPL Mats'!Q:Q,AR1552,'CPL Mats'!S:S,AS1552)),"")</f>
        <v>0</v>
      </c>
      <c r="AF1552" s="25" t="str">
        <f>IF(SUMIFS('Supp Consol'!S:S,'Supp Consol'!Y:Y,"Releasable",'Supp Consol'!A:A,O1552)=0,"",SUMIFS('Supp Consol'!S:S,'Supp Consol'!Y:Y,"Releasable",'Supp Consol'!A:A,O1552))</f>
        <v/>
      </c>
      <c r="AG1552" s="25" t="str">
        <f>IFERROR(INDEX('Hun Demand'!Q:Q,MATCH(O1552,'Hun Demand'!A:A,0)),"")</f>
        <v/>
      </c>
      <c r="AH1552" s="25" t="str">
        <f>IFERROR(INDEX('Hun Demand'!H:H,MATCH($O1552,'Hun Demand'!$A:$A,0)),"")</f>
        <v/>
      </c>
      <c r="AI1552" s="25" t="str">
        <f>IF(SUMIFS('Supp Consol'!AA:AA,'Supp Consol'!Z:Z,"Expires this month",'Supp Consol'!A:A,O1552)=0,"",SUMIFS('Supp Consol'!AA:AA,'Supp Consol'!Z:Z,"Expires this month",'Supp Consol'!A:A,O1552))</f>
        <v/>
      </c>
      <c r="AJ1552" s="25" t="str">
        <f>IF(SUMIFS('Supp Consol'!AA:AA,'Supp Consol'!Z:Z,"Expired Previous Months",'Supp Consol'!A:A,O1552)=0,"",SUMIFS('Supp Consol'!AA:AA,'Supp Consol'!Z:Z,"Expired Previous Months",'Supp Consol'!A:A,O1552))</f>
        <v/>
      </c>
      <c r="AK1552" s="25" t="str">
        <f>IFERROR(INDEX('Hun Release Current'!B:B,MATCH(O1552,'Hun Release Current'!A:A,0)),"")</f>
        <v/>
      </c>
      <c r="AL1552" s="25" t="str">
        <f>IF(SUMIF('Prev Aub'!A:A,O1552,'Prev Aub'!B:B)=0,"",SUMIF('Prev Aub'!A:A,O1552,'Prev Aub'!B:B))</f>
        <v/>
      </c>
      <c r="AN1552" s="25" t="s">
        <v>3790</v>
      </c>
      <c r="AO1552" s="25" t="s">
        <v>3790</v>
      </c>
      <c r="AP1552" s="25">
        <f t="shared" si="678"/>
        <v>0</v>
      </c>
      <c r="AQ1552" s="151" t="str">
        <f>IF(SUMIFS('Supp Consol'!S:S,'Supp Consol'!A:A,O1552,'Supp Consol'!I:I,"PENDING")=0,"",SUMIFS('Supp Consol'!S:S,'Supp Consol'!A:A,O1552,'Supp Consol'!I:I,"PENDING"))</f>
        <v/>
      </c>
      <c r="AR1552" s="27" t="str">
        <f t="shared" si="679"/>
        <v>WW080</v>
      </c>
      <c r="AS1552" s="27" t="str">
        <f t="shared" si="680"/>
        <v>50</v>
      </c>
      <c r="AT1552" s="27" t="str">
        <f t="shared" si="681"/>
        <v/>
      </c>
      <c r="AU1552" s="27" t="str">
        <f t="shared" si="682"/>
        <v/>
      </c>
      <c r="AV1552" s="27" t="str">
        <f t="shared" si="683"/>
        <v/>
      </c>
      <c r="AW1552" s="27" t="str">
        <f t="shared" si="684"/>
        <v/>
      </c>
      <c r="AX1552" s="27" t="str">
        <f t="shared" si="685"/>
        <v/>
      </c>
      <c r="AY1552" s="27" t="str">
        <f t="shared" si="686"/>
        <v/>
      </c>
      <c r="AZ1552" s="27" t="str">
        <f t="shared" si="687"/>
        <v/>
      </c>
      <c r="BA1552" s="27" t="str">
        <f t="shared" si="688"/>
        <v/>
      </c>
      <c r="BB1552" s="27" t="str">
        <f t="shared" si="689"/>
        <v/>
      </c>
      <c r="BC1552" s="27" t="str">
        <f t="shared" si="690"/>
        <v/>
      </c>
      <c r="BD1552" s="27" t="str">
        <f t="shared" si="691"/>
        <v/>
      </c>
      <c r="BE1552" s="27" t="str">
        <f t="shared" si="692"/>
        <v/>
      </c>
      <c r="BF1552" s="27" t="str">
        <f t="shared" si="693"/>
        <v/>
      </c>
      <c r="BG1552" s="27" t="str">
        <f t="shared" si="694"/>
        <v/>
      </c>
      <c r="BH1552" s="27" t="str">
        <f t="shared" si="695"/>
        <v/>
      </c>
      <c r="BI1552" s="27" t="str">
        <f t="shared" si="696"/>
        <v/>
      </c>
      <c r="BJ1552" s="27" t="str">
        <f t="shared" si="697"/>
        <v/>
      </c>
      <c r="BK1552" s="27" t="str">
        <f t="shared" si="698"/>
        <v/>
      </c>
      <c r="BL1552" s="27" t="str">
        <f t="shared" si="699"/>
        <v/>
      </c>
      <c r="BM1552" s="21" t="s">
        <v>5581</v>
      </c>
    </row>
    <row r="1553" spans="1:65" ht="15">
      <c r="A1553" s="25">
        <f>IFERROR(INDEX('Hun Demand'!W:W,MATCH(O1553,'Hun Demand'!A:A,0)),"")</f>
        <v>0</v>
      </c>
      <c r="B1553" s="25">
        <f>IFERROR(INDEX('Hun Demand'!V:V,MATCH(O1553,'Hun Demand'!A:A,0)),"")</f>
        <v>0</v>
      </c>
      <c r="C1553" s="25">
        <f>IFERROR(INDEX('Hun Demand'!U:U,MATCH(O1553,'Hun Demand'!A:A,0)),"")</f>
        <v>0</v>
      </c>
      <c r="D1553" s="25">
        <f>IFERROR(INDEX('Hun Demand'!T:T,MATCH(O1553,'Hun Demand'!A:A,0)),"")</f>
        <v>0</v>
      </c>
      <c r="E1553" s="25">
        <f>IFERROR(INDEX('Hun Demand'!S:S,MATCH(O1553,'Hun Demand'!A:A,0)),"")</f>
        <v>0</v>
      </c>
      <c r="F1553" s="25">
        <f>IFERROR(INDEX('Hun Demand'!R:R,MATCH(O1553,'Hun Demand'!A:A,0)),"")</f>
        <v>0</v>
      </c>
      <c r="G1553" s="25">
        <f>IFERROR(INDEX('Aub Demand'!W:W,MATCH(O1553,'Aub Demand'!A:A,0)),"")</f>
        <v>0</v>
      </c>
      <c r="H1553" s="25">
        <f>IFERROR(INDEX('Aub Demand'!V:V,MATCH(O1553,'Aub Demand'!A:A,0)),"")</f>
        <v>0</v>
      </c>
      <c r="I1553" s="25">
        <f>IFERROR(INDEX('Aub Demand'!U:U,MATCH(O1553,'Aub Demand'!A:A,0)),"")</f>
        <v>2</v>
      </c>
      <c r="J1553" s="25">
        <f>IFERROR(INDEX('Aub Demand'!T:T,MATCH(O1553,'Aub Demand'!A:A,0)),"")</f>
        <v>0</v>
      </c>
      <c r="K1553" s="25">
        <f>IFERROR(INDEX('Aub Demand'!S:S,MATCH(O1553,'Aub Demand'!A:A,0)),"")</f>
        <v>0</v>
      </c>
      <c r="L1553" s="25">
        <f>IFERROR(INDEX('Aub Demand'!R:R,MATCH(O1553,'Aub Demand'!A:A,0)),"")</f>
        <v>0</v>
      </c>
      <c r="O1553" s="27" t="s">
        <v>3138</v>
      </c>
      <c r="P1553" s="27" t="str">
        <f>IFERROR(INDEX('Aub Demand'!B:B,MATCH($O1553,'Aub Demand'!$A:$A,0)),"")</f>
        <v>ENDLESS JOURNEY</v>
      </c>
      <c r="Q1553" s="27" t="str">
        <f>IFERROR(INDEX('Aub Demand'!C:C,MATCH($O1553,'Aub Demand'!$A:$A,0)),"")</f>
        <v>LAMIG</v>
      </c>
      <c r="R1553" s="52">
        <f>IFERROR(IF(AR1554=AR1553,INDEX('Aub Demand'!K:K,MATCH($O1553,'Aub Demand'!$A:$A,0))-IF(AN1553="",0,AN1553)+AP1554,INDEX('Aub Demand'!K:K,MATCH($O1553,'Aub Demand'!$A:$A,0))-IF(AN1553="",0,AN1553)),"")</f>
        <v>978</v>
      </c>
      <c r="S1553" s="53">
        <f t="shared" si="672"/>
        <v>4191.3999999999996</v>
      </c>
      <c r="T1553" s="52" t="str">
        <f t="shared" si="673"/>
        <v/>
      </c>
      <c r="U1553" s="52">
        <f>IFERROR(IF(AR1554=AR1553,INDEX('Aub Demand'!Q:Q,MATCH($O1553,'Aub Demand'!$A:$A,0))-IF(AN1553="",0,AN1553)+AP1554,INDEX('Aub Demand'!Q:Q,MATCH($O1553,'Aub Demand'!$A:$A,0))-IF(AN1553="",0,AN1553)),"")</f>
        <v>978</v>
      </c>
      <c r="V1553" s="53">
        <f t="shared" si="674"/>
        <v>4191.3999999999996</v>
      </c>
      <c r="W1553" s="52" t="str">
        <f t="shared" si="675"/>
        <v/>
      </c>
      <c r="X1553" s="52">
        <f>IFERROR(IF(AND(AR1554=AR1553,AM1553&lt;&gt;""),INDEX('Aub Demand'!Q:Q,MATCH($O1553,'Aub Demand'!$A:$A,0))-IF(AN1553="",0,AN1553)+AP1554+AD1553+AL1553,IF(AR1554=AR1553,INDEX('Aub Demand'!Q:Q,MATCH($O1553,'Aub Demand'!$A:$A,0))-IF(AN1553="",0,AN1553)+AP1554+AD1553,IF(AM1553&lt;&gt;"",INDEX('Aub Demand'!Q:Q,MATCH($O1553,'Aub Demand'!$A:$A,0))-IF(AN1553="",0,AN1553)+AD1553+AL1553,INDEX('Aub Demand'!Q:Q,MATCH($O1553,'Aub Demand'!$A:$A,0))-IF(AN1553="",0,AN1553)+AD1553))),"")</f>
        <v>978</v>
      </c>
      <c r="Y1553" s="53">
        <f t="shared" si="676"/>
        <v>4191.3999999999996</v>
      </c>
      <c r="Z1553" s="52">
        <f>IF(L1553="","",INDEX('Aub Demand'!H:H,MATCH($O1553,'Aub Demand'!$A:$A,0)))</f>
        <v>1</v>
      </c>
      <c r="AA1553" s="52" t="str">
        <f t="shared" si="677"/>
        <v>-spike-</v>
      </c>
      <c r="AB1553" s="52">
        <f>IFERROR(INDEX('Aub Demand'!L:L,MATCH($O1553,'Aub Demand'!$A:$A,0)),"")</f>
        <v>0</v>
      </c>
      <c r="AC1553" s="52">
        <f>IFERROR(IF(O1553="","",SUMIFS('CPL Mats'!F:F,'CPL Mats'!Q:Q,AR1553,'CPL Mats'!S:S,AS1553)),"")</f>
        <v>0</v>
      </c>
      <c r="AF1553" s="25" t="str">
        <f>IF(SUMIFS('Supp Consol'!S:S,'Supp Consol'!Y:Y,"Releasable",'Supp Consol'!A:A,O1553)=0,"",SUMIFS('Supp Consol'!S:S,'Supp Consol'!Y:Y,"Releasable",'Supp Consol'!A:A,O1553))</f>
        <v/>
      </c>
      <c r="AG1553" s="25">
        <f>IFERROR(INDEX('Hun Demand'!Q:Q,MATCH(O1553,'Hun Demand'!A:A,0)),"")</f>
        <v>143</v>
      </c>
      <c r="AH1553" s="25">
        <f>IFERROR(INDEX('Hun Demand'!H:H,MATCH($O1553,'Hun Demand'!$A:$A,0)),"")</f>
        <v>0</v>
      </c>
      <c r="AI1553" s="25" t="str">
        <f>IF(SUMIFS('Supp Consol'!AA:AA,'Supp Consol'!Z:Z,"Expires this month",'Supp Consol'!A:A,O1553)=0,"",SUMIFS('Supp Consol'!AA:AA,'Supp Consol'!Z:Z,"Expires this month",'Supp Consol'!A:A,O1553))</f>
        <v/>
      </c>
      <c r="AJ1553" s="25" t="str">
        <f>IF(SUMIFS('Supp Consol'!AA:AA,'Supp Consol'!Z:Z,"Expired Previous Months",'Supp Consol'!A:A,O1553)=0,"",SUMIFS('Supp Consol'!AA:AA,'Supp Consol'!Z:Z,"Expired Previous Months",'Supp Consol'!A:A,O1553))</f>
        <v/>
      </c>
      <c r="AK1553" s="25" t="str">
        <f>IFERROR(INDEX('Hun Release Current'!B:B,MATCH(O1553,'Hun Release Current'!A:A,0)),"")</f>
        <v/>
      </c>
      <c r="AL1553" s="25" t="str">
        <f>IF(SUMIF('Prev Aub'!A:A,O1553,'Prev Aub'!B:B)=0,"",SUMIF('Prev Aub'!A:A,O1553,'Prev Aub'!B:B))</f>
        <v/>
      </c>
      <c r="AN1553" s="25" t="s">
        <v>3790</v>
      </c>
      <c r="AO1553" s="25" t="s">
        <v>3790</v>
      </c>
      <c r="AP1553" s="25">
        <f t="shared" si="678"/>
        <v>0</v>
      </c>
      <c r="AQ1553" s="151" t="str">
        <f>IF(SUMIFS('Supp Consol'!S:S,'Supp Consol'!A:A,O1553,'Supp Consol'!I:I,"PENDING")=0,"",SUMIFS('Supp Consol'!S:S,'Supp Consol'!A:A,O1553,'Supp Consol'!I:I,"PENDING"))</f>
        <v/>
      </c>
      <c r="AR1553" s="27" t="str">
        <f t="shared" si="679"/>
        <v>WW090</v>
      </c>
      <c r="AS1553" s="27" t="str">
        <f t="shared" si="680"/>
        <v>50</v>
      </c>
      <c r="AT1553" s="27" t="str">
        <f t="shared" si="681"/>
        <v/>
      </c>
      <c r="AU1553" s="27" t="str">
        <f t="shared" si="682"/>
        <v/>
      </c>
      <c r="AV1553" s="27" t="str">
        <f t="shared" si="683"/>
        <v/>
      </c>
      <c r="AW1553" s="27" t="str">
        <f t="shared" si="684"/>
        <v/>
      </c>
      <c r="AX1553" s="27" t="str">
        <f t="shared" si="685"/>
        <v/>
      </c>
      <c r="AY1553" s="27" t="str">
        <f t="shared" si="686"/>
        <v>WW090</v>
      </c>
      <c r="AZ1553" s="27" t="str">
        <f t="shared" si="687"/>
        <v/>
      </c>
      <c r="BA1553" s="27" t="str">
        <f t="shared" si="688"/>
        <v>Hun</v>
      </c>
      <c r="BB1553" s="27" t="str">
        <f t="shared" si="689"/>
        <v/>
      </c>
      <c r="BC1553" s="27" t="str">
        <f t="shared" si="690"/>
        <v/>
      </c>
      <c r="BD1553" s="27" t="str">
        <f t="shared" si="691"/>
        <v/>
      </c>
      <c r="BE1553" s="27" t="str">
        <f t="shared" si="692"/>
        <v/>
      </c>
      <c r="BF1553" s="27" t="str">
        <f t="shared" si="693"/>
        <v/>
      </c>
      <c r="BG1553" s="27" t="str">
        <f t="shared" si="694"/>
        <v/>
      </c>
      <c r="BH1553" s="27" t="str">
        <f t="shared" si="695"/>
        <v/>
      </c>
      <c r="BI1553" s="27" t="str">
        <f t="shared" si="696"/>
        <v/>
      </c>
      <c r="BJ1553" s="27" t="str">
        <f t="shared" si="697"/>
        <v>Supp or Hun</v>
      </c>
      <c r="BK1553" s="27" t="str">
        <f t="shared" si="698"/>
        <v/>
      </c>
      <c r="BL1553" s="27" t="str">
        <f t="shared" si="699"/>
        <v/>
      </c>
      <c r="BM1553" s="21" t="s">
        <v>5581</v>
      </c>
    </row>
    <row r="1554" spans="1:65" ht="15">
      <c r="A1554" s="25" t="str">
        <f>IFERROR(INDEX('Hun Demand'!W:W,MATCH(O1554,'Hun Demand'!A:A,0)),"")</f>
        <v/>
      </c>
      <c r="B1554" s="25" t="str">
        <f>IFERROR(INDEX('Hun Demand'!V:V,MATCH(O1554,'Hun Demand'!A:A,0)),"")</f>
        <v/>
      </c>
      <c r="C1554" s="25" t="str">
        <f>IFERROR(INDEX('Hun Demand'!U:U,MATCH(O1554,'Hun Demand'!A:A,0)),"")</f>
        <v/>
      </c>
      <c r="D1554" s="25" t="str">
        <f>IFERROR(INDEX('Hun Demand'!T:T,MATCH(O1554,'Hun Demand'!A:A,0)),"")</f>
        <v/>
      </c>
      <c r="E1554" s="25" t="str">
        <f>IFERROR(INDEX('Hun Demand'!S:S,MATCH(O1554,'Hun Demand'!A:A,0)),"")</f>
        <v/>
      </c>
      <c r="F1554" s="25" t="str">
        <f>IFERROR(INDEX('Hun Demand'!R:R,MATCH(O1554,'Hun Demand'!A:A,0)),"")</f>
        <v/>
      </c>
      <c r="G1554" s="25">
        <f>IFERROR(INDEX('Aub Demand'!W:W,MATCH(O1554,'Aub Demand'!A:A,0)),"")</f>
        <v>0</v>
      </c>
      <c r="H1554" s="25">
        <f>IFERROR(INDEX('Aub Demand'!V:V,MATCH(O1554,'Aub Demand'!A:A,0)),"")</f>
        <v>0</v>
      </c>
      <c r="I1554" s="25">
        <f>IFERROR(INDEX('Aub Demand'!U:U,MATCH(O1554,'Aub Demand'!A:A,0)),"")</f>
        <v>0</v>
      </c>
      <c r="J1554" s="25">
        <f>IFERROR(INDEX('Aub Demand'!T:T,MATCH(O1554,'Aub Demand'!A:A,0)),"")</f>
        <v>0</v>
      </c>
      <c r="K1554" s="25">
        <f>IFERROR(INDEX('Aub Demand'!S:S,MATCH(O1554,'Aub Demand'!A:A,0)),"")</f>
        <v>0</v>
      </c>
      <c r="L1554" s="25">
        <f>IFERROR(INDEX('Aub Demand'!R:R,MATCH(O1554,'Aub Demand'!A:A,0)),"")</f>
        <v>0</v>
      </c>
      <c r="O1554" s="27" t="s">
        <v>3140</v>
      </c>
      <c r="P1554" s="27" t="str">
        <f>IFERROR(INDEX('Aub Demand'!B:B,MATCH($O1554,'Aub Demand'!$A:$A,0)),"")</f>
        <v>ENDLESS JOURNEY</v>
      </c>
      <c r="Q1554" s="27" t="str">
        <f>IFERROR(INDEX('Aub Demand'!C:C,MATCH($O1554,'Aub Demand'!$A:$A,0)),"")</f>
        <v>LAMIG</v>
      </c>
      <c r="R1554" s="52">
        <f>IFERROR(IF(AR1555=AR1554,INDEX('Aub Demand'!K:K,MATCH($O1554,'Aub Demand'!$A:$A,0))-IF(AN1554="",0,AN1554)+AP1555,INDEX('Aub Demand'!K:K,MATCH($O1554,'Aub Demand'!$A:$A,0))-IF(AN1554="",0,AN1554)),"")</f>
        <v>899</v>
      </c>
      <c r="S1554" s="53" t="str">
        <f t="shared" si="672"/>
        <v>n/a</v>
      </c>
      <c r="T1554" s="52" t="str">
        <f t="shared" si="673"/>
        <v/>
      </c>
      <c r="U1554" s="52">
        <f>IFERROR(IF(AR1555=AR1554,INDEX('Aub Demand'!Q:Q,MATCH($O1554,'Aub Demand'!$A:$A,0))-IF(AN1554="",0,AN1554)+AP1555,INDEX('Aub Demand'!Q:Q,MATCH($O1554,'Aub Demand'!$A:$A,0))-IF(AN1554="",0,AN1554)),"")</f>
        <v>899</v>
      </c>
      <c r="V1554" s="53" t="str">
        <f t="shared" si="674"/>
        <v>n/a</v>
      </c>
      <c r="W1554" s="52" t="str">
        <f t="shared" si="675"/>
        <v/>
      </c>
      <c r="X1554" s="52">
        <f>IFERROR(IF(AND(AR1555=AR1554,AM1554&lt;&gt;""),INDEX('Aub Demand'!Q:Q,MATCH($O1554,'Aub Demand'!$A:$A,0))-IF(AN1554="",0,AN1554)+AP1555+AD1554+AL1554,IF(AR1555=AR1554,INDEX('Aub Demand'!Q:Q,MATCH($O1554,'Aub Demand'!$A:$A,0))-IF(AN1554="",0,AN1554)+AP1555+AD1554,IF(AM1554&lt;&gt;"",INDEX('Aub Demand'!Q:Q,MATCH($O1554,'Aub Demand'!$A:$A,0))-IF(AN1554="",0,AN1554)+AD1554+AL1554,INDEX('Aub Demand'!Q:Q,MATCH($O1554,'Aub Demand'!$A:$A,0))-IF(AN1554="",0,AN1554)+AD1554))),"")</f>
        <v>899</v>
      </c>
      <c r="Y1554" s="53" t="str">
        <f t="shared" si="676"/>
        <v>n/a</v>
      </c>
      <c r="Z1554" s="52">
        <f>IF(L1554="","",INDEX('Aub Demand'!H:H,MATCH($O1554,'Aub Demand'!$A:$A,0)))</f>
        <v>0</v>
      </c>
      <c r="AA1554" s="52" t="str">
        <f t="shared" si="677"/>
        <v>-spike-</v>
      </c>
      <c r="AB1554" s="52">
        <f>IFERROR(INDEX('Aub Demand'!L:L,MATCH($O1554,'Aub Demand'!$A:$A,0)),"")</f>
        <v>0</v>
      </c>
      <c r="AC1554" s="52">
        <f>IFERROR(IF(O1554="","",SUMIFS('CPL Mats'!F:F,'CPL Mats'!Q:Q,AR1554,'CPL Mats'!S:S,AS1554)),"")</f>
        <v>0</v>
      </c>
      <c r="AF1554" s="25" t="str">
        <f>IF(SUMIFS('Supp Consol'!S:S,'Supp Consol'!Y:Y,"Releasable",'Supp Consol'!A:A,O1554)=0,"",SUMIFS('Supp Consol'!S:S,'Supp Consol'!Y:Y,"Releasable",'Supp Consol'!A:A,O1554))</f>
        <v/>
      </c>
      <c r="AG1554" s="25" t="str">
        <f>IFERROR(INDEX('Hun Demand'!Q:Q,MATCH(O1554,'Hun Demand'!A:A,0)),"")</f>
        <v/>
      </c>
      <c r="AH1554" s="25" t="str">
        <f>IFERROR(INDEX('Hun Demand'!H:H,MATCH($O1554,'Hun Demand'!$A:$A,0)),"")</f>
        <v/>
      </c>
      <c r="AI1554" s="25" t="str">
        <f>IF(SUMIFS('Supp Consol'!AA:AA,'Supp Consol'!Z:Z,"Expires this month",'Supp Consol'!A:A,O1554)=0,"",SUMIFS('Supp Consol'!AA:AA,'Supp Consol'!Z:Z,"Expires this month",'Supp Consol'!A:A,O1554))</f>
        <v/>
      </c>
      <c r="AJ1554" s="25" t="str">
        <f>IF(SUMIFS('Supp Consol'!AA:AA,'Supp Consol'!Z:Z,"Expired Previous Months",'Supp Consol'!A:A,O1554)=0,"",SUMIFS('Supp Consol'!AA:AA,'Supp Consol'!Z:Z,"Expired Previous Months",'Supp Consol'!A:A,O1554))</f>
        <v/>
      </c>
      <c r="AK1554" s="25" t="str">
        <f>IFERROR(INDEX('Hun Release Current'!B:B,MATCH(O1554,'Hun Release Current'!A:A,0)),"")</f>
        <v/>
      </c>
      <c r="AL1554" s="25" t="str">
        <f>IF(SUMIF('Prev Aub'!A:A,O1554,'Prev Aub'!B:B)=0,"",SUMIF('Prev Aub'!A:A,O1554,'Prev Aub'!B:B))</f>
        <v/>
      </c>
      <c r="AN1554" s="25" t="s">
        <v>3790</v>
      </c>
      <c r="AO1554" s="25" t="s">
        <v>3790</v>
      </c>
      <c r="AP1554" s="25">
        <f t="shared" si="678"/>
        <v>0</v>
      </c>
      <c r="AQ1554" s="151" t="str">
        <f>IF(SUMIFS('Supp Consol'!S:S,'Supp Consol'!A:A,O1554,'Supp Consol'!I:I,"PENDING")=0,"",SUMIFS('Supp Consol'!S:S,'Supp Consol'!A:A,O1554,'Supp Consol'!I:I,"PENDING"))</f>
        <v/>
      </c>
      <c r="AR1554" s="27" t="str">
        <f t="shared" si="679"/>
        <v>WW090</v>
      </c>
      <c r="AS1554" s="27" t="str">
        <f t="shared" si="680"/>
        <v>62</v>
      </c>
      <c r="AT1554" s="27" t="str">
        <f t="shared" si="681"/>
        <v/>
      </c>
      <c r="AU1554" s="27" t="str">
        <f t="shared" si="682"/>
        <v/>
      </c>
      <c r="AV1554" s="27" t="str">
        <f t="shared" si="683"/>
        <v/>
      </c>
      <c r="AW1554" s="27" t="str">
        <f t="shared" si="684"/>
        <v/>
      </c>
      <c r="AX1554" s="27" t="str">
        <f t="shared" si="685"/>
        <v/>
      </c>
      <c r="AY1554" s="27" t="str">
        <f t="shared" si="686"/>
        <v/>
      </c>
      <c r="AZ1554" s="27" t="str">
        <f t="shared" si="687"/>
        <v/>
      </c>
      <c r="BA1554" s="27" t="str">
        <f t="shared" si="688"/>
        <v>Hun</v>
      </c>
      <c r="BB1554" s="27" t="str">
        <f t="shared" si="689"/>
        <v/>
      </c>
      <c r="BC1554" s="27" t="str">
        <f t="shared" si="690"/>
        <v/>
      </c>
      <c r="BD1554" s="27" t="str">
        <f t="shared" si="691"/>
        <v/>
      </c>
      <c r="BE1554" s="27" t="str">
        <f t="shared" si="692"/>
        <v/>
      </c>
      <c r="BF1554" s="27" t="str">
        <f t="shared" si="693"/>
        <v/>
      </c>
      <c r="BG1554" s="27" t="str">
        <f t="shared" si="694"/>
        <v/>
      </c>
      <c r="BH1554" s="27" t="str">
        <f t="shared" si="695"/>
        <v/>
      </c>
      <c r="BI1554" s="27" t="str">
        <f t="shared" si="696"/>
        <v/>
      </c>
      <c r="BJ1554" s="27" t="str">
        <f t="shared" si="697"/>
        <v>Supp or Hun</v>
      </c>
      <c r="BK1554" s="27" t="str">
        <f t="shared" si="698"/>
        <v/>
      </c>
      <c r="BL1554" s="27" t="str">
        <f t="shared" si="699"/>
        <v/>
      </c>
      <c r="BM1554" s="21" t="s">
        <v>5581</v>
      </c>
    </row>
    <row r="1555" spans="1:65" ht="15">
      <c r="A1555" s="25">
        <f>IFERROR(INDEX('Hun Demand'!W:W,MATCH(O1555,'Hun Demand'!A:A,0)),"")</f>
        <v>536</v>
      </c>
      <c r="B1555" s="25">
        <f>IFERROR(INDEX('Hun Demand'!V:V,MATCH(O1555,'Hun Demand'!A:A,0)),"")</f>
        <v>393</v>
      </c>
      <c r="C1555" s="25">
        <f>IFERROR(INDEX('Hun Demand'!U:U,MATCH(O1555,'Hun Demand'!A:A,0)),"")</f>
        <v>137</v>
      </c>
      <c r="D1555" s="25">
        <f>IFERROR(INDEX('Hun Demand'!T:T,MATCH(O1555,'Hun Demand'!A:A,0)),"")</f>
        <v>318</v>
      </c>
      <c r="E1555" s="25">
        <f>IFERROR(INDEX('Hun Demand'!S:S,MATCH(O1555,'Hun Demand'!A:A,0)),"")</f>
        <v>1152</v>
      </c>
      <c r="F1555" s="25">
        <f>IFERROR(INDEX('Hun Demand'!R:R,MATCH(O1555,'Hun Demand'!A:A,0)),"")</f>
        <v>0</v>
      </c>
      <c r="G1555" s="25">
        <f>IFERROR(INDEX('Aub Demand'!W:W,MATCH(O1555,'Aub Demand'!A:A,0)),"")</f>
        <v>211</v>
      </c>
      <c r="H1555" s="25">
        <f>IFERROR(INDEX('Aub Demand'!V:V,MATCH(O1555,'Aub Demand'!A:A,0)),"")</f>
        <v>68</v>
      </c>
      <c r="I1555" s="25">
        <f>IFERROR(INDEX('Aub Demand'!U:U,MATCH(O1555,'Aub Demand'!A:A,0)),"")</f>
        <v>422</v>
      </c>
      <c r="J1555" s="25">
        <f>IFERROR(INDEX('Aub Demand'!T:T,MATCH(O1555,'Aub Demand'!A:A,0)),"")</f>
        <v>199</v>
      </c>
      <c r="K1555" s="25">
        <f>IFERROR(INDEX('Aub Demand'!S:S,MATCH(O1555,'Aub Demand'!A:A,0)),"")</f>
        <v>0</v>
      </c>
      <c r="L1555" s="25">
        <f>IFERROR(INDEX('Aub Demand'!R:R,MATCH(O1555,'Aub Demand'!A:A,0)),"")</f>
        <v>0</v>
      </c>
      <c r="O1555" s="27" t="s">
        <v>1865</v>
      </c>
      <c r="P1555" s="27" t="str">
        <f>IFERROR(INDEX('Aub Demand'!B:B,MATCH($O1555,'Aub Demand'!$A:$A,0)),"")</f>
        <v>A GOOD BOOK</v>
      </c>
      <c r="Q1555" s="27" t="str">
        <f>IFERROR(INDEX('Aub Demand'!C:C,MATCH($O1555,'Aub Demand'!$A:$A,0)),"")</f>
        <v>LAMIG</v>
      </c>
      <c r="R1555" s="52">
        <f>IFERROR(IF(AR1556=AR1555,INDEX('Aub Demand'!K:K,MATCH($O1555,'Aub Demand'!$A:$A,0))-IF(AN1555="",0,AN1555)+AP1556,INDEX('Aub Demand'!K:K,MATCH($O1555,'Aub Demand'!$A:$A,0))-IF(AN1555="",0,AN1555)),"")</f>
        <v>115</v>
      </c>
      <c r="S1555" s="53">
        <f t="shared" si="672"/>
        <v>2.4</v>
      </c>
      <c r="T1555" s="52">
        <f t="shared" si="673"/>
        <v>46.57500000000001</v>
      </c>
      <c r="U1555" s="52">
        <f>IFERROR(IF(AR1556=AR1555,INDEX('Aub Demand'!Q:Q,MATCH($O1555,'Aub Demand'!$A:$A,0))-IF(AN1555="",0,AN1555)+AP1556,INDEX('Aub Demand'!Q:Q,MATCH($O1555,'Aub Demand'!$A:$A,0))-IF(AN1555="",0,AN1555)),"")</f>
        <v>94</v>
      </c>
      <c r="V1555" s="53">
        <f t="shared" si="674"/>
        <v>1.9</v>
      </c>
      <c r="W1555" s="52">
        <f t="shared" si="675"/>
        <v>85.387500000000003</v>
      </c>
      <c r="X1555" s="52">
        <f>IFERROR(IF(AND(AR1556=AR1555,AM1555&lt;&gt;""),INDEX('Aub Demand'!Q:Q,MATCH($O1555,'Aub Demand'!$A:$A,0))-IF(AN1555="",0,AN1555)+AP1556+AD1555+AL1555,IF(AR1556=AR1555,INDEX('Aub Demand'!Q:Q,MATCH($O1555,'Aub Demand'!$A:$A,0))-IF(AN1555="",0,AN1555)+AP1556+AD1555,IF(AM1555&lt;&gt;"",INDEX('Aub Demand'!Q:Q,MATCH($O1555,'Aub Demand'!$A:$A,0))-IF(AN1555="",0,AN1555)+AD1555+AL1555,INDEX('Aub Demand'!Q:Q,MATCH($O1555,'Aub Demand'!$A:$A,0))-IF(AN1555="",0,AN1555)+AD1555))),"")</f>
        <v>94</v>
      </c>
      <c r="Y1555" s="53">
        <f t="shared" si="676"/>
        <v>1.9</v>
      </c>
      <c r="Z1555" s="52">
        <f>IF(L1555="","",INDEX('Aub Demand'!H:H,MATCH($O1555,'Aub Demand'!$A:$A,0)))</f>
        <v>207</v>
      </c>
      <c r="AA1555" s="52">
        <f t="shared" si="677"/>
        <v>310.5</v>
      </c>
      <c r="AB1555" s="52">
        <f>IFERROR(INDEX('Aub Demand'!L:L,MATCH($O1555,'Aub Demand'!$A:$A,0)),"")</f>
        <v>107</v>
      </c>
      <c r="AC1555" s="52">
        <f>IFERROR(IF(O1555="","",SUMIFS('CPL Mats'!F:F,'CPL Mats'!Q:Q,AR1555,'CPL Mats'!S:S,AS1555)),"")</f>
        <v>0</v>
      </c>
      <c r="AF1555" s="25" t="str">
        <f>IF(SUMIFS('Supp Consol'!S:S,'Supp Consol'!Y:Y,"Releasable",'Supp Consol'!A:A,O1555)=0,"",SUMIFS('Supp Consol'!S:S,'Supp Consol'!Y:Y,"Releasable",'Supp Consol'!A:A,O1555))</f>
        <v/>
      </c>
      <c r="AG1555" s="25">
        <f>IFERROR(INDEX('Hun Demand'!Q:Q,MATCH(O1555,'Hun Demand'!A:A,0)),"")</f>
        <v>0</v>
      </c>
      <c r="AH1555" s="25">
        <f>IFERROR(INDEX('Hun Demand'!H:H,MATCH($O1555,'Hun Demand'!$A:$A,0)),"")</f>
        <v>536</v>
      </c>
      <c r="AI1555" s="25" t="str">
        <f>IF(SUMIFS('Supp Consol'!AA:AA,'Supp Consol'!Z:Z,"Expires this month",'Supp Consol'!A:A,O1555)=0,"",SUMIFS('Supp Consol'!AA:AA,'Supp Consol'!Z:Z,"Expires this month",'Supp Consol'!A:A,O1555))</f>
        <v/>
      </c>
      <c r="AJ1555" s="25" t="str">
        <f>IF(SUMIFS('Supp Consol'!AA:AA,'Supp Consol'!Z:Z,"Expired Previous Months",'Supp Consol'!A:A,O1555)=0,"",SUMIFS('Supp Consol'!AA:AA,'Supp Consol'!Z:Z,"Expired Previous Months",'Supp Consol'!A:A,O1555))</f>
        <v/>
      </c>
      <c r="AK1555" s="25" t="str">
        <f>IFERROR(INDEX('Hun Release Current'!B:B,MATCH(O1555,'Hun Release Current'!A:A,0)),"")</f>
        <v/>
      </c>
      <c r="AL1555" s="25" t="str">
        <f>IF(SUMIF('Prev Aub'!A:A,O1555,'Prev Aub'!B:B)=0,"",SUMIF('Prev Aub'!A:A,O1555,'Prev Aub'!B:B))</f>
        <v/>
      </c>
      <c r="AN1555" s="25" t="s">
        <v>3790</v>
      </c>
      <c r="AO1555" s="25" t="s">
        <v>3790</v>
      </c>
      <c r="AP1555" s="25">
        <f t="shared" si="678"/>
        <v>0</v>
      </c>
      <c r="AQ1555" s="151" t="str">
        <f>IF(SUMIFS('Supp Consol'!S:S,'Supp Consol'!A:A,O1555,'Supp Consol'!I:I,"PENDING")=0,"",SUMIFS('Supp Consol'!S:S,'Supp Consol'!A:A,O1555,'Supp Consol'!I:I,"PENDING"))</f>
        <v/>
      </c>
      <c r="AR1555" s="27" t="str">
        <f t="shared" si="679"/>
        <v>WW120</v>
      </c>
      <c r="AS1555" s="27" t="str">
        <f t="shared" si="680"/>
        <v>50</v>
      </c>
      <c r="AT1555" s="27" t="str">
        <f t="shared" si="681"/>
        <v>WW120</v>
      </c>
      <c r="AU1555" s="27" t="str">
        <f t="shared" si="682"/>
        <v>WW120</v>
      </c>
      <c r="AV1555" s="27" t="str">
        <f t="shared" si="683"/>
        <v>WW120</v>
      </c>
      <c r="AW1555" s="27" t="str">
        <f t="shared" si="684"/>
        <v/>
      </c>
      <c r="AX1555" s="27" t="str">
        <f t="shared" si="685"/>
        <v/>
      </c>
      <c r="AY1555" s="27" t="str">
        <f t="shared" si="686"/>
        <v/>
      </c>
      <c r="AZ1555" s="27" t="str">
        <f t="shared" si="687"/>
        <v/>
      </c>
      <c r="BA1555" s="27" t="str">
        <f t="shared" si="688"/>
        <v/>
      </c>
      <c r="BB1555" s="27" t="str">
        <f t="shared" si="689"/>
        <v>Gross</v>
      </c>
      <c r="BC1555" s="27" t="str">
        <f t="shared" si="690"/>
        <v>Net</v>
      </c>
      <c r="BD1555" s="27" t="str">
        <f t="shared" si="691"/>
        <v>Net</v>
      </c>
      <c r="BE1555" s="27" t="str">
        <f t="shared" si="692"/>
        <v/>
      </c>
      <c r="BF1555" s="27" t="str">
        <f t="shared" si="693"/>
        <v/>
      </c>
      <c r="BG1555" s="27" t="str">
        <f t="shared" si="694"/>
        <v/>
      </c>
      <c r="BH1555" s="27" t="str">
        <f t="shared" si="695"/>
        <v/>
      </c>
      <c r="BI1555" s="27" t="str">
        <f t="shared" si="696"/>
        <v/>
      </c>
      <c r="BJ1555" s="27" t="str">
        <f t="shared" si="697"/>
        <v/>
      </c>
      <c r="BK1555" s="27" t="str">
        <f t="shared" si="698"/>
        <v/>
      </c>
      <c r="BL1555" s="27" t="str">
        <f t="shared" si="699"/>
        <v/>
      </c>
      <c r="BM1555" s="21" t="s">
        <v>5581</v>
      </c>
    </row>
    <row r="1556" spans="1:65" ht="15">
      <c r="A1556" s="25">
        <f>IFERROR(INDEX('Hun Demand'!W:W,MATCH(O1556,'Hun Demand'!A:A,0)),"")</f>
        <v>1315</v>
      </c>
      <c r="B1556" s="25">
        <f>IFERROR(INDEX('Hun Demand'!V:V,MATCH(O1556,'Hun Demand'!A:A,0)),"")</f>
        <v>2187</v>
      </c>
      <c r="C1556" s="25">
        <f>IFERROR(INDEX('Hun Demand'!U:U,MATCH(O1556,'Hun Demand'!A:A,0)),"")</f>
        <v>1316</v>
      </c>
      <c r="D1556" s="25">
        <f>IFERROR(INDEX('Hun Demand'!T:T,MATCH(O1556,'Hun Demand'!A:A,0)),"")</f>
        <v>736</v>
      </c>
      <c r="E1556" s="25">
        <f>IFERROR(INDEX('Hun Demand'!S:S,MATCH(O1556,'Hun Demand'!A:A,0)),"")</f>
        <v>823</v>
      </c>
      <c r="F1556" s="25">
        <f>IFERROR(INDEX('Hun Demand'!R:R,MATCH(O1556,'Hun Demand'!A:A,0)),"")</f>
        <v>0</v>
      </c>
      <c r="G1556" s="25">
        <f>IFERROR(INDEX('Aub Demand'!W:W,MATCH(O1556,'Aub Demand'!A:A,0)),"")</f>
        <v>68</v>
      </c>
      <c r="H1556" s="25">
        <f>IFERROR(INDEX('Aub Demand'!V:V,MATCH(O1556,'Aub Demand'!A:A,0)),"")</f>
        <v>42</v>
      </c>
      <c r="I1556" s="25">
        <f>IFERROR(INDEX('Aub Demand'!U:U,MATCH(O1556,'Aub Demand'!A:A,0)),"")</f>
        <v>83</v>
      </c>
      <c r="J1556" s="25">
        <f>IFERROR(INDEX('Aub Demand'!T:T,MATCH(O1556,'Aub Demand'!A:A,0)),"")</f>
        <v>2299</v>
      </c>
      <c r="K1556" s="25">
        <f>IFERROR(INDEX('Aub Demand'!S:S,MATCH(O1556,'Aub Demand'!A:A,0)),"")</f>
        <v>886</v>
      </c>
      <c r="L1556" s="25">
        <f>IFERROR(INDEX('Aub Demand'!R:R,MATCH(O1556,'Aub Demand'!A:A,0)),"")</f>
        <v>1322</v>
      </c>
      <c r="O1556" s="27" t="s">
        <v>1868</v>
      </c>
      <c r="P1556" s="27" t="str">
        <f>IFERROR(INDEX('Aub Demand'!B:B,MATCH($O1556,'Aub Demand'!$A:$A,0)),"")</f>
        <v>A GOOD BOOK</v>
      </c>
      <c r="Q1556" s="27" t="str">
        <f>IFERROR(INDEX('Aub Demand'!C:C,MATCH($O1556,'Aub Demand'!$A:$A,0)),"")</f>
        <v>LAMIG</v>
      </c>
      <c r="R1556" s="52">
        <f>IFERROR(IF(AR1557=AR1556,INDEX('Aub Demand'!K:K,MATCH($O1556,'Aub Demand'!$A:$A,0))-IF(AN1556="",0,AN1556)+AP1557,INDEX('Aub Demand'!K:K,MATCH($O1556,'Aub Demand'!$A:$A,0))-IF(AN1556="",0,AN1556)),"")</f>
        <v>4951</v>
      </c>
      <c r="S1556" s="53">
        <f t="shared" si="672"/>
        <v>19.5</v>
      </c>
      <c r="T1556" s="52" t="str">
        <f t="shared" si="673"/>
        <v/>
      </c>
      <c r="U1556" s="52">
        <f>IFERROR(IF(AR1557=AR1556,INDEX('Aub Demand'!Q:Q,MATCH($O1556,'Aub Demand'!$A:$A,0))-IF(AN1556="",0,AN1556)+AP1557,INDEX('Aub Demand'!Q:Q,MATCH($O1556,'Aub Demand'!$A:$A,0))-IF(AN1556="",0,AN1556)),"")</f>
        <v>4951</v>
      </c>
      <c r="V1556" s="53">
        <f t="shared" si="674"/>
        <v>19.5</v>
      </c>
      <c r="W1556" s="52" t="str">
        <f t="shared" si="675"/>
        <v/>
      </c>
      <c r="X1556" s="52">
        <f>IFERROR(IF(AND(AR1557=AR1556,AM1556&lt;&gt;""),INDEX('Aub Demand'!Q:Q,MATCH($O1556,'Aub Demand'!$A:$A,0))-IF(AN1556="",0,AN1556)+AP1557+AD1556+AL1556,IF(AR1557=AR1556,INDEX('Aub Demand'!Q:Q,MATCH($O1556,'Aub Demand'!$A:$A,0))-IF(AN1556="",0,AN1556)+AP1557+AD1556,IF(AM1556&lt;&gt;"",INDEX('Aub Demand'!Q:Q,MATCH($O1556,'Aub Demand'!$A:$A,0))-IF(AN1556="",0,AN1556)+AD1556+AL1556,INDEX('Aub Demand'!Q:Q,MATCH($O1556,'Aub Demand'!$A:$A,0))-IF(AN1556="",0,AN1556)+AD1556))),"")</f>
        <v>4951</v>
      </c>
      <c r="Y1556" s="53">
        <f t="shared" si="676"/>
        <v>19.5</v>
      </c>
      <c r="Z1556" s="52">
        <f>IF(L1556="","",INDEX('Aub Demand'!H:H,MATCH($O1556,'Aub Demand'!$A:$A,0)))</f>
        <v>1089</v>
      </c>
      <c r="AA1556" s="52">
        <f t="shared" si="677"/>
        <v>1810.5</v>
      </c>
      <c r="AB1556" s="52">
        <f>IFERROR(INDEX('Aub Demand'!L:L,MATCH($O1556,'Aub Demand'!$A:$A,0)),"")</f>
        <v>29</v>
      </c>
      <c r="AC1556" s="52">
        <f>IFERROR(IF(O1556="","",SUMIFS('CPL Mats'!F:F,'CPL Mats'!Q:Q,AR1556,'CPL Mats'!S:S,AS1556)),"")</f>
        <v>0</v>
      </c>
      <c r="AF1556" s="25" t="str">
        <f>IF(SUMIFS('Supp Consol'!S:S,'Supp Consol'!Y:Y,"Releasable",'Supp Consol'!A:A,O1556)=0,"",SUMIFS('Supp Consol'!S:S,'Supp Consol'!Y:Y,"Releasable",'Supp Consol'!A:A,O1556))</f>
        <v/>
      </c>
      <c r="AG1556" s="25">
        <f>IFERROR(INDEX('Hun Demand'!Q:Q,MATCH(O1556,'Hun Demand'!A:A,0)),"")</f>
        <v>280</v>
      </c>
      <c r="AH1556" s="25">
        <f>IFERROR(INDEX('Hun Demand'!H:H,MATCH($O1556,'Hun Demand'!$A:$A,0)),"")</f>
        <v>958</v>
      </c>
      <c r="AI1556" s="25" t="str">
        <f>IF(SUMIFS('Supp Consol'!AA:AA,'Supp Consol'!Z:Z,"Expires this month",'Supp Consol'!A:A,O1556)=0,"",SUMIFS('Supp Consol'!AA:AA,'Supp Consol'!Z:Z,"Expires this month",'Supp Consol'!A:A,O1556))</f>
        <v/>
      </c>
      <c r="AJ1556" s="25" t="str">
        <f>IF(SUMIFS('Supp Consol'!AA:AA,'Supp Consol'!Z:Z,"Expired Previous Months",'Supp Consol'!A:A,O1556)=0,"",SUMIFS('Supp Consol'!AA:AA,'Supp Consol'!Z:Z,"Expired Previous Months",'Supp Consol'!A:A,O1556))</f>
        <v/>
      </c>
      <c r="AK1556" s="25" t="str">
        <f>IFERROR(INDEX('Hun Release Current'!B:B,MATCH(O1556,'Hun Release Current'!A:A,0)),"")</f>
        <v/>
      </c>
      <c r="AL1556" s="25" t="str">
        <f>IF(SUMIF('Prev Aub'!A:A,O1556,'Prev Aub'!B:B)=0,"",SUMIF('Prev Aub'!A:A,O1556,'Prev Aub'!B:B))</f>
        <v/>
      </c>
      <c r="AN1556" s="25" t="s">
        <v>3790</v>
      </c>
      <c r="AO1556" s="25" t="s">
        <v>3790</v>
      </c>
      <c r="AP1556" s="25">
        <f t="shared" si="678"/>
        <v>0</v>
      </c>
      <c r="AQ1556" s="151" t="str">
        <f>IF(SUMIFS('Supp Consol'!S:S,'Supp Consol'!A:A,O1556,'Supp Consol'!I:I,"PENDING")=0,"",SUMIFS('Supp Consol'!S:S,'Supp Consol'!A:A,O1556,'Supp Consol'!I:I,"PENDING"))</f>
        <v/>
      </c>
      <c r="AR1556" s="27" t="str">
        <f t="shared" si="679"/>
        <v>WW120</v>
      </c>
      <c r="AS1556" s="27" t="str">
        <f t="shared" si="680"/>
        <v>62</v>
      </c>
      <c r="AT1556" s="27" t="str">
        <f t="shared" si="681"/>
        <v/>
      </c>
      <c r="AU1556" s="27" t="str">
        <f t="shared" si="682"/>
        <v/>
      </c>
      <c r="AV1556" s="27" t="str">
        <f t="shared" si="683"/>
        <v/>
      </c>
      <c r="AW1556" s="27" t="str">
        <f t="shared" si="684"/>
        <v/>
      </c>
      <c r="AX1556" s="27" t="str">
        <f t="shared" si="685"/>
        <v/>
      </c>
      <c r="AY1556" s="27" t="str">
        <f t="shared" si="686"/>
        <v/>
      </c>
      <c r="AZ1556" s="27" t="str">
        <f t="shared" si="687"/>
        <v/>
      </c>
      <c r="BA1556" s="27" t="str">
        <f t="shared" si="688"/>
        <v/>
      </c>
      <c r="BB1556" s="27" t="str">
        <f t="shared" si="689"/>
        <v>Gross</v>
      </c>
      <c r="BC1556" s="27" t="str">
        <f t="shared" si="690"/>
        <v>Net</v>
      </c>
      <c r="BD1556" s="27" t="str">
        <f t="shared" si="691"/>
        <v>Net</v>
      </c>
      <c r="BE1556" s="27" t="str">
        <f t="shared" si="692"/>
        <v/>
      </c>
      <c r="BF1556" s="27" t="str">
        <f t="shared" si="693"/>
        <v/>
      </c>
      <c r="BG1556" s="27" t="str">
        <f t="shared" si="694"/>
        <v/>
      </c>
      <c r="BH1556" s="27" t="str">
        <f t="shared" si="695"/>
        <v/>
      </c>
      <c r="BI1556" s="27" t="str">
        <f t="shared" si="696"/>
        <v/>
      </c>
      <c r="BJ1556" s="27" t="str">
        <f t="shared" si="697"/>
        <v/>
      </c>
      <c r="BK1556" s="27" t="str">
        <f t="shared" si="698"/>
        <v/>
      </c>
      <c r="BL1556" s="27" t="str">
        <f t="shared" si="699"/>
        <v/>
      </c>
      <c r="BM1556" s="21" t="s">
        <v>5581</v>
      </c>
    </row>
    <row r="1557" spans="1:65" ht="15">
      <c r="A1557" s="25">
        <f>IFERROR(INDEX('Hun Demand'!W:W,MATCH(O1557,'Hun Demand'!A:A,0)),"")</f>
        <v>0</v>
      </c>
      <c r="B1557" s="25">
        <f>IFERROR(INDEX('Hun Demand'!V:V,MATCH(O1557,'Hun Demand'!A:A,0)),"")</f>
        <v>147</v>
      </c>
      <c r="C1557" s="25">
        <f>IFERROR(INDEX('Hun Demand'!U:U,MATCH(O1557,'Hun Demand'!A:A,0)),"")</f>
        <v>0</v>
      </c>
      <c r="D1557" s="25">
        <f>IFERROR(INDEX('Hun Demand'!T:T,MATCH(O1557,'Hun Demand'!A:A,0)),"")</f>
        <v>0</v>
      </c>
      <c r="E1557" s="25">
        <f>IFERROR(INDEX('Hun Demand'!S:S,MATCH(O1557,'Hun Demand'!A:A,0)),"")</f>
        <v>0</v>
      </c>
      <c r="F1557" s="25">
        <f>IFERROR(INDEX('Hun Demand'!R:R,MATCH(O1557,'Hun Demand'!A:A,0)),"")</f>
        <v>0</v>
      </c>
      <c r="G1557" s="25">
        <f>IFERROR(INDEX('Aub Demand'!W:W,MATCH(O1557,'Aub Demand'!A:A,0)),"")</f>
        <v>1169</v>
      </c>
      <c r="H1557" s="25">
        <f>IFERROR(INDEX('Aub Demand'!V:V,MATCH(O1557,'Aub Demand'!A:A,0)),"")</f>
        <v>33</v>
      </c>
      <c r="I1557" s="25">
        <f>IFERROR(INDEX('Aub Demand'!U:U,MATCH(O1557,'Aub Demand'!A:A,0)),"")</f>
        <v>490</v>
      </c>
      <c r="J1557" s="25">
        <f>IFERROR(INDEX('Aub Demand'!T:T,MATCH(O1557,'Aub Demand'!A:A,0)),"")</f>
        <v>104</v>
      </c>
      <c r="K1557" s="25">
        <f>IFERROR(INDEX('Aub Demand'!S:S,MATCH(O1557,'Aub Demand'!A:A,0)),"")</f>
        <v>217</v>
      </c>
      <c r="L1557" s="25">
        <f>IFERROR(INDEX('Aub Demand'!R:R,MATCH(O1557,'Aub Demand'!A:A,0)),"")</f>
        <v>49</v>
      </c>
      <c r="O1557" s="27" t="s">
        <v>1869</v>
      </c>
      <c r="P1557" s="27" t="str">
        <f>IFERROR(INDEX('Aub Demand'!B:B,MATCH($O1557,'Aub Demand'!$A:$A,0)),"")</f>
        <v>PRALINES &amp; CREAM</v>
      </c>
      <c r="Q1557" s="27" t="str">
        <f>IFERROR(INDEX('Aub Demand'!C:C,MATCH($O1557,'Aub Demand'!$A:$A,0)),"")</f>
        <v>LAMIG</v>
      </c>
      <c r="R1557" s="52">
        <f>IFERROR(IF(AR1558=AR1557,INDEX('Aub Demand'!K:K,MATCH($O1557,'Aub Demand'!$A:$A,0))-IF(AN1557="",0,AN1557)+AP1558,INDEX('Aub Demand'!K:K,MATCH($O1557,'Aub Demand'!$A:$A,0))-IF(AN1557="",0,AN1557)),"")</f>
        <v>244</v>
      </c>
      <c r="S1557" s="53">
        <f t="shared" si="672"/>
        <v>3.9</v>
      </c>
      <c r="T1557" s="52" t="str">
        <f t="shared" si="673"/>
        <v/>
      </c>
      <c r="U1557" s="52">
        <f>IFERROR(IF(AR1558=AR1557,INDEX('Aub Demand'!Q:Q,MATCH($O1557,'Aub Demand'!$A:$A,0))-IF(AN1557="",0,AN1557)+AP1558,INDEX('Aub Demand'!Q:Q,MATCH($O1557,'Aub Demand'!$A:$A,0))-IF(AN1557="",0,AN1557)),"")</f>
        <v>-72</v>
      </c>
      <c r="V1557" s="53">
        <f t="shared" si="674"/>
        <v>-1.1000000000000001</v>
      </c>
      <c r="W1557" s="52">
        <f t="shared" si="675"/>
        <v>362.33749999999998</v>
      </c>
      <c r="X1557" s="52">
        <f>IFERROR(IF(AND(AR1558=AR1557,AM1557&lt;&gt;""),INDEX('Aub Demand'!Q:Q,MATCH($O1557,'Aub Demand'!$A:$A,0))-IF(AN1557="",0,AN1557)+AP1558+AD1557+AL1557,IF(AR1558=AR1557,INDEX('Aub Demand'!Q:Q,MATCH($O1557,'Aub Demand'!$A:$A,0))-IF(AN1557="",0,AN1557)+AP1558+AD1557,IF(AM1557&lt;&gt;"",INDEX('Aub Demand'!Q:Q,MATCH($O1557,'Aub Demand'!$A:$A,0))-IF(AN1557="",0,AN1557)+AD1557+AL1557,INDEX('Aub Demand'!Q:Q,MATCH($O1557,'Aub Demand'!$A:$A,0))-IF(AN1557="",0,AN1557)+AD1557))),"")</f>
        <v>428</v>
      </c>
      <c r="Y1557" s="53">
        <f t="shared" si="676"/>
        <v>6.8</v>
      </c>
      <c r="Z1557" s="52">
        <f>IF(L1557="","",INDEX('Aub Demand'!H:H,MATCH($O1557,'Aub Demand'!$A:$A,0)))</f>
        <v>270</v>
      </c>
      <c r="AA1557" s="52">
        <f t="shared" si="677"/>
        <v>353.5</v>
      </c>
      <c r="AB1557" s="52">
        <f>IFERROR(INDEX('Aub Demand'!L:L,MATCH($O1557,'Aub Demand'!$A:$A,0)),"")</f>
        <v>225</v>
      </c>
      <c r="AC1557" s="52">
        <f>IFERROR(IF(O1557="","",SUMIFS('CPL Mats'!F:F,'CPL Mats'!Q:Q,AR1557,'CPL Mats'!S:S,AS1557)),"")</f>
        <v>2226.25</v>
      </c>
      <c r="AD1557" s="25">
        <v>500</v>
      </c>
      <c r="AE1557" s="52" t="s">
        <v>5583</v>
      </c>
      <c r="AF1557" s="25">
        <f>IF(SUMIFS('Supp Consol'!S:S,'Supp Consol'!Y:Y,"Releasable",'Supp Consol'!A:A,O1557)=0,"",SUMIFS('Supp Consol'!S:S,'Supp Consol'!Y:Y,"Releasable",'Supp Consol'!A:A,O1557))</f>
        <v>1316</v>
      </c>
      <c r="AG1557" s="25">
        <f>IFERROR(INDEX('Hun Demand'!Q:Q,MATCH(O1557,'Hun Demand'!A:A,0)),"")</f>
        <v>516</v>
      </c>
      <c r="AH1557" s="25">
        <f>IFERROR(INDEX('Hun Demand'!H:H,MATCH($O1557,'Hun Demand'!$A:$A,0)),"")</f>
        <v>0</v>
      </c>
      <c r="AI1557" s="25" t="str">
        <f>IF(SUMIFS('Supp Consol'!AA:AA,'Supp Consol'!Z:Z,"Expires this month",'Supp Consol'!A:A,O1557)=0,"",SUMIFS('Supp Consol'!AA:AA,'Supp Consol'!Z:Z,"Expires this month",'Supp Consol'!A:A,O1557))</f>
        <v/>
      </c>
      <c r="AJ1557" s="25">
        <f>IF(SUMIFS('Supp Consol'!AA:AA,'Supp Consol'!Z:Z,"Expired Previous Months",'Supp Consol'!A:A,O1557)=0,"",SUMIFS('Supp Consol'!AA:AA,'Supp Consol'!Z:Z,"Expired Previous Months",'Supp Consol'!A:A,O1557))</f>
        <v>1316</v>
      </c>
      <c r="AK1557" s="25" t="str">
        <f>IFERROR(INDEX('Hun Release Current'!B:B,MATCH(O1557,'Hun Release Current'!A:A,0)),"")</f>
        <v/>
      </c>
      <c r="AL1557" s="25" t="str">
        <f>IF(SUMIF('Prev Aub'!A:A,O1557,'Prev Aub'!B:B)=0,"",SUMIF('Prev Aub'!A:A,O1557,'Prev Aub'!B:B))</f>
        <v/>
      </c>
      <c r="AN1557" s="25" t="s">
        <v>3790</v>
      </c>
      <c r="AO1557" s="25" t="s">
        <v>3790</v>
      </c>
      <c r="AP1557" s="25">
        <f t="shared" si="678"/>
        <v>0</v>
      </c>
      <c r="AQ1557" s="151" t="str">
        <f>IF(SUMIFS('Supp Consol'!S:S,'Supp Consol'!A:A,O1557,'Supp Consol'!I:I,"PENDING")=0,"",SUMIFS('Supp Consol'!S:S,'Supp Consol'!A:A,O1557,'Supp Consol'!I:I,"PENDING"))</f>
        <v/>
      </c>
      <c r="AR1557" s="27" t="str">
        <f t="shared" si="679"/>
        <v>WW160</v>
      </c>
      <c r="AS1557" s="27" t="str">
        <f t="shared" si="680"/>
        <v>50</v>
      </c>
      <c r="AT1557" s="27" t="str">
        <f t="shared" si="681"/>
        <v/>
      </c>
      <c r="AU1557" s="27" t="str">
        <f t="shared" si="682"/>
        <v/>
      </c>
      <c r="AV1557" s="27" t="str">
        <f t="shared" si="683"/>
        <v/>
      </c>
      <c r="AW1557" s="27" t="str">
        <f t="shared" si="684"/>
        <v/>
      </c>
      <c r="AX1557" s="27" t="str">
        <f t="shared" si="685"/>
        <v>WW160</v>
      </c>
      <c r="AY1557" s="27" t="str">
        <f t="shared" si="686"/>
        <v>WW160</v>
      </c>
      <c r="AZ1557" s="27" t="str">
        <f t="shared" si="687"/>
        <v>Supp</v>
      </c>
      <c r="BA1557" s="27" t="str">
        <f t="shared" si="688"/>
        <v>Hun</v>
      </c>
      <c r="BB1557" s="27" t="str">
        <f t="shared" si="689"/>
        <v/>
      </c>
      <c r="BC1557" s="27" t="str">
        <f t="shared" si="690"/>
        <v/>
      </c>
      <c r="BD1557" s="27" t="str">
        <f t="shared" si="691"/>
        <v/>
      </c>
      <c r="BE1557" s="27" t="str">
        <f t="shared" si="692"/>
        <v/>
      </c>
      <c r="BF1557" s="27" t="str">
        <f t="shared" si="693"/>
        <v/>
      </c>
      <c r="BG1557" s="27" t="str">
        <f t="shared" si="694"/>
        <v/>
      </c>
      <c r="BH1557" s="27" t="str">
        <f t="shared" si="695"/>
        <v/>
      </c>
      <c r="BI1557" s="27" t="str">
        <f t="shared" si="696"/>
        <v/>
      </c>
      <c r="BJ1557" s="27" t="str">
        <f t="shared" si="697"/>
        <v>Supp or Hun</v>
      </c>
      <c r="BK1557" s="27" t="str">
        <f t="shared" si="698"/>
        <v/>
      </c>
      <c r="BL1557" s="27" t="str">
        <f t="shared" si="699"/>
        <v/>
      </c>
      <c r="BM1557" s="21" t="s">
        <v>5581</v>
      </c>
    </row>
    <row r="1558" spans="1:65" ht="15">
      <c r="A1558" s="25" t="str">
        <f>IFERROR(INDEX('Hun Demand'!W:W,MATCH(O1558,'Hun Demand'!A:A,0)),"")</f>
        <v/>
      </c>
      <c r="B1558" s="25" t="str">
        <f>IFERROR(INDEX('Hun Demand'!V:V,MATCH(O1558,'Hun Demand'!A:A,0)),"")</f>
        <v/>
      </c>
      <c r="C1558" s="25" t="str">
        <f>IFERROR(INDEX('Hun Demand'!U:U,MATCH(O1558,'Hun Demand'!A:A,0)),"")</f>
        <v/>
      </c>
      <c r="D1558" s="25" t="str">
        <f>IFERROR(INDEX('Hun Demand'!T:T,MATCH(O1558,'Hun Demand'!A:A,0)),"")</f>
        <v/>
      </c>
      <c r="E1558" s="25" t="str">
        <f>IFERROR(INDEX('Hun Demand'!S:S,MATCH(O1558,'Hun Demand'!A:A,0)),"")</f>
        <v/>
      </c>
      <c r="F1558" s="25" t="str">
        <f>IFERROR(INDEX('Hun Demand'!R:R,MATCH(O1558,'Hun Demand'!A:A,0)),"")</f>
        <v/>
      </c>
      <c r="G1558" s="25">
        <f>IFERROR(INDEX('Aub Demand'!W:W,MATCH(O1558,'Aub Demand'!A:A,0)),"")</f>
        <v>120</v>
      </c>
      <c r="H1558" s="25">
        <f>IFERROR(INDEX('Aub Demand'!V:V,MATCH(O1558,'Aub Demand'!A:A,0)),"")</f>
        <v>44</v>
      </c>
      <c r="I1558" s="25">
        <f>IFERROR(INDEX('Aub Demand'!U:U,MATCH(O1558,'Aub Demand'!A:A,0)),"")</f>
        <v>0</v>
      </c>
      <c r="J1558" s="25">
        <f>IFERROR(INDEX('Aub Demand'!T:T,MATCH(O1558,'Aub Demand'!A:A,0)),"")</f>
        <v>276</v>
      </c>
      <c r="K1558" s="25">
        <f>IFERROR(INDEX('Aub Demand'!S:S,MATCH(O1558,'Aub Demand'!A:A,0)),"")</f>
        <v>0</v>
      </c>
      <c r="L1558" s="25">
        <f>IFERROR(INDEX('Aub Demand'!R:R,MATCH(O1558,'Aub Demand'!A:A,0)),"")</f>
        <v>0</v>
      </c>
      <c r="O1558" s="27" t="s">
        <v>1871</v>
      </c>
      <c r="P1558" s="27" t="str">
        <f>IFERROR(INDEX('Aub Demand'!B:B,MATCH($O1558,'Aub Demand'!$A:$A,0)),"")</f>
        <v>PRALINES &amp; CREAM</v>
      </c>
      <c r="Q1558" s="27" t="str">
        <f>IFERROR(INDEX('Aub Demand'!C:C,MATCH($O1558,'Aub Demand'!$A:$A,0)),"")</f>
        <v>LAMIG</v>
      </c>
      <c r="R1558" s="52">
        <f>IFERROR(IF(AR1559=AR1558,INDEX('Aub Demand'!K:K,MATCH($O1558,'Aub Demand'!$A:$A,0))-IF(AN1558="",0,AN1558)+AP1559,INDEX('Aub Demand'!K:K,MATCH($O1558,'Aub Demand'!$A:$A,0))-IF(AN1558="",0,AN1558)),"")</f>
        <v>2094</v>
      </c>
      <c r="S1558" s="53">
        <f t="shared" si="672"/>
        <v>97.5</v>
      </c>
      <c r="T1558" s="52" t="str">
        <f t="shared" si="673"/>
        <v/>
      </c>
      <c r="U1558" s="52">
        <f>IFERROR(IF(AR1559=AR1558,INDEX('Aub Demand'!Q:Q,MATCH($O1558,'Aub Demand'!$A:$A,0))-IF(AN1558="",0,AN1558)+AP1559,INDEX('Aub Demand'!Q:Q,MATCH($O1558,'Aub Demand'!$A:$A,0))-IF(AN1558="",0,AN1558)),"")</f>
        <v>2086</v>
      </c>
      <c r="V1558" s="53">
        <f t="shared" si="674"/>
        <v>97.2</v>
      </c>
      <c r="W1558" s="52" t="str">
        <f t="shared" si="675"/>
        <v/>
      </c>
      <c r="X1558" s="52">
        <f>IFERROR(IF(AND(AR1559=AR1558,AM1558&lt;&gt;""),INDEX('Aub Demand'!Q:Q,MATCH($O1558,'Aub Demand'!$A:$A,0))-IF(AN1558="",0,AN1558)+AP1559+AD1558+AL1558,IF(AR1559=AR1558,INDEX('Aub Demand'!Q:Q,MATCH($O1558,'Aub Demand'!$A:$A,0))-IF(AN1558="",0,AN1558)+AP1559+AD1558,IF(AM1558&lt;&gt;"",INDEX('Aub Demand'!Q:Q,MATCH($O1558,'Aub Demand'!$A:$A,0))-IF(AN1558="",0,AN1558)+AD1558+AL1558,INDEX('Aub Demand'!Q:Q,MATCH($O1558,'Aub Demand'!$A:$A,0))-IF(AN1558="",0,AN1558)+AD1558))),"")</f>
        <v>2086</v>
      </c>
      <c r="Y1558" s="53">
        <f t="shared" si="676"/>
        <v>97.2</v>
      </c>
      <c r="Z1558" s="52">
        <f>IF(L1558="","",INDEX('Aub Demand'!H:H,MATCH($O1558,'Aub Demand'!$A:$A,0)))</f>
        <v>92</v>
      </c>
      <c r="AA1558" s="52" t="str">
        <f t="shared" si="677"/>
        <v>-spike-</v>
      </c>
      <c r="AB1558" s="52">
        <f>IFERROR(INDEX('Aub Demand'!L:L,MATCH($O1558,'Aub Demand'!$A:$A,0)),"")</f>
        <v>32</v>
      </c>
      <c r="AC1558" s="52">
        <f>IFERROR(IF(O1558="","",SUMIFS('CPL Mats'!F:F,'CPL Mats'!Q:Q,AR1558,'CPL Mats'!S:S,AS1558)),"")</f>
        <v>13.19</v>
      </c>
      <c r="AF1558" s="25">
        <f>IF(SUMIFS('Supp Consol'!S:S,'Supp Consol'!Y:Y,"Releasable",'Supp Consol'!A:A,O1558)=0,"",SUMIFS('Supp Consol'!S:S,'Supp Consol'!Y:Y,"Releasable",'Supp Consol'!A:A,O1558))</f>
        <v>728</v>
      </c>
      <c r="AG1558" s="25" t="str">
        <f>IFERROR(INDEX('Hun Demand'!Q:Q,MATCH(O1558,'Hun Demand'!A:A,0)),"")</f>
        <v/>
      </c>
      <c r="AH1558" s="25" t="str">
        <f>IFERROR(INDEX('Hun Demand'!H:H,MATCH($O1558,'Hun Demand'!$A:$A,0)),"")</f>
        <v/>
      </c>
      <c r="AI1558" s="25" t="str">
        <f>IF(SUMIFS('Supp Consol'!AA:AA,'Supp Consol'!Z:Z,"Expires this month",'Supp Consol'!A:A,O1558)=0,"",SUMIFS('Supp Consol'!AA:AA,'Supp Consol'!Z:Z,"Expires this month",'Supp Consol'!A:A,O1558))</f>
        <v/>
      </c>
      <c r="AJ1558" s="25">
        <f>IF(SUMIFS('Supp Consol'!AA:AA,'Supp Consol'!Z:Z,"Expired Previous Months",'Supp Consol'!A:A,O1558)=0,"",SUMIFS('Supp Consol'!AA:AA,'Supp Consol'!Z:Z,"Expired Previous Months",'Supp Consol'!A:A,O1558))</f>
        <v>700</v>
      </c>
      <c r="AK1558" s="25" t="str">
        <f>IFERROR(INDEX('Hun Release Current'!B:B,MATCH(O1558,'Hun Release Current'!A:A,0)),"")</f>
        <v/>
      </c>
      <c r="AL1558" s="25" t="str">
        <f>IF(SUMIF('Prev Aub'!A:A,O1558,'Prev Aub'!B:B)=0,"",SUMIF('Prev Aub'!A:A,O1558,'Prev Aub'!B:B))</f>
        <v/>
      </c>
      <c r="AN1558" s="25" t="s">
        <v>3790</v>
      </c>
      <c r="AO1558" s="25" t="s">
        <v>3790</v>
      </c>
      <c r="AP1558" s="25">
        <f t="shared" si="678"/>
        <v>0</v>
      </c>
      <c r="AQ1558" s="151" t="str">
        <f>IF(SUMIFS('Supp Consol'!S:S,'Supp Consol'!A:A,O1558,'Supp Consol'!I:I,"PENDING")=0,"",SUMIFS('Supp Consol'!S:S,'Supp Consol'!A:A,O1558,'Supp Consol'!I:I,"PENDING"))</f>
        <v/>
      </c>
      <c r="AR1558" s="27" t="str">
        <f t="shared" si="679"/>
        <v>WW160</v>
      </c>
      <c r="AS1558" s="27" t="str">
        <f t="shared" si="680"/>
        <v>62</v>
      </c>
      <c r="AT1558" s="27" t="str">
        <f t="shared" si="681"/>
        <v/>
      </c>
      <c r="AU1558" s="27" t="str">
        <f t="shared" si="682"/>
        <v/>
      </c>
      <c r="AV1558" s="27" t="str">
        <f t="shared" si="683"/>
        <v/>
      </c>
      <c r="AW1558" s="27" t="str">
        <f t="shared" si="684"/>
        <v/>
      </c>
      <c r="AX1558" s="27" t="str">
        <f t="shared" si="685"/>
        <v>WW160</v>
      </c>
      <c r="AY1558" s="27" t="str">
        <f t="shared" si="686"/>
        <v/>
      </c>
      <c r="AZ1558" s="27" t="str">
        <f t="shared" si="687"/>
        <v>Supp</v>
      </c>
      <c r="BA1558" s="27" t="str">
        <f t="shared" si="688"/>
        <v>Hun</v>
      </c>
      <c r="BB1558" s="27" t="str">
        <f t="shared" si="689"/>
        <v/>
      </c>
      <c r="BC1558" s="27" t="str">
        <f t="shared" si="690"/>
        <v/>
      </c>
      <c r="BD1558" s="27" t="str">
        <f t="shared" si="691"/>
        <v/>
      </c>
      <c r="BE1558" s="27" t="str">
        <f t="shared" si="692"/>
        <v/>
      </c>
      <c r="BF1558" s="27" t="str">
        <f t="shared" si="693"/>
        <v/>
      </c>
      <c r="BG1558" s="27" t="str">
        <f t="shared" si="694"/>
        <v/>
      </c>
      <c r="BH1558" s="27" t="str">
        <f t="shared" si="695"/>
        <v/>
      </c>
      <c r="BI1558" s="27" t="str">
        <f t="shared" si="696"/>
        <v/>
      </c>
      <c r="BJ1558" s="27" t="str">
        <f t="shared" si="697"/>
        <v>Supp or Hun</v>
      </c>
      <c r="BK1558" s="27" t="str">
        <f t="shared" si="698"/>
        <v/>
      </c>
      <c r="BL1558" s="27" t="str">
        <f t="shared" si="699"/>
        <v/>
      </c>
      <c r="BM1558" s="21" t="s">
        <v>5581</v>
      </c>
    </row>
    <row r="1559" spans="1:65" ht="15">
      <c r="A1559" s="25">
        <f>IFERROR(INDEX('Hun Demand'!W:W,MATCH(O1559,'Hun Demand'!A:A,0)),"")</f>
        <v>150</v>
      </c>
      <c r="B1559" s="25">
        <f>IFERROR(INDEX('Hun Demand'!V:V,MATCH(O1559,'Hun Demand'!A:A,0)),"")</f>
        <v>0</v>
      </c>
      <c r="C1559" s="25">
        <f>IFERROR(INDEX('Hun Demand'!U:U,MATCH(O1559,'Hun Demand'!A:A,0)),"")</f>
        <v>47</v>
      </c>
      <c r="D1559" s="25">
        <f>IFERROR(INDEX('Hun Demand'!T:T,MATCH(O1559,'Hun Demand'!A:A,0)),"")</f>
        <v>0</v>
      </c>
      <c r="E1559" s="25">
        <f>IFERROR(INDEX('Hun Demand'!S:S,MATCH(O1559,'Hun Demand'!A:A,0)),"")</f>
        <v>0</v>
      </c>
      <c r="F1559" s="25">
        <f>IFERROR(INDEX('Hun Demand'!R:R,MATCH(O1559,'Hun Demand'!A:A,0)),"")</f>
        <v>0</v>
      </c>
      <c r="G1559" s="25">
        <f>IFERROR(INDEX('Aub Demand'!W:W,MATCH(O1559,'Aub Demand'!A:A,0)),"")</f>
        <v>63</v>
      </c>
      <c r="H1559" s="25">
        <f>IFERROR(INDEX('Aub Demand'!V:V,MATCH(O1559,'Aub Demand'!A:A,0)),"")</f>
        <v>7</v>
      </c>
      <c r="I1559" s="25">
        <f>IFERROR(INDEX('Aub Demand'!U:U,MATCH(O1559,'Aub Demand'!A:A,0)),"")</f>
        <v>57</v>
      </c>
      <c r="J1559" s="25">
        <f>IFERROR(INDEX('Aub Demand'!T:T,MATCH(O1559,'Aub Demand'!A:A,0)),"")</f>
        <v>0</v>
      </c>
      <c r="K1559" s="25">
        <f>IFERROR(INDEX('Aub Demand'!S:S,MATCH(O1559,'Aub Demand'!A:A,0)),"")</f>
        <v>23</v>
      </c>
      <c r="L1559" s="25">
        <f>IFERROR(INDEX('Aub Demand'!R:R,MATCH(O1559,'Aub Demand'!A:A,0)),"")</f>
        <v>0</v>
      </c>
      <c r="O1559" s="27" t="s">
        <v>1872</v>
      </c>
      <c r="P1559" s="27" t="str">
        <f>IFERROR(INDEX('Aub Demand'!B:B,MATCH($O1559,'Aub Demand'!$A:$A,0)),"")</f>
        <v>OATMEAL COOKIE</v>
      </c>
      <c r="Q1559" s="27" t="str">
        <f>IFERROR(INDEX('Aub Demand'!C:C,MATCH($O1559,'Aub Demand'!$A:$A,0)),"")</f>
        <v>LAMIG</v>
      </c>
      <c r="R1559" s="52">
        <f>IFERROR(IF(AR1560=AR1559,INDEX('Aub Demand'!K:K,MATCH($O1559,'Aub Demand'!$A:$A,0))-IF(AN1559="",0,AN1559)+AP1560,INDEX('Aub Demand'!K:K,MATCH($O1559,'Aub Demand'!$A:$A,0))-IF(AN1559="",0,AN1559)),"")</f>
        <v>678</v>
      </c>
      <c r="S1559" s="53">
        <f t="shared" si="672"/>
        <v>107.6</v>
      </c>
      <c r="T1559" s="52" t="str">
        <f t="shared" si="673"/>
        <v/>
      </c>
      <c r="U1559" s="52">
        <f>IFERROR(IF(AR1560=AR1559,INDEX('Aub Demand'!Q:Q,MATCH($O1559,'Aub Demand'!$A:$A,0))-IF(AN1559="",0,AN1559)+AP1560,INDEX('Aub Demand'!Q:Q,MATCH($O1559,'Aub Demand'!$A:$A,0))-IF(AN1559="",0,AN1559)),"")</f>
        <v>665</v>
      </c>
      <c r="V1559" s="53">
        <f t="shared" si="674"/>
        <v>105.6</v>
      </c>
      <c r="W1559" s="52" t="str">
        <f t="shared" si="675"/>
        <v/>
      </c>
      <c r="X1559" s="52">
        <f>IFERROR(IF(AND(AR1560=AR1559,AM1559&lt;&gt;""),INDEX('Aub Demand'!Q:Q,MATCH($O1559,'Aub Demand'!$A:$A,0))-IF(AN1559="",0,AN1559)+AP1560+AD1559+AL1559,IF(AR1560=AR1559,INDEX('Aub Demand'!Q:Q,MATCH($O1559,'Aub Demand'!$A:$A,0))-IF(AN1559="",0,AN1559)+AP1560+AD1559,IF(AM1559&lt;&gt;"",INDEX('Aub Demand'!Q:Q,MATCH($O1559,'Aub Demand'!$A:$A,0))-IF(AN1559="",0,AN1559)+AD1559+AL1559,INDEX('Aub Demand'!Q:Q,MATCH($O1559,'Aub Demand'!$A:$A,0))-IF(AN1559="",0,AN1559)+AD1559))),"")</f>
        <v>665</v>
      </c>
      <c r="Y1559" s="53">
        <f t="shared" si="676"/>
        <v>105.6</v>
      </c>
      <c r="Z1559" s="52">
        <f>IF(L1559="","",INDEX('Aub Demand'!H:H,MATCH($O1559,'Aub Demand'!$A:$A,0)))</f>
        <v>27</v>
      </c>
      <c r="AA1559" s="52">
        <f t="shared" si="677"/>
        <v>40</v>
      </c>
      <c r="AB1559" s="52">
        <f>IFERROR(INDEX('Aub Demand'!L:L,MATCH($O1559,'Aub Demand'!$A:$A,0)),"")</f>
        <v>3</v>
      </c>
      <c r="AC1559" s="52">
        <f>IFERROR(IF(O1559="","",SUMIFS('CPL Mats'!F:F,'CPL Mats'!Q:Q,AR1559,'CPL Mats'!S:S,AS1559)),"")</f>
        <v>0</v>
      </c>
      <c r="AF1559" s="25">
        <f>IF(SUMIFS('Supp Consol'!S:S,'Supp Consol'!Y:Y,"Releasable",'Supp Consol'!A:A,O1559)=0,"",SUMIFS('Supp Consol'!S:S,'Supp Consol'!Y:Y,"Releasable",'Supp Consol'!A:A,O1559))</f>
        <v>1422</v>
      </c>
      <c r="AG1559" s="25">
        <f>IFERROR(INDEX('Hun Demand'!Q:Q,MATCH(O1559,'Hun Demand'!A:A,0)),"")</f>
        <v>128</v>
      </c>
      <c r="AH1559" s="25">
        <f>IFERROR(INDEX('Hun Demand'!H:H,MATCH($O1559,'Hun Demand'!$A:$A,0)),"")</f>
        <v>16</v>
      </c>
      <c r="AI1559" s="25" t="str">
        <f>IF(SUMIFS('Supp Consol'!AA:AA,'Supp Consol'!Z:Z,"Expires this month",'Supp Consol'!A:A,O1559)=0,"",SUMIFS('Supp Consol'!AA:AA,'Supp Consol'!Z:Z,"Expires this month",'Supp Consol'!A:A,O1559))</f>
        <v/>
      </c>
      <c r="AJ1559" s="25">
        <f>IF(SUMIFS('Supp Consol'!AA:AA,'Supp Consol'!Z:Z,"Expired Previous Months",'Supp Consol'!A:A,O1559)=0,"",SUMIFS('Supp Consol'!AA:AA,'Supp Consol'!Z:Z,"Expired Previous Months",'Supp Consol'!A:A,O1559))</f>
        <v>1422</v>
      </c>
      <c r="AK1559" s="25" t="str">
        <f>IFERROR(INDEX('Hun Release Current'!B:B,MATCH(O1559,'Hun Release Current'!A:A,0)),"")</f>
        <v/>
      </c>
      <c r="AL1559" s="25" t="str">
        <f>IF(SUMIF('Prev Aub'!A:A,O1559,'Prev Aub'!B:B)=0,"",SUMIF('Prev Aub'!A:A,O1559,'Prev Aub'!B:B))</f>
        <v/>
      </c>
      <c r="AN1559" s="25" t="s">
        <v>3790</v>
      </c>
      <c r="AO1559" s="25" t="s">
        <v>3790</v>
      </c>
      <c r="AP1559" s="25">
        <f t="shared" si="678"/>
        <v>0</v>
      </c>
      <c r="AQ1559" s="151" t="str">
        <f>IF(SUMIFS('Supp Consol'!S:S,'Supp Consol'!A:A,O1559,'Supp Consol'!I:I,"PENDING")=0,"",SUMIFS('Supp Consol'!S:S,'Supp Consol'!A:A,O1559,'Supp Consol'!I:I,"PENDING"))</f>
        <v/>
      </c>
      <c r="AR1559" s="27" t="str">
        <f t="shared" si="679"/>
        <v>WW185</v>
      </c>
      <c r="AS1559" s="27" t="str">
        <f t="shared" si="680"/>
        <v>50</v>
      </c>
      <c r="AT1559" s="27" t="str">
        <f t="shared" si="681"/>
        <v/>
      </c>
      <c r="AU1559" s="27" t="str">
        <f t="shared" si="682"/>
        <v/>
      </c>
      <c r="AV1559" s="27" t="str">
        <f t="shared" si="683"/>
        <v/>
      </c>
      <c r="AW1559" s="27" t="str">
        <f t="shared" si="684"/>
        <v/>
      </c>
      <c r="AX1559" s="27" t="str">
        <f t="shared" si="685"/>
        <v>WW185</v>
      </c>
      <c r="AY1559" s="27" t="str">
        <f t="shared" si="686"/>
        <v>WW185</v>
      </c>
      <c r="AZ1559" s="27" t="str">
        <f t="shared" si="687"/>
        <v>Supp</v>
      </c>
      <c r="BA1559" s="27" t="str">
        <f t="shared" si="688"/>
        <v>Hun</v>
      </c>
      <c r="BB1559" s="27" t="str">
        <f t="shared" si="689"/>
        <v/>
      </c>
      <c r="BC1559" s="27" t="str">
        <f t="shared" si="690"/>
        <v/>
      </c>
      <c r="BD1559" s="27" t="str">
        <f t="shared" si="691"/>
        <v/>
      </c>
      <c r="BE1559" s="27" t="str">
        <f t="shared" si="692"/>
        <v>Exp</v>
      </c>
      <c r="BF1559" s="27" t="str">
        <f t="shared" si="693"/>
        <v/>
      </c>
      <c r="BG1559" s="27" t="str">
        <f t="shared" si="694"/>
        <v>S+NorE</v>
      </c>
      <c r="BH1559" s="27" t="str">
        <f t="shared" si="695"/>
        <v/>
      </c>
      <c r="BI1559" s="27" t="str">
        <f t="shared" si="696"/>
        <v/>
      </c>
      <c r="BJ1559" s="27" t="str">
        <f t="shared" si="697"/>
        <v>Supp or Hun</v>
      </c>
      <c r="BK1559" s="27" t="str">
        <f t="shared" si="698"/>
        <v/>
      </c>
      <c r="BL1559" s="27" t="str">
        <f t="shared" si="699"/>
        <v>SorHandNandE</v>
      </c>
      <c r="BM1559" s="21" t="s">
        <v>5581</v>
      </c>
    </row>
    <row r="1560" spans="1:65" ht="15">
      <c r="A1560" s="25" t="str">
        <f>IFERROR(INDEX('Hun Demand'!W:W,MATCH(O1560,'Hun Demand'!A:A,0)),"")</f>
        <v/>
      </c>
      <c r="B1560" s="25" t="str">
        <f>IFERROR(INDEX('Hun Demand'!V:V,MATCH(O1560,'Hun Demand'!A:A,0)),"")</f>
        <v/>
      </c>
      <c r="C1560" s="25" t="str">
        <f>IFERROR(INDEX('Hun Demand'!U:U,MATCH(O1560,'Hun Demand'!A:A,0)),"")</f>
        <v/>
      </c>
      <c r="D1560" s="25" t="str">
        <f>IFERROR(INDEX('Hun Demand'!T:T,MATCH(O1560,'Hun Demand'!A:A,0)),"")</f>
        <v/>
      </c>
      <c r="E1560" s="25" t="str">
        <f>IFERROR(INDEX('Hun Demand'!S:S,MATCH(O1560,'Hun Demand'!A:A,0)),"")</f>
        <v/>
      </c>
      <c r="F1560" s="25" t="str">
        <f>IFERROR(INDEX('Hun Demand'!R:R,MATCH(O1560,'Hun Demand'!A:A,0)),"")</f>
        <v/>
      </c>
      <c r="G1560" s="25">
        <f>IFERROR(INDEX('Aub Demand'!W:W,MATCH(O1560,'Aub Demand'!A:A,0)),"")</f>
        <v>79</v>
      </c>
      <c r="H1560" s="25">
        <f>IFERROR(INDEX('Aub Demand'!V:V,MATCH(O1560,'Aub Demand'!A:A,0)),"")</f>
        <v>163</v>
      </c>
      <c r="I1560" s="25">
        <f>IFERROR(INDEX('Aub Demand'!U:U,MATCH(O1560,'Aub Demand'!A:A,0)),"")</f>
        <v>0</v>
      </c>
      <c r="J1560" s="25">
        <f>IFERROR(INDEX('Aub Demand'!T:T,MATCH(O1560,'Aub Demand'!A:A,0)),"")</f>
        <v>889</v>
      </c>
      <c r="K1560" s="25">
        <f>IFERROR(INDEX('Aub Demand'!S:S,MATCH(O1560,'Aub Demand'!A:A,0)),"")</f>
        <v>870</v>
      </c>
      <c r="L1560" s="25">
        <f>IFERROR(INDEX('Aub Demand'!R:R,MATCH(O1560,'Aub Demand'!A:A,0)),"")</f>
        <v>0</v>
      </c>
      <c r="O1560" s="27" t="s">
        <v>1874</v>
      </c>
      <c r="P1560" s="27" t="str">
        <f>IFERROR(INDEX('Aub Demand'!B:B,MATCH($O1560,'Aub Demand'!$A:$A,0)),"")</f>
        <v>OATMEAL COOKIE</v>
      </c>
      <c r="Q1560" s="27" t="str">
        <f>IFERROR(INDEX('Aub Demand'!C:C,MATCH($O1560,'Aub Demand'!$A:$A,0)),"")</f>
        <v>LAMIG</v>
      </c>
      <c r="R1560" s="52">
        <f>IFERROR(IF(AR1561=AR1560,INDEX('Aub Demand'!K:K,MATCH($O1560,'Aub Demand'!$A:$A,0))-IF(AN1560="",0,AN1560)+AP1561,INDEX('Aub Demand'!K:K,MATCH($O1560,'Aub Demand'!$A:$A,0))-IF(AN1560="",0,AN1560)),"")</f>
        <v>465</v>
      </c>
      <c r="S1560" s="53">
        <f t="shared" si="672"/>
        <v>3.4</v>
      </c>
      <c r="T1560" s="52" t="str">
        <f t="shared" si="673"/>
        <v/>
      </c>
      <c r="U1560" s="52">
        <f>IFERROR(IF(AR1561=AR1560,INDEX('Aub Demand'!Q:Q,MATCH($O1560,'Aub Demand'!$A:$A,0))-IF(AN1560="",0,AN1560)+AP1561,INDEX('Aub Demand'!Q:Q,MATCH($O1560,'Aub Demand'!$A:$A,0))-IF(AN1560="",0,AN1560)),"")</f>
        <v>141</v>
      </c>
      <c r="V1560" s="53">
        <f t="shared" si="674"/>
        <v>1</v>
      </c>
      <c r="W1560" s="52">
        <f t="shared" si="675"/>
        <v>439.75</v>
      </c>
      <c r="X1560" s="52">
        <f>IFERROR(IF(AND(AR1561=AR1560,AM1560&lt;&gt;""),INDEX('Aub Demand'!Q:Q,MATCH($O1560,'Aub Demand'!$A:$A,0))-IF(AN1560="",0,AN1560)+AP1561+AD1560+AL1560,IF(AR1561=AR1560,INDEX('Aub Demand'!Q:Q,MATCH($O1560,'Aub Demand'!$A:$A,0))-IF(AN1560="",0,AN1560)+AP1561+AD1560,IF(AM1560&lt;&gt;"",INDEX('Aub Demand'!Q:Q,MATCH($O1560,'Aub Demand'!$A:$A,0))-IF(AN1560="",0,AN1560)+AD1560+AL1560,INDEX('Aub Demand'!Q:Q,MATCH($O1560,'Aub Demand'!$A:$A,0))-IF(AN1560="",0,AN1560)+AD1560))),"")</f>
        <v>1141</v>
      </c>
      <c r="Y1560" s="53">
        <f t="shared" si="676"/>
        <v>8.3000000000000007</v>
      </c>
      <c r="Z1560" s="52">
        <f>IF(L1560="","",INDEX('Aub Demand'!H:H,MATCH($O1560,'Aub Demand'!$A:$A,0)))</f>
        <v>586</v>
      </c>
      <c r="AA1560" s="52">
        <f t="shared" si="677"/>
        <v>879.5</v>
      </c>
      <c r="AB1560" s="52">
        <f>IFERROR(INDEX('Aub Demand'!L:L,MATCH($O1560,'Aub Demand'!$A:$A,0)),"")</f>
        <v>142</v>
      </c>
      <c r="AC1560" s="52">
        <f>IFERROR(IF(O1560="","",SUMIFS('CPL Mats'!F:F,'CPL Mats'!Q:Q,AR1560,'CPL Mats'!S:S,AS1560)),"")</f>
        <v>0</v>
      </c>
      <c r="AF1560" s="25">
        <f>IF(SUMIFS('Supp Consol'!S:S,'Supp Consol'!Y:Y,"Releasable",'Supp Consol'!A:A,O1560)=0,"",SUMIFS('Supp Consol'!S:S,'Supp Consol'!Y:Y,"Releasable",'Supp Consol'!A:A,O1560))</f>
        <v>2727</v>
      </c>
      <c r="AG1560" s="25" t="str">
        <f>IFERROR(INDEX('Hun Demand'!Q:Q,MATCH(O1560,'Hun Demand'!A:A,0)),"")</f>
        <v/>
      </c>
      <c r="AH1560" s="25" t="str">
        <f>IFERROR(INDEX('Hun Demand'!H:H,MATCH($O1560,'Hun Demand'!$A:$A,0)),"")</f>
        <v/>
      </c>
      <c r="AI1560" s="25" t="str">
        <f>IF(SUMIFS('Supp Consol'!AA:AA,'Supp Consol'!Z:Z,"Expires this month",'Supp Consol'!A:A,O1560)=0,"",SUMIFS('Supp Consol'!AA:AA,'Supp Consol'!Z:Z,"Expires this month",'Supp Consol'!A:A,O1560))</f>
        <v/>
      </c>
      <c r="AJ1560" s="25">
        <f>IF(SUMIFS('Supp Consol'!AA:AA,'Supp Consol'!Z:Z,"Expired Previous Months",'Supp Consol'!A:A,O1560)=0,"",SUMIFS('Supp Consol'!AA:AA,'Supp Consol'!Z:Z,"Expired Previous Months",'Supp Consol'!A:A,O1560))</f>
        <v>2200</v>
      </c>
      <c r="AK1560" s="25" t="str">
        <f>IFERROR(INDEX('Hun Release Current'!B:B,MATCH(O1560,'Hun Release Current'!A:A,0)),"")</f>
        <v/>
      </c>
      <c r="AL1560" s="25">
        <f>IF(SUMIF('Prev Aub'!A:A,O1560,'Prev Aub'!B:B)=0,"",SUMIF('Prev Aub'!A:A,O1560,'Prev Aub'!B:B))</f>
        <v>1000</v>
      </c>
      <c r="AM1560" s="52" t="s">
        <v>3891</v>
      </c>
      <c r="AN1560" s="25" t="s">
        <v>3790</v>
      </c>
      <c r="AO1560" s="25" t="s">
        <v>3790</v>
      </c>
      <c r="AP1560" s="25">
        <f t="shared" si="678"/>
        <v>0</v>
      </c>
      <c r="AQ1560" s="151" t="str">
        <f>IF(SUMIFS('Supp Consol'!S:S,'Supp Consol'!A:A,O1560,'Supp Consol'!I:I,"PENDING")=0,"",SUMIFS('Supp Consol'!S:S,'Supp Consol'!A:A,O1560,'Supp Consol'!I:I,"PENDING"))</f>
        <v/>
      </c>
      <c r="AR1560" s="27" t="str">
        <f t="shared" si="679"/>
        <v>WW185</v>
      </c>
      <c r="AS1560" s="27" t="str">
        <f t="shared" si="680"/>
        <v>62</v>
      </c>
      <c r="AT1560" s="27" t="str">
        <f t="shared" si="681"/>
        <v/>
      </c>
      <c r="AU1560" s="27" t="str">
        <f t="shared" si="682"/>
        <v/>
      </c>
      <c r="AV1560" s="27" t="str">
        <f t="shared" si="683"/>
        <v/>
      </c>
      <c r="AW1560" s="27" t="str">
        <f t="shared" si="684"/>
        <v>WW185</v>
      </c>
      <c r="AX1560" s="27" t="str">
        <f t="shared" si="685"/>
        <v>WW185</v>
      </c>
      <c r="AY1560" s="27" t="str">
        <f t="shared" si="686"/>
        <v/>
      </c>
      <c r="AZ1560" s="27" t="str">
        <f t="shared" si="687"/>
        <v>Supp</v>
      </c>
      <c r="BA1560" s="27" t="str">
        <f t="shared" si="688"/>
        <v>Hun</v>
      </c>
      <c r="BB1560" s="27" t="str">
        <f t="shared" si="689"/>
        <v/>
      </c>
      <c r="BC1560" s="27" t="str">
        <f t="shared" si="690"/>
        <v/>
      </c>
      <c r="BD1560" s="27" t="str">
        <f t="shared" si="691"/>
        <v/>
      </c>
      <c r="BE1560" s="27" t="str">
        <f t="shared" si="692"/>
        <v>Exp</v>
      </c>
      <c r="BF1560" s="27" t="str">
        <f t="shared" si="693"/>
        <v/>
      </c>
      <c r="BG1560" s="27" t="str">
        <f t="shared" si="694"/>
        <v>S+NorE</v>
      </c>
      <c r="BH1560" s="27" t="str">
        <f t="shared" si="695"/>
        <v/>
      </c>
      <c r="BI1560" s="27" t="str">
        <f t="shared" si="696"/>
        <v/>
      </c>
      <c r="BJ1560" s="27" t="str">
        <f t="shared" si="697"/>
        <v>Supp or Hun</v>
      </c>
      <c r="BK1560" s="27" t="str">
        <f t="shared" si="698"/>
        <v/>
      </c>
      <c r="BL1560" s="27" t="str">
        <f t="shared" si="699"/>
        <v>SorHandNandE</v>
      </c>
      <c r="BM1560" s="21" t="s">
        <v>5581</v>
      </c>
    </row>
    <row r="1561" spans="1:65" ht="15">
      <c r="A1561" s="25" t="str">
        <f>IFERROR(INDEX('Hun Demand'!W:W,MATCH(O1561,'Hun Demand'!A:A,0)),"")</f>
        <v/>
      </c>
      <c r="B1561" s="25" t="str">
        <f>IFERROR(INDEX('Hun Demand'!V:V,MATCH(O1561,'Hun Demand'!A:A,0)),"")</f>
        <v/>
      </c>
      <c r="C1561" s="25" t="str">
        <f>IFERROR(INDEX('Hun Demand'!U:U,MATCH(O1561,'Hun Demand'!A:A,0)),"")</f>
        <v/>
      </c>
      <c r="D1561" s="25" t="str">
        <f>IFERROR(INDEX('Hun Demand'!T:T,MATCH(O1561,'Hun Demand'!A:A,0)),"")</f>
        <v/>
      </c>
      <c r="E1561" s="25" t="str">
        <f>IFERROR(INDEX('Hun Demand'!S:S,MATCH(O1561,'Hun Demand'!A:A,0)),"")</f>
        <v/>
      </c>
      <c r="F1561" s="25" t="str">
        <f>IFERROR(INDEX('Hun Demand'!R:R,MATCH(O1561,'Hun Demand'!A:A,0)),"")</f>
        <v/>
      </c>
      <c r="G1561" s="25">
        <f>IFERROR(INDEX('Aub Demand'!W:W,MATCH(O1561,'Aub Demand'!A:A,0)),"")</f>
        <v>0</v>
      </c>
      <c r="H1561" s="25">
        <f>IFERROR(INDEX('Aub Demand'!V:V,MATCH(O1561,'Aub Demand'!A:A,0)),"")</f>
        <v>0</v>
      </c>
      <c r="I1561" s="25">
        <f>IFERROR(INDEX('Aub Demand'!U:U,MATCH(O1561,'Aub Demand'!A:A,0)),"")</f>
        <v>0</v>
      </c>
      <c r="J1561" s="25">
        <f>IFERROR(INDEX('Aub Demand'!T:T,MATCH(O1561,'Aub Demand'!A:A,0)),"")</f>
        <v>0</v>
      </c>
      <c r="K1561" s="25">
        <f>IFERROR(INDEX('Aub Demand'!S:S,MATCH(O1561,'Aub Demand'!A:A,0)),"")</f>
        <v>0</v>
      </c>
      <c r="L1561" s="25">
        <f>IFERROR(INDEX('Aub Demand'!R:R,MATCH(O1561,'Aub Demand'!A:A,0)),"")</f>
        <v>0</v>
      </c>
      <c r="O1561" s="27" t="s">
        <v>1875</v>
      </c>
      <c r="P1561" s="27" t="str">
        <f>IFERROR(INDEX('Aub Demand'!B:B,MATCH($O1561,'Aub Demand'!$A:$A,0)),"")</f>
        <v>BAKLAVA</v>
      </c>
      <c r="Q1561" s="27" t="str">
        <f>IFERROR(INDEX('Aub Demand'!C:C,MATCH($O1561,'Aub Demand'!$A:$A,0)),"")</f>
        <v>LAMIG</v>
      </c>
      <c r="R1561" s="52">
        <f>IFERROR(IF(AR1562=AR1561,INDEX('Aub Demand'!K:K,MATCH($O1561,'Aub Demand'!$A:$A,0))-IF(AN1561="",0,AN1561)+AP1562,INDEX('Aub Demand'!K:K,MATCH($O1561,'Aub Demand'!$A:$A,0))-IF(AN1561="",0,AN1561)),"")</f>
        <v>5758</v>
      </c>
      <c r="S1561" s="53" t="str">
        <f t="shared" si="672"/>
        <v>n/a</v>
      </c>
      <c r="T1561" s="52" t="str">
        <f t="shared" si="673"/>
        <v/>
      </c>
      <c r="U1561" s="52">
        <f>IFERROR(IF(AR1562=AR1561,INDEX('Aub Demand'!Q:Q,MATCH($O1561,'Aub Demand'!$A:$A,0))-IF(AN1561="",0,AN1561)+AP1562,INDEX('Aub Demand'!Q:Q,MATCH($O1561,'Aub Demand'!$A:$A,0))-IF(AN1561="",0,AN1561)),"")</f>
        <v>5758</v>
      </c>
      <c r="V1561" s="53" t="str">
        <f t="shared" si="674"/>
        <v>n/a</v>
      </c>
      <c r="W1561" s="52" t="str">
        <f t="shared" si="675"/>
        <v/>
      </c>
      <c r="X1561" s="52">
        <f>IFERROR(IF(AND(AR1562=AR1561,AM1561&lt;&gt;""),INDEX('Aub Demand'!Q:Q,MATCH($O1561,'Aub Demand'!$A:$A,0))-IF(AN1561="",0,AN1561)+AP1562+AD1561+AL1561,IF(AR1562=AR1561,INDEX('Aub Demand'!Q:Q,MATCH($O1561,'Aub Demand'!$A:$A,0))-IF(AN1561="",0,AN1561)+AP1562+AD1561,IF(AM1561&lt;&gt;"",INDEX('Aub Demand'!Q:Q,MATCH($O1561,'Aub Demand'!$A:$A,0))-IF(AN1561="",0,AN1561)+AD1561+AL1561,INDEX('Aub Demand'!Q:Q,MATCH($O1561,'Aub Demand'!$A:$A,0))-IF(AN1561="",0,AN1561)+AD1561))),"")</f>
        <v>5758</v>
      </c>
      <c r="Y1561" s="53" t="str">
        <f t="shared" si="676"/>
        <v>n/a</v>
      </c>
      <c r="Z1561" s="52">
        <f>IF(L1561="","",INDEX('Aub Demand'!H:H,MATCH($O1561,'Aub Demand'!$A:$A,0)))</f>
        <v>0</v>
      </c>
      <c r="AA1561" s="52" t="str">
        <f t="shared" si="677"/>
        <v>-spike-</v>
      </c>
      <c r="AB1561" s="52">
        <f>IFERROR(INDEX('Aub Demand'!L:L,MATCH($O1561,'Aub Demand'!$A:$A,0)),"")</f>
        <v>0</v>
      </c>
      <c r="AC1561" s="52">
        <f>IFERROR(IF(O1561="","",SUMIFS('CPL Mats'!F:F,'CPL Mats'!Q:Q,AR1561,'CPL Mats'!S:S,AS1561)),"")</f>
        <v>0</v>
      </c>
      <c r="AF1561" s="25" t="str">
        <f>IF(SUMIFS('Supp Consol'!S:S,'Supp Consol'!Y:Y,"Releasable",'Supp Consol'!A:A,O1561)=0,"",SUMIFS('Supp Consol'!S:S,'Supp Consol'!Y:Y,"Releasable",'Supp Consol'!A:A,O1561))</f>
        <v/>
      </c>
      <c r="AG1561" s="25" t="str">
        <f>IFERROR(INDEX('Hun Demand'!Q:Q,MATCH(O1561,'Hun Demand'!A:A,0)),"")</f>
        <v/>
      </c>
      <c r="AH1561" s="25" t="str">
        <f>IFERROR(INDEX('Hun Demand'!H:H,MATCH($O1561,'Hun Demand'!$A:$A,0)),"")</f>
        <v/>
      </c>
      <c r="AI1561" s="25" t="str">
        <f>IF(SUMIFS('Supp Consol'!AA:AA,'Supp Consol'!Z:Z,"Expires this month",'Supp Consol'!A:A,O1561)=0,"",SUMIFS('Supp Consol'!AA:AA,'Supp Consol'!Z:Z,"Expires this month",'Supp Consol'!A:A,O1561))</f>
        <v/>
      </c>
      <c r="AJ1561" s="25" t="str">
        <f>IF(SUMIFS('Supp Consol'!AA:AA,'Supp Consol'!Z:Z,"Expired Previous Months",'Supp Consol'!A:A,O1561)=0,"",SUMIFS('Supp Consol'!AA:AA,'Supp Consol'!Z:Z,"Expired Previous Months",'Supp Consol'!A:A,O1561))</f>
        <v/>
      </c>
      <c r="AK1561" s="25" t="str">
        <f>IFERROR(INDEX('Hun Release Current'!B:B,MATCH(O1561,'Hun Release Current'!A:A,0)),"")</f>
        <v/>
      </c>
      <c r="AL1561" s="25" t="str">
        <f>IF(SUMIF('Prev Aub'!A:A,O1561,'Prev Aub'!B:B)=0,"",SUMIF('Prev Aub'!A:A,O1561,'Prev Aub'!B:B))</f>
        <v/>
      </c>
      <c r="AN1561" s="25" t="s">
        <v>3790</v>
      </c>
      <c r="AO1561" s="25" t="s">
        <v>3790</v>
      </c>
      <c r="AP1561" s="25">
        <f t="shared" si="678"/>
        <v>0</v>
      </c>
      <c r="AQ1561" s="151" t="str">
        <f>IF(SUMIFS('Supp Consol'!S:S,'Supp Consol'!A:A,O1561,'Supp Consol'!I:I,"PENDING")=0,"",SUMIFS('Supp Consol'!S:S,'Supp Consol'!A:A,O1561,'Supp Consol'!I:I,"PENDING"))</f>
        <v/>
      </c>
      <c r="AR1561" s="27" t="str">
        <f t="shared" si="679"/>
        <v>WW210</v>
      </c>
      <c r="AS1561" s="27" t="str">
        <f t="shared" si="680"/>
        <v>50</v>
      </c>
      <c r="AT1561" s="27" t="str">
        <f t="shared" si="681"/>
        <v/>
      </c>
      <c r="AU1561" s="27" t="str">
        <f t="shared" si="682"/>
        <v/>
      </c>
      <c r="AV1561" s="27" t="str">
        <f t="shared" si="683"/>
        <v/>
      </c>
      <c r="AW1561" s="27" t="str">
        <f t="shared" si="684"/>
        <v/>
      </c>
      <c r="AX1561" s="27" t="str">
        <f t="shared" si="685"/>
        <v/>
      </c>
      <c r="AY1561" s="27" t="str">
        <f t="shared" si="686"/>
        <v/>
      </c>
      <c r="AZ1561" s="27" t="str">
        <f t="shared" si="687"/>
        <v/>
      </c>
      <c r="BA1561" s="27" t="str">
        <f t="shared" si="688"/>
        <v/>
      </c>
      <c r="BB1561" s="27" t="str">
        <f t="shared" si="689"/>
        <v/>
      </c>
      <c r="BC1561" s="27" t="str">
        <f t="shared" si="690"/>
        <v/>
      </c>
      <c r="BD1561" s="27" t="str">
        <f t="shared" si="691"/>
        <v/>
      </c>
      <c r="BE1561" s="27" t="str">
        <f t="shared" si="692"/>
        <v/>
      </c>
      <c r="BF1561" s="27" t="str">
        <f t="shared" si="693"/>
        <v/>
      </c>
      <c r="BG1561" s="27" t="str">
        <f t="shared" si="694"/>
        <v/>
      </c>
      <c r="BH1561" s="27" t="str">
        <f t="shared" si="695"/>
        <v/>
      </c>
      <c r="BI1561" s="27" t="str">
        <f t="shared" si="696"/>
        <v/>
      </c>
      <c r="BJ1561" s="27" t="str">
        <f t="shared" si="697"/>
        <v/>
      </c>
      <c r="BK1561" s="27" t="str">
        <f t="shared" si="698"/>
        <v/>
      </c>
      <c r="BL1561" s="27" t="str">
        <f t="shared" si="699"/>
        <v/>
      </c>
      <c r="BM1561" s="21" t="s">
        <v>5581</v>
      </c>
    </row>
    <row r="1562" spans="1:65" ht="15">
      <c r="A1562" s="25" t="str">
        <f>IFERROR(INDEX('Hun Demand'!W:W,MATCH(O1562,'Hun Demand'!A:A,0)),"")</f>
        <v/>
      </c>
      <c r="B1562" s="25" t="str">
        <f>IFERROR(INDEX('Hun Demand'!V:V,MATCH(O1562,'Hun Demand'!A:A,0)),"")</f>
        <v/>
      </c>
      <c r="C1562" s="25" t="str">
        <f>IFERROR(INDEX('Hun Demand'!U:U,MATCH(O1562,'Hun Demand'!A:A,0)),"")</f>
        <v/>
      </c>
      <c r="D1562" s="25" t="str">
        <f>IFERROR(INDEX('Hun Demand'!T:T,MATCH(O1562,'Hun Demand'!A:A,0)),"")</f>
        <v/>
      </c>
      <c r="E1562" s="25" t="str">
        <f>IFERROR(INDEX('Hun Demand'!S:S,MATCH(O1562,'Hun Demand'!A:A,0)),"")</f>
        <v/>
      </c>
      <c r="F1562" s="25" t="str">
        <f>IFERROR(INDEX('Hun Demand'!R:R,MATCH(O1562,'Hun Demand'!A:A,0)),"")</f>
        <v/>
      </c>
      <c r="G1562" s="25">
        <f>IFERROR(INDEX('Aub Demand'!W:W,MATCH(O1562,'Aub Demand'!A:A,0)),"")</f>
        <v>0</v>
      </c>
      <c r="H1562" s="25">
        <f>IFERROR(INDEX('Aub Demand'!V:V,MATCH(O1562,'Aub Demand'!A:A,0)),"")</f>
        <v>0</v>
      </c>
      <c r="I1562" s="25">
        <f>IFERROR(INDEX('Aub Demand'!U:U,MATCH(O1562,'Aub Demand'!A:A,0)),"")</f>
        <v>0</v>
      </c>
      <c r="J1562" s="25">
        <f>IFERROR(INDEX('Aub Demand'!T:T,MATCH(O1562,'Aub Demand'!A:A,0)),"")</f>
        <v>0</v>
      </c>
      <c r="K1562" s="25">
        <f>IFERROR(INDEX('Aub Demand'!S:S,MATCH(O1562,'Aub Demand'!A:A,0)),"")</f>
        <v>0</v>
      </c>
      <c r="L1562" s="25">
        <f>IFERROR(INDEX('Aub Demand'!R:R,MATCH(O1562,'Aub Demand'!A:A,0)),"")</f>
        <v>0</v>
      </c>
      <c r="O1562" s="27" t="s">
        <v>1878</v>
      </c>
      <c r="P1562" s="27" t="str">
        <f>IFERROR(INDEX('Aub Demand'!B:B,MATCH($O1562,'Aub Demand'!$A:$A,0)),"")</f>
        <v>BAKLAVA</v>
      </c>
      <c r="Q1562" s="27" t="str">
        <f>IFERROR(INDEX('Aub Demand'!C:C,MATCH($O1562,'Aub Demand'!$A:$A,0)),"")</f>
        <v>LAMIG</v>
      </c>
      <c r="R1562" s="52">
        <f>IFERROR(IF(AR1563=AR1562,INDEX('Aub Demand'!K:K,MATCH($O1562,'Aub Demand'!$A:$A,0))-IF(AN1562="",0,AN1562)+AP1563,INDEX('Aub Demand'!K:K,MATCH($O1562,'Aub Demand'!$A:$A,0))-IF(AN1562="",0,AN1562)),"")</f>
        <v>2099</v>
      </c>
      <c r="S1562" s="53" t="str">
        <f t="shared" si="672"/>
        <v>n/a</v>
      </c>
      <c r="T1562" s="52" t="str">
        <f t="shared" si="673"/>
        <v/>
      </c>
      <c r="U1562" s="52">
        <f>IFERROR(IF(AR1563=AR1562,INDEX('Aub Demand'!Q:Q,MATCH($O1562,'Aub Demand'!$A:$A,0))-IF(AN1562="",0,AN1562)+AP1563,INDEX('Aub Demand'!Q:Q,MATCH($O1562,'Aub Demand'!$A:$A,0))-IF(AN1562="",0,AN1562)),"")</f>
        <v>2099</v>
      </c>
      <c r="V1562" s="53" t="str">
        <f t="shared" si="674"/>
        <v>n/a</v>
      </c>
      <c r="W1562" s="52" t="str">
        <f t="shared" si="675"/>
        <v/>
      </c>
      <c r="X1562" s="52">
        <f>IFERROR(IF(AND(AR1563=AR1562,AM1562&lt;&gt;""),INDEX('Aub Demand'!Q:Q,MATCH($O1562,'Aub Demand'!$A:$A,0))-IF(AN1562="",0,AN1562)+AP1563+AD1562+AL1562,IF(AR1563=AR1562,INDEX('Aub Demand'!Q:Q,MATCH($O1562,'Aub Demand'!$A:$A,0))-IF(AN1562="",0,AN1562)+AP1563+AD1562,IF(AM1562&lt;&gt;"",INDEX('Aub Demand'!Q:Q,MATCH($O1562,'Aub Demand'!$A:$A,0))-IF(AN1562="",0,AN1562)+AD1562+AL1562,INDEX('Aub Demand'!Q:Q,MATCH($O1562,'Aub Demand'!$A:$A,0))-IF(AN1562="",0,AN1562)+AD1562))),"")</f>
        <v>2099</v>
      </c>
      <c r="Y1562" s="53" t="str">
        <f t="shared" si="676"/>
        <v>n/a</v>
      </c>
      <c r="Z1562" s="52">
        <f>IF(L1562="","",INDEX('Aub Demand'!H:H,MATCH($O1562,'Aub Demand'!$A:$A,0)))</f>
        <v>0</v>
      </c>
      <c r="AA1562" s="52" t="str">
        <f t="shared" si="677"/>
        <v>-spike-</v>
      </c>
      <c r="AB1562" s="52">
        <f>IFERROR(INDEX('Aub Demand'!L:L,MATCH($O1562,'Aub Demand'!$A:$A,0)),"")</f>
        <v>0</v>
      </c>
      <c r="AC1562" s="52">
        <f>IFERROR(IF(O1562="","",SUMIFS('CPL Mats'!F:F,'CPL Mats'!Q:Q,AR1562,'CPL Mats'!S:S,AS1562)),"")</f>
        <v>0</v>
      </c>
      <c r="AF1562" s="25" t="str">
        <f>IF(SUMIFS('Supp Consol'!S:S,'Supp Consol'!Y:Y,"Releasable",'Supp Consol'!A:A,O1562)=0,"",SUMIFS('Supp Consol'!S:S,'Supp Consol'!Y:Y,"Releasable",'Supp Consol'!A:A,O1562))</f>
        <v/>
      </c>
      <c r="AG1562" s="25" t="str">
        <f>IFERROR(INDEX('Hun Demand'!Q:Q,MATCH(O1562,'Hun Demand'!A:A,0)),"")</f>
        <v/>
      </c>
      <c r="AH1562" s="25" t="str">
        <f>IFERROR(INDEX('Hun Demand'!H:H,MATCH($O1562,'Hun Demand'!$A:$A,0)),"")</f>
        <v/>
      </c>
      <c r="AI1562" s="25" t="str">
        <f>IF(SUMIFS('Supp Consol'!AA:AA,'Supp Consol'!Z:Z,"Expires this month",'Supp Consol'!A:A,O1562)=0,"",SUMIFS('Supp Consol'!AA:AA,'Supp Consol'!Z:Z,"Expires this month",'Supp Consol'!A:A,O1562))</f>
        <v/>
      </c>
      <c r="AJ1562" s="25" t="str">
        <f>IF(SUMIFS('Supp Consol'!AA:AA,'Supp Consol'!Z:Z,"Expired Previous Months",'Supp Consol'!A:A,O1562)=0,"",SUMIFS('Supp Consol'!AA:AA,'Supp Consol'!Z:Z,"Expired Previous Months",'Supp Consol'!A:A,O1562))</f>
        <v/>
      </c>
      <c r="AK1562" s="25" t="str">
        <f>IFERROR(INDEX('Hun Release Current'!B:B,MATCH(O1562,'Hun Release Current'!A:A,0)),"")</f>
        <v/>
      </c>
      <c r="AL1562" s="25" t="str">
        <f>IF(SUMIF('Prev Aub'!A:A,O1562,'Prev Aub'!B:B)=0,"",SUMIF('Prev Aub'!A:A,O1562,'Prev Aub'!B:B))</f>
        <v/>
      </c>
      <c r="AN1562" s="25" t="s">
        <v>3790</v>
      </c>
      <c r="AO1562" s="25" t="s">
        <v>3790</v>
      </c>
      <c r="AP1562" s="25">
        <f t="shared" si="678"/>
        <v>0</v>
      </c>
      <c r="AQ1562" s="151" t="str">
        <f>IF(SUMIFS('Supp Consol'!S:S,'Supp Consol'!A:A,O1562,'Supp Consol'!I:I,"PENDING")=0,"",SUMIFS('Supp Consol'!S:S,'Supp Consol'!A:A,O1562,'Supp Consol'!I:I,"PENDING"))</f>
        <v/>
      </c>
      <c r="AR1562" s="27" t="str">
        <f t="shared" si="679"/>
        <v>WW210</v>
      </c>
      <c r="AS1562" s="27" t="str">
        <f t="shared" si="680"/>
        <v>62</v>
      </c>
      <c r="AT1562" s="27" t="str">
        <f t="shared" si="681"/>
        <v/>
      </c>
      <c r="AU1562" s="27" t="str">
        <f t="shared" si="682"/>
        <v/>
      </c>
      <c r="AV1562" s="27" t="str">
        <f t="shared" si="683"/>
        <v/>
      </c>
      <c r="AW1562" s="27" t="str">
        <f t="shared" si="684"/>
        <v/>
      </c>
      <c r="AX1562" s="27" t="str">
        <f t="shared" si="685"/>
        <v/>
      </c>
      <c r="AY1562" s="27" t="str">
        <f t="shared" si="686"/>
        <v/>
      </c>
      <c r="AZ1562" s="27" t="str">
        <f t="shared" si="687"/>
        <v/>
      </c>
      <c r="BA1562" s="27" t="str">
        <f t="shared" si="688"/>
        <v/>
      </c>
      <c r="BB1562" s="27" t="str">
        <f t="shared" si="689"/>
        <v/>
      </c>
      <c r="BC1562" s="27" t="str">
        <f t="shared" si="690"/>
        <v/>
      </c>
      <c r="BD1562" s="27" t="str">
        <f t="shared" si="691"/>
        <v/>
      </c>
      <c r="BE1562" s="27" t="str">
        <f t="shared" si="692"/>
        <v/>
      </c>
      <c r="BF1562" s="27" t="str">
        <f t="shared" si="693"/>
        <v/>
      </c>
      <c r="BG1562" s="27" t="str">
        <f t="shared" si="694"/>
        <v/>
      </c>
      <c r="BH1562" s="27" t="str">
        <f t="shared" si="695"/>
        <v/>
      </c>
      <c r="BI1562" s="27" t="str">
        <f t="shared" si="696"/>
        <v/>
      </c>
      <c r="BJ1562" s="27" t="str">
        <f t="shared" si="697"/>
        <v/>
      </c>
      <c r="BK1562" s="27" t="str">
        <f t="shared" si="698"/>
        <v/>
      </c>
      <c r="BL1562" s="27" t="str">
        <f t="shared" si="699"/>
        <v/>
      </c>
      <c r="BM1562" s="21" t="s">
        <v>5581</v>
      </c>
    </row>
    <row r="1563" spans="1:65" ht="15">
      <c r="A1563" s="25" t="str">
        <f>IFERROR(INDEX('Hun Demand'!W:W,MATCH(O1563,'Hun Demand'!A:A,0)),"")</f>
        <v/>
      </c>
      <c r="B1563" s="25" t="str">
        <f>IFERROR(INDEX('Hun Demand'!V:V,MATCH(O1563,'Hun Demand'!A:A,0)),"")</f>
        <v/>
      </c>
      <c r="C1563" s="25" t="str">
        <f>IFERROR(INDEX('Hun Demand'!U:U,MATCH(O1563,'Hun Demand'!A:A,0)),"")</f>
        <v/>
      </c>
      <c r="D1563" s="25" t="str">
        <f>IFERROR(INDEX('Hun Demand'!T:T,MATCH(O1563,'Hun Demand'!A:A,0)),"")</f>
        <v/>
      </c>
      <c r="E1563" s="25" t="str">
        <f>IFERROR(INDEX('Hun Demand'!S:S,MATCH(O1563,'Hun Demand'!A:A,0)),"")</f>
        <v/>
      </c>
      <c r="F1563" s="25" t="str">
        <f>IFERROR(INDEX('Hun Demand'!R:R,MATCH(O1563,'Hun Demand'!A:A,0)),"")</f>
        <v/>
      </c>
      <c r="G1563" s="25">
        <f>IFERROR(INDEX('Aub Demand'!W:W,MATCH(O1563,'Aub Demand'!A:A,0)),"")</f>
        <v>0</v>
      </c>
      <c r="H1563" s="25">
        <f>IFERROR(INDEX('Aub Demand'!V:V,MATCH(O1563,'Aub Demand'!A:A,0)),"")</f>
        <v>0</v>
      </c>
      <c r="I1563" s="25">
        <f>IFERROR(INDEX('Aub Demand'!U:U,MATCH(O1563,'Aub Demand'!A:A,0)),"")</f>
        <v>79</v>
      </c>
      <c r="J1563" s="25">
        <f>IFERROR(INDEX('Aub Demand'!T:T,MATCH(O1563,'Aub Demand'!A:A,0)),"")</f>
        <v>0</v>
      </c>
      <c r="K1563" s="25">
        <f>IFERROR(INDEX('Aub Demand'!S:S,MATCH(O1563,'Aub Demand'!A:A,0)),"")</f>
        <v>0</v>
      </c>
      <c r="L1563" s="25">
        <f>IFERROR(INDEX('Aub Demand'!R:R,MATCH(O1563,'Aub Demand'!A:A,0)),"")</f>
        <v>0</v>
      </c>
      <c r="O1563" s="27" t="s">
        <v>1879</v>
      </c>
      <c r="P1563" s="27" t="str">
        <f>IFERROR(INDEX('Aub Demand'!B:B,MATCH($O1563,'Aub Demand'!$A:$A,0)),"")</f>
        <v>PARISIENNE L16 (ONLY</v>
      </c>
      <c r="Q1563" s="27" t="str">
        <f>IFERROR(INDEX('Aub Demand'!C:C,MATCH($O1563,'Aub Demand'!$A:$A,0)),"")</f>
        <v>STEVE</v>
      </c>
      <c r="R1563" s="52">
        <f>IFERROR(IF(AR1564=AR1563,INDEX('Aub Demand'!K:K,MATCH($O1563,'Aub Demand'!$A:$A,0))-IF(AN1563="",0,AN1563)+AP1564,INDEX('Aub Demand'!K:K,MATCH($O1563,'Aub Demand'!$A:$A,0))-IF(AN1563="",0,AN1563)),"")</f>
        <v>683</v>
      </c>
      <c r="S1563" s="53">
        <f t="shared" si="672"/>
        <v>112.6</v>
      </c>
      <c r="T1563" s="52" t="str">
        <f t="shared" si="673"/>
        <v/>
      </c>
      <c r="U1563" s="52">
        <f>IFERROR(IF(AR1564=AR1563,INDEX('Aub Demand'!Q:Q,MATCH($O1563,'Aub Demand'!$A:$A,0))-IF(AN1563="",0,AN1563)+AP1564,INDEX('Aub Demand'!Q:Q,MATCH($O1563,'Aub Demand'!$A:$A,0))-IF(AN1563="",0,AN1563)),"")</f>
        <v>683</v>
      </c>
      <c r="V1563" s="53">
        <f t="shared" si="674"/>
        <v>112.6</v>
      </c>
      <c r="W1563" s="52" t="str">
        <f t="shared" si="675"/>
        <v/>
      </c>
      <c r="X1563" s="52">
        <f>IFERROR(IF(AND(AR1564=AR1563,AM1563&lt;&gt;""),INDEX('Aub Demand'!Q:Q,MATCH($O1563,'Aub Demand'!$A:$A,0))-IF(AN1563="",0,AN1563)+AP1564+AD1563+AL1563,IF(AR1564=AR1563,INDEX('Aub Demand'!Q:Q,MATCH($O1563,'Aub Demand'!$A:$A,0))-IF(AN1563="",0,AN1563)+AP1564+AD1563,IF(AM1563&lt;&gt;"",INDEX('Aub Demand'!Q:Q,MATCH($O1563,'Aub Demand'!$A:$A,0))-IF(AN1563="",0,AN1563)+AD1563+AL1563,INDEX('Aub Demand'!Q:Q,MATCH($O1563,'Aub Demand'!$A:$A,0))-IF(AN1563="",0,AN1563)+AD1563))),"")</f>
        <v>683</v>
      </c>
      <c r="Y1563" s="53">
        <f t="shared" si="676"/>
        <v>112.6</v>
      </c>
      <c r="Z1563" s="52">
        <f>IF(L1563="","",INDEX('Aub Demand'!H:H,MATCH($O1563,'Aub Demand'!$A:$A,0)))</f>
        <v>26</v>
      </c>
      <c r="AA1563" s="52" t="str">
        <f t="shared" si="677"/>
        <v>-spike-</v>
      </c>
      <c r="AB1563" s="52">
        <f>IFERROR(INDEX('Aub Demand'!L:L,MATCH($O1563,'Aub Demand'!$A:$A,0)),"")</f>
        <v>19</v>
      </c>
      <c r="AC1563" s="52">
        <f>IFERROR(IF(O1563="","",SUMIFS('CPL Mats'!F:F,'CPL Mats'!Q:Q,AR1563,'CPL Mats'!S:S,AS1563)),"")</f>
        <v>0</v>
      </c>
      <c r="AF1563" s="25" t="str">
        <f>IF(SUMIFS('Supp Consol'!S:S,'Supp Consol'!Y:Y,"Releasable",'Supp Consol'!A:A,O1563)=0,"",SUMIFS('Supp Consol'!S:S,'Supp Consol'!Y:Y,"Releasable",'Supp Consol'!A:A,O1563))</f>
        <v/>
      </c>
      <c r="AG1563" s="25" t="str">
        <f>IFERROR(INDEX('Hun Demand'!Q:Q,MATCH(O1563,'Hun Demand'!A:A,0)),"")</f>
        <v/>
      </c>
      <c r="AH1563" s="25" t="str">
        <f>IFERROR(INDEX('Hun Demand'!H:H,MATCH($O1563,'Hun Demand'!$A:$A,0)),"")</f>
        <v/>
      </c>
      <c r="AI1563" s="25" t="str">
        <f>IF(SUMIFS('Supp Consol'!AA:AA,'Supp Consol'!Z:Z,"Expires this month",'Supp Consol'!A:A,O1563)=0,"",SUMIFS('Supp Consol'!AA:AA,'Supp Consol'!Z:Z,"Expires this month",'Supp Consol'!A:A,O1563))</f>
        <v/>
      </c>
      <c r="AJ1563" s="25" t="str">
        <f>IF(SUMIFS('Supp Consol'!AA:AA,'Supp Consol'!Z:Z,"Expired Previous Months",'Supp Consol'!A:A,O1563)=0,"",SUMIFS('Supp Consol'!AA:AA,'Supp Consol'!Z:Z,"Expired Previous Months",'Supp Consol'!A:A,O1563))</f>
        <v/>
      </c>
      <c r="AK1563" s="25" t="str">
        <f>IFERROR(INDEX('Hun Release Current'!B:B,MATCH(O1563,'Hun Release Current'!A:A,0)),"")</f>
        <v/>
      </c>
      <c r="AL1563" s="25" t="str">
        <f>IF(SUMIF('Prev Aub'!A:A,O1563,'Prev Aub'!B:B)=0,"",SUMIF('Prev Aub'!A:A,O1563,'Prev Aub'!B:B))</f>
        <v/>
      </c>
      <c r="AN1563" s="25" t="s">
        <v>3790</v>
      </c>
      <c r="AO1563" s="25" t="s">
        <v>3790</v>
      </c>
      <c r="AP1563" s="25">
        <f t="shared" si="678"/>
        <v>0</v>
      </c>
      <c r="AQ1563" s="151" t="str">
        <f>IF(SUMIFS('Supp Consol'!S:S,'Supp Consol'!A:A,O1563,'Supp Consol'!I:I,"PENDING")=0,"",SUMIFS('Supp Consol'!S:S,'Supp Consol'!A:A,O1563,'Supp Consol'!I:I,"PENDING"))</f>
        <v/>
      </c>
      <c r="AR1563" s="27" t="str">
        <f t="shared" si="679"/>
        <v>WW220</v>
      </c>
      <c r="AS1563" s="27" t="str">
        <f t="shared" si="680"/>
        <v>62</v>
      </c>
      <c r="AT1563" s="27" t="str">
        <f t="shared" si="681"/>
        <v/>
      </c>
      <c r="AU1563" s="27" t="str">
        <f t="shared" si="682"/>
        <v/>
      </c>
      <c r="AV1563" s="27" t="str">
        <f t="shared" si="683"/>
        <v/>
      </c>
      <c r="AW1563" s="27" t="str">
        <f t="shared" si="684"/>
        <v/>
      </c>
      <c r="AX1563" s="27" t="str">
        <f t="shared" si="685"/>
        <v/>
      </c>
      <c r="AY1563" s="27" t="str">
        <f t="shared" si="686"/>
        <v/>
      </c>
      <c r="AZ1563" s="27" t="str">
        <f t="shared" si="687"/>
        <v/>
      </c>
      <c r="BA1563" s="27" t="str">
        <f t="shared" si="688"/>
        <v/>
      </c>
      <c r="BB1563" s="27" t="str">
        <f t="shared" si="689"/>
        <v/>
      </c>
      <c r="BC1563" s="27" t="str">
        <f t="shared" si="690"/>
        <v/>
      </c>
      <c r="BD1563" s="27" t="str">
        <f t="shared" si="691"/>
        <v/>
      </c>
      <c r="BE1563" s="27" t="str">
        <f t="shared" si="692"/>
        <v/>
      </c>
      <c r="BF1563" s="27" t="str">
        <f t="shared" si="693"/>
        <v/>
      </c>
      <c r="BG1563" s="27" t="str">
        <f t="shared" si="694"/>
        <v/>
      </c>
      <c r="BH1563" s="27" t="str">
        <f t="shared" si="695"/>
        <v/>
      </c>
      <c r="BI1563" s="27" t="str">
        <f t="shared" si="696"/>
        <v/>
      </c>
      <c r="BJ1563" s="27" t="str">
        <f t="shared" si="697"/>
        <v/>
      </c>
      <c r="BK1563" s="27" t="str">
        <f t="shared" si="698"/>
        <v/>
      </c>
      <c r="BL1563" s="27" t="str">
        <f t="shared" si="699"/>
        <v/>
      </c>
      <c r="BM1563" s="21" t="s">
        <v>5581</v>
      </c>
    </row>
    <row r="1564" spans="1:65" ht="15">
      <c r="A1564" s="25" t="str">
        <f>IFERROR(INDEX('Hun Demand'!W:W,MATCH(O1564,'Hun Demand'!A:A,0)),"")</f>
        <v/>
      </c>
      <c r="B1564" s="25" t="str">
        <f>IFERROR(INDEX('Hun Demand'!V:V,MATCH(O1564,'Hun Demand'!A:A,0)),"")</f>
        <v/>
      </c>
      <c r="C1564" s="25" t="str">
        <f>IFERROR(INDEX('Hun Demand'!U:U,MATCH(O1564,'Hun Demand'!A:A,0)),"")</f>
        <v/>
      </c>
      <c r="D1564" s="25" t="str">
        <f>IFERROR(INDEX('Hun Demand'!T:T,MATCH(O1564,'Hun Demand'!A:A,0)),"")</f>
        <v/>
      </c>
      <c r="E1564" s="25" t="str">
        <f>IFERROR(INDEX('Hun Demand'!S:S,MATCH(O1564,'Hun Demand'!A:A,0)),"")</f>
        <v/>
      </c>
      <c r="F1564" s="25" t="str">
        <f>IFERROR(INDEX('Hun Demand'!R:R,MATCH(O1564,'Hun Demand'!A:A,0)),"")</f>
        <v/>
      </c>
      <c r="G1564" s="25">
        <f>IFERROR(INDEX('Aub Demand'!W:W,MATCH(O1564,'Aub Demand'!A:A,0)),"")</f>
        <v>0</v>
      </c>
      <c r="H1564" s="25">
        <f>IFERROR(INDEX('Aub Demand'!V:V,MATCH(O1564,'Aub Demand'!A:A,0)),"")</f>
        <v>0</v>
      </c>
      <c r="I1564" s="25">
        <f>IFERROR(INDEX('Aub Demand'!U:U,MATCH(O1564,'Aub Demand'!A:A,0)),"")</f>
        <v>0</v>
      </c>
      <c r="J1564" s="25">
        <f>IFERROR(INDEX('Aub Demand'!T:T,MATCH(O1564,'Aub Demand'!A:A,0)),"")</f>
        <v>0</v>
      </c>
      <c r="K1564" s="25">
        <f>IFERROR(INDEX('Aub Demand'!S:S,MATCH(O1564,'Aub Demand'!A:A,0)),"")</f>
        <v>0</v>
      </c>
      <c r="L1564" s="25">
        <f>IFERROR(INDEX('Aub Demand'!R:R,MATCH(O1564,'Aub Demand'!A:A,0)),"")</f>
        <v>0</v>
      </c>
      <c r="O1564" s="27" t="s">
        <v>1881</v>
      </c>
      <c r="P1564" s="27" t="str">
        <f>IFERROR(INDEX('Aub Demand'!B:B,MATCH($O1564,'Aub Demand'!$A:$A,0)),"")</f>
        <v>VINA L18 (ONLY 58" P</v>
      </c>
      <c r="Q1564" s="27" t="str">
        <f>IFERROR(INDEX('Aub Demand'!C:C,MATCH($O1564,'Aub Demand'!$A:$A,0)),"")</f>
        <v>STEVE</v>
      </c>
      <c r="R1564" s="52">
        <f>IFERROR(IF(AR1565=AR1564,INDEX('Aub Demand'!K:K,MATCH($O1564,'Aub Demand'!$A:$A,0))-IF(AN1564="",0,AN1564)+AP1565,INDEX('Aub Demand'!K:K,MATCH($O1564,'Aub Demand'!$A:$A,0))-IF(AN1564="",0,AN1564)),"")</f>
        <v>248</v>
      </c>
      <c r="S1564" s="53" t="str">
        <f t="shared" si="672"/>
        <v>n/a</v>
      </c>
      <c r="T1564" s="52" t="str">
        <f t="shared" si="673"/>
        <v/>
      </c>
      <c r="U1564" s="52">
        <f>IFERROR(IF(AR1565=AR1564,INDEX('Aub Demand'!Q:Q,MATCH($O1564,'Aub Demand'!$A:$A,0))-IF(AN1564="",0,AN1564)+AP1565,INDEX('Aub Demand'!Q:Q,MATCH($O1564,'Aub Demand'!$A:$A,0))-IF(AN1564="",0,AN1564)),"")</f>
        <v>248</v>
      </c>
      <c r="V1564" s="53" t="str">
        <f t="shared" si="674"/>
        <v>n/a</v>
      </c>
      <c r="W1564" s="52" t="str">
        <f t="shared" si="675"/>
        <v/>
      </c>
      <c r="X1564" s="52">
        <f>IFERROR(IF(AND(AR1565=AR1564,AM1564&lt;&gt;""),INDEX('Aub Demand'!Q:Q,MATCH($O1564,'Aub Demand'!$A:$A,0))-IF(AN1564="",0,AN1564)+AP1565+AD1564+AL1564,IF(AR1565=AR1564,INDEX('Aub Demand'!Q:Q,MATCH($O1564,'Aub Demand'!$A:$A,0))-IF(AN1564="",0,AN1564)+AP1565+AD1564,IF(AM1564&lt;&gt;"",INDEX('Aub Demand'!Q:Q,MATCH($O1564,'Aub Demand'!$A:$A,0))-IF(AN1564="",0,AN1564)+AD1564+AL1564,INDEX('Aub Demand'!Q:Q,MATCH($O1564,'Aub Demand'!$A:$A,0))-IF(AN1564="",0,AN1564)+AD1564))),"")</f>
        <v>248</v>
      </c>
      <c r="Y1564" s="53" t="str">
        <f t="shared" si="676"/>
        <v>n/a</v>
      </c>
      <c r="Z1564" s="52">
        <f>IF(L1564="","",INDEX('Aub Demand'!H:H,MATCH($O1564,'Aub Demand'!$A:$A,0)))</f>
        <v>0</v>
      </c>
      <c r="AA1564" s="52" t="str">
        <f t="shared" si="677"/>
        <v>-spike-</v>
      </c>
      <c r="AB1564" s="52">
        <f>IFERROR(INDEX('Aub Demand'!L:L,MATCH($O1564,'Aub Demand'!$A:$A,0)),"")</f>
        <v>0</v>
      </c>
      <c r="AC1564" s="52">
        <f>IFERROR(IF(O1564="","",SUMIFS('CPL Mats'!F:F,'CPL Mats'!Q:Q,AR1564,'CPL Mats'!S:S,AS1564)),"")</f>
        <v>0</v>
      </c>
      <c r="AF1564" s="25" t="str">
        <f>IF(SUMIFS('Supp Consol'!S:S,'Supp Consol'!Y:Y,"Releasable",'Supp Consol'!A:A,O1564)=0,"",SUMIFS('Supp Consol'!S:S,'Supp Consol'!Y:Y,"Releasable",'Supp Consol'!A:A,O1564))</f>
        <v/>
      </c>
      <c r="AG1564" s="25" t="str">
        <f>IFERROR(INDEX('Hun Demand'!Q:Q,MATCH(O1564,'Hun Demand'!A:A,0)),"")</f>
        <v/>
      </c>
      <c r="AH1564" s="25" t="str">
        <f>IFERROR(INDEX('Hun Demand'!H:H,MATCH($O1564,'Hun Demand'!$A:$A,0)),"")</f>
        <v/>
      </c>
      <c r="AI1564" s="25" t="str">
        <f>IF(SUMIFS('Supp Consol'!AA:AA,'Supp Consol'!Z:Z,"Expires this month",'Supp Consol'!A:A,O1564)=0,"",SUMIFS('Supp Consol'!AA:AA,'Supp Consol'!Z:Z,"Expires this month",'Supp Consol'!A:A,O1564))</f>
        <v/>
      </c>
      <c r="AJ1564" s="25" t="str">
        <f>IF(SUMIFS('Supp Consol'!AA:AA,'Supp Consol'!Z:Z,"Expired Previous Months",'Supp Consol'!A:A,O1564)=0,"",SUMIFS('Supp Consol'!AA:AA,'Supp Consol'!Z:Z,"Expired Previous Months",'Supp Consol'!A:A,O1564))</f>
        <v/>
      </c>
      <c r="AK1564" s="25" t="str">
        <f>IFERROR(INDEX('Hun Release Current'!B:B,MATCH(O1564,'Hun Release Current'!A:A,0)),"")</f>
        <v/>
      </c>
      <c r="AL1564" s="25" t="str">
        <f>IF(SUMIF('Prev Aub'!A:A,O1564,'Prev Aub'!B:B)=0,"",SUMIF('Prev Aub'!A:A,O1564,'Prev Aub'!B:B))</f>
        <v/>
      </c>
      <c r="AN1564" s="25" t="s">
        <v>3790</v>
      </c>
      <c r="AO1564" s="25" t="s">
        <v>3790</v>
      </c>
      <c r="AP1564" s="25">
        <f t="shared" si="678"/>
        <v>0</v>
      </c>
      <c r="AQ1564" s="151" t="str">
        <f>IF(SUMIFS('Supp Consol'!S:S,'Supp Consol'!A:A,O1564,'Supp Consol'!I:I,"PENDING")=0,"",SUMIFS('Supp Consol'!S:S,'Supp Consol'!A:A,O1564,'Supp Consol'!I:I,"PENDING"))</f>
        <v/>
      </c>
      <c r="AR1564" s="27" t="str">
        <f t="shared" si="679"/>
        <v>WW260</v>
      </c>
      <c r="AS1564" s="27" t="str">
        <f t="shared" si="680"/>
        <v>62</v>
      </c>
      <c r="AT1564" s="27" t="str">
        <f t="shared" si="681"/>
        <v/>
      </c>
      <c r="AU1564" s="27" t="str">
        <f t="shared" si="682"/>
        <v/>
      </c>
      <c r="AV1564" s="27" t="str">
        <f t="shared" si="683"/>
        <v/>
      </c>
      <c r="AW1564" s="27" t="str">
        <f t="shared" si="684"/>
        <v/>
      </c>
      <c r="AX1564" s="27" t="str">
        <f t="shared" si="685"/>
        <v/>
      </c>
      <c r="AY1564" s="27" t="str">
        <f t="shared" si="686"/>
        <v/>
      </c>
      <c r="AZ1564" s="27" t="str">
        <f t="shared" si="687"/>
        <v/>
      </c>
      <c r="BA1564" s="27" t="str">
        <f t="shared" si="688"/>
        <v/>
      </c>
      <c r="BB1564" s="27" t="str">
        <f t="shared" si="689"/>
        <v/>
      </c>
      <c r="BC1564" s="27" t="str">
        <f t="shared" si="690"/>
        <v/>
      </c>
      <c r="BD1564" s="27" t="str">
        <f t="shared" si="691"/>
        <v/>
      </c>
      <c r="BE1564" s="27" t="str">
        <f t="shared" si="692"/>
        <v/>
      </c>
      <c r="BF1564" s="27" t="str">
        <f t="shared" si="693"/>
        <v/>
      </c>
      <c r="BG1564" s="27" t="str">
        <f t="shared" si="694"/>
        <v/>
      </c>
      <c r="BH1564" s="27" t="str">
        <f t="shared" si="695"/>
        <v/>
      </c>
      <c r="BI1564" s="27" t="str">
        <f t="shared" si="696"/>
        <v/>
      </c>
      <c r="BJ1564" s="27" t="str">
        <f t="shared" si="697"/>
        <v/>
      </c>
      <c r="BK1564" s="27" t="str">
        <f t="shared" si="698"/>
        <v/>
      </c>
      <c r="BL1564" s="27" t="str">
        <f t="shared" si="699"/>
        <v/>
      </c>
      <c r="BM1564" s="21" t="s">
        <v>5581</v>
      </c>
    </row>
    <row r="1565" spans="1:65" ht="15">
      <c r="A1565" s="25" t="str">
        <f>IFERROR(INDEX('Hun Demand'!W:W,MATCH(O1565,'Hun Demand'!A:A,0)),"")</f>
        <v/>
      </c>
      <c r="B1565" s="25" t="str">
        <f>IFERROR(INDEX('Hun Demand'!V:V,MATCH(O1565,'Hun Demand'!A:A,0)),"")</f>
        <v/>
      </c>
      <c r="C1565" s="25" t="str">
        <f>IFERROR(INDEX('Hun Demand'!U:U,MATCH(O1565,'Hun Demand'!A:A,0)),"")</f>
        <v/>
      </c>
      <c r="D1565" s="25" t="str">
        <f>IFERROR(INDEX('Hun Demand'!T:T,MATCH(O1565,'Hun Demand'!A:A,0)),"")</f>
        <v/>
      </c>
      <c r="E1565" s="25" t="str">
        <f>IFERROR(INDEX('Hun Demand'!S:S,MATCH(O1565,'Hun Demand'!A:A,0)),"")</f>
        <v/>
      </c>
      <c r="F1565" s="25" t="str">
        <f>IFERROR(INDEX('Hun Demand'!R:R,MATCH(O1565,'Hun Demand'!A:A,0)),"")</f>
        <v/>
      </c>
      <c r="G1565" s="25">
        <f>IFERROR(INDEX('Aub Demand'!W:W,MATCH(O1565,'Aub Demand'!A:A,0)),"")</f>
        <v>0</v>
      </c>
      <c r="H1565" s="25">
        <f>IFERROR(INDEX('Aub Demand'!V:V,MATCH(O1565,'Aub Demand'!A:A,0)),"")</f>
        <v>0</v>
      </c>
      <c r="I1565" s="25">
        <f>IFERROR(INDEX('Aub Demand'!U:U,MATCH(O1565,'Aub Demand'!A:A,0)),"")</f>
        <v>0</v>
      </c>
      <c r="J1565" s="25">
        <f>IFERROR(INDEX('Aub Demand'!T:T,MATCH(O1565,'Aub Demand'!A:A,0)),"")</f>
        <v>0</v>
      </c>
      <c r="K1565" s="25">
        <f>IFERROR(INDEX('Aub Demand'!S:S,MATCH(O1565,'Aub Demand'!A:A,0)),"")</f>
        <v>0</v>
      </c>
      <c r="L1565" s="25">
        <f>IFERROR(INDEX('Aub Demand'!R:R,MATCH(O1565,'Aub Demand'!A:A,0)),"")</f>
        <v>0</v>
      </c>
      <c r="O1565" s="27" t="s">
        <v>1883</v>
      </c>
      <c r="P1565" s="27" t="str">
        <f>IFERROR(INDEX('Aub Demand'!B:B,MATCH($O1565,'Aub Demand'!$A:$A,0)),"")</f>
        <v>DARK WALNUT W66</v>
      </c>
      <c r="Q1565" s="27" t="str">
        <f>IFERROR(INDEX('Aub Demand'!C:C,MATCH($O1565,'Aub Demand'!$A:$A,0)),"")</f>
        <v>STEVE</v>
      </c>
      <c r="R1565" s="52">
        <f>IFERROR(IF(AR1566=AR1565,INDEX('Aub Demand'!K:K,MATCH($O1565,'Aub Demand'!$A:$A,0))-IF(AN1565="",0,AN1565)+AP1566,INDEX('Aub Demand'!K:K,MATCH($O1565,'Aub Demand'!$A:$A,0))-IF(AN1565="",0,AN1565)),"")</f>
        <v>391</v>
      </c>
      <c r="S1565" s="53" t="str">
        <f t="shared" si="672"/>
        <v>n/a</v>
      </c>
      <c r="T1565" s="52" t="str">
        <f t="shared" si="673"/>
        <v/>
      </c>
      <c r="U1565" s="52">
        <f>IFERROR(IF(AR1566=AR1565,INDEX('Aub Demand'!Q:Q,MATCH($O1565,'Aub Demand'!$A:$A,0))-IF(AN1565="",0,AN1565)+AP1566,INDEX('Aub Demand'!Q:Q,MATCH($O1565,'Aub Demand'!$A:$A,0))-IF(AN1565="",0,AN1565)),"")</f>
        <v>391</v>
      </c>
      <c r="V1565" s="53" t="str">
        <f t="shared" si="674"/>
        <v>n/a</v>
      </c>
      <c r="W1565" s="52" t="str">
        <f t="shared" si="675"/>
        <v/>
      </c>
      <c r="X1565" s="52">
        <f>IFERROR(IF(AND(AR1566=AR1565,AM1565&lt;&gt;""),INDEX('Aub Demand'!Q:Q,MATCH($O1565,'Aub Demand'!$A:$A,0))-IF(AN1565="",0,AN1565)+AP1566+AD1565+AL1565,IF(AR1566=AR1565,INDEX('Aub Demand'!Q:Q,MATCH($O1565,'Aub Demand'!$A:$A,0))-IF(AN1565="",0,AN1565)+AP1566+AD1565,IF(AM1565&lt;&gt;"",INDEX('Aub Demand'!Q:Q,MATCH($O1565,'Aub Demand'!$A:$A,0))-IF(AN1565="",0,AN1565)+AD1565+AL1565,INDEX('Aub Demand'!Q:Q,MATCH($O1565,'Aub Demand'!$A:$A,0))-IF(AN1565="",0,AN1565)+AD1565))),"")</f>
        <v>391</v>
      </c>
      <c r="Y1565" s="53" t="str">
        <f t="shared" si="676"/>
        <v>n/a</v>
      </c>
      <c r="Z1565" s="52">
        <f>IF(L1565="","",INDEX('Aub Demand'!H:H,MATCH($O1565,'Aub Demand'!$A:$A,0)))</f>
        <v>0</v>
      </c>
      <c r="AA1565" s="52" t="str">
        <f t="shared" si="677"/>
        <v>-spike-</v>
      </c>
      <c r="AB1565" s="52">
        <f>IFERROR(INDEX('Aub Demand'!L:L,MATCH($O1565,'Aub Demand'!$A:$A,0)),"")</f>
        <v>4</v>
      </c>
      <c r="AC1565" s="52">
        <f>IFERROR(IF(O1565="","",SUMIFS('CPL Mats'!F:F,'CPL Mats'!Q:Q,AR1565,'CPL Mats'!S:S,AS1565)),"")</f>
        <v>0</v>
      </c>
      <c r="AF1565" s="25" t="str">
        <f>IF(SUMIFS('Supp Consol'!S:S,'Supp Consol'!Y:Y,"Releasable",'Supp Consol'!A:A,O1565)=0,"",SUMIFS('Supp Consol'!S:S,'Supp Consol'!Y:Y,"Releasable",'Supp Consol'!A:A,O1565))</f>
        <v/>
      </c>
      <c r="AG1565" s="25" t="str">
        <f>IFERROR(INDEX('Hun Demand'!Q:Q,MATCH(O1565,'Hun Demand'!A:A,0)),"")</f>
        <v/>
      </c>
      <c r="AH1565" s="25" t="str">
        <f>IFERROR(INDEX('Hun Demand'!H:H,MATCH($O1565,'Hun Demand'!$A:$A,0)),"")</f>
        <v/>
      </c>
      <c r="AI1565" s="25" t="str">
        <f>IF(SUMIFS('Supp Consol'!AA:AA,'Supp Consol'!Z:Z,"Expires this month",'Supp Consol'!A:A,O1565)=0,"",SUMIFS('Supp Consol'!AA:AA,'Supp Consol'!Z:Z,"Expires this month",'Supp Consol'!A:A,O1565))</f>
        <v/>
      </c>
      <c r="AJ1565" s="25" t="str">
        <f>IF(SUMIFS('Supp Consol'!AA:AA,'Supp Consol'!Z:Z,"Expired Previous Months",'Supp Consol'!A:A,O1565)=0,"",SUMIFS('Supp Consol'!AA:AA,'Supp Consol'!Z:Z,"Expired Previous Months",'Supp Consol'!A:A,O1565))</f>
        <v/>
      </c>
      <c r="AK1565" s="25" t="str">
        <f>IFERROR(INDEX('Hun Release Current'!B:B,MATCH(O1565,'Hun Release Current'!A:A,0)),"")</f>
        <v/>
      </c>
      <c r="AL1565" s="25" t="str">
        <f>IF(SUMIF('Prev Aub'!A:A,O1565,'Prev Aub'!B:B)=0,"",SUMIF('Prev Aub'!A:A,O1565,'Prev Aub'!B:B))</f>
        <v/>
      </c>
      <c r="AN1565" s="25" t="s">
        <v>3790</v>
      </c>
      <c r="AO1565" s="25" t="s">
        <v>3790</v>
      </c>
      <c r="AP1565" s="25">
        <f t="shared" si="678"/>
        <v>0</v>
      </c>
      <c r="AQ1565" s="151" t="str">
        <f>IF(SUMIFS('Supp Consol'!S:S,'Supp Consol'!A:A,O1565,'Supp Consol'!I:I,"PENDING")=0,"",SUMIFS('Supp Consol'!S:S,'Supp Consol'!A:A,O1565,'Supp Consol'!I:I,"PENDING"))</f>
        <v/>
      </c>
      <c r="AR1565" s="27" t="str">
        <f t="shared" si="679"/>
        <v>WW270</v>
      </c>
      <c r="AS1565" s="27" t="str">
        <f t="shared" si="680"/>
        <v>62</v>
      </c>
      <c r="AT1565" s="27" t="str">
        <f t="shared" si="681"/>
        <v/>
      </c>
      <c r="AU1565" s="27" t="str">
        <f t="shared" si="682"/>
        <v/>
      </c>
      <c r="AV1565" s="27" t="str">
        <f t="shared" si="683"/>
        <v/>
      </c>
      <c r="AW1565" s="27" t="str">
        <f t="shared" si="684"/>
        <v/>
      </c>
      <c r="AX1565" s="27" t="str">
        <f t="shared" si="685"/>
        <v/>
      </c>
      <c r="AY1565" s="27" t="str">
        <f t="shared" si="686"/>
        <v/>
      </c>
      <c r="AZ1565" s="27" t="str">
        <f t="shared" si="687"/>
        <v/>
      </c>
      <c r="BA1565" s="27" t="str">
        <f t="shared" si="688"/>
        <v/>
      </c>
      <c r="BB1565" s="27" t="str">
        <f t="shared" si="689"/>
        <v/>
      </c>
      <c r="BC1565" s="27" t="str">
        <f t="shared" si="690"/>
        <v/>
      </c>
      <c r="BD1565" s="27" t="str">
        <f t="shared" si="691"/>
        <v/>
      </c>
      <c r="BE1565" s="27" t="str">
        <f t="shared" si="692"/>
        <v/>
      </c>
      <c r="BF1565" s="27" t="str">
        <f t="shared" si="693"/>
        <v/>
      </c>
      <c r="BG1565" s="27" t="str">
        <f t="shared" si="694"/>
        <v/>
      </c>
      <c r="BH1565" s="27" t="str">
        <f t="shared" si="695"/>
        <v/>
      </c>
      <c r="BI1565" s="27" t="str">
        <f t="shared" si="696"/>
        <v/>
      </c>
      <c r="BJ1565" s="27" t="str">
        <f t="shared" si="697"/>
        <v/>
      </c>
      <c r="BK1565" s="27" t="str">
        <f t="shared" si="698"/>
        <v/>
      </c>
      <c r="BL1565" s="27" t="str">
        <f t="shared" si="699"/>
        <v/>
      </c>
      <c r="BM1565" s="21" t="s">
        <v>5581</v>
      </c>
    </row>
    <row r="1566" spans="1:65" ht="15">
      <c r="A1566" s="25" t="str">
        <f>IFERROR(INDEX('Hun Demand'!W:W,MATCH(O1566,'Hun Demand'!A:A,0)),"")</f>
        <v/>
      </c>
      <c r="B1566" s="25" t="str">
        <f>IFERROR(INDEX('Hun Demand'!V:V,MATCH(O1566,'Hun Demand'!A:A,0)),"")</f>
        <v/>
      </c>
      <c r="C1566" s="25" t="str">
        <f>IFERROR(INDEX('Hun Demand'!U:U,MATCH(O1566,'Hun Demand'!A:A,0)),"")</f>
        <v/>
      </c>
      <c r="D1566" s="25" t="str">
        <f>IFERROR(INDEX('Hun Demand'!T:T,MATCH(O1566,'Hun Demand'!A:A,0)),"")</f>
        <v/>
      </c>
      <c r="E1566" s="25" t="str">
        <f>IFERROR(INDEX('Hun Demand'!S:S,MATCH(O1566,'Hun Demand'!A:A,0)),"")</f>
        <v/>
      </c>
      <c r="F1566" s="25" t="str">
        <f>IFERROR(INDEX('Hun Demand'!R:R,MATCH(O1566,'Hun Demand'!A:A,0)),"")</f>
        <v/>
      </c>
      <c r="G1566" s="25">
        <f>IFERROR(INDEX('Aub Demand'!W:W,MATCH(O1566,'Aub Demand'!A:A,0)),"")</f>
        <v>0</v>
      </c>
      <c r="H1566" s="25">
        <f>IFERROR(INDEX('Aub Demand'!V:V,MATCH(O1566,'Aub Demand'!A:A,0)),"")</f>
        <v>0</v>
      </c>
      <c r="I1566" s="25">
        <f>IFERROR(INDEX('Aub Demand'!U:U,MATCH(O1566,'Aub Demand'!A:A,0)),"")</f>
        <v>0</v>
      </c>
      <c r="J1566" s="25">
        <f>IFERROR(INDEX('Aub Demand'!T:T,MATCH(O1566,'Aub Demand'!A:A,0)),"")</f>
        <v>0</v>
      </c>
      <c r="K1566" s="25">
        <f>IFERROR(INDEX('Aub Demand'!S:S,MATCH(O1566,'Aub Demand'!A:A,0)),"")</f>
        <v>0</v>
      </c>
      <c r="L1566" s="25">
        <f>IFERROR(INDEX('Aub Demand'!R:R,MATCH(O1566,'Aub Demand'!A:A,0)),"")</f>
        <v>0</v>
      </c>
      <c r="O1566" s="27" t="s">
        <v>1885</v>
      </c>
      <c r="P1566" s="27" t="str">
        <f>IFERROR(INDEX('Aub Demand'!B:B,MATCH($O1566,'Aub Demand'!$A:$A,0)),"")</f>
        <v>BLEACHED WALNUT W42</v>
      </c>
      <c r="Q1566" s="27" t="str">
        <f>IFERROR(INDEX('Aub Demand'!C:C,MATCH($O1566,'Aub Demand'!$A:$A,0)),"")</f>
        <v>STEVE</v>
      </c>
      <c r="R1566" s="52">
        <f>IFERROR(IF(AR1567=AR1566,INDEX('Aub Demand'!K:K,MATCH($O1566,'Aub Demand'!$A:$A,0))-IF(AN1566="",0,AN1566)+AP1567,INDEX('Aub Demand'!K:K,MATCH($O1566,'Aub Demand'!$A:$A,0))-IF(AN1566="",0,AN1566)),"")</f>
        <v>406</v>
      </c>
      <c r="S1566" s="53" t="str">
        <f t="shared" si="672"/>
        <v>n/a</v>
      </c>
      <c r="T1566" s="52" t="str">
        <f t="shared" si="673"/>
        <v/>
      </c>
      <c r="U1566" s="52">
        <f>IFERROR(IF(AR1567=AR1566,INDEX('Aub Demand'!Q:Q,MATCH($O1566,'Aub Demand'!$A:$A,0))-IF(AN1566="",0,AN1566)+AP1567,INDEX('Aub Demand'!Q:Q,MATCH($O1566,'Aub Demand'!$A:$A,0))-IF(AN1566="",0,AN1566)),"")</f>
        <v>406</v>
      </c>
      <c r="V1566" s="53" t="str">
        <f t="shared" si="674"/>
        <v>n/a</v>
      </c>
      <c r="W1566" s="52" t="str">
        <f t="shared" si="675"/>
        <v/>
      </c>
      <c r="X1566" s="52">
        <f>IFERROR(IF(AND(AR1567=AR1566,AM1566&lt;&gt;""),INDEX('Aub Demand'!Q:Q,MATCH($O1566,'Aub Demand'!$A:$A,0))-IF(AN1566="",0,AN1566)+AP1567+AD1566+AL1566,IF(AR1567=AR1566,INDEX('Aub Demand'!Q:Q,MATCH($O1566,'Aub Demand'!$A:$A,0))-IF(AN1566="",0,AN1566)+AP1567+AD1566,IF(AM1566&lt;&gt;"",INDEX('Aub Demand'!Q:Q,MATCH($O1566,'Aub Demand'!$A:$A,0))-IF(AN1566="",0,AN1566)+AD1566+AL1566,INDEX('Aub Demand'!Q:Q,MATCH($O1566,'Aub Demand'!$A:$A,0))-IF(AN1566="",0,AN1566)+AD1566))),"")</f>
        <v>406</v>
      </c>
      <c r="Y1566" s="53" t="str">
        <f t="shared" si="676"/>
        <v>n/a</v>
      </c>
      <c r="Z1566" s="52">
        <f>IF(L1566="","",INDEX('Aub Demand'!H:H,MATCH($O1566,'Aub Demand'!$A:$A,0)))</f>
        <v>0</v>
      </c>
      <c r="AA1566" s="52" t="str">
        <f t="shared" si="677"/>
        <v>-spike-</v>
      </c>
      <c r="AB1566" s="52">
        <f>IFERROR(INDEX('Aub Demand'!L:L,MATCH($O1566,'Aub Demand'!$A:$A,0)),"")</f>
        <v>3</v>
      </c>
      <c r="AC1566" s="52">
        <f>IFERROR(IF(O1566="","",SUMIFS('CPL Mats'!F:F,'CPL Mats'!Q:Q,AR1566,'CPL Mats'!S:S,AS1566)),"")</f>
        <v>0</v>
      </c>
      <c r="AF1566" s="25" t="str">
        <f>IF(SUMIFS('Supp Consol'!S:S,'Supp Consol'!Y:Y,"Releasable",'Supp Consol'!A:A,O1566)=0,"",SUMIFS('Supp Consol'!S:S,'Supp Consol'!Y:Y,"Releasable",'Supp Consol'!A:A,O1566))</f>
        <v/>
      </c>
      <c r="AG1566" s="25" t="str">
        <f>IFERROR(INDEX('Hun Demand'!Q:Q,MATCH(O1566,'Hun Demand'!A:A,0)),"")</f>
        <v/>
      </c>
      <c r="AH1566" s="25" t="str">
        <f>IFERROR(INDEX('Hun Demand'!H:H,MATCH($O1566,'Hun Demand'!$A:$A,0)),"")</f>
        <v/>
      </c>
      <c r="AI1566" s="25" t="str">
        <f>IF(SUMIFS('Supp Consol'!AA:AA,'Supp Consol'!Z:Z,"Expires this month",'Supp Consol'!A:A,O1566)=0,"",SUMIFS('Supp Consol'!AA:AA,'Supp Consol'!Z:Z,"Expires this month",'Supp Consol'!A:A,O1566))</f>
        <v/>
      </c>
      <c r="AJ1566" s="25" t="str">
        <f>IF(SUMIFS('Supp Consol'!AA:AA,'Supp Consol'!Z:Z,"Expired Previous Months",'Supp Consol'!A:A,O1566)=0,"",SUMIFS('Supp Consol'!AA:AA,'Supp Consol'!Z:Z,"Expired Previous Months",'Supp Consol'!A:A,O1566))</f>
        <v/>
      </c>
      <c r="AK1566" s="25" t="str">
        <f>IFERROR(INDEX('Hun Release Current'!B:B,MATCH(O1566,'Hun Release Current'!A:A,0)),"")</f>
        <v/>
      </c>
      <c r="AL1566" s="25" t="str">
        <f>IF(SUMIF('Prev Aub'!A:A,O1566,'Prev Aub'!B:B)=0,"",SUMIF('Prev Aub'!A:A,O1566,'Prev Aub'!B:B))</f>
        <v/>
      </c>
      <c r="AN1566" s="25" t="s">
        <v>3790</v>
      </c>
      <c r="AO1566" s="25" t="s">
        <v>3790</v>
      </c>
      <c r="AP1566" s="25">
        <f t="shared" si="678"/>
        <v>0</v>
      </c>
      <c r="AQ1566" s="151" t="str">
        <f>IF(SUMIFS('Supp Consol'!S:S,'Supp Consol'!A:A,O1566,'Supp Consol'!I:I,"PENDING")=0,"",SUMIFS('Supp Consol'!S:S,'Supp Consol'!A:A,O1566,'Supp Consol'!I:I,"PENDING"))</f>
        <v/>
      </c>
      <c r="AR1566" s="27" t="str">
        <f t="shared" si="679"/>
        <v>WW290</v>
      </c>
      <c r="AS1566" s="27" t="str">
        <f t="shared" si="680"/>
        <v>62</v>
      </c>
      <c r="AT1566" s="27" t="str">
        <f t="shared" si="681"/>
        <v/>
      </c>
      <c r="AU1566" s="27" t="str">
        <f t="shared" si="682"/>
        <v/>
      </c>
      <c r="AV1566" s="27" t="str">
        <f t="shared" si="683"/>
        <v/>
      </c>
      <c r="AW1566" s="27" t="str">
        <f t="shared" si="684"/>
        <v/>
      </c>
      <c r="AX1566" s="27" t="str">
        <f t="shared" si="685"/>
        <v/>
      </c>
      <c r="AY1566" s="27" t="str">
        <f t="shared" si="686"/>
        <v/>
      </c>
      <c r="AZ1566" s="27" t="str">
        <f t="shared" si="687"/>
        <v/>
      </c>
      <c r="BA1566" s="27" t="str">
        <f t="shared" si="688"/>
        <v/>
      </c>
      <c r="BB1566" s="27" t="str">
        <f t="shared" si="689"/>
        <v/>
      </c>
      <c r="BC1566" s="27" t="str">
        <f t="shared" si="690"/>
        <v/>
      </c>
      <c r="BD1566" s="27" t="str">
        <f t="shared" si="691"/>
        <v/>
      </c>
      <c r="BE1566" s="27" t="str">
        <f t="shared" si="692"/>
        <v/>
      </c>
      <c r="BF1566" s="27" t="str">
        <f t="shared" si="693"/>
        <v/>
      </c>
      <c r="BG1566" s="27" t="str">
        <f t="shared" si="694"/>
        <v/>
      </c>
      <c r="BH1566" s="27" t="str">
        <f t="shared" si="695"/>
        <v/>
      </c>
      <c r="BI1566" s="27" t="str">
        <f t="shared" si="696"/>
        <v/>
      </c>
      <c r="BJ1566" s="27" t="str">
        <f t="shared" si="697"/>
        <v/>
      </c>
      <c r="BK1566" s="27" t="str">
        <f t="shared" si="698"/>
        <v/>
      </c>
      <c r="BL1566" s="27" t="str">
        <f t="shared" si="699"/>
        <v/>
      </c>
      <c r="BM1566" s="21" t="s">
        <v>5581</v>
      </c>
    </row>
    <row r="1567" spans="1:65" ht="15">
      <c r="A1567" s="25">
        <f>IFERROR(INDEX('Hun Demand'!W:W,MATCH(O1567,'Hun Demand'!A:A,0)),"")</f>
        <v>0</v>
      </c>
      <c r="B1567" s="25">
        <f>IFERROR(INDEX('Hun Demand'!V:V,MATCH(O1567,'Hun Demand'!A:A,0)),"")</f>
        <v>140</v>
      </c>
      <c r="C1567" s="25">
        <f>IFERROR(INDEX('Hun Demand'!U:U,MATCH(O1567,'Hun Demand'!A:A,0)),"")</f>
        <v>94</v>
      </c>
      <c r="D1567" s="25">
        <f>IFERROR(INDEX('Hun Demand'!T:T,MATCH(O1567,'Hun Demand'!A:A,0)),"")</f>
        <v>240</v>
      </c>
      <c r="E1567" s="25">
        <f>IFERROR(INDEX('Hun Demand'!S:S,MATCH(O1567,'Hun Demand'!A:A,0)),"")</f>
        <v>0</v>
      </c>
      <c r="F1567" s="25">
        <f>IFERROR(INDEX('Hun Demand'!R:R,MATCH(O1567,'Hun Demand'!A:A,0)),"")</f>
        <v>0</v>
      </c>
      <c r="G1567" s="25">
        <f>IFERROR(INDEX('Aub Demand'!W:W,MATCH(O1567,'Aub Demand'!A:A,0)),"")</f>
        <v>433</v>
      </c>
      <c r="H1567" s="25">
        <f>IFERROR(INDEX('Aub Demand'!V:V,MATCH(O1567,'Aub Demand'!A:A,0)),"")</f>
        <v>143</v>
      </c>
      <c r="I1567" s="25">
        <f>IFERROR(INDEX('Aub Demand'!U:U,MATCH(O1567,'Aub Demand'!A:A,0)),"")</f>
        <v>352</v>
      </c>
      <c r="J1567" s="25">
        <f>IFERROR(INDEX('Aub Demand'!T:T,MATCH(O1567,'Aub Demand'!A:A,0)),"")</f>
        <v>60</v>
      </c>
      <c r="K1567" s="25">
        <f>IFERROR(INDEX('Aub Demand'!S:S,MATCH(O1567,'Aub Demand'!A:A,0)),"")</f>
        <v>100</v>
      </c>
      <c r="L1567" s="25">
        <f>IFERROR(INDEX('Aub Demand'!R:R,MATCH(O1567,'Aub Demand'!A:A,0)),"")</f>
        <v>125</v>
      </c>
      <c r="O1567" s="27" t="s">
        <v>3141</v>
      </c>
      <c r="P1567" s="27" t="str">
        <f>IFERROR(INDEX('Aub Demand'!B:B,MATCH($O1567,'Aub Demand'!$A:$A,0)),"")</f>
        <v>STOUT WALNUT</v>
      </c>
      <c r="Q1567" s="27" t="str">
        <f>IFERROR(INDEX('Aub Demand'!C:C,MATCH($O1567,'Aub Demand'!$A:$A,0)),"")</f>
        <v>IMPRE</v>
      </c>
      <c r="R1567" s="52">
        <f>IFERROR(IF(AR1568=AR1567,INDEX('Aub Demand'!K:K,MATCH($O1567,'Aub Demand'!$A:$A,0))-IF(AN1567="",0,AN1567)+AP1568,INDEX('Aub Demand'!K:K,MATCH($O1567,'Aub Demand'!$A:$A,0))-IF(AN1567="",0,AN1567)),"")</f>
        <v>85</v>
      </c>
      <c r="S1567" s="53">
        <f t="shared" si="672"/>
        <v>2.1</v>
      </c>
      <c r="T1567" s="52">
        <f t="shared" si="673"/>
        <v>53.662499999999994</v>
      </c>
      <c r="U1567" s="52">
        <f>IFERROR(IF(AR1568=AR1567,INDEX('Aub Demand'!Q:Q,MATCH($O1567,'Aub Demand'!$A:$A,0))-IF(AN1567="",0,AN1567)+AP1568,INDEX('Aub Demand'!Q:Q,MATCH($O1567,'Aub Demand'!$A:$A,0))-IF(AN1567="",0,AN1567)),"")</f>
        <v>-80</v>
      </c>
      <c r="V1567" s="53">
        <f t="shared" si="674"/>
        <v>-2</v>
      </c>
      <c r="W1567" s="52">
        <f t="shared" si="675"/>
        <v>298.125</v>
      </c>
      <c r="X1567" s="52">
        <f>IFERROR(IF(AND(AR1568=AR1567,AM1567&lt;&gt;""),INDEX('Aub Demand'!Q:Q,MATCH($O1567,'Aub Demand'!$A:$A,0))-IF(AN1567="",0,AN1567)+AP1568+AD1567+AL1567,IF(AR1568=AR1567,INDEX('Aub Demand'!Q:Q,MATCH($O1567,'Aub Demand'!$A:$A,0))-IF(AN1567="",0,AN1567)+AP1568+AD1567,IF(AM1567&lt;&gt;"",INDEX('Aub Demand'!Q:Q,MATCH($O1567,'Aub Demand'!$A:$A,0))-IF(AN1567="",0,AN1567)+AD1567+AL1567,INDEX('Aub Demand'!Q:Q,MATCH($O1567,'Aub Demand'!$A:$A,0))-IF(AN1567="",0,AN1567)+AD1567))),"")</f>
        <v>-80</v>
      </c>
      <c r="Y1567" s="53">
        <f t="shared" si="676"/>
        <v>-2</v>
      </c>
      <c r="Z1567" s="52">
        <f>IF(L1567="","",INDEX('Aub Demand'!H:H,MATCH($O1567,'Aub Demand'!$A:$A,0)))</f>
        <v>171</v>
      </c>
      <c r="AA1567" s="52">
        <f t="shared" si="677"/>
        <v>238.5</v>
      </c>
      <c r="AB1567" s="52">
        <f>IFERROR(INDEX('Aub Demand'!L:L,MATCH($O1567,'Aub Demand'!$A:$A,0)),"")</f>
        <v>183</v>
      </c>
      <c r="AC1567" s="52">
        <f>IFERROR(IF(O1567="","",SUMIFS('CPL Mats'!F:F,'CPL Mats'!Q:Q,AR1567,'CPL Mats'!S:S,AS1567)),"")</f>
        <v>312.89999999999998</v>
      </c>
      <c r="AF1567" s="25" t="str">
        <f>IF(SUMIFS('Supp Consol'!S:S,'Supp Consol'!Y:Y,"Releasable",'Supp Consol'!A:A,O1567)=0,"",SUMIFS('Supp Consol'!S:S,'Supp Consol'!Y:Y,"Releasable",'Supp Consol'!A:A,O1567))</f>
        <v/>
      </c>
      <c r="AG1567" s="25">
        <f>IFERROR(INDEX('Hun Demand'!Q:Q,MATCH(O1567,'Hun Demand'!A:A,0)),"")</f>
        <v>0</v>
      </c>
      <c r="AH1567" s="25">
        <f>IFERROR(INDEX('Hun Demand'!H:H,MATCH($O1567,'Hun Demand'!$A:$A,0)),"")</f>
        <v>111</v>
      </c>
      <c r="AI1567" s="25" t="str">
        <f>IF(SUMIFS('Supp Consol'!AA:AA,'Supp Consol'!Z:Z,"Expires this month",'Supp Consol'!A:A,O1567)=0,"",SUMIFS('Supp Consol'!AA:AA,'Supp Consol'!Z:Z,"Expires this month",'Supp Consol'!A:A,O1567))</f>
        <v/>
      </c>
      <c r="AJ1567" s="25" t="str">
        <f>IF(SUMIFS('Supp Consol'!AA:AA,'Supp Consol'!Z:Z,"Expired Previous Months",'Supp Consol'!A:A,O1567)=0,"",SUMIFS('Supp Consol'!AA:AA,'Supp Consol'!Z:Z,"Expired Previous Months",'Supp Consol'!A:A,O1567))</f>
        <v/>
      </c>
      <c r="AK1567" s="25" t="str">
        <f>IFERROR(INDEX('Hun Release Current'!B:B,MATCH(O1567,'Hun Release Current'!A:A,0)),"")</f>
        <v/>
      </c>
      <c r="AL1567" s="25" t="str">
        <f>IF(SUMIF('Prev Aub'!A:A,O1567,'Prev Aub'!B:B)=0,"",SUMIF('Prev Aub'!A:A,O1567,'Prev Aub'!B:B))</f>
        <v/>
      </c>
      <c r="AN1567" s="25" t="s">
        <v>3790</v>
      </c>
      <c r="AO1567" s="25" t="s">
        <v>3790</v>
      </c>
      <c r="AP1567" s="25">
        <f t="shared" si="678"/>
        <v>0</v>
      </c>
      <c r="AQ1567" s="151" t="str">
        <f>IF(SUMIFS('Supp Consol'!S:S,'Supp Consol'!A:A,O1567,'Supp Consol'!I:I,"PENDING")=0,"",SUMIFS('Supp Consol'!S:S,'Supp Consol'!A:A,O1567,'Supp Consol'!I:I,"PENDING"))</f>
        <v/>
      </c>
      <c r="AR1567" s="27" t="str">
        <f t="shared" si="679"/>
        <v>WW310</v>
      </c>
      <c r="AS1567" s="27" t="str">
        <f t="shared" si="680"/>
        <v>50</v>
      </c>
      <c r="AT1567" s="27" t="str">
        <f t="shared" si="681"/>
        <v>WW310</v>
      </c>
      <c r="AU1567" s="27" t="str">
        <f t="shared" si="682"/>
        <v>WW310</v>
      </c>
      <c r="AV1567" s="27" t="str">
        <f t="shared" si="683"/>
        <v>WW310</v>
      </c>
      <c r="AW1567" s="27" t="str">
        <f t="shared" si="684"/>
        <v/>
      </c>
      <c r="AX1567" s="27" t="str">
        <f t="shared" si="685"/>
        <v/>
      </c>
      <c r="AY1567" s="27" t="str">
        <f t="shared" si="686"/>
        <v/>
      </c>
      <c r="AZ1567" s="27" t="str">
        <f t="shared" si="687"/>
        <v/>
      </c>
      <c r="BA1567" s="27" t="str">
        <f t="shared" si="688"/>
        <v>Hun</v>
      </c>
      <c r="BB1567" s="27" t="str">
        <f t="shared" si="689"/>
        <v>Gross</v>
      </c>
      <c r="BC1567" s="27" t="str">
        <f t="shared" si="690"/>
        <v>Net</v>
      </c>
      <c r="BD1567" s="27" t="str">
        <f t="shared" si="691"/>
        <v>Net</v>
      </c>
      <c r="BE1567" s="27" t="str">
        <f t="shared" si="692"/>
        <v/>
      </c>
      <c r="BF1567" s="27" t="str">
        <f t="shared" si="693"/>
        <v/>
      </c>
      <c r="BG1567" s="27" t="str">
        <f t="shared" si="694"/>
        <v/>
      </c>
      <c r="BH1567" s="27" t="str">
        <f t="shared" si="695"/>
        <v>H+N</v>
      </c>
      <c r="BI1567" s="27" t="str">
        <f t="shared" si="696"/>
        <v>H+Nex</v>
      </c>
      <c r="BJ1567" s="27" t="str">
        <f t="shared" si="697"/>
        <v>Supp or Hun</v>
      </c>
      <c r="BK1567" s="27" t="str">
        <f t="shared" si="698"/>
        <v>Supp or Hun Need</v>
      </c>
      <c r="BL1567" s="27" t="str">
        <f t="shared" si="699"/>
        <v>SorHandNandE</v>
      </c>
      <c r="BM1567" s="21" t="s">
        <v>5581</v>
      </c>
    </row>
    <row r="1568" spans="1:65" ht="15">
      <c r="A1568" s="25">
        <f>IFERROR(INDEX('Hun Demand'!W:W,MATCH(O1568,'Hun Demand'!A:A,0)),"")</f>
        <v>0</v>
      </c>
      <c r="B1568" s="25">
        <f>IFERROR(INDEX('Hun Demand'!V:V,MATCH(O1568,'Hun Demand'!A:A,0)),"")</f>
        <v>196</v>
      </c>
      <c r="C1568" s="25">
        <f>IFERROR(INDEX('Hun Demand'!U:U,MATCH(O1568,'Hun Demand'!A:A,0)),"")</f>
        <v>210</v>
      </c>
      <c r="D1568" s="25">
        <f>IFERROR(INDEX('Hun Demand'!T:T,MATCH(O1568,'Hun Demand'!A:A,0)),"")</f>
        <v>450</v>
      </c>
      <c r="E1568" s="25">
        <f>IFERROR(INDEX('Hun Demand'!S:S,MATCH(O1568,'Hun Demand'!A:A,0)),"")</f>
        <v>0</v>
      </c>
      <c r="F1568" s="25">
        <f>IFERROR(INDEX('Hun Demand'!R:R,MATCH(O1568,'Hun Demand'!A:A,0)),"")</f>
        <v>0</v>
      </c>
      <c r="G1568" s="25">
        <f>IFERROR(INDEX('Aub Demand'!W:W,MATCH(O1568,'Aub Demand'!A:A,0)),"")</f>
        <v>11</v>
      </c>
      <c r="H1568" s="25">
        <f>IFERROR(INDEX('Aub Demand'!V:V,MATCH(O1568,'Aub Demand'!A:A,0)),"")</f>
        <v>101</v>
      </c>
      <c r="I1568" s="25">
        <f>IFERROR(INDEX('Aub Demand'!U:U,MATCH(O1568,'Aub Demand'!A:A,0)),"")</f>
        <v>776</v>
      </c>
      <c r="J1568" s="25">
        <f>IFERROR(INDEX('Aub Demand'!T:T,MATCH(O1568,'Aub Demand'!A:A,0)),"")</f>
        <v>0</v>
      </c>
      <c r="K1568" s="25">
        <f>IFERROR(INDEX('Aub Demand'!S:S,MATCH(O1568,'Aub Demand'!A:A,0)),"")</f>
        <v>22</v>
      </c>
      <c r="L1568" s="25">
        <f>IFERROR(INDEX('Aub Demand'!R:R,MATCH(O1568,'Aub Demand'!A:A,0)),"")</f>
        <v>0</v>
      </c>
      <c r="O1568" s="27" t="s">
        <v>3143</v>
      </c>
      <c r="P1568" s="27" t="str">
        <f>IFERROR(INDEX('Aub Demand'!B:B,MATCH($O1568,'Aub Demand'!$A:$A,0)),"")</f>
        <v>STOUT WALNUT</v>
      </c>
      <c r="Q1568" s="27" t="str">
        <f>IFERROR(INDEX('Aub Demand'!C:C,MATCH($O1568,'Aub Demand'!$A:$A,0)),"")</f>
        <v>IMPRE</v>
      </c>
      <c r="R1568" s="52">
        <f>IFERROR(IF(AR1569=AR1568,INDEX('Aub Demand'!K:K,MATCH($O1568,'Aub Demand'!$A:$A,0))-IF(AN1568="",0,AN1568)+AP1569,INDEX('Aub Demand'!K:K,MATCH($O1568,'Aub Demand'!$A:$A,0))-IF(AN1568="",0,AN1568)),"")</f>
        <v>4389</v>
      </c>
      <c r="S1568" s="53">
        <f t="shared" si="672"/>
        <v>70.7</v>
      </c>
      <c r="T1568" s="52" t="str">
        <f t="shared" si="673"/>
        <v/>
      </c>
      <c r="U1568" s="52">
        <f>IFERROR(IF(AR1569=AR1568,INDEX('Aub Demand'!Q:Q,MATCH($O1568,'Aub Demand'!$A:$A,0))-IF(AN1568="",0,AN1568)+AP1569,INDEX('Aub Demand'!Q:Q,MATCH($O1568,'Aub Demand'!$A:$A,0))-IF(AN1568="",0,AN1568)),"")</f>
        <v>4378</v>
      </c>
      <c r="V1568" s="53">
        <f t="shared" si="674"/>
        <v>70.5</v>
      </c>
      <c r="W1568" s="52" t="str">
        <f t="shared" si="675"/>
        <v/>
      </c>
      <c r="X1568" s="52">
        <f>IFERROR(IF(AND(AR1569=AR1568,AM1568&lt;&gt;""),INDEX('Aub Demand'!Q:Q,MATCH($O1568,'Aub Demand'!$A:$A,0))-IF(AN1568="",0,AN1568)+AP1569+AD1568+AL1568,IF(AR1569=AR1568,INDEX('Aub Demand'!Q:Q,MATCH($O1568,'Aub Demand'!$A:$A,0))-IF(AN1568="",0,AN1568)+AP1569+AD1568,IF(AM1568&lt;&gt;"",INDEX('Aub Demand'!Q:Q,MATCH($O1568,'Aub Demand'!$A:$A,0))-IF(AN1568="",0,AN1568)+AD1568+AL1568,INDEX('Aub Demand'!Q:Q,MATCH($O1568,'Aub Demand'!$A:$A,0))-IF(AN1568="",0,AN1568)+AD1568))),"")</f>
        <v>4378</v>
      </c>
      <c r="Y1568" s="53">
        <f t="shared" si="676"/>
        <v>70.5</v>
      </c>
      <c r="Z1568" s="52">
        <f>IF(L1568="","",INDEX('Aub Demand'!H:H,MATCH($O1568,'Aub Demand'!$A:$A,0)))</f>
        <v>266</v>
      </c>
      <c r="AA1568" s="52">
        <f t="shared" si="677"/>
        <v>399</v>
      </c>
      <c r="AB1568" s="52">
        <f>IFERROR(INDEX('Aub Demand'!L:L,MATCH($O1568,'Aub Demand'!$A:$A,0)),"")</f>
        <v>0</v>
      </c>
      <c r="AC1568" s="52">
        <f>IFERROR(IF(O1568="","",SUMIFS('CPL Mats'!F:F,'CPL Mats'!Q:Q,AR1568,'CPL Mats'!S:S,AS1568)),"")</f>
        <v>0</v>
      </c>
      <c r="AF1568" s="25" t="str">
        <f>IF(SUMIFS('Supp Consol'!S:S,'Supp Consol'!Y:Y,"Releasable",'Supp Consol'!A:A,O1568)=0,"",SUMIFS('Supp Consol'!S:S,'Supp Consol'!Y:Y,"Releasable",'Supp Consol'!A:A,O1568))</f>
        <v/>
      </c>
      <c r="AG1568" s="25">
        <f>IFERROR(INDEX('Hun Demand'!Q:Q,MATCH(O1568,'Hun Demand'!A:A,0)),"")</f>
        <v>300</v>
      </c>
      <c r="AH1568" s="25">
        <f>IFERROR(INDEX('Hun Demand'!H:H,MATCH($O1568,'Hun Demand'!$A:$A,0)),"")</f>
        <v>220</v>
      </c>
      <c r="AI1568" s="25" t="str">
        <f>IF(SUMIFS('Supp Consol'!AA:AA,'Supp Consol'!Z:Z,"Expires this month",'Supp Consol'!A:A,O1568)=0,"",SUMIFS('Supp Consol'!AA:AA,'Supp Consol'!Z:Z,"Expires this month",'Supp Consol'!A:A,O1568))</f>
        <v/>
      </c>
      <c r="AJ1568" s="25" t="str">
        <f>IF(SUMIFS('Supp Consol'!AA:AA,'Supp Consol'!Z:Z,"Expired Previous Months",'Supp Consol'!A:A,O1568)=0,"",SUMIFS('Supp Consol'!AA:AA,'Supp Consol'!Z:Z,"Expired Previous Months",'Supp Consol'!A:A,O1568))</f>
        <v/>
      </c>
      <c r="AK1568" s="25" t="str">
        <f>IFERROR(INDEX('Hun Release Current'!B:B,MATCH(O1568,'Hun Release Current'!A:A,0)),"")</f>
        <v/>
      </c>
      <c r="AL1568" s="25" t="str">
        <f>IF(SUMIF('Prev Aub'!A:A,O1568,'Prev Aub'!B:B)=0,"",SUMIF('Prev Aub'!A:A,O1568,'Prev Aub'!B:B))</f>
        <v/>
      </c>
      <c r="AN1568" s="25" t="s">
        <v>3790</v>
      </c>
      <c r="AO1568" s="25" t="s">
        <v>3790</v>
      </c>
      <c r="AP1568" s="25">
        <f t="shared" si="678"/>
        <v>0</v>
      </c>
      <c r="AQ1568" s="151" t="str">
        <f>IF(SUMIFS('Supp Consol'!S:S,'Supp Consol'!A:A,O1568,'Supp Consol'!I:I,"PENDING")=0,"",SUMIFS('Supp Consol'!S:S,'Supp Consol'!A:A,O1568,'Supp Consol'!I:I,"PENDING"))</f>
        <v/>
      </c>
      <c r="AR1568" s="27" t="str">
        <f t="shared" si="679"/>
        <v>WW310</v>
      </c>
      <c r="AS1568" s="27" t="str">
        <f t="shared" si="680"/>
        <v>62</v>
      </c>
      <c r="AT1568" s="27" t="str">
        <f t="shared" si="681"/>
        <v/>
      </c>
      <c r="AU1568" s="27" t="str">
        <f t="shared" si="682"/>
        <v/>
      </c>
      <c r="AV1568" s="27" t="str">
        <f t="shared" si="683"/>
        <v/>
      </c>
      <c r="AW1568" s="27" t="str">
        <f t="shared" si="684"/>
        <v/>
      </c>
      <c r="AX1568" s="27" t="str">
        <f t="shared" si="685"/>
        <v/>
      </c>
      <c r="AY1568" s="27" t="str">
        <f t="shared" si="686"/>
        <v>WW310</v>
      </c>
      <c r="AZ1568" s="27" t="str">
        <f t="shared" si="687"/>
        <v/>
      </c>
      <c r="BA1568" s="27" t="str">
        <f t="shared" si="688"/>
        <v>Hun</v>
      </c>
      <c r="BB1568" s="27" t="str">
        <f t="shared" si="689"/>
        <v>Gross</v>
      </c>
      <c r="BC1568" s="27" t="str">
        <f t="shared" si="690"/>
        <v>Net</v>
      </c>
      <c r="BD1568" s="27" t="str">
        <f t="shared" si="691"/>
        <v>Net</v>
      </c>
      <c r="BE1568" s="27" t="str">
        <f t="shared" si="692"/>
        <v/>
      </c>
      <c r="BF1568" s="27" t="str">
        <f t="shared" si="693"/>
        <v/>
      </c>
      <c r="BG1568" s="27" t="str">
        <f t="shared" si="694"/>
        <v/>
      </c>
      <c r="BH1568" s="27" t="str">
        <f t="shared" si="695"/>
        <v>H+N</v>
      </c>
      <c r="BI1568" s="27" t="str">
        <f t="shared" si="696"/>
        <v>H+Nex</v>
      </c>
      <c r="BJ1568" s="27" t="str">
        <f t="shared" si="697"/>
        <v>Supp or Hun</v>
      </c>
      <c r="BK1568" s="27" t="str">
        <f t="shared" si="698"/>
        <v>Supp or Hun Need</v>
      </c>
      <c r="BL1568" s="27" t="str">
        <f t="shared" si="699"/>
        <v>SorHandNandE</v>
      </c>
      <c r="BM1568" s="21" t="s">
        <v>5581</v>
      </c>
    </row>
    <row r="1569" spans="1:65" ht="15">
      <c r="A1569" s="25" t="str">
        <f>IFERROR(INDEX('Hun Demand'!W:W,MATCH(O1569,'Hun Demand'!A:A,0)),"")</f>
        <v/>
      </c>
      <c r="B1569" s="25" t="str">
        <f>IFERROR(INDEX('Hun Demand'!V:V,MATCH(O1569,'Hun Demand'!A:A,0)),"")</f>
        <v/>
      </c>
      <c r="C1569" s="25" t="str">
        <f>IFERROR(INDEX('Hun Demand'!U:U,MATCH(O1569,'Hun Demand'!A:A,0)),"")</f>
        <v/>
      </c>
      <c r="D1569" s="25" t="str">
        <f>IFERROR(INDEX('Hun Demand'!T:T,MATCH(O1569,'Hun Demand'!A:A,0)),"")</f>
        <v/>
      </c>
      <c r="E1569" s="25" t="str">
        <f>IFERROR(INDEX('Hun Demand'!S:S,MATCH(O1569,'Hun Demand'!A:A,0)),"")</f>
        <v/>
      </c>
      <c r="F1569" s="25" t="str">
        <f>IFERROR(INDEX('Hun Demand'!R:R,MATCH(O1569,'Hun Demand'!A:A,0)),"")</f>
        <v/>
      </c>
      <c r="G1569" s="25">
        <f>IFERROR(INDEX('Aub Demand'!W:W,MATCH(O1569,'Aub Demand'!A:A,0)),"")</f>
        <v>0</v>
      </c>
      <c r="H1569" s="25">
        <f>IFERROR(INDEX('Aub Demand'!V:V,MATCH(O1569,'Aub Demand'!A:A,0)),"")</f>
        <v>0</v>
      </c>
      <c r="I1569" s="25">
        <f>IFERROR(INDEX('Aub Demand'!U:U,MATCH(O1569,'Aub Demand'!A:A,0)),"")</f>
        <v>0</v>
      </c>
      <c r="J1569" s="25">
        <f>IFERROR(INDEX('Aub Demand'!T:T,MATCH(O1569,'Aub Demand'!A:A,0)),"")</f>
        <v>0</v>
      </c>
      <c r="K1569" s="25">
        <f>IFERROR(INDEX('Aub Demand'!S:S,MATCH(O1569,'Aub Demand'!A:A,0)),"")</f>
        <v>0</v>
      </c>
      <c r="L1569" s="25">
        <f>IFERROR(INDEX('Aub Demand'!R:R,MATCH(O1569,'Aub Demand'!A:A,0)),"")</f>
        <v>0</v>
      </c>
      <c r="O1569" s="27" t="s">
        <v>1887</v>
      </c>
      <c r="P1569" s="27" t="str">
        <f>IFERROR(INDEX('Aub Demand'!B:B,MATCH($O1569,'Aub Demand'!$A:$A,0)),"")</f>
        <v>LARA L14 (ONLY 58" P</v>
      </c>
      <c r="Q1569" s="27" t="str">
        <f>IFERROR(INDEX('Aub Demand'!C:C,MATCH($O1569,'Aub Demand'!$A:$A,0)),"")</f>
        <v>STEVE</v>
      </c>
      <c r="R1569" s="52">
        <f>IFERROR(IF(AR1570=AR1569,INDEX('Aub Demand'!K:K,MATCH($O1569,'Aub Demand'!$A:$A,0))-IF(AN1569="",0,AN1569)+AP1570,INDEX('Aub Demand'!K:K,MATCH($O1569,'Aub Demand'!$A:$A,0))-IF(AN1569="",0,AN1569)),"")</f>
        <v>198</v>
      </c>
      <c r="S1569" s="53" t="str">
        <f t="shared" si="672"/>
        <v>n/a</v>
      </c>
      <c r="T1569" s="52" t="str">
        <f t="shared" si="673"/>
        <v/>
      </c>
      <c r="U1569" s="52">
        <f>IFERROR(IF(AR1570=AR1569,INDEX('Aub Demand'!Q:Q,MATCH($O1569,'Aub Demand'!$A:$A,0))-IF(AN1569="",0,AN1569)+AP1570,INDEX('Aub Demand'!Q:Q,MATCH($O1569,'Aub Demand'!$A:$A,0))-IF(AN1569="",0,AN1569)),"")</f>
        <v>198</v>
      </c>
      <c r="V1569" s="53" t="str">
        <f t="shared" si="674"/>
        <v>n/a</v>
      </c>
      <c r="W1569" s="52" t="str">
        <f t="shared" si="675"/>
        <v/>
      </c>
      <c r="X1569" s="52">
        <f>IFERROR(IF(AND(AR1570=AR1569,AM1569&lt;&gt;""),INDEX('Aub Demand'!Q:Q,MATCH($O1569,'Aub Demand'!$A:$A,0))-IF(AN1569="",0,AN1569)+AP1570+AD1569+AL1569,IF(AR1570=AR1569,INDEX('Aub Demand'!Q:Q,MATCH($O1569,'Aub Demand'!$A:$A,0))-IF(AN1569="",0,AN1569)+AP1570+AD1569,IF(AM1569&lt;&gt;"",INDEX('Aub Demand'!Q:Q,MATCH($O1569,'Aub Demand'!$A:$A,0))-IF(AN1569="",0,AN1569)+AD1569+AL1569,INDEX('Aub Demand'!Q:Q,MATCH($O1569,'Aub Demand'!$A:$A,0))-IF(AN1569="",0,AN1569)+AD1569))),"")</f>
        <v>198</v>
      </c>
      <c r="Y1569" s="53" t="str">
        <f t="shared" si="676"/>
        <v>n/a</v>
      </c>
      <c r="Z1569" s="52">
        <f>IF(L1569="","",INDEX('Aub Demand'!H:H,MATCH($O1569,'Aub Demand'!$A:$A,0)))</f>
        <v>0</v>
      </c>
      <c r="AA1569" s="52" t="str">
        <f t="shared" si="677"/>
        <v>-spike-</v>
      </c>
      <c r="AB1569" s="52">
        <f>IFERROR(INDEX('Aub Demand'!L:L,MATCH($O1569,'Aub Demand'!$A:$A,0)),"")</f>
        <v>0</v>
      </c>
      <c r="AC1569" s="52">
        <f>IFERROR(IF(O1569="","",SUMIFS('CPL Mats'!F:F,'CPL Mats'!Q:Q,AR1569,'CPL Mats'!S:S,AS1569)),"")</f>
        <v>0</v>
      </c>
      <c r="AF1569" s="25" t="str">
        <f>IF(SUMIFS('Supp Consol'!S:S,'Supp Consol'!Y:Y,"Releasable",'Supp Consol'!A:A,O1569)=0,"",SUMIFS('Supp Consol'!S:S,'Supp Consol'!Y:Y,"Releasable",'Supp Consol'!A:A,O1569))</f>
        <v/>
      </c>
      <c r="AG1569" s="25" t="str">
        <f>IFERROR(INDEX('Hun Demand'!Q:Q,MATCH(O1569,'Hun Demand'!A:A,0)),"")</f>
        <v/>
      </c>
      <c r="AH1569" s="25" t="str">
        <f>IFERROR(INDEX('Hun Demand'!H:H,MATCH($O1569,'Hun Demand'!$A:$A,0)),"")</f>
        <v/>
      </c>
      <c r="AI1569" s="25" t="str">
        <f>IF(SUMIFS('Supp Consol'!AA:AA,'Supp Consol'!Z:Z,"Expires this month",'Supp Consol'!A:A,O1569)=0,"",SUMIFS('Supp Consol'!AA:AA,'Supp Consol'!Z:Z,"Expires this month",'Supp Consol'!A:A,O1569))</f>
        <v/>
      </c>
      <c r="AJ1569" s="25" t="str">
        <f>IF(SUMIFS('Supp Consol'!AA:AA,'Supp Consol'!Z:Z,"Expired Previous Months",'Supp Consol'!A:A,O1569)=0,"",SUMIFS('Supp Consol'!AA:AA,'Supp Consol'!Z:Z,"Expired Previous Months",'Supp Consol'!A:A,O1569))</f>
        <v/>
      </c>
      <c r="AK1569" s="25" t="str">
        <f>IFERROR(INDEX('Hun Release Current'!B:B,MATCH(O1569,'Hun Release Current'!A:A,0)),"")</f>
        <v/>
      </c>
      <c r="AL1569" s="25" t="str">
        <f>IF(SUMIF('Prev Aub'!A:A,O1569,'Prev Aub'!B:B)=0,"",SUMIF('Prev Aub'!A:A,O1569,'Prev Aub'!B:B))</f>
        <v/>
      </c>
      <c r="AN1569" s="25" t="s">
        <v>3790</v>
      </c>
      <c r="AO1569" s="25" t="s">
        <v>3790</v>
      </c>
      <c r="AP1569" s="25">
        <f t="shared" si="678"/>
        <v>0</v>
      </c>
      <c r="AQ1569" s="151" t="str">
        <f>IF(SUMIFS('Supp Consol'!S:S,'Supp Consol'!A:A,O1569,'Supp Consol'!I:I,"PENDING")=0,"",SUMIFS('Supp Consol'!S:S,'Supp Consol'!A:A,O1569,'Supp Consol'!I:I,"PENDING"))</f>
        <v/>
      </c>
      <c r="AR1569" s="27" t="str">
        <f t="shared" si="679"/>
        <v>WW410</v>
      </c>
      <c r="AS1569" s="27" t="str">
        <f t="shared" si="680"/>
        <v>62</v>
      </c>
      <c r="AT1569" s="27" t="str">
        <f t="shared" si="681"/>
        <v/>
      </c>
      <c r="AU1569" s="27" t="str">
        <f t="shared" si="682"/>
        <v/>
      </c>
      <c r="AV1569" s="27" t="str">
        <f t="shared" si="683"/>
        <v/>
      </c>
      <c r="AW1569" s="27" t="str">
        <f t="shared" si="684"/>
        <v/>
      </c>
      <c r="AX1569" s="27" t="str">
        <f t="shared" si="685"/>
        <v/>
      </c>
      <c r="AY1569" s="27" t="str">
        <f t="shared" si="686"/>
        <v/>
      </c>
      <c r="AZ1569" s="27" t="str">
        <f t="shared" si="687"/>
        <v/>
      </c>
      <c r="BA1569" s="27" t="str">
        <f t="shared" si="688"/>
        <v/>
      </c>
      <c r="BB1569" s="27" t="str">
        <f t="shared" si="689"/>
        <v/>
      </c>
      <c r="BC1569" s="27" t="str">
        <f t="shared" si="690"/>
        <v/>
      </c>
      <c r="BD1569" s="27" t="str">
        <f t="shared" si="691"/>
        <v/>
      </c>
      <c r="BE1569" s="27" t="str">
        <f t="shared" si="692"/>
        <v/>
      </c>
      <c r="BF1569" s="27" t="str">
        <f t="shared" si="693"/>
        <v/>
      </c>
      <c r="BG1569" s="27" t="str">
        <f t="shared" si="694"/>
        <v/>
      </c>
      <c r="BH1569" s="27" t="str">
        <f t="shared" si="695"/>
        <v/>
      </c>
      <c r="BI1569" s="27" t="str">
        <f t="shared" si="696"/>
        <v/>
      </c>
      <c r="BJ1569" s="27" t="str">
        <f t="shared" si="697"/>
        <v/>
      </c>
      <c r="BK1569" s="27" t="str">
        <f t="shared" si="698"/>
        <v/>
      </c>
      <c r="BL1569" s="27" t="str">
        <f t="shared" si="699"/>
        <v/>
      </c>
      <c r="BM1569" s="21" t="s">
        <v>5581</v>
      </c>
    </row>
    <row r="1570" spans="1:65" ht="15">
      <c r="A1570" s="25" t="str">
        <f>IFERROR(INDEX('Hun Demand'!W:W,MATCH(O1570,'Hun Demand'!A:A,0)),"")</f>
        <v/>
      </c>
      <c r="B1570" s="25" t="str">
        <f>IFERROR(INDEX('Hun Demand'!V:V,MATCH(O1570,'Hun Demand'!A:A,0)),"")</f>
        <v/>
      </c>
      <c r="C1570" s="25" t="str">
        <f>IFERROR(INDEX('Hun Demand'!U:U,MATCH(O1570,'Hun Demand'!A:A,0)),"")</f>
        <v/>
      </c>
      <c r="D1570" s="25" t="str">
        <f>IFERROR(INDEX('Hun Demand'!T:T,MATCH(O1570,'Hun Demand'!A:A,0)),"")</f>
        <v/>
      </c>
      <c r="E1570" s="25" t="str">
        <f>IFERROR(INDEX('Hun Demand'!S:S,MATCH(O1570,'Hun Demand'!A:A,0)),"")</f>
        <v/>
      </c>
      <c r="F1570" s="25" t="str">
        <f>IFERROR(INDEX('Hun Demand'!R:R,MATCH(O1570,'Hun Demand'!A:A,0)),"")</f>
        <v/>
      </c>
      <c r="G1570" s="25">
        <f>IFERROR(INDEX('Aub Demand'!W:W,MATCH(O1570,'Aub Demand'!A:A,0)),"")</f>
        <v>0</v>
      </c>
      <c r="H1570" s="25">
        <f>IFERROR(INDEX('Aub Demand'!V:V,MATCH(O1570,'Aub Demand'!A:A,0)),"")</f>
        <v>0</v>
      </c>
      <c r="I1570" s="25">
        <f>IFERROR(INDEX('Aub Demand'!U:U,MATCH(O1570,'Aub Demand'!A:A,0)),"")</f>
        <v>0</v>
      </c>
      <c r="J1570" s="25">
        <f>IFERROR(INDEX('Aub Demand'!T:T,MATCH(O1570,'Aub Demand'!A:A,0)),"")</f>
        <v>0</v>
      </c>
      <c r="K1570" s="25">
        <f>IFERROR(INDEX('Aub Demand'!S:S,MATCH(O1570,'Aub Demand'!A:A,0)),"")</f>
        <v>0</v>
      </c>
      <c r="L1570" s="25">
        <f>IFERROR(INDEX('Aub Demand'!R:R,MATCH(O1570,'Aub Demand'!A:A,0)),"")</f>
        <v>0</v>
      </c>
      <c r="O1570" s="27" t="s">
        <v>3144</v>
      </c>
      <c r="P1570" s="27" t="str">
        <f>IFERROR(INDEX('Aub Demand'!B:B,MATCH($O1570,'Aub Demand'!$A:$A,0)),"")</f>
        <v>CASTLE WALNUT</v>
      </c>
      <c r="Q1570" s="27" t="str">
        <f>IFERROR(INDEX('Aub Demand'!C:C,MATCH($O1570,'Aub Demand'!$A:$A,0)),"")</f>
        <v>TOPPA</v>
      </c>
      <c r="R1570" s="52">
        <f>IFERROR(IF(AR1571=AR1570,INDEX('Aub Demand'!K:K,MATCH($O1570,'Aub Demand'!$A:$A,0))-IF(AN1570="",0,AN1570)+AP1571,INDEX('Aub Demand'!K:K,MATCH($O1570,'Aub Demand'!$A:$A,0))-IF(AN1570="",0,AN1570)),"")</f>
        <v>325</v>
      </c>
      <c r="S1570" s="53" t="str">
        <f t="shared" si="672"/>
        <v>n/a</v>
      </c>
      <c r="T1570" s="52" t="str">
        <f t="shared" si="673"/>
        <v/>
      </c>
      <c r="U1570" s="52">
        <f>IFERROR(IF(AR1571=AR1570,INDEX('Aub Demand'!Q:Q,MATCH($O1570,'Aub Demand'!$A:$A,0))-IF(AN1570="",0,AN1570)+AP1571,INDEX('Aub Demand'!Q:Q,MATCH($O1570,'Aub Demand'!$A:$A,0))-IF(AN1570="",0,AN1570)),"")</f>
        <v>325</v>
      </c>
      <c r="V1570" s="53" t="str">
        <f t="shared" si="674"/>
        <v>n/a</v>
      </c>
      <c r="W1570" s="52" t="str">
        <f t="shared" si="675"/>
        <v/>
      </c>
      <c r="X1570" s="52">
        <f>IFERROR(IF(AND(AR1571=AR1570,AM1570&lt;&gt;""),INDEX('Aub Demand'!Q:Q,MATCH($O1570,'Aub Demand'!$A:$A,0))-IF(AN1570="",0,AN1570)+AP1571+AD1570+AL1570,IF(AR1571=AR1570,INDEX('Aub Demand'!Q:Q,MATCH($O1570,'Aub Demand'!$A:$A,0))-IF(AN1570="",0,AN1570)+AP1571+AD1570,IF(AM1570&lt;&gt;"",INDEX('Aub Demand'!Q:Q,MATCH($O1570,'Aub Demand'!$A:$A,0))-IF(AN1570="",0,AN1570)+AD1570+AL1570,INDEX('Aub Demand'!Q:Q,MATCH($O1570,'Aub Demand'!$A:$A,0))-IF(AN1570="",0,AN1570)+AD1570))),"")</f>
        <v>325</v>
      </c>
      <c r="Y1570" s="53" t="str">
        <f t="shared" si="676"/>
        <v>n/a</v>
      </c>
      <c r="Z1570" s="52">
        <f>IF(L1570="","",INDEX('Aub Demand'!H:H,MATCH($O1570,'Aub Demand'!$A:$A,0)))</f>
        <v>0</v>
      </c>
      <c r="AA1570" s="52" t="str">
        <f t="shared" si="677"/>
        <v>-spike-</v>
      </c>
      <c r="AB1570" s="52">
        <f>IFERROR(INDEX('Aub Demand'!L:L,MATCH($O1570,'Aub Demand'!$A:$A,0)),"")</f>
        <v>0</v>
      </c>
      <c r="AC1570" s="52">
        <f>IFERROR(IF(O1570="","",SUMIFS('CPL Mats'!F:F,'CPL Mats'!Q:Q,AR1570,'CPL Mats'!S:S,AS1570)),"")</f>
        <v>0</v>
      </c>
      <c r="AF1570" s="25" t="str">
        <f>IF(SUMIFS('Supp Consol'!S:S,'Supp Consol'!Y:Y,"Releasable",'Supp Consol'!A:A,O1570)=0,"",SUMIFS('Supp Consol'!S:S,'Supp Consol'!Y:Y,"Releasable",'Supp Consol'!A:A,O1570))</f>
        <v/>
      </c>
      <c r="AG1570" s="25" t="str">
        <f>IFERROR(INDEX('Hun Demand'!Q:Q,MATCH(O1570,'Hun Demand'!A:A,0)),"")</f>
        <v/>
      </c>
      <c r="AH1570" s="25" t="str">
        <f>IFERROR(INDEX('Hun Demand'!H:H,MATCH($O1570,'Hun Demand'!$A:$A,0)),"")</f>
        <v/>
      </c>
      <c r="AI1570" s="25" t="str">
        <f>IF(SUMIFS('Supp Consol'!AA:AA,'Supp Consol'!Z:Z,"Expires this month",'Supp Consol'!A:A,O1570)=0,"",SUMIFS('Supp Consol'!AA:AA,'Supp Consol'!Z:Z,"Expires this month",'Supp Consol'!A:A,O1570))</f>
        <v/>
      </c>
      <c r="AJ1570" s="25" t="str">
        <f>IF(SUMIFS('Supp Consol'!AA:AA,'Supp Consol'!Z:Z,"Expired Previous Months",'Supp Consol'!A:A,O1570)=0,"",SUMIFS('Supp Consol'!AA:AA,'Supp Consol'!Z:Z,"Expired Previous Months",'Supp Consol'!A:A,O1570))</f>
        <v/>
      </c>
      <c r="AK1570" s="25" t="str">
        <f>IFERROR(INDEX('Hun Release Current'!B:B,MATCH(O1570,'Hun Release Current'!A:A,0)),"")</f>
        <v/>
      </c>
      <c r="AL1570" s="25" t="str">
        <f>IF(SUMIF('Prev Aub'!A:A,O1570,'Prev Aub'!B:B)=0,"",SUMIF('Prev Aub'!A:A,O1570,'Prev Aub'!B:B))</f>
        <v/>
      </c>
      <c r="AN1570" s="25" t="s">
        <v>3790</v>
      </c>
      <c r="AO1570" s="25" t="s">
        <v>3790</v>
      </c>
      <c r="AP1570" s="25">
        <f t="shared" si="678"/>
        <v>0</v>
      </c>
      <c r="AQ1570" s="151" t="str">
        <f>IF(SUMIFS('Supp Consol'!S:S,'Supp Consol'!A:A,O1570,'Supp Consol'!I:I,"PENDING")=0,"",SUMIFS('Supp Consol'!S:S,'Supp Consol'!A:A,O1570,'Supp Consol'!I:I,"PENDING"))</f>
        <v/>
      </c>
      <c r="AR1570" s="27" t="str">
        <f t="shared" si="679"/>
        <v>WW435</v>
      </c>
      <c r="AS1570" s="27" t="str">
        <f t="shared" si="680"/>
        <v>62</v>
      </c>
      <c r="AT1570" s="27" t="str">
        <f t="shared" si="681"/>
        <v/>
      </c>
      <c r="AU1570" s="27" t="str">
        <f t="shared" si="682"/>
        <v/>
      </c>
      <c r="AV1570" s="27" t="str">
        <f t="shared" si="683"/>
        <v/>
      </c>
      <c r="AW1570" s="27" t="str">
        <f t="shared" si="684"/>
        <v/>
      </c>
      <c r="AX1570" s="27" t="str">
        <f t="shared" si="685"/>
        <v/>
      </c>
      <c r="AY1570" s="27" t="str">
        <f t="shared" si="686"/>
        <v/>
      </c>
      <c r="AZ1570" s="27" t="str">
        <f t="shared" si="687"/>
        <v/>
      </c>
      <c r="BA1570" s="27" t="str">
        <f t="shared" si="688"/>
        <v/>
      </c>
      <c r="BB1570" s="27" t="str">
        <f t="shared" si="689"/>
        <v/>
      </c>
      <c r="BC1570" s="27" t="str">
        <f t="shared" si="690"/>
        <v/>
      </c>
      <c r="BD1570" s="27" t="str">
        <f t="shared" si="691"/>
        <v/>
      </c>
      <c r="BE1570" s="27" t="str">
        <f t="shared" si="692"/>
        <v/>
      </c>
      <c r="BF1570" s="27" t="str">
        <f t="shared" si="693"/>
        <v/>
      </c>
      <c r="BG1570" s="27" t="str">
        <f t="shared" si="694"/>
        <v/>
      </c>
      <c r="BH1570" s="27" t="str">
        <f t="shared" si="695"/>
        <v/>
      </c>
      <c r="BI1570" s="27" t="str">
        <f t="shared" si="696"/>
        <v/>
      </c>
      <c r="BJ1570" s="27" t="str">
        <f t="shared" si="697"/>
        <v/>
      </c>
      <c r="BK1570" s="27" t="str">
        <f t="shared" si="698"/>
        <v/>
      </c>
      <c r="BL1570" s="27" t="str">
        <f t="shared" si="699"/>
        <v/>
      </c>
      <c r="BM1570" s="21" t="s">
        <v>3790</v>
      </c>
    </row>
    <row r="1571" spans="1:65" ht="15">
      <c r="A1571" s="25">
        <f>IFERROR(INDEX('Hun Demand'!W:W,MATCH(O1571,'Hun Demand'!A:A,0)),"")</f>
        <v>375</v>
      </c>
      <c r="B1571" s="25">
        <f>IFERROR(INDEX('Hun Demand'!V:V,MATCH(O1571,'Hun Demand'!A:A,0)),"")</f>
        <v>0</v>
      </c>
      <c r="C1571" s="25">
        <f>IFERROR(INDEX('Hun Demand'!U:U,MATCH(O1571,'Hun Demand'!A:A,0)),"")</f>
        <v>0</v>
      </c>
      <c r="D1571" s="25">
        <f>IFERROR(INDEX('Hun Demand'!T:T,MATCH(O1571,'Hun Demand'!A:A,0)),"")</f>
        <v>0</v>
      </c>
      <c r="E1571" s="25">
        <f>IFERROR(INDEX('Hun Demand'!S:S,MATCH(O1571,'Hun Demand'!A:A,0)),"")</f>
        <v>0</v>
      </c>
      <c r="F1571" s="25">
        <f>IFERROR(INDEX('Hun Demand'!R:R,MATCH(O1571,'Hun Demand'!A:A,0)),"")</f>
        <v>0</v>
      </c>
      <c r="G1571" s="25">
        <f>IFERROR(INDEX('Aub Demand'!W:W,MATCH(O1571,'Aub Demand'!A:A,0)),"")</f>
        <v>490</v>
      </c>
      <c r="H1571" s="25">
        <f>IFERROR(INDEX('Aub Demand'!V:V,MATCH(O1571,'Aub Demand'!A:A,0)),"")</f>
        <v>103</v>
      </c>
      <c r="I1571" s="25">
        <f>IFERROR(INDEX('Aub Demand'!U:U,MATCH(O1571,'Aub Demand'!A:A,0)),"")</f>
        <v>57</v>
      </c>
      <c r="J1571" s="25">
        <f>IFERROR(INDEX('Aub Demand'!T:T,MATCH(O1571,'Aub Demand'!A:A,0)),"")</f>
        <v>0</v>
      </c>
      <c r="K1571" s="25">
        <f>IFERROR(INDEX('Aub Demand'!S:S,MATCH(O1571,'Aub Demand'!A:A,0)),"")</f>
        <v>7</v>
      </c>
      <c r="L1571" s="25">
        <f>IFERROR(INDEX('Aub Demand'!R:R,MATCH(O1571,'Aub Demand'!A:A,0)),"")</f>
        <v>0</v>
      </c>
      <c r="O1571" s="27" t="s">
        <v>3147</v>
      </c>
      <c r="P1571" s="27" t="str">
        <f>IFERROR(INDEX('Aub Demand'!B:B,MATCH($O1571,'Aub Demand'!$A:$A,0)),"")</f>
        <v>UNTOLD JOURNEY</v>
      </c>
      <c r="Q1571" s="27" t="str">
        <f>IFERROR(INDEX('Aub Demand'!C:C,MATCH($O1571,'Aub Demand'!$A:$A,0)),"")</f>
        <v>LAMIG</v>
      </c>
      <c r="R1571" s="52">
        <f>IFERROR(IF(AR1572=AR1571,INDEX('Aub Demand'!K:K,MATCH($O1571,'Aub Demand'!$A:$A,0))-IF(AN1571="",0,AN1571)+AP1572,INDEX('Aub Demand'!K:K,MATCH($O1571,'Aub Demand'!$A:$A,0))-IF(AN1571="",0,AN1571)),"")</f>
        <v>2075</v>
      </c>
      <c r="S1571" s="53">
        <f t="shared" si="672"/>
        <v>423.5</v>
      </c>
      <c r="T1571" s="52" t="str">
        <f t="shared" si="673"/>
        <v/>
      </c>
      <c r="U1571" s="52">
        <f>IFERROR(IF(AR1572=AR1571,INDEX('Aub Demand'!Q:Q,MATCH($O1571,'Aub Demand'!$A:$A,0))-IF(AN1571="",0,AN1571)+AP1572,INDEX('Aub Demand'!Q:Q,MATCH($O1571,'Aub Demand'!$A:$A,0))-IF(AN1571="",0,AN1571)),"")</f>
        <v>2075</v>
      </c>
      <c r="V1571" s="53">
        <f t="shared" si="674"/>
        <v>423.5</v>
      </c>
      <c r="W1571" s="52" t="str">
        <f t="shared" si="675"/>
        <v/>
      </c>
      <c r="X1571" s="52">
        <f>IFERROR(IF(AND(AR1572=AR1571,AM1571&lt;&gt;""),INDEX('Aub Demand'!Q:Q,MATCH($O1571,'Aub Demand'!$A:$A,0))-IF(AN1571="",0,AN1571)+AP1572+AD1571+AL1571,IF(AR1572=AR1571,INDEX('Aub Demand'!Q:Q,MATCH($O1571,'Aub Demand'!$A:$A,0))-IF(AN1571="",0,AN1571)+AP1572+AD1571,IF(AM1571&lt;&gt;"",INDEX('Aub Demand'!Q:Q,MATCH($O1571,'Aub Demand'!$A:$A,0))-IF(AN1571="",0,AN1571)+AD1571+AL1571,INDEX('Aub Demand'!Q:Q,MATCH($O1571,'Aub Demand'!$A:$A,0))-IF(AN1571="",0,AN1571)+AD1571))),"")</f>
        <v>2075</v>
      </c>
      <c r="Y1571" s="53">
        <f t="shared" si="676"/>
        <v>423.5</v>
      </c>
      <c r="Z1571" s="52">
        <f>IF(L1571="","",INDEX('Aub Demand'!H:H,MATCH($O1571,'Aub Demand'!$A:$A,0)))</f>
        <v>21</v>
      </c>
      <c r="AA1571" s="52">
        <f t="shared" si="677"/>
        <v>32</v>
      </c>
      <c r="AB1571" s="52">
        <f>IFERROR(INDEX('Aub Demand'!L:L,MATCH($O1571,'Aub Demand'!$A:$A,0)),"")</f>
        <v>67</v>
      </c>
      <c r="AC1571" s="52">
        <f>IFERROR(IF(O1571="","",SUMIFS('CPL Mats'!F:F,'CPL Mats'!Q:Q,AR1571,'CPL Mats'!S:S,AS1571)),"")</f>
        <v>0</v>
      </c>
      <c r="AF1571" s="25" t="str">
        <f>IF(SUMIFS('Supp Consol'!S:S,'Supp Consol'!Y:Y,"Releasable",'Supp Consol'!A:A,O1571)=0,"",SUMIFS('Supp Consol'!S:S,'Supp Consol'!Y:Y,"Releasable",'Supp Consol'!A:A,O1571))</f>
        <v/>
      </c>
      <c r="AG1571" s="25">
        <f>IFERROR(INDEX('Hun Demand'!Q:Q,MATCH(O1571,'Hun Demand'!A:A,0)),"")</f>
        <v>340</v>
      </c>
      <c r="AH1571" s="25">
        <f>IFERROR(INDEX('Hun Demand'!H:H,MATCH($O1571,'Hun Demand'!$A:$A,0)),"")</f>
        <v>0</v>
      </c>
      <c r="AI1571" s="25" t="str">
        <f>IF(SUMIFS('Supp Consol'!AA:AA,'Supp Consol'!Z:Z,"Expires this month",'Supp Consol'!A:A,O1571)=0,"",SUMIFS('Supp Consol'!AA:AA,'Supp Consol'!Z:Z,"Expires this month",'Supp Consol'!A:A,O1571))</f>
        <v/>
      </c>
      <c r="AJ1571" s="25" t="str">
        <f>IF(SUMIFS('Supp Consol'!AA:AA,'Supp Consol'!Z:Z,"Expired Previous Months",'Supp Consol'!A:A,O1571)=0,"",SUMIFS('Supp Consol'!AA:AA,'Supp Consol'!Z:Z,"Expired Previous Months",'Supp Consol'!A:A,O1571))</f>
        <v/>
      </c>
      <c r="AK1571" s="25" t="str">
        <f>IFERROR(INDEX('Hun Release Current'!B:B,MATCH(O1571,'Hun Release Current'!A:A,0)),"")</f>
        <v/>
      </c>
      <c r="AL1571" s="25" t="str">
        <f>IF(SUMIF('Prev Aub'!A:A,O1571,'Prev Aub'!B:B)=0,"",SUMIF('Prev Aub'!A:A,O1571,'Prev Aub'!B:B))</f>
        <v/>
      </c>
      <c r="AN1571" s="25" t="s">
        <v>3790</v>
      </c>
      <c r="AO1571" s="25" t="s">
        <v>3790</v>
      </c>
      <c r="AP1571" s="25">
        <f t="shared" si="678"/>
        <v>0</v>
      </c>
      <c r="AQ1571" s="151" t="str">
        <f>IF(SUMIFS('Supp Consol'!S:S,'Supp Consol'!A:A,O1571,'Supp Consol'!I:I,"PENDING")=0,"",SUMIFS('Supp Consol'!S:S,'Supp Consol'!A:A,O1571,'Supp Consol'!I:I,"PENDING"))</f>
        <v/>
      </c>
      <c r="AR1571" s="27" t="str">
        <f t="shared" si="679"/>
        <v>WW440</v>
      </c>
      <c r="AS1571" s="27" t="str">
        <f t="shared" si="680"/>
        <v>50</v>
      </c>
      <c r="AT1571" s="27" t="str">
        <f t="shared" si="681"/>
        <v/>
      </c>
      <c r="AU1571" s="27" t="str">
        <f t="shared" si="682"/>
        <v/>
      </c>
      <c r="AV1571" s="27" t="str">
        <f t="shared" si="683"/>
        <v/>
      </c>
      <c r="AW1571" s="27" t="str">
        <f t="shared" si="684"/>
        <v/>
      </c>
      <c r="AX1571" s="27" t="str">
        <f t="shared" si="685"/>
        <v/>
      </c>
      <c r="AY1571" s="27" t="str">
        <f t="shared" si="686"/>
        <v>WW440</v>
      </c>
      <c r="AZ1571" s="27" t="str">
        <f t="shared" si="687"/>
        <v/>
      </c>
      <c r="BA1571" s="27" t="str">
        <f t="shared" si="688"/>
        <v>Hun</v>
      </c>
      <c r="BB1571" s="27" t="str">
        <f t="shared" si="689"/>
        <v/>
      </c>
      <c r="BC1571" s="27" t="str">
        <f t="shared" si="690"/>
        <v/>
      </c>
      <c r="BD1571" s="27" t="str">
        <f t="shared" si="691"/>
        <v/>
      </c>
      <c r="BE1571" s="27" t="str">
        <f t="shared" si="692"/>
        <v/>
      </c>
      <c r="BF1571" s="27" t="str">
        <f t="shared" si="693"/>
        <v/>
      </c>
      <c r="BG1571" s="27" t="str">
        <f t="shared" si="694"/>
        <v/>
      </c>
      <c r="BH1571" s="27" t="str">
        <f t="shared" si="695"/>
        <v/>
      </c>
      <c r="BI1571" s="27" t="str">
        <f t="shared" si="696"/>
        <v/>
      </c>
      <c r="BJ1571" s="27" t="str">
        <f t="shared" si="697"/>
        <v>Supp or Hun</v>
      </c>
      <c r="BK1571" s="27" t="str">
        <f t="shared" si="698"/>
        <v/>
      </c>
      <c r="BL1571" s="27" t="str">
        <f t="shared" si="699"/>
        <v/>
      </c>
      <c r="BM1571" s="21" t="s">
        <v>5581</v>
      </c>
    </row>
    <row r="1572" spans="1:65" ht="15">
      <c r="A1572" s="25">
        <f>IFERROR(INDEX('Hun Demand'!W:W,MATCH(O1572,'Hun Demand'!A:A,0)),"")</f>
        <v>0</v>
      </c>
      <c r="B1572" s="25">
        <f>IFERROR(INDEX('Hun Demand'!V:V,MATCH(O1572,'Hun Demand'!A:A,0)),"")</f>
        <v>202</v>
      </c>
      <c r="C1572" s="25">
        <f>IFERROR(INDEX('Hun Demand'!U:U,MATCH(O1572,'Hun Demand'!A:A,0)),"")</f>
        <v>0</v>
      </c>
      <c r="D1572" s="25">
        <f>IFERROR(INDEX('Hun Demand'!T:T,MATCH(O1572,'Hun Demand'!A:A,0)),"")</f>
        <v>0</v>
      </c>
      <c r="E1572" s="25">
        <f>IFERROR(INDEX('Hun Demand'!S:S,MATCH(O1572,'Hun Demand'!A:A,0)),"")</f>
        <v>0</v>
      </c>
      <c r="F1572" s="25">
        <f>IFERROR(INDEX('Hun Demand'!R:R,MATCH(O1572,'Hun Demand'!A:A,0)),"")</f>
        <v>0</v>
      </c>
      <c r="G1572" s="25">
        <f>IFERROR(INDEX('Aub Demand'!W:W,MATCH(O1572,'Aub Demand'!A:A,0)),"")</f>
        <v>202</v>
      </c>
      <c r="H1572" s="25">
        <f>IFERROR(INDEX('Aub Demand'!V:V,MATCH(O1572,'Aub Demand'!A:A,0)),"")</f>
        <v>0</v>
      </c>
      <c r="I1572" s="25">
        <f>IFERROR(INDEX('Aub Demand'!U:U,MATCH(O1572,'Aub Demand'!A:A,0)),"")</f>
        <v>0</v>
      </c>
      <c r="J1572" s="25">
        <f>IFERROR(INDEX('Aub Demand'!T:T,MATCH(O1572,'Aub Demand'!A:A,0)),"")</f>
        <v>0</v>
      </c>
      <c r="K1572" s="25">
        <f>IFERROR(INDEX('Aub Demand'!S:S,MATCH(O1572,'Aub Demand'!A:A,0)),"")</f>
        <v>0</v>
      </c>
      <c r="L1572" s="25">
        <f>IFERROR(INDEX('Aub Demand'!R:R,MATCH(O1572,'Aub Demand'!A:A,0)),"")</f>
        <v>0</v>
      </c>
      <c r="O1572" s="27" t="s">
        <v>3149</v>
      </c>
      <c r="P1572" s="27" t="str">
        <f>IFERROR(INDEX('Aub Demand'!B:B,MATCH($O1572,'Aub Demand'!$A:$A,0)),"")</f>
        <v>UNTOLD JOURNEY</v>
      </c>
      <c r="Q1572" s="27" t="str">
        <f>IFERROR(INDEX('Aub Demand'!C:C,MATCH($O1572,'Aub Demand'!$A:$A,0)),"")</f>
        <v>LAMIG</v>
      </c>
      <c r="R1572" s="52">
        <f>IFERROR(IF(AR1573=AR1572,INDEX('Aub Demand'!K:K,MATCH($O1572,'Aub Demand'!$A:$A,0))-IF(AN1572="",0,AN1572)+AP1573,INDEX('Aub Demand'!K:K,MATCH($O1572,'Aub Demand'!$A:$A,0))-IF(AN1572="",0,AN1572)),"")</f>
        <v>3196</v>
      </c>
      <c r="S1572" s="53" t="str">
        <f t="shared" si="672"/>
        <v>n/a</v>
      </c>
      <c r="T1572" s="52" t="str">
        <f t="shared" si="673"/>
        <v/>
      </c>
      <c r="U1572" s="52">
        <f>IFERROR(IF(AR1573=AR1572,INDEX('Aub Demand'!Q:Q,MATCH($O1572,'Aub Demand'!$A:$A,0))-IF(AN1572="",0,AN1572)+AP1573,INDEX('Aub Demand'!Q:Q,MATCH($O1572,'Aub Demand'!$A:$A,0))-IF(AN1572="",0,AN1572)),"")</f>
        <v>3196</v>
      </c>
      <c r="V1572" s="53" t="str">
        <f t="shared" si="674"/>
        <v>n/a</v>
      </c>
      <c r="W1572" s="52" t="str">
        <f t="shared" si="675"/>
        <v/>
      </c>
      <c r="X1572" s="52">
        <f>IFERROR(IF(AND(AR1573=AR1572,AM1572&lt;&gt;""),INDEX('Aub Demand'!Q:Q,MATCH($O1572,'Aub Demand'!$A:$A,0))-IF(AN1572="",0,AN1572)+AP1573+AD1572+AL1572,IF(AR1573=AR1572,INDEX('Aub Demand'!Q:Q,MATCH($O1572,'Aub Demand'!$A:$A,0))-IF(AN1572="",0,AN1572)+AP1573+AD1572,IF(AM1572&lt;&gt;"",INDEX('Aub Demand'!Q:Q,MATCH($O1572,'Aub Demand'!$A:$A,0))-IF(AN1572="",0,AN1572)+AD1572+AL1572,INDEX('Aub Demand'!Q:Q,MATCH($O1572,'Aub Demand'!$A:$A,0))-IF(AN1572="",0,AN1572)+AD1572))),"")</f>
        <v>3196</v>
      </c>
      <c r="Y1572" s="53" t="str">
        <f t="shared" si="676"/>
        <v>n/a</v>
      </c>
      <c r="Z1572" s="52">
        <f>IF(L1572="","",INDEX('Aub Demand'!H:H,MATCH($O1572,'Aub Demand'!$A:$A,0)))</f>
        <v>0</v>
      </c>
      <c r="AA1572" s="52" t="str">
        <f t="shared" si="677"/>
        <v>-spike-</v>
      </c>
      <c r="AB1572" s="52">
        <f>IFERROR(INDEX('Aub Demand'!L:L,MATCH($O1572,'Aub Demand'!$A:$A,0)),"")</f>
        <v>0</v>
      </c>
      <c r="AC1572" s="52">
        <f>IFERROR(IF(O1572="","",SUMIFS('CPL Mats'!F:F,'CPL Mats'!Q:Q,AR1572,'CPL Mats'!S:S,AS1572)),"")</f>
        <v>0</v>
      </c>
      <c r="AF1572" s="25" t="str">
        <f>IF(SUMIFS('Supp Consol'!S:S,'Supp Consol'!Y:Y,"Releasable",'Supp Consol'!A:A,O1572)=0,"",SUMIFS('Supp Consol'!S:S,'Supp Consol'!Y:Y,"Releasable",'Supp Consol'!A:A,O1572))</f>
        <v/>
      </c>
      <c r="AG1572" s="25">
        <f>IFERROR(INDEX('Hun Demand'!Q:Q,MATCH(O1572,'Hun Demand'!A:A,0)),"")</f>
        <v>0</v>
      </c>
      <c r="AH1572" s="25">
        <f>IFERROR(INDEX('Hun Demand'!H:H,MATCH($O1572,'Hun Demand'!$A:$A,0)),"")</f>
        <v>0</v>
      </c>
      <c r="AI1572" s="25" t="str">
        <f>IF(SUMIFS('Supp Consol'!AA:AA,'Supp Consol'!Z:Z,"Expires this month",'Supp Consol'!A:A,O1572)=0,"",SUMIFS('Supp Consol'!AA:AA,'Supp Consol'!Z:Z,"Expires this month",'Supp Consol'!A:A,O1572))</f>
        <v/>
      </c>
      <c r="AJ1572" s="25" t="str">
        <f>IF(SUMIFS('Supp Consol'!AA:AA,'Supp Consol'!Z:Z,"Expired Previous Months",'Supp Consol'!A:A,O1572)=0,"",SUMIFS('Supp Consol'!AA:AA,'Supp Consol'!Z:Z,"Expired Previous Months",'Supp Consol'!A:A,O1572))</f>
        <v/>
      </c>
      <c r="AK1572" s="25" t="str">
        <f>IFERROR(INDEX('Hun Release Current'!B:B,MATCH(O1572,'Hun Release Current'!A:A,0)),"")</f>
        <v/>
      </c>
      <c r="AL1572" s="25" t="str">
        <f>IF(SUMIF('Prev Aub'!A:A,O1572,'Prev Aub'!B:B)=0,"",SUMIF('Prev Aub'!A:A,O1572,'Prev Aub'!B:B))</f>
        <v/>
      </c>
      <c r="AN1572" s="25" t="s">
        <v>3790</v>
      </c>
      <c r="AO1572" s="25" t="s">
        <v>3790</v>
      </c>
      <c r="AP1572" s="25">
        <f t="shared" si="678"/>
        <v>0</v>
      </c>
      <c r="AQ1572" s="151" t="str">
        <f>IF(SUMIFS('Supp Consol'!S:S,'Supp Consol'!A:A,O1572,'Supp Consol'!I:I,"PENDING")=0,"",SUMIFS('Supp Consol'!S:S,'Supp Consol'!A:A,O1572,'Supp Consol'!I:I,"PENDING"))</f>
        <v/>
      </c>
      <c r="AR1572" s="27" t="str">
        <f t="shared" si="679"/>
        <v>WW440</v>
      </c>
      <c r="AS1572" s="27" t="str">
        <f t="shared" si="680"/>
        <v>62</v>
      </c>
      <c r="AT1572" s="27" t="str">
        <f t="shared" si="681"/>
        <v/>
      </c>
      <c r="AU1572" s="27" t="str">
        <f t="shared" si="682"/>
        <v/>
      </c>
      <c r="AV1572" s="27" t="str">
        <f t="shared" si="683"/>
        <v/>
      </c>
      <c r="AW1572" s="27" t="str">
        <f t="shared" si="684"/>
        <v/>
      </c>
      <c r="AX1572" s="27" t="str">
        <f t="shared" si="685"/>
        <v/>
      </c>
      <c r="AY1572" s="27" t="str">
        <f t="shared" si="686"/>
        <v/>
      </c>
      <c r="AZ1572" s="27" t="str">
        <f t="shared" si="687"/>
        <v/>
      </c>
      <c r="BA1572" s="27" t="str">
        <f t="shared" si="688"/>
        <v>Hun</v>
      </c>
      <c r="BB1572" s="27" t="str">
        <f t="shared" si="689"/>
        <v/>
      </c>
      <c r="BC1572" s="27" t="str">
        <f t="shared" si="690"/>
        <v/>
      </c>
      <c r="BD1572" s="27" t="str">
        <f t="shared" si="691"/>
        <v/>
      </c>
      <c r="BE1572" s="27" t="str">
        <f t="shared" si="692"/>
        <v/>
      </c>
      <c r="BF1572" s="27" t="str">
        <f t="shared" si="693"/>
        <v/>
      </c>
      <c r="BG1572" s="27" t="str">
        <f t="shared" si="694"/>
        <v/>
      </c>
      <c r="BH1572" s="27" t="str">
        <f t="shared" si="695"/>
        <v/>
      </c>
      <c r="BI1572" s="27" t="str">
        <f t="shared" si="696"/>
        <v/>
      </c>
      <c r="BJ1572" s="27" t="str">
        <f t="shared" si="697"/>
        <v>Supp or Hun</v>
      </c>
      <c r="BK1572" s="27" t="str">
        <f t="shared" si="698"/>
        <v/>
      </c>
      <c r="BL1572" s="27" t="str">
        <f t="shared" si="699"/>
        <v/>
      </c>
      <c r="BM1572" s="21" t="s">
        <v>5581</v>
      </c>
    </row>
    <row r="1573" spans="1:65" ht="15">
      <c r="A1573" s="25" t="str">
        <f>IFERROR(INDEX('Hun Demand'!W:W,MATCH(O1573,'Hun Demand'!A:A,0)),"")</f>
        <v/>
      </c>
      <c r="B1573" s="25" t="str">
        <f>IFERROR(INDEX('Hun Demand'!V:V,MATCH(O1573,'Hun Demand'!A:A,0)),"")</f>
        <v/>
      </c>
      <c r="C1573" s="25" t="str">
        <f>IFERROR(INDEX('Hun Demand'!U:U,MATCH(O1573,'Hun Demand'!A:A,0)),"")</f>
        <v/>
      </c>
      <c r="D1573" s="25" t="str">
        <f>IFERROR(INDEX('Hun Demand'!T:T,MATCH(O1573,'Hun Demand'!A:A,0)),"")</f>
        <v/>
      </c>
      <c r="E1573" s="25" t="str">
        <f>IFERROR(INDEX('Hun Demand'!S:S,MATCH(O1573,'Hun Demand'!A:A,0)),"")</f>
        <v/>
      </c>
      <c r="F1573" s="25" t="str">
        <f>IFERROR(INDEX('Hun Demand'!R:R,MATCH(O1573,'Hun Demand'!A:A,0)),"")</f>
        <v/>
      </c>
      <c r="G1573" s="25">
        <f>IFERROR(INDEX('Aub Demand'!W:W,MATCH(O1573,'Aub Demand'!A:A,0)),"")</f>
        <v>0</v>
      </c>
      <c r="H1573" s="25">
        <f>IFERROR(INDEX('Aub Demand'!V:V,MATCH(O1573,'Aub Demand'!A:A,0)),"")</f>
        <v>39</v>
      </c>
      <c r="I1573" s="25">
        <f>IFERROR(INDEX('Aub Demand'!U:U,MATCH(O1573,'Aub Demand'!A:A,0)),"")</f>
        <v>0</v>
      </c>
      <c r="J1573" s="25">
        <f>IFERROR(INDEX('Aub Demand'!T:T,MATCH(O1573,'Aub Demand'!A:A,0)),"")</f>
        <v>0</v>
      </c>
      <c r="K1573" s="25">
        <f>IFERROR(INDEX('Aub Demand'!S:S,MATCH(O1573,'Aub Demand'!A:A,0)),"")</f>
        <v>0</v>
      </c>
      <c r="L1573" s="25">
        <f>IFERROR(INDEX('Aub Demand'!R:R,MATCH(O1573,'Aub Demand'!A:A,0)),"")</f>
        <v>0</v>
      </c>
      <c r="O1573" s="27" t="s">
        <v>1889</v>
      </c>
      <c r="P1573" s="27" t="str">
        <f>IFERROR(INDEX('Aub Demand'!B:B,MATCH($O1573,'Aub Demand'!$A:$A,0)),"")</f>
        <v>ASHLEY L20 (ONLY 58"</v>
      </c>
      <c r="Q1573" s="27" t="str">
        <f>IFERROR(INDEX('Aub Demand'!C:C,MATCH($O1573,'Aub Demand'!$A:$A,0)),"")</f>
        <v>STEVE</v>
      </c>
      <c r="R1573" s="52">
        <f>IFERROR(IF(AR1574=AR1573,INDEX('Aub Demand'!K:K,MATCH($O1573,'Aub Demand'!$A:$A,0))-IF(AN1573="",0,AN1573)+AP1574,INDEX('Aub Demand'!K:K,MATCH($O1573,'Aub Demand'!$A:$A,0))-IF(AN1573="",0,AN1573)),"")</f>
        <v>384</v>
      </c>
      <c r="S1573" s="53" t="str">
        <f t="shared" si="672"/>
        <v>n/a</v>
      </c>
      <c r="T1573" s="52" t="str">
        <f t="shared" si="673"/>
        <v/>
      </c>
      <c r="U1573" s="52">
        <f>IFERROR(IF(AR1574=AR1573,INDEX('Aub Demand'!Q:Q,MATCH($O1573,'Aub Demand'!$A:$A,0))-IF(AN1573="",0,AN1573)+AP1574,INDEX('Aub Demand'!Q:Q,MATCH($O1573,'Aub Demand'!$A:$A,0))-IF(AN1573="",0,AN1573)),"")</f>
        <v>384</v>
      </c>
      <c r="V1573" s="53" t="str">
        <f t="shared" si="674"/>
        <v>n/a</v>
      </c>
      <c r="W1573" s="52" t="str">
        <f t="shared" si="675"/>
        <v/>
      </c>
      <c r="X1573" s="52">
        <f>IFERROR(IF(AND(AR1574=AR1573,AM1573&lt;&gt;""),INDEX('Aub Demand'!Q:Q,MATCH($O1573,'Aub Demand'!$A:$A,0))-IF(AN1573="",0,AN1573)+AP1574+AD1573+AL1573,IF(AR1574=AR1573,INDEX('Aub Demand'!Q:Q,MATCH($O1573,'Aub Demand'!$A:$A,0))-IF(AN1573="",0,AN1573)+AP1574+AD1573,IF(AM1573&lt;&gt;"",INDEX('Aub Demand'!Q:Q,MATCH($O1573,'Aub Demand'!$A:$A,0))-IF(AN1573="",0,AN1573)+AD1573+AL1573,INDEX('Aub Demand'!Q:Q,MATCH($O1573,'Aub Demand'!$A:$A,0))-IF(AN1573="",0,AN1573)+AD1573))),"")</f>
        <v>384</v>
      </c>
      <c r="Y1573" s="53" t="str">
        <f t="shared" si="676"/>
        <v>n/a</v>
      </c>
      <c r="Z1573" s="52">
        <f>IF(L1573="","",INDEX('Aub Demand'!H:H,MATCH($O1573,'Aub Demand'!$A:$A,0)))</f>
        <v>0</v>
      </c>
      <c r="AA1573" s="52" t="str">
        <f t="shared" si="677"/>
        <v>-spike-</v>
      </c>
      <c r="AB1573" s="52">
        <f>IFERROR(INDEX('Aub Demand'!L:L,MATCH($O1573,'Aub Demand'!$A:$A,0)),"")</f>
        <v>4</v>
      </c>
      <c r="AC1573" s="52">
        <f>IFERROR(IF(O1573="","",SUMIFS('CPL Mats'!F:F,'CPL Mats'!Q:Q,AR1573,'CPL Mats'!S:S,AS1573)),"")</f>
        <v>0</v>
      </c>
      <c r="AF1573" s="25" t="str">
        <f>IF(SUMIFS('Supp Consol'!S:S,'Supp Consol'!Y:Y,"Releasable",'Supp Consol'!A:A,O1573)=0,"",SUMIFS('Supp Consol'!S:S,'Supp Consol'!Y:Y,"Releasable",'Supp Consol'!A:A,O1573))</f>
        <v/>
      </c>
      <c r="AG1573" s="25" t="str">
        <f>IFERROR(INDEX('Hun Demand'!Q:Q,MATCH(O1573,'Hun Demand'!A:A,0)),"")</f>
        <v/>
      </c>
      <c r="AH1573" s="25" t="str">
        <f>IFERROR(INDEX('Hun Demand'!H:H,MATCH($O1573,'Hun Demand'!$A:$A,0)),"")</f>
        <v/>
      </c>
      <c r="AI1573" s="25" t="str">
        <f>IF(SUMIFS('Supp Consol'!AA:AA,'Supp Consol'!Z:Z,"Expires this month",'Supp Consol'!A:A,O1573)=0,"",SUMIFS('Supp Consol'!AA:AA,'Supp Consol'!Z:Z,"Expires this month",'Supp Consol'!A:A,O1573))</f>
        <v/>
      </c>
      <c r="AJ1573" s="25" t="str">
        <f>IF(SUMIFS('Supp Consol'!AA:AA,'Supp Consol'!Z:Z,"Expired Previous Months",'Supp Consol'!A:A,O1573)=0,"",SUMIFS('Supp Consol'!AA:AA,'Supp Consol'!Z:Z,"Expired Previous Months",'Supp Consol'!A:A,O1573))</f>
        <v/>
      </c>
      <c r="AK1573" s="25" t="str">
        <f>IFERROR(INDEX('Hun Release Current'!B:B,MATCH(O1573,'Hun Release Current'!A:A,0)),"")</f>
        <v/>
      </c>
      <c r="AL1573" s="25" t="str">
        <f>IF(SUMIF('Prev Aub'!A:A,O1573,'Prev Aub'!B:B)=0,"",SUMIF('Prev Aub'!A:A,O1573,'Prev Aub'!B:B))</f>
        <v/>
      </c>
      <c r="AN1573" s="25" t="s">
        <v>3790</v>
      </c>
      <c r="AO1573" s="25" t="s">
        <v>3790</v>
      </c>
      <c r="AP1573" s="25">
        <f t="shared" si="678"/>
        <v>0</v>
      </c>
      <c r="AQ1573" s="151" t="str">
        <f>IF(SUMIFS('Supp Consol'!S:S,'Supp Consol'!A:A,O1573,'Supp Consol'!I:I,"PENDING")=0,"",SUMIFS('Supp Consol'!S:S,'Supp Consol'!A:A,O1573,'Supp Consol'!I:I,"PENDING"))</f>
        <v/>
      </c>
      <c r="AR1573" s="27" t="str">
        <f t="shared" si="679"/>
        <v>WW470</v>
      </c>
      <c r="AS1573" s="27" t="str">
        <f t="shared" si="680"/>
        <v>62</v>
      </c>
      <c r="AT1573" s="27" t="str">
        <f t="shared" si="681"/>
        <v/>
      </c>
      <c r="AU1573" s="27" t="str">
        <f t="shared" si="682"/>
        <v/>
      </c>
      <c r="AV1573" s="27" t="str">
        <f t="shared" si="683"/>
        <v/>
      </c>
      <c r="AW1573" s="27" t="str">
        <f t="shared" si="684"/>
        <v/>
      </c>
      <c r="AX1573" s="27" t="str">
        <f t="shared" si="685"/>
        <v/>
      </c>
      <c r="AY1573" s="27" t="str">
        <f t="shared" si="686"/>
        <v/>
      </c>
      <c r="AZ1573" s="27" t="str">
        <f t="shared" si="687"/>
        <v/>
      </c>
      <c r="BA1573" s="27" t="str">
        <f t="shared" si="688"/>
        <v/>
      </c>
      <c r="BB1573" s="27" t="str">
        <f t="shared" si="689"/>
        <v/>
      </c>
      <c r="BC1573" s="27" t="str">
        <f t="shared" si="690"/>
        <v/>
      </c>
      <c r="BD1573" s="27" t="str">
        <f t="shared" si="691"/>
        <v/>
      </c>
      <c r="BE1573" s="27" t="str">
        <f t="shared" si="692"/>
        <v/>
      </c>
      <c r="BF1573" s="27" t="str">
        <f t="shared" si="693"/>
        <v/>
      </c>
      <c r="BG1573" s="27" t="str">
        <f t="shared" si="694"/>
        <v/>
      </c>
      <c r="BH1573" s="27" t="str">
        <f t="shared" si="695"/>
        <v/>
      </c>
      <c r="BI1573" s="27" t="str">
        <f t="shared" si="696"/>
        <v/>
      </c>
      <c r="BJ1573" s="27" t="str">
        <f t="shared" si="697"/>
        <v/>
      </c>
      <c r="BK1573" s="27" t="str">
        <f t="shared" si="698"/>
        <v/>
      </c>
      <c r="BL1573" s="27" t="str">
        <f t="shared" si="699"/>
        <v/>
      </c>
      <c r="BM1573" s="21" t="s">
        <v>5581</v>
      </c>
    </row>
    <row r="1574" spans="1:65" ht="15">
      <c r="A1574" s="25">
        <f>IFERROR(INDEX('Hun Demand'!W:W,MATCH(O1574,'Hun Demand'!A:A,0)),"")</f>
        <v>0</v>
      </c>
      <c r="B1574" s="25">
        <f>IFERROR(INDEX('Hun Demand'!V:V,MATCH(O1574,'Hun Demand'!A:A,0)),"")</f>
        <v>0</v>
      </c>
      <c r="C1574" s="25">
        <f>IFERROR(INDEX('Hun Demand'!U:U,MATCH(O1574,'Hun Demand'!A:A,0)),"")</f>
        <v>0</v>
      </c>
      <c r="D1574" s="25">
        <f>IFERROR(INDEX('Hun Demand'!T:T,MATCH(O1574,'Hun Demand'!A:A,0)),"")</f>
        <v>0</v>
      </c>
      <c r="E1574" s="25">
        <f>IFERROR(INDEX('Hun Demand'!S:S,MATCH(O1574,'Hun Demand'!A:A,0)),"")</f>
        <v>0</v>
      </c>
      <c r="F1574" s="25">
        <f>IFERROR(INDEX('Hun Demand'!R:R,MATCH(O1574,'Hun Demand'!A:A,0)),"")</f>
        <v>0</v>
      </c>
      <c r="G1574" s="25">
        <f>IFERROR(INDEX('Aub Demand'!W:W,MATCH(O1574,'Aub Demand'!A:A,0)),"")</f>
        <v>0</v>
      </c>
      <c r="H1574" s="25">
        <f>IFERROR(INDEX('Aub Demand'!V:V,MATCH(O1574,'Aub Demand'!A:A,0)),"")</f>
        <v>59</v>
      </c>
      <c r="I1574" s="25">
        <f>IFERROR(INDEX('Aub Demand'!U:U,MATCH(O1574,'Aub Demand'!A:A,0)),"")</f>
        <v>56</v>
      </c>
      <c r="J1574" s="25">
        <f>IFERROR(INDEX('Aub Demand'!T:T,MATCH(O1574,'Aub Demand'!A:A,0)),"")</f>
        <v>357</v>
      </c>
      <c r="K1574" s="25">
        <f>IFERROR(INDEX('Aub Demand'!S:S,MATCH(O1574,'Aub Demand'!A:A,0)),"")</f>
        <v>123</v>
      </c>
      <c r="L1574" s="25">
        <f>IFERROR(INDEX('Aub Demand'!R:R,MATCH(O1574,'Aub Demand'!A:A,0)),"")</f>
        <v>0</v>
      </c>
      <c r="O1574" s="27" t="s">
        <v>1891</v>
      </c>
      <c r="P1574" s="27" t="str">
        <f>IFERROR(INDEX('Aub Demand'!B:B,MATCH($O1574,'Aub Demand'!$A:$A,0)),"")</f>
        <v>SPICE WALNUT</v>
      </c>
      <c r="Q1574" s="27" t="str">
        <f>IFERROR(INDEX('Aub Demand'!C:C,MATCH($O1574,'Aub Demand'!$A:$A,0)),"")</f>
        <v>TOPPA</v>
      </c>
      <c r="R1574" s="52">
        <f>IFERROR(IF(AR1575=AR1574,INDEX('Aub Demand'!K:K,MATCH($O1574,'Aub Demand'!$A:$A,0))-IF(AN1574="",0,AN1574)+AP1575,INDEX('Aub Demand'!K:K,MATCH($O1574,'Aub Demand'!$A:$A,0))-IF(AN1574="",0,AN1574)),"")</f>
        <v>1821</v>
      </c>
      <c r="S1574" s="53">
        <f t="shared" si="672"/>
        <v>43.6</v>
      </c>
      <c r="T1574" s="52" t="str">
        <f t="shared" si="673"/>
        <v/>
      </c>
      <c r="U1574" s="52">
        <f>IFERROR(IF(AR1575=AR1574,INDEX('Aub Demand'!Q:Q,MATCH($O1574,'Aub Demand'!$A:$A,0))-IF(AN1574="",0,AN1574)+AP1575,INDEX('Aub Demand'!Q:Q,MATCH($O1574,'Aub Demand'!$A:$A,0))-IF(AN1574="",0,AN1574)),"")</f>
        <v>1746</v>
      </c>
      <c r="V1574" s="53">
        <f t="shared" si="674"/>
        <v>41.8</v>
      </c>
      <c r="W1574" s="52" t="str">
        <f t="shared" si="675"/>
        <v/>
      </c>
      <c r="X1574" s="52">
        <f>IFERROR(IF(AND(AR1575=AR1574,AM1574&lt;&gt;""),INDEX('Aub Demand'!Q:Q,MATCH($O1574,'Aub Demand'!$A:$A,0))-IF(AN1574="",0,AN1574)+AP1575+AD1574+AL1574,IF(AR1575=AR1574,INDEX('Aub Demand'!Q:Q,MATCH($O1574,'Aub Demand'!$A:$A,0))-IF(AN1574="",0,AN1574)+AP1575+AD1574,IF(AM1574&lt;&gt;"",INDEX('Aub Demand'!Q:Q,MATCH($O1574,'Aub Demand'!$A:$A,0))-IF(AN1574="",0,AN1574)+AD1574+AL1574,INDEX('Aub Demand'!Q:Q,MATCH($O1574,'Aub Demand'!$A:$A,0))-IF(AN1574="",0,AN1574)+AD1574))),"")</f>
        <v>1746</v>
      </c>
      <c r="Y1574" s="53">
        <f t="shared" si="676"/>
        <v>41.8</v>
      </c>
      <c r="Z1574" s="52">
        <f>IF(L1574="","",INDEX('Aub Demand'!H:H,MATCH($O1574,'Aub Demand'!$A:$A,0)))</f>
        <v>179</v>
      </c>
      <c r="AA1574" s="52">
        <f t="shared" si="677"/>
        <v>240</v>
      </c>
      <c r="AB1574" s="52">
        <f>IFERROR(INDEX('Aub Demand'!L:L,MATCH($O1574,'Aub Demand'!$A:$A,0)),"")</f>
        <v>23</v>
      </c>
      <c r="AC1574" s="52">
        <f>IFERROR(IF(O1574="","",SUMIFS('CPL Mats'!F:F,'CPL Mats'!Q:Q,AR1574,'CPL Mats'!S:S,AS1574)),"")</f>
        <v>0</v>
      </c>
      <c r="AF1574" s="25" t="str">
        <f>IF(SUMIFS('Supp Consol'!S:S,'Supp Consol'!Y:Y,"Releasable",'Supp Consol'!A:A,O1574)=0,"",SUMIFS('Supp Consol'!S:S,'Supp Consol'!Y:Y,"Releasable",'Supp Consol'!A:A,O1574))</f>
        <v/>
      </c>
      <c r="AG1574" s="25">
        <f>IFERROR(INDEX('Hun Demand'!Q:Q,MATCH(O1574,'Hun Demand'!A:A,0)),"")</f>
        <v>220</v>
      </c>
      <c r="AH1574" s="25">
        <f>IFERROR(INDEX('Hun Demand'!H:H,MATCH($O1574,'Hun Demand'!$A:$A,0)),"")</f>
        <v>0</v>
      </c>
      <c r="AI1574" s="25" t="str">
        <f>IF(SUMIFS('Supp Consol'!AA:AA,'Supp Consol'!Z:Z,"Expires this month",'Supp Consol'!A:A,O1574)=0,"",SUMIFS('Supp Consol'!AA:AA,'Supp Consol'!Z:Z,"Expires this month",'Supp Consol'!A:A,O1574))</f>
        <v/>
      </c>
      <c r="AJ1574" s="25" t="str">
        <f>IF(SUMIFS('Supp Consol'!AA:AA,'Supp Consol'!Z:Z,"Expired Previous Months",'Supp Consol'!A:A,O1574)=0,"",SUMIFS('Supp Consol'!AA:AA,'Supp Consol'!Z:Z,"Expired Previous Months",'Supp Consol'!A:A,O1574))</f>
        <v/>
      </c>
      <c r="AK1574" s="25" t="str">
        <f>IFERROR(INDEX('Hun Release Current'!B:B,MATCH(O1574,'Hun Release Current'!A:A,0)),"")</f>
        <v/>
      </c>
      <c r="AL1574" s="25" t="str">
        <f>IF(SUMIF('Prev Aub'!A:A,O1574,'Prev Aub'!B:B)=0,"",SUMIF('Prev Aub'!A:A,O1574,'Prev Aub'!B:B))</f>
        <v/>
      </c>
      <c r="AN1574" s="25" t="s">
        <v>3790</v>
      </c>
      <c r="AO1574" s="25" t="s">
        <v>3790</v>
      </c>
      <c r="AP1574" s="25">
        <f t="shared" si="678"/>
        <v>0</v>
      </c>
      <c r="AQ1574" s="151" t="str">
        <f>IF(SUMIFS('Supp Consol'!S:S,'Supp Consol'!A:A,O1574,'Supp Consol'!I:I,"PENDING")=0,"",SUMIFS('Supp Consol'!S:S,'Supp Consol'!A:A,O1574,'Supp Consol'!I:I,"PENDING"))</f>
        <v/>
      </c>
      <c r="AR1574" s="27" t="str">
        <f t="shared" si="679"/>
        <v>WW561</v>
      </c>
      <c r="AS1574" s="27" t="str">
        <f t="shared" si="680"/>
        <v>50</v>
      </c>
      <c r="AT1574" s="27" t="str">
        <f t="shared" si="681"/>
        <v/>
      </c>
      <c r="AU1574" s="27" t="str">
        <f t="shared" si="682"/>
        <v/>
      </c>
      <c r="AV1574" s="27" t="str">
        <f t="shared" si="683"/>
        <v/>
      </c>
      <c r="AW1574" s="27" t="str">
        <f t="shared" si="684"/>
        <v/>
      </c>
      <c r="AX1574" s="27" t="str">
        <f t="shared" si="685"/>
        <v/>
      </c>
      <c r="AY1574" s="27" t="str">
        <f t="shared" si="686"/>
        <v>WW561</v>
      </c>
      <c r="AZ1574" s="27" t="str">
        <f t="shared" si="687"/>
        <v>Supp</v>
      </c>
      <c r="BA1574" s="27" t="str">
        <f t="shared" si="688"/>
        <v>Hun</v>
      </c>
      <c r="BB1574" s="27" t="str">
        <f t="shared" si="689"/>
        <v/>
      </c>
      <c r="BC1574" s="27" t="str">
        <f t="shared" si="690"/>
        <v/>
      </c>
      <c r="BD1574" s="27" t="str">
        <f t="shared" si="691"/>
        <v/>
      </c>
      <c r="BE1574" s="27" t="str">
        <f t="shared" si="692"/>
        <v>Exp</v>
      </c>
      <c r="BF1574" s="27" t="str">
        <f t="shared" si="693"/>
        <v/>
      </c>
      <c r="BG1574" s="27" t="str">
        <f t="shared" si="694"/>
        <v>S+NorE</v>
      </c>
      <c r="BH1574" s="27" t="str">
        <f t="shared" si="695"/>
        <v/>
      </c>
      <c r="BI1574" s="27" t="str">
        <f t="shared" si="696"/>
        <v/>
      </c>
      <c r="BJ1574" s="27" t="str">
        <f t="shared" si="697"/>
        <v>Supp or Hun</v>
      </c>
      <c r="BK1574" s="27" t="str">
        <f t="shared" si="698"/>
        <v/>
      </c>
      <c r="BL1574" s="27" t="str">
        <f t="shared" si="699"/>
        <v>SorHandNandE</v>
      </c>
      <c r="BM1574" s="21" t="s">
        <v>5581</v>
      </c>
    </row>
    <row r="1575" spans="1:65" ht="15">
      <c r="A1575" s="25" t="str">
        <f>IFERROR(INDEX('Hun Demand'!W:W,MATCH(O1575,'Hun Demand'!A:A,0)),"")</f>
        <v/>
      </c>
      <c r="B1575" s="25" t="str">
        <f>IFERROR(INDEX('Hun Demand'!V:V,MATCH(O1575,'Hun Demand'!A:A,0)),"")</f>
        <v/>
      </c>
      <c r="C1575" s="25" t="str">
        <f>IFERROR(INDEX('Hun Demand'!U:U,MATCH(O1575,'Hun Demand'!A:A,0)),"")</f>
        <v/>
      </c>
      <c r="D1575" s="25" t="str">
        <f>IFERROR(INDEX('Hun Demand'!T:T,MATCH(O1575,'Hun Demand'!A:A,0)),"")</f>
        <v/>
      </c>
      <c r="E1575" s="25" t="str">
        <f>IFERROR(INDEX('Hun Demand'!S:S,MATCH(O1575,'Hun Demand'!A:A,0)),"")</f>
        <v/>
      </c>
      <c r="F1575" s="25" t="str">
        <f>IFERROR(INDEX('Hun Demand'!R:R,MATCH(O1575,'Hun Demand'!A:A,0)),"")</f>
        <v/>
      </c>
      <c r="G1575" s="25">
        <f>IFERROR(INDEX('Aub Demand'!W:W,MATCH(O1575,'Aub Demand'!A:A,0)),"")</f>
        <v>0</v>
      </c>
      <c r="H1575" s="25">
        <f>IFERROR(INDEX('Aub Demand'!V:V,MATCH(O1575,'Aub Demand'!A:A,0)),"")</f>
        <v>47</v>
      </c>
      <c r="I1575" s="25">
        <f>IFERROR(INDEX('Aub Demand'!U:U,MATCH(O1575,'Aub Demand'!A:A,0)),"")</f>
        <v>0</v>
      </c>
      <c r="J1575" s="25">
        <f>IFERROR(INDEX('Aub Demand'!T:T,MATCH(O1575,'Aub Demand'!A:A,0)),"")</f>
        <v>66</v>
      </c>
      <c r="K1575" s="25">
        <f>IFERROR(INDEX('Aub Demand'!S:S,MATCH(O1575,'Aub Demand'!A:A,0)),"")</f>
        <v>82</v>
      </c>
      <c r="L1575" s="25">
        <f>IFERROR(INDEX('Aub Demand'!R:R,MATCH(O1575,'Aub Demand'!A:A,0)),"")</f>
        <v>0</v>
      </c>
      <c r="O1575" s="27" t="s">
        <v>1893</v>
      </c>
      <c r="P1575" s="27" t="str">
        <f>IFERROR(INDEX('Aub Demand'!B:B,MATCH($O1575,'Aub Demand'!$A:$A,0)),"")</f>
        <v>SPICE WALNUT</v>
      </c>
      <c r="Q1575" s="27" t="str">
        <f>IFERROR(INDEX('Aub Demand'!C:C,MATCH($O1575,'Aub Demand'!$A:$A,0)),"")</f>
        <v>TOPPA</v>
      </c>
      <c r="R1575" s="52">
        <f>IFERROR(IF(AR1576=AR1575,INDEX('Aub Demand'!K:K,MATCH($O1575,'Aub Demand'!$A:$A,0))-IF(AN1575="",0,AN1575)+AP1576,INDEX('Aub Demand'!K:K,MATCH($O1575,'Aub Demand'!$A:$A,0))-IF(AN1575="",0,AN1575)),"")</f>
        <v>422</v>
      </c>
      <c r="S1575" s="53">
        <f t="shared" si="672"/>
        <v>36.9</v>
      </c>
      <c r="T1575" s="52" t="str">
        <f t="shared" si="673"/>
        <v/>
      </c>
      <c r="U1575" s="52">
        <f>IFERROR(IF(AR1576=AR1575,INDEX('Aub Demand'!Q:Q,MATCH($O1575,'Aub Demand'!$A:$A,0))-IF(AN1575="",0,AN1575)+AP1576,INDEX('Aub Demand'!Q:Q,MATCH($O1575,'Aub Demand'!$A:$A,0))-IF(AN1575="",0,AN1575)),"")</f>
        <v>422</v>
      </c>
      <c r="V1575" s="53">
        <f t="shared" si="674"/>
        <v>36.9</v>
      </c>
      <c r="W1575" s="52" t="str">
        <f t="shared" si="675"/>
        <v/>
      </c>
      <c r="X1575" s="52">
        <f>IFERROR(IF(AND(AR1576=AR1575,AM1575&lt;&gt;""),INDEX('Aub Demand'!Q:Q,MATCH($O1575,'Aub Demand'!$A:$A,0))-IF(AN1575="",0,AN1575)+AP1576+AD1575+AL1575,IF(AR1576=AR1575,INDEX('Aub Demand'!Q:Q,MATCH($O1575,'Aub Demand'!$A:$A,0))-IF(AN1575="",0,AN1575)+AP1576+AD1575,IF(AM1575&lt;&gt;"",INDEX('Aub Demand'!Q:Q,MATCH($O1575,'Aub Demand'!$A:$A,0))-IF(AN1575="",0,AN1575)+AD1575+AL1575,INDEX('Aub Demand'!Q:Q,MATCH($O1575,'Aub Demand'!$A:$A,0))-IF(AN1575="",0,AN1575)+AD1575))),"")</f>
        <v>422</v>
      </c>
      <c r="Y1575" s="53">
        <f t="shared" si="676"/>
        <v>36.9</v>
      </c>
      <c r="Z1575" s="52">
        <f>IF(L1575="","",INDEX('Aub Demand'!H:H,MATCH($O1575,'Aub Demand'!$A:$A,0)))</f>
        <v>49</v>
      </c>
      <c r="AA1575" s="52">
        <f t="shared" si="677"/>
        <v>74</v>
      </c>
      <c r="AB1575" s="52">
        <f>IFERROR(INDEX('Aub Demand'!L:L,MATCH($O1575,'Aub Demand'!$A:$A,0)),"")</f>
        <v>16</v>
      </c>
      <c r="AC1575" s="52">
        <f>IFERROR(IF(O1575="","",SUMIFS('CPL Mats'!F:F,'CPL Mats'!Q:Q,AR1575,'CPL Mats'!S:S,AS1575)),"")</f>
        <v>0</v>
      </c>
      <c r="AF1575" s="25">
        <f>IF(SUMIFS('Supp Consol'!S:S,'Supp Consol'!Y:Y,"Releasable",'Supp Consol'!A:A,O1575)=0,"",SUMIFS('Supp Consol'!S:S,'Supp Consol'!Y:Y,"Releasable",'Supp Consol'!A:A,O1575))</f>
        <v>2320</v>
      </c>
      <c r="AG1575" s="25" t="str">
        <f>IFERROR(INDEX('Hun Demand'!Q:Q,MATCH(O1575,'Hun Demand'!A:A,0)),"")</f>
        <v/>
      </c>
      <c r="AH1575" s="25" t="str">
        <f>IFERROR(INDEX('Hun Demand'!H:H,MATCH($O1575,'Hun Demand'!$A:$A,0)),"")</f>
        <v/>
      </c>
      <c r="AI1575" s="25">
        <f>IF(SUMIFS('Supp Consol'!AA:AA,'Supp Consol'!Z:Z,"Expires this month",'Supp Consol'!A:A,O1575)=0,"",SUMIFS('Supp Consol'!AA:AA,'Supp Consol'!Z:Z,"Expires this month",'Supp Consol'!A:A,O1575))</f>
        <v>2320</v>
      </c>
      <c r="AJ1575" s="25" t="str">
        <f>IF(SUMIFS('Supp Consol'!AA:AA,'Supp Consol'!Z:Z,"Expired Previous Months",'Supp Consol'!A:A,O1575)=0,"",SUMIFS('Supp Consol'!AA:AA,'Supp Consol'!Z:Z,"Expired Previous Months",'Supp Consol'!A:A,O1575))</f>
        <v/>
      </c>
      <c r="AK1575" s="25" t="str">
        <f>IFERROR(INDEX('Hun Release Current'!B:B,MATCH(O1575,'Hun Release Current'!A:A,0)),"")</f>
        <v/>
      </c>
      <c r="AL1575" s="25" t="str">
        <f>IF(SUMIF('Prev Aub'!A:A,O1575,'Prev Aub'!B:B)=0,"",SUMIF('Prev Aub'!A:A,O1575,'Prev Aub'!B:B))</f>
        <v/>
      </c>
      <c r="AN1575" s="25" t="s">
        <v>3790</v>
      </c>
      <c r="AO1575" s="25" t="s">
        <v>3790</v>
      </c>
      <c r="AP1575" s="25">
        <f t="shared" si="678"/>
        <v>0</v>
      </c>
      <c r="AQ1575" s="151" t="str">
        <f>IF(SUMIFS('Supp Consol'!S:S,'Supp Consol'!A:A,O1575,'Supp Consol'!I:I,"PENDING")=0,"",SUMIFS('Supp Consol'!S:S,'Supp Consol'!A:A,O1575,'Supp Consol'!I:I,"PENDING"))</f>
        <v/>
      </c>
      <c r="AR1575" s="27" t="str">
        <f t="shared" si="679"/>
        <v>WW561</v>
      </c>
      <c r="AS1575" s="27" t="str">
        <f t="shared" si="680"/>
        <v>62</v>
      </c>
      <c r="AT1575" s="27" t="str">
        <f t="shared" si="681"/>
        <v/>
      </c>
      <c r="AU1575" s="27" t="str">
        <f t="shared" si="682"/>
        <v/>
      </c>
      <c r="AV1575" s="27" t="str">
        <f t="shared" si="683"/>
        <v/>
      </c>
      <c r="AW1575" s="27" t="str">
        <f t="shared" si="684"/>
        <v>WW561</v>
      </c>
      <c r="AX1575" s="27" t="str">
        <f t="shared" si="685"/>
        <v>WW561</v>
      </c>
      <c r="AY1575" s="27" t="str">
        <f t="shared" si="686"/>
        <v/>
      </c>
      <c r="AZ1575" s="27" t="str">
        <f t="shared" si="687"/>
        <v>Supp</v>
      </c>
      <c r="BA1575" s="27" t="str">
        <f t="shared" si="688"/>
        <v>Hun</v>
      </c>
      <c r="BB1575" s="27" t="str">
        <f t="shared" si="689"/>
        <v/>
      </c>
      <c r="BC1575" s="27" t="str">
        <f t="shared" si="690"/>
        <v/>
      </c>
      <c r="BD1575" s="27" t="str">
        <f t="shared" si="691"/>
        <v/>
      </c>
      <c r="BE1575" s="27" t="str">
        <f t="shared" si="692"/>
        <v>Exp</v>
      </c>
      <c r="BF1575" s="27" t="str">
        <f t="shared" si="693"/>
        <v/>
      </c>
      <c r="BG1575" s="27" t="str">
        <f t="shared" si="694"/>
        <v>S+NorE</v>
      </c>
      <c r="BH1575" s="27" t="str">
        <f t="shared" si="695"/>
        <v/>
      </c>
      <c r="BI1575" s="27" t="str">
        <f t="shared" si="696"/>
        <v/>
      </c>
      <c r="BJ1575" s="27" t="str">
        <f t="shared" si="697"/>
        <v>Supp or Hun</v>
      </c>
      <c r="BK1575" s="27" t="str">
        <f t="shared" si="698"/>
        <v/>
      </c>
      <c r="BL1575" s="27" t="str">
        <f t="shared" si="699"/>
        <v>SorHandNandE</v>
      </c>
      <c r="BM1575" s="21" t="s">
        <v>5581</v>
      </c>
    </row>
    <row r="1576" spans="1:65" ht="15">
      <c r="A1576" s="25" t="str">
        <f>IFERROR(INDEX('Hun Demand'!W:W,MATCH(O1576,'Hun Demand'!A:A,0)),"")</f>
        <v/>
      </c>
      <c r="B1576" s="25" t="str">
        <f>IFERROR(INDEX('Hun Demand'!V:V,MATCH(O1576,'Hun Demand'!A:A,0)),"")</f>
        <v/>
      </c>
      <c r="C1576" s="25" t="str">
        <f>IFERROR(INDEX('Hun Demand'!U:U,MATCH(O1576,'Hun Demand'!A:A,0)),"")</f>
        <v/>
      </c>
      <c r="D1576" s="25" t="str">
        <f>IFERROR(INDEX('Hun Demand'!T:T,MATCH(O1576,'Hun Demand'!A:A,0)),"")</f>
        <v/>
      </c>
      <c r="E1576" s="25" t="str">
        <f>IFERROR(INDEX('Hun Demand'!S:S,MATCH(O1576,'Hun Demand'!A:A,0)),"")</f>
        <v/>
      </c>
      <c r="F1576" s="25" t="str">
        <f>IFERROR(INDEX('Hun Demand'!R:R,MATCH(O1576,'Hun Demand'!A:A,0)),"")</f>
        <v/>
      </c>
      <c r="G1576" s="25">
        <f>IFERROR(INDEX('Aub Demand'!W:W,MATCH(O1576,'Aub Demand'!A:A,0)),"")</f>
        <v>0</v>
      </c>
      <c r="H1576" s="25">
        <f>IFERROR(INDEX('Aub Demand'!V:V,MATCH(O1576,'Aub Demand'!A:A,0)),"")</f>
        <v>60</v>
      </c>
      <c r="I1576" s="25">
        <f>IFERROR(INDEX('Aub Demand'!U:U,MATCH(O1576,'Aub Demand'!A:A,0)),"")</f>
        <v>0</v>
      </c>
      <c r="J1576" s="25">
        <f>IFERROR(INDEX('Aub Demand'!T:T,MATCH(O1576,'Aub Demand'!A:A,0)),"")</f>
        <v>0</v>
      </c>
      <c r="K1576" s="25">
        <f>IFERROR(INDEX('Aub Demand'!S:S,MATCH(O1576,'Aub Demand'!A:A,0)),"")</f>
        <v>168</v>
      </c>
      <c r="L1576" s="25">
        <f>IFERROR(INDEX('Aub Demand'!R:R,MATCH(O1576,'Aub Demand'!A:A,0)),"")</f>
        <v>0</v>
      </c>
      <c r="O1576" s="27" t="s">
        <v>1894</v>
      </c>
      <c r="P1576" s="27" t="str">
        <f>IFERROR(INDEX('Aub Demand'!B:B,MATCH($O1576,'Aub Demand'!$A:$A,0)),"")</f>
        <v>CINNAMON NOCE</v>
      </c>
      <c r="Q1576" s="27" t="str">
        <f>IFERROR(INDEX('Aub Demand'!C:C,MATCH($O1576,'Aub Demand'!$A:$A,0)),"")</f>
        <v>INTER</v>
      </c>
      <c r="R1576" s="52">
        <f>IFERROR(IF(AR1577=AR1576,INDEX('Aub Demand'!K:K,MATCH($O1576,'Aub Demand'!$A:$A,0))-IF(AN1576="",0,AN1576)+AP1577,INDEX('Aub Demand'!K:K,MATCH($O1576,'Aub Demand'!$A:$A,0))-IF(AN1576="",0,AN1576)),"")</f>
        <v>91</v>
      </c>
      <c r="S1576" s="53">
        <f t="shared" si="672"/>
        <v>7</v>
      </c>
      <c r="T1576" s="52" t="str">
        <f t="shared" si="673"/>
        <v/>
      </c>
      <c r="U1576" s="52">
        <f>IFERROR(IF(AR1577=AR1576,INDEX('Aub Demand'!Q:Q,MATCH($O1576,'Aub Demand'!$A:$A,0))-IF(AN1576="",0,AN1576)+AP1577,INDEX('Aub Demand'!Q:Q,MATCH($O1576,'Aub Demand'!$A:$A,0))-IF(AN1576="",0,AN1576)),"")</f>
        <v>64</v>
      </c>
      <c r="V1576" s="53">
        <f t="shared" si="674"/>
        <v>4.9000000000000004</v>
      </c>
      <c r="W1576" s="52" t="str">
        <f t="shared" si="675"/>
        <v/>
      </c>
      <c r="X1576" s="52">
        <f>IFERROR(IF(AND(AR1577=AR1576,AM1576&lt;&gt;""),INDEX('Aub Demand'!Q:Q,MATCH($O1576,'Aub Demand'!$A:$A,0))-IF(AN1576="",0,AN1576)+AP1577+AD1576+AL1576,IF(AR1577=AR1576,INDEX('Aub Demand'!Q:Q,MATCH($O1576,'Aub Demand'!$A:$A,0))-IF(AN1576="",0,AN1576)+AP1577+AD1576,IF(AM1576&lt;&gt;"",INDEX('Aub Demand'!Q:Q,MATCH($O1576,'Aub Demand'!$A:$A,0))-IF(AN1576="",0,AN1576)+AD1576+AL1576,INDEX('Aub Demand'!Q:Q,MATCH($O1576,'Aub Demand'!$A:$A,0))-IF(AN1576="",0,AN1576)+AD1576))),"")</f>
        <v>64</v>
      </c>
      <c r="Y1576" s="53">
        <f t="shared" si="676"/>
        <v>4.9000000000000004</v>
      </c>
      <c r="Z1576" s="52">
        <f>IF(L1576="","",INDEX('Aub Demand'!H:H,MATCH($O1576,'Aub Demand'!$A:$A,0)))</f>
        <v>56</v>
      </c>
      <c r="AA1576" s="52" t="str">
        <f t="shared" si="677"/>
        <v>-spike-</v>
      </c>
      <c r="AB1576" s="52">
        <f>IFERROR(INDEX('Aub Demand'!L:L,MATCH($O1576,'Aub Demand'!$A:$A,0)),"")</f>
        <v>136</v>
      </c>
      <c r="AC1576" s="52">
        <f>IFERROR(IF(O1576="","",SUMIFS('CPL Mats'!F:F,'CPL Mats'!Q:Q,AR1576,'CPL Mats'!S:S,AS1576)),"")</f>
        <v>0</v>
      </c>
      <c r="AF1576" s="25">
        <f>IF(SUMIFS('Supp Consol'!S:S,'Supp Consol'!Y:Y,"Releasable",'Supp Consol'!A:A,O1576)=0,"",SUMIFS('Supp Consol'!S:S,'Supp Consol'!Y:Y,"Releasable",'Supp Consol'!A:A,O1576))</f>
        <v>1331</v>
      </c>
      <c r="AG1576" s="25" t="str">
        <f>IFERROR(INDEX('Hun Demand'!Q:Q,MATCH(O1576,'Hun Demand'!A:A,0)),"")</f>
        <v/>
      </c>
      <c r="AH1576" s="25" t="str">
        <f>IFERROR(INDEX('Hun Demand'!H:H,MATCH($O1576,'Hun Demand'!$A:$A,0)),"")</f>
        <v/>
      </c>
      <c r="AI1576" s="25" t="str">
        <f>IF(SUMIFS('Supp Consol'!AA:AA,'Supp Consol'!Z:Z,"Expires this month",'Supp Consol'!A:A,O1576)=0,"",SUMIFS('Supp Consol'!AA:AA,'Supp Consol'!Z:Z,"Expires this month",'Supp Consol'!A:A,O1576))</f>
        <v/>
      </c>
      <c r="AJ1576" s="25" t="str">
        <f>IF(SUMIFS('Supp Consol'!AA:AA,'Supp Consol'!Z:Z,"Expired Previous Months",'Supp Consol'!A:A,O1576)=0,"",SUMIFS('Supp Consol'!AA:AA,'Supp Consol'!Z:Z,"Expired Previous Months",'Supp Consol'!A:A,O1576))</f>
        <v/>
      </c>
      <c r="AK1576" s="25" t="str">
        <f>IFERROR(INDEX('Hun Release Current'!B:B,MATCH(O1576,'Hun Release Current'!A:A,0)),"")</f>
        <v/>
      </c>
      <c r="AL1576" s="25" t="str">
        <f>IF(SUMIF('Prev Aub'!A:A,O1576,'Prev Aub'!B:B)=0,"",SUMIF('Prev Aub'!A:A,O1576,'Prev Aub'!B:B))</f>
        <v/>
      </c>
      <c r="AN1576" s="25" t="s">
        <v>3790</v>
      </c>
      <c r="AO1576" s="25" t="s">
        <v>3790</v>
      </c>
      <c r="AP1576" s="25">
        <f t="shared" si="678"/>
        <v>0</v>
      </c>
      <c r="AQ1576" s="151" t="str">
        <f>IF(SUMIFS('Supp Consol'!S:S,'Supp Consol'!A:A,O1576,'Supp Consol'!I:I,"PENDING")=0,"",SUMIFS('Supp Consol'!S:S,'Supp Consol'!A:A,O1576,'Supp Consol'!I:I,"PENDING"))</f>
        <v/>
      </c>
      <c r="AR1576" s="27" t="str">
        <f t="shared" si="679"/>
        <v>WW601</v>
      </c>
      <c r="AS1576" s="27" t="str">
        <f t="shared" si="680"/>
        <v>50</v>
      </c>
      <c r="AT1576" s="27" t="str">
        <f t="shared" si="681"/>
        <v/>
      </c>
      <c r="AU1576" s="27" t="str">
        <f t="shared" si="682"/>
        <v/>
      </c>
      <c r="AV1576" s="27" t="str">
        <f t="shared" si="683"/>
        <v/>
      </c>
      <c r="AW1576" s="27" t="str">
        <f t="shared" si="684"/>
        <v/>
      </c>
      <c r="AX1576" s="27" t="str">
        <f t="shared" si="685"/>
        <v>WW601</v>
      </c>
      <c r="AY1576" s="27" t="str">
        <f t="shared" si="686"/>
        <v/>
      </c>
      <c r="AZ1576" s="27" t="str">
        <f t="shared" si="687"/>
        <v>Supp</v>
      </c>
      <c r="BA1576" s="27" t="str">
        <f t="shared" si="688"/>
        <v>Hun</v>
      </c>
      <c r="BB1576" s="27" t="str">
        <f t="shared" si="689"/>
        <v/>
      </c>
      <c r="BC1576" s="27" t="str">
        <f t="shared" si="690"/>
        <v/>
      </c>
      <c r="BD1576" s="27" t="str">
        <f t="shared" si="691"/>
        <v/>
      </c>
      <c r="BE1576" s="27" t="str">
        <f t="shared" si="692"/>
        <v/>
      </c>
      <c r="BF1576" s="27" t="str">
        <f t="shared" si="693"/>
        <v/>
      </c>
      <c r="BG1576" s="27" t="str">
        <f t="shared" si="694"/>
        <v/>
      </c>
      <c r="BH1576" s="27" t="str">
        <f t="shared" si="695"/>
        <v/>
      </c>
      <c r="BI1576" s="27" t="str">
        <f t="shared" si="696"/>
        <v/>
      </c>
      <c r="BJ1576" s="27" t="str">
        <f t="shared" si="697"/>
        <v>Supp or Hun</v>
      </c>
      <c r="BK1576" s="27" t="str">
        <f t="shared" si="698"/>
        <v/>
      </c>
      <c r="BL1576" s="27" t="str">
        <f t="shared" si="699"/>
        <v/>
      </c>
      <c r="BM1576" s="21" t="s">
        <v>5581</v>
      </c>
    </row>
    <row r="1577" spans="1:65" ht="15">
      <c r="A1577" s="25">
        <f>IFERROR(INDEX('Hun Demand'!W:W,MATCH(O1577,'Hun Demand'!A:A,0)),"")</f>
        <v>709</v>
      </c>
      <c r="B1577" s="25">
        <f>IFERROR(INDEX('Hun Demand'!V:V,MATCH(O1577,'Hun Demand'!A:A,0)),"")</f>
        <v>197</v>
      </c>
      <c r="C1577" s="25">
        <f>IFERROR(INDEX('Hun Demand'!U:U,MATCH(O1577,'Hun Demand'!A:A,0)),"")</f>
        <v>0</v>
      </c>
      <c r="D1577" s="25">
        <f>IFERROR(INDEX('Hun Demand'!T:T,MATCH(O1577,'Hun Demand'!A:A,0)),"")</f>
        <v>0</v>
      </c>
      <c r="E1577" s="25">
        <f>IFERROR(INDEX('Hun Demand'!S:S,MATCH(O1577,'Hun Demand'!A:A,0)),"")</f>
        <v>0</v>
      </c>
      <c r="F1577" s="25">
        <f>IFERROR(INDEX('Hun Demand'!R:R,MATCH(O1577,'Hun Demand'!A:A,0)),"")</f>
        <v>0</v>
      </c>
      <c r="G1577" s="25">
        <f>IFERROR(INDEX('Aub Demand'!W:W,MATCH(O1577,'Aub Demand'!A:A,0)),"")</f>
        <v>0</v>
      </c>
      <c r="H1577" s="25">
        <f>IFERROR(INDEX('Aub Demand'!V:V,MATCH(O1577,'Aub Demand'!A:A,0)),"")</f>
        <v>23</v>
      </c>
      <c r="I1577" s="25">
        <f>IFERROR(INDEX('Aub Demand'!U:U,MATCH(O1577,'Aub Demand'!A:A,0)),"")</f>
        <v>23</v>
      </c>
      <c r="J1577" s="25">
        <f>IFERROR(INDEX('Aub Demand'!T:T,MATCH(O1577,'Aub Demand'!A:A,0)),"")</f>
        <v>50</v>
      </c>
      <c r="K1577" s="25">
        <f>IFERROR(INDEX('Aub Demand'!S:S,MATCH(O1577,'Aub Demand'!A:A,0)),"")</f>
        <v>27</v>
      </c>
      <c r="L1577" s="25">
        <f>IFERROR(INDEX('Aub Demand'!R:R,MATCH(O1577,'Aub Demand'!A:A,0)),"")</f>
        <v>0</v>
      </c>
      <c r="O1577" s="27" t="s">
        <v>1896</v>
      </c>
      <c r="P1577" s="27" t="str">
        <f>IFERROR(INDEX('Aub Demand'!B:B,MATCH($O1577,'Aub Demand'!$A:$A,0)),"")</f>
        <v>CINNAMON NOCE</v>
      </c>
      <c r="Q1577" s="27" t="str">
        <f>IFERROR(INDEX('Aub Demand'!C:C,MATCH($O1577,'Aub Demand'!$A:$A,0)),"")</f>
        <v>INTER</v>
      </c>
      <c r="R1577" s="52">
        <f>IFERROR(IF(AR1578=AR1577,INDEX('Aub Demand'!K:K,MATCH($O1577,'Aub Demand'!$A:$A,0))-IF(AN1577="",0,AN1577)+AP1578,INDEX('Aub Demand'!K:K,MATCH($O1577,'Aub Demand'!$A:$A,0))-IF(AN1577="",0,AN1577)),"")</f>
        <v>288</v>
      </c>
      <c r="S1577" s="53">
        <f t="shared" si="672"/>
        <v>37.4</v>
      </c>
      <c r="T1577" s="52" t="str">
        <f t="shared" si="673"/>
        <v/>
      </c>
      <c r="U1577" s="52">
        <f>IFERROR(IF(AR1578=AR1577,INDEX('Aub Demand'!Q:Q,MATCH($O1577,'Aub Demand'!$A:$A,0))-IF(AN1577="",0,AN1577)+AP1578,INDEX('Aub Demand'!Q:Q,MATCH($O1577,'Aub Demand'!$A:$A,0))-IF(AN1577="",0,AN1577)),"")</f>
        <v>215</v>
      </c>
      <c r="V1577" s="53">
        <f t="shared" si="674"/>
        <v>27.9</v>
      </c>
      <c r="W1577" s="52" t="str">
        <f t="shared" si="675"/>
        <v/>
      </c>
      <c r="X1577" s="52">
        <f>IFERROR(IF(AND(AR1578=AR1577,AM1577&lt;&gt;""),INDEX('Aub Demand'!Q:Q,MATCH($O1577,'Aub Demand'!$A:$A,0))-IF(AN1577="",0,AN1577)+AP1578+AD1577+AL1577,IF(AR1578=AR1577,INDEX('Aub Demand'!Q:Q,MATCH($O1577,'Aub Demand'!$A:$A,0))-IF(AN1577="",0,AN1577)+AP1578+AD1577,IF(AM1577&lt;&gt;"",INDEX('Aub Demand'!Q:Q,MATCH($O1577,'Aub Demand'!$A:$A,0))-IF(AN1577="",0,AN1577)+AD1577+AL1577,INDEX('Aub Demand'!Q:Q,MATCH($O1577,'Aub Demand'!$A:$A,0))-IF(AN1577="",0,AN1577)+AD1577))),"")</f>
        <v>215</v>
      </c>
      <c r="Y1577" s="53">
        <f t="shared" si="676"/>
        <v>27.9</v>
      </c>
      <c r="Z1577" s="52">
        <f>IF(L1577="","",INDEX('Aub Demand'!H:H,MATCH($O1577,'Aub Demand'!$A:$A,0)))</f>
        <v>33</v>
      </c>
      <c r="AA1577" s="52">
        <f t="shared" si="677"/>
        <v>38.5</v>
      </c>
      <c r="AB1577" s="52">
        <f>IFERROR(INDEX('Aub Demand'!L:L,MATCH($O1577,'Aub Demand'!$A:$A,0)),"")</f>
        <v>5</v>
      </c>
      <c r="AC1577" s="52">
        <f>IFERROR(IF(O1577="","",SUMIFS('CPL Mats'!F:F,'CPL Mats'!Q:Q,AR1577,'CPL Mats'!S:S,AS1577)),"")</f>
        <v>0</v>
      </c>
      <c r="AF1577" s="25">
        <f>IF(SUMIFS('Supp Consol'!S:S,'Supp Consol'!Y:Y,"Releasable",'Supp Consol'!A:A,O1577)=0,"",SUMIFS('Supp Consol'!S:S,'Supp Consol'!Y:Y,"Releasable",'Supp Consol'!A:A,O1577))</f>
        <v>823</v>
      </c>
      <c r="AG1577" s="25">
        <f>IFERROR(INDEX('Hun Demand'!Q:Q,MATCH(O1577,'Hun Demand'!A:A,0)),"")</f>
        <v>250</v>
      </c>
      <c r="AH1577" s="25">
        <f>IFERROR(INDEX('Hun Demand'!H:H,MATCH($O1577,'Hun Demand'!$A:$A,0)),"")</f>
        <v>0</v>
      </c>
      <c r="AI1577" s="25" t="str">
        <f>IF(SUMIFS('Supp Consol'!AA:AA,'Supp Consol'!Z:Z,"Expires this month",'Supp Consol'!A:A,O1577)=0,"",SUMIFS('Supp Consol'!AA:AA,'Supp Consol'!Z:Z,"Expires this month",'Supp Consol'!A:A,O1577))</f>
        <v/>
      </c>
      <c r="AJ1577" s="25" t="str">
        <f>IF(SUMIFS('Supp Consol'!AA:AA,'Supp Consol'!Z:Z,"Expired Previous Months",'Supp Consol'!A:A,O1577)=0,"",SUMIFS('Supp Consol'!AA:AA,'Supp Consol'!Z:Z,"Expired Previous Months",'Supp Consol'!A:A,O1577))</f>
        <v/>
      </c>
      <c r="AK1577" s="25" t="str">
        <f>IFERROR(INDEX('Hun Release Current'!B:B,MATCH(O1577,'Hun Release Current'!A:A,0)),"")</f>
        <v/>
      </c>
      <c r="AL1577" s="25" t="str">
        <f>IF(SUMIF('Prev Aub'!A:A,O1577,'Prev Aub'!B:B)=0,"",SUMIF('Prev Aub'!A:A,O1577,'Prev Aub'!B:B))</f>
        <v/>
      </c>
      <c r="AN1577" s="25" t="s">
        <v>3790</v>
      </c>
      <c r="AO1577" s="25" t="s">
        <v>3790</v>
      </c>
      <c r="AP1577" s="25">
        <f t="shared" si="678"/>
        <v>0</v>
      </c>
      <c r="AQ1577" s="151" t="str">
        <f>IF(SUMIFS('Supp Consol'!S:S,'Supp Consol'!A:A,O1577,'Supp Consol'!I:I,"PENDING")=0,"",SUMIFS('Supp Consol'!S:S,'Supp Consol'!A:A,O1577,'Supp Consol'!I:I,"PENDING"))</f>
        <v/>
      </c>
      <c r="AR1577" s="27" t="str">
        <f t="shared" si="679"/>
        <v>WW601</v>
      </c>
      <c r="AS1577" s="27" t="str">
        <f t="shared" si="680"/>
        <v>62</v>
      </c>
      <c r="AT1577" s="27" t="str">
        <f t="shared" si="681"/>
        <v/>
      </c>
      <c r="AU1577" s="27" t="str">
        <f t="shared" si="682"/>
        <v/>
      </c>
      <c r="AV1577" s="27" t="str">
        <f t="shared" si="683"/>
        <v/>
      </c>
      <c r="AW1577" s="27" t="str">
        <f t="shared" si="684"/>
        <v/>
      </c>
      <c r="AX1577" s="27" t="str">
        <f t="shared" si="685"/>
        <v>WW601</v>
      </c>
      <c r="AY1577" s="27" t="str">
        <f t="shared" si="686"/>
        <v>WW601</v>
      </c>
      <c r="AZ1577" s="27" t="str">
        <f t="shared" si="687"/>
        <v>Supp</v>
      </c>
      <c r="BA1577" s="27" t="str">
        <f t="shared" si="688"/>
        <v>Hun</v>
      </c>
      <c r="BB1577" s="27" t="str">
        <f t="shared" si="689"/>
        <v/>
      </c>
      <c r="BC1577" s="27" t="str">
        <f t="shared" si="690"/>
        <v/>
      </c>
      <c r="BD1577" s="27" t="str">
        <f t="shared" si="691"/>
        <v/>
      </c>
      <c r="BE1577" s="27" t="str">
        <f t="shared" si="692"/>
        <v/>
      </c>
      <c r="BF1577" s="27" t="str">
        <f t="shared" si="693"/>
        <v/>
      </c>
      <c r="BG1577" s="27" t="str">
        <f t="shared" si="694"/>
        <v/>
      </c>
      <c r="BH1577" s="27" t="str">
        <f t="shared" si="695"/>
        <v/>
      </c>
      <c r="BI1577" s="27" t="str">
        <f t="shared" si="696"/>
        <v/>
      </c>
      <c r="BJ1577" s="27" t="str">
        <f t="shared" si="697"/>
        <v>Supp or Hun</v>
      </c>
      <c r="BK1577" s="27" t="str">
        <f t="shared" si="698"/>
        <v/>
      </c>
      <c r="BL1577" s="27" t="str">
        <f t="shared" si="699"/>
        <v/>
      </c>
      <c r="BM1577" s="21" t="s">
        <v>5581</v>
      </c>
    </row>
    <row r="1578" spans="1:65" ht="15">
      <c r="A1578" s="25" t="str">
        <f>IFERROR(INDEX('Hun Demand'!W:W,MATCH(O1578,'Hun Demand'!A:A,0)),"")</f>
        <v/>
      </c>
      <c r="B1578" s="25" t="str">
        <f>IFERROR(INDEX('Hun Demand'!V:V,MATCH(O1578,'Hun Demand'!A:A,0)),"")</f>
        <v/>
      </c>
      <c r="C1578" s="25" t="str">
        <f>IFERROR(INDEX('Hun Demand'!U:U,MATCH(O1578,'Hun Demand'!A:A,0)),"")</f>
        <v/>
      </c>
      <c r="D1578" s="25" t="str">
        <f>IFERROR(INDEX('Hun Demand'!T:T,MATCH(O1578,'Hun Demand'!A:A,0)),"")</f>
        <v/>
      </c>
      <c r="E1578" s="25" t="str">
        <f>IFERROR(INDEX('Hun Demand'!S:S,MATCH(O1578,'Hun Demand'!A:A,0)),"")</f>
        <v/>
      </c>
      <c r="F1578" s="25" t="str">
        <f>IFERROR(INDEX('Hun Demand'!R:R,MATCH(O1578,'Hun Demand'!A:A,0)),"")</f>
        <v/>
      </c>
      <c r="G1578" s="25">
        <f>IFERROR(INDEX('Aub Demand'!W:W,MATCH(O1578,'Aub Demand'!A:A,0)),"")</f>
        <v>97</v>
      </c>
      <c r="H1578" s="25">
        <f>IFERROR(INDEX('Aub Demand'!V:V,MATCH(O1578,'Aub Demand'!A:A,0)),"")</f>
        <v>0</v>
      </c>
      <c r="I1578" s="25">
        <f>IFERROR(INDEX('Aub Demand'!U:U,MATCH(O1578,'Aub Demand'!A:A,0)),"")</f>
        <v>145</v>
      </c>
      <c r="J1578" s="25">
        <f>IFERROR(INDEX('Aub Demand'!T:T,MATCH(O1578,'Aub Demand'!A:A,0)),"")</f>
        <v>28</v>
      </c>
      <c r="K1578" s="25">
        <f>IFERROR(INDEX('Aub Demand'!S:S,MATCH(O1578,'Aub Demand'!A:A,0)),"")</f>
        <v>38</v>
      </c>
      <c r="L1578" s="25">
        <f>IFERROR(INDEX('Aub Demand'!R:R,MATCH(O1578,'Aub Demand'!A:A,0)),"")</f>
        <v>0</v>
      </c>
      <c r="O1578" s="27" t="s">
        <v>1897</v>
      </c>
      <c r="P1578" s="27" t="str">
        <f>IFERROR(INDEX('Aub Demand'!B:B,MATCH($O1578,'Aub Demand'!$A:$A,0)),"")</f>
        <v>OFS ENGLISH WALNUT</v>
      </c>
      <c r="Q1578" s="27" t="str">
        <f>IFERROR(INDEX('Aub Demand'!C:C,MATCH($O1578,'Aub Demand'!$A:$A,0)),"")</f>
        <v>INTER</v>
      </c>
      <c r="R1578" s="52">
        <f>IFERROR(IF(AR1579=AR1578,INDEX('Aub Demand'!K:K,MATCH($O1578,'Aub Demand'!$A:$A,0))-IF(AN1578="",0,AN1578)+AP1579,INDEX('Aub Demand'!K:K,MATCH($O1578,'Aub Demand'!$A:$A,0))-IF(AN1578="",0,AN1578)),"")</f>
        <v>289</v>
      </c>
      <c r="S1578" s="53">
        <f t="shared" si="672"/>
        <v>17.7</v>
      </c>
      <c r="T1578" s="52" t="str">
        <f t="shared" si="673"/>
        <v/>
      </c>
      <c r="U1578" s="52">
        <f>IFERROR(IF(AR1579=AR1578,INDEX('Aub Demand'!Q:Q,MATCH($O1578,'Aub Demand'!$A:$A,0))-IF(AN1578="",0,AN1578)+AP1579,INDEX('Aub Demand'!Q:Q,MATCH($O1578,'Aub Demand'!$A:$A,0))-IF(AN1578="",0,AN1578)),"")</f>
        <v>289</v>
      </c>
      <c r="V1578" s="53">
        <f t="shared" si="674"/>
        <v>17.7</v>
      </c>
      <c r="W1578" s="52" t="str">
        <f t="shared" si="675"/>
        <v/>
      </c>
      <c r="X1578" s="52">
        <f>IFERROR(IF(AND(AR1579=AR1578,AM1578&lt;&gt;""),INDEX('Aub Demand'!Q:Q,MATCH($O1578,'Aub Demand'!$A:$A,0))-IF(AN1578="",0,AN1578)+AP1579+AD1578+AL1578,IF(AR1579=AR1578,INDEX('Aub Demand'!Q:Q,MATCH($O1578,'Aub Demand'!$A:$A,0))-IF(AN1578="",0,AN1578)+AP1579+AD1578,IF(AM1578&lt;&gt;"",INDEX('Aub Demand'!Q:Q,MATCH($O1578,'Aub Demand'!$A:$A,0))-IF(AN1578="",0,AN1578)+AD1578+AL1578,INDEX('Aub Demand'!Q:Q,MATCH($O1578,'Aub Demand'!$A:$A,0))-IF(AN1578="",0,AN1578)+AD1578))),"")</f>
        <v>289</v>
      </c>
      <c r="Y1578" s="53">
        <f t="shared" si="676"/>
        <v>17.7</v>
      </c>
      <c r="Z1578" s="52">
        <f>IF(L1578="","",INDEX('Aub Demand'!H:H,MATCH($O1578,'Aub Demand'!$A:$A,0)))</f>
        <v>70</v>
      </c>
      <c r="AA1578" s="52">
        <f t="shared" si="677"/>
        <v>91.5</v>
      </c>
      <c r="AB1578" s="52">
        <f>IFERROR(INDEX('Aub Demand'!L:L,MATCH($O1578,'Aub Demand'!$A:$A,0)),"")</f>
        <v>0</v>
      </c>
      <c r="AC1578" s="52">
        <f>IFERROR(IF(O1578="","",SUMIFS('CPL Mats'!F:F,'CPL Mats'!Q:Q,AR1578,'CPL Mats'!S:S,AS1578)),"")</f>
        <v>0</v>
      </c>
      <c r="AF1578" s="25" t="str">
        <f>IF(SUMIFS('Supp Consol'!S:S,'Supp Consol'!Y:Y,"Releasable",'Supp Consol'!A:A,O1578)=0,"",SUMIFS('Supp Consol'!S:S,'Supp Consol'!Y:Y,"Releasable",'Supp Consol'!A:A,O1578))</f>
        <v/>
      </c>
      <c r="AG1578" s="25" t="str">
        <f>IFERROR(INDEX('Hun Demand'!Q:Q,MATCH(O1578,'Hun Demand'!A:A,0)),"")</f>
        <v/>
      </c>
      <c r="AH1578" s="25" t="str">
        <f>IFERROR(INDEX('Hun Demand'!H:H,MATCH($O1578,'Hun Demand'!$A:$A,0)),"")</f>
        <v/>
      </c>
      <c r="AI1578" s="25" t="str">
        <f>IF(SUMIFS('Supp Consol'!AA:AA,'Supp Consol'!Z:Z,"Expires this month",'Supp Consol'!A:A,O1578)=0,"",SUMIFS('Supp Consol'!AA:AA,'Supp Consol'!Z:Z,"Expires this month",'Supp Consol'!A:A,O1578))</f>
        <v/>
      </c>
      <c r="AJ1578" s="25" t="str">
        <f>IF(SUMIFS('Supp Consol'!AA:AA,'Supp Consol'!Z:Z,"Expired Previous Months",'Supp Consol'!A:A,O1578)=0,"",SUMIFS('Supp Consol'!AA:AA,'Supp Consol'!Z:Z,"Expired Previous Months",'Supp Consol'!A:A,O1578))</f>
        <v/>
      </c>
      <c r="AK1578" s="25" t="str">
        <f>IFERROR(INDEX('Hun Release Current'!B:B,MATCH(O1578,'Hun Release Current'!A:A,0)),"")</f>
        <v/>
      </c>
      <c r="AL1578" s="25" t="str">
        <f>IF(SUMIF('Prev Aub'!A:A,O1578,'Prev Aub'!B:B)=0,"",SUMIF('Prev Aub'!A:A,O1578,'Prev Aub'!B:B))</f>
        <v/>
      </c>
      <c r="AN1578" s="25" t="s">
        <v>3790</v>
      </c>
      <c r="AO1578" s="25" t="s">
        <v>3790</v>
      </c>
      <c r="AP1578" s="25">
        <f t="shared" si="678"/>
        <v>0</v>
      </c>
      <c r="AQ1578" s="151">
        <f>IF(SUMIFS('Supp Consol'!S:S,'Supp Consol'!A:A,O1578,'Supp Consol'!I:I,"PENDING")=0,"",SUMIFS('Supp Consol'!S:S,'Supp Consol'!A:A,O1578,'Supp Consol'!I:I,"PENDING"))</f>
        <v>432</v>
      </c>
      <c r="AR1578" s="27" t="str">
        <f t="shared" si="679"/>
        <v>WW610</v>
      </c>
      <c r="AS1578" s="27" t="str">
        <f t="shared" si="680"/>
        <v>62</v>
      </c>
      <c r="AT1578" s="27" t="str">
        <f t="shared" si="681"/>
        <v/>
      </c>
      <c r="AU1578" s="27" t="str">
        <f t="shared" si="682"/>
        <v/>
      </c>
      <c r="AV1578" s="27" t="str">
        <f t="shared" si="683"/>
        <v/>
      </c>
      <c r="AW1578" s="27" t="str">
        <f t="shared" si="684"/>
        <v/>
      </c>
      <c r="AX1578" s="27" t="str">
        <f t="shared" si="685"/>
        <v/>
      </c>
      <c r="AY1578" s="27" t="str">
        <f t="shared" si="686"/>
        <v/>
      </c>
      <c r="AZ1578" s="27" t="str">
        <f t="shared" si="687"/>
        <v/>
      </c>
      <c r="BA1578" s="27" t="str">
        <f t="shared" si="688"/>
        <v/>
      </c>
      <c r="BB1578" s="27" t="str">
        <f t="shared" si="689"/>
        <v/>
      </c>
      <c r="BC1578" s="27" t="str">
        <f t="shared" si="690"/>
        <v/>
      </c>
      <c r="BD1578" s="27" t="str">
        <f t="shared" si="691"/>
        <v/>
      </c>
      <c r="BE1578" s="27" t="str">
        <f t="shared" si="692"/>
        <v/>
      </c>
      <c r="BF1578" s="27" t="str">
        <f t="shared" si="693"/>
        <v/>
      </c>
      <c r="BG1578" s="27" t="str">
        <f t="shared" si="694"/>
        <v/>
      </c>
      <c r="BH1578" s="27" t="str">
        <f t="shared" si="695"/>
        <v/>
      </c>
      <c r="BI1578" s="27" t="str">
        <f t="shared" si="696"/>
        <v/>
      </c>
      <c r="BJ1578" s="27" t="str">
        <f t="shared" si="697"/>
        <v/>
      </c>
      <c r="BK1578" s="27" t="str">
        <f t="shared" si="698"/>
        <v/>
      </c>
      <c r="BL1578" s="27" t="str">
        <f t="shared" si="699"/>
        <v/>
      </c>
      <c r="BM1578" s="21" t="s">
        <v>5581</v>
      </c>
    </row>
    <row r="1579" spans="1:65" ht="15">
      <c r="A1579" s="25" t="str">
        <f>IFERROR(INDEX('Hun Demand'!W:W,MATCH(O1579,'Hun Demand'!A:A,0)),"")</f>
        <v/>
      </c>
      <c r="B1579" s="25" t="str">
        <f>IFERROR(INDEX('Hun Demand'!V:V,MATCH(O1579,'Hun Demand'!A:A,0)),"")</f>
        <v/>
      </c>
      <c r="C1579" s="25" t="str">
        <f>IFERROR(INDEX('Hun Demand'!U:U,MATCH(O1579,'Hun Demand'!A:A,0)),"")</f>
        <v/>
      </c>
      <c r="D1579" s="25" t="str">
        <f>IFERROR(INDEX('Hun Demand'!T:T,MATCH(O1579,'Hun Demand'!A:A,0)),"")</f>
        <v/>
      </c>
      <c r="E1579" s="25" t="str">
        <f>IFERROR(INDEX('Hun Demand'!S:S,MATCH(O1579,'Hun Demand'!A:A,0)),"")</f>
        <v/>
      </c>
      <c r="F1579" s="25" t="str">
        <f>IFERROR(INDEX('Hun Demand'!R:R,MATCH(O1579,'Hun Demand'!A:A,0)),"")</f>
        <v/>
      </c>
      <c r="G1579" s="25">
        <f>IFERROR(INDEX('Aub Demand'!W:W,MATCH(O1579,'Aub Demand'!A:A,0)),"")</f>
        <v>99</v>
      </c>
      <c r="H1579" s="25">
        <f>IFERROR(INDEX('Aub Demand'!V:V,MATCH(O1579,'Aub Demand'!A:A,0)),"")</f>
        <v>271</v>
      </c>
      <c r="I1579" s="25">
        <f>IFERROR(INDEX('Aub Demand'!U:U,MATCH(O1579,'Aub Demand'!A:A,0)),"")</f>
        <v>43</v>
      </c>
      <c r="J1579" s="25">
        <f>IFERROR(INDEX('Aub Demand'!T:T,MATCH(O1579,'Aub Demand'!A:A,0)),"")</f>
        <v>252</v>
      </c>
      <c r="K1579" s="25">
        <f>IFERROR(INDEX('Aub Demand'!S:S,MATCH(O1579,'Aub Demand'!A:A,0)),"")</f>
        <v>26</v>
      </c>
      <c r="L1579" s="25">
        <f>IFERROR(INDEX('Aub Demand'!R:R,MATCH(O1579,'Aub Demand'!A:A,0)),"")</f>
        <v>0</v>
      </c>
      <c r="O1579" s="27" t="s">
        <v>1901</v>
      </c>
      <c r="P1579" s="27" t="str">
        <f>IFERROR(INDEX('Aub Demand'!B:B,MATCH($O1579,'Aub Demand'!$A:$A,0)),"")</f>
        <v>OFS NATURAL WALNUT</v>
      </c>
      <c r="Q1579" s="27" t="str">
        <f>IFERROR(INDEX('Aub Demand'!C:C,MATCH($O1579,'Aub Demand'!$A:$A,0)),"")</f>
        <v>INTER</v>
      </c>
      <c r="R1579" s="52">
        <f>IFERROR(IF(AR1580=AR1579,INDEX('Aub Demand'!K:K,MATCH($O1579,'Aub Demand'!$A:$A,0))-IF(AN1579="",0,AN1579)+AP1580,INDEX('Aub Demand'!K:K,MATCH($O1579,'Aub Demand'!$A:$A,0))-IF(AN1579="",0,AN1579)),"")</f>
        <v>743</v>
      </c>
      <c r="S1579" s="53">
        <f t="shared" si="672"/>
        <v>29.8</v>
      </c>
      <c r="T1579" s="52" t="str">
        <f t="shared" si="673"/>
        <v/>
      </c>
      <c r="U1579" s="52">
        <f>IFERROR(IF(AR1580=AR1579,INDEX('Aub Demand'!Q:Q,MATCH($O1579,'Aub Demand'!$A:$A,0))-IF(AN1579="",0,AN1579)+AP1580,INDEX('Aub Demand'!Q:Q,MATCH($O1579,'Aub Demand'!$A:$A,0))-IF(AN1579="",0,AN1579)),"")</f>
        <v>570</v>
      </c>
      <c r="V1579" s="53">
        <f t="shared" si="674"/>
        <v>22.8</v>
      </c>
      <c r="W1579" s="52" t="str">
        <f t="shared" si="675"/>
        <v/>
      </c>
      <c r="X1579" s="52">
        <f>IFERROR(IF(AND(AR1580=AR1579,AM1579&lt;&gt;""),INDEX('Aub Demand'!Q:Q,MATCH($O1579,'Aub Demand'!$A:$A,0))-IF(AN1579="",0,AN1579)+AP1580+AD1579+AL1579,IF(AR1580=AR1579,INDEX('Aub Demand'!Q:Q,MATCH($O1579,'Aub Demand'!$A:$A,0))-IF(AN1579="",0,AN1579)+AP1580+AD1579,IF(AM1579&lt;&gt;"",INDEX('Aub Demand'!Q:Q,MATCH($O1579,'Aub Demand'!$A:$A,0))-IF(AN1579="",0,AN1579)+AD1579+AL1579,INDEX('Aub Demand'!Q:Q,MATCH($O1579,'Aub Demand'!$A:$A,0))-IF(AN1579="",0,AN1579)+AD1579))),"")</f>
        <v>570</v>
      </c>
      <c r="Y1579" s="53">
        <f t="shared" si="676"/>
        <v>22.8</v>
      </c>
      <c r="Z1579" s="52">
        <f>IF(L1579="","",INDEX('Aub Demand'!H:H,MATCH($O1579,'Aub Demand'!$A:$A,0)))</f>
        <v>107</v>
      </c>
      <c r="AA1579" s="52">
        <f t="shared" si="677"/>
        <v>147.5</v>
      </c>
      <c r="AB1579" s="52">
        <f>IFERROR(INDEX('Aub Demand'!L:L,MATCH($O1579,'Aub Demand'!$A:$A,0)),"")</f>
        <v>88</v>
      </c>
      <c r="AC1579" s="52">
        <f>IFERROR(IF(O1579="","",SUMIFS('CPL Mats'!F:F,'CPL Mats'!Q:Q,AR1579,'CPL Mats'!S:S,AS1579)),"")</f>
        <v>0</v>
      </c>
      <c r="AF1579" s="25" t="str">
        <f>IF(SUMIFS('Supp Consol'!S:S,'Supp Consol'!Y:Y,"Releasable",'Supp Consol'!A:A,O1579)=0,"",SUMIFS('Supp Consol'!S:S,'Supp Consol'!Y:Y,"Releasable",'Supp Consol'!A:A,O1579))</f>
        <v/>
      </c>
      <c r="AG1579" s="25" t="str">
        <f>IFERROR(INDEX('Hun Demand'!Q:Q,MATCH(O1579,'Hun Demand'!A:A,0)),"")</f>
        <v/>
      </c>
      <c r="AH1579" s="25" t="str">
        <f>IFERROR(INDEX('Hun Demand'!H:H,MATCH($O1579,'Hun Demand'!$A:$A,0)),"")</f>
        <v/>
      </c>
      <c r="AI1579" s="25" t="str">
        <f>IF(SUMIFS('Supp Consol'!AA:AA,'Supp Consol'!Z:Z,"Expires this month",'Supp Consol'!A:A,O1579)=0,"",SUMIFS('Supp Consol'!AA:AA,'Supp Consol'!Z:Z,"Expires this month",'Supp Consol'!A:A,O1579))</f>
        <v/>
      </c>
      <c r="AJ1579" s="25" t="str">
        <f>IF(SUMIFS('Supp Consol'!AA:AA,'Supp Consol'!Z:Z,"Expired Previous Months",'Supp Consol'!A:A,O1579)=0,"",SUMIFS('Supp Consol'!AA:AA,'Supp Consol'!Z:Z,"Expired Previous Months",'Supp Consol'!A:A,O1579))</f>
        <v/>
      </c>
      <c r="AK1579" s="25" t="str">
        <f>IFERROR(INDEX('Hun Release Current'!B:B,MATCH(O1579,'Hun Release Current'!A:A,0)),"")</f>
        <v/>
      </c>
      <c r="AL1579" s="25" t="str">
        <f>IF(SUMIF('Prev Aub'!A:A,O1579,'Prev Aub'!B:B)=0,"",SUMIF('Prev Aub'!A:A,O1579,'Prev Aub'!B:B))</f>
        <v/>
      </c>
      <c r="AN1579" s="25" t="s">
        <v>3790</v>
      </c>
      <c r="AO1579" s="25" t="s">
        <v>3790</v>
      </c>
      <c r="AP1579" s="25">
        <f t="shared" si="678"/>
        <v>0</v>
      </c>
      <c r="AQ1579" s="151" t="str">
        <f>IF(SUMIFS('Supp Consol'!S:S,'Supp Consol'!A:A,O1579,'Supp Consol'!I:I,"PENDING")=0,"",SUMIFS('Supp Consol'!S:S,'Supp Consol'!A:A,O1579,'Supp Consol'!I:I,"PENDING"))</f>
        <v/>
      </c>
      <c r="AR1579" s="27" t="str">
        <f t="shared" si="679"/>
        <v>WW620</v>
      </c>
      <c r="AS1579" s="27" t="str">
        <f t="shared" si="680"/>
        <v>62</v>
      </c>
      <c r="AT1579" s="27" t="str">
        <f t="shared" si="681"/>
        <v/>
      </c>
      <c r="AU1579" s="27" t="str">
        <f t="shared" si="682"/>
        <v/>
      </c>
      <c r="AV1579" s="27" t="str">
        <f t="shared" si="683"/>
        <v/>
      </c>
      <c r="AW1579" s="27" t="str">
        <f t="shared" si="684"/>
        <v/>
      </c>
      <c r="AX1579" s="27" t="str">
        <f t="shared" si="685"/>
        <v/>
      </c>
      <c r="AY1579" s="27" t="str">
        <f t="shared" si="686"/>
        <v/>
      </c>
      <c r="AZ1579" s="27" t="str">
        <f t="shared" si="687"/>
        <v/>
      </c>
      <c r="BA1579" s="27" t="str">
        <f t="shared" si="688"/>
        <v/>
      </c>
      <c r="BB1579" s="27" t="str">
        <f t="shared" si="689"/>
        <v/>
      </c>
      <c r="BC1579" s="27" t="str">
        <f t="shared" si="690"/>
        <v/>
      </c>
      <c r="BD1579" s="27" t="str">
        <f t="shared" si="691"/>
        <v/>
      </c>
      <c r="BE1579" s="27" t="str">
        <f t="shared" si="692"/>
        <v/>
      </c>
      <c r="BF1579" s="27" t="str">
        <f t="shared" si="693"/>
        <v/>
      </c>
      <c r="BG1579" s="27" t="str">
        <f t="shared" si="694"/>
        <v/>
      </c>
      <c r="BH1579" s="27" t="str">
        <f t="shared" si="695"/>
        <v/>
      </c>
      <c r="BI1579" s="27" t="str">
        <f t="shared" si="696"/>
        <v/>
      </c>
      <c r="BJ1579" s="27" t="str">
        <f t="shared" si="697"/>
        <v/>
      </c>
      <c r="BK1579" s="27" t="str">
        <f t="shared" si="698"/>
        <v/>
      </c>
      <c r="BL1579" s="27" t="str">
        <f t="shared" si="699"/>
        <v/>
      </c>
      <c r="BM1579" s="21" t="s">
        <v>5581</v>
      </c>
    </row>
    <row r="1580" spans="1:65" ht="15">
      <c r="A1580" s="25">
        <f>IFERROR(INDEX('Hun Demand'!W:W,MATCH(O1580,'Hun Demand'!A:A,0)),"")</f>
        <v>0</v>
      </c>
      <c r="B1580" s="25">
        <f>IFERROR(INDEX('Hun Demand'!V:V,MATCH(O1580,'Hun Demand'!A:A,0)),"")</f>
        <v>0</v>
      </c>
      <c r="C1580" s="25">
        <f>IFERROR(INDEX('Hun Demand'!U:U,MATCH(O1580,'Hun Demand'!A:A,0)),"")</f>
        <v>0</v>
      </c>
      <c r="D1580" s="25">
        <f>IFERROR(INDEX('Hun Demand'!T:T,MATCH(O1580,'Hun Demand'!A:A,0)),"")</f>
        <v>0</v>
      </c>
      <c r="E1580" s="25">
        <f>IFERROR(INDEX('Hun Demand'!S:S,MATCH(O1580,'Hun Demand'!A:A,0)),"")</f>
        <v>0</v>
      </c>
      <c r="F1580" s="25">
        <f>IFERROR(INDEX('Hun Demand'!R:R,MATCH(O1580,'Hun Demand'!A:A,0)),"")</f>
        <v>0</v>
      </c>
      <c r="G1580" s="25">
        <f>IFERROR(INDEX('Aub Demand'!W:W,MATCH(O1580,'Aub Demand'!A:A,0)),"")</f>
        <v>308</v>
      </c>
      <c r="H1580" s="25">
        <f>IFERROR(INDEX('Aub Demand'!V:V,MATCH(O1580,'Aub Demand'!A:A,0)),"")</f>
        <v>348</v>
      </c>
      <c r="I1580" s="25">
        <f>IFERROR(INDEX('Aub Demand'!U:U,MATCH(O1580,'Aub Demand'!A:A,0)),"")</f>
        <v>53</v>
      </c>
      <c r="J1580" s="25">
        <f>IFERROR(INDEX('Aub Demand'!T:T,MATCH(O1580,'Aub Demand'!A:A,0)),"")</f>
        <v>196</v>
      </c>
      <c r="K1580" s="25">
        <f>IFERROR(INDEX('Aub Demand'!S:S,MATCH(O1580,'Aub Demand'!A:A,0)),"")</f>
        <v>124</v>
      </c>
      <c r="L1580" s="25">
        <f>IFERROR(INDEX('Aub Demand'!R:R,MATCH(O1580,'Aub Demand'!A:A,0)),"")</f>
        <v>0</v>
      </c>
      <c r="O1580" s="27" t="s">
        <v>3150</v>
      </c>
      <c r="P1580" s="27" t="str">
        <f>IFERROR(INDEX('Aub Demand'!B:B,MATCH($O1580,'Aub Demand'!$A:$A,0)),"")</f>
        <v>BABBLING BROOK</v>
      </c>
      <c r="Q1580" s="27" t="str">
        <f>IFERROR(INDEX('Aub Demand'!C:C,MATCH($O1580,'Aub Demand'!$A:$A,0)),"")</f>
        <v>LAMIG</v>
      </c>
      <c r="R1580" s="52">
        <f>IFERROR(IF(AR1581=AR1580,INDEX('Aub Demand'!K:K,MATCH($O1580,'Aub Demand'!$A:$A,0))-IF(AN1580="",0,AN1580)+AP1581,INDEX('Aub Demand'!K:K,MATCH($O1580,'Aub Demand'!$A:$A,0))-IF(AN1580="",0,AN1580)),"")</f>
        <v>1451</v>
      </c>
      <c r="S1580" s="53">
        <f t="shared" si="672"/>
        <v>50.1</v>
      </c>
      <c r="T1580" s="52" t="str">
        <f t="shared" si="673"/>
        <v/>
      </c>
      <c r="U1580" s="52">
        <f>IFERROR(IF(AR1581=AR1580,INDEX('Aub Demand'!Q:Q,MATCH($O1580,'Aub Demand'!$A:$A,0))-IF(AN1580="",0,AN1580)+AP1581,INDEX('Aub Demand'!Q:Q,MATCH($O1580,'Aub Demand'!$A:$A,0))-IF(AN1580="",0,AN1580)),"")</f>
        <v>1334</v>
      </c>
      <c r="V1580" s="53">
        <f t="shared" si="674"/>
        <v>46.1</v>
      </c>
      <c r="W1580" s="52" t="str">
        <f t="shared" si="675"/>
        <v/>
      </c>
      <c r="X1580" s="52">
        <f>IFERROR(IF(AND(AR1581=AR1580,AM1580&lt;&gt;""),INDEX('Aub Demand'!Q:Q,MATCH($O1580,'Aub Demand'!$A:$A,0))-IF(AN1580="",0,AN1580)+AP1581+AD1580+AL1580,IF(AR1581=AR1580,INDEX('Aub Demand'!Q:Q,MATCH($O1580,'Aub Demand'!$A:$A,0))-IF(AN1580="",0,AN1580)+AP1581+AD1580,IF(AM1580&lt;&gt;"",INDEX('Aub Demand'!Q:Q,MATCH($O1580,'Aub Demand'!$A:$A,0))-IF(AN1580="",0,AN1580)+AD1580+AL1580,INDEX('Aub Demand'!Q:Q,MATCH($O1580,'Aub Demand'!$A:$A,0))-IF(AN1580="",0,AN1580)+AD1580))),"")</f>
        <v>1334</v>
      </c>
      <c r="Y1580" s="53">
        <f t="shared" si="676"/>
        <v>46.1</v>
      </c>
      <c r="Z1580" s="52">
        <f>IF(L1580="","",INDEX('Aub Demand'!H:H,MATCH($O1580,'Aub Demand'!$A:$A,0)))</f>
        <v>124</v>
      </c>
      <c r="AA1580" s="52">
        <f t="shared" si="677"/>
        <v>160</v>
      </c>
      <c r="AB1580" s="52">
        <f>IFERROR(INDEX('Aub Demand'!L:L,MATCH($O1580,'Aub Demand'!$A:$A,0)),"")</f>
        <v>169</v>
      </c>
      <c r="AC1580" s="52">
        <f>IFERROR(IF(O1580="","",SUMIFS('CPL Mats'!F:F,'CPL Mats'!Q:Q,AR1580,'CPL Mats'!S:S,AS1580)),"")</f>
        <v>2218.06</v>
      </c>
      <c r="AF1580" s="25" t="str">
        <f>IF(SUMIFS('Supp Consol'!S:S,'Supp Consol'!Y:Y,"Releasable",'Supp Consol'!A:A,O1580)=0,"",SUMIFS('Supp Consol'!S:S,'Supp Consol'!Y:Y,"Releasable",'Supp Consol'!A:A,O1580))</f>
        <v/>
      </c>
      <c r="AG1580" s="25">
        <f>IFERROR(INDEX('Hun Demand'!Q:Q,MATCH(O1580,'Hun Demand'!A:A,0)),"")</f>
        <v>1218</v>
      </c>
      <c r="AH1580" s="25">
        <f>IFERROR(INDEX('Hun Demand'!H:H,MATCH($O1580,'Hun Demand'!$A:$A,0)),"")</f>
        <v>0</v>
      </c>
      <c r="AI1580" s="25" t="str">
        <f>IF(SUMIFS('Supp Consol'!AA:AA,'Supp Consol'!Z:Z,"Expires this month",'Supp Consol'!A:A,O1580)=0,"",SUMIFS('Supp Consol'!AA:AA,'Supp Consol'!Z:Z,"Expires this month",'Supp Consol'!A:A,O1580))</f>
        <v/>
      </c>
      <c r="AJ1580" s="25" t="str">
        <f>IF(SUMIFS('Supp Consol'!AA:AA,'Supp Consol'!Z:Z,"Expired Previous Months",'Supp Consol'!A:A,O1580)=0,"",SUMIFS('Supp Consol'!AA:AA,'Supp Consol'!Z:Z,"Expired Previous Months",'Supp Consol'!A:A,O1580))</f>
        <v/>
      </c>
      <c r="AK1580" s="25" t="str">
        <f>IFERROR(INDEX('Hun Release Current'!B:B,MATCH(O1580,'Hun Release Current'!A:A,0)),"")</f>
        <v/>
      </c>
      <c r="AL1580" s="25" t="str">
        <f>IF(SUMIF('Prev Aub'!A:A,O1580,'Prev Aub'!B:B)=0,"",SUMIF('Prev Aub'!A:A,O1580,'Prev Aub'!B:B))</f>
        <v/>
      </c>
      <c r="AN1580" s="25" t="s">
        <v>3790</v>
      </c>
      <c r="AO1580" s="25" t="s">
        <v>3790</v>
      </c>
      <c r="AP1580" s="25">
        <f t="shared" si="678"/>
        <v>0</v>
      </c>
      <c r="AQ1580" s="151" t="str">
        <f>IF(SUMIFS('Supp Consol'!S:S,'Supp Consol'!A:A,O1580,'Supp Consol'!I:I,"PENDING")=0,"",SUMIFS('Supp Consol'!S:S,'Supp Consol'!A:A,O1580,'Supp Consol'!I:I,"PENDING"))</f>
        <v/>
      </c>
      <c r="AR1580" s="27" t="str">
        <f t="shared" si="679"/>
        <v>WW780</v>
      </c>
      <c r="AS1580" s="27" t="str">
        <f t="shared" si="680"/>
        <v>50</v>
      </c>
      <c r="AT1580" s="27" t="str">
        <f t="shared" si="681"/>
        <v/>
      </c>
      <c r="AU1580" s="27" t="str">
        <f t="shared" si="682"/>
        <v/>
      </c>
      <c r="AV1580" s="27" t="str">
        <f t="shared" si="683"/>
        <v/>
      </c>
      <c r="AW1580" s="27" t="str">
        <f t="shared" si="684"/>
        <v/>
      </c>
      <c r="AX1580" s="27" t="str">
        <f t="shared" si="685"/>
        <v/>
      </c>
      <c r="AY1580" s="27" t="str">
        <f t="shared" si="686"/>
        <v>WW780</v>
      </c>
      <c r="AZ1580" s="27" t="str">
        <f t="shared" si="687"/>
        <v>Supp</v>
      </c>
      <c r="BA1580" s="27" t="str">
        <f t="shared" si="688"/>
        <v>Hun</v>
      </c>
      <c r="BB1580" s="27" t="str">
        <f t="shared" si="689"/>
        <v/>
      </c>
      <c r="BC1580" s="27" t="str">
        <f t="shared" si="690"/>
        <v/>
      </c>
      <c r="BD1580" s="27" t="str">
        <f t="shared" si="691"/>
        <v/>
      </c>
      <c r="BE1580" s="27" t="str">
        <f t="shared" si="692"/>
        <v/>
      </c>
      <c r="BF1580" s="27" t="str">
        <f t="shared" si="693"/>
        <v/>
      </c>
      <c r="BG1580" s="27" t="str">
        <f t="shared" si="694"/>
        <v/>
      </c>
      <c r="BH1580" s="27" t="str">
        <f t="shared" si="695"/>
        <v/>
      </c>
      <c r="BI1580" s="27" t="str">
        <f t="shared" si="696"/>
        <v/>
      </c>
      <c r="BJ1580" s="27" t="str">
        <f t="shared" si="697"/>
        <v>Supp or Hun</v>
      </c>
      <c r="BK1580" s="27" t="str">
        <f t="shared" si="698"/>
        <v/>
      </c>
      <c r="BL1580" s="27" t="str">
        <f t="shared" si="699"/>
        <v/>
      </c>
      <c r="BM1580" s="21" t="s">
        <v>5581</v>
      </c>
    </row>
    <row r="1581" spans="1:65" ht="15">
      <c r="A1581" s="25">
        <f>IFERROR(INDEX('Hun Demand'!W:W,MATCH(O1581,'Hun Demand'!A:A,0)),"")</f>
        <v>0</v>
      </c>
      <c r="B1581" s="25">
        <f>IFERROR(INDEX('Hun Demand'!V:V,MATCH(O1581,'Hun Demand'!A:A,0)),"")</f>
        <v>366</v>
      </c>
      <c r="C1581" s="25">
        <f>IFERROR(INDEX('Hun Demand'!U:U,MATCH(O1581,'Hun Demand'!A:A,0)),"")</f>
        <v>398</v>
      </c>
      <c r="D1581" s="25">
        <f>IFERROR(INDEX('Hun Demand'!T:T,MATCH(O1581,'Hun Demand'!A:A,0)),"")</f>
        <v>300</v>
      </c>
      <c r="E1581" s="25">
        <f>IFERROR(INDEX('Hun Demand'!S:S,MATCH(O1581,'Hun Demand'!A:A,0)),"")</f>
        <v>322</v>
      </c>
      <c r="F1581" s="25">
        <f>IFERROR(INDEX('Hun Demand'!R:R,MATCH(O1581,'Hun Demand'!A:A,0)),"")</f>
        <v>0</v>
      </c>
      <c r="G1581" s="25">
        <f>IFERROR(INDEX('Aub Demand'!W:W,MATCH(O1581,'Aub Demand'!A:A,0)),"")</f>
        <v>25</v>
      </c>
      <c r="H1581" s="25">
        <f>IFERROR(INDEX('Aub Demand'!V:V,MATCH(O1581,'Aub Demand'!A:A,0)),"")</f>
        <v>145</v>
      </c>
      <c r="I1581" s="25">
        <f>IFERROR(INDEX('Aub Demand'!U:U,MATCH(O1581,'Aub Demand'!A:A,0)),"")</f>
        <v>622</v>
      </c>
      <c r="J1581" s="25">
        <f>IFERROR(INDEX('Aub Demand'!T:T,MATCH(O1581,'Aub Demand'!A:A,0)),"")</f>
        <v>0</v>
      </c>
      <c r="K1581" s="25">
        <f>IFERROR(INDEX('Aub Demand'!S:S,MATCH(O1581,'Aub Demand'!A:A,0)),"")</f>
        <v>228</v>
      </c>
      <c r="L1581" s="25">
        <f>IFERROR(INDEX('Aub Demand'!R:R,MATCH(O1581,'Aub Demand'!A:A,0)),"")</f>
        <v>0</v>
      </c>
      <c r="O1581" s="27" t="s">
        <v>3152</v>
      </c>
      <c r="P1581" s="27" t="str">
        <f>IFERROR(INDEX('Aub Demand'!B:B,MATCH($O1581,'Aub Demand'!$A:$A,0)),"")</f>
        <v>BABBLING BROOK</v>
      </c>
      <c r="Q1581" s="27" t="str">
        <f>IFERROR(INDEX('Aub Demand'!C:C,MATCH($O1581,'Aub Demand'!$A:$A,0)),"")</f>
        <v>LAMIG</v>
      </c>
      <c r="R1581" s="52">
        <f>IFERROR(IF(AR1582=AR1581,INDEX('Aub Demand'!K:K,MATCH($O1581,'Aub Demand'!$A:$A,0))-IF(AN1581="",0,AN1581)+AP1582,INDEX('Aub Demand'!K:K,MATCH($O1581,'Aub Demand'!$A:$A,0))-IF(AN1581="",0,AN1581)),"")</f>
        <v>823</v>
      </c>
      <c r="S1581" s="53">
        <f t="shared" si="672"/>
        <v>12.5</v>
      </c>
      <c r="T1581" s="52" t="str">
        <f t="shared" si="673"/>
        <v/>
      </c>
      <c r="U1581" s="52">
        <f>IFERROR(IF(AR1582=AR1581,INDEX('Aub Demand'!Q:Q,MATCH($O1581,'Aub Demand'!$A:$A,0))-IF(AN1581="",0,AN1581)+AP1582,INDEX('Aub Demand'!Q:Q,MATCH($O1581,'Aub Demand'!$A:$A,0))-IF(AN1581="",0,AN1581)),"")</f>
        <v>801</v>
      </c>
      <c r="V1581" s="53">
        <f t="shared" si="674"/>
        <v>12.1</v>
      </c>
      <c r="W1581" s="52" t="str">
        <f t="shared" si="675"/>
        <v/>
      </c>
      <c r="X1581" s="52">
        <f>IFERROR(IF(AND(AR1582=AR1581,AM1581&lt;&gt;""),INDEX('Aub Demand'!Q:Q,MATCH($O1581,'Aub Demand'!$A:$A,0))-IF(AN1581="",0,AN1581)+AP1582+AD1581+AL1581,IF(AR1582=AR1581,INDEX('Aub Demand'!Q:Q,MATCH($O1581,'Aub Demand'!$A:$A,0))-IF(AN1581="",0,AN1581)+AP1582+AD1581,IF(AM1581&lt;&gt;"",INDEX('Aub Demand'!Q:Q,MATCH($O1581,'Aub Demand'!$A:$A,0))-IF(AN1581="",0,AN1581)+AD1581+AL1581,INDEX('Aub Demand'!Q:Q,MATCH($O1581,'Aub Demand'!$A:$A,0))-IF(AN1581="",0,AN1581)+AD1581))),"")</f>
        <v>801</v>
      </c>
      <c r="Y1581" s="53">
        <f t="shared" si="676"/>
        <v>12.1</v>
      </c>
      <c r="Z1581" s="52">
        <f>IF(L1581="","",INDEX('Aub Demand'!H:H,MATCH($O1581,'Aub Demand'!$A:$A,0)))</f>
        <v>283</v>
      </c>
      <c r="AA1581" s="52">
        <f t="shared" si="677"/>
        <v>425</v>
      </c>
      <c r="AB1581" s="52">
        <f>IFERROR(INDEX('Aub Demand'!L:L,MATCH($O1581,'Aub Demand'!$A:$A,0)),"")</f>
        <v>79</v>
      </c>
      <c r="AC1581" s="52">
        <f>IFERROR(IF(O1581="","",SUMIFS('CPL Mats'!F:F,'CPL Mats'!Q:Q,AR1581,'CPL Mats'!S:S,AS1581)),"")</f>
        <v>0</v>
      </c>
      <c r="AF1581" s="25">
        <f>IF(SUMIFS('Supp Consol'!S:S,'Supp Consol'!Y:Y,"Releasable",'Supp Consol'!A:A,O1581)=0,"",SUMIFS('Supp Consol'!S:S,'Supp Consol'!Y:Y,"Releasable",'Supp Consol'!A:A,O1581))</f>
        <v>2978</v>
      </c>
      <c r="AG1581" s="25">
        <f>IFERROR(INDEX('Hun Demand'!Q:Q,MATCH(O1581,'Hun Demand'!A:A,0)),"")</f>
        <v>0</v>
      </c>
      <c r="AH1581" s="25">
        <f>IFERROR(INDEX('Hun Demand'!H:H,MATCH($O1581,'Hun Demand'!$A:$A,0)),"")</f>
        <v>340</v>
      </c>
      <c r="AI1581" s="25" t="str">
        <f>IF(SUMIFS('Supp Consol'!AA:AA,'Supp Consol'!Z:Z,"Expires this month",'Supp Consol'!A:A,O1581)=0,"",SUMIFS('Supp Consol'!AA:AA,'Supp Consol'!Z:Z,"Expires this month",'Supp Consol'!A:A,O1581))</f>
        <v/>
      </c>
      <c r="AJ1581" s="25">
        <f>IF(SUMIFS('Supp Consol'!AA:AA,'Supp Consol'!Z:Z,"Expired Previous Months",'Supp Consol'!A:A,O1581)=0,"",SUMIFS('Supp Consol'!AA:AA,'Supp Consol'!Z:Z,"Expired Previous Months",'Supp Consol'!A:A,O1581))</f>
        <v>2978</v>
      </c>
      <c r="AK1581" s="25">
        <f>IFERROR(INDEX('Hun Release Current'!B:B,MATCH(O1581,'Hun Release Current'!A:A,0)),"")</f>
        <v>500</v>
      </c>
      <c r="AL1581" s="25" t="str">
        <f>IF(SUMIF('Prev Aub'!A:A,O1581,'Prev Aub'!B:B)=0,"",SUMIF('Prev Aub'!A:A,O1581,'Prev Aub'!B:B))</f>
        <v/>
      </c>
      <c r="AN1581" s="25" t="s">
        <v>3790</v>
      </c>
      <c r="AO1581" s="25" t="s">
        <v>3790</v>
      </c>
      <c r="AP1581" s="25">
        <f t="shared" si="678"/>
        <v>0</v>
      </c>
      <c r="AQ1581" s="151" t="str">
        <f>IF(SUMIFS('Supp Consol'!S:S,'Supp Consol'!A:A,O1581,'Supp Consol'!I:I,"PENDING")=0,"",SUMIFS('Supp Consol'!S:S,'Supp Consol'!A:A,O1581,'Supp Consol'!I:I,"PENDING"))</f>
        <v/>
      </c>
      <c r="AR1581" s="27" t="str">
        <f t="shared" si="679"/>
        <v>WW780</v>
      </c>
      <c r="AS1581" s="27" t="str">
        <f t="shared" si="680"/>
        <v>62</v>
      </c>
      <c r="AT1581" s="27" t="str">
        <f t="shared" si="681"/>
        <v/>
      </c>
      <c r="AU1581" s="27" t="str">
        <f t="shared" si="682"/>
        <v/>
      </c>
      <c r="AV1581" s="27" t="str">
        <f t="shared" si="683"/>
        <v/>
      </c>
      <c r="AW1581" s="27" t="str">
        <f t="shared" si="684"/>
        <v/>
      </c>
      <c r="AX1581" s="27" t="str">
        <f t="shared" si="685"/>
        <v>WW780</v>
      </c>
      <c r="AY1581" s="27" t="str">
        <f t="shared" si="686"/>
        <v/>
      </c>
      <c r="AZ1581" s="27" t="str">
        <f t="shared" si="687"/>
        <v>Supp</v>
      </c>
      <c r="BA1581" s="27" t="str">
        <f t="shared" si="688"/>
        <v>Hun</v>
      </c>
      <c r="BB1581" s="27" t="str">
        <f t="shared" si="689"/>
        <v/>
      </c>
      <c r="BC1581" s="27" t="str">
        <f t="shared" si="690"/>
        <v/>
      </c>
      <c r="BD1581" s="27" t="str">
        <f t="shared" si="691"/>
        <v/>
      </c>
      <c r="BE1581" s="27" t="str">
        <f t="shared" si="692"/>
        <v/>
      </c>
      <c r="BF1581" s="27" t="str">
        <f t="shared" si="693"/>
        <v/>
      </c>
      <c r="BG1581" s="27" t="str">
        <f t="shared" si="694"/>
        <v/>
      </c>
      <c r="BH1581" s="27" t="str">
        <f t="shared" si="695"/>
        <v/>
      </c>
      <c r="BI1581" s="27" t="str">
        <f t="shared" si="696"/>
        <v/>
      </c>
      <c r="BJ1581" s="27" t="str">
        <f t="shared" si="697"/>
        <v>Supp or Hun</v>
      </c>
      <c r="BK1581" s="27" t="str">
        <f t="shared" si="698"/>
        <v/>
      </c>
      <c r="BL1581" s="27" t="str">
        <f t="shared" si="699"/>
        <v/>
      </c>
      <c r="BM1581" s="21" t="s">
        <v>5581</v>
      </c>
    </row>
    <row r="1582" spans="1:65" ht="15">
      <c r="A1582" s="25">
        <f>IFERROR(INDEX('Hun Demand'!W:W,MATCH(O1582,'Hun Demand'!A:A,0)),"")</f>
        <v>288</v>
      </c>
      <c r="B1582" s="25">
        <f>IFERROR(INDEX('Hun Demand'!V:V,MATCH(O1582,'Hun Demand'!A:A,0)),"")</f>
        <v>96</v>
      </c>
      <c r="C1582" s="25">
        <f>IFERROR(INDEX('Hun Demand'!U:U,MATCH(O1582,'Hun Demand'!A:A,0)),"")</f>
        <v>0</v>
      </c>
      <c r="D1582" s="25">
        <f>IFERROR(INDEX('Hun Demand'!T:T,MATCH(O1582,'Hun Demand'!A:A,0)),"")</f>
        <v>142</v>
      </c>
      <c r="E1582" s="25">
        <f>IFERROR(INDEX('Hun Demand'!S:S,MATCH(O1582,'Hun Demand'!A:A,0)),"")</f>
        <v>0</v>
      </c>
      <c r="F1582" s="25">
        <f>IFERROR(INDEX('Hun Demand'!R:R,MATCH(O1582,'Hun Demand'!A:A,0)),"")</f>
        <v>0</v>
      </c>
      <c r="G1582" s="25">
        <f>IFERROR(INDEX('Aub Demand'!W:W,MATCH(O1582,'Aub Demand'!A:A,0)),"")</f>
        <v>0</v>
      </c>
      <c r="H1582" s="25">
        <f>IFERROR(INDEX('Aub Demand'!V:V,MATCH(O1582,'Aub Demand'!A:A,0)),"")</f>
        <v>0</v>
      </c>
      <c r="I1582" s="25">
        <f>IFERROR(INDEX('Aub Demand'!U:U,MATCH(O1582,'Aub Demand'!A:A,0)),"")</f>
        <v>37</v>
      </c>
      <c r="J1582" s="25">
        <f>IFERROR(INDEX('Aub Demand'!T:T,MATCH(O1582,'Aub Demand'!A:A,0)),"")</f>
        <v>107</v>
      </c>
      <c r="K1582" s="25">
        <f>IFERROR(INDEX('Aub Demand'!S:S,MATCH(O1582,'Aub Demand'!A:A,0)),"")</f>
        <v>7</v>
      </c>
      <c r="L1582" s="25">
        <f>IFERROR(INDEX('Aub Demand'!R:R,MATCH(O1582,'Aub Demand'!A:A,0)),"")</f>
        <v>0</v>
      </c>
      <c r="O1582" s="27" t="s">
        <v>3153</v>
      </c>
      <c r="P1582" s="27" t="str">
        <f>IFERROR(INDEX('Aub Demand'!B:B,MATCH($O1582,'Aub Demand'!$A:$A,0)),"")</f>
        <v>SUNBEAM</v>
      </c>
      <c r="Q1582" s="27" t="str">
        <f>IFERROR(INDEX('Aub Demand'!C:C,MATCH($O1582,'Aub Demand'!$A:$A,0)),"")</f>
        <v>LAMIG</v>
      </c>
      <c r="R1582" s="52">
        <f>IFERROR(IF(AR1583=AR1582,INDEX('Aub Demand'!K:K,MATCH($O1582,'Aub Demand'!$A:$A,0))-IF(AN1582="",0,AN1582)+AP1583,INDEX('Aub Demand'!K:K,MATCH($O1582,'Aub Demand'!$A:$A,0))-IF(AN1582="",0,AN1582)),"")</f>
        <v>8189</v>
      </c>
      <c r="S1582" s="53">
        <f t="shared" si="672"/>
        <v>701.9</v>
      </c>
      <c r="T1582" s="52" t="str">
        <f t="shared" si="673"/>
        <v/>
      </c>
      <c r="U1582" s="52">
        <f>IFERROR(IF(AR1583=AR1582,INDEX('Aub Demand'!Q:Q,MATCH($O1582,'Aub Demand'!$A:$A,0))-IF(AN1582="",0,AN1582)+AP1583,INDEX('Aub Demand'!Q:Q,MATCH($O1582,'Aub Demand'!$A:$A,0))-IF(AN1582="",0,AN1582)),"")</f>
        <v>8143</v>
      </c>
      <c r="V1582" s="53">
        <f t="shared" si="674"/>
        <v>698</v>
      </c>
      <c r="W1582" s="52" t="str">
        <f t="shared" si="675"/>
        <v/>
      </c>
      <c r="X1582" s="52">
        <f>IFERROR(IF(AND(AR1583=AR1582,AM1582&lt;&gt;""),INDEX('Aub Demand'!Q:Q,MATCH($O1582,'Aub Demand'!$A:$A,0))-IF(AN1582="",0,AN1582)+AP1583+AD1582+AL1582,IF(AR1583=AR1582,INDEX('Aub Demand'!Q:Q,MATCH($O1582,'Aub Demand'!$A:$A,0))-IF(AN1582="",0,AN1582)+AP1583+AD1582,IF(AM1582&lt;&gt;"",INDEX('Aub Demand'!Q:Q,MATCH($O1582,'Aub Demand'!$A:$A,0))-IF(AN1582="",0,AN1582)+AD1582+AL1582,INDEX('Aub Demand'!Q:Q,MATCH($O1582,'Aub Demand'!$A:$A,0))-IF(AN1582="",0,AN1582)+AD1582))),"")</f>
        <v>8143</v>
      </c>
      <c r="Y1582" s="53">
        <f t="shared" si="676"/>
        <v>698</v>
      </c>
      <c r="Z1582" s="52">
        <f>IF(L1582="","",INDEX('Aub Demand'!H:H,MATCH($O1582,'Aub Demand'!$A:$A,0)))</f>
        <v>50</v>
      </c>
      <c r="AA1582" s="52">
        <f t="shared" si="677"/>
        <v>72</v>
      </c>
      <c r="AB1582" s="52">
        <f>IFERROR(INDEX('Aub Demand'!L:L,MATCH($O1582,'Aub Demand'!$A:$A,0)),"")</f>
        <v>32</v>
      </c>
      <c r="AC1582" s="52">
        <f>IFERROR(IF(O1582="","",SUMIFS('CPL Mats'!F:F,'CPL Mats'!Q:Q,AR1582,'CPL Mats'!S:S,AS1582)),"")</f>
        <v>0</v>
      </c>
      <c r="AF1582" s="25" t="str">
        <f>IF(SUMIFS('Supp Consol'!S:S,'Supp Consol'!Y:Y,"Releasable",'Supp Consol'!A:A,O1582)=0,"",SUMIFS('Supp Consol'!S:S,'Supp Consol'!Y:Y,"Releasable",'Supp Consol'!A:A,O1582))</f>
        <v/>
      </c>
      <c r="AG1582" s="25">
        <f>IFERROR(INDEX('Hun Demand'!Q:Q,MATCH(O1582,'Hun Demand'!A:A,0)),"")</f>
        <v>0</v>
      </c>
      <c r="AH1582" s="25">
        <f>IFERROR(INDEX('Hun Demand'!H:H,MATCH($O1582,'Hun Demand'!$A:$A,0)),"")</f>
        <v>47</v>
      </c>
      <c r="AI1582" s="25" t="str">
        <f>IF(SUMIFS('Supp Consol'!AA:AA,'Supp Consol'!Z:Z,"Expires this month",'Supp Consol'!A:A,O1582)=0,"",SUMIFS('Supp Consol'!AA:AA,'Supp Consol'!Z:Z,"Expires this month",'Supp Consol'!A:A,O1582))</f>
        <v/>
      </c>
      <c r="AJ1582" s="25" t="str">
        <f>IF(SUMIFS('Supp Consol'!AA:AA,'Supp Consol'!Z:Z,"Expired Previous Months",'Supp Consol'!A:A,O1582)=0,"",SUMIFS('Supp Consol'!AA:AA,'Supp Consol'!Z:Z,"Expired Previous Months",'Supp Consol'!A:A,O1582))</f>
        <v/>
      </c>
      <c r="AK1582" s="25" t="str">
        <f>IFERROR(INDEX('Hun Release Current'!B:B,MATCH(O1582,'Hun Release Current'!A:A,0)),"")</f>
        <v/>
      </c>
      <c r="AL1582" s="25" t="str">
        <f>IF(SUMIF('Prev Aub'!A:A,O1582,'Prev Aub'!B:B)=0,"",SUMIF('Prev Aub'!A:A,O1582,'Prev Aub'!B:B))</f>
        <v/>
      </c>
      <c r="AN1582" s="25" t="s">
        <v>3790</v>
      </c>
      <c r="AO1582" s="25" t="s">
        <v>3790</v>
      </c>
      <c r="AP1582" s="25">
        <f t="shared" si="678"/>
        <v>0</v>
      </c>
      <c r="AQ1582" s="151" t="str">
        <f>IF(SUMIFS('Supp Consol'!S:S,'Supp Consol'!A:A,O1582,'Supp Consol'!I:I,"PENDING")=0,"",SUMIFS('Supp Consol'!S:S,'Supp Consol'!A:A,O1582,'Supp Consol'!I:I,"PENDING"))</f>
        <v/>
      </c>
      <c r="AR1582" s="27" t="str">
        <f t="shared" si="679"/>
        <v>WW900</v>
      </c>
      <c r="AS1582" s="27" t="str">
        <f t="shared" si="680"/>
        <v>50</v>
      </c>
      <c r="AT1582" s="27" t="str">
        <f t="shared" si="681"/>
        <v/>
      </c>
      <c r="AU1582" s="27" t="str">
        <f t="shared" si="682"/>
        <v/>
      </c>
      <c r="AV1582" s="27" t="str">
        <f t="shared" si="683"/>
        <v/>
      </c>
      <c r="AW1582" s="27" t="str">
        <f t="shared" si="684"/>
        <v/>
      </c>
      <c r="AX1582" s="27" t="str">
        <f t="shared" si="685"/>
        <v/>
      </c>
      <c r="AY1582" s="27" t="str">
        <f t="shared" si="686"/>
        <v/>
      </c>
      <c r="AZ1582" s="27" t="str">
        <f t="shared" si="687"/>
        <v/>
      </c>
      <c r="BA1582" s="27" t="str">
        <f t="shared" si="688"/>
        <v/>
      </c>
      <c r="BB1582" s="27" t="str">
        <f t="shared" si="689"/>
        <v/>
      </c>
      <c r="BC1582" s="27" t="str">
        <f t="shared" si="690"/>
        <v/>
      </c>
      <c r="BD1582" s="27" t="str">
        <f t="shared" si="691"/>
        <v/>
      </c>
      <c r="BE1582" s="27" t="str">
        <f t="shared" si="692"/>
        <v/>
      </c>
      <c r="BF1582" s="27" t="str">
        <f t="shared" si="693"/>
        <v/>
      </c>
      <c r="BG1582" s="27" t="str">
        <f t="shared" si="694"/>
        <v/>
      </c>
      <c r="BH1582" s="27" t="str">
        <f t="shared" si="695"/>
        <v/>
      </c>
      <c r="BI1582" s="27" t="str">
        <f t="shared" si="696"/>
        <v/>
      </c>
      <c r="BJ1582" s="27" t="str">
        <f t="shared" si="697"/>
        <v/>
      </c>
      <c r="BK1582" s="27" t="str">
        <f t="shared" si="698"/>
        <v/>
      </c>
      <c r="BL1582" s="27" t="str">
        <f t="shared" si="699"/>
        <v/>
      </c>
      <c r="BM1582" s="21" t="s">
        <v>5581</v>
      </c>
    </row>
    <row r="1583" spans="1:65" ht="15">
      <c r="A1583" s="25">
        <f>IFERROR(INDEX('Hun Demand'!W:W,MATCH(O1583,'Hun Demand'!A:A,0)),"")</f>
        <v>648</v>
      </c>
      <c r="B1583" s="25">
        <f>IFERROR(INDEX('Hun Demand'!V:V,MATCH(O1583,'Hun Demand'!A:A,0)),"")</f>
        <v>486</v>
      </c>
      <c r="C1583" s="25">
        <f>IFERROR(INDEX('Hun Demand'!U:U,MATCH(O1583,'Hun Demand'!A:A,0)),"")</f>
        <v>414</v>
      </c>
      <c r="D1583" s="25">
        <f>IFERROR(INDEX('Hun Demand'!T:T,MATCH(O1583,'Hun Demand'!A:A,0)),"")</f>
        <v>90</v>
      </c>
      <c r="E1583" s="25">
        <f>IFERROR(INDEX('Hun Demand'!S:S,MATCH(O1583,'Hun Demand'!A:A,0)),"")</f>
        <v>686</v>
      </c>
      <c r="F1583" s="25">
        <f>IFERROR(INDEX('Hun Demand'!R:R,MATCH(O1583,'Hun Demand'!A:A,0)),"")</f>
        <v>0</v>
      </c>
      <c r="G1583" s="25">
        <f>IFERROR(INDEX('Aub Demand'!W:W,MATCH(O1583,'Aub Demand'!A:A,0)),"")</f>
        <v>16</v>
      </c>
      <c r="H1583" s="25">
        <f>IFERROR(INDEX('Aub Demand'!V:V,MATCH(O1583,'Aub Demand'!A:A,0)),"")</f>
        <v>87</v>
      </c>
      <c r="I1583" s="25">
        <f>IFERROR(INDEX('Aub Demand'!U:U,MATCH(O1583,'Aub Demand'!A:A,0)),"")</f>
        <v>10</v>
      </c>
      <c r="J1583" s="25">
        <f>IFERROR(INDEX('Aub Demand'!T:T,MATCH(O1583,'Aub Demand'!A:A,0)),"")</f>
        <v>607</v>
      </c>
      <c r="K1583" s="25">
        <f>IFERROR(INDEX('Aub Demand'!S:S,MATCH(O1583,'Aub Demand'!A:A,0)),"")</f>
        <v>655</v>
      </c>
      <c r="L1583" s="25">
        <f>IFERROR(INDEX('Aub Demand'!R:R,MATCH(O1583,'Aub Demand'!A:A,0)),"")</f>
        <v>0</v>
      </c>
      <c r="O1583" s="27" t="s">
        <v>3155</v>
      </c>
      <c r="P1583" s="27" t="str">
        <f>IFERROR(INDEX('Aub Demand'!B:B,MATCH($O1583,'Aub Demand'!$A:$A,0)),"")</f>
        <v>SUNBEAM</v>
      </c>
      <c r="Q1583" s="27" t="str">
        <f>IFERROR(INDEX('Aub Demand'!C:C,MATCH($O1583,'Aub Demand'!$A:$A,0)),"")</f>
        <v>LAMIG</v>
      </c>
      <c r="R1583" s="52">
        <f>IFERROR(IF(AR1584=AR1583,INDEX('Aub Demand'!K:K,MATCH($O1583,'Aub Demand'!$A:$A,0))-IF(AN1583="",0,AN1583)+AP1584,INDEX('Aub Demand'!K:K,MATCH($O1583,'Aub Demand'!$A:$A,0))-IF(AN1583="",0,AN1583)),"")</f>
        <v>913</v>
      </c>
      <c r="S1583" s="53">
        <f t="shared" si="672"/>
        <v>9.1999999999999993</v>
      </c>
      <c r="T1583" s="52" t="str">
        <f t="shared" si="673"/>
        <v/>
      </c>
      <c r="U1583" s="52">
        <f>IFERROR(IF(AR1584=AR1583,INDEX('Aub Demand'!Q:Q,MATCH($O1583,'Aub Demand'!$A:$A,0))-IF(AN1583="",0,AN1583)+AP1584,INDEX('Aub Demand'!Q:Q,MATCH($O1583,'Aub Demand'!$A:$A,0))-IF(AN1583="",0,AN1583)),"")</f>
        <v>913</v>
      </c>
      <c r="V1583" s="53">
        <f t="shared" si="674"/>
        <v>9.1999999999999993</v>
      </c>
      <c r="W1583" s="52" t="str">
        <f t="shared" si="675"/>
        <v/>
      </c>
      <c r="X1583" s="52">
        <f>IFERROR(IF(AND(AR1584=AR1583,AM1583&lt;&gt;""),INDEX('Aub Demand'!Q:Q,MATCH($O1583,'Aub Demand'!$A:$A,0))-IF(AN1583="",0,AN1583)+AP1584+AD1583+AL1583,IF(AR1584=AR1583,INDEX('Aub Demand'!Q:Q,MATCH($O1583,'Aub Demand'!$A:$A,0))-IF(AN1583="",0,AN1583)+AP1584+AD1583,IF(AM1583&lt;&gt;"",INDEX('Aub Demand'!Q:Q,MATCH($O1583,'Aub Demand'!$A:$A,0))-IF(AN1583="",0,AN1583)+AD1583+AL1583,INDEX('Aub Demand'!Q:Q,MATCH($O1583,'Aub Demand'!$A:$A,0))-IF(AN1583="",0,AN1583)+AD1583))),"")</f>
        <v>913</v>
      </c>
      <c r="Y1583" s="53">
        <f t="shared" si="676"/>
        <v>9.1999999999999993</v>
      </c>
      <c r="Z1583" s="52">
        <f>IF(L1583="","",INDEX('Aub Demand'!H:H,MATCH($O1583,'Aub Demand'!$A:$A,0)))</f>
        <v>424</v>
      </c>
      <c r="AA1583" s="52">
        <f t="shared" si="677"/>
        <v>631</v>
      </c>
      <c r="AB1583" s="52">
        <f>IFERROR(INDEX('Aub Demand'!L:L,MATCH($O1583,'Aub Demand'!$A:$A,0)),"")</f>
        <v>32</v>
      </c>
      <c r="AC1583" s="52">
        <f>IFERROR(IF(O1583="","",SUMIFS('CPL Mats'!F:F,'CPL Mats'!Q:Q,AR1583,'CPL Mats'!S:S,AS1583)),"")</f>
        <v>0</v>
      </c>
      <c r="AF1583" s="25" t="str">
        <f>IF(SUMIFS('Supp Consol'!S:S,'Supp Consol'!Y:Y,"Releasable",'Supp Consol'!A:A,O1583)=0,"",SUMIFS('Supp Consol'!S:S,'Supp Consol'!Y:Y,"Releasable",'Supp Consol'!A:A,O1583))</f>
        <v/>
      </c>
      <c r="AG1583" s="25">
        <f>IFERROR(INDEX('Hun Demand'!Q:Q,MATCH(O1583,'Hun Demand'!A:A,0)),"")</f>
        <v>242</v>
      </c>
      <c r="AH1583" s="25">
        <f>IFERROR(INDEX('Hun Demand'!H:H,MATCH($O1583,'Hun Demand'!$A:$A,0)),"")</f>
        <v>397</v>
      </c>
      <c r="AI1583" s="25" t="str">
        <f>IF(SUMIFS('Supp Consol'!AA:AA,'Supp Consol'!Z:Z,"Expires this month",'Supp Consol'!A:A,O1583)=0,"",SUMIFS('Supp Consol'!AA:AA,'Supp Consol'!Z:Z,"Expires this month",'Supp Consol'!A:A,O1583))</f>
        <v/>
      </c>
      <c r="AJ1583" s="25" t="str">
        <f>IF(SUMIFS('Supp Consol'!AA:AA,'Supp Consol'!Z:Z,"Expired Previous Months",'Supp Consol'!A:A,O1583)=0,"",SUMIFS('Supp Consol'!AA:AA,'Supp Consol'!Z:Z,"Expired Previous Months",'Supp Consol'!A:A,O1583))</f>
        <v/>
      </c>
      <c r="AK1583" s="25" t="str">
        <f>IFERROR(INDEX('Hun Release Current'!B:B,MATCH(O1583,'Hun Release Current'!A:A,0)),"")</f>
        <v/>
      </c>
      <c r="AL1583" s="25" t="str">
        <f>IF(SUMIF('Prev Aub'!A:A,O1583,'Prev Aub'!B:B)=0,"",SUMIF('Prev Aub'!A:A,O1583,'Prev Aub'!B:B))</f>
        <v/>
      </c>
      <c r="AN1583" s="25" t="s">
        <v>3790</v>
      </c>
      <c r="AO1583" s="25" t="s">
        <v>3790</v>
      </c>
      <c r="AP1583" s="25">
        <f t="shared" si="678"/>
        <v>0</v>
      </c>
      <c r="AQ1583" s="151" t="str">
        <f>IF(SUMIFS('Supp Consol'!S:S,'Supp Consol'!A:A,O1583,'Supp Consol'!I:I,"PENDING")=0,"",SUMIFS('Supp Consol'!S:S,'Supp Consol'!A:A,O1583,'Supp Consol'!I:I,"PENDING"))</f>
        <v/>
      </c>
      <c r="AR1583" s="27" t="str">
        <f t="shared" si="679"/>
        <v>WW900</v>
      </c>
      <c r="AS1583" s="27" t="str">
        <f t="shared" si="680"/>
        <v>62</v>
      </c>
      <c r="AT1583" s="27" t="str">
        <f t="shared" si="681"/>
        <v/>
      </c>
      <c r="AU1583" s="27" t="str">
        <f t="shared" si="682"/>
        <v/>
      </c>
      <c r="AV1583" s="27" t="str">
        <f t="shared" si="683"/>
        <v/>
      </c>
      <c r="AW1583" s="27" t="str">
        <f t="shared" si="684"/>
        <v/>
      </c>
      <c r="AX1583" s="27" t="str">
        <f t="shared" si="685"/>
        <v/>
      </c>
      <c r="AY1583" s="27" t="str">
        <f t="shared" si="686"/>
        <v/>
      </c>
      <c r="AZ1583" s="27" t="str">
        <f t="shared" si="687"/>
        <v/>
      </c>
      <c r="BA1583" s="27" t="str">
        <f t="shared" si="688"/>
        <v/>
      </c>
      <c r="BB1583" s="27" t="str">
        <f t="shared" si="689"/>
        <v/>
      </c>
      <c r="BC1583" s="27" t="str">
        <f t="shared" si="690"/>
        <v/>
      </c>
      <c r="BD1583" s="27" t="str">
        <f t="shared" si="691"/>
        <v/>
      </c>
      <c r="BE1583" s="27" t="str">
        <f t="shared" si="692"/>
        <v/>
      </c>
      <c r="BF1583" s="27" t="str">
        <f t="shared" si="693"/>
        <v/>
      </c>
      <c r="BG1583" s="27" t="str">
        <f t="shared" si="694"/>
        <v/>
      </c>
      <c r="BH1583" s="27" t="str">
        <f t="shared" si="695"/>
        <v/>
      </c>
      <c r="BI1583" s="27" t="str">
        <f t="shared" si="696"/>
        <v/>
      </c>
      <c r="BJ1583" s="27" t="str">
        <f t="shared" si="697"/>
        <v/>
      </c>
      <c r="BK1583" s="27" t="str">
        <f t="shared" si="698"/>
        <v/>
      </c>
      <c r="BL1583" s="27" t="str">
        <f t="shared" si="699"/>
        <v/>
      </c>
      <c r="BM1583" s="21" t="s">
        <v>5581</v>
      </c>
    </row>
    <row r="1584" spans="1:65" ht="15">
      <c r="A1584" s="25">
        <f>IFERROR(INDEX('Hun Demand'!W:W,MATCH(O1584,'Hun Demand'!A:A,0)),"")</f>
        <v>0</v>
      </c>
      <c r="B1584" s="25">
        <f>IFERROR(INDEX('Hun Demand'!V:V,MATCH(O1584,'Hun Demand'!A:A,0)),"")</f>
        <v>0</v>
      </c>
      <c r="C1584" s="25">
        <f>IFERROR(INDEX('Hun Demand'!U:U,MATCH(O1584,'Hun Demand'!A:A,0)),"")</f>
        <v>0</v>
      </c>
      <c r="D1584" s="25">
        <f>IFERROR(INDEX('Hun Demand'!T:T,MATCH(O1584,'Hun Demand'!A:A,0)),"")</f>
        <v>0</v>
      </c>
      <c r="E1584" s="25">
        <f>IFERROR(INDEX('Hun Demand'!S:S,MATCH(O1584,'Hun Demand'!A:A,0)),"")</f>
        <v>0</v>
      </c>
      <c r="F1584" s="25">
        <f>IFERROR(INDEX('Hun Demand'!R:R,MATCH(O1584,'Hun Demand'!A:A,0)),"")</f>
        <v>0</v>
      </c>
      <c r="G1584" s="25">
        <f>IFERROR(INDEX('Aub Demand'!W:W,MATCH(O1584,'Aub Demand'!A:A,0)),"")</f>
        <v>324</v>
      </c>
      <c r="H1584" s="25">
        <f>IFERROR(INDEX('Aub Demand'!V:V,MATCH(O1584,'Aub Demand'!A:A,0)),"")</f>
        <v>0</v>
      </c>
      <c r="I1584" s="25">
        <f>IFERROR(INDEX('Aub Demand'!U:U,MATCH(O1584,'Aub Demand'!A:A,0)),"")</f>
        <v>19</v>
      </c>
      <c r="J1584" s="25">
        <f>IFERROR(INDEX('Aub Demand'!T:T,MATCH(O1584,'Aub Demand'!A:A,0)),"")</f>
        <v>46</v>
      </c>
      <c r="K1584" s="25">
        <f>IFERROR(INDEX('Aub Demand'!S:S,MATCH(O1584,'Aub Demand'!A:A,0)),"")</f>
        <v>39</v>
      </c>
      <c r="L1584" s="25">
        <f>IFERROR(INDEX('Aub Demand'!R:R,MATCH(O1584,'Aub Demand'!A:A,0)),"")</f>
        <v>11</v>
      </c>
      <c r="O1584" s="27" t="s">
        <v>3156</v>
      </c>
      <c r="P1584" s="27" t="str">
        <f>IFERROR(INDEX('Aub Demand'!B:B,MATCH($O1584,'Aub Demand'!$A:$A,0)),"")</f>
        <v>MID MOD WALNUT</v>
      </c>
      <c r="Q1584" s="27" t="str">
        <f>IFERROR(INDEX('Aub Demand'!C:C,MATCH($O1584,'Aub Demand'!$A:$A,0)),"")</f>
        <v>SCHAT</v>
      </c>
      <c r="R1584" s="52">
        <f>IFERROR(IF(AR1585=AR1584,INDEX('Aub Demand'!K:K,MATCH($O1584,'Aub Demand'!$A:$A,0))-IF(AN1584="",0,AN1584)+AP1585,INDEX('Aub Demand'!K:K,MATCH($O1584,'Aub Demand'!$A:$A,0))-IF(AN1584="",0,AN1584)),"")</f>
        <v>582</v>
      </c>
      <c r="S1584" s="53">
        <f t="shared" si="672"/>
        <v>71.3</v>
      </c>
      <c r="T1584" s="52" t="str">
        <f t="shared" si="673"/>
        <v/>
      </c>
      <c r="U1584" s="52">
        <f>IFERROR(IF(AR1585=AR1584,INDEX('Aub Demand'!Q:Q,MATCH($O1584,'Aub Demand'!$A:$A,0))-IF(AN1584="",0,AN1584)+AP1585,INDEX('Aub Demand'!Q:Q,MATCH($O1584,'Aub Demand'!$A:$A,0))-IF(AN1584="",0,AN1584)),"")</f>
        <v>566</v>
      </c>
      <c r="V1584" s="53">
        <f t="shared" si="674"/>
        <v>69.3</v>
      </c>
      <c r="W1584" s="52" t="str">
        <f t="shared" si="675"/>
        <v/>
      </c>
      <c r="X1584" s="52">
        <f>IFERROR(IF(AND(AR1585=AR1584,AM1584&lt;&gt;""),INDEX('Aub Demand'!Q:Q,MATCH($O1584,'Aub Demand'!$A:$A,0))-IF(AN1584="",0,AN1584)+AP1585+AD1584+AL1584,IF(AR1585=AR1584,INDEX('Aub Demand'!Q:Q,MATCH($O1584,'Aub Demand'!$A:$A,0))-IF(AN1584="",0,AN1584)+AP1585+AD1584,IF(AM1584&lt;&gt;"",INDEX('Aub Demand'!Q:Q,MATCH($O1584,'Aub Demand'!$A:$A,0))-IF(AN1584="",0,AN1584)+AD1584+AL1584,INDEX('Aub Demand'!Q:Q,MATCH($O1584,'Aub Demand'!$A:$A,0))-IF(AN1584="",0,AN1584)+AD1584))),"")</f>
        <v>566</v>
      </c>
      <c r="Y1584" s="53">
        <f t="shared" si="676"/>
        <v>69.3</v>
      </c>
      <c r="Z1584" s="52">
        <f>IF(L1584="","",INDEX('Aub Demand'!H:H,MATCH($O1584,'Aub Demand'!$A:$A,0)))</f>
        <v>35</v>
      </c>
      <c r="AA1584" s="52">
        <f t="shared" si="677"/>
        <v>42.5</v>
      </c>
      <c r="AB1584" s="52">
        <f>IFERROR(INDEX('Aub Demand'!L:L,MATCH($O1584,'Aub Demand'!$A:$A,0)),"")</f>
        <v>42</v>
      </c>
      <c r="AC1584" s="52">
        <f>IFERROR(IF(O1584="","",SUMIFS('CPL Mats'!F:F,'CPL Mats'!Q:Q,AR1584,'CPL Mats'!S:S,AS1584)),"")</f>
        <v>0</v>
      </c>
      <c r="AF1584" s="25" t="str">
        <f>IF(SUMIFS('Supp Consol'!S:S,'Supp Consol'!Y:Y,"Releasable",'Supp Consol'!A:A,O1584)=0,"",SUMIFS('Supp Consol'!S:S,'Supp Consol'!Y:Y,"Releasable",'Supp Consol'!A:A,O1584))</f>
        <v/>
      </c>
      <c r="AG1584" s="25">
        <f>IFERROR(INDEX('Hun Demand'!Q:Q,MATCH(O1584,'Hun Demand'!A:A,0)),"")</f>
        <v>400</v>
      </c>
      <c r="AH1584" s="25">
        <f>IFERROR(INDEX('Hun Demand'!H:H,MATCH($O1584,'Hun Demand'!$A:$A,0)),"")</f>
        <v>0</v>
      </c>
      <c r="AI1584" s="25" t="str">
        <f>IF(SUMIFS('Supp Consol'!AA:AA,'Supp Consol'!Z:Z,"Expires this month",'Supp Consol'!A:A,O1584)=0,"",SUMIFS('Supp Consol'!AA:AA,'Supp Consol'!Z:Z,"Expires this month",'Supp Consol'!A:A,O1584))</f>
        <v/>
      </c>
      <c r="AJ1584" s="25" t="str">
        <f>IF(SUMIFS('Supp Consol'!AA:AA,'Supp Consol'!Z:Z,"Expired Previous Months",'Supp Consol'!A:A,O1584)=0,"",SUMIFS('Supp Consol'!AA:AA,'Supp Consol'!Z:Z,"Expired Previous Months",'Supp Consol'!A:A,O1584))</f>
        <v/>
      </c>
      <c r="AK1584" s="25" t="str">
        <f>IFERROR(INDEX('Hun Release Current'!B:B,MATCH(O1584,'Hun Release Current'!A:A,0)),"")</f>
        <v/>
      </c>
      <c r="AL1584" s="25" t="str">
        <f>IF(SUMIF('Prev Aub'!A:A,O1584,'Prev Aub'!B:B)=0,"",SUMIF('Prev Aub'!A:A,O1584,'Prev Aub'!B:B))</f>
        <v/>
      </c>
      <c r="AN1584" s="25" t="s">
        <v>3790</v>
      </c>
      <c r="AO1584" s="25" t="s">
        <v>3790</v>
      </c>
      <c r="AP1584" s="25">
        <f t="shared" si="678"/>
        <v>0</v>
      </c>
      <c r="AQ1584" s="151" t="str">
        <f>IF(SUMIFS('Supp Consol'!S:S,'Supp Consol'!A:A,O1584,'Supp Consol'!I:I,"PENDING")=0,"",SUMIFS('Supp Consol'!S:S,'Supp Consol'!A:A,O1584,'Supp Consol'!I:I,"PENDING"))</f>
        <v/>
      </c>
      <c r="AR1584" s="27" t="str">
        <f t="shared" si="679"/>
        <v>WW960</v>
      </c>
      <c r="AS1584" s="27" t="str">
        <f t="shared" si="680"/>
        <v>50</v>
      </c>
      <c r="AT1584" s="27" t="str">
        <f t="shared" si="681"/>
        <v/>
      </c>
      <c r="AU1584" s="27" t="str">
        <f t="shared" si="682"/>
        <v/>
      </c>
      <c r="AV1584" s="27" t="str">
        <f t="shared" si="683"/>
        <v/>
      </c>
      <c r="AW1584" s="27" t="str">
        <f t="shared" si="684"/>
        <v/>
      </c>
      <c r="AX1584" s="27" t="str">
        <f t="shared" si="685"/>
        <v/>
      </c>
      <c r="AY1584" s="27" t="str">
        <f t="shared" si="686"/>
        <v>WW960</v>
      </c>
      <c r="AZ1584" s="27" t="str">
        <f t="shared" si="687"/>
        <v/>
      </c>
      <c r="BA1584" s="27" t="str">
        <f t="shared" si="688"/>
        <v>Hun</v>
      </c>
      <c r="BB1584" s="27" t="str">
        <f t="shared" si="689"/>
        <v/>
      </c>
      <c r="BC1584" s="27" t="str">
        <f t="shared" si="690"/>
        <v/>
      </c>
      <c r="BD1584" s="27" t="str">
        <f t="shared" si="691"/>
        <v/>
      </c>
      <c r="BE1584" s="27" t="str">
        <f t="shared" si="692"/>
        <v/>
      </c>
      <c r="BF1584" s="27" t="str">
        <f t="shared" si="693"/>
        <v/>
      </c>
      <c r="BG1584" s="27" t="str">
        <f t="shared" si="694"/>
        <v/>
      </c>
      <c r="BH1584" s="27" t="str">
        <f t="shared" si="695"/>
        <v/>
      </c>
      <c r="BI1584" s="27" t="str">
        <f t="shared" si="696"/>
        <v/>
      </c>
      <c r="BJ1584" s="27" t="str">
        <f t="shared" si="697"/>
        <v>Supp or Hun</v>
      </c>
      <c r="BK1584" s="27" t="str">
        <f t="shared" si="698"/>
        <v/>
      </c>
      <c r="BL1584" s="27" t="str">
        <f t="shared" si="699"/>
        <v/>
      </c>
      <c r="BM1584" s="21" t="s">
        <v>5581</v>
      </c>
    </row>
    <row r="1585" spans="1:65" ht="15">
      <c r="A1585" s="25">
        <f>IFERROR(INDEX('Hun Demand'!W:W,MATCH(O1585,'Hun Demand'!A:A,0)),"")</f>
        <v>0</v>
      </c>
      <c r="B1585" s="25">
        <f>IFERROR(INDEX('Hun Demand'!V:V,MATCH(O1585,'Hun Demand'!A:A,0)),"")</f>
        <v>0</v>
      </c>
      <c r="C1585" s="25">
        <f>IFERROR(INDEX('Hun Demand'!U:U,MATCH(O1585,'Hun Demand'!A:A,0)),"")</f>
        <v>0</v>
      </c>
      <c r="D1585" s="25">
        <f>IFERROR(INDEX('Hun Demand'!T:T,MATCH(O1585,'Hun Demand'!A:A,0)),"")</f>
        <v>111</v>
      </c>
      <c r="E1585" s="25">
        <f>IFERROR(INDEX('Hun Demand'!S:S,MATCH(O1585,'Hun Demand'!A:A,0)),"")</f>
        <v>0</v>
      </c>
      <c r="F1585" s="25">
        <f>IFERROR(INDEX('Hun Demand'!R:R,MATCH(O1585,'Hun Demand'!A:A,0)),"")</f>
        <v>0</v>
      </c>
      <c r="G1585" s="25">
        <f>IFERROR(INDEX('Aub Demand'!W:W,MATCH(O1585,'Aub Demand'!A:A,0)),"")</f>
        <v>9</v>
      </c>
      <c r="H1585" s="25">
        <f>IFERROR(INDEX('Aub Demand'!V:V,MATCH(O1585,'Aub Demand'!A:A,0)),"")</f>
        <v>0</v>
      </c>
      <c r="I1585" s="25">
        <f>IFERROR(INDEX('Aub Demand'!U:U,MATCH(O1585,'Aub Demand'!A:A,0)),"")</f>
        <v>118</v>
      </c>
      <c r="J1585" s="25">
        <f>IFERROR(INDEX('Aub Demand'!T:T,MATCH(O1585,'Aub Demand'!A:A,0)),"")</f>
        <v>144</v>
      </c>
      <c r="K1585" s="25">
        <f>IFERROR(INDEX('Aub Demand'!S:S,MATCH(O1585,'Aub Demand'!A:A,0)),"")</f>
        <v>199</v>
      </c>
      <c r="L1585" s="25">
        <f>IFERROR(INDEX('Aub Demand'!R:R,MATCH(O1585,'Aub Demand'!A:A,0)),"")</f>
        <v>0</v>
      </c>
      <c r="O1585" s="27" t="s">
        <v>3158</v>
      </c>
      <c r="P1585" s="27" t="str">
        <f>IFERROR(INDEX('Aub Demand'!B:B,MATCH($O1585,'Aub Demand'!$A:$A,0)),"")</f>
        <v>MID MOD WALNUT</v>
      </c>
      <c r="Q1585" s="27" t="str">
        <f>IFERROR(INDEX('Aub Demand'!C:C,MATCH($O1585,'Aub Demand'!$A:$A,0)),"")</f>
        <v>SCHAT</v>
      </c>
      <c r="R1585" s="52">
        <f>IFERROR(IF(AR1586=AR1585,INDEX('Aub Demand'!K:K,MATCH($O1585,'Aub Demand'!$A:$A,0))-IF(AN1585="",0,AN1585)+AP1586,INDEX('Aub Demand'!K:K,MATCH($O1585,'Aub Demand'!$A:$A,0))-IF(AN1585="",0,AN1585)),"")</f>
        <v>2024</v>
      </c>
      <c r="S1585" s="53">
        <f t="shared" si="672"/>
        <v>56.3</v>
      </c>
      <c r="T1585" s="52" t="str">
        <f t="shared" si="673"/>
        <v/>
      </c>
      <c r="U1585" s="52">
        <f>IFERROR(IF(AR1586=AR1585,INDEX('Aub Demand'!Q:Q,MATCH($O1585,'Aub Demand'!$A:$A,0))-IF(AN1585="",0,AN1585)+AP1586,INDEX('Aub Demand'!Q:Q,MATCH($O1585,'Aub Demand'!$A:$A,0))-IF(AN1585="",0,AN1585)),"")</f>
        <v>2001</v>
      </c>
      <c r="V1585" s="53">
        <f t="shared" si="674"/>
        <v>55.7</v>
      </c>
      <c r="W1585" s="52" t="str">
        <f t="shared" si="675"/>
        <v/>
      </c>
      <c r="X1585" s="52">
        <f>IFERROR(IF(AND(AR1586=AR1585,AM1585&lt;&gt;""),INDEX('Aub Demand'!Q:Q,MATCH($O1585,'Aub Demand'!$A:$A,0))-IF(AN1585="",0,AN1585)+AP1586+AD1585+AL1585,IF(AR1586=AR1585,INDEX('Aub Demand'!Q:Q,MATCH($O1585,'Aub Demand'!$A:$A,0))-IF(AN1585="",0,AN1585)+AP1586+AD1585,IF(AM1585&lt;&gt;"",INDEX('Aub Demand'!Q:Q,MATCH($O1585,'Aub Demand'!$A:$A,0))-IF(AN1585="",0,AN1585)+AD1585+AL1585,INDEX('Aub Demand'!Q:Q,MATCH($O1585,'Aub Demand'!$A:$A,0))-IF(AN1585="",0,AN1585)+AD1585))),"")</f>
        <v>2001</v>
      </c>
      <c r="Y1585" s="53">
        <f t="shared" si="676"/>
        <v>55.7</v>
      </c>
      <c r="Z1585" s="52">
        <f>IF(L1585="","",INDEX('Aub Demand'!H:H,MATCH($O1585,'Aub Demand'!$A:$A,0)))</f>
        <v>154</v>
      </c>
      <c r="AA1585" s="52">
        <f t="shared" si="677"/>
        <v>171.5</v>
      </c>
      <c r="AB1585" s="52">
        <f>IFERROR(INDEX('Aub Demand'!L:L,MATCH($O1585,'Aub Demand'!$A:$A,0)),"")</f>
        <v>92</v>
      </c>
      <c r="AC1585" s="52">
        <f>IFERROR(IF(O1585="","",SUMIFS('CPL Mats'!F:F,'CPL Mats'!Q:Q,AR1585,'CPL Mats'!S:S,AS1585)),"")</f>
        <v>0</v>
      </c>
      <c r="AF1585" s="25" t="str">
        <f>IF(SUMIFS('Supp Consol'!S:S,'Supp Consol'!Y:Y,"Releasable",'Supp Consol'!A:A,O1585)=0,"",SUMIFS('Supp Consol'!S:S,'Supp Consol'!Y:Y,"Releasable",'Supp Consol'!A:A,O1585))</f>
        <v/>
      </c>
      <c r="AG1585" s="25">
        <f>IFERROR(INDEX('Hun Demand'!Q:Q,MATCH(O1585,'Hun Demand'!A:A,0)),"")</f>
        <v>664</v>
      </c>
      <c r="AH1585" s="25">
        <f>IFERROR(INDEX('Hun Demand'!H:H,MATCH($O1585,'Hun Demand'!$A:$A,0)),"")</f>
        <v>37</v>
      </c>
      <c r="AI1585" s="25" t="str">
        <f>IF(SUMIFS('Supp Consol'!AA:AA,'Supp Consol'!Z:Z,"Expires this month",'Supp Consol'!A:A,O1585)=0,"",SUMIFS('Supp Consol'!AA:AA,'Supp Consol'!Z:Z,"Expires this month",'Supp Consol'!A:A,O1585))</f>
        <v/>
      </c>
      <c r="AJ1585" s="25" t="str">
        <f>IF(SUMIFS('Supp Consol'!AA:AA,'Supp Consol'!Z:Z,"Expired Previous Months",'Supp Consol'!A:A,O1585)=0,"",SUMIFS('Supp Consol'!AA:AA,'Supp Consol'!Z:Z,"Expired Previous Months",'Supp Consol'!A:A,O1585))</f>
        <v/>
      </c>
      <c r="AK1585" s="25" t="str">
        <f>IFERROR(INDEX('Hun Release Current'!B:B,MATCH(O1585,'Hun Release Current'!A:A,0)),"")</f>
        <v/>
      </c>
      <c r="AL1585" s="25" t="str">
        <f>IF(SUMIF('Prev Aub'!A:A,O1585,'Prev Aub'!B:B)=0,"",SUMIF('Prev Aub'!A:A,O1585,'Prev Aub'!B:B))</f>
        <v/>
      </c>
      <c r="AN1585" s="25" t="s">
        <v>3790</v>
      </c>
      <c r="AO1585" s="25" t="s">
        <v>3790</v>
      </c>
      <c r="AP1585" s="25">
        <f t="shared" si="678"/>
        <v>0</v>
      </c>
      <c r="AQ1585" s="151" t="str">
        <f>IF(SUMIFS('Supp Consol'!S:S,'Supp Consol'!A:A,O1585,'Supp Consol'!I:I,"PENDING")=0,"",SUMIFS('Supp Consol'!S:S,'Supp Consol'!A:A,O1585,'Supp Consol'!I:I,"PENDING"))</f>
        <v/>
      </c>
      <c r="AR1585" s="27" t="str">
        <f t="shared" si="679"/>
        <v>WW960</v>
      </c>
      <c r="AS1585" s="27" t="str">
        <f t="shared" si="680"/>
        <v>62</v>
      </c>
      <c r="AT1585" s="27" t="str">
        <f t="shared" si="681"/>
        <v/>
      </c>
      <c r="AU1585" s="27" t="str">
        <f t="shared" si="682"/>
        <v/>
      </c>
      <c r="AV1585" s="27" t="str">
        <f t="shared" si="683"/>
        <v/>
      </c>
      <c r="AW1585" s="27" t="str">
        <f t="shared" si="684"/>
        <v/>
      </c>
      <c r="AX1585" s="27" t="str">
        <f t="shared" si="685"/>
        <v/>
      </c>
      <c r="AY1585" s="27" t="str">
        <f t="shared" si="686"/>
        <v>WW960</v>
      </c>
      <c r="AZ1585" s="27" t="str">
        <f t="shared" si="687"/>
        <v/>
      </c>
      <c r="BA1585" s="27" t="str">
        <f t="shared" si="688"/>
        <v>Hun</v>
      </c>
      <c r="BB1585" s="27" t="str">
        <f t="shared" si="689"/>
        <v/>
      </c>
      <c r="BC1585" s="27" t="str">
        <f t="shared" si="690"/>
        <v/>
      </c>
      <c r="BD1585" s="27" t="str">
        <f t="shared" si="691"/>
        <v/>
      </c>
      <c r="BE1585" s="27" t="str">
        <f t="shared" si="692"/>
        <v/>
      </c>
      <c r="BF1585" s="27" t="str">
        <f t="shared" si="693"/>
        <v/>
      </c>
      <c r="BG1585" s="27" t="str">
        <f t="shared" si="694"/>
        <v/>
      </c>
      <c r="BH1585" s="27" t="str">
        <f t="shared" si="695"/>
        <v/>
      </c>
      <c r="BI1585" s="27" t="str">
        <f t="shared" si="696"/>
        <v/>
      </c>
      <c r="BJ1585" s="27" t="str">
        <f t="shared" si="697"/>
        <v>Supp or Hun</v>
      </c>
      <c r="BK1585" s="27" t="str">
        <f t="shared" si="698"/>
        <v/>
      </c>
      <c r="BL1585" s="27" t="str">
        <f t="shared" si="699"/>
        <v/>
      </c>
      <c r="BM1585" s="21" t="s">
        <v>5581</v>
      </c>
    </row>
    <row r="1586" spans="1:65" ht="15">
      <c r="A1586" s="25" t="str">
        <f>IFERROR(INDEX('Hun Demand'!W:W,MATCH(O1586,'Hun Demand'!A:A,0)),"")</f>
        <v/>
      </c>
      <c r="B1586" s="25" t="str">
        <f>IFERROR(INDEX('Hun Demand'!V:V,MATCH(O1586,'Hun Demand'!A:A,0)),"")</f>
        <v/>
      </c>
      <c r="C1586" s="25" t="str">
        <f>IFERROR(INDEX('Hun Demand'!U:U,MATCH(O1586,'Hun Demand'!A:A,0)),"")</f>
        <v/>
      </c>
      <c r="D1586" s="25" t="str">
        <f>IFERROR(INDEX('Hun Demand'!T:T,MATCH(O1586,'Hun Demand'!A:A,0)),"")</f>
        <v/>
      </c>
      <c r="E1586" s="25" t="str">
        <f>IFERROR(INDEX('Hun Demand'!S:S,MATCH(O1586,'Hun Demand'!A:A,0)),"")</f>
        <v/>
      </c>
      <c r="F1586" s="25" t="str">
        <f>IFERROR(INDEX('Hun Demand'!R:R,MATCH(O1586,'Hun Demand'!A:A,0)),"")</f>
        <v/>
      </c>
      <c r="G1586" s="25">
        <f>IFERROR(INDEX('Aub Demand'!W:W,MATCH(O1586,'Aub Demand'!A:A,0)),"")</f>
        <v>136</v>
      </c>
      <c r="H1586" s="25">
        <f>IFERROR(INDEX('Aub Demand'!V:V,MATCH(O1586,'Aub Demand'!A:A,0)),"")</f>
        <v>0</v>
      </c>
      <c r="I1586" s="25">
        <f>IFERROR(INDEX('Aub Demand'!U:U,MATCH(O1586,'Aub Demand'!A:A,0)),"")</f>
        <v>0</v>
      </c>
      <c r="J1586" s="25">
        <f>IFERROR(INDEX('Aub Demand'!T:T,MATCH(O1586,'Aub Demand'!A:A,0)),"")</f>
        <v>0</v>
      </c>
      <c r="K1586" s="25">
        <f>IFERROR(INDEX('Aub Demand'!S:S,MATCH(O1586,'Aub Demand'!A:A,0)),"")</f>
        <v>0</v>
      </c>
      <c r="L1586" s="25">
        <f>IFERROR(INDEX('Aub Demand'!R:R,MATCH(O1586,'Aub Demand'!A:A,0)),"")</f>
        <v>0</v>
      </c>
      <c r="O1586" s="27" t="s">
        <v>1903</v>
      </c>
      <c r="P1586" s="27" t="str">
        <f>IFERROR(INDEX('Aub Demand'!B:B,MATCH($O1586,'Aub Demand'!$A:$A,0)),"")</f>
        <v>GUN SAVOY WALNUT</v>
      </c>
      <c r="Q1586" s="27" t="str">
        <f>IFERROR(INDEX('Aub Demand'!C:C,MATCH($O1586,'Aub Demand'!$A:$A,0)),"")</f>
        <v>INTER</v>
      </c>
      <c r="R1586" s="52">
        <f>IFERROR(IF(AR1587=AR1586,INDEX('Aub Demand'!K:K,MATCH($O1586,'Aub Demand'!$A:$A,0))-IF(AN1586="",0,AN1586)+AP1587,INDEX('Aub Demand'!K:K,MATCH($O1586,'Aub Demand'!$A:$A,0))-IF(AN1586="",0,AN1586)),"")</f>
        <v>0</v>
      </c>
      <c r="S1586" s="53" t="str">
        <f t="shared" si="672"/>
        <v>n/a</v>
      </c>
      <c r="T1586" s="52" t="str">
        <f t="shared" si="673"/>
        <v/>
      </c>
      <c r="U1586" s="52">
        <f>IFERROR(IF(AR1587=AR1586,INDEX('Aub Demand'!Q:Q,MATCH($O1586,'Aub Demand'!$A:$A,0))-IF(AN1586="",0,AN1586)+AP1587,INDEX('Aub Demand'!Q:Q,MATCH($O1586,'Aub Demand'!$A:$A,0))-IF(AN1586="",0,AN1586)),"")</f>
        <v>-4</v>
      </c>
      <c r="V1586" s="53" t="str">
        <f t="shared" si="674"/>
        <v>n/a</v>
      </c>
      <c r="W1586" s="52" t="str">
        <f t="shared" si="675"/>
        <v/>
      </c>
      <c r="X1586" s="52">
        <f>IFERROR(IF(AND(AR1587=AR1586,AM1586&lt;&gt;""),INDEX('Aub Demand'!Q:Q,MATCH($O1586,'Aub Demand'!$A:$A,0))-IF(AN1586="",0,AN1586)+AP1587+AD1586+AL1586,IF(AR1587=AR1586,INDEX('Aub Demand'!Q:Q,MATCH($O1586,'Aub Demand'!$A:$A,0))-IF(AN1586="",0,AN1586)+AP1587+AD1586,IF(AM1586&lt;&gt;"",INDEX('Aub Demand'!Q:Q,MATCH($O1586,'Aub Demand'!$A:$A,0))-IF(AN1586="",0,AN1586)+AD1586+AL1586,INDEX('Aub Demand'!Q:Q,MATCH($O1586,'Aub Demand'!$A:$A,0))-IF(AN1586="",0,AN1586)+AD1586))),"")</f>
        <v>-4</v>
      </c>
      <c r="Y1586" s="53" t="str">
        <f t="shared" si="676"/>
        <v>n/a</v>
      </c>
      <c r="Z1586" s="52">
        <f>IF(L1586="","",INDEX('Aub Demand'!H:H,MATCH($O1586,'Aub Demand'!$A:$A,0)))</f>
        <v>0</v>
      </c>
      <c r="AA1586" s="52" t="str">
        <f t="shared" si="677"/>
        <v>-spike-</v>
      </c>
      <c r="AB1586" s="52">
        <f>IFERROR(INDEX('Aub Demand'!L:L,MATCH($O1586,'Aub Demand'!$A:$A,0)),"")</f>
        <v>62</v>
      </c>
      <c r="AC1586" s="52">
        <f>IFERROR(IF(O1586="","",SUMIFS('CPL Mats'!F:F,'CPL Mats'!Q:Q,AR1586,'CPL Mats'!S:S,AS1586)),"")</f>
        <v>0</v>
      </c>
      <c r="AF1586" s="25" t="str">
        <f>IF(SUMIFS('Supp Consol'!S:S,'Supp Consol'!Y:Y,"Releasable",'Supp Consol'!A:A,O1586)=0,"",SUMIFS('Supp Consol'!S:S,'Supp Consol'!Y:Y,"Releasable",'Supp Consol'!A:A,O1586))</f>
        <v/>
      </c>
      <c r="AG1586" s="25" t="str">
        <f>IFERROR(INDEX('Hun Demand'!Q:Q,MATCH(O1586,'Hun Demand'!A:A,0)),"")</f>
        <v/>
      </c>
      <c r="AH1586" s="25" t="str">
        <f>IFERROR(INDEX('Hun Demand'!H:H,MATCH($O1586,'Hun Demand'!$A:$A,0)),"")</f>
        <v/>
      </c>
      <c r="AI1586" s="25" t="str">
        <f>IF(SUMIFS('Supp Consol'!AA:AA,'Supp Consol'!Z:Z,"Expires this month",'Supp Consol'!A:A,O1586)=0,"",SUMIFS('Supp Consol'!AA:AA,'Supp Consol'!Z:Z,"Expires this month",'Supp Consol'!A:A,O1586))</f>
        <v/>
      </c>
      <c r="AJ1586" s="25" t="str">
        <f>IF(SUMIFS('Supp Consol'!AA:AA,'Supp Consol'!Z:Z,"Expired Previous Months",'Supp Consol'!A:A,O1586)=0,"",SUMIFS('Supp Consol'!AA:AA,'Supp Consol'!Z:Z,"Expired Previous Months",'Supp Consol'!A:A,O1586))</f>
        <v/>
      </c>
      <c r="AK1586" s="25" t="str">
        <f>IFERROR(INDEX('Hun Release Current'!B:B,MATCH(O1586,'Hun Release Current'!A:A,0)),"")</f>
        <v/>
      </c>
      <c r="AL1586" s="25" t="str">
        <f>IF(SUMIF('Prev Aub'!A:A,O1586,'Prev Aub'!B:B)=0,"",SUMIF('Prev Aub'!A:A,O1586,'Prev Aub'!B:B))</f>
        <v/>
      </c>
      <c r="AN1586" s="25" t="s">
        <v>3790</v>
      </c>
      <c r="AO1586" s="25" t="s">
        <v>3790</v>
      </c>
      <c r="AP1586" s="25">
        <f t="shared" si="678"/>
        <v>0</v>
      </c>
      <c r="AQ1586" s="151" t="str">
        <f>IF(SUMIFS('Supp Consol'!S:S,'Supp Consol'!A:A,O1586,'Supp Consol'!I:I,"PENDING")=0,"",SUMIFS('Supp Consol'!S:S,'Supp Consol'!A:A,O1586,'Supp Consol'!I:I,"PENDING"))</f>
        <v/>
      </c>
      <c r="AR1586" s="27" t="str">
        <f t="shared" si="679"/>
        <v>WW971</v>
      </c>
      <c r="AS1586" s="27" t="str">
        <f t="shared" si="680"/>
        <v>37</v>
      </c>
      <c r="AT1586" s="27" t="str">
        <f t="shared" si="681"/>
        <v/>
      </c>
      <c r="AU1586" s="27" t="str">
        <f t="shared" si="682"/>
        <v/>
      </c>
      <c r="AV1586" s="27" t="str">
        <f t="shared" si="683"/>
        <v/>
      </c>
      <c r="AW1586" s="27" t="str">
        <f t="shared" si="684"/>
        <v/>
      </c>
      <c r="AX1586" s="27" t="str">
        <f t="shared" si="685"/>
        <v/>
      </c>
      <c r="AY1586" s="27" t="str">
        <f t="shared" si="686"/>
        <v/>
      </c>
      <c r="AZ1586" s="27" t="str">
        <f t="shared" si="687"/>
        <v/>
      </c>
      <c r="BA1586" s="27" t="str">
        <f t="shared" si="688"/>
        <v/>
      </c>
      <c r="BB1586" s="27" t="str">
        <f t="shared" si="689"/>
        <v/>
      </c>
      <c r="BC1586" s="27" t="str">
        <f t="shared" si="690"/>
        <v/>
      </c>
      <c r="BD1586" s="27" t="str">
        <f t="shared" si="691"/>
        <v/>
      </c>
      <c r="BE1586" s="27" t="str">
        <f t="shared" si="692"/>
        <v/>
      </c>
      <c r="BF1586" s="27" t="str">
        <f t="shared" si="693"/>
        <v/>
      </c>
      <c r="BG1586" s="27" t="str">
        <f t="shared" si="694"/>
        <v/>
      </c>
      <c r="BH1586" s="27" t="str">
        <f t="shared" si="695"/>
        <v/>
      </c>
      <c r="BI1586" s="27" t="str">
        <f t="shared" si="696"/>
        <v/>
      </c>
      <c r="BJ1586" s="27" t="str">
        <f t="shared" si="697"/>
        <v/>
      </c>
      <c r="BK1586" s="27" t="str">
        <f t="shared" si="698"/>
        <v/>
      </c>
      <c r="BL1586" s="27" t="str">
        <f t="shared" si="699"/>
        <v/>
      </c>
      <c r="BM1586" s="21" t="s">
        <v>5581</v>
      </c>
    </row>
    <row r="1587" spans="1:65" ht="15">
      <c r="A1587" s="25" t="str">
        <f>IFERROR(INDEX('Hun Demand'!W:W,MATCH(O1587,'Hun Demand'!A:A,0)),"")</f>
        <v/>
      </c>
      <c r="B1587" s="25" t="str">
        <f>IFERROR(INDEX('Hun Demand'!V:V,MATCH(O1587,'Hun Demand'!A:A,0)),"")</f>
        <v/>
      </c>
      <c r="C1587" s="25" t="str">
        <f>IFERROR(INDEX('Hun Demand'!U:U,MATCH(O1587,'Hun Demand'!A:A,0)),"")</f>
        <v/>
      </c>
      <c r="D1587" s="25" t="str">
        <f>IFERROR(INDEX('Hun Demand'!T:T,MATCH(O1587,'Hun Demand'!A:A,0)),"")</f>
        <v/>
      </c>
      <c r="E1587" s="25" t="str">
        <f>IFERROR(INDEX('Hun Demand'!S:S,MATCH(O1587,'Hun Demand'!A:A,0)),"")</f>
        <v/>
      </c>
      <c r="F1587" s="25" t="str">
        <f>IFERROR(INDEX('Hun Demand'!R:R,MATCH(O1587,'Hun Demand'!A:A,0)),"")</f>
        <v/>
      </c>
      <c r="G1587" s="25">
        <f>IFERROR(INDEX('Aub Demand'!W:W,MATCH(O1587,'Aub Demand'!A:A,0)),"")</f>
        <v>290</v>
      </c>
      <c r="H1587" s="25">
        <f>IFERROR(INDEX('Aub Demand'!V:V,MATCH(O1587,'Aub Demand'!A:A,0)),"")</f>
        <v>164</v>
      </c>
      <c r="I1587" s="25">
        <f>IFERROR(INDEX('Aub Demand'!U:U,MATCH(O1587,'Aub Demand'!A:A,0)),"")</f>
        <v>170</v>
      </c>
      <c r="J1587" s="25">
        <f>IFERROR(INDEX('Aub Demand'!T:T,MATCH(O1587,'Aub Demand'!A:A,0)),"")</f>
        <v>161</v>
      </c>
      <c r="K1587" s="25">
        <f>IFERROR(INDEX('Aub Demand'!S:S,MATCH(O1587,'Aub Demand'!A:A,0)),"")</f>
        <v>0</v>
      </c>
      <c r="L1587" s="25">
        <f>IFERROR(INDEX('Aub Demand'!R:R,MATCH(O1587,'Aub Demand'!A:A,0)),"")</f>
        <v>0</v>
      </c>
      <c r="O1587" s="27" t="s">
        <v>1905</v>
      </c>
      <c r="P1587" s="27" t="str">
        <f>IFERROR(INDEX('Aub Demand'!B:B,MATCH($O1587,'Aub Demand'!$A:$A,0)),"")</f>
        <v>GUN SAVOY WALNUT</v>
      </c>
      <c r="Q1587" s="27" t="str">
        <f>IFERROR(INDEX('Aub Demand'!C:C,MATCH($O1587,'Aub Demand'!$A:$A,0)),"")</f>
        <v>INTER</v>
      </c>
      <c r="R1587" s="52">
        <f>IFERROR(IF(AR1588=AR1587,INDEX('Aub Demand'!K:K,MATCH($O1587,'Aub Demand'!$A:$A,0))-IF(AN1587="",0,AN1587)+AP1588,INDEX('Aub Demand'!K:K,MATCH($O1587,'Aub Demand'!$A:$A,0))-IF(AN1587="",0,AN1587)),"")</f>
        <v>594</v>
      </c>
      <c r="S1587" s="53">
        <f t="shared" si="672"/>
        <v>23.1</v>
      </c>
      <c r="T1587" s="52" t="str">
        <f t="shared" si="673"/>
        <v/>
      </c>
      <c r="U1587" s="52">
        <f>IFERROR(IF(AR1588=AR1587,INDEX('Aub Demand'!Q:Q,MATCH($O1587,'Aub Demand'!$A:$A,0))-IF(AN1587="",0,AN1587)+AP1588,INDEX('Aub Demand'!Q:Q,MATCH($O1587,'Aub Demand'!$A:$A,0))-IF(AN1587="",0,AN1587)),"")</f>
        <v>578</v>
      </c>
      <c r="V1587" s="53">
        <f t="shared" si="674"/>
        <v>22.5</v>
      </c>
      <c r="W1587" s="52" t="str">
        <f t="shared" si="675"/>
        <v/>
      </c>
      <c r="X1587" s="52">
        <f>IFERROR(IF(AND(AR1588=AR1587,AM1587&lt;&gt;""),INDEX('Aub Demand'!Q:Q,MATCH($O1587,'Aub Demand'!$A:$A,0))-IF(AN1587="",0,AN1587)+AP1588+AD1587+AL1587,IF(AR1588=AR1587,INDEX('Aub Demand'!Q:Q,MATCH($O1587,'Aub Demand'!$A:$A,0))-IF(AN1587="",0,AN1587)+AP1588+AD1587,IF(AM1587&lt;&gt;"",INDEX('Aub Demand'!Q:Q,MATCH($O1587,'Aub Demand'!$A:$A,0))-IF(AN1587="",0,AN1587)+AD1587+AL1587,INDEX('Aub Demand'!Q:Q,MATCH($O1587,'Aub Demand'!$A:$A,0))-IF(AN1587="",0,AN1587)+AD1587))),"")</f>
        <v>578</v>
      </c>
      <c r="Y1587" s="53">
        <f t="shared" si="676"/>
        <v>22.5</v>
      </c>
      <c r="Z1587" s="52">
        <f>IF(L1587="","",INDEX('Aub Demand'!H:H,MATCH($O1587,'Aub Demand'!$A:$A,0)))</f>
        <v>110</v>
      </c>
      <c r="AA1587" s="52">
        <f t="shared" si="677"/>
        <v>165.5</v>
      </c>
      <c r="AB1587" s="52">
        <f>IFERROR(INDEX('Aub Demand'!L:L,MATCH($O1587,'Aub Demand'!$A:$A,0)),"")</f>
        <v>40</v>
      </c>
      <c r="AC1587" s="52">
        <f>IFERROR(IF(O1587="","",SUMIFS('CPL Mats'!F:F,'CPL Mats'!Q:Q,AR1587,'CPL Mats'!S:S,AS1587)),"")</f>
        <v>0</v>
      </c>
      <c r="AF1587" s="25" t="str">
        <f>IF(SUMIFS('Supp Consol'!S:S,'Supp Consol'!Y:Y,"Releasable",'Supp Consol'!A:A,O1587)=0,"",SUMIFS('Supp Consol'!S:S,'Supp Consol'!Y:Y,"Releasable",'Supp Consol'!A:A,O1587))</f>
        <v/>
      </c>
      <c r="AG1587" s="25" t="str">
        <f>IFERROR(INDEX('Hun Demand'!Q:Q,MATCH(O1587,'Hun Demand'!A:A,0)),"")</f>
        <v/>
      </c>
      <c r="AH1587" s="25" t="str">
        <f>IFERROR(INDEX('Hun Demand'!H:H,MATCH($O1587,'Hun Demand'!$A:$A,0)),"")</f>
        <v/>
      </c>
      <c r="AI1587" s="25" t="str">
        <f>IF(SUMIFS('Supp Consol'!AA:AA,'Supp Consol'!Z:Z,"Expires this month",'Supp Consol'!A:A,O1587)=0,"",SUMIFS('Supp Consol'!AA:AA,'Supp Consol'!Z:Z,"Expires this month",'Supp Consol'!A:A,O1587))</f>
        <v/>
      </c>
      <c r="AJ1587" s="25" t="str">
        <f>IF(SUMIFS('Supp Consol'!AA:AA,'Supp Consol'!Z:Z,"Expired Previous Months",'Supp Consol'!A:A,O1587)=0,"",SUMIFS('Supp Consol'!AA:AA,'Supp Consol'!Z:Z,"Expired Previous Months",'Supp Consol'!A:A,O1587))</f>
        <v/>
      </c>
      <c r="AK1587" s="25" t="str">
        <f>IFERROR(INDEX('Hun Release Current'!B:B,MATCH(O1587,'Hun Release Current'!A:A,0)),"")</f>
        <v/>
      </c>
      <c r="AL1587" s="25" t="str">
        <f>IF(SUMIF('Prev Aub'!A:A,O1587,'Prev Aub'!B:B)=0,"",SUMIF('Prev Aub'!A:A,O1587,'Prev Aub'!B:B))</f>
        <v/>
      </c>
      <c r="AN1587" s="25" t="s">
        <v>3790</v>
      </c>
      <c r="AO1587" s="25" t="s">
        <v>3790</v>
      </c>
      <c r="AP1587" s="25">
        <f t="shared" si="678"/>
        <v>0</v>
      </c>
      <c r="AQ1587" s="151" t="str">
        <f>IF(SUMIFS('Supp Consol'!S:S,'Supp Consol'!A:A,O1587,'Supp Consol'!I:I,"PENDING")=0,"",SUMIFS('Supp Consol'!S:S,'Supp Consol'!A:A,O1587,'Supp Consol'!I:I,"PENDING"))</f>
        <v/>
      </c>
      <c r="AR1587" s="27" t="str">
        <f t="shared" si="679"/>
        <v>WW971</v>
      </c>
      <c r="AS1587" s="27" t="str">
        <f t="shared" si="680"/>
        <v>50</v>
      </c>
      <c r="AT1587" s="27" t="str">
        <f t="shared" si="681"/>
        <v/>
      </c>
      <c r="AU1587" s="27" t="str">
        <f t="shared" si="682"/>
        <v/>
      </c>
      <c r="AV1587" s="27" t="str">
        <f t="shared" si="683"/>
        <v/>
      </c>
      <c r="AW1587" s="27" t="str">
        <f t="shared" si="684"/>
        <v/>
      </c>
      <c r="AX1587" s="27" t="str">
        <f t="shared" si="685"/>
        <v/>
      </c>
      <c r="AY1587" s="27" t="str">
        <f t="shared" si="686"/>
        <v/>
      </c>
      <c r="AZ1587" s="27" t="str">
        <f t="shared" si="687"/>
        <v/>
      </c>
      <c r="BA1587" s="27" t="str">
        <f t="shared" si="688"/>
        <v/>
      </c>
      <c r="BB1587" s="27" t="str">
        <f t="shared" si="689"/>
        <v/>
      </c>
      <c r="BC1587" s="27" t="str">
        <f t="shared" si="690"/>
        <v/>
      </c>
      <c r="BD1587" s="27" t="str">
        <f t="shared" si="691"/>
        <v/>
      </c>
      <c r="BE1587" s="27" t="str">
        <f t="shared" si="692"/>
        <v/>
      </c>
      <c r="BF1587" s="27" t="str">
        <f t="shared" si="693"/>
        <v/>
      </c>
      <c r="BG1587" s="27" t="str">
        <f t="shared" si="694"/>
        <v/>
      </c>
      <c r="BH1587" s="27" t="str">
        <f t="shared" si="695"/>
        <v/>
      </c>
      <c r="BI1587" s="27" t="str">
        <f t="shared" si="696"/>
        <v/>
      </c>
      <c r="BJ1587" s="27" t="str">
        <f t="shared" si="697"/>
        <v/>
      </c>
      <c r="BK1587" s="27" t="str">
        <f t="shared" si="698"/>
        <v/>
      </c>
      <c r="BL1587" s="27" t="str">
        <f t="shared" si="699"/>
        <v/>
      </c>
      <c r="BM1587" s="21" t="s">
        <v>5581</v>
      </c>
    </row>
    <row r="1588" spans="1:65" ht="15">
      <c r="A1588" s="25" t="str">
        <f>IFERROR(INDEX('Hun Demand'!W:W,MATCH(O1588,'Hun Demand'!A:A,0)),"")</f>
        <v/>
      </c>
      <c r="B1588" s="25" t="str">
        <f>IFERROR(INDEX('Hun Demand'!V:V,MATCH(O1588,'Hun Demand'!A:A,0)),"")</f>
        <v/>
      </c>
      <c r="C1588" s="25" t="str">
        <f>IFERROR(INDEX('Hun Demand'!U:U,MATCH(O1588,'Hun Demand'!A:A,0)),"")</f>
        <v/>
      </c>
      <c r="D1588" s="25" t="str">
        <f>IFERROR(INDEX('Hun Demand'!T:T,MATCH(O1588,'Hun Demand'!A:A,0)),"")</f>
        <v/>
      </c>
      <c r="E1588" s="25" t="str">
        <f>IFERROR(INDEX('Hun Demand'!S:S,MATCH(O1588,'Hun Demand'!A:A,0)),"")</f>
        <v/>
      </c>
      <c r="F1588" s="25" t="str">
        <f>IFERROR(INDEX('Hun Demand'!R:R,MATCH(O1588,'Hun Demand'!A:A,0)),"")</f>
        <v/>
      </c>
      <c r="G1588" s="25">
        <f>IFERROR(INDEX('Aub Demand'!W:W,MATCH(O1588,'Aub Demand'!A:A,0)),"")</f>
        <v>136</v>
      </c>
      <c r="H1588" s="25">
        <f>IFERROR(INDEX('Aub Demand'!V:V,MATCH(O1588,'Aub Demand'!A:A,0)),"")</f>
        <v>25</v>
      </c>
      <c r="I1588" s="25">
        <f>IFERROR(INDEX('Aub Demand'!U:U,MATCH(O1588,'Aub Demand'!A:A,0)),"")</f>
        <v>0</v>
      </c>
      <c r="J1588" s="25">
        <f>IFERROR(INDEX('Aub Demand'!T:T,MATCH(O1588,'Aub Demand'!A:A,0)),"")</f>
        <v>0</v>
      </c>
      <c r="K1588" s="25">
        <f>IFERROR(INDEX('Aub Demand'!S:S,MATCH(O1588,'Aub Demand'!A:A,0)),"")</f>
        <v>0</v>
      </c>
      <c r="L1588" s="25">
        <f>IFERROR(INDEX('Aub Demand'!R:R,MATCH(O1588,'Aub Demand'!A:A,0)),"")</f>
        <v>0</v>
      </c>
      <c r="O1588" s="27" t="s">
        <v>1907</v>
      </c>
      <c r="P1588" s="27" t="str">
        <f>IFERROR(INDEX('Aub Demand'!B:B,MATCH($O1588,'Aub Demand'!$A:$A,0)),"")</f>
        <v>GUN SAVOY WALNUT</v>
      </c>
      <c r="Q1588" s="27" t="str">
        <f>IFERROR(INDEX('Aub Demand'!C:C,MATCH($O1588,'Aub Demand'!$A:$A,0)),"")</f>
        <v>INTER</v>
      </c>
      <c r="R1588" s="52">
        <f>IFERROR(IF(AR1589=AR1588,INDEX('Aub Demand'!K:K,MATCH($O1588,'Aub Demand'!$A:$A,0))-IF(AN1588="",0,AN1588)+AP1589,INDEX('Aub Demand'!K:K,MATCH($O1588,'Aub Demand'!$A:$A,0))-IF(AN1588="",0,AN1588)),"")</f>
        <v>1235</v>
      </c>
      <c r="S1588" s="53" t="str">
        <f t="shared" si="672"/>
        <v>n/a</v>
      </c>
      <c r="T1588" s="52" t="str">
        <f t="shared" si="673"/>
        <v/>
      </c>
      <c r="U1588" s="52">
        <f>IFERROR(IF(AR1589=AR1588,INDEX('Aub Demand'!Q:Q,MATCH($O1588,'Aub Demand'!$A:$A,0))-IF(AN1588="",0,AN1588)+AP1589,INDEX('Aub Demand'!Q:Q,MATCH($O1588,'Aub Demand'!$A:$A,0))-IF(AN1588="",0,AN1588)),"")</f>
        <v>1127</v>
      </c>
      <c r="V1588" s="53" t="str">
        <f t="shared" si="674"/>
        <v>n/a</v>
      </c>
      <c r="W1588" s="52" t="str">
        <f t="shared" si="675"/>
        <v/>
      </c>
      <c r="X1588" s="52">
        <f>IFERROR(IF(AND(AR1589=AR1588,AM1588&lt;&gt;""),INDEX('Aub Demand'!Q:Q,MATCH($O1588,'Aub Demand'!$A:$A,0))-IF(AN1588="",0,AN1588)+AP1589+AD1588+AL1588,IF(AR1589=AR1588,INDEX('Aub Demand'!Q:Q,MATCH($O1588,'Aub Demand'!$A:$A,0))-IF(AN1588="",0,AN1588)+AP1589+AD1588,IF(AM1588&lt;&gt;"",INDEX('Aub Demand'!Q:Q,MATCH($O1588,'Aub Demand'!$A:$A,0))-IF(AN1588="",0,AN1588)+AD1588+AL1588,INDEX('Aub Demand'!Q:Q,MATCH($O1588,'Aub Demand'!$A:$A,0))-IF(AN1588="",0,AN1588)+AD1588))),"")</f>
        <v>1127</v>
      </c>
      <c r="Y1588" s="53" t="str">
        <f t="shared" si="676"/>
        <v>n/a</v>
      </c>
      <c r="Z1588" s="52">
        <f>IF(L1588="","",INDEX('Aub Demand'!H:H,MATCH($O1588,'Aub Demand'!$A:$A,0)))</f>
        <v>0</v>
      </c>
      <c r="AA1588" s="52" t="str">
        <f t="shared" si="677"/>
        <v>-spike-</v>
      </c>
      <c r="AB1588" s="52">
        <f>IFERROR(INDEX('Aub Demand'!L:L,MATCH($O1588,'Aub Demand'!$A:$A,0)),"")</f>
        <v>1310</v>
      </c>
      <c r="AC1588" s="52">
        <f>IFERROR(IF(O1588="","",SUMIFS('CPL Mats'!F:F,'CPL Mats'!Q:Q,AR1588,'CPL Mats'!S:S,AS1588)),"")</f>
        <v>0</v>
      </c>
      <c r="AF1588" s="25" t="str">
        <f>IF(SUMIFS('Supp Consol'!S:S,'Supp Consol'!Y:Y,"Releasable",'Supp Consol'!A:A,O1588)=0,"",SUMIFS('Supp Consol'!S:S,'Supp Consol'!Y:Y,"Releasable",'Supp Consol'!A:A,O1588))</f>
        <v/>
      </c>
      <c r="AG1588" s="25" t="str">
        <f>IFERROR(INDEX('Hun Demand'!Q:Q,MATCH(O1588,'Hun Demand'!A:A,0)),"")</f>
        <v/>
      </c>
      <c r="AH1588" s="25" t="str">
        <f>IFERROR(INDEX('Hun Demand'!H:H,MATCH($O1588,'Hun Demand'!$A:$A,0)),"")</f>
        <v/>
      </c>
      <c r="AI1588" s="25" t="str">
        <f>IF(SUMIFS('Supp Consol'!AA:AA,'Supp Consol'!Z:Z,"Expires this month",'Supp Consol'!A:A,O1588)=0,"",SUMIFS('Supp Consol'!AA:AA,'Supp Consol'!Z:Z,"Expires this month",'Supp Consol'!A:A,O1588))</f>
        <v/>
      </c>
      <c r="AJ1588" s="25" t="str">
        <f>IF(SUMIFS('Supp Consol'!AA:AA,'Supp Consol'!Z:Z,"Expired Previous Months",'Supp Consol'!A:A,O1588)=0,"",SUMIFS('Supp Consol'!AA:AA,'Supp Consol'!Z:Z,"Expired Previous Months",'Supp Consol'!A:A,O1588))</f>
        <v/>
      </c>
      <c r="AK1588" s="25" t="str">
        <f>IFERROR(INDEX('Hun Release Current'!B:B,MATCH(O1588,'Hun Release Current'!A:A,0)),"")</f>
        <v/>
      </c>
      <c r="AL1588" s="25" t="str">
        <f>IF(SUMIF('Prev Aub'!A:A,O1588,'Prev Aub'!B:B)=0,"",SUMIF('Prev Aub'!A:A,O1588,'Prev Aub'!B:B))</f>
        <v/>
      </c>
      <c r="AN1588" s="25" t="s">
        <v>3790</v>
      </c>
      <c r="AO1588" s="25" t="s">
        <v>3790</v>
      </c>
      <c r="AP1588" s="25">
        <f t="shared" si="678"/>
        <v>0</v>
      </c>
      <c r="AQ1588" s="151" t="str">
        <f>IF(SUMIFS('Supp Consol'!S:S,'Supp Consol'!A:A,O1588,'Supp Consol'!I:I,"PENDING")=0,"",SUMIFS('Supp Consol'!S:S,'Supp Consol'!A:A,O1588,'Supp Consol'!I:I,"PENDING"))</f>
        <v/>
      </c>
      <c r="AR1588" s="27" t="str">
        <f t="shared" si="679"/>
        <v>WW971</v>
      </c>
      <c r="AS1588" s="27" t="str">
        <f t="shared" si="680"/>
        <v>62</v>
      </c>
      <c r="AT1588" s="27" t="str">
        <f t="shared" si="681"/>
        <v/>
      </c>
      <c r="AU1588" s="27" t="str">
        <f t="shared" si="682"/>
        <v/>
      </c>
      <c r="AV1588" s="27" t="str">
        <f t="shared" si="683"/>
        <v/>
      </c>
      <c r="AW1588" s="27" t="str">
        <f t="shared" si="684"/>
        <v/>
      </c>
      <c r="AX1588" s="27" t="str">
        <f t="shared" si="685"/>
        <v/>
      </c>
      <c r="AY1588" s="27" t="str">
        <f t="shared" si="686"/>
        <v/>
      </c>
      <c r="AZ1588" s="27" t="str">
        <f t="shared" si="687"/>
        <v/>
      </c>
      <c r="BA1588" s="27" t="str">
        <f t="shared" si="688"/>
        <v/>
      </c>
      <c r="BB1588" s="27" t="str">
        <f t="shared" si="689"/>
        <v/>
      </c>
      <c r="BC1588" s="27" t="str">
        <f t="shared" si="690"/>
        <v/>
      </c>
      <c r="BD1588" s="27" t="str">
        <f t="shared" si="691"/>
        <v/>
      </c>
      <c r="BE1588" s="27" t="str">
        <f t="shared" si="692"/>
        <v/>
      </c>
      <c r="BF1588" s="27" t="str">
        <f t="shared" si="693"/>
        <v/>
      </c>
      <c r="BG1588" s="27" t="str">
        <f t="shared" si="694"/>
        <v/>
      </c>
      <c r="BH1588" s="27" t="str">
        <f t="shared" si="695"/>
        <v/>
      </c>
      <c r="BI1588" s="27" t="str">
        <f t="shared" si="696"/>
        <v/>
      </c>
      <c r="BJ1588" s="27" t="str">
        <f t="shared" si="697"/>
        <v/>
      </c>
      <c r="BK1588" s="27" t="str">
        <f t="shared" si="698"/>
        <v/>
      </c>
      <c r="BL1588" s="27" t="str">
        <f t="shared" si="699"/>
        <v/>
      </c>
      <c r="BM1588" s="21" t="s">
        <v>5581</v>
      </c>
    </row>
    <row r="1589" spans="1:65" ht="15">
      <c r="A1589" s="25" t="str">
        <f>IFERROR(INDEX('Hun Demand'!W:W,MATCH(O1589,'Hun Demand'!A:A,0)),"")</f>
        <v/>
      </c>
      <c r="B1589" s="25" t="str">
        <f>IFERROR(INDEX('Hun Demand'!V:V,MATCH(O1589,'Hun Demand'!A:A,0)),"")</f>
        <v/>
      </c>
      <c r="C1589" s="25" t="str">
        <f>IFERROR(INDEX('Hun Demand'!U:U,MATCH(O1589,'Hun Demand'!A:A,0)),"")</f>
        <v/>
      </c>
      <c r="D1589" s="25" t="str">
        <f>IFERROR(INDEX('Hun Demand'!T:T,MATCH(O1589,'Hun Demand'!A:A,0)),"")</f>
        <v/>
      </c>
      <c r="E1589" s="25" t="str">
        <f>IFERROR(INDEX('Hun Demand'!S:S,MATCH(O1589,'Hun Demand'!A:A,0)),"")</f>
        <v/>
      </c>
      <c r="F1589" s="25" t="str">
        <f>IFERROR(INDEX('Hun Demand'!R:R,MATCH(O1589,'Hun Demand'!A:A,0)),"")</f>
        <v/>
      </c>
      <c r="G1589" s="25">
        <f>IFERROR(INDEX('Aub Demand'!W:W,MATCH(O1589,'Aub Demand'!A:A,0)),"")</f>
        <v>0</v>
      </c>
      <c r="H1589" s="25">
        <f>IFERROR(INDEX('Aub Demand'!V:V,MATCH(O1589,'Aub Demand'!A:A,0)),"")</f>
        <v>0</v>
      </c>
      <c r="I1589" s="25">
        <f>IFERROR(INDEX('Aub Demand'!U:U,MATCH(O1589,'Aub Demand'!A:A,0)),"")</f>
        <v>0</v>
      </c>
      <c r="J1589" s="25">
        <f>IFERROR(INDEX('Aub Demand'!T:T,MATCH(O1589,'Aub Demand'!A:A,0)),"")</f>
        <v>0</v>
      </c>
      <c r="K1589" s="25">
        <f>IFERROR(INDEX('Aub Demand'!S:S,MATCH(O1589,'Aub Demand'!A:A,0)),"")</f>
        <v>0</v>
      </c>
      <c r="L1589" s="25">
        <f>IFERROR(INDEX('Aub Demand'!R:R,MATCH(O1589,'Aub Demand'!A:A,0)),"")</f>
        <v>39</v>
      </c>
      <c r="O1589" s="27" t="s">
        <v>6309</v>
      </c>
      <c r="P1589" s="27" t="str">
        <f>IFERROR(INDEX('Aub Demand'!B:B,MATCH($O1589,'Aub Demand'!$A:$A,0)),"")</f>
        <v>PEARWOOD</v>
      </c>
      <c r="Q1589" s="27" t="str">
        <f>IFERROR(INDEX('Aub Demand'!C:C,MATCH($O1589,'Aub Demand'!$A:$A,0)),"")</f>
        <v>TOPPA</v>
      </c>
      <c r="R1589" s="52">
        <f>IFERROR(IF(AR1590=AR1589,INDEX('Aub Demand'!K:K,MATCH($O1589,'Aub Demand'!$A:$A,0))-IF(AN1589="",0,AN1589)+AP1590,INDEX('Aub Demand'!K:K,MATCH($O1589,'Aub Demand'!$A:$A,0))-IF(AN1589="",0,AN1589)),"")</f>
        <v>0</v>
      </c>
      <c r="S1589" s="53" t="str">
        <f t="shared" si="672"/>
        <v>n/a</v>
      </c>
      <c r="T1589" s="52" t="str">
        <f t="shared" si="673"/>
        <v/>
      </c>
      <c r="U1589" s="52">
        <f>IFERROR(IF(AR1590=AR1589,INDEX('Aub Demand'!Q:Q,MATCH($O1589,'Aub Demand'!$A:$A,0))-IF(AN1589="",0,AN1589)+AP1590,INDEX('Aub Demand'!Q:Q,MATCH($O1589,'Aub Demand'!$A:$A,0))-IF(AN1589="",0,AN1589)),"")</f>
        <v>-31</v>
      </c>
      <c r="V1589" s="53" t="str">
        <f t="shared" si="674"/>
        <v>n/a</v>
      </c>
      <c r="W1589" s="52" t="str">
        <f t="shared" si="675"/>
        <v/>
      </c>
      <c r="X1589" s="52">
        <f>IFERROR(IF(AND(AR1590=AR1589,AM1589&lt;&gt;""),INDEX('Aub Demand'!Q:Q,MATCH($O1589,'Aub Demand'!$A:$A,0))-IF(AN1589="",0,AN1589)+AP1590+AD1589+AL1589,IF(AR1590=AR1589,INDEX('Aub Demand'!Q:Q,MATCH($O1589,'Aub Demand'!$A:$A,0))-IF(AN1589="",0,AN1589)+AP1590+AD1589,IF(AM1589&lt;&gt;"",INDEX('Aub Demand'!Q:Q,MATCH($O1589,'Aub Demand'!$A:$A,0))-IF(AN1589="",0,AN1589)+AD1589+AL1589,INDEX('Aub Demand'!Q:Q,MATCH($O1589,'Aub Demand'!$A:$A,0))-IF(AN1589="",0,AN1589)+AD1589))),"")</f>
        <v>-31</v>
      </c>
      <c r="Y1589" s="53" t="str">
        <f t="shared" si="676"/>
        <v>n/a</v>
      </c>
      <c r="Z1589" s="52">
        <f>IF(L1589="","",INDEX('Aub Demand'!H:H,MATCH($O1589,'Aub Demand'!$A:$A,0)))</f>
        <v>0</v>
      </c>
      <c r="AA1589" s="52" t="str">
        <f t="shared" si="677"/>
        <v>-spike-</v>
      </c>
      <c r="AB1589" s="52">
        <f>IFERROR(INDEX('Aub Demand'!L:L,MATCH($O1589,'Aub Demand'!$A:$A,0)),"")</f>
        <v>5</v>
      </c>
      <c r="AC1589" s="52">
        <f>IFERROR(IF(O1589="","",SUMIFS('CPL Mats'!F:F,'CPL Mats'!Q:Q,AR1589,'CPL Mats'!S:S,AS1589)),"")</f>
        <v>0</v>
      </c>
      <c r="AF1589" s="25" t="str">
        <f>IF(SUMIFS('Supp Consol'!S:S,'Supp Consol'!Y:Y,"Releasable",'Supp Consol'!A:A,O1589)=0,"",SUMIFS('Supp Consol'!S:S,'Supp Consol'!Y:Y,"Releasable",'Supp Consol'!A:A,O1589))</f>
        <v/>
      </c>
      <c r="AG1589" s="25" t="str">
        <f>IFERROR(INDEX('Hun Demand'!Q:Q,MATCH(O1589,'Hun Demand'!A:A,0)),"")</f>
        <v/>
      </c>
      <c r="AH1589" s="25" t="str">
        <f>IFERROR(INDEX('Hun Demand'!H:H,MATCH($O1589,'Hun Demand'!$A:$A,0)),"")</f>
        <v/>
      </c>
      <c r="AI1589" s="25" t="str">
        <f>IF(SUMIFS('Supp Consol'!AA:AA,'Supp Consol'!Z:Z,"Expires this month",'Supp Consol'!A:A,O1589)=0,"",SUMIFS('Supp Consol'!AA:AA,'Supp Consol'!Z:Z,"Expires this month",'Supp Consol'!A:A,O1589))</f>
        <v/>
      </c>
      <c r="AJ1589" s="25" t="str">
        <f>IF(SUMIFS('Supp Consol'!AA:AA,'Supp Consol'!Z:Z,"Expired Previous Months",'Supp Consol'!A:A,O1589)=0,"",SUMIFS('Supp Consol'!AA:AA,'Supp Consol'!Z:Z,"Expired Previous Months",'Supp Consol'!A:A,O1589))</f>
        <v/>
      </c>
      <c r="AK1589" s="25" t="str">
        <f>IFERROR(INDEX('Hun Release Current'!B:B,MATCH(O1589,'Hun Release Current'!A:A,0)),"")</f>
        <v/>
      </c>
      <c r="AL1589" s="25" t="str">
        <f>IF(SUMIF('Prev Aub'!A:A,O1589,'Prev Aub'!B:B)=0,"",SUMIF('Prev Aub'!A:A,O1589,'Prev Aub'!B:B))</f>
        <v/>
      </c>
      <c r="AN1589" s="25" t="s">
        <v>3790</v>
      </c>
      <c r="AO1589" s="25" t="s">
        <v>3790</v>
      </c>
      <c r="AP1589" s="25">
        <f t="shared" si="678"/>
        <v>0</v>
      </c>
      <c r="AQ1589" s="151" t="str">
        <f>IF(SUMIFS('Supp Consol'!S:S,'Supp Consol'!A:A,O1589,'Supp Consol'!I:I,"PENDING")=0,"",SUMIFS('Supp Consol'!S:S,'Supp Consol'!A:A,O1589,'Supp Consol'!I:I,"PENDING"))</f>
        <v/>
      </c>
      <c r="AR1589" s="27" t="str">
        <f t="shared" si="679"/>
        <v>WX031</v>
      </c>
      <c r="AS1589" s="27" t="str">
        <f t="shared" si="680"/>
        <v>37</v>
      </c>
      <c r="AT1589" s="27" t="str">
        <f t="shared" si="681"/>
        <v/>
      </c>
      <c r="AU1589" s="27" t="str">
        <f t="shared" si="682"/>
        <v/>
      </c>
      <c r="AV1589" s="27" t="str">
        <f t="shared" si="683"/>
        <v/>
      </c>
      <c r="AW1589" s="27" t="str">
        <f t="shared" si="684"/>
        <v/>
      </c>
      <c r="AX1589" s="27" t="str">
        <f t="shared" si="685"/>
        <v/>
      </c>
      <c r="AY1589" s="27" t="str">
        <f t="shared" si="686"/>
        <v/>
      </c>
      <c r="AZ1589" s="27" t="str">
        <f t="shared" si="687"/>
        <v/>
      </c>
      <c r="BA1589" s="27" t="str">
        <f t="shared" si="688"/>
        <v>Hun</v>
      </c>
      <c r="BB1589" s="27" t="str">
        <f t="shared" si="689"/>
        <v/>
      </c>
      <c r="BC1589" s="27" t="str">
        <f t="shared" si="690"/>
        <v/>
      </c>
      <c r="BD1589" s="27" t="str">
        <f t="shared" si="691"/>
        <v/>
      </c>
      <c r="BE1589" s="27" t="str">
        <f t="shared" si="692"/>
        <v/>
      </c>
      <c r="BF1589" s="27" t="str">
        <f t="shared" si="693"/>
        <v/>
      </c>
      <c r="BG1589" s="27" t="str">
        <f t="shared" si="694"/>
        <v/>
      </c>
      <c r="BH1589" s="27" t="str">
        <f t="shared" si="695"/>
        <v/>
      </c>
      <c r="BI1589" s="27" t="str">
        <f t="shared" si="696"/>
        <v/>
      </c>
      <c r="BJ1589" s="27" t="str">
        <f t="shared" si="697"/>
        <v>Supp or Hun</v>
      </c>
      <c r="BK1589" s="27" t="str">
        <f t="shared" si="698"/>
        <v/>
      </c>
      <c r="BL1589" s="27" t="str">
        <f t="shared" si="699"/>
        <v/>
      </c>
      <c r="BM1589" s="21" t="s">
        <v>3790</v>
      </c>
    </row>
    <row r="1590" spans="1:65" ht="15">
      <c r="A1590" s="25">
        <f>IFERROR(INDEX('Hun Demand'!W:W,MATCH(O1590,'Hun Demand'!A:A,0)),"")</f>
        <v>0</v>
      </c>
      <c r="B1590" s="25">
        <f>IFERROR(INDEX('Hun Demand'!V:V,MATCH(O1590,'Hun Demand'!A:A,0)),"")</f>
        <v>136</v>
      </c>
      <c r="C1590" s="25">
        <f>IFERROR(INDEX('Hun Demand'!U:U,MATCH(O1590,'Hun Demand'!A:A,0)),"")</f>
        <v>0</v>
      </c>
      <c r="D1590" s="25">
        <f>IFERROR(INDEX('Hun Demand'!T:T,MATCH(O1590,'Hun Demand'!A:A,0)),"")</f>
        <v>0</v>
      </c>
      <c r="E1590" s="25">
        <f>IFERROR(INDEX('Hun Demand'!S:S,MATCH(O1590,'Hun Demand'!A:A,0)),"")</f>
        <v>0</v>
      </c>
      <c r="F1590" s="25">
        <f>IFERROR(INDEX('Hun Demand'!R:R,MATCH(O1590,'Hun Demand'!A:A,0)),"")</f>
        <v>122</v>
      </c>
      <c r="G1590" s="25">
        <f>IFERROR(INDEX('Aub Demand'!W:W,MATCH(O1590,'Aub Demand'!A:A,0)),"")</f>
        <v>580</v>
      </c>
      <c r="H1590" s="25">
        <f>IFERROR(INDEX('Aub Demand'!V:V,MATCH(O1590,'Aub Demand'!A:A,0)),"")</f>
        <v>69</v>
      </c>
      <c r="I1590" s="25">
        <f>IFERROR(INDEX('Aub Demand'!U:U,MATCH(O1590,'Aub Demand'!A:A,0)),"")</f>
        <v>271</v>
      </c>
      <c r="J1590" s="25">
        <f>IFERROR(INDEX('Aub Demand'!T:T,MATCH(O1590,'Aub Demand'!A:A,0)),"")</f>
        <v>100</v>
      </c>
      <c r="K1590" s="25">
        <f>IFERROR(INDEX('Aub Demand'!S:S,MATCH(O1590,'Aub Demand'!A:A,0)),"")</f>
        <v>92</v>
      </c>
      <c r="L1590" s="25">
        <f>IFERROR(INDEX('Aub Demand'!R:R,MATCH(O1590,'Aub Demand'!A:A,0)),"")</f>
        <v>0</v>
      </c>
      <c r="O1590" s="27" t="s">
        <v>1909</v>
      </c>
      <c r="P1590" s="27" t="str">
        <f>IFERROR(INDEX('Aub Demand'!B:B,MATCH($O1590,'Aub Demand'!$A:$A,0)),"")</f>
        <v>PEARWOOD</v>
      </c>
      <c r="Q1590" s="27" t="str">
        <f>IFERROR(INDEX('Aub Demand'!C:C,MATCH($O1590,'Aub Demand'!$A:$A,0)),"")</f>
        <v>TOPPA</v>
      </c>
      <c r="R1590" s="52">
        <f>IFERROR(IF(AR1591=AR1590,INDEX('Aub Demand'!K:K,MATCH($O1590,'Aub Demand'!$A:$A,0))-IF(AN1590="",0,AN1590)+AP1591,INDEX('Aub Demand'!K:K,MATCH($O1590,'Aub Demand'!$A:$A,0))-IF(AN1590="",0,AN1590)),"")</f>
        <v>2135</v>
      </c>
      <c r="S1590" s="53">
        <f t="shared" si="672"/>
        <v>59.4</v>
      </c>
      <c r="T1590" s="52" t="str">
        <f t="shared" si="673"/>
        <v/>
      </c>
      <c r="U1590" s="52">
        <f>IFERROR(IF(AR1591=AR1590,INDEX('Aub Demand'!Q:Q,MATCH($O1590,'Aub Demand'!$A:$A,0))-IF(AN1590="",0,AN1590)+AP1591,INDEX('Aub Demand'!Q:Q,MATCH($O1590,'Aub Demand'!$A:$A,0))-IF(AN1590="",0,AN1590)),"")</f>
        <v>2083</v>
      </c>
      <c r="V1590" s="53">
        <f t="shared" si="674"/>
        <v>58</v>
      </c>
      <c r="W1590" s="52" t="str">
        <f t="shared" si="675"/>
        <v/>
      </c>
      <c r="X1590" s="52">
        <f>IFERROR(IF(AND(AR1591=AR1590,AM1590&lt;&gt;""),INDEX('Aub Demand'!Q:Q,MATCH($O1590,'Aub Demand'!$A:$A,0))-IF(AN1590="",0,AN1590)+AP1591+AD1590+AL1590,IF(AR1591=AR1590,INDEX('Aub Demand'!Q:Q,MATCH($O1590,'Aub Demand'!$A:$A,0))-IF(AN1590="",0,AN1590)+AP1591+AD1590,IF(AM1590&lt;&gt;"",INDEX('Aub Demand'!Q:Q,MATCH($O1590,'Aub Demand'!$A:$A,0))-IF(AN1590="",0,AN1590)+AD1590+AL1590,INDEX('Aub Demand'!Q:Q,MATCH($O1590,'Aub Demand'!$A:$A,0))-IF(AN1590="",0,AN1590)+AD1590))),"")</f>
        <v>2083</v>
      </c>
      <c r="Y1590" s="53">
        <f t="shared" si="676"/>
        <v>58</v>
      </c>
      <c r="Z1590" s="52">
        <f>IF(L1590="","",INDEX('Aub Demand'!H:H,MATCH($O1590,'Aub Demand'!$A:$A,0)))</f>
        <v>154</v>
      </c>
      <c r="AA1590" s="52">
        <f t="shared" si="677"/>
        <v>185.5</v>
      </c>
      <c r="AB1590" s="52">
        <f>IFERROR(INDEX('Aub Demand'!L:L,MATCH($O1590,'Aub Demand'!$A:$A,0)),"")</f>
        <v>245</v>
      </c>
      <c r="AC1590" s="52">
        <f>IFERROR(IF(O1590="","",SUMIFS('CPL Mats'!F:F,'CPL Mats'!Q:Q,AR1590,'CPL Mats'!S:S,AS1590)),"")</f>
        <v>2300.91</v>
      </c>
      <c r="AF1590" s="25" t="str">
        <f>IF(SUMIFS('Supp Consol'!S:S,'Supp Consol'!Y:Y,"Releasable",'Supp Consol'!A:A,O1590)=0,"",SUMIFS('Supp Consol'!S:S,'Supp Consol'!Y:Y,"Releasable",'Supp Consol'!A:A,O1590))</f>
        <v/>
      </c>
      <c r="AG1590" s="25">
        <f>IFERROR(INDEX('Hun Demand'!Q:Q,MATCH(O1590,'Hun Demand'!A:A,0)),"")</f>
        <v>225</v>
      </c>
      <c r="AH1590" s="25">
        <f>IFERROR(INDEX('Hun Demand'!H:H,MATCH($O1590,'Hun Demand'!$A:$A,0)),"")</f>
        <v>0</v>
      </c>
      <c r="AI1590" s="25" t="str">
        <f>IF(SUMIFS('Supp Consol'!AA:AA,'Supp Consol'!Z:Z,"Expires this month",'Supp Consol'!A:A,O1590)=0,"",SUMIFS('Supp Consol'!AA:AA,'Supp Consol'!Z:Z,"Expires this month",'Supp Consol'!A:A,O1590))</f>
        <v/>
      </c>
      <c r="AJ1590" s="25" t="str">
        <f>IF(SUMIFS('Supp Consol'!AA:AA,'Supp Consol'!Z:Z,"Expired Previous Months",'Supp Consol'!A:A,O1590)=0,"",SUMIFS('Supp Consol'!AA:AA,'Supp Consol'!Z:Z,"Expired Previous Months",'Supp Consol'!A:A,O1590))</f>
        <v/>
      </c>
      <c r="AK1590" s="25" t="str">
        <f>IFERROR(INDEX('Hun Release Current'!B:B,MATCH(O1590,'Hun Release Current'!A:A,0)),"")</f>
        <v/>
      </c>
      <c r="AL1590" s="25" t="str">
        <f>IF(SUMIF('Prev Aub'!A:A,O1590,'Prev Aub'!B:B)=0,"",SUMIF('Prev Aub'!A:A,O1590,'Prev Aub'!B:B))</f>
        <v/>
      </c>
      <c r="AN1590" s="25" t="s">
        <v>3790</v>
      </c>
      <c r="AO1590" s="25" t="s">
        <v>3790</v>
      </c>
      <c r="AP1590" s="25">
        <f t="shared" si="678"/>
        <v>0</v>
      </c>
      <c r="AQ1590" s="151" t="str">
        <f>IF(SUMIFS('Supp Consol'!S:S,'Supp Consol'!A:A,O1590,'Supp Consol'!I:I,"PENDING")=0,"",SUMIFS('Supp Consol'!S:S,'Supp Consol'!A:A,O1590,'Supp Consol'!I:I,"PENDING"))</f>
        <v/>
      </c>
      <c r="AR1590" s="27" t="str">
        <f t="shared" si="679"/>
        <v>WX031</v>
      </c>
      <c r="AS1590" s="27" t="str">
        <f t="shared" si="680"/>
        <v>50</v>
      </c>
      <c r="AT1590" s="27" t="str">
        <f t="shared" si="681"/>
        <v/>
      </c>
      <c r="AU1590" s="27" t="str">
        <f t="shared" si="682"/>
        <v/>
      </c>
      <c r="AV1590" s="27" t="str">
        <f t="shared" si="683"/>
        <v/>
      </c>
      <c r="AW1590" s="27" t="str">
        <f t="shared" si="684"/>
        <v/>
      </c>
      <c r="AX1590" s="27" t="str">
        <f t="shared" si="685"/>
        <v/>
      </c>
      <c r="AY1590" s="27" t="str">
        <f t="shared" si="686"/>
        <v>WX031</v>
      </c>
      <c r="AZ1590" s="27" t="str">
        <f t="shared" si="687"/>
        <v/>
      </c>
      <c r="BA1590" s="27" t="str">
        <f t="shared" si="688"/>
        <v>Hun</v>
      </c>
      <c r="BB1590" s="27" t="str">
        <f t="shared" si="689"/>
        <v/>
      </c>
      <c r="BC1590" s="27" t="str">
        <f t="shared" si="690"/>
        <v/>
      </c>
      <c r="BD1590" s="27" t="str">
        <f t="shared" si="691"/>
        <v/>
      </c>
      <c r="BE1590" s="27" t="str">
        <f t="shared" si="692"/>
        <v/>
      </c>
      <c r="BF1590" s="27" t="str">
        <f t="shared" si="693"/>
        <v/>
      </c>
      <c r="BG1590" s="27" t="str">
        <f t="shared" si="694"/>
        <v/>
      </c>
      <c r="BH1590" s="27" t="str">
        <f t="shared" si="695"/>
        <v/>
      </c>
      <c r="BI1590" s="27" t="str">
        <f t="shared" si="696"/>
        <v/>
      </c>
      <c r="BJ1590" s="27" t="str">
        <f t="shared" si="697"/>
        <v>Supp or Hun</v>
      </c>
      <c r="BK1590" s="27" t="str">
        <f t="shared" si="698"/>
        <v/>
      </c>
      <c r="BL1590" s="27" t="str">
        <f t="shared" si="699"/>
        <v/>
      </c>
      <c r="BM1590" s="21" t="s">
        <v>5581</v>
      </c>
    </row>
    <row r="1591" spans="1:65" ht="15">
      <c r="A1591" s="25">
        <f>IFERROR(INDEX('Hun Demand'!W:W,MATCH(O1591,'Hun Demand'!A:A,0)),"")</f>
        <v>0</v>
      </c>
      <c r="B1591" s="25">
        <f>IFERROR(INDEX('Hun Demand'!V:V,MATCH(O1591,'Hun Demand'!A:A,0)),"")</f>
        <v>183</v>
      </c>
      <c r="C1591" s="25">
        <f>IFERROR(INDEX('Hun Demand'!U:U,MATCH(O1591,'Hun Demand'!A:A,0)),"")</f>
        <v>0</v>
      </c>
      <c r="D1591" s="25">
        <f>IFERROR(INDEX('Hun Demand'!T:T,MATCH(O1591,'Hun Demand'!A:A,0)),"")</f>
        <v>0</v>
      </c>
      <c r="E1591" s="25">
        <f>IFERROR(INDEX('Hun Demand'!S:S,MATCH(O1591,'Hun Demand'!A:A,0)),"")</f>
        <v>0</v>
      </c>
      <c r="F1591" s="25">
        <f>IFERROR(INDEX('Hun Demand'!R:R,MATCH(O1591,'Hun Demand'!A:A,0)),"")</f>
        <v>0</v>
      </c>
      <c r="G1591" s="25">
        <f>IFERROR(INDEX('Aub Demand'!W:W,MATCH(O1591,'Aub Demand'!A:A,0)),"")</f>
        <v>17</v>
      </c>
      <c r="H1591" s="25">
        <f>IFERROR(INDEX('Aub Demand'!V:V,MATCH(O1591,'Aub Demand'!A:A,0)),"")</f>
        <v>262</v>
      </c>
      <c r="I1591" s="25">
        <f>IFERROR(INDEX('Aub Demand'!U:U,MATCH(O1591,'Aub Demand'!A:A,0)),"")</f>
        <v>20</v>
      </c>
      <c r="J1591" s="25">
        <f>IFERROR(INDEX('Aub Demand'!T:T,MATCH(O1591,'Aub Demand'!A:A,0)),"")</f>
        <v>0</v>
      </c>
      <c r="K1591" s="25">
        <f>IFERROR(INDEX('Aub Demand'!S:S,MATCH(O1591,'Aub Demand'!A:A,0)),"")</f>
        <v>0</v>
      </c>
      <c r="L1591" s="25">
        <f>IFERROR(INDEX('Aub Demand'!R:R,MATCH(O1591,'Aub Demand'!A:A,0)),"")</f>
        <v>0</v>
      </c>
      <c r="O1591" s="27" t="s">
        <v>1912</v>
      </c>
      <c r="P1591" s="27" t="str">
        <f>IFERROR(INDEX('Aub Demand'!B:B,MATCH($O1591,'Aub Demand'!$A:$A,0)),"")</f>
        <v>PEARWOOD</v>
      </c>
      <c r="Q1591" s="27" t="str">
        <f>IFERROR(INDEX('Aub Demand'!C:C,MATCH($O1591,'Aub Demand'!$A:$A,0)),"")</f>
        <v>TOPPA</v>
      </c>
      <c r="R1591" s="52">
        <f>IFERROR(IF(AR1592=AR1591,INDEX('Aub Demand'!K:K,MATCH($O1591,'Aub Demand'!$A:$A,0))-IF(AN1591="",0,AN1591)+AP1592,INDEX('Aub Demand'!K:K,MATCH($O1591,'Aub Demand'!$A:$A,0))-IF(AN1591="",0,AN1591)),"")</f>
        <v>756</v>
      </c>
      <c r="S1591" s="53">
        <f t="shared" si="672"/>
        <v>462.9</v>
      </c>
      <c r="T1591" s="52" t="str">
        <f t="shared" si="673"/>
        <v/>
      </c>
      <c r="U1591" s="52">
        <f>IFERROR(IF(AR1592=AR1591,INDEX('Aub Demand'!Q:Q,MATCH($O1591,'Aub Demand'!$A:$A,0))-IF(AN1591="",0,AN1591)+AP1592,INDEX('Aub Demand'!Q:Q,MATCH($O1591,'Aub Demand'!$A:$A,0))-IF(AN1591="",0,AN1591)),"")</f>
        <v>756</v>
      </c>
      <c r="V1591" s="53">
        <f t="shared" si="674"/>
        <v>462.9</v>
      </c>
      <c r="W1591" s="52" t="str">
        <f t="shared" si="675"/>
        <v/>
      </c>
      <c r="X1591" s="52">
        <f>IFERROR(IF(AND(AR1592=AR1591,AM1591&lt;&gt;""),INDEX('Aub Demand'!Q:Q,MATCH($O1591,'Aub Demand'!$A:$A,0))-IF(AN1591="",0,AN1591)+AP1592+AD1591+AL1591,IF(AR1592=AR1591,INDEX('Aub Demand'!Q:Q,MATCH($O1591,'Aub Demand'!$A:$A,0))-IF(AN1591="",0,AN1591)+AP1592+AD1591,IF(AM1591&lt;&gt;"",INDEX('Aub Demand'!Q:Q,MATCH($O1591,'Aub Demand'!$A:$A,0))-IF(AN1591="",0,AN1591)+AD1591+AL1591,INDEX('Aub Demand'!Q:Q,MATCH($O1591,'Aub Demand'!$A:$A,0))-IF(AN1591="",0,AN1591)+AD1591))),"")</f>
        <v>756</v>
      </c>
      <c r="Y1591" s="53">
        <f t="shared" si="676"/>
        <v>462.9</v>
      </c>
      <c r="Z1591" s="52">
        <f>IF(L1591="","",INDEX('Aub Demand'!H:H,MATCH($O1591,'Aub Demand'!$A:$A,0)))</f>
        <v>7</v>
      </c>
      <c r="AA1591" s="52" t="str">
        <f t="shared" si="677"/>
        <v>-spike-</v>
      </c>
      <c r="AB1591" s="52">
        <f>IFERROR(INDEX('Aub Demand'!L:L,MATCH($O1591,'Aub Demand'!$A:$A,0)),"")</f>
        <v>7</v>
      </c>
      <c r="AC1591" s="52">
        <f>IFERROR(IF(O1591="","",SUMIFS('CPL Mats'!F:F,'CPL Mats'!Q:Q,AR1591,'CPL Mats'!S:S,AS1591)),"")</f>
        <v>0</v>
      </c>
      <c r="AF1591" s="25" t="str">
        <f>IF(SUMIFS('Supp Consol'!S:S,'Supp Consol'!Y:Y,"Releasable",'Supp Consol'!A:A,O1591)=0,"",SUMIFS('Supp Consol'!S:S,'Supp Consol'!Y:Y,"Releasable",'Supp Consol'!A:A,O1591))</f>
        <v/>
      </c>
      <c r="AG1591" s="25">
        <f>IFERROR(INDEX('Hun Demand'!Q:Q,MATCH(O1591,'Hun Demand'!A:A,0)),"")</f>
        <v>148</v>
      </c>
      <c r="AH1591" s="25">
        <f>IFERROR(INDEX('Hun Demand'!H:H,MATCH($O1591,'Hun Demand'!$A:$A,0)),"")</f>
        <v>0</v>
      </c>
      <c r="AI1591" s="25" t="str">
        <f>IF(SUMIFS('Supp Consol'!AA:AA,'Supp Consol'!Z:Z,"Expires this month",'Supp Consol'!A:A,O1591)=0,"",SUMIFS('Supp Consol'!AA:AA,'Supp Consol'!Z:Z,"Expires this month",'Supp Consol'!A:A,O1591))</f>
        <v/>
      </c>
      <c r="AJ1591" s="25" t="str">
        <f>IF(SUMIFS('Supp Consol'!AA:AA,'Supp Consol'!Z:Z,"Expired Previous Months",'Supp Consol'!A:A,O1591)=0,"",SUMIFS('Supp Consol'!AA:AA,'Supp Consol'!Z:Z,"Expired Previous Months",'Supp Consol'!A:A,O1591))</f>
        <v/>
      </c>
      <c r="AK1591" s="25" t="str">
        <f>IFERROR(INDEX('Hun Release Current'!B:B,MATCH(O1591,'Hun Release Current'!A:A,0)),"")</f>
        <v/>
      </c>
      <c r="AL1591" s="25" t="str">
        <f>IF(SUMIF('Prev Aub'!A:A,O1591,'Prev Aub'!B:B)=0,"",SUMIF('Prev Aub'!A:A,O1591,'Prev Aub'!B:B))</f>
        <v/>
      </c>
      <c r="AN1591" s="25" t="s">
        <v>3790</v>
      </c>
      <c r="AO1591" s="25" t="s">
        <v>3790</v>
      </c>
      <c r="AP1591" s="25">
        <f t="shared" si="678"/>
        <v>0</v>
      </c>
      <c r="AQ1591" s="151" t="str">
        <f>IF(SUMIFS('Supp Consol'!S:S,'Supp Consol'!A:A,O1591,'Supp Consol'!I:I,"PENDING")=0,"",SUMIFS('Supp Consol'!S:S,'Supp Consol'!A:A,O1591,'Supp Consol'!I:I,"PENDING"))</f>
        <v/>
      </c>
      <c r="AR1591" s="27" t="str">
        <f t="shared" si="679"/>
        <v>WX031</v>
      </c>
      <c r="AS1591" s="27" t="str">
        <f t="shared" si="680"/>
        <v>62</v>
      </c>
      <c r="AT1591" s="27" t="str">
        <f t="shared" si="681"/>
        <v/>
      </c>
      <c r="AU1591" s="27" t="str">
        <f t="shared" si="682"/>
        <v/>
      </c>
      <c r="AV1591" s="27" t="str">
        <f t="shared" si="683"/>
        <v/>
      </c>
      <c r="AW1591" s="27" t="str">
        <f t="shared" si="684"/>
        <v/>
      </c>
      <c r="AX1591" s="27" t="str">
        <f t="shared" si="685"/>
        <v/>
      </c>
      <c r="AY1591" s="27" t="str">
        <f t="shared" si="686"/>
        <v>WX031</v>
      </c>
      <c r="AZ1591" s="27" t="str">
        <f t="shared" si="687"/>
        <v/>
      </c>
      <c r="BA1591" s="27" t="str">
        <f t="shared" si="688"/>
        <v>Hun</v>
      </c>
      <c r="BB1591" s="27" t="str">
        <f t="shared" si="689"/>
        <v/>
      </c>
      <c r="BC1591" s="27" t="str">
        <f t="shared" si="690"/>
        <v/>
      </c>
      <c r="BD1591" s="27" t="str">
        <f t="shared" si="691"/>
        <v/>
      </c>
      <c r="BE1591" s="27" t="str">
        <f t="shared" si="692"/>
        <v/>
      </c>
      <c r="BF1591" s="27" t="str">
        <f t="shared" si="693"/>
        <v/>
      </c>
      <c r="BG1591" s="27" t="str">
        <f t="shared" si="694"/>
        <v/>
      </c>
      <c r="BH1591" s="27" t="str">
        <f t="shared" si="695"/>
        <v/>
      </c>
      <c r="BI1591" s="27" t="str">
        <f t="shared" si="696"/>
        <v/>
      </c>
      <c r="BJ1591" s="27" t="str">
        <f t="shared" si="697"/>
        <v>Supp or Hun</v>
      </c>
      <c r="BK1591" s="27" t="str">
        <f t="shared" si="698"/>
        <v/>
      </c>
      <c r="BL1591" s="27" t="str">
        <f t="shared" si="699"/>
        <v/>
      </c>
      <c r="BM1591" s="21" t="s">
        <v>5581</v>
      </c>
    </row>
    <row r="1592" spans="1:65" ht="15">
      <c r="A1592" s="25" t="str">
        <f>IFERROR(INDEX('Hun Demand'!W:W,MATCH(O1592,'Hun Demand'!A:A,0)),"")</f>
        <v/>
      </c>
      <c r="B1592" s="25" t="str">
        <f>IFERROR(INDEX('Hun Demand'!V:V,MATCH(O1592,'Hun Demand'!A:A,0)),"")</f>
        <v/>
      </c>
      <c r="C1592" s="25" t="str">
        <f>IFERROR(INDEX('Hun Demand'!U:U,MATCH(O1592,'Hun Demand'!A:A,0)),"")</f>
        <v/>
      </c>
      <c r="D1592" s="25" t="str">
        <f>IFERROR(INDEX('Hun Demand'!T:T,MATCH(O1592,'Hun Demand'!A:A,0)),"")</f>
        <v/>
      </c>
      <c r="E1592" s="25" t="str">
        <f>IFERROR(INDEX('Hun Demand'!S:S,MATCH(O1592,'Hun Demand'!A:A,0)),"")</f>
        <v/>
      </c>
      <c r="F1592" s="25" t="str">
        <f>IFERROR(INDEX('Hun Demand'!R:R,MATCH(O1592,'Hun Demand'!A:A,0)),"")</f>
        <v/>
      </c>
      <c r="G1592" s="25">
        <f>IFERROR(INDEX('Aub Demand'!W:W,MATCH(O1592,'Aub Demand'!A:A,0)),"")</f>
        <v>0</v>
      </c>
      <c r="H1592" s="25">
        <f>IFERROR(INDEX('Aub Demand'!V:V,MATCH(O1592,'Aub Demand'!A:A,0)),"")</f>
        <v>0</v>
      </c>
      <c r="I1592" s="25">
        <f>IFERROR(INDEX('Aub Demand'!U:U,MATCH(O1592,'Aub Demand'!A:A,0)),"")</f>
        <v>0</v>
      </c>
      <c r="J1592" s="25">
        <f>IFERROR(INDEX('Aub Demand'!T:T,MATCH(O1592,'Aub Demand'!A:A,0)),"")</f>
        <v>0</v>
      </c>
      <c r="K1592" s="25">
        <f>IFERROR(INDEX('Aub Demand'!S:S,MATCH(O1592,'Aub Demand'!A:A,0)),"")</f>
        <v>0</v>
      </c>
      <c r="L1592" s="25">
        <f>IFERROR(INDEX('Aub Demand'!R:R,MATCH(O1592,'Aub Demand'!A:A,0)),"")</f>
        <v>6</v>
      </c>
      <c r="O1592" s="27" t="s">
        <v>6182</v>
      </c>
      <c r="P1592" s="27" t="str">
        <f>IFERROR(INDEX('Aub Demand'!B:B,MATCH($O1592,'Aub Demand'!$A:$A,0)),"")</f>
        <v>ANIGRE</v>
      </c>
      <c r="Q1592" s="27" t="str">
        <f>IFERROR(INDEX('Aub Demand'!C:C,MATCH($O1592,'Aub Demand'!$A:$A,0)),"")</f>
        <v>TOPPA</v>
      </c>
      <c r="R1592" s="52">
        <f>IFERROR(IF(AR1593=AR1592,INDEX('Aub Demand'!K:K,MATCH($O1592,'Aub Demand'!$A:$A,0))-IF(AN1592="",0,AN1592)+AP1593,INDEX('Aub Demand'!K:K,MATCH($O1592,'Aub Demand'!$A:$A,0))-IF(AN1592="",0,AN1592)),"")</f>
        <v>0</v>
      </c>
      <c r="S1592" s="53" t="str">
        <f t="shared" si="672"/>
        <v>n/a</v>
      </c>
      <c r="T1592" s="52" t="str">
        <f t="shared" si="673"/>
        <v/>
      </c>
      <c r="U1592" s="52">
        <f>IFERROR(IF(AR1593=AR1592,INDEX('Aub Demand'!Q:Q,MATCH($O1592,'Aub Demand'!$A:$A,0))-IF(AN1592="",0,AN1592)+AP1593,INDEX('Aub Demand'!Q:Q,MATCH($O1592,'Aub Demand'!$A:$A,0))-IF(AN1592="",0,AN1592)),"")</f>
        <v>-39</v>
      </c>
      <c r="V1592" s="53" t="str">
        <f t="shared" si="674"/>
        <v>n/a</v>
      </c>
      <c r="W1592" s="52" t="str">
        <f t="shared" si="675"/>
        <v/>
      </c>
      <c r="X1592" s="52">
        <f>IFERROR(IF(AND(AR1593=AR1592,AM1592&lt;&gt;""),INDEX('Aub Demand'!Q:Q,MATCH($O1592,'Aub Demand'!$A:$A,0))-IF(AN1592="",0,AN1592)+AP1593+AD1592+AL1592,IF(AR1593=AR1592,INDEX('Aub Demand'!Q:Q,MATCH($O1592,'Aub Demand'!$A:$A,0))-IF(AN1592="",0,AN1592)+AP1593+AD1592,IF(AM1592&lt;&gt;"",INDEX('Aub Demand'!Q:Q,MATCH($O1592,'Aub Demand'!$A:$A,0))-IF(AN1592="",0,AN1592)+AD1592+AL1592,INDEX('Aub Demand'!Q:Q,MATCH($O1592,'Aub Demand'!$A:$A,0))-IF(AN1592="",0,AN1592)+AD1592))),"")</f>
        <v>-39</v>
      </c>
      <c r="Y1592" s="53" t="str">
        <f t="shared" si="676"/>
        <v>n/a</v>
      </c>
      <c r="Z1592" s="52">
        <f>IF(L1592="","",INDEX('Aub Demand'!H:H,MATCH($O1592,'Aub Demand'!$A:$A,0)))</f>
        <v>0</v>
      </c>
      <c r="AA1592" s="52" t="str">
        <f t="shared" si="677"/>
        <v>-spike-</v>
      </c>
      <c r="AB1592" s="52">
        <f>IFERROR(INDEX('Aub Demand'!L:L,MATCH($O1592,'Aub Demand'!$A:$A,0)),"")</f>
        <v>5</v>
      </c>
      <c r="AC1592" s="52">
        <f>IFERROR(IF(O1592="","",SUMIFS('CPL Mats'!F:F,'CPL Mats'!Q:Q,AR1592,'CPL Mats'!S:S,AS1592)),"")</f>
        <v>0</v>
      </c>
      <c r="AF1592" s="25" t="str">
        <f>IF(SUMIFS('Supp Consol'!S:S,'Supp Consol'!Y:Y,"Releasable",'Supp Consol'!A:A,O1592)=0,"",SUMIFS('Supp Consol'!S:S,'Supp Consol'!Y:Y,"Releasable",'Supp Consol'!A:A,O1592))</f>
        <v/>
      </c>
      <c r="AG1592" s="25" t="str">
        <f>IFERROR(INDEX('Hun Demand'!Q:Q,MATCH(O1592,'Hun Demand'!A:A,0)),"")</f>
        <v/>
      </c>
      <c r="AH1592" s="25" t="str">
        <f>IFERROR(INDEX('Hun Demand'!H:H,MATCH($O1592,'Hun Demand'!$A:$A,0)),"")</f>
        <v/>
      </c>
      <c r="AI1592" s="25" t="str">
        <f>IF(SUMIFS('Supp Consol'!AA:AA,'Supp Consol'!Z:Z,"Expires this month",'Supp Consol'!A:A,O1592)=0,"",SUMIFS('Supp Consol'!AA:AA,'Supp Consol'!Z:Z,"Expires this month",'Supp Consol'!A:A,O1592))</f>
        <v/>
      </c>
      <c r="AJ1592" s="25" t="str">
        <f>IF(SUMIFS('Supp Consol'!AA:AA,'Supp Consol'!Z:Z,"Expired Previous Months",'Supp Consol'!A:A,O1592)=0,"",SUMIFS('Supp Consol'!AA:AA,'Supp Consol'!Z:Z,"Expired Previous Months",'Supp Consol'!A:A,O1592))</f>
        <v/>
      </c>
      <c r="AK1592" s="25" t="str">
        <f>IFERROR(INDEX('Hun Release Current'!B:B,MATCH(O1592,'Hun Release Current'!A:A,0)),"")</f>
        <v/>
      </c>
      <c r="AL1592" s="25" t="str">
        <f>IF(SUMIF('Prev Aub'!A:A,O1592,'Prev Aub'!B:B)=0,"",SUMIF('Prev Aub'!A:A,O1592,'Prev Aub'!B:B))</f>
        <v/>
      </c>
      <c r="AN1592" s="25" t="s">
        <v>3790</v>
      </c>
      <c r="AO1592" s="25" t="s">
        <v>3790</v>
      </c>
      <c r="AP1592" s="25">
        <f t="shared" si="678"/>
        <v>0</v>
      </c>
      <c r="AQ1592" s="151" t="str">
        <f>IF(SUMIFS('Supp Consol'!S:S,'Supp Consol'!A:A,O1592,'Supp Consol'!I:I,"PENDING")=0,"",SUMIFS('Supp Consol'!S:S,'Supp Consol'!A:A,O1592,'Supp Consol'!I:I,"PENDING"))</f>
        <v/>
      </c>
      <c r="AR1592" s="27" t="str">
        <f t="shared" si="679"/>
        <v>WX041</v>
      </c>
      <c r="AS1592" s="27" t="str">
        <f t="shared" si="680"/>
        <v>37</v>
      </c>
      <c r="AT1592" s="27" t="str">
        <f t="shared" si="681"/>
        <v/>
      </c>
      <c r="AU1592" s="27" t="str">
        <f t="shared" si="682"/>
        <v/>
      </c>
      <c r="AV1592" s="27" t="str">
        <f t="shared" si="683"/>
        <v/>
      </c>
      <c r="AW1592" s="27" t="str">
        <f t="shared" si="684"/>
        <v/>
      </c>
      <c r="AX1592" s="27" t="str">
        <f t="shared" si="685"/>
        <v/>
      </c>
      <c r="AY1592" s="27" t="str">
        <f t="shared" si="686"/>
        <v/>
      </c>
      <c r="AZ1592" s="27" t="str">
        <f t="shared" si="687"/>
        <v/>
      </c>
      <c r="BA1592" s="27" t="str">
        <f t="shared" si="688"/>
        <v/>
      </c>
      <c r="BB1592" s="27" t="str">
        <f t="shared" si="689"/>
        <v/>
      </c>
      <c r="BC1592" s="27" t="str">
        <f t="shared" si="690"/>
        <v/>
      </c>
      <c r="BD1592" s="27" t="str">
        <f t="shared" si="691"/>
        <v/>
      </c>
      <c r="BE1592" s="27" t="str">
        <f t="shared" si="692"/>
        <v/>
      </c>
      <c r="BF1592" s="27" t="str">
        <f t="shared" si="693"/>
        <v/>
      </c>
      <c r="BG1592" s="27" t="str">
        <f t="shared" si="694"/>
        <v/>
      </c>
      <c r="BH1592" s="27" t="str">
        <f t="shared" si="695"/>
        <v/>
      </c>
      <c r="BI1592" s="27" t="str">
        <f t="shared" si="696"/>
        <v/>
      </c>
      <c r="BJ1592" s="27" t="str">
        <f t="shared" si="697"/>
        <v/>
      </c>
      <c r="BK1592" s="27" t="str">
        <f t="shared" si="698"/>
        <v/>
      </c>
      <c r="BL1592" s="27" t="str">
        <f t="shared" si="699"/>
        <v/>
      </c>
      <c r="BM1592" s="21" t="s">
        <v>3790</v>
      </c>
    </row>
    <row r="1593" spans="1:65" ht="15">
      <c r="A1593" s="25" t="str">
        <f>IFERROR(INDEX('Hun Demand'!W:W,MATCH(O1593,'Hun Demand'!A:A,0)),"")</f>
        <v/>
      </c>
      <c r="B1593" s="25" t="str">
        <f>IFERROR(INDEX('Hun Demand'!V:V,MATCH(O1593,'Hun Demand'!A:A,0)),"")</f>
        <v/>
      </c>
      <c r="C1593" s="25" t="str">
        <f>IFERROR(INDEX('Hun Demand'!U:U,MATCH(O1593,'Hun Demand'!A:A,0)),"")</f>
        <v/>
      </c>
      <c r="D1593" s="25" t="str">
        <f>IFERROR(INDEX('Hun Demand'!T:T,MATCH(O1593,'Hun Demand'!A:A,0)),"")</f>
        <v/>
      </c>
      <c r="E1593" s="25" t="str">
        <f>IFERROR(INDEX('Hun Demand'!S:S,MATCH(O1593,'Hun Demand'!A:A,0)),"")</f>
        <v/>
      </c>
      <c r="F1593" s="25" t="str">
        <f>IFERROR(INDEX('Hun Demand'!R:R,MATCH(O1593,'Hun Demand'!A:A,0)),"")</f>
        <v/>
      </c>
      <c r="G1593" s="25">
        <f>IFERROR(INDEX('Aub Demand'!W:W,MATCH(O1593,'Aub Demand'!A:A,0)),"")</f>
        <v>0</v>
      </c>
      <c r="H1593" s="25">
        <f>IFERROR(INDEX('Aub Demand'!V:V,MATCH(O1593,'Aub Demand'!A:A,0)),"")</f>
        <v>0</v>
      </c>
      <c r="I1593" s="25">
        <f>IFERROR(INDEX('Aub Demand'!U:U,MATCH(O1593,'Aub Demand'!A:A,0)),"")</f>
        <v>378</v>
      </c>
      <c r="J1593" s="25">
        <f>IFERROR(INDEX('Aub Demand'!T:T,MATCH(O1593,'Aub Demand'!A:A,0)),"")</f>
        <v>43</v>
      </c>
      <c r="K1593" s="25">
        <f>IFERROR(INDEX('Aub Demand'!S:S,MATCH(O1593,'Aub Demand'!A:A,0)),"")</f>
        <v>192</v>
      </c>
      <c r="L1593" s="25">
        <f>IFERROR(INDEX('Aub Demand'!R:R,MATCH(O1593,'Aub Demand'!A:A,0)),"")</f>
        <v>0</v>
      </c>
      <c r="O1593" s="27" t="s">
        <v>1913</v>
      </c>
      <c r="P1593" s="27" t="str">
        <f>IFERROR(INDEX('Aub Demand'!B:B,MATCH($O1593,'Aub Demand'!$A:$A,0)),"")</f>
        <v>ANIGRE</v>
      </c>
      <c r="Q1593" s="27" t="str">
        <f>IFERROR(INDEX('Aub Demand'!C:C,MATCH($O1593,'Aub Demand'!$A:$A,0)),"")</f>
        <v>TOPPA</v>
      </c>
      <c r="R1593" s="52">
        <f>IFERROR(IF(AR1594=AR1593,INDEX('Aub Demand'!K:K,MATCH($O1593,'Aub Demand'!$A:$A,0))-IF(AN1593="",0,AN1593)+AP1594,INDEX('Aub Demand'!K:K,MATCH($O1593,'Aub Demand'!$A:$A,0))-IF(AN1593="",0,AN1593)),"")</f>
        <v>679</v>
      </c>
      <c r="S1593" s="53">
        <f t="shared" si="672"/>
        <v>14.3</v>
      </c>
      <c r="T1593" s="52" t="str">
        <f t="shared" si="673"/>
        <v/>
      </c>
      <c r="U1593" s="52">
        <f>IFERROR(IF(AR1594=AR1593,INDEX('Aub Demand'!Q:Q,MATCH($O1593,'Aub Demand'!$A:$A,0))-IF(AN1593="",0,AN1593)+AP1594,INDEX('Aub Demand'!Q:Q,MATCH($O1593,'Aub Demand'!$A:$A,0))-IF(AN1593="",0,AN1593)),"")</f>
        <v>621</v>
      </c>
      <c r="V1593" s="53">
        <f t="shared" si="674"/>
        <v>13</v>
      </c>
      <c r="W1593" s="52" t="str">
        <f t="shared" si="675"/>
        <v/>
      </c>
      <c r="X1593" s="52">
        <f>IFERROR(IF(AND(AR1594=AR1593,AM1593&lt;&gt;""),INDEX('Aub Demand'!Q:Q,MATCH($O1593,'Aub Demand'!$A:$A,0))-IF(AN1593="",0,AN1593)+AP1594+AD1593+AL1593,IF(AR1594=AR1593,INDEX('Aub Demand'!Q:Q,MATCH($O1593,'Aub Demand'!$A:$A,0))-IF(AN1593="",0,AN1593)+AP1594+AD1593,IF(AM1593&lt;&gt;"",INDEX('Aub Demand'!Q:Q,MATCH($O1593,'Aub Demand'!$A:$A,0))-IF(AN1593="",0,AN1593)+AD1593+AL1593,INDEX('Aub Demand'!Q:Q,MATCH($O1593,'Aub Demand'!$A:$A,0))-IF(AN1593="",0,AN1593)+AD1593))),"")</f>
        <v>621</v>
      </c>
      <c r="Y1593" s="53">
        <f t="shared" si="676"/>
        <v>13</v>
      </c>
      <c r="Z1593" s="52">
        <f>IF(L1593="","",INDEX('Aub Demand'!H:H,MATCH($O1593,'Aub Demand'!$A:$A,0)))</f>
        <v>204</v>
      </c>
      <c r="AA1593" s="52">
        <f t="shared" si="677"/>
        <v>285</v>
      </c>
      <c r="AB1593" s="52">
        <f>IFERROR(INDEX('Aub Demand'!L:L,MATCH($O1593,'Aub Demand'!$A:$A,0)),"")</f>
        <v>133</v>
      </c>
      <c r="AC1593" s="52">
        <f>IFERROR(IF(O1593="","",SUMIFS('CPL Mats'!F:F,'CPL Mats'!Q:Q,AR1593,'CPL Mats'!S:S,AS1593)),"")</f>
        <v>1422.28</v>
      </c>
      <c r="AF1593" s="25" t="str">
        <f>IF(SUMIFS('Supp Consol'!S:S,'Supp Consol'!Y:Y,"Releasable",'Supp Consol'!A:A,O1593)=0,"",SUMIFS('Supp Consol'!S:S,'Supp Consol'!Y:Y,"Releasable",'Supp Consol'!A:A,O1593))</f>
        <v/>
      </c>
      <c r="AG1593" s="25" t="str">
        <f>IFERROR(INDEX('Hun Demand'!Q:Q,MATCH(O1593,'Hun Demand'!A:A,0)),"")</f>
        <v/>
      </c>
      <c r="AH1593" s="25" t="str">
        <f>IFERROR(INDEX('Hun Demand'!H:H,MATCH($O1593,'Hun Demand'!$A:$A,0)),"")</f>
        <v/>
      </c>
      <c r="AI1593" s="25" t="str">
        <f>IF(SUMIFS('Supp Consol'!AA:AA,'Supp Consol'!Z:Z,"Expires this month",'Supp Consol'!A:A,O1593)=0,"",SUMIFS('Supp Consol'!AA:AA,'Supp Consol'!Z:Z,"Expires this month",'Supp Consol'!A:A,O1593))</f>
        <v/>
      </c>
      <c r="AJ1593" s="25" t="str">
        <f>IF(SUMIFS('Supp Consol'!AA:AA,'Supp Consol'!Z:Z,"Expired Previous Months",'Supp Consol'!A:A,O1593)=0,"",SUMIFS('Supp Consol'!AA:AA,'Supp Consol'!Z:Z,"Expired Previous Months",'Supp Consol'!A:A,O1593))</f>
        <v/>
      </c>
      <c r="AK1593" s="25" t="str">
        <f>IFERROR(INDEX('Hun Release Current'!B:B,MATCH(O1593,'Hun Release Current'!A:A,0)),"")</f>
        <v/>
      </c>
      <c r="AL1593" s="25" t="str">
        <f>IF(SUMIF('Prev Aub'!A:A,O1593,'Prev Aub'!B:B)=0,"",SUMIF('Prev Aub'!A:A,O1593,'Prev Aub'!B:B))</f>
        <v/>
      </c>
      <c r="AN1593" s="25" t="s">
        <v>3790</v>
      </c>
      <c r="AO1593" s="25" t="s">
        <v>3790</v>
      </c>
      <c r="AP1593" s="25">
        <f t="shared" si="678"/>
        <v>0</v>
      </c>
      <c r="AQ1593" s="151" t="str">
        <f>IF(SUMIFS('Supp Consol'!S:S,'Supp Consol'!A:A,O1593,'Supp Consol'!I:I,"PENDING")=0,"",SUMIFS('Supp Consol'!S:S,'Supp Consol'!A:A,O1593,'Supp Consol'!I:I,"PENDING"))</f>
        <v/>
      </c>
      <c r="AR1593" s="27" t="str">
        <f t="shared" si="679"/>
        <v>WX041</v>
      </c>
      <c r="AS1593" s="27" t="str">
        <f t="shared" si="680"/>
        <v>50</v>
      </c>
      <c r="AT1593" s="27" t="str">
        <f t="shared" si="681"/>
        <v/>
      </c>
      <c r="AU1593" s="27" t="str">
        <f t="shared" si="682"/>
        <v/>
      </c>
      <c r="AV1593" s="27" t="str">
        <f t="shared" si="683"/>
        <v/>
      </c>
      <c r="AW1593" s="27" t="str">
        <f t="shared" si="684"/>
        <v/>
      </c>
      <c r="AX1593" s="27" t="str">
        <f t="shared" si="685"/>
        <v/>
      </c>
      <c r="AY1593" s="27" t="str">
        <f t="shared" si="686"/>
        <v/>
      </c>
      <c r="AZ1593" s="27" t="str">
        <f t="shared" si="687"/>
        <v/>
      </c>
      <c r="BA1593" s="27" t="str">
        <f t="shared" si="688"/>
        <v/>
      </c>
      <c r="BB1593" s="27" t="str">
        <f t="shared" si="689"/>
        <v/>
      </c>
      <c r="BC1593" s="27" t="str">
        <f t="shared" si="690"/>
        <v/>
      </c>
      <c r="BD1593" s="27" t="str">
        <f t="shared" si="691"/>
        <v/>
      </c>
      <c r="BE1593" s="27" t="str">
        <f t="shared" si="692"/>
        <v/>
      </c>
      <c r="BF1593" s="27" t="str">
        <f t="shared" si="693"/>
        <v/>
      </c>
      <c r="BG1593" s="27" t="str">
        <f t="shared" si="694"/>
        <v/>
      </c>
      <c r="BH1593" s="27" t="str">
        <f t="shared" si="695"/>
        <v/>
      </c>
      <c r="BI1593" s="27" t="str">
        <f t="shared" si="696"/>
        <v/>
      </c>
      <c r="BJ1593" s="27" t="str">
        <f t="shared" si="697"/>
        <v/>
      </c>
      <c r="BK1593" s="27" t="str">
        <f t="shared" si="698"/>
        <v/>
      </c>
      <c r="BL1593" s="27" t="str">
        <f t="shared" si="699"/>
        <v/>
      </c>
      <c r="BM1593" s="21" t="s">
        <v>5581</v>
      </c>
    </row>
    <row r="1594" spans="1:65" ht="15">
      <c r="A1594" s="25" t="str">
        <f>IFERROR(INDEX('Hun Demand'!W:W,MATCH(O1594,'Hun Demand'!A:A,0)),"")</f>
        <v/>
      </c>
      <c r="B1594" s="25" t="str">
        <f>IFERROR(INDEX('Hun Demand'!V:V,MATCH(O1594,'Hun Demand'!A:A,0)),"")</f>
        <v/>
      </c>
      <c r="C1594" s="25" t="str">
        <f>IFERROR(INDEX('Hun Demand'!U:U,MATCH(O1594,'Hun Demand'!A:A,0)),"")</f>
        <v/>
      </c>
      <c r="D1594" s="25" t="str">
        <f>IFERROR(INDEX('Hun Demand'!T:T,MATCH(O1594,'Hun Demand'!A:A,0)),"")</f>
        <v/>
      </c>
      <c r="E1594" s="25" t="str">
        <f>IFERROR(INDEX('Hun Demand'!S:S,MATCH(O1594,'Hun Demand'!A:A,0)),"")</f>
        <v/>
      </c>
      <c r="F1594" s="25" t="str">
        <f>IFERROR(INDEX('Hun Demand'!R:R,MATCH(O1594,'Hun Demand'!A:A,0)),"")</f>
        <v/>
      </c>
      <c r="G1594" s="25">
        <f>IFERROR(INDEX('Aub Demand'!W:W,MATCH(O1594,'Aub Demand'!A:A,0)),"")</f>
        <v>0</v>
      </c>
      <c r="H1594" s="25">
        <f>IFERROR(INDEX('Aub Demand'!V:V,MATCH(O1594,'Aub Demand'!A:A,0)),"")</f>
        <v>0</v>
      </c>
      <c r="I1594" s="25">
        <f>IFERROR(INDEX('Aub Demand'!U:U,MATCH(O1594,'Aub Demand'!A:A,0)),"")</f>
        <v>285</v>
      </c>
      <c r="J1594" s="25">
        <f>IFERROR(INDEX('Aub Demand'!T:T,MATCH(O1594,'Aub Demand'!A:A,0)),"")</f>
        <v>51</v>
      </c>
      <c r="K1594" s="25">
        <f>IFERROR(INDEX('Aub Demand'!S:S,MATCH(O1594,'Aub Demand'!A:A,0)),"")</f>
        <v>652</v>
      </c>
      <c r="L1594" s="25">
        <f>IFERROR(INDEX('Aub Demand'!R:R,MATCH(O1594,'Aub Demand'!A:A,0)),"")</f>
        <v>0</v>
      </c>
      <c r="O1594" s="27" t="s">
        <v>1915</v>
      </c>
      <c r="P1594" s="27" t="str">
        <f>IFERROR(INDEX('Aub Demand'!B:B,MATCH($O1594,'Aub Demand'!$A:$A,0)),"")</f>
        <v>ANIGRE</v>
      </c>
      <c r="Q1594" s="27" t="str">
        <f>IFERROR(INDEX('Aub Demand'!C:C,MATCH($O1594,'Aub Demand'!$A:$A,0)),"")</f>
        <v>TOPPA</v>
      </c>
      <c r="R1594" s="52">
        <f>IFERROR(IF(AR1595=AR1594,INDEX('Aub Demand'!K:K,MATCH($O1594,'Aub Demand'!$A:$A,0))-IF(AN1594="",0,AN1594)+AP1595,INDEX('Aub Demand'!K:K,MATCH($O1594,'Aub Demand'!$A:$A,0))-IF(AN1594="",0,AN1594)),"")</f>
        <v>890</v>
      </c>
      <c r="S1594" s="53">
        <f t="shared" si="672"/>
        <v>11.6</v>
      </c>
      <c r="T1594" s="52" t="str">
        <f t="shared" si="673"/>
        <v/>
      </c>
      <c r="U1594" s="52">
        <f>IFERROR(IF(AR1595=AR1594,INDEX('Aub Demand'!Q:Q,MATCH($O1594,'Aub Demand'!$A:$A,0))-IF(AN1594="",0,AN1594)+AP1595,INDEX('Aub Demand'!Q:Q,MATCH($O1594,'Aub Demand'!$A:$A,0))-IF(AN1594="",0,AN1594)),"")</f>
        <v>729</v>
      </c>
      <c r="V1594" s="53">
        <f t="shared" si="674"/>
        <v>9.5</v>
      </c>
      <c r="W1594" s="52" t="str">
        <f t="shared" si="675"/>
        <v/>
      </c>
      <c r="X1594" s="52">
        <f>IFERROR(IF(AND(AR1595=AR1594,AM1594&lt;&gt;""),INDEX('Aub Demand'!Q:Q,MATCH($O1594,'Aub Demand'!$A:$A,0))-IF(AN1594="",0,AN1594)+AP1595+AD1594+AL1594,IF(AR1595=AR1594,INDEX('Aub Demand'!Q:Q,MATCH($O1594,'Aub Demand'!$A:$A,0))-IF(AN1594="",0,AN1594)+AP1595+AD1594,IF(AM1594&lt;&gt;"",INDEX('Aub Demand'!Q:Q,MATCH($O1594,'Aub Demand'!$A:$A,0))-IF(AN1594="",0,AN1594)+AD1594+AL1594,INDEX('Aub Demand'!Q:Q,MATCH($O1594,'Aub Demand'!$A:$A,0))-IF(AN1594="",0,AN1594)+AD1594))),"")</f>
        <v>729</v>
      </c>
      <c r="Y1594" s="53">
        <f t="shared" si="676"/>
        <v>9.5</v>
      </c>
      <c r="Z1594" s="52">
        <f>IF(L1594="","",INDEX('Aub Demand'!H:H,MATCH($O1594,'Aub Demand'!$A:$A,0)))</f>
        <v>329</v>
      </c>
      <c r="AA1594" s="52">
        <f t="shared" si="677"/>
        <v>468.5</v>
      </c>
      <c r="AB1594" s="52">
        <f>IFERROR(INDEX('Aub Demand'!L:L,MATCH($O1594,'Aub Demand'!$A:$A,0)),"")</f>
        <v>462</v>
      </c>
      <c r="AC1594" s="52">
        <f>IFERROR(IF(O1594="","",SUMIFS('CPL Mats'!F:F,'CPL Mats'!Q:Q,AR1594,'CPL Mats'!S:S,AS1594)),"")</f>
        <v>2300</v>
      </c>
      <c r="AF1594" s="25" t="str">
        <f>IF(SUMIFS('Supp Consol'!S:S,'Supp Consol'!Y:Y,"Releasable",'Supp Consol'!A:A,O1594)=0,"",SUMIFS('Supp Consol'!S:S,'Supp Consol'!Y:Y,"Releasable",'Supp Consol'!A:A,O1594))</f>
        <v/>
      </c>
      <c r="AG1594" s="25" t="str">
        <f>IFERROR(INDEX('Hun Demand'!Q:Q,MATCH(O1594,'Hun Demand'!A:A,0)),"")</f>
        <v/>
      </c>
      <c r="AH1594" s="25" t="str">
        <f>IFERROR(INDEX('Hun Demand'!H:H,MATCH($O1594,'Hun Demand'!$A:$A,0)),"")</f>
        <v/>
      </c>
      <c r="AI1594" s="25" t="str">
        <f>IF(SUMIFS('Supp Consol'!AA:AA,'Supp Consol'!Z:Z,"Expires this month",'Supp Consol'!A:A,O1594)=0,"",SUMIFS('Supp Consol'!AA:AA,'Supp Consol'!Z:Z,"Expires this month",'Supp Consol'!A:A,O1594))</f>
        <v/>
      </c>
      <c r="AJ1594" s="25" t="str">
        <f>IF(SUMIFS('Supp Consol'!AA:AA,'Supp Consol'!Z:Z,"Expired Previous Months",'Supp Consol'!A:A,O1594)=0,"",SUMIFS('Supp Consol'!AA:AA,'Supp Consol'!Z:Z,"Expired Previous Months",'Supp Consol'!A:A,O1594))</f>
        <v/>
      </c>
      <c r="AK1594" s="25" t="str">
        <f>IFERROR(INDEX('Hun Release Current'!B:B,MATCH(O1594,'Hun Release Current'!A:A,0)),"")</f>
        <v/>
      </c>
      <c r="AL1594" s="25" t="str">
        <f>IF(SUMIF('Prev Aub'!A:A,O1594,'Prev Aub'!B:B)=0,"",SUMIF('Prev Aub'!A:A,O1594,'Prev Aub'!B:B))</f>
        <v/>
      </c>
      <c r="AN1594" s="25" t="s">
        <v>3790</v>
      </c>
      <c r="AO1594" s="25" t="s">
        <v>3790</v>
      </c>
      <c r="AP1594" s="25">
        <f t="shared" si="678"/>
        <v>0</v>
      </c>
      <c r="AQ1594" s="151" t="str">
        <f>IF(SUMIFS('Supp Consol'!S:S,'Supp Consol'!A:A,O1594,'Supp Consol'!I:I,"PENDING")=0,"",SUMIFS('Supp Consol'!S:S,'Supp Consol'!A:A,O1594,'Supp Consol'!I:I,"PENDING"))</f>
        <v/>
      </c>
      <c r="AR1594" s="27" t="str">
        <f t="shared" si="679"/>
        <v>WX041</v>
      </c>
      <c r="AS1594" s="27" t="str">
        <f t="shared" si="680"/>
        <v>62</v>
      </c>
      <c r="AT1594" s="27" t="str">
        <f t="shared" si="681"/>
        <v/>
      </c>
      <c r="AU1594" s="27" t="str">
        <f t="shared" si="682"/>
        <v/>
      </c>
      <c r="AV1594" s="27" t="str">
        <f t="shared" si="683"/>
        <v/>
      </c>
      <c r="AW1594" s="27" t="str">
        <f t="shared" si="684"/>
        <v/>
      </c>
      <c r="AX1594" s="27" t="str">
        <f t="shared" si="685"/>
        <v/>
      </c>
      <c r="AY1594" s="27" t="str">
        <f t="shared" si="686"/>
        <v/>
      </c>
      <c r="AZ1594" s="27" t="str">
        <f t="shared" si="687"/>
        <v/>
      </c>
      <c r="BA1594" s="27" t="str">
        <f t="shared" si="688"/>
        <v/>
      </c>
      <c r="BB1594" s="27" t="str">
        <f t="shared" si="689"/>
        <v/>
      </c>
      <c r="BC1594" s="27" t="str">
        <f t="shared" si="690"/>
        <v/>
      </c>
      <c r="BD1594" s="27" t="str">
        <f t="shared" si="691"/>
        <v/>
      </c>
      <c r="BE1594" s="27" t="str">
        <f t="shared" si="692"/>
        <v/>
      </c>
      <c r="BF1594" s="27" t="str">
        <f t="shared" si="693"/>
        <v/>
      </c>
      <c r="BG1594" s="27" t="str">
        <f t="shared" si="694"/>
        <v/>
      </c>
      <c r="BH1594" s="27" t="str">
        <f t="shared" si="695"/>
        <v/>
      </c>
      <c r="BI1594" s="27" t="str">
        <f t="shared" si="696"/>
        <v/>
      </c>
      <c r="BJ1594" s="27" t="str">
        <f t="shared" si="697"/>
        <v/>
      </c>
      <c r="BK1594" s="27" t="str">
        <f t="shared" si="698"/>
        <v/>
      </c>
      <c r="BL1594" s="27" t="str">
        <f t="shared" si="699"/>
        <v/>
      </c>
      <c r="BM1594" s="21" t="s">
        <v>5581</v>
      </c>
    </row>
    <row r="1595" spans="1:65" ht="15">
      <c r="A1595" s="25" t="str">
        <f>IFERROR(INDEX('Hun Demand'!W:W,MATCH(O1595,'Hun Demand'!A:A,0)),"")</f>
        <v/>
      </c>
      <c r="B1595" s="25" t="str">
        <f>IFERROR(INDEX('Hun Demand'!V:V,MATCH(O1595,'Hun Demand'!A:A,0)),"")</f>
        <v/>
      </c>
      <c r="C1595" s="25" t="str">
        <f>IFERROR(INDEX('Hun Demand'!U:U,MATCH(O1595,'Hun Demand'!A:A,0)),"")</f>
        <v/>
      </c>
      <c r="D1595" s="25" t="str">
        <f>IFERROR(INDEX('Hun Demand'!T:T,MATCH(O1595,'Hun Demand'!A:A,0)),"")</f>
        <v/>
      </c>
      <c r="E1595" s="25" t="str">
        <f>IFERROR(INDEX('Hun Demand'!S:S,MATCH(O1595,'Hun Demand'!A:A,0)),"")</f>
        <v/>
      </c>
      <c r="F1595" s="25" t="str">
        <f>IFERROR(INDEX('Hun Demand'!R:R,MATCH(O1595,'Hun Demand'!A:A,0)),"")</f>
        <v/>
      </c>
      <c r="G1595" s="25">
        <f>IFERROR(INDEX('Aub Demand'!W:W,MATCH(O1595,'Aub Demand'!A:A,0)),"")</f>
        <v>0</v>
      </c>
      <c r="H1595" s="25">
        <f>IFERROR(INDEX('Aub Demand'!V:V,MATCH(O1595,'Aub Demand'!A:A,0)),"")</f>
        <v>0</v>
      </c>
      <c r="I1595" s="25">
        <f>IFERROR(INDEX('Aub Demand'!U:U,MATCH(O1595,'Aub Demand'!A:A,0)),"")</f>
        <v>0</v>
      </c>
      <c r="J1595" s="25">
        <f>IFERROR(INDEX('Aub Demand'!T:T,MATCH(O1595,'Aub Demand'!A:A,0)),"")</f>
        <v>0</v>
      </c>
      <c r="K1595" s="25">
        <f>IFERROR(INDEX('Aub Demand'!S:S,MATCH(O1595,'Aub Demand'!A:A,0)),"")</f>
        <v>0</v>
      </c>
      <c r="L1595" s="25">
        <f>IFERROR(INDEX('Aub Demand'!R:R,MATCH(O1595,'Aub Demand'!A:A,0)),"")</f>
        <v>0</v>
      </c>
      <c r="O1595" s="27" t="s">
        <v>7768</v>
      </c>
      <c r="P1595" s="27" t="str">
        <f>IFERROR(INDEX('Aub Demand'!B:B,MATCH($O1595,'Aub Demand'!$A:$A,0)),"")</f>
        <v>GALAO (LEFT C/D)</v>
      </c>
      <c r="Q1595" s="27">
        <f>IFERROR(INDEX('Aub Demand'!C:C,MATCH($O1595,'Aub Demand'!$A:$A,0)),"")</f>
        <v>0</v>
      </c>
      <c r="R1595" s="52">
        <f>IFERROR(IF(AR1596=AR1595,INDEX('Aub Demand'!K:K,MATCH($O1595,'Aub Demand'!$A:$A,0))-IF(AN1595="",0,AN1595)+AP1596,INDEX('Aub Demand'!K:K,MATCH($O1595,'Aub Demand'!$A:$A,0))-IF(AN1595="",0,AN1595)),"")</f>
        <v>0</v>
      </c>
      <c r="S1595" s="53" t="str">
        <f t="shared" si="672"/>
        <v>n/a</v>
      </c>
      <c r="T1595" s="52" t="str">
        <f t="shared" si="673"/>
        <v/>
      </c>
      <c r="U1595" s="52">
        <f>IFERROR(IF(AR1596=AR1595,INDEX('Aub Demand'!Q:Q,MATCH($O1595,'Aub Demand'!$A:$A,0))-IF(AN1595="",0,AN1595)+AP1596,INDEX('Aub Demand'!Q:Q,MATCH($O1595,'Aub Demand'!$A:$A,0))-IF(AN1595="",0,AN1595)),"")</f>
        <v>-6</v>
      </c>
      <c r="V1595" s="53" t="str">
        <f t="shared" si="674"/>
        <v>n/a</v>
      </c>
      <c r="W1595" s="52" t="str">
        <f t="shared" si="675"/>
        <v/>
      </c>
      <c r="X1595" s="52">
        <f>IFERROR(IF(AND(AR1596=AR1595,AM1595&lt;&gt;""),INDEX('Aub Demand'!Q:Q,MATCH($O1595,'Aub Demand'!$A:$A,0))-IF(AN1595="",0,AN1595)+AP1596+AD1595+AL1595,IF(AR1596=AR1595,INDEX('Aub Demand'!Q:Q,MATCH($O1595,'Aub Demand'!$A:$A,0))-IF(AN1595="",0,AN1595)+AP1596+AD1595,IF(AM1595&lt;&gt;"",INDEX('Aub Demand'!Q:Q,MATCH($O1595,'Aub Demand'!$A:$A,0))-IF(AN1595="",0,AN1595)+AD1595+AL1595,INDEX('Aub Demand'!Q:Q,MATCH($O1595,'Aub Demand'!$A:$A,0))-IF(AN1595="",0,AN1595)+AD1595))),"")</f>
        <v>-6</v>
      </c>
      <c r="Y1595" s="53" t="str">
        <f t="shared" si="676"/>
        <v>n/a</v>
      </c>
      <c r="Z1595" s="52">
        <f>IF(L1595="","",INDEX('Aub Demand'!H:H,MATCH($O1595,'Aub Demand'!$A:$A,0)))</f>
        <v>0</v>
      </c>
      <c r="AA1595" s="52" t="str">
        <f t="shared" si="677"/>
        <v>-spike-</v>
      </c>
      <c r="AB1595" s="52">
        <f>IFERROR(INDEX('Aub Demand'!L:L,MATCH($O1595,'Aub Demand'!$A:$A,0)),"")</f>
        <v>0</v>
      </c>
      <c r="AC1595" s="52">
        <f>IFERROR(IF(O1595="","",SUMIFS('CPL Mats'!F:F,'CPL Mats'!Q:Q,AR1595,'CPL Mats'!S:S,AS1595)),"")</f>
        <v>0</v>
      </c>
      <c r="AF1595" s="25" t="str">
        <f>IF(SUMIFS('Supp Consol'!S:S,'Supp Consol'!Y:Y,"Releasable",'Supp Consol'!A:A,O1595)=0,"",SUMIFS('Supp Consol'!S:S,'Supp Consol'!Y:Y,"Releasable",'Supp Consol'!A:A,O1595))</f>
        <v/>
      </c>
      <c r="AG1595" s="25" t="str">
        <f>IFERROR(INDEX('Hun Demand'!Q:Q,MATCH(O1595,'Hun Demand'!A:A,0)),"")</f>
        <v/>
      </c>
      <c r="AH1595" s="25" t="str">
        <f>IFERROR(INDEX('Hun Demand'!H:H,MATCH($O1595,'Hun Demand'!$A:$A,0)),"")</f>
        <v/>
      </c>
      <c r="AI1595" s="25" t="str">
        <f>IF(SUMIFS('Supp Consol'!AA:AA,'Supp Consol'!Z:Z,"Expires this month",'Supp Consol'!A:A,O1595)=0,"",SUMIFS('Supp Consol'!AA:AA,'Supp Consol'!Z:Z,"Expires this month",'Supp Consol'!A:A,O1595))</f>
        <v/>
      </c>
      <c r="AJ1595" s="25" t="str">
        <f>IF(SUMIFS('Supp Consol'!AA:AA,'Supp Consol'!Z:Z,"Expired Previous Months",'Supp Consol'!A:A,O1595)=0,"",SUMIFS('Supp Consol'!AA:AA,'Supp Consol'!Z:Z,"Expired Previous Months",'Supp Consol'!A:A,O1595))</f>
        <v/>
      </c>
      <c r="AK1595" s="25" t="str">
        <f>IFERROR(INDEX('Hun Release Current'!B:B,MATCH(O1595,'Hun Release Current'!A:A,0)),"")</f>
        <v/>
      </c>
      <c r="AL1595" s="25" t="str">
        <f>IF(SUMIF('Prev Aub'!A:A,O1595,'Prev Aub'!B:B)=0,"",SUMIF('Prev Aub'!A:A,O1595,'Prev Aub'!B:B))</f>
        <v/>
      </c>
      <c r="AN1595" s="25" t="s">
        <v>3790</v>
      </c>
      <c r="AO1595" s="25" t="s">
        <v>3790</v>
      </c>
      <c r="AP1595" s="25">
        <f t="shared" si="678"/>
        <v>0</v>
      </c>
      <c r="AQ1595" s="151" t="str">
        <f>IF(SUMIFS('Supp Consol'!S:S,'Supp Consol'!A:A,O1595,'Supp Consol'!I:I,"PENDING")=0,"",SUMIFS('Supp Consol'!S:S,'Supp Consol'!A:A,O1595,'Supp Consol'!I:I,"PENDING"))</f>
        <v/>
      </c>
      <c r="AR1595" s="27" t="str">
        <f t="shared" si="679"/>
        <v>WX075</v>
      </c>
      <c r="AS1595" s="27" t="str">
        <f t="shared" si="680"/>
        <v>45</v>
      </c>
      <c r="AT1595" s="27" t="str">
        <f t="shared" si="681"/>
        <v/>
      </c>
      <c r="AU1595" s="27" t="str">
        <f t="shared" si="682"/>
        <v/>
      </c>
      <c r="AV1595" s="27" t="str">
        <f t="shared" si="683"/>
        <v/>
      </c>
      <c r="AW1595" s="27" t="str">
        <f t="shared" si="684"/>
        <v/>
      </c>
      <c r="AX1595" s="27" t="str">
        <f t="shared" si="685"/>
        <v/>
      </c>
      <c r="AY1595" s="27" t="str">
        <f t="shared" si="686"/>
        <v/>
      </c>
      <c r="AZ1595" s="27" t="str">
        <f t="shared" si="687"/>
        <v/>
      </c>
      <c r="BA1595" s="27" t="str">
        <f t="shared" si="688"/>
        <v/>
      </c>
      <c r="BB1595" s="27" t="str">
        <f t="shared" si="689"/>
        <v/>
      </c>
      <c r="BC1595" s="27" t="str">
        <f t="shared" si="690"/>
        <v/>
      </c>
      <c r="BD1595" s="27" t="str">
        <f t="shared" si="691"/>
        <v/>
      </c>
      <c r="BE1595" s="27" t="str">
        <f t="shared" si="692"/>
        <v/>
      </c>
      <c r="BF1595" s="27" t="str">
        <f t="shared" si="693"/>
        <v/>
      </c>
      <c r="BG1595" s="27" t="str">
        <f t="shared" si="694"/>
        <v/>
      </c>
      <c r="BH1595" s="27" t="str">
        <f t="shared" si="695"/>
        <v/>
      </c>
      <c r="BI1595" s="27" t="str">
        <f t="shared" si="696"/>
        <v/>
      </c>
      <c r="BJ1595" s="27" t="str">
        <f t="shared" si="697"/>
        <v/>
      </c>
      <c r="BK1595" s="27" t="str">
        <f t="shared" si="698"/>
        <v/>
      </c>
      <c r="BL1595" s="27" t="str">
        <f t="shared" si="699"/>
        <v/>
      </c>
      <c r="BM1595" s="21" t="s">
        <v>3790</v>
      </c>
    </row>
    <row r="1596" spans="1:65" ht="15">
      <c r="A1596" s="25" t="str">
        <f>IFERROR(INDEX('Hun Demand'!W:W,MATCH(O1596,'Hun Demand'!A:A,0)),"")</f>
        <v/>
      </c>
      <c r="B1596" s="25" t="str">
        <f>IFERROR(INDEX('Hun Demand'!V:V,MATCH(O1596,'Hun Demand'!A:A,0)),"")</f>
        <v/>
      </c>
      <c r="C1596" s="25" t="str">
        <f>IFERROR(INDEX('Hun Demand'!U:U,MATCH(O1596,'Hun Demand'!A:A,0)),"")</f>
        <v/>
      </c>
      <c r="D1596" s="25" t="str">
        <f>IFERROR(INDEX('Hun Demand'!T:T,MATCH(O1596,'Hun Demand'!A:A,0)),"")</f>
        <v/>
      </c>
      <c r="E1596" s="25" t="str">
        <f>IFERROR(INDEX('Hun Demand'!S:S,MATCH(O1596,'Hun Demand'!A:A,0)),"")</f>
        <v/>
      </c>
      <c r="F1596" s="25" t="str">
        <f>IFERROR(INDEX('Hun Demand'!R:R,MATCH(O1596,'Hun Demand'!A:A,0)),"")</f>
        <v/>
      </c>
      <c r="G1596" s="25">
        <f>IFERROR(INDEX('Aub Demand'!W:W,MATCH(O1596,'Aub Demand'!A:A,0)),"")</f>
        <v>0</v>
      </c>
      <c r="H1596" s="25">
        <f>IFERROR(INDEX('Aub Demand'!V:V,MATCH(O1596,'Aub Demand'!A:A,0)),"")</f>
        <v>0</v>
      </c>
      <c r="I1596" s="25">
        <f>IFERROR(INDEX('Aub Demand'!U:U,MATCH(O1596,'Aub Demand'!A:A,0)),"")</f>
        <v>0</v>
      </c>
      <c r="J1596" s="25">
        <f>IFERROR(INDEX('Aub Demand'!T:T,MATCH(O1596,'Aub Demand'!A:A,0)),"")</f>
        <v>0</v>
      </c>
      <c r="K1596" s="25">
        <f>IFERROR(INDEX('Aub Demand'!S:S,MATCH(O1596,'Aub Demand'!A:A,0)),"")</f>
        <v>0</v>
      </c>
      <c r="L1596" s="25">
        <f>IFERROR(INDEX('Aub Demand'!R:R,MATCH(O1596,'Aub Demand'!A:A,0)),"")</f>
        <v>0</v>
      </c>
      <c r="O1596" s="27" t="s">
        <v>7770</v>
      </c>
      <c r="P1596" s="27" t="str">
        <f>IFERROR(INDEX('Aub Demand'!B:B,MATCH($O1596,'Aub Demand'!$A:$A,0)),"")</f>
        <v>GALAO (RIGHT C/D)</v>
      </c>
      <c r="Q1596" s="27">
        <f>IFERROR(INDEX('Aub Demand'!C:C,MATCH($O1596,'Aub Demand'!$A:$A,0)),"")</f>
        <v>0</v>
      </c>
      <c r="R1596" s="52">
        <f>IFERROR(IF(AR1597=AR1596,INDEX('Aub Demand'!K:K,MATCH($O1596,'Aub Demand'!$A:$A,0))-IF(AN1596="",0,AN1596)+AP1597,INDEX('Aub Demand'!K:K,MATCH($O1596,'Aub Demand'!$A:$A,0))-IF(AN1596="",0,AN1596)),"")</f>
        <v>0</v>
      </c>
      <c r="S1596" s="53" t="str">
        <f t="shared" si="672"/>
        <v>n/a</v>
      </c>
      <c r="T1596" s="52" t="str">
        <f t="shared" si="673"/>
        <v/>
      </c>
      <c r="U1596" s="52">
        <f>IFERROR(IF(AR1597=AR1596,INDEX('Aub Demand'!Q:Q,MATCH($O1596,'Aub Demand'!$A:$A,0))-IF(AN1596="",0,AN1596)+AP1597,INDEX('Aub Demand'!Q:Q,MATCH($O1596,'Aub Demand'!$A:$A,0))-IF(AN1596="",0,AN1596)),"")</f>
        <v>-5</v>
      </c>
      <c r="V1596" s="53" t="str">
        <f t="shared" si="674"/>
        <v>n/a</v>
      </c>
      <c r="W1596" s="52" t="str">
        <f t="shared" si="675"/>
        <v/>
      </c>
      <c r="X1596" s="52">
        <f>IFERROR(IF(AND(AR1597=AR1596,AM1596&lt;&gt;""),INDEX('Aub Demand'!Q:Q,MATCH($O1596,'Aub Demand'!$A:$A,0))-IF(AN1596="",0,AN1596)+AP1597+AD1596+AL1596,IF(AR1597=AR1596,INDEX('Aub Demand'!Q:Q,MATCH($O1596,'Aub Demand'!$A:$A,0))-IF(AN1596="",0,AN1596)+AP1597+AD1596,IF(AM1596&lt;&gt;"",INDEX('Aub Demand'!Q:Q,MATCH($O1596,'Aub Demand'!$A:$A,0))-IF(AN1596="",0,AN1596)+AD1596+AL1596,INDEX('Aub Demand'!Q:Q,MATCH($O1596,'Aub Demand'!$A:$A,0))-IF(AN1596="",0,AN1596)+AD1596))),"")</f>
        <v>-5</v>
      </c>
      <c r="Y1596" s="53" t="str">
        <f t="shared" si="676"/>
        <v>n/a</v>
      </c>
      <c r="Z1596" s="52">
        <f>IF(L1596="","",INDEX('Aub Demand'!H:H,MATCH($O1596,'Aub Demand'!$A:$A,0)))</f>
        <v>0</v>
      </c>
      <c r="AA1596" s="52" t="str">
        <f t="shared" si="677"/>
        <v>-spike-</v>
      </c>
      <c r="AB1596" s="52">
        <f>IFERROR(INDEX('Aub Demand'!L:L,MATCH($O1596,'Aub Demand'!$A:$A,0)),"")</f>
        <v>0</v>
      </c>
      <c r="AC1596" s="52">
        <f>IFERROR(IF(O1596="","",SUMIFS('CPL Mats'!F:F,'CPL Mats'!Q:Q,AR1596,'CPL Mats'!S:S,AS1596)),"")</f>
        <v>0</v>
      </c>
      <c r="AF1596" s="25" t="str">
        <f>IF(SUMIFS('Supp Consol'!S:S,'Supp Consol'!Y:Y,"Releasable",'Supp Consol'!A:A,O1596)=0,"",SUMIFS('Supp Consol'!S:S,'Supp Consol'!Y:Y,"Releasable",'Supp Consol'!A:A,O1596))</f>
        <v/>
      </c>
      <c r="AG1596" s="25" t="str">
        <f>IFERROR(INDEX('Hun Demand'!Q:Q,MATCH(O1596,'Hun Demand'!A:A,0)),"")</f>
        <v/>
      </c>
      <c r="AH1596" s="25" t="str">
        <f>IFERROR(INDEX('Hun Demand'!H:H,MATCH($O1596,'Hun Demand'!$A:$A,0)),"")</f>
        <v/>
      </c>
      <c r="AI1596" s="25" t="str">
        <f>IF(SUMIFS('Supp Consol'!AA:AA,'Supp Consol'!Z:Z,"Expires this month",'Supp Consol'!A:A,O1596)=0,"",SUMIFS('Supp Consol'!AA:AA,'Supp Consol'!Z:Z,"Expires this month",'Supp Consol'!A:A,O1596))</f>
        <v/>
      </c>
      <c r="AJ1596" s="25" t="str">
        <f>IF(SUMIFS('Supp Consol'!AA:AA,'Supp Consol'!Z:Z,"Expired Previous Months",'Supp Consol'!A:A,O1596)=0,"",SUMIFS('Supp Consol'!AA:AA,'Supp Consol'!Z:Z,"Expired Previous Months",'Supp Consol'!A:A,O1596))</f>
        <v/>
      </c>
      <c r="AK1596" s="25" t="str">
        <f>IFERROR(INDEX('Hun Release Current'!B:B,MATCH(O1596,'Hun Release Current'!A:A,0)),"")</f>
        <v/>
      </c>
      <c r="AL1596" s="25" t="str">
        <f>IF(SUMIF('Prev Aub'!A:A,O1596,'Prev Aub'!B:B)=0,"",SUMIF('Prev Aub'!A:A,O1596,'Prev Aub'!B:B))</f>
        <v/>
      </c>
      <c r="AN1596" s="25" t="s">
        <v>3790</v>
      </c>
      <c r="AO1596" s="25" t="s">
        <v>3790</v>
      </c>
      <c r="AP1596" s="25">
        <f t="shared" si="678"/>
        <v>0</v>
      </c>
      <c r="AQ1596" s="151" t="str">
        <f>IF(SUMIFS('Supp Consol'!S:S,'Supp Consol'!A:A,O1596,'Supp Consol'!I:I,"PENDING")=0,"",SUMIFS('Supp Consol'!S:S,'Supp Consol'!A:A,O1596,'Supp Consol'!I:I,"PENDING"))</f>
        <v/>
      </c>
      <c r="AR1596" s="27" t="str">
        <f t="shared" si="679"/>
        <v>WX075</v>
      </c>
      <c r="AS1596" s="27" t="str">
        <f t="shared" si="680"/>
        <v>45</v>
      </c>
      <c r="AT1596" s="27" t="str">
        <f t="shared" si="681"/>
        <v/>
      </c>
      <c r="AU1596" s="27" t="str">
        <f t="shared" si="682"/>
        <v/>
      </c>
      <c r="AV1596" s="27" t="str">
        <f t="shared" si="683"/>
        <v/>
      </c>
      <c r="AW1596" s="27" t="str">
        <f t="shared" si="684"/>
        <v/>
      </c>
      <c r="AX1596" s="27" t="str">
        <f t="shared" si="685"/>
        <v/>
      </c>
      <c r="AY1596" s="27" t="str">
        <f t="shared" si="686"/>
        <v/>
      </c>
      <c r="AZ1596" s="27" t="str">
        <f t="shared" si="687"/>
        <v/>
      </c>
      <c r="BA1596" s="27" t="str">
        <f t="shared" si="688"/>
        <v/>
      </c>
      <c r="BB1596" s="27" t="str">
        <f t="shared" si="689"/>
        <v/>
      </c>
      <c r="BC1596" s="27" t="str">
        <f t="shared" si="690"/>
        <v/>
      </c>
      <c r="BD1596" s="27" t="str">
        <f t="shared" si="691"/>
        <v/>
      </c>
      <c r="BE1596" s="27" t="str">
        <f t="shared" si="692"/>
        <v/>
      </c>
      <c r="BF1596" s="27" t="str">
        <f t="shared" si="693"/>
        <v/>
      </c>
      <c r="BG1596" s="27" t="str">
        <f t="shared" si="694"/>
        <v/>
      </c>
      <c r="BH1596" s="27" t="str">
        <f t="shared" si="695"/>
        <v/>
      </c>
      <c r="BI1596" s="27" t="str">
        <f t="shared" si="696"/>
        <v/>
      </c>
      <c r="BJ1596" s="27" t="str">
        <f t="shared" si="697"/>
        <v/>
      </c>
      <c r="BK1596" s="27" t="str">
        <f t="shared" si="698"/>
        <v/>
      </c>
      <c r="BL1596" s="27" t="str">
        <f t="shared" si="699"/>
        <v/>
      </c>
      <c r="BM1596" s="21" t="s">
        <v>3790</v>
      </c>
    </row>
    <row r="1597" spans="1:65" ht="15">
      <c r="A1597" s="25">
        <f>IFERROR(INDEX('Hun Demand'!W:W,MATCH(O1597,'Hun Demand'!A:A,0)),"")</f>
        <v>0</v>
      </c>
      <c r="B1597" s="25">
        <f>IFERROR(INDEX('Hun Demand'!V:V,MATCH(O1597,'Hun Demand'!A:A,0)),"")</f>
        <v>0</v>
      </c>
      <c r="C1597" s="25">
        <f>IFERROR(INDEX('Hun Demand'!U:U,MATCH(O1597,'Hun Demand'!A:A,0)),"")</f>
        <v>0</v>
      </c>
      <c r="D1597" s="25">
        <f>IFERROR(INDEX('Hun Demand'!T:T,MATCH(O1597,'Hun Demand'!A:A,0)),"")</f>
        <v>0</v>
      </c>
      <c r="E1597" s="25">
        <f>IFERROR(INDEX('Hun Demand'!S:S,MATCH(O1597,'Hun Demand'!A:A,0)),"")</f>
        <v>200</v>
      </c>
      <c r="F1597" s="25">
        <f>IFERROR(INDEX('Hun Demand'!R:R,MATCH(O1597,'Hun Demand'!A:A,0)),"")</f>
        <v>0</v>
      </c>
      <c r="G1597" s="25">
        <f>IFERROR(INDEX('Aub Demand'!W:W,MATCH(O1597,'Aub Demand'!A:A,0)),"")</f>
        <v>101</v>
      </c>
      <c r="H1597" s="25">
        <f>IFERROR(INDEX('Aub Demand'!V:V,MATCH(O1597,'Aub Demand'!A:A,0)),"")</f>
        <v>117</v>
      </c>
      <c r="I1597" s="25">
        <f>IFERROR(INDEX('Aub Demand'!U:U,MATCH(O1597,'Aub Demand'!A:A,0)),"")</f>
        <v>120</v>
      </c>
      <c r="J1597" s="25">
        <f>IFERROR(INDEX('Aub Demand'!T:T,MATCH(O1597,'Aub Demand'!A:A,0)),"")</f>
        <v>173</v>
      </c>
      <c r="K1597" s="25">
        <f>IFERROR(INDEX('Aub Demand'!S:S,MATCH(O1597,'Aub Demand'!A:A,0)),"")</f>
        <v>346</v>
      </c>
      <c r="L1597" s="25">
        <f>IFERROR(INDEX('Aub Demand'!R:R,MATCH(O1597,'Aub Demand'!A:A,0)),"")</f>
        <v>0</v>
      </c>
      <c r="O1597" s="27" t="s">
        <v>3159</v>
      </c>
      <c r="P1597" s="27" t="str">
        <f>IFERROR(INDEX('Aub Demand'!B:B,MATCH($O1597,'Aub Demand'!$A:$A,0)),"")</f>
        <v>GALAO</v>
      </c>
      <c r="Q1597" s="27" t="str">
        <f>IFERROR(INDEX('Aub Demand'!C:C,MATCH($O1597,'Aub Demand'!$A:$A,0)),"")</f>
        <v>AHLST</v>
      </c>
      <c r="R1597" s="52">
        <f>IFERROR(IF(AR1598=AR1597,INDEX('Aub Demand'!K:K,MATCH($O1597,'Aub Demand'!$A:$A,0))-IF(AN1597="",0,AN1597)+AP1598,INDEX('Aub Demand'!K:K,MATCH($O1597,'Aub Demand'!$A:$A,0))-IF(AN1597="",0,AN1597)),"")</f>
        <v>1564</v>
      </c>
      <c r="S1597" s="53">
        <f t="shared" si="672"/>
        <v>31.5</v>
      </c>
      <c r="T1597" s="52" t="str">
        <f t="shared" si="673"/>
        <v/>
      </c>
      <c r="U1597" s="52">
        <f>IFERROR(IF(AR1598=AR1597,INDEX('Aub Demand'!Q:Q,MATCH($O1597,'Aub Demand'!$A:$A,0))-IF(AN1597="",0,AN1597)+AP1598,INDEX('Aub Demand'!Q:Q,MATCH($O1597,'Aub Demand'!$A:$A,0))-IF(AN1597="",0,AN1597)),"")</f>
        <v>1531</v>
      </c>
      <c r="V1597" s="53">
        <f t="shared" si="674"/>
        <v>30.8</v>
      </c>
      <c r="W1597" s="52" t="str">
        <f t="shared" si="675"/>
        <v/>
      </c>
      <c r="X1597" s="52">
        <f>IFERROR(IF(AND(AR1598=AR1597,AM1597&lt;&gt;""),INDEX('Aub Demand'!Q:Q,MATCH($O1597,'Aub Demand'!$A:$A,0))-IF(AN1597="",0,AN1597)+AP1598+AD1597+AL1597,IF(AR1598=AR1597,INDEX('Aub Demand'!Q:Q,MATCH($O1597,'Aub Demand'!$A:$A,0))-IF(AN1597="",0,AN1597)+AP1598+AD1597,IF(AM1597&lt;&gt;"",INDEX('Aub Demand'!Q:Q,MATCH($O1597,'Aub Demand'!$A:$A,0))-IF(AN1597="",0,AN1597)+AD1597+AL1597,INDEX('Aub Demand'!Q:Q,MATCH($O1597,'Aub Demand'!$A:$A,0))-IF(AN1597="",0,AN1597)+AD1597))),"")</f>
        <v>1531</v>
      </c>
      <c r="Y1597" s="53">
        <f t="shared" si="676"/>
        <v>30.8</v>
      </c>
      <c r="Z1597" s="52">
        <f>IF(L1597="","",INDEX('Aub Demand'!H:H,MATCH($O1597,'Aub Demand'!$A:$A,0)))</f>
        <v>213</v>
      </c>
      <c r="AA1597" s="52">
        <f t="shared" si="677"/>
        <v>259.5</v>
      </c>
      <c r="AB1597" s="52">
        <f>IFERROR(INDEX('Aub Demand'!L:L,MATCH($O1597,'Aub Demand'!$A:$A,0)),"")</f>
        <v>153</v>
      </c>
      <c r="AC1597" s="52">
        <f>IFERROR(IF(O1597="","",SUMIFS('CPL Mats'!F:F,'CPL Mats'!Q:Q,AR1597,'CPL Mats'!S:S,AS1597)),"")</f>
        <v>0</v>
      </c>
      <c r="AF1597" s="25" t="str">
        <f>IF(SUMIFS('Supp Consol'!S:S,'Supp Consol'!Y:Y,"Releasable",'Supp Consol'!A:A,O1597)=0,"",SUMIFS('Supp Consol'!S:S,'Supp Consol'!Y:Y,"Releasable",'Supp Consol'!A:A,O1597))</f>
        <v/>
      </c>
      <c r="AG1597" s="25">
        <f>IFERROR(INDEX('Hun Demand'!Q:Q,MATCH(O1597,'Hun Demand'!A:A,0)),"")</f>
        <v>0</v>
      </c>
      <c r="AH1597" s="25">
        <f>IFERROR(INDEX('Hun Demand'!H:H,MATCH($O1597,'Hun Demand'!$A:$A,0)),"")</f>
        <v>67</v>
      </c>
      <c r="AI1597" s="25" t="str">
        <f>IF(SUMIFS('Supp Consol'!AA:AA,'Supp Consol'!Z:Z,"Expires this month",'Supp Consol'!A:A,O1597)=0,"",SUMIFS('Supp Consol'!AA:AA,'Supp Consol'!Z:Z,"Expires this month",'Supp Consol'!A:A,O1597))</f>
        <v/>
      </c>
      <c r="AJ1597" s="25" t="str">
        <f>IF(SUMIFS('Supp Consol'!AA:AA,'Supp Consol'!Z:Z,"Expired Previous Months",'Supp Consol'!A:A,O1597)=0,"",SUMIFS('Supp Consol'!AA:AA,'Supp Consol'!Z:Z,"Expired Previous Months",'Supp Consol'!A:A,O1597))</f>
        <v/>
      </c>
      <c r="AK1597" s="25" t="str">
        <f>IFERROR(INDEX('Hun Release Current'!B:B,MATCH(O1597,'Hun Release Current'!A:A,0)),"")</f>
        <v/>
      </c>
      <c r="AL1597" s="25" t="str">
        <f>IF(SUMIF('Prev Aub'!A:A,O1597,'Prev Aub'!B:B)=0,"",SUMIF('Prev Aub'!A:A,O1597,'Prev Aub'!B:B))</f>
        <v/>
      </c>
      <c r="AN1597" s="25" t="s">
        <v>3790</v>
      </c>
      <c r="AO1597" s="25" t="s">
        <v>3790</v>
      </c>
      <c r="AP1597" s="25">
        <f t="shared" si="678"/>
        <v>0</v>
      </c>
      <c r="AQ1597" s="151" t="str">
        <f>IF(SUMIFS('Supp Consol'!S:S,'Supp Consol'!A:A,O1597,'Supp Consol'!I:I,"PENDING")=0,"",SUMIFS('Supp Consol'!S:S,'Supp Consol'!A:A,O1597,'Supp Consol'!I:I,"PENDING"))</f>
        <v/>
      </c>
      <c r="AR1597" s="27" t="str">
        <f t="shared" si="679"/>
        <v>WX075</v>
      </c>
      <c r="AS1597" s="27" t="str">
        <f t="shared" si="680"/>
        <v>50</v>
      </c>
      <c r="AT1597" s="27" t="str">
        <f t="shared" si="681"/>
        <v/>
      </c>
      <c r="AU1597" s="27" t="str">
        <f t="shared" si="682"/>
        <v/>
      </c>
      <c r="AV1597" s="27" t="str">
        <f t="shared" si="683"/>
        <v/>
      </c>
      <c r="AW1597" s="27" t="str">
        <f t="shared" si="684"/>
        <v/>
      </c>
      <c r="AX1597" s="27" t="str">
        <f t="shared" si="685"/>
        <v/>
      </c>
      <c r="AY1597" s="27" t="str">
        <f t="shared" si="686"/>
        <v/>
      </c>
      <c r="AZ1597" s="27" t="str">
        <f t="shared" si="687"/>
        <v/>
      </c>
      <c r="BA1597" s="27" t="str">
        <f t="shared" si="688"/>
        <v/>
      </c>
      <c r="BB1597" s="27" t="str">
        <f t="shared" si="689"/>
        <v/>
      </c>
      <c r="BC1597" s="27" t="str">
        <f t="shared" si="690"/>
        <v/>
      </c>
      <c r="BD1597" s="27" t="str">
        <f t="shared" si="691"/>
        <v/>
      </c>
      <c r="BE1597" s="27" t="str">
        <f t="shared" si="692"/>
        <v/>
      </c>
      <c r="BF1597" s="27" t="str">
        <f t="shared" si="693"/>
        <v/>
      </c>
      <c r="BG1597" s="27" t="str">
        <f t="shared" si="694"/>
        <v/>
      </c>
      <c r="BH1597" s="27" t="str">
        <f t="shared" si="695"/>
        <v/>
      </c>
      <c r="BI1597" s="27" t="str">
        <f t="shared" si="696"/>
        <v/>
      </c>
      <c r="BJ1597" s="27" t="str">
        <f t="shared" si="697"/>
        <v/>
      </c>
      <c r="BK1597" s="27" t="str">
        <f t="shared" si="698"/>
        <v/>
      </c>
      <c r="BL1597" s="27" t="str">
        <f t="shared" si="699"/>
        <v/>
      </c>
      <c r="BM1597" s="21" t="s">
        <v>5581</v>
      </c>
    </row>
    <row r="1598" spans="1:65" ht="15">
      <c r="A1598" s="25">
        <f>IFERROR(INDEX('Hun Demand'!W:W,MATCH(O1598,'Hun Demand'!A:A,0)),"")</f>
        <v>0</v>
      </c>
      <c r="B1598" s="25">
        <f>IFERROR(INDEX('Hun Demand'!V:V,MATCH(O1598,'Hun Demand'!A:A,0)),"")</f>
        <v>0</v>
      </c>
      <c r="C1598" s="25">
        <f>IFERROR(INDEX('Hun Demand'!U:U,MATCH(O1598,'Hun Demand'!A:A,0)),"")</f>
        <v>176</v>
      </c>
      <c r="D1598" s="25">
        <f>IFERROR(INDEX('Hun Demand'!T:T,MATCH(O1598,'Hun Demand'!A:A,0)),"")</f>
        <v>0</v>
      </c>
      <c r="E1598" s="25">
        <f>IFERROR(INDEX('Hun Demand'!S:S,MATCH(O1598,'Hun Demand'!A:A,0)),"")</f>
        <v>0</v>
      </c>
      <c r="F1598" s="25">
        <f>IFERROR(INDEX('Hun Demand'!R:R,MATCH(O1598,'Hun Demand'!A:A,0)),"")</f>
        <v>0</v>
      </c>
      <c r="G1598" s="25">
        <f>IFERROR(INDEX('Aub Demand'!W:W,MATCH(O1598,'Aub Demand'!A:A,0)),"")</f>
        <v>109</v>
      </c>
      <c r="H1598" s="25">
        <f>IFERROR(INDEX('Aub Demand'!V:V,MATCH(O1598,'Aub Demand'!A:A,0)),"")</f>
        <v>27</v>
      </c>
      <c r="I1598" s="25">
        <f>IFERROR(INDEX('Aub Demand'!U:U,MATCH(O1598,'Aub Demand'!A:A,0)),"")</f>
        <v>0</v>
      </c>
      <c r="J1598" s="25">
        <f>IFERROR(INDEX('Aub Demand'!T:T,MATCH(O1598,'Aub Demand'!A:A,0)),"")</f>
        <v>20</v>
      </c>
      <c r="K1598" s="25">
        <f>IFERROR(INDEX('Aub Demand'!S:S,MATCH(O1598,'Aub Demand'!A:A,0)),"")</f>
        <v>28</v>
      </c>
      <c r="L1598" s="25">
        <f>IFERROR(INDEX('Aub Demand'!R:R,MATCH(O1598,'Aub Demand'!A:A,0)),"")</f>
        <v>0</v>
      </c>
      <c r="O1598" s="27" t="s">
        <v>3161</v>
      </c>
      <c r="P1598" s="27" t="str">
        <f>IFERROR(INDEX('Aub Demand'!B:B,MATCH($O1598,'Aub Demand'!$A:$A,0)),"")</f>
        <v>GALAO</v>
      </c>
      <c r="Q1598" s="27" t="str">
        <f>IFERROR(INDEX('Aub Demand'!C:C,MATCH($O1598,'Aub Demand'!$A:$A,0)),"")</f>
        <v>AHLST</v>
      </c>
      <c r="R1598" s="52">
        <f>IFERROR(IF(AR1599=AR1598,INDEX('Aub Demand'!K:K,MATCH($O1598,'Aub Demand'!$A:$A,0))-IF(AN1598="",0,AN1598)+AP1599,INDEX('Aub Demand'!K:K,MATCH($O1598,'Aub Demand'!$A:$A,0))-IF(AN1598="",0,AN1598)),"")</f>
        <v>1835</v>
      </c>
      <c r="S1598" s="53">
        <f t="shared" si="672"/>
        <v>491.5</v>
      </c>
      <c r="T1598" s="52" t="str">
        <f t="shared" si="673"/>
        <v/>
      </c>
      <c r="U1598" s="52">
        <f>IFERROR(IF(AR1599=AR1598,INDEX('Aub Demand'!Q:Q,MATCH($O1598,'Aub Demand'!$A:$A,0))-IF(AN1598="",0,AN1598)+AP1599,INDEX('Aub Demand'!Q:Q,MATCH($O1598,'Aub Demand'!$A:$A,0))-IF(AN1598="",0,AN1598)),"")</f>
        <v>1831</v>
      </c>
      <c r="V1598" s="53">
        <f t="shared" si="674"/>
        <v>490.4</v>
      </c>
      <c r="W1598" s="52" t="str">
        <f t="shared" si="675"/>
        <v/>
      </c>
      <c r="X1598" s="52">
        <f>IFERROR(IF(AND(AR1599=AR1598,AM1598&lt;&gt;""),INDEX('Aub Demand'!Q:Q,MATCH($O1598,'Aub Demand'!$A:$A,0))-IF(AN1598="",0,AN1598)+AP1599+AD1598+AL1598,IF(AR1599=AR1598,INDEX('Aub Demand'!Q:Q,MATCH($O1598,'Aub Demand'!$A:$A,0))-IF(AN1598="",0,AN1598)+AP1599+AD1598,IF(AM1598&lt;&gt;"",INDEX('Aub Demand'!Q:Q,MATCH($O1598,'Aub Demand'!$A:$A,0))-IF(AN1598="",0,AN1598)+AD1598+AL1598,INDEX('Aub Demand'!Q:Q,MATCH($O1598,'Aub Demand'!$A:$A,0))-IF(AN1598="",0,AN1598)+AD1598))),"")</f>
        <v>1831</v>
      </c>
      <c r="Y1598" s="53">
        <f t="shared" si="676"/>
        <v>490.4</v>
      </c>
      <c r="Z1598" s="52">
        <f>IF(L1598="","",INDEX('Aub Demand'!H:H,MATCH($O1598,'Aub Demand'!$A:$A,0)))</f>
        <v>16</v>
      </c>
      <c r="AA1598" s="52">
        <f t="shared" si="677"/>
        <v>24</v>
      </c>
      <c r="AB1598" s="52">
        <f>IFERROR(INDEX('Aub Demand'!L:L,MATCH($O1598,'Aub Demand'!$A:$A,0)),"")</f>
        <v>0</v>
      </c>
      <c r="AC1598" s="52">
        <f>IFERROR(IF(O1598="","",SUMIFS('CPL Mats'!F:F,'CPL Mats'!Q:Q,AR1598,'CPL Mats'!S:S,AS1598)),"")</f>
        <v>0</v>
      </c>
      <c r="AF1598" s="25" t="str">
        <f>IF(SUMIFS('Supp Consol'!S:S,'Supp Consol'!Y:Y,"Releasable",'Supp Consol'!A:A,O1598)=0,"",SUMIFS('Supp Consol'!S:S,'Supp Consol'!Y:Y,"Releasable",'Supp Consol'!A:A,O1598))</f>
        <v/>
      </c>
      <c r="AG1598" s="25">
        <f>IFERROR(INDEX('Hun Demand'!Q:Q,MATCH(O1598,'Hun Demand'!A:A,0)),"")</f>
        <v>0</v>
      </c>
      <c r="AH1598" s="25">
        <f>IFERROR(INDEX('Hun Demand'!H:H,MATCH($O1598,'Hun Demand'!$A:$A,0)),"")</f>
        <v>59</v>
      </c>
      <c r="AI1598" s="25" t="str">
        <f>IF(SUMIFS('Supp Consol'!AA:AA,'Supp Consol'!Z:Z,"Expires this month",'Supp Consol'!A:A,O1598)=0,"",SUMIFS('Supp Consol'!AA:AA,'Supp Consol'!Z:Z,"Expires this month",'Supp Consol'!A:A,O1598))</f>
        <v/>
      </c>
      <c r="AJ1598" s="25" t="str">
        <f>IF(SUMIFS('Supp Consol'!AA:AA,'Supp Consol'!Z:Z,"Expired Previous Months",'Supp Consol'!A:A,O1598)=0,"",SUMIFS('Supp Consol'!AA:AA,'Supp Consol'!Z:Z,"Expired Previous Months",'Supp Consol'!A:A,O1598))</f>
        <v/>
      </c>
      <c r="AK1598" s="25" t="str">
        <f>IFERROR(INDEX('Hun Release Current'!B:B,MATCH(O1598,'Hun Release Current'!A:A,0)),"")</f>
        <v/>
      </c>
      <c r="AL1598" s="25" t="str">
        <f>IF(SUMIF('Prev Aub'!A:A,O1598,'Prev Aub'!B:B)=0,"",SUMIF('Prev Aub'!A:A,O1598,'Prev Aub'!B:B))</f>
        <v/>
      </c>
      <c r="AN1598" s="25" t="s">
        <v>3790</v>
      </c>
      <c r="AO1598" s="25" t="s">
        <v>3790</v>
      </c>
      <c r="AP1598" s="25">
        <f t="shared" si="678"/>
        <v>0</v>
      </c>
      <c r="AQ1598" s="151" t="str">
        <f>IF(SUMIFS('Supp Consol'!S:S,'Supp Consol'!A:A,O1598,'Supp Consol'!I:I,"PENDING")=0,"",SUMIFS('Supp Consol'!S:S,'Supp Consol'!A:A,O1598,'Supp Consol'!I:I,"PENDING"))</f>
        <v/>
      </c>
      <c r="AR1598" s="27" t="str">
        <f t="shared" si="679"/>
        <v>WX075</v>
      </c>
      <c r="AS1598" s="27" t="str">
        <f t="shared" si="680"/>
        <v>62</v>
      </c>
      <c r="AT1598" s="27" t="str">
        <f t="shared" si="681"/>
        <v/>
      </c>
      <c r="AU1598" s="27" t="str">
        <f t="shared" si="682"/>
        <v/>
      </c>
      <c r="AV1598" s="27" t="str">
        <f t="shared" si="683"/>
        <v/>
      </c>
      <c r="AW1598" s="27" t="str">
        <f t="shared" si="684"/>
        <v/>
      </c>
      <c r="AX1598" s="27" t="str">
        <f t="shared" si="685"/>
        <v/>
      </c>
      <c r="AY1598" s="27" t="str">
        <f t="shared" si="686"/>
        <v/>
      </c>
      <c r="AZ1598" s="27" t="str">
        <f t="shared" si="687"/>
        <v/>
      </c>
      <c r="BA1598" s="27" t="str">
        <f t="shared" si="688"/>
        <v/>
      </c>
      <c r="BB1598" s="27" t="str">
        <f t="shared" si="689"/>
        <v/>
      </c>
      <c r="BC1598" s="27" t="str">
        <f t="shared" si="690"/>
        <v/>
      </c>
      <c r="BD1598" s="27" t="str">
        <f t="shared" si="691"/>
        <v/>
      </c>
      <c r="BE1598" s="27" t="str">
        <f t="shared" si="692"/>
        <v/>
      </c>
      <c r="BF1598" s="27" t="str">
        <f t="shared" si="693"/>
        <v/>
      </c>
      <c r="BG1598" s="27" t="str">
        <f t="shared" si="694"/>
        <v/>
      </c>
      <c r="BH1598" s="27" t="str">
        <f t="shared" si="695"/>
        <v/>
      </c>
      <c r="BI1598" s="27" t="str">
        <f t="shared" si="696"/>
        <v/>
      </c>
      <c r="BJ1598" s="27" t="str">
        <f t="shared" si="697"/>
        <v/>
      </c>
      <c r="BK1598" s="27" t="str">
        <f t="shared" si="698"/>
        <v/>
      </c>
      <c r="BL1598" s="27" t="str">
        <f t="shared" si="699"/>
        <v/>
      </c>
      <c r="BM1598" s="21" t="s">
        <v>5581</v>
      </c>
    </row>
    <row r="1599" spans="1:65" ht="15">
      <c r="A1599" s="25">
        <f>IFERROR(INDEX('Hun Demand'!W:W,MATCH(O1599,'Hun Demand'!A:A,0)),"")</f>
        <v>0</v>
      </c>
      <c r="B1599" s="25">
        <f>IFERROR(INDEX('Hun Demand'!V:V,MATCH(O1599,'Hun Demand'!A:A,0)),"")</f>
        <v>0</v>
      </c>
      <c r="C1599" s="25">
        <f>IFERROR(INDEX('Hun Demand'!U:U,MATCH(O1599,'Hun Demand'!A:A,0)),"")</f>
        <v>0</v>
      </c>
      <c r="D1599" s="25">
        <f>IFERROR(INDEX('Hun Demand'!T:T,MATCH(O1599,'Hun Demand'!A:A,0)),"")</f>
        <v>119</v>
      </c>
      <c r="E1599" s="25">
        <f>IFERROR(INDEX('Hun Demand'!S:S,MATCH(O1599,'Hun Demand'!A:A,0)),"")</f>
        <v>0</v>
      </c>
      <c r="F1599" s="25">
        <f>IFERROR(INDEX('Hun Demand'!R:R,MATCH(O1599,'Hun Demand'!A:A,0)),"")</f>
        <v>0</v>
      </c>
      <c r="G1599" s="25">
        <f>IFERROR(INDEX('Aub Demand'!W:W,MATCH(O1599,'Aub Demand'!A:A,0)),"")</f>
        <v>0</v>
      </c>
      <c r="H1599" s="25">
        <f>IFERROR(INDEX('Aub Demand'!V:V,MATCH(O1599,'Aub Demand'!A:A,0)),"")</f>
        <v>0</v>
      </c>
      <c r="I1599" s="25">
        <f>IFERROR(INDEX('Aub Demand'!U:U,MATCH(O1599,'Aub Demand'!A:A,0)),"")</f>
        <v>0</v>
      </c>
      <c r="J1599" s="25">
        <f>IFERROR(INDEX('Aub Demand'!T:T,MATCH(O1599,'Aub Demand'!A:A,0)),"")</f>
        <v>0</v>
      </c>
      <c r="K1599" s="25">
        <f>IFERROR(INDEX('Aub Demand'!S:S,MATCH(O1599,'Aub Demand'!A:A,0)),"")</f>
        <v>36</v>
      </c>
      <c r="L1599" s="25">
        <f>IFERROR(INDEX('Aub Demand'!R:R,MATCH(O1599,'Aub Demand'!A:A,0)),"")</f>
        <v>0</v>
      </c>
      <c r="O1599" s="27" t="s">
        <v>1916</v>
      </c>
      <c r="P1599" s="27" t="str">
        <f>IFERROR(INDEX('Aub Demand'!B:B,MATCH($O1599,'Aub Demand'!$A:$A,0)),"")</f>
        <v>DARK EXPRESSO</v>
      </c>
      <c r="Q1599" s="27" t="str">
        <f>IFERROR(INDEX('Aub Demand'!C:C,MATCH($O1599,'Aub Demand'!$A:$A,0)),"")</f>
        <v>INTER</v>
      </c>
      <c r="R1599" s="52">
        <f>IFERROR(IF(AR1600=AR1599,INDEX('Aub Demand'!K:K,MATCH($O1599,'Aub Demand'!$A:$A,0))-IF(AN1599="",0,AN1599)+AP1600,INDEX('Aub Demand'!K:K,MATCH($O1599,'Aub Demand'!$A:$A,0))-IF(AN1599="",0,AN1599)),"")</f>
        <v>0</v>
      </c>
      <c r="S1599" s="53">
        <f t="shared" si="672"/>
        <v>0</v>
      </c>
      <c r="T1599" s="52" t="str">
        <f t="shared" si="673"/>
        <v/>
      </c>
      <c r="U1599" s="52">
        <f>IFERROR(IF(AR1600=AR1599,INDEX('Aub Demand'!Q:Q,MATCH($O1599,'Aub Demand'!$A:$A,0))-IF(AN1599="",0,AN1599)+AP1600,INDEX('Aub Demand'!Q:Q,MATCH($O1599,'Aub Demand'!$A:$A,0))-IF(AN1599="",0,AN1599)),"")</f>
        <v>0</v>
      </c>
      <c r="V1599" s="53">
        <f t="shared" si="674"/>
        <v>0</v>
      </c>
      <c r="W1599" s="52" t="str">
        <f t="shared" si="675"/>
        <v/>
      </c>
      <c r="X1599" s="52">
        <f>IFERROR(IF(AND(AR1600=AR1599,AM1599&lt;&gt;""),INDEX('Aub Demand'!Q:Q,MATCH($O1599,'Aub Demand'!$A:$A,0))-IF(AN1599="",0,AN1599)+AP1600+AD1599+AL1599,IF(AR1600=AR1599,INDEX('Aub Demand'!Q:Q,MATCH($O1599,'Aub Demand'!$A:$A,0))-IF(AN1599="",0,AN1599)+AP1600+AD1599,IF(AM1599&lt;&gt;"",INDEX('Aub Demand'!Q:Q,MATCH($O1599,'Aub Demand'!$A:$A,0))-IF(AN1599="",0,AN1599)+AD1599+AL1599,INDEX('Aub Demand'!Q:Q,MATCH($O1599,'Aub Demand'!$A:$A,0))-IF(AN1599="",0,AN1599)+AD1599))),"")</f>
        <v>0</v>
      </c>
      <c r="Y1599" s="53">
        <f t="shared" si="676"/>
        <v>0</v>
      </c>
      <c r="Z1599" s="52">
        <f>IF(L1599="","",INDEX('Aub Demand'!H:H,MATCH($O1599,'Aub Demand'!$A:$A,0)))</f>
        <v>12</v>
      </c>
      <c r="AA1599" s="52" t="str">
        <f t="shared" si="677"/>
        <v>-spike-</v>
      </c>
      <c r="AB1599" s="52">
        <f>IFERROR(INDEX('Aub Demand'!L:L,MATCH($O1599,'Aub Demand'!$A:$A,0)),"")</f>
        <v>0</v>
      </c>
      <c r="AC1599" s="52">
        <f>IFERROR(IF(O1599="","",SUMIFS('CPL Mats'!F:F,'CPL Mats'!Q:Q,AR1599,'CPL Mats'!S:S,AS1599)),"")</f>
        <v>0</v>
      </c>
      <c r="AF1599" s="25" t="str">
        <f>IF(SUMIFS('Supp Consol'!S:S,'Supp Consol'!Y:Y,"Releasable",'Supp Consol'!A:A,O1599)=0,"",SUMIFS('Supp Consol'!S:S,'Supp Consol'!Y:Y,"Releasable",'Supp Consol'!A:A,O1599))</f>
        <v/>
      </c>
      <c r="AG1599" s="25">
        <f>IFERROR(INDEX('Hun Demand'!Q:Q,MATCH(O1599,'Hun Demand'!A:A,0)),"")</f>
        <v>580</v>
      </c>
      <c r="AH1599" s="25">
        <f>IFERROR(INDEX('Hun Demand'!H:H,MATCH($O1599,'Hun Demand'!$A:$A,0)),"")</f>
        <v>40</v>
      </c>
      <c r="AI1599" s="25" t="str">
        <f>IF(SUMIFS('Supp Consol'!AA:AA,'Supp Consol'!Z:Z,"Expires this month",'Supp Consol'!A:A,O1599)=0,"",SUMIFS('Supp Consol'!AA:AA,'Supp Consol'!Z:Z,"Expires this month",'Supp Consol'!A:A,O1599))</f>
        <v/>
      </c>
      <c r="AJ1599" s="25" t="str">
        <f>IF(SUMIFS('Supp Consol'!AA:AA,'Supp Consol'!Z:Z,"Expired Previous Months",'Supp Consol'!A:A,O1599)=0,"",SUMIFS('Supp Consol'!AA:AA,'Supp Consol'!Z:Z,"Expired Previous Months",'Supp Consol'!A:A,O1599))</f>
        <v/>
      </c>
      <c r="AK1599" s="25" t="str">
        <f>IFERROR(INDEX('Hun Release Current'!B:B,MATCH(O1599,'Hun Release Current'!A:A,0)),"")</f>
        <v/>
      </c>
      <c r="AL1599" s="25" t="str">
        <f>IF(SUMIF('Prev Aub'!A:A,O1599,'Prev Aub'!B:B)=0,"",SUMIF('Prev Aub'!A:A,O1599,'Prev Aub'!B:B))</f>
        <v/>
      </c>
      <c r="AN1599" s="25" t="s">
        <v>3790</v>
      </c>
      <c r="AO1599" s="25" t="s">
        <v>3790</v>
      </c>
      <c r="AP1599" s="25">
        <f t="shared" si="678"/>
        <v>0</v>
      </c>
      <c r="AQ1599" s="151" t="str">
        <f>IF(SUMIFS('Supp Consol'!S:S,'Supp Consol'!A:A,O1599,'Supp Consol'!I:I,"PENDING")=0,"",SUMIFS('Supp Consol'!S:S,'Supp Consol'!A:A,O1599,'Supp Consol'!I:I,"PENDING"))</f>
        <v/>
      </c>
      <c r="AR1599" s="27" t="str">
        <f t="shared" si="679"/>
        <v>WX081</v>
      </c>
      <c r="AS1599" s="27" t="str">
        <f t="shared" si="680"/>
        <v>50</v>
      </c>
      <c r="AT1599" s="27" t="str">
        <f t="shared" si="681"/>
        <v>WX081</v>
      </c>
      <c r="AU1599" s="27" t="str">
        <f t="shared" si="682"/>
        <v>WX081</v>
      </c>
      <c r="AV1599" s="27" t="str">
        <f t="shared" si="683"/>
        <v>WX081</v>
      </c>
      <c r="AW1599" s="27" t="str">
        <f t="shared" si="684"/>
        <v/>
      </c>
      <c r="AX1599" s="27" t="str">
        <f t="shared" si="685"/>
        <v/>
      </c>
      <c r="AY1599" s="27" t="str">
        <f t="shared" si="686"/>
        <v>WX081</v>
      </c>
      <c r="AZ1599" s="27" t="str">
        <f t="shared" si="687"/>
        <v/>
      </c>
      <c r="BA1599" s="27" t="str">
        <f t="shared" si="688"/>
        <v>Hun</v>
      </c>
      <c r="BB1599" s="27" t="str">
        <f t="shared" si="689"/>
        <v>Gross</v>
      </c>
      <c r="BC1599" s="27" t="str">
        <f t="shared" si="690"/>
        <v>Net</v>
      </c>
      <c r="BD1599" s="27" t="str">
        <f t="shared" si="691"/>
        <v>Net</v>
      </c>
      <c r="BE1599" s="27" t="str">
        <f t="shared" si="692"/>
        <v/>
      </c>
      <c r="BF1599" s="27" t="str">
        <f t="shared" si="693"/>
        <v/>
      </c>
      <c r="BG1599" s="27" t="str">
        <f t="shared" si="694"/>
        <v/>
      </c>
      <c r="BH1599" s="27" t="str">
        <f t="shared" si="695"/>
        <v>H+N</v>
      </c>
      <c r="BI1599" s="27" t="str">
        <f t="shared" si="696"/>
        <v>H+Nex</v>
      </c>
      <c r="BJ1599" s="27" t="str">
        <f t="shared" si="697"/>
        <v>Supp or Hun</v>
      </c>
      <c r="BK1599" s="27" t="str">
        <f t="shared" si="698"/>
        <v>Supp or Hun Need</v>
      </c>
      <c r="BL1599" s="27" t="str">
        <f t="shared" si="699"/>
        <v>SorHandNandE</v>
      </c>
      <c r="BM1599" s="21" t="s">
        <v>3790</v>
      </c>
    </row>
    <row r="1600" spans="1:65" ht="15">
      <c r="A1600" s="25">
        <f>IFERROR(INDEX('Hun Demand'!W:W,MATCH(O1600,'Hun Demand'!A:A,0)),"")</f>
        <v>759</v>
      </c>
      <c r="B1600" s="25">
        <f>IFERROR(INDEX('Hun Demand'!V:V,MATCH(O1600,'Hun Demand'!A:A,0)),"")</f>
        <v>1579</v>
      </c>
      <c r="C1600" s="25">
        <f>IFERROR(INDEX('Hun Demand'!U:U,MATCH(O1600,'Hun Demand'!A:A,0)),"")</f>
        <v>1556</v>
      </c>
      <c r="D1600" s="25">
        <f>IFERROR(INDEX('Hun Demand'!T:T,MATCH(O1600,'Hun Demand'!A:A,0)),"")</f>
        <v>0</v>
      </c>
      <c r="E1600" s="25">
        <f>IFERROR(INDEX('Hun Demand'!S:S,MATCH(O1600,'Hun Demand'!A:A,0)),"")</f>
        <v>0</v>
      </c>
      <c r="F1600" s="25">
        <f>IFERROR(INDEX('Hun Demand'!R:R,MATCH(O1600,'Hun Demand'!A:A,0)),"")</f>
        <v>0</v>
      </c>
      <c r="G1600" s="25">
        <f>IFERROR(INDEX('Aub Demand'!W:W,MATCH(O1600,'Aub Demand'!A:A,0)),"")</f>
        <v>0</v>
      </c>
      <c r="H1600" s="25">
        <f>IFERROR(INDEX('Aub Demand'!V:V,MATCH(O1600,'Aub Demand'!A:A,0)),"")</f>
        <v>32</v>
      </c>
      <c r="I1600" s="25">
        <f>IFERROR(INDEX('Aub Demand'!U:U,MATCH(O1600,'Aub Demand'!A:A,0)),"")</f>
        <v>0</v>
      </c>
      <c r="J1600" s="25">
        <f>IFERROR(INDEX('Aub Demand'!T:T,MATCH(O1600,'Aub Demand'!A:A,0)),"")</f>
        <v>39</v>
      </c>
      <c r="K1600" s="25">
        <f>IFERROR(INDEX('Aub Demand'!S:S,MATCH(O1600,'Aub Demand'!A:A,0)),"")</f>
        <v>90</v>
      </c>
      <c r="L1600" s="25">
        <f>IFERROR(INDEX('Aub Demand'!R:R,MATCH(O1600,'Aub Demand'!A:A,0)),"")</f>
        <v>0</v>
      </c>
      <c r="O1600" s="27" t="s">
        <v>1919</v>
      </c>
      <c r="P1600" s="27" t="str">
        <f>IFERROR(INDEX('Aub Demand'!B:B,MATCH($O1600,'Aub Demand'!$A:$A,0)),"")</f>
        <v>DARK EXPRESSO</v>
      </c>
      <c r="Q1600" s="27" t="str">
        <f>IFERROR(INDEX('Aub Demand'!C:C,MATCH($O1600,'Aub Demand'!$A:$A,0)),"")</f>
        <v>INTER</v>
      </c>
      <c r="R1600" s="52">
        <f>IFERROR(IF(AR1601=AR1600,INDEX('Aub Demand'!K:K,MATCH($O1600,'Aub Demand'!$A:$A,0))-IF(AN1600="",0,AN1600)+AP1601,INDEX('Aub Demand'!K:K,MATCH($O1600,'Aub Demand'!$A:$A,0))-IF(AN1600="",0,AN1600)),"")</f>
        <v>516</v>
      </c>
      <c r="S1600" s="53">
        <f t="shared" si="672"/>
        <v>51.4</v>
      </c>
      <c r="T1600" s="52" t="str">
        <f t="shared" si="673"/>
        <v/>
      </c>
      <c r="U1600" s="52">
        <f>IFERROR(IF(AR1601=AR1600,INDEX('Aub Demand'!Q:Q,MATCH($O1600,'Aub Demand'!$A:$A,0))-IF(AN1600="",0,AN1600)+AP1601,INDEX('Aub Demand'!Q:Q,MATCH($O1600,'Aub Demand'!$A:$A,0))-IF(AN1600="",0,AN1600)),"")</f>
        <v>483</v>
      </c>
      <c r="V1600" s="53">
        <f t="shared" si="674"/>
        <v>48.1</v>
      </c>
      <c r="W1600" s="52" t="str">
        <f t="shared" si="675"/>
        <v/>
      </c>
      <c r="X1600" s="52">
        <f>IFERROR(IF(AND(AR1601=AR1600,AM1600&lt;&gt;""),INDEX('Aub Demand'!Q:Q,MATCH($O1600,'Aub Demand'!$A:$A,0))-IF(AN1600="",0,AN1600)+AP1601+AD1600+AL1600,IF(AR1601=AR1600,INDEX('Aub Demand'!Q:Q,MATCH($O1600,'Aub Demand'!$A:$A,0))-IF(AN1600="",0,AN1600)+AP1601+AD1600,IF(AM1600&lt;&gt;"",INDEX('Aub Demand'!Q:Q,MATCH($O1600,'Aub Demand'!$A:$A,0))-IF(AN1600="",0,AN1600)+AD1600+AL1600,INDEX('Aub Demand'!Q:Q,MATCH($O1600,'Aub Demand'!$A:$A,0))-IF(AN1600="",0,AN1600)+AD1600))),"")</f>
        <v>483</v>
      </c>
      <c r="Y1600" s="53">
        <f t="shared" si="676"/>
        <v>48.1</v>
      </c>
      <c r="Z1600" s="52">
        <f>IF(L1600="","",INDEX('Aub Demand'!H:H,MATCH($O1600,'Aub Demand'!$A:$A,0)))</f>
        <v>43</v>
      </c>
      <c r="AA1600" s="52">
        <f t="shared" si="677"/>
        <v>64.5</v>
      </c>
      <c r="AB1600" s="52">
        <f>IFERROR(INDEX('Aub Demand'!L:L,MATCH($O1600,'Aub Demand'!$A:$A,0)),"")</f>
        <v>12</v>
      </c>
      <c r="AC1600" s="52">
        <f>IFERROR(IF(O1600="","",SUMIFS('CPL Mats'!F:F,'CPL Mats'!Q:Q,AR1600,'CPL Mats'!S:S,AS1600)),"")</f>
        <v>0</v>
      </c>
      <c r="AF1600" s="25" t="str">
        <f>IF(SUMIFS('Supp Consol'!S:S,'Supp Consol'!Y:Y,"Releasable",'Supp Consol'!A:A,O1600)=0,"",SUMIFS('Supp Consol'!S:S,'Supp Consol'!Y:Y,"Releasable",'Supp Consol'!A:A,O1600))</f>
        <v/>
      </c>
      <c r="AG1600" s="25">
        <f>IFERROR(INDEX('Hun Demand'!Q:Q,MATCH(O1600,'Hun Demand'!A:A,0)),"")</f>
        <v>560</v>
      </c>
      <c r="AH1600" s="25">
        <f>IFERROR(INDEX('Hun Demand'!H:H,MATCH($O1600,'Hun Demand'!$A:$A,0)),"")</f>
        <v>519</v>
      </c>
      <c r="AI1600" s="25" t="str">
        <f>IF(SUMIFS('Supp Consol'!AA:AA,'Supp Consol'!Z:Z,"Expires this month",'Supp Consol'!A:A,O1600)=0,"",SUMIFS('Supp Consol'!AA:AA,'Supp Consol'!Z:Z,"Expires this month",'Supp Consol'!A:A,O1600))</f>
        <v/>
      </c>
      <c r="AJ1600" s="25" t="str">
        <f>IF(SUMIFS('Supp Consol'!AA:AA,'Supp Consol'!Z:Z,"Expired Previous Months",'Supp Consol'!A:A,O1600)=0,"",SUMIFS('Supp Consol'!AA:AA,'Supp Consol'!Z:Z,"Expired Previous Months",'Supp Consol'!A:A,O1600))</f>
        <v/>
      </c>
      <c r="AK1600" s="25" t="str">
        <f>IFERROR(INDEX('Hun Release Current'!B:B,MATCH(O1600,'Hun Release Current'!A:A,0)),"")</f>
        <v/>
      </c>
      <c r="AL1600" s="25" t="str">
        <f>IF(SUMIF('Prev Aub'!A:A,O1600,'Prev Aub'!B:B)=0,"",SUMIF('Prev Aub'!A:A,O1600,'Prev Aub'!B:B))</f>
        <v/>
      </c>
      <c r="AN1600" s="25" t="s">
        <v>3790</v>
      </c>
      <c r="AO1600" s="25" t="s">
        <v>3790</v>
      </c>
      <c r="AP1600" s="25">
        <f t="shared" si="678"/>
        <v>0</v>
      </c>
      <c r="AQ1600" s="151">
        <f>IF(SUMIFS('Supp Consol'!S:S,'Supp Consol'!A:A,O1600,'Supp Consol'!I:I,"PENDING")=0,"",SUMIFS('Supp Consol'!S:S,'Supp Consol'!A:A,O1600,'Supp Consol'!I:I,"PENDING"))</f>
        <v>5504</v>
      </c>
      <c r="AR1600" s="27" t="str">
        <f t="shared" si="679"/>
        <v>WX081</v>
      </c>
      <c r="AS1600" s="27" t="str">
        <f t="shared" si="680"/>
        <v>62</v>
      </c>
      <c r="AT1600" s="27" t="str">
        <f t="shared" si="681"/>
        <v/>
      </c>
      <c r="AU1600" s="27" t="str">
        <f t="shared" si="682"/>
        <v/>
      </c>
      <c r="AV1600" s="27" t="str">
        <f t="shared" si="683"/>
        <v/>
      </c>
      <c r="AW1600" s="27" t="str">
        <f t="shared" si="684"/>
        <v/>
      </c>
      <c r="AX1600" s="27" t="str">
        <f t="shared" si="685"/>
        <v/>
      </c>
      <c r="AY1600" s="27" t="str">
        <f t="shared" si="686"/>
        <v>WX081</v>
      </c>
      <c r="AZ1600" s="27" t="str">
        <f t="shared" si="687"/>
        <v/>
      </c>
      <c r="BA1600" s="27" t="str">
        <f t="shared" si="688"/>
        <v>Hun</v>
      </c>
      <c r="BB1600" s="27" t="str">
        <f t="shared" si="689"/>
        <v>Gross</v>
      </c>
      <c r="BC1600" s="27" t="str">
        <f t="shared" si="690"/>
        <v>Net</v>
      </c>
      <c r="BD1600" s="27" t="str">
        <f t="shared" si="691"/>
        <v>Net</v>
      </c>
      <c r="BE1600" s="27" t="str">
        <f t="shared" si="692"/>
        <v/>
      </c>
      <c r="BF1600" s="27" t="str">
        <f t="shared" si="693"/>
        <v/>
      </c>
      <c r="BG1600" s="27" t="str">
        <f t="shared" si="694"/>
        <v/>
      </c>
      <c r="BH1600" s="27" t="str">
        <f t="shared" si="695"/>
        <v>H+N</v>
      </c>
      <c r="BI1600" s="27" t="str">
        <f t="shared" si="696"/>
        <v>H+Nex</v>
      </c>
      <c r="BJ1600" s="27" t="str">
        <f t="shared" si="697"/>
        <v>Supp or Hun</v>
      </c>
      <c r="BK1600" s="27" t="str">
        <f t="shared" si="698"/>
        <v>Supp or Hun Need</v>
      </c>
      <c r="BL1600" s="27" t="str">
        <f t="shared" si="699"/>
        <v>SorHandNandE</v>
      </c>
      <c r="BM1600" s="21" t="s">
        <v>5582</v>
      </c>
    </row>
    <row r="1601" spans="1:65" ht="15">
      <c r="A1601" s="25">
        <f>IFERROR(INDEX('Hun Demand'!W:W,MATCH(O1601,'Hun Demand'!A:A,0)),"")</f>
        <v>0</v>
      </c>
      <c r="B1601" s="25">
        <f>IFERROR(INDEX('Hun Demand'!V:V,MATCH(O1601,'Hun Demand'!A:A,0)),"")</f>
        <v>260</v>
      </c>
      <c r="C1601" s="25">
        <f>IFERROR(INDEX('Hun Demand'!U:U,MATCH(O1601,'Hun Demand'!A:A,0)),"")</f>
        <v>0</v>
      </c>
      <c r="D1601" s="25">
        <f>IFERROR(INDEX('Hun Demand'!T:T,MATCH(O1601,'Hun Demand'!A:A,0)),"")</f>
        <v>0</v>
      </c>
      <c r="E1601" s="25">
        <f>IFERROR(INDEX('Hun Demand'!S:S,MATCH(O1601,'Hun Demand'!A:A,0)),"")</f>
        <v>0</v>
      </c>
      <c r="F1601" s="25">
        <f>IFERROR(INDEX('Hun Demand'!R:R,MATCH(O1601,'Hun Demand'!A:A,0)),"")</f>
        <v>0</v>
      </c>
      <c r="G1601" s="25">
        <f>IFERROR(INDEX('Aub Demand'!W:W,MATCH(O1601,'Aub Demand'!A:A,0)),"")</f>
        <v>0</v>
      </c>
      <c r="H1601" s="25">
        <f>IFERROR(INDEX('Aub Demand'!V:V,MATCH(O1601,'Aub Demand'!A:A,0)),"")</f>
        <v>183</v>
      </c>
      <c r="I1601" s="25">
        <f>IFERROR(INDEX('Aub Demand'!U:U,MATCH(O1601,'Aub Demand'!A:A,0)),"")</f>
        <v>0</v>
      </c>
      <c r="J1601" s="25">
        <f>IFERROR(INDEX('Aub Demand'!T:T,MATCH(O1601,'Aub Demand'!A:A,0)),"")</f>
        <v>63</v>
      </c>
      <c r="K1601" s="25">
        <f>IFERROR(INDEX('Aub Demand'!S:S,MATCH(O1601,'Aub Demand'!A:A,0)),"")</f>
        <v>0</v>
      </c>
      <c r="L1601" s="25">
        <f>IFERROR(INDEX('Aub Demand'!R:R,MATCH(O1601,'Aub Demand'!A:A,0)),"")</f>
        <v>4</v>
      </c>
      <c r="O1601" s="27" t="s">
        <v>1920</v>
      </c>
      <c r="P1601" s="27" t="str">
        <f>IFERROR(INDEX('Aub Demand'!B:B,MATCH($O1601,'Aub Demand'!$A:$A,0)),"")</f>
        <v>SMOOTH PADDLIN</v>
      </c>
      <c r="Q1601" s="27" t="str">
        <f>IFERROR(INDEX('Aub Demand'!C:C,MATCH($O1601,'Aub Demand'!$A:$A,0)),"")</f>
        <v>SUDDE</v>
      </c>
      <c r="R1601" s="52">
        <f>IFERROR(IF(AR1602=AR1601,INDEX('Aub Demand'!K:K,MATCH($O1601,'Aub Demand'!$A:$A,0))-IF(AN1601="",0,AN1601)+AP1602,INDEX('Aub Demand'!K:K,MATCH($O1601,'Aub Demand'!$A:$A,0))-IF(AN1601="",0,AN1601)),"")</f>
        <v>563</v>
      </c>
      <c r="S1601" s="53">
        <f t="shared" si="672"/>
        <v>114.9</v>
      </c>
      <c r="T1601" s="52" t="str">
        <f t="shared" si="673"/>
        <v/>
      </c>
      <c r="U1601" s="52">
        <f>IFERROR(IF(AR1602=AR1601,INDEX('Aub Demand'!Q:Q,MATCH($O1601,'Aub Demand'!$A:$A,0))-IF(AN1601="",0,AN1601)+AP1602,INDEX('Aub Demand'!Q:Q,MATCH($O1601,'Aub Demand'!$A:$A,0))-IF(AN1601="",0,AN1601)),"")</f>
        <v>463</v>
      </c>
      <c r="V1601" s="53">
        <f t="shared" si="674"/>
        <v>94.5</v>
      </c>
      <c r="W1601" s="52" t="str">
        <f t="shared" si="675"/>
        <v/>
      </c>
      <c r="X1601" s="52">
        <f>IFERROR(IF(AND(AR1602=AR1601,AM1601&lt;&gt;""),INDEX('Aub Demand'!Q:Q,MATCH($O1601,'Aub Demand'!$A:$A,0))-IF(AN1601="",0,AN1601)+AP1602+AD1601+AL1601,IF(AR1602=AR1601,INDEX('Aub Demand'!Q:Q,MATCH($O1601,'Aub Demand'!$A:$A,0))-IF(AN1601="",0,AN1601)+AP1602+AD1601,IF(AM1601&lt;&gt;"",INDEX('Aub Demand'!Q:Q,MATCH($O1601,'Aub Demand'!$A:$A,0))-IF(AN1601="",0,AN1601)+AD1601+AL1601,INDEX('Aub Demand'!Q:Q,MATCH($O1601,'Aub Demand'!$A:$A,0))-IF(AN1601="",0,AN1601)+AD1601))),"")</f>
        <v>463</v>
      </c>
      <c r="Y1601" s="53">
        <f t="shared" si="676"/>
        <v>94.5</v>
      </c>
      <c r="Z1601" s="52">
        <f>IF(L1601="","",INDEX('Aub Demand'!H:H,MATCH($O1601,'Aub Demand'!$A:$A,0)))</f>
        <v>21</v>
      </c>
      <c r="AA1601" s="52">
        <f t="shared" si="677"/>
        <v>33.5</v>
      </c>
      <c r="AB1601" s="52">
        <f>IFERROR(INDEX('Aub Demand'!L:L,MATCH($O1601,'Aub Demand'!$A:$A,0)),"")</f>
        <v>107</v>
      </c>
      <c r="AC1601" s="52">
        <f>IFERROR(IF(O1601="","",SUMIFS('CPL Mats'!F:F,'CPL Mats'!Q:Q,AR1601,'CPL Mats'!S:S,AS1601)),"")</f>
        <v>1200</v>
      </c>
      <c r="AF1601" s="25" t="str">
        <f>IF(SUMIFS('Supp Consol'!S:S,'Supp Consol'!Y:Y,"Releasable",'Supp Consol'!A:A,O1601)=0,"",SUMIFS('Supp Consol'!S:S,'Supp Consol'!Y:Y,"Releasable",'Supp Consol'!A:A,O1601))</f>
        <v/>
      </c>
      <c r="AG1601" s="25">
        <f>IFERROR(INDEX('Hun Demand'!Q:Q,MATCH(O1601,'Hun Demand'!A:A,0)),"")</f>
        <v>195</v>
      </c>
      <c r="AH1601" s="25">
        <f>IFERROR(INDEX('Hun Demand'!H:H,MATCH($O1601,'Hun Demand'!$A:$A,0)),"")</f>
        <v>0</v>
      </c>
      <c r="AI1601" s="25" t="str">
        <f>IF(SUMIFS('Supp Consol'!AA:AA,'Supp Consol'!Z:Z,"Expires this month",'Supp Consol'!A:A,O1601)=0,"",SUMIFS('Supp Consol'!AA:AA,'Supp Consol'!Z:Z,"Expires this month",'Supp Consol'!A:A,O1601))</f>
        <v/>
      </c>
      <c r="AJ1601" s="25" t="str">
        <f>IF(SUMIFS('Supp Consol'!AA:AA,'Supp Consol'!Z:Z,"Expired Previous Months",'Supp Consol'!A:A,O1601)=0,"",SUMIFS('Supp Consol'!AA:AA,'Supp Consol'!Z:Z,"Expired Previous Months",'Supp Consol'!A:A,O1601))</f>
        <v/>
      </c>
      <c r="AK1601" s="25" t="str">
        <f>IFERROR(INDEX('Hun Release Current'!B:B,MATCH(O1601,'Hun Release Current'!A:A,0)),"")</f>
        <v/>
      </c>
      <c r="AL1601" s="25" t="str">
        <f>IF(SUMIF('Prev Aub'!A:A,O1601,'Prev Aub'!B:B)=0,"",SUMIF('Prev Aub'!A:A,O1601,'Prev Aub'!B:B))</f>
        <v/>
      </c>
      <c r="AN1601" s="25" t="s">
        <v>3790</v>
      </c>
      <c r="AO1601" s="25" t="s">
        <v>3790</v>
      </c>
      <c r="AP1601" s="25">
        <f t="shared" si="678"/>
        <v>0</v>
      </c>
      <c r="AQ1601" s="151" t="str">
        <f>IF(SUMIFS('Supp Consol'!S:S,'Supp Consol'!A:A,O1601,'Supp Consol'!I:I,"PENDING")=0,"",SUMIFS('Supp Consol'!S:S,'Supp Consol'!A:A,O1601,'Supp Consol'!I:I,"PENDING"))</f>
        <v/>
      </c>
      <c r="AR1601" s="27" t="str">
        <f t="shared" si="679"/>
        <v>WX110</v>
      </c>
      <c r="AS1601" s="27" t="str">
        <f t="shared" si="680"/>
        <v>50</v>
      </c>
      <c r="AT1601" s="27" t="str">
        <f t="shared" si="681"/>
        <v/>
      </c>
      <c r="AU1601" s="27" t="str">
        <f t="shared" si="682"/>
        <v/>
      </c>
      <c r="AV1601" s="27" t="str">
        <f t="shared" si="683"/>
        <v/>
      </c>
      <c r="AW1601" s="27" t="str">
        <f t="shared" si="684"/>
        <v/>
      </c>
      <c r="AX1601" s="27" t="str">
        <f t="shared" si="685"/>
        <v/>
      </c>
      <c r="AY1601" s="27" t="str">
        <f t="shared" si="686"/>
        <v>WX110</v>
      </c>
      <c r="AZ1601" s="27" t="str">
        <f t="shared" si="687"/>
        <v/>
      </c>
      <c r="BA1601" s="27" t="str">
        <f t="shared" si="688"/>
        <v>Hun</v>
      </c>
      <c r="BB1601" s="27" t="str">
        <f t="shared" si="689"/>
        <v/>
      </c>
      <c r="BC1601" s="27" t="str">
        <f t="shared" si="690"/>
        <v/>
      </c>
      <c r="BD1601" s="27" t="str">
        <f t="shared" si="691"/>
        <v/>
      </c>
      <c r="BE1601" s="27" t="str">
        <f t="shared" si="692"/>
        <v/>
      </c>
      <c r="BF1601" s="27" t="str">
        <f t="shared" si="693"/>
        <v/>
      </c>
      <c r="BG1601" s="27" t="str">
        <f t="shared" si="694"/>
        <v/>
      </c>
      <c r="BH1601" s="27" t="str">
        <f t="shared" si="695"/>
        <v/>
      </c>
      <c r="BI1601" s="27" t="str">
        <f t="shared" si="696"/>
        <v/>
      </c>
      <c r="BJ1601" s="27" t="str">
        <f t="shared" si="697"/>
        <v>Supp or Hun</v>
      </c>
      <c r="BK1601" s="27" t="str">
        <f t="shared" si="698"/>
        <v/>
      </c>
      <c r="BL1601" s="27" t="str">
        <f t="shared" si="699"/>
        <v/>
      </c>
      <c r="BM1601" s="21" t="s">
        <v>5581</v>
      </c>
    </row>
    <row r="1602" spans="1:65" ht="15">
      <c r="A1602" s="25" t="str">
        <f>IFERROR(INDEX('Hun Demand'!W:W,MATCH(O1602,'Hun Demand'!A:A,0)),"")</f>
        <v/>
      </c>
      <c r="B1602" s="25" t="str">
        <f>IFERROR(INDEX('Hun Demand'!V:V,MATCH(O1602,'Hun Demand'!A:A,0)),"")</f>
        <v/>
      </c>
      <c r="C1602" s="25" t="str">
        <f>IFERROR(INDEX('Hun Demand'!U:U,MATCH(O1602,'Hun Demand'!A:A,0)),"")</f>
        <v/>
      </c>
      <c r="D1602" s="25" t="str">
        <f>IFERROR(INDEX('Hun Demand'!T:T,MATCH(O1602,'Hun Demand'!A:A,0)),"")</f>
        <v/>
      </c>
      <c r="E1602" s="25" t="str">
        <f>IFERROR(INDEX('Hun Demand'!S:S,MATCH(O1602,'Hun Demand'!A:A,0)),"")</f>
        <v/>
      </c>
      <c r="F1602" s="25" t="str">
        <f>IFERROR(INDEX('Hun Demand'!R:R,MATCH(O1602,'Hun Demand'!A:A,0)),"")</f>
        <v/>
      </c>
      <c r="G1602" s="25">
        <f>IFERROR(INDEX('Aub Demand'!W:W,MATCH(O1602,'Aub Demand'!A:A,0)),"")</f>
        <v>149</v>
      </c>
      <c r="H1602" s="25">
        <f>IFERROR(INDEX('Aub Demand'!V:V,MATCH(O1602,'Aub Demand'!A:A,0)),"")</f>
        <v>197</v>
      </c>
      <c r="I1602" s="25">
        <f>IFERROR(INDEX('Aub Demand'!U:U,MATCH(O1602,'Aub Demand'!A:A,0)),"")</f>
        <v>0</v>
      </c>
      <c r="J1602" s="25">
        <f>IFERROR(INDEX('Aub Demand'!T:T,MATCH(O1602,'Aub Demand'!A:A,0)),"")</f>
        <v>37</v>
      </c>
      <c r="K1602" s="25">
        <f>IFERROR(INDEX('Aub Demand'!S:S,MATCH(O1602,'Aub Demand'!A:A,0)),"")</f>
        <v>190</v>
      </c>
      <c r="L1602" s="25">
        <f>IFERROR(INDEX('Aub Demand'!R:R,MATCH(O1602,'Aub Demand'!A:A,0)),"")</f>
        <v>0</v>
      </c>
      <c r="O1602" s="27" t="s">
        <v>1922</v>
      </c>
      <c r="P1602" s="27" t="str">
        <f>IFERROR(INDEX('Aub Demand'!B:B,MATCH($O1602,'Aub Demand'!$A:$A,0)),"")</f>
        <v>SMOOTH PADDLIN</v>
      </c>
      <c r="Q1602" s="27" t="str">
        <f>IFERROR(INDEX('Aub Demand'!C:C,MATCH($O1602,'Aub Demand'!$A:$A,0)),"")</f>
        <v>SUDDE</v>
      </c>
      <c r="R1602" s="52">
        <f>IFERROR(IF(AR1603=AR1602,INDEX('Aub Demand'!K:K,MATCH($O1602,'Aub Demand'!$A:$A,0))-IF(AN1602="",0,AN1602)+AP1603,INDEX('Aub Demand'!K:K,MATCH($O1602,'Aub Demand'!$A:$A,0))-IF(AN1602="",0,AN1602)),"")</f>
        <v>2501</v>
      </c>
      <c r="S1602" s="53">
        <f t="shared" si="672"/>
        <v>141</v>
      </c>
      <c r="T1602" s="52" t="str">
        <f t="shared" si="673"/>
        <v/>
      </c>
      <c r="U1602" s="52">
        <f>IFERROR(IF(AR1603=AR1602,INDEX('Aub Demand'!Q:Q,MATCH($O1602,'Aub Demand'!$A:$A,0))-IF(AN1602="",0,AN1602)+AP1603,INDEX('Aub Demand'!Q:Q,MATCH($O1602,'Aub Demand'!$A:$A,0))-IF(AN1602="",0,AN1602)),"")</f>
        <v>2459</v>
      </c>
      <c r="V1602" s="53">
        <f t="shared" si="674"/>
        <v>138.69999999999999</v>
      </c>
      <c r="W1602" s="52" t="str">
        <f t="shared" si="675"/>
        <v/>
      </c>
      <c r="X1602" s="52">
        <f>IFERROR(IF(AND(AR1603=AR1602,AM1602&lt;&gt;""),INDEX('Aub Demand'!Q:Q,MATCH($O1602,'Aub Demand'!$A:$A,0))-IF(AN1602="",0,AN1602)+AP1603+AD1602+AL1602,IF(AR1603=AR1602,INDEX('Aub Demand'!Q:Q,MATCH($O1602,'Aub Demand'!$A:$A,0))-IF(AN1602="",0,AN1602)+AP1603+AD1602,IF(AM1602&lt;&gt;"",INDEX('Aub Demand'!Q:Q,MATCH($O1602,'Aub Demand'!$A:$A,0))-IF(AN1602="",0,AN1602)+AD1602+AL1602,INDEX('Aub Demand'!Q:Q,MATCH($O1602,'Aub Demand'!$A:$A,0))-IF(AN1602="",0,AN1602)+AD1602))),"")</f>
        <v>2459</v>
      </c>
      <c r="Y1602" s="53">
        <f t="shared" si="676"/>
        <v>138.69999999999999</v>
      </c>
      <c r="Z1602" s="52">
        <f>IF(L1602="","",INDEX('Aub Demand'!H:H,MATCH($O1602,'Aub Demand'!$A:$A,0)))</f>
        <v>76</v>
      </c>
      <c r="AA1602" s="52">
        <f t="shared" si="677"/>
        <v>113.5</v>
      </c>
      <c r="AB1602" s="52">
        <f>IFERROR(INDEX('Aub Demand'!L:L,MATCH($O1602,'Aub Demand'!$A:$A,0)),"")</f>
        <v>47</v>
      </c>
      <c r="AC1602" s="52">
        <f>IFERROR(IF(O1602="","",SUMIFS('CPL Mats'!F:F,'CPL Mats'!Q:Q,AR1602,'CPL Mats'!S:S,AS1602)),"")</f>
        <v>0</v>
      </c>
      <c r="AF1602" s="25" t="str">
        <f>IF(SUMIFS('Supp Consol'!S:S,'Supp Consol'!Y:Y,"Releasable",'Supp Consol'!A:A,O1602)=0,"",SUMIFS('Supp Consol'!S:S,'Supp Consol'!Y:Y,"Releasable",'Supp Consol'!A:A,O1602))</f>
        <v/>
      </c>
      <c r="AG1602" s="25" t="str">
        <f>IFERROR(INDEX('Hun Demand'!Q:Q,MATCH(O1602,'Hun Demand'!A:A,0)),"")</f>
        <v/>
      </c>
      <c r="AH1602" s="25" t="str">
        <f>IFERROR(INDEX('Hun Demand'!H:H,MATCH($O1602,'Hun Demand'!$A:$A,0)),"")</f>
        <v/>
      </c>
      <c r="AI1602" s="25" t="str">
        <f>IF(SUMIFS('Supp Consol'!AA:AA,'Supp Consol'!Z:Z,"Expires this month",'Supp Consol'!A:A,O1602)=0,"",SUMIFS('Supp Consol'!AA:AA,'Supp Consol'!Z:Z,"Expires this month",'Supp Consol'!A:A,O1602))</f>
        <v/>
      </c>
      <c r="AJ1602" s="25" t="str">
        <f>IF(SUMIFS('Supp Consol'!AA:AA,'Supp Consol'!Z:Z,"Expired Previous Months",'Supp Consol'!A:A,O1602)=0,"",SUMIFS('Supp Consol'!AA:AA,'Supp Consol'!Z:Z,"Expired Previous Months",'Supp Consol'!A:A,O1602))</f>
        <v/>
      </c>
      <c r="AK1602" s="25" t="str">
        <f>IFERROR(INDEX('Hun Release Current'!B:B,MATCH(O1602,'Hun Release Current'!A:A,0)),"")</f>
        <v/>
      </c>
      <c r="AL1602" s="25" t="str">
        <f>IF(SUMIF('Prev Aub'!A:A,O1602,'Prev Aub'!B:B)=0,"",SUMIF('Prev Aub'!A:A,O1602,'Prev Aub'!B:B))</f>
        <v/>
      </c>
      <c r="AN1602" s="25" t="s">
        <v>3790</v>
      </c>
      <c r="AO1602" s="25" t="s">
        <v>3790</v>
      </c>
      <c r="AP1602" s="25">
        <f t="shared" si="678"/>
        <v>0</v>
      </c>
      <c r="AQ1602" s="151" t="str">
        <f>IF(SUMIFS('Supp Consol'!S:S,'Supp Consol'!A:A,O1602,'Supp Consol'!I:I,"PENDING")=0,"",SUMIFS('Supp Consol'!S:S,'Supp Consol'!A:A,O1602,'Supp Consol'!I:I,"PENDING"))</f>
        <v/>
      </c>
      <c r="AR1602" s="27" t="str">
        <f t="shared" si="679"/>
        <v>WX110</v>
      </c>
      <c r="AS1602" s="27" t="str">
        <f t="shared" si="680"/>
        <v>62</v>
      </c>
      <c r="AT1602" s="27" t="str">
        <f t="shared" si="681"/>
        <v/>
      </c>
      <c r="AU1602" s="27" t="str">
        <f t="shared" si="682"/>
        <v/>
      </c>
      <c r="AV1602" s="27" t="str">
        <f t="shared" si="683"/>
        <v/>
      </c>
      <c r="AW1602" s="27" t="str">
        <f t="shared" si="684"/>
        <v/>
      </c>
      <c r="AX1602" s="27" t="str">
        <f t="shared" si="685"/>
        <v/>
      </c>
      <c r="AY1602" s="27" t="str">
        <f t="shared" si="686"/>
        <v/>
      </c>
      <c r="AZ1602" s="27" t="str">
        <f t="shared" si="687"/>
        <v/>
      </c>
      <c r="BA1602" s="27" t="str">
        <f t="shared" si="688"/>
        <v>Hun</v>
      </c>
      <c r="BB1602" s="27" t="str">
        <f t="shared" si="689"/>
        <v/>
      </c>
      <c r="BC1602" s="27" t="str">
        <f t="shared" si="690"/>
        <v/>
      </c>
      <c r="BD1602" s="27" t="str">
        <f t="shared" si="691"/>
        <v/>
      </c>
      <c r="BE1602" s="27" t="str">
        <f t="shared" si="692"/>
        <v/>
      </c>
      <c r="BF1602" s="27" t="str">
        <f t="shared" si="693"/>
        <v/>
      </c>
      <c r="BG1602" s="27" t="str">
        <f t="shared" si="694"/>
        <v/>
      </c>
      <c r="BH1602" s="27" t="str">
        <f t="shared" si="695"/>
        <v/>
      </c>
      <c r="BI1602" s="27" t="str">
        <f t="shared" si="696"/>
        <v/>
      </c>
      <c r="BJ1602" s="27" t="str">
        <f t="shared" si="697"/>
        <v>Supp or Hun</v>
      </c>
      <c r="BK1602" s="27" t="str">
        <f t="shared" si="698"/>
        <v/>
      </c>
      <c r="BL1602" s="27" t="str">
        <f t="shared" si="699"/>
        <v/>
      </c>
      <c r="BM1602" s="21" t="s">
        <v>5581</v>
      </c>
    </row>
    <row r="1603" spans="1:65" ht="15">
      <c r="A1603" s="25">
        <f>IFERROR(INDEX('Hun Demand'!W:W,MATCH(O1603,'Hun Demand'!A:A,0)),"")</f>
        <v>548</v>
      </c>
      <c r="B1603" s="25">
        <f>IFERROR(INDEX('Hun Demand'!V:V,MATCH(O1603,'Hun Demand'!A:A,0)),"")</f>
        <v>434</v>
      </c>
      <c r="C1603" s="25">
        <f>IFERROR(INDEX('Hun Demand'!U:U,MATCH(O1603,'Hun Demand'!A:A,0)),"")</f>
        <v>312</v>
      </c>
      <c r="D1603" s="25">
        <f>IFERROR(INDEX('Hun Demand'!T:T,MATCH(O1603,'Hun Demand'!A:A,0)),"")</f>
        <v>74</v>
      </c>
      <c r="E1603" s="25">
        <f>IFERROR(INDEX('Hun Demand'!S:S,MATCH(O1603,'Hun Demand'!A:A,0)),"")</f>
        <v>355</v>
      </c>
      <c r="F1603" s="25">
        <f>IFERROR(INDEX('Hun Demand'!R:R,MATCH(O1603,'Hun Demand'!A:A,0)),"")</f>
        <v>0</v>
      </c>
      <c r="G1603" s="25">
        <f>IFERROR(INDEX('Aub Demand'!W:W,MATCH(O1603,'Aub Demand'!A:A,0)),"")</f>
        <v>677</v>
      </c>
      <c r="H1603" s="25">
        <f>IFERROR(INDEX('Aub Demand'!V:V,MATCH(O1603,'Aub Demand'!A:A,0)),"")</f>
        <v>0</v>
      </c>
      <c r="I1603" s="25">
        <f>IFERROR(INDEX('Aub Demand'!U:U,MATCH(O1603,'Aub Demand'!A:A,0)),"")</f>
        <v>110</v>
      </c>
      <c r="J1603" s="25">
        <f>IFERROR(INDEX('Aub Demand'!T:T,MATCH(O1603,'Aub Demand'!A:A,0)),"")</f>
        <v>57</v>
      </c>
      <c r="K1603" s="25">
        <f>IFERROR(INDEX('Aub Demand'!S:S,MATCH(O1603,'Aub Demand'!A:A,0)),"")</f>
        <v>78</v>
      </c>
      <c r="L1603" s="25">
        <f>IFERROR(INDEX('Aub Demand'!R:R,MATCH(O1603,'Aub Demand'!A:A,0)),"")</f>
        <v>0</v>
      </c>
      <c r="O1603" s="27" t="s">
        <v>3162</v>
      </c>
      <c r="P1603" s="27" t="str">
        <f>IFERROR(INDEX('Aub Demand'!B:B,MATCH($O1603,'Aub Demand'!$A:$A,0)),"")</f>
        <v>GIANT GRAY BAMBOO</v>
      </c>
      <c r="Q1603" s="27" t="str">
        <f>IFERROR(INDEX('Aub Demand'!C:C,MATCH($O1603,'Aub Demand'!$A:$A,0)),"")</f>
        <v>INTER</v>
      </c>
      <c r="R1603" s="52">
        <f>IFERROR(IF(AR1604=AR1603,INDEX('Aub Demand'!K:K,MATCH($O1603,'Aub Demand'!$A:$A,0))-IF(AN1603="",0,AN1603)+AP1604,INDEX('Aub Demand'!K:K,MATCH($O1603,'Aub Demand'!$A:$A,0))-IF(AN1603="",0,AN1603)),"")</f>
        <v>609</v>
      </c>
      <c r="S1603" s="53">
        <f t="shared" ref="S1603:S1666" si="700">IFERROR(IF(O1603="","",ROUND(R1603/((Z1603/30)*7),1)),"n/a")</f>
        <v>31.8</v>
      </c>
      <c r="T1603" s="52" t="str">
        <f t="shared" ref="T1603:T1666" si="701">IFERROR(IF(S1603&lt;3.1,IF(AA1603="spike",(3-S1603)*(Z1603/4),(3-S1603)*(AA1603/4)),""),"")</f>
        <v/>
      </c>
      <c r="U1603" s="52">
        <f>IFERROR(IF(AR1604=AR1603,INDEX('Aub Demand'!Q:Q,MATCH($O1603,'Aub Demand'!$A:$A,0))-IF(AN1603="",0,AN1603)+AP1604,INDEX('Aub Demand'!Q:Q,MATCH($O1603,'Aub Demand'!$A:$A,0))-IF(AN1603="",0,AN1603)),"")</f>
        <v>553</v>
      </c>
      <c r="V1603" s="53">
        <f t="shared" ref="V1603:V1666" si="702">IFERROR(IF(O1603="","",ROUND(U1603/((Z1603/30)*7),1)),"n/a")</f>
        <v>28.9</v>
      </c>
      <c r="W1603" s="52" t="str">
        <f t="shared" ref="W1603:W1666" si="703">IF(IFERROR(IF(V1603&lt;3.1,IF(AA1603="spike",(3-V1603)*(Z1603/4),(3-V1603)*(AA1603/4)),""),"")&lt;0,0,IFERROR(IF(V1603&lt;3.1,IF(AA1603="spike",(3-V1603)*(Z1603/4),(3-V1603)*(AA1603/4)),""),""))</f>
        <v/>
      </c>
      <c r="X1603" s="52">
        <f>IFERROR(IF(AND(AR1604=AR1603,AM1603&lt;&gt;""),INDEX('Aub Demand'!Q:Q,MATCH($O1603,'Aub Demand'!$A:$A,0))-IF(AN1603="",0,AN1603)+AP1604+AD1603+AL1603,IF(AR1604=AR1603,INDEX('Aub Demand'!Q:Q,MATCH($O1603,'Aub Demand'!$A:$A,0))-IF(AN1603="",0,AN1603)+AP1604+AD1603,IF(AM1603&lt;&gt;"",INDEX('Aub Demand'!Q:Q,MATCH($O1603,'Aub Demand'!$A:$A,0))-IF(AN1603="",0,AN1603)+AD1603+AL1603,INDEX('Aub Demand'!Q:Q,MATCH($O1603,'Aub Demand'!$A:$A,0))-IF(AN1603="",0,AN1603)+AD1603))),"")</f>
        <v>553</v>
      </c>
      <c r="Y1603" s="53">
        <f t="shared" ref="Y1603:Y1666" si="704">IFERROR(IF(O1603="","",ROUND(X1603/((Z1603/30)*7),1)),"n/a")</f>
        <v>28.9</v>
      </c>
      <c r="Z1603" s="52">
        <f>IF(L1603="","",INDEX('Aub Demand'!H:H,MATCH($O1603,'Aub Demand'!$A:$A,0)))</f>
        <v>82</v>
      </c>
      <c r="AA1603" s="52">
        <f t="shared" ref="AA1603:AA1666" si="705">IF(L1603="","",IF(LARGE(I1603:L1603,2)=0,"-spike-",AVERAGE(LARGE(I1603:L1603,1),LARGE(I1603:L1603,2))))</f>
        <v>94</v>
      </c>
      <c r="AB1603" s="52">
        <f>IFERROR(INDEX('Aub Demand'!L:L,MATCH($O1603,'Aub Demand'!$A:$A,0)),"")</f>
        <v>662</v>
      </c>
      <c r="AC1603" s="52">
        <f>IFERROR(IF(O1603="","",SUMIFS('CPL Mats'!F:F,'CPL Mats'!Q:Q,AR1603,'CPL Mats'!S:S,AS1603)),"")</f>
        <v>7347</v>
      </c>
      <c r="AF1603" s="25">
        <f>IF(SUMIFS('Supp Consol'!S:S,'Supp Consol'!Y:Y,"Releasable",'Supp Consol'!A:A,O1603)=0,"",SUMIFS('Supp Consol'!S:S,'Supp Consol'!Y:Y,"Releasable",'Supp Consol'!A:A,O1603))</f>
        <v>709</v>
      </c>
      <c r="AG1603" s="25">
        <f>IFERROR(INDEX('Hun Demand'!Q:Q,MATCH(O1603,'Hun Demand'!A:A,0)),"")</f>
        <v>1978</v>
      </c>
      <c r="AH1603" s="25">
        <f>IFERROR(INDEX('Hun Demand'!H:H,MATCH($O1603,'Hun Demand'!$A:$A,0)),"")</f>
        <v>247</v>
      </c>
      <c r="AI1603" s="25" t="str">
        <f>IF(SUMIFS('Supp Consol'!AA:AA,'Supp Consol'!Z:Z,"Expires this month",'Supp Consol'!A:A,O1603)=0,"",SUMIFS('Supp Consol'!AA:AA,'Supp Consol'!Z:Z,"Expires this month",'Supp Consol'!A:A,O1603))</f>
        <v/>
      </c>
      <c r="AJ1603" s="25" t="str">
        <f>IF(SUMIFS('Supp Consol'!AA:AA,'Supp Consol'!Z:Z,"Expired Previous Months",'Supp Consol'!A:A,O1603)=0,"",SUMIFS('Supp Consol'!AA:AA,'Supp Consol'!Z:Z,"Expired Previous Months",'Supp Consol'!A:A,O1603))</f>
        <v/>
      </c>
      <c r="AK1603" s="25" t="str">
        <f>IFERROR(INDEX('Hun Release Current'!B:B,MATCH(O1603,'Hun Release Current'!A:A,0)),"")</f>
        <v/>
      </c>
      <c r="AL1603" s="25" t="str">
        <f>IF(SUMIF('Prev Aub'!A:A,O1603,'Prev Aub'!B:B)=0,"",SUMIF('Prev Aub'!A:A,O1603,'Prev Aub'!B:B))</f>
        <v/>
      </c>
      <c r="AN1603" s="25" t="s">
        <v>3790</v>
      </c>
      <c r="AO1603" s="25" t="s">
        <v>3790</v>
      </c>
      <c r="AP1603" s="25">
        <f t="shared" ref="AP1603:AP1666" si="706">IFERROR(IF(O1603="","",IF(AN1603="",0,VALUE(AN1603)-(VALUE(AN1603)*0.2))),"")</f>
        <v>0</v>
      </c>
      <c r="AQ1603" s="151" t="str">
        <f>IF(SUMIFS('Supp Consol'!S:S,'Supp Consol'!A:A,O1603,'Supp Consol'!I:I,"PENDING")=0,"",SUMIFS('Supp Consol'!S:S,'Supp Consol'!A:A,O1603,'Supp Consol'!I:I,"PENDING"))</f>
        <v/>
      </c>
      <c r="AR1603" s="27" t="str">
        <f t="shared" ref="AR1603:AR1666" si="707">MID(O1603,4,5)</f>
        <v>WX115</v>
      </c>
      <c r="AS1603" s="27" t="str">
        <f t="shared" ref="AS1603:AS1666" si="708">MID(O1603,10,2)</f>
        <v>50</v>
      </c>
      <c r="AT1603" s="27" t="str">
        <f t="shared" ref="AT1603:AT1666" si="709">IF(S1603&lt;3.1,AR1603,"")</f>
        <v/>
      </c>
      <c r="AU1603" s="27" t="str">
        <f t="shared" ref="AU1603:AU1666" si="710">IF(Y1603&lt;3.1,AR1603,"")</f>
        <v/>
      </c>
      <c r="AV1603" s="27" t="str">
        <f t="shared" ref="AV1603:AV1666" si="711">IF(AND(AA1603="Spike",L1603=0,K1603=0,X1603&gt;=0),"",IF(Y1603&lt;3.1,AR1603,""))</f>
        <v/>
      </c>
      <c r="AW1603" s="27" t="str">
        <f t="shared" ref="AW1603:AW1666" si="712">IF(AI1603=AL1603,"",IF(OR(AI1603&lt;&gt;"",AJ1603&lt;&gt;""),AR1603,""))</f>
        <v/>
      </c>
      <c r="AX1603" s="27" t="str">
        <f t="shared" ref="AX1603:AX1666" si="713">IF(AF1603&lt;&gt;"",AR1603,"")</f>
        <v>WX115</v>
      </c>
      <c r="AY1603" s="27" t="str">
        <f t="shared" ref="AY1603:AY1666" si="714">IF(AND(AG1603&lt;&gt;"",AG1603&gt;AH1603),AR1603,"")</f>
        <v>WX115</v>
      </c>
      <c r="AZ1603" s="27" t="str">
        <f t="shared" ref="AZ1603:AZ1666" si="715">IFERROR(IF(O1603="","",IF(ISERROR(MATCH(AR1603,AX:AX,0)),"","Supp")),"")</f>
        <v>Supp</v>
      </c>
      <c r="BA1603" s="27" t="str">
        <f t="shared" ref="BA1603:BA1666" si="716">IFERROR(IF(O1603="","",IF(ISERROR(MATCH(AR1603,AY:AY,0)),"","Hun")),"")</f>
        <v>Hun</v>
      </c>
      <c r="BB1603" s="27" t="str">
        <f t="shared" ref="BB1603:BB1666" si="717">IFERROR(IF(O1603="","",IF(ISERROR(MATCH(AR1603,AT:AT,0)),"","Gross")),"")</f>
        <v/>
      </c>
      <c r="BC1603" s="27" t="str">
        <f t="shared" ref="BC1603:BC1666" si="718">IFERROR(IF(O1603="","",IF(ISERROR(MATCH(AR1603,AU:AU,0)),"","Net")),"")</f>
        <v/>
      </c>
      <c r="BD1603" s="27" t="str">
        <f t="shared" ref="BD1603:BD1666" si="719">IFERROR(IF(O1603="","",IF(ISERROR(MATCH(AR1603,AV:AV,0)),"","Net")),"")</f>
        <v/>
      </c>
      <c r="BE1603" s="27" t="str">
        <f t="shared" ref="BE1603:BE1666" si="720">IFERROR(IF(O1603="","",IF(ISERROR(MATCH(AR1603,AW:AW,0)),"","Exp")),"")</f>
        <v/>
      </c>
      <c r="BF1603" s="27" t="str">
        <f t="shared" ref="BF1603:BF1666" si="721">IFERROR(IF(O1603="","",IF(AND(AZ1603="Supp",BC1603="Net"),"S+N","")),"")</f>
        <v/>
      </c>
      <c r="BG1603" s="27" t="str">
        <f t="shared" ref="BG1603:BG1666" si="722">IFERROR(IF(O1603="","",IF(OR(BE1603&lt;&gt;"",BF1603&lt;&gt;""),"S+NorE","")),"")</f>
        <v/>
      </c>
      <c r="BH1603" s="27" t="str">
        <f t="shared" ref="BH1603:BH1666" si="723">IFERROR(IF(O1603="","",IF(AND(BA1603&lt;&gt;"",BC1603&lt;&gt;""),"H+N","")),"")</f>
        <v/>
      </c>
      <c r="BI1603" s="27" t="str">
        <f t="shared" ref="BI1603:BI1666" si="724">IFERROR(IF(O1603="","",IF(AND(BA1603&lt;&gt;"",BD1603&lt;&gt;""),"H+Nex","")),"")</f>
        <v/>
      </c>
      <c r="BJ1603" s="27" t="str">
        <f t="shared" ref="BJ1603:BJ1666" si="725">IF(OR(AZ1603&lt;&gt;"",BA1603&lt;&gt;""),"Supp or Hun","")</f>
        <v>Supp or Hun</v>
      </c>
      <c r="BK1603" s="27" t="str">
        <f t="shared" ref="BK1603:BK1666" si="726">IF(AND(BJ1603&lt;&gt;"",BC1603&lt;&gt;""),"Supp or Hun Need","")</f>
        <v/>
      </c>
      <c r="BL1603" s="27" t="str">
        <f t="shared" ref="BL1603:BL1666" si="727">IF(OR(BK1603&lt;&gt;"",BE1603&lt;&gt;""),"SorHandNandE","")</f>
        <v/>
      </c>
      <c r="BM1603" s="21" t="s">
        <v>5581</v>
      </c>
    </row>
    <row r="1604" spans="1:65" ht="15">
      <c r="A1604" s="25">
        <f>IFERROR(INDEX('Hun Demand'!W:W,MATCH(O1604,'Hun Demand'!A:A,0)),"")</f>
        <v>3382</v>
      </c>
      <c r="B1604" s="25">
        <f>IFERROR(INDEX('Hun Demand'!V:V,MATCH(O1604,'Hun Demand'!A:A,0)),"")</f>
        <v>3966</v>
      </c>
      <c r="C1604" s="25">
        <f>IFERROR(INDEX('Hun Demand'!U:U,MATCH(O1604,'Hun Demand'!A:A,0)),"")</f>
        <v>4102</v>
      </c>
      <c r="D1604" s="25">
        <f>IFERROR(INDEX('Hun Demand'!T:T,MATCH(O1604,'Hun Demand'!A:A,0)),"")</f>
        <v>2459</v>
      </c>
      <c r="E1604" s="25">
        <f>IFERROR(INDEX('Hun Demand'!S:S,MATCH(O1604,'Hun Demand'!A:A,0)),"")</f>
        <v>2984</v>
      </c>
      <c r="F1604" s="25">
        <f>IFERROR(INDEX('Hun Demand'!R:R,MATCH(O1604,'Hun Demand'!A:A,0)),"")</f>
        <v>546</v>
      </c>
      <c r="G1604" s="25">
        <f>IFERROR(INDEX('Aub Demand'!W:W,MATCH(O1604,'Aub Demand'!A:A,0)),"")</f>
        <v>100</v>
      </c>
      <c r="H1604" s="25">
        <f>IFERROR(INDEX('Aub Demand'!V:V,MATCH(O1604,'Aub Demand'!A:A,0)),"")</f>
        <v>44</v>
      </c>
      <c r="I1604" s="25">
        <f>IFERROR(INDEX('Aub Demand'!U:U,MATCH(O1604,'Aub Demand'!A:A,0)),"")</f>
        <v>41</v>
      </c>
      <c r="J1604" s="25">
        <f>IFERROR(INDEX('Aub Demand'!T:T,MATCH(O1604,'Aub Demand'!A:A,0)),"")</f>
        <v>95</v>
      </c>
      <c r="K1604" s="25">
        <f>IFERROR(INDEX('Aub Demand'!S:S,MATCH(O1604,'Aub Demand'!A:A,0)),"")</f>
        <v>75</v>
      </c>
      <c r="L1604" s="25">
        <f>IFERROR(INDEX('Aub Demand'!R:R,MATCH(O1604,'Aub Demand'!A:A,0)),"")</f>
        <v>0</v>
      </c>
      <c r="O1604" s="27" t="s">
        <v>3164</v>
      </c>
      <c r="P1604" s="27" t="str">
        <f>IFERROR(INDEX('Aub Demand'!B:B,MATCH($O1604,'Aub Demand'!$A:$A,0)),"")</f>
        <v>GIANT GRAY BAMBOO</v>
      </c>
      <c r="Q1604" s="27" t="str">
        <f>IFERROR(INDEX('Aub Demand'!C:C,MATCH($O1604,'Aub Demand'!$A:$A,0)),"")</f>
        <v>INTER</v>
      </c>
      <c r="R1604" s="52">
        <f>IFERROR(IF(AR1605=AR1604,INDEX('Aub Demand'!K:K,MATCH($O1604,'Aub Demand'!$A:$A,0))-IF(AN1604="",0,AN1604)+AP1605,INDEX('Aub Demand'!K:K,MATCH($O1604,'Aub Demand'!$A:$A,0))-IF(AN1604="",0,AN1604)),"")</f>
        <v>1283</v>
      </c>
      <c r="S1604" s="53">
        <f t="shared" si="700"/>
        <v>78.599999999999994</v>
      </c>
      <c r="T1604" s="52" t="str">
        <f t="shared" si="701"/>
        <v/>
      </c>
      <c r="U1604" s="52">
        <f>IFERROR(IF(AR1605=AR1604,INDEX('Aub Demand'!Q:Q,MATCH($O1604,'Aub Demand'!$A:$A,0))-IF(AN1604="",0,AN1604)+AP1605,INDEX('Aub Demand'!Q:Q,MATCH($O1604,'Aub Demand'!$A:$A,0))-IF(AN1604="",0,AN1604)),"")</f>
        <v>1207</v>
      </c>
      <c r="V1604" s="53">
        <f t="shared" si="702"/>
        <v>73.900000000000006</v>
      </c>
      <c r="W1604" s="52" t="str">
        <f t="shared" si="703"/>
        <v/>
      </c>
      <c r="X1604" s="52">
        <f>IFERROR(IF(AND(AR1605=AR1604,AM1604&lt;&gt;""),INDEX('Aub Demand'!Q:Q,MATCH($O1604,'Aub Demand'!$A:$A,0))-IF(AN1604="",0,AN1604)+AP1605+AD1604+AL1604,IF(AR1605=AR1604,INDEX('Aub Demand'!Q:Q,MATCH($O1604,'Aub Demand'!$A:$A,0))-IF(AN1604="",0,AN1604)+AP1605+AD1604,IF(AM1604&lt;&gt;"",INDEX('Aub Demand'!Q:Q,MATCH($O1604,'Aub Demand'!$A:$A,0))-IF(AN1604="",0,AN1604)+AD1604+AL1604,INDEX('Aub Demand'!Q:Q,MATCH($O1604,'Aub Demand'!$A:$A,0))-IF(AN1604="",0,AN1604)+AD1604))),"")</f>
        <v>1207</v>
      </c>
      <c r="Y1604" s="53">
        <f t="shared" si="704"/>
        <v>73.900000000000006</v>
      </c>
      <c r="Z1604" s="52">
        <f>IF(L1604="","",INDEX('Aub Demand'!H:H,MATCH($O1604,'Aub Demand'!$A:$A,0)))</f>
        <v>70</v>
      </c>
      <c r="AA1604" s="52">
        <f t="shared" si="705"/>
        <v>85</v>
      </c>
      <c r="AB1604" s="52">
        <f>IFERROR(INDEX('Aub Demand'!L:L,MATCH($O1604,'Aub Demand'!$A:$A,0)),"")</f>
        <v>79</v>
      </c>
      <c r="AC1604" s="52">
        <f>IFERROR(IF(O1604="","",SUMIFS('CPL Mats'!F:F,'CPL Mats'!Q:Q,AR1604,'CPL Mats'!S:S,AS1604)),"")</f>
        <v>0</v>
      </c>
      <c r="AF1604" s="25">
        <f>IF(SUMIFS('Supp Consol'!S:S,'Supp Consol'!Y:Y,"Releasable",'Supp Consol'!A:A,O1604)=0,"",SUMIFS('Supp Consol'!S:S,'Supp Consol'!Y:Y,"Releasable",'Supp Consol'!A:A,O1604))</f>
        <v>5693</v>
      </c>
      <c r="AG1604" s="25">
        <f>IFERROR(INDEX('Hun Demand'!Q:Q,MATCH(O1604,'Hun Demand'!A:A,0)),"")</f>
        <v>2236</v>
      </c>
      <c r="AH1604" s="25">
        <f>IFERROR(INDEX('Hun Demand'!H:H,MATCH($O1604,'Hun Demand'!$A:$A,0)),"")</f>
        <v>3182</v>
      </c>
      <c r="AI1604" s="25" t="str">
        <f>IF(SUMIFS('Supp Consol'!AA:AA,'Supp Consol'!Z:Z,"Expires this month",'Supp Consol'!A:A,O1604)=0,"",SUMIFS('Supp Consol'!AA:AA,'Supp Consol'!Z:Z,"Expires this month",'Supp Consol'!A:A,O1604))</f>
        <v/>
      </c>
      <c r="AJ1604" s="25" t="str">
        <f>IF(SUMIFS('Supp Consol'!AA:AA,'Supp Consol'!Z:Z,"Expired Previous Months",'Supp Consol'!A:A,O1604)=0,"",SUMIFS('Supp Consol'!AA:AA,'Supp Consol'!Z:Z,"Expired Previous Months",'Supp Consol'!A:A,O1604))</f>
        <v/>
      </c>
      <c r="AK1604" s="25" t="str">
        <f>IFERROR(INDEX('Hun Release Current'!B:B,MATCH(O1604,'Hun Release Current'!A:A,0)),"")</f>
        <v/>
      </c>
      <c r="AL1604" s="25" t="str">
        <f>IF(SUMIF('Prev Aub'!A:A,O1604,'Prev Aub'!B:B)=0,"",SUMIF('Prev Aub'!A:A,O1604,'Prev Aub'!B:B))</f>
        <v/>
      </c>
      <c r="AN1604" s="25" t="s">
        <v>3790</v>
      </c>
      <c r="AO1604" s="25" t="s">
        <v>3790</v>
      </c>
      <c r="AP1604" s="25">
        <f t="shared" si="706"/>
        <v>0</v>
      </c>
      <c r="AQ1604" s="151" t="str">
        <f>IF(SUMIFS('Supp Consol'!S:S,'Supp Consol'!A:A,O1604,'Supp Consol'!I:I,"PENDING")=0,"",SUMIFS('Supp Consol'!S:S,'Supp Consol'!A:A,O1604,'Supp Consol'!I:I,"PENDING"))</f>
        <v/>
      </c>
      <c r="AR1604" s="27" t="str">
        <f t="shared" si="707"/>
        <v>WX115</v>
      </c>
      <c r="AS1604" s="27" t="str">
        <f t="shared" si="708"/>
        <v>62</v>
      </c>
      <c r="AT1604" s="27" t="str">
        <f t="shared" si="709"/>
        <v/>
      </c>
      <c r="AU1604" s="27" t="str">
        <f t="shared" si="710"/>
        <v/>
      </c>
      <c r="AV1604" s="27" t="str">
        <f t="shared" si="711"/>
        <v/>
      </c>
      <c r="AW1604" s="27" t="str">
        <f t="shared" si="712"/>
        <v/>
      </c>
      <c r="AX1604" s="27" t="str">
        <f t="shared" si="713"/>
        <v>WX115</v>
      </c>
      <c r="AY1604" s="27" t="str">
        <f t="shared" si="714"/>
        <v/>
      </c>
      <c r="AZ1604" s="27" t="str">
        <f t="shared" si="715"/>
        <v>Supp</v>
      </c>
      <c r="BA1604" s="27" t="str">
        <f t="shared" si="716"/>
        <v>Hun</v>
      </c>
      <c r="BB1604" s="27" t="str">
        <f t="shared" si="717"/>
        <v/>
      </c>
      <c r="BC1604" s="27" t="str">
        <f t="shared" si="718"/>
        <v/>
      </c>
      <c r="BD1604" s="27" t="str">
        <f t="shared" si="719"/>
        <v/>
      </c>
      <c r="BE1604" s="27" t="str">
        <f t="shared" si="720"/>
        <v/>
      </c>
      <c r="BF1604" s="27" t="str">
        <f t="shared" si="721"/>
        <v/>
      </c>
      <c r="BG1604" s="27" t="str">
        <f t="shared" si="722"/>
        <v/>
      </c>
      <c r="BH1604" s="27" t="str">
        <f t="shared" si="723"/>
        <v/>
      </c>
      <c r="BI1604" s="27" t="str">
        <f t="shared" si="724"/>
        <v/>
      </c>
      <c r="BJ1604" s="27" t="str">
        <f t="shared" si="725"/>
        <v>Supp or Hun</v>
      </c>
      <c r="BK1604" s="27" t="str">
        <f t="shared" si="726"/>
        <v/>
      </c>
      <c r="BL1604" s="27" t="str">
        <f t="shared" si="727"/>
        <v/>
      </c>
      <c r="BM1604" s="21" t="s">
        <v>5581</v>
      </c>
    </row>
    <row r="1605" spans="1:65" ht="15">
      <c r="A1605" s="25">
        <f>IFERROR(INDEX('Hun Demand'!W:W,MATCH(O1605,'Hun Demand'!A:A,0)),"")</f>
        <v>1222</v>
      </c>
      <c r="B1605" s="25">
        <f>IFERROR(INDEX('Hun Demand'!V:V,MATCH(O1605,'Hun Demand'!A:A,0)),"")</f>
        <v>899</v>
      </c>
      <c r="C1605" s="25">
        <f>IFERROR(INDEX('Hun Demand'!U:U,MATCH(O1605,'Hun Demand'!A:A,0)),"")</f>
        <v>392</v>
      </c>
      <c r="D1605" s="25">
        <f>IFERROR(INDEX('Hun Demand'!T:T,MATCH(O1605,'Hun Demand'!A:A,0)),"")</f>
        <v>258</v>
      </c>
      <c r="E1605" s="25">
        <f>IFERROR(INDEX('Hun Demand'!S:S,MATCH(O1605,'Hun Demand'!A:A,0)),"")</f>
        <v>0</v>
      </c>
      <c r="F1605" s="25">
        <f>IFERROR(INDEX('Hun Demand'!R:R,MATCH(O1605,'Hun Demand'!A:A,0)),"")</f>
        <v>0</v>
      </c>
      <c r="G1605" s="25">
        <f>IFERROR(INDEX('Aub Demand'!W:W,MATCH(O1605,'Aub Demand'!A:A,0)),"")</f>
        <v>0</v>
      </c>
      <c r="H1605" s="25">
        <f>IFERROR(INDEX('Aub Demand'!V:V,MATCH(O1605,'Aub Demand'!A:A,0)),"")</f>
        <v>0</v>
      </c>
      <c r="I1605" s="25">
        <f>IFERROR(INDEX('Aub Demand'!U:U,MATCH(O1605,'Aub Demand'!A:A,0)),"")</f>
        <v>0</v>
      </c>
      <c r="J1605" s="25">
        <f>IFERROR(INDEX('Aub Demand'!T:T,MATCH(O1605,'Aub Demand'!A:A,0)),"")</f>
        <v>0</v>
      </c>
      <c r="K1605" s="25">
        <f>IFERROR(INDEX('Aub Demand'!S:S,MATCH(O1605,'Aub Demand'!A:A,0)),"")</f>
        <v>0</v>
      </c>
      <c r="L1605" s="25">
        <f>IFERROR(INDEX('Aub Demand'!R:R,MATCH(O1605,'Aub Demand'!A:A,0)),"")</f>
        <v>0</v>
      </c>
      <c r="O1605" s="27" t="s">
        <v>1923</v>
      </c>
      <c r="P1605" s="27" t="str">
        <f>IFERROR(INDEX('Aub Demand'!B:B,MATCH($O1605,'Aub Demand'!$A:$A,0)),"")</f>
        <v>BUSH CALVA APPLE</v>
      </c>
      <c r="Q1605" s="27" t="str">
        <f>IFERROR(INDEX('Aub Demand'!C:C,MATCH($O1605,'Aub Demand'!$A:$A,0)),"")</f>
        <v>SUDDE</v>
      </c>
      <c r="R1605" s="52">
        <f>IFERROR(IF(AR1606=AR1605,INDEX('Aub Demand'!K:K,MATCH($O1605,'Aub Demand'!$A:$A,0))-IF(AN1605="",0,AN1605)+AP1606,INDEX('Aub Demand'!K:K,MATCH($O1605,'Aub Demand'!$A:$A,0))-IF(AN1605="",0,AN1605)),"")</f>
        <v>246</v>
      </c>
      <c r="S1605" s="53" t="str">
        <f t="shared" si="700"/>
        <v>n/a</v>
      </c>
      <c r="T1605" s="52" t="str">
        <f t="shared" si="701"/>
        <v/>
      </c>
      <c r="U1605" s="52">
        <f>IFERROR(IF(AR1606=AR1605,INDEX('Aub Demand'!Q:Q,MATCH($O1605,'Aub Demand'!$A:$A,0))-IF(AN1605="",0,AN1605)+AP1606,INDEX('Aub Demand'!Q:Q,MATCH($O1605,'Aub Demand'!$A:$A,0))-IF(AN1605="",0,AN1605)),"")</f>
        <v>246</v>
      </c>
      <c r="V1605" s="53" t="str">
        <f t="shared" si="702"/>
        <v>n/a</v>
      </c>
      <c r="W1605" s="52" t="str">
        <f t="shared" si="703"/>
        <v/>
      </c>
      <c r="X1605" s="52">
        <f>IFERROR(IF(AND(AR1606=AR1605,AM1605&lt;&gt;""),INDEX('Aub Demand'!Q:Q,MATCH($O1605,'Aub Demand'!$A:$A,0))-IF(AN1605="",0,AN1605)+AP1606+AD1605+AL1605,IF(AR1606=AR1605,INDEX('Aub Demand'!Q:Q,MATCH($O1605,'Aub Demand'!$A:$A,0))-IF(AN1605="",0,AN1605)+AP1606+AD1605,IF(AM1605&lt;&gt;"",INDEX('Aub Demand'!Q:Q,MATCH($O1605,'Aub Demand'!$A:$A,0))-IF(AN1605="",0,AN1605)+AD1605+AL1605,INDEX('Aub Demand'!Q:Q,MATCH($O1605,'Aub Demand'!$A:$A,0))-IF(AN1605="",0,AN1605)+AD1605))),"")</f>
        <v>246</v>
      </c>
      <c r="Y1605" s="53" t="str">
        <f t="shared" si="704"/>
        <v>n/a</v>
      </c>
      <c r="Z1605" s="52">
        <f>IF(L1605="","",INDEX('Aub Demand'!H:H,MATCH($O1605,'Aub Demand'!$A:$A,0)))</f>
        <v>0</v>
      </c>
      <c r="AA1605" s="52" t="str">
        <f t="shared" si="705"/>
        <v>-spike-</v>
      </c>
      <c r="AB1605" s="52">
        <f>IFERROR(INDEX('Aub Demand'!L:L,MATCH($O1605,'Aub Demand'!$A:$A,0)),"")</f>
        <v>0</v>
      </c>
      <c r="AC1605" s="52">
        <f>IFERROR(IF(O1605="","",SUMIFS('CPL Mats'!F:F,'CPL Mats'!Q:Q,AR1605,'CPL Mats'!S:S,AS1605)),"")</f>
        <v>0</v>
      </c>
      <c r="AF1605" s="25" t="str">
        <f>IF(SUMIFS('Supp Consol'!S:S,'Supp Consol'!Y:Y,"Releasable",'Supp Consol'!A:A,O1605)=0,"",SUMIFS('Supp Consol'!S:S,'Supp Consol'!Y:Y,"Releasable",'Supp Consol'!A:A,O1605))</f>
        <v/>
      </c>
      <c r="AG1605" s="25">
        <f>IFERROR(INDEX('Hun Demand'!Q:Q,MATCH(O1605,'Hun Demand'!A:A,0)),"")</f>
        <v>2197</v>
      </c>
      <c r="AH1605" s="25">
        <f>IFERROR(INDEX('Hun Demand'!H:H,MATCH($O1605,'Hun Demand'!$A:$A,0)),"")</f>
        <v>217</v>
      </c>
      <c r="AI1605" s="25" t="str">
        <f>IF(SUMIFS('Supp Consol'!AA:AA,'Supp Consol'!Z:Z,"Expires this month",'Supp Consol'!A:A,O1605)=0,"",SUMIFS('Supp Consol'!AA:AA,'Supp Consol'!Z:Z,"Expires this month",'Supp Consol'!A:A,O1605))</f>
        <v/>
      </c>
      <c r="AJ1605" s="25" t="str">
        <f>IF(SUMIFS('Supp Consol'!AA:AA,'Supp Consol'!Z:Z,"Expired Previous Months",'Supp Consol'!A:A,O1605)=0,"",SUMIFS('Supp Consol'!AA:AA,'Supp Consol'!Z:Z,"Expired Previous Months",'Supp Consol'!A:A,O1605))</f>
        <v/>
      </c>
      <c r="AK1605" s="25" t="str">
        <f>IFERROR(INDEX('Hun Release Current'!B:B,MATCH(O1605,'Hun Release Current'!A:A,0)),"")</f>
        <v/>
      </c>
      <c r="AL1605" s="25" t="str">
        <f>IF(SUMIF('Prev Aub'!A:A,O1605,'Prev Aub'!B:B)=0,"",SUMIF('Prev Aub'!A:A,O1605,'Prev Aub'!B:B))</f>
        <v/>
      </c>
      <c r="AN1605" s="25" t="s">
        <v>3790</v>
      </c>
      <c r="AO1605" s="25" t="s">
        <v>3790</v>
      </c>
      <c r="AP1605" s="25">
        <f t="shared" si="706"/>
        <v>0</v>
      </c>
      <c r="AQ1605" s="151" t="str">
        <f>IF(SUMIFS('Supp Consol'!S:S,'Supp Consol'!A:A,O1605,'Supp Consol'!I:I,"PENDING")=0,"",SUMIFS('Supp Consol'!S:S,'Supp Consol'!A:A,O1605,'Supp Consol'!I:I,"PENDING"))</f>
        <v/>
      </c>
      <c r="AR1605" s="27" t="str">
        <f t="shared" si="707"/>
        <v>WX125</v>
      </c>
      <c r="AS1605" s="27" t="str">
        <f t="shared" si="708"/>
        <v>62</v>
      </c>
      <c r="AT1605" s="27" t="str">
        <f t="shared" si="709"/>
        <v/>
      </c>
      <c r="AU1605" s="27" t="str">
        <f t="shared" si="710"/>
        <v/>
      </c>
      <c r="AV1605" s="27" t="str">
        <f t="shared" si="711"/>
        <v/>
      </c>
      <c r="AW1605" s="27" t="str">
        <f t="shared" si="712"/>
        <v/>
      </c>
      <c r="AX1605" s="27" t="str">
        <f t="shared" si="713"/>
        <v/>
      </c>
      <c r="AY1605" s="27" t="str">
        <f t="shared" si="714"/>
        <v>WX125</v>
      </c>
      <c r="AZ1605" s="27" t="str">
        <f t="shared" si="715"/>
        <v/>
      </c>
      <c r="BA1605" s="27" t="str">
        <f t="shared" si="716"/>
        <v>Hun</v>
      </c>
      <c r="BB1605" s="27" t="str">
        <f t="shared" si="717"/>
        <v/>
      </c>
      <c r="BC1605" s="27" t="str">
        <f t="shared" si="718"/>
        <v/>
      </c>
      <c r="BD1605" s="27" t="str">
        <f t="shared" si="719"/>
        <v/>
      </c>
      <c r="BE1605" s="27" t="str">
        <f t="shared" si="720"/>
        <v/>
      </c>
      <c r="BF1605" s="27" t="str">
        <f t="shared" si="721"/>
        <v/>
      </c>
      <c r="BG1605" s="27" t="str">
        <f t="shared" si="722"/>
        <v/>
      </c>
      <c r="BH1605" s="27" t="str">
        <f t="shared" si="723"/>
        <v/>
      </c>
      <c r="BI1605" s="27" t="str">
        <f t="shared" si="724"/>
        <v/>
      </c>
      <c r="BJ1605" s="27" t="str">
        <f t="shared" si="725"/>
        <v>Supp or Hun</v>
      </c>
      <c r="BK1605" s="27" t="str">
        <f t="shared" si="726"/>
        <v/>
      </c>
      <c r="BL1605" s="27" t="str">
        <f t="shared" si="727"/>
        <v/>
      </c>
      <c r="BM1605" s="21" t="s">
        <v>5582</v>
      </c>
    </row>
    <row r="1606" spans="1:65" ht="15">
      <c r="A1606" s="25" t="str">
        <f>IFERROR(INDEX('Hun Demand'!W:W,MATCH(O1606,'Hun Demand'!A:A,0)),"")</f>
        <v/>
      </c>
      <c r="B1606" s="25" t="str">
        <f>IFERROR(INDEX('Hun Demand'!V:V,MATCH(O1606,'Hun Demand'!A:A,0)),"")</f>
        <v/>
      </c>
      <c r="C1606" s="25" t="str">
        <f>IFERROR(INDEX('Hun Demand'!U:U,MATCH(O1606,'Hun Demand'!A:A,0)),"")</f>
        <v/>
      </c>
      <c r="D1606" s="25" t="str">
        <f>IFERROR(INDEX('Hun Demand'!T:T,MATCH(O1606,'Hun Demand'!A:A,0)),"")</f>
        <v/>
      </c>
      <c r="E1606" s="25" t="str">
        <f>IFERROR(INDEX('Hun Demand'!S:S,MATCH(O1606,'Hun Demand'!A:A,0)),"")</f>
        <v/>
      </c>
      <c r="F1606" s="25" t="str">
        <f>IFERROR(INDEX('Hun Demand'!R:R,MATCH(O1606,'Hun Demand'!A:A,0)),"")</f>
        <v/>
      </c>
      <c r="G1606" s="25">
        <f>IFERROR(INDEX('Aub Demand'!W:W,MATCH(O1606,'Aub Demand'!A:A,0)),"")</f>
        <v>0</v>
      </c>
      <c r="H1606" s="25">
        <f>IFERROR(INDEX('Aub Demand'!V:V,MATCH(O1606,'Aub Demand'!A:A,0)),"")</f>
        <v>0</v>
      </c>
      <c r="I1606" s="25">
        <f>IFERROR(INDEX('Aub Demand'!U:U,MATCH(O1606,'Aub Demand'!A:A,0)),"")</f>
        <v>157</v>
      </c>
      <c r="J1606" s="25">
        <f>IFERROR(INDEX('Aub Demand'!T:T,MATCH(O1606,'Aub Demand'!A:A,0)),"")</f>
        <v>79</v>
      </c>
      <c r="K1606" s="25">
        <f>IFERROR(INDEX('Aub Demand'!S:S,MATCH(O1606,'Aub Demand'!A:A,0)),"")</f>
        <v>0</v>
      </c>
      <c r="L1606" s="25">
        <f>IFERROR(INDEX('Aub Demand'!R:R,MATCH(O1606,'Aub Demand'!A:A,0)),"")</f>
        <v>0</v>
      </c>
      <c r="O1606" s="27" t="s">
        <v>1925</v>
      </c>
      <c r="P1606" s="27" t="str">
        <f>IFERROR(INDEX('Aub Demand'!B:B,MATCH($O1606,'Aub Demand'!$A:$A,0)),"")</f>
        <v>SABBIA L02 (ONLY 58"</v>
      </c>
      <c r="Q1606" s="27" t="str">
        <f>IFERROR(INDEX('Aub Demand'!C:C,MATCH($O1606,'Aub Demand'!$A:$A,0)),"")</f>
        <v>STEVE</v>
      </c>
      <c r="R1606" s="52">
        <f>IFERROR(IF(AR1607=AR1606,INDEX('Aub Demand'!K:K,MATCH($O1606,'Aub Demand'!$A:$A,0))-IF(AN1606="",0,AN1606)+AP1607,INDEX('Aub Demand'!K:K,MATCH($O1606,'Aub Demand'!$A:$A,0))-IF(AN1606="",0,AN1606)),"")</f>
        <v>1389</v>
      </c>
      <c r="S1606" s="53">
        <f t="shared" si="700"/>
        <v>75.400000000000006</v>
      </c>
      <c r="T1606" s="52" t="str">
        <f t="shared" si="701"/>
        <v/>
      </c>
      <c r="U1606" s="52">
        <f>IFERROR(IF(AR1607=AR1606,INDEX('Aub Demand'!Q:Q,MATCH($O1606,'Aub Demand'!$A:$A,0))-IF(AN1606="",0,AN1606)+AP1607,INDEX('Aub Demand'!Q:Q,MATCH($O1606,'Aub Demand'!$A:$A,0))-IF(AN1606="",0,AN1606)),"")</f>
        <v>1389</v>
      </c>
      <c r="V1606" s="53">
        <f t="shared" si="702"/>
        <v>75.400000000000006</v>
      </c>
      <c r="W1606" s="52" t="str">
        <f t="shared" si="703"/>
        <v/>
      </c>
      <c r="X1606" s="52">
        <f>IFERROR(IF(AND(AR1607=AR1606,AM1606&lt;&gt;""),INDEX('Aub Demand'!Q:Q,MATCH($O1606,'Aub Demand'!$A:$A,0))-IF(AN1606="",0,AN1606)+AP1607+AD1606+AL1606,IF(AR1607=AR1606,INDEX('Aub Demand'!Q:Q,MATCH($O1606,'Aub Demand'!$A:$A,0))-IF(AN1606="",0,AN1606)+AP1607+AD1606,IF(AM1606&lt;&gt;"",INDEX('Aub Demand'!Q:Q,MATCH($O1606,'Aub Demand'!$A:$A,0))-IF(AN1606="",0,AN1606)+AD1606+AL1606,INDEX('Aub Demand'!Q:Q,MATCH($O1606,'Aub Demand'!$A:$A,0))-IF(AN1606="",0,AN1606)+AD1606))),"")</f>
        <v>1389</v>
      </c>
      <c r="Y1606" s="53">
        <f t="shared" si="704"/>
        <v>75.400000000000006</v>
      </c>
      <c r="Z1606" s="52">
        <f>IF(L1606="","",INDEX('Aub Demand'!H:H,MATCH($O1606,'Aub Demand'!$A:$A,0)))</f>
        <v>79</v>
      </c>
      <c r="AA1606" s="52">
        <f t="shared" si="705"/>
        <v>118</v>
      </c>
      <c r="AB1606" s="52">
        <f>IFERROR(INDEX('Aub Demand'!L:L,MATCH($O1606,'Aub Demand'!$A:$A,0)),"")</f>
        <v>3</v>
      </c>
      <c r="AC1606" s="52">
        <f>IFERROR(IF(O1606="","",SUMIFS('CPL Mats'!F:F,'CPL Mats'!Q:Q,AR1606,'CPL Mats'!S:S,AS1606)),"")</f>
        <v>0</v>
      </c>
      <c r="AF1606" s="25" t="str">
        <f>IF(SUMIFS('Supp Consol'!S:S,'Supp Consol'!Y:Y,"Releasable",'Supp Consol'!A:A,O1606)=0,"",SUMIFS('Supp Consol'!S:S,'Supp Consol'!Y:Y,"Releasable",'Supp Consol'!A:A,O1606))</f>
        <v/>
      </c>
      <c r="AG1606" s="25" t="str">
        <f>IFERROR(INDEX('Hun Demand'!Q:Q,MATCH(O1606,'Hun Demand'!A:A,0)),"")</f>
        <v/>
      </c>
      <c r="AH1606" s="25" t="str">
        <f>IFERROR(INDEX('Hun Demand'!H:H,MATCH($O1606,'Hun Demand'!$A:$A,0)),"")</f>
        <v/>
      </c>
      <c r="AI1606" s="25" t="str">
        <f>IF(SUMIFS('Supp Consol'!AA:AA,'Supp Consol'!Z:Z,"Expires this month",'Supp Consol'!A:A,O1606)=0,"",SUMIFS('Supp Consol'!AA:AA,'Supp Consol'!Z:Z,"Expires this month",'Supp Consol'!A:A,O1606))</f>
        <v/>
      </c>
      <c r="AJ1606" s="25" t="str">
        <f>IF(SUMIFS('Supp Consol'!AA:AA,'Supp Consol'!Z:Z,"Expired Previous Months",'Supp Consol'!A:A,O1606)=0,"",SUMIFS('Supp Consol'!AA:AA,'Supp Consol'!Z:Z,"Expired Previous Months",'Supp Consol'!A:A,O1606))</f>
        <v/>
      </c>
      <c r="AK1606" s="25" t="str">
        <f>IFERROR(INDEX('Hun Release Current'!B:B,MATCH(O1606,'Hun Release Current'!A:A,0)),"")</f>
        <v/>
      </c>
      <c r="AL1606" s="25" t="str">
        <f>IF(SUMIF('Prev Aub'!A:A,O1606,'Prev Aub'!B:B)=0,"",SUMIF('Prev Aub'!A:A,O1606,'Prev Aub'!B:B))</f>
        <v/>
      </c>
      <c r="AN1606" s="25" t="s">
        <v>3790</v>
      </c>
      <c r="AO1606" s="25" t="s">
        <v>3790</v>
      </c>
      <c r="AP1606" s="25">
        <f t="shared" si="706"/>
        <v>0</v>
      </c>
      <c r="AQ1606" s="151" t="str">
        <f>IF(SUMIFS('Supp Consol'!S:S,'Supp Consol'!A:A,O1606,'Supp Consol'!I:I,"PENDING")=0,"",SUMIFS('Supp Consol'!S:S,'Supp Consol'!A:A,O1606,'Supp Consol'!I:I,"PENDING"))</f>
        <v/>
      </c>
      <c r="AR1606" s="27" t="str">
        <f t="shared" si="707"/>
        <v>WX150</v>
      </c>
      <c r="AS1606" s="27" t="str">
        <f t="shared" si="708"/>
        <v>62</v>
      </c>
      <c r="AT1606" s="27" t="str">
        <f t="shared" si="709"/>
        <v/>
      </c>
      <c r="AU1606" s="27" t="str">
        <f t="shared" si="710"/>
        <v/>
      </c>
      <c r="AV1606" s="27" t="str">
        <f t="shared" si="711"/>
        <v/>
      </c>
      <c r="AW1606" s="27" t="str">
        <f t="shared" si="712"/>
        <v/>
      </c>
      <c r="AX1606" s="27" t="str">
        <f t="shared" si="713"/>
        <v/>
      </c>
      <c r="AY1606" s="27" t="str">
        <f t="shared" si="714"/>
        <v/>
      </c>
      <c r="AZ1606" s="27" t="str">
        <f t="shared" si="715"/>
        <v/>
      </c>
      <c r="BA1606" s="27" t="str">
        <f t="shared" si="716"/>
        <v/>
      </c>
      <c r="BB1606" s="27" t="str">
        <f t="shared" si="717"/>
        <v/>
      </c>
      <c r="BC1606" s="27" t="str">
        <f t="shared" si="718"/>
        <v/>
      </c>
      <c r="BD1606" s="27" t="str">
        <f t="shared" si="719"/>
        <v/>
      </c>
      <c r="BE1606" s="27" t="str">
        <f t="shared" si="720"/>
        <v/>
      </c>
      <c r="BF1606" s="27" t="str">
        <f t="shared" si="721"/>
        <v/>
      </c>
      <c r="BG1606" s="27" t="str">
        <f t="shared" si="722"/>
        <v/>
      </c>
      <c r="BH1606" s="27" t="str">
        <f t="shared" si="723"/>
        <v/>
      </c>
      <c r="BI1606" s="27" t="str">
        <f t="shared" si="724"/>
        <v/>
      </c>
      <c r="BJ1606" s="27" t="str">
        <f t="shared" si="725"/>
        <v/>
      </c>
      <c r="BK1606" s="27" t="str">
        <f t="shared" si="726"/>
        <v/>
      </c>
      <c r="BL1606" s="27" t="str">
        <f t="shared" si="727"/>
        <v/>
      </c>
      <c r="BM1606" s="21" t="s">
        <v>5581</v>
      </c>
    </row>
    <row r="1607" spans="1:65" ht="15">
      <c r="A1607" s="25" t="str">
        <f>IFERROR(INDEX('Hun Demand'!W:W,MATCH(O1607,'Hun Demand'!A:A,0)),"")</f>
        <v/>
      </c>
      <c r="B1607" s="25" t="str">
        <f>IFERROR(INDEX('Hun Demand'!V:V,MATCH(O1607,'Hun Demand'!A:A,0)),"")</f>
        <v/>
      </c>
      <c r="C1607" s="25" t="str">
        <f>IFERROR(INDEX('Hun Demand'!U:U,MATCH(O1607,'Hun Demand'!A:A,0)),"")</f>
        <v/>
      </c>
      <c r="D1607" s="25" t="str">
        <f>IFERROR(INDEX('Hun Demand'!T:T,MATCH(O1607,'Hun Demand'!A:A,0)),"")</f>
        <v/>
      </c>
      <c r="E1607" s="25" t="str">
        <f>IFERROR(INDEX('Hun Demand'!S:S,MATCH(O1607,'Hun Demand'!A:A,0)),"")</f>
        <v/>
      </c>
      <c r="F1607" s="25" t="str">
        <f>IFERROR(INDEX('Hun Demand'!R:R,MATCH(O1607,'Hun Demand'!A:A,0)),"")</f>
        <v/>
      </c>
      <c r="G1607" s="25">
        <f>IFERROR(INDEX('Aub Demand'!W:W,MATCH(O1607,'Aub Demand'!A:A,0)),"")</f>
        <v>0</v>
      </c>
      <c r="H1607" s="25">
        <f>IFERROR(INDEX('Aub Demand'!V:V,MATCH(O1607,'Aub Demand'!A:A,0)),"")</f>
        <v>19</v>
      </c>
      <c r="I1607" s="25">
        <f>IFERROR(INDEX('Aub Demand'!U:U,MATCH(O1607,'Aub Demand'!A:A,0)),"")</f>
        <v>0</v>
      </c>
      <c r="J1607" s="25">
        <f>IFERROR(INDEX('Aub Demand'!T:T,MATCH(O1607,'Aub Demand'!A:A,0)),"")</f>
        <v>44</v>
      </c>
      <c r="K1607" s="25">
        <f>IFERROR(INDEX('Aub Demand'!S:S,MATCH(O1607,'Aub Demand'!A:A,0)),"")</f>
        <v>0</v>
      </c>
      <c r="L1607" s="25">
        <f>IFERROR(INDEX('Aub Demand'!R:R,MATCH(O1607,'Aub Demand'!A:A,0)),"")</f>
        <v>0</v>
      </c>
      <c r="O1607" s="27" t="s">
        <v>1927</v>
      </c>
      <c r="P1607" s="27" t="str">
        <f>IFERROR(INDEX('Aub Demand'!B:B,MATCH($O1607,'Aub Demand'!$A:$A,0)),"")</f>
        <v>ALISO L03 (ONLY 58"</v>
      </c>
      <c r="Q1607" s="27" t="str">
        <f>IFERROR(INDEX('Aub Demand'!C:C,MATCH($O1607,'Aub Demand'!$A:$A,0)),"")</f>
        <v>STEVE</v>
      </c>
      <c r="R1607" s="52">
        <f>IFERROR(IF(AR1608=AR1607,INDEX('Aub Demand'!K:K,MATCH($O1607,'Aub Demand'!$A:$A,0))-IF(AN1607="",0,AN1607)+AP1608,INDEX('Aub Demand'!K:K,MATCH($O1607,'Aub Demand'!$A:$A,0))-IF(AN1607="",0,AN1607)),"")</f>
        <v>477</v>
      </c>
      <c r="S1607" s="53">
        <f t="shared" si="700"/>
        <v>136.30000000000001</v>
      </c>
      <c r="T1607" s="52" t="str">
        <f t="shared" si="701"/>
        <v/>
      </c>
      <c r="U1607" s="52">
        <f>IFERROR(IF(AR1608=AR1607,INDEX('Aub Demand'!Q:Q,MATCH($O1607,'Aub Demand'!$A:$A,0))-IF(AN1607="",0,AN1607)+AP1608,INDEX('Aub Demand'!Q:Q,MATCH($O1607,'Aub Demand'!$A:$A,0))-IF(AN1607="",0,AN1607)),"")</f>
        <v>477</v>
      </c>
      <c r="V1607" s="53">
        <f t="shared" si="702"/>
        <v>136.30000000000001</v>
      </c>
      <c r="W1607" s="52" t="str">
        <f t="shared" si="703"/>
        <v/>
      </c>
      <c r="X1607" s="52">
        <f>IFERROR(IF(AND(AR1608=AR1607,AM1607&lt;&gt;""),INDEX('Aub Demand'!Q:Q,MATCH($O1607,'Aub Demand'!$A:$A,0))-IF(AN1607="",0,AN1607)+AP1608+AD1607+AL1607,IF(AR1608=AR1607,INDEX('Aub Demand'!Q:Q,MATCH($O1607,'Aub Demand'!$A:$A,0))-IF(AN1607="",0,AN1607)+AP1608+AD1607,IF(AM1607&lt;&gt;"",INDEX('Aub Demand'!Q:Q,MATCH($O1607,'Aub Demand'!$A:$A,0))-IF(AN1607="",0,AN1607)+AD1607+AL1607,INDEX('Aub Demand'!Q:Q,MATCH($O1607,'Aub Demand'!$A:$A,0))-IF(AN1607="",0,AN1607)+AD1607))),"")</f>
        <v>477</v>
      </c>
      <c r="Y1607" s="53">
        <f t="shared" si="704"/>
        <v>136.30000000000001</v>
      </c>
      <c r="Z1607" s="52">
        <f>IF(L1607="","",INDEX('Aub Demand'!H:H,MATCH($O1607,'Aub Demand'!$A:$A,0)))</f>
        <v>15</v>
      </c>
      <c r="AA1607" s="52" t="str">
        <f t="shared" si="705"/>
        <v>-spike-</v>
      </c>
      <c r="AB1607" s="52">
        <f>IFERROR(INDEX('Aub Demand'!L:L,MATCH($O1607,'Aub Demand'!$A:$A,0)),"")</f>
        <v>0</v>
      </c>
      <c r="AC1607" s="52">
        <f>IFERROR(IF(O1607="","",SUMIFS('CPL Mats'!F:F,'CPL Mats'!Q:Q,AR1607,'CPL Mats'!S:S,AS1607)),"")</f>
        <v>0</v>
      </c>
      <c r="AF1607" s="25" t="str">
        <f>IF(SUMIFS('Supp Consol'!S:S,'Supp Consol'!Y:Y,"Releasable",'Supp Consol'!A:A,O1607)=0,"",SUMIFS('Supp Consol'!S:S,'Supp Consol'!Y:Y,"Releasable",'Supp Consol'!A:A,O1607))</f>
        <v/>
      </c>
      <c r="AG1607" s="25" t="str">
        <f>IFERROR(INDEX('Hun Demand'!Q:Q,MATCH(O1607,'Hun Demand'!A:A,0)),"")</f>
        <v/>
      </c>
      <c r="AH1607" s="25" t="str">
        <f>IFERROR(INDEX('Hun Demand'!H:H,MATCH($O1607,'Hun Demand'!$A:$A,0)),"")</f>
        <v/>
      </c>
      <c r="AI1607" s="25" t="str">
        <f>IF(SUMIFS('Supp Consol'!AA:AA,'Supp Consol'!Z:Z,"Expires this month",'Supp Consol'!A:A,O1607)=0,"",SUMIFS('Supp Consol'!AA:AA,'Supp Consol'!Z:Z,"Expires this month",'Supp Consol'!A:A,O1607))</f>
        <v/>
      </c>
      <c r="AJ1607" s="25" t="str">
        <f>IF(SUMIFS('Supp Consol'!AA:AA,'Supp Consol'!Z:Z,"Expired Previous Months",'Supp Consol'!A:A,O1607)=0,"",SUMIFS('Supp Consol'!AA:AA,'Supp Consol'!Z:Z,"Expired Previous Months",'Supp Consol'!A:A,O1607))</f>
        <v/>
      </c>
      <c r="AK1607" s="25" t="str">
        <f>IFERROR(INDEX('Hun Release Current'!B:B,MATCH(O1607,'Hun Release Current'!A:A,0)),"")</f>
        <v/>
      </c>
      <c r="AL1607" s="25" t="str">
        <f>IF(SUMIF('Prev Aub'!A:A,O1607,'Prev Aub'!B:B)=0,"",SUMIF('Prev Aub'!A:A,O1607,'Prev Aub'!B:B))</f>
        <v/>
      </c>
      <c r="AN1607" s="25" t="s">
        <v>3790</v>
      </c>
      <c r="AO1607" s="25" t="s">
        <v>3790</v>
      </c>
      <c r="AP1607" s="25">
        <f t="shared" si="706"/>
        <v>0</v>
      </c>
      <c r="AQ1607" s="151" t="str">
        <f>IF(SUMIFS('Supp Consol'!S:S,'Supp Consol'!A:A,O1607,'Supp Consol'!I:I,"PENDING")=0,"",SUMIFS('Supp Consol'!S:S,'Supp Consol'!A:A,O1607,'Supp Consol'!I:I,"PENDING"))</f>
        <v/>
      </c>
      <c r="AR1607" s="27" t="str">
        <f t="shared" si="707"/>
        <v>WX160</v>
      </c>
      <c r="AS1607" s="27" t="str">
        <f t="shared" si="708"/>
        <v>62</v>
      </c>
      <c r="AT1607" s="27" t="str">
        <f t="shared" si="709"/>
        <v/>
      </c>
      <c r="AU1607" s="27" t="str">
        <f t="shared" si="710"/>
        <v/>
      </c>
      <c r="AV1607" s="27" t="str">
        <f t="shared" si="711"/>
        <v/>
      </c>
      <c r="AW1607" s="27" t="str">
        <f t="shared" si="712"/>
        <v/>
      </c>
      <c r="AX1607" s="27" t="str">
        <f t="shared" si="713"/>
        <v/>
      </c>
      <c r="AY1607" s="27" t="str">
        <f t="shared" si="714"/>
        <v/>
      </c>
      <c r="AZ1607" s="27" t="str">
        <f t="shared" si="715"/>
        <v/>
      </c>
      <c r="BA1607" s="27" t="str">
        <f t="shared" si="716"/>
        <v/>
      </c>
      <c r="BB1607" s="27" t="str">
        <f t="shared" si="717"/>
        <v/>
      </c>
      <c r="BC1607" s="27" t="str">
        <f t="shared" si="718"/>
        <v/>
      </c>
      <c r="BD1607" s="27" t="str">
        <f t="shared" si="719"/>
        <v/>
      </c>
      <c r="BE1607" s="27" t="str">
        <f t="shared" si="720"/>
        <v/>
      </c>
      <c r="BF1607" s="27" t="str">
        <f t="shared" si="721"/>
        <v/>
      </c>
      <c r="BG1607" s="27" t="str">
        <f t="shared" si="722"/>
        <v/>
      </c>
      <c r="BH1607" s="27" t="str">
        <f t="shared" si="723"/>
        <v/>
      </c>
      <c r="BI1607" s="27" t="str">
        <f t="shared" si="724"/>
        <v/>
      </c>
      <c r="BJ1607" s="27" t="str">
        <f t="shared" si="725"/>
        <v/>
      </c>
      <c r="BK1607" s="27" t="str">
        <f t="shared" si="726"/>
        <v/>
      </c>
      <c r="BL1607" s="27" t="str">
        <f t="shared" si="727"/>
        <v/>
      </c>
      <c r="BM1607" s="21" t="s">
        <v>5581</v>
      </c>
    </row>
    <row r="1608" spans="1:65" ht="15">
      <c r="A1608" s="25">
        <f>IFERROR(INDEX('Hun Demand'!W:W,MATCH(O1608,'Hun Demand'!A:A,0)),"")</f>
        <v>0</v>
      </c>
      <c r="B1608" s="25">
        <f>IFERROR(INDEX('Hun Demand'!V:V,MATCH(O1608,'Hun Demand'!A:A,0)),"")</f>
        <v>0</v>
      </c>
      <c r="C1608" s="25">
        <f>IFERROR(INDEX('Hun Demand'!U:U,MATCH(O1608,'Hun Demand'!A:A,0)),"")</f>
        <v>0</v>
      </c>
      <c r="D1608" s="25">
        <f>IFERROR(INDEX('Hun Demand'!T:T,MATCH(O1608,'Hun Demand'!A:A,0)),"")</f>
        <v>0</v>
      </c>
      <c r="E1608" s="25">
        <f>IFERROR(INDEX('Hun Demand'!S:S,MATCH(O1608,'Hun Demand'!A:A,0)),"")</f>
        <v>0</v>
      </c>
      <c r="F1608" s="25">
        <f>IFERROR(INDEX('Hun Demand'!R:R,MATCH(O1608,'Hun Demand'!A:A,0)),"")</f>
        <v>0</v>
      </c>
      <c r="G1608" s="25">
        <f>IFERROR(INDEX('Aub Demand'!W:W,MATCH(O1608,'Aub Demand'!A:A,0)),"")</f>
        <v>0</v>
      </c>
      <c r="H1608" s="25">
        <f>IFERROR(INDEX('Aub Demand'!V:V,MATCH(O1608,'Aub Demand'!A:A,0)),"")</f>
        <v>638</v>
      </c>
      <c r="I1608" s="25">
        <f>IFERROR(INDEX('Aub Demand'!U:U,MATCH(O1608,'Aub Demand'!A:A,0)),"")</f>
        <v>0</v>
      </c>
      <c r="J1608" s="25">
        <f>IFERROR(INDEX('Aub Demand'!T:T,MATCH(O1608,'Aub Demand'!A:A,0)),"")</f>
        <v>42</v>
      </c>
      <c r="K1608" s="25">
        <f>IFERROR(INDEX('Aub Demand'!S:S,MATCH(O1608,'Aub Demand'!A:A,0)),"")</f>
        <v>142</v>
      </c>
      <c r="L1608" s="25">
        <f>IFERROR(INDEX('Aub Demand'!R:R,MATCH(O1608,'Aub Demand'!A:A,0)),"")</f>
        <v>0</v>
      </c>
      <c r="O1608" s="27" t="s">
        <v>1929</v>
      </c>
      <c r="P1608" s="27" t="str">
        <f>IFERROR(INDEX('Aub Demand'!B:B,MATCH($O1608,'Aub Demand'!$A:$A,0)),"")</f>
        <v>TIRAMISU</v>
      </c>
      <c r="Q1608" s="27" t="str">
        <f>IFERROR(INDEX('Aub Demand'!C:C,MATCH($O1608,'Aub Demand'!$A:$A,0)),"")</f>
        <v>TOPPA</v>
      </c>
      <c r="R1608" s="52">
        <f>IFERROR(IF(AR1609=AR1608,INDEX('Aub Demand'!K:K,MATCH($O1608,'Aub Demand'!$A:$A,0))-IF(AN1608="",0,AN1608)+AP1609,INDEX('Aub Demand'!K:K,MATCH($O1608,'Aub Demand'!$A:$A,0))-IF(AN1608="",0,AN1608)),"")</f>
        <v>690</v>
      </c>
      <c r="S1608" s="53">
        <f t="shared" si="700"/>
        <v>48.5</v>
      </c>
      <c r="T1608" s="52" t="str">
        <f t="shared" si="701"/>
        <v/>
      </c>
      <c r="U1608" s="52">
        <f>IFERROR(IF(AR1609=AR1608,INDEX('Aub Demand'!Q:Q,MATCH($O1608,'Aub Demand'!$A:$A,0))-IF(AN1608="",0,AN1608)+AP1609,INDEX('Aub Demand'!Q:Q,MATCH($O1608,'Aub Demand'!$A:$A,0))-IF(AN1608="",0,AN1608)),"")</f>
        <v>680</v>
      </c>
      <c r="V1608" s="53">
        <f t="shared" si="702"/>
        <v>47.8</v>
      </c>
      <c r="W1608" s="52" t="str">
        <f t="shared" si="703"/>
        <v/>
      </c>
      <c r="X1608" s="52">
        <f>IFERROR(IF(AND(AR1609=AR1608,AM1608&lt;&gt;""),INDEX('Aub Demand'!Q:Q,MATCH($O1608,'Aub Demand'!$A:$A,0))-IF(AN1608="",0,AN1608)+AP1609+AD1608+AL1608,IF(AR1609=AR1608,INDEX('Aub Demand'!Q:Q,MATCH($O1608,'Aub Demand'!$A:$A,0))-IF(AN1608="",0,AN1608)+AP1609+AD1608,IF(AM1608&lt;&gt;"",INDEX('Aub Demand'!Q:Q,MATCH($O1608,'Aub Demand'!$A:$A,0))-IF(AN1608="",0,AN1608)+AD1608+AL1608,INDEX('Aub Demand'!Q:Q,MATCH($O1608,'Aub Demand'!$A:$A,0))-IF(AN1608="",0,AN1608)+AD1608))),"")</f>
        <v>680</v>
      </c>
      <c r="Y1608" s="53">
        <f t="shared" si="704"/>
        <v>47.8</v>
      </c>
      <c r="Z1608" s="52">
        <f>IF(L1608="","",INDEX('Aub Demand'!H:H,MATCH($O1608,'Aub Demand'!$A:$A,0)))</f>
        <v>61</v>
      </c>
      <c r="AA1608" s="52">
        <f t="shared" si="705"/>
        <v>92</v>
      </c>
      <c r="AB1608" s="52">
        <f>IFERROR(INDEX('Aub Demand'!L:L,MATCH($O1608,'Aub Demand'!$A:$A,0)),"")</f>
        <v>159</v>
      </c>
      <c r="AC1608" s="52">
        <f>IFERROR(IF(O1608="","",SUMIFS('CPL Mats'!F:F,'CPL Mats'!Q:Q,AR1608,'CPL Mats'!S:S,AS1608)),"")</f>
        <v>0</v>
      </c>
      <c r="AF1608" s="25" t="str">
        <f>IF(SUMIFS('Supp Consol'!S:S,'Supp Consol'!Y:Y,"Releasable",'Supp Consol'!A:A,O1608)=0,"",SUMIFS('Supp Consol'!S:S,'Supp Consol'!Y:Y,"Releasable",'Supp Consol'!A:A,O1608))</f>
        <v/>
      </c>
      <c r="AG1608" s="25">
        <f>IFERROR(INDEX('Hun Demand'!Q:Q,MATCH(O1608,'Hun Demand'!A:A,0)),"")</f>
        <v>656</v>
      </c>
      <c r="AH1608" s="25">
        <f>IFERROR(INDEX('Hun Demand'!H:H,MATCH($O1608,'Hun Demand'!$A:$A,0)),"")</f>
        <v>0</v>
      </c>
      <c r="AI1608" s="25" t="str">
        <f>IF(SUMIFS('Supp Consol'!AA:AA,'Supp Consol'!Z:Z,"Expires this month",'Supp Consol'!A:A,O1608)=0,"",SUMIFS('Supp Consol'!AA:AA,'Supp Consol'!Z:Z,"Expires this month",'Supp Consol'!A:A,O1608))</f>
        <v/>
      </c>
      <c r="AJ1608" s="25" t="str">
        <f>IF(SUMIFS('Supp Consol'!AA:AA,'Supp Consol'!Z:Z,"Expired Previous Months",'Supp Consol'!A:A,O1608)=0,"",SUMIFS('Supp Consol'!AA:AA,'Supp Consol'!Z:Z,"Expired Previous Months",'Supp Consol'!A:A,O1608))</f>
        <v/>
      </c>
      <c r="AK1608" s="25" t="str">
        <f>IFERROR(INDEX('Hun Release Current'!B:B,MATCH(O1608,'Hun Release Current'!A:A,0)),"")</f>
        <v/>
      </c>
      <c r="AL1608" s="25" t="str">
        <f>IF(SUMIF('Prev Aub'!A:A,O1608,'Prev Aub'!B:B)=0,"",SUMIF('Prev Aub'!A:A,O1608,'Prev Aub'!B:B))</f>
        <v/>
      </c>
      <c r="AN1608" s="25" t="s">
        <v>3790</v>
      </c>
      <c r="AO1608" s="25" t="s">
        <v>3790</v>
      </c>
      <c r="AP1608" s="25">
        <f t="shared" si="706"/>
        <v>0</v>
      </c>
      <c r="AQ1608" s="151" t="str">
        <f>IF(SUMIFS('Supp Consol'!S:S,'Supp Consol'!A:A,O1608,'Supp Consol'!I:I,"PENDING")=0,"",SUMIFS('Supp Consol'!S:S,'Supp Consol'!A:A,O1608,'Supp Consol'!I:I,"PENDING"))</f>
        <v/>
      </c>
      <c r="AR1608" s="27" t="str">
        <f t="shared" si="707"/>
        <v>WX170</v>
      </c>
      <c r="AS1608" s="27" t="str">
        <f t="shared" si="708"/>
        <v>50</v>
      </c>
      <c r="AT1608" s="27" t="str">
        <f t="shared" si="709"/>
        <v/>
      </c>
      <c r="AU1608" s="27" t="str">
        <f t="shared" si="710"/>
        <v/>
      </c>
      <c r="AV1608" s="27" t="str">
        <f t="shared" si="711"/>
        <v/>
      </c>
      <c r="AW1608" s="27" t="str">
        <f t="shared" si="712"/>
        <v/>
      </c>
      <c r="AX1608" s="27" t="str">
        <f t="shared" si="713"/>
        <v/>
      </c>
      <c r="AY1608" s="27" t="str">
        <f t="shared" si="714"/>
        <v>WX170</v>
      </c>
      <c r="AZ1608" s="27" t="str">
        <f t="shared" si="715"/>
        <v/>
      </c>
      <c r="BA1608" s="27" t="str">
        <f t="shared" si="716"/>
        <v>Hun</v>
      </c>
      <c r="BB1608" s="27" t="str">
        <f t="shared" si="717"/>
        <v/>
      </c>
      <c r="BC1608" s="27" t="str">
        <f t="shared" si="718"/>
        <v/>
      </c>
      <c r="BD1608" s="27" t="str">
        <f t="shared" si="719"/>
        <v/>
      </c>
      <c r="BE1608" s="27" t="str">
        <f t="shared" si="720"/>
        <v/>
      </c>
      <c r="BF1608" s="27" t="str">
        <f t="shared" si="721"/>
        <v/>
      </c>
      <c r="BG1608" s="27" t="str">
        <f t="shared" si="722"/>
        <v/>
      </c>
      <c r="BH1608" s="27" t="str">
        <f t="shared" si="723"/>
        <v/>
      </c>
      <c r="BI1608" s="27" t="str">
        <f t="shared" si="724"/>
        <v/>
      </c>
      <c r="BJ1608" s="27" t="str">
        <f t="shared" si="725"/>
        <v>Supp or Hun</v>
      </c>
      <c r="BK1608" s="27" t="str">
        <f t="shared" si="726"/>
        <v/>
      </c>
      <c r="BL1608" s="27" t="str">
        <f t="shared" si="727"/>
        <v/>
      </c>
      <c r="BM1608" s="21" t="s">
        <v>5581</v>
      </c>
    </row>
    <row r="1609" spans="1:65" ht="15">
      <c r="A1609" s="25" t="str">
        <f>IFERROR(INDEX('Hun Demand'!W:W,MATCH(O1609,'Hun Demand'!A:A,0)),"")</f>
        <v/>
      </c>
      <c r="B1609" s="25" t="str">
        <f>IFERROR(INDEX('Hun Demand'!V:V,MATCH(O1609,'Hun Demand'!A:A,0)),"")</f>
        <v/>
      </c>
      <c r="C1609" s="25" t="str">
        <f>IFERROR(INDEX('Hun Demand'!U:U,MATCH(O1609,'Hun Demand'!A:A,0)),"")</f>
        <v/>
      </c>
      <c r="D1609" s="25" t="str">
        <f>IFERROR(INDEX('Hun Demand'!T:T,MATCH(O1609,'Hun Demand'!A:A,0)),"")</f>
        <v/>
      </c>
      <c r="E1609" s="25" t="str">
        <f>IFERROR(INDEX('Hun Demand'!S:S,MATCH(O1609,'Hun Demand'!A:A,0)),"")</f>
        <v/>
      </c>
      <c r="F1609" s="25" t="str">
        <f>IFERROR(INDEX('Hun Demand'!R:R,MATCH(O1609,'Hun Demand'!A:A,0)),"")</f>
        <v/>
      </c>
      <c r="G1609" s="25">
        <f>IFERROR(INDEX('Aub Demand'!W:W,MATCH(O1609,'Aub Demand'!A:A,0)),"")</f>
        <v>14</v>
      </c>
      <c r="H1609" s="25">
        <f>IFERROR(INDEX('Aub Demand'!V:V,MATCH(O1609,'Aub Demand'!A:A,0)),"")</f>
        <v>18</v>
      </c>
      <c r="I1609" s="25">
        <f>IFERROR(INDEX('Aub Demand'!U:U,MATCH(O1609,'Aub Demand'!A:A,0)),"")</f>
        <v>0</v>
      </c>
      <c r="J1609" s="25">
        <f>IFERROR(INDEX('Aub Demand'!T:T,MATCH(O1609,'Aub Demand'!A:A,0)),"")</f>
        <v>0</v>
      </c>
      <c r="K1609" s="25">
        <f>IFERROR(INDEX('Aub Demand'!S:S,MATCH(O1609,'Aub Demand'!A:A,0)),"")</f>
        <v>0</v>
      </c>
      <c r="L1609" s="25">
        <f>IFERROR(INDEX('Aub Demand'!R:R,MATCH(O1609,'Aub Demand'!A:A,0)),"")</f>
        <v>0</v>
      </c>
      <c r="O1609" s="27" t="s">
        <v>1931</v>
      </c>
      <c r="P1609" s="27" t="str">
        <f>IFERROR(INDEX('Aub Demand'!B:B,MATCH($O1609,'Aub Demand'!$A:$A,0)),"")</f>
        <v>TIRAMISU</v>
      </c>
      <c r="Q1609" s="27" t="str">
        <f>IFERROR(INDEX('Aub Demand'!C:C,MATCH($O1609,'Aub Demand'!$A:$A,0)),"")</f>
        <v>TOPPA</v>
      </c>
      <c r="R1609" s="52">
        <f>IFERROR(IF(AR1610=AR1609,INDEX('Aub Demand'!K:K,MATCH($O1609,'Aub Demand'!$A:$A,0))-IF(AN1609="",0,AN1609)+AP1610,INDEX('Aub Demand'!K:K,MATCH($O1609,'Aub Demand'!$A:$A,0))-IF(AN1609="",0,AN1609)),"")</f>
        <v>1499</v>
      </c>
      <c r="S1609" s="53" t="str">
        <f t="shared" si="700"/>
        <v>n/a</v>
      </c>
      <c r="T1609" s="52" t="str">
        <f t="shared" si="701"/>
        <v/>
      </c>
      <c r="U1609" s="52">
        <f>IFERROR(IF(AR1610=AR1609,INDEX('Aub Demand'!Q:Q,MATCH($O1609,'Aub Demand'!$A:$A,0))-IF(AN1609="",0,AN1609)+AP1610,INDEX('Aub Demand'!Q:Q,MATCH($O1609,'Aub Demand'!$A:$A,0))-IF(AN1609="",0,AN1609)),"")</f>
        <v>1499</v>
      </c>
      <c r="V1609" s="53" t="str">
        <f t="shared" si="702"/>
        <v>n/a</v>
      </c>
      <c r="W1609" s="52" t="str">
        <f t="shared" si="703"/>
        <v/>
      </c>
      <c r="X1609" s="52">
        <f>IFERROR(IF(AND(AR1610=AR1609,AM1609&lt;&gt;""),INDEX('Aub Demand'!Q:Q,MATCH($O1609,'Aub Demand'!$A:$A,0))-IF(AN1609="",0,AN1609)+AP1610+AD1609+AL1609,IF(AR1610=AR1609,INDEX('Aub Demand'!Q:Q,MATCH($O1609,'Aub Demand'!$A:$A,0))-IF(AN1609="",0,AN1609)+AP1610+AD1609,IF(AM1609&lt;&gt;"",INDEX('Aub Demand'!Q:Q,MATCH($O1609,'Aub Demand'!$A:$A,0))-IF(AN1609="",0,AN1609)+AD1609+AL1609,INDEX('Aub Demand'!Q:Q,MATCH($O1609,'Aub Demand'!$A:$A,0))-IF(AN1609="",0,AN1609)+AD1609))),"")</f>
        <v>1499</v>
      </c>
      <c r="Y1609" s="53" t="str">
        <f t="shared" si="704"/>
        <v>n/a</v>
      </c>
      <c r="Z1609" s="52">
        <f>IF(L1609="","",INDEX('Aub Demand'!H:H,MATCH($O1609,'Aub Demand'!$A:$A,0)))</f>
        <v>0</v>
      </c>
      <c r="AA1609" s="52" t="str">
        <f t="shared" si="705"/>
        <v>-spike-</v>
      </c>
      <c r="AB1609" s="52">
        <f>IFERROR(INDEX('Aub Demand'!L:L,MATCH($O1609,'Aub Demand'!$A:$A,0)),"")</f>
        <v>0</v>
      </c>
      <c r="AC1609" s="52">
        <f>IFERROR(IF(O1609="","",SUMIFS('CPL Mats'!F:F,'CPL Mats'!Q:Q,AR1609,'CPL Mats'!S:S,AS1609)),"")</f>
        <v>0</v>
      </c>
      <c r="AF1609" s="25" t="str">
        <f>IF(SUMIFS('Supp Consol'!S:S,'Supp Consol'!Y:Y,"Releasable",'Supp Consol'!A:A,O1609)=0,"",SUMIFS('Supp Consol'!S:S,'Supp Consol'!Y:Y,"Releasable",'Supp Consol'!A:A,O1609))</f>
        <v/>
      </c>
      <c r="AG1609" s="25" t="str">
        <f>IFERROR(INDEX('Hun Demand'!Q:Q,MATCH(O1609,'Hun Demand'!A:A,0)),"")</f>
        <v/>
      </c>
      <c r="AH1609" s="25" t="str">
        <f>IFERROR(INDEX('Hun Demand'!H:H,MATCH($O1609,'Hun Demand'!$A:$A,0)),"")</f>
        <v/>
      </c>
      <c r="AI1609" s="25" t="str">
        <f>IF(SUMIFS('Supp Consol'!AA:AA,'Supp Consol'!Z:Z,"Expires this month",'Supp Consol'!A:A,O1609)=0,"",SUMIFS('Supp Consol'!AA:AA,'Supp Consol'!Z:Z,"Expires this month",'Supp Consol'!A:A,O1609))</f>
        <v/>
      </c>
      <c r="AJ1609" s="25" t="str">
        <f>IF(SUMIFS('Supp Consol'!AA:AA,'Supp Consol'!Z:Z,"Expired Previous Months",'Supp Consol'!A:A,O1609)=0,"",SUMIFS('Supp Consol'!AA:AA,'Supp Consol'!Z:Z,"Expired Previous Months",'Supp Consol'!A:A,O1609))</f>
        <v/>
      </c>
      <c r="AK1609" s="25" t="str">
        <f>IFERROR(INDEX('Hun Release Current'!B:B,MATCH(O1609,'Hun Release Current'!A:A,0)),"")</f>
        <v/>
      </c>
      <c r="AL1609" s="25" t="str">
        <f>IF(SUMIF('Prev Aub'!A:A,O1609,'Prev Aub'!B:B)=0,"",SUMIF('Prev Aub'!A:A,O1609,'Prev Aub'!B:B))</f>
        <v/>
      </c>
      <c r="AN1609" s="25" t="s">
        <v>3790</v>
      </c>
      <c r="AO1609" s="25" t="s">
        <v>3790</v>
      </c>
      <c r="AP1609" s="25">
        <f t="shared" si="706"/>
        <v>0</v>
      </c>
      <c r="AQ1609" s="151" t="str">
        <f>IF(SUMIFS('Supp Consol'!S:S,'Supp Consol'!A:A,O1609,'Supp Consol'!I:I,"PENDING")=0,"",SUMIFS('Supp Consol'!S:S,'Supp Consol'!A:A,O1609,'Supp Consol'!I:I,"PENDING"))</f>
        <v/>
      </c>
      <c r="AR1609" s="27" t="str">
        <f t="shared" si="707"/>
        <v>WX170</v>
      </c>
      <c r="AS1609" s="27" t="str">
        <f t="shared" si="708"/>
        <v>62</v>
      </c>
      <c r="AT1609" s="27" t="str">
        <f t="shared" si="709"/>
        <v/>
      </c>
      <c r="AU1609" s="27" t="str">
        <f t="shared" si="710"/>
        <v/>
      </c>
      <c r="AV1609" s="27" t="str">
        <f t="shared" si="711"/>
        <v/>
      </c>
      <c r="AW1609" s="27" t="str">
        <f t="shared" si="712"/>
        <v/>
      </c>
      <c r="AX1609" s="27" t="str">
        <f t="shared" si="713"/>
        <v/>
      </c>
      <c r="AY1609" s="27" t="str">
        <f t="shared" si="714"/>
        <v/>
      </c>
      <c r="AZ1609" s="27" t="str">
        <f t="shared" si="715"/>
        <v/>
      </c>
      <c r="BA1609" s="27" t="str">
        <f t="shared" si="716"/>
        <v>Hun</v>
      </c>
      <c r="BB1609" s="27" t="str">
        <f t="shared" si="717"/>
        <v/>
      </c>
      <c r="BC1609" s="27" t="str">
        <f t="shared" si="718"/>
        <v/>
      </c>
      <c r="BD1609" s="27" t="str">
        <f t="shared" si="719"/>
        <v/>
      </c>
      <c r="BE1609" s="27" t="str">
        <f t="shared" si="720"/>
        <v/>
      </c>
      <c r="BF1609" s="27" t="str">
        <f t="shared" si="721"/>
        <v/>
      </c>
      <c r="BG1609" s="27" t="str">
        <f t="shared" si="722"/>
        <v/>
      </c>
      <c r="BH1609" s="27" t="str">
        <f t="shared" si="723"/>
        <v/>
      </c>
      <c r="BI1609" s="27" t="str">
        <f t="shared" si="724"/>
        <v/>
      </c>
      <c r="BJ1609" s="27" t="str">
        <f t="shared" si="725"/>
        <v>Supp or Hun</v>
      </c>
      <c r="BK1609" s="27" t="str">
        <f t="shared" si="726"/>
        <v/>
      </c>
      <c r="BL1609" s="27" t="str">
        <f t="shared" si="727"/>
        <v/>
      </c>
      <c r="BM1609" s="21" t="s">
        <v>5581</v>
      </c>
    </row>
    <row r="1610" spans="1:65" ht="15">
      <c r="A1610" s="25" t="str">
        <f>IFERROR(INDEX('Hun Demand'!W:W,MATCH(O1610,'Hun Demand'!A:A,0)),"")</f>
        <v/>
      </c>
      <c r="B1610" s="25" t="str">
        <f>IFERROR(INDEX('Hun Demand'!V:V,MATCH(O1610,'Hun Demand'!A:A,0)),"")</f>
        <v/>
      </c>
      <c r="C1610" s="25" t="str">
        <f>IFERROR(INDEX('Hun Demand'!U:U,MATCH(O1610,'Hun Demand'!A:A,0)),"")</f>
        <v/>
      </c>
      <c r="D1610" s="25" t="str">
        <f>IFERROR(INDEX('Hun Demand'!T:T,MATCH(O1610,'Hun Demand'!A:A,0)),"")</f>
        <v/>
      </c>
      <c r="E1610" s="25" t="str">
        <f>IFERROR(INDEX('Hun Demand'!S:S,MATCH(O1610,'Hun Demand'!A:A,0)),"")</f>
        <v/>
      </c>
      <c r="F1610" s="25" t="str">
        <f>IFERROR(INDEX('Hun Demand'!R:R,MATCH(O1610,'Hun Demand'!A:A,0)),"")</f>
        <v/>
      </c>
      <c r="G1610" s="25">
        <f>IFERROR(INDEX('Aub Demand'!W:W,MATCH(O1610,'Aub Demand'!A:A,0)),"")</f>
        <v>66</v>
      </c>
      <c r="H1610" s="25">
        <f>IFERROR(INDEX('Aub Demand'!V:V,MATCH(O1610,'Aub Demand'!A:A,0)),"")</f>
        <v>0</v>
      </c>
      <c r="I1610" s="25">
        <f>IFERROR(INDEX('Aub Demand'!U:U,MATCH(O1610,'Aub Demand'!A:A,0)),"")</f>
        <v>0</v>
      </c>
      <c r="J1610" s="25">
        <f>IFERROR(INDEX('Aub Demand'!T:T,MATCH(O1610,'Aub Demand'!A:A,0)),"")</f>
        <v>0</v>
      </c>
      <c r="K1610" s="25">
        <f>IFERROR(INDEX('Aub Demand'!S:S,MATCH(O1610,'Aub Demand'!A:A,0)),"")</f>
        <v>0</v>
      </c>
      <c r="L1610" s="25">
        <f>IFERROR(INDEX('Aub Demand'!R:R,MATCH(O1610,'Aub Demand'!A:A,0)),"")</f>
        <v>0</v>
      </c>
      <c r="O1610" s="27" t="s">
        <v>1932</v>
      </c>
      <c r="P1610" s="27" t="str">
        <f>IFERROR(INDEX('Aub Demand'!B:B,MATCH($O1610,'Aub Demand'!$A:$A,0)),"")</f>
        <v>ONTANO L04 (ONLY 58"</v>
      </c>
      <c r="Q1610" s="27" t="str">
        <f>IFERROR(INDEX('Aub Demand'!C:C,MATCH($O1610,'Aub Demand'!$A:$A,0)),"")</f>
        <v>STEVE</v>
      </c>
      <c r="R1610" s="52">
        <f>IFERROR(IF(AR1611=AR1610,INDEX('Aub Demand'!K:K,MATCH($O1610,'Aub Demand'!$A:$A,0))-IF(AN1610="",0,AN1610)+AP1611,INDEX('Aub Demand'!K:K,MATCH($O1610,'Aub Demand'!$A:$A,0))-IF(AN1610="",0,AN1610)),"")</f>
        <v>678</v>
      </c>
      <c r="S1610" s="53" t="str">
        <f t="shared" si="700"/>
        <v>n/a</v>
      </c>
      <c r="T1610" s="52" t="str">
        <f t="shared" si="701"/>
        <v/>
      </c>
      <c r="U1610" s="52">
        <f>IFERROR(IF(AR1611=AR1610,INDEX('Aub Demand'!Q:Q,MATCH($O1610,'Aub Demand'!$A:$A,0))-IF(AN1610="",0,AN1610)+AP1611,INDEX('Aub Demand'!Q:Q,MATCH($O1610,'Aub Demand'!$A:$A,0))-IF(AN1610="",0,AN1610)),"")</f>
        <v>678</v>
      </c>
      <c r="V1610" s="53" t="str">
        <f t="shared" si="702"/>
        <v>n/a</v>
      </c>
      <c r="W1610" s="52" t="str">
        <f t="shared" si="703"/>
        <v/>
      </c>
      <c r="X1610" s="52">
        <f>IFERROR(IF(AND(AR1611=AR1610,AM1610&lt;&gt;""),INDEX('Aub Demand'!Q:Q,MATCH($O1610,'Aub Demand'!$A:$A,0))-IF(AN1610="",0,AN1610)+AP1611+AD1610+AL1610,IF(AR1611=AR1610,INDEX('Aub Demand'!Q:Q,MATCH($O1610,'Aub Demand'!$A:$A,0))-IF(AN1610="",0,AN1610)+AP1611+AD1610,IF(AM1610&lt;&gt;"",INDEX('Aub Demand'!Q:Q,MATCH($O1610,'Aub Demand'!$A:$A,0))-IF(AN1610="",0,AN1610)+AD1610+AL1610,INDEX('Aub Demand'!Q:Q,MATCH($O1610,'Aub Demand'!$A:$A,0))-IF(AN1610="",0,AN1610)+AD1610))),"")</f>
        <v>678</v>
      </c>
      <c r="Y1610" s="53" t="str">
        <f t="shared" si="704"/>
        <v>n/a</v>
      </c>
      <c r="Z1610" s="52">
        <f>IF(L1610="","",INDEX('Aub Demand'!H:H,MATCH($O1610,'Aub Demand'!$A:$A,0)))</f>
        <v>0</v>
      </c>
      <c r="AA1610" s="52" t="str">
        <f t="shared" si="705"/>
        <v>-spike-</v>
      </c>
      <c r="AB1610" s="52">
        <f>IFERROR(INDEX('Aub Demand'!L:L,MATCH($O1610,'Aub Demand'!$A:$A,0)),"")</f>
        <v>37</v>
      </c>
      <c r="AC1610" s="52">
        <f>IFERROR(IF(O1610="","",SUMIFS('CPL Mats'!F:F,'CPL Mats'!Q:Q,AR1610,'CPL Mats'!S:S,AS1610)),"")</f>
        <v>0</v>
      </c>
      <c r="AF1610" s="25" t="str">
        <f>IF(SUMIFS('Supp Consol'!S:S,'Supp Consol'!Y:Y,"Releasable",'Supp Consol'!A:A,O1610)=0,"",SUMIFS('Supp Consol'!S:S,'Supp Consol'!Y:Y,"Releasable",'Supp Consol'!A:A,O1610))</f>
        <v/>
      </c>
      <c r="AG1610" s="25" t="str">
        <f>IFERROR(INDEX('Hun Demand'!Q:Q,MATCH(O1610,'Hun Demand'!A:A,0)),"")</f>
        <v/>
      </c>
      <c r="AH1610" s="25" t="str">
        <f>IFERROR(INDEX('Hun Demand'!H:H,MATCH($O1610,'Hun Demand'!$A:$A,0)),"")</f>
        <v/>
      </c>
      <c r="AI1610" s="25" t="str">
        <f>IF(SUMIFS('Supp Consol'!AA:AA,'Supp Consol'!Z:Z,"Expires this month",'Supp Consol'!A:A,O1610)=0,"",SUMIFS('Supp Consol'!AA:AA,'Supp Consol'!Z:Z,"Expires this month",'Supp Consol'!A:A,O1610))</f>
        <v/>
      </c>
      <c r="AJ1610" s="25" t="str">
        <f>IF(SUMIFS('Supp Consol'!AA:AA,'Supp Consol'!Z:Z,"Expired Previous Months",'Supp Consol'!A:A,O1610)=0,"",SUMIFS('Supp Consol'!AA:AA,'Supp Consol'!Z:Z,"Expired Previous Months",'Supp Consol'!A:A,O1610))</f>
        <v/>
      </c>
      <c r="AK1610" s="25" t="str">
        <f>IFERROR(INDEX('Hun Release Current'!B:B,MATCH(O1610,'Hun Release Current'!A:A,0)),"")</f>
        <v/>
      </c>
      <c r="AL1610" s="25" t="str">
        <f>IF(SUMIF('Prev Aub'!A:A,O1610,'Prev Aub'!B:B)=0,"",SUMIF('Prev Aub'!A:A,O1610,'Prev Aub'!B:B))</f>
        <v/>
      </c>
      <c r="AN1610" s="25" t="s">
        <v>3790</v>
      </c>
      <c r="AO1610" s="25" t="s">
        <v>3790</v>
      </c>
      <c r="AP1610" s="25">
        <f t="shared" si="706"/>
        <v>0</v>
      </c>
      <c r="AQ1610" s="151" t="str">
        <f>IF(SUMIFS('Supp Consol'!S:S,'Supp Consol'!A:A,O1610,'Supp Consol'!I:I,"PENDING")=0,"",SUMIFS('Supp Consol'!S:S,'Supp Consol'!A:A,O1610,'Supp Consol'!I:I,"PENDING"))</f>
        <v/>
      </c>
      <c r="AR1610" s="27" t="str">
        <f t="shared" si="707"/>
        <v>WX180</v>
      </c>
      <c r="AS1610" s="27" t="str">
        <f t="shared" si="708"/>
        <v>62</v>
      </c>
      <c r="AT1610" s="27" t="str">
        <f t="shared" si="709"/>
        <v/>
      </c>
      <c r="AU1610" s="27" t="str">
        <f t="shared" si="710"/>
        <v/>
      </c>
      <c r="AV1610" s="27" t="str">
        <f t="shared" si="711"/>
        <v/>
      </c>
      <c r="AW1610" s="27" t="str">
        <f t="shared" si="712"/>
        <v/>
      </c>
      <c r="AX1610" s="27" t="str">
        <f t="shared" si="713"/>
        <v/>
      </c>
      <c r="AY1610" s="27" t="str">
        <f t="shared" si="714"/>
        <v/>
      </c>
      <c r="AZ1610" s="27" t="str">
        <f t="shared" si="715"/>
        <v/>
      </c>
      <c r="BA1610" s="27" t="str">
        <f t="shared" si="716"/>
        <v/>
      </c>
      <c r="BB1610" s="27" t="str">
        <f t="shared" si="717"/>
        <v/>
      </c>
      <c r="BC1610" s="27" t="str">
        <f t="shared" si="718"/>
        <v/>
      </c>
      <c r="BD1610" s="27" t="str">
        <f t="shared" si="719"/>
        <v/>
      </c>
      <c r="BE1610" s="27" t="str">
        <f t="shared" si="720"/>
        <v/>
      </c>
      <c r="BF1610" s="27" t="str">
        <f t="shared" si="721"/>
        <v/>
      </c>
      <c r="BG1610" s="27" t="str">
        <f t="shared" si="722"/>
        <v/>
      </c>
      <c r="BH1610" s="27" t="str">
        <f t="shared" si="723"/>
        <v/>
      </c>
      <c r="BI1610" s="27" t="str">
        <f t="shared" si="724"/>
        <v/>
      </c>
      <c r="BJ1610" s="27" t="str">
        <f t="shared" si="725"/>
        <v/>
      </c>
      <c r="BK1610" s="27" t="str">
        <f t="shared" si="726"/>
        <v/>
      </c>
      <c r="BL1610" s="27" t="str">
        <f t="shared" si="727"/>
        <v/>
      </c>
      <c r="BM1610" s="21" t="s">
        <v>5581</v>
      </c>
    </row>
    <row r="1611" spans="1:65" ht="15">
      <c r="A1611" s="25" t="str">
        <f>IFERROR(INDEX('Hun Demand'!W:W,MATCH(O1611,'Hun Demand'!A:A,0)),"")</f>
        <v/>
      </c>
      <c r="B1611" s="25" t="str">
        <f>IFERROR(INDEX('Hun Demand'!V:V,MATCH(O1611,'Hun Demand'!A:A,0)),"")</f>
        <v/>
      </c>
      <c r="C1611" s="25" t="str">
        <f>IFERROR(INDEX('Hun Demand'!U:U,MATCH(O1611,'Hun Demand'!A:A,0)),"")</f>
        <v/>
      </c>
      <c r="D1611" s="25" t="str">
        <f>IFERROR(INDEX('Hun Demand'!T:T,MATCH(O1611,'Hun Demand'!A:A,0)),"")</f>
        <v/>
      </c>
      <c r="E1611" s="25" t="str">
        <f>IFERROR(INDEX('Hun Demand'!S:S,MATCH(O1611,'Hun Demand'!A:A,0)),"")</f>
        <v/>
      </c>
      <c r="F1611" s="25" t="str">
        <f>IFERROR(INDEX('Hun Demand'!R:R,MATCH(O1611,'Hun Demand'!A:A,0)),"")</f>
        <v/>
      </c>
      <c r="G1611" s="25">
        <f>IFERROR(INDEX('Aub Demand'!W:W,MATCH(O1611,'Aub Demand'!A:A,0)),"")</f>
        <v>0</v>
      </c>
      <c r="H1611" s="25">
        <f>IFERROR(INDEX('Aub Demand'!V:V,MATCH(O1611,'Aub Demand'!A:A,0)),"")</f>
        <v>0</v>
      </c>
      <c r="I1611" s="25">
        <f>IFERROR(INDEX('Aub Demand'!U:U,MATCH(O1611,'Aub Demand'!A:A,0)),"")</f>
        <v>0</v>
      </c>
      <c r="J1611" s="25">
        <f>IFERROR(INDEX('Aub Demand'!T:T,MATCH(O1611,'Aub Demand'!A:A,0)),"")</f>
        <v>0</v>
      </c>
      <c r="K1611" s="25">
        <f>IFERROR(INDEX('Aub Demand'!S:S,MATCH(O1611,'Aub Demand'!A:A,0)),"")</f>
        <v>0</v>
      </c>
      <c r="L1611" s="25">
        <f>IFERROR(INDEX('Aub Demand'!R:R,MATCH(O1611,'Aub Demand'!A:A,0)),"")</f>
        <v>0</v>
      </c>
      <c r="O1611" s="27" t="s">
        <v>1934</v>
      </c>
      <c r="P1611" s="27" t="str">
        <f>IFERROR(INDEX('Aub Demand'!B:B,MATCH($O1611,'Aub Demand'!$A:$A,0)),"")</f>
        <v>ALNO L05 (ONLY 58" P</v>
      </c>
      <c r="Q1611" s="27" t="str">
        <f>IFERROR(INDEX('Aub Demand'!C:C,MATCH($O1611,'Aub Demand'!$A:$A,0)),"")</f>
        <v>STEVE</v>
      </c>
      <c r="R1611" s="52">
        <f>IFERROR(IF(AR1612=AR1611,INDEX('Aub Demand'!K:K,MATCH($O1611,'Aub Demand'!$A:$A,0))-IF(AN1611="",0,AN1611)+AP1612,INDEX('Aub Demand'!K:K,MATCH($O1611,'Aub Demand'!$A:$A,0))-IF(AN1611="",0,AN1611)),"")</f>
        <v>82</v>
      </c>
      <c r="S1611" s="53" t="str">
        <f t="shared" si="700"/>
        <v>n/a</v>
      </c>
      <c r="T1611" s="52" t="str">
        <f t="shared" si="701"/>
        <v/>
      </c>
      <c r="U1611" s="52">
        <f>IFERROR(IF(AR1612=AR1611,INDEX('Aub Demand'!Q:Q,MATCH($O1611,'Aub Demand'!$A:$A,0))-IF(AN1611="",0,AN1611)+AP1612,INDEX('Aub Demand'!Q:Q,MATCH($O1611,'Aub Demand'!$A:$A,0))-IF(AN1611="",0,AN1611)),"")</f>
        <v>82</v>
      </c>
      <c r="V1611" s="53" t="str">
        <f t="shared" si="702"/>
        <v>n/a</v>
      </c>
      <c r="W1611" s="52" t="str">
        <f t="shared" si="703"/>
        <v/>
      </c>
      <c r="X1611" s="52">
        <f>IFERROR(IF(AND(AR1612=AR1611,AM1611&lt;&gt;""),INDEX('Aub Demand'!Q:Q,MATCH($O1611,'Aub Demand'!$A:$A,0))-IF(AN1611="",0,AN1611)+AP1612+AD1611+AL1611,IF(AR1612=AR1611,INDEX('Aub Demand'!Q:Q,MATCH($O1611,'Aub Demand'!$A:$A,0))-IF(AN1611="",0,AN1611)+AP1612+AD1611,IF(AM1611&lt;&gt;"",INDEX('Aub Demand'!Q:Q,MATCH($O1611,'Aub Demand'!$A:$A,0))-IF(AN1611="",0,AN1611)+AD1611+AL1611,INDEX('Aub Demand'!Q:Q,MATCH($O1611,'Aub Demand'!$A:$A,0))-IF(AN1611="",0,AN1611)+AD1611))),"")</f>
        <v>82</v>
      </c>
      <c r="Y1611" s="53" t="str">
        <f t="shared" si="704"/>
        <v>n/a</v>
      </c>
      <c r="Z1611" s="52">
        <f>IF(L1611="","",INDEX('Aub Demand'!H:H,MATCH($O1611,'Aub Demand'!$A:$A,0)))</f>
        <v>0</v>
      </c>
      <c r="AA1611" s="52" t="str">
        <f t="shared" si="705"/>
        <v>-spike-</v>
      </c>
      <c r="AB1611" s="52">
        <f>IFERROR(INDEX('Aub Demand'!L:L,MATCH($O1611,'Aub Demand'!$A:$A,0)),"")</f>
        <v>4</v>
      </c>
      <c r="AC1611" s="52">
        <f>IFERROR(IF(O1611="","",SUMIFS('CPL Mats'!F:F,'CPL Mats'!Q:Q,AR1611,'CPL Mats'!S:S,AS1611)),"")</f>
        <v>0</v>
      </c>
      <c r="AF1611" s="25" t="str">
        <f>IF(SUMIFS('Supp Consol'!S:S,'Supp Consol'!Y:Y,"Releasable",'Supp Consol'!A:A,O1611)=0,"",SUMIFS('Supp Consol'!S:S,'Supp Consol'!Y:Y,"Releasable",'Supp Consol'!A:A,O1611))</f>
        <v/>
      </c>
      <c r="AG1611" s="25" t="str">
        <f>IFERROR(INDEX('Hun Demand'!Q:Q,MATCH(O1611,'Hun Demand'!A:A,0)),"")</f>
        <v/>
      </c>
      <c r="AH1611" s="25" t="str">
        <f>IFERROR(INDEX('Hun Demand'!H:H,MATCH($O1611,'Hun Demand'!$A:$A,0)),"")</f>
        <v/>
      </c>
      <c r="AI1611" s="25" t="str">
        <f>IF(SUMIFS('Supp Consol'!AA:AA,'Supp Consol'!Z:Z,"Expires this month",'Supp Consol'!A:A,O1611)=0,"",SUMIFS('Supp Consol'!AA:AA,'Supp Consol'!Z:Z,"Expires this month",'Supp Consol'!A:A,O1611))</f>
        <v/>
      </c>
      <c r="AJ1611" s="25" t="str">
        <f>IF(SUMIFS('Supp Consol'!AA:AA,'Supp Consol'!Z:Z,"Expired Previous Months",'Supp Consol'!A:A,O1611)=0,"",SUMIFS('Supp Consol'!AA:AA,'Supp Consol'!Z:Z,"Expired Previous Months",'Supp Consol'!A:A,O1611))</f>
        <v/>
      </c>
      <c r="AK1611" s="25" t="str">
        <f>IFERROR(INDEX('Hun Release Current'!B:B,MATCH(O1611,'Hun Release Current'!A:A,0)),"")</f>
        <v/>
      </c>
      <c r="AL1611" s="25" t="str">
        <f>IF(SUMIF('Prev Aub'!A:A,O1611,'Prev Aub'!B:B)=0,"",SUMIF('Prev Aub'!A:A,O1611,'Prev Aub'!B:B))</f>
        <v/>
      </c>
      <c r="AN1611" s="25" t="s">
        <v>3790</v>
      </c>
      <c r="AO1611" s="25" t="s">
        <v>3790</v>
      </c>
      <c r="AP1611" s="25">
        <f t="shared" si="706"/>
        <v>0</v>
      </c>
      <c r="AQ1611" s="151" t="str">
        <f>IF(SUMIFS('Supp Consol'!S:S,'Supp Consol'!A:A,O1611,'Supp Consol'!I:I,"PENDING")=0,"",SUMIFS('Supp Consol'!S:S,'Supp Consol'!A:A,O1611,'Supp Consol'!I:I,"PENDING"))</f>
        <v/>
      </c>
      <c r="AR1611" s="27" t="str">
        <f t="shared" si="707"/>
        <v>WX190</v>
      </c>
      <c r="AS1611" s="27" t="str">
        <f t="shared" si="708"/>
        <v>62</v>
      </c>
      <c r="AT1611" s="27" t="str">
        <f t="shared" si="709"/>
        <v/>
      </c>
      <c r="AU1611" s="27" t="str">
        <f t="shared" si="710"/>
        <v/>
      </c>
      <c r="AV1611" s="27" t="str">
        <f t="shared" si="711"/>
        <v/>
      </c>
      <c r="AW1611" s="27" t="str">
        <f t="shared" si="712"/>
        <v/>
      </c>
      <c r="AX1611" s="27" t="str">
        <f t="shared" si="713"/>
        <v/>
      </c>
      <c r="AY1611" s="27" t="str">
        <f t="shared" si="714"/>
        <v/>
      </c>
      <c r="AZ1611" s="27" t="str">
        <f t="shared" si="715"/>
        <v/>
      </c>
      <c r="BA1611" s="27" t="str">
        <f t="shared" si="716"/>
        <v/>
      </c>
      <c r="BB1611" s="27" t="str">
        <f t="shared" si="717"/>
        <v/>
      </c>
      <c r="BC1611" s="27" t="str">
        <f t="shared" si="718"/>
        <v/>
      </c>
      <c r="BD1611" s="27" t="str">
        <f t="shared" si="719"/>
        <v/>
      </c>
      <c r="BE1611" s="27" t="str">
        <f t="shared" si="720"/>
        <v/>
      </c>
      <c r="BF1611" s="27" t="str">
        <f t="shared" si="721"/>
        <v/>
      </c>
      <c r="BG1611" s="27" t="str">
        <f t="shared" si="722"/>
        <v/>
      </c>
      <c r="BH1611" s="27" t="str">
        <f t="shared" si="723"/>
        <v/>
      </c>
      <c r="BI1611" s="27" t="str">
        <f t="shared" si="724"/>
        <v/>
      </c>
      <c r="BJ1611" s="27" t="str">
        <f t="shared" si="725"/>
        <v/>
      </c>
      <c r="BK1611" s="27" t="str">
        <f t="shared" si="726"/>
        <v/>
      </c>
      <c r="BL1611" s="27" t="str">
        <f t="shared" si="727"/>
        <v/>
      </c>
      <c r="BM1611" s="21" t="s">
        <v>5581</v>
      </c>
    </row>
    <row r="1612" spans="1:65" ht="15">
      <c r="A1612" s="25" t="str">
        <f>IFERROR(INDEX('Hun Demand'!W:W,MATCH(O1612,'Hun Demand'!A:A,0)),"")</f>
        <v/>
      </c>
      <c r="B1612" s="25" t="str">
        <f>IFERROR(INDEX('Hun Demand'!V:V,MATCH(O1612,'Hun Demand'!A:A,0)),"")</f>
        <v/>
      </c>
      <c r="C1612" s="25" t="str">
        <f>IFERROR(INDEX('Hun Demand'!U:U,MATCH(O1612,'Hun Demand'!A:A,0)),"")</f>
        <v/>
      </c>
      <c r="D1612" s="25" t="str">
        <f>IFERROR(INDEX('Hun Demand'!T:T,MATCH(O1612,'Hun Demand'!A:A,0)),"")</f>
        <v/>
      </c>
      <c r="E1612" s="25" t="str">
        <f>IFERROR(INDEX('Hun Demand'!S:S,MATCH(O1612,'Hun Demand'!A:A,0)),"")</f>
        <v/>
      </c>
      <c r="F1612" s="25" t="str">
        <f>IFERROR(INDEX('Hun Demand'!R:R,MATCH(O1612,'Hun Demand'!A:A,0)),"")</f>
        <v/>
      </c>
      <c r="G1612" s="25">
        <f>IFERROR(INDEX('Aub Demand'!W:W,MATCH(O1612,'Aub Demand'!A:A,0)),"")</f>
        <v>0</v>
      </c>
      <c r="H1612" s="25">
        <f>IFERROR(INDEX('Aub Demand'!V:V,MATCH(O1612,'Aub Demand'!A:A,0)),"")</f>
        <v>92</v>
      </c>
      <c r="I1612" s="25">
        <f>IFERROR(INDEX('Aub Demand'!U:U,MATCH(O1612,'Aub Demand'!A:A,0)),"")</f>
        <v>0</v>
      </c>
      <c r="J1612" s="25">
        <f>IFERROR(INDEX('Aub Demand'!T:T,MATCH(O1612,'Aub Demand'!A:A,0)),"")</f>
        <v>0</v>
      </c>
      <c r="K1612" s="25">
        <f>IFERROR(INDEX('Aub Demand'!S:S,MATCH(O1612,'Aub Demand'!A:A,0)),"")</f>
        <v>0</v>
      </c>
      <c r="L1612" s="25">
        <f>IFERROR(INDEX('Aub Demand'!R:R,MATCH(O1612,'Aub Demand'!A:A,0)),"")</f>
        <v>0</v>
      </c>
      <c r="O1612" s="27" t="s">
        <v>1936</v>
      </c>
      <c r="P1612" s="27" t="str">
        <f>IFERROR(INDEX('Aub Demand'!B:B,MATCH($O1612,'Aub Demand'!$A:$A,0)),"")</f>
        <v>LA ASH B/C</v>
      </c>
      <c r="Q1612" s="27" t="str">
        <f>IFERROR(INDEX('Aub Demand'!C:C,MATCH($O1612,'Aub Demand'!$A:$A,0)),"")</f>
        <v>DNP A</v>
      </c>
      <c r="R1612" s="52">
        <f>IFERROR(IF(AR1613=AR1612,INDEX('Aub Demand'!K:K,MATCH($O1612,'Aub Demand'!$A:$A,0))-IF(AN1612="",0,AN1612)+AP1613,INDEX('Aub Demand'!K:K,MATCH($O1612,'Aub Demand'!$A:$A,0))-IF(AN1612="",0,AN1612)),"")</f>
        <v>338</v>
      </c>
      <c r="S1612" s="53" t="str">
        <f t="shared" si="700"/>
        <v>n/a</v>
      </c>
      <c r="T1612" s="52" t="str">
        <f t="shared" si="701"/>
        <v/>
      </c>
      <c r="U1612" s="52">
        <f>IFERROR(IF(AR1613=AR1612,INDEX('Aub Demand'!Q:Q,MATCH($O1612,'Aub Demand'!$A:$A,0))-IF(AN1612="",0,AN1612)+AP1613,INDEX('Aub Demand'!Q:Q,MATCH($O1612,'Aub Demand'!$A:$A,0))-IF(AN1612="",0,AN1612)),"")</f>
        <v>338</v>
      </c>
      <c r="V1612" s="53" t="str">
        <f t="shared" si="702"/>
        <v>n/a</v>
      </c>
      <c r="W1612" s="52" t="str">
        <f t="shared" si="703"/>
        <v/>
      </c>
      <c r="X1612" s="52">
        <f>IFERROR(IF(AND(AR1613=AR1612,AM1612&lt;&gt;""),INDEX('Aub Demand'!Q:Q,MATCH($O1612,'Aub Demand'!$A:$A,0))-IF(AN1612="",0,AN1612)+AP1613+AD1612+AL1612,IF(AR1613=AR1612,INDEX('Aub Demand'!Q:Q,MATCH($O1612,'Aub Demand'!$A:$A,0))-IF(AN1612="",0,AN1612)+AP1613+AD1612,IF(AM1612&lt;&gt;"",INDEX('Aub Demand'!Q:Q,MATCH($O1612,'Aub Demand'!$A:$A,0))-IF(AN1612="",0,AN1612)+AD1612+AL1612,INDEX('Aub Demand'!Q:Q,MATCH($O1612,'Aub Demand'!$A:$A,0))-IF(AN1612="",0,AN1612)+AD1612))),"")</f>
        <v>338</v>
      </c>
      <c r="Y1612" s="53" t="str">
        <f t="shared" si="704"/>
        <v>n/a</v>
      </c>
      <c r="Z1612" s="52">
        <f>IF(L1612="","",INDEX('Aub Demand'!H:H,MATCH($O1612,'Aub Demand'!$A:$A,0)))</f>
        <v>0</v>
      </c>
      <c r="AA1612" s="52" t="str">
        <f t="shared" si="705"/>
        <v>-spike-</v>
      </c>
      <c r="AB1612" s="52">
        <f>IFERROR(INDEX('Aub Demand'!L:L,MATCH($O1612,'Aub Demand'!$A:$A,0)),"")</f>
        <v>0</v>
      </c>
      <c r="AC1612" s="52">
        <f>IFERROR(IF(O1612="","",SUMIFS('CPL Mats'!F:F,'CPL Mats'!Q:Q,AR1612,'CPL Mats'!S:S,AS1612)),"")</f>
        <v>0</v>
      </c>
      <c r="AF1612" s="25" t="str">
        <f>IF(SUMIFS('Supp Consol'!S:S,'Supp Consol'!Y:Y,"Releasable",'Supp Consol'!A:A,O1612)=0,"",SUMIFS('Supp Consol'!S:S,'Supp Consol'!Y:Y,"Releasable",'Supp Consol'!A:A,O1612))</f>
        <v/>
      </c>
      <c r="AG1612" s="25" t="str">
        <f>IFERROR(INDEX('Hun Demand'!Q:Q,MATCH(O1612,'Hun Demand'!A:A,0)),"")</f>
        <v/>
      </c>
      <c r="AH1612" s="25" t="str">
        <f>IFERROR(INDEX('Hun Demand'!H:H,MATCH($O1612,'Hun Demand'!$A:$A,0)),"")</f>
        <v/>
      </c>
      <c r="AI1612" s="25" t="str">
        <f>IF(SUMIFS('Supp Consol'!AA:AA,'Supp Consol'!Z:Z,"Expires this month",'Supp Consol'!A:A,O1612)=0,"",SUMIFS('Supp Consol'!AA:AA,'Supp Consol'!Z:Z,"Expires this month",'Supp Consol'!A:A,O1612))</f>
        <v/>
      </c>
      <c r="AJ1612" s="25" t="str">
        <f>IF(SUMIFS('Supp Consol'!AA:AA,'Supp Consol'!Z:Z,"Expired Previous Months",'Supp Consol'!A:A,O1612)=0,"",SUMIFS('Supp Consol'!AA:AA,'Supp Consol'!Z:Z,"Expired Previous Months",'Supp Consol'!A:A,O1612))</f>
        <v/>
      </c>
      <c r="AK1612" s="25" t="str">
        <f>IFERROR(INDEX('Hun Release Current'!B:B,MATCH(O1612,'Hun Release Current'!A:A,0)),"")</f>
        <v/>
      </c>
      <c r="AL1612" s="25" t="str">
        <f>IF(SUMIF('Prev Aub'!A:A,O1612,'Prev Aub'!B:B)=0,"",SUMIF('Prev Aub'!A:A,O1612,'Prev Aub'!B:B))</f>
        <v/>
      </c>
      <c r="AN1612" s="25" t="s">
        <v>3790</v>
      </c>
      <c r="AO1612" s="25" t="s">
        <v>3790</v>
      </c>
      <c r="AP1612" s="25">
        <f t="shared" si="706"/>
        <v>0</v>
      </c>
      <c r="AQ1612" s="151" t="str">
        <f>IF(SUMIFS('Supp Consol'!S:S,'Supp Consol'!A:A,O1612,'Supp Consol'!I:I,"PENDING")=0,"",SUMIFS('Supp Consol'!S:S,'Supp Consol'!A:A,O1612,'Supp Consol'!I:I,"PENDING"))</f>
        <v/>
      </c>
      <c r="AR1612" s="27" t="str">
        <f t="shared" si="707"/>
        <v>WX221</v>
      </c>
      <c r="AS1612" s="27" t="str">
        <f t="shared" si="708"/>
        <v>50</v>
      </c>
      <c r="AT1612" s="27" t="str">
        <f t="shared" si="709"/>
        <v/>
      </c>
      <c r="AU1612" s="27" t="str">
        <f t="shared" si="710"/>
        <v/>
      </c>
      <c r="AV1612" s="27" t="str">
        <f t="shared" si="711"/>
        <v/>
      </c>
      <c r="AW1612" s="27" t="str">
        <f t="shared" si="712"/>
        <v/>
      </c>
      <c r="AX1612" s="27" t="str">
        <f t="shared" si="713"/>
        <v/>
      </c>
      <c r="AY1612" s="27" t="str">
        <f t="shared" si="714"/>
        <v/>
      </c>
      <c r="AZ1612" s="27" t="str">
        <f t="shared" si="715"/>
        <v/>
      </c>
      <c r="BA1612" s="27" t="str">
        <f t="shared" si="716"/>
        <v/>
      </c>
      <c r="BB1612" s="27" t="str">
        <f t="shared" si="717"/>
        <v/>
      </c>
      <c r="BC1612" s="27" t="str">
        <f t="shared" si="718"/>
        <v/>
      </c>
      <c r="BD1612" s="27" t="str">
        <f t="shared" si="719"/>
        <v/>
      </c>
      <c r="BE1612" s="27" t="str">
        <f t="shared" si="720"/>
        <v/>
      </c>
      <c r="BF1612" s="27" t="str">
        <f t="shared" si="721"/>
        <v/>
      </c>
      <c r="BG1612" s="27" t="str">
        <f t="shared" si="722"/>
        <v/>
      </c>
      <c r="BH1612" s="27" t="str">
        <f t="shared" si="723"/>
        <v/>
      </c>
      <c r="BI1612" s="27" t="str">
        <f t="shared" si="724"/>
        <v/>
      </c>
      <c r="BJ1612" s="27" t="str">
        <f t="shared" si="725"/>
        <v/>
      </c>
      <c r="BK1612" s="27" t="str">
        <f t="shared" si="726"/>
        <v/>
      </c>
      <c r="BL1612" s="27" t="str">
        <f t="shared" si="727"/>
        <v/>
      </c>
      <c r="BM1612" s="21" t="s">
        <v>5581</v>
      </c>
    </row>
    <row r="1613" spans="1:65" ht="15">
      <c r="A1613" s="25" t="str">
        <f>IFERROR(INDEX('Hun Demand'!W:W,MATCH(O1613,'Hun Demand'!A:A,0)),"")</f>
        <v/>
      </c>
      <c r="B1613" s="25" t="str">
        <f>IFERROR(INDEX('Hun Demand'!V:V,MATCH(O1613,'Hun Demand'!A:A,0)),"")</f>
        <v/>
      </c>
      <c r="C1613" s="25" t="str">
        <f>IFERROR(INDEX('Hun Demand'!U:U,MATCH(O1613,'Hun Demand'!A:A,0)),"")</f>
        <v/>
      </c>
      <c r="D1613" s="25" t="str">
        <f>IFERROR(INDEX('Hun Demand'!T:T,MATCH(O1613,'Hun Demand'!A:A,0)),"")</f>
        <v/>
      </c>
      <c r="E1613" s="25" t="str">
        <f>IFERROR(INDEX('Hun Demand'!S:S,MATCH(O1613,'Hun Demand'!A:A,0)),"")</f>
        <v/>
      </c>
      <c r="F1613" s="25" t="str">
        <f>IFERROR(INDEX('Hun Demand'!R:R,MATCH(O1613,'Hun Demand'!A:A,0)),"")</f>
        <v/>
      </c>
      <c r="G1613" s="25">
        <f>IFERROR(INDEX('Aub Demand'!W:W,MATCH(O1613,'Aub Demand'!A:A,0)),"")</f>
        <v>0</v>
      </c>
      <c r="H1613" s="25">
        <f>IFERROR(INDEX('Aub Demand'!V:V,MATCH(O1613,'Aub Demand'!A:A,0)),"")</f>
        <v>0</v>
      </c>
      <c r="I1613" s="25">
        <f>IFERROR(INDEX('Aub Demand'!U:U,MATCH(O1613,'Aub Demand'!A:A,0)),"")</f>
        <v>0</v>
      </c>
      <c r="J1613" s="25">
        <f>IFERROR(INDEX('Aub Demand'!T:T,MATCH(O1613,'Aub Demand'!A:A,0)),"")</f>
        <v>0</v>
      </c>
      <c r="K1613" s="25">
        <f>IFERROR(INDEX('Aub Demand'!S:S,MATCH(O1613,'Aub Demand'!A:A,0)),"")</f>
        <v>0</v>
      </c>
      <c r="L1613" s="25">
        <f>IFERROR(INDEX('Aub Demand'!R:R,MATCH(O1613,'Aub Demand'!A:A,0)),"")</f>
        <v>0</v>
      </c>
      <c r="O1613" s="27" t="s">
        <v>1939</v>
      </c>
      <c r="P1613" s="27" t="str">
        <f>IFERROR(INDEX('Aub Demand'!B:B,MATCH($O1613,'Aub Demand'!$A:$A,0)),"")</f>
        <v>LA ASH B/C</v>
      </c>
      <c r="Q1613" s="27" t="str">
        <f>IFERROR(INDEX('Aub Demand'!C:C,MATCH($O1613,'Aub Demand'!$A:$A,0)),"")</f>
        <v>DNP A</v>
      </c>
      <c r="R1613" s="52">
        <f>IFERROR(IF(AR1614=AR1613,INDEX('Aub Demand'!K:K,MATCH($O1613,'Aub Demand'!$A:$A,0))-IF(AN1613="",0,AN1613)+AP1614,INDEX('Aub Demand'!K:K,MATCH($O1613,'Aub Demand'!$A:$A,0))-IF(AN1613="",0,AN1613)),"")</f>
        <v>660</v>
      </c>
      <c r="S1613" s="53" t="str">
        <f t="shared" si="700"/>
        <v>n/a</v>
      </c>
      <c r="T1613" s="52" t="str">
        <f t="shared" si="701"/>
        <v/>
      </c>
      <c r="U1613" s="52">
        <f>IFERROR(IF(AR1614=AR1613,INDEX('Aub Demand'!Q:Q,MATCH($O1613,'Aub Demand'!$A:$A,0))-IF(AN1613="",0,AN1613)+AP1614,INDEX('Aub Demand'!Q:Q,MATCH($O1613,'Aub Demand'!$A:$A,0))-IF(AN1613="",0,AN1613)),"")</f>
        <v>660</v>
      </c>
      <c r="V1613" s="53" t="str">
        <f t="shared" si="702"/>
        <v>n/a</v>
      </c>
      <c r="W1613" s="52" t="str">
        <f t="shared" si="703"/>
        <v/>
      </c>
      <c r="X1613" s="52">
        <f>IFERROR(IF(AND(AR1614=AR1613,AM1613&lt;&gt;""),INDEX('Aub Demand'!Q:Q,MATCH($O1613,'Aub Demand'!$A:$A,0))-IF(AN1613="",0,AN1613)+AP1614+AD1613+AL1613,IF(AR1614=AR1613,INDEX('Aub Demand'!Q:Q,MATCH($O1613,'Aub Demand'!$A:$A,0))-IF(AN1613="",0,AN1613)+AP1614+AD1613,IF(AM1613&lt;&gt;"",INDEX('Aub Demand'!Q:Q,MATCH($O1613,'Aub Demand'!$A:$A,0))-IF(AN1613="",0,AN1613)+AD1613+AL1613,INDEX('Aub Demand'!Q:Q,MATCH($O1613,'Aub Demand'!$A:$A,0))-IF(AN1613="",0,AN1613)+AD1613))),"")</f>
        <v>660</v>
      </c>
      <c r="Y1613" s="53" t="str">
        <f t="shared" si="704"/>
        <v>n/a</v>
      </c>
      <c r="Z1613" s="52">
        <f>IF(L1613="","",INDEX('Aub Demand'!H:H,MATCH($O1613,'Aub Demand'!$A:$A,0)))</f>
        <v>0</v>
      </c>
      <c r="AA1613" s="52" t="str">
        <f t="shared" si="705"/>
        <v>-spike-</v>
      </c>
      <c r="AB1613" s="52">
        <f>IFERROR(INDEX('Aub Demand'!L:L,MATCH($O1613,'Aub Demand'!$A:$A,0)),"")</f>
        <v>0</v>
      </c>
      <c r="AC1613" s="52">
        <f>IFERROR(IF(O1613="","",SUMIFS('CPL Mats'!F:F,'CPL Mats'!Q:Q,AR1613,'CPL Mats'!S:S,AS1613)),"")</f>
        <v>0</v>
      </c>
      <c r="AF1613" s="25" t="str">
        <f>IF(SUMIFS('Supp Consol'!S:S,'Supp Consol'!Y:Y,"Releasable",'Supp Consol'!A:A,O1613)=0,"",SUMIFS('Supp Consol'!S:S,'Supp Consol'!Y:Y,"Releasable",'Supp Consol'!A:A,O1613))</f>
        <v/>
      </c>
      <c r="AG1613" s="25" t="str">
        <f>IFERROR(INDEX('Hun Demand'!Q:Q,MATCH(O1613,'Hun Demand'!A:A,0)),"")</f>
        <v/>
      </c>
      <c r="AH1613" s="25" t="str">
        <f>IFERROR(INDEX('Hun Demand'!H:H,MATCH($O1613,'Hun Demand'!$A:$A,0)),"")</f>
        <v/>
      </c>
      <c r="AI1613" s="25" t="str">
        <f>IF(SUMIFS('Supp Consol'!AA:AA,'Supp Consol'!Z:Z,"Expires this month",'Supp Consol'!A:A,O1613)=0,"",SUMIFS('Supp Consol'!AA:AA,'Supp Consol'!Z:Z,"Expires this month",'Supp Consol'!A:A,O1613))</f>
        <v/>
      </c>
      <c r="AJ1613" s="25" t="str">
        <f>IF(SUMIFS('Supp Consol'!AA:AA,'Supp Consol'!Z:Z,"Expired Previous Months",'Supp Consol'!A:A,O1613)=0,"",SUMIFS('Supp Consol'!AA:AA,'Supp Consol'!Z:Z,"Expired Previous Months",'Supp Consol'!A:A,O1613))</f>
        <v/>
      </c>
      <c r="AK1613" s="25" t="str">
        <f>IFERROR(INDEX('Hun Release Current'!B:B,MATCH(O1613,'Hun Release Current'!A:A,0)),"")</f>
        <v/>
      </c>
      <c r="AL1613" s="25" t="str">
        <f>IF(SUMIF('Prev Aub'!A:A,O1613,'Prev Aub'!B:B)=0,"",SUMIF('Prev Aub'!A:A,O1613,'Prev Aub'!B:B))</f>
        <v/>
      </c>
      <c r="AN1613" s="25" t="s">
        <v>3790</v>
      </c>
      <c r="AO1613" s="25" t="s">
        <v>3790</v>
      </c>
      <c r="AP1613" s="25">
        <f t="shared" si="706"/>
        <v>0</v>
      </c>
      <c r="AQ1613" s="151" t="str">
        <f>IF(SUMIFS('Supp Consol'!S:S,'Supp Consol'!A:A,O1613,'Supp Consol'!I:I,"PENDING")=0,"",SUMIFS('Supp Consol'!S:S,'Supp Consol'!A:A,O1613,'Supp Consol'!I:I,"PENDING"))</f>
        <v/>
      </c>
      <c r="AR1613" s="27" t="str">
        <f t="shared" si="707"/>
        <v>WX221</v>
      </c>
      <c r="AS1613" s="27" t="str">
        <f t="shared" si="708"/>
        <v>62</v>
      </c>
      <c r="AT1613" s="27" t="str">
        <f t="shared" si="709"/>
        <v/>
      </c>
      <c r="AU1613" s="27" t="str">
        <f t="shared" si="710"/>
        <v/>
      </c>
      <c r="AV1613" s="27" t="str">
        <f t="shared" si="711"/>
        <v/>
      </c>
      <c r="AW1613" s="27" t="str">
        <f t="shared" si="712"/>
        <v/>
      </c>
      <c r="AX1613" s="27" t="str">
        <f t="shared" si="713"/>
        <v/>
      </c>
      <c r="AY1613" s="27" t="str">
        <f t="shared" si="714"/>
        <v/>
      </c>
      <c r="AZ1613" s="27" t="str">
        <f t="shared" si="715"/>
        <v/>
      </c>
      <c r="BA1613" s="27" t="str">
        <f t="shared" si="716"/>
        <v/>
      </c>
      <c r="BB1613" s="27" t="str">
        <f t="shared" si="717"/>
        <v/>
      </c>
      <c r="BC1613" s="27" t="str">
        <f t="shared" si="718"/>
        <v/>
      </c>
      <c r="BD1613" s="27" t="str">
        <f t="shared" si="719"/>
        <v/>
      </c>
      <c r="BE1613" s="27" t="str">
        <f t="shared" si="720"/>
        <v/>
      </c>
      <c r="BF1613" s="27" t="str">
        <f t="shared" si="721"/>
        <v/>
      </c>
      <c r="BG1613" s="27" t="str">
        <f t="shared" si="722"/>
        <v/>
      </c>
      <c r="BH1613" s="27" t="str">
        <f t="shared" si="723"/>
        <v/>
      </c>
      <c r="BI1613" s="27" t="str">
        <f t="shared" si="724"/>
        <v/>
      </c>
      <c r="BJ1613" s="27" t="str">
        <f t="shared" si="725"/>
        <v/>
      </c>
      <c r="BK1613" s="27" t="str">
        <f t="shared" si="726"/>
        <v/>
      </c>
      <c r="BL1613" s="27" t="str">
        <f t="shared" si="727"/>
        <v/>
      </c>
      <c r="BM1613" s="21" t="s">
        <v>5581</v>
      </c>
    </row>
    <row r="1614" spans="1:65" ht="15">
      <c r="A1614" s="25">
        <f>IFERROR(INDEX('Hun Demand'!W:W,MATCH(O1614,'Hun Demand'!A:A,0)),"")</f>
        <v>339</v>
      </c>
      <c r="B1614" s="25">
        <f>IFERROR(INDEX('Hun Demand'!V:V,MATCH(O1614,'Hun Demand'!A:A,0)),"")</f>
        <v>0</v>
      </c>
      <c r="C1614" s="25">
        <f>IFERROR(INDEX('Hun Demand'!U:U,MATCH(O1614,'Hun Demand'!A:A,0)),"")</f>
        <v>0</v>
      </c>
      <c r="D1614" s="25">
        <f>IFERROR(INDEX('Hun Demand'!T:T,MATCH(O1614,'Hun Demand'!A:A,0)),"")</f>
        <v>0</v>
      </c>
      <c r="E1614" s="25">
        <f>IFERROR(INDEX('Hun Demand'!S:S,MATCH(O1614,'Hun Demand'!A:A,0)),"")</f>
        <v>0</v>
      </c>
      <c r="F1614" s="25">
        <f>IFERROR(INDEX('Hun Demand'!R:R,MATCH(O1614,'Hun Demand'!A:A,0)),"")</f>
        <v>0</v>
      </c>
      <c r="G1614" s="25">
        <f>IFERROR(INDEX('Aub Demand'!W:W,MATCH(O1614,'Aub Demand'!A:A,0)),"")</f>
        <v>53</v>
      </c>
      <c r="H1614" s="25">
        <f>IFERROR(INDEX('Aub Demand'!V:V,MATCH(O1614,'Aub Demand'!A:A,0)),"")</f>
        <v>110</v>
      </c>
      <c r="I1614" s="25">
        <f>IFERROR(INDEX('Aub Demand'!U:U,MATCH(O1614,'Aub Demand'!A:A,0)),"")</f>
        <v>0</v>
      </c>
      <c r="J1614" s="25">
        <f>IFERROR(INDEX('Aub Demand'!T:T,MATCH(O1614,'Aub Demand'!A:A,0)),"")</f>
        <v>108</v>
      </c>
      <c r="K1614" s="25">
        <f>IFERROR(INDEX('Aub Demand'!S:S,MATCH(O1614,'Aub Demand'!A:A,0)),"")</f>
        <v>0</v>
      </c>
      <c r="L1614" s="25">
        <f>IFERROR(INDEX('Aub Demand'!R:R,MATCH(O1614,'Aub Demand'!A:A,0)),"")</f>
        <v>0</v>
      </c>
      <c r="O1614" s="27" t="s">
        <v>1940</v>
      </c>
      <c r="P1614" s="27" t="str">
        <f>IFERROR(INDEX('Aub Demand'!B:B,MATCH($O1614,'Aub Demand'!$A:$A,0)),"")</f>
        <v>OPTO PRINTATRE</v>
      </c>
      <c r="Q1614" s="27" t="str">
        <f>IFERROR(INDEX('Aub Demand'!C:C,MATCH($O1614,'Aub Demand'!$A:$A,0)),"")</f>
        <v>INTER</v>
      </c>
      <c r="R1614" s="52">
        <f>IFERROR(IF(AR1615=AR1614,INDEX('Aub Demand'!K:K,MATCH($O1614,'Aub Demand'!$A:$A,0))-IF(AN1614="",0,AN1614)+AP1615,INDEX('Aub Demand'!K:K,MATCH($O1614,'Aub Demand'!$A:$A,0))-IF(AN1614="",0,AN1614)),"")</f>
        <v>1233</v>
      </c>
      <c r="S1614" s="53">
        <f t="shared" si="700"/>
        <v>146.80000000000001</v>
      </c>
      <c r="T1614" s="52" t="str">
        <f t="shared" si="701"/>
        <v/>
      </c>
      <c r="U1614" s="52">
        <f>IFERROR(IF(AR1615=AR1614,INDEX('Aub Demand'!Q:Q,MATCH($O1614,'Aub Demand'!$A:$A,0))-IF(AN1614="",0,AN1614)+AP1615,INDEX('Aub Demand'!Q:Q,MATCH($O1614,'Aub Demand'!$A:$A,0))-IF(AN1614="",0,AN1614)),"")</f>
        <v>1202</v>
      </c>
      <c r="V1614" s="53">
        <f t="shared" si="702"/>
        <v>143.1</v>
      </c>
      <c r="W1614" s="52" t="str">
        <f t="shared" si="703"/>
        <v/>
      </c>
      <c r="X1614" s="52">
        <f>IFERROR(IF(AND(AR1615=AR1614,AM1614&lt;&gt;""),INDEX('Aub Demand'!Q:Q,MATCH($O1614,'Aub Demand'!$A:$A,0))-IF(AN1614="",0,AN1614)+AP1615+AD1614+AL1614,IF(AR1615=AR1614,INDEX('Aub Demand'!Q:Q,MATCH($O1614,'Aub Demand'!$A:$A,0))-IF(AN1614="",0,AN1614)+AP1615+AD1614,IF(AM1614&lt;&gt;"",INDEX('Aub Demand'!Q:Q,MATCH($O1614,'Aub Demand'!$A:$A,0))-IF(AN1614="",0,AN1614)+AD1614+AL1614,INDEX('Aub Demand'!Q:Q,MATCH($O1614,'Aub Demand'!$A:$A,0))-IF(AN1614="",0,AN1614)+AD1614))),"")</f>
        <v>1202</v>
      </c>
      <c r="Y1614" s="53">
        <f t="shared" si="704"/>
        <v>143.1</v>
      </c>
      <c r="Z1614" s="52">
        <f>IF(L1614="","",INDEX('Aub Demand'!H:H,MATCH($O1614,'Aub Demand'!$A:$A,0)))</f>
        <v>36</v>
      </c>
      <c r="AA1614" s="52" t="str">
        <f t="shared" si="705"/>
        <v>-spike-</v>
      </c>
      <c r="AB1614" s="52">
        <f>IFERROR(INDEX('Aub Demand'!L:L,MATCH($O1614,'Aub Demand'!$A:$A,0)),"")</f>
        <v>40</v>
      </c>
      <c r="AC1614" s="52">
        <f>IFERROR(IF(O1614="","",SUMIFS('CPL Mats'!F:F,'CPL Mats'!Q:Q,AR1614,'CPL Mats'!S:S,AS1614)),"")</f>
        <v>0</v>
      </c>
      <c r="AF1614" s="25" t="str">
        <f>IF(SUMIFS('Supp Consol'!S:S,'Supp Consol'!Y:Y,"Releasable",'Supp Consol'!A:A,O1614)=0,"",SUMIFS('Supp Consol'!S:S,'Supp Consol'!Y:Y,"Releasable",'Supp Consol'!A:A,O1614))</f>
        <v/>
      </c>
      <c r="AG1614" s="25">
        <f>IFERROR(INDEX('Hun Demand'!Q:Q,MATCH(O1614,'Hun Demand'!A:A,0)),"")</f>
        <v>100</v>
      </c>
      <c r="AH1614" s="25">
        <f>IFERROR(INDEX('Hun Demand'!H:H,MATCH($O1614,'Hun Demand'!$A:$A,0)),"")</f>
        <v>0</v>
      </c>
      <c r="AI1614" s="25" t="str">
        <f>IF(SUMIFS('Supp Consol'!AA:AA,'Supp Consol'!Z:Z,"Expires this month",'Supp Consol'!A:A,O1614)=0,"",SUMIFS('Supp Consol'!AA:AA,'Supp Consol'!Z:Z,"Expires this month",'Supp Consol'!A:A,O1614))</f>
        <v/>
      </c>
      <c r="AJ1614" s="25" t="str">
        <f>IF(SUMIFS('Supp Consol'!AA:AA,'Supp Consol'!Z:Z,"Expired Previous Months",'Supp Consol'!A:A,O1614)=0,"",SUMIFS('Supp Consol'!AA:AA,'Supp Consol'!Z:Z,"Expired Previous Months",'Supp Consol'!A:A,O1614))</f>
        <v/>
      </c>
      <c r="AK1614" s="25" t="str">
        <f>IFERROR(INDEX('Hun Release Current'!B:B,MATCH(O1614,'Hun Release Current'!A:A,0)),"")</f>
        <v/>
      </c>
      <c r="AL1614" s="25" t="str">
        <f>IF(SUMIF('Prev Aub'!A:A,O1614,'Prev Aub'!B:B)=0,"",SUMIF('Prev Aub'!A:A,O1614,'Prev Aub'!B:B))</f>
        <v/>
      </c>
      <c r="AN1614" s="25" t="s">
        <v>3790</v>
      </c>
      <c r="AO1614" s="25" t="s">
        <v>3790</v>
      </c>
      <c r="AP1614" s="25">
        <f t="shared" si="706"/>
        <v>0</v>
      </c>
      <c r="AQ1614" s="151" t="str">
        <f>IF(SUMIFS('Supp Consol'!S:S,'Supp Consol'!A:A,O1614,'Supp Consol'!I:I,"PENDING")=0,"",SUMIFS('Supp Consol'!S:S,'Supp Consol'!A:A,O1614,'Supp Consol'!I:I,"PENDING"))</f>
        <v/>
      </c>
      <c r="AR1614" s="27" t="str">
        <f t="shared" si="707"/>
        <v>WX230</v>
      </c>
      <c r="AS1614" s="27" t="str">
        <f t="shared" si="708"/>
        <v>50</v>
      </c>
      <c r="AT1614" s="27" t="str">
        <f t="shared" si="709"/>
        <v/>
      </c>
      <c r="AU1614" s="27" t="str">
        <f t="shared" si="710"/>
        <v/>
      </c>
      <c r="AV1614" s="27" t="str">
        <f t="shared" si="711"/>
        <v/>
      </c>
      <c r="AW1614" s="27" t="str">
        <f t="shared" si="712"/>
        <v/>
      </c>
      <c r="AX1614" s="27" t="str">
        <f t="shared" si="713"/>
        <v/>
      </c>
      <c r="AY1614" s="27" t="str">
        <f t="shared" si="714"/>
        <v>WX230</v>
      </c>
      <c r="AZ1614" s="27" t="str">
        <f t="shared" si="715"/>
        <v/>
      </c>
      <c r="BA1614" s="27" t="str">
        <f t="shared" si="716"/>
        <v>Hun</v>
      </c>
      <c r="BB1614" s="27" t="str">
        <f t="shared" si="717"/>
        <v/>
      </c>
      <c r="BC1614" s="27" t="str">
        <f t="shared" si="718"/>
        <v/>
      </c>
      <c r="BD1614" s="27" t="str">
        <f t="shared" si="719"/>
        <v/>
      </c>
      <c r="BE1614" s="27" t="str">
        <f t="shared" si="720"/>
        <v/>
      </c>
      <c r="BF1614" s="27" t="str">
        <f t="shared" si="721"/>
        <v/>
      </c>
      <c r="BG1614" s="27" t="str">
        <f t="shared" si="722"/>
        <v/>
      </c>
      <c r="BH1614" s="27" t="str">
        <f t="shared" si="723"/>
        <v/>
      </c>
      <c r="BI1614" s="27" t="str">
        <f t="shared" si="724"/>
        <v/>
      </c>
      <c r="BJ1614" s="27" t="str">
        <f t="shared" si="725"/>
        <v>Supp or Hun</v>
      </c>
      <c r="BK1614" s="27" t="str">
        <f t="shared" si="726"/>
        <v/>
      </c>
      <c r="BL1614" s="27" t="str">
        <f t="shared" si="727"/>
        <v/>
      </c>
      <c r="BM1614" s="21" t="s">
        <v>5582</v>
      </c>
    </row>
    <row r="1615" spans="1:65" ht="15">
      <c r="A1615" s="25">
        <f>IFERROR(INDEX('Hun Demand'!W:W,MATCH(O1615,'Hun Demand'!A:A,0)),"")</f>
        <v>0</v>
      </c>
      <c r="B1615" s="25">
        <f>IFERROR(INDEX('Hun Demand'!V:V,MATCH(O1615,'Hun Demand'!A:A,0)),"")</f>
        <v>0</v>
      </c>
      <c r="C1615" s="25">
        <f>IFERROR(INDEX('Hun Demand'!U:U,MATCH(O1615,'Hun Demand'!A:A,0)),"")</f>
        <v>0</v>
      </c>
      <c r="D1615" s="25">
        <f>IFERROR(INDEX('Hun Demand'!T:T,MATCH(O1615,'Hun Demand'!A:A,0)),"")</f>
        <v>0</v>
      </c>
      <c r="E1615" s="25">
        <f>IFERROR(INDEX('Hun Demand'!S:S,MATCH(O1615,'Hun Demand'!A:A,0)),"")</f>
        <v>0</v>
      </c>
      <c r="F1615" s="25">
        <f>IFERROR(INDEX('Hun Demand'!R:R,MATCH(O1615,'Hun Demand'!A:A,0)),"")</f>
        <v>0</v>
      </c>
      <c r="G1615" s="25">
        <f>IFERROR(INDEX('Aub Demand'!W:W,MATCH(O1615,'Aub Demand'!A:A,0)),"")</f>
        <v>21</v>
      </c>
      <c r="H1615" s="25">
        <f>IFERROR(INDEX('Aub Demand'!V:V,MATCH(O1615,'Aub Demand'!A:A,0)),"")</f>
        <v>0</v>
      </c>
      <c r="I1615" s="25">
        <f>IFERROR(INDEX('Aub Demand'!U:U,MATCH(O1615,'Aub Demand'!A:A,0)),"")</f>
        <v>9</v>
      </c>
      <c r="J1615" s="25">
        <f>IFERROR(INDEX('Aub Demand'!T:T,MATCH(O1615,'Aub Demand'!A:A,0)),"")</f>
        <v>0</v>
      </c>
      <c r="K1615" s="25">
        <f>IFERROR(INDEX('Aub Demand'!S:S,MATCH(O1615,'Aub Demand'!A:A,0)),"")</f>
        <v>0</v>
      </c>
      <c r="L1615" s="25">
        <f>IFERROR(INDEX('Aub Demand'!R:R,MATCH(O1615,'Aub Demand'!A:A,0)),"")</f>
        <v>0</v>
      </c>
      <c r="O1615" s="27" t="s">
        <v>1942</v>
      </c>
      <c r="P1615" s="27" t="str">
        <f>IFERROR(INDEX('Aub Demand'!B:B,MATCH($O1615,'Aub Demand'!$A:$A,0)),"")</f>
        <v>OPTO PRINTATRE</v>
      </c>
      <c r="Q1615" s="27" t="str">
        <f>IFERROR(INDEX('Aub Demand'!C:C,MATCH($O1615,'Aub Demand'!$A:$A,0)),"")</f>
        <v>INTER</v>
      </c>
      <c r="R1615" s="52">
        <f>IFERROR(IF(AR1616=AR1615,INDEX('Aub Demand'!K:K,MATCH($O1615,'Aub Demand'!$A:$A,0))-IF(AN1615="",0,AN1615)+AP1616,INDEX('Aub Demand'!K:K,MATCH($O1615,'Aub Demand'!$A:$A,0))-IF(AN1615="",0,AN1615)),"")</f>
        <v>882</v>
      </c>
      <c r="S1615" s="53">
        <f t="shared" si="700"/>
        <v>1260</v>
      </c>
      <c r="T1615" s="52" t="str">
        <f t="shared" si="701"/>
        <v/>
      </c>
      <c r="U1615" s="52">
        <f>IFERROR(IF(AR1616=AR1615,INDEX('Aub Demand'!Q:Q,MATCH($O1615,'Aub Demand'!$A:$A,0))-IF(AN1615="",0,AN1615)+AP1616,INDEX('Aub Demand'!Q:Q,MATCH($O1615,'Aub Demand'!$A:$A,0))-IF(AN1615="",0,AN1615)),"")</f>
        <v>882</v>
      </c>
      <c r="V1615" s="53">
        <f t="shared" si="702"/>
        <v>1260</v>
      </c>
      <c r="W1615" s="52" t="str">
        <f t="shared" si="703"/>
        <v/>
      </c>
      <c r="X1615" s="52">
        <f>IFERROR(IF(AND(AR1616=AR1615,AM1615&lt;&gt;""),INDEX('Aub Demand'!Q:Q,MATCH($O1615,'Aub Demand'!$A:$A,0))-IF(AN1615="",0,AN1615)+AP1616+AD1615+AL1615,IF(AR1616=AR1615,INDEX('Aub Demand'!Q:Q,MATCH($O1615,'Aub Demand'!$A:$A,0))-IF(AN1615="",0,AN1615)+AP1616+AD1615,IF(AM1615&lt;&gt;"",INDEX('Aub Demand'!Q:Q,MATCH($O1615,'Aub Demand'!$A:$A,0))-IF(AN1615="",0,AN1615)+AD1615+AL1615,INDEX('Aub Demand'!Q:Q,MATCH($O1615,'Aub Demand'!$A:$A,0))-IF(AN1615="",0,AN1615)+AD1615))),"")</f>
        <v>882</v>
      </c>
      <c r="Y1615" s="53">
        <f t="shared" si="704"/>
        <v>1260</v>
      </c>
      <c r="Z1615" s="52">
        <f>IF(L1615="","",INDEX('Aub Demand'!H:H,MATCH($O1615,'Aub Demand'!$A:$A,0)))</f>
        <v>3</v>
      </c>
      <c r="AA1615" s="52" t="str">
        <f t="shared" si="705"/>
        <v>-spike-</v>
      </c>
      <c r="AB1615" s="52">
        <f>IFERROR(INDEX('Aub Demand'!L:L,MATCH($O1615,'Aub Demand'!$A:$A,0)),"")</f>
        <v>0</v>
      </c>
      <c r="AC1615" s="52">
        <f>IFERROR(IF(O1615="","",SUMIFS('CPL Mats'!F:F,'CPL Mats'!Q:Q,AR1615,'CPL Mats'!S:S,AS1615)),"")</f>
        <v>0</v>
      </c>
      <c r="AF1615" s="25" t="str">
        <f>IF(SUMIFS('Supp Consol'!S:S,'Supp Consol'!Y:Y,"Releasable",'Supp Consol'!A:A,O1615)=0,"",SUMIFS('Supp Consol'!S:S,'Supp Consol'!Y:Y,"Releasable",'Supp Consol'!A:A,O1615))</f>
        <v/>
      </c>
      <c r="AG1615" s="25">
        <f>IFERROR(INDEX('Hun Demand'!Q:Q,MATCH(O1615,'Hun Demand'!A:A,0)),"")</f>
        <v>61</v>
      </c>
      <c r="AH1615" s="25">
        <f>IFERROR(INDEX('Hun Demand'!H:H,MATCH($O1615,'Hun Demand'!$A:$A,0)),"")</f>
        <v>0</v>
      </c>
      <c r="AI1615" s="25" t="str">
        <f>IF(SUMIFS('Supp Consol'!AA:AA,'Supp Consol'!Z:Z,"Expires this month",'Supp Consol'!A:A,O1615)=0,"",SUMIFS('Supp Consol'!AA:AA,'Supp Consol'!Z:Z,"Expires this month",'Supp Consol'!A:A,O1615))</f>
        <v/>
      </c>
      <c r="AJ1615" s="25" t="str">
        <f>IF(SUMIFS('Supp Consol'!AA:AA,'Supp Consol'!Z:Z,"Expired Previous Months",'Supp Consol'!A:A,O1615)=0,"",SUMIFS('Supp Consol'!AA:AA,'Supp Consol'!Z:Z,"Expired Previous Months",'Supp Consol'!A:A,O1615))</f>
        <v/>
      </c>
      <c r="AK1615" s="25" t="str">
        <f>IFERROR(INDEX('Hun Release Current'!B:B,MATCH(O1615,'Hun Release Current'!A:A,0)),"")</f>
        <v/>
      </c>
      <c r="AL1615" s="25" t="str">
        <f>IF(SUMIF('Prev Aub'!A:A,O1615,'Prev Aub'!B:B)=0,"",SUMIF('Prev Aub'!A:A,O1615,'Prev Aub'!B:B))</f>
        <v/>
      </c>
      <c r="AN1615" s="25" t="s">
        <v>3790</v>
      </c>
      <c r="AO1615" s="25" t="s">
        <v>3790</v>
      </c>
      <c r="AP1615" s="25">
        <f t="shared" si="706"/>
        <v>0</v>
      </c>
      <c r="AQ1615" s="151" t="str">
        <f>IF(SUMIFS('Supp Consol'!S:S,'Supp Consol'!A:A,O1615,'Supp Consol'!I:I,"PENDING")=0,"",SUMIFS('Supp Consol'!S:S,'Supp Consol'!A:A,O1615,'Supp Consol'!I:I,"PENDING"))</f>
        <v/>
      </c>
      <c r="AR1615" s="27" t="str">
        <f t="shared" si="707"/>
        <v>WX230</v>
      </c>
      <c r="AS1615" s="27" t="str">
        <f t="shared" si="708"/>
        <v>62</v>
      </c>
      <c r="AT1615" s="27" t="str">
        <f t="shared" si="709"/>
        <v/>
      </c>
      <c r="AU1615" s="27" t="str">
        <f t="shared" si="710"/>
        <v/>
      </c>
      <c r="AV1615" s="27" t="str">
        <f t="shared" si="711"/>
        <v/>
      </c>
      <c r="AW1615" s="27" t="str">
        <f t="shared" si="712"/>
        <v/>
      </c>
      <c r="AX1615" s="27" t="str">
        <f t="shared" si="713"/>
        <v/>
      </c>
      <c r="AY1615" s="27" t="str">
        <f t="shared" si="714"/>
        <v>WX230</v>
      </c>
      <c r="AZ1615" s="27" t="str">
        <f t="shared" si="715"/>
        <v/>
      </c>
      <c r="BA1615" s="27" t="str">
        <f t="shared" si="716"/>
        <v>Hun</v>
      </c>
      <c r="BB1615" s="27" t="str">
        <f t="shared" si="717"/>
        <v/>
      </c>
      <c r="BC1615" s="27" t="str">
        <f t="shared" si="718"/>
        <v/>
      </c>
      <c r="BD1615" s="27" t="str">
        <f t="shared" si="719"/>
        <v/>
      </c>
      <c r="BE1615" s="27" t="str">
        <f t="shared" si="720"/>
        <v/>
      </c>
      <c r="BF1615" s="27" t="str">
        <f t="shared" si="721"/>
        <v/>
      </c>
      <c r="BG1615" s="27" t="str">
        <f t="shared" si="722"/>
        <v/>
      </c>
      <c r="BH1615" s="27" t="str">
        <f t="shared" si="723"/>
        <v/>
      </c>
      <c r="BI1615" s="27" t="str">
        <f t="shared" si="724"/>
        <v/>
      </c>
      <c r="BJ1615" s="27" t="str">
        <f t="shared" si="725"/>
        <v>Supp or Hun</v>
      </c>
      <c r="BK1615" s="27" t="str">
        <f t="shared" si="726"/>
        <v/>
      </c>
      <c r="BL1615" s="27" t="str">
        <f t="shared" si="727"/>
        <v/>
      </c>
      <c r="BM1615" s="21" t="s">
        <v>5582</v>
      </c>
    </row>
    <row r="1616" spans="1:65" ht="15">
      <c r="A1616" s="25">
        <f>IFERROR(INDEX('Hun Demand'!W:W,MATCH(O1616,'Hun Demand'!A:A,0)),"")</f>
        <v>0</v>
      </c>
      <c r="B1616" s="25">
        <f>IFERROR(INDEX('Hun Demand'!V:V,MATCH(O1616,'Hun Demand'!A:A,0)),"")</f>
        <v>0</v>
      </c>
      <c r="C1616" s="25">
        <f>IFERROR(INDEX('Hun Demand'!U:U,MATCH(O1616,'Hun Demand'!A:A,0)),"")</f>
        <v>210</v>
      </c>
      <c r="D1616" s="25">
        <f>IFERROR(INDEX('Hun Demand'!T:T,MATCH(O1616,'Hun Demand'!A:A,0)),"")</f>
        <v>0</v>
      </c>
      <c r="E1616" s="25">
        <f>IFERROR(INDEX('Hun Demand'!S:S,MATCH(O1616,'Hun Demand'!A:A,0)),"")</f>
        <v>98</v>
      </c>
      <c r="F1616" s="25">
        <f>IFERROR(INDEX('Hun Demand'!R:R,MATCH(O1616,'Hun Demand'!A:A,0)),"")</f>
        <v>0</v>
      </c>
      <c r="G1616" s="25">
        <f>IFERROR(INDEX('Aub Demand'!W:W,MATCH(O1616,'Aub Demand'!A:A,0)),"")</f>
        <v>89</v>
      </c>
      <c r="H1616" s="25">
        <f>IFERROR(INDEX('Aub Demand'!V:V,MATCH(O1616,'Aub Demand'!A:A,0)),"")</f>
        <v>32</v>
      </c>
      <c r="I1616" s="25">
        <f>IFERROR(INDEX('Aub Demand'!U:U,MATCH(O1616,'Aub Demand'!A:A,0)),"")</f>
        <v>0</v>
      </c>
      <c r="J1616" s="25">
        <f>IFERROR(INDEX('Aub Demand'!T:T,MATCH(O1616,'Aub Demand'!A:A,0)),"")</f>
        <v>0</v>
      </c>
      <c r="K1616" s="25">
        <f>IFERROR(INDEX('Aub Demand'!S:S,MATCH(O1616,'Aub Demand'!A:A,0)),"")</f>
        <v>0</v>
      </c>
      <c r="L1616" s="25">
        <f>IFERROR(INDEX('Aub Demand'!R:R,MATCH(O1616,'Aub Demand'!A:A,0)),"")</f>
        <v>0</v>
      </c>
      <c r="O1616" s="27" t="s">
        <v>1943</v>
      </c>
      <c r="P1616" s="27" t="str">
        <f>IFERROR(INDEX('Aub Demand'!B:B,MATCH($O1616,'Aub Demand'!$A:$A,0)),"")</f>
        <v>ELECTO PRINTATRE</v>
      </c>
      <c r="Q1616" s="27" t="str">
        <f>IFERROR(INDEX('Aub Demand'!C:C,MATCH($O1616,'Aub Demand'!$A:$A,0)),"")</f>
        <v>INTER</v>
      </c>
      <c r="R1616" s="52">
        <f>IFERROR(IF(AR1617=AR1616,INDEX('Aub Demand'!K:K,MATCH($O1616,'Aub Demand'!$A:$A,0))-IF(AN1616="",0,AN1616)+AP1617,INDEX('Aub Demand'!K:K,MATCH($O1616,'Aub Demand'!$A:$A,0))-IF(AN1616="",0,AN1616)),"")</f>
        <v>2165</v>
      </c>
      <c r="S1616" s="53" t="str">
        <f t="shared" si="700"/>
        <v>n/a</v>
      </c>
      <c r="T1616" s="52" t="str">
        <f t="shared" si="701"/>
        <v/>
      </c>
      <c r="U1616" s="52">
        <f>IFERROR(IF(AR1617=AR1616,INDEX('Aub Demand'!Q:Q,MATCH($O1616,'Aub Demand'!$A:$A,0))-IF(AN1616="",0,AN1616)+AP1617,INDEX('Aub Demand'!Q:Q,MATCH($O1616,'Aub Demand'!$A:$A,0))-IF(AN1616="",0,AN1616)),"")</f>
        <v>2165</v>
      </c>
      <c r="V1616" s="53" t="str">
        <f t="shared" si="702"/>
        <v>n/a</v>
      </c>
      <c r="W1616" s="52" t="str">
        <f t="shared" si="703"/>
        <v/>
      </c>
      <c r="X1616" s="52">
        <f>IFERROR(IF(AND(AR1617=AR1616,AM1616&lt;&gt;""),INDEX('Aub Demand'!Q:Q,MATCH($O1616,'Aub Demand'!$A:$A,0))-IF(AN1616="",0,AN1616)+AP1617+AD1616+AL1616,IF(AR1617=AR1616,INDEX('Aub Demand'!Q:Q,MATCH($O1616,'Aub Demand'!$A:$A,0))-IF(AN1616="",0,AN1616)+AP1617+AD1616,IF(AM1616&lt;&gt;"",INDEX('Aub Demand'!Q:Q,MATCH($O1616,'Aub Demand'!$A:$A,0))-IF(AN1616="",0,AN1616)+AD1616+AL1616,INDEX('Aub Demand'!Q:Q,MATCH($O1616,'Aub Demand'!$A:$A,0))-IF(AN1616="",0,AN1616)+AD1616))),"")</f>
        <v>2165</v>
      </c>
      <c r="Y1616" s="53" t="str">
        <f t="shared" si="704"/>
        <v>n/a</v>
      </c>
      <c r="Z1616" s="52">
        <f>IF(L1616="","",INDEX('Aub Demand'!H:H,MATCH($O1616,'Aub Demand'!$A:$A,0)))</f>
        <v>0</v>
      </c>
      <c r="AA1616" s="52" t="str">
        <f t="shared" si="705"/>
        <v>-spike-</v>
      </c>
      <c r="AB1616" s="52">
        <f>IFERROR(INDEX('Aub Demand'!L:L,MATCH($O1616,'Aub Demand'!$A:$A,0)),"")</f>
        <v>19</v>
      </c>
      <c r="AC1616" s="52">
        <f>IFERROR(IF(O1616="","",SUMIFS('CPL Mats'!F:F,'CPL Mats'!Q:Q,AR1616,'CPL Mats'!S:S,AS1616)),"")</f>
        <v>0</v>
      </c>
      <c r="AF1616" s="25" t="str">
        <f>IF(SUMIFS('Supp Consol'!S:S,'Supp Consol'!Y:Y,"Releasable",'Supp Consol'!A:A,O1616)=0,"",SUMIFS('Supp Consol'!S:S,'Supp Consol'!Y:Y,"Releasable",'Supp Consol'!A:A,O1616))</f>
        <v/>
      </c>
      <c r="AG1616" s="25">
        <f>IFERROR(INDEX('Hun Demand'!Q:Q,MATCH(O1616,'Hun Demand'!A:A,0)),"")</f>
        <v>708</v>
      </c>
      <c r="AH1616" s="25">
        <f>IFERROR(INDEX('Hun Demand'!H:H,MATCH($O1616,'Hun Demand'!$A:$A,0)),"")</f>
        <v>103</v>
      </c>
      <c r="AI1616" s="25" t="str">
        <f>IF(SUMIFS('Supp Consol'!AA:AA,'Supp Consol'!Z:Z,"Expires this month",'Supp Consol'!A:A,O1616)=0,"",SUMIFS('Supp Consol'!AA:AA,'Supp Consol'!Z:Z,"Expires this month",'Supp Consol'!A:A,O1616))</f>
        <v/>
      </c>
      <c r="AJ1616" s="25" t="str">
        <f>IF(SUMIFS('Supp Consol'!AA:AA,'Supp Consol'!Z:Z,"Expired Previous Months",'Supp Consol'!A:A,O1616)=0,"",SUMIFS('Supp Consol'!AA:AA,'Supp Consol'!Z:Z,"Expired Previous Months",'Supp Consol'!A:A,O1616))</f>
        <v/>
      </c>
      <c r="AK1616" s="25" t="str">
        <f>IFERROR(INDEX('Hun Release Current'!B:B,MATCH(O1616,'Hun Release Current'!A:A,0)),"")</f>
        <v/>
      </c>
      <c r="AL1616" s="25" t="str">
        <f>IF(SUMIF('Prev Aub'!A:A,O1616,'Prev Aub'!B:B)=0,"",SUMIF('Prev Aub'!A:A,O1616,'Prev Aub'!B:B))</f>
        <v/>
      </c>
      <c r="AN1616" s="25" t="s">
        <v>3790</v>
      </c>
      <c r="AO1616" s="25" t="s">
        <v>3790</v>
      </c>
      <c r="AP1616" s="25">
        <f t="shared" si="706"/>
        <v>0</v>
      </c>
      <c r="AQ1616" s="151" t="str">
        <f>IF(SUMIFS('Supp Consol'!S:S,'Supp Consol'!A:A,O1616,'Supp Consol'!I:I,"PENDING")=0,"",SUMIFS('Supp Consol'!S:S,'Supp Consol'!A:A,O1616,'Supp Consol'!I:I,"PENDING"))</f>
        <v/>
      </c>
      <c r="AR1616" s="27" t="str">
        <f t="shared" si="707"/>
        <v>WX240</v>
      </c>
      <c r="AS1616" s="27" t="str">
        <f t="shared" si="708"/>
        <v>50</v>
      </c>
      <c r="AT1616" s="27" t="str">
        <f t="shared" si="709"/>
        <v/>
      </c>
      <c r="AU1616" s="27" t="str">
        <f t="shared" si="710"/>
        <v/>
      </c>
      <c r="AV1616" s="27" t="str">
        <f t="shared" si="711"/>
        <v/>
      </c>
      <c r="AW1616" s="27" t="str">
        <f t="shared" si="712"/>
        <v/>
      </c>
      <c r="AX1616" s="27" t="str">
        <f t="shared" si="713"/>
        <v/>
      </c>
      <c r="AY1616" s="27" t="str">
        <f t="shared" si="714"/>
        <v>WX240</v>
      </c>
      <c r="AZ1616" s="27" t="str">
        <f t="shared" si="715"/>
        <v/>
      </c>
      <c r="BA1616" s="27" t="str">
        <f t="shared" si="716"/>
        <v>Hun</v>
      </c>
      <c r="BB1616" s="27" t="str">
        <f t="shared" si="717"/>
        <v/>
      </c>
      <c r="BC1616" s="27" t="str">
        <f t="shared" si="718"/>
        <v/>
      </c>
      <c r="BD1616" s="27" t="str">
        <f t="shared" si="719"/>
        <v/>
      </c>
      <c r="BE1616" s="27" t="str">
        <f t="shared" si="720"/>
        <v/>
      </c>
      <c r="BF1616" s="27" t="str">
        <f t="shared" si="721"/>
        <v/>
      </c>
      <c r="BG1616" s="27" t="str">
        <f t="shared" si="722"/>
        <v/>
      </c>
      <c r="BH1616" s="27" t="str">
        <f t="shared" si="723"/>
        <v/>
      </c>
      <c r="BI1616" s="27" t="str">
        <f t="shared" si="724"/>
        <v/>
      </c>
      <c r="BJ1616" s="27" t="str">
        <f t="shared" si="725"/>
        <v>Supp or Hun</v>
      </c>
      <c r="BK1616" s="27" t="str">
        <f t="shared" si="726"/>
        <v/>
      </c>
      <c r="BL1616" s="27" t="str">
        <f t="shared" si="727"/>
        <v/>
      </c>
      <c r="BM1616" s="21" t="s">
        <v>5582</v>
      </c>
    </row>
    <row r="1617" spans="1:65" ht="15">
      <c r="A1617" s="25">
        <f>IFERROR(INDEX('Hun Demand'!W:W,MATCH(O1617,'Hun Demand'!A:A,0)),"")</f>
        <v>152</v>
      </c>
      <c r="B1617" s="25">
        <f>IFERROR(INDEX('Hun Demand'!V:V,MATCH(O1617,'Hun Demand'!A:A,0)),"")</f>
        <v>0</v>
      </c>
      <c r="C1617" s="25">
        <f>IFERROR(INDEX('Hun Demand'!U:U,MATCH(O1617,'Hun Demand'!A:A,0)),"")</f>
        <v>0</v>
      </c>
      <c r="D1617" s="25">
        <f>IFERROR(INDEX('Hun Demand'!T:T,MATCH(O1617,'Hun Demand'!A:A,0)),"")</f>
        <v>0</v>
      </c>
      <c r="E1617" s="25">
        <f>IFERROR(INDEX('Hun Demand'!S:S,MATCH(O1617,'Hun Demand'!A:A,0)),"")</f>
        <v>0</v>
      </c>
      <c r="F1617" s="25">
        <f>IFERROR(INDEX('Hun Demand'!R:R,MATCH(O1617,'Hun Demand'!A:A,0)),"")</f>
        <v>0</v>
      </c>
      <c r="G1617" s="25">
        <f>IFERROR(INDEX('Aub Demand'!W:W,MATCH(O1617,'Aub Demand'!A:A,0)),"")</f>
        <v>0</v>
      </c>
      <c r="H1617" s="25">
        <f>IFERROR(INDEX('Aub Demand'!V:V,MATCH(O1617,'Aub Demand'!A:A,0)),"")</f>
        <v>0</v>
      </c>
      <c r="I1617" s="25">
        <f>IFERROR(INDEX('Aub Demand'!U:U,MATCH(O1617,'Aub Demand'!A:A,0)),"")</f>
        <v>0</v>
      </c>
      <c r="J1617" s="25">
        <f>IFERROR(INDEX('Aub Demand'!T:T,MATCH(O1617,'Aub Demand'!A:A,0)),"")</f>
        <v>0</v>
      </c>
      <c r="K1617" s="25">
        <f>IFERROR(INDEX('Aub Demand'!S:S,MATCH(O1617,'Aub Demand'!A:A,0)),"")</f>
        <v>0</v>
      </c>
      <c r="L1617" s="25">
        <f>IFERROR(INDEX('Aub Demand'!R:R,MATCH(O1617,'Aub Demand'!A:A,0)),"")</f>
        <v>0</v>
      </c>
      <c r="O1617" s="27" t="s">
        <v>1945</v>
      </c>
      <c r="P1617" s="27" t="str">
        <f>IFERROR(INDEX('Aub Demand'!B:B,MATCH($O1617,'Aub Demand'!$A:$A,0)),"")</f>
        <v>ELECTO PRINTATRE</v>
      </c>
      <c r="Q1617" s="27" t="str">
        <f>IFERROR(INDEX('Aub Demand'!C:C,MATCH($O1617,'Aub Demand'!$A:$A,0)),"")</f>
        <v>INTER</v>
      </c>
      <c r="R1617" s="52">
        <f>IFERROR(IF(AR1618=AR1617,INDEX('Aub Demand'!K:K,MATCH($O1617,'Aub Demand'!$A:$A,0))-IF(AN1617="",0,AN1617)+AP1618,INDEX('Aub Demand'!K:K,MATCH($O1617,'Aub Demand'!$A:$A,0))-IF(AN1617="",0,AN1617)),"")</f>
        <v>1227</v>
      </c>
      <c r="S1617" s="53" t="str">
        <f t="shared" si="700"/>
        <v>n/a</v>
      </c>
      <c r="T1617" s="52" t="str">
        <f t="shared" si="701"/>
        <v/>
      </c>
      <c r="U1617" s="52">
        <f>IFERROR(IF(AR1618=AR1617,INDEX('Aub Demand'!Q:Q,MATCH($O1617,'Aub Demand'!$A:$A,0))-IF(AN1617="",0,AN1617)+AP1618,INDEX('Aub Demand'!Q:Q,MATCH($O1617,'Aub Demand'!$A:$A,0))-IF(AN1617="",0,AN1617)),"")</f>
        <v>1227</v>
      </c>
      <c r="V1617" s="53" t="str">
        <f t="shared" si="702"/>
        <v>n/a</v>
      </c>
      <c r="W1617" s="52" t="str">
        <f t="shared" si="703"/>
        <v/>
      </c>
      <c r="X1617" s="52">
        <f>IFERROR(IF(AND(AR1618=AR1617,AM1617&lt;&gt;""),INDEX('Aub Demand'!Q:Q,MATCH($O1617,'Aub Demand'!$A:$A,0))-IF(AN1617="",0,AN1617)+AP1618+AD1617+AL1617,IF(AR1618=AR1617,INDEX('Aub Demand'!Q:Q,MATCH($O1617,'Aub Demand'!$A:$A,0))-IF(AN1617="",0,AN1617)+AP1618+AD1617,IF(AM1617&lt;&gt;"",INDEX('Aub Demand'!Q:Q,MATCH($O1617,'Aub Demand'!$A:$A,0))-IF(AN1617="",0,AN1617)+AD1617+AL1617,INDEX('Aub Demand'!Q:Q,MATCH($O1617,'Aub Demand'!$A:$A,0))-IF(AN1617="",0,AN1617)+AD1617))),"")</f>
        <v>1227</v>
      </c>
      <c r="Y1617" s="53" t="str">
        <f t="shared" si="704"/>
        <v>n/a</v>
      </c>
      <c r="Z1617" s="52">
        <f>IF(L1617="","",INDEX('Aub Demand'!H:H,MATCH($O1617,'Aub Demand'!$A:$A,0)))</f>
        <v>0</v>
      </c>
      <c r="AA1617" s="52" t="str">
        <f t="shared" si="705"/>
        <v>-spike-</v>
      </c>
      <c r="AB1617" s="52">
        <f>IFERROR(INDEX('Aub Demand'!L:L,MATCH($O1617,'Aub Demand'!$A:$A,0)),"")</f>
        <v>0</v>
      </c>
      <c r="AC1617" s="52">
        <f>IFERROR(IF(O1617="","",SUMIFS('CPL Mats'!F:F,'CPL Mats'!Q:Q,AR1617,'CPL Mats'!S:S,AS1617)),"")</f>
        <v>0</v>
      </c>
      <c r="AF1617" s="25" t="str">
        <f>IF(SUMIFS('Supp Consol'!S:S,'Supp Consol'!Y:Y,"Releasable",'Supp Consol'!A:A,O1617)=0,"",SUMIFS('Supp Consol'!S:S,'Supp Consol'!Y:Y,"Releasable",'Supp Consol'!A:A,O1617))</f>
        <v/>
      </c>
      <c r="AG1617" s="25">
        <f>IFERROR(INDEX('Hun Demand'!Q:Q,MATCH(O1617,'Hun Demand'!A:A,0)),"")</f>
        <v>126</v>
      </c>
      <c r="AH1617" s="25">
        <f>IFERROR(INDEX('Hun Demand'!H:H,MATCH($O1617,'Hun Demand'!$A:$A,0)),"")</f>
        <v>0</v>
      </c>
      <c r="AI1617" s="25" t="str">
        <f>IF(SUMIFS('Supp Consol'!AA:AA,'Supp Consol'!Z:Z,"Expires this month",'Supp Consol'!A:A,O1617)=0,"",SUMIFS('Supp Consol'!AA:AA,'Supp Consol'!Z:Z,"Expires this month",'Supp Consol'!A:A,O1617))</f>
        <v/>
      </c>
      <c r="AJ1617" s="25" t="str">
        <f>IF(SUMIFS('Supp Consol'!AA:AA,'Supp Consol'!Z:Z,"Expired Previous Months",'Supp Consol'!A:A,O1617)=0,"",SUMIFS('Supp Consol'!AA:AA,'Supp Consol'!Z:Z,"Expired Previous Months",'Supp Consol'!A:A,O1617))</f>
        <v/>
      </c>
      <c r="AK1617" s="25" t="str">
        <f>IFERROR(INDEX('Hun Release Current'!B:B,MATCH(O1617,'Hun Release Current'!A:A,0)),"")</f>
        <v/>
      </c>
      <c r="AL1617" s="25" t="str">
        <f>IF(SUMIF('Prev Aub'!A:A,O1617,'Prev Aub'!B:B)=0,"",SUMIF('Prev Aub'!A:A,O1617,'Prev Aub'!B:B))</f>
        <v/>
      </c>
      <c r="AN1617" s="25" t="s">
        <v>3790</v>
      </c>
      <c r="AO1617" s="25" t="s">
        <v>3790</v>
      </c>
      <c r="AP1617" s="25">
        <f t="shared" si="706"/>
        <v>0</v>
      </c>
      <c r="AQ1617" s="151" t="str">
        <f>IF(SUMIFS('Supp Consol'!S:S,'Supp Consol'!A:A,O1617,'Supp Consol'!I:I,"PENDING")=0,"",SUMIFS('Supp Consol'!S:S,'Supp Consol'!A:A,O1617,'Supp Consol'!I:I,"PENDING"))</f>
        <v/>
      </c>
      <c r="AR1617" s="27" t="str">
        <f t="shared" si="707"/>
        <v>WX240</v>
      </c>
      <c r="AS1617" s="27" t="str">
        <f t="shared" si="708"/>
        <v>62</v>
      </c>
      <c r="AT1617" s="27" t="str">
        <f t="shared" si="709"/>
        <v/>
      </c>
      <c r="AU1617" s="27" t="str">
        <f t="shared" si="710"/>
        <v/>
      </c>
      <c r="AV1617" s="27" t="str">
        <f t="shared" si="711"/>
        <v/>
      </c>
      <c r="AW1617" s="27" t="str">
        <f t="shared" si="712"/>
        <v/>
      </c>
      <c r="AX1617" s="27" t="str">
        <f t="shared" si="713"/>
        <v/>
      </c>
      <c r="AY1617" s="27" t="str">
        <f t="shared" si="714"/>
        <v>WX240</v>
      </c>
      <c r="AZ1617" s="27" t="str">
        <f t="shared" si="715"/>
        <v/>
      </c>
      <c r="BA1617" s="27" t="str">
        <f t="shared" si="716"/>
        <v>Hun</v>
      </c>
      <c r="BB1617" s="27" t="str">
        <f t="shared" si="717"/>
        <v/>
      </c>
      <c r="BC1617" s="27" t="str">
        <f t="shared" si="718"/>
        <v/>
      </c>
      <c r="BD1617" s="27" t="str">
        <f t="shared" si="719"/>
        <v/>
      </c>
      <c r="BE1617" s="27" t="str">
        <f t="shared" si="720"/>
        <v/>
      </c>
      <c r="BF1617" s="27" t="str">
        <f t="shared" si="721"/>
        <v/>
      </c>
      <c r="BG1617" s="27" t="str">
        <f t="shared" si="722"/>
        <v/>
      </c>
      <c r="BH1617" s="27" t="str">
        <f t="shared" si="723"/>
        <v/>
      </c>
      <c r="BI1617" s="27" t="str">
        <f t="shared" si="724"/>
        <v/>
      </c>
      <c r="BJ1617" s="27" t="str">
        <f t="shared" si="725"/>
        <v>Supp or Hun</v>
      </c>
      <c r="BK1617" s="27" t="str">
        <f t="shared" si="726"/>
        <v/>
      </c>
      <c r="BL1617" s="27" t="str">
        <f t="shared" si="727"/>
        <v/>
      </c>
      <c r="BM1617" s="21" t="s">
        <v>5582</v>
      </c>
    </row>
    <row r="1618" spans="1:65" ht="15">
      <c r="A1618" s="25" t="str">
        <f>IFERROR(INDEX('Hun Demand'!W:W,MATCH(O1618,'Hun Demand'!A:A,0)),"")</f>
        <v/>
      </c>
      <c r="B1618" s="25" t="str">
        <f>IFERROR(INDEX('Hun Demand'!V:V,MATCH(O1618,'Hun Demand'!A:A,0)),"")</f>
        <v/>
      </c>
      <c r="C1618" s="25" t="str">
        <f>IFERROR(INDEX('Hun Demand'!U:U,MATCH(O1618,'Hun Demand'!A:A,0)),"")</f>
        <v/>
      </c>
      <c r="D1618" s="25" t="str">
        <f>IFERROR(INDEX('Hun Demand'!T:T,MATCH(O1618,'Hun Demand'!A:A,0)),"")</f>
        <v/>
      </c>
      <c r="E1618" s="25" t="str">
        <f>IFERROR(INDEX('Hun Demand'!S:S,MATCH(O1618,'Hun Demand'!A:A,0)),"")</f>
        <v/>
      </c>
      <c r="F1618" s="25" t="str">
        <f>IFERROR(INDEX('Hun Demand'!R:R,MATCH(O1618,'Hun Demand'!A:A,0)),"")</f>
        <v/>
      </c>
      <c r="G1618" s="25">
        <f>IFERROR(INDEX('Aub Demand'!W:W,MATCH(O1618,'Aub Demand'!A:A,0)),"")</f>
        <v>0</v>
      </c>
      <c r="H1618" s="25">
        <f>IFERROR(INDEX('Aub Demand'!V:V,MATCH(O1618,'Aub Demand'!A:A,0)),"")</f>
        <v>0</v>
      </c>
      <c r="I1618" s="25">
        <f>IFERROR(INDEX('Aub Demand'!U:U,MATCH(O1618,'Aub Demand'!A:A,0)),"")</f>
        <v>0</v>
      </c>
      <c r="J1618" s="25">
        <f>IFERROR(INDEX('Aub Demand'!T:T,MATCH(O1618,'Aub Demand'!A:A,0)),"")</f>
        <v>0</v>
      </c>
      <c r="K1618" s="25">
        <f>IFERROR(INDEX('Aub Demand'!S:S,MATCH(O1618,'Aub Demand'!A:A,0)),"")</f>
        <v>0</v>
      </c>
      <c r="L1618" s="25">
        <f>IFERROR(INDEX('Aub Demand'!R:R,MATCH(O1618,'Aub Demand'!A:A,0)),"")</f>
        <v>0</v>
      </c>
      <c r="O1618" s="27" t="s">
        <v>1946</v>
      </c>
      <c r="P1618" s="27" t="str">
        <f>IFERROR(INDEX('Aub Demand'!B:B,MATCH($O1618,'Aub Demand'!$A:$A,0)),"")</f>
        <v>SIBERIAN L07 (ONLY 5</v>
      </c>
      <c r="Q1618" s="27" t="str">
        <f>IFERROR(INDEX('Aub Demand'!C:C,MATCH($O1618,'Aub Demand'!$A:$A,0)),"")</f>
        <v>STEVE</v>
      </c>
      <c r="R1618" s="52">
        <f>IFERROR(IF(AR1619=AR1618,INDEX('Aub Demand'!K:K,MATCH($O1618,'Aub Demand'!$A:$A,0))-IF(AN1618="",0,AN1618)+AP1619,INDEX('Aub Demand'!K:K,MATCH($O1618,'Aub Demand'!$A:$A,0))-IF(AN1618="",0,AN1618)),"")</f>
        <v>453</v>
      </c>
      <c r="S1618" s="53" t="str">
        <f t="shared" si="700"/>
        <v>n/a</v>
      </c>
      <c r="T1618" s="52" t="str">
        <f t="shared" si="701"/>
        <v/>
      </c>
      <c r="U1618" s="52">
        <f>IFERROR(IF(AR1619=AR1618,INDEX('Aub Demand'!Q:Q,MATCH($O1618,'Aub Demand'!$A:$A,0))-IF(AN1618="",0,AN1618)+AP1619,INDEX('Aub Demand'!Q:Q,MATCH($O1618,'Aub Demand'!$A:$A,0))-IF(AN1618="",0,AN1618)),"")</f>
        <v>453</v>
      </c>
      <c r="V1618" s="53" t="str">
        <f t="shared" si="702"/>
        <v>n/a</v>
      </c>
      <c r="W1618" s="52" t="str">
        <f t="shared" si="703"/>
        <v/>
      </c>
      <c r="X1618" s="52">
        <f>IFERROR(IF(AND(AR1619=AR1618,AM1618&lt;&gt;""),INDEX('Aub Demand'!Q:Q,MATCH($O1618,'Aub Demand'!$A:$A,0))-IF(AN1618="",0,AN1618)+AP1619+AD1618+AL1618,IF(AR1619=AR1618,INDEX('Aub Demand'!Q:Q,MATCH($O1618,'Aub Demand'!$A:$A,0))-IF(AN1618="",0,AN1618)+AP1619+AD1618,IF(AM1618&lt;&gt;"",INDEX('Aub Demand'!Q:Q,MATCH($O1618,'Aub Demand'!$A:$A,0))-IF(AN1618="",0,AN1618)+AD1618+AL1618,INDEX('Aub Demand'!Q:Q,MATCH($O1618,'Aub Demand'!$A:$A,0))-IF(AN1618="",0,AN1618)+AD1618))),"")</f>
        <v>453</v>
      </c>
      <c r="Y1618" s="53" t="str">
        <f t="shared" si="704"/>
        <v>n/a</v>
      </c>
      <c r="Z1618" s="52">
        <f>IF(L1618="","",INDEX('Aub Demand'!H:H,MATCH($O1618,'Aub Demand'!$A:$A,0)))</f>
        <v>0</v>
      </c>
      <c r="AA1618" s="52" t="str">
        <f t="shared" si="705"/>
        <v>-spike-</v>
      </c>
      <c r="AB1618" s="52">
        <f>IFERROR(INDEX('Aub Demand'!L:L,MATCH($O1618,'Aub Demand'!$A:$A,0)),"")</f>
        <v>0</v>
      </c>
      <c r="AC1618" s="52">
        <f>IFERROR(IF(O1618="","",SUMIFS('CPL Mats'!F:F,'CPL Mats'!Q:Q,AR1618,'CPL Mats'!S:S,AS1618)),"")</f>
        <v>0</v>
      </c>
      <c r="AF1618" s="25" t="str">
        <f>IF(SUMIFS('Supp Consol'!S:S,'Supp Consol'!Y:Y,"Releasable",'Supp Consol'!A:A,O1618)=0,"",SUMIFS('Supp Consol'!S:S,'Supp Consol'!Y:Y,"Releasable",'Supp Consol'!A:A,O1618))</f>
        <v/>
      </c>
      <c r="AG1618" s="25" t="str">
        <f>IFERROR(INDEX('Hun Demand'!Q:Q,MATCH(O1618,'Hun Demand'!A:A,0)),"")</f>
        <v/>
      </c>
      <c r="AH1618" s="25" t="str">
        <f>IFERROR(INDEX('Hun Demand'!H:H,MATCH($O1618,'Hun Demand'!$A:$A,0)),"")</f>
        <v/>
      </c>
      <c r="AI1618" s="25" t="str">
        <f>IF(SUMIFS('Supp Consol'!AA:AA,'Supp Consol'!Z:Z,"Expires this month",'Supp Consol'!A:A,O1618)=0,"",SUMIFS('Supp Consol'!AA:AA,'Supp Consol'!Z:Z,"Expires this month",'Supp Consol'!A:A,O1618))</f>
        <v/>
      </c>
      <c r="AJ1618" s="25" t="str">
        <f>IF(SUMIFS('Supp Consol'!AA:AA,'Supp Consol'!Z:Z,"Expired Previous Months",'Supp Consol'!A:A,O1618)=0,"",SUMIFS('Supp Consol'!AA:AA,'Supp Consol'!Z:Z,"Expired Previous Months",'Supp Consol'!A:A,O1618))</f>
        <v/>
      </c>
      <c r="AK1618" s="25" t="str">
        <f>IFERROR(INDEX('Hun Release Current'!B:B,MATCH(O1618,'Hun Release Current'!A:A,0)),"")</f>
        <v/>
      </c>
      <c r="AL1618" s="25" t="str">
        <f>IF(SUMIF('Prev Aub'!A:A,O1618,'Prev Aub'!B:B)=0,"",SUMIF('Prev Aub'!A:A,O1618,'Prev Aub'!B:B))</f>
        <v/>
      </c>
      <c r="AN1618" s="25" t="s">
        <v>3790</v>
      </c>
      <c r="AO1618" s="25" t="s">
        <v>3790</v>
      </c>
      <c r="AP1618" s="25">
        <f t="shared" si="706"/>
        <v>0</v>
      </c>
      <c r="AQ1618" s="151" t="str">
        <f>IF(SUMIFS('Supp Consol'!S:S,'Supp Consol'!A:A,O1618,'Supp Consol'!I:I,"PENDING")=0,"",SUMIFS('Supp Consol'!S:S,'Supp Consol'!A:A,O1618,'Supp Consol'!I:I,"PENDING"))</f>
        <v/>
      </c>
      <c r="AR1618" s="27" t="str">
        <f t="shared" si="707"/>
        <v>WX270</v>
      </c>
      <c r="AS1618" s="27" t="str">
        <f t="shared" si="708"/>
        <v>62</v>
      </c>
      <c r="AT1618" s="27" t="str">
        <f t="shared" si="709"/>
        <v/>
      </c>
      <c r="AU1618" s="27" t="str">
        <f t="shared" si="710"/>
        <v/>
      </c>
      <c r="AV1618" s="27" t="str">
        <f t="shared" si="711"/>
        <v/>
      </c>
      <c r="AW1618" s="27" t="str">
        <f t="shared" si="712"/>
        <v/>
      </c>
      <c r="AX1618" s="27" t="str">
        <f t="shared" si="713"/>
        <v/>
      </c>
      <c r="AY1618" s="27" t="str">
        <f t="shared" si="714"/>
        <v/>
      </c>
      <c r="AZ1618" s="27" t="str">
        <f t="shared" si="715"/>
        <v/>
      </c>
      <c r="BA1618" s="27" t="str">
        <f t="shared" si="716"/>
        <v/>
      </c>
      <c r="BB1618" s="27" t="str">
        <f t="shared" si="717"/>
        <v/>
      </c>
      <c r="BC1618" s="27" t="str">
        <f t="shared" si="718"/>
        <v/>
      </c>
      <c r="BD1618" s="27" t="str">
        <f t="shared" si="719"/>
        <v/>
      </c>
      <c r="BE1618" s="27" t="str">
        <f t="shared" si="720"/>
        <v/>
      </c>
      <c r="BF1618" s="27" t="str">
        <f t="shared" si="721"/>
        <v/>
      </c>
      <c r="BG1618" s="27" t="str">
        <f t="shared" si="722"/>
        <v/>
      </c>
      <c r="BH1618" s="27" t="str">
        <f t="shared" si="723"/>
        <v/>
      </c>
      <c r="BI1618" s="27" t="str">
        <f t="shared" si="724"/>
        <v/>
      </c>
      <c r="BJ1618" s="27" t="str">
        <f t="shared" si="725"/>
        <v/>
      </c>
      <c r="BK1618" s="27" t="str">
        <f t="shared" si="726"/>
        <v/>
      </c>
      <c r="BL1618" s="27" t="str">
        <f t="shared" si="727"/>
        <v/>
      </c>
      <c r="BM1618" s="21" t="s">
        <v>5581</v>
      </c>
    </row>
    <row r="1619" spans="1:65" ht="15">
      <c r="A1619" s="25" t="str">
        <f>IFERROR(INDEX('Hun Demand'!W:W,MATCH(O1619,'Hun Demand'!A:A,0)),"")</f>
        <v/>
      </c>
      <c r="B1619" s="25" t="str">
        <f>IFERROR(INDEX('Hun Demand'!V:V,MATCH(O1619,'Hun Demand'!A:A,0)),"")</f>
        <v/>
      </c>
      <c r="C1619" s="25" t="str">
        <f>IFERROR(INDEX('Hun Demand'!U:U,MATCH(O1619,'Hun Demand'!A:A,0)),"")</f>
        <v/>
      </c>
      <c r="D1619" s="25" t="str">
        <f>IFERROR(INDEX('Hun Demand'!T:T,MATCH(O1619,'Hun Demand'!A:A,0)),"")</f>
        <v/>
      </c>
      <c r="E1619" s="25" t="str">
        <f>IFERROR(INDEX('Hun Demand'!S:S,MATCH(O1619,'Hun Demand'!A:A,0)),"")</f>
        <v/>
      </c>
      <c r="F1619" s="25" t="str">
        <f>IFERROR(INDEX('Hun Demand'!R:R,MATCH(O1619,'Hun Demand'!A:A,0)),"")</f>
        <v/>
      </c>
      <c r="G1619" s="25">
        <f>IFERROR(INDEX('Aub Demand'!W:W,MATCH(O1619,'Aub Demand'!A:A,0)),"")</f>
        <v>0</v>
      </c>
      <c r="H1619" s="25">
        <f>IFERROR(INDEX('Aub Demand'!V:V,MATCH(O1619,'Aub Demand'!A:A,0)),"")</f>
        <v>0</v>
      </c>
      <c r="I1619" s="25">
        <f>IFERROR(INDEX('Aub Demand'!U:U,MATCH(O1619,'Aub Demand'!A:A,0)),"")</f>
        <v>0</v>
      </c>
      <c r="J1619" s="25">
        <f>IFERROR(INDEX('Aub Demand'!T:T,MATCH(O1619,'Aub Demand'!A:A,0)),"")</f>
        <v>0</v>
      </c>
      <c r="K1619" s="25">
        <f>IFERROR(INDEX('Aub Demand'!S:S,MATCH(O1619,'Aub Demand'!A:A,0)),"")</f>
        <v>0</v>
      </c>
      <c r="L1619" s="25">
        <f>IFERROR(INDEX('Aub Demand'!R:R,MATCH(O1619,'Aub Demand'!A:A,0)),"")</f>
        <v>0</v>
      </c>
      <c r="O1619" s="27" t="s">
        <v>1948</v>
      </c>
      <c r="P1619" s="27" t="str">
        <f>IFERROR(INDEX('Aub Demand'!B:B,MATCH($O1619,'Aub Demand'!$A:$A,0)),"")</f>
        <v>KYUSHU L09 (ONLY 58"</v>
      </c>
      <c r="Q1619" s="27" t="str">
        <f>IFERROR(INDEX('Aub Demand'!C:C,MATCH($O1619,'Aub Demand'!$A:$A,0)),"")</f>
        <v>STEVE</v>
      </c>
      <c r="R1619" s="52">
        <f>IFERROR(IF(AR1620=AR1619,INDEX('Aub Demand'!K:K,MATCH($O1619,'Aub Demand'!$A:$A,0))-IF(AN1619="",0,AN1619)+AP1620,INDEX('Aub Demand'!K:K,MATCH($O1619,'Aub Demand'!$A:$A,0))-IF(AN1619="",0,AN1619)),"")</f>
        <v>560</v>
      </c>
      <c r="S1619" s="53" t="str">
        <f t="shared" si="700"/>
        <v>n/a</v>
      </c>
      <c r="T1619" s="52" t="str">
        <f t="shared" si="701"/>
        <v/>
      </c>
      <c r="U1619" s="52">
        <f>IFERROR(IF(AR1620=AR1619,INDEX('Aub Demand'!Q:Q,MATCH($O1619,'Aub Demand'!$A:$A,0))-IF(AN1619="",0,AN1619)+AP1620,INDEX('Aub Demand'!Q:Q,MATCH($O1619,'Aub Demand'!$A:$A,0))-IF(AN1619="",0,AN1619)),"")</f>
        <v>560</v>
      </c>
      <c r="V1619" s="53" t="str">
        <f t="shared" si="702"/>
        <v>n/a</v>
      </c>
      <c r="W1619" s="52" t="str">
        <f t="shared" si="703"/>
        <v/>
      </c>
      <c r="X1619" s="52">
        <f>IFERROR(IF(AND(AR1620=AR1619,AM1619&lt;&gt;""),INDEX('Aub Demand'!Q:Q,MATCH($O1619,'Aub Demand'!$A:$A,0))-IF(AN1619="",0,AN1619)+AP1620+AD1619+AL1619,IF(AR1620=AR1619,INDEX('Aub Demand'!Q:Q,MATCH($O1619,'Aub Demand'!$A:$A,0))-IF(AN1619="",0,AN1619)+AP1620+AD1619,IF(AM1619&lt;&gt;"",INDEX('Aub Demand'!Q:Q,MATCH($O1619,'Aub Demand'!$A:$A,0))-IF(AN1619="",0,AN1619)+AD1619+AL1619,INDEX('Aub Demand'!Q:Q,MATCH($O1619,'Aub Demand'!$A:$A,0))-IF(AN1619="",0,AN1619)+AD1619))),"")</f>
        <v>560</v>
      </c>
      <c r="Y1619" s="53" t="str">
        <f t="shared" si="704"/>
        <v>n/a</v>
      </c>
      <c r="Z1619" s="52">
        <f>IF(L1619="","",INDEX('Aub Demand'!H:H,MATCH($O1619,'Aub Demand'!$A:$A,0)))</f>
        <v>0</v>
      </c>
      <c r="AA1619" s="52" t="str">
        <f t="shared" si="705"/>
        <v>-spike-</v>
      </c>
      <c r="AB1619" s="52">
        <f>IFERROR(INDEX('Aub Demand'!L:L,MATCH($O1619,'Aub Demand'!$A:$A,0)),"")</f>
        <v>0</v>
      </c>
      <c r="AC1619" s="52">
        <f>IFERROR(IF(O1619="","",SUMIFS('CPL Mats'!F:F,'CPL Mats'!Q:Q,AR1619,'CPL Mats'!S:S,AS1619)),"")</f>
        <v>0</v>
      </c>
      <c r="AF1619" s="25" t="str">
        <f>IF(SUMIFS('Supp Consol'!S:S,'Supp Consol'!Y:Y,"Releasable",'Supp Consol'!A:A,O1619)=0,"",SUMIFS('Supp Consol'!S:S,'Supp Consol'!Y:Y,"Releasable",'Supp Consol'!A:A,O1619))</f>
        <v/>
      </c>
      <c r="AG1619" s="25" t="str">
        <f>IFERROR(INDEX('Hun Demand'!Q:Q,MATCH(O1619,'Hun Demand'!A:A,0)),"")</f>
        <v/>
      </c>
      <c r="AH1619" s="25" t="str">
        <f>IFERROR(INDEX('Hun Demand'!H:H,MATCH($O1619,'Hun Demand'!$A:$A,0)),"")</f>
        <v/>
      </c>
      <c r="AI1619" s="25" t="str">
        <f>IF(SUMIFS('Supp Consol'!AA:AA,'Supp Consol'!Z:Z,"Expires this month",'Supp Consol'!A:A,O1619)=0,"",SUMIFS('Supp Consol'!AA:AA,'Supp Consol'!Z:Z,"Expires this month",'Supp Consol'!A:A,O1619))</f>
        <v/>
      </c>
      <c r="AJ1619" s="25" t="str">
        <f>IF(SUMIFS('Supp Consol'!AA:AA,'Supp Consol'!Z:Z,"Expired Previous Months",'Supp Consol'!A:A,O1619)=0,"",SUMIFS('Supp Consol'!AA:AA,'Supp Consol'!Z:Z,"Expired Previous Months",'Supp Consol'!A:A,O1619))</f>
        <v/>
      </c>
      <c r="AK1619" s="25" t="str">
        <f>IFERROR(INDEX('Hun Release Current'!B:B,MATCH(O1619,'Hun Release Current'!A:A,0)),"")</f>
        <v/>
      </c>
      <c r="AL1619" s="25" t="str">
        <f>IF(SUMIF('Prev Aub'!A:A,O1619,'Prev Aub'!B:B)=0,"",SUMIF('Prev Aub'!A:A,O1619,'Prev Aub'!B:B))</f>
        <v/>
      </c>
      <c r="AN1619" s="25" t="s">
        <v>3790</v>
      </c>
      <c r="AO1619" s="25" t="s">
        <v>3790</v>
      </c>
      <c r="AP1619" s="25">
        <f t="shared" si="706"/>
        <v>0</v>
      </c>
      <c r="AQ1619" s="151" t="str">
        <f>IF(SUMIFS('Supp Consol'!S:S,'Supp Consol'!A:A,O1619,'Supp Consol'!I:I,"PENDING")=0,"",SUMIFS('Supp Consol'!S:S,'Supp Consol'!A:A,O1619,'Supp Consol'!I:I,"PENDING"))</f>
        <v/>
      </c>
      <c r="AR1619" s="27" t="str">
        <f t="shared" si="707"/>
        <v>WX290</v>
      </c>
      <c r="AS1619" s="27" t="str">
        <f t="shared" si="708"/>
        <v>62</v>
      </c>
      <c r="AT1619" s="27" t="str">
        <f t="shared" si="709"/>
        <v/>
      </c>
      <c r="AU1619" s="27" t="str">
        <f t="shared" si="710"/>
        <v/>
      </c>
      <c r="AV1619" s="27" t="str">
        <f t="shared" si="711"/>
        <v/>
      </c>
      <c r="AW1619" s="27" t="str">
        <f t="shared" si="712"/>
        <v/>
      </c>
      <c r="AX1619" s="27" t="str">
        <f t="shared" si="713"/>
        <v/>
      </c>
      <c r="AY1619" s="27" t="str">
        <f t="shared" si="714"/>
        <v/>
      </c>
      <c r="AZ1619" s="27" t="str">
        <f t="shared" si="715"/>
        <v/>
      </c>
      <c r="BA1619" s="27" t="str">
        <f t="shared" si="716"/>
        <v/>
      </c>
      <c r="BB1619" s="27" t="str">
        <f t="shared" si="717"/>
        <v/>
      </c>
      <c r="BC1619" s="27" t="str">
        <f t="shared" si="718"/>
        <v/>
      </c>
      <c r="BD1619" s="27" t="str">
        <f t="shared" si="719"/>
        <v/>
      </c>
      <c r="BE1619" s="27" t="str">
        <f t="shared" si="720"/>
        <v/>
      </c>
      <c r="BF1619" s="27" t="str">
        <f t="shared" si="721"/>
        <v/>
      </c>
      <c r="BG1619" s="27" t="str">
        <f t="shared" si="722"/>
        <v/>
      </c>
      <c r="BH1619" s="27" t="str">
        <f t="shared" si="723"/>
        <v/>
      </c>
      <c r="BI1619" s="27" t="str">
        <f t="shared" si="724"/>
        <v/>
      </c>
      <c r="BJ1619" s="27" t="str">
        <f t="shared" si="725"/>
        <v/>
      </c>
      <c r="BK1619" s="27" t="str">
        <f t="shared" si="726"/>
        <v/>
      </c>
      <c r="BL1619" s="27" t="str">
        <f t="shared" si="727"/>
        <v/>
      </c>
      <c r="BM1619" s="21" t="s">
        <v>5581</v>
      </c>
    </row>
    <row r="1620" spans="1:65" ht="15">
      <c r="A1620" s="25" t="str">
        <f>IFERROR(INDEX('Hun Demand'!W:W,MATCH(O1620,'Hun Demand'!A:A,0)),"")</f>
        <v/>
      </c>
      <c r="B1620" s="25" t="str">
        <f>IFERROR(INDEX('Hun Demand'!V:V,MATCH(O1620,'Hun Demand'!A:A,0)),"")</f>
        <v/>
      </c>
      <c r="C1620" s="25" t="str">
        <f>IFERROR(INDEX('Hun Demand'!U:U,MATCH(O1620,'Hun Demand'!A:A,0)),"")</f>
        <v/>
      </c>
      <c r="D1620" s="25" t="str">
        <f>IFERROR(INDEX('Hun Demand'!T:T,MATCH(O1620,'Hun Demand'!A:A,0)),"")</f>
        <v/>
      </c>
      <c r="E1620" s="25" t="str">
        <f>IFERROR(INDEX('Hun Demand'!S:S,MATCH(O1620,'Hun Demand'!A:A,0)),"")</f>
        <v/>
      </c>
      <c r="F1620" s="25" t="str">
        <f>IFERROR(INDEX('Hun Demand'!R:R,MATCH(O1620,'Hun Demand'!A:A,0)),"")</f>
        <v/>
      </c>
      <c r="G1620" s="25">
        <f>IFERROR(INDEX('Aub Demand'!W:W,MATCH(O1620,'Aub Demand'!A:A,0)),"")</f>
        <v>0</v>
      </c>
      <c r="H1620" s="25">
        <f>IFERROR(INDEX('Aub Demand'!V:V,MATCH(O1620,'Aub Demand'!A:A,0)),"")</f>
        <v>0</v>
      </c>
      <c r="I1620" s="25">
        <f>IFERROR(INDEX('Aub Demand'!U:U,MATCH(O1620,'Aub Demand'!A:A,0)),"")</f>
        <v>0</v>
      </c>
      <c r="J1620" s="25">
        <f>IFERROR(INDEX('Aub Demand'!T:T,MATCH(O1620,'Aub Demand'!A:A,0)),"")</f>
        <v>0</v>
      </c>
      <c r="K1620" s="25">
        <f>IFERROR(INDEX('Aub Demand'!S:S,MATCH(O1620,'Aub Demand'!A:A,0)),"")</f>
        <v>0</v>
      </c>
      <c r="L1620" s="25">
        <f>IFERROR(INDEX('Aub Demand'!R:R,MATCH(O1620,'Aub Demand'!A:A,0)),"")</f>
        <v>0</v>
      </c>
      <c r="O1620" s="27" t="s">
        <v>1950</v>
      </c>
      <c r="P1620" s="27" t="str">
        <f>IFERROR(INDEX('Aub Demand'!B:B,MATCH($O1620,'Aub Demand'!$A:$A,0)),"")</f>
        <v>SHADOW ELM W92</v>
      </c>
      <c r="Q1620" s="27" t="str">
        <f>IFERROR(INDEX('Aub Demand'!C:C,MATCH($O1620,'Aub Demand'!$A:$A,0)),"")</f>
        <v>STEVE</v>
      </c>
      <c r="R1620" s="52">
        <f>IFERROR(IF(AR1621=AR1620,INDEX('Aub Demand'!K:K,MATCH($O1620,'Aub Demand'!$A:$A,0))-IF(AN1620="",0,AN1620)+AP1621,INDEX('Aub Demand'!K:K,MATCH($O1620,'Aub Demand'!$A:$A,0))-IF(AN1620="",0,AN1620)),"")</f>
        <v>705</v>
      </c>
      <c r="S1620" s="53" t="str">
        <f t="shared" si="700"/>
        <v>n/a</v>
      </c>
      <c r="T1620" s="52" t="str">
        <f t="shared" si="701"/>
        <v/>
      </c>
      <c r="U1620" s="52">
        <f>IFERROR(IF(AR1621=AR1620,INDEX('Aub Demand'!Q:Q,MATCH($O1620,'Aub Demand'!$A:$A,0))-IF(AN1620="",0,AN1620)+AP1621,INDEX('Aub Demand'!Q:Q,MATCH($O1620,'Aub Demand'!$A:$A,0))-IF(AN1620="",0,AN1620)),"")</f>
        <v>705</v>
      </c>
      <c r="V1620" s="53" t="str">
        <f t="shared" si="702"/>
        <v>n/a</v>
      </c>
      <c r="W1620" s="52" t="str">
        <f t="shared" si="703"/>
        <v/>
      </c>
      <c r="X1620" s="52">
        <f>IFERROR(IF(AND(AR1621=AR1620,AM1620&lt;&gt;""),INDEX('Aub Demand'!Q:Q,MATCH($O1620,'Aub Demand'!$A:$A,0))-IF(AN1620="",0,AN1620)+AP1621+AD1620+AL1620,IF(AR1621=AR1620,INDEX('Aub Demand'!Q:Q,MATCH($O1620,'Aub Demand'!$A:$A,0))-IF(AN1620="",0,AN1620)+AP1621+AD1620,IF(AM1620&lt;&gt;"",INDEX('Aub Demand'!Q:Q,MATCH($O1620,'Aub Demand'!$A:$A,0))-IF(AN1620="",0,AN1620)+AD1620+AL1620,INDEX('Aub Demand'!Q:Q,MATCH($O1620,'Aub Demand'!$A:$A,0))-IF(AN1620="",0,AN1620)+AD1620))),"")</f>
        <v>705</v>
      </c>
      <c r="Y1620" s="53" t="str">
        <f t="shared" si="704"/>
        <v>n/a</v>
      </c>
      <c r="Z1620" s="52">
        <f>IF(L1620="","",INDEX('Aub Demand'!H:H,MATCH($O1620,'Aub Demand'!$A:$A,0)))</f>
        <v>0</v>
      </c>
      <c r="AA1620" s="52" t="str">
        <f t="shared" si="705"/>
        <v>-spike-</v>
      </c>
      <c r="AB1620" s="52">
        <f>IFERROR(INDEX('Aub Demand'!L:L,MATCH($O1620,'Aub Demand'!$A:$A,0)),"")</f>
        <v>5</v>
      </c>
      <c r="AC1620" s="52">
        <f>IFERROR(IF(O1620="","",SUMIFS('CPL Mats'!F:F,'CPL Mats'!Q:Q,AR1620,'CPL Mats'!S:S,AS1620)),"")</f>
        <v>0</v>
      </c>
      <c r="AF1620" s="25" t="str">
        <f>IF(SUMIFS('Supp Consol'!S:S,'Supp Consol'!Y:Y,"Releasable",'Supp Consol'!A:A,O1620)=0,"",SUMIFS('Supp Consol'!S:S,'Supp Consol'!Y:Y,"Releasable",'Supp Consol'!A:A,O1620))</f>
        <v/>
      </c>
      <c r="AG1620" s="25" t="str">
        <f>IFERROR(INDEX('Hun Demand'!Q:Q,MATCH(O1620,'Hun Demand'!A:A,0)),"")</f>
        <v/>
      </c>
      <c r="AH1620" s="25" t="str">
        <f>IFERROR(INDEX('Hun Demand'!H:H,MATCH($O1620,'Hun Demand'!$A:$A,0)),"")</f>
        <v/>
      </c>
      <c r="AI1620" s="25" t="str">
        <f>IF(SUMIFS('Supp Consol'!AA:AA,'Supp Consol'!Z:Z,"Expires this month",'Supp Consol'!A:A,O1620)=0,"",SUMIFS('Supp Consol'!AA:AA,'Supp Consol'!Z:Z,"Expires this month",'Supp Consol'!A:A,O1620))</f>
        <v/>
      </c>
      <c r="AJ1620" s="25" t="str">
        <f>IF(SUMIFS('Supp Consol'!AA:AA,'Supp Consol'!Z:Z,"Expired Previous Months",'Supp Consol'!A:A,O1620)=0,"",SUMIFS('Supp Consol'!AA:AA,'Supp Consol'!Z:Z,"Expired Previous Months",'Supp Consol'!A:A,O1620))</f>
        <v/>
      </c>
      <c r="AK1620" s="25" t="str">
        <f>IFERROR(INDEX('Hun Release Current'!B:B,MATCH(O1620,'Hun Release Current'!A:A,0)),"")</f>
        <v/>
      </c>
      <c r="AL1620" s="25" t="str">
        <f>IF(SUMIF('Prev Aub'!A:A,O1620,'Prev Aub'!B:B)=0,"",SUMIF('Prev Aub'!A:A,O1620,'Prev Aub'!B:B))</f>
        <v/>
      </c>
      <c r="AN1620" s="25" t="s">
        <v>3790</v>
      </c>
      <c r="AO1620" s="25" t="s">
        <v>3790</v>
      </c>
      <c r="AP1620" s="25">
        <f t="shared" si="706"/>
        <v>0</v>
      </c>
      <c r="AQ1620" s="151" t="str">
        <f>IF(SUMIFS('Supp Consol'!S:S,'Supp Consol'!A:A,O1620,'Supp Consol'!I:I,"PENDING")=0,"",SUMIFS('Supp Consol'!S:S,'Supp Consol'!A:A,O1620,'Supp Consol'!I:I,"PENDING"))</f>
        <v/>
      </c>
      <c r="AR1620" s="27" t="str">
        <f t="shared" si="707"/>
        <v>WX295</v>
      </c>
      <c r="AS1620" s="27" t="str">
        <f t="shared" si="708"/>
        <v>62</v>
      </c>
      <c r="AT1620" s="27" t="str">
        <f t="shared" si="709"/>
        <v/>
      </c>
      <c r="AU1620" s="27" t="str">
        <f t="shared" si="710"/>
        <v/>
      </c>
      <c r="AV1620" s="27" t="str">
        <f t="shared" si="711"/>
        <v/>
      </c>
      <c r="AW1620" s="27" t="str">
        <f t="shared" si="712"/>
        <v/>
      </c>
      <c r="AX1620" s="27" t="str">
        <f t="shared" si="713"/>
        <v/>
      </c>
      <c r="AY1620" s="27" t="str">
        <f t="shared" si="714"/>
        <v/>
      </c>
      <c r="AZ1620" s="27" t="str">
        <f t="shared" si="715"/>
        <v/>
      </c>
      <c r="BA1620" s="27" t="str">
        <f t="shared" si="716"/>
        <v/>
      </c>
      <c r="BB1620" s="27" t="str">
        <f t="shared" si="717"/>
        <v/>
      </c>
      <c r="BC1620" s="27" t="str">
        <f t="shared" si="718"/>
        <v/>
      </c>
      <c r="BD1620" s="27" t="str">
        <f t="shared" si="719"/>
        <v/>
      </c>
      <c r="BE1620" s="27" t="str">
        <f t="shared" si="720"/>
        <v/>
      </c>
      <c r="BF1620" s="27" t="str">
        <f t="shared" si="721"/>
        <v/>
      </c>
      <c r="BG1620" s="27" t="str">
        <f t="shared" si="722"/>
        <v/>
      </c>
      <c r="BH1620" s="27" t="str">
        <f t="shared" si="723"/>
        <v/>
      </c>
      <c r="BI1620" s="27" t="str">
        <f t="shared" si="724"/>
        <v/>
      </c>
      <c r="BJ1620" s="27" t="str">
        <f t="shared" si="725"/>
        <v/>
      </c>
      <c r="BK1620" s="27" t="str">
        <f t="shared" si="726"/>
        <v/>
      </c>
      <c r="BL1620" s="27" t="str">
        <f t="shared" si="727"/>
        <v/>
      </c>
      <c r="BM1620" s="21" t="s">
        <v>5581</v>
      </c>
    </row>
    <row r="1621" spans="1:65" ht="15">
      <c r="A1621" s="25" t="str">
        <f>IFERROR(INDEX('Hun Demand'!W:W,MATCH(O1621,'Hun Demand'!A:A,0)),"")</f>
        <v/>
      </c>
      <c r="B1621" s="25" t="str">
        <f>IFERROR(INDEX('Hun Demand'!V:V,MATCH(O1621,'Hun Demand'!A:A,0)),"")</f>
        <v/>
      </c>
      <c r="C1621" s="25" t="str">
        <f>IFERROR(INDEX('Hun Demand'!U:U,MATCH(O1621,'Hun Demand'!A:A,0)),"")</f>
        <v/>
      </c>
      <c r="D1621" s="25" t="str">
        <f>IFERROR(INDEX('Hun Demand'!T:T,MATCH(O1621,'Hun Demand'!A:A,0)),"")</f>
        <v/>
      </c>
      <c r="E1621" s="25" t="str">
        <f>IFERROR(INDEX('Hun Demand'!S:S,MATCH(O1621,'Hun Demand'!A:A,0)),"")</f>
        <v/>
      </c>
      <c r="F1621" s="25" t="str">
        <f>IFERROR(INDEX('Hun Demand'!R:R,MATCH(O1621,'Hun Demand'!A:A,0)),"")</f>
        <v/>
      </c>
      <c r="G1621" s="25">
        <f>IFERROR(INDEX('Aub Demand'!W:W,MATCH(O1621,'Aub Demand'!A:A,0)),"")</f>
        <v>0</v>
      </c>
      <c r="H1621" s="25">
        <f>IFERROR(INDEX('Aub Demand'!V:V,MATCH(O1621,'Aub Demand'!A:A,0)),"")</f>
        <v>0</v>
      </c>
      <c r="I1621" s="25">
        <f>IFERROR(INDEX('Aub Demand'!U:U,MATCH(O1621,'Aub Demand'!A:A,0)),"")</f>
        <v>0</v>
      </c>
      <c r="J1621" s="25">
        <f>IFERROR(INDEX('Aub Demand'!T:T,MATCH(O1621,'Aub Demand'!A:A,0)),"")</f>
        <v>0</v>
      </c>
      <c r="K1621" s="25">
        <f>IFERROR(INDEX('Aub Demand'!S:S,MATCH(O1621,'Aub Demand'!A:A,0)),"")</f>
        <v>0</v>
      </c>
      <c r="L1621" s="25">
        <f>IFERROR(INDEX('Aub Demand'!R:R,MATCH(O1621,'Aub Demand'!A:A,0)),"")</f>
        <v>0</v>
      </c>
      <c r="O1621" s="27" t="s">
        <v>1952</v>
      </c>
      <c r="P1621" s="27" t="str">
        <f>IFERROR(INDEX('Aub Demand'!B:B,MATCH($O1621,'Aub Demand'!$A:$A,0)),"")</f>
        <v>CHARRED OAK WB1</v>
      </c>
      <c r="Q1621" s="27" t="str">
        <f>IFERROR(INDEX('Aub Demand'!C:C,MATCH($O1621,'Aub Demand'!$A:$A,0)),"")</f>
        <v>STEVE</v>
      </c>
      <c r="R1621" s="52">
        <f>IFERROR(IF(AR1622=AR1621,INDEX('Aub Demand'!K:K,MATCH($O1621,'Aub Demand'!$A:$A,0))-IF(AN1621="",0,AN1621)+AP1622,INDEX('Aub Demand'!K:K,MATCH($O1621,'Aub Demand'!$A:$A,0))-IF(AN1621="",0,AN1621)),"")</f>
        <v>1776</v>
      </c>
      <c r="S1621" s="53" t="str">
        <f t="shared" si="700"/>
        <v>n/a</v>
      </c>
      <c r="T1621" s="52" t="str">
        <f t="shared" si="701"/>
        <v/>
      </c>
      <c r="U1621" s="52">
        <f>IFERROR(IF(AR1622=AR1621,INDEX('Aub Demand'!Q:Q,MATCH($O1621,'Aub Demand'!$A:$A,0))-IF(AN1621="",0,AN1621)+AP1622,INDEX('Aub Demand'!Q:Q,MATCH($O1621,'Aub Demand'!$A:$A,0))-IF(AN1621="",0,AN1621)),"")</f>
        <v>1776</v>
      </c>
      <c r="V1621" s="53" t="str">
        <f t="shared" si="702"/>
        <v>n/a</v>
      </c>
      <c r="W1621" s="52" t="str">
        <f t="shared" si="703"/>
        <v/>
      </c>
      <c r="X1621" s="52">
        <f>IFERROR(IF(AND(AR1622=AR1621,AM1621&lt;&gt;""),INDEX('Aub Demand'!Q:Q,MATCH($O1621,'Aub Demand'!$A:$A,0))-IF(AN1621="",0,AN1621)+AP1622+AD1621+AL1621,IF(AR1622=AR1621,INDEX('Aub Demand'!Q:Q,MATCH($O1621,'Aub Demand'!$A:$A,0))-IF(AN1621="",0,AN1621)+AP1622+AD1621,IF(AM1621&lt;&gt;"",INDEX('Aub Demand'!Q:Q,MATCH($O1621,'Aub Demand'!$A:$A,0))-IF(AN1621="",0,AN1621)+AD1621+AL1621,INDEX('Aub Demand'!Q:Q,MATCH($O1621,'Aub Demand'!$A:$A,0))-IF(AN1621="",0,AN1621)+AD1621))),"")</f>
        <v>1776</v>
      </c>
      <c r="Y1621" s="53" t="str">
        <f t="shared" si="704"/>
        <v>n/a</v>
      </c>
      <c r="Z1621" s="52">
        <f>IF(L1621="","",INDEX('Aub Demand'!H:H,MATCH($O1621,'Aub Demand'!$A:$A,0)))</f>
        <v>0</v>
      </c>
      <c r="AA1621" s="52" t="str">
        <f t="shared" si="705"/>
        <v>-spike-</v>
      </c>
      <c r="AB1621" s="52">
        <f>IFERROR(INDEX('Aub Demand'!L:L,MATCH($O1621,'Aub Demand'!$A:$A,0)),"")</f>
        <v>4</v>
      </c>
      <c r="AC1621" s="52">
        <f>IFERROR(IF(O1621="","",SUMIFS('CPL Mats'!F:F,'CPL Mats'!Q:Q,AR1621,'CPL Mats'!S:S,AS1621)),"")</f>
        <v>0</v>
      </c>
      <c r="AF1621" s="25" t="str">
        <f>IF(SUMIFS('Supp Consol'!S:S,'Supp Consol'!Y:Y,"Releasable",'Supp Consol'!A:A,O1621)=0,"",SUMIFS('Supp Consol'!S:S,'Supp Consol'!Y:Y,"Releasable",'Supp Consol'!A:A,O1621))</f>
        <v/>
      </c>
      <c r="AG1621" s="25" t="str">
        <f>IFERROR(INDEX('Hun Demand'!Q:Q,MATCH(O1621,'Hun Demand'!A:A,0)),"")</f>
        <v/>
      </c>
      <c r="AH1621" s="25" t="str">
        <f>IFERROR(INDEX('Hun Demand'!H:H,MATCH($O1621,'Hun Demand'!$A:$A,0)),"")</f>
        <v/>
      </c>
      <c r="AI1621" s="25" t="str">
        <f>IF(SUMIFS('Supp Consol'!AA:AA,'Supp Consol'!Z:Z,"Expires this month",'Supp Consol'!A:A,O1621)=0,"",SUMIFS('Supp Consol'!AA:AA,'Supp Consol'!Z:Z,"Expires this month",'Supp Consol'!A:A,O1621))</f>
        <v/>
      </c>
      <c r="AJ1621" s="25" t="str">
        <f>IF(SUMIFS('Supp Consol'!AA:AA,'Supp Consol'!Z:Z,"Expired Previous Months",'Supp Consol'!A:A,O1621)=0,"",SUMIFS('Supp Consol'!AA:AA,'Supp Consol'!Z:Z,"Expired Previous Months",'Supp Consol'!A:A,O1621))</f>
        <v/>
      </c>
      <c r="AK1621" s="25" t="str">
        <f>IFERROR(INDEX('Hun Release Current'!B:B,MATCH(O1621,'Hun Release Current'!A:A,0)),"")</f>
        <v/>
      </c>
      <c r="AL1621" s="25" t="str">
        <f>IF(SUMIF('Prev Aub'!A:A,O1621,'Prev Aub'!B:B)=0,"",SUMIF('Prev Aub'!A:A,O1621,'Prev Aub'!B:B))</f>
        <v/>
      </c>
      <c r="AN1621" s="25" t="s">
        <v>3790</v>
      </c>
      <c r="AO1621" s="25" t="s">
        <v>3790</v>
      </c>
      <c r="AP1621" s="25">
        <f t="shared" si="706"/>
        <v>0</v>
      </c>
      <c r="AQ1621" s="151" t="str">
        <f>IF(SUMIFS('Supp Consol'!S:S,'Supp Consol'!A:A,O1621,'Supp Consol'!I:I,"PENDING")=0,"",SUMIFS('Supp Consol'!S:S,'Supp Consol'!A:A,O1621,'Supp Consol'!I:I,"PENDING"))</f>
        <v/>
      </c>
      <c r="AR1621" s="27" t="str">
        <f t="shared" si="707"/>
        <v>WX305</v>
      </c>
      <c r="AS1621" s="27" t="str">
        <f t="shared" si="708"/>
        <v>62</v>
      </c>
      <c r="AT1621" s="27" t="str">
        <f t="shared" si="709"/>
        <v/>
      </c>
      <c r="AU1621" s="27" t="str">
        <f t="shared" si="710"/>
        <v/>
      </c>
      <c r="AV1621" s="27" t="str">
        <f t="shared" si="711"/>
        <v/>
      </c>
      <c r="AW1621" s="27" t="str">
        <f t="shared" si="712"/>
        <v/>
      </c>
      <c r="AX1621" s="27" t="str">
        <f t="shared" si="713"/>
        <v/>
      </c>
      <c r="AY1621" s="27" t="str">
        <f t="shared" si="714"/>
        <v/>
      </c>
      <c r="AZ1621" s="27" t="str">
        <f t="shared" si="715"/>
        <v/>
      </c>
      <c r="BA1621" s="27" t="str">
        <f t="shared" si="716"/>
        <v/>
      </c>
      <c r="BB1621" s="27" t="str">
        <f t="shared" si="717"/>
        <v/>
      </c>
      <c r="BC1621" s="27" t="str">
        <f t="shared" si="718"/>
        <v/>
      </c>
      <c r="BD1621" s="27" t="str">
        <f t="shared" si="719"/>
        <v/>
      </c>
      <c r="BE1621" s="27" t="str">
        <f t="shared" si="720"/>
        <v/>
      </c>
      <c r="BF1621" s="27" t="str">
        <f t="shared" si="721"/>
        <v/>
      </c>
      <c r="BG1621" s="27" t="str">
        <f t="shared" si="722"/>
        <v/>
      </c>
      <c r="BH1621" s="27" t="str">
        <f t="shared" si="723"/>
        <v/>
      </c>
      <c r="BI1621" s="27" t="str">
        <f t="shared" si="724"/>
        <v/>
      </c>
      <c r="BJ1621" s="27" t="str">
        <f t="shared" si="725"/>
        <v/>
      </c>
      <c r="BK1621" s="27" t="str">
        <f t="shared" si="726"/>
        <v/>
      </c>
      <c r="BL1621" s="27" t="str">
        <f t="shared" si="727"/>
        <v/>
      </c>
      <c r="BM1621" s="21" t="s">
        <v>5581</v>
      </c>
    </row>
    <row r="1622" spans="1:65" ht="15">
      <c r="A1622" s="25" t="str">
        <f>IFERROR(INDEX('Hun Demand'!W:W,MATCH(O1622,'Hun Demand'!A:A,0)),"")</f>
        <v/>
      </c>
      <c r="B1622" s="25" t="str">
        <f>IFERROR(INDEX('Hun Demand'!V:V,MATCH(O1622,'Hun Demand'!A:A,0)),"")</f>
        <v/>
      </c>
      <c r="C1622" s="25" t="str">
        <f>IFERROR(INDEX('Hun Demand'!U:U,MATCH(O1622,'Hun Demand'!A:A,0)),"")</f>
        <v/>
      </c>
      <c r="D1622" s="25" t="str">
        <f>IFERROR(INDEX('Hun Demand'!T:T,MATCH(O1622,'Hun Demand'!A:A,0)),"")</f>
        <v/>
      </c>
      <c r="E1622" s="25" t="str">
        <f>IFERROR(INDEX('Hun Demand'!S:S,MATCH(O1622,'Hun Demand'!A:A,0)),"")</f>
        <v/>
      </c>
      <c r="F1622" s="25" t="str">
        <f>IFERROR(INDEX('Hun Demand'!R:R,MATCH(O1622,'Hun Demand'!A:A,0)),"")</f>
        <v/>
      </c>
      <c r="G1622" s="25">
        <f>IFERROR(INDEX('Aub Demand'!W:W,MATCH(O1622,'Aub Demand'!A:A,0)),"")</f>
        <v>0</v>
      </c>
      <c r="H1622" s="25">
        <f>IFERROR(INDEX('Aub Demand'!V:V,MATCH(O1622,'Aub Demand'!A:A,0)),"")</f>
        <v>0</v>
      </c>
      <c r="I1622" s="25">
        <f>IFERROR(INDEX('Aub Demand'!U:U,MATCH(O1622,'Aub Demand'!A:A,0)),"")</f>
        <v>0</v>
      </c>
      <c r="J1622" s="25">
        <f>IFERROR(INDEX('Aub Demand'!T:T,MATCH(O1622,'Aub Demand'!A:A,0)),"")</f>
        <v>0</v>
      </c>
      <c r="K1622" s="25">
        <f>IFERROR(INDEX('Aub Demand'!S:S,MATCH(O1622,'Aub Demand'!A:A,0)),"")</f>
        <v>0</v>
      </c>
      <c r="L1622" s="25">
        <f>IFERROR(INDEX('Aub Demand'!R:R,MATCH(O1622,'Aub Demand'!A:A,0)),"")</f>
        <v>0</v>
      </c>
      <c r="O1622" s="27" t="s">
        <v>1957</v>
      </c>
      <c r="P1622" s="27" t="str">
        <f>IFERROR(INDEX('Aub Demand'!B:B,MATCH($O1622,'Aub Demand'!$A:$A,0)),"")</f>
        <v>AQUATINA WB2</v>
      </c>
      <c r="Q1622" s="27" t="str">
        <f>IFERROR(INDEX('Aub Demand'!C:C,MATCH($O1622,'Aub Demand'!$A:$A,0)),"")</f>
        <v>STEVE</v>
      </c>
      <c r="R1622" s="52">
        <f>IFERROR(IF(AR1623=AR1622,INDEX('Aub Demand'!K:K,MATCH($O1622,'Aub Demand'!$A:$A,0))-IF(AN1622="",0,AN1622)+AP1623,INDEX('Aub Demand'!K:K,MATCH($O1622,'Aub Demand'!$A:$A,0))-IF(AN1622="",0,AN1622)),"")</f>
        <v>488</v>
      </c>
      <c r="S1622" s="53" t="str">
        <f t="shared" si="700"/>
        <v>n/a</v>
      </c>
      <c r="T1622" s="52" t="str">
        <f t="shared" si="701"/>
        <v/>
      </c>
      <c r="U1622" s="52">
        <f>IFERROR(IF(AR1623=AR1622,INDEX('Aub Demand'!Q:Q,MATCH($O1622,'Aub Demand'!$A:$A,0))-IF(AN1622="",0,AN1622)+AP1623,INDEX('Aub Demand'!Q:Q,MATCH($O1622,'Aub Demand'!$A:$A,0))-IF(AN1622="",0,AN1622)),"")</f>
        <v>488</v>
      </c>
      <c r="V1622" s="53" t="str">
        <f t="shared" si="702"/>
        <v>n/a</v>
      </c>
      <c r="W1622" s="52" t="str">
        <f t="shared" si="703"/>
        <v/>
      </c>
      <c r="X1622" s="52">
        <f>IFERROR(IF(AND(AR1623=AR1622,AM1622&lt;&gt;""),INDEX('Aub Demand'!Q:Q,MATCH($O1622,'Aub Demand'!$A:$A,0))-IF(AN1622="",0,AN1622)+AP1623+AD1622+AL1622,IF(AR1623=AR1622,INDEX('Aub Demand'!Q:Q,MATCH($O1622,'Aub Demand'!$A:$A,0))-IF(AN1622="",0,AN1622)+AP1623+AD1622,IF(AM1622&lt;&gt;"",INDEX('Aub Demand'!Q:Q,MATCH($O1622,'Aub Demand'!$A:$A,0))-IF(AN1622="",0,AN1622)+AD1622+AL1622,INDEX('Aub Demand'!Q:Q,MATCH($O1622,'Aub Demand'!$A:$A,0))-IF(AN1622="",0,AN1622)+AD1622))),"")</f>
        <v>488</v>
      </c>
      <c r="Y1622" s="53" t="str">
        <f t="shared" si="704"/>
        <v>n/a</v>
      </c>
      <c r="Z1622" s="52">
        <f>IF(L1622="","",INDEX('Aub Demand'!H:H,MATCH($O1622,'Aub Demand'!$A:$A,0)))</f>
        <v>0</v>
      </c>
      <c r="AA1622" s="52" t="str">
        <f t="shared" si="705"/>
        <v>-spike-</v>
      </c>
      <c r="AB1622" s="52">
        <f>IFERROR(INDEX('Aub Demand'!L:L,MATCH($O1622,'Aub Demand'!$A:$A,0)),"")</f>
        <v>8</v>
      </c>
      <c r="AC1622" s="52">
        <f>IFERROR(IF(O1622="","",SUMIFS('CPL Mats'!F:F,'CPL Mats'!Q:Q,AR1622,'CPL Mats'!S:S,AS1622)),"")</f>
        <v>0</v>
      </c>
      <c r="AF1622" s="25" t="str">
        <f>IF(SUMIFS('Supp Consol'!S:S,'Supp Consol'!Y:Y,"Releasable",'Supp Consol'!A:A,O1622)=0,"",SUMIFS('Supp Consol'!S:S,'Supp Consol'!Y:Y,"Releasable",'Supp Consol'!A:A,O1622))</f>
        <v/>
      </c>
      <c r="AG1622" s="25" t="str">
        <f>IFERROR(INDEX('Hun Demand'!Q:Q,MATCH(O1622,'Hun Demand'!A:A,0)),"")</f>
        <v/>
      </c>
      <c r="AH1622" s="25" t="str">
        <f>IFERROR(INDEX('Hun Demand'!H:H,MATCH($O1622,'Hun Demand'!$A:$A,0)),"")</f>
        <v/>
      </c>
      <c r="AI1622" s="25" t="str">
        <f>IF(SUMIFS('Supp Consol'!AA:AA,'Supp Consol'!Z:Z,"Expires this month",'Supp Consol'!A:A,O1622)=0,"",SUMIFS('Supp Consol'!AA:AA,'Supp Consol'!Z:Z,"Expires this month",'Supp Consol'!A:A,O1622))</f>
        <v/>
      </c>
      <c r="AJ1622" s="25" t="str">
        <f>IF(SUMIFS('Supp Consol'!AA:AA,'Supp Consol'!Z:Z,"Expired Previous Months",'Supp Consol'!A:A,O1622)=0,"",SUMIFS('Supp Consol'!AA:AA,'Supp Consol'!Z:Z,"Expired Previous Months",'Supp Consol'!A:A,O1622))</f>
        <v/>
      </c>
      <c r="AK1622" s="25" t="str">
        <f>IFERROR(INDEX('Hun Release Current'!B:B,MATCH(O1622,'Hun Release Current'!A:A,0)),"")</f>
        <v/>
      </c>
      <c r="AL1622" s="25" t="str">
        <f>IF(SUMIF('Prev Aub'!A:A,O1622,'Prev Aub'!B:B)=0,"",SUMIF('Prev Aub'!A:A,O1622,'Prev Aub'!B:B))</f>
        <v/>
      </c>
      <c r="AN1622" s="25" t="s">
        <v>3790</v>
      </c>
      <c r="AO1622" s="25" t="s">
        <v>3790</v>
      </c>
      <c r="AP1622" s="25">
        <f t="shared" si="706"/>
        <v>0</v>
      </c>
      <c r="AQ1622" s="151" t="str">
        <f>IF(SUMIFS('Supp Consol'!S:S,'Supp Consol'!A:A,O1622,'Supp Consol'!I:I,"PENDING")=0,"",SUMIFS('Supp Consol'!S:S,'Supp Consol'!A:A,O1622,'Supp Consol'!I:I,"PENDING"))</f>
        <v/>
      </c>
      <c r="AR1622" s="27" t="str">
        <f t="shared" si="707"/>
        <v>WX320</v>
      </c>
      <c r="AS1622" s="27" t="str">
        <f t="shared" si="708"/>
        <v>62</v>
      </c>
      <c r="AT1622" s="27" t="str">
        <f t="shared" si="709"/>
        <v/>
      </c>
      <c r="AU1622" s="27" t="str">
        <f t="shared" si="710"/>
        <v/>
      </c>
      <c r="AV1622" s="27" t="str">
        <f t="shared" si="711"/>
        <v/>
      </c>
      <c r="AW1622" s="27" t="str">
        <f t="shared" si="712"/>
        <v/>
      </c>
      <c r="AX1622" s="27" t="str">
        <f t="shared" si="713"/>
        <v/>
      </c>
      <c r="AY1622" s="27" t="str">
        <f t="shared" si="714"/>
        <v/>
      </c>
      <c r="AZ1622" s="27" t="str">
        <f t="shared" si="715"/>
        <v/>
      </c>
      <c r="BA1622" s="27" t="str">
        <f t="shared" si="716"/>
        <v/>
      </c>
      <c r="BB1622" s="27" t="str">
        <f t="shared" si="717"/>
        <v/>
      </c>
      <c r="BC1622" s="27" t="str">
        <f t="shared" si="718"/>
        <v/>
      </c>
      <c r="BD1622" s="27" t="str">
        <f t="shared" si="719"/>
        <v/>
      </c>
      <c r="BE1622" s="27" t="str">
        <f t="shared" si="720"/>
        <v/>
      </c>
      <c r="BF1622" s="27" t="str">
        <f t="shared" si="721"/>
        <v/>
      </c>
      <c r="BG1622" s="27" t="str">
        <f t="shared" si="722"/>
        <v/>
      </c>
      <c r="BH1622" s="27" t="str">
        <f t="shared" si="723"/>
        <v/>
      </c>
      <c r="BI1622" s="27" t="str">
        <f t="shared" si="724"/>
        <v/>
      </c>
      <c r="BJ1622" s="27" t="str">
        <f t="shared" si="725"/>
        <v/>
      </c>
      <c r="BK1622" s="27" t="str">
        <f t="shared" si="726"/>
        <v/>
      </c>
      <c r="BL1622" s="27" t="str">
        <f t="shared" si="727"/>
        <v/>
      </c>
      <c r="BM1622" s="21" t="s">
        <v>5581</v>
      </c>
    </row>
    <row r="1623" spans="1:65" ht="15">
      <c r="A1623" s="25" t="str">
        <f>IFERROR(INDEX('Hun Demand'!W:W,MATCH(O1623,'Hun Demand'!A:A,0)),"")</f>
        <v/>
      </c>
      <c r="B1623" s="25" t="str">
        <f>IFERROR(INDEX('Hun Demand'!V:V,MATCH(O1623,'Hun Demand'!A:A,0)),"")</f>
        <v/>
      </c>
      <c r="C1623" s="25" t="str">
        <f>IFERROR(INDEX('Hun Demand'!U:U,MATCH(O1623,'Hun Demand'!A:A,0)),"")</f>
        <v/>
      </c>
      <c r="D1623" s="25" t="str">
        <f>IFERROR(INDEX('Hun Demand'!T:T,MATCH(O1623,'Hun Demand'!A:A,0)),"")</f>
        <v/>
      </c>
      <c r="E1623" s="25" t="str">
        <f>IFERROR(INDEX('Hun Demand'!S:S,MATCH(O1623,'Hun Demand'!A:A,0)),"")</f>
        <v/>
      </c>
      <c r="F1623" s="25" t="str">
        <f>IFERROR(INDEX('Hun Demand'!R:R,MATCH(O1623,'Hun Demand'!A:A,0)),"")</f>
        <v/>
      </c>
      <c r="G1623" s="25">
        <f>IFERROR(INDEX('Aub Demand'!W:W,MATCH(O1623,'Aub Demand'!A:A,0)),"")</f>
        <v>0</v>
      </c>
      <c r="H1623" s="25">
        <f>IFERROR(INDEX('Aub Demand'!V:V,MATCH(O1623,'Aub Demand'!A:A,0)),"")</f>
        <v>0</v>
      </c>
      <c r="I1623" s="25">
        <f>IFERROR(INDEX('Aub Demand'!U:U,MATCH(O1623,'Aub Demand'!A:A,0)),"")</f>
        <v>0</v>
      </c>
      <c r="J1623" s="25">
        <f>IFERROR(INDEX('Aub Demand'!T:T,MATCH(O1623,'Aub Demand'!A:A,0)),"")</f>
        <v>0</v>
      </c>
      <c r="K1623" s="25">
        <f>IFERROR(INDEX('Aub Demand'!S:S,MATCH(O1623,'Aub Demand'!A:A,0)),"")</f>
        <v>0</v>
      </c>
      <c r="L1623" s="25">
        <f>IFERROR(INDEX('Aub Demand'!R:R,MATCH(O1623,'Aub Demand'!A:A,0)),"")</f>
        <v>0</v>
      </c>
      <c r="O1623" s="27" t="s">
        <v>1959</v>
      </c>
      <c r="P1623" s="27" t="str">
        <f>IFERROR(INDEX('Aub Demand'!B:B,MATCH($O1623,'Aub Demand'!$A:$A,0)),"")</f>
        <v>FARMHOUSE WB3</v>
      </c>
      <c r="Q1623" s="27" t="str">
        <f>IFERROR(INDEX('Aub Demand'!C:C,MATCH($O1623,'Aub Demand'!$A:$A,0)),"")</f>
        <v>STEVE</v>
      </c>
      <c r="R1623" s="52">
        <f>IFERROR(IF(AR1624=AR1623,INDEX('Aub Demand'!K:K,MATCH($O1623,'Aub Demand'!$A:$A,0))-IF(AN1623="",0,AN1623)+AP1624,INDEX('Aub Demand'!K:K,MATCH($O1623,'Aub Demand'!$A:$A,0))-IF(AN1623="",0,AN1623)),"")</f>
        <v>1252</v>
      </c>
      <c r="S1623" s="53" t="str">
        <f t="shared" si="700"/>
        <v>n/a</v>
      </c>
      <c r="T1623" s="52" t="str">
        <f t="shared" si="701"/>
        <v/>
      </c>
      <c r="U1623" s="52">
        <f>IFERROR(IF(AR1624=AR1623,INDEX('Aub Demand'!Q:Q,MATCH($O1623,'Aub Demand'!$A:$A,0))-IF(AN1623="",0,AN1623)+AP1624,INDEX('Aub Demand'!Q:Q,MATCH($O1623,'Aub Demand'!$A:$A,0))-IF(AN1623="",0,AN1623)),"")</f>
        <v>1252</v>
      </c>
      <c r="V1623" s="53" t="str">
        <f t="shared" si="702"/>
        <v>n/a</v>
      </c>
      <c r="W1623" s="52" t="str">
        <f t="shared" si="703"/>
        <v/>
      </c>
      <c r="X1623" s="52">
        <f>IFERROR(IF(AND(AR1624=AR1623,AM1623&lt;&gt;""),INDEX('Aub Demand'!Q:Q,MATCH($O1623,'Aub Demand'!$A:$A,0))-IF(AN1623="",0,AN1623)+AP1624+AD1623+AL1623,IF(AR1624=AR1623,INDEX('Aub Demand'!Q:Q,MATCH($O1623,'Aub Demand'!$A:$A,0))-IF(AN1623="",0,AN1623)+AP1624+AD1623,IF(AM1623&lt;&gt;"",INDEX('Aub Demand'!Q:Q,MATCH($O1623,'Aub Demand'!$A:$A,0))-IF(AN1623="",0,AN1623)+AD1623+AL1623,INDEX('Aub Demand'!Q:Q,MATCH($O1623,'Aub Demand'!$A:$A,0))-IF(AN1623="",0,AN1623)+AD1623))),"")</f>
        <v>1252</v>
      </c>
      <c r="Y1623" s="53" t="str">
        <f t="shared" si="704"/>
        <v>n/a</v>
      </c>
      <c r="Z1623" s="52">
        <f>IF(L1623="","",INDEX('Aub Demand'!H:H,MATCH($O1623,'Aub Demand'!$A:$A,0)))</f>
        <v>0</v>
      </c>
      <c r="AA1623" s="52" t="str">
        <f t="shared" si="705"/>
        <v>-spike-</v>
      </c>
      <c r="AB1623" s="52">
        <f>IFERROR(INDEX('Aub Demand'!L:L,MATCH($O1623,'Aub Demand'!$A:$A,0)),"")</f>
        <v>3</v>
      </c>
      <c r="AC1623" s="52">
        <f>IFERROR(IF(O1623="","",SUMIFS('CPL Mats'!F:F,'CPL Mats'!Q:Q,AR1623,'CPL Mats'!S:S,AS1623)),"")</f>
        <v>0</v>
      </c>
      <c r="AF1623" s="25" t="str">
        <f>IF(SUMIFS('Supp Consol'!S:S,'Supp Consol'!Y:Y,"Releasable",'Supp Consol'!A:A,O1623)=0,"",SUMIFS('Supp Consol'!S:S,'Supp Consol'!Y:Y,"Releasable",'Supp Consol'!A:A,O1623))</f>
        <v/>
      </c>
      <c r="AG1623" s="25" t="str">
        <f>IFERROR(INDEX('Hun Demand'!Q:Q,MATCH(O1623,'Hun Demand'!A:A,0)),"")</f>
        <v/>
      </c>
      <c r="AH1623" s="25" t="str">
        <f>IFERROR(INDEX('Hun Demand'!H:H,MATCH($O1623,'Hun Demand'!$A:$A,0)),"")</f>
        <v/>
      </c>
      <c r="AI1623" s="25" t="str">
        <f>IF(SUMIFS('Supp Consol'!AA:AA,'Supp Consol'!Z:Z,"Expires this month",'Supp Consol'!A:A,O1623)=0,"",SUMIFS('Supp Consol'!AA:AA,'Supp Consol'!Z:Z,"Expires this month",'Supp Consol'!A:A,O1623))</f>
        <v/>
      </c>
      <c r="AJ1623" s="25" t="str">
        <f>IF(SUMIFS('Supp Consol'!AA:AA,'Supp Consol'!Z:Z,"Expired Previous Months",'Supp Consol'!A:A,O1623)=0,"",SUMIFS('Supp Consol'!AA:AA,'Supp Consol'!Z:Z,"Expired Previous Months",'Supp Consol'!A:A,O1623))</f>
        <v/>
      </c>
      <c r="AK1623" s="25" t="str">
        <f>IFERROR(INDEX('Hun Release Current'!B:B,MATCH(O1623,'Hun Release Current'!A:A,0)),"")</f>
        <v/>
      </c>
      <c r="AL1623" s="25" t="str">
        <f>IF(SUMIF('Prev Aub'!A:A,O1623,'Prev Aub'!B:B)=0,"",SUMIF('Prev Aub'!A:A,O1623,'Prev Aub'!B:B))</f>
        <v/>
      </c>
      <c r="AN1623" s="25" t="s">
        <v>3790</v>
      </c>
      <c r="AO1623" s="25" t="s">
        <v>3790</v>
      </c>
      <c r="AP1623" s="25">
        <f t="shared" si="706"/>
        <v>0</v>
      </c>
      <c r="AQ1623" s="151" t="str">
        <f>IF(SUMIFS('Supp Consol'!S:S,'Supp Consol'!A:A,O1623,'Supp Consol'!I:I,"PENDING")=0,"",SUMIFS('Supp Consol'!S:S,'Supp Consol'!A:A,O1623,'Supp Consol'!I:I,"PENDING"))</f>
        <v/>
      </c>
      <c r="AR1623" s="27" t="str">
        <f t="shared" si="707"/>
        <v>WX330</v>
      </c>
      <c r="AS1623" s="27" t="str">
        <f t="shared" si="708"/>
        <v>62</v>
      </c>
      <c r="AT1623" s="27" t="str">
        <f t="shared" si="709"/>
        <v/>
      </c>
      <c r="AU1623" s="27" t="str">
        <f t="shared" si="710"/>
        <v/>
      </c>
      <c r="AV1623" s="27" t="str">
        <f t="shared" si="711"/>
        <v/>
      </c>
      <c r="AW1623" s="27" t="str">
        <f t="shared" si="712"/>
        <v/>
      </c>
      <c r="AX1623" s="27" t="str">
        <f t="shared" si="713"/>
        <v/>
      </c>
      <c r="AY1623" s="27" t="str">
        <f t="shared" si="714"/>
        <v/>
      </c>
      <c r="AZ1623" s="27" t="str">
        <f t="shared" si="715"/>
        <v/>
      </c>
      <c r="BA1623" s="27" t="str">
        <f t="shared" si="716"/>
        <v/>
      </c>
      <c r="BB1623" s="27" t="str">
        <f t="shared" si="717"/>
        <v/>
      </c>
      <c r="BC1623" s="27" t="str">
        <f t="shared" si="718"/>
        <v/>
      </c>
      <c r="BD1623" s="27" t="str">
        <f t="shared" si="719"/>
        <v/>
      </c>
      <c r="BE1623" s="27" t="str">
        <f t="shared" si="720"/>
        <v/>
      </c>
      <c r="BF1623" s="27" t="str">
        <f t="shared" si="721"/>
        <v/>
      </c>
      <c r="BG1623" s="27" t="str">
        <f t="shared" si="722"/>
        <v/>
      </c>
      <c r="BH1623" s="27" t="str">
        <f t="shared" si="723"/>
        <v/>
      </c>
      <c r="BI1623" s="27" t="str">
        <f t="shared" si="724"/>
        <v/>
      </c>
      <c r="BJ1623" s="27" t="str">
        <f t="shared" si="725"/>
        <v/>
      </c>
      <c r="BK1623" s="27" t="str">
        <f t="shared" si="726"/>
        <v/>
      </c>
      <c r="BL1623" s="27" t="str">
        <f t="shared" si="727"/>
        <v/>
      </c>
      <c r="BM1623" s="21" t="s">
        <v>5581</v>
      </c>
    </row>
    <row r="1624" spans="1:65" ht="15">
      <c r="A1624" s="25" t="str">
        <f>IFERROR(INDEX('Hun Demand'!W:W,MATCH(O1624,'Hun Demand'!A:A,0)),"")</f>
        <v/>
      </c>
      <c r="B1624" s="25" t="str">
        <f>IFERROR(INDEX('Hun Demand'!V:V,MATCH(O1624,'Hun Demand'!A:A,0)),"")</f>
        <v/>
      </c>
      <c r="C1624" s="25" t="str">
        <f>IFERROR(INDEX('Hun Demand'!U:U,MATCH(O1624,'Hun Demand'!A:A,0)),"")</f>
        <v/>
      </c>
      <c r="D1624" s="25" t="str">
        <f>IFERROR(INDEX('Hun Demand'!T:T,MATCH(O1624,'Hun Demand'!A:A,0)),"")</f>
        <v/>
      </c>
      <c r="E1624" s="25" t="str">
        <f>IFERROR(INDEX('Hun Demand'!S:S,MATCH(O1624,'Hun Demand'!A:A,0)),"")</f>
        <v/>
      </c>
      <c r="F1624" s="25" t="str">
        <f>IFERROR(INDEX('Hun Demand'!R:R,MATCH(O1624,'Hun Demand'!A:A,0)),"")</f>
        <v/>
      </c>
      <c r="G1624" s="25">
        <f>IFERROR(INDEX('Aub Demand'!W:W,MATCH(O1624,'Aub Demand'!A:A,0)),"")</f>
        <v>0</v>
      </c>
      <c r="H1624" s="25">
        <f>IFERROR(INDEX('Aub Demand'!V:V,MATCH(O1624,'Aub Demand'!A:A,0)),"")</f>
        <v>0</v>
      </c>
      <c r="I1624" s="25">
        <f>IFERROR(INDEX('Aub Demand'!U:U,MATCH(O1624,'Aub Demand'!A:A,0)),"")</f>
        <v>0</v>
      </c>
      <c r="J1624" s="25">
        <f>IFERROR(INDEX('Aub Demand'!T:T,MATCH(O1624,'Aub Demand'!A:A,0)),"")</f>
        <v>0</v>
      </c>
      <c r="K1624" s="25">
        <f>IFERROR(INDEX('Aub Demand'!S:S,MATCH(O1624,'Aub Demand'!A:A,0)),"")</f>
        <v>0</v>
      </c>
      <c r="L1624" s="25">
        <f>IFERROR(INDEX('Aub Demand'!R:R,MATCH(O1624,'Aub Demand'!A:A,0)),"")</f>
        <v>0</v>
      </c>
      <c r="O1624" s="27" t="s">
        <v>5308</v>
      </c>
      <c r="P1624" s="27" t="str">
        <f>IFERROR(INDEX('Aub Demand'!B:B,MATCH($O1624,'Aub Demand'!$A:$A,0)),"")</f>
        <v>LM BROWN B/C</v>
      </c>
      <c r="Q1624" s="27">
        <f>IFERROR(INDEX('Aub Demand'!C:C,MATCH($O1624,'Aub Demand'!$A:$A,0)),"")</f>
        <v>0</v>
      </c>
      <c r="R1624" s="52">
        <f>IFERROR(IF(AR1625=AR1624,INDEX('Aub Demand'!K:K,MATCH($O1624,'Aub Demand'!$A:$A,0))-IF(AN1624="",0,AN1624)+AP1625,INDEX('Aub Demand'!K:K,MATCH($O1624,'Aub Demand'!$A:$A,0))-IF(AN1624="",0,AN1624)),"")</f>
        <v>581</v>
      </c>
      <c r="S1624" s="53" t="str">
        <f t="shared" si="700"/>
        <v>n/a</v>
      </c>
      <c r="T1624" s="52" t="str">
        <f t="shared" si="701"/>
        <v/>
      </c>
      <c r="U1624" s="52">
        <f>IFERROR(IF(AR1625=AR1624,INDEX('Aub Demand'!Q:Q,MATCH($O1624,'Aub Demand'!$A:$A,0))-IF(AN1624="",0,AN1624)+AP1625,INDEX('Aub Demand'!Q:Q,MATCH($O1624,'Aub Demand'!$A:$A,0))-IF(AN1624="",0,AN1624)),"")</f>
        <v>581</v>
      </c>
      <c r="V1624" s="53" t="str">
        <f t="shared" si="702"/>
        <v>n/a</v>
      </c>
      <c r="W1624" s="52" t="str">
        <f t="shared" si="703"/>
        <v/>
      </c>
      <c r="X1624" s="52">
        <f>IFERROR(IF(AND(AR1625=AR1624,AM1624&lt;&gt;""),INDEX('Aub Demand'!Q:Q,MATCH($O1624,'Aub Demand'!$A:$A,0))-IF(AN1624="",0,AN1624)+AP1625+AD1624+AL1624,IF(AR1625=AR1624,INDEX('Aub Demand'!Q:Q,MATCH($O1624,'Aub Demand'!$A:$A,0))-IF(AN1624="",0,AN1624)+AP1625+AD1624,IF(AM1624&lt;&gt;"",INDEX('Aub Demand'!Q:Q,MATCH($O1624,'Aub Demand'!$A:$A,0))-IF(AN1624="",0,AN1624)+AD1624+AL1624,INDEX('Aub Demand'!Q:Q,MATCH($O1624,'Aub Demand'!$A:$A,0))-IF(AN1624="",0,AN1624)+AD1624))),"")</f>
        <v>581</v>
      </c>
      <c r="Y1624" s="53" t="str">
        <f t="shared" si="704"/>
        <v>n/a</v>
      </c>
      <c r="Z1624" s="52">
        <f>IF(L1624="","",INDEX('Aub Demand'!H:H,MATCH($O1624,'Aub Demand'!$A:$A,0)))</f>
        <v>0</v>
      </c>
      <c r="AA1624" s="52" t="str">
        <f t="shared" si="705"/>
        <v>-spike-</v>
      </c>
      <c r="AB1624" s="52">
        <f>IFERROR(INDEX('Aub Demand'!L:L,MATCH($O1624,'Aub Demand'!$A:$A,0)),"")</f>
        <v>0</v>
      </c>
      <c r="AC1624" s="52">
        <f>IFERROR(IF(O1624="","",SUMIFS('CPL Mats'!F:F,'CPL Mats'!Q:Q,AR1624,'CPL Mats'!S:S,AS1624)),"")</f>
        <v>0</v>
      </c>
      <c r="AF1624" s="25" t="str">
        <f>IF(SUMIFS('Supp Consol'!S:S,'Supp Consol'!Y:Y,"Releasable",'Supp Consol'!A:A,O1624)=0,"",SUMIFS('Supp Consol'!S:S,'Supp Consol'!Y:Y,"Releasable",'Supp Consol'!A:A,O1624))</f>
        <v/>
      </c>
      <c r="AG1624" s="25" t="str">
        <f>IFERROR(INDEX('Hun Demand'!Q:Q,MATCH(O1624,'Hun Demand'!A:A,0)),"")</f>
        <v/>
      </c>
      <c r="AH1624" s="25" t="str">
        <f>IFERROR(INDEX('Hun Demand'!H:H,MATCH($O1624,'Hun Demand'!$A:$A,0)),"")</f>
        <v/>
      </c>
      <c r="AI1624" s="25" t="str">
        <f>IF(SUMIFS('Supp Consol'!AA:AA,'Supp Consol'!Z:Z,"Expires this month",'Supp Consol'!A:A,O1624)=0,"",SUMIFS('Supp Consol'!AA:AA,'Supp Consol'!Z:Z,"Expires this month",'Supp Consol'!A:A,O1624))</f>
        <v/>
      </c>
      <c r="AJ1624" s="25" t="str">
        <f>IF(SUMIFS('Supp Consol'!AA:AA,'Supp Consol'!Z:Z,"Expired Previous Months",'Supp Consol'!A:A,O1624)=0,"",SUMIFS('Supp Consol'!AA:AA,'Supp Consol'!Z:Z,"Expired Previous Months",'Supp Consol'!A:A,O1624))</f>
        <v/>
      </c>
      <c r="AK1624" s="25" t="str">
        <f>IFERROR(INDEX('Hun Release Current'!B:B,MATCH(O1624,'Hun Release Current'!A:A,0)),"")</f>
        <v/>
      </c>
      <c r="AL1624" s="25" t="str">
        <f>IF(SUMIF('Prev Aub'!A:A,O1624,'Prev Aub'!B:B)=0,"",SUMIF('Prev Aub'!A:A,O1624,'Prev Aub'!B:B))</f>
        <v/>
      </c>
      <c r="AN1624" s="25" t="s">
        <v>3790</v>
      </c>
      <c r="AO1624" s="25" t="s">
        <v>3790</v>
      </c>
      <c r="AP1624" s="25">
        <f t="shared" si="706"/>
        <v>0</v>
      </c>
      <c r="AQ1624" s="151" t="str">
        <f>IF(SUMIFS('Supp Consol'!S:S,'Supp Consol'!A:A,O1624,'Supp Consol'!I:I,"PENDING")=0,"",SUMIFS('Supp Consol'!S:S,'Supp Consol'!A:A,O1624,'Supp Consol'!I:I,"PENDING"))</f>
        <v/>
      </c>
      <c r="AR1624" s="27" t="str">
        <f t="shared" si="707"/>
        <v>WX341</v>
      </c>
      <c r="AS1624" s="27" t="str">
        <f t="shared" si="708"/>
        <v>62</v>
      </c>
      <c r="AT1624" s="27" t="str">
        <f t="shared" si="709"/>
        <v/>
      </c>
      <c r="AU1624" s="27" t="str">
        <f t="shared" si="710"/>
        <v/>
      </c>
      <c r="AV1624" s="27" t="str">
        <f t="shared" si="711"/>
        <v/>
      </c>
      <c r="AW1624" s="27" t="str">
        <f t="shared" si="712"/>
        <v/>
      </c>
      <c r="AX1624" s="27" t="str">
        <f t="shared" si="713"/>
        <v/>
      </c>
      <c r="AY1624" s="27" t="str">
        <f t="shared" si="714"/>
        <v/>
      </c>
      <c r="AZ1624" s="27" t="str">
        <f t="shared" si="715"/>
        <v/>
      </c>
      <c r="BA1624" s="27" t="str">
        <f t="shared" si="716"/>
        <v/>
      </c>
      <c r="BB1624" s="27" t="str">
        <f t="shared" si="717"/>
        <v/>
      </c>
      <c r="BC1624" s="27" t="str">
        <f t="shared" si="718"/>
        <v/>
      </c>
      <c r="BD1624" s="27" t="str">
        <f t="shared" si="719"/>
        <v/>
      </c>
      <c r="BE1624" s="27" t="str">
        <f t="shared" si="720"/>
        <v/>
      </c>
      <c r="BF1624" s="27" t="str">
        <f t="shared" si="721"/>
        <v/>
      </c>
      <c r="BG1624" s="27" t="str">
        <f t="shared" si="722"/>
        <v/>
      </c>
      <c r="BH1624" s="27" t="str">
        <f t="shared" si="723"/>
        <v/>
      </c>
      <c r="BI1624" s="27" t="str">
        <f t="shared" si="724"/>
        <v/>
      </c>
      <c r="BJ1624" s="27" t="str">
        <f t="shared" si="725"/>
        <v/>
      </c>
      <c r="BK1624" s="27" t="str">
        <f t="shared" si="726"/>
        <v/>
      </c>
      <c r="BL1624" s="27" t="str">
        <f t="shared" si="727"/>
        <v/>
      </c>
      <c r="BM1624" s="21" t="s">
        <v>3790</v>
      </c>
    </row>
    <row r="1625" spans="1:65" ht="15">
      <c r="A1625" s="25" t="str">
        <f>IFERROR(INDEX('Hun Demand'!W:W,MATCH(O1625,'Hun Demand'!A:A,0)),"")</f>
        <v/>
      </c>
      <c r="B1625" s="25" t="str">
        <f>IFERROR(INDEX('Hun Demand'!V:V,MATCH(O1625,'Hun Demand'!A:A,0)),"")</f>
        <v/>
      </c>
      <c r="C1625" s="25" t="str">
        <f>IFERROR(INDEX('Hun Demand'!U:U,MATCH(O1625,'Hun Demand'!A:A,0)),"")</f>
        <v/>
      </c>
      <c r="D1625" s="25" t="str">
        <f>IFERROR(INDEX('Hun Demand'!T:T,MATCH(O1625,'Hun Demand'!A:A,0)),"")</f>
        <v/>
      </c>
      <c r="E1625" s="25" t="str">
        <f>IFERROR(INDEX('Hun Demand'!S:S,MATCH(O1625,'Hun Demand'!A:A,0)),"")</f>
        <v/>
      </c>
      <c r="F1625" s="25" t="str">
        <f>IFERROR(INDEX('Hun Demand'!R:R,MATCH(O1625,'Hun Demand'!A:A,0)),"")</f>
        <v/>
      </c>
      <c r="G1625" s="25">
        <f>IFERROR(INDEX('Aub Demand'!W:W,MATCH(O1625,'Aub Demand'!A:A,0)),"")</f>
        <v>0</v>
      </c>
      <c r="H1625" s="25">
        <f>IFERROR(INDEX('Aub Demand'!V:V,MATCH(O1625,'Aub Demand'!A:A,0)),"")</f>
        <v>0</v>
      </c>
      <c r="I1625" s="25">
        <f>IFERROR(INDEX('Aub Demand'!U:U,MATCH(O1625,'Aub Demand'!A:A,0)),"")</f>
        <v>0</v>
      </c>
      <c r="J1625" s="25">
        <f>IFERROR(INDEX('Aub Demand'!T:T,MATCH(O1625,'Aub Demand'!A:A,0)),"")</f>
        <v>0</v>
      </c>
      <c r="K1625" s="25">
        <f>IFERROR(INDEX('Aub Demand'!S:S,MATCH(O1625,'Aub Demand'!A:A,0)),"")</f>
        <v>0</v>
      </c>
      <c r="L1625" s="25">
        <f>IFERROR(INDEX('Aub Demand'!R:R,MATCH(O1625,'Aub Demand'!A:A,0)),"")</f>
        <v>0</v>
      </c>
      <c r="O1625" s="27" t="s">
        <v>1962</v>
      </c>
      <c r="P1625" s="27" t="str">
        <f>IFERROR(INDEX('Aub Demand'!B:B,MATCH($O1625,'Aub Demand'!$A:$A,0)),"")</f>
        <v>MOD ELM WB4</v>
      </c>
      <c r="Q1625" s="27" t="str">
        <f>IFERROR(INDEX('Aub Demand'!C:C,MATCH($O1625,'Aub Demand'!$A:$A,0)),"")</f>
        <v>STEVE</v>
      </c>
      <c r="R1625" s="52">
        <f>IFERROR(IF(AR1626=AR1625,INDEX('Aub Demand'!K:K,MATCH($O1625,'Aub Demand'!$A:$A,0))-IF(AN1625="",0,AN1625)+AP1626,INDEX('Aub Demand'!K:K,MATCH($O1625,'Aub Demand'!$A:$A,0))-IF(AN1625="",0,AN1625)),"")</f>
        <v>609</v>
      </c>
      <c r="S1625" s="53" t="str">
        <f t="shared" si="700"/>
        <v>n/a</v>
      </c>
      <c r="T1625" s="52" t="str">
        <f t="shared" si="701"/>
        <v/>
      </c>
      <c r="U1625" s="52">
        <f>IFERROR(IF(AR1626=AR1625,INDEX('Aub Demand'!Q:Q,MATCH($O1625,'Aub Demand'!$A:$A,0))-IF(AN1625="",0,AN1625)+AP1626,INDEX('Aub Demand'!Q:Q,MATCH($O1625,'Aub Demand'!$A:$A,0))-IF(AN1625="",0,AN1625)),"")</f>
        <v>609</v>
      </c>
      <c r="V1625" s="53" t="str">
        <f t="shared" si="702"/>
        <v>n/a</v>
      </c>
      <c r="W1625" s="52" t="str">
        <f t="shared" si="703"/>
        <v/>
      </c>
      <c r="X1625" s="52">
        <f>IFERROR(IF(AND(AR1626=AR1625,AM1625&lt;&gt;""),INDEX('Aub Demand'!Q:Q,MATCH($O1625,'Aub Demand'!$A:$A,0))-IF(AN1625="",0,AN1625)+AP1626+AD1625+AL1625,IF(AR1626=AR1625,INDEX('Aub Demand'!Q:Q,MATCH($O1625,'Aub Demand'!$A:$A,0))-IF(AN1625="",0,AN1625)+AP1626+AD1625,IF(AM1625&lt;&gt;"",INDEX('Aub Demand'!Q:Q,MATCH($O1625,'Aub Demand'!$A:$A,0))-IF(AN1625="",0,AN1625)+AD1625+AL1625,INDEX('Aub Demand'!Q:Q,MATCH($O1625,'Aub Demand'!$A:$A,0))-IF(AN1625="",0,AN1625)+AD1625))),"")</f>
        <v>609</v>
      </c>
      <c r="Y1625" s="53" t="str">
        <f t="shared" si="704"/>
        <v>n/a</v>
      </c>
      <c r="Z1625" s="52">
        <f>IF(L1625="","",INDEX('Aub Demand'!H:H,MATCH($O1625,'Aub Demand'!$A:$A,0)))</f>
        <v>0</v>
      </c>
      <c r="AA1625" s="52" t="str">
        <f t="shared" si="705"/>
        <v>-spike-</v>
      </c>
      <c r="AB1625" s="52">
        <f>IFERROR(INDEX('Aub Demand'!L:L,MATCH($O1625,'Aub Demand'!$A:$A,0)),"")</f>
        <v>0</v>
      </c>
      <c r="AC1625" s="52">
        <f>IFERROR(IF(O1625="","",SUMIFS('CPL Mats'!F:F,'CPL Mats'!Q:Q,AR1625,'CPL Mats'!S:S,AS1625)),"")</f>
        <v>0</v>
      </c>
      <c r="AF1625" s="25" t="str">
        <f>IF(SUMIFS('Supp Consol'!S:S,'Supp Consol'!Y:Y,"Releasable",'Supp Consol'!A:A,O1625)=0,"",SUMIFS('Supp Consol'!S:S,'Supp Consol'!Y:Y,"Releasable",'Supp Consol'!A:A,O1625))</f>
        <v/>
      </c>
      <c r="AG1625" s="25" t="str">
        <f>IFERROR(INDEX('Hun Demand'!Q:Q,MATCH(O1625,'Hun Demand'!A:A,0)),"")</f>
        <v/>
      </c>
      <c r="AH1625" s="25" t="str">
        <f>IFERROR(INDEX('Hun Demand'!H:H,MATCH($O1625,'Hun Demand'!$A:$A,0)),"")</f>
        <v/>
      </c>
      <c r="AI1625" s="25" t="str">
        <f>IF(SUMIFS('Supp Consol'!AA:AA,'Supp Consol'!Z:Z,"Expires this month",'Supp Consol'!A:A,O1625)=0,"",SUMIFS('Supp Consol'!AA:AA,'Supp Consol'!Z:Z,"Expires this month",'Supp Consol'!A:A,O1625))</f>
        <v/>
      </c>
      <c r="AJ1625" s="25" t="str">
        <f>IF(SUMIFS('Supp Consol'!AA:AA,'Supp Consol'!Z:Z,"Expired Previous Months",'Supp Consol'!A:A,O1625)=0,"",SUMIFS('Supp Consol'!AA:AA,'Supp Consol'!Z:Z,"Expired Previous Months",'Supp Consol'!A:A,O1625))</f>
        <v/>
      </c>
      <c r="AK1625" s="25" t="str">
        <f>IFERROR(INDEX('Hun Release Current'!B:B,MATCH(O1625,'Hun Release Current'!A:A,0)),"")</f>
        <v/>
      </c>
      <c r="AL1625" s="25" t="str">
        <f>IF(SUMIF('Prev Aub'!A:A,O1625,'Prev Aub'!B:B)=0,"",SUMIF('Prev Aub'!A:A,O1625,'Prev Aub'!B:B))</f>
        <v/>
      </c>
      <c r="AN1625" s="25" t="s">
        <v>3790</v>
      </c>
      <c r="AO1625" s="25" t="s">
        <v>3790</v>
      </c>
      <c r="AP1625" s="25">
        <f t="shared" si="706"/>
        <v>0</v>
      </c>
      <c r="AQ1625" s="151" t="str">
        <f>IF(SUMIFS('Supp Consol'!S:S,'Supp Consol'!A:A,O1625,'Supp Consol'!I:I,"PENDING")=0,"",SUMIFS('Supp Consol'!S:S,'Supp Consol'!A:A,O1625,'Supp Consol'!I:I,"PENDING"))</f>
        <v/>
      </c>
      <c r="AR1625" s="27" t="str">
        <f t="shared" si="707"/>
        <v>WX345</v>
      </c>
      <c r="AS1625" s="27" t="str">
        <f t="shared" si="708"/>
        <v>62</v>
      </c>
      <c r="AT1625" s="27" t="str">
        <f t="shared" si="709"/>
        <v/>
      </c>
      <c r="AU1625" s="27" t="str">
        <f t="shared" si="710"/>
        <v/>
      </c>
      <c r="AV1625" s="27" t="str">
        <f t="shared" si="711"/>
        <v/>
      </c>
      <c r="AW1625" s="27" t="str">
        <f t="shared" si="712"/>
        <v/>
      </c>
      <c r="AX1625" s="27" t="str">
        <f t="shared" si="713"/>
        <v/>
      </c>
      <c r="AY1625" s="27" t="str">
        <f t="shared" si="714"/>
        <v/>
      </c>
      <c r="AZ1625" s="27" t="str">
        <f t="shared" si="715"/>
        <v/>
      </c>
      <c r="BA1625" s="27" t="str">
        <f t="shared" si="716"/>
        <v/>
      </c>
      <c r="BB1625" s="27" t="str">
        <f t="shared" si="717"/>
        <v/>
      </c>
      <c r="BC1625" s="27" t="str">
        <f t="shared" si="718"/>
        <v/>
      </c>
      <c r="BD1625" s="27" t="str">
        <f t="shared" si="719"/>
        <v/>
      </c>
      <c r="BE1625" s="27" t="str">
        <f t="shared" si="720"/>
        <v/>
      </c>
      <c r="BF1625" s="27" t="str">
        <f t="shared" si="721"/>
        <v/>
      </c>
      <c r="BG1625" s="27" t="str">
        <f t="shared" si="722"/>
        <v/>
      </c>
      <c r="BH1625" s="27" t="str">
        <f t="shared" si="723"/>
        <v/>
      </c>
      <c r="BI1625" s="27" t="str">
        <f t="shared" si="724"/>
        <v/>
      </c>
      <c r="BJ1625" s="27" t="str">
        <f t="shared" si="725"/>
        <v/>
      </c>
      <c r="BK1625" s="27" t="str">
        <f t="shared" si="726"/>
        <v/>
      </c>
      <c r="BL1625" s="27" t="str">
        <f t="shared" si="727"/>
        <v/>
      </c>
      <c r="BM1625" s="21" t="s">
        <v>5581</v>
      </c>
    </row>
    <row r="1626" spans="1:65" ht="15">
      <c r="A1626" s="25" t="str">
        <f>IFERROR(INDEX('Hun Demand'!W:W,MATCH(O1626,'Hun Demand'!A:A,0)),"")</f>
        <v/>
      </c>
      <c r="B1626" s="25" t="str">
        <f>IFERROR(INDEX('Hun Demand'!V:V,MATCH(O1626,'Hun Demand'!A:A,0)),"")</f>
        <v/>
      </c>
      <c r="C1626" s="25" t="str">
        <f>IFERROR(INDEX('Hun Demand'!U:U,MATCH(O1626,'Hun Demand'!A:A,0)),"")</f>
        <v/>
      </c>
      <c r="D1626" s="25" t="str">
        <f>IFERROR(INDEX('Hun Demand'!T:T,MATCH(O1626,'Hun Demand'!A:A,0)),"")</f>
        <v/>
      </c>
      <c r="E1626" s="25" t="str">
        <f>IFERROR(INDEX('Hun Demand'!S:S,MATCH(O1626,'Hun Demand'!A:A,0)),"")</f>
        <v/>
      </c>
      <c r="F1626" s="25" t="str">
        <f>IFERROR(INDEX('Hun Demand'!R:R,MATCH(O1626,'Hun Demand'!A:A,0)),"")</f>
        <v/>
      </c>
      <c r="G1626" s="25">
        <f>IFERROR(INDEX('Aub Demand'!W:W,MATCH(O1626,'Aub Demand'!A:A,0)),"")</f>
        <v>0</v>
      </c>
      <c r="H1626" s="25">
        <f>IFERROR(INDEX('Aub Demand'!V:V,MATCH(O1626,'Aub Demand'!A:A,0)),"")</f>
        <v>0</v>
      </c>
      <c r="I1626" s="25">
        <f>IFERROR(INDEX('Aub Demand'!U:U,MATCH(O1626,'Aub Demand'!A:A,0)),"")</f>
        <v>0</v>
      </c>
      <c r="J1626" s="25">
        <f>IFERROR(INDEX('Aub Demand'!T:T,MATCH(O1626,'Aub Demand'!A:A,0)),"")</f>
        <v>23</v>
      </c>
      <c r="K1626" s="25">
        <f>IFERROR(INDEX('Aub Demand'!S:S,MATCH(O1626,'Aub Demand'!A:A,0)),"")</f>
        <v>0</v>
      </c>
      <c r="L1626" s="25">
        <f>IFERROR(INDEX('Aub Demand'!R:R,MATCH(O1626,'Aub Demand'!A:A,0)),"")</f>
        <v>0</v>
      </c>
      <c r="O1626" s="27" t="s">
        <v>1964</v>
      </c>
      <c r="P1626" s="27" t="str">
        <f>IFERROR(INDEX('Aub Demand'!B:B,MATCH($O1626,'Aub Demand'!$A:$A,0)),"")</f>
        <v>FORMOSA L10 (ONLY 58</v>
      </c>
      <c r="Q1626" s="27" t="str">
        <f>IFERROR(INDEX('Aub Demand'!C:C,MATCH($O1626,'Aub Demand'!$A:$A,0)),"")</f>
        <v>STEVE</v>
      </c>
      <c r="R1626" s="52">
        <f>IFERROR(IF(AR1627=AR1626,INDEX('Aub Demand'!K:K,MATCH($O1626,'Aub Demand'!$A:$A,0))-IF(AN1626="",0,AN1626)+AP1627,INDEX('Aub Demand'!K:K,MATCH($O1626,'Aub Demand'!$A:$A,0))-IF(AN1626="",0,AN1626)),"")</f>
        <v>308</v>
      </c>
      <c r="S1626" s="53">
        <f t="shared" si="700"/>
        <v>165</v>
      </c>
      <c r="T1626" s="52" t="str">
        <f t="shared" si="701"/>
        <v/>
      </c>
      <c r="U1626" s="52">
        <f>IFERROR(IF(AR1627=AR1626,INDEX('Aub Demand'!Q:Q,MATCH($O1626,'Aub Demand'!$A:$A,0))-IF(AN1626="",0,AN1626)+AP1627,INDEX('Aub Demand'!Q:Q,MATCH($O1626,'Aub Demand'!$A:$A,0))-IF(AN1626="",0,AN1626)),"")</f>
        <v>271</v>
      </c>
      <c r="V1626" s="53">
        <f t="shared" si="702"/>
        <v>145.19999999999999</v>
      </c>
      <c r="W1626" s="52" t="str">
        <f t="shared" si="703"/>
        <v/>
      </c>
      <c r="X1626" s="52">
        <f>IFERROR(IF(AND(AR1627=AR1626,AM1626&lt;&gt;""),INDEX('Aub Demand'!Q:Q,MATCH($O1626,'Aub Demand'!$A:$A,0))-IF(AN1626="",0,AN1626)+AP1627+AD1626+AL1626,IF(AR1627=AR1626,INDEX('Aub Demand'!Q:Q,MATCH($O1626,'Aub Demand'!$A:$A,0))-IF(AN1626="",0,AN1626)+AP1627+AD1626,IF(AM1626&lt;&gt;"",INDEX('Aub Demand'!Q:Q,MATCH($O1626,'Aub Demand'!$A:$A,0))-IF(AN1626="",0,AN1626)+AD1626+AL1626,INDEX('Aub Demand'!Q:Q,MATCH($O1626,'Aub Demand'!$A:$A,0))-IF(AN1626="",0,AN1626)+AD1626))),"")</f>
        <v>271</v>
      </c>
      <c r="Y1626" s="53">
        <f t="shared" si="704"/>
        <v>145.19999999999999</v>
      </c>
      <c r="Z1626" s="52">
        <f>IF(L1626="","",INDEX('Aub Demand'!H:H,MATCH($O1626,'Aub Demand'!$A:$A,0)))</f>
        <v>8</v>
      </c>
      <c r="AA1626" s="52" t="str">
        <f t="shared" si="705"/>
        <v>-spike-</v>
      </c>
      <c r="AB1626" s="52">
        <f>IFERROR(INDEX('Aub Demand'!L:L,MATCH($O1626,'Aub Demand'!$A:$A,0)),"")</f>
        <v>0</v>
      </c>
      <c r="AC1626" s="52">
        <f>IFERROR(IF(O1626="","",SUMIFS('CPL Mats'!F:F,'CPL Mats'!Q:Q,AR1626,'CPL Mats'!S:S,AS1626)),"")</f>
        <v>0</v>
      </c>
      <c r="AF1626" s="25" t="str">
        <f>IF(SUMIFS('Supp Consol'!S:S,'Supp Consol'!Y:Y,"Releasable",'Supp Consol'!A:A,O1626)=0,"",SUMIFS('Supp Consol'!S:S,'Supp Consol'!Y:Y,"Releasable",'Supp Consol'!A:A,O1626))</f>
        <v/>
      </c>
      <c r="AG1626" s="25" t="str">
        <f>IFERROR(INDEX('Hun Demand'!Q:Q,MATCH(O1626,'Hun Demand'!A:A,0)),"")</f>
        <v/>
      </c>
      <c r="AH1626" s="25" t="str">
        <f>IFERROR(INDEX('Hun Demand'!H:H,MATCH($O1626,'Hun Demand'!$A:$A,0)),"")</f>
        <v/>
      </c>
      <c r="AI1626" s="25" t="str">
        <f>IF(SUMIFS('Supp Consol'!AA:AA,'Supp Consol'!Z:Z,"Expires this month",'Supp Consol'!A:A,O1626)=0,"",SUMIFS('Supp Consol'!AA:AA,'Supp Consol'!Z:Z,"Expires this month",'Supp Consol'!A:A,O1626))</f>
        <v/>
      </c>
      <c r="AJ1626" s="25" t="str">
        <f>IF(SUMIFS('Supp Consol'!AA:AA,'Supp Consol'!Z:Z,"Expired Previous Months",'Supp Consol'!A:A,O1626)=0,"",SUMIFS('Supp Consol'!AA:AA,'Supp Consol'!Z:Z,"Expired Previous Months",'Supp Consol'!A:A,O1626))</f>
        <v/>
      </c>
      <c r="AK1626" s="25" t="str">
        <f>IFERROR(INDEX('Hun Release Current'!B:B,MATCH(O1626,'Hun Release Current'!A:A,0)),"")</f>
        <v/>
      </c>
      <c r="AL1626" s="25" t="str">
        <f>IF(SUMIF('Prev Aub'!A:A,O1626,'Prev Aub'!B:B)=0,"",SUMIF('Prev Aub'!A:A,O1626,'Prev Aub'!B:B))</f>
        <v/>
      </c>
      <c r="AN1626" s="25" t="s">
        <v>3790</v>
      </c>
      <c r="AO1626" s="25" t="s">
        <v>3790</v>
      </c>
      <c r="AP1626" s="25">
        <f t="shared" si="706"/>
        <v>0</v>
      </c>
      <c r="AQ1626" s="151" t="str">
        <f>IF(SUMIFS('Supp Consol'!S:S,'Supp Consol'!A:A,O1626,'Supp Consol'!I:I,"PENDING")=0,"",SUMIFS('Supp Consol'!S:S,'Supp Consol'!A:A,O1626,'Supp Consol'!I:I,"PENDING"))</f>
        <v/>
      </c>
      <c r="AR1626" s="27" t="str">
        <f t="shared" si="707"/>
        <v>WX350</v>
      </c>
      <c r="AS1626" s="27" t="str">
        <f t="shared" si="708"/>
        <v>62</v>
      </c>
      <c r="AT1626" s="27" t="str">
        <f t="shared" si="709"/>
        <v/>
      </c>
      <c r="AU1626" s="27" t="str">
        <f t="shared" si="710"/>
        <v/>
      </c>
      <c r="AV1626" s="27" t="str">
        <f t="shared" si="711"/>
        <v/>
      </c>
      <c r="AW1626" s="27" t="str">
        <f t="shared" si="712"/>
        <v/>
      </c>
      <c r="AX1626" s="27" t="str">
        <f t="shared" si="713"/>
        <v/>
      </c>
      <c r="AY1626" s="27" t="str">
        <f t="shared" si="714"/>
        <v/>
      </c>
      <c r="AZ1626" s="27" t="str">
        <f t="shared" si="715"/>
        <v/>
      </c>
      <c r="BA1626" s="27" t="str">
        <f t="shared" si="716"/>
        <v/>
      </c>
      <c r="BB1626" s="27" t="str">
        <f t="shared" si="717"/>
        <v/>
      </c>
      <c r="BC1626" s="27" t="str">
        <f t="shared" si="718"/>
        <v/>
      </c>
      <c r="BD1626" s="27" t="str">
        <f t="shared" si="719"/>
        <v/>
      </c>
      <c r="BE1626" s="27" t="str">
        <f t="shared" si="720"/>
        <v/>
      </c>
      <c r="BF1626" s="27" t="str">
        <f t="shared" si="721"/>
        <v/>
      </c>
      <c r="BG1626" s="27" t="str">
        <f t="shared" si="722"/>
        <v/>
      </c>
      <c r="BH1626" s="27" t="str">
        <f t="shared" si="723"/>
        <v/>
      </c>
      <c r="BI1626" s="27" t="str">
        <f t="shared" si="724"/>
        <v/>
      </c>
      <c r="BJ1626" s="27" t="str">
        <f t="shared" si="725"/>
        <v/>
      </c>
      <c r="BK1626" s="27" t="str">
        <f t="shared" si="726"/>
        <v/>
      </c>
      <c r="BL1626" s="27" t="str">
        <f t="shared" si="727"/>
        <v/>
      </c>
      <c r="BM1626" s="21" t="s">
        <v>5581</v>
      </c>
    </row>
    <row r="1627" spans="1:65" ht="15">
      <c r="A1627" s="25" t="str">
        <f>IFERROR(INDEX('Hun Demand'!W:W,MATCH(O1627,'Hun Demand'!A:A,0)),"")</f>
        <v/>
      </c>
      <c r="B1627" s="25" t="str">
        <f>IFERROR(INDEX('Hun Demand'!V:V,MATCH(O1627,'Hun Demand'!A:A,0)),"")</f>
        <v/>
      </c>
      <c r="C1627" s="25" t="str">
        <f>IFERROR(INDEX('Hun Demand'!U:U,MATCH(O1627,'Hun Demand'!A:A,0)),"")</f>
        <v/>
      </c>
      <c r="D1627" s="25" t="str">
        <f>IFERROR(INDEX('Hun Demand'!T:T,MATCH(O1627,'Hun Demand'!A:A,0)),"")</f>
        <v/>
      </c>
      <c r="E1627" s="25" t="str">
        <f>IFERROR(INDEX('Hun Demand'!S:S,MATCH(O1627,'Hun Demand'!A:A,0)),"")</f>
        <v/>
      </c>
      <c r="F1627" s="25" t="str">
        <f>IFERROR(INDEX('Hun Demand'!R:R,MATCH(O1627,'Hun Demand'!A:A,0)),"")</f>
        <v/>
      </c>
      <c r="G1627" s="25">
        <f>IFERROR(INDEX('Aub Demand'!W:W,MATCH(O1627,'Aub Demand'!A:A,0)),"")</f>
        <v>0</v>
      </c>
      <c r="H1627" s="25">
        <f>IFERROR(INDEX('Aub Demand'!V:V,MATCH(O1627,'Aub Demand'!A:A,0)),"")</f>
        <v>0</v>
      </c>
      <c r="I1627" s="25">
        <f>IFERROR(INDEX('Aub Demand'!U:U,MATCH(O1627,'Aub Demand'!A:A,0)),"")</f>
        <v>0</v>
      </c>
      <c r="J1627" s="25">
        <f>IFERROR(INDEX('Aub Demand'!T:T,MATCH(O1627,'Aub Demand'!A:A,0)),"")</f>
        <v>0</v>
      </c>
      <c r="K1627" s="25">
        <f>IFERROR(INDEX('Aub Demand'!S:S,MATCH(O1627,'Aub Demand'!A:A,0)),"")</f>
        <v>0</v>
      </c>
      <c r="L1627" s="25">
        <f>IFERROR(INDEX('Aub Demand'!R:R,MATCH(O1627,'Aub Demand'!A:A,0)),"")</f>
        <v>0</v>
      </c>
      <c r="O1627" s="27" t="s">
        <v>1966</v>
      </c>
      <c r="P1627" s="27" t="str">
        <f>IFERROR(INDEX('Aub Demand'!B:B,MATCH($O1627,'Aub Demand'!$A:$A,0)),"")</f>
        <v>STRAIGHT NOCE WC4</v>
      </c>
      <c r="Q1627" s="27" t="str">
        <f>IFERROR(INDEX('Aub Demand'!C:C,MATCH($O1627,'Aub Demand'!$A:$A,0)),"")</f>
        <v>STEVE</v>
      </c>
      <c r="R1627" s="52">
        <f>IFERROR(IF(AR1628=AR1627,INDEX('Aub Demand'!K:K,MATCH($O1627,'Aub Demand'!$A:$A,0))-IF(AN1627="",0,AN1627)+AP1628,INDEX('Aub Demand'!K:K,MATCH($O1627,'Aub Demand'!$A:$A,0))-IF(AN1627="",0,AN1627)),"")</f>
        <v>793</v>
      </c>
      <c r="S1627" s="53" t="str">
        <f t="shared" si="700"/>
        <v>n/a</v>
      </c>
      <c r="T1627" s="52" t="str">
        <f t="shared" si="701"/>
        <v/>
      </c>
      <c r="U1627" s="52">
        <f>IFERROR(IF(AR1628=AR1627,INDEX('Aub Demand'!Q:Q,MATCH($O1627,'Aub Demand'!$A:$A,0))-IF(AN1627="",0,AN1627)+AP1628,INDEX('Aub Demand'!Q:Q,MATCH($O1627,'Aub Demand'!$A:$A,0))-IF(AN1627="",0,AN1627)),"")</f>
        <v>793</v>
      </c>
      <c r="V1627" s="53" t="str">
        <f t="shared" si="702"/>
        <v>n/a</v>
      </c>
      <c r="W1627" s="52" t="str">
        <f t="shared" si="703"/>
        <v/>
      </c>
      <c r="X1627" s="52">
        <f>IFERROR(IF(AND(AR1628=AR1627,AM1627&lt;&gt;""),INDEX('Aub Demand'!Q:Q,MATCH($O1627,'Aub Demand'!$A:$A,0))-IF(AN1627="",0,AN1627)+AP1628+AD1627+AL1627,IF(AR1628=AR1627,INDEX('Aub Demand'!Q:Q,MATCH($O1627,'Aub Demand'!$A:$A,0))-IF(AN1627="",0,AN1627)+AP1628+AD1627,IF(AM1627&lt;&gt;"",INDEX('Aub Demand'!Q:Q,MATCH($O1627,'Aub Demand'!$A:$A,0))-IF(AN1627="",0,AN1627)+AD1627+AL1627,INDEX('Aub Demand'!Q:Q,MATCH($O1627,'Aub Demand'!$A:$A,0))-IF(AN1627="",0,AN1627)+AD1627))),"")</f>
        <v>793</v>
      </c>
      <c r="Y1627" s="53" t="str">
        <f t="shared" si="704"/>
        <v>n/a</v>
      </c>
      <c r="Z1627" s="52">
        <f>IF(L1627="","",INDEX('Aub Demand'!H:H,MATCH($O1627,'Aub Demand'!$A:$A,0)))</f>
        <v>0</v>
      </c>
      <c r="AA1627" s="52" t="str">
        <f t="shared" si="705"/>
        <v>-spike-</v>
      </c>
      <c r="AB1627" s="52">
        <f>IFERROR(INDEX('Aub Demand'!L:L,MATCH($O1627,'Aub Demand'!$A:$A,0)),"")</f>
        <v>0</v>
      </c>
      <c r="AC1627" s="52">
        <f>IFERROR(IF(O1627="","",SUMIFS('CPL Mats'!F:F,'CPL Mats'!Q:Q,AR1627,'CPL Mats'!S:S,AS1627)),"")</f>
        <v>0</v>
      </c>
      <c r="AF1627" s="25" t="str">
        <f>IF(SUMIFS('Supp Consol'!S:S,'Supp Consol'!Y:Y,"Releasable",'Supp Consol'!A:A,O1627)=0,"",SUMIFS('Supp Consol'!S:S,'Supp Consol'!Y:Y,"Releasable",'Supp Consol'!A:A,O1627))</f>
        <v/>
      </c>
      <c r="AG1627" s="25" t="str">
        <f>IFERROR(INDEX('Hun Demand'!Q:Q,MATCH(O1627,'Hun Demand'!A:A,0)),"")</f>
        <v/>
      </c>
      <c r="AH1627" s="25" t="str">
        <f>IFERROR(INDEX('Hun Demand'!H:H,MATCH($O1627,'Hun Demand'!$A:$A,0)),"")</f>
        <v/>
      </c>
      <c r="AI1627" s="25" t="str">
        <f>IF(SUMIFS('Supp Consol'!AA:AA,'Supp Consol'!Z:Z,"Expires this month",'Supp Consol'!A:A,O1627)=0,"",SUMIFS('Supp Consol'!AA:AA,'Supp Consol'!Z:Z,"Expires this month",'Supp Consol'!A:A,O1627))</f>
        <v/>
      </c>
      <c r="AJ1627" s="25" t="str">
        <f>IF(SUMIFS('Supp Consol'!AA:AA,'Supp Consol'!Z:Z,"Expired Previous Months",'Supp Consol'!A:A,O1627)=0,"",SUMIFS('Supp Consol'!AA:AA,'Supp Consol'!Z:Z,"Expired Previous Months",'Supp Consol'!A:A,O1627))</f>
        <v/>
      </c>
      <c r="AK1627" s="25" t="str">
        <f>IFERROR(INDEX('Hun Release Current'!B:B,MATCH(O1627,'Hun Release Current'!A:A,0)),"")</f>
        <v/>
      </c>
      <c r="AL1627" s="25" t="str">
        <f>IF(SUMIF('Prev Aub'!A:A,O1627,'Prev Aub'!B:B)=0,"",SUMIF('Prev Aub'!A:A,O1627,'Prev Aub'!B:B))</f>
        <v/>
      </c>
      <c r="AN1627" s="25" t="s">
        <v>3790</v>
      </c>
      <c r="AO1627" s="25" t="s">
        <v>3790</v>
      </c>
      <c r="AP1627" s="25">
        <f t="shared" si="706"/>
        <v>0</v>
      </c>
      <c r="AQ1627" s="151" t="str">
        <f>IF(SUMIFS('Supp Consol'!S:S,'Supp Consol'!A:A,O1627,'Supp Consol'!I:I,"PENDING")=0,"",SUMIFS('Supp Consol'!S:S,'Supp Consol'!A:A,O1627,'Supp Consol'!I:I,"PENDING"))</f>
        <v/>
      </c>
      <c r="AR1627" s="27" t="str">
        <f t="shared" si="707"/>
        <v>WX360</v>
      </c>
      <c r="AS1627" s="27" t="str">
        <f t="shared" si="708"/>
        <v>62</v>
      </c>
      <c r="AT1627" s="27" t="str">
        <f t="shared" si="709"/>
        <v/>
      </c>
      <c r="AU1627" s="27" t="str">
        <f t="shared" si="710"/>
        <v/>
      </c>
      <c r="AV1627" s="27" t="str">
        <f t="shared" si="711"/>
        <v/>
      </c>
      <c r="AW1627" s="27" t="str">
        <f t="shared" si="712"/>
        <v/>
      </c>
      <c r="AX1627" s="27" t="str">
        <f t="shared" si="713"/>
        <v/>
      </c>
      <c r="AY1627" s="27" t="str">
        <f t="shared" si="714"/>
        <v/>
      </c>
      <c r="AZ1627" s="27" t="str">
        <f t="shared" si="715"/>
        <v/>
      </c>
      <c r="BA1627" s="27" t="str">
        <f t="shared" si="716"/>
        <v/>
      </c>
      <c r="BB1627" s="27" t="str">
        <f t="shared" si="717"/>
        <v/>
      </c>
      <c r="BC1627" s="27" t="str">
        <f t="shared" si="718"/>
        <v/>
      </c>
      <c r="BD1627" s="27" t="str">
        <f t="shared" si="719"/>
        <v/>
      </c>
      <c r="BE1627" s="27" t="str">
        <f t="shared" si="720"/>
        <v/>
      </c>
      <c r="BF1627" s="27" t="str">
        <f t="shared" si="721"/>
        <v/>
      </c>
      <c r="BG1627" s="27" t="str">
        <f t="shared" si="722"/>
        <v/>
      </c>
      <c r="BH1627" s="27" t="str">
        <f t="shared" si="723"/>
        <v/>
      </c>
      <c r="BI1627" s="27" t="str">
        <f t="shared" si="724"/>
        <v/>
      </c>
      <c r="BJ1627" s="27" t="str">
        <f t="shared" si="725"/>
        <v/>
      </c>
      <c r="BK1627" s="27" t="str">
        <f t="shared" si="726"/>
        <v/>
      </c>
      <c r="BL1627" s="27" t="str">
        <f t="shared" si="727"/>
        <v/>
      </c>
      <c r="BM1627" s="21" t="s">
        <v>5581</v>
      </c>
    </row>
    <row r="1628" spans="1:65" ht="15">
      <c r="A1628" s="25">
        <f>IFERROR(INDEX('Hun Demand'!W:W,MATCH(O1628,'Hun Demand'!A:A,0)),"")</f>
        <v>466</v>
      </c>
      <c r="B1628" s="25">
        <f>IFERROR(INDEX('Hun Demand'!V:V,MATCH(O1628,'Hun Demand'!A:A,0)),"")</f>
        <v>1472</v>
      </c>
      <c r="C1628" s="25">
        <f>IFERROR(INDEX('Hun Demand'!U:U,MATCH(O1628,'Hun Demand'!A:A,0)),"")</f>
        <v>0</v>
      </c>
      <c r="D1628" s="25">
        <f>IFERROR(INDEX('Hun Demand'!T:T,MATCH(O1628,'Hun Demand'!A:A,0)),"")</f>
        <v>242</v>
      </c>
      <c r="E1628" s="25">
        <f>IFERROR(INDEX('Hun Demand'!S:S,MATCH(O1628,'Hun Demand'!A:A,0)),"")</f>
        <v>613</v>
      </c>
      <c r="F1628" s="25">
        <f>IFERROR(INDEX('Hun Demand'!R:R,MATCH(O1628,'Hun Demand'!A:A,0)),"")</f>
        <v>0</v>
      </c>
      <c r="G1628" s="25">
        <f>IFERROR(INDEX('Aub Demand'!W:W,MATCH(O1628,'Aub Demand'!A:A,0)),"")</f>
        <v>410</v>
      </c>
      <c r="H1628" s="25">
        <f>IFERROR(INDEX('Aub Demand'!V:V,MATCH(O1628,'Aub Demand'!A:A,0)),"")</f>
        <v>424</v>
      </c>
      <c r="I1628" s="25">
        <f>IFERROR(INDEX('Aub Demand'!U:U,MATCH(O1628,'Aub Demand'!A:A,0)),"")</f>
        <v>318</v>
      </c>
      <c r="J1628" s="25">
        <f>IFERROR(INDEX('Aub Demand'!T:T,MATCH(O1628,'Aub Demand'!A:A,0)),"")</f>
        <v>0</v>
      </c>
      <c r="K1628" s="25">
        <f>IFERROR(INDEX('Aub Demand'!S:S,MATCH(O1628,'Aub Demand'!A:A,0)),"")</f>
        <v>207</v>
      </c>
      <c r="L1628" s="25">
        <f>IFERROR(INDEX('Aub Demand'!R:R,MATCH(O1628,'Aub Demand'!A:A,0)),"")</f>
        <v>0</v>
      </c>
      <c r="O1628" s="27" t="s">
        <v>1968</v>
      </c>
      <c r="P1628" s="27" t="str">
        <f>IFERROR(INDEX('Aub Demand'!B:B,MATCH($O1628,'Aub Demand'!$A:$A,0)),"")</f>
        <v>WITCHCRAFT</v>
      </c>
      <c r="Q1628" s="27" t="str">
        <f>IFERROR(INDEX('Aub Demand'!C:C,MATCH($O1628,'Aub Demand'!$A:$A,0)),"")</f>
        <v>INTER</v>
      </c>
      <c r="R1628" s="52">
        <f>IFERROR(IF(AR1629=AR1628,INDEX('Aub Demand'!K:K,MATCH($O1628,'Aub Demand'!$A:$A,0))-IF(AN1628="",0,AN1628)+AP1629,INDEX('Aub Demand'!K:K,MATCH($O1628,'Aub Demand'!$A:$A,0))-IF(AN1628="",0,AN1628)),"")</f>
        <v>520</v>
      </c>
      <c r="S1628" s="53">
        <f t="shared" si="700"/>
        <v>12.7</v>
      </c>
      <c r="T1628" s="52" t="str">
        <f t="shared" si="701"/>
        <v/>
      </c>
      <c r="U1628" s="52">
        <f>IFERROR(IF(AR1629=AR1628,INDEX('Aub Demand'!Q:Q,MATCH($O1628,'Aub Demand'!$A:$A,0))-IF(AN1628="",0,AN1628)+AP1629,INDEX('Aub Demand'!Q:Q,MATCH($O1628,'Aub Demand'!$A:$A,0))-IF(AN1628="",0,AN1628)),"")</f>
        <v>395</v>
      </c>
      <c r="V1628" s="53">
        <f t="shared" si="702"/>
        <v>9.6999999999999993</v>
      </c>
      <c r="W1628" s="52" t="str">
        <f t="shared" si="703"/>
        <v/>
      </c>
      <c r="X1628" s="52">
        <f>IFERROR(IF(AND(AR1629=AR1628,AM1628&lt;&gt;""),INDEX('Aub Demand'!Q:Q,MATCH($O1628,'Aub Demand'!$A:$A,0))-IF(AN1628="",0,AN1628)+AP1629+AD1628+AL1628,IF(AR1629=AR1628,INDEX('Aub Demand'!Q:Q,MATCH($O1628,'Aub Demand'!$A:$A,0))-IF(AN1628="",0,AN1628)+AP1629+AD1628,IF(AM1628&lt;&gt;"",INDEX('Aub Demand'!Q:Q,MATCH($O1628,'Aub Demand'!$A:$A,0))-IF(AN1628="",0,AN1628)+AD1628+AL1628,INDEX('Aub Demand'!Q:Q,MATCH($O1628,'Aub Demand'!$A:$A,0))-IF(AN1628="",0,AN1628)+AD1628))),"")</f>
        <v>395</v>
      </c>
      <c r="Y1628" s="53">
        <f t="shared" si="704"/>
        <v>9.6999999999999993</v>
      </c>
      <c r="Z1628" s="52">
        <f>IF(L1628="","",INDEX('Aub Demand'!H:H,MATCH($O1628,'Aub Demand'!$A:$A,0)))</f>
        <v>175</v>
      </c>
      <c r="AA1628" s="52">
        <f t="shared" si="705"/>
        <v>262.5</v>
      </c>
      <c r="AB1628" s="52">
        <f>IFERROR(INDEX('Aub Demand'!L:L,MATCH($O1628,'Aub Demand'!$A:$A,0)),"")</f>
        <v>165</v>
      </c>
      <c r="AC1628" s="52">
        <f>IFERROR(IF(O1628="","",SUMIFS('CPL Mats'!F:F,'CPL Mats'!Q:Q,AR1628,'CPL Mats'!S:S,AS1628)),"")</f>
        <v>0</v>
      </c>
      <c r="AF1628" s="25">
        <f>IF(SUMIFS('Supp Consol'!S:S,'Supp Consol'!Y:Y,"Releasable",'Supp Consol'!A:A,O1628)=0,"",SUMIFS('Supp Consol'!S:S,'Supp Consol'!Y:Y,"Releasable",'Supp Consol'!A:A,O1628))</f>
        <v>6231</v>
      </c>
      <c r="AG1628" s="25">
        <f>IFERROR(INDEX('Hun Demand'!Q:Q,MATCH(O1628,'Hun Demand'!A:A,0)),"")</f>
        <v>1047</v>
      </c>
      <c r="AH1628" s="25">
        <f>IFERROR(INDEX('Hun Demand'!H:H,MATCH($O1628,'Hun Demand'!$A:$A,0)),"")</f>
        <v>285</v>
      </c>
      <c r="AI1628" s="25" t="str">
        <f>IF(SUMIFS('Supp Consol'!AA:AA,'Supp Consol'!Z:Z,"Expires this month",'Supp Consol'!A:A,O1628)=0,"",SUMIFS('Supp Consol'!AA:AA,'Supp Consol'!Z:Z,"Expires this month",'Supp Consol'!A:A,O1628))</f>
        <v/>
      </c>
      <c r="AJ1628" s="25" t="str">
        <f>IF(SUMIFS('Supp Consol'!AA:AA,'Supp Consol'!Z:Z,"Expired Previous Months",'Supp Consol'!A:A,O1628)=0,"",SUMIFS('Supp Consol'!AA:AA,'Supp Consol'!Z:Z,"Expired Previous Months",'Supp Consol'!A:A,O1628))</f>
        <v/>
      </c>
      <c r="AK1628" s="25" t="str">
        <f>IFERROR(INDEX('Hun Release Current'!B:B,MATCH(O1628,'Hun Release Current'!A:A,0)),"")</f>
        <v/>
      </c>
      <c r="AL1628" s="25" t="str">
        <f>IF(SUMIF('Prev Aub'!A:A,O1628,'Prev Aub'!B:B)=0,"",SUMIF('Prev Aub'!A:A,O1628,'Prev Aub'!B:B))</f>
        <v/>
      </c>
      <c r="AN1628" s="25" t="s">
        <v>3790</v>
      </c>
      <c r="AO1628" s="25" t="s">
        <v>3790</v>
      </c>
      <c r="AP1628" s="25">
        <f t="shared" si="706"/>
        <v>0</v>
      </c>
      <c r="AQ1628" s="151" t="str">
        <f>IF(SUMIFS('Supp Consol'!S:S,'Supp Consol'!A:A,O1628,'Supp Consol'!I:I,"PENDING")=0,"",SUMIFS('Supp Consol'!S:S,'Supp Consol'!A:A,O1628,'Supp Consol'!I:I,"PENDING"))</f>
        <v/>
      </c>
      <c r="AR1628" s="27" t="str">
        <f t="shared" si="707"/>
        <v>WX421</v>
      </c>
      <c r="AS1628" s="27" t="str">
        <f t="shared" si="708"/>
        <v>50</v>
      </c>
      <c r="AT1628" s="27" t="str">
        <f t="shared" si="709"/>
        <v/>
      </c>
      <c r="AU1628" s="27" t="str">
        <f t="shared" si="710"/>
        <v/>
      </c>
      <c r="AV1628" s="27" t="str">
        <f t="shared" si="711"/>
        <v/>
      </c>
      <c r="AW1628" s="27" t="str">
        <f t="shared" si="712"/>
        <v/>
      </c>
      <c r="AX1628" s="27" t="str">
        <f t="shared" si="713"/>
        <v>WX421</v>
      </c>
      <c r="AY1628" s="27" t="str">
        <f t="shared" si="714"/>
        <v>WX421</v>
      </c>
      <c r="AZ1628" s="27" t="str">
        <f t="shared" si="715"/>
        <v>Supp</v>
      </c>
      <c r="BA1628" s="27" t="str">
        <f t="shared" si="716"/>
        <v>Hun</v>
      </c>
      <c r="BB1628" s="27" t="str">
        <f t="shared" si="717"/>
        <v/>
      </c>
      <c r="BC1628" s="27" t="str">
        <f t="shared" si="718"/>
        <v/>
      </c>
      <c r="BD1628" s="27" t="str">
        <f t="shared" si="719"/>
        <v/>
      </c>
      <c r="BE1628" s="27" t="str">
        <f t="shared" si="720"/>
        <v/>
      </c>
      <c r="BF1628" s="27" t="str">
        <f t="shared" si="721"/>
        <v/>
      </c>
      <c r="BG1628" s="27" t="str">
        <f t="shared" si="722"/>
        <v/>
      </c>
      <c r="BH1628" s="27" t="str">
        <f t="shared" si="723"/>
        <v/>
      </c>
      <c r="BI1628" s="27" t="str">
        <f t="shared" si="724"/>
        <v/>
      </c>
      <c r="BJ1628" s="27" t="str">
        <f t="shared" si="725"/>
        <v>Supp or Hun</v>
      </c>
      <c r="BK1628" s="27" t="str">
        <f t="shared" si="726"/>
        <v/>
      </c>
      <c r="BL1628" s="27" t="str">
        <f t="shared" si="727"/>
        <v/>
      </c>
      <c r="BM1628" s="21" t="s">
        <v>5581</v>
      </c>
    </row>
    <row r="1629" spans="1:65" ht="15">
      <c r="A1629" s="25">
        <f>IFERROR(INDEX('Hun Demand'!W:W,MATCH(O1629,'Hun Demand'!A:A,0)),"")</f>
        <v>665</v>
      </c>
      <c r="B1629" s="25">
        <f>IFERROR(INDEX('Hun Demand'!V:V,MATCH(O1629,'Hun Demand'!A:A,0)),"")</f>
        <v>1029</v>
      </c>
      <c r="C1629" s="25">
        <f>IFERROR(INDEX('Hun Demand'!U:U,MATCH(O1629,'Hun Demand'!A:A,0)),"")</f>
        <v>447</v>
      </c>
      <c r="D1629" s="25">
        <f>IFERROR(INDEX('Hun Demand'!T:T,MATCH(O1629,'Hun Demand'!A:A,0)),"")</f>
        <v>226</v>
      </c>
      <c r="E1629" s="25">
        <f>IFERROR(INDEX('Hun Demand'!S:S,MATCH(O1629,'Hun Demand'!A:A,0)),"")</f>
        <v>352</v>
      </c>
      <c r="F1629" s="25">
        <f>IFERROR(INDEX('Hun Demand'!R:R,MATCH(O1629,'Hun Demand'!A:A,0)),"")</f>
        <v>0</v>
      </c>
      <c r="G1629" s="25">
        <f>IFERROR(INDEX('Aub Demand'!W:W,MATCH(O1629,'Aub Demand'!A:A,0)),"")</f>
        <v>206</v>
      </c>
      <c r="H1629" s="25">
        <f>IFERROR(INDEX('Aub Demand'!V:V,MATCH(O1629,'Aub Demand'!A:A,0)),"")</f>
        <v>16</v>
      </c>
      <c r="I1629" s="25">
        <f>IFERROR(INDEX('Aub Demand'!U:U,MATCH(O1629,'Aub Demand'!A:A,0)),"")</f>
        <v>255</v>
      </c>
      <c r="J1629" s="25">
        <f>IFERROR(INDEX('Aub Demand'!T:T,MATCH(O1629,'Aub Demand'!A:A,0)),"")</f>
        <v>0</v>
      </c>
      <c r="K1629" s="25">
        <f>IFERROR(INDEX('Aub Demand'!S:S,MATCH(O1629,'Aub Demand'!A:A,0)),"")</f>
        <v>430</v>
      </c>
      <c r="L1629" s="25">
        <f>IFERROR(INDEX('Aub Demand'!R:R,MATCH(O1629,'Aub Demand'!A:A,0)),"")</f>
        <v>0</v>
      </c>
      <c r="O1629" s="27" t="s">
        <v>1971</v>
      </c>
      <c r="P1629" s="27" t="str">
        <f>IFERROR(INDEX('Aub Demand'!B:B,MATCH($O1629,'Aub Demand'!$A:$A,0)),"")</f>
        <v>WITCHCRAFT</v>
      </c>
      <c r="Q1629" s="27" t="str">
        <f>IFERROR(INDEX('Aub Demand'!C:C,MATCH($O1629,'Aub Demand'!$A:$A,0)),"")</f>
        <v>INTER</v>
      </c>
      <c r="R1629" s="52">
        <f>IFERROR(IF(AR1630=AR1629,INDEX('Aub Demand'!K:K,MATCH($O1629,'Aub Demand'!$A:$A,0))-IF(AN1629="",0,AN1629)+AP1630,INDEX('Aub Demand'!K:K,MATCH($O1629,'Aub Demand'!$A:$A,0))-IF(AN1629="",0,AN1629)),"")</f>
        <v>3546</v>
      </c>
      <c r="S1629" s="53">
        <f t="shared" si="700"/>
        <v>66.7</v>
      </c>
      <c r="T1629" s="52" t="str">
        <f t="shared" si="701"/>
        <v/>
      </c>
      <c r="U1629" s="52">
        <f>IFERROR(IF(AR1630=AR1629,INDEX('Aub Demand'!Q:Q,MATCH($O1629,'Aub Demand'!$A:$A,0))-IF(AN1629="",0,AN1629)+AP1630,INDEX('Aub Demand'!Q:Q,MATCH($O1629,'Aub Demand'!$A:$A,0))-IF(AN1629="",0,AN1629)),"")</f>
        <v>3434</v>
      </c>
      <c r="V1629" s="53">
        <f t="shared" si="702"/>
        <v>64.5</v>
      </c>
      <c r="W1629" s="52" t="str">
        <f t="shared" si="703"/>
        <v/>
      </c>
      <c r="X1629" s="52">
        <f>IFERROR(IF(AND(AR1630=AR1629,AM1629&lt;&gt;""),INDEX('Aub Demand'!Q:Q,MATCH($O1629,'Aub Demand'!$A:$A,0))-IF(AN1629="",0,AN1629)+AP1630+AD1629+AL1629,IF(AR1630=AR1629,INDEX('Aub Demand'!Q:Q,MATCH($O1629,'Aub Demand'!$A:$A,0))-IF(AN1629="",0,AN1629)+AP1630+AD1629,IF(AM1629&lt;&gt;"",INDEX('Aub Demand'!Q:Q,MATCH($O1629,'Aub Demand'!$A:$A,0))-IF(AN1629="",0,AN1629)+AD1629+AL1629,INDEX('Aub Demand'!Q:Q,MATCH($O1629,'Aub Demand'!$A:$A,0))-IF(AN1629="",0,AN1629)+AD1629))),"")</f>
        <v>3434</v>
      </c>
      <c r="Y1629" s="53">
        <f t="shared" si="704"/>
        <v>64.5</v>
      </c>
      <c r="Z1629" s="52">
        <f>IF(L1629="","",INDEX('Aub Demand'!H:H,MATCH($O1629,'Aub Demand'!$A:$A,0)))</f>
        <v>228</v>
      </c>
      <c r="AA1629" s="52">
        <f t="shared" si="705"/>
        <v>342.5</v>
      </c>
      <c r="AB1629" s="52">
        <f>IFERROR(INDEX('Aub Demand'!L:L,MATCH($O1629,'Aub Demand'!$A:$A,0)),"")</f>
        <v>200</v>
      </c>
      <c r="AC1629" s="52">
        <f>IFERROR(IF(O1629="","",SUMIFS('CPL Mats'!F:F,'CPL Mats'!Q:Q,AR1629,'CPL Mats'!S:S,AS1629)),"")</f>
        <v>0</v>
      </c>
      <c r="AF1629" s="25">
        <f>IF(SUMIFS('Supp Consol'!S:S,'Supp Consol'!Y:Y,"Releasable",'Supp Consol'!A:A,O1629)=0,"",SUMIFS('Supp Consol'!S:S,'Supp Consol'!Y:Y,"Releasable",'Supp Consol'!A:A,O1629))</f>
        <v>2528</v>
      </c>
      <c r="AG1629" s="25">
        <f>IFERROR(INDEX('Hun Demand'!Q:Q,MATCH(O1629,'Hun Demand'!A:A,0)),"")</f>
        <v>1252</v>
      </c>
      <c r="AH1629" s="25">
        <f>IFERROR(INDEX('Hun Demand'!H:H,MATCH($O1629,'Hun Demand'!$A:$A,0)),"")</f>
        <v>342</v>
      </c>
      <c r="AI1629" s="25" t="str">
        <f>IF(SUMIFS('Supp Consol'!AA:AA,'Supp Consol'!Z:Z,"Expires this month",'Supp Consol'!A:A,O1629)=0,"",SUMIFS('Supp Consol'!AA:AA,'Supp Consol'!Z:Z,"Expires this month",'Supp Consol'!A:A,O1629))</f>
        <v/>
      </c>
      <c r="AJ1629" s="25" t="str">
        <f>IF(SUMIFS('Supp Consol'!AA:AA,'Supp Consol'!Z:Z,"Expired Previous Months",'Supp Consol'!A:A,O1629)=0,"",SUMIFS('Supp Consol'!AA:AA,'Supp Consol'!Z:Z,"Expired Previous Months",'Supp Consol'!A:A,O1629))</f>
        <v/>
      </c>
      <c r="AK1629" s="25" t="str">
        <f>IFERROR(INDEX('Hun Release Current'!B:B,MATCH(O1629,'Hun Release Current'!A:A,0)),"")</f>
        <v/>
      </c>
      <c r="AL1629" s="25" t="str">
        <f>IF(SUMIF('Prev Aub'!A:A,O1629,'Prev Aub'!B:B)=0,"",SUMIF('Prev Aub'!A:A,O1629,'Prev Aub'!B:B))</f>
        <v/>
      </c>
      <c r="AN1629" s="25" t="s">
        <v>3790</v>
      </c>
      <c r="AO1629" s="25" t="s">
        <v>3790</v>
      </c>
      <c r="AP1629" s="25">
        <f t="shared" si="706"/>
        <v>0</v>
      </c>
      <c r="AQ1629" s="151" t="str">
        <f>IF(SUMIFS('Supp Consol'!S:S,'Supp Consol'!A:A,O1629,'Supp Consol'!I:I,"PENDING")=0,"",SUMIFS('Supp Consol'!S:S,'Supp Consol'!A:A,O1629,'Supp Consol'!I:I,"PENDING"))</f>
        <v/>
      </c>
      <c r="AR1629" s="27" t="str">
        <f t="shared" si="707"/>
        <v>WX421</v>
      </c>
      <c r="AS1629" s="27" t="str">
        <f t="shared" si="708"/>
        <v>62</v>
      </c>
      <c r="AT1629" s="27" t="str">
        <f t="shared" si="709"/>
        <v/>
      </c>
      <c r="AU1629" s="27" t="str">
        <f t="shared" si="710"/>
        <v/>
      </c>
      <c r="AV1629" s="27" t="str">
        <f t="shared" si="711"/>
        <v/>
      </c>
      <c r="AW1629" s="27" t="str">
        <f t="shared" si="712"/>
        <v/>
      </c>
      <c r="AX1629" s="27" t="str">
        <f t="shared" si="713"/>
        <v>WX421</v>
      </c>
      <c r="AY1629" s="27" t="str">
        <f t="shared" si="714"/>
        <v>WX421</v>
      </c>
      <c r="AZ1629" s="27" t="str">
        <f t="shared" si="715"/>
        <v>Supp</v>
      </c>
      <c r="BA1629" s="27" t="str">
        <f t="shared" si="716"/>
        <v>Hun</v>
      </c>
      <c r="BB1629" s="27" t="str">
        <f t="shared" si="717"/>
        <v/>
      </c>
      <c r="BC1629" s="27" t="str">
        <f t="shared" si="718"/>
        <v/>
      </c>
      <c r="BD1629" s="27" t="str">
        <f t="shared" si="719"/>
        <v/>
      </c>
      <c r="BE1629" s="27" t="str">
        <f t="shared" si="720"/>
        <v/>
      </c>
      <c r="BF1629" s="27" t="str">
        <f t="shared" si="721"/>
        <v/>
      </c>
      <c r="BG1629" s="27" t="str">
        <f t="shared" si="722"/>
        <v/>
      </c>
      <c r="BH1629" s="27" t="str">
        <f t="shared" si="723"/>
        <v/>
      </c>
      <c r="BI1629" s="27" t="str">
        <f t="shared" si="724"/>
        <v/>
      </c>
      <c r="BJ1629" s="27" t="str">
        <f t="shared" si="725"/>
        <v>Supp or Hun</v>
      </c>
      <c r="BK1629" s="27" t="str">
        <f t="shared" si="726"/>
        <v/>
      </c>
      <c r="BL1629" s="27" t="str">
        <f t="shared" si="727"/>
        <v/>
      </c>
      <c r="BM1629" s="21" t="s">
        <v>5581</v>
      </c>
    </row>
    <row r="1630" spans="1:65" ht="15">
      <c r="A1630" s="25">
        <f>IFERROR(INDEX('Hun Demand'!W:W,MATCH(O1630,'Hun Demand'!A:A,0)),"")</f>
        <v>0</v>
      </c>
      <c r="B1630" s="25">
        <f>IFERROR(INDEX('Hun Demand'!V:V,MATCH(O1630,'Hun Demand'!A:A,0)),"")</f>
        <v>166</v>
      </c>
      <c r="C1630" s="25">
        <f>IFERROR(INDEX('Hun Demand'!U:U,MATCH(O1630,'Hun Demand'!A:A,0)),"")</f>
        <v>0</v>
      </c>
      <c r="D1630" s="25">
        <f>IFERROR(INDEX('Hun Demand'!T:T,MATCH(O1630,'Hun Demand'!A:A,0)),"")</f>
        <v>0</v>
      </c>
      <c r="E1630" s="25">
        <f>IFERROR(INDEX('Hun Demand'!S:S,MATCH(O1630,'Hun Demand'!A:A,0)),"")</f>
        <v>0</v>
      </c>
      <c r="F1630" s="25">
        <f>IFERROR(INDEX('Hun Demand'!R:R,MATCH(O1630,'Hun Demand'!A:A,0)),"")</f>
        <v>0</v>
      </c>
      <c r="G1630" s="25">
        <f>IFERROR(INDEX('Aub Demand'!W:W,MATCH(O1630,'Aub Demand'!A:A,0)),"")</f>
        <v>406</v>
      </c>
      <c r="H1630" s="25">
        <f>IFERROR(INDEX('Aub Demand'!V:V,MATCH(O1630,'Aub Demand'!A:A,0)),"")</f>
        <v>114</v>
      </c>
      <c r="I1630" s="25">
        <f>IFERROR(INDEX('Aub Demand'!U:U,MATCH(O1630,'Aub Demand'!A:A,0)),"")</f>
        <v>0</v>
      </c>
      <c r="J1630" s="25">
        <f>IFERROR(INDEX('Aub Demand'!T:T,MATCH(O1630,'Aub Demand'!A:A,0)),"")</f>
        <v>0</v>
      </c>
      <c r="K1630" s="25">
        <f>IFERROR(INDEX('Aub Demand'!S:S,MATCH(O1630,'Aub Demand'!A:A,0)),"")</f>
        <v>0</v>
      </c>
      <c r="L1630" s="25">
        <f>IFERROR(INDEX('Aub Demand'!R:R,MATCH(O1630,'Aub Demand'!A:A,0)),"")</f>
        <v>0</v>
      </c>
      <c r="O1630" s="27" t="s">
        <v>1972</v>
      </c>
      <c r="P1630" s="27" t="str">
        <f>IFERROR(INDEX('Aub Demand'!B:B,MATCH($O1630,'Aub Demand'!$A:$A,0)),"")</f>
        <v>BLACK FOREST CAKE</v>
      </c>
      <c r="Q1630" s="27" t="str">
        <f>IFERROR(INDEX('Aub Demand'!C:C,MATCH($O1630,'Aub Demand'!$A:$A,0)),"")</f>
        <v>AHLST</v>
      </c>
      <c r="R1630" s="52">
        <f>IFERROR(IF(AR1631=AR1630,INDEX('Aub Demand'!K:K,MATCH($O1630,'Aub Demand'!$A:$A,0))-IF(AN1630="",0,AN1630)+AP1631,INDEX('Aub Demand'!K:K,MATCH($O1630,'Aub Demand'!$A:$A,0))-IF(AN1630="",0,AN1630)),"")</f>
        <v>389</v>
      </c>
      <c r="S1630" s="53" t="str">
        <f t="shared" si="700"/>
        <v>n/a</v>
      </c>
      <c r="T1630" s="52" t="str">
        <f t="shared" si="701"/>
        <v/>
      </c>
      <c r="U1630" s="52">
        <f>IFERROR(IF(AR1631=AR1630,INDEX('Aub Demand'!Q:Q,MATCH($O1630,'Aub Demand'!$A:$A,0))-IF(AN1630="",0,AN1630)+AP1631,INDEX('Aub Demand'!Q:Q,MATCH($O1630,'Aub Demand'!$A:$A,0))-IF(AN1630="",0,AN1630)),"")</f>
        <v>389</v>
      </c>
      <c r="V1630" s="53" t="str">
        <f t="shared" si="702"/>
        <v>n/a</v>
      </c>
      <c r="W1630" s="52" t="str">
        <f t="shared" si="703"/>
        <v/>
      </c>
      <c r="X1630" s="52">
        <f>IFERROR(IF(AND(AR1631=AR1630,AM1630&lt;&gt;""),INDEX('Aub Demand'!Q:Q,MATCH($O1630,'Aub Demand'!$A:$A,0))-IF(AN1630="",0,AN1630)+AP1631+AD1630+AL1630,IF(AR1631=AR1630,INDEX('Aub Demand'!Q:Q,MATCH($O1630,'Aub Demand'!$A:$A,0))-IF(AN1630="",0,AN1630)+AP1631+AD1630,IF(AM1630&lt;&gt;"",INDEX('Aub Demand'!Q:Q,MATCH($O1630,'Aub Demand'!$A:$A,0))-IF(AN1630="",0,AN1630)+AD1630+AL1630,INDEX('Aub Demand'!Q:Q,MATCH($O1630,'Aub Demand'!$A:$A,0))-IF(AN1630="",0,AN1630)+AD1630))),"")</f>
        <v>389</v>
      </c>
      <c r="Y1630" s="53" t="str">
        <f t="shared" si="704"/>
        <v>n/a</v>
      </c>
      <c r="Z1630" s="52">
        <f>IF(L1630="","",INDEX('Aub Demand'!H:H,MATCH($O1630,'Aub Demand'!$A:$A,0)))</f>
        <v>0</v>
      </c>
      <c r="AA1630" s="52" t="str">
        <f t="shared" si="705"/>
        <v>-spike-</v>
      </c>
      <c r="AB1630" s="52">
        <f>IFERROR(INDEX('Aub Demand'!L:L,MATCH($O1630,'Aub Demand'!$A:$A,0)),"")</f>
        <v>137</v>
      </c>
      <c r="AC1630" s="52">
        <f>IFERROR(IF(O1630="","",SUMIFS('CPL Mats'!F:F,'CPL Mats'!Q:Q,AR1630,'CPL Mats'!S:S,AS1630)),"")</f>
        <v>762</v>
      </c>
      <c r="AF1630" s="25" t="str">
        <f>IF(SUMIFS('Supp Consol'!S:S,'Supp Consol'!Y:Y,"Releasable",'Supp Consol'!A:A,O1630)=0,"",SUMIFS('Supp Consol'!S:S,'Supp Consol'!Y:Y,"Releasable",'Supp Consol'!A:A,O1630))</f>
        <v/>
      </c>
      <c r="AG1630" s="25">
        <f>IFERROR(INDEX('Hun Demand'!Q:Q,MATCH(O1630,'Hun Demand'!A:A,0)),"")</f>
        <v>104</v>
      </c>
      <c r="AH1630" s="25">
        <f>IFERROR(INDEX('Hun Demand'!H:H,MATCH($O1630,'Hun Demand'!$A:$A,0)),"")</f>
        <v>0</v>
      </c>
      <c r="AI1630" s="25" t="str">
        <f>IF(SUMIFS('Supp Consol'!AA:AA,'Supp Consol'!Z:Z,"Expires this month",'Supp Consol'!A:A,O1630)=0,"",SUMIFS('Supp Consol'!AA:AA,'Supp Consol'!Z:Z,"Expires this month",'Supp Consol'!A:A,O1630))</f>
        <v/>
      </c>
      <c r="AJ1630" s="25" t="str">
        <f>IF(SUMIFS('Supp Consol'!AA:AA,'Supp Consol'!Z:Z,"Expired Previous Months",'Supp Consol'!A:A,O1630)=0,"",SUMIFS('Supp Consol'!AA:AA,'Supp Consol'!Z:Z,"Expired Previous Months",'Supp Consol'!A:A,O1630))</f>
        <v/>
      </c>
      <c r="AK1630" s="25" t="str">
        <f>IFERROR(INDEX('Hun Release Current'!B:B,MATCH(O1630,'Hun Release Current'!A:A,0)),"")</f>
        <v/>
      </c>
      <c r="AL1630" s="25" t="str">
        <f>IF(SUMIF('Prev Aub'!A:A,O1630,'Prev Aub'!B:B)=0,"",SUMIF('Prev Aub'!A:A,O1630,'Prev Aub'!B:B))</f>
        <v/>
      </c>
      <c r="AN1630" s="25" t="s">
        <v>3790</v>
      </c>
      <c r="AO1630" s="25" t="s">
        <v>3790</v>
      </c>
      <c r="AP1630" s="25">
        <f t="shared" si="706"/>
        <v>0</v>
      </c>
      <c r="AQ1630" s="151" t="str">
        <f>IF(SUMIFS('Supp Consol'!S:S,'Supp Consol'!A:A,O1630,'Supp Consol'!I:I,"PENDING")=0,"",SUMIFS('Supp Consol'!S:S,'Supp Consol'!A:A,O1630,'Supp Consol'!I:I,"PENDING"))</f>
        <v/>
      </c>
      <c r="AR1630" s="27" t="str">
        <f t="shared" si="707"/>
        <v>WX440</v>
      </c>
      <c r="AS1630" s="27" t="str">
        <f t="shared" si="708"/>
        <v>50</v>
      </c>
      <c r="AT1630" s="27" t="str">
        <f t="shared" si="709"/>
        <v/>
      </c>
      <c r="AU1630" s="27" t="str">
        <f t="shared" si="710"/>
        <v/>
      </c>
      <c r="AV1630" s="27" t="str">
        <f t="shared" si="711"/>
        <v/>
      </c>
      <c r="AW1630" s="27" t="str">
        <f t="shared" si="712"/>
        <v/>
      </c>
      <c r="AX1630" s="27" t="str">
        <f t="shared" si="713"/>
        <v/>
      </c>
      <c r="AY1630" s="27" t="str">
        <f t="shared" si="714"/>
        <v>WX440</v>
      </c>
      <c r="AZ1630" s="27" t="str">
        <f t="shared" si="715"/>
        <v>Supp</v>
      </c>
      <c r="BA1630" s="27" t="str">
        <f t="shared" si="716"/>
        <v>Hun</v>
      </c>
      <c r="BB1630" s="27" t="str">
        <f t="shared" si="717"/>
        <v/>
      </c>
      <c r="BC1630" s="27" t="str">
        <f t="shared" si="718"/>
        <v/>
      </c>
      <c r="BD1630" s="27" t="str">
        <f t="shared" si="719"/>
        <v/>
      </c>
      <c r="BE1630" s="27" t="str">
        <f t="shared" si="720"/>
        <v/>
      </c>
      <c r="BF1630" s="27" t="str">
        <f t="shared" si="721"/>
        <v/>
      </c>
      <c r="BG1630" s="27" t="str">
        <f t="shared" si="722"/>
        <v/>
      </c>
      <c r="BH1630" s="27" t="str">
        <f t="shared" si="723"/>
        <v/>
      </c>
      <c r="BI1630" s="27" t="str">
        <f t="shared" si="724"/>
        <v/>
      </c>
      <c r="BJ1630" s="27" t="str">
        <f t="shared" si="725"/>
        <v>Supp or Hun</v>
      </c>
      <c r="BK1630" s="27" t="str">
        <f t="shared" si="726"/>
        <v/>
      </c>
      <c r="BL1630" s="27" t="str">
        <f t="shared" si="727"/>
        <v/>
      </c>
      <c r="BM1630" s="21" t="s">
        <v>5581</v>
      </c>
    </row>
    <row r="1631" spans="1:65" ht="15">
      <c r="A1631" s="25">
        <f>IFERROR(INDEX('Hun Demand'!W:W,MATCH(O1631,'Hun Demand'!A:A,0)),"")</f>
        <v>0</v>
      </c>
      <c r="B1631" s="25">
        <f>IFERROR(INDEX('Hun Demand'!V:V,MATCH(O1631,'Hun Demand'!A:A,0)),"")</f>
        <v>279</v>
      </c>
      <c r="C1631" s="25">
        <f>IFERROR(INDEX('Hun Demand'!U:U,MATCH(O1631,'Hun Demand'!A:A,0)),"")</f>
        <v>0</v>
      </c>
      <c r="D1631" s="25">
        <f>IFERROR(INDEX('Hun Demand'!T:T,MATCH(O1631,'Hun Demand'!A:A,0)),"")</f>
        <v>0</v>
      </c>
      <c r="E1631" s="25">
        <f>IFERROR(INDEX('Hun Demand'!S:S,MATCH(O1631,'Hun Demand'!A:A,0)),"")</f>
        <v>0</v>
      </c>
      <c r="F1631" s="25">
        <f>IFERROR(INDEX('Hun Demand'!R:R,MATCH(O1631,'Hun Demand'!A:A,0)),"")</f>
        <v>0</v>
      </c>
      <c r="G1631" s="25">
        <f>IFERROR(INDEX('Aub Demand'!W:W,MATCH(O1631,'Aub Demand'!A:A,0)),"")</f>
        <v>0</v>
      </c>
      <c r="H1631" s="25">
        <f>IFERROR(INDEX('Aub Demand'!V:V,MATCH(O1631,'Aub Demand'!A:A,0)),"")</f>
        <v>526</v>
      </c>
      <c r="I1631" s="25">
        <f>IFERROR(INDEX('Aub Demand'!U:U,MATCH(O1631,'Aub Demand'!A:A,0)),"")</f>
        <v>0</v>
      </c>
      <c r="J1631" s="25">
        <f>IFERROR(INDEX('Aub Demand'!T:T,MATCH(O1631,'Aub Demand'!A:A,0)),"")</f>
        <v>22</v>
      </c>
      <c r="K1631" s="25">
        <f>IFERROR(INDEX('Aub Demand'!S:S,MATCH(O1631,'Aub Demand'!A:A,0)),"")</f>
        <v>26</v>
      </c>
      <c r="L1631" s="25">
        <f>IFERROR(INDEX('Aub Demand'!R:R,MATCH(O1631,'Aub Demand'!A:A,0)),"")</f>
        <v>0</v>
      </c>
      <c r="O1631" s="27" t="s">
        <v>1974</v>
      </c>
      <c r="P1631" s="27" t="str">
        <f>IFERROR(INDEX('Aub Demand'!B:B,MATCH($O1631,'Aub Demand'!$A:$A,0)),"")</f>
        <v>BLACK FOREST CAKE</v>
      </c>
      <c r="Q1631" s="27" t="str">
        <f>IFERROR(INDEX('Aub Demand'!C:C,MATCH($O1631,'Aub Demand'!$A:$A,0)),"")</f>
        <v>AHLST</v>
      </c>
      <c r="R1631" s="52">
        <f>IFERROR(IF(AR1632=AR1631,INDEX('Aub Demand'!K:K,MATCH($O1631,'Aub Demand'!$A:$A,0))-IF(AN1631="",0,AN1631)+AP1632,INDEX('Aub Demand'!K:K,MATCH($O1631,'Aub Demand'!$A:$A,0))-IF(AN1631="",0,AN1631)),"")</f>
        <v>1847</v>
      </c>
      <c r="S1631" s="53">
        <f t="shared" si="700"/>
        <v>494.7</v>
      </c>
      <c r="T1631" s="52" t="str">
        <f t="shared" si="701"/>
        <v/>
      </c>
      <c r="U1631" s="52">
        <f>IFERROR(IF(AR1632=AR1631,INDEX('Aub Demand'!Q:Q,MATCH($O1631,'Aub Demand'!$A:$A,0))-IF(AN1631="",0,AN1631)+AP1632,INDEX('Aub Demand'!Q:Q,MATCH($O1631,'Aub Demand'!$A:$A,0))-IF(AN1631="",0,AN1631)),"")</f>
        <v>1847</v>
      </c>
      <c r="V1631" s="53">
        <f t="shared" si="702"/>
        <v>494.7</v>
      </c>
      <c r="W1631" s="52" t="str">
        <f t="shared" si="703"/>
        <v/>
      </c>
      <c r="X1631" s="52">
        <f>IFERROR(IF(AND(AR1632=AR1631,AM1631&lt;&gt;""),INDEX('Aub Demand'!Q:Q,MATCH($O1631,'Aub Demand'!$A:$A,0))-IF(AN1631="",0,AN1631)+AP1632+AD1631+AL1631,IF(AR1632=AR1631,INDEX('Aub Demand'!Q:Q,MATCH($O1631,'Aub Demand'!$A:$A,0))-IF(AN1631="",0,AN1631)+AP1632+AD1631,IF(AM1631&lt;&gt;"",INDEX('Aub Demand'!Q:Q,MATCH($O1631,'Aub Demand'!$A:$A,0))-IF(AN1631="",0,AN1631)+AD1631+AL1631,INDEX('Aub Demand'!Q:Q,MATCH($O1631,'Aub Demand'!$A:$A,0))-IF(AN1631="",0,AN1631)+AD1631))),"")</f>
        <v>1847</v>
      </c>
      <c r="Y1631" s="53">
        <f t="shared" si="704"/>
        <v>494.7</v>
      </c>
      <c r="Z1631" s="52">
        <f>IF(L1631="","",INDEX('Aub Demand'!H:H,MATCH($O1631,'Aub Demand'!$A:$A,0)))</f>
        <v>16</v>
      </c>
      <c r="AA1631" s="52">
        <f t="shared" si="705"/>
        <v>24</v>
      </c>
      <c r="AB1631" s="52">
        <f>IFERROR(INDEX('Aub Demand'!L:L,MATCH($O1631,'Aub Demand'!$A:$A,0)),"")</f>
        <v>0</v>
      </c>
      <c r="AC1631" s="52">
        <f>IFERROR(IF(O1631="","",SUMIFS('CPL Mats'!F:F,'CPL Mats'!Q:Q,AR1631,'CPL Mats'!S:S,AS1631)),"")</f>
        <v>0</v>
      </c>
      <c r="AF1631" s="25">
        <f>IF(SUMIFS('Supp Consol'!S:S,'Supp Consol'!Y:Y,"Releasable",'Supp Consol'!A:A,O1631)=0,"",SUMIFS('Supp Consol'!S:S,'Supp Consol'!Y:Y,"Releasable",'Supp Consol'!A:A,O1631))</f>
        <v>2511</v>
      </c>
      <c r="AG1631" s="25">
        <f>IFERROR(INDEX('Hun Demand'!Q:Q,MATCH(O1631,'Hun Demand'!A:A,0)),"")</f>
        <v>164</v>
      </c>
      <c r="AH1631" s="25">
        <f>IFERROR(INDEX('Hun Demand'!H:H,MATCH($O1631,'Hun Demand'!$A:$A,0)),"")</f>
        <v>0</v>
      </c>
      <c r="AI1631" s="25" t="str">
        <f>IF(SUMIFS('Supp Consol'!AA:AA,'Supp Consol'!Z:Z,"Expires this month",'Supp Consol'!A:A,O1631)=0,"",SUMIFS('Supp Consol'!AA:AA,'Supp Consol'!Z:Z,"Expires this month",'Supp Consol'!A:A,O1631))</f>
        <v/>
      </c>
      <c r="AJ1631" s="25" t="str">
        <f>IF(SUMIFS('Supp Consol'!AA:AA,'Supp Consol'!Z:Z,"Expired Previous Months",'Supp Consol'!A:A,O1631)=0,"",SUMIFS('Supp Consol'!AA:AA,'Supp Consol'!Z:Z,"Expired Previous Months",'Supp Consol'!A:A,O1631))</f>
        <v/>
      </c>
      <c r="AK1631" s="25" t="str">
        <f>IFERROR(INDEX('Hun Release Current'!B:B,MATCH(O1631,'Hun Release Current'!A:A,0)),"")</f>
        <v/>
      </c>
      <c r="AL1631" s="25" t="str">
        <f>IF(SUMIF('Prev Aub'!A:A,O1631,'Prev Aub'!B:B)=0,"",SUMIF('Prev Aub'!A:A,O1631,'Prev Aub'!B:B))</f>
        <v/>
      </c>
      <c r="AN1631" s="25" t="s">
        <v>3790</v>
      </c>
      <c r="AO1631" s="25" t="s">
        <v>3790</v>
      </c>
      <c r="AP1631" s="25">
        <f t="shared" si="706"/>
        <v>0</v>
      </c>
      <c r="AQ1631" s="151" t="str">
        <f>IF(SUMIFS('Supp Consol'!S:S,'Supp Consol'!A:A,O1631,'Supp Consol'!I:I,"PENDING")=0,"",SUMIFS('Supp Consol'!S:S,'Supp Consol'!A:A,O1631,'Supp Consol'!I:I,"PENDING"))</f>
        <v/>
      </c>
      <c r="AR1631" s="27" t="str">
        <f t="shared" si="707"/>
        <v>WX440</v>
      </c>
      <c r="AS1631" s="27" t="str">
        <f t="shared" si="708"/>
        <v>62</v>
      </c>
      <c r="AT1631" s="27" t="str">
        <f t="shared" si="709"/>
        <v/>
      </c>
      <c r="AU1631" s="27" t="str">
        <f t="shared" si="710"/>
        <v/>
      </c>
      <c r="AV1631" s="27" t="str">
        <f t="shared" si="711"/>
        <v/>
      </c>
      <c r="AW1631" s="27" t="str">
        <f t="shared" si="712"/>
        <v/>
      </c>
      <c r="AX1631" s="27" t="str">
        <f t="shared" si="713"/>
        <v>WX440</v>
      </c>
      <c r="AY1631" s="27" t="str">
        <f t="shared" si="714"/>
        <v>WX440</v>
      </c>
      <c r="AZ1631" s="27" t="str">
        <f t="shared" si="715"/>
        <v>Supp</v>
      </c>
      <c r="BA1631" s="27" t="str">
        <f t="shared" si="716"/>
        <v>Hun</v>
      </c>
      <c r="BB1631" s="27" t="str">
        <f t="shared" si="717"/>
        <v/>
      </c>
      <c r="BC1631" s="27" t="str">
        <f t="shared" si="718"/>
        <v/>
      </c>
      <c r="BD1631" s="27" t="str">
        <f t="shared" si="719"/>
        <v/>
      </c>
      <c r="BE1631" s="27" t="str">
        <f t="shared" si="720"/>
        <v/>
      </c>
      <c r="BF1631" s="27" t="str">
        <f t="shared" si="721"/>
        <v/>
      </c>
      <c r="BG1631" s="27" t="str">
        <f t="shared" si="722"/>
        <v/>
      </c>
      <c r="BH1631" s="27" t="str">
        <f t="shared" si="723"/>
        <v/>
      </c>
      <c r="BI1631" s="27" t="str">
        <f t="shared" si="724"/>
        <v/>
      </c>
      <c r="BJ1631" s="27" t="str">
        <f t="shared" si="725"/>
        <v>Supp or Hun</v>
      </c>
      <c r="BK1631" s="27" t="str">
        <f t="shared" si="726"/>
        <v/>
      </c>
      <c r="BL1631" s="27" t="str">
        <f t="shared" si="727"/>
        <v/>
      </c>
      <c r="BM1631" s="21" t="s">
        <v>5581</v>
      </c>
    </row>
    <row r="1632" spans="1:65" ht="15">
      <c r="A1632" s="25">
        <f>IFERROR(INDEX('Hun Demand'!W:W,MATCH(O1632,'Hun Demand'!A:A,0)),"")</f>
        <v>0</v>
      </c>
      <c r="B1632" s="25">
        <f>IFERROR(INDEX('Hun Demand'!V:V,MATCH(O1632,'Hun Demand'!A:A,0)),"")</f>
        <v>140</v>
      </c>
      <c r="C1632" s="25">
        <f>IFERROR(INDEX('Hun Demand'!U:U,MATCH(O1632,'Hun Demand'!A:A,0)),"")</f>
        <v>0</v>
      </c>
      <c r="D1632" s="25">
        <f>IFERROR(INDEX('Hun Demand'!T:T,MATCH(O1632,'Hun Demand'!A:A,0)),"")</f>
        <v>0</v>
      </c>
      <c r="E1632" s="25">
        <f>IFERROR(INDEX('Hun Demand'!S:S,MATCH(O1632,'Hun Demand'!A:A,0)),"")</f>
        <v>0</v>
      </c>
      <c r="F1632" s="25">
        <f>IFERROR(INDEX('Hun Demand'!R:R,MATCH(O1632,'Hun Demand'!A:A,0)),"")</f>
        <v>0</v>
      </c>
      <c r="G1632" s="25">
        <f>IFERROR(INDEX('Aub Demand'!W:W,MATCH(O1632,'Aub Demand'!A:A,0)),"")</f>
        <v>0</v>
      </c>
      <c r="H1632" s="25">
        <f>IFERROR(INDEX('Aub Demand'!V:V,MATCH(O1632,'Aub Demand'!A:A,0)),"")</f>
        <v>78</v>
      </c>
      <c r="I1632" s="25">
        <f>IFERROR(INDEX('Aub Demand'!U:U,MATCH(O1632,'Aub Demand'!A:A,0)),"")</f>
        <v>127</v>
      </c>
      <c r="J1632" s="25">
        <f>IFERROR(INDEX('Aub Demand'!T:T,MATCH(O1632,'Aub Demand'!A:A,0)),"")</f>
        <v>96</v>
      </c>
      <c r="K1632" s="25">
        <f>IFERROR(INDEX('Aub Demand'!S:S,MATCH(O1632,'Aub Demand'!A:A,0)),"")</f>
        <v>89</v>
      </c>
      <c r="L1632" s="25">
        <f>IFERROR(INDEX('Aub Demand'!R:R,MATCH(O1632,'Aub Demand'!A:A,0)),"")</f>
        <v>95</v>
      </c>
      <c r="O1632" s="27" t="s">
        <v>3165</v>
      </c>
      <c r="P1632" s="27" t="str">
        <f>IFERROR(INDEX('Aub Demand'!B:B,MATCH($O1632,'Aub Demand'!$A:$A,0)),"")</f>
        <v>WHISPERING WIND</v>
      </c>
      <c r="Q1632" s="27" t="str">
        <f>IFERROR(INDEX('Aub Demand'!C:C,MATCH($O1632,'Aub Demand'!$A:$A,0)),"")</f>
        <v>AHLST</v>
      </c>
      <c r="R1632" s="52">
        <f>IFERROR(IF(AR1633=AR1632,INDEX('Aub Demand'!K:K,MATCH($O1632,'Aub Demand'!$A:$A,0))-IF(AN1632="",0,AN1632)+AP1633,INDEX('Aub Demand'!K:K,MATCH($O1632,'Aub Demand'!$A:$A,0))-IF(AN1632="",0,AN1632)),"")</f>
        <v>1232</v>
      </c>
      <c r="S1632" s="53">
        <f t="shared" si="700"/>
        <v>50.8</v>
      </c>
      <c r="T1632" s="52" t="str">
        <f t="shared" si="701"/>
        <v/>
      </c>
      <c r="U1632" s="52">
        <f>IFERROR(IF(AR1633=AR1632,INDEX('Aub Demand'!Q:Q,MATCH($O1632,'Aub Demand'!$A:$A,0))-IF(AN1632="",0,AN1632)+AP1633,INDEX('Aub Demand'!Q:Q,MATCH($O1632,'Aub Demand'!$A:$A,0))-IF(AN1632="",0,AN1632)),"")</f>
        <v>1134</v>
      </c>
      <c r="V1632" s="53">
        <f t="shared" si="702"/>
        <v>46.7</v>
      </c>
      <c r="W1632" s="52" t="str">
        <f t="shared" si="703"/>
        <v/>
      </c>
      <c r="X1632" s="52">
        <f>IFERROR(IF(AND(AR1633=AR1632,AM1632&lt;&gt;""),INDEX('Aub Demand'!Q:Q,MATCH($O1632,'Aub Demand'!$A:$A,0))-IF(AN1632="",0,AN1632)+AP1633+AD1632+AL1632,IF(AR1633=AR1632,INDEX('Aub Demand'!Q:Q,MATCH($O1632,'Aub Demand'!$A:$A,0))-IF(AN1632="",0,AN1632)+AP1633+AD1632,IF(AM1632&lt;&gt;"",INDEX('Aub Demand'!Q:Q,MATCH($O1632,'Aub Demand'!$A:$A,0))-IF(AN1632="",0,AN1632)+AD1632+AL1632,INDEX('Aub Demand'!Q:Q,MATCH($O1632,'Aub Demand'!$A:$A,0))-IF(AN1632="",0,AN1632)+AD1632))),"")</f>
        <v>1134</v>
      </c>
      <c r="Y1632" s="53">
        <f t="shared" si="704"/>
        <v>46.7</v>
      </c>
      <c r="Z1632" s="52">
        <f>IF(L1632="","",INDEX('Aub Demand'!H:H,MATCH($O1632,'Aub Demand'!$A:$A,0)))</f>
        <v>104</v>
      </c>
      <c r="AA1632" s="52">
        <f t="shared" si="705"/>
        <v>111.5</v>
      </c>
      <c r="AB1632" s="52">
        <f>IFERROR(INDEX('Aub Demand'!L:L,MATCH($O1632,'Aub Demand'!$A:$A,0)),"")</f>
        <v>48</v>
      </c>
      <c r="AC1632" s="52">
        <f>IFERROR(IF(O1632="","",SUMIFS('CPL Mats'!F:F,'CPL Mats'!Q:Q,AR1632,'CPL Mats'!S:S,AS1632)),"")</f>
        <v>0</v>
      </c>
      <c r="AF1632" s="25">
        <f>IF(SUMIFS('Supp Consol'!S:S,'Supp Consol'!Y:Y,"Releasable",'Supp Consol'!A:A,O1632)=0,"",SUMIFS('Supp Consol'!S:S,'Supp Consol'!Y:Y,"Releasable",'Supp Consol'!A:A,O1632))</f>
        <v>3937</v>
      </c>
      <c r="AG1632" s="25">
        <f>IFERROR(INDEX('Hun Demand'!Q:Q,MATCH(O1632,'Hun Demand'!A:A,0)),"")</f>
        <v>272</v>
      </c>
      <c r="AH1632" s="25">
        <f>IFERROR(INDEX('Hun Demand'!H:H,MATCH($O1632,'Hun Demand'!$A:$A,0)),"")</f>
        <v>0</v>
      </c>
      <c r="AI1632" s="25">
        <f>IF(SUMIFS('Supp Consol'!AA:AA,'Supp Consol'!Z:Z,"Expires this month",'Supp Consol'!A:A,O1632)=0,"",SUMIFS('Supp Consol'!AA:AA,'Supp Consol'!Z:Z,"Expires this month",'Supp Consol'!A:A,O1632))</f>
        <v>2200</v>
      </c>
      <c r="AJ1632" s="25" t="str">
        <f>IF(SUMIFS('Supp Consol'!AA:AA,'Supp Consol'!Z:Z,"Expired Previous Months",'Supp Consol'!A:A,O1632)=0,"",SUMIFS('Supp Consol'!AA:AA,'Supp Consol'!Z:Z,"Expired Previous Months",'Supp Consol'!A:A,O1632))</f>
        <v/>
      </c>
      <c r="AK1632" s="25" t="str">
        <f>IFERROR(INDEX('Hun Release Current'!B:B,MATCH(O1632,'Hun Release Current'!A:A,0)),"")</f>
        <v/>
      </c>
      <c r="AL1632" s="25" t="str">
        <f>IF(SUMIF('Prev Aub'!A:A,O1632,'Prev Aub'!B:B)=0,"",SUMIF('Prev Aub'!A:A,O1632,'Prev Aub'!B:B))</f>
        <v/>
      </c>
      <c r="AN1632" s="25" t="s">
        <v>3790</v>
      </c>
      <c r="AO1632" s="25" t="s">
        <v>3790</v>
      </c>
      <c r="AP1632" s="25">
        <f t="shared" si="706"/>
        <v>0</v>
      </c>
      <c r="AQ1632" s="151" t="str">
        <f>IF(SUMIFS('Supp Consol'!S:S,'Supp Consol'!A:A,O1632,'Supp Consol'!I:I,"PENDING")=0,"",SUMIFS('Supp Consol'!S:S,'Supp Consol'!A:A,O1632,'Supp Consol'!I:I,"PENDING"))</f>
        <v/>
      </c>
      <c r="AR1632" s="27" t="str">
        <f t="shared" si="707"/>
        <v>WX460</v>
      </c>
      <c r="AS1632" s="27" t="str">
        <f t="shared" si="708"/>
        <v>50</v>
      </c>
      <c r="AT1632" s="27" t="str">
        <f t="shared" si="709"/>
        <v/>
      </c>
      <c r="AU1632" s="27" t="str">
        <f t="shared" si="710"/>
        <v/>
      </c>
      <c r="AV1632" s="27" t="str">
        <f t="shared" si="711"/>
        <v/>
      </c>
      <c r="AW1632" s="27" t="str">
        <f t="shared" si="712"/>
        <v>WX460</v>
      </c>
      <c r="AX1632" s="27" t="str">
        <f t="shared" si="713"/>
        <v>WX460</v>
      </c>
      <c r="AY1632" s="27" t="str">
        <f t="shared" si="714"/>
        <v>WX460</v>
      </c>
      <c r="AZ1632" s="27" t="str">
        <f t="shared" si="715"/>
        <v>Supp</v>
      </c>
      <c r="BA1632" s="27" t="str">
        <f t="shared" si="716"/>
        <v>Hun</v>
      </c>
      <c r="BB1632" s="27" t="str">
        <f t="shared" si="717"/>
        <v/>
      </c>
      <c r="BC1632" s="27" t="str">
        <f t="shared" si="718"/>
        <v/>
      </c>
      <c r="BD1632" s="27" t="str">
        <f t="shared" si="719"/>
        <v/>
      </c>
      <c r="BE1632" s="27" t="str">
        <f t="shared" si="720"/>
        <v>Exp</v>
      </c>
      <c r="BF1632" s="27" t="str">
        <f t="shared" si="721"/>
        <v/>
      </c>
      <c r="BG1632" s="27" t="str">
        <f t="shared" si="722"/>
        <v>S+NorE</v>
      </c>
      <c r="BH1632" s="27" t="str">
        <f t="shared" si="723"/>
        <v/>
      </c>
      <c r="BI1632" s="27" t="str">
        <f t="shared" si="724"/>
        <v/>
      </c>
      <c r="BJ1632" s="27" t="str">
        <f t="shared" si="725"/>
        <v>Supp or Hun</v>
      </c>
      <c r="BK1632" s="27" t="str">
        <f t="shared" si="726"/>
        <v/>
      </c>
      <c r="BL1632" s="27" t="str">
        <f t="shared" si="727"/>
        <v>SorHandNandE</v>
      </c>
      <c r="BM1632" s="21" t="s">
        <v>5581</v>
      </c>
    </row>
    <row r="1633" spans="1:65" ht="15">
      <c r="A1633" s="25" t="str">
        <f>IFERROR(INDEX('Hun Demand'!W:W,MATCH(O1633,'Hun Demand'!A:A,0)),"")</f>
        <v/>
      </c>
      <c r="B1633" s="25" t="str">
        <f>IFERROR(INDEX('Hun Demand'!V:V,MATCH(O1633,'Hun Demand'!A:A,0)),"")</f>
        <v/>
      </c>
      <c r="C1633" s="25" t="str">
        <f>IFERROR(INDEX('Hun Demand'!U:U,MATCH(O1633,'Hun Demand'!A:A,0)),"")</f>
        <v/>
      </c>
      <c r="D1633" s="25" t="str">
        <f>IFERROR(INDEX('Hun Demand'!T:T,MATCH(O1633,'Hun Demand'!A:A,0)),"")</f>
        <v/>
      </c>
      <c r="E1633" s="25" t="str">
        <f>IFERROR(INDEX('Hun Demand'!S:S,MATCH(O1633,'Hun Demand'!A:A,0)),"")</f>
        <v/>
      </c>
      <c r="F1633" s="25" t="str">
        <f>IFERROR(INDEX('Hun Demand'!R:R,MATCH(O1633,'Hun Demand'!A:A,0)),"")</f>
        <v/>
      </c>
      <c r="G1633" s="25">
        <f>IFERROR(INDEX('Aub Demand'!W:W,MATCH(O1633,'Aub Demand'!A:A,0)),"")</f>
        <v>1</v>
      </c>
      <c r="H1633" s="25">
        <f>IFERROR(INDEX('Aub Demand'!V:V,MATCH(O1633,'Aub Demand'!A:A,0)),"")</f>
        <v>0</v>
      </c>
      <c r="I1633" s="25">
        <f>IFERROR(INDEX('Aub Demand'!U:U,MATCH(O1633,'Aub Demand'!A:A,0)),"")</f>
        <v>62</v>
      </c>
      <c r="J1633" s="25">
        <f>IFERROR(INDEX('Aub Demand'!T:T,MATCH(O1633,'Aub Demand'!A:A,0)),"")</f>
        <v>0</v>
      </c>
      <c r="K1633" s="25">
        <f>IFERROR(INDEX('Aub Demand'!S:S,MATCH(O1633,'Aub Demand'!A:A,0)),"")</f>
        <v>0</v>
      </c>
      <c r="L1633" s="25">
        <f>IFERROR(INDEX('Aub Demand'!R:R,MATCH(O1633,'Aub Demand'!A:A,0)),"")</f>
        <v>0</v>
      </c>
      <c r="O1633" s="27" t="s">
        <v>3167</v>
      </c>
      <c r="P1633" s="27" t="str">
        <f>IFERROR(INDEX('Aub Demand'!B:B,MATCH($O1633,'Aub Demand'!$A:$A,0)),"")</f>
        <v>WHISPERING WIND</v>
      </c>
      <c r="Q1633" s="27" t="str">
        <f>IFERROR(INDEX('Aub Demand'!C:C,MATCH($O1633,'Aub Demand'!$A:$A,0)),"")</f>
        <v>AHLST</v>
      </c>
      <c r="R1633" s="52">
        <f>IFERROR(IF(AR1634=AR1633,INDEX('Aub Demand'!K:K,MATCH($O1633,'Aub Demand'!$A:$A,0))-IF(AN1633="",0,AN1633)+AP1634,INDEX('Aub Demand'!K:K,MATCH($O1633,'Aub Demand'!$A:$A,0))-IF(AN1633="",0,AN1633)),"")</f>
        <v>562</v>
      </c>
      <c r="S1633" s="53">
        <f t="shared" si="700"/>
        <v>114.7</v>
      </c>
      <c r="T1633" s="52" t="str">
        <f t="shared" si="701"/>
        <v/>
      </c>
      <c r="U1633" s="52">
        <f>IFERROR(IF(AR1634=AR1633,INDEX('Aub Demand'!Q:Q,MATCH($O1633,'Aub Demand'!$A:$A,0))-IF(AN1633="",0,AN1633)+AP1634,INDEX('Aub Demand'!Q:Q,MATCH($O1633,'Aub Demand'!$A:$A,0))-IF(AN1633="",0,AN1633)),"")</f>
        <v>562</v>
      </c>
      <c r="V1633" s="53">
        <f t="shared" si="702"/>
        <v>114.7</v>
      </c>
      <c r="W1633" s="52" t="str">
        <f t="shared" si="703"/>
        <v/>
      </c>
      <c r="X1633" s="52">
        <f>IFERROR(IF(AND(AR1634=AR1633,AM1633&lt;&gt;""),INDEX('Aub Demand'!Q:Q,MATCH($O1633,'Aub Demand'!$A:$A,0))-IF(AN1633="",0,AN1633)+AP1634+AD1633+AL1633,IF(AR1634=AR1633,INDEX('Aub Demand'!Q:Q,MATCH($O1633,'Aub Demand'!$A:$A,0))-IF(AN1633="",0,AN1633)+AP1634+AD1633,IF(AM1633&lt;&gt;"",INDEX('Aub Demand'!Q:Q,MATCH($O1633,'Aub Demand'!$A:$A,0))-IF(AN1633="",0,AN1633)+AD1633+AL1633,INDEX('Aub Demand'!Q:Q,MATCH($O1633,'Aub Demand'!$A:$A,0))-IF(AN1633="",0,AN1633)+AD1633))),"")</f>
        <v>562</v>
      </c>
      <c r="Y1633" s="53">
        <f t="shared" si="704"/>
        <v>114.7</v>
      </c>
      <c r="Z1633" s="52">
        <f>IF(L1633="","",INDEX('Aub Demand'!H:H,MATCH($O1633,'Aub Demand'!$A:$A,0)))</f>
        <v>21</v>
      </c>
      <c r="AA1633" s="52" t="str">
        <f t="shared" si="705"/>
        <v>-spike-</v>
      </c>
      <c r="AB1633" s="52">
        <f>IFERROR(INDEX('Aub Demand'!L:L,MATCH($O1633,'Aub Demand'!$A:$A,0)),"")</f>
        <v>0</v>
      </c>
      <c r="AC1633" s="52">
        <f>IFERROR(IF(O1633="","",SUMIFS('CPL Mats'!F:F,'CPL Mats'!Q:Q,AR1633,'CPL Mats'!S:S,AS1633)),"")</f>
        <v>0</v>
      </c>
      <c r="AF1633" s="25">
        <f>IF(SUMIFS('Supp Consol'!S:S,'Supp Consol'!Y:Y,"Releasable",'Supp Consol'!A:A,O1633)=0,"",SUMIFS('Supp Consol'!S:S,'Supp Consol'!Y:Y,"Releasable",'Supp Consol'!A:A,O1633))</f>
        <v>448</v>
      </c>
      <c r="AG1633" s="25" t="str">
        <f>IFERROR(INDEX('Hun Demand'!Q:Q,MATCH(O1633,'Hun Demand'!A:A,0)),"")</f>
        <v/>
      </c>
      <c r="AH1633" s="25" t="str">
        <f>IFERROR(INDEX('Hun Demand'!H:H,MATCH($O1633,'Hun Demand'!$A:$A,0)),"")</f>
        <v/>
      </c>
      <c r="AI1633" s="25" t="str">
        <f>IF(SUMIFS('Supp Consol'!AA:AA,'Supp Consol'!Z:Z,"Expires this month",'Supp Consol'!A:A,O1633)=0,"",SUMIFS('Supp Consol'!AA:AA,'Supp Consol'!Z:Z,"Expires this month",'Supp Consol'!A:A,O1633))</f>
        <v/>
      </c>
      <c r="AJ1633" s="25" t="str">
        <f>IF(SUMIFS('Supp Consol'!AA:AA,'Supp Consol'!Z:Z,"Expired Previous Months",'Supp Consol'!A:A,O1633)=0,"",SUMIFS('Supp Consol'!AA:AA,'Supp Consol'!Z:Z,"Expired Previous Months",'Supp Consol'!A:A,O1633))</f>
        <v/>
      </c>
      <c r="AK1633" s="25" t="str">
        <f>IFERROR(INDEX('Hun Release Current'!B:B,MATCH(O1633,'Hun Release Current'!A:A,0)),"")</f>
        <v/>
      </c>
      <c r="AL1633" s="25" t="str">
        <f>IF(SUMIF('Prev Aub'!A:A,O1633,'Prev Aub'!B:B)=0,"",SUMIF('Prev Aub'!A:A,O1633,'Prev Aub'!B:B))</f>
        <v/>
      </c>
      <c r="AN1633" s="25" t="s">
        <v>3790</v>
      </c>
      <c r="AO1633" s="25" t="s">
        <v>3790</v>
      </c>
      <c r="AP1633" s="25">
        <f t="shared" si="706"/>
        <v>0</v>
      </c>
      <c r="AQ1633" s="151" t="str">
        <f>IF(SUMIFS('Supp Consol'!S:S,'Supp Consol'!A:A,O1633,'Supp Consol'!I:I,"PENDING")=0,"",SUMIFS('Supp Consol'!S:S,'Supp Consol'!A:A,O1633,'Supp Consol'!I:I,"PENDING"))</f>
        <v/>
      </c>
      <c r="AR1633" s="27" t="str">
        <f t="shared" si="707"/>
        <v>WX460</v>
      </c>
      <c r="AS1633" s="27" t="str">
        <f t="shared" si="708"/>
        <v>62</v>
      </c>
      <c r="AT1633" s="27" t="str">
        <f t="shared" si="709"/>
        <v/>
      </c>
      <c r="AU1633" s="27" t="str">
        <f t="shared" si="710"/>
        <v/>
      </c>
      <c r="AV1633" s="27" t="str">
        <f t="shared" si="711"/>
        <v/>
      </c>
      <c r="AW1633" s="27" t="str">
        <f t="shared" si="712"/>
        <v/>
      </c>
      <c r="AX1633" s="27" t="str">
        <f t="shared" si="713"/>
        <v>WX460</v>
      </c>
      <c r="AY1633" s="27" t="str">
        <f t="shared" si="714"/>
        <v/>
      </c>
      <c r="AZ1633" s="27" t="str">
        <f t="shared" si="715"/>
        <v>Supp</v>
      </c>
      <c r="BA1633" s="27" t="str">
        <f t="shared" si="716"/>
        <v>Hun</v>
      </c>
      <c r="BB1633" s="27" t="str">
        <f t="shared" si="717"/>
        <v/>
      </c>
      <c r="BC1633" s="27" t="str">
        <f t="shared" si="718"/>
        <v/>
      </c>
      <c r="BD1633" s="27" t="str">
        <f t="shared" si="719"/>
        <v/>
      </c>
      <c r="BE1633" s="27" t="str">
        <f t="shared" si="720"/>
        <v>Exp</v>
      </c>
      <c r="BF1633" s="27" t="str">
        <f t="shared" si="721"/>
        <v/>
      </c>
      <c r="BG1633" s="27" t="str">
        <f t="shared" si="722"/>
        <v>S+NorE</v>
      </c>
      <c r="BH1633" s="27" t="str">
        <f t="shared" si="723"/>
        <v/>
      </c>
      <c r="BI1633" s="27" t="str">
        <f t="shared" si="724"/>
        <v/>
      </c>
      <c r="BJ1633" s="27" t="str">
        <f t="shared" si="725"/>
        <v>Supp or Hun</v>
      </c>
      <c r="BK1633" s="27" t="str">
        <f t="shared" si="726"/>
        <v/>
      </c>
      <c r="BL1633" s="27" t="str">
        <f t="shared" si="727"/>
        <v>SorHandNandE</v>
      </c>
      <c r="BM1633" s="21" t="s">
        <v>5581</v>
      </c>
    </row>
    <row r="1634" spans="1:65" ht="15">
      <c r="A1634" s="25">
        <f>IFERROR(INDEX('Hun Demand'!W:W,MATCH(O1634,'Hun Demand'!A:A,0)),"")</f>
        <v>0</v>
      </c>
      <c r="B1634" s="25">
        <f>IFERROR(INDEX('Hun Demand'!V:V,MATCH(O1634,'Hun Demand'!A:A,0)),"")</f>
        <v>0</v>
      </c>
      <c r="C1634" s="25">
        <f>IFERROR(INDEX('Hun Demand'!U:U,MATCH(O1634,'Hun Demand'!A:A,0)),"")</f>
        <v>0</v>
      </c>
      <c r="D1634" s="25">
        <f>IFERROR(INDEX('Hun Demand'!T:T,MATCH(O1634,'Hun Demand'!A:A,0)),"")</f>
        <v>0</v>
      </c>
      <c r="E1634" s="25">
        <f>IFERROR(INDEX('Hun Demand'!S:S,MATCH(O1634,'Hun Demand'!A:A,0)),"")</f>
        <v>0</v>
      </c>
      <c r="F1634" s="25">
        <f>IFERROR(INDEX('Hun Demand'!R:R,MATCH(O1634,'Hun Demand'!A:A,0)),"")</f>
        <v>0</v>
      </c>
      <c r="G1634" s="25">
        <f>IFERROR(INDEX('Aub Demand'!W:W,MATCH(O1634,'Aub Demand'!A:A,0)),"")</f>
        <v>23</v>
      </c>
      <c r="H1634" s="25">
        <f>IFERROR(INDEX('Aub Demand'!V:V,MATCH(O1634,'Aub Demand'!A:A,0)),"")</f>
        <v>505</v>
      </c>
      <c r="I1634" s="25">
        <f>IFERROR(INDEX('Aub Demand'!U:U,MATCH(O1634,'Aub Demand'!A:A,0)),"")</f>
        <v>0</v>
      </c>
      <c r="J1634" s="25">
        <f>IFERROR(INDEX('Aub Demand'!T:T,MATCH(O1634,'Aub Demand'!A:A,0)),"")</f>
        <v>0</v>
      </c>
      <c r="K1634" s="25">
        <f>IFERROR(INDEX('Aub Demand'!S:S,MATCH(O1634,'Aub Demand'!A:A,0)),"")</f>
        <v>0</v>
      </c>
      <c r="L1634" s="25">
        <f>IFERROR(INDEX('Aub Demand'!R:R,MATCH(O1634,'Aub Demand'!A:A,0)),"")</f>
        <v>0</v>
      </c>
      <c r="O1634" s="27" t="s">
        <v>1975</v>
      </c>
      <c r="P1634" s="27" t="str">
        <f>IFERROR(INDEX('Aub Demand'!B:B,MATCH($O1634,'Aub Demand'!$A:$A,0)),"")</f>
        <v>MOCHA ALMOND FUDGE</v>
      </c>
      <c r="Q1634" s="27" t="str">
        <f>IFERROR(INDEX('Aub Demand'!C:C,MATCH($O1634,'Aub Demand'!$A:$A,0)),"")</f>
        <v>AHLST</v>
      </c>
      <c r="R1634" s="52">
        <f>IFERROR(IF(AR1635=AR1634,INDEX('Aub Demand'!K:K,MATCH($O1634,'Aub Demand'!$A:$A,0))-IF(AN1634="",0,AN1634)+AP1635,INDEX('Aub Demand'!K:K,MATCH($O1634,'Aub Demand'!$A:$A,0))-IF(AN1634="",0,AN1634)),"")</f>
        <v>2197</v>
      </c>
      <c r="S1634" s="53" t="str">
        <f t="shared" si="700"/>
        <v>n/a</v>
      </c>
      <c r="T1634" s="52" t="str">
        <f t="shared" si="701"/>
        <v/>
      </c>
      <c r="U1634" s="52">
        <f>IFERROR(IF(AR1635=AR1634,INDEX('Aub Demand'!Q:Q,MATCH($O1634,'Aub Demand'!$A:$A,0))-IF(AN1634="",0,AN1634)+AP1635,INDEX('Aub Demand'!Q:Q,MATCH($O1634,'Aub Demand'!$A:$A,0))-IF(AN1634="",0,AN1634)),"")</f>
        <v>2197</v>
      </c>
      <c r="V1634" s="53" t="str">
        <f t="shared" si="702"/>
        <v>n/a</v>
      </c>
      <c r="W1634" s="52" t="str">
        <f t="shared" si="703"/>
        <v/>
      </c>
      <c r="X1634" s="52">
        <f>IFERROR(IF(AND(AR1635=AR1634,AM1634&lt;&gt;""),INDEX('Aub Demand'!Q:Q,MATCH($O1634,'Aub Demand'!$A:$A,0))-IF(AN1634="",0,AN1634)+AP1635+AD1634+AL1634,IF(AR1635=AR1634,INDEX('Aub Demand'!Q:Q,MATCH($O1634,'Aub Demand'!$A:$A,0))-IF(AN1634="",0,AN1634)+AP1635+AD1634,IF(AM1634&lt;&gt;"",INDEX('Aub Demand'!Q:Q,MATCH($O1634,'Aub Demand'!$A:$A,0))-IF(AN1634="",0,AN1634)+AD1634+AL1634,INDEX('Aub Demand'!Q:Q,MATCH($O1634,'Aub Demand'!$A:$A,0))-IF(AN1634="",0,AN1634)+AD1634))),"")</f>
        <v>2197</v>
      </c>
      <c r="Y1634" s="53" t="str">
        <f t="shared" si="704"/>
        <v>n/a</v>
      </c>
      <c r="Z1634" s="52">
        <f>IF(L1634="","",INDEX('Aub Demand'!H:H,MATCH($O1634,'Aub Demand'!$A:$A,0)))</f>
        <v>0</v>
      </c>
      <c r="AA1634" s="52" t="str">
        <f t="shared" si="705"/>
        <v>-spike-</v>
      </c>
      <c r="AB1634" s="52">
        <f>IFERROR(INDEX('Aub Demand'!L:L,MATCH($O1634,'Aub Demand'!$A:$A,0)),"")</f>
        <v>6</v>
      </c>
      <c r="AC1634" s="52">
        <f>IFERROR(IF(O1634="","",SUMIFS('CPL Mats'!F:F,'CPL Mats'!Q:Q,AR1634,'CPL Mats'!S:S,AS1634)),"")</f>
        <v>0</v>
      </c>
      <c r="AF1634" s="25" t="str">
        <f>IF(SUMIFS('Supp Consol'!S:S,'Supp Consol'!Y:Y,"Releasable",'Supp Consol'!A:A,O1634)=0,"",SUMIFS('Supp Consol'!S:S,'Supp Consol'!Y:Y,"Releasable",'Supp Consol'!A:A,O1634))</f>
        <v/>
      </c>
      <c r="AG1634" s="25">
        <f>IFERROR(INDEX('Hun Demand'!Q:Q,MATCH(O1634,'Hun Demand'!A:A,0)),"")</f>
        <v>45</v>
      </c>
      <c r="AH1634" s="25">
        <f>IFERROR(INDEX('Hun Demand'!H:H,MATCH($O1634,'Hun Demand'!$A:$A,0)),"")</f>
        <v>0</v>
      </c>
      <c r="AI1634" s="25" t="str">
        <f>IF(SUMIFS('Supp Consol'!AA:AA,'Supp Consol'!Z:Z,"Expires this month",'Supp Consol'!A:A,O1634)=0,"",SUMIFS('Supp Consol'!AA:AA,'Supp Consol'!Z:Z,"Expires this month",'Supp Consol'!A:A,O1634))</f>
        <v/>
      </c>
      <c r="AJ1634" s="25" t="str">
        <f>IF(SUMIFS('Supp Consol'!AA:AA,'Supp Consol'!Z:Z,"Expired Previous Months",'Supp Consol'!A:A,O1634)=0,"",SUMIFS('Supp Consol'!AA:AA,'Supp Consol'!Z:Z,"Expired Previous Months",'Supp Consol'!A:A,O1634))</f>
        <v/>
      </c>
      <c r="AK1634" s="25" t="str">
        <f>IFERROR(INDEX('Hun Release Current'!B:B,MATCH(O1634,'Hun Release Current'!A:A,0)),"")</f>
        <v/>
      </c>
      <c r="AL1634" s="25" t="str">
        <f>IF(SUMIF('Prev Aub'!A:A,O1634,'Prev Aub'!B:B)=0,"",SUMIF('Prev Aub'!A:A,O1634,'Prev Aub'!B:B))</f>
        <v/>
      </c>
      <c r="AN1634" s="25" t="s">
        <v>3790</v>
      </c>
      <c r="AO1634" s="25" t="s">
        <v>3790</v>
      </c>
      <c r="AP1634" s="25">
        <f t="shared" si="706"/>
        <v>0</v>
      </c>
      <c r="AQ1634" s="151" t="str">
        <f>IF(SUMIFS('Supp Consol'!S:S,'Supp Consol'!A:A,O1634,'Supp Consol'!I:I,"PENDING")=0,"",SUMIFS('Supp Consol'!S:S,'Supp Consol'!A:A,O1634,'Supp Consol'!I:I,"PENDING"))</f>
        <v/>
      </c>
      <c r="AR1634" s="27" t="str">
        <f t="shared" si="707"/>
        <v>WX600</v>
      </c>
      <c r="AS1634" s="27" t="str">
        <f t="shared" si="708"/>
        <v>50</v>
      </c>
      <c r="AT1634" s="27" t="str">
        <f t="shared" si="709"/>
        <v/>
      </c>
      <c r="AU1634" s="27" t="str">
        <f t="shared" si="710"/>
        <v/>
      </c>
      <c r="AV1634" s="27" t="str">
        <f t="shared" si="711"/>
        <v/>
      </c>
      <c r="AW1634" s="27" t="str">
        <f t="shared" si="712"/>
        <v/>
      </c>
      <c r="AX1634" s="27" t="str">
        <f t="shared" si="713"/>
        <v/>
      </c>
      <c r="AY1634" s="27" t="str">
        <f t="shared" si="714"/>
        <v>WX600</v>
      </c>
      <c r="AZ1634" s="27" t="str">
        <f t="shared" si="715"/>
        <v/>
      </c>
      <c r="BA1634" s="27" t="str">
        <f t="shared" si="716"/>
        <v>Hun</v>
      </c>
      <c r="BB1634" s="27" t="str">
        <f t="shared" si="717"/>
        <v/>
      </c>
      <c r="BC1634" s="27" t="str">
        <f t="shared" si="718"/>
        <v/>
      </c>
      <c r="BD1634" s="27" t="str">
        <f t="shared" si="719"/>
        <v/>
      </c>
      <c r="BE1634" s="27" t="str">
        <f t="shared" si="720"/>
        <v/>
      </c>
      <c r="BF1634" s="27" t="str">
        <f t="shared" si="721"/>
        <v/>
      </c>
      <c r="BG1634" s="27" t="str">
        <f t="shared" si="722"/>
        <v/>
      </c>
      <c r="BH1634" s="27" t="str">
        <f t="shared" si="723"/>
        <v/>
      </c>
      <c r="BI1634" s="27" t="str">
        <f t="shared" si="724"/>
        <v/>
      </c>
      <c r="BJ1634" s="27" t="str">
        <f t="shared" si="725"/>
        <v>Supp or Hun</v>
      </c>
      <c r="BK1634" s="27" t="str">
        <f t="shared" si="726"/>
        <v/>
      </c>
      <c r="BL1634" s="27" t="str">
        <f t="shared" si="727"/>
        <v/>
      </c>
      <c r="BM1634" s="21" t="s">
        <v>5581</v>
      </c>
    </row>
    <row r="1635" spans="1:65" ht="15">
      <c r="A1635" s="25" t="str">
        <f>IFERROR(INDEX('Hun Demand'!W:W,MATCH(O1635,'Hun Demand'!A:A,0)),"")</f>
        <v/>
      </c>
      <c r="B1635" s="25" t="str">
        <f>IFERROR(INDEX('Hun Demand'!V:V,MATCH(O1635,'Hun Demand'!A:A,0)),"")</f>
        <v/>
      </c>
      <c r="C1635" s="25" t="str">
        <f>IFERROR(INDEX('Hun Demand'!U:U,MATCH(O1635,'Hun Demand'!A:A,0)),"")</f>
        <v/>
      </c>
      <c r="D1635" s="25" t="str">
        <f>IFERROR(INDEX('Hun Demand'!T:T,MATCH(O1635,'Hun Demand'!A:A,0)),"")</f>
        <v/>
      </c>
      <c r="E1635" s="25" t="str">
        <f>IFERROR(INDEX('Hun Demand'!S:S,MATCH(O1635,'Hun Demand'!A:A,0)),"")</f>
        <v/>
      </c>
      <c r="F1635" s="25" t="str">
        <f>IFERROR(INDEX('Hun Demand'!R:R,MATCH(O1635,'Hun Demand'!A:A,0)),"")</f>
        <v/>
      </c>
      <c r="G1635" s="25">
        <f>IFERROR(INDEX('Aub Demand'!W:W,MATCH(O1635,'Aub Demand'!A:A,0)),"")</f>
        <v>25</v>
      </c>
      <c r="H1635" s="25">
        <f>IFERROR(INDEX('Aub Demand'!V:V,MATCH(O1635,'Aub Demand'!A:A,0)),"")</f>
        <v>0</v>
      </c>
      <c r="I1635" s="25">
        <f>IFERROR(INDEX('Aub Demand'!U:U,MATCH(O1635,'Aub Demand'!A:A,0)),"")</f>
        <v>0</v>
      </c>
      <c r="J1635" s="25">
        <f>IFERROR(INDEX('Aub Demand'!T:T,MATCH(O1635,'Aub Demand'!A:A,0)),"")</f>
        <v>0</v>
      </c>
      <c r="K1635" s="25">
        <f>IFERROR(INDEX('Aub Demand'!S:S,MATCH(O1635,'Aub Demand'!A:A,0)),"")</f>
        <v>0</v>
      </c>
      <c r="L1635" s="25">
        <f>IFERROR(INDEX('Aub Demand'!R:R,MATCH(O1635,'Aub Demand'!A:A,0)),"")</f>
        <v>0</v>
      </c>
      <c r="O1635" s="27" t="s">
        <v>1978</v>
      </c>
      <c r="P1635" s="27" t="str">
        <f>IFERROR(INDEX('Aub Demand'!B:B,MATCH($O1635,'Aub Demand'!$A:$A,0)),"")</f>
        <v>MOCHA ALMOND FUDGE</v>
      </c>
      <c r="Q1635" s="27" t="str">
        <f>IFERROR(INDEX('Aub Demand'!C:C,MATCH($O1635,'Aub Demand'!$A:$A,0)),"")</f>
        <v>AHLST</v>
      </c>
      <c r="R1635" s="52">
        <f>IFERROR(IF(AR1636=AR1635,INDEX('Aub Demand'!K:K,MATCH($O1635,'Aub Demand'!$A:$A,0))-IF(AN1635="",0,AN1635)+AP1636,INDEX('Aub Demand'!K:K,MATCH($O1635,'Aub Demand'!$A:$A,0))-IF(AN1635="",0,AN1635)),"")</f>
        <v>1264</v>
      </c>
      <c r="S1635" s="53" t="str">
        <f t="shared" si="700"/>
        <v>n/a</v>
      </c>
      <c r="T1635" s="52" t="str">
        <f t="shared" si="701"/>
        <v/>
      </c>
      <c r="U1635" s="52">
        <f>IFERROR(IF(AR1636=AR1635,INDEX('Aub Demand'!Q:Q,MATCH($O1635,'Aub Demand'!$A:$A,0))-IF(AN1635="",0,AN1635)+AP1636,INDEX('Aub Demand'!Q:Q,MATCH($O1635,'Aub Demand'!$A:$A,0))-IF(AN1635="",0,AN1635)),"")</f>
        <v>1264</v>
      </c>
      <c r="V1635" s="53" t="str">
        <f t="shared" si="702"/>
        <v>n/a</v>
      </c>
      <c r="W1635" s="52" t="str">
        <f t="shared" si="703"/>
        <v/>
      </c>
      <c r="X1635" s="52">
        <f>IFERROR(IF(AND(AR1636=AR1635,AM1635&lt;&gt;""),INDEX('Aub Demand'!Q:Q,MATCH($O1635,'Aub Demand'!$A:$A,0))-IF(AN1635="",0,AN1635)+AP1636+AD1635+AL1635,IF(AR1636=AR1635,INDEX('Aub Demand'!Q:Q,MATCH($O1635,'Aub Demand'!$A:$A,0))-IF(AN1635="",0,AN1635)+AP1636+AD1635,IF(AM1635&lt;&gt;"",INDEX('Aub Demand'!Q:Q,MATCH($O1635,'Aub Demand'!$A:$A,0))-IF(AN1635="",0,AN1635)+AD1635+AL1635,INDEX('Aub Demand'!Q:Q,MATCH($O1635,'Aub Demand'!$A:$A,0))-IF(AN1635="",0,AN1635)+AD1635))),"")</f>
        <v>1264</v>
      </c>
      <c r="Y1635" s="53" t="str">
        <f t="shared" si="704"/>
        <v>n/a</v>
      </c>
      <c r="Z1635" s="52">
        <f>IF(L1635="","",INDEX('Aub Demand'!H:H,MATCH($O1635,'Aub Demand'!$A:$A,0)))</f>
        <v>0</v>
      </c>
      <c r="AA1635" s="52" t="str">
        <f t="shared" si="705"/>
        <v>-spike-</v>
      </c>
      <c r="AB1635" s="52">
        <f>IFERROR(INDEX('Aub Demand'!L:L,MATCH($O1635,'Aub Demand'!$A:$A,0)),"")</f>
        <v>4</v>
      </c>
      <c r="AC1635" s="52">
        <f>IFERROR(IF(O1635="","",SUMIFS('CPL Mats'!F:F,'CPL Mats'!Q:Q,AR1635,'CPL Mats'!S:S,AS1635)),"")</f>
        <v>0</v>
      </c>
      <c r="AF1635" s="25" t="str">
        <f>IF(SUMIFS('Supp Consol'!S:S,'Supp Consol'!Y:Y,"Releasable",'Supp Consol'!A:A,O1635)=0,"",SUMIFS('Supp Consol'!S:S,'Supp Consol'!Y:Y,"Releasable",'Supp Consol'!A:A,O1635))</f>
        <v/>
      </c>
      <c r="AG1635" s="25" t="str">
        <f>IFERROR(INDEX('Hun Demand'!Q:Q,MATCH(O1635,'Hun Demand'!A:A,0)),"")</f>
        <v/>
      </c>
      <c r="AH1635" s="25" t="str">
        <f>IFERROR(INDEX('Hun Demand'!H:H,MATCH($O1635,'Hun Demand'!$A:$A,0)),"")</f>
        <v/>
      </c>
      <c r="AI1635" s="25" t="str">
        <f>IF(SUMIFS('Supp Consol'!AA:AA,'Supp Consol'!Z:Z,"Expires this month",'Supp Consol'!A:A,O1635)=0,"",SUMIFS('Supp Consol'!AA:AA,'Supp Consol'!Z:Z,"Expires this month",'Supp Consol'!A:A,O1635))</f>
        <v/>
      </c>
      <c r="AJ1635" s="25" t="str">
        <f>IF(SUMIFS('Supp Consol'!AA:AA,'Supp Consol'!Z:Z,"Expired Previous Months",'Supp Consol'!A:A,O1635)=0,"",SUMIFS('Supp Consol'!AA:AA,'Supp Consol'!Z:Z,"Expired Previous Months",'Supp Consol'!A:A,O1635))</f>
        <v/>
      </c>
      <c r="AK1635" s="25" t="str">
        <f>IFERROR(INDEX('Hun Release Current'!B:B,MATCH(O1635,'Hun Release Current'!A:A,0)),"")</f>
        <v/>
      </c>
      <c r="AL1635" s="25" t="str">
        <f>IF(SUMIF('Prev Aub'!A:A,O1635,'Prev Aub'!B:B)=0,"",SUMIF('Prev Aub'!A:A,O1635,'Prev Aub'!B:B))</f>
        <v/>
      </c>
      <c r="AN1635" s="25" t="s">
        <v>3790</v>
      </c>
      <c r="AO1635" s="25" t="s">
        <v>3790</v>
      </c>
      <c r="AP1635" s="25">
        <f t="shared" si="706"/>
        <v>0</v>
      </c>
      <c r="AQ1635" s="151" t="str">
        <f>IF(SUMIFS('Supp Consol'!S:S,'Supp Consol'!A:A,O1635,'Supp Consol'!I:I,"PENDING")=0,"",SUMIFS('Supp Consol'!S:S,'Supp Consol'!A:A,O1635,'Supp Consol'!I:I,"PENDING"))</f>
        <v/>
      </c>
      <c r="AR1635" s="27" t="str">
        <f t="shared" si="707"/>
        <v>WX600</v>
      </c>
      <c r="AS1635" s="27" t="str">
        <f t="shared" si="708"/>
        <v>62</v>
      </c>
      <c r="AT1635" s="27" t="str">
        <f t="shared" si="709"/>
        <v/>
      </c>
      <c r="AU1635" s="27" t="str">
        <f t="shared" si="710"/>
        <v/>
      </c>
      <c r="AV1635" s="27" t="str">
        <f t="shared" si="711"/>
        <v/>
      </c>
      <c r="AW1635" s="27" t="str">
        <f t="shared" si="712"/>
        <v/>
      </c>
      <c r="AX1635" s="27" t="str">
        <f t="shared" si="713"/>
        <v/>
      </c>
      <c r="AY1635" s="27" t="str">
        <f t="shared" si="714"/>
        <v/>
      </c>
      <c r="AZ1635" s="27" t="str">
        <f t="shared" si="715"/>
        <v/>
      </c>
      <c r="BA1635" s="27" t="str">
        <f t="shared" si="716"/>
        <v>Hun</v>
      </c>
      <c r="BB1635" s="27" t="str">
        <f t="shared" si="717"/>
        <v/>
      </c>
      <c r="BC1635" s="27" t="str">
        <f t="shared" si="718"/>
        <v/>
      </c>
      <c r="BD1635" s="27" t="str">
        <f t="shared" si="719"/>
        <v/>
      </c>
      <c r="BE1635" s="27" t="str">
        <f t="shared" si="720"/>
        <v/>
      </c>
      <c r="BF1635" s="27" t="str">
        <f t="shared" si="721"/>
        <v/>
      </c>
      <c r="BG1635" s="27" t="str">
        <f t="shared" si="722"/>
        <v/>
      </c>
      <c r="BH1635" s="27" t="str">
        <f t="shared" si="723"/>
        <v/>
      </c>
      <c r="BI1635" s="27" t="str">
        <f t="shared" si="724"/>
        <v/>
      </c>
      <c r="BJ1635" s="27" t="str">
        <f t="shared" si="725"/>
        <v>Supp or Hun</v>
      </c>
      <c r="BK1635" s="27" t="str">
        <f t="shared" si="726"/>
        <v/>
      </c>
      <c r="BL1635" s="27" t="str">
        <f t="shared" si="727"/>
        <v/>
      </c>
      <c r="BM1635" s="21" t="s">
        <v>5581</v>
      </c>
    </row>
    <row r="1636" spans="1:65" ht="15">
      <c r="A1636" s="25">
        <f>IFERROR(INDEX('Hun Demand'!W:W,MATCH(O1636,'Hun Demand'!A:A,0)),"")</f>
        <v>0</v>
      </c>
      <c r="B1636" s="25">
        <f>IFERROR(INDEX('Hun Demand'!V:V,MATCH(O1636,'Hun Demand'!A:A,0)),"")</f>
        <v>0</v>
      </c>
      <c r="C1636" s="25">
        <f>IFERROR(INDEX('Hun Demand'!U:U,MATCH(O1636,'Hun Demand'!A:A,0)),"")</f>
        <v>0</v>
      </c>
      <c r="D1636" s="25">
        <f>IFERROR(INDEX('Hun Demand'!T:T,MATCH(O1636,'Hun Demand'!A:A,0)),"")</f>
        <v>0</v>
      </c>
      <c r="E1636" s="25">
        <f>IFERROR(INDEX('Hun Demand'!S:S,MATCH(O1636,'Hun Demand'!A:A,0)),"")</f>
        <v>0</v>
      </c>
      <c r="F1636" s="25">
        <f>IFERROR(INDEX('Hun Demand'!R:R,MATCH(O1636,'Hun Demand'!A:A,0)),"")</f>
        <v>0</v>
      </c>
      <c r="G1636" s="25">
        <f>IFERROR(INDEX('Aub Demand'!W:W,MATCH(O1636,'Aub Demand'!A:A,0)),"")</f>
        <v>0</v>
      </c>
      <c r="H1636" s="25">
        <f>IFERROR(INDEX('Aub Demand'!V:V,MATCH(O1636,'Aub Demand'!A:A,0)),"")</f>
        <v>165</v>
      </c>
      <c r="I1636" s="25">
        <f>IFERROR(INDEX('Aub Demand'!U:U,MATCH(O1636,'Aub Demand'!A:A,0)),"")</f>
        <v>39</v>
      </c>
      <c r="J1636" s="25">
        <f>IFERROR(INDEX('Aub Demand'!T:T,MATCH(O1636,'Aub Demand'!A:A,0)),"")</f>
        <v>44</v>
      </c>
      <c r="K1636" s="25">
        <f>IFERROR(INDEX('Aub Demand'!S:S,MATCH(O1636,'Aub Demand'!A:A,0)),"")</f>
        <v>0</v>
      </c>
      <c r="L1636" s="25">
        <f>IFERROR(INDEX('Aub Demand'!R:R,MATCH(O1636,'Aub Demand'!A:A,0)),"")</f>
        <v>0</v>
      </c>
      <c r="O1636" s="27" t="s">
        <v>1979</v>
      </c>
      <c r="P1636" s="27" t="str">
        <f>IFERROR(INDEX('Aub Demand'!B:B,MATCH($O1636,'Aub Demand'!$A:$A,0)),"")</f>
        <v>LUNAR LEGNO</v>
      </c>
      <c r="Q1636" s="27" t="str">
        <f>IFERROR(INDEX('Aub Demand'!C:C,MATCH($O1636,'Aub Demand'!$A:$A,0)),"")</f>
        <v>CHIYO</v>
      </c>
      <c r="R1636" s="52">
        <f>IFERROR(IF(AR1637=AR1636,INDEX('Aub Demand'!K:K,MATCH($O1636,'Aub Demand'!$A:$A,0))-IF(AN1636="",0,AN1636)+AP1637,INDEX('Aub Demand'!K:K,MATCH($O1636,'Aub Demand'!$A:$A,0))-IF(AN1636="",0,AN1636)),"")</f>
        <v>3424</v>
      </c>
      <c r="S1636" s="53">
        <f t="shared" si="700"/>
        <v>524.1</v>
      </c>
      <c r="T1636" s="52" t="str">
        <f t="shared" si="701"/>
        <v/>
      </c>
      <c r="U1636" s="52">
        <f>IFERROR(IF(AR1637=AR1636,INDEX('Aub Demand'!Q:Q,MATCH($O1636,'Aub Demand'!$A:$A,0))-IF(AN1636="",0,AN1636)+AP1637,INDEX('Aub Demand'!Q:Q,MATCH($O1636,'Aub Demand'!$A:$A,0))-IF(AN1636="",0,AN1636)),"")</f>
        <v>3408</v>
      </c>
      <c r="V1636" s="53">
        <f t="shared" si="702"/>
        <v>521.6</v>
      </c>
      <c r="W1636" s="52" t="str">
        <f t="shared" si="703"/>
        <v/>
      </c>
      <c r="X1636" s="52">
        <f>IFERROR(IF(AND(AR1637=AR1636,AM1636&lt;&gt;""),INDEX('Aub Demand'!Q:Q,MATCH($O1636,'Aub Demand'!$A:$A,0))-IF(AN1636="",0,AN1636)+AP1637+AD1636+AL1636,IF(AR1637=AR1636,INDEX('Aub Demand'!Q:Q,MATCH($O1636,'Aub Demand'!$A:$A,0))-IF(AN1636="",0,AN1636)+AP1637+AD1636,IF(AM1636&lt;&gt;"",INDEX('Aub Demand'!Q:Q,MATCH($O1636,'Aub Demand'!$A:$A,0))-IF(AN1636="",0,AN1636)+AD1636+AL1636,INDEX('Aub Demand'!Q:Q,MATCH($O1636,'Aub Demand'!$A:$A,0))-IF(AN1636="",0,AN1636)+AD1636))),"")</f>
        <v>3408</v>
      </c>
      <c r="Y1636" s="53">
        <f t="shared" si="704"/>
        <v>521.6</v>
      </c>
      <c r="Z1636" s="52">
        <f>IF(L1636="","",INDEX('Aub Demand'!H:H,MATCH($O1636,'Aub Demand'!$A:$A,0)))</f>
        <v>28</v>
      </c>
      <c r="AA1636" s="52">
        <f t="shared" si="705"/>
        <v>41.5</v>
      </c>
      <c r="AB1636" s="52">
        <f>IFERROR(INDEX('Aub Demand'!L:L,MATCH($O1636,'Aub Demand'!$A:$A,0)),"")</f>
        <v>9</v>
      </c>
      <c r="AC1636" s="52">
        <f>IFERROR(IF(O1636="","",SUMIFS('CPL Mats'!F:F,'CPL Mats'!Q:Q,AR1636,'CPL Mats'!S:S,AS1636)),"")</f>
        <v>0</v>
      </c>
      <c r="AF1636" s="25" t="str">
        <f>IF(SUMIFS('Supp Consol'!S:S,'Supp Consol'!Y:Y,"Releasable",'Supp Consol'!A:A,O1636)=0,"",SUMIFS('Supp Consol'!S:S,'Supp Consol'!Y:Y,"Releasable",'Supp Consol'!A:A,O1636))</f>
        <v/>
      </c>
      <c r="AG1636" s="25">
        <f>IFERROR(INDEX('Hun Demand'!Q:Q,MATCH(O1636,'Hun Demand'!A:A,0)),"")</f>
        <v>281</v>
      </c>
      <c r="AH1636" s="25">
        <f>IFERROR(INDEX('Hun Demand'!H:H,MATCH($O1636,'Hun Demand'!$A:$A,0)),"")</f>
        <v>0</v>
      </c>
      <c r="AI1636" s="25" t="str">
        <f>IF(SUMIFS('Supp Consol'!AA:AA,'Supp Consol'!Z:Z,"Expires this month",'Supp Consol'!A:A,O1636)=0,"",SUMIFS('Supp Consol'!AA:AA,'Supp Consol'!Z:Z,"Expires this month",'Supp Consol'!A:A,O1636))</f>
        <v/>
      </c>
      <c r="AJ1636" s="25" t="str">
        <f>IF(SUMIFS('Supp Consol'!AA:AA,'Supp Consol'!Z:Z,"Expired Previous Months",'Supp Consol'!A:A,O1636)=0,"",SUMIFS('Supp Consol'!AA:AA,'Supp Consol'!Z:Z,"Expired Previous Months",'Supp Consol'!A:A,O1636))</f>
        <v/>
      </c>
      <c r="AK1636" s="25" t="str">
        <f>IFERROR(INDEX('Hun Release Current'!B:B,MATCH(O1636,'Hun Release Current'!A:A,0)),"")</f>
        <v/>
      </c>
      <c r="AL1636" s="25" t="str">
        <f>IF(SUMIF('Prev Aub'!A:A,O1636,'Prev Aub'!B:B)=0,"",SUMIF('Prev Aub'!A:A,O1636,'Prev Aub'!B:B))</f>
        <v/>
      </c>
      <c r="AN1636" s="25" t="s">
        <v>3790</v>
      </c>
      <c r="AO1636" s="25" t="s">
        <v>3790</v>
      </c>
      <c r="AP1636" s="25">
        <f t="shared" si="706"/>
        <v>0</v>
      </c>
      <c r="AQ1636" s="151" t="str">
        <f>IF(SUMIFS('Supp Consol'!S:S,'Supp Consol'!A:A,O1636,'Supp Consol'!I:I,"PENDING")=0,"",SUMIFS('Supp Consol'!S:S,'Supp Consol'!A:A,O1636,'Supp Consol'!I:I,"PENDING"))</f>
        <v/>
      </c>
      <c r="AR1636" s="27" t="str">
        <f t="shared" si="707"/>
        <v>WX800</v>
      </c>
      <c r="AS1636" s="27" t="str">
        <f t="shared" si="708"/>
        <v>50</v>
      </c>
      <c r="AT1636" s="27" t="str">
        <f t="shared" si="709"/>
        <v/>
      </c>
      <c r="AU1636" s="27" t="str">
        <f t="shared" si="710"/>
        <v/>
      </c>
      <c r="AV1636" s="27" t="str">
        <f t="shared" si="711"/>
        <v/>
      </c>
      <c r="AW1636" s="27" t="str">
        <f t="shared" si="712"/>
        <v/>
      </c>
      <c r="AX1636" s="27" t="str">
        <f t="shared" si="713"/>
        <v/>
      </c>
      <c r="AY1636" s="27" t="str">
        <f t="shared" si="714"/>
        <v>WX800</v>
      </c>
      <c r="AZ1636" s="27" t="str">
        <f t="shared" si="715"/>
        <v/>
      </c>
      <c r="BA1636" s="27" t="str">
        <f t="shared" si="716"/>
        <v>Hun</v>
      </c>
      <c r="BB1636" s="27" t="str">
        <f t="shared" si="717"/>
        <v/>
      </c>
      <c r="BC1636" s="27" t="str">
        <f t="shared" si="718"/>
        <v/>
      </c>
      <c r="BD1636" s="27" t="str">
        <f t="shared" si="719"/>
        <v/>
      </c>
      <c r="BE1636" s="27" t="str">
        <f t="shared" si="720"/>
        <v/>
      </c>
      <c r="BF1636" s="27" t="str">
        <f t="shared" si="721"/>
        <v/>
      </c>
      <c r="BG1636" s="27" t="str">
        <f t="shared" si="722"/>
        <v/>
      </c>
      <c r="BH1636" s="27" t="str">
        <f t="shared" si="723"/>
        <v/>
      </c>
      <c r="BI1636" s="27" t="str">
        <f t="shared" si="724"/>
        <v/>
      </c>
      <c r="BJ1636" s="27" t="str">
        <f t="shared" si="725"/>
        <v>Supp or Hun</v>
      </c>
      <c r="BK1636" s="27" t="str">
        <f t="shared" si="726"/>
        <v/>
      </c>
      <c r="BL1636" s="27" t="str">
        <f t="shared" si="727"/>
        <v/>
      </c>
      <c r="BM1636" s="21" t="s">
        <v>5581</v>
      </c>
    </row>
    <row r="1637" spans="1:65" ht="15">
      <c r="A1637" s="25" t="str">
        <f>IFERROR(INDEX('Hun Demand'!W:W,MATCH(O1637,'Hun Demand'!A:A,0)),"")</f>
        <v/>
      </c>
      <c r="B1637" s="25" t="str">
        <f>IFERROR(INDEX('Hun Demand'!V:V,MATCH(O1637,'Hun Demand'!A:A,0)),"")</f>
        <v/>
      </c>
      <c r="C1637" s="25" t="str">
        <f>IFERROR(INDEX('Hun Demand'!U:U,MATCH(O1637,'Hun Demand'!A:A,0)),"")</f>
        <v/>
      </c>
      <c r="D1637" s="25" t="str">
        <f>IFERROR(INDEX('Hun Demand'!T:T,MATCH(O1637,'Hun Demand'!A:A,0)),"")</f>
        <v/>
      </c>
      <c r="E1637" s="25" t="str">
        <f>IFERROR(INDEX('Hun Demand'!S:S,MATCH(O1637,'Hun Demand'!A:A,0)),"")</f>
        <v/>
      </c>
      <c r="F1637" s="25" t="str">
        <f>IFERROR(INDEX('Hun Demand'!R:R,MATCH(O1637,'Hun Demand'!A:A,0)),"")</f>
        <v/>
      </c>
      <c r="G1637" s="25">
        <f>IFERROR(INDEX('Aub Demand'!W:W,MATCH(O1637,'Aub Demand'!A:A,0)),"")</f>
        <v>0</v>
      </c>
      <c r="H1637" s="25">
        <f>IFERROR(INDEX('Aub Demand'!V:V,MATCH(O1637,'Aub Demand'!A:A,0)),"")</f>
        <v>0</v>
      </c>
      <c r="I1637" s="25">
        <f>IFERROR(INDEX('Aub Demand'!U:U,MATCH(O1637,'Aub Demand'!A:A,0)),"")</f>
        <v>0</v>
      </c>
      <c r="J1637" s="25">
        <f>IFERROR(INDEX('Aub Demand'!T:T,MATCH(O1637,'Aub Demand'!A:A,0)),"")</f>
        <v>0</v>
      </c>
      <c r="K1637" s="25">
        <f>IFERROR(INDEX('Aub Demand'!S:S,MATCH(O1637,'Aub Demand'!A:A,0)),"")</f>
        <v>0</v>
      </c>
      <c r="L1637" s="25">
        <f>IFERROR(INDEX('Aub Demand'!R:R,MATCH(O1637,'Aub Demand'!A:A,0)),"")</f>
        <v>0</v>
      </c>
      <c r="O1637" s="27" t="s">
        <v>1983</v>
      </c>
      <c r="P1637" s="27" t="str">
        <f>IFERROR(INDEX('Aub Demand'!B:B,MATCH($O1637,'Aub Demand'!$A:$A,0)),"")</f>
        <v>LUNAR LEGNO</v>
      </c>
      <c r="Q1637" s="27" t="str">
        <f>IFERROR(INDEX('Aub Demand'!C:C,MATCH($O1637,'Aub Demand'!$A:$A,0)),"")</f>
        <v>CHIYO</v>
      </c>
      <c r="R1637" s="52">
        <f>IFERROR(IF(AR1638=AR1637,INDEX('Aub Demand'!K:K,MATCH($O1637,'Aub Demand'!$A:$A,0))-IF(AN1637="",0,AN1637)+AP1638,INDEX('Aub Demand'!K:K,MATCH($O1637,'Aub Demand'!$A:$A,0))-IF(AN1637="",0,AN1637)),"")</f>
        <v>6870</v>
      </c>
      <c r="S1637" s="53" t="str">
        <f t="shared" si="700"/>
        <v>n/a</v>
      </c>
      <c r="T1637" s="52" t="str">
        <f t="shared" si="701"/>
        <v/>
      </c>
      <c r="U1637" s="52">
        <f>IFERROR(IF(AR1638=AR1637,INDEX('Aub Demand'!Q:Q,MATCH($O1637,'Aub Demand'!$A:$A,0))-IF(AN1637="",0,AN1637)+AP1638,INDEX('Aub Demand'!Q:Q,MATCH($O1637,'Aub Demand'!$A:$A,0))-IF(AN1637="",0,AN1637)),"")</f>
        <v>6870</v>
      </c>
      <c r="V1637" s="53" t="str">
        <f t="shared" si="702"/>
        <v>n/a</v>
      </c>
      <c r="W1637" s="52" t="str">
        <f t="shared" si="703"/>
        <v/>
      </c>
      <c r="X1637" s="52">
        <f>IFERROR(IF(AND(AR1638=AR1637,AM1637&lt;&gt;""),INDEX('Aub Demand'!Q:Q,MATCH($O1637,'Aub Demand'!$A:$A,0))-IF(AN1637="",0,AN1637)+AP1638+AD1637+AL1637,IF(AR1638=AR1637,INDEX('Aub Demand'!Q:Q,MATCH($O1637,'Aub Demand'!$A:$A,0))-IF(AN1637="",0,AN1637)+AP1638+AD1637,IF(AM1637&lt;&gt;"",INDEX('Aub Demand'!Q:Q,MATCH($O1637,'Aub Demand'!$A:$A,0))-IF(AN1637="",0,AN1637)+AD1637+AL1637,INDEX('Aub Demand'!Q:Q,MATCH($O1637,'Aub Demand'!$A:$A,0))-IF(AN1637="",0,AN1637)+AD1637))),"")</f>
        <v>6870</v>
      </c>
      <c r="Y1637" s="53" t="str">
        <f t="shared" si="704"/>
        <v>n/a</v>
      </c>
      <c r="Z1637" s="52">
        <f>IF(L1637="","",INDEX('Aub Demand'!H:H,MATCH($O1637,'Aub Demand'!$A:$A,0)))</f>
        <v>0</v>
      </c>
      <c r="AA1637" s="52" t="str">
        <f t="shared" si="705"/>
        <v>-spike-</v>
      </c>
      <c r="AB1637" s="52">
        <f>IFERROR(INDEX('Aub Demand'!L:L,MATCH($O1637,'Aub Demand'!$A:$A,0)),"")</f>
        <v>0</v>
      </c>
      <c r="AC1637" s="52">
        <f>IFERROR(IF(O1637="","",SUMIFS('CPL Mats'!F:F,'CPL Mats'!Q:Q,AR1637,'CPL Mats'!S:S,AS1637)),"")</f>
        <v>0</v>
      </c>
      <c r="AF1637" s="25" t="str">
        <f>IF(SUMIFS('Supp Consol'!S:S,'Supp Consol'!Y:Y,"Releasable",'Supp Consol'!A:A,O1637)=0,"",SUMIFS('Supp Consol'!S:S,'Supp Consol'!Y:Y,"Releasable",'Supp Consol'!A:A,O1637))</f>
        <v/>
      </c>
      <c r="AG1637" s="25" t="str">
        <f>IFERROR(INDEX('Hun Demand'!Q:Q,MATCH(O1637,'Hun Demand'!A:A,0)),"")</f>
        <v/>
      </c>
      <c r="AH1637" s="25" t="str">
        <f>IFERROR(INDEX('Hun Demand'!H:H,MATCH($O1637,'Hun Demand'!$A:$A,0)),"")</f>
        <v/>
      </c>
      <c r="AI1637" s="25" t="str">
        <f>IF(SUMIFS('Supp Consol'!AA:AA,'Supp Consol'!Z:Z,"Expires this month",'Supp Consol'!A:A,O1637)=0,"",SUMIFS('Supp Consol'!AA:AA,'Supp Consol'!Z:Z,"Expires this month",'Supp Consol'!A:A,O1637))</f>
        <v/>
      </c>
      <c r="AJ1637" s="25" t="str">
        <f>IF(SUMIFS('Supp Consol'!AA:AA,'Supp Consol'!Z:Z,"Expired Previous Months",'Supp Consol'!A:A,O1637)=0,"",SUMIFS('Supp Consol'!AA:AA,'Supp Consol'!Z:Z,"Expired Previous Months",'Supp Consol'!A:A,O1637))</f>
        <v/>
      </c>
      <c r="AK1637" s="25" t="str">
        <f>IFERROR(INDEX('Hun Release Current'!B:B,MATCH(O1637,'Hun Release Current'!A:A,0)),"")</f>
        <v/>
      </c>
      <c r="AL1637" s="25" t="str">
        <f>IF(SUMIF('Prev Aub'!A:A,O1637,'Prev Aub'!B:B)=0,"",SUMIF('Prev Aub'!A:A,O1637,'Prev Aub'!B:B))</f>
        <v/>
      </c>
      <c r="AN1637" s="25" t="s">
        <v>3790</v>
      </c>
      <c r="AO1637" s="25" t="s">
        <v>3790</v>
      </c>
      <c r="AP1637" s="25">
        <f t="shared" si="706"/>
        <v>0</v>
      </c>
      <c r="AQ1637" s="151" t="str">
        <f>IF(SUMIFS('Supp Consol'!S:S,'Supp Consol'!A:A,O1637,'Supp Consol'!I:I,"PENDING")=0,"",SUMIFS('Supp Consol'!S:S,'Supp Consol'!A:A,O1637,'Supp Consol'!I:I,"PENDING"))</f>
        <v/>
      </c>
      <c r="AR1637" s="27" t="str">
        <f t="shared" si="707"/>
        <v>WX800</v>
      </c>
      <c r="AS1637" s="27" t="str">
        <f t="shared" si="708"/>
        <v>62</v>
      </c>
      <c r="AT1637" s="27" t="str">
        <f t="shared" si="709"/>
        <v/>
      </c>
      <c r="AU1637" s="27" t="str">
        <f t="shared" si="710"/>
        <v/>
      </c>
      <c r="AV1637" s="27" t="str">
        <f t="shared" si="711"/>
        <v/>
      </c>
      <c r="AW1637" s="27" t="str">
        <f t="shared" si="712"/>
        <v/>
      </c>
      <c r="AX1637" s="27" t="str">
        <f t="shared" si="713"/>
        <v/>
      </c>
      <c r="AY1637" s="27" t="str">
        <f t="shared" si="714"/>
        <v/>
      </c>
      <c r="AZ1637" s="27" t="str">
        <f t="shared" si="715"/>
        <v/>
      </c>
      <c r="BA1637" s="27" t="str">
        <f t="shared" si="716"/>
        <v>Hun</v>
      </c>
      <c r="BB1637" s="27" t="str">
        <f t="shared" si="717"/>
        <v/>
      </c>
      <c r="BC1637" s="27" t="str">
        <f t="shared" si="718"/>
        <v/>
      </c>
      <c r="BD1637" s="27" t="str">
        <f t="shared" si="719"/>
        <v/>
      </c>
      <c r="BE1637" s="27" t="str">
        <f t="shared" si="720"/>
        <v/>
      </c>
      <c r="BF1637" s="27" t="str">
        <f t="shared" si="721"/>
        <v/>
      </c>
      <c r="BG1637" s="27" t="str">
        <f t="shared" si="722"/>
        <v/>
      </c>
      <c r="BH1637" s="27" t="str">
        <f t="shared" si="723"/>
        <v/>
      </c>
      <c r="BI1637" s="27" t="str">
        <f t="shared" si="724"/>
        <v/>
      </c>
      <c r="BJ1637" s="27" t="str">
        <f t="shared" si="725"/>
        <v>Supp or Hun</v>
      </c>
      <c r="BK1637" s="27" t="str">
        <f t="shared" si="726"/>
        <v/>
      </c>
      <c r="BL1637" s="27" t="str">
        <f t="shared" si="727"/>
        <v/>
      </c>
      <c r="BM1637" s="21" t="s">
        <v>5581</v>
      </c>
    </row>
    <row r="1638" spans="1:65" ht="15">
      <c r="A1638" s="25">
        <f>IFERROR(INDEX('Hun Demand'!W:W,MATCH(O1638,'Hun Demand'!A:A,0)),"")</f>
        <v>0</v>
      </c>
      <c r="B1638" s="25">
        <f>IFERROR(INDEX('Hun Demand'!V:V,MATCH(O1638,'Hun Demand'!A:A,0)),"")</f>
        <v>0</v>
      </c>
      <c r="C1638" s="25">
        <f>IFERROR(INDEX('Hun Demand'!U:U,MATCH(O1638,'Hun Demand'!A:A,0)),"")</f>
        <v>0</v>
      </c>
      <c r="D1638" s="25">
        <f>IFERROR(INDEX('Hun Demand'!T:T,MATCH(O1638,'Hun Demand'!A:A,0)),"")</f>
        <v>0</v>
      </c>
      <c r="E1638" s="25">
        <f>IFERROR(INDEX('Hun Demand'!S:S,MATCH(O1638,'Hun Demand'!A:A,0)),"")</f>
        <v>0</v>
      </c>
      <c r="F1638" s="25">
        <f>IFERROR(INDEX('Hun Demand'!R:R,MATCH(O1638,'Hun Demand'!A:A,0)),"")</f>
        <v>0</v>
      </c>
      <c r="G1638" s="25">
        <f>IFERROR(INDEX('Aub Demand'!W:W,MATCH(O1638,'Aub Demand'!A:A,0)),"")</f>
        <v>0</v>
      </c>
      <c r="H1638" s="25">
        <f>IFERROR(INDEX('Aub Demand'!V:V,MATCH(O1638,'Aub Demand'!A:A,0)),"")</f>
        <v>0</v>
      </c>
      <c r="I1638" s="25">
        <f>IFERROR(INDEX('Aub Demand'!U:U,MATCH(O1638,'Aub Demand'!A:A,0)),"")</f>
        <v>0</v>
      </c>
      <c r="J1638" s="25">
        <f>IFERROR(INDEX('Aub Demand'!T:T,MATCH(O1638,'Aub Demand'!A:A,0)),"")</f>
        <v>0</v>
      </c>
      <c r="K1638" s="25">
        <f>IFERROR(INDEX('Aub Demand'!S:S,MATCH(O1638,'Aub Demand'!A:A,0)),"")</f>
        <v>0</v>
      </c>
      <c r="L1638" s="25">
        <f>IFERROR(INDEX('Aub Demand'!R:R,MATCH(O1638,'Aub Demand'!A:A,0)),"")</f>
        <v>0</v>
      </c>
      <c r="O1638" s="27" t="s">
        <v>3168</v>
      </c>
      <c r="P1638" s="27" t="str">
        <f>IFERROR(INDEX('Aub Demand'!B:B,MATCH($O1638,'Aub Demand'!$A:$A,0)),"")</f>
        <v>ROARING WIND</v>
      </c>
      <c r="Q1638" s="27" t="str">
        <f>IFERROR(INDEX('Aub Demand'!C:C,MATCH($O1638,'Aub Demand'!$A:$A,0)),"")</f>
        <v>AHLST</v>
      </c>
      <c r="R1638" s="52">
        <f>IFERROR(IF(AR1639=AR1638,INDEX('Aub Demand'!K:K,MATCH($O1638,'Aub Demand'!$A:$A,0))-IF(AN1638="",0,AN1638)+AP1639,INDEX('Aub Demand'!K:K,MATCH($O1638,'Aub Demand'!$A:$A,0))-IF(AN1638="",0,AN1638)),"")</f>
        <v>797</v>
      </c>
      <c r="S1638" s="53" t="str">
        <f t="shared" si="700"/>
        <v>n/a</v>
      </c>
      <c r="T1638" s="52" t="str">
        <f t="shared" si="701"/>
        <v/>
      </c>
      <c r="U1638" s="52">
        <f>IFERROR(IF(AR1639=AR1638,INDEX('Aub Demand'!Q:Q,MATCH($O1638,'Aub Demand'!$A:$A,0))-IF(AN1638="",0,AN1638)+AP1639,INDEX('Aub Demand'!Q:Q,MATCH($O1638,'Aub Demand'!$A:$A,0))-IF(AN1638="",0,AN1638)),"")</f>
        <v>797</v>
      </c>
      <c r="V1638" s="53" t="str">
        <f t="shared" si="702"/>
        <v>n/a</v>
      </c>
      <c r="W1638" s="52" t="str">
        <f t="shared" si="703"/>
        <v/>
      </c>
      <c r="X1638" s="52">
        <f>IFERROR(IF(AND(AR1639=AR1638,AM1638&lt;&gt;""),INDEX('Aub Demand'!Q:Q,MATCH($O1638,'Aub Demand'!$A:$A,0))-IF(AN1638="",0,AN1638)+AP1639+AD1638+AL1638,IF(AR1639=AR1638,INDEX('Aub Demand'!Q:Q,MATCH($O1638,'Aub Demand'!$A:$A,0))-IF(AN1638="",0,AN1638)+AP1639+AD1638,IF(AM1638&lt;&gt;"",INDEX('Aub Demand'!Q:Q,MATCH($O1638,'Aub Demand'!$A:$A,0))-IF(AN1638="",0,AN1638)+AD1638+AL1638,INDEX('Aub Demand'!Q:Q,MATCH($O1638,'Aub Demand'!$A:$A,0))-IF(AN1638="",0,AN1638)+AD1638))),"")</f>
        <v>797</v>
      </c>
      <c r="Y1638" s="53" t="str">
        <f t="shared" si="704"/>
        <v>n/a</v>
      </c>
      <c r="Z1638" s="52">
        <f>IF(L1638="","",INDEX('Aub Demand'!H:H,MATCH($O1638,'Aub Demand'!$A:$A,0)))</f>
        <v>0</v>
      </c>
      <c r="AA1638" s="52" t="str">
        <f t="shared" si="705"/>
        <v>-spike-</v>
      </c>
      <c r="AB1638" s="52">
        <f>IFERROR(INDEX('Aub Demand'!L:L,MATCH($O1638,'Aub Demand'!$A:$A,0)),"")</f>
        <v>0</v>
      </c>
      <c r="AC1638" s="52">
        <f>IFERROR(IF(O1638="","",SUMIFS('CPL Mats'!F:F,'CPL Mats'!Q:Q,AR1638,'CPL Mats'!S:S,AS1638)),"")</f>
        <v>0</v>
      </c>
      <c r="AF1638" s="25" t="str">
        <f>IF(SUMIFS('Supp Consol'!S:S,'Supp Consol'!Y:Y,"Releasable",'Supp Consol'!A:A,O1638)=0,"",SUMIFS('Supp Consol'!S:S,'Supp Consol'!Y:Y,"Releasable",'Supp Consol'!A:A,O1638))</f>
        <v/>
      </c>
      <c r="AG1638" s="25">
        <f>IFERROR(INDEX('Hun Demand'!Q:Q,MATCH(O1638,'Hun Demand'!A:A,0)),"")</f>
        <v>233</v>
      </c>
      <c r="AH1638" s="25">
        <f>IFERROR(INDEX('Hun Demand'!H:H,MATCH($O1638,'Hun Demand'!$A:$A,0)),"")</f>
        <v>0</v>
      </c>
      <c r="AI1638" s="25" t="str">
        <f>IF(SUMIFS('Supp Consol'!AA:AA,'Supp Consol'!Z:Z,"Expires this month",'Supp Consol'!A:A,O1638)=0,"",SUMIFS('Supp Consol'!AA:AA,'Supp Consol'!Z:Z,"Expires this month",'Supp Consol'!A:A,O1638))</f>
        <v/>
      </c>
      <c r="AJ1638" s="25" t="str">
        <f>IF(SUMIFS('Supp Consol'!AA:AA,'Supp Consol'!Z:Z,"Expired Previous Months",'Supp Consol'!A:A,O1638)=0,"",SUMIFS('Supp Consol'!AA:AA,'Supp Consol'!Z:Z,"Expired Previous Months",'Supp Consol'!A:A,O1638))</f>
        <v/>
      </c>
      <c r="AK1638" s="25" t="str">
        <f>IFERROR(INDEX('Hun Release Current'!B:B,MATCH(O1638,'Hun Release Current'!A:A,0)),"")</f>
        <v/>
      </c>
      <c r="AL1638" s="25" t="str">
        <f>IF(SUMIF('Prev Aub'!A:A,O1638,'Prev Aub'!B:B)=0,"",SUMIF('Prev Aub'!A:A,O1638,'Prev Aub'!B:B))</f>
        <v/>
      </c>
      <c r="AN1638" s="25" t="s">
        <v>3790</v>
      </c>
      <c r="AO1638" s="25" t="s">
        <v>3790</v>
      </c>
      <c r="AP1638" s="25">
        <f t="shared" si="706"/>
        <v>0</v>
      </c>
      <c r="AQ1638" s="151" t="str">
        <f>IF(SUMIFS('Supp Consol'!S:S,'Supp Consol'!A:A,O1638,'Supp Consol'!I:I,"PENDING")=0,"",SUMIFS('Supp Consol'!S:S,'Supp Consol'!A:A,O1638,'Supp Consol'!I:I,"PENDING"))</f>
        <v/>
      </c>
      <c r="AR1638" s="27" t="str">
        <f t="shared" si="707"/>
        <v>WX850</v>
      </c>
      <c r="AS1638" s="27" t="str">
        <f t="shared" si="708"/>
        <v>50</v>
      </c>
      <c r="AT1638" s="27" t="str">
        <f t="shared" si="709"/>
        <v/>
      </c>
      <c r="AU1638" s="27" t="str">
        <f t="shared" si="710"/>
        <v/>
      </c>
      <c r="AV1638" s="27" t="str">
        <f t="shared" si="711"/>
        <v/>
      </c>
      <c r="AW1638" s="27" t="str">
        <f t="shared" si="712"/>
        <v/>
      </c>
      <c r="AX1638" s="27" t="str">
        <f t="shared" si="713"/>
        <v/>
      </c>
      <c r="AY1638" s="27" t="str">
        <f t="shared" si="714"/>
        <v>WX850</v>
      </c>
      <c r="AZ1638" s="27" t="str">
        <f t="shared" si="715"/>
        <v/>
      </c>
      <c r="BA1638" s="27" t="str">
        <f t="shared" si="716"/>
        <v>Hun</v>
      </c>
      <c r="BB1638" s="27" t="str">
        <f t="shared" si="717"/>
        <v/>
      </c>
      <c r="BC1638" s="27" t="str">
        <f t="shared" si="718"/>
        <v/>
      </c>
      <c r="BD1638" s="27" t="str">
        <f t="shared" si="719"/>
        <v/>
      </c>
      <c r="BE1638" s="27" t="str">
        <f t="shared" si="720"/>
        <v/>
      </c>
      <c r="BF1638" s="27" t="str">
        <f t="shared" si="721"/>
        <v/>
      </c>
      <c r="BG1638" s="27" t="str">
        <f t="shared" si="722"/>
        <v/>
      </c>
      <c r="BH1638" s="27" t="str">
        <f t="shared" si="723"/>
        <v/>
      </c>
      <c r="BI1638" s="27" t="str">
        <f t="shared" si="724"/>
        <v/>
      </c>
      <c r="BJ1638" s="27" t="str">
        <f t="shared" si="725"/>
        <v>Supp or Hun</v>
      </c>
      <c r="BK1638" s="27" t="str">
        <f t="shared" si="726"/>
        <v/>
      </c>
      <c r="BL1638" s="27" t="str">
        <f t="shared" si="727"/>
        <v/>
      </c>
      <c r="BM1638" s="21" t="s">
        <v>5581</v>
      </c>
    </row>
    <row r="1639" spans="1:65" ht="15">
      <c r="A1639" s="25" t="str">
        <f>IFERROR(INDEX('Hun Demand'!W:W,MATCH(O1639,'Hun Demand'!A:A,0)),"")</f>
        <v/>
      </c>
      <c r="B1639" s="25" t="str">
        <f>IFERROR(INDEX('Hun Demand'!V:V,MATCH(O1639,'Hun Demand'!A:A,0)),"")</f>
        <v/>
      </c>
      <c r="C1639" s="25" t="str">
        <f>IFERROR(INDEX('Hun Demand'!U:U,MATCH(O1639,'Hun Demand'!A:A,0)),"")</f>
        <v/>
      </c>
      <c r="D1639" s="25" t="str">
        <f>IFERROR(INDEX('Hun Demand'!T:T,MATCH(O1639,'Hun Demand'!A:A,0)),"")</f>
        <v/>
      </c>
      <c r="E1639" s="25" t="str">
        <f>IFERROR(INDEX('Hun Demand'!S:S,MATCH(O1639,'Hun Demand'!A:A,0)),"")</f>
        <v/>
      </c>
      <c r="F1639" s="25" t="str">
        <f>IFERROR(INDEX('Hun Demand'!R:R,MATCH(O1639,'Hun Demand'!A:A,0)),"")</f>
        <v/>
      </c>
      <c r="G1639" s="25">
        <f>IFERROR(INDEX('Aub Demand'!W:W,MATCH(O1639,'Aub Demand'!A:A,0)),"")</f>
        <v>0</v>
      </c>
      <c r="H1639" s="25">
        <f>IFERROR(INDEX('Aub Demand'!V:V,MATCH(O1639,'Aub Demand'!A:A,0)),"")</f>
        <v>0</v>
      </c>
      <c r="I1639" s="25">
        <f>IFERROR(INDEX('Aub Demand'!U:U,MATCH(O1639,'Aub Demand'!A:A,0)),"")</f>
        <v>0</v>
      </c>
      <c r="J1639" s="25">
        <f>IFERROR(INDEX('Aub Demand'!T:T,MATCH(O1639,'Aub Demand'!A:A,0)),"")</f>
        <v>0</v>
      </c>
      <c r="K1639" s="25">
        <f>IFERROR(INDEX('Aub Demand'!S:S,MATCH(O1639,'Aub Demand'!A:A,0)),"")</f>
        <v>0</v>
      </c>
      <c r="L1639" s="25">
        <f>IFERROR(INDEX('Aub Demand'!R:R,MATCH(O1639,'Aub Demand'!A:A,0)),"")</f>
        <v>0</v>
      </c>
      <c r="O1639" s="27" t="s">
        <v>3170</v>
      </c>
      <c r="P1639" s="27" t="str">
        <f>IFERROR(INDEX('Aub Demand'!B:B,MATCH($O1639,'Aub Demand'!$A:$A,0)),"")</f>
        <v>ROARING WIND</v>
      </c>
      <c r="Q1639" s="27" t="str">
        <f>IFERROR(INDEX('Aub Demand'!C:C,MATCH($O1639,'Aub Demand'!$A:$A,0)),"")</f>
        <v>AHLST</v>
      </c>
      <c r="R1639" s="52">
        <f>IFERROR(IF(AR1640=AR1639,INDEX('Aub Demand'!K:K,MATCH($O1639,'Aub Demand'!$A:$A,0))-IF(AN1639="",0,AN1639)+AP1640,INDEX('Aub Demand'!K:K,MATCH($O1639,'Aub Demand'!$A:$A,0))-IF(AN1639="",0,AN1639)),"")</f>
        <v>2412</v>
      </c>
      <c r="S1639" s="53" t="str">
        <f t="shared" si="700"/>
        <v>n/a</v>
      </c>
      <c r="T1639" s="52" t="str">
        <f t="shared" si="701"/>
        <v/>
      </c>
      <c r="U1639" s="52">
        <f>IFERROR(IF(AR1640=AR1639,INDEX('Aub Demand'!Q:Q,MATCH($O1639,'Aub Demand'!$A:$A,0))-IF(AN1639="",0,AN1639)+AP1640,INDEX('Aub Demand'!Q:Q,MATCH($O1639,'Aub Demand'!$A:$A,0))-IF(AN1639="",0,AN1639)),"")</f>
        <v>2412</v>
      </c>
      <c r="V1639" s="53" t="str">
        <f t="shared" si="702"/>
        <v>n/a</v>
      </c>
      <c r="W1639" s="52" t="str">
        <f t="shared" si="703"/>
        <v/>
      </c>
      <c r="X1639" s="52">
        <f>IFERROR(IF(AND(AR1640=AR1639,AM1639&lt;&gt;""),INDEX('Aub Demand'!Q:Q,MATCH($O1639,'Aub Demand'!$A:$A,0))-IF(AN1639="",0,AN1639)+AP1640+AD1639+AL1639,IF(AR1640=AR1639,INDEX('Aub Demand'!Q:Q,MATCH($O1639,'Aub Demand'!$A:$A,0))-IF(AN1639="",0,AN1639)+AP1640+AD1639,IF(AM1639&lt;&gt;"",INDEX('Aub Demand'!Q:Q,MATCH($O1639,'Aub Demand'!$A:$A,0))-IF(AN1639="",0,AN1639)+AD1639+AL1639,INDEX('Aub Demand'!Q:Q,MATCH($O1639,'Aub Demand'!$A:$A,0))-IF(AN1639="",0,AN1639)+AD1639))),"")</f>
        <v>2412</v>
      </c>
      <c r="Y1639" s="53" t="str">
        <f t="shared" si="704"/>
        <v>n/a</v>
      </c>
      <c r="Z1639" s="52">
        <f>IF(L1639="","",INDEX('Aub Demand'!H:H,MATCH($O1639,'Aub Demand'!$A:$A,0)))</f>
        <v>0</v>
      </c>
      <c r="AA1639" s="52" t="str">
        <f t="shared" si="705"/>
        <v>-spike-</v>
      </c>
      <c r="AB1639" s="52">
        <f>IFERROR(INDEX('Aub Demand'!L:L,MATCH($O1639,'Aub Demand'!$A:$A,0)),"")</f>
        <v>0</v>
      </c>
      <c r="AC1639" s="52">
        <f>IFERROR(IF(O1639="","",SUMIFS('CPL Mats'!F:F,'CPL Mats'!Q:Q,AR1639,'CPL Mats'!S:S,AS1639)),"")</f>
        <v>0</v>
      </c>
      <c r="AF1639" s="25" t="str">
        <f>IF(SUMIFS('Supp Consol'!S:S,'Supp Consol'!Y:Y,"Releasable",'Supp Consol'!A:A,O1639)=0,"",SUMIFS('Supp Consol'!S:S,'Supp Consol'!Y:Y,"Releasable",'Supp Consol'!A:A,O1639))</f>
        <v/>
      </c>
      <c r="AG1639" s="25" t="str">
        <f>IFERROR(INDEX('Hun Demand'!Q:Q,MATCH(O1639,'Hun Demand'!A:A,0)),"")</f>
        <v/>
      </c>
      <c r="AH1639" s="25" t="str">
        <f>IFERROR(INDEX('Hun Demand'!H:H,MATCH($O1639,'Hun Demand'!$A:$A,0)),"")</f>
        <v/>
      </c>
      <c r="AI1639" s="25" t="str">
        <f>IF(SUMIFS('Supp Consol'!AA:AA,'Supp Consol'!Z:Z,"Expires this month",'Supp Consol'!A:A,O1639)=0,"",SUMIFS('Supp Consol'!AA:AA,'Supp Consol'!Z:Z,"Expires this month",'Supp Consol'!A:A,O1639))</f>
        <v/>
      </c>
      <c r="AJ1639" s="25" t="str">
        <f>IF(SUMIFS('Supp Consol'!AA:AA,'Supp Consol'!Z:Z,"Expired Previous Months",'Supp Consol'!A:A,O1639)=0,"",SUMIFS('Supp Consol'!AA:AA,'Supp Consol'!Z:Z,"Expired Previous Months",'Supp Consol'!A:A,O1639))</f>
        <v/>
      </c>
      <c r="AK1639" s="25" t="str">
        <f>IFERROR(INDEX('Hun Release Current'!B:B,MATCH(O1639,'Hun Release Current'!A:A,0)),"")</f>
        <v/>
      </c>
      <c r="AL1639" s="25" t="str">
        <f>IF(SUMIF('Prev Aub'!A:A,O1639,'Prev Aub'!B:B)=0,"",SUMIF('Prev Aub'!A:A,O1639,'Prev Aub'!B:B))</f>
        <v/>
      </c>
      <c r="AN1639" s="25" t="s">
        <v>3790</v>
      </c>
      <c r="AO1639" s="25" t="s">
        <v>3790</v>
      </c>
      <c r="AP1639" s="25">
        <f t="shared" si="706"/>
        <v>0</v>
      </c>
      <c r="AQ1639" s="151" t="str">
        <f>IF(SUMIFS('Supp Consol'!S:S,'Supp Consol'!A:A,O1639,'Supp Consol'!I:I,"PENDING")=0,"",SUMIFS('Supp Consol'!S:S,'Supp Consol'!A:A,O1639,'Supp Consol'!I:I,"PENDING"))</f>
        <v/>
      </c>
      <c r="AR1639" s="27" t="str">
        <f t="shared" si="707"/>
        <v>WX850</v>
      </c>
      <c r="AS1639" s="27" t="str">
        <f t="shared" si="708"/>
        <v>62</v>
      </c>
      <c r="AT1639" s="27" t="str">
        <f t="shared" si="709"/>
        <v/>
      </c>
      <c r="AU1639" s="27" t="str">
        <f t="shared" si="710"/>
        <v/>
      </c>
      <c r="AV1639" s="27" t="str">
        <f t="shared" si="711"/>
        <v/>
      </c>
      <c r="AW1639" s="27" t="str">
        <f t="shared" si="712"/>
        <v/>
      </c>
      <c r="AX1639" s="27" t="str">
        <f t="shared" si="713"/>
        <v/>
      </c>
      <c r="AY1639" s="27" t="str">
        <f t="shared" si="714"/>
        <v/>
      </c>
      <c r="AZ1639" s="27" t="str">
        <f t="shared" si="715"/>
        <v/>
      </c>
      <c r="BA1639" s="27" t="str">
        <f t="shared" si="716"/>
        <v>Hun</v>
      </c>
      <c r="BB1639" s="27" t="str">
        <f t="shared" si="717"/>
        <v/>
      </c>
      <c r="BC1639" s="27" t="str">
        <f t="shared" si="718"/>
        <v/>
      </c>
      <c r="BD1639" s="27" t="str">
        <f t="shared" si="719"/>
        <v/>
      </c>
      <c r="BE1639" s="27" t="str">
        <f t="shared" si="720"/>
        <v/>
      </c>
      <c r="BF1639" s="27" t="str">
        <f t="shared" si="721"/>
        <v/>
      </c>
      <c r="BG1639" s="27" t="str">
        <f t="shared" si="722"/>
        <v/>
      </c>
      <c r="BH1639" s="27" t="str">
        <f t="shared" si="723"/>
        <v/>
      </c>
      <c r="BI1639" s="27" t="str">
        <f t="shared" si="724"/>
        <v/>
      </c>
      <c r="BJ1639" s="27" t="str">
        <f t="shared" si="725"/>
        <v>Supp or Hun</v>
      </c>
      <c r="BK1639" s="27" t="str">
        <f t="shared" si="726"/>
        <v/>
      </c>
      <c r="BL1639" s="27" t="str">
        <f t="shared" si="727"/>
        <v/>
      </c>
      <c r="BM1639" s="21" t="s">
        <v>5581</v>
      </c>
    </row>
    <row r="1640" spans="1:65" ht="15">
      <c r="A1640" s="25">
        <f>IFERROR(INDEX('Hun Demand'!W:W,MATCH(O1640,'Hun Demand'!A:A,0)),"")</f>
        <v>0</v>
      </c>
      <c r="B1640" s="25">
        <f>IFERROR(INDEX('Hun Demand'!V:V,MATCH(O1640,'Hun Demand'!A:A,0)),"")</f>
        <v>0</v>
      </c>
      <c r="C1640" s="25">
        <f>IFERROR(INDEX('Hun Demand'!U:U,MATCH(O1640,'Hun Demand'!A:A,0)),"")</f>
        <v>0</v>
      </c>
      <c r="D1640" s="25">
        <f>IFERROR(INDEX('Hun Demand'!T:T,MATCH(O1640,'Hun Demand'!A:A,0)),"")</f>
        <v>0</v>
      </c>
      <c r="E1640" s="25">
        <f>IFERROR(INDEX('Hun Demand'!S:S,MATCH(O1640,'Hun Demand'!A:A,0)),"")</f>
        <v>0</v>
      </c>
      <c r="F1640" s="25">
        <f>IFERROR(INDEX('Hun Demand'!R:R,MATCH(O1640,'Hun Demand'!A:A,0)),"")</f>
        <v>0</v>
      </c>
      <c r="G1640" s="25">
        <f>IFERROR(INDEX('Aub Demand'!W:W,MATCH(O1640,'Aub Demand'!A:A,0)),"")</f>
        <v>169</v>
      </c>
      <c r="H1640" s="25">
        <f>IFERROR(INDEX('Aub Demand'!V:V,MATCH(O1640,'Aub Demand'!A:A,0)),"")</f>
        <v>406</v>
      </c>
      <c r="I1640" s="25">
        <f>IFERROR(INDEX('Aub Demand'!U:U,MATCH(O1640,'Aub Demand'!A:A,0)),"")</f>
        <v>0</v>
      </c>
      <c r="J1640" s="25">
        <f>IFERROR(INDEX('Aub Demand'!T:T,MATCH(O1640,'Aub Demand'!A:A,0)),"")</f>
        <v>111</v>
      </c>
      <c r="K1640" s="25">
        <f>IFERROR(INDEX('Aub Demand'!S:S,MATCH(O1640,'Aub Demand'!A:A,0)),"")</f>
        <v>0</v>
      </c>
      <c r="L1640" s="25">
        <f>IFERROR(INDEX('Aub Demand'!R:R,MATCH(O1640,'Aub Demand'!A:A,0)),"")</f>
        <v>81</v>
      </c>
      <c r="O1640" s="27" t="s">
        <v>1984</v>
      </c>
      <c r="P1640" s="27" t="str">
        <f>IFERROR(INDEX('Aub Demand'!B:B,MATCH($O1640,'Aub Demand'!$A:$A,0)),"")</f>
        <v>FORMAL MAHOGANY</v>
      </c>
      <c r="Q1640" s="27" t="str">
        <f>IFERROR(INDEX('Aub Demand'!C:C,MATCH($O1640,'Aub Demand'!$A:$A,0)),"")</f>
        <v>INTER</v>
      </c>
      <c r="R1640" s="52">
        <f>IFERROR(IF(AR1641=AR1640,INDEX('Aub Demand'!K:K,MATCH($O1640,'Aub Demand'!$A:$A,0))-IF(AN1640="",0,AN1640)+AP1641,INDEX('Aub Demand'!K:K,MATCH($O1640,'Aub Demand'!$A:$A,0))-IF(AN1640="",0,AN1640)),"")</f>
        <v>2302</v>
      </c>
      <c r="S1640" s="53">
        <f t="shared" si="700"/>
        <v>266.60000000000002</v>
      </c>
      <c r="T1640" s="52" t="str">
        <f t="shared" si="701"/>
        <v/>
      </c>
      <c r="U1640" s="52">
        <f>IFERROR(IF(AR1641=AR1640,INDEX('Aub Demand'!Q:Q,MATCH($O1640,'Aub Demand'!$A:$A,0))-IF(AN1640="",0,AN1640)+AP1641,INDEX('Aub Demand'!Q:Q,MATCH($O1640,'Aub Demand'!$A:$A,0))-IF(AN1640="",0,AN1640)),"")</f>
        <v>2295</v>
      </c>
      <c r="V1640" s="53">
        <f t="shared" si="702"/>
        <v>265.8</v>
      </c>
      <c r="W1640" s="52" t="str">
        <f t="shared" si="703"/>
        <v/>
      </c>
      <c r="X1640" s="52">
        <f>IFERROR(IF(AND(AR1641=AR1640,AM1640&lt;&gt;""),INDEX('Aub Demand'!Q:Q,MATCH($O1640,'Aub Demand'!$A:$A,0))-IF(AN1640="",0,AN1640)+AP1641+AD1640+AL1640,IF(AR1641=AR1640,INDEX('Aub Demand'!Q:Q,MATCH($O1640,'Aub Demand'!$A:$A,0))-IF(AN1640="",0,AN1640)+AP1641+AD1640,IF(AM1640&lt;&gt;"",INDEX('Aub Demand'!Q:Q,MATCH($O1640,'Aub Demand'!$A:$A,0))-IF(AN1640="",0,AN1640)+AD1640+AL1640,INDEX('Aub Demand'!Q:Q,MATCH($O1640,'Aub Demand'!$A:$A,0))-IF(AN1640="",0,AN1640)+AD1640))),"")</f>
        <v>2295</v>
      </c>
      <c r="Y1640" s="53">
        <f t="shared" si="704"/>
        <v>265.8</v>
      </c>
      <c r="Z1640" s="52">
        <f>IF(L1640="","",INDEX('Aub Demand'!H:H,MATCH($O1640,'Aub Demand'!$A:$A,0)))</f>
        <v>37</v>
      </c>
      <c r="AA1640" s="52">
        <f t="shared" si="705"/>
        <v>96</v>
      </c>
      <c r="AB1640" s="52">
        <f>IFERROR(INDEX('Aub Demand'!L:L,MATCH($O1640,'Aub Demand'!$A:$A,0)),"")</f>
        <v>430</v>
      </c>
      <c r="AC1640" s="52">
        <f>IFERROR(IF(O1640="","",SUMIFS('CPL Mats'!F:F,'CPL Mats'!Q:Q,AR1640,'CPL Mats'!S:S,AS1640)),"")</f>
        <v>3825.16</v>
      </c>
      <c r="AF1640" s="25" t="str">
        <f>IF(SUMIFS('Supp Consol'!S:S,'Supp Consol'!Y:Y,"Releasable",'Supp Consol'!A:A,O1640)=0,"",SUMIFS('Supp Consol'!S:S,'Supp Consol'!Y:Y,"Releasable",'Supp Consol'!A:A,O1640))</f>
        <v/>
      </c>
      <c r="AG1640" s="25">
        <f>IFERROR(INDEX('Hun Demand'!Q:Q,MATCH(O1640,'Hun Demand'!A:A,0)),"")</f>
        <v>119</v>
      </c>
      <c r="AH1640" s="25">
        <f>IFERROR(INDEX('Hun Demand'!H:H,MATCH($O1640,'Hun Demand'!$A:$A,0)),"")</f>
        <v>0</v>
      </c>
      <c r="AI1640" s="25" t="str">
        <f>IF(SUMIFS('Supp Consol'!AA:AA,'Supp Consol'!Z:Z,"Expires this month",'Supp Consol'!A:A,O1640)=0,"",SUMIFS('Supp Consol'!AA:AA,'Supp Consol'!Z:Z,"Expires this month",'Supp Consol'!A:A,O1640))</f>
        <v/>
      </c>
      <c r="AJ1640" s="25" t="str">
        <f>IF(SUMIFS('Supp Consol'!AA:AA,'Supp Consol'!Z:Z,"Expired Previous Months",'Supp Consol'!A:A,O1640)=0,"",SUMIFS('Supp Consol'!AA:AA,'Supp Consol'!Z:Z,"Expired Previous Months",'Supp Consol'!A:A,O1640))</f>
        <v/>
      </c>
      <c r="AK1640" s="25" t="str">
        <f>IFERROR(INDEX('Hun Release Current'!B:B,MATCH(O1640,'Hun Release Current'!A:A,0)),"")</f>
        <v/>
      </c>
      <c r="AL1640" s="25" t="str">
        <f>IF(SUMIF('Prev Aub'!A:A,O1640,'Prev Aub'!B:B)=0,"",SUMIF('Prev Aub'!A:A,O1640,'Prev Aub'!B:B))</f>
        <v/>
      </c>
      <c r="AN1640" s="25" t="s">
        <v>3790</v>
      </c>
      <c r="AO1640" s="25" t="s">
        <v>3790</v>
      </c>
      <c r="AP1640" s="25">
        <f t="shared" si="706"/>
        <v>0</v>
      </c>
      <c r="AQ1640" s="151" t="str">
        <f>IF(SUMIFS('Supp Consol'!S:S,'Supp Consol'!A:A,O1640,'Supp Consol'!I:I,"PENDING")=0,"",SUMIFS('Supp Consol'!S:S,'Supp Consol'!A:A,O1640,'Supp Consol'!I:I,"PENDING"))</f>
        <v/>
      </c>
      <c r="AR1640" s="27" t="str">
        <f t="shared" si="707"/>
        <v>WY031</v>
      </c>
      <c r="AS1640" s="27" t="str">
        <f t="shared" si="708"/>
        <v>50</v>
      </c>
      <c r="AT1640" s="27" t="str">
        <f t="shared" si="709"/>
        <v/>
      </c>
      <c r="AU1640" s="27" t="str">
        <f t="shared" si="710"/>
        <v/>
      </c>
      <c r="AV1640" s="27" t="str">
        <f t="shared" si="711"/>
        <v/>
      </c>
      <c r="AW1640" s="27" t="str">
        <f t="shared" si="712"/>
        <v/>
      </c>
      <c r="AX1640" s="27" t="str">
        <f t="shared" si="713"/>
        <v/>
      </c>
      <c r="AY1640" s="27" t="str">
        <f t="shared" si="714"/>
        <v>WY031</v>
      </c>
      <c r="AZ1640" s="27" t="str">
        <f t="shared" si="715"/>
        <v/>
      </c>
      <c r="BA1640" s="27" t="str">
        <f t="shared" si="716"/>
        <v>Hun</v>
      </c>
      <c r="BB1640" s="27" t="str">
        <f t="shared" si="717"/>
        <v/>
      </c>
      <c r="BC1640" s="27" t="str">
        <f t="shared" si="718"/>
        <v/>
      </c>
      <c r="BD1640" s="27" t="str">
        <f t="shared" si="719"/>
        <v/>
      </c>
      <c r="BE1640" s="27" t="str">
        <f t="shared" si="720"/>
        <v/>
      </c>
      <c r="BF1640" s="27" t="str">
        <f t="shared" si="721"/>
        <v/>
      </c>
      <c r="BG1640" s="27" t="str">
        <f t="shared" si="722"/>
        <v/>
      </c>
      <c r="BH1640" s="27" t="str">
        <f t="shared" si="723"/>
        <v/>
      </c>
      <c r="BI1640" s="27" t="str">
        <f t="shared" si="724"/>
        <v/>
      </c>
      <c r="BJ1640" s="27" t="str">
        <f t="shared" si="725"/>
        <v>Supp or Hun</v>
      </c>
      <c r="BK1640" s="27" t="str">
        <f t="shared" si="726"/>
        <v/>
      </c>
      <c r="BL1640" s="27" t="str">
        <f t="shared" si="727"/>
        <v/>
      </c>
      <c r="BM1640" s="21" t="s">
        <v>5581</v>
      </c>
    </row>
    <row r="1641" spans="1:65" ht="15">
      <c r="A1641" s="25">
        <f>IFERROR(INDEX('Hun Demand'!W:W,MATCH(O1641,'Hun Demand'!A:A,0)),"")</f>
        <v>201</v>
      </c>
      <c r="B1641" s="25">
        <f>IFERROR(INDEX('Hun Demand'!V:V,MATCH(O1641,'Hun Demand'!A:A,0)),"")</f>
        <v>0</v>
      </c>
      <c r="C1641" s="25">
        <f>IFERROR(INDEX('Hun Demand'!U:U,MATCH(O1641,'Hun Demand'!A:A,0)),"")</f>
        <v>425</v>
      </c>
      <c r="D1641" s="25">
        <f>IFERROR(INDEX('Hun Demand'!T:T,MATCH(O1641,'Hun Demand'!A:A,0)),"")</f>
        <v>0</v>
      </c>
      <c r="E1641" s="25">
        <f>IFERROR(INDEX('Hun Demand'!S:S,MATCH(O1641,'Hun Demand'!A:A,0)),"")</f>
        <v>167</v>
      </c>
      <c r="F1641" s="25">
        <f>IFERROR(INDEX('Hun Demand'!R:R,MATCH(O1641,'Hun Demand'!A:A,0)),"")</f>
        <v>0</v>
      </c>
      <c r="G1641" s="25">
        <f>IFERROR(INDEX('Aub Demand'!W:W,MATCH(O1641,'Aub Demand'!A:A,0)),"")</f>
        <v>85</v>
      </c>
      <c r="H1641" s="25">
        <f>IFERROR(INDEX('Aub Demand'!V:V,MATCH(O1641,'Aub Demand'!A:A,0)),"")</f>
        <v>51</v>
      </c>
      <c r="I1641" s="25">
        <f>IFERROR(INDEX('Aub Demand'!U:U,MATCH(O1641,'Aub Demand'!A:A,0)),"")</f>
        <v>18</v>
      </c>
      <c r="J1641" s="25">
        <f>IFERROR(INDEX('Aub Demand'!T:T,MATCH(O1641,'Aub Demand'!A:A,0)),"")</f>
        <v>126</v>
      </c>
      <c r="K1641" s="25">
        <f>IFERROR(INDEX('Aub Demand'!S:S,MATCH(O1641,'Aub Demand'!A:A,0)),"")</f>
        <v>15</v>
      </c>
      <c r="L1641" s="25">
        <f>IFERROR(INDEX('Aub Demand'!R:R,MATCH(O1641,'Aub Demand'!A:A,0)),"")</f>
        <v>20</v>
      </c>
      <c r="O1641" s="27" t="s">
        <v>1987</v>
      </c>
      <c r="P1641" s="27" t="str">
        <f>IFERROR(INDEX('Aub Demand'!B:B,MATCH($O1641,'Aub Demand'!$A:$A,0)),"")</f>
        <v>FORMAL MAHOGANY</v>
      </c>
      <c r="Q1641" s="27" t="str">
        <f>IFERROR(INDEX('Aub Demand'!C:C,MATCH($O1641,'Aub Demand'!$A:$A,0)),"")</f>
        <v>INTER</v>
      </c>
      <c r="R1641" s="52">
        <f>IFERROR(IF(AR1642=AR1641,INDEX('Aub Demand'!K:K,MATCH($O1641,'Aub Demand'!$A:$A,0))-IF(AN1641="",0,AN1641)+AP1642,INDEX('Aub Demand'!K:K,MATCH($O1641,'Aub Demand'!$A:$A,0))-IF(AN1641="",0,AN1641)),"")</f>
        <v>375</v>
      </c>
      <c r="S1641" s="53">
        <f t="shared" si="700"/>
        <v>30.3</v>
      </c>
      <c r="T1641" s="52" t="str">
        <f t="shared" si="701"/>
        <v/>
      </c>
      <c r="U1641" s="52">
        <f>IFERROR(IF(AR1642=AR1641,INDEX('Aub Demand'!Q:Q,MATCH($O1641,'Aub Demand'!$A:$A,0))-IF(AN1641="",0,AN1641)+AP1642,INDEX('Aub Demand'!Q:Q,MATCH($O1641,'Aub Demand'!$A:$A,0))-IF(AN1641="",0,AN1641)),"")</f>
        <v>353</v>
      </c>
      <c r="V1641" s="53">
        <f t="shared" si="702"/>
        <v>28.5</v>
      </c>
      <c r="W1641" s="52" t="str">
        <f t="shared" si="703"/>
        <v/>
      </c>
      <c r="X1641" s="52">
        <f>IFERROR(IF(AND(AR1642=AR1641,AM1641&lt;&gt;""),INDEX('Aub Demand'!Q:Q,MATCH($O1641,'Aub Demand'!$A:$A,0))-IF(AN1641="",0,AN1641)+AP1642+AD1641+AL1641,IF(AR1642=AR1641,INDEX('Aub Demand'!Q:Q,MATCH($O1641,'Aub Demand'!$A:$A,0))-IF(AN1641="",0,AN1641)+AP1642+AD1641,IF(AM1641&lt;&gt;"",INDEX('Aub Demand'!Q:Q,MATCH($O1641,'Aub Demand'!$A:$A,0))-IF(AN1641="",0,AN1641)+AD1641+AL1641,INDEX('Aub Demand'!Q:Q,MATCH($O1641,'Aub Demand'!$A:$A,0))-IF(AN1641="",0,AN1641)+AD1641))),"")</f>
        <v>353</v>
      </c>
      <c r="Y1641" s="53">
        <f t="shared" si="704"/>
        <v>28.5</v>
      </c>
      <c r="Z1641" s="52">
        <f>IF(L1641="","",INDEX('Aub Demand'!H:H,MATCH($O1641,'Aub Demand'!$A:$A,0)))</f>
        <v>53</v>
      </c>
      <c r="AA1641" s="52">
        <f t="shared" si="705"/>
        <v>73</v>
      </c>
      <c r="AB1641" s="52">
        <f>IFERROR(INDEX('Aub Demand'!L:L,MATCH($O1641,'Aub Demand'!$A:$A,0)),"")</f>
        <v>94</v>
      </c>
      <c r="AC1641" s="52">
        <f>IFERROR(IF(O1641="","",SUMIFS('CPL Mats'!F:F,'CPL Mats'!Q:Q,AR1641,'CPL Mats'!S:S,AS1641)),"")</f>
        <v>0</v>
      </c>
      <c r="AF1641" s="25" t="str">
        <f>IF(SUMIFS('Supp Consol'!S:S,'Supp Consol'!Y:Y,"Releasable",'Supp Consol'!A:A,O1641)=0,"",SUMIFS('Supp Consol'!S:S,'Supp Consol'!Y:Y,"Releasable",'Supp Consol'!A:A,O1641))</f>
        <v/>
      </c>
      <c r="AG1641" s="25">
        <f>IFERROR(INDEX('Hun Demand'!Q:Q,MATCH(O1641,'Hun Demand'!A:A,0)),"")</f>
        <v>1896</v>
      </c>
      <c r="AH1641" s="25">
        <f>IFERROR(INDEX('Hun Demand'!H:H,MATCH($O1641,'Hun Demand'!$A:$A,0)),"")</f>
        <v>197</v>
      </c>
      <c r="AI1641" s="25" t="str">
        <f>IF(SUMIFS('Supp Consol'!AA:AA,'Supp Consol'!Z:Z,"Expires this month",'Supp Consol'!A:A,O1641)=0,"",SUMIFS('Supp Consol'!AA:AA,'Supp Consol'!Z:Z,"Expires this month",'Supp Consol'!A:A,O1641))</f>
        <v/>
      </c>
      <c r="AJ1641" s="25" t="str">
        <f>IF(SUMIFS('Supp Consol'!AA:AA,'Supp Consol'!Z:Z,"Expired Previous Months",'Supp Consol'!A:A,O1641)=0,"",SUMIFS('Supp Consol'!AA:AA,'Supp Consol'!Z:Z,"Expired Previous Months",'Supp Consol'!A:A,O1641))</f>
        <v/>
      </c>
      <c r="AK1641" s="25" t="str">
        <f>IFERROR(INDEX('Hun Release Current'!B:B,MATCH(O1641,'Hun Release Current'!A:A,0)),"")</f>
        <v/>
      </c>
      <c r="AL1641" s="25" t="str">
        <f>IF(SUMIF('Prev Aub'!A:A,O1641,'Prev Aub'!B:B)=0,"",SUMIF('Prev Aub'!A:A,O1641,'Prev Aub'!B:B))</f>
        <v/>
      </c>
      <c r="AN1641" s="25" t="s">
        <v>3790</v>
      </c>
      <c r="AO1641" s="25" t="s">
        <v>3790</v>
      </c>
      <c r="AP1641" s="25">
        <f t="shared" si="706"/>
        <v>0</v>
      </c>
      <c r="AQ1641" s="151" t="str">
        <f>IF(SUMIFS('Supp Consol'!S:S,'Supp Consol'!A:A,O1641,'Supp Consol'!I:I,"PENDING")=0,"",SUMIFS('Supp Consol'!S:S,'Supp Consol'!A:A,O1641,'Supp Consol'!I:I,"PENDING"))</f>
        <v/>
      </c>
      <c r="AR1641" s="27" t="str">
        <f t="shared" si="707"/>
        <v>WY031</v>
      </c>
      <c r="AS1641" s="27" t="str">
        <f t="shared" si="708"/>
        <v>62</v>
      </c>
      <c r="AT1641" s="27" t="str">
        <f t="shared" si="709"/>
        <v/>
      </c>
      <c r="AU1641" s="27" t="str">
        <f t="shared" si="710"/>
        <v/>
      </c>
      <c r="AV1641" s="27" t="str">
        <f t="shared" si="711"/>
        <v/>
      </c>
      <c r="AW1641" s="27" t="str">
        <f t="shared" si="712"/>
        <v/>
      </c>
      <c r="AX1641" s="27" t="str">
        <f t="shared" si="713"/>
        <v/>
      </c>
      <c r="AY1641" s="27" t="str">
        <f t="shared" si="714"/>
        <v>WY031</v>
      </c>
      <c r="AZ1641" s="27" t="str">
        <f t="shared" si="715"/>
        <v/>
      </c>
      <c r="BA1641" s="27" t="str">
        <f t="shared" si="716"/>
        <v>Hun</v>
      </c>
      <c r="BB1641" s="27" t="str">
        <f t="shared" si="717"/>
        <v/>
      </c>
      <c r="BC1641" s="27" t="str">
        <f t="shared" si="718"/>
        <v/>
      </c>
      <c r="BD1641" s="27" t="str">
        <f t="shared" si="719"/>
        <v/>
      </c>
      <c r="BE1641" s="27" t="str">
        <f t="shared" si="720"/>
        <v/>
      </c>
      <c r="BF1641" s="27" t="str">
        <f t="shared" si="721"/>
        <v/>
      </c>
      <c r="BG1641" s="27" t="str">
        <f t="shared" si="722"/>
        <v/>
      </c>
      <c r="BH1641" s="27" t="str">
        <f t="shared" si="723"/>
        <v/>
      </c>
      <c r="BI1641" s="27" t="str">
        <f t="shared" si="724"/>
        <v/>
      </c>
      <c r="BJ1641" s="27" t="str">
        <f t="shared" si="725"/>
        <v>Supp or Hun</v>
      </c>
      <c r="BK1641" s="27" t="str">
        <f t="shared" si="726"/>
        <v/>
      </c>
      <c r="BL1641" s="27" t="str">
        <f t="shared" si="727"/>
        <v/>
      </c>
      <c r="BM1641" s="21" t="s">
        <v>5581</v>
      </c>
    </row>
    <row r="1642" spans="1:65" ht="15">
      <c r="A1642" s="25" t="str">
        <f>IFERROR(INDEX('Hun Demand'!W:W,MATCH(O1642,'Hun Demand'!A:A,0)),"")</f>
        <v/>
      </c>
      <c r="B1642" s="25" t="str">
        <f>IFERROR(INDEX('Hun Demand'!V:V,MATCH(O1642,'Hun Demand'!A:A,0)),"")</f>
        <v/>
      </c>
      <c r="C1642" s="25" t="str">
        <f>IFERROR(INDEX('Hun Demand'!U:U,MATCH(O1642,'Hun Demand'!A:A,0)),"")</f>
        <v/>
      </c>
      <c r="D1642" s="25" t="str">
        <f>IFERROR(INDEX('Hun Demand'!T:T,MATCH(O1642,'Hun Demand'!A:A,0)),"")</f>
        <v/>
      </c>
      <c r="E1642" s="25" t="str">
        <f>IFERROR(INDEX('Hun Demand'!S:S,MATCH(O1642,'Hun Demand'!A:A,0)),"")</f>
        <v/>
      </c>
      <c r="F1642" s="25" t="str">
        <f>IFERROR(INDEX('Hun Demand'!R:R,MATCH(O1642,'Hun Demand'!A:A,0)),"")</f>
        <v/>
      </c>
      <c r="G1642" s="25">
        <f>IFERROR(INDEX('Aub Demand'!W:W,MATCH(O1642,'Aub Demand'!A:A,0)),"")</f>
        <v>0</v>
      </c>
      <c r="H1642" s="25">
        <f>IFERROR(INDEX('Aub Demand'!V:V,MATCH(O1642,'Aub Demand'!A:A,0)),"")</f>
        <v>0</v>
      </c>
      <c r="I1642" s="25">
        <f>IFERROR(INDEX('Aub Demand'!U:U,MATCH(O1642,'Aub Demand'!A:A,0)),"")</f>
        <v>0</v>
      </c>
      <c r="J1642" s="25">
        <f>IFERROR(INDEX('Aub Demand'!T:T,MATCH(O1642,'Aub Demand'!A:A,0)),"")</f>
        <v>0</v>
      </c>
      <c r="K1642" s="25">
        <f>IFERROR(INDEX('Aub Demand'!S:S,MATCH(O1642,'Aub Demand'!A:A,0)),"")</f>
        <v>0</v>
      </c>
      <c r="L1642" s="25">
        <f>IFERROR(INDEX('Aub Demand'!R:R,MATCH(O1642,'Aub Demand'!A:A,0)),"")</f>
        <v>0</v>
      </c>
      <c r="O1642" s="27" t="s">
        <v>1989</v>
      </c>
      <c r="P1642" s="27" t="str">
        <f>IFERROR(INDEX('Aub Demand'!B:B,MATCH($O1642,'Aub Demand'!$A:$A,0)),"")</f>
        <v>RM BROWN</v>
      </c>
      <c r="Q1642" s="27" t="str">
        <f>IFERROR(INDEX('Aub Demand'!C:C,MATCH($O1642,'Aub Demand'!$A:$A,0)),"")</f>
        <v>DNP A</v>
      </c>
      <c r="R1642" s="52">
        <f>IFERROR(IF(AR1643=AR1642,INDEX('Aub Demand'!K:K,MATCH($O1642,'Aub Demand'!$A:$A,0))-IF(AN1642="",0,AN1642)+AP1643,INDEX('Aub Demand'!K:K,MATCH($O1642,'Aub Demand'!$A:$A,0))-IF(AN1642="",0,AN1642)),"")</f>
        <v>1079</v>
      </c>
      <c r="S1642" s="53" t="str">
        <f t="shared" si="700"/>
        <v>n/a</v>
      </c>
      <c r="T1642" s="52" t="str">
        <f t="shared" si="701"/>
        <v/>
      </c>
      <c r="U1642" s="52">
        <f>IFERROR(IF(AR1643=AR1642,INDEX('Aub Demand'!Q:Q,MATCH($O1642,'Aub Demand'!$A:$A,0))-IF(AN1642="",0,AN1642)+AP1643,INDEX('Aub Demand'!Q:Q,MATCH($O1642,'Aub Demand'!$A:$A,0))-IF(AN1642="",0,AN1642)),"")</f>
        <v>1079</v>
      </c>
      <c r="V1642" s="53" t="str">
        <f t="shared" si="702"/>
        <v>n/a</v>
      </c>
      <c r="W1642" s="52" t="str">
        <f t="shared" si="703"/>
        <v/>
      </c>
      <c r="X1642" s="52">
        <f>IFERROR(IF(AND(AR1643=AR1642,AM1642&lt;&gt;""),INDEX('Aub Demand'!Q:Q,MATCH($O1642,'Aub Demand'!$A:$A,0))-IF(AN1642="",0,AN1642)+AP1643+AD1642+AL1642,IF(AR1643=AR1642,INDEX('Aub Demand'!Q:Q,MATCH($O1642,'Aub Demand'!$A:$A,0))-IF(AN1642="",0,AN1642)+AP1643+AD1642,IF(AM1642&lt;&gt;"",INDEX('Aub Demand'!Q:Q,MATCH($O1642,'Aub Demand'!$A:$A,0))-IF(AN1642="",0,AN1642)+AD1642+AL1642,INDEX('Aub Demand'!Q:Q,MATCH($O1642,'Aub Demand'!$A:$A,0))-IF(AN1642="",0,AN1642)+AD1642))),"")</f>
        <v>1079</v>
      </c>
      <c r="Y1642" s="53" t="str">
        <f t="shared" si="704"/>
        <v>n/a</v>
      </c>
      <c r="Z1642" s="52">
        <f>IF(L1642="","",INDEX('Aub Demand'!H:H,MATCH($O1642,'Aub Demand'!$A:$A,0)))</f>
        <v>0</v>
      </c>
      <c r="AA1642" s="52" t="str">
        <f t="shared" si="705"/>
        <v>-spike-</v>
      </c>
      <c r="AB1642" s="52">
        <f>IFERROR(INDEX('Aub Demand'!L:L,MATCH($O1642,'Aub Demand'!$A:$A,0)),"")</f>
        <v>0</v>
      </c>
      <c r="AC1642" s="52">
        <f>IFERROR(IF(O1642="","",SUMIFS('CPL Mats'!F:F,'CPL Mats'!Q:Q,AR1642,'CPL Mats'!S:S,AS1642)),"")</f>
        <v>0</v>
      </c>
      <c r="AF1642" s="25" t="str">
        <f>IF(SUMIFS('Supp Consol'!S:S,'Supp Consol'!Y:Y,"Releasable",'Supp Consol'!A:A,O1642)=0,"",SUMIFS('Supp Consol'!S:S,'Supp Consol'!Y:Y,"Releasable",'Supp Consol'!A:A,O1642))</f>
        <v/>
      </c>
      <c r="AG1642" s="25" t="str">
        <f>IFERROR(INDEX('Hun Demand'!Q:Q,MATCH(O1642,'Hun Demand'!A:A,0)),"")</f>
        <v/>
      </c>
      <c r="AH1642" s="25" t="str">
        <f>IFERROR(INDEX('Hun Demand'!H:H,MATCH($O1642,'Hun Demand'!$A:$A,0)),"")</f>
        <v/>
      </c>
      <c r="AI1642" s="25" t="str">
        <f>IF(SUMIFS('Supp Consol'!AA:AA,'Supp Consol'!Z:Z,"Expires this month",'Supp Consol'!A:A,O1642)=0,"",SUMIFS('Supp Consol'!AA:AA,'Supp Consol'!Z:Z,"Expires this month",'Supp Consol'!A:A,O1642))</f>
        <v/>
      </c>
      <c r="AJ1642" s="25" t="str">
        <f>IF(SUMIFS('Supp Consol'!AA:AA,'Supp Consol'!Z:Z,"Expired Previous Months",'Supp Consol'!A:A,O1642)=0,"",SUMIFS('Supp Consol'!AA:AA,'Supp Consol'!Z:Z,"Expired Previous Months",'Supp Consol'!A:A,O1642))</f>
        <v/>
      </c>
      <c r="AK1642" s="25" t="str">
        <f>IFERROR(INDEX('Hun Release Current'!B:B,MATCH(O1642,'Hun Release Current'!A:A,0)),"")</f>
        <v/>
      </c>
      <c r="AL1642" s="25" t="str">
        <f>IF(SUMIF('Prev Aub'!A:A,O1642,'Prev Aub'!B:B)=0,"",SUMIF('Prev Aub'!A:A,O1642,'Prev Aub'!B:B))</f>
        <v/>
      </c>
      <c r="AN1642" s="25" t="s">
        <v>3790</v>
      </c>
      <c r="AO1642" s="25" t="s">
        <v>3790</v>
      </c>
      <c r="AP1642" s="25">
        <f t="shared" si="706"/>
        <v>0</v>
      </c>
      <c r="AQ1642" s="151" t="str">
        <f>IF(SUMIFS('Supp Consol'!S:S,'Supp Consol'!A:A,O1642,'Supp Consol'!I:I,"PENDING")=0,"",SUMIFS('Supp Consol'!S:S,'Supp Consol'!A:A,O1642,'Supp Consol'!I:I,"PENDING"))</f>
        <v/>
      </c>
      <c r="AR1642" s="27" t="str">
        <f t="shared" si="707"/>
        <v>WY071</v>
      </c>
      <c r="AS1642" s="27" t="str">
        <f t="shared" si="708"/>
        <v>50</v>
      </c>
      <c r="AT1642" s="27" t="str">
        <f t="shared" si="709"/>
        <v/>
      </c>
      <c r="AU1642" s="27" t="str">
        <f t="shared" si="710"/>
        <v/>
      </c>
      <c r="AV1642" s="27" t="str">
        <f t="shared" si="711"/>
        <v/>
      </c>
      <c r="AW1642" s="27" t="str">
        <f t="shared" si="712"/>
        <v/>
      </c>
      <c r="AX1642" s="27" t="str">
        <f t="shared" si="713"/>
        <v/>
      </c>
      <c r="AY1642" s="27" t="str">
        <f t="shared" si="714"/>
        <v/>
      </c>
      <c r="AZ1642" s="27" t="str">
        <f t="shared" si="715"/>
        <v/>
      </c>
      <c r="BA1642" s="27" t="str">
        <f t="shared" si="716"/>
        <v/>
      </c>
      <c r="BB1642" s="27" t="str">
        <f t="shared" si="717"/>
        <v/>
      </c>
      <c r="BC1642" s="27" t="str">
        <f t="shared" si="718"/>
        <v/>
      </c>
      <c r="BD1642" s="27" t="str">
        <f t="shared" si="719"/>
        <v/>
      </c>
      <c r="BE1642" s="27" t="str">
        <f t="shared" si="720"/>
        <v/>
      </c>
      <c r="BF1642" s="27" t="str">
        <f t="shared" si="721"/>
        <v/>
      </c>
      <c r="BG1642" s="27" t="str">
        <f t="shared" si="722"/>
        <v/>
      </c>
      <c r="BH1642" s="27" t="str">
        <f t="shared" si="723"/>
        <v/>
      </c>
      <c r="BI1642" s="27" t="str">
        <f t="shared" si="724"/>
        <v/>
      </c>
      <c r="BJ1642" s="27" t="str">
        <f t="shared" si="725"/>
        <v/>
      </c>
      <c r="BK1642" s="27" t="str">
        <f t="shared" si="726"/>
        <v/>
      </c>
      <c r="BL1642" s="27" t="str">
        <f t="shared" si="727"/>
        <v/>
      </c>
      <c r="BM1642" s="21" t="s">
        <v>3790</v>
      </c>
    </row>
    <row r="1643" spans="1:65" ht="15">
      <c r="A1643" s="25" t="str">
        <f>IFERROR(INDEX('Hun Demand'!W:W,MATCH(O1643,'Hun Demand'!A:A,0)),"")</f>
        <v/>
      </c>
      <c r="B1643" s="25" t="str">
        <f>IFERROR(INDEX('Hun Demand'!V:V,MATCH(O1643,'Hun Demand'!A:A,0)),"")</f>
        <v/>
      </c>
      <c r="C1643" s="25" t="str">
        <f>IFERROR(INDEX('Hun Demand'!U:U,MATCH(O1643,'Hun Demand'!A:A,0)),"")</f>
        <v/>
      </c>
      <c r="D1643" s="25" t="str">
        <f>IFERROR(INDEX('Hun Demand'!T:T,MATCH(O1643,'Hun Demand'!A:A,0)),"")</f>
        <v/>
      </c>
      <c r="E1643" s="25" t="str">
        <f>IFERROR(INDEX('Hun Demand'!S:S,MATCH(O1643,'Hun Demand'!A:A,0)),"")</f>
        <v/>
      </c>
      <c r="F1643" s="25" t="str">
        <f>IFERROR(INDEX('Hun Demand'!R:R,MATCH(O1643,'Hun Demand'!A:A,0)),"")</f>
        <v/>
      </c>
      <c r="G1643" s="25">
        <f>IFERROR(INDEX('Aub Demand'!W:W,MATCH(O1643,'Aub Demand'!A:A,0)),"")</f>
        <v>0</v>
      </c>
      <c r="H1643" s="25">
        <f>IFERROR(INDEX('Aub Demand'!V:V,MATCH(O1643,'Aub Demand'!A:A,0)),"")</f>
        <v>0</v>
      </c>
      <c r="I1643" s="25">
        <f>IFERROR(INDEX('Aub Demand'!U:U,MATCH(O1643,'Aub Demand'!A:A,0)),"")</f>
        <v>0</v>
      </c>
      <c r="J1643" s="25">
        <f>IFERROR(INDEX('Aub Demand'!T:T,MATCH(O1643,'Aub Demand'!A:A,0)),"")</f>
        <v>0</v>
      </c>
      <c r="K1643" s="25">
        <f>IFERROR(INDEX('Aub Demand'!S:S,MATCH(O1643,'Aub Demand'!A:A,0)),"")</f>
        <v>0</v>
      </c>
      <c r="L1643" s="25">
        <f>IFERROR(INDEX('Aub Demand'!R:R,MATCH(O1643,'Aub Demand'!A:A,0)),"")</f>
        <v>0</v>
      </c>
      <c r="O1643" s="27" t="s">
        <v>1992</v>
      </c>
      <c r="P1643" s="27" t="str">
        <f>IFERROR(INDEX('Aub Demand'!B:B,MATCH($O1643,'Aub Demand'!$A:$A,0)),"")</f>
        <v>RM BROWN</v>
      </c>
      <c r="Q1643" s="27" t="str">
        <f>IFERROR(INDEX('Aub Demand'!C:C,MATCH($O1643,'Aub Demand'!$A:$A,0)),"")</f>
        <v>DNP A</v>
      </c>
      <c r="R1643" s="52">
        <f>IFERROR(IF(AR1644=AR1643,INDEX('Aub Demand'!K:K,MATCH($O1643,'Aub Demand'!$A:$A,0))-IF(AN1643="",0,AN1643)+AP1644,INDEX('Aub Demand'!K:K,MATCH($O1643,'Aub Demand'!$A:$A,0))-IF(AN1643="",0,AN1643)),"")</f>
        <v>2884</v>
      </c>
      <c r="S1643" s="53" t="str">
        <f t="shared" si="700"/>
        <v>n/a</v>
      </c>
      <c r="T1643" s="52" t="str">
        <f t="shared" si="701"/>
        <v/>
      </c>
      <c r="U1643" s="52">
        <f>IFERROR(IF(AR1644=AR1643,INDEX('Aub Demand'!Q:Q,MATCH($O1643,'Aub Demand'!$A:$A,0))-IF(AN1643="",0,AN1643)+AP1644,INDEX('Aub Demand'!Q:Q,MATCH($O1643,'Aub Demand'!$A:$A,0))-IF(AN1643="",0,AN1643)),"")</f>
        <v>2884</v>
      </c>
      <c r="V1643" s="53" t="str">
        <f t="shared" si="702"/>
        <v>n/a</v>
      </c>
      <c r="W1643" s="52" t="str">
        <f t="shared" si="703"/>
        <v/>
      </c>
      <c r="X1643" s="52">
        <f>IFERROR(IF(AND(AR1644=AR1643,AM1643&lt;&gt;""),INDEX('Aub Demand'!Q:Q,MATCH($O1643,'Aub Demand'!$A:$A,0))-IF(AN1643="",0,AN1643)+AP1644+AD1643+AL1643,IF(AR1644=AR1643,INDEX('Aub Demand'!Q:Q,MATCH($O1643,'Aub Demand'!$A:$A,0))-IF(AN1643="",0,AN1643)+AP1644+AD1643,IF(AM1643&lt;&gt;"",INDEX('Aub Demand'!Q:Q,MATCH($O1643,'Aub Demand'!$A:$A,0))-IF(AN1643="",0,AN1643)+AD1643+AL1643,INDEX('Aub Demand'!Q:Q,MATCH($O1643,'Aub Demand'!$A:$A,0))-IF(AN1643="",0,AN1643)+AD1643))),"")</f>
        <v>2884</v>
      </c>
      <c r="Y1643" s="53" t="str">
        <f t="shared" si="704"/>
        <v>n/a</v>
      </c>
      <c r="Z1643" s="52">
        <f>IF(L1643="","",INDEX('Aub Demand'!H:H,MATCH($O1643,'Aub Demand'!$A:$A,0)))</f>
        <v>0</v>
      </c>
      <c r="AA1643" s="52" t="str">
        <f t="shared" si="705"/>
        <v>-spike-</v>
      </c>
      <c r="AB1643" s="52">
        <f>IFERROR(INDEX('Aub Demand'!L:L,MATCH($O1643,'Aub Demand'!$A:$A,0)),"")</f>
        <v>0</v>
      </c>
      <c r="AC1643" s="52">
        <f>IFERROR(IF(O1643="","",SUMIFS('CPL Mats'!F:F,'CPL Mats'!Q:Q,AR1643,'CPL Mats'!S:S,AS1643)),"")</f>
        <v>0</v>
      </c>
      <c r="AF1643" s="25" t="str">
        <f>IF(SUMIFS('Supp Consol'!S:S,'Supp Consol'!Y:Y,"Releasable",'Supp Consol'!A:A,O1643)=0,"",SUMIFS('Supp Consol'!S:S,'Supp Consol'!Y:Y,"Releasable",'Supp Consol'!A:A,O1643))</f>
        <v/>
      </c>
      <c r="AG1643" s="25" t="str">
        <f>IFERROR(INDEX('Hun Demand'!Q:Q,MATCH(O1643,'Hun Demand'!A:A,0)),"")</f>
        <v/>
      </c>
      <c r="AH1643" s="25" t="str">
        <f>IFERROR(INDEX('Hun Demand'!H:H,MATCH($O1643,'Hun Demand'!$A:$A,0)),"")</f>
        <v/>
      </c>
      <c r="AI1643" s="25" t="str">
        <f>IF(SUMIFS('Supp Consol'!AA:AA,'Supp Consol'!Z:Z,"Expires this month",'Supp Consol'!A:A,O1643)=0,"",SUMIFS('Supp Consol'!AA:AA,'Supp Consol'!Z:Z,"Expires this month",'Supp Consol'!A:A,O1643))</f>
        <v/>
      </c>
      <c r="AJ1643" s="25" t="str">
        <f>IF(SUMIFS('Supp Consol'!AA:AA,'Supp Consol'!Z:Z,"Expired Previous Months",'Supp Consol'!A:A,O1643)=0,"",SUMIFS('Supp Consol'!AA:AA,'Supp Consol'!Z:Z,"Expired Previous Months",'Supp Consol'!A:A,O1643))</f>
        <v/>
      </c>
      <c r="AK1643" s="25" t="str">
        <f>IFERROR(INDEX('Hun Release Current'!B:B,MATCH(O1643,'Hun Release Current'!A:A,0)),"")</f>
        <v/>
      </c>
      <c r="AL1643" s="25" t="str">
        <f>IF(SUMIF('Prev Aub'!A:A,O1643,'Prev Aub'!B:B)=0,"",SUMIF('Prev Aub'!A:A,O1643,'Prev Aub'!B:B))</f>
        <v/>
      </c>
      <c r="AN1643" s="25" t="s">
        <v>3790</v>
      </c>
      <c r="AO1643" s="25" t="s">
        <v>3790</v>
      </c>
      <c r="AP1643" s="25">
        <f t="shared" si="706"/>
        <v>0</v>
      </c>
      <c r="AQ1643" s="151" t="str">
        <f>IF(SUMIFS('Supp Consol'!S:S,'Supp Consol'!A:A,O1643,'Supp Consol'!I:I,"PENDING")=0,"",SUMIFS('Supp Consol'!S:S,'Supp Consol'!A:A,O1643,'Supp Consol'!I:I,"PENDING"))</f>
        <v/>
      </c>
      <c r="AR1643" s="27" t="str">
        <f t="shared" si="707"/>
        <v>WY071</v>
      </c>
      <c r="AS1643" s="27" t="str">
        <f t="shared" si="708"/>
        <v>62</v>
      </c>
      <c r="AT1643" s="27" t="str">
        <f t="shared" si="709"/>
        <v/>
      </c>
      <c r="AU1643" s="27" t="str">
        <f t="shared" si="710"/>
        <v/>
      </c>
      <c r="AV1643" s="27" t="str">
        <f t="shared" si="711"/>
        <v/>
      </c>
      <c r="AW1643" s="27" t="str">
        <f t="shared" si="712"/>
        <v/>
      </c>
      <c r="AX1643" s="27" t="str">
        <f t="shared" si="713"/>
        <v/>
      </c>
      <c r="AY1643" s="27" t="str">
        <f t="shared" si="714"/>
        <v/>
      </c>
      <c r="AZ1643" s="27" t="str">
        <f t="shared" si="715"/>
        <v/>
      </c>
      <c r="BA1643" s="27" t="str">
        <f t="shared" si="716"/>
        <v/>
      </c>
      <c r="BB1643" s="27" t="str">
        <f t="shared" si="717"/>
        <v/>
      </c>
      <c r="BC1643" s="27" t="str">
        <f t="shared" si="718"/>
        <v/>
      </c>
      <c r="BD1643" s="27" t="str">
        <f t="shared" si="719"/>
        <v/>
      </c>
      <c r="BE1643" s="27" t="str">
        <f t="shared" si="720"/>
        <v/>
      </c>
      <c r="BF1643" s="27" t="str">
        <f t="shared" si="721"/>
        <v/>
      </c>
      <c r="BG1643" s="27" t="str">
        <f t="shared" si="722"/>
        <v/>
      </c>
      <c r="BH1643" s="27" t="str">
        <f t="shared" si="723"/>
        <v/>
      </c>
      <c r="BI1643" s="27" t="str">
        <f t="shared" si="724"/>
        <v/>
      </c>
      <c r="BJ1643" s="27" t="str">
        <f t="shared" si="725"/>
        <v/>
      </c>
      <c r="BK1643" s="27" t="str">
        <f t="shared" si="726"/>
        <v/>
      </c>
      <c r="BL1643" s="27" t="str">
        <f t="shared" si="727"/>
        <v/>
      </c>
      <c r="BM1643" s="21" t="s">
        <v>3790</v>
      </c>
    </row>
    <row r="1644" spans="1:65" ht="15">
      <c r="A1644" s="25" t="str">
        <f>IFERROR(INDEX('Hun Demand'!W:W,MATCH(O1644,'Hun Demand'!A:A,0)),"")</f>
        <v/>
      </c>
      <c r="B1644" s="25" t="str">
        <f>IFERROR(INDEX('Hun Demand'!V:V,MATCH(O1644,'Hun Demand'!A:A,0)),"")</f>
        <v/>
      </c>
      <c r="C1644" s="25" t="str">
        <f>IFERROR(INDEX('Hun Demand'!U:U,MATCH(O1644,'Hun Demand'!A:A,0)),"")</f>
        <v/>
      </c>
      <c r="D1644" s="25" t="str">
        <f>IFERROR(INDEX('Hun Demand'!T:T,MATCH(O1644,'Hun Demand'!A:A,0)),"")</f>
        <v/>
      </c>
      <c r="E1644" s="25" t="str">
        <f>IFERROR(INDEX('Hun Demand'!S:S,MATCH(O1644,'Hun Demand'!A:A,0)),"")</f>
        <v/>
      </c>
      <c r="F1644" s="25" t="str">
        <f>IFERROR(INDEX('Hun Demand'!R:R,MATCH(O1644,'Hun Demand'!A:A,0)),"")</f>
        <v/>
      </c>
      <c r="G1644" s="25">
        <f>IFERROR(INDEX('Aub Demand'!W:W,MATCH(O1644,'Aub Demand'!A:A,0)),"")</f>
        <v>115</v>
      </c>
      <c r="H1644" s="25">
        <f>IFERROR(INDEX('Aub Demand'!V:V,MATCH(O1644,'Aub Demand'!A:A,0)),"")</f>
        <v>0</v>
      </c>
      <c r="I1644" s="25">
        <f>IFERROR(INDEX('Aub Demand'!U:U,MATCH(O1644,'Aub Demand'!A:A,0)),"")</f>
        <v>234</v>
      </c>
      <c r="J1644" s="25">
        <f>IFERROR(INDEX('Aub Demand'!T:T,MATCH(O1644,'Aub Demand'!A:A,0)),"")</f>
        <v>242</v>
      </c>
      <c r="K1644" s="25">
        <f>IFERROR(INDEX('Aub Demand'!S:S,MATCH(O1644,'Aub Demand'!A:A,0)),"")</f>
        <v>158</v>
      </c>
      <c r="L1644" s="25">
        <f>IFERROR(INDEX('Aub Demand'!R:R,MATCH(O1644,'Aub Demand'!A:A,0)),"")</f>
        <v>0</v>
      </c>
      <c r="O1644" s="27" t="s">
        <v>1993</v>
      </c>
      <c r="P1644" s="27" t="str">
        <f>IFERROR(INDEX('Aub Demand'!B:B,MATCH($O1644,'Aub Demand'!$A:$A,0)),"")</f>
        <v>RA ASH</v>
      </c>
      <c r="Q1644" s="27" t="str">
        <f>IFERROR(INDEX('Aub Demand'!C:C,MATCH($O1644,'Aub Demand'!$A:$A,0)),"")</f>
        <v>DNP A</v>
      </c>
      <c r="R1644" s="52">
        <f>IFERROR(IF(AR1645=AR1644,INDEX('Aub Demand'!K:K,MATCH($O1644,'Aub Demand'!$A:$A,0))-IF(AN1644="",0,AN1644)+AP1645,INDEX('Aub Demand'!K:K,MATCH($O1644,'Aub Demand'!$A:$A,0))-IF(AN1644="",0,AN1644)),"")</f>
        <v>2571</v>
      </c>
      <c r="S1644" s="53">
        <f t="shared" si="700"/>
        <v>52.2</v>
      </c>
      <c r="T1644" s="52" t="str">
        <f t="shared" si="701"/>
        <v/>
      </c>
      <c r="U1644" s="52">
        <f>IFERROR(IF(AR1645=AR1644,INDEX('Aub Demand'!Q:Q,MATCH($O1644,'Aub Demand'!$A:$A,0))-IF(AN1644="",0,AN1644)+AP1645,INDEX('Aub Demand'!Q:Q,MATCH($O1644,'Aub Demand'!$A:$A,0))-IF(AN1644="",0,AN1644)),"")</f>
        <v>2482</v>
      </c>
      <c r="V1644" s="53">
        <f t="shared" si="702"/>
        <v>50.4</v>
      </c>
      <c r="W1644" s="52" t="str">
        <f t="shared" si="703"/>
        <v/>
      </c>
      <c r="X1644" s="52">
        <f>IFERROR(IF(AND(AR1645=AR1644,AM1644&lt;&gt;""),INDEX('Aub Demand'!Q:Q,MATCH($O1644,'Aub Demand'!$A:$A,0))-IF(AN1644="",0,AN1644)+AP1645+AD1644+AL1644,IF(AR1645=AR1644,INDEX('Aub Demand'!Q:Q,MATCH($O1644,'Aub Demand'!$A:$A,0))-IF(AN1644="",0,AN1644)+AP1645+AD1644,IF(AM1644&lt;&gt;"",INDEX('Aub Demand'!Q:Q,MATCH($O1644,'Aub Demand'!$A:$A,0))-IF(AN1644="",0,AN1644)+AD1644+AL1644,INDEX('Aub Demand'!Q:Q,MATCH($O1644,'Aub Demand'!$A:$A,0))-IF(AN1644="",0,AN1644)+AD1644))),"")</f>
        <v>2482</v>
      </c>
      <c r="Y1644" s="53">
        <f t="shared" si="704"/>
        <v>50.4</v>
      </c>
      <c r="Z1644" s="52">
        <f>IF(L1644="","",INDEX('Aub Demand'!H:H,MATCH($O1644,'Aub Demand'!$A:$A,0)))</f>
        <v>211</v>
      </c>
      <c r="AA1644" s="52">
        <f t="shared" si="705"/>
        <v>238</v>
      </c>
      <c r="AB1644" s="52">
        <f>IFERROR(INDEX('Aub Demand'!L:L,MATCH($O1644,'Aub Demand'!$A:$A,0)),"")</f>
        <v>93</v>
      </c>
      <c r="AC1644" s="52">
        <f>IFERROR(IF(O1644="","",SUMIFS('CPL Mats'!F:F,'CPL Mats'!Q:Q,AR1644,'CPL Mats'!S:S,AS1644)),"")</f>
        <v>0</v>
      </c>
      <c r="AF1644" s="25" t="str">
        <f>IF(SUMIFS('Supp Consol'!S:S,'Supp Consol'!Y:Y,"Releasable",'Supp Consol'!A:A,O1644)=0,"",SUMIFS('Supp Consol'!S:S,'Supp Consol'!Y:Y,"Releasable",'Supp Consol'!A:A,O1644))</f>
        <v/>
      </c>
      <c r="AG1644" s="25" t="str">
        <f>IFERROR(INDEX('Hun Demand'!Q:Q,MATCH(O1644,'Hun Demand'!A:A,0)),"")</f>
        <v/>
      </c>
      <c r="AH1644" s="25" t="str">
        <f>IFERROR(INDEX('Hun Demand'!H:H,MATCH($O1644,'Hun Demand'!$A:$A,0)),"")</f>
        <v/>
      </c>
      <c r="AI1644" s="25" t="str">
        <f>IF(SUMIFS('Supp Consol'!AA:AA,'Supp Consol'!Z:Z,"Expires this month",'Supp Consol'!A:A,O1644)=0,"",SUMIFS('Supp Consol'!AA:AA,'Supp Consol'!Z:Z,"Expires this month",'Supp Consol'!A:A,O1644))</f>
        <v/>
      </c>
      <c r="AJ1644" s="25" t="str">
        <f>IF(SUMIFS('Supp Consol'!AA:AA,'Supp Consol'!Z:Z,"Expired Previous Months",'Supp Consol'!A:A,O1644)=0,"",SUMIFS('Supp Consol'!AA:AA,'Supp Consol'!Z:Z,"Expired Previous Months",'Supp Consol'!A:A,O1644))</f>
        <v/>
      </c>
      <c r="AK1644" s="25" t="str">
        <f>IFERROR(INDEX('Hun Release Current'!B:B,MATCH(O1644,'Hun Release Current'!A:A,0)),"")</f>
        <v/>
      </c>
      <c r="AL1644" s="25" t="str">
        <f>IF(SUMIF('Prev Aub'!A:A,O1644,'Prev Aub'!B:B)=0,"",SUMIF('Prev Aub'!A:A,O1644,'Prev Aub'!B:B))</f>
        <v/>
      </c>
      <c r="AN1644" s="25" t="s">
        <v>3790</v>
      </c>
      <c r="AO1644" s="25" t="s">
        <v>3790</v>
      </c>
      <c r="AP1644" s="25">
        <f t="shared" si="706"/>
        <v>0</v>
      </c>
      <c r="AQ1644" s="151" t="str">
        <f>IF(SUMIFS('Supp Consol'!S:S,'Supp Consol'!A:A,O1644,'Supp Consol'!I:I,"PENDING")=0,"",SUMIFS('Supp Consol'!S:S,'Supp Consol'!A:A,O1644,'Supp Consol'!I:I,"PENDING"))</f>
        <v/>
      </c>
      <c r="AR1644" s="27" t="str">
        <f t="shared" si="707"/>
        <v>WY081</v>
      </c>
      <c r="AS1644" s="27" t="str">
        <f t="shared" si="708"/>
        <v>50</v>
      </c>
      <c r="AT1644" s="27" t="str">
        <f t="shared" si="709"/>
        <v/>
      </c>
      <c r="AU1644" s="27" t="str">
        <f t="shared" si="710"/>
        <v/>
      </c>
      <c r="AV1644" s="27" t="str">
        <f t="shared" si="711"/>
        <v/>
      </c>
      <c r="AW1644" s="27" t="str">
        <f t="shared" si="712"/>
        <v/>
      </c>
      <c r="AX1644" s="27" t="str">
        <f t="shared" si="713"/>
        <v/>
      </c>
      <c r="AY1644" s="27" t="str">
        <f t="shared" si="714"/>
        <v/>
      </c>
      <c r="AZ1644" s="27" t="str">
        <f t="shared" si="715"/>
        <v/>
      </c>
      <c r="BA1644" s="27" t="str">
        <f t="shared" si="716"/>
        <v>Hun</v>
      </c>
      <c r="BB1644" s="27" t="str">
        <f t="shared" si="717"/>
        <v>Gross</v>
      </c>
      <c r="BC1644" s="27" t="str">
        <f t="shared" si="718"/>
        <v>Net</v>
      </c>
      <c r="BD1644" s="27" t="str">
        <f t="shared" si="719"/>
        <v>Net</v>
      </c>
      <c r="BE1644" s="27" t="str">
        <f t="shared" si="720"/>
        <v/>
      </c>
      <c r="BF1644" s="27" t="str">
        <f t="shared" si="721"/>
        <v/>
      </c>
      <c r="BG1644" s="27" t="str">
        <f t="shared" si="722"/>
        <v/>
      </c>
      <c r="BH1644" s="27" t="str">
        <f t="shared" si="723"/>
        <v>H+N</v>
      </c>
      <c r="BI1644" s="27" t="str">
        <f t="shared" si="724"/>
        <v>H+Nex</v>
      </c>
      <c r="BJ1644" s="27" t="str">
        <f t="shared" si="725"/>
        <v>Supp or Hun</v>
      </c>
      <c r="BK1644" s="27" t="str">
        <f t="shared" si="726"/>
        <v>Supp or Hun Need</v>
      </c>
      <c r="BL1644" s="27" t="str">
        <f t="shared" si="727"/>
        <v>SorHandNandE</v>
      </c>
      <c r="BM1644" s="21" t="s">
        <v>5581</v>
      </c>
    </row>
    <row r="1645" spans="1:65" ht="15">
      <c r="A1645" s="25">
        <f>IFERROR(INDEX('Hun Demand'!W:W,MATCH(O1645,'Hun Demand'!A:A,0)),"")</f>
        <v>0</v>
      </c>
      <c r="B1645" s="25">
        <f>IFERROR(INDEX('Hun Demand'!V:V,MATCH(O1645,'Hun Demand'!A:A,0)),"")</f>
        <v>0</v>
      </c>
      <c r="C1645" s="25">
        <f>IFERROR(INDEX('Hun Demand'!U:U,MATCH(O1645,'Hun Demand'!A:A,0)),"")</f>
        <v>0</v>
      </c>
      <c r="D1645" s="25">
        <f>IFERROR(INDEX('Hun Demand'!T:T,MATCH(O1645,'Hun Demand'!A:A,0)),"")</f>
        <v>0</v>
      </c>
      <c r="E1645" s="25">
        <f>IFERROR(INDEX('Hun Demand'!S:S,MATCH(O1645,'Hun Demand'!A:A,0)),"")</f>
        <v>1216</v>
      </c>
      <c r="F1645" s="25">
        <f>IFERROR(INDEX('Hun Demand'!R:R,MATCH(O1645,'Hun Demand'!A:A,0)),"")</f>
        <v>0</v>
      </c>
      <c r="G1645" s="25">
        <f>IFERROR(INDEX('Aub Demand'!W:W,MATCH(O1645,'Aub Demand'!A:A,0)),"")</f>
        <v>427</v>
      </c>
      <c r="H1645" s="25">
        <f>IFERROR(INDEX('Aub Demand'!V:V,MATCH(O1645,'Aub Demand'!A:A,0)),"")</f>
        <v>90</v>
      </c>
      <c r="I1645" s="25">
        <f>IFERROR(INDEX('Aub Demand'!U:U,MATCH(O1645,'Aub Demand'!A:A,0)),"")</f>
        <v>61</v>
      </c>
      <c r="J1645" s="25">
        <f>IFERROR(INDEX('Aub Demand'!T:T,MATCH(O1645,'Aub Demand'!A:A,0)),"")</f>
        <v>635</v>
      </c>
      <c r="K1645" s="25">
        <f>IFERROR(INDEX('Aub Demand'!S:S,MATCH(O1645,'Aub Demand'!A:A,0)),"")</f>
        <v>370</v>
      </c>
      <c r="L1645" s="25">
        <f>IFERROR(INDEX('Aub Demand'!R:R,MATCH(O1645,'Aub Demand'!A:A,0)),"")</f>
        <v>0</v>
      </c>
      <c r="O1645" s="27" t="s">
        <v>1996</v>
      </c>
      <c r="P1645" s="27" t="str">
        <f>IFERROR(INDEX('Aub Demand'!B:B,MATCH($O1645,'Aub Demand'!$A:$A,0)),"")</f>
        <v>RA ASH</v>
      </c>
      <c r="Q1645" s="27" t="str">
        <f>IFERROR(INDEX('Aub Demand'!C:C,MATCH($O1645,'Aub Demand'!$A:$A,0)),"")</f>
        <v>PANOL</v>
      </c>
      <c r="R1645" s="52">
        <f>IFERROR(IF(AR1646=AR1645,INDEX('Aub Demand'!K:K,MATCH($O1645,'Aub Demand'!$A:$A,0))-IF(AN1645="",0,AN1645)+AP1646,INDEX('Aub Demand'!K:K,MATCH($O1645,'Aub Demand'!$A:$A,0))-IF(AN1645="",0,AN1645)),"")</f>
        <v>232</v>
      </c>
      <c r="S1645" s="53">
        <f t="shared" si="700"/>
        <v>2.8</v>
      </c>
      <c r="T1645" s="52">
        <f t="shared" si="701"/>
        <v>25.125000000000021</v>
      </c>
      <c r="U1645" s="52">
        <f>IFERROR(IF(AR1646=AR1645,INDEX('Aub Demand'!Q:Q,MATCH($O1645,'Aub Demand'!$A:$A,0))-IF(AN1645="",0,AN1645)+AP1646,INDEX('Aub Demand'!Q:Q,MATCH($O1645,'Aub Demand'!$A:$A,0))-IF(AN1645="",0,AN1645)),"")</f>
        <v>49</v>
      </c>
      <c r="V1645" s="53">
        <f t="shared" si="702"/>
        <v>0.6</v>
      </c>
      <c r="W1645" s="52">
        <f t="shared" si="703"/>
        <v>301.5</v>
      </c>
      <c r="X1645" s="52">
        <f>IFERROR(IF(AND(AR1646=AR1645,AM1645&lt;&gt;""),INDEX('Aub Demand'!Q:Q,MATCH($O1645,'Aub Demand'!$A:$A,0))-IF(AN1645="",0,AN1645)+AP1646+AD1645+AL1645,IF(AR1646=AR1645,INDEX('Aub Demand'!Q:Q,MATCH($O1645,'Aub Demand'!$A:$A,0))-IF(AN1645="",0,AN1645)+AP1646+AD1645,IF(AM1645&lt;&gt;"",INDEX('Aub Demand'!Q:Q,MATCH($O1645,'Aub Demand'!$A:$A,0))-IF(AN1645="",0,AN1645)+AD1645+AL1645,INDEX('Aub Demand'!Q:Q,MATCH($O1645,'Aub Demand'!$A:$A,0))-IF(AN1645="",0,AN1645)+AD1645))),"")</f>
        <v>49</v>
      </c>
      <c r="Y1645" s="53">
        <f t="shared" si="704"/>
        <v>0.6</v>
      </c>
      <c r="Z1645" s="52">
        <f>IF(L1645="","",INDEX('Aub Demand'!H:H,MATCH($O1645,'Aub Demand'!$A:$A,0)))</f>
        <v>355</v>
      </c>
      <c r="AA1645" s="52">
        <f t="shared" si="705"/>
        <v>502.5</v>
      </c>
      <c r="AB1645" s="52">
        <f>IFERROR(INDEX('Aub Demand'!L:L,MATCH($O1645,'Aub Demand'!$A:$A,0)),"")</f>
        <v>118</v>
      </c>
      <c r="AC1645" s="52">
        <f>IFERROR(IF(O1645="","",SUMIFS('CPL Mats'!F:F,'CPL Mats'!Q:Q,AR1645,'CPL Mats'!S:S,AS1645)),"")</f>
        <v>0</v>
      </c>
      <c r="AF1645" s="25" t="str">
        <f>IF(SUMIFS('Supp Consol'!S:S,'Supp Consol'!Y:Y,"Releasable",'Supp Consol'!A:A,O1645)=0,"",SUMIFS('Supp Consol'!S:S,'Supp Consol'!Y:Y,"Releasable",'Supp Consol'!A:A,O1645))</f>
        <v/>
      </c>
      <c r="AG1645" s="25">
        <f>IFERROR(INDEX('Hun Demand'!Q:Q,MATCH(O1645,'Hun Demand'!A:A,0)),"")</f>
        <v>1279</v>
      </c>
      <c r="AH1645" s="25">
        <f>IFERROR(INDEX('Hun Demand'!H:H,MATCH($O1645,'Hun Demand'!$A:$A,0)),"")</f>
        <v>405</v>
      </c>
      <c r="AI1645" s="25" t="str">
        <f>IF(SUMIFS('Supp Consol'!AA:AA,'Supp Consol'!Z:Z,"Expires this month",'Supp Consol'!A:A,O1645)=0,"",SUMIFS('Supp Consol'!AA:AA,'Supp Consol'!Z:Z,"Expires this month",'Supp Consol'!A:A,O1645))</f>
        <v/>
      </c>
      <c r="AJ1645" s="25" t="str">
        <f>IF(SUMIFS('Supp Consol'!AA:AA,'Supp Consol'!Z:Z,"Expired Previous Months",'Supp Consol'!A:A,O1645)=0,"",SUMIFS('Supp Consol'!AA:AA,'Supp Consol'!Z:Z,"Expired Previous Months",'Supp Consol'!A:A,O1645))</f>
        <v/>
      </c>
      <c r="AK1645" s="25" t="str">
        <f>IFERROR(INDEX('Hun Release Current'!B:B,MATCH(O1645,'Hun Release Current'!A:A,0)),"")</f>
        <v/>
      </c>
      <c r="AL1645" s="25" t="str">
        <f>IF(SUMIF('Prev Aub'!A:A,O1645,'Prev Aub'!B:B)=0,"",SUMIF('Prev Aub'!A:A,O1645,'Prev Aub'!B:B))</f>
        <v/>
      </c>
      <c r="AN1645" s="25" t="s">
        <v>3790</v>
      </c>
      <c r="AO1645" s="25" t="s">
        <v>3790</v>
      </c>
      <c r="AP1645" s="25">
        <f t="shared" si="706"/>
        <v>0</v>
      </c>
      <c r="AQ1645" s="151" t="str">
        <f>IF(SUMIFS('Supp Consol'!S:S,'Supp Consol'!A:A,O1645,'Supp Consol'!I:I,"PENDING")=0,"",SUMIFS('Supp Consol'!S:S,'Supp Consol'!A:A,O1645,'Supp Consol'!I:I,"PENDING"))</f>
        <v/>
      </c>
      <c r="AR1645" s="27" t="str">
        <f t="shared" si="707"/>
        <v>WY081</v>
      </c>
      <c r="AS1645" s="27" t="str">
        <f t="shared" si="708"/>
        <v>62</v>
      </c>
      <c r="AT1645" s="27" t="str">
        <f t="shared" si="709"/>
        <v>WY081</v>
      </c>
      <c r="AU1645" s="27" t="str">
        <f t="shared" si="710"/>
        <v>WY081</v>
      </c>
      <c r="AV1645" s="27" t="str">
        <f t="shared" si="711"/>
        <v>WY081</v>
      </c>
      <c r="AW1645" s="27" t="str">
        <f t="shared" si="712"/>
        <v/>
      </c>
      <c r="AX1645" s="27" t="str">
        <f t="shared" si="713"/>
        <v/>
      </c>
      <c r="AY1645" s="27" t="str">
        <f t="shared" si="714"/>
        <v>WY081</v>
      </c>
      <c r="AZ1645" s="27" t="str">
        <f t="shared" si="715"/>
        <v/>
      </c>
      <c r="BA1645" s="27" t="str">
        <f t="shared" si="716"/>
        <v>Hun</v>
      </c>
      <c r="BB1645" s="27" t="str">
        <f t="shared" si="717"/>
        <v>Gross</v>
      </c>
      <c r="BC1645" s="27" t="str">
        <f t="shared" si="718"/>
        <v>Net</v>
      </c>
      <c r="BD1645" s="27" t="str">
        <f t="shared" si="719"/>
        <v>Net</v>
      </c>
      <c r="BE1645" s="27" t="str">
        <f t="shared" si="720"/>
        <v/>
      </c>
      <c r="BF1645" s="27" t="str">
        <f t="shared" si="721"/>
        <v/>
      </c>
      <c r="BG1645" s="27" t="str">
        <f t="shared" si="722"/>
        <v/>
      </c>
      <c r="BH1645" s="27" t="str">
        <f t="shared" si="723"/>
        <v>H+N</v>
      </c>
      <c r="BI1645" s="27" t="str">
        <f t="shared" si="724"/>
        <v>H+Nex</v>
      </c>
      <c r="BJ1645" s="27" t="str">
        <f t="shared" si="725"/>
        <v>Supp or Hun</v>
      </c>
      <c r="BK1645" s="27" t="str">
        <f t="shared" si="726"/>
        <v>Supp or Hun Need</v>
      </c>
      <c r="BL1645" s="27" t="str">
        <f t="shared" si="727"/>
        <v>SorHandNandE</v>
      </c>
      <c r="BM1645" s="21" t="s">
        <v>5581</v>
      </c>
    </row>
    <row r="1646" spans="1:65" ht="15">
      <c r="A1646" s="25" t="str">
        <f>IFERROR(INDEX('Hun Demand'!W:W,MATCH(O1646,'Hun Demand'!A:A,0)),"")</f>
        <v/>
      </c>
      <c r="B1646" s="25" t="str">
        <f>IFERROR(INDEX('Hun Demand'!V:V,MATCH(O1646,'Hun Demand'!A:A,0)),"")</f>
        <v/>
      </c>
      <c r="C1646" s="25" t="str">
        <f>IFERROR(INDEX('Hun Demand'!U:U,MATCH(O1646,'Hun Demand'!A:A,0)),"")</f>
        <v/>
      </c>
      <c r="D1646" s="25" t="str">
        <f>IFERROR(INDEX('Hun Demand'!T:T,MATCH(O1646,'Hun Demand'!A:A,0)),"")</f>
        <v/>
      </c>
      <c r="E1646" s="25" t="str">
        <f>IFERROR(INDEX('Hun Demand'!S:S,MATCH(O1646,'Hun Demand'!A:A,0)),"")</f>
        <v/>
      </c>
      <c r="F1646" s="25" t="str">
        <f>IFERROR(INDEX('Hun Demand'!R:R,MATCH(O1646,'Hun Demand'!A:A,0)),"")</f>
        <v/>
      </c>
      <c r="G1646" s="25">
        <f>IFERROR(INDEX('Aub Demand'!W:W,MATCH(O1646,'Aub Demand'!A:A,0)),"")</f>
        <v>85</v>
      </c>
      <c r="H1646" s="25">
        <f>IFERROR(INDEX('Aub Demand'!V:V,MATCH(O1646,'Aub Demand'!A:A,0)),"")</f>
        <v>0</v>
      </c>
      <c r="I1646" s="25">
        <f>IFERROR(INDEX('Aub Demand'!U:U,MATCH(O1646,'Aub Demand'!A:A,0)),"")</f>
        <v>51</v>
      </c>
      <c r="J1646" s="25">
        <f>IFERROR(INDEX('Aub Demand'!T:T,MATCH(O1646,'Aub Demand'!A:A,0)),"")</f>
        <v>105</v>
      </c>
      <c r="K1646" s="25">
        <f>IFERROR(INDEX('Aub Demand'!S:S,MATCH(O1646,'Aub Demand'!A:A,0)),"")</f>
        <v>242</v>
      </c>
      <c r="L1646" s="25">
        <f>IFERROR(INDEX('Aub Demand'!R:R,MATCH(O1646,'Aub Demand'!A:A,0)),"")</f>
        <v>0</v>
      </c>
      <c r="O1646" s="27" t="s">
        <v>1997</v>
      </c>
      <c r="P1646" s="27" t="str">
        <f>IFERROR(INDEX('Aub Demand'!B:B,MATCH($O1646,'Aub Demand'!$A:$A,0)),"")</f>
        <v>SILVIO</v>
      </c>
      <c r="Q1646" s="27" t="str">
        <f>IFERROR(INDEX('Aub Demand'!C:C,MATCH($O1646,'Aub Demand'!$A:$A,0)),"")</f>
        <v>INTER</v>
      </c>
      <c r="R1646" s="52">
        <f>IFERROR(IF(AR1647=AR1646,INDEX('Aub Demand'!K:K,MATCH($O1646,'Aub Demand'!$A:$A,0))-IF(AN1646="",0,AN1646)+AP1647,INDEX('Aub Demand'!K:K,MATCH($O1646,'Aub Demand'!$A:$A,0))-IF(AN1646="",0,AN1646)),"")</f>
        <v>668</v>
      </c>
      <c r="S1646" s="53">
        <f t="shared" si="700"/>
        <v>21.5</v>
      </c>
      <c r="T1646" s="52" t="str">
        <f t="shared" si="701"/>
        <v/>
      </c>
      <c r="U1646" s="52">
        <f>IFERROR(IF(AR1647=AR1646,INDEX('Aub Demand'!Q:Q,MATCH($O1646,'Aub Demand'!$A:$A,0))-IF(AN1646="",0,AN1646)+AP1647,INDEX('Aub Demand'!Q:Q,MATCH($O1646,'Aub Demand'!$A:$A,0))-IF(AN1646="",0,AN1646)),"")</f>
        <v>527</v>
      </c>
      <c r="V1646" s="53">
        <f t="shared" si="702"/>
        <v>17</v>
      </c>
      <c r="W1646" s="52" t="str">
        <f t="shared" si="703"/>
        <v/>
      </c>
      <c r="X1646" s="52">
        <f>IFERROR(IF(AND(AR1647=AR1646,AM1646&lt;&gt;""),INDEX('Aub Demand'!Q:Q,MATCH($O1646,'Aub Demand'!$A:$A,0))-IF(AN1646="",0,AN1646)+AP1647+AD1646+AL1646,IF(AR1647=AR1646,INDEX('Aub Demand'!Q:Q,MATCH($O1646,'Aub Demand'!$A:$A,0))-IF(AN1646="",0,AN1646)+AP1647+AD1646,IF(AM1646&lt;&gt;"",INDEX('Aub Demand'!Q:Q,MATCH($O1646,'Aub Demand'!$A:$A,0))-IF(AN1646="",0,AN1646)+AD1646+AL1646,INDEX('Aub Demand'!Q:Q,MATCH($O1646,'Aub Demand'!$A:$A,0))-IF(AN1646="",0,AN1646)+AD1646))),"")</f>
        <v>527</v>
      </c>
      <c r="Y1646" s="53">
        <f t="shared" si="704"/>
        <v>17</v>
      </c>
      <c r="Z1646" s="52">
        <f>IF(L1646="","",INDEX('Aub Demand'!H:H,MATCH($O1646,'Aub Demand'!$A:$A,0)))</f>
        <v>133</v>
      </c>
      <c r="AA1646" s="52">
        <f t="shared" si="705"/>
        <v>173.5</v>
      </c>
      <c r="AB1646" s="52">
        <f>IFERROR(INDEX('Aub Demand'!L:L,MATCH($O1646,'Aub Demand'!$A:$A,0)),"")</f>
        <v>61</v>
      </c>
      <c r="AC1646" s="52">
        <f>IFERROR(IF(O1646="","",SUMIFS('CPL Mats'!F:F,'CPL Mats'!Q:Q,AR1646,'CPL Mats'!S:S,AS1646)),"")</f>
        <v>0</v>
      </c>
      <c r="AF1646" s="25" t="str">
        <f>IF(SUMIFS('Supp Consol'!S:S,'Supp Consol'!Y:Y,"Releasable",'Supp Consol'!A:A,O1646)=0,"",SUMIFS('Supp Consol'!S:S,'Supp Consol'!Y:Y,"Releasable",'Supp Consol'!A:A,O1646))</f>
        <v/>
      </c>
      <c r="AG1646" s="25" t="str">
        <f>IFERROR(INDEX('Hun Demand'!Q:Q,MATCH(O1646,'Hun Demand'!A:A,0)),"")</f>
        <v/>
      </c>
      <c r="AH1646" s="25" t="str">
        <f>IFERROR(INDEX('Hun Demand'!H:H,MATCH($O1646,'Hun Demand'!$A:$A,0)),"")</f>
        <v/>
      </c>
      <c r="AI1646" s="25" t="str">
        <f>IF(SUMIFS('Supp Consol'!AA:AA,'Supp Consol'!Z:Z,"Expires this month",'Supp Consol'!A:A,O1646)=0,"",SUMIFS('Supp Consol'!AA:AA,'Supp Consol'!Z:Z,"Expires this month",'Supp Consol'!A:A,O1646))</f>
        <v/>
      </c>
      <c r="AJ1646" s="25" t="str">
        <f>IF(SUMIFS('Supp Consol'!AA:AA,'Supp Consol'!Z:Z,"Expired Previous Months",'Supp Consol'!A:A,O1646)=0,"",SUMIFS('Supp Consol'!AA:AA,'Supp Consol'!Z:Z,"Expired Previous Months",'Supp Consol'!A:A,O1646))</f>
        <v/>
      </c>
      <c r="AK1646" s="25" t="str">
        <f>IFERROR(INDEX('Hun Release Current'!B:B,MATCH(O1646,'Hun Release Current'!A:A,0)),"")</f>
        <v/>
      </c>
      <c r="AL1646" s="25" t="str">
        <f>IF(SUMIF('Prev Aub'!A:A,O1646,'Prev Aub'!B:B)=0,"",SUMIF('Prev Aub'!A:A,O1646,'Prev Aub'!B:B))</f>
        <v/>
      </c>
      <c r="AN1646" s="25" t="s">
        <v>3790</v>
      </c>
      <c r="AO1646" s="25" t="s">
        <v>3790</v>
      </c>
      <c r="AP1646" s="25">
        <f t="shared" si="706"/>
        <v>0</v>
      </c>
      <c r="AQ1646" s="151" t="str">
        <f>IF(SUMIFS('Supp Consol'!S:S,'Supp Consol'!A:A,O1646,'Supp Consol'!I:I,"PENDING")=0,"",SUMIFS('Supp Consol'!S:S,'Supp Consol'!A:A,O1646,'Supp Consol'!I:I,"PENDING"))</f>
        <v/>
      </c>
      <c r="AR1646" s="27" t="str">
        <f t="shared" si="707"/>
        <v>WY131</v>
      </c>
      <c r="AS1646" s="27" t="str">
        <f t="shared" si="708"/>
        <v>50</v>
      </c>
      <c r="AT1646" s="27" t="str">
        <f t="shared" si="709"/>
        <v/>
      </c>
      <c r="AU1646" s="27" t="str">
        <f t="shared" si="710"/>
        <v/>
      </c>
      <c r="AV1646" s="27" t="str">
        <f t="shared" si="711"/>
        <v/>
      </c>
      <c r="AW1646" s="27" t="str">
        <f t="shared" si="712"/>
        <v/>
      </c>
      <c r="AX1646" s="27" t="str">
        <f t="shared" si="713"/>
        <v/>
      </c>
      <c r="AY1646" s="27" t="str">
        <f t="shared" si="714"/>
        <v/>
      </c>
      <c r="AZ1646" s="27" t="str">
        <f t="shared" si="715"/>
        <v/>
      </c>
      <c r="BA1646" s="27" t="str">
        <f t="shared" si="716"/>
        <v/>
      </c>
      <c r="BB1646" s="27" t="str">
        <f t="shared" si="717"/>
        <v/>
      </c>
      <c r="BC1646" s="27" t="str">
        <f t="shared" si="718"/>
        <v/>
      </c>
      <c r="BD1646" s="27" t="str">
        <f t="shared" si="719"/>
        <v/>
      </c>
      <c r="BE1646" s="27" t="str">
        <f t="shared" si="720"/>
        <v/>
      </c>
      <c r="BF1646" s="27" t="str">
        <f t="shared" si="721"/>
        <v/>
      </c>
      <c r="BG1646" s="27" t="str">
        <f t="shared" si="722"/>
        <v/>
      </c>
      <c r="BH1646" s="27" t="str">
        <f t="shared" si="723"/>
        <v/>
      </c>
      <c r="BI1646" s="27" t="str">
        <f t="shared" si="724"/>
        <v/>
      </c>
      <c r="BJ1646" s="27" t="str">
        <f t="shared" si="725"/>
        <v/>
      </c>
      <c r="BK1646" s="27" t="str">
        <f t="shared" si="726"/>
        <v/>
      </c>
      <c r="BL1646" s="27" t="str">
        <f t="shared" si="727"/>
        <v/>
      </c>
      <c r="BM1646" s="21" t="s">
        <v>5581</v>
      </c>
    </row>
    <row r="1647" spans="1:65" ht="15">
      <c r="A1647" s="25" t="str">
        <f>IFERROR(INDEX('Hun Demand'!W:W,MATCH(O1647,'Hun Demand'!A:A,0)),"")</f>
        <v/>
      </c>
      <c r="B1647" s="25" t="str">
        <f>IFERROR(INDEX('Hun Demand'!V:V,MATCH(O1647,'Hun Demand'!A:A,0)),"")</f>
        <v/>
      </c>
      <c r="C1647" s="25" t="str">
        <f>IFERROR(INDEX('Hun Demand'!U:U,MATCH(O1647,'Hun Demand'!A:A,0)),"")</f>
        <v/>
      </c>
      <c r="D1647" s="25" t="str">
        <f>IFERROR(INDEX('Hun Demand'!T:T,MATCH(O1647,'Hun Demand'!A:A,0)),"")</f>
        <v/>
      </c>
      <c r="E1647" s="25" t="str">
        <f>IFERROR(INDEX('Hun Demand'!S:S,MATCH(O1647,'Hun Demand'!A:A,0)),"")</f>
        <v/>
      </c>
      <c r="F1647" s="25" t="str">
        <f>IFERROR(INDEX('Hun Demand'!R:R,MATCH(O1647,'Hun Demand'!A:A,0)),"")</f>
        <v/>
      </c>
      <c r="G1647" s="25">
        <f>IFERROR(INDEX('Aub Demand'!W:W,MATCH(O1647,'Aub Demand'!A:A,0)),"")</f>
        <v>90</v>
      </c>
      <c r="H1647" s="25">
        <f>IFERROR(INDEX('Aub Demand'!V:V,MATCH(O1647,'Aub Demand'!A:A,0)),"")</f>
        <v>0</v>
      </c>
      <c r="I1647" s="25">
        <f>IFERROR(INDEX('Aub Demand'!U:U,MATCH(O1647,'Aub Demand'!A:A,0)),"")</f>
        <v>0</v>
      </c>
      <c r="J1647" s="25">
        <f>IFERROR(INDEX('Aub Demand'!T:T,MATCH(O1647,'Aub Demand'!A:A,0)),"")</f>
        <v>51</v>
      </c>
      <c r="K1647" s="25">
        <f>IFERROR(INDEX('Aub Demand'!S:S,MATCH(O1647,'Aub Demand'!A:A,0)),"")</f>
        <v>29</v>
      </c>
      <c r="L1647" s="25">
        <f>IFERROR(INDEX('Aub Demand'!R:R,MATCH(O1647,'Aub Demand'!A:A,0)),"")</f>
        <v>0</v>
      </c>
      <c r="O1647" s="27" t="s">
        <v>1999</v>
      </c>
      <c r="P1647" s="27" t="str">
        <f>IFERROR(INDEX('Aub Demand'!B:B,MATCH($O1647,'Aub Demand'!$A:$A,0)),"")</f>
        <v>SILVIO</v>
      </c>
      <c r="Q1647" s="27" t="str">
        <f>IFERROR(INDEX('Aub Demand'!C:C,MATCH($O1647,'Aub Demand'!$A:$A,0)),"")</f>
        <v>INTER</v>
      </c>
      <c r="R1647" s="52">
        <f>IFERROR(IF(AR1648=AR1647,INDEX('Aub Demand'!K:K,MATCH($O1647,'Aub Demand'!$A:$A,0))-IF(AN1647="",0,AN1647)+AP1648,INDEX('Aub Demand'!K:K,MATCH($O1647,'Aub Demand'!$A:$A,0))-IF(AN1647="",0,AN1647)),"")</f>
        <v>2829</v>
      </c>
      <c r="S1647" s="53">
        <f t="shared" si="700"/>
        <v>449</v>
      </c>
      <c r="T1647" s="52" t="str">
        <f t="shared" si="701"/>
        <v/>
      </c>
      <c r="U1647" s="52">
        <f>IFERROR(IF(AR1648=AR1647,INDEX('Aub Demand'!Q:Q,MATCH($O1647,'Aub Demand'!$A:$A,0))-IF(AN1647="",0,AN1647)+AP1648,INDEX('Aub Demand'!Q:Q,MATCH($O1647,'Aub Demand'!$A:$A,0))-IF(AN1647="",0,AN1647)),"")</f>
        <v>2812</v>
      </c>
      <c r="V1647" s="53">
        <f t="shared" si="702"/>
        <v>446.3</v>
      </c>
      <c r="W1647" s="52" t="str">
        <f t="shared" si="703"/>
        <v/>
      </c>
      <c r="X1647" s="52">
        <f>IFERROR(IF(AND(AR1648=AR1647,AM1647&lt;&gt;""),INDEX('Aub Demand'!Q:Q,MATCH($O1647,'Aub Demand'!$A:$A,0))-IF(AN1647="",0,AN1647)+AP1648+AD1647+AL1647,IF(AR1648=AR1647,INDEX('Aub Demand'!Q:Q,MATCH($O1647,'Aub Demand'!$A:$A,0))-IF(AN1647="",0,AN1647)+AP1648+AD1647,IF(AM1647&lt;&gt;"",INDEX('Aub Demand'!Q:Q,MATCH($O1647,'Aub Demand'!$A:$A,0))-IF(AN1647="",0,AN1647)+AD1647+AL1647,INDEX('Aub Demand'!Q:Q,MATCH($O1647,'Aub Demand'!$A:$A,0))-IF(AN1647="",0,AN1647)+AD1647))),"")</f>
        <v>2812</v>
      </c>
      <c r="Y1647" s="53">
        <f t="shared" si="704"/>
        <v>446.3</v>
      </c>
      <c r="Z1647" s="52">
        <f>IF(L1647="","",INDEX('Aub Demand'!H:H,MATCH($O1647,'Aub Demand'!$A:$A,0)))</f>
        <v>27</v>
      </c>
      <c r="AA1647" s="52">
        <f t="shared" si="705"/>
        <v>40</v>
      </c>
      <c r="AB1647" s="52">
        <f>IFERROR(INDEX('Aub Demand'!L:L,MATCH($O1647,'Aub Demand'!$A:$A,0)),"")</f>
        <v>21</v>
      </c>
      <c r="AC1647" s="52">
        <f>IFERROR(IF(O1647="","",SUMIFS('CPL Mats'!F:F,'CPL Mats'!Q:Q,AR1647,'CPL Mats'!S:S,AS1647)),"")</f>
        <v>0</v>
      </c>
      <c r="AF1647" s="25" t="str">
        <f>IF(SUMIFS('Supp Consol'!S:S,'Supp Consol'!Y:Y,"Releasable",'Supp Consol'!A:A,O1647)=0,"",SUMIFS('Supp Consol'!S:S,'Supp Consol'!Y:Y,"Releasable",'Supp Consol'!A:A,O1647))</f>
        <v/>
      </c>
      <c r="AG1647" s="25" t="str">
        <f>IFERROR(INDEX('Hun Demand'!Q:Q,MATCH(O1647,'Hun Demand'!A:A,0)),"")</f>
        <v/>
      </c>
      <c r="AH1647" s="25" t="str">
        <f>IFERROR(INDEX('Hun Demand'!H:H,MATCH($O1647,'Hun Demand'!$A:$A,0)),"")</f>
        <v/>
      </c>
      <c r="AI1647" s="25" t="str">
        <f>IF(SUMIFS('Supp Consol'!AA:AA,'Supp Consol'!Z:Z,"Expires this month",'Supp Consol'!A:A,O1647)=0,"",SUMIFS('Supp Consol'!AA:AA,'Supp Consol'!Z:Z,"Expires this month",'Supp Consol'!A:A,O1647))</f>
        <v/>
      </c>
      <c r="AJ1647" s="25" t="str">
        <f>IF(SUMIFS('Supp Consol'!AA:AA,'Supp Consol'!Z:Z,"Expired Previous Months",'Supp Consol'!A:A,O1647)=0,"",SUMIFS('Supp Consol'!AA:AA,'Supp Consol'!Z:Z,"Expired Previous Months",'Supp Consol'!A:A,O1647))</f>
        <v/>
      </c>
      <c r="AK1647" s="25" t="str">
        <f>IFERROR(INDEX('Hun Release Current'!B:B,MATCH(O1647,'Hun Release Current'!A:A,0)),"")</f>
        <v/>
      </c>
      <c r="AL1647" s="25" t="str">
        <f>IF(SUMIF('Prev Aub'!A:A,O1647,'Prev Aub'!B:B)=0,"",SUMIF('Prev Aub'!A:A,O1647,'Prev Aub'!B:B))</f>
        <v/>
      </c>
      <c r="AN1647" s="25" t="s">
        <v>3790</v>
      </c>
      <c r="AO1647" s="25" t="s">
        <v>3790</v>
      </c>
      <c r="AP1647" s="25">
        <f t="shared" si="706"/>
        <v>0</v>
      </c>
      <c r="AQ1647" s="151" t="str">
        <f>IF(SUMIFS('Supp Consol'!S:S,'Supp Consol'!A:A,O1647,'Supp Consol'!I:I,"PENDING")=0,"",SUMIFS('Supp Consol'!S:S,'Supp Consol'!A:A,O1647,'Supp Consol'!I:I,"PENDING"))</f>
        <v/>
      </c>
      <c r="AR1647" s="27" t="str">
        <f t="shared" si="707"/>
        <v>WY131</v>
      </c>
      <c r="AS1647" s="27" t="str">
        <f t="shared" si="708"/>
        <v>62</v>
      </c>
      <c r="AT1647" s="27" t="str">
        <f t="shared" si="709"/>
        <v/>
      </c>
      <c r="AU1647" s="27" t="str">
        <f t="shared" si="710"/>
        <v/>
      </c>
      <c r="AV1647" s="27" t="str">
        <f t="shared" si="711"/>
        <v/>
      </c>
      <c r="AW1647" s="27" t="str">
        <f t="shared" si="712"/>
        <v/>
      </c>
      <c r="AX1647" s="27" t="str">
        <f t="shared" si="713"/>
        <v/>
      </c>
      <c r="AY1647" s="27" t="str">
        <f t="shared" si="714"/>
        <v/>
      </c>
      <c r="AZ1647" s="27" t="str">
        <f t="shared" si="715"/>
        <v/>
      </c>
      <c r="BA1647" s="27" t="str">
        <f t="shared" si="716"/>
        <v/>
      </c>
      <c r="BB1647" s="27" t="str">
        <f t="shared" si="717"/>
        <v/>
      </c>
      <c r="BC1647" s="27" t="str">
        <f t="shared" si="718"/>
        <v/>
      </c>
      <c r="BD1647" s="27" t="str">
        <f t="shared" si="719"/>
        <v/>
      </c>
      <c r="BE1647" s="27" t="str">
        <f t="shared" si="720"/>
        <v/>
      </c>
      <c r="BF1647" s="27" t="str">
        <f t="shared" si="721"/>
        <v/>
      </c>
      <c r="BG1647" s="27" t="str">
        <f t="shared" si="722"/>
        <v/>
      </c>
      <c r="BH1647" s="27" t="str">
        <f t="shared" si="723"/>
        <v/>
      </c>
      <c r="BI1647" s="27" t="str">
        <f t="shared" si="724"/>
        <v/>
      </c>
      <c r="BJ1647" s="27" t="str">
        <f t="shared" si="725"/>
        <v/>
      </c>
      <c r="BK1647" s="27" t="str">
        <f t="shared" si="726"/>
        <v/>
      </c>
      <c r="BL1647" s="27" t="str">
        <f t="shared" si="727"/>
        <v/>
      </c>
      <c r="BM1647" s="21" t="s">
        <v>5581</v>
      </c>
    </row>
    <row r="1648" spans="1:65" ht="15">
      <c r="A1648" s="25">
        <f>IFERROR(INDEX('Hun Demand'!W:W,MATCH(O1648,'Hun Demand'!A:A,0)),"")</f>
        <v>0</v>
      </c>
      <c r="B1648" s="25">
        <f>IFERROR(INDEX('Hun Demand'!V:V,MATCH(O1648,'Hun Demand'!A:A,0)),"")</f>
        <v>0</v>
      </c>
      <c r="C1648" s="25">
        <f>IFERROR(INDEX('Hun Demand'!U:U,MATCH(O1648,'Hun Demand'!A:A,0)),"")</f>
        <v>0</v>
      </c>
      <c r="D1648" s="25">
        <f>IFERROR(INDEX('Hun Demand'!T:T,MATCH(O1648,'Hun Demand'!A:A,0)),"")</f>
        <v>0</v>
      </c>
      <c r="E1648" s="25">
        <f>IFERROR(INDEX('Hun Demand'!S:S,MATCH(O1648,'Hun Demand'!A:A,0)),"")</f>
        <v>0</v>
      </c>
      <c r="F1648" s="25">
        <f>IFERROR(INDEX('Hun Demand'!R:R,MATCH(O1648,'Hun Demand'!A:A,0)),"")</f>
        <v>0</v>
      </c>
      <c r="G1648" s="25">
        <f>IFERROR(INDEX('Aub Demand'!W:W,MATCH(O1648,'Aub Demand'!A:A,0)),"")</f>
        <v>0</v>
      </c>
      <c r="H1648" s="25">
        <f>IFERROR(INDEX('Aub Demand'!V:V,MATCH(O1648,'Aub Demand'!A:A,0)),"")</f>
        <v>0</v>
      </c>
      <c r="I1648" s="25">
        <f>IFERROR(INDEX('Aub Demand'!U:U,MATCH(O1648,'Aub Demand'!A:A,0)),"")</f>
        <v>0</v>
      </c>
      <c r="J1648" s="25">
        <f>IFERROR(INDEX('Aub Demand'!T:T,MATCH(O1648,'Aub Demand'!A:A,0)),"")</f>
        <v>0</v>
      </c>
      <c r="K1648" s="25">
        <f>IFERROR(INDEX('Aub Demand'!S:S,MATCH(O1648,'Aub Demand'!A:A,0)),"")</f>
        <v>0</v>
      </c>
      <c r="L1648" s="25">
        <f>IFERROR(INDEX('Aub Demand'!R:R,MATCH(O1648,'Aub Demand'!A:A,0)),"")</f>
        <v>0</v>
      </c>
      <c r="O1648" s="27" t="s">
        <v>2000</v>
      </c>
      <c r="P1648" s="27" t="str">
        <f>IFERROR(INDEX('Aub Demand'!B:B,MATCH($O1648,'Aub Demand'!$A:$A,0)),"")</f>
        <v>MAJESTIC MAGANO</v>
      </c>
      <c r="Q1648" s="27" t="str">
        <f>IFERROR(INDEX('Aub Demand'!C:C,MATCH($O1648,'Aub Demand'!$A:$A,0)),"")</f>
        <v>TOPPA</v>
      </c>
      <c r="R1648" s="52">
        <f>IFERROR(IF(AR1649=AR1648,INDEX('Aub Demand'!K:K,MATCH($O1648,'Aub Demand'!$A:$A,0))-IF(AN1648="",0,AN1648)+AP1649,INDEX('Aub Demand'!K:K,MATCH($O1648,'Aub Demand'!$A:$A,0))-IF(AN1648="",0,AN1648)),"")</f>
        <v>2631</v>
      </c>
      <c r="S1648" s="53" t="str">
        <f t="shared" si="700"/>
        <v>n/a</v>
      </c>
      <c r="T1648" s="52" t="str">
        <f t="shared" si="701"/>
        <v/>
      </c>
      <c r="U1648" s="52">
        <f>IFERROR(IF(AR1649=AR1648,INDEX('Aub Demand'!Q:Q,MATCH($O1648,'Aub Demand'!$A:$A,0))-IF(AN1648="",0,AN1648)+AP1649,INDEX('Aub Demand'!Q:Q,MATCH($O1648,'Aub Demand'!$A:$A,0))-IF(AN1648="",0,AN1648)),"")</f>
        <v>2631</v>
      </c>
      <c r="V1648" s="53" t="str">
        <f t="shared" si="702"/>
        <v>n/a</v>
      </c>
      <c r="W1648" s="52" t="str">
        <f t="shared" si="703"/>
        <v/>
      </c>
      <c r="X1648" s="52">
        <f>IFERROR(IF(AND(AR1649=AR1648,AM1648&lt;&gt;""),INDEX('Aub Demand'!Q:Q,MATCH($O1648,'Aub Demand'!$A:$A,0))-IF(AN1648="",0,AN1648)+AP1649+AD1648+AL1648,IF(AR1649=AR1648,INDEX('Aub Demand'!Q:Q,MATCH($O1648,'Aub Demand'!$A:$A,0))-IF(AN1648="",0,AN1648)+AP1649+AD1648,IF(AM1648&lt;&gt;"",INDEX('Aub Demand'!Q:Q,MATCH($O1648,'Aub Demand'!$A:$A,0))-IF(AN1648="",0,AN1648)+AD1648+AL1648,INDEX('Aub Demand'!Q:Q,MATCH($O1648,'Aub Demand'!$A:$A,0))-IF(AN1648="",0,AN1648)+AD1648))),"")</f>
        <v>2631</v>
      </c>
      <c r="Y1648" s="53" t="str">
        <f t="shared" si="704"/>
        <v>n/a</v>
      </c>
      <c r="Z1648" s="52">
        <f>IF(L1648="","",INDEX('Aub Demand'!H:H,MATCH($O1648,'Aub Demand'!$A:$A,0)))</f>
        <v>0</v>
      </c>
      <c r="AA1648" s="52" t="str">
        <f t="shared" si="705"/>
        <v>-spike-</v>
      </c>
      <c r="AB1648" s="52">
        <f>IFERROR(INDEX('Aub Demand'!L:L,MATCH($O1648,'Aub Demand'!$A:$A,0)),"")</f>
        <v>0</v>
      </c>
      <c r="AC1648" s="52">
        <f>IFERROR(IF(O1648="","",SUMIFS('CPL Mats'!F:F,'CPL Mats'!Q:Q,AR1648,'CPL Mats'!S:S,AS1648)),"")</f>
        <v>0</v>
      </c>
      <c r="AF1648" s="25" t="str">
        <f>IF(SUMIFS('Supp Consol'!S:S,'Supp Consol'!Y:Y,"Releasable",'Supp Consol'!A:A,O1648)=0,"",SUMIFS('Supp Consol'!S:S,'Supp Consol'!Y:Y,"Releasable",'Supp Consol'!A:A,O1648))</f>
        <v/>
      </c>
      <c r="AG1648" s="25">
        <f>IFERROR(INDEX('Hun Demand'!Q:Q,MATCH(O1648,'Hun Demand'!A:A,0)),"")</f>
        <v>695</v>
      </c>
      <c r="AH1648" s="25">
        <f>IFERROR(INDEX('Hun Demand'!H:H,MATCH($O1648,'Hun Demand'!$A:$A,0)),"")</f>
        <v>0</v>
      </c>
      <c r="AI1648" s="25" t="str">
        <f>IF(SUMIFS('Supp Consol'!AA:AA,'Supp Consol'!Z:Z,"Expires this month",'Supp Consol'!A:A,O1648)=0,"",SUMIFS('Supp Consol'!AA:AA,'Supp Consol'!Z:Z,"Expires this month",'Supp Consol'!A:A,O1648))</f>
        <v/>
      </c>
      <c r="AJ1648" s="25" t="str">
        <f>IF(SUMIFS('Supp Consol'!AA:AA,'Supp Consol'!Z:Z,"Expired Previous Months",'Supp Consol'!A:A,O1648)=0,"",SUMIFS('Supp Consol'!AA:AA,'Supp Consol'!Z:Z,"Expired Previous Months",'Supp Consol'!A:A,O1648))</f>
        <v/>
      </c>
      <c r="AK1648" s="25" t="str">
        <f>IFERROR(INDEX('Hun Release Current'!B:B,MATCH(O1648,'Hun Release Current'!A:A,0)),"")</f>
        <v/>
      </c>
      <c r="AL1648" s="25" t="str">
        <f>IF(SUMIF('Prev Aub'!A:A,O1648,'Prev Aub'!B:B)=0,"",SUMIF('Prev Aub'!A:A,O1648,'Prev Aub'!B:B))</f>
        <v/>
      </c>
      <c r="AN1648" s="25" t="s">
        <v>3790</v>
      </c>
      <c r="AO1648" s="25" t="s">
        <v>3790</v>
      </c>
      <c r="AP1648" s="25">
        <f t="shared" si="706"/>
        <v>0</v>
      </c>
      <c r="AQ1648" s="151" t="str">
        <f>IF(SUMIFS('Supp Consol'!S:S,'Supp Consol'!A:A,O1648,'Supp Consol'!I:I,"PENDING")=0,"",SUMIFS('Supp Consol'!S:S,'Supp Consol'!A:A,O1648,'Supp Consol'!I:I,"PENDING"))</f>
        <v/>
      </c>
      <c r="AR1648" s="27" t="str">
        <f t="shared" si="707"/>
        <v>WY150</v>
      </c>
      <c r="AS1648" s="27" t="str">
        <f t="shared" si="708"/>
        <v>50</v>
      </c>
      <c r="AT1648" s="27" t="str">
        <f t="shared" si="709"/>
        <v/>
      </c>
      <c r="AU1648" s="27" t="str">
        <f t="shared" si="710"/>
        <v/>
      </c>
      <c r="AV1648" s="27" t="str">
        <f t="shared" si="711"/>
        <v/>
      </c>
      <c r="AW1648" s="27" t="str">
        <f t="shared" si="712"/>
        <v/>
      </c>
      <c r="AX1648" s="27" t="str">
        <f t="shared" si="713"/>
        <v/>
      </c>
      <c r="AY1648" s="27" t="str">
        <f t="shared" si="714"/>
        <v>WY150</v>
      </c>
      <c r="AZ1648" s="27" t="str">
        <f t="shared" si="715"/>
        <v/>
      </c>
      <c r="BA1648" s="27" t="str">
        <f t="shared" si="716"/>
        <v>Hun</v>
      </c>
      <c r="BB1648" s="27" t="str">
        <f t="shared" si="717"/>
        <v/>
      </c>
      <c r="BC1648" s="27" t="str">
        <f t="shared" si="718"/>
        <v/>
      </c>
      <c r="BD1648" s="27" t="str">
        <f t="shared" si="719"/>
        <v/>
      </c>
      <c r="BE1648" s="27" t="str">
        <f t="shared" si="720"/>
        <v/>
      </c>
      <c r="BF1648" s="27" t="str">
        <f t="shared" si="721"/>
        <v/>
      </c>
      <c r="BG1648" s="27" t="str">
        <f t="shared" si="722"/>
        <v/>
      </c>
      <c r="BH1648" s="27" t="str">
        <f t="shared" si="723"/>
        <v/>
      </c>
      <c r="BI1648" s="27" t="str">
        <f t="shared" si="724"/>
        <v/>
      </c>
      <c r="BJ1648" s="27" t="str">
        <f t="shared" si="725"/>
        <v>Supp or Hun</v>
      </c>
      <c r="BK1648" s="27" t="str">
        <f t="shared" si="726"/>
        <v/>
      </c>
      <c r="BL1648" s="27" t="str">
        <f t="shared" si="727"/>
        <v/>
      </c>
      <c r="BM1648" s="21" t="s">
        <v>5581</v>
      </c>
    </row>
    <row r="1649" spans="1:65" ht="15">
      <c r="A1649" s="25">
        <f>IFERROR(INDEX('Hun Demand'!W:W,MATCH(O1649,'Hun Demand'!A:A,0)),"")</f>
        <v>185</v>
      </c>
      <c r="B1649" s="25">
        <f>IFERROR(INDEX('Hun Demand'!V:V,MATCH(O1649,'Hun Demand'!A:A,0)),"")</f>
        <v>0</v>
      </c>
      <c r="C1649" s="25">
        <f>IFERROR(INDEX('Hun Demand'!U:U,MATCH(O1649,'Hun Demand'!A:A,0)),"")</f>
        <v>0</v>
      </c>
      <c r="D1649" s="25">
        <f>IFERROR(INDEX('Hun Demand'!T:T,MATCH(O1649,'Hun Demand'!A:A,0)),"")</f>
        <v>0</v>
      </c>
      <c r="E1649" s="25">
        <f>IFERROR(INDEX('Hun Demand'!S:S,MATCH(O1649,'Hun Demand'!A:A,0)),"")</f>
        <v>0</v>
      </c>
      <c r="F1649" s="25">
        <f>IFERROR(INDEX('Hun Demand'!R:R,MATCH(O1649,'Hun Demand'!A:A,0)),"")</f>
        <v>0</v>
      </c>
      <c r="G1649" s="25">
        <f>IFERROR(INDEX('Aub Demand'!W:W,MATCH(O1649,'Aub Demand'!A:A,0)),"")</f>
        <v>0</v>
      </c>
      <c r="H1649" s="25">
        <f>IFERROR(INDEX('Aub Demand'!V:V,MATCH(O1649,'Aub Demand'!A:A,0)),"")</f>
        <v>0</v>
      </c>
      <c r="I1649" s="25">
        <f>IFERROR(INDEX('Aub Demand'!U:U,MATCH(O1649,'Aub Demand'!A:A,0)),"")</f>
        <v>0</v>
      </c>
      <c r="J1649" s="25">
        <f>IFERROR(INDEX('Aub Demand'!T:T,MATCH(O1649,'Aub Demand'!A:A,0)),"")</f>
        <v>0</v>
      </c>
      <c r="K1649" s="25">
        <f>IFERROR(INDEX('Aub Demand'!S:S,MATCH(O1649,'Aub Demand'!A:A,0)),"")</f>
        <v>0</v>
      </c>
      <c r="L1649" s="25">
        <f>IFERROR(INDEX('Aub Demand'!R:R,MATCH(O1649,'Aub Demand'!A:A,0)),"")</f>
        <v>0</v>
      </c>
      <c r="O1649" s="27" t="s">
        <v>2002</v>
      </c>
      <c r="P1649" s="27" t="str">
        <f>IFERROR(INDEX('Aub Demand'!B:B,MATCH($O1649,'Aub Demand'!$A:$A,0)),"")</f>
        <v>MAJESTIC MAGANO</v>
      </c>
      <c r="Q1649" s="27" t="str">
        <f>IFERROR(INDEX('Aub Demand'!C:C,MATCH($O1649,'Aub Demand'!$A:$A,0)),"")</f>
        <v>TOPPA</v>
      </c>
      <c r="R1649" s="52">
        <f>IFERROR(IF(AR1650=AR1649,INDEX('Aub Demand'!K:K,MATCH($O1649,'Aub Demand'!$A:$A,0))-IF(AN1649="",0,AN1649)+AP1650,INDEX('Aub Demand'!K:K,MATCH($O1649,'Aub Demand'!$A:$A,0))-IF(AN1649="",0,AN1649)),"")</f>
        <v>1046</v>
      </c>
      <c r="S1649" s="53" t="str">
        <f t="shared" si="700"/>
        <v>n/a</v>
      </c>
      <c r="T1649" s="52" t="str">
        <f t="shared" si="701"/>
        <v/>
      </c>
      <c r="U1649" s="52">
        <f>IFERROR(IF(AR1650=AR1649,INDEX('Aub Demand'!Q:Q,MATCH($O1649,'Aub Demand'!$A:$A,0))-IF(AN1649="",0,AN1649)+AP1650,INDEX('Aub Demand'!Q:Q,MATCH($O1649,'Aub Demand'!$A:$A,0))-IF(AN1649="",0,AN1649)),"")</f>
        <v>1046</v>
      </c>
      <c r="V1649" s="53" t="str">
        <f t="shared" si="702"/>
        <v>n/a</v>
      </c>
      <c r="W1649" s="52" t="str">
        <f t="shared" si="703"/>
        <v/>
      </c>
      <c r="X1649" s="52">
        <f>IFERROR(IF(AND(AR1650=AR1649,AM1649&lt;&gt;""),INDEX('Aub Demand'!Q:Q,MATCH($O1649,'Aub Demand'!$A:$A,0))-IF(AN1649="",0,AN1649)+AP1650+AD1649+AL1649,IF(AR1650=AR1649,INDEX('Aub Demand'!Q:Q,MATCH($O1649,'Aub Demand'!$A:$A,0))-IF(AN1649="",0,AN1649)+AP1650+AD1649,IF(AM1649&lt;&gt;"",INDEX('Aub Demand'!Q:Q,MATCH($O1649,'Aub Demand'!$A:$A,0))-IF(AN1649="",0,AN1649)+AD1649+AL1649,INDEX('Aub Demand'!Q:Q,MATCH($O1649,'Aub Demand'!$A:$A,0))-IF(AN1649="",0,AN1649)+AD1649))),"")</f>
        <v>1046</v>
      </c>
      <c r="Y1649" s="53" t="str">
        <f t="shared" si="704"/>
        <v>n/a</v>
      </c>
      <c r="Z1649" s="52">
        <f>IF(L1649="","",INDEX('Aub Demand'!H:H,MATCH($O1649,'Aub Demand'!$A:$A,0)))</f>
        <v>0</v>
      </c>
      <c r="AA1649" s="52" t="str">
        <f t="shared" si="705"/>
        <v>-spike-</v>
      </c>
      <c r="AB1649" s="52">
        <f>IFERROR(INDEX('Aub Demand'!L:L,MATCH($O1649,'Aub Demand'!$A:$A,0)),"")</f>
        <v>0</v>
      </c>
      <c r="AC1649" s="52">
        <f>IFERROR(IF(O1649="","",SUMIFS('CPL Mats'!F:F,'CPL Mats'!Q:Q,AR1649,'CPL Mats'!S:S,AS1649)),"")</f>
        <v>0</v>
      </c>
      <c r="AF1649" s="25" t="str">
        <f>IF(SUMIFS('Supp Consol'!S:S,'Supp Consol'!Y:Y,"Releasable",'Supp Consol'!A:A,O1649)=0,"",SUMIFS('Supp Consol'!S:S,'Supp Consol'!Y:Y,"Releasable",'Supp Consol'!A:A,O1649))</f>
        <v/>
      </c>
      <c r="AG1649" s="25">
        <f>IFERROR(INDEX('Hun Demand'!Q:Q,MATCH(O1649,'Hun Demand'!A:A,0)),"")</f>
        <v>115</v>
      </c>
      <c r="AH1649" s="25">
        <f>IFERROR(INDEX('Hun Demand'!H:H,MATCH($O1649,'Hun Demand'!$A:$A,0)),"")</f>
        <v>0</v>
      </c>
      <c r="AI1649" s="25" t="str">
        <f>IF(SUMIFS('Supp Consol'!AA:AA,'Supp Consol'!Z:Z,"Expires this month",'Supp Consol'!A:A,O1649)=0,"",SUMIFS('Supp Consol'!AA:AA,'Supp Consol'!Z:Z,"Expires this month",'Supp Consol'!A:A,O1649))</f>
        <v/>
      </c>
      <c r="AJ1649" s="25" t="str">
        <f>IF(SUMIFS('Supp Consol'!AA:AA,'Supp Consol'!Z:Z,"Expired Previous Months",'Supp Consol'!A:A,O1649)=0,"",SUMIFS('Supp Consol'!AA:AA,'Supp Consol'!Z:Z,"Expired Previous Months",'Supp Consol'!A:A,O1649))</f>
        <v/>
      </c>
      <c r="AK1649" s="25" t="str">
        <f>IFERROR(INDEX('Hun Release Current'!B:B,MATCH(O1649,'Hun Release Current'!A:A,0)),"")</f>
        <v/>
      </c>
      <c r="AL1649" s="25" t="str">
        <f>IF(SUMIF('Prev Aub'!A:A,O1649,'Prev Aub'!B:B)=0,"",SUMIF('Prev Aub'!A:A,O1649,'Prev Aub'!B:B))</f>
        <v/>
      </c>
      <c r="AN1649" s="25" t="s">
        <v>3790</v>
      </c>
      <c r="AO1649" s="25" t="s">
        <v>3790</v>
      </c>
      <c r="AP1649" s="25">
        <f t="shared" si="706"/>
        <v>0</v>
      </c>
      <c r="AQ1649" s="151" t="str">
        <f>IF(SUMIFS('Supp Consol'!S:S,'Supp Consol'!A:A,O1649,'Supp Consol'!I:I,"PENDING")=0,"",SUMIFS('Supp Consol'!S:S,'Supp Consol'!A:A,O1649,'Supp Consol'!I:I,"PENDING"))</f>
        <v/>
      </c>
      <c r="AR1649" s="27" t="str">
        <f t="shared" si="707"/>
        <v>WY150</v>
      </c>
      <c r="AS1649" s="27" t="str">
        <f t="shared" si="708"/>
        <v>62</v>
      </c>
      <c r="AT1649" s="27" t="str">
        <f t="shared" si="709"/>
        <v/>
      </c>
      <c r="AU1649" s="27" t="str">
        <f t="shared" si="710"/>
        <v/>
      </c>
      <c r="AV1649" s="27" t="str">
        <f t="shared" si="711"/>
        <v/>
      </c>
      <c r="AW1649" s="27" t="str">
        <f t="shared" si="712"/>
        <v/>
      </c>
      <c r="AX1649" s="27" t="str">
        <f t="shared" si="713"/>
        <v/>
      </c>
      <c r="AY1649" s="27" t="str">
        <f t="shared" si="714"/>
        <v>WY150</v>
      </c>
      <c r="AZ1649" s="27" t="str">
        <f t="shared" si="715"/>
        <v/>
      </c>
      <c r="BA1649" s="27" t="str">
        <f t="shared" si="716"/>
        <v>Hun</v>
      </c>
      <c r="BB1649" s="27" t="str">
        <f t="shared" si="717"/>
        <v/>
      </c>
      <c r="BC1649" s="27" t="str">
        <f t="shared" si="718"/>
        <v/>
      </c>
      <c r="BD1649" s="27" t="str">
        <f t="shared" si="719"/>
        <v/>
      </c>
      <c r="BE1649" s="27" t="str">
        <f t="shared" si="720"/>
        <v/>
      </c>
      <c r="BF1649" s="27" t="str">
        <f t="shared" si="721"/>
        <v/>
      </c>
      <c r="BG1649" s="27" t="str">
        <f t="shared" si="722"/>
        <v/>
      </c>
      <c r="BH1649" s="27" t="str">
        <f t="shared" si="723"/>
        <v/>
      </c>
      <c r="BI1649" s="27" t="str">
        <f t="shared" si="724"/>
        <v/>
      </c>
      <c r="BJ1649" s="27" t="str">
        <f t="shared" si="725"/>
        <v>Supp or Hun</v>
      </c>
      <c r="BK1649" s="27" t="str">
        <f t="shared" si="726"/>
        <v/>
      </c>
      <c r="BL1649" s="27" t="str">
        <f t="shared" si="727"/>
        <v/>
      </c>
      <c r="BM1649" s="21" t="s">
        <v>5581</v>
      </c>
    </row>
    <row r="1650" spans="1:65" ht="15">
      <c r="A1650" s="25">
        <f>IFERROR(INDEX('Hun Demand'!W:W,MATCH(O1650,'Hun Demand'!A:A,0)),"")</f>
        <v>4639</v>
      </c>
      <c r="B1650" s="25">
        <f>IFERROR(INDEX('Hun Demand'!V:V,MATCH(O1650,'Hun Demand'!A:A,0)),"")</f>
        <v>3887</v>
      </c>
      <c r="C1650" s="25">
        <f>IFERROR(INDEX('Hun Demand'!U:U,MATCH(O1650,'Hun Demand'!A:A,0)),"")</f>
        <v>298</v>
      </c>
      <c r="D1650" s="25">
        <f>IFERROR(INDEX('Hun Demand'!T:T,MATCH(O1650,'Hun Demand'!A:A,0)),"")</f>
        <v>2851</v>
      </c>
      <c r="E1650" s="25">
        <f>IFERROR(INDEX('Hun Demand'!S:S,MATCH(O1650,'Hun Demand'!A:A,0)),"")</f>
        <v>3823</v>
      </c>
      <c r="F1650" s="25">
        <f>IFERROR(INDEX('Hun Demand'!R:R,MATCH(O1650,'Hun Demand'!A:A,0)),"")</f>
        <v>310</v>
      </c>
      <c r="G1650" s="25">
        <f>IFERROR(INDEX('Aub Demand'!W:W,MATCH(O1650,'Aub Demand'!A:A,0)),"")</f>
        <v>305</v>
      </c>
      <c r="H1650" s="25">
        <f>IFERROR(INDEX('Aub Demand'!V:V,MATCH(O1650,'Aub Demand'!A:A,0)),"")</f>
        <v>1269</v>
      </c>
      <c r="I1650" s="25">
        <f>IFERROR(INDEX('Aub Demand'!U:U,MATCH(O1650,'Aub Demand'!A:A,0)),"")</f>
        <v>479</v>
      </c>
      <c r="J1650" s="25">
        <f>IFERROR(INDEX('Aub Demand'!T:T,MATCH(O1650,'Aub Demand'!A:A,0)),"")</f>
        <v>850</v>
      </c>
      <c r="K1650" s="25">
        <f>IFERROR(INDEX('Aub Demand'!S:S,MATCH(O1650,'Aub Demand'!A:A,0)),"")</f>
        <v>354</v>
      </c>
      <c r="L1650" s="25">
        <f>IFERROR(INDEX('Aub Demand'!R:R,MATCH(O1650,'Aub Demand'!A:A,0)),"")</f>
        <v>178</v>
      </c>
      <c r="O1650" s="27" t="s">
        <v>2003</v>
      </c>
      <c r="P1650" s="27" t="str">
        <f>IFERROR(INDEX('Aub Demand'!B:B,MATCH($O1650,'Aub Demand'!$A:$A,0)),"")</f>
        <v>ABSOLUTE ACAJOU</v>
      </c>
      <c r="Q1650" s="27" t="str">
        <f>IFERROR(INDEX('Aub Demand'!C:C,MATCH($O1650,'Aub Demand'!$A:$A,0)),"")</f>
        <v>TOPPA</v>
      </c>
      <c r="R1650" s="52">
        <f>IFERROR(IF(AR1651=AR1650,INDEX('Aub Demand'!K:K,MATCH($O1650,'Aub Demand'!$A:$A,0))-IF(AN1650="",0,AN1650)+AP1651,INDEX('Aub Demand'!K:K,MATCH($O1650,'Aub Demand'!$A:$A,0))-IF(AN1650="",0,AN1650)),"")</f>
        <v>1286</v>
      </c>
      <c r="S1650" s="53">
        <f t="shared" si="700"/>
        <v>9.8000000000000007</v>
      </c>
      <c r="T1650" s="52" t="str">
        <f t="shared" si="701"/>
        <v/>
      </c>
      <c r="U1650" s="52">
        <f>IFERROR(IF(AR1651=AR1650,INDEX('Aub Demand'!Q:Q,MATCH($O1650,'Aub Demand'!$A:$A,0))-IF(AN1650="",0,AN1650)+AP1651,INDEX('Aub Demand'!Q:Q,MATCH($O1650,'Aub Demand'!$A:$A,0))-IF(AN1650="",0,AN1650)),"")</f>
        <v>846</v>
      </c>
      <c r="V1650" s="53">
        <f t="shared" si="702"/>
        <v>6.5</v>
      </c>
      <c r="W1650" s="52" t="str">
        <f t="shared" si="703"/>
        <v/>
      </c>
      <c r="X1650" s="52">
        <f>IFERROR(IF(AND(AR1651=AR1650,AM1650&lt;&gt;""),INDEX('Aub Demand'!Q:Q,MATCH($O1650,'Aub Demand'!$A:$A,0))-IF(AN1650="",0,AN1650)+AP1651+AD1650+AL1650,IF(AR1651=AR1650,INDEX('Aub Demand'!Q:Q,MATCH($O1650,'Aub Demand'!$A:$A,0))-IF(AN1650="",0,AN1650)+AP1651+AD1650,IF(AM1650&lt;&gt;"",INDEX('Aub Demand'!Q:Q,MATCH($O1650,'Aub Demand'!$A:$A,0))-IF(AN1650="",0,AN1650)+AD1650+AL1650,INDEX('Aub Demand'!Q:Q,MATCH($O1650,'Aub Demand'!$A:$A,0))-IF(AN1650="",0,AN1650)+AD1650))),"")</f>
        <v>846</v>
      </c>
      <c r="Y1650" s="53">
        <f t="shared" si="704"/>
        <v>6.5</v>
      </c>
      <c r="Z1650" s="52">
        <f>IF(L1650="","",INDEX('Aub Demand'!H:H,MATCH($O1650,'Aub Demand'!$A:$A,0)))</f>
        <v>561</v>
      </c>
      <c r="AA1650" s="52">
        <f t="shared" si="705"/>
        <v>664.5</v>
      </c>
      <c r="AB1650" s="52">
        <f>IFERROR(INDEX('Aub Demand'!L:L,MATCH($O1650,'Aub Demand'!$A:$A,0)),"")</f>
        <v>233</v>
      </c>
      <c r="AC1650" s="52">
        <f>IFERROR(IF(O1650="","",SUMIFS('CPL Mats'!F:F,'CPL Mats'!Q:Q,AR1650,'CPL Mats'!S:S,AS1650)),"")</f>
        <v>0</v>
      </c>
      <c r="AF1650" s="25">
        <f>IF(SUMIFS('Supp Consol'!S:S,'Supp Consol'!Y:Y,"Releasable",'Supp Consol'!A:A,O1650)=0,"",SUMIFS('Supp Consol'!S:S,'Supp Consol'!Y:Y,"Releasable",'Supp Consol'!A:A,O1650))</f>
        <v>10637</v>
      </c>
      <c r="AG1650" s="25">
        <f>IFERROR(INDEX('Hun Demand'!Q:Q,MATCH(O1650,'Hun Demand'!A:A,0)),"")</f>
        <v>5086</v>
      </c>
      <c r="AH1650" s="25">
        <f>IFERROR(INDEX('Hun Demand'!H:H,MATCH($O1650,'Hun Demand'!$A:$A,0)),"")</f>
        <v>2324</v>
      </c>
      <c r="AI1650" s="25" t="str">
        <f>IF(SUMIFS('Supp Consol'!AA:AA,'Supp Consol'!Z:Z,"Expires this month",'Supp Consol'!A:A,O1650)=0,"",SUMIFS('Supp Consol'!AA:AA,'Supp Consol'!Z:Z,"Expires this month",'Supp Consol'!A:A,O1650))</f>
        <v/>
      </c>
      <c r="AJ1650" s="25" t="str">
        <f>IF(SUMIFS('Supp Consol'!AA:AA,'Supp Consol'!Z:Z,"Expired Previous Months",'Supp Consol'!A:A,O1650)=0,"",SUMIFS('Supp Consol'!AA:AA,'Supp Consol'!Z:Z,"Expired Previous Months",'Supp Consol'!A:A,O1650))</f>
        <v/>
      </c>
      <c r="AK1650" s="25" t="str">
        <f>IFERROR(INDEX('Hun Release Current'!B:B,MATCH(O1650,'Hun Release Current'!A:A,0)),"")</f>
        <v/>
      </c>
      <c r="AL1650" s="25" t="str">
        <f>IF(SUMIF('Prev Aub'!A:A,O1650,'Prev Aub'!B:B)=0,"",SUMIF('Prev Aub'!A:A,O1650,'Prev Aub'!B:B))</f>
        <v/>
      </c>
      <c r="AN1650" s="25" t="s">
        <v>3790</v>
      </c>
      <c r="AO1650" s="25" t="s">
        <v>3790</v>
      </c>
      <c r="AP1650" s="25">
        <f t="shared" si="706"/>
        <v>0</v>
      </c>
      <c r="AQ1650" s="151" t="str">
        <f>IF(SUMIFS('Supp Consol'!S:S,'Supp Consol'!A:A,O1650,'Supp Consol'!I:I,"PENDING")=0,"",SUMIFS('Supp Consol'!S:S,'Supp Consol'!A:A,O1650,'Supp Consol'!I:I,"PENDING"))</f>
        <v/>
      </c>
      <c r="AR1650" s="27" t="str">
        <f t="shared" si="707"/>
        <v>WY160</v>
      </c>
      <c r="AS1650" s="27" t="str">
        <f t="shared" si="708"/>
        <v>50</v>
      </c>
      <c r="AT1650" s="27" t="str">
        <f t="shared" si="709"/>
        <v/>
      </c>
      <c r="AU1650" s="27" t="str">
        <f t="shared" si="710"/>
        <v/>
      </c>
      <c r="AV1650" s="27" t="str">
        <f t="shared" si="711"/>
        <v/>
      </c>
      <c r="AW1650" s="27" t="str">
        <f t="shared" si="712"/>
        <v/>
      </c>
      <c r="AX1650" s="27" t="str">
        <f t="shared" si="713"/>
        <v>WY160</v>
      </c>
      <c r="AY1650" s="27" t="str">
        <f t="shared" si="714"/>
        <v>WY160</v>
      </c>
      <c r="AZ1650" s="27" t="str">
        <f t="shared" si="715"/>
        <v>Supp</v>
      </c>
      <c r="BA1650" s="27" t="str">
        <f t="shared" si="716"/>
        <v>Hun</v>
      </c>
      <c r="BB1650" s="27" t="str">
        <f t="shared" si="717"/>
        <v/>
      </c>
      <c r="BC1650" s="27" t="str">
        <f t="shared" si="718"/>
        <v/>
      </c>
      <c r="BD1650" s="27" t="str">
        <f t="shared" si="719"/>
        <v/>
      </c>
      <c r="BE1650" s="27" t="str">
        <f t="shared" si="720"/>
        <v/>
      </c>
      <c r="BF1650" s="27" t="str">
        <f t="shared" si="721"/>
        <v/>
      </c>
      <c r="BG1650" s="27" t="str">
        <f t="shared" si="722"/>
        <v/>
      </c>
      <c r="BH1650" s="27" t="str">
        <f t="shared" si="723"/>
        <v/>
      </c>
      <c r="BI1650" s="27" t="str">
        <f t="shared" si="724"/>
        <v/>
      </c>
      <c r="BJ1650" s="27" t="str">
        <f t="shared" si="725"/>
        <v>Supp or Hun</v>
      </c>
      <c r="BK1650" s="27" t="str">
        <f t="shared" si="726"/>
        <v/>
      </c>
      <c r="BL1650" s="27" t="str">
        <f t="shared" si="727"/>
        <v/>
      </c>
      <c r="BM1650" s="21" t="s">
        <v>5581</v>
      </c>
    </row>
    <row r="1651" spans="1:65" ht="15">
      <c r="A1651" s="25">
        <f>IFERROR(INDEX('Hun Demand'!W:W,MATCH(O1651,'Hun Demand'!A:A,0)),"")</f>
        <v>9905</v>
      </c>
      <c r="B1651" s="25">
        <f>IFERROR(INDEX('Hun Demand'!V:V,MATCH(O1651,'Hun Demand'!A:A,0)),"")</f>
        <v>12595</v>
      </c>
      <c r="C1651" s="25">
        <f>IFERROR(INDEX('Hun Demand'!U:U,MATCH(O1651,'Hun Demand'!A:A,0)),"")</f>
        <v>10682</v>
      </c>
      <c r="D1651" s="25">
        <f>IFERROR(INDEX('Hun Demand'!T:T,MATCH(O1651,'Hun Demand'!A:A,0)),"")</f>
        <v>7743</v>
      </c>
      <c r="E1651" s="25">
        <f>IFERROR(INDEX('Hun Demand'!S:S,MATCH(O1651,'Hun Demand'!A:A,0)),"")</f>
        <v>11966</v>
      </c>
      <c r="F1651" s="25">
        <f>IFERROR(INDEX('Hun Demand'!R:R,MATCH(O1651,'Hun Demand'!A:A,0)),"")</f>
        <v>1999</v>
      </c>
      <c r="G1651" s="25">
        <f>IFERROR(INDEX('Aub Demand'!W:W,MATCH(O1651,'Aub Demand'!A:A,0)),"")</f>
        <v>511</v>
      </c>
      <c r="H1651" s="25">
        <f>IFERROR(INDEX('Aub Demand'!V:V,MATCH(O1651,'Aub Demand'!A:A,0)),"")</f>
        <v>289</v>
      </c>
      <c r="I1651" s="25">
        <f>IFERROR(INDEX('Aub Demand'!U:U,MATCH(O1651,'Aub Demand'!A:A,0)),"")</f>
        <v>345</v>
      </c>
      <c r="J1651" s="25">
        <f>IFERROR(INDEX('Aub Demand'!T:T,MATCH(O1651,'Aub Demand'!A:A,0)),"")</f>
        <v>492</v>
      </c>
      <c r="K1651" s="25">
        <f>IFERROR(INDEX('Aub Demand'!S:S,MATCH(O1651,'Aub Demand'!A:A,0)),"")</f>
        <v>570</v>
      </c>
      <c r="L1651" s="25">
        <f>IFERROR(INDEX('Aub Demand'!R:R,MATCH(O1651,'Aub Demand'!A:A,0)),"")</f>
        <v>0</v>
      </c>
      <c r="O1651" s="27" t="s">
        <v>2006</v>
      </c>
      <c r="P1651" s="27" t="str">
        <f>IFERROR(INDEX('Aub Demand'!B:B,MATCH($O1651,'Aub Demand'!$A:$A,0)),"")</f>
        <v>ABSOLUTE ACAJOU</v>
      </c>
      <c r="Q1651" s="27" t="str">
        <f>IFERROR(INDEX('Aub Demand'!C:C,MATCH($O1651,'Aub Demand'!$A:$A,0)),"")</f>
        <v>TOPPA</v>
      </c>
      <c r="R1651" s="52">
        <f>IFERROR(IF(AR1652=AR1651,INDEX('Aub Demand'!K:K,MATCH($O1651,'Aub Demand'!$A:$A,0))-IF(AN1651="",0,AN1651)+AP1652,INDEX('Aub Demand'!K:K,MATCH($O1651,'Aub Demand'!$A:$A,0))-IF(AN1651="",0,AN1651)),"")</f>
        <v>2592</v>
      </c>
      <c r="S1651" s="53">
        <f t="shared" si="700"/>
        <v>23.7</v>
      </c>
      <c r="T1651" s="52" t="str">
        <f t="shared" si="701"/>
        <v/>
      </c>
      <c r="U1651" s="52">
        <f>IFERROR(IF(AR1652=AR1651,INDEX('Aub Demand'!Q:Q,MATCH($O1651,'Aub Demand'!$A:$A,0))-IF(AN1651="",0,AN1651)+AP1652,INDEX('Aub Demand'!Q:Q,MATCH($O1651,'Aub Demand'!$A:$A,0))-IF(AN1651="",0,AN1651)),"")</f>
        <v>210</v>
      </c>
      <c r="V1651" s="53">
        <f t="shared" si="702"/>
        <v>1.9</v>
      </c>
      <c r="W1651" s="52">
        <f t="shared" si="703"/>
        <v>146.02500000000001</v>
      </c>
      <c r="X1651" s="52">
        <f>IFERROR(IF(AND(AR1652=AR1651,AM1651&lt;&gt;""),INDEX('Aub Demand'!Q:Q,MATCH($O1651,'Aub Demand'!$A:$A,0))-IF(AN1651="",0,AN1651)+AP1652+AD1651+AL1651,IF(AR1652=AR1651,INDEX('Aub Demand'!Q:Q,MATCH($O1651,'Aub Demand'!$A:$A,0))-IF(AN1651="",0,AN1651)+AP1652+AD1651,IF(AM1651&lt;&gt;"",INDEX('Aub Demand'!Q:Q,MATCH($O1651,'Aub Demand'!$A:$A,0))-IF(AN1651="",0,AN1651)+AD1651+AL1651,INDEX('Aub Demand'!Q:Q,MATCH($O1651,'Aub Demand'!$A:$A,0))-IF(AN1651="",0,AN1651)+AD1651))),"")</f>
        <v>710</v>
      </c>
      <c r="Y1651" s="53">
        <f t="shared" si="704"/>
        <v>6.5</v>
      </c>
      <c r="Z1651" s="52">
        <f>IF(L1651="","",INDEX('Aub Demand'!H:H,MATCH($O1651,'Aub Demand'!$A:$A,0)))</f>
        <v>469</v>
      </c>
      <c r="AA1651" s="52">
        <f t="shared" si="705"/>
        <v>531</v>
      </c>
      <c r="AB1651" s="52">
        <f>IFERROR(INDEX('Aub Demand'!L:L,MATCH($O1651,'Aub Demand'!$A:$A,0)),"")</f>
        <v>973</v>
      </c>
      <c r="AC1651" s="52">
        <f>IFERROR(IF(O1651="","",SUMIFS('CPL Mats'!F:F,'CPL Mats'!Q:Q,AR1651,'CPL Mats'!S:S,AS1651)),"")</f>
        <v>32.450000000000003</v>
      </c>
      <c r="AD1651" s="25">
        <v>500</v>
      </c>
      <c r="AE1651" s="52" t="s">
        <v>5583</v>
      </c>
      <c r="AF1651" s="25">
        <f>IF(SUMIFS('Supp Consol'!S:S,'Supp Consol'!Y:Y,"Releasable",'Supp Consol'!A:A,O1651)=0,"",SUMIFS('Supp Consol'!S:S,'Supp Consol'!Y:Y,"Releasable",'Supp Consol'!A:A,O1651))</f>
        <v>49705</v>
      </c>
      <c r="AG1651" s="25">
        <f>IFERROR(INDEX('Hun Demand'!Q:Q,MATCH(O1651,'Hun Demand'!A:A,0)),"")</f>
        <v>-1750</v>
      </c>
      <c r="AH1651" s="25">
        <f>IFERROR(INDEX('Hun Demand'!H:H,MATCH($O1651,'Hun Demand'!$A:$A,0)),"")</f>
        <v>10130</v>
      </c>
      <c r="AI1651" s="25" t="str">
        <f>IF(SUMIFS('Supp Consol'!AA:AA,'Supp Consol'!Z:Z,"Expires this month",'Supp Consol'!A:A,O1651)=0,"",SUMIFS('Supp Consol'!AA:AA,'Supp Consol'!Z:Z,"Expires this month",'Supp Consol'!A:A,O1651))</f>
        <v/>
      </c>
      <c r="AJ1651" s="25" t="str">
        <f>IF(SUMIFS('Supp Consol'!AA:AA,'Supp Consol'!Z:Z,"Expired Previous Months",'Supp Consol'!A:A,O1651)=0,"",SUMIFS('Supp Consol'!AA:AA,'Supp Consol'!Z:Z,"Expired Previous Months",'Supp Consol'!A:A,O1651))</f>
        <v/>
      </c>
      <c r="AK1651" s="25" t="str">
        <f>IFERROR(INDEX('Hun Release Current'!B:B,MATCH(O1651,'Hun Release Current'!A:A,0)),"")</f>
        <v/>
      </c>
      <c r="AL1651" s="25" t="str">
        <f>IF(SUMIF('Prev Aub'!A:A,O1651,'Prev Aub'!B:B)=0,"",SUMIF('Prev Aub'!A:A,O1651,'Prev Aub'!B:B))</f>
        <v/>
      </c>
      <c r="AN1651" s="25" t="s">
        <v>3790</v>
      </c>
      <c r="AO1651" s="25" t="s">
        <v>3790</v>
      </c>
      <c r="AP1651" s="25">
        <f t="shared" si="706"/>
        <v>0</v>
      </c>
      <c r="AQ1651" s="151" t="str">
        <f>IF(SUMIFS('Supp Consol'!S:S,'Supp Consol'!A:A,O1651,'Supp Consol'!I:I,"PENDING")=0,"",SUMIFS('Supp Consol'!S:S,'Supp Consol'!A:A,O1651,'Supp Consol'!I:I,"PENDING"))</f>
        <v/>
      </c>
      <c r="AR1651" s="27" t="str">
        <f t="shared" si="707"/>
        <v>WY160</v>
      </c>
      <c r="AS1651" s="27" t="str">
        <f t="shared" si="708"/>
        <v>62</v>
      </c>
      <c r="AT1651" s="27" t="str">
        <f t="shared" si="709"/>
        <v/>
      </c>
      <c r="AU1651" s="27" t="str">
        <f t="shared" si="710"/>
        <v/>
      </c>
      <c r="AV1651" s="27" t="str">
        <f t="shared" si="711"/>
        <v/>
      </c>
      <c r="AW1651" s="27" t="str">
        <f t="shared" si="712"/>
        <v/>
      </c>
      <c r="AX1651" s="27" t="str">
        <f t="shared" si="713"/>
        <v>WY160</v>
      </c>
      <c r="AY1651" s="27" t="str">
        <f t="shared" si="714"/>
        <v/>
      </c>
      <c r="AZ1651" s="27" t="str">
        <f t="shared" si="715"/>
        <v>Supp</v>
      </c>
      <c r="BA1651" s="27" t="str">
        <f t="shared" si="716"/>
        <v>Hun</v>
      </c>
      <c r="BB1651" s="27" t="str">
        <f t="shared" si="717"/>
        <v/>
      </c>
      <c r="BC1651" s="27" t="str">
        <f t="shared" si="718"/>
        <v/>
      </c>
      <c r="BD1651" s="27" t="str">
        <f t="shared" si="719"/>
        <v/>
      </c>
      <c r="BE1651" s="27" t="str">
        <f t="shared" si="720"/>
        <v/>
      </c>
      <c r="BF1651" s="27" t="str">
        <f t="shared" si="721"/>
        <v/>
      </c>
      <c r="BG1651" s="27" t="str">
        <f t="shared" si="722"/>
        <v/>
      </c>
      <c r="BH1651" s="27" t="str">
        <f t="shared" si="723"/>
        <v/>
      </c>
      <c r="BI1651" s="27" t="str">
        <f t="shared" si="724"/>
        <v/>
      </c>
      <c r="BJ1651" s="27" t="str">
        <f t="shared" si="725"/>
        <v>Supp or Hun</v>
      </c>
      <c r="BK1651" s="27" t="str">
        <f t="shared" si="726"/>
        <v/>
      </c>
      <c r="BL1651" s="27" t="str">
        <f t="shared" si="727"/>
        <v/>
      </c>
      <c r="BM1651" s="21" t="s">
        <v>5581</v>
      </c>
    </row>
    <row r="1652" spans="1:65" ht="15">
      <c r="A1652" s="25" t="str">
        <f>IFERROR(INDEX('Hun Demand'!W:W,MATCH(O1652,'Hun Demand'!A:A,0)),"")</f>
        <v/>
      </c>
      <c r="B1652" s="25" t="str">
        <f>IFERROR(INDEX('Hun Demand'!V:V,MATCH(O1652,'Hun Demand'!A:A,0)),"")</f>
        <v/>
      </c>
      <c r="C1652" s="25" t="str">
        <f>IFERROR(INDEX('Hun Demand'!U:U,MATCH(O1652,'Hun Demand'!A:A,0)),"")</f>
        <v/>
      </c>
      <c r="D1652" s="25" t="str">
        <f>IFERROR(INDEX('Hun Demand'!T:T,MATCH(O1652,'Hun Demand'!A:A,0)),"")</f>
        <v/>
      </c>
      <c r="E1652" s="25" t="str">
        <f>IFERROR(INDEX('Hun Demand'!S:S,MATCH(O1652,'Hun Demand'!A:A,0)),"")</f>
        <v/>
      </c>
      <c r="F1652" s="25" t="str">
        <f>IFERROR(INDEX('Hun Demand'!R:R,MATCH(O1652,'Hun Demand'!A:A,0)),"")</f>
        <v/>
      </c>
      <c r="G1652" s="25">
        <f>IFERROR(INDEX('Aub Demand'!W:W,MATCH(O1652,'Aub Demand'!A:A,0)),"")</f>
        <v>0</v>
      </c>
      <c r="H1652" s="25">
        <f>IFERROR(INDEX('Aub Demand'!V:V,MATCH(O1652,'Aub Demand'!A:A,0)),"")</f>
        <v>74</v>
      </c>
      <c r="I1652" s="25">
        <f>IFERROR(INDEX('Aub Demand'!U:U,MATCH(O1652,'Aub Demand'!A:A,0)),"")</f>
        <v>58</v>
      </c>
      <c r="J1652" s="25">
        <f>IFERROR(INDEX('Aub Demand'!T:T,MATCH(O1652,'Aub Demand'!A:A,0)),"")</f>
        <v>68</v>
      </c>
      <c r="K1652" s="25">
        <f>IFERROR(INDEX('Aub Demand'!S:S,MATCH(O1652,'Aub Demand'!A:A,0)),"")</f>
        <v>56</v>
      </c>
      <c r="L1652" s="25">
        <f>IFERROR(INDEX('Aub Demand'!R:R,MATCH(O1652,'Aub Demand'!A:A,0)),"")</f>
        <v>0</v>
      </c>
      <c r="O1652" s="27" t="s">
        <v>3171</v>
      </c>
      <c r="P1652" s="27" t="str">
        <f>IFERROR(INDEX('Aub Demand'!B:B,MATCH($O1652,'Aub Demand'!$A:$A,0)),"")</f>
        <v>MIESIAN</v>
      </c>
      <c r="Q1652" s="27" t="str">
        <f>IFERROR(INDEX('Aub Demand'!C:C,MATCH($O1652,'Aub Demand'!$A:$A,0)),"")</f>
        <v>INTER</v>
      </c>
      <c r="R1652" s="52">
        <f>IFERROR(IF(AR1653=AR1652,INDEX('Aub Demand'!K:K,MATCH($O1652,'Aub Demand'!$A:$A,0))-IF(AN1652="",0,AN1652)+AP1653,INDEX('Aub Demand'!K:K,MATCH($O1652,'Aub Demand'!$A:$A,0))-IF(AN1652="",0,AN1652)),"")</f>
        <v>0</v>
      </c>
      <c r="S1652" s="53">
        <f t="shared" si="700"/>
        <v>0</v>
      </c>
      <c r="T1652" s="52">
        <f t="shared" si="701"/>
        <v>47.25</v>
      </c>
      <c r="U1652" s="52">
        <f>IFERROR(IF(AR1653=AR1652,INDEX('Aub Demand'!Q:Q,MATCH($O1652,'Aub Demand'!$A:$A,0))-IF(AN1652="",0,AN1652)+AP1653,INDEX('Aub Demand'!Q:Q,MATCH($O1652,'Aub Demand'!$A:$A,0))-IF(AN1652="",0,AN1652)),"")</f>
        <v>-24</v>
      </c>
      <c r="V1652" s="53">
        <f t="shared" si="702"/>
        <v>-1.7</v>
      </c>
      <c r="W1652" s="52">
        <f t="shared" si="703"/>
        <v>74.025000000000006</v>
      </c>
      <c r="X1652" s="52">
        <f>IFERROR(IF(AND(AR1653=AR1652,AM1652&lt;&gt;""),INDEX('Aub Demand'!Q:Q,MATCH($O1652,'Aub Demand'!$A:$A,0))-IF(AN1652="",0,AN1652)+AP1653+AD1652+AL1652,IF(AR1653=AR1652,INDEX('Aub Demand'!Q:Q,MATCH($O1652,'Aub Demand'!$A:$A,0))-IF(AN1652="",0,AN1652)+AP1653+AD1652,IF(AM1652&lt;&gt;"",INDEX('Aub Demand'!Q:Q,MATCH($O1652,'Aub Demand'!$A:$A,0))-IF(AN1652="",0,AN1652)+AD1652+AL1652,INDEX('Aub Demand'!Q:Q,MATCH($O1652,'Aub Demand'!$A:$A,0))-IF(AN1652="",0,AN1652)+AD1652))),"")</f>
        <v>-24</v>
      </c>
      <c r="Y1652" s="53">
        <f t="shared" si="704"/>
        <v>-1.7</v>
      </c>
      <c r="Z1652" s="52">
        <f>IF(L1652="","",INDEX('Aub Demand'!H:H,MATCH($O1652,'Aub Demand'!$A:$A,0)))</f>
        <v>61</v>
      </c>
      <c r="AA1652" s="52">
        <f t="shared" si="705"/>
        <v>63</v>
      </c>
      <c r="AB1652" s="52">
        <f>IFERROR(INDEX('Aub Demand'!L:L,MATCH($O1652,'Aub Demand'!$A:$A,0)),"")</f>
        <v>186</v>
      </c>
      <c r="AC1652" s="52">
        <f>IFERROR(IF(O1652="","",SUMIFS('CPL Mats'!F:F,'CPL Mats'!Q:Q,AR1652,'CPL Mats'!S:S,AS1652)),"")</f>
        <v>2199</v>
      </c>
      <c r="AF1652" s="25" t="str">
        <f>IF(SUMIFS('Supp Consol'!S:S,'Supp Consol'!Y:Y,"Releasable",'Supp Consol'!A:A,O1652)=0,"",SUMIFS('Supp Consol'!S:S,'Supp Consol'!Y:Y,"Releasable",'Supp Consol'!A:A,O1652))</f>
        <v/>
      </c>
      <c r="AG1652" s="25" t="str">
        <f>IFERROR(INDEX('Hun Demand'!Q:Q,MATCH(O1652,'Hun Demand'!A:A,0)),"")</f>
        <v/>
      </c>
      <c r="AH1652" s="25" t="str">
        <f>IFERROR(INDEX('Hun Demand'!H:H,MATCH($O1652,'Hun Demand'!$A:$A,0)),"")</f>
        <v/>
      </c>
      <c r="AI1652" s="25" t="str">
        <f>IF(SUMIFS('Supp Consol'!AA:AA,'Supp Consol'!Z:Z,"Expires this month",'Supp Consol'!A:A,O1652)=0,"",SUMIFS('Supp Consol'!AA:AA,'Supp Consol'!Z:Z,"Expires this month",'Supp Consol'!A:A,O1652))</f>
        <v/>
      </c>
      <c r="AJ1652" s="25" t="str">
        <f>IF(SUMIFS('Supp Consol'!AA:AA,'Supp Consol'!Z:Z,"Expired Previous Months",'Supp Consol'!A:A,O1652)=0,"",SUMIFS('Supp Consol'!AA:AA,'Supp Consol'!Z:Z,"Expired Previous Months",'Supp Consol'!A:A,O1652))</f>
        <v/>
      </c>
      <c r="AK1652" s="25" t="str">
        <f>IFERROR(INDEX('Hun Release Current'!B:B,MATCH(O1652,'Hun Release Current'!A:A,0)),"")</f>
        <v/>
      </c>
      <c r="AL1652" s="25" t="str">
        <f>IF(SUMIF('Prev Aub'!A:A,O1652,'Prev Aub'!B:B)=0,"",SUMIF('Prev Aub'!A:A,O1652,'Prev Aub'!B:B))</f>
        <v/>
      </c>
      <c r="AN1652" s="25" t="s">
        <v>3790</v>
      </c>
      <c r="AO1652" s="25" t="s">
        <v>3790</v>
      </c>
      <c r="AP1652" s="25">
        <f t="shared" si="706"/>
        <v>0</v>
      </c>
      <c r="AQ1652" s="151" t="str">
        <f>IF(SUMIFS('Supp Consol'!S:S,'Supp Consol'!A:A,O1652,'Supp Consol'!I:I,"PENDING")=0,"",SUMIFS('Supp Consol'!S:S,'Supp Consol'!A:A,O1652,'Supp Consol'!I:I,"PENDING"))</f>
        <v/>
      </c>
      <c r="AR1652" s="27" t="str">
        <f t="shared" si="707"/>
        <v>WY200</v>
      </c>
      <c r="AS1652" s="27" t="str">
        <f t="shared" si="708"/>
        <v>50</v>
      </c>
      <c r="AT1652" s="27" t="str">
        <f t="shared" si="709"/>
        <v>WY200</v>
      </c>
      <c r="AU1652" s="27" t="str">
        <f t="shared" si="710"/>
        <v>WY200</v>
      </c>
      <c r="AV1652" s="27" t="str">
        <f t="shared" si="711"/>
        <v>WY200</v>
      </c>
      <c r="AW1652" s="27" t="str">
        <f t="shared" si="712"/>
        <v/>
      </c>
      <c r="AX1652" s="27" t="str">
        <f t="shared" si="713"/>
        <v/>
      </c>
      <c r="AY1652" s="27" t="str">
        <f t="shared" si="714"/>
        <v/>
      </c>
      <c r="AZ1652" s="27" t="str">
        <f t="shared" si="715"/>
        <v/>
      </c>
      <c r="BA1652" s="27" t="str">
        <f t="shared" si="716"/>
        <v/>
      </c>
      <c r="BB1652" s="27" t="str">
        <f t="shared" si="717"/>
        <v>Gross</v>
      </c>
      <c r="BC1652" s="27" t="str">
        <f t="shared" si="718"/>
        <v>Net</v>
      </c>
      <c r="BD1652" s="27" t="str">
        <f t="shared" si="719"/>
        <v>Net</v>
      </c>
      <c r="BE1652" s="27" t="str">
        <f t="shared" si="720"/>
        <v/>
      </c>
      <c r="BF1652" s="27" t="str">
        <f t="shared" si="721"/>
        <v/>
      </c>
      <c r="BG1652" s="27" t="str">
        <f t="shared" si="722"/>
        <v/>
      </c>
      <c r="BH1652" s="27" t="str">
        <f t="shared" si="723"/>
        <v/>
      </c>
      <c r="BI1652" s="27" t="str">
        <f t="shared" si="724"/>
        <v/>
      </c>
      <c r="BJ1652" s="27" t="str">
        <f t="shared" si="725"/>
        <v/>
      </c>
      <c r="BK1652" s="27" t="str">
        <f t="shared" si="726"/>
        <v/>
      </c>
      <c r="BL1652" s="27" t="str">
        <f t="shared" si="727"/>
        <v/>
      </c>
      <c r="BM1652" s="21" t="s">
        <v>5581</v>
      </c>
    </row>
    <row r="1653" spans="1:65" ht="15">
      <c r="A1653" s="25" t="str">
        <f>IFERROR(INDEX('Hun Demand'!W:W,MATCH(O1653,'Hun Demand'!A:A,0)),"")</f>
        <v/>
      </c>
      <c r="B1653" s="25" t="str">
        <f>IFERROR(INDEX('Hun Demand'!V:V,MATCH(O1653,'Hun Demand'!A:A,0)),"")</f>
        <v/>
      </c>
      <c r="C1653" s="25" t="str">
        <f>IFERROR(INDEX('Hun Demand'!U:U,MATCH(O1653,'Hun Demand'!A:A,0)),"")</f>
        <v/>
      </c>
      <c r="D1653" s="25" t="str">
        <f>IFERROR(INDEX('Hun Demand'!T:T,MATCH(O1653,'Hun Demand'!A:A,0)),"")</f>
        <v/>
      </c>
      <c r="E1653" s="25" t="str">
        <f>IFERROR(INDEX('Hun Demand'!S:S,MATCH(O1653,'Hun Demand'!A:A,0)),"")</f>
        <v/>
      </c>
      <c r="F1653" s="25" t="str">
        <f>IFERROR(INDEX('Hun Demand'!R:R,MATCH(O1653,'Hun Demand'!A:A,0)),"")</f>
        <v/>
      </c>
      <c r="G1653" s="25">
        <f>IFERROR(INDEX('Aub Demand'!W:W,MATCH(O1653,'Aub Demand'!A:A,0)),"")</f>
        <v>33</v>
      </c>
      <c r="H1653" s="25">
        <f>IFERROR(INDEX('Aub Demand'!V:V,MATCH(O1653,'Aub Demand'!A:A,0)),"")</f>
        <v>0</v>
      </c>
      <c r="I1653" s="25">
        <f>IFERROR(INDEX('Aub Demand'!U:U,MATCH(O1653,'Aub Demand'!A:A,0)),"")</f>
        <v>0</v>
      </c>
      <c r="J1653" s="25">
        <f>IFERROR(INDEX('Aub Demand'!T:T,MATCH(O1653,'Aub Demand'!A:A,0)),"")</f>
        <v>0</v>
      </c>
      <c r="K1653" s="25">
        <f>IFERROR(INDEX('Aub Demand'!S:S,MATCH(O1653,'Aub Demand'!A:A,0)),"")</f>
        <v>24</v>
      </c>
      <c r="L1653" s="25">
        <f>IFERROR(INDEX('Aub Demand'!R:R,MATCH(O1653,'Aub Demand'!A:A,0)),"")</f>
        <v>0</v>
      </c>
      <c r="O1653" s="27" t="s">
        <v>3173</v>
      </c>
      <c r="P1653" s="27" t="str">
        <f>IFERROR(INDEX('Aub Demand'!B:B,MATCH($O1653,'Aub Demand'!$A:$A,0)),"")</f>
        <v>MIESIAN</v>
      </c>
      <c r="Q1653" s="27" t="str">
        <f>IFERROR(INDEX('Aub Demand'!C:C,MATCH($O1653,'Aub Demand'!$A:$A,0)),"")</f>
        <v>INTER</v>
      </c>
      <c r="R1653" s="52">
        <f>IFERROR(IF(AR1654=AR1653,INDEX('Aub Demand'!K:K,MATCH($O1653,'Aub Demand'!$A:$A,0))-IF(AN1653="",0,AN1653)+AP1654,INDEX('Aub Demand'!K:K,MATCH($O1653,'Aub Demand'!$A:$A,0))-IF(AN1653="",0,AN1653)),"")</f>
        <v>2641</v>
      </c>
      <c r="S1653" s="53">
        <f t="shared" si="700"/>
        <v>1414.8</v>
      </c>
      <c r="T1653" s="52" t="str">
        <f t="shared" si="701"/>
        <v/>
      </c>
      <c r="U1653" s="52">
        <f>IFERROR(IF(AR1654=AR1653,INDEX('Aub Demand'!Q:Q,MATCH($O1653,'Aub Demand'!$A:$A,0))-IF(AN1653="",0,AN1653)+AP1654,INDEX('Aub Demand'!Q:Q,MATCH($O1653,'Aub Demand'!$A:$A,0))-IF(AN1653="",0,AN1653)),"")</f>
        <v>2641</v>
      </c>
      <c r="V1653" s="53">
        <f t="shared" si="702"/>
        <v>1414.8</v>
      </c>
      <c r="W1653" s="52" t="str">
        <f t="shared" si="703"/>
        <v/>
      </c>
      <c r="X1653" s="52">
        <f>IFERROR(IF(AND(AR1654=AR1653,AM1653&lt;&gt;""),INDEX('Aub Demand'!Q:Q,MATCH($O1653,'Aub Demand'!$A:$A,0))-IF(AN1653="",0,AN1653)+AP1654+AD1653+AL1653,IF(AR1654=AR1653,INDEX('Aub Demand'!Q:Q,MATCH($O1653,'Aub Demand'!$A:$A,0))-IF(AN1653="",0,AN1653)+AP1654+AD1653,IF(AM1653&lt;&gt;"",INDEX('Aub Demand'!Q:Q,MATCH($O1653,'Aub Demand'!$A:$A,0))-IF(AN1653="",0,AN1653)+AD1653+AL1653,INDEX('Aub Demand'!Q:Q,MATCH($O1653,'Aub Demand'!$A:$A,0))-IF(AN1653="",0,AN1653)+AD1653))),"")</f>
        <v>2641</v>
      </c>
      <c r="Y1653" s="53">
        <f t="shared" si="704"/>
        <v>1414.8</v>
      </c>
      <c r="Z1653" s="52">
        <f>IF(L1653="","",INDEX('Aub Demand'!H:H,MATCH($O1653,'Aub Demand'!$A:$A,0)))</f>
        <v>8</v>
      </c>
      <c r="AA1653" s="52" t="str">
        <f t="shared" si="705"/>
        <v>-spike-</v>
      </c>
      <c r="AB1653" s="52">
        <f>IFERROR(INDEX('Aub Demand'!L:L,MATCH($O1653,'Aub Demand'!$A:$A,0)),"")</f>
        <v>0</v>
      </c>
      <c r="AC1653" s="52">
        <f>IFERROR(IF(O1653="","",SUMIFS('CPL Mats'!F:F,'CPL Mats'!Q:Q,AR1653,'CPL Mats'!S:S,AS1653)),"")</f>
        <v>0</v>
      </c>
      <c r="AF1653" s="25" t="str">
        <f>IF(SUMIFS('Supp Consol'!S:S,'Supp Consol'!Y:Y,"Releasable",'Supp Consol'!A:A,O1653)=0,"",SUMIFS('Supp Consol'!S:S,'Supp Consol'!Y:Y,"Releasable",'Supp Consol'!A:A,O1653))</f>
        <v/>
      </c>
      <c r="AG1653" s="25" t="str">
        <f>IFERROR(INDEX('Hun Demand'!Q:Q,MATCH(O1653,'Hun Demand'!A:A,0)),"")</f>
        <v/>
      </c>
      <c r="AH1653" s="25" t="str">
        <f>IFERROR(INDEX('Hun Demand'!H:H,MATCH($O1653,'Hun Demand'!$A:$A,0)),"")</f>
        <v/>
      </c>
      <c r="AI1653" s="25" t="str">
        <f>IF(SUMIFS('Supp Consol'!AA:AA,'Supp Consol'!Z:Z,"Expires this month",'Supp Consol'!A:A,O1653)=0,"",SUMIFS('Supp Consol'!AA:AA,'Supp Consol'!Z:Z,"Expires this month",'Supp Consol'!A:A,O1653))</f>
        <v/>
      </c>
      <c r="AJ1653" s="25" t="str">
        <f>IF(SUMIFS('Supp Consol'!AA:AA,'Supp Consol'!Z:Z,"Expired Previous Months",'Supp Consol'!A:A,O1653)=0,"",SUMIFS('Supp Consol'!AA:AA,'Supp Consol'!Z:Z,"Expired Previous Months",'Supp Consol'!A:A,O1653))</f>
        <v/>
      </c>
      <c r="AK1653" s="25" t="str">
        <f>IFERROR(INDEX('Hun Release Current'!B:B,MATCH(O1653,'Hun Release Current'!A:A,0)),"")</f>
        <v/>
      </c>
      <c r="AL1653" s="25" t="str">
        <f>IF(SUMIF('Prev Aub'!A:A,O1653,'Prev Aub'!B:B)=0,"",SUMIF('Prev Aub'!A:A,O1653,'Prev Aub'!B:B))</f>
        <v/>
      </c>
      <c r="AN1653" s="25" t="s">
        <v>3790</v>
      </c>
      <c r="AO1653" s="25" t="s">
        <v>3790</v>
      </c>
      <c r="AP1653" s="25">
        <f t="shared" si="706"/>
        <v>0</v>
      </c>
      <c r="AQ1653" s="151" t="str">
        <f>IF(SUMIFS('Supp Consol'!S:S,'Supp Consol'!A:A,O1653,'Supp Consol'!I:I,"PENDING")=0,"",SUMIFS('Supp Consol'!S:S,'Supp Consol'!A:A,O1653,'Supp Consol'!I:I,"PENDING"))</f>
        <v/>
      </c>
      <c r="AR1653" s="27" t="str">
        <f t="shared" si="707"/>
        <v>WY200</v>
      </c>
      <c r="AS1653" s="27" t="str">
        <f t="shared" si="708"/>
        <v>62</v>
      </c>
      <c r="AT1653" s="27" t="str">
        <f t="shared" si="709"/>
        <v/>
      </c>
      <c r="AU1653" s="27" t="str">
        <f t="shared" si="710"/>
        <v/>
      </c>
      <c r="AV1653" s="27" t="str">
        <f t="shared" si="711"/>
        <v/>
      </c>
      <c r="AW1653" s="27" t="str">
        <f t="shared" si="712"/>
        <v/>
      </c>
      <c r="AX1653" s="27" t="str">
        <f t="shared" si="713"/>
        <v/>
      </c>
      <c r="AY1653" s="27" t="str">
        <f t="shared" si="714"/>
        <v/>
      </c>
      <c r="AZ1653" s="27" t="str">
        <f t="shared" si="715"/>
        <v/>
      </c>
      <c r="BA1653" s="27" t="str">
        <f t="shared" si="716"/>
        <v/>
      </c>
      <c r="BB1653" s="27" t="str">
        <f t="shared" si="717"/>
        <v>Gross</v>
      </c>
      <c r="BC1653" s="27" t="str">
        <f t="shared" si="718"/>
        <v>Net</v>
      </c>
      <c r="BD1653" s="27" t="str">
        <f t="shared" si="719"/>
        <v>Net</v>
      </c>
      <c r="BE1653" s="27" t="str">
        <f t="shared" si="720"/>
        <v/>
      </c>
      <c r="BF1653" s="27" t="str">
        <f t="shared" si="721"/>
        <v/>
      </c>
      <c r="BG1653" s="27" t="str">
        <f t="shared" si="722"/>
        <v/>
      </c>
      <c r="BH1653" s="27" t="str">
        <f t="shared" si="723"/>
        <v/>
      </c>
      <c r="BI1653" s="27" t="str">
        <f t="shared" si="724"/>
        <v/>
      </c>
      <c r="BJ1653" s="27" t="str">
        <f t="shared" si="725"/>
        <v/>
      </c>
      <c r="BK1653" s="27" t="str">
        <f t="shared" si="726"/>
        <v/>
      </c>
      <c r="BL1653" s="27" t="str">
        <f t="shared" si="727"/>
        <v/>
      </c>
      <c r="BM1653" s="21" t="s">
        <v>5581</v>
      </c>
    </row>
    <row r="1654" spans="1:65" ht="15">
      <c r="A1654" s="25" t="str">
        <f>IFERROR(INDEX('Hun Demand'!W:W,MATCH(O1654,'Hun Demand'!A:A,0)),"")</f>
        <v/>
      </c>
      <c r="B1654" s="25" t="str">
        <f>IFERROR(INDEX('Hun Demand'!V:V,MATCH(O1654,'Hun Demand'!A:A,0)),"")</f>
        <v/>
      </c>
      <c r="C1654" s="25" t="str">
        <f>IFERROR(INDEX('Hun Demand'!U:U,MATCH(O1654,'Hun Demand'!A:A,0)),"")</f>
        <v/>
      </c>
      <c r="D1654" s="25" t="str">
        <f>IFERROR(INDEX('Hun Demand'!T:T,MATCH(O1654,'Hun Demand'!A:A,0)),"")</f>
        <v/>
      </c>
      <c r="E1654" s="25" t="str">
        <f>IFERROR(INDEX('Hun Demand'!S:S,MATCH(O1654,'Hun Demand'!A:A,0)),"")</f>
        <v/>
      </c>
      <c r="F1654" s="25" t="str">
        <f>IFERROR(INDEX('Hun Demand'!R:R,MATCH(O1654,'Hun Demand'!A:A,0)),"")</f>
        <v/>
      </c>
      <c r="G1654" s="25">
        <f>IFERROR(INDEX('Aub Demand'!W:W,MATCH(O1654,'Aub Demand'!A:A,0)),"")</f>
        <v>0</v>
      </c>
      <c r="H1654" s="25">
        <f>IFERROR(INDEX('Aub Demand'!V:V,MATCH(O1654,'Aub Demand'!A:A,0)),"")</f>
        <v>0</v>
      </c>
      <c r="I1654" s="25">
        <f>IFERROR(INDEX('Aub Demand'!U:U,MATCH(O1654,'Aub Demand'!A:A,0)),"")</f>
        <v>0</v>
      </c>
      <c r="J1654" s="25">
        <f>IFERROR(INDEX('Aub Demand'!T:T,MATCH(O1654,'Aub Demand'!A:A,0)),"")</f>
        <v>0</v>
      </c>
      <c r="K1654" s="25">
        <f>IFERROR(INDEX('Aub Demand'!S:S,MATCH(O1654,'Aub Demand'!A:A,0)),"")</f>
        <v>0</v>
      </c>
      <c r="L1654" s="25">
        <f>IFERROR(INDEX('Aub Demand'!R:R,MATCH(O1654,'Aub Demand'!A:A,0)),"")</f>
        <v>0</v>
      </c>
      <c r="O1654" s="27" t="s">
        <v>2007</v>
      </c>
      <c r="P1654" s="27" t="str">
        <f>IFERROR(INDEX('Aub Demand'!B:B,MATCH($O1654,'Aub Demand'!$A:$A,0)),"")</f>
        <v>JEWEL MAHOGANY</v>
      </c>
      <c r="Q1654" s="27" t="str">
        <f>IFERROR(INDEX('Aub Demand'!C:C,MATCH($O1654,'Aub Demand'!$A:$A,0)),"")</f>
        <v>TOPPA</v>
      </c>
      <c r="R1654" s="52">
        <f>IFERROR(IF(AR1655=AR1654,INDEX('Aub Demand'!K:K,MATCH($O1654,'Aub Demand'!$A:$A,0))-IF(AN1654="",0,AN1654)+AP1655,INDEX('Aub Demand'!K:K,MATCH($O1654,'Aub Demand'!$A:$A,0))-IF(AN1654="",0,AN1654)),"")</f>
        <v>400</v>
      </c>
      <c r="S1654" s="53" t="str">
        <f t="shared" si="700"/>
        <v>n/a</v>
      </c>
      <c r="T1654" s="52" t="str">
        <f t="shared" si="701"/>
        <v/>
      </c>
      <c r="U1654" s="52">
        <f>IFERROR(IF(AR1655=AR1654,INDEX('Aub Demand'!Q:Q,MATCH($O1654,'Aub Demand'!$A:$A,0))-IF(AN1654="",0,AN1654)+AP1655,INDEX('Aub Demand'!Q:Q,MATCH($O1654,'Aub Demand'!$A:$A,0))-IF(AN1654="",0,AN1654)),"")</f>
        <v>400</v>
      </c>
      <c r="V1654" s="53" t="str">
        <f t="shared" si="702"/>
        <v>n/a</v>
      </c>
      <c r="W1654" s="52" t="str">
        <f t="shared" si="703"/>
        <v/>
      </c>
      <c r="X1654" s="52">
        <f>IFERROR(IF(AND(AR1655=AR1654,AM1654&lt;&gt;""),INDEX('Aub Demand'!Q:Q,MATCH($O1654,'Aub Demand'!$A:$A,0))-IF(AN1654="",0,AN1654)+AP1655+AD1654+AL1654,IF(AR1655=AR1654,INDEX('Aub Demand'!Q:Q,MATCH($O1654,'Aub Demand'!$A:$A,0))-IF(AN1654="",0,AN1654)+AP1655+AD1654,IF(AM1654&lt;&gt;"",INDEX('Aub Demand'!Q:Q,MATCH($O1654,'Aub Demand'!$A:$A,0))-IF(AN1654="",0,AN1654)+AD1654+AL1654,INDEX('Aub Demand'!Q:Q,MATCH($O1654,'Aub Demand'!$A:$A,0))-IF(AN1654="",0,AN1654)+AD1654))),"")</f>
        <v>400</v>
      </c>
      <c r="Y1654" s="53" t="str">
        <f t="shared" si="704"/>
        <v>n/a</v>
      </c>
      <c r="Z1654" s="52">
        <f>IF(L1654="","",INDEX('Aub Demand'!H:H,MATCH($O1654,'Aub Demand'!$A:$A,0)))</f>
        <v>0</v>
      </c>
      <c r="AA1654" s="52" t="str">
        <f t="shared" si="705"/>
        <v>-spike-</v>
      </c>
      <c r="AB1654" s="52">
        <f>IFERROR(INDEX('Aub Demand'!L:L,MATCH($O1654,'Aub Demand'!$A:$A,0)),"")</f>
        <v>0</v>
      </c>
      <c r="AC1654" s="52">
        <f>IFERROR(IF(O1654="","",SUMIFS('CPL Mats'!F:F,'CPL Mats'!Q:Q,AR1654,'CPL Mats'!S:S,AS1654)),"")</f>
        <v>0</v>
      </c>
      <c r="AF1654" s="25" t="str">
        <f>IF(SUMIFS('Supp Consol'!S:S,'Supp Consol'!Y:Y,"Releasable",'Supp Consol'!A:A,O1654)=0,"",SUMIFS('Supp Consol'!S:S,'Supp Consol'!Y:Y,"Releasable",'Supp Consol'!A:A,O1654))</f>
        <v/>
      </c>
      <c r="AG1654" s="25" t="str">
        <f>IFERROR(INDEX('Hun Demand'!Q:Q,MATCH(O1654,'Hun Demand'!A:A,0)),"")</f>
        <v/>
      </c>
      <c r="AH1654" s="25" t="str">
        <f>IFERROR(INDEX('Hun Demand'!H:H,MATCH($O1654,'Hun Demand'!$A:$A,0)),"")</f>
        <v/>
      </c>
      <c r="AI1654" s="25" t="str">
        <f>IF(SUMIFS('Supp Consol'!AA:AA,'Supp Consol'!Z:Z,"Expires this month",'Supp Consol'!A:A,O1654)=0,"",SUMIFS('Supp Consol'!AA:AA,'Supp Consol'!Z:Z,"Expires this month",'Supp Consol'!A:A,O1654))</f>
        <v/>
      </c>
      <c r="AJ1654" s="25" t="str">
        <f>IF(SUMIFS('Supp Consol'!AA:AA,'Supp Consol'!Z:Z,"Expired Previous Months",'Supp Consol'!A:A,O1654)=0,"",SUMIFS('Supp Consol'!AA:AA,'Supp Consol'!Z:Z,"Expired Previous Months",'Supp Consol'!A:A,O1654))</f>
        <v/>
      </c>
      <c r="AK1654" s="25" t="str">
        <f>IFERROR(INDEX('Hun Release Current'!B:B,MATCH(O1654,'Hun Release Current'!A:A,0)),"")</f>
        <v/>
      </c>
      <c r="AL1654" s="25" t="str">
        <f>IF(SUMIF('Prev Aub'!A:A,O1654,'Prev Aub'!B:B)=0,"",SUMIF('Prev Aub'!A:A,O1654,'Prev Aub'!B:B))</f>
        <v/>
      </c>
      <c r="AN1654" s="25" t="s">
        <v>3790</v>
      </c>
      <c r="AO1654" s="25" t="s">
        <v>3790</v>
      </c>
      <c r="AP1654" s="25">
        <f t="shared" si="706"/>
        <v>0</v>
      </c>
      <c r="AQ1654" s="151" t="str">
        <f>IF(SUMIFS('Supp Consol'!S:S,'Supp Consol'!A:A,O1654,'Supp Consol'!I:I,"PENDING")=0,"",SUMIFS('Supp Consol'!S:S,'Supp Consol'!A:A,O1654,'Supp Consol'!I:I,"PENDING"))</f>
        <v/>
      </c>
      <c r="AR1654" s="27" t="str">
        <f t="shared" si="707"/>
        <v>WY351</v>
      </c>
      <c r="AS1654" s="27" t="str">
        <f t="shared" si="708"/>
        <v>37</v>
      </c>
      <c r="AT1654" s="27" t="str">
        <f t="shared" si="709"/>
        <v/>
      </c>
      <c r="AU1654" s="27" t="str">
        <f t="shared" si="710"/>
        <v/>
      </c>
      <c r="AV1654" s="27" t="str">
        <f t="shared" si="711"/>
        <v/>
      </c>
      <c r="AW1654" s="27" t="str">
        <f t="shared" si="712"/>
        <v/>
      </c>
      <c r="AX1654" s="27" t="str">
        <f t="shared" si="713"/>
        <v/>
      </c>
      <c r="AY1654" s="27" t="str">
        <f t="shared" si="714"/>
        <v/>
      </c>
      <c r="AZ1654" s="27" t="str">
        <f t="shared" si="715"/>
        <v/>
      </c>
      <c r="BA1654" s="27" t="str">
        <f t="shared" si="716"/>
        <v/>
      </c>
      <c r="BB1654" s="27" t="str">
        <f t="shared" si="717"/>
        <v>Gross</v>
      </c>
      <c r="BC1654" s="27" t="str">
        <f t="shared" si="718"/>
        <v>Net</v>
      </c>
      <c r="BD1654" s="27" t="str">
        <f t="shared" si="719"/>
        <v>Net</v>
      </c>
      <c r="BE1654" s="27" t="str">
        <f t="shared" si="720"/>
        <v/>
      </c>
      <c r="BF1654" s="27" t="str">
        <f t="shared" si="721"/>
        <v/>
      </c>
      <c r="BG1654" s="27" t="str">
        <f t="shared" si="722"/>
        <v/>
      </c>
      <c r="BH1654" s="27" t="str">
        <f t="shared" si="723"/>
        <v/>
      </c>
      <c r="BI1654" s="27" t="str">
        <f t="shared" si="724"/>
        <v/>
      </c>
      <c r="BJ1654" s="27" t="str">
        <f t="shared" si="725"/>
        <v/>
      </c>
      <c r="BK1654" s="27" t="str">
        <f t="shared" si="726"/>
        <v/>
      </c>
      <c r="BL1654" s="27" t="str">
        <f t="shared" si="727"/>
        <v/>
      </c>
      <c r="BM1654" s="21" t="s">
        <v>5581</v>
      </c>
    </row>
    <row r="1655" spans="1:65" ht="15">
      <c r="A1655" s="25" t="str">
        <f>IFERROR(INDEX('Hun Demand'!W:W,MATCH(O1655,'Hun Demand'!A:A,0)),"")</f>
        <v/>
      </c>
      <c r="B1655" s="25" t="str">
        <f>IFERROR(INDEX('Hun Demand'!V:V,MATCH(O1655,'Hun Demand'!A:A,0)),"")</f>
        <v/>
      </c>
      <c r="C1655" s="25" t="str">
        <f>IFERROR(INDEX('Hun Demand'!U:U,MATCH(O1655,'Hun Demand'!A:A,0)),"")</f>
        <v/>
      </c>
      <c r="D1655" s="25" t="str">
        <f>IFERROR(INDEX('Hun Demand'!T:T,MATCH(O1655,'Hun Demand'!A:A,0)),"")</f>
        <v/>
      </c>
      <c r="E1655" s="25" t="str">
        <f>IFERROR(INDEX('Hun Demand'!S:S,MATCH(O1655,'Hun Demand'!A:A,0)),"")</f>
        <v/>
      </c>
      <c r="F1655" s="25" t="str">
        <f>IFERROR(INDEX('Hun Demand'!R:R,MATCH(O1655,'Hun Demand'!A:A,0)),"")</f>
        <v/>
      </c>
      <c r="G1655" s="25">
        <f>IFERROR(INDEX('Aub Demand'!W:W,MATCH(O1655,'Aub Demand'!A:A,0)),"")</f>
        <v>72</v>
      </c>
      <c r="H1655" s="25">
        <f>IFERROR(INDEX('Aub Demand'!V:V,MATCH(O1655,'Aub Demand'!A:A,0)),"")</f>
        <v>0</v>
      </c>
      <c r="I1655" s="25">
        <f>IFERROR(INDEX('Aub Demand'!U:U,MATCH(O1655,'Aub Demand'!A:A,0)),"")</f>
        <v>0</v>
      </c>
      <c r="J1655" s="25">
        <f>IFERROR(INDEX('Aub Demand'!T:T,MATCH(O1655,'Aub Demand'!A:A,0)),"")</f>
        <v>0</v>
      </c>
      <c r="K1655" s="25">
        <f>IFERROR(INDEX('Aub Demand'!S:S,MATCH(O1655,'Aub Demand'!A:A,0)),"")</f>
        <v>67</v>
      </c>
      <c r="L1655" s="25">
        <f>IFERROR(INDEX('Aub Demand'!R:R,MATCH(O1655,'Aub Demand'!A:A,0)),"")</f>
        <v>0</v>
      </c>
      <c r="O1655" s="27" t="s">
        <v>2009</v>
      </c>
      <c r="P1655" s="27" t="str">
        <f>IFERROR(INDEX('Aub Demand'!B:B,MATCH($O1655,'Aub Demand'!$A:$A,0)),"")</f>
        <v>JEWEL MAHOGANY</v>
      </c>
      <c r="Q1655" s="27" t="str">
        <f>IFERROR(INDEX('Aub Demand'!C:C,MATCH($O1655,'Aub Demand'!$A:$A,0)),"")</f>
        <v>TOPPA</v>
      </c>
      <c r="R1655" s="52">
        <f>IFERROR(IF(AR1656=AR1655,INDEX('Aub Demand'!K:K,MATCH($O1655,'Aub Demand'!$A:$A,0))-IF(AN1655="",0,AN1655)+AP1656,INDEX('Aub Demand'!K:K,MATCH($O1655,'Aub Demand'!$A:$A,0))-IF(AN1655="",0,AN1655)),"")</f>
        <v>0</v>
      </c>
      <c r="S1655" s="53">
        <f t="shared" si="700"/>
        <v>0</v>
      </c>
      <c r="T1655" s="52" t="str">
        <f t="shared" si="701"/>
        <v/>
      </c>
      <c r="U1655" s="52">
        <f>IFERROR(IF(AR1656=AR1655,INDEX('Aub Demand'!Q:Q,MATCH($O1655,'Aub Demand'!$A:$A,0))-IF(AN1655="",0,AN1655)+AP1656,INDEX('Aub Demand'!Q:Q,MATCH($O1655,'Aub Demand'!$A:$A,0))-IF(AN1655="",0,AN1655)),"")</f>
        <v>-36</v>
      </c>
      <c r="V1655" s="53">
        <f t="shared" si="702"/>
        <v>-7</v>
      </c>
      <c r="W1655" s="52" t="str">
        <f t="shared" si="703"/>
        <v/>
      </c>
      <c r="X1655" s="52">
        <f>IFERROR(IF(AND(AR1656=AR1655,AM1655&lt;&gt;""),INDEX('Aub Demand'!Q:Q,MATCH($O1655,'Aub Demand'!$A:$A,0))-IF(AN1655="",0,AN1655)+AP1656+AD1655+AL1655,IF(AR1656=AR1655,INDEX('Aub Demand'!Q:Q,MATCH($O1655,'Aub Demand'!$A:$A,0))-IF(AN1655="",0,AN1655)+AP1656+AD1655,IF(AM1655&lt;&gt;"",INDEX('Aub Demand'!Q:Q,MATCH($O1655,'Aub Demand'!$A:$A,0))-IF(AN1655="",0,AN1655)+AD1655+AL1655,INDEX('Aub Demand'!Q:Q,MATCH($O1655,'Aub Demand'!$A:$A,0))-IF(AN1655="",0,AN1655)+AD1655))),"")</f>
        <v>-36</v>
      </c>
      <c r="Y1655" s="53">
        <f t="shared" si="704"/>
        <v>-7</v>
      </c>
      <c r="Z1655" s="52">
        <f>IF(L1655="","",INDEX('Aub Demand'!H:H,MATCH($O1655,'Aub Demand'!$A:$A,0)))</f>
        <v>22</v>
      </c>
      <c r="AA1655" s="52" t="str">
        <f t="shared" si="705"/>
        <v>-spike-</v>
      </c>
      <c r="AB1655" s="52">
        <f>IFERROR(INDEX('Aub Demand'!L:L,MATCH($O1655,'Aub Demand'!$A:$A,0)),"")</f>
        <v>51</v>
      </c>
      <c r="AC1655" s="52">
        <f>IFERROR(IF(O1655="","",SUMIFS('CPL Mats'!F:F,'CPL Mats'!Q:Q,AR1655,'CPL Mats'!S:S,AS1655)),"")</f>
        <v>0</v>
      </c>
      <c r="AF1655" s="25" t="str">
        <f>IF(SUMIFS('Supp Consol'!S:S,'Supp Consol'!Y:Y,"Releasable",'Supp Consol'!A:A,O1655)=0,"",SUMIFS('Supp Consol'!S:S,'Supp Consol'!Y:Y,"Releasable",'Supp Consol'!A:A,O1655))</f>
        <v/>
      </c>
      <c r="AG1655" s="25" t="str">
        <f>IFERROR(INDEX('Hun Demand'!Q:Q,MATCH(O1655,'Hun Demand'!A:A,0)),"")</f>
        <v/>
      </c>
      <c r="AH1655" s="25" t="str">
        <f>IFERROR(INDEX('Hun Demand'!H:H,MATCH($O1655,'Hun Demand'!$A:$A,0)),"")</f>
        <v/>
      </c>
      <c r="AI1655" s="25" t="str">
        <f>IF(SUMIFS('Supp Consol'!AA:AA,'Supp Consol'!Z:Z,"Expires this month",'Supp Consol'!A:A,O1655)=0,"",SUMIFS('Supp Consol'!AA:AA,'Supp Consol'!Z:Z,"Expires this month",'Supp Consol'!A:A,O1655))</f>
        <v/>
      </c>
      <c r="AJ1655" s="25" t="str">
        <f>IF(SUMIFS('Supp Consol'!AA:AA,'Supp Consol'!Z:Z,"Expired Previous Months",'Supp Consol'!A:A,O1655)=0,"",SUMIFS('Supp Consol'!AA:AA,'Supp Consol'!Z:Z,"Expired Previous Months",'Supp Consol'!A:A,O1655))</f>
        <v/>
      </c>
      <c r="AK1655" s="25" t="str">
        <f>IFERROR(INDEX('Hun Release Current'!B:B,MATCH(O1655,'Hun Release Current'!A:A,0)),"")</f>
        <v/>
      </c>
      <c r="AL1655" s="25" t="str">
        <f>IF(SUMIF('Prev Aub'!A:A,O1655,'Prev Aub'!B:B)=0,"",SUMIF('Prev Aub'!A:A,O1655,'Prev Aub'!B:B))</f>
        <v/>
      </c>
      <c r="AN1655" s="25" t="s">
        <v>3790</v>
      </c>
      <c r="AO1655" s="25" t="s">
        <v>3790</v>
      </c>
      <c r="AP1655" s="25">
        <f t="shared" si="706"/>
        <v>0</v>
      </c>
      <c r="AQ1655" s="151" t="str">
        <f>IF(SUMIFS('Supp Consol'!S:S,'Supp Consol'!A:A,O1655,'Supp Consol'!I:I,"PENDING")=0,"",SUMIFS('Supp Consol'!S:S,'Supp Consol'!A:A,O1655,'Supp Consol'!I:I,"PENDING"))</f>
        <v/>
      </c>
      <c r="AR1655" s="27" t="str">
        <f t="shared" si="707"/>
        <v>WY351</v>
      </c>
      <c r="AS1655" s="27" t="str">
        <f t="shared" si="708"/>
        <v>50</v>
      </c>
      <c r="AT1655" s="27" t="str">
        <f t="shared" si="709"/>
        <v>WY351</v>
      </c>
      <c r="AU1655" s="27" t="str">
        <f t="shared" si="710"/>
        <v>WY351</v>
      </c>
      <c r="AV1655" s="27" t="str">
        <f t="shared" si="711"/>
        <v>WY351</v>
      </c>
      <c r="AW1655" s="27" t="str">
        <f t="shared" si="712"/>
        <v/>
      </c>
      <c r="AX1655" s="27" t="str">
        <f t="shared" si="713"/>
        <v/>
      </c>
      <c r="AY1655" s="27" t="str">
        <f t="shared" si="714"/>
        <v/>
      </c>
      <c r="AZ1655" s="27" t="str">
        <f t="shared" si="715"/>
        <v/>
      </c>
      <c r="BA1655" s="27" t="str">
        <f t="shared" si="716"/>
        <v/>
      </c>
      <c r="BB1655" s="27" t="str">
        <f t="shared" si="717"/>
        <v>Gross</v>
      </c>
      <c r="BC1655" s="27" t="str">
        <f t="shared" si="718"/>
        <v>Net</v>
      </c>
      <c r="BD1655" s="27" t="str">
        <f t="shared" si="719"/>
        <v>Net</v>
      </c>
      <c r="BE1655" s="27" t="str">
        <f t="shared" si="720"/>
        <v/>
      </c>
      <c r="BF1655" s="27" t="str">
        <f t="shared" si="721"/>
        <v/>
      </c>
      <c r="BG1655" s="27" t="str">
        <f t="shared" si="722"/>
        <v/>
      </c>
      <c r="BH1655" s="27" t="str">
        <f t="shared" si="723"/>
        <v/>
      </c>
      <c r="BI1655" s="27" t="str">
        <f t="shared" si="724"/>
        <v/>
      </c>
      <c r="BJ1655" s="27" t="str">
        <f t="shared" si="725"/>
        <v/>
      </c>
      <c r="BK1655" s="27" t="str">
        <f t="shared" si="726"/>
        <v/>
      </c>
      <c r="BL1655" s="27" t="str">
        <f t="shared" si="727"/>
        <v/>
      </c>
      <c r="BM1655" s="21" t="s">
        <v>5581</v>
      </c>
    </row>
    <row r="1656" spans="1:65" ht="15">
      <c r="A1656" s="25" t="str">
        <f>IFERROR(INDEX('Hun Demand'!W:W,MATCH(O1656,'Hun Demand'!A:A,0)),"")</f>
        <v/>
      </c>
      <c r="B1656" s="25" t="str">
        <f>IFERROR(INDEX('Hun Demand'!V:V,MATCH(O1656,'Hun Demand'!A:A,0)),"")</f>
        <v/>
      </c>
      <c r="C1656" s="25" t="str">
        <f>IFERROR(INDEX('Hun Demand'!U:U,MATCH(O1656,'Hun Demand'!A:A,0)),"")</f>
        <v/>
      </c>
      <c r="D1656" s="25" t="str">
        <f>IFERROR(INDEX('Hun Demand'!T:T,MATCH(O1656,'Hun Demand'!A:A,0)),"")</f>
        <v/>
      </c>
      <c r="E1656" s="25" t="str">
        <f>IFERROR(INDEX('Hun Demand'!S:S,MATCH(O1656,'Hun Demand'!A:A,0)),"")</f>
        <v/>
      </c>
      <c r="F1656" s="25" t="str">
        <f>IFERROR(INDEX('Hun Demand'!R:R,MATCH(O1656,'Hun Demand'!A:A,0)),"")</f>
        <v/>
      </c>
      <c r="G1656" s="25">
        <f>IFERROR(INDEX('Aub Demand'!W:W,MATCH(O1656,'Aub Demand'!A:A,0)),"")</f>
        <v>0</v>
      </c>
      <c r="H1656" s="25">
        <f>IFERROR(INDEX('Aub Demand'!V:V,MATCH(O1656,'Aub Demand'!A:A,0)),"")</f>
        <v>17</v>
      </c>
      <c r="I1656" s="25">
        <f>IFERROR(INDEX('Aub Demand'!U:U,MATCH(O1656,'Aub Demand'!A:A,0)),"")</f>
        <v>0</v>
      </c>
      <c r="J1656" s="25">
        <f>IFERROR(INDEX('Aub Demand'!T:T,MATCH(O1656,'Aub Demand'!A:A,0)),"")</f>
        <v>0</v>
      </c>
      <c r="K1656" s="25">
        <f>IFERROR(INDEX('Aub Demand'!S:S,MATCH(O1656,'Aub Demand'!A:A,0)),"")</f>
        <v>268</v>
      </c>
      <c r="L1656" s="25">
        <f>IFERROR(INDEX('Aub Demand'!R:R,MATCH(O1656,'Aub Demand'!A:A,0)),"")</f>
        <v>0</v>
      </c>
      <c r="O1656" s="27" t="s">
        <v>2010</v>
      </c>
      <c r="P1656" s="27" t="str">
        <f>IFERROR(INDEX('Aub Demand'!B:B,MATCH($O1656,'Aub Demand'!$A:$A,0)),"")</f>
        <v>JEWEL MAHOGANY</v>
      </c>
      <c r="Q1656" s="27" t="str">
        <f>IFERROR(INDEX('Aub Demand'!C:C,MATCH($O1656,'Aub Demand'!$A:$A,0)),"")</f>
        <v>TOPPA</v>
      </c>
      <c r="R1656" s="52">
        <f>IFERROR(IF(AR1657=AR1656,INDEX('Aub Demand'!K:K,MATCH($O1656,'Aub Demand'!$A:$A,0))-IF(AN1656="",0,AN1656)+AP1657,INDEX('Aub Demand'!K:K,MATCH($O1656,'Aub Demand'!$A:$A,0))-IF(AN1656="",0,AN1656)),"")</f>
        <v>245</v>
      </c>
      <c r="S1656" s="53">
        <f t="shared" si="700"/>
        <v>11.8</v>
      </c>
      <c r="T1656" s="52" t="str">
        <f t="shared" si="701"/>
        <v/>
      </c>
      <c r="U1656" s="52">
        <f>IFERROR(IF(AR1657=AR1656,INDEX('Aub Demand'!Q:Q,MATCH($O1656,'Aub Demand'!$A:$A,0))-IF(AN1656="",0,AN1656)+AP1657,INDEX('Aub Demand'!Q:Q,MATCH($O1656,'Aub Demand'!$A:$A,0))-IF(AN1656="",0,AN1656)),"")</f>
        <v>241</v>
      </c>
      <c r="V1656" s="53">
        <f t="shared" si="702"/>
        <v>11.6</v>
      </c>
      <c r="W1656" s="52" t="str">
        <f t="shared" si="703"/>
        <v/>
      </c>
      <c r="X1656" s="52">
        <f>IFERROR(IF(AND(AR1657=AR1656,AM1656&lt;&gt;""),INDEX('Aub Demand'!Q:Q,MATCH($O1656,'Aub Demand'!$A:$A,0))-IF(AN1656="",0,AN1656)+AP1657+AD1656+AL1656,IF(AR1657=AR1656,INDEX('Aub Demand'!Q:Q,MATCH($O1656,'Aub Demand'!$A:$A,0))-IF(AN1656="",0,AN1656)+AP1657+AD1656,IF(AM1656&lt;&gt;"",INDEX('Aub Demand'!Q:Q,MATCH($O1656,'Aub Demand'!$A:$A,0))-IF(AN1656="",0,AN1656)+AD1656+AL1656,INDEX('Aub Demand'!Q:Q,MATCH($O1656,'Aub Demand'!$A:$A,0))-IF(AN1656="",0,AN1656)+AD1656))),"")</f>
        <v>241</v>
      </c>
      <c r="Y1656" s="53">
        <f t="shared" si="704"/>
        <v>11.6</v>
      </c>
      <c r="Z1656" s="52">
        <f>IF(L1656="","",INDEX('Aub Demand'!H:H,MATCH($O1656,'Aub Demand'!$A:$A,0)))</f>
        <v>89</v>
      </c>
      <c r="AA1656" s="52" t="str">
        <f t="shared" si="705"/>
        <v>-spike-</v>
      </c>
      <c r="AB1656" s="52">
        <f>IFERROR(INDEX('Aub Demand'!L:L,MATCH($O1656,'Aub Demand'!$A:$A,0)),"")</f>
        <v>39</v>
      </c>
      <c r="AC1656" s="52">
        <f>IFERROR(IF(O1656="","",SUMIFS('CPL Mats'!F:F,'CPL Mats'!Q:Q,AR1656,'CPL Mats'!S:S,AS1656)),"")</f>
        <v>0</v>
      </c>
      <c r="AF1656" s="25" t="str">
        <f>IF(SUMIFS('Supp Consol'!S:S,'Supp Consol'!Y:Y,"Releasable",'Supp Consol'!A:A,O1656)=0,"",SUMIFS('Supp Consol'!S:S,'Supp Consol'!Y:Y,"Releasable",'Supp Consol'!A:A,O1656))</f>
        <v/>
      </c>
      <c r="AG1656" s="25" t="str">
        <f>IFERROR(INDEX('Hun Demand'!Q:Q,MATCH(O1656,'Hun Demand'!A:A,0)),"")</f>
        <v/>
      </c>
      <c r="AH1656" s="25" t="str">
        <f>IFERROR(INDEX('Hun Demand'!H:H,MATCH($O1656,'Hun Demand'!$A:$A,0)),"")</f>
        <v/>
      </c>
      <c r="AI1656" s="25" t="str">
        <f>IF(SUMIFS('Supp Consol'!AA:AA,'Supp Consol'!Z:Z,"Expires this month",'Supp Consol'!A:A,O1656)=0,"",SUMIFS('Supp Consol'!AA:AA,'Supp Consol'!Z:Z,"Expires this month",'Supp Consol'!A:A,O1656))</f>
        <v/>
      </c>
      <c r="AJ1656" s="25" t="str">
        <f>IF(SUMIFS('Supp Consol'!AA:AA,'Supp Consol'!Z:Z,"Expired Previous Months",'Supp Consol'!A:A,O1656)=0,"",SUMIFS('Supp Consol'!AA:AA,'Supp Consol'!Z:Z,"Expired Previous Months",'Supp Consol'!A:A,O1656))</f>
        <v/>
      </c>
      <c r="AK1656" s="25" t="str">
        <f>IFERROR(INDEX('Hun Release Current'!B:B,MATCH(O1656,'Hun Release Current'!A:A,0)),"")</f>
        <v/>
      </c>
      <c r="AL1656" s="25" t="str">
        <f>IF(SUMIF('Prev Aub'!A:A,O1656,'Prev Aub'!B:B)=0,"",SUMIF('Prev Aub'!A:A,O1656,'Prev Aub'!B:B))</f>
        <v/>
      </c>
      <c r="AN1656" s="25" t="s">
        <v>3790</v>
      </c>
      <c r="AO1656" s="25" t="s">
        <v>3790</v>
      </c>
      <c r="AP1656" s="25">
        <f t="shared" si="706"/>
        <v>0</v>
      </c>
      <c r="AQ1656" s="151" t="str">
        <f>IF(SUMIFS('Supp Consol'!S:S,'Supp Consol'!A:A,O1656,'Supp Consol'!I:I,"PENDING")=0,"",SUMIFS('Supp Consol'!S:S,'Supp Consol'!A:A,O1656,'Supp Consol'!I:I,"PENDING"))</f>
        <v/>
      </c>
      <c r="AR1656" s="27" t="str">
        <f t="shared" si="707"/>
        <v>WY351</v>
      </c>
      <c r="AS1656" s="27" t="str">
        <f t="shared" si="708"/>
        <v>62</v>
      </c>
      <c r="AT1656" s="27" t="str">
        <f t="shared" si="709"/>
        <v/>
      </c>
      <c r="AU1656" s="27" t="str">
        <f t="shared" si="710"/>
        <v/>
      </c>
      <c r="AV1656" s="27" t="str">
        <f t="shared" si="711"/>
        <v/>
      </c>
      <c r="AW1656" s="27" t="str">
        <f t="shared" si="712"/>
        <v/>
      </c>
      <c r="AX1656" s="27" t="str">
        <f t="shared" si="713"/>
        <v/>
      </c>
      <c r="AY1656" s="27" t="str">
        <f t="shared" si="714"/>
        <v/>
      </c>
      <c r="AZ1656" s="27" t="str">
        <f t="shared" si="715"/>
        <v/>
      </c>
      <c r="BA1656" s="27" t="str">
        <f t="shared" si="716"/>
        <v/>
      </c>
      <c r="BB1656" s="27" t="str">
        <f t="shared" si="717"/>
        <v>Gross</v>
      </c>
      <c r="BC1656" s="27" t="str">
        <f t="shared" si="718"/>
        <v>Net</v>
      </c>
      <c r="BD1656" s="27" t="str">
        <f t="shared" si="719"/>
        <v>Net</v>
      </c>
      <c r="BE1656" s="27" t="str">
        <f t="shared" si="720"/>
        <v/>
      </c>
      <c r="BF1656" s="27" t="str">
        <f t="shared" si="721"/>
        <v/>
      </c>
      <c r="BG1656" s="27" t="str">
        <f t="shared" si="722"/>
        <v/>
      </c>
      <c r="BH1656" s="27" t="str">
        <f t="shared" si="723"/>
        <v/>
      </c>
      <c r="BI1656" s="27" t="str">
        <f t="shared" si="724"/>
        <v/>
      </c>
      <c r="BJ1656" s="27" t="str">
        <f t="shared" si="725"/>
        <v/>
      </c>
      <c r="BK1656" s="27" t="str">
        <f t="shared" si="726"/>
        <v/>
      </c>
      <c r="BL1656" s="27" t="str">
        <f t="shared" si="727"/>
        <v/>
      </c>
      <c r="BM1656" s="21" t="s">
        <v>5581</v>
      </c>
    </row>
    <row r="1657" spans="1:65" ht="15">
      <c r="A1657" s="25" t="str">
        <f>IFERROR(INDEX('Hun Demand'!W:W,MATCH(O1657,'Hun Demand'!A:A,0)),"")</f>
        <v/>
      </c>
      <c r="B1657" s="25" t="str">
        <f>IFERROR(INDEX('Hun Demand'!V:V,MATCH(O1657,'Hun Demand'!A:A,0)),"")</f>
        <v/>
      </c>
      <c r="C1657" s="25" t="str">
        <f>IFERROR(INDEX('Hun Demand'!U:U,MATCH(O1657,'Hun Demand'!A:A,0)),"")</f>
        <v/>
      </c>
      <c r="D1657" s="25" t="str">
        <f>IFERROR(INDEX('Hun Demand'!T:T,MATCH(O1657,'Hun Demand'!A:A,0)),"")</f>
        <v/>
      </c>
      <c r="E1657" s="25" t="str">
        <f>IFERROR(INDEX('Hun Demand'!S:S,MATCH(O1657,'Hun Demand'!A:A,0)),"")</f>
        <v/>
      </c>
      <c r="F1657" s="25" t="str">
        <f>IFERROR(INDEX('Hun Demand'!R:R,MATCH(O1657,'Hun Demand'!A:A,0)),"")</f>
        <v/>
      </c>
      <c r="G1657" s="25">
        <f>IFERROR(INDEX('Aub Demand'!W:W,MATCH(O1657,'Aub Demand'!A:A,0)),"")</f>
        <v>23</v>
      </c>
      <c r="H1657" s="25">
        <f>IFERROR(INDEX('Aub Demand'!V:V,MATCH(O1657,'Aub Demand'!A:A,0)),"")</f>
        <v>0</v>
      </c>
      <c r="I1657" s="25">
        <f>IFERROR(INDEX('Aub Demand'!U:U,MATCH(O1657,'Aub Demand'!A:A,0)),"")</f>
        <v>0</v>
      </c>
      <c r="J1657" s="25">
        <f>IFERROR(INDEX('Aub Demand'!T:T,MATCH(O1657,'Aub Demand'!A:A,0)),"")</f>
        <v>0</v>
      </c>
      <c r="K1657" s="25">
        <f>IFERROR(INDEX('Aub Demand'!S:S,MATCH(O1657,'Aub Demand'!A:A,0)),"")</f>
        <v>0</v>
      </c>
      <c r="L1657" s="25">
        <f>IFERROR(INDEX('Aub Demand'!R:R,MATCH(O1657,'Aub Demand'!A:A,0)),"")</f>
        <v>0</v>
      </c>
      <c r="O1657" s="27" t="s">
        <v>3174</v>
      </c>
      <c r="P1657" s="27" t="str">
        <f>IFERROR(INDEX('Aub Demand'!B:B,MATCH($O1657,'Aub Demand'!$A:$A,0)),"")</f>
        <v>SHIBUI WOODPRINT 50"</v>
      </c>
      <c r="Q1657" s="27" t="str">
        <f>IFERROR(INDEX('Aub Demand'!C:C,MATCH($O1657,'Aub Demand'!$A:$A,0)),"")</f>
        <v>DNP A</v>
      </c>
      <c r="R1657" s="52">
        <f>IFERROR(IF(AR1658=AR1657,INDEX('Aub Demand'!K:K,MATCH($O1657,'Aub Demand'!$A:$A,0))-IF(AN1657="",0,AN1657)+AP1658,INDEX('Aub Demand'!K:K,MATCH($O1657,'Aub Demand'!$A:$A,0))-IF(AN1657="",0,AN1657)),"")</f>
        <v>139</v>
      </c>
      <c r="S1657" s="53" t="str">
        <f t="shared" si="700"/>
        <v>n/a</v>
      </c>
      <c r="T1657" s="52" t="str">
        <f t="shared" si="701"/>
        <v/>
      </c>
      <c r="U1657" s="52">
        <f>IFERROR(IF(AR1658=AR1657,INDEX('Aub Demand'!Q:Q,MATCH($O1657,'Aub Demand'!$A:$A,0))-IF(AN1657="",0,AN1657)+AP1658,INDEX('Aub Demand'!Q:Q,MATCH($O1657,'Aub Demand'!$A:$A,0))-IF(AN1657="",0,AN1657)),"")</f>
        <v>139</v>
      </c>
      <c r="V1657" s="53" t="str">
        <f t="shared" si="702"/>
        <v>n/a</v>
      </c>
      <c r="W1657" s="52" t="str">
        <f t="shared" si="703"/>
        <v/>
      </c>
      <c r="X1657" s="52">
        <f>IFERROR(IF(AND(AR1658=AR1657,AM1657&lt;&gt;""),INDEX('Aub Demand'!Q:Q,MATCH($O1657,'Aub Demand'!$A:$A,0))-IF(AN1657="",0,AN1657)+AP1658+AD1657+AL1657,IF(AR1658=AR1657,INDEX('Aub Demand'!Q:Q,MATCH($O1657,'Aub Demand'!$A:$A,0))-IF(AN1657="",0,AN1657)+AP1658+AD1657,IF(AM1657&lt;&gt;"",INDEX('Aub Demand'!Q:Q,MATCH($O1657,'Aub Demand'!$A:$A,0))-IF(AN1657="",0,AN1657)+AD1657+AL1657,INDEX('Aub Demand'!Q:Q,MATCH($O1657,'Aub Demand'!$A:$A,0))-IF(AN1657="",0,AN1657)+AD1657))),"")</f>
        <v>139</v>
      </c>
      <c r="Y1657" s="53" t="str">
        <f t="shared" si="704"/>
        <v>n/a</v>
      </c>
      <c r="Z1657" s="52">
        <f>IF(L1657="","",INDEX('Aub Demand'!H:H,MATCH($O1657,'Aub Demand'!$A:$A,0)))</f>
        <v>0</v>
      </c>
      <c r="AA1657" s="52" t="str">
        <f t="shared" si="705"/>
        <v>-spike-</v>
      </c>
      <c r="AB1657" s="52">
        <f>IFERROR(INDEX('Aub Demand'!L:L,MATCH($O1657,'Aub Demand'!$A:$A,0)),"")</f>
        <v>36</v>
      </c>
      <c r="AC1657" s="52">
        <f>IFERROR(IF(O1657="","",SUMIFS('CPL Mats'!F:F,'CPL Mats'!Q:Q,AR1657,'CPL Mats'!S:S,AS1657)),"")</f>
        <v>0</v>
      </c>
      <c r="AF1657" s="25" t="str">
        <f>IF(SUMIFS('Supp Consol'!S:S,'Supp Consol'!Y:Y,"Releasable",'Supp Consol'!A:A,O1657)=0,"",SUMIFS('Supp Consol'!S:S,'Supp Consol'!Y:Y,"Releasable",'Supp Consol'!A:A,O1657))</f>
        <v/>
      </c>
      <c r="AG1657" s="25" t="str">
        <f>IFERROR(INDEX('Hun Demand'!Q:Q,MATCH(O1657,'Hun Demand'!A:A,0)),"")</f>
        <v/>
      </c>
      <c r="AH1657" s="25" t="str">
        <f>IFERROR(INDEX('Hun Demand'!H:H,MATCH($O1657,'Hun Demand'!$A:$A,0)),"")</f>
        <v/>
      </c>
      <c r="AI1657" s="25" t="str">
        <f>IF(SUMIFS('Supp Consol'!AA:AA,'Supp Consol'!Z:Z,"Expires this month",'Supp Consol'!A:A,O1657)=0,"",SUMIFS('Supp Consol'!AA:AA,'Supp Consol'!Z:Z,"Expires this month",'Supp Consol'!A:A,O1657))</f>
        <v/>
      </c>
      <c r="AJ1657" s="25" t="str">
        <f>IF(SUMIFS('Supp Consol'!AA:AA,'Supp Consol'!Z:Z,"Expired Previous Months",'Supp Consol'!A:A,O1657)=0,"",SUMIFS('Supp Consol'!AA:AA,'Supp Consol'!Z:Z,"Expired Previous Months",'Supp Consol'!A:A,O1657))</f>
        <v/>
      </c>
      <c r="AK1657" s="25" t="str">
        <f>IFERROR(INDEX('Hun Release Current'!B:B,MATCH(O1657,'Hun Release Current'!A:A,0)),"")</f>
        <v/>
      </c>
      <c r="AL1657" s="25" t="str">
        <f>IF(SUMIF('Prev Aub'!A:A,O1657,'Prev Aub'!B:B)=0,"",SUMIF('Prev Aub'!A:A,O1657,'Prev Aub'!B:B))</f>
        <v/>
      </c>
      <c r="AN1657" s="25" t="s">
        <v>3790</v>
      </c>
      <c r="AO1657" s="25" t="s">
        <v>3790</v>
      </c>
      <c r="AP1657" s="25">
        <f t="shared" si="706"/>
        <v>0</v>
      </c>
      <c r="AQ1657" s="151" t="str">
        <f>IF(SUMIFS('Supp Consol'!S:S,'Supp Consol'!A:A,O1657,'Supp Consol'!I:I,"PENDING")=0,"",SUMIFS('Supp Consol'!S:S,'Supp Consol'!A:A,O1657,'Supp Consol'!I:I,"PENDING"))</f>
        <v/>
      </c>
      <c r="AR1657" s="27" t="str">
        <f t="shared" si="707"/>
        <v>WZ001</v>
      </c>
      <c r="AS1657" s="27" t="str">
        <f t="shared" si="708"/>
        <v>50</v>
      </c>
      <c r="AT1657" s="27" t="str">
        <f t="shared" si="709"/>
        <v/>
      </c>
      <c r="AU1657" s="27" t="str">
        <f t="shared" si="710"/>
        <v/>
      </c>
      <c r="AV1657" s="27" t="str">
        <f t="shared" si="711"/>
        <v/>
      </c>
      <c r="AW1657" s="27" t="str">
        <f t="shared" si="712"/>
        <v/>
      </c>
      <c r="AX1657" s="27" t="str">
        <f t="shared" si="713"/>
        <v/>
      </c>
      <c r="AY1657" s="27" t="str">
        <f t="shared" si="714"/>
        <v/>
      </c>
      <c r="AZ1657" s="27" t="str">
        <f t="shared" si="715"/>
        <v>Supp</v>
      </c>
      <c r="BA1657" s="27" t="str">
        <f t="shared" si="716"/>
        <v>Hun</v>
      </c>
      <c r="BB1657" s="27" t="str">
        <f t="shared" si="717"/>
        <v/>
      </c>
      <c r="BC1657" s="27" t="str">
        <f t="shared" si="718"/>
        <v/>
      </c>
      <c r="BD1657" s="27" t="str">
        <f t="shared" si="719"/>
        <v/>
      </c>
      <c r="BE1657" s="27" t="str">
        <f t="shared" si="720"/>
        <v/>
      </c>
      <c r="BF1657" s="27" t="str">
        <f t="shared" si="721"/>
        <v/>
      </c>
      <c r="BG1657" s="27" t="str">
        <f t="shared" si="722"/>
        <v/>
      </c>
      <c r="BH1657" s="27" t="str">
        <f t="shared" si="723"/>
        <v/>
      </c>
      <c r="BI1657" s="27" t="str">
        <f t="shared" si="724"/>
        <v/>
      </c>
      <c r="BJ1657" s="27" t="str">
        <f t="shared" si="725"/>
        <v>Supp or Hun</v>
      </c>
      <c r="BK1657" s="27" t="str">
        <f t="shared" si="726"/>
        <v/>
      </c>
      <c r="BL1657" s="27" t="str">
        <f t="shared" si="727"/>
        <v/>
      </c>
      <c r="BM1657" s="21" t="s">
        <v>5581</v>
      </c>
    </row>
    <row r="1658" spans="1:65" ht="15">
      <c r="A1658" s="25">
        <f>IFERROR(INDEX('Hun Demand'!W:W,MATCH(O1658,'Hun Demand'!A:A,0)),"")</f>
        <v>0</v>
      </c>
      <c r="B1658" s="25">
        <f>IFERROR(INDEX('Hun Demand'!V:V,MATCH(O1658,'Hun Demand'!A:A,0)),"")</f>
        <v>0</v>
      </c>
      <c r="C1658" s="25">
        <f>IFERROR(INDEX('Hun Demand'!U:U,MATCH(O1658,'Hun Demand'!A:A,0)),"")</f>
        <v>0</v>
      </c>
      <c r="D1658" s="25">
        <f>IFERROR(INDEX('Hun Demand'!T:T,MATCH(O1658,'Hun Demand'!A:A,0)),"")</f>
        <v>0</v>
      </c>
      <c r="E1658" s="25">
        <f>IFERROR(INDEX('Hun Demand'!S:S,MATCH(O1658,'Hun Demand'!A:A,0)),"")</f>
        <v>0</v>
      </c>
      <c r="F1658" s="25">
        <f>IFERROR(INDEX('Hun Demand'!R:R,MATCH(O1658,'Hun Demand'!A:A,0)),"")</f>
        <v>0</v>
      </c>
      <c r="G1658" s="25">
        <f>IFERROR(INDEX('Aub Demand'!W:W,MATCH(O1658,'Aub Demand'!A:A,0)),"")</f>
        <v>0</v>
      </c>
      <c r="H1658" s="25">
        <f>IFERROR(INDEX('Aub Demand'!V:V,MATCH(O1658,'Aub Demand'!A:A,0)),"")</f>
        <v>0</v>
      </c>
      <c r="I1658" s="25">
        <f>IFERROR(INDEX('Aub Demand'!U:U,MATCH(O1658,'Aub Demand'!A:A,0)),"")</f>
        <v>43</v>
      </c>
      <c r="J1658" s="25">
        <f>IFERROR(INDEX('Aub Demand'!T:T,MATCH(O1658,'Aub Demand'!A:A,0)),"")</f>
        <v>0</v>
      </c>
      <c r="K1658" s="25">
        <f>IFERROR(INDEX('Aub Demand'!S:S,MATCH(O1658,'Aub Demand'!A:A,0)),"")</f>
        <v>0</v>
      </c>
      <c r="L1658" s="25">
        <f>IFERROR(INDEX('Aub Demand'!R:R,MATCH(O1658,'Aub Demand'!A:A,0)),"")</f>
        <v>0</v>
      </c>
      <c r="O1658" s="27" t="s">
        <v>3177</v>
      </c>
      <c r="P1658" s="27" t="str">
        <f>IFERROR(INDEX('Aub Demand'!B:B,MATCH($O1658,'Aub Demand'!$A:$A,0)),"")</f>
        <v>SHIBUI WOODPRINT 62"</v>
      </c>
      <c r="Q1658" s="27" t="str">
        <f>IFERROR(INDEX('Aub Demand'!C:C,MATCH($O1658,'Aub Demand'!$A:$A,0)),"")</f>
        <v>DNP A</v>
      </c>
      <c r="R1658" s="52">
        <f>IFERROR(IF(AR1659=AR1658,INDEX('Aub Demand'!K:K,MATCH($O1658,'Aub Demand'!$A:$A,0))-IF(AN1658="",0,AN1658)+AP1659,INDEX('Aub Demand'!K:K,MATCH($O1658,'Aub Demand'!$A:$A,0))-IF(AN1658="",0,AN1658)),"")</f>
        <v>1026</v>
      </c>
      <c r="S1658" s="53">
        <f t="shared" si="700"/>
        <v>314.10000000000002</v>
      </c>
      <c r="T1658" s="52" t="str">
        <f t="shared" si="701"/>
        <v/>
      </c>
      <c r="U1658" s="52">
        <f>IFERROR(IF(AR1659=AR1658,INDEX('Aub Demand'!Q:Q,MATCH($O1658,'Aub Demand'!$A:$A,0))-IF(AN1658="",0,AN1658)+AP1659,INDEX('Aub Demand'!Q:Q,MATCH($O1658,'Aub Demand'!$A:$A,0))-IF(AN1658="",0,AN1658)),"")</f>
        <v>1026</v>
      </c>
      <c r="V1658" s="53">
        <f t="shared" si="702"/>
        <v>314.10000000000002</v>
      </c>
      <c r="W1658" s="52" t="str">
        <f t="shared" si="703"/>
        <v/>
      </c>
      <c r="X1658" s="52">
        <f>IFERROR(IF(AND(AR1659=AR1658,AM1658&lt;&gt;""),INDEX('Aub Demand'!Q:Q,MATCH($O1658,'Aub Demand'!$A:$A,0))-IF(AN1658="",0,AN1658)+AP1659+AD1658+AL1658,IF(AR1659=AR1658,INDEX('Aub Demand'!Q:Q,MATCH($O1658,'Aub Demand'!$A:$A,0))-IF(AN1658="",0,AN1658)+AP1659+AD1658,IF(AM1658&lt;&gt;"",INDEX('Aub Demand'!Q:Q,MATCH($O1658,'Aub Demand'!$A:$A,0))-IF(AN1658="",0,AN1658)+AD1658+AL1658,INDEX('Aub Demand'!Q:Q,MATCH($O1658,'Aub Demand'!$A:$A,0))-IF(AN1658="",0,AN1658)+AD1658))),"")</f>
        <v>1026</v>
      </c>
      <c r="Y1658" s="53">
        <f t="shared" si="704"/>
        <v>314.10000000000002</v>
      </c>
      <c r="Z1658" s="52">
        <f>IF(L1658="","",INDEX('Aub Demand'!H:H,MATCH($O1658,'Aub Demand'!$A:$A,0)))</f>
        <v>14</v>
      </c>
      <c r="AA1658" s="52" t="str">
        <f t="shared" si="705"/>
        <v>-spike-</v>
      </c>
      <c r="AB1658" s="52">
        <f>IFERROR(INDEX('Aub Demand'!L:L,MATCH($O1658,'Aub Demand'!$A:$A,0)),"")</f>
        <v>34</v>
      </c>
      <c r="AC1658" s="52">
        <f>IFERROR(IF(O1658="","",SUMIFS('CPL Mats'!F:F,'CPL Mats'!Q:Q,AR1658,'CPL Mats'!S:S,AS1658)),"")</f>
        <v>0</v>
      </c>
      <c r="AF1658" s="25">
        <f>IF(SUMIFS('Supp Consol'!S:S,'Supp Consol'!Y:Y,"Releasable",'Supp Consol'!A:A,O1658)=0,"",SUMIFS('Supp Consol'!S:S,'Supp Consol'!Y:Y,"Releasable",'Supp Consol'!A:A,O1658))</f>
        <v>2651</v>
      </c>
      <c r="AG1658" s="25">
        <f>IFERROR(INDEX('Hun Demand'!Q:Q,MATCH(O1658,'Hun Demand'!A:A,0)),"")</f>
        <v>799</v>
      </c>
      <c r="AH1658" s="25">
        <f>IFERROR(INDEX('Hun Demand'!H:H,MATCH($O1658,'Hun Demand'!$A:$A,0)),"")</f>
        <v>0</v>
      </c>
      <c r="AI1658" s="25" t="str">
        <f>IF(SUMIFS('Supp Consol'!AA:AA,'Supp Consol'!Z:Z,"Expires this month",'Supp Consol'!A:A,O1658)=0,"",SUMIFS('Supp Consol'!AA:AA,'Supp Consol'!Z:Z,"Expires this month",'Supp Consol'!A:A,O1658))</f>
        <v/>
      </c>
      <c r="AJ1658" s="25" t="str">
        <f>IF(SUMIFS('Supp Consol'!AA:AA,'Supp Consol'!Z:Z,"Expired Previous Months",'Supp Consol'!A:A,O1658)=0,"",SUMIFS('Supp Consol'!AA:AA,'Supp Consol'!Z:Z,"Expired Previous Months",'Supp Consol'!A:A,O1658))</f>
        <v/>
      </c>
      <c r="AK1658" s="25" t="str">
        <f>IFERROR(INDEX('Hun Release Current'!B:B,MATCH(O1658,'Hun Release Current'!A:A,0)),"")</f>
        <v/>
      </c>
      <c r="AL1658" s="25" t="str">
        <f>IF(SUMIF('Prev Aub'!A:A,O1658,'Prev Aub'!B:B)=0,"",SUMIF('Prev Aub'!A:A,O1658,'Prev Aub'!B:B))</f>
        <v/>
      </c>
      <c r="AN1658" s="25" t="s">
        <v>3790</v>
      </c>
      <c r="AO1658" s="25" t="s">
        <v>3790</v>
      </c>
      <c r="AP1658" s="25">
        <f t="shared" si="706"/>
        <v>0</v>
      </c>
      <c r="AQ1658" s="151" t="str">
        <f>IF(SUMIFS('Supp Consol'!S:S,'Supp Consol'!A:A,O1658,'Supp Consol'!I:I,"PENDING")=0,"",SUMIFS('Supp Consol'!S:S,'Supp Consol'!A:A,O1658,'Supp Consol'!I:I,"PENDING"))</f>
        <v/>
      </c>
      <c r="AR1658" s="27" t="str">
        <f t="shared" si="707"/>
        <v>WZ001</v>
      </c>
      <c r="AS1658" s="27" t="str">
        <f t="shared" si="708"/>
        <v>62</v>
      </c>
      <c r="AT1658" s="27" t="str">
        <f t="shared" si="709"/>
        <v/>
      </c>
      <c r="AU1658" s="27" t="str">
        <f t="shared" si="710"/>
        <v/>
      </c>
      <c r="AV1658" s="27" t="str">
        <f t="shared" si="711"/>
        <v/>
      </c>
      <c r="AW1658" s="27" t="str">
        <f t="shared" si="712"/>
        <v/>
      </c>
      <c r="AX1658" s="27" t="str">
        <f t="shared" si="713"/>
        <v>WZ001</v>
      </c>
      <c r="AY1658" s="27" t="str">
        <f t="shared" si="714"/>
        <v>WZ001</v>
      </c>
      <c r="AZ1658" s="27" t="str">
        <f t="shared" si="715"/>
        <v>Supp</v>
      </c>
      <c r="BA1658" s="27" t="str">
        <f t="shared" si="716"/>
        <v>Hun</v>
      </c>
      <c r="BB1658" s="27" t="str">
        <f t="shared" si="717"/>
        <v/>
      </c>
      <c r="BC1658" s="27" t="str">
        <f t="shared" si="718"/>
        <v/>
      </c>
      <c r="BD1658" s="27" t="str">
        <f t="shared" si="719"/>
        <v/>
      </c>
      <c r="BE1658" s="27" t="str">
        <f t="shared" si="720"/>
        <v/>
      </c>
      <c r="BF1658" s="27" t="str">
        <f t="shared" si="721"/>
        <v/>
      </c>
      <c r="BG1658" s="27" t="str">
        <f t="shared" si="722"/>
        <v/>
      </c>
      <c r="BH1658" s="27" t="str">
        <f t="shared" si="723"/>
        <v/>
      </c>
      <c r="BI1658" s="27" t="str">
        <f t="shared" si="724"/>
        <v/>
      </c>
      <c r="BJ1658" s="27" t="str">
        <f t="shared" si="725"/>
        <v>Supp or Hun</v>
      </c>
      <c r="BK1658" s="27" t="str">
        <f t="shared" si="726"/>
        <v/>
      </c>
      <c r="BL1658" s="27" t="str">
        <f t="shared" si="727"/>
        <v/>
      </c>
      <c r="BM1658" s="21" t="s">
        <v>5581</v>
      </c>
    </row>
    <row r="1659" spans="1:65" ht="15">
      <c r="A1659" s="25" t="str">
        <f>IFERROR(INDEX('Hun Demand'!W:W,MATCH(O1659,'Hun Demand'!A:A,0)),"")</f>
        <v/>
      </c>
      <c r="B1659" s="25" t="str">
        <f>IFERROR(INDEX('Hun Demand'!V:V,MATCH(O1659,'Hun Demand'!A:A,0)),"")</f>
        <v/>
      </c>
      <c r="C1659" s="25" t="str">
        <f>IFERROR(INDEX('Hun Demand'!U:U,MATCH(O1659,'Hun Demand'!A:A,0)),"")</f>
        <v/>
      </c>
      <c r="D1659" s="25" t="str">
        <f>IFERROR(INDEX('Hun Demand'!T:T,MATCH(O1659,'Hun Demand'!A:A,0)),"")</f>
        <v/>
      </c>
      <c r="E1659" s="25" t="str">
        <f>IFERROR(INDEX('Hun Demand'!S:S,MATCH(O1659,'Hun Demand'!A:A,0)),"")</f>
        <v/>
      </c>
      <c r="F1659" s="25" t="str">
        <f>IFERROR(INDEX('Hun Demand'!R:R,MATCH(O1659,'Hun Demand'!A:A,0)),"")</f>
        <v/>
      </c>
      <c r="G1659" s="25">
        <f>IFERROR(INDEX('Aub Demand'!W:W,MATCH(O1659,'Aub Demand'!A:A,0)),"")</f>
        <v>31</v>
      </c>
      <c r="H1659" s="25">
        <f>IFERROR(INDEX('Aub Demand'!V:V,MATCH(O1659,'Aub Demand'!A:A,0)),"")</f>
        <v>0</v>
      </c>
      <c r="I1659" s="25">
        <f>IFERROR(INDEX('Aub Demand'!U:U,MATCH(O1659,'Aub Demand'!A:A,0)),"")</f>
        <v>0</v>
      </c>
      <c r="J1659" s="25">
        <f>IFERROR(INDEX('Aub Demand'!T:T,MATCH(O1659,'Aub Demand'!A:A,0)),"")</f>
        <v>0</v>
      </c>
      <c r="K1659" s="25">
        <f>IFERROR(INDEX('Aub Demand'!S:S,MATCH(O1659,'Aub Demand'!A:A,0)),"")</f>
        <v>0</v>
      </c>
      <c r="L1659" s="25">
        <f>IFERROR(INDEX('Aub Demand'!R:R,MATCH(O1659,'Aub Demand'!A:A,0)),"")</f>
        <v>0</v>
      </c>
      <c r="O1659" s="27" t="s">
        <v>3179</v>
      </c>
      <c r="P1659" s="27" t="str">
        <f>IFERROR(INDEX('Aub Demand'!B:B,MATCH($O1659,'Aub Demand'!$A:$A,0)),"")</f>
        <v>MIKADO WOODPRINT 48"</v>
      </c>
      <c r="Q1659" s="27" t="str">
        <f>IFERROR(INDEX('Aub Demand'!C:C,MATCH($O1659,'Aub Demand'!$A:$A,0)),"")</f>
        <v>DNP A</v>
      </c>
      <c r="R1659" s="52">
        <f>IFERROR(IF(AR1660=AR1659,INDEX('Aub Demand'!K:K,MATCH($O1659,'Aub Demand'!$A:$A,0))-IF(AN1659="",0,AN1659)+AP1660,INDEX('Aub Demand'!K:K,MATCH($O1659,'Aub Demand'!$A:$A,0))-IF(AN1659="",0,AN1659)),"")</f>
        <v>460</v>
      </c>
      <c r="S1659" s="53" t="str">
        <f t="shared" si="700"/>
        <v>n/a</v>
      </c>
      <c r="T1659" s="52" t="str">
        <f t="shared" si="701"/>
        <v/>
      </c>
      <c r="U1659" s="52">
        <f>IFERROR(IF(AR1660=AR1659,INDEX('Aub Demand'!Q:Q,MATCH($O1659,'Aub Demand'!$A:$A,0))-IF(AN1659="",0,AN1659)+AP1660,INDEX('Aub Demand'!Q:Q,MATCH($O1659,'Aub Demand'!$A:$A,0))-IF(AN1659="",0,AN1659)),"")</f>
        <v>460</v>
      </c>
      <c r="V1659" s="53" t="str">
        <f t="shared" si="702"/>
        <v>n/a</v>
      </c>
      <c r="W1659" s="52" t="str">
        <f t="shared" si="703"/>
        <v/>
      </c>
      <c r="X1659" s="52">
        <f>IFERROR(IF(AND(AR1660=AR1659,AM1659&lt;&gt;""),INDEX('Aub Demand'!Q:Q,MATCH($O1659,'Aub Demand'!$A:$A,0))-IF(AN1659="",0,AN1659)+AP1660+AD1659+AL1659,IF(AR1660=AR1659,INDEX('Aub Demand'!Q:Q,MATCH($O1659,'Aub Demand'!$A:$A,0))-IF(AN1659="",0,AN1659)+AP1660+AD1659,IF(AM1659&lt;&gt;"",INDEX('Aub Demand'!Q:Q,MATCH($O1659,'Aub Demand'!$A:$A,0))-IF(AN1659="",0,AN1659)+AD1659+AL1659,INDEX('Aub Demand'!Q:Q,MATCH($O1659,'Aub Demand'!$A:$A,0))-IF(AN1659="",0,AN1659)+AD1659))),"")</f>
        <v>460</v>
      </c>
      <c r="Y1659" s="53" t="str">
        <f t="shared" si="704"/>
        <v>n/a</v>
      </c>
      <c r="Z1659" s="52">
        <f>IF(L1659="","",INDEX('Aub Demand'!H:H,MATCH($O1659,'Aub Demand'!$A:$A,0)))</f>
        <v>0</v>
      </c>
      <c r="AA1659" s="52" t="str">
        <f t="shared" si="705"/>
        <v>-spike-</v>
      </c>
      <c r="AB1659" s="52">
        <f>IFERROR(INDEX('Aub Demand'!L:L,MATCH($O1659,'Aub Demand'!$A:$A,0)),"")</f>
        <v>17</v>
      </c>
      <c r="AC1659" s="52">
        <f>IFERROR(IF(O1659="","",SUMIFS('CPL Mats'!F:F,'CPL Mats'!Q:Q,AR1659,'CPL Mats'!S:S,AS1659)),"")</f>
        <v>0</v>
      </c>
      <c r="AF1659" s="25" t="str">
        <f>IF(SUMIFS('Supp Consol'!S:S,'Supp Consol'!Y:Y,"Releasable",'Supp Consol'!A:A,O1659)=0,"",SUMIFS('Supp Consol'!S:S,'Supp Consol'!Y:Y,"Releasable",'Supp Consol'!A:A,O1659))</f>
        <v/>
      </c>
      <c r="AG1659" s="25" t="str">
        <f>IFERROR(INDEX('Hun Demand'!Q:Q,MATCH(O1659,'Hun Demand'!A:A,0)),"")</f>
        <v/>
      </c>
      <c r="AH1659" s="25" t="str">
        <f>IFERROR(INDEX('Hun Demand'!H:H,MATCH($O1659,'Hun Demand'!$A:$A,0)),"")</f>
        <v/>
      </c>
      <c r="AI1659" s="25" t="str">
        <f>IF(SUMIFS('Supp Consol'!AA:AA,'Supp Consol'!Z:Z,"Expires this month",'Supp Consol'!A:A,O1659)=0,"",SUMIFS('Supp Consol'!AA:AA,'Supp Consol'!Z:Z,"Expires this month",'Supp Consol'!A:A,O1659))</f>
        <v/>
      </c>
      <c r="AJ1659" s="25" t="str">
        <f>IF(SUMIFS('Supp Consol'!AA:AA,'Supp Consol'!Z:Z,"Expired Previous Months",'Supp Consol'!A:A,O1659)=0,"",SUMIFS('Supp Consol'!AA:AA,'Supp Consol'!Z:Z,"Expired Previous Months",'Supp Consol'!A:A,O1659))</f>
        <v/>
      </c>
      <c r="AK1659" s="25" t="str">
        <f>IFERROR(INDEX('Hun Release Current'!B:B,MATCH(O1659,'Hun Release Current'!A:A,0)),"")</f>
        <v/>
      </c>
      <c r="AL1659" s="25" t="str">
        <f>IF(SUMIF('Prev Aub'!A:A,O1659,'Prev Aub'!B:B)=0,"",SUMIF('Prev Aub'!A:A,O1659,'Prev Aub'!B:B))</f>
        <v/>
      </c>
      <c r="AN1659" s="25" t="s">
        <v>3790</v>
      </c>
      <c r="AO1659" s="25" t="s">
        <v>3790</v>
      </c>
      <c r="AP1659" s="25">
        <f t="shared" si="706"/>
        <v>0</v>
      </c>
      <c r="AQ1659" s="151" t="str">
        <f>IF(SUMIFS('Supp Consol'!S:S,'Supp Consol'!A:A,O1659,'Supp Consol'!I:I,"PENDING")=0,"",SUMIFS('Supp Consol'!S:S,'Supp Consol'!A:A,O1659,'Supp Consol'!I:I,"PENDING"))</f>
        <v/>
      </c>
      <c r="AR1659" s="27" t="str">
        <f t="shared" si="707"/>
        <v>WZ002</v>
      </c>
      <c r="AS1659" s="27" t="str">
        <f t="shared" si="708"/>
        <v>50</v>
      </c>
      <c r="AT1659" s="27" t="str">
        <f t="shared" si="709"/>
        <v/>
      </c>
      <c r="AU1659" s="27" t="str">
        <f t="shared" si="710"/>
        <v/>
      </c>
      <c r="AV1659" s="27" t="str">
        <f t="shared" si="711"/>
        <v/>
      </c>
      <c r="AW1659" s="27" t="str">
        <f t="shared" si="712"/>
        <v/>
      </c>
      <c r="AX1659" s="27" t="str">
        <f t="shared" si="713"/>
        <v/>
      </c>
      <c r="AY1659" s="27" t="str">
        <f t="shared" si="714"/>
        <v/>
      </c>
      <c r="AZ1659" s="27" t="str">
        <f t="shared" si="715"/>
        <v/>
      </c>
      <c r="BA1659" s="27" t="str">
        <f t="shared" si="716"/>
        <v/>
      </c>
      <c r="BB1659" s="27" t="str">
        <f t="shared" si="717"/>
        <v/>
      </c>
      <c r="BC1659" s="27" t="str">
        <f t="shared" si="718"/>
        <v/>
      </c>
      <c r="BD1659" s="27" t="str">
        <f t="shared" si="719"/>
        <v/>
      </c>
      <c r="BE1659" s="27" t="str">
        <f t="shared" si="720"/>
        <v/>
      </c>
      <c r="BF1659" s="27" t="str">
        <f t="shared" si="721"/>
        <v/>
      </c>
      <c r="BG1659" s="27" t="str">
        <f t="shared" si="722"/>
        <v/>
      </c>
      <c r="BH1659" s="27" t="str">
        <f t="shared" si="723"/>
        <v/>
      </c>
      <c r="BI1659" s="27" t="str">
        <f t="shared" si="724"/>
        <v/>
      </c>
      <c r="BJ1659" s="27" t="str">
        <f t="shared" si="725"/>
        <v/>
      </c>
      <c r="BK1659" s="27" t="str">
        <f t="shared" si="726"/>
        <v/>
      </c>
      <c r="BL1659" s="27" t="str">
        <f t="shared" si="727"/>
        <v/>
      </c>
      <c r="BM1659" s="21" t="s">
        <v>5581</v>
      </c>
    </row>
    <row r="1660" spans="1:65" ht="15">
      <c r="A1660" s="25" t="str">
        <f>IFERROR(INDEX('Hun Demand'!W:W,MATCH(O1660,'Hun Demand'!A:A,0)),"")</f>
        <v/>
      </c>
      <c r="B1660" s="25" t="str">
        <f>IFERROR(INDEX('Hun Demand'!V:V,MATCH(O1660,'Hun Demand'!A:A,0)),"")</f>
        <v/>
      </c>
      <c r="C1660" s="25" t="str">
        <f>IFERROR(INDEX('Hun Demand'!U:U,MATCH(O1660,'Hun Demand'!A:A,0)),"")</f>
        <v/>
      </c>
      <c r="D1660" s="25" t="str">
        <f>IFERROR(INDEX('Hun Demand'!T:T,MATCH(O1660,'Hun Demand'!A:A,0)),"")</f>
        <v/>
      </c>
      <c r="E1660" s="25" t="str">
        <f>IFERROR(INDEX('Hun Demand'!S:S,MATCH(O1660,'Hun Demand'!A:A,0)),"")</f>
        <v/>
      </c>
      <c r="F1660" s="25" t="str">
        <f>IFERROR(INDEX('Hun Demand'!R:R,MATCH(O1660,'Hun Demand'!A:A,0)),"")</f>
        <v/>
      </c>
      <c r="G1660" s="25">
        <f>IFERROR(INDEX('Aub Demand'!W:W,MATCH(O1660,'Aub Demand'!A:A,0)),"")</f>
        <v>29</v>
      </c>
      <c r="H1660" s="25">
        <f>IFERROR(INDEX('Aub Demand'!V:V,MATCH(O1660,'Aub Demand'!A:A,0)),"")</f>
        <v>0</v>
      </c>
      <c r="I1660" s="25">
        <f>IFERROR(INDEX('Aub Demand'!U:U,MATCH(O1660,'Aub Demand'!A:A,0)),"")</f>
        <v>0</v>
      </c>
      <c r="J1660" s="25">
        <f>IFERROR(INDEX('Aub Demand'!T:T,MATCH(O1660,'Aub Demand'!A:A,0)),"")</f>
        <v>0</v>
      </c>
      <c r="K1660" s="25">
        <f>IFERROR(INDEX('Aub Demand'!S:S,MATCH(O1660,'Aub Demand'!A:A,0)),"")</f>
        <v>0</v>
      </c>
      <c r="L1660" s="25">
        <f>IFERROR(INDEX('Aub Demand'!R:R,MATCH(O1660,'Aub Demand'!A:A,0)),"")</f>
        <v>0</v>
      </c>
      <c r="O1660" s="27" t="s">
        <v>3182</v>
      </c>
      <c r="P1660" s="27" t="str">
        <f>IFERROR(INDEX('Aub Demand'!B:B,MATCH($O1660,'Aub Demand'!$A:$A,0)),"")</f>
        <v>MIKADO WOODPRINT 62"</v>
      </c>
      <c r="Q1660" s="27" t="str">
        <f>IFERROR(INDEX('Aub Demand'!C:C,MATCH($O1660,'Aub Demand'!$A:$A,0)),"")</f>
        <v>DNP A</v>
      </c>
      <c r="R1660" s="52">
        <f>IFERROR(IF(AR1661=AR1660,INDEX('Aub Demand'!K:K,MATCH($O1660,'Aub Demand'!$A:$A,0))-IF(AN1660="",0,AN1660)+AP1661,INDEX('Aub Demand'!K:K,MATCH($O1660,'Aub Demand'!$A:$A,0))-IF(AN1660="",0,AN1660)),"")</f>
        <v>921</v>
      </c>
      <c r="S1660" s="53" t="str">
        <f t="shared" si="700"/>
        <v>n/a</v>
      </c>
      <c r="T1660" s="52" t="str">
        <f t="shared" si="701"/>
        <v/>
      </c>
      <c r="U1660" s="52">
        <f>IFERROR(IF(AR1661=AR1660,INDEX('Aub Demand'!Q:Q,MATCH($O1660,'Aub Demand'!$A:$A,0))-IF(AN1660="",0,AN1660)+AP1661,INDEX('Aub Demand'!Q:Q,MATCH($O1660,'Aub Demand'!$A:$A,0))-IF(AN1660="",0,AN1660)),"")</f>
        <v>921</v>
      </c>
      <c r="V1660" s="53" t="str">
        <f t="shared" si="702"/>
        <v>n/a</v>
      </c>
      <c r="W1660" s="52" t="str">
        <f t="shared" si="703"/>
        <v/>
      </c>
      <c r="X1660" s="52">
        <f>IFERROR(IF(AND(AR1661=AR1660,AM1660&lt;&gt;""),INDEX('Aub Demand'!Q:Q,MATCH($O1660,'Aub Demand'!$A:$A,0))-IF(AN1660="",0,AN1660)+AP1661+AD1660+AL1660,IF(AR1661=AR1660,INDEX('Aub Demand'!Q:Q,MATCH($O1660,'Aub Demand'!$A:$A,0))-IF(AN1660="",0,AN1660)+AP1661+AD1660,IF(AM1660&lt;&gt;"",INDEX('Aub Demand'!Q:Q,MATCH($O1660,'Aub Demand'!$A:$A,0))-IF(AN1660="",0,AN1660)+AD1660+AL1660,INDEX('Aub Demand'!Q:Q,MATCH($O1660,'Aub Demand'!$A:$A,0))-IF(AN1660="",0,AN1660)+AD1660))),"")</f>
        <v>921</v>
      </c>
      <c r="Y1660" s="53" t="str">
        <f t="shared" si="704"/>
        <v>n/a</v>
      </c>
      <c r="Z1660" s="52">
        <f>IF(L1660="","",INDEX('Aub Demand'!H:H,MATCH($O1660,'Aub Demand'!$A:$A,0)))</f>
        <v>0</v>
      </c>
      <c r="AA1660" s="52" t="str">
        <f t="shared" si="705"/>
        <v>-spike-</v>
      </c>
      <c r="AB1660" s="52">
        <f>IFERROR(INDEX('Aub Demand'!L:L,MATCH($O1660,'Aub Demand'!$A:$A,0)),"")</f>
        <v>9</v>
      </c>
      <c r="AC1660" s="52">
        <f>IFERROR(IF(O1660="","",SUMIFS('CPL Mats'!F:F,'CPL Mats'!Q:Q,AR1660,'CPL Mats'!S:S,AS1660)),"")</f>
        <v>0</v>
      </c>
      <c r="AF1660" s="25" t="str">
        <f>IF(SUMIFS('Supp Consol'!S:S,'Supp Consol'!Y:Y,"Releasable",'Supp Consol'!A:A,O1660)=0,"",SUMIFS('Supp Consol'!S:S,'Supp Consol'!Y:Y,"Releasable",'Supp Consol'!A:A,O1660))</f>
        <v/>
      </c>
      <c r="AG1660" s="25" t="str">
        <f>IFERROR(INDEX('Hun Demand'!Q:Q,MATCH(O1660,'Hun Demand'!A:A,0)),"")</f>
        <v/>
      </c>
      <c r="AH1660" s="25" t="str">
        <f>IFERROR(INDEX('Hun Demand'!H:H,MATCH($O1660,'Hun Demand'!$A:$A,0)),"")</f>
        <v/>
      </c>
      <c r="AI1660" s="25" t="str">
        <f>IF(SUMIFS('Supp Consol'!AA:AA,'Supp Consol'!Z:Z,"Expires this month",'Supp Consol'!A:A,O1660)=0,"",SUMIFS('Supp Consol'!AA:AA,'Supp Consol'!Z:Z,"Expires this month",'Supp Consol'!A:A,O1660))</f>
        <v/>
      </c>
      <c r="AJ1660" s="25" t="str">
        <f>IF(SUMIFS('Supp Consol'!AA:AA,'Supp Consol'!Z:Z,"Expired Previous Months",'Supp Consol'!A:A,O1660)=0,"",SUMIFS('Supp Consol'!AA:AA,'Supp Consol'!Z:Z,"Expired Previous Months",'Supp Consol'!A:A,O1660))</f>
        <v/>
      </c>
      <c r="AK1660" s="25" t="str">
        <f>IFERROR(INDEX('Hun Release Current'!B:B,MATCH(O1660,'Hun Release Current'!A:A,0)),"")</f>
        <v/>
      </c>
      <c r="AL1660" s="25" t="str">
        <f>IF(SUMIF('Prev Aub'!A:A,O1660,'Prev Aub'!B:B)=0,"",SUMIF('Prev Aub'!A:A,O1660,'Prev Aub'!B:B))</f>
        <v/>
      </c>
      <c r="AN1660" s="25" t="s">
        <v>3790</v>
      </c>
      <c r="AO1660" s="25" t="s">
        <v>3790</v>
      </c>
      <c r="AP1660" s="25">
        <f t="shared" si="706"/>
        <v>0</v>
      </c>
      <c r="AQ1660" s="151" t="str">
        <f>IF(SUMIFS('Supp Consol'!S:S,'Supp Consol'!A:A,O1660,'Supp Consol'!I:I,"PENDING")=0,"",SUMIFS('Supp Consol'!S:S,'Supp Consol'!A:A,O1660,'Supp Consol'!I:I,"PENDING"))</f>
        <v/>
      </c>
      <c r="AR1660" s="27" t="str">
        <f t="shared" si="707"/>
        <v>WZ002</v>
      </c>
      <c r="AS1660" s="27" t="str">
        <f t="shared" si="708"/>
        <v>62</v>
      </c>
      <c r="AT1660" s="27" t="str">
        <f t="shared" si="709"/>
        <v/>
      </c>
      <c r="AU1660" s="27" t="str">
        <f t="shared" si="710"/>
        <v/>
      </c>
      <c r="AV1660" s="27" t="str">
        <f t="shared" si="711"/>
        <v/>
      </c>
      <c r="AW1660" s="27" t="str">
        <f t="shared" si="712"/>
        <v/>
      </c>
      <c r="AX1660" s="27" t="str">
        <f t="shared" si="713"/>
        <v/>
      </c>
      <c r="AY1660" s="27" t="str">
        <f t="shared" si="714"/>
        <v/>
      </c>
      <c r="AZ1660" s="27" t="str">
        <f t="shared" si="715"/>
        <v/>
      </c>
      <c r="BA1660" s="27" t="str">
        <f t="shared" si="716"/>
        <v/>
      </c>
      <c r="BB1660" s="27" t="str">
        <f t="shared" si="717"/>
        <v/>
      </c>
      <c r="BC1660" s="27" t="str">
        <f t="shared" si="718"/>
        <v/>
      </c>
      <c r="BD1660" s="27" t="str">
        <f t="shared" si="719"/>
        <v/>
      </c>
      <c r="BE1660" s="27" t="str">
        <f t="shared" si="720"/>
        <v/>
      </c>
      <c r="BF1660" s="27" t="str">
        <f t="shared" si="721"/>
        <v/>
      </c>
      <c r="BG1660" s="27" t="str">
        <f t="shared" si="722"/>
        <v/>
      </c>
      <c r="BH1660" s="27" t="str">
        <f t="shared" si="723"/>
        <v/>
      </c>
      <c r="BI1660" s="27" t="str">
        <f t="shared" si="724"/>
        <v/>
      </c>
      <c r="BJ1660" s="27" t="str">
        <f t="shared" si="725"/>
        <v/>
      </c>
      <c r="BK1660" s="27" t="str">
        <f t="shared" si="726"/>
        <v/>
      </c>
      <c r="BL1660" s="27" t="str">
        <f t="shared" si="727"/>
        <v/>
      </c>
      <c r="BM1660" s="21" t="s">
        <v>5581</v>
      </c>
    </row>
    <row r="1661" spans="1:65" ht="15">
      <c r="A1661" s="25" t="str">
        <f>IFERROR(INDEX('Hun Demand'!W:W,MATCH(O1661,'Hun Demand'!A:A,0)),"")</f>
        <v/>
      </c>
      <c r="B1661" s="25" t="str">
        <f>IFERROR(INDEX('Hun Demand'!V:V,MATCH(O1661,'Hun Demand'!A:A,0)),"")</f>
        <v/>
      </c>
      <c r="C1661" s="25" t="str">
        <f>IFERROR(INDEX('Hun Demand'!U:U,MATCH(O1661,'Hun Demand'!A:A,0)),"")</f>
        <v/>
      </c>
      <c r="D1661" s="25" t="str">
        <f>IFERROR(INDEX('Hun Demand'!T:T,MATCH(O1661,'Hun Demand'!A:A,0)),"")</f>
        <v/>
      </c>
      <c r="E1661" s="25" t="str">
        <f>IFERROR(INDEX('Hun Demand'!S:S,MATCH(O1661,'Hun Demand'!A:A,0)),"")</f>
        <v/>
      </c>
      <c r="F1661" s="25" t="str">
        <f>IFERROR(INDEX('Hun Demand'!R:R,MATCH(O1661,'Hun Demand'!A:A,0)),"")</f>
        <v/>
      </c>
      <c r="G1661" s="25">
        <f>IFERROR(INDEX('Aub Demand'!W:W,MATCH(O1661,'Aub Demand'!A:A,0)),"")</f>
        <v>27</v>
      </c>
      <c r="H1661" s="25">
        <f>IFERROR(INDEX('Aub Demand'!V:V,MATCH(O1661,'Aub Demand'!A:A,0)),"")</f>
        <v>8</v>
      </c>
      <c r="I1661" s="25">
        <f>IFERROR(INDEX('Aub Demand'!U:U,MATCH(O1661,'Aub Demand'!A:A,0)),"")</f>
        <v>11</v>
      </c>
      <c r="J1661" s="25">
        <f>IFERROR(INDEX('Aub Demand'!T:T,MATCH(O1661,'Aub Demand'!A:A,0)),"")</f>
        <v>0</v>
      </c>
      <c r="K1661" s="25">
        <f>IFERROR(INDEX('Aub Demand'!S:S,MATCH(O1661,'Aub Demand'!A:A,0)),"")</f>
        <v>0</v>
      </c>
      <c r="L1661" s="25">
        <f>IFERROR(INDEX('Aub Demand'!R:R,MATCH(O1661,'Aub Demand'!A:A,0)),"")</f>
        <v>0</v>
      </c>
      <c r="O1661" s="27" t="s">
        <v>3184</v>
      </c>
      <c r="P1661" s="27" t="str">
        <f>IFERROR(INDEX('Aub Demand'!B:B,MATCH($O1661,'Aub Demand'!$A:$A,0)),"")</f>
        <v>TAWNY SATINWOOD 48"</v>
      </c>
      <c r="Q1661" s="27" t="str">
        <f>IFERROR(INDEX('Aub Demand'!C:C,MATCH($O1661,'Aub Demand'!$A:$A,0)),"")</f>
        <v>DNP A</v>
      </c>
      <c r="R1661" s="52">
        <f>IFERROR(IF(AR1662=AR1661,INDEX('Aub Demand'!K:K,MATCH($O1661,'Aub Demand'!$A:$A,0))-IF(AN1661="",0,AN1661)+AP1662,INDEX('Aub Demand'!K:K,MATCH($O1661,'Aub Demand'!$A:$A,0))-IF(AN1661="",0,AN1661)),"")</f>
        <v>444</v>
      </c>
      <c r="S1661" s="53">
        <f t="shared" si="700"/>
        <v>475.7</v>
      </c>
      <c r="T1661" s="52" t="str">
        <f t="shared" si="701"/>
        <v/>
      </c>
      <c r="U1661" s="52">
        <f>IFERROR(IF(AR1662=AR1661,INDEX('Aub Demand'!Q:Q,MATCH($O1661,'Aub Demand'!$A:$A,0))-IF(AN1661="",0,AN1661)+AP1662,INDEX('Aub Demand'!Q:Q,MATCH($O1661,'Aub Demand'!$A:$A,0))-IF(AN1661="",0,AN1661)),"")</f>
        <v>444</v>
      </c>
      <c r="V1661" s="53">
        <f t="shared" si="702"/>
        <v>475.7</v>
      </c>
      <c r="W1661" s="52" t="str">
        <f t="shared" si="703"/>
        <v/>
      </c>
      <c r="X1661" s="52">
        <f>IFERROR(IF(AND(AR1662=AR1661,AM1661&lt;&gt;""),INDEX('Aub Demand'!Q:Q,MATCH($O1661,'Aub Demand'!$A:$A,0))-IF(AN1661="",0,AN1661)+AP1662+AD1661+AL1661,IF(AR1662=AR1661,INDEX('Aub Demand'!Q:Q,MATCH($O1661,'Aub Demand'!$A:$A,0))-IF(AN1661="",0,AN1661)+AP1662+AD1661,IF(AM1661&lt;&gt;"",INDEX('Aub Demand'!Q:Q,MATCH($O1661,'Aub Demand'!$A:$A,0))-IF(AN1661="",0,AN1661)+AD1661+AL1661,INDEX('Aub Demand'!Q:Q,MATCH($O1661,'Aub Demand'!$A:$A,0))-IF(AN1661="",0,AN1661)+AD1661))),"")</f>
        <v>444</v>
      </c>
      <c r="Y1661" s="53">
        <f t="shared" si="704"/>
        <v>475.7</v>
      </c>
      <c r="Z1661" s="52">
        <f>IF(L1661="","",INDEX('Aub Demand'!H:H,MATCH($O1661,'Aub Demand'!$A:$A,0)))</f>
        <v>4</v>
      </c>
      <c r="AA1661" s="52" t="str">
        <f t="shared" si="705"/>
        <v>-spike-</v>
      </c>
      <c r="AB1661" s="52">
        <f>IFERROR(INDEX('Aub Demand'!L:L,MATCH($O1661,'Aub Demand'!$A:$A,0)),"")</f>
        <v>44</v>
      </c>
      <c r="AC1661" s="52">
        <f>IFERROR(IF(O1661="","",SUMIFS('CPL Mats'!F:F,'CPL Mats'!Q:Q,AR1661,'CPL Mats'!S:S,AS1661)),"")</f>
        <v>0</v>
      </c>
      <c r="AF1661" s="25" t="str">
        <f>IF(SUMIFS('Supp Consol'!S:S,'Supp Consol'!Y:Y,"Releasable",'Supp Consol'!A:A,O1661)=0,"",SUMIFS('Supp Consol'!S:S,'Supp Consol'!Y:Y,"Releasable",'Supp Consol'!A:A,O1661))</f>
        <v/>
      </c>
      <c r="AG1661" s="25" t="str">
        <f>IFERROR(INDEX('Hun Demand'!Q:Q,MATCH(O1661,'Hun Demand'!A:A,0)),"")</f>
        <v/>
      </c>
      <c r="AH1661" s="25" t="str">
        <f>IFERROR(INDEX('Hun Demand'!H:H,MATCH($O1661,'Hun Demand'!$A:$A,0)),"")</f>
        <v/>
      </c>
      <c r="AI1661" s="25" t="str">
        <f>IF(SUMIFS('Supp Consol'!AA:AA,'Supp Consol'!Z:Z,"Expires this month",'Supp Consol'!A:A,O1661)=0,"",SUMIFS('Supp Consol'!AA:AA,'Supp Consol'!Z:Z,"Expires this month",'Supp Consol'!A:A,O1661))</f>
        <v/>
      </c>
      <c r="AJ1661" s="25" t="str">
        <f>IF(SUMIFS('Supp Consol'!AA:AA,'Supp Consol'!Z:Z,"Expired Previous Months",'Supp Consol'!A:A,O1661)=0,"",SUMIFS('Supp Consol'!AA:AA,'Supp Consol'!Z:Z,"Expired Previous Months",'Supp Consol'!A:A,O1661))</f>
        <v/>
      </c>
      <c r="AK1661" s="25" t="str">
        <f>IFERROR(INDEX('Hun Release Current'!B:B,MATCH(O1661,'Hun Release Current'!A:A,0)),"")</f>
        <v/>
      </c>
      <c r="AL1661" s="25" t="str">
        <f>IF(SUMIF('Prev Aub'!A:A,O1661,'Prev Aub'!B:B)=0,"",SUMIF('Prev Aub'!A:A,O1661,'Prev Aub'!B:B))</f>
        <v/>
      </c>
      <c r="AN1661" s="25" t="s">
        <v>3790</v>
      </c>
      <c r="AO1661" s="25" t="s">
        <v>3790</v>
      </c>
      <c r="AP1661" s="25">
        <f t="shared" si="706"/>
        <v>0</v>
      </c>
      <c r="AQ1661" s="151" t="str">
        <f>IF(SUMIFS('Supp Consol'!S:S,'Supp Consol'!A:A,O1661,'Supp Consol'!I:I,"PENDING")=0,"",SUMIFS('Supp Consol'!S:S,'Supp Consol'!A:A,O1661,'Supp Consol'!I:I,"PENDING"))</f>
        <v/>
      </c>
      <c r="AR1661" s="27" t="str">
        <f t="shared" si="707"/>
        <v>WZ003</v>
      </c>
      <c r="AS1661" s="27" t="str">
        <f t="shared" si="708"/>
        <v>50</v>
      </c>
      <c r="AT1661" s="27" t="str">
        <f t="shared" si="709"/>
        <v/>
      </c>
      <c r="AU1661" s="27" t="str">
        <f t="shared" si="710"/>
        <v/>
      </c>
      <c r="AV1661" s="27" t="str">
        <f t="shared" si="711"/>
        <v/>
      </c>
      <c r="AW1661" s="27" t="str">
        <f t="shared" si="712"/>
        <v/>
      </c>
      <c r="AX1661" s="27" t="str">
        <f t="shared" si="713"/>
        <v/>
      </c>
      <c r="AY1661" s="27" t="str">
        <f t="shared" si="714"/>
        <v/>
      </c>
      <c r="AZ1661" s="27" t="str">
        <f t="shared" si="715"/>
        <v/>
      </c>
      <c r="BA1661" s="27" t="str">
        <f t="shared" si="716"/>
        <v/>
      </c>
      <c r="BB1661" s="27" t="str">
        <f t="shared" si="717"/>
        <v/>
      </c>
      <c r="BC1661" s="27" t="str">
        <f t="shared" si="718"/>
        <v/>
      </c>
      <c r="BD1661" s="27" t="str">
        <f t="shared" si="719"/>
        <v/>
      </c>
      <c r="BE1661" s="27" t="str">
        <f t="shared" si="720"/>
        <v/>
      </c>
      <c r="BF1661" s="27" t="str">
        <f t="shared" si="721"/>
        <v/>
      </c>
      <c r="BG1661" s="27" t="str">
        <f t="shared" si="722"/>
        <v/>
      </c>
      <c r="BH1661" s="27" t="str">
        <f t="shared" si="723"/>
        <v/>
      </c>
      <c r="BI1661" s="27" t="str">
        <f t="shared" si="724"/>
        <v/>
      </c>
      <c r="BJ1661" s="27" t="str">
        <f t="shared" si="725"/>
        <v/>
      </c>
      <c r="BK1661" s="27" t="str">
        <f t="shared" si="726"/>
        <v/>
      </c>
      <c r="BL1661" s="27" t="str">
        <f t="shared" si="727"/>
        <v/>
      </c>
      <c r="BM1661" s="21" t="s">
        <v>5581</v>
      </c>
    </row>
    <row r="1662" spans="1:65" ht="15">
      <c r="A1662" s="25" t="str">
        <f>IFERROR(INDEX('Hun Demand'!W:W,MATCH(O1662,'Hun Demand'!A:A,0)),"")</f>
        <v/>
      </c>
      <c r="B1662" s="25" t="str">
        <f>IFERROR(INDEX('Hun Demand'!V:V,MATCH(O1662,'Hun Demand'!A:A,0)),"")</f>
        <v/>
      </c>
      <c r="C1662" s="25" t="str">
        <f>IFERROR(INDEX('Hun Demand'!U:U,MATCH(O1662,'Hun Demand'!A:A,0)),"")</f>
        <v/>
      </c>
      <c r="D1662" s="25" t="str">
        <f>IFERROR(INDEX('Hun Demand'!T:T,MATCH(O1662,'Hun Demand'!A:A,0)),"")</f>
        <v/>
      </c>
      <c r="E1662" s="25" t="str">
        <f>IFERROR(INDEX('Hun Demand'!S:S,MATCH(O1662,'Hun Demand'!A:A,0)),"")</f>
        <v/>
      </c>
      <c r="F1662" s="25" t="str">
        <f>IFERROR(INDEX('Hun Demand'!R:R,MATCH(O1662,'Hun Demand'!A:A,0)),"")</f>
        <v/>
      </c>
      <c r="G1662" s="25">
        <f>IFERROR(INDEX('Aub Demand'!W:W,MATCH(O1662,'Aub Demand'!A:A,0)),"")</f>
        <v>0</v>
      </c>
      <c r="H1662" s="25">
        <f>IFERROR(INDEX('Aub Demand'!V:V,MATCH(O1662,'Aub Demand'!A:A,0)),"")</f>
        <v>0</v>
      </c>
      <c r="I1662" s="25">
        <f>IFERROR(INDEX('Aub Demand'!U:U,MATCH(O1662,'Aub Demand'!A:A,0)),"")</f>
        <v>0</v>
      </c>
      <c r="J1662" s="25">
        <f>IFERROR(INDEX('Aub Demand'!T:T,MATCH(O1662,'Aub Demand'!A:A,0)),"")</f>
        <v>0</v>
      </c>
      <c r="K1662" s="25">
        <f>IFERROR(INDEX('Aub Demand'!S:S,MATCH(O1662,'Aub Demand'!A:A,0)),"")</f>
        <v>0</v>
      </c>
      <c r="L1662" s="25">
        <f>IFERROR(INDEX('Aub Demand'!R:R,MATCH(O1662,'Aub Demand'!A:A,0)),"")</f>
        <v>0</v>
      </c>
      <c r="O1662" s="27" t="s">
        <v>3186</v>
      </c>
      <c r="P1662" s="27" t="str">
        <f>IFERROR(INDEX('Aub Demand'!B:B,MATCH($O1662,'Aub Demand'!$A:$A,0)),"")</f>
        <v>TAWNY SATINWOOD 60"</v>
      </c>
      <c r="Q1662" s="27" t="str">
        <f>IFERROR(INDEX('Aub Demand'!C:C,MATCH($O1662,'Aub Demand'!$A:$A,0)),"")</f>
        <v>DNP A</v>
      </c>
      <c r="R1662" s="52">
        <f>IFERROR(IF(AR1663=AR1662,INDEX('Aub Demand'!K:K,MATCH($O1662,'Aub Demand'!$A:$A,0))-IF(AN1662="",0,AN1662)+AP1663,INDEX('Aub Demand'!K:K,MATCH($O1662,'Aub Demand'!$A:$A,0))-IF(AN1662="",0,AN1662)),"")</f>
        <v>768</v>
      </c>
      <c r="S1662" s="53" t="str">
        <f t="shared" si="700"/>
        <v>n/a</v>
      </c>
      <c r="T1662" s="52" t="str">
        <f t="shared" si="701"/>
        <v/>
      </c>
      <c r="U1662" s="52">
        <f>IFERROR(IF(AR1663=AR1662,INDEX('Aub Demand'!Q:Q,MATCH($O1662,'Aub Demand'!$A:$A,0))-IF(AN1662="",0,AN1662)+AP1663,INDEX('Aub Demand'!Q:Q,MATCH($O1662,'Aub Demand'!$A:$A,0))-IF(AN1662="",0,AN1662)),"")</f>
        <v>768</v>
      </c>
      <c r="V1662" s="53" t="str">
        <f t="shared" si="702"/>
        <v>n/a</v>
      </c>
      <c r="W1662" s="52" t="str">
        <f t="shared" si="703"/>
        <v/>
      </c>
      <c r="X1662" s="52">
        <f>IFERROR(IF(AND(AR1663=AR1662,AM1662&lt;&gt;""),INDEX('Aub Demand'!Q:Q,MATCH($O1662,'Aub Demand'!$A:$A,0))-IF(AN1662="",0,AN1662)+AP1663+AD1662+AL1662,IF(AR1663=AR1662,INDEX('Aub Demand'!Q:Q,MATCH($O1662,'Aub Demand'!$A:$A,0))-IF(AN1662="",0,AN1662)+AP1663+AD1662,IF(AM1662&lt;&gt;"",INDEX('Aub Demand'!Q:Q,MATCH($O1662,'Aub Demand'!$A:$A,0))-IF(AN1662="",0,AN1662)+AD1662+AL1662,INDEX('Aub Demand'!Q:Q,MATCH($O1662,'Aub Demand'!$A:$A,0))-IF(AN1662="",0,AN1662)+AD1662))),"")</f>
        <v>768</v>
      </c>
      <c r="Y1662" s="53" t="str">
        <f t="shared" si="704"/>
        <v>n/a</v>
      </c>
      <c r="Z1662" s="52">
        <f>IF(L1662="","",INDEX('Aub Demand'!H:H,MATCH($O1662,'Aub Demand'!$A:$A,0)))</f>
        <v>0</v>
      </c>
      <c r="AA1662" s="52" t="str">
        <f t="shared" si="705"/>
        <v>-spike-</v>
      </c>
      <c r="AB1662" s="52">
        <f>IFERROR(INDEX('Aub Demand'!L:L,MATCH($O1662,'Aub Demand'!$A:$A,0)),"")</f>
        <v>8</v>
      </c>
      <c r="AC1662" s="52">
        <f>IFERROR(IF(O1662="","",SUMIFS('CPL Mats'!F:F,'CPL Mats'!Q:Q,AR1662,'CPL Mats'!S:S,AS1662)),"")</f>
        <v>0</v>
      </c>
      <c r="AF1662" s="25" t="str">
        <f>IF(SUMIFS('Supp Consol'!S:S,'Supp Consol'!Y:Y,"Releasable",'Supp Consol'!A:A,O1662)=0,"",SUMIFS('Supp Consol'!S:S,'Supp Consol'!Y:Y,"Releasable",'Supp Consol'!A:A,O1662))</f>
        <v/>
      </c>
      <c r="AG1662" s="25" t="str">
        <f>IFERROR(INDEX('Hun Demand'!Q:Q,MATCH(O1662,'Hun Demand'!A:A,0)),"")</f>
        <v/>
      </c>
      <c r="AH1662" s="25" t="str">
        <f>IFERROR(INDEX('Hun Demand'!H:H,MATCH($O1662,'Hun Demand'!$A:$A,0)),"")</f>
        <v/>
      </c>
      <c r="AI1662" s="25" t="str">
        <f>IF(SUMIFS('Supp Consol'!AA:AA,'Supp Consol'!Z:Z,"Expires this month",'Supp Consol'!A:A,O1662)=0,"",SUMIFS('Supp Consol'!AA:AA,'Supp Consol'!Z:Z,"Expires this month",'Supp Consol'!A:A,O1662))</f>
        <v/>
      </c>
      <c r="AJ1662" s="25" t="str">
        <f>IF(SUMIFS('Supp Consol'!AA:AA,'Supp Consol'!Z:Z,"Expired Previous Months",'Supp Consol'!A:A,O1662)=0,"",SUMIFS('Supp Consol'!AA:AA,'Supp Consol'!Z:Z,"Expired Previous Months",'Supp Consol'!A:A,O1662))</f>
        <v/>
      </c>
      <c r="AK1662" s="25" t="str">
        <f>IFERROR(INDEX('Hun Release Current'!B:B,MATCH(O1662,'Hun Release Current'!A:A,0)),"")</f>
        <v/>
      </c>
      <c r="AL1662" s="25" t="str">
        <f>IF(SUMIF('Prev Aub'!A:A,O1662,'Prev Aub'!B:B)=0,"",SUMIF('Prev Aub'!A:A,O1662,'Prev Aub'!B:B))</f>
        <v/>
      </c>
      <c r="AN1662" s="25" t="s">
        <v>3790</v>
      </c>
      <c r="AO1662" s="25" t="s">
        <v>3790</v>
      </c>
      <c r="AP1662" s="25">
        <f t="shared" si="706"/>
        <v>0</v>
      </c>
      <c r="AQ1662" s="151" t="str">
        <f>IF(SUMIFS('Supp Consol'!S:S,'Supp Consol'!A:A,O1662,'Supp Consol'!I:I,"PENDING")=0,"",SUMIFS('Supp Consol'!S:S,'Supp Consol'!A:A,O1662,'Supp Consol'!I:I,"PENDING"))</f>
        <v/>
      </c>
      <c r="AR1662" s="27" t="str">
        <f t="shared" si="707"/>
        <v>WZ003</v>
      </c>
      <c r="AS1662" s="27" t="str">
        <f t="shared" si="708"/>
        <v>62</v>
      </c>
      <c r="AT1662" s="27" t="str">
        <f t="shared" si="709"/>
        <v/>
      </c>
      <c r="AU1662" s="27" t="str">
        <f t="shared" si="710"/>
        <v/>
      </c>
      <c r="AV1662" s="27" t="str">
        <f t="shared" si="711"/>
        <v/>
      </c>
      <c r="AW1662" s="27" t="str">
        <f t="shared" si="712"/>
        <v/>
      </c>
      <c r="AX1662" s="27" t="str">
        <f t="shared" si="713"/>
        <v/>
      </c>
      <c r="AY1662" s="27" t="str">
        <f t="shared" si="714"/>
        <v/>
      </c>
      <c r="AZ1662" s="27" t="str">
        <f t="shared" si="715"/>
        <v/>
      </c>
      <c r="BA1662" s="27" t="str">
        <f t="shared" si="716"/>
        <v/>
      </c>
      <c r="BB1662" s="27" t="str">
        <f t="shared" si="717"/>
        <v/>
      </c>
      <c r="BC1662" s="27" t="str">
        <f t="shared" si="718"/>
        <v/>
      </c>
      <c r="BD1662" s="27" t="str">
        <f t="shared" si="719"/>
        <v/>
      </c>
      <c r="BE1662" s="27" t="str">
        <f t="shared" si="720"/>
        <v/>
      </c>
      <c r="BF1662" s="27" t="str">
        <f t="shared" si="721"/>
        <v/>
      </c>
      <c r="BG1662" s="27" t="str">
        <f t="shared" si="722"/>
        <v/>
      </c>
      <c r="BH1662" s="27" t="str">
        <f t="shared" si="723"/>
        <v/>
      </c>
      <c r="BI1662" s="27" t="str">
        <f t="shared" si="724"/>
        <v/>
      </c>
      <c r="BJ1662" s="27" t="str">
        <f t="shared" si="725"/>
        <v/>
      </c>
      <c r="BK1662" s="27" t="str">
        <f t="shared" si="726"/>
        <v/>
      </c>
      <c r="BL1662" s="27" t="str">
        <f t="shared" si="727"/>
        <v/>
      </c>
      <c r="BM1662" s="21" t="s">
        <v>5581</v>
      </c>
    </row>
    <row r="1663" spans="1:65" ht="15">
      <c r="A1663" s="25">
        <f>IFERROR(INDEX('Hun Demand'!W:W,MATCH(O1663,'Hun Demand'!A:A,0)),"")</f>
        <v>0</v>
      </c>
      <c r="B1663" s="25">
        <f>IFERROR(INDEX('Hun Demand'!V:V,MATCH(O1663,'Hun Demand'!A:A,0)),"")</f>
        <v>0</v>
      </c>
      <c r="C1663" s="25">
        <f>IFERROR(INDEX('Hun Demand'!U:U,MATCH(O1663,'Hun Demand'!A:A,0)),"")</f>
        <v>0</v>
      </c>
      <c r="D1663" s="25">
        <f>IFERROR(INDEX('Hun Demand'!T:T,MATCH(O1663,'Hun Demand'!A:A,0)),"")</f>
        <v>0</v>
      </c>
      <c r="E1663" s="25">
        <f>IFERROR(INDEX('Hun Demand'!S:S,MATCH(O1663,'Hun Demand'!A:A,0)),"")</f>
        <v>111</v>
      </c>
      <c r="F1663" s="25">
        <f>IFERROR(INDEX('Hun Demand'!R:R,MATCH(O1663,'Hun Demand'!A:A,0)),"")</f>
        <v>0</v>
      </c>
      <c r="G1663" s="25">
        <f>IFERROR(INDEX('Aub Demand'!W:W,MATCH(O1663,'Aub Demand'!A:A,0)),"")</f>
        <v>177</v>
      </c>
      <c r="H1663" s="25">
        <f>IFERROR(INDEX('Aub Demand'!V:V,MATCH(O1663,'Aub Demand'!A:A,0)),"")</f>
        <v>360</v>
      </c>
      <c r="I1663" s="25">
        <f>IFERROR(INDEX('Aub Demand'!U:U,MATCH(O1663,'Aub Demand'!A:A,0)),"")</f>
        <v>180</v>
      </c>
      <c r="J1663" s="25">
        <f>IFERROR(INDEX('Aub Demand'!T:T,MATCH(O1663,'Aub Demand'!A:A,0)),"")</f>
        <v>181</v>
      </c>
      <c r="K1663" s="25">
        <f>IFERROR(INDEX('Aub Demand'!S:S,MATCH(O1663,'Aub Demand'!A:A,0)),"")</f>
        <v>15</v>
      </c>
      <c r="L1663" s="25">
        <f>IFERROR(INDEX('Aub Demand'!R:R,MATCH(O1663,'Aub Demand'!A:A,0)),"")</f>
        <v>0</v>
      </c>
      <c r="O1663" s="27" t="s">
        <v>3188</v>
      </c>
      <c r="P1663" s="27" t="str">
        <f>IFERROR(INDEX('Aub Demand'!B:B,MATCH($O1663,'Aub Demand'!$A:$A,0)),"")</f>
        <v>RECON OAK</v>
      </c>
      <c r="Q1663" s="27" t="str">
        <f>IFERROR(INDEX('Aub Demand'!C:C,MATCH($O1663,'Aub Demand'!$A:$A,0)),"")</f>
        <v>PANOL</v>
      </c>
      <c r="R1663" s="52">
        <f>IFERROR(IF(AR1664=AR1663,INDEX('Aub Demand'!K:K,MATCH($O1663,'Aub Demand'!$A:$A,0))-IF(AN1663="",0,AN1663)+AP1664,INDEX('Aub Demand'!K:K,MATCH($O1663,'Aub Demand'!$A:$A,0))-IF(AN1663="",0,AN1663)),"")</f>
        <v>172</v>
      </c>
      <c r="S1663" s="53">
        <f t="shared" si="700"/>
        <v>5.9</v>
      </c>
      <c r="T1663" s="52" t="str">
        <f t="shared" si="701"/>
        <v/>
      </c>
      <c r="U1663" s="52">
        <f>IFERROR(IF(AR1664=AR1663,INDEX('Aub Demand'!Q:Q,MATCH($O1663,'Aub Demand'!$A:$A,0))-IF(AN1663="",0,AN1663)+AP1664,INDEX('Aub Demand'!Q:Q,MATCH($O1663,'Aub Demand'!$A:$A,0))-IF(AN1663="",0,AN1663)),"")</f>
        <v>144</v>
      </c>
      <c r="V1663" s="53">
        <f t="shared" si="702"/>
        <v>4.9000000000000004</v>
      </c>
      <c r="W1663" s="52" t="str">
        <f t="shared" si="703"/>
        <v/>
      </c>
      <c r="X1663" s="52">
        <f>IFERROR(IF(AND(AR1664=AR1663,AM1663&lt;&gt;""),INDEX('Aub Demand'!Q:Q,MATCH($O1663,'Aub Demand'!$A:$A,0))-IF(AN1663="",0,AN1663)+AP1664+AD1663+AL1663,IF(AR1664=AR1663,INDEX('Aub Demand'!Q:Q,MATCH($O1663,'Aub Demand'!$A:$A,0))-IF(AN1663="",0,AN1663)+AP1664+AD1663,IF(AM1663&lt;&gt;"",INDEX('Aub Demand'!Q:Q,MATCH($O1663,'Aub Demand'!$A:$A,0))-IF(AN1663="",0,AN1663)+AD1663+AL1663,INDEX('Aub Demand'!Q:Q,MATCH($O1663,'Aub Demand'!$A:$A,0))-IF(AN1663="",0,AN1663)+AD1663))),"")</f>
        <v>144</v>
      </c>
      <c r="Y1663" s="53">
        <f t="shared" si="704"/>
        <v>4.9000000000000004</v>
      </c>
      <c r="Z1663" s="52">
        <f>IF(L1663="","",INDEX('Aub Demand'!H:H,MATCH($O1663,'Aub Demand'!$A:$A,0)))</f>
        <v>125</v>
      </c>
      <c r="AA1663" s="52">
        <f t="shared" si="705"/>
        <v>180.5</v>
      </c>
      <c r="AB1663" s="52">
        <f>IFERROR(INDEX('Aub Demand'!L:L,MATCH($O1663,'Aub Demand'!$A:$A,0)),"")</f>
        <v>70</v>
      </c>
      <c r="AC1663" s="52">
        <f>IFERROR(IF(O1663="","",SUMIFS('CPL Mats'!F:F,'CPL Mats'!Q:Q,AR1663,'CPL Mats'!S:S,AS1663)),"")</f>
        <v>0</v>
      </c>
      <c r="AF1663" s="25" t="str">
        <f>IF(SUMIFS('Supp Consol'!S:S,'Supp Consol'!Y:Y,"Releasable",'Supp Consol'!A:A,O1663)=0,"",SUMIFS('Supp Consol'!S:S,'Supp Consol'!Y:Y,"Releasable",'Supp Consol'!A:A,O1663))</f>
        <v/>
      </c>
      <c r="AG1663" s="25">
        <f>IFERROR(INDEX('Hun Demand'!Q:Q,MATCH(O1663,'Hun Demand'!A:A,0)),"")</f>
        <v>0</v>
      </c>
      <c r="AH1663" s="25">
        <f>IFERROR(INDEX('Hun Demand'!H:H,MATCH($O1663,'Hun Demand'!$A:$A,0)),"")</f>
        <v>37</v>
      </c>
      <c r="AI1663" s="25" t="str">
        <f>IF(SUMIFS('Supp Consol'!AA:AA,'Supp Consol'!Z:Z,"Expires this month",'Supp Consol'!A:A,O1663)=0,"",SUMIFS('Supp Consol'!AA:AA,'Supp Consol'!Z:Z,"Expires this month",'Supp Consol'!A:A,O1663))</f>
        <v/>
      </c>
      <c r="AJ1663" s="25" t="str">
        <f>IF(SUMIFS('Supp Consol'!AA:AA,'Supp Consol'!Z:Z,"Expired Previous Months",'Supp Consol'!A:A,O1663)=0,"",SUMIFS('Supp Consol'!AA:AA,'Supp Consol'!Z:Z,"Expired Previous Months",'Supp Consol'!A:A,O1663))</f>
        <v/>
      </c>
      <c r="AK1663" s="25" t="str">
        <f>IFERROR(INDEX('Hun Release Current'!B:B,MATCH(O1663,'Hun Release Current'!A:A,0)),"")</f>
        <v/>
      </c>
      <c r="AL1663" s="25" t="str">
        <f>IF(SUMIF('Prev Aub'!A:A,O1663,'Prev Aub'!B:B)=0,"",SUMIF('Prev Aub'!A:A,O1663,'Prev Aub'!B:B))</f>
        <v/>
      </c>
      <c r="AN1663" s="25" t="s">
        <v>3790</v>
      </c>
      <c r="AO1663" s="25" t="s">
        <v>3790</v>
      </c>
      <c r="AP1663" s="25">
        <f t="shared" si="706"/>
        <v>0</v>
      </c>
      <c r="AQ1663" s="151" t="str">
        <f>IF(SUMIFS('Supp Consol'!S:S,'Supp Consol'!A:A,O1663,'Supp Consol'!I:I,"PENDING")=0,"",SUMIFS('Supp Consol'!S:S,'Supp Consol'!A:A,O1663,'Supp Consol'!I:I,"PENDING"))</f>
        <v/>
      </c>
      <c r="AR1663" s="27" t="str">
        <f t="shared" si="707"/>
        <v>WZ005</v>
      </c>
      <c r="AS1663" s="27" t="str">
        <f t="shared" si="708"/>
        <v>50</v>
      </c>
      <c r="AT1663" s="27" t="str">
        <f t="shared" si="709"/>
        <v/>
      </c>
      <c r="AU1663" s="27" t="str">
        <f t="shared" si="710"/>
        <v/>
      </c>
      <c r="AV1663" s="27" t="str">
        <f t="shared" si="711"/>
        <v/>
      </c>
      <c r="AW1663" s="27" t="str">
        <f t="shared" si="712"/>
        <v/>
      </c>
      <c r="AX1663" s="27" t="str">
        <f t="shared" si="713"/>
        <v/>
      </c>
      <c r="AY1663" s="27" t="str">
        <f t="shared" si="714"/>
        <v/>
      </c>
      <c r="AZ1663" s="27" t="str">
        <f t="shared" si="715"/>
        <v/>
      </c>
      <c r="BA1663" s="27" t="str">
        <f t="shared" si="716"/>
        <v>Hun</v>
      </c>
      <c r="BB1663" s="27" t="str">
        <f t="shared" si="717"/>
        <v/>
      </c>
      <c r="BC1663" s="27" t="str">
        <f t="shared" si="718"/>
        <v/>
      </c>
      <c r="BD1663" s="27" t="str">
        <f t="shared" si="719"/>
        <v/>
      </c>
      <c r="BE1663" s="27" t="str">
        <f t="shared" si="720"/>
        <v/>
      </c>
      <c r="BF1663" s="27" t="str">
        <f t="shared" si="721"/>
        <v/>
      </c>
      <c r="BG1663" s="27" t="str">
        <f t="shared" si="722"/>
        <v/>
      </c>
      <c r="BH1663" s="27" t="str">
        <f t="shared" si="723"/>
        <v/>
      </c>
      <c r="BI1663" s="27" t="str">
        <f t="shared" si="724"/>
        <v/>
      </c>
      <c r="BJ1663" s="27" t="str">
        <f t="shared" si="725"/>
        <v>Supp or Hun</v>
      </c>
      <c r="BK1663" s="27" t="str">
        <f t="shared" si="726"/>
        <v/>
      </c>
      <c r="BL1663" s="27" t="str">
        <f t="shared" si="727"/>
        <v/>
      </c>
      <c r="BM1663" s="21" t="s">
        <v>5581</v>
      </c>
    </row>
    <row r="1664" spans="1:65" ht="15">
      <c r="A1664" s="25">
        <f>IFERROR(INDEX('Hun Demand'!W:W,MATCH(O1664,'Hun Demand'!A:A,0)),"")</f>
        <v>0</v>
      </c>
      <c r="B1664" s="25">
        <f>IFERROR(INDEX('Hun Demand'!V:V,MATCH(O1664,'Hun Demand'!A:A,0)),"")</f>
        <v>0</v>
      </c>
      <c r="C1664" s="25">
        <f>IFERROR(INDEX('Hun Demand'!U:U,MATCH(O1664,'Hun Demand'!A:A,0)),"")</f>
        <v>0</v>
      </c>
      <c r="D1664" s="25">
        <f>IFERROR(INDEX('Hun Demand'!T:T,MATCH(O1664,'Hun Demand'!A:A,0)),"")</f>
        <v>0</v>
      </c>
      <c r="E1664" s="25">
        <f>IFERROR(INDEX('Hun Demand'!S:S,MATCH(O1664,'Hun Demand'!A:A,0)),"")</f>
        <v>0</v>
      </c>
      <c r="F1664" s="25">
        <f>IFERROR(INDEX('Hun Demand'!R:R,MATCH(O1664,'Hun Demand'!A:A,0)),"")</f>
        <v>0</v>
      </c>
      <c r="G1664" s="25">
        <f>IFERROR(INDEX('Aub Demand'!W:W,MATCH(O1664,'Aub Demand'!A:A,0)),"")</f>
        <v>99</v>
      </c>
      <c r="H1664" s="25">
        <f>IFERROR(INDEX('Aub Demand'!V:V,MATCH(O1664,'Aub Demand'!A:A,0)),"")</f>
        <v>86</v>
      </c>
      <c r="I1664" s="25">
        <f>IFERROR(INDEX('Aub Demand'!U:U,MATCH(O1664,'Aub Demand'!A:A,0)),"")</f>
        <v>0</v>
      </c>
      <c r="J1664" s="25">
        <f>IFERROR(INDEX('Aub Demand'!T:T,MATCH(O1664,'Aub Demand'!A:A,0)),"")</f>
        <v>107</v>
      </c>
      <c r="K1664" s="25">
        <f>IFERROR(INDEX('Aub Demand'!S:S,MATCH(O1664,'Aub Demand'!A:A,0)),"")</f>
        <v>0</v>
      </c>
      <c r="L1664" s="25">
        <f>IFERROR(INDEX('Aub Demand'!R:R,MATCH(O1664,'Aub Demand'!A:A,0)),"")</f>
        <v>0</v>
      </c>
      <c r="O1664" s="27" t="s">
        <v>3191</v>
      </c>
      <c r="P1664" s="27" t="str">
        <f>IFERROR(INDEX('Aub Demand'!B:B,MATCH($O1664,'Aub Demand'!$A:$A,0)),"")</f>
        <v>RECON OAK</v>
      </c>
      <c r="Q1664" s="27" t="str">
        <f>IFERROR(INDEX('Aub Demand'!C:C,MATCH($O1664,'Aub Demand'!$A:$A,0)),"")</f>
        <v>TOPPA</v>
      </c>
      <c r="R1664" s="52">
        <f>IFERROR(IF(AR1665=AR1664,INDEX('Aub Demand'!K:K,MATCH($O1664,'Aub Demand'!$A:$A,0))-IF(AN1664="",0,AN1664)+AP1665,INDEX('Aub Demand'!K:K,MATCH($O1664,'Aub Demand'!$A:$A,0))-IF(AN1664="",0,AN1664)),"")</f>
        <v>1138</v>
      </c>
      <c r="S1664" s="53">
        <f t="shared" si="700"/>
        <v>135.5</v>
      </c>
      <c r="T1664" s="52" t="str">
        <f t="shared" si="701"/>
        <v/>
      </c>
      <c r="U1664" s="52">
        <f>IFERROR(IF(AR1665=AR1664,INDEX('Aub Demand'!Q:Q,MATCH($O1664,'Aub Demand'!$A:$A,0))-IF(AN1664="",0,AN1664)+AP1665,INDEX('Aub Demand'!Q:Q,MATCH($O1664,'Aub Demand'!$A:$A,0))-IF(AN1664="",0,AN1664)),"")</f>
        <v>1118</v>
      </c>
      <c r="V1664" s="53">
        <f t="shared" si="702"/>
        <v>133.1</v>
      </c>
      <c r="W1664" s="52" t="str">
        <f t="shared" si="703"/>
        <v/>
      </c>
      <c r="X1664" s="52">
        <f>IFERROR(IF(AND(AR1665=AR1664,AM1664&lt;&gt;""),INDEX('Aub Demand'!Q:Q,MATCH($O1664,'Aub Demand'!$A:$A,0))-IF(AN1664="",0,AN1664)+AP1665+AD1664+AL1664,IF(AR1665=AR1664,INDEX('Aub Demand'!Q:Q,MATCH($O1664,'Aub Demand'!$A:$A,0))-IF(AN1664="",0,AN1664)+AP1665+AD1664,IF(AM1664&lt;&gt;"",INDEX('Aub Demand'!Q:Q,MATCH($O1664,'Aub Demand'!$A:$A,0))-IF(AN1664="",0,AN1664)+AD1664+AL1664,INDEX('Aub Demand'!Q:Q,MATCH($O1664,'Aub Demand'!$A:$A,0))-IF(AN1664="",0,AN1664)+AD1664))),"")</f>
        <v>1118</v>
      </c>
      <c r="Y1664" s="53">
        <f t="shared" si="704"/>
        <v>133.1</v>
      </c>
      <c r="Z1664" s="52">
        <f>IF(L1664="","",INDEX('Aub Demand'!H:H,MATCH($O1664,'Aub Demand'!$A:$A,0)))</f>
        <v>36</v>
      </c>
      <c r="AA1664" s="52" t="str">
        <f t="shared" si="705"/>
        <v>-spike-</v>
      </c>
      <c r="AB1664" s="52">
        <f>IFERROR(INDEX('Aub Demand'!L:L,MATCH($O1664,'Aub Demand'!$A:$A,0)),"")</f>
        <v>64</v>
      </c>
      <c r="AC1664" s="52">
        <f>IFERROR(IF(O1664="","",SUMIFS('CPL Mats'!F:F,'CPL Mats'!Q:Q,AR1664,'CPL Mats'!S:S,AS1664)),"")</f>
        <v>0</v>
      </c>
      <c r="AF1664" s="25" t="str">
        <f>IF(SUMIFS('Supp Consol'!S:S,'Supp Consol'!Y:Y,"Releasable",'Supp Consol'!A:A,O1664)=0,"",SUMIFS('Supp Consol'!S:S,'Supp Consol'!Y:Y,"Releasable",'Supp Consol'!A:A,O1664))</f>
        <v/>
      </c>
      <c r="AG1664" s="25">
        <f>IFERROR(INDEX('Hun Demand'!Q:Q,MATCH(O1664,'Hun Demand'!A:A,0)),"")</f>
        <v>340</v>
      </c>
      <c r="AH1664" s="25">
        <f>IFERROR(INDEX('Hun Demand'!H:H,MATCH($O1664,'Hun Demand'!$A:$A,0)),"")</f>
        <v>0</v>
      </c>
      <c r="AI1664" s="25" t="str">
        <f>IF(SUMIFS('Supp Consol'!AA:AA,'Supp Consol'!Z:Z,"Expires this month",'Supp Consol'!A:A,O1664)=0,"",SUMIFS('Supp Consol'!AA:AA,'Supp Consol'!Z:Z,"Expires this month",'Supp Consol'!A:A,O1664))</f>
        <v/>
      </c>
      <c r="AJ1664" s="25" t="str">
        <f>IF(SUMIFS('Supp Consol'!AA:AA,'Supp Consol'!Z:Z,"Expired Previous Months",'Supp Consol'!A:A,O1664)=0,"",SUMIFS('Supp Consol'!AA:AA,'Supp Consol'!Z:Z,"Expired Previous Months",'Supp Consol'!A:A,O1664))</f>
        <v/>
      </c>
      <c r="AK1664" s="25" t="str">
        <f>IFERROR(INDEX('Hun Release Current'!B:B,MATCH(O1664,'Hun Release Current'!A:A,0)),"")</f>
        <v/>
      </c>
      <c r="AL1664" s="25" t="str">
        <f>IF(SUMIF('Prev Aub'!A:A,O1664,'Prev Aub'!B:B)=0,"",SUMIF('Prev Aub'!A:A,O1664,'Prev Aub'!B:B))</f>
        <v/>
      </c>
      <c r="AN1664" s="25" t="s">
        <v>3790</v>
      </c>
      <c r="AO1664" s="25" t="s">
        <v>3790</v>
      </c>
      <c r="AP1664" s="25">
        <f t="shared" si="706"/>
        <v>0</v>
      </c>
      <c r="AQ1664" s="151" t="str">
        <f>IF(SUMIFS('Supp Consol'!S:S,'Supp Consol'!A:A,O1664,'Supp Consol'!I:I,"PENDING")=0,"",SUMIFS('Supp Consol'!S:S,'Supp Consol'!A:A,O1664,'Supp Consol'!I:I,"PENDING"))</f>
        <v/>
      </c>
      <c r="AR1664" s="27" t="str">
        <f t="shared" si="707"/>
        <v>WZ005</v>
      </c>
      <c r="AS1664" s="27" t="str">
        <f t="shared" si="708"/>
        <v>62</v>
      </c>
      <c r="AT1664" s="27" t="str">
        <f t="shared" si="709"/>
        <v/>
      </c>
      <c r="AU1664" s="27" t="str">
        <f t="shared" si="710"/>
        <v/>
      </c>
      <c r="AV1664" s="27" t="str">
        <f t="shared" si="711"/>
        <v/>
      </c>
      <c r="AW1664" s="27" t="str">
        <f t="shared" si="712"/>
        <v/>
      </c>
      <c r="AX1664" s="27" t="str">
        <f t="shared" si="713"/>
        <v/>
      </c>
      <c r="AY1664" s="27" t="str">
        <f t="shared" si="714"/>
        <v>WZ005</v>
      </c>
      <c r="AZ1664" s="27" t="str">
        <f t="shared" si="715"/>
        <v/>
      </c>
      <c r="BA1664" s="27" t="str">
        <f t="shared" si="716"/>
        <v>Hun</v>
      </c>
      <c r="BB1664" s="27" t="str">
        <f t="shared" si="717"/>
        <v/>
      </c>
      <c r="BC1664" s="27" t="str">
        <f t="shared" si="718"/>
        <v/>
      </c>
      <c r="BD1664" s="27" t="str">
        <f t="shared" si="719"/>
        <v/>
      </c>
      <c r="BE1664" s="27" t="str">
        <f t="shared" si="720"/>
        <v/>
      </c>
      <c r="BF1664" s="27" t="str">
        <f t="shared" si="721"/>
        <v/>
      </c>
      <c r="BG1664" s="27" t="str">
        <f t="shared" si="722"/>
        <v/>
      </c>
      <c r="BH1664" s="27" t="str">
        <f t="shared" si="723"/>
        <v/>
      </c>
      <c r="BI1664" s="27" t="str">
        <f t="shared" si="724"/>
        <v/>
      </c>
      <c r="BJ1664" s="27" t="str">
        <f t="shared" si="725"/>
        <v>Supp or Hun</v>
      </c>
      <c r="BK1664" s="27" t="str">
        <f t="shared" si="726"/>
        <v/>
      </c>
      <c r="BL1664" s="27" t="str">
        <f t="shared" si="727"/>
        <v/>
      </c>
      <c r="BM1664" s="21" t="s">
        <v>5581</v>
      </c>
    </row>
    <row r="1665" spans="1:65" ht="15">
      <c r="A1665" s="25" t="str">
        <f>IFERROR(INDEX('Hun Demand'!W:W,MATCH(O1665,'Hun Demand'!A:A,0)),"")</f>
        <v/>
      </c>
      <c r="B1665" s="25" t="str">
        <f>IFERROR(INDEX('Hun Demand'!V:V,MATCH(O1665,'Hun Demand'!A:A,0)),"")</f>
        <v/>
      </c>
      <c r="C1665" s="25" t="str">
        <f>IFERROR(INDEX('Hun Demand'!U:U,MATCH(O1665,'Hun Demand'!A:A,0)),"")</f>
        <v/>
      </c>
      <c r="D1665" s="25" t="str">
        <f>IFERROR(INDEX('Hun Demand'!T:T,MATCH(O1665,'Hun Demand'!A:A,0)),"")</f>
        <v/>
      </c>
      <c r="E1665" s="25" t="str">
        <f>IFERROR(INDEX('Hun Demand'!S:S,MATCH(O1665,'Hun Demand'!A:A,0)),"")</f>
        <v/>
      </c>
      <c r="F1665" s="25" t="str">
        <f>IFERROR(INDEX('Hun Demand'!R:R,MATCH(O1665,'Hun Demand'!A:A,0)),"")</f>
        <v/>
      </c>
      <c r="G1665" s="25">
        <f>IFERROR(INDEX('Aub Demand'!W:W,MATCH(O1665,'Aub Demand'!A:A,0)),"")</f>
        <v>82</v>
      </c>
      <c r="H1665" s="25">
        <f>IFERROR(INDEX('Aub Demand'!V:V,MATCH(O1665,'Aub Demand'!A:A,0)),"")</f>
        <v>216</v>
      </c>
      <c r="I1665" s="25">
        <f>IFERROR(INDEX('Aub Demand'!U:U,MATCH(O1665,'Aub Demand'!A:A,0)),"")</f>
        <v>75</v>
      </c>
      <c r="J1665" s="25">
        <f>IFERROR(INDEX('Aub Demand'!T:T,MATCH(O1665,'Aub Demand'!A:A,0)),"")</f>
        <v>113</v>
      </c>
      <c r="K1665" s="25">
        <f>IFERROR(INDEX('Aub Demand'!S:S,MATCH(O1665,'Aub Demand'!A:A,0)),"")</f>
        <v>25</v>
      </c>
      <c r="L1665" s="25">
        <f>IFERROR(INDEX('Aub Demand'!R:R,MATCH(O1665,'Aub Demand'!A:A,0)),"")</f>
        <v>0</v>
      </c>
      <c r="O1665" s="27" t="s">
        <v>3193</v>
      </c>
      <c r="P1665" s="27" t="str">
        <f>IFERROR(INDEX('Aub Demand'!B:B,MATCH($O1665,'Aub Demand'!$A:$A,0)),"")</f>
        <v>ZEBRANO WHITE</v>
      </c>
      <c r="Q1665" s="27" t="str">
        <f>IFERROR(INDEX('Aub Demand'!C:C,MATCH($O1665,'Aub Demand'!$A:$A,0)),"")</f>
        <v>SCHAT</v>
      </c>
      <c r="R1665" s="52">
        <f>IFERROR(IF(AR1666=AR1665,INDEX('Aub Demand'!K:K,MATCH($O1665,'Aub Demand'!$A:$A,0))-IF(AN1665="",0,AN1665)+AP1666,INDEX('Aub Demand'!K:K,MATCH($O1665,'Aub Demand'!$A:$A,0))-IF(AN1665="",0,AN1665)),"")</f>
        <v>1016</v>
      </c>
      <c r="S1665" s="53">
        <f t="shared" si="700"/>
        <v>61.3</v>
      </c>
      <c r="T1665" s="52" t="str">
        <f t="shared" si="701"/>
        <v/>
      </c>
      <c r="U1665" s="52">
        <f>IFERROR(IF(AR1666=AR1665,INDEX('Aub Demand'!Q:Q,MATCH($O1665,'Aub Demand'!$A:$A,0))-IF(AN1665="",0,AN1665)+AP1666,INDEX('Aub Demand'!Q:Q,MATCH($O1665,'Aub Demand'!$A:$A,0))-IF(AN1665="",0,AN1665)),"")</f>
        <v>751</v>
      </c>
      <c r="V1665" s="53">
        <f t="shared" si="702"/>
        <v>45.3</v>
      </c>
      <c r="W1665" s="52" t="str">
        <f t="shared" si="703"/>
        <v/>
      </c>
      <c r="X1665" s="52">
        <f>IFERROR(IF(AND(AR1666=AR1665,AM1665&lt;&gt;""),INDEX('Aub Demand'!Q:Q,MATCH($O1665,'Aub Demand'!$A:$A,0))-IF(AN1665="",0,AN1665)+AP1666+AD1665+AL1665,IF(AR1666=AR1665,INDEX('Aub Demand'!Q:Q,MATCH($O1665,'Aub Demand'!$A:$A,0))-IF(AN1665="",0,AN1665)+AP1666+AD1665,IF(AM1665&lt;&gt;"",INDEX('Aub Demand'!Q:Q,MATCH($O1665,'Aub Demand'!$A:$A,0))-IF(AN1665="",0,AN1665)+AD1665+AL1665,INDEX('Aub Demand'!Q:Q,MATCH($O1665,'Aub Demand'!$A:$A,0))-IF(AN1665="",0,AN1665)+AD1665))),"")</f>
        <v>751</v>
      </c>
      <c r="Y1665" s="53">
        <f t="shared" si="704"/>
        <v>45.3</v>
      </c>
      <c r="Z1665" s="52">
        <f>IF(L1665="","",INDEX('Aub Demand'!H:H,MATCH($O1665,'Aub Demand'!$A:$A,0)))</f>
        <v>71</v>
      </c>
      <c r="AA1665" s="52">
        <f t="shared" si="705"/>
        <v>94</v>
      </c>
      <c r="AB1665" s="52">
        <f>IFERROR(INDEX('Aub Demand'!L:L,MATCH($O1665,'Aub Demand'!$A:$A,0)),"")</f>
        <v>176</v>
      </c>
      <c r="AC1665" s="52">
        <f>IFERROR(IF(O1665="","",SUMIFS('CPL Mats'!F:F,'CPL Mats'!Q:Q,AR1665,'CPL Mats'!S:S,AS1665)),"")</f>
        <v>0</v>
      </c>
      <c r="AF1665" s="25" t="str">
        <f>IF(SUMIFS('Supp Consol'!S:S,'Supp Consol'!Y:Y,"Releasable",'Supp Consol'!A:A,O1665)=0,"",SUMIFS('Supp Consol'!S:S,'Supp Consol'!Y:Y,"Releasable",'Supp Consol'!A:A,O1665))</f>
        <v/>
      </c>
      <c r="AG1665" s="25" t="str">
        <f>IFERROR(INDEX('Hun Demand'!Q:Q,MATCH(O1665,'Hun Demand'!A:A,0)),"")</f>
        <v/>
      </c>
      <c r="AH1665" s="25" t="str">
        <f>IFERROR(INDEX('Hun Demand'!H:H,MATCH($O1665,'Hun Demand'!$A:$A,0)),"")</f>
        <v/>
      </c>
      <c r="AI1665" s="25" t="str">
        <f>IF(SUMIFS('Supp Consol'!AA:AA,'Supp Consol'!Z:Z,"Expires this month",'Supp Consol'!A:A,O1665)=0,"",SUMIFS('Supp Consol'!AA:AA,'Supp Consol'!Z:Z,"Expires this month",'Supp Consol'!A:A,O1665))</f>
        <v/>
      </c>
      <c r="AJ1665" s="25" t="str">
        <f>IF(SUMIFS('Supp Consol'!AA:AA,'Supp Consol'!Z:Z,"Expired Previous Months",'Supp Consol'!A:A,O1665)=0,"",SUMIFS('Supp Consol'!AA:AA,'Supp Consol'!Z:Z,"Expired Previous Months",'Supp Consol'!A:A,O1665))</f>
        <v/>
      </c>
      <c r="AK1665" s="25" t="str">
        <f>IFERROR(INDEX('Hun Release Current'!B:B,MATCH(O1665,'Hun Release Current'!A:A,0)),"")</f>
        <v/>
      </c>
      <c r="AL1665" s="25" t="str">
        <f>IF(SUMIF('Prev Aub'!A:A,O1665,'Prev Aub'!B:B)=0,"",SUMIF('Prev Aub'!A:A,O1665,'Prev Aub'!B:B))</f>
        <v/>
      </c>
      <c r="AN1665" s="25" t="s">
        <v>3790</v>
      </c>
      <c r="AO1665" s="25" t="s">
        <v>3790</v>
      </c>
      <c r="AP1665" s="25">
        <f t="shared" si="706"/>
        <v>0</v>
      </c>
      <c r="AQ1665" s="151" t="str">
        <f>IF(SUMIFS('Supp Consol'!S:S,'Supp Consol'!A:A,O1665,'Supp Consol'!I:I,"PENDING")=0,"",SUMIFS('Supp Consol'!S:S,'Supp Consol'!A:A,O1665,'Supp Consol'!I:I,"PENDING"))</f>
        <v/>
      </c>
      <c r="AR1665" s="27" t="str">
        <f t="shared" si="707"/>
        <v>WZ008</v>
      </c>
      <c r="AS1665" s="27" t="str">
        <f t="shared" si="708"/>
        <v>50</v>
      </c>
      <c r="AT1665" s="27" t="str">
        <f t="shared" si="709"/>
        <v/>
      </c>
      <c r="AU1665" s="27" t="str">
        <f t="shared" si="710"/>
        <v/>
      </c>
      <c r="AV1665" s="27" t="str">
        <f t="shared" si="711"/>
        <v/>
      </c>
      <c r="AW1665" s="27" t="str">
        <f t="shared" si="712"/>
        <v/>
      </c>
      <c r="AX1665" s="27" t="str">
        <f t="shared" si="713"/>
        <v/>
      </c>
      <c r="AY1665" s="27" t="str">
        <f t="shared" si="714"/>
        <v/>
      </c>
      <c r="AZ1665" s="27" t="str">
        <f t="shared" si="715"/>
        <v/>
      </c>
      <c r="BA1665" s="27" t="str">
        <f t="shared" si="716"/>
        <v>Hun</v>
      </c>
      <c r="BB1665" s="27" t="str">
        <f t="shared" si="717"/>
        <v/>
      </c>
      <c r="BC1665" s="27" t="str">
        <f t="shared" si="718"/>
        <v/>
      </c>
      <c r="BD1665" s="27" t="str">
        <f t="shared" si="719"/>
        <v/>
      </c>
      <c r="BE1665" s="27" t="str">
        <f t="shared" si="720"/>
        <v/>
      </c>
      <c r="BF1665" s="27" t="str">
        <f t="shared" si="721"/>
        <v/>
      </c>
      <c r="BG1665" s="27" t="str">
        <f t="shared" si="722"/>
        <v/>
      </c>
      <c r="BH1665" s="27" t="str">
        <f t="shared" si="723"/>
        <v/>
      </c>
      <c r="BI1665" s="27" t="str">
        <f t="shared" si="724"/>
        <v/>
      </c>
      <c r="BJ1665" s="27" t="str">
        <f t="shared" si="725"/>
        <v>Supp or Hun</v>
      </c>
      <c r="BK1665" s="27" t="str">
        <f t="shared" si="726"/>
        <v/>
      </c>
      <c r="BL1665" s="27" t="str">
        <f t="shared" si="727"/>
        <v/>
      </c>
      <c r="BM1665" s="21" t="s">
        <v>5581</v>
      </c>
    </row>
    <row r="1666" spans="1:65" ht="15">
      <c r="A1666" s="25">
        <f>IFERROR(INDEX('Hun Demand'!W:W,MATCH(O1666,'Hun Demand'!A:A,0)),"")</f>
        <v>0</v>
      </c>
      <c r="B1666" s="25">
        <f>IFERROR(INDEX('Hun Demand'!V:V,MATCH(O1666,'Hun Demand'!A:A,0)),"")</f>
        <v>0</v>
      </c>
      <c r="C1666" s="25">
        <f>IFERROR(INDEX('Hun Demand'!U:U,MATCH(O1666,'Hun Demand'!A:A,0)),"")</f>
        <v>0</v>
      </c>
      <c r="D1666" s="25">
        <f>IFERROR(INDEX('Hun Demand'!T:T,MATCH(O1666,'Hun Demand'!A:A,0)),"")</f>
        <v>218</v>
      </c>
      <c r="E1666" s="25">
        <f>IFERROR(INDEX('Hun Demand'!S:S,MATCH(O1666,'Hun Demand'!A:A,0)),"")</f>
        <v>897</v>
      </c>
      <c r="F1666" s="25">
        <f>IFERROR(INDEX('Hun Demand'!R:R,MATCH(O1666,'Hun Demand'!A:A,0)),"")</f>
        <v>0</v>
      </c>
      <c r="G1666" s="25">
        <f>IFERROR(INDEX('Aub Demand'!W:W,MATCH(O1666,'Aub Demand'!A:A,0)),"")</f>
        <v>14</v>
      </c>
      <c r="H1666" s="25">
        <f>IFERROR(INDEX('Aub Demand'!V:V,MATCH(O1666,'Aub Demand'!A:A,0)),"")</f>
        <v>36</v>
      </c>
      <c r="I1666" s="25">
        <f>IFERROR(INDEX('Aub Demand'!U:U,MATCH(O1666,'Aub Demand'!A:A,0)),"")</f>
        <v>77</v>
      </c>
      <c r="J1666" s="25">
        <f>IFERROR(INDEX('Aub Demand'!T:T,MATCH(O1666,'Aub Demand'!A:A,0)),"")</f>
        <v>0</v>
      </c>
      <c r="K1666" s="25">
        <f>IFERROR(INDEX('Aub Demand'!S:S,MATCH(O1666,'Aub Demand'!A:A,0)),"")</f>
        <v>130</v>
      </c>
      <c r="L1666" s="25">
        <f>IFERROR(INDEX('Aub Demand'!R:R,MATCH(O1666,'Aub Demand'!A:A,0)),"")</f>
        <v>0</v>
      </c>
      <c r="O1666" s="27" t="s">
        <v>3195</v>
      </c>
      <c r="P1666" s="27" t="str">
        <f>IFERROR(INDEX('Aub Demand'!B:B,MATCH($O1666,'Aub Demand'!$A:$A,0)),"")</f>
        <v>ZEBRANO WHITE</v>
      </c>
      <c r="Q1666" s="27" t="str">
        <f>IFERROR(INDEX('Aub Demand'!C:C,MATCH($O1666,'Aub Demand'!$A:$A,0)),"")</f>
        <v>SCHAT</v>
      </c>
      <c r="R1666" s="52">
        <f>IFERROR(IF(AR1667=AR1666,INDEX('Aub Demand'!K:K,MATCH($O1666,'Aub Demand'!$A:$A,0))-IF(AN1666="",0,AN1666)+AP1667,INDEX('Aub Demand'!K:K,MATCH($O1666,'Aub Demand'!$A:$A,0))-IF(AN1666="",0,AN1666)),"")</f>
        <v>507</v>
      </c>
      <c r="S1666" s="53">
        <f t="shared" si="700"/>
        <v>31.5</v>
      </c>
      <c r="T1666" s="52" t="str">
        <f t="shared" si="701"/>
        <v/>
      </c>
      <c r="U1666" s="52">
        <f>IFERROR(IF(AR1667=AR1666,INDEX('Aub Demand'!Q:Q,MATCH($O1666,'Aub Demand'!$A:$A,0))-IF(AN1666="",0,AN1666)+AP1667,INDEX('Aub Demand'!Q:Q,MATCH($O1666,'Aub Demand'!$A:$A,0))-IF(AN1666="",0,AN1666)),"")</f>
        <v>324</v>
      </c>
      <c r="V1666" s="53">
        <f t="shared" si="702"/>
        <v>20.100000000000001</v>
      </c>
      <c r="W1666" s="52" t="str">
        <f t="shared" si="703"/>
        <v/>
      </c>
      <c r="X1666" s="52">
        <f>IFERROR(IF(AND(AR1667=AR1666,AM1666&lt;&gt;""),INDEX('Aub Demand'!Q:Q,MATCH($O1666,'Aub Demand'!$A:$A,0))-IF(AN1666="",0,AN1666)+AP1667+AD1666+AL1666,IF(AR1667=AR1666,INDEX('Aub Demand'!Q:Q,MATCH($O1666,'Aub Demand'!$A:$A,0))-IF(AN1666="",0,AN1666)+AP1667+AD1666,IF(AM1666&lt;&gt;"",INDEX('Aub Demand'!Q:Q,MATCH($O1666,'Aub Demand'!$A:$A,0))-IF(AN1666="",0,AN1666)+AD1666+AL1666,INDEX('Aub Demand'!Q:Q,MATCH($O1666,'Aub Demand'!$A:$A,0))-IF(AN1666="",0,AN1666)+AD1666))),"")</f>
        <v>324</v>
      </c>
      <c r="Y1666" s="53">
        <f t="shared" si="704"/>
        <v>20.100000000000001</v>
      </c>
      <c r="Z1666" s="52">
        <f>IF(L1666="","",INDEX('Aub Demand'!H:H,MATCH($O1666,'Aub Demand'!$A:$A,0)))</f>
        <v>69</v>
      </c>
      <c r="AA1666" s="52">
        <f t="shared" si="705"/>
        <v>103.5</v>
      </c>
      <c r="AB1666" s="52">
        <f>IFERROR(INDEX('Aub Demand'!L:L,MATCH($O1666,'Aub Demand'!$A:$A,0)),"")</f>
        <v>0</v>
      </c>
      <c r="AC1666" s="52">
        <f>IFERROR(IF(O1666="","",SUMIFS('CPL Mats'!F:F,'CPL Mats'!Q:Q,AR1666,'CPL Mats'!S:S,AS1666)),"")</f>
        <v>0</v>
      </c>
      <c r="AF1666" s="25" t="str">
        <f>IF(SUMIFS('Supp Consol'!S:S,'Supp Consol'!Y:Y,"Releasable",'Supp Consol'!A:A,O1666)=0,"",SUMIFS('Supp Consol'!S:S,'Supp Consol'!Y:Y,"Releasable",'Supp Consol'!A:A,O1666))</f>
        <v/>
      </c>
      <c r="AG1666" s="25">
        <f>IFERROR(INDEX('Hun Demand'!Q:Q,MATCH(O1666,'Hun Demand'!A:A,0)),"")</f>
        <v>1454</v>
      </c>
      <c r="AH1666" s="25">
        <f>IFERROR(INDEX('Hun Demand'!H:H,MATCH($O1666,'Hun Demand'!$A:$A,0)),"")</f>
        <v>372</v>
      </c>
      <c r="AI1666" s="25" t="str">
        <f>IF(SUMIFS('Supp Consol'!AA:AA,'Supp Consol'!Z:Z,"Expires this month",'Supp Consol'!A:A,O1666)=0,"",SUMIFS('Supp Consol'!AA:AA,'Supp Consol'!Z:Z,"Expires this month",'Supp Consol'!A:A,O1666))</f>
        <v/>
      </c>
      <c r="AJ1666" s="25" t="str">
        <f>IF(SUMIFS('Supp Consol'!AA:AA,'Supp Consol'!Z:Z,"Expired Previous Months",'Supp Consol'!A:A,O1666)=0,"",SUMIFS('Supp Consol'!AA:AA,'Supp Consol'!Z:Z,"Expired Previous Months",'Supp Consol'!A:A,O1666))</f>
        <v/>
      </c>
      <c r="AK1666" s="25" t="str">
        <f>IFERROR(INDEX('Hun Release Current'!B:B,MATCH(O1666,'Hun Release Current'!A:A,0)),"")</f>
        <v/>
      </c>
      <c r="AL1666" s="25" t="str">
        <f>IF(SUMIF('Prev Aub'!A:A,O1666,'Prev Aub'!B:B)=0,"",SUMIF('Prev Aub'!A:A,O1666,'Prev Aub'!B:B))</f>
        <v/>
      </c>
      <c r="AN1666" s="25" t="s">
        <v>3790</v>
      </c>
      <c r="AO1666" s="25" t="s">
        <v>3790</v>
      </c>
      <c r="AP1666" s="25">
        <f t="shared" si="706"/>
        <v>0</v>
      </c>
      <c r="AQ1666" s="151" t="str">
        <f>IF(SUMIFS('Supp Consol'!S:S,'Supp Consol'!A:A,O1666,'Supp Consol'!I:I,"PENDING")=0,"",SUMIFS('Supp Consol'!S:S,'Supp Consol'!A:A,O1666,'Supp Consol'!I:I,"PENDING"))</f>
        <v/>
      </c>
      <c r="AR1666" s="27" t="str">
        <f t="shared" si="707"/>
        <v>WZ008</v>
      </c>
      <c r="AS1666" s="27" t="str">
        <f t="shared" si="708"/>
        <v>62</v>
      </c>
      <c r="AT1666" s="27" t="str">
        <f t="shared" si="709"/>
        <v/>
      </c>
      <c r="AU1666" s="27" t="str">
        <f t="shared" si="710"/>
        <v/>
      </c>
      <c r="AV1666" s="27" t="str">
        <f t="shared" si="711"/>
        <v/>
      </c>
      <c r="AW1666" s="27" t="str">
        <f t="shared" si="712"/>
        <v/>
      </c>
      <c r="AX1666" s="27" t="str">
        <f t="shared" si="713"/>
        <v/>
      </c>
      <c r="AY1666" s="27" t="str">
        <f t="shared" si="714"/>
        <v>WZ008</v>
      </c>
      <c r="AZ1666" s="27" t="str">
        <f t="shared" si="715"/>
        <v/>
      </c>
      <c r="BA1666" s="27" t="str">
        <f t="shared" si="716"/>
        <v>Hun</v>
      </c>
      <c r="BB1666" s="27" t="str">
        <f t="shared" si="717"/>
        <v/>
      </c>
      <c r="BC1666" s="27" t="str">
        <f t="shared" si="718"/>
        <v/>
      </c>
      <c r="BD1666" s="27" t="str">
        <f t="shared" si="719"/>
        <v/>
      </c>
      <c r="BE1666" s="27" t="str">
        <f t="shared" si="720"/>
        <v/>
      </c>
      <c r="BF1666" s="27" t="str">
        <f t="shared" si="721"/>
        <v/>
      </c>
      <c r="BG1666" s="27" t="str">
        <f t="shared" si="722"/>
        <v/>
      </c>
      <c r="BH1666" s="27" t="str">
        <f t="shared" si="723"/>
        <v/>
      </c>
      <c r="BI1666" s="27" t="str">
        <f t="shared" si="724"/>
        <v/>
      </c>
      <c r="BJ1666" s="27" t="str">
        <f t="shared" si="725"/>
        <v>Supp or Hun</v>
      </c>
      <c r="BK1666" s="27" t="str">
        <f t="shared" si="726"/>
        <v/>
      </c>
      <c r="BL1666" s="27" t="str">
        <f t="shared" si="727"/>
        <v/>
      </c>
      <c r="BM1666" s="21" t="s">
        <v>5581</v>
      </c>
    </row>
    <row r="1667" spans="1:65" ht="15">
      <c r="A1667" s="25" t="str">
        <f>IFERROR(INDEX('Hun Demand'!W:W,MATCH(O1667,'Hun Demand'!A:A,0)),"")</f>
        <v/>
      </c>
      <c r="B1667" s="25" t="str">
        <f>IFERROR(INDEX('Hun Demand'!V:V,MATCH(O1667,'Hun Demand'!A:A,0)),"")</f>
        <v/>
      </c>
      <c r="C1667" s="25" t="str">
        <f>IFERROR(INDEX('Hun Demand'!U:U,MATCH(O1667,'Hun Demand'!A:A,0)),"")</f>
        <v/>
      </c>
      <c r="D1667" s="25" t="str">
        <f>IFERROR(INDEX('Hun Demand'!T:T,MATCH(O1667,'Hun Demand'!A:A,0)),"")</f>
        <v/>
      </c>
      <c r="E1667" s="25" t="str">
        <f>IFERROR(INDEX('Hun Demand'!S:S,MATCH(O1667,'Hun Demand'!A:A,0)),"")</f>
        <v/>
      </c>
      <c r="F1667" s="25" t="str">
        <f>IFERROR(INDEX('Hun Demand'!R:R,MATCH(O1667,'Hun Demand'!A:A,0)),"")</f>
        <v/>
      </c>
      <c r="G1667" s="25">
        <f>IFERROR(INDEX('Aub Demand'!W:W,MATCH(O1667,'Aub Demand'!A:A,0)),"")</f>
        <v>21</v>
      </c>
      <c r="H1667" s="25">
        <f>IFERROR(INDEX('Aub Demand'!V:V,MATCH(O1667,'Aub Demand'!A:A,0)),"")</f>
        <v>0</v>
      </c>
      <c r="I1667" s="25">
        <f>IFERROR(INDEX('Aub Demand'!U:U,MATCH(O1667,'Aub Demand'!A:A,0)),"")</f>
        <v>19</v>
      </c>
      <c r="J1667" s="25">
        <f>IFERROR(INDEX('Aub Demand'!T:T,MATCH(O1667,'Aub Demand'!A:A,0)),"")</f>
        <v>40</v>
      </c>
      <c r="K1667" s="25">
        <f>IFERROR(INDEX('Aub Demand'!S:S,MATCH(O1667,'Aub Demand'!A:A,0)),"")</f>
        <v>0</v>
      </c>
      <c r="L1667" s="25">
        <f>IFERROR(INDEX('Aub Demand'!R:R,MATCH(O1667,'Aub Demand'!A:A,0)),"")</f>
        <v>0</v>
      </c>
      <c r="O1667" s="27" t="s">
        <v>3196</v>
      </c>
      <c r="P1667" s="27" t="str">
        <f>IFERROR(INDEX('Aub Demand'!B:B,MATCH($O1667,'Aub Demand'!$A:$A,0)),"")</f>
        <v>GALLOWAY BURL 48"</v>
      </c>
      <c r="Q1667" s="27" t="str">
        <f>IFERROR(INDEX('Aub Demand'!C:C,MATCH($O1667,'Aub Demand'!$A:$A,0)),"")</f>
        <v>DNP A</v>
      </c>
      <c r="R1667" s="52">
        <f>IFERROR(IF(AR1668=AR1667,INDEX('Aub Demand'!K:K,MATCH($O1667,'Aub Demand'!$A:$A,0))-IF(AN1667="",0,AN1667)+AP1668,INDEX('Aub Demand'!K:K,MATCH($O1667,'Aub Demand'!$A:$A,0))-IF(AN1667="",0,AN1667)),"")</f>
        <v>0</v>
      </c>
      <c r="S1667" s="53">
        <f t="shared" ref="S1667:S1730" si="728">IFERROR(IF(O1667="","",ROUND(R1667/((Z1667/30)*7),1)),"n/a")</f>
        <v>0</v>
      </c>
      <c r="T1667" s="52">
        <f t="shared" ref="T1667:T1730" si="729">IFERROR(IF(S1667&lt;3.1,IF(AA1667="spike",(3-S1667)*(Z1667/4),(3-S1667)*(AA1667/4)),""),"")</f>
        <v>22.125</v>
      </c>
      <c r="U1667" s="52">
        <f>IFERROR(IF(AR1668=AR1667,INDEX('Aub Demand'!Q:Q,MATCH($O1667,'Aub Demand'!$A:$A,0))-IF(AN1667="",0,AN1667)+AP1668,INDEX('Aub Demand'!Q:Q,MATCH($O1667,'Aub Demand'!$A:$A,0))-IF(AN1667="",0,AN1667)),"")</f>
        <v>-7</v>
      </c>
      <c r="V1667" s="53">
        <f t="shared" ref="V1667:V1730" si="730">IFERROR(IF(O1667="","",ROUND(U1667/((Z1667/30)*7),1)),"n/a")</f>
        <v>-1.5</v>
      </c>
      <c r="W1667" s="52">
        <f t="shared" ref="W1667:W1730" si="731">IF(IFERROR(IF(V1667&lt;3.1,IF(AA1667="spike",(3-V1667)*(Z1667/4),(3-V1667)*(AA1667/4)),""),"")&lt;0,0,IFERROR(IF(V1667&lt;3.1,IF(AA1667="spike",(3-V1667)*(Z1667/4),(3-V1667)*(AA1667/4)),""),""))</f>
        <v>33.1875</v>
      </c>
      <c r="X1667" s="52">
        <f>IFERROR(IF(AND(AR1668=AR1667,AM1667&lt;&gt;""),INDEX('Aub Demand'!Q:Q,MATCH($O1667,'Aub Demand'!$A:$A,0))-IF(AN1667="",0,AN1667)+AP1668+AD1667+AL1667,IF(AR1668=AR1667,INDEX('Aub Demand'!Q:Q,MATCH($O1667,'Aub Demand'!$A:$A,0))-IF(AN1667="",0,AN1667)+AP1668+AD1667,IF(AM1667&lt;&gt;"",INDEX('Aub Demand'!Q:Q,MATCH($O1667,'Aub Demand'!$A:$A,0))-IF(AN1667="",0,AN1667)+AD1667+AL1667,INDEX('Aub Demand'!Q:Q,MATCH($O1667,'Aub Demand'!$A:$A,0))-IF(AN1667="",0,AN1667)+AD1667))),"")</f>
        <v>-7</v>
      </c>
      <c r="Y1667" s="53">
        <f t="shared" ref="Y1667:Y1730" si="732">IFERROR(IF(O1667="","",ROUND(X1667/((Z1667/30)*7),1)),"n/a")</f>
        <v>-1.5</v>
      </c>
      <c r="Z1667" s="52">
        <f>IF(L1667="","",INDEX('Aub Demand'!H:H,MATCH($O1667,'Aub Demand'!$A:$A,0)))</f>
        <v>20</v>
      </c>
      <c r="AA1667" s="52">
        <f t="shared" ref="AA1667:AA1730" si="733">IF(L1667="","",IF(LARGE(I1667:L1667,2)=0,"-spike-",AVERAGE(LARGE(I1667:L1667,1),LARGE(I1667:L1667,2))))</f>
        <v>29.5</v>
      </c>
      <c r="AB1667" s="52">
        <f>IFERROR(INDEX('Aub Demand'!L:L,MATCH($O1667,'Aub Demand'!$A:$A,0)),"")</f>
        <v>5</v>
      </c>
      <c r="AC1667" s="52">
        <f>IFERROR(IF(O1667="","",SUMIFS('CPL Mats'!F:F,'CPL Mats'!Q:Q,AR1667,'CPL Mats'!S:S,AS1667)),"")</f>
        <v>0</v>
      </c>
      <c r="AF1667" s="25" t="str">
        <f>IF(SUMIFS('Supp Consol'!S:S,'Supp Consol'!Y:Y,"Releasable",'Supp Consol'!A:A,O1667)=0,"",SUMIFS('Supp Consol'!S:S,'Supp Consol'!Y:Y,"Releasable",'Supp Consol'!A:A,O1667))</f>
        <v/>
      </c>
      <c r="AG1667" s="25" t="str">
        <f>IFERROR(INDEX('Hun Demand'!Q:Q,MATCH(O1667,'Hun Demand'!A:A,0)),"")</f>
        <v/>
      </c>
      <c r="AH1667" s="25" t="str">
        <f>IFERROR(INDEX('Hun Demand'!H:H,MATCH($O1667,'Hun Demand'!$A:$A,0)),"")</f>
        <v/>
      </c>
      <c r="AI1667" s="25" t="str">
        <f>IF(SUMIFS('Supp Consol'!AA:AA,'Supp Consol'!Z:Z,"Expires this month",'Supp Consol'!A:A,O1667)=0,"",SUMIFS('Supp Consol'!AA:AA,'Supp Consol'!Z:Z,"Expires this month",'Supp Consol'!A:A,O1667))</f>
        <v/>
      </c>
      <c r="AJ1667" s="25" t="str">
        <f>IF(SUMIFS('Supp Consol'!AA:AA,'Supp Consol'!Z:Z,"Expired Previous Months",'Supp Consol'!A:A,O1667)=0,"",SUMIFS('Supp Consol'!AA:AA,'Supp Consol'!Z:Z,"Expired Previous Months",'Supp Consol'!A:A,O1667))</f>
        <v/>
      </c>
      <c r="AK1667" s="25" t="str">
        <f>IFERROR(INDEX('Hun Release Current'!B:B,MATCH(O1667,'Hun Release Current'!A:A,0)),"")</f>
        <v/>
      </c>
      <c r="AL1667" s="25" t="str">
        <f>IF(SUMIF('Prev Aub'!A:A,O1667,'Prev Aub'!B:B)=0,"",SUMIF('Prev Aub'!A:A,O1667,'Prev Aub'!B:B))</f>
        <v/>
      </c>
      <c r="AN1667" s="25" t="s">
        <v>3790</v>
      </c>
      <c r="AO1667" s="25" t="s">
        <v>3790</v>
      </c>
      <c r="AP1667" s="25">
        <f t="shared" ref="AP1667:AP1730" si="734">IFERROR(IF(O1667="","",IF(AN1667="",0,VALUE(AN1667)-(VALUE(AN1667)*0.2))),"")</f>
        <v>0</v>
      </c>
      <c r="AQ1667" s="151" t="str">
        <f>IF(SUMIFS('Supp Consol'!S:S,'Supp Consol'!A:A,O1667,'Supp Consol'!I:I,"PENDING")=0,"",SUMIFS('Supp Consol'!S:S,'Supp Consol'!A:A,O1667,'Supp Consol'!I:I,"PENDING"))</f>
        <v/>
      </c>
      <c r="AR1667" s="27" t="str">
        <f t="shared" ref="AR1667:AR1730" si="735">MID(O1667,4,5)</f>
        <v>WZ017</v>
      </c>
      <c r="AS1667" s="27" t="str">
        <f t="shared" ref="AS1667:AS1730" si="736">MID(O1667,10,2)</f>
        <v>50</v>
      </c>
      <c r="AT1667" s="27" t="str">
        <f t="shared" ref="AT1667:AT1730" si="737">IF(S1667&lt;3.1,AR1667,"")</f>
        <v>WZ017</v>
      </c>
      <c r="AU1667" s="27" t="str">
        <f t="shared" ref="AU1667:AU1730" si="738">IF(Y1667&lt;3.1,AR1667,"")</f>
        <v>WZ017</v>
      </c>
      <c r="AV1667" s="27" t="str">
        <f t="shared" ref="AV1667:AV1730" si="739">IF(AND(AA1667="Spike",L1667=0,K1667=0,X1667&gt;=0),"",IF(Y1667&lt;3.1,AR1667,""))</f>
        <v>WZ017</v>
      </c>
      <c r="AW1667" s="27" t="str">
        <f t="shared" ref="AW1667:AW1730" si="740">IF(AI1667=AL1667,"",IF(OR(AI1667&lt;&gt;"",AJ1667&lt;&gt;""),AR1667,""))</f>
        <v/>
      </c>
      <c r="AX1667" s="27" t="str">
        <f t="shared" ref="AX1667:AX1730" si="741">IF(AF1667&lt;&gt;"",AR1667,"")</f>
        <v/>
      </c>
      <c r="AY1667" s="27" t="str">
        <f t="shared" ref="AY1667:AY1730" si="742">IF(AND(AG1667&lt;&gt;"",AG1667&gt;AH1667),AR1667,"")</f>
        <v/>
      </c>
      <c r="AZ1667" s="27" t="str">
        <f t="shared" ref="AZ1667:AZ1730" si="743">IFERROR(IF(O1667="","",IF(ISERROR(MATCH(AR1667,AX:AX,0)),"","Supp")),"")</f>
        <v/>
      </c>
      <c r="BA1667" s="27" t="str">
        <f t="shared" ref="BA1667:BA1730" si="744">IFERROR(IF(O1667="","",IF(ISERROR(MATCH(AR1667,AY:AY,0)),"","Hun")),"")</f>
        <v/>
      </c>
      <c r="BB1667" s="27" t="str">
        <f t="shared" ref="BB1667:BB1730" si="745">IFERROR(IF(O1667="","",IF(ISERROR(MATCH(AR1667,AT:AT,0)),"","Gross")),"")</f>
        <v>Gross</v>
      </c>
      <c r="BC1667" s="27" t="str">
        <f t="shared" ref="BC1667:BC1730" si="746">IFERROR(IF(O1667="","",IF(ISERROR(MATCH(AR1667,AU:AU,0)),"","Net")),"")</f>
        <v>Net</v>
      </c>
      <c r="BD1667" s="27" t="str">
        <f t="shared" ref="BD1667:BD1730" si="747">IFERROR(IF(O1667="","",IF(ISERROR(MATCH(AR1667,AV:AV,0)),"","Net")),"")</f>
        <v>Net</v>
      </c>
      <c r="BE1667" s="27" t="str">
        <f t="shared" ref="BE1667:BE1730" si="748">IFERROR(IF(O1667="","",IF(ISERROR(MATCH(AR1667,AW:AW,0)),"","Exp")),"")</f>
        <v/>
      </c>
      <c r="BF1667" s="27" t="str">
        <f t="shared" ref="BF1667:BF1730" si="749">IFERROR(IF(O1667="","",IF(AND(AZ1667="Supp",BC1667="Net"),"S+N","")),"")</f>
        <v/>
      </c>
      <c r="BG1667" s="27" t="str">
        <f t="shared" ref="BG1667:BG1730" si="750">IFERROR(IF(O1667="","",IF(OR(BE1667&lt;&gt;"",BF1667&lt;&gt;""),"S+NorE","")),"")</f>
        <v/>
      </c>
      <c r="BH1667" s="27" t="str">
        <f t="shared" ref="BH1667:BH1730" si="751">IFERROR(IF(O1667="","",IF(AND(BA1667&lt;&gt;"",BC1667&lt;&gt;""),"H+N","")),"")</f>
        <v/>
      </c>
      <c r="BI1667" s="27" t="str">
        <f t="shared" ref="BI1667:BI1730" si="752">IFERROR(IF(O1667="","",IF(AND(BA1667&lt;&gt;"",BD1667&lt;&gt;""),"H+Nex","")),"")</f>
        <v/>
      </c>
      <c r="BJ1667" s="27" t="str">
        <f t="shared" ref="BJ1667:BJ1730" si="753">IF(OR(AZ1667&lt;&gt;"",BA1667&lt;&gt;""),"Supp or Hun","")</f>
        <v/>
      </c>
      <c r="BK1667" s="27" t="str">
        <f t="shared" ref="BK1667:BK1730" si="754">IF(AND(BJ1667&lt;&gt;"",BC1667&lt;&gt;""),"Supp or Hun Need","")</f>
        <v/>
      </c>
      <c r="BL1667" s="27" t="str">
        <f t="shared" ref="BL1667:BL1730" si="755">IF(OR(BK1667&lt;&gt;"",BE1667&lt;&gt;""),"SorHandNandE","")</f>
        <v/>
      </c>
      <c r="BM1667" s="21" t="s">
        <v>5581</v>
      </c>
    </row>
    <row r="1668" spans="1:65" ht="15">
      <c r="A1668" s="25" t="str">
        <f>IFERROR(INDEX('Hun Demand'!W:W,MATCH(O1668,'Hun Demand'!A:A,0)),"")</f>
        <v/>
      </c>
      <c r="B1668" s="25" t="str">
        <f>IFERROR(INDEX('Hun Demand'!V:V,MATCH(O1668,'Hun Demand'!A:A,0)),"")</f>
        <v/>
      </c>
      <c r="C1668" s="25" t="str">
        <f>IFERROR(INDEX('Hun Demand'!U:U,MATCH(O1668,'Hun Demand'!A:A,0)),"")</f>
        <v/>
      </c>
      <c r="D1668" s="25" t="str">
        <f>IFERROR(INDEX('Hun Demand'!T:T,MATCH(O1668,'Hun Demand'!A:A,0)),"")</f>
        <v/>
      </c>
      <c r="E1668" s="25" t="str">
        <f>IFERROR(INDEX('Hun Demand'!S:S,MATCH(O1668,'Hun Demand'!A:A,0)),"")</f>
        <v/>
      </c>
      <c r="F1668" s="25" t="str">
        <f>IFERROR(INDEX('Hun Demand'!R:R,MATCH(O1668,'Hun Demand'!A:A,0)),"")</f>
        <v/>
      </c>
      <c r="G1668" s="25">
        <f>IFERROR(INDEX('Aub Demand'!W:W,MATCH(O1668,'Aub Demand'!A:A,0)),"")</f>
        <v>0</v>
      </c>
      <c r="H1668" s="25">
        <f>IFERROR(INDEX('Aub Demand'!V:V,MATCH(O1668,'Aub Demand'!A:A,0)),"")</f>
        <v>0</v>
      </c>
      <c r="I1668" s="25">
        <f>IFERROR(INDEX('Aub Demand'!U:U,MATCH(O1668,'Aub Demand'!A:A,0)),"")</f>
        <v>0</v>
      </c>
      <c r="J1668" s="25">
        <f>IFERROR(INDEX('Aub Demand'!T:T,MATCH(O1668,'Aub Demand'!A:A,0)),"")</f>
        <v>0</v>
      </c>
      <c r="K1668" s="25">
        <f>IFERROR(INDEX('Aub Demand'!S:S,MATCH(O1668,'Aub Demand'!A:A,0)),"")</f>
        <v>29</v>
      </c>
      <c r="L1668" s="25">
        <f>IFERROR(INDEX('Aub Demand'!R:R,MATCH(O1668,'Aub Demand'!A:A,0)),"")</f>
        <v>0</v>
      </c>
      <c r="O1668" s="27" t="s">
        <v>3198</v>
      </c>
      <c r="P1668" s="27" t="str">
        <f>IFERROR(INDEX('Aub Demand'!B:B,MATCH($O1668,'Aub Demand'!$A:$A,0)),"")</f>
        <v>GALLOWAY BURL 60"</v>
      </c>
      <c r="Q1668" s="27" t="str">
        <f>IFERROR(INDEX('Aub Demand'!C:C,MATCH($O1668,'Aub Demand'!$A:$A,0)),"")</f>
        <v>DNP A</v>
      </c>
      <c r="R1668" s="52">
        <f>IFERROR(IF(AR1669=AR1668,INDEX('Aub Demand'!K:K,MATCH($O1668,'Aub Demand'!$A:$A,0))-IF(AN1668="",0,AN1668)+AP1669,INDEX('Aub Demand'!K:K,MATCH($O1668,'Aub Demand'!$A:$A,0))-IF(AN1668="",0,AN1668)),"")</f>
        <v>183</v>
      </c>
      <c r="S1668" s="53">
        <f t="shared" si="728"/>
        <v>78.400000000000006</v>
      </c>
      <c r="T1668" s="52" t="str">
        <f t="shared" si="729"/>
        <v/>
      </c>
      <c r="U1668" s="52">
        <f>IFERROR(IF(AR1669=AR1668,INDEX('Aub Demand'!Q:Q,MATCH($O1668,'Aub Demand'!$A:$A,0))-IF(AN1668="",0,AN1668)+AP1669,INDEX('Aub Demand'!Q:Q,MATCH($O1668,'Aub Demand'!$A:$A,0))-IF(AN1668="",0,AN1668)),"")</f>
        <v>170</v>
      </c>
      <c r="V1668" s="53">
        <f t="shared" si="730"/>
        <v>72.900000000000006</v>
      </c>
      <c r="W1668" s="52" t="str">
        <f t="shared" si="731"/>
        <v/>
      </c>
      <c r="X1668" s="52">
        <f>IFERROR(IF(AND(AR1669=AR1668,AM1668&lt;&gt;""),INDEX('Aub Demand'!Q:Q,MATCH($O1668,'Aub Demand'!$A:$A,0))-IF(AN1668="",0,AN1668)+AP1669+AD1668+AL1668,IF(AR1669=AR1668,INDEX('Aub Demand'!Q:Q,MATCH($O1668,'Aub Demand'!$A:$A,0))-IF(AN1668="",0,AN1668)+AP1669+AD1668,IF(AM1668&lt;&gt;"",INDEX('Aub Demand'!Q:Q,MATCH($O1668,'Aub Demand'!$A:$A,0))-IF(AN1668="",0,AN1668)+AD1668+AL1668,INDEX('Aub Demand'!Q:Q,MATCH($O1668,'Aub Demand'!$A:$A,0))-IF(AN1668="",0,AN1668)+AD1668))),"")</f>
        <v>170</v>
      </c>
      <c r="Y1668" s="53">
        <f t="shared" si="732"/>
        <v>72.900000000000006</v>
      </c>
      <c r="Z1668" s="52">
        <f>IF(L1668="","",INDEX('Aub Demand'!H:H,MATCH($O1668,'Aub Demand'!$A:$A,0)))</f>
        <v>10</v>
      </c>
      <c r="AA1668" s="52" t="str">
        <f t="shared" si="733"/>
        <v>-spike-</v>
      </c>
      <c r="AB1668" s="52">
        <f>IFERROR(INDEX('Aub Demand'!L:L,MATCH($O1668,'Aub Demand'!$A:$A,0)),"")</f>
        <v>18</v>
      </c>
      <c r="AC1668" s="52">
        <f>IFERROR(IF(O1668="","",SUMIFS('CPL Mats'!F:F,'CPL Mats'!Q:Q,AR1668,'CPL Mats'!S:S,AS1668)),"")</f>
        <v>0</v>
      </c>
      <c r="AF1668" s="25" t="str">
        <f>IF(SUMIFS('Supp Consol'!S:S,'Supp Consol'!Y:Y,"Releasable",'Supp Consol'!A:A,O1668)=0,"",SUMIFS('Supp Consol'!S:S,'Supp Consol'!Y:Y,"Releasable",'Supp Consol'!A:A,O1668))</f>
        <v/>
      </c>
      <c r="AG1668" s="25" t="str">
        <f>IFERROR(INDEX('Hun Demand'!Q:Q,MATCH(O1668,'Hun Demand'!A:A,0)),"")</f>
        <v/>
      </c>
      <c r="AH1668" s="25" t="str">
        <f>IFERROR(INDEX('Hun Demand'!H:H,MATCH($O1668,'Hun Demand'!$A:$A,0)),"")</f>
        <v/>
      </c>
      <c r="AI1668" s="25" t="str">
        <f>IF(SUMIFS('Supp Consol'!AA:AA,'Supp Consol'!Z:Z,"Expires this month",'Supp Consol'!A:A,O1668)=0,"",SUMIFS('Supp Consol'!AA:AA,'Supp Consol'!Z:Z,"Expires this month",'Supp Consol'!A:A,O1668))</f>
        <v/>
      </c>
      <c r="AJ1668" s="25" t="str">
        <f>IF(SUMIFS('Supp Consol'!AA:AA,'Supp Consol'!Z:Z,"Expired Previous Months",'Supp Consol'!A:A,O1668)=0,"",SUMIFS('Supp Consol'!AA:AA,'Supp Consol'!Z:Z,"Expired Previous Months",'Supp Consol'!A:A,O1668))</f>
        <v/>
      </c>
      <c r="AK1668" s="25" t="str">
        <f>IFERROR(INDEX('Hun Release Current'!B:B,MATCH(O1668,'Hun Release Current'!A:A,0)),"")</f>
        <v/>
      </c>
      <c r="AL1668" s="25" t="str">
        <f>IF(SUMIF('Prev Aub'!A:A,O1668,'Prev Aub'!B:B)=0,"",SUMIF('Prev Aub'!A:A,O1668,'Prev Aub'!B:B))</f>
        <v/>
      </c>
      <c r="AN1668" s="25" t="s">
        <v>3790</v>
      </c>
      <c r="AO1668" s="25" t="s">
        <v>3790</v>
      </c>
      <c r="AP1668" s="25">
        <f t="shared" si="734"/>
        <v>0</v>
      </c>
      <c r="AQ1668" s="151" t="str">
        <f>IF(SUMIFS('Supp Consol'!S:S,'Supp Consol'!A:A,O1668,'Supp Consol'!I:I,"PENDING")=0,"",SUMIFS('Supp Consol'!S:S,'Supp Consol'!A:A,O1668,'Supp Consol'!I:I,"PENDING"))</f>
        <v/>
      </c>
      <c r="AR1668" s="27" t="str">
        <f t="shared" si="735"/>
        <v>WZ017</v>
      </c>
      <c r="AS1668" s="27" t="str">
        <f t="shared" si="736"/>
        <v>62</v>
      </c>
      <c r="AT1668" s="27" t="str">
        <f t="shared" si="737"/>
        <v/>
      </c>
      <c r="AU1668" s="27" t="str">
        <f t="shared" si="738"/>
        <v/>
      </c>
      <c r="AV1668" s="27" t="str">
        <f t="shared" si="739"/>
        <v/>
      </c>
      <c r="AW1668" s="27" t="str">
        <f t="shared" si="740"/>
        <v/>
      </c>
      <c r="AX1668" s="27" t="str">
        <f t="shared" si="741"/>
        <v/>
      </c>
      <c r="AY1668" s="27" t="str">
        <f t="shared" si="742"/>
        <v/>
      </c>
      <c r="AZ1668" s="27" t="str">
        <f t="shared" si="743"/>
        <v/>
      </c>
      <c r="BA1668" s="27" t="str">
        <f t="shared" si="744"/>
        <v/>
      </c>
      <c r="BB1668" s="27" t="str">
        <f t="shared" si="745"/>
        <v>Gross</v>
      </c>
      <c r="BC1668" s="27" t="str">
        <f t="shared" si="746"/>
        <v>Net</v>
      </c>
      <c r="BD1668" s="27" t="str">
        <f t="shared" si="747"/>
        <v>Net</v>
      </c>
      <c r="BE1668" s="27" t="str">
        <f t="shared" si="748"/>
        <v/>
      </c>
      <c r="BF1668" s="27" t="str">
        <f t="shared" si="749"/>
        <v/>
      </c>
      <c r="BG1668" s="27" t="str">
        <f t="shared" si="750"/>
        <v/>
      </c>
      <c r="BH1668" s="27" t="str">
        <f t="shared" si="751"/>
        <v/>
      </c>
      <c r="BI1668" s="27" t="str">
        <f t="shared" si="752"/>
        <v/>
      </c>
      <c r="BJ1668" s="27" t="str">
        <f t="shared" si="753"/>
        <v/>
      </c>
      <c r="BK1668" s="27" t="str">
        <f t="shared" si="754"/>
        <v/>
      </c>
      <c r="BL1668" s="27" t="str">
        <f t="shared" si="755"/>
        <v/>
      </c>
      <c r="BM1668" s="21" t="s">
        <v>5581</v>
      </c>
    </row>
    <row r="1669" spans="1:65" ht="15">
      <c r="A1669" s="25" t="str">
        <f>IFERROR(INDEX('Hun Demand'!W:W,MATCH(O1669,'Hun Demand'!A:A,0)),"")</f>
        <v/>
      </c>
      <c r="B1669" s="25" t="str">
        <f>IFERROR(INDEX('Hun Demand'!V:V,MATCH(O1669,'Hun Demand'!A:A,0)),"")</f>
        <v/>
      </c>
      <c r="C1669" s="25" t="str">
        <f>IFERROR(INDEX('Hun Demand'!U:U,MATCH(O1669,'Hun Demand'!A:A,0)),"")</f>
        <v/>
      </c>
      <c r="D1669" s="25" t="str">
        <f>IFERROR(INDEX('Hun Demand'!T:T,MATCH(O1669,'Hun Demand'!A:A,0)),"")</f>
        <v/>
      </c>
      <c r="E1669" s="25" t="str">
        <f>IFERROR(INDEX('Hun Demand'!S:S,MATCH(O1669,'Hun Demand'!A:A,0)),"")</f>
        <v/>
      </c>
      <c r="F1669" s="25" t="str">
        <f>IFERROR(INDEX('Hun Demand'!R:R,MATCH(O1669,'Hun Demand'!A:A,0)),"")</f>
        <v/>
      </c>
      <c r="G1669" s="25">
        <f>IFERROR(INDEX('Aub Demand'!W:W,MATCH(O1669,'Aub Demand'!A:A,0)),"")</f>
        <v>133</v>
      </c>
      <c r="H1669" s="25">
        <f>IFERROR(INDEX('Aub Demand'!V:V,MATCH(O1669,'Aub Demand'!A:A,0)),"")</f>
        <v>10</v>
      </c>
      <c r="I1669" s="25">
        <f>IFERROR(INDEX('Aub Demand'!U:U,MATCH(O1669,'Aub Demand'!A:A,0)),"")</f>
        <v>0</v>
      </c>
      <c r="J1669" s="25">
        <f>IFERROR(INDEX('Aub Demand'!T:T,MATCH(O1669,'Aub Demand'!A:A,0)),"")</f>
        <v>0</v>
      </c>
      <c r="K1669" s="25">
        <f>IFERROR(INDEX('Aub Demand'!S:S,MATCH(O1669,'Aub Demand'!A:A,0)),"")</f>
        <v>0</v>
      </c>
      <c r="L1669" s="25">
        <f>IFERROR(INDEX('Aub Demand'!R:R,MATCH(O1669,'Aub Demand'!A:A,0)),"")</f>
        <v>0</v>
      </c>
      <c r="O1669" s="27" t="s">
        <v>3200</v>
      </c>
      <c r="P1669" s="27" t="str">
        <f>IFERROR(INDEX('Aub Demand'!B:B,MATCH($O1669,'Aub Demand'!$A:$A,0)),"")</f>
        <v>NATURAL BAMBOO 48"</v>
      </c>
      <c r="Q1669" s="27" t="str">
        <f>IFERROR(INDEX('Aub Demand'!C:C,MATCH($O1669,'Aub Demand'!$A:$A,0)),"")</f>
        <v>INTER</v>
      </c>
      <c r="R1669" s="52">
        <f>IFERROR(IF(AR1670=AR1669,INDEX('Aub Demand'!K:K,MATCH($O1669,'Aub Demand'!$A:$A,0))-IF(AN1669="",0,AN1669)+AP1670,INDEX('Aub Demand'!K:K,MATCH($O1669,'Aub Demand'!$A:$A,0))-IF(AN1669="",0,AN1669)),"")</f>
        <v>74</v>
      </c>
      <c r="S1669" s="53" t="str">
        <f t="shared" si="728"/>
        <v>n/a</v>
      </c>
      <c r="T1669" s="52" t="str">
        <f t="shared" si="729"/>
        <v/>
      </c>
      <c r="U1669" s="52">
        <f>IFERROR(IF(AR1670=AR1669,INDEX('Aub Demand'!Q:Q,MATCH($O1669,'Aub Demand'!$A:$A,0))-IF(AN1669="",0,AN1669)+AP1670,INDEX('Aub Demand'!Q:Q,MATCH($O1669,'Aub Demand'!$A:$A,0))-IF(AN1669="",0,AN1669)),"")</f>
        <v>74</v>
      </c>
      <c r="V1669" s="53" t="str">
        <f t="shared" si="730"/>
        <v>n/a</v>
      </c>
      <c r="W1669" s="52" t="str">
        <f t="shared" si="731"/>
        <v/>
      </c>
      <c r="X1669" s="52">
        <f>IFERROR(IF(AND(AR1670=AR1669,AM1669&lt;&gt;""),INDEX('Aub Demand'!Q:Q,MATCH($O1669,'Aub Demand'!$A:$A,0))-IF(AN1669="",0,AN1669)+AP1670+AD1669+AL1669,IF(AR1670=AR1669,INDEX('Aub Demand'!Q:Q,MATCH($O1669,'Aub Demand'!$A:$A,0))-IF(AN1669="",0,AN1669)+AP1670+AD1669,IF(AM1669&lt;&gt;"",INDEX('Aub Demand'!Q:Q,MATCH($O1669,'Aub Demand'!$A:$A,0))-IF(AN1669="",0,AN1669)+AD1669+AL1669,INDEX('Aub Demand'!Q:Q,MATCH($O1669,'Aub Demand'!$A:$A,0))-IF(AN1669="",0,AN1669)+AD1669))),"")</f>
        <v>74</v>
      </c>
      <c r="Y1669" s="53" t="str">
        <f t="shared" si="732"/>
        <v>n/a</v>
      </c>
      <c r="Z1669" s="52">
        <f>IF(L1669="","",INDEX('Aub Demand'!H:H,MATCH($O1669,'Aub Demand'!$A:$A,0)))</f>
        <v>0</v>
      </c>
      <c r="AA1669" s="52" t="str">
        <f t="shared" si="733"/>
        <v>-spike-</v>
      </c>
      <c r="AB1669" s="52">
        <f>IFERROR(INDEX('Aub Demand'!L:L,MATCH($O1669,'Aub Demand'!$A:$A,0)),"")</f>
        <v>38</v>
      </c>
      <c r="AC1669" s="52">
        <f>IFERROR(IF(O1669="","",SUMIFS('CPL Mats'!F:F,'CPL Mats'!Q:Q,AR1669,'CPL Mats'!S:S,AS1669)),"")</f>
        <v>0</v>
      </c>
      <c r="AF1669" s="25" t="str">
        <f>IF(SUMIFS('Supp Consol'!S:S,'Supp Consol'!Y:Y,"Releasable",'Supp Consol'!A:A,O1669)=0,"",SUMIFS('Supp Consol'!S:S,'Supp Consol'!Y:Y,"Releasable",'Supp Consol'!A:A,O1669))</f>
        <v/>
      </c>
      <c r="AG1669" s="25" t="str">
        <f>IFERROR(INDEX('Hun Demand'!Q:Q,MATCH(O1669,'Hun Demand'!A:A,0)),"")</f>
        <v/>
      </c>
      <c r="AH1669" s="25" t="str">
        <f>IFERROR(INDEX('Hun Demand'!H:H,MATCH($O1669,'Hun Demand'!$A:$A,0)),"")</f>
        <v/>
      </c>
      <c r="AI1669" s="25" t="str">
        <f>IF(SUMIFS('Supp Consol'!AA:AA,'Supp Consol'!Z:Z,"Expires this month",'Supp Consol'!A:A,O1669)=0,"",SUMIFS('Supp Consol'!AA:AA,'Supp Consol'!Z:Z,"Expires this month",'Supp Consol'!A:A,O1669))</f>
        <v/>
      </c>
      <c r="AJ1669" s="25" t="str">
        <f>IF(SUMIFS('Supp Consol'!AA:AA,'Supp Consol'!Z:Z,"Expired Previous Months",'Supp Consol'!A:A,O1669)=0,"",SUMIFS('Supp Consol'!AA:AA,'Supp Consol'!Z:Z,"Expired Previous Months",'Supp Consol'!A:A,O1669))</f>
        <v/>
      </c>
      <c r="AK1669" s="25" t="str">
        <f>IFERROR(INDEX('Hun Release Current'!B:B,MATCH(O1669,'Hun Release Current'!A:A,0)),"")</f>
        <v/>
      </c>
      <c r="AL1669" s="25" t="str">
        <f>IF(SUMIF('Prev Aub'!A:A,O1669,'Prev Aub'!B:B)=0,"",SUMIF('Prev Aub'!A:A,O1669,'Prev Aub'!B:B))</f>
        <v/>
      </c>
      <c r="AN1669" s="25" t="s">
        <v>3790</v>
      </c>
      <c r="AO1669" s="25" t="s">
        <v>3790</v>
      </c>
      <c r="AP1669" s="25">
        <f t="shared" si="734"/>
        <v>0</v>
      </c>
      <c r="AQ1669" s="151" t="str">
        <f>IF(SUMIFS('Supp Consol'!S:S,'Supp Consol'!A:A,O1669,'Supp Consol'!I:I,"PENDING")=0,"",SUMIFS('Supp Consol'!S:S,'Supp Consol'!A:A,O1669,'Supp Consol'!I:I,"PENDING"))</f>
        <v/>
      </c>
      <c r="AR1669" s="27" t="str">
        <f t="shared" si="735"/>
        <v>WZ018</v>
      </c>
      <c r="AS1669" s="27" t="str">
        <f t="shared" si="736"/>
        <v>50</v>
      </c>
      <c r="AT1669" s="27" t="str">
        <f t="shared" si="737"/>
        <v/>
      </c>
      <c r="AU1669" s="27" t="str">
        <f t="shared" si="738"/>
        <v/>
      </c>
      <c r="AV1669" s="27" t="str">
        <f t="shared" si="739"/>
        <v/>
      </c>
      <c r="AW1669" s="27" t="str">
        <f t="shared" si="740"/>
        <v/>
      </c>
      <c r="AX1669" s="27" t="str">
        <f t="shared" si="741"/>
        <v/>
      </c>
      <c r="AY1669" s="27" t="str">
        <f t="shared" si="742"/>
        <v/>
      </c>
      <c r="AZ1669" s="27" t="str">
        <f t="shared" si="743"/>
        <v/>
      </c>
      <c r="BA1669" s="27" t="str">
        <f t="shared" si="744"/>
        <v/>
      </c>
      <c r="BB1669" s="27" t="str">
        <f t="shared" si="745"/>
        <v/>
      </c>
      <c r="BC1669" s="27" t="str">
        <f t="shared" si="746"/>
        <v/>
      </c>
      <c r="BD1669" s="27" t="str">
        <f t="shared" si="747"/>
        <v/>
      </c>
      <c r="BE1669" s="27" t="str">
        <f t="shared" si="748"/>
        <v/>
      </c>
      <c r="BF1669" s="27" t="str">
        <f t="shared" si="749"/>
        <v/>
      </c>
      <c r="BG1669" s="27" t="str">
        <f t="shared" si="750"/>
        <v/>
      </c>
      <c r="BH1669" s="27" t="str">
        <f t="shared" si="751"/>
        <v/>
      </c>
      <c r="BI1669" s="27" t="str">
        <f t="shared" si="752"/>
        <v/>
      </c>
      <c r="BJ1669" s="27" t="str">
        <f t="shared" si="753"/>
        <v/>
      </c>
      <c r="BK1669" s="27" t="str">
        <f t="shared" si="754"/>
        <v/>
      </c>
      <c r="BL1669" s="27" t="str">
        <f t="shared" si="755"/>
        <v/>
      </c>
      <c r="BM1669" s="21" t="s">
        <v>5581</v>
      </c>
    </row>
    <row r="1670" spans="1:65" ht="15">
      <c r="A1670" s="25" t="str">
        <f>IFERROR(INDEX('Hun Demand'!W:W,MATCH(O1670,'Hun Demand'!A:A,0)),"")</f>
        <v/>
      </c>
      <c r="B1670" s="25" t="str">
        <f>IFERROR(INDEX('Hun Demand'!V:V,MATCH(O1670,'Hun Demand'!A:A,0)),"")</f>
        <v/>
      </c>
      <c r="C1670" s="25" t="str">
        <f>IFERROR(INDEX('Hun Demand'!U:U,MATCH(O1670,'Hun Demand'!A:A,0)),"")</f>
        <v/>
      </c>
      <c r="D1670" s="25" t="str">
        <f>IFERROR(INDEX('Hun Demand'!T:T,MATCH(O1670,'Hun Demand'!A:A,0)),"")</f>
        <v/>
      </c>
      <c r="E1670" s="25" t="str">
        <f>IFERROR(INDEX('Hun Demand'!S:S,MATCH(O1670,'Hun Demand'!A:A,0)),"")</f>
        <v/>
      </c>
      <c r="F1670" s="25" t="str">
        <f>IFERROR(INDEX('Hun Demand'!R:R,MATCH(O1670,'Hun Demand'!A:A,0)),"")</f>
        <v/>
      </c>
      <c r="G1670" s="25">
        <f>IFERROR(INDEX('Aub Demand'!W:W,MATCH(O1670,'Aub Demand'!A:A,0)),"")</f>
        <v>0</v>
      </c>
      <c r="H1670" s="25">
        <f>IFERROR(INDEX('Aub Demand'!V:V,MATCH(O1670,'Aub Demand'!A:A,0)),"")</f>
        <v>0</v>
      </c>
      <c r="I1670" s="25">
        <f>IFERROR(INDEX('Aub Demand'!U:U,MATCH(O1670,'Aub Demand'!A:A,0)),"")</f>
        <v>0</v>
      </c>
      <c r="J1670" s="25">
        <f>IFERROR(INDEX('Aub Demand'!T:T,MATCH(O1670,'Aub Demand'!A:A,0)),"")</f>
        <v>0</v>
      </c>
      <c r="K1670" s="25">
        <f>IFERROR(INDEX('Aub Demand'!S:S,MATCH(O1670,'Aub Demand'!A:A,0)),"")</f>
        <v>0</v>
      </c>
      <c r="L1670" s="25">
        <f>IFERROR(INDEX('Aub Demand'!R:R,MATCH(O1670,'Aub Demand'!A:A,0)),"")</f>
        <v>0</v>
      </c>
      <c r="O1670" s="27" t="s">
        <v>3203</v>
      </c>
      <c r="P1670" s="27" t="str">
        <f>IFERROR(INDEX('Aub Demand'!B:B,MATCH($O1670,'Aub Demand'!$A:$A,0)),"")</f>
        <v>NATURAL BAMBOO</v>
      </c>
      <c r="Q1670" s="27" t="str">
        <f>IFERROR(INDEX('Aub Demand'!C:C,MATCH($O1670,'Aub Demand'!$A:$A,0)),"")</f>
        <v>INTER</v>
      </c>
      <c r="R1670" s="52">
        <f>IFERROR(IF(AR1671=AR1670,INDEX('Aub Demand'!K:K,MATCH($O1670,'Aub Demand'!$A:$A,0))-IF(AN1670="",0,AN1670)+AP1671,INDEX('Aub Demand'!K:K,MATCH($O1670,'Aub Demand'!$A:$A,0))-IF(AN1670="",0,AN1670)),"")</f>
        <v>2991</v>
      </c>
      <c r="S1670" s="53" t="str">
        <f t="shared" si="728"/>
        <v>n/a</v>
      </c>
      <c r="T1670" s="52" t="str">
        <f t="shared" si="729"/>
        <v/>
      </c>
      <c r="U1670" s="52">
        <f>IFERROR(IF(AR1671=AR1670,INDEX('Aub Demand'!Q:Q,MATCH($O1670,'Aub Demand'!$A:$A,0))-IF(AN1670="",0,AN1670)+AP1671,INDEX('Aub Demand'!Q:Q,MATCH($O1670,'Aub Demand'!$A:$A,0))-IF(AN1670="",0,AN1670)),"")</f>
        <v>2971</v>
      </c>
      <c r="V1670" s="53" t="str">
        <f t="shared" si="730"/>
        <v>n/a</v>
      </c>
      <c r="W1670" s="52" t="str">
        <f t="shared" si="731"/>
        <v/>
      </c>
      <c r="X1670" s="52">
        <f>IFERROR(IF(AND(AR1671=AR1670,AM1670&lt;&gt;""),INDEX('Aub Demand'!Q:Q,MATCH($O1670,'Aub Demand'!$A:$A,0))-IF(AN1670="",0,AN1670)+AP1671+AD1670+AL1670,IF(AR1671=AR1670,INDEX('Aub Demand'!Q:Q,MATCH($O1670,'Aub Demand'!$A:$A,0))-IF(AN1670="",0,AN1670)+AP1671+AD1670,IF(AM1670&lt;&gt;"",INDEX('Aub Demand'!Q:Q,MATCH($O1670,'Aub Demand'!$A:$A,0))-IF(AN1670="",0,AN1670)+AD1670+AL1670,INDEX('Aub Demand'!Q:Q,MATCH($O1670,'Aub Demand'!$A:$A,0))-IF(AN1670="",0,AN1670)+AD1670))),"")</f>
        <v>2971</v>
      </c>
      <c r="Y1670" s="53" t="str">
        <f t="shared" si="732"/>
        <v>n/a</v>
      </c>
      <c r="Z1670" s="52">
        <f>IF(L1670="","",INDEX('Aub Demand'!H:H,MATCH($O1670,'Aub Demand'!$A:$A,0)))</f>
        <v>0</v>
      </c>
      <c r="AA1670" s="52" t="str">
        <f t="shared" si="733"/>
        <v>-spike-</v>
      </c>
      <c r="AB1670" s="52">
        <f>IFERROR(INDEX('Aub Demand'!L:L,MATCH($O1670,'Aub Demand'!$A:$A,0)),"")</f>
        <v>0</v>
      </c>
      <c r="AC1670" s="52">
        <f>IFERROR(IF(O1670="","",SUMIFS('CPL Mats'!F:F,'CPL Mats'!Q:Q,AR1670,'CPL Mats'!S:S,AS1670)),"")</f>
        <v>0</v>
      </c>
      <c r="AF1670" s="25" t="str">
        <f>IF(SUMIFS('Supp Consol'!S:S,'Supp Consol'!Y:Y,"Releasable",'Supp Consol'!A:A,O1670)=0,"",SUMIFS('Supp Consol'!S:S,'Supp Consol'!Y:Y,"Releasable",'Supp Consol'!A:A,O1670))</f>
        <v/>
      </c>
      <c r="AG1670" s="25" t="str">
        <f>IFERROR(INDEX('Hun Demand'!Q:Q,MATCH(O1670,'Hun Demand'!A:A,0)),"")</f>
        <v/>
      </c>
      <c r="AH1670" s="25" t="str">
        <f>IFERROR(INDEX('Hun Demand'!H:H,MATCH($O1670,'Hun Demand'!$A:$A,0)),"")</f>
        <v/>
      </c>
      <c r="AI1670" s="25" t="str">
        <f>IF(SUMIFS('Supp Consol'!AA:AA,'Supp Consol'!Z:Z,"Expires this month",'Supp Consol'!A:A,O1670)=0,"",SUMIFS('Supp Consol'!AA:AA,'Supp Consol'!Z:Z,"Expires this month",'Supp Consol'!A:A,O1670))</f>
        <v/>
      </c>
      <c r="AJ1670" s="25" t="str">
        <f>IF(SUMIFS('Supp Consol'!AA:AA,'Supp Consol'!Z:Z,"Expired Previous Months",'Supp Consol'!A:A,O1670)=0,"",SUMIFS('Supp Consol'!AA:AA,'Supp Consol'!Z:Z,"Expired Previous Months",'Supp Consol'!A:A,O1670))</f>
        <v/>
      </c>
      <c r="AK1670" s="25" t="str">
        <f>IFERROR(INDEX('Hun Release Current'!B:B,MATCH(O1670,'Hun Release Current'!A:A,0)),"")</f>
        <v/>
      </c>
      <c r="AL1670" s="25" t="str">
        <f>IF(SUMIF('Prev Aub'!A:A,O1670,'Prev Aub'!B:B)=0,"",SUMIF('Prev Aub'!A:A,O1670,'Prev Aub'!B:B))</f>
        <v/>
      </c>
      <c r="AN1670" s="25" t="s">
        <v>3790</v>
      </c>
      <c r="AO1670" s="25" t="s">
        <v>3790</v>
      </c>
      <c r="AP1670" s="25">
        <f t="shared" si="734"/>
        <v>0</v>
      </c>
      <c r="AQ1670" s="151" t="str">
        <f>IF(SUMIFS('Supp Consol'!S:S,'Supp Consol'!A:A,O1670,'Supp Consol'!I:I,"PENDING")=0,"",SUMIFS('Supp Consol'!S:S,'Supp Consol'!A:A,O1670,'Supp Consol'!I:I,"PENDING"))</f>
        <v/>
      </c>
      <c r="AR1670" s="27" t="str">
        <f t="shared" si="735"/>
        <v>WZ018</v>
      </c>
      <c r="AS1670" s="27" t="str">
        <f t="shared" si="736"/>
        <v>62</v>
      </c>
      <c r="AT1670" s="27" t="str">
        <f t="shared" si="737"/>
        <v/>
      </c>
      <c r="AU1670" s="27" t="str">
        <f t="shared" si="738"/>
        <v/>
      </c>
      <c r="AV1670" s="27" t="str">
        <f t="shared" si="739"/>
        <v/>
      </c>
      <c r="AW1670" s="27" t="str">
        <f t="shared" si="740"/>
        <v/>
      </c>
      <c r="AX1670" s="27" t="str">
        <f t="shared" si="741"/>
        <v/>
      </c>
      <c r="AY1670" s="27" t="str">
        <f t="shared" si="742"/>
        <v/>
      </c>
      <c r="AZ1670" s="27" t="str">
        <f t="shared" si="743"/>
        <v/>
      </c>
      <c r="BA1670" s="27" t="str">
        <f t="shared" si="744"/>
        <v/>
      </c>
      <c r="BB1670" s="27" t="str">
        <f t="shared" si="745"/>
        <v/>
      </c>
      <c r="BC1670" s="27" t="str">
        <f t="shared" si="746"/>
        <v/>
      </c>
      <c r="BD1670" s="27" t="str">
        <f t="shared" si="747"/>
        <v/>
      </c>
      <c r="BE1670" s="27" t="str">
        <f t="shared" si="748"/>
        <v/>
      </c>
      <c r="BF1670" s="27" t="str">
        <f t="shared" si="749"/>
        <v/>
      </c>
      <c r="BG1670" s="27" t="str">
        <f t="shared" si="750"/>
        <v/>
      </c>
      <c r="BH1670" s="27" t="str">
        <f t="shared" si="751"/>
        <v/>
      </c>
      <c r="BI1670" s="27" t="str">
        <f t="shared" si="752"/>
        <v/>
      </c>
      <c r="BJ1670" s="27" t="str">
        <f t="shared" si="753"/>
        <v/>
      </c>
      <c r="BK1670" s="27" t="str">
        <f t="shared" si="754"/>
        <v/>
      </c>
      <c r="BL1670" s="27" t="str">
        <f t="shared" si="755"/>
        <v/>
      </c>
      <c r="BM1670" s="21" t="s">
        <v>5581</v>
      </c>
    </row>
    <row r="1671" spans="1:65" ht="15">
      <c r="A1671" s="25" t="str">
        <f>IFERROR(INDEX('Hun Demand'!W:W,MATCH(O1671,'Hun Demand'!A:A,0)),"")</f>
        <v/>
      </c>
      <c r="B1671" s="25" t="str">
        <f>IFERROR(INDEX('Hun Demand'!V:V,MATCH(O1671,'Hun Demand'!A:A,0)),"")</f>
        <v/>
      </c>
      <c r="C1671" s="25" t="str">
        <f>IFERROR(INDEX('Hun Demand'!U:U,MATCH(O1671,'Hun Demand'!A:A,0)),"")</f>
        <v/>
      </c>
      <c r="D1671" s="25" t="str">
        <f>IFERROR(INDEX('Hun Demand'!T:T,MATCH(O1671,'Hun Demand'!A:A,0)),"")</f>
        <v/>
      </c>
      <c r="E1671" s="25" t="str">
        <f>IFERROR(INDEX('Hun Demand'!S:S,MATCH(O1671,'Hun Demand'!A:A,0)),"")</f>
        <v/>
      </c>
      <c r="F1671" s="25" t="str">
        <f>IFERROR(INDEX('Hun Demand'!R:R,MATCH(O1671,'Hun Demand'!A:A,0)),"")</f>
        <v/>
      </c>
      <c r="G1671" s="25">
        <f>IFERROR(INDEX('Aub Demand'!W:W,MATCH(O1671,'Aub Demand'!A:A,0)),"")</f>
        <v>205</v>
      </c>
      <c r="H1671" s="25">
        <f>IFERROR(INDEX('Aub Demand'!V:V,MATCH(O1671,'Aub Demand'!A:A,0)),"")</f>
        <v>408</v>
      </c>
      <c r="I1671" s="25">
        <f>IFERROR(INDEX('Aub Demand'!U:U,MATCH(O1671,'Aub Demand'!A:A,0)),"")</f>
        <v>314</v>
      </c>
      <c r="J1671" s="25">
        <f>IFERROR(INDEX('Aub Demand'!T:T,MATCH(O1671,'Aub Demand'!A:A,0)),"")</f>
        <v>344</v>
      </c>
      <c r="K1671" s="25">
        <f>IFERROR(INDEX('Aub Demand'!S:S,MATCH(O1671,'Aub Demand'!A:A,0)),"")</f>
        <v>222</v>
      </c>
      <c r="L1671" s="25">
        <f>IFERROR(INDEX('Aub Demand'!R:R,MATCH(O1671,'Aub Demand'!A:A,0)),"")</f>
        <v>0</v>
      </c>
      <c r="O1671" s="27" t="s">
        <v>3205</v>
      </c>
      <c r="P1671" s="27" t="str">
        <f>IFERROR(INDEX('Aub Demand'!B:B,MATCH($O1671,'Aub Demand'!$A:$A,0)),"")</f>
        <v>KONA BLEND 50"</v>
      </c>
      <c r="Q1671" s="27" t="str">
        <f>IFERROR(INDEX('Aub Demand'!C:C,MATCH($O1671,'Aub Demand'!$A:$A,0)),"")</f>
        <v>TOPPA</v>
      </c>
      <c r="R1671" s="52">
        <f>IFERROR(IF(AR1672=AR1671,INDEX('Aub Demand'!K:K,MATCH($O1671,'Aub Demand'!$A:$A,0))-IF(AN1671="",0,AN1671)+AP1672,INDEX('Aub Demand'!K:K,MATCH($O1671,'Aub Demand'!$A:$A,0))-IF(AN1671="",0,AN1671)),"")</f>
        <v>656</v>
      </c>
      <c r="S1671" s="53">
        <f t="shared" si="728"/>
        <v>9.6</v>
      </c>
      <c r="T1671" s="52" t="str">
        <f t="shared" si="729"/>
        <v/>
      </c>
      <c r="U1671" s="52">
        <f>IFERROR(IF(AR1672=AR1671,INDEX('Aub Demand'!Q:Q,MATCH($O1671,'Aub Demand'!$A:$A,0))-IF(AN1671="",0,AN1671)+AP1672,INDEX('Aub Demand'!Q:Q,MATCH($O1671,'Aub Demand'!$A:$A,0))-IF(AN1671="",0,AN1671)),"")</f>
        <v>324</v>
      </c>
      <c r="V1671" s="53">
        <f t="shared" si="730"/>
        <v>4.7</v>
      </c>
      <c r="W1671" s="52" t="str">
        <f t="shared" si="731"/>
        <v/>
      </c>
      <c r="X1671" s="52">
        <f>IFERROR(IF(AND(AR1672=AR1671,AM1671&lt;&gt;""),INDEX('Aub Demand'!Q:Q,MATCH($O1671,'Aub Demand'!$A:$A,0))-IF(AN1671="",0,AN1671)+AP1672+AD1671+AL1671,IF(AR1672=AR1671,INDEX('Aub Demand'!Q:Q,MATCH($O1671,'Aub Demand'!$A:$A,0))-IF(AN1671="",0,AN1671)+AP1672+AD1671,IF(AM1671&lt;&gt;"",INDEX('Aub Demand'!Q:Q,MATCH($O1671,'Aub Demand'!$A:$A,0))-IF(AN1671="",0,AN1671)+AD1671+AL1671,INDEX('Aub Demand'!Q:Q,MATCH($O1671,'Aub Demand'!$A:$A,0))-IF(AN1671="",0,AN1671)+AD1671))),"")</f>
        <v>324</v>
      </c>
      <c r="Y1671" s="53">
        <f t="shared" si="732"/>
        <v>4.7</v>
      </c>
      <c r="Z1671" s="52">
        <f>IF(L1671="","",INDEX('Aub Demand'!H:H,MATCH($O1671,'Aub Demand'!$A:$A,0)))</f>
        <v>293</v>
      </c>
      <c r="AA1671" s="52">
        <f t="shared" si="733"/>
        <v>329</v>
      </c>
      <c r="AB1671" s="52">
        <f>IFERROR(INDEX('Aub Demand'!L:L,MATCH($O1671,'Aub Demand'!$A:$A,0)),"")</f>
        <v>71</v>
      </c>
      <c r="AC1671" s="52">
        <f>IFERROR(IF(O1671="","",SUMIFS('CPL Mats'!F:F,'CPL Mats'!Q:Q,AR1671,'CPL Mats'!S:S,AS1671)),"")</f>
        <v>0</v>
      </c>
      <c r="AF1671" s="25" t="str">
        <f>IF(SUMIFS('Supp Consol'!S:S,'Supp Consol'!Y:Y,"Releasable",'Supp Consol'!A:A,O1671)=0,"",SUMIFS('Supp Consol'!S:S,'Supp Consol'!Y:Y,"Releasable",'Supp Consol'!A:A,O1671))</f>
        <v/>
      </c>
      <c r="AG1671" s="25" t="str">
        <f>IFERROR(INDEX('Hun Demand'!Q:Q,MATCH(O1671,'Hun Demand'!A:A,0)),"")</f>
        <v/>
      </c>
      <c r="AH1671" s="25" t="str">
        <f>IFERROR(INDEX('Hun Demand'!H:H,MATCH($O1671,'Hun Demand'!$A:$A,0)),"")</f>
        <v/>
      </c>
      <c r="AI1671" s="25" t="str">
        <f>IF(SUMIFS('Supp Consol'!AA:AA,'Supp Consol'!Z:Z,"Expires this month",'Supp Consol'!A:A,O1671)=0,"",SUMIFS('Supp Consol'!AA:AA,'Supp Consol'!Z:Z,"Expires this month",'Supp Consol'!A:A,O1671))</f>
        <v/>
      </c>
      <c r="AJ1671" s="25" t="str">
        <f>IF(SUMIFS('Supp Consol'!AA:AA,'Supp Consol'!Z:Z,"Expired Previous Months",'Supp Consol'!A:A,O1671)=0,"",SUMIFS('Supp Consol'!AA:AA,'Supp Consol'!Z:Z,"Expired Previous Months",'Supp Consol'!A:A,O1671))</f>
        <v/>
      </c>
      <c r="AK1671" s="25" t="str">
        <f>IFERROR(INDEX('Hun Release Current'!B:B,MATCH(O1671,'Hun Release Current'!A:A,0)),"")</f>
        <v/>
      </c>
      <c r="AL1671" s="25" t="str">
        <f>IF(SUMIF('Prev Aub'!A:A,O1671,'Prev Aub'!B:B)=0,"",SUMIF('Prev Aub'!A:A,O1671,'Prev Aub'!B:B))</f>
        <v/>
      </c>
      <c r="AN1671" s="25" t="s">
        <v>3790</v>
      </c>
      <c r="AO1671" s="25" t="s">
        <v>3790</v>
      </c>
      <c r="AP1671" s="25">
        <f t="shared" si="734"/>
        <v>0</v>
      </c>
      <c r="AQ1671" s="151" t="str">
        <f>IF(SUMIFS('Supp Consol'!S:S,'Supp Consol'!A:A,O1671,'Supp Consol'!I:I,"PENDING")=0,"",SUMIFS('Supp Consol'!S:S,'Supp Consol'!A:A,O1671,'Supp Consol'!I:I,"PENDING"))</f>
        <v/>
      </c>
      <c r="AR1671" s="27" t="str">
        <f t="shared" si="735"/>
        <v>WZ028</v>
      </c>
      <c r="AS1671" s="27" t="str">
        <f t="shared" si="736"/>
        <v>50</v>
      </c>
      <c r="AT1671" s="27" t="str">
        <f t="shared" si="737"/>
        <v/>
      </c>
      <c r="AU1671" s="27" t="str">
        <f t="shared" si="738"/>
        <v/>
      </c>
      <c r="AV1671" s="27" t="str">
        <f t="shared" si="739"/>
        <v/>
      </c>
      <c r="AW1671" s="27" t="str">
        <f t="shared" si="740"/>
        <v/>
      </c>
      <c r="AX1671" s="27" t="str">
        <f t="shared" si="741"/>
        <v/>
      </c>
      <c r="AY1671" s="27" t="str">
        <f t="shared" si="742"/>
        <v/>
      </c>
      <c r="AZ1671" s="27" t="str">
        <f t="shared" si="743"/>
        <v/>
      </c>
      <c r="BA1671" s="27" t="str">
        <f t="shared" si="744"/>
        <v/>
      </c>
      <c r="BB1671" s="27" t="str">
        <f t="shared" si="745"/>
        <v/>
      </c>
      <c r="BC1671" s="27" t="str">
        <f t="shared" si="746"/>
        <v/>
      </c>
      <c r="BD1671" s="27" t="str">
        <f t="shared" si="747"/>
        <v/>
      </c>
      <c r="BE1671" s="27" t="str">
        <f t="shared" si="748"/>
        <v/>
      </c>
      <c r="BF1671" s="27" t="str">
        <f t="shared" si="749"/>
        <v/>
      </c>
      <c r="BG1671" s="27" t="str">
        <f t="shared" si="750"/>
        <v/>
      </c>
      <c r="BH1671" s="27" t="str">
        <f t="shared" si="751"/>
        <v/>
      </c>
      <c r="BI1671" s="27" t="str">
        <f t="shared" si="752"/>
        <v/>
      </c>
      <c r="BJ1671" s="27" t="str">
        <f t="shared" si="753"/>
        <v/>
      </c>
      <c r="BK1671" s="27" t="str">
        <f t="shared" si="754"/>
        <v/>
      </c>
      <c r="BL1671" s="27" t="str">
        <f t="shared" si="755"/>
        <v/>
      </c>
      <c r="BM1671" s="21" t="s">
        <v>5581</v>
      </c>
    </row>
    <row r="1672" spans="1:65" ht="15">
      <c r="A1672" s="25" t="str">
        <f>IFERROR(INDEX('Hun Demand'!W:W,MATCH(O1672,'Hun Demand'!A:A,0)),"")</f>
        <v/>
      </c>
      <c r="B1672" s="25" t="str">
        <f>IFERROR(INDEX('Hun Demand'!V:V,MATCH(O1672,'Hun Demand'!A:A,0)),"")</f>
        <v/>
      </c>
      <c r="C1672" s="25" t="str">
        <f>IFERROR(INDEX('Hun Demand'!U:U,MATCH(O1672,'Hun Demand'!A:A,0)),"")</f>
        <v/>
      </c>
      <c r="D1672" s="25" t="str">
        <f>IFERROR(INDEX('Hun Demand'!T:T,MATCH(O1672,'Hun Demand'!A:A,0)),"")</f>
        <v/>
      </c>
      <c r="E1672" s="25" t="str">
        <f>IFERROR(INDEX('Hun Demand'!S:S,MATCH(O1672,'Hun Demand'!A:A,0)),"")</f>
        <v/>
      </c>
      <c r="F1672" s="25" t="str">
        <f>IFERROR(INDEX('Hun Demand'!R:R,MATCH(O1672,'Hun Demand'!A:A,0)),"")</f>
        <v/>
      </c>
      <c r="G1672" s="25">
        <f>IFERROR(INDEX('Aub Demand'!W:W,MATCH(O1672,'Aub Demand'!A:A,0)),"")</f>
        <v>196</v>
      </c>
      <c r="H1672" s="25">
        <f>IFERROR(INDEX('Aub Demand'!V:V,MATCH(O1672,'Aub Demand'!A:A,0)),"")</f>
        <v>0</v>
      </c>
      <c r="I1672" s="25">
        <f>IFERROR(INDEX('Aub Demand'!U:U,MATCH(O1672,'Aub Demand'!A:A,0)),"")</f>
        <v>249</v>
      </c>
      <c r="J1672" s="25">
        <f>IFERROR(INDEX('Aub Demand'!T:T,MATCH(O1672,'Aub Demand'!A:A,0)),"")</f>
        <v>23</v>
      </c>
      <c r="K1672" s="25">
        <f>IFERROR(INDEX('Aub Demand'!S:S,MATCH(O1672,'Aub Demand'!A:A,0)),"")</f>
        <v>118</v>
      </c>
      <c r="L1672" s="25">
        <f>IFERROR(INDEX('Aub Demand'!R:R,MATCH(O1672,'Aub Demand'!A:A,0)),"")</f>
        <v>0</v>
      </c>
      <c r="O1672" s="27" t="s">
        <v>3207</v>
      </c>
      <c r="P1672" s="27" t="str">
        <f>IFERROR(INDEX('Aub Demand'!B:B,MATCH($O1672,'Aub Demand'!$A:$A,0)),"")</f>
        <v>KONA BLEND</v>
      </c>
      <c r="Q1672" s="27" t="str">
        <f>IFERROR(INDEX('Aub Demand'!C:C,MATCH($O1672,'Aub Demand'!$A:$A,0)),"")</f>
        <v>TOPPA</v>
      </c>
      <c r="R1672" s="52">
        <f>IFERROR(IF(AR1673=AR1672,INDEX('Aub Demand'!K:K,MATCH($O1672,'Aub Demand'!$A:$A,0))-IF(AN1672="",0,AN1672)+AP1673,INDEX('Aub Demand'!K:K,MATCH($O1672,'Aub Demand'!$A:$A,0))-IF(AN1672="",0,AN1672)),"")</f>
        <v>1288</v>
      </c>
      <c r="S1672" s="53">
        <f t="shared" si="728"/>
        <v>42.5</v>
      </c>
      <c r="T1672" s="52" t="str">
        <f t="shared" si="729"/>
        <v/>
      </c>
      <c r="U1672" s="52">
        <f>IFERROR(IF(AR1673=AR1672,INDEX('Aub Demand'!Q:Q,MATCH($O1672,'Aub Demand'!$A:$A,0))-IF(AN1672="",0,AN1672)+AP1673,INDEX('Aub Demand'!Q:Q,MATCH($O1672,'Aub Demand'!$A:$A,0))-IF(AN1672="",0,AN1672)),"")</f>
        <v>1247</v>
      </c>
      <c r="V1672" s="53">
        <f t="shared" si="730"/>
        <v>41.1</v>
      </c>
      <c r="W1672" s="52" t="str">
        <f t="shared" si="731"/>
        <v/>
      </c>
      <c r="X1672" s="52">
        <f>IFERROR(IF(AND(AR1673=AR1672,AM1672&lt;&gt;""),INDEX('Aub Demand'!Q:Q,MATCH($O1672,'Aub Demand'!$A:$A,0))-IF(AN1672="",0,AN1672)+AP1673+AD1672+AL1672,IF(AR1673=AR1672,INDEX('Aub Demand'!Q:Q,MATCH($O1672,'Aub Demand'!$A:$A,0))-IF(AN1672="",0,AN1672)+AP1673+AD1672,IF(AM1672&lt;&gt;"",INDEX('Aub Demand'!Q:Q,MATCH($O1672,'Aub Demand'!$A:$A,0))-IF(AN1672="",0,AN1672)+AD1672+AL1672,INDEX('Aub Demand'!Q:Q,MATCH($O1672,'Aub Demand'!$A:$A,0))-IF(AN1672="",0,AN1672)+AD1672))),"")</f>
        <v>1247</v>
      </c>
      <c r="Y1672" s="53">
        <f t="shared" si="732"/>
        <v>41.1</v>
      </c>
      <c r="Z1672" s="52">
        <f>IF(L1672="","",INDEX('Aub Demand'!H:H,MATCH($O1672,'Aub Demand'!$A:$A,0)))</f>
        <v>130</v>
      </c>
      <c r="AA1672" s="52">
        <f t="shared" si="733"/>
        <v>183.5</v>
      </c>
      <c r="AB1672" s="52">
        <f>IFERROR(INDEX('Aub Demand'!L:L,MATCH($O1672,'Aub Demand'!$A:$A,0)),"")</f>
        <v>32</v>
      </c>
      <c r="AC1672" s="52">
        <f>IFERROR(IF(O1672="","",SUMIFS('CPL Mats'!F:F,'CPL Mats'!Q:Q,AR1672,'CPL Mats'!S:S,AS1672)),"")</f>
        <v>0</v>
      </c>
      <c r="AF1672" s="25" t="str">
        <f>IF(SUMIFS('Supp Consol'!S:S,'Supp Consol'!Y:Y,"Releasable",'Supp Consol'!A:A,O1672)=0,"",SUMIFS('Supp Consol'!S:S,'Supp Consol'!Y:Y,"Releasable",'Supp Consol'!A:A,O1672))</f>
        <v/>
      </c>
      <c r="AG1672" s="25" t="str">
        <f>IFERROR(INDEX('Hun Demand'!Q:Q,MATCH(O1672,'Hun Demand'!A:A,0)),"")</f>
        <v/>
      </c>
      <c r="AH1672" s="25" t="str">
        <f>IFERROR(INDEX('Hun Demand'!H:H,MATCH($O1672,'Hun Demand'!$A:$A,0)),"")</f>
        <v/>
      </c>
      <c r="AI1672" s="25" t="str">
        <f>IF(SUMIFS('Supp Consol'!AA:AA,'Supp Consol'!Z:Z,"Expires this month",'Supp Consol'!A:A,O1672)=0,"",SUMIFS('Supp Consol'!AA:AA,'Supp Consol'!Z:Z,"Expires this month",'Supp Consol'!A:A,O1672))</f>
        <v/>
      </c>
      <c r="AJ1672" s="25" t="str">
        <f>IF(SUMIFS('Supp Consol'!AA:AA,'Supp Consol'!Z:Z,"Expired Previous Months",'Supp Consol'!A:A,O1672)=0,"",SUMIFS('Supp Consol'!AA:AA,'Supp Consol'!Z:Z,"Expired Previous Months",'Supp Consol'!A:A,O1672))</f>
        <v/>
      </c>
      <c r="AK1672" s="25" t="str">
        <f>IFERROR(INDEX('Hun Release Current'!B:B,MATCH(O1672,'Hun Release Current'!A:A,0)),"")</f>
        <v/>
      </c>
      <c r="AL1672" s="25" t="str">
        <f>IF(SUMIF('Prev Aub'!A:A,O1672,'Prev Aub'!B:B)=0,"",SUMIF('Prev Aub'!A:A,O1672,'Prev Aub'!B:B))</f>
        <v/>
      </c>
      <c r="AN1672" s="25" t="s">
        <v>3790</v>
      </c>
      <c r="AO1672" s="25" t="s">
        <v>3790</v>
      </c>
      <c r="AP1672" s="25">
        <f t="shared" si="734"/>
        <v>0</v>
      </c>
      <c r="AQ1672" s="151" t="str">
        <f>IF(SUMIFS('Supp Consol'!S:S,'Supp Consol'!A:A,O1672,'Supp Consol'!I:I,"PENDING")=0,"",SUMIFS('Supp Consol'!S:S,'Supp Consol'!A:A,O1672,'Supp Consol'!I:I,"PENDING"))</f>
        <v/>
      </c>
      <c r="AR1672" s="27" t="str">
        <f t="shared" si="735"/>
        <v>WZ028</v>
      </c>
      <c r="AS1672" s="27" t="str">
        <f t="shared" si="736"/>
        <v>62</v>
      </c>
      <c r="AT1672" s="27" t="str">
        <f t="shared" si="737"/>
        <v/>
      </c>
      <c r="AU1672" s="27" t="str">
        <f t="shared" si="738"/>
        <v/>
      </c>
      <c r="AV1672" s="27" t="str">
        <f t="shared" si="739"/>
        <v/>
      </c>
      <c r="AW1672" s="27" t="str">
        <f t="shared" si="740"/>
        <v/>
      </c>
      <c r="AX1672" s="27" t="str">
        <f t="shared" si="741"/>
        <v/>
      </c>
      <c r="AY1672" s="27" t="str">
        <f t="shared" si="742"/>
        <v/>
      </c>
      <c r="AZ1672" s="27" t="str">
        <f t="shared" si="743"/>
        <v/>
      </c>
      <c r="BA1672" s="27" t="str">
        <f t="shared" si="744"/>
        <v/>
      </c>
      <c r="BB1672" s="27" t="str">
        <f t="shared" si="745"/>
        <v/>
      </c>
      <c r="BC1672" s="27" t="str">
        <f t="shared" si="746"/>
        <v/>
      </c>
      <c r="BD1672" s="27" t="str">
        <f t="shared" si="747"/>
        <v/>
      </c>
      <c r="BE1672" s="27" t="str">
        <f t="shared" si="748"/>
        <v/>
      </c>
      <c r="BF1672" s="27" t="str">
        <f t="shared" si="749"/>
        <v/>
      </c>
      <c r="BG1672" s="27" t="str">
        <f t="shared" si="750"/>
        <v/>
      </c>
      <c r="BH1672" s="27" t="str">
        <f t="shared" si="751"/>
        <v/>
      </c>
      <c r="BI1672" s="27" t="str">
        <f t="shared" si="752"/>
        <v/>
      </c>
      <c r="BJ1672" s="27" t="str">
        <f t="shared" si="753"/>
        <v/>
      </c>
      <c r="BK1672" s="27" t="str">
        <f t="shared" si="754"/>
        <v/>
      </c>
      <c r="BL1672" s="27" t="str">
        <f t="shared" si="755"/>
        <v/>
      </c>
      <c r="BM1672" s="21" t="s">
        <v>5581</v>
      </c>
    </row>
    <row r="1673" spans="1:65" ht="15">
      <c r="A1673" s="25" t="str">
        <f>IFERROR(INDEX('Hun Demand'!W:W,MATCH(O1673,'Hun Demand'!A:A,0)),"")</f>
        <v/>
      </c>
      <c r="B1673" s="25" t="str">
        <f>IFERROR(INDEX('Hun Demand'!V:V,MATCH(O1673,'Hun Demand'!A:A,0)),"")</f>
        <v/>
      </c>
      <c r="C1673" s="25" t="str">
        <f>IFERROR(INDEX('Hun Demand'!U:U,MATCH(O1673,'Hun Demand'!A:A,0)),"")</f>
        <v/>
      </c>
      <c r="D1673" s="25" t="str">
        <f>IFERROR(INDEX('Hun Demand'!T:T,MATCH(O1673,'Hun Demand'!A:A,0)),"")</f>
        <v/>
      </c>
      <c r="E1673" s="25" t="str">
        <f>IFERROR(INDEX('Hun Demand'!S:S,MATCH(O1673,'Hun Demand'!A:A,0)),"")</f>
        <v/>
      </c>
      <c r="F1673" s="25" t="str">
        <f>IFERROR(INDEX('Hun Demand'!R:R,MATCH(O1673,'Hun Demand'!A:A,0)),"")</f>
        <v/>
      </c>
      <c r="G1673" s="25">
        <f>IFERROR(INDEX('Aub Demand'!W:W,MATCH(O1673,'Aub Demand'!A:A,0)),"")</f>
        <v>0</v>
      </c>
      <c r="H1673" s="25">
        <f>IFERROR(INDEX('Aub Demand'!V:V,MATCH(O1673,'Aub Demand'!A:A,0)),"")</f>
        <v>0</v>
      </c>
      <c r="I1673" s="25">
        <f>IFERROR(INDEX('Aub Demand'!U:U,MATCH(O1673,'Aub Demand'!A:A,0)),"")</f>
        <v>0</v>
      </c>
      <c r="J1673" s="25">
        <f>IFERROR(INDEX('Aub Demand'!T:T,MATCH(O1673,'Aub Demand'!A:A,0)),"")</f>
        <v>0</v>
      </c>
      <c r="K1673" s="25">
        <f>IFERROR(INDEX('Aub Demand'!S:S,MATCH(O1673,'Aub Demand'!A:A,0)),"")</f>
        <v>0</v>
      </c>
      <c r="L1673" s="25">
        <f>IFERROR(INDEX('Aub Demand'!R:R,MATCH(O1673,'Aub Demand'!A:A,0)),"")</f>
        <v>0</v>
      </c>
      <c r="O1673" s="27" t="s">
        <v>3209</v>
      </c>
      <c r="P1673" s="27" t="str">
        <f>IFERROR(INDEX('Aub Demand'!B:B,MATCH($O1673,'Aub Demand'!$A:$A,0)),"")</f>
        <v>KONA BLEND LPL</v>
      </c>
      <c r="Q1673" s="27" t="str">
        <f>IFERROR(INDEX('Aub Demand'!C:C,MATCH($O1673,'Aub Demand'!$A:$A,0)),"")</f>
        <v>TOPPA</v>
      </c>
      <c r="R1673" s="52">
        <f>IFERROR(IF(AR1674=AR1673,INDEX('Aub Demand'!K:K,MATCH($O1673,'Aub Demand'!$A:$A,0))-IF(AN1673="",0,AN1673)+AP1674,INDEX('Aub Demand'!K:K,MATCH($O1673,'Aub Demand'!$A:$A,0))-IF(AN1673="",0,AN1673)),"")</f>
        <v>1339</v>
      </c>
      <c r="S1673" s="53" t="str">
        <f t="shared" si="728"/>
        <v>n/a</v>
      </c>
      <c r="T1673" s="52" t="str">
        <f t="shared" si="729"/>
        <v/>
      </c>
      <c r="U1673" s="52">
        <f>IFERROR(IF(AR1674=AR1673,INDEX('Aub Demand'!Q:Q,MATCH($O1673,'Aub Demand'!$A:$A,0))-IF(AN1673="",0,AN1673)+AP1674,INDEX('Aub Demand'!Q:Q,MATCH($O1673,'Aub Demand'!$A:$A,0))-IF(AN1673="",0,AN1673)),"")</f>
        <v>1339</v>
      </c>
      <c r="V1673" s="53" t="str">
        <f t="shared" si="730"/>
        <v>n/a</v>
      </c>
      <c r="W1673" s="52" t="str">
        <f t="shared" si="731"/>
        <v/>
      </c>
      <c r="X1673" s="52">
        <f>IFERROR(IF(AND(AR1674=AR1673,AM1673&lt;&gt;""),INDEX('Aub Demand'!Q:Q,MATCH($O1673,'Aub Demand'!$A:$A,0))-IF(AN1673="",0,AN1673)+AP1674+AD1673+AL1673,IF(AR1674=AR1673,INDEX('Aub Demand'!Q:Q,MATCH($O1673,'Aub Demand'!$A:$A,0))-IF(AN1673="",0,AN1673)+AP1674+AD1673,IF(AM1673&lt;&gt;"",INDEX('Aub Demand'!Q:Q,MATCH($O1673,'Aub Demand'!$A:$A,0))-IF(AN1673="",0,AN1673)+AD1673+AL1673,INDEX('Aub Demand'!Q:Q,MATCH($O1673,'Aub Demand'!$A:$A,0))-IF(AN1673="",0,AN1673)+AD1673))),"")</f>
        <v>1339</v>
      </c>
      <c r="Y1673" s="53" t="str">
        <f t="shared" si="732"/>
        <v>n/a</v>
      </c>
      <c r="Z1673" s="52">
        <f>IF(L1673="","",INDEX('Aub Demand'!H:H,MATCH($O1673,'Aub Demand'!$A:$A,0)))</f>
        <v>0</v>
      </c>
      <c r="AA1673" s="52" t="str">
        <f t="shared" si="733"/>
        <v>-spike-</v>
      </c>
      <c r="AB1673" s="52">
        <f>IFERROR(INDEX('Aub Demand'!L:L,MATCH($O1673,'Aub Demand'!$A:$A,0)),"")</f>
        <v>0</v>
      </c>
      <c r="AC1673" s="52">
        <f>IFERROR(IF(O1673="","",SUMIFS('CPL Mats'!F:F,'CPL Mats'!Q:Q,AR1673,'CPL Mats'!S:S,AS1673)),"")</f>
        <v>0</v>
      </c>
      <c r="AF1673" s="25" t="str">
        <f>IF(SUMIFS('Supp Consol'!S:S,'Supp Consol'!Y:Y,"Releasable",'Supp Consol'!A:A,O1673)=0,"",SUMIFS('Supp Consol'!S:S,'Supp Consol'!Y:Y,"Releasable",'Supp Consol'!A:A,O1673))</f>
        <v/>
      </c>
      <c r="AG1673" s="25" t="str">
        <f>IFERROR(INDEX('Hun Demand'!Q:Q,MATCH(O1673,'Hun Demand'!A:A,0)),"")</f>
        <v/>
      </c>
      <c r="AH1673" s="25" t="str">
        <f>IFERROR(INDEX('Hun Demand'!H:H,MATCH($O1673,'Hun Demand'!$A:$A,0)),"")</f>
        <v/>
      </c>
      <c r="AI1673" s="25" t="str">
        <f>IF(SUMIFS('Supp Consol'!AA:AA,'Supp Consol'!Z:Z,"Expires this month",'Supp Consol'!A:A,O1673)=0,"",SUMIFS('Supp Consol'!AA:AA,'Supp Consol'!Z:Z,"Expires this month",'Supp Consol'!A:A,O1673))</f>
        <v/>
      </c>
      <c r="AJ1673" s="25" t="str">
        <f>IF(SUMIFS('Supp Consol'!AA:AA,'Supp Consol'!Z:Z,"Expired Previous Months",'Supp Consol'!A:A,O1673)=0,"",SUMIFS('Supp Consol'!AA:AA,'Supp Consol'!Z:Z,"Expired Previous Months",'Supp Consol'!A:A,O1673))</f>
        <v/>
      </c>
      <c r="AK1673" s="25" t="str">
        <f>IFERROR(INDEX('Hun Release Current'!B:B,MATCH(O1673,'Hun Release Current'!A:A,0)),"")</f>
        <v/>
      </c>
      <c r="AL1673" s="25" t="str">
        <f>IF(SUMIF('Prev Aub'!A:A,O1673,'Prev Aub'!B:B)=0,"",SUMIF('Prev Aub'!A:A,O1673,'Prev Aub'!B:B))</f>
        <v/>
      </c>
      <c r="AN1673" s="25" t="s">
        <v>3790</v>
      </c>
      <c r="AO1673" s="25" t="s">
        <v>3790</v>
      </c>
      <c r="AP1673" s="25">
        <f t="shared" si="734"/>
        <v>0</v>
      </c>
      <c r="AQ1673" s="151" t="str">
        <f>IF(SUMIFS('Supp Consol'!S:S,'Supp Consol'!A:A,O1673,'Supp Consol'!I:I,"PENDING")=0,"",SUMIFS('Supp Consol'!S:S,'Supp Consol'!A:A,O1673,'Supp Consol'!I:I,"PENDING"))</f>
        <v/>
      </c>
      <c r="AR1673" s="27" t="str">
        <f t="shared" si="735"/>
        <v>WZ037</v>
      </c>
      <c r="AS1673" s="27" t="str">
        <f t="shared" si="736"/>
        <v>50</v>
      </c>
      <c r="AT1673" s="27" t="str">
        <f t="shared" si="737"/>
        <v/>
      </c>
      <c r="AU1673" s="27" t="str">
        <f t="shared" si="738"/>
        <v/>
      </c>
      <c r="AV1673" s="27" t="str">
        <f t="shared" si="739"/>
        <v/>
      </c>
      <c r="AW1673" s="27" t="str">
        <f t="shared" si="740"/>
        <v/>
      </c>
      <c r="AX1673" s="27" t="str">
        <f t="shared" si="741"/>
        <v/>
      </c>
      <c r="AY1673" s="27" t="str">
        <f t="shared" si="742"/>
        <v/>
      </c>
      <c r="AZ1673" s="27" t="str">
        <f t="shared" si="743"/>
        <v/>
      </c>
      <c r="BA1673" s="27" t="str">
        <f t="shared" si="744"/>
        <v>Hun</v>
      </c>
      <c r="BB1673" s="27" t="str">
        <f t="shared" si="745"/>
        <v/>
      </c>
      <c r="BC1673" s="27" t="str">
        <f t="shared" si="746"/>
        <v/>
      </c>
      <c r="BD1673" s="27" t="str">
        <f t="shared" si="747"/>
        <v/>
      </c>
      <c r="BE1673" s="27" t="str">
        <f t="shared" si="748"/>
        <v/>
      </c>
      <c r="BF1673" s="27" t="str">
        <f t="shared" si="749"/>
        <v/>
      </c>
      <c r="BG1673" s="27" t="str">
        <f t="shared" si="750"/>
        <v/>
      </c>
      <c r="BH1673" s="27" t="str">
        <f t="shared" si="751"/>
        <v/>
      </c>
      <c r="BI1673" s="27" t="str">
        <f t="shared" si="752"/>
        <v/>
      </c>
      <c r="BJ1673" s="27" t="str">
        <f t="shared" si="753"/>
        <v>Supp or Hun</v>
      </c>
      <c r="BK1673" s="27" t="str">
        <f t="shared" si="754"/>
        <v/>
      </c>
      <c r="BL1673" s="27" t="str">
        <f t="shared" si="755"/>
        <v/>
      </c>
      <c r="BM1673" s="21" t="s">
        <v>5582</v>
      </c>
    </row>
    <row r="1674" spans="1:65" ht="15">
      <c r="A1674" s="25">
        <f>IFERROR(INDEX('Hun Demand'!W:W,MATCH(O1674,'Hun Demand'!A:A,0)),"")</f>
        <v>0</v>
      </c>
      <c r="B1674" s="25">
        <f>IFERROR(INDEX('Hun Demand'!V:V,MATCH(O1674,'Hun Demand'!A:A,0)),"")</f>
        <v>0</v>
      </c>
      <c r="C1674" s="25">
        <f>IFERROR(INDEX('Hun Demand'!U:U,MATCH(O1674,'Hun Demand'!A:A,0)),"")</f>
        <v>312</v>
      </c>
      <c r="D1674" s="25">
        <f>IFERROR(INDEX('Hun Demand'!T:T,MATCH(O1674,'Hun Demand'!A:A,0)),"")</f>
        <v>0</v>
      </c>
      <c r="E1674" s="25">
        <f>IFERROR(INDEX('Hun Demand'!S:S,MATCH(O1674,'Hun Demand'!A:A,0)),"")</f>
        <v>0</v>
      </c>
      <c r="F1674" s="25">
        <f>IFERROR(INDEX('Hun Demand'!R:R,MATCH(O1674,'Hun Demand'!A:A,0)),"")</f>
        <v>0</v>
      </c>
      <c r="G1674" s="25">
        <f>IFERROR(INDEX('Aub Demand'!W:W,MATCH(O1674,'Aub Demand'!A:A,0)),"")</f>
        <v>0</v>
      </c>
      <c r="H1674" s="25">
        <f>IFERROR(INDEX('Aub Demand'!V:V,MATCH(O1674,'Aub Demand'!A:A,0)),"")</f>
        <v>0</v>
      </c>
      <c r="I1674" s="25">
        <f>IFERROR(INDEX('Aub Demand'!U:U,MATCH(O1674,'Aub Demand'!A:A,0)),"")</f>
        <v>0</v>
      </c>
      <c r="J1674" s="25">
        <f>IFERROR(INDEX('Aub Demand'!T:T,MATCH(O1674,'Aub Demand'!A:A,0)),"")</f>
        <v>0</v>
      </c>
      <c r="K1674" s="25">
        <f>IFERROR(INDEX('Aub Demand'!S:S,MATCH(O1674,'Aub Demand'!A:A,0)),"")</f>
        <v>0</v>
      </c>
      <c r="L1674" s="25">
        <f>IFERROR(INDEX('Aub Demand'!R:R,MATCH(O1674,'Aub Demand'!A:A,0)),"")</f>
        <v>0</v>
      </c>
      <c r="O1674" s="27" t="s">
        <v>3212</v>
      </c>
      <c r="P1674" s="27" t="str">
        <f>IFERROR(INDEX('Aub Demand'!B:B,MATCH($O1674,'Aub Demand'!$A:$A,0)),"")</f>
        <v>KONA BLEND LPL</v>
      </c>
      <c r="Q1674" s="27" t="str">
        <f>IFERROR(INDEX('Aub Demand'!C:C,MATCH($O1674,'Aub Demand'!$A:$A,0)),"")</f>
        <v>TOPPA</v>
      </c>
      <c r="R1674" s="52">
        <f>IFERROR(IF(AR1675=AR1674,INDEX('Aub Demand'!K:K,MATCH($O1674,'Aub Demand'!$A:$A,0))-IF(AN1674="",0,AN1674)+AP1675,INDEX('Aub Demand'!K:K,MATCH($O1674,'Aub Demand'!$A:$A,0))-IF(AN1674="",0,AN1674)),"")</f>
        <v>68</v>
      </c>
      <c r="S1674" s="53" t="str">
        <f t="shared" si="728"/>
        <v>n/a</v>
      </c>
      <c r="T1674" s="52" t="str">
        <f t="shared" si="729"/>
        <v/>
      </c>
      <c r="U1674" s="52">
        <f>IFERROR(IF(AR1675=AR1674,INDEX('Aub Demand'!Q:Q,MATCH($O1674,'Aub Demand'!$A:$A,0))-IF(AN1674="",0,AN1674)+AP1675,INDEX('Aub Demand'!Q:Q,MATCH($O1674,'Aub Demand'!$A:$A,0))-IF(AN1674="",0,AN1674)),"")</f>
        <v>68</v>
      </c>
      <c r="V1674" s="53" t="str">
        <f t="shared" si="730"/>
        <v>n/a</v>
      </c>
      <c r="W1674" s="52" t="str">
        <f t="shared" si="731"/>
        <v/>
      </c>
      <c r="X1674" s="52">
        <f>IFERROR(IF(AND(AR1675=AR1674,AM1674&lt;&gt;""),INDEX('Aub Demand'!Q:Q,MATCH($O1674,'Aub Demand'!$A:$A,0))-IF(AN1674="",0,AN1674)+AP1675+AD1674+AL1674,IF(AR1675=AR1674,INDEX('Aub Demand'!Q:Q,MATCH($O1674,'Aub Demand'!$A:$A,0))-IF(AN1674="",0,AN1674)+AP1675+AD1674,IF(AM1674&lt;&gt;"",INDEX('Aub Demand'!Q:Q,MATCH($O1674,'Aub Demand'!$A:$A,0))-IF(AN1674="",0,AN1674)+AD1674+AL1674,INDEX('Aub Demand'!Q:Q,MATCH($O1674,'Aub Demand'!$A:$A,0))-IF(AN1674="",0,AN1674)+AD1674))),"")</f>
        <v>68</v>
      </c>
      <c r="Y1674" s="53" t="str">
        <f t="shared" si="732"/>
        <v>n/a</v>
      </c>
      <c r="Z1674" s="52">
        <f>IF(L1674="","",INDEX('Aub Demand'!H:H,MATCH($O1674,'Aub Demand'!$A:$A,0)))</f>
        <v>0</v>
      </c>
      <c r="AA1674" s="52" t="str">
        <f t="shared" si="733"/>
        <v>-spike-</v>
      </c>
      <c r="AB1674" s="52">
        <f>IFERROR(INDEX('Aub Demand'!L:L,MATCH($O1674,'Aub Demand'!$A:$A,0)),"")</f>
        <v>0</v>
      </c>
      <c r="AC1674" s="52">
        <f>IFERROR(IF(O1674="","",SUMIFS('CPL Mats'!F:F,'CPL Mats'!Q:Q,AR1674,'CPL Mats'!S:S,AS1674)),"")</f>
        <v>0</v>
      </c>
      <c r="AF1674" s="25" t="str">
        <f>IF(SUMIFS('Supp Consol'!S:S,'Supp Consol'!Y:Y,"Releasable",'Supp Consol'!A:A,O1674)=0,"",SUMIFS('Supp Consol'!S:S,'Supp Consol'!Y:Y,"Releasable",'Supp Consol'!A:A,O1674))</f>
        <v/>
      </c>
      <c r="AG1674" s="25">
        <f>IFERROR(INDEX('Hun Demand'!Q:Q,MATCH(O1674,'Hun Demand'!A:A,0)),"")</f>
        <v>527</v>
      </c>
      <c r="AH1674" s="25">
        <f>IFERROR(INDEX('Hun Demand'!H:H,MATCH($O1674,'Hun Demand'!$A:$A,0)),"")</f>
        <v>104</v>
      </c>
      <c r="AI1674" s="25" t="str">
        <f>IF(SUMIFS('Supp Consol'!AA:AA,'Supp Consol'!Z:Z,"Expires this month",'Supp Consol'!A:A,O1674)=0,"",SUMIFS('Supp Consol'!AA:AA,'Supp Consol'!Z:Z,"Expires this month",'Supp Consol'!A:A,O1674))</f>
        <v/>
      </c>
      <c r="AJ1674" s="25" t="str">
        <f>IF(SUMIFS('Supp Consol'!AA:AA,'Supp Consol'!Z:Z,"Expired Previous Months",'Supp Consol'!A:A,O1674)=0,"",SUMIFS('Supp Consol'!AA:AA,'Supp Consol'!Z:Z,"Expired Previous Months",'Supp Consol'!A:A,O1674))</f>
        <v/>
      </c>
      <c r="AK1674" s="25" t="str">
        <f>IFERROR(INDEX('Hun Release Current'!B:B,MATCH(O1674,'Hun Release Current'!A:A,0)),"")</f>
        <v/>
      </c>
      <c r="AL1674" s="25" t="str">
        <f>IF(SUMIF('Prev Aub'!A:A,O1674,'Prev Aub'!B:B)=0,"",SUMIF('Prev Aub'!A:A,O1674,'Prev Aub'!B:B))</f>
        <v/>
      </c>
      <c r="AN1674" s="25" t="s">
        <v>3790</v>
      </c>
      <c r="AO1674" s="25" t="s">
        <v>3790</v>
      </c>
      <c r="AP1674" s="25">
        <f t="shared" si="734"/>
        <v>0</v>
      </c>
      <c r="AQ1674" s="151" t="str">
        <f>IF(SUMIFS('Supp Consol'!S:S,'Supp Consol'!A:A,O1674,'Supp Consol'!I:I,"PENDING")=0,"",SUMIFS('Supp Consol'!S:S,'Supp Consol'!A:A,O1674,'Supp Consol'!I:I,"PENDING"))</f>
        <v/>
      </c>
      <c r="AR1674" s="27" t="str">
        <f t="shared" si="735"/>
        <v>WZ037</v>
      </c>
      <c r="AS1674" s="27" t="str">
        <f t="shared" si="736"/>
        <v>62</v>
      </c>
      <c r="AT1674" s="27" t="str">
        <f t="shared" si="737"/>
        <v/>
      </c>
      <c r="AU1674" s="27" t="str">
        <f t="shared" si="738"/>
        <v/>
      </c>
      <c r="AV1674" s="27" t="str">
        <f t="shared" si="739"/>
        <v/>
      </c>
      <c r="AW1674" s="27" t="str">
        <f t="shared" si="740"/>
        <v/>
      </c>
      <c r="AX1674" s="27" t="str">
        <f t="shared" si="741"/>
        <v/>
      </c>
      <c r="AY1674" s="27" t="str">
        <f t="shared" si="742"/>
        <v>WZ037</v>
      </c>
      <c r="AZ1674" s="27" t="str">
        <f t="shared" si="743"/>
        <v/>
      </c>
      <c r="BA1674" s="27" t="str">
        <f t="shared" si="744"/>
        <v>Hun</v>
      </c>
      <c r="BB1674" s="27" t="str">
        <f t="shared" si="745"/>
        <v/>
      </c>
      <c r="BC1674" s="27" t="str">
        <f t="shared" si="746"/>
        <v/>
      </c>
      <c r="BD1674" s="27" t="str">
        <f t="shared" si="747"/>
        <v/>
      </c>
      <c r="BE1674" s="27" t="str">
        <f t="shared" si="748"/>
        <v/>
      </c>
      <c r="BF1674" s="27" t="str">
        <f t="shared" si="749"/>
        <v/>
      </c>
      <c r="BG1674" s="27" t="str">
        <f t="shared" si="750"/>
        <v/>
      </c>
      <c r="BH1674" s="27" t="str">
        <f t="shared" si="751"/>
        <v/>
      </c>
      <c r="BI1674" s="27" t="str">
        <f t="shared" si="752"/>
        <v/>
      </c>
      <c r="BJ1674" s="27" t="str">
        <f t="shared" si="753"/>
        <v>Supp or Hun</v>
      </c>
      <c r="BK1674" s="27" t="str">
        <f t="shared" si="754"/>
        <v/>
      </c>
      <c r="BL1674" s="27" t="str">
        <f t="shared" si="755"/>
        <v/>
      </c>
      <c r="BM1674" s="21" t="s">
        <v>5582</v>
      </c>
    </row>
    <row r="1675" spans="1:65" ht="15">
      <c r="A1675" s="25" t="str">
        <f>IFERROR(INDEX('Hun Demand'!W:W,MATCH(O1675,'Hun Demand'!A:A,0)),"")</f>
        <v/>
      </c>
      <c r="B1675" s="25" t="str">
        <f>IFERROR(INDEX('Hun Demand'!V:V,MATCH(O1675,'Hun Demand'!A:A,0)),"")</f>
        <v/>
      </c>
      <c r="C1675" s="25" t="str">
        <f>IFERROR(INDEX('Hun Demand'!U:U,MATCH(O1675,'Hun Demand'!A:A,0)),"")</f>
        <v/>
      </c>
      <c r="D1675" s="25" t="str">
        <f>IFERROR(INDEX('Hun Demand'!T:T,MATCH(O1675,'Hun Demand'!A:A,0)),"")</f>
        <v/>
      </c>
      <c r="E1675" s="25" t="str">
        <f>IFERROR(INDEX('Hun Demand'!S:S,MATCH(O1675,'Hun Demand'!A:A,0)),"")</f>
        <v/>
      </c>
      <c r="F1675" s="25" t="str">
        <f>IFERROR(INDEX('Hun Demand'!R:R,MATCH(O1675,'Hun Demand'!A:A,0)),"")</f>
        <v/>
      </c>
      <c r="G1675" s="25">
        <f>IFERROR(INDEX('Aub Demand'!W:W,MATCH(O1675,'Aub Demand'!A:A,0)),"")</f>
        <v>18</v>
      </c>
      <c r="H1675" s="25">
        <f>IFERROR(INDEX('Aub Demand'!V:V,MATCH(O1675,'Aub Demand'!A:A,0)),"")</f>
        <v>4</v>
      </c>
      <c r="I1675" s="25">
        <f>IFERROR(INDEX('Aub Demand'!U:U,MATCH(O1675,'Aub Demand'!A:A,0)),"")</f>
        <v>0</v>
      </c>
      <c r="J1675" s="25">
        <f>IFERROR(INDEX('Aub Demand'!T:T,MATCH(O1675,'Aub Demand'!A:A,0)),"")</f>
        <v>16</v>
      </c>
      <c r="K1675" s="25">
        <f>IFERROR(INDEX('Aub Demand'!S:S,MATCH(O1675,'Aub Demand'!A:A,0)),"")</f>
        <v>32</v>
      </c>
      <c r="L1675" s="25">
        <f>IFERROR(INDEX('Aub Demand'!R:R,MATCH(O1675,'Aub Demand'!A:A,0)),"")</f>
        <v>0</v>
      </c>
      <c r="O1675" s="27" t="s">
        <v>3214</v>
      </c>
      <c r="P1675" s="27" t="str">
        <f>IFERROR(INDEX('Aub Demand'!B:B,MATCH($O1675,'Aub Demand'!$A:$A,0)),"")</f>
        <v>VALIDATE WE DO</v>
      </c>
      <c r="Q1675" s="27" t="str">
        <f>IFERROR(INDEX('Aub Demand'!C:C,MATCH($O1675,'Aub Demand'!$A:$A,0)),"")</f>
        <v>INTER</v>
      </c>
      <c r="R1675" s="52">
        <f>IFERROR(IF(AR1676=AR1675,INDEX('Aub Demand'!K:K,MATCH($O1675,'Aub Demand'!$A:$A,0))-IF(AN1675="",0,AN1675)+AP1676,INDEX('Aub Demand'!K:K,MATCH($O1675,'Aub Demand'!$A:$A,0))-IF(AN1675="",0,AN1675)),"")</f>
        <v>0</v>
      </c>
      <c r="S1675" s="53">
        <f t="shared" si="728"/>
        <v>0</v>
      </c>
      <c r="T1675" s="52">
        <f t="shared" si="729"/>
        <v>18</v>
      </c>
      <c r="U1675" s="52">
        <f>IFERROR(IF(AR1676=AR1675,INDEX('Aub Demand'!Q:Q,MATCH($O1675,'Aub Demand'!$A:$A,0))-IF(AN1675="",0,AN1675)+AP1676,INDEX('Aub Demand'!Q:Q,MATCH($O1675,'Aub Demand'!$A:$A,0))-IF(AN1675="",0,AN1675)),"")</f>
        <v>0</v>
      </c>
      <c r="V1675" s="53">
        <f t="shared" si="730"/>
        <v>0</v>
      </c>
      <c r="W1675" s="52">
        <f t="shared" si="731"/>
        <v>18</v>
      </c>
      <c r="X1675" s="52">
        <f>IFERROR(IF(AND(AR1676=AR1675,AM1675&lt;&gt;""),INDEX('Aub Demand'!Q:Q,MATCH($O1675,'Aub Demand'!$A:$A,0))-IF(AN1675="",0,AN1675)+AP1676+AD1675+AL1675,IF(AR1676=AR1675,INDEX('Aub Demand'!Q:Q,MATCH($O1675,'Aub Demand'!$A:$A,0))-IF(AN1675="",0,AN1675)+AP1676+AD1675,IF(AM1675&lt;&gt;"",INDEX('Aub Demand'!Q:Q,MATCH($O1675,'Aub Demand'!$A:$A,0))-IF(AN1675="",0,AN1675)+AD1675+AL1675,INDEX('Aub Demand'!Q:Q,MATCH($O1675,'Aub Demand'!$A:$A,0))-IF(AN1675="",0,AN1675)+AD1675))),"")</f>
        <v>0</v>
      </c>
      <c r="Y1675" s="53">
        <f t="shared" si="732"/>
        <v>0</v>
      </c>
      <c r="Z1675" s="52">
        <f>IF(L1675="","",INDEX('Aub Demand'!H:H,MATCH($O1675,'Aub Demand'!$A:$A,0)))</f>
        <v>16</v>
      </c>
      <c r="AA1675" s="52">
        <f t="shared" si="733"/>
        <v>24</v>
      </c>
      <c r="AB1675" s="52">
        <f>IFERROR(INDEX('Aub Demand'!L:L,MATCH($O1675,'Aub Demand'!$A:$A,0)),"")</f>
        <v>4</v>
      </c>
      <c r="AC1675" s="52">
        <f>IFERROR(IF(O1675="","",SUMIFS('CPL Mats'!F:F,'CPL Mats'!Q:Q,AR1675,'CPL Mats'!S:S,AS1675)),"")</f>
        <v>0</v>
      </c>
      <c r="AF1675" s="25" t="str">
        <f>IF(SUMIFS('Supp Consol'!S:S,'Supp Consol'!Y:Y,"Releasable",'Supp Consol'!A:A,O1675)=0,"",SUMIFS('Supp Consol'!S:S,'Supp Consol'!Y:Y,"Releasable",'Supp Consol'!A:A,O1675))</f>
        <v/>
      </c>
      <c r="AG1675" s="25" t="str">
        <f>IFERROR(INDEX('Hun Demand'!Q:Q,MATCH(O1675,'Hun Demand'!A:A,0)),"")</f>
        <v/>
      </c>
      <c r="AH1675" s="25" t="str">
        <f>IFERROR(INDEX('Hun Demand'!H:H,MATCH($O1675,'Hun Demand'!$A:$A,0)),"")</f>
        <v/>
      </c>
      <c r="AI1675" s="25" t="str">
        <f>IF(SUMIFS('Supp Consol'!AA:AA,'Supp Consol'!Z:Z,"Expires this month",'Supp Consol'!A:A,O1675)=0,"",SUMIFS('Supp Consol'!AA:AA,'Supp Consol'!Z:Z,"Expires this month",'Supp Consol'!A:A,O1675))</f>
        <v/>
      </c>
      <c r="AJ1675" s="25" t="str">
        <f>IF(SUMIFS('Supp Consol'!AA:AA,'Supp Consol'!Z:Z,"Expired Previous Months",'Supp Consol'!A:A,O1675)=0,"",SUMIFS('Supp Consol'!AA:AA,'Supp Consol'!Z:Z,"Expired Previous Months",'Supp Consol'!A:A,O1675))</f>
        <v/>
      </c>
      <c r="AK1675" s="25" t="str">
        <f>IFERROR(INDEX('Hun Release Current'!B:B,MATCH(O1675,'Hun Release Current'!A:A,0)),"")</f>
        <v/>
      </c>
      <c r="AL1675" s="25" t="str">
        <f>IF(SUMIF('Prev Aub'!A:A,O1675,'Prev Aub'!B:B)=0,"",SUMIF('Prev Aub'!A:A,O1675,'Prev Aub'!B:B))</f>
        <v/>
      </c>
      <c r="AN1675" s="25" t="s">
        <v>3790</v>
      </c>
      <c r="AO1675" s="25" t="s">
        <v>3790</v>
      </c>
      <c r="AP1675" s="25">
        <f t="shared" si="734"/>
        <v>0</v>
      </c>
      <c r="AQ1675" s="151" t="str">
        <f>IF(SUMIFS('Supp Consol'!S:S,'Supp Consol'!A:A,O1675,'Supp Consol'!I:I,"PENDING")=0,"",SUMIFS('Supp Consol'!S:S,'Supp Consol'!A:A,O1675,'Supp Consol'!I:I,"PENDING"))</f>
        <v/>
      </c>
      <c r="AR1675" s="27" t="str">
        <f t="shared" si="735"/>
        <v>WZ045</v>
      </c>
      <c r="AS1675" s="27" t="str">
        <f t="shared" si="736"/>
        <v>50</v>
      </c>
      <c r="AT1675" s="27" t="str">
        <f t="shared" si="737"/>
        <v>WZ045</v>
      </c>
      <c r="AU1675" s="27" t="str">
        <f t="shared" si="738"/>
        <v>WZ045</v>
      </c>
      <c r="AV1675" s="27" t="str">
        <f t="shared" si="739"/>
        <v>WZ045</v>
      </c>
      <c r="AW1675" s="27" t="str">
        <f t="shared" si="740"/>
        <v/>
      </c>
      <c r="AX1675" s="27" t="str">
        <f t="shared" si="741"/>
        <v/>
      </c>
      <c r="AY1675" s="27" t="str">
        <f t="shared" si="742"/>
        <v/>
      </c>
      <c r="AZ1675" s="27" t="str">
        <f t="shared" si="743"/>
        <v/>
      </c>
      <c r="BA1675" s="27" t="str">
        <f t="shared" si="744"/>
        <v/>
      </c>
      <c r="BB1675" s="27" t="str">
        <f t="shared" si="745"/>
        <v>Gross</v>
      </c>
      <c r="BC1675" s="27" t="str">
        <f t="shared" si="746"/>
        <v>Net</v>
      </c>
      <c r="BD1675" s="27" t="str">
        <f t="shared" si="747"/>
        <v>Net</v>
      </c>
      <c r="BE1675" s="27" t="str">
        <f t="shared" si="748"/>
        <v/>
      </c>
      <c r="BF1675" s="27" t="str">
        <f t="shared" si="749"/>
        <v/>
      </c>
      <c r="BG1675" s="27" t="str">
        <f t="shared" si="750"/>
        <v/>
      </c>
      <c r="BH1675" s="27" t="str">
        <f t="shared" si="751"/>
        <v/>
      </c>
      <c r="BI1675" s="27" t="str">
        <f t="shared" si="752"/>
        <v/>
      </c>
      <c r="BJ1675" s="27" t="str">
        <f t="shared" si="753"/>
        <v/>
      </c>
      <c r="BK1675" s="27" t="str">
        <f t="shared" si="754"/>
        <v/>
      </c>
      <c r="BL1675" s="27" t="str">
        <f t="shared" si="755"/>
        <v/>
      </c>
      <c r="BM1675" s="21" t="s">
        <v>3790</v>
      </c>
    </row>
    <row r="1676" spans="1:65" ht="15">
      <c r="A1676" s="25" t="str">
        <f>IFERROR(INDEX('Hun Demand'!W:W,MATCH(O1676,'Hun Demand'!A:A,0)),"")</f>
        <v/>
      </c>
      <c r="B1676" s="25" t="str">
        <f>IFERROR(INDEX('Hun Demand'!V:V,MATCH(O1676,'Hun Demand'!A:A,0)),"")</f>
        <v/>
      </c>
      <c r="C1676" s="25" t="str">
        <f>IFERROR(INDEX('Hun Demand'!U:U,MATCH(O1676,'Hun Demand'!A:A,0)),"")</f>
        <v/>
      </c>
      <c r="D1676" s="25" t="str">
        <f>IFERROR(INDEX('Hun Demand'!T:T,MATCH(O1676,'Hun Demand'!A:A,0)),"")</f>
        <v/>
      </c>
      <c r="E1676" s="25" t="str">
        <f>IFERROR(INDEX('Hun Demand'!S:S,MATCH(O1676,'Hun Demand'!A:A,0)),"")</f>
        <v/>
      </c>
      <c r="F1676" s="25" t="str">
        <f>IFERROR(INDEX('Hun Demand'!R:R,MATCH(O1676,'Hun Demand'!A:A,0)),"")</f>
        <v/>
      </c>
      <c r="G1676" s="25">
        <f>IFERROR(INDEX('Aub Demand'!W:W,MATCH(O1676,'Aub Demand'!A:A,0)),"")</f>
        <v>0</v>
      </c>
      <c r="H1676" s="25">
        <f>IFERROR(INDEX('Aub Demand'!V:V,MATCH(O1676,'Aub Demand'!A:A,0)),"")</f>
        <v>0</v>
      </c>
      <c r="I1676" s="25">
        <f>IFERROR(INDEX('Aub Demand'!U:U,MATCH(O1676,'Aub Demand'!A:A,0)),"")</f>
        <v>0</v>
      </c>
      <c r="J1676" s="25">
        <f>IFERROR(INDEX('Aub Demand'!T:T,MATCH(O1676,'Aub Demand'!A:A,0)),"")</f>
        <v>0</v>
      </c>
      <c r="K1676" s="25">
        <f>IFERROR(INDEX('Aub Demand'!S:S,MATCH(O1676,'Aub Demand'!A:A,0)),"")</f>
        <v>0</v>
      </c>
      <c r="L1676" s="25">
        <f>IFERROR(INDEX('Aub Demand'!R:R,MATCH(O1676,'Aub Demand'!A:A,0)),"")</f>
        <v>0</v>
      </c>
      <c r="O1676" s="27" t="s">
        <v>3217</v>
      </c>
      <c r="P1676" s="27" t="str">
        <f>IFERROR(INDEX('Aub Demand'!B:B,MATCH($O1676,'Aub Demand'!$A:$A,0)),"")</f>
        <v>VALIDATE WE DO</v>
      </c>
      <c r="Q1676" s="27" t="str">
        <f>IFERROR(INDEX('Aub Demand'!C:C,MATCH($O1676,'Aub Demand'!$A:$A,0)),"")</f>
        <v>INTER</v>
      </c>
      <c r="R1676" s="52">
        <f>IFERROR(IF(AR1677=AR1676,INDEX('Aub Demand'!K:K,MATCH($O1676,'Aub Demand'!$A:$A,0))-IF(AN1676="",0,AN1676)+AP1677,INDEX('Aub Demand'!K:K,MATCH($O1676,'Aub Demand'!$A:$A,0))-IF(AN1676="",0,AN1676)),"")</f>
        <v>1502</v>
      </c>
      <c r="S1676" s="53" t="str">
        <f t="shared" si="728"/>
        <v>n/a</v>
      </c>
      <c r="T1676" s="52" t="str">
        <f t="shared" si="729"/>
        <v/>
      </c>
      <c r="U1676" s="52">
        <f>IFERROR(IF(AR1677=AR1676,INDEX('Aub Demand'!Q:Q,MATCH($O1676,'Aub Demand'!$A:$A,0))-IF(AN1676="",0,AN1676)+AP1677,INDEX('Aub Demand'!Q:Q,MATCH($O1676,'Aub Demand'!$A:$A,0))-IF(AN1676="",0,AN1676)),"")</f>
        <v>1502</v>
      </c>
      <c r="V1676" s="53" t="str">
        <f t="shared" si="730"/>
        <v>n/a</v>
      </c>
      <c r="W1676" s="52" t="str">
        <f t="shared" si="731"/>
        <v/>
      </c>
      <c r="X1676" s="52">
        <f>IFERROR(IF(AND(AR1677=AR1676,AM1676&lt;&gt;""),INDEX('Aub Demand'!Q:Q,MATCH($O1676,'Aub Demand'!$A:$A,0))-IF(AN1676="",0,AN1676)+AP1677+AD1676+AL1676,IF(AR1677=AR1676,INDEX('Aub Demand'!Q:Q,MATCH($O1676,'Aub Demand'!$A:$A,0))-IF(AN1676="",0,AN1676)+AP1677+AD1676,IF(AM1676&lt;&gt;"",INDEX('Aub Demand'!Q:Q,MATCH($O1676,'Aub Demand'!$A:$A,0))-IF(AN1676="",0,AN1676)+AD1676+AL1676,INDEX('Aub Demand'!Q:Q,MATCH($O1676,'Aub Demand'!$A:$A,0))-IF(AN1676="",0,AN1676)+AD1676))),"")</f>
        <v>1502</v>
      </c>
      <c r="Y1676" s="53" t="str">
        <f t="shared" si="732"/>
        <v>n/a</v>
      </c>
      <c r="Z1676" s="52">
        <f>IF(L1676="","",INDEX('Aub Demand'!H:H,MATCH($O1676,'Aub Demand'!$A:$A,0)))</f>
        <v>0</v>
      </c>
      <c r="AA1676" s="52" t="str">
        <f t="shared" si="733"/>
        <v>-spike-</v>
      </c>
      <c r="AB1676" s="52">
        <f>IFERROR(INDEX('Aub Demand'!L:L,MATCH($O1676,'Aub Demand'!$A:$A,0)),"")</f>
        <v>0</v>
      </c>
      <c r="AC1676" s="52">
        <f>IFERROR(IF(O1676="","",SUMIFS('CPL Mats'!F:F,'CPL Mats'!Q:Q,AR1676,'CPL Mats'!S:S,AS1676)),"")</f>
        <v>0</v>
      </c>
      <c r="AF1676" s="25" t="str">
        <f>IF(SUMIFS('Supp Consol'!S:S,'Supp Consol'!Y:Y,"Releasable",'Supp Consol'!A:A,O1676)=0,"",SUMIFS('Supp Consol'!S:S,'Supp Consol'!Y:Y,"Releasable",'Supp Consol'!A:A,O1676))</f>
        <v/>
      </c>
      <c r="AG1676" s="25" t="str">
        <f>IFERROR(INDEX('Hun Demand'!Q:Q,MATCH(O1676,'Hun Demand'!A:A,0)),"")</f>
        <v/>
      </c>
      <c r="AH1676" s="25" t="str">
        <f>IFERROR(INDEX('Hun Demand'!H:H,MATCH($O1676,'Hun Demand'!$A:$A,0)),"")</f>
        <v/>
      </c>
      <c r="AI1676" s="25" t="str">
        <f>IF(SUMIFS('Supp Consol'!AA:AA,'Supp Consol'!Z:Z,"Expires this month",'Supp Consol'!A:A,O1676)=0,"",SUMIFS('Supp Consol'!AA:AA,'Supp Consol'!Z:Z,"Expires this month",'Supp Consol'!A:A,O1676))</f>
        <v/>
      </c>
      <c r="AJ1676" s="25" t="str">
        <f>IF(SUMIFS('Supp Consol'!AA:AA,'Supp Consol'!Z:Z,"Expired Previous Months",'Supp Consol'!A:A,O1676)=0,"",SUMIFS('Supp Consol'!AA:AA,'Supp Consol'!Z:Z,"Expired Previous Months",'Supp Consol'!A:A,O1676))</f>
        <v/>
      </c>
      <c r="AK1676" s="25" t="str">
        <f>IFERROR(INDEX('Hun Release Current'!B:B,MATCH(O1676,'Hun Release Current'!A:A,0)),"")</f>
        <v/>
      </c>
      <c r="AL1676" s="25" t="str">
        <f>IF(SUMIF('Prev Aub'!A:A,O1676,'Prev Aub'!B:B)=0,"",SUMIF('Prev Aub'!A:A,O1676,'Prev Aub'!B:B))</f>
        <v/>
      </c>
      <c r="AN1676" s="25" t="s">
        <v>3790</v>
      </c>
      <c r="AO1676" s="25" t="s">
        <v>3790</v>
      </c>
      <c r="AP1676" s="25">
        <f t="shared" si="734"/>
        <v>0</v>
      </c>
      <c r="AQ1676" s="151" t="str">
        <f>IF(SUMIFS('Supp Consol'!S:S,'Supp Consol'!A:A,O1676,'Supp Consol'!I:I,"PENDING")=0,"",SUMIFS('Supp Consol'!S:S,'Supp Consol'!A:A,O1676,'Supp Consol'!I:I,"PENDING"))</f>
        <v/>
      </c>
      <c r="AR1676" s="27" t="str">
        <f t="shared" si="735"/>
        <v>WZ045</v>
      </c>
      <c r="AS1676" s="27" t="str">
        <f t="shared" si="736"/>
        <v>62</v>
      </c>
      <c r="AT1676" s="27" t="str">
        <f t="shared" si="737"/>
        <v/>
      </c>
      <c r="AU1676" s="27" t="str">
        <f t="shared" si="738"/>
        <v/>
      </c>
      <c r="AV1676" s="27" t="str">
        <f t="shared" si="739"/>
        <v/>
      </c>
      <c r="AW1676" s="27" t="str">
        <f t="shared" si="740"/>
        <v/>
      </c>
      <c r="AX1676" s="27" t="str">
        <f t="shared" si="741"/>
        <v/>
      </c>
      <c r="AY1676" s="27" t="str">
        <f t="shared" si="742"/>
        <v/>
      </c>
      <c r="AZ1676" s="27" t="str">
        <f t="shared" si="743"/>
        <v/>
      </c>
      <c r="BA1676" s="27" t="str">
        <f t="shared" si="744"/>
        <v/>
      </c>
      <c r="BB1676" s="27" t="str">
        <f t="shared" si="745"/>
        <v>Gross</v>
      </c>
      <c r="BC1676" s="27" t="str">
        <f t="shared" si="746"/>
        <v>Net</v>
      </c>
      <c r="BD1676" s="27" t="str">
        <f t="shared" si="747"/>
        <v>Net</v>
      </c>
      <c r="BE1676" s="27" t="str">
        <f t="shared" si="748"/>
        <v/>
      </c>
      <c r="BF1676" s="27" t="str">
        <f t="shared" si="749"/>
        <v/>
      </c>
      <c r="BG1676" s="27" t="str">
        <f t="shared" si="750"/>
        <v/>
      </c>
      <c r="BH1676" s="27" t="str">
        <f t="shared" si="751"/>
        <v/>
      </c>
      <c r="BI1676" s="27" t="str">
        <f t="shared" si="752"/>
        <v/>
      </c>
      <c r="BJ1676" s="27" t="str">
        <f t="shared" si="753"/>
        <v/>
      </c>
      <c r="BK1676" s="27" t="str">
        <f t="shared" si="754"/>
        <v/>
      </c>
      <c r="BL1676" s="27" t="str">
        <f t="shared" si="755"/>
        <v/>
      </c>
      <c r="BM1676" s="21" t="s">
        <v>3790</v>
      </c>
    </row>
    <row r="1677" spans="1:65" ht="15">
      <c r="A1677" s="25">
        <f>IFERROR(INDEX('Hun Demand'!W:W,MATCH(O1677,'Hun Demand'!A:A,0)),"")</f>
        <v>0</v>
      </c>
      <c r="B1677" s="25">
        <f>IFERROR(INDEX('Hun Demand'!V:V,MATCH(O1677,'Hun Demand'!A:A,0)),"")</f>
        <v>0</v>
      </c>
      <c r="C1677" s="25">
        <f>IFERROR(INDEX('Hun Demand'!U:U,MATCH(O1677,'Hun Demand'!A:A,0)),"")</f>
        <v>0</v>
      </c>
      <c r="D1677" s="25">
        <f>IFERROR(INDEX('Hun Demand'!T:T,MATCH(O1677,'Hun Demand'!A:A,0)),"")</f>
        <v>525</v>
      </c>
      <c r="E1677" s="25">
        <f>IFERROR(INDEX('Hun Demand'!S:S,MATCH(O1677,'Hun Demand'!A:A,0)),"")</f>
        <v>0</v>
      </c>
      <c r="F1677" s="25">
        <f>IFERROR(INDEX('Hun Demand'!R:R,MATCH(O1677,'Hun Demand'!A:A,0)),"")</f>
        <v>0</v>
      </c>
      <c r="G1677" s="25">
        <f>IFERROR(INDEX('Aub Demand'!W:W,MATCH(O1677,'Aub Demand'!A:A,0)),"")</f>
        <v>797</v>
      </c>
      <c r="H1677" s="25">
        <f>IFERROR(INDEX('Aub Demand'!V:V,MATCH(O1677,'Aub Demand'!A:A,0)),"")</f>
        <v>19</v>
      </c>
      <c r="I1677" s="25">
        <f>IFERROR(INDEX('Aub Demand'!U:U,MATCH(O1677,'Aub Demand'!A:A,0)),"")</f>
        <v>0</v>
      </c>
      <c r="J1677" s="25">
        <f>IFERROR(INDEX('Aub Demand'!T:T,MATCH(O1677,'Aub Demand'!A:A,0)),"")</f>
        <v>568</v>
      </c>
      <c r="K1677" s="25">
        <f>IFERROR(INDEX('Aub Demand'!S:S,MATCH(O1677,'Aub Demand'!A:A,0)),"")</f>
        <v>182</v>
      </c>
      <c r="L1677" s="25">
        <f>IFERROR(INDEX('Aub Demand'!R:R,MATCH(O1677,'Aub Demand'!A:A,0)),"")</f>
        <v>0</v>
      </c>
      <c r="O1677" s="27" t="s">
        <v>3218</v>
      </c>
      <c r="P1677" s="27" t="str">
        <f>IFERROR(INDEX('Aub Demand'!B:B,MATCH($O1677,'Aub Demand'!$A:$A,0)),"")</f>
        <v>CREMA</v>
      </c>
      <c r="Q1677" s="27" t="str">
        <f>IFERROR(INDEX('Aub Demand'!C:C,MATCH($O1677,'Aub Demand'!$A:$A,0)),"")</f>
        <v>TOPPA</v>
      </c>
      <c r="R1677" s="52">
        <f>IFERROR(IF(AR1678=AR1677,INDEX('Aub Demand'!K:K,MATCH($O1677,'Aub Demand'!$A:$A,0))-IF(AN1677="",0,AN1677)+AP1678,INDEX('Aub Demand'!K:K,MATCH($O1677,'Aub Demand'!$A:$A,0))-IF(AN1677="",0,AN1677)),"")</f>
        <v>295</v>
      </c>
      <c r="S1677" s="53">
        <f t="shared" si="728"/>
        <v>5.0999999999999996</v>
      </c>
      <c r="T1677" s="52" t="str">
        <f t="shared" si="729"/>
        <v/>
      </c>
      <c r="U1677" s="52">
        <f>IFERROR(IF(AR1678=AR1677,INDEX('Aub Demand'!Q:Q,MATCH($O1677,'Aub Demand'!$A:$A,0))-IF(AN1677="",0,AN1677)+AP1678,INDEX('Aub Demand'!Q:Q,MATCH($O1677,'Aub Demand'!$A:$A,0))-IF(AN1677="",0,AN1677)),"")</f>
        <v>146</v>
      </c>
      <c r="V1677" s="53">
        <f t="shared" si="730"/>
        <v>2.5</v>
      </c>
      <c r="W1677" s="52">
        <f t="shared" si="731"/>
        <v>46.875</v>
      </c>
      <c r="X1677" s="52">
        <f>IFERROR(IF(AND(AR1678=AR1677,AM1677&lt;&gt;""),INDEX('Aub Demand'!Q:Q,MATCH($O1677,'Aub Demand'!$A:$A,0))-IF(AN1677="",0,AN1677)+AP1678+AD1677+AL1677,IF(AR1678=AR1677,INDEX('Aub Demand'!Q:Q,MATCH($O1677,'Aub Demand'!$A:$A,0))-IF(AN1677="",0,AN1677)+AP1678+AD1677,IF(AM1677&lt;&gt;"",INDEX('Aub Demand'!Q:Q,MATCH($O1677,'Aub Demand'!$A:$A,0))-IF(AN1677="",0,AN1677)+AD1677+AL1677,INDEX('Aub Demand'!Q:Q,MATCH($O1677,'Aub Demand'!$A:$A,0))-IF(AN1677="",0,AN1677)+AD1677))),"")</f>
        <v>146</v>
      </c>
      <c r="Y1677" s="53">
        <f t="shared" si="732"/>
        <v>2.5</v>
      </c>
      <c r="Z1677" s="52">
        <f>IF(L1677="","",INDEX('Aub Demand'!H:H,MATCH($O1677,'Aub Demand'!$A:$A,0)))</f>
        <v>250</v>
      </c>
      <c r="AA1677" s="52">
        <f t="shared" si="733"/>
        <v>375</v>
      </c>
      <c r="AB1677" s="52">
        <f>IFERROR(INDEX('Aub Demand'!L:L,MATCH($O1677,'Aub Demand'!$A:$A,0)),"")</f>
        <v>172</v>
      </c>
      <c r="AC1677" s="52">
        <f>IFERROR(IF(O1677="","",SUMIFS('CPL Mats'!F:F,'CPL Mats'!Q:Q,AR1677,'CPL Mats'!S:S,AS1677)),"")</f>
        <v>0</v>
      </c>
      <c r="AF1677" s="25" t="str">
        <f>IF(SUMIFS('Supp Consol'!S:S,'Supp Consol'!Y:Y,"Releasable",'Supp Consol'!A:A,O1677)=0,"",SUMIFS('Supp Consol'!S:S,'Supp Consol'!Y:Y,"Releasable",'Supp Consol'!A:A,O1677))</f>
        <v/>
      </c>
      <c r="AG1677" s="25">
        <f>IFERROR(INDEX('Hun Demand'!Q:Q,MATCH(O1677,'Hun Demand'!A:A,0)),"")</f>
        <v>508</v>
      </c>
      <c r="AH1677" s="25">
        <f>IFERROR(INDEX('Hun Demand'!H:H,MATCH($O1677,'Hun Demand'!$A:$A,0)),"")</f>
        <v>175</v>
      </c>
      <c r="AI1677" s="25" t="str">
        <f>IF(SUMIFS('Supp Consol'!AA:AA,'Supp Consol'!Z:Z,"Expires this month",'Supp Consol'!A:A,O1677)=0,"",SUMIFS('Supp Consol'!AA:AA,'Supp Consol'!Z:Z,"Expires this month",'Supp Consol'!A:A,O1677))</f>
        <v/>
      </c>
      <c r="AJ1677" s="25" t="str">
        <f>IF(SUMIFS('Supp Consol'!AA:AA,'Supp Consol'!Z:Z,"Expired Previous Months",'Supp Consol'!A:A,O1677)=0,"",SUMIFS('Supp Consol'!AA:AA,'Supp Consol'!Z:Z,"Expired Previous Months",'Supp Consol'!A:A,O1677))</f>
        <v/>
      </c>
      <c r="AK1677" s="25" t="str">
        <f>IFERROR(INDEX('Hun Release Current'!B:B,MATCH(O1677,'Hun Release Current'!A:A,0)),"")</f>
        <v/>
      </c>
      <c r="AL1677" s="25" t="str">
        <f>IF(SUMIF('Prev Aub'!A:A,O1677,'Prev Aub'!B:B)=0,"",SUMIF('Prev Aub'!A:A,O1677,'Prev Aub'!B:B))</f>
        <v/>
      </c>
      <c r="AN1677" s="25" t="s">
        <v>3790</v>
      </c>
      <c r="AO1677" s="25" t="s">
        <v>3790</v>
      </c>
      <c r="AP1677" s="25">
        <f t="shared" si="734"/>
        <v>0</v>
      </c>
      <c r="AQ1677" s="151" t="str">
        <f>IF(SUMIFS('Supp Consol'!S:S,'Supp Consol'!A:A,O1677,'Supp Consol'!I:I,"PENDING")=0,"",SUMIFS('Supp Consol'!S:S,'Supp Consol'!A:A,O1677,'Supp Consol'!I:I,"PENDING"))</f>
        <v/>
      </c>
      <c r="AR1677" s="27" t="str">
        <f t="shared" si="735"/>
        <v>WZ049</v>
      </c>
      <c r="AS1677" s="27" t="str">
        <f t="shared" si="736"/>
        <v>50</v>
      </c>
      <c r="AT1677" s="27" t="str">
        <f t="shared" si="737"/>
        <v/>
      </c>
      <c r="AU1677" s="27" t="str">
        <f t="shared" si="738"/>
        <v>WZ049</v>
      </c>
      <c r="AV1677" s="27" t="str">
        <f t="shared" si="739"/>
        <v>WZ049</v>
      </c>
      <c r="AW1677" s="27" t="str">
        <f t="shared" si="740"/>
        <v/>
      </c>
      <c r="AX1677" s="27" t="str">
        <f t="shared" si="741"/>
        <v/>
      </c>
      <c r="AY1677" s="27" t="str">
        <f t="shared" si="742"/>
        <v>WZ049</v>
      </c>
      <c r="AZ1677" s="27" t="str">
        <f t="shared" si="743"/>
        <v/>
      </c>
      <c r="BA1677" s="27" t="str">
        <f t="shared" si="744"/>
        <v>Hun</v>
      </c>
      <c r="BB1677" s="27" t="str">
        <f t="shared" si="745"/>
        <v/>
      </c>
      <c r="BC1677" s="27" t="str">
        <f t="shared" si="746"/>
        <v>Net</v>
      </c>
      <c r="BD1677" s="27" t="str">
        <f t="shared" si="747"/>
        <v>Net</v>
      </c>
      <c r="BE1677" s="27" t="str">
        <f t="shared" si="748"/>
        <v/>
      </c>
      <c r="BF1677" s="27" t="str">
        <f t="shared" si="749"/>
        <v/>
      </c>
      <c r="BG1677" s="27" t="str">
        <f t="shared" si="750"/>
        <v/>
      </c>
      <c r="BH1677" s="27" t="str">
        <f t="shared" si="751"/>
        <v>H+N</v>
      </c>
      <c r="BI1677" s="27" t="str">
        <f t="shared" si="752"/>
        <v>H+Nex</v>
      </c>
      <c r="BJ1677" s="27" t="str">
        <f t="shared" si="753"/>
        <v>Supp or Hun</v>
      </c>
      <c r="BK1677" s="27" t="str">
        <f t="shared" si="754"/>
        <v>Supp or Hun Need</v>
      </c>
      <c r="BL1677" s="27" t="str">
        <f t="shared" si="755"/>
        <v>SorHandNandE</v>
      </c>
      <c r="BM1677" s="21" t="s">
        <v>5581</v>
      </c>
    </row>
    <row r="1678" spans="1:65" ht="15">
      <c r="A1678" s="25">
        <f>IFERROR(INDEX('Hun Demand'!W:W,MATCH(O1678,'Hun Demand'!A:A,0)),"")</f>
        <v>0</v>
      </c>
      <c r="B1678" s="25">
        <f>IFERROR(INDEX('Hun Demand'!V:V,MATCH(O1678,'Hun Demand'!A:A,0)),"")</f>
        <v>0</v>
      </c>
      <c r="C1678" s="25">
        <f>IFERROR(INDEX('Hun Demand'!U:U,MATCH(O1678,'Hun Demand'!A:A,0)),"")</f>
        <v>0</v>
      </c>
      <c r="D1678" s="25">
        <f>IFERROR(INDEX('Hun Demand'!T:T,MATCH(O1678,'Hun Demand'!A:A,0)),"")</f>
        <v>0</v>
      </c>
      <c r="E1678" s="25">
        <f>IFERROR(INDEX('Hun Demand'!S:S,MATCH(O1678,'Hun Demand'!A:A,0)),"")</f>
        <v>0</v>
      </c>
      <c r="F1678" s="25">
        <f>IFERROR(INDEX('Hun Demand'!R:R,MATCH(O1678,'Hun Demand'!A:A,0)),"")</f>
        <v>0</v>
      </c>
      <c r="G1678" s="25">
        <f>IFERROR(INDEX('Aub Demand'!W:W,MATCH(O1678,'Aub Demand'!A:A,0)),"")</f>
        <v>351</v>
      </c>
      <c r="H1678" s="25">
        <f>IFERROR(INDEX('Aub Demand'!V:V,MATCH(O1678,'Aub Demand'!A:A,0)),"")</f>
        <v>289</v>
      </c>
      <c r="I1678" s="25">
        <f>IFERROR(INDEX('Aub Demand'!U:U,MATCH(O1678,'Aub Demand'!A:A,0)),"")</f>
        <v>0</v>
      </c>
      <c r="J1678" s="25">
        <f>IFERROR(INDEX('Aub Demand'!T:T,MATCH(O1678,'Aub Demand'!A:A,0)),"")</f>
        <v>292</v>
      </c>
      <c r="K1678" s="25">
        <f>IFERROR(INDEX('Aub Demand'!S:S,MATCH(O1678,'Aub Demand'!A:A,0)),"")</f>
        <v>0</v>
      </c>
      <c r="L1678" s="25">
        <f>IFERROR(INDEX('Aub Demand'!R:R,MATCH(O1678,'Aub Demand'!A:A,0)),"")</f>
        <v>0</v>
      </c>
      <c r="O1678" s="27" t="s">
        <v>3220</v>
      </c>
      <c r="P1678" s="27" t="str">
        <f>IFERROR(INDEX('Aub Demand'!B:B,MATCH($O1678,'Aub Demand'!$A:$A,0)),"")</f>
        <v>CREMA</v>
      </c>
      <c r="Q1678" s="27" t="str">
        <f>IFERROR(INDEX('Aub Demand'!C:C,MATCH($O1678,'Aub Demand'!$A:$A,0)),"")</f>
        <v>TOPPA</v>
      </c>
      <c r="R1678" s="52">
        <f>IFERROR(IF(AR1679=AR1678,INDEX('Aub Demand'!K:K,MATCH($O1678,'Aub Demand'!$A:$A,0))-IF(AN1678="",0,AN1678)+AP1679,INDEX('Aub Demand'!K:K,MATCH($O1678,'Aub Demand'!$A:$A,0))-IF(AN1678="",0,AN1678)),"")</f>
        <v>417</v>
      </c>
      <c r="S1678" s="53">
        <f t="shared" si="728"/>
        <v>18.399999999999999</v>
      </c>
      <c r="T1678" s="52" t="str">
        <f t="shared" si="729"/>
        <v/>
      </c>
      <c r="U1678" s="52">
        <f>IFERROR(IF(AR1679=AR1678,INDEX('Aub Demand'!Q:Q,MATCH($O1678,'Aub Demand'!$A:$A,0))-IF(AN1678="",0,AN1678)+AP1679,INDEX('Aub Demand'!Q:Q,MATCH($O1678,'Aub Demand'!$A:$A,0))-IF(AN1678="",0,AN1678)),"")</f>
        <v>397</v>
      </c>
      <c r="V1678" s="53">
        <f t="shared" si="730"/>
        <v>17.5</v>
      </c>
      <c r="W1678" s="52" t="str">
        <f t="shared" si="731"/>
        <v/>
      </c>
      <c r="X1678" s="52">
        <f>IFERROR(IF(AND(AR1679=AR1678,AM1678&lt;&gt;""),INDEX('Aub Demand'!Q:Q,MATCH($O1678,'Aub Demand'!$A:$A,0))-IF(AN1678="",0,AN1678)+AP1679+AD1678+AL1678,IF(AR1679=AR1678,INDEX('Aub Demand'!Q:Q,MATCH($O1678,'Aub Demand'!$A:$A,0))-IF(AN1678="",0,AN1678)+AP1679+AD1678,IF(AM1678&lt;&gt;"",INDEX('Aub Demand'!Q:Q,MATCH($O1678,'Aub Demand'!$A:$A,0))-IF(AN1678="",0,AN1678)+AD1678+AL1678,INDEX('Aub Demand'!Q:Q,MATCH($O1678,'Aub Demand'!$A:$A,0))-IF(AN1678="",0,AN1678)+AD1678))),"")</f>
        <v>397</v>
      </c>
      <c r="Y1678" s="53">
        <f t="shared" si="732"/>
        <v>17.5</v>
      </c>
      <c r="Z1678" s="52">
        <f>IF(L1678="","",INDEX('Aub Demand'!H:H,MATCH($O1678,'Aub Demand'!$A:$A,0)))</f>
        <v>97</v>
      </c>
      <c r="AA1678" s="52" t="str">
        <f t="shared" si="733"/>
        <v>-spike-</v>
      </c>
      <c r="AB1678" s="52">
        <f>IFERROR(INDEX('Aub Demand'!L:L,MATCH($O1678,'Aub Demand'!$A:$A,0)),"")</f>
        <v>183</v>
      </c>
      <c r="AC1678" s="52">
        <f>IFERROR(IF(O1678="","",SUMIFS('CPL Mats'!F:F,'CPL Mats'!Q:Q,AR1678,'CPL Mats'!S:S,AS1678)),"")</f>
        <v>0</v>
      </c>
      <c r="AF1678" s="25" t="str">
        <f>IF(SUMIFS('Supp Consol'!S:S,'Supp Consol'!Y:Y,"Releasable",'Supp Consol'!A:A,O1678)=0,"",SUMIFS('Supp Consol'!S:S,'Supp Consol'!Y:Y,"Releasable",'Supp Consol'!A:A,O1678))</f>
        <v/>
      </c>
      <c r="AG1678" s="25">
        <f>IFERROR(INDEX('Hun Demand'!Q:Q,MATCH(O1678,'Hun Demand'!A:A,0)),"")</f>
        <v>615</v>
      </c>
      <c r="AH1678" s="25">
        <f>IFERROR(INDEX('Hun Demand'!H:H,MATCH($O1678,'Hun Demand'!$A:$A,0)),"")</f>
        <v>0</v>
      </c>
      <c r="AI1678" s="25" t="str">
        <f>IF(SUMIFS('Supp Consol'!AA:AA,'Supp Consol'!Z:Z,"Expires this month",'Supp Consol'!A:A,O1678)=0,"",SUMIFS('Supp Consol'!AA:AA,'Supp Consol'!Z:Z,"Expires this month",'Supp Consol'!A:A,O1678))</f>
        <v/>
      </c>
      <c r="AJ1678" s="25" t="str">
        <f>IF(SUMIFS('Supp Consol'!AA:AA,'Supp Consol'!Z:Z,"Expired Previous Months",'Supp Consol'!A:A,O1678)=0,"",SUMIFS('Supp Consol'!AA:AA,'Supp Consol'!Z:Z,"Expired Previous Months",'Supp Consol'!A:A,O1678))</f>
        <v/>
      </c>
      <c r="AK1678" s="25" t="str">
        <f>IFERROR(INDEX('Hun Release Current'!B:B,MATCH(O1678,'Hun Release Current'!A:A,0)),"")</f>
        <v/>
      </c>
      <c r="AL1678" s="25" t="str">
        <f>IF(SUMIF('Prev Aub'!A:A,O1678,'Prev Aub'!B:B)=0,"",SUMIF('Prev Aub'!A:A,O1678,'Prev Aub'!B:B))</f>
        <v/>
      </c>
      <c r="AN1678" s="25" t="s">
        <v>3790</v>
      </c>
      <c r="AO1678" s="25" t="s">
        <v>3790</v>
      </c>
      <c r="AP1678" s="25">
        <f t="shared" si="734"/>
        <v>0</v>
      </c>
      <c r="AQ1678" s="151" t="str">
        <f>IF(SUMIFS('Supp Consol'!S:S,'Supp Consol'!A:A,O1678,'Supp Consol'!I:I,"PENDING")=0,"",SUMIFS('Supp Consol'!S:S,'Supp Consol'!A:A,O1678,'Supp Consol'!I:I,"PENDING"))</f>
        <v/>
      </c>
      <c r="AR1678" s="27" t="str">
        <f t="shared" si="735"/>
        <v>WZ049</v>
      </c>
      <c r="AS1678" s="27" t="str">
        <f t="shared" si="736"/>
        <v>62</v>
      </c>
      <c r="AT1678" s="27" t="str">
        <f t="shared" si="737"/>
        <v/>
      </c>
      <c r="AU1678" s="27" t="str">
        <f t="shared" si="738"/>
        <v/>
      </c>
      <c r="AV1678" s="27" t="str">
        <f t="shared" si="739"/>
        <v/>
      </c>
      <c r="AW1678" s="27" t="str">
        <f t="shared" si="740"/>
        <v/>
      </c>
      <c r="AX1678" s="27" t="str">
        <f t="shared" si="741"/>
        <v/>
      </c>
      <c r="AY1678" s="27" t="str">
        <f t="shared" si="742"/>
        <v>WZ049</v>
      </c>
      <c r="AZ1678" s="27" t="str">
        <f t="shared" si="743"/>
        <v/>
      </c>
      <c r="BA1678" s="27" t="str">
        <f t="shared" si="744"/>
        <v>Hun</v>
      </c>
      <c r="BB1678" s="27" t="str">
        <f t="shared" si="745"/>
        <v/>
      </c>
      <c r="BC1678" s="27" t="str">
        <f t="shared" si="746"/>
        <v>Net</v>
      </c>
      <c r="BD1678" s="27" t="str">
        <f t="shared" si="747"/>
        <v>Net</v>
      </c>
      <c r="BE1678" s="27" t="str">
        <f t="shared" si="748"/>
        <v/>
      </c>
      <c r="BF1678" s="27" t="str">
        <f t="shared" si="749"/>
        <v/>
      </c>
      <c r="BG1678" s="27" t="str">
        <f t="shared" si="750"/>
        <v/>
      </c>
      <c r="BH1678" s="27" t="str">
        <f t="shared" si="751"/>
        <v>H+N</v>
      </c>
      <c r="BI1678" s="27" t="str">
        <f t="shared" si="752"/>
        <v>H+Nex</v>
      </c>
      <c r="BJ1678" s="27" t="str">
        <f t="shared" si="753"/>
        <v>Supp or Hun</v>
      </c>
      <c r="BK1678" s="27" t="str">
        <f t="shared" si="754"/>
        <v>Supp or Hun Need</v>
      </c>
      <c r="BL1678" s="27" t="str">
        <f t="shared" si="755"/>
        <v>SorHandNandE</v>
      </c>
      <c r="BM1678" s="21" t="s">
        <v>5581</v>
      </c>
    </row>
    <row r="1679" spans="1:65" ht="15">
      <c r="A1679" s="25">
        <f>IFERROR(INDEX('Hun Demand'!W:W,MATCH(O1679,'Hun Demand'!A:A,0)),"")</f>
        <v>0</v>
      </c>
      <c r="B1679" s="25">
        <f>IFERROR(INDEX('Hun Demand'!V:V,MATCH(O1679,'Hun Demand'!A:A,0)),"")</f>
        <v>0</v>
      </c>
      <c r="C1679" s="25">
        <f>IFERROR(INDEX('Hun Demand'!U:U,MATCH(O1679,'Hun Demand'!A:A,0)),"")</f>
        <v>0</v>
      </c>
      <c r="D1679" s="25">
        <f>IFERROR(INDEX('Hun Demand'!T:T,MATCH(O1679,'Hun Demand'!A:A,0)),"")</f>
        <v>0</v>
      </c>
      <c r="E1679" s="25">
        <f>IFERROR(INDEX('Hun Demand'!S:S,MATCH(O1679,'Hun Demand'!A:A,0)),"")</f>
        <v>0</v>
      </c>
      <c r="F1679" s="25">
        <f>IFERROR(INDEX('Hun Demand'!R:R,MATCH(O1679,'Hun Demand'!A:A,0)),"")</f>
        <v>0</v>
      </c>
      <c r="G1679" s="25">
        <f>IFERROR(INDEX('Aub Demand'!W:W,MATCH(O1679,'Aub Demand'!A:A,0)),"")</f>
        <v>23</v>
      </c>
      <c r="H1679" s="25">
        <f>IFERROR(INDEX('Aub Demand'!V:V,MATCH(O1679,'Aub Demand'!A:A,0)),"")</f>
        <v>61</v>
      </c>
      <c r="I1679" s="25">
        <f>IFERROR(INDEX('Aub Demand'!U:U,MATCH(O1679,'Aub Demand'!A:A,0)),"")</f>
        <v>0</v>
      </c>
      <c r="J1679" s="25">
        <f>IFERROR(INDEX('Aub Demand'!T:T,MATCH(O1679,'Aub Demand'!A:A,0)),"")</f>
        <v>131</v>
      </c>
      <c r="K1679" s="25">
        <f>IFERROR(INDEX('Aub Demand'!S:S,MATCH(O1679,'Aub Demand'!A:A,0)),"")</f>
        <v>72</v>
      </c>
      <c r="L1679" s="25">
        <f>IFERROR(INDEX('Aub Demand'!R:R,MATCH(O1679,'Aub Demand'!A:A,0)),"")</f>
        <v>0</v>
      </c>
      <c r="O1679" s="27" t="s">
        <v>3221</v>
      </c>
      <c r="P1679" s="27" t="str">
        <f>IFERROR(INDEX('Aub Demand'!B:B,MATCH($O1679,'Aub Demand'!$A:$A,0)),"")</f>
        <v>MAZAGRAN</v>
      </c>
      <c r="Q1679" s="27" t="str">
        <f>IFERROR(INDEX('Aub Demand'!C:C,MATCH($O1679,'Aub Demand'!$A:$A,0)),"")</f>
        <v>TOPPA</v>
      </c>
      <c r="R1679" s="52">
        <f>IFERROR(IF(AR1680=AR1679,INDEX('Aub Demand'!K:K,MATCH($O1679,'Aub Demand'!$A:$A,0))-IF(AN1679="",0,AN1679)+AP1680,INDEX('Aub Demand'!K:K,MATCH($O1679,'Aub Demand'!$A:$A,0))-IF(AN1679="",0,AN1679)),"")</f>
        <v>388</v>
      </c>
      <c r="S1679" s="53">
        <f t="shared" si="728"/>
        <v>24.5</v>
      </c>
      <c r="T1679" s="52" t="str">
        <f t="shared" si="729"/>
        <v/>
      </c>
      <c r="U1679" s="52">
        <f>IFERROR(IF(AR1680=AR1679,INDEX('Aub Demand'!Q:Q,MATCH($O1679,'Aub Demand'!$A:$A,0))-IF(AN1679="",0,AN1679)+AP1680,INDEX('Aub Demand'!Q:Q,MATCH($O1679,'Aub Demand'!$A:$A,0))-IF(AN1679="",0,AN1679)),"")</f>
        <v>388</v>
      </c>
      <c r="V1679" s="53">
        <f t="shared" si="730"/>
        <v>24.5</v>
      </c>
      <c r="W1679" s="52" t="str">
        <f t="shared" si="731"/>
        <v/>
      </c>
      <c r="X1679" s="52">
        <f>IFERROR(IF(AND(AR1680=AR1679,AM1679&lt;&gt;""),INDEX('Aub Demand'!Q:Q,MATCH($O1679,'Aub Demand'!$A:$A,0))-IF(AN1679="",0,AN1679)+AP1680+AD1679+AL1679,IF(AR1680=AR1679,INDEX('Aub Demand'!Q:Q,MATCH($O1679,'Aub Demand'!$A:$A,0))-IF(AN1679="",0,AN1679)+AP1680+AD1679,IF(AM1679&lt;&gt;"",INDEX('Aub Demand'!Q:Q,MATCH($O1679,'Aub Demand'!$A:$A,0))-IF(AN1679="",0,AN1679)+AD1679+AL1679,INDEX('Aub Demand'!Q:Q,MATCH($O1679,'Aub Demand'!$A:$A,0))-IF(AN1679="",0,AN1679)+AD1679))),"")</f>
        <v>388</v>
      </c>
      <c r="Y1679" s="53">
        <f t="shared" si="732"/>
        <v>24.5</v>
      </c>
      <c r="Z1679" s="52">
        <f>IF(L1679="","",INDEX('Aub Demand'!H:H,MATCH($O1679,'Aub Demand'!$A:$A,0)))</f>
        <v>68</v>
      </c>
      <c r="AA1679" s="52">
        <f t="shared" si="733"/>
        <v>101.5</v>
      </c>
      <c r="AB1679" s="52">
        <f>IFERROR(INDEX('Aub Demand'!L:L,MATCH($O1679,'Aub Demand'!$A:$A,0)),"")</f>
        <v>120</v>
      </c>
      <c r="AC1679" s="52">
        <f>IFERROR(IF(O1679="","",SUMIFS('CPL Mats'!F:F,'CPL Mats'!Q:Q,AR1679,'CPL Mats'!S:S,AS1679)),"")</f>
        <v>1000</v>
      </c>
      <c r="AF1679" s="25" t="str">
        <f>IF(SUMIFS('Supp Consol'!S:S,'Supp Consol'!Y:Y,"Releasable",'Supp Consol'!A:A,O1679)=0,"",SUMIFS('Supp Consol'!S:S,'Supp Consol'!Y:Y,"Releasable",'Supp Consol'!A:A,O1679))</f>
        <v/>
      </c>
      <c r="AG1679" s="25">
        <f>IFERROR(INDEX('Hun Demand'!Q:Q,MATCH(O1679,'Hun Demand'!A:A,0)),"")</f>
        <v>129</v>
      </c>
      <c r="AH1679" s="25">
        <f>IFERROR(INDEX('Hun Demand'!H:H,MATCH($O1679,'Hun Demand'!$A:$A,0)),"")</f>
        <v>0</v>
      </c>
      <c r="AI1679" s="25" t="str">
        <f>IF(SUMIFS('Supp Consol'!AA:AA,'Supp Consol'!Z:Z,"Expires this month",'Supp Consol'!A:A,O1679)=0,"",SUMIFS('Supp Consol'!AA:AA,'Supp Consol'!Z:Z,"Expires this month",'Supp Consol'!A:A,O1679))</f>
        <v/>
      </c>
      <c r="AJ1679" s="25" t="str">
        <f>IF(SUMIFS('Supp Consol'!AA:AA,'Supp Consol'!Z:Z,"Expired Previous Months",'Supp Consol'!A:A,O1679)=0,"",SUMIFS('Supp Consol'!AA:AA,'Supp Consol'!Z:Z,"Expired Previous Months",'Supp Consol'!A:A,O1679))</f>
        <v/>
      </c>
      <c r="AK1679" s="25" t="str">
        <f>IFERROR(INDEX('Hun Release Current'!B:B,MATCH(O1679,'Hun Release Current'!A:A,0)),"")</f>
        <v/>
      </c>
      <c r="AL1679" s="25" t="str">
        <f>IF(SUMIF('Prev Aub'!A:A,O1679,'Prev Aub'!B:B)=0,"",SUMIF('Prev Aub'!A:A,O1679,'Prev Aub'!B:B))</f>
        <v/>
      </c>
      <c r="AN1679" s="25" t="s">
        <v>3790</v>
      </c>
      <c r="AO1679" s="25" t="s">
        <v>3790</v>
      </c>
      <c r="AP1679" s="25">
        <f t="shared" si="734"/>
        <v>0</v>
      </c>
      <c r="AQ1679" s="151" t="str">
        <f>IF(SUMIFS('Supp Consol'!S:S,'Supp Consol'!A:A,O1679,'Supp Consol'!I:I,"PENDING")=0,"",SUMIFS('Supp Consol'!S:S,'Supp Consol'!A:A,O1679,'Supp Consol'!I:I,"PENDING"))</f>
        <v/>
      </c>
      <c r="AR1679" s="27" t="str">
        <f t="shared" si="735"/>
        <v>WZ052</v>
      </c>
      <c r="AS1679" s="27" t="str">
        <f t="shared" si="736"/>
        <v>50</v>
      </c>
      <c r="AT1679" s="27" t="str">
        <f t="shared" si="737"/>
        <v/>
      </c>
      <c r="AU1679" s="27" t="str">
        <f t="shared" si="738"/>
        <v/>
      </c>
      <c r="AV1679" s="27" t="str">
        <f t="shared" si="739"/>
        <v/>
      </c>
      <c r="AW1679" s="27" t="str">
        <f t="shared" si="740"/>
        <v/>
      </c>
      <c r="AX1679" s="27" t="str">
        <f t="shared" si="741"/>
        <v/>
      </c>
      <c r="AY1679" s="27" t="str">
        <f t="shared" si="742"/>
        <v>WZ052</v>
      </c>
      <c r="AZ1679" s="27" t="str">
        <f t="shared" si="743"/>
        <v/>
      </c>
      <c r="BA1679" s="27" t="str">
        <f t="shared" si="744"/>
        <v>Hun</v>
      </c>
      <c r="BB1679" s="27" t="str">
        <f t="shared" si="745"/>
        <v/>
      </c>
      <c r="BC1679" s="27" t="str">
        <f t="shared" si="746"/>
        <v/>
      </c>
      <c r="BD1679" s="27" t="str">
        <f t="shared" si="747"/>
        <v/>
      </c>
      <c r="BE1679" s="27" t="str">
        <f t="shared" si="748"/>
        <v/>
      </c>
      <c r="BF1679" s="27" t="str">
        <f t="shared" si="749"/>
        <v/>
      </c>
      <c r="BG1679" s="27" t="str">
        <f t="shared" si="750"/>
        <v/>
      </c>
      <c r="BH1679" s="27" t="str">
        <f t="shared" si="751"/>
        <v/>
      </c>
      <c r="BI1679" s="27" t="str">
        <f t="shared" si="752"/>
        <v/>
      </c>
      <c r="BJ1679" s="27" t="str">
        <f t="shared" si="753"/>
        <v>Supp or Hun</v>
      </c>
      <c r="BK1679" s="27" t="str">
        <f t="shared" si="754"/>
        <v/>
      </c>
      <c r="BL1679" s="27" t="str">
        <f t="shared" si="755"/>
        <v/>
      </c>
      <c r="BM1679" s="21" t="s">
        <v>5581</v>
      </c>
    </row>
    <row r="1680" spans="1:65" ht="15">
      <c r="A1680" s="25">
        <f>IFERROR(INDEX('Hun Demand'!W:W,MATCH(O1680,'Hun Demand'!A:A,0)),"")</f>
        <v>0</v>
      </c>
      <c r="B1680" s="25">
        <f>IFERROR(INDEX('Hun Demand'!V:V,MATCH(O1680,'Hun Demand'!A:A,0)),"")</f>
        <v>0</v>
      </c>
      <c r="C1680" s="25">
        <f>IFERROR(INDEX('Hun Demand'!U:U,MATCH(O1680,'Hun Demand'!A:A,0)),"")</f>
        <v>0</v>
      </c>
      <c r="D1680" s="25">
        <f>IFERROR(INDEX('Hun Demand'!T:T,MATCH(O1680,'Hun Demand'!A:A,0)),"")</f>
        <v>0</v>
      </c>
      <c r="E1680" s="25">
        <f>IFERROR(INDEX('Hun Demand'!S:S,MATCH(O1680,'Hun Demand'!A:A,0)),"")</f>
        <v>0</v>
      </c>
      <c r="F1680" s="25">
        <f>IFERROR(INDEX('Hun Demand'!R:R,MATCH(O1680,'Hun Demand'!A:A,0)),"")</f>
        <v>0</v>
      </c>
      <c r="G1680" s="25">
        <f>IFERROR(INDEX('Aub Demand'!W:W,MATCH(O1680,'Aub Demand'!A:A,0)),"")</f>
        <v>31</v>
      </c>
      <c r="H1680" s="25">
        <f>IFERROR(INDEX('Aub Demand'!V:V,MATCH(O1680,'Aub Demand'!A:A,0)),"")</f>
        <v>0</v>
      </c>
      <c r="I1680" s="25">
        <f>IFERROR(INDEX('Aub Demand'!U:U,MATCH(O1680,'Aub Demand'!A:A,0)),"")</f>
        <v>0</v>
      </c>
      <c r="J1680" s="25">
        <f>IFERROR(INDEX('Aub Demand'!T:T,MATCH(O1680,'Aub Demand'!A:A,0)),"")</f>
        <v>0</v>
      </c>
      <c r="K1680" s="25">
        <f>IFERROR(INDEX('Aub Demand'!S:S,MATCH(O1680,'Aub Demand'!A:A,0)),"")</f>
        <v>22</v>
      </c>
      <c r="L1680" s="25">
        <f>IFERROR(INDEX('Aub Demand'!R:R,MATCH(O1680,'Aub Demand'!A:A,0)),"")</f>
        <v>0</v>
      </c>
      <c r="O1680" s="27" t="s">
        <v>3223</v>
      </c>
      <c r="P1680" s="27" t="str">
        <f>IFERROR(INDEX('Aub Demand'!B:B,MATCH($O1680,'Aub Demand'!$A:$A,0)),"")</f>
        <v>MAZAGRAN</v>
      </c>
      <c r="Q1680" s="27" t="str">
        <f>IFERROR(INDEX('Aub Demand'!C:C,MATCH($O1680,'Aub Demand'!$A:$A,0)),"")</f>
        <v>TOPPA</v>
      </c>
      <c r="R1680" s="52">
        <f>IFERROR(IF(AR1681=AR1680,INDEX('Aub Demand'!K:K,MATCH($O1680,'Aub Demand'!$A:$A,0))-IF(AN1680="",0,AN1680)+AP1681,INDEX('Aub Demand'!K:K,MATCH($O1680,'Aub Demand'!$A:$A,0))-IF(AN1680="",0,AN1680)),"")</f>
        <v>1102</v>
      </c>
      <c r="S1680" s="53">
        <f t="shared" si="728"/>
        <v>674.7</v>
      </c>
      <c r="T1680" s="52" t="str">
        <f t="shared" si="729"/>
        <v/>
      </c>
      <c r="U1680" s="52">
        <f>IFERROR(IF(AR1681=AR1680,INDEX('Aub Demand'!Q:Q,MATCH($O1680,'Aub Demand'!$A:$A,0))-IF(AN1680="",0,AN1680)+AP1681,INDEX('Aub Demand'!Q:Q,MATCH($O1680,'Aub Demand'!$A:$A,0))-IF(AN1680="",0,AN1680)),"")</f>
        <v>1080</v>
      </c>
      <c r="V1680" s="53">
        <f t="shared" si="730"/>
        <v>661.2</v>
      </c>
      <c r="W1680" s="52" t="str">
        <f t="shared" si="731"/>
        <v/>
      </c>
      <c r="X1680" s="52">
        <f>IFERROR(IF(AND(AR1681=AR1680,AM1680&lt;&gt;""),INDEX('Aub Demand'!Q:Q,MATCH($O1680,'Aub Demand'!$A:$A,0))-IF(AN1680="",0,AN1680)+AP1681+AD1680+AL1680,IF(AR1681=AR1680,INDEX('Aub Demand'!Q:Q,MATCH($O1680,'Aub Demand'!$A:$A,0))-IF(AN1680="",0,AN1680)+AP1681+AD1680,IF(AM1680&lt;&gt;"",INDEX('Aub Demand'!Q:Q,MATCH($O1680,'Aub Demand'!$A:$A,0))-IF(AN1680="",0,AN1680)+AD1680+AL1680,INDEX('Aub Demand'!Q:Q,MATCH($O1680,'Aub Demand'!$A:$A,0))-IF(AN1680="",0,AN1680)+AD1680))),"")</f>
        <v>1080</v>
      </c>
      <c r="Y1680" s="53">
        <f t="shared" si="732"/>
        <v>661.2</v>
      </c>
      <c r="Z1680" s="52">
        <f>IF(L1680="","",INDEX('Aub Demand'!H:H,MATCH($O1680,'Aub Demand'!$A:$A,0)))</f>
        <v>7</v>
      </c>
      <c r="AA1680" s="52" t="str">
        <f t="shared" si="733"/>
        <v>-spike-</v>
      </c>
      <c r="AB1680" s="52">
        <f>IFERROR(INDEX('Aub Demand'!L:L,MATCH($O1680,'Aub Demand'!$A:$A,0)),"")</f>
        <v>0</v>
      </c>
      <c r="AC1680" s="52">
        <f>IFERROR(IF(O1680="","",SUMIFS('CPL Mats'!F:F,'CPL Mats'!Q:Q,AR1680,'CPL Mats'!S:S,AS1680)),"")</f>
        <v>0</v>
      </c>
      <c r="AF1680" s="25" t="str">
        <f>IF(SUMIFS('Supp Consol'!S:S,'Supp Consol'!Y:Y,"Releasable",'Supp Consol'!A:A,O1680)=0,"",SUMIFS('Supp Consol'!S:S,'Supp Consol'!Y:Y,"Releasable",'Supp Consol'!A:A,O1680))</f>
        <v/>
      </c>
      <c r="AG1680" s="25">
        <f>IFERROR(INDEX('Hun Demand'!Q:Q,MATCH(O1680,'Hun Demand'!A:A,0)),"")</f>
        <v>230</v>
      </c>
      <c r="AH1680" s="25">
        <f>IFERROR(INDEX('Hun Demand'!H:H,MATCH($O1680,'Hun Demand'!$A:$A,0)),"")</f>
        <v>0</v>
      </c>
      <c r="AI1680" s="25" t="str">
        <f>IF(SUMIFS('Supp Consol'!AA:AA,'Supp Consol'!Z:Z,"Expires this month",'Supp Consol'!A:A,O1680)=0,"",SUMIFS('Supp Consol'!AA:AA,'Supp Consol'!Z:Z,"Expires this month",'Supp Consol'!A:A,O1680))</f>
        <v/>
      </c>
      <c r="AJ1680" s="25" t="str">
        <f>IF(SUMIFS('Supp Consol'!AA:AA,'Supp Consol'!Z:Z,"Expired Previous Months",'Supp Consol'!A:A,O1680)=0,"",SUMIFS('Supp Consol'!AA:AA,'Supp Consol'!Z:Z,"Expired Previous Months",'Supp Consol'!A:A,O1680))</f>
        <v/>
      </c>
      <c r="AK1680" s="25" t="str">
        <f>IFERROR(INDEX('Hun Release Current'!B:B,MATCH(O1680,'Hun Release Current'!A:A,0)),"")</f>
        <v/>
      </c>
      <c r="AL1680" s="25" t="str">
        <f>IF(SUMIF('Prev Aub'!A:A,O1680,'Prev Aub'!B:B)=0,"",SUMIF('Prev Aub'!A:A,O1680,'Prev Aub'!B:B))</f>
        <v/>
      </c>
      <c r="AN1680" s="25" t="s">
        <v>3790</v>
      </c>
      <c r="AO1680" s="25" t="s">
        <v>3790</v>
      </c>
      <c r="AP1680" s="25">
        <f t="shared" si="734"/>
        <v>0</v>
      </c>
      <c r="AQ1680" s="151" t="str">
        <f>IF(SUMIFS('Supp Consol'!S:S,'Supp Consol'!A:A,O1680,'Supp Consol'!I:I,"PENDING")=0,"",SUMIFS('Supp Consol'!S:S,'Supp Consol'!A:A,O1680,'Supp Consol'!I:I,"PENDING"))</f>
        <v/>
      </c>
      <c r="AR1680" s="27" t="str">
        <f t="shared" si="735"/>
        <v>WZ052</v>
      </c>
      <c r="AS1680" s="27" t="str">
        <f t="shared" si="736"/>
        <v>62</v>
      </c>
      <c r="AT1680" s="27" t="str">
        <f t="shared" si="737"/>
        <v/>
      </c>
      <c r="AU1680" s="27" t="str">
        <f t="shared" si="738"/>
        <v/>
      </c>
      <c r="AV1680" s="27" t="str">
        <f t="shared" si="739"/>
        <v/>
      </c>
      <c r="AW1680" s="27" t="str">
        <f t="shared" si="740"/>
        <v/>
      </c>
      <c r="AX1680" s="27" t="str">
        <f t="shared" si="741"/>
        <v/>
      </c>
      <c r="AY1680" s="27" t="str">
        <f t="shared" si="742"/>
        <v>WZ052</v>
      </c>
      <c r="AZ1680" s="27" t="str">
        <f t="shared" si="743"/>
        <v/>
      </c>
      <c r="BA1680" s="27" t="str">
        <f t="shared" si="744"/>
        <v>Hun</v>
      </c>
      <c r="BB1680" s="27" t="str">
        <f t="shared" si="745"/>
        <v/>
      </c>
      <c r="BC1680" s="27" t="str">
        <f t="shared" si="746"/>
        <v/>
      </c>
      <c r="BD1680" s="27" t="str">
        <f t="shared" si="747"/>
        <v/>
      </c>
      <c r="BE1680" s="27" t="str">
        <f t="shared" si="748"/>
        <v/>
      </c>
      <c r="BF1680" s="27" t="str">
        <f t="shared" si="749"/>
        <v/>
      </c>
      <c r="BG1680" s="27" t="str">
        <f t="shared" si="750"/>
        <v/>
      </c>
      <c r="BH1680" s="27" t="str">
        <f t="shared" si="751"/>
        <v/>
      </c>
      <c r="BI1680" s="27" t="str">
        <f t="shared" si="752"/>
        <v/>
      </c>
      <c r="BJ1680" s="27" t="str">
        <f t="shared" si="753"/>
        <v>Supp or Hun</v>
      </c>
      <c r="BK1680" s="27" t="str">
        <f t="shared" si="754"/>
        <v/>
      </c>
      <c r="BL1680" s="27" t="str">
        <f t="shared" si="755"/>
        <v/>
      </c>
      <c r="BM1680" s="21" t="s">
        <v>5581</v>
      </c>
    </row>
    <row r="1681" spans="1:65" ht="15">
      <c r="A1681" s="25" t="str">
        <f>IFERROR(INDEX('Hun Demand'!W:W,MATCH(O1681,'Hun Demand'!A:A,0)),"")</f>
        <v/>
      </c>
      <c r="B1681" s="25" t="str">
        <f>IFERROR(INDEX('Hun Demand'!V:V,MATCH(O1681,'Hun Demand'!A:A,0)),"")</f>
        <v/>
      </c>
      <c r="C1681" s="25" t="str">
        <f>IFERROR(INDEX('Hun Demand'!U:U,MATCH(O1681,'Hun Demand'!A:A,0)),"")</f>
        <v/>
      </c>
      <c r="D1681" s="25" t="str">
        <f>IFERROR(INDEX('Hun Demand'!T:T,MATCH(O1681,'Hun Demand'!A:A,0)),"")</f>
        <v/>
      </c>
      <c r="E1681" s="25" t="str">
        <f>IFERROR(INDEX('Hun Demand'!S:S,MATCH(O1681,'Hun Demand'!A:A,0)),"")</f>
        <v/>
      </c>
      <c r="F1681" s="25" t="str">
        <f>IFERROR(INDEX('Hun Demand'!R:R,MATCH(O1681,'Hun Demand'!A:A,0)),"")</f>
        <v/>
      </c>
      <c r="G1681" s="25">
        <f>IFERROR(INDEX('Aub Demand'!W:W,MATCH(O1681,'Aub Demand'!A:A,0)),"")</f>
        <v>0</v>
      </c>
      <c r="H1681" s="25">
        <f>IFERROR(INDEX('Aub Demand'!V:V,MATCH(O1681,'Aub Demand'!A:A,0)),"")</f>
        <v>0</v>
      </c>
      <c r="I1681" s="25">
        <f>IFERROR(INDEX('Aub Demand'!U:U,MATCH(O1681,'Aub Demand'!A:A,0)),"")</f>
        <v>0</v>
      </c>
      <c r="J1681" s="25">
        <f>IFERROR(INDEX('Aub Demand'!T:T,MATCH(O1681,'Aub Demand'!A:A,0)),"")</f>
        <v>7</v>
      </c>
      <c r="K1681" s="25">
        <f>IFERROR(INDEX('Aub Demand'!S:S,MATCH(O1681,'Aub Demand'!A:A,0)),"")</f>
        <v>0</v>
      </c>
      <c r="L1681" s="25">
        <f>IFERROR(INDEX('Aub Demand'!R:R,MATCH(O1681,'Aub Demand'!A:A,0)),"")</f>
        <v>0</v>
      </c>
      <c r="O1681" s="27" t="s">
        <v>3224</v>
      </c>
      <c r="P1681" s="27" t="str">
        <f>IFERROR(INDEX('Aub Demand'!B:B,MATCH($O1681,'Aub Demand'!$A:$A,0)),"")</f>
        <v>ZULU</v>
      </c>
      <c r="Q1681" s="27" t="str">
        <f>IFERROR(INDEX('Aub Demand'!C:C,MATCH($O1681,'Aub Demand'!$A:$A,0)),"")</f>
        <v>INTER</v>
      </c>
      <c r="R1681" s="52">
        <f>IFERROR(IF(AR1682=AR1681,INDEX('Aub Demand'!K:K,MATCH($O1681,'Aub Demand'!$A:$A,0))-IF(AN1681="",0,AN1681)+AP1682,INDEX('Aub Demand'!K:K,MATCH($O1681,'Aub Demand'!$A:$A,0))-IF(AN1681="",0,AN1681)),"")</f>
        <v>174</v>
      </c>
      <c r="S1681" s="53">
        <f t="shared" si="728"/>
        <v>372.9</v>
      </c>
      <c r="T1681" s="52" t="str">
        <f t="shared" si="729"/>
        <v/>
      </c>
      <c r="U1681" s="52">
        <f>IFERROR(IF(AR1682=AR1681,INDEX('Aub Demand'!Q:Q,MATCH($O1681,'Aub Demand'!$A:$A,0))-IF(AN1681="",0,AN1681)+AP1682,INDEX('Aub Demand'!Q:Q,MATCH($O1681,'Aub Demand'!$A:$A,0))-IF(AN1681="",0,AN1681)),"")</f>
        <v>174</v>
      </c>
      <c r="V1681" s="53">
        <f t="shared" si="730"/>
        <v>372.9</v>
      </c>
      <c r="W1681" s="52" t="str">
        <f t="shared" si="731"/>
        <v/>
      </c>
      <c r="X1681" s="52">
        <f>IFERROR(IF(AND(AR1682=AR1681,AM1681&lt;&gt;""),INDEX('Aub Demand'!Q:Q,MATCH($O1681,'Aub Demand'!$A:$A,0))-IF(AN1681="",0,AN1681)+AP1682+AD1681+AL1681,IF(AR1682=AR1681,INDEX('Aub Demand'!Q:Q,MATCH($O1681,'Aub Demand'!$A:$A,0))-IF(AN1681="",0,AN1681)+AP1682+AD1681,IF(AM1681&lt;&gt;"",INDEX('Aub Demand'!Q:Q,MATCH($O1681,'Aub Demand'!$A:$A,0))-IF(AN1681="",0,AN1681)+AD1681+AL1681,INDEX('Aub Demand'!Q:Q,MATCH($O1681,'Aub Demand'!$A:$A,0))-IF(AN1681="",0,AN1681)+AD1681))),"")</f>
        <v>174</v>
      </c>
      <c r="Y1681" s="53">
        <f t="shared" si="732"/>
        <v>372.9</v>
      </c>
      <c r="Z1681" s="52">
        <f>IF(L1681="","",INDEX('Aub Demand'!H:H,MATCH($O1681,'Aub Demand'!$A:$A,0)))</f>
        <v>2</v>
      </c>
      <c r="AA1681" s="52" t="str">
        <f t="shared" si="733"/>
        <v>-spike-</v>
      </c>
      <c r="AB1681" s="52">
        <f>IFERROR(INDEX('Aub Demand'!L:L,MATCH($O1681,'Aub Demand'!$A:$A,0)),"")</f>
        <v>0</v>
      </c>
      <c r="AC1681" s="52">
        <f>IFERROR(IF(O1681="","",SUMIFS('CPL Mats'!F:F,'CPL Mats'!Q:Q,AR1681,'CPL Mats'!S:S,AS1681)),"")</f>
        <v>0</v>
      </c>
      <c r="AF1681" s="25" t="str">
        <f>IF(SUMIFS('Supp Consol'!S:S,'Supp Consol'!Y:Y,"Releasable",'Supp Consol'!A:A,O1681)=0,"",SUMIFS('Supp Consol'!S:S,'Supp Consol'!Y:Y,"Releasable",'Supp Consol'!A:A,O1681))</f>
        <v/>
      </c>
      <c r="AG1681" s="25" t="str">
        <f>IFERROR(INDEX('Hun Demand'!Q:Q,MATCH(O1681,'Hun Demand'!A:A,0)),"")</f>
        <v/>
      </c>
      <c r="AH1681" s="25" t="str">
        <f>IFERROR(INDEX('Hun Demand'!H:H,MATCH($O1681,'Hun Demand'!$A:$A,0)),"")</f>
        <v/>
      </c>
      <c r="AI1681" s="25" t="str">
        <f>IF(SUMIFS('Supp Consol'!AA:AA,'Supp Consol'!Z:Z,"Expires this month",'Supp Consol'!A:A,O1681)=0,"",SUMIFS('Supp Consol'!AA:AA,'Supp Consol'!Z:Z,"Expires this month",'Supp Consol'!A:A,O1681))</f>
        <v/>
      </c>
      <c r="AJ1681" s="25" t="str">
        <f>IF(SUMIFS('Supp Consol'!AA:AA,'Supp Consol'!Z:Z,"Expired Previous Months",'Supp Consol'!A:A,O1681)=0,"",SUMIFS('Supp Consol'!AA:AA,'Supp Consol'!Z:Z,"Expired Previous Months",'Supp Consol'!A:A,O1681))</f>
        <v/>
      </c>
      <c r="AK1681" s="25" t="str">
        <f>IFERROR(INDEX('Hun Release Current'!B:B,MATCH(O1681,'Hun Release Current'!A:A,0)),"")</f>
        <v/>
      </c>
      <c r="AL1681" s="25" t="str">
        <f>IF(SUMIF('Prev Aub'!A:A,O1681,'Prev Aub'!B:B)=0,"",SUMIF('Prev Aub'!A:A,O1681,'Prev Aub'!B:B))</f>
        <v/>
      </c>
      <c r="AN1681" s="25" t="s">
        <v>3790</v>
      </c>
      <c r="AO1681" s="25" t="s">
        <v>3790</v>
      </c>
      <c r="AP1681" s="25">
        <f t="shared" si="734"/>
        <v>0</v>
      </c>
      <c r="AQ1681" s="151" t="str">
        <f>IF(SUMIFS('Supp Consol'!S:S,'Supp Consol'!A:A,O1681,'Supp Consol'!I:I,"PENDING")=0,"",SUMIFS('Supp Consol'!S:S,'Supp Consol'!A:A,O1681,'Supp Consol'!I:I,"PENDING"))</f>
        <v/>
      </c>
      <c r="AR1681" s="27" t="str">
        <f t="shared" si="735"/>
        <v>WZ053</v>
      </c>
      <c r="AS1681" s="27" t="str">
        <f t="shared" si="736"/>
        <v>50</v>
      </c>
      <c r="AT1681" s="27" t="str">
        <f t="shared" si="737"/>
        <v/>
      </c>
      <c r="AU1681" s="27" t="str">
        <f t="shared" si="738"/>
        <v/>
      </c>
      <c r="AV1681" s="27" t="str">
        <f t="shared" si="739"/>
        <v/>
      </c>
      <c r="AW1681" s="27" t="str">
        <f t="shared" si="740"/>
        <v/>
      </c>
      <c r="AX1681" s="27" t="str">
        <f t="shared" si="741"/>
        <v/>
      </c>
      <c r="AY1681" s="27" t="str">
        <f t="shared" si="742"/>
        <v/>
      </c>
      <c r="AZ1681" s="27" t="str">
        <f t="shared" si="743"/>
        <v/>
      </c>
      <c r="BA1681" s="27" t="str">
        <f t="shared" si="744"/>
        <v/>
      </c>
      <c r="BB1681" s="27" t="str">
        <f t="shared" si="745"/>
        <v/>
      </c>
      <c r="BC1681" s="27" t="str">
        <f t="shared" si="746"/>
        <v/>
      </c>
      <c r="BD1681" s="27" t="str">
        <f t="shared" si="747"/>
        <v/>
      </c>
      <c r="BE1681" s="27" t="str">
        <f t="shared" si="748"/>
        <v/>
      </c>
      <c r="BF1681" s="27" t="str">
        <f t="shared" si="749"/>
        <v/>
      </c>
      <c r="BG1681" s="27" t="str">
        <f t="shared" si="750"/>
        <v/>
      </c>
      <c r="BH1681" s="27" t="str">
        <f t="shared" si="751"/>
        <v/>
      </c>
      <c r="BI1681" s="27" t="str">
        <f t="shared" si="752"/>
        <v/>
      </c>
      <c r="BJ1681" s="27" t="str">
        <f t="shared" si="753"/>
        <v/>
      </c>
      <c r="BK1681" s="27" t="str">
        <f t="shared" si="754"/>
        <v/>
      </c>
      <c r="BL1681" s="27" t="str">
        <f t="shared" si="755"/>
        <v/>
      </c>
      <c r="BM1681" s="21" t="s">
        <v>5581</v>
      </c>
    </row>
    <row r="1682" spans="1:65" ht="15">
      <c r="A1682" s="25" t="str">
        <f>IFERROR(INDEX('Hun Demand'!W:W,MATCH(O1682,'Hun Demand'!A:A,0)),"")</f>
        <v/>
      </c>
      <c r="B1682" s="25" t="str">
        <f>IFERROR(INDEX('Hun Demand'!V:V,MATCH(O1682,'Hun Demand'!A:A,0)),"")</f>
        <v/>
      </c>
      <c r="C1682" s="25" t="str">
        <f>IFERROR(INDEX('Hun Demand'!U:U,MATCH(O1682,'Hun Demand'!A:A,0)),"")</f>
        <v/>
      </c>
      <c r="D1682" s="25" t="str">
        <f>IFERROR(INDEX('Hun Demand'!T:T,MATCH(O1682,'Hun Demand'!A:A,0)),"")</f>
        <v/>
      </c>
      <c r="E1682" s="25" t="str">
        <f>IFERROR(INDEX('Hun Demand'!S:S,MATCH(O1682,'Hun Demand'!A:A,0)),"")</f>
        <v/>
      </c>
      <c r="F1682" s="25" t="str">
        <f>IFERROR(INDEX('Hun Demand'!R:R,MATCH(O1682,'Hun Demand'!A:A,0)),"")</f>
        <v/>
      </c>
      <c r="G1682" s="25">
        <f>IFERROR(INDEX('Aub Demand'!W:W,MATCH(O1682,'Aub Demand'!A:A,0)),"")</f>
        <v>0</v>
      </c>
      <c r="H1682" s="25">
        <f>IFERROR(INDEX('Aub Demand'!V:V,MATCH(O1682,'Aub Demand'!A:A,0)),"")</f>
        <v>0</v>
      </c>
      <c r="I1682" s="25">
        <f>IFERROR(INDEX('Aub Demand'!U:U,MATCH(O1682,'Aub Demand'!A:A,0)),"")</f>
        <v>0</v>
      </c>
      <c r="J1682" s="25">
        <f>IFERROR(INDEX('Aub Demand'!T:T,MATCH(O1682,'Aub Demand'!A:A,0)),"")</f>
        <v>0</v>
      </c>
      <c r="K1682" s="25">
        <f>IFERROR(INDEX('Aub Demand'!S:S,MATCH(O1682,'Aub Demand'!A:A,0)),"")</f>
        <v>0</v>
      </c>
      <c r="L1682" s="25">
        <f>IFERROR(INDEX('Aub Demand'!R:R,MATCH(O1682,'Aub Demand'!A:A,0)),"")</f>
        <v>0</v>
      </c>
      <c r="O1682" s="27" t="s">
        <v>3226</v>
      </c>
      <c r="P1682" s="27" t="str">
        <f>IFERROR(INDEX('Aub Demand'!B:B,MATCH($O1682,'Aub Demand'!$A:$A,0)),"")</f>
        <v>ZULU</v>
      </c>
      <c r="Q1682" s="27" t="str">
        <f>IFERROR(INDEX('Aub Demand'!C:C,MATCH($O1682,'Aub Demand'!$A:$A,0)),"")</f>
        <v>INTER</v>
      </c>
      <c r="R1682" s="52">
        <f>IFERROR(IF(AR1683=AR1682,INDEX('Aub Demand'!K:K,MATCH($O1682,'Aub Demand'!$A:$A,0))-IF(AN1682="",0,AN1682)+AP1683,INDEX('Aub Demand'!K:K,MATCH($O1682,'Aub Demand'!$A:$A,0))-IF(AN1682="",0,AN1682)),"")</f>
        <v>835</v>
      </c>
      <c r="S1682" s="53" t="str">
        <f t="shared" si="728"/>
        <v>n/a</v>
      </c>
      <c r="T1682" s="52" t="str">
        <f t="shared" si="729"/>
        <v/>
      </c>
      <c r="U1682" s="52">
        <f>IFERROR(IF(AR1683=AR1682,INDEX('Aub Demand'!Q:Q,MATCH($O1682,'Aub Demand'!$A:$A,0))-IF(AN1682="",0,AN1682)+AP1683,INDEX('Aub Demand'!Q:Q,MATCH($O1682,'Aub Demand'!$A:$A,0))-IF(AN1682="",0,AN1682)),"")</f>
        <v>835</v>
      </c>
      <c r="V1682" s="53" t="str">
        <f t="shared" si="730"/>
        <v>n/a</v>
      </c>
      <c r="W1682" s="52" t="str">
        <f t="shared" si="731"/>
        <v/>
      </c>
      <c r="X1682" s="52">
        <f>IFERROR(IF(AND(AR1683=AR1682,AM1682&lt;&gt;""),INDEX('Aub Demand'!Q:Q,MATCH($O1682,'Aub Demand'!$A:$A,0))-IF(AN1682="",0,AN1682)+AP1683+AD1682+AL1682,IF(AR1683=AR1682,INDEX('Aub Demand'!Q:Q,MATCH($O1682,'Aub Demand'!$A:$A,0))-IF(AN1682="",0,AN1682)+AP1683+AD1682,IF(AM1682&lt;&gt;"",INDEX('Aub Demand'!Q:Q,MATCH($O1682,'Aub Demand'!$A:$A,0))-IF(AN1682="",0,AN1682)+AD1682+AL1682,INDEX('Aub Demand'!Q:Q,MATCH($O1682,'Aub Demand'!$A:$A,0))-IF(AN1682="",0,AN1682)+AD1682))),"")</f>
        <v>835</v>
      </c>
      <c r="Y1682" s="53" t="str">
        <f t="shared" si="732"/>
        <v>n/a</v>
      </c>
      <c r="Z1682" s="52">
        <f>IF(L1682="","",INDEX('Aub Demand'!H:H,MATCH($O1682,'Aub Demand'!$A:$A,0)))</f>
        <v>0</v>
      </c>
      <c r="AA1682" s="52" t="str">
        <f t="shared" si="733"/>
        <v>-spike-</v>
      </c>
      <c r="AB1682" s="52">
        <f>IFERROR(INDEX('Aub Demand'!L:L,MATCH($O1682,'Aub Demand'!$A:$A,0)),"")</f>
        <v>33</v>
      </c>
      <c r="AC1682" s="52">
        <f>IFERROR(IF(O1682="","",SUMIFS('CPL Mats'!F:F,'CPL Mats'!Q:Q,AR1682,'CPL Mats'!S:S,AS1682)),"")</f>
        <v>0</v>
      </c>
      <c r="AF1682" s="25" t="str">
        <f>IF(SUMIFS('Supp Consol'!S:S,'Supp Consol'!Y:Y,"Releasable",'Supp Consol'!A:A,O1682)=0,"",SUMIFS('Supp Consol'!S:S,'Supp Consol'!Y:Y,"Releasable",'Supp Consol'!A:A,O1682))</f>
        <v/>
      </c>
      <c r="AG1682" s="25" t="str">
        <f>IFERROR(INDEX('Hun Demand'!Q:Q,MATCH(O1682,'Hun Demand'!A:A,0)),"")</f>
        <v/>
      </c>
      <c r="AH1682" s="25" t="str">
        <f>IFERROR(INDEX('Hun Demand'!H:H,MATCH($O1682,'Hun Demand'!$A:$A,0)),"")</f>
        <v/>
      </c>
      <c r="AI1682" s="25" t="str">
        <f>IF(SUMIFS('Supp Consol'!AA:AA,'Supp Consol'!Z:Z,"Expires this month",'Supp Consol'!A:A,O1682)=0,"",SUMIFS('Supp Consol'!AA:AA,'Supp Consol'!Z:Z,"Expires this month",'Supp Consol'!A:A,O1682))</f>
        <v/>
      </c>
      <c r="AJ1682" s="25" t="str">
        <f>IF(SUMIFS('Supp Consol'!AA:AA,'Supp Consol'!Z:Z,"Expired Previous Months",'Supp Consol'!A:A,O1682)=0,"",SUMIFS('Supp Consol'!AA:AA,'Supp Consol'!Z:Z,"Expired Previous Months",'Supp Consol'!A:A,O1682))</f>
        <v/>
      </c>
      <c r="AK1682" s="25" t="str">
        <f>IFERROR(INDEX('Hun Release Current'!B:B,MATCH(O1682,'Hun Release Current'!A:A,0)),"")</f>
        <v/>
      </c>
      <c r="AL1682" s="25" t="str">
        <f>IF(SUMIF('Prev Aub'!A:A,O1682,'Prev Aub'!B:B)=0,"",SUMIF('Prev Aub'!A:A,O1682,'Prev Aub'!B:B))</f>
        <v/>
      </c>
      <c r="AN1682" s="25" t="s">
        <v>3790</v>
      </c>
      <c r="AO1682" s="25" t="s">
        <v>3790</v>
      </c>
      <c r="AP1682" s="25">
        <f t="shared" si="734"/>
        <v>0</v>
      </c>
      <c r="AQ1682" s="151" t="str">
        <f>IF(SUMIFS('Supp Consol'!S:S,'Supp Consol'!A:A,O1682,'Supp Consol'!I:I,"PENDING")=0,"",SUMIFS('Supp Consol'!S:S,'Supp Consol'!A:A,O1682,'Supp Consol'!I:I,"PENDING"))</f>
        <v/>
      </c>
      <c r="AR1682" s="27" t="str">
        <f t="shared" si="735"/>
        <v>WZ053</v>
      </c>
      <c r="AS1682" s="27" t="str">
        <f t="shared" si="736"/>
        <v>62</v>
      </c>
      <c r="AT1682" s="27" t="str">
        <f t="shared" si="737"/>
        <v/>
      </c>
      <c r="AU1682" s="27" t="str">
        <f t="shared" si="738"/>
        <v/>
      </c>
      <c r="AV1682" s="27" t="str">
        <f t="shared" si="739"/>
        <v/>
      </c>
      <c r="AW1682" s="27" t="str">
        <f t="shared" si="740"/>
        <v/>
      </c>
      <c r="AX1682" s="27" t="str">
        <f t="shared" si="741"/>
        <v/>
      </c>
      <c r="AY1682" s="27" t="str">
        <f t="shared" si="742"/>
        <v/>
      </c>
      <c r="AZ1682" s="27" t="str">
        <f t="shared" si="743"/>
        <v/>
      </c>
      <c r="BA1682" s="27" t="str">
        <f t="shared" si="744"/>
        <v/>
      </c>
      <c r="BB1682" s="27" t="str">
        <f t="shared" si="745"/>
        <v/>
      </c>
      <c r="BC1682" s="27" t="str">
        <f t="shared" si="746"/>
        <v/>
      </c>
      <c r="BD1682" s="27" t="str">
        <f t="shared" si="747"/>
        <v/>
      </c>
      <c r="BE1682" s="27" t="str">
        <f t="shared" si="748"/>
        <v/>
      </c>
      <c r="BF1682" s="27" t="str">
        <f t="shared" si="749"/>
        <v/>
      </c>
      <c r="BG1682" s="27" t="str">
        <f t="shared" si="750"/>
        <v/>
      </c>
      <c r="BH1682" s="27" t="str">
        <f t="shared" si="751"/>
        <v/>
      </c>
      <c r="BI1682" s="27" t="str">
        <f t="shared" si="752"/>
        <v/>
      </c>
      <c r="BJ1682" s="27" t="str">
        <f t="shared" si="753"/>
        <v/>
      </c>
      <c r="BK1682" s="27" t="str">
        <f t="shared" si="754"/>
        <v/>
      </c>
      <c r="BL1682" s="27" t="str">
        <f t="shared" si="755"/>
        <v/>
      </c>
      <c r="BM1682" s="21" t="s">
        <v>5581</v>
      </c>
    </row>
    <row r="1683" spans="1:65" ht="15">
      <c r="A1683" s="25">
        <f>IFERROR(INDEX('Hun Demand'!W:W,MATCH(O1683,'Hun Demand'!A:A,0)),"")</f>
        <v>168</v>
      </c>
      <c r="B1683" s="25">
        <f>IFERROR(INDEX('Hun Demand'!V:V,MATCH(O1683,'Hun Demand'!A:A,0)),"")</f>
        <v>158</v>
      </c>
      <c r="C1683" s="25">
        <f>IFERROR(INDEX('Hun Demand'!U:U,MATCH(O1683,'Hun Demand'!A:A,0)),"")</f>
        <v>0</v>
      </c>
      <c r="D1683" s="25">
        <f>IFERROR(INDEX('Hun Demand'!T:T,MATCH(O1683,'Hun Demand'!A:A,0)),"")</f>
        <v>0</v>
      </c>
      <c r="E1683" s="25">
        <f>IFERROR(INDEX('Hun Demand'!S:S,MATCH(O1683,'Hun Demand'!A:A,0)),"")</f>
        <v>186</v>
      </c>
      <c r="F1683" s="25">
        <f>IFERROR(INDEX('Hun Demand'!R:R,MATCH(O1683,'Hun Demand'!A:A,0)),"")</f>
        <v>0</v>
      </c>
      <c r="G1683" s="25">
        <f>IFERROR(INDEX('Aub Demand'!W:W,MATCH(O1683,'Aub Demand'!A:A,0)),"")</f>
        <v>22</v>
      </c>
      <c r="H1683" s="25">
        <f>IFERROR(INDEX('Aub Demand'!V:V,MATCH(O1683,'Aub Demand'!A:A,0)),"")</f>
        <v>372</v>
      </c>
      <c r="I1683" s="25">
        <f>IFERROR(INDEX('Aub Demand'!U:U,MATCH(O1683,'Aub Demand'!A:A,0)),"")</f>
        <v>0</v>
      </c>
      <c r="J1683" s="25">
        <f>IFERROR(INDEX('Aub Demand'!T:T,MATCH(O1683,'Aub Demand'!A:A,0)),"")</f>
        <v>0</v>
      </c>
      <c r="K1683" s="25">
        <f>IFERROR(INDEX('Aub Demand'!S:S,MATCH(O1683,'Aub Demand'!A:A,0)),"")</f>
        <v>53</v>
      </c>
      <c r="L1683" s="25">
        <f>IFERROR(INDEX('Aub Demand'!R:R,MATCH(O1683,'Aub Demand'!A:A,0)),"")</f>
        <v>0</v>
      </c>
      <c r="O1683" s="27" t="s">
        <v>3227</v>
      </c>
      <c r="P1683" s="27" t="str">
        <f>IFERROR(INDEX('Aub Demand'!B:B,MATCH($O1683,'Aub Demand'!$A:$A,0)),"")</f>
        <v>BREVE</v>
      </c>
      <c r="Q1683" s="27" t="str">
        <f>IFERROR(INDEX('Aub Demand'!C:C,MATCH($O1683,'Aub Demand'!$A:$A,0)),"")</f>
        <v>AHLST</v>
      </c>
      <c r="R1683" s="52">
        <f>IFERROR(IF(AR1684=AR1683,INDEX('Aub Demand'!K:K,MATCH($O1683,'Aub Demand'!$A:$A,0))-IF(AN1683="",0,AN1683)+AP1684,INDEX('Aub Demand'!K:K,MATCH($O1683,'Aub Demand'!$A:$A,0))-IF(AN1683="",0,AN1683)),"")</f>
        <v>2003</v>
      </c>
      <c r="S1683" s="53">
        <f t="shared" si="728"/>
        <v>476.9</v>
      </c>
      <c r="T1683" s="52" t="str">
        <f t="shared" si="729"/>
        <v/>
      </c>
      <c r="U1683" s="52">
        <f>IFERROR(IF(AR1684=AR1683,INDEX('Aub Demand'!Q:Q,MATCH($O1683,'Aub Demand'!$A:$A,0))-IF(AN1683="",0,AN1683)+AP1684,INDEX('Aub Demand'!Q:Q,MATCH($O1683,'Aub Demand'!$A:$A,0))-IF(AN1683="",0,AN1683)),"")</f>
        <v>1989</v>
      </c>
      <c r="V1683" s="53">
        <f t="shared" si="730"/>
        <v>473.6</v>
      </c>
      <c r="W1683" s="52" t="str">
        <f t="shared" si="731"/>
        <v/>
      </c>
      <c r="X1683" s="52">
        <f>IFERROR(IF(AND(AR1684=AR1683,AM1683&lt;&gt;""),INDEX('Aub Demand'!Q:Q,MATCH($O1683,'Aub Demand'!$A:$A,0))-IF(AN1683="",0,AN1683)+AP1684+AD1683+AL1683,IF(AR1684=AR1683,INDEX('Aub Demand'!Q:Q,MATCH($O1683,'Aub Demand'!$A:$A,0))-IF(AN1683="",0,AN1683)+AP1684+AD1683,IF(AM1683&lt;&gt;"",INDEX('Aub Demand'!Q:Q,MATCH($O1683,'Aub Demand'!$A:$A,0))-IF(AN1683="",0,AN1683)+AD1683+AL1683,INDEX('Aub Demand'!Q:Q,MATCH($O1683,'Aub Demand'!$A:$A,0))-IF(AN1683="",0,AN1683)+AD1683))),"")</f>
        <v>1989</v>
      </c>
      <c r="Y1683" s="53">
        <f t="shared" si="732"/>
        <v>473.6</v>
      </c>
      <c r="Z1683" s="52">
        <f>IF(L1683="","",INDEX('Aub Demand'!H:H,MATCH($O1683,'Aub Demand'!$A:$A,0)))</f>
        <v>18</v>
      </c>
      <c r="AA1683" s="52" t="str">
        <f t="shared" si="733"/>
        <v>-spike-</v>
      </c>
      <c r="AB1683" s="52">
        <f>IFERROR(INDEX('Aub Demand'!L:L,MATCH($O1683,'Aub Demand'!$A:$A,0)),"")</f>
        <v>0</v>
      </c>
      <c r="AC1683" s="52">
        <f>IFERROR(IF(O1683="","",SUMIFS('CPL Mats'!F:F,'CPL Mats'!Q:Q,AR1683,'CPL Mats'!S:S,AS1683)),"")</f>
        <v>0</v>
      </c>
      <c r="AF1683" s="25" t="str">
        <f>IF(SUMIFS('Supp Consol'!S:S,'Supp Consol'!Y:Y,"Releasable",'Supp Consol'!A:A,O1683)=0,"",SUMIFS('Supp Consol'!S:S,'Supp Consol'!Y:Y,"Releasable",'Supp Consol'!A:A,O1683))</f>
        <v/>
      </c>
      <c r="AG1683" s="25">
        <f>IFERROR(INDEX('Hun Demand'!Q:Q,MATCH(O1683,'Hun Demand'!A:A,0)),"")</f>
        <v>0</v>
      </c>
      <c r="AH1683" s="25">
        <f>IFERROR(INDEX('Hun Demand'!H:H,MATCH($O1683,'Hun Demand'!$A:$A,0)),"")</f>
        <v>62</v>
      </c>
      <c r="AI1683" s="25" t="str">
        <f>IF(SUMIFS('Supp Consol'!AA:AA,'Supp Consol'!Z:Z,"Expires this month",'Supp Consol'!A:A,O1683)=0,"",SUMIFS('Supp Consol'!AA:AA,'Supp Consol'!Z:Z,"Expires this month",'Supp Consol'!A:A,O1683))</f>
        <v/>
      </c>
      <c r="AJ1683" s="25" t="str">
        <f>IF(SUMIFS('Supp Consol'!AA:AA,'Supp Consol'!Z:Z,"Expired Previous Months",'Supp Consol'!A:A,O1683)=0,"",SUMIFS('Supp Consol'!AA:AA,'Supp Consol'!Z:Z,"Expired Previous Months",'Supp Consol'!A:A,O1683))</f>
        <v/>
      </c>
      <c r="AK1683" s="25" t="str">
        <f>IFERROR(INDEX('Hun Release Current'!B:B,MATCH(O1683,'Hun Release Current'!A:A,0)),"")</f>
        <v/>
      </c>
      <c r="AL1683" s="25" t="str">
        <f>IF(SUMIF('Prev Aub'!A:A,O1683,'Prev Aub'!B:B)=0,"",SUMIF('Prev Aub'!A:A,O1683,'Prev Aub'!B:B))</f>
        <v/>
      </c>
      <c r="AN1683" s="25" t="s">
        <v>3790</v>
      </c>
      <c r="AO1683" s="25" t="s">
        <v>3790</v>
      </c>
      <c r="AP1683" s="25">
        <f t="shared" si="734"/>
        <v>0</v>
      </c>
      <c r="AQ1683" s="151" t="str">
        <f>IF(SUMIFS('Supp Consol'!S:S,'Supp Consol'!A:A,O1683,'Supp Consol'!I:I,"PENDING")=0,"",SUMIFS('Supp Consol'!S:S,'Supp Consol'!A:A,O1683,'Supp Consol'!I:I,"PENDING"))</f>
        <v/>
      </c>
      <c r="AR1683" s="27" t="str">
        <f t="shared" si="735"/>
        <v>WZ054</v>
      </c>
      <c r="AS1683" s="27" t="str">
        <f t="shared" si="736"/>
        <v>50</v>
      </c>
      <c r="AT1683" s="27" t="str">
        <f t="shared" si="737"/>
        <v/>
      </c>
      <c r="AU1683" s="27" t="str">
        <f t="shared" si="738"/>
        <v/>
      </c>
      <c r="AV1683" s="27" t="str">
        <f t="shared" si="739"/>
        <v/>
      </c>
      <c r="AW1683" s="27" t="str">
        <f t="shared" si="740"/>
        <v/>
      </c>
      <c r="AX1683" s="27" t="str">
        <f t="shared" si="741"/>
        <v/>
      </c>
      <c r="AY1683" s="27" t="str">
        <f t="shared" si="742"/>
        <v/>
      </c>
      <c r="AZ1683" s="27" t="str">
        <f t="shared" si="743"/>
        <v/>
      </c>
      <c r="BA1683" s="27" t="str">
        <f t="shared" si="744"/>
        <v/>
      </c>
      <c r="BB1683" s="27" t="str">
        <f t="shared" si="745"/>
        <v/>
      </c>
      <c r="BC1683" s="27" t="str">
        <f t="shared" si="746"/>
        <v/>
      </c>
      <c r="BD1683" s="27" t="str">
        <f t="shared" si="747"/>
        <v/>
      </c>
      <c r="BE1683" s="27" t="str">
        <f t="shared" si="748"/>
        <v/>
      </c>
      <c r="BF1683" s="27" t="str">
        <f t="shared" si="749"/>
        <v/>
      </c>
      <c r="BG1683" s="27" t="str">
        <f t="shared" si="750"/>
        <v/>
      </c>
      <c r="BH1683" s="27" t="str">
        <f t="shared" si="751"/>
        <v/>
      </c>
      <c r="BI1683" s="27" t="str">
        <f t="shared" si="752"/>
        <v/>
      </c>
      <c r="BJ1683" s="27" t="str">
        <f t="shared" si="753"/>
        <v/>
      </c>
      <c r="BK1683" s="27" t="str">
        <f t="shared" si="754"/>
        <v/>
      </c>
      <c r="BL1683" s="27" t="str">
        <f t="shared" si="755"/>
        <v/>
      </c>
      <c r="BM1683" s="21" t="s">
        <v>5581</v>
      </c>
    </row>
    <row r="1684" spans="1:65" ht="15">
      <c r="A1684" s="25" t="str">
        <f>IFERROR(INDEX('Hun Demand'!W:W,MATCH(O1684,'Hun Demand'!A:A,0)),"")</f>
        <v/>
      </c>
      <c r="B1684" s="25" t="str">
        <f>IFERROR(INDEX('Hun Demand'!V:V,MATCH(O1684,'Hun Demand'!A:A,0)),"")</f>
        <v/>
      </c>
      <c r="C1684" s="25" t="str">
        <f>IFERROR(INDEX('Hun Demand'!U:U,MATCH(O1684,'Hun Demand'!A:A,0)),"")</f>
        <v/>
      </c>
      <c r="D1684" s="25" t="str">
        <f>IFERROR(INDEX('Hun Demand'!T:T,MATCH(O1684,'Hun Demand'!A:A,0)),"")</f>
        <v/>
      </c>
      <c r="E1684" s="25" t="str">
        <f>IFERROR(INDEX('Hun Demand'!S:S,MATCH(O1684,'Hun Demand'!A:A,0)),"")</f>
        <v/>
      </c>
      <c r="F1684" s="25" t="str">
        <f>IFERROR(INDEX('Hun Demand'!R:R,MATCH(O1684,'Hun Demand'!A:A,0)),"")</f>
        <v/>
      </c>
      <c r="G1684" s="25">
        <f>IFERROR(INDEX('Aub Demand'!W:W,MATCH(O1684,'Aub Demand'!A:A,0)),"")</f>
        <v>0</v>
      </c>
      <c r="H1684" s="25">
        <f>IFERROR(INDEX('Aub Demand'!V:V,MATCH(O1684,'Aub Demand'!A:A,0)),"")</f>
        <v>64</v>
      </c>
      <c r="I1684" s="25">
        <f>IFERROR(INDEX('Aub Demand'!U:U,MATCH(O1684,'Aub Demand'!A:A,0)),"")</f>
        <v>0</v>
      </c>
      <c r="J1684" s="25">
        <f>IFERROR(INDEX('Aub Demand'!T:T,MATCH(O1684,'Aub Demand'!A:A,0)),"")</f>
        <v>169</v>
      </c>
      <c r="K1684" s="25">
        <f>IFERROR(INDEX('Aub Demand'!S:S,MATCH(O1684,'Aub Demand'!A:A,0)),"")</f>
        <v>132</v>
      </c>
      <c r="L1684" s="25">
        <f>IFERROR(INDEX('Aub Demand'!R:R,MATCH(O1684,'Aub Demand'!A:A,0)),"")</f>
        <v>0</v>
      </c>
      <c r="O1684" s="27" t="s">
        <v>3229</v>
      </c>
      <c r="P1684" s="27" t="str">
        <f>IFERROR(INDEX('Aub Demand'!B:B,MATCH($O1684,'Aub Demand'!$A:$A,0)),"")</f>
        <v>BREVE</v>
      </c>
      <c r="Q1684" s="27" t="str">
        <f>IFERROR(INDEX('Aub Demand'!C:C,MATCH($O1684,'Aub Demand'!$A:$A,0)),"")</f>
        <v>AHLST</v>
      </c>
      <c r="R1684" s="52">
        <f>IFERROR(IF(AR1685=AR1684,INDEX('Aub Demand'!K:K,MATCH($O1684,'Aub Demand'!$A:$A,0))-IF(AN1684="",0,AN1684)+AP1685,INDEX('Aub Demand'!K:K,MATCH($O1684,'Aub Demand'!$A:$A,0))-IF(AN1684="",0,AN1684)),"")</f>
        <v>269</v>
      </c>
      <c r="S1684" s="53">
        <f t="shared" si="728"/>
        <v>11.5</v>
      </c>
      <c r="T1684" s="52" t="str">
        <f t="shared" si="729"/>
        <v/>
      </c>
      <c r="U1684" s="52">
        <f>IFERROR(IF(AR1685=AR1684,INDEX('Aub Demand'!Q:Q,MATCH($O1684,'Aub Demand'!$A:$A,0))-IF(AN1684="",0,AN1684)+AP1685,INDEX('Aub Demand'!Q:Q,MATCH($O1684,'Aub Demand'!$A:$A,0))-IF(AN1684="",0,AN1684)),"")</f>
        <v>219</v>
      </c>
      <c r="V1684" s="53">
        <f t="shared" si="730"/>
        <v>9.4</v>
      </c>
      <c r="W1684" s="52" t="str">
        <f t="shared" si="731"/>
        <v/>
      </c>
      <c r="X1684" s="52">
        <f>IFERROR(IF(AND(AR1685=AR1684,AM1684&lt;&gt;""),INDEX('Aub Demand'!Q:Q,MATCH($O1684,'Aub Demand'!$A:$A,0))-IF(AN1684="",0,AN1684)+AP1685+AD1684+AL1684,IF(AR1685=AR1684,INDEX('Aub Demand'!Q:Q,MATCH($O1684,'Aub Demand'!$A:$A,0))-IF(AN1684="",0,AN1684)+AP1685+AD1684,IF(AM1684&lt;&gt;"",INDEX('Aub Demand'!Q:Q,MATCH($O1684,'Aub Demand'!$A:$A,0))-IF(AN1684="",0,AN1684)+AD1684+AL1684,INDEX('Aub Demand'!Q:Q,MATCH($O1684,'Aub Demand'!$A:$A,0))-IF(AN1684="",0,AN1684)+AD1684))),"")</f>
        <v>219</v>
      </c>
      <c r="Y1684" s="53">
        <f t="shared" si="732"/>
        <v>9.4</v>
      </c>
      <c r="Z1684" s="52">
        <f>IF(L1684="","",INDEX('Aub Demand'!H:H,MATCH($O1684,'Aub Demand'!$A:$A,0)))</f>
        <v>100</v>
      </c>
      <c r="AA1684" s="52">
        <f t="shared" si="733"/>
        <v>150.5</v>
      </c>
      <c r="AB1684" s="52">
        <f>IFERROR(INDEX('Aub Demand'!L:L,MATCH($O1684,'Aub Demand'!$A:$A,0)),"")</f>
        <v>90</v>
      </c>
      <c r="AC1684" s="52">
        <f>IFERROR(IF(O1684="","",SUMIFS('CPL Mats'!F:F,'CPL Mats'!Q:Q,AR1684,'CPL Mats'!S:S,AS1684)),"")</f>
        <v>0</v>
      </c>
      <c r="AF1684" s="25" t="str">
        <f>IF(SUMIFS('Supp Consol'!S:S,'Supp Consol'!Y:Y,"Releasable",'Supp Consol'!A:A,O1684)=0,"",SUMIFS('Supp Consol'!S:S,'Supp Consol'!Y:Y,"Releasable",'Supp Consol'!A:A,O1684))</f>
        <v/>
      </c>
      <c r="AG1684" s="25" t="str">
        <f>IFERROR(INDEX('Hun Demand'!Q:Q,MATCH(O1684,'Hun Demand'!A:A,0)),"")</f>
        <v/>
      </c>
      <c r="AH1684" s="25" t="str">
        <f>IFERROR(INDEX('Hun Demand'!H:H,MATCH($O1684,'Hun Demand'!$A:$A,0)),"")</f>
        <v/>
      </c>
      <c r="AI1684" s="25" t="str">
        <f>IF(SUMIFS('Supp Consol'!AA:AA,'Supp Consol'!Z:Z,"Expires this month",'Supp Consol'!A:A,O1684)=0,"",SUMIFS('Supp Consol'!AA:AA,'Supp Consol'!Z:Z,"Expires this month",'Supp Consol'!A:A,O1684))</f>
        <v/>
      </c>
      <c r="AJ1684" s="25" t="str">
        <f>IF(SUMIFS('Supp Consol'!AA:AA,'Supp Consol'!Z:Z,"Expired Previous Months",'Supp Consol'!A:A,O1684)=0,"",SUMIFS('Supp Consol'!AA:AA,'Supp Consol'!Z:Z,"Expired Previous Months",'Supp Consol'!A:A,O1684))</f>
        <v/>
      </c>
      <c r="AK1684" s="25" t="str">
        <f>IFERROR(INDEX('Hun Release Current'!B:B,MATCH(O1684,'Hun Release Current'!A:A,0)),"")</f>
        <v/>
      </c>
      <c r="AL1684" s="25" t="str">
        <f>IF(SUMIF('Prev Aub'!A:A,O1684,'Prev Aub'!B:B)=0,"",SUMIF('Prev Aub'!A:A,O1684,'Prev Aub'!B:B))</f>
        <v/>
      </c>
      <c r="AN1684" s="25" t="s">
        <v>3790</v>
      </c>
      <c r="AO1684" s="25" t="s">
        <v>3790</v>
      </c>
      <c r="AP1684" s="25">
        <f t="shared" si="734"/>
        <v>0</v>
      </c>
      <c r="AQ1684" s="151" t="str">
        <f>IF(SUMIFS('Supp Consol'!S:S,'Supp Consol'!A:A,O1684,'Supp Consol'!I:I,"PENDING")=0,"",SUMIFS('Supp Consol'!S:S,'Supp Consol'!A:A,O1684,'Supp Consol'!I:I,"PENDING"))</f>
        <v/>
      </c>
      <c r="AR1684" s="27" t="str">
        <f t="shared" si="735"/>
        <v>WZ054</v>
      </c>
      <c r="AS1684" s="27" t="str">
        <f t="shared" si="736"/>
        <v>62</v>
      </c>
      <c r="AT1684" s="27" t="str">
        <f t="shared" si="737"/>
        <v/>
      </c>
      <c r="AU1684" s="27" t="str">
        <f t="shared" si="738"/>
        <v/>
      </c>
      <c r="AV1684" s="27" t="str">
        <f t="shared" si="739"/>
        <v/>
      </c>
      <c r="AW1684" s="27" t="str">
        <f t="shared" si="740"/>
        <v/>
      </c>
      <c r="AX1684" s="27" t="str">
        <f t="shared" si="741"/>
        <v/>
      </c>
      <c r="AY1684" s="27" t="str">
        <f t="shared" si="742"/>
        <v/>
      </c>
      <c r="AZ1684" s="27" t="str">
        <f t="shared" si="743"/>
        <v/>
      </c>
      <c r="BA1684" s="27" t="str">
        <f t="shared" si="744"/>
        <v/>
      </c>
      <c r="BB1684" s="27" t="str">
        <f t="shared" si="745"/>
        <v/>
      </c>
      <c r="BC1684" s="27" t="str">
        <f t="shared" si="746"/>
        <v/>
      </c>
      <c r="BD1684" s="27" t="str">
        <f t="shared" si="747"/>
        <v/>
      </c>
      <c r="BE1684" s="27" t="str">
        <f t="shared" si="748"/>
        <v/>
      </c>
      <c r="BF1684" s="27" t="str">
        <f t="shared" si="749"/>
        <v/>
      </c>
      <c r="BG1684" s="27" t="str">
        <f t="shared" si="750"/>
        <v/>
      </c>
      <c r="BH1684" s="27" t="str">
        <f t="shared" si="751"/>
        <v/>
      </c>
      <c r="BI1684" s="27" t="str">
        <f t="shared" si="752"/>
        <v/>
      </c>
      <c r="BJ1684" s="27" t="str">
        <f t="shared" si="753"/>
        <v/>
      </c>
      <c r="BK1684" s="27" t="str">
        <f t="shared" si="754"/>
        <v/>
      </c>
      <c r="BL1684" s="27" t="str">
        <f t="shared" si="755"/>
        <v/>
      </c>
      <c r="BM1684" s="21" t="s">
        <v>5581</v>
      </c>
    </row>
    <row r="1685" spans="1:65" ht="15">
      <c r="A1685" s="25" t="str">
        <f>IFERROR(INDEX('Hun Demand'!W:W,MATCH(O1685,'Hun Demand'!A:A,0)),"")</f>
        <v/>
      </c>
      <c r="B1685" s="25" t="str">
        <f>IFERROR(INDEX('Hun Demand'!V:V,MATCH(O1685,'Hun Demand'!A:A,0)),"")</f>
        <v/>
      </c>
      <c r="C1685" s="25" t="str">
        <f>IFERROR(INDEX('Hun Demand'!U:U,MATCH(O1685,'Hun Demand'!A:A,0)),"")</f>
        <v/>
      </c>
      <c r="D1685" s="25" t="str">
        <f>IFERROR(INDEX('Hun Demand'!T:T,MATCH(O1685,'Hun Demand'!A:A,0)),"")</f>
        <v/>
      </c>
      <c r="E1685" s="25" t="str">
        <f>IFERROR(INDEX('Hun Demand'!S:S,MATCH(O1685,'Hun Demand'!A:A,0)),"")</f>
        <v/>
      </c>
      <c r="F1685" s="25" t="str">
        <f>IFERROR(INDEX('Hun Demand'!R:R,MATCH(O1685,'Hun Demand'!A:A,0)),"")</f>
        <v/>
      </c>
      <c r="G1685" s="25">
        <f>IFERROR(INDEX('Aub Demand'!W:W,MATCH(O1685,'Aub Demand'!A:A,0)),"")</f>
        <v>465</v>
      </c>
      <c r="H1685" s="25">
        <f>IFERROR(INDEX('Aub Demand'!V:V,MATCH(O1685,'Aub Demand'!A:A,0)),"")</f>
        <v>0</v>
      </c>
      <c r="I1685" s="25">
        <f>IFERROR(INDEX('Aub Demand'!U:U,MATCH(O1685,'Aub Demand'!A:A,0)),"")</f>
        <v>276</v>
      </c>
      <c r="J1685" s="25">
        <f>IFERROR(INDEX('Aub Demand'!T:T,MATCH(O1685,'Aub Demand'!A:A,0)),"")</f>
        <v>954</v>
      </c>
      <c r="K1685" s="25">
        <f>IFERROR(INDEX('Aub Demand'!S:S,MATCH(O1685,'Aub Demand'!A:A,0)),"")</f>
        <v>0</v>
      </c>
      <c r="L1685" s="25">
        <f>IFERROR(INDEX('Aub Demand'!R:R,MATCH(O1685,'Aub Demand'!A:A,0)),"")</f>
        <v>0</v>
      </c>
      <c r="O1685" s="27" t="s">
        <v>3230</v>
      </c>
      <c r="P1685" s="27" t="str">
        <f>IFERROR(INDEX('Aub Demand'!B:B,MATCH($O1685,'Aub Demand'!$A:$A,0)),"")</f>
        <v>CARAJILLO</v>
      </c>
      <c r="Q1685" s="27" t="str">
        <f>IFERROR(INDEX('Aub Demand'!C:C,MATCH($O1685,'Aub Demand'!$A:$A,0)),"")</f>
        <v>AHLST</v>
      </c>
      <c r="R1685" s="52">
        <f>IFERROR(IF(AR1686=AR1685,INDEX('Aub Demand'!K:K,MATCH($O1685,'Aub Demand'!$A:$A,0))-IF(AN1685="",0,AN1685)+AP1686,INDEX('Aub Demand'!K:K,MATCH($O1685,'Aub Demand'!$A:$A,0))-IF(AN1685="",0,AN1685)),"")</f>
        <v>682</v>
      </c>
      <c r="S1685" s="53">
        <f t="shared" si="728"/>
        <v>7.1</v>
      </c>
      <c r="T1685" s="52" t="str">
        <f t="shared" si="729"/>
        <v/>
      </c>
      <c r="U1685" s="52">
        <f>IFERROR(IF(AR1686=AR1685,INDEX('Aub Demand'!Q:Q,MATCH($O1685,'Aub Demand'!$A:$A,0))-IF(AN1685="",0,AN1685)+AP1686,INDEX('Aub Demand'!Q:Q,MATCH($O1685,'Aub Demand'!$A:$A,0))-IF(AN1685="",0,AN1685)),"")</f>
        <v>665</v>
      </c>
      <c r="V1685" s="53">
        <f t="shared" si="730"/>
        <v>7</v>
      </c>
      <c r="W1685" s="52" t="str">
        <f t="shared" si="731"/>
        <v/>
      </c>
      <c r="X1685" s="52">
        <f>IFERROR(IF(AND(AR1686=AR1685,AM1685&lt;&gt;""),INDEX('Aub Demand'!Q:Q,MATCH($O1685,'Aub Demand'!$A:$A,0))-IF(AN1685="",0,AN1685)+AP1686+AD1685+AL1685,IF(AR1686=AR1685,INDEX('Aub Demand'!Q:Q,MATCH($O1685,'Aub Demand'!$A:$A,0))-IF(AN1685="",0,AN1685)+AP1686+AD1685,IF(AM1685&lt;&gt;"",INDEX('Aub Demand'!Q:Q,MATCH($O1685,'Aub Demand'!$A:$A,0))-IF(AN1685="",0,AN1685)+AD1685+AL1685,INDEX('Aub Demand'!Q:Q,MATCH($O1685,'Aub Demand'!$A:$A,0))-IF(AN1685="",0,AN1685)+AD1685))),"")</f>
        <v>665</v>
      </c>
      <c r="Y1685" s="53">
        <f t="shared" si="732"/>
        <v>7</v>
      </c>
      <c r="Z1685" s="52">
        <f>IF(L1685="","",INDEX('Aub Demand'!H:H,MATCH($O1685,'Aub Demand'!$A:$A,0)))</f>
        <v>410</v>
      </c>
      <c r="AA1685" s="52">
        <f t="shared" si="733"/>
        <v>615</v>
      </c>
      <c r="AB1685" s="52">
        <f>IFERROR(INDEX('Aub Demand'!L:L,MATCH($O1685,'Aub Demand'!$A:$A,0)),"")</f>
        <v>507</v>
      </c>
      <c r="AC1685" s="52">
        <f>IFERROR(IF(O1685="","",SUMIFS('CPL Mats'!F:F,'CPL Mats'!Q:Q,AR1685,'CPL Mats'!S:S,AS1685)),"")</f>
        <v>6108</v>
      </c>
      <c r="AF1685" s="25" t="str">
        <f>IF(SUMIFS('Supp Consol'!S:S,'Supp Consol'!Y:Y,"Releasable",'Supp Consol'!A:A,O1685)=0,"",SUMIFS('Supp Consol'!S:S,'Supp Consol'!Y:Y,"Releasable",'Supp Consol'!A:A,O1685))</f>
        <v/>
      </c>
      <c r="AG1685" s="25" t="str">
        <f>IFERROR(INDEX('Hun Demand'!Q:Q,MATCH(O1685,'Hun Demand'!A:A,0)),"")</f>
        <v/>
      </c>
      <c r="AH1685" s="25" t="str">
        <f>IFERROR(INDEX('Hun Demand'!H:H,MATCH($O1685,'Hun Demand'!$A:$A,0)),"")</f>
        <v/>
      </c>
      <c r="AI1685" s="25" t="str">
        <f>IF(SUMIFS('Supp Consol'!AA:AA,'Supp Consol'!Z:Z,"Expires this month",'Supp Consol'!A:A,O1685)=0,"",SUMIFS('Supp Consol'!AA:AA,'Supp Consol'!Z:Z,"Expires this month",'Supp Consol'!A:A,O1685))</f>
        <v/>
      </c>
      <c r="AJ1685" s="25" t="str">
        <f>IF(SUMIFS('Supp Consol'!AA:AA,'Supp Consol'!Z:Z,"Expired Previous Months",'Supp Consol'!A:A,O1685)=0,"",SUMIFS('Supp Consol'!AA:AA,'Supp Consol'!Z:Z,"Expired Previous Months",'Supp Consol'!A:A,O1685))</f>
        <v/>
      </c>
      <c r="AK1685" s="25" t="str">
        <f>IFERROR(INDEX('Hun Release Current'!B:B,MATCH(O1685,'Hun Release Current'!A:A,0)),"")</f>
        <v/>
      </c>
      <c r="AL1685" s="25" t="str">
        <f>IF(SUMIF('Prev Aub'!A:A,O1685,'Prev Aub'!B:B)=0,"",SUMIF('Prev Aub'!A:A,O1685,'Prev Aub'!B:B))</f>
        <v/>
      </c>
      <c r="AN1685" s="25" t="s">
        <v>3790</v>
      </c>
      <c r="AO1685" s="25" t="s">
        <v>3790</v>
      </c>
      <c r="AP1685" s="25">
        <f t="shared" si="734"/>
        <v>0</v>
      </c>
      <c r="AQ1685" s="151" t="str">
        <f>IF(SUMIFS('Supp Consol'!S:S,'Supp Consol'!A:A,O1685,'Supp Consol'!I:I,"PENDING")=0,"",SUMIFS('Supp Consol'!S:S,'Supp Consol'!A:A,O1685,'Supp Consol'!I:I,"PENDING"))</f>
        <v/>
      </c>
      <c r="AR1685" s="27" t="str">
        <f t="shared" si="735"/>
        <v>WZ055</v>
      </c>
      <c r="AS1685" s="27" t="str">
        <f t="shared" si="736"/>
        <v>50</v>
      </c>
      <c r="AT1685" s="27" t="str">
        <f t="shared" si="737"/>
        <v/>
      </c>
      <c r="AU1685" s="27" t="str">
        <f t="shared" si="738"/>
        <v/>
      </c>
      <c r="AV1685" s="27" t="str">
        <f t="shared" si="739"/>
        <v/>
      </c>
      <c r="AW1685" s="27" t="str">
        <f t="shared" si="740"/>
        <v/>
      </c>
      <c r="AX1685" s="27" t="str">
        <f t="shared" si="741"/>
        <v/>
      </c>
      <c r="AY1685" s="27" t="str">
        <f t="shared" si="742"/>
        <v/>
      </c>
      <c r="AZ1685" s="27" t="str">
        <f t="shared" si="743"/>
        <v/>
      </c>
      <c r="BA1685" s="27" t="str">
        <f t="shared" si="744"/>
        <v>Hun</v>
      </c>
      <c r="BB1685" s="27" t="str">
        <f t="shared" si="745"/>
        <v/>
      </c>
      <c r="BC1685" s="27" t="str">
        <f t="shared" si="746"/>
        <v/>
      </c>
      <c r="BD1685" s="27" t="str">
        <f t="shared" si="747"/>
        <v/>
      </c>
      <c r="BE1685" s="27" t="str">
        <f t="shared" si="748"/>
        <v/>
      </c>
      <c r="BF1685" s="27" t="str">
        <f t="shared" si="749"/>
        <v/>
      </c>
      <c r="BG1685" s="27" t="str">
        <f t="shared" si="750"/>
        <v/>
      </c>
      <c r="BH1685" s="27" t="str">
        <f t="shared" si="751"/>
        <v/>
      </c>
      <c r="BI1685" s="27" t="str">
        <f t="shared" si="752"/>
        <v/>
      </c>
      <c r="BJ1685" s="27" t="str">
        <f t="shared" si="753"/>
        <v>Supp or Hun</v>
      </c>
      <c r="BK1685" s="27" t="str">
        <f t="shared" si="754"/>
        <v/>
      </c>
      <c r="BL1685" s="27" t="str">
        <f t="shared" si="755"/>
        <v/>
      </c>
      <c r="BM1685" s="21" t="s">
        <v>5581</v>
      </c>
    </row>
    <row r="1686" spans="1:65" ht="15">
      <c r="A1686" s="25">
        <f>IFERROR(INDEX('Hun Demand'!W:W,MATCH(O1686,'Hun Demand'!A:A,0)),"")</f>
        <v>0</v>
      </c>
      <c r="B1686" s="25">
        <f>IFERROR(INDEX('Hun Demand'!V:V,MATCH(O1686,'Hun Demand'!A:A,0)),"")</f>
        <v>0</v>
      </c>
      <c r="C1686" s="25">
        <f>IFERROR(INDEX('Hun Demand'!U:U,MATCH(O1686,'Hun Demand'!A:A,0)),"")</f>
        <v>0</v>
      </c>
      <c r="D1686" s="25">
        <f>IFERROR(INDEX('Hun Demand'!T:T,MATCH(O1686,'Hun Demand'!A:A,0)),"")</f>
        <v>0</v>
      </c>
      <c r="E1686" s="25">
        <f>IFERROR(INDEX('Hun Demand'!S:S,MATCH(O1686,'Hun Demand'!A:A,0)),"")</f>
        <v>0</v>
      </c>
      <c r="F1686" s="25">
        <f>IFERROR(INDEX('Hun Demand'!R:R,MATCH(O1686,'Hun Demand'!A:A,0)),"")</f>
        <v>0</v>
      </c>
      <c r="G1686" s="25">
        <f>IFERROR(INDEX('Aub Demand'!W:W,MATCH(O1686,'Aub Demand'!A:A,0)),"")</f>
        <v>0</v>
      </c>
      <c r="H1686" s="25">
        <f>IFERROR(INDEX('Aub Demand'!V:V,MATCH(O1686,'Aub Demand'!A:A,0)),"")</f>
        <v>87</v>
      </c>
      <c r="I1686" s="25">
        <f>IFERROR(INDEX('Aub Demand'!U:U,MATCH(O1686,'Aub Demand'!A:A,0)),"")</f>
        <v>14</v>
      </c>
      <c r="J1686" s="25">
        <f>IFERROR(INDEX('Aub Demand'!T:T,MATCH(O1686,'Aub Demand'!A:A,0)),"")</f>
        <v>19</v>
      </c>
      <c r="K1686" s="25">
        <f>IFERROR(INDEX('Aub Demand'!S:S,MATCH(O1686,'Aub Demand'!A:A,0)),"")</f>
        <v>12</v>
      </c>
      <c r="L1686" s="25">
        <f>IFERROR(INDEX('Aub Demand'!R:R,MATCH(O1686,'Aub Demand'!A:A,0)),"")</f>
        <v>0</v>
      </c>
      <c r="O1686" s="27" t="s">
        <v>3232</v>
      </c>
      <c r="P1686" s="27" t="str">
        <f>IFERROR(INDEX('Aub Demand'!B:B,MATCH($O1686,'Aub Demand'!$A:$A,0)),"")</f>
        <v>CARAJILLO</v>
      </c>
      <c r="Q1686" s="27" t="str">
        <f>IFERROR(INDEX('Aub Demand'!C:C,MATCH($O1686,'Aub Demand'!$A:$A,0)),"")</f>
        <v>AHLST</v>
      </c>
      <c r="R1686" s="52">
        <f>IFERROR(IF(AR1687=AR1686,INDEX('Aub Demand'!K:K,MATCH($O1686,'Aub Demand'!$A:$A,0))-IF(AN1686="",0,AN1686)+AP1687,INDEX('Aub Demand'!K:K,MATCH($O1686,'Aub Demand'!$A:$A,0))-IF(AN1686="",0,AN1686)),"")</f>
        <v>1492</v>
      </c>
      <c r="S1686" s="53">
        <f t="shared" si="728"/>
        <v>426.3</v>
      </c>
      <c r="T1686" s="52" t="str">
        <f t="shared" si="729"/>
        <v/>
      </c>
      <c r="U1686" s="52">
        <f>IFERROR(IF(AR1687=AR1686,INDEX('Aub Demand'!Q:Q,MATCH($O1686,'Aub Demand'!$A:$A,0))-IF(AN1686="",0,AN1686)+AP1687,INDEX('Aub Demand'!Q:Q,MATCH($O1686,'Aub Demand'!$A:$A,0))-IF(AN1686="",0,AN1686)),"")</f>
        <v>1444</v>
      </c>
      <c r="V1686" s="53">
        <f t="shared" si="730"/>
        <v>412.6</v>
      </c>
      <c r="W1686" s="52" t="str">
        <f t="shared" si="731"/>
        <v/>
      </c>
      <c r="X1686" s="52">
        <f>IFERROR(IF(AND(AR1687=AR1686,AM1686&lt;&gt;""),INDEX('Aub Demand'!Q:Q,MATCH($O1686,'Aub Demand'!$A:$A,0))-IF(AN1686="",0,AN1686)+AP1687+AD1686+AL1686,IF(AR1687=AR1686,INDEX('Aub Demand'!Q:Q,MATCH($O1686,'Aub Demand'!$A:$A,0))-IF(AN1686="",0,AN1686)+AP1687+AD1686,IF(AM1686&lt;&gt;"",INDEX('Aub Demand'!Q:Q,MATCH($O1686,'Aub Demand'!$A:$A,0))-IF(AN1686="",0,AN1686)+AD1686+AL1686,INDEX('Aub Demand'!Q:Q,MATCH($O1686,'Aub Demand'!$A:$A,0))-IF(AN1686="",0,AN1686)+AD1686))),"")</f>
        <v>1444</v>
      </c>
      <c r="Y1686" s="53">
        <f t="shared" si="732"/>
        <v>412.6</v>
      </c>
      <c r="Z1686" s="52">
        <f>IF(L1686="","",INDEX('Aub Demand'!H:H,MATCH($O1686,'Aub Demand'!$A:$A,0)))</f>
        <v>15</v>
      </c>
      <c r="AA1686" s="52">
        <f t="shared" si="733"/>
        <v>16.5</v>
      </c>
      <c r="AB1686" s="52">
        <f>IFERROR(INDEX('Aub Demand'!L:L,MATCH($O1686,'Aub Demand'!$A:$A,0)),"")</f>
        <v>0</v>
      </c>
      <c r="AC1686" s="52">
        <f>IFERROR(IF(O1686="","",SUMIFS('CPL Mats'!F:F,'CPL Mats'!Q:Q,AR1686,'CPL Mats'!S:S,AS1686)),"")</f>
        <v>0</v>
      </c>
      <c r="AF1686" s="25" t="str">
        <f>IF(SUMIFS('Supp Consol'!S:S,'Supp Consol'!Y:Y,"Releasable",'Supp Consol'!A:A,O1686)=0,"",SUMIFS('Supp Consol'!S:S,'Supp Consol'!Y:Y,"Releasable",'Supp Consol'!A:A,O1686))</f>
        <v/>
      </c>
      <c r="AG1686" s="25">
        <f>IFERROR(INDEX('Hun Demand'!Q:Q,MATCH(O1686,'Hun Demand'!A:A,0)),"")</f>
        <v>276</v>
      </c>
      <c r="AH1686" s="25">
        <f>IFERROR(INDEX('Hun Demand'!H:H,MATCH($O1686,'Hun Demand'!$A:$A,0)),"")</f>
        <v>0</v>
      </c>
      <c r="AI1686" s="25" t="str">
        <f>IF(SUMIFS('Supp Consol'!AA:AA,'Supp Consol'!Z:Z,"Expires this month",'Supp Consol'!A:A,O1686)=0,"",SUMIFS('Supp Consol'!AA:AA,'Supp Consol'!Z:Z,"Expires this month",'Supp Consol'!A:A,O1686))</f>
        <v/>
      </c>
      <c r="AJ1686" s="25" t="str">
        <f>IF(SUMIFS('Supp Consol'!AA:AA,'Supp Consol'!Z:Z,"Expired Previous Months",'Supp Consol'!A:A,O1686)=0,"",SUMIFS('Supp Consol'!AA:AA,'Supp Consol'!Z:Z,"Expired Previous Months",'Supp Consol'!A:A,O1686))</f>
        <v/>
      </c>
      <c r="AK1686" s="25" t="str">
        <f>IFERROR(INDEX('Hun Release Current'!B:B,MATCH(O1686,'Hun Release Current'!A:A,0)),"")</f>
        <v/>
      </c>
      <c r="AL1686" s="25" t="str">
        <f>IF(SUMIF('Prev Aub'!A:A,O1686,'Prev Aub'!B:B)=0,"",SUMIF('Prev Aub'!A:A,O1686,'Prev Aub'!B:B))</f>
        <v/>
      </c>
      <c r="AN1686" s="25" t="s">
        <v>3790</v>
      </c>
      <c r="AO1686" s="25" t="s">
        <v>3790</v>
      </c>
      <c r="AP1686" s="25">
        <f t="shared" si="734"/>
        <v>0</v>
      </c>
      <c r="AQ1686" s="151" t="str">
        <f>IF(SUMIFS('Supp Consol'!S:S,'Supp Consol'!A:A,O1686,'Supp Consol'!I:I,"PENDING")=0,"",SUMIFS('Supp Consol'!S:S,'Supp Consol'!A:A,O1686,'Supp Consol'!I:I,"PENDING"))</f>
        <v/>
      </c>
      <c r="AR1686" s="27" t="str">
        <f t="shared" si="735"/>
        <v>WZ055</v>
      </c>
      <c r="AS1686" s="27" t="str">
        <f t="shared" si="736"/>
        <v>62</v>
      </c>
      <c r="AT1686" s="27" t="str">
        <f t="shared" si="737"/>
        <v/>
      </c>
      <c r="AU1686" s="27" t="str">
        <f t="shared" si="738"/>
        <v/>
      </c>
      <c r="AV1686" s="27" t="str">
        <f t="shared" si="739"/>
        <v/>
      </c>
      <c r="AW1686" s="27" t="str">
        <f t="shared" si="740"/>
        <v/>
      </c>
      <c r="AX1686" s="27" t="str">
        <f t="shared" si="741"/>
        <v/>
      </c>
      <c r="AY1686" s="27" t="str">
        <f t="shared" si="742"/>
        <v>WZ055</v>
      </c>
      <c r="AZ1686" s="27" t="str">
        <f t="shared" si="743"/>
        <v/>
      </c>
      <c r="BA1686" s="27" t="str">
        <f t="shared" si="744"/>
        <v>Hun</v>
      </c>
      <c r="BB1686" s="27" t="str">
        <f t="shared" si="745"/>
        <v/>
      </c>
      <c r="BC1686" s="27" t="str">
        <f t="shared" si="746"/>
        <v/>
      </c>
      <c r="BD1686" s="27" t="str">
        <f t="shared" si="747"/>
        <v/>
      </c>
      <c r="BE1686" s="27" t="str">
        <f t="shared" si="748"/>
        <v/>
      </c>
      <c r="BF1686" s="27" t="str">
        <f t="shared" si="749"/>
        <v/>
      </c>
      <c r="BG1686" s="27" t="str">
        <f t="shared" si="750"/>
        <v/>
      </c>
      <c r="BH1686" s="27" t="str">
        <f t="shared" si="751"/>
        <v/>
      </c>
      <c r="BI1686" s="27" t="str">
        <f t="shared" si="752"/>
        <v/>
      </c>
      <c r="BJ1686" s="27" t="str">
        <f t="shared" si="753"/>
        <v>Supp or Hun</v>
      </c>
      <c r="BK1686" s="27" t="str">
        <f t="shared" si="754"/>
        <v/>
      </c>
      <c r="BL1686" s="27" t="str">
        <f t="shared" si="755"/>
        <v/>
      </c>
      <c r="BM1686" s="21" t="s">
        <v>5581</v>
      </c>
    </row>
    <row r="1687" spans="1:65" ht="15">
      <c r="A1687" s="25" t="str">
        <f>IFERROR(INDEX('Hun Demand'!W:W,MATCH(O1687,'Hun Demand'!A:A,0)),"")</f>
        <v/>
      </c>
      <c r="B1687" s="25" t="str">
        <f>IFERROR(INDEX('Hun Demand'!V:V,MATCH(O1687,'Hun Demand'!A:A,0)),"")</f>
        <v/>
      </c>
      <c r="C1687" s="25" t="str">
        <f>IFERROR(INDEX('Hun Demand'!U:U,MATCH(O1687,'Hun Demand'!A:A,0)),"")</f>
        <v/>
      </c>
      <c r="D1687" s="25" t="str">
        <f>IFERROR(INDEX('Hun Demand'!T:T,MATCH(O1687,'Hun Demand'!A:A,0)),"")</f>
        <v/>
      </c>
      <c r="E1687" s="25" t="str">
        <f>IFERROR(INDEX('Hun Demand'!S:S,MATCH(O1687,'Hun Demand'!A:A,0)),"")</f>
        <v/>
      </c>
      <c r="F1687" s="25" t="str">
        <f>IFERROR(INDEX('Hun Demand'!R:R,MATCH(O1687,'Hun Demand'!A:A,0)),"")</f>
        <v/>
      </c>
      <c r="G1687" s="25">
        <f>IFERROR(INDEX('Aub Demand'!W:W,MATCH(O1687,'Aub Demand'!A:A,0)),"")</f>
        <v>0</v>
      </c>
      <c r="H1687" s="25">
        <f>IFERROR(INDEX('Aub Demand'!V:V,MATCH(O1687,'Aub Demand'!A:A,0)),"")</f>
        <v>0</v>
      </c>
      <c r="I1687" s="25">
        <f>IFERROR(INDEX('Aub Demand'!U:U,MATCH(O1687,'Aub Demand'!A:A,0)),"")</f>
        <v>0</v>
      </c>
      <c r="J1687" s="25">
        <f>IFERROR(INDEX('Aub Demand'!T:T,MATCH(O1687,'Aub Demand'!A:A,0)),"")</f>
        <v>0</v>
      </c>
      <c r="K1687" s="25">
        <f>IFERROR(INDEX('Aub Demand'!S:S,MATCH(O1687,'Aub Demand'!A:A,0)),"")</f>
        <v>84</v>
      </c>
      <c r="L1687" s="25">
        <f>IFERROR(INDEX('Aub Demand'!R:R,MATCH(O1687,'Aub Demand'!A:A,0)),"")</f>
        <v>0</v>
      </c>
      <c r="O1687" s="27" t="s">
        <v>3233</v>
      </c>
      <c r="P1687" s="27" t="str">
        <f>IFERROR(INDEX('Aub Demand'!B:B,MATCH($O1687,'Aub Demand'!$A:$A,0)),"")</f>
        <v>EISKAFFE</v>
      </c>
      <c r="Q1687" s="27" t="str">
        <f>IFERROR(INDEX('Aub Demand'!C:C,MATCH($O1687,'Aub Demand'!$A:$A,0)),"")</f>
        <v>TOPPA</v>
      </c>
      <c r="R1687" s="52">
        <f>IFERROR(IF(AR1688=AR1687,INDEX('Aub Demand'!K:K,MATCH($O1687,'Aub Demand'!$A:$A,0))-IF(AN1687="",0,AN1687)+AP1688,INDEX('Aub Demand'!K:K,MATCH($O1687,'Aub Demand'!$A:$A,0))-IF(AN1687="",0,AN1687)),"")</f>
        <v>0</v>
      </c>
      <c r="S1687" s="53">
        <f t="shared" si="728"/>
        <v>0</v>
      </c>
      <c r="T1687" s="52" t="str">
        <f t="shared" si="729"/>
        <v/>
      </c>
      <c r="U1687" s="52">
        <f>IFERROR(IF(AR1688=AR1687,INDEX('Aub Demand'!Q:Q,MATCH($O1687,'Aub Demand'!$A:$A,0))-IF(AN1687="",0,AN1687)+AP1688,INDEX('Aub Demand'!Q:Q,MATCH($O1687,'Aub Demand'!$A:$A,0))-IF(AN1687="",0,AN1687)),"")</f>
        <v>0</v>
      </c>
      <c r="V1687" s="53">
        <f t="shared" si="730"/>
        <v>0</v>
      </c>
      <c r="W1687" s="52" t="str">
        <f t="shared" si="731"/>
        <v/>
      </c>
      <c r="X1687" s="52">
        <f>IFERROR(IF(AND(AR1688=AR1687,AM1687&lt;&gt;""),INDEX('Aub Demand'!Q:Q,MATCH($O1687,'Aub Demand'!$A:$A,0))-IF(AN1687="",0,AN1687)+AP1688+AD1687+AL1687,IF(AR1688=AR1687,INDEX('Aub Demand'!Q:Q,MATCH($O1687,'Aub Demand'!$A:$A,0))-IF(AN1687="",0,AN1687)+AP1688+AD1687,IF(AM1687&lt;&gt;"",INDEX('Aub Demand'!Q:Q,MATCH($O1687,'Aub Demand'!$A:$A,0))-IF(AN1687="",0,AN1687)+AD1687+AL1687,INDEX('Aub Demand'!Q:Q,MATCH($O1687,'Aub Demand'!$A:$A,0))-IF(AN1687="",0,AN1687)+AD1687))),"")</f>
        <v>0</v>
      </c>
      <c r="Y1687" s="53">
        <f t="shared" si="732"/>
        <v>0</v>
      </c>
      <c r="Z1687" s="52">
        <f>IF(L1687="","",INDEX('Aub Demand'!H:H,MATCH($O1687,'Aub Demand'!$A:$A,0)))</f>
        <v>28</v>
      </c>
      <c r="AA1687" s="52" t="str">
        <f t="shared" si="733"/>
        <v>-spike-</v>
      </c>
      <c r="AB1687" s="52">
        <f>IFERROR(INDEX('Aub Demand'!L:L,MATCH($O1687,'Aub Demand'!$A:$A,0)),"")</f>
        <v>20</v>
      </c>
      <c r="AC1687" s="52">
        <f>IFERROR(IF(O1687="","",SUMIFS('CPL Mats'!F:F,'CPL Mats'!Q:Q,AR1687,'CPL Mats'!S:S,AS1687)),"")</f>
        <v>0</v>
      </c>
      <c r="AF1687" s="25" t="str">
        <f>IF(SUMIFS('Supp Consol'!S:S,'Supp Consol'!Y:Y,"Releasable",'Supp Consol'!A:A,O1687)=0,"",SUMIFS('Supp Consol'!S:S,'Supp Consol'!Y:Y,"Releasable",'Supp Consol'!A:A,O1687))</f>
        <v/>
      </c>
      <c r="AG1687" s="25" t="str">
        <f>IFERROR(INDEX('Hun Demand'!Q:Q,MATCH(O1687,'Hun Demand'!A:A,0)),"")</f>
        <v/>
      </c>
      <c r="AH1687" s="25" t="str">
        <f>IFERROR(INDEX('Hun Demand'!H:H,MATCH($O1687,'Hun Demand'!$A:$A,0)),"")</f>
        <v/>
      </c>
      <c r="AI1687" s="25" t="str">
        <f>IF(SUMIFS('Supp Consol'!AA:AA,'Supp Consol'!Z:Z,"Expires this month",'Supp Consol'!A:A,O1687)=0,"",SUMIFS('Supp Consol'!AA:AA,'Supp Consol'!Z:Z,"Expires this month",'Supp Consol'!A:A,O1687))</f>
        <v/>
      </c>
      <c r="AJ1687" s="25" t="str">
        <f>IF(SUMIFS('Supp Consol'!AA:AA,'Supp Consol'!Z:Z,"Expired Previous Months",'Supp Consol'!A:A,O1687)=0,"",SUMIFS('Supp Consol'!AA:AA,'Supp Consol'!Z:Z,"Expired Previous Months",'Supp Consol'!A:A,O1687))</f>
        <v/>
      </c>
      <c r="AK1687" s="25" t="str">
        <f>IFERROR(INDEX('Hun Release Current'!B:B,MATCH(O1687,'Hun Release Current'!A:A,0)),"")</f>
        <v/>
      </c>
      <c r="AL1687" s="25" t="str">
        <f>IF(SUMIF('Prev Aub'!A:A,O1687,'Prev Aub'!B:B)=0,"",SUMIF('Prev Aub'!A:A,O1687,'Prev Aub'!B:B))</f>
        <v/>
      </c>
      <c r="AN1687" s="25" t="s">
        <v>3790</v>
      </c>
      <c r="AO1687" s="25" t="s">
        <v>3790</v>
      </c>
      <c r="AP1687" s="25">
        <f t="shared" si="734"/>
        <v>0</v>
      </c>
      <c r="AQ1687" s="151" t="str">
        <f>IF(SUMIFS('Supp Consol'!S:S,'Supp Consol'!A:A,O1687,'Supp Consol'!I:I,"PENDING")=0,"",SUMIFS('Supp Consol'!S:S,'Supp Consol'!A:A,O1687,'Supp Consol'!I:I,"PENDING"))</f>
        <v/>
      </c>
      <c r="AR1687" s="27" t="str">
        <f t="shared" si="735"/>
        <v>WZ056</v>
      </c>
      <c r="AS1687" s="27" t="str">
        <f t="shared" si="736"/>
        <v>50</v>
      </c>
      <c r="AT1687" s="27" t="str">
        <f t="shared" si="737"/>
        <v>WZ056</v>
      </c>
      <c r="AU1687" s="27" t="str">
        <f t="shared" si="738"/>
        <v>WZ056</v>
      </c>
      <c r="AV1687" s="27" t="str">
        <f t="shared" si="739"/>
        <v>WZ056</v>
      </c>
      <c r="AW1687" s="27" t="str">
        <f t="shared" si="740"/>
        <v/>
      </c>
      <c r="AX1687" s="27" t="str">
        <f t="shared" si="741"/>
        <v/>
      </c>
      <c r="AY1687" s="27" t="str">
        <f t="shared" si="742"/>
        <v/>
      </c>
      <c r="AZ1687" s="27" t="str">
        <f t="shared" si="743"/>
        <v/>
      </c>
      <c r="BA1687" s="27" t="str">
        <f t="shared" si="744"/>
        <v/>
      </c>
      <c r="BB1687" s="27" t="str">
        <f t="shared" si="745"/>
        <v>Gross</v>
      </c>
      <c r="BC1687" s="27" t="str">
        <f t="shared" si="746"/>
        <v>Net</v>
      </c>
      <c r="BD1687" s="27" t="str">
        <f t="shared" si="747"/>
        <v>Net</v>
      </c>
      <c r="BE1687" s="27" t="str">
        <f t="shared" si="748"/>
        <v/>
      </c>
      <c r="BF1687" s="27" t="str">
        <f t="shared" si="749"/>
        <v/>
      </c>
      <c r="BG1687" s="27" t="str">
        <f t="shared" si="750"/>
        <v/>
      </c>
      <c r="BH1687" s="27" t="str">
        <f t="shared" si="751"/>
        <v/>
      </c>
      <c r="BI1687" s="27" t="str">
        <f t="shared" si="752"/>
        <v/>
      </c>
      <c r="BJ1687" s="27" t="str">
        <f t="shared" si="753"/>
        <v/>
      </c>
      <c r="BK1687" s="27" t="str">
        <f t="shared" si="754"/>
        <v/>
      </c>
      <c r="BL1687" s="27" t="str">
        <f t="shared" si="755"/>
        <v/>
      </c>
      <c r="BM1687" s="21" t="s">
        <v>5581</v>
      </c>
    </row>
    <row r="1688" spans="1:65" ht="15">
      <c r="A1688" s="25" t="str">
        <f>IFERROR(INDEX('Hun Demand'!W:W,MATCH(O1688,'Hun Demand'!A:A,0)),"")</f>
        <v/>
      </c>
      <c r="B1688" s="25" t="str">
        <f>IFERROR(INDEX('Hun Demand'!V:V,MATCH(O1688,'Hun Demand'!A:A,0)),"")</f>
        <v/>
      </c>
      <c r="C1688" s="25" t="str">
        <f>IFERROR(INDEX('Hun Demand'!U:U,MATCH(O1688,'Hun Demand'!A:A,0)),"")</f>
        <v/>
      </c>
      <c r="D1688" s="25" t="str">
        <f>IFERROR(INDEX('Hun Demand'!T:T,MATCH(O1688,'Hun Demand'!A:A,0)),"")</f>
        <v/>
      </c>
      <c r="E1688" s="25" t="str">
        <f>IFERROR(INDEX('Hun Demand'!S:S,MATCH(O1688,'Hun Demand'!A:A,0)),"")</f>
        <v/>
      </c>
      <c r="F1688" s="25" t="str">
        <f>IFERROR(INDEX('Hun Demand'!R:R,MATCH(O1688,'Hun Demand'!A:A,0)),"")</f>
        <v/>
      </c>
      <c r="G1688" s="25">
        <f>IFERROR(INDEX('Aub Demand'!W:W,MATCH(O1688,'Aub Demand'!A:A,0)),"")</f>
        <v>7</v>
      </c>
      <c r="H1688" s="25">
        <f>IFERROR(INDEX('Aub Demand'!V:V,MATCH(O1688,'Aub Demand'!A:A,0)),"")</f>
        <v>0</v>
      </c>
      <c r="I1688" s="25">
        <f>IFERROR(INDEX('Aub Demand'!U:U,MATCH(O1688,'Aub Demand'!A:A,0)),"")</f>
        <v>19</v>
      </c>
      <c r="J1688" s="25">
        <f>IFERROR(INDEX('Aub Demand'!T:T,MATCH(O1688,'Aub Demand'!A:A,0)),"")</f>
        <v>39</v>
      </c>
      <c r="K1688" s="25">
        <f>IFERROR(INDEX('Aub Demand'!S:S,MATCH(O1688,'Aub Demand'!A:A,0)),"")</f>
        <v>94</v>
      </c>
      <c r="L1688" s="25">
        <f>IFERROR(INDEX('Aub Demand'!R:R,MATCH(O1688,'Aub Demand'!A:A,0)),"")</f>
        <v>0</v>
      </c>
      <c r="O1688" s="27" t="s">
        <v>3235</v>
      </c>
      <c r="P1688" s="27" t="str">
        <f>IFERROR(INDEX('Aub Demand'!B:B,MATCH($O1688,'Aub Demand'!$A:$A,0)),"")</f>
        <v>EISKAFFE</v>
      </c>
      <c r="Q1688" s="27" t="str">
        <f>IFERROR(INDEX('Aub Demand'!C:C,MATCH($O1688,'Aub Demand'!$A:$A,0)),"")</f>
        <v>TOPPA</v>
      </c>
      <c r="R1688" s="52">
        <f>IFERROR(IF(AR1689=AR1688,INDEX('Aub Demand'!K:K,MATCH($O1688,'Aub Demand'!$A:$A,0))-IF(AN1688="",0,AN1688)+AP1689,INDEX('Aub Demand'!K:K,MATCH($O1688,'Aub Demand'!$A:$A,0))-IF(AN1688="",0,AN1688)),"")</f>
        <v>641</v>
      </c>
      <c r="S1688" s="53">
        <f t="shared" si="728"/>
        <v>53.9</v>
      </c>
      <c r="T1688" s="52" t="str">
        <f t="shared" si="729"/>
        <v/>
      </c>
      <c r="U1688" s="52">
        <f>IFERROR(IF(AR1689=AR1688,INDEX('Aub Demand'!Q:Q,MATCH($O1688,'Aub Demand'!$A:$A,0))-IF(AN1688="",0,AN1688)+AP1689,INDEX('Aub Demand'!Q:Q,MATCH($O1688,'Aub Demand'!$A:$A,0))-IF(AN1688="",0,AN1688)),"")</f>
        <v>613</v>
      </c>
      <c r="V1688" s="53">
        <f t="shared" si="730"/>
        <v>51.5</v>
      </c>
      <c r="W1688" s="52" t="str">
        <f t="shared" si="731"/>
        <v/>
      </c>
      <c r="X1688" s="52">
        <f>IFERROR(IF(AND(AR1689=AR1688,AM1688&lt;&gt;""),INDEX('Aub Demand'!Q:Q,MATCH($O1688,'Aub Demand'!$A:$A,0))-IF(AN1688="",0,AN1688)+AP1689+AD1688+AL1688,IF(AR1689=AR1688,INDEX('Aub Demand'!Q:Q,MATCH($O1688,'Aub Demand'!$A:$A,0))-IF(AN1688="",0,AN1688)+AP1689+AD1688,IF(AM1688&lt;&gt;"",INDEX('Aub Demand'!Q:Q,MATCH($O1688,'Aub Demand'!$A:$A,0))-IF(AN1688="",0,AN1688)+AD1688+AL1688,INDEX('Aub Demand'!Q:Q,MATCH($O1688,'Aub Demand'!$A:$A,0))-IF(AN1688="",0,AN1688)+AD1688))),"")</f>
        <v>613</v>
      </c>
      <c r="Y1688" s="53">
        <f t="shared" si="732"/>
        <v>51.5</v>
      </c>
      <c r="Z1688" s="52">
        <f>IF(L1688="","",INDEX('Aub Demand'!H:H,MATCH($O1688,'Aub Demand'!$A:$A,0)))</f>
        <v>51</v>
      </c>
      <c r="AA1688" s="52">
        <f t="shared" si="733"/>
        <v>66.5</v>
      </c>
      <c r="AB1688" s="52">
        <f>IFERROR(INDEX('Aub Demand'!L:L,MATCH($O1688,'Aub Demand'!$A:$A,0)),"")</f>
        <v>111</v>
      </c>
      <c r="AC1688" s="52">
        <f>IFERROR(IF(O1688="","",SUMIFS('CPL Mats'!F:F,'CPL Mats'!Q:Q,AR1688,'CPL Mats'!S:S,AS1688)),"")</f>
        <v>0</v>
      </c>
      <c r="AF1688" s="25" t="str">
        <f>IF(SUMIFS('Supp Consol'!S:S,'Supp Consol'!Y:Y,"Releasable",'Supp Consol'!A:A,O1688)=0,"",SUMIFS('Supp Consol'!S:S,'Supp Consol'!Y:Y,"Releasable",'Supp Consol'!A:A,O1688))</f>
        <v/>
      </c>
      <c r="AG1688" s="25" t="str">
        <f>IFERROR(INDEX('Hun Demand'!Q:Q,MATCH(O1688,'Hun Demand'!A:A,0)),"")</f>
        <v/>
      </c>
      <c r="AH1688" s="25" t="str">
        <f>IFERROR(INDEX('Hun Demand'!H:H,MATCH($O1688,'Hun Demand'!$A:$A,0)),"")</f>
        <v/>
      </c>
      <c r="AI1688" s="25" t="str">
        <f>IF(SUMIFS('Supp Consol'!AA:AA,'Supp Consol'!Z:Z,"Expires this month",'Supp Consol'!A:A,O1688)=0,"",SUMIFS('Supp Consol'!AA:AA,'Supp Consol'!Z:Z,"Expires this month",'Supp Consol'!A:A,O1688))</f>
        <v/>
      </c>
      <c r="AJ1688" s="25" t="str">
        <f>IF(SUMIFS('Supp Consol'!AA:AA,'Supp Consol'!Z:Z,"Expired Previous Months",'Supp Consol'!A:A,O1688)=0,"",SUMIFS('Supp Consol'!AA:AA,'Supp Consol'!Z:Z,"Expired Previous Months",'Supp Consol'!A:A,O1688))</f>
        <v/>
      </c>
      <c r="AK1688" s="25" t="str">
        <f>IFERROR(INDEX('Hun Release Current'!B:B,MATCH(O1688,'Hun Release Current'!A:A,0)),"")</f>
        <v/>
      </c>
      <c r="AL1688" s="25" t="str">
        <f>IF(SUMIF('Prev Aub'!A:A,O1688,'Prev Aub'!B:B)=0,"",SUMIF('Prev Aub'!A:A,O1688,'Prev Aub'!B:B))</f>
        <v/>
      </c>
      <c r="AN1688" s="25" t="s">
        <v>3790</v>
      </c>
      <c r="AO1688" s="25" t="s">
        <v>3790</v>
      </c>
      <c r="AP1688" s="25">
        <f t="shared" si="734"/>
        <v>0</v>
      </c>
      <c r="AQ1688" s="151" t="str">
        <f>IF(SUMIFS('Supp Consol'!S:S,'Supp Consol'!A:A,O1688,'Supp Consol'!I:I,"PENDING")=0,"",SUMIFS('Supp Consol'!S:S,'Supp Consol'!A:A,O1688,'Supp Consol'!I:I,"PENDING"))</f>
        <v/>
      </c>
      <c r="AR1688" s="27" t="str">
        <f t="shared" si="735"/>
        <v>WZ056</v>
      </c>
      <c r="AS1688" s="27" t="str">
        <f t="shared" si="736"/>
        <v>62</v>
      </c>
      <c r="AT1688" s="27" t="str">
        <f t="shared" si="737"/>
        <v/>
      </c>
      <c r="AU1688" s="27" t="str">
        <f t="shared" si="738"/>
        <v/>
      </c>
      <c r="AV1688" s="27" t="str">
        <f t="shared" si="739"/>
        <v/>
      </c>
      <c r="AW1688" s="27" t="str">
        <f t="shared" si="740"/>
        <v/>
      </c>
      <c r="AX1688" s="27" t="str">
        <f t="shared" si="741"/>
        <v/>
      </c>
      <c r="AY1688" s="27" t="str">
        <f t="shared" si="742"/>
        <v/>
      </c>
      <c r="AZ1688" s="27" t="str">
        <f t="shared" si="743"/>
        <v/>
      </c>
      <c r="BA1688" s="27" t="str">
        <f t="shared" si="744"/>
        <v/>
      </c>
      <c r="BB1688" s="27" t="str">
        <f t="shared" si="745"/>
        <v>Gross</v>
      </c>
      <c r="BC1688" s="27" t="str">
        <f t="shared" si="746"/>
        <v>Net</v>
      </c>
      <c r="BD1688" s="27" t="str">
        <f t="shared" si="747"/>
        <v>Net</v>
      </c>
      <c r="BE1688" s="27" t="str">
        <f t="shared" si="748"/>
        <v/>
      </c>
      <c r="BF1688" s="27" t="str">
        <f t="shared" si="749"/>
        <v/>
      </c>
      <c r="BG1688" s="27" t="str">
        <f t="shared" si="750"/>
        <v/>
      </c>
      <c r="BH1688" s="27" t="str">
        <f t="shared" si="751"/>
        <v/>
      </c>
      <c r="BI1688" s="27" t="str">
        <f t="shared" si="752"/>
        <v/>
      </c>
      <c r="BJ1688" s="27" t="str">
        <f t="shared" si="753"/>
        <v/>
      </c>
      <c r="BK1688" s="27" t="str">
        <f t="shared" si="754"/>
        <v/>
      </c>
      <c r="BL1688" s="27" t="str">
        <f t="shared" si="755"/>
        <v/>
      </c>
      <c r="BM1688" s="21" t="s">
        <v>5581</v>
      </c>
    </row>
    <row r="1689" spans="1:65" ht="15">
      <c r="A1689" s="25">
        <f>IFERROR(INDEX('Hun Demand'!W:W,MATCH(O1689,'Hun Demand'!A:A,0)),"")</f>
        <v>1242</v>
      </c>
      <c r="B1689" s="25">
        <f>IFERROR(INDEX('Hun Demand'!V:V,MATCH(O1689,'Hun Demand'!A:A,0)),"")</f>
        <v>0</v>
      </c>
      <c r="C1689" s="25">
        <f>IFERROR(INDEX('Hun Demand'!U:U,MATCH(O1689,'Hun Demand'!A:A,0)),"")</f>
        <v>306</v>
      </c>
      <c r="D1689" s="25">
        <f>IFERROR(INDEX('Hun Demand'!T:T,MATCH(O1689,'Hun Demand'!A:A,0)),"")</f>
        <v>0</v>
      </c>
      <c r="E1689" s="25">
        <f>IFERROR(INDEX('Hun Demand'!S:S,MATCH(O1689,'Hun Demand'!A:A,0)),"")</f>
        <v>1476</v>
      </c>
      <c r="F1689" s="25">
        <f>IFERROR(INDEX('Hun Demand'!R:R,MATCH(O1689,'Hun Demand'!A:A,0)),"")</f>
        <v>0</v>
      </c>
      <c r="G1689" s="25">
        <f>IFERROR(INDEX('Aub Demand'!W:W,MATCH(O1689,'Aub Demand'!A:A,0)),"")</f>
        <v>236</v>
      </c>
      <c r="H1689" s="25">
        <f>IFERROR(INDEX('Aub Demand'!V:V,MATCH(O1689,'Aub Demand'!A:A,0)),"")</f>
        <v>0</v>
      </c>
      <c r="I1689" s="25">
        <f>IFERROR(INDEX('Aub Demand'!U:U,MATCH(O1689,'Aub Demand'!A:A,0)),"")</f>
        <v>308</v>
      </c>
      <c r="J1689" s="25">
        <f>IFERROR(INDEX('Aub Demand'!T:T,MATCH(O1689,'Aub Demand'!A:A,0)),"")</f>
        <v>47</v>
      </c>
      <c r="K1689" s="25">
        <f>IFERROR(INDEX('Aub Demand'!S:S,MATCH(O1689,'Aub Demand'!A:A,0)),"")</f>
        <v>19</v>
      </c>
      <c r="L1689" s="25">
        <f>IFERROR(INDEX('Aub Demand'!R:R,MATCH(O1689,'Aub Demand'!A:A,0)),"")</f>
        <v>0</v>
      </c>
      <c r="O1689" s="27" t="s">
        <v>3236</v>
      </c>
      <c r="P1689" s="27" t="str">
        <f>IFERROR(INDEX('Aub Demand'!B:B,MATCH($O1689,'Aub Demand'!$A:$A,0)),"")</f>
        <v>CALYPSO</v>
      </c>
      <c r="Q1689" s="27" t="str">
        <f>IFERROR(INDEX('Aub Demand'!C:C,MATCH($O1689,'Aub Demand'!$A:$A,0)),"")</f>
        <v>TOPPA</v>
      </c>
      <c r="R1689" s="52">
        <f>IFERROR(IF(AR1690=AR1689,INDEX('Aub Demand'!K:K,MATCH($O1689,'Aub Demand'!$A:$A,0))-IF(AN1689="",0,AN1689)+AP1690,INDEX('Aub Demand'!K:K,MATCH($O1689,'Aub Demand'!$A:$A,0))-IF(AN1689="",0,AN1689)),"")</f>
        <v>793</v>
      </c>
      <c r="S1689" s="53">
        <f t="shared" si="728"/>
        <v>27.2</v>
      </c>
      <c r="T1689" s="52" t="str">
        <f t="shared" si="729"/>
        <v/>
      </c>
      <c r="U1689" s="52">
        <f>IFERROR(IF(AR1690=AR1689,INDEX('Aub Demand'!Q:Q,MATCH($O1689,'Aub Demand'!$A:$A,0))-IF(AN1689="",0,AN1689)+AP1690,INDEX('Aub Demand'!Q:Q,MATCH($O1689,'Aub Demand'!$A:$A,0))-IF(AN1689="",0,AN1689)),"")</f>
        <v>779</v>
      </c>
      <c r="V1689" s="53">
        <f t="shared" si="730"/>
        <v>26.7</v>
      </c>
      <c r="W1689" s="52" t="str">
        <f t="shared" si="731"/>
        <v/>
      </c>
      <c r="X1689" s="52">
        <f>IFERROR(IF(AND(AR1690=AR1689,AM1689&lt;&gt;""),INDEX('Aub Demand'!Q:Q,MATCH($O1689,'Aub Demand'!$A:$A,0))-IF(AN1689="",0,AN1689)+AP1690+AD1689+AL1689,IF(AR1690=AR1689,INDEX('Aub Demand'!Q:Q,MATCH($O1689,'Aub Demand'!$A:$A,0))-IF(AN1689="",0,AN1689)+AP1690+AD1689,IF(AM1689&lt;&gt;"",INDEX('Aub Demand'!Q:Q,MATCH($O1689,'Aub Demand'!$A:$A,0))-IF(AN1689="",0,AN1689)+AD1689+AL1689,INDEX('Aub Demand'!Q:Q,MATCH($O1689,'Aub Demand'!$A:$A,0))-IF(AN1689="",0,AN1689)+AD1689))),"")</f>
        <v>779</v>
      </c>
      <c r="Y1689" s="53">
        <f t="shared" si="732"/>
        <v>26.7</v>
      </c>
      <c r="Z1689" s="52">
        <f>IF(L1689="","",INDEX('Aub Demand'!H:H,MATCH($O1689,'Aub Demand'!$A:$A,0)))</f>
        <v>125</v>
      </c>
      <c r="AA1689" s="52">
        <f t="shared" si="733"/>
        <v>177.5</v>
      </c>
      <c r="AB1689" s="52">
        <f>IFERROR(INDEX('Aub Demand'!L:L,MATCH($O1689,'Aub Demand'!$A:$A,0)),"")</f>
        <v>23</v>
      </c>
      <c r="AC1689" s="52">
        <f>IFERROR(IF(O1689="","",SUMIFS('CPL Mats'!F:F,'CPL Mats'!Q:Q,AR1689,'CPL Mats'!S:S,AS1689)),"")</f>
        <v>0</v>
      </c>
      <c r="AF1689" s="25" t="str">
        <f>IF(SUMIFS('Supp Consol'!S:S,'Supp Consol'!Y:Y,"Releasable",'Supp Consol'!A:A,O1689)=0,"",SUMIFS('Supp Consol'!S:S,'Supp Consol'!Y:Y,"Releasable",'Supp Consol'!A:A,O1689))</f>
        <v/>
      </c>
      <c r="AG1689" s="25">
        <f>IFERROR(INDEX('Hun Demand'!Q:Q,MATCH(O1689,'Hun Demand'!A:A,0)),"")</f>
        <v>732</v>
      </c>
      <c r="AH1689" s="25">
        <f>IFERROR(INDEX('Hun Demand'!H:H,MATCH($O1689,'Hun Demand'!$A:$A,0)),"")</f>
        <v>594</v>
      </c>
      <c r="AI1689" s="25" t="str">
        <f>IF(SUMIFS('Supp Consol'!AA:AA,'Supp Consol'!Z:Z,"Expires this month",'Supp Consol'!A:A,O1689)=0,"",SUMIFS('Supp Consol'!AA:AA,'Supp Consol'!Z:Z,"Expires this month",'Supp Consol'!A:A,O1689))</f>
        <v/>
      </c>
      <c r="AJ1689" s="25" t="str">
        <f>IF(SUMIFS('Supp Consol'!AA:AA,'Supp Consol'!Z:Z,"Expired Previous Months",'Supp Consol'!A:A,O1689)=0,"",SUMIFS('Supp Consol'!AA:AA,'Supp Consol'!Z:Z,"Expired Previous Months",'Supp Consol'!A:A,O1689))</f>
        <v/>
      </c>
      <c r="AK1689" s="25" t="str">
        <f>IFERROR(INDEX('Hun Release Current'!B:B,MATCH(O1689,'Hun Release Current'!A:A,0)),"")</f>
        <v/>
      </c>
      <c r="AL1689" s="25" t="str">
        <f>IF(SUMIF('Prev Aub'!A:A,O1689,'Prev Aub'!B:B)=0,"",SUMIF('Prev Aub'!A:A,O1689,'Prev Aub'!B:B))</f>
        <v/>
      </c>
      <c r="AN1689" s="25" t="s">
        <v>3790</v>
      </c>
      <c r="AO1689" s="25" t="s">
        <v>3790</v>
      </c>
      <c r="AP1689" s="25">
        <f t="shared" si="734"/>
        <v>0</v>
      </c>
      <c r="AQ1689" s="151" t="str">
        <f>IF(SUMIFS('Supp Consol'!S:S,'Supp Consol'!A:A,O1689,'Supp Consol'!I:I,"PENDING")=0,"",SUMIFS('Supp Consol'!S:S,'Supp Consol'!A:A,O1689,'Supp Consol'!I:I,"PENDING"))</f>
        <v/>
      </c>
      <c r="AR1689" s="27" t="str">
        <f t="shared" si="735"/>
        <v>WZ057</v>
      </c>
      <c r="AS1689" s="27" t="str">
        <f t="shared" si="736"/>
        <v>50</v>
      </c>
      <c r="AT1689" s="27" t="str">
        <f t="shared" si="737"/>
        <v/>
      </c>
      <c r="AU1689" s="27" t="str">
        <f t="shared" si="738"/>
        <v/>
      </c>
      <c r="AV1689" s="27" t="str">
        <f t="shared" si="739"/>
        <v/>
      </c>
      <c r="AW1689" s="27" t="str">
        <f t="shared" si="740"/>
        <v/>
      </c>
      <c r="AX1689" s="27" t="str">
        <f t="shared" si="741"/>
        <v/>
      </c>
      <c r="AY1689" s="27" t="str">
        <f t="shared" si="742"/>
        <v>WZ057</v>
      </c>
      <c r="AZ1689" s="27" t="str">
        <f t="shared" si="743"/>
        <v>Supp</v>
      </c>
      <c r="BA1689" s="27" t="str">
        <f t="shared" si="744"/>
        <v>Hun</v>
      </c>
      <c r="BB1689" s="27" t="str">
        <f t="shared" si="745"/>
        <v/>
      </c>
      <c r="BC1689" s="27" t="str">
        <f t="shared" si="746"/>
        <v/>
      </c>
      <c r="BD1689" s="27" t="str">
        <f t="shared" si="747"/>
        <v/>
      </c>
      <c r="BE1689" s="27" t="str">
        <f t="shared" si="748"/>
        <v/>
      </c>
      <c r="BF1689" s="27" t="str">
        <f t="shared" si="749"/>
        <v/>
      </c>
      <c r="BG1689" s="27" t="str">
        <f t="shared" si="750"/>
        <v/>
      </c>
      <c r="BH1689" s="27" t="str">
        <f t="shared" si="751"/>
        <v/>
      </c>
      <c r="BI1689" s="27" t="str">
        <f t="shared" si="752"/>
        <v/>
      </c>
      <c r="BJ1689" s="27" t="str">
        <f t="shared" si="753"/>
        <v>Supp or Hun</v>
      </c>
      <c r="BK1689" s="27" t="str">
        <f t="shared" si="754"/>
        <v/>
      </c>
      <c r="BL1689" s="27" t="str">
        <f t="shared" si="755"/>
        <v/>
      </c>
      <c r="BM1689" s="21" t="s">
        <v>5581</v>
      </c>
    </row>
    <row r="1690" spans="1:65" ht="15">
      <c r="A1690" s="25" t="str">
        <f>IFERROR(INDEX('Hun Demand'!W:W,MATCH(O1690,'Hun Demand'!A:A,0)),"")</f>
        <v/>
      </c>
      <c r="B1690" s="25" t="str">
        <f>IFERROR(INDEX('Hun Demand'!V:V,MATCH(O1690,'Hun Demand'!A:A,0)),"")</f>
        <v/>
      </c>
      <c r="C1690" s="25" t="str">
        <f>IFERROR(INDEX('Hun Demand'!U:U,MATCH(O1690,'Hun Demand'!A:A,0)),"")</f>
        <v/>
      </c>
      <c r="D1690" s="25" t="str">
        <f>IFERROR(INDEX('Hun Demand'!T:T,MATCH(O1690,'Hun Demand'!A:A,0)),"")</f>
        <v/>
      </c>
      <c r="E1690" s="25" t="str">
        <f>IFERROR(INDEX('Hun Demand'!S:S,MATCH(O1690,'Hun Demand'!A:A,0)),"")</f>
        <v/>
      </c>
      <c r="F1690" s="25" t="str">
        <f>IFERROR(INDEX('Hun Demand'!R:R,MATCH(O1690,'Hun Demand'!A:A,0)),"")</f>
        <v/>
      </c>
      <c r="G1690" s="25">
        <f>IFERROR(INDEX('Aub Demand'!W:W,MATCH(O1690,'Aub Demand'!A:A,0)),"")</f>
        <v>65</v>
      </c>
      <c r="H1690" s="25">
        <f>IFERROR(INDEX('Aub Demand'!V:V,MATCH(O1690,'Aub Demand'!A:A,0)),"")</f>
        <v>15</v>
      </c>
      <c r="I1690" s="25">
        <f>IFERROR(INDEX('Aub Demand'!U:U,MATCH(O1690,'Aub Demand'!A:A,0)),"")</f>
        <v>0</v>
      </c>
      <c r="J1690" s="25">
        <f>IFERROR(INDEX('Aub Demand'!T:T,MATCH(O1690,'Aub Demand'!A:A,0)),"")</f>
        <v>67</v>
      </c>
      <c r="K1690" s="25">
        <f>IFERROR(INDEX('Aub Demand'!S:S,MATCH(O1690,'Aub Demand'!A:A,0)),"")</f>
        <v>93</v>
      </c>
      <c r="L1690" s="25">
        <f>IFERROR(INDEX('Aub Demand'!R:R,MATCH(O1690,'Aub Demand'!A:A,0)),"")</f>
        <v>0</v>
      </c>
      <c r="O1690" s="27" t="s">
        <v>3238</v>
      </c>
      <c r="P1690" s="27" t="str">
        <f>IFERROR(INDEX('Aub Demand'!B:B,MATCH($O1690,'Aub Demand'!$A:$A,0)),"")</f>
        <v>CALYPSO</v>
      </c>
      <c r="Q1690" s="27" t="str">
        <f>IFERROR(INDEX('Aub Demand'!C:C,MATCH($O1690,'Aub Demand'!$A:$A,0)),"")</f>
        <v>TOPPA</v>
      </c>
      <c r="R1690" s="52">
        <f>IFERROR(IF(AR1691=AR1690,INDEX('Aub Demand'!K:K,MATCH($O1690,'Aub Demand'!$A:$A,0))-IF(AN1690="",0,AN1690)+AP1691,INDEX('Aub Demand'!K:K,MATCH($O1690,'Aub Demand'!$A:$A,0))-IF(AN1690="",0,AN1690)),"")</f>
        <v>608</v>
      </c>
      <c r="S1690" s="53">
        <f t="shared" si="728"/>
        <v>49.2</v>
      </c>
      <c r="T1690" s="52" t="str">
        <f t="shared" si="729"/>
        <v/>
      </c>
      <c r="U1690" s="52">
        <f>IFERROR(IF(AR1691=AR1690,INDEX('Aub Demand'!Q:Q,MATCH($O1690,'Aub Demand'!$A:$A,0))-IF(AN1690="",0,AN1690)+AP1691,INDEX('Aub Demand'!Q:Q,MATCH($O1690,'Aub Demand'!$A:$A,0))-IF(AN1690="",0,AN1690)),"")</f>
        <v>566</v>
      </c>
      <c r="V1690" s="53">
        <f t="shared" si="730"/>
        <v>45.8</v>
      </c>
      <c r="W1690" s="52" t="str">
        <f t="shared" si="731"/>
        <v/>
      </c>
      <c r="X1690" s="52">
        <f>IFERROR(IF(AND(AR1691=AR1690,AM1690&lt;&gt;""),INDEX('Aub Demand'!Q:Q,MATCH($O1690,'Aub Demand'!$A:$A,0))-IF(AN1690="",0,AN1690)+AP1691+AD1690+AL1690,IF(AR1691=AR1690,INDEX('Aub Demand'!Q:Q,MATCH($O1690,'Aub Demand'!$A:$A,0))-IF(AN1690="",0,AN1690)+AP1691+AD1690,IF(AM1690&lt;&gt;"",INDEX('Aub Demand'!Q:Q,MATCH($O1690,'Aub Demand'!$A:$A,0))-IF(AN1690="",0,AN1690)+AD1690+AL1690,INDEX('Aub Demand'!Q:Q,MATCH($O1690,'Aub Demand'!$A:$A,0))-IF(AN1690="",0,AN1690)+AD1690))),"")</f>
        <v>566</v>
      </c>
      <c r="Y1690" s="53">
        <f t="shared" si="732"/>
        <v>45.8</v>
      </c>
      <c r="Z1690" s="52">
        <f>IF(L1690="","",INDEX('Aub Demand'!H:H,MATCH($O1690,'Aub Demand'!$A:$A,0)))</f>
        <v>53</v>
      </c>
      <c r="AA1690" s="52">
        <f t="shared" si="733"/>
        <v>80</v>
      </c>
      <c r="AB1690" s="52">
        <f>IFERROR(INDEX('Aub Demand'!L:L,MATCH($O1690,'Aub Demand'!$A:$A,0)),"")</f>
        <v>8</v>
      </c>
      <c r="AC1690" s="52">
        <f>IFERROR(IF(O1690="","",SUMIFS('CPL Mats'!F:F,'CPL Mats'!Q:Q,AR1690,'CPL Mats'!S:S,AS1690)),"")</f>
        <v>0</v>
      </c>
      <c r="AF1690" s="25">
        <f>IF(SUMIFS('Supp Consol'!S:S,'Supp Consol'!Y:Y,"Releasable",'Supp Consol'!A:A,O1690)=0,"",SUMIFS('Supp Consol'!S:S,'Supp Consol'!Y:Y,"Releasable",'Supp Consol'!A:A,O1690))</f>
        <v>1372</v>
      </c>
      <c r="AG1690" s="25" t="str">
        <f>IFERROR(INDEX('Hun Demand'!Q:Q,MATCH(O1690,'Hun Demand'!A:A,0)),"")</f>
        <v/>
      </c>
      <c r="AH1690" s="25" t="str">
        <f>IFERROR(INDEX('Hun Demand'!H:H,MATCH($O1690,'Hun Demand'!$A:$A,0)),"")</f>
        <v/>
      </c>
      <c r="AI1690" s="25" t="str">
        <f>IF(SUMIFS('Supp Consol'!AA:AA,'Supp Consol'!Z:Z,"Expires this month",'Supp Consol'!A:A,O1690)=0,"",SUMIFS('Supp Consol'!AA:AA,'Supp Consol'!Z:Z,"Expires this month",'Supp Consol'!A:A,O1690))</f>
        <v/>
      </c>
      <c r="AJ1690" s="25" t="str">
        <f>IF(SUMIFS('Supp Consol'!AA:AA,'Supp Consol'!Z:Z,"Expired Previous Months",'Supp Consol'!A:A,O1690)=0,"",SUMIFS('Supp Consol'!AA:AA,'Supp Consol'!Z:Z,"Expired Previous Months",'Supp Consol'!A:A,O1690))</f>
        <v/>
      </c>
      <c r="AK1690" s="25" t="str">
        <f>IFERROR(INDEX('Hun Release Current'!B:B,MATCH(O1690,'Hun Release Current'!A:A,0)),"")</f>
        <v/>
      </c>
      <c r="AL1690" s="25" t="str">
        <f>IF(SUMIF('Prev Aub'!A:A,O1690,'Prev Aub'!B:B)=0,"",SUMIF('Prev Aub'!A:A,O1690,'Prev Aub'!B:B))</f>
        <v/>
      </c>
      <c r="AN1690" s="25" t="s">
        <v>3790</v>
      </c>
      <c r="AO1690" s="25" t="s">
        <v>3790</v>
      </c>
      <c r="AP1690" s="25">
        <f t="shared" si="734"/>
        <v>0</v>
      </c>
      <c r="AQ1690" s="151" t="str">
        <f>IF(SUMIFS('Supp Consol'!S:S,'Supp Consol'!A:A,O1690,'Supp Consol'!I:I,"PENDING")=0,"",SUMIFS('Supp Consol'!S:S,'Supp Consol'!A:A,O1690,'Supp Consol'!I:I,"PENDING"))</f>
        <v/>
      </c>
      <c r="AR1690" s="27" t="str">
        <f t="shared" si="735"/>
        <v>WZ057</v>
      </c>
      <c r="AS1690" s="27" t="str">
        <f t="shared" si="736"/>
        <v>62</v>
      </c>
      <c r="AT1690" s="27" t="str">
        <f t="shared" si="737"/>
        <v/>
      </c>
      <c r="AU1690" s="27" t="str">
        <f t="shared" si="738"/>
        <v/>
      </c>
      <c r="AV1690" s="27" t="str">
        <f t="shared" si="739"/>
        <v/>
      </c>
      <c r="AW1690" s="27" t="str">
        <f t="shared" si="740"/>
        <v/>
      </c>
      <c r="AX1690" s="27" t="str">
        <f t="shared" si="741"/>
        <v>WZ057</v>
      </c>
      <c r="AY1690" s="27" t="str">
        <f t="shared" si="742"/>
        <v/>
      </c>
      <c r="AZ1690" s="27" t="str">
        <f t="shared" si="743"/>
        <v>Supp</v>
      </c>
      <c r="BA1690" s="27" t="str">
        <f t="shared" si="744"/>
        <v>Hun</v>
      </c>
      <c r="BB1690" s="27" t="str">
        <f t="shared" si="745"/>
        <v/>
      </c>
      <c r="BC1690" s="27" t="str">
        <f t="shared" si="746"/>
        <v/>
      </c>
      <c r="BD1690" s="27" t="str">
        <f t="shared" si="747"/>
        <v/>
      </c>
      <c r="BE1690" s="27" t="str">
        <f t="shared" si="748"/>
        <v/>
      </c>
      <c r="BF1690" s="27" t="str">
        <f t="shared" si="749"/>
        <v/>
      </c>
      <c r="BG1690" s="27" t="str">
        <f t="shared" si="750"/>
        <v/>
      </c>
      <c r="BH1690" s="27" t="str">
        <f t="shared" si="751"/>
        <v/>
      </c>
      <c r="BI1690" s="27" t="str">
        <f t="shared" si="752"/>
        <v/>
      </c>
      <c r="BJ1690" s="27" t="str">
        <f t="shared" si="753"/>
        <v>Supp or Hun</v>
      </c>
      <c r="BK1690" s="27" t="str">
        <f t="shared" si="754"/>
        <v/>
      </c>
      <c r="BL1690" s="27" t="str">
        <f t="shared" si="755"/>
        <v/>
      </c>
      <c r="BM1690" s="21" t="s">
        <v>5581</v>
      </c>
    </row>
    <row r="1691" spans="1:65" ht="15">
      <c r="A1691" s="25">
        <f>IFERROR(INDEX('Hun Demand'!W:W,MATCH(O1691,'Hun Demand'!A:A,0)),"")</f>
        <v>0</v>
      </c>
      <c r="B1691" s="25">
        <f>IFERROR(INDEX('Hun Demand'!V:V,MATCH(O1691,'Hun Demand'!A:A,0)),"")</f>
        <v>45</v>
      </c>
      <c r="C1691" s="25">
        <f>IFERROR(INDEX('Hun Demand'!U:U,MATCH(O1691,'Hun Demand'!A:A,0)),"")</f>
        <v>0</v>
      </c>
      <c r="D1691" s="25">
        <f>IFERROR(INDEX('Hun Demand'!T:T,MATCH(O1691,'Hun Demand'!A:A,0)),"")</f>
        <v>477</v>
      </c>
      <c r="E1691" s="25">
        <f>IFERROR(INDEX('Hun Demand'!S:S,MATCH(O1691,'Hun Demand'!A:A,0)),"")</f>
        <v>0</v>
      </c>
      <c r="F1691" s="25">
        <f>IFERROR(INDEX('Hun Demand'!R:R,MATCH(O1691,'Hun Demand'!A:A,0)),"")</f>
        <v>0</v>
      </c>
      <c r="G1691" s="25">
        <f>IFERROR(INDEX('Aub Demand'!W:W,MATCH(O1691,'Aub Demand'!A:A,0)),"")</f>
        <v>772</v>
      </c>
      <c r="H1691" s="25">
        <f>IFERROR(INDEX('Aub Demand'!V:V,MATCH(O1691,'Aub Demand'!A:A,0)),"")</f>
        <v>0</v>
      </c>
      <c r="I1691" s="25">
        <f>IFERROR(INDEX('Aub Demand'!U:U,MATCH(O1691,'Aub Demand'!A:A,0)),"")</f>
        <v>37</v>
      </c>
      <c r="J1691" s="25">
        <f>IFERROR(INDEX('Aub Demand'!T:T,MATCH(O1691,'Aub Demand'!A:A,0)),"")</f>
        <v>833</v>
      </c>
      <c r="K1691" s="25">
        <f>IFERROR(INDEX('Aub Demand'!S:S,MATCH(O1691,'Aub Demand'!A:A,0)),"")</f>
        <v>246</v>
      </c>
      <c r="L1691" s="25">
        <f>IFERROR(INDEX('Aub Demand'!R:R,MATCH(O1691,'Aub Demand'!A:A,0)),"")</f>
        <v>0</v>
      </c>
      <c r="O1691" s="27" t="s">
        <v>3239</v>
      </c>
      <c r="P1691" s="27" t="str">
        <f>IFERROR(INDEX('Aub Demand'!B:B,MATCH($O1691,'Aub Demand'!$A:$A,0)),"")</f>
        <v>DRAGONFLY</v>
      </c>
      <c r="Q1691" s="27" t="str">
        <f>IFERROR(INDEX('Aub Demand'!C:C,MATCH($O1691,'Aub Demand'!$A:$A,0)),"")</f>
        <v>SUDDE</v>
      </c>
      <c r="R1691" s="52">
        <f>IFERROR(IF(AR1692=AR1691,INDEX('Aub Demand'!K:K,MATCH($O1691,'Aub Demand'!$A:$A,0))-IF(AN1691="",0,AN1691)+AP1692,INDEX('Aub Demand'!K:K,MATCH($O1691,'Aub Demand'!$A:$A,0))-IF(AN1691="",0,AN1691)),"")</f>
        <v>0</v>
      </c>
      <c r="S1691" s="53">
        <f t="shared" si="728"/>
        <v>0</v>
      </c>
      <c r="T1691" s="52">
        <f t="shared" si="729"/>
        <v>404.625</v>
      </c>
      <c r="U1691" s="52">
        <f>IFERROR(IF(AR1692=AR1691,INDEX('Aub Demand'!Q:Q,MATCH($O1691,'Aub Demand'!$A:$A,0))-IF(AN1691="",0,AN1691)+AP1692,INDEX('Aub Demand'!Q:Q,MATCH($O1691,'Aub Demand'!$A:$A,0))-IF(AN1691="",0,AN1691)),"")</f>
        <v>-361</v>
      </c>
      <c r="V1691" s="53">
        <f t="shared" si="730"/>
        <v>-4.2</v>
      </c>
      <c r="W1691" s="52">
        <f t="shared" si="731"/>
        <v>971.1</v>
      </c>
      <c r="X1691" s="52">
        <f>IFERROR(IF(AND(AR1692=AR1691,AM1691&lt;&gt;""),INDEX('Aub Demand'!Q:Q,MATCH($O1691,'Aub Demand'!$A:$A,0))-IF(AN1691="",0,AN1691)+AP1692+AD1691+AL1691,IF(AR1692=AR1691,INDEX('Aub Demand'!Q:Q,MATCH($O1691,'Aub Demand'!$A:$A,0))-IF(AN1691="",0,AN1691)+AP1692+AD1691,IF(AM1691&lt;&gt;"",INDEX('Aub Demand'!Q:Q,MATCH($O1691,'Aub Demand'!$A:$A,0))-IF(AN1691="",0,AN1691)+AD1691+AL1691,INDEX('Aub Demand'!Q:Q,MATCH($O1691,'Aub Demand'!$A:$A,0))-IF(AN1691="",0,AN1691)+AD1691))),"")</f>
        <v>-361</v>
      </c>
      <c r="Y1691" s="53">
        <f t="shared" si="732"/>
        <v>-4.2</v>
      </c>
      <c r="Z1691" s="52">
        <f>IF(L1691="","",INDEX('Aub Demand'!H:H,MATCH($O1691,'Aub Demand'!$A:$A,0)))</f>
        <v>372</v>
      </c>
      <c r="AA1691" s="52">
        <f t="shared" si="733"/>
        <v>539.5</v>
      </c>
      <c r="AB1691" s="52">
        <f>IFERROR(INDEX('Aub Demand'!L:L,MATCH($O1691,'Aub Demand'!$A:$A,0)),"")</f>
        <v>36</v>
      </c>
      <c r="AC1691" s="52">
        <f>IFERROR(IF(O1691="","",SUMIFS('CPL Mats'!F:F,'CPL Mats'!Q:Q,AR1691,'CPL Mats'!S:S,AS1691)),"")</f>
        <v>0</v>
      </c>
      <c r="AF1691" s="25" t="str">
        <f>IF(SUMIFS('Supp Consol'!S:S,'Supp Consol'!Y:Y,"Releasable",'Supp Consol'!A:A,O1691)=0,"",SUMIFS('Supp Consol'!S:S,'Supp Consol'!Y:Y,"Releasable",'Supp Consol'!A:A,O1691))</f>
        <v/>
      </c>
      <c r="AG1691" s="25">
        <f>IFERROR(INDEX('Hun Demand'!Q:Q,MATCH(O1691,'Hun Demand'!A:A,0)),"")</f>
        <v>0</v>
      </c>
      <c r="AH1691" s="25">
        <f>IFERROR(INDEX('Hun Demand'!H:H,MATCH($O1691,'Hun Demand'!$A:$A,0)),"")</f>
        <v>159</v>
      </c>
      <c r="AI1691" s="25" t="str">
        <f>IF(SUMIFS('Supp Consol'!AA:AA,'Supp Consol'!Z:Z,"Expires this month",'Supp Consol'!A:A,O1691)=0,"",SUMIFS('Supp Consol'!AA:AA,'Supp Consol'!Z:Z,"Expires this month",'Supp Consol'!A:A,O1691))</f>
        <v/>
      </c>
      <c r="AJ1691" s="25" t="str">
        <f>IF(SUMIFS('Supp Consol'!AA:AA,'Supp Consol'!Z:Z,"Expired Previous Months",'Supp Consol'!A:A,O1691)=0,"",SUMIFS('Supp Consol'!AA:AA,'Supp Consol'!Z:Z,"Expired Previous Months",'Supp Consol'!A:A,O1691))</f>
        <v/>
      </c>
      <c r="AK1691" s="25" t="str">
        <f>IFERROR(INDEX('Hun Release Current'!B:B,MATCH(O1691,'Hun Release Current'!A:A,0)),"")</f>
        <v/>
      </c>
      <c r="AL1691" s="25" t="str">
        <f>IF(SUMIF('Prev Aub'!A:A,O1691,'Prev Aub'!B:B)=0,"",SUMIF('Prev Aub'!A:A,O1691,'Prev Aub'!B:B))</f>
        <v/>
      </c>
      <c r="AN1691" s="25" t="s">
        <v>3790</v>
      </c>
      <c r="AO1691" s="25" t="s">
        <v>3790</v>
      </c>
      <c r="AP1691" s="25">
        <f t="shared" si="734"/>
        <v>0</v>
      </c>
      <c r="AQ1691" s="151" t="str">
        <f>IF(SUMIFS('Supp Consol'!S:S,'Supp Consol'!A:A,O1691,'Supp Consol'!I:I,"PENDING")=0,"",SUMIFS('Supp Consol'!S:S,'Supp Consol'!A:A,O1691,'Supp Consol'!I:I,"PENDING"))</f>
        <v/>
      </c>
      <c r="AR1691" s="27" t="str">
        <f t="shared" si="735"/>
        <v>WZ062</v>
      </c>
      <c r="AS1691" s="27" t="str">
        <f t="shared" si="736"/>
        <v>50</v>
      </c>
      <c r="AT1691" s="27" t="str">
        <f t="shared" si="737"/>
        <v>WZ062</v>
      </c>
      <c r="AU1691" s="27" t="str">
        <f t="shared" si="738"/>
        <v>WZ062</v>
      </c>
      <c r="AV1691" s="27" t="str">
        <f t="shared" si="739"/>
        <v>WZ062</v>
      </c>
      <c r="AW1691" s="27" t="str">
        <f t="shared" si="740"/>
        <v/>
      </c>
      <c r="AX1691" s="27" t="str">
        <f t="shared" si="741"/>
        <v/>
      </c>
      <c r="AY1691" s="27" t="str">
        <f t="shared" si="742"/>
        <v/>
      </c>
      <c r="AZ1691" s="27" t="str">
        <f t="shared" si="743"/>
        <v/>
      </c>
      <c r="BA1691" s="27" t="str">
        <f t="shared" si="744"/>
        <v/>
      </c>
      <c r="BB1691" s="27" t="str">
        <f t="shared" si="745"/>
        <v>Gross</v>
      </c>
      <c r="BC1691" s="27" t="str">
        <f t="shared" si="746"/>
        <v>Net</v>
      </c>
      <c r="BD1691" s="27" t="str">
        <f t="shared" si="747"/>
        <v>Net</v>
      </c>
      <c r="BE1691" s="27" t="str">
        <f t="shared" si="748"/>
        <v/>
      </c>
      <c r="BF1691" s="27" t="str">
        <f t="shared" si="749"/>
        <v/>
      </c>
      <c r="BG1691" s="27" t="str">
        <f t="shared" si="750"/>
        <v/>
      </c>
      <c r="BH1691" s="27" t="str">
        <f t="shared" si="751"/>
        <v/>
      </c>
      <c r="BI1691" s="27" t="str">
        <f t="shared" si="752"/>
        <v/>
      </c>
      <c r="BJ1691" s="27" t="str">
        <f t="shared" si="753"/>
        <v/>
      </c>
      <c r="BK1691" s="27" t="str">
        <f t="shared" si="754"/>
        <v/>
      </c>
      <c r="BL1691" s="27" t="str">
        <f t="shared" si="755"/>
        <v/>
      </c>
      <c r="BM1691" s="21" t="s">
        <v>5581</v>
      </c>
    </row>
    <row r="1692" spans="1:65" ht="15">
      <c r="A1692" s="25" t="str">
        <f>IFERROR(INDEX('Hun Demand'!W:W,MATCH(O1692,'Hun Demand'!A:A,0)),"")</f>
        <v/>
      </c>
      <c r="B1692" s="25" t="str">
        <f>IFERROR(INDEX('Hun Demand'!V:V,MATCH(O1692,'Hun Demand'!A:A,0)),"")</f>
        <v/>
      </c>
      <c r="C1692" s="25" t="str">
        <f>IFERROR(INDEX('Hun Demand'!U:U,MATCH(O1692,'Hun Demand'!A:A,0)),"")</f>
        <v/>
      </c>
      <c r="D1692" s="25" t="str">
        <f>IFERROR(INDEX('Hun Demand'!T:T,MATCH(O1692,'Hun Demand'!A:A,0)),"")</f>
        <v/>
      </c>
      <c r="E1692" s="25" t="str">
        <f>IFERROR(INDEX('Hun Demand'!S:S,MATCH(O1692,'Hun Demand'!A:A,0)),"")</f>
        <v/>
      </c>
      <c r="F1692" s="25" t="str">
        <f>IFERROR(INDEX('Hun Demand'!R:R,MATCH(O1692,'Hun Demand'!A:A,0)),"")</f>
        <v/>
      </c>
      <c r="G1692" s="25">
        <f>IFERROR(INDEX('Aub Demand'!W:W,MATCH(O1692,'Aub Demand'!A:A,0)),"")</f>
        <v>16</v>
      </c>
      <c r="H1692" s="25">
        <f>IFERROR(INDEX('Aub Demand'!V:V,MATCH(O1692,'Aub Demand'!A:A,0)),"")</f>
        <v>25</v>
      </c>
      <c r="I1692" s="25">
        <f>IFERROR(INDEX('Aub Demand'!U:U,MATCH(O1692,'Aub Demand'!A:A,0)),"")</f>
        <v>26</v>
      </c>
      <c r="J1692" s="25">
        <f>IFERROR(INDEX('Aub Demand'!T:T,MATCH(O1692,'Aub Demand'!A:A,0)),"")</f>
        <v>23</v>
      </c>
      <c r="K1692" s="25">
        <f>IFERROR(INDEX('Aub Demand'!S:S,MATCH(O1692,'Aub Demand'!A:A,0)),"")</f>
        <v>57</v>
      </c>
      <c r="L1692" s="25">
        <f>IFERROR(INDEX('Aub Demand'!R:R,MATCH(O1692,'Aub Demand'!A:A,0)),"")</f>
        <v>0</v>
      </c>
      <c r="O1692" s="27" t="s">
        <v>3241</v>
      </c>
      <c r="P1692" s="27" t="str">
        <f>IFERROR(INDEX('Aub Demand'!B:B,MATCH($O1692,'Aub Demand'!$A:$A,0)),"")</f>
        <v>DRAGONFLY</v>
      </c>
      <c r="Q1692" s="27" t="str">
        <f>IFERROR(INDEX('Aub Demand'!C:C,MATCH($O1692,'Aub Demand'!$A:$A,0)),"")</f>
        <v>SUDDE</v>
      </c>
      <c r="R1692" s="52">
        <f>IFERROR(IF(AR1693=AR1692,INDEX('Aub Demand'!K:K,MATCH($O1692,'Aub Demand'!$A:$A,0))-IF(AN1692="",0,AN1692)+AP1693,INDEX('Aub Demand'!K:K,MATCH($O1692,'Aub Demand'!$A:$A,0))-IF(AN1692="",0,AN1692)),"")</f>
        <v>2220</v>
      </c>
      <c r="S1692" s="53">
        <f t="shared" si="728"/>
        <v>271.8</v>
      </c>
      <c r="T1692" s="52" t="str">
        <f t="shared" si="729"/>
        <v/>
      </c>
      <c r="U1692" s="52">
        <f>IFERROR(IF(AR1693=AR1692,INDEX('Aub Demand'!Q:Q,MATCH($O1692,'Aub Demand'!$A:$A,0))-IF(AN1692="",0,AN1692)+AP1693,INDEX('Aub Demand'!Q:Q,MATCH($O1692,'Aub Demand'!$A:$A,0))-IF(AN1692="",0,AN1692)),"")</f>
        <v>2197</v>
      </c>
      <c r="V1692" s="53">
        <f t="shared" si="730"/>
        <v>269</v>
      </c>
      <c r="W1692" s="52" t="str">
        <f t="shared" si="731"/>
        <v/>
      </c>
      <c r="X1692" s="52">
        <f>IFERROR(IF(AND(AR1693=AR1692,AM1692&lt;&gt;""),INDEX('Aub Demand'!Q:Q,MATCH($O1692,'Aub Demand'!$A:$A,0))-IF(AN1692="",0,AN1692)+AP1693+AD1692+AL1692,IF(AR1693=AR1692,INDEX('Aub Demand'!Q:Q,MATCH($O1692,'Aub Demand'!$A:$A,0))-IF(AN1692="",0,AN1692)+AP1693+AD1692,IF(AM1692&lt;&gt;"",INDEX('Aub Demand'!Q:Q,MATCH($O1692,'Aub Demand'!$A:$A,0))-IF(AN1692="",0,AN1692)+AD1692+AL1692,INDEX('Aub Demand'!Q:Q,MATCH($O1692,'Aub Demand'!$A:$A,0))-IF(AN1692="",0,AN1692)+AD1692))),"")</f>
        <v>2197</v>
      </c>
      <c r="Y1692" s="53">
        <f t="shared" si="732"/>
        <v>269</v>
      </c>
      <c r="Z1692" s="52">
        <f>IF(L1692="","",INDEX('Aub Demand'!H:H,MATCH($O1692,'Aub Demand'!$A:$A,0)))</f>
        <v>35</v>
      </c>
      <c r="AA1692" s="52">
        <f t="shared" si="733"/>
        <v>41.5</v>
      </c>
      <c r="AB1692" s="52">
        <f>IFERROR(INDEX('Aub Demand'!L:L,MATCH($O1692,'Aub Demand'!$A:$A,0)),"")</f>
        <v>4</v>
      </c>
      <c r="AC1692" s="52">
        <f>IFERROR(IF(O1692="","",SUMIFS('CPL Mats'!F:F,'CPL Mats'!Q:Q,AR1692,'CPL Mats'!S:S,AS1692)),"")</f>
        <v>0</v>
      </c>
      <c r="AF1692" s="25" t="str">
        <f>IF(SUMIFS('Supp Consol'!S:S,'Supp Consol'!Y:Y,"Releasable",'Supp Consol'!A:A,O1692)=0,"",SUMIFS('Supp Consol'!S:S,'Supp Consol'!Y:Y,"Releasable",'Supp Consol'!A:A,O1692))</f>
        <v/>
      </c>
      <c r="AG1692" s="25" t="str">
        <f>IFERROR(INDEX('Hun Demand'!Q:Q,MATCH(O1692,'Hun Demand'!A:A,0)),"")</f>
        <v/>
      </c>
      <c r="AH1692" s="25" t="str">
        <f>IFERROR(INDEX('Hun Demand'!H:H,MATCH($O1692,'Hun Demand'!$A:$A,0)),"")</f>
        <v/>
      </c>
      <c r="AI1692" s="25" t="str">
        <f>IF(SUMIFS('Supp Consol'!AA:AA,'Supp Consol'!Z:Z,"Expires this month",'Supp Consol'!A:A,O1692)=0,"",SUMIFS('Supp Consol'!AA:AA,'Supp Consol'!Z:Z,"Expires this month",'Supp Consol'!A:A,O1692))</f>
        <v/>
      </c>
      <c r="AJ1692" s="25" t="str">
        <f>IF(SUMIFS('Supp Consol'!AA:AA,'Supp Consol'!Z:Z,"Expired Previous Months",'Supp Consol'!A:A,O1692)=0,"",SUMIFS('Supp Consol'!AA:AA,'Supp Consol'!Z:Z,"Expired Previous Months",'Supp Consol'!A:A,O1692))</f>
        <v/>
      </c>
      <c r="AK1692" s="25" t="str">
        <f>IFERROR(INDEX('Hun Release Current'!B:B,MATCH(O1692,'Hun Release Current'!A:A,0)),"")</f>
        <v/>
      </c>
      <c r="AL1692" s="25" t="str">
        <f>IF(SUMIF('Prev Aub'!A:A,O1692,'Prev Aub'!B:B)=0,"",SUMIF('Prev Aub'!A:A,O1692,'Prev Aub'!B:B))</f>
        <v/>
      </c>
      <c r="AN1692" s="25" t="s">
        <v>3790</v>
      </c>
      <c r="AO1692" s="25" t="s">
        <v>3790</v>
      </c>
      <c r="AP1692" s="25">
        <f t="shared" si="734"/>
        <v>0</v>
      </c>
      <c r="AQ1692" s="151" t="str">
        <f>IF(SUMIFS('Supp Consol'!S:S,'Supp Consol'!A:A,O1692,'Supp Consol'!I:I,"PENDING")=0,"",SUMIFS('Supp Consol'!S:S,'Supp Consol'!A:A,O1692,'Supp Consol'!I:I,"PENDING"))</f>
        <v/>
      </c>
      <c r="AR1692" s="27" t="str">
        <f t="shared" si="735"/>
        <v>WZ062</v>
      </c>
      <c r="AS1692" s="27" t="str">
        <f t="shared" si="736"/>
        <v>62</v>
      </c>
      <c r="AT1692" s="27" t="str">
        <f t="shared" si="737"/>
        <v/>
      </c>
      <c r="AU1692" s="27" t="str">
        <f t="shared" si="738"/>
        <v/>
      </c>
      <c r="AV1692" s="27" t="str">
        <f t="shared" si="739"/>
        <v/>
      </c>
      <c r="AW1692" s="27" t="str">
        <f t="shared" si="740"/>
        <v/>
      </c>
      <c r="AX1692" s="27" t="str">
        <f t="shared" si="741"/>
        <v/>
      </c>
      <c r="AY1692" s="27" t="str">
        <f t="shared" si="742"/>
        <v/>
      </c>
      <c r="AZ1692" s="27" t="str">
        <f t="shared" si="743"/>
        <v/>
      </c>
      <c r="BA1692" s="27" t="str">
        <f t="shared" si="744"/>
        <v/>
      </c>
      <c r="BB1692" s="27" t="str">
        <f t="shared" si="745"/>
        <v>Gross</v>
      </c>
      <c r="BC1692" s="27" t="str">
        <f t="shared" si="746"/>
        <v>Net</v>
      </c>
      <c r="BD1692" s="27" t="str">
        <f t="shared" si="747"/>
        <v>Net</v>
      </c>
      <c r="BE1692" s="27" t="str">
        <f t="shared" si="748"/>
        <v/>
      </c>
      <c r="BF1692" s="27" t="str">
        <f t="shared" si="749"/>
        <v/>
      </c>
      <c r="BG1692" s="27" t="str">
        <f t="shared" si="750"/>
        <v/>
      </c>
      <c r="BH1692" s="27" t="str">
        <f t="shared" si="751"/>
        <v/>
      </c>
      <c r="BI1692" s="27" t="str">
        <f t="shared" si="752"/>
        <v/>
      </c>
      <c r="BJ1692" s="27" t="str">
        <f t="shared" si="753"/>
        <v/>
      </c>
      <c r="BK1692" s="27" t="str">
        <f t="shared" si="754"/>
        <v/>
      </c>
      <c r="BL1692" s="27" t="str">
        <f t="shared" si="755"/>
        <v/>
      </c>
      <c r="BM1692" s="21" t="s">
        <v>5581</v>
      </c>
    </row>
    <row r="1693" spans="1:65" ht="15">
      <c r="A1693" s="25">
        <f>IFERROR(INDEX('Hun Demand'!W:W,MATCH(O1693,'Hun Demand'!A:A,0)),"")</f>
        <v>0</v>
      </c>
      <c r="B1693" s="25">
        <f>IFERROR(INDEX('Hun Demand'!V:V,MATCH(O1693,'Hun Demand'!A:A,0)),"")</f>
        <v>0</v>
      </c>
      <c r="C1693" s="25">
        <f>IFERROR(INDEX('Hun Demand'!U:U,MATCH(O1693,'Hun Demand'!A:A,0)),"")</f>
        <v>0</v>
      </c>
      <c r="D1693" s="25">
        <f>IFERROR(INDEX('Hun Demand'!T:T,MATCH(O1693,'Hun Demand'!A:A,0)),"")</f>
        <v>0</v>
      </c>
      <c r="E1693" s="25">
        <f>IFERROR(INDEX('Hun Demand'!S:S,MATCH(O1693,'Hun Demand'!A:A,0)),"")</f>
        <v>0</v>
      </c>
      <c r="F1693" s="25">
        <f>IFERROR(INDEX('Hun Demand'!R:R,MATCH(O1693,'Hun Demand'!A:A,0)),"")</f>
        <v>0</v>
      </c>
      <c r="G1693" s="25">
        <f>IFERROR(INDEX('Aub Demand'!W:W,MATCH(O1693,'Aub Demand'!A:A,0)),"")</f>
        <v>219</v>
      </c>
      <c r="H1693" s="25">
        <f>IFERROR(INDEX('Aub Demand'!V:V,MATCH(O1693,'Aub Demand'!A:A,0)),"")</f>
        <v>0</v>
      </c>
      <c r="I1693" s="25">
        <f>IFERROR(INDEX('Aub Demand'!U:U,MATCH(O1693,'Aub Demand'!A:A,0)),"")</f>
        <v>0</v>
      </c>
      <c r="J1693" s="25">
        <f>IFERROR(INDEX('Aub Demand'!T:T,MATCH(O1693,'Aub Demand'!A:A,0)),"")</f>
        <v>38</v>
      </c>
      <c r="K1693" s="25">
        <f>IFERROR(INDEX('Aub Demand'!S:S,MATCH(O1693,'Aub Demand'!A:A,0)),"")</f>
        <v>0</v>
      </c>
      <c r="L1693" s="25">
        <f>IFERROR(INDEX('Aub Demand'!R:R,MATCH(O1693,'Aub Demand'!A:A,0)),"")</f>
        <v>35</v>
      </c>
      <c r="O1693" s="27" t="s">
        <v>3242</v>
      </c>
      <c r="P1693" s="27" t="str">
        <f>IFERROR(INDEX('Aub Demand'!B:B,MATCH($O1693,'Aub Demand'!$A:$A,0)),"")</f>
        <v>YUNNAN</v>
      </c>
      <c r="Q1693" s="27" t="str">
        <f>IFERROR(INDEX('Aub Demand'!C:C,MATCH($O1693,'Aub Demand'!$A:$A,0)),"")</f>
        <v>PANOL</v>
      </c>
      <c r="R1693" s="52">
        <f>IFERROR(IF(AR1694=AR1693,INDEX('Aub Demand'!K:K,MATCH($O1693,'Aub Demand'!$A:$A,0))-IF(AN1693="",0,AN1693)+AP1694,INDEX('Aub Demand'!K:K,MATCH($O1693,'Aub Demand'!$A:$A,0))-IF(AN1693="",0,AN1693)),"")</f>
        <v>0</v>
      </c>
      <c r="S1693" s="53">
        <f t="shared" si="728"/>
        <v>0</v>
      </c>
      <c r="T1693" s="52">
        <f t="shared" si="729"/>
        <v>27.375</v>
      </c>
      <c r="U1693" s="52">
        <f>IFERROR(IF(AR1694=AR1693,INDEX('Aub Demand'!Q:Q,MATCH($O1693,'Aub Demand'!$A:$A,0))-IF(AN1693="",0,AN1693)+AP1694,INDEX('Aub Demand'!Q:Q,MATCH($O1693,'Aub Demand'!$A:$A,0))-IF(AN1693="",0,AN1693)),"")</f>
        <v>-64</v>
      </c>
      <c r="V1693" s="53">
        <f t="shared" si="730"/>
        <v>-21.1</v>
      </c>
      <c r="W1693" s="52">
        <f t="shared" si="731"/>
        <v>219.91250000000002</v>
      </c>
      <c r="X1693" s="52">
        <f>IFERROR(IF(AND(AR1694=AR1693,AM1693&lt;&gt;""),INDEX('Aub Demand'!Q:Q,MATCH($O1693,'Aub Demand'!$A:$A,0))-IF(AN1693="",0,AN1693)+AP1694+AD1693+AL1693,IF(AR1694=AR1693,INDEX('Aub Demand'!Q:Q,MATCH($O1693,'Aub Demand'!$A:$A,0))-IF(AN1693="",0,AN1693)+AP1694+AD1693,IF(AM1693&lt;&gt;"",INDEX('Aub Demand'!Q:Q,MATCH($O1693,'Aub Demand'!$A:$A,0))-IF(AN1693="",0,AN1693)+AD1693+AL1693,INDEX('Aub Demand'!Q:Q,MATCH($O1693,'Aub Demand'!$A:$A,0))-IF(AN1693="",0,AN1693)+AD1693))),"")</f>
        <v>-64</v>
      </c>
      <c r="Y1693" s="53">
        <f t="shared" si="732"/>
        <v>-21.1</v>
      </c>
      <c r="Z1693" s="52">
        <f>IF(L1693="","",INDEX('Aub Demand'!H:H,MATCH($O1693,'Aub Demand'!$A:$A,0)))</f>
        <v>13</v>
      </c>
      <c r="AA1693" s="52">
        <f t="shared" si="733"/>
        <v>36.5</v>
      </c>
      <c r="AB1693" s="52">
        <f>IFERROR(INDEX('Aub Demand'!L:L,MATCH($O1693,'Aub Demand'!$A:$A,0)),"")</f>
        <v>72</v>
      </c>
      <c r="AC1693" s="52">
        <f>IFERROR(IF(O1693="","",SUMIFS('CPL Mats'!F:F,'CPL Mats'!Q:Q,AR1693,'CPL Mats'!S:S,AS1693)),"")</f>
        <v>0</v>
      </c>
      <c r="AF1693" s="25" t="str">
        <f>IF(SUMIFS('Supp Consol'!S:S,'Supp Consol'!Y:Y,"Releasable",'Supp Consol'!A:A,O1693)=0,"",SUMIFS('Supp Consol'!S:S,'Supp Consol'!Y:Y,"Releasable",'Supp Consol'!A:A,O1693))</f>
        <v/>
      </c>
      <c r="AG1693" s="25">
        <f>IFERROR(INDEX('Hun Demand'!Q:Q,MATCH(O1693,'Hun Demand'!A:A,0)),"")</f>
        <v>172</v>
      </c>
      <c r="AH1693" s="25">
        <f>IFERROR(INDEX('Hun Demand'!H:H,MATCH($O1693,'Hun Demand'!$A:$A,0)),"")</f>
        <v>0</v>
      </c>
      <c r="AI1693" s="25" t="str">
        <f>IF(SUMIFS('Supp Consol'!AA:AA,'Supp Consol'!Z:Z,"Expires this month",'Supp Consol'!A:A,O1693)=0,"",SUMIFS('Supp Consol'!AA:AA,'Supp Consol'!Z:Z,"Expires this month",'Supp Consol'!A:A,O1693))</f>
        <v/>
      </c>
      <c r="AJ1693" s="25" t="str">
        <f>IF(SUMIFS('Supp Consol'!AA:AA,'Supp Consol'!Z:Z,"Expired Previous Months",'Supp Consol'!A:A,O1693)=0,"",SUMIFS('Supp Consol'!AA:AA,'Supp Consol'!Z:Z,"Expired Previous Months",'Supp Consol'!A:A,O1693))</f>
        <v/>
      </c>
      <c r="AK1693" s="25" t="str">
        <f>IFERROR(INDEX('Hun Release Current'!B:B,MATCH(O1693,'Hun Release Current'!A:A,0)),"")</f>
        <v/>
      </c>
      <c r="AL1693" s="25" t="str">
        <f>IF(SUMIF('Prev Aub'!A:A,O1693,'Prev Aub'!B:B)=0,"",SUMIF('Prev Aub'!A:A,O1693,'Prev Aub'!B:B))</f>
        <v/>
      </c>
      <c r="AN1693" s="25" t="s">
        <v>3790</v>
      </c>
      <c r="AO1693" s="25" t="s">
        <v>3790</v>
      </c>
      <c r="AP1693" s="25">
        <f t="shared" si="734"/>
        <v>0</v>
      </c>
      <c r="AQ1693" s="151" t="str">
        <f>IF(SUMIFS('Supp Consol'!S:S,'Supp Consol'!A:A,O1693,'Supp Consol'!I:I,"PENDING")=0,"",SUMIFS('Supp Consol'!S:S,'Supp Consol'!A:A,O1693,'Supp Consol'!I:I,"PENDING"))</f>
        <v/>
      </c>
      <c r="AR1693" s="27" t="str">
        <f t="shared" si="735"/>
        <v>WZ063</v>
      </c>
      <c r="AS1693" s="27" t="str">
        <f t="shared" si="736"/>
        <v>50</v>
      </c>
      <c r="AT1693" s="27" t="str">
        <f t="shared" si="737"/>
        <v>WZ063</v>
      </c>
      <c r="AU1693" s="27" t="str">
        <f t="shared" si="738"/>
        <v>WZ063</v>
      </c>
      <c r="AV1693" s="27" t="str">
        <f t="shared" si="739"/>
        <v>WZ063</v>
      </c>
      <c r="AW1693" s="27" t="str">
        <f t="shared" si="740"/>
        <v/>
      </c>
      <c r="AX1693" s="27" t="str">
        <f t="shared" si="741"/>
        <v/>
      </c>
      <c r="AY1693" s="27" t="str">
        <f t="shared" si="742"/>
        <v>WZ063</v>
      </c>
      <c r="AZ1693" s="27" t="str">
        <f t="shared" si="743"/>
        <v/>
      </c>
      <c r="BA1693" s="27" t="str">
        <f t="shared" si="744"/>
        <v>Hun</v>
      </c>
      <c r="BB1693" s="27" t="str">
        <f t="shared" si="745"/>
        <v>Gross</v>
      </c>
      <c r="BC1693" s="27" t="str">
        <f t="shared" si="746"/>
        <v>Net</v>
      </c>
      <c r="BD1693" s="27" t="str">
        <f t="shared" si="747"/>
        <v>Net</v>
      </c>
      <c r="BE1693" s="27" t="str">
        <f t="shared" si="748"/>
        <v/>
      </c>
      <c r="BF1693" s="27" t="str">
        <f t="shared" si="749"/>
        <v/>
      </c>
      <c r="BG1693" s="27" t="str">
        <f t="shared" si="750"/>
        <v/>
      </c>
      <c r="BH1693" s="27" t="str">
        <f t="shared" si="751"/>
        <v>H+N</v>
      </c>
      <c r="BI1693" s="27" t="str">
        <f t="shared" si="752"/>
        <v>H+Nex</v>
      </c>
      <c r="BJ1693" s="27" t="str">
        <f t="shared" si="753"/>
        <v>Supp or Hun</v>
      </c>
      <c r="BK1693" s="27" t="str">
        <f t="shared" si="754"/>
        <v>Supp or Hun Need</v>
      </c>
      <c r="BL1693" s="27" t="str">
        <f t="shared" si="755"/>
        <v>SorHandNandE</v>
      </c>
      <c r="BM1693" s="21" t="s">
        <v>5581</v>
      </c>
    </row>
    <row r="1694" spans="1:65" ht="15">
      <c r="A1694" s="25" t="str">
        <f>IFERROR(INDEX('Hun Demand'!W:W,MATCH(O1694,'Hun Demand'!A:A,0)),"")</f>
        <v/>
      </c>
      <c r="B1694" s="25" t="str">
        <f>IFERROR(INDEX('Hun Demand'!V:V,MATCH(O1694,'Hun Demand'!A:A,0)),"")</f>
        <v/>
      </c>
      <c r="C1694" s="25" t="str">
        <f>IFERROR(INDEX('Hun Demand'!U:U,MATCH(O1694,'Hun Demand'!A:A,0)),"")</f>
        <v/>
      </c>
      <c r="D1694" s="25" t="str">
        <f>IFERROR(INDEX('Hun Demand'!T:T,MATCH(O1694,'Hun Demand'!A:A,0)),"")</f>
        <v/>
      </c>
      <c r="E1694" s="25" t="str">
        <f>IFERROR(INDEX('Hun Demand'!S:S,MATCH(O1694,'Hun Demand'!A:A,0)),"")</f>
        <v/>
      </c>
      <c r="F1694" s="25" t="str">
        <f>IFERROR(INDEX('Hun Demand'!R:R,MATCH(O1694,'Hun Demand'!A:A,0)),"")</f>
        <v/>
      </c>
      <c r="G1694" s="25">
        <f>IFERROR(INDEX('Aub Demand'!W:W,MATCH(O1694,'Aub Demand'!A:A,0)),"")</f>
        <v>47</v>
      </c>
      <c r="H1694" s="25">
        <f>IFERROR(INDEX('Aub Demand'!V:V,MATCH(O1694,'Aub Demand'!A:A,0)),"")</f>
        <v>25</v>
      </c>
      <c r="I1694" s="25">
        <f>IFERROR(INDEX('Aub Demand'!U:U,MATCH(O1694,'Aub Demand'!A:A,0)),"")</f>
        <v>93</v>
      </c>
      <c r="J1694" s="25">
        <f>IFERROR(INDEX('Aub Demand'!T:T,MATCH(O1694,'Aub Demand'!A:A,0)),"")</f>
        <v>40</v>
      </c>
      <c r="K1694" s="25">
        <f>IFERROR(INDEX('Aub Demand'!S:S,MATCH(O1694,'Aub Demand'!A:A,0)),"")</f>
        <v>0</v>
      </c>
      <c r="L1694" s="25">
        <f>IFERROR(INDEX('Aub Demand'!R:R,MATCH(O1694,'Aub Demand'!A:A,0)),"")</f>
        <v>0</v>
      </c>
      <c r="O1694" s="27" t="s">
        <v>3244</v>
      </c>
      <c r="P1694" s="27" t="str">
        <f>IFERROR(INDEX('Aub Demand'!B:B,MATCH($O1694,'Aub Demand'!$A:$A,0)),"")</f>
        <v>YUNNAN</v>
      </c>
      <c r="Q1694" s="27" t="str">
        <f>IFERROR(INDEX('Aub Demand'!C:C,MATCH($O1694,'Aub Demand'!$A:$A,0)),"")</f>
        <v>SUDDE</v>
      </c>
      <c r="R1694" s="52">
        <f>IFERROR(IF(AR1695=AR1694,INDEX('Aub Demand'!K:K,MATCH($O1694,'Aub Demand'!$A:$A,0))-IF(AN1694="",0,AN1694)+AP1695,INDEX('Aub Demand'!K:K,MATCH($O1694,'Aub Demand'!$A:$A,0))-IF(AN1694="",0,AN1694)),"")</f>
        <v>1606</v>
      </c>
      <c r="S1694" s="53">
        <f t="shared" si="728"/>
        <v>156.4</v>
      </c>
      <c r="T1694" s="52" t="str">
        <f t="shared" si="729"/>
        <v/>
      </c>
      <c r="U1694" s="52">
        <f>IFERROR(IF(AR1695=AR1694,INDEX('Aub Demand'!Q:Q,MATCH($O1694,'Aub Demand'!$A:$A,0))-IF(AN1694="",0,AN1694)+AP1695,INDEX('Aub Demand'!Q:Q,MATCH($O1694,'Aub Demand'!$A:$A,0))-IF(AN1694="",0,AN1694)),"")</f>
        <v>1606</v>
      </c>
      <c r="V1694" s="53">
        <f t="shared" si="730"/>
        <v>156.4</v>
      </c>
      <c r="W1694" s="52" t="str">
        <f t="shared" si="731"/>
        <v/>
      </c>
      <c r="X1694" s="52">
        <f>IFERROR(IF(AND(AR1695=AR1694,AM1694&lt;&gt;""),INDEX('Aub Demand'!Q:Q,MATCH($O1694,'Aub Demand'!$A:$A,0))-IF(AN1694="",0,AN1694)+AP1695+AD1694+AL1694,IF(AR1695=AR1694,INDEX('Aub Demand'!Q:Q,MATCH($O1694,'Aub Demand'!$A:$A,0))-IF(AN1694="",0,AN1694)+AP1695+AD1694,IF(AM1694&lt;&gt;"",INDEX('Aub Demand'!Q:Q,MATCH($O1694,'Aub Demand'!$A:$A,0))-IF(AN1694="",0,AN1694)+AD1694+AL1694,INDEX('Aub Demand'!Q:Q,MATCH($O1694,'Aub Demand'!$A:$A,0))-IF(AN1694="",0,AN1694)+AD1694))),"")</f>
        <v>1606</v>
      </c>
      <c r="Y1694" s="53">
        <f t="shared" si="732"/>
        <v>156.4</v>
      </c>
      <c r="Z1694" s="52">
        <f>IF(L1694="","",INDEX('Aub Demand'!H:H,MATCH($O1694,'Aub Demand'!$A:$A,0)))</f>
        <v>44</v>
      </c>
      <c r="AA1694" s="52">
        <f t="shared" si="733"/>
        <v>66.5</v>
      </c>
      <c r="AB1694" s="52">
        <f>IFERROR(INDEX('Aub Demand'!L:L,MATCH($O1694,'Aub Demand'!$A:$A,0)),"")</f>
        <v>0</v>
      </c>
      <c r="AC1694" s="52">
        <f>IFERROR(IF(O1694="","",SUMIFS('CPL Mats'!F:F,'CPL Mats'!Q:Q,AR1694,'CPL Mats'!S:S,AS1694)),"")</f>
        <v>0</v>
      </c>
      <c r="AF1694" s="25" t="str">
        <f>IF(SUMIFS('Supp Consol'!S:S,'Supp Consol'!Y:Y,"Releasable",'Supp Consol'!A:A,O1694)=0,"",SUMIFS('Supp Consol'!S:S,'Supp Consol'!Y:Y,"Releasable",'Supp Consol'!A:A,O1694))</f>
        <v/>
      </c>
      <c r="AG1694" s="25" t="str">
        <f>IFERROR(INDEX('Hun Demand'!Q:Q,MATCH(O1694,'Hun Demand'!A:A,0)),"")</f>
        <v/>
      </c>
      <c r="AH1694" s="25" t="str">
        <f>IFERROR(INDEX('Hun Demand'!H:H,MATCH($O1694,'Hun Demand'!$A:$A,0)),"")</f>
        <v/>
      </c>
      <c r="AI1694" s="25" t="str">
        <f>IF(SUMIFS('Supp Consol'!AA:AA,'Supp Consol'!Z:Z,"Expires this month",'Supp Consol'!A:A,O1694)=0,"",SUMIFS('Supp Consol'!AA:AA,'Supp Consol'!Z:Z,"Expires this month",'Supp Consol'!A:A,O1694))</f>
        <v/>
      </c>
      <c r="AJ1694" s="25" t="str">
        <f>IF(SUMIFS('Supp Consol'!AA:AA,'Supp Consol'!Z:Z,"Expired Previous Months",'Supp Consol'!A:A,O1694)=0,"",SUMIFS('Supp Consol'!AA:AA,'Supp Consol'!Z:Z,"Expired Previous Months",'Supp Consol'!A:A,O1694))</f>
        <v/>
      </c>
      <c r="AK1694" s="25" t="str">
        <f>IFERROR(INDEX('Hun Release Current'!B:B,MATCH(O1694,'Hun Release Current'!A:A,0)),"")</f>
        <v/>
      </c>
      <c r="AL1694" s="25" t="str">
        <f>IF(SUMIF('Prev Aub'!A:A,O1694,'Prev Aub'!B:B)=0,"",SUMIF('Prev Aub'!A:A,O1694,'Prev Aub'!B:B))</f>
        <v/>
      </c>
      <c r="AN1694" s="25" t="s">
        <v>3790</v>
      </c>
      <c r="AO1694" s="25" t="s">
        <v>3790</v>
      </c>
      <c r="AP1694" s="25">
        <f t="shared" si="734"/>
        <v>0</v>
      </c>
      <c r="AQ1694" s="151" t="str">
        <f>IF(SUMIFS('Supp Consol'!S:S,'Supp Consol'!A:A,O1694,'Supp Consol'!I:I,"PENDING")=0,"",SUMIFS('Supp Consol'!S:S,'Supp Consol'!A:A,O1694,'Supp Consol'!I:I,"PENDING"))</f>
        <v/>
      </c>
      <c r="AR1694" s="27" t="str">
        <f t="shared" si="735"/>
        <v>WZ063</v>
      </c>
      <c r="AS1694" s="27" t="str">
        <f t="shared" si="736"/>
        <v>62</v>
      </c>
      <c r="AT1694" s="27" t="str">
        <f t="shared" si="737"/>
        <v/>
      </c>
      <c r="AU1694" s="27" t="str">
        <f t="shared" si="738"/>
        <v/>
      </c>
      <c r="AV1694" s="27" t="str">
        <f t="shared" si="739"/>
        <v/>
      </c>
      <c r="AW1694" s="27" t="str">
        <f t="shared" si="740"/>
        <v/>
      </c>
      <c r="AX1694" s="27" t="str">
        <f t="shared" si="741"/>
        <v/>
      </c>
      <c r="AY1694" s="27" t="str">
        <f t="shared" si="742"/>
        <v/>
      </c>
      <c r="AZ1694" s="27" t="str">
        <f t="shared" si="743"/>
        <v/>
      </c>
      <c r="BA1694" s="27" t="str">
        <f t="shared" si="744"/>
        <v>Hun</v>
      </c>
      <c r="BB1694" s="27" t="str">
        <f t="shared" si="745"/>
        <v>Gross</v>
      </c>
      <c r="BC1694" s="27" t="str">
        <f t="shared" si="746"/>
        <v>Net</v>
      </c>
      <c r="BD1694" s="27" t="str">
        <f t="shared" si="747"/>
        <v>Net</v>
      </c>
      <c r="BE1694" s="27" t="str">
        <f t="shared" si="748"/>
        <v/>
      </c>
      <c r="BF1694" s="27" t="str">
        <f t="shared" si="749"/>
        <v/>
      </c>
      <c r="BG1694" s="27" t="str">
        <f t="shared" si="750"/>
        <v/>
      </c>
      <c r="BH1694" s="27" t="str">
        <f t="shared" si="751"/>
        <v>H+N</v>
      </c>
      <c r="BI1694" s="27" t="str">
        <f t="shared" si="752"/>
        <v>H+Nex</v>
      </c>
      <c r="BJ1694" s="27" t="str">
        <f t="shared" si="753"/>
        <v>Supp or Hun</v>
      </c>
      <c r="BK1694" s="27" t="str">
        <f t="shared" si="754"/>
        <v>Supp or Hun Need</v>
      </c>
      <c r="BL1694" s="27" t="str">
        <f t="shared" si="755"/>
        <v>SorHandNandE</v>
      </c>
      <c r="BM1694" s="21" t="s">
        <v>5581</v>
      </c>
    </row>
    <row r="1695" spans="1:65" ht="15">
      <c r="A1695" s="25" t="str">
        <f>IFERROR(INDEX('Hun Demand'!W:W,MATCH(O1695,'Hun Demand'!A:A,0)),"")</f>
        <v/>
      </c>
      <c r="B1695" s="25" t="str">
        <f>IFERROR(INDEX('Hun Demand'!V:V,MATCH(O1695,'Hun Demand'!A:A,0)),"")</f>
        <v/>
      </c>
      <c r="C1695" s="25" t="str">
        <f>IFERROR(INDEX('Hun Demand'!U:U,MATCH(O1695,'Hun Demand'!A:A,0)),"")</f>
        <v/>
      </c>
      <c r="D1695" s="25" t="str">
        <f>IFERROR(INDEX('Hun Demand'!T:T,MATCH(O1695,'Hun Demand'!A:A,0)),"")</f>
        <v/>
      </c>
      <c r="E1695" s="25" t="str">
        <f>IFERROR(INDEX('Hun Demand'!S:S,MATCH(O1695,'Hun Demand'!A:A,0)),"")</f>
        <v/>
      </c>
      <c r="F1695" s="25" t="str">
        <f>IFERROR(INDEX('Hun Demand'!R:R,MATCH(O1695,'Hun Demand'!A:A,0)),"")</f>
        <v/>
      </c>
      <c r="G1695" s="25">
        <f>IFERROR(INDEX('Aub Demand'!W:W,MATCH(O1695,'Aub Demand'!A:A,0)),"")</f>
        <v>23</v>
      </c>
      <c r="H1695" s="25">
        <f>IFERROR(INDEX('Aub Demand'!V:V,MATCH(O1695,'Aub Demand'!A:A,0)),"")</f>
        <v>0</v>
      </c>
      <c r="I1695" s="25">
        <f>IFERROR(INDEX('Aub Demand'!U:U,MATCH(O1695,'Aub Demand'!A:A,0)),"")</f>
        <v>0</v>
      </c>
      <c r="J1695" s="25">
        <f>IFERROR(INDEX('Aub Demand'!T:T,MATCH(O1695,'Aub Demand'!A:A,0)),"")</f>
        <v>0</v>
      </c>
      <c r="K1695" s="25">
        <f>IFERROR(INDEX('Aub Demand'!S:S,MATCH(O1695,'Aub Demand'!A:A,0)),"")</f>
        <v>0</v>
      </c>
      <c r="L1695" s="25">
        <f>IFERROR(INDEX('Aub Demand'!R:R,MATCH(O1695,'Aub Demand'!A:A,0)),"")</f>
        <v>0</v>
      </c>
      <c r="O1695" s="27" t="s">
        <v>3245</v>
      </c>
      <c r="P1695" s="27" t="str">
        <f>IFERROR(INDEX('Aub Demand'!B:B,MATCH($O1695,'Aub Demand'!$A:$A,0)),"")</f>
        <v>RED DRAGON BAMBOO 50</v>
      </c>
      <c r="Q1695" s="27" t="str">
        <f>IFERROR(INDEX('Aub Demand'!C:C,MATCH($O1695,'Aub Demand'!$A:$A,0)),"")</f>
        <v>INTER</v>
      </c>
      <c r="R1695" s="52">
        <f>IFERROR(IF(AR1696=AR1695,INDEX('Aub Demand'!K:K,MATCH($O1695,'Aub Demand'!$A:$A,0))-IF(AN1695="",0,AN1695)+AP1696,INDEX('Aub Demand'!K:K,MATCH($O1695,'Aub Demand'!$A:$A,0))-IF(AN1695="",0,AN1695)),"")</f>
        <v>150</v>
      </c>
      <c r="S1695" s="53" t="str">
        <f t="shared" si="728"/>
        <v>n/a</v>
      </c>
      <c r="T1695" s="52" t="str">
        <f t="shared" si="729"/>
        <v/>
      </c>
      <c r="U1695" s="52">
        <f>IFERROR(IF(AR1696=AR1695,INDEX('Aub Demand'!Q:Q,MATCH($O1695,'Aub Demand'!$A:$A,0))-IF(AN1695="",0,AN1695)+AP1696,INDEX('Aub Demand'!Q:Q,MATCH($O1695,'Aub Demand'!$A:$A,0))-IF(AN1695="",0,AN1695)),"")</f>
        <v>150</v>
      </c>
      <c r="V1695" s="53" t="str">
        <f t="shared" si="730"/>
        <v>n/a</v>
      </c>
      <c r="W1695" s="52" t="str">
        <f t="shared" si="731"/>
        <v/>
      </c>
      <c r="X1695" s="52">
        <f>IFERROR(IF(AND(AR1696=AR1695,AM1695&lt;&gt;""),INDEX('Aub Demand'!Q:Q,MATCH($O1695,'Aub Demand'!$A:$A,0))-IF(AN1695="",0,AN1695)+AP1696+AD1695+AL1695,IF(AR1696=AR1695,INDEX('Aub Demand'!Q:Q,MATCH($O1695,'Aub Demand'!$A:$A,0))-IF(AN1695="",0,AN1695)+AP1696+AD1695,IF(AM1695&lt;&gt;"",INDEX('Aub Demand'!Q:Q,MATCH($O1695,'Aub Demand'!$A:$A,0))-IF(AN1695="",0,AN1695)+AD1695+AL1695,INDEX('Aub Demand'!Q:Q,MATCH($O1695,'Aub Demand'!$A:$A,0))-IF(AN1695="",0,AN1695)+AD1695))),"")</f>
        <v>150</v>
      </c>
      <c r="Y1695" s="53" t="str">
        <f t="shared" si="732"/>
        <v>n/a</v>
      </c>
      <c r="Z1695" s="52">
        <f>IF(L1695="","",INDEX('Aub Demand'!H:H,MATCH($O1695,'Aub Demand'!$A:$A,0)))</f>
        <v>0</v>
      </c>
      <c r="AA1695" s="52" t="str">
        <f t="shared" si="733"/>
        <v>-spike-</v>
      </c>
      <c r="AB1695" s="52">
        <f>IFERROR(INDEX('Aub Demand'!L:L,MATCH($O1695,'Aub Demand'!$A:$A,0)),"")</f>
        <v>0</v>
      </c>
      <c r="AC1695" s="52">
        <f>IFERROR(IF(O1695="","",SUMIFS('CPL Mats'!F:F,'CPL Mats'!Q:Q,AR1695,'CPL Mats'!S:S,AS1695)),"")</f>
        <v>0</v>
      </c>
      <c r="AF1695" s="25" t="str">
        <f>IF(SUMIFS('Supp Consol'!S:S,'Supp Consol'!Y:Y,"Releasable",'Supp Consol'!A:A,O1695)=0,"",SUMIFS('Supp Consol'!S:S,'Supp Consol'!Y:Y,"Releasable",'Supp Consol'!A:A,O1695))</f>
        <v/>
      </c>
      <c r="AG1695" s="25" t="str">
        <f>IFERROR(INDEX('Hun Demand'!Q:Q,MATCH(O1695,'Hun Demand'!A:A,0)),"")</f>
        <v/>
      </c>
      <c r="AH1695" s="25" t="str">
        <f>IFERROR(INDEX('Hun Demand'!H:H,MATCH($O1695,'Hun Demand'!$A:$A,0)),"")</f>
        <v/>
      </c>
      <c r="AI1695" s="25" t="str">
        <f>IF(SUMIFS('Supp Consol'!AA:AA,'Supp Consol'!Z:Z,"Expires this month",'Supp Consol'!A:A,O1695)=0,"",SUMIFS('Supp Consol'!AA:AA,'Supp Consol'!Z:Z,"Expires this month",'Supp Consol'!A:A,O1695))</f>
        <v/>
      </c>
      <c r="AJ1695" s="25" t="str">
        <f>IF(SUMIFS('Supp Consol'!AA:AA,'Supp Consol'!Z:Z,"Expired Previous Months",'Supp Consol'!A:A,O1695)=0,"",SUMIFS('Supp Consol'!AA:AA,'Supp Consol'!Z:Z,"Expired Previous Months",'Supp Consol'!A:A,O1695))</f>
        <v/>
      </c>
      <c r="AK1695" s="25" t="str">
        <f>IFERROR(INDEX('Hun Release Current'!B:B,MATCH(O1695,'Hun Release Current'!A:A,0)),"")</f>
        <v/>
      </c>
      <c r="AL1695" s="25" t="str">
        <f>IF(SUMIF('Prev Aub'!A:A,O1695,'Prev Aub'!B:B)=0,"",SUMIF('Prev Aub'!A:A,O1695,'Prev Aub'!B:B))</f>
        <v/>
      </c>
      <c r="AN1695" s="25" t="s">
        <v>3790</v>
      </c>
      <c r="AO1695" s="25" t="s">
        <v>3790</v>
      </c>
      <c r="AP1695" s="25">
        <f t="shared" si="734"/>
        <v>0</v>
      </c>
      <c r="AQ1695" s="151" t="str">
        <f>IF(SUMIFS('Supp Consol'!S:S,'Supp Consol'!A:A,O1695,'Supp Consol'!I:I,"PENDING")=0,"",SUMIFS('Supp Consol'!S:S,'Supp Consol'!A:A,O1695,'Supp Consol'!I:I,"PENDING"))</f>
        <v/>
      </c>
      <c r="AR1695" s="27" t="str">
        <f t="shared" si="735"/>
        <v>WZ101</v>
      </c>
      <c r="AS1695" s="27" t="str">
        <f t="shared" si="736"/>
        <v>50</v>
      </c>
      <c r="AT1695" s="27" t="str">
        <f t="shared" si="737"/>
        <v/>
      </c>
      <c r="AU1695" s="27" t="str">
        <f t="shared" si="738"/>
        <v/>
      </c>
      <c r="AV1695" s="27" t="str">
        <f t="shared" si="739"/>
        <v/>
      </c>
      <c r="AW1695" s="27" t="str">
        <f t="shared" si="740"/>
        <v/>
      </c>
      <c r="AX1695" s="27" t="str">
        <f t="shared" si="741"/>
        <v/>
      </c>
      <c r="AY1695" s="27" t="str">
        <f t="shared" si="742"/>
        <v/>
      </c>
      <c r="AZ1695" s="27" t="str">
        <f t="shared" si="743"/>
        <v/>
      </c>
      <c r="BA1695" s="27" t="str">
        <f t="shared" si="744"/>
        <v/>
      </c>
      <c r="BB1695" s="27" t="str">
        <f t="shared" si="745"/>
        <v/>
      </c>
      <c r="BC1695" s="27" t="str">
        <f t="shared" si="746"/>
        <v/>
      </c>
      <c r="BD1695" s="27" t="str">
        <f t="shared" si="747"/>
        <v/>
      </c>
      <c r="BE1695" s="27" t="str">
        <f t="shared" si="748"/>
        <v/>
      </c>
      <c r="BF1695" s="27" t="str">
        <f t="shared" si="749"/>
        <v/>
      </c>
      <c r="BG1695" s="27" t="str">
        <f t="shared" si="750"/>
        <v/>
      </c>
      <c r="BH1695" s="27" t="str">
        <f t="shared" si="751"/>
        <v/>
      </c>
      <c r="BI1695" s="27" t="str">
        <f t="shared" si="752"/>
        <v/>
      </c>
      <c r="BJ1695" s="27" t="str">
        <f t="shared" si="753"/>
        <v/>
      </c>
      <c r="BK1695" s="27" t="str">
        <f t="shared" si="754"/>
        <v/>
      </c>
      <c r="BL1695" s="27" t="str">
        <f t="shared" si="755"/>
        <v/>
      </c>
      <c r="BM1695" s="21" t="s">
        <v>3790</v>
      </c>
    </row>
    <row r="1696" spans="1:65" ht="15">
      <c r="A1696" s="25" t="str">
        <f>IFERROR(INDEX('Hun Demand'!W:W,MATCH(O1696,'Hun Demand'!A:A,0)),"")</f>
        <v/>
      </c>
      <c r="B1696" s="25" t="str">
        <f>IFERROR(INDEX('Hun Demand'!V:V,MATCH(O1696,'Hun Demand'!A:A,0)),"")</f>
        <v/>
      </c>
      <c r="C1696" s="25" t="str">
        <f>IFERROR(INDEX('Hun Demand'!U:U,MATCH(O1696,'Hun Demand'!A:A,0)),"")</f>
        <v/>
      </c>
      <c r="D1696" s="25" t="str">
        <f>IFERROR(INDEX('Hun Demand'!T:T,MATCH(O1696,'Hun Demand'!A:A,0)),"")</f>
        <v/>
      </c>
      <c r="E1696" s="25" t="str">
        <f>IFERROR(INDEX('Hun Demand'!S:S,MATCH(O1696,'Hun Demand'!A:A,0)),"")</f>
        <v/>
      </c>
      <c r="F1696" s="25" t="str">
        <f>IFERROR(INDEX('Hun Demand'!R:R,MATCH(O1696,'Hun Demand'!A:A,0)),"")</f>
        <v/>
      </c>
      <c r="G1696" s="25">
        <f>IFERROR(INDEX('Aub Demand'!W:W,MATCH(O1696,'Aub Demand'!A:A,0)),"")</f>
        <v>0</v>
      </c>
      <c r="H1696" s="25">
        <f>IFERROR(INDEX('Aub Demand'!V:V,MATCH(O1696,'Aub Demand'!A:A,0)),"")</f>
        <v>0</v>
      </c>
      <c r="I1696" s="25">
        <f>IFERROR(INDEX('Aub Demand'!U:U,MATCH(O1696,'Aub Demand'!A:A,0)),"")</f>
        <v>0</v>
      </c>
      <c r="J1696" s="25">
        <f>IFERROR(INDEX('Aub Demand'!T:T,MATCH(O1696,'Aub Demand'!A:A,0)),"")</f>
        <v>0</v>
      </c>
      <c r="K1696" s="25">
        <f>IFERROR(INDEX('Aub Demand'!S:S,MATCH(O1696,'Aub Demand'!A:A,0)),"")</f>
        <v>14</v>
      </c>
      <c r="L1696" s="25">
        <f>IFERROR(INDEX('Aub Demand'!R:R,MATCH(O1696,'Aub Demand'!A:A,0)),"")</f>
        <v>0</v>
      </c>
      <c r="O1696" s="27" t="s">
        <v>3248</v>
      </c>
      <c r="P1696" s="27" t="str">
        <f>IFERROR(INDEX('Aub Demand'!B:B,MATCH($O1696,'Aub Demand'!$A:$A,0)),"")</f>
        <v>RED DRAGON BAMBOO 62</v>
      </c>
      <c r="Q1696" s="27" t="str">
        <f>IFERROR(INDEX('Aub Demand'!C:C,MATCH($O1696,'Aub Demand'!$A:$A,0)),"")</f>
        <v>INTER</v>
      </c>
      <c r="R1696" s="52">
        <f>IFERROR(IF(AR1697=AR1696,INDEX('Aub Demand'!K:K,MATCH($O1696,'Aub Demand'!$A:$A,0))-IF(AN1696="",0,AN1696)+AP1697,INDEX('Aub Demand'!K:K,MATCH($O1696,'Aub Demand'!$A:$A,0))-IF(AN1696="",0,AN1696)),"")</f>
        <v>204</v>
      </c>
      <c r="S1696" s="53">
        <f t="shared" si="728"/>
        <v>174.9</v>
      </c>
      <c r="T1696" s="52" t="str">
        <f t="shared" si="729"/>
        <v/>
      </c>
      <c r="U1696" s="52">
        <f>IFERROR(IF(AR1697=AR1696,INDEX('Aub Demand'!Q:Q,MATCH($O1696,'Aub Demand'!$A:$A,0))-IF(AN1696="",0,AN1696)+AP1697,INDEX('Aub Demand'!Q:Q,MATCH($O1696,'Aub Demand'!$A:$A,0))-IF(AN1696="",0,AN1696)),"")</f>
        <v>203</v>
      </c>
      <c r="V1696" s="53">
        <f t="shared" si="730"/>
        <v>174</v>
      </c>
      <c r="W1696" s="52" t="str">
        <f t="shared" si="731"/>
        <v/>
      </c>
      <c r="X1696" s="52">
        <f>IFERROR(IF(AND(AR1697=AR1696,AM1696&lt;&gt;""),INDEX('Aub Demand'!Q:Q,MATCH($O1696,'Aub Demand'!$A:$A,0))-IF(AN1696="",0,AN1696)+AP1697+AD1696+AL1696,IF(AR1697=AR1696,INDEX('Aub Demand'!Q:Q,MATCH($O1696,'Aub Demand'!$A:$A,0))-IF(AN1696="",0,AN1696)+AP1697+AD1696,IF(AM1696&lt;&gt;"",INDEX('Aub Demand'!Q:Q,MATCH($O1696,'Aub Demand'!$A:$A,0))-IF(AN1696="",0,AN1696)+AD1696+AL1696,INDEX('Aub Demand'!Q:Q,MATCH($O1696,'Aub Demand'!$A:$A,0))-IF(AN1696="",0,AN1696)+AD1696))),"")</f>
        <v>203</v>
      </c>
      <c r="Y1696" s="53">
        <f t="shared" si="732"/>
        <v>174</v>
      </c>
      <c r="Z1696" s="52">
        <f>IF(L1696="","",INDEX('Aub Demand'!H:H,MATCH($O1696,'Aub Demand'!$A:$A,0)))</f>
        <v>5</v>
      </c>
      <c r="AA1696" s="52" t="str">
        <f t="shared" si="733"/>
        <v>-spike-</v>
      </c>
      <c r="AB1696" s="52">
        <f>IFERROR(INDEX('Aub Demand'!L:L,MATCH($O1696,'Aub Demand'!$A:$A,0)),"")</f>
        <v>1</v>
      </c>
      <c r="AC1696" s="52">
        <f>IFERROR(IF(O1696="","",SUMIFS('CPL Mats'!F:F,'CPL Mats'!Q:Q,AR1696,'CPL Mats'!S:S,AS1696)),"")</f>
        <v>0</v>
      </c>
      <c r="AF1696" s="25" t="str">
        <f>IF(SUMIFS('Supp Consol'!S:S,'Supp Consol'!Y:Y,"Releasable",'Supp Consol'!A:A,O1696)=0,"",SUMIFS('Supp Consol'!S:S,'Supp Consol'!Y:Y,"Releasable",'Supp Consol'!A:A,O1696))</f>
        <v/>
      </c>
      <c r="AG1696" s="25" t="str">
        <f>IFERROR(INDEX('Hun Demand'!Q:Q,MATCH(O1696,'Hun Demand'!A:A,0)),"")</f>
        <v/>
      </c>
      <c r="AH1696" s="25" t="str">
        <f>IFERROR(INDEX('Hun Demand'!H:H,MATCH($O1696,'Hun Demand'!$A:$A,0)),"")</f>
        <v/>
      </c>
      <c r="AI1696" s="25" t="str">
        <f>IF(SUMIFS('Supp Consol'!AA:AA,'Supp Consol'!Z:Z,"Expires this month",'Supp Consol'!A:A,O1696)=0,"",SUMIFS('Supp Consol'!AA:AA,'Supp Consol'!Z:Z,"Expires this month",'Supp Consol'!A:A,O1696))</f>
        <v/>
      </c>
      <c r="AJ1696" s="25" t="str">
        <f>IF(SUMIFS('Supp Consol'!AA:AA,'Supp Consol'!Z:Z,"Expired Previous Months",'Supp Consol'!A:A,O1696)=0,"",SUMIFS('Supp Consol'!AA:AA,'Supp Consol'!Z:Z,"Expired Previous Months",'Supp Consol'!A:A,O1696))</f>
        <v/>
      </c>
      <c r="AK1696" s="25" t="str">
        <f>IFERROR(INDEX('Hun Release Current'!B:B,MATCH(O1696,'Hun Release Current'!A:A,0)),"")</f>
        <v/>
      </c>
      <c r="AL1696" s="25" t="str">
        <f>IF(SUMIF('Prev Aub'!A:A,O1696,'Prev Aub'!B:B)=0,"",SUMIF('Prev Aub'!A:A,O1696,'Prev Aub'!B:B))</f>
        <v/>
      </c>
      <c r="AN1696" s="25" t="s">
        <v>3790</v>
      </c>
      <c r="AO1696" s="25" t="s">
        <v>3790</v>
      </c>
      <c r="AP1696" s="25">
        <f t="shared" si="734"/>
        <v>0</v>
      </c>
      <c r="AQ1696" s="151" t="str">
        <f>IF(SUMIFS('Supp Consol'!S:S,'Supp Consol'!A:A,O1696,'Supp Consol'!I:I,"PENDING")=0,"",SUMIFS('Supp Consol'!S:S,'Supp Consol'!A:A,O1696,'Supp Consol'!I:I,"PENDING"))</f>
        <v/>
      </c>
      <c r="AR1696" s="27" t="str">
        <f t="shared" si="735"/>
        <v>WZ101</v>
      </c>
      <c r="AS1696" s="27" t="str">
        <f t="shared" si="736"/>
        <v>62</v>
      </c>
      <c r="AT1696" s="27" t="str">
        <f t="shared" si="737"/>
        <v/>
      </c>
      <c r="AU1696" s="27" t="str">
        <f t="shared" si="738"/>
        <v/>
      </c>
      <c r="AV1696" s="27" t="str">
        <f t="shared" si="739"/>
        <v/>
      </c>
      <c r="AW1696" s="27" t="str">
        <f t="shared" si="740"/>
        <v/>
      </c>
      <c r="AX1696" s="27" t="str">
        <f t="shared" si="741"/>
        <v/>
      </c>
      <c r="AY1696" s="27" t="str">
        <f t="shared" si="742"/>
        <v/>
      </c>
      <c r="AZ1696" s="27" t="str">
        <f t="shared" si="743"/>
        <v/>
      </c>
      <c r="BA1696" s="27" t="str">
        <f t="shared" si="744"/>
        <v/>
      </c>
      <c r="BB1696" s="27" t="str">
        <f t="shared" si="745"/>
        <v/>
      </c>
      <c r="BC1696" s="27" t="str">
        <f t="shared" si="746"/>
        <v/>
      </c>
      <c r="BD1696" s="27" t="str">
        <f t="shared" si="747"/>
        <v/>
      </c>
      <c r="BE1696" s="27" t="str">
        <f t="shared" si="748"/>
        <v/>
      </c>
      <c r="BF1696" s="27" t="str">
        <f t="shared" si="749"/>
        <v/>
      </c>
      <c r="BG1696" s="27" t="str">
        <f t="shared" si="750"/>
        <v/>
      </c>
      <c r="BH1696" s="27" t="str">
        <f t="shared" si="751"/>
        <v/>
      </c>
      <c r="BI1696" s="27" t="str">
        <f t="shared" si="752"/>
        <v/>
      </c>
      <c r="BJ1696" s="27" t="str">
        <f t="shared" si="753"/>
        <v/>
      </c>
      <c r="BK1696" s="27" t="str">
        <f t="shared" si="754"/>
        <v/>
      </c>
      <c r="BL1696" s="27" t="str">
        <f t="shared" si="755"/>
        <v/>
      </c>
      <c r="BM1696" s="21" t="s">
        <v>3790</v>
      </c>
    </row>
    <row r="1697" spans="1:65" ht="15">
      <c r="A1697" s="25" t="str">
        <f>IFERROR(INDEX('Hun Demand'!W:W,MATCH(O1697,'Hun Demand'!A:A,0)),"")</f>
        <v/>
      </c>
      <c r="B1697" s="25" t="str">
        <f>IFERROR(INDEX('Hun Demand'!V:V,MATCH(O1697,'Hun Demand'!A:A,0)),"")</f>
        <v/>
      </c>
      <c r="C1697" s="25" t="str">
        <f>IFERROR(INDEX('Hun Demand'!U:U,MATCH(O1697,'Hun Demand'!A:A,0)),"")</f>
        <v/>
      </c>
      <c r="D1697" s="25" t="str">
        <f>IFERROR(INDEX('Hun Demand'!T:T,MATCH(O1697,'Hun Demand'!A:A,0)),"")</f>
        <v/>
      </c>
      <c r="E1697" s="25" t="str">
        <f>IFERROR(INDEX('Hun Demand'!S:S,MATCH(O1697,'Hun Demand'!A:A,0)),"")</f>
        <v/>
      </c>
      <c r="F1697" s="25" t="str">
        <f>IFERROR(INDEX('Hun Demand'!R:R,MATCH(O1697,'Hun Demand'!A:A,0)),"")</f>
        <v/>
      </c>
      <c r="G1697" s="25">
        <f>IFERROR(INDEX('Aub Demand'!W:W,MATCH(O1697,'Aub Demand'!A:A,0)),"")</f>
        <v>0</v>
      </c>
      <c r="H1697" s="25">
        <f>IFERROR(INDEX('Aub Demand'!V:V,MATCH(O1697,'Aub Demand'!A:A,0)),"")</f>
        <v>0</v>
      </c>
      <c r="I1697" s="25">
        <f>IFERROR(INDEX('Aub Demand'!U:U,MATCH(O1697,'Aub Demand'!A:A,0)),"")</f>
        <v>0</v>
      </c>
      <c r="J1697" s="25">
        <f>IFERROR(INDEX('Aub Demand'!T:T,MATCH(O1697,'Aub Demand'!A:A,0)),"")</f>
        <v>0</v>
      </c>
      <c r="K1697" s="25">
        <f>IFERROR(INDEX('Aub Demand'!S:S,MATCH(O1697,'Aub Demand'!A:A,0)),"")</f>
        <v>0</v>
      </c>
      <c r="L1697" s="25">
        <f>IFERROR(INDEX('Aub Demand'!R:R,MATCH(O1697,'Aub Demand'!A:A,0)),"")</f>
        <v>0</v>
      </c>
      <c r="O1697" s="27" t="s">
        <v>2011</v>
      </c>
      <c r="P1697" s="27" t="str">
        <f>IFERROR(INDEX('Aub Demand'!B:B,MATCH($O1697,'Aub Demand'!$A:$A,0)),"")</f>
        <v>PEANUT BRITTLE</v>
      </c>
      <c r="Q1697" s="27" t="str">
        <f>IFERROR(INDEX('Aub Demand'!C:C,MATCH($O1697,'Aub Demand'!$A:$A,0)),"")</f>
        <v>IMPRE</v>
      </c>
      <c r="R1697" s="52">
        <f>IFERROR(IF(AR1698=AR1697,INDEX('Aub Demand'!K:K,MATCH($O1697,'Aub Demand'!$A:$A,0))-IF(AN1697="",0,AN1697)+AP1698,INDEX('Aub Demand'!K:K,MATCH($O1697,'Aub Demand'!$A:$A,0))-IF(AN1697="",0,AN1697)),"")</f>
        <v>883</v>
      </c>
      <c r="S1697" s="53" t="str">
        <f t="shared" si="728"/>
        <v>n/a</v>
      </c>
      <c r="T1697" s="52" t="str">
        <f t="shared" si="729"/>
        <v/>
      </c>
      <c r="U1697" s="52">
        <f>IFERROR(IF(AR1698=AR1697,INDEX('Aub Demand'!Q:Q,MATCH($O1697,'Aub Demand'!$A:$A,0))-IF(AN1697="",0,AN1697)+AP1698,INDEX('Aub Demand'!Q:Q,MATCH($O1697,'Aub Demand'!$A:$A,0))-IF(AN1697="",0,AN1697)),"")</f>
        <v>875</v>
      </c>
      <c r="V1697" s="53" t="str">
        <f t="shared" si="730"/>
        <v>n/a</v>
      </c>
      <c r="W1697" s="52" t="str">
        <f t="shared" si="731"/>
        <v/>
      </c>
      <c r="X1697" s="52">
        <f>IFERROR(IF(AND(AR1698=AR1697,AM1697&lt;&gt;""),INDEX('Aub Demand'!Q:Q,MATCH($O1697,'Aub Demand'!$A:$A,0))-IF(AN1697="",0,AN1697)+AP1698+AD1697+AL1697,IF(AR1698=AR1697,INDEX('Aub Demand'!Q:Q,MATCH($O1697,'Aub Demand'!$A:$A,0))-IF(AN1697="",0,AN1697)+AP1698+AD1697,IF(AM1697&lt;&gt;"",INDEX('Aub Demand'!Q:Q,MATCH($O1697,'Aub Demand'!$A:$A,0))-IF(AN1697="",0,AN1697)+AD1697+AL1697,INDEX('Aub Demand'!Q:Q,MATCH($O1697,'Aub Demand'!$A:$A,0))-IF(AN1697="",0,AN1697)+AD1697))),"")</f>
        <v>875</v>
      </c>
      <c r="Y1697" s="53" t="str">
        <f t="shared" si="732"/>
        <v>n/a</v>
      </c>
      <c r="Z1697" s="52">
        <f>IF(L1697="","",INDEX('Aub Demand'!H:H,MATCH($O1697,'Aub Demand'!$A:$A,0)))</f>
        <v>0</v>
      </c>
      <c r="AA1697" s="52" t="str">
        <f t="shared" si="733"/>
        <v>-spike-</v>
      </c>
      <c r="AB1697" s="52">
        <f>IFERROR(INDEX('Aub Demand'!L:L,MATCH($O1697,'Aub Demand'!$A:$A,0)),"")</f>
        <v>6</v>
      </c>
      <c r="AC1697" s="52">
        <f>IFERROR(IF(O1697="","",SUMIFS('CPL Mats'!F:F,'CPL Mats'!Q:Q,AR1697,'CPL Mats'!S:S,AS1697)),"")</f>
        <v>0</v>
      </c>
      <c r="AF1697" s="25" t="str">
        <f>IF(SUMIFS('Supp Consol'!S:S,'Supp Consol'!Y:Y,"Releasable",'Supp Consol'!A:A,O1697)=0,"",SUMIFS('Supp Consol'!S:S,'Supp Consol'!Y:Y,"Releasable",'Supp Consol'!A:A,O1697))</f>
        <v/>
      </c>
      <c r="AG1697" s="25" t="str">
        <f>IFERROR(INDEX('Hun Demand'!Q:Q,MATCH(O1697,'Hun Demand'!A:A,0)),"")</f>
        <v/>
      </c>
      <c r="AH1697" s="25" t="str">
        <f>IFERROR(INDEX('Hun Demand'!H:H,MATCH($O1697,'Hun Demand'!$A:$A,0)),"")</f>
        <v/>
      </c>
      <c r="AI1697" s="25" t="str">
        <f>IF(SUMIFS('Supp Consol'!AA:AA,'Supp Consol'!Z:Z,"Expires this month",'Supp Consol'!A:A,O1697)=0,"",SUMIFS('Supp Consol'!AA:AA,'Supp Consol'!Z:Z,"Expires this month",'Supp Consol'!A:A,O1697))</f>
        <v/>
      </c>
      <c r="AJ1697" s="25" t="str">
        <f>IF(SUMIFS('Supp Consol'!AA:AA,'Supp Consol'!Z:Z,"Expired Previous Months",'Supp Consol'!A:A,O1697)=0,"",SUMIFS('Supp Consol'!AA:AA,'Supp Consol'!Z:Z,"Expired Previous Months",'Supp Consol'!A:A,O1697))</f>
        <v/>
      </c>
      <c r="AK1697" s="25" t="str">
        <f>IFERROR(INDEX('Hun Release Current'!B:B,MATCH(O1697,'Hun Release Current'!A:A,0)),"")</f>
        <v/>
      </c>
      <c r="AL1697" s="25" t="str">
        <f>IF(SUMIF('Prev Aub'!A:A,O1697,'Prev Aub'!B:B)=0,"",SUMIF('Prev Aub'!A:A,O1697,'Prev Aub'!B:B))</f>
        <v/>
      </c>
      <c r="AN1697" s="25" t="s">
        <v>3790</v>
      </c>
      <c r="AO1697" s="25" t="s">
        <v>3790</v>
      </c>
      <c r="AP1697" s="25">
        <f t="shared" si="734"/>
        <v>0</v>
      </c>
      <c r="AQ1697" s="151" t="str">
        <f>IF(SUMIFS('Supp Consol'!S:S,'Supp Consol'!A:A,O1697,'Supp Consol'!I:I,"PENDING")=0,"",SUMIFS('Supp Consol'!S:S,'Supp Consol'!A:A,O1697,'Supp Consol'!I:I,"PENDING"))</f>
        <v/>
      </c>
      <c r="AR1697" s="27" t="str">
        <f t="shared" si="735"/>
        <v>WZ150</v>
      </c>
      <c r="AS1697" s="27" t="str">
        <f t="shared" si="736"/>
        <v>50</v>
      </c>
      <c r="AT1697" s="27" t="str">
        <f t="shared" si="737"/>
        <v/>
      </c>
      <c r="AU1697" s="27" t="str">
        <f t="shared" si="738"/>
        <v/>
      </c>
      <c r="AV1697" s="27" t="str">
        <f t="shared" si="739"/>
        <v/>
      </c>
      <c r="AW1697" s="27" t="str">
        <f t="shared" si="740"/>
        <v/>
      </c>
      <c r="AX1697" s="27" t="str">
        <f t="shared" si="741"/>
        <v/>
      </c>
      <c r="AY1697" s="27" t="str">
        <f t="shared" si="742"/>
        <v/>
      </c>
      <c r="AZ1697" s="27" t="str">
        <f t="shared" si="743"/>
        <v/>
      </c>
      <c r="BA1697" s="27" t="str">
        <f t="shared" si="744"/>
        <v>Hun</v>
      </c>
      <c r="BB1697" s="27" t="str">
        <f t="shared" si="745"/>
        <v/>
      </c>
      <c r="BC1697" s="27" t="str">
        <f t="shared" si="746"/>
        <v/>
      </c>
      <c r="BD1697" s="27" t="str">
        <f t="shared" si="747"/>
        <v/>
      </c>
      <c r="BE1697" s="27" t="str">
        <f t="shared" si="748"/>
        <v/>
      </c>
      <c r="BF1697" s="27" t="str">
        <f t="shared" si="749"/>
        <v/>
      </c>
      <c r="BG1697" s="27" t="str">
        <f t="shared" si="750"/>
        <v/>
      </c>
      <c r="BH1697" s="27" t="str">
        <f t="shared" si="751"/>
        <v/>
      </c>
      <c r="BI1697" s="27" t="str">
        <f t="shared" si="752"/>
        <v/>
      </c>
      <c r="BJ1697" s="27" t="str">
        <f t="shared" si="753"/>
        <v>Supp or Hun</v>
      </c>
      <c r="BK1697" s="27" t="str">
        <f t="shared" si="754"/>
        <v/>
      </c>
      <c r="BL1697" s="27" t="str">
        <f t="shared" si="755"/>
        <v/>
      </c>
      <c r="BM1697" s="21" t="s">
        <v>5581</v>
      </c>
    </row>
    <row r="1698" spans="1:65" ht="15">
      <c r="A1698" s="25">
        <f>IFERROR(INDEX('Hun Demand'!W:W,MATCH(O1698,'Hun Demand'!A:A,0)),"")</f>
        <v>0</v>
      </c>
      <c r="B1698" s="25">
        <f>IFERROR(INDEX('Hun Demand'!V:V,MATCH(O1698,'Hun Demand'!A:A,0)),"")</f>
        <v>0</v>
      </c>
      <c r="C1698" s="25">
        <f>IFERROR(INDEX('Hun Demand'!U:U,MATCH(O1698,'Hun Demand'!A:A,0)),"")</f>
        <v>0</v>
      </c>
      <c r="D1698" s="25">
        <f>IFERROR(INDEX('Hun Demand'!T:T,MATCH(O1698,'Hun Demand'!A:A,0)),"")</f>
        <v>0</v>
      </c>
      <c r="E1698" s="25">
        <f>IFERROR(INDEX('Hun Demand'!S:S,MATCH(O1698,'Hun Demand'!A:A,0)),"")</f>
        <v>0</v>
      </c>
      <c r="F1698" s="25">
        <f>IFERROR(INDEX('Hun Demand'!R:R,MATCH(O1698,'Hun Demand'!A:A,0)),"")</f>
        <v>0</v>
      </c>
      <c r="G1698" s="25">
        <f>IFERROR(INDEX('Aub Demand'!W:W,MATCH(O1698,'Aub Demand'!A:A,0)),"")</f>
        <v>0</v>
      </c>
      <c r="H1698" s="25">
        <f>IFERROR(INDEX('Aub Demand'!V:V,MATCH(O1698,'Aub Demand'!A:A,0)),"")</f>
        <v>0</v>
      </c>
      <c r="I1698" s="25">
        <f>IFERROR(INDEX('Aub Demand'!U:U,MATCH(O1698,'Aub Demand'!A:A,0)),"")</f>
        <v>0</v>
      </c>
      <c r="J1698" s="25">
        <f>IFERROR(INDEX('Aub Demand'!T:T,MATCH(O1698,'Aub Demand'!A:A,0)),"")</f>
        <v>0</v>
      </c>
      <c r="K1698" s="25">
        <f>IFERROR(INDEX('Aub Demand'!S:S,MATCH(O1698,'Aub Demand'!A:A,0)),"")</f>
        <v>0</v>
      </c>
      <c r="L1698" s="25">
        <f>IFERROR(INDEX('Aub Demand'!R:R,MATCH(O1698,'Aub Demand'!A:A,0)),"")</f>
        <v>0</v>
      </c>
      <c r="O1698" s="27" t="s">
        <v>2013</v>
      </c>
      <c r="P1698" s="27" t="str">
        <f>IFERROR(INDEX('Aub Demand'!B:B,MATCH($O1698,'Aub Demand'!$A:$A,0)),"")</f>
        <v>PEANUT BRITTLE</v>
      </c>
      <c r="Q1698" s="27" t="str">
        <f>IFERROR(INDEX('Aub Demand'!C:C,MATCH($O1698,'Aub Demand'!$A:$A,0)),"")</f>
        <v>IMPRE</v>
      </c>
      <c r="R1698" s="52">
        <f>IFERROR(IF(AR1699=AR1698,INDEX('Aub Demand'!K:K,MATCH($O1698,'Aub Demand'!$A:$A,0))-IF(AN1698="",0,AN1698)+AP1699,INDEX('Aub Demand'!K:K,MATCH($O1698,'Aub Demand'!$A:$A,0))-IF(AN1698="",0,AN1698)),"")</f>
        <v>2677</v>
      </c>
      <c r="S1698" s="53" t="str">
        <f t="shared" si="728"/>
        <v>n/a</v>
      </c>
      <c r="T1698" s="52" t="str">
        <f t="shared" si="729"/>
        <v/>
      </c>
      <c r="U1698" s="52">
        <f>IFERROR(IF(AR1699=AR1698,INDEX('Aub Demand'!Q:Q,MATCH($O1698,'Aub Demand'!$A:$A,0))-IF(AN1698="",0,AN1698)+AP1699,INDEX('Aub Demand'!Q:Q,MATCH($O1698,'Aub Demand'!$A:$A,0))-IF(AN1698="",0,AN1698)),"")</f>
        <v>2677</v>
      </c>
      <c r="V1698" s="53" t="str">
        <f t="shared" si="730"/>
        <v>n/a</v>
      </c>
      <c r="W1698" s="52" t="str">
        <f t="shared" si="731"/>
        <v/>
      </c>
      <c r="X1698" s="52">
        <f>IFERROR(IF(AND(AR1699=AR1698,AM1698&lt;&gt;""),INDEX('Aub Demand'!Q:Q,MATCH($O1698,'Aub Demand'!$A:$A,0))-IF(AN1698="",0,AN1698)+AP1699+AD1698+AL1698,IF(AR1699=AR1698,INDEX('Aub Demand'!Q:Q,MATCH($O1698,'Aub Demand'!$A:$A,0))-IF(AN1698="",0,AN1698)+AP1699+AD1698,IF(AM1698&lt;&gt;"",INDEX('Aub Demand'!Q:Q,MATCH($O1698,'Aub Demand'!$A:$A,0))-IF(AN1698="",0,AN1698)+AD1698+AL1698,INDEX('Aub Demand'!Q:Q,MATCH($O1698,'Aub Demand'!$A:$A,0))-IF(AN1698="",0,AN1698)+AD1698))),"")</f>
        <v>2677</v>
      </c>
      <c r="Y1698" s="53" t="str">
        <f t="shared" si="732"/>
        <v>n/a</v>
      </c>
      <c r="Z1698" s="52">
        <f>IF(L1698="","",INDEX('Aub Demand'!H:H,MATCH($O1698,'Aub Demand'!$A:$A,0)))</f>
        <v>0</v>
      </c>
      <c r="AA1698" s="52" t="str">
        <f t="shared" si="733"/>
        <v>-spike-</v>
      </c>
      <c r="AB1698" s="52">
        <f>IFERROR(INDEX('Aub Demand'!L:L,MATCH($O1698,'Aub Demand'!$A:$A,0)),"")</f>
        <v>0</v>
      </c>
      <c r="AC1698" s="52">
        <f>IFERROR(IF(O1698="","",SUMIFS('CPL Mats'!F:F,'CPL Mats'!Q:Q,AR1698,'CPL Mats'!S:S,AS1698)),"")</f>
        <v>0</v>
      </c>
      <c r="AF1698" s="25" t="str">
        <f>IF(SUMIFS('Supp Consol'!S:S,'Supp Consol'!Y:Y,"Releasable",'Supp Consol'!A:A,O1698)=0,"",SUMIFS('Supp Consol'!S:S,'Supp Consol'!Y:Y,"Releasable",'Supp Consol'!A:A,O1698))</f>
        <v/>
      </c>
      <c r="AG1698" s="25">
        <f>IFERROR(INDEX('Hun Demand'!Q:Q,MATCH(O1698,'Hun Demand'!A:A,0)),"")</f>
        <v>154</v>
      </c>
      <c r="AH1698" s="25">
        <f>IFERROR(INDEX('Hun Demand'!H:H,MATCH($O1698,'Hun Demand'!$A:$A,0)),"")</f>
        <v>0</v>
      </c>
      <c r="AI1698" s="25" t="str">
        <f>IF(SUMIFS('Supp Consol'!AA:AA,'Supp Consol'!Z:Z,"Expires this month",'Supp Consol'!A:A,O1698)=0,"",SUMIFS('Supp Consol'!AA:AA,'Supp Consol'!Z:Z,"Expires this month",'Supp Consol'!A:A,O1698))</f>
        <v/>
      </c>
      <c r="AJ1698" s="25" t="str">
        <f>IF(SUMIFS('Supp Consol'!AA:AA,'Supp Consol'!Z:Z,"Expired Previous Months",'Supp Consol'!A:A,O1698)=0,"",SUMIFS('Supp Consol'!AA:AA,'Supp Consol'!Z:Z,"Expired Previous Months",'Supp Consol'!A:A,O1698))</f>
        <v/>
      </c>
      <c r="AK1698" s="25" t="str">
        <f>IFERROR(INDEX('Hun Release Current'!B:B,MATCH(O1698,'Hun Release Current'!A:A,0)),"")</f>
        <v/>
      </c>
      <c r="AL1698" s="25" t="str">
        <f>IF(SUMIF('Prev Aub'!A:A,O1698,'Prev Aub'!B:B)=0,"",SUMIF('Prev Aub'!A:A,O1698,'Prev Aub'!B:B))</f>
        <v/>
      </c>
      <c r="AN1698" s="25" t="s">
        <v>3790</v>
      </c>
      <c r="AO1698" s="25" t="s">
        <v>3790</v>
      </c>
      <c r="AP1698" s="25">
        <f t="shared" si="734"/>
        <v>0</v>
      </c>
      <c r="AQ1698" s="151" t="str">
        <f>IF(SUMIFS('Supp Consol'!S:S,'Supp Consol'!A:A,O1698,'Supp Consol'!I:I,"PENDING")=0,"",SUMIFS('Supp Consol'!S:S,'Supp Consol'!A:A,O1698,'Supp Consol'!I:I,"PENDING"))</f>
        <v/>
      </c>
      <c r="AR1698" s="27" t="str">
        <f t="shared" si="735"/>
        <v>WZ150</v>
      </c>
      <c r="AS1698" s="27" t="str">
        <f t="shared" si="736"/>
        <v>62</v>
      </c>
      <c r="AT1698" s="27" t="str">
        <f t="shared" si="737"/>
        <v/>
      </c>
      <c r="AU1698" s="27" t="str">
        <f t="shared" si="738"/>
        <v/>
      </c>
      <c r="AV1698" s="27" t="str">
        <f t="shared" si="739"/>
        <v/>
      </c>
      <c r="AW1698" s="27" t="str">
        <f t="shared" si="740"/>
        <v/>
      </c>
      <c r="AX1698" s="27" t="str">
        <f t="shared" si="741"/>
        <v/>
      </c>
      <c r="AY1698" s="27" t="str">
        <f t="shared" si="742"/>
        <v>WZ150</v>
      </c>
      <c r="AZ1698" s="27" t="str">
        <f t="shared" si="743"/>
        <v/>
      </c>
      <c r="BA1698" s="27" t="str">
        <f t="shared" si="744"/>
        <v>Hun</v>
      </c>
      <c r="BB1698" s="27" t="str">
        <f t="shared" si="745"/>
        <v/>
      </c>
      <c r="BC1698" s="27" t="str">
        <f t="shared" si="746"/>
        <v/>
      </c>
      <c r="BD1698" s="27" t="str">
        <f t="shared" si="747"/>
        <v/>
      </c>
      <c r="BE1698" s="27" t="str">
        <f t="shared" si="748"/>
        <v/>
      </c>
      <c r="BF1698" s="27" t="str">
        <f t="shared" si="749"/>
        <v/>
      </c>
      <c r="BG1698" s="27" t="str">
        <f t="shared" si="750"/>
        <v/>
      </c>
      <c r="BH1698" s="27" t="str">
        <f t="shared" si="751"/>
        <v/>
      </c>
      <c r="BI1698" s="27" t="str">
        <f t="shared" si="752"/>
        <v/>
      </c>
      <c r="BJ1698" s="27" t="str">
        <f t="shared" si="753"/>
        <v>Supp or Hun</v>
      </c>
      <c r="BK1698" s="27" t="str">
        <f t="shared" si="754"/>
        <v/>
      </c>
      <c r="BL1698" s="27" t="str">
        <f t="shared" si="755"/>
        <v/>
      </c>
      <c r="BM1698" s="21" t="s">
        <v>5581</v>
      </c>
    </row>
    <row r="1699" spans="1:65" ht="15">
      <c r="A1699" s="25" t="str">
        <f>IFERROR(INDEX('Hun Demand'!W:W,MATCH(O1699,'Hun Demand'!A:A,0)),"")</f>
        <v/>
      </c>
      <c r="B1699" s="25" t="str">
        <f>IFERROR(INDEX('Hun Demand'!V:V,MATCH(O1699,'Hun Demand'!A:A,0)),"")</f>
        <v/>
      </c>
      <c r="C1699" s="25" t="str">
        <f>IFERROR(INDEX('Hun Demand'!U:U,MATCH(O1699,'Hun Demand'!A:A,0)),"")</f>
        <v/>
      </c>
      <c r="D1699" s="25" t="str">
        <f>IFERROR(INDEX('Hun Demand'!T:T,MATCH(O1699,'Hun Demand'!A:A,0)),"")</f>
        <v/>
      </c>
      <c r="E1699" s="25" t="str">
        <f>IFERROR(INDEX('Hun Demand'!S:S,MATCH(O1699,'Hun Demand'!A:A,0)),"")</f>
        <v/>
      </c>
      <c r="F1699" s="25" t="str">
        <f>IFERROR(INDEX('Hun Demand'!R:R,MATCH(O1699,'Hun Demand'!A:A,0)),"")</f>
        <v/>
      </c>
      <c r="G1699" s="25">
        <f>IFERROR(INDEX('Aub Demand'!W:W,MATCH(O1699,'Aub Demand'!A:A,0)),"")</f>
        <v>9</v>
      </c>
      <c r="H1699" s="25">
        <f>IFERROR(INDEX('Aub Demand'!V:V,MATCH(O1699,'Aub Demand'!A:A,0)),"")</f>
        <v>1</v>
      </c>
      <c r="I1699" s="25">
        <f>IFERROR(INDEX('Aub Demand'!U:U,MATCH(O1699,'Aub Demand'!A:A,0)),"")</f>
        <v>0</v>
      </c>
      <c r="J1699" s="25">
        <f>IFERROR(INDEX('Aub Demand'!T:T,MATCH(O1699,'Aub Demand'!A:A,0)),"")</f>
        <v>13</v>
      </c>
      <c r="K1699" s="25">
        <f>IFERROR(INDEX('Aub Demand'!S:S,MATCH(O1699,'Aub Demand'!A:A,0)),"")</f>
        <v>0</v>
      </c>
      <c r="L1699" s="25">
        <f>IFERROR(INDEX('Aub Demand'!R:R,MATCH(O1699,'Aub Demand'!A:A,0)),"")</f>
        <v>0</v>
      </c>
      <c r="O1699" s="27" t="s">
        <v>2014</v>
      </c>
      <c r="P1699" s="27" t="str">
        <f>IFERROR(INDEX('Aub Demand'!B:B,MATCH($O1699,'Aub Demand'!$A:$A,0)),"")</f>
        <v>EARL GREY SORBET</v>
      </c>
      <c r="Q1699" s="27" t="str">
        <f>IFERROR(INDEX('Aub Demand'!C:C,MATCH($O1699,'Aub Demand'!$A:$A,0)),"")</f>
        <v>IMPRE</v>
      </c>
      <c r="R1699" s="52">
        <f>IFERROR(IF(AR1700=AR1699,INDEX('Aub Demand'!K:K,MATCH($O1699,'Aub Demand'!$A:$A,0))-IF(AN1699="",0,AN1699)+AP1700,INDEX('Aub Demand'!K:K,MATCH($O1699,'Aub Demand'!$A:$A,0))-IF(AN1699="",0,AN1699)),"")</f>
        <v>3725</v>
      </c>
      <c r="S1699" s="53">
        <f t="shared" si="728"/>
        <v>3991.1</v>
      </c>
      <c r="T1699" s="52" t="str">
        <f t="shared" si="729"/>
        <v/>
      </c>
      <c r="U1699" s="52">
        <f>IFERROR(IF(AR1700=AR1699,INDEX('Aub Demand'!Q:Q,MATCH($O1699,'Aub Demand'!$A:$A,0))-IF(AN1699="",0,AN1699)+AP1700,INDEX('Aub Demand'!Q:Q,MATCH($O1699,'Aub Demand'!$A:$A,0))-IF(AN1699="",0,AN1699)),"")</f>
        <v>3719</v>
      </c>
      <c r="V1699" s="53">
        <f t="shared" si="730"/>
        <v>3984.6</v>
      </c>
      <c r="W1699" s="52" t="str">
        <f t="shared" si="731"/>
        <v/>
      </c>
      <c r="X1699" s="52">
        <f>IFERROR(IF(AND(AR1700=AR1699,AM1699&lt;&gt;""),INDEX('Aub Demand'!Q:Q,MATCH($O1699,'Aub Demand'!$A:$A,0))-IF(AN1699="",0,AN1699)+AP1700+AD1699+AL1699,IF(AR1700=AR1699,INDEX('Aub Demand'!Q:Q,MATCH($O1699,'Aub Demand'!$A:$A,0))-IF(AN1699="",0,AN1699)+AP1700+AD1699,IF(AM1699&lt;&gt;"",INDEX('Aub Demand'!Q:Q,MATCH($O1699,'Aub Demand'!$A:$A,0))-IF(AN1699="",0,AN1699)+AD1699+AL1699,INDEX('Aub Demand'!Q:Q,MATCH($O1699,'Aub Demand'!$A:$A,0))-IF(AN1699="",0,AN1699)+AD1699))),"")</f>
        <v>3719</v>
      </c>
      <c r="Y1699" s="53">
        <f t="shared" si="732"/>
        <v>3984.6</v>
      </c>
      <c r="Z1699" s="52">
        <f>IF(L1699="","",INDEX('Aub Demand'!H:H,MATCH($O1699,'Aub Demand'!$A:$A,0)))</f>
        <v>4</v>
      </c>
      <c r="AA1699" s="52" t="str">
        <f t="shared" si="733"/>
        <v>-spike-</v>
      </c>
      <c r="AB1699" s="52">
        <f>IFERROR(INDEX('Aub Demand'!L:L,MATCH($O1699,'Aub Demand'!$A:$A,0)),"")</f>
        <v>13</v>
      </c>
      <c r="AC1699" s="52">
        <f>IFERROR(IF(O1699="","",SUMIFS('CPL Mats'!F:F,'CPL Mats'!Q:Q,AR1699,'CPL Mats'!S:S,AS1699)),"")</f>
        <v>0</v>
      </c>
      <c r="AF1699" s="25" t="str">
        <f>IF(SUMIFS('Supp Consol'!S:S,'Supp Consol'!Y:Y,"Releasable",'Supp Consol'!A:A,O1699)=0,"",SUMIFS('Supp Consol'!S:S,'Supp Consol'!Y:Y,"Releasable",'Supp Consol'!A:A,O1699))</f>
        <v/>
      </c>
      <c r="AG1699" s="25" t="str">
        <f>IFERROR(INDEX('Hun Demand'!Q:Q,MATCH(O1699,'Hun Demand'!A:A,0)),"")</f>
        <v/>
      </c>
      <c r="AH1699" s="25" t="str">
        <f>IFERROR(INDEX('Hun Demand'!H:H,MATCH($O1699,'Hun Demand'!$A:$A,0)),"")</f>
        <v/>
      </c>
      <c r="AI1699" s="25" t="str">
        <f>IF(SUMIFS('Supp Consol'!AA:AA,'Supp Consol'!Z:Z,"Expires this month",'Supp Consol'!A:A,O1699)=0,"",SUMIFS('Supp Consol'!AA:AA,'Supp Consol'!Z:Z,"Expires this month",'Supp Consol'!A:A,O1699))</f>
        <v/>
      </c>
      <c r="AJ1699" s="25" t="str">
        <f>IF(SUMIFS('Supp Consol'!AA:AA,'Supp Consol'!Z:Z,"Expired Previous Months",'Supp Consol'!A:A,O1699)=0,"",SUMIFS('Supp Consol'!AA:AA,'Supp Consol'!Z:Z,"Expired Previous Months",'Supp Consol'!A:A,O1699))</f>
        <v/>
      </c>
      <c r="AK1699" s="25" t="str">
        <f>IFERROR(INDEX('Hun Release Current'!B:B,MATCH(O1699,'Hun Release Current'!A:A,0)),"")</f>
        <v/>
      </c>
      <c r="AL1699" s="25" t="str">
        <f>IF(SUMIF('Prev Aub'!A:A,O1699,'Prev Aub'!B:B)=0,"",SUMIF('Prev Aub'!A:A,O1699,'Prev Aub'!B:B))</f>
        <v/>
      </c>
      <c r="AN1699" s="25" t="s">
        <v>3790</v>
      </c>
      <c r="AO1699" s="25" t="s">
        <v>3790</v>
      </c>
      <c r="AP1699" s="25">
        <f t="shared" si="734"/>
        <v>0</v>
      </c>
      <c r="AQ1699" s="151" t="str">
        <f>IF(SUMIFS('Supp Consol'!S:S,'Supp Consol'!A:A,O1699,'Supp Consol'!I:I,"PENDING")=0,"",SUMIFS('Supp Consol'!S:S,'Supp Consol'!A:A,O1699,'Supp Consol'!I:I,"PENDING"))</f>
        <v/>
      </c>
      <c r="AR1699" s="27" t="str">
        <f t="shared" si="735"/>
        <v>WZ160</v>
      </c>
      <c r="AS1699" s="27" t="str">
        <f t="shared" si="736"/>
        <v>50</v>
      </c>
      <c r="AT1699" s="27" t="str">
        <f t="shared" si="737"/>
        <v/>
      </c>
      <c r="AU1699" s="27" t="str">
        <f t="shared" si="738"/>
        <v/>
      </c>
      <c r="AV1699" s="27" t="str">
        <f t="shared" si="739"/>
        <v/>
      </c>
      <c r="AW1699" s="27" t="str">
        <f t="shared" si="740"/>
        <v/>
      </c>
      <c r="AX1699" s="27" t="str">
        <f t="shared" si="741"/>
        <v/>
      </c>
      <c r="AY1699" s="27" t="str">
        <f t="shared" si="742"/>
        <v/>
      </c>
      <c r="AZ1699" s="27" t="str">
        <f t="shared" si="743"/>
        <v>Supp</v>
      </c>
      <c r="BA1699" s="27" t="str">
        <f t="shared" si="744"/>
        <v/>
      </c>
      <c r="BB1699" s="27" t="str">
        <f t="shared" si="745"/>
        <v/>
      </c>
      <c r="BC1699" s="27" t="str">
        <f t="shared" si="746"/>
        <v/>
      </c>
      <c r="BD1699" s="27" t="str">
        <f t="shared" si="747"/>
        <v/>
      </c>
      <c r="BE1699" s="27" t="str">
        <f t="shared" si="748"/>
        <v>Exp</v>
      </c>
      <c r="BF1699" s="27" t="str">
        <f t="shared" si="749"/>
        <v/>
      </c>
      <c r="BG1699" s="27" t="str">
        <f t="shared" si="750"/>
        <v>S+NorE</v>
      </c>
      <c r="BH1699" s="27" t="str">
        <f t="shared" si="751"/>
        <v/>
      </c>
      <c r="BI1699" s="27" t="str">
        <f t="shared" si="752"/>
        <v/>
      </c>
      <c r="BJ1699" s="27" t="str">
        <f t="shared" si="753"/>
        <v>Supp or Hun</v>
      </c>
      <c r="BK1699" s="27" t="str">
        <f t="shared" si="754"/>
        <v/>
      </c>
      <c r="BL1699" s="27" t="str">
        <f t="shared" si="755"/>
        <v>SorHandNandE</v>
      </c>
      <c r="BM1699" s="21" t="s">
        <v>5581</v>
      </c>
    </row>
    <row r="1700" spans="1:65" ht="15">
      <c r="A1700" s="25">
        <f>IFERROR(INDEX('Hun Demand'!W:W,MATCH(O1700,'Hun Demand'!A:A,0)),"")</f>
        <v>268</v>
      </c>
      <c r="B1700" s="25">
        <f>IFERROR(INDEX('Hun Demand'!V:V,MATCH(O1700,'Hun Demand'!A:A,0)),"")</f>
        <v>0</v>
      </c>
      <c r="C1700" s="25">
        <f>IFERROR(INDEX('Hun Demand'!U:U,MATCH(O1700,'Hun Demand'!A:A,0)),"")</f>
        <v>354</v>
      </c>
      <c r="D1700" s="25">
        <f>IFERROR(INDEX('Hun Demand'!T:T,MATCH(O1700,'Hun Demand'!A:A,0)),"")</f>
        <v>661</v>
      </c>
      <c r="E1700" s="25">
        <f>IFERROR(INDEX('Hun Demand'!S:S,MATCH(O1700,'Hun Demand'!A:A,0)),"")</f>
        <v>296</v>
      </c>
      <c r="F1700" s="25">
        <f>IFERROR(INDEX('Hun Demand'!R:R,MATCH(O1700,'Hun Demand'!A:A,0)),"")</f>
        <v>0</v>
      </c>
      <c r="G1700" s="25">
        <f>IFERROR(INDEX('Aub Demand'!W:W,MATCH(O1700,'Aub Demand'!A:A,0)),"")</f>
        <v>5</v>
      </c>
      <c r="H1700" s="25">
        <f>IFERROR(INDEX('Aub Demand'!V:V,MATCH(O1700,'Aub Demand'!A:A,0)),"")</f>
        <v>0</v>
      </c>
      <c r="I1700" s="25">
        <f>IFERROR(INDEX('Aub Demand'!U:U,MATCH(O1700,'Aub Demand'!A:A,0)),"")</f>
        <v>994</v>
      </c>
      <c r="J1700" s="25">
        <f>IFERROR(INDEX('Aub Demand'!T:T,MATCH(O1700,'Aub Demand'!A:A,0)),"")</f>
        <v>0</v>
      </c>
      <c r="K1700" s="25">
        <f>IFERROR(INDEX('Aub Demand'!S:S,MATCH(O1700,'Aub Demand'!A:A,0)),"")</f>
        <v>0</v>
      </c>
      <c r="L1700" s="25">
        <f>IFERROR(INDEX('Aub Demand'!R:R,MATCH(O1700,'Aub Demand'!A:A,0)),"")</f>
        <v>0</v>
      </c>
      <c r="O1700" s="27" t="s">
        <v>2016</v>
      </c>
      <c r="P1700" s="27" t="str">
        <f>IFERROR(INDEX('Aub Demand'!B:B,MATCH($O1700,'Aub Demand'!$A:$A,0)),"")</f>
        <v>EARL GREY SORBET</v>
      </c>
      <c r="Q1700" s="27" t="str">
        <f>IFERROR(INDEX('Aub Demand'!C:C,MATCH($O1700,'Aub Demand'!$A:$A,0)),"")</f>
        <v>IMPRE</v>
      </c>
      <c r="R1700" s="52">
        <f>IFERROR(IF(AR1701=AR1700,INDEX('Aub Demand'!K:K,MATCH($O1700,'Aub Demand'!$A:$A,0))-IF(AN1700="",0,AN1700)+AP1701,INDEX('Aub Demand'!K:K,MATCH($O1700,'Aub Demand'!$A:$A,0))-IF(AN1700="",0,AN1700)),"")</f>
        <v>1592</v>
      </c>
      <c r="S1700" s="53">
        <f t="shared" si="728"/>
        <v>20.6</v>
      </c>
      <c r="T1700" s="52" t="str">
        <f t="shared" si="729"/>
        <v/>
      </c>
      <c r="U1700" s="52">
        <f>IFERROR(IF(AR1701=AR1700,INDEX('Aub Demand'!Q:Q,MATCH($O1700,'Aub Demand'!$A:$A,0))-IF(AN1700="",0,AN1700)+AP1701,INDEX('Aub Demand'!Q:Q,MATCH($O1700,'Aub Demand'!$A:$A,0))-IF(AN1700="",0,AN1700)),"")</f>
        <v>1592</v>
      </c>
      <c r="V1700" s="53">
        <f t="shared" si="730"/>
        <v>20.6</v>
      </c>
      <c r="W1700" s="52" t="str">
        <f t="shared" si="731"/>
        <v/>
      </c>
      <c r="X1700" s="52">
        <f>IFERROR(IF(AND(AR1701=AR1700,AM1700&lt;&gt;""),INDEX('Aub Demand'!Q:Q,MATCH($O1700,'Aub Demand'!$A:$A,0))-IF(AN1700="",0,AN1700)+AP1701+AD1700+AL1700,IF(AR1701=AR1700,INDEX('Aub Demand'!Q:Q,MATCH($O1700,'Aub Demand'!$A:$A,0))-IF(AN1700="",0,AN1700)+AP1701+AD1700,IF(AM1700&lt;&gt;"",INDEX('Aub Demand'!Q:Q,MATCH($O1700,'Aub Demand'!$A:$A,0))-IF(AN1700="",0,AN1700)+AD1700+AL1700,INDEX('Aub Demand'!Q:Q,MATCH($O1700,'Aub Demand'!$A:$A,0))-IF(AN1700="",0,AN1700)+AD1700))),"")</f>
        <v>1592</v>
      </c>
      <c r="Y1700" s="53">
        <f t="shared" si="732"/>
        <v>20.6</v>
      </c>
      <c r="Z1700" s="52">
        <f>IF(L1700="","",INDEX('Aub Demand'!H:H,MATCH($O1700,'Aub Demand'!$A:$A,0)))</f>
        <v>331</v>
      </c>
      <c r="AA1700" s="52" t="str">
        <f t="shared" si="733"/>
        <v>-spike-</v>
      </c>
      <c r="AB1700" s="52">
        <f>IFERROR(INDEX('Aub Demand'!L:L,MATCH($O1700,'Aub Demand'!$A:$A,0)),"")</f>
        <v>9</v>
      </c>
      <c r="AC1700" s="52">
        <f>IFERROR(IF(O1700="","",SUMIFS('CPL Mats'!F:F,'CPL Mats'!Q:Q,AR1700,'CPL Mats'!S:S,AS1700)),"")</f>
        <v>0</v>
      </c>
      <c r="AF1700" s="25">
        <f>IF(SUMIFS('Supp Consol'!S:S,'Supp Consol'!Y:Y,"Releasable",'Supp Consol'!A:A,O1700)=0,"",SUMIFS('Supp Consol'!S:S,'Supp Consol'!Y:Y,"Releasable",'Supp Consol'!A:A,O1700))</f>
        <v>3713</v>
      </c>
      <c r="AG1700" s="25">
        <f>IFERROR(INDEX('Hun Demand'!Q:Q,MATCH(O1700,'Hun Demand'!A:A,0)),"")</f>
        <v>160</v>
      </c>
      <c r="AH1700" s="25">
        <f>IFERROR(INDEX('Hun Demand'!H:H,MATCH($O1700,'Hun Demand'!$A:$A,0)),"")</f>
        <v>437</v>
      </c>
      <c r="AI1700" s="25">
        <f>IF(SUMIFS('Supp Consol'!AA:AA,'Supp Consol'!Z:Z,"Expires this month",'Supp Consol'!A:A,O1700)=0,"",SUMIFS('Supp Consol'!AA:AA,'Supp Consol'!Z:Z,"Expires this month",'Supp Consol'!A:A,O1700))</f>
        <v>1440</v>
      </c>
      <c r="AJ1700" s="25" t="str">
        <f>IF(SUMIFS('Supp Consol'!AA:AA,'Supp Consol'!Z:Z,"Expired Previous Months",'Supp Consol'!A:A,O1700)=0,"",SUMIFS('Supp Consol'!AA:AA,'Supp Consol'!Z:Z,"Expired Previous Months",'Supp Consol'!A:A,O1700))</f>
        <v/>
      </c>
      <c r="AK1700" s="25" t="str">
        <f>IFERROR(INDEX('Hun Release Current'!B:B,MATCH(O1700,'Hun Release Current'!A:A,0)),"")</f>
        <v/>
      </c>
      <c r="AL1700" s="25" t="str">
        <f>IF(SUMIF('Prev Aub'!A:A,O1700,'Prev Aub'!B:B)=0,"",SUMIF('Prev Aub'!A:A,O1700,'Prev Aub'!B:B))</f>
        <v/>
      </c>
      <c r="AN1700" s="25" t="s">
        <v>3790</v>
      </c>
      <c r="AO1700" s="25" t="s">
        <v>3790</v>
      </c>
      <c r="AP1700" s="25">
        <f t="shared" si="734"/>
        <v>0</v>
      </c>
      <c r="AQ1700" s="151" t="str">
        <f>IF(SUMIFS('Supp Consol'!S:S,'Supp Consol'!A:A,O1700,'Supp Consol'!I:I,"PENDING")=0,"",SUMIFS('Supp Consol'!S:S,'Supp Consol'!A:A,O1700,'Supp Consol'!I:I,"PENDING"))</f>
        <v/>
      </c>
      <c r="AR1700" s="27" t="str">
        <f t="shared" si="735"/>
        <v>WZ160</v>
      </c>
      <c r="AS1700" s="27" t="str">
        <f t="shared" si="736"/>
        <v>62</v>
      </c>
      <c r="AT1700" s="27" t="str">
        <f t="shared" si="737"/>
        <v/>
      </c>
      <c r="AU1700" s="27" t="str">
        <f t="shared" si="738"/>
        <v/>
      </c>
      <c r="AV1700" s="27" t="str">
        <f t="shared" si="739"/>
        <v/>
      </c>
      <c r="AW1700" s="27" t="str">
        <f t="shared" si="740"/>
        <v>WZ160</v>
      </c>
      <c r="AX1700" s="27" t="str">
        <f t="shared" si="741"/>
        <v>WZ160</v>
      </c>
      <c r="AY1700" s="27" t="str">
        <f t="shared" si="742"/>
        <v/>
      </c>
      <c r="AZ1700" s="27" t="str">
        <f t="shared" si="743"/>
        <v>Supp</v>
      </c>
      <c r="BA1700" s="27" t="str">
        <f t="shared" si="744"/>
        <v/>
      </c>
      <c r="BB1700" s="27" t="str">
        <f t="shared" si="745"/>
        <v/>
      </c>
      <c r="BC1700" s="27" t="str">
        <f t="shared" si="746"/>
        <v/>
      </c>
      <c r="BD1700" s="27" t="str">
        <f t="shared" si="747"/>
        <v/>
      </c>
      <c r="BE1700" s="27" t="str">
        <f t="shared" si="748"/>
        <v>Exp</v>
      </c>
      <c r="BF1700" s="27" t="str">
        <f t="shared" si="749"/>
        <v/>
      </c>
      <c r="BG1700" s="27" t="str">
        <f t="shared" si="750"/>
        <v>S+NorE</v>
      </c>
      <c r="BH1700" s="27" t="str">
        <f t="shared" si="751"/>
        <v/>
      </c>
      <c r="BI1700" s="27" t="str">
        <f t="shared" si="752"/>
        <v/>
      </c>
      <c r="BJ1700" s="27" t="str">
        <f t="shared" si="753"/>
        <v>Supp or Hun</v>
      </c>
      <c r="BK1700" s="27" t="str">
        <f t="shared" si="754"/>
        <v/>
      </c>
      <c r="BL1700" s="27" t="str">
        <f t="shared" si="755"/>
        <v>SorHandNandE</v>
      </c>
      <c r="BM1700" s="21" t="s">
        <v>5581</v>
      </c>
    </row>
    <row r="1701" spans="1:65" ht="15">
      <c r="A1701" s="25" t="str">
        <f>IFERROR(INDEX('Hun Demand'!W:W,MATCH(O1701,'Hun Demand'!A:A,0)),"")</f>
        <v/>
      </c>
      <c r="B1701" s="25" t="str">
        <f>IFERROR(INDEX('Hun Demand'!V:V,MATCH(O1701,'Hun Demand'!A:A,0)),"")</f>
        <v/>
      </c>
      <c r="C1701" s="25" t="str">
        <f>IFERROR(INDEX('Hun Demand'!U:U,MATCH(O1701,'Hun Demand'!A:A,0)),"")</f>
        <v/>
      </c>
      <c r="D1701" s="25" t="str">
        <f>IFERROR(INDEX('Hun Demand'!T:T,MATCH(O1701,'Hun Demand'!A:A,0)),"")</f>
        <v/>
      </c>
      <c r="E1701" s="25" t="str">
        <f>IFERROR(INDEX('Hun Demand'!S:S,MATCH(O1701,'Hun Demand'!A:A,0)),"")</f>
        <v/>
      </c>
      <c r="F1701" s="25" t="str">
        <f>IFERROR(INDEX('Hun Demand'!R:R,MATCH(O1701,'Hun Demand'!A:A,0)),"")</f>
        <v/>
      </c>
      <c r="G1701" s="25">
        <f>IFERROR(INDEX('Aub Demand'!W:W,MATCH(O1701,'Aub Demand'!A:A,0)),"")</f>
        <v>8</v>
      </c>
      <c r="H1701" s="25">
        <f>IFERROR(INDEX('Aub Demand'!V:V,MATCH(O1701,'Aub Demand'!A:A,0)),"")</f>
        <v>0</v>
      </c>
      <c r="I1701" s="25">
        <f>IFERROR(INDEX('Aub Demand'!U:U,MATCH(O1701,'Aub Demand'!A:A,0)),"")</f>
        <v>0</v>
      </c>
      <c r="J1701" s="25">
        <f>IFERROR(INDEX('Aub Demand'!T:T,MATCH(O1701,'Aub Demand'!A:A,0)),"")</f>
        <v>0</v>
      </c>
      <c r="K1701" s="25">
        <f>IFERROR(INDEX('Aub Demand'!S:S,MATCH(O1701,'Aub Demand'!A:A,0)),"")</f>
        <v>85</v>
      </c>
      <c r="L1701" s="25">
        <f>IFERROR(INDEX('Aub Demand'!R:R,MATCH(O1701,'Aub Demand'!A:A,0)),"")</f>
        <v>0</v>
      </c>
      <c r="O1701" s="27" t="s">
        <v>3251</v>
      </c>
      <c r="P1701" s="27" t="str">
        <f>IFERROR(INDEX('Aub Demand'!B:B,MATCH($O1701,'Aub Demand'!$A:$A,0)),"")</f>
        <v>ECRU</v>
      </c>
      <c r="Q1701" s="27" t="str">
        <f>IFERROR(INDEX('Aub Demand'!C:C,MATCH($O1701,'Aub Demand'!$A:$A,0)),"")</f>
        <v>TOPPA</v>
      </c>
      <c r="R1701" s="52">
        <f>IFERROR(IF(AR1702=AR1701,INDEX('Aub Demand'!K:K,MATCH($O1701,'Aub Demand'!$A:$A,0))-IF(AN1701="",0,AN1701)+AP1702,INDEX('Aub Demand'!K:K,MATCH($O1701,'Aub Demand'!$A:$A,0))-IF(AN1701="",0,AN1701)),"")</f>
        <v>907</v>
      </c>
      <c r="S1701" s="53">
        <f t="shared" si="728"/>
        <v>138.80000000000001</v>
      </c>
      <c r="T1701" s="52" t="str">
        <f t="shared" si="729"/>
        <v/>
      </c>
      <c r="U1701" s="52">
        <f>IFERROR(IF(AR1702=AR1701,INDEX('Aub Demand'!Q:Q,MATCH($O1701,'Aub Demand'!$A:$A,0))-IF(AN1701="",0,AN1701)+AP1702,INDEX('Aub Demand'!Q:Q,MATCH($O1701,'Aub Demand'!$A:$A,0))-IF(AN1701="",0,AN1701)),"")</f>
        <v>724</v>
      </c>
      <c r="V1701" s="53">
        <f t="shared" si="730"/>
        <v>110.8</v>
      </c>
      <c r="W1701" s="52" t="str">
        <f t="shared" si="731"/>
        <v/>
      </c>
      <c r="X1701" s="52">
        <f>IFERROR(IF(AND(AR1702=AR1701,AM1701&lt;&gt;""),INDEX('Aub Demand'!Q:Q,MATCH($O1701,'Aub Demand'!$A:$A,0))-IF(AN1701="",0,AN1701)+AP1702+AD1701+AL1701,IF(AR1702=AR1701,INDEX('Aub Demand'!Q:Q,MATCH($O1701,'Aub Demand'!$A:$A,0))-IF(AN1701="",0,AN1701)+AP1702+AD1701,IF(AM1701&lt;&gt;"",INDEX('Aub Demand'!Q:Q,MATCH($O1701,'Aub Demand'!$A:$A,0))-IF(AN1701="",0,AN1701)+AD1701+AL1701,INDEX('Aub Demand'!Q:Q,MATCH($O1701,'Aub Demand'!$A:$A,0))-IF(AN1701="",0,AN1701)+AD1701))),"")</f>
        <v>724</v>
      </c>
      <c r="Y1701" s="53">
        <f t="shared" si="732"/>
        <v>110.8</v>
      </c>
      <c r="Z1701" s="52">
        <f>IF(L1701="","",INDEX('Aub Demand'!H:H,MATCH($O1701,'Aub Demand'!$A:$A,0)))</f>
        <v>28</v>
      </c>
      <c r="AA1701" s="52" t="str">
        <f t="shared" si="733"/>
        <v>-spike-</v>
      </c>
      <c r="AB1701" s="52">
        <f>IFERROR(INDEX('Aub Demand'!L:L,MATCH($O1701,'Aub Demand'!$A:$A,0)),"")</f>
        <v>11</v>
      </c>
      <c r="AC1701" s="52">
        <f>IFERROR(IF(O1701="","",SUMIFS('CPL Mats'!F:F,'CPL Mats'!Q:Q,AR1701,'CPL Mats'!S:S,AS1701)),"")</f>
        <v>0</v>
      </c>
      <c r="AF1701" s="25" t="str">
        <f>IF(SUMIFS('Supp Consol'!S:S,'Supp Consol'!Y:Y,"Releasable",'Supp Consol'!A:A,O1701)=0,"",SUMIFS('Supp Consol'!S:S,'Supp Consol'!Y:Y,"Releasable",'Supp Consol'!A:A,O1701))</f>
        <v/>
      </c>
      <c r="AG1701" s="25" t="str">
        <f>IFERROR(INDEX('Hun Demand'!Q:Q,MATCH(O1701,'Hun Demand'!A:A,0)),"")</f>
        <v/>
      </c>
      <c r="AH1701" s="25" t="str">
        <f>IFERROR(INDEX('Hun Demand'!H:H,MATCH($O1701,'Hun Demand'!$A:$A,0)),"")</f>
        <v/>
      </c>
      <c r="AI1701" s="25" t="str">
        <f>IF(SUMIFS('Supp Consol'!AA:AA,'Supp Consol'!Z:Z,"Expires this month",'Supp Consol'!A:A,O1701)=0,"",SUMIFS('Supp Consol'!AA:AA,'Supp Consol'!Z:Z,"Expires this month",'Supp Consol'!A:A,O1701))</f>
        <v/>
      </c>
      <c r="AJ1701" s="25" t="str">
        <f>IF(SUMIFS('Supp Consol'!AA:AA,'Supp Consol'!Z:Z,"Expired Previous Months",'Supp Consol'!A:A,O1701)=0,"",SUMIFS('Supp Consol'!AA:AA,'Supp Consol'!Z:Z,"Expired Previous Months",'Supp Consol'!A:A,O1701))</f>
        <v/>
      </c>
      <c r="AK1701" s="25" t="str">
        <f>IFERROR(INDEX('Hun Release Current'!B:B,MATCH(O1701,'Hun Release Current'!A:A,0)),"")</f>
        <v/>
      </c>
      <c r="AL1701" s="25" t="str">
        <f>IF(SUMIF('Prev Aub'!A:A,O1701,'Prev Aub'!B:B)=0,"",SUMIF('Prev Aub'!A:A,O1701,'Prev Aub'!B:B))</f>
        <v/>
      </c>
      <c r="AN1701" s="25" t="s">
        <v>3790</v>
      </c>
      <c r="AO1701" s="25" t="s">
        <v>3790</v>
      </c>
      <c r="AP1701" s="25">
        <f t="shared" si="734"/>
        <v>0</v>
      </c>
      <c r="AQ1701" s="151" t="str">
        <f>IF(SUMIFS('Supp Consol'!S:S,'Supp Consol'!A:A,O1701,'Supp Consol'!I:I,"PENDING")=0,"",SUMIFS('Supp Consol'!S:S,'Supp Consol'!A:A,O1701,'Supp Consol'!I:I,"PENDING"))</f>
        <v/>
      </c>
      <c r="AR1701" s="27" t="str">
        <f t="shared" si="735"/>
        <v>WZ200</v>
      </c>
      <c r="AS1701" s="27" t="str">
        <f t="shared" si="736"/>
        <v>50</v>
      </c>
      <c r="AT1701" s="27" t="str">
        <f t="shared" si="737"/>
        <v/>
      </c>
      <c r="AU1701" s="27" t="str">
        <f t="shared" si="738"/>
        <v/>
      </c>
      <c r="AV1701" s="27" t="str">
        <f t="shared" si="739"/>
        <v/>
      </c>
      <c r="AW1701" s="27" t="str">
        <f t="shared" si="740"/>
        <v/>
      </c>
      <c r="AX1701" s="27" t="str">
        <f t="shared" si="741"/>
        <v/>
      </c>
      <c r="AY1701" s="27" t="str">
        <f t="shared" si="742"/>
        <v/>
      </c>
      <c r="AZ1701" s="27" t="str">
        <f t="shared" si="743"/>
        <v/>
      </c>
      <c r="BA1701" s="27" t="str">
        <f t="shared" si="744"/>
        <v/>
      </c>
      <c r="BB1701" s="27" t="str">
        <f t="shared" si="745"/>
        <v/>
      </c>
      <c r="BC1701" s="27" t="str">
        <f t="shared" si="746"/>
        <v/>
      </c>
      <c r="BD1701" s="27" t="str">
        <f t="shared" si="747"/>
        <v/>
      </c>
      <c r="BE1701" s="27" t="str">
        <f t="shared" si="748"/>
        <v/>
      </c>
      <c r="BF1701" s="27" t="str">
        <f t="shared" si="749"/>
        <v/>
      </c>
      <c r="BG1701" s="27" t="str">
        <f t="shared" si="750"/>
        <v/>
      </c>
      <c r="BH1701" s="27" t="str">
        <f t="shared" si="751"/>
        <v/>
      </c>
      <c r="BI1701" s="27" t="str">
        <f t="shared" si="752"/>
        <v/>
      </c>
      <c r="BJ1701" s="27" t="str">
        <f t="shared" si="753"/>
        <v/>
      </c>
      <c r="BK1701" s="27" t="str">
        <f t="shared" si="754"/>
        <v/>
      </c>
      <c r="BL1701" s="27" t="str">
        <f t="shared" si="755"/>
        <v/>
      </c>
      <c r="BM1701" s="21" t="s">
        <v>5581</v>
      </c>
    </row>
    <row r="1702" spans="1:65" ht="15">
      <c r="A1702" s="25" t="str">
        <f>IFERROR(INDEX('Hun Demand'!W:W,MATCH(O1702,'Hun Demand'!A:A,0)),"")</f>
        <v/>
      </c>
      <c r="B1702" s="25" t="str">
        <f>IFERROR(INDEX('Hun Demand'!V:V,MATCH(O1702,'Hun Demand'!A:A,0)),"")</f>
        <v/>
      </c>
      <c r="C1702" s="25" t="str">
        <f>IFERROR(INDEX('Hun Demand'!U:U,MATCH(O1702,'Hun Demand'!A:A,0)),"")</f>
        <v/>
      </c>
      <c r="D1702" s="25" t="str">
        <f>IFERROR(INDEX('Hun Demand'!T:T,MATCH(O1702,'Hun Demand'!A:A,0)),"")</f>
        <v/>
      </c>
      <c r="E1702" s="25" t="str">
        <f>IFERROR(INDEX('Hun Demand'!S:S,MATCH(O1702,'Hun Demand'!A:A,0)),"")</f>
        <v/>
      </c>
      <c r="F1702" s="25" t="str">
        <f>IFERROR(INDEX('Hun Demand'!R:R,MATCH(O1702,'Hun Demand'!A:A,0)),"")</f>
        <v/>
      </c>
      <c r="G1702" s="25">
        <f>IFERROR(INDEX('Aub Demand'!W:W,MATCH(O1702,'Aub Demand'!A:A,0)),"")</f>
        <v>0</v>
      </c>
      <c r="H1702" s="25">
        <f>IFERROR(INDEX('Aub Demand'!V:V,MATCH(O1702,'Aub Demand'!A:A,0)),"")</f>
        <v>0</v>
      </c>
      <c r="I1702" s="25">
        <f>IFERROR(INDEX('Aub Demand'!U:U,MATCH(O1702,'Aub Demand'!A:A,0)),"")</f>
        <v>0</v>
      </c>
      <c r="J1702" s="25">
        <f>IFERROR(INDEX('Aub Demand'!T:T,MATCH(O1702,'Aub Demand'!A:A,0)),"")</f>
        <v>0</v>
      </c>
      <c r="K1702" s="25">
        <f>IFERROR(INDEX('Aub Demand'!S:S,MATCH(O1702,'Aub Demand'!A:A,0)),"")</f>
        <v>22</v>
      </c>
      <c r="L1702" s="25">
        <f>IFERROR(INDEX('Aub Demand'!R:R,MATCH(O1702,'Aub Demand'!A:A,0)),"")</f>
        <v>0</v>
      </c>
      <c r="O1702" s="27" t="s">
        <v>3253</v>
      </c>
      <c r="P1702" s="27" t="str">
        <f>IFERROR(INDEX('Aub Demand'!B:B,MATCH($O1702,'Aub Demand'!$A:$A,0)),"")</f>
        <v>ECRU</v>
      </c>
      <c r="Q1702" s="27" t="str">
        <f>IFERROR(INDEX('Aub Demand'!C:C,MATCH($O1702,'Aub Demand'!$A:$A,0)),"")</f>
        <v>TOPPA</v>
      </c>
      <c r="R1702" s="52">
        <f>IFERROR(IF(AR1703=AR1702,INDEX('Aub Demand'!K:K,MATCH($O1702,'Aub Demand'!$A:$A,0))-IF(AN1702="",0,AN1702)+AP1703,INDEX('Aub Demand'!K:K,MATCH($O1702,'Aub Demand'!$A:$A,0))-IF(AN1702="",0,AN1702)),"")</f>
        <v>1184</v>
      </c>
      <c r="S1702" s="53">
        <f t="shared" si="728"/>
        <v>724.9</v>
      </c>
      <c r="T1702" s="52" t="str">
        <f t="shared" si="729"/>
        <v/>
      </c>
      <c r="U1702" s="52">
        <f>IFERROR(IF(AR1703=AR1702,INDEX('Aub Demand'!Q:Q,MATCH($O1702,'Aub Demand'!$A:$A,0))-IF(AN1702="",0,AN1702)+AP1703,INDEX('Aub Demand'!Q:Q,MATCH($O1702,'Aub Demand'!$A:$A,0))-IF(AN1702="",0,AN1702)),"")</f>
        <v>1183</v>
      </c>
      <c r="V1702" s="53">
        <f t="shared" si="730"/>
        <v>724.3</v>
      </c>
      <c r="W1702" s="52" t="str">
        <f t="shared" si="731"/>
        <v/>
      </c>
      <c r="X1702" s="52">
        <f>IFERROR(IF(AND(AR1703=AR1702,AM1702&lt;&gt;""),INDEX('Aub Demand'!Q:Q,MATCH($O1702,'Aub Demand'!$A:$A,0))-IF(AN1702="",0,AN1702)+AP1703+AD1702+AL1702,IF(AR1703=AR1702,INDEX('Aub Demand'!Q:Q,MATCH($O1702,'Aub Demand'!$A:$A,0))-IF(AN1702="",0,AN1702)+AP1703+AD1702,IF(AM1702&lt;&gt;"",INDEX('Aub Demand'!Q:Q,MATCH($O1702,'Aub Demand'!$A:$A,0))-IF(AN1702="",0,AN1702)+AD1702+AL1702,INDEX('Aub Demand'!Q:Q,MATCH($O1702,'Aub Demand'!$A:$A,0))-IF(AN1702="",0,AN1702)+AD1702))),"")</f>
        <v>1183</v>
      </c>
      <c r="Y1702" s="53">
        <f t="shared" si="732"/>
        <v>724.3</v>
      </c>
      <c r="Z1702" s="52">
        <f>IF(L1702="","",INDEX('Aub Demand'!H:H,MATCH($O1702,'Aub Demand'!$A:$A,0)))</f>
        <v>7</v>
      </c>
      <c r="AA1702" s="52" t="str">
        <f t="shared" si="733"/>
        <v>-spike-</v>
      </c>
      <c r="AB1702" s="52">
        <f>IFERROR(INDEX('Aub Demand'!L:L,MATCH($O1702,'Aub Demand'!$A:$A,0)),"")</f>
        <v>1</v>
      </c>
      <c r="AC1702" s="52">
        <f>IFERROR(IF(O1702="","",SUMIFS('CPL Mats'!F:F,'CPL Mats'!Q:Q,AR1702,'CPL Mats'!S:S,AS1702)),"")</f>
        <v>0</v>
      </c>
      <c r="AF1702" s="25" t="str">
        <f>IF(SUMIFS('Supp Consol'!S:S,'Supp Consol'!Y:Y,"Releasable",'Supp Consol'!A:A,O1702)=0,"",SUMIFS('Supp Consol'!S:S,'Supp Consol'!Y:Y,"Releasable",'Supp Consol'!A:A,O1702))</f>
        <v/>
      </c>
      <c r="AG1702" s="25" t="str">
        <f>IFERROR(INDEX('Hun Demand'!Q:Q,MATCH(O1702,'Hun Demand'!A:A,0)),"")</f>
        <v/>
      </c>
      <c r="AH1702" s="25" t="str">
        <f>IFERROR(INDEX('Hun Demand'!H:H,MATCH($O1702,'Hun Demand'!$A:$A,0)),"")</f>
        <v/>
      </c>
      <c r="AI1702" s="25" t="str">
        <f>IF(SUMIFS('Supp Consol'!AA:AA,'Supp Consol'!Z:Z,"Expires this month",'Supp Consol'!A:A,O1702)=0,"",SUMIFS('Supp Consol'!AA:AA,'Supp Consol'!Z:Z,"Expires this month",'Supp Consol'!A:A,O1702))</f>
        <v/>
      </c>
      <c r="AJ1702" s="25" t="str">
        <f>IF(SUMIFS('Supp Consol'!AA:AA,'Supp Consol'!Z:Z,"Expired Previous Months",'Supp Consol'!A:A,O1702)=0,"",SUMIFS('Supp Consol'!AA:AA,'Supp Consol'!Z:Z,"Expired Previous Months",'Supp Consol'!A:A,O1702))</f>
        <v/>
      </c>
      <c r="AK1702" s="25" t="str">
        <f>IFERROR(INDEX('Hun Release Current'!B:B,MATCH(O1702,'Hun Release Current'!A:A,0)),"")</f>
        <v/>
      </c>
      <c r="AL1702" s="25" t="str">
        <f>IF(SUMIF('Prev Aub'!A:A,O1702,'Prev Aub'!B:B)=0,"",SUMIF('Prev Aub'!A:A,O1702,'Prev Aub'!B:B))</f>
        <v/>
      </c>
      <c r="AN1702" s="25" t="s">
        <v>3790</v>
      </c>
      <c r="AO1702" s="25" t="s">
        <v>3790</v>
      </c>
      <c r="AP1702" s="25">
        <f t="shared" si="734"/>
        <v>0</v>
      </c>
      <c r="AQ1702" s="151" t="str">
        <f>IF(SUMIFS('Supp Consol'!S:S,'Supp Consol'!A:A,O1702,'Supp Consol'!I:I,"PENDING")=0,"",SUMIFS('Supp Consol'!S:S,'Supp Consol'!A:A,O1702,'Supp Consol'!I:I,"PENDING"))</f>
        <v/>
      </c>
      <c r="AR1702" s="27" t="str">
        <f t="shared" si="735"/>
        <v>WZ200</v>
      </c>
      <c r="AS1702" s="27" t="str">
        <f t="shared" si="736"/>
        <v>62</v>
      </c>
      <c r="AT1702" s="27" t="str">
        <f t="shared" si="737"/>
        <v/>
      </c>
      <c r="AU1702" s="27" t="str">
        <f t="shared" si="738"/>
        <v/>
      </c>
      <c r="AV1702" s="27" t="str">
        <f t="shared" si="739"/>
        <v/>
      </c>
      <c r="AW1702" s="27" t="str">
        <f t="shared" si="740"/>
        <v/>
      </c>
      <c r="AX1702" s="27" t="str">
        <f t="shared" si="741"/>
        <v/>
      </c>
      <c r="AY1702" s="27" t="str">
        <f t="shared" si="742"/>
        <v/>
      </c>
      <c r="AZ1702" s="27" t="str">
        <f t="shared" si="743"/>
        <v/>
      </c>
      <c r="BA1702" s="27" t="str">
        <f t="shared" si="744"/>
        <v/>
      </c>
      <c r="BB1702" s="27" t="str">
        <f t="shared" si="745"/>
        <v/>
      </c>
      <c r="BC1702" s="27" t="str">
        <f t="shared" si="746"/>
        <v/>
      </c>
      <c r="BD1702" s="27" t="str">
        <f t="shared" si="747"/>
        <v/>
      </c>
      <c r="BE1702" s="27" t="str">
        <f t="shared" si="748"/>
        <v/>
      </c>
      <c r="BF1702" s="27" t="str">
        <f t="shared" si="749"/>
        <v/>
      </c>
      <c r="BG1702" s="27" t="str">
        <f t="shared" si="750"/>
        <v/>
      </c>
      <c r="BH1702" s="27" t="str">
        <f t="shared" si="751"/>
        <v/>
      </c>
      <c r="BI1702" s="27" t="str">
        <f t="shared" si="752"/>
        <v/>
      </c>
      <c r="BJ1702" s="27" t="str">
        <f t="shared" si="753"/>
        <v/>
      </c>
      <c r="BK1702" s="27" t="str">
        <f t="shared" si="754"/>
        <v/>
      </c>
      <c r="BL1702" s="27" t="str">
        <f t="shared" si="755"/>
        <v/>
      </c>
      <c r="BM1702" s="21" t="s">
        <v>5581</v>
      </c>
    </row>
    <row r="1703" spans="1:65" ht="15">
      <c r="A1703" s="25" t="str">
        <f>IFERROR(INDEX('Hun Demand'!W:W,MATCH(O1703,'Hun Demand'!A:A,0)),"")</f>
        <v/>
      </c>
      <c r="B1703" s="25" t="str">
        <f>IFERROR(INDEX('Hun Demand'!V:V,MATCH(O1703,'Hun Demand'!A:A,0)),"")</f>
        <v/>
      </c>
      <c r="C1703" s="25" t="str">
        <f>IFERROR(INDEX('Hun Demand'!U:U,MATCH(O1703,'Hun Demand'!A:A,0)),"")</f>
        <v/>
      </c>
      <c r="D1703" s="25" t="str">
        <f>IFERROR(INDEX('Hun Demand'!T:T,MATCH(O1703,'Hun Demand'!A:A,0)),"")</f>
        <v/>
      </c>
      <c r="E1703" s="25" t="str">
        <f>IFERROR(INDEX('Hun Demand'!S:S,MATCH(O1703,'Hun Demand'!A:A,0)),"")</f>
        <v/>
      </c>
      <c r="F1703" s="25" t="str">
        <f>IFERROR(INDEX('Hun Demand'!R:R,MATCH(O1703,'Hun Demand'!A:A,0)),"")</f>
        <v/>
      </c>
      <c r="G1703" s="25">
        <f>IFERROR(INDEX('Aub Demand'!W:W,MATCH(O1703,'Aub Demand'!A:A,0)),"")</f>
        <v>1266</v>
      </c>
      <c r="H1703" s="25">
        <f>IFERROR(INDEX('Aub Demand'!V:V,MATCH(O1703,'Aub Demand'!A:A,0)),"")</f>
        <v>1272</v>
      </c>
      <c r="I1703" s="25">
        <f>IFERROR(INDEX('Aub Demand'!U:U,MATCH(O1703,'Aub Demand'!A:A,0)),"")</f>
        <v>25</v>
      </c>
      <c r="J1703" s="25">
        <f>IFERROR(INDEX('Aub Demand'!T:T,MATCH(O1703,'Aub Demand'!A:A,0)),"")</f>
        <v>639</v>
      </c>
      <c r="K1703" s="25">
        <f>IFERROR(INDEX('Aub Demand'!S:S,MATCH(O1703,'Aub Demand'!A:A,0)),"")</f>
        <v>907</v>
      </c>
      <c r="L1703" s="25">
        <f>IFERROR(INDEX('Aub Demand'!R:R,MATCH(O1703,'Aub Demand'!A:A,0)),"")</f>
        <v>0</v>
      </c>
      <c r="O1703" s="27" t="s">
        <v>3254</v>
      </c>
      <c r="P1703" s="27" t="str">
        <f>IFERROR(INDEX('Aub Demand'!B:B,MATCH($O1703,'Aub Demand'!$A:$A,0)),"")</f>
        <v>SANTA ROSA PLUM TREE</v>
      </c>
      <c r="Q1703" s="27" t="str">
        <f>IFERROR(INDEX('Aub Demand'!C:C,MATCH($O1703,'Aub Demand'!$A:$A,0)),"")</f>
        <v>SUDDE</v>
      </c>
      <c r="R1703" s="52">
        <f>IFERROR(IF(AR1704=AR1703,INDEX('Aub Demand'!K:K,MATCH($O1703,'Aub Demand'!$A:$A,0))-IF(AN1703="",0,AN1703)+AP1704,INDEX('Aub Demand'!K:K,MATCH($O1703,'Aub Demand'!$A:$A,0))-IF(AN1703="",0,AN1703)),"")</f>
        <v>1299</v>
      </c>
      <c r="S1703" s="53">
        <f t="shared" si="728"/>
        <v>10.6</v>
      </c>
      <c r="T1703" s="52" t="str">
        <f t="shared" si="729"/>
        <v/>
      </c>
      <c r="U1703" s="52">
        <f>IFERROR(IF(AR1704=AR1703,INDEX('Aub Demand'!Q:Q,MATCH($O1703,'Aub Demand'!$A:$A,0))-IF(AN1703="",0,AN1703)+AP1704,INDEX('Aub Demand'!Q:Q,MATCH($O1703,'Aub Demand'!$A:$A,0))-IF(AN1703="",0,AN1703)),"")</f>
        <v>927</v>
      </c>
      <c r="V1703" s="53">
        <f t="shared" si="730"/>
        <v>7.6</v>
      </c>
      <c r="W1703" s="52" t="str">
        <f t="shared" si="731"/>
        <v/>
      </c>
      <c r="X1703" s="52">
        <f>IFERROR(IF(AND(AR1704=AR1703,AM1703&lt;&gt;""),INDEX('Aub Demand'!Q:Q,MATCH($O1703,'Aub Demand'!$A:$A,0))-IF(AN1703="",0,AN1703)+AP1704+AD1703+AL1703,IF(AR1704=AR1703,INDEX('Aub Demand'!Q:Q,MATCH($O1703,'Aub Demand'!$A:$A,0))-IF(AN1703="",0,AN1703)+AP1704+AD1703,IF(AM1703&lt;&gt;"",INDEX('Aub Demand'!Q:Q,MATCH($O1703,'Aub Demand'!$A:$A,0))-IF(AN1703="",0,AN1703)+AD1703+AL1703,INDEX('Aub Demand'!Q:Q,MATCH($O1703,'Aub Demand'!$A:$A,0))-IF(AN1703="",0,AN1703)+AD1703))),"")</f>
        <v>927</v>
      </c>
      <c r="Y1703" s="53">
        <f t="shared" si="732"/>
        <v>7.6</v>
      </c>
      <c r="Z1703" s="52">
        <f>IF(L1703="","",INDEX('Aub Demand'!H:H,MATCH($O1703,'Aub Demand'!$A:$A,0)))</f>
        <v>524</v>
      </c>
      <c r="AA1703" s="52">
        <f t="shared" si="733"/>
        <v>773</v>
      </c>
      <c r="AB1703" s="52">
        <f>IFERROR(INDEX('Aub Demand'!L:L,MATCH($O1703,'Aub Demand'!$A:$A,0)),"")</f>
        <v>803</v>
      </c>
      <c r="AC1703" s="52">
        <f>IFERROR(IF(O1703="","",SUMIFS('CPL Mats'!F:F,'CPL Mats'!Q:Q,AR1703,'CPL Mats'!S:S,AS1703)),"")</f>
        <v>5367.36</v>
      </c>
      <c r="AF1703" s="25">
        <f>IF(SUMIFS('Supp Consol'!S:S,'Supp Consol'!Y:Y,"Releasable",'Supp Consol'!A:A,O1703)=0,"",SUMIFS('Supp Consol'!S:S,'Supp Consol'!Y:Y,"Releasable",'Supp Consol'!A:A,O1703))</f>
        <v>5031</v>
      </c>
      <c r="AG1703" s="25" t="str">
        <f>IFERROR(INDEX('Hun Demand'!Q:Q,MATCH(O1703,'Hun Demand'!A:A,0)),"")</f>
        <v/>
      </c>
      <c r="AH1703" s="25" t="str">
        <f>IFERROR(INDEX('Hun Demand'!H:H,MATCH($O1703,'Hun Demand'!$A:$A,0)),"")</f>
        <v/>
      </c>
      <c r="AI1703" s="25" t="str">
        <f>IF(SUMIFS('Supp Consol'!AA:AA,'Supp Consol'!Z:Z,"Expires this month",'Supp Consol'!A:A,O1703)=0,"",SUMIFS('Supp Consol'!AA:AA,'Supp Consol'!Z:Z,"Expires this month",'Supp Consol'!A:A,O1703))</f>
        <v/>
      </c>
      <c r="AJ1703" s="25" t="str">
        <f>IF(SUMIFS('Supp Consol'!AA:AA,'Supp Consol'!Z:Z,"Expired Previous Months",'Supp Consol'!A:A,O1703)=0,"",SUMIFS('Supp Consol'!AA:AA,'Supp Consol'!Z:Z,"Expired Previous Months",'Supp Consol'!A:A,O1703))</f>
        <v/>
      </c>
      <c r="AK1703" s="25" t="str">
        <f>IFERROR(INDEX('Hun Release Current'!B:B,MATCH(O1703,'Hun Release Current'!A:A,0)),"")</f>
        <v/>
      </c>
      <c r="AL1703" s="25" t="str">
        <f>IF(SUMIF('Prev Aub'!A:A,O1703,'Prev Aub'!B:B)=0,"",SUMIF('Prev Aub'!A:A,O1703,'Prev Aub'!B:B))</f>
        <v/>
      </c>
      <c r="AN1703" s="25" t="s">
        <v>3790</v>
      </c>
      <c r="AO1703" s="25" t="s">
        <v>3790</v>
      </c>
      <c r="AP1703" s="25">
        <f t="shared" si="734"/>
        <v>0</v>
      </c>
      <c r="AQ1703" s="151" t="str">
        <f>IF(SUMIFS('Supp Consol'!S:S,'Supp Consol'!A:A,O1703,'Supp Consol'!I:I,"PENDING")=0,"",SUMIFS('Supp Consol'!S:S,'Supp Consol'!A:A,O1703,'Supp Consol'!I:I,"PENDING"))</f>
        <v/>
      </c>
      <c r="AR1703" s="27" t="str">
        <f t="shared" si="735"/>
        <v>WZ201</v>
      </c>
      <c r="AS1703" s="27" t="str">
        <f t="shared" si="736"/>
        <v>50</v>
      </c>
      <c r="AT1703" s="27" t="str">
        <f t="shared" si="737"/>
        <v/>
      </c>
      <c r="AU1703" s="27" t="str">
        <f t="shared" si="738"/>
        <v/>
      </c>
      <c r="AV1703" s="27" t="str">
        <f t="shared" si="739"/>
        <v/>
      </c>
      <c r="AW1703" s="27" t="str">
        <f t="shared" si="740"/>
        <v/>
      </c>
      <c r="AX1703" s="27" t="str">
        <f t="shared" si="741"/>
        <v>WZ201</v>
      </c>
      <c r="AY1703" s="27" t="str">
        <f t="shared" si="742"/>
        <v/>
      </c>
      <c r="AZ1703" s="27" t="str">
        <f t="shared" si="743"/>
        <v>Supp</v>
      </c>
      <c r="BA1703" s="27" t="str">
        <f t="shared" si="744"/>
        <v>Hun</v>
      </c>
      <c r="BB1703" s="27" t="str">
        <f t="shared" si="745"/>
        <v/>
      </c>
      <c r="BC1703" s="27" t="str">
        <f t="shared" si="746"/>
        <v/>
      </c>
      <c r="BD1703" s="27" t="str">
        <f t="shared" si="747"/>
        <v/>
      </c>
      <c r="BE1703" s="27" t="str">
        <f t="shared" si="748"/>
        <v/>
      </c>
      <c r="BF1703" s="27" t="str">
        <f t="shared" si="749"/>
        <v/>
      </c>
      <c r="BG1703" s="27" t="str">
        <f t="shared" si="750"/>
        <v/>
      </c>
      <c r="BH1703" s="27" t="str">
        <f t="shared" si="751"/>
        <v/>
      </c>
      <c r="BI1703" s="27" t="str">
        <f t="shared" si="752"/>
        <v/>
      </c>
      <c r="BJ1703" s="27" t="str">
        <f t="shared" si="753"/>
        <v>Supp or Hun</v>
      </c>
      <c r="BK1703" s="27" t="str">
        <f t="shared" si="754"/>
        <v/>
      </c>
      <c r="BL1703" s="27" t="str">
        <f t="shared" si="755"/>
        <v/>
      </c>
      <c r="BM1703" s="21" t="s">
        <v>5581</v>
      </c>
    </row>
    <row r="1704" spans="1:65" ht="15">
      <c r="A1704" s="25">
        <f>IFERROR(INDEX('Hun Demand'!W:W,MATCH(O1704,'Hun Demand'!A:A,0)),"")</f>
        <v>0</v>
      </c>
      <c r="B1704" s="25">
        <f>IFERROR(INDEX('Hun Demand'!V:V,MATCH(O1704,'Hun Demand'!A:A,0)),"")</f>
        <v>0</v>
      </c>
      <c r="C1704" s="25">
        <f>IFERROR(INDEX('Hun Demand'!U:U,MATCH(O1704,'Hun Demand'!A:A,0)),"")</f>
        <v>220</v>
      </c>
      <c r="D1704" s="25">
        <f>IFERROR(INDEX('Hun Demand'!T:T,MATCH(O1704,'Hun Demand'!A:A,0)),"")</f>
        <v>0</v>
      </c>
      <c r="E1704" s="25">
        <f>IFERROR(INDEX('Hun Demand'!S:S,MATCH(O1704,'Hun Demand'!A:A,0)),"")</f>
        <v>0</v>
      </c>
      <c r="F1704" s="25">
        <f>IFERROR(INDEX('Hun Demand'!R:R,MATCH(O1704,'Hun Demand'!A:A,0)),"")</f>
        <v>0</v>
      </c>
      <c r="G1704" s="25">
        <f>IFERROR(INDEX('Aub Demand'!W:W,MATCH(O1704,'Aub Demand'!A:A,0)),"")</f>
        <v>0</v>
      </c>
      <c r="H1704" s="25">
        <f>IFERROR(INDEX('Aub Demand'!V:V,MATCH(O1704,'Aub Demand'!A:A,0)),"")</f>
        <v>868</v>
      </c>
      <c r="I1704" s="25">
        <f>IFERROR(INDEX('Aub Demand'!U:U,MATCH(O1704,'Aub Demand'!A:A,0)),"")</f>
        <v>0</v>
      </c>
      <c r="J1704" s="25">
        <f>IFERROR(INDEX('Aub Demand'!T:T,MATCH(O1704,'Aub Demand'!A:A,0)),"")</f>
        <v>131</v>
      </c>
      <c r="K1704" s="25">
        <f>IFERROR(INDEX('Aub Demand'!S:S,MATCH(O1704,'Aub Demand'!A:A,0)),"")</f>
        <v>508</v>
      </c>
      <c r="L1704" s="25">
        <f>IFERROR(INDEX('Aub Demand'!R:R,MATCH(O1704,'Aub Demand'!A:A,0)),"")</f>
        <v>0</v>
      </c>
      <c r="O1704" s="27" t="s">
        <v>3257</v>
      </c>
      <c r="P1704" s="27" t="str">
        <f>IFERROR(INDEX('Aub Demand'!B:B,MATCH($O1704,'Aub Demand'!$A:$A,0)),"")</f>
        <v>SANTA ROSA PLUM TREE</v>
      </c>
      <c r="Q1704" s="27" t="str">
        <f>IFERROR(INDEX('Aub Demand'!C:C,MATCH($O1704,'Aub Demand'!$A:$A,0)),"")</f>
        <v>PANOL</v>
      </c>
      <c r="R1704" s="52">
        <f>IFERROR(IF(AR1705=AR1704,INDEX('Aub Demand'!K:K,MATCH($O1704,'Aub Demand'!$A:$A,0))-IF(AN1704="",0,AN1704)+AP1705,INDEX('Aub Demand'!K:K,MATCH($O1704,'Aub Demand'!$A:$A,0))-IF(AN1704="",0,AN1704)),"")</f>
        <v>2765</v>
      </c>
      <c r="S1704" s="53">
        <f t="shared" si="728"/>
        <v>55.6</v>
      </c>
      <c r="T1704" s="52" t="str">
        <f t="shared" si="729"/>
        <v/>
      </c>
      <c r="U1704" s="52">
        <f>IFERROR(IF(AR1705=AR1704,INDEX('Aub Demand'!Q:Q,MATCH($O1704,'Aub Demand'!$A:$A,0))-IF(AN1704="",0,AN1704)+AP1705,INDEX('Aub Demand'!Q:Q,MATCH($O1704,'Aub Demand'!$A:$A,0))-IF(AN1704="",0,AN1704)),"")</f>
        <v>2765</v>
      </c>
      <c r="V1704" s="53">
        <f t="shared" si="730"/>
        <v>55.6</v>
      </c>
      <c r="W1704" s="52" t="str">
        <f t="shared" si="731"/>
        <v/>
      </c>
      <c r="X1704" s="52">
        <f>IFERROR(IF(AND(AR1705=AR1704,AM1704&lt;&gt;""),INDEX('Aub Demand'!Q:Q,MATCH($O1704,'Aub Demand'!$A:$A,0))-IF(AN1704="",0,AN1704)+AP1705+AD1704+AL1704,IF(AR1705=AR1704,INDEX('Aub Demand'!Q:Q,MATCH($O1704,'Aub Demand'!$A:$A,0))-IF(AN1704="",0,AN1704)+AP1705+AD1704,IF(AM1704&lt;&gt;"",INDEX('Aub Demand'!Q:Q,MATCH($O1704,'Aub Demand'!$A:$A,0))-IF(AN1704="",0,AN1704)+AD1704+AL1704,INDEX('Aub Demand'!Q:Q,MATCH($O1704,'Aub Demand'!$A:$A,0))-IF(AN1704="",0,AN1704)+AD1704))),"")</f>
        <v>2765</v>
      </c>
      <c r="Y1704" s="53">
        <f t="shared" si="732"/>
        <v>55.6</v>
      </c>
      <c r="Z1704" s="52">
        <f>IF(L1704="","",INDEX('Aub Demand'!H:H,MATCH($O1704,'Aub Demand'!$A:$A,0)))</f>
        <v>213</v>
      </c>
      <c r="AA1704" s="52">
        <f t="shared" si="733"/>
        <v>319.5</v>
      </c>
      <c r="AB1704" s="52">
        <f>IFERROR(INDEX('Aub Demand'!L:L,MATCH($O1704,'Aub Demand'!$A:$A,0)),"")</f>
        <v>521</v>
      </c>
      <c r="AC1704" s="52">
        <f>IFERROR(IF(O1704="","",SUMIFS('CPL Mats'!F:F,'CPL Mats'!Q:Q,AR1704,'CPL Mats'!S:S,AS1704)),"")</f>
        <v>6250</v>
      </c>
      <c r="AF1704" s="25">
        <f>IF(SUMIFS('Supp Consol'!S:S,'Supp Consol'!Y:Y,"Releasable",'Supp Consol'!A:A,O1704)=0,"",SUMIFS('Supp Consol'!S:S,'Supp Consol'!Y:Y,"Releasable",'Supp Consol'!A:A,O1704))</f>
        <v>984</v>
      </c>
      <c r="AG1704" s="25">
        <f>IFERROR(INDEX('Hun Demand'!Q:Q,MATCH(O1704,'Hun Demand'!A:A,0)),"")</f>
        <v>234</v>
      </c>
      <c r="AH1704" s="25">
        <f>IFERROR(INDEX('Hun Demand'!H:H,MATCH($O1704,'Hun Demand'!$A:$A,0)),"")</f>
        <v>73</v>
      </c>
      <c r="AI1704" s="25" t="str">
        <f>IF(SUMIFS('Supp Consol'!AA:AA,'Supp Consol'!Z:Z,"Expires this month",'Supp Consol'!A:A,O1704)=0,"",SUMIFS('Supp Consol'!AA:AA,'Supp Consol'!Z:Z,"Expires this month",'Supp Consol'!A:A,O1704))</f>
        <v/>
      </c>
      <c r="AJ1704" s="25" t="str">
        <f>IF(SUMIFS('Supp Consol'!AA:AA,'Supp Consol'!Z:Z,"Expired Previous Months",'Supp Consol'!A:A,O1704)=0,"",SUMIFS('Supp Consol'!AA:AA,'Supp Consol'!Z:Z,"Expired Previous Months",'Supp Consol'!A:A,O1704))</f>
        <v/>
      </c>
      <c r="AK1704" s="25" t="str">
        <f>IFERROR(INDEX('Hun Release Current'!B:B,MATCH(O1704,'Hun Release Current'!A:A,0)),"")</f>
        <v/>
      </c>
      <c r="AL1704" s="25" t="str">
        <f>IF(SUMIF('Prev Aub'!A:A,O1704,'Prev Aub'!B:B)=0,"",SUMIF('Prev Aub'!A:A,O1704,'Prev Aub'!B:B))</f>
        <v/>
      </c>
      <c r="AN1704" s="25" t="s">
        <v>3790</v>
      </c>
      <c r="AO1704" s="25" t="s">
        <v>3790</v>
      </c>
      <c r="AP1704" s="25">
        <f t="shared" si="734"/>
        <v>0</v>
      </c>
      <c r="AQ1704" s="151" t="str">
        <f>IF(SUMIFS('Supp Consol'!S:S,'Supp Consol'!A:A,O1704,'Supp Consol'!I:I,"PENDING")=0,"",SUMIFS('Supp Consol'!S:S,'Supp Consol'!A:A,O1704,'Supp Consol'!I:I,"PENDING"))</f>
        <v/>
      </c>
      <c r="AR1704" s="27" t="str">
        <f t="shared" si="735"/>
        <v>WZ201</v>
      </c>
      <c r="AS1704" s="27" t="str">
        <f t="shared" si="736"/>
        <v>62</v>
      </c>
      <c r="AT1704" s="27" t="str">
        <f t="shared" si="737"/>
        <v/>
      </c>
      <c r="AU1704" s="27" t="str">
        <f t="shared" si="738"/>
        <v/>
      </c>
      <c r="AV1704" s="27" t="str">
        <f t="shared" si="739"/>
        <v/>
      </c>
      <c r="AW1704" s="27" t="str">
        <f t="shared" si="740"/>
        <v/>
      </c>
      <c r="AX1704" s="27" t="str">
        <f t="shared" si="741"/>
        <v>WZ201</v>
      </c>
      <c r="AY1704" s="27" t="str">
        <f t="shared" si="742"/>
        <v>WZ201</v>
      </c>
      <c r="AZ1704" s="27" t="str">
        <f t="shared" si="743"/>
        <v>Supp</v>
      </c>
      <c r="BA1704" s="27" t="str">
        <f t="shared" si="744"/>
        <v>Hun</v>
      </c>
      <c r="BB1704" s="27" t="str">
        <f t="shared" si="745"/>
        <v/>
      </c>
      <c r="BC1704" s="27" t="str">
        <f t="shared" si="746"/>
        <v/>
      </c>
      <c r="BD1704" s="27" t="str">
        <f t="shared" si="747"/>
        <v/>
      </c>
      <c r="BE1704" s="27" t="str">
        <f t="shared" si="748"/>
        <v/>
      </c>
      <c r="BF1704" s="27" t="str">
        <f t="shared" si="749"/>
        <v/>
      </c>
      <c r="BG1704" s="27" t="str">
        <f t="shared" si="750"/>
        <v/>
      </c>
      <c r="BH1704" s="27" t="str">
        <f t="shared" si="751"/>
        <v/>
      </c>
      <c r="BI1704" s="27" t="str">
        <f t="shared" si="752"/>
        <v/>
      </c>
      <c r="BJ1704" s="27" t="str">
        <f t="shared" si="753"/>
        <v>Supp or Hun</v>
      </c>
      <c r="BK1704" s="27" t="str">
        <f t="shared" si="754"/>
        <v/>
      </c>
      <c r="BL1704" s="27" t="str">
        <f t="shared" si="755"/>
        <v/>
      </c>
      <c r="BM1704" s="21" t="s">
        <v>5581</v>
      </c>
    </row>
    <row r="1705" spans="1:65" ht="15">
      <c r="A1705" s="25" t="str">
        <f>IFERROR(INDEX('Hun Demand'!W:W,MATCH(O1705,'Hun Demand'!A:A,0)),"")</f>
        <v/>
      </c>
      <c r="B1705" s="25" t="str">
        <f>IFERROR(INDEX('Hun Demand'!V:V,MATCH(O1705,'Hun Demand'!A:A,0)),"")</f>
        <v/>
      </c>
      <c r="C1705" s="25" t="str">
        <f>IFERROR(INDEX('Hun Demand'!U:U,MATCH(O1705,'Hun Demand'!A:A,0)),"")</f>
        <v/>
      </c>
      <c r="D1705" s="25" t="str">
        <f>IFERROR(INDEX('Hun Demand'!T:T,MATCH(O1705,'Hun Demand'!A:A,0)),"")</f>
        <v/>
      </c>
      <c r="E1705" s="25" t="str">
        <f>IFERROR(INDEX('Hun Demand'!S:S,MATCH(O1705,'Hun Demand'!A:A,0)),"")</f>
        <v/>
      </c>
      <c r="F1705" s="25" t="str">
        <f>IFERROR(INDEX('Hun Demand'!R:R,MATCH(O1705,'Hun Demand'!A:A,0)),"")</f>
        <v/>
      </c>
      <c r="G1705" s="25">
        <f>IFERROR(INDEX('Aub Demand'!W:W,MATCH(O1705,'Aub Demand'!A:A,0)),"")</f>
        <v>116</v>
      </c>
      <c r="H1705" s="25">
        <f>IFERROR(INDEX('Aub Demand'!V:V,MATCH(O1705,'Aub Demand'!A:A,0)),"")</f>
        <v>0</v>
      </c>
      <c r="I1705" s="25">
        <f>IFERROR(INDEX('Aub Demand'!U:U,MATCH(O1705,'Aub Demand'!A:A,0)),"")</f>
        <v>38</v>
      </c>
      <c r="J1705" s="25">
        <f>IFERROR(INDEX('Aub Demand'!T:T,MATCH(O1705,'Aub Demand'!A:A,0)),"")</f>
        <v>60</v>
      </c>
      <c r="K1705" s="25">
        <f>IFERROR(INDEX('Aub Demand'!S:S,MATCH(O1705,'Aub Demand'!A:A,0)),"")</f>
        <v>0</v>
      </c>
      <c r="L1705" s="25">
        <f>IFERROR(INDEX('Aub Demand'!R:R,MATCH(O1705,'Aub Demand'!A:A,0)),"")</f>
        <v>0</v>
      </c>
      <c r="O1705" s="27" t="s">
        <v>3260</v>
      </c>
      <c r="P1705" s="27" t="str">
        <f>IFERROR(INDEX('Aub Demand'!B:B,MATCH($O1705,'Aub Demand'!$A:$A,0)),"")</f>
        <v>KENDO</v>
      </c>
      <c r="Q1705" s="27" t="str">
        <f>IFERROR(INDEX('Aub Demand'!C:C,MATCH($O1705,'Aub Demand'!$A:$A,0)),"")</f>
        <v>DNP A</v>
      </c>
      <c r="R1705" s="52">
        <f>IFERROR(IF(AR1706=AR1705,INDEX('Aub Demand'!K:K,MATCH($O1705,'Aub Demand'!$A:$A,0))-IF(AN1705="",0,AN1705)+AP1706,INDEX('Aub Demand'!K:K,MATCH($O1705,'Aub Demand'!$A:$A,0))-IF(AN1705="",0,AN1705)),"")</f>
        <v>40</v>
      </c>
      <c r="S1705" s="53">
        <f t="shared" si="728"/>
        <v>5.2</v>
      </c>
      <c r="T1705" s="52" t="str">
        <f t="shared" si="729"/>
        <v/>
      </c>
      <c r="U1705" s="52">
        <f>IFERROR(IF(AR1706=AR1705,INDEX('Aub Demand'!Q:Q,MATCH($O1705,'Aub Demand'!$A:$A,0))-IF(AN1705="",0,AN1705)+AP1706,INDEX('Aub Demand'!Q:Q,MATCH($O1705,'Aub Demand'!$A:$A,0))-IF(AN1705="",0,AN1705)),"")</f>
        <v>26</v>
      </c>
      <c r="V1705" s="53">
        <f t="shared" si="730"/>
        <v>3.4</v>
      </c>
      <c r="W1705" s="52" t="str">
        <f t="shared" si="731"/>
        <v/>
      </c>
      <c r="X1705" s="52">
        <f>IFERROR(IF(AND(AR1706=AR1705,AM1705&lt;&gt;""),INDEX('Aub Demand'!Q:Q,MATCH($O1705,'Aub Demand'!$A:$A,0))-IF(AN1705="",0,AN1705)+AP1706+AD1705+AL1705,IF(AR1706=AR1705,INDEX('Aub Demand'!Q:Q,MATCH($O1705,'Aub Demand'!$A:$A,0))-IF(AN1705="",0,AN1705)+AP1706+AD1705,IF(AM1705&lt;&gt;"",INDEX('Aub Demand'!Q:Q,MATCH($O1705,'Aub Demand'!$A:$A,0))-IF(AN1705="",0,AN1705)+AD1705+AL1705,INDEX('Aub Demand'!Q:Q,MATCH($O1705,'Aub Demand'!$A:$A,0))-IF(AN1705="",0,AN1705)+AD1705))),"")</f>
        <v>26</v>
      </c>
      <c r="Y1705" s="53">
        <f t="shared" si="732"/>
        <v>3.4</v>
      </c>
      <c r="Z1705" s="52">
        <f>IF(L1705="","",INDEX('Aub Demand'!H:H,MATCH($O1705,'Aub Demand'!$A:$A,0)))</f>
        <v>33</v>
      </c>
      <c r="AA1705" s="52">
        <f t="shared" si="733"/>
        <v>49</v>
      </c>
      <c r="AB1705" s="52">
        <f>IFERROR(INDEX('Aub Demand'!L:L,MATCH($O1705,'Aub Demand'!$A:$A,0)),"")</f>
        <v>68</v>
      </c>
      <c r="AC1705" s="52">
        <f>IFERROR(IF(O1705="","",SUMIFS('CPL Mats'!F:F,'CPL Mats'!Q:Q,AR1705,'CPL Mats'!S:S,AS1705)),"")</f>
        <v>0</v>
      </c>
      <c r="AF1705" s="25">
        <f>IF(SUMIFS('Supp Consol'!S:S,'Supp Consol'!Y:Y,"Releasable",'Supp Consol'!A:A,O1705)=0,"",SUMIFS('Supp Consol'!S:S,'Supp Consol'!Y:Y,"Releasable",'Supp Consol'!A:A,O1705))</f>
        <v>993</v>
      </c>
      <c r="AG1705" s="25" t="str">
        <f>IFERROR(INDEX('Hun Demand'!Q:Q,MATCH(O1705,'Hun Demand'!A:A,0)),"")</f>
        <v/>
      </c>
      <c r="AH1705" s="25" t="str">
        <f>IFERROR(INDEX('Hun Demand'!H:H,MATCH($O1705,'Hun Demand'!$A:$A,0)),"")</f>
        <v/>
      </c>
      <c r="AI1705" s="25" t="str">
        <f>IF(SUMIFS('Supp Consol'!AA:AA,'Supp Consol'!Z:Z,"Expires this month",'Supp Consol'!A:A,O1705)=0,"",SUMIFS('Supp Consol'!AA:AA,'Supp Consol'!Z:Z,"Expires this month",'Supp Consol'!A:A,O1705))</f>
        <v/>
      </c>
      <c r="AJ1705" s="25" t="str">
        <f>IF(SUMIFS('Supp Consol'!AA:AA,'Supp Consol'!Z:Z,"Expired Previous Months",'Supp Consol'!A:A,O1705)=0,"",SUMIFS('Supp Consol'!AA:AA,'Supp Consol'!Z:Z,"Expired Previous Months",'Supp Consol'!A:A,O1705))</f>
        <v/>
      </c>
      <c r="AK1705" s="25" t="str">
        <f>IFERROR(INDEX('Hun Release Current'!B:B,MATCH(O1705,'Hun Release Current'!A:A,0)),"")</f>
        <v/>
      </c>
      <c r="AL1705" s="25" t="str">
        <f>IF(SUMIF('Prev Aub'!A:A,O1705,'Prev Aub'!B:B)=0,"",SUMIF('Prev Aub'!A:A,O1705,'Prev Aub'!B:B))</f>
        <v/>
      </c>
      <c r="AN1705" s="25" t="s">
        <v>3790</v>
      </c>
      <c r="AO1705" s="25" t="s">
        <v>3790</v>
      </c>
      <c r="AP1705" s="25">
        <f t="shared" si="734"/>
        <v>0</v>
      </c>
      <c r="AQ1705" s="151" t="str">
        <f>IF(SUMIFS('Supp Consol'!S:S,'Supp Consol'!A:A,O1705,'Supp Consol'!I:I,"PENDING")=0,"",SUMIFS('Supp Consol'!S:S,'Supp Consol'!A:A,O1705,'Supp Consol'!I:I,"PENDING"))</f>
        <v/>
      </c>
      <c r="AR1705" s="27" t="str">
        <f t="shared" si="735"/>
        <v>WZ204</v>
      </c>
      <c r="AS1705" s="27" t="str">
        <f t="shared" si="736"/>
        <v>50</v>
      </c>
      <c r="AT1705" s="27" t="str">
        <f t="shared" si="737"/>
        <v/>
      </c>
      <c r="AU1705" s="27" t="str">
        <f t="shared" si="738"/>
        <v/>
      </c>
      <c r="AV1705" s="27" t="str">
        <f t="shared" si="739"/>
        <v/>
      </c>
      <c r="AW1705" s="27" t="str">
        <f t="shared" si="740"/>
        <v/>
      </c>
      <c r="AX1705" s="27" t="str">
        <f t="shared" si="741"/>
        <v>WZ204</v>
      </c>
      <c r="AY1705" s="27" t="str">
        <f t="shared" si="742"/>
        <v/>
      </c>
      <c r="AZ1705" s="27" t="str">
        <f t="shared" si="743"/>
        <v>Supp</v>
      </c>
      <c r="BA1705" s="27" t="str">
        <f t="shared" si="744"/>
        <v/>
      </c>
      <c r="BB1705" s="27" t="str">
        <f t="shared" si="745"/>
        <v/>
      </c>
      <c r="BC1705" s="27" t="str">
        <f t="shared" si="746"/>
        <v/>
      </c>
      <c r="BD1705" s="27" t="str">
        <f t="shared" si="747"/>
        <v/>
      </c>
      <c r="BE1705" s="27" t="str">
        <f t="shared" si="748"/>
        <v/>
      </c>
      <c r="BF1705" s="27" t="str">
        <f t="shared" si="749"/>
        <v/>
      </c>
      <c r="BG1705" s="27" t="str">
        <f t="shared" si="750"/>
        <v/>
      </c>
      <c r="BH1705" s="27" t="str">
        <f t="shared" si="751"/>
        <v/>
      </c>
      <c r="BI1705" s="27" t="str">
        <f t="shared" si="752"/>
        <v/>
      </c>
      <c r="BJ1705" s="27" t="str">
        <f t="shared" si="753"/>
        <v>Supp or Hun</v>
      </c>
      <c r="BK1705" s="27" t="str">
        <f t="shared" si="754"/>
        <v/>
      </c>
      <c r="BL1705" s="27" t="str">
        <f t="shared" si="755"/>
        <v/>
      </c>
      <c r="BM1705" s="21" t="s">
        <v>5581</v>
      </c>
    </row>
    <row r="1706" spans="1:65" ht="15">
      <c r="A1706" s="25" t="str">
        <f>IFERROR(INDEX('Hun Demand'!W:W,MATCH(O1706,'Hun Demand'!A:A,0)),"")</f>
        <v/>
      </c>
      <c r="B1706" s="25" t="str">
        <f>IFERROR(INDEX('Hun Demand'!V:V,MATCH(O1706,'Hun Demand'!A:A,0)),"")</f>
        <v/>
      </c>
      <c r="C1706" s="25" t="str">
        <f>IFERROR(INDEX('Hun Demand'!U:U,MATCH(O1706,'Hun Demand'!A:A,0)),"")</f>
        <v/>
      </c>
      <c r="D1706" s="25" t="str">
        <f>IFERROR(INDEX('Hun Demand'!T:T,MATCH(O1706,'Hun Demand'!A:A,0)),"")</f>
        <v/>
      </c>
      <c r="E1706" s="25" t="str">
        <f>IFERROR(INDEX('Hun Demand'!S:S,MATCH(O1706,'Hun Demand'!A:A,0)),"")</f>
        <v/>
      </c>
      <c r="F1706" s="25" t="str">
        <f>IFERROR(INDEX('Hun Demand'!R:R,MATCH(O1706,'Hun Demand'!A:A,0)),"")</f>
        <v/>
      </c>
      <c r="G1706" s="25">
        <f>IFERROR(INDEX('Aub Demand'!W:W,MATCH(O1706,'Aub Demand'!A:A,0)),"")</f>
        <v>0</v>
      </c>
      <c r="H1706" s="25">
        <f>IFERROR(INDEX('Aub Demand'!V:V,MATCH(O1706,'Aub Demand'!A:A,0)),"")</f>
        <v>0</v>
      </c>
      <c r="I1706" s="25">
        <f>IFERROR(INDEX('Aub Demand'!U:U,MATCH(O1706,'Aub Demand'!A:A,0)),"")</f>
        <v>0</v>
      </c>
      <c r="J1706" s="25">
        <f>IFERROR(INDEX('Aub Demand'!T:T,MATCH(O1706,'Aub Demand'!A:A,0)),"")</f>
        <v>21</v>
      </c>
      <c r="K1706" s="25">
        <f>IFERROR(INDEX('Aub Demand'!S:S,MATCH(O1706,'Aub Demand'!A:A,0)),"")</f>
        <v>0</v>
      </c>
      <c r="L1706" s="25">
        <f>IFERROR(INDEX('Aub Demand'!R:R,MATCH(O1706,'Aub Demand'!A:A,0)),"")</f>
        <v>23</v>
      </c>
      <c r="O1706" s="27" t="s">
        <v>3263</v>
      </c>
      <c r="P1706" s="27" t="str">
        <f>IFERROR(INDEX('Aub Demand'!B:B,MATCH($O1706,'Aub Demand'!$A:$A,0)),"")</f>
        <v>KENDO</v>
      </c>
      <c r="Q1706" s="27" t="str">
        <f>IFERROR(INDEX('Aub Demand'!C:C,MATCH($O1706,'Aub Demand'!$A:$A,0)),"")</f>
        <v>DNP A</v>
      </c>
      <c r="R1706" s="52">
        <f>IFERROR(IF(AR1707=AR1706,INDEX('Aub Demand'!K:K,MATCH($O1706,'Aub Demand'!$A:$A,0))-IF(AN1706="",0,AN1706)+AP1707,INDEX('Aub Demand'!K:K,MATCH($O1706,'Aub Demand'!$A:$A,0))-IF(AN1706="",0,AN1706)),"")</f>
        <v>256</v>
      </c>
      <c r="S1706" s="53">
        <f t="shared" si="728"/>
        <v>156.69999999999999</v>
      </c>
      <c r="T1706" s="52" t="str">
        <f t="shared" si="729"/>
        <v/>
      </c>
      <c r="U1706" s="52">
        <f>IFERROR(IF(AR1707=AR1706,INDEX('Aub Demand'!Q:Q,MATCH($O1706,'Aub Demand'!$A:$A,0))-IF(AN1706="",0,AN1706)+AP1707,INDEX('Aub Demand'!Q:Q,MATCH($O1706,'Aub Demand'!$A:$A,0))-IF(AN1706="",0,AN1706)),"")</f>
        <v>236</v>
      </c>
      <c r="V1706" s="53">
        <f t="shared" si="730"/>
        <v>144.5</v>
      </c>
      <c r="W1706" s="52" t="str">
        <f t="shared" si="731"/>
        <v/>
      </c>
      <c r="X1706" s="52">
        <f>IFERROR(IF(AND(AR1707=AR1706,AM1706&lt;&gt;""),INDEX('Aub Demand'!Q:Q,MATCH($O1706,'Aub Demand'!$A:$A,0))-IF(AN1706="",0,AN1706)+AP1707+AD1706+AL1706,IF(AR1707=AR1706,INDEX('Aub Demand'!Q:Q,MATCH($O1706,'Aub Demand'!$A:$A,0))-IF(AN1706="",0,AN1706)+AP1707+AD1706,IF(AM1706&lt;&gt;"",INDEX('Aub Demand'!Q:Q,MATCH($O1706,'Aub Demand'!$A:$A,0))-IF(AN1706="",0,AN1706)+AD1706+AL1706,INDEX('Aub Demand'!Q:Q,MATCH($O1706,'Aub Demand'!$A:$A,0))-IF(AN1706="",0,AN1706)+AD1706))),"")</f>
        <v>236</v>
      </c>
      <c r="Y1706" s="53">
        <f t="shared" si="732"/>
        <v>144.5</v>
      </c>
      <c r="Z1706" s="52">
        <f>IF(L1706="","",INDEX('Aub Demand'!H:H,MATCH($O1706,'Aub Demand'!$A:$A,0)))</f>
        <v>7</v>
      </c>
      <c r="AA1706" s="52">
        <f t="shared" si="733"/>
        <v>22</v>
      </c>
      <c r="AB1706" s="52">
        <f>IFERROR(INDEX('Aub Demand'!L:L,MATCH($O1706,'Aub Demand'!$A:$A,0)),"")</f>
        <v>24</v>
      </c>
      <c r="AC1706" s="52">
        <f>IFERROR(IF(O1706="","",SUMIFS('CPL Mats'!F:F,'CPL Mats'!Q:Q,AR1706,'CPL Mats'!S:S,AS1706)),"")</f>
        <v>0</v>
      </c>
      <c r="AF1706" s="25">
        <f>IF(SUMIFS('Supp Consol'!S:S,'Supp Consol'!Y:Y,"Releasable",'Supp Consol'!A:A,O1706)=0,"",SUMIFS('Supp Consol'!S:S,'Supp Consol'!Y:Y,"Releasable",'Supp Consol'!A:A,O1706))</f>
        <v>1462</v>
      </c>
      <c r="AG1706" s="25" t="str">
        <f>IFERROR(INDEX('Hun Demand'!Q:Q,MATCH(O1706,'Hun Demand'!A:A,0)),"")</f>
        <v/>
      </c>
      <c r="AH1706" s="25" t="str">
        <f>IFERROR(INDEX('Hun Demand'!H:H,MATCH($O1706,'Hun Demand'!$A:$A,0)),"")</f>
        <v/>
      </c>
      <c r="AI1706" s="25" t="str">
        <f>IF(SUMIFS('Supp Consol'!AA:AA,'Supp Consol'!Z:Z,"Expires this month",'Supp Consol'!A:A,O1706)=0,"",SUMIFS('Supp Consol'!AA:AA,'Supp Consol'!Z:Z,"Expires this month",'Supp Consol'!A:A,O1706))</f>
        <v/>
      </c>
      <c r="AJ1706" s="25" t="str">
        <f>IF(SUMIFS('Supp Consol'!AA:AA,'Supp Consol'!Z:Z,"Expired Previous Months",'Supp Consol'!A:A,O1706)=0,"",SUMIFS('Supp Consol'!AA:AA,'Supp Consol'!Z:Z,"Expired Previous Months",'Supp Consol'!A:A,O1706))</f>
        <v/>
      </c>
      <c r="AK1706" s="25" t="str">
        <f>IFERROR(INDEX('Hun Release Current'!B:B,MATCH(O1706,'Hun Release Current'!A:A,0)),"")</f>
        <v/>
      </c>
      <c r="AL1706" s="25" t="str">
        <f>IF(SUMIF('Prev Aub'!A:A,O1706,'Prev Aub'!B:B)=0,"",SUMIF('Prev Aub'!A:A,O1706,'Prev Aub'!B:B))</f>
        <v/>
      </c>
      <c r="AN1706" s="25">
        <v>50</v>
      </c>
      <c r="AO1706" s="25" t="s">
        <v>3790</v>
      </c>
      <c r="AP1706" s="25">
        <f t="shared" si="734"/>
        <v>40</v>
      </c>
      <c r="AQ1706" s="151" t="str">
        <f>IF(SUMIFS('Supp Consol'!S:S,'Supp Consol'!A:A,O1706,'Supp Consol'!I:I,"PENDING")=0,"",SUMIFS('Supp Consol'!S:S,'Supp Consol'!A:A,O1706,'Supp Consol'!I:I,"PENDING"))</f>
        <v/>
      </c>
      <c r="AR1706" s="27" t="str">
        <f t="shared" si="735"/>
        <v>WZ204</v>
      </c>
      <c r="AS1706" s="27" t="str">
        <f t="shared" si="736"/>
        <v>62</v>
      </c>
      <c r="AT1706" s="27" t="str">
        <f t="shared" si="737"/>
        <v/>
      </c>
      <c r="AU1706" s="27" t="str">
        <f t="shared" si="738"/>
        <v/>
      </c>
      <c r="AV1706" s="27" t="str">
        <f t="shared" si="739"/>
        <v/>
      </c>
      <c r="AW1706" s="27" t="str">
        <f t="shared" si="740"/>
        <v/>
      </c>
      <c r="AX1706" s="27" t="str">
        <f t="shared" si="741"/>
        <v>WZ204</v>
      </c>
      <c r="AY1706" s="27" t="str">
        <f t="shared" si="742"/>
        <v/>
      </c>
      <c r="AZ1706" s="27" t="str">
        <f t="shared" si="743"/>
        <v>Supp</v>
      </c>
      <c r="BA1706" s="27" t="str">
        <f t="shared" si="744"/>
        <v/>
      </c>
      <c r="BB1706" s="27" t="str">
        <f t="shared" si="745"/>
        <v/>
      </c>
      <c r="BC1706" s="27" t="str">
        <f t="shared" si="746"/>
        <v/>
      </c>
      <c r="BD1706" s="27" t="str">
        <f t="shared" si="747"/>
        <v/>
      </c>
      <c r="BE1706" s="27" t="str">
        <f t="shared" si="748"/>
        <v/>
      </c>
      <c r="BF1706" s="27" t="str">
        <f t="shared" si="749"/>
        <v/>
      </c>
      <c r="BG1706" s="27" t="str">
        <f t="shared" si="750"/>
        <v/>
      </c>
      <c r="BH1706" s="27" t="str">
        <f t="shared" si="751"/>
        <v/>
      </c>
      <c r="BI1706" s="27" t="str">
        <f t="shared" si="752"/>
        <v/>
      </c>
      <c r="BJ1706" s="27" t="str">
        <f t="shared" si="753"/>
        <v>Supp or Hun</v>
      </c>
      <c r="BK1706" s="27" t="str">
        <f t="shared" si="754"/>
        <v/>
      </c>
      <c r="BL1706" s="27" t="str">
        <f t="shared" si="755"/>
        <v/>
      </c>
      <c r="BM1706" s="21" t="s">
        <v>5581</v>
      </c>
    </row>
    <row r="1707" spans="1:65" ht="15">
      <c r="A1707" s="25" t="str">
        <f>IFERROR(INDEX('Hun Demand'!W:W,MATCH(O1707,'Hun Demand'!A:A,0)),"")</f>
        <v/>
      </c>
      <c r="B1707" s="25" t="str">
        <f>IFERROR(INDEX('Hun Demand'!V:V,MATCH(O1707,'Hun Demand'!A:A,0)),"")</f>
        <v/>
      </c>
      <c r="C1707" s="25" t="str">
        <f>IFERROR(INDEX('Hun Demand'!U:U,MATCH(O1707,'Hun Demand'!A:A,0)),"")</f>
        <v/>
      </c>
      <c r="D1707" s="25" t="str">
        <f>IFERROR(INDEX('Hun Demand'!T:T,MATCH(O1707,'Hun Demand'!A:A,0)),"")</f>
        <v/>
      </c>
      <c r="E1707" s="25" t="str">
        <f>IFERROR(INDEX('Hun Demand'!S:S,MATCH(O1707,'Hun Demand'!A:A,0)),"")</f>
        <v/>
      </c>
      <c r="F1707" s="25" t="str">
        <f>IFERROR(INDEX('Hun Demand'!R:R,MATCH(O1707,'Hun Demand'!A:A,0)),"")</f>
        <v/>
      </c>
      <c r="G1707" s="25">
        <f>IFERROR(INDEX('Aub Demand'!W:W,MATCH(O1707,'Aub Demand'!A:A,0)),"")</f>
        <v>246</v>
      </c>
      <c r="H1707" s="25">
        <f>IFERROR(INDEX('Aub Demand'!V:V,MATCH(O1707,'Aub Demand'!A:A,0)),"")</f>
        <v>121</v>
      </c>
      <c r="I1707" s="25">
        <f>IFERROR(INDEX('Aub Demand'!U:U,MATCH(O1707,'Aub Demand'!A:A,0)),"")</f>
        <v>315</v>
      </c>
      <c r="J1707" s="25">
        <f>IFERROR(INDEX('Aub Demand'!T:T,MATCH(O1707,'Aub Demand'!A:A,0)),"")</f>
        <v>161</v>
      </c>
      <c r="K1707" s="25">
        <f>IFERROR(INDEX('Aub Demand'!S:S,MATCH(O1707,'Aub Demand'!A:A,0)),"")</f>
        <v>5</v>
      </c>
      <c r="L1707" s="25">
        <f>IFERROR(INDEX('Aub Demand'!R:R,MATCH(O1707,'Aub Demand'!A:A,0)),"")</f>
        <v>0</v>
      </c>
      <c r="O1707" s="27" t="s">
        <v>3265</v>
      </c>
      <c r="P1707" s="27" t="str">
        <f>IFERROR(INDEX('Aub Demand'!B:B,MATCH($O1707,'Aub Demand'!$A:$A,0)),"")</f>
        <v>TENDU 50"</v>
      </c>
      <c r="Q1707" s="27" t="str">
        <f>IFERROR(INDEX('Aub Demand'!C:C,MATCH($O1707,'Aub Demand'!$A:$A,0)),"")</f>
        <v>DNP A</v>
      </c>
      <c r="R1707" s="52">
        <f>IFERROR(IF(AR1708=AR1707,INDEX('Aub Demand'!K:K,MATCH($O1707,'Aub Demand'!$A:$A,0))-IF(AN1707="",0,AN1707)+AP1708,INDEX('Aub Demand'!K:K,MATCH($O1707,'Aub Demand'!$A:$A,0))-IF(AN1707="",0,AN1707)),"")</f>
        <v>2192</v>
      </c>
      <c r="S1707" s="53">
        <f t="shared" si="728"/>
        <v>58.7</v>
      </c>
      <c r="T1707" s="52" t="str">
        <f t="shared" si="729"/>
        <v/>
      </c>
      <c r="U1707" s="52">
        <f>IFERROR(IF(AR1708=AR1707,INDEX('Aub Demand'!Q:Q,MATCH($O1707,'Aub Demand'!$A:$A,0))-IF(AN1707="",0,AN1707)+AP1708,INDEX('Aub Demand'!Q:Q,MATCH($O1707,'Aub Demand'!$A:$A,0))-IF(AN1707="",0,AN1707)),"")</f>
        <v>2151</v>
      </c>
      <c r="V1707" s="53">
        <f t="shared" si="730"/>
        <v>57.6</v>
      </c>
      <c r="W1707" s="52" t="str">
        <f t="shared" si="731"/>
        <v/>
      </c>
      <c r="X1707" s="52">
        <f>IFERROR(IF(AND(AR1708=AR1707,AM1707&lt;&gt;""),INDEX('Aub Demand'!Q:Q,MATCH($O1707,'Aub Demand'!$A:$A,0))-IF(AN1707="",0,AN1707)+AP1708+AD1707+AL1707,IF(AR1708=AR1707,INDEX('Aub Demand'!Q:Q,MATCH($O1707,'Aub Demand'!$A:$A,0))-IF(AN1707="",0,AN1707)+AP1708+AD1707,IF(AM1707&lt;&gt;"",INDEX('Aub Demand'!Q:Q,MATCH($O1707,'Aub Demand'!$A:$A,0))-IF(AN1707="",0,AN1707)+AD1707+AL1707,INDEX('Aub Demand'!Q:Q,MATCH($O1707,'Aub Demand'!$A:$A,0))-IF(AN1707="",0,AN1707)+AD1707))),"")</f>
        <v>2151</v>
      </c>
      <c r="Y1707" s="53">
        <f t="shared" si="732"/>
        <v>57.6</v>
      </c>
      <c r="Z1707" s="52">
        <f>IF(L1707="","",INDEX('Aub Demand'!H:H,MATCH($O1707,'Aub Demand'!$A:$A,0)))</f>
        <v>160</v>
      </c>
      <c r="AA1707" s="52">
        <f t="shared" si="733"/>
        <v>238</v>
      </c>
      <c r="AB1707" s="52">
        <f>IFERROR(INDEX('Aub Demand'!L:L,MATCH($O1707,'Aub Demand'!$A:$A,0)),"")</f>
        <v>17</v>
      </c>
      <c r="AC1707" s="52">
        <f>IFERROR(IF(O1707="","",SUMIFS('CPL Mats'!F:F,'CPL Mats'!Q:Q,AR1707,'CPL Mats'!S:S,AS1707)),"")</f>
        <v>0</v>
      </c>
      <c r="AF1707" s="25" t="str">
        <f>IF(SUMIFS('Supp Consol'!S:S,'Supp Consol'!Y:Y,"Releasable",'Supp Consol'!A:A,O1707)=0,"",SUMIFS('Supp Consol'!S:S,'Supp Consol'!Y:Y,"Releasable",'Supp Consol'!A:A,O1707))</f>
        <v/>
      </c>
      <c r="AG1707" s="25" t="str">
        <f>IFERROR(INDEX('Hun Demand'!Q:Q,MATCH(O1707,'Hun Demand'!A:A,0)),"")</f>
        <v/>
      </c>
      <c r="AH1707" s="25" t="str">
        <f>IFERROR(INDEX('Hun Demand'!H:H,MATCH($O1707,'Hun Demand'!$A:$A,0)),"")</f>
        <v/>
      </c>
      <c r="AI1707" s="25" t="str">
        <f>IF(SUMIFS('Supp Consol'!AA:AA,'Supp Consol'!Z:Z,"Expires this month",'Supp Consol'!A:A,O1707)=0,"",SUMIFS('Supp Consol'!AA:AA,'Supp Consol'!Z:Z,"Expires this month",'Supp Consol'!A:A,O1707))</f>
        <v/>
      </c>
      <c r="AJ1707" s="25" t="str">
        <f>IF(SUMIFS('Supp Consol'!AA:AA,'Supp Consol'!Z:Z,"Expired Previous Months",'Supp Consol'!A:A,O1707)=0,"",SUMIFS('Supp Consol'!AA:AA,'Supp Consol'!Z:Z,"Expired Previous Months",'Supp Consol'!A:A,O1707))</f>
        <v/>
      </c>
      <c r="AK1707" s="25" t="str">
        <f>IFERROR(INDEX('Hun Release Current'!B:B,MATCH(O1707,'Hun Release Current'!A:A,0)),"")</f>
        <v/>
      </c>
      <c r="AL1707" s="25" t="str">
        <f>IF(SUMIF('Prev Aub'!A:A,O1707,'Prev Aub'!B:B)=0,"",SUMIF('Prev Aub'!A:A,O1707,'Prev Aub'!B:B))</f>
        <v/>
      </c>
      <c r="AN1707" s="25" t="s">
        <v>3790</v>
      </c>
      <c r="AO1707" s="25" t="s">
        <v>3790</v>
      </c>
      <c r="AP1707" s="25">
        <f t="shared" si="734"/>
        <v>0</v>
      </c>
      <c r="AQ1707" s="151" t="str">
        <f>IF(SUMIFS('Supp Consol'!S:S,'Supp Consol'!A:A,O1707,'Supp Consol'!I:I,"PENDING")=0,"",SUMIFS('Supp Consol'!S:S,'Supp Consol'!A:A,O1707,'Supp Consol'!I:I,"PENDING"))</f>
        <v/>
      </c>
      <c r="AR1707" s="27" t="str">
        <f t="shared" si="735"/>
        <v>WZ207</v>
      </c>
      <c r="AS1707" s="27" t="str">
        <f t="shared" si="736"/>
        <v>50</v>
      </c>
      <c r="AT1707" s="27" t="str">
        <f t="shared" si="737"/>
        <v/>
      </c>
      <c r="AU1707" s="27" t="str">
        <f t="shared" si="738"/>
        <v/>
      </c>
      <c r="AV1707" s="27" t="str">
        <f t="shared" si="739"/>
        <v/>
      </c>
      <c r="AW1707" s="27" t="str">
        <f t="shared" si="740"/>
        <v/>
      </c>
      <c r="AX1707" s="27" t="str">
        <f t="shared" si="741"/>
        <v/>
      </c>
      <c r="AY1707" s="27" t="str">
        <f t="shared" si="742"/>
        <v/>
      </c>
      <c r="AZ1707" s="27" t="str">
        <f t="shared" si="743"/>
        <v/>
      </c>
      <c r="BA1707" s="27" t="str">
        <f t="shared" si="744"/>
        <v/>
      </c>
      <c r="BB1707" s="27" t="str">
        <f t="shared" si="745"/>
        <v/>
      </c>
      <c r="BC1707" s="27" t="str">
        <f t="shared" si="746"/>
        <v/>
      </c>
      <c r="BD1707" s="27" t="str">
        <f t="shared" si="747"/>
        <v/>
      </c>
      <c r="BE1707" s="27" t="str">
        <f t="shared" si="748"/>
        <v/>
      </c>
      <c r="BF1707" s="27" t="str">
        <f t="shared" si="749"/>
        <v/>
      </c>
      <c r="BG1707" s="27" t="str">
        <f t="shared" si="750"/>
        <v/>
      </c>
      <c r="BH1707" s="27" t="str">
        <f t="shared" si="751"/>
        <v/>
      </c>
      <c r="BI1707" s="27" t="str">
        <f t="shared" si="752"/>
        <v/>
      </c>
      <c r="BJ1707" s="27" t="str">
        <f t="shared" si="753"/>
        <v/>
      </c>
      <c r="BK1707" s="27" t="str">
        <f t="shared" si="754"/>
        <v/>
      </c>
      <c r="BL1707" s="27" t="str">
        <f t="shared" si="755"/>
        <v/>
      </c>
      <c r="BM1707" s="21" t="s">
        <v>5581</v>
      </c>
    </row>
    <row r="1708" spans="1:65" ht="15">
      <c r="A1708" s="25" t="str">
        <f>IFERROR(INDEX('Hun Demand'!W:W,MATCH(O1708,'Hun Demand'!A:A,0)),"")</f>
        <v/>
      </c>
      <c r="B1708" s="25" t="str">
        <f>IFERROR(INDEX('Hun Demand'!V:V,MATCH(O1708,'Hun Demand'!A:A,0)),"")</f>
        <v/>
      </c>
      <c r="C1708" s="25" t="str">
        <f>IFERROR(INDEX('Hun Demand'!U:U,MATCH(O1708,'Hun Demand'!A:A,0)),"")</f>
        <v/>
      </c>
      <c r="D1708" s="25" t="str">
        <f>IFERROR(INDEX('Hun Demand'!T:T,MATCH(O1708,'Hun Demand'!A:A,0)),"")</f>
        <v/>
      </c>
      <c r="E1708" s="25" t="str">
        <f>IFERROR(INDEX('Hun Demand'!S:S,MATCH(O1708,'Hun Demand'!A:A,0)),"")</f>
        <v/>
      </c>
      <c r="F1708" s="25" t="str">
        <f>IFERROR(INDEX('Hun Demand'!R:R,MATCH(O1708,'Hun Demand'!A:A,0)),"")</f>
        <v/>
      </c>
      <c r="G1708" s="25">
        <f>IFERROR(INDEX('Aub Demand'!W:W,MATCH(O1708,'Aub Demand'!A:A,0)),"")</f>
        <v>15</v>
      </c>
      <c r="H1708" s="25">
        <f>IFERROR(INDEX('Aub Demand'!V:V,MATCH(O1708,'Aub Demand'!A:A,0)),"")</f>
        <v>15</v>
      </c>
      <c r="I1708" s="25">
        <f>IFERROR(INDEX('Aub Demand'!U:U,MATCH(O1708,'Aub Demand'!A:A,0)),"")</f>
        <v>138</v>
      </c>
      <c r="J1708" s="25">
        <f>IFERROR(INDEX('Aub Demand'!T:T,MATCH(O1708,'Aub Demand'!A:A,0)),"")</f>
        <v>66</v>
      </c>
      <c r="K1708" s="25">
        <f>IFERROR(INDEX('Aub Demand'!S:S,MATCH(O1708,'Aub Demand'!A:A,0)),"")</f>
        <v>68</v>
      </c>
      <c r="L1708" s="25">
        <f>IFERROR(INDEX('Aub Demand'!R:R,MATCH(O1708,'Aub Demand'!A:A,0)),"")</f>
        <v>0</v>
      </c>
      <c r="O1708" s="27" t="s">
        <v>3267</v>
      </c>
      <c r="P1708" s="27" t="str">
        <f>IFERROR(INDEX('Aub Demand'!B:B,MATCH($O1708,'Aub Demand'!$A:$A,0)),"")</f>
        <v>TENDU 60"</v>
      </c>
      <c r="Q1708" s="27" t="str">
        <f>IFERROR(INDEX('Aub Demand'!C:C,MATCH($O1708,'Aub Demand'!$A:$A,0)),"")</f>
        <v>DNP A</v>
      </c>
      <c r="R1708" s="52">
        <f>IFERROR(IF(AR1709=AR1708,INDEX('Aub Demand'!K:K,MATCH($O1708,'Aub Demand'!$A:$A,0))-IF(AN1708="",0,AN1708)+AP1709,INDEX('Aub Demand'!K:K,MATCH($O1708,'Aub Demand'!$A:$A,0))-IF(AN1708="",0,AN1708)),"")</f>
        <v>226</v>
      </c>
      <c r="S1708" s="53">
        <f t="shared" si="728"/>
        <v>10.6</v>
      </c>
      <c r="T1708" s="52" t="str">
        <f t="shared" si="729"/>
        <v/>
      </c>
      <c r="U1708" s="52">
        <f>IFERROR(IF(AR1709=AR1708,INDEX('Aub Demand'!Q:Q,MATCH($O1708,'Aub Demand'!$A:$A,0))-IF(AN1708="",0,AN1708)+AP1709,INDEX('Aub Demand'!Q:Q,MATCH($O1708,'Aub Demand'!$A:$A,0))-IF(AN1708="",0,AN1708)),"")</f>
        <v>226</v>
      </c>
      <c r="V1708" s="53">
        <f t="shared" si="730"/>
        <v>10.6</v>
      </c>
      <c r="W1708" s="52" t="str">
        <f t="shared" si="731"/>
        <v/>
      </c>
      <c r="X1708" s="52">
        <f>IFERROR(IF(AND(AR1709=AR1708,AM1708&lt;&gt;""),INDEX('Aub Demand'!Q:Q,MATCH($O1708,'Aub Demand'!$A:$A,0))-IF(AN1708="",0,AN1708)+AP1709+AD1708+AL1708,IF(AR1709=AR1708,INDEX('Aub Demand'!Q:Q,MATCH($O1708,'Aub Demand'!$A:$A,0))-IF(AN1708="",0,AN1708)+AP1709+AD1708,IF(AM1708&lt;&gt;"",INDEX('Aub Demand'!Q:Q,MATCH($O1708,'Aub Demand'!$A:$A,0))-IF(AN1708="",0,AN1708)+AD1708+AL1708,INDEX('Aub Demand'!Q:Q,MATCH($O1708,'Aub Demand'!$A:$A,0))-IF(AN1708="",0,AN1708)+AD1708))),"")</f>
        <v>226</v>
      </c>
      <c r="Y1708" s="53">
        <f t="shared" si="732"/>
        <v>10.6</v>
      </c>
      <c r="Z1708" s="52">
        <f>IF(L1708="","",INDEX('Aub Demand'!H:H,MATCH($O1708,'Aub Demand'!$A:$A,0)))</f>
        <v>91</v>
      </c>
      <c r="AA1708" s="52">
        <f t="shared" si="733"/>
        <v>103</v>
      </c>
      <c r="AB1708" s="52">
        <f>IFERROR(INDEX('Aub Demand'!L:L,MATCH($O1708,'Aub Demand'!$A:$A,0)),"")</f>
        <v>29</v>
      </c>
      <c r="AC1708" s="52">
        <f>IFERROR(IF(O1708="","",SUMIFS('CPL Mats'!F:F,'CPL Mats'!Q:Q,AR1708,'CPL Mats'!S:S,AS1708)),"")</f>
        <v>0</v>
      </c>
      <c r="AF1708" s="25" t="str">
        <f>IF(SUMIFS('Supp Consol'!S:S,'Supp Consol'!Y:Y,"Releasable",'Supp Consol'!A:A,O1708)=0,"",SUMIFS('Supp Consol'!S:S,'Supp Consol'!Y:Y,"Releasable",'Supp Consol'!A:A,O1708))</f>
        <v/>
      </c>
      <c r="AG1708" s="25" t="str">
        <f>IFERROR(INDEX('Hun Demand'!Q:Q,MATCH(O1708,'Hun Demand'!A:A,0)),"")</f>
        <v/>
      </c>
      <c r="AH1708" s="25" t="str">
        <f>IFERROR(INDEX('Hun Demand'!H:H,MATCH($O1708,'Hun Demand'!$A:$A,0)),"")</f>
        <v/>
      </c>
      <c r="AI1708" s="25" t="str">
        <f>IF(SUMIFS('Supp Consol'!AA:AA,'Supp Consol'!Z:Z,"Expires this month",'Supp Consol'!A:A,O1708)=0,"",SUMIFS('Supp Consol'!AA:AA,'Supp Consol'!Z:Z,"Expires this month",'Supp Consol'!A:A,O1708))</f>
        <v/>
      </c>
      <c r="AJ1708" s="25" t="str">
        <f>IF(SUMIFS('Supp Consol'!AA:AA,'Supp Consol'!Z:Z,"Expired Previous Months",'Supp Consol'!A:A,O1708)=0,"",SUMIFS('Supp Consol'!AA:AA,'Supp Consol'!Z:Z,"Expired Previous Months",'Supp Consol'!A:A,O1708))</f>
        <v/>
      </c>
      <c r="AK1708" s="25" t="str">
        <f>IFERROR(INDEX('Hun Release Current'!B:B,MATCH(O1708,'Hun Release Current'!A:A,0)),"")</f>
        <v/>
      </c>
      <c r="AL1708" s="25" t="str">
        <f>IF(SUMIF('Prev Aub'!A:A,O1708,'Prev Aub'!B:B)=0,"",SUMIF('Prev Aub'!A:A,O1708,'Prev Aub'!B:B))</f>
        <v/>
      </c>
      <c r="AN1708" s="25" t="s">
        <v>3790</v>
      </c>
      <c r="AO1708" s="25" t="s">
        <v>3790</v>
      </c>
      <c r="AP1708" s="25">
        <f t="shared" si="734"/>
        <v>0</v>
      </c>
      <c r="AQ1708" s="151" t="str">
        <f>IF(SUMIFS('Supp Consol'!S:S,'Supp Consol'!A:A,O1708,'Supp Consol'!I:I,"PENDING")=0,"",SUMIFS('Supp Consol'!S:S,'Supp Consol'!A:A,O1708,'Supp Consol'!I:I,"PENDING"))</f>
        <v/>
      </c>
      <c r="AR1708" s="27" t="str">
        <f t="shared" si="735"/>
        <v>WZ207</v>
      </c>
      <c r="AS1708" s="27" t="str">
        <f t="shared" si="736"/>
        <v>62</v>
      </c>
      <c r="AT1708" s="27" t="str">
        <f t="shared" si="737"/>
        <v/>
      </c>
      <c r="AU1708" s="27" t="str">
        <f t="shared" si="738"/>
        <v/>
      </c>
      <c r="AV1708" s="27" t="str">
        <f t="shared" si="739"/>
        <v/>
      </c>
      <c r="AW1708" s="27" t="str">
        <f t="shared" si="740"/>
        <v/>
      </c>
      <c r="AX1708" s="27" t="str">
        <f t="shared" si="741"/>
        <v/>
      </c>
      <c r="AY1708" s="27" t="str">
        <f t="shared" si="742"/>
        <v/>
      </c>
      <c r="AZ1708" s="27" t="str">
        <f t="shared" si="743"/>
        <v/>
      </c>
      <c r="BA1708" s="27" t="str">
        <f t="shared" si="744"/>
        <v/>
      </c>
      <c r="BB1708" s="27" t="str">
        <f t="shared" si="745"/>
        <v/>
      </c>
      <c r="BC1708" s="27" t="str">
        <f t="shared" si="746"/>
        <v/>
      </c>
      <c r="BD1708" s="27" t="str">
        <f t="shared" si="747"/>
        <v/>
      </c>
      <c r="BE1708" s="27" t="str">
        <f t="shared" si="748"/>
        <v/>
      </c>
      <c r="BF1708" s="27" t="str">
        <f t="shared" si="749"/>
        <v/>
      </c>
      <c r="BG1708" s="27" t="str">
        <f t="shared" si="750"/>
        <v/>
      </c>
      <c r="BH1708" s="27" t="str">
        <f t="shared" si="751"/>
        <v/>
      </c>
      <c r="BI1708" s="27" t="str">
        <f t="shared" si="752"/>
        <v/>
      </c>
      <c r="BJ1708" s="27" t="str">
        <f t="shared" si="753"/>
        <v/>
      </c>
      <c r="BK1708" s="27" t="str">
        <f t="shared" si="754"/>
        <v/>
      </c>
      <c r="BL1708" s="27" t="str">
        <f t="shared" si="755"/>
        <v/>
      </c>
      <c r="BM1708" s="21" t="s">
        <v>5581</v>
      </c>
    </row>
    <row r="1709" spans="1:65" ht="15">
      <c r="A1709" s="25" t="str">
        <f>IFERROR(INDEX('Hun Demand'!W:W,MATCH(O1709,'Hun Demand'!A:A,0)),"")</f>
        <v/>
      </c>
      <c r="B1709" s="25" t="str">
        <f>IFERROR(INDEX('Hun Demand'!V:V,MATCH(O1709,'Hun Demand'!A:A,0)),"")</f>
        <v/>
      </c>
      <c r="C1709" s="25" t="str">
        <f>IFERROR(INDEX('Hun Demand'!U:U,MATCH(O1709,'Hun Demand'!A:A,0)),"")</f>
        <v/>
      </c>
      <c r="D1709" s="25" t="str">
        <f>IFERROR(INDEX('Hun Demand'!T:T,MATCH(O1709,'Hun Demand'!A:A,0)),"")</f>
        <v/>
      </c>
      <c r="E1709" s="25" t="str">
        <f>IFERROR(INDEX('Hun Demand'!S:S,MATCH(O1709,'Hun Demand'!A:A,0)),"")</f>
        <v/>
      </c>
      <c r="F1709" s="25" t="str">
        <f>IFERROR(INDEX('Hun Demand'!R:R,MATCH(O1709,'Hun Demand'!A:A,0)),"")</f>
        <v/>
      </c>
      <c r="G1709" s="25">
        <f>IFERROR(INDEX('Aub Demand'!W:W,MATCH(O1709,'Aub Demand'!A:A,0)),"")</f>
        <v>20</v>
      </c>
      <c r="H1709" s="25">
        <f>IFERROR(INDEX('Aub Demand'!V:V,MATCH(O1709,'Aub Demand'!A:A,0)),"")</f>
        <v>0</v>
      </c>
      <c r="I1709" s="25">
        <f>IFERROR(INDEX('Aub Demand'!U:U,MATCH(O1709,'Aub Demand'!A:A,0)),"")</f>
        <v>0</v>
      </c>
      <c r="J1709" s="25">
        <f>IFERROR(INDEX('Aub Demand'!T:T,MATCH(O1709,'Aub Demand'!A:A,0)),"")</f>
        <v>0</v>
      </c>
      <c r="K1709" s="25">
        <f>IFERROR(INDEX('Aub Demand'!S:S,MATCH(O1709,'Aub Demand'!A:A,0)),"")</f>
        <v>0</v>
      </c>
      <c r="L1709" s="25">
        <f>IFERROR(INDEX('Aub Demand'!R:R,MATCH(O1709,'Aub Demand'!A:A,0)),"")</f>
        <v>0</v>
      </c>
      <c r="O1709" s="27" t="s">
        <v>3269</v>
      </c>
      <c r="P1709" s="27" t="str">
        <f>IFERROR(INDEX('Aub Demand'!B:B,MATCH($O1709,'Aub Demand'!$A:$A,0)),"")</f>
        <v>Cutting Edge L122116</v>
      </c>
      <c r="Q1709" s="27" t="str">
        <f>IFERROR(INDEX('Aub Demand'!C:C,MATCH($O1709,'Aub Demand'!$A:$A,0)),"")</f>
        <v>SCHAT</v>
      </c>
      <c r="R1709" s="52">
        <f>IFERROR(IF(AR1710=AR1709,INDEX('Aub Demand'!K:K,MATCH($O1709,'Aub Demand'!$A:$A,0))-IF(AN1709="",0,AN1709)+AP1710,INDEX('Aub Demand'!K:K,MATCH($O1709,'Aub Demand'!$A:$A,0))-IF(AN1709="",0,AN1709)),"")</f>
        <v>1415</v>
      </c>
      <c r="S1709" s="53" t="str">
        <f t="shared" si="728"/>
        <v>n/a</v>
      </c>
      <c r="T1709" s="52" t="str">
        <f t="shared" si="729"/>
        <v/>
      </c>
      <c r="U1709" s="52">
        <f>IFERROR(IF(AR1710=AR1709,INDEX('Aub Demand'!Q:Q,MATCH($O1709,'Aub Demand'!$A:$A,0))-IF(AN1709="",0,AN1709)+AP1710,INDEX('Aub Demand'!Q:Q,MATCH($O1709,'Aub Demand'!$A:$A,0))-IF(AN1709="",0,AN1709)),"")</f>
        <v>1415</v>
      </c>
      <c r="V1709" s="53" t="str">
        <f t="shared" si="730"/>
        <v>n/a</v>
      </c>
      <c r="W1709" s="52" t="str">
        <f t="shared" si="731"/>
        <v/>
      </c>
      <c r="X1709" s="52">
        <f>IFERROR(IF(AND(AR1710=AR1709,AM1709&lt;&gt;""),INDEX('Aub Demand'!Q:Q,MATCH($O1709,'Aub Demand'!$A:$A,0))-IF(AN1709="",0,AN1709)+AP1710+AD1709+AL1709,IF(AR1710=AR1709,INDEX('Aub Demand'!Q:Q,MATCH($O1709,'Aub Demand'!$A:$A,0))-IF(AN1709="",0,AN1709)+AP1710+AD1709,IF(AM1709&lt;&gt;"",INDEX('Aub Demand'!Q:Q,MATCH($O1709,'Aub Demand'!$A:$A,0))-IF(AN1709="",0,AN1709)+AD1709+AL1709,INDEX('Aub Demand'!Q:Q,MATCH($O1709,'Aub Demand'!$A:$A,0))-IF(AN1709="",0,AN1709)+AD1709))),"")</f>
        <v>1415</v>
      </c>
      <c r="Y1709" s="53" t="str">
        <f t="shared" si="732"/>
        <v>n/a</v>
      </c>
      <c r="Z1709" s="52">
        <f>IF(L1709="","",INDEX('Aub Demand'!H:H,MATCH($O1709,'Aub Demand'!$A:$A,0)))</f>
        <v>0</v>
      </c>
      <c r="AA1709" s="52" t="str">
        <f t="shared" si="733"/>
        <v>-spike-</v>
      </c>
      <c r="AB1709" s="52">
        <f>IFERROR(INDEX('Aub Demand'!L:L,MATCH($O1709,'Aub Demand'!$A:$A,0)),"")</f>
        <v>0</v>
      </c>
      <c r="AC1709" s="52">
        <f>IFERROR(IF(O1709="","",SUMIFS('CPL Mats'!F:F,'CPL Mats'!Q:Q,AR1709,'CPL Mats'!S:S,AS1709)),"")</f>
        <v>0</v>
      </c>
      <c r="AF1709" s="25" t="str">
        <f>IF(SUMIFS('Supp Consol'!S:S,'Supp Consol'!Y:Y,"Releasable",'Supp Consol'!A:A,O1709)=0,"",SUMIFS('Supp Consol'!S:S,'Supp Consol'!Y:Y,"Releasable",'Supp Consol'!A:A,O1709))</f>
        <v/>
      </c>
      <c r="AG1709" s="25" t="str">
        <f>IFERROR(INDEX('Hun Demand'!Q:Q,MATCH(O1709,'Hun Demand'!A:A,0)),"")</f>
        <v/>
      </c>
      <c r="AH1709" s="25" t="str">
        <f>IFERROR(INDEX('Hun Demand'!H:H,MATCH($O1709,'Hun Demand'!$A:$A,0)),"")</f>
        <v/>
      </c>
      <c r="AI1709" s="25" t="str">
        <f>IF(SUMIFS('Supp Consol'!AA:AA,'Supp Consol'!Z:Z,"Expires this month",'Supp Consol'!A:A,O1709)=0,"",SUMIFS('Supp Consol'!AA:AA,'Supp Consol'!Z:Z,"Expires this month",'Supp Consol'!A:A,O1709))</f>
        <v/>
      </c>
      <c r="AJ1709" s="25" t="str">
        <f>IF(SUMIFS('Supp Consol'!AA:AA,'Supp Consol'!Z:Z,"Expired Previous Months",'Supp Consol'!A:A,O1709)=0,"",SUMIFS('Supp Consol'!AA:AA,'Supp Consol'!Z:Z,"Expired Previous Months",'Supp Consol'!A:A,O1709))</f>
        <v/>
      </c>
      <c r="AK1709" s="25" t="str">
        <f>IFERROR(INDEX('Hun Release Current'!B:B,MATCH(O1709,'Hun Release Current'!A:A,0)),"")</f>
        <v/>
      </c>
      <c r="AL1709" s="25" t="str">
        <f>IF(SUMIF('Prev Aub'!A:A,O1709,'Prev Aub'!B:B)=0,"",SUMIF('Prev Aub'!A:A,O1709,'Prev Aub'!B:B))</f>
        <v/>
      </c>
      <c r="AN1709" s="25" t="s">
        <v>3790</v>
      </c>
      <c r="AO1709" s="25" t="s">
        <v>3790</v>
      </c>
      <c r="AP1709" s="25">
        <f t="shared" si="734"/>
        <v>0</v>
      </c>
      <c r="AQ1709" s="151" t="str">
        <f>IF(SUMIFS('Supp Consol'!S:S,'Supp Consol'!A:A,O1709,'Supp Consol'!I:I,"PENDING")=0,"",SUMIFS('Supp Consol'!S:S,'Supp Consol'!A:A,O1709,'Supp Consol'!I:I,"PENDING"))</f>
        <v/>
      </c>
      <c r="AR1709" s="27" t="str">
        <f t="shared" si="735"/>
        <v>WZ209</v>
      </c>
      <c r="AS1709" s="27" t="str">
        <f t="shared" si="736"/>
        <v>50</v>
      </c>
      <c r="AT1709" s="27" t="str">
        <f t="shared" si="737"/>
        <v/>
      </c>
      <c r="AU1709" s="27" t="str">
        <f t="shared" si="738"/>
        <v/>
      </c>
      <c r="AV1709" s="27" t="str">
        <f t="shared" si="739"/>
        <v/>
      </c>
      <c r="AW1709" s="27" t="str">
        <f t="shared" si="740"/>
        <v/>
      </c>
      <c r="AX1709" s="27" t="str">
        <f t="shared" si="741"/>
        <v/>
      </c>
      <c r="AY1709" s="27" t="str">
        <f t="shared" si="742"/>
        <v/>
      </c>
      <c r="AZ1709" s="27" t="str">
        <f t="shared" si="743"/>
        <v/>
      </c>
      <c r="BA1709" s="27" t="str">
        <f t="shared" si="744"/>
        <v/>
      </c>
      <c r="BB1709" s="27" t="str">
        <f t="shared" si="745"/>
        <v/>
      </c>
      <c r="BC1709" s="27" t="str">
        <f t="shared" si="746"/>
        <v/>
      </c>
      <c r="BD1709" s="27" t="str">
        <f t="shared" si="747"/>
        <v/>
      </c>
      <c r="BE1709" s="27" t="str">
        <f t="shared" si="748"/>
        <v/>
      </c>
      <c r="BF1709" s="27" t="str">
        <f t="shared" si="749"/>
        <v/>
      </c>
      <c r="BG1709" s="27" t="str">
        <f t="shared" si="750"/>
        <v/>
      </c>
      <c r="BH1709" s="27" t="str">
        <f t="shared" si="751"/>
        <v/>
      </c>
      <c r="BI1709" s="27" t="str">
        <f t="shared" si="752"/>
        <v/>
      </c>
      <c r="BJ1709" s="27" t="str">
        <f t="shared" si="753"/>
        <v/>
      </c>
      <c r="BK1709" s="27" t="str">
        <f t="shared" si="754"/>
        <v/>
      </c>
      <c r="BL1709" s="27" t="str">
        <f t="shared" si="755"/>
        <v/>
      </c>
      <c r="BM1709" s="21" t="s">
        <v>5581</v>
      </c>
    </row>
    <row r="1710" spans="1:65" ht="15">
      <c r="A1710" s="25" t="str">
        <f>IFERROR(INDEX('Hun Demand'!W:W,MATCH(O1710,'Hun Demand'!A:A,0)),"")</f>
        <v/>
      </c>
      <c r="B1710" s="25" t="str">
        <f>IFERROR(INDEX('Hun Demand'!V:V,MATCH(O1710,'Hun Demand'!A:A,0)),"")</f>
        <v/>
      </c>
      <c r="C1710" s="25" t="str">
        <f>IFERROR(INDEX('Hun Demand'!U:U,MATCH(O1710,'Hun Demand'!A:A,0)),"")</f>
        <v/>
      </c>
      <c r="D1710" s="25" t="str">
        <f>IFERROR(INDEX('Hun Demand'!T:T,MATCH(O1710,'Hun Demand'!A:A,0)),"")</f>
        <v/>
      </c>
      <c r="E1710" s="25" t="str">
        <f>IFERROR(INDEX('Hun Demand'!S:S,MATCH(O1710,'Hun Demand'!A:A,0)),"")</f>
        <v/>
      </c>
      <c r="F1710" s="25" t="str">
        <f>IFERROR(INDEX('Hun Demand'!R:R,MATCH(O1710,'Hun Demand'!A:A,0)),"")</f>
        <v/>
      </c>
      <c r="G1710" s="25">
        <f>IFERROR(INDEX('Aub Demand'!W:W,MATCH(O1710,'Aub Demand'!A:A,0)),"")</f>
        <v>12</v>
      </c>
      <c r="H1710" s="25">
        <f>IFERROR(INDEX('Aub Demand'!V:V,MATCH(O1710,'Aub Demand'!A:A,0)),"")</f>
        <v>75</v>
      </c>
      <c r="I1710" s="25">
        <f>IFERROR(INDEX('Aub Demand'!U:U,MATCH(O1710,'Aub Demand'!A:A,0)),"")</f>
        <v>0</v>
      </c>
      <c r="J1710" s="25">
        <f>IFERROR(INDEX('Aub Demand'!T:T,MATCH(O1710,'Aub Demand'!A:A,0)),"")</f>
        <v>132</v>
      </c>
      <c r="K1710" s="25">
        <f>IFERROR(INDEX('Aub Demand'!S:S,MATCH(O1710,'Aub Demand'!A:A,0)),"")</f>
        <v>0</v>
      </c>
      <c r="L1710" s="25">
        <f>IFERROR(INDEX('Aub Demand'!R:R,MATCH(O1710,'Aub Demand'!A:A,0)),"")</f>
        <v>0</v>
      </c>
      <c r="O1710" s="27" t="s">
        <v>3271</v>
      </c>
      <c r="P1710" s="27" t="str">
        <f>IFERROR(INDEX('Aub Demand'!B:B,MATCH($O1710,'Aub Demand'!$A:$A,0)),"")</f>
        <v>Cutting Edge L122116</v>
      </c>
      <c r="Q1710" s="27" t="str">
        <f>IFERROR(INDEX('Aub Demand'!C:C,MATCH($O1710,'Aub Demand'!$A:$A,0)),"")</f>
        <v>SCHAT</v>
      </c>
      <c r="R1710" s="52">
        <f>IFERROR(IF(AR1711=AR1710,INDEX('Aub Demand'!K:K,MATCH($O1710,'Aub Demand'!$A:$A,0))-IF(AN1710="",0,AN1710)+AP1711,INDEX('Aub Demand'!K:K,MATCH($O1710,'Aub Demand'!$A:$A,0))-IF(AN1710="",0,AN1710)),"")</f>
        <v>1503</v>
      </c>
      <c r="S1710" s="53">
        <f t="shared" si="728"/>
        <v>146.4</v>
      </c>
      <c r="T1710" s="52" t="str">
        <f t="shared" si="729"/>
        <v/>
      </c>
      <c r="U1710" s="52">
        <f>IFERROR(IF(AR1711=AR1710,INDEX('Aub Demand'!Q:Q,MATCH($O1710,'Aub Demand'!$A:$A,0))-IF(AN1710="",0,AN1710)+AP1711,INDEX('Aub Demand'!Q:Q,MATCH($O1710,'Aub Demand'!$A:$A,0))-IF(AN1710="",0,AN1710)),"")</f>
        <v>1457</v>
      </c>
      <c r="V1710" s="53">
        <f t="shared" si="730"/>
        <v>141.9</v>
      </c>
      <c r="W1710" s="52" t="str">
        <f t="shared" si="731"/>
        <v/>
      </c>
      <c r="X1710" s="52">
        <f>IFERROR(IF(AND(AR1711=AR1710,AM1710&lt;&gt;""),INDEX('Aub Demand'!Q:Q,MATCH($O1710,'Aub Demand'!$A:$A,0))-IF(AN1710="",0,AN1710)+AP1711+AD1710+AL1710,IF(AR1711=AR1710,INDEX('Aub Demand'!Q:Q,MATCH($O1710,'Aub Demand'!$A:$A,0))-IF(AN1710="",0,AN1710)+AP1711+AD1710,IF(AM1710&lt;&gt;"",INDEX('Aub Demand'!Q:Q,MATCH($O1710,'Aub Demand'!$A:$A,0))-IF(AN1710="",0,AN1710)+AD1710+AL1710,INDEX('Aub Demand'!Q:Q,MATCH($O1710,'Aub Demand'!$A:$A,0))-IF(AN1710="",0,AN1710)+AD1710))),"")</f>
        <v>1457</v>
      </c>
      <c r="Y1710" s="53">
        <f t="shared" si="732"/>
        <v>141.9</v>
      </c>
      <c r="Z1710" s="52">
        <f>IF(L1710="","",INDEX('Aub Demand'!H:H,MATCH($O1710,'Aub Demand'!$A:$A,0)))</f>
        <v>44</v>
      </c>
      <c r="AA1710" s="52" t="str">
        <f t="shared" si="733"/>
        <v>-spike-</v>
      </c>
      <c r="AB1710" s="52">
        <f>IFERROR(INDEX('Aub Demand'!L:L,MATCH($O1710,'Aub Demand'!$A:$A,0)),"")</f>
        <v>0</v>
      </c>
      <c r="AC1710" s="52">
        <f>IFERROR(IF(O1710="","",SUMIFS('CPL Mats'!F:F,'CPL Mats'!Q:Q,AR1710,'CPL Mats'!S:S,AS1710)),"")</f>
        <v>0</v>
      </c>
      <c r="AF1710" s="25" t="str">
        <f>IF(SUMIFS('Supp Consol'!S:S,'Supp Consol'!Y:Y,"Releasable",'Supp Consol'!A:A,O1710)=0,"",SUMIFS('Supp Consol'!S:S,'Supp Consol'!Y:Y,"Releasable",'Supp Consol'!A:A,O1710))</f>
        <v/>
      </c>
      <c r="AG1710" s="25" t="str">
        <f>IFERROR(INDEX('Hun Demand'!Q:Q,MATCH(O1710,'Hun Demand'!A:A,0)),"")</f>
        <v/>
      </c>
      <c r="AH1710" s="25" t="str">
        <f>IFERROR(INDEX('Hun Demand'!H:H,MATCH($O1710,'Hun Demand'!$A:$A,0)),"")</f>
        <v/>
      </c>
      <c r="AI1710" s="25" t="str">
        <f>IF(SUMIFS('Supp Consol'!AA:AA,'Supp Consol'!Z:Z,"Expires this month",'Supp Consol'!A:A,O1710)=0,"",SUMIFS('Supp Consol'!AA:AA,'Supp Consol'!Z:Z,"Expires this month",'Supp Consol'!A:A,O1710))</f>
        <v/>
      </c>
      <c r="AJ1710" s="25" t="str">
        <f>IF(SUMIFS('Supp Consol'!AA:AA,'Supp Consol'!Z:Z,"Expired Previous Months",'Supp Consol'!A:A,O1710)=0,"",SUMIFS('Supp Consol'!AA:AA,'Supp Consol'!Z:Z,"Expired Previous Months",'Supp Consol'!A:A,O1710))</f>
        <v/>
      </c>
      <c r="AK1710" s="25" t="str">
        <f>IFERROR(INDEX('Hun Release Current'!B:B,MATCH(O1710,'Hun Release Current'!A:A,0)),"")</f>
        <v/>
      </c>
      <c r="AL1710" s="25" t="str">
        <f>IF(SUMIF('Prev Aub'!A:A,O1710,'Prev Aub'!B:B)=0,"",SUMIF('Prev Aub'!A:A,O1710,'Prev Aub'!B:B))</f>
        <v/>
      </c>
      <c r="AN1710" s="25" t="s">
        <v>3790</v>
      </c>
      <c r="AO1710" s="25" t="s">
        <v>3790</v>
      </c>
      <c r="AP1710" s="25">
        <f t="shared" si="734"/>
        <v>0</v>
      </c>
      <c r="AQ1710" s="151" t="str">
        <f>IF(SUMIFS('Supp Consol'!S:S,'Supp Consol'!A:A,O1710,'Supp Consol'!I:I,"PENDING")=0,"",SUMIFS('Supp Consol'!S:S,'Supp Consol'!A:A,O1710,'Supp Consol'!I:I,"PENDING"))</f>
        <v/>
      </c>
      <c r="AR1710" s="27" t="str">
        <f t="shared" si="735"/>
        <v>WZ209</v>
      </c>
      <c r="AS1710" s="27" t="str">
        <f t="shared" si="736"/>
        <v>62</v>
      </c>
      <c r="AT1710" s="27" t="str">
        <f t="shared" si="737"/>
        <v/>
      </c>
      <c r="AU1710" s="27" t="str">
        <f t="shared" si="738"/>
        <v/>
      </c>
      <c r="AV1710" s="27" t="str">
        <f t="shared" si="739"/>
        <v/>
      </c>
      <c r="AW1710" s="27" t="str">
        <f t="shared" si="740"/>
        <v/>
      </c>
      <c r="AX1710" s="27" t="str">
        <f t="shared" si="741"/>
        <v/>
      </c>
      <c r="AY1710" s="27" t="str">
        <f t="shared" si="742"/>
        <v/>
      </c>
      <c r="AZ1710" s="27" t="str">
        <f t="shared" si="743"/>
        <v/>
      </c>
      <c r="BA1710" s="27" t="str">
        <f t="shared" si="744"/>
        <v/>
      </c>
      <c r="BB1710" s="27" t="str">
        <f t="shared" si="745"/>
        <v/>
      </c>
      <c r="BC1710" s="27" t="str">
        <f t="shared" si="746"/>
        <v/>
      </c>
      <c r="BD1710" s="27" t="str">
        <f t="shared" si="747"/>
        <v/>
      </c>
      <c r="BE1710" s="27" t="str">
        <f t="shared" si="748"/>
        <v/>
      </c>
      <c r="BF1710" s="27" t="str">
        <f t="shared" si="749"/>
        <v/>
      </c>
      <c r="BG1710" s="27" t="str">
        <f t="shared" si="750"/>
        <v/>
      </c>
      <c r="BH1710" s="27" t="str">
        <f t="shared" si="751"/>
        <v/>
      </c>
      <c r="BI1710" s="27" t="str">
        <f t="shared" si="752"/>
        <v/>
      </c>
      <c r="BJ1710" s="27" t="str">
        <f t="shared" si="753"/>
        <v/>
      </c>
      <c r="BK1710" s="27" t="str">
        <f t="shared" si="754"/>
        <v/>
      </c>
      <c r="BL1710" s="27" t="str">
        <f t="shared" si="755"/>
        <v/>
      </c>
      <c r="BM1710" s="21" t="s">
        <v>5581</v>
      </c>
    </row>
    <row r="1711" spans="1:65" ht="15">
      <c r="A1711" s="25" t="str">
        <f>IFERROR(INDEX('Hun Demand'!W:W,MATCH(O1711,'Hun Demand'!A:A,0)),"")</f>
        <v/>
      </c>
      <c r="B1711" s="25" t="str">
        <f>IFERROR(INDEX('Hun Demand'!V:V,MATCH(O1711,'Hun Demand'!A:A,0)),"")</f>
        <v/>
      </c>
      <c r="C1711" s="25" t="str">
        <f>IFERROR(INDEX('Hun Demand'!U:U,MATCH(O1711,'Hun Demand'!A:A,0)),"")</f>
        <v/>
      </c>
      <c r="D1711" s="25" t="str">
        <f>IFERROR(INDEX('Hun Demand'!T:T,MATCH(O1711,'Hun Demand'!A:A,0)),"")</f>
        <v/>
      </c>
      <c r="E1711" s="25" t="str">
        <f>IFERROR(INDEX('Hun Demand'!S:S,MATCH(O1711,'Hun Demand'!A:A,0)),"")</f>
        <v/>
      </c>
      <c r="F1711" s="25" t="str">
        <f>IFERROR(INDEX('Hun Demand'!R:R,MATCH(O1711,'Hun Demand'!A:A,0)),"")</f>
        <v/>
      </c>
      <c r="G1711" s="25">
        <f>IFERROR(INDEX('Aub Demand'!W:W,MATCH(O1711,'Aub Demand'!A:A,0)),"")</f>
        <v>72</v>
      </c>
      <c r="H1711" s="25">
        <f>IFERROR(INDEX('Aub Demand'!V:V,MATCH(O1711,'Aub Demand'!A:A,0)),"")</f>
        <v>0</v>
      </c>
      <c r="I1711" s="25">
        <f>IFERROR(INDEX('Aub Demand'!U:U,MATCH(O1711,'Aub Demand'!A:A,0)),"")</f>
        <v>0</v>
      </c>
      <c r="J1711" s="25">
        <f>IFERROR(INDEX('Aub Demand'!T:T,MATCH(O1711,'Aub Demand'!A:A,0)),"")</f>
        <v>0</v>
      </c>
      <c r="K1711" s="25">
        <f>IFERROR(INDEX('Aub Demand'!S:S,MATCH(O1711,'Aub Demand'!A:A,0)),"")</f>
        <v>0</v>
      </c>
      <c r="L1711" s="25">
        <f>IFERROR(INDEX('Aub Demand'!R:R,MATCH(O1711,'Aub Demand'!A:A,0)),"")</f>
        <v>0</v>
      </c>
      <c r="O1711" s="27" t="s">
        <v>3272</v>
      </c>
      <c r="P1711" s="27" t="str">
        <f>IFERROR(INDEX('Aub Demand'!B:B,MATCH($O1711,'Aub Demand'!$A:$A,0)),"")</f>
        <v>XANADU BLUE BAMBOO 4</v>
      </c>
      <c r="Q1711" s="27" t="str">
        <f>IFERROR(INDEX('Aub Demand'!C:C,MATCH($O1711,'Aub Demand'!$A:$A,0)),"")</f>
        <v>INTER</v>
      </c>
      <c r="R1711" s="52">
        <f>IFERROR(IF(AR1712=AR1711,INDEX('Aub Demand'!K:K,MATCH($O1711,'Aub Demand'!$A:$A,0))-IF(AN1711="",0,AN1711)+AP1712,INDEX('Aub Demand'!K:K,MATCH($O1711,'Aub Demand'!$A:$A,0))-IF(AN1711="",0,AN1711)),"")</f>
        <v>219</v>
      </c>
      <c r="S1711" s="53" t="str">
        <f t="shared" si="728"/>
        <v>n/a</v>
      </c>
      <c r="T1711" s="52" t="str">
        <f t="shared" si="729"/>
        <v/>
      </c>
      <c r="U1711" s="52">
        <f>IFERROR(IF(AR1712=AR1711,INDEX('Aub Demand'!Q:Q,MATCH($O1711,'Aub Demand'!$A:$A,0))-IF(AN1711="",0,AN1711)+AP1712,INDEX('Aub Demand'!Q:Q,MATCH($O1711,'Aub Demand'!$A:$A,0))-IF(AN1711="",0,AN1711)),"")</f>
        <v>183</v>
      </c>
      <c r="V1711" s="53" t="str">
        <f t="shared" si="730"/>
        <v>n/a</v>
      </c>
      <c r="W1711" s="52" t="str">
        <f t="shared" si="731"/>
        <v/>
      </c>
      <c r="X1711" s="52">
        <f>IFERROR(IF(AND(AR1712=AR1711,AM1711&lt;&gt;""),INDEX('Aub Demand'!Q:Q,MATCH($O1711,'Aub Demand'!$A:$A,0))-IF(AN1711="",0,AN1711)+AP1712+AD1711+AL1711,IF(AR1712=AR1711,INDEX('Aub Demand'!Q:Q,MATCH($O1711,'Aub Demand'!$A:$A,0))-IF(AN1711="",0,AN1711)+AP1712+AD1711,IF(AM1711&lt;&gt;"",INDEX('Aub Demand'!Q:Q,MATCH($O1711,'Aub Demand'!$A:$A,0))-IF(AN1711="",0,AN1711)+AD1711+AL1711,INDEX('Aub Demand'!Q:Q,MATCH($O1711,'Aub Demand'!$A:$A,0))-IF(AN1711="",0,AN1711)+AD1711))),"")</f>
        <v>183</v>
      </c>
      <c r="Y1711" s="53" t="str">
        <f t="shared" si="732"/>
        <v>n/a</v>
      </c>
      <c r="Z1711" s="52">
        <f>IF(L1711="","",INDEX('Aub Demand'!H:H,MATCH($O1711,'Aub Demand'!$A:$A,0)))</f>
        <v>0</v>
      </c>
      <c r="AA1711" s="52" t="str">
        <f t="shared" si="733"/>
        <v>-spike-</v>
      </c>
      <c r="AB1711" s="52">
        <f>IFERROR(INDEX('Aub Demand'!L:L,MATCH($O1711,'Aub Demand'!$A:$A,0)),"")</f>
        <v>20</v>
      </c>
      <c r="AC1711" s="52">
        <f>IFERROR(IF(O1711="","",SUMIFS('CPL Mats'!F:F,'CPL Mats'!Q:Q,AR1711,'CPL Mats'!S:S,AS1711)),"")</f>
        <v>0</v>
      </c>
      <c r="AF1711" s="25" t="str">
        <f>IF(SUMIFS('Supp Consol'!S:S,'Supp Consol'!Y:Y,"Releasable",'Supp Consol'!A:A,O1711)=0,"",SUMIFS('Supp Consol'!S:S,'Supp Consol'!Y:Y,"Releasable",'Supp Consol'!A:A,O1711))</f>
        <v/>
      </c>
      <c r="AG1711" s="25" t="str">
        <f>IFERROR(INDEX('Hun Demand'!Q:Q,MATCH(O1711,'Hun Demand'!A:A,0)),"")</f>
        <v/>
      </c>
      <c r="AH1711" s="25" t="str">
        <f>IFERROR(INDEX('Hun Demand'!H:H,MATCH($O1711,'Hun Demand'!$A:$A,0)),"")</f>
        <v/>
      </c>
      <c r="AI1711" s="25" t="str">
        <f>IF(SUMIFS('Supp Consol'!AA:AA,'Supp Consol'!Z:Z,"Expires this month",'Supp Consol'!A:A,O1711)=0,"",SUMIFS('Supp Consol'!AA:AA,'Supp Consol'!Z:Z,"Expires this month",'Supp Consol'!A:A,O1711))</f>
        <v/>
      </c>
      <c r="AJ1711" s="25" t="str">
        <f>IF(SUMIFS('Supp Consol'!AA:AA,'Supp Consol'!Z:Z,"Expired Previous Months",'Supp Consol'!A:A,O1711)=0,"",SUMIFS('Supp Consol'!AA:AA,'Supp Consol'!Z:Z,"Expired Previous Months",'Supp Consol'!A:A,O1711))</f>
        <v/>
      </c>
      <c r="AK1711" s="25" t="str">
        <f>IFERROR(INDEX('Hun Release Current'!B:B,MATCH(O1711,'Hun Release Current'!A:A,0)),"")</f>
        <v/>
      </c>
      <c r="AL1711" s="25" t="str">
        <f>IF(SUMIF('Prev Aub'!A:A,O1711,'Prev Aub'!B:B)=0,"",SUMIF('Prev Aub'!A:A,O1711,'Prev Aub'!B:B))</f>
        <v/>
      </c>
      <c r="AN1711" s="25" t="s">
        <v>3790</v>
      </c>
      <c r="AO1711" s="25" t="s">
        <v>3790</v>
      </c>
      <c r="AP1711" s="25">
        <f t="shared" si="734"/>
        <v>0</v>
      </c>
      <c r="AQ1711" s="151" t="str">
        <f>IF(SUMIFS('Supp Consol'!S:S,'Supp Consol'!A:A,O1711,'Supp Consol'!I:I,"PENDING")=0,"",SUMIFS('Supp Consol'!S:S,'Supp Consol'!A:A,O1711,'Supp Consol'!I:I,"PENDING"))</f>
        <v/>
      </c>
      <c r="AR1711" s="27" t="str">
        <f t="shared" si="735"/>
        <v>WZ301</v>
      </c>
      <c r="AS1711" s="27" t="str">
        <f t="shared" si="736"/>
        <v>50</v>
      </c>
      <c r="AT1711" s="27" t="str">
        <f t="shared" si="737"/>
        <v/>
      </c>
      <c r="AU1711" s="27" t="str">
        <f t="shared" si="738"/>
        <v/>
      </c>
      <c r="AV1711" s="27" t="str">
        <f t="shared" si="739"/>
        <v/>
      </c>
      <c r="AW1711" s="27" t="str">
        <f t="shared" si="740"/>
        <v/>
      </c>
      <c r="AX1711" s="27" t="str">
        <f t="shared" si="741"/>
        <v/>
      </c>
      <c r="AY1711" s="27" t="str">
        <f t="shared" si="742"/>
        <v/>
      </c>
      <c r="AZ1711" s="27" t="str">
        <f t="shared" si="743"/>
        <v/>
      </c>
      <c r="BA1711" s="27" t="str">
        <f t="shared" si="744"/>
        <v/>
      </c>
      <c r="BB1711" s="27" t="str">
        <f t="shared" si="745"/>
        <v/>
      </c>
      <c r="BC1711" s="27" t="str">
        <f t="shared" si="746"/>
        <v/>
      </c>
      <c r="BD1711" s="27" t="str">
        <f t="shared" si="747"/>
        <v/>
      </c>
      <c r="BE1711" s="27" t="str">
        <f t="shared" si="748"/>
        <v/>
      </c>
      <c r="BF1711" s="27" t="str">
        <f t="shared" si="749"/>
        <v/>
      </c>
      <c r="BG1711" s="27" t="str">
        <f t="shared" si="750"/>
        <v/>
      </c>
      <c r="BH1711" s="27" t="str">
        <f t="shared" si="751"/>
        <v/>
      </c>
      <c r="BI1711" s="27" t="str">
        <f t="shared" si="752"/>
        <v/>
      </c>
      <c r="BJ1711" s="27" t="str">
        <f t="shared" si="753"/>
        <v/>
      </c>
      <c r="BK1711" s="27" t="str">
        <f t="shared" si="754"/>
        <v/>
      </c>
      <c r="BL1711" s="27" t="str">
        <f t="shared" si="755"/>
        <v/>
      </c>
      <c r="BM1711" s="21" t="s">
        <v>5581</v>
      </c>
    </row>
    <row r="1712" spans="1:65" ht="15">
      <c r="A1712" s="25" t="str">
        <f>IFERROR(INDEX('Hun Demand'!W:W,MATCH(O1712,'Hun Demand'!A:A,0)),"")</f>
        <v/>
      </c>
      <c r="B1712" s="25" t="str">
        <f>IFERROR(INDEX('Hun Demand'!V:V,MATCH(O1712,'Hun Demand'!A:A,0)),"")</f>
        <v/>
      </c>
      <c r="C1712" s="25" t="str">
        <f>IFERROR(INDEX('Hun Demand'!U:U,MATCH(O1712,'Hun Demand'!A:A,0)),"")</f>
        <v/>
      </c>
      <c r="D1712" s="25" t="str">
        <f>IFERROR(INDEX('Hun Demand'!T:T,MATCH(O1712,'Hun Demand'!A:A,0)),"")</f>
        <v/>
      </c>
      <c r="E1712" s="25" t="str">
        <f>IFERROR(INDEX('Hun Demand'!S:S,MATCH(O1712,'Hun Demand'!A:A,0)),"")</f>
        <v/>
      </c>
      <c r="F1712" s="25" t="str">
        <f>IFERROR(INDEX('Hun Demand'!R:R,MATCH(O1712,'Hun Demand'!A:A,0)),"")</f>
        <v/>
      </c>
      <c r="G1712" s="25">
        <f>IFERROR(INDEX('Aub Demand'!W:W,MATCH(O1712,'Aub Demand'!A:A,0)),"")</f>
        <v>0</v>
      </c>
      <c r="H1712" s="25">
        <f>IFERROR(INDEX('Aub Demand'!V:V,MATCH(O1712,'Aub Demand'!A:A,0)),"")</f>
        <v>53</v>
      </c>
      <c r="I1712" s="25">
        <f>IFERROR(INDEX('Aub Demand'!U:U,MATCH(O1712,'Aub Demand'!A:A,0)),"")</f>
        <v>0</v>
      </c>
      <c r="J1712" s="25">
        <f>IFERROR(INDEX('Aub Demand'!T:T,MATCH(O1712,'Aub Demand'!A:A,0)),"")</f>
        <v>17</v>
      </c>
      <c r="K1712" s="25">
        <f>IFERROR(INDEX('Aub Demand'!S:S,MATCH(O1712,'Aub Demand'!A:A,0)),"")</f>
        <v>95</v>
      </c>
      <c r="L1712" s="25">
        <f>IFERROR(INDEX('Aub Demand'!R:R,MATCH(O1712,'Aub Demand'!A:A,0)),"")</f>
        <v>0</v>
      </c>
      <c r="O1712" s="27" t="s">
        <v>3274</v>
      </c>
      <c r="P1712" s="27" t="str">
        <f>IFERROR(INDEX('Aub Demand'!B:B,MATCH($O1712,'Aub Demand'!$A:$A,0)),"")</f>
        <v>XANADU BLUE BAMBOO 6</v>
      </c>
      <c r="Q1712" s="27" t="str">
        <f>IFERROR(INDEX('Aub Demand'!C:C,MATCH($O1712,'Aub Demand'!$A:$A,0)),"")</f>
        <v>INTER</v>
      </c>
      <c r="R1712" s="52">
        <f>IFERROR(IF(AR1713=AR1712,INDEX('Aub Demand'!K:K,MATCH($O1712,'Aub Demand'!$A:$A,0))-IF(AN1712="",0,AN1712)+AP1713,INDEX('Aub Demand'!K:K,MATCH($O1712,'Aub Demand'!$A:$A,0))-IF(AN1712="",0,AN1712)),"")</f>
        <v>1793</v>
      </c>
      <c r="S1712" s="53">
        <f t="shared" si="728"/>
        <v>207.7</v>
      </c>
      <c r="T1712" s="52" t="str">
        <f t="shared" si="729"/>
        <v/>
      </c>
      <c r="U1712" s="52">
        <f>IFERROR(IF(AR1713=AR1712,INDEX('Aub Demand'!Q:Q,MATCH($O1712,'Aub Demand'!$A:$A,0))-IF(AN1712="",0,AN1712)+AP1713,INDEX('Aub Demand'!Q:Q,MATCH($O1712,'Aub Demand'!$A:$A,0))-IF(AN1712="",0,AN1712)),"")</f>
        <v>1773</v>
      </c>
      <c r="V1712" s="53">
        <f t="shared" si="730"/>
        <v>205.4</v>
      </c>
      <c r="W1712" s="52" t="str">
        <f t="shared" si="731"/>
        <v/>
      </c>
      <c r="X1712" s="52">
        <f>IFERROR(IF(AND(AR1713=AR1712,AM1712&lt;&gt;""),INDEX('Aub Demand'!Q:Q,MATCH($O1712,'Aub Demand'!$A:$A,0))-IF(AN1712="",0,AN1712)+AP1713+AD1712+AL1712,IF(AR1713=AR1712,INDEX('Aub Demand'!Q:Q,MATCH($O1712,'Aub Demand'!$A:$A,0))-IF(AN1712="",0,AN1712)+AP1713+AD1712,IF(AM1712&lt;&gt;"",INDEX('Aub Demand'!Q:Q,MATCH($O1712,'Aub Demand'!$A:$A,0))-IF(AN1712="",0,AN1712)+AD1712+AL1712,INDEX('Aub Demand'!Q:Q,MATCH($O1712,'Aub Demand'!$A:$A,0))-IF(AN1712="",0,AN1712)+AD1712))),"")</f>
        <v>1773</v>
      </c>
      <c r="Y1712" s="53">
        <f t="shared" si="732"/>
        <v>205.4</v>
      </c>
      <c r="Z1712" s="52">
        <f>IF(L1712="","",INDEX('Aub Demand'!H:H,MATCH($O1712,'Aub Demand'!$A:$A,0)))</f>
        <v>37</v>
      </c>
      <c r="AA1712" s="52">
        <f t="shared" si="733"/>
        <v>56</v>
      </c>
      <c r="AB1712" s="52">
        <f>IFERROR(INDEX('Aub Demand'!L:L,MATCH($O1712,'Aub Demand'!$A:$A,0)),"")</f>
        <v>0</v>
      </c>
      <c r="AC1712" s="52">
        <f>IFERROR(IF(O1712="","",SUMIFS('CPL Mats'!F:F,'CPL Mats'!Q:Q,AR1712,'CPL Mats'!S:S,AS1712)),"")</f>
        <v>0</v>
      </c>
      <c r="AF1712" s="25" t="str">
        <f>IF(SUMIFS('Supp Consol'!S:S,'Supp Consol'!Y:Y,"Releasable",'Supp Consol'!A:A,O1712)=0,"",SUMIFS('Supp Consol'!S:S,'Supp Consol'!Y:Y,"Releasable",'Supp Consol'!A:A,O1712))</f>
        <v/>
      </c>
      <c r="AG1712" s="25" t="str">
        <f>IFERROR(INDEX('Hun Demand'!Q:Q,MATCH(O1712,'Hun Demand'!A:A,0)),"")</f>
        <v/>
      </c>
      <c r="AH1712" s="25" t="str">
        <f>IFERROR(INDEX('Hun Demand'!H:H,MATCH($O1712,'Hun Demand'!$A:$A,0)),"")</f>
        <v/>
      </c>
      <c r="AI1712" s="25" t="str">
        <f>IF(SUMIFS('Supp Consol'!AA:AA,'Supp Consol'!Z:Z,"Expires this month",'Supp Consol'!A:A,O1712)=0,"",SUMIFS('Supp Consol'!AA:AA,'Supp Consol'!Z:Z,"Expires this month",'Supp Consol'!A:A,O1712))</f>
        <v/>
      </c>
      <c r="AJ1712" s="25" t="str">
        <f>IF(SUMIFS('Supp Consol'!AA:AA,'Supp Consol'!Z:Z,"Expired Previous Months",'Supp Consol'!A:A,O1712)=0,"",SUMIFS('Supp Consol'!AA:AA,'Supp Consol'!Z:Z,"Expired Previous Months",'Supp Consol'!A:A,O1712))</f>
        <v/>
      </c>
      <c r="AK1712" s="25" t="str">
        <f>IFERROR(INDEX('Hun Release Current'!B:B,MATCH(O1712,'Hun Release Current'!A:A,0)),"")</f>
        <v/>
      </c>
      <c r="AL1712" s="25" t="str">
        <f>IF(SUMIF('Prev Aub'!A:A,O1712,'Prev Aub'!B:B)=0,"",SUMIF('Prev Aub'!A:A,O1712,'Prev Aub'!B:B))</f>
        <v/>
      </c>
      <c r="AN1712" s="25" t="s">
        <v>3790</v>
      </c>
      <c r="AO1712" s="25" t="s">
        <v>3790</v>
      </c>
      <c r="AP1712" s="25">
        <f t="shared" si="734"/>
        <v>0</v>
      </c>
      <c r="AQ1712" s="151" t="str">
        <f>IF(SUMIFS('Supp Consol'!S:S,'Supp Consol'!A:A,O1712,'Supp Consol'!I:I,"PENDING")=0,"",SUMIFS('Supp Consol'!S:S,'Supp Consol'!A:A,O1712,'Supp Consol'!I:I,"PENDING"))</f>
        <v/>
      </c>
      <c r="AR1712" s="27" t="str">
        <f t="shared" si="735"/>
        <v>WZ301</v>
      </c>
      <c r="AS1712" s="27" t="str">
        <f t="shared" si="736"/>
        <v>62</v>
      </c>
      <c r="AT1712" s="27" t="str">
        <f t="shared" si="737"/>
        <v/>
      </c>
      <c r="AU1712" s="27" t="str">
        <f t="shared" si="738"/>
        <v/>
      </c>
      <c r="AV1712" s="27" t="str">
        <f t="shared" si="739"/>
        <v/>
      </c>
      <c r="AW1712" s="27" t="str">
        <f t="shared" si="740"/>
        <v/>
      </c>
      <c r="AX1712" s="27" t="str">
        <f t="shared" si="741"/>
        <v/>
      </c>
      <c r="AY1712" s="27" t="str">
        <f t="shared" si="742"/>
        <v/>
      </c>
      <c r="AZ1712" s="27" t="str">
        <f t="shared" si="743"/>
        <v/>
      </c>
      <c r="BA1712" s="27" t="str">
        <f t="shared" si="744"/>
        <v/>
      </c>
      <c r="BB1712" s="27" t="str">
        <f t="shared" si="745"/>
        <v/>
      </c>
      <c r="BC1712" s="27" t="str">
        <f t="shared" si="746"/>
        <v/>
      </c>
      <c r="BD1712" s="27" t="str">
        <f t="shared" si="747"/>
        <v/>
      </c>
      <c r="BE1712" s="27" t="str">
        <f t="shared" si="748"/>
        <v/>
      </c>
      <c r="BF1712" s="27" t="str">
        <f t="shared" si="749"/>
        <v/>
      </c>
      <c r="BG1712" s="27" t="str">
        <f t="shared" si="750"/>
        <v/>
      </c>
      <c r="BH1712" s="27" t="str">
        <f t="shared" si="751"/>
        <v/>
      </c>
      <c r="BI1712" s="27" t="str">
        <f t="shared" si="752"/>
        <v/>
      </c>
      <c r="BJ1712" s="27" t="str">
        <f t="shared" si="753"/>
        <v/>
      </c>
      <c r="BK1712" s="27" t="str">
        <f t="shared" si="754"/>
        <v/>
      </c>
      <c r="BL1712" s="27" t="str">
        <f t="shared" si="755"/>
        <v/>
      </c>
      <c r="BM1712" s="21" t="s">
        <v>5581</v>
      </c>
    </row>
    <row r="1713" spans="1:65" ht="15">
      <c r="A1713" s="25">
        <f>IFERROR(INDEX('Hun Demand'!W:W,MATCH(O1713,'Hun Demand'!A:A,0)),"")</f>
        <v>0</v>
      </c>
      <c r="B1713" s="25">
        <f>IFERROR(INDEX('Hun Demand'!V:V,MATCH(O1713,'Hun Demand'!A:A,0)),"")</f>
        <v>263</v>
      </c>
      <c r="C1713" s="25">
        <f>IFERROR(INDEX('Hun Demand'!U:U,MATCH(O1713,'Hun Demand'!A:A,0)),"")</f>
        <v>0</v>
      </c>
      <c r="D1713" s="25">
        <f>IFERROR(INDEX('Hun Demand'!T:T,MATCH(O1713,'Hun Demand'!A:A,0)),"")</f>
        <v>0</v>
      </c>
      <c r="E1713" s="25">
        <f>IFERROR(INDEX('Hun Demand'!S:S,MATCH(O1713,'Hun Demand'!A:A,0)),"")</f>
        <v>0</v>
      </c>
      <c r="F1713" s="25">
        <f>IFERROR(INDEX('Hun Demand'!R:R,MATCH(O1713,'Hun Demand'!A:A,0)),"")</f>
        <v>0</v>
      </c>
      <c r="G1713" s="25">
        <f>IFERROR(INDEX('Aub Demand'!W:W,MATCH(O1713,'Aub Demand'!A:A,0)),"")</f>
        <v>0</v>
      </c>
      <c r="H1713" s="25">
        <f>IFERROR(INDEX('Aub Demand'!V:V,MATCH(O1713,'Aub Demand'!A:A,0)),"")</f>
        <v>0</v>
      </c>
      <c r="I1713" s="25">
        <f>IFERROR(INDEX('Aub Demand'!U:U,MATCH(O1713,'Aub Demand'!A:A,0)),"")</f>
        <v>41</v>
      </c>
      <c r="J1713" s="25">
        <f>IFERROR(INDEX('Aub Demand'!T:T,MATCH(O1713,'Aub Demand'!A:A,0)),"")</f>
        <v>27</v>
      </c>
      <c r="K1713" s="25">
        <f>IFERROR(INDEX('Aub Demand'!S:S,MATCH(O1713,'Aub Demand'!A:A,0)),"")</f>
        <v>0</v>
      </c>
      <c r="L1713" s="25">
        <f>IFERROR(INDEX('Aub Demand'!R:R,MATCH(O1713,'Aub Demand'!A:A,0)),"")</f>
        <v>2</v>
      </c>
      <c r="O1713" s="27" t="s">
        <v>2017</v>
      </c>
      <c r="P1713" s="27" t="str">
        <f>IFERROR(INDEX('Aub Demand'!B:B,MATCH($O1713,'Aub Demand'!$A:$A,0)),"")</f>
        <v>TOASTED COCONUT</v>
      </c>
      <c r="Q1713" s="27" t="str">
        <f>IFERROR(INDEX('Aub Demand'!C:C,MATCH($O1713,'Aub Demand'!$A:$A,0)),"")</f>
        <v>IMPRE</v>
      </c>
      <c r="R1713" s="52">
        <f>IFERROR(IF(AR1714=AR1713,INDEX('Aub Demand'!K:K,MATCH($O1713,'Aub Demand'!$A:$A,0))-IF(AN1713="",0,AN1713)+AP1714,INDEX('Aub Demand'!K:K,MATCH($O1713,'Aub Demand'!$A:$A,0))-IF(AN1713="",0,AN1713)),"")</f>
        <v>2183</v>
      </c>
      <c r="S1713" s="53">
        <f t="shared" si="728"/>
        <v>406.8</v>
      </c>
      <c r="T1713" s="52" t="str">
        <f t="shared" si="729"/>
        <v/>
      </c>
      <c r="U1713" s="52">
        <f>IFERROR(IF(AR1714=AR1713,INDEX('Aub Demand'!Q:Q,MATCH($O1713,'Aub Demand'!$A:$A,0))-IF(AN1713="",0,AN1713)+AP1714,INDEX('Aub Demand'!Q:Q,MATCH($O1713,'Aub Demand'!$A:$A,0))-IF(AN1713="",0,AN1713)),"")</f>
        <v>2177</v>
      </c>
      <c r="V1713" s="53">
        <f t="shared" si="730"/>
        <v>405.7</v>
      </c>
      <c r="W1713" s="52" t="str">
        <f t="shared" si="731"/>
        <v/>
      </c>
      <c r="X1713" s="52">
        <f>IFERROR(IF(AND(AR1714=AR1713,AM1713&lt;&gt;""),INDEX('Aub Demand'!Q:Q,MATCH($O1713,'Aub Demand'!$A:$A,0))-IF(AN1713="",0,AN1713)+AP1714+AD1713+AL1713,IF(AR1714=AR1713,INDEX('Aub Demand'!Q:Q,MATCH($O1713,'Aub Demand'!$A:$A,0))-IF(AN1713="",0,AN1713)+AP1714+AD1713,IF(AM1713&lt;&gt;"",INDEX('Aub Demand'!Q:Q,MATCH($O1713,'Aub Demand'!$A:$A,0))-IF(AN1713="",0,AN1713)+AD1713+AL1713,INDEX('Aub Demand'!Q:Q,MATCH($O1713,'Aub Demand'!$A:$A,0))-IF(AN1713="",0,AN1713)+AD1713))),"")</f>
        <v>2177</v>
      </c>
      <c r="Y1713" s="53">
        <f t="shared" si="732"/>
        <v>405.7</v>
      </c>
      <c r="Z1713" s="52">
        <f>IF(L1713="","",INDEX('Aub Demand'!H:H,MATCH($O1713,'Aub Demand'!$A:$A,0)))</f>
        <v>23</v>
      </c>
      <c r="AA1713" s="52">
        <f t="shared" si="733"/>
        <v>34</v>
      </c>
      <c r="AB1713" s="52">
        <f>IFERROR(INDEX('Aub Demand'!L:L,MATCH($O1713,'Aub Demand'!$A:$A,0)),"")</f>
        <v>8</v>
      </c>
      <c r="AC1713" s="52">
        <f>IFERROR(IF(O1713="","",SUMIFS('CPL Mats'!F:F,'CPL Mats'!Q:Q,AR1713,'CPL Mats'!S:S,AS1713)),"")</f>
        <v>0</v>
      </c>
      <c r="AF1713" s="25" t="str">
        <f>IF(SUMIFS('Supp Consol'!S:S,'Supp Consol'!Y:Y,"Releasable",'Supp Consol'!A:A,O1713)=0,"",SUMIFS('Supp Consol'!S:S,'Supp Consol'!Y:Y,"Releasable",'Supp Consol'!A:A,O1713))</f>
        <v/>
      </c>
      <c r="AG1713" s="25">
        <f>IFERROR(INDEX('Hun Demand'!Q:Q,MATCH(O1713,'Hun Demand'!A:A,0)),"")</f>
        <v>902</v>
      </c>
      <c r="AH1713" s="25">
        <f>IFERROR(INDEX('Hun Demand'!H:H,MATCH($O1713,'Hun Demand'!$A:$A,0)),"")</f>
        <v>0</v>
      </c>
      <c r="AI1713" s="25" t="str">
        <f>IF(SUMIFS('Supp Consol'!AA:AA,'Supp Consol'!Z:Z,"Expires this month",'Supp Consol'!A:A,O1713)=0,"",SUMIFS('Supp Consol'!AA:AA,'Supp Consol'!Z:Z,"Expires this month",'Supp Consol'!A:A,O1713))</f>
        <v/>
      </c>
      <c r="AJ1713" s="25" t="str">
        <f>IF(SUMIFS('Supp Consol'!AA:AA,'Supp Consol'!Z:Z,"Expired Previous Months",'Supp Consol'!A:A,O1713)=0,"",SUMIFS('Supp Consol'!AA:AA,'Supp Consol'!Z:Z,"Expired Previous Months",'Supp Consol'!A:A,O1713))</f>
        <v/>
      </c>
      <c r="AK1713" s="25" t="str">
        <f>IFERROR(INDEX('Hun Release Current'!B:B,MATCH(O1713,'Hun Release Current'!A:A,0)),"")</f>
        <v/>
      </c>
      <c r="AL1713" s="25" t="str">
        <f>IF(SUMIF('Prev Aub'!A:A,O1713,'Prev Aub'!B:B)=0,"",SUMIF('Prev Aub'!A:A,O1713,'Prev Aub'!B:B))</f>
        <v/>
      </c>
      <c r="AN1713" s="25" t="s">
        <v>3790</v>
      </c>
      <c r="AO1713" s="25" t="s">
        <v>3790</v>
      </c>
      <c r="AP1713" s="25">
        <f t="shared" si="734"/>
        <v>0</v>
      </c>
      <c r="AQ1713" s="151" t="str">
        <f>IF(SUMIFS('Supp Consol'!S:S,'Supp Consol'!A:A,O1713,'Supp Consol'!I:I,"PENDING")=0,"",SUMIFS('Supp Consol'!S:S,'Supp Consol'!A:A,O1713,'Supp Consol'!I:I,"PENDING"))</f>
        <v/>
      </c>
      <c r="AR1713" s="27" t="str">
        <f t="shared" si="735"/>
        <v>WZ460</v>
      </c>
      <c r="AS1713" s="27" t="str">
        <f t="shared" si="736"/>
        <v>50</v>
      </c>
      <c r="AT1713" s="27" t="str">
        <f t="shared" si="737"/>
        <v/>
      </c>
      <c r="AU1713" s="27" t="str">
        <f t="shared" si="738"/>
        <v/>
      </c>
      <c r="AV1713" s="27" t="str">
        <f t="shared" si="739"/>
        <v/>
      </c>
      <c r="AW1713" s="27" t="str">
        <f t="shared" si="740"/>
        <v/>
      </c>
      <c r="AX1713" s="27" t="str">
        <f t="shared" si="741"/>
        <v/>
      </c>
      <c r="AY1713" s="27" t="str">
        <f t="shared" si="742"/>
        <v>WZ460</v>
      </c>
      <c r="AZ1713" s="27" t="str">
        <f t="shared" si="743"/>
        <v/>
      </c>
      <c r="BA1713" s="27" t="str">
        <f t="shared" si="744"/>
        <v>Hun</v>
      </c>
      <c r="BB1713" s="27" t="str">
        <f t="shared" si="745"/>
        <v/>
      </c>
      <c r="BC1713" s="27" t="str">
        <f t="shared" si="746"/>
        <v/>
      </c>
      <c r="BD1713" s="27" t="str">
        <f t="shared" si="747"/>
        <v/>
      </c>
      <c r="BE1713" s="27" t="str">
        <f t="shared" si="748"/>
        <v/>
      </c>
      <c r="BF1713" s="27" t="str">
        <f t="shared" si="749"/>
        <v/>
      </c>
      <c r="BG1713" s="27" t="str">
        <f t="shared" si="750"/>
        <v/>
      </c>
      <c r="BH1713" s="27" t="str">
        <f t="shared" si="751"/>
        <v/>
      </c>
      <c r="BI1713" s="27" t="str">
        <f t="shared" si="752"/>
        <v/>
      </c>
      <c r="BJ1713" s="27" t="str">
        <f t="shared" si="753"/>
        <v>Supp or Hun</v>
      </c>
      <c r="BK1713" s="27" t="str">
        <f t="shared" si="754"/>
        <v/>
      </c>
      <c r="BL1713" s="27" t="str">
        <f t="shared" si="755"/>
        <v/>
      </c>
      <c r="BM1713" s="21" t="s">
        <v>5581</v>
      </c>
    </row>
    <row r="1714" spans="1:65" ht="15">
      <c r="A1714" s="25" t="str">
        <f>IFERROR(INDEX('Hun Demand'!W:W,MATCH(O1714,'Hun Demand'!A:A,0)),"")</f>
        <v/>
      </c>
      <c r="B1714" s="25" t="str">
        <f>IFERROR(INDEX('Hun Demand'!V:V,MATCH(O1714,'Hun Demand'!A:A,0)),"")</f>
        <v/>
      </c>
      <c r="C1714" s="25" t="str">
        <f>IFERROR(INDEX('Hun Demand'!U:U,MATCH(O1714,'Hun Demand'!A:A,0)),"")</f>
        <v/>
      </c>
      <c r="D1714" s="25" t="str">
        <f>IFERROR(INDEX('Hun Demand'!T:T,MATCH(O1714,'Hun Demand'!A:A,0)),"")</f>
        <v/>
      </c>
      <c r="E1714" s="25" t="str">
        <f>IFERROR(INDEX('Hun Demand'!S:S,MATCH(O1714,'Hun Demand'!A:A,0)),"")</f>
        <v/>
      </c>
      <c r="F1714" s="25" t="str">
        <f>IFERROR(INDEX('Hun Demand'!R:R,MATCH(O1714,'Hun Demand'!A:A,0)),"")</f>
        <v/>
      </c>
      <c r="G1714" s="25">
        <f>IFERROR(INDEX('Aub Demand'!W:W,MATCH(O1714,'Aub Demand'!A:A,0)),"")</f>
        <v>0</v>
      </c>
      <c r="H1714" s="25">
        <f>IFERROR(INDEX('Aub Demand'!V:V,MATCH(O1714,'Aub Demand'!A:A,0)),"")</f>
        <v>211</v>
      </c>
      <c r="I1714" s="25">
        <f>IFERROR(INDEX('Aub Demand'!U:U,MATCH(O1714,'Aub Demand'!A:A,0)),"")</f>
        <v>25</v>
      </c>
      <c r="J1714" s="25">
        <f>IFERROR(INDEX('Aub Demand'!T:T,MATCH(O1714,'Aub Demand'!A:A,0)),"")</f>
        <v>0</v>
      </c>
      <c r="K1714" s="25">
        <f>IFERROR(INDEX('Aub Demand'!S:S,MATCH(O1714,'Aub Demand'!A:A,0)),"")</f>
        <v>0</v>
      </c>
      <c r="L1714" s="25">
        <f>IFERROR(INDEX('Aub Demand'!R:R,MATCH(O1714,'Aub Demand'!A:A,0)),"")</f>
        <v>0</v>
      </c>
      <c r="O1714" s="27" t="s">
        <v>2019</v>
      </c>
      <c r="P1714" s="27" t="str">
        <f>IFERROR(INDEX('Aub Demand'!B:B,MATCH($O1714,'Aub Demand'!$A:$A,0)),"")</f>
        <v>TOASTED COCONUT</v>
      </c>
      <c r="Q1714" s="27" t="str">
        <f>IFERROR(INDEX('Aub Demand'!C:C,MATCH($O1714,'Aub Demand'!$A:$A,0)),"")</f>
        <v>IMPRE</v>
      </c>
      <c r="R1714" s="52">
        <f>IFERROR(IF(AR1715=AR1714,INDEX('Aub Demand'!K:K,MATCH($O1714,'Aub Demand'!$A:$A,0))-IF(AN1714="",0,AN1714)+AP1715,INDEX('Aub Demand'!K:K,MATCH($O1714,'Aub Demand'!$A:$A,0))-IF(AN1714="",0,AN1714)),"")</f>
        <v>1279</v>
      </c>
      <c r="S1714" s="53">
        <f t="shared" si="728"/>
        <v>685.2</v>
      </c>
      <c r="T1714" s="52" t="str">
        <f t="shared" si="729"/>
        <v/>
      </c>
      <c r="U1714" s="52">
        <f>IFERROR(IF(AR1715=AR1714,INDEX('Aub Demand'!Q:Q,MATCH($O1714,'Aub Demand'!$A:$A,0))-IF(AN1714="",0,AN1714)+AP1715,INDEX('Aub Demand'!Q:Q,MATCH($O1714,'Aub Demand'!$A:$A,0))-IF(AN1714="",0,AN1714)),"")</f>
        <v>1279</v>
      </c>
      <c r="V1714" s="53">
        <f t="shared" si="730"/>
        <v>685.2</v>
      </c>
      <c r="W1714" s="52" t="str">
        <f t="shared" si="731"/>
        <v/>
      </c>
      <c r="X1714" s="52">
        <f>IFERROR(IF(AND(AR1715=AR1714,AM1714&lt;&gt;""),INDEX('Aub Demand'!Q:Q,MATCH($O1714,'Aub Demand'!$A:$A,0))-IF(AN1714="",0,AN1714)+AP1715+AD1714+AL1714,IF(AR1715=AR1714,INDEX('Aub Demand'!Q:Q,MATCH($O1714,'Aub Demand'!$A:$A,0))-IF(AN1714="",0,AN1714)+AP1715+AD1714,IF(AM1714&lt;&gt;"",INDEX('Aub Demand'!Q:Q,MATCH($O1714,'Aub Demand'!$A:$A,0))-IF(AN1714="",0,AN1714)+AD1714+AL1714,INDEX('Aub Demand'!Q:Q,MATCH($O1714,'Aub Demand'!$A:$A,0))-IF(AN1714="",0,AN1714)+AD1714))),"")</f>
        <v>1279</v>
      </c>
      <c r="Y1714" s="53">
        <f t="shared" si="732"/>
        <v>685.2</v>
      </c>
      <c r="Z1714" s="52">
        <f>IF(L1714="","",INDEX('Aub Demand'!H:H,MATCH($O1714,'Aub Demand'!$A:$A,0)))</f>
        <v>8</v>
      </c>
      <c r="AA1714" s="52" t="str">
        <f t="shared" si="733"/>
        <v>-spike-</v>
      </c>
      <c r="AB1714" s="52">
        <f>IFERROR(INDEX('Aub Demand'!L:L,MATCH($O1714,'Aub Demand'!$A:$A,0)),"")</f>
        <v>0</v>
      </c>
      <c r="AC1714" s="52">
        <f>IFERROR(IF(O1714="","",SUMIFS('CPL Mats'!F:F,'CPL Mats'!Q:Q,AR1714,'CPL Mats'!S:S,AS1714)),"")</f>
        <v>0</v>
      </c>
      <c r="AF1714" s="25" t="str">
        <f>IF(SUMIFS('Supp Consol'!S:S,'Supp Consol'!Y:Y,"Releasable",'Supp Consol'!A:A,O1714)=0,"",SUMIFS('Supp Consol'!S:S,'Supp Consol'!Y:Y,"Releasable",'Supp Consol'!A:A,O1714))</f>
        <v/>
      </c>
      <c r="AG1714" s="25" t="str">
        <f>IFERROR(INDEX('Hun Demand'!Q:Q,MATCH(O1714,'Hun Demand'!A:A,0)),"")</f>
        <v/>
      </c>
      <c r="AH1714" s="25" t="str">
        <f>IFERROR(INDEX('Hun Demand'!H:H,MATCH($O1714,'Hun Demand'!$A:$A,0)),"")</f>
        <v/>
      </c>
      <c r="AI1714" s="25" t="str">
        <f>IF(SUMIFS('Supp Consol'!AA:AA,'Supp Consol'!Z:Z,"Expires this month",'Supp Consol'!A:A,O1714)=0,"",SUMIFS('Supp Consol'!AA:AA,'Supp Consol'!Z:Z,"Expires this month",'Supp Consol'!A:A,O1714))</f>
        <v/>
      </c>
      <c r="AJ1714" s="25" t="str">
        <f>IF(SUMIFS('Supp Consol'!AA:AA,'Supp Consol'!Z:Z,"Expired Previous Months",'Supp Consol'!A:A,O1714)=0,"",SUMIFS('Supp Consol'!AA:AA,'Supp Consol'!Z:Z,"Expired Previous Months",'Supp Consol'!A:A,O1714))</f>
        <v/>
      </c>
      <c r="AK1714" s="25" t="str">
        <f>IFERROR(INDEX('Hun Release Current'!B:B,MATCH(O1714,'Hun Release Current'!A:A,0)),"")</f>
        <v/>
      </c>
      <c r="AL1714" s="25" t="str">
        <f>IF(SUMIF('Prev Aub'!A:A,O1714,'Prev Aub'!B:B)=0,"",SUMIF('Prev Aub'!A:A,O1714,'Prev Aub'!B:B))</f>
        <v/>
      </c>
      <c r="AN1714" s="25" t="s">
        <v>3790</v>
      </c>
      <c r="AO1714" s="25" t="s">
        <v>3790</v>
      </c>
      <c r="AP1714" s="25">
        <f t="shared" si="734"/>
        <v>0</v>
      </c>
      <c r="AQ1714" s="151" t="str">
        <f>IF(SUMIFS('Supp Consol'!S:S,'Supp Consol'!A:A,O1714,'Supp Consol'!I:I,"PENDING")=0,"",SUMIFS('Supp Consol'!S:S,'Supp Consol'!A:A,O1714,'Supp Consol'!I:I,"PENDING"))</f>
        <v/>
      </c>
      <c r="AR1714" s="27" t="str">
        <f t="shared" si="735"/>
        <v>WZ460</v>
      </c>
      <c r="AS1714" s="27" t="str">
        <f t="shared" si="736"/>
        <v>62</v>
      </c>
      <c r="AT1714" s="27" t="str">
        <f t="shared" si="737"/>
        <v/>
      </c>
      <c r="AU1714" s="27" t="str">
        <f t="shared" si="738"/>
        <v/>
      </c>
      <c r="AV1714" s="27" t="str">
        <f t="shared" si="739"/>
        <v/>
      </c>
      <c r="AW1714" s="27" t="str">
        <f t="shared" si="740"/>
        <v/>
      </c>
      <c r="AX1714" s="27" t="str">
        <f t="shared" si="741"/>
        <v/>
      </c>
      <c r="AY1714" s="27" t="str">
        <f t="shared" si="742"/>
        <v/>
      </c>
      <c r="AZ1714" s="27" t="str">
        <f t="shared" si="743"/>
        <v/>
      </c>
      <c r="BA1714" s="27" t="str">
        <f t="shared" si="744"/>
        <v>Hun</v>
      </c>
      <c r="BB1714" s="27" t="str">
        <f t="shared" si="745"/>
        <v/>
      </c>
      <c r="BC1714" s="27" t="str">
        <f t="shared" si="746"/>
        <v/>
      </c>
      <c r="BD1714" s="27" t="str">
        <f t="shared" si="747"/>
        <v/>
      </c>
      <c r="BE1714" s="27" t="str">
        <f t="shared" si="748"/>
        <v/>
      </c>
      <c r="BF1714" s="27" t="str">
        <f t="shared" si="749"/>
        <v/>
      </c>
      <c r="BG1714" s="27" t="str">
        <f t="shared" si="750"/>
        <v/>
      </c>
      <c r="BH1714" s="27" t="str">
        <f t="shared" si="751"/>
        <v/>
      </c>
      <c r="BI1714" s="27" t="str">
        <f t="shared" si="752"/>
        <v/>
      </c>
      <c r="BJ1714" s="27" t="str">
        <f t="shared" si="753"/>
        <v>Supp or Hun</v>
      </c>
      <c r="BK1714" s="27" t="str">
        <f t="shared" si="754"/>
        <v/>
      </c>
      <c r="BL1714" s="27" t="str">
        <f t="shared" si="755"/>
        <v/>
      </c>
      <c r="BM1714" s="21" t="s">
        <v>5581</v>
      </c>
    </row>
    <row r="1715" spans="1:65" ht="15">
      <c r="A1715" s="25" t="str">
        <f>IFERROR(INDEX('Hun Demand'!W:W,MATCH(O1715,'Hun Demand'!A:A,0)),"")</f>
        <v/>
      </c>
      <c r="B1715" s="25" t="str">
        <f>IFERROR(INDEX('Hun Demand'!V:V,MATCH(O1715,'Hun Demand'!A:A,0)),"")</f>
        <v/>
      </c>
      <c r="C1715" s="25" t="str">
        <f>IFERROR(INDEX('Hun Demand'!U:U,MATCH(O1715,'Hun Demand'!A:A,0)),"")</f>
        <v/>
      </c>
      <c r="D1715" s="25" t="str">
        <f>IFERROR(INDEX('Hun Demand'!T:T,MATCH(O1715,'Hun Demand'!A:A,0)),"")</f>
        <v/>
      </c>
      <c r="E1715" s="25" t="str">
        <f>IFERROR(INDEX('Hun Demand'!S:S,MATCH(O1715,'Hun Demand'!A:A,0)),"")</f>
        <v/>
      </c>
      <c r="F1715" s="25" t="str">
        <f>IFERROR(INDEX('Hun Demand'!R:R,MATCH(O1715,'Hun Demand'!A:A,0)),"")</f>
        <v/>
      </c>
      <c r="G1715" s="25">
        <f>IFERROR(INDEX('Aub Demand'!W:W,MATCH(O1715,'Aub Demand'!A:A,0)),"")</f>
        <v>0</v>
      </c>
      <c r="H1715" s="25">
        <f>IFERROR(INDEX('Aub Demand'!V:V,MATCH(O1715,'Aub Demand'!A:A,0)),"")</f>
        <v>0</v>
      </c>
      <c r="I1715" s="25">
        <f>IFERROR(INDEX('Aub Demand'!U:U,MATCH(O1715,'Aub Demand'!A:A,0)),"")</f>
        <v>0</v>
      </c>
      <c r="J1715" s="25">
        <f>IFERROR(INDEX('Aub Demand'!T:T,MATCH(O1715,'Aub Demand'!A:A,0)),"")</f>
        <v>0</v>
      </c>
      <c r="K1715" s="25">
        <f>IFERROR(INDEX('Aub Demand'!S:S,MATCH(O1715,'Aub Demand'!A:A,0)),"")</f>
        <v>0</v>
      </c>
      <c r="L1715" s="25">
        <f>IFERROR(INDEX('Aub Demand'!R:R,MATCH(O1715,'Aub Demand'!A:A,0)),"")</f>
        <v>0</v>
      </c>
      <c r="O1715" s="27" t="s">
        <v>3277</v>
      </c>
      <c r="P1715" s="27" t="str">
        <f>IFERROR(INDEX('Aub Demand'!B:B,MATCH($O1715,'Aub Demand'!$A:$A,0)),"")</f>
        <v>PRIMA VERA 60"</v>
      </c>
      <c r="Q1715" s="27" t="str">
        <f>IFERROR(INDEX('Aub Demand'!C:C,MATCH($O1715,'Aub Demand'!$A:$A,0)),"")</f>
        <v>TOPPA</v>
      </c>
      <c r="R1715" s="52">
        <f>IFERROR(IF(AR1716=AR1715,INDEX('Aub Demand'!K:K,MATCH($O1715,'Aub Demand'!$A:$A,0))-IF(AN1715="",0,AN1715)+AP1716,INDEX('Aub Demand'!K:K,MATCH($O1715,'Aub Demand'!$A:$A,0))-IF(AN1715="",0,AN1715)),"")</f>
        <v>226</v>
      </c>
      <c r="S1715" s="53" t="str">
        <f t="shared" si="728"/>
        <v>n/a</v>
      </c>
      <c r="T1715" s="52" t="str">
        <f t="shared" si="729"/>
        <v/>
      </c>
      <c r="U1715" s="52">
        <f>IFERROR(IF(AR1716=AR1715,INDEX('Aub Demand'!Q:Q,MATCH($O1715,'Aub Demand'!$A:$A,0))-IF(AN1715="",0,AN1715)+AP1716,INDEX('Aub Demand'!Q:Q,MATCH($O1715,'Aub Demand'!$A:$A,0))-IF(AN1715="",0,AN1715)),"")</f>
        <v>226</v>
      </c>
      <c r="V1715" s="53" t="str">
        <f t="shared" si="730"/>
        <v>n/a</v>
      </c>
      <c r="W1715" s="52" t="str">
        <f t="shared" si="731"/>
        <v/>
      </c>
      <c r="X1715" s="52">
        <f>IFERROR(IF(AND(AR1716=AR1715,AM1715&lt;&gt;""),INDEX('Aub Demand'!Q:Q,MATCH($O1715,'Aub Demand'!$A:$A,0))-IF(AN1715="",0,AN1715)+AP1716+AD1715+AL1715,IF(AR1716=AR1715,INDEX('Aub Demand'!Q:Q,MATCH($O1715,'Aub Demand'!$A:$A,0))-IF(AN1715="",0,AN1715)+AP1716+AD1715,IF(AM1715&lt;&gt;"",INDEX('Aub Demand'!Q:Q,MATCH($O1715,'Aub Demand'!$A:$A,0))-IF(AN1715="",0,AN1715)+AD1715+AL1715,INDEX('Aub Demand'!Q:Q,MATCH($O1715,'Aub Demand'!$A:$A,0))-IF(AN1715="",0,AN1715)+AD1715))),"")</f>
        <v>226</v>
      </c>
      <c r="Y1715" s="53" t="str">
        <f t="shared" si="732"/>
        <v>n/a</v>
      </c>
      <c r="Z1715" s="52">
        <f>IF(L1715="","",INDEX('Aub Demand'!H:H,MATCH($O1715,'Aub Demand'!$A:$A,0)))</f>
        <v>0</v>
      </c>
      <c r="AA1715" s="52" t="str">
        <f t="shared" si="733"/>
        <v>-spike-</v>
      </c>
      <c r="AB1715" s="52">
        <f>IFERROR(INDEX('Aub Demand'!L:L,MATCH($O1715,'Aub Demand'!$A:$A,0)),"")</f>
        <v>0</v>
      </c>
      <c r="AC1715" s="52">
        <f>IFERROR(IF(O1715="","",SUMIFS('CPL Mats'!F:F,'CPL Mats'!Q:Q,AR1715,'CPL Mats'!S:S,AS1715)),"")</f>
        <v>0</v>
      </c>
      <c r="AF1715" s="25" t="str">
        <f>IF(SUMIFS('Supp Consol'!S:S,'Supp Consol'!Y:Y,"Releasable",'Supp Consol'!A:A,O1715)=0,"",SUMIFS('Supp Consol'!S:S,'Supp Consol'!Y:Y,"Releasable",'Supp Consol'!A:A,O1715))</f>
        <v/>
      </c>
      <c r="AG1715" s="25" t="str">
        <f>IFERROR(INDEX('Hun Demand'!Q:Q,MATCH(O1715,'Hun Demand'!A:A,0)),"")</f>
        <v/>
      </c>
      <c r="AH1715" s="25" t="str">
        <f>IFERROR(INDEX('Hun Demand'!H:H,MATCH($O1715,'Hun Demand'!$A:$A,0)),"")</f>
        <v/>
      </c>
      <c r="AI1715" s="25" t="str">
        <f>IF(SUMIFS('Supp Consol'!AA:AA,'Supp Consol'!Z:Z,"Expires this month",'Supp Consol'!A:A,O1715)=0,"",SUMIFS('Supp Consol'!AA:AA,'Supp Consol'!Z:Z,"Expires this month",'Supp Consol'!A:A,O1715))</f>
        <v/>
      </c>
      <c r="AJ1715" s="25" t="str">
        <f>IF(SUMIFS('Supp Consol'!AA:AA,'Supp Consol'!Z:Z,"Expired Previous Months",'Supp Consol'!A:A,O1715)=0,"",SUMIFS('Supp Consol'!AA:AA,'Supp Consol'!Z:Z,"Expired Previous Months",'Supp Consol'!A:A,O1715))</f>
        <v/>
      </c>
      <c r="AK1715" s="25" t="str">
        <f>IFERROR(INDEX('Hun Release Current'!B:B,MATCH(O1715,'Hun Release Current'!A:A,0)),"")</f>
        <v/>
      </c>
      <c r="AL1715" s="25" t="str">
        <f>IF(SUMIF('Prev Aub'!A:A,O1715,'Prev Aub'!B:B)=0,"",SUMIF('Prev Aub'!A:A,O1715,'Prev Aub'!B:B))</f>
        <v/>
      </c>
      <c r="AN1715" s="25" t="s">
        <v>3790</v>
      </c>
      <c r="AO1715" s="25" t="s">
        <v>3790</v>
      </c>
      <c r="AP1715" s="25">
        <f t="shared" si="734"/>
        <v>0</v>
      </c>
      <c r="AQ1715" s="151" t="str">
        <f>IF(SUMIFS('Supp Consol'!S:S,'Supp Consol'!A:A,O1715,'Supp Consol'!I:I,"PENDING")=0,"",SUMIFS('Supp Consol'!S:S,'Supp Consol'!A:A,O1715,'Supp Consol'!I:I,"PENDING"))</f>
        <v/>
      </c>
      <c r="AR1715" s="27" t="str">
        <f t="shared" si="735"/>
        <v>WZ484</v>
      </c>
      <c r="AS1715" s="27" t="str">
        <f t="shared" si="736"/>
        <v>62</v>
      </c>
      <c r="AT1715" s="27" t="str">
        <f t="shared" si="737"/>
        <v/>
      </c>
      <c r="AU1715" s="27" t="str">
        <f t="shared" si="738"/>
        <v/>
      </c>
      <c r="AV1715" s="27" t="str">
        <f t="shared" si="739"/>
        <v/>
      </c>
      <c r="AW1715" s="27" t="str">
        <f t="shared" si="740"/>
        <v/>
      </c>
      <c r="AX1715" s="27" t="str">
        <f t="shared" si="741"/>
        <v/>
      </c>
      <c r="AY1715" s="27" t="str">
        <f t="shared" si="742"/>
        <v/>
      </c>
      <c r="AZ1715" s="27" t="str">
        <f t="shared" si="743"/>
        <v/>
      </c>
      <c r="BA1715" s="27" t="str">
        <f t="shared" si="744"/>
        <v/>
      </c>
      <c r="BB1715" s="27" t="str">
        <f t="shared" si="745"/>
        <v/>
      </c>
      <c r="BC1715" s="27" t="str">
        <f t="shared" si="746"/>
        <v/>
      </c>
      <c r="BD1715" s="27" t="str">
        <f t="shared" si="747"/>
        <v/>
      </c>
      <c r="BE1715" s="27" t="str">
        <f t="shared" si="748"/>
        <v/>
      </c>
      <c r="BF1715" s="27" t="str">
        <f t="shared" si="749"/>
        <v/>
      </c>
      <c r="BG1715" s="27" t="str">
        <f t="shared" si="750"/>
        <v/>
      </c>
      <c r="BH1715" s="27" t="str">
        <f t="shared" si="751"/>
        <v/>
      </c>
      <c r="BI1715" s="27" t="str">
        <f t="shared" si="752"/>
        <v/>
      </c>
      <c r="BJ1715" s="27" t="str">
        <f t="shared" si="753"/>
        <v/>
      </c>
      <c r="BK1715" s="27" t="str">
        <f t="shared" si="754"/>
        <v/>
      </c>
      <c r="BL1715" s="27" t="str">
        <f t="shared" si="755"/>
        <v/>
      </c>
      <c r="BM1715" s="21" t="s">
        <v>3790</v>
      </c>
    </row>
    <row r="1716" spans="1:65" ht="15">
      <c r="A1716" s="25" t="str">
        <f>IFERROR(INDEX('Hun Demand'!W:W,MATCH(O1716,'Hun Demand'!A:A,0)),"")</f>
        <v/>
      </c>
      <c r="B1716" s="25" t="str">
        <f>IFERROR(INDEX('Hun Demand'!V:V,MATCH(O1716,'Hun Demand'!A:A,0)),"")</f>
        <v/>
      </c>
      <c r="C1716" s="25" t="str">
        <f>IFERROR(INDEX('Hun Demand'!U:U,MATCH(O1716,'Hun Demand'!A:A,0)),"")</f>
        <v/>
      </c>
      <c r="D1716" s="25" t="str">
        <f>IFERROR(INDEX('Hun Demand'!T:T,MATCH(O1716,'Hun Demand'!A:A,0)),"")</f>
        <v/>
      </c>
      <c r="E1716" s="25" t="str">
        <f>IFERROR(INDEX('Hun Demand'!S:S,MATCH(O1716,'Hun Demand'!A:A,0)),"")</f>
        <v/>
      </c>
      <c r="F1716" s="25" t="str">
        <f>IFERROR(INDEX('Hun Demand'!R:R,MATCH(O1716,'Hun Demand'!A:A,0)),"")</f>
        <v/>
      </c>
      <c r="G1716" s="25">
        <f>IFERROR(INDEX('Aub Demand'!W:W,MATCH(O1716,'Aub Demand'!A:A,0)),"")</f>
        <v>0</v>
      </c>
      <c r="H1716" s="25">
        <f>IFERROR(INDEX('Aub Demand'!V:V,MATCH(O1716,'Aub Demand'!A:A,0)),"")</f>
        <v>6</v>
      </c>
      <c r="I1716" s="25">
        <f>IFERROR(INDEX('Aub Demand'!U:U,MATCH(O1716,'Aub Demand'!A:A,0)),"")</f>
        <v>0</v>
      </c>
      <c r="J1716" s="25">
        <f>IFERROR(INDEX('Aub Demand'!T:T,MATCH(O1716,'Aub Demand'!A:A,0)),"")</f>
        <v>0</v>
      </c>
      <c r="K1716" s="25">
        <f>IFERROR(INDEX('Aub Demand'!S:S,MATCH(O1716,'Aub Demand'!A:A,0)),"")</f>
        <v>0</v>
      </c>
      <c r="L1716" s="25">
        <f>IFERROR(INDEX('Aub Demand'!R:R,MATCH(O1716,'Aub Demand'!A:A,0)),"")</f>
        <v>0</v>
      </c>
      <c r="O1716" s="27" t="s">
        <v>3280</v>
      </c>
      <c r="P1716" s="27" t="str">
        <f>IFERROR(INDEX('Aub Demand'!B:B,MATCH($O1716,'Aub Demand'!$A:$A,0)),"")</f>
        <v>EXTREME GREEN BAMBOO</v>
      </c>
      <c r="Q1716" s="27" t="str">
        <f>IFERROR(INDEX('Aub Demand'!C:C,MATCH($O1716,'Aub Demand'!$A:$A,0)),"")</f>
        <v>INTER</v>
      </c>
      <c r="R1716" s="52">
        <f>IFERROR(IF(AR1717=AR1716,INDEX('Aub Demand'!K:K,MATCH($O1716,'Aub Demand'!$A:$A,0))-IF(AN1716="",0,AN1716)+AP1717,INDEX('Aub Demand'!K:K,MATCH($O1716,'Aub Demand'!$A:$A,0))-IF(AN1716="",0,AN1716)),"")</f>
        <v>802</v>
      </c>
      <c r="S1716" s="53" t="str">
        <f t="shared" si="728"/>
        <v>n/a</v>
      </c>
      <c r="T1716" s="52" t="str">
        <f t="shared" si="729"/>
        <v/>
      </c>
      <c r="U1716" s="52">
        <f>IFERROR(IF(AR1717=AR1716,INDEX('Aub Demand'!Q:Q,MATCH($O1716,'Aub Demand'!$A:$A,0))-IF(AN1716="",0,AN1716)+AP1717,INDEX('Aub Demand'!Q:Q,MATCH($O1716,'Aub Demand'!$A:$A,0))-IF(AN1716="",0,AN1716)),"")</f>
        <v>802</v>
      </c>
      <c r="V1716" s="53" t="str">
        <f t="shared" si="730"/>
        <v>n/a</v>
      </c>
      <c r="W1716" s="52" t="str">
        <f t="shared" si="731"/>
        <v/>
      </c>
      <c r="X1716" s="52">
        <f>IFERROR(IF(AND(AR1717=AR1716,AM1716&lt;&gt;""),INDEX('Aub Demand'!Q:Q,MATCH($O1716,'Aub Demand'!$A:$A,0))-IF(AN1716="",0,AN1716)+AP1717+AD1716+AL1716,IF(AR1717=AR1716,INDEX('Aub Demand'!Q:Q,MATCH($O1716,'Aub Demand'!$A:$A,0))-IF(AN1716="",0,AN1716)+AP1717+AD1716,IF(AM1716&lt;&gt;"",INDEX('Aub Demand'!Q:Q,MATCH($O1716,'Aub Demand'!$A:$A,0))-IF(AN1716="",0,AN1716)+AD1716+AL1716,INDEX('Aub Demand'!Q:Q,MATCH($O1716,'Aub Demand'!$A:$A,0))-IF(AN1716="",0,AN1716)+AD1716))),"")</f>
        <v>802</v>
      </c>
      <c r="Y1716" s="53" t="str">
        <f t="shared" si="732"/>
        <v>n/a</v>
      </c>
      <c r="Z1716" s="52">
        <f>IF(L1716="","",INDEX('Aub Demand'!H:H,MATCH($O1716,'Aub Demand'!$A:$A,0)))</f>
        <v>0</v>
      </c>
      <c r="AA1716" s="52" t="str">
        <f t="shared" si="733"/>
        <v>-spike-</v>
      </c>
      <c r="AB1716" s="52">
        <f>IFERROR(INDEX('Aub Demand'!L:L,MATCH($O1716,'Aub Demand'!$A:$A,0)),"")</f>
        <v>42</v>
      </c>
      <c r="AC1716" s="52">
        <f>IFERROR(IF(O1716="","",SUMIFS('CPL Mats'!F:F,'CPL Mats'!Q:Q,AR1716,'CPL Mats'!S:S,AS1716)),"")</f>
        <v>0</v>
      </c>
      <c r="AF1716" s="25" t="str">
        <f>IF(SUMIFS('Supp Consol'!S:S,'Supp Consol'!Y:Y,"Releasable",'Supp Consol'!A:A,O1716)=0,"",SUMIFS('Supp Consol'!S:S,'Supp Consol'!Y:Y,"Releasable",'Supp Consol'!A:A,O1716))</f>
        <v/>
      </c>
      <c r="AG1716" s="25" t="str">
        <f>IFERROR(INDEX('Hun Demand'!Q:Q,MATCH(O1716,'Hun Demand'!A:A,0)),"")</f>
        <v/>
      </c>
      <c r="AH1716" s="25" t="str">
        <f>IFERROR(INDEX('Hun Demand'!H:H,MATCH($O1716,'Hun Demand'!$A:$A,0)),"")</f>
        <v/>
      </c>
      <c r="AI1716" s="25" t="str">
        <f>IF(SUMIFS('Supp Consol'!AA:AA,'Supp Consol'!Z:Z,"Expires this month",'Supp Consol'!A:A,O1716)=0,"",SUMIFS('Supp Consol'!AA:AA,'Supp Consol'!Z:Z,"Expires this month",'Supp Consol'!A:A,O1716))</f>
        <v/>
      </c>
      <c r="AJ1716" s="25" t="str">
        <f>IF(SUMIFS('Supp Consol'!AA:AA,'Supp Consol'!Z:Z,"Expired Previous Months",'Supp Consol'!A:A,O1716)=0,"",SUMIFS('Supp Consol'!AA:AA,'Supp Consol'!Z:Z,"Expired Previous Months",'Supp Consol'!A:A,O1716))</f>
        <v/>
      </c>
      <c r="AK1716" s="25" t="str">
        <f>IFERROR(INDEX('Hun Release Current'!B:B,MATCH(O1716,'Hun Release Current'!A:A,0)),"")</f>
        <v/>
      </c>
      <c r="AL1716" s="25" t="str">
        <f>IF(SUMIF('Prev Aub'!A:A,O1716,'Prev Aub'!B:B)=0,"",SUMIF('Prev Aub'!A:A,O1716,'Prev Aub'!B:B))</f>
        <v/>
      </c>
      <c r="AN1716" s="25" t="s">
        <v>3790</v>
      </c>
      <c r="AO1716" s="25" t="s">
        <v>3790</v>
      </c>
      <c r="AP1716" s="25">
        <f t="shared" si="734"/>
        <v>0</v>
      </c>
      <c r="AQ1716" s="151" t="str">
        <f>IF(SUMIFS('Supp Consol'!S:S,'Supp Consol'!A:A,O1716,'Supp Consol'!I:I,"PENDING")=0,"",SUMIFS('Supp Consol'!S:S,'Supp Consol'!A:A,O1716,'Supp Consol'!I:I,"PENDING"))</f>
        <v/>
      </c>
      <c r="AR1716" s="27" t="str">
        <f t="shared" si="735"/>
        <v>WZ501</v>
      </c>
      <c r="AS1716" s="27" t="str">
        <f t="shared" si="736"/>
        <v>50</v>
      </c>
      <c r="AT1716" s="27" t="str">
        <f t="shared" si="737"/>
        <v/>
      </c>
      <c r="AU1716" s="27" t="str">
        <f t="shared" si="738"/>
        <v/>
      </c>
      <c r="AV1716" s="27" t="str">
        <f t="shared" si="739"/>
        <v/>
      </c>
      <c r="AW1716" s="27" t="str">
        <f t="shared" si="740"/>
        <v/>
      </c>
      <c r="AX1716" s="27" t="str">
        <f t="shared" si="741"/>
        <v/>
      </c>
      <c r="AY1716" s="27" t="str">
        <f t="shared" si="742"/>
        <v/>
      </c>
      <c r="AZ1716" s="27" t="str">
        <f t="shared" si="743"/>
        <v/>
      </c>
      <c r="BA1716" s="27" t="str">
        <f t="shared" si="744"/>
        <v/>
      </c>
      <c r="BB1716" s="27" t="str">
        <f t="shared" si="745"/>
        <v/>
      </c>
      <c r="BC1716" s="27" t="str">
        <f t="shared" si="746"/>
        <v/>
      </c>
      <c r="BD1716" s="27" t="str">
        <f t="shared" si="747"/>
        <v/>
      </c>
      <c r="BE1716" s="27" t="str">
        <f t="shared" si="748"/>
        <v/>
      </c>
      <c r="BF1716" s="27" t="str">
        <f t="shared" si="749"/>
        <v/>
      </c>
      <c r="BG1716" s="27" t="str">
        <f t="shared" si="750"/>
        <v/>
      </c>
      <c r="BH1716" s="27" t="str">
        <f t="shared" si="751"/>
        <v/>
      </c>
      <c r="BI1716" s="27" t="str">
        <f t="shared" si="752"/>
        <v/>
      </c>
      <c r="BJ1716" s="27" t="str">
        <f t="shared" si="753"/>
        <v/>
      </c>
      <c r="BK1716" s="27" t="str">
        <f t="shared" si="754"/>
        <v/>
      </c>
      <c r="BL1716" s="27" t="str">
        <f t="shared" si="755"/>
        <v/>
      </c>
      <c r="BM1716" s="21" t="s">
        <v>3790</v>
      </c>
    </row>
    <row r="1717" spans="1:65" ht="15">
      <c r="A1717" s="25" t="str">
        <f>IFERROR(INDEX('Hun Demand'!W:W,MATCH(O1717,'Hun Demand'!A:A,0)),"")</f>
        <v/>
      </c>
      <c r="B1717" s="25" t="str">
        <f>IFERROR(INDEX('Hun Demand'!V:V,MATCH(O1717,'Hun Demand'!A:A,0)),"")</f>
        <v/>
      </c>
      <c r="C1717" s="25" t="str">
        <f>IFERROR(INDEX('Hun Demand'!U:U,MATCH(O1717,'Hun Demand'!A:A,0)),"")</f>
        <v/>
      </c>
      <c r="D1717" s="25" t="str">
        <f>IFERROR(INDEX('Hun Demand'!T:T,MATCH(O1717,'Hun Demand'!A:A,0)),"")</f>
        <v/>
      </c>
      <c r="E1717" s="25" t="str">
        <f>IFERROR(INDEX('Hun Demand'!S:S,MATCH(O1717,'Hun Demand'!A:A,0)),"")</f>
        <v/>
      </c>
      <c r="F1717" s="25" t="str">
        <f>IFERROR(INDEX('Hun Demand'!R:R,MATCH(O1717,'Hun Demand'!A:A,0)),"")</f>
        <v/>
      </c>
      <c r="G1717" s="25">
        <f>IFERROR(INDEX('Aub Demand'!W:W,MATCH(O1717,'Aub Demand'!A:A,0)),"")</f>
        <v>0</v>
      </c>
      <c r="H1717" s="25">
        <f>IFERROR(INDEX('Aub Demand'!V:V,MATCH(O1717,'Aub Demand'!A:A,0)),"")</f>
        <v>0</v>
      </c>
      <c r="I1717" s="25">
        <f>IFERROR(INDEX('Aub Demand'!U:U,MATCH(O1717,'Aub Demand'!A:A,0)),"")</f>
        <v>0</v>
      </c>
      <c r="J1717" s="25">
        <f>IFERROR(INDEX('Aub Demand'!T:T,MATCH(O1717,'Aub Demand'!A:A,0)),"")</f>
        <v>0</v>
      </c>
      <c r="K1717" s="25">
        <f>IFERROR(INDEX('Aub Demand'!S:S,MATCH(O1717,'Aub Demand'!A:A,0)),"")</f>
        <v>0</v>
      </c>
      <c r="L1717" s="25">
        <f>IFERROR(INDEX('Aub Demand'!R:R,MATCH(O1717,'Aub Demand'!A:A,0)),"")</f>
        <v>0</v>
      </c>
      <c r="O1717" s="27" t="s">
        <v>3283</v>
      </c>
      <c r="P1717" s="27" t="str">
        <f>IFERROR(INDEX('Aub Demand'!B:B,MATCH($O1717,'Aub Demand'!$A:$A,0)),"")</f>
        <v>EXTREME GREEN BAMBOO</v>
      </c>
      <c r="Q1717" s="27" t="str">
        <f>IFERROR(INDEX('Aub Demand'!C:C,MATCH($O1717,'Aub Demand'!$A:$A,0)),"")</f>
        <v>INTER</v>
      </c>
      <c r="R1717" s="52">
        <f>IFERROR(IF(AR1718=AR1717,INDEX('Aub Demand'!K:K,MATCH($O1717,'Aub Demand'!$A:$A,0))-IF(AN1717="",0,AN1717)+AP1718,INDEX('Aub Demand'!K:K,MATCH($O1717,'Aub Demand'!$A:$A,0))-IF(AN1717="",0,AN1717)),"")</f>
        <v>878</v>
      </c>
      <c r="S1717" s="53" t="str">
        <f t="shared" si="728"/>
        <v>n/a</v>
      </c>
      <c r="T1717" s="52" t="str">
        <f t="shared" si="729"/>
        <v/>
      </c>
      <c r="U1717" s="52">
        <f>IFERROR(IF(AR1718=AR1717,INDEX('Aub Demand'!Q:Q,MATCH($O1717,'Aub Demand'!$A:$A,0))-IF(AN1717="",0,AN1717)+AP1718,INDEX('Aub Demand'!Q:Q,MATCH($O1717,'Aub Demand'!$A:$A,0))-IF(AN1717="",0,AN1717)),"")</f>
        <v>878</v>
      </c>
      <c r="V1717" s="53" t="str">
        <f t="shared" si="730"/>
        <v>n/a</v>
      </c>
      <c r="W1717" s="52" t="str">
        <f t="shared" si="731"/>
        <v/>
      </c>
      <c r="X1717" s="52">
        <f>IFERROR(IF(AND(AR1718=AR1717,AM1717&lt;&gt;""),INDEX('Aub Demand'!Q:Q,MATCH($O1717,'Aub Demand'!$A:$A,0))-IF(AN1717="",0,AN1717)+AP1718+AD1717+AL1717,IF(AR1718=AR1717,INDEX('Aub Demand'!Q:Q,MATCH($O1717,'Aub Demand'!$A:$A,0))-IF(AN1717="",0,AN1717)+AP1718+AD1717,IF(AM1717&lt;&gt;"",INDEX('Aub Demand'!Q:Q,MATCH($O1717,'Aub Demand'!$A:$A,0))-IF(AN1717="",0,AN1717)+AD1717+AL1717,INDEX('Aub Demand'!Q:Q,MATCH($O1717,'Aub Demand'!$A:$A,0))-IF(AN1717="",0,AN1717)+AD1717))),"")</f>
        <v>878</v>
      </c>
      <c r="Y1717" s="53" t="str">
        <f t="shared" si="732"/>
        <v>n/a</v>
      </c>
      <c r="Z1717" s="52">
        <f>IF(L1717="","",INDEX('Aub Demand'!H:H,MATCH($O1717,'Aub Demand'!$A:$A,0)))</f>
        <v>0</v>
      </c>
      <c r="AA1717" s="52" t="str">
        <f t="shared" si="733"/>
        <v>-spike-</v>
      </c>
      <c r="AB1717" s="52">
        <f>IFERROR(INDEX('Aub Demand'!L:L,MATCH($O1717,'Aub Demand'!$A:$A,0)),"")</f>
        <v>0</v>
      </c>
      <c r="AC1717" s="52">
        <f>IFERROR(IF(O1717="","",SUMIFS('CPL Mats'!F:F,'CPL Mats'!Q:Q,AR1717,'CPL Mats'!S:S,AS1717)),"")</f>
        <v>0</v>
      </c>
      <c r="AF1717" s="25" t="str">
        <f>IF(SUMIFS('Supp Consol'!S:S,'Supp Consol'!Y:Y,"Releasable",'Supp Consol'!A:A,O1717)=0,"",SUMIFS('Supp Consol'!S:S,'Supp Consol'!Y:Y,"Releasable",'Supp Consol'!A:A,O1717))</f>
        <v/>
      </c>
      <c r="AG1717" s="25" t="str">
        <f>IFERROR(INDEX('Hun Demand'!Q:Q,MATCH(O1717,'Hun Demand'!A:A,0)),"")</f>
        <v/>
      </c>
      <c r="AH1717" s="25" t="str">
        <f>IFERROR(INDEX('Hun Demand'!H:H,MATCH($O1717,'Hun Demand'!$A:$A,0)),"")</f>
        <v/>
      </c>
      <c r="AI1717" s="25" t="str">
        <f>IF(SUMIFS('Supp Consol'!AA:AA,'Supp Consol'!Z:Z,"Expires this month",'Supp Consol'!A:A,O1717)=0,"",SUMIFS('Supp Consol'!AA:AA,'Supp Consol'!Z:Z,"Expires this month",'Supp Consol'!A:A,O1717))</f>
        <v/>
      </c>
      <c r="AJ1717" s="25" t="str">
        <f>IF(SUMIFS('Supp Consol'!AA:AA,'Supp Consol'!Z:Z,"Expired Previous Months",'Supp Consol'!A:A,O1717)=0,"",SUMIFS('Supp Consol'!AA:AA,'Supp Consol'!Z:Z,"Expired Previous Months",'Supp Consol'!A:A,O1717))</f>
        <v/>
      </c>
      <c r="AK1717" s="25" t="str">
        <f>IFERROR(INDEX('Hun Release Current'!B:B,MATCH(O1717,'Hun Release Current'!A:A,0)),"")</f>
        <v/>
      </c>
      <c r="AL1717" s="25" t="str">
        <f>IF(SUMIF('Prev Aub'!A:A,O1717,'Prev Aub'!B:B)=0,"",SUMIF('Prev Aub'!A:A,O1717,'Prev Aub'!B:B))</f>
        <v/>
      </c>
      <c r="AN1717" s="25" t="s">
        <v>3790</v>
      </c>
      <c r="AO1717" s="25" t="s">
        <v>3790</v>
      </c>
      <c r="AP1717" s="25">
        <f t="shared" si="734"/>
        <v>0</v>
      </c>
      <c r="AQ1717" s="151" t="str">
        <f>IF(SUMIFS('Supp Consol'!S:S,'Supp Consol'!A:A,O1717,'Supp Consol'!I:I,"PENDING")=0,"",SUMIFS('Supp Consol'!S:S,'Supp Consol'!A:A,O1717,'Supp Consol'!I:I,"PENDING"))</f>
        <v/>
      </c>
      <c r="AR1717" s="27" t="str">
        <f t="shared" si="735"/>
        <v>WZ501</v>
      </c>
      <c r="AS1717" s="27" t="str">
        <f t="shared" si="736"/>
        <v>62</v>
      </c>
      <c r="AT1717" s="27" t="str">
        <f t="shared" si="737"/>
        <v/>
      </c>
      <c r="AU1717" s="27" t="str">
        <f t="shared" si="738"/>
        <v/>
      </c>
      <c r="AV1717" s="27" t="str">
        <f t="shared" si="739"/>
        <v/>
      </c>
      <c r="AW1717" s="27" t="str">
        <f t="shared" si="740"/>
        <v/>
      </c>
      <c r="AX1717" s="27" t="str">
        <f t="shared" si="741"/>
        <v/>
      </c>
      <c r="AY1717" s="27" t="str">
        <f t="shared" si="742"/>
        <v/>
      </c>
      <c r="AZ1717" s="27" t="str">
        <f t="shared" si="743"/>
        <v/>
      </c>
      <c r="BA1717" s="27" t="str">
        <f t="shared" si="744"/>
        <v/>
      </c>
      <c r="BB1717" s="27" t="str">
        <f t="shared" si="745"/>
        <v/>
      </c>
      <c r="BC1717" s="27" t="str">
        <f t="shared" si="746"/>
        <v/>
      </c>
      <c r="BD1717" s="27" t="str">
        <f t="shared" si="747"/>
        <v/>
      </c>
      <c r="BE1717" s="27" t="str">
        <f t="shared" si="748"/>
        <v/>
      </c>
      <c r="BF1717" s="27" t="str">
        <f t="shared" si="749"/>
        <v/>
      </c>
      <c r="BG1717" s="27" t="str">
        <f t="shared" si="750"/>
        <v/>
      </c>
      <c r="BH1717" s="27" t="str">
        <f t="shared" si="751"/>
        <v/>
      </c>
      <c r="BI1717" s="27" t="str">
        <f t="shared" si="752"/>
        <v/>
      </c>
      <c r="BJ1717" s="27" t="str">
        <f t="shared" si="753"/>
        <v/>
      </c>
      <c r="BK1717" s="27" t="str">
        <f t="shared" si="754"/>
        <v/>
      </c>
      <c r="BL1717" s="27" t="str">
        <f t="shared" si="755"/>
        <v/>
      </c>
      <c r="BM1717" s="21" t="s">
        <v>3790</v>
      </c>
    </row>
    <row r="1718" spans="1:65" ht="15">
      <c r="A1718" s="25" t="str">
        <f>IFERROR(INDEX('Hun Demand'!W:W,MATCH(O1718,'Hun Demand'!A:A,0)),"")</f>
        <v/>
      </c>
      <c r="B1718" s="25" t="str">
        <f>IFERROR(INDEX('Hun Demand'!V:V,MATCH(O1718,'Hun Demand'!A:A,0)),"")</f>
        <v/>
      </c>
      <c r="C1718" s="25" t="str">
        <f>IFERROR(INDEX('Hun Demand'!U:U,MATCH(O1718,'Hun Demand'!A:A,0)),"")</f>
        <v/>
      </c>
      <c r="D1718" s="25" t="str">
        <f>IFERROR(INDEX('Hun Demand'!T:T,MATCH(O1718,'Hun Demand'!A:A,0)),"")</f>
        <v/>
      </c>
      <c r="E1718" s="25" t="str">
        <f>IFERROR(INDEX('Hun Demand'!S:S,MATCH(O1718,'Hun Demand'!A:A,0)),"")</f>
        <v/>
      </c>
      <c r="F1718" s="25" t="str">
        <f>IFERROR(INDEX('Hun Demand'!R:R,MATCH(O1718,'Hun Demand'!A:A,0)),"")</f>
        <v/>
      </c>
      <c r="G1718" s="25">
        <f>IFERROR(INDEX('Aub Demand'!W:W,MATCH(O1718,'Aub Demand'!A:A,0)),"")</f>
        <v>0</v>
      </c>
      <c r="H1718" s="25">
        <f>IFERROR(INDEX('Aub Demand'!V:V,MATCH(O1718,'Aub Demand'!A:A,0)),"")</f>
        <v>44</v>
      </c>
      <c r="I1718" s="25">
        <f>IFERROR(INDEX('Aub Demand'!U:U,MATCH(O1718,'Aub Demand'!A:A,0)),"")</f>
        <v>278</v>
      </c>
      <c r="J1718" s="25">
        <f>IFERROR(INDEX('Aub Demand'!T:T,MATCH(O1718,'Aub Demand'!A:A,0)),"")</f>
        <v>72</v>
      </c>
      <c r="K1718" s="25">
        <f>IFERROR(INDEX('Aub Demand'!S:S,MATCH(O1718,'Aub Demand'!A:A,0)),"")</f>
        <v>0</v>
      </c>
      <c r="L1718" s="25">
        <f>IFERROR(INDEX('Aub Demand'!R:R,MATCH(O1718,'Aub Demand'!A:A,0)),"")</f>
        <v>0</v>
      </c>
      <c r="O1718" s="27" t="s">
        <v>3284</v>
      </c>
      <c r="P1718" s="27" t="str">
        <f>IFERROR(INDEX('Aub Demand'!B:B,MATCH($O1718,'Aub Demand'!$A:$A,0)),"")</f>
        <v>TOPAZ KHAYAWOOD 50"</v>
      </c>
      <c r="Q1718" s="27" t="str">
        <f>IFERROR(INDEX('Aub Demand'!C:C,MATCH($O1718,'Aub Demand'!$A:$A,0)),"")</f>
        <v>INTER</v>
      </c>
      <c r="R1718" s="52">
        <f>IFERROR(IF(AR1719=AR1718,INDEX('Aub Demand'!K:K,MATCH($O1718,'Aub Demand'!$A:$A,0))-IF(AN1718="",0,AN1718)+AP1719,INDEX('Aub Demand'!K:K,MATCH($O1718,'Aub Demand'!$A:$A,0))-IF(AN1718="",0,AN1718)),"")</f>
        <v>0</v>
      </c>
      <c r="S1718" s="53">
        <f t="shared" si="728"/>
        <v>0</v>
      </c>
      <c r="T1718" s="52">
        <f t="shared" si="729"/>
        <v>131.25</v>
      </c>
      <c r="U1718" s="52">
        <f>IFERROR(IF(AR1719=AR1718,INDEX('Aub Demand'!Q:Q,MATCH($O1718,'Aub Demand'!$A:$A,0))-IF(AN1718="",0,AN1718)+AP1719,INDEX('Aub Demand'!Q:Q,MATCH($O1718,'Aub Demand'!$A:$A,0))-IF(AN1718="",0,AN1718)),"")</f>
        <v>-38</v>
      </c>
      <c r="V1718" s="53">
        <f t="shared" si="730"/>
        <v>-1.4</v>
      </c>
      <c r="W1718" s="52">
        <f t="shared" si="731"/>
        <v>192.50000000000003</v>
      </c>
      <c r="X1718" s="52">
        <f>IFERROR(IF(AND(AR1719=AR1718,AM1718&lt;&gt;""),INDEX('Aub Demand'!Q:Q,MATCH($O1718,'Aub Demand'!$A:$A,0))-IF(AN1718="",0,AN1718)+AP1719+AD1718+AL1718,IF(AR1719=AR1718,INDEX('Aub Demand'!Q:Q,MATCH($O1718,'Aub Demand'!$A:$A,0))-IF(AN1718="",0,AN1718)+AP1719+AD1718,IF(AM1718&lt;&gt;"",INDEX('Aub Demand'!Q:Q,MATCH($O1718,'Aub Demand'!$A:$A,0))-IF(AN1718="",0,AN1718)+AD1718+AL1718,INDEX('Aub Demand'!Q:Q,MATCH($O1718,'Aub Demand'!$A:$A,0))-IF(AN1718="",0,AN1718)+AD1718))),"")</f>
        <v>-38</v>
      </c>
      <c r="Y1718" s="53">
        <f t="shared" si="732"/>
        <v>-1.4</v>
      </c>
      <c r="Z1718" s="52">
        <f>IF(L1718="","",INDEX('Aub Demand'!H:H,MATCH($O1718,'Aub Demand'!$A:$A,0)))</f>
        <v>117</v>
      </c>
      <c r="AA1718" s="52">
        <f t="shared" si="733"/>
        <v>175</v>
      </c>
      <c r="AB1718" s="52">
        <f>IFERROR(INDEX('Aub Demand'!L:L,MATCH($O1718,'Aub Demand'!$A:$A,0)),"")</f>
        <v>21</v>
      </c>
      <c r="AC1718" s="52">
        <f>IFERROR(IF(O1718="","",SUMIFS('CPL Mats'!F:F,'CPL Mats'!Q:Q,AR1718,'CPL Mats'!S:S,AS1718)),"")</f>
        <v>0</v>
      </c>
      <c r="AF1718" s="25" t="str">
        <f>IF(SUMIFS('Supp Consol'!S:S,'Supp Consol'!Y:Y,"Releasable",'Supp Consol'!A:A,O1718)=0,"",SUMIFS('Supp Consol'!S:S,'Supp Consol'!Y:Y,"Releasable",'Supp Consol'!A:A,O1718))</f>
        <v/>
      </c>
      <c r="AG1718" s="25" t="str">
        <f>IFERROR(INDEX('Hun Demand'!Q:Q,MATCH(O1718,'Hun Demand'!A:A,0)),"")</f>
        <v/>
      </c>
      <c r="AH1718" s="25" t="str">
        <f>IFERROR(INDEX('Hun Demand'!H:H,MATCH($O1718,'Hun Demand'!$A:$A,0)),"")</f>
        <v/>
      </c>
      <c r="AI1718" s="25" t="str">
        <f>IF(SUMIFS('Supp Consol'!AA:AA,'Supp Consol'!Z:Z,"Expires this month",'Supp Consol'!A:A,O1718)=0,"",SUMIFS('Supp Consol'!AA:AA,'Supp Consol'!Z:Z,"Expires this month",'Supp Consol'!A:A,O1718))</f>
        <v/>
      </c>
      <c r="AJ1718" s="25" t="str">
        <f>IF(SUMIFS('Supp Consol'!AA:AA,'Supp Consol'!Z:Z,"Expired Previous Months",'Supp Consol'!A:A,O1718)=0,"",SUMIFS('Supp Consol'!AA:AA,'Supp Consol'!Z:Z,"Expired Previous Months",'Supp Consol'!A:A,O1718))</f>
        <v/>
      </c>
      <c r="AK1718" s="25" t="str">
        <f>IFERROR(INDEX('Hun Release Current'!B:B,MATCH(O1718,'Hun Release Current'!A:A,0)),"")</f>
        <v/>
      </c>
      <c r="AL1718" s="25" t="str">
        <f>IF(SUMIF('Prev Aub'!A:A,O1718,'Prev Aub'!B:B)=0,"",SUMIF('Prev Aub'!A:A,O1718,'Prev Aub'!B:B))</f>
        <v/>
      </c>
      <c r="AN1718" s="25" t="s">
        <v>3790</v>
      </c>
      <c r="AO1718" s="25" t="s">
        <v>3790</v>
      </c>
      <c r="AP1718" s="25">
        <f t="shared" si="734"/>
        <v>0</v>
      </c>
      <c r="AQ1718" s="151" t="str">
        <f>IF(SUMIFS('Supp Consol'!S:S,'Supp Consol'!A:A,O1718,'Supp Consol'!I:I,"PENDING")=0,"",SUMIFS('Supp Consol'!S:S,'Supp Consol'!A:A,O1718,'Supp Consol'!I:I,"PENDING"))</f>
        <v/>
      </c>
      <c r="AR1718" s="27" t="str">
        <f t="shared" si="735"/>
        <v>WZ513</v>
      </c>
      <c r="AS1718" s="27" t="str">
        <f t="shared" si="736"/>
        <v>50</v>
      </c>
      <c r="AT1718" s="27" t="str">
        <f t="shared" si="737"/>
        <v>WZ513</v>
      </c>
      <c r="AU1718" s="27" t="str">
        <f t="shared" si="738"/>
        <v>WZ513</v>
      </c>
      <c r="AV1718" s="27" t="str">
        <f t="shared" si="739"/>
        <v>WZ513</v>
      </c>
      <c r="AW1718" s="27" t="str">
        <f t="shared" si="740"/>
        <v/>
      </c>
      <c r="AX1718" s="27" t="str">
        <f t="shared" si="741"/>
        <v/>
      </c>
      <c r="AY1718" s="27" t="str">
        <f t="shared" si="742"/>
        <v/>
      </c>
      <c r="AZ1718" s="27" t="str">
        <f t="shared" si="743"/>
        <v/>
      </c>
      <c r="BA1718" s="27" t="str">
        <f t="shared" si="744"/>
        <v/>
      </c>
      <c r="BB1718" s="27" t="str">
        <f t="shared" si="745"/>
        <v>Gross</v>
      </c>
      <c r="BC1718" s="27" t="str">
        <f t="shared" si="746"/>
        <v>Net</v>
      </c>
      <c r="BD1718" s="27" t="str">
        <f t="shared" si="747"/>
        <v>Net</v>
      </c>
      <c r="BE1718" s="27" t="str">
        <f t="shared" si="748"/>
        <v/>
      </c>
      <c r="BF1718" s="27" t="str">
        <f t="shared" si="749"/>
        <v/>
      </c>
      <c r="BG1718" s="27" t="str">
        <f t="shared" si="750"/>
        <v/>
      </c>
      <c r="BH1718" s="27" t="str">
        <f t="shared" si="751"/>
        <v/>
      </c>
      <c r="BI1718" s="27" t="str">
        <f t="shared" si="752"/>
        <v/>
      </c>
      <c r="BJ1718" s="27" t="str">
        <f t="shared" si="753"/>
        <v/>
      </c>
      <c r="BK1718" s="27" t="str">
        <f t="shared" si="754"/>
        <v/>
      </c>
      <c r="BL1718" s="27" t="str">
        <f t="shared" si="755"/>
        <v/>
      </c>
      <c r="BM1718" s="21" t="s">
        <v>5581</v>
      </c>
    </row>
    <row r="1719" spans="1:65" ht="15">
      <c r="A1719" s="25" t="str">
        <f>IFERROR(INDEX('Hun Demand'!W:W,MATCH(O1719,'Hun Demand'!A:A,0)),"")</f>
        <v/>
      </c>
      <c r="B1719" s="25" t="str">
        <f>IFERROR(INDEX('Hun Demand'!V:V,MATCH(O1719,'Hun Demand'!A:A,0)),"")</f>
        <v/>
      </c>
      <c r="C1719" s="25" t="str">
        <f>IFERROR(INDEX('Hun Demand'!U:U,MATCH(O1719,'Hun Demand'!A:A,0)),"")</f>
        <v/>
      </c>
      <c r="D1719" s="25" t="str">
        <f>IFERROR(INDEX('Hun Demand'!T:T,MATCH(O1719,'Hun Demand'!A:A,0)),"")</f>
        <v/>
      </c>
      <c r="E1719" s="25" t="str">
        <f>IFERROR(INDEX('Hun Demand'!S:S,MATCH(O1719,'Hun Demand'!A:A,0)),"")</f>
        <v/>
      </c>
      <c r="F1719" s="25" t="str">
        <f>IFERROR(INDEX('Hun Demand'!R:R,MATCH(O1719,'Hun Demand'!A:A,0)),"")</f>
        <v/>
      </c>
      <c r="G1719" s="25">
        <f>IFERROR(INDEX('Aub Demand'!W:W,MATCH(O1719,'Aub Demand'!A:A,0)),"")</f>
        <v>0</v>
      </c>
      <c r="H1719" s="25">
        <f>IFERROR(INDEX('Aub Demand'!V:V,MATCH(O1719,'Aub Demand'!A:A,0)),"")</f>
        <v>0</v>
      </c>
      <c r="I1719" s="25">
        <f>IFERROR(INDEX('Aub Demand'!U:U,MATCH(O1719,'Aub Demand'!A:A,0)),"")</f>
        <v>0</v>
      </c>
      <c r="J1719" s="25">
        <f>IFERROR(INDEX('Aub Demand'!T:T,MATCH(O1719,'Aub Demand'!A:A,0)),"")</f>
        <v>58</v>
      </c>
      <c r="K1719" s="25">
        <f>IFERROR(INDEX('Aub Demand'!S:S,MATCH(O1719,'Aub Demand'!A:A,0)),"")</f>
        <v>0</v>
      </c>
      <c r="L1719" s="25">
        <f>IFERROR(INDEX('Aub Demand'!R:R,MATCH(O1719,'Aub Demand'!A:A,0)),"")</f>
        <v>0</v>
      </c>
      <c r="O1719" s="27" t="s">
        <v>3287</v>
      </c>
      <c r="P1719" s="27" t="str">
        <f>IFERROR(INDEX('Aub Demand'!B:B,MATCH($O1719,'Aub Demand'!$A:$A,0)),"")</f>
        <v>TOPAZ KHAYAWOOD 60"</v>
      </c>
      <c r="Q1719" s="27" t="str">
        <f>IFERROR(INDEX('Aub Demand'!C:C,MATCH($O1719,'Aub Demand'!$A:$A,0)),"")</f>
        <v>INTER</v>
      </c>
      <c r="R1719" s="52">
        <f>IFERROR(IF(AR1720=AR1719,INDEX('Aub Demand'!K:K,MATCH($O1719,'Aub Demand'!$A:$A,0))-IF(AN1719="",0,AN1719)+AP1720,INDEX('Aub Demand'!K:K,MATCH($O1719,'Aub Demand'!$A:$A,0))-IF(AN1719="",0,AN1719)),"")</f>
        <v>2979</v>
      </c>
      <c r="S1719" s="53">
        <f t="shared" si="728"/>
        <v>672</v>
      </c>
      <c r="T1719" s="52" t="str">
        <f t="shared" si="729"/>
        <v/>
      </c>
      <c r="U1719" s="52">
        <f>IFERROR(IF(AR1720=AR1719,INDEX('Aub Demand'!Q:Q,MATCH($O1719,'Aub Demand'!$A:$A,0))-IF(AN1719="",0,AN1719)+AP1720,INDEX('Aub Demand'!Q:Q,MATCH($O1719,'Aub Demand'!$A:$A,0))-IF(AN1719="",0,AN1719)),"")</f>
        <v>2979</v>
      </c>
      <c r="V1719" s="53">
        <f t="shared" si="730"/>
        <v>672</v>
      </c>
      <c r="W1719" s="52" t="str">
        <f t="shared" si="731"/>
        <v/>
      </c>
      <c r="X1719" s="52">
        <f>IFERROR(IF(AND(AR1720=AR1719,AM1719&lt;&gt;""),INDEX('Aub Demand'!Q:Q,MATCH($O1719,'Aub Demand'!$A:$A,0))-IF(AN1719="",0,AN1719)+AP1720+AD1719+AL1719,IF(AR1720=AR1719,INDEX('Aub Demand'!Q:Q,MATCH($O1719,'Aub Demand'!$A:$A,0))-IF(AN1719="",0,AN1719)+AP1720+AD1719,IF(AM1719&lt;&gt;"",INDEX('Aub Demand'!Q:Q,MATCH($O1719,'Aub Demand'!$A:$A,0))-IF(AN1719="",0,AN1719)+AD1719+AL1719,INDEX('Aub Demand'!Q:Q,MATCH($O1719,'Aub Demand'!$A:$A,0))-IF(AN1719="",0,AN1719)+AD1719))),"")</f>
        <v>2979</v>
      </c>
      <c r="Y1719" s="53">
        <f t="shared" si="732"/>
        <v>672</v>
      </c>
      <c r="Z1719" s="52">
        <f>IF(L1719="","",INDEX('Aub Demand'!H:H,MATCH($O1719,'Aub Demand'!$A:$A,0)))</f>
        <v>19</v>
      </c>
      <c r="AA1719" s="52" t="str">
        <f t="shared" si="733"/>
        <v>-spike-</v>
      </c>
      <c r="AB1719" s="52">
        <f>IFERROR(INDEX('Aub Demand'!L:L,MATCH($O1719,'Aub Demand'!$A:$A,0)),"")</f>
        <v>0</v>
      </c>
      <c r="AC1719" s="52">
        <f>IFERROR(IF(O1719="","",SUMIFS('CPL Mats'!F:F,'CPL Mats'!Q:Q,AR1719,'CPL Mats'!S:S,AS1719)),"")</f>
        <v>0</v>
      </c>
      <c r="AF1719" s="25" t="str">
        <f>IF(SUMIFS('Supp Consol'!S:S,'Supp Consol'!Y:Y,"Releasable",'Supp Consol'!A:A,O1719)=0,"",SUMIFS('Supp Consol'!S:S,'Supp Consol'!Y:Y,"Releasable",'Supp Consol'!A:A,O1719))</f>
        <v/>
      </c>
      <c r="AG1719" s="25" t="str">
        <f>IFERROR(INDEX('Hun Demand'!Q:Q,MATCH(O1719,'Hun Demand'!A:A,0)),"")</f>
        <v/>
      </c>
      <c r="AH1719" s="25" t="str">
        <f>IFERROR(INDEX('Hun Demand'!H:H,MATCH($O1719,'Hun Demand'!$A:$A,0)),"")</f>
        <v/>
      </c>
      <c r="AI1719" s="25" t="str">
        <f>IF(SUMIFS('Supp Consol'!AA:AA,'Supp Consol'!Z:Z,"Expires this month",'Supp Consol'!A:A,O1719)=0,"",SUMIFS('Supp Consol'!AA:AA,'Supp Consol'!Z:Z,"Expires this month",'Supp Consol'!A:A,O1719))</f>
        <v/>
      </c>
      <c r="AJ1719" s="25" t="str">
        <f>IF(SUMIFS('Supp Consol'!AA:AA,'Supp Consol'!Z:Z,"Expired Previous Months",'Supp Consol'!A:A,O1719)=0,"",SUMIFS('Supp Consol'!AA:AA,'Supp Consol'!Z:Z,"Expired Previous Months",'Supp Consol'!A:A,O1719))</f>
        <v/>
      </c>
      <c r="AK1719" s="25" t="str">
        <f>IFERROR(INDEX('Hun Release Current'!B:B,MATCH(O1719,'Hun Release Current'!A:A,0)),"")</f>
        <v/>
      </c>
      <c r="AL1719" s="25" t="str">
        <f>IF(SUMIF('Prev Aub'!A:A,O1719,'Prev Aub'!B:B)=0,"",SUMIF('Prev Aub'!A:A,O1719,'Prev Aub'!B:B))</f>
        <v/>
      </c>
      <c r="AN1719" s="25" t="s">
        <v>3790</v>
      </c>
      <c r="AO1719" s="25" t="s">
        <v>3790</v>
      </c>
      <c r="AP1719" s="25">
        <f t="shared" si="734"/>
        <v>0</v>
      </c>
      <c r="AQ1719" s="151" t="str">
        <f>IF(SUMIFS('Supp Consol'!S:S,'Supp Consol'!A:A,O1719,'Supp Consol'!I:I,"PENDING")=0,"",SUMIFS('Supp Consol'!S:S,'Supp Consol'!A:A,O1719,'Supp Consol'!I:I,"PENDING"))</f>
        <v/>
      </c>
      <c r="AR1719" s="27" t="str">
        <f t="shared" si="735"/>
        <v>WZ513</v>
      </c>
      <c r="AS1719" s="27" t="str">
        <f t="shared" si="736"/>
        <v>62</v>
      </c>
      <c r="AT1719" s="27" t="str">
        <f t="shared" si="737"/>
        <v/>
      </c>
      <c r="AU1719" s="27" t="str">
        <f t="shared" si="738"/>
        <v/>
      </c>
      <c r="AV1719" s="27" t="str">
        <f t="shared" si="739"/>
        <v/>
      </c>
      <c r="AW1719" s="27" t="str">
        <f t="shared" si="740"/>
        <v/>
      </c>
      <c r="AX1719" s="27" t="str">
        <f t="shared" si="741"/>
        <v/>
      </c>
      <c r="AY1719" s="27" t="str">
        <f t="shared" si="742"/>
        <v/>
      </c>
      <c r="AZ1719" s="27" t="str">
        <f t="shared" si="743"/>
        <v/>
      </c>
      <c r="BA1719" s="27" t="str">
        <f t="shared" si="744"/>
        <v/>
      </c>
      <c r="BB1719" s="27" t="str">
        <f t="shared" si="745"/>
        <v>Gross</v>
      </c>
      <c r="BC1719" s="27" t="str">
        <f t="shared" si="746"/>
        <v>Net</v>
      </c>
      <c r="BD1719" s="27" t="str">
        <f t="shared" si="747"/>
        <v>Net</v>
      </c>
      <c r="BE1719" s="27" t="str">
        <f t="shared" si="748"/>
        <v/>
      </c>
      <c r="BF1719" s="27" t="str">
        <f t="shared" si="749"/>
        <v/>
      </c>
      <c r="BG1719" s="27" t="str">
        <f t="shared" si="750"/>
        <v/>
      </c>
      <c r="BH1719" s="27" t="str">
        <f t="shared" si="751"/>
        <v/>
      </c>
      <c r="BI1719" s="27" t="str">
        <f t="shared" si="752"/>
        <v/>
      </c>
      <c r="BJ1719" s="27" t="str">
        <f t="shared" si="753"/>
        <v/>
      </c>
      <c r="BK1719" s="27" t="str">
        <f t="shared" si="754"/>
        <v/>
      </c>
      <c r="BL1719" s="27" t="str">
        <f t="shared" si="755"/>
        <v/>
      </c>
      <c r="BM1719" s="21" t="s">
        <v>5581</v>
      </c>
    </row>
    <row r="1720" spans="1:65" ht="15">
      <c r="A1720" s="25" t="str">
        <f>IFERROR(INDEX('Hun Demand'!W:W,MATCH(O1720,'Hun Demand'!A:A,0)),"")</f>
        <v/>
      </c>
      <c r="B1720" s="25" t="str">
        <f>IFERROR(INDEX('Hun Demand'!V:V,MATCH(O1720,'Hun Demand'!A:A,0)),"")</f>
        <v/>
      </c>
      <c r="C1720" s="25" t="str">
        <f>IFERROR(INDEX('Hun Demand'!U:U,MATCH(O1720,'Hun Demand'!A:A,0)),"")</f>
        <v/>
      </c>
      <c r="D1720" s="25" t="str">
        <f>IFERROR(INDEX('Hun Demand'!T:T,MATCH(O1720,'Hun Demand'!A:A,0)),"")</f>
        <v/>
      </c>
      <c r="E1720" s="25" t="str">
        <f>IFERROR(INDEX('Hun Demand'!S:S,MATCH(O1720,'Hun Demand'!A:A,0)),"")</f>
        <v/>
      </c>
      <c r="F1720" s="25" t="str">
        <f>IFERROR(INDEX('Hun Demand'!R:R,MATCH(O1720,'Hun Demand'!A:A,0)),"")</f>
        <v/>
      </c>
      <c r="G1720" s="25">
        <f>IFERROR(INDEX('Aub Demand'!W:W,MATCH(O1720,'Aub Demand'!A:A,0)),"")</f>
        <v>382</v>
      </c>
      <c r="H1720" s="25">
        <f>IFERROR(INDEX('Aub Demand'!V:V,MATCH(O1720,'Aub Demand'!A:A,0)),"")</f>
        <v>270</v>
      </c>
      <c r="I1720" s="25">
        <f>IFERROR(INDEX('Aub Demand'!U:U,MATCH(O1720,'Aub Demand'!A:A,0)),"")</f>
        <v>221</v>
      </c>
      <c r="J1720" s="25">
        <f>IFERROR(INDEX('Aub Demand'!T:T,MATCH(O1720,'Aub Demand'!A:A,0)),"")</f>
        <v>0</v>
      </c>
      <c r="K1720" s="25">
        <f>IFERROR(INDEX('Aub Demand'!S:S,MATCH(O1720,'Aub Demand'!A:A,0)),"")</f>
        <v>137</v>
      </c>
      <c r="L1720" s="25">
        <f>IFERROR(INDEX('Aub Demand'!R:R,MATCH(O1720,'Aub Demand'!A:A,0)),"")</f>
        <v>0</v>
      </c>
      <c r="O1720" s="27" t="s">
        <v>3289</v>
      </c>
      <c r="P1720" s="27" t="str">
        <f>IFERROR(INDEX('Aub Demand'!B:B,MATCH($O1720,'Aub Demand'!$A:$A,0)),"")</f>
        <v>FINE SYCAMORE 50"</v>
      </c>
      <c r="Q1720" s="27" t="str">
        <f>IFERROR(INDEX('Aub Demand'!C:C,MATCH($O1720,'Aub Demand'!$A:$A,0)),"")</f>
        <v>DNP A</v>
      </c>
      <c r="R1720" s="52">
        <f>IFERROR(IF(AR1721=AR1720,INDEX('Aub Demand'!K:K,MATCH($O1720,'Aub Demand'!$A:$A,0))-IF(AN1720="",0,AN1720)+AP1721,INDEX('Aub Demand'!K:K,MATCH($O1720,'Aub Demand'!$A:$A,0))-IF(AN1720="",0,AN1720)),"")</f>
        <v>681</v>
      </c>
      <c r="S1720" s="53">
        <f t="shared" si="728"/>
        <v>24.5</v>
      </c>
      <c r="T1720" s="52" t="str">
        <f t="shared" si="729"/>
        <v/>
      </c>
      <c r="U1720" s="52">
        <f>IFERROR(IF(AR1721=AR1720,INDEX('Aub Demand'!Q:Q,MATCH($O1720,'Aub Demand'!$A:$A,0))-IF(AN1720="",0,AN1720)+AP1721,INDEX('Aub Demand'!Q:Q,MATCH($O1720,'Aub Demand'!$A:$A,0))-IF(AN1720="",0,AN1720)),"")</f>
        <v>536</v>
      </c>
      <c r="V1720" s="53">
        <f t="shared" si="730"/>
        <v>19.3</v>
      </c>
      <c r="W1720" s="52" t="str">
        <f t="shared" si="731"/>
        <v/>
      </c>
      <c r="X1720" s="52">
        <f>IFERROR(IF(AND(AR1721=AR1720,AM1720&lt;&gt;""),INDEX('Aub Demand'!Q:Q,MATCH($O1720,'Aub Demand'!$A:$A,0))-IF(AN1720="",0,AN1720)+AP1721+AD1720+AL1720,IF(AR1721=AR1720,INDEX('Aub Demand'!Q:Q,MATCH($O1720,'Aub Demand'!$A:$A,0))-IF(AN1720="",0,AN1720)+AP1721+AD1720,IF(AM1720&lt;&gt;"",INDEX('Aub Demand'!Q:Q,MATCH($O1720,'Aub Demand'!$A:$A,0))-IF(AN1720="",0,AN1720)+AD1720+AL1720,INDEX('Aub Demand'!Q:Q,MATCH($O1720,'Aub Demand'!$A:$A,0))-IF(AN1720="",0,AN1720)+AD1720))),"")</f>
        <v>536</v>
      </c>
      <c r="Y1720" s="53">
        <f t="shared" si="732"/>
        <v>19.3</v>
      </c>
      <c r="Z1720" s="52">
        <f>IF(L1720="","",INDEX('Aub Demand'!H:H,MATCH($O1720,'Aub Demand'!$A:$A,0)))</f>
        <v>119</v>
      </c>
      <c r="AA1720" s="52">
        <f t="shared" si="733"/>
        <v>179</v>
      </c>
      <c r="AB1720" s="52">
        <f>IFERROR(INDEX('Aub Demand'!L:L,MATCH($O1720,'Aub Demand'!$A:$A,0)),"")</f>
        <v>205</v>
      </c>
      <c r="AC1720" s="52">
        <f>IFERROR(IF(O1720="","",SUMIFS('CPL Mats'!F:F,'CPL Mats'!Q:Q,AR1720,'CPL Mats'!S:S,AS1720)),"")</f>
        <v>0</v>
      </c>
      <c r="AF1720" s="25">
        <f>IF(SUMIFS('Supp Consol'!S:S,'Supp Consol'!Y:Y,"Releasable",'Supp Consol'!A:A,O1720)=0,"",SUMIFS('Supp Consol'!S:S,'Supp Consol'!Y:Y,"Releasable",'Supp Consol'!A:A,O1720))</f>
        <v>3321</v>
      </c>
      <c r="AG1720" s="25" t="str">
        <f>IFERROR(INDEX('Hun Demand'!Q:Q,MATCH(O1720,'Hun Demand'!A:A,0)),"")</f>
        <v/>
      </c>
      <c r="AH1720" s="25" t="str">
        <f>IFERROR(INDEX('Hun Demand'!H:H,MATCH($O1720,'Hun Demand'!$A:$A,0)),"")</f>
        <v/>
      </c>
      <c r="AI1720" s="25" t="str">
        <f>IF(SUMIFS('Supp Consol'!AA:AA,'Supp Consol'!Z:Z,"Expires this month",'Supp Consol'!A:A,O1720)=0,"",SUMIFS('Supp Consol'!AA:AA,'Supp Consol'!Z:Z,"Expires this month",'Supp Consol'!A:A,O1720))</f>
        <v/>
      </c>
      <c r="AJ1720" s="25" t="str">
        <f>IF(SUMIFS('Supp Consol'!AA:AA,'Supp Consol'!Z:Z,"Expired Previous Months",'Supp Consol'!A:A,O1720)=0,"",SUMIFS('Supp Consol'!AA:AA,'Supp Consol'!Z:Z,"Expired Previous Months",'Supp Consol'!A:A,O1720))</f>
        <v/>
      </c>
      <c r="AK1720" s="25" t="str">
        <f>IFERROR(INDEX('Hun Release Current'!B:B,MATCH(O1720,'Hun Release Current'!A:A,0)),"")</f>
        <v/>
      </c>
      <c r="AL1720" s="25" t="str">
        <f>IF(SUMIF('Prev Aub'!A:A,O1720,'Prev Aub'!B:B)=0,"",SUMIF('Prev Aub'!A:A,O1720,'Prev Aub'!B:B))</f>
        <v/>
      </c>
      <c r="AN1720" s="25" t="s">
        <v>3790</v>
      </c>
      <c r="AO1720" s="25" t="s">
        <v>3790</v>
      </c>
      <c r="AP1720" s="25">
        <f t="shared" si="734"/>
        <v>0</v>
      </c>
      <c r="AQ1720" s="151" t="str">
        <f>IF(SUMIFS('Supp Consol'!S:S,'Supp Consol'!A:A,O1720,'Supp Consol'!I:I,"PENDING")=0,"",SUMIFS('Supp Consol'!S:S,'Supp Consol'!A:A,O1720,'Supp Consol'!I:I,"PENDING"))</f>
        <v/>
      </c>
      <c r="AR1720" s="27" t="str">
        <f t="shared" si="735"/>
        <v>WZ588</v>
      </c>
      <c r="AS1720" s="27" t="str">
        <f t="shared" si="736"/>
        <v>50</v>
      </c>
      <c r="AT1720" s="27" t="str">
        <f t="shared" si="737"/>
        <v/>
      </c>
      <c r="AU1720" s="27" t="str">
        <f t="shared" si="738"/>
        <v/>
      </c>
      <c r="AV1720" s="27" t="str">
        <f t="shared" si="739"/>
        <v/>
      </c>
      <c r="AW1720" s="27" t="str">
        <f t="shared" si="740"/>
        <v/>
      </c>
      <c r="AX1720" s="27" t="str">
        <f t="shared" si="741"/>
        <v>WZ588</v>
      </c>
      <c r="AY1720" s="27" t="str">
        <f t="shared" si="742"/>
        <v/>
      </c>
      <c r="AZ1720" s="27" t="str">
        <f t="shared" si="743"/>
        <v>Supp</v>
      </c>
      <c r="BA1720" s="27" t="str">
        <f t="shared" si="744"/>
        <v/>
      </c>
      <c r="BB1720" s="27" t="str">
        <f t="shared" si="745"/>
        <v/>
      </c>
      <c r="BC1720" s="27" t="str">
        <f t="shared" si="746"/>
        <v/>
      </c>
      <c r="BD1720" s="27" t="str">
        <f t="shared" si="747"/>
        <v/>
      </c>
      <c r="BE1720" s="27" t="str">
        <f t="shared" si="748"/>
        <v/>
      </c>
      <c r="BF1720" s="27" t="str">
        <f t="shared" si="749"/>
        <v/>
      </c>
      <c r="BG1720" s="27" t="str">
        <f t="shared" si="750"/>
        <v/>
      </c>
      <c r="BH1720" s="27" t="str">
        <f t="shared" si="751"/>
        <v/>
      </c>
      <c r="BI1720" s="27" t="str">
        <f t="shared" si="752"/>
        <v/>
      </c>
      <c r="BJ1720" s="27" t="str">
        <f t="shared" si="753"/>
        <v>Supp or Hun</v>
      </c>
      <c r="BK1720" s="27" t="str">
        <f t="shared" si="754"/>
        <v/>
      </c>
      <c r="BL1720" s="27" t="str">
        <f t="shared" si="755"/>
        <v/>
      </c>
      <c r="BM1720" s="21" t="s">
        <v>5581</v>
      </c>
    </row>
    <row r="1721" spans="1:65" ht="15">
      <c r="A1721" s="25" t="str">
        <f>IFERROR(INDEX('Hun Demand'!W:W,MATCH(O1721,'Hun Demand'!A:A,0)),"")</f>
        <v/>
      </c>
      <c r="B1721" s="25" t="str">
        <f>IFERROR(INDEX('Hun Demand'!V:V,MATCH(O1721,'Hun Demand'!A:A,0)),"")</f>
        <v/>
      </c>
      <c r="C1721" s="25" t="str">
        <f>IFERROR(INDEX('Hun Demand'!U:U,MATCH(O1721,'Hun Demand'!A:A,0)),"")</f>
        <v/>
      </c>
      <c r="D1721" s="25" t="str">
        <f>IFERROR(INDEX('Hun Demand'!T:T,MATCH(O1721,'Hun Demand'!A:A,0)),"")</f>
        <v/>
      </c>
      <c r="E1721" s="25" t="str">
        <f>IFERROR(INDEX('Hun Demand'!S:S,MATCH(O1721,'Hun Demand'!A:A,0)),"")</f>
        <v/>
      </c>
      <c r="F1721" s="25" t="str">
        <f>IFERROR(INDEX('Hun Demand'!R:R,MATCH(O1721,'Hun Demand'!A:A,0)),"")</f>
        <v/>
      </c>
      <c r="G1721" s="25">
        <f>IFERROR(INDEX('Aub Demand'!W:W,MATCH(O1721,'Aub Demand'!A:A,0)),"")</f>
        <v>8</v>
      </c>
      <c r="H1721" s="25">
        <f>IFERROR(INDEX('Aub Demand'!V:V,MATCH(O1721,'Aub Demand'!A:A,0)),"")</f>
        <v>0</v>
      </c>
      <c r="I1721" s="25">
        <f>IFERROR(INDEX('Aub Demand'!U:U,MATCH(O1721,'Aub Demand'!A:A,0)),"")</f>
        <v>0</v>
      </c>
      <c r="J1721" s="25">
        <f>IFERROR(INDEX('Aub Demand'!T:T,MATCH(O1721,'Aub Demand'!A:A,0)),"")</f>
        <v>0</v>
      </c>
      <c r="K1721" s="25">
        <f>IFERROR(INDEX('Aub Demand'!S:S,MATCH(O1721,'Aub Demand'!A:A,0)),"")</f>
        <v>58</v>
      </c>
      <c r="L1721" s="25">
        <f>IFERROR(INDEX('Aub Demand'!R:R,MATCH(O1721,'Aub Demand'!A:A,0)),"")</f>
        <v>0</v>
      </c>
      <c r="O1721" s="27" t="s">
        <v>3292</v>
      </c>
      <c r="P1721" s="27" t="str">
        <f>IFERROR(INDEX('Aub Demand'!B:B,MATCH($O1721,'Aub Demand'!$A:$A,0)),"")</f>
        <v>FINE SYCAMORE 62"</v>
      </c>
      <c r="Q1721" s="27" t="str">
        <f>IFERROR(INDEX('Aub Demand'!C:C,MATCH($O1721,'Aub Demand'!$A:$A,0)),"")</f>
        <v>DNP A</v>
      </c>
      <c r="R1721" s="52">
        <f>IFERROR(IF(AR1722=AR1721,INDEX('Aub Demand'!K:K,MATCH($O1721,'Aub Demand'!$A:$A,0))-IF(AN1721="",0,AN1721)+AP1722,INDEX('Aub Demand'!K:K,MATCH($O1721,'Aub Demand'!$A:$A,0))-IF(AN1721="",0,AN1721)),"")</f>
        <v>467</v>
      </c>
      <c r="S1721" s="53">
        <f t="shared" si="728"/>
        <v>105.3</v>
      </c>
      <c r="T1721" s="52" t="str">
        <f t="shared" si="729"/>
        <v/>
      </c>
      <c r="U1721" s="52">
        <f>IFERROR(IF(AR1722=AR1721,INDEX('Aub Demand'!Q:Q,MATCH($O1721,'Aub Demand'!$A:$A,0))-IF(AN1721="",0,AN1721)+AP1722,INDEX('Aub Demand'!Q:Q,MATCH($O1721,'Aub Demand'!$A:$A,0))-IF(AN1721="",0,AN1721)),"")</f>
        <v>447</v>
      </c>
      <c r="V1721" s="53">
        <f t="shared" si="730"/>
        <v>100.8</v>
      </c>
      <c r="W1721" s="52" t="str">
        <f t="shared" si="731"/>
        <v/>
      </c>
      <c r="X1721" s="52">
        <f>IFERROR(IF(AND(AR1722=AR1721,AM1721&lt;&gt;""),INDEX('Aub Demand'!Q:Q,MATCH($O1721,'Aub Demand'!$A:$A,0))-IF(AN1721="",0,AN1721)+AP1722+AD1721+AL1721,IF(AR1722=AR1721,INDEX('Aub Demand'!Q:Q,MATCH($O1721,'Aub Demand'!$A:$A,0))-IF(AN1721="",0,AN1721)+AP1722+AD1721,IF(AM1721&lt;&gt;"",INDEX('Aub Demand'!Q:Q,MATCH($O1721,'Aub Demand'!$A:$A,0))-IF(AN1721="",0,AN1721)+AD1721+AL1721,INDEX('Aub Demand'!Q:Q,MATCH($O1721,'Aub Demand'!$A:$A,0))-IF(AN1721="",0,AN1721)+AD1721))),"")</f>
        <v>447</v>
      </c>
      <c r="Y1721" s="53">
        <f t="shared" si="732"/>
        <v>100.8</v>
      </c>
      <c r="Z1721" s="52">
        <f>IF(L1721="","",INDEX('Aub Demand'!H:H,MATCH($O1721,'Aub Demand'!$A:$A,0)))</f>
        <v>19</v>
      </c>
      <c r="AA1721" s="52" t="str">
        <f t="shared" si="733"/>
        <v>-spike-</v>
      </c>
      <c r="AB1721" s="52">
        <f>IFERROR(INDEX('Aub Demand'!L:L,MATCH($O1721,'Aub Demand'!$A:$A,0)),"")</f>
        <v>39</v>
      </c>
      <c r="AC1721" s="52">
        <f>IFERROR(IF(O1721="","",SUMIFS('CPL Mats'!F:F,'CPL Mats'!Q:Q,AR1721,'CPL Mats'!S:S,AS1721)),"")</f>
        <v>0</v>
      </c>
      <c r="AF1721" s="25" t="str">
        <f>IF(SUMIFS('Supp Consol'!S:S,'Supp Consol'!Y:Y,"Releasable",'Supp Consol'!A:A,O1721)=0,"",SUMIFS('Supp Consol'!S:S,'Supp Consol'!Y:Y,"Releasable",'Supp Consol'!A:A,O1721))</f>
        <v/>
      </c>
      <c r="AG1721" s="25" t="str">
        <f>IFERROR(INDEX('Hun Demand'!Q:Q,MATCH(O1721,'Hun Demand'!A:A,0)),"")</f>
        <v/>
      </c>
      <c r="AH1721" s="25" t="str">
        <f>IFERROR(INDEX('Hun Demand'!H:H,MATCH($O1721,'Hun Demand'!$A:$A,0)),"")</f>
        <v/>
      </c>
      <c r="AI1721" s="25" t="str">
        <f>IF(SUMIFS('Supp Consol'!AA:AA,'Supp Consol'!Z:Z,"Expires this month",'Supp Consol'!A:A,O1721)=0,"",SUMIFS('Supp Consol'!AA:AA,'Supp Consol'!Z:Z,"Expires this month",'Supp Consol'!A:A,O1721))</f>
        <v/>
      </c>
      <c r="AJ1721" s="25" t="str">
        <f>IF(SUMIFS('Supp Consol'!AA:AA,'Supp Consol'!Z:Z,"Expired Previous Months",'Supp Consol'!A:A,O1721)=0,"",SUMIFS('Supp Consol'!AA:AA,'Supp Consol'!Z:Z,"Expired Previous Months",'Supp Consol'!A:A,O1721))</f>
        <v/>
      </c>
      <c r="AK1721" s="25" t="str">
        <f>IFERROR(INDEX('Hun Release Current'!B:B,MATCH(O1721,'Hun Release Current'!A:A,0)),"")</f>
        <v/>
      </c>
      <c r="AL1721" s="25" t="str">
        <f>IF(SUMIF('Prev Aub'!A:A,O1721,'Prev Aub'!B:B)=0,"",SUMIF('Prev Aub'!A:A,O1721,'Prev Aub'!B:B))</f>
        <v/>
      </c>
      <c r="AN1721" s="25" t="s">
        <v>3790</v>
      </c>
      <c r="AO1721" s="25" t="s">
        <v>3790</v>
      </c>
      <c r="AP1721" s="25">
        <f t="shared" si="734"/>
        <v>0</v>
      </c>
      <c r="AQ1721" s="151" t="str">
        <f>IF(SUMIFS('Supp Consol'!S:S,'Supp Consol'!A:A,O1721,'Supp Consol'!I:I,"PENDING")=0,"",SUMIFS('Supp Consol'!S:S,'Supp Consol'!A:A,O1721,'Supp Consol'!I:I,"PENDING"))</f>
        <v/>
      </c>
      <c r="AR1721" s="27" t="str">
        <f t="shared" si="735"/>
        <v>WZ588</v>
      </c>
      <c r="AS1721" s="27" t="str">
        <f t="shared" si="736"/>
        <v>62</v>
      </c>
      <c r="AT1721" s="27" t="str">
        <f t="shared" si="737"/>
        <v/>
      </c>
      <c r="AU1721" s="27" t="str">
        <f t="shared" si="738"/>
        <v/>
      </c>
      <c r="AV1721" s="27" t="str">
        <f t="shared" si="739"/>
        <v/>
      </c>
      <c r="AW1721" s="27" t="str">
        <f t="shared" si="740"/>
        <v/>
      </c>
      <c r="AX1721" s="27" t="str">
        <f t="shared" si="741"/>
        <v/>
      </c>
      <c r="AY1721" s="27" t="str">
        <f t="shared" si="742"/>
        <v/>
      </c>
      <c r="AZ1721" s="27" t="str">
        <f t="shared" si="743"/>
        <v>Supp</v>
      </c>
      <c r="BA1721" s="27" t="str">
        <f t="shared" si="744"/>
        <v/>
      </c>
      <c r="BB1721" s="27" t="str">
        <f t="shared" si="745"/>
        <v/>
      </c>
      <c r="BC1721" s="27" t="str">
        <f t="shared" si="746"/>
        <v/>
      </c>
      <c r="BD1721" s="27" t="str">
        <f t="shared" si="747"/>
        <v/>
      </c>
      <c r="BE1721" s="27" t="str">
        <f t="shared" si="748"/>
        <v/>
      </c>
      <c r="BF1721" s="27" t="str">
        <f t="shared" si="749"/>
        <v/>
      </c>
      <c r="BG1721" s="27" t="str">
        <f t="shared" si="750"/>
        <v/>
      </c>
      <c r="BH1721" s="27" t="str">
        <f t="shared" si="751"/>
        <v/>
      </c>
      <c r="BI1721" s="27" t="str">
        <f t="shared" si="752"/>
        <v/>
      </c>
      <c r="BJ1721" s="27" t="str">
        <f t="shared" si="753"/>
        <v>Supp or Hun</v>
      </c>
      <c r="BK1721" s="27" t="str">
        <f t="shared" si="754"/>
        <v/>
      </c>
      <c r="BL1721" s="27" t="str">
        <f t="shared" si="755"/>
        <v/>
      </c>
      <c r="BM1721" s="21" t="s">
        <v>5581</v>
      </c>
    </row>
    <row r="1722" spans="1:65" ht="15">
      <c r="A1722" s="25" t="str">
        <f>IFERROR(INDEX('Hun Demand'!W:W,MATCH(O1722,'Hun Demand'!A:A,0)),"")</f>
        <v/>
      </c>
      <c r="B1722" s="25" t="str">
        <f>IFERROR(INDEX('Hun Demand'!V:V,MATCH(O1722,'Hun Demand'!A:A,0)),"")</f>
        <v/>
      </c>
      <c r="C1722" s="25" t="str">
        <f>IFERROR(INDEX('Hun Demand'!U:U,MATCH(O1722,'Hun Demand'!A:A,0)),"")</f>
        <v/>
      </c>
      <c r="D1722" s="25" t="str">
        <f>IFERROR(INDEX('Hun Demand'!T:T,MATCH(O1722,'Hun Demand'!A:A,0)),"")</f>
        <v/>
      </c>
      <c r="E1722" s="25" t="str">
        <f>IFERROR(INDEX('Hun Demand'!S:S,MATCH(O1722,'Hun Demand'!A:A,0)),"")</f>
        <v/>
      </c>
      <c r="F1722" s="25" t="str">
        <f>IFERROR(INDEX('Hun Demand'!R:R,MATCH(O1722,'Hun Demand'!A:A,0)),"")</f>
        <v/>
      </c>
      <c r="G1722" s="25">
        <f>IFERROR(INDEX('Aub Demand'!W:W,MATCH(O1722,'Aub Demand'!A:A,0)),"")</f>
        <v>198</v>
      </c>
      <c r="H1722" s="25">
        <f>IFERROR(INDEX('Aub Demand'!V:V,MATCH(O1722,'Aub Demand'!A:A,0)),"")</f>
        <v>583</v>
      </c>
      <c r="I1722" s="25">
        <f>IFERROR(INDEX('Aub Demand'!U:U,MATCH(O1722,'Aub Demand'!A:A,0)),"")</f>
        <v>15</v>
      </c>
      <c r="J1722" s="25">
        <f>IFERROR(INDEX('Aub Demand'!T:T,MATCH(O1722,'Aub Demand'!A:A,0)),"")</f>
        <v>404</v>
      </c>
      <c r="K1722" s="25">
        <f>IFERROR(INDEX('Aub Demand'!S:S,MATCH(O1722,'Aub Demand'!A:A,0)),"")</f>
        <v>1080</v>
      </c>
      <c r="L1722" s="25">
        <f>IFERROR(INDEX('Aub Demand'!R:R,MATCH(O1722,'Aub Demand'!A:A,0)),"")</f>
        <v>0</v>
      </c>
      <c r="O1722" s="27" t="s">
        <v>3295</v>
      </c>
      <c r="P1722" s="27" t="str">
        <f>IFERROR(INDEX('Aub Demand'!B:B,MATCH($O1722,'Aub Demand'!$A:$A,0)),"")</f>
        <v>DRY CREEK PLUM TREE</v>
      </c>
      <c r="Q1722" s="27" t="str">
        <f>IFERROR(INDEX('Aub Demand'!C:C,MATCH($O1722,'Aub Demand'!$A:$A,0)),"")</f>
        <v>SUDDE</v>
      </c>
      <c r="R1722" s="52">
        <f>IFERROR(IF(AR1723=AR1722,INDEX('Aub Demand'!K:K,MATCH($O1722,'Aub Demand'!$A:$A,0))-IF(AN1722="",0,AN1722)+AP1723,INDEX('Aub Demand'!K:K,MATCH($O1722,'Aub Demand'!$A:$A,0))-IF(AN1722="",0,AN1722)),"")</f>
        <v>2165</v>
      </c>
      <c r="S1722" s="53">
        <f t="shared" si="728"/>
        <v>18.600000000000001</v>
      </c>
      <c r="T1722" s="52" t="str">
        <f t="shared" si="729"/>
        <v/>
      </c>
      <c r="U1722" s="52">
        <f>IFERROR(IF(AR1723=AR1722,INDEX('Aub Demand'!Q:Q,MATCH($O1722,'Aub Demand'!$A:$A,0))-IF(AN1722="",0,AN1722)+AP1723,INDEX('Aub Demand'!Q:Q,MATCH($O1722,'Aub Demand'!$A:$A,0))-IF(AN1722="",0,AN1722)),"")</f>
        <v>2007</v>
      </c>
      <c r="V1722" s="53">
        <f t="shared" si="730"/>
        <v>17.2</v>
      </c>
      <c r="W1722" s="52" t="str">
        <f t="shared" si="731"/>
        <v/>
      </c>
      <c r="X1722" s="52">
        <f>IFERROR(IF(AND(AR1723=AR1722,AM1722&lt;&gt;""),INDEX('Aub Demand'!Q:Q,MATCH($O1722,'Aub Demand'!$A:$A,0))-IF(AN1722="",0,AN1722)+AP1723+AD1722+AL1722,IF(AR1723=AR1722,INDEX('Aub Demand'!Q:Q,MATCH($O1722,'Aub Demand'!$A:$A,0))-IF(AN1722="",0,AN1722)+AP1723+AD1722,IF(AM1722&lt;&gt;"",INDEX('Aub Demand'!Q:Q,MATCH($O1722,'Aub Demand'!$A:$A,0))-IF(AN1722="",0,AN1722)+AD1722+AL1722,INDEX('Aub Demand'!Q:Q,MATCH($O1722,'Aub Demand'!$A:$A,0))-IF(AN1722="",0,AN1722)+AD1722))),"")</f>
        <v>2007</v>
      </c>
      <c r="Y1722" s="53">
        <f t="shared" si="732"/>
        <v>17.2</v>
      </c>
      <c r="Z1722" s="52">
        <f>IF(L1722="","",INDEX('Aub Demand'!H:H,MATCH($O1722,'Aub Demand'!$A:$A,0)))</f>
        <v>500</v>
      </c>
      <c r="AA1722" s="52">
        <f t="shared" si="733"/>
        <v>742</v>
      </c>
      <c r="AB1722" s="52">
        <f>IFERROR(INDEX('Aub Demand'!L:L,MATCH($O1722,'Aub Demand'!$A:$A,0)),"")</f>
        <v>908</v>
      </c>
      <c r="AC1722" s="52">
        <f>IFERROR(IF(O1722="","",SUMIFS('CPL Mats'!F:F,'CPL Mats'!Q:Q,AR1722,'CPL Mats'!S:S,AS1722)),"")</f>
        <v>0</v>
      </c>
      <c r="AF1722" s="25" t="str">
        <f>IF(SUMIFS('Supp Consol'!S:S,'Supp Consol'!Y:Y,"Releasable",'Supp Consol'!A:A,O1722)=0,"",SUMIFS('Supp Consol'!S:S,'Supp Consol'!Y:Y,"Releasable",'Supp Consol'!A:A,O1722))</f>
        <v/>
      </c>
      <c r="AG1722" s="25" t="str">
        <f>IFERROR(INDEX('Hun Demand'!Q:Q,MATCH(O1722,'Hun Demand'!A:A,0)),"")</f>
        <v/>
      </c>
      <c r="AH1722" s="25" t="str">
        <f>IFERROR(INDEX('Hun Demand'!H:H,MATCH($O1722,'Hun Demand'!$A:$A,0)),"")</f>
        <v/>
      </c>
      <c r="AI1722" s="25" t="str">
        <f>IF(SUMIFS('Supp Consol'!AA:AA,'Supp Consol'!Z:Z,"Expires this month",'Supp Consol'!A:A,O1722)=0,"",SUMIFS('Supp Consol'!AA:AA,'Supp Consol'!Z:Z,"Expires this month",'Supp Consol'!A:A,O1722))</f>
        <v/>
      </c>
      <c r="AJ1722" s="25" t="str">
        <f>IF(SUMIFS('Supp Consol'!AA:AA,'Supp Consol'!Z:Z,"Expired Previous Months",'Supp Consol'!A:A,O1722)=0,"",SUMIFS('Supp Consol'!AA:AA,'Supp Consol'!Z:Z,"Expired Previous Months",'Supp Consol'!A:A,O1722))</f>
        <v/>
      </c>
      <c r="AK1722" s="25" t="str">
        <f>IFERROR(INDEX('Hun Release Current'!B:B,MATCH(O1722,'Hun Release Current'!A:A,0)),"")</f>
        <v/>
      </c>
      <c r="AL1722" s="25" t="str">
        <f>IF(SUMIF('Prev Aub'!A:A,O1722,'Prev Aub'!B:B)=0,"",SUMIF('Prev Aub'!A:A,O1722,'Prev Aub'!B:B))</f>
        <v/>
      </c>
      <c r="AN1722" s="25" t="s">
        <v>3790</v>
      </c>
      <c r="AO1722" s="25" t="s">
        <v>3790</v>
      </c>
      <c r="AP1722" s="25">
        <f t="shared" si="734"/>
        <v>0</v>
      </c>
      <c r="AQ1722" s="151" t="str">
        <f>IF(SUMIFS('Supp Consol'!S:S,'Supp Consol'!A:A,O1722,'Supp Consol'!I:I,"PENDING")=0,"",SUMIFS('Supp Consol'!S:S,'Supp Consol'!A:A,O1722,'Supp Consol'!I:I,"PENDING"))</f>
        <v/>
      </c>
      <c r="AR1722" s="27" t="str">
        <f t="shared" si="735"/>
        <v>WZ601</v>
      </c>
      <c r="AS1722" s="27" t="str">
        <f t="shared" si="736"/>
        <v>50</v>
      </c>
      <c r="AT1722" s="27" t="str">
        <f t="shared" si="737"/>
        <v/>
      </c>
      <c r="AU1722" s="27" t="str">
        <f t="shared" si="738"/>
        <v/>
      </c>
      <c r="AV1722" s="27" t="str">
        <f t="shared" si="739"/>
        <v/>
      </c>
      <c r="AW1722" s="27" t="str">
        <f t="shared" si="740"/>
        <v/>
      </c>
      <c r="AX1722" s="27" t="str">
        <f t="shared" si="741"/>
        <v/>
      </c>
      <c r="AY1722" s="27" t="str">
        <f t="shared" si="742"/>
        <v/>
      </c>
      <c r="AZ1722" s="27" t="str">
        <f t="shared" si="743"/>
        <v/>
      </c>
      <c r="BA1722" s="27" t="str">
        <f t="shared" si="744"/>
        <v/>
      </c>
      <c r="BB1722" s="27" t="str">
        <f t="shared" si="745"/>
        <v/>
      </c>
      <c r="BC1722" s="27" t="str">
        <f t="shared" si="746"/>
        <v/>
      </c>
      <c r="BD1722" s="27" t="str">
        <f t="shared" si="747"/>
        <v/>
      </c>
      <c r="BE1722" s="27" t="str">
        <f t="shared" si="748"/>
        <v/>
      </c>
      <c r="BF1722" s="27" t="str">
        <f t="shared" si="749"/>
        <v/>
      </c>
      <c r="BG1722" s="27" t="str">
        <f t="shared" si="750"/>
        <v/>
      </c>
      <c r="BH1722" s="27" t="str">
        <f t="shared" si="751"/>
        <v/>
      </c>
      <c r="BI1722" s="27" t="str">
        <f t="shared" si="752"/>
        <v/>
      </c>
      <c r="BJ1722" s="27" t="str">
        <f t="shared" si="753"/>
        <v/>
      </c>
      <c r="BK1722" s="27" t="str">
        <f t="shared" si="754"/>
        <v/>
      </c>
      <c r="BL1722" s="27" t="str">
        <f t="shared" si="755"/>
        <v/>
      </c>
      <c r="BM1722" s="21" t="s">
        <v>5581</v>
      </c>
    </row>
    <row r="1723" spans="1:65" ht="15">
      <c r="A1723" s="25" t="str">
        <f>IFERROR(INDEX('Hun Demand'!W:W,MATCH(O1723,'Hun Demand'!A:A,0)),"")</f>
        <v/>
      </c>
      <c r="B1723" s="25" t="str">
        <f>IFERROR(INDEX('Hun Demand'!V:V,MATCH(O1723,'Hun Demand'!A:A,0)),"")</f>
        <v/>
      </c>
      <c r="C1723" s="25" t="str">
        <f>IFERROR(INDEX('Hun Demand'!U:U,MATCH(O1723,'Hun Demand'!A:A,0)),"")</f>
        <v/>
      </c>
      <c r="D1723" s="25" t="str">
        <f>IFERROR(INDEX('Hun Demand'!T:T,MATCH(O1723,'Hun Demand'!A:A,0)),"")</f>
        <v/>
      </c>
      <c r="E1723" s="25" t="str">
        <f>IFERROR(INDEX('Hun Demand'!S:S,MATCH(O1723,'Hun Demand'!A:A,0)),"")</f>
        <v/>
      </c>
      <c r="F1723" s="25" t="str">
        <f>IFERROR(INDEX('Hun Demand'!R:R,MATCH(O1723,'Hun Demand'!A:A,0)),"")</f>
        <v/>
      </c>
      <c r="G1723" s="25">
        <f>IFERROR(INDEX('Aub Demand'!W:W,MATCH(O1723,'Aub Demand'!A:A,0)),"")</f>
        <v>193</v>
      </c>
      <c r="H1723" s="25">
        <f>IFERROR(INDEX('Aub Demand'!V:V,MATCH(O1723,'Aub Demand'!A:A,0)),"")</f>
        <v>150</v>
      </c>
      <c r="I1723" s="25">
        <f>IFERROR(INDEX('Aub Demand'!U:U,MATCH(O1723,'Aub Demand'!A:A,0)),"")</f>
        <v>333</v>
      </c>
      <c r="J1723" s="25">
        <f>IFERROR(INDEX('Aub Demand'!T:T,MATCH(O1723,'Aub Demand'!A:A,0)),"")</f>
        <v>229</v>
      </c>
      <c r="K1723" s="25">
        <f>IFERROR(INDEX('Aub Demand'!S:S,MATCH(O1723,'Aub Demand'!A:A,0)),"")</f>
        <v>52</v>
      </c>
      <c r="L1723" s="25">
        <f>IFERROR(INDEX('Aub Demand'!R:R,MATCH(O1723,'Aub Demand'!A:A,0)),"")</f>
        <v>0</v>
      </c>
      <c r="O1723" s="27" t="s">
        <v>3298</v>
      </c>
      <c r="P1723" s="27" t="str">
        <f>IFERROR(INDEX('Aub Demand'!B:B,MATCH($O1723,'Aub Demand'!$A:$A,0)),"")</f>
        <v>DRY CREEK PLUM TREE</v>
      </c>
      <c r="Q1723" s="27" t="str">
        <f>IFERROR(INDEX('Aub Demand'!C:C,MATCH($O1723,'Aub Demand'!$A:$A,0)),"")</f>
        <v>SUDDE</v>
      </c>
      <c r="R1723" s="52">
        <f>IFERROR(IF(AR1724=AR1723,INDEX('Aub Demand'!K:K,MATCH($O1723,'Aub Demand'!$A:$A,0))-IF(AN1723="",0,AN1723)+AP1724,INDEX('Aub Demand'!K:K,MATCH($O1723,'Aub Demand'!$A:$A,0))-IF(AN1723="",0,AN1723)),"")</f>
        <v>2552</v>
      </c>
      <c r="S1723" s="53">
        <f t="shared" si="728"/>
        <v>53.4</v>
      </c>
      <c r="T1723" s="52" t="str">
        <f t="shared" si="729"/>
        <v/>
      </c>
      <c r="U1723" s="52">
        <f>IFERROR(IF(AR1724=AR1723,INDEX('Aub Demand'!Q:Q,MATCH($O1723,'Aub Demand'!$A:$A,0))-IF(AN1723="",0,AN1723)+AP1724,INDEX('Aub Demand'!Q:Q,MATCH($O1723,'Aub Demand'!$A:$A,0))-IF(AN1723="",0,AN1723)),"")</f>
        <v>2471</v>
      </c>
      <c r="V1723" s="53">
        <f t="shared" si="730"/>
        <v>51.7</v>
      </c>
      <c r="W1723" s="52" t="str">
        <f t="shared" si="731"/>
        <v/>
      </c>
      <c r="X1723" s="52">
        <f>IFERROR(IF(AND(AR1724=AR1723,AM1723&lt;&gt;""),INDEX('Aub Demand'!Q:Q,MATCH($O1723,'Aub Demand'!$A:$A,0))-IF(AN1723="",0,AN1723)+AP1724+AD1723+AL1723,IF(AR1724=AR1723,INDEX('Aub Demand'!Q:Q,MATCH($O1723,'Aub Demand'!$A:$A,0))-IF(AN1723="",0,AN1723)+AP1724+AD1723,IF(AM1723&lt;&gt;"",INDEX('Aub Demand'!Q:Q,MATCH($O1723,'Aub Demand'!$A:$A,0))-IF(AN1723="",0,AN1723)+AD1723+AL1723,INDEX('Aub Demand'!Q:Q,MATCH($O1723,'Aub Demand'!$A:$A,0))-IF(AN1723="",0,AN1723)+AD1723))),"")</f>
        <v>2471</v>
      </c>
      <c r="Y1723" s="53">
        <f t="shared" si="732"/>
        <v>51.7</v>
      </c>
      <c r="Z1723" s="52">
        <f>IF(L1723="","",INDEX('Aub Demand'!H:H,MATCH($O1723,'Aub Demand'!$A:$A,0)))</f>
        <v>205</v>
      </c>
      <c r="AA1723" s="52">
        <f t="shared" si="733"/>
        <v>281</v>
      </c>
      <c r="AB1723" s="52">
        <f>IFERROR(INDEX('Aub Demand'!L:L,MATCH($O1723,'Aub Demand'!$A:$A,0)),"")</f>
        <v>85</v>
      </c>
      <c r="AC1723" s="52">
        <f>IFERROR(IF(O1723="","",SUMIFS('CPL Mats'!F:F,'CPL Mats'!Q:Q,AR1723,'CPL Mats'!S:S,AS1723)),"")</f>
        <v>0</v>
      </c>
      <c r="AF1723" s="25" t="str">
        <f>IF(SUMIFS('Supp Consol'!S:S,'Supp Consol'!Y:Y,"Releasable",'Supp Consol'!A:A,O1723)=0,"",SUMIFS('Supp Consol'!S:S,'Supp Consol'!Y:Y,"Releasable",'Supp Consol'!A:A,O1723))</f>
        <v/>
      </c>
      <c r="AG1723" s="25" t="str">
        <f>IFERROR(INDEX('Hun Demand'!Q:Q,MATCH(O1723,'Hun Demand'!A:A,0)),"")</f>
        <v/>
      </c>
      <c r="AH1723" s="25" t="str">
        <f>IFERROR(INDEX('Hun Demand'!H:H,MATCH($O1723,'Hun Demand'!$A:$A,0)),"")</f>
        <v/>
      </c>
      <c r="AI1723" s="25" t="str">
        <f>IF(SUMIFS('Supp Consol'!AA:AA,'Supp Consol'!Z:Z,"Expires this month",'Supp Consol'!A:A,O1723)=0,"",SUMIFS('Supp Consol'!AA:AA,'Supp Consol'!Z:Z,"Expires this month",'Supp Consol'!A:A,O1723))</f>
        <v/>
      </c>
      <c r="AJ1723" s="25" t="str">
        <f>IF(SUMIFS('Supp Consol'!AA:AA,'Supp Consol'!Z:Z,"Expired Previous Months",'Supp Consol'!A:A,O1723)=0,"",SUMIFS('Supp Consol'!AA:AA,'Supp Consol'!Z:Z,"Expired Previous Months",'Supp Consol'!A:A,O1723))</f>
        <v/>
      </c>
      <c r="AK1723" s="25" t="str">
        <f>IFERROR(INDEX('Hun Release Current'!B:B,MATCH(O1723,'Hun Release Current'!A:A,0)),"")</f>
        <v/>
      </c>
      <c r="AL1723" s="25" t="str">
        <f>IF(SUMIF('Prev Aub'!A:A,O1723,'Prev Aub'!B:B)=0,"",SUMIF('Prev Aub'!A:A,O1723,'Prev Aub'!B:B))</f>
        <v/>
      </c>
      <c r="AN1723" s="25" t="s">
        <v>3790</v>
      </c>
      <c r="AO1723" s="25" t="s">
        <v>3790</v>
      </c>
      <c r="AP1723" s="25">
        <f t="shared" si="734"/>
        <v>0</v>
      </c>
      <c r="AQ1723" s="151" t="str">
        <f>IF(SUMIFS('Supp Consol'!S:S,'Supp Consol'!A:A,O1723,'Supp Consol'!I:I,"PENDING")=0,"",SUMIFS('Supp Consol'!S:S,'Supp Consol'!A:A,O1723,'Supp Consol'!I:I,"PENDING"))</f>
        <v/>
      </c>
      <c r="AR1723" s="27" t="str">
        <f t="shared" si="735"/>
        <v>WZ601</v>
      </c>
      <c r="AS1723" s="27" t="str">
        <f t="shared" si="736"/>
        <v>62</v>
      </c>
      <c r="AT1723" s="27" t="str">
        <f t="shared" si="737"/>
        <v/>
      </c>
      <c r="AU1723" s="27" t="str">
        <f t="shared" si="738"/>
        <v/>
      </c>
      <c r="AV1723" s="27" t="str">
        <f t="shared" si="739"/>
        <v/>
      </c>
      <c r="AW1723" s="27" t="str">
        <f t="shared" si="740"/>
        <v/>
      </c>
      <c r="AX1723" s="27" t="str">
        <f t="shared" si="741"/>
        <v/>
      </c>
      <c r="AY1723" s="27" t="str">
        <f t="shared" si="742"/>
        <v/>
      </c>
      <c r="AZ1723" s="27" t="str">
        <f t="shared" si="743"/>
        <v/>
      </c>
      <c r="BA1723" s="27" t="str">
        <f t="shared" si="744"/>
        <v/>
      </c>
      <c r="BB1723" s="27" t="str">
        <f t="shared" si="745"/>
        <v/>
      </c>
      <c r="BC1723" s="27" t="str">
        <f t="shared" si="746"/>
        <v/>
      </c>
      <c r="BD1723" s="27" t="str">
        <f t="shared" si="747"/>
        <v/>
      </c>
      <c r="BE1723" s="27" t="str">
        <f t="shared" si="748"/>
        <v/>
      </c>
      <c r="BF1723" s="27" t="str">
        <f t="shared" si="749"/>
        <v/>
      </c>
      <c r="BG1723" s="27" t="str">
        <f t="shared" si="750"/>
        <v/>
      </c>
      <c r="BH1723" s="27" t="str">
        <f t="shared" si="751"/>
        <v/>
      </c>
      <c r="BI1723" s="27" t="str">
        <f t="shared" si="752"/>
        <v/>
      </c>
      <c r="BJ1723" s="27" t="str">
        <f t="shared" si="753"/>
        <v/>
      </c>
      <c r="BK1723" s="27" t="str">
        <f t="shared" si="754"/>
        <v/>
      </c>
      <c r="BL1723" s="27" t="str">
        <f t="shared" si="755"/>
        <v/>
      </c>
      <c r="BM1723" s="21" t="s">
        <v>5581</v>
      </c>
    </row>
    <row r="1724" spans="1:65" ht="15">
      <c r="A1724" s="25">
        <f>IFERROR(INDEX('Hun Demand'!W:W,MATCH(O1724,'Hun Demand'!A:A,0)),"")</f>
        <v>0</v>
      </c>
      <c r="B1724" s="25">
        <f>IFERROR(INDEX('Hun Demand'!V:V,MATCH(O1724,'Hun Demand'!A:A,0)),"")</f>
        <v>0</v>
      </c>
      <c r="C1724" s="25">
        <f>IFERROR(INDEX('Hun Demand'!U:U,MATCH(O1724,'Hun Demand'!A:A,0)),"")</f>
        <v>0</v>
      </c>
      <c r="D1724" s="25">
        <f>IFERROR(INDEX('Hun Demand'!T:T,MATCH(O1724,'Hun Demand'!A:A,0)),"")</f>
        <v>0</v>
      </c>
      <c r="E1724" s="25">
        <f>IFERROR(INDEX('Hun Demand'!S:S,MATCH(O1724,'Hun Demand'!A:A,0)),"")</f>
        <v>0</v>
      </c>
      <c r="F1724" s="25">
        <f>IFERROR(INDEX('Hun Demand'!R:R,MATCH(O1724,'Hun Demand'!A:A,0)),"")</f>
        <v>0</v>
      </c>
      <c r="G1724" s="25">
        <f>IFERROR(INDEX('Aub Demand'!W:W,MATCH(O1724,'Aub Demand'!A:A,0)),"")</f>
        <v>0</v>
      </c>
      <c r="H1724" s="25">
        <f>IFERROR(INDEX('Aub Demand'!V:V,MATCH(O1724,'Aub Demand'!A:A,0)),"")</f>
        <v>16</v>
      </c>
      <c r="I1724" s="25">
        <f>IFERROR(INDEX('Aub Demand'!U:U,MATCH(O1724,'Aub Demand'!A:A,0)),"")</f>
        <v>11</v>
      </c>
      <c r="J1724" s="25">
        <f>IFERROR(INDEX('Aub Demand'!T:T,MATCH(O1724,'Aub Demand'!A:A,0)),"")</f>
        <v>24</v>
      </c>
      <c r="K1724" s="25">
        <f>IFERROR(INDEX('Aub Demand'!S:S,MATCH(O1724,'Aub Demand'!A:A,0)),"")</f>
        <v>0</v>
      </c>
      <c r="L1724" s="25">
        <f>IFERROR(INDEX('Aub Demand'!R:R,MATCH(O1724,'Aub Demand'!A:A,0)),"")</f>
        <v>0</v>
      </c>
      <c r="O1724" s="27" t="s">
        <v>3300</v>
      </c>
      <c r="P1724" s="27" t="str">
        <f>IFERROR(INDEX('Aub Demand'!B:B,MATCH($O1724,'Aub Demand'!$A:$A,0)),"")</f>
        <v>Modern Edge L73390B</v>
      </c>
      <c r="Q1724" s="27" t="str">
        <f>IFERROR(INDEX('Aub Demand'!C:C,MATCH($O1724,'Aub Demand'!$A:$A,0)),"")</f>
        <v>SCHAT</v>
      </c>
      <c r="R1724" s="52">
        <f>IFERROR(IF(AR1725=AR1724,INDEX('Aub Demand'!K:K,MATCH($O1724,'Aub Demand'!$A:$A,0))-IF(AN1724="",0,AN1724)+AP1725,INDEX('Aub Demand'!K:K,MATCH($O1724,'Aub Demand'!$A:$A,0))-IF(AN1724="",0,AN1724)),"")</f>
        <v>2816</v>
      </c>
      <c r="S1724" s="53">
        <f t="shared" si="728"/>
        <v>1005.7</v>
      </c>
      <c r="T1724" s="52" t="str">
        <f t="shared" si="729"/>
        <v/>
      </c>
      <c r="U1724" s="52">
        <f>IFERROR(IF(AR1725=AR1724,INDEX('Aub Demand'!Q:Q,MATCH($O1724,'Aub Demand'!$A:$A,0))-IF(AN1724="",0,AN1724)+AP1725,INDEX('Aub Demand'!Q:Q,MATCH($O1724,'Aub Demand'!$A:$A,0))-IF(AN1724="",0,AN1724)),"")</f>
        <v>2816</v>
      </c>
      <c r="V1724" s="53">
        <f t="shared" si="730"/>
        <v>1005.7</v>
      </c>
      <c r="W1724" s="52" t="str">
        <f t="shared" si="731"/>
        <v/>
      </c>
      <c r="X1724" s="52">
        <f>IFERROR(IF(AND(AR1725=AR1724,AM1724&lt;&gt;""),INDEX('Aub Demand'!Q:Q,MATCH($O1724,'Aub Demand'!$A:$A,0))-IF(AN1724="",0,AN1724)+AP1725+AD1724+AL1724,IF(AR1725=AR1724,INDEX('Aub Demand'!Q:Q,MATCH($O1724,'Aub Demand'!$A:$A,0))-IF(AN1724="",0,AN1724)+AP1725+AD1724,IF(AM1724&lt;&gt;"",INDEX('Aub Demand'!Q:Q,MATCH($O1724,'Aub Demand'!$A:$A,0))-IF(AN1724="",0,AN1724)+AD1724+AL1724,INDEX('Aub Demand'!Q:Q,MATCH($O1724,'Aub Demand'!$A:$A,0))-IF(AN1724="",0,AN1724)+AD1724))),"")</f>
        <v>2816</v>
      </c>
      <c r="Y1724" s="53">
        <f t="shared" si="732"/>
        <v>1005.7</v>
      </c>
      <c r="Z1724" s="52">
        <f>IF(L1724="","",INDEX('Aub Demand'!H:H,MATCH($O1724,'Aub Demand'!$A:$A,0)))</f>
        <v>12</v>
      </c>
      <c r="AA1724" s="52">
        <f t="shared" si="733"/>
        <v>17.5</v>
      </c>
      <c r="AB1724" s="52">
        <f>IFERROR(INDEX('Aub Demand'!L:L,MATCH($O1724,'Aub Demand'!$A:$A,0)),"")</f>
        <v>3</v>
      </c>
      <c r="AC1724" s="52">
        <f>IFERROR(IF(O1724="","",SUMIFS('CPL Mats'!F:F,'CPL Mats'!Q:Q,AR1724,'CPL Mats'!S:S,AS1724)),"")</f>
        <v>0</v>
      </c>
      <c r="AF1724" s="25" t="str">
        <f>IF(SUMIFS('Supp Consol'!S:S,'Supp Consol'!Y:Y,"Releasable",'Supp Consol'!A:A,O1724)=0,"",SUMIFS('Supp Consol'!S:S,'Supp Consol'!Y:Y,"Releasable",'Supp Consol'!A:A,O1724))</f>
        <v/>
      </c>
      <c r="AG1724" s="25">
        <f>IFERROR(INDEX('Hun Demand'!Q:Q,MATCH(O1724,'Hun Demand'!A:A,0)),"")</f>
        <v>84</v>
      </c>
      <c r="AH1724" s="25">
        <f>IFERROR(INDEX('Hun Demand'!H:H,MATCH($O1724,'Hun Demand'!$A:$A,0)),"")</f>
        <v>0</v>
      </c>
      <c r="AI1724" s="25" t="str">
        <f>IF(SUMIFS('Supp Consol'!AA:AA,'Supp Consol'!Z:Z,"Expires this month",'Supp Consol'!A:A,O1724)=0,"",SUMIFS('Supp Consol'!AA:AA,'Supp Consol'!Z:Z,"Expires this month",'Supp Consol'!A:A,O1724))</f>
        <v/>
      </c>
      <c r="AJ1724" s="25" t="str">
        <f>IF(SUMIFS('Supp Consol'!AA:AA,'Supp Consol'!Z:Z,"Expired Previous Months",'Supp Consol'!A:A,O1724)=0,"",SUMIFS('Supp Consol'!AA:AA,'Supp Consol'!Z:Z,"Expired Previous Months",'Supp Consol'!A:A,O1724))</f>
        <v/>
      </c>
      <c r="AK1724" s="25" t="str">
        <f>IFERROR(INDEX('Hun Release Current'!B:B,MATCH(O1724,'Hun Release Current'!A:A,0)),"")</f>
        <v/>
      </c>
      <c r="AL1724" s="25" t="str">
        <f>IF(SUMIF('Prev Aub'!A:A,O1724,'Prev Aub'!B:B)=0,"",SUMIF('Prev Aub'!A:A,O1724,'Prev Aub'!B:B))</f>
        <v/>
      </c>
      <c r="AN1724" s="25" t="s">
        <v>3790</v>
      </c>
      <c r="AO1724" s="25" t="s">
        <v>3790</v>
      </c>
      <c r="AP1724" s="25">
        <f t="shared" si="734"/>
        <v>0</v>
      </c>
      <c r="AQ1724" s="151" t="str">
        <f>IF(SUMIFS('Supp Consol'!S:S,'Supp Consol'!A:A,O1724,'Supp Consol'!I:I,"PENDING")=0,"",SUMIFS('Supp Consol'!S:S,'Supp Consol'!A:A,O1724,'Supp Consol'!I:I,"PENDING"))</f>
        <v/>
      </c>
      <c r="AR1724" s="27" t="str">
        <f t="shared" si="735"/>
        <v>WZ604</v>
      </c>
      <c r="AS1724" s="27" t="str">
        <f t="shared" si="736"/>
        <v>62</v>
      </c>
      <c r="AT1724" s="27" t="str">
        <f t="shared" si="737"/>
        <v/>
      </c>
      <c r="AU1724" s="27" t="str">
        <f t="shared" si="738"/>
        <v/>
      </c>
      <c r="AV1724" s="27" t="str">
        <f t="shared" si="739"/>
        <v/>
      </c>
      <c r="AW1724" s="27" t="str">
        <f t="shared" si="740"/>
        <v/>
      </c>
      <c r="AX1724" s="27" t="str">
        <f t="shared" si="741"/>
        <v/>
      </c>
      <c r="AY1724" s="27" t="str">
        <f t="shared" si="742"/>
        <v>WZ604</v>
      </c>
      <c r="AZ1724" s="27" t="str">
        <f t="shared" si="743"/>
        <v/>
      </c>
      <c r="BA1724" s="27" t="str">
        <f t="shared" si="744"/>
        <v>Hun</v>
      </c>
      <c r="BB1724" s="27" t="str">
        <f t="shared" si="745"/>
        <v/>
      </c>
      <c r="BC1724" s="27" t="str">
        <f t="shared" si="746"/>
        <v/>
      </c>
      <c r="BD1724" s="27" t="str">
        <f t="shared" si="747"/>
        <v/>
      </c>
      <c r="BE1724" s="27" t="str">
        <f t="shared" si="748"/>
        <v/>
      </c>
      <c r="BF1724" s="27" t="str">
        <f t="shared" si="749"/>
        <v/>
      </c>
      <c r="BG1724" s="27" t="str">
        <f t="shared" si="750"/>
        <v/>
      </c>
      <c r="BH1724" s="27" t="str">
        <f t="shared" si="751"/>
        <v/>
      </c>
      <c r="BI1724" s="27" t="str">
        <f t="shared" si="752"/>
        <v/>
      </c>
      <c r="BJ1724" s="27" t="str">
        <f t="shared" si="753"/>
        <v>Supp or Hun</v>
      </c>
      <c r="BK1724" s="27" t="str">
        <f t="shared" si="754"/>
        <v/>
      </c>
      <c r="BL1724" s="27" t="str">
        <f t="shared" si="755"/>
        <v/>
      </c>
      <c r="BM1724" s="21" t="s">
        <v>5581</v>
      </c>
    </row>
    <row r="1725" spans="1:65" ht="15">
      <c r="A1725" s="25" t="str">
        <f>IFERROR(INDEX('Hun Demand'!W:W,MATCH(O1725,'Hun Demand'!A:A,0)),"")</f>
        <v/>
      </c>
      <c r="B1725" s="25" t="str">
        <f>IFERROR(INDEX('Hun Demand'!V:V,MATCH(O1725,'Hun Demand'!A:A,0)),"")</f>
        <v/>
      </c>
      <c r="C1725" s="25" t="str">
        <f>IFERROR(INDEX('Hun Demand'!U:U,MATCH(O1725,'Hun Demand'!A:A,0)),"")</f>
        <v/>
      </c>
      <c r="D1725" s="25" t="str">
        <f>IFERROR(INDEX('Hun Demand'!T:T,MATCH(O1725,'Hun Demand'!A:A,0)),"")</f>
        <v/>
      </c>
      <c r="E1725" s="25" t="str">
        <f>IFERROR(INDEX('Hun Demand'!S:S,MATCH(O1725,'Hun Demand'!A:A,0)),"")</f>
        <v/>
      </c>
      <c r="F1725" s="25" t="str">
        <f>IFERROR(INDEX('Hun Demand'!R:R,MATCH(O1725,'Hun Demand'!A:A,0)),"")</f>
        <v/>
      </c>
      <c r="G1725" s="25">
        <f>IFERROR(INDEX('Aub Demand'!W:W,MATCH(O1725,'Aub Demand'!A:A,0)),"")</f>
        <v>132</v>
      </c>
      <c r="H1725" s="25">
        <f>IFERROR(INDEX('Aub Demand'!V:V,MATCH(O1725,'Aub Demand'!A:A,0)),"")</f>
        <v>89</v>
      </c>
      <c r="I1725" s="25">
        <f>IFERROR(INDEX('Aub Demand'!U:U,MATCH(O1725,'Aub Demand'!A:A,0)),"")</f>
        <v>0</v>
      </c>
      <c r="J1725" s="25">
        <f>IFERROR(INDEX('Aub Demand'!T:T,MATCH(O1725,'Aub Demand'!A:A,0)),"")</f>
        <v>268</v>
      </c>
      <c r="K1725" s="25">
        <f>IFERROR(INDEX('Aub Demand'!S:S,MATCH(O1725,'Aub Demand'!A:A,0)),"")</f>
        <v>0</v>
      </c>
      <c r="L1725" s="25">
        <f>IFERROR(INDEX('Aub Demand'!R:R,MATCH(O1725,'Aub Demand'!A:A,0)),"")</f>
        <v>0</v>
      </c>
      <c r="O1725" s="27" t="s">
        <v>3301</v>
      </c>
      <c r="P1725" s="27" t="str">
        <f>IFERROR(INDEX('Aub Demand'!B:B,MATCH($O1725,'Aub Demand'!$A:$A,0)),"")</f>
        <v>COGNAC BIRDSEYE 50"</v>
      </c>
      <c r="Q1725" s="27" t="str">
        <f>IFERROR(INDEX('Aub Demand'!C:C,MATCH($O1725,'Aub Demand'!$A:$A,0)),"")</f>
        <v>DNP A</v>
      </c>
      <c r="R1725" s="52">
        <f>IFERROR(IF(AR1726=AR1725,INDEX('Aub Demand'!K:K,MATCH($O1725,'Aub Demand'!$A:$A,0))-IF(AN1725="",0,AN1725)+AP1726,INDEX('Aub Demand'!K:K,MATCH($O1725,'Aub Demand'!$A:$A,0))-IF(AN1725="",0,AN1725)),"")</f>
        <v>366</v>
      </c>
      <c r="S1725" s="53">
        <f t="shared" si="728"/>
        <v>17.600000000000001</v>
      </c>
      <c r="T1725" s="52" t="str">
        <f t="shared" si="729"/>
        <v/>
      </c>
      <c r="U1725" s="52">
        <f>IFERROR(IF(AR1726=AR1725,INDEX('Aub Demand'!Q:Q,MATCH($O1725,'Aub Demand'!$A:$A,0))-IF(AN1725="",0,AN1725)+AP1726,INDEX('Aub Demand'!Q:Q,MATCH($O1725,'Aub Demand'!$A:$A,0))-IF(AN1725="",0,AN1725)),"")</f>
        <v>366</v>
      </c>
      <c r="V1725" s="53">
        <f t="shared" si="730"/>
        <v>17.600000000000001</v>
      </c>
      <c r="W1725" s="52" t="str">
        <f t="shared" si="731"/>
        <v/>
      </c>
      <c r="X1725" s="52">
        <f>IFERROR(IF(AND(AR1726=AR1725,AM1725&lt;&gt;""),INDEX('Aub Demand'!Q:Q,MATCH($O1725,'Aub Demand'!$A:$A,0))-IF(AN1725="",0,AN1725)+AP1726+AD1725+AL1725,IF(AR1726=AR1725,INDEX('Aub Demand'!Q:Q,MATCH($O1725,'Aub Demand'!$A:$A,0))-IF(AN1725="",0,AN1725)+AP1726+AD1725,IF(AM1725&lt;&gt;"",INDEX('Aub Demand'!Q:Q,MATCH($O1725,'Aub Demand'!$A:$A,0))-IF(AN1725="",0,AN1725)+AD1725+AL1725,INDEX('Aub Demand'!Q:Q,MATCH($O1725,'Aub Demand'!$A:$A,0))-IF(AN1725="",0,AN1725)+AD1725))),"")</f>
        <v>366</v>
      </c>
      <c r="Y1725" s="53">
        <f t="shared" si="732"/>
        <v>17.600000000000001</v>
      </c>
      <c r="Z1725" s="52">
        <f>IF(L1725="","",INDEX('Aub Demand'!H:H,MATCH($O1725,'Aub Demand'!$A:$A,0)))</f>
        <v>89</v>
      </c>
      <c r="AA1725" s="52" t="str">
        <f t="shared" si="733"/>
        <v>-spike-</v>
      </c>
      <c r="AB1725" s="52">
        <f>IFERROR(INDEX('Aub Demand'!L:L,MATCH($O1725,'Aub Demand'!$A:$A,0)),"")</f>
        <v>29</v>
      </c>
      <c r="AC1725" s="52">
        <f>IFERROR(IF(O1725="","",SUMIFS('CPL Mats'!F:F,'CPL Mats'!Q:Q,AR1725,'CPL Mats'!S:S,AS1725)),"")</f>
        <v>0</v>
      </c>
      <c r="AF1725" s="25" t="str">
        <f>IF(SUMIFS('Supp Consol'!S:S,'Supp Consol'!Y:Y,"Releasable",'Supp Consol'!A:A,O1725)=0,"",SUMIFS('Supp Consol'!S:S,'Supp Consol'!Y:Y,"Releasable",'Supp Consol'!A:A,O1725))</f>
        <v/>
      </c>
      <c r="AG1725" s="25" t="str">
        <f>IFERROR(INDEX('Hun Demand'!Q:Q,MATCH(O1725,'Hun Demand'!A:A,0)),"")</f>
        <v/>
      </c>
      <c r="AH1725" s="25" t="str">
        <f>IFERROR(INDEX('Hun Demand'!H:H,MATCH($O1725,'Hun Demand'!$A:$A,0)),"")</f>
        <v/>
      </c>
      <c r="AI1725" s="25" t="str">
        <f>IF(SUMIFS('Supp Consol'!AA:AA,'Supp Consol'!Z:Z,"Expires this month",'Supp Consol'!A:A,O1725)=0,"",SUMIFS('Supp Consol'!AA:AA,'Supp Consol'!Z:Z,"Expires this month",'Supp Consol'!A:A,O1725))</f>
        <v/>
      </c>
      <c r="AJ1725" s="25" t="str">
        <f>IF(SUMIFS('Supp Consol'!AA:AA,'Supp Consol'!Z:Z,"Expired Previous Months",'Supp Consol'!A:A,O1725)=0,"",SUMIFS('Supp Consol'!AA:AA,'Supp Consol'!Z:Z,"Expired Previous Months",'Supp Consol'!A:A,O1725))</f>
        <v/>
      </c>
      <c r="AK1725" s="25" t="str">
        <f>IFERROR(INDEX('Hun Release Current'!B:B,MATCH(O1725,'Hun Release Current'!A:A,0)),"")</f>
        <v/>
      </c>
      <c r="AL1725" s="25" t="str">
        <f>IF(SUMIF('Prev Aub'!A:A,O1725,'Prev Aub'!B:B)=0,"",SUMIF('Prev Aub'!A:A,O1725,'Prev Aub'!B:B))</f>
        <v/>
      </c>
      <c r="AN1725" s="25" t="s">
        <v>3790</v>
      </c>
      <c r="AO1725" s="25" t="s">
        <v>3790</v>
      </c>
      <c r="AP1725" s="25">
        <f t="shared" si="734"/>
        <v>0</v>
      </c>
      <c r="AQ1725" s="151" t="str">
        <f>IF(SUMIFS('Supp Consol'!S:S,'Supp Consol'!A:A,O1725,'Supp Consol'!I:I,"PENDING")=0,"",SUMIFS('Supp Consol'!S:S,'Supp Consol'!A:A,O1725,'Supp Consol'!I:I,"PENDING"))</f>
        <v/>
      </c>
      <c r="AR1725" s="27" t="str">
        <f t="shared" si="735"/>
        <v>WZ848</v>
      </c>
      <c r="AS1725" s="27" t="str">
        <f t="shared" si="736"/>
        <v>50</v>
      </c>
      <c r="AT1725" s="27" t="str">
        <f t="shared" si="737"/>
        <v/>
      </c>
      <c r="AU1725" s="27" t="str">
        <f t="shared" si="738"/>
        <v/>
      </c>
      <c r="AV1725" s="27" t="str">
        <f t="shared" si="739"/>
        <v/>
      </c>
      <c r="AW1725" s="27" t="str">
        <f t="shared" si="740"/>
        <v/>
      </c>
      <c r="AX1725" s="27" t="str">
        <f t="shared" si="741"/>
        <v/>
      </c>
      <c r="AY1725" s="27" t="str">
        <f t="shared" si="742"/>
        <v/>
      </c>
      <c r="AZ1725" s="27" t="str">
        <f t="shared" si="743"/>
        <v/>
      </c>
      <c r="BA1725" s="27" t="str">
        <f t="shared" si="744"/>
        <v/>
      </c>
      <c r="BB1725" s="27" t="str">
        <f t="shared" si="745"/>
        <v/>
      </c>
      <c r="BC1725" s="27" t="str">
        <f t="shared" si="746"/>
        <v/>
      </c>
      <c r="BD1725" s="27" t="str">
        <f t="shared" si="747"/>
        <v/>
      </c>
      <c r="BE1725" s="27" t="str">
        <f t="shared" si="748"/>
        <v/>
      </c>
      <c r="BF1725" s="27" t="str">
        <f t="shared" si="749"/>
        <v/>
      </c>
      <c r="BG1725" s="27" t="str">
        <f t="shared" si="750"/>
        <v/>
      </c>
      <c r="BH1725" s="27" t="str">
        <f t="shared" si="751"/>
        <v/>
      </c>
      <c r="BI1725" s="27" t="str">
        <f t="shared" si="752"/>
        <v/>
      </c>
      <c r="BJ1725" s="27" t="str">
        <f t="shared" si="753"/>
        <v/>
      </c>
      <c r="BK1725" s="27" t="str">
        <f t="shared" si="754"/>
        <v/>
      </c>
      <c r="BL1725" s="27" t="str">
        <f t="shared" si="755"/>
        <v/>
      </c>
      <c r="BM1725" s="21" t="s">
        <v>5581</v>
      </c>
    </row>
    <row r="1726" spans="1:65" ht="15">
      <c r="A1726" s="25" t="str">
        <f>IFERROR(INDEX('Hun Demand'!W:W,MATCH(O1726,'Hun Demand'!A:A,0)),"")</f>
        <v/>
      </c>
      <c r="B1726" s="25" t="str">
        <f>IFERROR(INDEX('Hun Demand'!V:V,MATCH(O1726,'Hun Demand'!A:A,0)),"")</f>
        <v/>
      </c>
      <c r="C1726" s="25" t="str">
        <f>IFERROR(INDEX('Hun Demand'!U:U,MATCH(O1726,'Hun Demand'!A:A,0)),"")</f>
        <v/>
      </c>
      <c r="D1726" s="25" t="str">
        <f>IFERROR(INDEX('Hun Demand'!T:T,MATCH(O1726,'Hun Demand'!A:A,0)),"")</f>
        <v/>
      </c>
      <c r="E1726" s="25" t="str">
        <f>IFERROR(INDEX('Hun Demand'!S:S,MATCH(O1726,'Hun Demand'!A:A,0)),"")</f>
        <v/>
      </c>
      <c r="F1726" s="25" t="str">
        <f>IFERROR(INDEX('Hun Demand'!R:R,MATCH(O1726,'Hun Demand'!A:A,0)),"")</f>
        <v/>
      </c>
      <c r="G1726" s="25">
        <f>IFERROR(INDEX('Aub Demand'!W:W,MATCH(O1726,'Aub Demand'!A:A,0)),"")</f>
        <v>0</v>
      </c>
      <c r="H1726" s="25">
        <f>IFERROR(INDEX('Aub Demand'!V:V,MATCH(O1726,'Aub Demand'!A:A,0)),"")</f>
        <v>0</v>
      </c>
      <c r="I1726" s="25">
        <f>IFERROR(INDEX('Aub Demand'!U:U,MATCH(O1726,'Aub Demand'!A:A,0)),"")</f>
        <v>0</v>
      </c>
      <c r="J1726" s="25">
        <f>IFERROR(INDEX('Aub Demand'!T:T,MATCH(O1726,'Aub Demand'!A:A,0)),"")</f>
        <v>0</v>
      </c>
      <c r="K1726" s="25">
        <f>IFERROR(INDEX('Aub Demand'!S:S,MATCH(O1726,'Aub Demand'!A:A,0)),"")</f>
        <v>0</v>
      </c>
      <c r="L1726" s="25">
        <f>IFERROR(INDEX('Aub Demand'!R:R,MATCH(O1726,'Aub Demand'!A:A,0)),"")</f>
        <v>0</v>
      </c>
      <c r="O1726" s="27" t="s">
        <v>3304</v>
      </c>
      <c r="P1726" s="27" t="str">
        <f>IFERROR(INDEX('Aub Demand'!B:B,MATCH($O1726,'Aub Demand'!$A:$A,0)),"")</f>
        <v>COGNAC BIRDSEYE 62"</v>
      </c>
      <c r="Q1726" s="27" t="str">
        <f>IFERROR(INDEX('Aub Demand'!C:C,MATCH($O1726,'Aub Demand'!$A:$A,0)),"")</f>
        <v>DNP A</v>
      </c>
      <c r="R1726" s="52">
        <f>IFERROR(IF(AR1727=AR1726,INDEX('Aub Demand'!K:K,MATCH($O1726,'Aub Demand'!$A:$A,0))-IF(AN1726="",0,AN1726)+AP1727,INDEX('Aub Demand'!K:K,MATCH($O1726,'Aub Demand'!$A:$A,0))-IF(AN1726="",0,AN1726)),"")</f>
        <v>697</v>
      </c>
      <c r="S1726" s="53" t="str">
        <f t="shared" si="728"/>
        <v>n/a</v>
      </c>
      <c r="T1726" s="52" t="str">
        <f t="shared" si="729"/>
        <v/>
      </c>
      <c r="U1726" s="52">
        <f>IFERROR(IF(AR1727=AR1726,INDEX('Aub Demand'!Q:Q,MATCH($O1726,'Aub Demand'!$A:$A,0))-IF(AN1726="",0,AN1726)+AP1727,INDEX('Aub Demand'!Q:Q,MATCH($O1726,'Aub Demand'!$A:$A,0))-IF(AN1726="",0,AN1726)),"")</f>
        <v>684</v>
      </c>
      <c r="V1726" s="53" t="str">
        <f t="shared" si="730"/>
        <v>n/a</v>
      </c>
      <c r="W1726" s="52" t="str">
        <f t="shared" si="731"/>
        <v/>
      </c>
      <c r="X1726" s="52">
        <f>IFERROR(IF(AND(AR1727=AR1726,AM1726&lt;&gt;""),INDEX('Aub Demand'!Q:Q,MATCH($O1726,'Aub Demand'!$A:$A,0))-IF(AN1726="",0,AN1726)+AP1727+AD1726+AL1726,IF(AR1727=AR1726,INDEX('Aub Demand'!Q:Q,MATCH($O1726,'Aub Demand'!$A:$A,0))-IF(AN1726="",0,AN1726)+AP1727+AD1726,IF(AM1726&lt;&gt;"",INDEX('Aub Demand'!Q:Q,MATCH($O1726,'Aub Demand'!$A:$A,0))-IF(AN1726="",0,AN1726)+AD1726+AL1726,INDEX('Aub Demand'!Q:Q,MATCH($O1726,'Aub Demand'!$A:$A,0))-IF(AN1726="",0,AN1726)+AD1726))),"")</f>
        <v>684</v>
      </c>
      <c r="Y1726" s="53" t="str">
        <f t="shared" si="732"/>
        <v>n/a</v>
      </c>
      <c r="Z1726" s="52">
        <f>IF(L1726="","",INDEX('Aub Demand'!H:H,MATCH($O1726,'Aub Demand'!$A:$A,0)))</f>
        <v>0</v>
      </c>
      <c r="AA1726" s="52" t="str">
        <f t="shared" si="733"/>
        <v>-spike-</v>
      </c>
      <c r="AB1726" s="52">
        <f>IFERROR(INDEX('Aub Demand'!L:L,MATCH($O1726,'Aub Demand'!$A:$A,0)),"")</f>
        <v>0</v>
      </c>
      <c r="AC1726" s="52">
        <f>IFERROR(IF(O1726="","",SUMIFS('CPL Mats'!F:F,'CPL Mats'!Q:Q,AR1726,'CPL Mats'!S:S,AS1726)),"")</f>
        <v>0</v>
      </c>
      <c r="AF1726" s="25" t="str">
        <f>IF(SUMIFS('Supp Consol'!S:S,'Supp Consol'!Y:Y,"Releasable",'Supp Consol'!A:A,O1726)=0,"",SUMIFS('Supp Consol'!S:S,'Supp Consol'!Y:Y,"Releasable",'Supp Consol'!A:A,O1726))</f>
        <v/>
      </c>
      <c r="AG1726" s="25" t="str">
        <f>IFERROR(INDEX('Hun Demand'!Q:Q,MATCH(O1726,'Hun Demand'!A:A,0)),"")</f>
        <v/>
      </c>
      <c r="AH1726" s="25" t="str">
        <f>IFERROR(INDEX('Hun Demand'!H:H,MATCH($O1726,'Hun Demand'!$A:$A,0)),"")</f>
        <v/>
      </c>
      <c r="AI1726" s="25" t="str">
        <f>IF(SUMIFS('Supp Consol'!AA:AA,'Supp Consol'!Z:Z,"Expires this month",'Supp Consol'!A:A,O1726)=0,"",SUMIFS('Supp Consol'!AA:AA,'Supp Consol'!Z:Z,"Expires this month",'Supp Consol'!A:A,O1726))</f>
        <v/>
      </c>
      <c r="AJ1726" s="25" t="str">
        <f>IF(SUMIFS('Supp Consol'!AA:AA,'Supp Consol'!Z:Z,"Expired Previous Months",'Supp Consol'!A:A,O1726)=0,"",SUMIFS('Supp Consol'!AA:AA,'Supp Consol'!Z:Z,"Expired Previous Months",'Supp Consol'!A:A,O1726))</f>
        <v/>
      </c>
      <c r="AK1726" s="25" t="str">
        <f>IFERROR(INDEX('Hun Release Current'!B:B,MATCH(O1726,'Hun Release Current'!A:A,0)),"")</f>
        <v/>
      </c>
      <c r="AL1726" s="25" t="str">
        <f>IF(SUMIF('Prev Aub'!A:A,O1726,'Prev Aub'!B:B)=0,"",SUMIF('Prev Aub'!A:A,O1726,'Prev Aub'!B:B))</f>
        <v/>
      </c>
      <c r="AN1726" s="25" t="s">
        <v>3790</v>
      </c>
      <c r="AO1726" s="25" t="s">
        <v>3790</v>
      </c>
      <c r="AP1726" s="25">
        <f t="shared" si="734"/>
        <v>0</v>
      </c>
      <c r="AQ1726" s="151" t="str">
        <f>IF(SUMIFS('Supp Consol'!S:S,'Supp Consol'!A:A,O1726,'Supp Consol'!I:I,"PENDING")=0,"",SUMIFS('Supp Consol'!S:S,'Supp Consol'!A:A,O1726,'Supp Consol'!I:I,"PENDING"))</f>
        <v/>
      </c>
      <c r="AR1726" s="27" t="str">
        <f t="shared" si="735"/>
        <v>WZ848</v>
      </c>
      <c r="AS1726" s="27" t="str">
        <f t="shared" si="736"/>
        <v>62</v>
      </c>
      <c r="AT1726" s="27" t="str">
        <f t="shared" si="737"/>
        <v/>
      </c>
      <c r="AU1726" s="27" t="str">
        <f t="shared" si="738"/>
        <v/>
      </c>
      <c r="AV1726" s="27" t="str">
        <f t="shared" si="739"/>
        <v/>
      </c>
      <c r="AW1726" s="27" t="str">
        <f t="shared" si="740"/>
        <v/>
      </c>
      <c r="AX1726" s="27" t="str">
        <f t="shared" si="741"/>
        <v/>
      </c>
      <c r="AY1726" s="27" t="str">
        <f t="shared" si="742"/>
        <v/>
      </c>
      <c r="AZ1726" s="27" t="str">
        <f t="shared" si="743"/>
        <v/>
      </c>
      <c r="BA1726" s="27" t="str">
        <f t="shared" si="744"/>
        <v/>
      </c>
      <c r="BB1726" s="27" t="str">
        <f t="shared" si="745"/>
        <v/>
      </c>
      <c r="BC1726" s="27" t="str">
        <f t="shared" si="746"/>
        <v/>
      </c>
      <c r="BD1726" s="27" t="str">
        <f t="shared" si="747"/>
        <v/>
      </c>
      <c r="BE1726" s="27" t="str">
        <f t="shared" si="748"/>
        <v/>
      </c>
      <c r="BF1726" s="27" t="str">
        <f t="shared" si="749"/>
        <v/>
      </c>
      <c r="BG1726" s="27" t="str">
        <f t="shared" si="750"/>
        <v/>
      </c>
      <c r="BH1726" s="27" t="str">
        <f t="shared" si="751"/>
        <v/>
      </c>
      <c r="BI1726" s="27" t="str">
        <f t="shared" si="752"/>
        <v/>
      </c>
      <c r="BJ1726" s="27" t="str">
        <f t="shared" si="753"/>
        <v/>
      </c>
      <c r="BK1726" s="27" t="str">
        <f t="shared" si="754"/>
        <v/>
      </c>
      <c r="BL1726" s="27" t="str">
        <f t="shared" si="755"/>
        <v/>
      </c>
      <c r="BM1726" s="21" t="s">
        <v>5581</v>
      </c>
    </row>
    <row r="1727" spans="1:65" ht="15">
      <c r="A1727" s="25" t="str">
        <f>IFERROR(INDEX('Hun Demand'!W:W,MATCH(O1727,'Hun Demand'!A:A,0)),"")</f>
        <v/>
      </c>
      <c r="B1727" s="25" t="str">
        <f>IFERROR(INDEX('Hun Demand'!V:V,MATCH(O1727,'Hun Demand'!A:A,0)),"")</f>
        <v/>
      </c>
      <c r="C1727" s="25" t="str">
        <f>IFERROR(INDEX('Hun Demand'!U:U,MATCH(O1727,'Hun Demand'!A:A,0)),"")</f>
        <v/>
      </c>
      <c r="D1727" s="25" t="str">
        <f>IFERROR(INDEX('Hun Demand'!T:T,MATCH(O1727,'Hun Demand'!A:A,0)),"")</f>
        <v/>
      </c>
      <c r="E1727" s="25" t="str">
        <f>IFERROR(INDEX('Hun Demand'!S:S,MATCH(O1727,'Hun Demand'!A:A,0)),"")</f>
        <v/>
      </c>
      <c r="F1727" s="25" t="str">
        <f>IFERROR(INDEX('Hun Demand'!R:R,MATCH(O1727,'Hun Demand'!A:A,0)),"")</f>
        <v/>
      </c>
      <c r="G1727" s="25">
        <f>IFERROR(INDEX('Aub Demand'!W:W,MATCH(O1727,'Aub Demand'!A:A,0)),"")</f>
        <v>14</v>
      </c>
      <c r="H1727" s="25">
        <f>IFERROR(INDEX('Aub Demand'!V:V,MATCH(O1727,'Aub Demand'!A:A,0)),"")</f>
        <v>9</v>
      </c>
      <c r="I1727" s="25">
        <f>IFERROR(INDEX('Aub Demand'!U:U,MATCH(O1727,'Aub Demand'!A:A,0)),"")</f>
        <v>0</v>
      </c>
      <c r="J1727" s="25">
        <f>IFERROR(INDEX('Aub Demand'!T:T,MATCH(O1727,'Aub Demand'!A:A,0)),"")</f>
        <v>0</v>
      </c>
      <c r="K1727" s="25">
        <f>IFERROR(INDEX('Aub Demand'!S:S,MATCH(O1727,'Aub Demand'!A:A,0)),"")</f>
        <v>87</v>
      </c>
      <c r="L1727" s="25">
        <f>IFERROR(INDEX('Aub Demand'!R:R,MATCH(O1727,'Aub Demand'!A:A,0)),"")</f>
        <v>0</v>
      </c>
      <c r="O1727" s="27" t="s">
        <v>3307</v>
      </c>
      <c r="P1727" s="27" t="str">
        <f>IFERROR(INDEX('Aub Demand'!B:B,MATCH($O1727,'Aub Demand'!$A:$A,0)),"")</f>
        <v>TEA STAIN SPUN YARN</v>
      </c>
      <c r="Q1727" s="27" t="str">
        <f>IFERROR(INDEX('Aub Demand'!C:C,MATCH($O1727,'Aub Demand'!$A:$A,0)),"")</f>
        <v>DNP A</v>
      </c>
      <c r="R1727" s="52">
        <f>IFERROR(IF(AR1728=AR1727,INDEX('Aub Demand'!K:K,MATCH($O1727,'Aub Demand'!$A:$A,0))-IF(AN1727="",0,AN1727)+AP1728,INDEX('Aub Demand'!K:K,MATCH($O1727,'Aub Demand'!$A:$A,0))-IF(AN1727="",0,AN1727)),"")</f>
        <v>473</v>
      </c>
      <c r="S1727" s="53">
        <f t="shared" si="728"/>
        <v>69.900000000000006</v>
      </c>
      <c r="T1727" s="52" t="str">
        <f t="shared" si="729"/>
        <v/>
      </c>
      <c r="U1727" s="52">
        <f>IFERROR(IF(AR1728=AR1727,INDEX('Aub Demand'!Q:Q,MATCH($O1727,'Aub Demand'!$A:$A,0))-IF(AN1727="",0,AN1727)+AP1728,INDEX('Aub Demand'!Q:Q,MATCH($O1727,'Aub Demand'!$A:$A,0))-IF(AN1727="",0,AN1727)),"")</f>
        <v>473</v>
      </c>
      <c r="V1727" s="53">
        <f t="shared" si="730"/>
        <v>69.900000000000006</v>
      </c>
      <c r="W1727" s="52" t="str">
        <f t="shared" si="731"/>
        <v/>
      </c>
      <c r="X1727" s="52">
        <f>IFERROR(IF(AND(AR1728=AR1727,AM1727&lt;&gt;""),INDEX('Aub Demand'!Q:Q,MATCH($O1727,'Aub Demand'!$A:$A,0))-IF(AN1727="",0,AN1727)+AP1728+AD1727+AL1727,IF(AR1728=AR1727,INDEX('Aub Demand'!Q:Q,MATCH($O1727,'Aub Demand'!$A:$A,0))-IF(AN1727="",0,AN1727)+AP1728+AD1727,IF(AM1727&lt;&gt;"",INDEX('Aub Demand'!Q:Q,MATCH($O1727,'Aub Demand'!$A:$A,0))-IF(AN1727="",0,AN1727)+AD1727+AL1727,INDEX('Aub Demand'!Q:Q,MATCH($O1727,'Aub Demand'!$A:$A,0))-IF(AN1727="",0,AN1727)+AD1727))),"")</f>
        <v>473</v>
      </c>
      <c r="Y1727" s="53">
        <f t="shared" si="732"/>
        <v>69.900000000000006</v>
      </c>
      <c r="Z1727" s="52">
        <f>IF(L1727="","",INDEX('Aub Demand'!H:H,MATCH($O1727,'Aub Demand'!$A:$A,0)))</f>
        <v>29</v>
      </c>
      <c r="AA1727" s="52" t="str">
        <f t="shared" si="733"/>
        <v>-spike-</v>
      </c>
      <c r="AB1727" s="52">
        <f>IFERROR(INDEX('Aub Demand'!L:L,MATCH($O1727,'Aub Demand'!$A:$A,0)),"")</f>
        <v>96</v>
      </c>
      <c r="AC1727" s="52">
        <f>IFERROR(IF(O1727="","",SUMIFS('CPL Mats'!F:F,'CPL Mats'!Q:Q,AR1727,'CPL Mats'!S:S,AS1727)),"")</f>
        <v>1300</v>
      </c>
      <c r="AF1727" s="25" t="str">
        <f>IF(SUMIFS('Supp Consol'!S:S,'Supp Consol'!Y:Y,"Releasable",'Supp Consol'!A:A,O1727)=0,"",SUMIFS('Supp Consol'!S:S,'Supp Consol'!Y:Y,"Releasable",'Supp Consol'!A:A,O1727))</f>
        <v/>
      </c>
      <c r="AG1727" s="25" t="str">
        <f>IFERROR(INDEX('Hun Demand'!Q:Q,MATCH(O1727,'Hun Demand'!A:A,0)),"")</f>
        <v/>
      </c>
      <c r="AH1727" s="25" t="str">
        <f>IFERROR(INDEX('Hun Demand'!H:H,MATCH($O1727,'Hun Demand'!$A:$A,0)),"")</f>
        <v/>
      </c>
      <c r="AI1727" s="25" t="str">
        <f>IF(SUMIFS('Supp Consol'!AA:AA,'Supp Consol'!Z:Z,"Expires this month",'Supp Consol'!A:A,O1727)=0,"",SUMIFS('Supp Consol'!AA:AA,'Supp Consol'!Z:Z,"Expires this month",'Supp Consol'!A:A,O1727))</f>
        <v/>
      </c>
      <c r="AJ1727" s="25" t="str">
        <f>IF(SUMIFS('Supp Consol'!AA:AA,'Supp Consol'!Z:Z,"Expired Previous Months",'Supp Consol'!A:A,O1727)=0,"",SUMIFS('Supp Consol'!AA:AA,'Supp Consol'!Z:Z,"Expired Previous Months",'Supp Consol'!A:A,O1727))</f>
        <v/>
      </c>
      <c r="AK1727" s="25" t="str">
        <f>IFERROR(INDEX('Hun Release Current'!B:B,MATCH(O1727,'Hun Release Current'!A:A,0)),"")</f>
        <v/>
      </c>
      <c r="AL1727" s="25" t="str">
        <f>IF(SUMIF('Prev Aub'!A:A,O1727,'Prev Aub'!B:B)=0,"",SUMIF('Prev Aub'!A:A,O1727,'Prev Aub'!B:B))</f>
        <v/>
      </c>
      <c r="AN1727" s="25" t="s">
        <v>3790</v>
      </c>
      <c r="AO1727" s="25" t="s">
        <v>3790</v>
      </c>
      <c r="AP1727" s="25">
        <f t="shared" si="734"/>
        <v>0</v>
      </c>
      <c r="AQ1727" s="151" t="str">
        <f>IF(SUMIFS('Supp Consol'!S:S,'Supp Consol'!A:A,O1727,'Supp Consol'!I:I,"PENDING")=0,"",SUMIFS('Supp Consol'!S:S,'Supp Consol'!A:A,O1727,'Supp Consol'!I:I,"PENDING"))</f>
        <v/>
      </c>
      <c r="AR1727" s="27" t="str">
        <f t="shared" si="735"/>
        <v>YSN01</v>
      </c>
      <c r="AS1727" s="27" t="str">
        <f t="shared" si="736"/>
        <v>50</v>
      </c>
      <c r="AT1727" s="27" t="str">
        <f t="shared" si="737"/>
        <v/>
      </c>
      <c r="AU1727" s="27" t="str">
        <f t="shared" si="738"/>
        <v/>
      </c>
      <c r="AV1727" s="27" t="str">
        <f t="shared" si="739"/>
        <v/>
      </c>
      <c r="AW1727" s="27" t="str">
        <f t="shared" si="740"/>
        <v/>
      </c>
      <c r="AX1727" s="27" t="str">
        <f t="shared" si="741"/>
        <v/>
      </c>
      <c r="AY1727" s="27" t="str">
        <f t="shared" si="742"/>
        <v/>
      </c>
      <c r="AZ1727" s="27" t="str">
        <f t="shared" si="743"/>
        <v/>
      </c>
      <c r="BA1727" s="27" t="str">
        <f t="shared" si="744"/>
        <v/>
      </c>
      <c r="BB1727" s="27" t="str">
        <f t="shared" si="745"/>
        <v/>
      </c>
      <c r="BC1727" s="27" t="str">
        <f t="shared" si="746"/>
        <v/>
      </c>
      <c r="BD1727" s="27" t="str">
        <f t="shared" si="747"/>
        <v/>
      </c>
      <c r="BE1727" s="27" t="str">
        <f t="shared" si="748"/>
        <v/>
      </c>
      <c r="BF1727" s="27" t="str">
        <f t="shared" si="749"/>
        <v/>
      </c>
      <c r="BG1727" s="27" t="str">
        <f t="shared" si="750"/>
        <v/>
      </c>
      <c r="BH1727" s="27" t="str">
        <f t="shared" si="751"/>
        <v/>
      </c>
      <c r="BI1727" s="27" t="str">
        <f t="shared" si="752"/>
        <v/>
      </c>
      <c r="BJ1727" s="27" t="str">
        <f t="shared" si="753"/>
        <v/>
      </c>
      <c r="BK1727" s="27" t="str">
        <f t="shared" si="754"/>
        <v/>
      </c>
      <c r="BL1727" s="27" t="str">
        <f t="shared" si="755"/>
        <v/>
      </c>
      <c r="BM1727" s="21" t="s">
        <v>5581</v>
      </c>
    </row>
    <row r="1728" spans="1:65" ht="15">
      <c r="A1728" s="25" t="str">
        <f>IFERROR(INDEX('Hun Demand'!W:W,MATCH(O1728,'Hun Demand'!A:A,0)),"")</f>
        <v/>
      </c>
      <c r="B1728" s="25" t="str">
        <f>IFERROR(INDEX('Hun Demand'!V:V,MATCH(O1728,'Hun Demand'!A:A,0)),"")</f>
        <v/>
      </c>
      <c r="C1728" s="25" t="str">
        <f>IFERROR(INDEX('Hun Demand'!U:U,MATCH(O1728,'Hun Demand'!A:A,0)),"")</f>
        <v/>
      </c>
      <c r="D1728" s="25" t="str">
        <f>IFERROR(INDEX('Hun Demand'!T:T,MATCH(O1728,'Hun Demand'!A:A,0)),"")</f>
        <v/>
      </c>
      <c r="E1728" s="25" t="str">
        <f>IFERROR(INDEX('Hun Demand'!S:S,MATCH(O1728,'Hun Demand'!A:A,0)),"")</f>
        <v/>
      </c>
      <c r="F1728" s="25" t="str">
        <f>IFERROR(INDEX('Hun Demand'!R:R,MATCH(O1728,'Hun Demand'!A:A,0)),"")</f>
        <v/>
      </c>
      <c r="G1728" s="25">
        <f>IFERROR(INDEX('Aub Demand'!W:W,MATCH(O1728,'Aub Demand'!A:A,0)),"")</f>
        <v>0</v>
      </c>
      <c r="H1728" s="25">
        <f>IFERROR(INDEX('Aub Demand'!V:V,MATCH(O1728,'Aub Demand'!A:A,0)),"")</f>
        <v>0</v>
      </c>
      <c r="I1728" s="25">
        <f>IFERROR(INDEX('Aub Demand'!U:U,MATCH(O1728,'Aub Demand'!A:A,0)),"")</f>
        <v>0</v>
      </c>
      <c r="J1728" s="25">
        <f>IFERROR(INDEX('Aub Demand'!T:T,MATCH(O1728,'Aub Demand'!A:A,0)),"")</f>
        <v>18</v>
      </c>
      <c r="K1728" s="25">
        <f>IFERROR(INDEX('Aub Demand'!S:S,MATCH(O1728,'Aub Demand'!A:A,0)),"")</f>
        <v>27</v>
      </c>
      <c r="L1728" s="25">
        <f>IFERROR(INDEX('Aub Demand'!R:R,MATCH(O1728,'Aub Demand'!A:A,0)),"")</f>
        <v>0</v>
      </c>
      <c r="O1728" s="27" t="s">
        <v>3310</v>
      </c>
      <c r="P1728" s="27" t="str">
        <f>IFERROR(INDEX('Aub Demand'!B:B,MATCH($O1728,'Aub Demand'!$A:$A,0)),"")</f>
        <v>TEA STAIN SPUN YARN</v>
      </c>
      <c r="Q1728" s="27" t="str">
        <f>IFERROR(INDEX('Aub Demand'!C:C,MATCH($O1728,'Aub Demand'!$A:$A,0)),"")</f>
        <v>DNP A</v>
      </c>
      <c r="R1728" s="52">
        <f>IFERROR(IF(AR1729=AR1728,INDEX('Aub Demand'!K:K,MATCH($O1728,'Aub Demand'!$A:$A,0))-IF(AN1728="",0,AN1728)+AP1729,INDEX('Aub Demand'!K:K,MATCH($O1728,'Aub Demand'!$A:$A,0))-IF(AN1728="",0,AN1728)),"")</f>
        <v>1752</v>
      </c>
      <c r="S1728" s="53">
        <f t="shared" si="728"/>
        <v>500.6</v>
      </c>
      <c r="T1728" s="52" t="str">
        <f t="shared" si="729"/>
        <v/>
      </c>
      <c r="U1728" s="52">
        <f>IFERROR(IF(AR1729=AR1728,INDEX('Aub Demand'!Q:Q,MATCH($O1728,'Aub Demand'!$A:$A,0))-IF(AN1728="",0,AN1728)+AP1729,INDEX('Aub Demand'!Q:Q,MATCH($O1728,'Aub Demand'!$A:$A,0))-IF(AN1728="",0,AN1728)),"")</f>
        <v>1732</v>
      </c>
      <c r="V1728" s="53">
        <f t="shared" si="730"/>
        <v>494.9</v>
      </c>
      <c r="W1728" s="52" t="str">
        <f t="shared" si="731"/>
        <v/>
      </c>
      <c r="X1728" s="52">
        <f>IFERROR(IF(AND(AR1729=AR1728,AM1728&lt;&gt;""),INDEX('Aub Demand'!Q:Q,MATCH($O1728,'Aub Demand'!$A:$A,0))-IF(AN1728="",0,AN1728)+AP1729+AD1728+AL1728,IF(AR1729=AR1728,INDEX('Aub Demand'!Q:Q,MATCH($O1728,'Aub Demand'!$A:$A,0))-IF(AN1728="",0,AN1728)+AP1729+AD1728,IF(AM1728&lt;&gt;"",INDEX('Aub Demand'!Q:Q,MATCH($O1728,'Aub Demand'!$A:$A,0))-IF(AN1728="",0,AN1728)+AD1728+AL1728,INDEX('Aub Demand'!Q:Q,MATCH($O1728,'Aub Demand'!$A:$A,0))-IF(AN1728="",0,AN1728)+AD1728))),"")</f>
        <v>1732</v>
      </c>
      <c r="Y1728" s="53">
        <f t="shared" si="732"/>
        <v>494.9</v>
      </c>
      <c r="Z1728" s="52">
        <f>IF(L1728="","",INDEX('Aub Demand'!H:H,MATCH($O1728,'Aub Demand'!$A:$A,0)))</f>
        <v>15</v>
      </c>
      <c r="AA1728" s="52">
        <f t="shared" si="733"/>
        <v>22.5</v>
      </c>
      <c r="AB1728" s="52">
        <f>IFERROR(INDEX('Aub Demand'!L:L,MATCH($O1728,'Aub Demand'!$A:$A,0)),"")</f>
        <v>0</v>
      </c>
      <c r="AC1728" s="52">
        <f>IFERROR(IF(O1728="","",SUMIFS('CPL Mats'!F:F,'CPL Mats'!Q:Q,AR1728,'CPL Mats'!S:S,AS1728)),"")</f>
        <v>0</v>
      </c>
      <c r="AF1728" s="25" t="str">
        <f>IF(SUMIFS('Supp Consol'!S:S,'Supp Consol'!Y:Y,"Releasable",'Supp Consol'!A:A,O1728)=0,"",SUMIFS('Supp Consol'!S:S,'Supp Consol'!Y:Y,"Releasable",'Supp Consol'!A:A,O1728))</f>
        <v/>
      </c>
      <c r="AG1728" s="25" t="str">
        <f>IFERROR(INDEX('Hun Demand'!Q:Q,MATCH(O1728,'Hun Demand'!A:A,0)),"")</f>
        <v/>
      </c>
      <c r="AH1728" s="25" t="str">
        <f>IFERROR(INDEX('Hun Demand'!H:H,MATCH($O1728,'Hun Demand'!$A:$A,0)),"")</f>
        <v/>
      </c>
      <c r="AI1728" s="25" t="str">
        <f>IF(SUMIFS('Supp Consol'!AA:AA,'Supp Consol'!Z:Z,"Expires this month",'Supp Consol'!A:A,O1728)=0,"",SUMIFS('Supp Consol'!AA:AA,'Supp Consol'!Z:Z,"Expires this month",'Supp Consol'!A:A,O1728))</f>
        <v/>
      </c>
      <c r="AJ1728" s="25" t="str">
        <f>IF(SUMIFS('Supp Consol'!AA:AA,'Supp Consol'!Z:Z,"Expired Previous Months",'Supp Consol'!A:A,O1728)=0,"",SUMIFS('Supp Consol'!AA:AA,'Supp Consol'!Z:Z,"Expired Previous Months",'Supp Consol'!A:A,O1728))</f>
        <v/>
      </c>
      <c r="AK1728" s="25" t="str">
        <f>IFERROR(INDEX('Hun Release Current'!B:B,MATCH(O1728,'Hun Release Current'!A:A,0)),"")</f>
        <v/>
      </c>
      <c r="AL1728" s="25" t="str">
        <f>IF(SUMIF('Prev Aub'!A:A,O1728,'Prev Aub'!B:B)=0,"",SUMIF('Prev Aub'!A:A,O1728,'Prev Aub'!B:B))</f>
        <v/>
      </c>
      <c r="AN1728" s="25" t="s">
        <v>3790</v>
      </c>
      <c r="AO1728" s="25" t="s">
        <v>3790</v>
      </c>
      <c r="AP1728" s="25">
        <f t="shared" si="734"/>
        <v>0</v>
      </c>
      <c r="AQ1728" s="151" t="str">
        <f>IF(SUMIFS('Supp Consol'!S:S,'Supp Consol'!A:A,O1728,'Supp Consol'!I:I,"PENDING")=0,"",SUMIFS('Supp Consol'!S:S,'Supp Consol'!A:A,O1728,'Supp Consol'!I:I,"PENDING"))</f>
        <v/>
      </c>
      <c r="AR1728" s="27" t="str">
        <f t="shared" si="735"/>
        <v>YSN01</v>
      </c>
      <c r="AS1728" s="27" t="str">
        <f t="shared" si="736"/>
        <v>62</v>
      </c>
      <c r="AT1728" s="27" t="str">
        <f t="shared" si="737"/>
        <v/>
      </c>
      <c r="AU1728" s="27" t="str">
        <f t="shared" si="738"/>
        <v/>
      </c>
      <c r="AV1728" s="27" t="str">
        <f t="shared" si="739"/>
        <v/>
      </c>
      <c r="AW1728" s="27" t="str">
        <f t="shared" si="740"/>
        <v/>
      </c>
      <c r="AX1728" s="27" t="str">
        <f t="shared" si="741"/>
        <v/>
      </c>
      <c r="AY1728" s="27" t="str">
        <f t="shared" si="742"/>
        <v/>
      </c>
      <c r="AZ1728" s="27" t="str">
        <f t="shared" si="743"/>
        <v/>
      </c>
      <c r="BA1728" s="27" t="str">
        <f t="shared" si="744"/>
        <v/>
      </c>
      <c r="BB1728" s="27" t="str">
        <f t="shared" si="745"/>
        <v/>
      </c>
      <c r="BC1728" s="27" t="str">
        <f t="shared" si="746"/>
        <v/>
      </c>
      <c r="BD1728" s="27" t="str">
        <f t="shared" si="747"/>
        <v/>
      </c>
      <c r="BE1728" s="27" t="str">
        <f t="shared" si="748"/>
        <v/>
      </c>
      <c r="BF1728" s="27" t="str">
        <f t="shared" si="749"/>
        <v/>
      </c>
      <c r="BG1728" s="27" t="str">
        <f t="shared" si="750"/>
        <v/>
      </c>
      <c r="BH1728" s="27" t="str">
        <f t="shared" si="751"/>
        <v/>
      </c>
      <c r="BI1728" s="27" t="str">
        <f t="shared" si="752"/>
        <v/>
      </c>
      <c r="BJ1728" s="27" t="str">
        <f t="shared" si="753"/>
        <v/>
      </c>
      <c r="BK1728" s="27" t="str">
        <f t="shared" si="754"/>
        <v/>
      </c>
      <c r="BL1728" s="27" t="str">
        <f t="shared" si="755"/>
        <v/>
      </c>
      <c r="BM1728" s="21" t="s">
        <v>5581</v>
      </c>
    </row>
    <row r="1729" spans="1:65" ht="15">
      <c r="A1729" s="25" t="str">
        <f>IFERROR(INDEX('Hun Demand'!W:W,MATCH(O1729,'Hun Demand'!A:A,0)),"")</f>
        <v/>
      </c>
      <c r="B1729" s="25" t="str">
        <f>IFERROR(INDEX('Hun Demand'!V:V,MATCH(O1729,'Hun Demand'!A:A,0)),"")</f>
        <v/>
      </c>
      <c r="C1729" s="25" t="str">
        <f>IFERROR(INDEX('Hun Demand'!U:U,MATCH(O1729,'Hun Demand'!A:A,0)),"")</f>
        <v/>
      </c>
      <c r="D1729" s="25" t="str">
        <f>IFERROR(INDEX('Hun Demand'!T:T,MATCH(O1729,'Hun Demand'!A:A,0)),"")</f>
        <v/>
      </c>
      <c r="E1729" s="25" t="str">
        <f>IFERROR(INDEX('Hun Demand'!S:S,MATCH(O1729,'Hun Demand'!A:A,0)),"")</f>
        <v/>
      </c>
      <c r="F1729" s="25" t="str">
        <f>IFERROR(INDEX('Hun Demand'!R:R,MATCH(O1729,'Hun Demand'!A:A,0)),"")</f>
        <v/>
      </c>
      <c r="G1729" s="25">
        <f>IFERROR(INDEX('Aub Demand'!W:W,MATCH(O1729,'Aub Demand'!A:A,0)),"")</f>
        <v>0</v>
      </c>
      <c r="H1729" s="25">
        <f>IFERROR(INDEX('Aub Demand'!V:V,MATCH(O1729,'Aub Demand'!A:A,0)),"")</f>
        <v>25</v>
      </c>
      <c r="I1729" s="25">
        <f>IFERROR(INDEX('Aub Demand'!U:U,MATCH(O1729,'Aub Demand'!A:A,0)),"")</f>
        <v>120</v>
      </c>
      <c r="J1729" s="25">
        <f>IFERROR(INDEX('Aub Demand'!T:T,MATCH(O1729,'Aub Demand'!A:A,0)),"")</f>
        <v>0</v>
      </c>
      <c r="K1729" s="25">
        <f>IFERROR(INDEX('Aub Demand'!S:S,MATCH(O1729,'Aub Demand'!A:A,0)),"")</f>
        <v>197</v>
      </c>
      <c r="L1729" s="25">
        <f>IFERROR(INDEX('Aub Demand'!R:R,MATCH(O1729,'Aub Demand'!A:A,0)),"")</f>
        <v>0</v>
      </c>
      <c r="O1729" s="27" t="s">
        <v>3311</v>
      </c>
      <c r="P1729" s="27" t="str">
        <f>IFERROR(INDEX('Aub Demand'!B:B,MATCH($O1729,'Aub Demand'!$A:$A,0)),"")</f>
        <v>PURE SPUN YARN</v>
      </c>
      <c r="Q1729" s="27" t="str">
        <f>IFERROR(INDEX('Aub Demand'!C:C,MATCH($O1729,'Aub Demand'!$A:$A,0)),"")</f>
        <v>DNP A</v>
      </c>
      <c r="R1729" s="52">
        <f>IFERROR(IF(AR1730=AR1729,INDEX('Aub Demand'!K:K,MATCH($O1729,'Aub Demand'!$A:$A,0))-IF(AN1729="",0,AN1729)+AP1730,INDEX('Aub Demand'!K:K,MATCH($O1729,'Aub Demand'!$A:$A,0))-IF(AN1729="",0,AN1729)),"")</f>
        <v>0</v>
      </c>
      <c r="S1729" s="53">
        <f t="shared" si="728"/>
        <v>0</v>
      </c>
      <c r="T1729" s="52">
        <f t="shared" si="729"/>
        <v>118.875</v>
      </c>
      <c r="U1729" s="52">
        <f>IFERROR(IF(AR1730=AR1729,INDEX('Aub Demand'!Q:Q,MATCH($O1729,'Aub Demand'!$A:$A,0))-IF(AN1729="",0,AN1729)+AP1730,INDEX('Aub Demand'!Q:Q,MATCH($O1729,'Aub Demand'!$A:$A,0))-IF(AN1729="",0,AN1729)),"")</f>
        <v>-7</v>
      </c>
      <c r="V1729" s="53">
        <f t="shared" si="730"/>
        <v>-0.3</v>
      </c>
      <c r="W1729" s="52">
        <f t="shared" si="731"/>
        <v>130.76249999999999</v>
      </c>
      <c r="X1729" s="52">
        <f>IFERROR(IF(AND(AR1730=AR1729,AM1729&lt;&gt;""),INDEX('Aub Demand'!Q:Q,MATCH($O1729,'Aub Demand'!$A:$A,0))-IF(AN1729="",0,AN1729)+AP1730+AD1729+AL1729,IF(AR1730=AR1729,INDEX('Aub Demand'!Q:Q,MATCH($O1729,'Aub Demand'!$A:$A,0))-IF(AN1729="",0,AN1729)+AP1730+AD1729,IF(AM1729&lt;&gt;"",INDEX('Aub Demand'!Q:Q,MATCH($O1729,'Aub Demand'!$A:$A,0))-IF(AN1729="",0,AN1729)+AD1729+AL1729,INDEX('Aub Demand'!Q:Q,MATCH($O1729,'Aub Demand'!$A:$A,0))-IF(AN1729="",0,AN1729)+AD1729))),"")</f>
        <v>-7</v>
      </c>
      <c r="Y1729" s="53">
        <f t="shared" si="732"/>
        <v>-0.3</v>
      </c>
      <c r="Z1729" s="52">
        <f>IF(L1729="","",INDEX('Aub Demand'!H:H,MATCH($O1729,'Aub Demand'!$A:$A,0)))</f>
        <v>106</v>
      </c>
      <c r="AA1729" s="52">
        <f t="shared" si="733"/>
        <v>158.5</v>
      </c>
      <c r="AB1729" s="52">
        <f>IFERROR(INDEX('Aub Demand'!L:L,MATCH($O1729,'Aub Demand'!$A:$A,0)),"")</f>
        <v>29</v>
      </c>
      <c r="AC1729" s="52">
        <f>IFERROR(IF(O1729="","",SUMIFS('CPL Mats'!F:F,'CPL Mats'!Q:Q,AR1729,'CPL Mats'!S:S,AS1729)),"")</f>
        <v>0</v>
      </c>
      <c r="AF1729" s="25" t="str">
        <f>IF(SUMIFS('Supp Consol'!S:S,'Supp Consol'!Y:Y,"Releasable",'Supp Consol'!A:A,O1729)=0,"",SUMIFS('Supp Consol'!S:S,'Supp Consol'!Y:Y,"Releasable",'Supp Consol'!A:A,O1729))</f>
        <v/>
      </c>
      <c r="AG1729" s="25" t="str">
        <f>IFERROR(INDEX('Hun Demand'!Q:Q,MATCH(O1729,'Hun Demand'!A:A,0)),"")</f>
        <v/>
      </c>
      <c r="AH1729" s="25" t="str">
        <f>IFERROR(INDEX('Hun Demand'!H:H,MATCH($O1729,'Hun Demand'!$A:$A,0)),"")</f>
        <v/>
      </c>
      <c r="AI1729" s="25" t="str">
        <f>IF(SUMIFS('Supp Consol'!AA:AA,'Supp Consol'!Z:Z,"Expires this month",'Supp Consol'!A:A,O1729)=0,"",SUMIFS('Supp Consol'!AA:AA,'Supp Consol'!Z:Z,"Expires this month",'Supp Consol'!A:A,O1729))</f>
        <v/>
      </c>
      <c r="AJ1729" s="25" t="str">
        <f>IF(SUMIFS('Supp Consol'!AA:AA,'Supp Consol'!Z:Z,"Expired Previous Months",'Supp Consol'!A:A,O1729)=0,"",SUMIFS('Supp Consol'!AA:AA,'Supp Consol'!Z:Z,"Expired Previous Months",'Supp Consol'!A:A,O1729))</f>
        <v/>
      </c>
      <c r="AK1729" s="25" t="str">
        <f>IFERROR(INDEX('Hun Release Current'!B:B,MATCH(O1729,'Hun Release Current'!A:A,0)),"")</f>
        <v/>
      </c>
      <c r="AL1729" s="25" t="str">
        <f>IF(SUMIF('Prev Aub'!A:A,O1729,'Prev Aub'!B:B)=0,"",SUMIF('Prev Aub'!A:A,O1729,'Prev Aub'!B:B))</f>
        <v/>
      </c>
      <c r="AN1729" s="25" t="s">
        <v>3790</v>
      </c>
      <c r="AO1729" s="25" t="s">
        <v>3790</v>
      </c>
      <c r="AP1729" s="25">
        <f t="shared" si="734"/>
        <v>0</v>
      </c>
      <c r="AQ1729" s="151" t="str">
        <f>IF(SUMIFS('Supp Consol'!S:S,'Supp Consol'!A:A,O1729,'Supp Consol'!I:I,"PENDING")=0,"",SUMIFS('Supp Consol'!S:S,'Supp Consol'!A:A,O1729,'Supp Consol'!I:I,"PENDING"))</f>
        <v/>
      </c>
      <c r="AR1729" s="27" t="str">
        <f t="shared" si="735"/>
        <v>YSN02</v>
      </c>
      <c r="AS1729" s="27" t="str">
        <f t="shared" si="736"/>
        <v>50</v>
      </c>
      <c r="AT1729" s="27" t="str">
        <f t="shared" si="737"/>
        <v>YSN02</v>
      </c>
      <c r="AU1729" s="27" t="str">
        <f t="shared" si="738"/>
        <v>YSN02</v>
      </c>
      <c r="AV1729" s="27" t="str">
        <f t="shared" si="739"/>
        <v>YSN02</v>
      </c>
      <c r="AW1729" s="27" t="str">
        <f t="shared" si="740"/>
        <v/>
      </c>
      <c r="AX1729" s="27" t="str">
        <f t="shared" si="741"/>
        <v/>
      </c>
      <c r="AY1729" s="27" t="str">
        <f t="shared" si="742"/>
        <v/>
      </c>
      <c r="AZ1729" s="27" t="str">
        <f t="shared" si="743"/>
        <v/>
      </c>
      <c r="BA1729" s="27" t="str">
        <f t="shared" si="744"/>
        <v/>
      </c>
      <c r="BB1729" s="27" t="str">
        <f t="shared" si="745"/>
        <v>Gross</v>
      </c>
      <c r="BC1729" s="27" t="str">
        <f t="shared" si="746"/>
        <v>Net</v>
      </c>
      <c r="BD1729" s="27" t="str">
        <f t="shared" si="747"/>
        <v>Net</v>
      </c>
      <c r="BE1729" s="27" t="str">
        <f t="shared" si="748"/>
        <v/>
      </c>
      <c r="BF1729" s="27" t="str">
        <f t="shared" si="749"/>
        <v/>
      </c>
      <c r="BG1729" s="27" t="str">
        <f t="shared" si="750"/>
        <v/>
      </c>
      <c r="BH1729" s="27" t="str">
        <f t="shared" si="751"/>
        <v/>
      </c>
      <c r="BI1729" s="27" t="str">
        <f t="shared" si="752"/>
        <v/>
      </c>
      <c r="BJ1729" s="27" t="str">
        <f t="shared" si="753"/>
        <v/>
      </c>
      <c r="BK1729" s="27" t="str">
        <f t="shared" si="754"/>
        <v/>
      </c>
      <c r="BL1729" s="27" t="str">
        <f t="shared" si="755"/>
        <v/>
      </c>
      <c r="BM1729" s="21" t="s">
        <v>5581</v>
      </c>
    </row>
    <row r="1730" spans="1:65" ht="15">
      <c r="A1730" s="25" t="str">
        <f>IFERROR(INDEX('Hun Demand'!W:W,MATCH(O1730,'Hun Demand'!A:A,0)),"")</f>
        <v/>
      </c>
      <c r="B1730" s="25" t="str">
        <f>IFERROR(INDEX('Hun Demand'!V:V,MATCH(O1730,'Hun Demand'!A:A,0)),"")</f>
        <v/>
      </c>
      <c r="C1730" s="25" t="str">
        <f>IFERROR(INDEX('Hun Demand'!U:U,MATCH(O1730,'Hun Demand'!A:A,0)),"")</f>
        <v/>
      </c>
      <c r="D1730" s="25" t="str">
        <f>IFERROR(INDEX('Hun Demand'!T:T,MATCH(O1730,'Hun Demand'!A:A,0)),"")</f>
        <v/>
      </c>
      <c r="E1730" s="25" t="str">
        <f>IFERROR(INDEX('Hun Demand'!S:S,MATCH(O1730,'Hun Demand'!A:A,0)),"")</f>
        <v/>
      </c>
      <c r="F1730" s="25" t="str">
        <f>IFERROR(INDEX('Hun Demand'!R:R,MATCH(O1730,'Hun Demand'!A:A,0)),"")</f>
        <v/>
      </c>
      <c r="G1730" s="25">
        <f>IFERROR(INDEX('Aub Demand'!W:W,MATCH(O1730,'Aub Demand'!A:A,0)),"")</f>
        <v>209</v>
      </c>
      <c r="H1730" s="25">
        <f>IFERROR(INDEX('Aub Demand'!V:V,MATCH(O1730,'Aub Demand'!A:A,0)),"")</f>
        <v>0</v>
      </c>
      <c r="I1730" s="25">
        <f>IFERROR(INDEX('Aub Demand'!U:U,MATCH(O1730,'Aub Demand'!A:A,0)),"")</f>
        <v>0</v>
      </c>
      <c r="J1730" s="25">
        <f>IFERROR(INDEX('Aub Demand'!T:T,MATCH(O1730,'Aub Demand'!A:A,0)),"")</f>
        <v>0</v>
      </c>
      <c r="K1730" s="25">
        <f>IFERROR(INDEX('Aub Demand'!S:S,MATCH(O1730,'Aub Demand'!A:A,0)),"")</f>
        <v>0</v>
      </c>
      <c r="L1730" s="25">
        <f>IFERROR(INDEX('Aub Demand'!R:R,MATCH(O1730,'Aub Demand'!A:A,0)),"")</f>
        <v>0</v>
      </c>
      <c r="O1730" s="27" t="s">
        <v>3314</v>
      </c>
      <c r="P1730" s="27" t="str">
        <f>IFERROR(INDEX('Aub Demand'!B:B,MATCH($O1730,'Aub Demand'!$A:$A,0)),"")</f>
        <v>PURE SPUN YARN 60"</v>
      </c>
      <c r="Q1730" s="27" t="str">
        <f>IFERROR(INDEX('Aub Demand'!C:C,MATCH($O1730,'Aub Demand'!$A:$A,0)),"")</f>
        <v>DNP A</v>
      </c>
      <c r="R1730" s="52">
        <f>IFERROR(IF(AR1731=AR1730,INDEX('Aub Demand'!K:K,MATCH($O1730,'Aub Demand'!$A:$A,0))-IF(AN1730="",0,AN1730)+AP1731,INDEX('Aub Demand'!K:K,MATCH($O1730,'Aub Demand'!$A:$A,0))-IF(AN1730="",0,AN1730)),"")</f>
        <v>416</v>
      </c>
      <c r="S1730" s="53" t="str">
        <f t="shared" si="728"/>
        <v>n/a</v>
      </c>
      <c r="T1730" s="52" t="str">
        <f t="shared" si="729"/>
        <v/>
      </c>
      <c r="U1730" s="52">
        <f>IFERROR(IF(AR1731=AR1730,INDEX('Aub Demand'!Q:Q,MATCH($O1730,'Aub Demand'!$A:$A,0))-IF(AN1730="",0,AN1730)+AP1731,INDEX('Aub Demand'!Q:Q,MATCH($O1730,'Aub Demand'!$A:$A,0))-IF(AN1730="",0,AN1730)),"")</f>
        <v>416</v>
      </c>
      <c r="V1730" s="53" t="str">
        <f t="shared" si="730"/>
        <v>n/a</v>
      </c>
      <c r="W1730" s="52" t="str">
        <f t="shared" si="731"/>
        <v/>
      </c>
      <c r="X1730" s="52">
        <f>IFERROR(IF(AND(AR1731=AR1730,AM1730&lt;&gt;""),INDEX('Aub Demand'!Q:Q,MATCH($O1730,'Aub Demand'!$A:$A,0))-IF(AN1730="",0,AN1730)+AP1731+AD1730+AL1730,IF(AR1731=AR1730,INDEX('Aub Demand'!Q:Q,MATCH($O1730,'Aub Demand'!$A:$A,0))-IF(AN1730="",0,AN1730)+AP1731+AD1730,IF(AM1730&lt;&gt;"",INDEX('Aub Demand'!Q:Q,MATCH($O1730,'Aub Demand'!$A:$A,0))-IF(AN1730="",0,AN1730)+AD1730+AL1730,INDEX('Aub Demand'!Q:Q,MATCH($O1730,'Aub Demand'!$A:$A,0))-IF(AN1730="",0,AN1730)+AD1730))),"")</f>
        <v>416</v>
      </c>
      <c r="Y1730" s="53" t="str">
        <f t="shared" si="732"/>
        <v>n/a</v>
      </c>
      <c r="Z1730" s="52">
        <f>IF(L1730="","",INDEX('Aub Demand'!H:H,MATCH($O1730,'Aub Demand'!$A:$A,0)))</f>
        <v>0</v>
      </c>
      <c r="AA1730" s="52" t="str">
        <f t="shared" si="733"/>
        <v>-spike-</v>
      </c>
      <c r="AB1730" s="52">
        <f>IFERROR(INDEX('Aub Demand'!L:L,MATCH($O1730,'Aub Demand'!$A:$A,0)),"")</f>
        <v>36</v>
      </c>
      <c r="AC1730" s="52">
        <f>IFERROR(IF(O1730="","",SUMIFS('CPL Mats'!F:F,'CPL Mats'!Q:Q,AR1730,'CPL Mats'!S:S,AS1730)),"")</f>
        <v>0</v>
      </c>
      <c r="AF1730" s="25" t="str">
        <f>IF(SUMIFS('Supp Consol'!S:S,'Supp Consol'!Y:Y,"Releasable",'Supp Consol'!A:A,O1730)=0,"",SUMIFS('Supp Consol'!S:S,'Supp Consol'!Y:Y,"Releasable",'Supp Consol'!A:A,O1730))</f>
        <v/>
      </c>
      <c r="AG1730" s="25" t="str">
        <f>IFERROR(INDEX('Hun Demand'!Q:Q,MATCH(O1730,'Hun Demand'!A:A,0)),"")</f>
        <v/>
      </c>
      <c r="AH1730" s="25" t="str">
        <f>IFERROR(INDEX('Hun Demand'!H:H,MATCH($O1730,'Hun Demand'!$A:$A,0)),"")</f>
        <v/>
      </c>
      <c r="AI1730" s="25" t="str">
        <f>IF(SUMIFS('Supp Consol'!AA:AA,'Supp Consol'!Z:Z,"Expires this month",'Supp Consol'!A:A,O1730)=0,"",SUMIFS('Supp Consol'!AA:AA,'Supp Consol'!Z:Z,"Expires this month",'Supp Consol'!A:A,O1730))</f>
        <v/>
      </c>
      <c r="AJ1730" s="25" t="str">
        <f>IF(SUMIFS('Supp Consol'!AA:AA,'Supp Consol'!Z:Z,"Expired Previous Months",'Supp Consol'!A:A,O1730)=0,"",SUMIFS('Supp Consol'!AA:AA,'Supp Consol'!Z:Z,"Expired Previous Months",'Supp Consol'!A:A,O1730))</f>
        <v/>
      </c>
      <c r="AK1730" s="25" t="str">
        <f>IFERROR(INDEX('Hun Release Current'!B:B,MATCH(O1730,'Hun Release Current'!A:A,0)),"")</f>
        <v/>
      </c>
      <c r="AL1730" s="25" t="str">
        <f>IF(SUMIF('Prev Aub'!A:A,O1730,'Prev Aub'!B:B)=0,"",SUMIF('Prev Aub'!A:A,O1730,'Prev Aub'!B:B))</f>
        <v/>
      </c>
      <c r="AN1730" s="25" t="s">
        <v>3790</v>
      </c>
      <c r="AO1730" s="25" t="s">
        <v>3790</v>
      </c>
      <c r="AP1730" s="25">
        <f t="shared" si="734"/>
        <v>0</v>
      </c>
      <c r="AQ1730" s="151" t="str">
        <f>IF(SUMIFS('Supp Consol'!S:S,'Supp Consol'!A:A,O1730,'Supp Consol'!I:I,"PENDING")=0,"",SUMIFS('Supp Consol'!S:S,'Supp Consol'!A:A,O1730,'Supp Consol'!I:I,"PENDING"))</f>
        <v/>
      </c>
      <c r="AR1730" s="27" t="str">
        <f t="shared" si="735"/>
        <v>YSN02</v>
      </c>
      <c r="AS1730" s="27" t="str">
        <f t="shared" si="736"/>
        <v>62</v>
      </c>
      <c r="AT1730" s="27" t="str">
        <f t="shared" si="737"/>
        <v/>
      </c>
      <c r="AU1730" s="27" t="str">
        <f t="shared" si="738"/>
        <v/>
      </c>
      <c r="AV1730" s="27" t="str">
        <f t="shared" si="739"/>
        <v/>
      </c>
      <c r="AW1730" s="27" t="str">
        <f t="shared" si="740"/>
        <v/>
      </c>
      <c r="AX1730" s="27" t="str">
        <f t="shared" si="741"/>
        <v/>
      </c>
      <c r="AY1730" s="27" t="str">
        <f t="shared" si="742"/>
        <v/>
      </c>
      <c r="AZ1730" s="27" t="str">
        <f t="shared" si="743"/>
        <v/>
      </c>
      <c r="BA1730" s="27" t="str">
        <f t="shared" si="744"/>
        <v/>
      </c>
      <c r="BB1730" s="27" t="str">
        <f t="shared" si="745"/>
        <v>Gross</v>
      </c>
      <c r="BC1730" s="27" t="str">
        <f t="shared" si="746"/>
        <v>Net</v>
      </c>
      <c r="BD1730" s="27" t="str">
        <f t="shared" si="747"/>
        <v>Net</v>
      </c>
      <c r="BE1730" s="27" t="str">
        <f t="shared" si="748"/>
        <v/>
      </c>
      <c r="BF1730" s="27" t="str">
        <f t="shared" si="749"/>
        <v/>
      </c>
      <c r="BG1730" s="27" t="str">
        <f t="shared" si="750"/>
        <v/>
      </c>
      <c r="BH1730" s="27" t="str">
        <f t="shared" si="751"/>
        <v/>
      </c>
      <c r="BI1730" s="27" t="str">
        <f t="shared" si="752"/>
        <v/>
      </c>
      <c r="BJ1730" s="27" t="str">
        <f t="shared" si="753"/>
        <v/>
      </c>
      <c r="BK1730" s="27" t="str">
        <f t="shared" si="754"/>
        <v/>
      </c>
      <c r="BL1730" s="27" t="str">
        <f t="shared" si="755"/>
        <v/>
      </c>
      <c r="BM1730" s="21" t="s">
        <v>5581</v>
      </c>
    </row>
    <row r="1731" spans="1:65" ht="15">
      <c r="A1731" s="25" t="str">
        <f>IFERROR(INDEX(#REF!,MATCH(O1731,#REF!,0)),"")</f>
        <v/>
      </c>
      <c r="B1731" s="25" t="str">
        <f>IFERROR(INDEX(#REF!,MATCH(O1731,#REF!,0)),"")</f>
        <v/>
      </c>
      <c r="C1731" s="25" t="str">
        <f>IFERROR(INDEX(#REF!,MATCH(O1731,#REF!,0)),"")</f>
        <v/>
      </c>
      <c r="D1731" s="25" t="str">
        <f>IFERROR(INDEX(#REF!,MATCH(O1731,#REF!,0)),"")</f>
        <v/>
      </c>
      <c r="E1731" s="25" t="str">
        <f>IFERROR(INDEX(#REF!,MATCH(O1731,#REF!,0)),"")</f>
        <v/>
      </c>
      <c r="F1731" s="25" t="str">
        <f>IFERROR(INDEX(#REF!,MATCH(O1731,#REF!,0)),"")</f>
        <v/>
      </c>
      <c r="G1731" s="25" t="str">
        <f>IFERROR(INDEX(#REF!,MATCH(O1731,#REF!,0)),"")</f>
        <v/>
      </c>
      <c r="H1731" s="25" t="str">
        <f>IFERROR(INDEX(#REF!,MATCH(O1731,#REF!,0)),"")</f>
        <v/>
      </c>
      <c r="I1731" s="25" t="str">
        <f>IFERROR(INDEX(#REF!,MATCH(O1731,#REF!,0)),"")</f>
        <v/>
      </c>
      <c r="J1731" s="25" t="str">
        <f>IFERROR(INDEX(#REF!,MATCH(O1731,#REF!,0)),"")</f>
        <v/>
      </c>
      <c r="K1731" s="25" t="str">
        <f>IFERROR(INDEX(#REF!,MATCH(O1731,#REF!,0)),"")</f>
        <v/>
      </c>
      <c r="L1731" s="25" t="str">
        <f>IFERROR(INDEX(#REF!,MATCH(O1731,#REF!,0)),"")</f>
        <v/>
      </c>
      <c r="P1731" s="27" t="str">
        <f>IFERROR(INDEX(#REF!,MATCH($O1731,#REF!,0)),"")</f>
        <v/>
      </c>
      <c r="Q1731" s="27" t="str">
        <f>IFERROR(INDEX(#REF!,MATCH($O1731,#REF!,0)),"")</f>
        <v/>
      </c>
      <c r="R1731" s="52" t="str">
        <f>IFERROR(IF(AR1732=AR1731,INDEX(#REF!,MATCH($O1731,#REF!,0))-IF(AN1731="",0,AN1731)+AP1732,INDEX(#REF!,MATCH($O1731,#REF!,0))-IF(AN1731="",0,AN1731)),"")</f>
        <v/>
      </c>
      <c r="S1731" s="53" t="str">
        <f t="shared" ref="S1731" si="756">IFERROR(IF(O1731="","",ROUND(R1731/((Z1731/30)*7),1)),"n/a")</f>
        <v/>
      </c>
      <c r="T1731" s="52" t="str">
        <f t="shared" ref="T1731" si="757">IFERROR(IF(S1731&lt;3.1,IF(AA1731="spike",(3-S1731)*(Z1731/4),(3-S1731)*(AA1731/4)),""),"")</f>
        <v/>
      </c>
      <c r="U1731" s="52" t="str">
        <f>IFERROR(IF(AR1732=AR1731,INDEX(#REF!,MATCH($O1731,#REF!,0))-IF(AN1731="",0,AN1731)+AP1732,INDEX(#REF!,MATCH($O1731,#REF!,0))-IF(AN1731="",0,AN1731)),"")</f>
        <v/>
      </c>
      <c r="V1731" s="53" t="str">
        <f t="shared" ref="V1731" si="758">IFERROR(IF(O1731="","",ROUND(U1731/((Z1731/30)*7),1)),"n/a")</f>
        <v/>
      </c>
      <c r="W1731" s="52" t="str">
        <f t="shared" ref="W1731" si="759">IF(IFERROR(IF(V1731&lt;3.1,IF(AA1731="spike",(3-V1731)*(Z1731/4),(3-V1731)*(AA1731/4)),""),"")&lt;0,0,IFERROR(IF(V1731&lt;3.1,IF(AA1731="spike",(3-V1731)*(Z1731/4),(3-V1731)*(AA1731/4)),""),""))</f>
        <v/>
      </c>
      <c r="X1731" s="52" t="str">
        <f>IFERROR(IF(AND(AR1732=AR1731,AM1731&lt;&gt;""),INDEX('Aub Demand'!Q:Q,MATCH($O1731,'Aub Demand'!$A:$A,0))-IF(AN1731="",0,AN1731)+AP1732+AD1731+AL1731,IF(AR1732=AR1731,INDEX('Aub Demand'!Q:Q,MATCH($O1731,'Aub Demand'!$A:$A,0))-IF(AN1731="",0,AN1731)+AP1732+AD1731,IF(AM1731&lt;&gt;"",INDEX('Aub Demand'!Q:Q,MATCH($O1731,'Aub Demand'!$A:$A,0))-IF(AN1731="",0,AN1731)+AD1731+AL1731,INDEX('Aub Demand'!Q:Q,MATCH($O1731,'Aub Demand'!$A:$A,0))-IF(AN1731="",0,AN1731)+AD1731))),"")</f>
        <v/>
      </c>
      <c r="Y1731" s="53" t="str">
        <f t="shared" ref="Y1731" si="760">IFERROR(IF(O1731="","",ROUND(X1731/((Z1731/30)*7),1)),"n/a")</f>
        <v/>
      </c>
      <c r="Z1731" s="52" t="str">
        <f>IF(L1731="","",INDEX(#REF!,MATCH($O1731,#REF!,0)))</f>
        <v/>
      </c>
      <c r="AA1731" s="52" t="str">
        <f t="shared" ref="AA1731" si="761">IF(L1731="","",IF(LARGE(I1731:L1731,2)=0,"-spike-",AVERAGE(LARGE(I1731:L1731,1),LARGE(I1731:L1731,2))))</f>
        <v/>
      </c>
      <c r="AB1731" s="52" t="str">
        <f>IFERROR(INDEX(#REF!,MATCH($O1731,#REF!,0)),"")</f>
        <v/>
      </c>
      <c r="AC1731" s="52" t="str">
        <f>IFERROR(IF(O1731="","",SUMIFS('CPL Mats'!F:F,'CPL Mats'!Q:Q,AR1731,'CPL Mats'!S:S,AS1731)),"")</f>
        <v/>
      </c>
      <c r="AF1731" s="25" t="e">
        <f>IF(SUMIFS(#REF!,#REF!,"Releasable",#REF!,O1731)=0,"",SUMIFS(#REF!,#REF!,"Releasable",#REF!,O1731))</f>
        <v>#REF!</v>
      </c>
      <c r="AG1731" s="25" t="str">
        <f>IFERROR(INDEX(#REF!,MATCH(O1731,#REF!,0)),"")</f>
        <v/>
      </c>
      <c r="AH1731" s="25" t="str">
        <f>IFERROR(INDEX(#REF!,MATCH($O1731,#REF!,0)),"")</f>
        <v/>
      </c>
      <c r="AI1731" s="25" t="e">
        <f>IF(SUMIFS(#REF!,#REF!,"Expires this month",#REF!,O1731)=0,"",SUMIFS(#REF!,#REF!,"Expires this month",#REF!,O1731))</f>
        <v>#REF!</v>
      </c>
      <c r="AJ1731" s="25" t="e">
        <f>IF(SUMIFS(#REF!,#REF!,"Expired Previous Months",#REF!,O1731)=0,"",SUMIFS(#REF!,#REF!,"Expired Previous Months",#REF!,O1731))</f>
        <v>#REF!</v>
      </c>
      <c r="AK1731" s="25" t="str">
        <f>IFERROR(INDEX('Hun Release Current'!B:B,MATCH(O1731,'Hun Release Current'!A:A,0)),"")</f>
        <v/>
      </c>
      <c r="AL1731" s="25" t="str">
        <f>IF(SUMIF('Prev Aub'!A:A,O1731,'Prev Aub'!B:B)=0,"",SUMIF('Prev Aub'!A:A,O1731,'Prev Aub'!B:B))</f>
        <v/>
      </c>
      <c r="AN1731" s="25" t="s">
        <v>3790</v>
      </c>
      <c r="AO1731" s="25" t="s">
        <v>3790</v>
      </c>
      <c r="AP1731" s="25" t="str">
        <f t="shared" ref="AP1731" si="762">IFERROR(IF(O1731="","",IF(AN1731="",0,VALUE(AN1731)-(VALUE(AN1731)*0.2))),"")</f>
        <v/>
      </c>
      <c r="AQ1731" s="151" t="e">
        <f>IF(SUMIFS(#REF!,#REF!,O1731,#REF!,"PENDING")=0,"",SUMIFS(#REF!,#REF!,O1731,#REF!,"PENDING"))</f>
        <v>#REF!</v>
      </c>
      <c r="AR1731" s="27" t="str">
        <f t="shared" ref="AR1731" si="763">MID(O1731,4,5)</f>
        <v/>
      </c>
      <c r="AS1731" s="27" t="str">
        <f t="shared" ref="AS1731" si="764">MID(O1731,10,2)</f>
        <v/>
      </c>
      <c r="AT1731" s="27" t="str">
        <f t="shared" ref="AT1731" si="765">IF(S1731&lt;3.1,AR1731,"")</f>
        <v/>
      </c>
      <c r="AU1731" s="27" t="str">
        <f t="shared" ref="AU1731" si="766">IF(Y1731&lt;3.1,AR1731,"")</f>
        <v/>
      </c>
      <c r="AV1731" s="27" t="str">
        <f t="shared" ref="AV1731" si="767">IF(AND(AA1731="Spike",L1731=0,K1731=0,X1731&gt;=0),"",IF(Y1731&lt;3.1,AR1731,""))</f>
        <v/>
      </c>
      <c r="AW1731" s="27" t="e">
        <f t="shared" ref="AW1731" si="768">IF(AI1731=AL1731,"",IF(OR(AI1731&lt;&gt;"",AJ1731&lt;&gt;""),AR1731,""))</f>
        <v>#REF!</v>
      </c>
      <c r="AX1731" s="27" t="e">
        <f t="shared" ref="AX1731" si="769">IF(AF1731&lt;&gt;"",AR1731,"")</f>
        <v>#REF!</v>
      </c>
      <c r="AY1731" s="27" t="str">
        <f t="shared" ref="AY1731" si="770">IF(AND(AG1731&lt;&gt;"",AG1731&gt;AH1731),AR1731,"")</f>
        <v/>
      </c>
      <c r="AZ1731" s="27" t="str">
        <f t="shared" ref="AZ1731" si="771">IFERROR(IF(O1731="","",IF(ISERROR(MATCH(AR1731,AX:AX,0)),"","Supp")),"")</f>
        <v/>
      </c>
      <c r="BA1731" s="27" t="str">
        <f t="shared" ref="BA1731" si="772">IFERROR(IF(O1731="","",IF(ISERROR(MATCH(AR1731,AY:AY,0)),"","Hun")),"")</f>
        <v/>
      </c>
      <c r="BB1731" s="27" t="str">
        <f t="shared" ref="BB1731" si="773">IFERROR(IF(O1731="","",IF(ISERROR(MATCH(AR1731,AT:AT,0)),"","Gross")),"")</f>
        <v/>
      </c>
      <c r="BC1731" s="27" t="str">
        <f t="shared" ref="BC1731" si="774">IFERROR(IF(O1731="","",IF(ISERROR(MATCH(AR1731,AU:AU,0)),"","Net")),"")</f>
        <v/>
      </c>
      <c r="BD1731" s="27" t="str">
        <f t="shared" ref="BD1731" si="775">IFERROR(IF(O1731="","",IF(ISERROR(MATCH(AR1731,AV:AV,0)),"","Net")),"")</f>
        <v/>
      </c>
      <c r="BE1731" s="27" t="str">
        <f t="shared" ref="BE1731" si="776">IFERROR(IF(O1731="","",IF(ISERROR(MATCH(AR1731,AW:AW,0)),"","Exp")),"")</f>
        <v/>
      </c>
      <c r="BF1731" s="27" t="str">
        <f t="shared" ref="BF1731" si="777">IFERROR(IF(O1731="","",IF(AND(AZ1731="Supp",BC1731="Net"),"S+N","")),"")</f>
        <v/>
      </c>
      <c r="BG1731" s="27" t="str">
        <f t="shared" ref="BG1731" si="778">IFERROR(IF(O1731="","",IF(OR(BE1731&lt;&gt;"",BF1731&lt;&gt;""),"S+NorE","")),"")</f>
        <v/>
      </c>
      <c r="BH1731" s="27" t="str">
        <f t="shared" ref="BH1731" si="779">IFERROR(IF(O1731="","",IF(AND(BA1731&lt;&gt;"",BC1731&lt;&gt;""),"H+N","")),"")</f>
        <v/>
      </c>
      <c r="BI1731" s="27" t="str">
        <f t="shared" ref="BI1731" si="780">IFERROR(IF(O1731="","",IF(AND(BA1731&lt;&gt;"",BD1731&lt;&gt;""),"H+Nex","")),"")</f>
        <v/>
      </c>
      <c r="BJ1731" s="27" t="str">
        <f t="shared" ref="BJ1731" si="781">IF(OR(AZ1731&lt;&gt;"",BA1731&lt;&gt;""),"Supp or Hun","")</f>
        <v/>
      </c>
      <c r="BK1731" s="27" t="str">
        <f t="shared" ref="BK1731" si="782">IF(AND(BJ1731&lt;&gt;"",BC1731&lt;&gt;""),"Supp or Hun Need","")</f>
        <v/>
      </c>
      <c r="BL1731" s="27" t="str">
        <f t="shared" ref="BL1731" si="783">IF(OR(BK1731&lt;&gt;"",BE1731&lt;&gt;""),"SorHandNandE","")</f>
        <v/>
      </c>
      <c r="BM1731" s="21" t="s">
        <v>3790</v>
      </c>
    </row>
    <row r="1732" spans="1:65" ht="15">
      <c r="A1732" s="25" t="str">
        <f>IFERROR(INDEX(#REF!,MATCH(O1732,#REF!,0)),"")</f>
        <v/>
      </c>
      <c r="B1732" s="25" t="str">
        <f>IFERROR(INDEX(#REF!,MATCH(O1732,#REF!,0)),"")</f>
        <v/>
      </c>
      <c r="C1732" s="25" t="str">
        <f>IFERROR(INDEX(#REF!,MATCH(O1732,#REF!,0)),"")</f>
        <v/>
      </c>
      <c r="D1732" s="25" t="str">
        <f>IFERROR(INDEX(#REF!,MATCH(O1732,#REF!,0)),"")</f>
        <v/>
      </c>
      <c r="E1732" s="25" t="str">
        <f>IFERROR(INDEX(#REF!,MATCH(O1732,#REF!,0)),"")</f>
        <v/>
      </c>
      <c r="F1732" s="25" t="str">
        <f>IFERROR(INDEX(#REF!,MATCH(O1732,#REF!,0)),"")</f>
        <v/>
      </c>
      <c r="G1732" s="25" t="str">
        <f>IFERROR(INDEX(#REF!,MATCH(O1732,#REF!,0)),"")</f>
        <v/>
      </c>
      <c r="H1732" s="25" t="str">
        <f>IFERROR(INDEX(#REF!,MATCH(O1732,#REF!,0)),"")</f>
        <v/>
      </c>
      <c r="I1732" s="25" t="str">
        <f>IFERROR(INDEX(#REF!,MATCH(O1732,#REF!,0)),"")</f>
        <v/>
      </c>
      <c r="J1732" s="25" t="str">
        <f>IFERROR(INDEX(#REF!,MATCH(O1732,#REF!,0)),"")</f>
        <v/>
      </c>
      <c r="K1732" s="25" t="str">
        <f>IFERROR(INDEX(#REF!,MATCH(O1732,#REF!,0)),"")</f>
        <v/>
      </c>
      <c r="L1732" s="25" t="str">
        <f>IFERROR(INDEX(#REF!,MATCH(O1732,#REF!,0)),"")</f>
        <v/>
      </c>
      <c r="P1732" s="27" t="str">
        <f>IFERROR(INDEX(#REF!,MATCH($O1732,#REF!,0)),"")</f>
        <v/>
      </c>
      <c r="Q1732" s="27" t="str">
        <f>IFERROR(INDEX(#REF!,MATCH($O1732,#REF!,0)),"")</f>
        <v/>
      </c>
      <c r="R1732" s="52" t="str">
        <f>IFERROR(IF(AR1733=AR1732,INDEX(#REF!,MATCH($O1732,#REF!,0))-IF(AN1732="",0,AN1732)+AP1733,INDEX(#REF!,MATCH($O1732,#REF!,0))-IF(AN1732="",0,AN1732)),"")</f>
        <v/>
      </c>
      <c r="S1732" s="53" t="str">
        <f t="shared" ref="S1732:S1746" si="784">IFERROR(IF(O1732="","",ROUND(R1732/((Z1732/30)*7),1)),"n/a")</f>
        <v/>
      </c>
      <c r="T1732" s="52" t="str">
        <f t="shared" ref="T1732:T1746" si="785">IFERROR(IF(S1732&lt;3.1,IF(AA1732="spike",(3-S1732)*(Z1732/4),(3-S1732)*(AA1732/4)),""),"")</f>
        <v/>
      </c>
      <c r="U1732" s="52" t="str">
        <f>IFERROR(IF(AR1733=AR1732,INDEX(#REF!,MATCH($O1732,#REF!,0))-IF(AN1732="",0,AN1732)+AP1733,INDEX(#REF!,MATCH($O1732,#REF!,0))-IF(AN1732="",0,AN1732)),"")</f>
        <v/>
      </c>
      <c r="V1732" s="53" t="str">
        <f t="shared" ref="V1732:V1746" si="786">IFERROR(IF(O1732="","",ROUND(U1732/((Z1732/30)*7),1)),"n/a")</f>
        <v/>
      </c>
      <c r="W1732" s="52" t="str">
        <f t="shared" ref="W1732:W1746" si="787">IF(IFERROR(IF(V1732&lt;3.1,IF(AA1732="spike",(3-V1732)*(Z1732/4),(3-V1732)*(AA1732/4)),""),"")&lt;0,0,IFERROR(IF(V1732&lt;3.1,IF(AA1732="spike",(3-V1732)*(Z1732/4),(3-V1732)*(AA1732/4)),""),""))</f>
        <v/>
      </c>
      <c r="X1732" s="52" t="str">
        <f>IFERROR(IF(AND(AR1733=AR1732,AM1732&lt;&gt;""),INDEX(#REF!,MATCH($O1732,#REF!,0))-IF(AN1732="",0,AN1732)+AP1733+AD1732+AL1732,IF(AR1733=AR1732,INDEX(#REF!,MATCH($O1732,#REF!,0))-IF(AN1732="",0,AN1732)+AP1733+AD1732,IF(AM1732&lt;&gt;"",INDEX(#REF!,MATCH($O1732,#REF!,0))-IF(AN1732="",0,AN1732)+AD1732+AL1732,INDEX(#REF!,MATCH($O1732,#REF!,0))-IF(AN1732="",0,AN1732)+AD1732))),"")</f>
        <v/>
      </c>
      <c r="Y1732" s="53" t="str">
        <f t="shared" ref="Y1732:Y1746" si="788">IFERROR(IF(O1732="","",ROUND(X1732/((Z1732/30)*7),1)),"n/a")</f>
        <v/>
      </c>
      <c r="Z1732" s="52" t="str">
        <f>IF(L1732="","",INDEX(#REF!,MATCH($O1732,#REF!,0)))</f>
        <v/>
      </c>
      <c r="AA1732" s="52" t="str">
        <f t="shared" ref="AA1732:AA1746" si="789">IF(L1732="","",IF(LARGE(I1732:L1732,2)=0,"-spike-",AVERAGE(LARGE(I1732:L1732,1),LARGE(I1732:L1732,2))))</f>
        <v/>
      </c>
      <c r="AB1732" s="52" t="str">
        <f>IFERROR(INDEX(#REF!,MATCH($O1732,#REF!,0)),"")</f>
        <v/>
      </c>
      <c r="AC1732" s="52" t="str">
        <f>IFERROR(IF(O1732="","",SUMIFS('CPL Mats'!F:F,'CPL Mats'!Q:Q,AR1732,'CPL Mats'!S:S,AS1732)),"")</f>
        <v/>
      </c>
      <c r="AF1732" s="25" t="e">
        <f>IF(SUMIFS(#REF!,#REF!,"Releasable",#REF!,O1732)=0,"",SUMIFS(#REF!,#REF!,"Releasable",#REF!,O1732))</f>
        <v>#REF!</v>
      </c>
      <c r="AG1732" s="25" t="str">
        <f>IFERROR(INDEX(#REF!,MATCH(O1732,#REF!,0)),"")</f>
        <v/>
      </c>
      <c r="AH1732" s="25" t="str">
        <f>IFERROR(INDEX(#REF!,MATCH($O1732,#REF!,0)),"")</f>
        <v/>
      </c>
      <c r="AI1732" s="25" t="e">
        <f>IF(SUMIFS(#REF!,#REF!,"Expires this month",#REF!,O1732)=0,"",SUMIFS(#REF!,#REF!,"Expires this month",#REF!,O1732))</f>
        <v>#REF!</v>
      </c>
      <c r="AJ1732" s="25" t="e">
        <f>IF(SUMIFS(#REF!,#REF!,"Expired Previous Months",#REF!,O1732)=0,"",SUMIFS(#REF!,#REF!,"Expired Previous Months",#REF!,O1732))</f>
        <v>#REF!</v>
      </c>
      <c r="AK1732" s="25" t="str">
        <f>IFERROR(INDEX('Hun Release Current'!B:B,MATCH(O1732,'Hun Release Current'!A:A,0)),"")</f>
        <v/>
      </c>
      <c r="AL1732" s="25" t="str">
        <f>IF(SUMIF('Prev Aub'!A:A,O1732,'Prev Aub'!B:B)=0,"",SUMIF('Prev Aub'!A:A,O1732,'Prev Aub'!B:B))</f>
        <v/>
      </c>
      <c r="AN1732" s="25" t="s">
        <v>3790</v>
      </c>
      <c r="AO1732" s="25" t="s">
        <v>3790</v>
      </c>
      <c r="AP1732" s="25" t="str">
        <f t="shared" ref="AP1732:AP1746" si="790">IFERROR(IF(O1732="","",IF(AN1732="",0,VALUE(AN1732)-(VALUE(AN1732)*0.2))),"")</f>
        <v/>
      </c>
      <c r="AQ1732" s="151" t="e">
        <f>IF(SUMIFS(#REF!,#REF!,O1732,#REF!,"PENDING")=0,"",SUMIFS(#REF!,#REF!,O1732,#REF!,"PENDING"))</f>
        <v>#REF!</v>
      </c>
      <c r="AR1732" s="27" t="str">
        <f t="shared" ref="AR1732:AR1746" si="791">MID(O1732,4,5)</f>
        <v/>
      </c>
      <c r="AS1732" s="27" t="str">
        <f t="shared" ref="AS1732:AS1746" si="792">MID(O1732,10,2)</f>
        <v/>
      </c>
      <c r="AT1732" s="27" t="str">
        <f t="shared" ref="AT1732:AT1746" si="793">IF(S1732&lt;3.1,AR1732,"")</f>
        <v/>
      </c>
      <c r="AU1732" s="27" t="str">
        <f t="shared" ref="AU1732:AU1746" si="794">IF(Y1732&lt;3.1,AR1732,"")</f>
        <v/>
      </c>
      <c r="AV1732" s="27" t="str">
        <f t="shared" ref="AV1732:AV1746" si="795">IF(AND(AA1732="Spike",L1732=0,K1732=0,X1732&gt;=0),"",IF(Y1732&lt;3.1,AR1732,""))</f>
        <v/>
      </c>
      <c r="AW1732" s="27" t="e">
        <f t="shared" ref="AW1732:AW1746" si="796">IF(AI1732=AL1732,"",IF(OR(AI1732&lt;&gt;"",AJ1732&lt;&gt;""),AR1732,""))</f>
        <v>#REF!</v>
      </c>
      <c r="AX1732" s="27" t="e">
        <f t="shared" ref="AX1732:AX1746" si="797">IF(AF1732&lt;&gt;"",AR1732,"")</f>
        <v>#REF!</v>
      </c>
      <c r="AY1732" s="27" t="str">
        <f t="shared" ref="AY1732:AY1746" si="798">IF(AND(AG1732&lt;&gt;"",AG1732&gt;AH1732),AR1732,"")</f>
        <v/>
      </c>
      <c r="AZ1732" s="27" t="str">
        <f t="shared" ref="AZ1732:AZ1746" si="799">IFERROR(IF(O1732="","",IF(ISERROR(MATCH(AR1732,AX:AX,0)),"","Supp")),"")</f>
        <v/>
      </c>
      <c r="BA1732" s="27" t="str">
        <f t="shared" ref="BA1732:BA1746" si="800">IFERROR(IF(O1732="","",IF(ISERROR(MATCH(AR1732,AY:AY,0)),"","Hun")),"")</f>
        <v/>
      </c>
      <c r="BB1732" s="27" t="str">
        <f t="shared" ref="BB1732:BB1746" si="801">IFERROR(IF(O1732="","",IF(ISERROR(MATCH(AR1732,AT:AT,0)),"","Gross")),"")</f>
        <v/>
      </c>
      <c r="BC1732" s="27" t="str">
        <f t="shared" ref="BC1732:BC1746" si="802">IFERROR(IF(O1732="","",IF(ISERROR(MATCH(AR1732,AU:AU,0)),"","Net")),"")</f>
        <v/>
      </c>
      <c r="BD1732" s="27" t="str">
        <f t="shared" ref="BD1732:BD1746" si="803">IFERROR(IF(O1732="","",IF(ISERROR(MATCH(AR1732,AV:AV,0)),"","Net")),"")</f>
        <v/>
      </c>
      <c r="BE1732" s="27" t="str">
        <f t="shared" ref="BE1732:BE1746" si="804">IFERROR(IF(O1732="","",IF(ISERROR(MATCH(AR1732,AW:AW,0)),"","Exp")),"")</f>
        <v/>
      </c>
      <c r="BF1732" s="27" t="str">
        <f t="shared" ref="BF1732:BF1746" si="805">IFERROR(IF(O1732="","",IF(AND(AZ1732="Supp",BC1732="Net"),"S+N","")),"")</f>
        <v/>
      </c>
      <c r="BG1732" s="27" t="str">
        <f t="shared" ref="BG1732:BG1746" si="806">IFERROR(IF(O1732="","",IF(OR(BE1732&lt;&gt;"",BF1732&lt;&gt;""),"S+NorE","")),"")</f>
        <v/>
      </c>
      <c r="BH1732" s="27" t="str">
        <f t="shared" ref="BH1732:BH1746" si="807">IFERROR(IF(O1732="","",IF(AND(BA1732&lt;&gt;"",BC1732&lt;&gt;""),"H+N","")),"")</f>
        <v/>
      </c>
      <c r="BI1732" s="27" t="str">
        <f t="shared" ref="BI1732:BI1746" si="808">IFERROR(IF(O1732="","",IF(AND(BA1732&lt;&gt;"",BD1732&lt;&gt;""),"H+Nex","")),"")</f>
        <v/>
      </c>
      <c r="BJ1732" s="27" t="str">
        <f t="shared" ref="BJ1732:BJ1746" si="809">IF(OR(AZ1732&lt;&gt;"",BA1732&lt;&gt;""),"Supp or Hun","")</f>
        <v/>
      </c>
      <c r="BK1732" s="27" t="str">
        <f t="shared" ref="BK1732:BK1746" si="810">IF(AND(BJ1732&lt;&gt;"",BC1732&lt;&gt;""),"Supp or Hun Need","")</f>
        <v/>
      </c>
      <c r="BL1732" s="27" t="str">
        <f t="shared" ref="BL1732:BL1746" si="811">IF(OR(BK1732&lt;&gt;"",BE1732&lt;&gt;""),"SorHandNandE","")</f>
        <v/>
      </c>
      <c r="BM1732" s="21" t="s">
        <v>3790</v>
      </c>
    </row>
    <row r="1733" spans="1:65" ht="15">
      <c r="A1733" s="25" t="str">
        <f>IFERROR(INDEX(#REF!,MATCH(O1733,#REF!,0)),"")</f>
        <v/>
      </c>
      <c r="B1733" s="25" t="str">
        <f>IFERROR(INDEX(#REF!,MATCH(O1733,#REF!,0)),"")</f>
        <v/>
      </c>
      <c r="C1733" s="25" t="str">
        <f>IFERROR(INDEX(#REF!,MATCH(O1733,#REF!,0)),"")</f>
        <v/>
      </c>
      <c r="D1733" s="25" t="str">
        <f>IFERROR(INDEX(#REF!,MATCH(O1733,#REF!,0)),"")</f>
        <v/>
      </c>
      <c r="E1733" s="25" t="str">
        <f>IFERROR(INDEX(#REF!,MATCH(O1733,#REF!,0)),"")</f>
        <v/>
      </c>
      <c r="F1733" s="25" t="str">
        <f>IFERROR(INDEX(#REF!,MATCH(O1733,#REF!,0)),"")</f>
        <v/>
      </c>
      <c r="G1733" s="25" t="str">
        <f>IFERROR(INDEX(#REF!,MATCH(O1733,#REF!,0)),"")</f>
        <v/>
      </c>
      <c r="H1733" s="25" t="str">
        <f>IFERROR(INDEX(#REF!,MATCH(O1733,#REF!,0)),"")</f>
        <v/>
      </c>
      <c r="I1733" s="25" t="str">
        <f>IFERROR(INDEX(#REF!,MATCH(O1733,#REF!,0)),"")</f>
        <v/>
      </c>
      <c r="J1733" s="25" t="str">
        <f>IFERROR(INDEX(#REF!,MATCH(O1733,#REF!,0)),"")</f>
        <v/>
      </c>
      <c r="K1733" s="25" t="str">
        <f>IFERROR(INDEX(#REF!,MATCH(O1733,#REF!,0)),"")</f>
        <v/>
      </c>
      <c r="L1733" s="25" t="str">
        <f>IFERROR(INDEX(#REF!,MATCH(O1733,#REF!,0)),"")</f>
        <v/>
      </c>
      <c r="P1733" s="27" t="str">
        <f>IFERROR(INDEX(#REF!,MATCH($O1733,#REF!,0)),"")</f>
        <v/>
      </c>
      <c r="Q1733" s="27" t="str">
        <f>IFERROR(INDEX(#REF!,MATCH($O1733,#REF!,0)),"")</f>
        <v/>
      </c>
      <c r="R1733" s="52" t="str">
        <f>IFERROR(IF(AR1734=AR1733,INDEX(#REF!,MATCH($O1733,#REF!,0))-IF(AN1733="",0,AN1733)+AP1734,INDEX(#REF!,MATCH($O1733,#REF!,0))-IF(AN1733="",0,AN1733)),"")</f>
        <v/>
      </c>
      <c r="S1733" s="53" t="str">
        <f t="shared" si="784"/>
        <v/>
      </c>
      <c r="T1733" s="52" t="str">
        <f t="shared" si="785"/>
        <v/>
      </c>
      <c r="U1733" s="52" t="str">
        <f>IFERROR(IF(AR1734=AR1733,INDEX(#REF!,MATCH($O1733,#REF!,0))-IF(AN1733="",0,AN1733)+AP1734,INDEX(#REF!,MATCH($O1733,#REF!,0))-IF(AN1733="",0,AN1733)),"")</f>
        <v/>
      </c>
      <c r="V1733" s="53" t="str">
        <f t="shared" si="786"/>
        <v/>
      </c>
      <c r="W1733" s="52" t="str">
        <f t="shared" si="787"/>
        <v/>
      </c>
      <c r="X1733" s="52" t="str">
        <f>IFERROR(IF(AND(AR1734=AR1733,AM1733&lt;&gt;""),INDEX(#REF!,MATCH($O1733,#REF!,0))-IF(AN1733="",0,AN1733)+AP1734+AD1733+AL1733,IF(AR1734=AR1733,INDEX(#REF!,MATCH($O1733,#REF!,0))-IF(AN1733="",0,AN1733)+AP1734+AD1733,IF(AM1733&lt;&gt;"",INDEX(#REF!,MATCH($O1733,#REF!,0))-IF(AN1733="",0,AN1733)+AD1733+AL1733,INDEX(#REF!,MATCH($O1733,#REF!,0))-IF(AN1733="",0,AN1733)+AD1733))),"")</f>
        <v/>
      </c>
      <c r="Y1733" s="53" t="str">
        <f t="shared" si="788"/>
        <v/>
      </c>
      <c r="Z1733" s="52" t="str">
        <f>IF(L1733="","",INDEX(#REF!,MATCH($O1733,#REF!,0)))</f>
        <v/>
      </c>
      <c r="AA1733" s="52" t="str">
        <f t="shared" si="789"/>
        <v/>
      </c>
      <c r="AB1733" s="52" t="str">
        <f>IFERROR(INDEX(#REF!,MATCH($O1733,#REF!,0)),"")</f>
        <v/>
      </c>
      <c r="AC1733" s="52" t="str">
        <f>IFERROR(IF(O1733="","",SUMIFS('CPL Mats'!F:F,'CPL Mats'!Q:Q,AR1733,'CPL Mats'!S:S,AS1733)),"")</f>
        <v/>
      </c>
      <c r="AF1733" s="25" t="e">
        <f>IF(SUMIFS(#REF!,#REF!,"Releasable",#REF!,O1733)=0,"",SUMIFS(#REF!,#REF!,"Releasable",#REF!,O1733))</f>
        <v>#REF!</v>
      </c>
      <c r="AG1733" s="25" t="str">
        <f>IFERROR(INDEX(#REF!,MATCH(O1733,#REF!,0)),"")</f>
        <v/>
      </c>
      <c r="AH1733" s="25" t="str">
        <f>IFERROR(INDEX(#REF!,MATCH($O1733,#REF!,0)),"")</f>
        <v/>
      </c>
      <c r="AI1733" s="25" t="e">
        <f>IF(SUMIFS(#REF!,#REF!,"Expires this month",#REF!,O1733)=0,"",SUMIFS(#REF!,#REF!,"Expires this month",#REF!,O1733))</f>
        <v>#REF!</v>
      </c>
      <c r="AJ1733" s="25" t="e">
        <f>IF(SUMIFS(#REF!,#REF!,"Expired Previous Months",#REF!,O1733)=0,"",SUMIFS(#REF!,#REF!,"Expired Previous Months",#REF!,O1733))</f>
        <v>#REF!</v>
      </c>
      <c r="AK1733" s="25" t="str">
        <f>IFERROR(INDEX('Hun Release Current'!B:B,MATCH(O1733,'Hun Release Current'!A:A,0)),"")</f>
        <v/>
      </c>
      <c r="AL1733" s="25" t="str">
        <f>IF(SUMIF('Prev Aub'!A:A,O1733,'Prev Aub'!B:B)=0,"",SUMIF('Prev Aub'!A:A,O1733,'Prev Aub'!B:B))</f>
        <v/>
      </c>
      <c r="AN1733" s="25" t="s">
        <v>3790</v>
      </c>
      <c r="AO1733" s="25" t="s">
        <v>3790</v>
      </c>
      <c r="AP1733" s="25" t="str">
        <f t="shared" si="790"/>
        <v/>
      </c>
      <c r="AQ1733" s="151" t="e">
        <f>IF(SUMIFS(#REF!,#REF!,O1733,#REF!,"PENDING")=0,"",SUMIFS(#REF!,#REF!,O1733,#REF!,"PENDING"))</f>
        <v>#REF!</v>
      </c>
      <c r="AR1733" s="27" t="str">
        <f t="shared" si="791"/>
        <v/>
      </c>
      <c r="AS1733" s="27" t="str">
        <f t="shared" si="792"/>
        <v/>
      </c>
      <c r="AT1733" s="27" t="str">
        <f t="shared" si="793"/>
        <v/>
      </c>
      <c r="AU1733" s="27" t="str">
        <f t="shared" si="794"/>
        <v/>
      </c>
      <c r="AV1733" s="27" t="str">
        <f t="shared" si="795"/>
        <v/>
      </c>
      <c r="AW1733" s="27" t="e">
        <f t="shared" si="796"/>
        <v>#REF!</v>
      </c>
      <c r="AX1733" s="27" t="e">
        <f t="shared" si="797"/>
        <v>#REF!</v>
      </c>
      <c r="AY1733" s="27" t="str">
        <f t="shared" si="798"/>
        <v/>
      </c>
      <c r="AZ1733" s="27" t="str">
        <f t="shared" si="799"/>
        <v/>
      </c>
      <c r="BA1733" s="27" t="str">
        <f t="shared" si="800"/>
        <v/>
      </c>
      <c r="BB1733" s="27" t="str">
        <f t="shared" si="801"/>
        <v/>
      </c>
      <c r="BC1733" s="27" t="str">
        <f t="shared" si="802"/>
        <v/>
      </c>
      <c r="BD1733" s="27" t="str">
        <f t="shared" si="803"/>
        <v/>
      </c>
      <c r="BE1733" s="27" t="str">
        <f t="shared" si="804"/>
        <v/>
      </c>
      <c r="BF1733" s="27" t="str">
        <f t="shared" si="805"/>
        <v/>
      </c>
      <c r="BG1733" s="27" t="str">
        <f t="shared" si="806"/>
        <v/>
      </c>
      <c r="BH1733" s="27" t="str">
        <f t="shared" si="807"/>
        <v/>
      </c>
      <c r="BI1733" s="27" t="str">
        <f t="shared" si="808"/>
        <v/>
      </c>
      <c r="BJ1733" s="27" t="str">
        <f t="shared" si="809"/>
        <v/>
      </c>
      <c r="BK1733" s="27" t="str">
        <f t="shared" si="810"/>
        <v/>
      </c>
      <c r="BL1733" s="27" t="str">
        <f t="shared" si="811"/>
        <v/>
      </c>
      <c r="BM1733" s="21" t="s">
        <v>3790</v>
      </c>
    </row>
    <row r="1734" spans="1:65" ht="15">
      <c r="A1734" s="25" t="str">
        <f>IFERROR(INDEX(#REF!,MATCH(O1734,#REF!,0)),"")</f>
        <v/>
      </c>
      <c r="B1734" s="25" t="str">
        <f>IFERROR(INDEX(#REF!,MATCH(O1734,#REF!,0)),"")</f>
        <v/>
      </c>
      <c r="C1734" s="25" t="str">
        <f>IFERROR(INDEX(#REF!,MATCH(O1734,#REF!,0)),"")</f>
        <v/>
      </c>
      <c r="D1734" s="25" t="str">
        <f>IFERROR(INDEX(#REF!,MATCH(O1734,#REF!,0)),"")</f>
        <v/>
      </c>
      <c r="E1734" s="25" t="str">
        <f>IFERROR(INDEX(#REF!,MATCH(O1734,#REF!,0)),"")</f>
        <v/>
      </c>
      <c r="F1734" s="25" t="str">
        <f>IFERROR(INDEX(#REF!,MATCH(O1734,#REF!,0)),"")</f>
        <v/>
      </c>
      <c r="G1734" s="25" t="str">
        <f>IFERROR(INDEX(#REF!,MATCH(O1734,#REF!,0)),"")</f>
        <v/>
      </c>
      <c r="H1734" s="25" t="str">
        <f>IFERROR(INDEX(#REF!,MATCH(O1734,#REF!,0)),"")</f>
        <v/>
      </c>
      <c r="I1734" s="25" t="str">
        <f>IFERROR(INDEX(#REF!,MATCH(O1734,#REF!,0)),"")</f>
        <v/>
      </c>
      <c r="J1734" s="25" t="str">
        <f>IFERROR(INDEX(#REF!,MATCH(O1734,#REF!,0)),"")</f>
        <v/>
      </c>
      <c r="K1734" s="25" t="str">
        <f>IFERROR(INDEX(#REF!,MATCH(O1734,#REF!,0)),"")</f>
        <v/>
      </c>
      <c r="L1734" s="25" t="str">
        <f>IFERROR(INDEX(#REF!,MATCH(O1734,#REF!,0)),"")</f>
        <v/>
      </c>
      <c r="P1734" s="27" t="str">
        <f>IFERROR(INDEX(#REF!,MATCH($O1734,#REF!,0)),"")</f>
        <v/>
      </c>
      <c r="Q1734" s="27" t="str">
        <f>IFERROR(INDEX(#REF!,MATCH($O1734,#REF!,0)),"")</f>
        <v/>
      </c>
      <c r="R1734" s="52" t="str">
        <f>IFERROR(IF(AR1735=AR1734,INDEX(#REF!,MATCH($O1734,#REF!,0))-IF(AN1734="",0,AN1734)+AP1735,INDEX(#REF!,MATCH($O1734,#REF!,0))-IF(AN1734="",0,AN1734)),"")</f>
        <v/>
      </c>
      <c r="S1734" s="53" t="str">
        <f t="shared" si="784"/>
        <v/>
      </c>
      <c r="T1734" s="52" t="str">
        <f t="shared" si="785"/>
        <v/>
      </c>
      <c r="U1734" s="52" t="str">
        <f>IFERROR(IF(AR1735=AR1734,INDEX(#REF!,MATCH($O1734,#REF!,0))-IF(AN1734="",0,AN1734)+AP1735,INDEX(#REF!,MATCH($O1734,#REF!,0))-IF(AN1734="",0,AN1734)),"")</f>
        <v/>
      </c>
      <c r="V1734" s="53" t="str">
        <f t="shared" si="786"/>
        <v/>
      </c>
      <c r="W1734" s="52" t="str">
        <f t="shared" si="787"/>
        <v/>
      </c>
      <c r="X1734" s="52" t="str">
        <f>IFERROR(IF(AND(AR1735=AR1734,AM1734&lt;&gt;""),INDEX(#REF!,MATCH($O1734,#REF!,0))-IF(AN1734="",0,AN1734)+AP1735+AD1734+AL1734,IF(AR1735=AR1734,INDEX(#REF!,MATCH($O1734,#REF!,0))-IF(AN1734="",0,AN1734)+AP1735+AD1734,IF(AM1734&lt;&gt;"",INDEX(#REF!,MATCH($O1734,#REF!,0))-IF(AN1734="",0,AN1734)+AD1734+AL1734,INDEX(#REF!,MATCH($O1734,#REF!,0))-IF(AN1734="",0,AN1734)+AD1734))),"")</f>
        <v/>
      </c>
      <c r="Y1734" s="53" t="str">
        <f t="shared" si="788"/>
        <v/>
      </c>
      <c r="Z1734" s="52" t="str">
        <f>IF(L1734="","",INDEX(#REF!,MATCH($O1734,#REF!,0)))</f>
        <v/>
      </c>
      <c r="AA1734" s="52" t="str">
        <f t="shared" si="789"/>
        <v/>
      </c>
      <c r="AB1734" s="52" t="str">
        <f>IFERROR(INDEX(#REF!,MATCH($O1734,#REF!,0)),"")</f>
        <v/>
      </c>
      <c r="AC1734" s="52" t="str">
        <f>IFERROR(IF(O1734="","",SUMIFS('CPL Mats'!F:F,'CPL Mats'!Q:Q,AR1734,'CPL Mats'!S:S,AS1734)),"")</f>
        <v/>
      </c>
      <c r="AF1734" s="25" t="e">
        <f>IF(SUMIFS(#REF!,#REF!,"Releasable",#REF!,O1734)=0,"",SUMIFS(#REF!,#REF!,"Releasable",#REF!,O1734))</f>
        <v>#REF!</v>
      </c>
      <c r="AG1734" s="25" t="str">
        <f>IFERROR(INDEX(#REF!,MATCH(O1734,#REF!,0)),"")</f>
        <v/>
      </c>
      <c r="AH1734" s="25" t="str">
        <f>IFERROR(INDEX(#REF!,MATCH($O1734,#REF!,0)),"")</f>
        <v/>
      </c>
      <c r="AI1734" s="25" t="e">
        <f>IF(SUMIFS(#REF!,#REF!,"Expires this month",#REF!,O1734)=0,"",SUMIFS(#REF!,#REF!,"Expires this month",#REF!,O1734))</f>
        <v>#REF!</v>
      </c>
      <c r="AJ1734" s="25" t="e">
        <f>IF(SUMIFS(#REF!,#REF!,"Expired Previous Months",#REF!,O1734)=0,"",SUMIFS(#REF!,#REF!,"Expired Previous Months",#REF!,O1734))</f>
        <v>#REF!</v>
      </c>
      <c r="AK1734" s="25" t="str">
        <f>IFERROR(INDEX('Hun Release Current'!B:B,MATCH(O1734,'Hun Release Current'!A:A,0)),"")</f>
        <v/>
      </c>
      <c r="AL1734" s="25" t="str">
        <f>IF(SUMIF('Prev Aub'!A:A,O1734,'Prev Aub'!B:B)=0,"",SUMIF('Prev Aub'!A:A,O1734,'Prev Aub'!B:B))</f>
        <v/>
      </c>
      <c r="AN1734" s="25" t="s">
        <v>3790</v>
      </c>
      <c r="AO1734" s="25" t="s">
        <v>3790</v>
      </c>
      <c r="AP1734" s="25" t="str">
        <f t="shared" si="790"/>
        <v/>
      </c>
      <c r="AQ1734" s="151" t="e">
        <f>IF(SUMIFS(#REF!,#REF!,O1734,#REF!,"PENDING")=0,"",SUMIFS(#REF!,#REF!,O1734,#REF!,"PENDING"))</f>
        <v>#REF!</v>
      </c>
      <c r="AR1734" s="27" t="str">
        <f t="shared" si="791"/>
        <v/>
      </c>
      <c r="AS1734" s="27" t="str">
        <f t="shared" si="792"/>
        <v/>
      </c>
      <c r="AT1734" s="27" t="str">
        <f t="shared" si="793"/>
        <v/>
      </c>
      <c r="AU1734" s="27" t="str">
        <f t="shared" si="794"/>
        <v/>
      </c>
      <c r="AV1734" s="27" t="str">
        <f t="shared" si="795"/>
        <v/>
      </c>
      <c r="AW1734" s="27" t="e">
        <f t="shared" si="796"/>
        <v>#REF!</v>
      </c>
      <c r="AX1734" s="27" t="e">
        <f t="shared" si="797"/>
        <v>#REF!</v>
      </c>
      <c r="AY1734" s="27" t="str">
        <f t="shared" si="798"/>
        <v/>
      </c>
      <c r="AZ1734" s="27" t="str">
        <f t="shared" si="799"/>
        <v/>
      </c>
      <c r="BA1734" s="27" t="str">
        <f t="shared" si="800"/>
        <v/>
      </c>
      <c r="BB1734" s="27" t="str">
        <f t="shared" si="801"/>
        <v/>
      </c>
      <c r="BC1734" s="27" t="str">
        <f t="shared" si="802"/>
        <v/>
      </c>
      <c r="BD1734" s="27" t="str">
        <f t="shared" si="803"/>
        <v/>
      </c>
      <c r="BE1734" s="27" t="str">
        <f t="shared" si="804"/>
        <v/>
      </c>
      <c r="BF1734" s="27" t="str">
        <f t="shared" si="805"/>
        <v/>
      </c>
      <c r="BG1734" s="27" t="str">
        <f t="shared" si="806"/>
        <v/>
      </c>
      <c r="BH1734" s="27" t="str">
        <f t="shared" si="807"/>
        <v/>
      </c>
      <c r="BI1734" s="27" t="str">
        <f t="shared" si="808"/>
        <v/>
      </c>
      <c r="BJ1734" s="27" t="str">
        <f t="shared" si="809"/>
        <v/>
      </c>
      <c r="BK1734" s="27" t="str">
        <f t="shared" si="810"/>
        <v/>
      </c>
      <c r="BL1734" s="27" t="str">
        <f t="shared" si="811"/>
        <v/>
      </c>
      <c r="BM1734" s="21" t="s">
        <v>3790</v>
      </c>
    </row>
    <row r="1735" spans="1:65" ht="15">
      <c r="A1735" s="25" t="str">
        <f>IFERROR(INDEX(#REF!,MATCH(O1735,#REF!,0)),"")</f>
        <v/>
      </c>
      <c r="B1735" s="25" t="str">
        <f>IFERROR(INDEX(#REF!,MATCH(O1735,#REF!,0)),"")</f>
        <v/>
      </c>
      <c r="C1735" s="25" t="str">
        <f>IFERROR(INDEX(#REF!,MATCH(O1735,#REF!,0)),"")</f>
        <v/>
      </c>
      <c r="D1735" s="25" t="str">
        <f>IFERROR(INDEX(#REF!,MATCH(O1735,#REF!,0)),"")</f>
        <v/>
      </c>
      <c r="E1735" s="25" t="str">
        <f>IFERROR(INDEX(#REF!,MATCH(O1735,#REF!,0)),"")</f>
        <v/>
      </c>
      <c r="F1735" s="25" t="str">
        <f>IFERROR(INDEX(#REF!,MATCH(O1735,#REF!,0)),"")</f>
        <v/>
      </c>
      <c r="G1735" s="25" t="str">
        <f>IFERROR(INDEX(#REF!,MATCH(O1735,#REF!,0)),"")</f>
        <v/>
      </c>
      <c r="H1735" s="25" t="str">
        <f>IFERROR(INDEX(#REF!,MATCH(O1735,#REF!,0)),"")</f>
        <v/>
      </c>
      <c r="I1735" s="25" t="str">
        <f>IFERROR(INDEX(#REF!,MATCH(O1735,#REF!,0)),"")</f>
        <v/>
      </c>
      <c r="J1735" s="25" t="str">
        <f>IFERROR(INDEX(#REF!,MATCH(O1735,#REF!,0)),"")</f>
        <v/>
      </c>
      <c r="K1735" s="25" t="str">
        <f>IFERROR(INDEX(#REF!,MATCH(O1735,#REF!,0)),"")</f>
        <v/>
      </c>
      <c r="L1735" s="25" t="str">
        <f>IFERROR(INDEX(#REF!,MATCH(O1735,#REF!,0)),"")</f>
        <v/>
      </c>
      <c r="P1735" s="27" t="str">
        <f>IFERROR(INDEX(#REF!,MATCH($O1735,#REF!,0)),"")</f>
        <v/>
      </c>
      <c r="Q1735" s="27" t="str">
        <f>IFERROR(INDEX(#REF!,MATCH($O1735,#REF!,0)),"")</f>
        <v/>
      </c>
      <c r="R1735" s="52" t="str">
        <f>IFERROR(IF(AR1736=AR1735,INDEX(#REF!,MATCH($O1735,#REF!,0))-IF(AN1735="",0,AN1735)+AP1736,INDEX(#REF!,MATCH($O1735,#REF!,0))-IF(AN1735="",0,AN1735)),"")</f>
        <v/>
      </c>
      <c r="S1735" s="53" t="str">
        <f t="shared" si="784"/>
        <v/>
      </c>
      <c r="T1735" s="52" t="str">
        <f t="shared" si="785"/>
        <v/>
      </c>
      <c r="U1735" s="52" t="str">
        <f>IFERROR(IF(AR1736=AR1735,INDEX(#REF!,MATCH($O1735,#REF!,0))-IF(AN1735="",0,AN1735)+AP1736,INDEX(#REF!,MATCH($O1735,#REF!,0))-IF(AN1735="",0,AN1735)),"")</f>
        <v/>
      </c>
      <c r="V1735" s="53" t="str">
        <f t="shared" si="786"/>
        <v/>
      </c>
      <c r="W1735" s="52" t="str">
        <f t="shared" si="787"/>
        <v/>
      </c>
      <c r="X1735" s="52" t="str">
        <f>IFERROR(IF(AND(AR1736=AR1735,AM1735&lt;&gt;""),INDEX(#REF!,MATCH($O1735,#REF!,0))-IF(AN1735="",0,AN1735)+AP1736+AD1735+AL1735,IF(AR1736=AR1735,INDEX(#REF!,MATCH($O1735,#REF!,0))-IF(AN1735="",0,AN1735)+AP1736+AD1735,IF(AM1735&lt;&gt;"",INDEX(#REF!,MATCH($O1735,#REF!,0))-IF(AN1735="",0,AN1735)+AD1735+AL1735,INDEX(#REF!,MATCH($O1735,#REF!,0))-IF(AN1735="",0,AN1735)+AD1735))),"")</f>
        <v/>
      </c>
      <c r="Y1735" s="53" t="str">
        <f t="shared" si="788"/>
        <v/>
      </c>
      <c r="Z1735" s="52" t="str">
        <f>IF(L1735="","",INDEX(#REF!,MATCH($O1735,#REF!,0)))</f>
        <v/>
      </c>
      <c r="AA1735" s="52" t="str">
        <f t="shared" si="789"/>
        <v/>
      </c>
      <c r="AB1735" s="52" t="str">
        <f>IFERROR(INDEX(#REF!,MATCH($O1735,#REF!,0)),"")</f>
        <v/>
      </c>
      <c r="AC1735" s="52" t="str">
        <f>IFERROR(IF(O1735="","",SUMIFS('CPL Mats'!F:F,'CPL Mats'!Q:Q,AR1735,'CPL Mats'!S:S,AS1735)),"")</f>
        <v/>
      </c>
      <c r="AF1735" s="25" t="e">
        <f>IF(SUMIFS(#REF!,#REF!,"Releasable",#REF!,O1735)=0,"",SUMIFS(#REF!,#REF!,"Releasable",#REF!,O1735))</f>
        <v>#REF!</v>
      </c>
      <c r="AG1735" s="25" t="str">
        <f>IFERROR(INDEX(#REF!,MATCH(O1735,#REF!,0)),"")</f>
        <v/>
      </c>
      <c r="AH1735" s="25" t="str">
        <f>IFERROR(INDEX(#REF!,MATCH($O1735,#REF!,0)),"")</f>
        <v/>
      </c>
      <c r="AI1735" s="25" t="e">
        <f>IF(SUMIFS(#REF!,#REF!,"Expires this month",#REF!,O1735)=0,"",SUMIFS(#REF!,#REF!,"Expires this month",#REF!,O1735))</f>
        <v>#REF!</v>
      </c>
      <c r="AJ1735" s="25" t="e">
        <f>IF(SUMIFS(#REF!,#REF!,"Expired Previous Months",#REF!,O1735)=0,"",SUMIFS(#REF!,#REF!,"Expired Previous Months",#REF!,O1735))</f>
        <v>#REF!</v>
      </c>
      <c r="AK1735" s="25" t="str">
        <f>IFERROR(INDEX('Hun Release Current'!B:B,MATCH(O1735,'Hun Release Current'!A:A,0)),"")</f>
        <v/>
      </c>
      <c r="AL1735" s="25" t="str">
        <f>IF(SUMIF('Prev Aub'!A:A,O1735,'Prev Aub'!B:B)=0,"",SUMIF('Prev Aub'!A:A,O1735,'Prev Aub'!B:B))</f>
        <v/>
      </c>
      <c r="AN1735" s="25" t="s">
        <v>3790</v>
      </c>
      <c r="AO1735" s="25" t="s">
        <v>3790</v>
      </c>
      <c r="AP1735" s="25" t="str">
        <f t="shared" si="790"/>
        <v/>
      </c>
      <c r="AQ1735" s="151" t="e">
        <f>IF(SUMIFS(#REF!,#REF!,O1735,#REF!,"PENDING")=0,"",SUMIFS(#REF!,#REF!,O1735,#REF!,"PENDING"))</f>
        <v>#REF!</v>
      </c>
      <c r="AR1735" s="27" t="str">
        <f t="shared" si="791"/>
        <v/>
      </c>
      <c r="AS1735" s="27" t="str">
        <f t="shared" si="792"/>
        <v/>
      </c>
      <c r="AT1735" s="27" t="str">
        <f t="shared" si="793"/>
        <v/>
      </c>
      <c r="AU1735" s="27" t="str">
        <f t="shared" si="794"/>
        <v/>
      </c>
      <c r="AV1735" s="27" t="str">
        <f t="shared" si="795"/>
        <v/>
      </c>
      <c r="AW1735" s="27" t="e">
        <f t="shared" si="796"/>
        <v>#REF!</v>
      </c>
      <c r="AX1735" s="27" t="e">
        <f t="shared" si="797"/>
        <v>#REF!</v>
      </c>
      <c r="AY1735" s="27" t="str">
        <f t="shared" si="798"/>
        <v/>
      </c>
      <c r="AZ1735" s="27" t="str">
        <f t="shared" si="799"/>
        <v/>
      </c>
      <c r="BA1735" s="27" t="str">
        <f t="shared" si="800"/>
        <v/>
      </c>
      <c r="BB1735" s="27" t="str">
        <f t="shared" si="801"/>
        <v/>
      </c>
      <c r="BC1735" s="27" t="str">
        <f t="shared" si="802"/>
        <v/>
      </c>
      <c r="BD1735" s="27" t="str">
        <f t="shared" si="803"/>
        <v/>
      </c>
      <c r="BE1735" s="27" t="str">
        <f t="shared" si="804"/>
        <v/>
      </c>
      <c r="BF1735" s="27" t="str">
        <f t="shared" si="805"/>
        <v/>
      </c>
      <c r="BG1735" s="27" t="str">
        <f t="shared" si="806"/>
        <v/>
      </c>
      <c r="BH1735" s="27" t="str">
        <f t="shared" si="807"/>
        <v/>
      </c>
      <c r="BI1735" s="27" t="str">
        <f t="shared" si="808"/>
        <v/>
      </c>
      <c r="BJ1735" s="27" t="str">
        <f t="shared" si="809"/>
        <v/>
      </c>
      <c r="BK1735" s="27" t="str">
        <f t="shared" si="810"/>
        <v/>
      </c>
      <c r="BL1735" s="27" t="str">
        <f t="shared" si="811"/>
        <v/>
      </c>
      <c r="BM1735" s="21" t="s">
        <v>3790</v>
      </c>
    </row>
    <row r="1736" spans="1:65" ht="15">
      <c r="A1736" s="25" t="str">
        <f>IFERROR(INDEX(#REF!,MATCH(O1736,#REF!,0)),"")</f>
        <v/>
      </c>
      <c r="B1736" s="25" t="str">
        <f>IFERROR(INDEX(#REF!,MATCH(O1736,#REF!,0)),"")</f>
        <v/>
      </c>
      <c r="C1736" s="25" t="str">
        <f>IFERROR(INDEX(#REF!,MATCH(O1736,#REF!,0)),"")</f>
        <v/>
      </c>
      <c r="D1736" s="25" t="str">
        <f>IFERROR(INDEX(#REF!,MATCH(O1736,#REF!,0)),"")</f>
        <v/>
      </c>
      <c r="E1736" s="25" t="str">
        <f>IFERROR(INDEX(#REF!,MATCH(O1736,#REF!,0)),"")</f>
        <v/>
      </c>
      <c r="F1736" s="25" t="str">
        <f>IFERROR(INDEX(#REF!,MATCH(O1736,#REF!,0)),"")</f>
        <v/>
      </c>
      <c r="G1736" s="25" t="str">
        <f>IFERROR(INDEX(#REF!,MATCH(O1736,#REF!,0)),"")</f>
        <v/>
      </c>
      <c r="H1736" s="25" t="str">
        <f>IFERROR(INDEX(#REF!,MATCH(O1736,#REF!,0)),"")</f>
        <v/>
      </c>
      <c r="I1736" s="25" t="str">
        <f>IFERROR(INDEX(#REF!,MATCH(O1736,#REF!,0)),"")</f>
        <v/>
      </c>
      <c r="J1736" s="25" t="str">
        <f>IFERROR(INDEX(#REF!,MATCH(O1736,#REF!,0)),"")</f>
        <v/>
      </c>
      <c r="K1736" s="25" t="str">
        <f>IFERROR(INDEX(#REF!,MATCH(O1736,#REF!,0)),"")</f>
        <v/>
      </c>
      <c r="L1736" s="25" t="str">
        <f>IFERROR(INDEX(#REF!,MATCH(O1736,#REF!,0)),"")</f>
        <v/>
      </c>
      <c r="P1736" s="27" t="str">
        <f>IFERROR(INDEX(#REF!,MATCH($O1736,#REF!,0)),"")</f>
        <v/>
      </c>
      <c r="Q1736" s="27" t="str">
        <f>IFERROR(INDEX(#REF!,MATCH($O1736,#REF!,0)),"")</f>
        <v/>
      </c>
      <c r="R1736" s="52" t="str">
        <f>IFERROR(IF(AR1737=AR1736,INDEX(#REF!,MATCH($O1736,#REF!,0))-IF(AN1736="",0,AN1736)+AP1737,INDEX(#REF!,MATCH($O1736,#REF!,0))-IF(AN1736="",0,AN1736)),"")</f>
        <v/>
      </c>
      <c r="S1736" s="53" t="str">
        <f t="shared" si="784"/>
        <v/>
      </c>
      <c r="T1736" s="52" t="str">
        <f t="shared" si="785"/>
        <v/>
      </c>
      <c r="U1736" s="52" t="str">
        <f>IFERROR(IF(AR1737=AR1736,INDEX(#REF!,MATCH($O1736,#REF!,0))-IF(AN1736="",0,AN1736)+AP1737,INDEX(#REF!,MATCH($O1736,#REF!,0))-IF(AN1736="",0,AN1736)),"")</f>
        <v/>
      </c>
      <c r="V1736" s="53" t="str">
        <f t="shared" si="786"/>
        <v/>
      </c>
      <c r="W1736" s="52" t="str">
        <f t="shared" si="787"/>
        <v/>
      </c>
      <c r="X1736" s="52" t="str">
        <f>IFERROR(IF(AND(AR1737=AR1736,AM1736&lt;&gt;""),INDEX(#REF!,MATCH($O1736,#REF!,0))-IF(AN1736="",0,AN1736)+AP1737+AD1736+AL1736,IF(AR1737=AR1736,INDEX(#REF!,MATCH($O1736,#REF!,0))-IF(AN1736="",0,AN1736)+AP1737+AD1736,IF(AM1736&lt;&gt;"",INDEX(#REF!,MATCH($O1736,#REF!,0))-IF(AN1736="",0,AN1736)+AD1736+AL1736,INDEX(#REF!,MATCH($O1736,#REF!,0))-IF(AN1736="",0,AN1736)+AD1736))),"")</f>
        <v/>
      </c>
      <c r="Y1736" s="53" t="str">
        <f t="shared" si="788"/>
        <v/>
      </c>
      <c r="Z1736" s="52" t="str">
        <f>IF(L1736="","",INDEX(#REF!,MATCH($O1736,#REF!,0)))</f>
        <v/>
      </c>
      <c r="AA1736" s="52" t="str">
        <f t="shared" si="789"/>
        <v/>
      </c>
      <c r="AB1736" s="52" t="str">
        <f>IFERROR(INDEX(#REF!,MATCH($O1736,#REF!,0)),"")</f>
        <v/>
      </c>
      <c r="AC1736" s="52" t="str">
        <f>IFERROR(IF(O1736="","",SUMIFS('CPL Mats'!F:F,'CPL Mats'!Q:Q,AR1736,'CPL Mats'!S:S,AS1736)),"")</f>
        <v/>
      </c>
      <c r="AF1736" s="25" t="e">
        <f>IF(SUMIFS(#REF!,#REF!,"Releasable",#REF!,O1736)=0,"",SUMIFS(#REF!,#REF!,"Releasable",#REF!,O1736))</f>
        <v>#REF!</v>
      </c>
      <c r="AG1736" s="25" t="str">
        <f>IFERROR(INDEX(#REF!,MATCH(O1736,#REF!,0)),"")</f>
        <v/>
      </c>
      <c r="AH1736" s="25" t="str">
        <f>IFERROR(INDEX(#REF!,MATCH($O1736,#REF!,0)),"")</f>
        <v/>
      </c>
      <c r="AI1736" s="25" t="e">
        <f>IF(SUMIFS(#REF!,#REF!,"Expires this month",#REF!,O1736)=0,"",SUMIFS(#REF!,#REF!,"Expires this month",#REF!,O1736))</f>
        <v>#REF!</v>
      </c>
      <c r="AJ1736" s="25" t="e">
        <f>IF(SUMIFS(#REF!,#REF!,"Expired Previous Months",#REF!,O1736)=0,"",SUMIFS(#REF!,#REF!,"Expired Previous Months",#REF!,O1736))</f>
        <v>#REF!</v>
      </c>
      <c r="AK1736" s="25" t="str">
        <f>IFERROR(INDEX('Hun Release Current'!B:B,MATCH(O1736,'Hun Release Current'!A:A,0)),"")</f>
        <v/>
      </c>
      <c r="AL1736" s="25" t="str">
        <f>IF(SUMIF('Prev Aub'!A:A,O1736,'Prev Aub'!B:B)=0,"",SUMIF('Prev Aub'!A:A,O1736,'Prev Aub'!B:B))</f>
        <v/>
      </c>
      <c r="AN1736" s="25" t="s">
        <v>3790</v>
      </c>
      <c r="AO1736" s="25" t="s">
        <v>3790</v>
      </c>
      <c r="AP1736" s="25" t="str">
        <f t="shared" si="790"/>
        <v/>
      </c>
      <c r="AQ1736" s="151" t="e">
        <f>IF(SUMIFS(#REF!,#REF!,O1736,#REF!,"PENDING")=0,"",SUMIFS(#REF!,#REF!,O1736,#REF!,"PENDING"))</f>
        <v>#REF!</v>
      </c>
      <c r="AR1736" s="27" t="str">
        <f t="shared" si="791"/>
        <v/>
      </c>
      <c r="AS1736" s="27" t="str">
        <f t="shared" si="792"/>
        <v/>
      </c>
      <c r="AT1736" s="27" t="str">
        <f t="shared" si="793"/>
        <v/>
      </c>
      <c r="AU1736" s="27" t="str">
        <f t="shared" si="794"/>
        <v/>
      </c>
      <c r="AV1736" s="27" t="str">
        <f t="shared" si="795"/>
        <v/>
      </c>
      <c r="AW1736" s="27" t="e">
        <f t="shared" si="796"/>
        <v>#REF!</v>
      </c>
      <c r="AX1736" s="27" t="e">
        <f t="shared" si="797"/>
        <v>#REF!</v>
      </c>
      <c r="AY1736" s="27" t="str">
        <f t="shared" si="798"/>
        <v/>
      </c>
      <c r="AZ1736" s="27" t="str">
        <f t="shared" si="799"/>
        <v/>
      </c>
      <c r="BA1736" s="27" t="str">
        <f t="shared" si="800"/>
        <v/>
      </c>
      <c r="BB1736" s="27" t="str">
        <f t="shared" si="801"/>
        <v/>
      </c>
      <c r="BC1736" s="27" t="str">
        <f t="shared" si="802"/>
        <v/>
      </c>
      <c r="BD1736" s="27" t="str">
        <f t="shared" si="803"/>
        <v/>
      </c>
      <c r="BE1736" s="27" t="str">
        <f t="shared" si="804"/>
        <v/>
      </c>
      <c r="BF1736" s="27" t="str">
        <f t="shared" si="805"/>
        <v/>
      </c>
      <c r="BG1736" s="27" t="str">
        <f t="shared" si="806"/>
        <v/>
      </c>
      <c r="BH1736" s="27" t="str">
        <f t="shared" si="807"/>
        <v/>
      </c>
      <c r="BI1736" s="27" t="str">
        <f t="shared" si="808"/>
        <v/>
      </c>
      <c r="BJ1736" s="27" t="str">
        <f t="shared" si="809"/>
        <v/>
      </c>
      <c r="BK1736" s="27" t="str">
        <f t="shared" si="810"/>
        <v/>
      </c>
      <c r="BL1736" s="27" t="str">
        <f t="shared" si="811"/>
        <v/>
      </c>
      <c r="BM1736" s="21" t="s">
        <v>3790</v>
      </c>
    </row>
    <row r="1737" spans="1:65" ht="15">
      <c r="A1737" s="25" t="str">
        <f>IFERROR(INDEX(#REF!,MATCH(O1737,#REF!,0)),"")</f>
        <v/>
      </c>
      <c r="B1737" s="25" t="str">
        <f>IFERROR(INDEX(#REF!,MATCH(O1737,#REF!,0)),"")</f>
        <v/>
      </c>
      <c r="C1737" s="25" t="str">
        <f>IFERROR(INDEX(#REF!,MATCH(O1737,#REF!,0)),"")</f>
        <v/>
      </c>
      <c r="D1737" s="25" t="str">
        <f>IFERROR(INDEX(#REF!,MATCH(O1737,#REF!,0)),"")</f>
        <v/>
      </c>
      <c r="E1737" s="25" t="str">
        <f>IFERROR(INDEX(#REF!,MATCH(O1737,#REF!,0)),"")</f>
        <v/>
      </c>
      <c r="F1737" s="25" t="str">
        <f>IFERROR(INDEX(#REF!,MATCH(O1737,#REF!,0)),"")</f>
        <v/>
      </c>
      <c r="G1737" s="25" t="str">
        <f>IFERROR(INDEX(#REF!,MATCH(O1737,#REF!,0)),"")</f>
        <v/>
      </c>
      <c r="H1737" s="25" t="str">
        <f>IFERROR(INDEX(#REF!,MATCH(O1737,#REF!,0)),"")</f>
        <v/>
      </c>
      <c r="I1737" s="25" t="str">
        <f>IFERROR(INDEX(#REF!,MATCH(O1737,#REF!,0)),"")</f>
        <v/>
      </c>
      <c r="J1737" s="25" t="str">
        <f>IFERROR(INDEX(#REF!,MATCH(O1737,#REF!,0)),"")</f>
        <v/>
      </c>
      <c r="K1737" s="25" t="str">
        <f>IFERROR(INDEX(#REF!,MATCH(O1737,#REF!,0)),"")</f>
        <v/>
      </c>
      <c r="L1737" s="25" t="str">
        <f>IFERROR(INDEX(#REF!,MATCH(O1737,#REF!,0)),"")</f>
        <v/>
      </c>
      <c r="P1737" s="27" t="str">
        <f>IFERROR(INDEX(#REF!,MATCH($O1737,#REF!,0)),"")</f>
        <v/>
      </c>
      <c r="Q1737" s="27" t="str">
        <f>IFERROR(INDEX(#REF!,MATCH($O1737,#REF!,0)),"")</f>
        <v/>
      </c>
      <c r="R1737" s="52" t="str">
        <f>IFERROR(IF(AR1738=AR1737,INDEX(#REF!,MATCH($O1737,#REF!,0))-IF(AN1737="",0,AN1737)+AP1738,INDEX(#REF!,MATCH($O1737,#REF!,0))-IF(AN1737="",0,AN1737)),"")</f>
        <v/>
      </c>
      <c r="S1737" s="53" t="str">
        <f t="shared" si="784"/>
        <v/>
      </c>
      <c r="T1737" s="52" t="str">
        <f t="shared" si="785"/>
        <v/>
      </c>
      <c r="U1737" s="52" t="str">
        <f>IFERROR(IF(AR1738=AR1737,INDEX(#REF!,MATCH($O1737,#REF!,0))-IF(AN1737="",0,AN1737)+AP1738,INDEX(#REF!,MATCH($O1737,#REF!,0))-IF(AN1737="",0,AN1737)),"")</f>
        <v/>
      </c>
      <c r="V1737" s="53" t="str">
        <f t="shared" si="786"/>
        <v/>
      </c>
      <c r="W1737" s="52" t="str">
        <f t="shared" si="787"/>
        <v/>
      </c>
      <c r="X1737" s="52" t="str">
        <f>IFERROR(IF(AND(AR1738=AR1737,AM1737&lt;&gt;""),INDEX(#REF!,MATCH($O1737,#REF!,0))-IF(AN1737="",0,AN1737)+AP1738+AD1737+AL1737,IF(AR1738=AR1737,INDEX(#REF!,MATCH($O1737,#REF!,0))-IF(AN1737="",0,AN1737)+AP1738+AD1737,IF(AM1737&lt;&gt;"",INDEX(#REF!,MATCH($O1737,#REF!,0))-IF(AN1737="",0,AN1737)+AD1737+AL1737,INDEX(#REF!,MATCH($O1737,#REF!,0))-IF(AN1737="",0,AN1737)+AD1737))),"")</f>
        <v/>
      </c>
      <c r="Y1737" s="53" t="str">
        <f t="shared" si="788"/>
        <v/>
      </c>
      <c r="Z1737" s="52" t="str">
        <f>IF(L1737="","",INDEX(#REF!,MATCH($O1737,#REF!,0)))</f>
        <v/>
      </c>
      <c r="AA1737" s="52" t="str">
        <f t="shared" si="789"/>
        <v/>
      </c>
      <c r="AB1737" s="52" t="str">
        <f>IFERROR(INDEX(#REF!,MATCH($O1737,#REF!,0)),"")</f>
        <v/>
      </c>
      <c r="AC1737" s="52" t="str">
        <f>IFERROR(IF(O1737="","",SUMIFS('CPL Mats'!F:F,'CPL Mats'!Q:Q,AR1737,'CPL Mats'!S:S,AS1737)),"")</f>
        <v/>
      </c>
      <c r="AF1737" s="25" t="e">
        <f>IF(SUMIFS(#REF!,#REF!,"Releasable",#REF!,O1737)=0,"",SUMIFS(#REF!,#REF!,"Releasable",#REF!,O1737))</f>
        <v>#REF!</v>
      </c>
      <c r="AG1737" s="25" t="str">
        <f>IFERROR(INDEX(#REF!,MATCH(O1737,#REF!,0)),"")</f>
        <v/>
      </c>
      <c r="AH1737" s="25" t="str">
        <f>IFERROR(INDEX(#REF!,MATCH($O1737,#REF!,0)),"")</f>
        <v/>
      </c>
      <c r="AI1737" s="25" t="e">
        <f>IF(SUMIFS(#REF!,#REF!,"Expires this month",#REF!,O1737)=0,"",SUMIFS(#REF!,#REF!,"Expires this month",#REF!,O1737))</f>
        <v>#REF!</v>
      </c>
      <c r="AJ1737" s="25" t="e">
        <f>IF(SUMIFS(#REF!,#REF!,"Expired Previous Months",#REF!,O1737)=0,"",SUMIFS(#REF!,#REF!,"Expired Previous Months",#REF!,O1737))</f>
        <v>#REF!</v>
      </c>
      <c r="AK1737" s="25" t="str">
        <f>IFERROR(INDEX('Hun Release Current'!B:B,MATCH(O1737,'Hun Release Current'!A:A,0)),"")</f>
        <v/>
      </c>
      <c r="AL1737" s="25" t="str">
        <f>IF(SUMIF('Prev Aub'!A:A,O1737,'Prev Aub'!B:B)=0,"",SUMIF('Prev Aub'!A:A,O1737,'Prev Aub'!B:B))</f>
        <v/>
      </c>
      <c r="AN1737" s="25" t="s">
        <v>3790</v>
      </c>
      <c r="AO1737" s="25" t="s">
        <v>3790</v>
      </c>
      <c r="AP1737" s="25" t="str">
        <f t="shared" si="790"/>
        <v/>
      </c>
      <c r="AQ1737" s="151" t="e">
        <f>IF(SUMIFS(#REF!,#REF!,O1737,#REF!,"PENDING")=0,"",SUMIFS(#REF!,#REF!,O1737,#REF!,"PENDING"))</f>
        <v>#REF!</v>
      </c>
      <c r="AR1737" s="27" t="str">
        <f t="shared" si="791"/>
        <v/>
      </c>
      <c r="AS1737" s="27" t="str">
        <f t="shared" si="792"/>
        <v/>
      </c>
      <c r="AT1737" s="27" t="str">
        <f t="shared" si="793"/>
        <v/>
      </c>
      <c r="AU1737" s="27" t="str">
        <f t="shared" si="794"/>
        <v/>
      </c>
      <c r="AV1737" s="27" t="str">
        <f t="shared" si="795"/>
        <v/>
      </c>
      <c r="AW1737" s="27" t="e">
        <f t="shared" si="796"/>
        <v>#REF!</v>
      </c>
      <c r="AX1737" s="27" t="e">
        <f t="shared" si="797"/>
        <v>#REF!</v>
      </c>
      <c r="AY1737" s="27" t="str">
        <f t="shared" si="798"/>
        <v/>
      </c>
      <c r="AZ1737" s="27" t="str">
        <f t="shared" si="799"/>
        <v/>
      </c>
      <c r="BA1737" s="27" t="str">
        <f t="shared" si="800"/>
        <v/>
      </c>
      <c r="BB1737" s="27" t="str">
        <f t="shared" si="801"/>
        <v/>
      </c>
      <c r="BC1737" s="27" t="str">
        <f t="shared" si="802"/>
        <v/>
      </c>
      <c r="BD1737" s="27" t="str">
        <f t="shared" si="803"/>
        <v/>
      </c>
      <c r="BE1737" s="27" t="str">
        <f t="shared" si="804"/>
        <v/>
      </c>
      <c r="BF1737" s="27" t="str">
        <f t="shared" si="805"/>
        <v/>
      </c>
      <c r="BG1737" s="27" t="str">
        <f t="shared" si="806"/>
        <v/>
      </c>
      <c r="BH1737" s="27" t="str">
        <f t="shared" si="807"/>
        <v/>
      </c>
      <c r="BI1737" s="27" t="str">
        <f t="shared" si="808"/>
        <v/>
      </c>
      <c r="BJ1737" s="27" t="str">
        <f t="shared" si="809"/>
        <v/>
      </c>
      <c r="BK1737" s="27" t="str">
        <f t="shared" si="810"/>
        <v/>
      </c>
      <c r="BL1737" s="27" t="str">
        <f t="shared" si="811"/>
        <v/>
      </c>
      <c r="BM1737" s="21" t="s">
        <v>3790</v>
      </c>
    </row>
    <row r="1738" spans="1:65" ht="15">
      <c r="A1738" s="25" t="str">
        <f>IFERROR(INDEX(#REF!,MATCH(O1738,#REF!,0)),"")</f>
        <v/>
      </c>
      <c r="B1738" s="25" t="str">
        <f>IFERROR(INDEX(#REF!,MATCH(O1738,#REF!,0)),"")</f>
        <v/>
      </c>
      <c r="C1738" s="25" t="str">
        <f>IFERROR(INDEX(#REF!,MATCH(O1738,#REF!,0)),"")</f>
        <v/>
      </c>
      <c r="D1738" s="25" t="str">
        <f>IFERROR(INDEX(#REF!,MATCH(O1738,#REF!,0)),"")</f>
        <v/>
      </c>
      <c r="E1738" s="25" t="str">
        <f>IFERROR(INDEX(#REF!,MATCH(O1738,#REF!,0)),"")</f>
        <v/>
      </c>
      <c r="F1738" s="25" t="str">
        <f>IFERROR(INDEX(#REF!,MATCH(O1738,#REF!,0)),"")</f>
        <v/>
      </c>
      <c r="G1738" s="25" t="str">
        <f>IFERROR(INDEX(#REF!,MATCH(O1738,#REF!,0)),"")</f>
        <v/>
      </c>
      <c r="H1738" s="25" t="str">
        <f>IFERROR(INDEX(#REF!,MATCH(O1738,#REF!,0)),"")</f>
        <v/>
      </c>
      <c r="I1738" s="25" t="str">
        <f>IFERROR(INDEX(#REF!,MATCH(O1738,#REF!,0)),"")</f>
        <v/>
      </c>
      <c r="J1738" s="25" t="str">
        <f>IFERROR(INDEX(#REF!,MATCH(O1738,#REF!,0)),"")</f>
        <v/>
      </c>
      <c r="K1738" s="25" t="str">
        <f>IFERROR(INDEX(#REF!,MATCH(O1738,#REF!,0)),"")</f>
        <v/>
      </c>
      <c r="L1738" s="25" t="str">
        <f>IFERROR(INDEX(#REF!,MATCH(O1738,#REF!,0)),"")</f>
        <v/>
      </c>
      <c r="P1738" s="27" t="str">
        <f>IFERROR(INDEX(#REF!,MATCH($O1738,#REF!,0)),"")</f>
        <v/>
      </c>
      <c r="Q1738" s="27" t="str">
        <f>IFERROR(INDEX(#REF!,MATCH($O1738,#REF!,0)),"")</f>
        <v/>
      </c>
      <c r="R1738" s="52" t="str">
        <f>IFERROR(IF(AR1739=AR1738,INDEX(#REF!,MATCH($O1738,#REF!,0))-IF(AN1738="",0,AN1738)+AP1739,INDEX(#REF!,MATCH($O1738,#REF!,0))-IF(AN1738="",0,AN1738)),"")</f>
        <v/>
      </c>
      <c r="S1738" s="53" t="str">
        <f t="shared" si="784"/>
        <v/>
      </c>
      <c r="T1738" s="52" t="str">
        <f t="shared" si="785"/>
        <v/>
      </c>
      <c r="U1738" s="52" t="str">
        <f>IFERROR(IF(AR1739=AR1738,INDEX(#REF!,MATCH($O1738,#REF!,0))-IF(AN1738="",0,AN1738)+AP1739,INDEX(#REF!,MATCH($O1738,#REF!,0))-IF(AN1738="",0,AN1738)),"")</f>
        <v/>
      </c>
      <c r="V1738" s="53" t="str">
        <f t="shared" si="786"/>
        <v/>
      </c>
      <c r="W1738" s="52" t="str">
        <f t="shared" si="787"/>
        <v/>
      </c>
      <c r="X1738" s="52" t="str">
        <f>IFERROR(IF(AND(AR1739=AR1738,AM1738&lt;&gt;""),INDEX(#REF!,MATCH($O1738,#REF!,0))-IF(AN1738="",0,AN1738)+AP1739+AD1738+AL1738,IF(AR1739=AR1738,INDEX(#REF!,MATCH($O1738,#REF!,0))-IF(AN1738="",0,AN1738)+AP1739+AD1738,IF(AM1738&lt;&gt;"",INDEX(#REF!,MATCH($O1738,#REF!,0))-IF(AN1738="",0,AN1738)+AD1738+AL1738,INDEX(#REF!,MATCH($O1738,#REF!,0))-IF(AN1738="",0,AN1738)+AD1738))),"")</f>
        <v/>
      </c>
      <c r="Y1738" s="53" t="str">
        <f t="shared" si="788"/>
        <v/>
      </c>
      <c r="Z1738" s="52" t="str">
        <f>IF(L1738="","",INDEX(#REF!,MATCH($O1738,#REF!,0)))</f>
        <v/>
      </c>
      <c r="AA1738" s="52" t="str">
        <f t="shared" si="789"/>
        <v/>
      </c>
      <c r="AB1738" s="52" t="str">
        <f>IFERROR(INDEX(#REF!,MATCH($O1738,#REF!,0)),"")</f>
        <v/>
      </c>
      <c r="AC1738" s="52" t="str">
        <f>IFERROR(IF(O1738="","",SUMIFS('CPL Mats'!F:F,'CPL Mats'!Q:Q,AR1738,'CPL Mats'!S:S,AS1738)),"")</f>
        <v/>
      </c>
      <c r="AF1738" s="25" t="e">
        <f>IF(SUMIFS(#REF!,#REF!,"Releasable",#REF!,O1738)=0,"",SUMIFS(#REF!,#REF!,"Releasable",#REF!,O1738))</f>
        <v>#REF!</v>
      </c>
      <c r="AG1738" s="25" t="str">
        <f>IFERROR(INDEX(#REF!,MATCH(O1738,#REF!,0)),"")</f>
        <v/>
      </c>
      <c r="AH1738" s="25" t="str">
        <f>IFERROR(INDEX(#REF!,MATCH($O1738,#REF!,0)),"")</f>
        <v/>
      </c>
      <c r="AI1738" s="25" t="e">
        <f>IF(SUMIFS(#REF!,#REF!,"Expires this month",#REF!,O1738)=0,"",SUMIFS(#REF!,#REF!,"Expires this month",#REF!,O1738))</f>
        <v>#REF!</v>
      </c>
      <c r="AJ1738" s="25" t="e">
        <f>IF(SUMIFS(#REF!,#REF!,"Expired Previous Months",#REF!,O1738)=0,"",SUMIFS(#REF!,#REF!,"Expired Previous Months",#REF!,O1738))</f>
        <v>#REF!</v>
      </c>
      <c r="AK1738" s="25" t="str">
        <f>IFERROR(INDEX('Hun Release Current'!B:B,MATCH(O1738,'Hun Release Current'!A:A,0)),"")</f>
        <v/>
      </c>
      <c r="AL1738" s="25" t="str">
        <f>IF(SUMIF('Prev Aub'!A:A,O1738,'Prev Aub'!B:B)=0,"",SUMIF('Prev Aub'!A:A,O1738,'Prev Aub'!B:B))</f>
        <v/>
      </c>
      <c r="AN1738" s="25" t="s">
        <v>3790</v>
      </c>
      <c r="AO1738" s="25" t="s">
        <v>3790</v>
      </c>
      <c r="AP1738" s="25" t="str">
        <f t="shared" si="790"/>
        <v/>
      </c>
      <c r="AQ1738" s="151" t="e">
        <f>IF(SUMIFS(#REF!,#REF!,O1738,#REF!,"PENDING")=0,"",SUMIFS(#REF!,#REF!,O1738,#REF!,"PENDING"))</f>
        <v>#REF!</v>
      </c>
      <c r="AR1738" s="27" t="str">
        <f t="shared" si="791"/>
        <v/>
      </c>
      <c r="AS1738" s="27" t="str">
        <f t="shared" si="792"/>
        <v/>
      </c>
      <c r="AT1738" s="27" t="str">
        <f t="shared" si="793"/>
        <v/>
      </c>
      <c r="AU1738" s="27" t="str">
        <f t="shared" si="794"/>
        <v/>
      </c>
      <c r="AV1738" s="27" t="str">
        <f t="shared" si="795"/>
        <v/>
      </c>
      <c r="AW1738" s="27" t="e">
        <f t="shared" si="796"/>
        <v>#REF!</v>
      </c>
      <c r="AX1738" s="27" t="e">
        <f t="shared" si="797"/>
        <v>#REF!</v>
      </c>
      <c r="AY1738" s="27" t="str">
        <f t="shared" si="798"/>
        <v/>
      </c>
      <c r="AZ1738" s="27" t="str">
        <f t="shared" si="799"/>
        <v/>
      </c>
      <c r="BA1738" s="27" t="str">
        <f t="shared" si="800"/>
        <v/>
      </c>
      <c r="BB1738" s="27" t="str">
        <f t="shared" si="801"/>
        <v/>
      </c>
      <c r="BC1738" s="27" t="str">
        <f t="shared" si="802"/>
        <v/>
      </c>
      <c r="BD1738" s="27" t="str">
        <f t="shared" si="803"/>
        <v/>
      </c>
      <c r="BE1738" s="27" t="str">
        <f t="shared" si="804"/>
        <v/>
      </c>
      <c r="BF1738" s="27" t="str">
        <f t="shared" si="805"/>
        <v/>
      </c>
      <c r="BG1738" s="27" t="str">
        <f t="shared" si="806"/>
        <v/>
      </c>
      <c r="BH1738" s="27" t="str">
        <f t="shared" si="807"/>
        <v/>
      </c>
      <c r="BI1738" s="27" t="str">
        <f t="shared" si="808"/>
        <v/>
      </c>
      <c r="BJ1738" s="27" t="str">
        <f t="shared" si="809"/>
        <v/>
      </c>
      <c r="BK1738" s="27" t="str">
        <f t="shared" si="810"/>
        <v/>
      </c>
      <c r="BL1738" s="27" t="str">
        <f t="shared" si="811"/>
        <v/>
      </c>
      <c r="BM1738" s="21" t="s">
        <v>3790</v>
      </c>
    </row>
    <row r="1739" spans="1:65" ht="15">
      <c r="A1739" s="25" t="str">
        <f>IFERROR(INDEX(#REF!,MATCH(O1739,#REF!,0)),"")</f>
        <v/>
      </c>
      <c r="B1739" s="25" t="str">
        <f>IFERROR(INDEX(#REF!,MATCH(O1739,#REF!,0)),"")</f>
        <v/>
      </c>
      <c r="C1739" s="25" t="str">
        <f>IFERROR(INDEX(#REF!,MATCH(O1739,#REF!,0)),"")</f>
        <v/>
      </c>
      <c r="D1739" s="25" t="str">
        <f>IFERROR(INDEX(#REF!,MATCH(O1739,#REF!,0)),"")</f>
        <v/>
      </c>
      <c r="E1739" s="25" t="str">
        <f>IFERROR(INDEX(#REF!,MATCH(O1739,#REF!,0)),"")</f>
        <v/>
      </c>
      <c r="F1739" s="25" t="str">
        <f>IFERROR(INDEX(#REF!,MATCH(O1739,#REF!,0)),"")</f>
        <v/>
      </c>
      <c r="G1739" s="25" t="str">
        <f>IFERROR(INDEX(#REF!,MATCH(O1739,#REF!,0)),"")</f>
        <v/>
      </c>
      <c r="H1739" s="25" t="str">
        <f>IFERROR(INDEX(#REF!,MATCH(O1739,#REF!,0)),"")</f>
        <v/>
      </c>
      <c r="I1739" s="25" t="str">
        <f>IFERROR(INDEX(#REF!,MATCH(O1739,#REF!,0)),"")</f>
        <v/>
      </c>
      <c r="J1739" s="25" t="str">
        <f>IFERROR(INDEX(#REF!,MATCH(O1739,#REF!,0)),"")</f>
        <v/>
      </c>
      <c r="K1739" s="25" t="str">
        <f>IFERROR(INDEX(#REF!,MATCH(O1739,#REF!,0)),"")</f>
        <v/>
      </c>
      <c r="L1739" s="25" t="str">
        <f>IFERROR(INDEX(#REF!,MATCH(O1739,#REF!,0)),"")</f>
        <v/>
      </c>
      <c r="P1739" s="27" t="str">
        <f>IFERROR(INDEX(#REF!,MATCH($O1739,#REF!,0)),"")</f>
        <v/>
      </c>
      <c r="Q1739" s="27" t="str">
        <f>IFERROR(INDEX(#REF!,MATCH($O1739,#REF!,0)),"")</f>
        <v/>
      </c>
      <c r="R1739" s="52" t="str">
        <f>IFERROR(IF(AR1740=AR1739,INDEX(#REF!,MATCH($O1739,#REF!,0))-IF(AN1739="",0,AN1739)+AP1740,INDEX(#REF!,MATCH($O1739,#REF!,0))-IF(AN1739="",0,AN1739)),"")</f>
        <v/>
      </c>
      <c r="S1739" s="53" t="str">
        <f t="shared" si="784"/>
        <v/>
      </c>
      <c r="T1739" s="52" t="str">
        <f t="shared" si="785"/>
        <v/>
      </c>
      <c r="U1739" s="52" t="str">
        <f>IFERROR(IF(AR1740=AR1739,INDEX(#REF!,MATCH($O1739,#REF!,0))-IF(AN1739="",0,AN1739)+AP1740,INDEX(#REF!,MATCH($O1739,#REF!,0))-IF(AN1739="",0,AN1739)),"")</f>
        <v/>
      </c>
      <c r="V1739" s="53" t="str">
        <f t="shared" si="786"/>
        <v/>
      </c>
      <c r="W1739" s="52" t="str">
        <f t="shared" si="787"/>
        <v/>
      </c>
      <c r="X1739" s="52" t="str">
        <f>IFERROR(IF(AND(AR1740=AR1739,AM1739&lt;&gt;""),INDEX(#REF!,MATCH($O1739,#REF!,0))-IF(AN1739="",0,AN1739)+AP1740+AD1739+AL1739,IF(AR1740=AR1739,INDEX(#REF!,MATCH($O1739,#REF!,0))-IF(AN1739="",0,AN1739)+AP1740+AD1739,IF(AM1739&lt;&gt;"",INDEX(#REF!,MATCH($O1739,#REF!,0))-IF(AN1739="",0,AN1739)+AD1739+AL1739,INDEX(#REF!,MATCH($O1739,#REF!,0))-IF(AN1739="",0,AN1739)+AD1739))),"")</f>
        <v/>
      </c>
      <c r="Y1739" s="53" t="str">
        <f t="shared" si="788"/>
        <v/>
      </c>
      <c r="Z1739" s="52" t="str">
        <f>IF(L1739="","",INDEX(#REF!,MATCH($O1739,#REF!,0)))</f>
        <v/>
      </c>
      <c r="AA1739" s="52" t="str">
        <f t="shared" si="789"/>
        <v/>
      </c>
      <c r="AB1739" s="52" t="str">
        <f>IFERROR(INDEX(#REF!,MATCH($O1739,#REF!,0)),"")</f>
        <v/>
      </c>
      <c r="AC1739" s="52" t="str">
        <f>IFERROR(IF(O1739="","",SUMIFS('CPL Mats'!F:F,'CPL Mats'!Q:Q,AR1739,'CPL Mats'!S:S,AS1739)),"")</f>
        <v/>
      </c>
      <c r="AF1739" s="25" t="e">
        <f>IF(SUMIFS(#REF!,#REF!,"Releasable",#REF!,O1739)=0,"",SUMIFS(#REF!,#REF!,"Releasable",#REF!,O1739))</f>
        <v>#REF!</v>
      </c>
      <c r="AG1739" s="25" t="str">
        <f>IFERROR(INDEX(#REF!,MATCH(O1739,#REF!,0)),"")</f>
        <v/>
      </c>
      <c r="AH1739" s="25" t="str">
        <f>IFERROR(INDEX(#REF!,MATCH($O1739,#REF!,0)),"")</f>
        <v/>
      </c>
      <c r="AI1739" s="25" t="e">
        <f>IF(SUMIFS(#REF!,#REF!,"Expires this month",#REF!,O1739)=0,"",SUMIFS(#REF!,#REF!,"Expires this month",#REF!,O1739))</f>
        <v>#REF!</v>
      </c>
      <c r="AJ1739" s="25" t="e">
        <f>IF(SUMIFS(#REF!,#REF!,"Expired Previous Months",#REF!,O1739)=0,"",SUMIFS(#REF!,#REF!,"Expired Previous Months",#REF!,O1739))</f>
        <v>#REF!</v>
      </c>
      <c r="AK1739" s="25" t="str">
        <f>IFERROR(INDEX('Hun Release Current'!B:B,MATCH(O1739,'Hun Release Current'!A:A,0)),"")</f>
        <v/>
      </c>
      <c r="AL1739" s="25" t="str">
        <f>IF(SUMIF('Prev Aub'!A:A,O1739,'Prev Aub'!B:B)=0,"",SUMIF('Prev Aub'!A:A,O1739,'Prev Aub'!B:B))</f>
        <v/>
      </c>
      <c r="AN1739" s="25" t="s">
        <v>3790</v>
      </c>
      <c r="AO1739" s="25" t="s">
        <v>3790</v>
      </c>
      <c r="AP1739" s="25" t="str">
        <f t="shared" si="790"/>
        <v/>
      </c>
      <c r="AQ1739" s="151" t="e">
        <f>IF(SUMIFS(#REF!,#REF!,O1739,#REF!,"PENDING")=0,"",SUMIFS(#REF!,#REF!,O1739,#REF!,"PENDING"))</f>
        <v>#REF!</v>
      </c>
      <c r="AR1739" s="27" t="str">
        <f t="shared" si="791"/>
        <v/>
      </c>
      <c r="AS1739" s="27" t="str">
        <f t="shared" si="792"/>
        <v/>
      </c>
      <c r="AT1739" s="27" t="str">
        <f t="shared" si="793"/>
        <v/>
      </c>
      <c r="AU1739" s="27" t="str">
        <f t="shared" si="794"/>
        <v/>
      </c>
      <c r="AV1739" s="27" t="str">
        <f t="shared" si="795"/>
        <v/>
      </c>
      <c r="AW1739" s="27" t="e">
        <f t="shared" si="796"/>
        <v>#REF!</v>
      </c>
      <c r="AX1739" s="27" t="e">
        <f t="shared" si="797"/>
        <v>#REF!</v>
      </c>
      <c r="AY1739" s="27" t="str">
        <f t="shared" si="798"/>
        <v/>
      </c>
      <c r="AZ1739" s="27" t="str">
        <f t="shared" si="799"/>
        <v/>
      </c>
      <c r="BA1739" s="27" t="str">
        <f t="shared" si="800"/>
        <v/>
      </c>
      <c r="BB1739" s="27" t="str">
        <f t="shared" si="801"/>
        <v/>
      </c>
      <c r="BC1739" s="27" t="str">
        <f t="shared" si="802"/>
        <v/>
      </c>
      <c r="BD1739" s="27" t="str">
        <f t="shared" si="803"/>
        <v/>
      </c>
      <c r="BE1739" s="27" t="str">
        <f t="shared" si="804"/>
        <v/>
      </c>
      <c r="BF1739" s="27" t="str">
        <f t="shared" si="805"/>
        <v/>
      </c>
      <c r="BG1739" s="27" t="str">
        <f t="shared" si="806"/>
        <v/>
      </c>
      <c r="BH1739" s="27" t="str">
        <f t="shared" si="807"/>
        <v/>
      </c>
      <c r="BI1739" s="27" t="str">
        <f t="shared" si="808"/>
        <v/>
      </c>
      <c r="BJ1739" s="27" t="str">
        <f t="shared" si="809"/>
        <v/>
      </c>
      <c r="BK1739" s="27" t="str">
        <f t="shared" si="810"/>
        <v/>
      </c>
      <c r="BL1739" s="27" t="str">
        <f t="shared" si="811"/>
        <v/>
      </c>
      <c r="BM1739" s="21" t="s">
        <v>3790</v>
      </c>
    </row>
    <row r="1740" spans="1:65" ht="15">
      <c r="A1740" s="25" t="str">
        <f>IFERROR(INDEX(#REF!,MATCH(O1740,#REF!,0)),"")</f>
        <v/>
      </c>
      <c r="B1740" s="25" t="str">
        <f>IFERROR(INDEX(#REF!,MATCH(O1740,#REF!,0)),"")</f>
        <v/>
      </c>
      <c r="C1740" s="25" t="str">
        <f>IFERROR(INDEX(#REF!,MATCH(O1740,#REF!,0)),"")</f>
        <v/>
      </c>
      <c r="D1740" s="25" t="str">
        <f>IFERROR(INDEX(#REF!,MATCH(O1740,#REF!,0)),"")</f>
        <v/>
      </c>
      <c r="E1740" s="25" t="str">
        <f>IFERROR(INDEX(#REF!,MATCH(O1740,#REF!,0)),"")</f>
        <v/>
      </c>
      <c r="F1740" s="25" t="str">
        <f>IFERROR(INDEX(#REF!,MATCH(O1740,#REF!,0)),"")</f>
        <v/>
      </c>
      <c r="G1740" s="25" t="str">
        <f>IFERROR(INDEX(#REF!,MATCH(O1740,#REF!,0)),"")</f>
        <v/>
      </c>
      <c r="H1740" s="25" t="str">
        <f>IFERROR(INDEX(#REF!,MATCH(O1740,#REF!,0)),"")</f>
        <v/>
      </c>
      <c r="I1740" s="25" t="str">
        <f>IFERROR(INDEX(#REF!,MATCH(O1740,#REF!,0)),"")</f>
        <v/>
      </c>
      <c r="J1740" s="25" t="str">
        <f>IFERROR(INDEX(#REF!,MATCH(O1740,#REF!,0)),"")</f>
        <v/>
      </c>
      <c r="K1740" s="25" t="str">
        <f>IFERROR(INDEX(#REF!,MATCH(O1740,#REF!,0)),"")</f>
        <v/>
      </c>
      <c r="L1740" s="25" t="str">
        <f>IFERROR(INDEX(#REF!,MATCH(O1740,#REF!,0)),"")</f>
        <v/>
      </c>
      <c r="P1740" s="27" t="str">
        <f>IFERROR(INDEX(#REF!,MATCH($O1740,#REF!,0)),"")</f>
        <v/>
      </c>
      <c r="Q1740" s="27" t="str">
        <f>IFERROR(INDEX(#REF!,MATCH($O1740,#REF!,0)),"")</f>
        <v/>
      </c>
      <c r="R1740" s="52" t="str">
        <f>IFERROR(IF(AR1741=AR1740,INDEX(#REF!,MATCH($O1740,#REF!,0))-IF(AN1740="",0,AN1740)+AP1741,INDEX(#REF!,MATCH($O1740,#REF!,0))-IF(AN1740="",0,AN1740)),"")</f>
        <v/>
      </c>
      <c r="S1740" s="53" t="str">
        <f t="shared" si="784"/>
        <v/>
      </c>
      <c r="T1740" s="52" t="str">
        <f t="shared" si="785"/>
        <v/>
      </c>
      <c r="U1740" s="52" t="str">
        <f>IFERROR(IF(AR1741=AR1740,INDEX(#REF!,MATCH($O1740,#REF!,0))-IF(AN1740="",0,AN1740)+AP1741,INDEX(#REF!,MATCH($O1740,#REF!,0))-IF(AN1740="",0,AN1740)),"")</f>
        <v/>
      </c>
      <c r="V1740" s="53" t="str">
        <f t="shared" si="786"/>
        <v/>
      </c>
      <c r="W1740" s="52" t="str">
        <f t="shared" si="787"/>
        <v/>
      </c>
      <c r="X1740" s="52" t="str">
        <f>IFERROR(IF(AND(AR1741=AR1740,AM1740&lt;&gt;""),INDEX(#REF!,MATCH($O1740,#REF!,0))-IF(AN1740="",0,AN1740)+AP1741+AD1740+AL1740,IF(AR1741=AR1740,INDEX(#REF!,MATCH($O1740,#REF!,0))-IF(AN1740="",0,AN1740)+AP1741+AD1740,IF(AM1740&lt;&gt;"",INDEX(#REF!,MATCH($O1740,#REF!,0))-IF(AN1740="",0,AN1740)+AD1740+AL1740,INDEX(#REF!,MATCH($O1740,#REF!,0))-IF(AN1740="",0,AN1740)+AD1740))),"")</f>
        <v/>
      </c>
      <c r="Y1740" s="53" t="str">
        <f t="shared" si="788"/>
        <v/>
      </c>
      <c r="Z1740" s="52" t="str">
        <f>IF(L1740="","",INDEX(#REF!,MATCH($O1740,#REF!,0)))</f>
        <v/>
      </c>
      <c r="AA1740" s="52" t="str">
        <f t="shared" si="789"/>
        <v/>
      </c>
      <c r="AB1740" s="52" t="str">
        <f>IFERROR(INDEX(#REF!,MATCH($O1740,#REF!,0)),"")</f>
        <v/>
      </c>
      <c r="AC1740" s="52" t="str">
        <f>IFERROR(IF(O1740="","",SUMIFS('CPL Mats'!F:F,'CPL Mats'!Q:Q,AR1740,'CPL Mats'!S:S,AS1740)),"")</f>
        <v/>
      </c>
      <c r="AF1740" s="25" t="e">
        <f>IF(SUMIFS(#REF!,#REF!,"Releasable",#REF!,O1740)=0,"",SUMIFS(#REF!,#REF!,"Releasable",#REF!,O1740))</f>
        <v>#REF!</v>
      </c>
      <c r="AG1740" s="25" t="str">
        <f>IFERROR(INDEX(#REF!,MATCH(O1740,#REF!,0)),"")</f>
        <v/>
      </c>
      <c r="AH1740" s="25" t="str">
        <f>IFERROR(INDEX(#REF!,MATCH($O1740,#REF!,0)),"")</f>
        <v/>
      </c>
      <c r="AI1740" s="25" t="e">
        <f>IF(SUMIFS(#REF!,#REF!,"Expires this month",#REF!,O1740)=0,"",SUMIFS(#REF!,#REF!,"Expires this month",#REF!,O1740))</f>
        <v>#REF!</v>
      </c>
      <c r="AJ1740" s="25" t="e">
        <f>IF(SUMIFS(#REF!,#REF!,"Expired Previous Months",#REF!,O1740)=0,"",SUMIFS(#REF!,#REF!,"Expired Previous Months",#REF!,O1740))</f>
        <v>#REF!</v>
      </c>
      <c r="AK1740" s="25" t="str">
        <f>IFERROR(INDEX('Hun Release Current'!B:B,MATCH(O1740,'Hun Release Current'!A:A,0)),"")</f>
        <v/>
      </c>
      <c r="AL1740" s="25" t="str">
        <f>IF(SUMIF('Prev Aub'!A:A,O1740,'Prev Aub'!B:B)=0,"",SUMIF('Prev Aub'!A:A,O1740,'Prev Aub'!B:B))</f>
        <v/>
      </c>
      <c r="AN1740" s="25" t="s">
        <v>3790</v>
      </c>
      <c r="AO1740" s="25" t="s">
        <v>3790</v>
      </c>
      <c r="AP1740" s="25" t="str">
        <f t="shared" si="790"/>
        <v/>
      </c>
      <c r="AQ1740" s="151" t="e">
        <f>IF(SUMIFS(#REF!,#REF!,O1740,#REF!,"PENDING")=0,"",SUMIFS(#REF!,#REF!,O1740,#REF!,"PENDING"))</f>
        <v>#REF!</v>
      </c>
      <c r="AR1740" s="27" t="str">
        <f t="shared" si="791"/>
        <v/>
      </c>
      <c r="AS1740" s="27" t="str">
        <f t="shared" si="792"/>
        <v/>
      </c>
      <c r="AT1740" s="27" t="str">
        <f t="shared" si="793"/>
        <v/>
      </c>
      <c r="AU1740" s="27" t="str">
        <f t="shared" si="794"/>
        <v/>
      </c>
      <c r="AV1740" s="27" t="str">
        <f t="shared" si="795"/>
        <v/>
      </c>
      <c r="AW1740" s="27" t="e">
        <f t="shared" si="796"/>
        <v>#REF!</v>
      </c>
      <c r="AX1740" s="27" t="e">
        <f t="shared" si="797"/>
        <v>#REF!</v>
      </c>
      <c r="AY1740" s="27" t="str">
        <f t="shared" si="798"/>
        <v/>
      </c>
      <c r="AZ1740" s="27" t="str">
        <f t="shared" si="799"/>
        <v/>
      </c>
      <c r="BA1740" s="27" t="str">
        <f t="shared" si="800"/>
        <v/>
      </c>
      <c r="BB1740" s="27" t="str">
        <f t="shared" si="801"/>
        <v/>
      </c>
      <c r="BC1740" s="27" t="str">
        <f t="shared" si="802"/>
        <v/>
      </c>
      <c r="BD1740" s="27" t="str">
        <f t="shared" si="803"/>
        <v/>
      </c>
      <c r="BE1740" s="27" t="str">
        <f t="shared" si="804"/>
        <v/>
      </c>
      <c r="BF1740" s="27" t="str">
        <f t="shared" si="805"/>
        <v/>
      </c>
      <c r="BG1740" s="27" t="str">
        <f t="shared" si="806"/>
        <v/>
      </c>
      <c r="BH1740" s="27" t="str">
        <f t="shared" si="807"/>
        <v/>
      </c>
      <c r="BI1740" s="27" t="str">
        <f t="shared" si="808"/>
        <v/>
      </c>
      <c r="BJ1740" s="27" t="str">
        <f t="shared" si="809"/>
        <v/>
      </c>
      <c r="BK1740" s="27" t="str">
        <f t="shared" si="810"/>
        <v/>
      </c>
      <c r="BL1740" s="27" t="str">
        <f t="shared" si="811"/>
        <v/>
      </c>
      <c r="BM1740" s="21" t="s">
        <v>3790</v>
      </c>
    </row>
    <row r="1741" spans="1:65" ht="15">
      <c r="A1741" s="25" t="str">
        <f>IFERROR(INDEX(#REF!,MATCH(O1741,#REF!,0)),"")</f>
        <v/>
      </c>
      <c r="B1741" s="25" t="str">
        <f>IFERROR(INDEX(#REF!,MATCH(O1741,#REF!,0)),"")</f>
        <v/>
      </c>
      <c r="C1741" s="25" t="str">
        <f>IFERROR(INDEX(#REF!,MATCH(O1741,#REF!,0)),"")</f>
        <v/>
      </c>
      <c r="D1741" s="25" t="str">
        <f>IFERROR(INDEX(#REF!,MATCH(O1741,#REF!,0)),"")</f>
        <v/>
      </c>
      <c r="E1741" s="25" t="str">
        <f>IFERROR(INDEX(#REF!,MATCH(O1741,#REF!,0)),"")</f>
        <v/>
      </c>
      <c r="F1741" s="25" t="str">
        <f>IFERROR(INDEX(#REF!,MATCH(O1741,#REF!,0)),"")</f>
        <v/>
      </c>
      <c r="G1741" s="25" t="str">
        <f>IFERROR(INDEX(#REF!,MATCH(O1741,#REF!,0)),"")</f>
        <v/>
      </c>
      <c r="H1741" s="25" t="str">
        <f>IFERROR(INDEX(#REF!,MATCH(O1741,#REF!,0)),"")</f>
        <v/>
      </c>
      <c r="I1741" s="25" t="str">
        <f>IFERROR(INDEX(#REF!,MATCH(O1741,#REF!,0)),"")</f>
        <v/>
      </c>
      <c r="J1741" s="25" t="str">
        <f>IFERROR(INDEX(#REF!,MATCH(O1741,#REF!,0)),"")</f>
        <v/>
      </c>
      <c r="K1741" s="25" t="str">
        <f>IFERROR(INDEX(#REF!,MATCH(O1741,#REF!,0)),"")</f>
        <v/>
      </c>
      <c r="L1741" s="25" t="str">
        <f>IFERROR(INDEX(#REF!,MATCH(O1741,#REF!,0)),"")</f>
        <v/>
      </c>
      <c r="P1741" s="27" t="str">
        <f>IFERROR(INDEX(#REF!,MATCH($O1741,#REF!,0)),"")</f>
        <v/>
      </c>
      <c r="Q1741" s="27" t="str">
        <f>IFERROR(INDEX(#REF!,MATCH($O1741,#REF!,0)),"")</f>
        <v/>
      </c>
      <c r="R1741" s="52" t="str">
        <f>IFERROR(IF(AR1742=AR1741,INDEX(#REF!,MATCH($O1741,#REF!,0))-IF(AN1741="",0,AN1741)+AP1742,INDEX(#REF!,MATCH($O1741,#REF!,0))-IF(AN1741="",0,AN1741)),"")</f>
        <v/>
      </c>
      <c r="S1741" s="53" t="str">
        <f t="shared" si="784"/>
        <v/>
      </c>
      <c r="T1741" s="52" t="str">
        <f t="shared" si="785"/>
        <v/>
      </c>
      <c r="U1741" s="52" t="str">
        <f>IFERROR(IF(AR1742=AR1741,INDEX(#REF!,MATCH($O1741,#REF!,0))-IF(AN1741="",0,AN1741)+AP1742,INDEX(#REF!,MATCH($O1741,#REF!,0))-IF(AN1741="",0,AN1741)),"")</f>
        <v/>
      </c>
      <c r="V1741" s="53" t="str">
        <f t="shared" si="786"/>
        <v/>
      </c>
      <c r="W1741" s="52" t="str">
        <f t="shared" si="787"/>
        <v/>
      </c>
      <c r="X1741" s="52" t="str">
        <f>IFERROR(IF(AND(AR1742=AR1741,AM1741&lt;&gt;""),INDEX(#REF!,MATCH($O1741,#REF!,0))-IF(AN1741="",0,AN1741)+AP1742+AD1741+AL1741,IF(AR1742=AR1741,INDEX(#REF!,MATCH($O1741,#REF!,0))-IF(AN1741="",0,AN1741)+AP1742+AD1741,IF(AM1741&lt;&gt;"",INDEX(#REF!,MATCH($O1741,#REF!,0))-IF(AN1741="",0,AN1741)+AD1741+AL1741,INDEX(#REF!,MATCH($O1741,#REF!,0))-IF(AN1741="",0,AN1741)+AD1741))),"")</f>
        <v/>
      </c>
      <c r="Y1741" s="53" t="str">
        <f t="shared" si="788"/>
        <v/>
      </c>
      <c r="Z1741" s="52" t="str">
        <f>IF(L1741="","",INDEX(#REF!,MATCH($O1741,#REF!,0)))</f>
        <v/>
      </c>
      <c r="AA1741" s="52" t="str">
        <f t="shared" si="789"/>
        <v/>
      </c>
      <c r="AB1741" s="52" t="str">
        <f>IFERROR(INDEX(#REF!,MATCH($O1741,#REF!,0)),"")</f>
        <v/>
      </c>
      <c r="AC1741" s="52" t="str">
        <f>IFERROR(IF(O1741="","",SUMIFS('CPL Mats'!F:F,'CPL Mats'!Q:Q,AR1741,'CPL Mats'!S:S,AS1741)),"")</f>
        <v/>
      </c>
      <c r="AF1741" s="25" t="e">
        <f>IF(SUMIFS(#REF!,#REF!,"Releasable",#REF!,O1741)=0,"",SUMIFS(#REF!,#REF!,"Releasable",#REF!,O1741))</f>
        <v>#REF!</v>
      </c>
      <c r="AG1741" s="25" t="str">
        <f>IFERROR(INDEX(#REF!,MATCH(O1741,#REF!,0)),"")</f>
        <v/>
      </c>
      <c r="AH1741" s="25" t="str">
        <f>IFERROR(INDEX(#REF!,MATCH($O1741,#REF!,0)),"")</f>
        <v/>
      </c>
      <c r="AI1741" s="25" t="e">
        <f>IF(SUMIFS(#REF!,#REF!,"Expires this month",#REF!,O1741)=0,"",SUMIFS(#REF!,#REF!,"Expires this month",#REF!,O1741))</f>
        <v>#REF!</v>
      </c>
      <c r="AJ1741" s="25" t="e">
        <f>IF(SUMIFS(#REF!,#REF!,"Expired Previous Months",#REF!,O1741)=0,"",SUMIFS(#REF!,#REF!,"Expired Previous Months",#REF!,O1741))</f>
        <v>#REF!</v>
      </c>
      <c r="AK1741" s="25" t="str">
        <f>IFERROR(INDEX('Hun Release Current'!B:B,MATCH(O1741,'Hun Release Current'!A:A,0)),"")</f>
        <v/>
      </c>
      <c r="AL1741" s="25" t="str">
        <f>IF(SUMIF('Prev Aub'!A:A,O1741,'Prev Aub'!B:B)=0,"",SUMIF('Prev Aub'!A:A,O1741,'Prev Aub'!B:B))</f>
        <v/>
      </c>
      <c r="AN1741" s="25" t="s">
        <v>3790</v>
      </c>
      <c r="AO1741" s="25" t="s">
        <v>3790</v>
      </c>
      <c r="AP1741" s="25" t="str">
        <f t="shared" si="790"/>
        <v/>
      </c>
      <c r="AQ1741" s="151" t="e">
        <f>IF(SUMIFS(#REF!,#REF!,O1741,#REF!,"PENDING")=0,"",SUMIFS(#REF!,#REF!,O1741,#REF!,"PENDING"))</f>
        <v>#REF!</v>
      </c>
      <c r="AR1741" s="27" t="str">
        <f t="shared" si="791"/>
        <v/>
      </c>
      <c r="AS1741" s="27" t="str">
        <f t="shared" si="792"/>
        <v/>
      </c>
      <c r="AT1741" s="27" t="str">
        <f t="shared" si="793"/>
        <v/>
      </c>
      <c r="AU1741" s="27" t="str">
        <f t="shared" si="794"/>
        <v/>
      </c>
      <c r="AV1741" s="27" t="str">
        <f t="shared" si="795"/>
        <v/>
      </c>
      <c r="AW1741" s="27" t="e">
        <f t="shared" si="796"/>
        <v>#REF!</v>
      </c>
      <c r="AX1741" s="27" t="e">
        <f t="shared" si="797"/>
        <v>#REF!</v>
      </c>
      <c r="AY1741" s="27" t="str">
        <f t="shared" si="798"/>
        <v/>
      </c>
      <c r="AZ1741" s="27" t="str">
        <f t="shared" si="799"/>
        <v/>
      </c>
      <c r="BA1741" s="27" t="str">
        <f t="shared" si="800"/>
        <v/>
      </c>
      <c r="BB1741" s="27" t="str">
        <f t="shared" si="801"/>
        <v/>
      </c>
      <c r="BC1741" s="27" t="str">
        <f t="shared" si="802"/>
        <v/>
      </c>
      <c r="BD1741" s="27" t="str">
        <f t="shared" si="803"/>
        <v/>
      </c>
      <c r="BE1741" s="27" t="str">
        <f t="shared" si="804"/>
        <v/>
      </c>
      <c r="BF1741" s="27" t="str">
        <f t="shared" si="805"/>
        <v/>
      </c>
      <c r="BG1741" s="27" t="str">
        <f t="shared" si="806"/>
        <v/>
      </c>
      <c r="BH1741" s="27" t="str">
        <f t="shared" si="807"/>
        <v/>
      </c>
      <c r="BI1741" s="27" t="str">
        <f t="shared" si="808"/>
        <v/>
      </c>
      <c r="BJ1741" s="27" t="str">
        <f t="shared" si="809"/>
        <v/>
      </c>
      <c r="BK1741" s="27" t="str">
        <f t="shared" si="810"/>
        <v/>
      </c>
      <c r="BL1741" s="27" t="str">
        <f t="shared" si="811"/>
        <v/>
      </c>
      <c r="BM1741" s="21" t="s">
        <v>3790</v>
      </c>
    </row>
    <row r="1742" spans="1:65" ht="15">
      <c r="A1742" s="25" t="str">
        <f>IFERROR(INDEX(#REF!,MATCH(O1742,#REF!,0)),"")</f>
        <v/>
      </c>
      <c r="B1742" s="25" t="str">
        <f>IFERROR(INDEX(#REF!,MATCH(O1742,#REF!,0)),"")</f>
        <v/>
      </c>
      <c r="C1742" s="25" t="str">
        <f>IFERROR(INDEX(#REF!,MATCH(O1742,#REF!,0)),"")</f>
        <v/>
      </c>
      <c r="D1742" s="25" t="str">
        <f>IFERROR(INDEX(#REF!,MATCH(O1742,#REF!,0)),"")</f>
        <v/>
      </c>
      <c r="E1742" s="25" t="str">
        <f>IFERROR(INDEX(#REF!,MATCH(O1742,#REF!,0)),"")</f>
        <v/>
      </c>
      <c r="F1742" s="25" t="str">
        <f>IFERROR(INDEX(#REF!,MATCH(O1742,#REF!,0)),"")</f>
        <v/>
      </c>
      <c r="G1742" s="25" t="str">
        <f>IFERROR(INDEX(#REF!,MATCH(O1742,#REF!,0)),"")</f>
        <v/>
      </c>
      <c r="H1742" s="25" t="str">
        <f>IFERROR(INDEX(#REF!,MATCH(O1742,#REF!,0)),"")</f>
        <v/>
      </c>
      <c r="I1742" s="25" t="str">
        <f>IFERROR(INDEX(#REF!,MATCH(O1742,#REF!,0)),"")</f>
        <v/>
      </c>
      <c r="J1742" s="25" t="str">
        <f>IFERROR(INDEX(#REF!,MATCH(O1742,#REF!,0)),"")</f>
        <v/>
      </c>
      <c r="K1742" s="25" t="str">
        <f>IFERROR(INDEX(#REF!,MATCH(O1742,#REF!,0)),"")</f>
        <v/>
      </c>
      <c r="L1742" s="25" t="str">
        <f>IFERROR(INDEX(#REF!,MATCH(O1742,#REF!,0)),"")</f>
        <v/>
      </c>
      <c r="P1742" s="27" t="str">
        <f>IFERROR(INDEX(#REF!,MATCH($O1742,#REF!,0)),"")</f>
        <v/>
      </c>
      <c r="Q1742" s="27" t="str">
        <f>IFERROR(INDEX(#REF!,MATCH($O1742,#REF!,0)),"")</f>
        <v/>
      </c>
      <c r="R1742" s="52" t="str">
        <f>IFERROR(IF(AR1743=AR1742,INDEX(#REF!,MATCH($O1742,#REF!,0))-IF(AN1742="",0,AN1742)+AP1743,INDEX(#REF!,MATCH($O1742,#REF!,0))-IF(AN1742="",0,AN1742)),"")</f>
        <v/>
      </c>
      <c r="S1742" s="53" t="str">
        <f t="shared" si="784"/>
        <v/>
      </c>
      <c r="T1742" s="52" t="str">
        <f t="shared" si="785"/>
        <v/>
      </c>
      <c r="U1742" s="52" t="str">
        <f>IFERROR(IF(AR1743=AR1742,INDEX(#REF!,MATCH($O1742,#REF!,0))-IF(AN1742="",0,AN1742)+AP1743,INDEX(#REF!,MATCH($O1742,#REF!,0))-IF(AN1742="",0,AN1742)),"")</f>
        <v/>
      </c>
      <c r="V1742" s="53" t="str">
        <f t="shared" si="786"/>
        <v/>
      </c>
      <c r="W1742" s="52" t="str">
        <f t="shared" si="787"/>
        <v/>
      </c>
      <c r="X1742" s="52" t="str">
        <f>IFERROR(IF(AND(AR1743=AR1742,AM1742&lt;&gt;""),INDEX(#REF!,MATCH($O1742,#REF!,0))-IF(AN1742="",0,AN1742)+AP1743+AD1742+AL1742,IF(AR1743=AR1742,INDEX(#REF!,MATCH($O1742,#REF!,0))-IF(AN1742="",0,AN1742)+AP1743+AD1742,IF(AM1742&lt;&gt;"",INDEX(#REF!,MATCH($O1742,#REF!,0))-IF(AN1742="",0,AN1742)+AD1742+AL1742,INDEX(#REF!,MATCH($O1742,#REF!,0))-IF(AN1742="",0,AN1742)+AD1742))),"")</f>
        <v/>
      </c>
      <c r="Y1742" s="53" t="str">
        <f t="shared" si="788"/>
        <v/>
      </c>
      <c r="Z1742" s="52" t="str">
        <f>IF(L1742="","",INDEX(#REF!,MATCH($O1742,#REF!,0)))</f>
        <v/>
      </c>
      <c r="AA1742" s="52" t="str">
        <f t="shared" si="789"/>
        <v/>
      </c>
      <c r="AB1742" s="52" t="str">
        <f>IFERROR(INDEX(#REF!,MATCH($O1742,#REF!,0)),"")</f>
        <v/>
      </c>
      <c r="AC1742" s="52" t="str">
        <f>IFERROR(IF(O1742="","",SUMIFS('CPL Mats'!F:F,'CPL Mats'!Q:Q,AR1742,'CPL Mats'!S:S,AS1742)),"")</f>
        <v/>
      </c>
      <c r="AF1742" s="25" t="e">
        <f>IF(SUMIFS(#REF!,#REF!,"Releasable",#REF!,O1742)=0,"",SUMIFS(#REF!,#REF!,"Releasable",#REF!,O1742))</f>
        <v>#REF!</v>
      </c>
      <c r="AG1742" s="25" t="str">
        <f>IFERROR(INDEX(#REF!,MATCH(O1742,#REF!,0)),"")</f>
        <v/>
      </c>
      <c r="AH1742" s="25" t="str">
        <f>IFERROR(INDEX(#REF!,MATCH($O1742,#REF!,0)),"")</f>
        <v/>
      </c>
      <c r="AI1742" s="25" t="e">
        <f>IF(SUMIFS(#REF!,#REF!,"Expires this month",#REF!,O1742)=0,"",SUMIFS(#REF!,#REF!,"Expires this month",#REF!,O1742))</f>
        <v>#REF!</v>
      </c>
      <c r="AJ1742" s="25" t="e">
        <f>IF(SUMIFS(#REF!,#REF!,"Expired Previous Months",#REF!,O1742)=0,"",SUMIFS(#REF!,#REF!,"Expired Previous Months",#REF!,O1742))</f>
        <v>#REF!</v>
      </c>
      <c r="AK1742" s="25" t="str">
        <f>IFERROR(INDEX('Hun Release Current'!B:B,MATCH(O1742,'Hun Release Current'!A:A,0)),"")</f>
        <v/>
      </c>
      <c r="AL1742" s="25" t="str">
        <f>IF(SUMIF('Prev Aub'!A:A,O1742,'Prev Aub'!B:B)=0,"",SUMIF('Prev Aub'!A:A,O1742,'Prev Aub'!B:B))</f>
        <v/>
      </c>
      <c r="AN1742" s="25" t="s">
        <v>3790</v>
      </c>
      <c r="AO1742" s="25" t="s">
        <v>3790</v>
      </c>
      <c r="AP1742" s="25" t="str">
        <f t="shared" si="790"/>
        <v/>
      </c>
      <c r="AQ1742" s="151" t="e">
        <f>IF(SUMIFS(#REF!,#REF!,O1742,#REF!,"PENDING")=0,"",SUMIFS(#REF!,#REF!,O1742,#REF!,"PENDING"))</f>
        <v>#REF!</v>
      </c>
      <c r="AR1742" s="27" t="str">
        <f t="shared" si="791"/>
        <v/>
      </c>
      <c r="AS1742" s="27" t="str">
        <f t="shared" si="792"/>
        <v/>
      </c>
      <c r="AT1742" s="27" t="str">
        <f t="shared" si="793"/>
        <v/>
      </c>
      <c r="AU1742" s="27" t="str">
        <f t="shared" si="794"/>
        <v/>
      </c>
      <c r="AV1742" s="27" t="str">
        <f t="shared" si="795"/>
        <v/>
      </c>
      <c r="AW1742" s="27" t="e">
        <f t="shared" si="796"/>
        <v>#REF!</v>
      </c>
      <c r="AX1742" s="27" t="e">
        <f t="shared" si="797"/>
        <v>#REF!</v>
      </c>
      <c r="AY1742" s="27" t="str">
        <f t="shared" si="798"/>
        <v/>
      </c>
      <c r="AZ1742" s="27" t="str">
        <f t="shared" si="799"/>
        <v/>
      </c>
      <c r="BA1742" s="27" t="str">
        <f t="shared" si="800"/>
        <v/>
      </c>
      <c r="BB1742" s="27" t="str">
        <f t="shared" si="801"/>
        <v/>
      </c>
      <c r="BC1742" s="27" t="str">
        <f t="shared" si="802"/>
        <v/>
      </c>
      <c r="BD1742" s="27" t="str">
        <f t="shared" si="803"/>
        <v/>
      </c>
      <c r="BE1742" s="27" t="str">
        <f t="shared" si="804"/>
        <v/>
      </c>
      <c r="BF1742" s="27" t="str">
        <f t="shared" si="805"/>
        <v/>
      </c>
      <c r="BG1742" s="27" t="str">
        <f t="shared" si="806"/>
        <v/>
      </c>
      <c r="BH1742" s="27" t="str">
        <f t="shared" si="807"/>
        <v/>
      </c>
      <c r="BI1742" s="27" t="str">
        <f t="shared" si="808"/>
        <v/>
      </c>
      <c r="BJ1742" s="27" t="str">
        <f t="shared" si="809"/>
        <v/>
      </c>
      <c r="BK1742" s="27" t="str">
        <f t="shared" si="810"/>
        <v/>
      </c>
      <c r="BL1742" s="27" t="str">
        <f t="shared" si="811"/>
        <v/>
      </c>
      <c r="BM1742" s="21" t="s">
        <v>3790</v>
      </c>
    </row>
    <row r="1743" spans="1:65" ht="15">
      <c r="A1743" s="25" t="str">
        <f>IFERROR(INDEX(#REF!,MATCH(O1743,#REF!,0)),"")</f>
        <v/>
      </c>
      <c r="B1743" s="25" t="str">
        <f>IFERROR(INDEX(#REF!,MATCH(O1743,#REF!,0)),"")</f>
        <v/>
      </c>
      <c r="C1743" s="25" t="str">
        <f>IFERROR(INDEX(#REF!,MATCH(O1743,#REF!,0)),"")</f>
        <v/>
      </c>
      <c r="D1743" s="25" t="str">
        <f>IFERROR(INDEX(#REF!,MATCH(O1743,#REF!,0)),"")</f>
        <v/>
      </c>
      <c r="E1743" s="25" t="str">
        <f>IFERROR(INDEX(#REF!,MATCH(O1743,#REF!,0)),"")</f>
        <v/>
      </c>
      <c r="F1743" s="25" t="str">
        <f>IFERROR(INDEX(#REF!,MATCH(O1743,#REF!,0)),"")</f>
        <v/>
      </c>
      <c r="G1743" s="25" t="str">
        <f>IFERROR(INDEX(#REF!,MATCH(O1743,#REF!,0)),"")</f>
        <v/>
      </c>
      <c r="H1743" s="25" t="str">
        <f>IFERROR(INDEX(#REF!,MATCH(O1743,#REF!,0)),"")</f>
        <v/>
      </c>
      <c r="I1743" s="25" t="str">
        <f>IFERROR(INDEX(#REF!,MATCH(O1743,#REF!,0)),"")</f>
        <v/>
      </c>
      <c r="J1743" s="25" t="str">
        <f>IFERROR(INDEX(#REF!,MATCH(O1743,#REF!,0)),"")</f>
        <v/>
      </c>
      <c r="K1743" s="25" t="str">
        <f>IFERROR(INDEX(#REF!,MATCH(O1743,#REF!,0)),"")</f>
        <v/>
      </c>
      <c r="L1743" s="25" t="str">
        <f>IFERROR(INDEX(#REF!,MATCH(O1743,#REF!,0)),"")</f>
        <v/>
      </c>
      <c r="P1743" s="27" t="str">
        <f>IFERROR(INDEX(#REF!,MATCH($O1743,#REF!,0)),"")</f>
        <v/>
      </c>
      <c r="Q1743" s="27" t="str">
        <f>IFERROR(INDEX(#REF!,MATCH($O1743,#REF!,0)),"")</f>
        <v/>
      </c>
      <c r="R1743" s="52" t="str">
        <f>IFERROR(IF(AR1744=AR1743,INDEX(#REF!,MATCH($O1743,#REF!,0))-IF(AN1743="",0,AN1743)+AP1744,INDEX(#REF!,MATCH($O1743,#REF!,0))-IF(AN1743="",0,AN1743)),"")</f>
        <v/>
      </c>
      <c r="S1743" s="53" t="str">
        <f t="shared" si="784"/>
        <v/>
      </c>
      <c r="T1743" s="52" t="str">
        <f t="shared" si="785"/>
        <v/>
      </c>
      <c r="U1743" s="52" t="str">
        <f>IFERROR(IF(AR1744=AR1743,INDEX(#REF!,MATCH($O1743,#REF!,0))-IF(AN1743="",0,AN1743)+AP1744,INDEX(#REF!,MATCH($O1743,#REF!,0))-IF(AN1743="",0,AN1743)),"")</f>
        <v/>
      </c>
      <c r="V1743" s="53" t="str">
        <f t="shared" si="786"/>
        <v/>
      </c>
      <c r="W1743" s="52" t="str">
        <f t="shared" si="787"/>
        <v/>
      </c>
      <c r="X1743" s="52" t="str">
        <f>IFERROR(IF(AND(AR1744=AR1743,AM1743&lt;&gt;""),INDEX(#REF!,MATCH($O1743,#REF!,0))-IF(AN1743="",0,AN1743)+AP1744+AD1743+AL1743,IF(AR1744=AR1743,INDEX(#REF!,MATCH($O1743,#REF!,0))-IF(AN1743="",0,AN1743)+AP1744+AD1743,IF(AM1743&lt;&gt;"",INDEX(#REF!,MATCH($O1743,#REF!,0))-IF(AN1743="",0,AN1743)+AD1743+AL1743,INDEX(#REF!,MATCH($O1743,#REF!,0))-IF(AN1743="",0,AN1743)+AD1743))),"")</f>
        <v/>
      </c>
      <c r="Y1743" s="53" t="str">
        <f t="shared" si="788"/>
        <v/>
      </c>
      <c r="Z1743" s="52" t="str">
        <f>IF(L1743="","",INDEX(#REF!,MATCH($O1743,#REF!,0)))</f>
        <v/>
      </c>
      <c r="AA1743" s="52" t="str">
        <f t="shared" si="789"/>
        <v/>
      </c>
      <c r="AB1743" s="52" t="str">
        <f>IFERROR(INDEX(#REF!,MATCH($O1743,#REF!,0)),"")</f>
        <v/>
      </c>
      <c r="AC1743" s="52" t="str">
        <f>IFERROR(IF(O1743="","",SUMIFS('CPL Mats'!F:F,'CPL Mats'!Q:Q,AR1743,'CPL Mats'!S:S,AS1743)),"")</f>
        <v/>
      </c>
      <c r="AF1743" s="25" t="e">
        <f>IF(SUMIFS(#REF!,#REF!,"Releasable",#REF!,O1743)=0,"",SUMIFS(#REF!,#REF!,"Releasable",#REF!,O1743))</f>
        <v>#REF!</v>
      </c>
      <c r="AG1743" s="25" t="str">
        <f>IFERROR(INDEX(#REF!,MATCH(O1743,#REF!,0)),"")</f>
        <v/>
      </c>
      <c r="AH1743" s="25" t="str">
        <f>IFERROR(INDEX(#REF!,MATCH($O1743,#REF!,0)),"")</f>
        <v/>
      </c>
      <c r="AI1743" s="25" t="e">
        <f>IF(SUMIFS(#REF!,#REF!,"Expires this month",#REF!,O1743)=0,"",SUMIFS(#REF!,#REF!,"Expires this month",#REF!,O1743))</f>
        <v>#REF!</v>
      </c>
      <c r="AJ1743" s="25" t="e">
        <f>IF(SUMIFS(#REF!,#REF!,"Expired Previous Months",#REF!,O1743)=0,"",SUMIFS(#REF!,#REF!,"Expired Previous Months",#REF!,O1743))</f>
        <v>#REF!</v>
      </c>
      <c r="AK1743" s="25" t="str">
        <f>IFERROR(INDEX('Hun Release Current'!B:B,MATCH(O1743,'Hun Release Current'!A:A,0)),"")</f>
        <v/>
      </c>
      <c r="AL1743" s="25" t="str">
        <f>IF(SUMIF('Prev Aub'!A:A,O1743,'Prev Aub'!B:B)=0,"",SUMIF('Prev Aub'!A:A,O1743,'Prev Aub'!B:B))</f>
        <v/>
      </c>
      <c r="AN1743" s="25" t="s">
        <v>3790</v>
      </c>
      <c r="AO1743" s="25" t="s">
        <v>3790</v>
      </c>
      <c r="AP1743" s="25" t="str">
        <f t="shared" si="790"/>
        <v/>
      </c>
      <c r="AQ1743" s="151" t="e">
        <f>IF(SUMIFS(#REF!,#REF!,O1743,#REF!,"PENDING")=0,"",SUMIFS(#REF!,#REF!,O1743,#REF!,"PENDING"))</f>
        <v>#REF!</v>
      </c>
      <c r="AR1743" s="27" t="str">
        <f t="shared" si="791"/>
        <v/>
      </c>
      <c r="AS1743" s="27" t="str">
        <f t="shared" si="792"/>
        <v/>
      </c>
      <c r="AT1743" s="27" t="str">
        <f t="shared" si="793"/>
        <v/>
      </c>
      <c r="AU1743" s="27" t="str">
        <f t="shared" si="794"/>
        <v/>
      </c>
      <c r="AV1743" s="27" t="str">
        <f t="shared" si="795"/>
        <v/>
      </c>
      <c r="AW1743" s="27" t="e">
        <f t="shared" si="796"/>
        <v>#REF!</v>
      </c>
      <c r="AX1743" s="27" t="e">
        <f t="shared" si="797"/>
        <v>#REF!</v>
      </c>
      <c r="AY1743" s="27" t="str">
        <f t="shared" si="798"/>
        <v/>
      </c>
      <c r="AZ1743" s="27" t="str">
        <f t="shared" si="799"/>
        <v/>
      </c>
      <c r="BA1743" s="27" t="str">
        <f t="shared" si="800"/>
        <v/>
      </c>
      <c r="BB1743" s="27" t="str">
        <f t="shared" si="801"/>
        <v/>
      </c>
      <c r="BC1743" s="27" t="str">
        <f t="shared" si="802"/>
        <v/>
      </c>
      <c r="BD1743" s="27" t="str">
        <f t="shared" si="803"/>
        <v/>
      </c>
      <c r="BE1743" s="27" t="str">
        <f t="shared" si="804"/>
        <v/>
      </c>
      <c r="BF1743" s="27" t="str">
        <f t="shared" si="805"/>
        <v/>
      </c>
      <c r="BG1743" s="27" t="str">
        <f t="shared" si="806"/>
        <v/>
      </c>
      <c r="BH1743" s="27" t="str">
        <f t="shared" si="807"/>
        <v/>
      </c>
      <c r="BI1743" s="27" t="str">
        <f t="shared" si="808"/>
        <v/>
      </c>
      <c r="BJ1743" s="27" t="str">
        <f t="shared" si="809"/>
        <v/>
      </c>
      <c r="BK1743" s="27" t="str">
        <f t="shared" si="810"/>
        <v/>
      </c>
      <c r="BL1743" s="27" t="str">
        <f t="shared" si="811"/>
        <v/>
      </c>
      <c r="BM1743" s="21" t="s">
        <v>3790</v>
      </c>
    </row>
    <row r="1744" spans="1:65" ht="15">
      <c r="A1744" s="25" t="str">
        <f>IFERROR(INDEX(#REF!,MATCH(O1744,#REF!,0)),"")</f>
        <v/>
      </c>
      <c r="B1744" s="25" t="str">
        <f>IFERROR(INDEX(#REF!,MATCH(O1744,#REF!,0)),"")</f>
        <v/>
      </c>
      <c r="C1744" s="25" t="str">
        <f>IFERROR(INDEX(#REF!,MATCH(O1744,#REF!,0)),"")</f>
        <v/>
      </c>
      <c r="D1744" s="25" t="str">
        <f>IFERROR(INDEX(#REF!,MATCH(O1744,#REF!,0)),"")</f>
        <v/>
      </c>
      <c r="E1744" s="25" t="str">
        <f>IFERROR(INDEX(#REF!,MATCH(O1744,#REF!,0)),"")</f>
        <v/>
      </c>
      <c r="F1744" s="25" t="str">
        <f>IFERROR(INDEX(#REF!,MATCH(O1744,#REF!,0)),"")</f>
        <v/>
      </c>
      <c r="G1744" s="25" t="str">
        <f>IFERROR(INDEX(#REF!,MATCH(O1744,#REF!,0)),"")</f>
        <v/>
      </c>
      <c r="H1744" s="25" t="str">
        <f>IFERROR(INDEX(#REF!,MATCH(O1744,#REF!,0)),"")</f>
        <v/>
      </c>
      <c r="I1744" s="25" t="str">
        <f>IFERROR(INDEX(#REF!,MATCH(O1744,#REF!,0)),"")</f>
        <v/>
      </c>
      <c r="J1744" s="25" t="str">
        <f>IFERROR(INDEX(#REF!,MATCH(O1744,#REF!,0)),"")</f>
        <v/>
      </c>
      <c r="K1744" s="25" t="str">
        <f>IFERROR(INDEX(#REF!,MATCH(O1744,#REF!,0)),"")</f>
        <v/>
      </c>
      <c r="L1744" s="25" t="str">
        <f>IFERROR(INDEX(#REF!,MATCH(O1744,#REF!,0)),"")</f>
        <v/>
      </c>
      <c r="P1744" s="27" t="str">
        <f>IFERROR(INDEX(#REF!,MATCH($O1744,#REF!,0)),"")</f>
        <v/>
      </c>
      <c r="Q1744" s="27" t="str">
        <f>IFERROR(INDEX(#REF!,MATCH($O1744,#REF!,0)),"")</f>
        <v/>
      </c>
      <c r="R1744" s="52" t="str">
        <f>IFERROR(IF(AR1745=AR1744,INDEX(#REF!,MATCH($O1744,#REF!,0))-IF(AN1744="",0,AN1744)+AP1745,INDEX(#REF!,MATCH($O1744,#REF!,0))-IF(AN1744="",0,AN1744)),"")</f>
        <v/>
      </c>
      <c r="S1744" s="53" t="str">
        <f t="shared" si="784"/>
        <v/>
      </c>
      <c r="T1744" s="52" t="str">
        <f t="shared" si="785"/>
        <v/>
      </c>
      <c r="U1744" s="52" t="str">
        <f>IFERROR(IF(AR1745=AR1744,INDEX(#REF!,MATCH($O1744,#REF!,0))-IF(AN1744="",0,AN1744)+AP1745,INDEX(#REF!,MATCH($O1744,#REF!,0))-IF(AN1744="",0,AN1744)),"")</f>
        <v/>
      </c>
      <c r="V1744" s="53" t="str">
        <f t="shared" si="786"/>
        <v/>
      </c>
      <c r="W1744" s="52" t="str">
        <f t="shared" si="787"/>
        <v/>
      </c>
      <c r="X1744" s="52" t="str">
        <f>IFERROR(IF(AND(AR1745=AR1744,AM1744&lt;&gt;""),INDEX(#REF!,MATCH($O1744,#REF!,0))-IF(AN1744="",0,AN1744)+AP1745+AD1744+AL1744,IF(AR1745=AR1744,INDEX(#REF!,MATCH($O1744,#REF!,0))-IF(AN1744="",0,AN1744)+AP1745+AD1744,IF(AM1744&lt;&gt;"",INDEX(#REF!,MATCH($O1744,#REF!,0))-IF(AN1744="",0,AN1744)+AD1744+AL1744,INDEX(#REF!,MATCH($O1744,#REF!,0))-IF(AN1744="",0,AN1744)+AD1744))),"")</f>
        <v/>
      </c>
      <c r="Y1744" s="53" t="str">
        <f t="shared" si="788"/>
        <v/>
      </c>
      <c r="Z1744" s="52" t="str">
        <f>IF(L1744="","",INDEX(#REF!,MATCH($O1744,#REF!,0)))</f>
        <v/>
      </c>
      <c r="AA1744" s="52" t="str">
        <f t="shared" si="789"/>
        <v/>
      </c>
      <c r="AB1744" s="52" t="str">
        <f>IFERROR(INDEX(#REF!,MATCH($O1744,#REF!,0)),"")</f>
        <v/>
      </c>
      <c r="AC1744" s="52" t="str">
        <f>IFERROR(IF(O1744="","",SUMIFS('CPL Mats'!F:F,'CPL Mats'!Q:Q,AR1744,'CPL Mats'!S:S,AS1744)),"")</f>
        <v/>
      </c>
      <c r="AF1744" s="25" t="e">
        <f>IF(SUMIFS(#REF!,#REF!,"Releasable",#REF!,O1744)=0,"",SUMIFS(#REF!,#REF!,"Releasable",#REF!,O1744))</f>
        <v>#REF!</v>
      </c>
      <c r="AG1744" s="25" t="str">
        <f>IFERROR(INDEX(#REF!,MATCH(O1744,#REF!,0)),"")</f>
        <v/>
      </c>
      <c r="AH1744" s="25" t="str">
        <f>IFERROR(INDEX(#REF!,MATCH($O1744,#REF!,0)),"")</f>
        <v/>
      </c>
      <c r="AI1744" s="25" t="e">
        <f>IF(SUMIFS(#REF!,#REF!,"Expires this month",#REF!,O1744)=0,"",SUMIFS(#REF!,#REF!,"Expires this month",#REF!,O1744))</f>
        <v>#REF!</v>
      </c>
      <c r="AJ1744" s="25" t="e">
        <f>IF(SUMIFS(#REF!,#REF!,"Expired Previous Months",#REF!,O1744)=0,"",SUMIFS(#REF!,#REF!,"Expired Previous Months",#REF!,O1744))</f>
        <v>#REF!</v>
      </c>
      <c r="AK1744" s="25" t="str">
        <f>IFERROR(INDEX('Hun Release Current'!B:B,MATCH(O1744,'Hun Release Current'!A:A,0)),"")</f>
        <v/>
      </c>
      <c r="AL1744" s="25" t="str">
        <f>IF(SUMIF('Prev Aub'!A:A,O1744,'Prev Aub'!B:B)=0,"",SUMIF('Prev Aub'!A:A,O1744,'Prev Aub'!B:B))</f>
        <v/>
      </c>
      <c r="AN1744" s="25" t="s">
        <v>3790</v>
      </c>
      <c r="AO1744" s="25" t="s">
        <v>3790</v>
      </c>
      <c r="AP1744" s="25" t="str">
        <f t="shared" si="790"/>
        <v/>
      </c>
      <c r="AQ1744" s="151" t="e">
        <f>IF(SUMIFS(#REF!,#REF!,O1744,#REF!,"PENDING")=0,"",SUMIFS(#REF!,#REF!,O1744,#REF!,"PENDING"))</f>
        <v>#REF!</v>
      </c>
      <c r="AR1744" s="27" t="str">
        <f t="shared" si="791"/>
        <v/>
      </c>
      <c r="AS1744" s="27" t="str">
        <f t="shared" si="792"/>
        <v/>
      </c>
      <c r="AT1744" s="27" t="str">
        <f t="shared" si="793"/>
        <v/>
      </c>
      <c r="AU1744" s="27" t="str">
        <f t="shared" si="794"/>
        <v/>
      </c>
      <c r="AV1744" s="27" t="str">
        <f t="shared" si="795"/>
        <v/>
      </c>
      <c r="AW1744" s="27" t="e">
        <f t="shared" si="796"/>
        <v>#REF!</v>
      </c>
      <c r="AX1744" s="27" t="e">
        <f t="shared" si="797"/>
        <v>#REF!</v>
      </c>
      <c r="AY1744" s="27" t="str">
        <f t="shared" si="798"/>
        <v/>
      </c>
      <c r="AZ1744" s="27" t="str">
        <f t="shared" si="799"/>
        <v/>
      </c>
      <c r="BA1744" s="27" t="str">
        <f t="shared" si="800"/>
        <v/>
      </c>
      <c r="BB1744" s="27" t="str">
        <f t="shared" si="801"/>
        <v/>
      </c>
      <c r="BC1744" s="27" t="str">
        <f t="shared" si="802"/>
        <v/>
      </c>
      <c r="BD1744" s="27" t="str">
        <f t="shared" si="803"/>
        <v/>
      </c>
      <c r="BE1744" s="27" t="str">
        <f t="shared" si="804"/>
        <v/>
      </c>
      <c r="BF1744" s="27" t="str">
        <f t="shared" si="805"/>
        <v/>
      </c>
      <c r="BG1744" s="27" t="str">
        <f t="shared" si="806"/>
        <v/>
      </c>
      <c r="BH1744" s="27" t="str">
        <f t="shared" si="807"/>
        <v/>
      </c>
      <c r="BI1744" s="27" t="str">
        <f t="shared" si="808"/>
        <v/>
      </c>
      <c r="BJ1744" s="27" t="str">
        <f t="shared" si="809"/>
        <v/>
      </c>
      <c r="BK1744" s="27" t="str">
        <f t="shared" si="810"/>
        <v/>
      </c>
      <c r="BL1744" s="27" t="str">
        <f t="shared" si="811"/>
        <v/>
      </c>
      <c r="BM1744" s="21" t="s">
        <v>3790</v>
      </c>
    </row>
    <row r="1745" spans="1:65" ht="15">
      <c r="A1745" s="25" t="str">
        <f>IFERROR(INDEX(#REF!,MATCH(O1745,#REF!,0)),"")</f>
        <v/>
      </c>
      <c r="B1745" s="25" t="str">
        <f>IFERROR(INDEX(#REF!,MATCH(O1745,#REF!,0)),"")</f>
        <v/>
      </c>
      <c r="C1745" s="25" t="str">
        <f>IFERROR(INDEX(#REF!,MATCH(O1745,#REF!,0)),"")</f>
        <v/>
      </c>
      <c r="D1745" s="25" t="str">
        <f>IFERROR(INDEX(#REF!,MATCH(O1745,#REF!,0)),"")</f>
        <v/>
      </c>
      <c r="E1745" s="25" t="str">
        <f>IFERROR(INDEX(#REF!,MATCH(O1745,#REF!,0)),"")</f>
        <v/>
      </c>
      <c r="F1745" s="25" t="str">
        <f>IFERROR(INDEX(#REF!,MATCH(O1745,#REF!,0)),"")</f>
        <v/>
      </c>
      <c r="G1745" s="25" t="str">
        <f>IFERROR(INDEX(#REF!,MATCH(O1745,#REF!,0)),"")</f>
        <v/>
      </c>
      <c r="H1745" s="25" t="str">
        <f>IFERROR(INDEX(#REF!,MATCH(O1745,#REF!,0)),"")</f>
        <v/>
      </c>
      <c r="I1745" s="25" t="str">
        <f>IFERROR(INDEX(#REF!,MATCH(O1745,#REF!,0)),"")</f>
        <v/>
      </c>
      <c r="J1745" s="25" t="str">
        <f>IFERROR(INDEX(#REF!,MATCH(O1745,#REF!,0)),"")</f>
        <v/>
      </c>
      <c r="K1745" s="25" t="str">
        <f>IFERROR(INDEX(#REF!,MATCH(O1745,#REF!,0)),"")</f>
        <v/>
      </c>
      <c r="L1745" s="25" t="str">
        <f>IFERROR(INDEX(#REF!,MATCH(O1745,#REF!,0)),"")</f>
        <v/>
      </c>
      <c r="P1745" s="27" t="str">
        <f>IFERROR(INDEX(#REF!,MATCH($O1745,#REF!,0)),"")</f>
        <v/>
      </c>
      <c r="Q1745" s="27" t="str">
        <f>IFERROR(INDEX(#REF!,MATCH($O1745,#REF!,0)),"")</f>
        <v/>
      </c>
      <c r="R1745" s="52" t="str">
        <f>IFERROR(IF(AR1746=AR1745,INDEX(#REF!,MATCH($O1745,#REF!,0))-IF(AN1745="",0,AN1745)+AP1746,INDEX(#REF!,MATCH($O1745,#REF!,0))-IF(AN1745="",0,AN1745)),"")</f>
        <v/>
      </c>
      <c r="S1745" s="53" t="str">
        <f t="shared" si="784"/>
        <v/>
      </c>
      <c r="T1745" s="52" t="str">
        <f t="shared" si="785"/>
        <v/>
      </c>
      <c r="U1745" s="52" t="str">
        <f>IFERROR(IF(AR1746=AR1745,INDEX(#REF!,MATCH($O1745,#REF!,0))-IF(AN1745="",0,AN1745)+AP1746,INDEX(#REF!,MATCH($O1745,#REF!,0))-IF(AN1745="",0,AN1745)),"")</f>
        <v/>
      </c>
      <c r="V1745" s="53" t="str">
        <f t="shared" si="786"/>
        <v/>
      </c>
      <c r="W1745" s="52" t="str">
        <f t="shared" si="787"/>
        <v/>
      </c>
      <c r="X1745" s="52" t="str">
        <f>IFERROR(IF(AND(AR1746=AR1745,AM1745&lt;&gt;""),INDEX(#REF!,MATCH($O1745,#REF!,0))-IF(AN1745="",0,AN1745)+AP1746+AD1745+AL1745,IF(AR1746=AR1745,INDEX(#REF!,MATCH($O1745,#REF!,0))-IF(AN1745="",0,AN1745)+AP1746+AD1745,IF(AM1745&lt;&gt;"",INDEX(#REF!,MATCH($O1745,#REF!,0))-IF(AN1745="",0,AN1745)+AD1745+AL1745,INDEX(#REF!,MATCH($O1745,#REF!,0))-IF(AN1745="",0,AN1745)+AD1745))),"")</f>
        <v/>
      </c>
      <c r="Y1745" s="53" t="str">
        <f t="shared" si="788"/>
        <v/>
      </c>
      <c r="Z1745" s="52" t="str">
        <f>IF(L1745="","",INDEX(#REF!,MATCH($O1745,#REF!,0)))</f>
        <v/>
      </c>
      <c r="AA1745" s="52" t="str">
        <f t="shared" si="789"/>
        <v/>
      </c>
      <c r="AB1745" s="52" t="str">
        <f>IFERROR(INDEX(#REF!,MATCH($O1745,#REF!,0)),"")</f>
        <v/>
      </c>
      <c r="AC1745" s="52" t="str">
        <f>IFERROR(IF(O1745="","",SUMIFS('CPL Mats'!F:F,'CPL Mats'!Q:Q,AR1745,'CPL Mats'!S:S,AS1745)),"")</f>
        <v/>
      </c>
      <c r="AF1745" s="25" t="e">
        <f>IF(SUMIFS(#REF!,#REF!,"Releasable",#REF!,O1745)=0,"",SUMIFS(#REF!,#REF!,"Releasable",#REF!,O1745))</f>
        <v>#REF!</v>
      </c>
      <c r="AG1745" s="25" t="str">
        <f>IFERROR(INDEX(#REF!,MATCH(O1745,#REF!,0)),"")</f>
        <v/>
      </c>
      <c r="AH1745" s="25" t="str">
        <f>IFERROR(INDEX(#REF!,MATCH($O1745,#REF!,0)),"")</f>
        <v/>
      </c>
      <c r="AI1745" s="25" t="e">
        <f>IF(SUMIFS(#REF!,#REF!,"Expires this month",#REF!,O1745)=0,"",SUMIFS(#REF!,#REF!,"Expires this month",#REF!,O1745))</f>
        <v>#REF!</v>
      </c>
      <c r="AJ1745" s="25" t="e">
        <f>IF(SUMIFS(#REF!,#REF!,"Expired Previous Months",#REF!,O1745)=0,"",SUMIFS(#REF!,#REF!,"Expired Previous Months",#REF!,O1745))</f>
        <v>#REF!</v>
      </c>
      <c r="AK1745" s="25" t="str">
        <f>IFERROR(INDEX('Hun Release Current'!B:B,MATCH(O1745,'Hun Release Current'!A:A,0)),"")</f>
        <v/>
      </c>
      <c r="AL1745" s="25" t="str">
        <f>IF(SUMIF('Prev Aub'!A:A,O1745,'Prev Aub'!B:B)=0,"",SUMIF('Prev Aub'!A:A,O1745,'Prev Aub'!B:B))</f>
        <v/>
      </c>
      <c r="AN1745" s="25" t="s">
        <v>3790</v>
      </c>
      <c r="AO1745" s="25" t="s">
        <v>3790</v>
      </c>
      <c r="AP1745" s="25" t="str">
        <f t="shared" si="790"/>
        <v/>
      </c>
      <c r="AQ1745" s="151" t="e">
        <f>IF(SUMIFS(#REF!,#REF!,O1745,#REF!,"PENDING")=0,"",SUMIFS(#REF!,#REF!,O1745,#REF!,"PENDING"))</f>
        <v>#REF!</v>
      </c>
      <c r="AR1745" s="27" t="str">
        <f t="shared" si="791"/>
        <v/>
      </c>
      <c r="AS1745" s="27" t="str">
        <f t="shared" si="792"/>
        <v/>
      </c>
      <c r="AT1745" s="27" t="str">
        <f t="shared" si="793"/>
        <v/>
      </c>
      <c r="AU1745" s="27" t="str">
        <f t="shared" si="794"/>
        <v/>
      </c>
      <c r="AV1745" s="27" t="str">
        <f t="shared" si="795"/>
        <v/>
      </c>
      <c r="AW1745" s="27" t="e">
        <f t="shared" si="796"/>
        <v>#REF!</v>
      </c>
      <c r="AX1745" s="27" t="e">
        <f t="shared" si="797"/>
        <v>#REF!</v>
      </c>
      <c r="AY1745" s="27" t="str">
        <f t="shared" si="798"/>
        <v/>
      </c>
      <c r="AZ1745" s="27" t="str">
        <f t="shared" si="799"/>
        <v/>
      </c>
      <c r="BA1745" s="27" t="str">
        <f t="shared" si="800"/>
        <v/>
      </c>
      <c r="BB1745" s="27" t="str">
        <f t="shared" si="801"/>
        <v/>
      </c>
      <c r="BC1745" s="27" t="str">
        <f t="shared" si="802"/>
        <v/>
      </c>
      <c r="BD1745" s="27" t="str">
        <f t="shared" si="803"/>
        <v/>
      </c>
      <c r="BE1745" s="27" t="str">
        <f t="shared" si="804"/>
        <v/>
      </c>
      <c r="BF1745" s="27" t="str">
        <f t="shared" si="805"/>
        <v/>
      </c>
      <c r="BG1745" s="27" t="str">
        <f t="shared" si="806"/>
        <v/>
      </c>
      <c r="BH1745" s="27" t="str">
        <f t="shared" si="807"/>
        <v/>
      </c>
      <c r="BI1745" s="27" t="str">
        <f t="shared" si="808"/>
        <v/>
      </c>
      <c r="BJ1745" s="27" t="str">
        <f t="shared" si="809"/>
        <v/>
      </c>
      <c r="BK1745" s="27" t="str">
        <f t="shared" si="810"/>
        <v/>
      </c>
      <c r="BL1745" s="27" t="str">
        <f t="shared" si="811"/>
        <v/>
      </c>
      <c r="BM1745" s="21" t="s">
        <v>3790</v>
      </c>
    </row>
    <row r="1746" spans="1:65" ht="15">
      <c r="A1746" s="25" t="str">
        <f>IFERROR(INDEX(#REF!,MATCH(O1746,#REF!,0)),"")</f>
        <v/>
      </c>
      <c r="B1746" s="25" t="str">
        <f>IFERROR(INDEX(#REF!,MATCH(O1746,#REF!,0)),"")</f>
        <v/>
      </c>
      <c r="C1746" s="25" t="str">
        <f>IFERROR(INDEX(#REF!,MATCH(O1746,#REF!,0)),"")</f>
        <v/>
      </c>
      <c r="D1746" s="25" t="str">
        <f>IFERROR(INDEX(#REF!,MATCH(O1746,#REF!,0)),"")</f>
        <v/>
      </c>
      <c r="E1746" s="25" t="str">
        <f>IFERROR(INDEX(#REF!,MATCH(O1746,#REF!,0)),"")</f>
        <v/>
      </c>
      <c r="F1746" s="25" t="str">
        <f>IFERROR(INDEX(#REF!,MATCH(O1746,#REF!,0)),"")</f>
        <v/>
      </c>
      <c r="G1746" s="25" t="str">
        <f>IFERROR(INDEX(#REF!,MATCH(O1746,#REF!,0)),"")</f>
        <v/>
      </c>
      <c r="H1746" s="25" t="str">
        <f>IFERROR(INDEX(#REF!,MATCH(O1746,#REF!,0)),"")</f>
        <v/>
      </c>
      <c r="I1746" s="25" t="str">
        <f>IFERROR(INDEX(#REF!,MATCH(O1746,#REF!,0)),"")</f>
        <v/>
      </c>
      <c r="J1746" s="25" t="str">
        <f>IFERROR(INDEX(#REF!,MATCH(O1746,#REF!,0)),"")</f>
        <v/>
      </c>
      <c r="K1746" s="25" t="str">
        <f>IFERROR(INDEX(#REF!,MATCH(O1746,#REF!,0)),"")</f>
        <v/>
      </c>
      <c r="L1746" s="25" t="str">
        <f>IFERROR(INDEX(#REF!,MATCH(O1746,#REF!,0)),"")</f>
        <v/>
      </c>
      <c r="P1746" s="27" t="str">
        <f>IFERROR(INDEX(#REF!,MATCH($O1746,#REF!,0)),"")</f>
        <v/>
      </c>
      <c r="Q1746" s="27" t="str">
        <f>IFERROR(INDEX(#REF!,MATCH($O1746,#REF!,0)),"")</f>
        <v/>
      </c>
      <c r="R1746" s="52" t="str">
        <f>IFERROR(IF(AR1747=AR1746,INDEX(#REF!,MATCH($O1746,#REF!,0))-IF(AN1746="",0,AN1746)+AP1747,INDEX(#REF!,MATCH($O1746,#REF!,0))-IF(AN1746="",0,AN1746)),"")</f>
        <v/>
      </c>
      <c r="S1746" s="53" t="str">
        <f t="shared" si="784"/>
        <v/>
      </c>
      <c r="T1746" s="52" t="str">
        <f t="shared" si="785"/>
        <v/>
      </c>
      <c r="U1746" s="52" t="str">
        <f>IFERROR(IF(AR1747=AR1746,INDEX(#REF!,MATCH($O1746,#REF!,0))-IF(AN1746="",0,AN1746)+AP1747,INDEX(#REF!,MATCH($O1746,#REF!,0))-IF(AN1746="",0,AN1746)),"")</f>
        <v/>
      </c>
      <c r="V1746" s="53" t="str">
        <f t="shared" si="786"/>
        <v/>
      </c>
      <c r="W1746" s="52" t="str">
        <f t="shared" si="787"/>
        <v/>
      </c>
      <c r="X1746" s="52" t="str">
        <f>IFERROR(IF(AND(AR1747=AR1746,AM1746&lt;&gt;""),INDEX(#REF!,MATCH($O1746,#REF!,0))-IF(AN1746="",0,AN1746)+AP1747+AD1746+AL1746,IF(AR1747=AR1746,INDEX(#REF!,MATCH($O1746,#REF!,0))-IF(AN1746="",0,AN1746)+AP1747+AD1746,IF(AM1746&lt;&gt;"",INDEX(#REF!,MATCH($O1746,#REF!,0))-IF(AN1746="",0,AN1746)+AD1746+AL1746,INDEX(#REF!,MATCH($O1746,#REF!,0))-IF(AN1746="",0,AN1746)+AD1746))),"")</f>
        <v/>
      </c>
      <c r="Y1746" s="53" t="str">
        <f t="shared" si="788"/>
        <v/>
      </c>
      <c r="Z1746" s="52" t="str">
        <f>IF(L1746="","",INDEX(#REF!,MATCH($O1746,#REF!,0)))</f>
        <v/>
      </c>
      <c r="AA1746" s="52" t="str">
        <f t="shared" si="789"/>
        <v/>
      </c>
      <c r="AB1746" s="52" t="str">
        <f>IFERROR(INDEX(#REF!,MATCH($O1746,#REF!,0)),"")</f>
        <v/>
      </c>
      <c r="AC1746" s="52" t="str">
        <f>IFERROR(IF(O1746="","",SUMIFS('CPL Mats'!F:F,'CPL Mats'!Q:Q,AR1746,'CPL Mats'!S:S,AS1746)),"")</f>
        <v/>
      </c>
      <c r="AF1746" s="25" t="e">
        <f>IF(SUMIFS(#REF!,#REF!,"Releasable",#REF!,O1746)=0,"",SUMIFS(#REF!,#REF!,"Releasable",#REF!,O1746))</f>
        <v>#REF!</v>
      </c>
      <c r="AG1746" s="25" t="str">
        <f>IFERROR(INDEX(#REF!,MATCH(O1746,#REF!,0)),"")</f>
        <v/>
      </c>
      <c r="AH1746" s="25" t="str">
        <f>IFERROR(INDEX(#REF!,MATCH($O1746,#REF!,0)),"")</f>
        <v/>
      </c>
      <c r="AI1746" s="25" t="e">
        <f>IF(SUMIFS(#REF!,#REF!,"Expires this month",#REF!,O1746)=0,"",SUMIFS(#REF!,#REF!,"Expires this month",#REF!,O1746))</f>
        <v>#REF!</v>
      </c>
      <c r="AJ1746" s="25" t="e">
        <f>IF(SUMIFS(#REF!,#REF!,"Expired Previous Months",#REF!,O1746)=0,"",SUMIFS(#REF!,#REF!,"Expired Previous Months",#REF!,O1746))</f>
        <v>#REF!</v>
      </c>
      <c r="AK1746" s="25" t="str">
        <f>IFERROR(INDEX('Hun Release Current'!B:B,MATCH(O1746,'Hun Release Current'!A:A,0)),"")</f>
        <v/>
      </c>
      <c r="AL1746" s="25" t="str">
        <f>IF(SUMIF('Prev Aub'!A:A,O1746,'Prev Aub'!B:B)=0,"",SUMIF('Prev Aub'!A:A,O1746,'Prev Aub'!B:B))</f>
        <v/>
      </c>
      <c r="AN1746" s="25" t="s">
        <v>3790</v>
      </c>
      <c r="AO1746" s="25" t="s">
        <v>3790</v>
      </c>
      <c r="AP1746" s="25" t="str">
        <f t="shared" si="790"/>
        <v/>
      </c>
      <c r="AQ1746" s="151" t="e">
        <f>IF(SUMIFS(#REF!,#REF!,O1746,#REF!,"PENDING")=0,"",SUMIFS(#REF!,#REF!,O1746,#REF!,"PENDING"))</f>
        <v>#REF!</v>
      </c>
      <c r="AR1746" s="27" t="str">
        <f t="shared" si="791"/>
        <v/>
      </c>
      <c r="AS1746" s="27" t="str">
        <f t="shared" si="792"/>
        <v/>
      </c>
      <c r="AT1746" s="27" t="str">
        <f t="shared" si="793"/>
        <v/>
      </c>
      <c r="AU1746" s="27" t="str">
        <f t="shared" si="794"/>
        <v/>
      </c>
      <c r="AV1746" s="27" t="str">
        <f t="shared" si="795"/>
        <v/>
      </c>
      <c r="AW1746" s="27" t="e">
        <f t="shared" si="796"/>
        <v>#REF!</v>
      </c>
      <c r="AX1746" s="27" t="e">
        <f t="shared" si="797"/>
        <v>#REF!</v>
      </c>
      <c r="AY1746" s="27" t="str">
        <f t="shared" si="798"/>
        <v/>
      </c>
      <c r="AZ1746" s="27" t="str">
        <f t="shared" si="799"/>
        <v/>
      </c>
      <c r="BA1746" s="27" t="str">
        <f t="shared" si="800"/>
        <v/>
      </c>
      <c r="BB1746" s="27" t="str">
        <f t="shared" si="801"/>
        <v/>
      </c>
      <c r="BC1746" s="27" t="str">
        <f t="shared" si="802"/>
        <v/>
      </c>
      <c r="BD1746" s="27" t="str">
        <f t="shared" si="803"/>
        <v/>
      </c>
      <c r="BE1746" s="27" t="str">
        <f t="shared" si="804"/>
        <v/>
      </c>
      <c r="BF1746" s="27" t="str">
        <f t="shared" si="805"/>
        <v/>
      </c>
      <c r="BG1746" s="27" t="str">
        <f t="shared" si="806"/>
        <v/>
      </c>
      <c r="BH1746" s="27" t="str">
        <f t="shared" si="807"/>
        <v/>
      </c>
      <c r="BI1746" s="27" t="str">
        <f t="shared" si="808"/>
        <v/>
      </c>
      <c r="BJ1746" s="27" t="str">
        <f t="shared" si="809"/>
        <v/>
      </c>
      <c r="BK1746" s="27" t="str">
        <f t="shared" si="810"/>
        <v/>
      </c>
      <c r="BL1746" s="27" t="str">
        <f t="shared" si="811"/>
        <v/>
      </c>
      <c r="BM1746" s="21" t="s">
        <v>3790</v>
      </c>
    </row>
    <row r="1747" spans="1:65" ht="15">
      <c r="A1747" s="25" t="str">
        <f>IFERROR(INDEX(#REF!,MATCH(O1747,#REF!,0)),"")</f>
        <v/>
      </c>
      <c r="B1747" s="25" t="str">
        <f>IFERROR(INDEX(#REF!,MATCH(O1747,#REF!,0)),"")</f>
        <v/>
      </c>
      <c r="C1747" s="25" t="str">
        <f>IFERROR(INDEX(#REF!,MATCH(O1747,#REF!,0)),"")</f>
        <v/>
      </c>
      <c r="D1747" s="25" t="str">
        <f>IFERROR(INDEX(#REF!,MATCH(O1747,#REF!,0)),"")</f>
        <v/>
      </c>
      <c r="E1747" s="25" t="str">
        <f>IFERROR(INDEX(#REF!,MATCH(O1747,#REF!,0)),"")</f>
        <v/>
      </c>
      <c r="F1747" s="25" t="str">
        <f>IFERROR(INDEX(#REF!,MATCH(O1747,#REF!,0)),"")</f>
        <v/>
      </c>
      <c r="G1747" s="25" t="str">
        <f>IFERROR(INDEX(#REF!,MATCH(O1747,#REF!,0)),"")</f>
        <v/>
      </c>
      <c r="H1747" s="25" t="str">
        <f>IFERROR(INDEX(#REF!,MATCH(O1747,#REF!,0)),"")</f>
        <v/>
      </c>
      <c r="I1747" s="25" t="str">
        <f>IFERROR(INDEX(#REF!,MATCH(O1747,#REF!,0)),"")</f>
        <v/>
      </c>
      <c r="J1747" s="25" t="str">
        <f>IFERROR(INDEX(#REF!,MATCH(O1747,#REF!,0)),"")</f>
        <v/>
      </c>
      <c r="K1747" s="25" t="str">
        <f>IFERROR(INDEX(#REF!,MATCH(O1747,#REF!,0)),"")</f>
        <v/>
      </c>
      <c r="L1747" s="25" t="str">
        <f>IFERROR(INDEX(#REF!,MATCH(O1747,#REF!,0)),"")</f>
        <v/>
      </c>
      <c r="P1747" s="27" t="str">
        <f>IFERROR(INDEX(#REF!,MATCH($O1747,#REF!,0)),"")</f>
        <v/>
      </c>
      <c r="Q1747" s="27" t="str">
        <f>IFERROR(INDEX(#REF!,MATCH($O1747,#REF!,0)),"")</f>
        <v/>
      </c>
      <c r="R1747" s="52" t="str">
        <f>IFERROR(IF(AR1748=AR1747,INDEX(#REF!,MATCH($O1747,#REF!,0))-IF(AN1747="",0,AN1747)+AP1748,INDEX(#REF!,MATCH($O1747,#REF!,0))-IF(AN1747="",0,AN1747)),"")</f>
        <v/>
      </c>
      <c r="S1747" s="53" t="str">
        <f t="shared" ref="S1747:S1750" si="812">IFERROR(IF(O1747="","",ROUND(R1747/((Z1747/30)*7),1)),"n/a")</f>
        <v/>
      </c>
      <c r="T1747" s="52" t="str">
        <f t="shared" ref="T1747:T1750" si="813">IFERROR(IF(S1747&lt;3.1,IF(AA1747="spike",(3-S1747)*(Z1747/4),(3-S1747)*(AA1747/4)),""),"")</f>
        <v/>
      </c>
      <c r="U1747" s="52" t="str">
        <f>IFERROR(IF(AR1748=AR1747,INDEX(#REF!,MATCH($O1747,#REF!,0))-IF(AN1747="",0,AN1747)+AP1748,INDEX(#REF!,MATCH($O1747,#REF!,0))-IF(AN1747="",0,AN1747)),"")</f>
        <v/>
      </c>
      <c r="V1747" s="53" t="str">
        <f t="shared" ref="V1747:V1750" si="814">IFERROR(IF(O1747="","",ROUND(U1747/((Z1747/30)*7),1)),"n/a")</f>
        <v/>
      </c>
      <c r="W1747" s="52" t="str">
        <f t="shared" ref="W1747:W1750" si="815">IF(IFERROR(IF(V1747&lt;3.1,IF(AA1747="spike",(3-V1747)*(Z1747/4),(3-V1747)*(AA1747/4)),""),"")&lt;0,0,IFERROR(IF(V1747&lt;3.1,IF(AA1747="spike",(3-V1747)*(Z1747/4),(3-V1747)*(AA1747/4)),""),""))</f>
        <v/>
      </c>
      <c r="X1747" s="52" t="str">
        <f>IFERROR(IF(AND(AR1748=AR1747,AM1747&lt;&gt;""),INDEX(#REF!,MATCH($O1747,#REF!,0))-IF(AN1747="",0,AN1747)+AP1748+AD1747+AL1747,IF(AR1748=AR1747,INDEX(#REF!,MATCH($O1747,#REF!,0))-IF(AN1747="",0,AN1747)+AP1748+AD1747,IF(AM1747&lt;&gt;"",INDEX(#REF!,MATCH($O1747,#REF!,0))-IF(AN1747="",0,AN1747)+AD1747+AL1747,INDEX(#REF!,MATCH($O1747,#REF!,0))-IF(AN1747="",0,AN1747)+AD1747))),"")</f>
        <v/>
      </c>
      <c r="Y1747" s="53" t="str">
        <f t="shared" ref="Y1747:Y1750" si="816">IFERROR(IF(O1747="","",ROUND(X1747/((Z1747/30)*7),1)),"n/a")</f>
        <v/>
      </c>
      <c r="Z1747" s="52" t="str">
        <f>IF(L1747="","",INDEX(#REF!,MATCH($O1747,#REF!,0)))</f>
        <v/>
      </c>
      <c r="AA1747" s="52" t="str">
        <f t="shared" ref="AA1747:AA1750" si="817">IF(L1747="","",IF(LARGE(I1747:L1747,2)=0,"-spike-",AVERAGE(LARGE(I1747:L1747,1),LARGE(I1747:L1747,2))))</f>
        <v/>
      </c>
      <c r="AB1747" s="52" t="str">
        <f>IFERROR(INDEX(#REF!,MATCH($O1747,#REF!,0)),"")</f>
        <v/>
      </c>
      <c r="AC1747" s="52" t="str">
        <f>IFERROR(IF(O1747="","",SUMIFS('CPL Mats'!F:F,'CPL Mats'!Q:Q,AR1747,'CPL Mats'!S:S,AS1747)),"")</f>
        <v/>
      </c>
      <c r="AF1747" s="25" t="e">
        <f>IF(SUMIFS(#REF!,#REF!,"Releasable",#REF!,O1747)=0,"",SUMIFS(#REF!,#REF!,"Releasable",#REF!,O1747))</f>
        <v>#REF!</v>
      </c>
      <c r="AG1747" s="25" t="str">
        <f>IFERROR(INDEX(#REF!,MATCH(O1747,#REF!,0)),"")</f>
        <v/>
      </c>
      <c r="AH1747" s="25" t="str">
        <f>IFERROR(INDEX(#REF!,MATCH($O1747,#REF!,0)),"")</f>
        <v/>
      </c>
      <c r="AI1747" s="25" t="e">
        <f>IF(SUMIFS(#REF!,#REF!,"Expires this month",#REF!,O1747)=0,"",SUMIFS(#REF!,#REF!,"Expires this month",#REF!,O1747))</f>
        <v>#REF!</v>
      </c>
      <c r="AJ1747" s="25" t="e">
        <f>IF(SUMIFS(#REF!,#REF!,"Expired Previous Months",#REF!,O1747)=0,"",SUMIFS(#REF!,#REF!,"Expired Previous Months",#REF!,O1747))</f>
        <v>#REF!</v>
      </c>
      <c r="AK1747" s="25" t="str">
        <f>IFERROR(INDEX('Hun Release Current'!B:B,MATCH(O1747,'Hun Release Current'!A:A,0)),"")</f>
        <v/>
      </c>
      <c r="AL1747" s="25" t="str">
        <f>IF(SUMIF('Prev Aub'!A:A,O1747,'Prev Aub'!B:B)=0,"",SUMIF('Prev Aub'!A:A,O1747,'Prev Aub'!B:B))</f>
        <v/>
      </c>
      <c r="AN1747" s="25" t="s">
        <v>3790</v>
      </c>
      <c r="AO1747" s="25" t="s">
        <v>3790</v>
      </c>
      <c r="AP1747" s="25" t="str">
        <f t="shared" ref="AP1747:AP1750" si="818">IFERROR(IF(O1747="","",IF(AN1747="",0,VALUE(AN1747)-(VALUE(AN1747)*0.2))),"")</f>
        <v/>
      </c>
      <c r="AQ1747" s="151" t="e">
        <f>IF(SUMIFS(#REF!,#REF!,O1747,#REF!,"PENDING")=0,"",SUMIFS(#REF!,#REF!,O1747,#REF!,"PENDING"))</f>
        <v>#REF!</v>
      </c>
      <c r="AR1747" s="27" t="str">
        <f t="shared" ref="AR1747:AR1750" si="819">MID(O1747,4,5)</f>
        <v/>
      </c>
      <c r="AS1747" s="27" t="str">
        <f t="shared" ref="AS1747:AS1750" si="820">MID(O1747,10,2)</f>
        <v/>
      </c>
      <c r="AT1747" s="27" t="str">
        <f t="shared" ref="AT1747:AT1750" si="821">IF(S1747&lt;3.1,AR1747,"")</f>
        <v/>
      </c>
      <c r="AU1747" s="27" t="str">
        <f t="shared" ref="AU1747:AU1750" si="822">IF(Y1747&lt;3.1,AR1747,"")</f>
        <v/>
      </c>
      <c r="AV1747" s="27" t="str">
        <f t="shared" ref="AV1747:AV1750" si="823">IF(AND(AA1747="Spike",L1747=0,K1747=0,X1747&gt;=0),"",IF(Y1747&lt;3.1,AR1747,""))</f>
        <v/>
      </c>
      <c r="AW1747" s="27" t="e">
        <f t="shared" ref="AW1747:AW1750" si="824">IF(AI1747=AL1747,"",IF(OR(AI1747&lt;&gt;"",AJ1747&lt;&gt;""),AR1747,""))</f>
        <v>#REF!</v>
      </c>
      <c r="AX1747" s="27" t="e">
        <f t="shared" ref="AX1747:AX1750" si="825">IF(AF1747&lt;&gt;"",AR1747,"")</f>
        <v>#REF!</v>
      </c>
      <c r="AY1747" s="27" t="str">
        <f t="shared" ref="AY1747:AY1750" si="826">IF(AND(AG1747&lt;&gt;"",AG1747&gt;AH1747),AR1747,"")</f>
        <v/>
      </c>
      <c r="AZ1747" s="27" t="str">
        <f t="shared" ref="AZ1747:AZ1750" si="827">IFERROR(IF(O1747="","",IF(ISERROR(MATCH(AR1747,AX:AX,0)),"","Supp")),"")</f>
        <v/>
      </c>
      <c r="BA1747" s="27" t="str">
        <f t="shared" ref="BA1747:BA1750" si="828">IFERROR(IF(O1747="","",IF(ISERROR(MATCH(AR1747,AY:AY,0)),"","Hun")),"")</f>
        <v/>
      </c>
      <c r="BB1747" s="27" t="str">
        <f t="shared" ref="BB1747:BB1750" si="829">IFERROR(IF(O1747="","",IF(ISERROR(MATCH(AR1747,AT:AT,0)),"","Gross")),"")</f>
        <v/>
      </c>
      <c r="BC1747" s="27" t="str">
        <f t="shared" ref="BC1747:BC1750" si="830">IFERROR(IF(O1747="","",IF(ISERROR(MATCH(AR1747,AU:AU,0)),"","Net")),"")</f>
        <v/>
      </c>
      <c r="BD1747" s="27" t="str">
        <f t="shared" ref="BD1747:BD1750" si="831">IFERROR(IF(O1747="","",IF(ISERROR(MATCH(AR1747,AV:AV,0)),"","Net")),"")</f>
        <v/>
      </c>
      <c r="BE1747" s="27" t="str">
        <f t="shared" ref="BE1747:BE1750" si="832">IFERROR(IF(O1747="","",IF(ISERROR(MATCH(AR1747,AW:AW,0)),"","Exp")),"")</f>
        <v/>
      </c>
      <c r="BF1747" s="27" t="str">
        <f t="shared" ref="BF1747:BF1750" si="833">IFERROR(IF(O1747="","",IF(AND(AZ1747="Supp",BC1747="Net"),"S+N","")),"")</f>
        <v/>
      </c>
      <c r="BG1747" s="27" t="str">
        <f t="shared" ref="BG1747:BG1750" si="834">IFERROR(IF(O1747="","",IF(OR(BE1747&lt;&gt;"",BF1747&lt;&gt;""),"S+NorE","")),"")</f>
        <v/>
      </c>
      <c r="BH1747" s="27" t="str">
        <f t="shared" ref="BH1747:BH1750" si="835">IFERROR(IF(O1747="","",IF(AND(BA1747&lt;&gt;"",BC1747&lt;&gt;""),"H+N","")),"")</f>
        <v/>
      </c>
      <c r="BI1747" s="27" t="str">
        <f t="shared" ref="BI1747:BI1750" si="836">IFERROR(IF(O1747="","",IF(AND(BA1747&lt;&gt;"",BD1747&lt;&gt;""),"H+Nex","")),"")</f>
        <v/>
      </c>
      <c r="BJ1747" s="27" t="str">
        <f t="shared" ref="BJ1747:BJ1750" si="837">IF(OR(AZ1747&lt;&gt;"",BA1747&lt;&gt;""),"Supp or Hun","")</f>
        <v/>
      </c>
      <c r="BK1747" s="27" t="str">
        <f t="shared" ref="BK1747:BK1750" si="838">IF(AND(BJ1747&lt;&gt;"",BC1747&lt;&gt;""),"Supp or Hun Need","")</f>
        <v/>
      </c>
      <c r="BL1747" s="27" t="str">
        <f t="shared" ref="BL1747:BL1750" si="839">IF(OR(BK1747&lt;&gt;"",BE1747&lt;&gt;""),"SorHandNandE","")</f>
        <v/>
      </c>
      <c r="BM1747" s="21" t="s">
        <v>3790</v>
      </c>
    </row>
    <row r="1748" spans="1:65" ht="15">
      <c r="A1748" s="25" t="str">
        <f>IFERROR(INDEX(#REF!,MATCH(O1748,#REF!,0)),"")</f>
        <v/>
      </c>
      <c r="B1748" s="25" t="str">
        <f>IFERROR(INDEX(#REF!,MATCH(O1748,#REF!,0)),"")</f>
        <v/>
      </c>
      <c r="C1748" s="25" t="str">
        <f>IFERROR(INDEX(#REF!,MATCH(O1748,#REF!,0)),"")</f>
        <v/>
      </c>
      <c r="D1748" s="25" t="str">
        <f>IFERROR(INDEX(#REF!,MATCH(O1748,#REF!,0)),"")</f>
        <v/>
      </c>
      <c r="E1748" s="25" t="str">
        <f>IFERROR(INDEX(#REF!,MATCH(O1748,#REF!,0)),"")</f>
        <v/>
      </c>
      <c r="F1748" s="25" t="str">
        <f>IFERROR(INDEX(#REF!,MATCH(O1748,#REF!,0)),"")</f>
        <v/>
      </c>
      <c r="G1748" s="25" t="str">
        <f>IFERROR(INDEX(#REF!,MATCH(O1748,#REF!,0)),"")</f>
        <v/>
      </c>
      <c r="H1748" s="25" t="str">
        <f>IFERROR(INDEX(#REF!,MATCH(O1748,#REF!,0)),"")</f>
        <v/>
      </c>
      <c r="I1748" s="25" t="str">
        <f>IFERROR(INDEX(#REF!,MATCH(O1748,#REF!,0)),"")</f>
        <v/>
      </c>
      <c r="J1748" s="25" t="str">
        <f>IFERROR(INDEX(#REF!,MATCH(O1748,#REF!,0)),"")</f>
        <v/>
      </c>
      <c r="K1748" s="25" t="str">
        <f>IFERROR(INDEX(#REF!,MATCH(O1748,#REF!,0)),"")</f>
        <v/>
      </c>
      <c r="L1748" s="25" t="str">
        <f>IFERROR(INDEX(#REF!,MATCH(O1748,#REF!,0)),"")</f>
        <v/>
      </c>
      <c r="P1748" s="27" t="str">
        <f>IFERROR(INDEX(#REF!,MATCH($O1748,#REF!,0)),"")</f>
        <v/>
      </c>
      <c r="Q1748" s="27" t="str">
        <f>IFERROR(INDEX(#REF!,MATCH($O1748,#REF!,0)),"")</f>
        <v/>
      </c>
      <c r="R1748" s="52" t="str">
        <f>IFERROR(IF(AR1749=AR1748,INDEX(#REF!,MATCH($O1748,#REF!,0))-IF(AN1748="",0,AN1748)+AP1749,INDEX(#REF!,MATCH($O1748,#REF!,0))-IF(AN1748="",0,AN1748)),"")</f>
        <v/>
      </c>
      <c r="S1748" s="53" t="str">
        <f t="shared" si="812"/>
        <v/>
      </c>
      <c r="T1748" s="52" t="str">
        <f t="shared" si="813"/>
        <v/>
      </c>
      <c r="U1748" s="52" t="str">
        <f>IFERROR(IF(AR1749=AR1748,INDEX(#REF!,MATCH($O1748,#REF!,0))-IF(AN1748="",0,AN1748)+AP1749,INDEX(#REF!,MATCH($O1748,#REF!,0))-IF(AN1748="",0,AN1748)),"")</f>
        <v/>
      </c>
      <c r="V1748" s="53" t="str">
        <f t="shared" si="814"/>
        <v/>
      </c>
      <c r="W1748" s="52" t="str">
        <f t="shared" si="815"/>
        <v/>
      </c>
      <c r="X1748" s="52" t="str">
        <f>IFERROR(IF(AND(AR1749=AR1748,AM1748&lt;&gt;""),INDEX(#REF!,MATCH($O1748,#REF!,0))-IF(AN1748="",0,AN1748)+AP1749+AD1748+AL1748,IF(AR1749=AR1748,INDEX(#REF!,MATCH($O1748,#REF!,0))-IF(AN1748="",0,AN1748)+AP1749+AD1748,IF(AM1748&lt;&gt;"",INDEX(#REF!,MATCH($O1748,#REF!,0))-IF(AN1748="",0,AN1748)+AD1748+AL1748,INDEX(#REF!,MATCH($O1748,#REF!,0))-IF(AN1748="",0,AN1748)+AD1748))),"")</f>
        <v/>
      </c>
      <c r="Y1748" s="53" t="str">
        <f t="shared" si="816"/>
        <v/>
      </c>
      <c r="Z1748" s="52" t="str">
        <f>IF(L1748="","",INDEX(#REF!,MATCH($O1748,#REF!,0)))</f>
        <v/>
      </c>
      <c r="AA1748" s="52" t="str">
        <f t="shared" si="817"/>
        <v/>
      </c>
      <c r="AB1748" s="52" t="str">
        <f>IFERROR(INDEX(#REF!,MATCH($O1748,#REF!,0)),"")</f>
        <v/>
      </c>
      <c r="AC1748" s="52" t="str">
        <f>IFERROR(IF(O1748="","",SUMIFS('CPL Mats'!F:F,'CPL Mats'!Q:Q,AR1748,'CPL Mats'!S:S,AS1748)),"")</f>
        <v/>
      </c>
      <c r="AF1748" s="25" t="e">
        <f>IF(SUMIFS(#REF!,#REF!,"Releasable",#REF!,O1748)=0,"",SUMIFS(#REF!,#REF!,"Releasable",#REF!,O1748))</f>
        <v>#REF!</v>
      </c>
      <c r="AG1748" s="25" t="str">
        <f>IFERROR(INDEX(#REF!,MATCH(O1748,#REF!,0)),"")</f>
        <v/>
      </c>
      <c r="AH1748" s="25" t="str">
        <f>IFERROR(INDEX(#REF!,MATCH($O1748,#REF!,0)),"")</f>
        <v/>
      </c>
      <c r="AI1748" s="25" t="e">
        <f>IF(SUMIFS(#REF!,#REF!,"Expires this month",#REF!,O1748)=0,"",SUMIFS(#REF!,#REF!,"Expires this month",#REF!,O1748))</f>
        <v>#REF!</v>
      </c>
      <c r="AJ1748" s="25" t="e">
        <f>IF(SUMIFS(#REF!,#REF!,"Expired Previous Months",#REF!,O1748)=0,"",SUMIFS(#REF!,#REF!,"Expired Previous Months",#REF!,O1748))</f>
        <v>#REF!</v>
      </c>
      <c r="AK1748" s="25" t="str">
        <f>IFERROR(INDEX('Hun Release Current'!B:B,MATCH(O1748,'Hun Release Current'!A:A,0)),"")</f>
        <v/>
      </c>
      <c r="AL1748" s="25" t="str">
        <f>IF(SUMIF('Prev Aub'!A:A,O1748,'Prev Aub'!B:B)=0,"",SUMIF('Prev Aub'!A:A,O1748,'Prev Aub'!B:B))</f>
        <v/>
      </c>
      <c r="AN1748" s="25" t="s">
        <v>3790</v>
      </c>
      <c r="AO1748" s="25" t="s">
        <v>3790</v>
      </c>
      <c r="AP1748" s="25" t="str">
        <f t="shared" si="818"/>
        <v/>
      </c>
      <c r="AQ1748" s="151" t="e">
        <f>IF(SUMIFS(#REF!,#REF!,O1748,#REF!,"PENDING")=0,"",SUMIFS(#REF!,#REF!,O1748,#REF!,"PENDING"))</f>
        <v>#REF!</v>
      </c>
      <c r="AR1748" s="27" t="str">
        <f t="shared" si="819"/>
        <v/>
      </c>
      <c r="AS1748" s="27" t="str">
        <f t="shared" si="820"/>
        <v/>
      </c>
      <c r="AT1748" s="27" t="str">
        <f t="shared" si="821"/>
        <v/>
      </c>
      <c r="AU1748" s="27" t="str">
        <f t="shared" si="822"/>
        <v/>
      </c>
      <c r="AV1748" s="27" t="str">
        <f t="shared" si="823"/>
        <v/>
      </c>
      <c r="AW1748" s="27" t="e">
        <f t="shared" si="824"/>
        <v>#REF!</v>
      </c>
      <c r="AX1748" s="27" t="e">
        <f t="shared" si="825"/>
        <v>#REF!</v>
      </c>
      <c r="AY1748" s="27" t="str">
        <f t="shared" si="826"/>
        <v/>
      </c>
      <c r="AZ1748" s="27" t="str">
        <f t="shared" si="827"/>
        <v/>
      </c>
      <c r="BA1748" s="27" t="str">
        <f t="shared" si="828"/>
        <v/>
      </c>
      <c r="BB1748" s="27" t="str">
        <f t="shared" si="829"/>
        <v/>
      </c>
      <c r="BC1748" s="27" t="str">
        <f t="shared" si="830"/>
        <v/>
      </c>
      <c r="BD1748" s="27" t="str">
        <f t="shared" si="831"/>
        <v/>
      </c>
      <c r="BE1748" s="27" t="str">
        <f t="shared" si="832"/>
        <v/>
      </c>
      <c r="BF1748" s="27" t="str">
        <f t="shared" si="833"/>
        <v/>
      </c>
      <c r="BG1748" s="27" t="str">
        <f t="shared" si="834"/>
        <v/>
      </c>
      <c r="BH1748" s="27" t="str">
        <f t="shared" si="835"/>
        <v/>
      </c>
      <c r="BI1748" s="27" t="str">
        <f t="shared" si="836"/>
        <v/>
      </c>
      <c r="BJ1748" s="27" t="str">
        <f t="shared" si="837"/>
        <v/>
      </c>
      <c r="BK1748" s="27" t="str">
        <f t="shared" si="838"/>
        <v/>
      </c>
      <c r="BL1748" s="27" t="str">
        <f t="shared" si="839"/>
        <v/>
      </c>
      <c r="BM1748" s="21" t="s">
        <v>3790</v>
      </c>
    </row>
    <row r="1749" spans="1:65" ht="15">
      <c r="A1749" s="25" t="str">
        <f>IFERROR(INDEX(#REF!,MATCH(O1749,#REF!,0)),"")</f>
        <v/>
      </c>
      <c r="B1749" s="25" t="str">
        <f>IFERROR(INDEX(#REF!,MATCH(O1749,#REF!,0)),"")</f>
        <v/>
      </c>
      <c r="C1749" s="25" t="str">
        <f>IFERROR(INDEX(#REF!,MATCH(O1749,#REF!,0)),"")</f>
        <v/>
      </c>
      <c r="D1749" s="25" t="str">
        <f>IFERROR(INDEX(#REF!,MATCH(O1749,#REF!,0)),"")</f>
        <v/>
      </c>
      <c r="E1749" s="25" t="str">
        <f>IFERROR(INDEX(#REF!,MATCH(O1749,#REF!,0)),"")</f>
        <v/>
      </c>
      <c r="F1749" s="25" t="str">
        <f>IFERROR(INDEX(#REF!,MATCH(O1749,#REF!,0)),"")</f>
        <v/>
      </c>
      <c r="G1749" s="25" t="str">
        <f>IFERROR(INDEX(#REF!,MATCH(O1749,#REF!,0)),"")</f>
        <v/>
      </c>
      <c r="H1749" s="25" t="str">
        <f>IFERROR(INDEX(#REF!,MATCH(O1749,#REF!,0)),"")</f>
        <v/>
      </c>
      <c r="I1749" s="25" t="str">
        <f>IFERROR(INDEX(#REF!,MATCH(O1749,#REF!,0)),"")</f>
        <v/>
      </c>
      <c r="J1749" s="25" t="str">
        <f>IFERROR(INDEX(#REF!,MATCH(O1749,#REF!,0)),"")</f>
        <v/>
      </c>
      <c r="K1749" s="25" t="str">
        <f>IFERROR(INDEX(#REF!,MATCH(O1749,#REF!,0)),"")</f>
        <v/>
      </c>
      <c r="L1749" s="25" t="str">
        <f>IFERROR(INDEX(#REF!,MATCH(O1749,#REF!,0)),"")</f>
        <v/>
      </c>
      <c r="P1749" s="27" t="str">
        <f>IFERROR(INDEX(#REF!,MATCH($O1749,#REF!,0)),"")</f>
        <v/>
      </c>
      <c r="Q1749" s="27" t="str">
        <f>IFERROR(INDEX(#REF!,MATCH($O1749,#REF!,0)),"")</f>
        <v/>
      </c>
      <c r="R1749" s="52" t="str">
        <f>IFERROR(IF(AR1750=AR1749,INDEX(#REF!,MATCH($O1749,#REF!,0))-IF(AN1749="",0,AN1749)+AP1750,INDEX(#REF!,MATCH($O1749,#REF!,0))-IF(AN1749="",0,AN1749)),"")</f>
        <v/>
      </c>
      <c r="S1749" s="53" t="str">
        <f t="shared" si="812"/>
        <v/>
      </c>
      <c r="T1749" s="52" t="str">
        <f t="shared" si="813"/>
        <v/>
      </c>
      <c r="U1749" s="52" t="str">
        <f>IFERROR(IF(AR1750=AR1749,INDEX(#REF!,MATCH($O1749,#REF!,0))-IF(AN1749="",0,AN1749)+AP1750,INDEX(#REF!,MATCH($O1749,#REF!,0))-IF(AN1749="",0,AN1749)),"")</f>
        <v/>
      </c>
      <c r="V1749" s="53" t="str">
        <f t="shared" si="814"/>
        <v/>
      </c>
      <c r="W1749" s="52" t="str">
        <f t="shared" si="815"/>
        <v/>
      </c>
      <c r="X1749" s="52" t="str">
        <f>IFERROR(IF(AND(AR1750=AR1749,AM1749&lt;&gt;""),INDEX(#REF!,MATCH($O1749,#REF!,0))-IF(AN1749="",0,AN1749)+AP1750+AD1749+AL1749,IF(AR1750=AR1749,INDEX(#REF!,MATCH($O1749,#REF!,0))-IF(AN1749="",0,AN1749)+AP1750+AD1749,IF(AM1749&lt;&gt;"",INDEX(#REF!,MATCH($O1749,#REF!,0))-IF(AN1749="",0,AN1749)+AD1749+AL1749,INDEX(#REF!,MATCH($O1749,#REF!,0))-IF(AN1749="",0,AN1749)+AD1749))),"")</f>
        <v/>
      </c>
      <c r="Y1749" s="53" t="str">
        <f t="shared" si="816"/>
        <v/>
      </c>
      <c r="Z1749" s="52" t="str">
        <f>IF(L1749="","",INDEX(#REF!,MATCH($O1749,#REF!,0)))</f>
        <v/>
      </c>
      <c r="AA1749" s="52" t="str">
        <f t="shared" si="817"/>
        <v/>
      </c>
      <c r="AB1749" s="52" t="str">
        <f>IFERROR(INDEX(#REF!,MATCH($O1749,#REF!,0)),"")</f>
        <v/>
      </c>
      <c r="AC1749" s="52" t="str">
        <f>IFERROR(IF(O1749="","",SUMIFS('CPL Mats'!F:F,'CPL Mats'!Q:Q,AR1749,'CPL Mats'!S:S,AS1749)),"")</f>
        <v/>
      </c>
      <c r="AF1749" s="25" t="e">
        <f>IF(SUMIFS(#REF!,#REF!,"Releasable",#REF!,O1749)=0,"",SUMIFS(#REF!,#REF!,"Releasable",#REF!,O1749))</f>
        <v>#REF!</v>
      </c>
      <c r="AG1749" s="25" t="str">
        <f>IFERROR(INDEX(#REF!,MATCH(O1749,#REF!,0)),"")</f>
        <v/>
      </c>
      <c r="AH1749" s="25" t="str">
        <f>IFERROR(INDEX(#REF!,MATCH($O1749,#REF!,0)),"")</f>
        <v/>
      </c>
      <c r="AI1749" s="25" t="e">
        <f>IF(SUMIFS(#REF!,#REF!,"Expires this month",#REF!,O1749)=0,"",SUMIFS(#REF!,#REF!,"Expires this month",#REF!,O1749))</f>
        <v>#REF!</v>
      </c>
      <c r="AJ1749" s="25" t="e">
        <f>IF(SUMIFS(#REF!,#REF!,"Expired Previous Months",#REF!,O1749)=0,"",SUMIFS(#REF!,#REF!,"Expired Previous Months",#REF!,O1749))</f>
        <v>#REF!</v>
      </c>
      <c r="AK1749" s="25" t="str">
        <f>IFERROR(INDEX('Hun Release Current'!B:B,MATCH(O1749,'Hun Release Current'!A:A,0)),"")</f>
        <v/>
      </c>
      <c r="AL1749" s="25" t="str">
        <f>IF(SUMIF('Prev Aub'!A:A,O1749,'Prev Aub'!B:B)=0,"",SUMIF('Prev Aub'!A:A,O1749,'Prev Aub'!B:B))</f>
        <v/>
      </c>
      <c r="AN1749" s="25" t="s">
        <v>3790</v>
      </c>
      <c r="AO1749" s="25" t="s">
        <v>3790</v>
      </c>
      <c r="AP1749" s="25" t="str">
        <f t="shared" si="818"/>
        <v/>
      </c>
      <c r="AQ1749" s="151" t="e">
        <f>IF(SUMIFS(#REF!,#REF!,O1749,#REF!,"PENDING")=0,"",SUMIFS(#REF!,#REF!,O1749,#REF!,"PENDING"))</f>
        <v>#REF!</v>
      </c>
      <c r="AR1749" s="27" t="str">
        <f t="shared" si="819"/>
        <v/>
      </c>
      <c r="AS1749" s="27" t="str">
        <f t="shared" si="820"/>
        <v/>
      </c>
      <c r="AT1749" s="27" t="str">
        <f t="shared" si="821"/>
        <v/>
      </c>
      <c r="AU1749" s="27" t="str">
        <f t="shared" si="822"/>
        <v/>
      </c>
      <c r="AV1749" s="27" t="str">
        <f t="shared" si="823"/>
        <v/>
      </c>
      <c r="AW1749" s="27" t="e">
        <f t="shared" si="824"/>
        <v>#REF!</v>
      </c>
      <c r="AX1749" s="27" t="e">
        <f t="shared" si="825"/>
        <v>#REF!</v>
      </c>
      <c r="AY1749" s="27" t="str">
        <f t="shared" si="826"/>
        <v/>
      </c>
      <c r="AZ1749" s="27" t="str">
        <f t="shared" si="827"/>
        <v/>
      </c>
      <c r="BA1749" s="27" t="str">
        <f t="shared" si="828"/>
        <v/>
      </c>
      <c r="BB1749" s="27" t="str">
        <f t="shared" si="829"/>
        <v/>
      </c>
      <c r="BC1749" s="27" t="str">
        <f t="shared" si="830"/>
        <v/>
      </c>
      <c r="BD1749" s="27" t="str">
        <f t="shared" si="831"/>
        <v/>
      </c>
      <c r="BE1749" s="27" t="str">
        <f t="shared" si="832"/>
        <v/>
      </c>
      <c r="BF1749" s="27" t="str">
        <f t="shared" si="833"/>
        <v/>
      </c>
      <c r="BG1749" s="27" t="str">
        <f t="shared" si="834"/>
        <v/>
      </c>
      <c r="BH1749" s="27" t="str">
        <f t="shared" si="835"/>
        <v/>
      </c>
      <c r="BI1749" s="27" t="str">
        <f t="shared" si="836"/>
        <v/>
      </c>
      <c r="BJ1749" s="27" t="str">
        <f t="shared" si="837"/>
        <v/>
      </c>
      <c r="BK1749" s="27" t="str">
        <f t="shared" si="838"/>
        <v/>
      </c>
      <c r="BL1749" s="27" t="str">
        <f t="shared" si="839"/>
        <v/>
      </c>
      <c r="BM1749" s="21" t="s">
        <v>3790</v>
      </c>
    </row>
    <row r="1750" spans="1:65" ht="15">
      <c r="A1750" s="25" t="str">
        <f>IFERROR(INDEX(#REF!,MATCH(O1750,#REF!,0)),"")</f>
        <v/>
      </c>
      <c r="B1750" s="25" t="str">
        <f>IFERROR(INDEX(#REF!,MATCH(O1750,#REF!,0)),"")</f>
        <v/>
      </c>
      <c r="C1750" s="25" t="str">
        <f>IFERROR(INDEX(#REF!,MATCH(O1750,#REF!,0)),"")</f>
        <v/>
      </c>
      <c r="D1750" s="25" t="str">
        <f>IFERROR(INDEX(#REF!,MATCH(O1750,#REF!,0)),"")</f>
        <v/>
      </c>
      <c r="E1750" s="25" t="str">
        <f>IFERROR(INDEX(#REF!,MATCH(O1750,#REF!,0)),"")</f>
        <v/>
      </c>
      <c r="F1750" s="25" t="str">
        <f>IFERROR(INDEX(#REF!,MATCH(O1750,#REF!,0)),"")</f>
        <v/>
      </c>
      <c r="G1750" s="25" t="str">
        <f>IFERROR(INDEX(#REF!,MATCH(O1750,#REF!,0)),"")</f>
        <v/>
      </c>
      <c r="H1750" s="25" t="str">
        <f>IFERROR(INDEX(#REF!,MATCH(O1750,#REF!,0)),"")</f>
        <v/>
      </c>
      <c r="I1750" s="25" t="str">
        <f>IFERROR(INDEX(#REF!,MATCH(O1750,#REF!,0)),"")</f>
        <v/>
      </c>
      <c r="J1750" s="25" t="str">
        <f>IFERROR(INDEX(#REF!,MATCH(O1750,#REF!,0)),"")</f>
        <v/>
      </c>
      <c r="K1750" s="25" t="str">
        <f>IFERROR(INDEX(#REF!,MATCH(O1750,#REF!,0)),"")</f>
        <v/>
      </c>
      <c r="L1750" s="25" t="str">
        <f>IFERROR(INDEX(#REF!,MATCH(O1750,#REF!,0)),"")</f>
        <v/>
      </c>
      <c r="P1750" s="27" t="str">
        <f>IFERROR(INDEX(#REF!,MATCH($O1750,#REF!,0)),"")</f>
        <v/>
      </c>
      <c r="Q1750" s="27" t="str">
        <f>IFERROR(INDEX(#REF!,MATCH($O1750,#REF!,0)),"")</f>
        <v/>
      </c>
      <c r="R1750" s="52" t="str">
        <f>IFERROR(IF(AR1751=AR1750,INDEX(#REF!,MATCH($O1750,#REF!,0))-IF(AN1750="",0,AN1750)+AP1751,INDEX(#REF!,MATCH($O1750,#REF!,0))-IF(AN1750="",0,AN1750)),"")</f>
        <v/>
      </c>
      <c r="S1750" s="53" t="str">
        <f t="shared" si="812"/>
        <v/>
      </c>
      <c r="T1750" s="52" t="str">
        <f t="shared" si="813"/>
        <v/>
      </c>
      <c r="U1750" s="52" t="str">
        <f>IFERROR(IF(AR1751=AR1750,INDEX(#REF!,MATCH($O1750,#REF!,0))-IF(AN1750="",0,AN1750)+AP1751,INDEX(#REF!,MATCH($O1750,#REF!,0))-IF(AN1750="",0,AN1750)),"")</f>
        <v/>
      </c>
      <c r="V1750" s="53" t="str">
        <f t="shared" si="814"/>
        <v/>
      </c>
      <c r="W1750" s="52" t="str">
        <f t="shared" si="815"/>
        <v/>
      </c>
      <c r="X1750" s="52" t="str">
        <f>IFERROR(IF(AND(AR1751=AR1750,AM1750&lt;&gt;""),INDEX(#REF!,MATCH($O1750,#REF!,0))-IF(AN1750="",0,AN1750)+AP1751+AD1750+AL1750,IF(AR1751=AR1750,INDEX(#REF!,MATCH($O1750,#REF!,0))-IF(AN1750="",0,AN1750)+AP1751+AD1750,IF(AM1750&lt;&gt;"",INDEX(#REF!,MATCH($O1750,#REF!,0))-IF(AN1750="",0,AN1750)+AD1750+AL1750,INDEX(#REF!,MATCH($O1750,#REF!,0))-IF(AN1750="",0,AN1750)+AD1750))),"")</f>
        <v/>
      </c>
      <c r="Y1750" s="53" t="str">
        <f t="shared" si="816"/>
        <v/>
      </c>
      <c r="Z1750" s="52" t="str">
        <f>IF(L1750="","",INDEX(#REF!,MATCH($O1750,#REF!,0)))</f>
        <v/>
      </c>
      <c r="AA1750" s="52" t="str">
        <f t="shared" si="817"/>
        <v/>
      </c>
      <c r="AB1750" s="52" t="str">
        <f>IFERROR(INDEX(#REF!,MATCH($O1750,#REF!,0)),"")</f>
        <v/>
      </c>
      <c r="AC1750" s="52" t="str">
        <f>IFERROR(IF(O1750="","",SUMIFS('CPL Mats'!F:F,'CPL Mats'!Q:Q,AR1750,'CPL Mats'!S:S,AS1750)),"")</f>
        <v/>
      </c>
      <c r="AF1750" s="25" t="e">
        <f>IF(SUMIFS(#REF!,#REF!,"Releasable",#REF!,O1750)=0,"",SUMIFS(#REF!,#REF!,"Releasable",#REF!,O1750))</f>
        <v>#REF!</v>
      </c>
      <c r="AG1750" s="25" t="str">
        <f>IFERROR(INDEX(#REF!,MATCH(O1750,#REF!,0)),"")</f>
        <v/>
      </c>
      <c r="AH1750" s="25" t="str">
        <f>IFERROR(INDEX(#REF!,MATCH($O1750,#REF!,0)),"")</f>
        <v/>
      </c>
      <c r="AI1750" s="25" t="e">
        <f>IF(SUMIFS(#REF!,#REF!,"Expires this month",#REF!,O1750)=0,"",SUMIFS(#REF!,#REF!,"Expires this month",#REF!,O1750))</f>
        <v>#REF!</v>
      </c>
      <c r="AJ1750" s="25" t="e">
        <f>IF(SUMIFS(#REF!,#REF!,"Expired Previous Months",#REF!,O1750)=0,"",SUMIFS(#REF!,#REF!,"Expired Previous Months",#REF!,O1750))</f>
        <v>#REF!</v>
      </c>
      <c r="AK1750" s="25" t="str">
        <f>IFERROR(INDEX('Hun Release Current'!B:B,MATCH(O1750,'Hun Release Current'!A:A,0)),"")</f>
        <v/>
      </c>
      <c r="AL1750" s="25" t="str">
        <f>IF(SUMIF('Prev Aub'!A:A,O1750,'Prev Aub'!B:B)=0,"",SUMIF('Prev Aub'!A:A,O1750,'Prev Aub'!B:B))</f>
        <v/>
      </c>
      <c r="AN1750" s="25" t="s">
        <v>3790</v>
      </c>
      <c r="AO1750" s="25" t="s">
        <v>3790</v>
      </c>
      <c r="AP1750" s="25" t="str">
        <f t="shared" si="818"/>
        <v/>
      </c>
      <c r="AQ1750" s="151" t="e">
        <f>IF(SUMIFS(#REF!,#REF!,O1750,#REF!,"PENDING")=0,"",SUMIFS(#REF!,#REF!,O1750,#REF!,"PENDING"))</f>
        <v>#REF!</v>
      </c>
      <c r="AR1750" s="27" t="str">
        <f t="shared" si="819"/>
        <v/>
      </c>
      <c r="AS1750" s="27" t="str">
        <f t="shared" si="820"/>
        <v/>
      </c>
      <c r="AT1750" s="27" t="str">
        <f t="shared" si="821"/>
        <v/>
      </c>
      <c r="AU1750" s="27" t="str">
        <f t="shared" si="822"/>
        <v/>
      </c>
      <c r="AV1750" s="27" t="str">
        <f t="shared" si="823"/>
        <v/>
      </c>
      <c r="AW1750" s="27" t="e">
        <f t="shared" si="824"/>
        <v>#REF!</v>
      </c>
      <c r="AX1750" s="27" t="e">
        <f t="shared" si="825"/>
        <v>#REF!</v>
      </c>
      <c r="AY1750" s="27" t="str">
        <f t="shared" si="826"/>
        <v/>
      </c>
      <c r="AZ1750" s="27" t="str">
        <f t="shared" si="827"/>
        <v/>
      </c>
      <c r="BA1750" s="27" t="str">
        <f t="shared" si="828"/>
        <v/>
      </c>
      <c r="BB1750" s="27" t="str">
        <f t="shared" si="829"/>
        <v/>
      </c>
      <c r="BC1750" s="27" t="str">
        <f t="shared" si="830"/>
        <v/>
      </c>
      <c r="BD1750" s="27" t="str">
        <f t="shared" si="831"/>
        <v/>
      </c>
      <c r="BE1750" s="27" t="str">
        <f t="shared" si="832"/>
        <v/>
      </c>
      <c r="BF1750" s="27" t="str">
        <f t="shared" si="833"/>
        <v/>
      </c>
      <c r="BG1750" s="27" t="str">
        <f t="shared" si="834"/>
        <v/>
      </c>
      <c r="BH1750" s="27" t="str">
        <f t="shared" si="835"/>
        <v/>
      </c>
      <c r="BI1750" s="27" t="str">
        <f t="shared" si="836"/>
        <v/>
      </c>
      <c r="BJ1750" s="27" t="str">
        <f t="shared" si="837"/>
        <v/>
      </c>
      <c r="BK1750" s="27" t="str">
        <f t="shared" si="838"/>
        <v/>
      </c>
      <c r="BL1750" s="27" t="str">
        <f t="shared" si="839"/>
        <v/>
      </c>
      <c r="BM1750" s="21" t="s">
        <v>3790</v>
      </c>
    </row>
    <row r="1751" spans="1:65" ht="15">
      <c r="A1751" s="25" t="str">
        <f>IFERROR(INDEX(#REF!,MATCH(O1751,#REF!,0)),"")</f>
        <v/>
      </c>
      <c r="B1751" s="25" t="str">
        <f>IFERROR(INDEX(#REF!,MATCH(O1751,#REF!,0)),"")</f>
        <v/>
      </c>
      <c r="C1751" s="25" t="str">
        <f>IFERROR(INDEX(#REF!,MATCH(O1751,#REF!,0)),"")</f>
        <v/>
      </c>
      <c r="D1751" s="25" t="str">
        <f>IFERROR(INDEX(#REF!,MATCH(O1751,#REF!,0)),"")</f>
        <v/>
      </c>
      <c r="E1751" s="25" t="str">
        <f>IFERROR(INDEX(#REF!,MATCH(O1751,#REF!,0)),"")</f>
        <v/>
      </c>
      <c r="F1751" s="25" t="str">
        <f>IFERROR(INDEX(#REF!,MATCH(O1751,#REF!,0)),"")</f>
        <v/>
      </c>
      <c r="G1751" s="25" t="str">
        <f>IFERROR(INDEX(#REF!,MATCH(O1751,#REF!,0)),"")</f>
        <v/>
      </c>
      <c r="H1751" s="25" t="str">
        <f>IFERROR(INDEX(#REF!,MATCH(O1751,#REF!,0)),"")</f>
        <v/>
      </c>
      <c r="I1751" s="25" t="str">
        <f>IFERROR(INDEX(#REF!,MATCH(O1751,#REF!,0)),"")</f>
        <v/>
      </c>
      <c r="J1751" s="25" t="str">
        <f>IFERROR(INDEX(#REF!,MATCH(O1751,#REF!,0)),"")</f>
        <v/>
      </c>
      <c r="K1751" s="25" t="str">
        <f>IFERROR(INDEX(#REF!,MATCH(O1751,#REF!,0)),"")</f>
        <v/>
      </c>
      <c r="L1751" s="25" t="str">
        <f>IFERROR(INDEX(#REF!,MATCH(O1751,#REF!,0)),"")</f>
        <v/>
      </c>
      <c r="P1751" s="27" t="str">
        <f>IFERROR(INDEX(#REF!,MATCH($O1751,#REF!,0)),"")</f>
        <v/>
      </c>
      <c r="Q1751" s="27" t="str">
        <f>IFERROR(INDEX(#REF!,MATCH($O1751,#REF!,0)),"")</f>
        <v/>
      </c>
      <c r="R1751" s="52" t="str">
        <f>IFERROR(IF(AR1752=AR1751,INDEX(#REF!,MATCH($O1751,#REF!,0))-IF(AN1751="",0,AN1751)+AP1752,INDEX(#REF!,MATCH($O1751,#REF!,0))-IF(AN1751="",0,AN1751)),"")</f>
        <v/>
      </c>
      <c r="S1751" s="53" t="str">
        <f t="shared" ref="S1751:S1756" si="840">IFERROR(IF(O1751="","",ROUND(R1751/((Z1751/30)*7),1)),"n/a")</f>
        <v/>
      </c>
      <c r="T1751" s="52" t="str">
        <f t="shared" ref="T1751:T1756" si="841">IFERROR(IF(S1751&lt;3.1,IF(AA1751="spike",(3-S1751)*(Z1751/4),(3-S1751)*(AA1751/4)),""),"")</f>
        <v/>
      </c>
      <c r="U1751" s="52" t="str">
        <f>IFERROR(IF(AR1752=AR1751,INDEX(#REF!,MATCH($O1751,#REF!,0))-IF(AN1751="",0,AN1751)+AP1752,INDEX(#REF!,MATCH($O1751,#REF!,0))-IF(AN1751="",0,AN1751)),"")</f>
        <v/>
      </c>
      <c r="V1751" s="53" t="str">
        <f t="shared" ref="V1751:V1756" si="842">IFERROR(IF(O1751="","",ROUND(U1751/((Z1751/30)*7),1)),"n/a")</f>
        <v/>
      </c>
      <c r="W1751" s="52" t="str">
        <f t="shared" ref="W1751:W1756" si="843">IF(IFERROR(IF(V1751&lt;3.1,IF(AA1751="spike",(3-V1751)*(Z1751/4),(3-V1751)*(AA1751/4)),""),"")&lt;0,0,IFERROR(IF(V1751&lt;3.1,IF(AA1751="spike",(3-V1751)*(Z1751/4),(3-V1751)*(AA1751/4)),""),""))</f>
        <v/>
      </c>
      <c r="X1751" s="52" t="str">
        <f>IFERROR(IF(AND(AR1752=AR1751,AM1751&lt;&gt;""),INDEX(#REF!,MATCH($O1751,#REF!,0))-IF(AN1751="",0,AN1751)+AP1752+AD1751+AL1751,IF(AR1752=AR1751,INDEX(#REF!,MATCH($O1751,#REF!,0))-IF(AN1751="",0,AN1751)+AP1752+AD1751,IF(AM1751&lt;&gt;"",INDEX(#REF!,MATCH($O1751,#REF!,0))-IF(AN1751="",0,AN1751)+AD1751+AL1751,INDEX(#REF!,MATCH($O1751,#REF!,0))-IF(AN1751="",0,AN1751)+AD1751))),"")</f>
        <v/>
      </c>
      <c r="Y1751" s="53" t="str">
        <f t="shared" ref="Y1751:Y1756" si="844">IFERROR(IF(O1751="","",ROUND(X1751/((Z1751/30)*7),1)),"n/a")</f>
        <v/>
      </c>
      <c r="Z1751" s="52" t="str">
        <f>IF(L1751="","",INDEX(#REF!,MATCH($O1751,#REF!,0)))</f>
        <v/>
      </c>
      <c r="AA1751" s="52" t="str">
        <f t="shared" ref="AA1751:AA1756" si="845">IF(L1751="","",IF(LARGE(I1751:L1751,2)=0,"-spike-",AVERAGE(LARGE(I1751:L1751,1),LARGE(I1751:L1751,2))))</f>
        <v/>
      </c>
      <c r="AB1751" s="52" t="str">
        <f>IFERROR(INDEX(#REF!,MATCH($O1751,#REF!,0)),"")</f>
        <v/>
      </c>
      <c r="AC1751" s="52" t="str">
        <f>IFERROR(IF(O1751="","",SUMIFS('CPL Mats'!F:F,'CPL Mats'!Q:Q,AR1751,'CPL Mats'!S:S,AS1751)),"")</f>
        <v/>
      </c>
      <c r="AF1751" s="25" t="e">
        <f>IF(SUMIFS(#REF!,#REF!,"Releasable",#REF!,O1751)=0,"",SUMIFS(#REF!,#REF!,"Releasable",#REF!,O1751))</f>
        <v>#REF!</v>
      </c>
      <c r="AG1751" s="25" t="str">
        <f>IFERROR(INDEX(#REF!,MATCH(O1751,#REF!,0)),"")</f>
        <v/>
      </c>
      <c r="AH1751" s="25" t="str">
        <f>IFERROR(INDEX(#REF!,MATCH($O1751,#REF!,0)),"")</f>
        <v/>
      </c>
      <c r="AI1751" s="25" t="e">
        <f>IF(SUMIFS(#REF!,#REF!,"Expires this month",#REF!,O1751)=0,"",SUMIFS(#REF!,#REF!,"Expires this month",#REF!,O1751))</f>
        <v>#REF!</v>
      </c>
      <c r="AJ1751" s="25" t="e">
        <f>IF(SUMIFS(#REF!,#REF!,"Expired Previous Months",#REF!,O1751)=0,"",SUMIFS(#REF!,#REF!,"Expired Previous Months",#REF!,O1751))</f>
        <v>#REF!</v>
      </c>
      <c r="AK1751" s="25" t="str">
        <f>IFERROR(INDEX('Hun Release Current'!B:B,MATCH(O1751,'Hun Release Current'!A:A,0)),"")</f>
        <v/>
      </c>
      <c r="AL1751" s="25" t="str">
        <f>IF(SUMIF('Prev Aub'!A:A,O1751,'Prev Aub'!B:B)=0,"",SUMIF('Prev Aub'!A:A,O1751,'Prev Aub'!B:B))</f>
        <v/>
      </c>
      <c r="AN1751" s="25" t="s">
        <v>3790</v>
      </c>
      <c r="AO1751" s="25" t="s">
        <v>3790</v>
      </c>
      <c r="AP1751" s="25" t="str">
        <f t="shared" ref="AP1751:AP1756" si="846">IFERROR(IF(O1751="","",IF(AN1751="",0,VALUE(AN1751)-(VALUE(AN1751)*0.2))),"")</f>
        <v/>
      </c>
      <c r="AQ1751" s="151" t="e">
        <f>IF(SUMIFS(#REF!,#REF!,O1751,#REF!,"PENDING")=0,"",SUMIFS(#REF!,#REF!,O1751,#REF!,"PENDING"))</f>
        <v>#REF!</v>
      </c>
      <c r="AR1751" s="27" t="str">
        <f t="shared" ref="AR1751:AR1756" si="847">MID(O1751,4,5)</f>
        <v/>
      </c>
      <c r="AS1751" s="27" t="str">
        <f t="shared" ref="AS1751:AS1756" si="848">MID(O1751,10,2)</f>
        <v/>
      </c>
      <c r="AT1751" s="27" t="str">
        <f t="shared" ref="AT1751:AT1756" si="849">IF(S1751&lt;3.1,AR1751,"")</f>
        <v/>
      </c>
      <c r="AU1751" s="27" t="str">
        <f t="shared" ref="AU1751:AU1756" si="850">IF(Y1751&lt;3.1,AR1751,"")</f>
        <v/>
      </c>
      <c r="AV1751" s="27" t="str">
        <f t="shared" ref="AV1751:AV1756" si="851">IF(AND(AA1751="Spike",L1751=0,K1751=0,X1751&gt;=0),"",IF(Y1751&lt;3.1,AR1751,""))</f>
        <v/>
      </c>
      <c r="AW1751" s="27" t="e">
        <f t="shared" ref="AW1751:AW1756" si="852">IF(AI1751=AL1751,"",IF(OR(AI1751&lt;&gt;"",AJ1751&lt;&gt;""),AR1751,""))</f>
        <v>#REF!</v>
      </c>
      <c r="AX1751" s="27" t="e">
        <f t="shared" ref="AX1751:AX1756" si="853">IF(AF1751&lt;&gt;"",AR1751,"")</f>
        <v>#REF!</v>
      </c>
      <c r="AY1751" s="27" t="str">
        <f t="shared" ref="AY1751:AY1756" si="854">IF(AND(AG1751&lt;&gt;"",AG1751&gt;AH1751),AR1751,"")</f>
        <v/>
      </c>
      <c r="AZ1751" s="27" t="str">
        <f t="shared" ref="AZ1751:AZ1756" si="855">IFERROR(IF(O1751="","",IF(ISERROR(MATCH(AR1751,AX:AX,0)),"","Supp")),"")</f>
        <v/>
      </c>
      <c r="BA1751" s="27" t="str">
        <f t="shared" ref="BA1751:BA1756" si="856">IFERROR(IF(O1751="","",IF(ISERROR(MATCH(AR1751,AY:AY,0)),"","Hun")),"")</f>
        <v/>
      </c>
      <c r="BB1751" s="27" t="str">
        <f t="shared" ref="BB1751:BB1756" si="857">IFERROR(IF(O1751="","",IF(ISERROR(MATCH(AR1751,AT:AT,0)),"","Gross")),"")</f>
        <v/>
      </c>
      <c r="BC1751" s="27" t="str">
        <f t="shared" ref="BC1751:BC1756" si="858">IFERROR(IF(O1751="","",IF(ISERROR(MATCH(AR1751,AU:AU,0)),"","Net")),"")</f>
        <v/>
      </c>
      <c r="BD1751" s="27" t="str">
        <f t="shared" ref="BD1751:BD1756" si="859">IFERROR(IF(O1751="","",IF(ISERROR(MATCH(AR1751,AV:AV,0)),"","Net")),"")</f>
        <v/>
      </c>
      <c r="BE1751" s="27" t="str">
        <f t="shared" ref="BE1751:BE1756" si="860">IFERROR(IF(O1751="","",IF(ISERROR(MATCH(AR1751,AW:AW,0)),"","Exp")),"")</f>
        <v/>
      </c>
      <c r="BF1751" s="27" t="str">
        <f t="shared" ref="BF1751:BF1756" si="861">IFERROR(IF(O1751="","",IF(AND(AZ1751="Supp",BC1751="Net"),"S+N","")),"")</f>
        <v/>
      </c>
      <c r="BG1751" s="27" t="str">
        <f t="shared" ref="BG1751:BG1756" si="862">IFERROR(IF(O1751="","",IF(OR(BE1751&lt;&gt;"",BF1751&lt;&gt;""),"S+NorE","")),"")</f>
        <v/>
      </c>
      <c r="BH1751" s="27" t="str">
        <f t="shared" ref="BH1751:BH1756" si="863">IFERROR(IF(O1751="","",IF(AND(BA1751&lt;&gt;"",BC1751&lt;&gt;""),"H+N","")),"")</f>
        <v/>
      </c>
      <c r="BI1751" s="27" t="str">
        <f t="shared" ref="BI1751:BI1756" si="864">IFERROR(IF(O1751="","",IF(AND(BA1751&lt;&gt;"",BD1751&lt;&gt;""),"H+Nex","")),"")</f>
        <v/>
      </c>
      <c r="BJ1751" s="27" t="str">
        <f t="shared" ref="BJ1751:BJ1756" si="865">IF(OR(AZ1751&lt;&gt;"",BA1751&lt;&gt;""),"Supp or Hun","")</f>
        <v/>
      </c>
      <c r="BK1751" s="27" t="str">
        <f t="shared" ref="BK1751:BK1756" si="866">IF(AND(BJ1751&lt;&gt;"",BC1751&lt;&gt;""),"Supp or Hun Need","")</f>
        <v/>
      </c>
      <c r="BL1751" s="27" t="str">
        <f t="shared" ref="BL1751:BL1756" si="867">IF(OR(BK1751&lt;&gt;"",BE1751&lt;&gt;""),"SorHandNandE","")</f>
        <v/>
      </c>
      <c r="BM1751" s="21" t="s">
        <v>3790</v>
      </c>
    </row>
    <row r="1752" spans="1:65" ht="15">
      <c r="A1752" s="25" t="str">
        <f>IFERROR(INDEX(#REF!,MATCH(O1752,#REF!,0)),"")</f>
        <v/>
      </c>
      <c r="B1752" s="25" t="str">
        <f>IFERROR(INDEX(#REF!,MATCH(O1752,#REF!,0)),"")</f>
        <v/>
      </c>
      <c r="C1752" s="25" t="str">
        <f>IFERROR(INDEX(#REF!,MATCH(O1752,#REF!,0)),"")</f>
        <v/>
      </c>
      <c r="D1752" s="25" t="str">
        <f>IFERROR(INDEX(#REF!,MATCH(O1752,#REF!,0)),"")</f>
        <v/>
      </c>
      <c r="E1752" s="25" t="str">
        <f>IFERROR(INDEX(#REF!,MATCH(O1752,#REF!,0)),"")</f>
        <v/>
      </c>
      <c r="F1752" s="25" t="str">
        <f>IFERROR(INDEX(#REF!,MATCH(O1752,#REF!,0)),"")</f>
        <v/>
      </c>
      <c r="G1752" s="25" t="str">
        <f>IFERROR(INDEX(#REF!,MATCH(O1752,#REF!,0)),"")</f>
        <v/>
      </c>
      <c r="H1752" s="25" t="str">
        <f>IFERROR(INDEX(#REF!,MATCH(O1752,#REF!,0)),"")</f>
        <v/>
      </c>
      <c r="I1752" s="25" t="str">
        <f>IFERROR(INDEX(#REF!,MATCH(O1752,#REF!,0)),"")</f>
        <v/>
      </c>
      <c r="J1752" s="25" t="str">
        <f>IFERROR(INDEX(#REF!,MATCH(O1752,#REF!,0)),"")</f>
        <v/>
      </c>
      <c r="K1752" s="25" t="str">
        <f>IFERROR(INDEX(#REF!,MATCH(O1752,#REF!,0)),"")</f>
        <v/>
      </c>
      <c r="L1752" s="25" t="str">
        <f>IFERROR(INDEX(#REF!,MATCH(O1752,#REF!,0)),"")</f>
        <v/>
      </c>
      <c r="P1752" s="27" t="str">
        <f>IFERROR(INDEX(#REF!,MATCH($O1752,#REF!,0)),"")</f>
        <v/>
      </c>
      <c r="Q1752" s="27" t="str">
        <f>IFERROR(INDEX(#REF!,MATCH($O1752,#REF!,0)),"")</f>
        <v/>
      </c>
      <c r="R1752" s="52" t="str">
        <f>IFERROR(IF(AR1753=AR1752,INDEX(#REF!,MATCH($O1752,#REF!,0))-IF(AN1752="",0,AN1752)+AP1753,INDEX(#REF!,MATCH($O1752,#REF!,0))-IF(AN1752="",0,AN1752)),"")</f>
        <v/>
      </c>
      <c r="S1752" s="53" t="str">
        <f t="shared" si="840"/>
        <v/>
      </c>
      <c r="T1752" s="52" t="str">
        <f t="shared" si="841"/>
        <v/>
      </c>
      <c r="U1752" s="52" t="str">
        <f>IFERROR(IF(AR1753=AR1752,INDEX(#REF!,MATCH($O1752,#REF!,0))-IF(AN1752="",0,AN1752)+AP1753,INDEX(#REF!,MATCH($O1752,#REF!,0))-IF(AN1752="",0,AN1752)),"")</f>
        <v/>
      </c>
      <c r="V1752" s="53" t="str">
        <f t="shared" si="842"/>
        <v/>
      </c>
      <c r="W1752" s="52" t="str">
        <f t="shared" si="843"/>
        <v/>
      </c>
      <c r="X1752" s="52" t="str">
        <f>IFERROR(IF(AND(AR1753=AR1752,AM1752&lt;&gt;""),INDEX(#REF!,MATCH($O1752,#REF!,0))-IF(AN1752="",0,AN1752)+AP1753+AD1752+AL1752,IF(AR1753=AR1752,INDEX(#REF!,MATCH($O1752,#REF!,0))-IF(AN1752="",0,AN1752)+AP1753+AD1752,IF(AM1752&lt;&gt;"",INDEX(#REF!,MATCH($O1752,#REF!,0))-IF(AN1752="",0,AN1752)+AD1752+AL1752,INDEX(#REF!,MATCH($O1752,#REF!,0))-IF(AN1752="",0,AN1752)+AD1752))),"")</f>
        <v/>
      </c>
      <c r="Y1752" s="53" t="str">
        <f t="shared" si="844"/>
        <v/>
      </c>
      <c r="Z1752" s="52" t="str">
        <f>IF(L1752="","",INDEX(#REF!,MATCH($O1752,#REF!,0)))</f>
        <v/>
      </c>
      <c r="AA1752" s="52" t="str">
        <f t="shared" si="845"/>
        <v/>
      </c>
      <c r="AB1752" s="52" t="str">
        <f>IFERROR(INDEX(#REF!,MATCH($O1752,#REF!,0)),"")</f>
        <v/>
      </c>
      <c r="AC1752" s="52" t="str">
        <f>IFERROR(IF(O1752="","",SUMIFS('CPL Mats'!F:F,'CPL Mats'!Q:Q,AR1752,'CPL Mats'!S:S,AS1752)),"")</f>
        <v/>
      </c>
      <c r="AF1752" s="25" t="e">
        <f>IF(SUMIFS(#REF!,#REF!,"Releasable",#REF!,O1752)=0,"",SUMIFS(#REF!,#REF!,"Releasable",#REF!,O1752))</f>
        <v>#REF!</v>
      </c>
      <c r="AG1752" s="25" t="str">
        <f>IFERROR(INDEX(#REF!,MATCH(O1752,#REF!,0)),"")</f>
        <v/>
      </c>
      <c r="AH1752" s="25" t="str">
        <f>IFERROR(INDEX(#REF!,MATCH($O1752,#REF!,0)),"")</f>
        <v/>
      </c>
      <c r="AI1752" s="25" t="e">
        <f>IF(SUMIFS(#REF!,#REF!,"Expires this month",#REF!,O1752)=0,"",SUMIFS(#REF!,#REF!,"Expires this month",#REF!,O1752))</f>
        <v>#REF!</v>
      </c>
      <c r="AJ1752" s="25" t="e">
        <f>IF(SUMIFS(#REF!,#REF!,"Expired Previous Months",#REF!,O1752)=0,"",SUMIFS(#REF!,#REF!,"Expired Previous Months",#REF!,O1752))</f>
        <v>#REF!</v>
      </c>
      <c r="AK1752" s="25" t="str">
        <f>IFERROR(INDEX('Hun Release Current'!B:B,MATCH(O1752,'Hun Release Current'!A:A,0)),"")</f>
        <v/>
      </c>
      <c r="AL1752" s="25" t="str">
        <f>IF(SUMIF('Prev Aub'!A:A,O1752,'Prev Aub'!B:B)=0,"",SUMIF('Prev Aub'!A:A,O1752,'Prev Aub'!B:B))</f>
        <v/>
      </c>
      <c r="AN1752" s="25" t="s">
        <v>3790</v>
      </c>
      <c r="AO1752" s="25" t="s">
        <v>3790</v>
      </c>
      <c r="AP1752" s="25" t="str">
        <f t="shared" si="846"/>
        <v/>
      </c>
      <c r="AQ1752" s="151" t="e">
        <f>IF(SUMIFS(#REF!,#REF!,O1752,#REF!,"PENDING")=0,"",SUMIFS(#REF!,#REF!,O1752,#REF!,"PENDING"))</f>
        <v>#REF!</v>
      </c>
      <c r="AR1752" s="27" t="str">
        <f t="shared" si="847"/>
        <v/>
      </c>
      <c r="AS1752" s="27" t="str">
        <f t="shared" si="848"/>
        <v/>
      </c>
      <c r="AT1752" s="27" t="str">
        <f t="shared" si="849"/>
        <v/>
      </c>
      <c r="AU1752" s="27" t="str">
        <f t="shared" si="850"/>
        <v/>
      </c>
      <c r="AV1752" s="27" t="str">
        <f t="shared" si="851"/>
        <v/>
      </c>
      <c r="AW1752" s="27" t="e">
        <f t="shared" si="852"/>
        <v>#REF!</v>
      </c>
      <c r="AX1752" s="27" t="e">
        <f t="shared" si="853"/>
        <v>#REF!</v>
      </c>
      <c r="AY1752" s="27" t="str">
        <f t="shared" si="854"/>
        <v/>
      </c>
      <c r="AZ1752" s="27" t="str">
        <f t="shared" si="855"/>
        <v/>
      </c>
      <c r="BA1752" s="27" t="str">
        <f t="shared" si="856"/>
        <v/>
      </c>
      <c r="BB1752" s="27" t="str">
        <f t="shared" si="857"/>
        <v/>
      </c>
      <c r="BC1752" s="27" t="str">
        <f t="shared" si="858"/>
        <v/>
      </c>
      <c r="BD1752" s="27" t="str">
        <f t="shared" si="859"/>
        <v/>
      </c>
      <c r="BE1752" s="27" t="str">
        <f t="shared" si="860"/>
        <v/>
      </c>
      <c r="BF1752" s="27" t="str">
        <f t="shared" si="861"/>
        <v/>
      </c>
      <c r="BG1752" s="27" t="str">
        <f t="shared" si="862"/>
        <v/>
      </c>
      <c r="BH1752" s="27" t="str">
        <f t="shared" si="863"/>
        <v/>
      </c>
      <c r="BI1752" s="27" t="str">
        <f t="shared" si="864"/>
        <v/>
      </c>
      <c r="BJ1752" s="27" t="str">
        <f t="shared" si="865"/>
        <v/>
      </c>
      <c r="BK1752" s="27" t="str">
        <f t="shared" si="866"/>
        <v/>
      </c>
      <c r="BL1752" s="27" t="str">
        <f t="shared" si="867"/>
        <v/>
      </c>
      <c r="BM1752" s="21" t="s">
        <v>3790</v>
      </c>
    </row>
    <row r="1753" spans="1:65" ht="15">
      <c r="A1753" s="25" t="str">
        <f>IFERROR(INDEX(#REF!,MATCH(O1753,#REF!,0)),"")</f>
        <v/>
      </c>
      <c r="B1753" s="25" t="str">
        <f>IFERROR(INDEX(#REF!,MATCH(O1753,#REF!,0)),"")</f>
        <v/>
      </c>
      <c r="C1753" s="25" t="str">
        <f>IFERROR(INDEX(#REF!,MATCH(O1753,#REF!,0)),"")</f>
        <v/>
      </c>
      <c r="D1753" s="25" t="str">
        <f>IFERROR(INDEX(#REF!,MATCH(O1753,#REF!,0)),"")</f>
        <v/>
      </c>
      <c r="E1753" s="25" t="str">
        <f>IFERROR(INDEX(#REF!,MATCH(O1753,#REF!,0)),"")</f>
        <v/>
      </c>
      <c r="F1753" s="25" t="str">
        <f>IFERROR(INDEX(#REF!,MATCH(O1753,#REF!,0)),"")</f>
        <v/>
      </c>
      <c r="G1753" s="25" t="str">
        <f>IFERROR(INDEX(#REF!,MATCH(O1753,#REF!,0)),"")</f>
        <v/>
      </c>
      <c r="H1753" s="25" t="str">
        <f>IFERROR(INDEX(#REF!,MATCH(O1753,#REF!,0)),"")</f>
        <v/>
      </c>
      <c r="I1753" s="25" t="str">
        <f>IFERROR(INDEX(#REF!,MATCH(O1753,#REF!,0)),"")</f>
        <v/>
      </c>
      <c r="J1753" s="25" t="str">
        <f>IFERROR(INDEX(#REF!,MATCH(O1753,#REF!,0)),"")</f>
        <v/>
      </c>
      <c r="K1753" s="25" t="str">
        <f>IFERROR(INDEX(#REF!,MATCH(O1753,#REF!,0)),"")</f>
        <v/>
      </c>
      <c r="L1753" s="25" t="str">
        <f>IFERROR(INDEX(#REF!,MATCH(O1753,#REF!,0)),"")</f>
        <v/>
      </c>
      <c r="P1753" s="27" t="str">
        <f>IFERROR(INDEX(#REF!,MATCH($O1753,#REF!,0)),"")</f>
        <v/>
      </c>
      <c r="Q1753" s="27" t="str">
        <f>IFERROR(INDEX(#REF!,MATCH($O1753,#REF!,0)),"")</f>
        <v/>
      </c>
      <c r="R1753" s="52" t="str">
        <f>IFERROR(IF(AR1754=AR1753,INDEX(#REF!,MATCH($O1753,#REF!,0))-IF(AN1753="",0,AN1753)+AP1754,INDEX(#REF!,MATCH($O1753,#REF!,0))-IF(AN1753="",0,AN1753)),"")</f>
        <v/>
      </c>
      <c r="S1753" s="53" t="str">
        <f t="shared" si="840"/>
        <v/>
      </c>
      <c r="T1753" s="52" t="str">
        <f t="shared" si="841"/>
        <v/>
      </c>
      <c r="U1753" s="52" t="str">
        <f>IFERROR(IF(AR1754=AR1753,INDEX(#REF!,MATCH($O1753,#REF!,0))-IF(AN1753="",0,AN1753)+AP1754,INDEX(#REF!,MATCH($O1753,#REF!,0))-IF(AN1753="",0,AN1753)),"")</f>
        <v/>
      </c>
      <c r="V1753" s="53" t="str">
        <f t="shared" si="842"/>
        <v/>
      </c>
      <c r="W1753" s="52" t="str">
        <f t="shared" si="843"/>
        <v/>
      </c>
      <c r="X1753" s="52" t="str">
        <f>IFERROR(IF(AND(AR1754=AR1753,AM1753&lt;&gt;""),INDEX(#REF!,MATCH($O1753,#REF!,0))-IF(AN1753="",0,AN1753)+AP1754+AD1753+AL1753,IF(AR1754=AR1753,INDEX(#REF!,MATCH($O1753,#REF!,0))-IF(AN1753="",0,AN1753)+AP1754+AD1753,IF(AM1753&lt;&gt;"",INDEX(#REF!,MATCH($O1753,#REF!,0))-IF(AN1753="",0,AN1753)+AD1753+AL1753,INDEX(#REF!,MATCH($O1753,#REF!,0))-IF(AN1753="",0,AN1753)+AD1753))),"")</f>
        <v/>
      </c>
      <c r="Y1753" s="53" t="str">
        <f t="shared" si="844"/>
        <v/>
      </c>
      <c r="Z1753" s="52" t="str">
        <f>IF(L1753="","",INDEX(#REF!,MATCH($O1753,#REF!,0)))</f>
        <v/>
      </c>
      <c r="AA1753" s="52" t="str">
        <f t="shared" si="845"/>
        <v/>
      </c>
      <c r="AB1753" s="52" t="str">
        <f>IFERROR(INDEX(#REF!,MATCH($O1753,#REF!,0)),"")</f>
        <v/>
      </c>
      <c r="AC1753" s="52" t="str">
        <f>IFERROR(IF(O1753="","",SUMIFS('CPL Mats'!F:F,'CPL Mats'!Q:Q,AR1753,'CPL Mats'!S:S,AS1753)),"")</f>
        <v/>
      </c>
      <c r="AF1753" s="25" t="e">
        <f>IF(SUMIFS(#REF!,#REF!,"Releasable",#REF!,O1753)=0,"",SUMIFS(#REF!,#REF!,"Releasable",#REF!,O1753))</f>
        <v>#REF!</v>
      </c>
      <c r="AG1753" s="25" t="str">
        <f>IFERROR(INDEX(#REF!,MATCH(O1753,#REF!,0)),"")</f>
        <v/>
      </c>
      <c r="AH1753" s="25" t="str">
        <f>IFERROR(INDEX(#REF!,MATCH($O1753,#REF!,0)),"")</f>
        <v/>
      </c>
      <c r="AI1753" s="25" t="e">
        <f>IF(SUMIFS(#REF!,#REF!,"Expires this month",#REF!,O1753)=0,"",SUMIFS(#REF!,#REF!,"Expires this month",#REF!,O1753))</f>
        <v>#REF!</v>
      </c>
      <c r="AJ1753" s="25" t="e">
        <f>IF(SUMIFS(#REF!,#REF!,"Expired Previous Months",#REF!,O1753)=0,"",SUMIFS(#REF!,#REF!,"Expired Previous Months",#REF!,O1753))</f>
        <v>#REF!</v>
      </c>
      <c r="AK1753" s="25" t="str">
        <f>IFERROR(INDEX('Hun Release Current'!B:B,MATCH(O1753,'Hun Release Current'!A:A,0)),"")</f>
        <v/>
      </c>
      <c r="AL1753" s="25" t="str">
        <f>IF(SUMIF('Prev Aub'!A:A,O1753,'Prev Aub'!B:B)=0,"",SUMIF('Prev Aub'!A:A,O1753,'Prev Aub'!B:B))</f>
        <v/>
      </c>
      <c r="AN1753" s="25" t="s">
        <v>3790</v>
      </c>
      <c r="AO1753" s="25" t="s">
        <v>3790</v>
      </c>
      <c r="AP1753" s="25" t="str">
        <f t="shared" si="846"/>
        <v/>
      </c>
      <c r="AQ1753" s="151" t="e">
        <f>IF(SUMIFS(#REF!,#REF!,O1753,#REF!,"PENDING")=0,"",SUMIFS(#REF!,#REF!,O1753,#REF!,"PENDING"))</f>
        <v>#REF!</v>
      </c>
      <c r="AR1753" s="27" t="str">
        <f t="shared" si="847"/>
        <v/>
      </c>
      <c r="AS1753" s="27" t="str">
        <f t="shared" si="848"/>
        <v/>
      </c>
      <c r="AT1753" s="27" t="str">
        <f t="shared" si="849"/>
        <v/>
      </c>
      <c r="AU1753" s="27" t="str">
        <f t="shared" si="850"/>
        <v/>
      </c>
      <c r="AV1753" s="27" t="str">
        <f t="shared" si="851"/>
        <v/>
      </c>
      <c r="AW1753" s="27" t="e">
        <f t="shared" si="852"/>
        <v>#REF!</v>
      </c>
      <c r="AX1753" s="27" t="e">
        <f t="shared" si="853"/>
        <v>#REF!</v>
      </c>
      <c r="AY1753" s="27" t="str">
        <f t="shared" si="854"/>
        <v/>
      </c>
      <c r="AZ1753" s="27" t="str">
        <f t="shared" si="855"/>
        <v/>
      </c>
      <c r="BA1753" s="27" t="str">
        <f t="shared" si="856"/>
        <v/>
      </c>
      <c r="BB1753" s="27" t="str">
        <f t="shared" si="857"/>
        <v/>
      </c>
      <c r="BC1753" s="27" t="str">
        <f t="shared" si="858"/>
        <v/>
      </c>
      <c r="BD1753" s="27" t="str">
        <f t="shared" si="859"/>
        <v/>
      </c>
      <c r="BE1753" s="27" t="str">
        <f t="shared" si="860"/>
        <v/>
      </c>
      <c r="BF1753" s="27" t="str">
        <f t="shared" si="861"/>
        <v/>
      </c>
      <c r="BG1753" s="27" t="str">
        <f t="shared" si="862"/>
        <v/>
      </c>
      <c r="BH1753" s="27" t="str">
        <f t="shared" si="863"/>
        <v/>
      </c>
      <c r="BI1753" s="27" t="str">
        <f t="shared" si="864"/>
        <v/>
      </c>
      <c r="BJ1753" s="27" t="str">
        <f t="shared" si="865"/>
        <v/>
      </c>
      <c r="BK1753" s="27" t="str">
        <f t="shared" si="866"/>
        <v/>
      </c>
      <c r="BL1753" s="27" t="str">
        <f t="shared" si="867"/>
        <v/>
      </c>
      <c r="BM1753" s="21" t="s">
        <v>3790</v>
      </c>
    </row>
    <row r="1754" spans="1:65" ht="15">
      <c r="A1754" s="25" t="str">
        <f>IFERROR(INDEX(#REF!,MATCH(O1754,#REF!,0)),"")</f>
        <v/>
      </c>
      <c r="B1754" s="25" t="str">
        <f>IFERROR(INDEX(#REF!,MATCH(O1754,#REF!,0)),"")</f>
        <v/>
      </c>
      <c r="C1754" s="25" t="str">
        <f>IFERROR(INDEX(#REF!,MATCH(O1754,#REF!,0)),"")</f>
        <v/>
      </c>
      <c r="D1754" s="25" t="str">
        <f>IFERROR(INDEX(#REF!,MATCH(O1754,#REF!,0)),"")</f>
        <v/>
      </c>
      <c r="E1754" s="25" t="str">
        <f>IFERROR(INDEX(#REF!,MATCH(O1754,#REF!,0)),"")</f>
        <v/>
      </c>
      <c r="F1754" s="25" t="str">
        <f>IFERROR(INDEX(#REF!,MATCH(O1754,#REF!,0)),"")</f>
        <v/>
      </c>
      <c r="G1754" s="25" t="str">
        <f>IFERROR(INDEX(#REF!,MATCH(O1754,#REF!,0)),"")</f>
        <v/>
      </c>
      <c r="H1754" s="25" t="str">
        <f>IFERROR(INDEX(#REF!,MATCH(O1754,#REF!,0)),"")</f>
        <v/>
      </c>
      <c r="I1754" s="25" t="str">
        <f>IFERROR(INDEX(#REF!,MATCH(O1754,#REF!,0)),"")</f>
        <v/>
      </c>
      <c r="J1754" s="25" t="str">
        <f>IFERROR(INDEX(#REF!,MATCH(O1754,#REF!,0)),"")</f>
        <v/>
      </c>
      <c r="K1754" s="25" t="str">
        <f>IFERROR(INDEX(#REF!,MATCH(O1754,#REF!,0)),"")</f>
        <v/>
      </c>
      <c r="L1754" s="25" t="str">
        <f>IFERROR(INDEX(#REF!,MATCH(O1754,#REF!,0)),"")</f>
        <v/>
      </c>
      <c r="P1754" s="27" t="str">
        <f>IFERROR(INDEX(#REF!,MATCH($O1754,#REF!,0)),"")</f>
        <v/>
      </c>
      <c r="Q1754" s="27" t="str">
        <f>IFERROR(INDEX(#REF!,MATCH($O1754,#REF!,0)),"")</f>
        <v/>
      </c>
      <c r="R1754" s="52" t="str">
        <f>IFERROR(IF(AR1755=AR1754,INDEX(#REF!,MATCH($O1754,#REF!,0))-IF(AN1754="",0,AN1754)+AP1755,INDEX(#REF!,MATCH($O1754,#REF!,0))-IF(AN1754="",0,AN1754)),"")</f>
        <v/>
      </c>
      <c r="S1754" s="53" t="str">
        <f t="shared" si="840"/>
        <v/>
      </c>
      <c r="T1754" s="52" t="str">
        <f t="shared" si="841"/>
        <v/>
      </c>
      <c r="U1754" s="52" t="str">
        <f>IFERROR(IF(AR1755=AR1754,INDEX(#REF!,MATCH($O1754,#REF!,0))-IF(AN1754="",0,AN1754)+AP1755,INDEX(#REF!,MATCH($O1754,#REF!,0))-IF(AN1754="",0,AN1754)),"")</f>
        <v/>
      </c>
      <c r="V1754" s="53" t="str">
        <f t="shared" si="842"/>
        <v/>
      </c>
      <c r="W1754" s="52" t="str">
        <f t="shared" si="843"/>
        <v/>
      </c>
      <c r="X1754" s="52" t="str">
        <f>IFERROR(IF(AND(AR1755=AR1754,AM1754&lt;&gt;""),INDEX(#REF!,MATCH($O1754,#REF!,0))-IF(AN1754="",0,AN1754)+AP1755+AD1754+AL1754,IF(AR1755=AR1754,INDEX(#REF!,MATCH($O1754,#REF!,0))-IF(AN1754="",0,AN1754)+AP1755+AD1754,IF(AM1754&lt;&gt;"",INDEX(#REF!,MATCH($O1754,#REF!,0))-IF(AN1754="",0,AN1754)+AD1754+AL1754,INDEX(#REF!,MATCH($O1754,#REF!,0))-IF(AN1754="",0,AN1754)+AD1754))),"")</f>
        <v/>
      </c>
      <c r="Y1754" s="53" t="str">
        <f t="shared" si="844"/>
        <v/>
      </c>
      <c r="Z1754" s="52" t="str">
        <f>IF(L1754="","",INDEX(#REF!,MATCH($O1754,#REF!,0)))</f>
        <v/>
      </c>
      <c r="AA1754" s="52" t="str">
        <f t="shared" si="845"/>
        <v/>
      </c>
      <c r="AB1754" s="52" t="str">
        <f>IFERROR(INDEX(#REF!,MATCH($O1754,#REF!,0)),"")</f>
        <v/>
      </c>
      <c r="AC1754" s="52" t="str">
        <f>IFERROR(IF(O1754="","",SUMIFS('CPL Mats'!F:F,'CPL Mats'!Q:Q,AR1754,'CPL Mats'!S:S,AS1754)),"")</f>
        <v/>
      </c>
      <c r="AF1754" s="25" t="e">
        <f>IF(SUMIFS(#REF!,#REF!,"Releasable",#REF!,O1754)=0,"",SUMIFS(#REF!,#REF!,"Releasable",#REF!,O1754))</f>
        <v>#REF!</v>
      </c>
      <c r="AG1754" s="25" t="str">
        <f>IFERROR(INDEX(#REF!,MATCH(O1754,#REF!,0)),"")</f>
        <v/>
      </c>
      <c r="AH1754" s="25" t="str">
        <f>IFERROR(INDEX(#REF!,MATCH($O1754,#REF!,0)),"")</f>
        <v/>
      </c>
      <c r="AI1754" s="25" t="e">
        <f>IF(SUMIFS(#REF!,#REF!,"Expires this month",#REF!,O1754)=0,"",SUMIFS(#REF!,#REF!,"Expires this month",#REF!,O1754))</f>
        <v>#REF!</v>
      </c>
      <c r="AJ1754" s="25" t="e">
        <f>IF(SUMIFS(#REF!,#REF!,"Expired Previous Months",#REF!,O1754)=0,"",SUMIFS(#REF!,#REF!,"Expired Previous Months",#REF!,O1754))</f>
        <v>#REF!</v>
      </c>
      <c r="AK1754" s="25" t="str">
        <f>IFERROR(INDEX('Hun Release Current'!B:B,MATCH(O1754,'Hun Release Current'!A:A,0)),"")</f>
        <v/>
      </c>
      <c r="AL1754" s="25" t="str">
        <f>IF(SUMIF('Prev Aub'!A:A,O1754,'Prev Aub'!B:B)=0,"",SUMIF('Prev Aub'!A:A,O1754,'Prev Aub'!B:B))</f>
        <v/>
      </c>
      <c r="AN1754" s="25" t="s">
        <v>3790</v>
      </c>
      <c r="AO1754" s="25" t="s">
        <v>3790</v>
      </c>
      <c r="AP1754" s="25" t="str">
        <f t="shared" si="846"/>
        <v/>
      </c>
      <c r="AQ1754" s="151" t="e">
        <f>IF(SUMIFS(#REF!,#REF!,O1754,#REF!,"PENDING")=0,"",SUMIFS(#REF!,#REF!,O1754,#REF!,"PENDING"))</f>
        <v>#REF!</v>
      </c>
      <c r="AR1754" s="27" t="str">
        <f t="shared" si="847"/>
        <v/>
      </c>
      <c r="AS1754" s="27" t="str">
        <f t="shared" si="848"/>
        <v/>
      </c>
      <c r="AT1754" s="27" t="str">
        <f t="shared" si="849"/>
        <v/>
      </c>
      <c r="AU1754" s="27" t="str">
        <f t="shared" si="850"/>
        <v/>
      </c>
      <c r="AV1754" s="27" t="str">
        <f t="shared" si="851"/>
        <v/>
      </c>
      <c r="AW1754" s="27" t="e">
        <f t="shared" si="852"/>
        <v>#REF!</v>
      </c>
      <c r="AX1754" s="27" t="e">
        <f t="shared" si="853"/>
        <v>#REF!</v>
      </c>
      <c r="AY1754" s="27" t="str">
        <f t="shared" si="854"/>
        <v/>
      </c>
      <c r="AZ1754" s="27" t="str">
        <f t="shared" si="855"/>
        <v/>
      </c>
      <c r="BA1754" s="27" t="str">
        <f t="shared" si="856"/>
        <v/>
      </c>
      <c r="BB1754" s="27" t="str">
        <f t="shared" si="857"/>
        <v/>
      </c>
      <c r="BC1754" s="27" t="str">
        <f t="shared" si="858"/>
        <v/>
      </c>
      <c r="BD1754" s="27" t="str">
        <f t="shared" si="859"/>
        <v/>
      </c>
      <c r="BE1754" s="27" t="str">
        <f t="shared" si="860"/>
        <v/>
      </c>
      <c r="BF1754" s="27" t="str">
        <f t="shared" si="861"/>
        <v/>
      </c>
      <c r="BG1754" s="27" t="str">
        <f t="shared" si="862"/>
        <v/>
      </c>
      <c r="BH1754" s="27" t="str">
        <f t="shared" si="863"/>
        <v/>
      </c>
      <c r="BI1754" s="27" t="str">
        <f t="shared" si="864"/>
        <v/>
      </c>
      <c r="BJ1754" s="27" t="str">
        <f t="shared" si="865"/>
        <v/>
      </c>
      <c r="BK1754" s="27" t="str">
        <f t="shared" si="866"/>
        <v/>
      </c>
      <c r="BL1754" s="27" t="str">
        <f t="shared" si="867"/>
        <v/>
      </c>
      <c r="BM1754" s="21" t="s">
        <v>3790</v>
      </c>
    </row>
    <row r="1755" spans="1:65" ht="15">
      <c r="A1755" s="25" t="str">
        <f>IFERROR(INDEX(#REF!,MATCH(O1755,#REF!,0)),"")</f>
        <v/>
      </c>
      <c r="B1755" s="25" t="str">
        <f>IFERROR(INDEX(#REF!,MATCH(O1755,#REF!,0)),"")</f>
        <v/>
      </c>
      <c r="C1755" s="25" t="str">
        <f>IFERROR(INDEX(#REF!,MATCH(O1755,#REF!,0)),"")</f>
        <v/>
      </c>
      <c r="D1755" s="25" t="str">
        <f>IFERROR(INDEX(#REF!,MATCH(O1755,#REF!,0)),"")</f>
        <v/>
      </c>
      <c r="E1755" s="25" t="str">
        <f>IFERROR(INDEX(#REF!,MATCH(O1755,#REF!,0)),"")</f>
        <v/>
      </c>
      <c r="F1755" s="25" t="str">
        <f>IFERROR(INDEX(#REF!,MATCH(O1755,#REF!,0)),"")</f>
        <v/>
      </c>
      <c r="G1755" s="25" t="str">
        <f>IFERROR(INDEX(#REF!,MATCH(O1755,#REF!,0)),"")</f>
        <v/>
      </c>
      <c r="H1755" s="25" t="str">
        <f>IFERROR(INDEX(#REF!,MATCH(O1755,#REF!,0)),"")</f>
        <v/>
      </c>
      <c r="I1755" s="25" t="str">
        <f>IFERROR(INDEX(#REF!,MATCH(O1755,#REF!,0)),"")</f>
        <v/>
      </c>
      <c r="J1755" s="25" t="str">
        <f>IFERROR(INDEX(#REF!,MATCH(O1755,#REF!,0)),"")</f>
        <v/>
      </c>
      <c r="K1755" s="25" t="str">
        <f>IFERROR(INDEX(#REF!,MATCH(O1755,#REF!,0)),"")</f>
        <v/>
      </c>
      <c r="L1755" s="25" t="str">
        <f>IFERROR(INDEX(#REF!,MATCH(O1755,#REF!,0)),"")</f>
        <v/>
      </c>
      <c r="P1755" s="27" t="str">
        <f>IFERROR(INDEX(#REF!,MATCH($O1755,#REF!,0)),"")</f>
        <v/>
      </c>
      <c r="Q1755" s="27" t="str">
        <f>IFERROR(INDEX(#REF!,MATCH($O1755,#REF!,0)),"")</f>
        <v/>
      </c>
      <c r="R1755" s="52" t="str">
        <f>IFERROR(IF(AR1756=AR1755,INDEX(#REF!,MATCH($O1755,#REF!,0))-IF(AN1755="",0,AN1755)+AP1756,INDEX(#REF!,MATCH($O1755,#REF!,0))-IF(AN1755="",0,AN1755)),"")</f>
        <v/>
      </c>
      <c r="S1755" s="53" t="str">
        <f t="shared" si="840"/>
        <v/>
      </c>
      <c r="T1755" s="52" t="str">
        <f t="shared" si="841"/>
        <v/>
      </c>
      <c r="U1755" s="52" t="str">
        <f>IFERROR(IF(AR1756=AR1755,INDEX(#REF!,MATCH($O1755,#REF!,0))-IF(AN1755="",0,AN1755)+AP1756,INDEX(#REF!,MATCH($O1755,#REF!,0))-IF(AN1755="",0,AN1755)),"")</f>
        <v/>
      </c>
      <c r="V1755" s="53" t="str">
        <f t="shared" si="842"/>
        <v/>
      </c>
      <c r="W1755" s="52" t="str">
        <f t="shared" si="843"/>
        <v/>
      </c>
      <c r="X1755" s="52" t="str">
        <f>IFERROR(IF(AND(AR1756=AR1755,AM1755&lt;&gt;""),INDEX(#REF!,MATCH($O1755,#REF!,0))-IF(AN1755="",0,AN1755)+AP1756+AD1755+AL1755,IF(AR1756=AR1755,INDEX(#REF!,MATCH($O1755,#REF!,0))-IF(AN1755="",0,AN1755)+AP1756+AD1755,IF(AM1755&lt;&gt;"",INDEX(#REF!,MATCH($O1755,#REF!,0))-IF(AN1755="",0,AN1755)+AD1755+AL1755,INDEX(#REF!,MATCH($O1755,#REF!,0))-IF(AN1755="",0,AN1755)+AD1755))),"")</f>
        <v/>
      </c>
      <c r="Y1755" s="53" t="str">
        <f t="shared" si="844"/>
        <v/>
      </c>
      <c r="Z1755" s="52" t="str">
        <f>IF(L1755="","",INDEX(#REF!,MATCH($O1755,#REF!,0)))</f>
        <v/>
      </c>
      <c r="AA1755" s="52" t="str">
        <f t="shared" si="845"/>
        <v/>
      </c>
      <c r="AB1755" s="52" t="str">
        <f>IFERROR(INDEX(#REF!,MATCH($O1755,#REF!,0)),"")</f>
        <v/>
      </c>
      <c r="AC1755" s="52" t="str">
        <f>IFERROR(IF(O1755="","",SUMIFS('CPL Mats'!F:F,'CPL Mats'!Q:Q,AR1755,'CPL Mats'!S:S,AS1755)),"")</f>
        <v/>
      </c>
      <c r="AF1755" s="25" t="e">
        <f>IF(SUMIFS(#REF!,#REF!,"Releasable",#REF!,O1755)=0,"",SUMIFS(#REF!,#REF!,"Releasable",#REF!,O1755))</f>
        <v>#REF!</v>
      </c>
      <c r="AG1755" s="25" t="str">
        <f>IFERROR(INDEX(#REF!,MATCH(O1755,#REF!,0)),"")</f>
        <v/>
      </c>
      <c r="AH1755" s="25" t="str">
        <f>IFERROR(INDEX(#REF!,MATCH($O1755,#REF!,0)),"")</f>
        <v/>
      </c>
      <c r="AI1755" s="25" t="e">
        <f>IF(SUMIFS(#REF!,#REF!,"Expires this month",#REF!,O1755)=0,"",SUMIFS(#REF!,#REF!,"Expires this month",#REF!,O1755))</f>
        <v>#REF!</v>
      </c>
      <c r="AJ1755" s="25" t="e">
        <f>IF(SUMIFS(#REF!,#REF!,"Expired Previous Months",#REF!,O1755)=0,"",SUMIFS(#REF!,#REF!,"Expired Previous Months",#REF!,O1755))</f>
        <v>#REF!</v>
      </c>
      <c r="AK1755" s="25" t="str">
        <f>IFERROR(INDEX('Hun Release Current'!B:B,MATCH(O1755,'Hun Release Current'!A:A,0)),"")</f>
        <v/>
      </c>
      <c r="AL1755" s="25" t="str">
        <f>IF(SUMIF('Prev Aub'!A:A,O1755,'Prev Aub'!B:B)=0,"",SUMIF('Prev Aub'!A:A,O1755,'Prev Aub'!B:B))</f>
        <v/>
      </c>
      <c r="AN1755" s="25" t="s">
        <v>3790</v>
      </c>
      <c r="AO1755" s="25" t="s">
        <v>3790</v>
      </c>
      <c r="AP1755" s="25" t="str">
        <f t="shared" si="846"/>
        <v/>
      </c>
      <c r="AQ1755" s="151" t="e">
        <f>IF(SUMIFS(#REF!,#REF!,O1755,#REF!,"PENDING")=0,"",SUMIFS(#REF!,#REF!,O1755,#REF!,"PENDING"))</f>
        <v>#REF!</v>
      </c>
      <c r="AR1755" s="27" t="str">
        <f t="shared" si="847"/>
        <v/>
      </c>
      <c r="AS1755" s="27" t="str">
        <f t="shared" si="848"/>
        <v/>
      </c>
      <c r="AT1755" s="27" t="str">
        <f t="shared" si="849"/>
        <v/>
      </c>
      <c r="AU1755" s="27" t="str">
        <f t="shared" si="850"/>
        <v/>
      </c>
      <c r="AV1755" s="27" t="str">
        <f t="shared" si="851"/>
        <v/>
      </c>
      <c r="AW1755" s="27" t="e">
        <f t="shared" si="852"/>
        <v>#REF!</v>
      </c>
      <c r="AX1755" s="27" t="e">
        <f t="shared" si="853"/>
        <v>#REF!</v>
      </c>
      <c r="AY1755" s="27" t="str">
        <f t="shared" si="854"/>
        <v/>
      </c>
      <c r="AZ1755" s="27" t="str">
        <f t="shared" si="855"/>
        <v/>
      </c>
      <c r="BA1755" s="27" t="str">
        <f t="shared" si="856"/>
        <v/>
      </c>
      <c r="BB1755" s="27" t="str">
        <f t="shared" si="857"/>
        <v/>
      </c>
      <c r="BC1755" s="27" t="str">
        <f t="shared" si="858"/>
        <v/>
      </c>
      <c r="BD1755" s="27" t="str">
        <f t="shared" si="859"/>
        <v/>
      </c>
      <c r="BE1755" s="27" t="str">
        <f t="shared" si="860"/>
        <v/>
      </c>
      <c r="BF1755" s="27" t="str">
        <f t="shared" si="861"/>
        <v/>
      </c>
      <c r="BG1755" s="27" t="str">
        <f t="shared" si="862"/>
        <v/>
      </c>
      <c r="BH1755" s="27" t="str">
        <f t="shared" si="863"/>
        <v/>
      </c>
      <c r="BI1755" s="27" t="str">
        <f t="shared" si="864"/>
        <v/>
      </c>
      <c r="BJ1755" s="27" t="str">
        <f t="shared" si="865"/>
        <v/>
      </c>
      <c r="BK1755" s="27" t="str">
        <f t="shared" si="866"/>
        <v/>
      </c>
      <c r="BL1755" s="27" t="str">
        <f t="shared" si="867"/>
        <v/>
      </c>
      <c r="BM1755" s="21" t="s">
        <v>3790</v>
      </c>
    </row>
    <row r="1756" spans="1:65" ht="15">
      <c r="A1756" s="25" t="str">
        <f>IFERROR(INDEX(#REF!,MATCH(O1756,#REF!,0)),"")</f>
        <v/>
      </c>
      <c r="B1756" s="25" t="str">
        <f>IFERROR(INDEX(#REF!,MATCH(O1756,#REF!,0)),"")</f>
        <v/>
      </c>
      <c r="C1756" s="25" t="str">
        <f>IFERROR(INDEX(#REF!,MATCH(O1756,#REF!,0)),"")</f>
        <v/>
      </c>
      <c r="D1756" s="25" t="str">
        <f>IFERROR(INDEX(#REF!,MATCH(O1756,#REF!,0)),"")</f>
        <v/>
      </c>
      <c r="E1756" s="25" t="str">
        <f>IFERROR(INDEX(#REF!,MATCH(O1756,#REF!,0)),"")</f>
        <v/>
      </c>
      <c r="F1756" s="25" t="str">
        <f>IFERROR(INDEX(#REF!,MATCH(O1756,#REF!,0)),"")</f>
        <v/>
      </c>
      <c r="G1756" s="25" t="str">
        <f>IFERROR(INDEX(#REF!,MATCH(O1756,#REF!,0)),"")</f>
        <v/>
      </c>
      <c r="H1756" s="25" t="str">
        <f>IFERROR(INDEX(#REF!,MATCH(O1756,#REF!,0)),"")</f>
        <v/>
      </c>
      <c r="I1756" s="25" t="str">
        <f>IFERROR(INDEX(#REF!,MATCH(O1756,#REF!,0)),"")</f>
        <v/>
      </c>
      <c r="J1756" s="25" t="str">
        <f>IFERROR(INDEX(#REF!,MATCH(O1756,#REF!,0)),"")</f>
        <v/>
      </c>
      <c r="K1756" s="25" t="str">
        <f>IFERROR(INDEX(#REF!,MATCH(O1756,#REF!,0)),"")</f>
        <v/>
      </c>
      <c r="L1756" s="25" t="str">
        <f>IFERROR(INDEX(#REF!,MATCH(O1756,#REF!,0)),"")</f>
        <v/>
      </c>
      <c r="P1756" s="27" t="str">
        <f>IFERROR(INDEX(#REF!,MATCH($O1756,#REF!,0)),"")</f>
        <v/>
      </c>
      <c r="Q1756" s="27" t="str">
        <f>IFERROR(INDEX(#REF!,MATCH($O1756,#REF!,0)),"")</f>
        <v/>
      </c>
      <c r="R1756" s="52" t="str">
        <f>IFERROR(IF(AR1757=AR1756,INDEX(#REF!,MATCH($O1756,#REF!,0))-IF(AN1756="",0,AN1756)+AP1757,INDEX(#REF!,MATCH($O1756,#REF!,0))-IF(AN1756="",0,AN1756)),"")</f>
        <v/>
      </c>
      <c r="S1756" s="53" t="str">
        <f t="shared" si="840"/>
        <v/>
      </c>
      <c r="T1756" s="52" t="str">
        <f t="shared" si="841"/>
        <v/>
      </c>
      <c r="U1756" s="52" t="str">
        <f>IFERROR(IF(AR1757=AR1756,INDEX(#REF!,MATCH($O1756,#REF!,0))-IF(AN1756="",0,AN1756)+AP1757,INDEX(#REF!,MATCH($O1756,#REF!,0))-IF(AN1756="",0,AN1756)),"")</f>
        <v/>
      </c>
      <c r="V1756" s="53" t="str">
        <f t="shared" si="842"/>
        <v/>
      </c>
      <c r="W1756" s="52" t="str">
        <f t="shared" si="843"/>
        <v/>
      </c>
      <c r="X1756" s="52" t="str">
        <f>IFERROR(IF(AND(AR1757=AR1756,AM1756&lt;&gt;""),INDEX(#REF!,MATCH($O1756,#REF!,0))-IF(AN1756="",0,AN1756)+AP1757+AD1756+AL1756,IF(AR1757=AR1756,INDEX(#REF!,MATCH($O1756,#REF!,0))-IF(AN1756="",0,AN1756)+AP1757+AD1756,IF(AM1756&lt;&gt;"",INDEX(#REF!,MATCH($O1756,#REF!,0))-IF(AN1756="",0,AN1756)+AD1756+AL1756,INDEX(#REF!,MATCH($O1756,#REF!,0))-IF(AN1756="",0,AN1756)+AD1756))),"")</f>
        <v/>
      </c>
      <c r="Y1756" s="53" t="str">
        <f t="shared" si="844"/>
        <v/>
      </c>
      <c r="Z1756" s="52" t="str">
        <f>IF(L1756="","",INDEX(#REF!,MATCH($O1756,#REF!,0)))</f>
        <v/>
      </c>
      <c r="AA1756" s="52" t="str">
        <f t="shared" si="845"/>
        <v/>
      </c>
      <c r="AB1756" s="52" t="str">
        <f>IFERROR(INDEX(#REF!,MATCH($O1756,#REF!,0)),"")</f>
        <v/>
      </c>
      <c r="AC1756" s="52" t="str">
        <f>IFERROR(IF(O1756="","",SUMIFS('CPL Mats'!F:F,'CPL Mats'!Q:Q,AR1756,'CPL Mats'!S:S,AS1756)),"")</f>
        <v/>
      </c>
      <c r="AF1756" s="25" t="e">
        <f>IF(SUMIFS(#REF!,#REF!,"Releasable",#REF!,O1756)=0,"",SUMIFS(#REF!,#REF!,"Releasable",#REF!,O1756))</f>
        <v>#REF!</v>
      </c>
      <c r="AG1756" s="25" t="str">
        <f>IFERROR(INDEX(#REF!,MATCH(O1756,#REF!,0)),"")</f>
        <v/>
      </c>
      <c r="AH1756" s="25" t="str">
        <f>IFERROR(INDEX(#REF!,MATCH($O1756,#REF!,0)),"")</f>
        <v/>
      </c>
      <c r="AI1756" s="25" t="e">
        <f>IF(SUMIFS(#REF!,#REF!,"Expires this month",#REF!,O1756)=0,"",SUMIFS(#REF!,#REF!,"Expires this month",#REF!,O1756))</f>
        <v>#REF!</v>
      </c>
      <c r="AJ1756" s="25" t="e">
        <f>IF(SUMIFS(#REF!,#REF!,"Expired Previous Months",#REF!,O1756)=0,"",SUMIFS(#REF!,#REF!,"Expired Previous Months",#REF!,O1756))</f>
        <v>#REF!</v>
      </c>
      <c r="AK1756" s="25" t="str">
        <f>IFERROR(INDEX('Hun Release Current'!B:B,MATCH(O1756,'Hun Release Current'!A:A,0)),"")</f>
        <v/>
      </c>
      <c r="AL1756" s="25" t="str">
        <f>IF(SUMIF('Prev Aub'!A:A,O1756,'Prev Aub'!B:B)=0,"",SUMIF('Prev Aub'!A:A,O1756,'Prev Aub'!B:B))</f>
        <v/>
      </c>
      <c r="AN1756" s="25" t="s">
        <v>3790</v>
      </c>
      <c r="AO1756" s="25" t="s">
        <v>3790</v>
      </c>
      <c r="AP1756" s="25" t="str">
        <f t="shared" si="846"/>
        <v/>
      </c>
      <c r="AQ1756" s="151" t="e">
        <f>IF(SUMIFS(#REF!,#REF!,O1756,#REF!,"PENDING")=0,"",SUMIFS(#REF!,#REF!,O1756,#REF!,"PENDING"))</f>
        <v>#REF!</v>
      </c>
      <c r="AR1756" s="27" t="str">
        <f t="shared" si="847"/>
        <v/>
      </c>
      <c r="AS1756" s="27" t="str">
        <f t="shared" si="848"/>
        <v/>
      </c>
      <c r="AT1756" s="27" t="str">
        <f t="shared" si="849"/>
        <v/>
      </c>
      <c r="AU1756" s="27" t="str">
        <f t="shared" si="850"/>
        <v/>
      </c>
      <c r="AV1756" s="27" t="str">
        <f t="shared" si="851"/>
        <v/>
      </c>
      <c r="AW1756" s="27" t="e">
        <f t="shared" si="852"/>
        <v>#REF!</v>
      </c>
      <c r="AX1756" s="27" t="e">
        <f t="shared" si="853"/>
        <v>#REF!</v>
      </c>
      <c r="AY1756" s="27" t="str">
        <f t="shared" si="854"/>
        <v/>
      </c>
      <c r="AZ1756" s="27" t="str">
        <f t="shared" si="855"/>
        <v/>
      </c>
      <c r="BA1756" s="27" t="str">
        <f t="shared" si="856"/>
        <v/>
      </c>
      <c r="BB1756" s="27" t="str">
        <f t="shared" si="857"/>
        <v/>
      </c>
      <c r="BC1756" s="27" t="str">
        <f t="shared" si="858"/>
        <v/>
      </c>
      <c r="BD1756" s="27" t="str">
        <f t="shared" si="859"/>
        <v/>
      </c>
      <c r="BE1756" s="27" t="str">
        <f t="shared" si="860"/>
        <v/>
      </c>
      <c r="BF1756" s="27" t="str">
        <f t="shared" si="861"/>
        <v/>
      </c>
      <c r="BG1756" s="27" t="str">
        <f t="shared" si="862"/>
        <v/>
      </c>
      <c r="BH1756" s="27" t="str">
        <f t="shared" si="863"/>
        <v/>
      </c>
      <c r="BI1756" s="27" t="str">
        <f t="shared" si="864"/>
        <v/>
      </c>
      <c r="BJ1756" s="27" t="str">
        <f t="shared" si="865"/>
        <v/>
      </c>
      <c r="BK1756" s="27" t="str">
        <f t="shared" si="866"/>
        <v/>
      </c>
      <c r="BL1756" s="27" t="str">
        <f t="shared" si="867"/>
        <v/>
      </c>
      <c r="BM1756" s="21" t="s">
        <v>3790</v>
      </c>
    </row>
    <row r="1757" spans="1:65" ht="15">
      <c r="A1757" s="25" t="str">
        <f>IFERROR(INDEX(#REF!,MATCH(O1757,#REF!,0)),"")</f>
        <v/>
      </c>
      <c r="B1757" s="25" t="str">
        <f>IFERROR(INDEX(#REF!,MATCH(O1757,#REF!,0)),"")</f>
        <v/>
      </c>
      <c r="C1757" s="25" t="str">
        <f>IFERROR(INDEX(#REF!,MATCH(O1757,#REF!,0)),"")</f>
        <v/>
      </c>
      <c r="D1757" s="25" t="str">
        <f>IFERROR(INDEX(#REF!,MATCH(O1757,#REF!,0)),"")</f>
        <v/>
      </c>
      <c r="E1757" s="25" t="str">
        <f>IFERROR(INDEX(#REF!,MATCH(O1757,#REF!,0)),"")</f>
        <v/>
      </c>
      <c r="F1757" s="25" t="str">
        <f>IFERROR(INDEX(#REF!,MATCH(O1757,#REF!,0)),"")</f>
        <v/>
      </c>
      <c r="G1757" s="25" t="str">
        <f>IFERROR(INDEX(#REF!,MATCH(O1757,#REF!,0)),"")</f>
        <v/>
      </c>
      <c r="H1757" s="25" t="str">
        <f>IFERROR(INDEX(#REF!,MATCH(O1757,#REF!,0)),"")</f>
        <v/>
      </c>
      <c r="I1757" s="25" t="str">
        <f>IFERROR(INDEX(#REF!,MATCH(O1757,#REF!,0)),"")</f>
        <v/>
      </c>
      <c r="J1757" s="25" t="str">
        <f>IFERROR(INDEX(#REF!,MATCH(O1757,#REF!,0)),"")</f>
        <v/>
      </c>
      <c r="K1757" s="25" t="str">
        <f>IFERROR(INDEX(#REF!,MATCH(O1757,#REF!,0)),"")</f>
        <v/>
      </c>
      <c r="L1757" s="25" t="str">
        <f>IFERROR(INDEX(#REF!,MATCH(O1757,#REF!,0)),"")</f>
        <v/>
      </c>
      <c r="P1757" s="27" t="str">
        <f>IFERROR(INDEX(#REF!,MATCH($O1757,#REF!,0)),"")</f>
        <v/>
      </c>
      <c r="Q1757" s="27" t="str">
        <f>IFERROR(INDEX(#REF!,MATCH($O1757,#REF!,0)),"")</f>
        <v/>
      </c>
      <c r="R1757" s="52" t="str">
        <f>IFERROR(IF(AR1758=AR1757,INDEX(#REF!,MATCH($O1757,#REF!,0))-IF(AN1757="",0,AN1757)+AP1758,INDEX(#REF!,MATCH($O1757,#REF!,0))-IF(AN1757="",0,AN1757)),"")</f>
        <v/>
      </c>
      <c r="S1757" s="53" t="str">
        <f t="shared" ref="S1757:S1793" si="868">IFERROR(IF(O1757="","",ROUND(R1757/((Z1757/30)*7),1)),"n/a")</f>
        <v/>
      </c>
      <c r="T1757" s="52" t="str">
        <f t="shared" ref="T1757:T1793" si="869">IFERROR(IF(S1757&lt;3.1,IF(AA1757="spike",(3-S1757)*(Z1757/4),(3-S1757)*(AA1757/4)),""),"")</f>
        <v/>
      </c>
      <c r="U1757" s="52" t="str">
        <f>IFERROR(IF(AR1758=AR1757,INDEX(#REF!,MATCH($O1757,#REF!,0))-IF(AN1757="",0,AN1757)+AP1758,INDEX(#REF!,MATCH($O1757,#REF!,0))-IF(AN1757="",0,AN1757)),"")</f>
        <v/>
      </c>
      <c r="V1757" s="53" t="str">
        <f t="shared" ref="V1757:V1793" si="870">IFERROR(IF(O1757="","",ROUND(U1757/((Z1757/30)*7),1)),"n/a")</f>
        <v/>
      </c>
      <c r="W1757" s="52" t="str">
        <f t="shared" ref="W1757:W1793" si="871">IF(IFERROR(IF(V1757&lt;3.1,IF(AA1757="spike",(3-V1757)*(Z1757/4),(3-V1757)*(AA1757/4)),""),"")&lt;0,0,IFERROR(IF(V1757&lt;3.1,IF(AA1757="spike",(3-V1757)*(Z1757/4),(3-V1757)*(AA1757/4)),""),""))</f>
        <v/>
      </c>
      <c r="X1757" s="52" t="str">
        <f>IFERROR(IF(AND(AR1758=AR1757,AM1757&lt;&gt;""),INDEX(#REF!,MATCH($O1757,#REF!,0))-IF(AN1757="",0,AN1757)+AP1758+AD1757+AL1757,IF(AR1758=AR1757,INDEX(#REF!,MATCH($O1757,#REF!,0))-IF(AN1757="",0,AN1757)+AP1758+AD1757,IF(AM1757&lt;&gt;"",INDEX(#REF!,MATCH($O1757,#REF!,0))-IF(AN1757="",0,AN1757)+AD1757+AL1757,INDEX(#REF!,MATCH($O1757,#REF!,0))-IF(AN1757="",0,AN1757)+AD1757))),"")</f>
        <v/>
      </c>
      <c r="Y1757" s="53" t="str">
        <f t="shared" ref="Y1757:Y1793" si="872">IFERROR(IF(O1757="","",ROUND(X1757/((Z1757/30)*7),1)),"n/a")</f>
        <v/>
      </c>
      <c r="Z1757" s="52" t="str">
        <f>IF(L1757="","",INDEX(#REF!,MATCH($O1757,#REF!,0)))</f>
        <v/>
      </c>
      <c r="AA1757" s="52" t="str">
        <f t="shared" ref="AA1757:AA1793" si="873">IF(L1757="","",IF(LARGE(I1757:L1757,2)=0,"-spike-",AVERAGE(LARGE(I1757:L1757,1),LARGE(I1757:L1757,2))))</f>
        <v/>
      </c>
      <c r="AB1757" s="52" t="str">
        <f>IFERROR(INDEX(#REF!,MATCH($O1757,#REF!,0)),"")</f>
        <v/>
      </c>
      <c r="AC1757" s="52" t="str">
        <f>IFERROR(IF(O1757="","",SUMIFS('CPL Mats'!F:F,'CPL Mats'!Q:Q,AR1757,'CPL Mats'!S:S,AS1757)),"")</f>
        <v/>
      </c>
      <c r="AF1757" s="25" t="e">
        <f>IF(SUMIFS(#REF!,#REF!,"Releasable",#REF!,O1757)=0,"",SUMIFS(#REF!,#REF!,"Releasable",#REF!,O1757))</f>
        <v>#REF!</v>
      </c>
      <c r="AG1757" s="25" t="str">
        <f>IFERROR(INDEX(#REF!,MATCH(O1757,#REF!,0)),"")</f>
        <v/>
      </c>
      <c r="AH1757" s="25" t="str">
        <f>IFERROR(INDEX(#REF!,MATCH($O1757,#REF!,0)),"")</f>
        <v/>
      </c>
      <c r="AI1757" s="25" t="e">
        <f>IF(SUMIFS(#REF!,#REF!,"Expires this month",#REF!,O1757)=0,"",SUMIFS(#REF!,#REF!,"Expires this month",#REF!,O1757))</f>
        <v>#REF!</v>
      </c>
      <c r="AJ1757" s="25" t="e">
        <f>IF(SUMIFS(#REF!,#REF!,"Expired Previous Months",#REF!,O1757)=0,"",SUMIFS(#REF!,#REF!,"Expired Previous Months",#REF!,O1757))</f>
        <v>#REF!</v>
      </c>
      <c r="AK1757" s="25" t="str">
        <f>IFERROR(INDEX('Hun Release Current'!B:B,MATCH(O1757,'Hun Release Current'!A:A,0)),"")</f>
        <v/>
      </c>
      <c r="AL1757" s="25" t="str">
        <f>IF(SUMIF('Prev Aub'!A:A,O1757,'Prev Aub'!B:B)=0,"",SUMIF('Prev Aub'!A:A,O1757,'Prev Aub'!B:B))</f>
        <v/>
      </c>
      <c r="AN1757" s="25" t="s">
        <v>3790</v>
      </c>
      <c r="AO1757" s="25" t="s">
        <v>3790</v>
      </c>
      <c r="AP1757" s="25" t="str">
        <f t="shared" ref="AP1757:AP1794" si="874">IFERROR(IF(O1757="","",IF(AN1757="",0,VALUE(AN1757)-(VALUE(AN1757)*0.2))),"")</f>
        <v/>
      </c>
      <c r="AQ1757" s="151" t="e">
        <f>IF(SUMIFS(#REF!,#REF!,O1757,#REF!,"PENDING")=0,"",SUMIFS(#REF!,#REF!,O1757,#REF!,"PENDING"))</f>
        <v>#REF!</v>
      </c>
      <c r="AR1757" s="27" t="str">
        <f t="shared" ref="AR1757:AR1793" si="875">MID(O1757,4,5)</f>
        <v/>
      </c>
      <c r="AS1757" s="27" t="str">
        <f t="shared" ref="AS1757:AS1793" si="876">MID(O1757,10,2)</f>
        <v/>
      </c>
      <c r="AT1757" s="27" t="str">
        <f t="shared" ref="AT1757:AT1793" si="877">IF(S1757&lt;3.1,AR1757,"")</f>
        <v/>
      </c>
      <c r="AU1757" s="27" t="str">
        <f t="shared" ref="AU1757:AU1793" si="878">IF(Y1757&lt;3.1,AR1757,"")</f>
        <v/>
      </c>
      <c r="AV1757" s="27" t="str">
        <f t="shared" ref="AV1757:AV1793" si="879">IF(AND(AA1757="Spike",L1757=0,K1757=0,X1757&gt;=0),"",IF(Y1757&lt;3.1,AR1757,""))</f>
        <v/>
      </c>
      <c r="AW1757" s="27" t="e">
        <f t="shared" ref="AW1757:AW1793" si="880">IF(AI1757=AL1757,"",IF(OR(AI1757&lt;&gt;"",AJ1757&lt;&gt;""),AR1757,""))</f>
        <v>#REF!</v>
      </c>
      <c r="AX1757" s="27" t="e">
        <f t="shared" ref="AX1757:AX1793" si="881">IF(AF1757&lt;&gt;"",AR1757,"")</f>
        <v>#REF!</v>
      </c>
      <c r="AY1757" s="27" t="str">
        <f t="shared" ref="AY1757:AY1793" si="882">IF(AND(AG1757&lt;&gt;"",AG1757&gt;AH1757),AR1757,"")</f>
        <v/>
      </c>
      <c r="AZ1757" s="27" t="str">
        <f t="shared" ref="AZ1757:AZ1793" si="883">IFERROR(IF(O1757="","",IF(ISERROR(MATCH(AR1757,AX:AX,0)),"","Supp")),"")</f>
        <v/>
      </c>
      <c r="BA1757" s="27" t="str">
        <f t="shared" ref="BA1757:BA1793" si="884">IFERROR(IF(O1757="","",IF(ISERROR(MATCH(AR1757,AY:AY,0)),"","Hun")),"")</f>
        <v/>
      </c>
      <c r="BB1757" s="27" t="str">
        <f t="shared" ref="BB1757:BB1793" si="885">IFERROR(IF(O1757="","",IF(ISERROR(MATCH(AR1757,AT:AT,0)),"","Gross")),"")</f>
        <v/>
      </c>
      <c r="BC1757" s="27" t="str">
        <f t="shared" ref="BC1757:BC1793" si="886">IFERROR(IF(O1757="","",IF(ISERROR(MATCH(AR1757,AU:AU,0)),"","Net")),"")</f>
        <v/>
      </c>
      <c r="BD1757" s="27" t="str">
        <f t="shared" ref="BD1757:BD1793" si="887">IFERROR(IF(O1757="","",IF(ISERROR(MATCH(AR1757,AV:AV,0)),"","Net")),"")</f>
        <v/>
      </c>
      <c r="BE1757" s="27" t="str">
        <f t="shared" ref="BE1757:BE1793" si="888">IFERROR(IF(O1757="","",IF(ISERROR(MATCH(AR1757,AW:AW,0)),"","Exp")),"")</f>
        <v/>
      </c>
      <c r="BF1757" s="27" t="str">
        <f t="shared" ref="BF1757:BF1793" si="889">IFERROR(IF(O1757="","",IF(AND(AZ1757="Supp",BC1757="Net"),"S+N","")),"")</f>
        <v/>
      </c>
      <c r="BG1757" s="27" t="str">
        <f t="shared" ref="BG1757:BG1793" si="890">IFERROR(IF(O1757="","",IF(OR(BE1757&lt;&gt;"",BF1757&lt;&gt;""),"S+NorE","")),"")</f>
        <v/>
      </c>
      <c r="BH1757" s="27" t="str">
        <f t="shared" ref="BH1757:BH1793" si="891">IFERROR(IF(O1757="","",IF(AND(BA1757&lt;&gt;"",BC1757&lt;&gt;""),"H+N","")),"")</f>
        <v/>
      </c>
      <c r="BI1757" s="27" t="str">
        <f t="shared" ref="BI1757:BI1793" si="892">IFERROR(IF(O1757="","",IF(AND(BA1757&lt;&gt;"",BD1757&lt;&gt;""),"H+Nex","")),"")</f>
        <v/>
      </c>
      <c r="BJ1757" s="27" t="str">
        <f t="shared" ref="BJ1757:BJ1793" si="893">IF(OR(AZ1757&lt;&gt;"",BA1757&lt;&gt;""),"Supp or Hun","")</f>
        <v/>
      </c>
      <c r="BK1757" s="27" t="str">
        <f t="shared" ref="BK1757:BK1793" si="894">IF(AND(BJ1757&lt;&gt;"",BC1757&lt;&gt;""),"Supp or Hun Need","")</f>
        <v/>
      </c>
      <c r="BL1757" s="27" t="str">
        <f t="shared" ref="BL1757:BL1793" si="895">IF(OR(BK1757&lt;&gt;"",BE1757&lt;&gt;""),"SorHandNandE","")</f>
        <v/>
      </c>
      <c r="BM1757" s="21" t="s">
        <v>3790</v>
      </c>
    </row>
    <row r="1758" spans="1:65" ht="15">
      <c r="A1758" s="25" t="str">
        <f>IFERROR(INDEX(#REF!,MATCH(O1758,#REF!,0)),"")</f>
        <v/>
      </c>
      <c r="B1758" s="25" t="str">
        <f>IFERROR(INDEX(#REF!,MATCH(O1758,#REF!,0)),"")</f>
        <v/>
      </c>
      <c r="C1758" s="25" t="str">
        <f>IFERROR(INDEX(#REF!,MATCH(O1758,#REF!,0)),"")</f>
        <v/>
      </c>
      <c r="D1758" s="25" t="str">
        <f>IFERROR(INDEX(#REF!,MATCH(O1758,#REF!,0)),"")</f>
        <v/>
      </c>
      <c r="E1758" s="25" t="str">
        <f>IFERROR(INDEX(#REF!,MATCH(O1758,#REF!,0)),"")</f>
        <v/>
      </c>
      <c r="F1758" s="25" t="str">
        <f>IFERROR(INDEX(#REF!,MATCH(O1758,#REF!,0)),"")</f>
        <v/>
      </c>
      <c r="G1758" s="25" t="str">
        <f>IFERROR(INDEX(#REF!,MATCH(O1758,#REF!,0)),"")</f>
        <v/>
      </c>
      <c r="H1758" s="25" t="str">
        <f>IFERROR(INDEX(#REF!,MATCH(O1758,#REF!,0)),"")</f>
        <v/>
      </c>
      <c r="I1758" s="25" t="str">
        <f>IFERROR(INDEX(#REF!,MATCH(O1758,#REF!,0)),"")</f>
        <v/>
      </c>
      <c r="J1758" s="25" t="str">
        <f>IFERROR(INDEX(#REF!,MATCH(O1758,#REF!,0)),"")</f>
        <v/>
      </c>
      <c r="K1758" s="25" t="str">
        <f>IFERROR(INDEX(#REF!,MATCH(O1758,#REF!,0)),"")</f>
        <v/>
      </c>
      <c r="L1758" s="25" t="str">
        <f>IFERROR(INDEX(#REF!,MATCH(O1758,#REF!,0)),"")</f>
        <v/>
      </c>
      <c r="P1758" s="27" t="str">
        <f>IFERROR(INDEX(#REF!,MATCH($O1758,#REF!,0)),"")</f>
        <v/>
      </c>
      <c r="Q1758" s="27" t="str">
        <f>IFERROR(INDEX(#REF!,MATCH($O1758,#REF!,0)),"")</f>
        <v/>
      </c>
      <c r="R1758" s="52" t="str">
        <f>IFERROR(IF(AR1759=AR1758,INDEX(#REF!,MATCH($O1758,#REF!,0))-IF(AN1758="",0,AN1758)+AP1759,INDEX(#REF!,MATCH($O1758,#REF!,0))-IF(AN1758="",0,AN1758)),"")</f>
        <v/>
      </c>
      <c r="S1758" s="53" t="str">
        <f t="shared" si="868"/>
        <v/>
      </c>
      <c r="T1758" s="52" t="str">
        <f t="shared" si="869"/>
        <v/>
      </c>
      <c r="U1758" s="52" t="str">
        <f>IFERROR(IF(AR1759=AR1758,INDEX(#REF!,MATCH($O1758,#REF!,0))-IF(AN1758="",0,AN1758)+AP1759,INDEX(#REF!,MATCH($O1758,#REF!,0))-IF(AN1758="",0,AN1758)),"")</f>
        <v/>
      </c>
      <c r="V1758" s="53" t="str">
        <f t="shared" si="870"/>
        <v/>
      </c>
      <c r="W1758" s="52" t="str">
        <f t="shared" si="871"/>
        <v/>
      </c>
      <c r="X1758" s="52" t="str">
        <f>IFERROR(IF(AND(AR1759=AR1758,AM1758&lt;&gt;""),INDEX(#REF!,MATCH($O1758,#REF!,0))-IF(AN1758="",0,AN1758)+AP1759+AD1758+AL1758,IF(AR1759=AR1758,INDEX(#REF!,MATCH($O1758,#REF!,0))-IF(AN1758="",0,AN1758)+AP1759+AD1758,IF(AM1758&lt;&gt;"",INDEX(#REF!,MATCH($O1758,#REF!,0))-IF(AN1758="",0,AN1758)+AD1758+AL1758,INDEX(#REF!,MATCH($O1758,#REF!,0))-IF(AN1758="",0,AN1758)+AD1758))),"")</f>
        <v/>
      </c>
      <c r="Y1758" s="53" t="str">
        <f t="shared" si="872"/>
        <v/>
      </c>
      <c r="Z1758" s="52" t="str">
        <f>IF(L1758="","",INDEX(#REF!,MATCH($O1758,#REF!,0)))</f>
        <v/>
      </c>
      <c r="AA1758" s="52" t="str">
        <f t="shared" si="873"/>
        <v/>
      </c>
      <c r="AB1758" s="52" t="str">
        <f>IFERROR(INDEX(#REF!,MATCH($O1758,#REF!,0)),"")</f>
        <v/>
      </c>
      <c r="AC1758" s="52" t="str">
        <f>IFERROR(IF(O1758="","",SUMIFS('CPL Mats'!F:F,'CPL Mats'!Q:Q,AR1758,'CPL Mats'!S:S,AS1758)),"")</f>
        <v/>
      </c>
      <c r="AF1758" s="25" t="e">
        <f>IF(SUMIFS(#REF!,#REF!,"Releasable",#REF!,O1758)=0,"",SUMIFS(#REF!,#REF!,"Releasable",#REF!,O1758))</f>
        <v>#REF!</v>
      </c>
      <c r="AG1758" s="25" t="str">
        <f>IFERROR(INDEX(#REF!,MATCH(O1758,#REF!,0)),"")</f>
        <v/>
      </c>
      <c r="AH1758" s="25" t="str">
        <f>IFERROR(INDEX(#REF!,MATCH($O1758,#REF!,0)),"")</f>
        <v/>
      </c>
      <c r="AI1758" s="25" t="e">
        <f>IF(SUMIFS(#REF!,#REF!,"Expires this month",#REF!,O1758)=0,"",SUMIFS(#REF!,#REF!,"Expires this month",#REF!,O1758))</f>
        <v>#REF!</v>
      </c>
      <c r="AJ1758" s="25" t="e">
        <f>IF(SUMIFS(#REF!,#REF!,"Expired Previous Months",#REF!,O1758)=0,"",SUMIFS(#REF!,#REF!,"Expired Previous Months",#REF!,O1758))</f>
        <v>#REF!</v>
      </c>
      <c r="AK1758" s="25" t="str">
        <f>IFERROR(INDEX('Hun Release Current'!B:B,MATCH(O1758,'Hun Release Current'!A:A,0)),"")</f>
        <v/>
      </c>
      <c r="AL1758" s="25" t="str">
        <f>IF(SUMIF('Prev Aub'!A:A,O1758,'Prev Aub'!B:B)=0,"",SUMIF('Prev Aub'!A:A,O1758,'Prev Aub'!B:B))</f>
        <v/>
      </c>
      <c r="AN1758" s="25" t="s">
        <v>3790</v>
      </c>
      <c r="AO1758" s="25" t="s">
        <v>3790</v>
      </c>
      <c r="AP1758" s="25" t="str">
        <f t="shared" si="874"/>
        <v/>
      </c>
      <c r="AQ1758" s="151" t="e">
        <f>IF(SUMIFS(#REF!,#REF!,O1758,#REF!,"PENDING")=0,"",SUMIFS(#REF!,#REF!,O1758,#REF!,"PENDING"))</f>
        <v>#REF!</v>
      </c>
      <c r="AR1758" s="27" t="str">
        <f t="shared" si="875"/>
        <v/>
      </c>
      <c r="AS1758" s="27" t="str">
        <f t="shared" si="876"/>
        <v/>
      </c>
      <c r="AT1758" s="27" t="str">
        <f t="shared" si="877"/>
        <v/>
      </c>
      <c r="AU1758" s="27" t="str">
        <f t="shared" si="878"/>
        <v/>
      </c>
      <c r="AV1758" s="27" t="str">
        <f t="shared" si="879"/>
        <v/>
      </c>
      <c r="AW1758" s="27" t="e">
        <f t="shared" si="880"/>
        <v>#REF!</v>
      </c>
      <c r="AX1758" s="27" t="e">
        <f t="shared" si="881"/>
        <v>#REF!</v>
      </c>
      <c r="AY1758" s="27" t="str">
        <f t="shared" si="882"/>
        <v/>
      </c>
      <c r="AZ1758" s="27" t="str">
        <f t="shared" si="883"/>
        <v/>
      </c>
      <c r="BA1758" s="27" t="str">
        <f t="shared" si="884"/>
        <v/>
      </c>
      <c r="BB1758" s="27" t="str">
        <f t="shared" si="885"/>
        <v/>
      </c>
      <c r="BC1758" s="27" t="str">
        <f t="shared" si="886"/>
        <v/>
      </c>
      <c r="BD1758" s="27" t="str">
        <f t="shared" si="887"/>
        <v/>
      </c>
      <c r="BE1758" s="27" t="str">
        <f t="shared" si="888"/>
        <v/>
      </c>
      <c r="BF1758" s="27" t="str">
        <f t="shared" si="889"/>
        <v/>
      </c>
      <c r="BG1758" s="27" t="str">
        <f t="shared" si="890"/>
        <v/>
      </c>
      <c r="BH1758" s="27" t="str">
        <f t="shared" si="891"/>
        <v/>
      </c>
      <c r="BI1758" s="27" t="str">
        <f t="shared" si="892"/>
        <v/>
      </c>
      <c r="BJ1758" s="27" t="str">
        <f t="shared" si="893"/>
        <v/>
      </c>
      <c r="BK1758" s="27" t="str">
        <f t="shared" si="894"/>
        <v/>
      </c>
      <c r="BL1758" s="27" t="str">
        <f t="shared" si="895"/>
        <v/>
      </c>
      <c r="BM1758" s="21" t="s">
        <v>3790</v>
      </c>
    </row>
    <row r="1759" spans="1:65" ht="15">
      <c r="A1759" s="25" t="str">
        <f>IFERROR(INDEX(#REF!,MATCH(O1759,#REF!,0)),"")</f>
        <v/>
      </c>
      <c r="B1759" s="25" t="str">
        <f>IFERROR(INDEX(#REF!,MATCH(O1759,#REF!,0)),"")</f>
        <v/>
      </c>
      <c r="C1759" s="25" t="str">
        <f>IFERROR(INDEX(#REF!,MATCH(O1759,#REF!,0)),"")</f>
        <v/>
      </c>
      <c r="D1759" s="25" t="str">
        <f>IFERROR(INDEX(#REF!,MATCH(O1759,#REF!,0)),"")</f>
        <v/>
      </c>
      <c r="E1759" s="25" t="str">
        <f>IFERROR(INDEX(#REF!,MATCH(O1759,#REF!,0)),"")</f>
        <v/>
      </c>
      <c r="F1759" s="25" t="str">
        <f>IFERROR(INDEX(#REF!,MATCH(O1759,#REF!,0)),"")</f>
        <v/>
      </c>
      <c r="G1759" s="25" t="str">
        <f>IFERROR(INDEX(#REF!,MATCH(O1759,#REF!,0)),"")</f>
        <v/>
      </c>
      <c r="H1759" s="25" t="str">
        <f>IFERROR(INDEX(#REF!,MATCH(O1759,#REF!,0)),"")</f>
        <v/>
      </c>
      <c r="I1759" s="25" t="str">
        <f>IFERROR(INDEX(#REF!,MATCH(O1759,#REF!,0)),"")</f>
        <v/>
      </c>
      <c r="J1759" s="25" t="str">
        <f>IFERROR(INDEX(#REF!,MATCH(O1759,#REF!,0)),"")</f>
        <v/>
      </c>
      <c r="K1759" s="25" t="str">
        <f>IFERROR(INDEX(#REF!,MATCH(O1759,#REF!,0)),"")</f>
        <v/>
      </c>
      <c r="L1759" s="25" t="str">
        <f>IFERROR(INDEX(#REF!,MATCH(O1759,#REF!,0)),"")</f>
        <v/>
      </c>
      <c r="P1759" s="27" t="str">
        <f>IFERROR(INDEX(#REF!,MATCH($O1759,#REF!,0)),"")</f>
        <v/>
      </c>
      <c r="Q1759" s="27" t="str">
        <f>IFERROR(INDEX(#REF!,MATCH($O1759,#REF!,0)),"")</f>
        <v/>
      </c>
      <c r="R1759" s="52" t="str">
        <f>IFERROR(IF(AR1760=AR1759,INDEX(#REF!,MATCH($O1759,#REF!,0))-IF(AN1759="",0,AN1759)+AP1760,INDEX(#REF!,MATCH($O1759,#REF!,0))-IF(AN1759="",0,AN1759)),"")</f>
        <v/>
      </c>
      <c r="S1759" s="53" t="str">
        <f t="shared" si="868"/>
        <v/>
      </c>
      <c r="T1759" s="52" t="str">
        <f t="shared" si="869"/>
        <v/>
      </c>
      <c r="U1759" s="52" t="str">
        <f>IFERROR(IF(AR1760=AR1759,INDEX(#REF!,MATCH($O1759,#REF!,0))-IF(AN1759="",0,AN1759)+AP1760,INDEX(#REF!,MATCH($O1759,#REF!,0))-IF(AN1759="",0,AN1759)),"")</f>
        <v/>
      </c>
      <c r="V1759" s="53" t="str">
        <f t="shared" si="870"/>
        <v/>
      </c>
      <c r="W1759" s="52" t="str">
        <f t="shared" si="871"/>
        <v/>
      </c>
      <c r="X1759" s="52" t="str">
        <f>IFERROR(IF(AND(AR1760=AR1759,AM1759&lt;&gt;""),INDEX(#REF!,MATCH($O1759,#REF!,0))-IF(AN1759="",0,AN1759)+AP1760+AD1759+AL1759,IF(AR1760=AR1759,INDEX(#REF!,MATCH($O1759,#REF!,0))-IF(AN1759="",0,AN1759)+AP1760+AD1759,IF(AM1759&lt;&gt;"",INDEX(#REF!,MATCH($O1759,#REF!,0))-IF(AN1759="",0,AN1759)+AD1759+AL1759,INDEX(#REF!,MATCH($O1759,#REF!,0))-IF(AN1759="",0,AN1759)+AD1759))),"")</f>
        <v/>
      </c>
      <c r="Y1759" s="53" t="str">
        <f t="shared" si="872"/>
        <v/>
      </c>
      <c r="Z1759" s="52" t="str">
        <f>IF(L1759="","",INDEX(#REF!,MATCH($O1759,#REF!,0)))</f>
        <v/>
      </c>
      <c r="AA1759" s="52" t="str">
        <f t="shared" si="873"/>
        <v/>
      </c>
      <c r="AB1759" s="52" t="str">
        <f>IFERROR(INDEX(#REF!,MATCH($O1759,#REF!,0)),"")</f>
        <v/>
      </c>
      <c r="AC1759" s="52" t="str">
        <f>IFERROR(IF(O1759="","",SUMIFS('CPL Mats'!F:F,'CPL Mats'!Q:Q,AR1759,'CPL Mats'!S:S,AS1759)),"")</f>
        <v/>
      </c>
      <c r="AF1759" s="25" t="e">
        <f>IF(SUMIFS(#REF!,#REF!,"Releasable",#REF!,O1759)=0,"",SUMIFS(#REF!,#REF!,"Releasable",#REF!,O1759))</f>
        <v>#REF!</v>
      </c>
      <c r="AG1759" s="25" t="str">
        <f>IFERROR(INDEX(#REF!,MATCH(O1759,#REF!,0)),"")</f>
        <v/>
      </c>
      <c r="AH1759" s="25" t="str">
        <f>IFERROR(INDEX(#REF!,MATCH($O1759,#REF!,0)),"")</f>
        <v/>
      </c>
      <c r="AI1759" s="25" t="e">
        <f>IF(SUMIFS(#REF!,#REF!,"Expires this month",#REF!,O1759)=0,"",SUMIFS(#REF!,#REF!,"Expires this month",#REF!,O1759))</f>
        <v>#REF!</v>
      </c>
      <c r="AJ1759" s="25" t="e">
        <f>IF(SUMIFS(#REF!,#REF!,"Expired Previous Months",#REF!,O1759)=0,"",SUMIFS(#REF!,#REF!,"Expired Previous Months",#REF!,O1759))</f>
        <v>#REF!</v>
      </c>
      <c r="AK1759" s="25" t="str">
        <f>IFERROR(INDEX('Hun Release Current'!B:B,MATCH(O1759,'Hun Release Current'!A:A,0)),"")</f>
        <v/>
      </c>
      <c r="AL1759" s="25" t="str">
        <f>IF(SUMIF('Prev Aub'!A:A,O1759,'Prev Aub'!B:B)=0,"",SUMIF('Prev Aub'!A:A,O1759,'Prev Aub'!B:B))</f>
        <v/>
      </c>
      <c r="AN1759" s="25" t="s">
        <v>3790</v>
      </c>
      <c r="AO1759" s="25" t="s">
        <v>3790</v>
      </c>
      <c r="AP1759" s="25" t="str">
        <f t="shared" si="874"/>
        <v/>
      </c>
      <c r="AQ1759" s="151" t="e">
        <f>IF(SUMIFS(#REF!,#REF!,O1759,#REF!,"PENDING")=0,"",SUMIFS(#REF!,#REF!,O1759,#REF!,"PENDING"))</f>
        <v>#REF!</v>
      </c>
      <c r="AR1759" s="27" t="str">
        <f t="shared" si="875"/>
        <v/>
      </c>
      <c r="AS1759" s="27" t="str">
        <f t="shared" si="876"/>
        <v/>
      </c>
      <c r="AT1759" s="27" t="str">
        <f t="shared" si="877"/>
        <v/>
      </c>
      <c r="AU1759" s="27" t="str">
        <f t="shared" si="878"/>
        <v/>
      </c>
      <c r="AV1759" s="27" t="str">
        <f t="shared" si="879"/>
        <v/>
      </c>
      <c r="AW1759" s="27" t="e">
        <f t="shared" si="880"/>
        <v>#REF!</v>
      </c>
      <c r="AX1759" s="27" t="e">
        <f t="shared" si="881"/>
        <v>#REF!</v>
      </c>
      <c r="AY1759" s="27" t="str">
        <f t="shared" si="882"/>
        <v/>
      </c>
      <c r="AZ1759" s="27" t="str">
        <f t="shared" si="883"/>
        <v/>
      </c>
      <c r="BA1759" s="27" t="str">
        <f t="shared" si="884"/>
        <v/>
      </c>
      <c r="BB1759" s="27" t="str">
        <f t="shared" si="885"/>
        <v/>
      </c>
      <c r="BC1759" s="27" t="str">
        <f t="shared" si="886"/>
        <v/>
      </c>
      <c r="BD1759" s="27" t="str">
        <f t="shared" si="887"/>
        <v/>
      </c>
      <c r="BE1759" s="27" t="str">
        <f t="shared" si="888"/>
        <v/>
      </c>
      <c r="BF1759" s="27" t="str">
        <f t="shared" si="889"/>
        <v/>
      </c>
      <c r="BG1759" s="27" t="str">
        <f t="shared" si="890"/>
        <v/>
      </c>
      <c r="BH1759" s="27" t="str">
        <f t="shared" si="891"/>
        <v/>
      </c>
      <c r="BI1759" s="27" t="str">
        <f t="shared" si="892"/>
        <v/>
      </c>
      <c r="BJ1759" s="27" t="str">
        <f t="shared" si="893"/>
        <v/>
      </c>
      <c r="BK1759" s="27" t="str">
        <f t="shared" si="894"/>
        <v/>
      </c>
      <c r="BL1759" s="27" t="str">
        <f t="shared" si="895"/>
        <v/>
      </c>
      <c r="BM1759" s="21" t="s">
        <v>3790</v>
      </c>
    </row>
    <row r="1760" spans="1:65" ht="15">
      <c r="A1760" s="25" t="str">
        <f>IFERROR(INDEX(#REF!,MATCH(O1760,#REF!,0)),"")</f>
        <v/>
      </c>
      <c r="B1760" s="25" t="str">
        <f>IFERROR(INDEX(#REF!,MATCH(O1760,#REF!,0)),"")</f>
        <v/>
      </c>
      <c r="C1760" s="25" t="str">
        <f>IFERROR(INDEX(#REF!,MATCH(O1760,#REF!,0)),"")</f>
        <v/>
      </c>
      <c r="D1760" s="25" t="str">
        <f>IFERROR(INDEX(#REF!,MATCH(O1760,#REF!,0)),"")</f>
        <v/>
      </c>
      <c r="E1760" s="25" t="str">
        <f>IFERROR(INDEX(#REF!,MATCH(O1760,#REF!,0)),"")</f>
        <v/>
      </c>
      <c r="F1760" s="25" t="str">
        <f>IFERROR(INDEX(#REF!,MATCH(O1760,#REF!,0)),"")</f>
        <v/>
      </c>
      <c r="G1760" s="25" t="str">
        <f>IFERROR(INDEX(#REF!,MATCH(O1760,#REF!,0)),"")</f>
        <v/>
      </c>
      <c r="H1760" s="25" t="str">
        <f>IFERROR(INDEX(#REF!,MATCH(O1760,#REF!,0)),"")</f>
        <v/>
      </c>
      <c r="I1760" s="25" t="str">
        <f>IFERROR(INDEX(#REF!,MATCH(O1760,#REF!,0)),"")</f>
        <v/>
      </c>
      <c r="J1760" s="25" t="str">
        <f>IFERROR(INDEX(#REF!,MATCH(O1760,#REF!,0)),"")</f>
        <v/>
      </c>
      <c r="K1760" s="25" t="str">
        <f>IFERROR(INDEX(#REF!,MATCH(O1760,#REF!,0)),"")</f>
        <v/>
      </c>
      <c r="L1760" s="25" t="str">
        <f>IFERROR(INDEX(#REF!,MATCH(O1760,#REF!,0)),"")</f>
        <v/>
      </c>
      <c r="P1760" s="27" t="str">
        <f>IFERROR(INDEX(#REF!,MATCH($O1760,#REF!,0)),"")</f>
        <v/>
      </c>
      <c r="Q1760" s="27" t="str">
        <f>IFERROR(INDEX(#REF!,MATCH($O1760,#REF!,0)),"")</f>
        <v/>
      </c>
      <c r="R1760" s="52" t="str">
        <f>IFERROR(IF(AR1761=AR1760,INDEX(#REF!,MATCH($O1760,#REF!,0))-IF(AN1760="",0,AN1760)+AP1761,INDEX(#REF!,MATCH($O1760,#REF!,0))-IF(AN1760="",0,AN1760)),"")</f>
        <v/>
      </c>
      <c r="S1760" s="53" t="str">
        <f t="shared" si="868"/>
        <v/>
      </c>
      <c r="T1760" s="52" t="str">
        <f t="shared" si="869"/>
        <v/>
      </c>
      <c r="U1760" s="52" t="str">
        <f>IFERROR(IF(AR1761=AR1760,INDEX(#REF!,MATCH($O1760,#REF!,0))-IF(AN1760="",0,AN1760)+AP1761,INDEX(#REF!,MATCH($O1760,#REF!,0))-IF(AN1760="",0,AN1760)),"")</f>
        <v/>
      </c>
      <c r="V1760" s="53" t="str">
        <f t="shared" si="870"/>
        <v/>
      </c>
      <c r="W1760" s="52" t="str">
        <f t="shared" si="871"/>
        <v/>
      </c>
      <c r="X1760" s="52" t="str">
        <f>IFERROR(IF(AND(AR1761=AR1760,AM1760&lt;&gt;""),INDEX(#REF!,MATCH($O1760,#REF!,0))-IF(AN1760="",0,AN1760)+AP1761+AD1760+AL1760,IF(AR1761=AR1760,INDEX(#REF!,MATCH($O1760,#REF!,0))-IF(AN1760="",0,AN1760)+AP1761+AD1760,IF(AM1760&lt;&gt;"",INDEX(#REF!,MATCH($O1760,#REF!,0))-IF(AN1760="",0,AN1760)+AD1760+AL1760,INDEX(#REF!,MATCH($O1760,#REF!,0))-IF(AN1760="",0,AN1760)+AD1760))),"")</f>
        <v/>
      </c>
      <c r="Y1760" s="53" t="str">
        <f t="shared" si="872"/>
        <v/>
      </c>
      <c r="Z1760" s="52" t="str">
        <f>IF(L1760="","",INDEX(#REF!,MATCH($O1760,#REF!,0)))</f>
        <v/>
      </c>
      <c r="AA1760" s="52" t="str">
        <f t="shared" si="873"/>
        <v/>
      </c>
      <c r="AB1760" s="52" t="str">
        <f>IFERROR(INDEX(#REF!,MATCH($O1760,#REF!,0)),"")</f>
        <v/>
      </c>
      <c r="AC1760" s="52" t="str">
        <f>IFERROR(IF(O1760="","",SUMIFS('CPL Mats'!F:F,'CPL Mats'!Q:Q,AR1760,'CPL Mats'!S:S,AS1760)),"")</f>
        <v/>
      </c>
      <c r="AF1760" s="25" t="e">
        <f>IF(SUMIFS(#REF!,#REF!,"Releasable",#REF!,O1760)=0,"",SUMIFS(#REF!,#REF!,"Releasable",#REF!,O1760))</f>
        <v>#REF!</v>
      </c>
      <c r="AG1760" s="25" t="str">
        <f>IFERROR(INDEX(#REF!,MATCH(O1760,#REF!,0)),"")</f>
        <v/>
      </c>
      <c r="AH1760" s="25" t="str">
        <f>IFERROR(INDEX(#REF!,MATCH($O1760,#REF!,0)),"")</f>
        <v/>
      </c>
      <c r="AI1760" s="25" t="e">
        <f>IF(SUMIFS(#REF!,#REF!,"Expires this month",#REF!,O1760)=0,"",SUMIFS(#REF!,#REF!,"Expires this month",#REF!,O1760))</f>
        <v>#REF!</v>
      </c>
      <c r="AJ1760" s="25" t="e">
        <f>IF(SUMIFS(#REF!,#REF!,"Expired Previous Months",#REF!,O1760)=0,"",SUMIFS(#REF!,#REF!,"Expired Previous Months",#REF!,O1760))</f>
        <v>#REF!</v>
      </c>
      <c r="AK1760" s="25" t="str">
        <f>IFERROR(INDEX('Hun Release Current'!B:B,MATCH(O1760,'Hun Release Current'!A:A,0)),"")</f>
        <v/>
      </c>
      <c r="AL1760" s="25" t="str">
        <f>IF(SUMIF('Prev Aub'!A:A,O1760,'Prev Aub'!B:B)=0,"",SUMIF('Prev Aub'!A:A,O1760,'Prev Aub'!B:B))</f>
        <v/>
      </c>
      <c r="AN1760" s="25" t="s">
        <v>3790</v>
      </c>
      <c r="AO1760" s="25" t="s">
        <v>3790</v>
      </c>
      <c r="AP1760" s="25" t="str">
        <f t="shared" si="874"/>
        <v/>
      </c>
      <c r="AQ1760" s="151" t="e">
        <f>IF(SUMIFS(#REF!,#REF!,O1760,#REF!,"PENDING")=0,"",SUMIFS(#REF!,#REF!,O1760,#REF!,"PENDING"))</f>
        <v>#REF!</v>
      </c>
      <c r="AR1760" s="27" t="str">
        <f t="shared" si="875"/>
        <v/>
      </c>
      <c r="AS1760" s="27" t="str">
        <f t="shared" si="876"/>
        <v/>
      </c>
      <c r="AT1760" s="27" t="str">
        <f t="shared" si="877"/>
        <v/>
      </c>
      <c r="AU1760" s="27" t="str">
        <f t="shared" si="878"/>
        <v/>
      </c>
      <c r="AV1760" s="27" t="str">
        <f t="shared" si="879"/>
        <v/>
      </c>
      <c r="AW1760" s="27" t="e">
        <f t="shared" si="880"/>
        <v>#REF!</v>
      </c>
      <c r="AX1760" s="27" t="e">
        <f t="shared" si="881"/>
        <v>#REF!</v>
      </c>
      <c r="AY1760" s="27" t="str">
        <f t="shared" si="882"/>
        <v/>
      </c>
      <c r="AZ1760" s="27" t="str">
        <f t="shared" si="883"/>
        <v/>
      </c>
      <c r="BA1760" s="27" t="str">
        <f t="shared" si="884"/>
        <v/>
      </c>
      <c r="BB1760" s="27" t="str">
        <f t="shared" si="885"/>
        <v/>
      </c>
      <c r="BC1760" s="27" t="str">
        <f t="shared" si="886"/>
        <v/>
      </c>
      <c r="BD1760" s="27" t="str">
        <f t="shared" si="887"/>
        <v/>
      </c>
      <c r="BE1760" s="27" t="str">
        <f t="shared" si="888"/>
        <v/>
      </c>
      <c r="BF1760" s="27" t="str">
        <f t="shared" si="889"/>
        <v/>
      </c>
      <c r="BG1760" s="27" t="str">
        <f t="shared" si="890"/>
        <v/>
      </c>
      <c r="BH1760" s="27" t="str">
        <f t="shared" si="891"/>
        <v/>
      </c>
      <c r="BI1760" s="27" t="str">
        <f t="shared" si="892"/>
        <v/>
      </c>
      <c r="BJ1760" s="27" t="str">
        <f t="shared" si="893"/>
        <v/>
      </c>
      <c r="BK1760" s="27" t="str">
        <f t="shared" si="894"/>
        <v/>
      </c>
      <c r="BL1760" s="27" t="str">
        <f t="shared" si="895"/>
        <v/>
      </c>
      <c r="BM1760" s="21" t="s">
        <v>3790</v>
      </c>
    </row>
    <row r="1761" spans="1:65" ht="15">
      <c r="A1761" s="25" t="str">
        <f>IFERROR(INDEX(#REF!,MATCH(O1761,#REF!,0)),"")</f>
        <v/>
      </c>
      <c r="B1761" s="25" t="str">
        <f>IFERROR(INDEX(#REF!,MATCH(O1761,#REF!,0)),"")</f>
        <v/>
      </c>
      <c r="C1761" s="25" t="str">
        <f>IFERROR(INDEX(#REF!,MATCH(O1761,#REF!,0)),"")</f>
        <v/>
      </c>
      <c r="D1761" s="25" t="str">
        <f>IFERROR(INDEX(#REF!,MATCH(O1761,#REF!,0)),"")</f>
        <v/>
      </c>
      <c r="E1761" s="25" t="str">
        <f>IFERROR(INDEX(#REF!,MATCH(O1761,#REF!,0)),"")</f>
        <v/>
      </c>
      <c r="F1761" s="25" t="str">
        <f>IFERROR(INDEX(#REF!,MATCH(O1761,#REF!,0)),"")</f>
        <v/>
      </c>
      <c r="G1761" s="25" t="str">
        <f>IFERROR(INDEX(#REF!,MATCH(O1761,#REF!,0)),"")</f>
        <v/>
      </c>
      <c r="H1761" s="25" t="str">
        <f>IFERROR(INDEX(#REF!,MATCH(O1761,#REF!,0)),"")</f>
        <v/>
      </c>
      <c r="I1761" s="25" t="str">
        <f>IFERROR(INDEX(#REF!,MATCH(O1761,#REF!,0)),"")</f>
        <v/>
      </c>
      <c r="J1761" s="25" t="str">
        <f>IFERROR(INDEX(#REF!,MATCH(O1761,#REF!,0)),"")</f>
        <v/>
      </c>
      <c r="K1761" s="25" t="str">
        <f>IFERROR(INDEX(#REF!,MATCH(O1761,#REF!,0)),"")</f>
        <v/>
      </c>
      <c r="L1761" s="25" t="str">
        <f>IFERROR(INDEX(#REF!,MATCH(O1761,#REF!,0)),"")</f>
        <v/>
      </c>
      <c r="P1761" s="27" t="str">
        <f>IFERROR(INDEX(#REF!,MATCH($O1761,#REF!,0)),"")</f>
        <v/>
      </c>
      <c r="Q1761" s="27" t="str">
        <f>IFERROR(INDEX(#REF!,MATCH($O1761,#REF!,0)),"")</f>
        <v/>
      </c>
      <c r="R1761" s="52" t="str">
        <f>IFERROR(IF(AR1762=AR1761,INDEX(#REF!,MATCH($O1761,#REF!,0))-IF(AN1761="",0,AN1761)+AP1762,INDEX(#REF!,MATCH($O1761,#REF!,0))-IF(AN1761="",0,AN1761)),"")</f>
        <v/>
      </c>
      <c r="S1761" s="53" t="str">
        <f t="shared" si="868"/>
        <v/>
      </c>
      <c r="T1761" s="52" t="str">
        <f t="shared" si="869"/>
        <v/>
      </c>
      <c r="U1761" s="52" t="str">
        <f>IFERROR(IF(AR1762=AR1761,INDEX(#REF!,MATCH($O1761,#REF!,0))-IF(AN1761="",0,AN1761)+AP1762,INDEX(#REF!,MATCH($O1761,#REF!,0))-IF(AN1761="",0,AN1761)),"")</f>
        <v/>
      </c>
      <c r="V1761" s="53" t="str">
        <f t="shared" si="870"/>
        <v/>
      </c>
      <c r="W1761" s="52" t="str">
        <f t="shared" si="871"/>
        <v/>
      </c>
      <c r="X1761" s="52" t="str">
        <f>IFERROR(IF(AND(AR1762=AR1761,AM1761&lt;&gt;""),INDEX(#REF!,MATCH($O1761,#REF!,0))-IF(AN1761="",0,AN1761)+AP1762+AD1761+AL1761,IF(AR1762=AR1761,INDEX(#REF!,MATCH($O1761,#REF!,0))-IF(AN1761="",0,AN1761)+AP1762+AD1761,IF(AM1761&lt;&gt;"",INDEX(#REF!,MATCH($O1761,#REF!,0))-IF(AN1761="",0,AN1761)+AD1761+AL1761,INDEX(#REF!,MATCH($O1761,#REF!,0))-IF(AN1761="",0,AN1761)+AD1761))),"")</f>
        <v/>
      </c>
      <c r="Y1761" s="53" t="str">
        <f t="shared" si="872"/>
        <v/>
      </c>
      <c r="Z1761" s="52" t="str">
        <f>IF(L1761="","",INDEX(#REF!,MATCH($O1761,#REF!,0)))</f>
        <v/>
      </c>
      <c r="AA1761" s="52" t="str">
        <f t="shared" si="873"/>
        <v/>
      </c>
      <c r="AB1761" s="52" t="str">
        <f>IFERROR(INDEX(#REF!,MATCH($O1761,#REF!,0)),"")</f>
        <v/>
      </c>
      <c r="AC1761" s="52" t="str">
        <f>IFERROR(IF(O1761="","",SUMIFS('CPL Mats'!F:F,'CPL Mats'!Q:Q,AR1761,'CPL Mats'!S:S,AS1761)),"")</f>
        <v/>
      </c>
      <c r="AF1761" s="25" t="e">
        <f>IF(SUMIFS(#REF!,#REF!,"Releasable",#REF!,O1761)=0,"",SUMIFS(#REF!,#REF!,"Releasable",#REF!,O1761))</f>
        <v>#REF!</v>
      </c>
      <c r="AG1761" s="25" t="str">
        <f>IFERROR(INDEX(#REF!,MATCH(O1761,#REF!,0)),"")</f>
        <v/>
      </c>
      <c r="AH1761" s="25" t="str">
        <f>IFERROR(INDEX(#REF!,MATCH($O1761,#REF!,0)),"")</f>
        <v/>
      </c>
      <c r="AI1761" s="25" t="e">
        <f>IF(SUMIFS(#REF!,#REF!,"Expires this month",#REF!,O1761)=0,"",SUMIFS(#REF!,#REF!,"Expires this month",#REF!,O1761))</f>
        <v>#REF!</v>
      </c>
      <c r="AJ1761" s="25" t="e">
        <f>IF(SUMIFS(#REF!,#REF!,"Expired Previous Months",#REF!,O1761)=0,"",SUMIFS(#REF!,#REF!,"Expired Previous Months",#REF!,O1761))</f>
        <v>#REF!</v>
      </c>
      <c r="AK1761" s="25" t="str">
        <f>IFERROR(INDEX('Hun Release Current'!B:B,MATCH(O1761,'Hun Release Current'!A:A,0)),"")</f>
        <v/>
      </c>
      <c r="AL1761" s="25" t="str">
        <f>IF(SUMIF('Prev Aub'!A:A,O1761,'Prev Aub'!B:B)=0,"",SUMIF('Prev Aub'!A:A,O1761,'Prev Aub'!B:B))</f>
        <v/>
      </c>
      <c r="AN1761" s="25" t="s">
        <v>3790</v>
      </c>
      <c r="AO1761" s="25" t="s">
        <v>3790</v>
      </c>
      <c r="AP1761" s="25" t="str">
        <f t="shared" si="874"/>
        <v/>
      </c>
      <c r="AQ1761" s="151" t="e">
        <f>IF(SUMIFS(#REF!,#REF!,O1761,#REF!,"PENDING")=0,"",SUMIFS(#REF!,#REF!,O1761,#REF!,"PENDING"))</f>
        <v>#REF!</v>
      </c>
      <c r="AR1761" s="27" t="str">
        <f t="shared" si="875"/>
        <v/>
      </c>
      <c r="AS1761" s="27" t="str">
        <f t="shared" si="876"/>
        <v/>
      </c>
      <c r="AT1761" s="27" t="str">
        <f t="shared" si="877"/>
        <v/>
      </c>
      <c r="AU1761" s="27" t="str">
        <f t="shared" si="878"/>
        <v/>
      </c>
      <c r="AV1761" s="27" t="str">
        <f t="shared" si="879"/>
        <v/>
      </c>
      <c r="AW1761" s="27" t="e">
        <f t="shared" si="880"/>
        <v>#REF!</v>
      </c>
      <c r="AX1761" s="27" t="e">
        <f t="shared" si="881"/>
        <v>#REF!</v>
      </c>
      <c r="AY1761" s="27" t="str">
        <f t="shared" si="882"/>
        <v/>
      </c>
      <c r="AZ1761" s="27" t="str">
        <f t="shared" si="883"/>
        <v/>
      </c>
      <c r="BA1761" s="27" t="str">
        <f t="shared" si="884"/>
        <v/>
      </c>
      <c r="BB1761" s="27" t="str">
        <f t="shared" si="885"/>
        <v/>
      </c>
      <c r="BC1761" s="27" t="str">
        <f t="shared" si="886"/>
        <v/>
      </c>
      <c r="BD1761" s="27" t="str">
        <f t="shared" si="887"/>
        <v/>
      </c>
      <c r="BE1761" s="27" t="str">
        <f t="shared" si="888"/>
        <v/>
      </c>
      <c r="BF1761" s="27" t="str">
        <f t="shared" si="889"/>
        <v/>
      </c>
      <c r="BG1761" s="27" t="str">
        <f t="shared" si="890"/>
        <v/>
      </c>
      <c r="BH1761" s="27" t="str">
        <f t="shared" si="891"/>
        <v/>
      </c>
      <c r="BI1761" s="27" t="str">
        <f t="shared" si="892"/>
        <v/>
      </c>
      <c r="BJ1761" s="27" t="str">
        <f t="shared" si="893"/>
        <v/>
      </c>
      <c r="BK1761" s="27" t="str">
        <f t="shared" si="894"/>
        <v/>
      </c>
      <c r="BL1761" s="27" t="str">
        <f t="shared" si="895"/>
        <v/>
      </c>
      <c r="BM1761" s="21" t="s">
        <v>3790</v>
      </c>
    </row>
    <row r="1762" spans="1:65" ht="15">
      <c r="A1762" s="25" t="str">
        <f>IFERROR(INDEX(#REF!,MATCH(O1762,#REF!,0)),"")</f>
        <v/>
      </c>
      <c r="B1762" s="25" t="str">
        <f>IFERROR(INDEX(#REF!,MATCH(O1762,#REF!,0)),"")</f>
        <v/>
      </c>
      <c r="C1762" s="25" t="str">
        <f>IFERROR(INDEX(#REF!,MATCH(O1762,#REF!,0)),"")</f>
        <v/>
      </c>
      <c r="D1762" s="25" t="str">
        <f>IFERROR(INDEX(#REF!,MATCH(O1762,#REF!,0)),"")</f>
        <v/>
      </c>
      <c r="E1762" s="25" t="str">
        <f>IFERROR(INDEX(#REF!,MATCH(O1762,#REF!,0)),"")</f>
        <v/>
      </c>
      <c r="F1762" s="25" t="str">
        <f>IFERROR(INDEX(#REF!,MATCH(O1762,#REF!,0)),"")</f>
        <v/>
      </c>
      <c r="G1762" s="25" t="str">
        <f>IFERROR(INDEX(#REF!,MATCH(O1762,#REF!,0)),"")</f>
        <v/>
      </c>
      <c r="H1762" s="25" t="str">
        <f>IFERROR(INDEX(#REF!,MATCH(O1762,#REF!,0)),"")</f>
        <v/>
      </c>
      <c r="I1762" s="25" t="str">
        <f>IFERROR(INDEX(#REF!,MATCH(O1762,#REF!,0)),"")</f>
        <v/>
      </c>
      <c r="J1762" s="25" t="str">
        <f>IFERROR(INDEX(#REF!,MATCH(O1762,#REF!,0)),"")</f>
        <v/>
      </c>
      <c r="K1762" s="25" t="str">
        <f>IFERROR(INDEX(#REF!,MATCH(O1762,#REF!,0)),"")</f>
        <v/>
      </c>
      <c r="L1762" s="25" t="str">
        <f>IFERROR(INDEX(#REF!,MATCH(O1762,#REF!,0)),"")</f>
        <v/>
      </c>
      <c r="P1762" s="27" t="str">
        <f>IFERROR(INDEX(#REF!,MATCH($O1762,#REF!,0)),"")</f>
        <v/>
      </c>
      <c r="Q1762" s="27" t="str">
        <f>IFERROR(INDEX(#REF!,MATCH($O1762,#REF!,0)),"")</f>
        <v/>
      </c>
      <c r="R1762" s="52" t="str">
        <f>IFERROR(IF(AR1763=AR1762,INDEX(#REF!,MATCH($O1762,#REF!,0))-IF(AN1762="",0,AN1762)+AP1763,INDEX(#REF!,MATCH($O1762,#REF!,0))-IF(AN1762="",0,AN1762)),"")</f>
        <v/>
      </c>
      <c r="S1762" s="53" t="str">
        <f t="shared" si="868"/>
        <v/>
      </c>
      <c r="T1762" s="52" t="str">
        <f t="shared" si="869"/>
        <v/>
      </c>
      <c r="U1762" s="52" t="str">
        <f>IFERROR(IF(AR1763=AR1762,INDEX(#REF!,MATCH($O1762,#REF!,0))-IF(AN1762="",0,AN1762)+AP1763,INDEX(#REF!,MATCH($O1762,#REF!,0))-IF(AN1762="",0,AN1762)),"")</f>
        <v/>
      </c>
      <c r="V1762" s="53" t="str">
        <f t="shared" si="870"/>
        <v/>
      </c>
      <c r="W1762" s="52" t="str">
        <f t="shared" si="871"/>
        <v/>
      </c>
      <c r="X1762" s="52" t="str">
        <f>IFERROR(IF(AND(AR1763=AR1762,AM1762&lt;&gt;""),INDEX(#REF!,MATCH($O1762,#REF!,0))-IF(AN1762="",0,AN1762)+AP1763+AD1762+AL1762,IF(AR1763=AR1762,INDEX(#REF!,MATCH($O1762,#REF!,0))-IF(AN1762="",0,AN1762)+AP1763+AD1762,IF(AM1762&lt;&gt;"",INDEX(#REF!,MATCH($O1762,#REF!,0))-IF(AN1762="",0,AN1762)+AD1762+AL1762,INDEX(#REF!,MATCH($O1762,#REF!,0))-IF(AN1762="",0,AN1762)+AD1762))),"")</f>
        <v/>
      </c>
      <c r="Y1762" s="53" t="str">
        <f t="shared" si="872"/>
        <v/>
      </c>
      <c r="Z1762" s="52" t="str">
        <f>IF(L1762="","",INDEX(#REF!,MATCH($O1762,#REF!,0)))</f>
        <v/>
      </c>
      <c r="AA1762" s="52" t="str">
        <f t="shared" si="873"/>
        <v/>
      </c>
      <c r="AB1762" s="52" t="str">
        <f>IFERROR(INDEX(#REF!,MATCH($O1762,#REF!,0)),"")</f>
        <v/>
      </c>
      <c r="AC1762" s="52" t="str">
        <f>IFERROR(IF(O1762="","",SUMIFS('CPL Mats'!F:F,'CPL Mats'!Q:Q,AR1762,'CPL Mats'!S:S,AS1762)),"")</f>
        <v/>
      </c>
      <c r="AF1762" s="25" t="e">
        <f>IF(SUMIFS(#REF!,#REF!,"Releasable",#REF!,O1762)=0,"",SUMIFS(#REF!,#REF!,"Releasable",#REF!,O1762))</f>
        <v>#REF!</v>
      </c>
      <c r="AG1762" s="25" t="str">
        <f>IFERROR(INDEX(#REF!,MATCH(O1762,#REF!,0)),"")</f>
        <v/>
      </c>
      <c r="AH1762" s="25" t="str">
        <f>IFERROR(INDEX(#REF!,MATCH($O1762,#REF!,0)),"")</f>
        <v/>
      </c>
      <c r="AI1762" s="25" t="e">
        <f>IF(SUMIFS(#REF!,#REF!,"Expires this month",#REF!,O1762)=0,"",SUMIFS(#REF!,#REF!,"Expires this month",#REF!,O1762))</f>
        <v>#REF!</v>
      </c>
      <c r="AJ1762" s="25" t="e">
        <f>IF(SUMIFS(#REF!,#REF!,"Expired Previous Months",#REF!,O1762)=0,"",SUMIFS(#REF!,#REF!,"Expired Previous Months",#REF!,O1762))</f>
        <v>#REF!</v>
      </c>
      <c r="AK1762" s="25" t="str">
        <f>IFERROR(INDEX('Hun Release Current'!B:B,MATCH(O1762,'Hun Release Current'!A:A,0)),"")</f>
        <v/>
      </c>
      <c r="AL1762" s="25" t="str">
        <f>IF(SUMIF('Prev Aub'!A:A,O1762,'Prev Aub'!B:B)=0,"",SUMIF('Prev Aub'!A:A,O1762,'Prev Aub'!B:B))</f>
        <v/>
      </c>
      <c r="AN1762" s="25" t="s">
        <v>3790</v>
      </c>
      <c r="AO1762" s="25" t="s">
        <v>3790</v>
      </c>
      <c r="AP1762" s="25" t="str">
        <f t="shared" si="874"/>
        <v/>
      </c>
      <c r="AQ1762" s="151" t="e">
        <f>IF(SUMIFS(#REF!,#REF!,O1762,#REF!,"PENDING")=0,"",SUMIFS(#REF!,#REF!,O1762,#REF!,"PENDING"))</f>
        <v>#REF!</v>
      </c>
      <c r="AR1762" s="27" t="str">
        <f t="shared" si="875"/>
        <v/>
      </c>
      <c r="AS1762" s="27" t="str">
        <f t="shared" si="876"/>
        <v/>
      </c>
      <c r="AT1762" s="27" t="str">
        <f t="shared" si="877"/>
        <v/>
      </c>
      <c r="AU1762" s="27" t="str">
        <f t="shared" si="878"/>
        <v/>
      </c>
      <c r="AV1762" s="27" t="str">
        <f t="shared" si="879"/>
        <v/>
      </c>
      <c r="AW1762" s="27" t="e">
        <f t="shared" si="880"/>
        <v>#REF!</v>
      </c>
      <c r="AX1762" s="27" t="e">
        <f t="shared" si="881"/>
        <v>#REF!</v>
      </c>
      <c r="AY1762" s="27" t="str">
        <f t="shared" si="882"/>
        <v/>
      </c>
      <c r="AZ1762" s="27" t="str">
        <f t="shared" si="883"/>
        <v/>
      </c>
      <c r="BA1762" s="27" t="str">
        <f t="shared" si="884"/>
        <v/>
      </c>
      <c r="BB1762" s="27" t="str">
        <f t="shared" si="885"/>
        <v/>
      </c>
      <c r="BC1762" s="27" t="str">
        <f t="shared" si="886"/>
        <v/>
      </c>
      <c r="BD1762" s="27" t="str">
        <f t="shared" si="887"/>
        <v/>
      </c>
      <c r="BE1762" s="27" t="str">
        <f t="shared" si="888"/>
        <v/>
      </c>
      <c r="BF1762" s="27" t="str">
        <f t="shared" si="889"/>
        <v/>
      </c>
      <c r="BG1762" s="27" t="str">
        <f t="shared" si="890"/>
        <v/>
      </c>
      <c r="BH1762" s="27" t="str">
        <f t="shared" si="891"/>
        <v/>
      </c>
      <c r="BI1762" s="27" t="str">
        <f t="shared" si="892"/>
        <v/>
      </c>
      <c r="BJ1762" s="27" t="str">
        <f t="shared" si="893"/>
        <v/>
      </c>
      <c r="BK1762" s="27" t="str">
        <f t="shared" si="894"/>
        <v/>
      </c>
      <c r="BL1762" s="27" t="str">
        <f t="shared" si="895"/>
        <v/>
      </c>
      <c r="BM1762" s="21" t="s">
        <v>3790</v>
      </c>
    </row>
    <row r="1763" spans="1:65" ht="15">
      <c r="A1763" s="25" t="str">
        <f>IFERROR(INDEX(#REF!,MATCH(O1763,#REF!,0)),"")</f>
        <v/>
      </c>
      <c r="B1763" s="25" t="str">
        <f>IFERROR(INDEX(#REF!,MATCH(O1763,#REF!,0)),"")</f>
        <v/>
      </c>
      <c r="C1763" s="25" t="str">
        <f>IFERROR(INDEX(#REF!,MATCH(O1763,#REF!,0)),"")</f>
        <v/>
      </c>
      <c r="D1763" s="25" t="str">
        <f>IFERROR(INDEX(#REF!,MATCH(O1763,#REF!,0)),"")</f>
        <v/>
      </c>
      <c r="E1763" s="25" t="str">
        <f>IFERROR(INDEX(#REF!,MATCH(O1763,#REF!,0)),"")</f>
        <v/>
      </c>
      <c r="F1763" s="25" t="str">
        <f>IFERROR(INDEX(#REF!,MATCH(O1763,#REF!,0)),"")</f>
        <v/>
      </c>
      <c r="G1763" s="25" t="str">
        <f>IFERROR(INDEX(#REF!,MATCH(O1763,#REF!,0)),"")</f>
        <v/>
      </c>
      <c r="H1763" s="25" t="str">
        <f>IFERROR(INDEX(#REF!,MATCH(O1763,#REF!,0)),"")</f>
        <v/>
      </c>
      <c r="I1763" s="25" t="str">
        <f>IFERROR(INDEX(#REF!,MATCH(O1763,#REF!,0)),"")</f>
        <v/>
      </c>
      <c r="J1763" s="25" t="str">
        <f>IFERROR(INDEX(#REF!,MATCH(O1763,#REF!,0)),"")</f>
        <v/>
      </c>
      <c r="K1763" s="25" t="str">
        <f>IFERROR(INDEX(#REF!,MATCH(O1763,#REF!,0)),"")</f>
        <v/>
      </c>
      <c r="L1763" s="25" t="str">
        <f>IFERROR(INDEX(#REF!,MATCH(O1763,#REF!,0)),"")</f>
        <v/>
      </c>
      <c r="P1763" s="27" t="str">
        <f>IFERROR(INDEX(#REF!,MATCH($O1763,#REF!,0)),"")</f>
        <v/>
      </c>
      <c r="Q1763" s="27" t="str">
        <f>IFERROR(INDEX(#REF!,MATCH($O1763,#REF!,0)),"")</f>
        <v/>
      </c>
      <c r="R1763" s="52" t="str">
        <f>IFERROR(IF(AR1764=AR1763,INDEX(#REF!,MATCH($O1763,#REF!,0))-IF(AN1763="",0,AN1763)+AP1764,INDEX(#REF!,MATCH($O1763,#REF!,0))-IF(AN1763="",0,AN1763)),"")</f>
        <v/>
      </c>
      <c r="S1763" s="53" t="str">
        <f t="shared" si="868"/>
        <v/>
      </c>
      <c r="T1763" s="52" t="str">
        <f t="shared" si="869"/>
        <v/>
      </c>
      <c r="U1763" s="52" t="str">
        <f>IFERROR(IF(AR1764=AR1763,INDEX(#REF!,MATCH($O1763,#REF!,0))-IF(AN1763="",0,AN1763)+AP1764,INDEX(#REF!,MATCH($O1763,#REF!,0))-IF(AN1763="",0,AN1763)),"")</f>
        <v/>
      </c>
      <c r="V1763" s="53" t="str">
        <f t="shared" si="870"/>
        <v/>
      </c>
      <c r="W1763" s="52" t="str">
        <f t="shared" si="871"/>
        <v/>
      </c>
      <c r="X1763" s="52" t="str">
        <f>IFERROR(IF(AND(AR1764=AR1763,AM1763&lt;&gt;""),INDEX(#REF!,MATCH($O1763,#REF!,0))-IF(AN1763="",0,AN1763)+AP1764+AD1763+AL1763,IF(AR1764=AR1763,INDEX(#REF!,MATCH($O1763,#REF!,0))-IF(AN1763="",0,AN1763)+AP1764+AD1763,IF(AM1763&lt;&gt;"",INDEX(#REF!,MATCH($O1763,#REF!,0))-IF(AN1763="",0,AN1763)+AD1763+AL1763,INDEX(#REF!,MATCH($O1763,#REF!,0))-IF(AN1763="",0,AN1763)+AD1763))),"")</f>
        <v/>
      </c>
      <c r="Y1763" s="53" t="str">
        <f t="shared" si="872"/>
        <v/>
      </c>
      <c r="Z1763" s="52" t="str">
        <f>IF(L1763="","",INDEX(#REF!,MATCH($O1763,#REF!,0)))</f>
        <v/>
      </c>
      <c r="AA1763" s="52" t="str">
        <f t="shared" si="873"/>
        <v/>
      </c>
      <c r="AB1763" s="52" t="str">
        <f>IFERROR(INDEX(#REF!,MATCH($O1763,#REF!,0)),"")</f>
        <v/>
      </c>
      <c r="AC1763" s="52" t="str">
        <f>IFERROR(IF(O1763="","",SUMIFS('CPL Mats'!F:F,'CPL Mats'!Q:Q,AR1763,'CPL Mats'!S:S,AS1763)),"")</f>
        <v/>
      </c>
      <c r="AF1763" s="25" t="e">
        <f>IF(SUMIFS(#REF!,#REF!,"Releasable",#REF!,O1763)=0,"",SUMIFS(#REF!,#REF!,"Releasable",#REF!,O1763))</f>
        <v>#REF!</v>
      </c>
      <c r="AG1763" s="25" t="str">
        <f>IFERROR(INDEX(#REF!,MATCH(O1763,#REF!,0)),"")</f>
        <v/>
      </c>
      <c r="AH1763" s="25" t="str">
        <f>IFERROR(INDEX(#REF!,MATCH($O1763,#REF!,0)),"")</f>
        <v/>
      </c>
      <c r="AI1763" s="25" t="e">
        <f>IF(SUMIFS(#REF!,#REF!,"Expires this month",#REF!,O1763)=0,"",SUMIFS(#REF!,#REF!,"Expires this month",#REF!,O1763))</f>
        <v>#REF!</v>
      </c>
      <c r="AJ1763" s="25" t="e">
        <f>IF(SUMIFS(#REF!,#REF!,"Expired Previous Months",#REF!,O1763)=0,"",SUMIFS(#REF!,#REF!,"Expired Previous Months",#REF!,O1763))</f>
        <v>#REF!</v>
      </c>
      <c r="AK1763" s="25" t="str">
        <f>IFERROR(INDEX('Hun Release Current'!B:B,MATCH(O1763,'Hun Release Current'!A:A,0)),"")</f>
        <v/>
      </c>
      <c r="AL1763" s="25" t="str">
        <f>IF(SUMIF('Prev Aub'!A:A,O1763,'Prev Aub'!B:B)=0,"",SUMIF('Prev Aub'!A:A,O1763,'Prev Aub'!B:B))</f>
        <v/>
      </c>
      <c r="AN1763" s="25" t="s">
        <v>3790</v>
      </c>
      <c r="AO1763" s="25" t="s">
        <v>3790</v>
      </c>
      <c r="AP1763" s="25" t="str">
        <f t="shared" si="874"/>
        <v/>
      </c>
      <c r="AQ1763" s="151" t="e">
        <f>IF(SUMIFS(#REF!,#REF!,O1763,#REF!,"PENDING")=0,"",SUMIFS(#REF!,#REF!,O1763,#REF!,"PENDING"))</f>
        <v>#REF!</v>
      </c>
      <c r="AR1763" s="27" t="str">
        <f t="shared" si="875"/>
        <v/>
      </c>
      <c r="AS1763" s="27" t="str">
        <f t="shared" si="876"/>
        <v/>
      </c>
      <c r="AT1763" s="27" t="str">
        <f t="shared" si="877"/>
        <v/>
      </c>
      <c r="AU1763" s="27" t="str">
        <f t="shared" si="878"/>
        <v/>
      </c>
      <c r="AV1763" s="27" t="str">
        <f t="shared" si="879"/>
        <v/>
      </c>
      <c r="AW1763" s="27" t="e">
        <f t="shared" si="880"/>
        <v>#REF!</v>
      </c>
      <c r="AX1763" s="27" t="e">
        <f t="shared" si="881"/>
        <v>#REF!</v>
      </c>
      <c r="AY1763" s="27" t="str">
        <f t="shared" si="882"/>
        <v/>
      </c>
      <c r="AZ1763" s="27" t="str">
        <f t="shared" si="883"/>
        <v/>
      </c>
      <c r="BA1763" s="27" t="str">
        <f t="shared" si="884"/>
        <v/>
      </c>
      <c r="BB1763" s="27" t="str">
        <f t="shared" si="885"/>
        <v/>
      </c>
      <c r="BC1763" s="27" t="str">
        <f t="shared" si="886"/>
        <v/>
      </c>
      <c r="BD1763" s="27" t="str">
        <f t="shared" si="887"/>
        <v/>
      </c>
      <c r="BE1763" s="27" t="str">
        <f t="shared" si="888"/>
        <v/>
      </c>
      <c r="BF1763" s="27" t="str">
        <f t="shared" si="889"/>
        <v/>
      </c>
      <c r="BG1763" s="27" t="str">
        <f t="shared" si="890"/>
        <v/>
      </c>
      <c r="BH1763" s="27" t="str">
        <f t="shared" si="891"/>
        <v/>
      </c>
      <c r="BI1763" s="27" t="str">
        <f t="shared" si="892"/>
        <v/>
      </c>
      <c r="BJ1763" s="27" t="str">
        <f t="shared" si="893"/>
        <v/>
      </c>
      <c r="BK1763" s="27" t="str">
        <f t="shared" si="894"/>
        <v/>
      </c>
      <c r="BL1763" s="27" t="str">
        <f t="shared" si="895"/>
        <v/>
      </c>
      <c r="BM1763" s="21" t="s">
        <v>3790</v>
      </c>
    </row>
    <row r="1764" spans="1:65" ht="15">
      <c r="A1764" s="25" t="str">
        <f>IFERROR(INDEX(#REF!,MATCH(O1764,#REF!,0)),"")</f>
        <v/>
      </c>
      <c r="B1764" s="25" t="str">
        <f>IFERROR(INDEX(#REF!,MATCH(O1764,#REF!,0)),"")</f>
        <v/>
      </c>
      <c r="C1764" s="25" t="str">
        <f>IFERROR(INDEX(#REF!,MATCH(O1764,#REF!,0)),"")</f>
        <v/>
      </c>
      <c r="D1764" s="25" t="str">
        <f>IFERROR(INDEX(#REF!,MATCH(O1764,#REF!,0)),"")</f>
        <v/>
      </c>
      <c r="E1764" s="25" t="str">
        <f>IFERROR(INDEX(#REF!,MATCH(O1764,#REF!,0)),"")</f>
        <v/>
      </c>
      <c r="F1764" s="25" t="str">
        <f>IFERROR(INDEX(#REF!,MATCH(O1764,#REF!,0)),"")</f>
        <v/>
      </c>
      <c r="G1764" s="25" t="str">
        <f>IFERROR(INDEX(#REF!,MATCH(O1764,#REF!,0)),"")</f>
        <v/>
      </c>
      <c r="H1764" s="25" t="str">
        <f>IFERROR(INDEX(#REF!,MATCH(O1764,#REF!,0)),"")</f>
        <v/>
      </c>
      <c r="I1764" s="25" t="str">
        <f>IFERROR(INDEX(#REF!,MATCH(O1764,#REF!,0)),"")</f>
        <v/>
      </c>
      <c r="J1764" s="25" t="str">
        <f>IFERROR(INDEX(#REF!,MATCH(O1764,#REF!,0)),"")</f>
        <v/>
      </c>
      <c r="K1764" s="25" t="str">
        <f>IFERROR(INDEX(#REF!,MATCH(O1764,#REF!,0)),"")</f>
        <v/>
      </c>
      <c r="L1764" s="25" t="str">
        <f>IFERROR(INDEX(#REF!,MATCH(O1764,#REF!,0)),"")</f>
        <v/>
      </c>
      <c r="P1764" s="27" t="str">
        <f>IFERROR(INDEX(#REF!,MATCH($O1764,#REF!,0)),"")</f>
        <v/>
      </c>
      <c r="Q1764" s="27" t="str">
        <f>IFERROR(INDEX(#REF!,MATCH($O1764,#REF!,0)),"")</f>
        <v/>
      </c>
      <c r="R1764" s="52" t="str">
        <f>IFERROR(IF(AR1765=AR1764,INDEX(#REF!,MATCH($O1764,#REF!,0))-IF(AN1764="",0,AN1764)+AP1765,INDEX(#REF!,MATCH($O1764,#REF!,0))-IF(AN1764="",0,AN1764)),"")</f>
        <v/>
      </c>
      <c r="S1764" s="53" t="str">
        <f t="shared" si="868"/>
        <v/>
      </c>
      <c r="T1764" s="52" t="str">
        <f t="shared" si="869"/>
        <v/>
      </c>
      <c r="U1764" s="52" t="str">
        <f>IFERROR(IF(AR1765=AR1764,INDEX(#REF!,MATCH($O1764,#REF!,0))-IF(AN1764="",0,AN1764)+AP1765,INDEX(#REF!,MATCH($O1764,#REF!,0))-IF(AN1764="",0,AN1764)),"")</f>
        <v/>
      </c>
      <c r="V1764" s="53" t="str">
        <f t="shared" si="870"/>
        <v/>
      </c>
      <c r="W1764" s="52" t="str">
        <f t="shared" si="871"/>
        <v/>
      </c>
      <c r="X1764" s="52" t="str">
        <f>IFERROR(IF(AND(AR1765=AR1764,AM1764&lt;&gt;""),INDEX(#REF!,MATCH($O1764,#REF!,0))-IF(AN1764="",0,AN1764)+AP1765+AD1764+AL1764,IF(AR1765=AR1764,INDEX(#REF!,MATCH($O1764,#REF!,0))-IF(AN1764="",0,AN1764)+AP1765+AD1764,IF(AM1764&lt;&gt;"",INDEX(#REF!,MATCH($O1764,#REF!,0))-IF(AN1764="",0,AN1764)+AD1764+AL1764,INDEX(#REF!,MATCH($O1764,#REF!,0))-IF(AN1764="",0,AN1764)+AD1764))),"")</f>
        <v/>
      </c>
      <c r="Y1764" s="53" t="str">
        <f t="shared" si="872"/>
        <v/>
      </c>
      <c r="Z1764" s="52" t="str">
        <f>IF(L1764="","",INDEX(#REF!,MATCH($O1764,#REF!,0)))</f>
        <v/>
      </c>
      <c r="AA1764" s="52" t="str">
        <f t="shared" si="873"/>
        <v/>
      </c>
      <c r="AB1764" s="52" t="str">
        <f>IFERROR(INDEX(#REF!,MATCH($O1764,#REF!,0)),"")</f>
        <v/>
      </c>
      <c r="AC1764" s="52" t="str">
        <f>IFERROR(IF(O1764="","",SUMIFS('CPL Mats'!F:F,'CPL Mats'!Q:Q,AR1764,'CPL Mats'!S:S,AS1764)),"")</f>
        <v/>
      </c>
      <c r="AF1764" s="25" t="e">
        <f>IF(SUMIFS(#REF!,#REF!,"Releasable",#REF!,O1764)=0,"",SUMIFS(#REF!,#REF!,"Releasable",#REF!,O1764))</f>
        <v>#REF!</v>
      </c>
      <c r="AG1764" s="25" t="str">
        <f>IFERROR(INDEX(#REF!,MATCH(O1764,#REF!,0)),"")</f>
        <v/>
      </c>
      <c r="AH1764" s="25" t="str">
        <f>IFERROR(INDEX(#REF!,MATCH($O1764,#REF!,0)),"")</f>
        <v/>
      </c>
      <c r="AI1764" s="25" t="e">
        <f>IF(SUMIFS(#REF!,#REF!,"Expires this month",#REF!,O1764)=0,"",SUMIFS(#REF!,#REF!,"Expires this month",#REF!,O1764))</f>
        <v>#REF!</v>
      </c>
      <c r="AJ1764" s="25" t="e">
        <f>IF(SUMIFS(#REF!,#REF!,"Expired Previous Months",#REF!,O1764)=0,"",SUMIFS(#REF!,#REF!,"Expired Previous Months",#REF!,O1764))</f>
        <v>#REF!</v>
      </c>
      <c r="AK1764" s="25" t="str">
        <f>IFERROR(INDEX('Hun Release Current'!B:B,MATCH(O1764,'Hun Release Current'!A:A,0)),"")</f>
        <v/>
      </c>
      <c r="AL1764" s="25" t="str">
        <f>IF(SUMIF('Prev Aub'!A:A,O1764,'Prev Aub'!B:B)=0,"",SUMIF('Prev Aub'!A:A,O1764,'Prev Aub'!B:B))</f>
        <v/>
      </c>
      <c r="AN1764" s="25" t="s">
        <v>3790</v>
      </c>
      <c r="AO1764" s="25" t="s">
        <v>3790</v>
      </c>
      <c r="AP1764" s="25" t="str">
        <f t="shared" si="874"/>
        <v/>
      </c>
      <c r="AQ1764" s="151" t="e">
        <f>IF(SUMIFS(#REF!,#REF!,O1764,#REF!,"PENDING")=0,"",SUMIFS(#REF!,#REF!,O1764,#REF!,"PENDING"))</f>
        <v>#REF!</v>
      </c>
      <c r="AR1764" s="27" t="str">
        <f t="shared" si="875"/>
        <v/>
      </c>
      <c r="AS1764" s="27" t="str">
        <f t="shared" si="876"/>
        <v/>
      </c>
      <c r="AT1764" s="27" t="str">
        <f t="shared" si="877"/>
        <v/>
      </c>
      <c r="AU1764" s="27" t="str">
        <f t="shared" si="878"/>
        <v/>
      </c>
      <c r="AV1764" s="27" t="str">
        <f t="shared" si="879"/>
        <v/>
      </c>
      <c r="AW1764" s="27" t="e">
        <f t="shared" si="880"/>
        <v>#REF!</v>
      </c>
      <c r="AX1764" s="27" t="e">
        <f t="shared" si="881"/>
        <v>#REF!</v>
      </c>
      <c r="AY1764" s="27" t="str">
        <f t="shared" si="882"/>
        <v/>
      </c>
      <c r="AZ1764" s="27" t="str">
        <f t="shared" si="883"/>
        <v/>
      </c>
      <c r="BA1764" s="27" t="str">
        <f t="shared" si="884"/>
        <v/>
      </c>
      <c r="BB1764" s="27" t="str">
        <f t="shared" si="885"/>
        <v/>
      </c>
      <c r="BC1764" s="27" t="str">
        <f t="shared" si="886"/>
        <v/>
      </c>
      <c r="BD1764" s="27" t="str">
        <f t="shared" si="887"/>
        <v/>
      </c>
      <c r="BE1764" s="27" t="str">
        <f t="shared" si="888"/>
        <v/>
      </c>
      <c r="BF1764" s="27" t="str">
        <f t="shared" si="889"/>
        <v/>
      </c>
      <c r="BG1764" s="27" t="str">
        <f t="shared" si="890"/>
        <v/>
      </c>
      <c r="BH1764" s="27" t="str">
        <f t="shared" si="891"/>
        <v/>
      </c>
      <c r="BI1764" s="27" t="str">
        <f t="shared" si="892"/>
        <v/>
      </c>
      <c r="BJ1764" s="27" t="str">
        <f t="shared" si="893"/>
        <v/>
      </c>
      <c r="BK1764" s="27" t="str">
        <f t="shared" si="894"/>
        <v/>
      </c>
      <c r="BL1764" s="27" t="str">
        <f t="shared" si="895"/>
        <v/>
      </c>
      <c r="BM1764" s="21" t="s">
        <v>3790</v>
      </c>
    </row>
    <row r="1765" spans="1:65" ht="15">
      <c r="A1765" s="25" t="str">
        <f>IFERROR(INDEX(#REF!,MATCH(O1765,#REF!,0)),"")</f>
        <v/>
      </c>
      <c r="B1765" s="25" t="str">
        <f>IFERROR(INDEX(#REF!,MATCH(O1765,#REF!,0)),"")</f>
        <v/>
      </c>
      <c r="C1765" s="25" t="str">
        <f>IFERROR(INDEX(#REF!,MATCH(O1765,#REF!,0)),"")</f>
        <v/>
      </c>
      <c r="D1765" s="25" t="str">
        <f>IFERROR(INDEX(#REF!,MATCH(O1765,#REF!,0)),"")</f>
        <v/>
      </c>
      <c r="E1765" s="25" t="str">
        <f>IFERROR(INDEX(#REF!,MATCH(O1765,#REF!,0)),"")</f>
        <v/>
      </c>
      <c r="F1765" s="25" t="str">
        <f>IFERROR(INDEX(#REF!,MATCH(O1765,#REF!,0)),"")</f>
        <v/>
      </c>
      <c r="G1765" s="25" t="str">
        <f>IFERROR(INDEX(#REF!,MATCH(O1765,#REF!,0)),"")</f>
        <v/>
      </c>
      <c r="H1765" s="25" t="str">
        <f>IFERROR(INDEX(#REF!,MATCH(O1765,#REF!,0)),"")</f>
        <v/>
      </c>
      <c r="I1765" s="25" t="str">
        <f>IFERROR(INDEX(#REF!,MATCH(O1765,#REF!,0)),"")</f>
        <v/>
      </c>
      <c r="J1765" s="25" t="str">
        <f>IFERROR(INDEX(#REF!,MATCH(O1765,#REF!,0)),"")</f>
        <v/>
      </c>
      <c r="K1765" s="25" t="str">
        <f>IFERROR(INDEX(#REF!,MATCH(O1765,#REF!,0)),"")</f>
        <v/>
      </c>
      <c r="L1765" s="25" t="str">
        <f>IFERROR(INDEX(#REF!,MATCH(O1765,#REF!,0)),"")</f>
        <v/>
      </c>
      <c r="P1765" s="27" t="str">
        <f>IFERROR(INDEX(#REF!,MATCH($O1765,#REF!,0)),"")</f>
        <v/>
      </c>
      <c r="Q1765" s="27" t="str">
        <f>IFERROR(INDEX(#REF!,MATCH($O1765,#REF!,0)),"")</f>
        <v/>
      </c>
      <c r="R1765" s="52" t="str">
        <f>IFERROR(IF(AR1766=AR1765,INDEX(#REF!,MATCH($O1765,#REF!,0))-IF(AN1765="",0,AN1765)+AP1766,INDEX(#REF!,MATCH($O1765,#REF!,0))-IF(AN1765="",0,AN1765)),"")</f>
        <v/>
      </c>
      <c r="S1765" s="53" t="str">
        <f t="shared" si="868"/>
        <v/>
      </c>
      <c r="T1765" s="52" t="str">
        <f t="shared" si="869"/>
        <v/>
      </c>
      <c r="U1765" s="52" t="str">
        <f>IFERROR(IF(AR1766=AR1765,INDEX(#REF!,MATCH($O1765,#REF!,0))-IF(AN1765="",0,AN1765)+AP1766,INDEX(#REF!,MATCH($O1765,#REF!,0))-IF(AN1765="",0,AN1765)),"")</f>
        <v/>
      </c>
      <c r="V1765" s="53" t="str">
        <f t="shared" si="870"/>
        <v/>
      </c>
      <c r="W1765" s="52" t="str">
        <f t="shared" si="871"/>
        <v/>
      </c>
      <c r="X1765" s="52" t="str">
        <f>IFERROR(IF(AND(AR1766=AR1765,AM1765&lt;&gt;""),INDEX(#REF!,MATCH($O1765,#REF!,0))-IF(AN1765="",0,AN1765)+AP1766+AD1765+AL1765,IF(AR1766=AR1765,INDEX(#REF!,MATCH($O1765,#REF!,0))-IF(AN1765="",0,AN1765)+AP1766+AD1765,IF(AM1765&lt;&gt;"",INDEX(#REF!,MATCH($O1765,#REF!,0))-IF(AN1765="",0,AN1765)+AD1765+AL1765,INDEX(#REF!,MATCH($O1765,#REF!,0))-IF(AN1765="",0,AN1765)+AD1765))),"")</f>
        <v/>
      </c>
      <c r="Y1765" s="53" t="str">
        <f t="shared" si="872"/>
        <v/>
      </c>
      <c r="Z1765" s="52" t="str">
        <f>IF(L1765="","",INDEX(#REF!,MATCH($O1765,#REF!,0)))</f>
        <v/>
      </c>
      <c r="AA1765" s="52" t="str">
        <f t="shared" si="873"/>
        <v/>
      </c>
      <c r="AB1765" s="52" t="str">
        <f>IFERROR(INDEX(#REF!,MATCH($O1765,#REF!,0)),"")</f>
        <v/>
      </c>
      <c r="AC1765" s="52" t="str">
        <f>IFERROR(IF(O1765="","",SUMIFS('CPL Mats'!F:F,'CPL Mats'!Q:Q,AR1765,'CPL Mats'!S:S,AS1765)),"")</f>
        <v/>
      </c>
      <c r="AF1765" s="25" t="e">
        <f>IF(SUMIFS(#REF!,#REF!,"Releasable",#REF!,O1765)=0,"",SUMIFS(#REF!,#REF!,"Releasable",#REF!,O1765))</f>
        <v>#REF!</v>
      </c>
      <c r="AG1765" s="25" t="str">
        <f>IFERROR(INDEX(#REF!,MATCH(O1765,#REF!,0)),"")</f>
        <v/>
      </c>
      <c r="AH1765" s="25" t="str">
        <f>IFERROR(INDEX(#REF!,MATCH($O1765,#REF!,0)),"")</f>
        <v/>
      </c>
      <c r="AI1765" s="25" t="e">
        <f>IF(SUMIFS(#REF!,#REF!,"Expires this month",#REF!,O1765)=0,"",SUMIFS(#REF!,#REF!,"Expires this month",#REF!,O1765))</f>
        <v>#REF!</v>
      </c>
      <c r="AJ1765" s="25" t="e">
        <f>IF(SUMIFS(#REF!,#REF!,"Expired Previous Months",#REF!,O1765)=0,"",SUMIFS(#REF!,#REF!,"Expired Previous Months",#REF!,O1765))</f>
        <v>#REF!</v>
      </c>
      <c r="AK1765" s="25" t="str">
        <f>IFERROR(INDEX('Hun Release Current'!B:B,MATCH(O1765,'Hun Release Current'!A:A,0)),"")</f>
        <v/>
      </c>
      <c r="AL1765" s="25" t="str">
        <f>IF(SUMIF('Prev Aub'!A:A,O1765,'Prev Aub'!B:B)=0,"",SUMIF('Prev Aub'!A:A,O1765,'Prev Aub'!B:B))</f>
        <v/>
      </c>
      <c r="AN1765" s="25" t="s">
        <v>3790</v>
      </c>
      <c r="AO1765" s="25" t="s">
        <v>3790</v>
      </c>
      <c r="AP1765" s="25" t="str">
        <f t="shared" si="874"/>
        <v/>
      </c>
      <c r="AQ1765" s="151" t="e">
        <f>IF(SUMIFS(#REF!,#REF!,O1765,#REF!,"PENDING")=0,"",SUMIFS(#REF!,#REF!,O1765,#REF!,"PENDING"))</f>
        <v>#REF!</v>
      </c>
      <c r="AR1765" s="27" t="str">
        <f t="shared" si="875"/>
        <v/>
      </c>
      <c r="AS1765" s="27" t="str">
        <f t="shared" si="876"/>
        <v/>
      </c>
      <c r="AT1765" s="27" t="str">
        <f t="shared" si="877"/>
        <v/>
      </c>
      <c r="AU1765" s="27" t="str">
        <f t="shared" si="878"/>
        <v/>
      </c>
      <c r="AV1765" s="27" t="str">
        <f t="shared" si="879"/>
        <v/>
      </c>
      <c r="AW1765" s="27" t="e">
        <f t="shared" si="880"/>
        <v>#REF!</v>
      </c>
      <c r="AX1765" s="27" t="e">
        <f t="shared" si="881"/>
        <v>#REF!</v>
      </c>
      <c r="AY1765" s="27" t="str">
        <f t="shared" si="882"/>
        <v/>
      </c>
      <c r="AZ1765" s="27" t="str">
        <f t="shared" si="883"/>
        <v/>
      </c>
      <c r="BA1765" s="27" t="str">
        <f t="shared" si="884"/>
        <v/>
      </c>
      <c r="BB1765" s="27" t="str">
        <f t="shared" si="885"/>
        <v/>
      </c>
      <c r="BC1765" s="27" t="str">
        <f t="shared" si="886"/>
        <v/>
      </c>
      <c r="BD1765" s="27" t="str">
        <f t="shared" si="887"/>
        <v/>
      </c>
      <c r="BE1765" s="27" t="str">
        <f t="shared" si="888"/>
        <v/>
      </c>
      <c r="BF1765" s="27" t="str">
        <f t="shared" si="889"/>
        <v/>
      </c>
      <c r="BG1765" s="27" t="str">
        <f t="shared" si="890"/>
        <v/>
      </c>
      <c r="BH1765" s="27" t="str">
        <f t="shared" si="891"/>
        <v/>
      </c>
      <c r="BI1765" s="27" t="str">
        <f t="shared" si="892"/>
        <v/>
      </c>
      <c r="BJ1765" s="27" t="str">
        <f t="shared" si="893"/>
        <v/>
      </c>
      <c r="BK1765" s="27" t="str">
        <f t="shared" si="894"/>
        <v/>
      </c>
      <c r="BL1765" s="27" t="str">
        <f t="shared" si="895"/>
        <v/>
      </c>
      <c r="BM1765" s="21" t="s">
        <v>3790</v>
      </c>
    </row>
    <row r="1766" spans="1:65" ht="15">
      <c r="A1766" s="25" t="str">
        <f>IFERROR(INDEX(#REF!,MATCH(O1766,#REF!,0)),"")</f>
        <v/>
      </c>
      <c r="B1766" s="25" t="str">
        <f>IFERROR(INDEX(#REF!,MATCH(O1766,#REF!,0)),"")</f>
        <v/>
      </c>
      <c r="C1766" s="25" t="str">
        <f>IFERROR(INDEX(#REF!,MATCH(O1766,#REF!,0)),"")</f>
        <v/>
      </c>
      <c r="D1766" s="25" t="str">
        <f>IFERROR(INDEX(#REF!,MATCH(O1766,#REF!,0)),"")</f>
        <v/>
      </c>
      <c r="E1766" s="25" t="str">
        <f>IFERROR(INDEX(#REF!,MATCH(O1766,#REF!,0)),"")</f>
        <v/>
      </c>
      <c r="F1766" s="25" t="str">
        <f>IFERROR(INDEX(#REF!,MATCH(O1766,#REF!,0)),"")</f>
        <v/>
      </c>
      <c r="G1766" s="25" t="str">
        <f>IFERROR(INDEX(#REF!,MATCH(O1766,#REF!,0)),"")</f>
        <v/>
      </c>
      <c r="H1766" s="25" t="str">
        <f>IFERROR(INDEX(#REF!,MATCH(O1766,#REF!,0)),"")</f>
        <v/>
      </c>
      <c r="I1766" s="25" t="str">
        <f>IFERROR(INDEX(#REF!,MATCH(O1766,#REF!,0)),"")</f>
        <v/>
      </c>
      <c r="J1766" s="25" t="str">
        <f>IFERROR(INDEX(#REF!,MATCH(O1766,#REF!,0)),"")</f>
        <v/>
      </c>
      <c r="K1766" s="25" t="str">
        <f>IFERROR(INDEX(#REF!,MATCH(O1766,#REF!,0)),"")</f>
        <v/>
      </c>
      <c r="L1766" s="25" t="str">
        <f>IFERROR(INDEX(#REF!,MATCH(O1766,#REF!,0)),"")</f>
        <v/>
      </c>
      <c r="P1766" s="27" t="str">
        <f>IFERROR(INDEX(#REF!,MATCH($O1766,#REF!,0)),"")</f>
        <v/>
      </c>
      <c r="Q1766" s="27" t="str">
        <f>IFERROR(INDEX(#REF!,MATCH($O1766,#REF!,0)),"")</f>
        <v/>
      </c>
      <c r="R1766" s="52" t="str">
        <f>IFERROR(IF(AR1767=AR1766,INDEX(#REF!,MATCH($O1766,#REF!,0))-IF(AN1766="",0,AN1766)+AP1767,INDEX(#REF!,MATCH($O1766,#REF!,0))-IF(AN1766="",0,AN1766)),"")</f>
        <v/>
      </c>
      <c r="S1766" s="53" t="str">
        <f t="shared" si="868"/>
        <v/>
      </c>
      <c r="T1766" s="52" t="str">
        <f t="shared" si="869"/>
        <v/>
      </c>
      <c r="U1766" s="52" t="str">
        <f>IFERROR(IF(AR1767=AR1766,INDEX(#REF!,MATCH($O1766,#REF!,0))-IF(AN1766="",0,AN1766)+AP1767,INDEX(#REF!,MATCH($O1766,#REF!,0))-IF(AN1766="",0,AN1766)),"")</f>
        <v/>
      </c>
      <c r="V1766" s="53" t="str">
        <f t="shared" si="870"/>
        <v/>
      </c>
      <c r="W1766" s="52" t="str">
        <f t="shared" si="871"/>
        <v/>
      </c>
      <c r="X1766" s="52" t="str">
        <f>IFERROR(IF(AND(AR1767=AR1766,AM1766&lt;&gt;""),INDEX(#REF!,MATCH($O1766,#REF!,0))-IF(AN1766="",0,AN1766)+AP1767+AD1766+AL1766,IF(AR1767=AR1766,INDEX(#REF!,MATCH($O1766,#REF!,0))-IF(AN1766="",0,AN1766)+AP1767+AD1766,IF(AM1766&lt;&gt;"",INDEX(#REF!,MATCH($O1766,#REF!,0))-IF(AN1766="",0,AN1766)+AD1766+AL1766,INDEX(#REF!,MATCH($O1766,#REF!,0))-IF(AN1766="",0,AN1766)+AD1766))),"")</f>
        <v/>
      </c>
      <c r="Y1766" s="53" t="str">
        <f t="shared" si="872"/>
        <v/>
      </c>
      <c r="Z1766" s="52" t="str">
        <f>IF(L1766="","",INDEX(#REF!,MATCH($O1766,#REF!,0)))</f>
        <v/>
      </c>
      <c r="AA1766" s="52" t="str">
        <f t="shared" si="873"/>
        <v/>
      </c>
      <c r="AB1766" s="52" t="str">
        <f>IFERROR(INDEX(#REF!,MATCH($O1766,#REF!,0)),"")</f>
        <v/>
      </c>
      <c r="AC1766" s="52" t="str">
        <f>IFERROR(IF(O1766="","",SUMIFS('CPL Mats'!F:F,'CPL Mats'!Q:Q,AR1766,'CPL Mats'!S:S,AS1766)),"")</f>
        <v/>
      </c>
      <c r="AF1766" s="25" t="e">
        <f>IF(SUMIFS(#REF!,#REF!,"Releasable",#REF!,O1766)=0,"",SUMIFS(#REF!,#REF!,"Releasable",#REF!,O1766))</f>
        <v>#REF!</v>
      </c>
      <c r="AG1766" s="25" t="str">
        <f>IFERROR(INDEX(#REF!,MATCH(O1766,#REF!,0)),"")</f>
        <v/>
      </c>
      <c r="AH1766" s="25" t="str">
        <f>IFERROR(INDEX(#REF!,MATCH($O1766,#REF!,0)),"")</f>
        <v/>
      </c>
      <c r="AI1766" s="25" t="e">
        <f>IF(SUMIFS(#REF!,#REF!,"Expires this month",#REF!,O1766)=0,"",SUMIFS(#REF!,#REF!,"Expires this month",#REF!,O1766))</f>
        <v>#REF!</v>
      </c>
      <c r="AJ1766" s="25" t="e">
        <f>IF(SUMIFS(#REF!,#REF!,"Expired Previous Months",#REF!,O1766)=0,"",SUMIFS(#REF!,#REF!,"Expired Previous Months",#REF!,O1766))</f>
        <v>#REF!</v>
      </c>
      <c r="AK1766" s="25" t="str">
        <f>IFERROR(INDEX('Hun Release Current'!B:B,MATCH(O1766,'Hun Release Current'!A:A,0)),"")</f>
        <v/>
      </c>
      <c r="AL1766" s="25" t="str">
        <f>IF(SUMIF('Prev Aub'!A:A,O1766,'Prev Aub'!B:B)=0,"",SUMIF('Prev Aub'!A:A,O1766,'Prev Aub'!B:B))</f>
        <v/>
      </c>
      <c r="AN1766" s="25" t="s">
        <v>3790</v>
      </c>
      <c r="AO1766" s="25" t="s">
        <v>3790</v>
      </c>
      <c r="AP1766" s="25" t="str">
        <f t="shared" si="874"/>
        <v/>
      </c>
      <c r="AQ1766" s="151" t="e">
        <f>IF(SUMIFS(#REF!,#REF!,O1766,#REF!,"PENDING")=0,"",SUMIFS(#REF!,#REF!,O1766,#REF!,"PENDING"))</f>
        <v>#REF!</v>
      </c>
      <c r="AR1766" s="27" t="str">
        <f t="shared" si="875"/>
        <v/>
      </c>
      <c r="AS1766" s="27" t="str">
        <f t="shared" si="876"/>
        <v/>
      </c>
      <c r="AT1766" s="27" t="str">
        <f t="shared" si="877"/>
        <v/>
      </c>
      <c r="AU1766" s="27" t="str">
        <f t="shared" si="878"/>
        <v/>
      </c>
      <c r="AV1766" s="27" t="str">
        <f t="shared" si="879"/>
        <v/>
      </c>
      <c r="AW1766" s="27" t="e">
        <f t="shared" si="880"/>
        <v>#REF!</v>
      </c>
      <c r="AX1766" s="27" t="e">
        <f t="shared" si="881"/>
        <v>#REF!</v>
      </c>
      <c r="AY1766" s="27" t="str">
        <f t="shared" si="882"/>
        <v/>
      </c>
      <c r="AZ1766" s="27" t="str">
        <f t="shared" si="883"/>
        <v/>
      </c>
      <c r="BA1766" s="27" t="str">
        <f t="shared" si="884"/>
        <v/>
      </c>
      <c r="BB1766" s="27" t="str">
        <f t="shared" si="885"/>
        <v/>
      </c>
      <c r="BC1766" s="27" t="str">
        <f t="shared" si="886"/>
        <v/>
      </c>
      <c r="BD1766" s="27" t="str">
        <f t="shared" si="887"/>
        <v/>
      </c>
      <c r="BE1766" s="27" t="str">
        <f t="shared" si="888"/>
        <v/>
      </c>
      <c r="BF1766" s="27" t="str">
        <f t="shared" si="889"/>
        <v/>
      </c>
      <c r="BG1766" s="27" t="str">
        <f t="shared" si="890"/>
        <v/>
      </c>
      <c r="BH1766" s="27" t="str">
        <f t="shared" si="891"/>
        <v/>
      </c>
      <c r="BI1766" s="27" t="str">
        <f t="shared" si="892"/>
        <v/>
      </c>
      <c r="BJ1766" s="27" t="str">
        <f t="shared" si="893"/>
        <v/>
      </c>
      <c r="BK1766" s="27" t="str">
        <f t="shared" si="894"/>
        <v/>
      </c>
      <c r="BL1766" s="27" t="str">
        <f t="shared" si="895"/>
        <v/>
      </c>
      <c r="BM1766" s="21" t="s">
        <v>3790</v>
      </c>
    </row>
    <row r="1767" spans="1:65" ht="15">
      <c r="A1767" s="25" t="str">
        <f>IFERROR(INDEX(#REF!,MATCH(O1767,#REF!,0)),"")</f>
        <v/>
      </c>
      <c r="B1767" s="25" t="str">
        <f>IFERROR(INDEX(#REF!,MATCH(O1767,#REF!,0)),"")</f>
        <v/>
      </c>
      <c r="C1767" s="25" t="str">
        <f>IFERROR(INDEX(#REF!,MATCH(O1767,#REF!,0)),"")</f>
        <v/>
      </c>
      <c r="D1767" s="25" t="str">
        <f>IFERROR(INDEX(#REF!,MATCH(O1767,#REF!,0)),"")</f>
        <v/>
      </c>
      <c r="E1767" s="25" t="str">
        <f>IFERROR(INDEX(#REF!,MATCH(O1767,#REF!,0)),"")</f>
        <v/>
      </c>
      <c r="F1767" s="25" t="str">
        <f>IFERROR(INDEX(#REF!,MATCH(O1767,#REF!,0)),"")</f>
        <v/>
      </c>
      <c r="G1767" s="25" t="str">
        <f>IFERROR(INDEX(#REF!,MATCH(O1767,#REF!,0)),"")</f>
        <v/>
      </c>
      <c r="H1767" s="25" t="str">
        <f>IFERROR(INDEX(#REF!,MATCH(O1767,#REF!,0)),"")</f>
        <v/>
      </c>
      <c r="I1767" s="25" t="str">
        <f>IFERROR(INDEX(#REF!,MATCH(O1767,#REF!,0)),"")</f>
        <v/>
      </c>
      <c r="J1767" s="25" t="str">
        <f>IFERROR(INDEX(#REF!,MATCH(O1767,#REF!,0)),"")</f>
        <v/>
      </c>
      <c r="K1767" s="25" t="str">
        <f>IFERROR(INDEX(#REF!,MATCH(O1767,#REF!,0)),"")</f>
        <v/>
      </c>
      <c r="L1767" s="25" t="str">
        <f>IFERROR(INDEX(#REF!,MATCH(O1767,#REF!,0)),"")</f>
        <v/>
      </c>
      <c r="P1767" s="27" t="str">
        <f>IFERROR(INDEX(#REF!,MATCH($O1767,#REF!,0)),"")</f>
        <v/>
      </c>
      <c r="Q1767" s="27" t="str">
        <f>IFERROR(INDEX(#REF!,MATCH($O1767,#REF!,0)),"")</f>
        <v/>
      </c>
      <c r="R1767" s="52" t="str">
        <f>IFERROR(IF(AR1768=AR1767,INDEX(#REF!,MATCH($O1767,#REF!,0))-IF(AN1767="",0,AN1767)+AP1768,INDEX(#REF!,MATCH($O1767,#REF!,0))-IF(AN1767="",0,AN1767)),"")</f>
        <v/>
      </c>
      <c r="S1767" s="53" t="str">
        <f t="shared" si="868"/>
        <v/>
      </c>
      <c r="T1767" s="52" t="str">
        <f t="shared" si="869"/>
        <v/>
      </c>
      <c r="U1767" s="52" t="str">
        <f>IFERROR(IF(AR1768=AR1767,INDEX(#REF!,MATCH($O1767,#REF!,0))-IF(AN1767="",0,AN1767)+AP1768,INDEX(#REF!,MATCH($O1767,#REF!,0))-IF(AN1767="",0,AN1767)),"")</f>
        <v/>
      </c>
      <c r="V1767" s="53" t="str">
        <f t="shared" si="870"/>
        <v/>
      </c>
      <c r="W1767" s="52" t="str">
        <f t="shared" si="871"/>
        <v/>
      </c>
      <c r="X1767" s="52" t="str">
        <f>IFERROR(IF(AND(AR1768=AR1767,AM1767&lt;&gt;""),INDEX(#REF!,MATCH($O1767,#REF!,0))-IF(AN1767="",0,AN1767)+AP1768+AD1767+AL1767,IF(AR1768=AR1767,INDEX(#REF!,MATCH($O1767,#REF!,0))-IF(AN1767="",0,AN1767)+AP1768+AD1767,IF(AM1767&lt;&gt;"",INDEX(#REF!,MATCH($O1767,#REF!,0))-IF(AN1767="",0,AN1767)+AD1767+AL1767,INDEX(#REF!,MATCH($O1767,#REF!,0))-IF(AN1767="",0,AN1767)+AD1767))),"")</f>
        <v/>
      </c>
      <c r="Y1767" s="53" t="str">
        <f t="shared" si="872"/>
        <v/>
      </c>
      <c r="Z1767" s="52" t="str">
        <f>IF(L1767="","",INDEX(#REF!,MATCH($O1767,#REF!,0)))</f>
        <v/>
      </c>
      <c r="AA1767" s="52" t="str">
        <f t="shared" si="873"/>
        <v/>
      </c>
      <c r="AB1767" s="52" t="str">
        <f>IFERROR(INDEX(#REF!,MATCH($O1767,#REF!,0)),"")</f>
        <v/>
      </c>
      <c r="AC1767" s="52" t="str">
        <f>IFERROR(IF(O1767="","",SUMIFS('CPL Mats'!F:F,'CPL Mats'!Q:Q,AR1767,'CPL Mats'!S:S,AS1767)),"")</f>
        <v/>
      </c>
      <c r="AF1767" s="25" t="e">
        <f>IF(SUMIFS(#REF!,#REF!,"Releasable",#REF!,O1767)=0,"",SUMIFS(#REF!,#REF!,"Releasable",#REF!,O1767))</f>
        <v>#REF!</v>
      </c>
      <c r="AG1767" s="25" t="str">
        <f>IFERROR(INDEX(#REF!,MATCH(O1767,#REF!,0)),"")</f>
        <v/>
      </c>
      <c r="AH1767" s="25" t="str">
        <f>IFERROR(INDEX(#REF!,MATCH($O1767,#REF!,0)),"")</f>
        <v/>
      </c>
      <c r="AI1767" s="25" t="e">
        <f>IF(SUMIFS(#REF!,#REF!,"Expires this month",#REF!,O1767)=0,"",SUMIFS(#REF!,#REF!,"Expires this month",#REF!,O1767))</f>
        <v>#REF!</v>
      </c>
      <c r="AJ1767" s="25" t="e">
        <f>IF(SUMIFS(#REF!,#REF!,"Expired Previous Months",#REF!,O1767)=0,"",SUMIFS(#REF!,#REF!,"Expired Previous Months",#REF!,O1767))</f>
        <v>#REF!</v>
      </c>
      <c r="AK1767" s="25" t="str">
        <f>IFERROR(INDEX('Hun Release Current'!B:B,MATCH(O1767,'Hun Release Current'!A:A,0)),"")</f>
        <v/>
      </c>
      <c r="AL1767" s="25" t="str">
        <f>IF(SUMIF('Prev Aub'!A:A,O1767,'Prev Aub'!B:B)=0,"",SUMIF('Prev Aub'!A:A,O1767,'Prev Aub'!B:B))</f>
        <v/>
      </c>
      <c r="AN1767" s="25" t="s">
        <v>3790</v>
      </c>
      <c r="AO1767" s="25" t="s">
        <v>3790</v>
      </c>
      <c r="AP1767" s="25" t="str">
        <f t="shared" si="874"/>
        <v/>
      </c>
      <c r="AQ1767" s="151" t="e">
        <f>IF(SUMIFS(#REF!,#REF!,O1767,#REF!,"PENDING")=0,"",SUMIFS(#REF!,#REF!,O1767,#REF!,"PENDING"))</f>
        <v>#REF!</v>
      </c>
      <c r="AR1767" s="27" t="str">
        <f t="shared" si="875"/>
        <v/>
      </c>
      <c r="AS1767" s="27" t="str">
        <f t="shared" si="876"/>
        <v/>
      </c>
      <c r="AT1767" s="27" t="str">
        <f t="shared" si="877"/>
        <v/>
      </c>
      <c r="AU1767" s="27" t="str">
        <f t="shared" si="878"/>
        <v/>
      </c>
      <c r="AV1767" s="27" t="str">
        <f t="shared" si="879"/>
        <v/>
      </c>
      <c r="AW1767" s="27" t="e">
        <f t="shared" si="880"/>
        <v>#REF!</v>
      </c>
      <c r="AX1767" s="27" t="e">
        <f t="shared" si="881"/>
        <v>#REF!</v>
      </c>
      <c r="AY1767" s="27" t="str">
        <f t="shared" si="882"/>
        <v/>
      </c>
      <c r="AZ1767" s="27" t="str">
        <f t="shared" si="883"/>
        <v/>
      </c>
      <c r="BA1767" s="27" t="str">
        <f t="shared" si="884"/>
        <v/>
      </c>
      <c r="BB1767" s="27" t="str">
        <f t="shared" si="885"/>
        <v/>
      </c>
      <c r="BC1767" s="27" t="str">
        <f t="shared" si="886"/>
        <v/>
      </c>
      <c r="BD1767" s="27" t="str">
        <f t="shared" si="887"/>
        <v/>
      </c>
      <c r="BE1767" s="27" t="str">
        <f t="shared" si="888"/>
        <v/>
      </c>
      <c r="BF1767" s="27" t="str">
        <f t="shared" si="889"/>
        <v/>
      </c>
      <c r="BG1767" s="27" t="str">
        <f t="shared" si="890"/>
        <v/>
      </c>
      <c r="BH1767" s="27" t="str">
        <f t="shared" si="891"/>
        <v/>
      </c>
      <c r="BI1767" s="27" t="str">
        <f t="shared" si="892"/>
        <v/>
      </c>
      <c r="BJ1767" s="27" t="str">
        <f t="shared" si="893"/>
        <v/>
      </c>
      <c r="BK1767" s="27" t="str">
        <f t="shared" si="894"/>
        <v/>
      </c>
      <c r="BL1767" s="27" t="str">
        <f t="shared" si="895"/>
        <v/>
      </c>
      <c r="BM1767" s="21" t="s">
        <v>3790</v>
      </c>
    </row>
    <row r="1768" spans="1:65" ht="15">
      <c r="A1768" s="25" t="str">
        <f>IFERROR(INDEX(#REF!,MATCH(O1768,#REF!,0)),"")</f>
        <v/>
      </c>
      <c r="B1768" s="25" t="str">
        <f>IFERROR(INDEX(#REF!,MATCH(O1768,#REF!,0)),"")</f>
        <v/>
      </c>
      <c r="C1768" s="25" t="str">
        <f>IFERROR(INDEX(#REF!,MATCH(O1768,#REF!,0)),"")</f>
        <v/>
      </c>
      <c r="D1768" s="25" t="str">
        <f>IFERROR(INDEX(#REF!,MATCH(O1768,#REF!,0)),"")</f>
        <v/>
      </c>
      <c r="E1768" s="25" t="str">
        <f>IFERROR(INDEX(#REF!,MATCH(O1768,#REF!,0)),"")</f>
        <v/>
      </c>
      <c r="F1768" s="25" t="str">
        <f>IFERROR(INDEX(#REF!,MATCH(O1768,#REF!,0)),"")</f>
        <v/>
      </c>
      <c r="G1768" s="25" t="str">
        <f>IFERROR(INDEX(#REF!,MATCH(O1768,#REF!,0)),"")</f>
        <v/>
      </c>
      <c r="H1768" s="25" t="str">
        <f>IFERROR(INDEX(#REF!,MATCH(O1768,#REF!,0)),"")</f>
        <v/>
      </c>
      <c r="I1768" s="25" t="str">
        <f>IFERROR(INDEX(#REF!,MATCH(O1768,#REF!,0)),"")</f>
        <v/>
      </c>
      <c r="J1768" s="25" t="str">
        <f>IFERROR(INDEX(#REF!,MATCH(O1768,#REF!,0)),"")</f>
        <v/>
      </c>
      <c r="K1768" s="25" t="str">
        <f>IFERROR(INDEX(#REF!,MATCH(O1768,#REF!,0)),"")</f>
        <v/>
      </c>
      <c r="L1768" s="25" t="str">
        <f>IFERROR(INDEX(#REF!,MATCH(O1768,#REF!,0)),"")</f>
        <v/>
      </c>
      <c r="P1768" s="27" t="str">
        <f>IFERROR(INDEX(#REF!,MATCH($O1768,#REF!,0)),"")</f>
        <v/>
      </c>
      <c r="Q1768" s="27" t="str">
        <f>IFERROR(INDEX(#REF!,MATCH($O1768,#REF!,0)),"")</f>
        <v/>
      </c>
      <c r="R1768" s="52" t="str">
        <f>IFERROR(IF(AR1769=AR1768,INDEX(#REF!,MATCH($O1768,#REF!,0))-IF(AN1768="",0,AN1768)+AP1769,INDEX(#REF!,MATCH($O1768,#REF!,0))-IF(AN1768="",0,AN1768)),"")</f>
        <v/>
      </c>
      <c r="S1768" s="53" t="str">
        <f t="shared" si="868"/>
        <v/>
      </c>
      <c r="T1768" s="52" t="str">
        <f t="shared" si="869"/>
        <v/>
      </c>
      <c r="U1768" s="52" t="str">
        <f>IFERROR(IF(AR1769=AR1768,INDEX(#REF!,MATCH($O1768,#REF!,0))-IF(AN1768="",0,AN1768)+AP1769,INDEX(#REF!,MATCH($O1768,#REF!,0))-IF(AN1768="",0,AN1768)),"")</f>
        <v/>
      </c>
      <c r="V1768" s="53" t="str">
        <f t="shared" si="870"/>
        <v/>
      </c>
      <c r="W1768" s="52" t="str">
        <f t="shared" si="871"/>
        <v/>
      </c>
      <c r="X1768" s="52" t="str">
        <f>IFERROR(IF(AND(AR1769=AR1768,AM1768&lt;&gt;""),INDEX(#REF!,MATCH($O1768,#REF!,0))-IF(AN1768="",0,AN1768)+AP1769+AD1768+AL1768,IF(AR1769=AR1768,INDEX(#REF!,MATCH($O1768,#REF!,0))-IF(AN1768="",0,AN1768)+AP1769+AD1768,IF(AM1768&lt;&gt;"",INDEX(#REF!,MATCH($O1768,#REF!,0))-IF(AN1768="",0,AN1768)+AD1768+AL1768,INDEX(#REF!,MATCH($O1768,#REF!,0))-IF(AN1768="",0,AN1768)+AD1768))),"")</f>
        <v/>
      </c>
      <c r="Y1768" s="53" t="str">
        <f t="shared" si="872"/>
        <v/>
      </c>
      <c r="Z1768" s="52" t="str">
        <f>IF(L1768="","",INDEX(#REF!,MATCH($O1768,#REF!,0)))</f>
        <v/>
      </c>
      <c r="AA1768" s="52" t="str">
        <f t="shared" si="873"/>
        <v/>
      </c>
      <c r="AB1768" s="52" t="str">
        <f>IFERROR(INDEX(#REF!,MATCH($O1768,#REF!,0)),"")</f>
        <v/>
      </c>
      <c r="AC1768" s="52" t="str">
        <f>IFERROR(IF(O1768="","",SUMIFS('CPL Mats'!F:F,'CPL Mats'!Q:Q,AR1768,'CPL Mats'!S:S,AS1768)),"")</f>
        <v/>
      </c>
      <c r="AF1768" s="25" t="e">
        <f>IF(SUMIFS(#REF!,#REF!,"Releasable",#REF!,O1768)=0,"",SUMIFS(#REF!,#REF!,"Releasable",#REF!,O1768))</f>
        <v>#REF!</v>
      </c>
      <c r="AG1768" s="25" t="str">
        <f>IFERROR(INDEX(#REF!,MATCH(O1768,#REF!,0)),"")</f>
        <v/>
      </c>
      <c r="AH1768" s="25" t="str">
        <f>IFERROR(INDEX(#REF!,MATCH($O1768,#REF!,0)),"")</f>
        <v/>
      </c>
      <c r="AI1768" s="25" t="e">
        <f>IF(SUMIFS(#REF!,#REF!,"Expires this month",#REF!,O1768)=0,"",SUMIFS(#REF!,#REF!,"Expires this month",#REF!,O1768))</f>
        <v>#REF!</v>
      </c>
      <c r="AJ1768" s="25" t="e">
        <f>IF(SUMIFS(#REF!,#REF!,"Expired Previous Months",#REF!,O1768)=0,"",SUMIFS(#REF!,#REF!,"Expired Previous Months",#REF!,O1768))</f>
        <v>#REF!</v>
      </c>
      <c r="AK1768" s="25" t="str">
        <f>IFERROR(INDEX('Hun Release Current'!B:B,MATCH(O1768,'Hun Release Current'!A:A,0)),"")</f>
        <v/>
      </c>
      <c r="AL1768" s="25" t="str">
        <f>IF(SUMIF('Prev Aub'!A:A,O1768,'Prev Aub'!B:B)=0,"",SUMIF('Prev Aub'!A:A,O1768,'Prev Aub'!B:B))</f>
        <v/>
      </c>
      <c r="AN1768" s="25" t="s">
        <v>3790</v>
      </c>
      <c r="AO1768" s="25" t="s">
        <v>3790</v>
      </c>
      <c r="AP1768" s="25" t="str">
        <f t="shared" si="874"/>
        <v/>
      </c>
      <c r="AQ1768" s="151" t="e">
        <f>IF(SUMIFS(#REF!,#REF!,O1768,#REF!,"PENDING")=0,"",SUMIFS(#REF!,#REF!,O1768,#REF!,"PENDING"))</f>
        <v>#REF!</v>
      </c>
      <c r="AR1768" s="27" t="str">
        <f t="shared" si="875"/>
        <v/>
      </c>
      <c r="AS1768" s="27" t="str">
        <f t="shared" si="876"/>
        <v/>
      </c>
      <c r="AT1768" s="27" t="str">
        <f t="shared" si="877"/>
        <v/>
      </c>
      <c r="AU1768" s="27" t="str">
        <f t="shared" si="878"/>
        <v/>
      </c>
      <c r="AV1768" s="27" t="str">
        <f t="shared" si="879"/>
        <v/>
      </c>
      <c r="AW1768" s="27" t="e">
        <f t="shared" si="880"/>
        <v>#REF!</v>
      </c>
      <c r="AX1768" s="27" t="e">
        <f t="shared" si="881"/>
        <v>#REF!</v>
      </c>
      <c r="AY1768" s="27" t="str">
        <f t="shared" si="882"/>
        <v/>
      </c>
      <c r="AZ1768" s="27" t="str">
        <f t="shared" si="883"/>
        <v/>
      </c>
      <c r="BA1768" s="27" t="str">
        <f t="shared" si="884"/>
        <v/>
      </c>
      <c r="BB1768" s="27" t="str">
        <f t="shared" si="885"/>
        <v/>
      </c>
      <c r="BC1768" s="27" t="str">
        <f t="shared" si="886"/>
        <v/>
      </c>
      <c r="BD1768" s="27" t="str">
        <f t="shared" si="887"/>
        <v/>
      </c>
      <c r="BE1768" s="27" t="str">
        <f t="shared" si="888"/>
        <v/>
      </c>
      <c r="BF1768" s="27" t="str">
        <f t="shared" si="889"/>
        <v/>
      </c>
      <c r="BG1768" s="27" t="str">
        <f t="shared" si="890"/>
        <v/>
      </c>
      <c r="BH1768" s="27" t="str">
        <f t="shared" si="891"/>
        <v/>
      </c>
      <c r="BI1768" s="27" t="str">
        <f t="shared" si="892"/>
        <v/>
      </c>
      <c r="BJ1768" s="27" t="str">
        <f t="shared" si="893"/>
        <v/>
      </c>
      <c r="BK1768" s="27" t="str">
        <f t="shared" si="894"/>
        <v/>
      </c>
      <c r="BL1768" s="27" t="str">
        <f t="shared" si="895"/>
        <v/>
      </c>
      <c r="BM1768" s="21" t="s">
        <v>3790</v>
      </c>
    </row>
    <row r="1769" spans="1:65" ht="15">
      <c r="A1769" s="25" t="str">
        <f>IFERROR(INDEX(#REF!,MATCH(O1769,#REF!,0)),"")</f>
        <v/>
      </c>
      <c r="B1769" s="25" t="str">
        <f>IFERROR(INDEX(#REF!,MATCH(O1769,#REF!,0)),"")</f>
        <v/>
      </c>
      <c r="C1769" s="25" t="str">
        <f>IFERROR(INDEX(#REF!,MATCH(O1769,#REF!,0)),"")</f>
        <v/>
      </c>
      <c r="D1769" s="25" t="str">
        <f>IFERROR(INDEX(#REF!,MATCH(O1769,#REF!,0)),"")</f>
        <v/>
      </c>
      <c r="E1769" s="25" t="str">
        <f>IFERROR(INDEX(#REF!,MATCH(O1769,#REF!,0)),"")</f>
        <v/>
      </c>
      <c r="F1769" s="25" t="str">
        <f>IFERROR(INDEX(#REF!,MATCH(O1769,#REF!,0)),"")</f>
        <v/>
      </c>
      <c r="G1769" s="25" t="str">
        <f>IFERROR(INDEX(#REF!,MATCH(O1769,#REF!,0)),"")</f>
        <v/>
      </c>
      <c r="H1769" s="25" t="str">
        <f>IFERROR(INDEX(#REF!,MATCH(O1769,#REF!,0)),"")</f>
        <v/>
      </c>
      <c r="I1769" s="25" t="str">
        <f>IFERROR(INDEX(#REF!,MATCH(O1769,#REF!,0)),"")</f>
        <v/>
      </c>
      <c r="J1769" s="25" t="str">
        <f>IFERROR(INDEX(#REF!,MATCH(O1769,#REF!,0)),"")</f>
        <v/>
      </c>
      <c r="K1769" s="25" t="str">
        <f>IFERROR(INDEX(#REF!,MATCH(O1769,#REF!,0)),"")</f>
        <v/>
      </c>
      <c r="L1769" s="25" t="str">
        <f>IFERROR(INDEX(#REF!,MATCH(O1769,#REF!,0)),"")</f>
        <v/>
      </c>
      <c r="P1769" s="27" t="str">
        <f>IFERROR(INDEX(#REF!,MATCH($O1769,#REF!,0)),"")</f>
        <v/>
      </c>
      <c r="Q1769" s="27" t="str">
        <f>IFERROR(INDEX(#REF!,MATCH($O1769,#REF!,0)),"")</f>
        <v/>
      </c>
      <c r="R1769" s="52" t="str">
        <f>IFERROR(IF(AR1770=AR1769,INDEX(#REF!,MATCH($O1769,#REF!,0))-IF(AN1769="",0,AN1769)+AP1770,INDEX(#REF!,MATCH($O1769,#REF!,0))-IF(AN1769="",0,AN1769)),"")</f>
        <v/>
      </c>
      <c r="S1769" s="53" t="str">
        <f t="shared" si="868"/>
        <v/>
      </c>
      <c r="T1769" s="52" t="str">
        <f t="shared" si="869"/>
        <v/>
      </c>
      <c r="U1769" s="52" t="str">
        <f>IFERROR(IF(AR1770=AR1769,INDEX(#REF!,MATCH($O1769,#REF!,0))-IF(AN1769="",0,AN1769)+AP1770,INDEX(#REF!,MATCH($O1769,#REF!,0))-IF(AN1769="",0,AN1769)),"")</f>
        <v/>
      </c>
      <c r="V1769" s="53" t="str">
        <f t="shared" si="870"/>
        <v/>
      </c>
      <c r="W1769" s="52" t="str">
        <f t="shared" si="871"/>
        <v/>
      </c>
      <c r="X1769" s="52" t="str">
        <f>IFERROR(IF(AND(AR1770=AR1769,AM1769&lt;&gt;""),INDEX(#REF!,MATCH($O1769,#REF!,0))-IF(AN1769="",0,AN1769)+AP1770+AD1769+AL1769,IF(AR1770=AR1769,INDEX(#REF!,MATCH($O1769,#REF!,0))-IF(AN1769="",0,AN1769)+AP1770+AD1769,IF(AM1769&lt;&gt;"",INDEX(#REF!,MATCH($O1769,#REF!,0))-IF(AN1769="",0,AN1769)+AD1769+AL1769,INDEX(#REF!,MATCH($O1769,#REF!,0))-IF(AN1769="",0,AN1769)+AD1769))),"")</f>
        <v/>
      </c>
      <c r="Y1769" s="53" t="str">
        <f t="shared" si="872"/>
        <v/>
      </c>
      <c r="Z1769" s="52" t="str">
        <f>IF(L1769="","",INDEX(#REF!,MATCH($O1769,#REF!,0)))</f>
        <v/>
      </c>
      <c r="AA1769" s="52" t="str">
        <f t="shared" si="873"/>
        <v/>
      </c>
      <c r="AB1769" s="52" t="str">
        <f>IFERROR(INDEX(#REF!,MATCH($O1769,#REF!,0)),"")</f>
        <v/>
      </c>
      <c r="AC1769" s="52" t="str">
        <f>IFERROR(IF(O1769="","",SUMIFS('CPL Mats'!F:F,'CPL Mats'!Q:Q,AR1769,'CPL Mats'!S:S,AS1769)),"")</f>
        <v/>
      </c>
      <c r="AF1769" s="25" t="e">
        <f>IF(SUMIFS(#REF!,#REF!,"Releasable",#REF!,O1769)=0,"",SUMIFS(#REF!,#REF!,"Releasable",#REF!,O1769))</f>
        <v>#REF!</v>
      </c>
      <c r="AG1769" s="25" t="str">
        <f>IFERROR(INDEX(#REF!,MATCH(O1769,#REF!,0)),"")</f>
        <v/>
      </c>
      <c r="AH1769" s="25" t="str">
        <f>IFERROR(INDEX(#REF!,MATCH($O1769,#REF!,0)),"")</f>
        <v/>
      </c>
      <c r="AI1769" s="25" t="e">
        <f>IF(SUMIFS(#REF!,#REF!,"Expires this month",#REF!,O1769)=0,"",SUMIFS(#REF!,#REF!,"Expires this month",#REF!,O1769))</f>
        <v>#REF!</v>
      </c>
      <c r="AJ1769" s="25" t="e">
        <f>IF(SUMIFS(#REF!,#REF!,"Expired Previous Months",#REF!,O1769)=0,"",SUMIFS(#REF!,#REF!,"Expired Previous Months",#REF!,O1769))</f>
        <v>#REF!</v>
      </c>
      <c r="AK1769" s="25" t="str">
        <f>IFERROR(INDEX('Hun Release Current'!B:B,MATCH(O1769,'Hun Release Current'!A:A,0)),"")</f>
        <v/>
      </c>
      <c r="AL1769" s="25" t="str">
        <f>IF(SUMIF('Prev Aub'!A:A,O1769,'Prev Aub'!B:B)=0,"",SUMIF('Prev Aub'!A:A,O1769,'Prev Aub'!B:B))</f>
        <v/>
      </c>
      <c r="AN1769" s="25" t="s">
        <v>3790</v>
      </c>
      <c r="AO1769" s="25" t="s">
        <v>3790</v>
      </c>
      <c r="AP1769" s="25" t="str">
        <f t="shared" si="874"/>
        <v/>
      </c>
      <c r="AQ1769" s="151" t="e">
        <f>IF(SUMIFS(#REF!,#REF!,O1769,#REF!,"PENDING")=0,"",SUMIFS(#REF!,#REF!,O1769,#REF!,"PENDING"))</f>
        <v>#REF!</v>
      </c>
      <c r="AR1769" s="27" t="str">
        <f t="shared" si="875"/>
        <v/>
      </c>
      <c r="AS1769" s="27" t="str">
        <f t="shared" si="876"/>
        <v/>
      </c>
      <c r="AT1769" s="27" t="str">
        <f t="shared" si="877"/>
        <v/>
      </c>
      <c r="AU1769" s="27" t="str">
        <f t="shared" si="878"/>
        <v/>
      </c>
      <c r="AV1769" s="27" t="str">
        <f t="shared" si="879"/>
        <v/>
      </c>
      <c r="AW1769" s="27" t="e">
        <f t="shared" si="880"/>
        <v>#REF!</v>
      </c>
      <c r="AX1769" s="27" t="e">
        <f t="shared" si="881"/>
        <v>#REF!</v>
      </c>
      <c r="AY1769" s="27" t="str">
        <f t="shared" si="882"/>
        <v/>
      </c>
      <c r="AZ1769" s="27" t="str">
        <f t="shared" si="883"/>
        <v/>
      </c>
      <c r="BA1769" s="27" t="str">
        <f t="shared" si="884"/>
        <v/>
      </c>
      <c r="BB1769" s="27" t="str">
        <f t="shared" si="885"/>
        <v/>
      </c>
      <c r="BC1769" s="27" t="str">
        <f t="shared" si="886"/>
        <v/>
      </c>
      <c r="BD1769" s="27" t="str">
        <f t="shared" si="887"/>
        <v/>
      </c>
      <c r="BE1769" s="27" t="str">
        <f t="shared" si="888"/>
        <v/>
      </c>
      <c r="BF1769" s="27" t="str">
        <f t="shared" si="889"/>
        <v/>
      </c>
      <c r="BG1769" s="27" t="str">
        <f t="shared" si="890"/>
        <v/>
      </c>
      <c r="BH1769" s="27" t="str">
        <f t="shared" si="891"/>
        <v/>
      </c>
      <c r="BI1769" s="27" t="str">
        <f t="shared" si="892"/>
        <v/>
      </c>
      <c r="BJ1769" s="27" t="str">
        <f t="shared" si="893"/>
        <v/>
      </c>
      <c r="BK1769" s="27" t="str">
        <f t="shared" si="894"/>
        <v/>
      </c>
      <c r="BL1769" s="27" t="str">
        <f t="shared" si="895"/>
        <v/>
      </c>
      <c r="BM1769" s="21" t="s">
        <v>3790</v>
      </c>
    </row>
    <row r="1770" spans="1:65" ht="15">
      <c r="A1770" s="25" t="str">
        <f>IFERROR(INDEX(#REF!,MATCH(O1770,#REF!,0)),"")</f>
        <v/>
      </c>
      <c r="B1770" s="25" t="str">
        <f>IFERROR(INDEX(#REF!,MATCH(O1770,#REF!,0)),"")</f>
        <v/>
      </c>
      <c r="C1770" s="25" t="str">
        <f>IFERROR(INDEX(#REF!,MATCH(O1770,#REF!,0)),"")</f>
        <v/>
      </c>
      <c r="D1770" s="25" t="str">
        <f>IFERROR(INDEX(#REF!,MATCH(O1770,#REF!,0)),"")</f>
        <v/>
      </c>
      <c r="E1770" s="25" t="str">
        <f>IFERROR(INDEX(#REF!,MATCH(O1770,#REF!,0)),"")</f>
        <v/>
      </c>
      <c r="F1770" s="25" t="str">
        <f>IFERROR(INDEX(#REF!,MATCH(O1770,#REF!,0)),"")</f>
        <v/>
      </c>
      <c r="G1770" s="25" t="str">
        <f>IFERROR(INDEX(#REF!,MATCH(O1770,#REF!,0)),"")</f>
        <v/>
      </c>
      <c r="H1770" s="25" t="str">
        <f>IFERROR(INDEX(#REF!,MATCH(O1770,#REF!,0)),"")</f>
        <v/>
      </c>
      <c r="I1770" s="25" t="str">
        <f>IFERROR(INDEX(#REF!,MATCH(O1770,#REF!,0)),"")</f>
        <v/>
      </c>
      <c r="J1770" s="25" t="str">
        <f>IFERROR(INDEX(#REF!,MATCH(O1770,#REF!,0)),"")</f>
        <v/>
      </c>
      <c r="K1770" s="25" t="str">
        <f>IFERROR(INDEX(#REF!,MATCH(O1770,#REF!,0)),"")</f>
        <v/>
      </c>
      <c r="L1770" s="25" t="str">
        <f>IFERROR(INDEX(#REF!,MATCH(O1770,#REF!,0)),"")</f>
        <v/>
      </c>
      <c r="P1770" s="27" t="str">
        <f>IFERROR(INDEX(#REF!,MATCH($O1770,#REF!,0)),"")</f>
        <v/>
      </c>
      <c r="Q1770" s="27" t="str">
        <f>IFERROR(INDEX(#REF!,MATCH($O1770,#REF!,0)),"")</f>
        <v/>
      </c>
      <c r="R1770" s="52" t="str">
        <f>IFERROR(IF(AR1771=AR1770,INDEX(#REF!,MATCH($O1770,#REF!,0))-IF(AN1770="",0,AN1770)+AP1771,INDEX(#REF!,MATCH($O1770,#REF!,0))-IF(AN1770="",0,AN1770)),"")</f>
        <v/>
      </c>
      <c r="S1770" s="53" t="str">
        <f t="shared" si="868"/>
        <v/>
      </c>
      <c r="T1770" s="52" t="str">
        <f t="shared" si="869"/>
        <v/>
      </c>
      <c r="U1770" s="52" t="str">
        <f>IFERROR(IF(AR1771=AR1770,INDEX(#REF!,MATCH($O1770,#REF!,0))-IF(AN1770="",0,AN1770)+AP1771,INDEX(#REF!,MATCH($O1770,#REF!,0))-IF(AN1770="",0,AN1770)),"")</f>
        <v/>
      </c>
      <c r="V1770" s="53" t="str">
        <f t="shared" si="870"/>
        <v/>
      </c>
      <c r="W1770" s="52" t="str">
        <f t="shared" si="871"/>
        <v/>
      </c>
      <c r="X1770" s="52" t="str">
        <f>IFERROR(IF(AND(AR1771=AR1770,AM1770&lt;&gt;""),INDEX(#REF!,MATCH($O1770,#REF!,0))-IF(AN1770="",0,AN1770)+AP1771+AD1770+AL1770,IF(AR1771=AR1770,INDEX(#REF!,MATCH($O1770,#REF!,0))-IF(AN1770="",0,AN1770)+AP1771+AD1770,IF(AM1770&lt;&gt;"",INDEX(#REF!,MATCH($O1770,#REF!,0))-IF(AN1770="",0,AN1770)+AD1770+AL1770,INDEX(#REF!,MATCH($O1770,#REF!,0))-IF(AN1770="",0,AN1770)+AD1770))),"")</f>
        <v/>
      </c>
      <c r="Y1770" s="53" t="str">
        <f t="shared" si="872"/>
        <v/>
      </c>
      <c r="Z1770" s="52" t="str">
        <f>IF(L1770="","",INDEX(#REF!,MATCH($O1770,#REF!,0)))</f>
        <v/>
      </c>
      <c r="AA1770" s="52" t="str">
        <f t="shared" si="873"/>
        <v/>
      </c>
      <c r="AB1770" s="52" t="str">
        <f>IFERROR(INDEX(#REF!,MATCH($O1770,#REF!,0)),"")</f>
        <v/>
      </c>
      <c r="AC1770" s="52" t="str">
        <f>IFERROR(IF(O1770="","",SUMIFS('CPL Mats'!F:F,'CPL Mats'!Q:Q,AR1770,'CPL Mats'!S:S,AS1770)),"")</f>
        <v/>
      </c>
      <c r="AF1770" s="25" t="e">
        <f>IF(SUMIFS(#REF!,#REF!,"Releasable",#REF!,O1770)=0,"",SUMIFS(#REF!,#REF!,"Releasable",#REF!,O1770))</f>
        <v>#REF!</v>
      </c>
      <c r="AG1770" s="25" t="str">
        <f>IFERROR(INDEX(#REF!,MATCH(O1770,#REF!,0)),"")</f>
        <v/>
      </c>
      <c r="AH1770" s="25" t="str">
        <f>IFERROR(INDEX(#REF!,MATCH($O1770,#REF!,0)),"")</f>
        <v/>
      </c>
      <c r="AI1770" s="25" t="e">
        <f>IF(SUMIFS(#REF!,#REF!,"Expires this month",#REF!,O1770)=0,"",SUMIFS(#REF!,#REF!,"Expires this month",#REF!,O1770))</f>
        <v>#REF!</v>
      </c>
      <c r="AJ1770" s="25" t="e">
        <f>IF(SUMIFS(#REF!,#REF!,"Expired Previous Months",#REF!,O1770)=0,"",SUMIFS(#REF!,#REF!,"Expired Previous Months",#REF!,O1770))</f>
        <v>#REF!</v>
      </c>
      <c r="AK1770" s="25" t="str">
        <f>IFERROR(INDEX('Hun Release Current'!B:B,MATCH(O1770,'Hun Release Current'!A:A,0)),"")</f>
        <v/>
      </c>
      <c r="AL1770" s="25" t="str">
        <f>IF(SUMIF('Prev Aub'!A:A,O1770,'Prev Aub'!B:B)=0,"",SUMIF('Prev Aub'!A:A,O1770,'Prev Aub'!B:B))</f>
        <v/>
      </c>
      <c r="AN1770" s="25" t="s">
        <v>3790</v>
      </c>
      <c r="AO1770" s="25" t="s">
        <v>3790</v>
      </c>
      <c r="AP1770" s="25" t="str">
        <f t="shared" si="874"/>
        <v/>
      </c>
      <c r="AQ1770" s="151" t="e">
        <f>IF(SUMIFS(#REF!,#REF!,O1770,#REF!,"PENDING")=0,"",SUMIFS(#REF!,#REF!,O1770,#REF!,"PENDING"))</f>
        <v>#REF!</v>
      </c>
      <c r="AR1770" s="27" t="str">
        <f t="shared" si="875"/>
        <v/>
      </c>
      <c r="AS1770" s="27" t="str">
        <f t="shared" si="876"/>
        <v/>
      </c>
      <c r="AT1770" s="27" t="str">
        <f t="shared" si="877"/>
        <v/>
      </c>
      <c r="AU1770" s="27" t="str">
        <f t="shared" si="878"/>
        <v/>
      </c>
      <c r="AV1770" s="27" t="str">
        <f t="shared" si="879"/>
        <v/>
      </c>
      <c r="AW1770" s="27" t="e">
        <f t="shared" si="880"/>
        <v>#REF!</v>
      </c>
      <c r="AX1770" s="27" t="e">
        <f t="shared" si="881"/>
        <v>#REF!</v>
      </c>
      <c r="AY1770" s="27" t="str">
        <f t="shared" si="882"/>
        <v/>
      </c>
      <c r="AZ1770" s="27" t="str">
        <f t="shared" si="883"/>
        <v/>
      </c>
      <c r="BA1770" s="27" t="str">
        <f t="shared" si="884"/>
        <v/>
      </c>
      <c r="BB1770" s="27" t="str">
        <f t="shared" si="885"/>
        <v/>
      </c>
      <c r="BC1770" s="27" t="str">
        <f t="shared" si="886"/>
        <v/>
      </c>
      <c r="BD1770" s="27" t="str">
        <f t="shared" si="887"/>
        <v/>
      </c>
      <c r="BE1770" s="27" t="str">
        <f t="shared" si="888"/>
        <v/>
      </c>
      <c r="BF1770" s="27" t="str">
        <f t="shared" si="889"/>
        <v/>
      </c>
      <c r="BG1770" s="27" t="str">
        <f t="shared" si="890"/>
        <v/>
      </c>
      <c r="BH1770" s="27" t="str">
        <f t="shared" si="891"/>
        <v/>
      </c>
      <c r="BI1770" s="27" t="str">
        <f t="shared" si="892"/>
        <v/>
      </c>
      <c r="BJ1770" s="27" t="str">
        <f t="shared" si="893"/>
        <v/>
      </c>
      <c r="BK1770" s="27" t="str">
        <f t="shared" si="894"/>
        <v/>
      </c>
      <c r="BL1770" s="27" t="str">
        <f t="shared" si="895"/>
        <v/>
      </c>
      <c r="BM1770" s="21" t="s">
        <v>3790</v>
      </c>
    </row>
    <row r="1771" spans="1:65" ht="15">
      <c r="A1771" s="25" t="str">
        <f>IFERROR(INDEX(#REF!,MATCH(O1771,#REF!,0)),"")</f>
        <v/>
      </c>
      <c r="B1771" s="25" t="str">
        <f>IFERROR(INDEX(#REF!,MATCH(O1771,#REF!,0)),"")</f>
        <v/>
      </c>
      <c r="C1771" s="25" t="str">
        <f>IFERROR(INDEX(#REF!,MATCH(O1771,#REF!,0)),"")</f>
        <v/>
      </c>
      <c r="D1771" s="25" t="str">
        <f>IFERROR(INDEX(#REF!,MATCH(O1771,#REF!,0)),"")</f>
        <v/>
      </c>
      <c r="E1771" s="25" t="str">
        <f>IFERROR(INDEX(#REF!,MATCH(O1771,#REF!,0)),"")</f>
        <v/>
      </c>
      <c r="F1771" s="25" t="str">
        <f>IFERROR(INDEX(#REF!,MATCH(O1771,#REF!,0)),"")</f>
        <v/>
      </c>
      <c r="G1771" s="25" t="str">
        <f>IFERROR(INDEX(#REF!,MATCH(O1771,#REF!,0)),"")</f>
        <v/>
      </c>
      <c r="H1771" s="25" t="str">
        <f>IFERROR(INDEX(#REF!,MATCH(O1771,#REF!,0)),"")</f>
        <v/>
      </c>
      <c r="I1771" s="25" t="str">
        <f>IFERROR(INDEX(#REF!,MATCH(O1771,#REF!,0)),"")</f>
        <v/>
      </c>
      <c r="J1771" s="25" t="str">
        <f>IFERROR(INDEX(#REF!,MATCH(O1771,#REF!,0)),"")</f>
        <v/>
      </c>
      <c r="K1771" s="25" t="str">
        <f>IFERROR(INDEX(#REF!,MATCH(O1771,#REF!,0)),"")</f>
        <v/>
      </c>
      <c r="L1771" s="25" t="str">
        <f>IFERROR(INDEX(#REF!,MATCH(O1771,#REF!,0)),"")</f>
        <v/>
      </c>
      <c r="P1771" s="27" t="str">
        <f>IFERROR(INDEX(#REF!,MATCH($O1771,#REF!,0)),"")</f>
        <v/>
      </c>
      <c r="Q1771" s="27" t="str">
        <f>IFERROR(INDEX(#REF!,MATCH($O1771,#REF!,0)),"")</f>
        <v/>
      </c>
      <c r="R1771" s="52" t="str">
        <f>IFERROR(IF(AR1772=AR1771,INDEX(#REF!,MATCH($O1771,#REF!,0))-IF(AN1771="",0,AN1771)+AP1772,INDEX(#REF!,MATCH($O1771,#REF!,0))-IF(AN1771="",0,AN1771)),"")</f>
        <v/>
      </c>
      <c r="S1771" s="53" t="str">
        <f t="shared" si="868"/>
        <v/>
      </c>
      <c r="T1771" s="52" t="str">
        <f t="shared" si="869"/>
        <v/>
      </c>
      <c r="U1771" s="52" t="str">
        <f>IFERROR(IF(AR1772=AR1771,INDEX(#REF!,MATCH($O1771,#REF!,0))-IF(AN1771="",0,AN1771)+AP1772,INDEX(#REF!,MATCH($O1771,#REF!,0))-IF(AN1771="",0,AN1771)),"")</f>
        <v/>
      </c>
      <c r="V1771" s="53" t="str">
        <f t="shared" si="870"/>
        <v/>
      </c>
      <c r="W1771" s="52" t="str">
        <f t="shared" si="871"/>
        <v/>
      </c>
      <c r="X1771" s="52" t="str">
        <f>IFERROR(IF(AND(AR1772=AR1771,AM1771&lt;&gt;""),INDEX(#REF!,MATCH($O1771,#REF!,0))-IF(AN1771="",0,AN1771)+AP1772+AD1771+AL1771,IF(AR1772=AR1771,INDEX(#REF!,MATCH($O1771,#REF!,0))-IF(AN1771="",0,AN1771)+AP1772+AD1771,IF(AM1771&lt;&gt;"",INDEX(#REF!,MATCH($O1771,#REF!,0))-IF(AN1771="",0,AN1771)+AD1771+AL1771,INDEX(#REF!,MATCH($O1771,#REF!,0))-IF(AN1771="",0,AN1771)+AD1771))),"")</f>
        <v/>
      </c>
      <c r="Y1771" s="53" t="str">
        <f t="shared" si="872"/>
        <v/>
      </c>
      <c r="Z1771" s="52" t="str">
        <f>IF(L1771="","",INDEX(#REF!,MATCH($O1771,#REF!,0)))</f>
        <v/>
      </c>
      <c r="AA1771" s="52" t="str">
        <f t="shared" si="873"/>
        <v/>
      </c>
      <c r="AB1771" s="52" t="str">
        <f>IFERROR(INDEX(#REF!,MATCH($O1771,#REF!,0)),"")</f>
        <v/>
      </c>
      <c r="AC1771" s="52" t="str">
        <f>IFERROR(IF(O1771="","",SUMIFS('CPL Mats'!F:F,'CPL Mats'!Q:Q,AR1771,'CPL Mats'!S:S,AS1771)),"")</f>
        <v/>
      </c>
      <c r="AF1771" s="25" t="e">
        <f>IF(SUMIFS(#REF!,#REF!,"Releasable",#REF!,O1771)=0,"",SUMIFS(#REF!,#REF!,"Releasable",#REF!,O1771))</f>
        <v>#REF!</v>
      </c>
      <c r="AG1771" s="25" t="str">
        <f>IFERROR(INDEX(#REF!,MATCH(O1771,#REF!,0)),"")</f>
        <v/>
      </c>
      <c r="AH1771" s="25" t="str">
        <f>IFERROR(INDEX(#REF!,MATCH($O1771,#REF!,0)),"")</f>
        <v/>
      </c>
      <c r="AI1771" s="25" t="e">
        <f>IF(SUMIFS(#REF!,#REF!,"Expires this month",#REF!,O1771)=0,"",SUMIFS(#REF!,#REF!,"Expires this month",#REF!,O1771))</f>
        <v>#REF!</v>
      </c>
      <c r="AJ1771" s="25" t="e">
        <f>IF(SUMIFS(#REF!,#REF!,"Expired Previous Months",#REF!,O1771)=0,"",SUMIFS(#REF!,#REF!,"Expired Previous Months",#REF!,O1771))</f>
        <v>#REF!</v>
      </c>
      <c r="AK1771" s="25" t="str">
        <f>IFERROR(INDEX('Hun Release Current'!B:B,MATCH(O1771,'Hun Release Current'!A:A,0)),"")</f>
        <v/>
      </c>
      <c r="AL1771" s="25" t="str">
        <f>IF(SUMIF('Prev Aub'!A:A,O1771,'Prev Aub'!B:B)=0,"",SUMIF('Prev Aub'!A:A,O1771,'Prev Aub'!B:B))</f>
        <v/>
      </c>
      <c r="AN1771" s="25" t="s">
        <v>3790</v>
      </c>
      <c r="AO1771" s="25" t="s">
        <v>3790</v>
      </c>
      <c r="AP1771" s="25" t="str">
        <f t="shared" si="874"/>
        <v/>
      </c>
      <c r="AQ1771" s="151" t="e">
        <f>IF(SUMIFS(#REF!,#REF!,O1771,#REF!,"PENDING")=0,"",SUMIFS(#REF!,#REF!,O1771,#REF!,"PENDING"))</f>
        <v>#REF!</v>
      </c>
      <c r="AR1771" s="27" t="str">
        <f t="shared" si="875"/>
        <v/>
      </c>
      <c r="AS1771" s="27" t="str">
        <f t="shared" si="876"/>
        <v/>
      </c>
      <c r="AT1771" s="27" t="str">
        <f t="shared" si="877"/>
        <v/>
      </c>
      <c r="AU1771" s="27" t="str">
        <f t="shared" si="878"/>
        <v/>
      </c>
      <c r="AV1771" s="27" t="str">
        <f t="shared" si="879"/>
        <v/>
      </c>
      <c r="AW1771" s="27" t="e">
        <f t="shared" si="880"/>
        <v>#REF!</v>
      </c>
      <c r="AX1771" s="27" t="e">
        <f t="shared" si="881"/>
        <v>#REF!</v>
      </c>
      <c r="AY1771" s="27" t="str">
        <f t="shared" si="882"/>
        <v/>
      </c>
      <c r="AZ1771" s="27" t="str">
        <f t="shared" si="883"/>
        <v/>
      </c>
      <c r="BA1771" s="27" t="str">
        <f t="shared" si="884"/>
        <v/>
      </c>
      <c r="BB1771" s="27" t="str">
        <f t="shared" si="885"/>
        <v/>
      </c>
      <c r="BC1771" s="27" t="str">
        <f t="shared" si="886"/>
        <v/>
      </c>
      <c r="BD1771" s="27" t="str">
        <f t="shared" si="887"/>
        <v/>
      </c>
      <c r="BE1771" s="27" t="str">
        <f t="shared" si="888"/>
        <v/>
      </c>
      <c r="BF1771" s="27" t="str">
        <f t="shared" si="889"/>
        <v/>
      </c>
      <c r="BG1771" s="27" t="str">
        <f t="shared" si="890"/>
        <v/>
      </c>
      <c r="BH1771" s="27" t="str">
        <f t="shared" si="891"/>
        <v/>
      </c>
      <c r="BI1771" s="27" t="str">
        <f t="shared" si="892"/>
        <v/>
      </c>
      <c r="BJ1771" s="27" t="str">
        <f t="shared" si="893"/>
        <v/>
      </c>
      <c r="BK1771" s="27" t="str">
        <f t="shared" si="894"/>
        <v/>
      </c>
      <c r="BL1771" s="27" t="str">
        <f t="shared" si="895"/>
        <v/>
      </c>
      <c r="BM1771" s="21" t="s">
        <v>3790</v>
      </c>
    </row>
    <row r="1772" spans="1:65" ht="15">
      <c r="A1772" s="25" t="str">
        <f>IFERROR(INDEX(#REF!,MATCH(O1772,#REF!,0)),"")</f>
        <v/>
      </c>
      <c r="B1772" s="25" t="str">
        <f>IFERROR(INDEX(#REF!,MATCH(O1772,#REF!,0)),"")</f>
        <v/>
      </c>
      <c r="C1772" s="25" t="str">
        <f>IFERROR(INDEX(#REF!,MATCH(O1772,#REF!,0)),"")</f>
        <v/>
      </c>
      <c r="D1772" s="25" t="str">
        <f>IFERROR(INDEX(#REF!,MATCH(O1772,#REF!,0)),"")</f>
        <v/>
      </c>
      <c r="E1772" s="25" t="str">
        <f>IFERROR(INDEX(#REF!,MATCH(O1772,#REF!,0)),"")</f>
        <v/>
      </c>
      <c r="F1772" s="25" t="str">
        <f>IFERROR(INDEX(#REF!,MATCH(O1772,#REF!,0)),"")</f>
        <v/>
      </c>
      <c r="G1772" s="25" t="str">
        <f>IFERROR(INDEX(#REF!,MATCH(O1772,#REF!,0)),"")</f>
        <v/>
      </c>
      <c r="H1772" s="25" t="str">
        <f>IFERROR(INDEX(#REF!,MATCH(O1772,#REF!,0)),"")</f>
        <v/>
      </c>
      <c r="I1772" s="25" t="str">
        <f>IFERROR(INDEX(#REF!,MATCH(O1772,#REF!,0)),"")</f>
        <v/>
      </c>
      <c r="J1772" s="25" t="str">
        <f>IFERROR(INDEX(#REF!,MATCH(O1772,#REF!,0)),"")</f>
        <v/>
      </c>
      <c r="K1772" s="25" t="str">
        <f>IFERROR(INDEX(#REF!,MATCH(O1772,#REF!,0)),"")</f>
        <v/>
      </c>
      <c r="L1772" s="25" t="str">
        <f>IFERROR(INDEX(#REF!,MATCH(O1772,#REF!,0)),"")</f>
        <v/>
      </c>
      <c r="P1772" s="27" t="str">
        <f>IFERROR(INDEX(#REF!,MATCH($O1772,#REF!,0)),"")</f>
        <v/>
      </c>
      <c r="Q1772" s="27" t="str">
        <f>IFERROR(INDEX(#REF!,MATCH($O1772,#REF!,0)),"")</f>
        <v/>
      </c>
      <c r="R1772" s="52" t="str">
        <f>IFERROR(IF(AR1773=AR1772,INDEX(#REF!,MATCH($O1772,#REF!,0))-IF(AN1772="",0,AN1772)+AP1773,INDEX(#REF!,MATCH($O1772,#REF!,0))-IF(AN1772="",0,AN1772)),"")</f>
        <v/>
      </c>
      <c r="S1772" s="53" t="str">
        <f t="shared" si="868"/>
        <v/>
      </c>
      <c r="T1772" s="52" t="str">
        <f t="shared" si="869"/>
        <v/>
      </c>
      <c r="U1772" s="52" t="str">
        <f>IFERROR(IF(AR1773=AR1772,INDEX(#REF!,MATCH($O1772,#REF!,0))-IF(AN1772="",0,AN1772)+AP1773,INDEX(#REF!,MATCH($O1772,#REF!,0))-IF(AN1772="",0,AN1772)),"")</f>
        <v/>
      </c>
      <c r="V1772" s="53" t="str">
        <f t="shared" si="870"/>
        <v/>
      </c>
      <c r="W1772" s="52" t="str">
        <f t="shared" si="871"/>
        <v/>
      </c>
      <c r="X1772" s="52" t="str">
        <f>IFERROR(IF(AND(AR1773=AR1772,AM1772&lt;&gt;""),INDEX(#REF!,MATCH($O1772,#REF!,0))-IF(AN1772="",0,AN1772)+AP1773+AD1772+AL1772,IF(AR1773=AR1772,INDEX(#REF!,MATCH($O1772,#REF!,0))-IF(AN1772="",0,AN1772)+AP1773+AD1772,IF(AM1772&lt;&gt;"",INDEX(#REF!,MATCH($O1772,#REF!,0))-IF(AN1772="",0,AN1772)+AD1772+AL1772,INDEX(#REF!,MATCH($O1772,#REF!,0))-IF(AN1772="",0,AN1772)+AD1772))),"")</f>
        <v/>
      </c>
      <c r="Y1772" s="53" t="str">
        <f t="shared" si="872"/>
        <v/>
      </c>
      <c r="Z1772" s="52" t="str">
        <f>IF(L1772="","",INDEX(#REF!,MATCH($O1772,#REF!,0)))</f>
        <v/>
      </c>
      <c r="AA1772" s="52" t="str">
        <f t="shared" si="873"/>
        <v/>
      </c>
      <c r="AB1772" s="52" t="str">
        <f>IFERROR(INDEX(#REF!,MATCH($O1772,#REF!,0)),"")</f>
        <v/>
      </c>
      <c r="AC1772" s="52" t="str">
        <f>IFERROR(IF(O1772="","",SUMIFS('CPL Mats'!F:F,'CPL Mats'!Q:Q,AR1772,'CPL Mats'!S:S,AS1772)),"")</f>
        <v/>
      </c>
      <c r="AF1772" s="25" t="e">
        <f>IF(SUMIFS(#REF!,#REF!,"Releasable",#REF!,O1772)=0,"",SUMIFS(#REF!,#REF!,"Releasable",#REF!,O1772))</f>
        <v>#REF!</v>
      </c>
      <c r="AG1772" s="25" t="str">
        <f>IFERROR(INDEX(#REF!,MATCH(O1772,#REF!,0)),"")</f>
        <v/>
      </c>
      <c r="AH1772" s="25" t="str">
        <f>IFERROR(INDEX(#REF!,MATCH($O1772,#REF!,0)),"")</f>
        <v/>
      </c>
      <c r="AI1772" s="25" t="e">
        <f>IF(SUMIFS(#REF!,#REF!,"Expires this month",#REF!,O1772)=0,"",SUMIFS(#REF!,#REF!,"Expires this month",#REF!,O1772))</f>
        <v>#REF!</v>
      </c>
      <c r="AJ1772" s="25" t="e">
        <f>IF(SUMIFS(#REF!,#REF!,"Expired Previous Months",#REF!,O1772)=0,"",SUMIFS(#REF!,#REF!,"Expired Previous Months",#REF!,O1772))</f>
        <v>#REF!</v>
      </c>
      <c r="AK1772" s="25" t="str">
        <f>IFERROR(INDEX('Hun Release Current'!B:B,MATCH(O1772,'Hun Release Current'!A:A,0)),"")</f>
        <v/>
      </c>
      <c r="AL1772" s="25" t="str">
        <f>IF(SUMIF('Prev Aub'!A:A,O1772,'Prev Aub'!B:B)=0,"",SUMIF('Prev Aub'!A:A,O1772,'Prev Aub'!B:B))</f>
        <v/>
      </c>
      <c r="AN1772" s="25" t="s">
        <v>3790</v>
      </c>
      <c r="AO1772" s="25" t="s">
        <v>3790</v>
      </c>
      <c r="AP1772" s="25" t="str">
        <f t="shared" si="874"/>
        <v/>
      </c>
      <c r="AQ1772" s="151" t="e">
        <f>IF(SUMIFS(#REF!,#REF!,O1772,#REF!,"PENDING")=0,"",SUMIFS(#REF!,#REF!,O1772,#REF!,"PENDING"))</f>
        <v>#REF!</v>
      </c>
      <c r="AR1772" s="27" t="str">
        <f t="shared" si="875"/>
        <v/>
      </c>
      <c r="AS1772" s="27" t="str">
        <f t="shared" si="876"/>
        <v/>
      </c>
      <c r="AT1772" s="27" t="str">
        <f t="shared" si="877"/>
        <v/>
      </c>
      <c r="AU1772" s="27" t="str">
        <f t="shared" si="878"/>
        <v/>
      </c>
      <c r="AV1772" s="27" t="str">
        <f t="shared" si="879"/>
        <v/>
      </c>
      <c r="AW1772" s="27" t="e">
        <f t="shared" si="880"/>
        <v>#REF!</v>
      </c>
      <c r="AX1772" s="27" t="e">
        <f t="shared" si="881"/>
        <v>#REF!</v>
      </c>
      <c r="AY1772" s="27" t="str">
        <f t="shared" si="882"/>
        <v/>
      </c>
      <c r="AZ1772" s="27" t="str">
        <f t="shared" si="883"/>
        <v/>
      </c>
      <c r="BA1772" s="27" t="str">
        <f t="shared" si="884"/>
        <v/>
      </c>
      <c r="BB1772" s="27" t="str">
        <f t="shared" si="885"/>
        <v/>
      </c>
      <c r="BC1772" s="27" t="str">
        <f t="shared" si="886"/>
        <v/>
      </c>
      <c r="BD1772" s="27" t="str">
        <f t="shared" si="887"/>
        <v/>
      </c>
      <c r="BE1772" s="27" t="str">
        <f t="shared" si="888"/>
        <v/>
      </c>
      <c r="BF1772" s="27" t="str">
        <f t="shared" si="889"/>
        <v/>
      </c>
      <c r="BG1772" s="27" t="str">
        <f t="shared" si="890"/>
        <v/>
      </c>
      <c r="BH1772" s="27" t="str">
        <f t="shared" si="891"/>
        <v/>
      </c>
      <c r="BI1772" s="27" t="str">
        <f t="shared" si="892"/>
        <v/>
      </c>
      <c r="BJ1772" s="27" t="str">
        <f t="shared" si="893"/>
        <v/>
      </c>
      <c r="BK1772" s="27" t="str">
        <f t="shared" si="894"/>
        <v/>
      </c>
      <c r="BL1772" s="27" t="str">
        <f t="shared" si="895"/>
        <v/>
      </c>
      <c r="BM1772" s="21" t="s">
        <v>3790</v>
      </c>
    </row>
    <row r="1773" spans="1:65" ht="15">
      <c r="A1773" s="25" t="str">
        <f>IFERROR(INDEX(#REF!,MATCH(O1773,#REF!,0)),"")</f>
        <v/>
      </c>
      <c r="B1773" s="25" t="str">
        <f>IFERROR(INDEX(#REF!,MATCH(O1773,#REF!,0)),"")</f>
        <v/>
      </c>
      <c r="C1773" s="25" t="str">
        <f>IFERROR(INDEX(#REF!,MATCH(O1773,#REF!,0)),"")</f>
        <v/>
      </c>
      <c r="D1773" s="25" t="str">
        <f>IFERROR(INDEX(#REF!,MATCH(O1773,#REF!,0)),"")</f>
        <v/>
      </c>
      <c r="E1773" s="25" t="str">
        <f>IFERROR(INDEX(#REF!,MATCH(O1773,#REF!,0)),"")</f>
        <v/>
      </c>
      <c r="F1773" s="25" t="str">
        <f>IFERROR(INDEX(#REF!,MATCH(O1773,#REF!,0)),"")</f>
        <v/>
      </c>
      <c r="G1773" s="25" t="str">
        <f>IFERROR(INDEX(#REF!,MATCH(O1773,#REF!,0)),"")</f>
        <v/>
      </c>
      <c r="H1773" s="25" t="str">
        <f>IFERROR(INDEX(#REF!,MATCH(O1773,#REF!,0)),"")</f>
        <v/>
      </c>
      <c r="I1773" s="25" t="str">
        <f>IFERROR(INDEX(#REF!,MATCH(O1773,#REF!,0)),"")</f>
        <v/>
      </c>
      <c r="J1773" s="25" t="str">
        <f>IFERROR(INDEX(#REF!,MATCH(O1773,#REF!,0)),"")</f>
        <v/>
      </c>
      <c r="K1773" s="25" t="str">
        <f>IFERROR(INDEX(#REF!,MATCH(O1773,#REF!,0)),"")</f>
        <v/>
      </c>
      <c r="L1773" s="25" t="str">
        <f>IFERROR(INDEX(#REF!,MATCH(O1773,#REF!,0)),"")</f>
        <v/>
      </c>
      <c r="P1773" s="27" t="str">
        <f>IFERROR(INDEX(#REF!,MATCH($O1773,#REF!,0)),"")</f>
        <v/>
      </c>
      <c r="Q1773" s="27" t="str">
        <f>IFERROR(INDEX(#REF!,MATCH($O1773,#REF!,0)),"")</f>
        <v/>
      </c>
      <c r="R1773" s="52" t="str">
        <f>IFERROR(IF(AR1774=AR1773,INDEX(#REF!,MATCH($O1773,#REF!,0))-IF(AN1773="",0,AN1773)+AP1774,INDEX(#REF!,MATCH($O1773,#REF!,0))-IF(AN1773="",0,AN1773)),"")</f>
        <v/>
      </c>
      <c r="S1773" s="53" t="str">
        <f t="shared" si="868"/>
        <v/>
      </c>
      <c r="T1773" s="52" t="str">
        <f t="shared" si="869"/>
        <v/>
      </c>
      <c r="U1773" s="52" t="str">
        <f>IFERROR(IF(AR1774=AR1773,INDEX(#REF!,MATCH($O1773,#REF!,0))-IF(AN1773="",0,AN1773)+AP1774,INDEX(#REF!,MATCH($O1773,#REF!,0))-IF(AN1773="",0,AN1773)),"")</f>
        <v/>
      </c>
      <c r="V1773" s="53" t="str">
        <f t="shared" si="870"/>
        <v/>
      </c>
      <c r="W1773" s="52" t="str">
        <f t="shared" si="871"/>
        <v/>
      </c>
      <c r="X1773" s="52" t="str">
        <f>IFERROR(IF(AND(AR1774=AR1773,AM1773&lt;&gt;""),INDEX(#REF!,MATCH($O1773,#REF!,0))-IF(AN1773="",0,AN1773)+AP1774+AD1773+AL1773,IF(AR1774=AR1773,INDEX(#REF!,MATCH($O1773,#REF!,0))-IF(AN1773="",0,AN1773)+AP1774+AD1773,IF(AM1773&lt;&gt;"",INDEX(#REF!,MATCH($O1773,#REF!,0))-IF(AN1773="",0,AN1773)+AD1773+AL1773,INDEX(#REF!,MATCH($O1773,#REF!,0))-IF(AN1773="",0,AN1773)+AD1773))),"")</f>
        <v/>
      </c>
      <c r="Y1773" s="53" t="str">
        <f t="shared" si="872"/>
        <v/>
      </c>
      <c r="Z1773" s="52" t="str">
        <f>IF(L1773="","",INDEX(#REF!,MATCH($O1773,#REF!,0)))</f>
        <v/>
      </c>
      <c r="AA1773" s="52" t="str">
        <f t="shared" si="873"/>
        <v/>
      </c>
      <c r="AB1773" s="52" t="str">
        <f>IFERROR(INDEX(#REF!,MATCH($O1773,#REF!,0)),"")</f>
        <v/>
      </c>
      <c r="AC1773" s="52" t="str">
        <f>IFERROR(IF(O1773="","",SUMIFS('CPL Mats'!F:F,'CPL Mats'!Q:Q,AR1773,'CPL Mats'!S:S,AS1773)),"")</f>
        <v/>
      </c>
      <c r="AF1773" s="25" t="e">
        <f>IF(SUMIFS(#REF!,#REF!,"Releasable",#REF!,O1773)=0,"",SUMIFS(#REF!,#REF!,"Releasable",#REF!,O1773))</f>
        <v>#REF!</v>
      </c>
      <c r="AG1773" s="25" t="str">
        <f>IFERROR(INDEX(#REF!,MATCH(O1773,#REF!,0)),"")</f>
        <v/>
      </c>
      <c r="AH1773" s="25" t="str">
        <f>IFERROR(INDEX(#REF!,MATCH($O1773,#REF!,0)),"")</f>
        <v/>
      </c>
      <c r="AI1773" s="25" t="e">
        <f>IF(SUMIFS(#REF!,#REF!,"Expires this month",#REF!,O1773)=0,"",SUMIFS(#REF!,#REF!,"Expires this month",#REF!,O1773))</f>
        <v>#REF!</v>
      </c>
      <c r="AJ1773" s="25" t="e">
        <f>IF(SUMIFS(#REF!,#REF!,"Expired Previous Months",#REF!,O1773)=0,"",SUMIFS(#REF!,#REF!,"Expired Previous Months",#REF!,O1773))</f>
        <v>#REF!</v>
      </c>
      <c r="AK1773" s="25" t="str">
        <f>IFERROR(INDEX('Hun Release Current'!B:B,MATCH(O1773,'Hun Release Current'!A:A,0)),"")</f>
        <v/>
      </c>
      <c r="AL1773" s="25" t="str">
        <f>IF(SUMIF('Prev Aub'!A:A,O1773,'Prev Aub'!B:B)=0,"",SUMIF('Prev Aub'!A:A,O1773,'Prev Aub'!B:B))</f>
        <v/>
      </c>
      <c r="AN1773" s="25" t="s">
        <v>3790</v>
      </c>
      <c r="AO1773" s="25" t="s">
        <v>3790</v>
      </c>
      <c r="AP1773" s="25" t="str">
        <f t="shared" si="874"/>
        <v/>
      </c>
      <c r="AQ1773" s="151" t="e">
        <f>IF(SUMIFS(#REF!,#REF!,O1773,#REF!,"PENDING")=0,"",SUMIFS(#REF!,#REF!,O1773,#REF!,"PENDING"))</f>
        <v>#REF!</v>
      </c>
      <c r="AR1773" s="27" t="str">
        <f t="shared" si="875"/>
        <v/>
      </c>
      <c r="AS1773" s="27" t="str">
        <f t="shared" si="876"/>
        <v/>
      </c>
      <c r="AT1773" s="27" t="str">
        <f t="shared" si="877"/>
        <v/>
      </c>
      <c r="AU1773" s="27" t="str">
        <f t="shared" si="878"/>
        <v/>
      </c>
      <c r="AV1773" s="27" t="str">
        <f t="shared" si="879"/>
        <v/>
      </c>
      <c r="AW1773" s="27" t="e">
        <f t="shared" si="880"/>
        <v>#REF!</v>
      </c>
      <c r="AX1773" s="27" t="e">
        <f t="shared" si="881"/>
        <v>#REF!</v>
      </c>
      <c r="AY1773" s="27" t="str">
        <f t="shared" si="882"/>
        <v/>
      </c>
      <c r="AZ1773" s="27" t="str">
        <f t="shared" si="883"/>
        <v/>
      </c>
      <c r="BA1773" s="27" t="str">
        <f t="shared" si="884"/>
        <v/>
      </c>
      <c r="BB1773" s="27" t="str">
        <f t="shared" si="885"/>
        <v/>
      </c>
      <c r="BC1773" s="27" t="str">
        <f t="shared" si="886"/>
        <v/>
      </c>
      <c r="BD1773" s="27" t="str">
        <f t="shared" si="887"/>
        <v/>
      </c>
      <c r="BE1773" s="27" t="str">
        <f t="shared" si="888"/>
        <v/>
      </c>
      <c r="BF1773" s="27" t="str">
        <f t="shared" si="889"/>
        <v/>
      </c>
      <c r="BG1773" s="27" t="str">
        <f t="shared" si="890"/>
        <v/>
      </c>
      <c r="BH1773" s="27" t="str">
        <f t="shared" si="891"/>
        <v/>
      </c>
      <c r="BI1773" s="27" t="str">
        <f t="shared" si="892"/>
        <v/>
      </c>
      <c r="BJ1773" s="27" t="str">
        <f t="shared" si="893"/>
        <v/>
      </c>
      <c r="BK1773" s="27" t="str">
        <f t="shared" si="894"/>
        <v/>
      </c>
      <c r="BL1773" s="27" t="str">
        <f t="shared" si="895"/>
        <v/>
      </c>
      <c r="BM1773" s="21" t="s">
        <v>3790</v>
      </c>
    </row>
    <row r="1774" spans="1:65" ht="15">
      <c r="A1774" s="25" t="str">
        <f>IFERROR(INDEX(#REF!,MATCH(O1774,#REF!,0)),"")</f>
        <v/>
      </c>
      <c r="B1774" s="25" t="str">
        <f>IFERROR(INDEX(#REF!,MATCH(O1774,#REF!,0)),"")</f>
        <v/>
      </c>
      <c r="C1774" s="25" t="str">
        <f>IFERROR(INDEX(#REF!,MATCH(O1774,#REF!,0)),"")</f>
        <v/>
      </c>
      <c r="D1774" s="25" t="str">
        <f>IFERROR(INDEX(#REF!,MATCH(O1774,#REF!,0)),"")</f>
        <v/>
      </c>
      <c r="E1774" s="25" t="str">
        <f>IFERROR(INDEX(#REF!,MATCH(O1774,#REF!,0)),"")</f>
        <v/>
      </c>
      <c r="F1774" s="25" t="str">
        <f>IFERROR(INDEX(#REF!,MATCH(O1774,#REF!,0)),"")</f>
        <v/>
      </c>
      <c r="G1774" s="25" t="str">
        <f>IFERROR(INDEX(#REF!,MATCH(O1774,#REF!,0)),"")</f>
        <v/>
      </c>
      <c r="H1774" s="25" t="str">
        <f>IFERROR(INDEX(#REF!,MATCH(O1774,#REF!,0)),"")</f>
        <v/>
      </c>
      <c r="I1774" s="25" t="str">
        <f>IFERROR(INDEX(#REF!,MATCH(O1774,#REF!,0)),"")</f>
        <v/>
      </c>
      <c r="J1774" s="25" t="str">
        <f>IFERROR(INDEX(#REF!,MATCH(O1774,#REF!,0)),"")</f>
        <v/>
      </c>
      <c r="K1774" s="25" t="str">
        <f>IFERROR(INDEX(#REF!,MATCH(O1774,#REF!,0)),"")</f>
        <v/>
      </c>
      <c r="L1774" s="25" t="str">
        <f>IFERROR(INDEX(#REF!,MATCH(O1774,#REF!,0)),"")</f>
        <v/>
      </c>
      <c r="P1774" s="27" t="str">
        <f>IFERROR(INDEX(#REF!,MATCH($O1774,#REF!,0)),"")</f>
        <v/>
      </c>
      <c r="Q1774" s="27" t="str">
        <f>IFERROR(INDEX(#REF!,MATCH($O1774,#REF!,0)),"")</f>
        <v/>
      </c>
      <c r="R1774" s="52" t="str">
        <f>IFERROR(IF(AR1775=AR1774,INDEX(#REF!,MATCH($O1774,#REF!,0))-IF(AN1774="",0,AN1774)+AP1775,INDEX(#REF!,MATCH($O1774,#REF!,0))-IF(AN1774="",0,AN1774)),"")</f>
        <v/>
      </c>
      <c r="S1774" s="53" t="str">
        <f t="shared" si="868"/>
        <v/>
      </c>
      <c r="T1774" s="52" t="str">
        <f t="shared" si="869"/>
        <v/>
      </c>
      <c r="U1774" s="52" t="str">
        <f>IFERROR(IF(AR1775=AR1774,INDEX(#REF!,MATCH($O1774,#REF!,0))-IF(AN1774="",0,AN1774)+AP1775,INDEX(#REF!,MATCH($O1774,#REF!,0))-IF(AN1774="",0,AN1774)),"")</f>
        <v/>
      </c>
      <c r="V1774" s="53" t="str">
        <f t="shared" si="870"/>
        <v/>
      </c>
      <c r="W1774" s="52" t="str">
        <f t="shared" si="871"/>
        <v/>
      </c>
      <c r="X1774" s="52" t="str">
        <f>IFERROR(IF(AND(AR1775=AR1774,AM1774&lt;&gt;""),INDEX(#REF!,MATCH($O1774,#REF!,0))-IF(AN1774="",0,AN1774)+AP1775+AD1774+AL1774,IF(AR1775=AR1774,INDEX(#REF!,MATCH($O1774,#REF!,0))-IF(AN1774="",0,AN1774)+AP1775+AD1774,IF(AM1774&lt;&gt;"",INDEX(#REF!,MATCH($O1774,#REF!,0))-IF(AN1774="",0,AN1774)+AD1774+AL1774,INDEX(#REF!,MATCH($O1774,#REF!,0))-IF(AN1774="",0,AN1774)+AD1774))),"")</f>
        <v/>
      </c>
      <c r="Y1774" s="53" t="str">
        <f t="shared" si="872"/>
        <v/>
      </c>
      <c r="Z1774" s="52" t="str">
        <f>IF(L1774="","",INDEX(#REF!,MATCH($O1774,#REF!,0)))</f>
        <v/>
      </c>
      <c r="AA1774" s="52" t="str">
        <f t="shared" si="873"/>
        <v/>
      </c>
      <c r="AB1774" s="52" t="str">
        <f>IFERROR(INDEX(#REF!,MATCH($O1774,#REF!,0)),"")</f>
        <v/>
      </c>
      <c r="AC1774" s="52" t="str">
        <f>IFERROR(IF(O1774="","",SUMIFS('CPL Mats'!F:F,'CPL Mats'!Q:Q,AR1774,'CPL Mats'!S:S,AS1774)),"")</f>
        <v/>
      </c>
      <c r="AF1774" s="25" t="e">
        <f>IF(SUMIFS(#REF!,#REF!,"Releasable",#REF!,O1774)=0,"",SUMIFS(#REF!,#REF!,"Releasable",#REF!,O1774))</f>
        <v>#REF!</v>
      </c>
      <c r="AG1774" s="25" t="str">
        <f>IFERROR(INDEX(#REF!,MATCH(O1774,#REF!,0)),"")</f>
        <v/>
      </c>
      <c r="AH1774" s="25" t="str">
        <f>IFERROR(INDEX(#REF!,MATCH($O1774,#REF!,0)),"")</f>
        <v/>
      </c>
      <c r="AI1774" s="25" t="e">
        <f>IF(SUMIFS(#REF!,#REF!,"Expires this month",#REF!,O1774)=0,"",SUMIFS(#REF!,#REF!,"Expires this month",#REF!,O1774))</f>
        <v>#REF!</v>
      </c>
      <c r="AJ1774" s="25" t="e">
        <f>IF(SUMIFS(#REF!,#REF!,"Expired Previous Months",#REF!,O1774)=0,"",SUMIFS(#REF!,#REF!,"Expired Previous Months",#REF!,O1774))</f>
        <v>#REF!</v>
      </c>
      <c r="AK1774" s="25" t="str">
        <f>IFERROR(INDEX('Hun Release Current'!B:B,MATCH(O1774,'Hun Release Current'!A:A,0)),"")</f>
        <v/>
      </c>
      <c r="AL1774" s="25" t="str">
        <f>IF(SUMIF('Prev Aub'!A:A,O1774,'Prev Aub'!B:B)=0,"",SUMIF('Prev Aub'!A:A,O1774,'Prev Aub'!B:B))</f>
        <v/>
      </c>
      <c r="AN1774" s="25" t="s">
        <v>3790</v>
      </c>
      <c r="AO1774" s="25" t="s">
        <v>3790</v>
      </c>
      <c r="AP1774" s="25" t="str">
        <f t="shared" si="874"/>
        <v/>
      </c>
      <c r="AQ1774" s="151" t="e">
        <f>IF(SUMIFS(#REF!,#REF!,O1774,#REF!,"PENDING")=0,"",SUMIFS(#REF!,#REF!,O1774,#REF!,"PENDING"))</f>
        <v>#REF!</v>
      </c>
      <c r="AR1774" s="27" t="str">
        <f t="shared" si="875"/>
        <v/>
      </c>
      <c r="AS1774" s="27" t="str">
        <f t="shared" si="876"/>
        <v/>
      </c>
      <c r="AT1774" s="27" t="str">
        <f t="shared" si="877"/>
        <v/>
      </c>
      <c r="AU1774" s="27" t="str">
        <f t="shared" si="878"/>
        <v/>
      </c>
      <c r="AV1774" s="27" t="str">
        <f t="shared" si="879"/>
        <v/>
      </c>
      <c r="AW1774" s="27" t="e">
        <f t="shared" si="880"/>
        <v>#REF!</v>
      </c>
      <c r="AX1774" s="27" t="e">
        <f t="shared" si="881"/>
        <v>#REF!</v>
      </c>
      <c r="AY1774" s="27" t="str">
        <f t="shared" si="882"/>
        <v/>
      </c>
      <c r="AZ1774" s="27" t="str">
        <f t="shared" si="883"/>
        <v/>
      </c>
      <c r="BA1774" s="27" t="str">
        <f t="shared" si="884"/>
        <v/>
      </c>
      <c r="BB1774" s="27" t="str">
        <f t="shared" si="885"/>
        <v/>
      </c>
      <c r="BC1774" s="27" t="str">
        <f t="shared" si="886"/>
        <v/>
      </c>
      <c r="BD1774" s="27" t="str">
        <f t="shared" si="887"/>
        <v/>
      </c>
      <c r="BE1774" s="27" t="str">
        <f t="shared" si="888"/>
        <v/>
      </c>
      <c r="BF1774" s="27" t="str">
        <f t="shared" si="889"/>
        <v/>
      </c>
      <c r="BG1774" s="27" t="str">
        <f t="shared" si="890"/>
        <v/>
      </c>
      <c r="BH1774" s="27" t="str">
        <f t="shared" si="891"/>
        <v/>
      </c>
      <c r="BI1774" s="27" t="str">
        <f t="shared" si="892"/>
        <v/>
      </c>
      <c r="BJ1774" s="27" t="str">
        <f t="shared" si="893"/>
        <v/>
      </c>
      <c r="BK1774" s="27" t="str">
        <f t="shared" si="894"/>
        <v/>
      </c>
      <c r="BL1774" s="27" t="str">
        <f t="shared" si="895"/>
        <v/>
      </c>
      <c r="BM1774" s="21" t="s">
        <v>3790</v>
      </c>
    </row>
    <row r="1775" spans="1:65" ht="15">
      <c r="A1775" s="25" t="str">
        <f>IFERROR(INDEX(#REF!,MATCH(O1775,#REF!,0)),"")</f>
        <v/>
      </c>
      <c r="B1775" s="25" t="str">
        <f>IFERROR(INDEX(#REF!,MATCH(O1775,#REF!,0)),"")</f>
        <v/>
      </c>
      <c r="C1775" s="25" t="str">
        <f>IFERROR(INDEX(#REF!,MATCH(O1775,#REF!,0)),"")</f>
        <v/>
      </c>
      <c r="D1775" s="25" t="str">
        <f>IFERROR(INDEX(#REF!,MATCH(O1775,#REF!,0)),"")</f>
        <v/>
      </c>
      <c r="E1775" s="25" t="str">
        <f>IFERROR(INDEX(#REF!,MATCH(O1775,#REF!,0)),"")</f>
        <v/>
      </c>
      <c r="F1775" s="25" t="str">
        <f>IFERROR(INDEX(#REF!,MATCH(O1775,#REF!,0)),"")</f>
        <v/>
      </c>
      <c r="G1775" s="25" t="str">
        <f>IFERROR(INDEX(#REF!,MATCH(O1775,#REF!,0)),"")</f>
        <v/>
      </c>
      <c r="H1775" s="25" t="str">
        <f>IFERROR(INDEX(#REF!,MATCH(O1775,#REF!,0)),"")</f>
        <v/>
      </c>
      <c r="I1775" s="25" t="str">
        <f>IFERROR(INDEX(#REF!,MATCH(O1775,#REF!,0)),"")</f>
        <v/>
      </c>
      <c r="J1775" s="25" t="str">
        <f>IFERROR(INDEX(#REF!,MATCH(O1775,#REF!,0)),"")</f>
        <v/>
      </c>
      <c r="K1775" s="25" t="str">
        <f>IFERROR(INDEX(#REF!,MATCH(O1775,#REF!,0)),"")</f>
        <v/>
      </c>
      <c r="L1775" s="25" t="str">
        <f>IFERROR(INDEX(#REF!,MATCH(O1775,#REF!,0)),"")</f>
        <v/>
      </c>
      <c r="P1775" s="27" t="str">
        <f>IFERROR(INDEX(#REF!,MATCH($O1775,#REF!,0)),"")</f>
        <v/>
      </c>
      <c r="Q1775" s="27" t="str">
        <f>IFERROR(INDEX(#REF!,MATCH($O1775,#REF!,0)),"")</f>
        <v/>
      </c>
      <c r="R1775" s="52" t="str">
        <f>IFERROR(IF(AR1776=AR1775,INDEX(#REF!,MATCH($O1775,#REF!,0))-IF(AN1775="",0,AN1775)+AP1776,INDEX(#REF!,MATCH($O1775,#REF!,0))-IF(AN1775="",0,AN1775)),"")</f>
        <v/>
      </c>
      <c r="S1775" s="53" t="str">
        <f t="shared" si="868"/>
        <v/>
      </c>
      <c r="T1775" s="52" t="str">
        <f t="shared" si="869"/>
        <v/>
      </c>
      <c r="U1775" s="52" t="str">
        <f>IFERROR(IF(AR1776=AR1775,INDEX(#REF!,MATCH($O1775,#REF!,0))-IF(AN1775="",0,AN1775)+AP1776,INDEX(#REF!,MATCH($O1775,#REF!,0))-IF(AN1775="",0,AN1775)),"")</f>
        <v/>
      </c>
      <c r="V1775" s="53" t="str">
        <f t="shared" si="870"/>
        <v/>
      </c>
      <c r="W1775" s="52" t="str">
        <f t="shared" si="871"/>
        <v/>
      </c>
      <c r="X1775" s="52" t="str">
        <f>IFERROR(IF(AND(AR1776=AR1775,AM1775&lt;&gt;""),INDEX(#REF!,MATCH($O1775,#REF!,0))-IF(AN1775="",0,AN1775)+AP1776+AD1775+AL1775,IF(AR1776=AR1775,INDEX(#REF!,MATCH($O1775,#REF!,0))-IF(AN1775="",0,AN1775)+AP1776+AD1775,IF(AM1775&lt;&gt;"",INDEX(#REF!,MATCH($O1775,#REF!,0))-IF(AN1775="",0,AN1775)+AD1775+AL1775,INDEX(#REF!,MATCH($O1775,#REF!,0))-IF(AN1775="",0,AN1775)+AD1775))),"")</f>
        <v/>
      </c>
      <c r="Y1775" s="53" t="str">
        <f t="shared" si="872"/>
        <v/>
      </c>
      <c r="Z1775" s="52" t="str">
        <f>IF(L1775="","",INDEX(#REF!,MATCH($O1775,#REF!,0)))</f>
        <v/>
      </c>
      <c r="AA1775" s="52" t="str">
        <f t="shared" si="873"/>
        <v/>
      </c>
      <c r="AB1775" s="52" t="str">
        <f>IFERROR(INDEX(#REF!,MATCH($O1775,#REF!,0)),"")</f>
        <v/>
      </c>
      <c r="AC1775" s="52" t="str">
        <f>IFERROR(IF(O1775="","",SUMIFS('CPL Mats'!F:F,'CPL Mats'!Q:Q,AR1775,'CPL Mats'!S:S,AS1775)),"")</f>
        <v/>
      </c>
      <c r="AF1775" s="25" t="e">
        <f>IF(SUMIFS(#REF!,#REF!,"Releasable",#REF!,O1775)=0,"",SUMIFS(#REF!,#REF!,"Releasable",#REF!,O1775))</f>
        <v>#REF!</v>
      </c>
      <c r="AG1775" s="25" t="str">
        <f>IFERROR(INDEX(#REF!,MATCH(O1775,#REF!,0)),"")</f>
        <v/>
      </c>
      <c r="AH1775" s="25" t="str">
        <f>IFERROR(INDEX(#REF!,MATCH($O1775,#REF!,0)),"")</f>
        <v/>
      </c>
      <c r="AI1775" s="25" t="e">
        <f>IF(SUMIFS(#REF!,#REF!,"Expires this month",#REF!,O1775)=0,"",SUMIFS(#REF!,#REF!,"Expires this month",#REF!,O1775))</f>
        <v>#REF!</v>
      </c>
      <c r="AJ1775" s="25" t="e">
        <f>IF(SUMIFS(#REF!,#REF!,"Expired Previous Months",#REF!,O1775)=0,"",SUMIFS(#REF!,#REF!,"Expired Previous Months",#REF!,O1775))</f>
        <v>#REF!</v>
      </c>
      <c r="AK1775" s="25" t="str">
        <f>IFERROR(INDEX('Hun Release Current'!B:B,MATCH(O1775,'Hun Release Current'!A:A,0)),"")</f>
        <v/>
      </c>
      <c r="AL1775" s="25" t="str">
        <f>IF(SUMIF('Prev Aub'!A:A,O1775,'Prev Aub'!B:B)=0,"",SUMIF('Prev Aub'!A:A,O1775,'Prev Aub'!B:B))</f>
        <v/>
      </c>
      <c r="AN1775" s="25" t="s">
        <v>3790</v>
      </c>
      <c r="AO1775" s="25" t="s">
        <v>3790</v>
      </c>
      <c r="AP1775" s="25" t="str">
        <f t="shared" si="874"/>
        <v/>
      </c>
      <c r="AQ1775" s="151" t="e">
        <f>IF(SUMIFS(#REF!,#REF!,O1775,#REF!,"PENDING")=0,"",SUMIFS(#REF!,#REF!,O1775,#REF!,"PENDING"))</f>
        <v>#REF!</v>
      </c>
      <c r="AR1775" s="27" t="str">
        <f t="shared" si="875"/>
        <v/>
      </c>
      <c r="AS1775" s="27" t="str">
        <f t="shared" si="876"/>
        <v/>
      </c>
      <c r="AT1775" s="27" t="str">
        <f t="shared" si="877"/>
        <v/>
      </c>
      <c r="AU1775" s="27" t="str">
        <f t="shared" si="878"/>
        <v/>
      </c>
      <c r="AV1775" s="27" t="str">
        <f t="shared" si="879"/>
        <v/>
      </c>
      <c r="AW1775" s="27" t="e">
        <f t="shared" si="880"/>
        <v>#REF!</v>
      </c>
      <c r="AX1775" s="27" t="e">
        <f t="shared" si="881"/>
        <v>#REF!</v>
      </c>
      <c r="AY1775" s="27" t="str">
        <f t="shared" si="882"/>
        <v/>
      </c>
      <c r="AZ1775" s="27" t="str">
        <f t="shared" si="883"/>
        <v/>
      </c>
      <c r="BA1775" s="27" t="str">
        <f t="shared" si="884"/>
        <v/>
      </c>
      <c r="BB1775" s="27" t="str">
        <f t="shared" si="885"/>
        <v/>
      </c>
      <c r="BC1775" s="27" t="str">
        <f t="shared" si="886"/>
        <v/>
      </c>
      <c r="BD1775" s="27" t="str">
        <f t="shared" si="887"/>
        <v/>
      </c>
      <c r="BE1775" s="27" t="str">
        <f t="shared" si="888"/>
        <v/>
      </c>
      <c r="BF1775" s="27" t="str">
        <f t="shared" si="889"/>
        <v/>
      </c>
      <c r="BG1775" s="27" t="str">
        <f t="shared" si="890"/>
        <v/>
      </c>
      <c r="BH1775" s="27" t="str">
        <f t="shared" si="891"/>
        <v/>
      </c>
      <c r="BI1775" s="27" t="str">
        <f t="shared" si="892"/>
        <v/>
      </c>
      <c r="BJ1775" s="27" t="str">
        <f t="shared" si="893"/>
        <v/>
      </c>
      <c r="BK1775" s="27" t="str">
        <f t="shared" si="894"/>
        <v/>
      </c>
      <c r="BL1775" s="27" t="str">
        <f t="shared" si="895"/>
        <v/>
      </c>
      <c r="BM1775" s="21" t="s">
        <v>3790</v>
      </c>
    </row>
    <row r="1776" spans="1:65" ht="15">
      <c r="A1776" s="25" t="str">
        <f>IFERROR(INDEX(#REF!,MATCH(O1776,#REF!,0)),"")</f>
        <v/>
      </c>
      <c r="B1776" s="25" t="str">
        <f>IFERROR(INDEX(#REF!,MATCH(O1776,#REF!,0)),"")</f>
        <v/>
      </c>
      <c r="C1776" s="25" t="str">
        <f>IFERROR(INDEX(#REF!,MATCH(O1776,#REF!,0)),"")</f>
        <v/>
      </c>
      <c r="D1776" s="25" t="str">
        <f>IFERROR(INDEX(#REF!,MATCH(O1776,#REF!,0)),"")</f>
        <v/>
      </c>
      <c r="E1776" s="25" t="str">
        <f>IFERROR(INDEX(#REF!,MATCH(O1776,#REF!,0)),"")</f>
        <v/>
      </c>
      <c r="F1776" s="25" t="str">
        <f>IFERROR(INDEX(#REF!,MATCH(O1776,#REF!,0)),"")</f>
        <v/>
      </c>
      <c r="G1776" s="25" t="str">
        <f>IFERROR(INDEX(#REF!,MATCH(O1776,#REF!,0)),"")</f>
        <v/>
      </c>
      <c r="H1776" s="25" t="str">
        <f>IFERROR(INDEX(#REF!,MATCH(O1776,#REF!,0)),"")</f>
        <v/>
      </c>
      <c r="I1776" s="25" t="str">
        <f>IFERROR(INDEX(#REF!,MATCH(O1776,#REF!,0)),"")</f>
        <v/>
      </c>
      <c r="J1776" s="25" t="str">
        <f>IFERROR(INDEX(#REF!,MATCH(O1776,#REF!,0)),"")</f>
        <v/>
      </c>
      <c r="K1776" s="25" t="str">
        <f>IFERROR(INDEX(#REF!,MATCH(O1776,#REF!,0)),"")</f>
        <v/>
      </c>
      <c r="L1776" s="25" t="str">
        <f>IFERROR(INDEX(#REF!,MATCH(O1776,#REF!,0)),"")</f>
        <v/>
      </c>
      <c r="P1776" s="27" t="str">
        <f>IFERROR(INDEX(#REF!,MATCH($O1776,#REF!,0)),"")</f>
        <v/>
      </c>
      <c r="Q1776" s="27" t="str">
        <f>IFERROR(INDEX(#REF!,MATCH($O1776,#REF!,0)),"")</f>
        <v/>
      </c>
      <c r="R1776" s="52" t="str">
        <f>IFERROR(IF(AR1777=AR1776,INDEX(#REF!,MATCH($O1776,#REF!,0))-IF(AN1776="",0,AN1776)+AP1777,INDEX(#REF!,MATCH($O1776,#REF!,0))-IF(AN1776="",0,AN1776)),"")</f>
        <v/>
      </c>
      <c r="S1776" s="53" t="str">
        <f t="shared" si="868"/>
        <v/>
      </c>
      <c r="T1776" s="52" t="str">
        <f t="shared" si="869"/>
        <v/>
      </c>
      <c r="U1776" s="52" t="str">
        <f>IFERROR(IF(AR1777=AR1776,INDEX(#REF!,MATCH($O1776,#REF!,0))-IF(AN1776="",0,AN1776)+AP1777,INDEX(#REF!,MATCH($O1776,#REF!,0))-IF(AN1776="",0,AN1776)),"")</f>
        <v/>
      </c>
      <c r="V1776" s="53" t="str">
        <f t="shared" si="870"/>
        <v/>
      </c>
      <c r="W1776" s="52" t="str">
        <f t="shared" si="871"/>
        <v/>
      </c>
      <c r="X1776" s="52" t="str">
        <f>IFERROR(IF(AND(AR1777=AR1776,AM1776&lt;&gt;""),INDEX(#REF!,MATCH($O1776,#REF!,0))-IF(AN1776="",0,AN1776)+AP1777+AD1776+AL1776,IF(AR1777=AR1776,INDEX(#REF!,MATCH($O1776,#REF!,0))-IF(AN1776="",0,AN1776)+AP1777+AD1776,IF(AM1776&lt;&gt;"",INDEX(#REF!,MATCH($O1776,#REF!,0))-IF(AN1776="",0,AN1776)+AD1776+AL1776,INDEX(#REF!,MATCH($O1776,#REF!,0))-IF(AN1776="",0,AN1776)+AD1776))),"")</f>
        <v/>
      </c>
      <c r="Y1776" s="53" t="str">
        <f t="shared" si="872"/>
        <v/>
      </c>
      <c r="Z1776" s="52" t="str">
        <f>IF(L1776="","",INDEX(#REF!,MATCH($O1776,#REF!,0)))</f>
        <v/>
      </c>
      <c r="AA1776" s="52" t="str">
        <f t="shared" si="873"/>
        <v/>
      </c>
      <c r="AB1776" s="52" t="str">
        <f>IFERROR(INDEX(#REF!,MATCH($O1776,#REF!,0)),"")</f>
        <v/>
      </c>
      <c r="AC1776" s="52" t="str">
        <f>IFERROR(IF(O1776="","",SUMIFS('CPL Mats'!F:F,'CPL Mats'!Q:Q,AR1776,'CPL Mats'!S:S,AS1776)),"")</f>
        <v/>
      </c>
      <c r="AF1776" s="25" t="e">
        <f>IF(SUMIFS(#REF!,#REF!,"Releasable",#REF!,O1776)=0,"",SUMIFS(#REF!,#REF!,"Releasable",#REF!,O1776))</f>
        <v>#REF!</v>
      </c>
      <c r="AG1776" s="25" t="str">
        <f>IFERROR(INDEX(#REF!,MATCH(O1776,#REF!,0)),"")</f>
        <v/>
      </c>
      <c r="AH1776" s="25" t="str">
        <f>IFERROR(INDEX(#REF!,MATCH($O1776,#REF!,0)),"")</f>
        <v/>
      </c>
      <c r="AI1776" s="25" t="e">
        <f>IF(SUMIFS(#REF!,#REF!,"Expires this month",#REF!,O1776)=0,"",SUMIFS(#REF!,#REF!,"Expires this month",#REF!,O1776))</f>
        <v>#REF!</v>
      </c>
      <c r="AJ1776" s="25" t="e">
        <f>IF(SUMIFS(#REF!,#REF!,"Expired Previous Months",#REF!,O1776)=0,"",SUMIFS(#REF!,#REF!,"Expired Previous Months",#REF!,O1776))</f>
        <v>#REF!</v>
      </c>
      <c r="AK1776" s="25" t="str">
        <f>IFERROR(INDEX('Hun Release Current'!B:B,MATCH(O1776,'Hun Release Current'!A:A,0)),"")</f>
        <v/>
      </c>
      <c r="AL1776" s="25" t="str">
        <f>IF(SUMIF('Prev Aub'!A:A,O1776,'Prev Aub'!B:B)=0,"",SUMIF('Prev Aub'!A:A,O1776,'Prev Aub'!B:B))</f>
        <v/>
      </c>
      <c r="AN1776" s="25" t="s">
        <v>3790</v>
      </c>
      <c r="AO1776" s="25" t="s">
        <v>3790</v>
      </c>
      <c r="AP1776" s="25" t="str">
        <f t="shared" si="874"/>
        <v/>
      </c>
      <c r="AQ1776" s="151" t="e">
        <f>IF(SUMIFS(#REF!,#REF!,O1776,#REF!,"PENDING")=0,"",SUMIFS(#REF!,#REF!,O1776,#REF!,"PENDING"))</f>
        <v>#REF!</v>
      </c>
      <c r="AR1776" s="27" t="str">
        <f t="shared" si="875"/>
        <v/>
      </c>
      <c r="AS1776" s="27" t="str">
        <f t="shared" si="876"/>
        <v/>
      </c>
      <c r="AT1776" s="27" t="str">
        <f t="shared" si="877"/>
        <v/>
      </c>
      <c r="AU1776" s="27" t="str">
        <f t="shared" si="878"/>
        <v/>
      </c>
      <c r="AV1776" s="27" t="str">
        <f t="shared" si="879"/>
        <v/>
      </c>
      <c r="AW1776" s="27" t="e">
        <f t="shared" si="880"/>
        <v>#REF!</v>
      </c>
      <c r="AX1776" s="27" t="e">
        <f t="shared" si="881"/>
        <v>#REF!</v>
      </c>
      <c r="AY1776" s="27" t="str">
        <f t="shared" si="882"/>
        <v/>
      </c>
      <c r="AZ1776" s="27" t="str">
        <f t="shared" si="883"/>
        <v/>
      </c>
      <c r="BA1776" s="27" t="str">
        <f t="shared" si="884"/>
        <v/>
      </c>
      <c r="BB1776" s="27" t="str">
        <f t="shared" si="885"/>
        <v/>
      </c>
      <c r="BC1776" s="27" t="str">
        <f t="shared" si="886"/>
        <v/>
      </c>
      <c r="BD1776" s="27" t="str">
        <f t="shared" si="887"/>
        <v/>
      </c>
      <c r="BE1776" s="27" t="str">
        <f t="shared" si="888"/>
        <v/>
      </c>
      <c r="BF1776" s="27" t="str">
        <f t="shared" si="889"/>
        <v/>
      </c>
      <c r="BG1776" s="27" t="str">
        <f t="shared" si="890"/>
        <v/>
      </c>
      <c r="BH1776" s="27" t="str">
        <f t="shared" si="891"/>
        <v/>
      </c>
      <c r="BI1776" s="27" t="str">
        <f t="shared" si="892"/>
        <v/>
      </c>
      <c r="BJ1776" s="27" t="str">
        <f t="shared" si="893"/>
        <v/>
      </c>
      <c r="BK1776" s="27" t="str">
        <f t="shared" si="894"/>
        <v/>
      </c>
      <c r="BL1776" s="27" t="str">
        <f t="shared" si="895"/>
        <v/>
      </c>
      <c r="BM1776" s="21" t="s">
        <v>3790</v>
      </c>
    </row>
    <row r="1777" spans="1:65" ht="15">
      <c r="A1777" s="25" t="str">
        <f>IFERROR(INDEX(#REF!,MATCH(O1777,#REF!,0)),"")</f>
        <v/>
      </c>
      <c r="B1777" s="25" t="str">
        <f>IFERROR(INDEX(#REF!,MATCH(O1777,#REF!,0)),"")</f>
        <v/>
      </c>
      <c r="C1777" s="25" t="str">
        <f>IFERROR(INDEX(#REF!,MATCH(O1777,#REF!,0)),"")</f>
        <v/>
      </c>
      <c r="D1777" s="25" t="str">
        <f>IFERROR(INDEX(#REF!,MATCH(O1777,#REF!,0)),"")</f>
        <v/>
      </c>
      <c r="E1777" s="25" t="str">
        <f>IFERROR(INDEX(#REF!,MATCH(O1777,#REF!,0)),"")</f>
        <v/>
      </c>
      <c r="F1777" s="25" t="str">
        <f>IFERROR(INDEX(#REF!,MATCH(O1777,#REF!,0)),"")</f>
        <v/>
      </c>
      <c r="G1777" s="25" t="str">
        <f>IFERROR(INDEX(#REF!,MATCH(O1777,#REF!,0)),"")</f>
        <v/>
      </c>
      <c r="H1777" s="25" t="str">
        <f>IFERROR(INDEX(#REF!,MATCH(O1777,#REF!,0)),"")</f>
        <v/>
      </c>
      <c r="I1777" s="25" t="str">
        <f>IFERROR(INDEX(#REF!,MATCH(O1777,#REF!,0)),"")</f>
        <v/>
      </c>
      <c r="J1777" s="25" t="str">
        <f>IFERROR(INDEX(#REF!,MATCH(O1777,#REF!,0)),"")</f>
        <v/>
      </c>
      <c r="K1777" s="25" t="str">
        <f>IFERROR(INDEX(#REF!,MATCH(O1777,#REF!,0)),"")</f>
        <v/>
      </c>
      <c r="L1777" s="25" t="str">
        <f>IFERROR(INDEX(#REF!,MATCH(O1777,#REF!,0)),"")</f>
        <v/>
      </c>
      <c r="P1777" s="27" t="str">
        <f>IFERROR(INDEX(#REF!,MATCH($O1777,#REF!,0)),"")</f>
        <v/>
      </c>
      <c r="Q1777" s="27" t="str">
        <f>IFERROR(INDEX(#REF!,MATCH($O1777,#REF!,0)),"")</f>
        <v/>
      </c>
      <c r="R1777" s="52" t="str">
        <f>IFERROR(IF(AR1778=AR1777,INDEX(#REF!,MATCH($O1777,#REF!,0))-IF(AN1777="",0,AN1777)+AP1778,INDEX(#REF!,MATCH($O1777,#REF!,0))-IF(AN1777="",0,AN1777)),"")</f>
        <v/>
      </c>
      <c r="S1777" s="53" t="str">
        <f t="shared" si="868"/>
        <v/>
      </c>
      <c r="T1777" s="52" t="str">
        <f t="shared" si="869"/>
        <v/>
      </c>
      <c r="U1777" s="52" t="str">
        <f>IFERROR(IF(AR1778=AR1777,INDEX(#REF!,MATCH($O1777,#REF!,0))-IF(AN1777="",0,AN1777)+AP1778,INDEX(#REF!,MATCH($O1777,#REF!,0))-IF(AN1777="",0,AN1777)),"")</f>
        <v/>
      </c>
      <c r="V1777" s="53" t="str">
        <f t="shared" si="870"/>
        <v/>
      </c>
      <c r="W1777" s="52" t="str">
        <f t="shared" si="871"/>
        <v/>
      </c>
      <c r="X1777" s="52" t="str">
        <f>IFERROR(IF(AND(AR1778=AR1777,AM1777&lt;&gt;""),INDEX(#REF!,MATCH($O1777,#REF!,0))-IF(AN1777="",0,AN1777)+AP1778+AD1777+AL1777,IF(AR1778=AR1777,INDEX(#REF!,MATCH($O1777,#REF!,0))-IF(AN1777="",0,AN1777)+AP1778+AD1777,IF(AM1777&lt;&gt;"",INDEX(#REF!,MATCH($O1777,#REF!,0))-IF(AN1777="",0,AN1777)+AD1777+AL1777,INDEX(#REF!,MATCH($O1777,#REF!,0))-IF(AN1777="",0,AN1777)+AD1777))),"")</f>
        <v/>
      </c>
      <c r="Y1777" s="53" t="str">
        <f t="shared" si="872"/>
        <v/>
      </c>
      <c r="Z1777" s="52" t="str">
        <f>IF(L1777="","",INDEX(#REF!,MATCH($O1777,#REF!,0)))</f>
        <v/>
      </c>
      <c r="AA1777" s="52" t="str">
        <f t="shared" si="873"/>
        <v/>
      </c>
      <c r="AB1777" s="52" t="str">
        <f>IFERROR(INDEX(#REF!,MATCH($O1777,#REF!,0)),"")</f>
        <v/>
      </c>
      <c r="AC1777" s="52" t="str">
        <f>IFERROR(IF(O1777="","",SUMIFS('CPL Mats'!F:F,'CPL Mats'!Q:Q,AR1777,'CPL Mats'!S:S,AS1777)),"")</f>
        <v/>
      </c>
      <c r="AF1777" s="25" t="e">
        <f>IF(SUMIFS(#REF!,#REF!,"Releasable",#REF!,O1777)=0,"",SUMIFS(#REF!,#REF!,"Releasable",#REF!,O1777))</f>
        <v>#REF!</v>
      </c>
      <c r="AG1777" s="25" t="str">
        <f>IFERROR(INDEX(#REF!,MATCH(O1777,#REF!,0)),"")</f>
        <v/>
      </c>
      <c r="AH1777" s="25" t="str">
        <f>IFERROR(INDEX(#REF!,MATCH($O1777,#REF!,0)),"")</f>
        <v/>
      </c>
      <c r="AI1777" s="25" t="e">
        <f>IF(SUMIFS(#REF!,#REF!,"Expires this month",#REF!,O1777)=0,"",SUMIFS(#REF!,#REF!,"Expires this month",#REF!,O1777))</f>
        <v>#REF!</v>
      </c>
      <c r="AJ1777" s="25" t="e">
        <f>IF(SUMIFS(#REF!,#REF!,"Expired Previous Months",#REF!,O1777)=0,"",SUMIFS(#REF!,#REF!,"Expired Previous Months",#REF!,O1777))</f>
        <v>#REF!</v>
      </c>
      <c r="AK1777" s="25" t="str">
        <f>IFERROR(INDEX('Hun Release Current'!B:B,MATCH(O1777,'Hun Release Current'!A:A,0)),"")</f>
        <v/>
      </c>
      <c r="AL1777" s="25" t="str">
        <f>IF(SUMIF('Prev Aub'!A:A,O1777,'Prev Aub'!B:B)=0,"",SUMIF('Prev Aub'!A:A,O1777,'Prev Aub'!B:B))</f>
        <v/>
      </c>
      <c r="AN1777" s="25" t="s">
        <v>3790</v>
      </c>
      <c r="AO1777" s="25" t="s">
        <v>3790</v>
      </c>
      <c r="AP1777" s="25" t="str">
        <f t="shared" si="874"/>
        <v/>
      </c>
      <c r="AQ1777" s="151" t="e">
        <f>IF(SUMIFS(#REF!,#REF!,O1777,#REF!,"PENDING")=0,"",SUMIFS(#REF!,#REF!,O1777,#REF!,"PENDING"))</f>
        <v>#REF!</v>
      </c>
      <c r="AR1777" s="27" t="str">
        <f t="shared" si="875"/>
        <v/>
      </c>
      <c r="AS1777" s="27" t="str">
        <f t="shared" si="876"/>
        <v/>
      </c>
      <c r="AT1777" s="27" t="str">
        <f t="shared" si="877"/>
        <v/>
      </c>
      <c r="AU1777" s="27" t="str">
        <f t="shared" si="878"/>
        <v/>
      </c>
      <c r="AV1777" s="27" t="str">
        <f t="shared" si="879"/>
        <v/>
      </c>
      <c r="AW1777" s="27" t="e">
        <f t="shared" si="880"/>
        <v>#REF!</v>
      </c>
      <c r="AX1777" s="27" t="e">
        <f t="shared" si="881"/>
        <v>#REF!</v>
      </c>
      <c r="AY1777" s="27" t="str">
        <f t="shared" si="882"/>
        <v/>
      </c>
      <c r="AZ1777" s="27" t="str">
        <f t="shared" si="883"/>
        <v/>
      </c>
      <c r="BA1777" s="27" t="str">
        <f t="shared" si="884"/>
        <v/>
      </c>
      <c r="BB1777" s="27" t="str">
        <f t="shared" si="885"/>
        <v/>
      </c>
      <c r="BC1777" s="27" t="str">
        <f t="shared" si="886"/>
        <v/>
      </c>
      <c r="BD1777" s="27" t="str">
        <f t="shared" si="887"/>
        <v/>
      </c>
      <c r="BE1777" s="27" t="str">
        <f t="shared" si="888"/>
        <v/>
      </c>
      <c r="BF1777" s="27" t="str">
        <f t="shared" si="889"/>
        <v/>
      </c>
      <c r="BG1777" s="27" t="str">
        <f t="shared" si="890"/>
        <v/>
      </c>
      <c r="BH1777" s="27" t="str">
        <f t="shared" si="891"/>
        <v/>
      </c>
      <c r="BI1777" s="27" t="str">
        <f t="shared" si="892"/>
        <v/>
      </c>
      <c r="BJ1777" s="27" t="str">
        <f t="shared" si="893"/>
        <v/>
      </c>
      <c r="BK1777" s="27" t="str">
        <f t="shared" si="894"/>
        <v/>
      </c>
      <c r="BL1777" s="27" t="str">
        <f t="shared" si="895"/>
        <v/>
      </c>
      <c r="BM1777" s="21" t="s">
        <v>3790</v>
      </c>
    </row>
    <row r="1778" spans="1:65" ht="15">
      <c r="A1778" s="25" t="str">
        <f>IFERROR(INDEX(#REF!,MATCH(O1778,#REF!,0)),"")</f>
        <v/>
      </c>
      <c r="B1778" s="25" t="str">
        <f>IFERROR(INDEX(#REF!,MATCH(O1778,#REF!,0)),"")</f>
        <v/>
      </c>
      <c r="C1778" s="25" t="str">
        <f>IFERROR(INDEX(#REF!,MATCH(O1778,#REF!,0)),"")</f>
        <v/>
      </c>
      <c r="D1778" s="25" t="str">
        <f>IFERROR(INDEX(#REF!,MATCH(O1778,#REF!,0)),"")</f>
        <v/>
      </c>
      <c r="E1778" s="25" t="str">
        <f>IFERROR(INDEX(#REF!,MATCH(O1778,#REF!,0)),"")</f>
        <v/>
      </c>
      <c r="F1778" s="25" t="str">
        <f>IFERROR(INDEX(#REF!,MATCH(O1778,#REF!,0)),"")</f>
        <v/>
      </c>
      <c r="G1778" s="25" t="str">
        <f>IFERROR(INDEX(#REF!,MATCH(O1778,#REF!,0)),"")</f>
        <v/>
      </c>
      <c r="H1778" s="25" t="str">
        <f>IFERROR(INDEX(#REF!,MATCH(O1778,#REF!,0)),"")</f>
        <v/>
      </c>
      <c r="I1778" s="25" t="str">
        <f>IFERROR(INDEX(#REF!,MATCH(O1778,#REF!,0)),"")</f>
        <v/>
      </c>
      <c r="J1778" s="25" t="str">
        <f>IFERROR(INDEX(#REF!,MATCH(O1778,#REF!,0)),"")</f>
        <v/>
      </c>
      <c r="K1778" s="25" t="str">
        <f>IFERROR(INDEX(#REF!,MATCH(O1778,#REF!,0)),"")</f>
        <v/>
      </c>
      <c r="L1778" s="25" t="str">
        <f>IFERROR(INDEX(#REF!,MATCH(O1778,#REF!,0)),"")</f>
        <v/>
      </c>
      <c r="P1778" s="27" t="str">
        <f>IFERROR(INDEX(#REF!,MATCH($O1778,#REF!,0)),"")</f>
        <v/>
      </c>
      <c r="Q1778" s="27" t="str">
        <f>IFERROR(INDEX(#REF!,MATCH($O1778,#REF!,0)),"")</f>
        <v/>
      </c>
      <c r="R1778" s="52" t="str">
        <f>IFERROR(IF(AR1779=AR1778,INDEX(#REF!,MATCH($O1778,#REF!,0))-IF(AN1778="",0,AN1778)+AP1779,INDEX(#REF!,MATCH($O1778,#REF!,0))-IF(AN1778="",0,AN1778)),"")</f>
        <v/>
      </c>
      <c r="S1778" s="53" t="str">
        <f t="shared" si="868"/>
        <v/>
      </c>
      <c r="T1778" s="52" t="str">
        <f t="shared" si="869"/>
        <v/>
      </c>
      <c r="U1778" s="52" t="str">
        <f>IFERROR(IF(AR1779=AR1778,INDEX(#REF!,MATCH($O1778,#REF!,0))-IF(AN1778="",0,AN1778)+AP1779,INDEX(#REF!,MATCH($O1778,#REF!,0))-IF(AN1778="",0,AN1778)),"")</f>
        <v/>
      </c>
      <c r="V1778" s="53" t="str">
        <f t="shared" si="870"/>
        <v/>
      </c>
      <c r="W1778" s="52" t="str">
        <f t="shared" si="871"/>
        <v/>
      </c>
      <c r="X1778" s="52" t="str">
        <f>IFERROR(IF(AND(AR1779=AR1778,AM1778&lt;&gt;""),INDEX(#REF!,MATCH($O1778,#REF!,0))-IF(AN1778="",0,AN1778)+AP1779+AD1778+AL1778,IF(AR1779=AR1778,INDEX(#REF!,MATCH($O1778,#REF!,0))-IF(AN1778="",0,AN1778)+AP1779+AD1778,IF(AM1778&lt;&gt;"",INDEX(#REF!,MATCH($O1778,#REF!,0))-IF(AN1778="",0,AN1778)+AD1778+AL1778,INDEX(#REF!,MATCH($O1778,#REF!,0))-IF(AN1778="",0,AN1778)+AD1778))),"")</f>
        <v/>
      </c>
      <c r="Y1778" s="53" t="str">
        <f t="shared" si="872"/>
        <v/>
      </c>
      <c r="Z1778" s="52" t="str">
        <f>IF(L1778="","",INDEX(#REF!,MATCH($O1778,#REF!,0)))</f>
        <v/>
      </c>
      <c r="AA1778" s="52" t="str">
        <f t="shared" si="873"/>
        <v/>
      </c>
      <c r="AB1778" s="52" t="str">
        <f>IFERROR(INDEX(#REF!,MATCH($O1778,#REF!,0)),"")</f>
        <v/>
      </c>
      <c r="AC1778" s="52" t="str">
        <f>IFERROR(IF(O1778="","",SUMIFS('CPL Mats'!F:F,'CPL Mats'!Q:Q,AR1778,'CPL Mats'!S:S,AS1778)),"")</f>
        <v/>
      </c>
      <c r="AF1778" s="25" t="e">
        <f>IF(SUMIFS(#REF!,#REF!,"Releasable",#REF!,O1778)=0,"",SUMIFS(#REF!,#REF!,"Releasable",#REF!,O1778))</f>
        <v>#REF!</v>
      </c>
      <c r="AG1778" s="25" t="str">
        <f>IFERROR(INDEX(#REF!,MATCH(O1778,#REF!,0)),"")</f>
        <v/>
      </c>
      <c r="AH1778" s="25" t="str">
        <f>IFERROR(INDEX(#REF!,MATCH($O1778,#REF!,0)),"")</f>
        <v/>
      </c>
      <c r="AI1778" s="25" t="e">
        <f>IF(SUMIFS(#REF!,#REF!,"Expires this month",#REF!,O1778)=0,"",SUMIFS(#REF!,#REF!,"Expires this month",#REF!,O1778))</f>
        <v>#REF!</v>
      </c>
      <c r="AJ1778" s="25" t="e">
        <f>IF(SUMIFS(#REF!,#REF!,"Expired Previous Months",#REF!,O1778)=0,"",SUMIFS(#REF!,#REF!,"Expired Previous Months",#REF!,O1778))</f>
        <v>#REF!</v>
      </c>
      <c r="AK1778" s="25" t="str">
        <f>IFERROR(INDEX('Hun Release Current'!B:B,MATCH(O1778,'Hun Release Current'!A:A,0)),"")</f>
        <v/>
      </c>
      <c r="AL1778" s="25" t="str">
        <f>IF(SUMIF('Prev Aub'!A:A,O1778,'Prev Aub'!B:B)=0,"",SUMIF('Prev Aub'!A:A,O1778,'Prev Aub'!B:B))</f>
        <v/>
      </c>
      <c r="AN1778" s="25" t="s">
        <v>3790</v>
      </c>
      <c r="AO1778" s="25" t="s">
        <v>3790</v>
      </c>
      <c r="AP1778" s="25" t="str">
        <f t="shared" si="874"/>
        <v/>
      </c>
      <c r="AQ1778" s="151" t="e">
        <f>IF(SUMIFS(#REF!,#REF!,O1778,#REF!,"PENDING")=0,"",SUMIFS(#REF!,#REF!,O1778,#REF!,"PENDING"))</f>
        <v>#REF!</v>
      </c>
      <c r="AR1778" s="27" t="str">
        <f t="shared" si="875"/>
        <v/>
      </c>
      <c r="AS1778" s="27" t="str">
        <f t="shared" si="876"/>
        <v/>
      </c>
      <c r="AT1778" s="27" t="str">
        <f t="shared" si="877"/>
        <v/>
      </c>
      <c r="AU1778" s="27" t="str">
        <f t="shared" si="878"/>
        <v/>
      </c>
      <c r="AV1778" s="27" t="str">
        <f t="shared" si="879"/>
        <v/>
      </c>
      <c r="AW1778" s="27" t="e">
        <f t="shared" si="880"/>
        <v>#REF!</v>
      </c>
      <c r="AX1778" s="27" t="e">
        <f t="shared" si="881"/>
        <v>#REF!</v>
      </c>
      <c r="AY1778" s="27" t="str">
        <f t="shared" si="882"/>
        <v/>
      </c>
      <c r="AZ1778" s="27" t="str">
        <f t="shared" si="883"/>
        <v/>
      </c>
      <c r="BA1778" s="27" t="str">
        <f t="shared" si="884"/>
        <v/>
      </c>
      <c r="BB1778" s="27" t="str">
        <f t="shared" si="885"/>
        <v/>
      </c>
      <c r="BC1778" s="27" t="str">
        <f t="shared" si="886"/>
        <v/>
      </c>
      <c r="BD1778" s="27" t="str">
        <f t="shared" si="887"/>
        <v/>
      </c>
      <c r="BE1778" s="27" t="str">
        <f t="shared" si="888"/>
        <v/>
      </c>
      <c r="BF1778" s="27" t="str">
        <f t="shared" si="889"/>
        <v/>
      </c>
      <c r="BG1778" s="27" t="str">
        <f t="shared" si="890"/>
        <v/>
      </c>
      <c r="BH1778" s="27" t="str">
        <f t="shared" si="891"/>
        <v/>
      </c>
      <c r="BI1778" s="27" t="str">
        <f t="shared" si="892"/>
        <v/>
      </c>
      <c r="BJ1778" s="27" t="str">
        <f t="shared" si="893"/>
        <v/>
      </c>
      <c r="BK1778" s="27" t="str">
        <f t="shared" si="894"/>
        <v/>
      </c>
      <c r="BL1778" s="27" t="str">
        <f t="shared" si="895"/>
        <v/>
      </c>
      <c r="BM1778" s="21" t="s">
        <v>3790</v>
      </c>
    </row>
    <row r="1779" spans="1:65" ht="15">
      <c r="A1779" s="25" t="str">
        <f>IFERROR(INDEX(#REF!,MATCH(O1779,#REF!,0)),"")</f>
        <v/>
      </c>
      <c r="B1779" s="25" t="str">
        <f>IFERROR(INDEX(#REF!,MATCH(O1779,#REF!,0)),"")</f>
        <v/>
      </c>
      <c r="C1779" s="25" t="str">
        <f>IFERROR(INDEX(#REF!,MATCH(O1779,#REF!,0)),"")</f>
        <v/>
      </c>
      <c r="D1779" s="25" t="str">
        <f>IFERROR(INDEX(#REF!,MATCH(O1779,#REF!,0)),"")</f>
        <v/>
      </c>
      <c r="E1779" s="25" t="str">
        <f>IFERROR(INDEX(#REF!,MATCH(O1779,#REF!,0)),"")</f>
        <v/>
      </c>
      <c r="F1779" s="25" t="str">
        <f>IFERROR(INDEX(#REF!,MATCH(O1779,#REF!,0)),"")</f>
        <v/>
      </c>
      <c r="G1779" s="25" t="str">
        <f>IFERROR(INDEX(#REF!,MATCH(O1779,#REF!,0)),"")</f>
        <v/>
      </c>
      <c r="H1779" s="25" t="str">
        <f>IFERROR(INDEX(#REF!,MATCH(O1779,#REF!,0)),"")</f>
        <v/>
      </c>
      <c r="I1779" s="25" t="str">
        <f>IFERROR(INDEX(#REF!,MATCH(O1779,#REF!,0)),"")</f>
        <v/>
      </c>
      <c r="J1779" s="25" t="str">
        <f>IFERROR(INDEX(#REF!,MATCH(O1779,#REF!,0)),"")</f>
        <v/>
      </c>
      <c r="K1779" s="25" t="str">
        <f>IFERROR(INDEX(#REF!,MATCH(O1779,#REF!,0)),"")</f>
        <v/>
      </c>
      <c r="L1779" s="25" t="str">
        <f>IFERROR(INDEX(#REF!,MATCH(O1779,#REF!,0)),"")</f>
        <v/>
      </c>
      <c r="P1779" s="27" t="str">
        <f>IFERROR(INDEX(#REF!,MATCH($O1779,#REF!,0)),"")</f>
        <v/>
      </c>
      <c r="Q1779" s="27" t="str">
        <f>IFERROR(INDEX(#REF!,MATCH($O1779,#REF!,0)),"")</f>
        <v/>
      </c>
      <c r="R1779" s="52" t="str">
        <f>IFERROR(IF(AR1780=AR1779,INDEX(#REF!,MATCH($O1779,#REF!,0))-IF(AN1779="",0,AN1779)+AP1780,INDEX(#REF!,MATCH($O1779,#REF!,0))-IF(AN1779="",0,AN1779)),"")</f>
        <v/>
      </c>
      <c r="S1779" s="53" t="str">
        <f t="shared" si="868"/>
        <v/>
      </c>
      <c r="T1779" s="52" t="str">
        <f t="shared" si="869"/>
        <v/>
      </c>
      <c r="U1779" s="52" t="str">
        <f>IFERROR(IF(AR1780=AR1779,INDEX(#REF!,MATCH($O1779,#REF!,0))-IF(AN1779="",0,AN1779)+AP1780,INDEX(#REF!,MATCH($O1779,#REF!,0))-IF(AN1779="",0,AN1779)),"")</f>
        <v/>
      </c>
      <c r="V1779" s="53" t="str">
        <f t="shared" si="870"/>
        <v/>
      </c>
      <c r="W1779" s="52" t="str">
        <f t="shared" si="871"/>
        <v/>
      </c>
      <c r="X1779" s="52" t="str">
        <f>IFERROR(IF(AND(AR1780=AR1779,AM1779&lt;&gt;""),INDEX(#REF!,MATCH($O1779,#REF!,0))-IF(AN1779="",0,AN1779)+AP1780+AD1779+AL1779,IF(AR1780=AR1779,INDEX(#REF!,MATCH($O1779,#REF!,0))-IF(AN1779="",0,AN1779)+AP1780+AD1779,IF(AM1779&lt;&gt;"",INDEX(#REF!,MATCH($O1779,#REF!,0))-IF(AN1779="",0,AN1779)+AD1779+AL1779,INDEX(#REF!,MATCH($O1779,#REF!,0))-IF(AN1779="",0,AN1779)+AD1779))),"")</f>
        <v/>
      </c>
      <c r="Y1779" s="53" t="str">
        <f t="shared" si="872"/>
        <v/>
      </c>
      <c r="Z1779" s="52" t="str">
        <f>IF(L1779="","",INDEX(#REF!,MATCH($O1779,#REF!,0)))</f>
        <v/>
      </c>
      <c r="AA1779" s="52" t="str">
        <f t="shared" si="873"/>
        <v/>
      </c>
      <c r="AB1779" s="52" t="str">
        <f>IFERROR(INDEX(#REF!,MATCH($O1779,#REF!,0)),"")</f>
        <v/>
      </c>
      <c r="AC1779" s="52" t="str">
        <f>IFERROR(IF(O1779="","",SUMIFS('CPL Mats'!F:F,'CPL Mats'!Q:Q,AR1779,'CPL Mats'!S:S,AS1779)),"")</f>
        <v/>
      </c>
      <c r="AF1779" s="25" t="e">
        <f>IF(SUMIFS(#REF!,#REF!,"Releasable",#REF!,O1779)=0,"",SUMIFS(#REF!,#REF!,"Releasable",#REF!,O1779))</f>
        <v>#REF!</v>
      </c>
      <c r="AG1779" s="25" t="str">
        <f>IFERROR(INDEX(#REF!,MATCH(O1779,#REF!,0)),"")</f>
        <v/>
      </c>
      <c r="AH1779" s="25" t="str">
        <f>IFERROR(INDEX(#REF!,MATCH($O1779,#REF!,0)),"")</f>
        <v/>
      </c>
      <c r="AI1779" s="25" t="e">
        <f>IF(SUMIFS(#REF!,#REF!,"Expires this month",#REF!,O1779)=0,"",SUMIFS(#REF!,#REF!,"Expires this month",#REF!,O1779))</f>
        <v>#REF!</v>
      </c>
      <c r="AJ1779" s="25" t="e">
        <f>IF(SUMIFS(#REF!,#REF!,"Expired Previous Months",#REF!,O1779)=0,"",SUMIFS(#REF!,#REF!,"Expired Previous Months",#REF!,O1779))</f>
        <v>#REF!</v>
      </c>
      <c r="AK1779" s="25" t="str">
        <f>IFERROR(INDEX('Hun Release Current'!B:B,MATCH(O1779,'Hun Release Current'!A:A,0)),"")</f>
        <v/>
      </c>
      <c r="AL1779" s="25" t="str">
        <f>IF(SUMIF('Prev Aub'!A:A,O1779,'Prev Aub'!B:B)=0,"",SUMIF('Prev Aub'!A:A,O1779,'Prev Aub'!B:B))</f>
        <v/>
      </c>
      <c r="AN1779" s="25" t="s">
        <v>3790</v>
      </c>
      <c r="AO1779" s="25" t="s">
        <v>3790</v>
      </c>
      <c r="AP1779" s="25" t="str">
        <f t="shared" si="874"/>
        <v/>
      </c>
      <c r="AQ1779" s="151" t="e">
        <f>IF(SUMIFS(#REF!,#REF!,O1779,#REF!,"PENDING")=0,"",SUMIFS(#REF!,#REF!,O1779,#REF!,"PENDING"))</f>
        <v>#REF!</v>
      </c>
      <c r="AR1779" s="27" t="str">
        <f t="shared" si="875"/>
        <v/>
      </c>
      <c r="AS1779" s="27" t="str">
        <f t="shared" si="876"/>
        <v/>
      </c>
      <c r="AT1779" s="27" t="str">
        <f t="shared" si="877"/>
        <v/>
      </c>
      <c r="AU1779" s="27" t="str">
        <f t="shared" si="878"/>
        <v/>
      </c>
      <c r="AV1779" s="27" t="str">
        <f t="shared" si="879"/>
        <v/>
      </c>
      <c r="AW1779" s="27" t="e">
        <f t="shared" si="880"/>
        <v>#REF!</v>
      </c>
      <c r="AX1779" s="27" t="e">
        <f t="shared" si="881"/>
        <v>#REF!</v>
      </c>
      <c r="AY1779" s="27" t="str">
        <f t="shared" si="882"/>
        <v/>
      </c>
      <c r="AZ1779" s="27" t="str">
        <f t="shared" si="883"/>
        <v/>
      </c>
      <c r="BA1779" s="27" t="str">
        <f t="shared" si="884"/>
        <v/>
      </c>
      <c r="BB1779" s="27" t="str">
        <f t="shared" si="885"/>
        <v/>
      </c>
      <c r="BC1779" s="27" t="str">
        <f t="shared" si="886"/>
        <v/>
      </c>
      <c r="BD1779" s="27" t="str">
        <f t="shared" si="887"/>
        <v/>
      </c>
      <c r="BE1779" s="27" t="str">
        <f t="shared" si="888"/>
        <v/>
      </c>
      <c r="BF1779" s="27" t="str">
        <f t="shared" si="889"/>
        <v/>
      </c>
      <c r="BG1779" s="27" t="str">
        <f t="shared" si="890"/>
        <v/>
      </c>
      <c r="BH1779" s="27" t="str">
        <f t="shared" si="891"/>
        <v/>
      </c>
      <c r="BI1779" s="27" t="str">
        <f t="shared" si="892"/>
        <v/>
      </c>
      <c r="BJ1779" s="27" t="str">
        <f t="shared" si="893"/>
        <v/>
      </c>
      <c r="BK1779" s="27" t="str">
        <f t="shared" si="894"/>
        <v/>
      </c>
      <c r="BL1779" s="27" t="str">
        <f t="shared" si="895"/>
        <v/>
      </c>
      <c r="BM1779" s="21" t="s">
        <v>3790</v>
      </c>
    </row>
    <row r="1780" spans="1:65" ht="15">
      <c r="A1780" s="25" t="str">
        <f>IFERROR(INDEX(#REF!,MATCH(O1780,#REF!,0)),"")</f>
        <v/>
      </c>
      <c r="B1780" s="25" t="str">
        <f>IFERROR(INDEX(#REF!,MATCH(O1780,#REF!,0)),"")</f>
        <v/>
      </c>
      <c r="C1780" s="25" t="str">
        <f>IFERROR(INDEX(#REF!,MATCH(O1780,#REF!,0)),"")</f>
        <v/>
      </c>
      <c r="D1780" s="25" t="str">
        <f>IFERROR(INDEX(#REF!,MATCH(O1780,#REF!,0)),"")</f>
        <v/>
      </c>
      <c r="E1780" s="25" t="str">
        <f>IFERROR(INDEX(#REF!,MATCH(O1780,#REF!,0)),"")</f>
        <v/>
      </c>
      <c r="F1780" s="25" t="str">
        <f>IFERROR(INDEX(#REF!,MATCH(O1780,#REF!,0)),"")</f>
        <v/>
      </c>
      <c r="G1780" s="25" t="str">
        <f>IFERROR(INDEX(#REF!,MATCH(O1780,#REF!,0)),"")</f>
        <v/>
      </c>
      <c r="H1780" s="25" t="str">
        <f>IFERROR(INDEX(#REF!,MATCH(O1780,#REF!,0)),"")</f>
        <v/>
      </c>
      <c r="I1780" s="25" t="str">
        <f>IFERROR(INDEX(#REF!,MATCH(O1780,#REF!,0)),"")</f>
        <v/>
      </c>
      <c r="J1780" s="25" t="str">
        <f>IFERROR(INDEX(#REF!,MATCH(O1780,#REF!,0)),"")</f>
        <v/>
      </c>
      <c r="K1780" s="25" t="str">
        <f>IFERROR(INDEX(#REF!,MATCH(O1780,#REF!,0)),"")</f>
        <v/>
      </c>
      <c r="L1780" s="25" t="str">
        <f>IFERROR(INDEX(#REF!,MATCH(O1780,#REF!,0)),"")</f>
        <v/>
      </c>
      <c r="P1780" s="27" t="str">
        <f>IFERROR(INDEX(#REF!,MATCH($O1780,#REF!,0)),"")</f>
        <v/>
      </c>
      <c r="Q1780" s="27" t="str">
        <f>IFERROR(INDEX(#REF!,MATCH($O1780,#REF!,0)),"")</f>
        <v/>
      </c>
      <c r="R1780" s="52" t="str">
        <f>IFERROR(IF(AR1781=AR1780,INDEX(#REF!,MATCH($O1780,#REF!,0))-IF(AN1780="",0,AN1780)+AP1781,INDEX(#REF!,MATCH($O1780,#REF!,0))-IF(AN1780="",0,AN1780)),"")</f>
        <v/>
      </c>
      <c r="S1780" s="53" t="str">
        <f t="shared" si="868"/>
        <v/>
      </c>
      <c r="T1780" s="52" t="str">
        <f t="shared" si="869"/>
        <v/>
      </c>
      <c r="U1780" s="52" t="str">
        <f>IFERROR(IF(AR1781=AR1780,INDEX(#REF!,MATCH($O1780,#REF!,0))-IF(AN1780="",0,AN1780)+AP1781,INDEX(#REF!,MATCH($O1780,#REF!,0))-IF(AN1780="",0,AN1780)),"")</f>
        <v/>
      </c>
      <c r="V1780" s="53" t="str">
        <f t="shared" si="870"/>
        <v/>
      </c>
      <c r="W1780" s="52" t="str">
        <f t="shared" si="871"/>
        <v/>
      </c>
      <c r="X1780" s="52" t="str">
        <f>IFERROR(IF(AND(AR1781=AR1780,AM1780&lt;&gt;""),INDEX(#REF!,MATCH($O1780,#REF!,0))-IF(AN1780="",0,AN1780)+AP1781+AD1780+AL1780,IF(AR1781=AR1780,INDEX(#REF!,MATCH($O1780,#REF!,0))-IF(AN1780="",0,AN1780)+AP1781+AD1780,IF(AM1780&lt;&gt;"",INDEX(#REF!,MATCH($O1780,#REF!,0))-IF(AN1780="",0,AN1780)+AD1780+AL1780,INDEX(#REF!,MATCH($O1780,#REF!,0))-IF(AN1780="",0,AN1780)+AD1780))),"")</f>
        <v/>
      </c>
      <c r="Y1780" s="53" t="str">
        <f t="shared" si="872"/>
        <v/>
      </c>
      <c r="Z1780" s="52" t="str">
        <f>IF(L1780="","",INDEX(#REF!,MATCH($O1780,#REF!,0)))</f>
        <v/>
      </c>
      <c r="AA1780" s="52" t="str">
        <f t="shared" si="873"/>
        <v/>
      </c>
      <c r="AB1780" s="52" t="str">
        <f>IFERROR(INDEX(#REF!,MATCH($O1780,#REF!,0)),"")</f>
        <v/>
      </c>
      <c r="AC1780" s="52" t="str">
        <f>IFERROR(IF(O1780="","",SUMIFS('CPL Mats'!F:F,'CPL Mats'!Q:Q,AR1780,'CPL Mats'!S:S,AS1780)),"")</f>
        <v/>
      </c>
      <c r="AF1780" s="25" t="e">
        <f>IF(SUMIFS(#REF!,#REF!,"Releasable",#REF!,O1780)=0,"",SUMIFS(#REF!,#REF!,"Releasable",#REF!,O1780))</f>
        <v>#REF!</v>
      </c>
      <c r="AG1780" s="25" t="str">
        <f>IFERROR(INDEX(#REF!,MATCH(O1780,#REF!,0)),"")</f>
        <v/>
      </c>
      <c r="AH1780" s="25" t="str">
        <f>IFERROR(INDEX(#REF!,MATCH($O1780,#REF!,0)),"")</f>
        <v/>
      </c>
      <c r="AI1780" s="25" t="e">
        <f>IF(SUMIFS(#REF!,#REF!,"Expires this month",#REF!,O1780)=0,"",SUMIFS(#REF!,#REF!,"Expires this month",#REF!,O1780))</f>
        <v>#REF!</v>
      </c>
      <c r="AJ1780" s="25" t="e">
        <f>IF(SUMIFS(#REF!,#REF!,"Expired Previous Months",#REF!,O1780)=0,"",SUMIFS(#REF!,#REF!,"Expired Previous Months",#REF!,O1780))</f>
        <v>#REF!</v>
      </c>
      <c r="AK1780" s="25" t="str">
        <f>IFERROR(INDEX('Hun Release Current'!B:B,MATCH(O1780,'Hun Release Current'!A:A,0)),"")</f>
        <v/>
      </c>
      <c r="AL1780" s="25" t="str">
        <f>IF(SUMIF('Prev Aub'!A:A,O1780,'Prev Aub'!B:B)=0,"",SUMIF('Prev Aub'!A:A,O1780,'Prev Aub'!B:B))</f>
        <v/>
      </c>
      <c r="AN1780" s="25" t="s">
        <v>3790</v>
      </c>
      <c r="AO1780" s="25" t="s">
        <v>3790</v>
      </c>
      <c r="AP1780" s="25" t="str">
        <f t="shared" si="874"/>
        <v/>
      </c>
      <c r="AQ1780" s="151" t="e">
        <f>IF(SUMIFS(#REF!,#REF!,O1780,#REF!,"PENDING")=0,"",SUMIFS(#REF!,#REF!,O1780,#REF!,"PENDING"))</f>
        <v>#REF!</v>
      </c>
      <c r="AR1780" s="27" t="str">
        <f t="shared" si="875"/>
        <v/>
      </c>
      <c r="AS1780" s="27" t="str">
        <f t="shared" si="876"/>
        <v/>
      </c>
      <c r="AT1780" s="27" t="str">
        <f t="shared" si="877"/>
        <v/>
      </c>
      <c r="AU1780" s="27" t="str">
        <f t="shared" si="878"/>
        <v/>
      </c>
      <c r="AV1780" s="27" t="str">
        <f t="shared" si="879"/>
        <v/>
      </c>
      <c r="AW1780" s="27" t="e">
        <f t="shared" si="880"/>
        <v>#REF!</v>
      </c>
      <c r="AX1780" s="27" t="e">
        <f t="shared" si="881"/>
        <v>#REF!</v>
      </c>
      <c r="AY1780" s="27" t="str">
        <f t="shared" si="882"/>
        <v/>
      </c>
      <c r="AZ1780" s="27" t="str">
        <f t="shared" si="883"/>
        <v/>
      </c>
      <c r="BA1780" s="27" t="str">
        <f t="shared" si="884"/>
        <v/>
      </c>
      <c r="BB1780" s="27" t="str">
        <f t="shared" si="885"/>
        <v/>
      </c>
      <c r="BC1780" s="27" t="str">
        <f t="shared" si="886"/>
        <v/>
      </c>
      <c r="BD1780" s="27" t="str">
        <f t="shared" si="887"/>
        <v/>
      </c>
      <c r="BE1780" s="27" t="str">
        <f t="shared" si="888"/>
        <v/>
      </c>
      <c r="BF1780" s="27" t="str">
        <f t="shared" si="889"/>
        <v/>
      </c>
      <c r="BG1780" s="27" t="str">
        <f t="shared" si="890"/>
        <v/>
      </c>
      <c r="BH1780" s="27" t="str">
        <f t="shared" si="891"/>
        <v/>
      </c>
      <c r="BI1780" s="27" t="str">
        <f t="shared" si="892"/>
        <v/>
      </c>
      <c r="BJ1780" s="27" t="str">
        <f t="shared" si="893"/>
        <v/>
      </c>
      <c r="BK1780" s="27" t="str">
        <f t="shared" si="894"/>
        <v/>
      </c>
      <c r="BL1780" s="27" t="str">
        <f t="shared" si="895"/>
        <v/>
      </c>
      <c r="BM1780" s="21" t="s">
        <v>3790</v>
      </c>
    </row>
    <row r="1781" spans="1:65" ht="15">
      <c r="A1781" s="25" t="str">
        <f>IFERROR(INDEX(#REF!,MATCH(O1781,#REF!,0)),"")</f>
        <v/>
      </c>
      <c r="B1781" s="25" t="str">
        <f>IFERROR(INDEX(#REF!,MATCH(O1781,#REF!,0)),"")</f>
        <v/>
      </c>
      <c r="C1781" s="25" t="str">
        <f>IFERROR(INDEX(#REF!,MATCH(O1781,#REF!,0)),"")</f>
        <v/>
      </c>
      <c r="D1781" s="25" t="str">
        <f>IFERROR(INDEX(#REF!,MATCH(O1781,#REF!,0)),"")</f>
        <v/>
      </c>
      <c r="E1781" s="25" t="str">
        <f>IFERROR(INDEX(#REF!,MATCH(O1781,#REF!,0)),"")</f>
        <v/>
      </c>
      <c r="F1781" s="25" t="str">
        <f>IFERROR(INDEX(#REF!,MATCH(O1781,#REF!,0)),"")</f>
        <v/>
      </c>
      <c r="G1781" s="25" t="str">
        <f>IFERROR(INDEX(#REF!,MATCH(O1781,#REF!,0)),"")</f>
        <v/>
      </c>
      <c r="H1781" s="25" t="str">
        <f>IFERROR(INDEX(#REF!,MATCH(O1781,#REF!,0)),"")</f>
        <v/>
      </c>
      <c r="I1781" s="25" t="str">
        <f>IFERROR(INDEX(#REF!,MATCH(O1781,#REF!,0)),"")</f>
        <v/>
      </c>
      <c r="J1781" s="25" t="str">
        <f>IFERROR(INDEX(#REF!,MATCH(O1781,#REF!,0)),"")</f>
        <v/>
      </c>
      <c r="K1781" s="25" t="str">
        <f>IFERROR(INDEX(#REF!,MATCH(O1781,#REF!,0)),"")</f>
        <v/>
      </c>
      <c r="L1781" s="25" t="str">
        <f>IFERROR(INDEX(#REF!,MATCH(O1781,#REF!,0)),"")</f>
        <v/>
      </c>
      <c r="P1781" s="27" t="str">
        <f>IFERROR(INDEX(#REF!,MATCH($O1781,#REF!,0)),"")</f>
        <v/>
      </c>
      <c r="Q1781" s="27" t="str">
        <f>IFERROR(INDEX(#REF!,MATCH($O1781,#REF!,0)),"")</f>
        <v/>
      </c>
      <c r="R1781" s="52" t="str">
        <f>IFERROR(IF(AR1782=AR1781,INDEX(#REF!,MATCH($O1781,#REF!,0))-IF(AN1781="",0,AN1781)+AP1782,INDEX(#REF!,MATCH($O1781,#REF!,0))-IF(AN1781="",0,AN1781)),"")</f>
        <v/>
      </c>
      <c r="S1781" s="53" t="str">
        <f t="shared" si="868"/>
        <v/>
      </c>
      <c r="T1781" s="52" t="str">
        <f t="shared" si="869"/>
        <v/>
      </c>
      <c r="U1781" s="52" t="str">
        <f>IFERROR(IF(AR1782=AR1781,INDEX(#REF!,MATCH($O1781,#REF!,0))-IF(AN1781="",0,AN1781)+AP1782,INDEX(#REF!,MATCH($O1781,#REF!,0))-IF(AN1781="",0,AN1781)),"")</f>
        <v/>
      </c>
      <c r="V1781" s="53" t="str">
        <f t="shared" si="870"/>
        <v/>
      </c>
      <c r="W1781" s="52" t="str">
        <f t="shared" si="871"/>
        <v/>
      </c>
      <c r="X1781" s="52" t="str">
        <f>IFERROR(IF(AND(AR1782=AR1781,AM1781&lt;&gt;""),INDEX(#REF!,MATCH($O1781,#REF!,0))-IF(AN1781="",0,AN1781)+AP1782+AD1781+AL1781,IF(AR1782=AR1781,INDEX(#REF!,MATCH($O1781,#REF!,0))-IF(AN1781="",0,AN1781)+AP1782+AD1781,IF(AM1781&lt;&gt;"",INDEX(#REF!,MATCH($O1781,#REF!,0))-IF(AN1781="",0,AN1781)+AD1781+AL1781,INDEX(#REF!,MATCH($O1781,#REF!,0))-IF(AN1781="",0,AN1781)+AD1781))),"")</f>
        <v/>
      </c>
      <c r="Y1781" s="53" t="str">
        <f t="shared" si="872"/>
        <v/>
      </c>
      <c r="Z1781" s="52" t="str">
        <f>IF(L1781="","",INDEX(#REF!,MATCH($O1781,#REF!,0)))</f>
        <v/>
      </c>
      <c r="AA1781" s="52" t="str">
        <f t="shared" si="873"/>
        <v/>
      </c>
      <c r="AB1781" s="52" t="str">
        <f>IFERROR(INDEX(#REF!,MATCH($O1781,#REF!,0)),"")</f>
        <v/>
      </c>
      <c r="AC1781" s="52" t="str">
        <f>IFERROR(IF(O1781="","",SUMIFS('CPL Mats'!F:F,'CPL Mats'!Q:Q,AR1781,'CPL Mats'!S:S,AS1781)),"")</f>
        <v/>
      </c>
      <c r="AF1781" s="25" t="e">
        <f>IF(SUMIFS(#REF!,#REF!,"Releasable",#REF!,O1781)=0,"",SUMIFS(#REF!,#REF!,"Releasable",#REF!,O1781))</f>
        <v>#REF!</v>
      </c>
      <c r="AG1781" s="25" t="str">
        <f>IFERROR(INDEX(#REF!,MATCH(O1781,#REF!,0)),"")</f>
        <v/>
      </c>
      <c r="AH1781" s="25" t="str">
        <f>IFERROR(INDEX(#REF!,MATCH($O1781,#REF!,0)),"")</f>
        <v/>
      </c>
      <c r="AI1781" s="25" t="e">
        <f>IF(SUMIFS(#REF!,#REF!,"Expires this month",#REF!,O1781)=0,"",SUMIFS(#REF!,#REF!,"Expires this month",#REF!,O1781))</f>
        <v>#REF!</v>
      </c>
      <c r="AJ1781" s="25" t="e">
        <f>IF(SUMIFS(#REF!,#REF!,"Expired Previous Months",#REF!,O1781)=0,"",SUMIFS(#REF!,#REF!,"Expired Previous Months",#REF!,O1781))</f>
        <v>#REF!</v>
      </c>
      <c r="AK1781" s="25" t="str">
        <f>IFERROR(INDEX('Hun Release Current'!B:B,MATCH(O1781,'Hun Release Current'!A:A,0)),"")</f>
        <v/>
      </c>
      <c r="AL1781" s="25" t="str">
        <f>IF(SUMIF('Prev Aub'!A:A,O1781,'Prev Aub'!B:B)=0,"",SUMIF('Prev Aub'!A:A,O1781,'Prev Aub'!B:B))</f>
        <v/>
      </c>
      <c r="AN1781" s="25" t="s">
        <v>3790</v>
      </c>
      <c r="AO1781" s="25" t="s">
        <v>3790</v>
      </c>
      <c r="AP1781" s="25" t="str">
        <f t="shared" si="874"/>
        <v/>
      </c>
      <c r="AQ1781" s="151" t="e">
        <f>IF(SUMIFS(#REF!,#REF!,O1781,#REF!,"PENDING")=0,"",SUMIFS(#REF!,#REF!,O1781,#REF!,"PENDING"))</f>
        <v>#REF!</v>
      </c>
      <c r="AR1781" s="27" t="str">
        <f t="shared" si="875"/>
        <v/>
      </c>
      <c r="AS1781" s="27" t="str">
        <f t="shared" si="876"/>
        <v/>
      </c>
      <c r="AT1781" s="27" t="str">
        <f t="shared" si="877"/>
        <v/>
      </c>
      <c r="AU1781" s="27" t="str">
        <f t="shared" si="878"/>
        <v/>
      </c>
      <c r="AV1781" s="27" t="str">
        <f t="shared" si="879"/>
        <v/>
      </c>
      <c r="AW1781" s="27" t="e">
        <f t="shared" si="880"/>
        <v>#REF!</v>
      </c>
      <c r="AX1781" s="27" t="e">
        <f t="shared" si="881"/>
        <v>#REF!</v>
      </c>
      <c r="AY1781" s="27" t="str">
        <f t="shared" si="882"/>
        <v/>
      </c>
      <c r="AZ1781" s="27" t="str">
        <f t="shared" si="883"/>
        <v/>
      </c>
      <c r="BA1781" s="27" t="str">
        <f t="shared" si="884"/>
        <v/>
      </c>
      <c r="BB1781" s="27" t="str">
        <f t="shared" si="885"/>
        <v/>
      </c>
      <c r="BC1781" s="27" t="str">
        <f t="shared" si="886"/>
        <v/>
      </c>
      <c r="BD1781" s="27" t="str">
        <f t="shared" si="887"/>
        <v/>
      </c>
      <c r="BE1781" s="27" t="str">
        <f t="shared" si="888"/>
        <v/>
      </c>
      <c r="BF1781" s="27" t="str">
        <f t="shared" si="889"/>
        <v/>
      </c>
      <c r="BG1781" s="27" t="str">
        <f t="shared" si="890"/>
        <v/>
      </c>
      <c r="BH1781" s="27" t="str">
        <f t="shared" si="891"/>
        <v/>
      </c>
      <c r="BI1781" s="27" t="str">
        <f t="shared" si="892"/>
        <v/>
      </c>
      <c r="BJ1781" s="27" t="str">
        <f t="shared" si="893"/>
        <v/>
      </c>
      <c r="BK1781" s="27" t="str">
        <f t="shared" si="894"/>
        <v/>
      </c>
      <c r="BL1781" s="27" t="str">
        <f t="shared" si="895"/>
        <v/>
      </c>
      <c r="BM1781" s="21" t="s">
        <v>3790</v>
      </c>
    </row>
    <row r="1782" spans="1:65" ht="15">
      <c r="A1782" s="25" t="str">
        <f>IFERROR(INDEX(#REF!,MATCH(O1782,#REF!,0)),"")</f>
        <v/>
      </c>
      <c r="B1782" s="25" t="str">
        <f>IFERROR(INDEX(#REF!,MATCH(O1782,#REF!,0)),"")</f>
        <v/>
      </c>
      <c r="C1782" s="25" t="str">
        <f>IFERROR(INDEX(#REF!,MATCH(O1782,#REF!,0)),"")</f>
        <v/>
      </c>
      <c r="D1782" s="25" t="str">
        <f>IFERROR(INDEX(#REF!,MATCH(O1782,#REF!,0)),"")</f>
        <v/>
      </c>
      <c r="E1782" s="25" t="str">
        <f>IFERROR(INDEX(#REF!,MATCH(O1782,#REF!,0)),"")</f>
        <v/>
      </c>
      <c r="F1782" s="25" t="str">
        <f>IFERROR(INDEX(#REF!,MATCH(O1782,#REF!,0)),"")</f>
        <v/>
      </c>
      <c r="G1782" s="25" t="str">
        <f>IFERROR(INDEX(#REF!,MATCH(O1782,#REF!,0)),"")</f>
        <v/>
      </c>
      <c r="H1782" s="25" t="str">
        <f>IFERROR(INDEX(#REF!,MATCH(O1782,#REF!,0)),"")</f>
        <v/>
      </c>
      <c r="I1782" s="25" t="str">
        <f>IFERROR(INDEX(#REF!,MATCH(O1782,#REF!,0)),"")</f>
        <v/>
      </c>
      <c r="J1782" s="25" t="str">
        <f>IFERROR(INDEX(#REF!,MATCH(O1782,#REF!,0)),"")</f>
        <v/>
      </c>
      <c r="K1782" s="25" t="str">
        <f>IFERROR(INDEX(#REF!,MATCH(O1782,#REF!,0)),"")</f>
        <v/>
      </c>
      <c r="L1782" s="25" t="str">
        <f>IFERROR(INDEX(#REF!,MATCH(O1782,#REF!,0)),"")</f>
        <v/>
      </c>
      <c r="P1782" s="27" t="str">
        <f>IFERROR(INDEX(#REF!,MATCH($O1782,#REF!,0)),"")</f>
        <v/>
      </c>
      <c r="Q1782" s="27" t="str">
        <f>IFERROR(INDEX(#REF!,MATCH($O1782,#REF!,0)),"")</f>
        <v/>
      </c>
      <c r="R1782" s="52" t="str">
        <f>IFERROR(IF(AR1783=AR1782,INDEX(#REF!,MATCH($O1782,#REF!,0))-IF(AN1782="",0,AN1782)+AP1783,INDEX(#REF!,MATCH($O1782,#REF!,0))-IF(AN1782="",0,AN1782)),"")</f>
        <v/>
      </c>
      <c r="S1782" s="53" t="str">
        <f t="shared" si="868"/>
        <v/>
      </c>
      <c r="T1782" s="52" t="str">
        <f t="shared" si="869"/>
        <v/>
      </c>
      <c r="U1782" s="52" t="str">
        <f>IFERROR(IF(AR1783=AR1782,INDEX(#REF!,MATCH($O1782,#REF!,0))-IF(AN1782="",0,AN1782)+AP1783,INDEX(#REF!,MATCH($O1782,#REF!,0))-IF(AN1782="",0,AN1782)),"")</f>
        <v/>
      </c>
      <c r="V1782" s="53" t="str">
        <f t="shared" si="870"/>
        <v/>
      </c>
      <c r="W1782" s="52" t="str">
        <f t="shared" si="871"/>
        <v/>
      </c>
      <c r="X1782" s="52" t="str">
        <f>IFERROR(IF(AND(AR1783=AR1782,AM1782&lt;&gt;""),INDEX(#REF!,MATCH($O1782,#REF!,0))-IF(AN1782="",0,AN1782)+AP1783+AD1782+AL1782,IF(AR1783=AR1782,INDEX(#REF!,MATCH($O1782,#REF!,0))-IF(AN1782="",0,AN1782)+AP1783+AD1782,IF(AM1782&lt;&gt;"",INDEX(#REF!,MATCH($O1782,#REF!,0))-IF(AN1782="",0,AN1782)+AD1782+AL1782,INDEX(#REF!,MATCH($O1782,#REF!,0))-IF(AN1782="",0,AN1782)+AD1782))),"")</f>
        <v/>
      </c>
      <c r="Y1782" s="53" t="str">
        <f t="shared" si="872"/>
        <v/>
      </c>
      <c r="Z1782" s="52" t="str">
        <f>IF(L1782="","",INDEX(#REF!,MATCH($O1782,#REF!,0)))</f>
        <v/>
      </c>
      <c r="AA1782" s="52" t="str">
        <f t="shared" si="873"/>
        <v/>
      </c>
      <c r="AB1782" s="52" t="str">
        <f>IFERROR(INDEX(#REF!,MATCH($O1782,#REF!,0)),"")</f>
        <v/>
      </c>
      <c r="AC1782" s="52" t="str">
        <f>IFERROR(IF(O1782="","",SUMIFS('CPL Mats'!F:F,'CPL Mats'!Q:Q,AR1782,'CPL Mats'!S:S,AS1782)),"")</f>
        <v/>
      </c>
      <c r="AF1782" s="25" t="e">
        <f>IF(SUMIFS(#REF!,#REF!,"Releasable",#REF!,O1782)=0,"",SUMIFS(#REF!,#REF!,"Releasable",#REF!,O1782))</f>
        <v>#REF!</v>
      </c>
      <c r="AG1782" s="25" t="str">
        <f>IFERROR(INDEX(#REF!,MATCH(O1782,#REF!,0)),"")</f>
        <v/>
      </c>
      <c r="AH1782" s="25" t="str">
        <f>IFERROR(INDEX(#REF!,MATCH($O1782,#REF!,0)),"")</f>
        <v/>
      </c>
      <c r="AI1782" s="25" t="e">
        <f>IF(SUMIFS(#REF!,#REF!,"Expires this month",#REF!,O1782)=0,"",SUMIFS(#REF!,#REF!,"Expires this month",#REF!,O1782))</f>
        <v>#REF!</v>
      </c>
      <c r="AJ1782" s="25" t="e">
        <f>IF(SUMIFS(#REF!,#REF!,"Expired Previous Months",#REF!,O1782)=0,"",SUMIFS(#REF!,#REF!,"Expired Previous Months",#REF!,O1782))</f>
        <v>#REF!</v>
      </c>
      <c r="AK1782" s="25" t="str">
        <f>IFERROR(INDEX('Hun Release Current'!B:B,MATCH(O1782,'Hun Release Current'!A:A,0)),"")</f>
        <v/>
      </c>
      <c r="AL1782" s="25" t="str">
        <f>IF(SUMIF('Prev Aub'!A:A,O1782,'Prev Aub'!B:B)=0,"",SUMIF('Prev Aub'!A:A,O1782,'Prev Aub'!B:B))</f>
        <v/>
      </c>
      <c r="AN1782" s="25" t="s">
        <v>3790</v>
      </c>
      <c r="AO1782" s="25" t="s">
        <v>3790</v>
      </c>
      <c r="AP1782" s="25" t="str">
        <f t="shared" si="874"/>
        <v/>
      </c>
      <c r="AQ1782" s="151" t="e">
        <f>IF(SUMIFS(#REF!,#REF!,O1782,#REF!,"PENDING")=0,"",SUMIFS(#REF!,#REF!,O1782,#REF!,"PENDING"))</f>
        <v>#REF!</v>
      </c>
      <c r="AR1782" s="27" t="str">
        <f t="shared" si="875"/>
        <v/>
      </c>
      <c r="AS1782" s="27" t="str">
        <f t="shared" si="876"/>
        <v/>
      </c>
      <c r="AT1782" s="27" t="str">
        <f t="shared" si="877"/>
        <v/>
      </c>
      <c r="AU1782" s="27" t="str">
        <f t="shared" si="878"/>
        <v/>
      </c>
      <c r="AV1782" s="27" t="str">
        <f t="shared" si="879"/>
        <v/>
      </c>
      <c r="AW1782" s="27" t="e">
        <f t="shared" si="880"/>
        <v>#REF!</v>
      </c>
      <c r="AX1782" s="27" t="e">
        <f t="shared" si="881"/>
        <v>#REF!</v>
      </c>
      <c r="AY1782" s="27" t="str">
        <f t="shared" si="882"/>
        <v/>
      </c>
      <c r="AZ1782" s="27" t="str">
        <f t="shared" si="883"/>
        <v/>
      </c>
      <c r="BA1782" s="27" t="str">
        <f t="shared" si="884"/>
        <v/>
      </c>
      <c r="BB1782" s="27" t="str">
        <f t="shared" si="885"/>
        <v/>
      </c>
      <c r="BC1782" s="27" t="str">
        <f t="shared" si="886"/>
        <v/>
      </c>
      <c r="BD1782" s="27" t="str">
        <f t="shared" si="887"/>
        <v/>
      </c>
      <c r="BE1782" s="27" t="str">
        <f t="shared" si="888"/>
        <v/>
      </c>
      <c r="BF1782" s="27" t="str">
        <f t="shared" si="889"/>
        <v/>
      </c>
      <c r="BG1782" s="27" t="str">
        <f t="shared" si="890"/>
        <v/>
      </c>
      <c r="BH1782" s="27" t="str">
        <f t="shared" si="891"/>
        <v/>
      </c>
      <c r="BI1782" s="27" t="str">
        <f t="shared" si="892"/>
        <v/>
      </c>
      <c r="BJ1782" s="27" t="str">
        <f t="shared" si="893"/>
        <v/>
      </c>
      <c r="BK1782" s="27" t="str">
        <f t="shared" si="894"/>
        <v/>
      </c>
      <c r="BL1782" s="27" t="str">
        <f t="shared" si="895"/>
        <v/>
      </c>
      <c r="BM1782" s="21" t="s">
        <v>3790</v>
      </c>
    </row>
    <row r="1783" spans="1:65" ht="15">
      <c r="A1783" s="25" t="str">
        <f>IFERROR(INDEX(#REF!,MATCH(O1783,#REF!,0)),"")</f>
        <v/>
      </c>
      <c r="B1783" s="25" t="str">
        <f>IFERROR(INDEX(#REF!,MATCH(O1783,#REF!,0)),"")</f>
        <v/>
      </c>
      <c r="C1783" s="25" t="str">
        <f>IFERROR(INDEX(#REF!,MATCH(O1783,#REF!,0)),"")</f>
        <v/>
      </c>
      <c r="D1783" s="25" t="str">
        <f>IFERROR(INDEX(#REF!,MATCH(O1783,#REF!,0)),"")</f>
        <v/>
      </c>
      <c r="E1783" s="25" t="str">
        <f>IFERROR(INDEX(#REF!,MATCH(O1783,#REF!,0)),"")</f>
        <v/>
      </c>
      <c r="F1783" s="25" t="str">
        <f>IFERROR(INDEX(#REF!,MATCH(O1783,#REF!,0)),"")</f>
        <v/>
      </c>
      <c r="G1783" s="25" t="str">
        <f>IFERROR(INDEX(#REF!,MATCH(O1783,#REF!,0)),"")</f>
        <v/>
      </c>
      <c r="H1783" s="25" t="str">
        <f>IFERROR(INDEX(#REF!,MATCH(O1783,#REF!,0)),"")</f>
        <v/>
      </c>
      <c r="I1783" s="25" t="str">
        <f>IFERROR(INDEX(#REF!,MATCH(O1783,#REF!,0)),"")</f>
        <v/>
      </c>
      <c r="J1783" s="25" t="str">
        <f>IFERROR(INDEX(#REF!,MATCH(O1783,#REF!,0)),"")</f>
        <v/>
      </c>
      <c r="K1783" s="25" t="str">
        <f>IFERROR(INDEX(#REF!,MATCH(O1783,#REF!,0)),"")</f>
        <v/>
      </c>
      <c r="L1783" s="25" t="str">
        <f>IFERROR(INDEX(#REF!,MATCH(O1783,#REF!,0)),"")</f>
        <v/>
      </c>
      <c r="P1783" s="27" t="str">
        <f>IFERROR(INDEX(#REF!,MATCH($O1783,#REF!,0)),"")</f>
        <v/>
      </c>
      <c r="Q1783" s="27" t="str">
        <f>IFERROR(INDEX(#REF!,MATCH($O1783,#REF!,0)),"")</f>
        <v/>
      </c>
      <c r="R1783" s="52" t="str">
        <f>IFERROR(IF(AR1784=AR1783,INDEX(#REF!,MATCH($O1783,#REF!,0))-IF(AN1783="",0,AN1783)+AP1784,INDEX(#REF!,MATCH($O1783,#REF!,0))-IF(AN1783="",0,AN1783)),"")</f>
        <v/>
      </c>
      <c r="S1783" s="53" t="str">
        <f t="shared" si="868"/>
        <v/>
      </c>
      <c r="T1783" s="52" t="str">
        <f t="shared" si="869"/>
        <v/>
      </c>
      <c r="U1783" s="52" t="str">
        <f>IFERROR(IF(AR1784=AR1783,INDEX(#REF!,MATCH($O1783,#REF!,0))-IF(AN1783="",0,AN1783)+AP1784,INDEX(#REF!,MATCH($O1783,#REF!,0))-IF(AN1783="",0,AN1783)),"")</f>
        <v/>
      </c>
      <c r="V1783" s="53" t="str">
        <f t="shared" si="870"/>
        <v/>
      </c>
      <c r="W1783" s="52" t="str">
        <f t="shared" si="871"/>
        <v/>
      </c>
      <c r="X1783" s="52" t="str">
        <f>IFERROR(IF(AND(AR1784=AR1783,AM1783&lt;&gt;""),INDEX(#REF!,MATCH($O1783,#REF!,0))-IF(AN1783="",0,AN1783)+AP1784+AD1783+AL1783,IF(AR1784=AR1783,INDEX(#REF!,MATCH($O1783,#REF!,0))-IF(AN1783="",0,AN1783)+AP1784+AD1783,IF(AM1783&lt;&gt;"",INDEX(#REF!,MATCH($O1783,#REF!,0))-IF(AN1783="",0,AN1783)+AD1783+AL1783,INDEX(#REF!,MATCH($O1783,#REF!,0))-IF(AN1783="",0,AN1783)+AD1783))),"")</f>
        <v/>
      </c>
      <c r="Y1783" s="53" t="str">
        <f t="shared" si="872"/>
        <v/>
      </c>
      <c r="Z1783" s="52" t="str">
        <f>IF(L1783="","",INDEX(#REF!,MATCH($O1783,#REF!,0)))</f>
        <v/>
      </c>
      <c r="AA1783" s="52" t="str">
        <f t="shared" si="873"/>
        <v/>
      </c>
      <c r="AB1783" s="52" t="str">
        <f>IFERROR(INDEX(#REF!,MATCH($O1783,#REF!,0)),"")</f>
        <v/>
      </c>
      <c r="AC1783" s="52" t="str">
        <f>IFERROR(IF(O1783="","",SUMIFS('CPL Mats'!F:F,'CPL Mats'!Q:Q,AR1783,'CPL Mats'!S:S,AS1783)),"")</f>
        <v/>
      </c>
      <c r="AF1783" s="25" t="e">
        <f>IF(SUMIFS(#REF!,#REF!,"Releasable",#REF!,O1783)=0,"",SUMIFS(#REF!,#REF!,"Releasable",#REF!,O1783))</f>
        <v>#REF!</v>
      </c>
      <c r="AG1783" s="25" t="str">
        <f>IFERROR(INDEX(#REF!,MATCH(O1783,#REF!,0)),"")</f>
        <v/>
      </c>
      <c r="AH1783" s="25" t="str">
        <f>IFERROR(INDEX(#REF!,MATCH($O1783,#REF!,0)),"")</f>
        <v/>
      </c>
      <c r="AI1783" s="25" t="e">
        <f>IF(SUMIFS(#REF!,#REF!,"Expires this month",#REF!,O1783)=0,"",SUMIFS(#REF!,#REF!,"Expires this month",#REF!,O1783))</f>
        <v>#REF!</v>
      </c>
      <c r="AJ1783" s="25" t="e">
        <f>IF(SUMIFS(#REF!,#REF!,"Expired Previous Months",#REF!,O1783)=0,"",SUMIFS(#REF!,#REF!,"Expired Previous Months",#REF!,O1783))</f>
        <v>#REF!</v>
      </c>
      <c r="AK1783" s="25" t="str">
        <f>IFERROR(INDEX('Hun Release Current'!B:B,MATCH(O1783,'Hun Release Current'!A:A,0)),"")</f>
        <v/>
      </c>
      <c r="AL1783" s="25" t="str">
        <f>IF(SUMIF('Prev Aub'!A:A,O1783,'Prev Aub'!B:B)=0,"",SUMIF('Prev Aub'!A:A,O1783,'Prev Aub'!B:B))</f>
        <v/>
      </c>
      <c r="AN1783" s="25" t="s">
        <v>3790</v>
      </c>
      <c r="AO1783" s="25" t="s">
        <v>3790</v>
      </c>
      <c r="AP1783" s="25" t="str">
        <f t="shared" si="874"/>
        <v/>
      </c>
      <c r="AQ1783" s="151" t="e">
        <f>IF(SUMIFS(#REF!,#REF!,O1783,#REF!,"PENDING")=0,"",SUMIFS(#REF!,#REF!,O1783,#REF!,"PENDING"))</f>
        <v>#REF!</v>
      </c>
      <c r="AR1783" s="27" t="str">
        <f t="shared" si="875"/>
        <v/>
      </c>
      <c r="AS1783" s="27" t="str">
        <f t="shared" si="876"/>
        <v/>
      </c>
      <c r="AT1783" s="27" t="str">
        <f t="shared" si="877"/>
        <v/>
      </c>
      <c r="AU1783" s="27" t="str">
        <f t="shared" si="878"/>
        <v/>
      </c>
      <c r="AV1783" s="27" t="str">
        <f t="shared" si="879"/>
        <v/>
      </c>
      <c r="AW1783" s="27" t="e">
        <f t="shared" si="880"/>
        <v>#REF!</v>
      </c>
      <c r="AX1783" s="27" t="e">
        <f t="shared" si="881"/>
        <v>#REF!</v>
      </c>
      <c r="AY1783" s="27" t="str">
        <f t="shared" si="882"/>
        <v/>
      </c>
      <c r="AZ1783" s="27" t="str">
        <f t="shared" si="883"/>
        <v/>
      </c>
      <c r="BA1783" s="27" t="str">
        <f t="shared" si="884"/>
        <v/>
      </c>
      <c r="BB1783" s="27" t="str">
        <f t="shared" si="885"/>
        <v/>
      </c>
      <c r="BC1783" s="27" t="str">
        <f t="shared" si="886"/>
        <v/>
      </c>
      <c r="BD1783" s="27" t="str">
        <f t="shared" si="887"/>
        <v/>
      </c>
      <c r="BE1783" s="27" t="str">
        <f t="shared" si="888"/>
        <v/>
      </c>
      <c r="BF1783" s="27" t="str">
        <f t="shared" si="889"/>
        <v/>
      </c>
      <c r="BG1783" s="27" t="str">
        <f t="shared" si="890"/>
        <v/>
      </c>
      <c r="BH1783" s="27" t="str">
        <f t="shared" si="891"/>
        <v/>
      </c>
      <c r="BI1783" s="27" t="str">
        <f t="shared" si="892"/>
        <v/>
      </c>
      <c r="BJ1783" s="27" t="str">
        <f t="shared" si="893"/>
        <v/>
      </c>
      <c r="BK1783" s="27" t="str">
        <f t="shared" si="894"/>
        <v/>
      </c>
      <c r="BL1783" s="27" t="str">
        <f t="shared" si="895"/>
        <v/>
      </c>
      <c r="BM1783" s="21" t="s">
        <v>3790</v>
      </c>
    </row>
    <row r="1784" spans="1:65" ht="15">
      <c r="A1784" s="25" t="str">
        <f>IFERROR(INDEX(#REF!,MATCH(O1784,#REF!,0)),"")</f>
        <v/>
      </c>
      <c r="B1784" s="25" t="str">
        <f>IFERROR(INDEX(#REF!,MATCH(O1784,#REF!,0)),"")</f>
        <v/>
      </c>
      <c r="C1784" s="25" t="str">
        <f>IFERROR(INDEX(#REF!,MATCH(O1784,#REF!,0)),"")</f>
        <v/>
      </c>
      <c r="D1784" s="25" t="str">
        <f>IFERROR(INDEX(#REF!,MATCH(O1784,#REF!,0)),"")</f>
        <v/>
      </c>
      <c r="E1784" s="25" t="str">
        <f>IFERROR(INDEX(#REF!,MATCH(O1784,#REF!,0)),"")</f>
        <v/>
      </c>
      <c r="F1784" s="25" t="str">
        <f>IFERROR(INDEX(#REF!,MATCH(O1784,#REF!,0)),"")</f>
        <v/>
      </c>
      <c r="G1784" s="25" t="str">
        <f>IFERROR(INDEX(#REF!,MATCH(O1784,#REF!,0)),"")</f>
        <v/>
      </c>
      <c r="H1784" s="25" t="str">
        <f>IFERROR(INDEX(#REF!,MATCH(O1784,#REF!,0)),"")</f>
        <v/>
      </c>
      <c r="I1784" s="25" t="str">
        <f>IFERROR(INDEX(#REF!,MATCH(O1784,#REF!,0)),"")</f>
        <v/>
      </c>
      <c r="J1784" s="25" t="str">
        <f>IFERROR(INDEX(#REF!,MATCH(O1784,#REF!,0)),"")</f>
        <v/>
      </c>
      <c r="K1784" s="25" t="str">
        <f>IFERROR(INDEX(#REF!,MATCH(O1784,#REF!,0)),"")</f>
        <v/>
      </c>
      <c r="L1784" s="25" t="str">
        <f>IFERROR(INDEX(#REF!,MATCH(O1784,#REF!,0)),"")</f>
        <v/>
      </c>
      <c r="P1784" s="27" t="str">
        <f>IFERROR(INDEX(#REF!,MATCH($O1784,#REF!,0)),"")</f>
        <v/>
      </c>
      <c r="Q1784" s="27" t="str">
        <f>IFERROR(INDEX(#REF!,MATCH($O1784,#REF!,0)),"")</f>
        <v/>
      </c>
      <c r="R1784" s="52" t="str">
        <f>IFERROR(IF(AR1785=AR1784,INDEX(#REF!,MATCH($O1784,#REF!,0))-IF(AN1784="",0,AN1784)+AP1785,INDEX(#REF!,MATCH($O1784,#REF!,0))-IF(AN1784="",0,AN1784)),"")</f>
        <v/>
      </c>
      <c r="S1784" s="53" t="str">
        <f t="shared" si="868"/>
        <v/>
      </c>
      <c r="T1784" s="52" t="str">
        <f t="shared" si="869"/>
        <v/>
      </c>
      <c r="U1784" s="52" t="str">
        <f>IFERROR(IF(AR1785=AR1784,INDEX(#REF!,MATCH($O1784,#REF!,0))-IF(AN1784="",0,AN1784)+AP1785,INDEX(#REF!,MATCH($O1784,#REF!,0))-IF(AN1784="",0,AN1784)),"")</f>
        <v/>
      </c>
      <c r="V1784" s="53" t="str">
        <f t="shared" si="870"/>
        <v/>
      </c>
      <c r="W1784" s="52" t="str">
        <f t="shared" si="871"/>
        <v/>
      </c>
      <c r="X1784" s="52" t="str">
        <f>IFERROR(IF(AND(AR1785=AR1784,AM1784&lt;&gt;""),INDEX(#REF!,MATCH($O1784,#REF!,0))-IF(AN1784="",0,AN1784)+AP1785+AD1784+AL1784,IF(AR1785=AR1784,INDEX(#REF!,MATCH($O1784,#REF!,0))-IF(AN1784="",0,AN1784)+AP1785+AD1784,IF(AM1784&lt;&gt;"",INDEX(#REF!,MATCH($O1784,#REF!,0))-IF(AN1784="",0,AN1784)+AD1784+AL1784,INDEX(#REF!,MATCH($O1784,#REF!,0))-IF(AN1784="",0,AN1784)+AD1784))),"")</f>
        <v/>
      </c>
      <c r="Y1784" s="53" t="str">
        <f t="shared" si="872"/>
        <v/>
      </c>
      <c r="Z1784" s="52" t="str">
        <f>IF(L1784="","",INDEX(#REF!,MATCH($O1784,#REF!,0)))</f>
        <v/>
      </c>
      <c r="AA1784" s="52" t="str">
        <f t="shared" si="873"/>
        <v/>
      </c>
      <c r="AB1784" s="52" t="str">
        <f>IFERROR(INDEX(#REF!,MATCH($O1784,#REF!,0)),"")</f>
        <v/>
      </c>
      <c r="AC1784" s="52" t="str">
        <f>IFERROR(IF(O1784="","",SUMIFS('CPL Mats'!F:F,'CPL Mats'!Q:Q,AR1784,'CPL Mats'!S:S,AS1784)),"")</f>
        <v/>
      </c>
      <c r="AF1784" s="25" t="e">
        <f>IF(SUMIFS(#REF!,#REF!,"Releasable",#REF!,O1784)=0,"",SUMIFS(#REF!,#REF!,"Releasable",#REF!,O1784))</f>
        <v>#REF!</v>
      </c>
      <c r="AG1784" s="25" t="str">
        <f>IFERROR(INDEX(#REF!,MATCH(O1784,#REF!,0)),"")</f>
        <v/>
      </c>
      <c r="AH1784" s="25" t="str">
        <f>IFERROR(INDEX(#REF!,MATCH($O1784,#REF!,0)),"")</f>
        <v/>
      </c>
      <c r="AI1784" s="25" t="e">
        <f>IF(SUMIFS(#REF!,#REF!,"Expires this month",#REF!,O1784)=0,"",SUMIFS(#REF!,#REF!,"Expires this month",#REF!,O1784))</f>
        <v>#REF!</v>
      </c>
      <c r="AJ1784" s="25" t="e">
        <f>IF(SUMIFS(#REF!,#REF!,"Expired Previous Months",#REF!,O1784)=0,"",SUMIFS(#REF!,#REF!,"Expired Previous Months",#REF!,O1784))</f>
        <v>#REF!</v>
      </c>
      <c r="AK1784" s="25" t="str">
        <f>IFERROR(INDEX('Hun Release Current'!B:B,MATCH(O1784,'Hun Release Current'!A:A,0)),"")</f>
        <v/>
      </c>
      <c r="AL1784" s="25" t="str">
        <f>IF(SUMIF('Prev Aub'!A:A,O1784,'Prev Aub'!B:B)=0,"",SUMIF('Prev Aub'!A:A,O1784,'Prev Aub'!B:B))</f>
        <v/>
      </c>
      <c r="AN1784" s="25" t="s">
        <v>3790</v>
      </c>
      <c r="AO1784" s="25" t="s">
        <v>3790</v>
      </c>
      <c r="AP1784" s="25" t="str">
        <f t="shared" si="874"/>
        <v/>
      </c>
      <c r="AQ1784" s="151" t="e">
        <f>IF(SUMIFS(#REF!,#REF!,O1784,#REF!,"PENDING")=0,"",SUMIFS(#REF!,#REF!,O1784,#REF!,"PENDING"))</f>
        <v>#REF!</v>
      </c>
      <c r="AR1784" s="27" t="str">
        <f t="shared" si="875"/>
        <v/>
      </c>
      <c r="AS1784" s="27" t="str">
        <f t="shared" si="876"/>
        <v/>
      </c>
      <c r="AT1784" s="27" t="str">
        <f t="shared" si="877"/>
        <v/>
      </c>
      <c r="AU1784" s="27" t="str">
        <f t="shared" si="878"/>
        <v/>
      </c>
      <c r="AV1784" s="27" t="str">
        <f t="shared" si="879"/>
        <v/>
      </c>
      <c r="AW1784" s="27" t="e">
        <f t="shared" si="880"/>
        <v>#REF!</v>
      </c>
      <c r="AX1784" s="27" t="e">
        <f t="shared" si="881"/>
        <v>#REF!</v>
      </c>
      <c r="AY1784" s="27" t="str">
        <f t="shared" si="882"/>
        <v/>
      </c>
      <c r="AZ1784" s="27" t="str">
        <f t="shared" si="883"/>
        <v/>
      </c>
      <c r="BA1784" s="27" t="str">
        <f t="shared" si="884"/>
        <v/>
      </c>
      <c r="BB1784" s="27" t="str">
        <f t="shared" si="885"/>
        <v/>
      </c>
      <c r="BC1784" s="27" t="str">
        <f t="shared" si="886"/>
        <v/>
      </c>
      <c r="BD1784" s="27" t="str">
        <f t="shared" si="887"/>
        <v/>
      </c>
      <c r="BE1784" s="27" t="str">
        <f t="shared" si="888"/>
        <v/>
      </c>
      <c r="BF1784" s="27" t="str">
        <f t="shared" si="889"/>
        <v/>
      </c>
      <c r="BG1784" s="27" t="str">
        <f t="shared" si="890"/>
        <v/>
      </c>
      <c r="BH1784" s="27" t="str">
        <f t="shared" si="891"/>
        <v/>
      </c>
      <c r="BI1784" s="27" t="str">
        <f t="shared" si="892"/>
        <v/>
      </c>
      <c r="BJ1784" s="27" t="str">
        <f t="shared" si="893"/>
        <v/>
      </c>
      <c r="BK1784" s="27" t="str">
        <f t="shared" si="894"/>
        <v/>
      </c>
      <c r="BL1784" s="27" t="str">
        <f t="shared" si="895"/>
        <v/>
      </c>
      <c r="BM1784" s="21" t="s">
        <v>3790</v>
      </c>
    </row>
    <row r="1785" spans="1:65" ht="15">
      <c r="A1785" s="25" t="str">
        <f>IFERROR(INDEX(#REF!,MATCH(O1785,#REF!,0)),"")</f>
        <v/>
      </c>
      <c r="B1785" s="25" t="str">
        <f>IFERROR(INDEX(#REF!,MATCH(O1785,#REF!,0)),"")</f>
        <v/>
      </c>
      <c r="C1785" s="25" t="str">
        <f>IFERROR(INDEX(#REF!,MATCH(O1785,#REF!,0)),"")</f>
        <v/>
      </c>
      <c r="D1785" s="25" t="str">
        <f>IFERROR(INDEX(#REF!,MATCH(O1785,#REF!,0)),"")</f>
        <v/>
      </c>
      <c r="E1785" s="25" t="str">
        <f>IFERROR(INDEX(#REF!,MATCH(O1785,#REF!,0)),"")</f>
        <v/>
      </c>
      <c r="F1785" s="25" t="str">
        <f>IFERROR(INDEX(#REF!,MATCH(O1785,#REF!,0)),"")</f>
        <v/>
      </c>
      <c r="G1785" s="25" t="str">
        <f>IFERROR(INDEX(#REF!,MATCH(O1785,#REF!,0)),"")</f>
        <v/>
      </c>
      <c r="H1785" s="25" t="str">
        <f>IFERROR(INDEX(#REF!,MATCH(O1785,#REF!,0)),"")</f>
        <v/>
      </c>
      <c r="I1785" s="25" t="str">
        <f>IFERROR(INDEX(#REF!,MATCH(O1785,#REF!,0)),"")</f>
        <v/>
      </c>
      <c r="J1785" s="25" t="str">
        <f>IFERROR(INDEX(#REF!,MATCH(O1785,#REF!,0)),"")</f>
        <v/>
      </c>
      <c r="K1785" s="25" t="str">
        <f>IFERROR(INDEX(#REF!,MATCH(O1785,#REF!,0)),"")</f>
        <v/>
      </c>
      <c r="L1785" s="25" t="str">
        <f>IFERROR(INDEX(#REF!,MATCH(O1785,#REF!,0)),"")</f>
        <v/>
      </c>
      <c r="P1785" s="27" t="str">
        <f>IFERROR(INDEX(#REF!,MATCH($O1785,#REF!,0)),"")</f>
        <v/>
      </c>
      <c r="Q1785" s="27" t="str">
        <f>IFERROR(INDEX(#REF!,MATCH($O1785,#REF!,0)),"")</f>
        <v/>
      </c>
      <c r="R1785" s="52" t="str">
        <f>IFERROR(IF(AR1786=AR1785,INDEX(#REF!,MATCH($O1785,#REF!,0))-IF(AN1785="",0,AN1785)+AP1786,INDEX(#REF!,MATCH($O1785,#REF!,0))-IF(AN1785="",0,AN1785)),"")</f>
        <v/>
      </c>
      <c r="S1785" s="53" t="str">
        <f t="shared" si="868"/>
        <v/>
      </c>
      <c r="T1785" s="52" t="str">
        <f t="shared" si="869"/>
        <v/>
      </c>
      <c r="U1785" s="52" t="str">
        <f>IFERROR(IF(AR1786=AR1785,INDEX(#REF!,MATCH($O1785,#REF!,0))-IF(AN1785="",0,AN1785)+AP1786,INDEX(#REF!,MATCH($O1785,#REF!,0))-IF(AN1785="",0,AN1785)),"")</f>
        <v/>
      </c>
      <c r="V1785" s="53" t="str">
        <f t="shared" si="870"/>
        <v/>
      </c>
      <c r="W1785" s="52" t="str">
        <f t="shared" si="871"/>
        <v/>
      </c>
      <c r="X1785" s="52" t="str">
        <f>IFERROR(IF(AND(AR1786=AR1785,AM1785&lt;&gt;""),INDEX(#REF!,MATCH($O1785,#REF!,0))-IF(AN1785="",0,AN1785)+AP1786+AD1785+AL1785,IF(AR1786=AR1785,INDEX(#REF!,MATCH($O1785,#REF!,0))-IF(AN1785="",0,AN1785)+AP1786+AD1785,IF(AM1785&lt;&gt;"",INDEX(#REF!,MATCH($O1785,#REF!,0))-IF(AN1785="",0,AN1785)+AD1785+AL1785,INDEX(#REF!,MATCH($O1785,#REF!,0))-IF(AN1785="",0,AN1785)+AD1785))),"")</f>
        <v/>
      </c>
      <c r="Y1785" s="53" t="str">
        <f t="shared" si="872"/>
        <v/>
      </c>
      <c r="Z1785" s="52" t="str">
        <f>IF(L1785="","",INDEX(#REF!,MATCH($O1785,#REF!,0)))</f>
        <v/>
      </c>
      <c r="AA1785" s="52" t="str">
        <f t="shared" si="873"/>
        <v/>
      </c>
      <c r="AB1785" s="52" t="str">
        <f>IFERROR(INDEX(#REF!,MATCH($O1785,#REF!,0)),"")</f>
        <v/>
      </c>
      <c r="AC1785" s="52" t="str">
        <f>IFERROR(IF(O1785="","",SUMIFS('CPL Mats'!F:F,'CPL Mats'!Q:Q,AR1785,'CPL Mats'!S:S,AS1785)),"")</f>
        <v/>
      </c>
      <c r="AF1785" s="25" t="e">
        <f>IF(SUMIFS(#REF!,#REF!,"Releasable",#REF!,O1785)=0,"",SUMIFS(#REF!,#REF!,"Releasable",#REF!,O1785))</f>
        <v>#REF!</v>
      </c>
      <c r="AG1785" s="25" t="str">
        <f>IFERROR(INDEX(#REF!,MATCH(O1785,#REF!,0)),"")</f>
        <v/>
      </c>
      <c r="AH1785" s="25" t="str">
        <f>IFERROR(INDEX(#REF!,MATCH($O1785,#REF!,0)),"")</f>
        <v/>
      </c>
      <c r="AI1785" s="25" t="e">
        <f>IF(SUMIFS(#REF!,#REF!,"Expires this month",#REF!,O1785)=0,"",SUMIFS(#REF!,#REF!,"Expires this month",#REF!,O1785))</f>
        <v>#REF!</v>
      </c>
      <c r="AJ1785" s="25" t="e">
        <f>IF(SUMIFS(#REF!,#REF!,"Expired Previous Months",#REF!,O1785)=0,"",SUMIFS(#REF!,#REF!,"Expired Previous Months",#REF!,O1785))</f>
        <v>#REF!</v>
      </c>
      <c r="AK1785" s="25" t="str">
        <f>IFERROR(INDEX('Hun Release Current'!B:B,MATCH(O1785,'Hun Release Current'!A:A,0)),"")</f>
        <v/>
      </c>
      <c r="AL1785" s="25" t="str">
        <f>IF(SUMIF('Prev Aub'!A:A,O1785,'Prev Aub'!B:B)=0,"",SUMIF('Prev Aub'!A:A,O1785,'Prev Aub'!B:B))</f>
        <v/>
      </c>
      <c r="AN1785" s="25" t="s">
        <v>3790</v>
      </c>
      <c r="AO1785" s="25" t="s">
        <v>3790</v>
      </c>
      <c r="AP1785" s="25" t="str">
        <f t="shared" si="874"/>
        <v/>
      </c>
      <c r="AQ1785" s="151" t="e">
        <f>IF(SUMIFS(#REF!,#REF!,O1785,#REF!,"PENDING")=0,"",SUMIFS(#REF!,#REF!,O1785,#REF!,"PENDING"))</f>
        <v>#REF!</v>
      </c>
      <c r="AR1785" s="27" t="str">
        <f t="shared" si="875"/>
        <v/>
      </c>
      <c r="AS1785" s="27" t="str">
        <f t="shared" si="876"/>
        <v/>
      </c>
      <c r="AT1785" s="27" t="str">
        <f t="shared" si="877"/>
        <v/>
      </c>
      <c r="AU1785" s="27" t="str">
        <f t="shared" si="878"/>
        <v/>
      </c>
      <c r="AV1785" s="27" t="str">
        <f t="shared" si="879"/>
        <v/>
      </c>
      <c r="AW1785" s="27" t="e">
        <f t="shared" si="880"/>
        <v>#REF!</v>
      </c>
      <c r="AX1785" s="27" t="e">
        <f t="shared" si="881"/>
        <v>#REF!</v>
      </c>
      <c r="AY1785" s="27" t="str">
        <f t="shared" si="882"/>
        <v/>
      </c>
      <c r="AZ1785" s="27" t="str">
        <f t="shared" si="883"/>
        <v/>
      </c>
      <c r="BA1785" s="27" t="str">
        <f t="shared" si="884"/>
        <v/>
      </c>
      <c r="BB1785" s="27" t="str">
        <f t="shared" si="885"/>
        <v/>
      </c>
      <c r="BC1785" s="27" t="str">
        <f t="shared" si="886"/>
        <v/>
      </c>
      <c r="BD1785" s="27" t="str">
        <f t="shared" si="887"/>
        <v/>
      </c>
      <c r="BE1785" s="27" t="str">
        <f t="shared" si="888"/>
        <v/>
      </c>
      <c r="BF1785" s="27" t="str">
        <f t="shared" si="889"/>
        <v/>
      </c>
      <c r="BG1785" s="27" t="str">
        <f t="shared" si="890"/>
        <v/>
      </c>
      <c r="BH1785" s="27" t="str">
        <f t="shared" si="891"/>
        <v/>
      </c>
      <c r="BI1785" s="27" t="str">
        <f t="shared" si="892"/>
        <v/>
      </c>
      <c r="BJ1785" s="27" t="str">
        <f t="shared" si="893"/>
        <v/>
      </c>
      <c r="BK1785" s="27" t="str">
        <f t="shared" si="894"/>
        <v/>
      </c>
      <c r="BL1785" s="27" t="str">
        <f t="shared" si="895"/>
        <v/>
      </c>
      <c r="BM1785" s="21" t="s">
        <v>3790</v>
      </c>
    </row>
    <row r="1786" spans="1:65" ht="15">
      <c r="A1786" s="25" t="str">
        <f>IFERROR(INDEX(#REF!,MATCH(O1786,#REF!,0)),"")</f>
        <v/>
      </c>
      <c r="B1786" s="25" t="str">
        <f>IFERROR(INDEX(#REF!,MATCH(O1786,#REF!,0)),"")</f>
        <v/>
      </c>
      <c r="C1786" s="25" t="str">
        <f>IFERROR(INDEX(#REF!,MATCH(O1786,#REF!,0)),"")</f>
        <v/>
      </c>
      <c r="D1786" s="25" t="str">
        <f>IFERROR(INDEX(#REF!,MATCH(O1786,#REF!,0)),"")</f>
        <v/>
      </c>
      <c r="E1786" s="25" t="str">
        <f>IFERROR(INDEX(#REF!,MATCH(O1786,#REF!,0)),"")</f>
        <v/>
      </c>
      <c r="F1786" s="25" t="str">
        <f>IFERROR(INDEX(#REF!,MATCH(O1786,#REF!,0)),"")</f>
        <v/>
      </c>
      <c r="G1786" s="25" t="str">
        <f>IFERROR(INDEX(#REF!,MATCH(O1786,#REF!,0)),"")</f>
        <v/>
      </c>
      <c r="H1786" s="25" t="str">
        <f>IFERROR(INDEX(#REF!,MATCH(O1786,#REF!,0)),"")</f>
        <v/>
      </c>
      <c r="I1786" s="25" t="str">
        <f>IFERROR(INDEX(#REF!,MATCH(O1786,#REF!,0)),"")</f>
        <v/>
      </c>
      <c r="J1786" s="25" t="str">
        <f>IFERROR(INDEX(#REF!,MATCH(O1786,#REF!,0)),"")</f>
        <v/>
      </c>
      <c r="K1786" s="25" t="str">
        <f>IFERROR(INDEX(#REF!,MATCH(O1786,#REF!,0)),"")</f>
        <v/>
      </c>
      <c r="L1786" s="25" t="str">
        <f>IFERROR(INDEX(#REF!,MATCH(O1786,#REF!,0)),"")</f>
        <v/>
      </c>
      <c r="P1786" s="27" t="str">
        <f>IFERROR(INDEX(#REF!,MATCH($O1786,#REF!,0)),"")</f>
        <v/>
      </c>
      <c r="Q1786" s="27" t="str">
        <f>IFERROR(INDEX(#REF!,MATCH($O1786,#REF!,0)),"")</f>
        <v/>
      </c>
      <c r="R1786" s="52" t="str">
        <f>IFERROR(IF(AR1787=AR1786,INDEX(#REF!,MATCH($O1786,#REF!,0))-IF(AN1786="",0,AN1786)+AP1787,INDEX(#REF!,MATCH($O1786,#REF!,0))-IF(AN1786="",0,AN1786)),"")</f>
        <v/>
      </c>
      <c r="S1786" s="53" t="str">
        <f t="shared" si="868"/>
        <v/>
      </c>
      <c r="T1786" s="52" t="str">
        <f t="shared" si="869"/>
        <v/>
      </c>
      <c r="U1786" s="52" t="str">
        <f>IFERROR(IF(AR1787=AR1786,INDEX(#REF!,MATCH($O1786,#REF!,0))-IF(AN1786="",0,AN1786)+AP1787,INDEX(#REF!,MATCH($O1786,#REF!,0))-IF(AN1786="",0,AN1786)),"")</f>
        <v/>
      </c>
      <c r="V1786" s="53" t="str">
        <f t="shared" si="870"/>
        <v/>
      </c>
      <c r="W1786" s="52" t="str">
        <f t="shared" si="871"/>
        <v/>
      </c>
      <c r="X1786" s="52" t="str">
        <f>IFERROR(IF(AND(AR1787=AR1786,AM1786&lt;&gt;""),INDEX(#REF!,MATCH($O1786,#REF!,0))-IF(AN1786="",0,AN1786)+AP1787+AD1786+AL1786,IF(AR1787=AR1786,INDEX(#REF!,MATCH($O1786,#REF!,0))-IF(AN1786="",0,AN1786)+AP1787+AD1786,IF(AM1786&lt;&gt;"",INDEX(#REF!,MATCH($O1786,#REF!,0))-IF(AN1786="",0,AN1786)+AD1786+AL1786,INDEX(#REF!,MATCH($O1786,#REF!,0))-IF(AN1786="",0,AN1786)+AD1786))),"")</f>
        <v/>
      </c>
      <c r="Y1786" s="53" t="str">
        <f t="shared" si="872"/>
        <v/>
      </c>
      <c r="Z1786" s="52" t="str">
        <f>IF(L1786="","",INDEX(#REF!,MATCH($O1786,#REF!,0)))</f>
        <v/>
      </c>
      <c r="AA1786" s="52" t="str">
        <f t="shared" si="873"/>
        <v/>
      </c>
      <c r="AB1786" s="52" t="str">
        <f>IFERROR(INDEX(#REF!,MATCH($O1786,#REF!,0)),"")</f>
        <v/>
      </c>
      <c r="AC1786" s="52" t="str">
        <f>IFERROR(IF(O1786="","",SUMIFS('CPL Mats'!F:F,'CPL Mats'!Q:Q,AR1786,'CPL Mats'!S:S,AS1786)),"")</f>
        <v/>
      </c>
      <c r="AF1786" s="25" t="e">
        <f>IF(SUMIFS(#REF!,#REF!,"Releasable",#REF!,O1786)=0,"",SUMIFS(#REF!,#REF!,"Releasable",#REF!,O1786))</f>
        <v>#REF!</v>
      </c>
      <c r="AG1786" s="25" t="str">
        <f>IFERROR(INDEX(#REF!,MATCH(O1786,#REF!,0)),"")</f>
        <v/>
      </c>
      <c r="AH1786" s="25" t="str">
        <f>IFERROR(INDEX(#REF!,MATCH($O1786,#REF!,0)),"")</f>
        <v/>
      </c>
      <c r="AI1786" s="25" t="e">
        <f>IF(SUMIFS(#REF!,#REF!,"Expires this month",#REF!,O1786)=0,"",SUMIFS(#REF!,#REF!,"Expires this month",#REF!,O1786))</f>
        <v>#REF!</v>
      </c>
      <c r="AJ1786" s="25" t="e">
        <f>IF(SUMIFS(#REF!,#REF!,"Expired Previous Months",#REF!,O1786)=0,"",SUMIFS(#REF!,#REF!,"Expired Previous Months",#REF!,O1786))</f>
        <v>#REF!</v>
      </c>
      <c r="AK1786" s="25" t="str">
        <f>IFERROR(INDEX('Hun Release Current'!B:B,MATCH(O1786,'Hun Release Current'!A:A,0)),"")</f>
        <v/>
      </c>
      <c r="AL1786" s="25" t="str">
        <f>IF(SUMIF('Prev Aub'!A:A,O1786,'Prev Aub'!B:B)=0,"",SUMIF('Prev Aub'!A:A,O1786,'Prev Aub'!B:B))</f>
        <v/>
      </c>
      <c r="AN1786" s="25" t="s">
        <v>3790</v>
      </c>
      <c r="AO1786" s="25" t="s">
        <v>3790</v>
      </c>
      <c r="AP1786" s="25" t="str">
        <f t="shared" si="874"/>
        <v/>
      </c>
      <c r="AQ1786" s="151" t="e">
        <f>IF(SUMIFS(#REF!,#REF!,O1786,#REF!,"PENDING")=0,"",SUMIFS(#REF!,#REF!,O1786,#REF!,"PENDING"))</f>
        <v>#REF!</v>
      </c>
      <c r="AR1786" s="27" t="str">
        <f t="shared" si="875"/>
        <v/>
      </c>
      <c r="AS1786" s="27" t="str">
        <f t="shared" si="876"/>
        <v/>
      </c>
      <c r="AT1786" s="27" t="str">
        <f t="shared" si="877"/>
        <v/>
      </c>
      <c r="AU1786" s="27" t="str">
        <f t="shared" si="878"/>
        <v/>
      </c>
      <c r="AV1786" s="27" t="str">
        <f t="shared" si="879"/>
        <v/>
      </c>
      <c r="AW1786" s="27" t="e">
        <f t="shared" si="880"/>
        <v>#REF!</v>
      </c>
      <c r="AX1786" s="27" t="e">
        <f t="shared" si="881"/>
        <v>#REF!</v>
      </c>
      <c r="AY1786" s="27" t="str">
        <f t="shared" si="882"/>
        <v/>
      </c>
      <c r="AZ1786" s="27" t="str">
        <f t="shared" si="883"/>
        <v/>
      </c>
      <c r="BA1786" s="27" t="str">
        <f t="shared" si="884"/>
        <v/>
      </c>
      <c r="BB1786" s="27" t="str">
        <f t="shared" si="885"/>
        <v/>
      </c>
      <c r="BC1786" s="27" t="str">
        <f t="shared" si="886"/>
        <v/>
      </c>
      <c r="BD1786" s="27" t="str">
        <f t="shared" si="887"/>
        <v/>
      </c>
      <c r="BE1786" s="27" t="str">
        <f t="shared" si="888"/>
        <v/>
      </c>
      <c r="BF1786" s="27" t="str">
        <f t="shared" si="889"/>
        <v/>
      </c>
      <c r="BG1786" s="27" t="str">
        <f t="shared" si="890"/>
        <v/>
      </c>
      <c r="BH1786" s="27" t="str">
        <f t="shared" si="891"/>
        <v/>
      </c>
      <c r="BI1786" s="27" t="str">
        <f t="shared" si="892"/>
        <v/>
      </c>
      <c r="BJ1786" s="27" t="str">
        <f t="shared" si="893"/>
        <v/>
      </c>
      <c r="BK1786" s="27" t="str">
        <f t="shared" si="894"/>
        <v/>
      </c>
      <c r="BL1786" s="27" t="str">
        <f t="shared" si="895"/>
        <v/>
      </c>
      <c r="BM1786" s="21" t="s">
        <v>3790</v>
      </c>
    </row>
    <row r="1787" spans="1:65" ht="15">
      <c r="A1787" s="25" t="str">
        <f>IFERROR(INDEX(#REF!,MATCH(O1787,#REF!,0)),"")</f>
        <v/>
      </c>
      <c r="B1787" s="25" t="str">
        <f>IFERROR(INDEX(#REF!,MATCH(O1787,#REF!,0)),"")</f>
        <v/>
      </c>
      <c r="C1787" s="25" t="str">
        <f>IFERROR(INDEX(#REF!,MATCH(O1787,#REF!,0)),"")</f>
        <v/>
      </c>
      <c r="D1787" s="25" t="str">
        <f>IFERROR(INDEX(#REF!,MATCH(O1787,#REF!,0)),"")</f>
        <v/>
      </c>
      <c r="E1787" s="25" t="str">
        <f>IFERROR(INDEX(#REF!,MATCH(O1787,#REF!,0)),"")</f>
        <v/>
      </c>
      <c r="F1787" s="25" t="str">
        <f>IFERROR(INDEX(#REF!,MATCH(O1787,#REF!,0)),"")</f>
        <v/>
      </c>
      <c r="G1787" s="25" t="str">
        <f>IFERROR(INDEX(#REF!,MATCH(O1787,#REF!,0)),"")</f>
        <v/>
      </c>
      <c r="H1787" s="25" t="str">
        <f>IFERROR(INDEX(#REF!,MATCH(O1787,#REF!,0)),"")</f>
        <v/>
      </c>
      <c r="I1787" s="25" t="str">
        <f>IFERROR(INDEX(#REF!,MATCH(O1787,#REF!,0)),"")</f>
        <v/>
      </c>
      <c r="J1787" s="25" t="str">
        <f>IFERROR(INDEX(#REF!,MATCH(O1787,#REF!,0)),"")</f>
        <v/>
      </c>
      <c r="K1787" s="25" t="str">
        <f>IFERROR(INDEX(#REF!,MATCH(O1787,#REF!,0)),"")</f>
        <v/>
      </c>
      <c r="L1787" s="25" t="str">
        <f>IFERROR(INDEX(#REF!,MATCH(O1787,#REF!,0)),"")</f>
        <v/>
      </c>
      <c r="P1787" s="27" t="str">
        <f>IFERROR(INDEX(#REF!,MATCH($O1787,#REF!,0)),"")</f>
        <v/>
      </c>
      <c r="Q1787" s="27" t="str">
        <f>IFERROR(INDEX(#REF!,MATCH($O1787,#REF!,0)),"")</f>
        <v/>
      </c>
      <c r="R1787" s="52" t="str">
        <f>IFERROR(IF(AR1788=AR1787,INDEX(#REF!,MATCH($O1787,#REF!,0))-IF(AN1787="",0,AN1787)+AP1788,INDEX(#REF!,MATCH($O1787,#REF!,0))-IF(AN1787="",0,AN1787)),"")</f>
        <v/>
      </c>
      <c r="S1787" s="53" t="str">
        <f t="shared" si="868"/>
        <v/>
      </c>
      <c r="T1787" s="52" t="str">
        <f t="shared" si="869"/>
        <v/>
      </c>
      <c r="U1787" s="52" t="str">
        <f>IFERROR(IF(AR1788=AR1787,INDEX(#REF!,MATCH($O1787,#REF!,0))-IF(AN1787="",0,AN1787)+AP1788,INDEX(#REF!,MATCH($O1787,#REF!,0))-IF(AN1787="",0,AN1787)),"")</f>
        <v/>
      </c>
      <c r="V1787" s="53" t="str">
        <f t="shared" si="870"/>
        <v/>
      </c>
      <c r="W1787" s="52" t="str">
        <f t="shared" si="871"/>
        <v/>
      </c>
      <c r="X1787" s="52" t="str">
        <f>IFERROR(IF(AND(AR1788=AR1787,AM1787&lt;&gt;""),INDEX(#REF!,MATCH($O1787,#REF!,0))-IF(AN1787="",0,AN1787)+AP1788+AD1787+AL1787,IF(AR1788=AR1787,INDEX(#REF!,MATCH($O1787,#REF!,0))-IF(AN1787="",0,AN1787)+AP1788+AD1787,IF(AM1787&lt;&gt;"",INDEX(#REF!,MATCH($O1787,#REF!,0))-IF(AN1787="",0,AN1787)+AD1787+AL1787,INDEX(#REF!,MATCH($O1787,#REF!,0))-IF(AN1787="",0,AN1787)+AD1787))),"")</f>
        <v/>
      </c>
      <c r="Y1787" s="53" t="str">
        <f t="shared" si="872"/>
        <v/>
      </c>
      <c r="Z1787" s="52" t="str">
        <f>IF(L1787="","",INDEX(#REF!,MATCH($O1787,#REF!,0)))</f>
        <v/>
      </c>
      <c r="AA1787" s="52" t="str">
        <f t="shared" si="873"/>
        <v/>
      </c>
      <c r="AB1787" s="52" t="str">
        <f>IFERROR(INDEX(#REF!,MATCH($O1787,#REF!,0)),"")</f>
        <v/>
      </c>
      <c r="AC1787" s="52" t="str">
        <f>IFERROR(IF(O1787="","",SUMIFS('CPL Mats'!F:F,'CPL Mats'!Q:Q,AR1787,'CPL Mats'!S:S,AS1787)),"")</f>
        <v/>
      </c>
      <c r="AF1787" s="25" t="e">
        <f>IF(SUMIFS(#REF!,#REF!,"Releasable",#REF!,O1787)=0,"",SUMIFS(#REF!,#REF!,"Releasable",#REF!,O1787))</f>
        <v>#REF!</v>
      </c>
      <c r="AG1787" s="25" t="str">
        <f>IFERROR(INDEX(#REF!,MATCH(O1787,#REF!,0)),"")</f>
        <v/>
      </c>
      <c r="AH1787" s="25" t="str">
        <f>IFERROR(INDEX(#REF!,MATCH($O1787,#REF!,0)),"")</f>
        <v/>
      </c>
      <c r="AI1787" s="25" t="e">
        <f>IF(SUMIFS(#REF!,#REF!,"Expires this month",#REF!,O1787)=0,"",SUMIFS(#REF!,#REF!,"Expires this month",#REF!,O1787))</f>
        <v>#REF!</v>
      </c>
      <c r="AJ1787" s="25" t="e">
        <f>IF(SUMIFS(#REF!,#REF!,"Expired Previous Months",#REF!,O1787)=0,"",SUMIFS(#REF!,#REF!,"Expired Previous Months",#REF!,O1787))</f>
        <v>#REF!</v>
      </c>
      <c r="AK1787" s="25" t="str">
        <f>IFERROR(INDEX('Hun Release Current'!B:B,MATCH(O1787,'Hun Release Current'!A:A,0)),"")</f>
        <v/>
      </c>
      <c r="AL1787" s="25" t="str">
        <f>IF(SUMIF('Prev Aub'!A:A,O1787,'Prev Aub'!B:B)=0,"",SUMIF('Prev Aub'!A:A,O1787,'Prev Aub'!B:B))</f>
        <v/>
      </c>
      <c r="AN1787" s="25" t="s">
        <v>3790</v>
      </c>
      <c r="AO1787" s="25" t="s">
        <v>3790</v>
      </c>
      <c r="AP1787" s="25" t="str">
        <f t="shared" si="874"/>
        <v/>
      </c>
      <c r="AQ1787" s="151" t="e">
        <f>IF(SUMIFS(#REF!,#REF!,O1787,#REF!,"PENDING")=0,"",SUMIFS(#REF!,#REF!,O1787,#REF!,"PENDING"))</f>
        <v>#REF!</v>
      </c>
      <c r="AR1787" s="27" t="str">
        <f t="shared" si="875"/>
        <v/>
      </c>
      <c r="AS1787" s="27" t="str">
        <f t="shared" si="876"/>
        <v/>
      </c>
      <c r="AT1787" s="27" t="str">
        <f t="shared" si="877"/>
        <v/>
      </c>
      <c r="AU1787" s="27" t="str">
        <f t="shared" si="878"/>
        <v/>
      </c>
      <c r="AV1787" s="27" t="str">
        <f t="shared" si="879"/>
        <v/>
      </c>
      <c r="AW1787" s="27" t="e">
        <f t="shared" si="880"/>
        <v>#REF!</v>
      </c>
      <c r="AX1787" s="27" t="e">
        <f t="shared" si="881"/>
        <v>#REF!</v>
      </c>
      <c r="AY1787" s="27" t="str">
        <f t="shared" si="882"/>
        <v/>
      </c>
      <c r="AZ1787" s="27" t="str">
        <f t="shared" si="883"/>
        <v/>
      </c>
      <c r="BA1787" s="27" t="str">
        <f t="shared" si="884"/>
        <v/>
      </c>
      <c r="BB1787" s="27" t="str">
        <f t="shared" si="885"/>
        <v/>
      </c>
      <c r="BC1787" s="27" t="str">
        <f t="shared" si="886"/>
        <v/>
      </c>
      <c r="BD1787" s="27" t="str">
        <f t="shared" si="887"/>
        <v/>
      </c>
      <c r="BE1787" s="27" t="str">
        <f t="shared" si="888"/>
        <v/>
      </c>
      <c r="BF1787" s="27" t="str">
        <f t="shared" si="889"/>
        <v/>
      </c>
      <c r="BG1787" s="27" t="str">
        <f t="shared" si="890"/>
        <v/>
      </c>
      <c r="BH1787" s="27" t="str">
        <f t="shared" si="891"/>
        <v/>
      </c>
      <c r="BI1787" s="27" t="str">
        <f t="shared" si="892"/>
        <v/>
      </c>
      <c r="BJ1787" s="27" t="str">
        <f t="shared" si="893"/>
        <v/>
      </c>
      <c r="BK1787" s="27" t="str">
        <f t="shared" si="894"/>
        <v/>
      </c>
      <c r="BL1787" s="27" t="str">
        <f t="shared" si="895"/>
        <v/>
      </c>
      <c r="BM1787" s="21" t="s">
        <v>3790</v>
      </c>
    </row>
    <row r="1788" spans="1:65" ht="15">
      <c r="A1788" s="25" t="str">
        <f>IFERROR(INDEX(#REF!,MATCH(O1788,#REF!,0)),"")</f>
        <v/>
      </c>
      <c r="B1788" s="25" t="str">
        <f>IFERROR(INDEX(#REF!,MATCH(O1788,#REF!,0)),"")</f>
        <v/>
      </c>
      <c r="C1788" s="25" t="str">
        <f>IFERROR(INDEX(#REF!,MATCH(O1788,#REF!,0)),"")</f>
        <v/>
      </c>
      <c r="D1788" s="25" t="str">
        <f>IFERROR(INDEX(#REF!,MATCH(O1788,#REF!,0)),"")</f>
        <v/>
      </c>
      <c r="E1788" s="25" t="str">
        <f>IFERROR(INDEX(#REF!,MATCH(O1788,#REF!,0)),"")</f>
        <v/>
      </c>
      <c r="F1788" s="25" t="str">
        <f>IFERROR(INDEX(#REF!,MATCH(O1788,#REF!,0)),"")</f>
        <v/>
      </c>
      <c r="G1788" s="25" t="str">
        <f>IFERROR(INDEX(#REF!,MATCH(O1788,#REF!,0)),"")</f>
        <v/>
      </c>
      <c r="H1788" s="25" t="str">
        <f>IFERROR(INDEX(#REF!,MATCH(O1788,#REF!,0)),"")</f>
        <v/>
      </c>
      <c r="I1788" s="25" t="str">
        <f>IFERROR(INDEX(#REF!,MATCH(O1788,#REF!,0)),"")</f>
        <v/>
      </c>
      <c r="J1788" s="25" t="str">
        <f>IFERROR(INDEX(#REF!,MATCH(O1788,#REF!,0)),"")</f>
        <v/>
      </c>
      <c r="K1788" s="25" t="str">
        <f>IFERROR(INDEX(#REF!,MATCH(O1788,#REF!,0)),"")</f>
        <v/>
      </c>
      <c r="L1788" s="25" t="str">
        <f>IFERROR(INDEX(#REF!,MATCH(O1788,#REF!,0)),"")</f>
        <v/>
      </c>
      <c r="P1788" s="27" t="str">
        <f>IFERROR(INDEX(#REF!,MATCH($O1788,#REF!,0)),"")</f>
        <v/>
      </c>
      <c r="Q1788" s="27" t="str">
        <f>IFERROR(INDEX(#REF!,MATCH($O1788,#REF!,0)),"")</f>
        <v/>
      </c>
      <c r="R1788" s="52" t="str">
        <f>IFERROR(IF(AR1789=AR1788,INDEX(#REF!,MATCH($O1788,#REF!,0))-IF(AN1788="",0,AN1788)+AP1789,INDEX(#REF!,MATCH($O1788,#REF!,0))-IF(AN1788="",0,AN1788)),"")</f>
        <v/>
      </c>
      <c r="S1788" s="53" t="str">
        <f t="shared" si="868"/>
        <v/>
      </c>
      <c r="T1788" s="52" t="str">
        <f t="shared" si="869"/>
        <v/>
      </c>
      <c r="U1788" s="52" t="str">
        <f>IFERROR(IF(AR1789=AR1788,INDEX(#REF!,MATCH($O1788,#REF!,0))-IF(AN1788="",0,AN1788)+AP1789,INDEX(#REF!,MATCH($O1788,#REF!,0))-IF(AN1788="",0,AN1788)),"")</f>
        <v/>
      </c>
      <c r="V1788" s="53" t="str">
        <f t="shared" si="870"/>
        <v/>
      </c>
      <c r="W1788" s="52" t="str">
        <f t="shared" si="871"/>
        <v/>
      </c>
      <c r="X1788" s="52" t="str">
        <f>IFERROR(IF(AND(AR1789=AR1788,AM1788&lt;&gt;""),INDEX(#REF!,MATCH($O1788,#REF!,0))-IF(AN1788="",0,AN1788)+AP1789+AD1788+AL1788,IF(AR1789=AR1788,INDEX(#REF!,MATCH($O1788,#REF!,0))-IF(AN1788="",0,AN1788)+AP1789+AD1788,IF(AM1788&lt;&gt;"",INDEX(#REF!,MATCH($O1788,#REF!,0))-IF(AN1788="",0,AN1788)+AD1788+AL1788,INDEX(#REF!,MATCH($O1788,#REF!,0))-IF(AN1788="",0,AN1788)+AD1788))),"")</f>
        <v/>
      </c>
      <c r="Y1788" s="53" t="str">
        <f t="shared" si="872"/>
        <v/>
      </c>
      <c r="Z1788" s="52" t="str">
        <f>IF(L1788="","",INDEX(#REF!,MATCH($O1788,#REF!,0)))</f>
        <v/>
      </c>
      <c r="AA1788" s="52" t="str">
        <f t="shared" si="873"/>
        <v/>
      </c>
      <c r="AB1788" s="52" t="str">
        <f>IFERROR(INDEX(#REF!,MATCH($O1788,#REF!,0)),"")</f>
        <v/>
      </c>
      <c r="AC1788" s="52" t="str">
        <f>IFERROR(IF(O1788="","",SUMIFS('CPL Mats'!F:F,'CPL Mats'!Q:Q,AR1788,'CPL Mats'!S:S,AS1788)),"")</f>
        <v/>
      </c>
      <c r="AF1788" s="25" t="e">
        <f>IF(SUMIFS(#REF!,#REF!,"Releasable",#REF!,O1788)=0,"",SUMIFS(#REF!,#REF!,"Releasable",#REF!,O1788))</f>
        <v>#REF!</v>
      </c>
      <c r="AG1788" s="25" t="str">
        <f>IFERROR(INDEX(#REF!,MATCH(O1788,#REF!,0)),"")</f>
        <v/>
      </c>
      <c r="AH1788" s="25" t="str">
        <f>IFERROR(INDEX(#REF!,MATCH($O1788,#REF!,0)),"")</f>
        <v/>
      </c>
      <c r="AI1788" s="25" t="e">
        <f>IF(SUMIFS(#REF!,#REF!,"Expires this month",#REF!,O1788)=0,"",SUMIFS(#REF!,#REF!,"Expires this month",#REF!,O1788))</f>
        <v>#REF!</v>
      </c>
      <c r="AJ1788" s="25" t="e">
        <f>IF(SUMIFS(#REF!,#REF!,"Expired Previous Months",#REF!,O1788)=0,"",SUMIFS(#REF!,#REF!,"Expired Previous Months",#REF!,O1788))</f>
        <v>#REF!</v>
      </c>
      <c r="AK1788" s="25" t="str">
        <f>IFERROR(INDEX('Hun Release Current'!B:B,MATCH(O1788,'Hun Release Current'!A:A,0)),"")</f>
        <v/>
      </c>
      <c r="AL1788" s="25" t="str">
        <f>IF(SUMIF('Prev Aub'!A:A,O1788,'Prev Aub'!B:B)=0,"",SUMIF('Prev Aub'!A:A,O1788,'Prev Aub'!B:B))</f>
        <v/>
      </c>
      <c r="AN1788" s="25" t="s">
        <v>3790</v>
      </c>
      <c r="AO1788" s="25" t="s">
        <v>3790</v>
      </c>
      <c r="AP1788" s="25" t="str">
        <f t="shared" si="874"/>
        <v/>
      </c>
      <c r="AQ1788" s="151" t="e">
        <f>IF(SUMIFS(#REF!,#REF!,O1788,#REF!,"PENDING")=0,"",SUMIFS(#REF!,#REF!,O1788,#REF!,"PENDING"))</f>
        <v>#REF!</v>
      </c>
      <c r="AR1788" s="27" t="str">
        <f t="shared" si="875"/>
        <v/>
      </c>
      <c r="AS1788" s="27" t="str">
        <f t="shared" si="876"/>
        <v/>
      </c>
      <c r="AT1788" s="27" t="str">
        <f t="shared" si="877"/>
        <v/>
      </c>
      <c r="AU1788" s="27" t="str">
        <f t="shared" si="878"/>
        <v/>
      </c>
      <c r="AV1788" s="27" t="str">
        <f t="shared" si="879"/>
        <v/>
      </c>
      <c r="AW1788" s="27" t="e">
        <f t="shared" si="880"/>
        <v>#REF!</v>
      </c>
      <c r="AX1788" s="27" t="e">
        <f t="shared" si="881"/>
        <v>#REF!</v>
      </c>
      <c r="AY1788" s="27" t="str">
        <f t="shared" si="882"/>
        <v/>
      </c>
      <c r="AZ1788" s="27" t="str">
        <f t="shared" si="883"/>
        <v/>
      </c>
      <c r="BA1788" s="27" t="str">
        <f t="shared" si="884"/>
        <v/>
      </c>
      <c r="BB1788" s="27" t="str">
        <f t="shared" si="885"/>
        <v/>
      </c>
      <c r="BC1788" s="27" t="str">
        <f t="shared" si="886"/>
        <v/>
      </c>
      <c r="BD1788" s="27" t="str">
        <f t="shared" si="887"/>
        <v/>
      </c>
      <c r="BE1788" s="27" t="str">
        <f t="shared" si="888"/>
        <v/>
      </c>
      <c r="BF1788" s="27" t="str">
        <f t="shared" si="889"/>
        <v/>
      </c>
      <c r="BG1788" s="27" t="str">
        <f t="shared" si="890"/>
        <v/>
      </c>
      <c r="BH1788" s="27" t="str">
        <f t="shared" si="891"/>
        <v/>
      </c>
      <c r="BI1788" s="27" t="str">
        <f t="shared" si="892"/>
        <v/>
      </c>
      <c r="BJ1788" s="27" t="str">
        <f t="shared" si="893"/>
        <v/>
      </c>
      <c r="BK1788" s="27" t="str">
        <f t="shared" si="894"/>
        <v/>
      </c>
      <c r="BL1788" s="27" t="str">
        <f t="shared" si="895"/>
        <v/>
      </c>
      <c r="BM1788" s="21" t="s">
        <v>3790</v>
      </c>
    </row>
    <row r="1789" spans="1:65" ht="15">
      <c r="A1789" s="25" t="str">
        <f>IFERROR(INDEX(#REF!,MATCH(O1789,#REF!,0)),"")</f>
        <v/>
      </c>
      <c r="B1789" s="25" t="str">
        <f>IFERROR(INDEX(#REF!,MATCH(O1789,#REF!,0)),"")</f>
        <v/>
      </c>
      <c r="C1789" s="25" t="str">
        <f>IFERROR(INDEX(#REF!,MATCH(O1789,#REF!,0)),"")</f>
        <v/>
      </c>
      <c r="D1789" s="25" t="str">
        <f>IFERROR(INDEX(#REF!,MATCH(O1789,#REF!,0)),"")</f>
        <v/>
      </c>
      <c r="E1789" s="25" t="str">
        <f>IFERROR(INDEX(#REF!,MATCH(O1789,#REF!,0)),"")</f>
        <v/>
      </c>
      <c r="F1789" s="25" t="str">
        <f>IFERROR(INDEX(#REF!,MATCH(O1789,#REF!,0)),"")</f>
        <v/>
      </c>
      <c r="G1789" s="25" t="str">
        <f>IFERROR(INDEX(#REF!,MATCH(O1789,#REF!,0)),"")</f>
        <v/>
      </c>
      <c r="H1789" s="25" t="str">
        <f>IFERROR(INDEX(#REF!,MATCH(O1789,#REF!,0)),"")</f>
        <v/>
      </c>
      <c r="I1789" s="25" t="str">
        <f>IFERROR(INDEX(#REF!,MATCH(O1789,#REF!,0)),"")</f>
        <v/>
      </c>
      <c r="J1789" s="25" t="str">
        <f>IFERROR(INDEX(#REF!,MATCH(O1789,#REF!,0)),"")</f>
        <v/>
      </c>
      <c r="K1789" s="25" t="str">
        <f>IFERROR(INDEX(#REF!,MATCH(O1789,#REF!,0)),"")</f>
        <v/>
      </c>
      <c r="L1789" s="25" t="str">
        <f>IFERROR(INDEX(#REF!,MATCH(O1789,#REF!,0)),"")</f>
        <v/>
      </c>
      <c r="P1789" s="27" t="str">
        <f>IFERROR(INDEX(#REF!,MATCH($O1789,#REF!,0)),"")</f>
        <v/>
      </c>
      <c r="Q1789" s="27" t="str">
        <f>IFERROR(INDEX(#REF!,MATCH($O1789,#REF!,0)),"")</f>
        <v/>
      </c>
      <c r="R1789" s="52" t="str">
        <f>IFERROR(IF(AR1790=AR1789,INDEX(#REF!,MATCH($O1789,#REF!,0))-IF(AN1789="",0,AN1789)+AP1790,INDEX(#REF!,MATCH($O1789,#REF!,0))-IF(AN1789="",0,AN1789)),"")</f>
        <v/>
      </c>
      <c r="S1789" s="53" t="str">
        <f t="shared" si="868"/>
        <v/>
      </c>
      <c r="T1789" s="52" t="str">
        <f t="shared" si="869"/>
        <v/>
      </c>
      <c r="U1789" s="52" t="str">
        <f>IFERROR(IF(AR1790=AR1789,INDEX(#REF!,MATCH($O1789,#REF!,0))-IF(AN1789="",0,AN1789)+AP1790,INDEX(#REF!,MATCH($O1789,#REF!,0))-IF(AN1789="",0,AN1789)),"")</f>
        <v/>
      </c>
      <c r="V1789" s="53" t="str">
        <f t="shared" si="870"/>
        <v/>
      </c>
      <c r="W1789" s="52" t="str">
        <f t="shared" si="871"/>
        <v/>
      </c>
      <c r="X1789" s="52" t="str">
        <f>IFERROR(IF(AND(AR1790=AR1789,AM1789&lt;&gt;""),INDEX(#REF!,MATCH($O1789,#REF!,0))-IF(AN1789="",0,AN1789)+AP1790+AD1789+AL1789,IF(AR1790=AR1789,INDEX(#REF!,MATCH($O1789,#REF!,0))-IF(AN1789="",0,AN1789)+AP1790+AD1789,IF(AM1789&lt;&gt;"",INDEX(#REF!,MATCH($O1789,#REF!,0))-IF(AN1789="",0,AN1789)+AD1789+AL1789,INDEX(#REF!,MATCH($O1789,#REF!,0))-IF(AN1789="",0,AN1789)+AD1789))),"")</f>
        <v/>
      </c>
      <c r="Y1789" s="53" t="str">
        <f t="shared" si="872"/>
        <v/>
      </c>
      <c r="Z1789" s="52" t="str">
        <f>IF(L1789="","",INDEX(#REF!,MATCH($O1789,#REF!,0)))</f>
        <v/>
      </c>
      <c r="AA1789" s="52" t="str">
        <f t="shared" si="873"/>
        <v/>
      </c>
      <c r="AB1789" s="52" t="str">
        <f>IFERROR(INDEX(#REF!,MATCH($O1789,#REF!,0)),"")</f>
        <v/>
      </c>
      <c r="AC1789" s="52" t="str">
        <f>IFERROR(IF(O1789="","",SUMIFS('CPL Mats'!F:F,'CPL Mats'!Q:Q,AR1789,'CPL Mats'!S:S,AS1789)),"")</f>
        <v/>
      </c>
      <c r="AF1789" s="25" t="e">
        <f>IF(SUMIFS(#REF!,#REF!,"Releasable",#REF!,O1789)=0,"",SUMIFS(#REF!,#REF!,"Releasable",#REF!,O1789))</f>
        <v>#REF!</v>
      </c>
      <c r="AG1789" s="25" t="str">
        <f>IFERROR(INDEX(#REF!,MATCH(O1789,#REF!,0)),"")</f>
        <v/>
      </c>
      <c r="AH1789" s="25" t="str">
        <f>IFERROR(INDEX(#REF!,MATCH($O1789,#REF!,0)),"")</f>
        <v/>
      </c>
      <c r="AI1789" s="25" t="e">
        <f>IF(SUMIFS(#REF!,#REF!,"Expires this month",#REF!,O1789)=0,"",SUMIFS(#REF!,#REF!,"Expires this month",#REF!,O1789))</f>
        <v>#REF!</v>
      </c>
      <c r="AJ1789" s="25" t="e">
        <f>IF(SUMIFS(#REF!,#REF!,"Expired Previous Months",#REF!,O1789)=0,"",SUMIFS(#REF!,#REF!,"Expired Previous Months",#REF!,O1789))</f>
        <v>#REF!</v>
      </c>
      <c r="AK1789" s="25" t="str">
        <f>IFERROR(INDEX('Hun Release Current'!B:B,MATCH(O1789,'Hun Release Current'!A:A,0)),"")</f>
        <v/>
      </c>
      <c r="AL1789" s="25" t="str">
        <f>IF(SUMIF('Prev Aub'!A:A,O1789,'Prev Aub'!B:B)=0,"",SUMIF('Prev Aub'!A:A,O1789,'Prev Aub'!B:B))</f>
        <v/>
      </c>
      <c r="AN1789" s="25" t="s">
        <v>3790</v>
      </c>
      <c r="AO1789" s="25" t="s">
        <v>3790</v>
      </c>
      <c r="AP1789" s="25" t="str">
        <f t="shared" si="874"/>
        <v/>
      </c>
      <c r="AQ1789" s="151" t="e">
        <f>IF(SUMIFS(#REF!,#REF!,O1789,#REF!,"PENDING")=0,"",SUMIFS(#REF!,#REF!,O1789,#REF!,"PENDING"))</f>
        <v>#REF!</v>
      </c>
      <c r="AR1789" s="27" t="str">
        <f t="shared" si="875"/>
        <v/>
      </c>
      <c r="AS1789" s="27" t="str">
        <f t="shared" si="876"/>
        <v/>
      </c>
      <c r="AT1789" s="27" t="str">
        <f t="shared" si="877"/>
        <v/>
      </c>
      <c r="AU1789" s="27" t="str">
        <f t="shared" si="878"/>
        <v/>
      </c>
      <c r="AV1789" s="27" t="str">
        <f t="shared" si="879"/>
        <v/>
      </c>
      <c r="AW1789" s="27" t="e">
        <f t="shared" si="880"/>
        <v>#REF!</v>
      </c>
      <c r="AX1789" s="27" t="e">
        <f t="shared" si="881"/>
        <v>#REF!</v>
      </c>
      <c r="AY1789" s="27" t="str">
        <f t="shared" si="882"/>
        <v/>
      </c>
      <c r="AZ1789" s="27" t="str">
        <f t="shared" si="883"/>
        <v/>
      </c>
      <c r="BA1789" s="27" t="str">
        <f t="shared" si="884"/>
        <v/>
      </c>
      <c r="BB1789" s="27" t="str">
        <f t="shared" si="885"/>
        <v/>
      </c>
      <c r="BC1789" s="27" t="str">
        <f t="shared" si="886"/>
        <v/>
      </c>
      <c r="BD1789" s="27" t="str">
        <f t="shared" si="887"/>
        <v/>
      </c>
      <c r="BE1789" s="27" t="str">
        <f t="shared" si="888"/>
        <v/>
      </c>
      <c r="BF1789" s="27" t="str">
        <f t="shared" si="889"/>
        <v/>
      </c>
      <c r="BG1789" s="27" t="str">
        <f t="shared" si="890"/>
        <v/>
      </c>
      <c r="BH1789" s="27" t="str">
        <f t="shared" si="891"/>
        <v/>
      </c>
      <c r="BI1789" s="27" t="str">
        <f t="shared" si="892"/>
        <v/>
      </c>
      <c r="BJ1789" s="27" t="str">
        <f t="shared" si="893"/>
        <v/>
      </c>
      <c r="BK1789" s="27" t="str">
        <f t="shared" si="894"/>
        <v/>
      </c>
      <c r="BL1789" s="27" t="str">
        <f t="shared" si="895"/>
        <v/>
      </c>
      <c r="BM1789" s="21" t="s">
        <v>3790</v>
      </c>
    </row>
    <row r="1790" spans="1:65" ht="15">
      <c r="A1790" s="25" t="str">
        <f>IFERROR(INDEX(#REF!,MATCH(O1790,#REF!,0)),"")</f>
        <v/>
      </c>
      <c r="B1790" s="25" t="str">
        <f>IFERROR(INDEX(#REF!,MATCH(O1790,#REF!,0)),"")</f>
        <v/>
      </c>
      <c r="C1790" s="25" t="str">
        <f>IFERROR(INDEX(#REF!,MATCH(O1790,#REF!,0)),"")</f>
        <v/>
      </c>
      <c r="D1790" s="25" t="str">
        <f>IFERROR(INDEX(#REF!,MATCH(O1790,#REF!,0)),"")</f>
        <v/>
      </c>
      <c r="E1790" s="25" t="str">
        <f>IFERROR(INDEX(#REF!,MATCH(O1790,#REF!,0)),"")</f>
        <v/>
      </c>
      <c r="F1790" s="25" t="str">
        <f>IFERROR(INDEX(#REF!,MATCH(O1790,#REF!,0)),"")</f>
        <v/>
      </c>
      <c r="G1790" s="25" t="str">
        <f>IFERROR(INDEX(#REF!,MATCH(O1790,#REF!,0)),"")</f>
        <v/>
      </c>
      <c r="H1790" s="25" t="str">
        <f>IFERROR(INDEX(#REF!,MATCH(O1790,#REF!,0)),"")</f>
        <v/>
      </c>
      <c r="I1790" s="25" t="str">
        <f>IFERROR(INDEX(#REF!,MATCH(O1790,#REF!,0)),"")</f>
        <v/>
      </c>
      <c r="J1790" s="25" t="str">
        <f>IFERROR(INDEX(#REF!,MATCH(O1790,#REF!,0)),"")</f>
        <v/>
      </c>
      <c r="K1790" s="25" t="str">
        <f>IFERROR(INDEX(#REF!,MATCH(O1790,#REF!,0)),"")</f>
        <v/>
      </c>
      <c r="L1790" s="25" t="str">
        <f>IFERROR(INDEX(#REF!,MATCH(O1790,#REF!,0)),"")</f>
        <v/>
      </c>
      <c r="P1790" s="27" t="str">
        <f>IFERROR(INDEX(#REF!,MATCH($O1790,#REF!,0)),"")</f>
        <v/>
      </c>
      <c r="Q1790" s="27" t="str">
        <f>IFERROR(INDEX(#REF!,MATCH($O1790,#REF!,0)),"")</f>
        <v/>
      </c>
      <c r="R1790" s="52" t="str">
        <f>IFERROR(IF(AR1791=AR1790,INDEX(#REF!,MATCH($O1790,#REF!,0))-IF(AN1790="",0,AN1790)+AP1791,INDEX(#REF!,MATCH($O1790,#REF!,0))-IF(AN1790="",0,AN1790)),"")</f>
        <v/>
      </c>
      <c r="S1790" s="53" t="str">
        <f t="shared" si="868"/>
        <v/>
      </c>
      <c r="T1790" s="52" t="str">
        <f t="shared" si="869"/>
        <v/>
      </c>
      <c r="U1790" s="52" t="str">
        <f>IFERROR(IF(AR1791=AR1790,INDEX(#REF!,MATCH($O1790,#REF!,0))-IF(AN1790="",0,AN1790)+AP1791,INDEX(#REF!,MATCH($O1790,#REF!,0))-IF(AN1790="",0,AN1790)),"")</f>
        <v/>
      </c>
      <c r="V1790" s="53" t="str">
        <f t="shared" si="870"/>
        <v/>
      </c>
      <c r="W1790" s="52" t="str">
        <f t="shared" si="871"/>
        <v/>
      </c>
      <c r="X1790" s="52" t="str">
        <f>IFERROR(IF(AND(AR1791=AR1790,AM1790&lt;&gt;""),INDEX(#REF!,MATCH($O1790,#REF!,0))-IF(AN1790="",0,AN1790)+AP1791+AD1790+AL1790,IF(AR1791=AR1790,INDEX(#REF!,MATCH($O1790,#REF!,0))-IF(AN1790="",0,AN1790)+AP1791+AD1790,IF(AM1790&lt;&gt;"",INDEX(#REF!,MATCH($O1790,#REF!,0))-IF(AN1790="",0,AN1790)+AD1790+AL1790,INDEX(#REF!,MATCH($O1790,#REF!,0))-IF(AN1790="",0,AN1790)+AD1790))),"")</f>
        <v/>
      </c>
      <c r="Y1790" s="53" t="str">
        <f t="shared" si="872"/>
        <v/>
      </c>
      <c r="Z1790" s="52" t="str">
        <f>IF(L1790="","",INDEX(#REF!,MATCH($O1790,#REF!,0)))</f>
        <v/>
      </c>
      <c r="AA1790" s="52" t="str">
        <f t="shared" si="873"/>
        <v/>
      </c>
      <c r="AB1790" s="52" t="str">
        <f>IFERROR(INDEX(#REF!,MATCH($O1790,#REF!,0)),"")</f>
        <v/>
      </c>
      <c r="AC1790" s="52" t="str">
        <f>IFERROR(IF(O1790="","",SUMIFS('CPL Mats'!F:F,'CPL Mats'!Q:Q,AR1790,'CPL Mats'!S:S,AS1790)),"")</f>
        <v/>
      </c>
      <c r="AF1790" s="25" t="e">
        <f>IF(SUMIFS(#REF!,#REF!,"Releasable",#REF!,O1790)=0,"",SUMIFS(#REF!,#REF!,"Releasable",#REF!,O1790))</f>
        <v>#REF!</v>
      </c>
      <c r="AG1790" s="25" t="str">
        <f>IFERROR(INDEX(#REF!,MATCH(O1790,#REF!,0)),"")</f>
        <v/>
      </c>
      <c r="AH1790" s="25" t="str">
        <f>IFERROR(INDEX(#REF!,MATCH($O1790,#REF!,0)),"")</f>
        <v/>
      </c>
      <c r="AI1790" s="25" t="e">
        <f>IF(SUMIFS(#REF!,#REF!,"Expires this month",#REF!,O1790)=0,"",SUMIFS(#REF!,#REF!,"Expires this month",#REF!,O1790))</f>
        <v>#REF!</v>
      </c>
      <c r="AJ1790" s="25" t="e">
        <f>IF(SUMIFS(#REF!,#REF!,"Expired Previous Months",#REF!,O1790)=0,"",SUMIFS(#REF!,#REF!,"Expired Previous Months",#REF!,O1790))</f>
        <v>#REF!</v>
      </c>
      <c r="AK1790" s="25" t="str">
        <f>IFERROR(INDEX('Hun Release Current'!B:B,MATCH(O1790,'Hun Release Current'!A:A,0)),"")</f>
        <v/>
      </c>
      <c r="AL1790" s="25" t="str">
        <f>IF(SUMIF('Prev Aub'!A:A,O1790,'Prev Aub'!B:B)=0,"",SUMIF('Prev Aub'!A:A,O1790,'Prev Aub'!B:B))</f>
        <v/>
      </c>
      <c r="AN1790" s="25" t="s">
        <v>3790</v>
      </c>
      <c r="AO1790" s="25" t="s">
        <v>3790</v>
      </c>
      <c r="AP1790" s="25" t="str">
        <f t="shared" si="874"/>
        <v/>
      </c>
      <c r="AQ1790" s="151" t="e">
        <f>IF(SUMIFS(#REF!,#REF!,O1790,#REF!,"PENDING")=0,"",SUMIFS(#REF!,#REF!,O1790,#REF!,"PENDING"))</f>
        <v>#REF!</v>
      </c>
      <c r="AR1790" s="27" t="str">
        <f t="shared" si="875"/>
        <v/>
      </c>
      <c r="AS1790" s="27" t="str">
        <f t="shared" si="876"/>
        <v/>
      </c>
      <c r="AT1790" s="27" t="str">
        <f t="shared" si="877"/>
        <v/>
      </c>
      <c r="AU1790" s="27" t="str">
        <f t="shared" si="878"/>
        <v/>
      </c>
      <c r="AV1790" s="27" t="str">
        <f t="shared" si="879"/>
        <v/>
      </c>
      <c r="AW1790" s="27" t="e">
        <f t="shared" si="880"/>
        <v>#REF!</v>
      </c>
      <c r="AX1790" s="27" t="e">
        <f t="shared" si="881"/>
        <v>#REF!</v>
      </c>
      <c r="AY1790" s="27" t="str">
        <f t="shared" si="882"/>
        <v/>
      </c>
      <c r="AZ1790" s="27" t="str">
        <f t="shared" si="883"/>
        <v/>
      </c>
      <c r="BA1790" s="27" t="str">
        <f t="shared" si="884"/>
        <v/>
      </c>
      <c r="BB1790" s="27" t="str">
        <f t="shared" si="885"/>
        <v/>
      </c>
      <c r="BC1790" s="27" t="str">
        <f t="shared" si="886"/>
        <v/>
      </c>
      <c r="BD1790" s="27" t="str">
        <f t="shared" si="887"/>
        <v/>
      </c>
      <c r="BE1790" s="27" t="str">
        <f t="shared" si="888"/>
        <v/>
      </c>
      <c r="BF1790" s="27" t="str">
        <f t="shared" si="889"/>
        <v/>
      </c>
      <c r="BG1790" s="27" t="str">
        <f t="shared" si="890"/>
        <v/>
      </c>
      <c r="BH1790" s="27" t="str">
        <f t="shared" si="891"/>
        <v/>
      </c>
      <c r="BI1790" s="27" t="str">
        <f t="shared" si="892"/>
        <v/>
      </c>
      <c r="BJ1790" s="27" t="str">
        <f t="shared" si="893"/>
        <v/>
      </c>
      <c r="BK1790" s="27" t="str">
        <f t="shared" si="894"/>
        <v/>
      </c>
      <c r="BL1790" s="27" t="str">
        <f t="shared" si="895"/>
        <v/>
      </c>
      <c r="BM1790" s="21" t="s">
        <v>3790</v>
      </c>
    </row>
    <row r="1791" spans="1:65" ht="15">
      <c r="A1791" s="25" t="str">
        <f>IFERROR(INDEX(#REF!,MATCH(O1791,#REF!,0)),"")</f>
        <v/>
      </c>
      <c r="B1791" s="25" t="str">
        <f>IFERROR(INDEX(#REF!,MATCH(O1791,#REF!,0)),"")</f>
        <v/>
      </c>
      <c r="C1791" s="25" t="str">
        <f>IFERROR(INDEX(#REF!,MATCH(O1791,#REF!,0)),"")</f>
        <v/>
      </c>
      <c r="D1791" s="25" t="str">
        <f>IFERROR(INDEX(#REF!,MATCH(O1791,#REF!,0)),"")</f>
        <v/>
      </c>
      <c r="E1791" s="25" t="str">
        <f>IFERROR(INDEX(#REF!,MATCH(O1791,#REF!,0)),"")</f>
        <v/>
      </c>
      <c r="F1791" s="25" t="str">
        <f>IFERROR(INDEX(#REF!,MATCH(O1791,#REF!,0)),"")</f>
        <v/>
      </c>
      <c r="G1791" s="25" t="str">
        <f>IFERROR(INDEX(#REF!,MATCH(O1791,#REF!,0)),"")</f>
        <v/>
      </c>
      <c r="H1791" s="25" t="str">
        <f>IFERROR(INDEX(#REF!,MATCH(O1791,#REF!,0)),"")</f>
        <v/>
      </c>
      <c r="I1791" s="25" t="str">
        <f>IFERROR(INDEX(#REF!,MATCH(O1791,#REF!,0)),"")</f>
        <v/>
      </c>
      <c r="J1791" s="25" t="str">
        <f>IFERROR(INDEX(#REF!,MATCH(O1791,#REF!,0)),"")</f>
        <v/>
      </c>
      <c r="K1791" s="25" t="str">
        <f>IFERROR(INDEX(#REF!,MATCH(O1791,#REF!,0)),"")</f>
        <v/>
      </c>
      <c r="L1791" s="25" t="str">
        <f>IFERROR(INDEX(#REF!,MATCH(O1791,#REF!,0)),"")</f>
        <v/>
      </c>
      <c r="P1791" s="27" t="str">
        <f>IFERROR(INDEX(#REF!,MATCH($O1791,#REF!,0)),"")</f>
        <v/>
      </c>
      <c r="Q1791" s="27" t="str">
        <f>IFERROR(INDEX(#REF!,MATCH($O1791,#REF!,0)),"")</f>
        <v/>
      </c>
      <c r="R1791" s="52" t="str">
        <f>IFERROR(IF(AR1792=AR1791,INDEX(#REF!,MATCH($O1791,#REF!,0))-IF(AN1791="",0,AN1791)+AP1792,INDEX(#REF!,MATCH($O1791,#REF!,0))-IF(AN1791="",0,AN1791)),"")</f>
        <v/>
      </c>
      <c r="S1791" s="53" t="str">
        <f t="shared" si="868"/>
        <v/>
      </c>
      <c r="T1791" s="52" t="str">
        <f t="shared" si="869"/>
        <v/>
      </c>
      <c r="U1791" s="52" t="str">
        <f>IFERROR(IF(AR1792=AR1791,INDEX(#REF!,MATCH($O1791,#REF!,0))-IF(AN1791="",0,AN1791)+AP1792,INDEX(#REF!,MATCH($O1791,#REF!,0))-IF(AN1791="",0,AN1791)),"")</f>
        <v/>
      </c>
      <c r="V1791" s="53" t="str">
        <f t="shared" si="870"/>
        <v/>
      </c>
      <c r="W1791" s="52" t="str">
        <f t="shared" si="871"/>
        <v/>
      </c>
      <c r="X1791" s="52" t="str">
        <f>IFERROR(IF(AND(AR1792=AR1791,AM1791&lt;&gt;""),INDEX(#REF!,MATCH($O1791,#REF!,0))-IF(AN1791="",0,AN1791)+AP1792+AD1791+AL1791,IF(AR1792=AR1791,INDEX(#REF!,MATCH($O1791,#REF!,0))-IF(AN1791="",0,AN1791)+AP1792+AD1791,IF(AM1791&lt;&gt;"",INDEX(#REF!,MATCH($O1791,#REF!,0))-IF(AN1791="",0,AN1791)+AD1791+AL1791,INDEX(#REF!,MATCH($O1791,#REF!,0))-IF(AN1791="",0,AN1791)+AD1791))),"")</f>
        <v/>
      </c>
      <c r="Y1791" s="53" t="str">
        <f t="shared" si="872"/>
        <v/>
      </c>
      <c r="Z1791" s="52" t="str">
        <f>IF(L1791="","",INDEX(#REF!,MATCH($O1791,#REF!,0)))</f>
        <v/>
      </c>
      <c r="AA1791" s="52" t="str">
        <f t="shared" si="873"/>
        <v/>
      </c>
      <c r="AB1791" s="52" t="str">
        <f>IFERROR(INDEX(#REF!,MATCH($O1791,#REF!,0)),"")</f>
        <v/>
      </c>
      <c r="AC1791" s="52" t="str">
        <f>IFERROR(IF(O1791="","",SUMIFS('CPL Mats'!F:F,'CPL Mats'!Q:Q,AR1791,'CPL Mats'!S:S,AS1791)),"")</f>
        <v/>
      </c>
      <c r="AF1791" s="25" t="e">
        <f>IF(SUMIFS(#REF!,#REF!,"Releasable",#REF!,O1791)=0,"",SUMIFS(#REF!,#REF!,"Releasable",#REF!,O1791))</f>
        <v>#REF!</v>
      </c>
      <c r="AG1791" s="25" t="str">
        <f>IFERROR(INDEX(#REF!,MATCH(O1791,#REF!,0)),"")</f>
        <v/>
      </c>
      <c r="AH1791" s="25" t="str">
        <f>IFERROR(INDEX(#REF!,MATCH($O1791,#REF!,0)),"")</f>
        <v/>
      </c>
      <c r="AI1791" s="25" t="e">
        <f>IF(SUMIFS(#REF!,#REF!,"Expires this month",#REF!,O1791)=0,"",SUMIFS(#REF!,#REF!,"Expires this month",#REF!,O1791))</f>
        <v>#REF!</v>
      </c>
      <c r="AJ1791" s="25" t="e">
        <f>IF(SUMIFS(#REF!,#REF!,"Expired Previous Months",#REF!,O1791)=0,"",SUMIFS(#REF!,#REF!,"Expired Previous Months",#REF!,O1791))</f>
        <v>#REF!</v>
      </c>
      <c r="AK1791" s="25" t="str">
        <f>IFERROR(INDEX('Hun Release Current'!B:B,MATCH(O1791,'Hun Release Current'!A:A,0)),"")</f>
        <v/>
      </c>
      <c r="AL1791" s="25" t="str">
        <f>IF(SUMIF('Prev Aub'!A:A,O1791,'Prev Aub'!B:B)=0,"",SUMIF('Prev Aub'!A:A,O1791,'Prev Aub'!B:B))</f>
        <v/>
      </c>
      <c r="AN1791" s="25" t="s">
        <v>3790</v>
      </c>
      <c r="AO1791" s="25" t="s">
        <v>3790</v>
      </c>
      <c r="AP1791" s="25" t="str">
        <f t="shared" si="874"/>
        <v/>
      </c>
      <c r="AQ1791" s="151" t="e">
        <f>IF(SUMIFS(#REF!,#REF!,O1791,#REF!,"PENDING")=0,"",SUMIFS(#REF!,#REF!,O1791,#REF!,"PENDING"))</f>
        <v>#REF!</v>
      </c>
      <c r="AR1791" s="27" t="str">
        <f t="shared" si="875"/>
        <v/>
      </c>
      <c r="AS1791" s="27" t="str">
        <f t="shared" si="876"/>
        <v/>
      </c>
      <c r="AT1791" s="27" t="str">
        <f t="shared" si="877"/>
        <v/>
      </c>
      <c r="AU1791" s="27" t="str">
        <f t="shared" si="878"/>
        <v/>
      </c>
      <c r="AV1791" s="27" t="str">
        <f t="shared" si="879"/>
        <v/>
      </c>
      <c r="AW1791" s="27" t="e">
        <f t="shared" si="880"/>
        <v>#REF!</v>
      </c>
      <c r="AX1791" s="27" t="e">
        <f t="shared" si="881"/>
        <v>#REF!</v>
      </c>
      <c r="AY1791" s="27" t="str">
        <f t="shared" si="882"/>
        <v/>
      </c>
      <c r="AZ1791" s="27" t="str">
        <f t="shared" si="883"/>
        <v/>
      </c>
      <c r="BA1791" s="27" t="str">
        <f t="shared" si="884"/>
        <v/>
      </c>
      <c r="BB1791" s="27" t="str">
        <f t="shared" si="885"/>
        <v/>
      </c>
      <c r="BC1791" s="27" t="str">
        <f t="shared" si="886"/>
        <v/>
      </c>
      <c r="BD1791" s="27" t="str">
        <f t="shared" si="887"/>
        <v/>
      </c>
      <c r="BE1791" s="27" t="str">
        <f t="shared" si="888"/>
        <v/>
      </c>
      <c r="BF1791" s="27" t="str">
        <f t="shared" si="889"/>
        <v/>
      </c>
      <c r="BG1791" s="27" t="str">
        <f t="shared" si="890"/>
        <v/>
      </c>
      <c r="BH1791" s="27" t="str">
        <f t="shared" si="891"/>
        <v/>
      </c>
      <c r="BI1791" s="27" t="str">
        <f t="shared" si="892"/>
        <v/>
      </c>
      <c r="BJ1791" s="27" t="str">
        <f t="shared" si="893"/>
        <v/>
      </c>
      <c r="BK1791" s="27" t="str">
        <f t="shared" si="894"/>
        <v/>
      </c>
      <c r="BL1791" s="27" t="str">
        <f t="shared" si="895"/>
        <v/>
      </c>
      <c r="BM1791" s="21" t="s">
        <v>3790</v>
      </c>
    </row>
    <row r="1792" spans="1:65" ht="15">
      <c r="A1792" s="25" t="str">
        <f>IFERROR(INDEX(#REF!,MATCH(O1792,#REF!,0)),"")</f>
        <v/>
      </c>
      <c r="B1792" s="25" t="str">
        <f>IFERROR(INDEX(#REF!,MATCH(O1792,#REF!,0)),"")</f>
        <v/>
      </c>
      <c r="C1792" s="25" t="str">
        <f>IFERROR(INDEX(#REF!,MATCH(O1792,#REF!,0)),"")</f>
        <v/>
      </c>
      <c r="D1792" s="25" t="str">
        <f>IFERROR(INDEX(#REF!,MATCH(O1792,#REF!,0)),"")</f>
        <v/>
      </c>
      <c r="E1792" s="25" t="str">
        <f>IFERROR(INDEX(#REF!,MATCH(O1792,#REF!,0)),"")</f>
        <v/>
      </c>
      <c r="F1792" s="25" t="str">
        <f>IFERROR(INDEX(#REF!,MATCH(O1792,#REF!,0)),"")</f>
        <v/>
      </c>
      <c r="G1792" s="25" t="str">
        <f>IFERROR(INDEX(#REF!,MATCH(O1792,#REF!,0)),"")</f>
        <v/>
      </c>
      <c r="H1792" s="25" t="str">
        <f>IFERROR(INDEX(#REF!,MATCH(O1792,#REF!,0)),"")</f>
        <v/>
      </c>
      <c r="I1792" s="25" t="str">
        <f>IFERROR(INDEX(#REF!,MATCH(O1792,#REF!,0)),"")</f>
        <v/>
      </c>
      <c r="J1792" s="25" t="str">
        <f>IFERROR(INDEX(#REF!,MATCH(O1792,#REF!,0)),"")</f>
        <v/>
      </c>
      <c r="K1792" s="25" t="str">
        <f>IFERROR(INDEX(#REF!,MATCH(O1792,#REF!,0)),"")</f>
        <v/>
      </c>
      <c r="L1792" s="25" t="str">
        <f>IFERROR(INDEX(#REF!,MATCH(O1792,#REF!,0)),"")</f>
        <v/>
      </c>
      <c r="P1792" s="27" t="str">
        <f>IFERROR(INDEX(#REF!,MATCH($O1792,#REF!,0)),"")</f>
        <v/>
      </c>
      <c r="Q1792" s="27" t="str">
        <f>IFERROR(INDEX(#REF!,MATCH($O1792,#REF!,0)),"")</f>
        <v/>
      </c>
      <c r="R1792" s="52" t="str">
        <f>IFERROR(IF(AR1793=AR1792,INDEX(#REF!,MATCH($O1792,#REF!,0))-IF(AN1792="",0,AN1792)+AP1793,INDEX(#REF!,MATCH($O1792,#REF!,0))-IF(AN1792="",0,AN1792)),"")</f>
        <v/>
      </c>
      <c r="S1792" s="53" t="str">
        <f t="shared" si="868"/>
        <v/>
      </c>
      <c r="T1792" s="52" t="str">
        <f t="shared" si="869"/>
        <v/>
      </c>
      <c r="U1792" s="52" t="str">
        <f>IFERROR(IF(AR1793=AR1792,INDEX(#REF!,MATCH($O1792,#REF!,0))-IF(AN1792="",0,AN1792)+AP1793,INDEX(#REF!,MATCH($O1792,#REF!,0))-IF(AN1792="",0,AN1792)),"")</f>
        <v/>
      </c>
      <c r="V1792" s="53" t="str">
        <f t="shared" si="870"/>
        <v/>
      </c>
      <c r="W1792" s="52" t="str">
        <f t="shared" si="871"/>
        <v/>
      </c>
      <c r="X1792" s="52" t="str">
        <f>IFERROR(IF(AND(AR1793=AR1792,AM1792&lt;&gt;""),INDEX(#REF!,MATCH($O1792,#REF!,0))-IF(AN1792="",0,AN1792)+AP1793+AD1792+AL1792,IF(AR1793=AR1792,INDEX(#REF!,MATCH($O1792,#REF!,0))-IF(AN1792="",0,AN1792)+AP1793+AD1792,IF(AM1792&lt;&gt;"",INDEX(#REF!,MATCH($O1792,#REF!,0))-IF(AN1792="",0,AN1792)+AD1792+AL1792,INDEX(#REF!,MATCH($O1792,#REF!,0))-IF(AN1792="",0,AN1792)+AD1792))),"")</f>
        <v/>
      </c>
      <c r="Y1792" s="53" t="str">
        <f t="shared" si="872"/>
        <v/>
      </c>
      <c r="Z1792" s="52" t="str">
        <f>IF(L1792="","",INDEX(#REF!,MATCH($O1792,#REF!,0)))</f>
        <v/>
      </c>
      <c r="AA1792" s="52" t="str">
        <f t="shared" si="873"/>
        <v/>
      </c>
      <c r="AB1792" s="52" t="str">
        <f>IFERROR(INDEX(#REF!,MATCH($O1792,#REF!,0)),"")</f>
        <v/>
      </c>
      <c r="AC1792" s="52" t="str">
        <f>IFERROR(IF(O1792="","",SUMIFS('CPL Mats'!F:F,'CPL Mats'!Q:Q,AR1792,'CPL Mats'!S:S,AS1792)),"")</f>
        <v/>
      </c>
      <c r="AF1792" s="25" t="e">
        <f>IF(SUMIFS(#REF!,#REF!,"Releasable",#REF!,O1792)=0,"",SUMIFS(#REF!,#REF!,"Releasable",#REF!,O1792))</f>
        <v>#REF!</v>
      </c>
      <c r="AG1792" s="25" t="str">
        <f>IFERROR(INDEX(#REF!,MATCH(O1792,#REF!,0)),"")</f>
        <v/>
      </c>
      <c r="AH1792" s="25" t="str">
        <f>IFERROR(INDEX(#REF!,MATCH($O1792,#REF!,0)),"")</f>
        <v/>
      </c>
      <c r="AI1792" s="25" t="e">
        <f>IF(SUMIFS(#REF!,#REF!,"Expires this month",#REF!,O1792)=0,"",SUMIFS(#REF!,#REF!,"Expires this month",#REF!,O1792))</f>
        <v>#REF!</v>
      </c>
      <c r="AJ1792" s="25" t="e">
        <f>IF(SUMIFS(#REF!,#REF!,"Expired Previous Months",#REF!,O1792)=0,"",SUMIFS(#REF!,#REF!,"Expired Previous Months",#REF!,O1792))</f>
        <v>#REF!</v>
      </c>
      <c r="AK1792" s="25" t="str">
        <f>IFERROR(INDEX('Hun Release Current'!B:B,MATCH(O1792,'Hun Release Current'!A:A,0)),"")</f>
        <v/>
      </c>
      <c r="AL1792" s="25" t="str">
        <f>IF(SUMIF('Prev Aub'!A:A,O1792,'Prev Aub'!B:B)=0,"",SUMIF('Prev Aub'!A:A,O1792,'Prev Aub'!B:B))</f>
        <v/>
      </c>
      <c r="AN1792" s="25" t="s">
        <v>3790</v>
      </c>
      <c r="AO1792" s="25" t="s">
        <v>3790</v>
      </c>
      <c r="AP1792" s="25" t="str">
        <f t="shared" si="874"/>
        <v/>
      </c>
      <c r="AQ1792" s="151" t="e">
        <f>IF(SUMIFS(#REF!,#REF!,O1792,#REF!,"PENDING")=0,"",SUMIFS(#REF!,#REF!,O1792,#REF!,"PENDING"))</f>
        <v>#REF!</v>
      </c>
      <c r="AR1792" s="27" t="str">
        <f t="shared" si="875"/>
        <v/>
      </c>
      <c r="AS1792" s="27" t="str">
        <f t="shared" si="876"/>
        <v/>
      </c>
      <c r="AT1792" s="27" t="str">
        <f t="shared" si="877"/>
        <v/>
      </c>
      <c r="AU1792" s="27" t="str">
        <f t="shared" si="878"/>
        <v/>
      </c>
      <c r="AV1792" s="27" t="str">
        <f t="shared" si="879"/>
        <v/>
      </c>
      <c r="AW1792" s="27" t="e">
        <f t="shared" si="880"/>
        <v>#REF!</v>
      </c>
      <c r="AX1792" s="27" t="e">
        <f t="shared" si="881"/>
        <v>#REF!</v>
      </c>
      <c r="AY1792" s="27" t="str">
        <f t="shared" si="882"/>
        <v/>
      </c>
      <c r="AZ1792" s="27" t="str">
        <f t="shared" si="883"/>
        <v/>
      </c>
      <c r="BA1792" s="27" t="str">
        <f t="shared" si="884"/>
        <v/>
      </c>
      <c r="BB1792" s="27" t="str">
        <f t="shared" si="885"/>
        <v/>
      </c>
      <c r="BC1792" s="27" t="str">
        <f t="shared" si="886"/>
        <v/>
      </c>
      <c r="BD1792" s="27" t="str">
        <f t="shared" si="887"/>
        <v/>
      </c>
      <c r="BE1792" s="27" t="str">
        <f t="shared" si="888"/>
        <v/>
      </c>
      <c r="BF1792" s="27" t="str">
        <f t="shared" si="889"/>
        <v/>
      </c>
      <c r="BG1792" s="27" t="str">
        <f t="shared" si="890"/>
        <v/>
      </c>
      <c r="BH1792" s="27" t="str">
        <f t="shared" si="891"/>
        <v/>
      </c>
      <c r="BI1792" s="27" t="str">
        <f t="shared" si="892"/>
        <v/>
      </c>
      <c r="BJ1792" s="27" t="str">
        <f t="shared" si="893"/>
        <v/>
      </c>
      <c r="BK1792" s="27" t="str">
        <f t="shared" si="894"/>
        <v/>
      </c>
      <c r="BL1792" s="27" t="str">
        <f t="shared" si="895"/>
        <v/>
      </c>
      <c r="BM1792" s="21" t="s">
        <v>3790</v>
      </c>
    </row>
    <row r="1793" spans="1:65" ht="15">
      <c r="A1793" s="25" t="str">
        <f>IFERROR(INDEX(#REF!,MATCH(O1793,#REF!,0)),"")</f>
        <v/>
      </c>
      <c r="B1793" s="25" t="str">
        <f>IFERROR(INDEX(#REF!,MATCH(O1793,#REF!,0)),"")</f>
        <v/>
      </c>
      <c r="C1793" s="25" t="str">
        <f>IFERROR(INDEX(#REF!,MATCH(O1793,#REF!,0)),"")</f>
        <v/>
      </c>
      <c r="D1793" s="25" t="str">
        <f>IFERROR(INDEX(#REF!,MATCH(O1793,#REF!,0)),"")</f>
        <v/>
      </c>
      <c r="E1793" s="25" t="str">
        <f>IFERROR(INDEX(#REF!,MATCH(O1793,#REF!,0)),"")</f>
        <v/>
      </c>
      <c r="F1793" s="25" t="str">
        <f>IFERROR(INDEX(#REF!,MATCH(O1793,#REF!,0)),"")</f>
        <v/>
      </c>
      <c r="G1793" s="25" t="str">
        <f>IFERROR(INDEX(#REF!,MATCH(O1793,#REF!,0)),"")</f>
        <v/>
      </c>
      <c r="H1793" s="25" t="str">
        <f>IFERROR(INDEX(#REF!,MATCH(O1793,#REF!,0)),"")</f>
        <v/>
      </c>
      <c r="I1793" s="25" t="str">
        <f>IFERROR(INDEX(#REF!,MATCH(O1793,#REF!,0)),"")</f>
        <v/>
      </c>
      <c r="J1793" s="25" t="str">
        <f>IFERROR(INDEX(#REF!,MATCH(O1793,#REF!,0)),"")</f>
        <v/>
      </c>
      <c r="K1793" s="25" t="str">
        <f>IFERROR(INDEX(#REF!,MATCH(O1793,#REF!,0)),"")</f>
        <v/>
      </c>
      <c r="L1793" s="25" t="str">
        <f>IFERROR(INDEX(#REF!,MATCH(O1793,#REF!,0)),"")</f>
        <v/>
      </c>
      <c r="P1793" s="27" t="str">
        <f>IFERROR(INDEX(#REF!,MATCH($O1793,#REF!,0)),"")</f>
        <v/>
      </c>
      <c r="Q1793" s="27" t="str">
        <f>IFERROR(INDEX(#REF!,MATCH($O1793,#REF!,0)),"")</f>
        <v/>
      </c>
      <c r="R1793" s="52" t="str">
        <f>IFERROR(IF(AR1794=AR1793,INDEX(#REF!,MATCH($O1793,#REF!,0))-IF(AN1793="",0,AN1793)+AP1794,INDEX(#REF!,MATCH($O1793,#REF!,0))-IF(AN1793="",0,AN1793)),"")</f>
        <v/>
      </c>
      <c r="S1793" s="53" t="str">
        <f t="shared" si="868"/>
        <v/>
      </c>
      <c r="T1793" s="52" t="str">
        <f t="shared" si="869"/>
        <v/>
      </c>
      <c r="U1793" s="52" t="str">
        <f>IFERROR(IF(AR1794=AR1793,INDEX(#REF!,MATCH($O1793,#REF!,0))-IF(AN1793="",0,AN1793)+AP1794,INDEX(#REF!,MATCH($O1793,#REF!,0))-IF(AN1793="",0,AN1793)),"")</f>
        <v/>
      </c>
      <c r="V1793" s="53" t="str">
        <f t="shared" si="870"/>
        <v/>
      </c>
      <c r="W1793" s="52" t="str">
        <f t="shared" si="871"/>
        <v/>
      </c>
      <c r="X1793" s="52" t="str">
        <f>IFERROR(IF(AND(AR1794=AR1793,AM1793&lt;&gt;""),INDEX(#REF!,MATCH($O1793,#REF!,0))-IF(AN1793="",0,AN1793)+AP1794+AD1793+AL1793,IF(AR1794=AR1793,INDEX(#REF!,MATCH($O1793,#REF!,0))-IF(AN1793="",0,AN1793)+AP1794+AD1793,IF(AM1793&lt;&gt;"",INDEX(#REF!,MATCH($O1793,#REF!,0))-IF(AN1793="",0,AN1793)+AD1793+AL1793,INDEX(#REF!,MATCH($O1793,#REF!,0))-IF(AN1793="",0,AN1793)+AD1793))),"")</f>
        <v/>
      </c>
      <c r="Y1793" s="53" t="str">
        <f t="shared" si="872"/>
        <v/>
      </c>
      <c r="Z1793" s="52" t="str">
        <f>IF(L1793="","",INDEX(#REF!,MATCH($O1793,#REF!,0)))</f>
        <v/>
      </c>
      <c r="AA1793" s="52" t="str">
        <f t="shared" si="873"/>
        <v/>
      </c>
      <c r="AB1793" s="52" t="str">
        <f>IFERROR(INDEX(#REF!,MATCH($O1793,#REF!,0)),"")</f>
        <v/>
      </c>
      <c r="AC1793" s="52" t="str">
        <f>IFERROR(IF(O1793="","",SUMIFS('CPL Mats'!F:F,'CPL Mats'!Q:Q,AR1793,'CPL Mats'!S:S,AS1793)),"")</f>
        <v/>
      </c>
      <c r="AF1793" s="25" t="e">
        <f>IF(SUMIFS(#REF!,#REF!,"Releasable",#REF!,O1793)=0,"",SUMIFS(#REF!,#REF!,"Releasable",#REF!,O1793))</f>
        <v>#REF!</v>
      </c>
      <c r="AG1793" s="25" t="str">
        <f>IFERROR(INDEX(#REF!,MATCH(O1793,#REF!,0)),"")</f>
        <v/>
      </c>
      <c r="AH1793" s="25" t="str">
        <f>IFERROR(INDEX(#REF!,MATCH($O1793,#REF!,0)),"")</f>
        <v/>
      </c>
      <c r="AI1793" s="25" t="e">
        <f>IF(SUMIFS(#REF!,#REF!,"Expires this month",#REF!,O1793)=0,"",SUMIFS(#REF!,#REF!,"Expires this month",#REF!,O1793))</f>
        <v>#REF!</v>
      </c>
      <c r="AJ1793" s="25" t="e">
        <f>IF(SUMIFS(#REF!,#REF!,"Expired Previous Months",#REF!,O1793)=0,"",SUMIFS(#REF!,#REF!,"Expired Previous Months",#REF!,O1793))</f>
        <v>#REF!</v>
      </c>
      <c r="AK1793" s="25" t="str">
        <f>IFERROR(INDEX('Hun Release Current'!B:B,MATCH(O1793,'Hun Release Current'!A:A,0)),"")</f>
        <v/>
      </c>
      <c r="AL1793" s="25" t="str">
        <f>IF(SUMIF('Prev Aub'!A:A,O1793,'Prev Aub'!B:B)=0,"",SUMIF('Prev Aub'!A:A,O1793,'Prev Aub'!B:B))</f>
        <v/>
      </c>
      <c r="AN1793" s="25" t="s">
        <v>3790</v>
      </c>
      <c r="AO1793" s="25" t="s">
        <v>3790</v>
      </c>
      <c r="AP1793" s="25" t="str">
        <f t="shared" si="874"/>
        <v/>
      </c>
      <c r="AQ1793" s="151" t="e">
        <f>IF(SUMIFS(#REF!,#REF!,O1793,#REF!,"PENDING")=0,"",SUMIFS(#REF!,#REF!,O1793,#REF!,"PENDING"))</f>
        <v>#REF!</v>
      </c>
      <c r="AR1793" s="27" t="str">
        <f t="shared" si="875"/>
        <v/>
      </c>
      <c r="AS1793" s="27" t="str">
        <f t="shared" si="876"/>
        <v/>
      </c>
      <c r="AT1793" s="27" t="str">
        <f t="shared" si="877"/>
        <v/>
      </c>
      <c r="AU1793" s="27" t="str">
        <f t="shared" si="878"/>
        <v/>
      </c>
      <c r="AV1793" s="27" t="str">
        <f t="shared" si="879"/>
        <v/>
      </c>
      <c r="AW1793" s="27" t="e">
        <f t="shared" si="880"/>
        <v>#REF!</v>
      </c>
      <c r="AX1793" s="27" t="e">
        <f t="shared" si="881"/>
        <v>#REF!</v>
      </c>
      <c r="AY1793" s="27" t="str">
        <f t="shared" si="882"/>
        <v/>
      </c>
      <c r="AZ1793" s="27" t="str">
        <f t="shared" si="883"/>
        <v/>
      </c>
      <c r="BA1793" s="27" t="str">
        <f t="shared" si="884"/>
        <v/>
      </c>
      <c r="BB1793" s="27" t="str">
        <f t="shared" si="885"/>
        <v/>
      </c>
      <c r="BC1793" s="27" t="str">
        <f t="shared" si="886"/>
        <v/>
      </c>
      <c r="BD1793" s="27" t="str">
        <f t="shared" si="887"/>
        <v/>
      </c>
      <c r="BE1793" s="27" t="str">
        <f t="shared" si="888"/>
        <v/>
      </c>
      <c r="BF1793" s="27" t="str">
        <f t="shared" si="889"/>
        <v/>
      </c>
      <c r="BG1793" s="27" t="str">
        <f t="shared" si="890"/>
        <v/>
      </c>
      <c r="BH1793" s="27" t="str">
        <f t="shared" si="891"/>
        <v/>
      </c>
      <c r="BI1793" s="27" t="str">
        <f t="shared" si="892"/>
        <v/>
      </c>
      <c r="BJ1793" s="27" t="str">
        <f t="shared" si="893"/>
        <v/>
      </c>
      <c r="BK1793" s="27" t="str">
        <f t="shared" si="894"/>
        <v/>
      </c>
      <c r="BL1793" s="27" t="str">
        <f t="shared" si="895"/>
        <v/>
      </c>
      <c r="BM1793" s="21" t="s">
        <v>3790</v>
      </c>
    </row>
    <row r="1794" spans="1:65" ht="15">
      <c r="A1794" s="25" t="str">
        <f>IFERROR(INDEX(#REF!,MATCH(O1794,#REF!,0)),"")</f>
        <v/>
      </c>
      <c r="B1794" s="25" t="str">
        <f>IFERROR(INDEX(#REF!,MATCH(O1794,#REF!,0)),"")</f>
        <v/>
      </c>
      <c r="C1794" s="25" t="str">
        <f>IFERROR(INDEX(#REF!,MATCH(O1794,#REF!,0)),"")</f>
        <v/>
      </c>
      <c r="D1794" s="25" t="str">
        <f>IFERROR(INDEX(#REF!,MATCH(O1794,#REF!,0)),"")</f>
        <v/>
      </c>
      <c r="E1794" s="25" t="str">
        <f>IFERROR(INDEX(#REF!,MATCH(O1794,#REF!,0)),"")</f>
        <v/>
      </c>
      <c r="F1794" s="25" t="str">
        <f>IFERROR(INDEX(#REF!,MATCH(O1794,#REF!,0)),"")</f>
        <v/>
      </c>
      <c r="G1794" s="25" t="str">
        <f>IFERROR(INDEX(#REF!,MATCH(O1794,#REF!,0)),"")</f>
        <v/>
      </c>
      <c r="H1794" s="25" t="str">
        <f>IFERROR(INDEX(#REF!,MATCH(O1794,#REF!,0)),"")</f>
        <v/>
      </c>
      <c r="I1794" s="25" t="str">
        <f>IFERROR(INDEX(#REF!,MATCH(O1794,#REF!,0)),"")</f>
        <v/>
      </c>
      <c r="J1794" s="25" t="str">
        <f>IFERROR(INDEX(#REF!,MATCH(O1794,#REF!,0)),"")</f>
        <v/>
      </c>
      <c r="K1794" s="25" t="str">
        <f>IFERROR(INDEX(#REF!,MATCH(O1794,#REF!,0)),"")</f>
        <v/>
      </c>
      <c r="L1794" s="25" t="str">
        <f>IFERROR(INDEX(#REF!,MATCH(O1794,#REF!,0)),"")</f>
        <v/>
      </c>
      <c r="P1794" s="27" t="str">
        <f>IFERROR(INDEX(#REF!,MATCH($O1794,#REF!,0)),"")</f>
        <v/>
      </c>
      <c r="Q1794" s="27" t="str">
        <f>IFERROR(INDEX(#REF!,MATCH($O1794,#REF!,0)),"")</f>
        <v/>
      </c>
      <c r="R1794" s="52" t="str">
        <f>IFERROR(IF(AR1795=AR1794,INDEX(#REF!,MATCH($O1794,#REF!,0))-IF(AN1794="",0,AN1794)+AP1795,INDEX(#REF!,MATCH($O1794,#REF!,0))-IF(AN1794="",0,AN1794)),"")</f>
        <v/>
      </c>
      <c r="S1794" s="53" t="str">
        <f t="shared" ref="S1794:S1857" si="896">IFERROR(IF(O1794="","",ROUND(R1794/((Z1794/30)*7),1)),"n/a")</f>
        <v/>
      </c>
      <c r="T1794" s="52" t="str">
        <f t="shared" ref="T1794:T1857" si="897">IFERROR(IF(S1794&lt;3.1,IF(AA1794="spike",(3-S1794)*(Z1794/4),(3-S1794)*(AA1794/4)),""),"")</f>
        <v/>
      </c>
      <c r="U1794" s="52" t="str">
        <f>IFERROR(IF(AR1795=AR1794,INDEX(#REF!,MATCH($O1794,#REF!,0))-IF(AN1794="",0,AN1794)+AP1795,INDEX(#REF!,MATCH($O1794,#REF!,0))-IF(AN1794="",0,AN1794)),"")</f>
        <v/>
      </c>
      <c r="V1794" s="53" t="str">
        <f t="shared" ref="V1794:V1857" si="898">IFERROR(IF(O1794="","",ROUND(U1794/((Z1794/30)*7),1)),"n/a")</f>
        <v/>
      </c>
      <c r="W1794" s="52" t="str">
        <f t="shared" ref="W1794:W1857" si="899">IF(IFERROR(IF(V1794&lt;3.1,IF(AA1794="spike",(3-V1794)*(Z1794/4),(3-V1794)*(AA1794/4)),""),"")&lt;0,0,IFERROR(IF(V1794&lt;3.1,IF(AA1794="spike",(3-V1794)*(Z1794/4),(3-V1794)*(AA1794/4)),""),""))</f>
        <v/>
      </c>
      <c r="X1794" s="52" t="str">
        <f>IFERROR(IF(AND(AR1795=AR1794,AM1794&lt;&gt;""),INDEX(#REF!,MATCH($O1794,#REF!,0))-IF(AN1794="",0,AN1794)+AP1795+AD1794+AL1794,IF(AR1795=AR1794,INDEX(#REF!,MATCH($O1794,#REF!,0))-IF(AN1794="",0,AN1794)+AP1795+AD1794,IF(AM1794&lt;&gt;"",INDEX(#REF!,MATCH($O1794,#REF!,0))-IF(AN1794="",0,AN1794)+AD1794+AL1794,INDEX(#REF!,MATCH($O1794,#REF!,0))-IF(AN1794="",0,AN1794)+AD1794))),"")</f>
        <v/>
      </c>
      <c r="Y1794" s="53" t="str">
        <f t="shared" ref="Y1794:Y1857" si="900">IFERROR(IF(O1794="","",ROUND(X1794/((Z1794/30)*7),1)),"n/a")</f>
        <v/>
      </c>
      <c r="Z1794" s="52" t="str">
        <f>IF(L1794="","",INDEX(#REF!,MATCH($O1794,#REF!,0)))</f>
        <v/>
      </c>
      <c r="AA1794" s="52" t="str">
        <f t="shared" ref="AA1794:AA1857" si="901">IF(L1794="","",IF(LARGE(I1794:L1794,2)=0,"-spike-",AVERAGE(LARGE(I1794:L1794,1),LARGE(I1794:L1794,2))))</f>
        <v/>
      </c>
      <c r="AB1794" s="52" t="str">
        <f>IFERROR(INDEX(#REF!,MATCH($O1794,#REF!,0)),"")</f>
        <v/>
      </c>
      <c r="AC1794" s="52" t="str">
        <f>IFERROR(IF(O1794="","",SUMIFS('CPL Mats'!F:F,'CPL Mats'!Q:Q,AR1794,'CPL Mats'!S:S,AS1794)),"")</f>
        <v/>
      </c>
      <c r="AF1794" s="25" t="e">
        <f>IF(SUMIFS(#REF!,#REF!,"Releasable",#REF!,O1794)=0,"",SUMIFS(#REF!,#REF!,"Releasable",#REF!,O1794))</f>
        <v>#REF!</v>
      </c>
      <c r="AG1794" s="25" t="str">
        <f>IFERROR(INDEX(#REF!,MATCH(O1794,#REF!,0)),"")</f>
        <v/>
      </c>
      <c r="AH1794" s="25" t="str">
        <f>IFERROR(INDEX(#REF!,MATCH($O1794,#REF!,0)),"")</f>
        <v/>
      </c>
      <c r="AI1794" s="25" t="e">
        <f>IF(SUMIFS(#REF!,#REF!,"Expires this month",#REF!,O1794)=0,"",SUMIFS(#REF!,#REF!,"Expires this month",#REF!,O1794))</f>
        <v>#REF!</v>
      </c>
      <c r="AJ1794" s="25" t="e">
        <f>IF(SUMIFS(#REF!,#REF!,"Expired Previous Months",#REF!,O1794)=0,"",SUMIFS(#REF!,#REF!,"Expired Previous Months",#REF!,O1794))</f>
        <v>#REF!</v>
      </c>
      <c r="AK1794" s="25" t="str">
        <f>IFERROR(INDEX('Hun Release Current'!B:B,MATCH(O1794,'Hun Release Current'!A:A,0)),"")</f>
        <v/>
      </c>
      <c r="AL1794" s="25" t="str">
        <f>IF(SUMIF('Prev Aub'!A:A,O1794,'Prev Aub'!B:B)=0,"",SUMIF('Prev Aub'!A:A,O1794,'Prev Aub'!B:B))</f>
        <v/>
      </c>
      <c r="AN1794" s="25" t="s">
        <v>3790</v>
      </c>
      <c r="AO1794" s="25" t="s">
        <v>3790</v>
      </c>
      <c r="AP1794" s="25" t="str">
        <f t="shared" si="874"/>
        <v/>
      </c>
      <c r="AQ1794" s="151" t="e">
        <f>IF(SUMIFS(#REF!,#REF!,O1794,#REF!,"PENDING")=0,"",SUMIFS(#REF!,#REF!,O1794,#REF!,"PENDING"))</f>
        <v>#REF!</v>
      </c>
      <c r="AR1794" s="27" t="str">
        <f t="shared" ref="AR1794:AR1857" si="902">MID(O1794,4,5)</f>
        <v/>
      </c>
      <c r="AS1794" s="27" t="str">
        <f t="shared" ref="AS1794:AS1857" si="903">MID(O1794,10,2)</f>
        <v/>
      </c>
      <c r="AT1794" s="27" t="str">
        <f t="shared" ref="AT1794:AT1857" si="904">IF(S1794&lt;3.1,AR1794,"")</f>
        <v/>
      </c>
      <c r="AU1794" s="27" t="str">
        <f t="shared" ref="AU1794:AU1857" si="905">IF(Y1794&lt;3.1,AR1794,"")</f>
        <v/>
      </c>
      <c r="AV1794" s="27" t="str">
        <f t="shared" ref="AV1794:AV1857" si="906">IF(AND(AA1794="Spike",L1794=0,K1794=0,X1794&gt;=0),"",IF(Y1794&lt;3.1,AR1794,""))</f>
        <v/>
      </c>
      <c r="AW1794" s="27" t="e">
        <f t="shared" ref="AW1794:AW1857" si="907">IF(AI1794=AL1794,"",IF(OR(AI1794&lt;&gt;"",AJ1794&lt;&gt;""),AR1794,""))</f>
        <v>#REF!</v>
      </c>
      <c r="AX1794" s="27" t="e">
        <f t="shared" ref="AX1794:AX1857" si="908">IF(AF1794&lt;&gt;"",AR1794,"")</f>
        <v>#REF!</v>
      </c>
      <c r="AY1794" s="27" t="str">
        <f t="shared" ref="AY1794:AY1857" si="909">IF(AND(AG1794&lt;&gt;"",AG1794&gt;AH1794),AR1794,"")</f>
        <v/>
      </c>
      <c r="AZ1794" s="27" t="str">
        <f t="shared" ref="AZ1794:AZ1857" si="910">IFERROR(IF(O1794="","",IF(ISERROR(MATCH(AR1794,AX:AX,0)),"","Supp")),"")</f>
        <v/>
      </c>
      <c r="BA1794" s="27" t="str">
        <f t="shared" ref="BA1794:BA1857" si="911">IFERROR(IF(O1794="","",IF(ISERROR(MATCH(AR1794,AY:AY,0)),"","Hun")),"")</f>
        <v/>
      </c>
      <c r="BB1794" s="27" t="str">
        <f t="shared" ref="BB1794:BB1857" si="912">IFERROR(IF(O1794="","",IF(ISERROR(MATCH(AR1794,AT:AT,0)),"","Gross")),"")</f>
        <v/>
      </c>
      <c r="BC1794" s="27" t="str">
        <f t="shared" ref="BC1794:BC1857" si="913">IFERROR(IF(O1794="","",IF(ISERROR(MATCH(AR1794,AU:AU,0)),"","Net")),"")</f>
        <v/>
      </c>
      <c r="BD1794" s="27" t="str">
        <f t="shared" ref="BD1794:BD1857" si="914">IFERROR(IF(O1794="","",IF(ISERROR(MATCH(AR1794,AV:AV,0)),"","Net")),"")</f>
        <v/>
      </c>
      <c r="BE1794" s="27" t="str">
        <f t="shared" ref="BE1794:BE1857" si="915">IFERROR(IF(O1794="","",IF(ISERROR(MATCH(AR1794,AW:AW,0)),"","Exp")),"")</f>
        <v/>
      </c>
      <c r="BF1794" s="27" t="str">
        <f t="shared" ref="BF1794:BF1857" si="916">IFERROR(IF(O1794="","",IF(AND(AZ1794="Supp",BC1794="Net"),"S+N","")),"")</f>
        <v/>
      </c>
      <c r="BG1794" s="27" t="str">
        <f t="shared" ref="BG1794:BG1857" si="917">IFERROR(IF(O1794="","",IF(OR(BE1794&lt;&gt;"",BF1794&lt;&gt;""),"S+NorE","")),"")</f>
        <v/>
      </c>
      <c r="BH1794" s="27" t="str">
        <f t="shared" ref="BH1794:BH1857" si="918">IFERROR(IF(O1794="","",IF(AND(BA1794&lt;&gt;"",BC1794&lt;&gt;""),"H+N","")),"")</f>
        <v/>
      </c>
      <c r="BI1794" s="27" t="str">
        <f t="shared" ref="BI1794:BI1857" si="919">IFERROR(IF(O1794="","",IF(AND(BA1794&lt;&gt;"",BD1794&lt;&gt;""),"H+Nex","")),"")</f>
        <v/>
      </c>
      <c r="BJ1794" s="27" t="str">
        <f t="shared" ref="BJ1794:BJ1857" si="920">IF(OR(AZ1794&lt;&gt;"",BA1794&lt;&gt;""),"Supp or Hun","")</f>
        <v/>
      </c>
      <c r="BK1794" s="27" t="str">
        <f t="shared" ref="BK1794:BK1857" si="921">IF(AND(BJ1794&lt;&gt;"",BC1794&lt;&gt;""),"Supp or Hun Need","")</f>
        <v/>
      </c>
      <c r="BL1794" s="27" t="str">
        <f t="shared" ref="BL1794:BL1857" si="922">IF(OR(BK1794&lt;&gt;"",BE1794&lt;&gt;""),"SorHandNandE","")</f>
        <v/>
      </c>
      <c r="BM1794" s="21" t="s">
        <v>3790</v>
      </c>
    </row>
    <row r="1795" spans="1:65" ht="15">
      <c r="A1795" s="25" t="str">
        <f>IFERROR(INDEX(#REF!,MATCH(O1795,#REF!,0)),"")</f>
        <v/>
      </c>
      <c r="B1795" s="25" t="str">
        <f>IFERROR(INDEX(#REF!,MATCH(O1795,#REF!,0)),"")</f>
        <v/>
      </c>
      <c r="C1795" s="25" t="str">
        <f>IFERROR(INDEX(#REF!,MATCH(O1795,#REF!,0)),"")</f>
        <v/>
      </c>
      <c r="D1795" s="25" t="str">
        <f>IFERROR(INDEX(#REF!,MATCH(O1795,#REF!,0)),"")</f>
        <v/>
      </c>
      <c r="E1795" s="25" t="str">
        <f>IFERROR(INDEX(#REF!,MATCH(O1795,#REF!,0)),"")</f>
        <v/>
      </c>
      <c r="F1795" s="25" t="str">
        <f>IFERROR(INDEX(#REF!,MATCH(O1795,#REF!,0)),"")</f>
        <v/>
      </c>
      <c r="G1795" s="25" t="str">
        <f>IFERROR(INDEX(#REF!,MATCH(O1795,#REF!,0)),"")</f>
        <v/>
      </c>
      <c r="H1795" s="25" t="str">
        <f>IFERROR(INDEX(#REF!,MATCH(O1795,#REF!,0)),"")</f>
        <v/>
      </c>
      <c r="I1795" s="25" t="str">
        <f>IFERROR(INDEX(#REF!,MATCH(O1795,#REF!,0)),"")</f>
        <v/>
      </c>
      <c r="J1795" s="25" t="str">
        <f>IFERROR(INDEX(#REF!,MATCH(O1795,#REF!,0)),"")</f>
        <v/>
      </c>
      <c r="K1795" s="25" t="str">
        <f>IFERROR(INDEX(#REF!,MATCH(O1795,#REF!,0)),"")</f>
        <v/>
      </c>
      <c r="L1795" s="25" t="str">
        <f>IFERROR(INDEX(#REF!,MATCH(O1795,#REF!,0)),"")</f>
        <v/>
      </c>
      <c r="P1795" s="27" t="str">
        <f>IFERROR(INDEX(#REF!,MATCH($O1795,#REF!,0)),"")</f>
        <v/>
      </c>
      <c r="Q1795" s="27" t="str">
        <f>IFERROR(INDEX(#REF!,MATCH($O1795,#REF!,0)),"")</f>
        <v/>
      </c>
      <c r="R1795" s="52" t="str">
        <f>IFERROR(IF(AR1796=AR1795,INDEX(#REF!,MATCH($O1795,#REF!,0))-IF(AN1795="",0,AN1795)+AP1796,INDEX(#REF!,MATCH($O1795,#REF!,0))-IF(AN1795="",0,AN1795)),"")</f>
        <v/>
      </c>
      <c r="S1795" s="53" t="str">
        <f t="shared" si="896"/>
        <v/>
      </c>
      <c r="T1795" s="52" t="str">
        <f t="shared" si="897"/>
        <v/>
      </c>
      <c r="U1795" s="52" t="str">
        <f>IFERROR(IF(AR1796=AR1795,INDEX(#REF!,MATCH($O1795,#REF!,0))-IF(AN1795="",0,AN1795)+AP1796,INDEX(#REF!,MATCH($O1795,#REF!,0))-IF(AN1795="",0,AN1795)),"")</f>
        <v/>
      </c>
      <c r="V1795" s="53" t="str">
        <f t="shared" si="898"/>
        <v/>
      </c>
      <c r="W1795" s="52" t="str">
        <f t="shared" si="899"/>
        <v/>
      </c>
      <c r="X1795" s="52" t="str">
        <f>IFERROR(IF(AND(AR1796=AR1795,AM1795&lt;&gt;""),INDEX(#REF!,MATCH($O1795,#REF!,0))-IF(AN1795="",0,AN1795)+AP1796+AD1795+AL1795,IF(AR1796=AR1795,INDEX(#REF!,MATCH($O1795,#REF!,0))-IF(AN1795="",0,AN1795)+AP1796+AD1795,IF(AM1795&lt;&gt;"",INDEX(#REF!,MATCH($O1795,#REF!,0))-IF(AN1795="",0,AN1795)+AD1795+AL1795,INDEX(#REF!,MATCH($O1795,#REF!,0))-IF(AN1795="",0,AN1795)+AD1795))),"")</f>
        <v/>
      </c>
      <c r="Y1795" s="53" t="str">
        <f t="shared" si="900"/>
        <v/>
      </c>
      <c r="Z1795" s="52" t="str">
        <f>IF(L1795="","",INDEX(#REF!,MATCH($O1795,#REF!,0)))</f>
        <v/>
      </c>
      <c r="AA1795" s="52" t="str">
        <f t="shared" si="901"/>
        <v/>
      </c>
      <c r="AB1795" s="52" t="str">
        <f>IFERROR(INDEX(#REF!,MATCH($O1795,#REF!,0)),"")</f>
        <v/>
      </c>
      <c r="AC1795" s="52" t="str">
        <f>IFERROR(IF(O1795="","",SUMIFS('CPL Mats'!F:F,'CPL Mats'!Q:Q,AR1795,'CPL Mats'!S:S,AS1795)),"")</f>
        <v/>
      </c>
      <c r="AF1795" s="25" t="e">
        <f>IF(SUMIFS(#REF!,#REF!,"Releasable",#REF!,O1795)=0,"",SUMIFS(#REF!,#REF!,"Releasable",#REF!,O1795))</f>
        <v>#REF!</v>
      </c>
      <c r="AG1795" s="25" t="str">
        <f>IFERROR(INDEX(#REF!,MATCH(O1795,#REF!,0)),"")</f>
        <v/>
      </c>
      <c r="AH1795" s="25" t="str">
        <f>IFERROR(INDEX(#REF!,MATCH($O1795,#REF!,0)),"")</f>
        <v/>
      </c>
      <c r="AI1795" s="25" t="e">
        <f>IF(SUMIFS(#REF!,#REF!,"Expires this month",#REF!,O1795)=0,"",SUMIFS(#REF!,#REF!,"Expires this month",#REF!,O1795))</f>
        <v>#REF!</v>
      </c>
      <c r="AJ1795" s="25" t="e">
        <f>IF(SUMIFS(#REF!,#REF!,"Expired Previous Months",#REF!,O1795)=0,"",SUMIFS(#REF!,#REF!,"Expired Previous Months",#REF!,O1795))</f>
        <v>#REF!</v>
      </c>
      <c r="AK1795" s="25" t="str">
        <f>IFERROR(INDEX('Hun Release Current'!B:B,MATCH(O1795,'Hun Release Current'!A:A,0)),"")</f>
        <v/>
      </c>
      <c r="AL1795" s="25" t="str">
        <f>IF(SUMIF('Prev Aub'!A:A,O1795,'Prev Aub'!B:B)=0,"",SUMIF('Prev Aub'!A:A,O1795,'Prev Aub'!B:B))</f>
        <v/>
      </c>
      <c r="AN1795" s="25" t="s">
        <v>3790</v>
      </c>
      <c r="AO1795" s="25" t="s">
        <v>3790</v>
      </c>
      <c r="AP1795" s="25" t="str">
        <f t="shared" ref="AP1795:AP1858" si="923">IFERROR(IF(O1795="","",IF(AN1795="",0,VALUE(AN1795)-(VALUE(AN1795)*0.2))),"")</f>
        <v/>
      </c>
      <c r="AQ1795" s="151" t="e">
        <f>IF(SUMIFS(#REF!,#REF!,O1795,#REF!,"PENDING")=0,"",SUMIFS(#REF!,#REF!,O1795,#REF!,"PENDING"))</f>
        <v>#REF!</v>
      </c>
      <c r="AR1795" s="27" t="str">
        <f t="shared" si="902"/>
        <v/>
      </c>
      <c r="AS1795" s="27" t="str">
        <f t="shared" si="903"/>
        <v/>
      </c>
      <c r="AT1795" s="27" t="str">
        <f t="shared" si="904"/>
        <v/>
      </c>
      <c r="AU1795" s="27" t="str">
        <f t="shared" si="905"/>
        <v/>
      </c>
      <c r="AV1795" s="27" t="str">
        <f t="shared" si="906"/>
        <v/>
      </c>
      <c r="AW1795" s="27" t="e">
        <f t="shared" si="907"/>
        <v>#REF!</v>
      </c>
      <c r="AX1795" s="27" t="e">
        <f t="shared" si="908"/>
        <v>#REF!</v>
      </c>
      <c r="AY1795" s="27" t="str">
        <f t="shared" si="909"/>
        <v/>
      </c>
      <c r="AZ1795" s="27" t="str">
        <f t="shared" si="910"/>
        <v/>
      </c>
      <c r="BA1795" s="27" t="str">
        <f t="shared" si="911"/>
        <v/>
      </c>
      <c r="BB1795" s="27" t="str">
        <f t="shared" si="912"/>
        <v/>
      </c>
      <c r="BC1795" s="27" t="str">
        <f t="shared" si="913"/>
        <v/>
      </c>
      <c r="BD1795" s="27" t="str">
        <f t="shared" si="914"/>
        <v/>
      </c>
      <c r="BE1795" s="27" t="str">
        <f t="shared" si="915"/>
        <v/>
      </c>
      <c r="BF1795" s="27" t="str">
        <f t="shared" si="916"/>
        <v/>
      </c>
      <c r="BG1795" s="27" t="str">
        <f t="shared" si="917"/>
        <v/>
      </c>
      <c r="BH1795" s="27" t="str">
        <f t="shared" si="918"/>
        <v/>
      </c>
      <c r="BI1795" s="27" t="str">
        <f t="shared" si="919"/>
        <v/>
      </c>
      <c r="BJ1795" s="27" t="str">
        <f t="shared" si="920"/>
        <v/>
      </c>
      <c r="BK1795" s="27" t="str">
        <f t="shared" si="921"/>
        <v/>
      </c>
      <c r="BL1795" s="27" t="str">
        <f t="shared" si="922"/>
        <v/>
      </c>
      <c r="BM1795" s="21" t="s">
        <v>3790</v>
      </c>
    </row>
    <row r="1796" spans="1:65" ht="15">
      <c r="A1796" s="25" t="str">
        <f>IFERROR(INDEX(#REF!,MATCH(O1796,#REF!,0)),"")</f>
        <v/>
      </c>
      <c r="B1796" s="25" t="str">
        <f>IFERROR(INDEX(#REF!,MATCH(O1796,#REF!,0)),"")</f>
        <v/>
      </c>
      <c r="C1796" s="25" t="str">
        <f>IFERROR(INDEX(#REF!,MATCH(O1796,#REF!,0)),"")</f>
        <v/>
      </c>
      <c r="D1796" s="25" t="str">
        <f>IFERROR(INDEX(#REF!,MATCH(O1796,#REF!,0)),"")</f>
        <v/>
      </c>
      <c r="E1796" s="25" t="str">
        <f>IFERROR(INDEX(#REF!,MATCH(O1796,#REF!,0)),"")</f>
        <v/>
      </c>
      <c r="F1796" s="25" t="str">
        <f>IFERROR(INDEX(#REF!,MATCH(O1796,#REF!,0)),"")</f>
        <v/>
      </c>
      <c r="G1796" s="25" t="str">
        <f>IFERROR(INDEX(#REF!,MATCH(O1796,#REF!,0)),"")</f>
        <v/>
      </c>
      <c r="H1796" s="25" t="str">
        <f>IFERROR(INDEX(#REF!,MATCH(O1796,#REF!,0)),"")</f>
        <v/>
      </c>
      <c r="I1796" s="25" t="str">
        <f>IFERROR(INDEX(#REF!,MATCH(O1796,#REF!,0)),"")</f>
        <v/>
      </c>
      <c r="J1796" s="25" t="str">
        <f>IFERROR(INDEX(#REF!,MATCH(O1796,#REF!,0)),"")</f>
        <v/>
      </c>
      <c r="K1796" s="25" t="str">
        <f>IFERROR(INDEX(#REF!,MATCH(O1796,#REF!,0)),"")</f>
        <v/>
      </c>
      <c r="L1796" s="25" t="str">
        <f>IFERROR(INDEX(#REF!,MATCH(O1796,#REF!,0)),"")</f>
        <v/>
      </c>
      <c r="P1796" s="27" t="str">
        <f>IFERROR(INDEX(#REF!,MATCH($O1796,#REF!,0)),"")</f>
        <v/>
      </c>
      <c r="Q1796" s="27" t="str">
        <f>IFERROR(INDEX(#REF!,MATCH($O1796,#REF!,0)),"")</f>
        <v/>
      </c>
      <c r="R1796" s="52" t="str">
        <f>IFERROR(IF(AR1797=AR1796,INDEX(#REF!,MATCH($O1796,#REF!,0))-IF(AN1796="",0,AN1796)+AP1797,INDEX(#REF!,MATCH($O1796,#REF!,0))-IF(AN1796="",0,AN1796)),"")</f>
        <v/>
      </c>
      <c r="S1796" s="53" t="str">
        <f t="shared" si="896"/>
        <v/>
      </c>
      <c r="T1796" s="52" t="str">
        <f t="shared" si="897"/>
        <v/>
      </c>
      <c r="U1796" s="52" t="str">
        <f>IFERROR(IF(AR1797=AR1796,INDEX(#REF!,MATCH($O1796,#REF!,0))-IF(AN1796="",0,AN1796)+AP1797,INDEX(#REF!,MATCH($O1796,#REF!,0))-IF(AN1796="",0,AN1796)),"")</f>
        <v/>
      </c>
      <c r="V1796" s="53" t="str">
        <f t="shared" si="898"/>
        <v/>
      </c>
      <c r="W1796" s="52" t="str">
        <f t="shared" si="899"/>
        <v/>
      </c>
      <c r="X1796" s="52" t="str">
        <f>IFERROR(IF(AND(AR1797=AR1796,AM1796&lt;&gt;""),INDEX(#REF!,MATCH($O1796,#REF!,0))-IF(AN1796="",0,AN1796)+AP1797+AD1796+AL1796,IF(AR1797=AR1796,INDEX(#REF!,MATCH($O1796,#REF!,0))-IF(AN1796="",0,AN1796)+AP1797+AD1796,IF(AM1796&lt;&gt;"",INDEX(#REF!,MATCH($O1796,#REF!,0))-IF(AN1796="",0,AN1796)+AD1796+AL1796,INDEX(#REF!,MATCH($O1796,#REF!,0))-IF(AN1796="",0,AN1796)+AD1796))),"")</f>
        <v/>
      </c>
      <c r="Y1796" s="53" t="str">
        <f t="shared" si="900"/>
        <v/>
      </c>
      <c r="Z1796" s="52" t="str">
        <f>IF(L1796="","",INDEX(#REF!,MATCH($O1796,#REF!,0)))</f>
        <v/>
      </c>
      <c r="AA1796" s="52" t="str">
        <f t="shared" si="901"/>
        <v/>
      </c>
      <c r="AB1796" s="52" t="str">
        <f>IFERROR(INDEX(#REF!,MATCH($O1796,#REF!,0)),"")</f>
        <v/>
      </c>
      <c r="AC1796" s="52" t="str">
        <f>IFERROR(IF(O1796="","",SUMIFS('CPL Mats'!F:F,'CPL Mats'!Q:Q,AR1796,'CPL Mats'!S:S,AS1796)),"")</f>
        <v/>
      </c>
      <c r="AF1796" s="25" t="e">
        <f>IF(SUMIFS(#REF!,#REF!,"Releasable",#REF!,O1796)=0,"",SUMIFS(#REF!,#REF!,"Releasable",#REF!,O1796))</f>
        <v>#REF!</v>
      </c>
      <c r="AG1796" s="25" t="str">
        <f>IFERROR(INDEX(#REF!,MATCH(O1796,#REF!,0)),"")</f>
        <v/>
      </c>
      <c r="AH1796" s="25" t="str">
        <f>IFERROR(INDEX(#REF!,MATCH($O1796,#REF!,0)),"")</f>
        <v/>
      </c>
      <c r="AI1796" s="25" t="e">
        <f>IF(SUMIFS(#REF!,#REF!,"Expires this month",#REF!,O1796)=0,"",SUMIFS(#REF!,#REF!,"Expires this month",#REF!,O1796))</f>
        <v>#REF!</v>
      </c>
      <c r="AJ1796" s="25" t="e">
        <f>IF(SUMIFS(#REF!,#REF!,"Expired Previous Months",#REF!,O1796)=0,"",SUMIFS(#REF!,#REF!,"Expired Previous Months",#REF!,O1796))</f>
        <v>#REF!</v>
      </c>
      <c r="AK1796" s="25" t="str">
        <f>IFERROR(INDEX('Hun Release Current'!B:B,MATCH(O1796,'Hun Release Current'!A:A,0)),"")</f>
        <v/>
      </c>
      <c r="AL1796" s="25" t="str">
        <f>IF(SUMIF('Prev Aub'!A:A,O1796,'Prev Aub'!B:B)=0,"",SUMIF('Prev Aub'!A:A,O1796,'Prev Aub'!B:B))</f>
        <v/>
      </c>
      <c r="AN1796" s="25" t="s">
        <v>3790</v>
      </c>
      <c r="AO1796" s="25" t="s">
        <v>3790</v>
      </c>
      <c r="AP1796" s="25" t="str">
        <f t="shared" si="923"/>
        <v/>
      </c>
      <c r="AQ1796" s="151" t="e">
        <f>IF(SUMIFS(#REF!,#REF!,O1796,#REF!,"PENDING")=0,"",SUMIFS(#REF!,#REF!,O1796,#REF!,"PENDING"))</f>
        <v>#REF!</v>
      </c>
      <c r="AR1796" s="27" t="str">
        <f t="shared" si="902"/>
        <v/>
      </c>
      <c r="AS1796" s="27" t="str">
        <f t="shared" si="903"/>
        <v/>
      </c>
      <c r="AT1796" s="27" t="str">
        <f t="shared" si="904"/>
        <v/>
      </c>
      <c r="AU1796" s="27" t="str">
        <f t="shared" si="905"/>
        <v/>
      </c>
      <c r="AV1796" s="27" t="str">
        <f t="shared" si="906"/>
        <v/>
      </c>
      <c r="AW1796" s="27" t="e">
        <f t="shared" si="907"/>
        <v>#REF!</v>
      </c>
      <c r="AX1796" s="27" t="e">
        <f t="shared" si="908"/>
        <v>#REF!</v>
      </c>
      <c r="AY1796" s="27" t="str">
        <f t="shared" si="909"/>
        <v/>
      </c>
      <c r="AZ1796" s="27" t="str">
        <f t="shared" si="910"/>
        <v/>
      </c>
      <c r="BA1796" s="27" t="str">
        <f t="shared" si="911"/>
        <v/>
      </c>
      <c r="BB1796" s="27" t="str">
        <f t="shared" si="912"/>
        <v/>
      </c>
      <c r="BC1796" s="27" t="str">
        <f t="shared" si="913"/>
        <v/>
      </c>
      <c r="BD1796" s="27" t="str">
        <f t="shared" si="914"/>
        <v/>
      </c>
      <c r="BE1796" s="27" t="str">
        <f t="shared" si="915"/>
        <v/>
      </c>
      <c r="BF1796" s="27" t="str">
        <f t="shared" si="916"/>
        <v/>
      </c>
      <c r="BG1796" s="27" t="str">
        <f t="shared" si="917"/>
        <v/>
      </c>
      <c r="BH1796" s="27" t="str">
        <f t="shared" si="918"/>
        <v/>
      </c>
      <c r="BI1796" s="27" t="str">
        <f t="shared" si="919"/>
        <v/>
      </c>
      <c r="BJ1796" s="27" t="str">
        <f t="shared" si="920"/>
        <v/>
      </c>
      <c r="BK1796" s="27" t="str">
        <f t="shared" si="921"/>
        <v/>
      </c>
      <c r="BL1796" s="27" t="str">
        <f t="shared" si="922"/>
        <v/>
      </c>
      <c r="BM1796" s="21" t="s">
        <v>3790</v>
      </c>
    </row>
    <row r="1797" spans="1:65" ht="15">
      <c r="A1797" s="25" t="str">
        <f>IFERROR(INDEX(#REF!,MATCH(O1797,#REF!,0)),"")</f>
        <v/>
      </c>
      <c r="B1797" s="25" t="str">
        <f>IFERROR(INDEX(#REF!,MATCH(O1797,#REF!,0)),"")</f>
        <v/>
      </c>
      <c r="C1797" s="25" t="str">
        <f>IFERROR(INDEX(#REF!,MATCH(O1797,#REF!,0)),"")</f>
        <v/>
      </c>
      <c r="D1797" s="25" t="str">
        <f>IFERROR(INDEX(#REF!,MATCH(O1797,#REF!,0)),"")</f>
        <v/>
      </c>
      <c r="E1797" s="25" t="str">
        <f>IFERROR(INDEX(#REF!,MATCH(O1797,#REF!,0)),"")</f>
        <v/>
      </c>
      <c r="F1797" s="25" t="str">
        <f>IFERROR(INDEX(#REF!,MATCH(O1797,#REF!,0)),"")</f>
        <v/>
      </c>
      <c r="G1797" s="25" t="str">
        <f>IFERROR(INDEX(#REF!,MATCH(O1797,#REF!,0)),"")</f>
        <v/>
      </c>
      <c r="H1797" s="25" t="str">
        <f>IFERROR(INDEX(#REF!,MATCH(O1797,#REF!,0)),"")</f>
        <v/>
      </c>
      <c r="I1797" s="25" t="str">
        <f>IFERROR(INDEX(#REF!,MATCH(O1797,#REF!,0)),"")</f>
        <v/>
      </c>
      <c r="J1797" s="25" t="str">
        <f>IFERROR(INDEX(#REF!,MATCH(O1797,#REF!,0)),"")</f>
        <v/>
      </c>
      <c r="K1797" s="25" t="str">
        <f>IFERROR(INDEX(#REF!,MATCH(O1797,#REF!,0)),"")</f>
        <v/>
      </c>
      <c r="L1797" s="25" t="str">
        <f>IFERROR(INDEX(#REF!,MATCH(O1797,#REF!,0)),"")</f>
        <v/>
      </c>
      <c r="P1797" s="27" t="str">
        <f>IFERROR(INDEX(#REF!,MATCH($O1797,#REF!,0)),"")</f>
        <v/>
      </c>
      <c r="Q1797" s="27" t="str">
        <f>IFERROR(INDEX(#REF!,MATCH($O1797,#REF!,0)),"")</f>
        <v/>
      </c>
      <c r="R1797" s="52" t="str">
        <f>IFERROR(IF(AR1798=AR1797,INDEX(#REF!,MATCH($O1797,#REF!,0))-IF(AN1797="",0,AN1797)+AP1798,INDEX(#REF!,MATCH($O1797,#REF!,0))-IF(AN1797="",0,AN1797)),"")</f>
        <v/>
      </c>
      <c r="S1797" s="53" t="str">
        <f t="shared" si="896"/>
        <v/>
      </c>
      <c r="T1797" s="52" t="str">
        <f t="shared" si="897"/>
        <v/>
      </c>
      <c r="U1797" s="52" t="str">
        <f>IFERROR(IF(AR1798=AR1797,INDEX(#REF!,MATCH($O1797,#REF!,0))-IF(AN1797="",0,AN1797)+AP1798,INDEX(#REF!,MATCH($O1797,#REF!,0))-IF(AN1797="",0,AN1797)),"")</f>
        <v/>
      </c>
      <c r="V1797" s="53" t="str">
        <f t="shared" si="898"/>
        <v/>
      </c>
      <c r="W1797" s="52" t="str">
        <f t="shared" si="899"/>
        <v/>
      </c>
      <c r="X1797" s="52" t="str">
        <f>IFERROR(IF(AND(AR1798=AR1797,AM1797&lt;&gt;""),INDEX(#REF!,MATCH($O1797,#REF!,0))-IF(AN1797="",0,AN1797)+AP1798+AD1797+AL1797,IF(AR1798=AR1797,INDEX(#REF!,MATCH($O1797,#REF!,0))-IF(AN1797="",0,AN1797)+AP1798+AD1797,IF(AM1797&lt;&gt;"",INDEX(#REF!,MATCH($O1797,#REF!,0))-IF(AN1797="",0,AN1797)+AD1797+AL1797,INDEX(#REF!,MATCH($O1797,#REF!,0))-IF(AN1797="",0,AN1797)+AD1797))),"")</f>
        <v/>
      </c>
      <c r="Y1797" s="53" t="str">
        <f t="shared" si="900"/>
        <v/>
      </c>
      <c r="Z1797" s="52" t="str">
        <f>IF(L1797="","",INDEX(#REF!,MATCH($O1797,#REF!,0)))</f>
        <v/>
      </c>
      <c r="AA1797" s="52" t="str">
        <f t="shared" si="901"/>
        <v/>
      </c>
      <c r="AB1797" s="52" t="str">
        <f>IFERROR(INDEX(#REF!,MATCH($O1797,#REF!,0)),"")</f>
        <v/>
      </c>
      <c r="AC1797" s="52" t="str">
        <f>IFERROR(IF(O1797="","",SUMIFS('CPL Mats'!F:F,'CPL Mats'!Q:Q,AR1797,'CPL Mats'!S:S,AS1797)),"")</f>
        <v/>
      </c>
      <c r="AF1797" s="25" t="e">
        <f>IF(SUMIFS(#REF!,#REF!,"Releasable",#REF!,O1797)=0,"",SUMIFS(#REF!,#REF!,"Releasable",#REF!,O1797))</f>
        <v>#REF!</v>
      </c>
      <c r="AG1797" s="25" t="str">
        <f>IFERROR(INDEX(#REF!,MATCH(O1797,#REF!,0)),"")</f>
        <v/>
      </c>
      <c r="AH1797" s="25" t="str">
        <f>IFERROR(INDEX(#REF!,MATCH($O1797,#REF!,0)),"")</f>
        <v/>
      </c>
      <c r="AI1797" s="25" t="e">
        <f>IF(SUMIFS(#REF!,#REF!,"Expires this month",#REF!,O1797)=0,"",SUMIFS(#REF!,#REF!,"Expires this month",#REF!,O1797))</f>
        <v>#REF!</v>
      </c>
      <c r="AJ1797" s="25" t="e">
        <f>IF(SUMIFS(#REF!,#REF!,"Expired Previous Months",#REF!,O1797)=0,"",SUMIFS(#REF!,#REF!,"Expired Previous Months",#REF!,O1797))</f>
        <v>#REF!</v>
      </c>
      <c r="AK1797" s="25" t="str">
        <f>IFERROR(INDEX('Hun Release Current'!B:B,MATCH(O1797,'Hun Release Current'!A:A,0)),"")</f>
        <v/>
      </c>
      <c r="AL1797" s="25" t="str">
        <f>IF(SUMIF('Prev Aub'!A:A,O1797,'Prev Aub'!B:B)=0,"",SUMIF('Prev Aub'!A:A,O1797,'Prev Aub'!B:B))</f>
        <v/>
      </c>
      <c r="AN1797" s="25" t="s">
        <v>3790</v>
      </c>
      <c r="AO1797" s="25" t="s">
        <v>3790</v>
      </c>
      <c r="AP1797" s="25" t="str">
        <f t="shared" si="923"/>
        <v/>
      </c>
      <c r="AQ1797" s="151" t="e">
        <f>IF(SUMIFS(#REF!,#REF!,O1797,#REF!,"PENDING")=0,"",SUMIFS(#REF!,#REF!,O1797,#REF!,"PENDING"))</f>
        <v>#REF!</v>
      </c>
      <c r="AR1797" s="27" t="str">
        <f t="shared" si="902"/>
        <v/>
      </c>
      <c r="AS1797" s="27" t="str">
        <f t="shared" si="903"/>
        <v/>
      </c>
      <c r="AT1797" s="27" t="str">
        <f t="shared" si="904"/>
        <v/>
      </c>
      <c r="AU1797" s="27" t="str">
        <f t="shared" si="905"/>
        <v/>
      </c>
      <c r="AV1797" s="27" t="str">
        <f t="shared" si="906"/>
        <v/>
      </c>
      <c r="AW1797" s="27" t="e">
        <f t="shared" si="907"/>
        <v>#REF!</v>
      </c>
      <c r="AX1797" s="27" t="e">
        <f t="shared" si="908"/>
        <v>#REF!</v>
      </c>
      <c r="AY1797" s="27" t="str">
        <f t="shared" si="909"/>
        <v/>
      </c>
      <c r="AZ1797" s="27" t="str">
        <f t="shared" si="910"/>
        <v/>
      </c>
      <c r="BA1797" s="27" t="str">
        <f t="shared" si="911"/>
        <v/>
      </c>
      <c r="BB1797" s="27" t="str">
        <f t="shared" si="912"/>
        <v/>
      </c>
      <c r="BC1797" s="27" t="str">
        <f t="shared" si="913"/>
        <v/>
      </c>
      <c r="BD1797" s="27" t="str">
        <f t="shared" si="914"/>
        <v/>
      </c>
      <c r="BE1797" s="27" t="str">
        <f t="shared" si="915"/>
        <v/>
      </c>
      <c r="BF1797" s="27" t="str">
        <f t="shared" si="916"/>
        <v/>
      </c>
      <c r="BG1797" s="27" t="str">
        <f t="shared" si="917"/>
        <v/>
      </c>
      <c r="BH1797" s="27" t="str">
        <f t="shared" si="918"/>
        <v/>
      </c>
      <c r="BI1797" s="27" t="str">
        <f t="shared" si="919"/>
        <v/>
      </c>
      <c r="BJ1797" s="27" t="str">
        <f t="shared" si="920"/>
        <v/>
      </c>
      <c r="BK1797" s="27" t="str">
        <f t="shared" si="921"/>
        <v/>
      </c>
      <c r="BL1797" s="27" t="str">
        <f t="shared" si="922"/>
        <v/>
      </c>
      <c r="BM1797" s="21" t="s">
        <v>3790</v>
      </c>
    </row>
    <row r="1798" spans="1:65" ht="15">
      <c r="A1798" s="25" t="str">
        <f>IFERROR(INDEX(#REF!,MATCH(O1798,#REF!,0)),"")</f>
        <v/>
      </c>
      <c r="B1798" s="25" t="str">
        <f>IFERROR(INDEX(#REF!,MATCH(O1798,#REF!,0)),"")</f>
        <v/>
      </c>
      <c r="C1798" s="25" t="str">
        <f>IFERROR(INDEX(#REF!,MATCH(O1798,#REF!,0)),"")</f>
        <v/>
      </c>
      <c r="D1798" s="25" t="str">
        <f>IFERROR(INDEX(#REF!,MATCH(O1798,#REF!,0)),"")</f>
        <v/>
      </c>
      <c r="E1798" s="25" t="str">
        <f>IFERROR(INDEX(#REF!,MATCH(O1798,#REF!,0)),"")</f>
        <v/>
      </c>
      <c r="F1798" s="25" t="str">
        <f>IFERROR(INDEX(#REF!,MATCH(O1798,#REF!,0)),"")</f>
        <v/>
      </c>
      <c r="G1798" s="25" t="str">
        <f>IFERROR(INDEX(#REF!,MATCH(O1798,#REF!,0)),"")</f>
        <v/>
      </c>
      <c r="H1798" s="25" t="str">
        <f>IFERROR(INDEX(#REF!,MATCH(O1798,#REF!,0)),"")</f>
        <v/>
      </c>
      <c r="I1798" s="25" t="str">
        <f>IFERROR(INDEX(#REF!,MATCH(O1798,#REF!,0)),"")</f>
        <v/>
      </c>
      <c r="J1798" s="25" t="str">
        <f>IFERROR(INDEX(#REF!,MATCH(O1798,#REF!,0)),"")</f>
        <v/>
      </c>
      <c r="K1798" s="25" t="str">
        <f>IFERROR(INDEX(#REF!,MATCH(O1798,#REF!,0)),"")</f>
        <v/>
      </c>
      <c r="L1798" s="25" t="str">
        <f>IFERROR(INDEX(#REF!,MATCH(O1798,#REF!,0)),"")</f>
        <v/>
      </c>
      <c r="P1798" s="27" t="str">
        <f>IFERROR(INDEX(#REF!,MATCH($O1798,#REF!,0)),"")</f>
        <v/>
      </c>
      <c r="Q1798" s="27" t="str">
        <f>IFERROR(INDEX(#REF!,MATCH($O1798,#REF!,0)),"")</f>
        <v/>
      </c>
      <c r="R1798" s="52" t="str">
        <f>IFERROR(IF(AR1799=AR1798,INDEX(#REF!,MATCH($O1798,#REF!,0))-IF(AN1798="",0,AN1798)+AP1799,INDEX(#REF!,MATCH($O1798,#REF!,0))-IF(AN1798="",0,AN1798)),"")</f>
        <v/>
      </c>
      <c r="S1798" s="53" t="str">
        <f t="shared" si="896"/>
        <v/>
      </c>
      <c r="T1798" s="52" t="str">
        <f t="shared" si="897"/>
        <v/>
      </c>
      <c r="U1798" s="52" t="str">
        <f>IFERROR(IF(AR1799=AR1798,INDEX(#REF!,MATCH($O1798,#REF!,0))-IF(AN1798="",0,AN1798)+AP1799,INDEX(#REF!,MATCH($O1798,#REF!,0))-IF(AN1798="",0,AN1798)),"")</f>
        <v/>
      </c>
      <c r="V1798" s="53" t="str">
        <f t="shared" si="898"/>
        <v/>
      </c>
      <c r="W1798" s="52" t="str">
        <f t="shared" si="899"/>
        <v/>
      </c>
      <c r="X1798" s="52" t="str">
        <f>IFERROR(IF(AND(AR1799=AR1798,AM1798&lt;&gt;""),INDEX(#REF!,MATCH($O1798,#REF!,0))-IF(AN1798="",0,AN1798)+AP1799+AD1798+AL1798,IF(AR1799=AR1798,INDEX(#REF!,MATCH($O1798,#REF!,0))-IF(AN1798="",0,AN1798)+AP1799+AD1798,IF(AM1798&lt;&gt;"",INDEX(#REF!,MATCH($O1798,#REF!,0))-IF(AN1798="",0,AN1798)+AD1798+AL1798,INDEX(#REF!,MATCH($O1798,#REF!,0))-IF(AN1798="",0,AN1798)+AD1798))),"")</f>
        <v/>
      </c>
      <c r="Y1798" s="53" t="str">
        <f t="shared" si="900"/>
        <v/>
      </c>
      <c r="Z1798" s="52" t="str">
        <f>IF(L1798="","",INDEX(#REF!,MATCH($O1798,#REF!,0)))</f>
        <v/>
      </c>
      <c r="AA1798" s="52" t="str">
        <f t="shared" si="901"/>
        <v/>
      </c>
      <c r="AB1798" s="52" t="str">
        <f>IFERROR(INDEX(#REF!,MATCH($O1798,#REF!,0)),"")</f>
        <v/>
      </c>
      <c r="AC1798" s="52" t="str">
        <f>IFERROR(IF(O1798="","",SUMIFS('CPL Mats'!F:F,'CPL Mats'!Q:Q,AR1798,'CPL Mats'!S:S,AS1798)),"")</f>
        <v/>
      </c>
      <c r="AF1798" s="25" t="e">
        <f>IF(SUMIFS(#REF!,#REF!,"Releasable",#REF!,O1798)=0,"",SUMIFS(#REF!,#REF!,"Releasable",#REF!,O1798))</f>
        <v>#REF!</v>
      </c>
      <c r="AG1798" s="25" t="str">
        <f>IFERROR(INDEX(#REF!,MATCH(O1798,#REF!,0)),"")</f>
        <v/>
      </c>
      <c r="AH1798" s="25" t="str">
        <f>IFERROR(INDEX(#REF!,MATCH($O1798,#REF!,0)),"")</f>
        <v/>
      </c>
      <c r="AI1798" s="25" t="e">
        <f>IF(SUMIFS(#REF!,#REF!,"Expires this month",#REF!,O1798)=0,"",SUMIFS(#REF!,#REF!,"Expires this month",#REF!,O1798))</f>
        <v>#REF!</v>
      </c>
      <c r="AJ1798" s="25" t="e">
        <f>IF(SUMIFS(#REF!,#REF!,"Expired Previous Months",#REF!,O1798)=0,"",SUMIFS(#REF!,#REF!,"Expired Previous Months",#REF!,O1798))</f>
        <v>#REF!</v>
      </c>
      <c r="AK1798" s="25" t="str">
        <f>IFERROR(INDEX('Hun Release Current'!B:B,MATCH(O1798,'Hun Release Current'!A:A,0)),"")</f>
        <v/>
      </c>
      <c r="AL1798" s="25" t="str">
        <f>IF(SUMIF('Prev Aub'!A:A,O1798,'Prev Aub'!B:B)=0,"",SUMIF('Prev Aub'!A:A,O1798,'Prev Aub'!B:B))</f>
        <v/>
      </c>
      <c r="AN1798" s="25" t="s">
        <v>3790</v>
      </c>
      <c r="AO1798" s="25" t="s">
        <v>3790</v>
      </c>
      <c r="AP1798" s="25" t="str">
        <f t="shared" si="923"/>
        <v/>
      </c>
      <c r="AQ1798" s="151" t="e">
        <f>IF(SUMIFS(#REF!,#REF!,O1798,#REF!,"PENDING")=0,"",SUMIFS(#REF!,#REF!,O1798,#REF!,"PENDING"))</f>
        <v>#REF!</v>
      </c>
      <c r="AR1798" s="27" t="str">
        <f t="shared" si="902"/>
        <v/>
      </c>
      <c r="AS1798" s="27" t="str">
        <f t="shared" si="903"/>
        <v/>
      </c>
      <c r="AT1798" s="27" t="str">
        <f t="shared" si="904"/>
        <v/>
      </c>
      <c r="AU1798" s="27" t="str">
        <f t="shared" si="905"/>
        <v/>
      </c>
      <c r="AV1798" s="27" t="str">
        <f t="shared" si="906"/>
        <v/>
      </c>
      <c r="AW1798" s="27" t="e">
        <f t="shared" si="907"/>
        <v>#REF!</v>
      </c>
      <c r="AX1798" s="27" t="e">
        <f t="shared" si="908"/>
        <v>#REF!</v>
      </c>
      <c r="AY1798" s="27" t="str">
        <f t="shared" si="909"/>
        <v/>
      </c>
      <c r="AZ1798" s="27" t="str">
        <f t="shared" si="910"/>
        <v/>
      </c>
      <c r="BA1798" s="27" t="str">
        <f t="shared" si="911"/>
        <v/>
      </c>
      <c r="BB1798" s="27" t="str">
        <f t="shared" si="912"/>
        <v/>
      </c>
      <c r="BC1798" s="27" t="str">
        <f t="shared" si="913"/>
        <v/>
      </c>
      <c r="BD1798" s="27" t="str">
        <f t="shared" si="914"/>
        <v/>
      </c>
      <c r="BE1798" s="27" t="str">
        <f t="shared" si="915"/>
        <v/>
      </c>
      <c r="BF1798" s="27" t="str">
        <f t="shared" si="916"/>
        <v/>
      </c>
      <c r="BG1798" s="27" t="str">
        <f t="shared" si="917"/>
        <v/>
      </c>
      <c r="BH1798" s="27" t="str">
        <f t="shared" si="918"/>
        <v/>
      </c>
      <c r="BI1798" s="27" t="str">
        <f t="shared" si="919"/>
        <v/>
      </c>
      <c r="BJ1798" s="27" t="str">
        <f t="shared" si="920"/>
        <v/>
      </c>
      <c r="BK1798" s="27" t="str">
        <f t="shared" si="921"/>
        <v/>
      </c>
      <c r="BL1798" s="27" t="str">
        <f t="shared" si="922"/>
        <v/>
      </c>
      <c r="BM1798" s="21" t="s">
        <v>3790</v>
      </c>
    </row>
    <row r="1799" spans="1:65" ht="15">
      <c r="A1799" s="25" t="str">
        <f>IFERROR(INDEX(#REF!,MATCH(O1799,#REF!,0)),"")</f>
        <v/>
      </c>
      <c r="B1799" s="25" t="str">
        <f>IFERROR(INDEX(#REF!,MATCH(O1799,#REF!,0)),"")</f>
        <v/>
      </c>
      <c r="C1799" s="25" t="str">
        <f>IFERROR(INDEX(#REF!,MATCH(O1799,#REF!,0)),"")</f>
        <v/>
      </c>
      <c r="D1799" s="25" t="str">
        <f>IFERROR(INDEX(#REF!,MATCH(O1799,#REF!,0)),"")</f>
        <v/>
      </c>
      <c r="E1799" s="25" t="str">
        <f>IFERROR(INDEX(#REF!,MATCH(O1799,#REF!,0)),"")</f>
        <v/>
      </c>
      <c r="F1799" s="25" t="str">
        <f>IFERROR(INDEX(#REF!,MATCH(O1799,#REF!,0)),"")</f>
        <v/>
      </c>
      <c r="G1799" s="25" t="str">
        <f>IFERROR(INDEX(#REF!,MATCH(O1799,#REF!,0)),"")</f>
        <v/>
      </c>
      <c r="H1799" s="25" t="str">
        <f>IFERROR(INDEX(#REF!,MATCH(O1799,#REF!,0)),"")</f>
        <v/>
      </c>
      <c r="I1799" s="25" t="str">
        <f>IFERROR(INDEX(#REF!,MATCH(O1799,#REF!,0)),"")</f>
        <v/>
      </c>
      <c r="J1799" s="25" t="str">
        <f>IFERROR(INDEX(#REF!,MATCH(O1799,#REF!,0)),"")</f>
        <v/>
      </c>
      <c r="K1799" s="25" t="str">
        <f>IFERROR(INDEX(#REF!,MATCH(O1799,#REF!,0)),"")</f>
        <v/>
      </c>
      <c r="L1799" s="25" t="str">
        <f>IFERROR(INDEX(#REF!,MATCH(O1799,#REF!,0)),"")</f>
        <v/>
      </c>
      <c r="P1799" s="27" t="str">
        <f>IFERROR(INDEX(#REF!,MATCH($O1799,#REF!,0)),"")</f>
        <v/>
      </c>
      <c r="Q1799" s="27" t="str">
        <f>IFERROR(INDEX(#REF!,MATCH($O1799,#REF!,0)),"")</f>
        <v/>
      </c>
      <c r="R1799" s="52" t="str">
        <f>IFERROR(IF(AR1800=AR1799,INDEX(#REF!,MATCH($O1799,#REF!,0))-IF(AN1799="",0,AN1799)+AP1800,INDEX(#REF!,MATCH($O1799,#REF!,0))-IF(AN1799="",0,AN1799)),"")</f>
        <v/>
      </c>
      <c r="S1799" s="53" t="str">
        <f t="shared" si="896"/>
        <v/>
      </c>
      <c r="T1799" s="52" t="str">
        <f t="shared" si="897"/>
        <v/>
      </c>
      <c r="U1799" s="52" t="str">
        <f>IFERROR(IF(AR1800=AR1799,INDEX(#REF!,MATCH($O1799,#REF!,0))-IF(AN1799="",0,AN1799)+AP1800,INDEX(#REF!,MATCH($O1799,#REF!,0))-IF(AN1799="",0,AN1799)),"")</f>
        <v/>
      </c>
      <c r="V1799" s="53" t="str">
        <f t="shared" si="898"/>
        <v/>
      </c>
      <c r="W1799" s="52" t="str">
        <f t="shared" si="899"/>
        <v/>
      </c>
      <c r="X1799" s="52" t="str">
        <f>IFERROR(IF(AND(AR1800=AR1799,AM1799&lt;&gt;""),INDEX(#REF!,MATCH($O1799,#REF!,0))-IF(AN1799="",0,AN1799)+AP1800+AD1799+AL1799,IF(AR1800=AR1799,INDEX(#REF!,MATCH($O1799,#REF!,0))-IF(AN1799="",0,AN1799)+AP1800+AD1799,IF(AM1799&lt;&gt;"",INDEX(#REF!,MATCH($O1799,#REF!,0))-IF(AN1799="",0,AN1799)+AD1799+AL1799,INDEX(#REF!,MATCH($O1799,#REF!,0))-IF(AN1799="",0,AN1799)+AD1799))),"")</f>
        <v/>
      </c>
      <c r="Y1799" s="53" t="str">
        <f t="shared" si="900"/>
        <v/>
      </c>
      <c r="Z1799" s="52" t="str">
        <f>IF(L1799="","",INDEX(#REF!,MATCH($O1799,#REF!,0)))</f>
        <v/>
      </c>
      <c r="AA1799" s="52" t="str">
        <f t="shared" si="901"/>
        <v/>
      </c>
      <c r="AB1799" s="52" t="str">
        <f>IFERROR(INDEX(#REF!,MATCH($O1799,#REF!,0)),"")</f>
        <v/>
      </c>
      <c r="AC1799" s="52" t="str">
        <f>IFERROR(IF(O1799="","",SUMIFS('CPL Mats'!F:F,'CPL Mats'!Q:Q,AR1799,'CPL Mats'!S:S,AS1799)),"")</f>
        <v/>
      </c>
      <c r="AF1799" s="25" t="e">
        <f>IF(SUMIFS(#REF!,#REF!,"Releasable",#REF!,O1799)=0,"",SUMIFS(#REF!,#REF!,"Releasable",#REF!,O1799))</f>
        <v>#REF!</v>
      </c>
      <c r="AG1799" s="25" t="str">
        <f>IFERROR(INDEX(#REF!,MATCH(O1799,#REF!,0)),"")</f>
        <v/>
      </c>
      <c r="AH1799" s="25" t="str">
        <f>IFERROR(INDEX(#REF!,MATCH($O1799,#REF!,0)),"")</f>
        <v/>
      </c>
      <c r="AI1799" s="25" t="e">
        <f>IF(SUMIFS(#REF!,#REF!,"Expires this month",#REF!,O1799)=0,"",SUMIFS(#REF!,#REF!,"Expires this month",#REF!,O1799))</f>
        <v>#REF!</v>
      </c>
      <c r="AJ1799" s="25" t="e">
        <f>IF(SUMIFS(#REF!,#REF!,"Expired Previous Months",#REF!,O1799)=0,"",SUMIFS(#REF!,#REF!,"Expired Previous Months",#REF!,O1799))</f>
        <v>#REF!</v>
      </c>
      <c r="AK1799" s="25" t="str">
        <f>IFERROR(INDEX('Hun Release Current'!B:B,MATCH(O1799,'Hun Release Current'!A:A,0)),"")</f>
        <v/>
      </c>
      <c r="AL1799" s="25" t="str">
        <f>IF(SUMIF('Prev Aub'!A:A,O1799,'Prev Aub'!B:B)=0,"",SUMIF('Prev Aub'!A:A,O1799,'Prev Aub'!B:B))</f>
        <v/>
      </c>
      <c r="AN1799" s="25" t="s">
        <v>3790</v>
      </c>
      <c r="AO1799" s="25" t="s">
        <v>3790</v>
      </c>
      <c r="AP1799" s="25" t="str">
        <f t="shared" si="923"/>
        <v/>
      </c>
      <c r="AQ1799" s="151" t="e">
        <f>IF(SUMIFS(#REF!,#REF!,O1799,#REF!,"PENDING")=0,"",SUMIFS(#REF!,#REF!,O1799,#REF!,"PENDING"))</f>
        <v>#REF!</v>
      </c>
      <c r="AR1799" s="27" t="str">
        <f t="shared" si="902"/>
        <v/>
      </c>
      <c r="AS1799" s="27" t="str">
        <f t="shared" si="903"/>
        <v/>
      </c>
      <c r="AT1799" s="27" t="str">
        <f t="shared" si="904"/>
        <v/>
      </c>
      <c r="AU1799" s="27" t="str">
        <f t="shared" si="905"/>
        <v/>
      </c>
      <c r="AV1799" s="27" t="str">
        <f t="shared" si="906"/>
        <v/>
      </c>
      <c r="AW1799" s="27" t="e">
        <f t="shared" si="907"/>
        <v>#REF!</v>
      </c>
      <c r="AX1799" s="27" t="e">
        <f t="shared" si="908"/>
        <v>#REF!</v>
      </c>
      <c r="AY1799" s="27" t="str">
        <f t="shared" si="909"/>
        <v/>
      </c>
      <c r="AZ1799" s="27" t="str">
        <f t="shared" si="910"/>
        <v/>
      </c>
      <c r="BA1799" s="27" t="str">
        <f t="shared" si="911"/>
        <v/>
      </c>
      <c r="BB1799" s="27" t="str">
        <f t="shared" si="912"/>
        <v/>
      </c>
      <c r="BC1799" s="27" t="str">
        <f t="shared" si="913"/>
        <v/>
      </c>
      <c r="BD1799" s="27" t="str">
        <f t="shared" si="914"/>
        <v/>
      </c>
      <c r="BE1799" s="27" t="str">
        <f t="shared" si="915"/>
        <v/>
      </c>
      <c r="BF1799" s="27" t="str">
        <f t="shared" si="916"/>
        <v/>
      </c>
      <c r="BG1799" s="27" t="str">
        <f t="shared" si="917"/>
        <v/>
      </c>
      <c r="BH1799" s="27" t="str">
        <f t="shared" si="918"/>
        <v/>
      </c>
      <c r="BI1799" s="27" t="str">
        <f t="shared" si="919"/>
        <v/>
      </c>
      <c r="BJ1799" s="27" t="str">
        <f t="shared" si="920"/>
        <v/>
      </c>
      <c r="BK1799" s="27" t="str">
        <f t="shared" si="921"/>
        <v/>
      </c>
      <c r="BL1799" s="27" t="str">
        <f t="shared" si="922"/>
        <v/>
      </c>
      <c r="BM1799" s="21" t="s">
        <v>3790</v>
      </c>
    </row>
    <row r="1800" spans="1:65" ht="15">
      <c r="A1800" s="25" t="str">
        <f>IFERROR(INDEX(#REF!,MATCH(O1800,#REF!,0)),"")</f>
        <v/>
      </c>
      <c r="B1800" s="25" t="str">
        <f>IFERROR(INDEX(#REF!,MATCH(O1800,#REF!,0)),"")</f>
        <v/>
      </c>
      <c r="C1800" s="25" t="str">
        <f>IFERROR(INDEX(#REF!,MATCH(O1800,#REF!,0)),"")</f>
        <v/>
      </c>
      <c r="D1800" s="25" t="str">
        <f>IFERROR(INDEX(#REF!,MATCH(O1800,#REF!,0)),"")</f>
        <v/>
      </c>
      <c r="E1800" s="25" t="str">
        <f>IFERROR(INDEX(#REF!,MATCH(O1800,#REF!,0)),"")</f>
        <v/>
      </c>
      <c r="F1800" s="25" t="str">
        <f>IFERROR(INDEX(#REF!,MATCH(O1800,#REF!,0)),"")</f>
        <v/>
      </c>
      <c r="G1800" s="25" t="str">
        <f>IFERROR(INDEX(#REF!,MATCH(O1800,#REF!,0)),"")</f>
        <v/>
      </c>
      <c r="H1800" s="25" t="str">
        <f>IFERROR(INDEX(#REF!,MATCH(O1800,#REF!,0)),"")</f>
        <v/>
      </c>
      <c r="I1800" s="25" t="str">
        <f>IFERROR(INDEX(#REF!,MATCH(O1800,#REF!,0)),"")</f>
        <v/>
      </c>
      <c r="J1800" s="25" t="str">
        <f>IFERROR(INDEX(#REF!,MATCH(O1800,#REF!,0)),"")</f>
        <v/>
      </c>
      <c r="K1800" s="25" t="str">
        <f>IFERROR(INDEX(#REF!,MATCH(O1800,#REF!,0)),"")</f>
        <v/>
      </c>
      <c r="L1800" s="25" t="str">
        <f>IFERROR(INDEX(#REF!,MATCH(O1800,#REF!,0)),"")</f>
        <v/>
      </c>
      <c r="P1800" s="27" t="str">
        <f>IFERROR(INDEX(#REF!,MATCH($O1800,#REF!,0)),"")</f>
        <v/>
      </c>
      <c r="Q1800" s="27" t="str">
        <f>IFERROR(INDEX(#REF!,MATCH($O1800,#REF!,0)),"")</f>
        <v/>
      </c>
      <c r="R1800" s="52" t="str">
        <f>IFERROR(IF(AR1801=AR1800,INDEX(#REF!,MATCH($O1800,#REF!,0))-IF(AN1800="",0,AN1800)+AP1801,INDEX(#REF!,MATCH($O1800,#REF!,0))-IF(AN1800="",0,AN1800)),"")</f>
        <v/>
      </c>
      <c r="S1800" s="53" t="str">
        <f t="shared" si="896"/>
        <v/>
      </c>
      <c r="T1800" s="52" t="str">
        <f t="shared" si="897"/>
        <v/>
      </c>
      <c r="U1800" s="52" t="str">
        <f>IFERROR(IF(AR1801=AR1800,INDEX(#REF!,MATCH($O1800,#REF!,0))-IF(AN1800="",0,AN1800)+AP1801,INDEX(#REF!,MATCH($O1800,#REF!,0))-IF(AN1800="",0,AN1800)),"")</f>
        <v/>
      </c>
      <c r="V1800" s="53" t="str">
        <f t="shared" si="898"/>
        <v/>
      </c>
      <c r="W1800" s="52" t="str">
        <f t="shared" si="899"/>
        <v/>
      </c>
      <c r="X1800" s="52" t="str">
        <f>IFERROR(IF(AND(AR1801=AR1800,AM1800&lt;&gt;""),INDEX(#REF!,MATCH($O1800,#REF!,0))-IF(AN1800="",0,AN1800)+AP1801+AD1800+AL1800,IF(AR1801=AR1800,INDEX(#REF!,MATCH($O1800,#REF!,0))-IF(AN1800="",0,AN1800)+AP1801+AD1800,IF(AM1800&lt;&gt;"",INDEX(#REF!,MATCH($O1800,#REF!,0))-IF(AN1800="",0,AN1800)+AD1800+AL1800,INDEX(#REF!,MATCH($O1800,#REF!,0))-IF(AN1800="",0,AN1800)+AD1800))),"")</f>
        <v/>
      </c>
      <c r="Y1800" s="53" t="str">
        <f t="shared" si="900"/>
        <v/>
      </c>
      <c r="Z1800" s="52" t="str">
        <f>IF(L1800="","",INDEX(#REF!,MATCH($O1800,#REF!,0)))</f>
        <v/>
      </c>
      <c r="AA1800" s="52" t="str">
        <f t="shared" si="901"/>
        <v/>
      </c>
      <c r="AB1800" s="52" t="str">
        <f>IFERROR(INDEX(#REF!,MATCH($O1800,#REF!,0)),"")</f>
        <v/>
      </c>
      <c r="AC1800" s="52" t="str">
        <f>IFERROR(IF(O1800="","",SUMIFS('CPL Mats'!F:F,'CPL Mats'!Q:Q,AR1800,'CPL Mats'!S:S,AS1800)),"")</f>
        <v/>
      </c>
      <c r="AF1800" s="25" t="e">
        <f>IF(SUMIFS(#REF!,#REF!,"Releasable",#REF!,O1800)=0,"",SUMIFS(#REF!,#REF!,"Releasable",#REF!,O1800))</f>
        <v>#REF!</v>
      </c>
      <c r="AG1800" s="25" t="str">
        <f>IFERROR(INDEX(#REF!,MATCH(O1800,#REF!,0)),"")</f>
        <v/>
      </c>
      <c r="AH1800" s="25" t="str">
        <f>IFERROR(INDEX(#REF!,MATCH($O1800,#REF!,0)),"")</f>
        <v/>
      </c>
      <c r="AI1800" s="25" t="e">
        <f>IF(SUMIFS(#REF!,#REF!,"Expires this month",#REF!,O1800)=0,"",SUMIFS(#REF!,#REF!,"Expires this month",#REF!,O1800))</f>
        <v>#REF!</v>
      </c>
      <c r="AJ1800" s="25" t="e">
        <f>IF(SUMIFS(#REF!,#REF!,"Expired Previous Months",#REF!,O1800)=0,"",SUMIFS(#REF!,#REF!,"Expired Previous Months",#REF!,O1800))</f>
        <v>#REF!</v>
      </c>
      <c r="AK1800" s="25" t="str">
        <f>IFERROR(INDEX('Hun Release Current'!B:B,MATCH(O1800,'Hun Release Current'!A:A,0)),"")</f>
        <v/>
      </c>
      <c r="AL1800" s="25" t="str">
        <f>IF(SUMIF('Prev Aub'!A:A,O1800,'Prev Aub'!B:B)=0,"",SUMIF('Prev Aub'!A:A,O1800,'Prev Aub'!B:B))</f>
        <v/>
      </c>
      <c r="AN1800" s="25" t="s">
        <v>3790</v>
      </c>
      <c r="AO1800" s="25" t="s">
        <v>3790</v>
      </c>
      <c r="AP1800" s="25" t="str">
        <f t="shared" si="923"/>
        <v/>
      </c>
      <c r="AQ1800" s="151" t="e">
        <f>IF(SUMIFS(#REF!,#REF!,O1800,#REF!,"PENDING")=0,"",SUMIFS(#REF!,#REF!,O1800,#REF!,"PENDING"))</f>
        <v>#REF!</v>
      </c>
      <c r="AR1800" s="27" t="str">
        <f t="shared" si="902"/>
        <v/>
      </c>
      <c r="AS1800" s="27" t="str">
        <f t="shared" si="903"/>
        <v/>
      </c>
      <c r="AT1800" s="27" t="str">
        <f t="shared" si="904"/>
        <v/>
      </c>
      <c r="AU1800" s="27" t="str">
        <f t="shared" si="905"/>
        <v/>
      </c>
      <c r="AV1800" s="27" t="str">
        <f t="shared" si="906"/>
        <v/>
      </c>
      <c r="AW1800" s="27" t="e">
        <f t="shared" si="907"/>
        <v>#REF!</v>
      </c>
      <c r="AX1800" s="27" t="e">
        <f t="shared" si="908"/>
        <v>#REF!</v>
      </c>
      <c r="AY1800" s="27" t="str">
        <f t="shared" si="909"/>
        <v/>
      </c>
      <c r="AZ1800" s="27" t="str">
        <f t="shared" si="910"/>
        <v/>
      </c>
      <c r="BA1800" s="27" t="str">
        <f t="shared" si="911"/>
        <v/>
      </c>
      <c r="BB1800" s="27" t="str">
        <f t="shared" si="912"/>
        <v/>
      </c>
      <c r="BC1800" s="27" t="str">
        <f t="shared" si="913"/>
        <v/>
      </c>
      <c r="BD1800" s="27" t="str">
        <f t="shared" si="914"/>
        <v/>
      </c>
      <c r="BE1800" s="27" t="str">
        <f t="shared" si="915"/>
        <v/>
      </c>
      <c r="BF1800" s="27" t="str">
        <f t="shared" si="916"/>
        <v/>
      </c>
      <c r="BG1800" s="27" t="str">
        <f t="shared" si="917"/>
        <v/>
      </c>
      <c r="BH1800" s="27" t="str">
        <f t="shared" si="918"/>
        <v/>
      </c>
      <c r="BI1800" s="27" t="str">
        <f t="shared" si="919"/>
        <v/>
      </c>
      <c r="BJ1800" s="27" t="str">
        <f t="shared" si="920"/>
        <v/>
      </c>
      <c r="BK1800" s="27" t="str">
        <f t="shared" si="921"/>
        <v/>
      </c>
      <c r="BL1800" s="27" t="str">
        <f t="shared" si="922"/>
        <v/>
      </c>
      <c r="BM1800" s="21" t="s">
        <v>3790</v>
      </c>
    </row>
    <row r="1801" spans="1:65" ht="15">
      <c r="A1801" s="25" t="str">
        <f>IFERROR(INDEX(#REF!,MATCH(O1801,#REF!,0)),"")</f>
        <v/>
      </c>
      <c r="B1801" s="25" t="str">
        <f>IFERROR(INDEX(#REF!,MATCH(O1801,#REF!,0)),"")</f>
        <v/>
      </c>
      <c r="C1801" s="25" t="str">
        <f>IFERROR(INDEX(#REF!,MATCH(O1801,#REF!,0)),"")</f>
        <v/>
      </c>
      <c r="D1801" s="25" t="str">
        <f>IFERROR(INDEX(#REF!,MATCH(O1801,#REF!,0)),"")</f>
        <v/>
      </c>
      <c r="E1801" s="25" t="str">
        <f>IFERROR(INDEX(#REF!,MATCH(O1801,#REF!,0)),"")</f>
        <v/>
      </c>
      <c r="F1801" s="25" t="str">
        <f>IFERROR(INDEX(#REF!,MATCH(O1801,#REF!,0)),"")</f>
        <v/>
      </c>
      <c r="G1801" s="25" t="str">
        <f>IFERROR(INDEX(#REF!,MATCH(O1801,#REF!,0)),"")</f>
        <v/>
      </c>
      <c r="H1801" s="25" t="str">
        <f>IFERROR(INDEX(#REF!,MATCH(O1801,#REF!,0)),"")</f>
        <v/>
      </c>
      <c r="I1801" s="25" t="str">
        <f>IFERROR(INDEX(#REF!,MATCH(O1801,#REF!,0)),"")</f>
        <v/>
      </c>
      <c r="J1801" s="25" t="str">
        <f>IFERROR(INDEX(#REF!,MATCH(O1801,#REF!,0)),"")</f>
        <v/>
      </c>
      <c r="K1801" s="25" t="str">
        <f>IFERROR(INDEX(#REF!,MATCH(O1801,#REF!,0)),"")</f>
        <v/>
      </c>
      <c r="L1801" s="25" t="str">
        <f>IFERROR(INDEX(#REF!,MATCH(O1801,#REF!,0)),"")</f>
        <v/>
      </c>
      <c r="P1801" s="27" t="str">
        <f>IFERROR(INDEX(#REF!,MATCH($O1801,#REF!,0)),"")</f>
        <v/>
      </c>
      <c r="Q1801" s="27" t="str">
        <f>IFERROR(INDEX(#REF!,MATCH($O1801,#REF!,0)),"")</f>
        <v/>
      </c>
      <c r="R1801" s="52" t="str">
        <f>IFERROR(IF(AR1802=AR1801,INDEX(#REF!,MATCH($O1801,#REF!,0))-IF(AN1801="",0,AN1801)+AP1802,INDEX(#REF!,MATCH($O1801,#REF!,0))-IF(AN1801="",0,AN1801)),"")</f>
        <v/>
      </c>
      <c r="S1801" s="53" t="str">
        <f t="shared" si="896"/>
        <v/>
      </c>
      <c r="T1801" s="52" t="str">
        <f t="shared" si="897"/>
        <v/>
      </c>
      <c r="U1801" s="52" t="str">
        <f>IFERROR(IF(AR1802=AR1801,INDEX(#REF!,MATCH($O1801,#REF!,0))-IF(AN1801="",0,AN1801)+AP1802,INDEX(#REF!,MATCH($O1801,#REF!,0))-IF(AN1801="",0,AN1801)),"")</f>
        <v/>
      </c>
      <c r="V1801" s="53" t="str">
        <f t="shared" si="898"/>
        <v/>
      </c>
      <c r="W1801" s="52" t="str">
        <f t="shared" si="899"/>
        <v/>
      </c>
      <c r="X1801" s="52" t="str">
        <f>IFERROR(IF(AND(AR1802=AR1801,AM1801&lt;&gt;""),INDEX(#REF!,MATCH($O1801,#REF!,0))-IF(AN1801="",0,AN1801)+AP1802+AD1801+AL1801,IF(AR1802=AR1801,INDEX(#REF!,MATCH($O1801,#REF!,0))-IF(AN1801="",0,AN1801)+AP1802+AD1801,IF(AM1801&lt;&gt;"",INDEX(#REF!,MATCH($O1801,#REF!,0))-IF(AN1801="",0,AN1801)+AD1801+AL1801,INDEX(#REF!,MATCH($O1801,#REF!,0))-IF(AN1801="",0,AN1801)+AD1801))),"")</f>
        <v/>
      </c>
      <c r="Y1801" s="53" t="str">
        <f t="shared" si="900"/>
        <v/>
      </c>
      <c r="Z1801" s="52" t="str">
        <f>IF(L1801="","",INDEX(#REF!,MATCH($O1801,#REF!,0)))</f>
        <v/>
      </c>
      <c r="AA1801" s="52" t="str">
        <f t="shared" si="901"/>
        <v/>
      </c>
      <c r="AB1801" s="52" t="str">
        <f>IFERROR(INDEX(#REF!,MATCH($O1801,#REF!,0)),"")</f>
        <v/>
      </c>
      <c r="AC1801" s="52" t="str">
        <f>IFERROR(IF(O1801="","",SUMIFS('CPL Mats'!F:F,'CPL Mats'!Q:Q,AR1801,'CPL Mats'!S:S,AS1801)),"")</f>
        <v/>
      </c>
      <c r="AF1801" s="25" t="e">
        <f>IF(SUMIFS(#REF!,#REF!,"Releasable",#REF!,O1801)=0,"",SUMIFS(#REF!,#REF!,"Releasable",#REF!,O1801))</f>
        <v>#REF!</v>
      </c>
      <c r="AG1801" s="25" t="str">
        <f>IFERROR(INDEX(#REF!,MATCH(O1801,#REF!,0)),"")</f>
        <v/>
      </c>
      <c r="AH1801" s="25" t="str">
        <f>IFERROR(INDEX(#REF!,MATCH($O1801,#REF!,0)),"")</f>
        <v/>
      </c>
      <c r="AI1801" s="25" t="e">
        <f>IF(SUMIFS(#REF!,#REF!,"Expires this month",#REF!,O1801)=0,"",SUMIFS(#REF!,#REF!,"Expires this month",#REF!,O1801))</f>
        <v>#REF!</v>
      </c>
      <c r="AJ1801" s="25" t="e">
        <f>IF(SUMIFS(#REF!,#REF!,"Expired Previous Months",#REF!,O1801)=0,"",SUMIFS(#REF!,#REF!,"Expired Previous Months",#REF!,O1801))</f>
        <v>#REF!</v>
      </c>
      <c r="AK1801" s="25" t="str">
        <f>IFERROR(INDEX('Hun Release Current'!B:B,MATCH(O1801,'Hun Release Current'!A:A,0)),"")</f>
        <v/>
      </c>
      <c r="AL1801" s="25" t="str">
        <f>IF(SUMIF('Prev Aub'!A:A,O1801,'Prev Aub'!B:B)=0,"",SUMIF('Prev Aub'!A:A,O1801,'Prev Aub'!B:B))</f>
        <v/>
      </c>
      <c r="AN1801" s="25" t="s">
        <v>3790</v>
      </c>
      <c r="AO1801" s="25" t="s">
        <v>3790</v>
      </c>
      <c r="AP1801" s="25" t="str">
        <f t="shared" si="923"/>
        <v/>
      </c>
      <c r="AQ1801" s="151" t="e">
        <f>IF(SUMIFS(#REF!,#REF!,O1801,#REF!,"PENDING")=0,"",SUMIFS(#REF!,#REF!,O1801,#REF!,"PENDING"))</f>
        <v>#REF!</v>
      </c>
      <c r="AR1801" s="27" t="str">
        <f t="shared" si="902"/>
        <v/>
      </c>
      <c r="AS1801" s="27" t="str">
        <f t="shared" si="903"/>
        <v/>
      </c>
      <c r="AT1801" s="27" t="str">
        <f t="shared" si="904"/>
        <v/>
      </c>
      <c r="AU1801" s="27" t="str">
        <f t="shared" si="905"/>
        <v/>
      </c>
      <c r="AV1801" s="27" t="str">
        <f t="shared" si="906"/>
        <v/>
      </c>
      <c r="AW1801" s="27" t="e">
        <f t="shared" si="907"/>
        <v>#REF!</v>
      </c>
      <c r="AX1801" s="27" t="e">
        <f t="shared" si="908"/>
        <v>#REF!</v>
      </c>
      <c r="AY1801" s="27" t="str">
        <f t="shared" si="909"/>
        <v/>
      </c>
      <c r="AZ1801" s="27" t="str">
        <f t="shared" si="910"/>
        <v/>
      </c>
      <c r="BA1801" s="27" t="str">
        <f t="shared" si="911"/>
        <v/>
      </c>
      <c r="BB1801" s="27" t="str">
        <f t="shared" si="912"/>
        <v/>
      </c>
      <c r="BC1801" s="27" t="str">
        <f t="shared" si="913"/>
        <v/>
      </c>
      <c r="BD1801" s="27" t="str">
        <f t="shared" si="914"/>
        <v/>
      </c>
      <c r="BE1801" s="27" t="str">
        <f t="shared" si="915"/>
        <v/>
      </c>
      <c r="BF1801" s="27" t="str">
        <f t="shared" si="916"/>
        <v/>
      </c>
      <c r="BG1801" s="27" t="str">
        <f t="shared" si="917"/>
        <v/>
      </c>
      <c r="BH1801" s="27" t="str">
        <f t="shared" si="918"/>
        <v/>
      </c>
      <c r="BI1801" s="27" t="str">
        <f t="shared" si="919"/>
        <v/>
      </c>
      <c r="BJ1801" s="27" t="str">
        <f t="shared" si="920"/>
        <v/>
      </c>
      <c r="BK1801" s="27" t="str">
        <f t="shared" si="921"/>
        <v/>
      </c>
      <c r="BL1801" s="27" t="str">
        <f t="shared" si="922"/>
        <v/>
      </c>
      <c r="BM1801" s="21" t="s">
        <v>3790</v>
      </c>
    </row>
    <row r="1802" spans="1:65" ht="15">
      <c r="A1802" s="25" t="str">
        <f>IFERROR(INDEX(#REF!,MATCH(O1802,#REF!,0)),"")</f>
        <v/>
      </c>
      <c r="B1802" s="25" t="str">
        <f>IFERROR(INDEX(#REF!,MATCH(O1802,#REF!,0)),"")</f>
        <v/>
      </c>
      <c r="C1802" s="25" t="str">
        <f>IFERROR(INDEX(#REF!,MATCH(O1802,#REF!,0)),"")</f>
        <v/>
      </c>
      <c r="D1802" s="25" t="str">
        <f>IFERROR(INDEX(#REF!,MATCH(O1802,#REF!,0)),"")</f>
        <v/>
      </c>
      <c r="E1802" s="25" t="str">
        <f>IFERROR(INDEX(#REF!,MATCH(O1802,#REF!,0)),"")</f>
        <v/>
      </c>
      <c r="F1802" s="25" t="str">
        <f>IFERROR(INDEX(#REF!,MATCH(O1802,#REF!,0)),"")</f>
        <v/>
      </c>
      <c r="G1802" s="25" t="str">
        <f>IFERROR(INDEX(#REF!,MATCH(O1802,#REF!,0)),"")</f>
        <v/>
      </c>
      <c r="H1802" s="25" t="str">
        <f>IFERROR(INDEX(#REF!,MATCH(O1802,#REF!,0)),"")</f>
        <v/>
      </c>
      <c r="I1802" s="25" t="str">
        <f>IFERROR(INDEX(#REF!,MATCH(O1802,#REF!,0)),"")</f>
        <v/>
      </c>
      <c r="J1802" s="25" t="str">
        <f>IFERROR(INDEX(#REF!,MATCH(O1802,#REF!,0)),"")</f>
        <v/>
      </c>
      <c r="K1802" s="25" t="str">
        <f>IFERROR(INDEX(#REF!,MATCH(O1802,#REF!,0)),"")</f>
        <v/>
      </c>
      <c r="L1802" s="25" t="str">
        <f>IFERROR(INDEX(#REF!,MATCH(O1802,#REF!,0)),"")</f>
        <v/>
      </c>
      <c r="P1802" s="27" t="str">
        <f>IFERROR(INDEX(#REF!,MATCH($O1802,#REF!,0)),"")</f>
        <v/>
      </c>
      <c r="Q1802" s="27" t="str">
        <f>IFERROR(INDEX(#REF!,MATCH($O1802,#REF!,0)),"")</f>
        <v/>
      </c>
      <c r="R1802" s="52" t="str">
        <f>IFERROR(IF(AR1803=AR1802,INDEX(#REF!,MATCH($O1802,#REF!,0))-IF(AN1802="",0,AN1802)+AP1803,INDEX(#REF!,MATCH($O1802,#REF!,0))-IF(AN1802="",0,AN1802)),"")</f>
        <v/>
      </c>
      <c r="S1802" s="53" t="str">
        <f t="shared" si="896"/>
        <v/>
      </c>
      <c r="T1802" s="52" t="str">
        <f t="shared" si="897"/>
        <v/>
      </c>
      <c r="U1802" s="52" t="str">
        <f>IFERROR(IF(AR1803=AR1802,INDEX(#REF!,MATCH($O1802,#REF!,0))-IF(AN1802="",0,AN1802)+AP1803,INDEX(#REF!,MATCH($O1802,#REF!,0))-IF(AN1802="",0,AN1802)),"")</f>
        <v/>
      </c>
      <c r="V1802" s="53" t="str">
        <f t="shared" si="898"/>
        <v/>
      </c>
      <c r="W1802" s="52" t="str">
        <f t="shared" si="899"/>
        <v/>
      </c>
      <c r="X1802" s="52" t="str">
        <f>IFERROR(IF(AND(AR1803=AR1802,AM1802&lt;&gt;""),INDEX(#REF!,MATCH($O1802,#REF!,0))-IF(AN1802="",0,AN1802)+AP1803+AD1802+AL1802,IF(AR1803=AR1802,INDEX(#REF!,MATCH($O1802,#REF!,0))-IF(AN1802="",0,AN1802)+AP1803+AD1802,IF(AM1802&lt;&gt;"",INDEX(#REF!,MATCH($O1802,#REF!,0))-IF(AN1802="",0,AN1802)+AD1802+AL1802,INDEX(#REF!,MATCH($O1802,#REF!,0))-IF(AN1802="",0,AN1802)+AD1802))),"")</f>
        <v/>
      </c>
      <c r="Y1802" s="53" t="str">
        <f t="shared" si="900"/>
        <v/>
      </c>
      <c r="Z1802" s="52" t="str">
        <f>IF(L1802="","",INDEX(#REF!,MATCH($O1802,#REF!,0)))</f>
        <v/>
      </c>
      <c r="AA1802" s="52" t="str">
        <f t="shared" si="901"/>
        <v/>
      </c>
      <c r="AB1802" s="52" t="str">
        <f>IFERROR(INDEX(#REF!,MATCH($O1802,#REF!,0)),"")</f>
        <v/>
      </c>
      <c r="AC1802" s="52" t="str">
        <f>IFERROR(IF(O1802="","",SUMIFS('CPL Mats'!F:F,'CPL Mats'!Q:Q,AR1802,'CPL Mats'!S:S,AS1802)),"")</f>
        <v/>
      </c>
      <c r="AF1802" s="25" t="e">
        <f>IF(SUMIFS(#REF!,#REF!,"Releasable",#REF!,O1802)=0,"",SUMIFS(#REF!,#REF!,"Releasable",#REF!,O1802))</f>
        <v>#REF!</v>
      </c>
      <c r="AG1802" s="25" t="str">
        <f>IFERROR(INDEX(#REF!,MATCH(O1802,#REF!,0)),"")</f>
        <v/>
      </c>
      <c r="AH1802" s="25" t="str">
        <f>IFERROR(INDEX(#REF!,MATCH($O1802,#REF!,0)),"")</f>
        <v/>
      </c>
      <c r="AI1802" s="25" t="e">
        <f>IF(SUMIFS(#REF!,#REF!,"Expires this month",#REF!,O1802)=0,"",SUMIFS(#REF!,#REF!,"Expires this month",#REF!,O1802))</f>
        <v>#REF!</v>
      </c>
      <c r="AJ1802" s="25" t="e">
        <f>IF(SUMIFS(#REF!,#REF!,"Expired Previous Months",#REF!,O1802)=0,"",SUMIFS(#REF!,#REF!,"Expired Previous Months",#REF!,O1802))</f>
        <v>#REF!</v>
      </c>
      <c r="AK1802" s="25" t="str">
        <f>IFERROR(INDEX('Hun Release Current'!B:B,MATCH(O1802,'Hun Release Current'!A:A,0)),"")</f>
        <v/>
      </c>
      <c r="AL1802" s="25" t="str">
        <f>IF(SUMIF('Prev Aub'!A:A,O1802,'Prev Aub'!B:B)=0,"",SUMIF('Prev Aub'!A:A,O1802,'Prev Aub'!B:B))</f>
        <v/>
      </c>
      <c r="AN1802" s="25" t="s">
        <v>3790</v>
      </c>
      <c r="AO1802" s="25" t="s">
        <v>3790</v>
      </c>
      <c r="AP1802" s="25" t="str">
        <f t="shared" si="923"/>
        <v/>
      </c>
      <c r="AQ1802" s="151" t="e">
        <f>IF(SUMIFS(#REF!,#REF!,O1802,#REF!,"PENDING")=0,"",SUMIFS(#REF!,#REF!,O1802,#REF!,"PENDING"))</f>
        <v>#REF!</v>
      </c>
      <c r="AR1802" s="27" t="str">
        <f t="shared" si="902"/>
        <v/>
      </c>
      <c r="AS1802" s="27" t="str">
        <f t="shared" si="903"/>
        <v/>
      </c>
      <c r="AT1802" s="27" t="str">
        <f t="shared" si="904"/>
        <v/>
      </c>
      <c r="AU1802" s="27" t="str">
        <f t="shared" si="905"/>
        <v/>
      </c>
      <c r="AV1802" s="27" t="str">
        <f t="shared" si="906"/>
        <v/>
      </c>
      <c r="AW1802" s="27" t="e">
        <f t="shared" si="907"/>
        <v>#REF!</v>
      </c>
      <c r="AX1802" s="27" t="e">
        <f t="shared" si="908"/>
        <v>#REF!</v>
      </c>
      <c r="AY1802" s="27" t="str">
        <f t="shared" si="909"/>
        <v/>
      </c>
      <c r="AZ1802" s="27" t="str">
        <f t="shared" si="910"/>
        <v/>
      </c>
      <c r="BA1802" s="27" t="str">
        <f t="shared" si="911"/>
        <v/>
      </c>
      <c r="BB1802" s="27" t="str">
        <f t="shared" si="912"/>
        <v/>
      </c>
      <c r="BC1802" s="27" t="str">
        <f t="shared" si="913"/>
        <v/>
      </c>
      <c r="BD1802" s="27" t="str">
        <f t="shared" si="914"/>
        <v/>
      </c>
      <c r="BE1802" s="27" t="str">
        <f t="shared" si="915"/>
        <v/>
      </c>
      <c r="BF1802" s="27" t="str">
        <f t="shared" si="916"/>
        <v/>
      </c>
      <c r="BG1802" s="27" t="str">
        <f t="shared" si="917"/>
        <v/>
      </c>
      <c r="BH1802" s="27" t="str">
        <f t="shared" si="918"/>
        <v/>
      </c>
      <c r="BI1802" s="27" t="str">
        <f t="shared" si="919"/>
        <v/>
      </c>
      <c r="BJ1802" s="27" t="str">
        <f t="shared" si="920"/>
        <v/>
      </c>
      <c r="BK1802" s="27" t="str">
        <f t="shared" si="921"/>
        <v/>
      </c>
      <c r="BL1802" s="27" t="str">
        <f t="shared" si="922"/>
        <v/>
      </c>
      <c r="BM1802" s="21" t="s">
        <v>3790</v>
      </c>
    </row>
    <row r="1803" spans="1:65" ht="15">
      <c r="A1803" s="25" t="str">
        <f>IFERROR(INDEX(#REF!,MATCH(O1803,#REF!,0)),"")</f>
        <v/>
      </c>
      <c r="B1803" s="25" t="str">
        <f>IFERROR(INDEX(#REF!,MATCH(O1803,#REF!,0)),"")</f>
        <v/>
      </c>
      <c r="C1803" s="25" t="str">
        <f>IFERROR(INDEX(#REF!,MATCH(O1803,#REF!,0)),"")</f>
        <v/>
      </c>
      <c r="D1803" s="25" t="str">
        <f>IFERROR(INDEX(#REF!,MATCH(O1803,#REF!,0)),"")</f>
        <v/>
      </c>
      <c r="E1803" s="25" t="str">
        <f>IFERROR(INDEX(#REF!,MATCH(O1803,#REF!,0)),"")</f>
        <v/>
      </c>
      <c r="F1803" s="25" t="str">
        <f>IFERROR(INDEX(#REF!,MATCH(O1803,#REF!,0)),"")</f>
        <v/>
      </c>
      <c r="G1803" s="25" t="str">
        <f>IFERROR(INDEX(#REF!,MATCH(O1803,#REF!,0)),"")</f>
        <v/>
      </c>
      <c r="H1803" s="25" t="str">
        <f>IFERROR(INDEX(#REF!,MATCH(O1803,#REF!,0)),"")</f>
        <v/>
      </c>
      <c r="I1803" s="25" t="str">
        <f>IFERROR(INDEX(#REF!,MATCH(O1803,#REF!,0)),"")</f>
        <v/>
      </c>
      <c r="J1803" s="25" t="str">
        <f>IFERROR(INDEX(#REF!,MATCH(O1803,#REF!,0)),"")</f>
        <v/>
      </c>
      <c r="K1803" s="25" t="str">
        <f>IFERROR(INDEX(#REF!,MATCH(O1803,#REF!,0)),"")</f>
        <v/>
      </c>
      <c r="L1803" s="25" t="str">
        <f>IFERROR(INDEX(#REF!,MATCH(O1803,#REF!,0)),"")</f>
        <v/>
      </c>
      <c r="P1803" s="27" t="str">
        <f>IFERROR(INDEX(#REF!,MATCH($O1803,#REF!,0)),"")</f>
        <v/>
      </c>
      <c r="Q1803" s="27" t="str">
        <f>IFERROR(INDEX(#REF!,MATCH($O1803,#REF!,0)),"")</f>
        <v/>
      </c>
      <c r="R1803" s="52" t="str">
        <f>IFERROR(IF(AR1804=AR1803,INDEX(#REF!,MATCH($O1803,#REF!,0))-IF(AN1803="",0,AN1803)+AP1804,INDEX(#REF!,MATCH($O1803,#REF!,0))-IF(AN1803="",0,AN1803)),"")</f>
        <v/>
      </c>
      <c r="S1803" s="53" t="str">
        <f t="shared" si="896"/>
        <v/>
      </c>
      <c r="T1803" s="52" t="str">
        <f t="shared" si="897"/>
        <v/>
      </c>
      <c r="U1803" s="52" t="str">
        <f>IFERROR(IF(AR1804=AR1803,INDEX(#REF!,MATCH($O1803,#REF!,0))-IF(AN1803="",0,AN1803)+AP1804,INDEX(#REF!,MATCH($O1803,#REF!,0))-IF(AN1803="",0,AN1803)),"")</f>
        <v/>
      </c>
      <c r="V1803" s="53" t="str">
        <f t="shared" si="898"/>
        <v/>
      </c>
      <c r="W1803" s="52" t="str">
        <f t="shared" si="899"/>
        <v/>
      </c>
      <c r="X1803" s="52" t="str">
        <f>IFERROR(IF(AND(AR1804=AR1803,AM1803&lt;&gt;""),INDEX(#REF!,MATCH($O1803,#REF!,0))-IF(AN1803="",0,AN1803)+AP1804+AD1803+AL1803,IF(AR1804=AR1803,INDEX(#REF!,MATCH($O1803,#REF!,0))-IF(AN1803="",0,AN1803)+AP1804+AD1803,IF(AM1803&lt;&gt;"",INDEX(#REF!,MATCH($O1803,#REF!,0))-IF(AN1803="",0,AN1803)+AD1803+AL1803,INDEX(#REF!,MATCH($O1803,#REF!,0))-IF(AN1803="",0,AN1803)+AD1803))),"")</f>
        <v/>
      </c>
      <c r="Y1803" s="53" t="str">
        <f t="shared" si="900"/>
        <v/>
      </c>
      <c r="Z1803" s="52" t="str">
        <f>IF(L1803="","",INDEX(#REF!,MATCH($O1803,#REF!,0)))</f>
        <v/>
      </c>
      <c r="AA1803" s="52" t="str">
        <f t="shared" si="901"/>
        <v/>
      </c>
      <c r="AB1803" s="52" t="str">
        <f>IFERROR(INDEX(#REF!,MATCH($O1803,#REF!,0)),"")</f>
        <v/>
      </c>
      <c r="AC1803" s="52" t="str">
        <f>IFERROR(IF(O1803="","",SUMIFS('CPL Mats'!F:F,'CPL Mats'!Q:Q,AR1803,'CPL Mats'!S:S,AS1803)),"")</f>
        <v/>
      </c>
      <c r="AF1803" s="25" t="e">
        <f>IF(SUMIFS(#REF!,#REF!,"Releasable",#REF!,O1803)=0,"",SUMIFS(#REF!,#REF!,"Releasable",#REF!,O1803))</f>
        <v>#REF!</v>
      </c>
      <c r="AG1803" s="25" t="str">
        <f>IFERROR(INDEX(#REF!,MATCH(O1803,#REF!,0)),"")</f>
        <v/>
      </c>
      <c r="AH1803" s="25" t="str">
        <f>IFERROR(INDEX(#REF!,MATCH($O1803,#REF!,0)),"")</f>
        <v/>
      </c>
      <c r="AI1803" s="25" t="e">
        <f>IF(SUMIFS(#REF!,#REF!,"Expires this month",#REF!,O1803)=0,"",SUMIFS(#REF!,#REF!,"Expires this month",#REF!,O1803))</f>
        <v>#REF!</v>
      </c>
      <c r="AJ1803" s="25" t="e">
        <f>IF(SUMIFS(#REF!,#REF!,"Expired Previous Months",#REF!,O1803)=0,"",SUMIFS(#REF!,#REF!,"Expired Previous Months",#REF!,O1803))</f>
        <v>#REF!</v>
      </c>
      <c r="AK1803" s="25" t="str">
        <f>IFERROR(INDEX('Hun Release Current'!B:B,MATCH(O1803,'Hun Release Current'!A:A,0)),"")</f>
        <v/>
      </c>
      <c r="AL1803" s="25" t="str">
        <f>IF(SUMIF('Prev Aub'!A:A,O1803,'Prev Aub'!B:B)=0,"",SUMIF('Prev Aub'!A:A,O1803,'Prev Aub'!B:B))</f>
        <v/>
      </c>
      <c r="AN1803" s="25" t="s">
        <v>3790</v>
      </c>
      <c r="AO1803" s="25" t="s">
        <v>3790</v>
      </c>
      <c r="AP1803" s="25" t="str">
        <f t="shared" si="923"/>
        <v/>
      </c>
      <c r="AQ1803" s="151" t="e">
        <f>IF(SUMIFS(#REF!,#REF!,O1803,#REF!,"PENDING")=0,"",SUMIFS(#REF!,#REF!,O1803,#REF!,"PENDING"))</f>
        <v>#REF!</v>
      </c>
      <c r="AR1803" s="27" t="str">
        <f t="shared" si="902"/>
        <v/>
      </c>
      <c r="AS1803" s="27" t="str">
        <f t="shared" si="903"/>
        <v/>
      </c>
      <c r="AT1803" s="27" t="str">
        <f t="shared" si="904"/>
        <v/>
      </c>
      <c r="AU1803" s="27" t="str">
        <f t="shared" si="905"/>
        <v/>
      </c>
      <c r="AV1803" s="27" t="str">
        <f t="shared" si="906"/>
        <v/>
      </c>
      <c r="AW1803" s="27" t="e">
        <f t="shared" si="907"/>
        <v>#REF!</v>
      </c>
      <c r="AX1803" s="27" t="e">
        <f t="shared" si="908"/>
        <v>#REF!</v>
      </c>
      <c r="AY1803" s="27" t="str">
        <f t="shared" si="909"/>
        <v/>
      </c>
      <c r="AZ1803" s="27" t="str">
        <f t="shared" si="910"/>
        <v/>
      </c>
      <c r="BA1803" s="27" t="str">
        <f t="shared" si="911"/>
        <v/>
      </c>
      <c r="BB1803" s="27" t="str">
        <f t="shared" si="912"/>
        <v/>
      </c>
      <c r="BC1803" s="27" t="str">
        <f t="shared" si="913"/>
        <v/>
      </c>
      <c r="BD1803" s="27" t="str">
        <f t="shared" si="914"/>
        <v/>
      </c>
      <c r="BE1803" s="27" t="str">
        <f t="shared" si="915"/>
        <v/>
      </c>
      <c r="BF1803" s="27" t="str">
        <f t="shared" si="916"/>
        <v/>
      </c>
      <c r="BG1803" s="27" t="str">
        <f t="shared" si="917"/>
        <v/>
      </c>
      <c r="BH1803" s="27" t="str">
        <f t="shared" si="918"/>
        <v/>
      </c>
      <c r="BI1803" s="27" t="str">
        <f t="shared" si="919"/>
        <v/>
      </c>
      <c r="BJ1803" s="27" t="str">
        <f t="shared" si="920"/>
        <v/>
      </c>
      <c r="BK1803" s="27" t="str">
        <f t="shared" si="921"/>
        <v/>
      </c>
      <c r="BL1803" s="27" t="str">
        <f t="shared" si="922"/>
        <v/>
      </c>
      <c r="BM1803" s="21" t="s">
        <v>3790</v>
      </c>
    </row>
    <row r="1804" spans="1:65" ht="15">
      <c r="A1804" s="25" t="str">
        <f>IFERROR(INDEX(#REF!,MATCH(O1804,#REF!,0)),"")</f>
        <v/>
      </c>
      <c r="B1804" s="25" t="str">
        <f>IFERROR(INDEX(#REF!,MATCH(O1804,#REF!,0)),"")</f>
        <v/>
      </c>
      <c r="C1804" s="25" t="str">
        <f>IFERROR(INDEX(#REF!,MATCH(O1804,#REF!,0)),"")</f>
        <v/>
      </c>
      <c r="D1804" s="25" t="str">
        <f>IFERROR(INDEX(#REF!,MATCH(O1804,#REF!,0)),"")</f>
        <v/>
      </c>
      <c r="E1804" s="25" t="str">
        <f>IFERROR(INDEX(#REF!,MATCH(O1804,#REF!,0)),"")</f>
        <v/>
      </c>
      <c r="F1804" s="25" t="str">
        <f>IFERROR(INDEX(#REF!,MATCH(O1804,#REF!,0)),"")</f>
        <v/>
      </c>
      <c r="G1804" s="25" t="str">
        <f>IFERROR(INDEX(#REF!,MATCH(O1804,#REF!,0)),"")</f>
        <v/>
      </c>
      <c r="H1804" s="25" t="str">
        <f>IFERROR(INDEX(#REF!,MATCH(O1804,#REF!,0)),"")</f>
        <v/>
      </c>
      <c r="I1804" s="25" t="str">
        <f>IFERROR(INDEX(#REF!,MATCH(O1804,#REF!,0)),"")</f>
        <v/>
      </c>
      <c r="J1804" s="25" t="str">
        <f>IFERROR(INDEX(#REF!,MATCH(O1804,#REF!,0)),"")</f>
        <v/>
      </c>
      <c r="K1804" s="25" t="str">
        <f>IFERROR(INDEX(#REF!,MATCH(O1804,#REF!,0)),"")</f>
        <v/>
      </c>
      <c r="L1804" s="25" t="str">
        <f>IFERROR(INDEX(#REF!,MATCH(O1804,#REF!,0)),"")</f>
        <v/>
      </c>
      <c r="P1804" s="27" t="str">
        <f>IFERROR(INDEX(#REF!,MATCH($O1804,#REF!,0)),"")</f>
        <v/>
      </c>
      <c r="Q1804" s="27" t="str">
        <f>IFERROR(INDEX(#REF!,MATCH($O1804,#REF!,0)),"")</f>
        <v/>
      </c>
      <c r="R1804" s="52" t="str">
        <f>IFERROR(IF(AR1805=AR1804,INDEX(#REF!,MATCH($O1804,#REF!,0))-IF(AN1804="",0,AN1804)+AP1805,INDEX(#REF!,MATCH($O1804,#REF!,0))-IF(AN1804="",0,AN1804)),"")</f>
        <v/>
      </c>
      <c r="S1804" s="53" t="str">
        <f t="shared" si="896"/>
        <v/>
      </c>
      <c r="T1804" s="52" t="str">
        <f t="shared" si="897"/>
        <v/>
      </c>
      <c r="U1804" s="52" t="str">
        <f>IFERROR(IF(AR1805=AR1804,INDEX(#REF!,MATCH($O1804,#REF!,0))-IF(AN1804="",0,AN1804)+AP1805,INDEX(#REF!,MATCH($O1804,#REF!,0))-IF(AN1804="",0,AN1804)),"")</f>
        <v/>
      </c>
      <c r="V1804" s="53" t="str">
        <f t="shared" si="898"/>
        <v/>
      </c>
      <c r="W1804" s="52" t="str">
        <f t="shared" si="899"/>
        <v/>
      </c>
      <c r="X1804" s="52" t="str">
        <f>IFERROR(IF(AND(AR1805=AR1804,AM1804&lt;&gt;""),INDEX(#REF!,MATCH($O1804,#REF!,0))-IF(AN1804="",0,AN1804)+AP1805+AD1804+AL1804,IF(AR1805=AR1804,INDEX(#REF!,MATCH($O1804,#REF!,0))-IF(AN1804="",0,AN1804)+AP1805+AD1804,IF(AM1804&lt;&gt;"",INDEX(#REF!,MATCH($O1804,#REF!,0))-IF(AN1804="",0,AN1804)+AD1804+AL1804,INDEX(#REF!,MATCH($O1804,#REF!,0))-IF(AN1804="",0,AN1804)+AD1804))),"")</f>
        <v/>
      </c>
      <c r="Y1804" s="53" t="str">
        <f t="shared" si="900"/>
        <v/>
      </c>
      <c r="Z1804" s="52" t="str">
        <f>IF(L1804="","",INDEX(#REF!,MATCH($O1804,#REF!,0)))</f>
        <v/>
      </c>
      <c r="AA1804" s="52" t="str">
        <f t="shared" si="901"/>
        <v/>
      </c>
      <c r="AB1804" s="52" t="str">
        <f>IFERROR(INDEX(#REF!,MATCH($O1804,#REF!,0)),"")</f>
        <v/>
      </c>
      <c r="AC1804" s="52" t="str">
        <f>IFERROR(IF(O1804="","",SUMIFS('CPL Mats'!F:F,'CPL Mats'!Q:Q,AR1804,'CPL Mats'!S:S,AS1804)),"")</f>
        <v/>
      </c>
      <c r="AF1804" s="25" t="e">
        <f>IF(SUMIFS(#REF!,#REF!,"Releasable",#REF!,O1804)=0,"",SUMIFS(#REF!,#REF!,"Releasable",#REF!,O1804))</f>
        <v>#REF!</v>
      </c>
      <c r="AG1804" s="25" t="str">
        <f>IFERROR(INDEX(#REF!,MATCH(O1804,#REF!,0)),"")</f>
        <v/>
      </c>
      <c r="AH1804" s="25" t="str">
        <f>IFERROR(INDEX(#REF!,MATCH($O1804,#REF!,0)),"")</f>
        <v/>
      </c>
      <c r="AI1804" s="25" t="e">
        <f>IF(SUMIFS(#REF!,#REF!,"Expires this month",#REF!,O1804)=0,"",SUMIFS(#REF!,#REF!,"Expires this month",#REF!,O1804))</f>
        <v>#REF!</v>
      </c>
      <c r="AJ1804" s="25" t="e">
        <f>IF(SUMIFS(#REF!,#REF!,"Expired Previous Months",#REF!,O1804)=0,"",SUMIFS(#REF!,#REF!,"Expired Previous Months",#REF!,O1804))</f>
        <v>#REF!</v>
      </c>
      <c r="AK1804" s="25" t="str">
        <f>IFERROR(INDEX('Hun Release Current'!B:B,MATCH(O1804,'Hun Release Current'!A:A,0)),"")</f>
        <v/>
      </c>
      <c r="AL1804" s="25" t="str">
        <f>IF(SUMIF('Prev Aub'!A:A,O1804,'Prev Aub'!B:B)=0,"",SUMIF('Prev Aub'!A:A,O1804,'Prev Aub'!B:B))</f>
        <v/>
      </c>
      <c r="AN1804" s="25" t="s">
        <v>3790</v>
      </c>
      <c r="AO1804" s="25" t="s">
        <v>3790</v>
      </c>
      <c r="AP1804" s="25" t="str">
        <f t="shared" si="923"/>
        <v/>
      </c>
      <c r="AQ1804" s="151" t="e">
        <f>IF(SUMIFS(#REF!,#REF!,O1804,#REF!,"PENDING")=0,"",SUMIFS(#REF!,#REF!,O1804,#REF!,"PENDING"))</f>
        <v>#REF!</v>
      </c>
      <c r="AR1804" s="27" t="str">
        <f t="shared" si="902"/>
        <v/>
      </c>
      <c r="AS1804" s="27" t="str">
        <f t="shared" si="903"/>
        <v/>
      </c>
      <c r="AT1804" s="27" t="str">
        <f t="shared" si="904"/>
        <v/>
      </c>
      <c r="AU1804" s="27" t="str">
        <f t="shared" si="905"/>
        <v/>
      </c>
      <c r="AV1804" s="27" t="str">
        <f t="shared" si="906"/>
        <v/>
      </c>
      <c r="AW1804" s="27" t="e">
        <f t="shared" si="907"/>
        <v>#REF!</v>
      </c>
      <c r="AX1804" s="27" t="e">
        <f t="shared" si="908"/>
        <v>#REF!</v>
      </c>
      <c r="AY1804" s="27" t="str">
        <f t="shared" si="909"/>
        <v/>
      </c>
      <c r="AZ1804" s="27" t="str">
        <f t="shared" si="910"/>
        <v/>
      </c>
      <c r="BA1804" s="27" t="str">
        <f t="shared" si="911"/>
        <v/>
      </c>
      <c r="BB1804" s="27" t="str">
        <f t="shared" si="912"/>
        <v/>
      </c>
      <c r="BC1804" s="27" t="str">
        <f t="shared" si="913"/>
        <v/>
      </c>
      <c r="BD1804" s="27" t="str">
        <f t="shared" si="914"/>
        <v/>
      </c>
      <c r="BE1804" s="27" t="str">
        <f t="shared" si="915"/>
        <v/>
      </c>
      <c r="BF1804" s="27" t="str">
        <f t="shared" si="916"/>
        <v/>
      </c>
      <c r="BG1804" s="27" t="str">
        <f t="shared" si="917"/>
        <v/>
      </c>
      <c r="BH1804" s="27" t="str">
        <f t="shared" si="918"/>
        <v/>
      </c>
      <c r="BI1804" s="27" t="str">
        <f t="shared" si="919"/>
        <v/>
      </c>
      <c r="BJ1804" s="27" t="str">
        <f t="shared" si="920"/>
        <v/>
      </c>
      <c r="BK1804" s="27" t="str">
        <f t="shared" si="921"/>
        <v/>
      </c>
      <c r="BL1804" s="27" t="str">
        <f t="shared" si="922"/>
        <v/>
      </c>
      <c r="BM1804" s="21" t="s">
        <v>3790</v>
      </c>
    </row>
    <row r="1805" spans="1:65" ht="15">
      <c r="A1805" s="25" t="str">
        <f>IFERROR(INDEX(#REF!,MATCH(O1805,#REF!,0)),"")</f>
        <v/>
      </c>
      <c r="B1805" s="25" t="str">
        <f>IFERROR(INDEX(#REF!,MATCH(O1805,#REF!,0)),"")</f>
        <v/>
      </c>
      <c r="C1805" s="25" t="str">
        <f>IFERROR(INDEX(#REF!,MATCH(O1805,#REF!,0)),"")</f>
        <v/>
      </c>
      <c r="D1805" s="25" t="str">
        <f>IFERROR(INDEX(#REF!,MATCH(O1805,#REF!,0)),"")</f>
        <v/>
      </c>
      <c r="E1805" s="25" t="str">
        <f>IFERROR(INDEX(#REF!,MATCH(O1805,#REF!,0)),"")</f>
        <v/>
      </c>
      <c r="F1805" s="25" t="str">
        <f>IFERROR(INDEX(#REF!,MATCH(O1805,#REF!,0)),"")</f>
        <v/>
      </c>
      <c r="G1805" s="25" t="str">
        <f>IFERROR(INDEX(#REF!,MATCH(O1805,#REF!,0)),"")</f>
        <v/>
      </c>
      <c r="H1805" s="25" t="str">
        <f>IFERROR(INDEX(#REF!,MATCH(O1805,#REF!,0)),"")</f>
        <v/>
      </c>
      <c r="I1805" s="25" t="str">
        <f>IFERROR(INDEX(#REF!,MATCH(O1805,#REF!,0)),"")</f>
        <v/>
      </c>
      <c r="J1805" s="25" t="str">
        <f>IFERROR(INDEX(#REF!,MATCH(O1805,#REF!,0)),"")</f>
        <v/>
      </c>
      <c r="K1805" s="25" t="str">
        <f>IFERROR(INDEX(#REF!,MATCH(O1805,#REF!,0)),"")</f>
        <v/>
      </c>
      <c r="L1805" s="25" t="str">
        <f>IFERROR(INDEX(#REF!,MATCH(O1805,#REF!,0)),"")</f>
        <v/>
      </c>
      <c r="P1805" s="27" t="str">
        <f>IFERROR(INDEX(#REF!,MATCH($O1805,#REF!,0)),"")</f>
        <v/>
      </c>
      <c r="Q1805" s="27" t="str">
        <f>IFERROR(INDEX(#REF!,MATCH($O1805,#REF!,0)),"")</f>
        <v/>
      </c>
      <c r="R1805" s="52" t="str">
        <f>IFERROR(IF(AR1806=AR1805,INDEX(#REF!,MATCH($O1805,#REF!,0))-IF(AN1805="",0,AN1805)+AP1806,INDEX(#REF!,MATCH($O1805,#REF!,0))-IF(AN1805="",0,AN1805)),"")</f>
        <v/>
      </c>
      <c r="S1805" s="53" t="str">
        <f t="shared" si="896"/>
        <v/>
      </c>
      <c r="T1805" s="52" t="str">
        <f t="shared" si="897"/>
        <v/>
      </c>
      <c r="U1805" s="52" t="str">
        <f>IFERROR(IF(AR1806=AR1805,INDEX(#REF!,MATCH($O1805,#REF!,0))-IF(AN1805="",0,AN1805)+AP1806,INDEX(#REF!,MATCH($O1805,#REF!,0))-IF(AN1805="",0,AN1805)),"")</f>
        <v/>
      </c>
      <c r="V1805" s="53" t="str">
        <f t="shared" si="898"/>
        <v/>
      </c>
      <c r="W1805" s="52" t="str">
        <f t="shared" si="899"/>
        <v/>
      </c>
      <c r="X1805" s="52" t="str">
        <f>IFERROR(IF(AND(AR1806=AR1805,AM1805&lt;&gt;""),INDEX(#REF!,MATCH($O1805,#REF!,0))-IF(AN1805="",0,AN1805)+AP1806+AD1805+AL1805,IF(AR1806=AR1805,INDEX(#REF!,MATCH($O1805,#REF!,0))-IF(AN1805="",0,AN1805)+AP1806+AD1805,IF(AM1805&lt;&gt;"",INDEX(#REF!,MATCH($O1805,#REF!,0))-IF(AN1805="",0,AN1805)+AD1805+AL1805,INDEX(#REF!,MATCH($O1805,#REF!,0))-IF(AN1805="",0,AN1805)+AD1805))),"")</f>
        <v/>
      </c>
      <c r="Y1805" s="53" t="str">
        <f t="shared" si="900"/>
        <v/>
      </c>
      <c r="Z1805" s="52" t="str">
        <f>IF(L1805="","",INDEX(#REF!,MATCH($O1805,#REF!,0)))</f>
        <v/>
      </c>
      <c r="AA1805" s="52" t="str">
        <f t="shared" si="901"/>
        <v/>
      </c>
      <c r="AB1805" s="52" t="str">
        <f>IFERROR(INDEX(#REF!,MATCH($O1805,#REF!,0)),"")</f>
        <v/>
      </c>
      <c r="AC1805" s="52" t="str">
        <f>IFERROR(IF(O1805="","",SUMIFS('CPL Mats'!F:F,'CPL Mats'!Q:Q,AR1805,'CPL Mats'!S:S,AS1805)),"")</f>
        <v/>
      </c>
      <c r="AF1805" s="25" t="e">
        <f>IF(SUMIFS(#REF!,#REF!,"Releasable",#REF!,O1805)=0,"",SUMIFS(#REF!,#REF!,"Releasable",#REF!,O1805))</f>
        <v>#REF!</v>
      </c>
      <c r="AG1805" s="25" t="str">
        <f>IFERROR(INDEX(#REF!,MATCH(O1805,#REF!,0)),"")</f>
        <v/>
      </c>
      <c r="AH1805" s="25" t="str">
        <f>IFERROR(INDEX(#REF!,MATCH($O1805,#REF!,0)),"")</f>
        <v/>
      </c>
      <c r="AI1805" s="25" t="e">
        <f>IF(SUMIFS(#REF!,#REF!,"Expires this month",#REF!,O1805)=0,"",SUMIFS(#REF!,#REF!,"Expires this month",#REF!,O1805))</f>
        <v>#REF!</v>
      </c>
      <c r="AJ1805" s="25" t="e">
        <f>IF(SUMIFS(#REF!,#REF!,"Expired Previous Months",#REF!,O1805)=0,"",SUMIFS(#REF!,#REF!,"Expired Previous Months",#REF!,O1805))</f>
        <v>#REF!</v>
      </c>
      <c r="AK1805" s="25" t="str">
        <f>IFERROR(INDEX('Hun Release Current'!B:B,MATCH(O1805,'Hun Release Current'!A:A,0)),"")</f>
        <v/>
      </c>
      <c r="AL1805" s="25" t="str">
        <f>IF(SUMIF('Prev Aub'!A:A,O1805,'Prev Aub'!B:B)=0,"",SUMIF('Prev Aub'!A:A,O1805,'Prev Aub'!B:B))</f>
        <v/>
      </c>
      <c r="AN1805" s="25" t="s">
        <v>3790</v>
      </c>
      <c r="AO1805" s="25" t="s">
        <v>3790</v>
      </c>
      <c r="AP1805" s="25" t="str">
        <f t="shared" si="923"/>
        <v/>
      </c>
      <c r="AQ1805" s="151" t="e">
        <f>IF(SUMIFS(#REF!,#REF!,O1805,#REF!,"PENDING")=0,"",SUMIFS(#REF!,#REF!,O1805,#REF!,"PENDING"))</f>
        <v>#REF!</v>
      </c>
      <c r="AR1805" s="27" t="str">
        <f t="shared" si="902"/>
        <v/>
      </c>
      <c r="AS1805" s="27" t="str">
        <f t="shared" si="903"/>
        <v/>
      </c>
      <c r="AT1805" s="27" t="str">
        <f t="shared" si="904"/>
        <v/>
      </c>
      <c r="AU1805" s="27" t="str">
        <f t="shared" si="905"/>
        <v/>
      </c>
      <c r="AV1805" s="27" t="str">
        <f t="shared" si="906"/>
        <v/>
      </c>
      <c r="AW1805" s="27" t="e">
        <f t="shared" si="907"/>
        <v>#REF!</v>
      </c>
      <c r="AX1805" s="27" t="e">
        <f t="shared" si="908"/>
        <v>#REF!</v>
      </c>
      <c r="AY1805" s="27" t="str">
        <f t="shared" si="909"/>
        <v/>
      </c>
      <c r="AZ1805" s="27" t="str">
        <f t="shared" si="910"/>
        <v/>
      </c>
      <c r="BA1805" s="27" t="str">
        <f t="shared" si="911"/>
        <v/>
      </c>
      <c r="BB1805" s="27" t="str">
        <f t="shared" si="912"/>
        <v/>
      </c>
      <c r="BC1805" s="27" t="str">
        <f t="shared" si="913"/>
        <v/>
      </c>
      <c r="BD1805" s="27" t="str">
        <f t="shared" si="914"/>
        <v/>
      </c>
      <c r="BE1805" s="27" t="str">
        <f t="shared" si="915"/>
        <v/>
      </c>
      <c r="BF1805" s="27" t="str">
        <f t="shared" si="916"/>
        <v/>
      </c>
      <c r="BG1805" s="27" t="str">
        <f t="shared" si="917"/>
        <v/>
      </c>
      <c r="BH1805" s="27" t="str">
        <f t="shared" si="918"/>
        <v/>
      </c>
      <c r="BI1805" s="27" t="str">
        <f t="shared" si="919"/>
        <v/>
      </c>
      <c r="BJ1805" s="27" t="str">
        <f t="shared" si="920"/>
        <v/>
      </c>
      <c r="BK1805" s="27" t="str">
        <f t="shared" si="921"/>
        <v/>
      </c>
      <c r="BL1805" s="27" t="str">
        <f t="shared" si="922"/>
        <v/>
      </c>
      <c r="BM1805" s="21" t="s">
        <v>3790</v>
      </c>
    </row>
    <row r="1806" spans="1:65" ht="15">
      <c r="A1806" s="25" t="str">
        <f>IFERROR(INDEX(#REF!,MATCH(O1806,#REF!,0)),"")</f>
        <v/>
      </c>
      <c r="B1806" s="25" t="str">
        <f>IFERROR(INDEX(#REF!,MATCH(O1806,#REF!,0)),"")</f>
        <v/>
      </c>
      <c r="C1806" s="25" t="str">
        <f>IFERROR(INDEX(#REF!,MATCH(O1806,#REF!,0)),"")</f>
        <v/>
      </c>
      <c r="D1806" s="25" t="str">
        <f>IFERROR(INDEX(#REF!,MATCH(O1806,#REF!,0)),"")</f>
        <v/>
      </c>
      <c r="E1806" s="25" t="str">
        <f>IFERROR(INDEX(#REF!,MATCH(O1806,#REF!,0)),"")</f>
        <v/>
      </c>
      <c r="F1806" s="25" t="str">
        <f>IFERROR(INDEX(#REF!,MATCH(O1806,#REF!,0)),"")</f>
        <v/>
      </c>
      <c r="G1806" s="25" t="str">
        <f>IFERROR(INDEX(#REF!,MATCH(O1806,#REF!,0)),"")</f>
        <v/>
      </c>
      <c r="H1806" s="25" t="str">
        <f>IFERROR(INDEX(#REF!,MATCH(O1806,#REF!,0)),"")</f>
        <v/>
      </c>
      <c r="I1806" s="25" t="str">
        <f>IFERROR(INDEX(#REF!,MATCH(O1806,#REF!,0)),"")</f>
        <v/>
      </c>
      <c r="J1806" s="25" t="str">
        <f>IFERROR(INDEX(#REF!,MATCH(O1806,#REF!,0)),"")</f>
        <v/>
      </c>
      <c r="K1806" s="25" t="str">
        <f>IFERROR(INDEX(#REF!,MATCH(O1806,#REF!,0)),"")</f>
        <v/>
      </c>
      <c r="L1806" s="25" t="str">
        <f>IFERROR(INDEX(#REF!,MATCH(O1806,#REF!,0)),"")</f>
        <v/>
      </c>
      <c r="P1806" s="27" t="str">
        <f>IFERROR(INDEX(#REF!,MATCH($O1806,#REF!,0)),"")</f>
        <v/>
      </c>
      <c r="Q1806" s="27" t="str">
        <f>IFERROR(INDEX(#REF!,MATCH($O1806,#REF!,0)),"")</f>
        <v/>
      </c>
      <c r="R1806" s="52" t="str">
        <f>IFERROR(IF(AR1807=AR1806,INDEX(#REF!,MATCH($O1806,#REF!,0))-IF(AN1806="",0,AN1806)+AP1807,INDEX(#REF!,MATCH($O1806,#REF!,0))-IF(AN1806="",0,AN1806)),"")</f>
        <v/>
      </c>
      <c r="S1806" s="53" t="str">
        <f t="shared" si="896"/>
        <v/>
      </c>
      <c r="T1806" s="52" t="str">
        <f t="shared" si="897"/>
        <v/>
      </c>
      <c r="U1806" s="52" t="str">
        <f>IFERROR(IF(AR1807=AR1806,INDEX(#REF!,MATCH($O1806,#REF!,0))-IF(AN1806="",0,AN1806)+AP1807,INDEX(#REF!,MATCH($O1806,#REF!,0))-IF(AN1806="",0,AN1806)),"")</f>
        <v/>
      </c>
      <c r="V1806" s="53" t="str">
        <f t="shared" si="898"/>
        <v/>
      </c>
      <c r="W1806" s="52" t="str">
        <f t="shared" si="899"/>
        <v/>
      </c>
      <c r="X1806" s="52" t="str">
        <f>IFERROR(IF(AND(AR1807=AR1806,AM1806&lt;&gt;""),INDEX(#REF!,MATCH($O1806,#REF!,0))-IF(AN1806="",0,AN1806)+AP1807+AD1806+AL1806,IF(AR1807=AR1806,INDEX(#REF!,MATCH($O1806,#REF!,0))-IF(AN1806="",0,AN1806)+AP1807+AD1806,IF(AM1806&lt;&gt;"",INDEX(#REF!,MATCH($O1806,#REF!,0))-IF(AN1806="",0,AN1806)+AD1806+AL1806,INDEX(#REF!,MATCH($O1806,#REF!,0))-IF(AN1806="",0,AN1806)+AD1806))),"")</f>
        <v/>
      </c>
      <c r="Y1806" s="53" t="str">
        <f t="shared" si="900"/>
        <v/>
      </c>
      <c r="Z1806" s="52" t="str">
        <f>IF(L1806="","",INDEX(#REF!,MATCH($O1806,#REF!,0)))</f>
        <v/>
      </c>
      <c r="AA1806" s="52" t="str">
        <f t="shared" si="901"/>
        <v/>
      </c>
      <c r="AB1806" s="52" t="str">
        <f>IFERROR(INDEX(#REF!,MATCH($O1806,#REF!,0)),"")</f>
        <v/>
      </c>
      <c r="AC1806" s="52" t="str">
        <f>IFERROR(IF(O1806="","",SUMIFS('CPL Mats'!F:F,'CPL Mats'!Q:Q,AR1806,'CPL Mats'!S:S,AS1806)),"")</f>
        <v/>
      </c>
      <c r="AF1806" s="25" t="e">
        <f>IF(SUMIFS(#REF!,#REF!,"Releasable",#REF!,O1806)=0,"",SUMIFS(#REF!,#REF!,"Releasable",#REF!,O1806))</f>
        <v>#REF!</v>
      </c>
      <c r="AG1806" s="25" t="str">
        <f>IFERROR(INDEX(#REF!,MATCH(O1806,#REF!,0)),"")</f>
        <v/>
      </c>
      <c r="AH1806" s="25" t="str">
        <f>IFERROR(INDEX(#REF!,MATCH($O1806,#REF!,0)),"")</f>
        <v/>
      </c>
      <c r="AI1806" s="25" t="e">
        <f>IF(SUMIFS(#REF!,#REF!,"Expires this month",#REF!,O1806)=0,"",SUMIFS(#REF!,#REF!,"Expires this month",#REF!,O1806))</f>
        <v>#REF!</v>
      </c>
      <c r="AJ1806" s="25" t="e">
        <f>IF(SUMIFS(#REF!,#REF!,"Expired Previous Months",#REF!,O1806)=0,"",SUMIFS(#REF!,#REF!,"Expired Previous Months",#REF!,O1806))</f>
        <v>#REF!</v>
      </c>
      <c r="AK1806" s="25" t="str">
        <f>IFERROR(INDEX('Hun Release Current'!B:B,MATCH(O1806,'Hun Release Current'!A:A,0)),"")</f>
        <v/>
      </c>
      <c r="AL1806" s="25" t="str">
        <f>IF(SUMIF('Prev Aub'!A:A,O1806,'Prev Aub'!B:B)=0,"",SUMIF('Prev Aub'!A:A,O1806,'Prev Aub'!B:B))</f>
        <v/>
      </c>
      <c r="AN1806" s="25" t="s">
        <v>3790</v>
      </c>
      <c r="AO1806" s="25" t="s">
        <v>3790</v>
      </c>
      <c r="AP1806" s="25" t="str">
        <f t="shared" si="923"/>
        <v/>
      </c>
      <c r="AQ1806" s="151" t="e">
        <f>IF(SUMIFS(#REF!,#REF!,O1806,#REF!,"PENDING")=0,"",SUMIFS(#REF!,#REF!,O1806,#REF!,"PENDING"))</f>
        <v>#REF!</v>
      </c>
      <c r="AR1806" s="27" t="str">
        <f t="shared" si="902"/>
        <v/>
      </c>
      <c r="AS1806" s="27" t="str">
        <f t="shared" si="903"/>
        <v/>
      </c>
      <c r="AT1806" s="27" t="str">
        <f t="shared" si="904"/>
        <v/>
      </c>
      <c r="AU1806" s="27" t="str">
        <f t="shared" si="905"/>
        <v/>
      </c>
      <c r="AV1806" s="27" t="str">
        <f t="shared" si="906"/>
        <v/>
      </c>
      <c r="AW1806" s="27" t="e">
        <f t="shared" si="907"/>
        <v>#REF!</v>
      </c>
      <c r="AX1806" s="27" t="e">
        <f t="shared" si="908"/>
        <v>#REF!</v>
      </c>
      <c r="AY1806" s="27" t="str">
        <f t="shared" si="909"/>
        <v/>
      </c>
      <c r="AZ1806" s="27" t="str">
        <f t="shared" si="910"/>
        <v/>
      </c>
      <c r="BA1806" s="27" t="str">
        <f t="shared" si="911"/>
        <v/>
      </c>
      <c r="BB1806" s="27" t="str">
        <f t="shared" si="912"/>
        <v/>
      </c>
      <c r="BC1806" s="27" t="str">
        <f t="shared" si="913"/>
        <v/>
      </c>
      <c r="BD1806" s="27" t="str">
        <f t="shared" si="914"/>
        <v/>
      </c>
      <c r="BE1806" s="27" t="str">
        <f t="shared" si="915"/>
        <v/>
      </c>
      <c r="BF1806" s="27" t="str">
        <f t="shared" si="916"/>
        <v/>
      </c>
      <c r="BG1806" s="27" t="str">
        <f t="shared" si="917"/>
        <v/>
      </c>
      <c r="BH1806" s="27" t="str">
        <f t="shared" si="918"/>
        <v/>
      </c>
      <c r="BI1806" s="27" t="str">
        <f t="shared" si="919"/>
        <v/>
      </c>
      <c r="BJ1806" s="27" t="str">
        <f t="shared" si="920"/>
        <v/>
      </c>
      <c r="BK1806" s="27" t="str">
        <f t="shared" si="921"/>
        <v/>
      </c>
      <c r="BL1806" s="27" t="str">
        <f t="shared" si="922"/>
        <v/>
      </c>
      <c r="BM1806" s="21" t="s">
        <v>3790</v>
      </c>
    </row>
    <row r="1807" spans="1:65" ht="15">
      <c r="A1807" s="25" t="str">
        <f>IFERROR(INDEX(#REF!,MATCH(O1807,#REF!,0)),"")</f>
        <v/>
      </c>
      <c r="B1807" s="25" t="str">
        <f>IFERROR(INDEX(#REF!,MATCH(O1807,#REF!,0)),"")</f>
        <v/>
      </c>
      <c r="C1807" s="25" t="str">
        <f>IFERROR(INDEX(#REF!,MATCH(O1807,#REF!,0)),"")</f>
        <v/>
      </c>
      <c r="D1807" s="25" t="str">
        <f>IFERROR(INDEX(#REF!,MATCH(O1807,#REF!,0)),"")</f>
        <v/>
      </c>
      <c r="E1807" s="25" t="str">
        <f>IFERROR(INDEX(#REF!,MATCH(O1807,#REF!,0)),"")</f>
        <v/>
      </c>
      <c r="F1807" s="25" t="str">
        <f>IFERROR(INDEX(#REF!,MATCH(O1807,#REF!,0)),"")</f>
        <v/>
      </c>
      <c r="G1807" s="25" t="str">
        <f>IFERROR(INDEX(#REF!,MATCH(O1807,#REF!,0)),"")</f>
        <v/>
      </c>
      <c r="H1807" s="25" t="str">
        <f>IFERROR(INDEX(#REF!,MATCH(O1807,#REF!,0)),"")</f>
        <v/>
      </c>
      <c r="I1807" s="25" t="str">
        <f>IFERROR(INDEX(#REF!,MATCH(O1807,#REF!,0)),"")</f>
        <v/>
      </c>
      <c r="J1807" s="25" t="str">
        <f>IFERROR(INDEX(#REF!,MATCH(O1807,#REF!,0)),"")</f>
        <v/>
      </c>
      <c r="K1807" s="25" t="str">
        <f>IFERROR(INDEX(#REF!,MATCH(O1807,#REF!,0)),"")</f>
        <v/>
      </c>
      <c r="L1807" s="25" t="str">
        <f>IFERROR(INDEX(#REF!,MATCH(O1807,#REF!,0)),"")</f>
        <v/>
      </c>
      <c r="P1807" s="27" t="str">
        <f>IFERROR(INDEX(#REF!,MATCH($O1807,#REF!,0)),"")</f>
        <v/>
      </c>
      <c r="Q1807" s="27" t="str">
        <f>IFERROR(INDEX(#REF!,MATCH($O1807,#REF!,0)),"")</f>
        <v/>
      </c>
      <c r="R1807" s="52" t="str">
        <f>IFERROR(IF(AR1808=AR1807,INDEX(#REF!,MATCH($O1807,#REF!,0))-IF(AN1807="",0,AN1807)+AP1808,INDEX(#REF!,MATCH($O1807,#REF!,0))-IF(AN1807="",0,AN1807)),"")</f>
        <v/>
      </c>
      <c r="S1807" s="53" t="str">
        <f t="shared" si="896"/>
        <v/>
      </c>
      <c r="T1807" s="52" t="str">
        <f t="shared" si="897"/>
        <v/>
      </c>
      <c r="U1807" s="52" t="str">
        <f>IFERROR(IF(AR1808=AR1807,INDEX(#REF!,MATCH($O1807,#REF!,0))-IF(AN1807="",0,AN1807)+AP1808,INDEX(#REF!,MATCH($O1807,#REF!,0))-IF(AN1807="",0,AN1807)),"")</f>
        <v/>
      </c>
      <c r="V1807" s="53" t="str">
        <f t="shared" si="898"/>
        <v/>
      </c>
      <c r="W1807" s="52" t="str">
        <f t="shared" si="899"/>
        <v/>
      </c>
      <c r="X1807" s="52" t="str">
        <f>IFERROR(IF(AND(AR1808=AR1807,AM1807&lt;&gt;""),INDEX(#REF!,MATCH($O1807,#REF!,0))-IF(AN1807="",0,AN1807)+AP1808+AD1807+AL1807,IF(AR1808=AR1807,INDEX(#REF!,MATCH($O1807,#REF!,0))-IF(AN1807="",0,AN1807)+AP1808+AD1807,IF(AM1807&lt;&gt;"",INDEX(#REF!,MATCH($O1807,#REF!,0))-IF(AN1807="",0,AN1807)+AD1807+AL1807,INDEX(#REF!,MATCH($O1807,#REF!,0))-IF(AN1807="",0,AN1807)+AD1807))),"")</f>
        <v/>
      </c>
      <c r="Y1807" s="53" t="str">
        <f t="shared" si="900"/>
        <v/>
      </c>
      <c r="Z1807" s="52" t="str">
        <f>IF(L1807="","",INDEX(#REF!,MATCH($O1807,#REF!,0)))</f>
        <v/>
      </c>
      <c r="AA1807" s="52" t="str">
        <f t="shared" si="901"/>
        <v/>
      </c>
      <c r="AB1807" s="52" t="str">
        <f>IFERROR(INDEX(#REF!,MATCH($O1807,#REF!,0)),"")</f>
        <v/>
      </c>
      <c r="AC1807" s="52" t="str">
        <f>IFERROR(IF(O1807="","",SUMIFS('CPL Mats'!F:F,'CPL Mats'!Q:Q,AR1807,'CPL Mats'!S:S,AS1807)),"")</f>
        <v/>
      </c>
      <c r="AF1807" s="25" t="e">
        <f>IF(SUMIFS(#REF!,#REF!,"Releasable",#REF!,O1807)=0,"",SUMIFS(#REF!,#REF!,"Releasable",#REF!,O1807))</f>
        <v>#REF!</v>
      </c>
      <c r="AG1807" s="25" t="str">
        <f>IFERROR(INDEX(#REF!,MATCH(O1807,#REF!,0)),"")</f>
        <v/>
      </c>
      <c r="AH1807" s="25" t="str">
        <f>IFERROR(INDEX(#REF!,MATCH($O1807,#REF!,0)),"")</f>
        <v/>
      </c>
      <c r="AI1807" s="25" t="e">
        <f>IF(SUMIFS(#REF!,#REF!,"Expires this month",#REF!,O1807)=0,"",SUMIFS(#REF!,#REF!,"Expires this month",#REF!,O1807))</f>
        <v>#REF!</v>
      </c>
      <c r="AJ1807" s="25" t="e">
        <f>IF(SUMIFS(#REF!,#REF!,"Expired Previous Months",#REF!,O1807)=0,"",SUMIFS(#REF!,#REF!,"Expired Previous Months",#REF!,O1807))</f>
        <v>#REF!</v>
      </c>
      <c r="AK1807" s="25" t="str">
        <f>IFERROR(INDEX('Hun Release Current'!B:B,MATCH(O1807,'Hun Release Current'!A:A,0)),"")</f>
        <v/>
      </c>
      <c r="AL1807" s="25" t="str">
        <f>IF(SUMIF('Prev Aub'!A:A,O1807,'Prev Aub'!B:B)=0,"",SUMIF('Prev Aub'!A:A,O1807,'Prev Aub'!B:B))</f>
        <v/>
      </c>
      <c r="AN1807" s="25" t="s">
        <v>3790</v>
      </c>
      <c r="AO1807" s="25" t="s">
        <v>3790</v>
      </c>
      <c r="AP1807" s="25" t="str">
        <f t="shared" si="923"/>
        <v/>
      </c>
      <c r="AQ1807" s="151" t="e">
        <f>IF(SUMIFS(#REF!,#REF!,O1807,#REF!,"PENDING")=0,"",SUMIFS(#REF!,#REF!,O1807,#REF!,"PENDING"))</f>
        <v>#REF!</v>
      </c>
      <c r="AR1807" s="27" t="str">
        <f t="shared" si="902"/>
        <v/>
      </c>
      <c r="AS1807" s="27" t="str">
        <f t="shared" si="903"/>
        <v/>
      </c>
      <c r="AT1807" s="27" t="str">
        <f t="shared" si="904"/>
        <v/>
      </c>
      <c r="AU1807" s="27" t="str">
        <f t="shared" si="905"/>
        <v/>
      </c>
      <c r="AV1807" s="27" t="str">
        <f t="shared" si="906"/>
        <v/>
      </c>
      <c r="AW1807" s="27" t="e">
        <f t="shared" si="907"/>
        <v>#REF!</v>
      </c>
      <c r="AX1807" s="27" t="e">
        <f t="shared" si="908"/>
        <v>#REF!</v>
      </c>
      <c r="AY1807" s="27" t="str">
        <f t="shared" si="909"/>
        <v/>
      </c>
      <c r="AZ1807" s="27" t="str">
        <f t="shared" si="910"/>
        <v/>
      </c>
      <c r="BA1807" s="27" t="str">
        <f t="shared" si="911"/>
        <v/>
      </c>
      <c r="BB1807" s="27" t="str">
        <f t="shared" si="912"/>
        <v/>
      </c>
      <c r="BC1807" s="27" t="str">
        <f t="shared" si="913"/>
        <v/>
      </c>
      <c r="BD1807" s="27" t="str">
        <f t="shared" si="914"/>
        <v/>
      </c>
      <c r="BE1807" s="27" t="str">
        <f t="shared" si="915"/>
        <v/>
      </c>
      <c r="BF1807" s="27" t="str">
        <f t="shared" si="916"/>
        <v/>
      </c>
      <c r="BG1807" s="27" t="str">
        <f t="shared" si="917"/>
        <v/>
      </c>
      <c r="BH1807" s="27" t="str">
        <f t="shared" si="918"/>
        <v/>
      </c>
      <c r="BI1807" s="27" t="str">
        <f t="shared" si="919"/>
        <v/>
      </c>
      <c r="BJ1807" s="27" t="str">
        <f t="shared" si="920"/>
        <v/>
      </c>
      <c r="BK1807" s="27" t="str">
        <f t="shared" si="921"/>
        <v/>
      </c>
      <c r="BL1807" s="27" t="str">
        <f t="shared" si="922"/>
        <v/>
      </c>
      <c r="BM1807" s="21" t="s">
        <v>3790</v>
      </c>
    </row>
    <row r="1808" spans="1:65" ht="15">
      <c r="A1808" s="25" t="str">
        <f>IFERROR(INDEX(#REF!,MATCH(O1808,#REF!,0)),"")</f>
        <v/>
      </c>
      <c r="B1808" s="25" t="str">
        <f>IFERROR(INDEX(#REF!,MATCH(O1808,#REF!,0)),"")</f>
        <v/>
      </c>
      <c r="C1808" s="25" t="str">
        <f>IFERROR(INDEX(#REF!,MATCH(O1808,#REF!,0)),"")</f>
        <v/>
      </c>
      <c r="D1808" s="25" t="str">
        <f>IFERROR(INDEX(#REF!,MATCH(O1808,#REF!,0)),"")</f>
        <v/>
      </c>
      <c r="E1808" s="25" t="str">
        <f>IFERROR(INDEX(#REF!,MATCH(O1808,#REF!,0)),"")</f>
        <v/>
      </c>
      <c r="F1808" s="25" t="str">
        <f>IFERROR(INDEX(#REF!,MATCH(O1808,#REF!,0)),"")</f>
        <v/>
      </c>
      <c r="G1808" s="25" t="str">
        <f>IFERROR(INDEX(#REF!,MATCH(O1808,#REF!,0)),"")</f>
        <v/>
      </c>
      <c r="H1808" s="25" t="str">
        <f>IFERROR(INDEX(#REF!,MATCH(O1808,#REF!,0)),"")</f>
        <v/>
      </c>
      <c r="I1808" s="25" t="str">
        <f>IFERROR(INDEX(#REF!,MATCH(O1808,#REF!,0)),"")</f>
        <v/>
      </c>
      <c r="J1808" s="25" t="str">
        <f>IFERROR(INDEX(#REF!,MATCH(O1808,#REF!,0)),"")</f>
        <v/>
      </c>
      <c r="K1808" s="25" t="str">
        <f>IFERROR(INDEX(#REF!,MATCH(O1808,#REF!,0)),"")</f>
        <v/>
      </c>
      <c r="L1808" s="25" t="str">
        <f>IFERROR(INDEX(#REF!,MATCH(O1808,#REF!,0)),"")</f>
        <v/>
      </c>
      <c r="P1808" s="27" t="str">
        <f>IFERROR(INDEX(#REF!,MATCH($O1808,#REF!,0)),"")</f>
        <v/>
      </c>
      <c r="Q1808" s="27" t="str">
        <f>IFERROR(INDEX(#REF!,MATCH($O1808,#REF!,0)),"")</f>
        <v/>
      </c>
      <c r="R1808" s="52" t="str">
        <f>IFERROR(IF(AR1809=AR1808,INDEX(#REF!,MATCH($O1808,#REF!,0))-IF(AN1808="",0,AN1808)+AP1809,INDEX(#REF!,MATCH($O1808,#REF!,0))-IF(AN1808="",0,AN1808)),"")</f>
        <v/>
      </c>
      <c r="S1808" s="53" t="str">
        <f t="shared" si="896"/>
        <v/>
      </c>
      <c r="T1808" s="52" t="str">
        <f t="shared" si="897"/>
        <v/>
      </c>
      <c r="U1808" s="52" t="str">
        <f>IFERROR(IF(AR1809=AR1808,INDEX(#REF!,MATCH($O1808,#REF!,0))-IF(AN1808="",0,AN1808)+AP1809,INDEX(#REF!,MATCH($O1808,#REF!,0))-IF(AN1808="",0,AN1808)),"")</f>
        <v/>
      </c>
      <c r="V1808" s="53" t="str">
        <f t="shared" si="898"/>
        <v/>
      </c>
      <c r="W1808" s="52" t="str">
        <f t="shared" si="899"/>
        <v/>
      </c>
      <c r="X1808" s="52" t="str">
        <f>IFERROR(IF(AND(AR1809=AR1808,AM1808&lt;&gt;""),INDEX(#REF!,MATCH($O1808,#REF!,0))-IF(AN1808="",0,AN1808)+AP1809+AD1808+AL1808,IF(AR1809=AR1808,INDEX(#REF!,MATCH($O1808,#REF!,0))-IF(AN1808="",0,AN1808)+AP1809+AD1808,IF(AM1808&lt;&gt;"",INDEX(#REF!,MATCH($O1808,#REF!,0))-IF(AN1808="",0,AN1808)+AD1808+AL1808,INDEX(#REF!,MATCH($O1808,#REF!,0))-IF(AN1808="",0,AN1808)+AD1808))),"")</f>
        <v/>
      </c>
      <c r="Y1808" s="53" t="str">
        <f t="shared" si="900"/>
        <v/>
      </c>
      <c r="Z1808" s="52" t="str">
        <f>IF(L1808="","",INDEX(#REF!,MATCH($O1808,#REF!,0)))</f>
        <v/>
      </c>
      <c r="AA1808" s="52" t="str">
        <f t="shared" si="901"/>
        <v/>
      </c>
      <c r="AB1808" s="52" t="str">
        <f>IFERROR(INDEX(#REF!,MATCH($O1808,#REF!,0)),"")</f>
        <v/>
      </c>
      <c r="AC1808" s="52" t="str">
        <f>IFERROR(IF(O1808="","",SUMIFS('CPL Mats'!F:F,'CPL Mats'!Q:Q,AR1808,'CPL Mats'!S:S,AS1808)),"")</f>
        <v/>
      </c>
      <c r="AF1808" s="25" t="e">
        <f>IF(SUMIFS(#REF!,#REF!,"Releasable",#REF!,O1808)=0,"",SUMIFS(#REF!,#REF!,"Releasable",#REF!,O1808))</f>
        <v>#REF!</v>
      </c>
      <c r="AG1808" s="25" t="str">
        <f>IFERROR(INDEX(#REF!,MATCH(O1808,#REF!,0)),"")</f>
        <v/>
      </c>
      <c r="AH1808" s="25" t="str">
        <f>IFERROR(INDEX(#REF!,MATCH($O1808,#REF!,0)),"")</f>
        <v/>
      </c>
      <c r="AI1808" s="25" t="e">
        <f>IF(SUMIFS(#REF!,#REF!,"Expires this month",#REF!,O1808)=0,"",SUMIFS(#REF!,#REF!,"Expires this month",#REF!,O1808))</f>
        <v>#REF!</v>
      </c>
      <c r="AJ1808" s="25" t="e">
        <f>IF(SUMIFS(#REF!,#REF!,"Expired Previous Months",#REF!,O1808)=0,"",SUMIFS(#REF!,#REF!,"Expired Previous Months",#REF!,O1808))</f>
        <v>#REF!</v>
      </c>
      <c r="AK1808" s="25" t="str">
        <f>IFERROR(INDEX('Hun Release Current'!B:B,MATCH(O1808,'Hun Release Current'!A:A,0)),"")</f>
        <v/>
      </c>
      <c r="AL1808" s="25" t="str">
        <f>IF(SUMIF('Prev Aub'!A:A,O1808,'Prev Aub'!B:B)=0,"",SUMIF('Prev Aub'!A:A,O1808,'Prev Aub'!B:B))</f>
        <v/>
      </c>
      <c r="AN1808" s="25" t="s">
        <v>3790</v>
      </c>
      <c r="AO1808" s="25" t="s">
        <v>3790</v>
      </c>
      <c r="AP1808" s="25" t="str">
        <f t="shared" si="923"/>
        <v/>
      </c>
      <c r="AQ1808" s="151" t="e">
        <f>IF(SUMIFS(#REF!,#REF!,O1808,#REF!,"PENDING")=0,"",SUMIFS(#REF!,#REF!,O1808,#REF!,"PENDING"))</f>
        <v>#REF!</v>
      </c>
      <c r="AR1808" s="27" t="str">
        <f t="shared" si="902"/>
        <v/>
      </c>
      <c r="AS1808" s="27" t="str">
        <f t="shared" si="903"/>
        <v/>
      </c>
      <c r="AT1808" s="27" t="str">
        <f t="shared" si="904"/>
        <v/>
      </c>
      <c r="AU1808" s="27" t="str">
        <f t="shared" si="905"/>
        <v/>
      </c>
      <c r="AV1808" s="27" t="str">
        <f t="shared" si="906"/>
        <v/>
      </c>
      <c r="AW1808" s="27" t="e">
        <f t="shared" si="907"/>
        <v>#REF!</v>
      </c>
      <c r="AX1808" s="27" t="e">
        <f t="shared" si="908"/>
        <v>#REF!</v>
      </c>
      <c r="AY1808" s="27" t="str">
        <f t="shared" si="909"/>
        <v/>
      </c>
      <c r="AZ1808" s="27" t="str">
        <f t="shared" si="910"/>
        <v/>
      </c>
      <c r="BA1808" s="27" t="str">
        <f t="shared" si="911"/>
        <v/>
      </c>
      <c r="BB1808" s="27" t="str">
        <f t="shared" si="912"/>
        <v/>
      </c>
      <c r="BC1808" s="27" t="str">
        <f t="shared" si="913"/>
        <v/>
      </c>
      <c r="BD1808" s="27" t="str">
        <f t="shared" si="914"/>
        <v/>
      </c>
      <c r="BE1808" s="27" t="str">
        <f t="shared" si="915"/>
        <v/>
      </c>
      <c r="BF1808" s="27" t="str">
        <f t="shared" si="916"/>
        <v/>
      </c>
      <c r="BG1808" s="27" t="str">
        <f t="shared" si="917"/>
        <v/>
      </c>
      <c r="BH1808" s="27" t="str">
        <f t="shared" si="918"/>
        <v/>
      </c>
      <c r="BI1808" s="27" t="str">
        <f t="shared" si="919"/>
        <v/>
      </c>
      <c r="BJ1808" s="27" t="str">
        <f t="shared" si="920"/>
        <v/>
      </c>
      <c r="BK1808" s="27" t="str">
        <f t="shared" si="921"/>
        <v/>
      </c>
      <c r="BL1808" s="27" t="str">
        <f t="shared" si="922"/>
        <v/>
      </c>
      <c r="BM1808" s="21" t="s">
        <v>3790</v>
      </c>
    </row>
    <row r="1809" spans="1:65" ht="15">
      <c r="A1809" s="25" t="str">
        <f>IFERROR(INDEX(#REF!,MATCH(O1809,#REF!,0)),"")</f>
        <v/>
      </c>
      <c r="B1809" s="25" t="str">
        <f>IFERROR(INDEX(#REF!,MATCH(O1809,#REF!,0)),"")</f>
        <v/>
      </c>
      <c r="C1809" s="25" t="str">
        <f>IFERROR(INDEX(#REF!,MATCH(O1809,#REF!,0)),"")</f>
        <v/>
      </c>
      <c r="D1809" s="25" t="str">
        <f>IFERROR(INDEX(#REF!,MATCH(O1809,#REF!,0)),"")</f>
        <v/>
      </c>
      <c r="E1809" s="25" t="str">
        <f>IFERROR(INDEX(#REF!,MATCH(O1809,#REF!,0)),"")</f>
        <v/>
      </c>
      <c r="F1809" s="25" t="str">
        <f>IFERROR(INDEX(#REF!,MATCH(O1809,#REF!,0)),"")</f>
        <v/>
      </c>
      <c r="G1809" s="25" t="str">
        <f>IFERROR(INDEX(#REF!,MATCH(O1809,#REF!,0)),"")</f>
        <v/>
      </c>
      <c r="H1809" s="25" t="str">
        <f>IFERROR(INDEX(#REF!,MATCH(O1809,#REF!,0)),"")</f>
        <v/>
      </c>
      <c r="I1809" s="25" t="str">
        <f>IFERROR(INDEX(#REF!,MATCH(O1809,#REF!,0)),"")</f>
        <v/>
      </c>
      <c r="J1809" s="25" t="str">
        <f>IFERROR(INDEX(#REF!,MATCH(O1809,#REF!,0)),"")</f>
        <v/>
      </c>
      <c r="K1809" s="25" t="str">
        <f>IFERROR(INDEX(#REF!,MATCH(O1809,#REF!,0)),"")</f>
        <v/>
      </c>
      <c r="L1809" s="25" t="str">
        <f>IFERROR(INDEX(#REF!,MATCH(O1809,#REF!,0)),"")</f>
        <v/>
      </c>
      <c r="P1809" s="27" t="str">
        <f>IFERROR(INDEX(#REF!,MATCH($O1809,#REF!,0)),"")</f>
        <v/>
      </c>
      <c r="Q1809" s="27" t="str">
        <f>IFERROR(INDEX(#REF!,MATCH($O1809,#REF!,0)),"")</f>
        <v/>
      </c>
      <c r="R1809" s="52" t="str">
        <f>IFERROR(IF(AR1810=AR1809,INDEX(#REF!,MATCH($O1809,#REF!,0))-IF(AN1809="",0,AN1809)+AP1810,INDEX(#REF!,MATCH($O1809,#REF!,0))-IF(AN1809="",0,AN1809)),"")</f>
        <v/>
      </c>
      <c r="S1809" s="53" t="str">
        <f t="shared" si="896"/>
        <v/>
      </c>
      <c r="T1809" s="52" t="str">
        <f t="shared" si="897"/>
        <v/>
      </c>
      <c r="U1809" s="52" t="str">
        <f>IFERROR(IF(AR1810=AR1809,INDEX(#REF!,MATCH($O1809,#REF!,0))-IF(AN1809="",0,AN1809)+AP1810,INDEX(#REF!,MATCH($O1809,#REF!,0))-IF(AN1809="",0,AN1809)),"")</f>
        <v/>
      </c>
      <c r="V1809" s="53" t="str">
        <f t="shared" si="898"/>
        <v/>
      </c>
      <c r="W1809" s="52" t="str">
        <f t="shared" si="899"/>
        <v/>
      </c>
      <c r="X1809" s="52" t="str">
        <f>IFERROR(IF(AND(AR1810=AR1809,AM1809&lt;&gt;""),INDEX(#REF!,MATCH($O1809,#REF!,0))-IF(AN1809="",0,AN1809)+AP1810+AD1809+AL1809,IF(AR1810=AR1809,INDEX(#REF!,MATCH($O1809,#REF!,0))-IF(AN1809="",0,AN1809)+AP1810+AD1809,IF(AM1809&lt;&gt;"",INDEX(#REF!,MATCH($O1809,#REF!,0))-IF(AN1809="",0,AN1809)+AD1809+AL1809,INDEX(#REF!,MATCH($O1809,#REF!,0))-IF(AN1809="",0,AN1809)+AD1809))),"")</f>
        <v/>
      </c>
      <c r="Y1809" s="53" t="str">
        <f t="shared" si="900"/>
        <v/>
      </c>
      <c r="Z1809" s="52" t="str">
        <f>IF(L1809="","",INDEX(#REF!,MATCH($O1809,#REF!,0)))</f>
        <v/>
      </c>
      <c r="AA1809" s="52" t="str">
        <f t="shared" si="901"/>
        <v/>
      </c>
      <c r="AB1809" s="52" t="str">
        <f>IFERROR(INDEX(#REF!,MATCH($O1809,#REF!,0)),"")</f>
        <v/>
      </c>
      <c r="AC1809" s="52" t="str">
        <f>IFERROR(IF(O1809="","",SUMIFS('CPL Mats'!F:F,'CPL Mats'!Q:Q,AR1809,'CPL Mats'!S:S,AS1809)),"")</f>
        <v/>
      </c>
      <c r="AF1809" s="25" t="e">
        <f>IF(SUMIFS(#REF!,#REF!,"Releasable",#REF!,O1809)=0,"",SUMIFS(#REF!,#REF!,"Releasable",#REF!,O1809))</f>
        <v>#REF!</v>
      </c>
      <c r="AG1809" s="25" t="str">
        <f>IFERROR(INDEX(#REF!,MATCH(O1809,#REF!,0)),"")</f>
        <v/>
      </c>
      <c r="AH1809" s="25" t="str">
        <f>IFERROR(INDEX(#REF!,MATCH($O1809,#REF!,0)),"")</f>
        <v/>
      </c>
      <c r="AI1809" s="25" t="e">
        <f>IF(SUMIFS(#REF!,#REF!,"Expires this month",#REF!,O1809)=0,"",SUMIFS(#REF!,#REF!,"Expires this month",#REF!,O1809))</f>
        <v>#REF!</v>
      </c>
      <c r="AJ1809" s="25" t="e">
        <f>IF(SUMIFS(#REF!,#REF!,"Expired Previous Months",#REF!,O1809)=0,"",SUMIFS(#REF!,#REF!,"Expired Previous Months",#REF!,O1809))</f>
        <v>#REF!</v>
      </c>
      <c r="AK1809" s="25" t="str">
        <f>IFERROR(INDEX('Hun Release Current'!B:B,MATCH(O1809,'Hun Release Current'!A:A,0)),"")</f>
        <v/>
      </c>
      <c r="AL1809" s="25" t="str">
        <f>IF(SUMIF('Prev Aub'!A:A,O1809,'Prev Aub'!B:B)=0,"",SUMIF('Prev Aub'!A:A,O1809,'Prev Aub'!B:B))</f>
        <v/>
      </c>
      <c r="AN1809" s="25" t="s">
        <v>3790</v>
      </c>
      <c r="AO1809" s="25" t="s">
        <v>3790</v>
      </c>
      <c r="AP1809" s="25" t="str">
        <f t="shared" si="923"/>
        <v/>
      </c>
      <c r="AQ1809" s="151" t="e">
        <f>IF(SUMIFS(#REF!,#REF!,O1809,#REF!,"PENDING")=0,"",SUMIFS(#REF!,#REF!,O1809,#REF!,"PENDING"))</f>
        <v>#REF!</v>
      </c>
      <c r="AR1809" s="27" t="str">
        <f t="shared" si="902"/>
        <v/>
      </c>
      <c r="AS1809" s="27" t="str">
        <f t="shared" si="903"/>
        <v/>
      </c>
      <c r="AT1809" s="27" t="str">
        <f t="shared" si="904"/>
        <v/>
      </c>
      <c r="AU1809" s="27" t="str">
        <f t="shared" si="905"/>
        <v/>
      </c>
      <c r="AV1809" s="27" t="str">
        <f t="shared" si="906"/>
        <v/>
      </c>
      <c r="AW1809" s="27" t="e">
        <f t="shared" si="907"/>
        <v>#REF!</v>
      </c>
      <c r="AX1809" s="27" t="e">
        <f t="shared" si="908"/>
        <v>#REF!</v>
      </c>
      <c r="AY1809" s="27" t="str">
        <f t="shared" si="909"/>
        <v/>
      </c>
      <c r="AZ1809" s="27" t="str">
        <f t="shared" si="910"/>
        <v/>
      </c>
      <c r="BA1809" s="27" t="str">
        <f t="shared" si="911"/>
        <v/>
      </c>
      <c r="BB1809" s="27" t="str">
        <f t="shared" si="912"/>
        <v/>
      </c>
      <c r="BC1809" s="27" t="str">
        <f t="shared" si="913"/>
        <v/>
      </c>
      <c r="BD1809" s="27" t="str">
        <f t="shared" si="914"/>
        <v/>
      </c>
      <c r="BE1809" s="27" t="str">
        <f t="shared" si="915"/>
        <v/>
      </c>
      <c r="BF1809" s="27" t="str">
        <f t="shared" si="916"/>
        <v/>
      </c>
      <c r="BG1809" s="27" t="str">
        <f t="shared" si="917"/>
        <v/>
      </c>
      <c r="BH1809" s="27" t="str">
        <f t="shared" si="918"/>
        <v/>
      </c>
      <c r="BI1809" s="27" t="str">
        <f t="shared" si="919"/>
        <v/>
      </c>
      <c r="BJ1809" s="27" t="str">
        <f t="shared" si="920"/>
        <v/>
      </c>
      <c r="BK1809" s="27" t="str">
        <f t="shared" si="921"/>
        <v/>
      </c>
      <c r="BL1809" s="27" t="str">
        <f t="shared" si="922"/>
        <v/>
      </c>
      <c r="BM1809" s="21" t="s">
        <v>3790</v>
      </c>
    </row>
    <row r="1810" spans="1:65" ht="15">
      <c r="A1810" s="25" t="str">
        <f>IFERROR(INDEX(#REF!,MATCH(O1810,#REF!,0)),"")</f>
        <v/>
      </c>
      <c r="B1810" s="25" t="str">
        <f>IFERROR(INDEX(#REF!,MATCH(O1810,#REF!,0)),"")</f>
        <v/>
      </c>
      <c r="C1810" s="25" t="str">
        <f>IFERROR(INDEX(#REF!,MATCH(O1810,#REF!,0)),"")</f>
        <v/>
      </c>
      <c r="D1810" s="25" t="str">
        <f>IFERROR(INDEX(#REF!,MATCH(O1810,#REF!,0)),"")</f>
        <v/>
      </c>
      <c r="E1810" s="25" t="str">
        <f>IFERROR(INDEX(#REF!,MATCH(O1810,#REF!,0)),"")</f>
        <v/>
      </c>
      <c r="F1810" s="25" t="str">
        <f>IFERROR(INDEX(#REF!,MATCH(O1810,#REF!,0)),"")</f>
        <v/>
      </c>
      <c r="G1810" s="25" t="str">
        <f>IFERROR(INDEX(#REF!,MATCH(O1810,#REF!,0)),"")</f>
        <v/>
      </c>
      <c r="H1810" s="25" t="str">
        <f>IFERROR(INDEX(#REF!,MATCH(O1810,#REF!,0)),"")</f>
        <v/>
      </c>
      <c r="I1810" s="25" t="str">
        <f>IFERROR(INDEX(#REF!,MATCH(O1810,#REF!,0)),"")</f>
        <v/>
      </c>
      <c r="J1810" s="25" t="str">
        <f>IFERROR(INDEX(#REF!,MATCH(O1810,#REF!,0)),"")</f>
        <v/>
      </c>
      <c r="K1810" s="25" t="str">
        <f>IFERROR(INDEX(#REF!,MATCH(O1810,#REF!,0)),"")</f>
        <v/>
      </c>
      <c r="L1810" s="25" t="str">
        <f>IFERROR(INDEX(#REF!,MATCH(O1810,#REF!,0)),"")</f>
        <v/>
      </c>
      <c r="P1810" s="27" t="str">
        <f>IFERROR(INDEX(#REF!,MATCH($O1810,#REF!,0)),"")</f>
        <v/>
      </c>
      <c r="Q1810" s="27" t="str">
        <f>IFERROR(INDEX(#REF!,MATCH($O1810,#REF!,0)),"")</f>
        <v/>
      </c>
      <c r="R1810" s="52" t="str">
        <f>IFERROR(IF(AR1811=AR1810,INDEX(#REF!,MATCH($O1810,#REF!,0))-IF(AN1810="",0,AN1810)+AP1811,INDEX(#REF!,MATCH($O1810,#REF!,0))-IF(AN1810="",0,AN1810)),"")</f>
        <v/>
      </c>
      <c r="S1810" s="53" t="str">
        <f t="shared" si="896"/>
        <v/>
      </c>
      <c r="T1810" s="52" t="str">
        <f t="shared" si="897"/>
        <v/>
      </c>
      <c r="U1810" s="52" t="str">
        <f>IFERROR(IF(AR1811=AR1810,INDEX(#REF!,MATCH($O1810,#REF!,0))-IF(AN1810="",0,AN1810)+AP1811,INDEX(#REF!,MATCH($O1810,#REF!,0))-IF(AN1810="",0,AN1810)),"")</f>
        <v/>
      </c>
      <c r="V1810" s="53" t="str">
        <f t="shared" si="898"/>
        <v/>
      </c>
      <c r="W1810" s="52" t="str">
        <f t="shared" si="899"/>
        <v/>
      </c>
      <c r="X1810" s="52" t="str">
        <f>IFERROR(IF(AND(AR1811=AR1810,AM1810&lt;&gt;""),INDEX(#REF!,MATCH($O1810,#REF!,0))-IF(AN1810="",0,AN1810)+AP1811+AD1810+AL1810,IF(AR1811=AR1810,INDEX(#REF!,MATCH($O1810,#REF!,0))-IF(AN1810="",0,AN1810)+AP1811+AD1810,IF(AM1810&lt;&gt;"",INDEX(#REF!,MATCH($O1810,#REF!,0))-IF(AN1810="",0,AN1810)+AD1810+AL1810,INDEX(#REF!,MATCH($O1810,#REF!,0))-IF(AN1810="",0,AN1810)+AD1810))),"")</f>
        <v/>
      </c>
      <c r="Y1810" s="53" t="str">
        <f t="shared" si="900"/>
        <v/>
      </c>
      <c r="Z1810" s="52" t="str">
        <f>IF(L1810="","",INDEX(#REF!,MATCH($O1810,#REF!,0)))</f>
        <v/>
      </c>
      <c r="AA1810" s="52" t="str">
        <f t="shared" si="901"/>
        <v/>
      </c>
      <c r="AB1810" s="52" t="str">
        <f>IFERROR(INDEX(#REF!,MATCH($O1810,#REF!,0)),"")</f>
        <v/>
      </c>
      <c r="AC1810" s="52" t="str">
        <f>IFERROR(IF(O1810="","",SUMIFS('CPL Mats'!F:F,'CPL Mats'!Q:Q,AR1810,'CPL Mats'!S:S,AS1810)),"")</f>
        <v/>
      </c>
      <c r="AF1810" s="25" t="e">
        <f>IF(SUMIFS(#REF!,#REF!,"Releasable",#REF!,O1810)=0,"",SUMIFS(#REF!,#REF!,"Releasable",#REF!,O1810))</f>
        <v>#REF!</v>
      </c>
      <c r="AG1810" s="25" t="str">
        <f>IFERROR(INDEX(#REF!,MATCH(O1810,#REF!,0)),"")</f>
        <v/>
      </c>
      <c r="AH1810" s="25" t="str">
        <f>IFERROR(INDEX(#REF!,MATCH($O1810,#REF!,0)),"")</f>
        <v/>
      </c>
      <c r="AI1810" s="25" t="e">
        <f>IF(SUMIFS(#REF!,#REF!,"Expires this month",#REF!,O1810)=0,"",SUMIFS(#REF!,#REF!,"Expires this month",#REF!,O1810))</f>
        <v>#REF!</v>
      </c>
      <c r="AJ1810" s="25" t="e">
        <f>IF(SUMIFS(#REF!,#REF!,"Expired Previous Months",#REF!,O1810)=0,"",SUMIFS(#REF!,#REF!,"Expired Previous Months",#REF!,O1810))</f>
        <v>#REF!</v>
      </c>
      <c r="AK1810" s="25" t="str">
        <f>IFERROR(INDEX('Hun Release Current'!B:B,MATCH(O1810,'Hun Release Current'!A:A,0)),"")</f>
        <v/>
      </c>
      <c r="AL1810" s="25" t="str">
        <f>IF(SUMIF('Prev Aub'!A:A,O1810,'Prev Aub'!B:B)=0,"",SUMIF('Prev Aub'!A:A,O1810,'Prev Aub'!B:B))</f>
        <v/>
      </c>
      <c r="AN1810" s="25" t="s">
        <v>3790</v>
      </c>
      <c r="AO1810" s="25" t="s">
        <v>3790</v>
      </c>
      <c r="AP1810" s="25" t="str">
        <f t="shared" si="923"/>
        <v/>
      </c>
      <c r="AQ1810" s="151" t="e">
        <f>IF(SUMIFS(#REF!,#REF!,O1810,#REF!,"PENDING")=0,"",SUMIFS(#REF!,#REF!,O1810,#REF!,"PENDING"))</f>
        <v>#REF!</v>
      </c>
      <c r="AR1810" s="27" t="str">
        <f t="shared" si="902"/>
        <v/>
      </c>
      <c r="AS1810" s="27" t="str">
        <f t="shared" si="903"/>
        <v/>
      </c>
      <c r="AT1810" s="27" t="str">
        <f t="shared" si="904"/>
        <v/>
      </c>
      <c r="AU1810" s="27" t="str">
        <f t="shared" si="905"/>
        <v/>
      </c>
      <c r="AV1810" s="27" t="str">
        <f t="shared" si="906"/>
        <v/>
      </c>
      <c r="AW1810" s="27" t="e">
        <f t="shared" si="907"/>
        <v>#REF!</v>
      </c>
      <c r="AX1810" s="27" t="e">
        <f t="shared" si="908"/>
        <v>#REF!</v>
      </c>
      <c r="AY1810" s="27" t="str">
        <f t="shared" si="909"/>
        <v/>
      </c>
      <c r="AZ1810" s="27" t="str">
        <f t="shared" si="910"/>
        <v/>
      </c>
      <c r="BA1810" s="27" t="str">
        <f t="shared" si="911"/>
        <v/>
      </c>
      <c r="BB1810" s="27" t="str">
        <f t="shared" si="912"/>
        <v/>
      </c>
      <c r="BC1810" s="27" t="str">
        <f t="shared" si="913"/>
        <v/>
      </c>
      <c r="BD1810" s="27" t="str">
        <f t="shared" si="914"/>
        <v/>
      </c>
      <c r="BE1810" s="27" t="str">
        <f t="shared" si="915"/>
        <v/>
      </c>
      <c r="BF1810" s="27" t="str">
        <f t="shared" si="916"/>
        <v/>
      </c>
      <c r="BG1810" s="27" t="str">
        <f t="shared" si="917"/>
        <v/>
      </c>
      <c r="BH1810" s="27" t="str">
        <f t="shared" si="918"/>
        <v/>
      </c>
      <c r="BI1810" s="27" t="str">
        <f t="shared" si="919"/>
        <v/>
      </c>
      <c r="BJ1810" s="27" t="str">
        <f t="shared" si="920"/>
        <v/>
      </c>
      <c r="BK1810" s="27" t="str">
        <f t="shared" si="921"/>
        <v/>
      </c>
      <c r="BL1810" s="27" t="str">
        <f t="shared" si="922"/>
        <v/>
      </c>
      <c r="BM1810" s="21" t="s">
        <v>3790</v>
      </c>
    </row>
    <row r="1811" spans="1:65" ht="15">
      <c r="A1811" s="25" t="str">
        <f>IFERROR(INDEX(#REF!,MATCH(O1811,#REF!,0)),"")</f>
        <v/>
      </c>
      <c r="B1811" s="25" t="str">
        <f>IFERROR(INDEX(#REF!,MATCH(O1811,#REF!,0)),"")</f>
        <v/>
      </c>
      <c r="C1811" s="25" t="str">
        <f>IFERROR(INDEX(#REF!,MATCH(O1811,#REF!,0)),"")</f>
        <v/>
      </c>
      <c r="D1811" s="25" t="str">
        <f>IFERROR(INDEX(#REF!,MATCH(O1811,#REF!,0)),"")</f>
        <v/>
      </c>
      <c r="E1811" s="25" t="str">
        <f>IFERROR(INDEX(#REF!,MATCH(O1811,#REF!,0)),"")</f>
        <v/>
      </c>
      <c r="F1811" s="25" t="str">
        <f>IFERROR(INDEX(#REF!,MATCH(O1811,#REF!,0)),"")</f>
        <v/>
      </c>
      <c r="G1811" s="25" t="str">
        <f>IFERROR(INDEX(#REF!,MATCH(O1811,#REF!,0)),"")</f>
        <v/>
      </c>
      <c r="H1811" s="25" t="str">
        <f>IFERROR(INDEX(#REF!,MATCH(O1811,#REF!,0)),"")</f>
        <v/>
      </c>
      <c r="I1811" s="25" t="str">
        <f>IFERROR(INDEX(#REF!,MATCH(O1811,#REF!,0)),"")</f>
        <v/>
      </c>
      <c r="J1811" s="25" t="str">
        <f>IFERROR(INDEX(#REF!,MATCH(O1811,#REF!,0)),"")</f>
        <v/>
      </c>
      <c r="K1811" s="25" t="str">
        <f>IFERROR(INDEX(#REF!,MATCH(O1811,#REF!,0)),"")</f>
        <v/>
      </c>
      <c r="L1811" s="25" t="str">
        <f>IFERROR(INDEX(#REF!,MATCH(O1811,#REF!,0)),"")</f>
        <v/>
      </c>
      <c r="P1811" s="27" t="str">
        <f>IFERROR(INDEX(#REF!,MATCH($O1811,#REF!,0)),"")</f>
        <v/>
      </c>
      <c r="Q1811" s="27" t="str">
        <f>IFERROR(INDEX(#REF!,MATCH($O1811,#REF!,0)),"")</f>
        <v/>
      </c>
      <c r="R1811" s="52" t="str">
        <f>IFERROR(IF(AR1812=AR1811,INDEX(#REF!,MATCH($O1811,#REF!,0))-IF(AN1811="",0,AN1811)+AP1812,INDEX(#REF!,MATCH($O1811,#REF!,0))-IF(AN1811="",0,AN1811)),"")</f>
        <v/>
      </c>
      <c r="S1811" s="53" t="str">
        <f t="shared" si="896"/>
        <v/>
      </c>
      <c r="T1811" s="52" t="str">
        <f t="shared" si="897"/>
        <v/>
      </c>
      <c r="U1811" s="52" t="str">
        <f>IFERROR(IF(AR1812=AR1811,INDEX(#REF!,MATCH($O1811,#REF!,0))-IF(AN1811="",0,AN1811)+AP1812,INDEX(#REF!,MATCH($O1811,#REF!,0))-IF(AN1811="",0,AN1811)),"")</f>
        <v/>
      </c>
      <c r="V1811" s="53" t="str">
        <f t="shared" si="898"/>
        <v/>
      </c>
      <c r="W1811" s="52" t="str">
        <f t="shared" si="899"/>
        <v/>
      </c>
      <c r="X1811" s="52" t="str">
        <f>IFERROR(IF(AND(AR1812=AR1811,AM1811&lt;&gt;""),INDEX(#REF!,MATCH($O1811,#REF!,0))-IF(AN1811="",0,AN1811)+AP1812+AD1811+AL1811,IF(AR1812=AR1811,INDEX(#REF!,MATCH($O1811,#REF!,0))-IF(AN1811="",0,AN1811)+AP1812+AD1811,IF(AM1811&lt;&gt;"",INDEX(#REF!,MATCH($O1811,#REF!,0))-IF(AN1811="",0,AN1811)+AD1811+AL1811,INDEX(#REF!,MATCH($O1811,#REF!,0))-IF(AN1811="",0,AN1811)+AD1811))),"")</f>
        <v/>
      </c>
      <c r="Y1811" s="53" t="str">
        <f t="shared" si="900"/>
        <v/>
      </c>
      <c r="Z1811" s="52" t="str">
        <f>IF(L1811="","",INDEX(#REF!,MATCH($O1811,#REF!,0)))</f>
        <v/>
      </c>
      <c r="AA1811" s="52" t="str">
        <f t="shared" si="901"/>
        <v/>
      </c>
      <c r="AB1811" s="52" t="str">
        <f>IFERROR(INDEX(#REF!,MATCH($O1811,#REF!,0)),"")</f>
        <v/>
      </c>
      <c r="AC1811" s="52" t="str">
        <f>IFERROR(IF(O1811="","",SUMIFS('CPL Mats'!F:F,'CPL Mats'!Q:Q,AR1811,'CPL Mats'!S:S,AS1811)),"")</f>
        <v/>
      </c>
      <c r="AF1811" s="25" t="e">
        <f>IF(SUMIFS(#REF!,#REF!,"Releasable",#REF!,O1811)=0,"",SUMIFS(#REF!,#REF!,"Releasable",#REF!,O1811))</f>
        <v>#REF!</v>
      </c>
      <c r="AG1811" s="25" t="str">
        <f>IFERROR(INDEX(#REF!,MATCH(O1811,#REF!,0)),"")</f>
        <v/>
      </c>
      <c r="AH1811" s="25" t="str">
        <f>IFERROR(INDEX(#REF!,MATCH($O1811,#REF!,0)),"")</f>
        <v/>
      </c>
      <c r="AI1811" s="25" t="e">
        <f>IF(SUMIFS(#REF!,#REF!,"Expires this month",#REF!,O1811)=0,"",SUMIFS(#REF!,#REF!,"Expires this month",#REF!,O1811))</f>
        <v>#REF!</v>
      </c>
      <c r="AJ1811" s="25" t="e">
        <f>IF(SUMIFS(#REF!,#REF!,"Expired Previous Months",#REF!,O1811)=0,"",SUMIFS(#REF!,#REF!,"Expired Previous Months",#REF!,O1811))</f>
        <v>#REF!</v>
      </c>
      <c r="AK1811" s="25" t="str">
        <f>IFERROR(INDEX('Hun Release Current'!B:B,MATCH(O1811,'Hun Release Current'!A:A,0)),"")</f>
        <v/>
      </c>
      <c r="AL1811" s="25" t="str">
        <f>IF(SUMIF('Prev Aub'!A:A,O1811,'Prev Aub'!B:B)=0,"",SUMIF('Prev Aub'!A:A,O1811,'Prev Aub'!B:B))</f>
        <v/>
      </c>
      <c r="AN1811" s="25" t="s">
        <v>3790</v>
      </c>
      <c r="AO1811" s="25" t="s">
        <v>3790</v>
      </c>
      <c r="AP1811" s="25" t="str">
        <f t="shared" si="923"/>
        <v/>
      </c>
      <c r="AQ1811" s="151" t="e">
        <f>IF(SUMIFS(#REF!,#REF!,O1811,#REF!,"PENDING")=0,"",SUMIFS(#REF!,#REF!,O1811,#REF!,"PENDING"))</f>
        <v>#REF!</v>
      </c>
      <c r="AR1811" s="27" t="str">
        <f t="shared" si="902"/>
        <v/>
      </c>
      <c r="AS1811" s="27" t="str">
        <f t="shared" si="903"/>
        <v/>
      </c>
      <c r="AT1811" s="27" t="str">
        <f t="shared" si="904"/>
        <v/>
      </c>
      <c r="AU1811" s="27" t="str">
        <f t="shared" si="905"/>
        <v/>
      </c>
      <c r="AV1811" s="27" t="str">
        <f t="shared" si="906"/>
        <v/>
      </c>
      <c r="AW1811" s="27" t="e">
        <f t="shared" si="907"/>
        <v>#REF!</v>
      </c>
      <c r="AX1811" s="27" t="e">
        <f t="shared" si="908"/>
        <v>#REF!</v>
      </c>
      <c r="AY1811" s="27" t="str">
        <f t="shared" si="909"/>
        <v/>
      </c>
      <c r="AZ1811" s="27" t="str">
        <f t="shared" si="910"/>
        <v/>
      </c>
      <c r="BA1811" s="27" t="str">
        <f t="shared" si="911"/>
        <v/>
      </c>
      <c r="BB1811" s="27" t="str">
        <f t="shared" si="912"/>
        <v/>
      </c>
      <c r="BC1811" s="27" t="str">
        <f t="shared" si="913"/>
        <v/>
      </c>
      <c r="BD1811" s="27" t="str">
        <f t="shared" si="914"/>
        <v/>
      </c>
      <c r="BE1811" s="27" t="str">
        <f t="shared" si="915"/>
        <v/>
      </c>
      <c r="BF1811" s="27" t="str">
        <f t="shared" si="916"/>
        <v/>
      </c>
      <c r="BG1811" s="27" t="str">
        <f t="shared" si="917"/>
        <v/>
      </c>
      <c r="BH1811" s="27" t="str">
        <f t="shared" si="918"/>
        <v/>
      </c>
      <c r="BI1811" s="27" t="str">
        <f t="shared" si="919"/>
        <v/>
      </c>
      <c r="BJ1811" s="27" t="str">
        <f t="shared" si="920"/>
        <v/>
      </c>
      <c r="BK1811" s="27" t="str">
        <f t="shared" si="921"/>
        <v/>
      </c>
      <c r="BL1811" s="27" t="str">
        <f t="shared" si="922"/>
        <v/>
      </c>
      <c r="BM1811" s="21" t="s">
        <v>3790</v>
      </c>
    </row>
    <row r="1812" spans="1:65" ht="15">
      <c r="A1812" s="25" t="str">
        <f>IFERROR(INDEX(#REF!,MATCH(O1812,#REF!,0)),"")</f>
        <v/>
      </c>
      <c r="B1812" s="25" t="str">
        <f>IFERROR(INDEX(#REF!,MATCH(O1812,#REF!,0)),"")</f>
        <v/>
      </c>
      <c r="C1812" s="25" t="str">
        <f>IFERROR(INDEX(#REF!,MATCH(O1812,#REF!,0)),"")</f>
        <v/>
      </c>
      <c r="D1812" s="25" t="str">
        <f>IFERROR(INDEX(#REF!,MATCH(O1812,#REF!,0)),"")</f>
        <v/>
      </c>
      <c r="E1812" s="25" t="str">
        <f>IFERROR(INDEX(#REF!,MATCH(O1812,#REF!,0)),"")</f>
        <v/>
      </c>
      <c r="F1812" s="25" t="str">
        <f>IFERROR(INDEX(#REF!,MATCH(O1812,#REF!,0)),"")</f>
        <v/>
      </c>
      <c r="G1812" s="25" t="str">
        <f>IFERROR(INDEX(#REF!,MATCH(O1812,#REF!,0)),"")</f>
        <v/>
      </c>
      <c r="H1812" s="25" t="str">
        <f>IFERROR(INDEX(#REF!,MATCH(O1812,#REF!,0)),"")</f>
        <v/>
      </c>
      <c r="I1812" s="25" t="str">
        <f>IFERROR(INDEX(#REF!,MATCH(O1812,#REF!,0)),"")</f>
        <v/>
      </c>
      <c r="J1812" s="25" t="str">
        <f>IFERROR(INDEX(#REF!,MATCH(O1812,#REF!,0)),"")</f>
        <v/>
      </c>
      <c r="K1812" s="25" t="str">
        <f>IFERROR(INDEX(#REF!,MATCH(O1812,#REF!,0)),"")</f>
        <v/>
      </c>
      <c r="L1812" s="25" t="str">
        <f>IFERROR(INDEX(#REF!,MATCH(O1812,#REF!,0)),"")</f>
        <v/>
      </c>
      <c r="P1812" s="27" t="str">
        <f>IFERROR(INDEX(#REF!,MATCH($O1812,#REF!,0)),"")</f>
        <v/>
      </c>
      <c r="Q1812" s="27" t="str">
        <f>IFERROR(INDEX(#REF!,MATCH($O1812,#REF!,0)),"")</f>
        <v/>
      </c>
      <c r="R1812" s="52" t="str">
        <f>IFERROR(IF(AR1813=AR1812,INDEX(#REF!,MATCH($O1812,#REF!,0))-IF(AN1812="",0,AN1812)+AP1813,INDEX(#REF!,MATCH($O1812,#REF!,0))-IF(AN1812="",0,AN1812)),"")</f>
        <v/>
      </c>
      <c r="S1812" s="53" t="str">
        <f t="shared" si="896"/>
        <v/>
      </c>
      <c r="T1812" s="52" t="str">
        <f t="shared" si="897"/>
        <v/>
      </c>
      <c r="U1812" s="52" t="str">
        <f>IFERROR(IF(AR1813=AR1812,INDEX(#REF!,MATCH($O1812,#REF!,0))-IF(AN1812="",0,AN1812)+AP1813,INDEX(#REF!,MATCH($O1812,#REF!,0))-IF(AN1812="",0,AN1812)),"")</f>
        <v/>
      </c>
      <c r="V1812" s="53" t="str">
        <f t="shared" si="898"/>
        <v/>
      </c>
      <c r="W1812" s="52" t="str">
        <f t="shared" si="899"/>
        <v/>
      </c>
      <c r="X1812" s="52" t="str">
        <f>IFERROR(IF(AND(AR1813=AR1812,AM1812&lt;&gt;""),INDEX(#REF!,MATCH($O1812,#REF!,0))-IF(AN1812="",0,AN1812)+AP1813+AD1812+AL1812,IF(AR1813=AR1812,INDEX(#REF!,MATCH($O1812,#REF!,0))-IF(AN1812="",0,AN1812)+AP1813+AD1812,IF(AM1812&lt;&gt;"",INDEX(#REF!,MATCH($O1812,#REF!,0))-IF(AN1812="",0,AN1812)+AD1812+AL1812,INDEX(#REF!,MATCH($O1812,#REF!,0))-IF(AN1812="",0,AN1812)+AD1812))),"")</f>
        <v/>
      </c>
      <c r="Y1812" s="53" t="str">
        <f t="shared" si="900"/>
        <v/>
      </c>
      <c r="Z1812" s="52" t="str">
        <f>IF(L1812="","",INDEX(#REF!,MATCH($O1812,#REF!,0)))</f>
        <v/>
      </c>
      <c r="AA1812" s="52" t="str">
        <f t="shared" si="901"/>
        <v/>
      </c>
      <c r="AB1812" s="52" t="str">
        <f>IFERROR(INDEX(#REF!,MATCH($O1812,#REF!,0)),"")</f>
        <v/>
      </c>
      <c r="AC1812" s="52" t="str">
        <f>IFERROR(IF(O1812="","",SUMIFS('CPL Mats'!F:F,'CPL Mats'!Q:Q,AR1812,'CPL Mats'!S:S,AS1812)),"")</f>
        <v/>
      </c>
      <c r="AF1812" s="25" t="e">
        <f>IF(SUMIFS(#REF!,#REF!,"Releasable",#REF!,O1812)=0,"",SUMIFS(#REF!,#REF!,"Releasable",#REF!,O1812))</f>
        <v>#REF!</v>
      </c>
      <c r="AG1812" s="25" t="str">
        <f>IFERROR(INDEX(#REF!,MATCH(O1812,#REF!,0)),"")</f>
        <v/>
      </c>
      <c r="AH1812" s="25" t="str">
        <f>IFERROR(INDEX(#REF!,MATCH($O1812,#REF!,0)),"")</f>
        <v/>
      </c>
      <c r="AI1812" s="25" t="e">
        <f>IF(SUMIFS(#REF!,#REF!,"Expires this month",#REF!,O1812)=0,"",SUMIFS(#REF!,#REF!,"Expires this month",#REF!,O1812))</f>
        <v>#REF!</v>
      </c>
      <c r="AJ1812" s="25" t="e">
        <f>IF(SUMIFS(#REF!,#REF!,"Expired Previous Months",#REF!,O1812)=0,"",SUMIFS(#REF!,#REF!,"Expired Previous Months",#REF!,O1812))</f>
        <v>#REF!</v>
      </c>
      <c r="AK1812" s="25" t="str">
        <f>IFERROR(INDEX('Hun Release Current'!B:B,MATCH(O1812,'Hun Release Current'!A:A,0)),"")</f>
        <v/>
      </c>
      <c r="AL1812" s="25" t="str">
        <f>IF(SUMIF('Prev Aub'!A:A,O1812,'Prev Aub'!B:B)=0,"",SUMIF('Prev Aub'!A:A,O1812,'Prev Aub'!B:B))</f>
        <v/>
      </c>
      <c r="AN1812" s="25" t="s">
        <v>3790</v>
      </c>
      <c r="AO1812" s="25" t="s">
        <v>3790</v>
      </c>
      <c r="AP1812" s="25" t="str">
        <f t="shared" si="923"/>
        <v/>
      </c>
      <c r="AQ1812" s="151" t="e">
        <f>IF(SUMIFS(#REF!,#REF!,O1812,#REF!,"PENDING")=0,"",SUMIFS(#REF!,#REF!,O1812,#REF!,"PENDING"))</f>
        <v>#REF!</v>
      </c>
      <c r="AR1812" s="27" t="str">
        <f t="shared" si="902"/>
        <v/>
      </c>
      <c r="AS1812" s="27" t="str">
        <f t="shared" si="903"/>
        <v/>
      </c>
      <c r="AT1812" s="27" t="str">
        <f t="shared" si="904"/>
        <v/>
      </c>
      <c r="AU1812" s="27" t="str">
        <f t="shared" si="905"/>
        <v/>
      </c>
      <c r="AV1812" s="27" t="str">
        <f t="shared" si="906"/>
        <v/>
      </c>
      <c r="AW1812" s="27" t="e">
        <f t="shared" si="907"/>
        <v>#REF!</v>
      </c>
      <c r="AX1812" s="27" t="e">
        <f t="shared" si="908"/>
        <v>#REF!</v>
      </c>
      <c r="AY1812" s="27" t="str">
        <f t="shared" si="909"/>
        <v/>
      </c>
      <c r="AZ1812" s="27" t="str">
        <f t="shared" si="910"/>
        <v/>
      </c>
      <c r="BA1812" s="27" t="str">
        <f t="shared" si="911"/>
        <v/>
      </c>
      <c r="BB1812" s="27" t="str">
        <f t="shared" si="912"/>
        <v/>
      </c>
      <c r="BC1812" s="27" t="str">
        <f t="shared" si="913"/>
        <v/>
      </c>
      <c r="BD1812" s="27" t="str">
        <f t="shared" si="914"/>
        <v/>
      </c>
      <c r="BE1812" s="27" t="str">
        <f t="shared" si="915"/>
        <v/>
      </c>
      <c r="BF1812" s="27" t="str">
        <f t="shared" si="916"/>
        <v/>
      </c>
      <c r="BG1812" s="27" t="str">
        <f t="shared" si="917"/>
        <v/>
      </c>
      <c r="BH1812" s="27" t="str">
        <f t="shared" si="918"/>
        <v/>
      </c>
      <c r="BI1812" s="27" t="str">
        <f t="shared" si="919"/>
        <v/>
      </c>
      <c r="BJ1812" s="27" t="str">
        <f t="shared" si="920"/>
        <v/>
      </c>
      <c r="BK1812" s="27" t="str">
        <f t="shared" si="921"/>
        <v/>
      </c>
      <c r="BL1812" s="27" t="str">
        <f t="shared" si="922"/>
        <v/>
      </c>
      <c r="BM1812" s="21" t="s">
        <v>3790</v>
      </c>
    </row>
    <row r="1813" spans="1:65" ht="15">
      <c r="A1813" s="25" t="str">
        <f>IFERROR(INDEX(#REF!,MATCH(O1813,#REF!,0)),"")</f>
        <v/>
      </c>
      <c r="B1813" s="25" t="str">
        <f>IFERROR(INDEX(#REF!,MATCH(O1813,#REF!,0)),"")</f>
        <v/>
      </c>
      <c r="C1813" s="25" t="str">
        <f>IFERROR(INDEX(#REF!,MATCH(O1813,#REF!,0)),"")</f>
        <v/>
      </c>
      <c r="D1813" s="25" t="str">
        <f>IFERROR(INDEX(#REF!,MATCH(O1813,#REF!,0)),"")</f>
        <v/>
      </c>
      <c r="E1813" s="25" t="str">
        <f>IFERROR(INDEX(#REF!,MATCH(O1813,#REF!,0)),"")</f>
        <v/>
      </c>
      <c r="F1813" s="25" t="str">
        <f>IFERROR(INDEX(#REF!,MATCH(O1813,#REF!,0)),"")</f>
        <v/>
      </c>
      <c r="G1813" s="25" t="str">
        <f>IFERROR(INDEX(#REF!,MATCH(O1813,#REF!,0)),"")</f>
        <v/>
      </c>
      <c r="H1813" s="25" t="str">
        <f>IFERROR(INDEX(#REF!,MATCH(O1813,#REF!,0)),"")</f>
        <v/>
      </c>
      <c r="I1813" s="25" t="str">
        <f>IFERROR(INDEX(#REF!,MATCH(O1813,#REF!,0)),"")</f>
        <v/>
      </c>
      <c r="J1813" s="25" t="str">
        <f>IFERROR(INDEX(#REF!,MATCH(O1813,#REF!,0)),"")</f>
        <v/>
      </c>
      <c r="K1813" s="25" t="str">
        <f>IFERROR(INDEX(#REF!,MATCH(O1813,#REF!,0)),"")</f>
        <v/>
      </c>
      <c r="L1813" s="25" t="str">
        <f>IFERROR(INDEX(#REF!,MATCH(O1813,#REF!,0)),"")</f>
        <v/>
      </c>
      <c r="P1813" s="27" t="str">
        <f>IFERROR(INDEX(#REF!,MATCH($O1813,#REF!,0)),"")</f>
        <v/>
      </c>
      <c r="Q1813" s="27" t="str">
        <f>IFERROR(INDEX(#REF!,MATCH($O1813,#REF!,0)),"")</f>
        <v/>
      </c>
      <c r="R1813" s="52" t="str">
        <f>IFERROR(IF(AR1814=AR1813,INDEX(#REF!,MATCH($O1813,#REF!,0))-IF(AN1813="",0,AN1813)+AP1814,INDEX(#REF!,MATCH($O1813,#REF!,0))-IF(AN1813="",0,AN1813)),"")</f>
        <v/>
      </c>
      <c r="S1813" s="53" t="str">
        <f t="shared" si="896"/>
        <v/>
      </c>
      <c r="T1813" s="52" t="str">
        <f t="shared" si="897"/>
        <v/>
      </c>
      <c r="U1813" s="52" t="str">
        <f>IFERROR(IF(AR1814=AR1813,INDEX(#REF!,MATCH($O1813,#REF!,0))-IF(AN1813="",0,AN1813)+AP1814,INDEX(#REF!,MATCH($O1813,#REF!,0))-IF(AN1813="",0,AN1813)),"")</f>
        <v/>
      </c>
      <c r="V1813" s="53" t="str">
        <f t="shared" si="898"/>
        <v/>
      </c>
      <c r="W1813" s="52" t="str">
        <f t="shared" si="899"/>
        <v/>
      </c>
      <c r="X1813" s="52" t="str">
        <f>IFERROR(IF(AND(AR1814=AR1813,AM1813&lt;&gt;""),INDEX(#REF!,MATCH($O1813,#REF!,0))-IF(AN1813="",0,AN1813)+AP1814+AD1813+AL1813,IF(AR1814=AR1813,INDEX(#REF!,MATCH($O1813,#REF!,0))-IF(AN1813="",0,AN1813)+AP1814+AD1813,IF(AM1813&lt;&gt;"",INDEX(#REF!,MATCH($O1813,#REF!,0))-IF(AN1813="",0,AN1813)+AD1813+AL1813,INDEX(#REF!,MATCH($O1813,#REF!,0))-IF(AN1813="",0,AN1813)+AD1813))),"")</f>
        <v/>
      </c>
      <c r="Y1813" s="53" t="str">
        <f t="shared" si="900"/>
        <v/>
      </c>
      <c r="Z1813" s="52" t="str">
        <f>IF(L1813="","",INDEX(#REF!,MATCH($O1813,#REF!,0)))</f>
        <v/>
      </c>
      <c r="AA1813" s="52" t="str">
        <f t="shared" si="901"/>
        <v/>
      </c>
      <c r="AB1813" s="52" t="str">
        <f>IFERROR(INDEX(#REF!,MATCH($O1813,#REF!,0)),"")</f>
        <v/>
      </c>
      <c r="AC1813" s="52" t="str">
        <f>IFERROR(IF(O1813="","",SUMIFS('CPL Mats'!F:F,'CPL Mats'!Q:Q,AR1813,'CPL Mats'!S:S,AS1813)),"")</f>
        <v/>
      </c>
      <c r="AF1813" s="25" t="e">
        <f>IF(SUMIFS(#REF!,#REF!,"Releasable",#REF!,O1813)=0,"",SUMIFS(#REF!,#REF!,"Releasable",#REF!,O1813))</f>
        <v>#REF!</v>
      </c>
      <c r="AG1813" s="25" t="str">
        <f>IFERROR(INDEX(#REF!,MATCH(O1813,#REF!,0)),"")</f>
        <v/>
      </c>
      <c r="AH1813" s="25" t="str">
        <f>IFERROR(INDEX(#REF!,MATCH($O1813,#REF!,0)),"")</f>
        <v/>
      </c>
      <c r="AI1813" s="25" t="e">
        <f>IF(SUMIFS(#REF!,#REF!,"Expires this month",#REF!,O1813)=0,"",SUMIFS(#REF!,#REF!,"Expires this month",#REF!,O1813))</f>
        <v>#REF!</v>
      </c>
      <c r="AJ1813" s="25" t="e">
        <f>IF(SUMIFS(#REF!,#REF!,"Expired Previous Months",#REF!,O1813)=0,"",SUMIFS(#REF!,#REF!,"Expired Previous Months",#REF!,O1813))</f>
        <v>#REF!</v>
      </c>
      <c r="AK1813" s="25" t="str">
        <f>IFERROR(INDEX('Hun Release Current'!B:B,MATCH(O1813,'Hun Release Current'!A:A,0)),"")</f>
        <v/>
      </c>
      <c r="AL1813" s="25" t="str">
        <f>IF(SUMIF('Prev Aub'!A:A,O1813,'Prev Aub'!B:B)=0,"",SUMIF('Prev Aub'!A:A,O1813,'Prev Aub'!B:B))</f>
        <v/>
      </c>
      <c r="AN1813" s="25" t="s">
        <v>3790</v>
      </c>
      <c r="AO1813" s="25" t="s">
        <v>3790</v>
      </c>
      <c r="AP1813" s="25" t="str">
        <f t="shared" si="923"/>
        <v/>
      </c>
      <c r="AQ1813" s="151" t="e">
        <f>IF(SUMIFS(#REF!,#REF!,O1813,#REF!,"PENDING")=0,"",SUMIFS(#REF!,#REF!,O1813,#REF!,"PENDING"))</f>
        <v>#REF!</v>
      </c>
      <c r="AR1813" s="27" t="str">
        <f t="shared" si="902"/>
        <v/>
      </c>
      <c r="AS1813" s="27" t="str">
        <f t="shared" si="903"/>
        <v/>
      </c>
      <c r="AT1813" s="27" t="str">
        <f t="shared" si="904"/>
        <v/>
      </c>
      <c r="AU1813" s="27" t="str">
        <f t="shared" si="905"/>
        <v/>
      </c>
      <c r="AV1813" s="27" t="str">
        <f t="shared" si="906"/>
        <v/>
      </c>
      <c r="AW1813" s="27" t="e">
        <f t="shared" si="907"/>
        <v>#REF!</v>
      </c>
      <c r="AX1813" s="27" t="e">
        <f t="shared" si="908"/>
        <v>#REF!</v>
      </c>
      <c r="AY1813" s="27" t="str">
        <f t="shared" si="909"/>
        <v/>
      </c>
      <c r="AZ1813" s="27" t="str">
        <f t="shared" si="910"/>
        <v/>
      </c>
      <c r="BA1813" s="27" t="str">
        <f t="shared" si="911"/>
        <v/>
      </c>
      <c r="BB1813" s="27" t="str">
        <f t="shared" si="912"/>
        <v/>
      </c>
      <c r="BC1813" s="27" t="str">
        <f t="shared" si="913"/>
        <v/>
      </c>
      <c r="BD1813" s="27" t="str">
        <f t="shared" si="914"/>
        <v/>
      </c>
      <c r="BE1813" s="27" t="str">
        <f t="shared" si="915"/>
        <v/>
      </c>
      <c r="BF1813" s="27" t="str">
        <f t="shared" si="916"/>
        <v/>
      </c>
      <c r="BG1813" s="27" t="str">
        <f t="shared" si="917"/>
        <v/>
      </c>
      <c r="BH1813" s="27" t="str">
        <f t="shared" si="918"/>
        <v/>
      </c>
      <c r="BI1813" s="27" t="str">
        <f t="shared" si="919"/>
        <v/>
      </c>
      <c r="BJ1813" s="27" t="str">
        <f t="shared" si="920"/>
        <v/>
      </c>
      <c r="BK1813" s="27" t="str">
        <f t="shared" si="921"/>
        <v/>
      </c>
      <c r="BL1813" s="27" t="str">
        <f t="shared" si="922"/>
        <v/>
      </c>
      <c r="BM1813" s="21" t="s">
        <v>3790</v>
      </c>
    </row>
    <row r="1814" spans="1:65" ht="15">
      <c r="A1814" s="25" t="str">
        <f>IFERROR(INDEX(#REF!,MATCH(O1814,#REF!,0)),"")</f>
        <v/>
      </c>
      <c r="B1814" s="25" t="str">
        <f>IFERROR(INDEX(#REF!,MATCH(O1814,#REF!,0)),"")</f>
        <v/>
      </c>
      <c r="C1814" s="25" t="str">
        <f>IFERROR(INDEX(#REF!,MATCH(O1814,#REF!,0)),"")</f>
        <v/>
      </c>
      <c r="D1814" s="25" t="str">
        <f>IFERROR(INDEX(#REF!,MATCH(O1814,#REF!,0)),"")</f>
        <v/>
      </c>
      <c r="E1814" s="25" t="str">
        <f>IFERROR(INDEX(#REF!,MATCH(O1814,#REF!,0)),"")</f>
        <v/>
      </c>
      <c r="F1814" s="25" t="str">
        <f>IFERROR(INDEX(#REF!,MATCH(O1814,#REF!,0)),"")</f>
        <v/>
      </c>
      <c r="G1814" s="25" t="str">
        <f>IFERROR(INDEX(#REF!,MATCH(O1814,#REF!,0)),"")</f>
        <v/>
      </c>
      <c r="H1814" s="25" t="str">
        <f>IFERROR(INDEX(#REF!,MATCH(O1814,#REF!,0)),"")</f>
        <v/>
      </c>
      <c r="I1814" s="25" t="str">
        <f>IFERROR(INDEX(#REF!,MATCH(O1814,#REF!,0)),"")</f>
        <v/>
      </c>
      <c r="J1814" s="25" t="str">
        <f>IFERROR(INDEX(#REF!,MATCH(O1814,#REF!,0)),"")</f>
        <v/>
      </c>
      <c r="K1814" s="25" t="str">
        <f>IFERROR(INDEX(#REF!,MATCH(O1814,#REF!,0)),"")</f>
        <v/>
      </c>
      <c r="L1814" s="25" t="str">
        <f>IFERROR(INDEX(#REF!,MATCH(O1814,#REF!,0)),"")</f>
        <v/>
      </c>
      <c r="P1814" s="27" t="str">
        <f>IFERROR(INDEX(#REF!,MATCH($O1814,#REF!,0)),"")</f>
        <v/>
      </c>
      <c r="Q1814" s="27" t="str">
        <f>IFERROR(INDEX(#REF!,MATCH($O1814,#REF!,0)),"")</f>
        <v/>
      </c>
      <c r="R1814" s="52" t="str">
        <f>IFERROR(IF(AR1815=AR1814,INDEX(#REF!,MATCH($O1814,#REF!,0))-IF(AN1814="",0,AN1814)+AP1815,INDEX(#REF!,MATCH($O1814,#REF!,0))-IF(AN1814="",0,AN1814)),"")</f>
        <v/>
      </c>
      <c r="S1814" s="53" t="str">
        <f t="shared" si="896"/>
        <v/>
      </c>
      <c r="T1814" s="52" t="str">
        <f t="shared" si="897"/>
        <v/>
      </c>
      <c r="U1814" s="52" t="str">
        <f>IFERROR(IF(AR1815=AR1814,INDEX(#REF!,MATCH($O1814,#REF!,0))-IF(AN1814="",0,AN1814)+AP1815,INDEX(#REF!,MATCH($O1814,#REF!,0))-IF(AN1814="",0,AN1814)),"")</f>
        <v/>
      </c>
      <c r="V1814" s="53" t="str">
        <f t="shared" si="898"/>
        <v/>
      </c>
      <c r="W1814" s="52" t="str">
        <f t="shared" si="899"/>
        <v/>
      </c>
      <c r="X1814" s="52" t="str">
        <f>IFERROR(IF(AND(AR1815=AR1814,AM1814&lt;&gt;""),INDEX(#REF!,MATCH($O1814,#REF!,0))-IF(AN1814="",0,AN1814)+AP1815+AD1814+AL1814,IF(AR1815=AR1814,INDEX(#REF!,MATCH($O1814,#REF!,0))-IF(AN1814="",0,AN1814)+AP1815+AD1814,IF(AM1814&lt;&gt;"",INDEX(#REF!,MATCH($O1814,#REF!,0))-IF(AN1814="",0,AN1814)+AD1814+AL1814,INDEX(#REF!,MATCH($O1814,#REF!,0))-IF(AN1814="",0,AN1814)+AD1814))),"")</f>
        <v/>
      </c>
      <c r="Y1814" s="53" t="str">
        <f t="shared" si="900"/>
        <v/>
      </c>
      <c r="Z1814" s="52" t="str">
        <f>IF(L1814="","",INDEX(#REF!,MATCH($O1814,#REF!,0)))</f>
        <v/>
      </c>
      <c r="AA1814" s="52" t="str">
        <f t="shared" si="901"/>
        <v/>
      </c>
      <c r="AB1814" s="52" t="str">
        <f>IFERROR(INDEX(#REF!,MATCH($O1814,#REF!,0)),"")</f>
        <v/>
      </c>
      <c r="AC1814" s="52" t="str">
        <f>IFERROR(IF(O1814="","",SUMIFS('CPL Mats'!F:F,'CPL Mats'!Q:Q,AR1814,'CPL Mats'!S:S,AS1814)),"")</f>
        <v/>
      </c>
      <c r="AF1814" s="25" t="e">
        <f>IF(SUMIFS(#REF!,#REF!,"Releasable",#REF!,O1814)=0,"",SUMIFS(#REF!,#REF!,"Releasable",#REF!,O1814))</f>
        <v>#REF!</v>
      </c>
      <c r="AG1814" s="25" t="str">
        <f>IFERROR(INDEX(#REF!,MATCH(O1814,#REF!,0)),"")</f>
        <v/>
      </c>
      <c r="AH1814" s="25" t="str">
        <f>IFERROR(INDEX(#REF!,MATCH($O1814,#REF!,0)),"")</f>
        <v/>
      </c>
      <c r="AI1814" s="25" t="e">
        <f>IF(SUMIFS(#REF!,#REF!,"Expires this month",#REF!,O1814)=0,"",SUMIFS(#REF!,#REF!,"Expires this month",#REF!,O1814))</f>
        <v>#REF!</v>
      </c>
      <c r="AJ1814" s="25" t="e">
        <f>IF(SUMIFS(#REF!,#REF!,"Expired Previous Months",#REF!,O1814)=0,"",SUMIFS(#REF!,#REF!,"Expired Previous Months",#REF!,O1814))</f>
        <v>#REF!</v>
      </c>
      <c r="AK1814" s="25" t="str">
        <f>IFERROR(INDEX('Hun Release Current'!B:B,MATCH(O1814,'Hun Release Current'!A:A,0)),"")</f>
        <v/>
      </c>
      <c r="AL1814" s="25" t="str">
        <f>IF(SUMIF('Prev Aub'!A:A,O1814,'Prev Aub'!B:B)=0,"",SUMIF('Prev Aub'!A:A,O1814,'Prev Aub'!B:B))</f>
        <v/>
      </c>
      <c r="AN1814" s="25" t="s">
        <v>3790</v>
      </c>
      <c r="AO1814" s="25" t="s">
        <v>3790</v>
      </c>
      <c r="AP1814" s="25" t="str">
        <f t="shared" si="923"/>
        <v/>
      </c>
      <c r="AQ1814" s="151" t="e">
        <f>IF(SUMIFS(#REF!,#REF!,O1814,#REF!,"PENDING")=0,"",SUMIFS(#REF!,#REF!,O1814,#REF!,"PENDING"))</f>
        <v>#REF!</v>
      </c>
      <c r="AR1814" s="27" t="str">
        <f t="shared" si="902"/>
        <v/>
      </c>
      <c r="AS1814" s="27" t="str">
        <f t="shared" si="903"/>
        <v/>
      </c>
      <c r="AT1814" s="27" t="str">
        <f t="shared" si="904"/>
        <v/>
      </c>
      <c r="AU1814" s="27" t="str">
        <f t="shared" si="905"/>
        <v/>
      </c>
      <c r="AV1814" s="27" t="str">
        <f t="shared" si="906"/>
        <v/>
      </c>
      <c r="AW1814" s="27" t="e">
        <f t="shared" si="907"/>
        <v>#REF!</v>
      </c>
      <c r="AX1814" s="27" t="e">
        <f t="shared" si="908"/>
        <v>#REF!</v>
      </c>
      <c r="AY1814" s="27" t="str">
        <f t="shared" si="909"/>
        <v/>
      </c>
      <c r="AZ1814" s="27" t="str">
        <f t="shared" si="910"/>
        <v/>
      </c>
      <c r="BA1814" s="27" t="str">
        <f t="shared" si="911"/>
        <v/>
      </c>
      <c r="BB1814" s="27" t="str">
        <f t="shared" si="912"/>
        <v/>
      </c>
      <c r="BC1814" s="27" t="str">
        <f t="shared" si="913"/>
        <v/>
      </c>
      <c r="BD1814" s="27" t="str">
        <f t="shared" si="914"/>
        <v/>
      </c>
      <c r="BE1814" s="27" t="str">
        <f t="shared" si="915"/>
        <v/>
      </c>
      <c r="BF1814" s="27" t="str">
        <f t="shared" si="916"/>
        <v/>
      </c>
      <c r="BG1814" s="27" t="str">
        <f t="shared" si="917"/>
        <v/>
      </c>
      <c r="BH1814" s="27" t="str">
        <f t="shared" si="918"/>
        <v/>
      </c>
      <c r="BI1814" s="27" t="str">
        <f t="shared" si="919"/>
        <v/>
      </c>
      <c r="BJ1814" s="27" t="str">
        <f t="shared" si="920"/>
        <v/>
      </c>
      <c r="BK1814" s="27" t="str">
        <f t="shared" si="921"/>
        <v/>
      </c>
      <c r="BL1814" s="27" t="str">
        <f t="shared" si="922"/>
        <v/>
      </c>
      <c r="BM1814" s="21" t="s">
        <v>3790</v>
      </c>
    </row>
    <row r="1815" spans="1:65" ht="15">
      <c r="A1815" s="25" t="str">
        <f>IFERROR(INDEX(#REF!,MATCH(O1815,#REF!,0)),"")</f>
        <v/>
      </c>
      <c r="B1815" s="25" t="str">
        <f>IFERROR(INDEX(#REF!,MATCH(O1815,#REF!,0)),"")</f>
        <v/>
      </c>
      <c r="C1815" s="25" t="str">
        <f>IFERROR(INDEX(#REF!,MATCH(O1815,#REF!,0)),"")</f>
        <v/>
      </c>
      <c r="D1815" s="25" t="str">
        <f>IFERROR(INDEX(#REF!,MATCH(O1815,#REF!,0)),"")</f>
        <v/>
      </c>
      <c r="E1815" s="25" t="str">
        <f>IFERROR(INDEX(#REF!,MATCH(O1815,#REF!,0)),"")</f>
        <v/>
      </c>
      <c r="F1815" s="25" t="str">
        <f>IFERROR(INDEX(#REF!,MATCH(O1815,#REF!,0)),"")</f>
        <v/>
      </c>
      <c r="G1815" s="25" t="str">
        <f>IFERROR(INDEX(#REF!,MATCH(O1815,#REF!,0)),"")</f>
        <v/>
      </c>
      <c r="H1815" s="25" t="str">
        <f>IFERROR(INDEX(#REF!,MATCH(O1815,#REF!,0)),"")</f>
        <v/>
      </c>
      <c r="I1815" s="25" t="str">
        <f>IFERROR(INDEX(#REF!,MATCH(O1815,#REF!,0)),"")</f>
        <v/>
      </c>
      <c r="J1815" s="25" t="str">
        <f>IFERROR(INDEX(#REF!,MATCH(O1815,#REF!,0)),"")</f>
        <v/>
      </c>
      <c r="K1815" s="25" t="str">
        <f>IFERROR(INDEX(#REF!,MATCH(O1815,#REF!,0)),"")</f>
        <v/>
      </c>
      <c r="L1815" s="25" t="str">
        <f>IFERROR(INDEX(#REF!,MATCH(O1815,#REF!,0)),"")</f>
        <v/>
      </c>
      <c r="P1815" s="27" t="str">
        <f>IFERROR(INDEX(#REF!,MATCH($O1815,#REF!,0)),"")</f>
        <v/>
      </c>
      <c r="Q1815" s="27" t="str">
        <f>IFERROR(INDEX(#REF!,MATCH($O1815,#REF!,0)),"")</f>
        <v/>
      </c>
      <c r="R1815" s="52" t="str">
        <f>IFERROR(IF(AR1816=AR1815,INDEX(#REF!,MATCH($O1815,#REF!,0))-IF(AN1815="",0,AN1815)+AP1816,INDEX(#REF!,MATCH($O1815,#REF!,0))-IF(AN1815="",0,AN1815)),"")</f>
        <v/>
      </c>
      <c r="S1815" s="53" t="str">
        <f t="shared" si="896"/>
        <v/>
      </c>
      <c r="T1815" s="52" t="str">
        <f t="shared" si="897"/>
        <v/>
      </c>
      <c r="U1815" s="52" t="str">
        <f>IFERROR(IF(AR1816=AR1815,INDEX(#REF!,MATCH($O1815,#REF!,0))-IF(AN1815="",0,AN1815)+AP1816,INDEX(#REF!,MATCH($O1815,#REF!,0))-IF(AN1815="",0,AN1815)),"")</f>
        <v/>
      </c>
      <c r="V1815" s="53" t="str">
        <f t="shared" si="898"/>
        <v/>
      </c>
      <c r="W1815" s="52" t="str">
        <f t="shared" si="899"/>
        <v/>
      </c>
      <c r="X1815" s="52" t="str">
        <f>IFERROR(IF(AND(AR1816=AR1815,AM1815&lt;&gt;""),INDEX(#REF!,MATCH($O1815,#REF!,0))-IF(AN1815="",0,AN1815)+AP1816+AD1815+AL1815,IF(AR1816=AR1815,INDEX(#REF!,MATCH($O1815,#REF!,0))-IF(AN1815="",0,AN1815)+AP1816+AD1815,IF(AM1815&lt;&gt;"",INDEX(#REF!,MATCH($O1815,#REF!,0))-IF(AN1815="",0,AN1815)+AD1815+AL1815,INDEX(#REF!,MATCH($O1815,#REF!,0))-IF(AN1815="",0,AN1815)+AD1815))),"")</f>
        <v/>
      </c>
      <c r="Y1815" s="53" t="str">
        <f t="shared" si="900"/>
        <v/>
      </c>
      <c r="Z1815" s="52" t="str">
        <f>IF(L1815="","",INDEX(#REF!,MATCH($O1815,#REF!,0)))</f>
        <v/>
      </c>
      <c r="AA1815" s="52" t="str">
        <f t="shared" si="901"/>
        <v/>
      </c>
      <c r="AB1815" s="52" t="str">
        <f>IFERROR(INDEX(#REF!,MATCH($O1815,#REF!,0)),"")</f>
        <v/>
      </c>
      <c r="AC1815" s="52" t="str">
        <f>IFERROR(IF(O1815="","",SUMIFS('CPL Mats'!F:F,'CPL Mats'!Q:Q,AR1815,'CPL Mats'!S:S,AS1815)),"")</f>
        <v/>
      </c>
      <c r="AF1815" s="25" t="e">
        <f>IF(SUMIFS(#REF!,#REF!,"Releasable",#REF!,O1815)=0,"",SUMIFS(#REF!,#REF!,"Releasable",#REF!,O1815))</f>
        <v>#REF!</v>
      </c>
      <c r="AG1815" s="25" t="str">
        <f>IFERROR(INDEX(#REF!,MATCH(O1815,#REF!,0)),"")</f>
        <v/>
      </c>
      <c r="AH1815" s="25" t="str">
        <f>IFERROR(INDEX(#REF!,MATCH($O1815,#REF!,0)),"")</f>
        <v/>
      </c>
      <c r="AI1815" s="25" t="e">
        <f>IF(SUMIFS(#REF!,#REF!,"Expires this month",#REF!,O1815)=0,"",SUMIFS(#REF!,#REF!,"Expires this month",#REF!,O1815))</f>
        <v>#REF!</v>
      </c>
      <c r="AJ1815" s="25" t="e">
        <f>IF(SUMIFS(#REF!,#REF!,"Expired Previous Months",#REF!,O1815)=0,"",SUMIFS(#REF!,#REF!,"Expired Previous Months",#REF!,O1815))</f>
        <v>#REF!</v>
      </c>
      <c r="AK1815" s="25" t="str">
        <f>IFERROR(INDEX('Hun Release Current'!B:B,MATCH(O1815,'Hun Release Current'!A:A,0)),"")</f>
        <v/>
      </c>
      <c r="AL1815" s="25" t="str">
        <f>IF(SUMIF('Prev Aub'!A:A,O1815,'Prev Aub'!B:B)=0,"",SUMIF('Prev Aub'!A:A,O1815,'Prev Aub'!B:B))</f>
        <v/>
      </c>
      <c r="AN1815" s="25" t="s">
        <v>3790</v>
      </c>
      <c r="AO1815" s="25" t="s">
        <v>3790</v>
      </c>
      <c r="AP1815" s="25" t="str">
        <f t="shared" si="923"/>
        <v/>
      </c>
      <c r="AQ1815" s="151" t="e">
        <f>IF(SUMIFS(#REF!,#REF!,O1815,#REF!,"PENDING")=0,"",SUMIFS(#REF!,#REF!,O1815,#REF!,"PENDING"))</f>
        <v>#REF!</v>
      </c>
      <c r="AR1815" s="27" t="str">
        <f t="shared" si="902"/>
        <v/>
      </c>
      <c r="AS1815" s="27" t="str">
        <f t="shared" si="903"/>
        <v/>
      </c>
      <c r="AT1815" s="27" t="str">
        <f t="shared" si="904"/>
        <v/>
      </c>
      <c r="AU1815" s="27" t="str">
        <f t="shared" si="905"/>
        <v/>
      </c>
      <c r="AV1815" s="27" t="str">
        <f t="shared" si="906"/>
        <v/>
      </c>
      <c r="AW1815" s="27" t="e">
        <f t="shared" si="907"/>
        <v>#REF!</v>
      </c>
      <c r="AX1815" s="27" t="e">
        <f t="shared" si="908"/>
        <v>#REF!</v>
      </c>
      <c r="AY1815" s="27" t="str">
        <f t="shared" si="909"/>
        <v/>
      </c>
      <c r="AZ1815" s="27" t="str">
        <f t="shared" si="910"/>
        <v/>
      </c>
      <c r="BA1815" s="27" t="str">
        <f t="shared" si="911"/>
        <v/>
      </c>
      <c r="BB1815" s="27" t="str">
        <f t="shared" si="912"/>
        <v/>
      </c>
      <c r="BC1815" s="27" t="str">
        <f t="shared" si="913"/>
        <v/>
      </c>
      <c r="BD1815" s="27" t="str">
        <f t="shared" si="914"/>
        <v/>
      </c>
      <c r="BE1815" s="27" t="str">
        <f t="shared" si="915"/>
        <v/>
      </c>
      <c r="BF1815" s="27" t="str">
        <f t="shared" si="916"/>
        <v/>
      </c>
      <c r="BG1815" s="27" t="str">
        <f t="shared" si="917"/>
        <v/>
      </c>
      <c r="BH1815" s="27" t="str">
        <f t="shared" si="918"/>
        <v/>
      </c>
      <c r="BI1815" s="27" t="str">
        <f t="shared" si="919"/>
        <v/>
      </c>
      <c r="BJ1815" s="27" t="str">
        <f t="shared" si="920"/>
        <v/>
      </c>
      <c r="BK1815" s="27" t="str">
        <f t="shared" si="921"/>
        <v/>
      </c>
      <c r="BL1815" s="27" t="str">
        <f t="shared" si="922"/>
        <v/>
      </c>
      <c r="BM1815" s="21" t="s">
        <v>3790</v>
      </c>
    </row>
    <row r="1816" spans="1:65" ht="15">
      <c r="A1816" s="25" t="str">
        <f>IFERROR(INDEX(#REF!,MATCH(O1816,#REF!,0)),"")</f>
        <v/>
      </c>
      <c r="B1816" s="25" t="str">
        <f>IFERROR(INDEX(#REF!,MATCH(O1816,#REF!,0)),"")</f>
        <v/>
      </c>
      <c r="C1816" s="25" t="str">
        <f>IFERROR(INDEX(#REF!,MATCH(O1816,#REF!,0)),"")</f>
        <v/>
      </c>
      <c r="D1816" s="25" t="str">
        <f>IFERROR(INDEX(#REF!,MATCH(O1816,#REF!,0)),"")</f>
        <v/>
      </c>
      <c r="E1816" s="25" t="str">
        <f>IFERROR(INDEX(#REF!,MATCH(O1816,#REF!,0)),"")</f>
        <v/>
      </c>
      <c r="F1816" s="25" t="str">
        <f>IFERROR(INDEX(#REF!,MATCH(O1816,#REF!,0)),"")</f>
        <v/>
      </c>
      <c r="G1816" s="25" t="str">
        <f>IFERROR(INDEX(#REF!,MATCH(O1816,#REF!,0)),"")</f>
        <v/>
      </c>
      <c r="H1816" s="25" t="str">
        <f>IFERROR(INDEX(#REF!,MATCH(O1816,#REF!,0)),"")</f>
        <v/>
      </c>
      <c r="I1816" s="25" t="str">
        <f>IFERROR(INDEX(#REF!,MATCH(O1816,#REF!,0)),"")</f>
        <v/>
      </c>
      <c r="J1816" s="25" t="str">
        <f>IFERROR(INDEX(#REF!,MATCH(O1816,#REF!,0)),"")</f>
        <v/>
      </c>
      <c r="K1816" s="25" t="str">
        <f>IFERROR(INDEX(#REF!,MATCH(O1816,#REF!,0)),"")</f>
        <v/>
      </c>
      <c r="L1816" s="25" t="str">
        <f>IFERROR(INDEX(#REF!,MATCH(O1816,#REF!,0)),"")</f>
        <v/>
      </c>
      <c r="P1816" s="27" t="str">
        <f>IFERROR(INDEX(#REF!,MATCH($O1816,#REF!,0)),"")</f>
        <v/>
      </c>
      <c r="Q1816" s="27" t="str">
        <f>IFERROR(INDEX(#REF!,MATCH($O1816,#REF!,0)),"")</f>
        <v/>
      </c>
      <c r="R1816" s="52" t="str">
        <f>IFERROR(IF(AR1817=AR1816,INDEX(#REF!,MATCH($O1816,#REF!,0))-IF(AN1816="",0,AN1816)+AP1817,INDEX(#REF!,MATCH($O1816,#REF!,0))-IF(AN1816="",0,AN1816)),"")</f>
        <v/>
      </c>
      <c r="S1816" s="53" t="str">
        <f t="shared" si="896"/>
        <v/>
      </c>
      <c r="T1816" s="52" t="str">
        <f t="shared" si="897"/>
        <v/>
      </c>
      <c r="U1816" s="52" t="str">
        <f>IFERROR(IF(AR1817=AR1816,INDEX(#REF!,MATCH($O1816,#REF!,0))-IF(AN1816="",0,AN1816)+AP1817,INDEX(#REF!,MATCH($O1816,#REF!,0))-IF(AN1816="",0,AN1816)),"")</f>
        <v/>
      </c>
      <c r="V1816" s="53" t="str">
        <f t="shared" si="898"/>
        <v/>
      </c>
      <c r="W1816" s="52" t="str">
        <f t="shared" si="899"/>
        <v/>
      </c>
      <c r="X1816" s="52" t="str">
        <f>IFERROR(IF(AND(AR1817=AR1816,AM1816&lt;&gt;""),INDEX(#REF!,MATCH($O1816,#REF!,0))-IF(AN1816="",0,AN1816)+AP1817+AD1816+AL1816,IF(AR1817=AR1816,INDEX(#REF!,MATCH($O1816,#REF!,0))-IF(AN1816="",0,AN1816)+AP1817+AD1816,IF(AM1816&lt;&gt;"",INDEX(#REF!,MATCH($O1816,#REF!,0))-IF(AN1816="",0,AN1816)+AD1816+AL1816,INDEX(#REF!,MATCH($O1816,#REF!,0))-IF(AN1816="",0,AN1816)+AD1816))),"")</f>
        <v/>
      </c>
      <c r="Y1816" s="53" t="str">
        <f t="shared" si="900"/>
        <v/>
      </c>
      <c r="Z1816" s="52" t="str">
        <f>IF(L1816="","",INDEX(#REF!,MATCH($O1816,#REF!,0)))</f>
        <v/>
      </c>
      <c r="AA1816" s="52" t="str">
        <f t="shared" si="901"/>
        <v/>
      </c>
      <c r="AB1816" s="52" t="str">
        <f>IFERROR(INDEX(#REF!,MATCH($O1816,#REF!,0)),"")</f>
        <v/>
      </c>
      <c r="AC1816" s="52" t="str">
        <f>IFERROR(IF(O1816="","",SUMIFS('CPL Mats'!F:F,'CPL Mats'!Q:Q,AR1816,'CPL Mats'!S:S,AS1816)),"")</f>
        <v/>
      </c>
      <c r="AF1816" s="25" t="e">
        <f>IF(SUMIFS(#REF!,#REF!,"Releasable",#REF!,O1816)=0,"",SUMIFS(#REF!,#REF!,"Releasable",#REF!,O1816))</f>
        <v>#REF!</v>
      </c>
      <c r="AG1816" s="25" t="str">
        <f>IFERROR(INDEX(#REF!,MATCH(O1816,#REF!,0)),"")</f>
        <v/>
      </c>
      <c r="AH1816" s="25" t="str">
        <f>IFERROR(INDEX(#REF!,MATCH($O1816,#REF!,0)),"")</f>
        <v/>
      </c>
      <c r="AI1816" s="25" t="e">
        <f>IF(SUMIFS(#REF!,#REF!,"Expires this month",#REF!,O1816)=0,"",SUMIFS(#REF!,#REF!,"Expires this month",#REF!,O1816))</f>
        <v>#REF!</v>
      </c>
      <c r="AJ1816" s="25" t="e">
        <f>IF(SUMIFS(#REF!,#REF!,"Expired Previous Months",#REF!,O1816)=0,"",SUMIFS(#REF!,#REF!,"Expired Previous Months",#REF!,O1816))</f>
        <v>#REF!</v>
      </c>
      <c r="AK1816" s="25" t="str">
        <f>IFERROR(INDEX('Hun Release Current'!B:B,MATCH(O1816,'Hun Release Current'!A:A,0)),"")</f>
        <v/>
      </c>
      <c r="AL1816" s="25" t="str">
        <f>IF(SUMIF('Prev Aub'!A:A,O1816,'Prev Aub'!B:B)=0,"",SUMIF('Prev Aub'!A:A,O1816,'Prev Aub'!B:B))</f>
        <v/>
      </c>
      <c r="AN1816" s="25" t="s">
        <v>3790</v>
      </c>
      <c r="AO1816" s="25" t="s">
        <v>3790</v>
      </c>
      <c r="AP1816" s="25" t="str">
        <f t="shared" si="923"/>
        <v/>
      </c>
      <c r="AQ1816" s="151" t="e">
        <f>IF(SUMIFS(#REF!,#REF!,O1816,#REF!,"PENDING")=0,"",SUMIFS(#REF!,#REF!,O1816,#REF!,"PENDING"))</f>
        <v>#REF!</v>
      </c>
      <c r="AR1816" s="27" t="str">
        <f t="shared" si="902"/>
        <v/>
      </c>
      <c r="AS1816" s="27" t="str">
        <f t="shared" si="903"/>
        <v/>
      </c>
      <c r="AT1816" s="27" t="str">
        <f t="shared" si="904"/>
        <v/>
      </c>
      <c r="AU1816" s="27" t="str">
        <f t="shared" si="905"/>
        <v/>
      </c>
      <c r="AV1816" s="27" t="str">
        <f t="shared" si="906"/>
        <v/>
      </c>
      <c r="AW1816" s="27" t="e">
        <f t="shared" si="907"/>
        <v>#REF!</v>
      </c>
      <c r="AX1816" s="27" t="e">
        <f t="shared" si="908"/>
        <v>#REF!</v>
      </c>
      <c r="AY1816" s="27" t="str">
        <f t="shared" si="909"/>
        <v/>
      </c>
      <c r="AZ1816" s="27" t="str">
        <f t="shared" si="910"/>
        <v/>
      </c>
      <c r="BA1816" s="27" t="str">
        <f t="shared" si="911"/>
        <v/>
      </c>
      <c r="BB1816" s="27" t="str">
        <f t="shared" si="912"/>
        <v/>
      </c>
      <c r="BC1816" s="27" t="str">
        <f t="shared" si="913"/>
        <v/>
      </c>
      <c r="BD1816" s="27" t="str">
        <f t="shared" si="914"/>
        <v/>
      </c>
      <c r="BE1816" s="27" t="str">
        <f t="shared" si="915"/>
        <v/>
      </c>
      <c r="BF1816" s="27" t="str">
        <f t="shared" si="916"/>
        <v/>
      </c>
      <c r="BG1816" s="27" t="str">
        <f t="shared" si="917"/>
        <v/>
      </c>
      <c r="BH1816" s="27" t="str">
        <f t="shared" si="918"/>
        <v/>
      </c>
      <c r="BI1816" s="27" t="str">
        <f t="shared" si="919"/>
        <v/>
      </c>
      <c r="BJ1816" s="27" t="str">
        <f t="shared" si="920"/>
        <v/>
      </c>
      <c r="BK1816" s="27" t="str">
        <f t="shared" si="921"/>
        <v/>
      </c>
      <c r="BL1816" s="27" t="str">
        <f t="shared" si="922"/>
        <v/>
      </c>
      <c r="BM1816" s="21" t="s">
        <v>3790</v>
      </c>
    </row>
    <row r="1817" spans="1:65" ht="15">
      <c r="A1817" s="25" t="str">
        <f>IFERROR(INDEX(#REF!,MATCH(O1817,#REF!,0)),"")</f>
        <v/>
      </c>
      <c r="B1817" s="25" t="str">
        <f>IFERROR(INDEX(#REF!,MATCH(O1817,#REF!,0)),"")</f>
        <v/>
      </c>
      <c r="C1817" s="25" t="str">
        <f>IFERROR(INDEX(#REF!,MATCH(O1817,#REF!,0)),"")</f>
        <v/>
      </c>
      <c r="D1817" s="25" t="str">
        <f>IFERROR(INDEX(#REF!,MATCH(O1817,#REF!,0)),"")</f>
        <v/>
      </c>
      <c r="E1817" s="25" t="str">
        <f>IFERROR(INDEX(#REF!,MATCH(O1817,#REF!,0)),"")</f>
        <v/>
      </c>
      <c r="F1817" s="25" t="str">
        <f>IFERROR(INDEX(#REF!,MATCH(O1817,#REF!,0)),"")</f>
        <v/>
      </c>
      <c r="G1817" s="25" t="str">
        <f>IFERROR(INDEX(#REF!,MATCH(O1817,#REF!,0)),"")</f>
        <v/>
      </c>
      <c r="H1817" s="25" t="str">
        <f>IFERROR(INDEX(#REF!,MATCH(O1817,#REF!,0)),"")</f>
        <v/>
      </c>
      <c r="I1817" s="25" t="str">
        <f>IFERROR(INDEX(#REF!,MATCH(O1817,#REF!,0)),"")</f>
        <v/>
      </c>
      <c r="J1817" s="25" t="str">
        <f>IFERROR(INDEX(#REF!,MATCH(O1817,#REF!,0)),"")</f>
        <v/>
      </c>
      <c r="K1817" s="25" t="str">
        <f>IFERROR(INDEX(#REF!,MATCH(O1817,#REF!,0)),"")</f>
        <v/>
      </c>
      <c r="L1817" s="25" t="str">
        <f>IFERROR(INDEX(#REF!,MATCH(O1817,#REF!,0)),"")</f>
        <v/>
      </c>
      <c r="P1817" s="27" t="str">
        <f>IFERROR(INDEX(#REF!,MATCH($O1817,#REF!,0)),"")</f>
        <v/>
      </c>
      <c r="Q1817" s="27" t="str">
        <f>IFERROR(INDEX(#REF!,MATCH($O1817,#REF!,0)),"")</f>
        <v/>
      </c>
      <c r="R1817" s="52" t="str">
        <f>IFERROR(IF(AR1818=AR1817,INDEX(#REF!,MATCH($O1817,#REF!,0))-IF(AN1817="",0,AN1817)+AP1818,INDEX(#REF!,MATCH($O1817,#REF!,0))-IF(AN1817="",0,AN1817)),"")</f>
        <v/>
      </c>
      <c r="S1817" s="53" t="str">
        <f t="shared" si="896"/>
        <v/>
      </c>
      <c r="T1817" s="52" t="str">
        <f t="shared" si="897"/>
        <v/>
      </c>
      <c r="U1817" s="52" t="str">
        <f>IFERROR(IF(AR1818=AR1817,INDEX(#REF!,MATCH($O1817,#REF!,0))-IF(AN1817="",0,AN1817)+AP1818,INDEX(#REF!,MATCH($O1817,#REF!,0))-IF(AN1817="",0,AN1817)),"")</f>
        <v/>
      </c>
      <c r="V1817" s="53" t="str">
        <f t="shared" si="898"/>
        <v/>
      </c>
      <c r="W1817" s="52" t="str">
        <f t="shared" si="899"/>
        <v/>
      </c>
      <c r="X1817" s="52" t="str">
        <f>IFERROR(IF(AND(AR1818=AR1817,AM1817&lt;&gt;""),INDEX(#REF!,MATCH($O1817,#REF!,0))-IF(AN1817="",0,AN1817)+AP1818+AD1817+AL1817,IF(AR1818=AR1817,INDEX(#REF!,MATCH($O1817,#REF!,0))-IF(AN1817="",0,AN1817)+AP1818+AD1817,IF(AM1817&lt;&gt;"",INDEX(#REF!,MATCH($O1817,#REF!,0))-IF(AN1817="",0,AN1817)+AD1817+AL1817,INDEX(#REF!,MATCH($O1817,#REF!,0))-IF(AN1817="",0,AN1817)+AD1817))),"")</f>
        <v/>
      </c>
      <c r="Y1817" s="53" t="str">
        <f t="shared" si="900"/>
        <v/>
      </c>
      <c r="Z1817" s="52" t="str">
        <f>IF(L1817="","",INDEX(#REF!,MATCH($O1817,#REF!,0)))</f>
        <v/>
      </c>
      <c r="AA1817" s="52" t="str">
        <f t="shared" si="901"/>
        <v/>
      </c>
      <c r="AB1817" s="52" t="str">
        <f>IFERROR(INDEX(#REF!,MATCH($O1817,#REF!,0)),"")</f>
        <v/>
      </c>
      <c r="AC1817" s="52" t="str">
        <f>IFERROR(IF(O1817="","",SUMIFS('CPL Mats'!F:F,'CPL Mats'!Q:Q,AR1817,'CPL Mats'!S:S,AS1817)),"")</f>
        <v/>
      </c>
      <c r="AF1817" s="25" t="e">
        <f>IF(SUMIFS(#REF!,#REF!,"Releasable",#REF!,O1817)=0,"",SUMIFS(#REF!,#REF!,"Releasable",#REF!,O1817))</f>
        <v>#REF!</v>
      </c>
      <c r="AG1817" s="25" t="str">
        <f>IFERROR(INDEX(#REF!,MATCH(O1817,#REF!,0)),"")</f>
        <v/>
      </c>
      <c r="AH1817" s="25" t="str">
        <f>IFERROR(INDEX(#REF!,MATCH($O1817,#REF!,0)),"")</f>
        <v/>
      </c>
      <c r="AI1817" s="25" t="e">
        <f>IF(SUMIFS(#REF!,#REF!,"Expires this month",#REF!,O1817)=0,"",SUMIFS(#REF!,#REF!,"Expires this month",#REF!,O1817))</f>
        <v>#REF!</v>
      </c>
      <c r="AJ1817" s="25" t="e">
        <f>IF(SUMIFS(#REF!,#REF!,"Expired Previous Months",#REF!,O1817)=0,"",SUMIFS(#REF!,#REF!,"Expired Previous Months",#REF!,O1817))</f>
        <v>#REF!</v>
      </c>
      <c r="AK1817" s="25" t="str">
        <f>IFERROR(INDEX('Hun Release Current'!B:B,MATCH(O1817,'Hun Release Current'!A:A,0)),"")</f>
        <v/>
      </c>
      <c r="AL1817" s="25" t="str">
        <f>IF(SUMIF('Prev Aub'!A:A,O1817,'Prev Aub'!B:B)=0,"",SUMIF('Prev Aub'!A:A,O1817,'Prev Aub'!B:B))</f>
        <v/>
      </c>
      <c r="AN1817" s="25" t="s">
        <v>3790</v>
      </c>
      <c r="AO1817" s="25" t="s">
        <v>3790</v>
      </c>
      <c r="AP1817" s="25" t="str">
        <f t="shared" si="923"/>
        <v/>
      </c>
      <c r="AQ1817" s="151" t="e">
        <f>IF(SUMIFS(#REF!,#REF!,O1817,#REF!,"PENDING")=0,"",SUMIFS(#REF!,#REF!,O1817,#REF!,"PENDING"))</f>
        <v>#REF!</v>
      </c>
      <c r="AR1817" s="27" t="str">
        <f t="shared" si="902"/>
        <v/>
      </c>
      <c r="AS1817" s="27" t="str">
        <f t="shared" si="903"/>
        <v/>
      </c>
      <c r="AT1817" s="27" t="str">
        <f t="shared" si="904"/>
        <v/>
      </c>
      <c r="AU1817" s="27" t="str">
        <f t="shared" si="905"/>
        <v/>
      </c>
      <c r="AV1817" s="27" t="str">
        <f t="shared" si="906"/>
        <v/>
      </c>
      <c r="AW1817" s="27" t="e">
        <f t="shared" si="907"/>
        <v>#REF!</v>
      </c>
      <c r="AX1817" s="27" t="e">
        <f t="shared" si="908"/>
        <v>#REF!</v>
      </c>
      <c r="AY1817" s="27" t="str">
        <f t="shared" si="909"/>
        <v/>
      </c>
      <c r="AZ1817" s="27" t="str">
        <f t="shared" si="910"/>
        <v/>
      </c>
      <c r="BA1817" s="27" t="str">
        <f t="shared" si="911"/>
        <v/>
      </c>
      <c r="BB1817" s="27" t="str">
        <f t="shared" si="912"/>
        <v/>
      </c>
      <c r="BC1817" s="27" t="str">
        <f t="shared" si="913"/>
        <v/>
      </c>
      <c r="BD1817" s="27" t="str">
        <f t="shared" si="914"/>
        <v/>
      </c>
      <c r="BE1817" s="27" t="str">
        <f t="shared" si="915"/>
        <v/>
      </c>
      <c r="BF1817" s="27" t="str">
        <f t="shared" si="916"/>
        <v/>
      </c>
      <c r="BG1817" s="27" t="str">
        <f t="shared" si="917"/>
        <v/>
      </c>
      <c r="BH1817" s="27" t="str">
        <f t="shared" si="918"/>
        <v/>
      </c>
      <c r="BI1817" s="27" t="str">
        <f t="shared" si="919"/>
        <v/>
      </c>
      <c r="BJ1817" s="27" t="str">
        <f t="shared" si="920"/>
        <v/>
      </c>
      <c r="BK1817" s="27" t="str">
        <f t="shared" si="921"/>
        <v/>
      </c>
      <c r="BL1817" s="27" t="str">
        <f t="shared" si="922"/>
        <v/>
      </c>
      <c r="BM1817" s="21" t="s">
        <v>3790</v>
      </c>
    </row>
    <row r="1818" spans="1:65" ht="15">
      <c r="A1818" s="25" t="str">
        <f>IFERROR(INDEX(#REF!,MATCH(O1818,#REF!,0)),"")</f>
        <v/>
      </c>
      <c r="B1818" s="25" t="str">
        <f>IFERROR(INDEX(#REF!,MATCH(O1818,#REF!,0)),"")</f>
        <v/>
      </c>
      <c r="C1818" s="25" t="str">
        <f>IFERROR(INDEX(#REF!,MATCH(O1818,#REF!,0)),"")</f>
        <v/>
      </c>
      <c r="D1818" s="25" t="str">
        <f>IFERROR(INDEX(#REF!,MATCH(O1818,#REF!,0)),"")</f>
        <v/>
      </c>
      <c r="E1818" s="25" t="str">
        <f>IFERROR(INDEX(#REF!,MATCH(O1818,#REF!,0)),"")</f>
        <v/>
      </c>
      <c r="F1818" s="25" t="str">
        <f>IFERROR(INDEX(#REF!,MATCH(O1818,#REF!,0)),"")</f>
        <v/>
      </c>
      <c r="G1818" s="25" t="str">
        <f>IFERROR(INDEX(#REF!,MATCH(O1818,#REF!,0)),"")</f>
        <v/>
      </c>
      <c r="H1818" s="25" t="str">
        <f>IFERROR(INDEX(#REF!,MATCH(O1818,#REF!,0)),"")</f>
        <v/>
      </c>
      <c r="I1818" s="25" t="str">
        <f>IFERROR(INDEX(#REF!,MATCH(O1818,#REF!,0)),"")</f>
        <v/>
      </c>
      <c r="J1818" s="25" t="str">
        <f>IFERROR(INDEX(#REF!,MATCH(O1818,#REF!,0)),"")</f>
        <v/>
      </c>
      <c r="K1818" s="25" t="str">
        <f>IFERROR(INDEX(#REF!,MATCH(O1818,#REF!,0)),"")</f>
        <v/>
      </c>
      <c r="L1818" s="25" t="str">
        <f>IFERROR(INDEX(#REF!,MATCH(O1818,#REF!,0)),"")</f>
        <v/>
      </c>
      <c r="P1818" s="27" t="str">
        <f>IFERROR(INDEX(#REF!,MATCH($O1818,#REF!,0)),"")</f>
        <v/>
      </c>
      <c r="Q1818" s="27" t="str">
        <f>IFERROR(INDEX(#REF!,MATCH($O1818,#REF!,0)),"")</f>
        <v/>
      </c>
      <c r="R1818" s="52" t="str">
        <f>IFERROR(IF(AR1819=AR1818,INDEX(#REF!,MATCH($O1818,#REF!,0))-IF(AN1818="",0,AN1818)+AP1819,INDEX(#REF!,MATCH($O1818,#REF!,0))-IF(AN1818="",0,AN1818)),"")</f>
        <v/>
      </c>
      <c r="S1818" s="53" t="str">
        <f t="shared" si="896"/>
        <v/>
      </c>
      <c r="T1818" s="52" t="str">
        <f t="shared" si="897"/>
        <v/>
      </c>
      <c r="U1818" s="52" t="str">
        <f>IFERROR(IF(AR1819=AR1818,INDEX(#REF!,MATCH($O1818,#REF!,0))-IF(AN1818="",0,AN1818)+AP1819,INDEX(#REF!,MATCH($O1818,#REF!,0))-IF(AN1818="",0,AN1818)),"")</f>
        <v/>
      </c>
      <c r="V1818" s="53" t="str">
        <f t="shared" si="898"/>
        <v/>
      </c>
      <c r="W1818" s="52" t="str">
        <f t="shared" si="899"/>
        <v/>
      </c>
      <c r="X1818" s="52" t="str">
        <f>IFERROR(IF(AND(AR1819=AR1818,AM1818&lt;&gt;""),INDEX(#REF!,MATCH($O1818,#REF!,0))-IF(AN1818="",0,AN1818)+AP1819+AD1818+AL1818,IF(AR1819=AR1818,INDEX(#REF!,MATCH($O1818,#REF!,0))-IF(AN1818="",0,AN1818)+AP1819+AD1818,IF(AM1818&lt;&gt;"",INDEX(#REF!,MATCH($O1818,#REF!,0))-IF(AN1818="",0,AN1818)+AD1818+AL1818,INDEX(#REF!,MATCH($O1818,#REF!,0))-IF(AN1818="",0,AN1818)+AD1818))),"")</f>
        <v/>
      </c>
      <c r="Y1818" s="53" t="str">
        <f t="shared" si="900"/>
        <v/>
      </c>
      <c r="Z1818" s="52" t="str">
        <f>IF(L1818="","",INDEX(#REF!,MATCH($O1818,#REF!,0)))</f>
        <v/>
      </c>
      <c r="AA1818" s="52" t="str">
        <f t="shared" si="901"/>
        <v/>
      </c>
      <c r="AB1818" s="52" t="str">
        <f>IFERROR(INDEX(#REF!,MATCH($O1818,#REF!,0)),"")</f>
        <v/>
      </c>
      <c r="AC1818" s="52" t="str">
        <f>IFERROR(IF(O1818="","",SUMIFS('CPL Mats'!F:F,'CPL Mats'!Q:Q,AR1818,'CPL Mats'!S:S,AS1818)),"")</f>
        <v/>
      </c>
      <c r="AF1818" s="25" t="e">
        <f>IF(SUMIFS(#REF!,#REF!,"Releasable",#REF!,O1818)=0,"",SUMIFS(#REF!,#REF!,"Releasable",#REF!,O1818))</f>
        <v>#REF!</v>
      </c>
      <c r="AG1818" s="25" t="str">
        <f>IFERROR(INDEX(#REF!,MATCH(O1818,#REF!,0)),"")</f>
        <v/>
      </c>
      <c r="AH1818" s="25" t="str">
        <f>IFERROR(INDEX(#REF!,MATCH($O1818,#REF!,0)),"")</f>
        <v/>
      </c>
      <c r="AI1818" s="25" t="e">
        <f>IF(SUMIFS(#REF!,#REF!,"Expires this month",#REF!,O1818)=0,"",SUMIFS(#REF!,#REF!,"Expires this month",#REF!,O1818))</f>
        <v>#REF!</v>
      </c>
      <c r="AJ1818" s="25" t="e">
        <f>IF(SUMIFS(#REF!,#REF!,"Expired Previous Months",#REF!,O1818)=0,"",SUMIFS(#REF!,#REF!,"Expired Previous Months",#REF!,O1818))</f>
        <v>#REF!</v>
      </c>
      <c r="AK1818" s="25" t="str">
        <f>IFERROR(INDEX('Hun Release Current'!B:B,MATCH(O1818,'Hun Release Current'!A:A,0)),"")</f>
        <v/>
      </c>
      <c r="AL1818" s="25" t="str">
        <f>IF(SUMIF('Prev Aub'!A:A,O1818,'Prev Aub'!B:B)=0,"",SUMIF('Prev Aub'!A:A,O1818,'Prev Aub'!B:B))</f>
        <v/>
      </c>
      <c r="AN1818" s="25" t="s">
        <v>3790</v>
      </c>
      <c r="AO1818" s="25" t="s">
        <v>3790</v>
      </c>
      <c r="AP1818" s="25" t="str">
        <f t="shared" si="923"/>
        <v/>
      </c>
      <c r="AQ1818" s="151" t="e">
        <f>IF(SUMIFS(#REF!,#REF!,O1818,#REF!,"PENDING")=0,"",SUMIFS(#REF!,#REF!,O1818,#REF!,"PENDING"))</f>
        <v>#REF!</v>
      </c>
      <c r="AR1818" s="27" t="str">
        <f t="shared" si="902"/>
        <v/>
      </c>
      <c r="AS1818" s="27" t="str">
        <f t="shared" si="903"/>
        <v/>
      </c>
      <c r="AT1818" s="27" t="str">
        <f t="shared" si="904"/>
        <v/>
      </c>
      <c r="AU1818" s="27" t="str">
        <f t="shared" si="905"/>
        <v/>
      </c>
      <c r="AV1818" s="27" t="str">
        <f t="shared" si="906"/>
        <v/>
      </c>
      <c r="AW1818" s="27" t="e">
        <f t="shared" si="907"/>
        <v>#REF!</v>
      </c>
      <c r="AX1818" s="27" t="e">
        <f t="shared" si="908"/>
        <v>#REF!</v>
      </c>
      <c r="AY1818" s="27" t="str">
        <f t="shared" si="909"/>
        <v/>
      </c>
      <c r="AZ1818" s="27" t="str">
        <f t="shared" si="910"/>
        <v/>
      </c>
      <c r="BA1818" s="27" t="str">
        <f t="shared" si="911"/>
        <v/>
      </c>
      <c r="BB1818" s="27" t="str">
        <f t="shared" si="912"/>
        <v/>
      </c>
      <c r="BC1818" s="27" t="str">
        <f t="shared" si="913"/>
        <v/>
      </c>
      <c r="BD1818" s="27" t="str">
        <f t="shared" si="914"/>
        <v/>
      </c>
      <c r="BE1818" s="27" t="str">
        <f t="shared" si="915"/>
        <v/>
      </c>
      <c r="BF1818" s="27" t="str">
        <f t="shared" si="916"/>
        <v/>
      </c>
      <c r="BG1818" s="27" t="str">
        <f t="shared" si="917"/>
        <v/>
      </c>
      <c r="BH1818" s="27" t="str">
        <f t="shared" si="918"/>
        <v/>
      </c>
      <c r="BI1818" s="27" t="str">
        <f t="shared" si="919"/>
        <v/>
      </c>
      <c r="BJ1818" s="27" t="str">
        <f t="shared" si="920"/>
        <v/>
      </c>
      <c r="BK1818" s="27" t="str">
        <f t="shared" si="921"/>
        <v/>
      </c>
      <c r="BL1818" s="27" t="str">
        <f t="shared" si="922"/>
        <v/>
      </c>
      <c r="BM1818" s="21" t="s">
        <v>3790</v>
      </c>
    </row>
    <row r="1819" spans="1:65" ht="15">
      <c r="A1819" s="25" t="str">
        <f>IFERROR(INDEX(#REF!,MATCH(O1819,#REF!,0)),"")</f>
        <v/>
      </c>
      <c r="B1819" s="25" t="str">
        <f>IFERROR(INDEX(#REF!,MATCH(O1819,#REF!,0)),"")</f>
        <v/>
      </c>
      <c r="C1819" s="25" t="str">
        <f>IFERROR(INDEX(#REF!,MATCH(O1819,#REF!,0)),"")</f>
        <v/>
      </c>
      <c r="D1819" s="25" t="str">
        <f>IFERROR(INDEX(#REF!,MATCH(O1819,#REF!,0)),"")</f>
        <v/>
      </c>
      <c r="E1819" s="25" t="str">
        <f>IFERROR(INDEX(#REF!,MATCH(O1819,#REF!,0)),"")</f>
        <v/>
      </c>
      <c r="F1819" s="25" t="str">
        <f>IFERROR(INDEX(#REF!,MATCH(O1819,#REF!,0)),"")</f>
        <v/>
      </c>
      <c r="G1819" s="25" t="str">
        <f>IFERROR(INDEX(#REF!,MATCH(O1819,#REF!,0)),"")</f>
        <v/>
      </c>
      <c r="H1819" s="25" t="str">
        <f>IFERROR(INDEX(#REF!,MATCH(O1819,#REF!,0)),"")</f>
        <v/>
      </c>
      <c r="I1819" s="25" t="str">
        <f>IFERROR(INDEX(#REF!,MATCH(O1819,#REF!,0)),"")</f>
        <v/>
      </c>
      <c r="J1819" s="25" t="str">
        <f>IFERROR(INDEX(#REF!,MATCH(O1819,#REF!,0)),"")</f>
        <v/>
      </c>
      <c r="K1819" s="25" t="str">
        <f>IFERROR(INDEX(#REF!,MATCH(O1819,#REF!,0)),"")</f>
        <v/>
      </c>
      <c r="L1819" s="25" t="str">
        <f>IFERROR(INDEX(#REF!,MATCH(O1819,#REF!,0)),"")</f>
        <v/>
      </c>
      <c r="P1819" s="27" t="str">
        <f>IFERROR(INDEX(#REF!,MATCH($O1819,#REF!,0)),"")</f>
        <v/>
      </c>
      <c r="Q1819" s="27" t="str">
        <f>IFERROR(INDEX(#REF!,MATCH($O1819,#REF!,0)),"")</f>
        <v/>
      </c>
      <c r="R1819" s="52" t="str">
        <f>IFERROR(IF(AR1820=AR1819,INDEX(#REF!,MATCH($O1819,#REF!,0))-IF(AN1819="",0,AN1819)+AP1820,INDEX(#REF!,MATCH($O1819,#REF!,0))-IF(AN1819="",0,AN1819)),"")</f>
        <v/>
      </c>
      <c r="S1819" s="53" t="str">
        <f t="shared" si="896"/>
        <v/>
      </c>
      <c r="T1819" s="52" t="str">
        <f t="shared" si="897"/>
        <v/>
      </c>
      <c r="U1819" s="52" t="str">
        <f>IFERROR(IF(AR1820=AR1819,INDEX(#REF!,MATCH($O1819,#REF!,0))-IF(AN1819="",0,AN1819)+AP1820,INDEX(#REF!,MATCH($O1819,#REF!,0))-IF(AN1819="",0,AN1819)),"")</f>
        <v/>
      </c>
      <c r="V1819" s="53" t="str">
        <f t="shared" si="898"/>
        <v/>
      </c>
      <c r="W1819" s="52" t="str">
        <f t="shared" si="899"/>
        <v/>
      </c>
      <c r="X1819" s="52" t="str">
        <f>IFERROR(IF(AND(AR1820=AR1819,AM1819&lt;&gt;""),INDEX(#REF!,MATCH($O1819,#REF!,0))-IF(AN1819="",0,AN1819)+AP1820+AD1819+AL1819,IF(AR1820=AR1819,INDEX(#REF!,MATCH($O1819,#REF!,0))-IF(AN1819="",0,AN1819)+AP1820+AD1819,IF(AM1819&lt;&gt;"",INDEX(#REF!,MATCH($O1819,#REF!,0))-IF(AN1819="",0,AN1819)+AD1819+AL1819,INDEX(#REF!,MATCH($O1819,#REF!,0))-IF(AN1819="",0,AN1819)+AD1819))),"")</f>
        <v/>
      </c>
      <c r="Y1819" s="53" t="str">
        <f t="shared" si="900"/>
        <v/>
      </c>
      <c r="Z1819" s="52" t="str">
        <f>IF(L1819="","",INDEX(#REF!,MATCH($O1819,#REF!,0)))</f>
        <v/>
      </c>
      <c r="AA1819" s="52" t="str">
        <f t="shared" si="901"/>
        <v/>
      </c>
      <c r="AB1819" s="52" t="str">
        <f>IFERROR(INDEX(#REF!,MATCH($O1819,#REF!,0)),"")</f>
        <v/>
      </c>
      <c r="AC1819" s="52" t="str">
        <f>IFERROR(IF(O1819="","",SUMIFS('CPL Mats'!F:F,'CPL Mats'!Q:Q,AR1819,'CPL Mats'!S:S,AS1819)),"")</f>
        <v/>
      </c>
      <c r="AF1819" s="25" t="e">
        <f>IF(SUMIFS(#REF!,#REF!,"Releasable",#REF!,O1819)=0,"",SUMIFS(#REF!,#REF!,"Releasable",#REF!,O1819))</f>
        <v>#REF!</v>
      </c>
      <c r="AG1819" s="25" t="str">
        <f>IFERROR(INDEX(#REF!,MATCH(O1819,#REF!,0)),"")</f>
        <v/>
      </c>
      <c r="AH1819" s="25" t="str">
        <f>IFERROR(INDEX(#REF!,MATCH($O1819,#REF!,0)),"")</f>
        <v/>
      </c>
      <c r="AI1819" s="25" t="e">
        <f>IF(SUMIFS(#REF!,#REF!,"Expires this month",#REF!,O1819)=0,"",SUMIFS(#REF!,#REF!,"Expires this month",#REF!,O1819))</f>
        <v>#REF!</v>
      </c>
      <c r="AJ1819" s="25" t="e">
        <f>IF(SUMIFS(#REF!,#REF!,"Expired Previous Months",#REF!,O1819)=0,"",SUMIFS(#REF!,#REF!,"Expired Previous Months",#REF!,O1819))</f>
        <v>#REF!</v>
      </c>
      <c r="AK1819" s="25" t="str">
        <f>IFERROR(INDEX('Hun Release Current'!B:B,MATCH(O1819,'Hun Release Current'!A:A,0)),"")</f>
        <v/>
      </c>
      <c r="AL1819" s="25" t="str">
        <f>IF(SUMIF('Prev Aub'!A:A,O1819,'Prev Aub'!B:B)=0,"",SUMIF('Prev Aub'!A:A,O1819,'Prev Aub'!B:B))</f>
        <v/>
      </c>
      <c r="AN1819" s="25" t="s">
        <v>3790</v>
      </c>
      <c r="AO1819" s="25" t="s">
        <v>3790</v>
      </c>
      <c r="AP1819" s="25" t="str">
        <f t="shared" si="923"/>
        <v/>
      </c>
      <c r="AQ1819" s="151" t="e">
        <f>IF(SUMIFS(#REF!,#REF!,O1819,#REF!,"PENDING")=0,"",SUMIFS(#REF!,#REF!,O1819,#REF!,"PENDING"))</f>
        <v>#REF!</v>
      </c>
      <c r="AR1819" s="27" t="str">
        <f t="shared" si="902"/>
        <v/>
      </c>
      <c r="AS1819" s="27" t="str">
        <f t="shared" si="903"/>
        <v/>
      </c>
      <c r="AT1819" s="27" t="str">
        <f t="shared" si="904"/>
        <v/>
      </c>
      <c r="AU1819" s="27" t="str">
        <f t="shared" si="905"/>
        <v/>
      </c>
      <c r="AV1819" s="27" t="str">
        <f t="shared" si="906"/>
        <v/>
      </c>
      <c r="AW1819" s="27" t="e">
        <f t="shared" si="907"/>
        <v>#REF!</v>
      </c>
      <c r="AX1819" s="27" t="e">
        <f t="shared" si="908"/>
        <v>#REF!</v>
      </c>
      <c r="AY1819" s="27" t="str">
        <f t="shared" si="909"/>
        <v/>
      </c>
      <c r="AZ1819" s="27" t="str">
        <f t="shared" si="910"/>
        <v/>
      </c>
      <c r="BA1819" s="27" t="str">
        <f t="shared" si="911"/>
        <v/>
      </c>
      <c r="BB1819" s="27" t="str">
        <f t="shared" si="912"/>
        <v/>
      </c>
      <c r="BC1819" s="27" t="str">
        <f t="shared" si="913"/>
        <v/>
      </c>
      <c r="BD1819" s="27" t="str">
        <f t="shared" si="914"/>
        <v/>
      </c>
      <c r="BE1819" s="27" t="str">
        <f t="shared" si="915"/>
        <v/>
      </c>
      <c r="BF1819" s="27" t="str">
        <f t="shared" si="916"/>
        <v/>
      </c>
      <c r="BG1819" s="27" t="str">
        <f t="shared" si="917"/>
        <v/>
      </c>
      <c r="BH1819" s="27" t="str">
        <f t="shared" si="918"/>
        <v/>
      </c>
      <c r="BI1819" s="27" t="str">
        <f t="shared" si="919"/>
        <v/>
      </c>
      <c r="BJ1819" s="27" t="str">
        <f t="shared" si="920"/>
        <v/>
      </c>
      <c r="BK1819" s="27" t="str">
        <f t="shared" si="921"/>
        <v/>
      </c>
      <c r="BL1819" s="27" t="str">
        <f t="shared" si="922"/>
        <v/>
      </c>
      <c r="BM1819" s="21" t="s">
        <v>3790</v>
      </c>
    </row>
    <row r="1820" spans="1:65" ht="15">
      <c r="A1820" s="25" t="str">
        <f>IFERROR(INDEX(#REF!,MATCH(O1820,#REF!,0)),"")</f>
        <v/>
      </c>
      <c r="B1820" s="25" t="str">
        <f>IFERROR(INDEX(#REF!,MATCH(O1820,#REF!,0)),"")</f>
        <v/>
      </c>
      <c r="C1820" s="25" t="str">
        <f>IFERROR(INDEX(#REF!,MATCH(O1820,#REF!,0)),"")</f>
        <v/>
      </c>
      <c r="D1820" s="25" t="str">
        <f>IFERROR(INDEX(#REF!,MATCH(O1820,#REF!,0)),"")</f>
        <v/>
      </c>
      <c r="E1820" s="25" t="str">
        <f>IFERROR(INDEX(#REF!,MATCH(O1820,#REF!,0)),"")</f>
        <v/>
      </c>
      <c r="F1820" s="25" t="str">
        <f>IFERROR(INDEX(#REF!,MATCH(O1820,#REF!,0)),"")</f>
        <v/>
      </c>
      <c r="G1820" s="25" t="str">
        <f>IFERROR(INDEX(#REF!,MATCH(O1820,#REF!,0)),"")</f>
        <v/>
      </c>
      <c r="H1820" s="25" t="str">
        <f>IFERROR(INDEX(#REF!,MATCH(O1820,#REF!,0)),"")</f>
        <v/>
      </c>
      <c r="I1820" s="25" t="str">
        <f>IFERROR(INDEX(#REF!,MATCH(O1820,#REF!,0)),"")</f>
        <v/>
      </c>
      <c r="J1820" s="25" t="str">
        <f>IFERROR(INDEX(#REF!,MATCH(O1820,#REF!,0)),"")</f>
        <v/>
      </c>
      <c r="K1820" s="25" t="str">
        <f>IFERROR(INDEX(#REF!,MATCH(O1820,#REF!,0)),"")</f>
        <v/>
      </c>
      <c r="L1820" s="25" t="str">
        <f>IFERROR(INDEX(#REF!,MATCH(O1820,#REF!,0)),"")</f>
        <v/>
      </c>
      <c r="P1820" s="27" t="str">
        <f>IFERROR(INDEX(#REF!,MATCH($O1820,#REF!,0)),"")</f>
        <v/>
      </c>
      <c r="Q1820" s="27" t="str">
        <f>IFERROR(INDEX(#REF!,MATCH($O1820,#REF!,0)),"")</f>
        <v/>
      </c>
      <c r="R1820" s="52" t="str">
        <f>IFERROR(IF(AR1821=AR1820,INDEX(#REF!,MATCH($O1820,#REF!,0))-IF(AN1820="",0,AN1820)+AP1821,INDEX(#REF!,MATCH($O1820,#REF!,0))-IF(AN1820="",0,AN1820)),"")</f>
        <v/>
      </c>
      <c r="S1820" s="53" t="str">
        <f t="shared" si="896"/>
        <v/>
      </c>
      <c r="T1820" s="52" t="str">
        <f t="shared" si="897"/>
        <v/>
      </c>
      <c r="U1820" s="52" t="str">
        <f>IFERROR(IF(AR1821=AR1820,INDEX(#REF!,MATCH($O1820,#REF!,0))-IF(AN1820="",0,AN1820)+AP1821,INDEX(#REF!,MATCH($O1820,#REF!,0))-IF(AN1820="",0,AN1820)),"")</f>
        <v/>
      </c>
      <c r="V1820" s="53" t="str">
        <f t="shared" si="898"/>
        <v/>
      </c>
      <c r="W1820" s="52" t="str">
        <f t="shared" si="899"/>
        <v/>
      </c>
      <c r="X1820" s="52" t="str">
        <f>IFERROR(IF(AND(AR1821=AR1820,AM1820&lt;&gt;""),INDEX(#REF!,MATCH($O1820,#REF!,0))-IF(AN1820="",0,AN1820)+AP1821+AD1820+AL1820,IF(AR1821=AR1820,INDEX(#REF!,MATCH($O1820,#REF!,0))-IF(AN1820="",0,AN1820)+AP1821+AD1820,IF(AM1820&lt;&gt;"",INDEX(#REF!,MATCH($O1820,#REF!,0))-IF(AN1820="",0,AN1820)+AD1820+AL1820,INDEX(#REF!,MATCH($O1820,#REF!,0))-IF(AN1820="",0,AN1820)+AD1820))),"")</f>
        <v/>
      </c>
      <c r="Y1820" s="53" t="str">
        <f t="shared" si="900"/>
        <v/>
      </c>
      <c r="Z1820" s="52" t="str">
        <f>IF(L1820="","",INDEX(#REF!,MATCH($O1820,#REF!,0)))</f>
        <v/>
      </c>
      <c r="AA1820" s="52" t="str">
        <f t="shared" si="901"/>
        <v/>
      </c>
      <c r="AB1820" s="52" t="str">
        <f>IFERROR(INDEX(#REF!,MATCH($O1820,#REF!,0)),"")</f>
        <v/>
      </c>
      <c r="AC1820" s="52" t="str">
        <f>IFERROR(IF(O1820="","",SUMIFS('CPL Mats'!F:F,'CPL Mats'!Q:Q,AR1820,'CPL Mats'!S:S,AS1820)),"")</f>
        <v/>
      </c>
      <c r="AF1820" s="25" t="e">
        <f>IF(SUMIFS(#REF!,#REF!,"Releasable",#REF!,O1820)=0,"",SUMIFS(#REF!,#REF!,"Releasable",#REF!,O1820))</f>
        <v>#REF!</v>
      </c>
      <c r="AG1820" s="25" t="str">
        <f>IFERROR(INDEX(#REF!,MATCH(O1820,#REF!,0)),"")</f>
        <v/>
      </c>
      <c r="AH1820" s="25" t="str">
        <f>IFERROR(INDEX(#REF!,MATCH($O1820,#REF!,0)),"")</f>
        <v/>
      </c>
      <c r="AI1820" s="25" t="e">
        <f>IF(SUMIFS(#REF!,#REF!,"Expires this month",#REF!,O1820)=0,"",SUMIFS(#REF!,#REF!,"Expires this month",#REF!,O1820))</f>
        <v>#REF!</v>
      </c>
      <c r="AJ1820" s="25" t="e">
        <f>IF(SUMIFS(#REF!,#REF!,"Expired Previous Months",#REF!,O1820)=0,"",SUMIFS(#REF!,#REF!,"Expired Previous Months",#REF!,O1820))</f>
        <v>#REF!</v>
      </c>
      <c r="AK1820" s="25" t="str">
        <f>IFERROR(INDEX('Hun Release Current'!B:B,MATCH(O1820,'Hun Release Current'!A:A,0)),"")</f>
        <v/>
      </c>
      <c r="AL1820" s="25" t="str">
        <f>IF(SUMIF('Prev Aub'!A:A,O1820,'Prev Aub'!B:B)=0,"",SUMIF('Prev Aub'!A:A,O1820,'Prev Aub'!B:B))</f>
        <v/>
      </c>
      <c r="AN1820" s="25" t="s">
        <v>3790</v>
      </c>
      <c r="AO1820" s="25" t="s">
        <v>3790</v>
      </c>
      <c r="AP1820" s="25" t="str">
        <f t="shared" si="923"/>
        <v/>
      </c>
      <c r="AQ1820" s="151" t="e">
        <f>IF(SUMIFS(#REF!,#REF!,O1820,#REF!,"PENDING")=0,"",SUMIFS(#REF!,#REF!,O1820,#REF!,"PENDING"))</f>
        <v>#REF!</v>
      </c>
      <c r="AR1820" s="27" t="str">
        <f t="shared" si="902"/>
        <v/>
      </c>
      <c r="AS1820" s="27" t="str">
        <f t="shared" si="903"/>
        <v/>
      </c>
      <c r="AT1820" s="27" t="str">
        <f t="shared" si="904"/>
        <v/>
      </c>
      <c r="AU1820" s="27" t="str">
        <f t="shared" si="905"/>
        <v/>
      </c>
      <c r="AV1820" s="27" t="str">
        <f t="shared" si="906"/>
        <v/>
      </c>
      <c r="AW1820" s="27" t="e">
        <f t="shared" si="907"/>
        <v>#REF!</v>
      </c>
      <c r="AX1820" s="27" t="e">
        <f t="shared" si="908"/>
        <v>#REF!</v>
      </c>
      <c r="AY1820" s="27" t="str">
        <f t="shared" si="909"/>
        <v/>
      </c>
      <c r="AZ1820" s="27" t="str">
        <f t="shared" si="910"/>
        <v/>
      </c>
      <c r="BA1820" s="27" t="str">
        <f t="shared" si="911"/>
        <v/>
      </c>
      <c r="BB1820" s="27" t="str">
        <f t="shared" si="912"/>
        <v/>
      </c>
      <c r="BC1820" s="27" t="str">
        <f t="shared" si="913"/>
        <v/>
      </c>
      <c r="BD1820" s="27" t="str">
        <f t="shared" si="914"/>
        <v/>
      </c>
      <c r="BE1820" s="27" t="str">
        <f t="shared" si="915"/>
        <v/>
      </c>
      <c r="BF1820" s="27" t="str">
        <f t="shared" si="916"/>
        <v/>
      </c>
      <c r="BG1820" s="27" t="str">
        <f t="shared" si="917"/>
        <v/>
      </c>
      <c r="BH1820" s="27" t="str">
        <f t="shared" si="918"/>
        <v/>
      </c>
      <c r="BI1820" s="27" t="str">
        <f t="shared" si="919"/>
        <v/>
      </c>
      <c r="BJ1820" s="27" t="str">
        <f t="shared" si="920"/>
        <v/>
      </c>
      <c r="BK1820" s="27" t="str">
        <f t="shared" si="921"/>
        <v/>
      </c>
      <c r="BL1820" s="27" t="str">
        <f t="shared" si="922"/>
        <v/>
      </c>
      <c r="BM1820" s="21" t="s">
        <v>3790</v>
      </c>
    </row>
    <row r="1821" spans="1:65" ht="15">
      <c r="A1821" s="25" t="str">
        <f>IFERROR(INDEX(#REF!,MATCH(O1821,#REF!,0)),"")</f>
        <v/>
      </c>
      <c r="B1821" s="25" t="str">
        <f>IFERROR(INDEX(#REF!,MATCH(O1821,#REF!,0)),"")</f>
        <v/>
      </c>
      <c r="C1821" s="25" t="str">
        <f>IFERROR(INDEX(#REF!,MATCH(O1821,#REF!,0)),"")</f>
        <v/>
      </c>
      <c r="D1821" s="25" t="str">
        <f>IFERROR(INDEX(#REF!,MATCH(O1821,#REF!,0)),"")</f>
        <v/>
      </c>
      <c r="E1821" s="25" t="str">
        <f>IFERROR(INDEX(#REF!,MATCH(O1821,#REF!,0)),"")</f>
        <v/>
      </c>
      <c r="F1821" s="25" t="str">
        <f>IFERROR(INDEX(#REF!,MATCH(O1821,#REF!,0)),"")</f>
        <v/>
      </c>
      <c r="G1821" s="25" t="str">
        <f>IFERROR(INDEX(#REF!,MATCH(O1821,#REF!,0)),"")</f>
        <v/>
      </c>
      <c r="H1821" s="25" t="str">
        <f>IFERROR(INDEX(#REF!,MATCH(O1821,#REF!,0)),"")</f>
        <v/>
      </c>
      <c r="I1821" s="25" t="str">
        <f>IFERROR(INDEX(#REF!,MATCH(O1821,#REF!,0)),"")</f>
        <v/>
      </c>
      <c r="J1821" s="25" t="str">
        <f>IFERROR(INDEX(#REF!,MATCH(O1821,#REF!,0)),"")</f>
        <v/>
      </c>
      <c r="K1821" s="25" t="str">
        <f>IFERROR(INDEX(#REF!,MATCH(O1821,#REF!,0)),"")</f>
        <v/>
      </c>
      <c r="L1821" s="25" t="str">
        <f>IFERROR(INDEX(#REF!,MATCH(O1821,#REF!,0)),"")</f>
        <v/>
      </c>
      <c r="P1821" s="27" t="str">
        <f>IFERROR(INDEX(#REF!,MATCH($O1821,#REF!,0)),"")</f>
        <v/>
      </c>
      <c r="Q1821" s="27" t="str">
        <f>IFERROR(INDEX(#REF!,MATCH($O1821,#REF!,0)),"")</f>
        <v/>
      </c>
      <c r="R1821" s="52" t="str">
        <f>IFERROR(IF(AR1822=AR1821,INDEX(#REF!,MATCH($O1821,#REF!,0))-IF(AN1821="",0,AN1821)+AP1822,INDEX(#REF!,MATCH($O1821,#REF!,0))-IF(AN1821="",0,AN1821)),"")</f>
        <v/>
      </c>
      <c r="S1821" s="53" t="str">
        <f t="shared" si="896"/>
        <v/>
      </c>
      <c r="T1821" s="52" t="str">
        <f t="shared" si="897"/>
        <v/>
      </c>
      <c r="U1821" s="52" t="str">
        <f>IFERROR(IF(AR1822=AR1821,INDEX(#REF!,MATCH($O1821,#REF!,0))-IF(AN1821="",0,AN1821)+AP1822,INDEX(#REF!,MATCH($O1821,#REF!,0))-IF(AN1821="",0,AN1821)),"")</f>
        <v/>
      </c>
      <c r="V1821" s="53" t="str">
        <f t="shared" si="898"/>
        <v/>
      </c>
      <c r="W1821" s="52" t="str">
        <f t="shared" si="899"/>
        <v/>
      </c>
      <c r="X1821" s="52" t="str">
        <f>IFERROR(IF(AND(AR1822=AR1821,AM1821&lt;&gt;""),INDEX(#REF!,MATCH($O1821,#REF!,0))-IF(AN1821="",0,AN1821)+AP1822+AD1821+AL1821,IF(AR1822=AR1821,INDEX(#REF!,MATCH($O1821,#REF!,0))-IF(AN1821="",0,AN1821)+AP1822+AD1821,IF(AM1821&lt;&gt;"",INDEX(#REF!,MATCH($O1821,#REF!,0))-IF(AN1821="",0,AN1821)+AD1821+AL1821,INDEX(#REF!,MATCH($O1821,#REF!,0))-IF(AN1821="",0,AN1821)+AD1821))),"")</f>
        <v/>
      </c>
      <c r="Y1821" s="53" t="str">
        <f t="shared" si="900"/>
        <v/>
      </c>
      <c r="Z1821" s="52" t="str">
        <f>IF(L1821="","",INDEX(#REF!,MATCH($O1821,#REF!,0)))</f>
        <v/>
      </c>
      <c r="AA1821" s="52" t="str">
        <f t="shared" si="901"/>
        <v/>
      </c>
      <c r="AB1821" s="52" t="str">
        <f>IFERROR(INDEX(#REF!,MATCH($O1821,#REF!,0)),"")</f>
        <v/>
      </c>
      <c r="AC1821" s="52" t="str">
        <f>IFERROR(IF(O1821="","",SUMIFS('CPL Mats'!F:F,'CPL Mats'!Q:Q,AR1821,'CPL Mats'!S:S,AS1821)),"")</f>
        <v/>
      </c>
      <c r="AF1821" s="25" t="e">
        <f>IF(SUMIFS(#REF!,#REF!,"Releasable",#REF!,O1821)=0,"",SUMIFS(#REF!,#REF!,"Releasable",#REF!,O1821))</f>
        <v>#REF!</v>
      </c>
      <c r="AG1821" s="25" t="str">
        <f>IFERROR(INDEX(#REF!,MATCH(O1821,#REF!,0)),"")</f>
        <v/>
      </c>
      <c r="AH1821" s="25" t="str">
        <f>IFERROR(INDEX(#REF!,MATCH($O1821,#REF!,0)),"")</f>
        <v/>
      </c>
      <c r="AI1821" s="25" t="e">
        <f>IF(SUMIFS(#REF!,#REF!,"Expires this month",#REF!,O1821)=0,"",SUMIFS(#REF!,#REF!,"Expires this month",#REF!,O1821))</f>
        <v>#REF!</v>
      </c>
      <c r="AJ1821" s="25" t="e">
        <f>IF(SUMIFS(#REF!,#REF!,"Expired Previous Months",#REF!,O1821)=0,"",SUMIFS(#REF!,#REF!,"Expired Previous Months",#REF!,O1821))</f>
        <v>#REF!</v>
      </c>
      <c r="AK1821" s="25" t="str">
        <f>IFERROR(INDEX('Hun Release Current'!B:B,MATCH(O1821,'Hun Release Current'!A:A,0)),"")</f>
        <v/>
      </c>
      <c r="AL1821" s="25" t="str">
        <f>IF(SUMIF('Prev Aub'!A:A,O1821,'Prev Aub'!B:B)=0,"",SUMIF('Prev Aub'!A:A,O1821,'Prev Aub'!B:B))</f>
        <v/>
      </c>
      <c r="AN1821" s="25" t="s">
        <v>3790</v>
      </c>
      <c r="AO1821" s="25" t="s">
        <v>3790</v>
      </c>
      <c r="AP1821" s="25" t="str">
        <f t="shared" si="923"/>
        <v/>
      </c>
      <c r="AQ1821" s="151" t="e">
        <f>IF(SUMIFS(#REF!,#REF!,O1821,#REF!,"PENDING")=0,"",SUMIFS(#REF!,#REF!,O1821,#REF!,"PENDING"))</f>
        <v>#REF!</v>
      </c>
      <c r="AR1821" s="27" t="str">
        <f t="shared" si="902"/>
        <v/>
      </c>
      <c r="AS1821" s="27" t="str">
        <f t="shared" si="903"/>
        <v/>
      </c>
      <c r="AT1821" s="27" t="str">
        <f t="shared" si="904"/>
        <v/>
      </c>
      <c r="AU1821" s="27" t="str">
        <f t="shared" si="905"/>
        <v/>
      </c>
      <c r="AV1821" s="27" t="str">
        <f t="shared" si="906"/>
        <v/>
      </c>
      <c r="AW1821" s="27" t="e">
        <f t="shared" si="907"/>
        <v>#REF!</v>
      </c>
      <c r="AX1821" s="27" t="e">
        <f t="shared" si="908"/>
        <v>#REF!</v>
      </c>
      <c r="AY1821" s="27" t="str">
        <f t="shared" si="909"/>
        <v/>
      </c>
      <c r="AZ1821" s="27" t="str">
        <f t="shared" si="910"/>
        <v/>
      </c>
      <c r="BA1821" s="27" t="str">
        <f t="shared" si="911"/>
        <v/>
      </c>
      <c r="BB1821" s="27" t="str">
        <f t="shared" si="912"/>
        <v/>
      </c>
      <c r="BC1821" s="27" t="str">
        <f t="shared" si="913"/>
        <v/>
      </c>
      <c r="BD1821" s="27" t="str">
        <f t="shared" si="914"/>
        <v/>
      </c>
      <c r="BE1821" s="27" t="str">
        <f t="shared" si="915"/>
        <v/>
      </c>
      <c r="BF1821" s="27" t="str">
        <f t="shared" si="916"/>
        <v/>
      </c>
      <c r="BG1821" s="27" t="str">
        <f t="shared" si="917"/>
        <v/>
      </c>
      <c r="BH1821" s="27" t="str">
        <f t="shared" si="918"/>
        <v/>
      </c>
      <c r="BI1821" s="27" t="str">
        <f t="shared" si="919"/>
        <v/>
      </c>
      <c r="BJ1821" s="27" t="str">
        <f t="shared" si="920"/>
        <v/>
      </c>
      <c r="BK1821" s="27" t="str">
        <f t="shared" si="921"/>
        <v/>
      </c>
      <c r="BL1821" s="27" t="str">
        <f t="shared" si="922"/>
        <v/>
      </c>
      <c r="BM1821" s="21" t="s">
        <v>3790</v>
      </c>
    </row>
    <row r="1822" spans="1:65" ht="15">
      <c r="A1822" s="25" t="str">
        <f>IFERROR(INDEX(#REF!,MATCH(O1822,#REF!,0)),"")</f>
        <v/>
      </c>
      <c r="B1822" s="25" t="str">
        <f>IFERROR(INDEX(#REF!,MATCH(O1822,#REF!,0)),"")</f>
        <v/>
      </c>
      <c r="C1822" s="25" t="str">
        <f>IFERROR(INDEX(#REF!,MATCH(O1822,#REF!,0)),"")</f>
        <v/>
      </c>
      <c r="D1822" s="25" t="str">
        <f>IFERROR(INDEX(#REF!,MATCH(O1822,#REF!,0)),"")</f>
        <v/>
      </c>
      <c r="E1822" s="25" t="str">
        <f>IFERROR(INDEX(#REF!,MATCH(O1822,#REF!,0)),"")</f>
        <v/>
      </c>
      <c r="F1822" s="25" t="str">
        <f>IFERROR(INDEX(#REF!,MATCH(O1822,#REF!,0)),"")</f>
        <v/>
      </c>
      <c r="G1822" s="25" t="str">
        <f>IFERROR(INDEX(#REF!,MATCH(O1822,#REF!,0)),"")</f>
        <v/>
      </c>
      <c r="H1822" s="25" t="str">
        <f>IFERROR(INDEX(#REF!,MATCH(O1822,#REF!,0)),"")</f>
        <v/>
      </c>
      <c r="I1822" s="25" t="str">
        <f>IFERROR(INDEX(#REF!,MATCH(O1822,#REF!,0)),"")</f>
        <v/>
      </c>
      <c r="J1822" s="25" t="str">
        <f>IFERROR(INDEX(#REF!,MATCH(O1822,#REF!,0)),"")</f>
        <v/>
      </c>
      <c r="K1822" s="25" t="str">
        <f>IFERROR(INDEX(#REF!,MATCH(O1822,#REF!,0)),"")</f>
        <v/>
      </c>
      <c r="L1822" s="25" t="str">
        <f>IFERROR(INDEX(#REF!,MATCH(O1822,#REF!,0)),"")</f>
        <v/>
      </c>
      <c r="P1822" s="27" t="str">
        <f>IFERROR(INDEX(#REF!,MATCH($O1822,#REF!,0)),"")</f>
        <v/>
      </c>
      <c r="Q1822" s="27" t="str">
        <f>IFERROR(INDEX(#REF!,MATCH($O1822,#REF!,0)),"")</f>
        <v/>
      </c>
      <c r="R1822" s="52" t="str">
        <f>IFERROR(IF(AR1823=AR1822,INDEX(#REF!,MATCH($O1822,#REF!,0))-IF(AN1822="",0,AN1822)+AP1823,INDEX(#REF!,MATCH($O1822,#REF!,0))-IF(AN1822="",0,AN1822)),"")</f>
        <v/>
      </c>
      <c r="S1822" s="53" t="str">
        <f t="shared" si="896"/>
        <v/>
      </c>
      <c r="T1822" s="52" t="str">
        <f t="shared" si="897"/>
        <v/>
      </c>
      <c r="U1822" s="52" t="str">
        <f>IFERROR(IF(AR1823=AR1822,INDEX(#REF!,MATCH($O1822,#REF!,0))-IF(AN1822="",0,AN1822)+AP1823,INDEX(#REF!,MATCH($O1822,#REF!,0))-IF(AN1822="",0,AN1822)),"")</f>
        <v/>
      </c>
      <c r="V1822" s="53" t="str">
        <f t="shared" si="898"/>
        <v/>
      </c>
      <c r="W1822" s="52" t="str">
        <f t="shared" si="899"/>
        <v/>
      </c>
      <c r="X1822" s="52" t="str">
        <f>IFERROR(IF(AND(AR1823=AR1822,AM1822&lt;&gt;""),INDEX(#REF!,MATCH($O1822,#REF!,0))-IF(AN1822="",0,AN1822)+AP1823+AD1822+AL1822,IF(AR1823=AR1822,INDEX(#REF!,MATCH($O1822,#REF!,0))-IF(AN1822="",0,AN1822)+AP1823+AD1822,IF(AM1822&lt;&gt;"",INDEX(#REF!,MATCH($O1822,#REF!,0))-IF(AN1822="",0,AN1822)+AD1822+AL1822,INDEX(#REF!,MATCH($O1822,#REF!,0))-IF(AN1822="",0,AN1822)+AD1822))),"")</f>
        <v/>
      </c>
      <c r="Y1822" s="53" t="str">
        <f t="shared" si="900"/>
        <v/>
      </c>
      <c r="Z1822" s="52" t="str">
        <f>IF(L1822="","",INDEX(#REF!,MATCH($O1822,#REF!,0)))</f>
        <v/>
      </c>
      <c r="AA1822" s="52" t="str">
        <f t="shared" si="901"/>
        <v/>
      </c>
      <c r="AB1822" s="52" t="str">
        <f>IFERROR(INDEX(#REF!,MATCH($O1822,#REF!,0)),"")</f>
        <v/>
      </c>
      <c r="AC1822" s="52" t="str">
        <f>IFERROR(IF(O1822="","",SUMIFS('CPL Mats'!F:F,'CPL Mats'!Q:Q,AR1822,'CPL Mats'!S:S,AS1822)),"")</f>
        <v/>
      </c>
      <c r="AF1822" s="25" t="e">
        <f>IF(SUMIFS(#REF!,#REF!,"Releasable",#REF!,O1822)=0,"",SUMIFS(#REF!,#REF!,"Releasable",#REF!,O1822))</f>
        <v>#REF!</v>
      </c>
      <c r="AG1822" s="25" t="str">
        <f>IFERROR(INDEX(#REF!,MATCH(O1822,#REF!,0)),"")</f>
        <v/>
      </c>
      <c r="AH1822" s="25" t="str">
        <f>IFERROR(INDEX(#REF!,MATCH($O1822,#REF!,0)),"")</f>
        <v/>
      </c>
      <c r="AI1822" s="25" t="e">
        <f>IF(SUMIFS(#REF!,#REF!,"Expires this month",#REF!,O1822)=0,"",SUMIFS(#REF!,#REF!,"Expires this month",#REF!,O1822))</f>
        <v>#REF!</v>
      </c>
      <c r="AJ1822" s="25" t="e">
        <f>IF(SUMIFS(#REF!,#REF!,"Expired Previous Months",#REF!,O1822)=0,"",SUMIFS(#REF!,#REF!,"Expired Previous Months",#REF!,O1822))</f>
        <v>#REF!</v>
      </c>
      <c r="AK1822" s="25" t="str">
        <f>IFERROR(INDEX('Hun Release Current'!B:B,MATCH(O1822,'Hun Release Current'!A:A,0)),"")</f>
        <v/>
      </c>
      <c r="AL1822" s="25" t="str">
        <f>IF(SUMIF('Prev Aub'!A:A,O1822,'Prev Aub'!B:B)=0,"",SUMIF('Prev Aub'!A:A,O1822,'Prev Aub'!B:B))</f>
        <v/>
      </c>
      <c r="AN1822" s="25" t="s">
        <v>3790</v>
      </c>
      <c r="AO1822" s="25" t="s">
        <v>3790</v>
      </c>
      <c r="AP1822" s="25" t="str">
        <f t="shared" si="923"/>
        <v/>
      </c>
      <c r="AQ1822" s="151" t="e">
        <f>IF(SUMIFS(#REF!,#REF!,O1822,#REF!,"PENDING")=0,"",SUMIFS(#REF!,#REF!,O1822,#REF!,"PENDING"))</f>
        <v>#REF!</v>
      </c>
      <c r="AR1822" s="27" t="str">
        <f t="shared" si="902"/>
        <v/>
      </c>
      <c r="AS1822" s="27" t="str">
        <f t="shared" si="903"/>
        <v/>
      </c>
      <c r="AT1822" s="27" t="str">
        <f t="shared" si="904"/>
        <v/>
      </c>
      <c r="AU1822" s="27" t="str">
        <f t="shared" si="905"/>
        <v/>
      </c>
      <c r="AV1822" s="27" t="str">
        <f t="shared" si="906"/>
        <v/>
      </c>
      <c r="AW1822" s="27" t="e">
        <f t="shared" si="907"/>
        <v>#REF!</v>
      </c>
      <c r="AX1822" s="27" t="e">
        <f t="shared" si="908"/>
        <v>#REF!</v>
      </c>
      <c r="AY1822" s="27" t="str">
        <f t="shared" si="909"/>
        <v/>
      </c>
      <c r="AZ1822" s="27" t="str">
        <f t="shared" si="910"/>
        <v/>
      </c>
      <c r="BA1822" s="27" t="str">
        <f t="shared" si="911"/>
        <v/>
      </c>
      <c r="BB1822" s="27" t="str">
        <f t="shared" si="912"/>
        <v/>
      </c>
      <c r="BC1822" s="27" t="str">
        <f t="shared" si="913"/>
        <v/>
      </c>
      <c r="BD1822" s="27" t="str">
        <f t="shared" si="914"/>
        <v/>
      </c>
      <c r="BE1822" s="27" t="str">
        <f t="shared" si="915"/>
        <v/>
      </c>
      <c r="BF1822" s="27" t="str">
        <f t="shared" si="916"/>
        <v/>
      </c>
      <c r="BG1822" s="27" t="str">
        <f t="shared" si="917"/>
        <v/>
      </c>
      <c r="BH1822" s="27" t="str">
        <f t="shared" si="918"/>
        <v/>
      </c>
      <c r="BI1822" s="27" t="str">
        <f t="shared" si="919"/>
        <v/>
      </c>
      <c r="BJ1822" s="27" t="str">
        <f t="shared" si="920"/>
        <v/>
      </c>
      <c r="BK1822" s="27" t="str">
        <f t="shared" si="921"/>
        <v/>
      </c>
      <c r="BL1822" s="27" t="str">
        <f t="shared" si="922"/>
        <v/>
      </c>
      <c r="BM1822" s="21" t="s">
        <v>3790</v>
      </c>
    </row>
    <row r="1823" spans="1:65" ht="15">
      <c r="A1823" s="25" t="str">
        <f>IFERROR(INDEX(#REF!,MATCH(O1823,#REF!,0)),"")</f>
        <v/>
      </c>
      <c r="B1823" s="25" t="str">
        <f>IFERROR(INDEX(#REF!,MATCH(O1823,#REF!,0)),"")</f>
        <v/>
      </c>
      <c r="C1823" s="25" t="str">
        <f>IFERROR(INDEX(#REF!,MATCH(O1823,#REF!,0)),"")</f>
        <v/>
      </c>
      <c r="D1823" s="25" t="str">
        <f>IFERROR(INDEX(#REF!,MATCH(O1823,#REF!,0)),"")</f>
        <v/>
      </c>
      <c r="E1823" s="25" t="str">
        <f>IFERROR(INDEX(#REF!,MATCH(O1823,#REF!,0)),"")</f>
        <v/>
      </c>
      <c r="F1823" s="25" t="str">
        <f>IFERROR(INDEX(#REF!,MATCH(O1823,#REF!,0)),"")</f>
        <v/>
      </c>
      <c r="G1823" s="25" t="str">
        <f>IFERROR(INDEX(#REF!,MATCH(O1823,#REF!,0)),"")</f>
        <v/>
      </c>
      <c r="H1823" s="25" t="str">
        <f>IFERROR(INDEX(#REF!,MATCH(O1823,#REF!,0)),"")</f>
        <v/>
      </c>
      <c r="I1823" s="25" t="str">
        <f>IFERROR(INDEX(#REF!,MATCH(O1823,#REF!,0)),"")</f>
        <v/>
      </c>
      <c r="J1823" s="25" t="str">
        <f>IFERROR(INDEX(#REF!,MATCH(O1823,#REF!,0)),"")</f>
        <v/>
      </c>
      <c r="K1823" s="25" t="str">
        <f>IFERROR(INDEX(#REF!,MATCH(O1823,#REF!,0)),"")</f>
        <v/>
      </c>
      <c r="L1823" s="25" t="str">
        <f>IFERROR(INDEX(#REF!,MATCH(O1823,#REF!,0)),"")</f>
        <v/>
      </c>
      <c r="P1823" s="27" t="str">
        <f>IFERROR(INDEX(#REF!,MATCH($O1823,#REF!,0)),"")</f>
        <v/>
      </c>
      <c r="Q1823" s="27" t="str">
        <f>IFERROR(INDEX(#REF!,MATCH($O1823,#REF!,0)),"")</f>
        <v/>
      </c>
      <c r="R1823" s="52" t="str">
        <f>IFERROR(IF(AR1824=AR1823,INDEX(#REF!,MATCH($O1823,#REF!,0))-IF(AN1823="",0,AN1823)+AP1824,INDEX(#REF!,MATCH($O1823,#REF!,0))-IF(AN1823="",0,AN1823)),"")</f>
        <v/>
      </c>
      <c r="S1823" s="53" t="str">
        <f t="shared" si="896"/>
        <v/>
      </c>
      <c r="T1823" s="52" t="str">
        <f t="shared" si="897"/>
        <v/>
      </c>
      <c r="U1823" s="52" t="str">
        <f>IFERROR(IF(AR1824=AR1823,INDEX(#REF!,MATCH($O1823,#REF!,0))-IF(AN1823="",0,AN1823)+AP1824,INDEX(#REF!,MATCH($O1823,#REF!,0))-IF(AN1823="",0,AN1823)),"")</f>
        <v/>
      </c>
      <c r="V1823" s="53" t="str">
        <f t="shared" si="898"/>
        <v/>
      </c>
      <c r="W1823" s="52" t="str">
        <f t="shared" si="899"/>
        <v/>
      </c>
      <c r="X1823" s="52" t="str">
        <f>IFERROR(IF(AND(AR1824=AR1823,AM1823&lt;&gt;""),INDEX(#REF!,MATCH($O1823,#REF!,0))-IF(AN1823="",0,AN1823)+AP1824+AD1823+AL1823,IF(AR1824=AR1823,INDEX(#REF!,MATCH($O1823,#REF!,0))-IF(AN1823="",0,AN1823)+AP1824+AD1823,IF(AM1823&lt;&gt;"",INDEX(#REF!,MATCH($O1823,#REF!,0))-IF(AN1823="",0,AN1823)+AD1823+AL1823,INDEX(#REF!,MATCH($O1823,#REF!,0))-IF(AN1823="",0,AN1823)+AD1823))),"")</f>
        <v/>
      </c>
      <c r="Y1823" s="53" t="str">
        <f t="shared" si="900"/>
        <v/>
      </c>
      <c r="Z1823" s="52" t="str">
        <f>IF(L1823="","",INDEX(#REF!,MATCH($O1823,#REF!,0)))</f>
        <v/>
      </c>
      <c r="AA1823" s="52" t="str">
        <f t="shared" si="901"/>
        <v/>
      </c>
      <c r="AB1823" s="52" t="str">
        <f>IFERROR(INDEX(#REF!,MATCH($O1823,#REF!,0)),"")</f>
        <v/>
      </c>
      <c r="AC1823" s="52" t="str">
        <f>IFERROR(IF(O1823="","",SUMIFS('CPL Mats'!F:F,'CPL Mats'!Q:Q,AR1823,'CPL Mats'!S:S,AS1823)),"")</f>
        <v/>
      </c>
      <c r="AF1823" s="25" t="e">
        <f>IF(SUMIFS(#REF!,#REF!,"Releasable",#REF!,O1823)=0,"",SUMIFS(#REF!,#REF!,"Releasable",#REF!,O1823))</f>
        <v>#REF!</v>
      </c>
      <c r="AG1823" s="25" t="str">
        <f>IFERROR(INDEX(#REF!,MATCH(O1823,#REF!,0)),"")</f>
        <v/>
      </c>
      <c r="AH1823" s="25" t="str">
        <f>IFERROR(INDEX(#REF!,MATCH($O1823,#REF!,0)),"")</f>
        <v/>
      </c>
      <c r="AI1823" s="25" t="e">
        <f>IF(SUMIFS(#REF!,#REF!,"Expires this month",#REF!,O1823)=0,"",SUMIFS(#REF!,#REF!,"Expires this month",#REF!,O1823))</f>
        <v>#REF!</v>
      </c>
      <c r="AJ1823" s="25" t="e">
        <f>IF(SUMIFS(#REF!,#REF!,"Expired Previous Months",#REF!,O1823)=0,"",SUMIFS(#REF!,#REF!,"Expired Previous Months",#REF!,O1823))</f>
        <v>#REF!</v>
      </c>
      <c r="AK1823" s="25" t="str">
        <f>IFERROR(INDEX('Hun Release Current'!B:B,MATCH(O1823,'Hun Release Current'!A:A,0)),"")</f>
        <v/>
      </c>
      <c r="AL1823" s="25" t="str">
        <f>IF(SUMIF('Prev Aub'!A:A,O1823,'Prev Aub'!B:B)=0,"",SUMIF('Prev Aub'!A:A,O1823,'Prev Aub'!B:B))</f>
        <v/>
      </c>
      <c r="AN1823" s="25" t="s">
        <v>3790</v>
      </c>
      <c r="AO1823" s="25" t="s">
        <v>3790</v>
      </c>
      <c r="AP1823" s="25" t="str">
        <f t="shared" si="923"/>
        <v/>
      </c>
      <c r="AQ1823" s="151" t="e">
        <f>IF(SUMIFS(#REF!,#REF!,O1823,#REF!,"PENDING")=0,"",SUMIFS(#REF!,#REF!,O1823,#REF!,"PENDING"))</f>
        <v>#REF!</v>
      </c>
      <c r="AR1823" s="27" t="str">
        <f t="shared" si="902"/>
        <v/>
      </c>
      <c r="AS1823" s="27" t="str">
        <f t="shared" si="903"/>
        <v/>
      </c>
      <c r="AT1823" s="27" t="str">
        <f t="shared" si="904"/>
        <v/>
      </c>
      <c r="AU1823" s="27" t="str">
        <f t="shared" si="905"/>
        <v/>
      </c>
      <c r="AV1823" s="27" t="str">
        <f t="shared" si="906"/>
        <v/>
      </c>
      <c r="AW1823" s="27" t="e">
        <f t="shared" si="907"/>
        <v>#REF!</v>
      </c>
      <c r="AX1823" s="27" t="e">
        <f t="shared" si="908"/>
        <v>#REF!</v>
      </c>
      <c r="AY1823" s="27" t="str">
        <f t="shared" si="909"/>
        <v/>
      </c>
      <c r="AZ1823" s="27" t="str">
        <f t="shared" si="910"/>
        <v/>
      </c>
      <c r="BA1823" s="27" t="str">
        <f t="shared" si="911"/>
        <v/>
      </c>
      <c r="BB1823" s="27" t="str">
        <f t="shared" si="912"/>
        <v/>
      </c>
      <c r="BC1823" s="27" t="str">
        <f t="shared" si="913"/>
        <v/>
      </c>
      <c r="BD1823" s="27" t="str">
        <f t="shared" si="914"/>
        <v/>
      </c>
      <c r="BE1823" s="27" t="str">
        <f t="shared" si="915"/>
        <v/>
      </c>
      <c r="BF1823" s="27" t="str">
        <f t="shared" si="916"/>
        <v/>
      </c>
      <c r="BG1823" s="27" t="str">
        <f t="shared" si="917"/>
        <v/>
      </c>
      <c r="BH1823" s="27" t="str">
        <f t="shared" si="918"/>
        <v/>
      </c>
      <c r="BI1823" s="27" t="str">
        <f t="shared" si="919"/>
        <v/>
      </c>
      <c r="BJ1823" s="27" t="str">
        <f t="shared" si="920"/>
        <v/>
      </c>
      <c r="BK1823" s="27" t="str">
        <f t="shared" si="921"/>
        <v/>
      </c>
      <c r="BL1823" s="27" t="str">
        <f t="shared" si="922"/>
        <v/>
      </c>
      <c r="BM1823" s="21" t="s">
        <v>3790</v>
      </c>
    </row>
    <row r="1824" spans="1:65" ht="15">
      <c r="A1824" s="25" t="str">
        <f>IFERROR(INDEX(#REF!,MATCH(O1824,#REF!,0)),"")</f>
        <v/>
      </c>
      <c r="B1824" s="25" t="str">
        <f>IFERROR(INDEX(#REF!,MATCH(O1824,#REF!,0)),"")</f>
        <v/>
      </c>
      <c r="C1824" s="25" t="str">
        <f>IFERROR(INDEX(#REF!,MATCH(O1824,#REF!,0)),"")</f>
        <v/>
      </c>
      <c r="D1824" s="25" t="str">
        <f>IFERROR(INDEX(#REF!,MATCH(O1824,#REF!,0)),"")</f>
        <v/>
      </c>
      <c r="E1824" s="25" t="str">
        <f>IFERROR(INDEX(#REF!,MATCH(O1824,#REF!,0)),"")</f>
        <v/>
      </c>
      <c r="F1824" s="25" t="str">
        <f>IFERROR(INDEX(#REF!,MATCH(O1824,#REF!,0)),"")</f>
        <v/>
      </c>
      <c r="G1824" s="25" t="str">
        <f>IFERROR(INDEX(#REF!,MATCH(O1824,#REF!,0)),"")</f>
        <v/>
      </c>
      <c r="H1824" s="25" t="str">
        <f>IFERROR(INDEX(#REF!,MATCH(O1824,#REF!,0)),"")</f>
        <v/>
      </c>
      <c r="I1824" s="25" t="str">
        <f>IFERROR(INDEX(#REF!,MATCH(O1824,#REF!,0)),"")</f>
        <v/>
      </c>
      <c r="J1824" s="25" t="str">
        <f>IFERROR(INDEX(#REF!,MATCH(O1824,#REF!,0)),"")</f>
        <v/>
      </c>
      <c r="K1824" s="25" t="str">
        <f>IFERROR(INDEX(#REF!,MATCH(O1824,#REF!,0)),"")</f>
        <v/>
      </c>
      <c r="L1824" s="25" t="str">
        <f>IFERROR(INDEX(#REF!,MATCH(O1824,#REF!,0)),"")</f>
        <v/>
      </c>
      <c r="P1824" s="27" t="str">
        <f>IFERROR(INDEX(#REF!,MATCH($O1824,#REF!,0)),"")</f>
        <v/>
      </c>
      <c r="Q1824" s="27" t="str">
        <f>IFERROR(INDEX(#REF!,MATCH($O1824,#REF!,0)),"")</f>
        <v/>
      </c>
      <c r="R1824" s="52" t="str">
        <f>IFERROR(IF(AR1825=AR1824,INDEX(#REF!,MATCH($O1824,#REF!,0))-IF(AN1824="",0,AN1824)+AP1825,INDEX(#REF!,MATCH($O1824,#REF!,0))-IF(AN1824="",0,AN1824)),"")</f>
        <v/>
      </c>
      <c r="S1824" s="53" t="str">
        <f t="shared" si="896"/>
        <v/>
      </c>
      <c r="T1824" s="52" t="str">
        <f t="shared" si="897"/>
        <v/>
      </c>
      <c r="U1824" s="52" t="str">
        <f>IFERROR(IF(AR1825=AR1824,INDEX(#REF!,MATCH($O1824,#REF!,0))-IF(AN1824="",0,AN1824)+AP1825,INDEX(#REF!,MATCH($O1824,#REF!,0))-IF(AN1824="",0,AN1824)),"")</f>
        <v/>
      </c>
      <c r="V1824" s="53" t="str">
        <f t="shared" si="898"/>
        <v/>
      </c>
      <c r="W1824" s="52" t="str">
        <f t="shared" si="899"/>
        <v/>
      </c>
      <c r="X1824" s="52" t="str">
        <f>IFERROR(IF(AND(AR1825=AR1824,AM1824&lt;&gt;""),INDEX(#REF!,MATCH($O1824,#REF!,0))-IF(AN1824="",0,AN1824)+AP1825+AD1824+AL1824,IF(AR1825=AR1824,INDEX(#REF!,MATCH($O1824,#REF!,0))-IF(AN1824="",0,AN1824)+AP1825+AD1824,IF(AM1824&lt;&gt;"",INDEX(#REF!,MATCH($O1824,#REF!,0))-IF(AN1824="",0,AN1824)+AD1824+AL1824,INDEX(#REF!,MATCH($O1824,#REF!,0))-IF(AN1824="",0,AN1824)+AD1824))),"")</f>
        <v/>
      </c>
      <c r="Y1824" s="53" t="str">
        <f t="shared" si="900"/>
        <v/>
      </c>
      <c r="Z1824" s="52" t="str">
        <f>IF(L1824="","",INDEX(#REF!,MATCH($O1824,#REF!,0)))</f>
        <v/>
      </c>
      <c r="AA1824" s="52" t="str">
        <f t="shared" si="901"/>
        <v/>
      </c>
      <c r="AB1824" s="52" t="str">
        <f>IFERROR(INDEX(#REF!,MATCH($O1824,#REF!,0)),"")</f>
        <v/>
      </c>
      <c r="AC1824" s="52" t="str">
        <f>IFERROR(IF(O1824="","",SUMIFS('CPL Mats'!F:F,'CPL Mats'!Q:Q,AR1824,'CPL Mats'!S:S,AS1824)),"")</f>
        <v/>
      </c>
      <c r="AF1824" s="25" t="e">
        <f>IF(SUMIFS(#REF!,#REF!,"Releasable",#REF!,O1824)=0,"",SUMIFS(#REF!,#REF!,"Releasable",#REF!,O1824))</f>
        <v>#REF!</v>
      </c>
      <c r="AG1824" s="25" t="str">
        <f>IFERROR(INDEX(#REF!,MATCH(O1824,#REF!,0)),"")</f>
        <v/>
      </c>
      <c r="AH1824" s="25" t="str">
        <f>IFERROR(INDEX(#REF!,MATCH($O1824,#REF!,0)),"")</f>
        <v/>
      </c>
      <c r="AI1824" s="25" t="e">
        <f>IF(SUMIFS(#REF!,#REF!,"Expires this month",#REF!,O1824)=0,"",SUMIFS(#REF!,#REF!,"Expires this month",#REF!,O1824))</f>
        <v>#REF!</v>
      </c>
      <c r="AJ1824" s="25" t="e">
        <f>IF(SUMIFS(#REF!,#REF!,"Expired Previous Months",#REF!,O1824)=0,"",SUMIFS(#REF!,#REF!,"Expired Previous Months",#REF!,O1824))</f>
        <v>#REF!</v>
      </c>
      <c r="AK1824" s="25" t="str">
        <f>IFERROR(INDEX('Hun Release Current'!B:B,MATCH(O1824,'Hun Release Current'!A:A,0)),"")</f>
        <v/>
      </c>
      <c r="AL1824" s="25" t="str">
        <f>IF(SUMIF('Prev Aub'!A:A,O1824,'Prev Aub'!B:B)=0,"",SUMIF('Prev Aub'!A:A,O1824,'Prev Aub'!B:B))</f>
        <v/>
      </c>
      <c r="AN1824" s="25" t="s">
        <v>3790</v>
      </c>
      <c r="AO1824" s="25" t="s">
        <v>3790</v>
      </c>
      <c r="AP1824" s="25" t="str">
        <f t="shared" si="923"/>
        <v/>
      </c>
      <c r="AQ1824" s="151" t="e">
        <f>IF(SUMIFS(#REF!,#REF!,O1824,#REF!,"PENDING")=0,"",SUMIFS(#REF!,#REF!,O1824,#REF!,"PENDING"))</f>
        <v>#REF!</v>
      </c>
      <c r="AR1824" s="27" t="str">
        <f t="shared" si="902"/>
        <v/>
      </c>
      <c r="AS1824" s="27" t="str">
        <f t="shared" si="903"/>
        <v/>
      </c>
      <c r="AT1824" s="27" t="str">
        <f t="shared" si="904"/>
        <v/>
      </c>
      <c r="AU1824" s="27" t="str">
        <f t="shared" si="905"/>
        <v/>
      </c>
      <c r="AV1824" s="27" t="str">
        <f t="shared" si="906"/>
        <v/>
      </c>
      <c r="AW1824" s="27" t="e">
        <f t="shared" si="907"/>
        <v>#REF!</v>
      </c>
      <c r="AX1824" s="27" t="e">
        <f t="shared" si="908"/>
        <v>#REF!</v>
      </c>
      <c r="AY1824" s="27" t="str">
        <f t="shared" si="909"/>
        <v/>
      </c>
      <c r="AZ1824" s="27" t="str">
        <f t="shared" si="910"/>
        <v/>
      </c>
      <c r="BA1824" s="27" t="str">
        <f t="shared" si="911"/>
        <v/>
      </c>
      <c r="BB1824" s="27" t="str">
        <f t="shared" si="912"/>
        <v/>
      </c>
      <c r="BC1824" s="27" t="str">
        <f t="shared" si="913"/>
        <v/>
      </c>
      <c r="BD1824" s="27" t="str">
        <f t="shared" si="914"/>
        <v/>
      </c>
      <c r="BE1824" s="27" t="str">
        <f t="shared" si="915"/>
        <v/>
      </c>
      <c r="BF1824" s="27" t="str">
        <f t="shared" si="916"/>
        <v/>
      </c>
      <c r="BG1824" s="27" t="str">
        <f t="shared" si="917"/>
        <v/>
      </c>
      <c r="BH1824" s="27" t="str">
        <f t="shared" si="918"/>
        <v/>
      </c>
      <c r="BI1824" s="27" t="str">
        <f t="shared" si="919"/>
        <v/>
      </c>
      <c r="BJ1824" s="27" t="str">
        <f t="shared" si="920"/>
        <v/>
      </c>
      <c r="BK1824" s="27" t="str">
        <f t="shared" si="921"/>
        <v/>
      </c>
      <c r="BL1824" s="27" t="str">
        <f t="shared" si="922"/>
        <v/>
      </c>
      <c r="BM1824" s="21" t="s">
        <v>3790</v>
      </c>
    </row>
    <row r="1825" spans="1:65" ht="15">
      <c r="A1825" s="25" t="str">
        <f>IFERROR(INDEX(#REF!,MATCH(O1825,#REF!,0)),"")</f>
        <v/>
      </c>
      <c r="B1825" s="25" t="str">
        <f>IFERROR(INDEX(#REF!,MATCH(O1825,#REF!,0)),"")</f>
        <v/>
      </c>
      <c r="C1825" s="25" t="str">
        <f>IFERROR(INDEX(#REF!,MATCH(O1825,#REF!,0)),"")</f>
        <v/>
      </c>
      <c r="D1825" s="25" t="str">
        <f>IFERROR(INDEX(#REF!,MATCH(O1825,#REF!,0)),"")</f>
        <v/>
      </c>
      <c r="E1825" s="25" t="str">
        <f>IFERROR(INDEX(#REF!,MATCH(O1825,#REF!,0)),"")</f>
        <v/>
      </c>
      <c r="F1825" s="25" t="str">
        <f>IFERROR(INDEX(#REF!,MATCH(O1825,#REF!,0)),"")</f>
        <v/>
      </c>
      <c r="G1825" s="25" t="str">
        <f>IFERROR(INDEX(#REF!,MATCH(O1825,#REF!,0)),"")</f>
        <v/>
      </c>
      <c r="H1825" s="25" t="str">
        <f>IFERROR(INDEX(#REF!,MATCH(O1825,#REF!,0)),"")</f>
        <v/>
      </c>
      <c r="I1825" s="25" t="str">
        <f>IFERROR(INDEX(#REF!,MATCH(O1825,#REF!,0)),"")</f>
        <v/>
      </c>
      <c r="J1825" s="25" t="str">
        <f>IFERROR(INDEX(#REF!,MATCH(O1825,#REF!,0)),"")</f>
        <v/>
      </c>
      <c r="K1825" s="25" t="str">
        <f>IFERROR(INDEX(#REF!,MATCH(O1825,#REF!,0)),"")</f>
        <v/>
      </c>
      <c r="L1825" s="25" t="str">
        <f>IFERROR(INDEX(#REF!,MATCH(O1825,#REF!,0)),"")</f>
        <v/>
      </c>
      <c r="P1825" s="27" t="str">
        <f>IFERROR(INDEX(#REF!,MATCH($O1825,#REF!,0)),"")</f>
        <v/>
      </c>
      <c r="Q1825" s="27" t="str">
        <f>IFERROR(INDEX(#REF!,MATCH($O1825,#REF!,0)),"")</f>
        <v/>
      </c>
      <c r="R1825" s="52" t="str">
        <f>IFERROR(IF(AR1826=AR1825,INDEX(#REF!,MATCH($O1825,#REF!,0))-IF(AN1825="",0,AN1825)+AP1826,INDEX(#REF!,MATCH($O1825,#REF!,0))-IF(AN1825="",0,AN1825)),"")</f>
        <v/>
      </c>
      <c r="S1825" s="53" t="str">
        <f t="shared" si="896"/>
        <v/>
      </c>
      <c r="T1825" s="52" t="str">
        <f t="shared" si="897"/>
        <v/>
      </c>
      <c r="U1825" s="52" t="str">
        <f>IFERROR(IF(AR1826=AR1825,INDEX(#REF!,MATCH($O1825,#REF!,0))-IF(AN1825="",0,AN1825)+AP1826,INDEX(#REF!,MATCH($O1825,#REF!,0))-IF(AN1825="",0,AN1825)),"")</f>
        <v/>
      </c>
      <c r="V1825" s="53" t="str">
        <f t="shared" si="898"/>
        <v/>
      </c>
      <c r="W1825" s="52" t="str">
        <f t="shared" si="899"/>
        <v/>
      </c>
      <c r="X1825" s="52" t="str">
        <f>IFERROR(IF(AND(AR1826=AR1825,AM1825&lt;&gt;""),INDEX(#REF!,MATCH($O1825,#REF!,0))-IF(AN1825="",0,AN1825)+AP1826+AD1825+AL1825,IF(AR1826=AR1825,INDEX(#REF!,MATCH($O1825,#REF!,0))-IF(AN1825="",0,AN1825)+AP1826+AD1825,IF(AM1825&lt;&gt;"",INDEX(#REF!,MATCH($O1825,#REF!,0))-IF(AN1825="",0,AN1825)+AD1825+AL1825,INDEX(#REF!,MATCH($O1825,#REF!,0))-IF(AN1825="",0,AN1825)+AD1825))),"")</f>
        <v/>
      </c>
      <c r="Y1825" s="53" t="str">
        <f t="shared" si="900"/>
        <v/>
      </c>
      <c r="Z1825" s="52" t="str">
        <f>IF(L1825="","",INDEX(#REF!,MATCH($O1825,#REF!,0)))</f>
        <v/>
      </c>
      <c r="AA1825" s="52" t="str">
        <f t="shared" si="901"/>
        <v/>
      </c>
      <c r="AB1825" s="52" t="str">
        <f>IFERROR(INDEX(#REF!,MATCH($O1825,#REF!,0)),"")</f>
        <v/>
      </c>
      <c r="AC1825" s="52" t="str">
        <f>IFERROR(IF(O1825="","",SUMIFS('CPL Mats'!F:F,'CPL Mats'!Q:Q,AR1825,'CPL Mats'!S:S,AS1825)),"")</f>
        <v/>
      </c>
      <c r="AF1825" s="25" t="e">
        <f>IF(SUMIFS(#REF!,#REF!,"Releasable",#REF!,O1825)=0,"",SUMIFS(#REF!,#REF!,"Releasable",#REF!,O1825))</f>
        <v>#REF!</v>
      </c>
      <c r="AG1825" s="25" t="str">
        <f>IFERROR(INDEX(#REF!,MATCH(O1825,#REF!,0)),"")</f>
        <v/>
      </c>
      <c r="AH1825" s="25" t="str">
        <f>IFERROR(INDEX(#REF!,MATCH($O1825,#REF!,0)),"")</f>
        <v/>
      </c>
      <c r="AI1825" s="25" t="e">
        <f>IF(SUMIFS(#REF!,#REF!,"Expires this month",#REF!,O1825)=0,"",SUMIFS(#REF!,#REF!,"Expires this month",#REF!,O1825))</f>
        <v>#REF!</v>
      </c>
      <c r="AJ1825" s="25" t="e">
        <f>IF(SUMIFS(#REF!,#REF!,"Expired Previous Months",#REF!,O1825)=0,"",SUMIFS(#REF!,#REF!,"Expired Previous Months",#REF!,O1825))</f>
        <v>#REF!</v>
      </c>
      <c r="AK1825" s="25" t="str">
        <f>IFERROR(INDEX('Hun Release Current'!B:B,MATCH(O1825,'Hun Release Current'!A:A,0)),"")</f>
        <v/>
      </c>
      <c r="AL1825" s="25" t="str">
        <f>IF(SUMIF('Prev Aub'!A:A,O1825,'Prev Aub'!B:B)=0,"",SUMIF('Prev Aub'!A:A,O1825,'Prev Aub'!B:B))</f>
        <v/>
      </c>
      <c r="AN1825" s="25" t="s">
        <v>3790</v>
      </c>
      <c r="AO1825" s="25" t="s">
        <v>3790</v>
      </c>
      <c r="AP1825" s="25" t="str">
        <f t="shared" si="923"/>
        <v/>
      </c>
      <c r="AQ1825" s="151" t="e">
        <f>IF(SUMIFS(#REF!,#REF!,O1825,#REF!,"PENDING")=0,"",SUMIFS(#REF!,#REF!,O1825,#REF!,"PENDING"))</f>
        <v>#REF!</v>
      </c>
      <c r="AR1825" s="27" t="str">
        <f t="shared" si="902"/>
        <v/>
      </c>
      <c r="AS1825" s="27" t="str">
        <f t="shared" si="903"/>
        <v/>
      </c>
      <c r="AT1825" s="27" t="str">
        <f t="shared" si="904"/>
        <v/>
      </c>
      <c r="AU1825" s="27" t="str">
        <f t="shared" si="905"/>
        <v/>
      </c>
      <c r="AV1825" s="27" t="str">
        <f t="shared" si="906"/>
        <v/>
      </c>
      <c r="AW1825" s="27" t="e">
        <f t="shared" si="907"/>
        <v>#REF!</v>
      </c>
      <c r="AX1825" s="27" t="e">
        <f t="shared" si="908"/>
        <v>#REF!</v>
      </c>
      <c r="AY1825" s="27" t="str">
        <f t="shared" si="909"/>
        <v/>
      </c>
      <c r="AZ1825" s="27" t="str">
        <f t="shared" si="910"/>
        <v/>
      </c>
      <c r="BA1825" s="27" t="str">
        <f t="shared" si="911"/>
        <v/>
      </c>
      <c r="BB1825" s="27" t="str">
        <f t="shared" si="912"/>
        <v/>
      </c>
      <c r="BC1825" s="27" t="str">
        <f t="shared" si="913"/>
        <v/>
      </c>
      <c r="BD1825" s="27" t="str">
        <f t="shared" si="914"/>
        <v/>
      </c>
      <c r="BE1825" s="27" t="str">
        <f t="shared" si="915"/>
        <v/>
      </c>
      <c r="BF1825" s="27" t="str">
        <f t="shared" si="916"/>
        <v/>
      </c>
      <c r="BG1825" s="27" t="str">
        <f t="shared" si="917"/>
        <v/>
      </c>
      <c r="BH1825" s="27" t="str">
        <f t="shared" si="918"/>
        <v/>
      </c>
      <c r="BI1825" s="27" t="str">
        <f t="shared" si="919"/>
        <v/>
      </c>
      <c r="BJ1825" s="27" t="str">
        <f t="shared" si="920"/>
        <v/>
      </c>
      <c r="BK1825" s="27" t="str">
        <f t="shared" si="921"/>
        <v/>
      </c>
      <c r="BL1825" s="27" t="str">
        <f t="shared" si="922"/>
        <v/>
      </c>
      <c r="BM1825" s="21" t="s">
        <v>3790</v>
      </c>
    </row>
    <row r="1826" spans="1:65" ht="15">
      <c r="A1826" s="25" t="str">
        <f>IFERROR(INDEX(#REF!,MATCH(O1826,#REF!,0)),"")</f>
        <v/>
      </c>
      <c r="B1826" s="25" t="str">
        <f>IFERROR(INDEX(#REF!,MATCH(O1826,#REF!,0)),"")</f>
        <v/>
      </c>
      <c r="C1826" s="25" t="str">
        <f>IFERROR(INDEX(#REF!,MATCH(O1826,#REF!,0)),"")</f>
        <v/>
      </c>
      <c r="D1826" s="25" t="str">
        <f>IFERROR(INDEX(#REF!,MATCH(O1826,#REF!,0)),"")</f>
        <v/>
      </c>
      <c r="E1826" s="25" t="str">
        <f>IFERROR(INDEX(#REF!,MATCH(O1826,#REF!,0)),"")</f>
        <v/>
      </c>
      <c r="F1826" s="25" t="str">
        <f>IFERROR(INDEX(#REF!,MATCH(O1826,#REF!,0)),"")</f>
        <v/>
      </c>
      <c r="G1826" s="25" t="str">
        <f>IFERROR(INDEX(#REF!,MATCH(O1826,#REF!,0)),"")</f>
        <v/>
      </c>
      <c r="H1826" s="25" t="str">
        <f>IFERROR(INDEX(#REF!,MATCH(O1826,#REF!,0)),"")</f>
        <v/>
      </c>
      <c r="I1826" s="25" t="str">
        <f>IFERROR(INDEX(#REF!,MATCH(O1826,#REF!,0)),"")</f>
        <v/>
      </c>
      <c r="J1826" s="25" t="str">
        <f>IFERROR(INDEX(#REF!,MATCH(O1826,#REF!,0)),"")</f>
        <v/>
      </c>
      <c r="K1826" s="25" t="str">
        <f>IFERROR(INDEX(#REF!,MATCH(O1826,#REF!,0)),"")</f>
        <v/>
      </c>
      <c r="L1826" s="25" t="str">
        <f>IFERROR(INDEX(#REF!,MATCH(O1826,#REF!,0)),"")</f>
        <v/>
      </c>
      <c r="P1826" s="27" t="str">
        <f>IFERROR(INDEX(#REF!,MATCH($O1826,#REF!,0)),"")</f>
        <v/>
      </c>
      <c r="Q1826" s="27" t="str">
        <f>IFERROR(INDEX(#REF!,MATCH($O1826,#REF!,0)),"")</f>
        <v/>
      </c>
      <c r="R1826" s="52" t="str">
        <f>IFERROR(IF(AR1827=AR1826,INDEX(#REF!,MATCH($O1826,#REF!,0))-IF(AN1826="",0,AN1826)+AP1827,INDEX(#REF!,MATCH($O1826,#REF!,0))-IF(AN1826="",0,AN1826)),"")</f>
        <v/>
      </c>
      <c r="S1826" s="53" t="str">
        <f t="shared" si="896"/>
        <v/>
      </c>
      <c r="T1826" s="52" t="str">
        <f t="shared" si="897"/>
        <v/>
      </c>
      <c r="U1826" s="52" t="str">
        <f>IFERROR(IF(AR1827=AR1826,INDEX(#REF!,MATCH($O1826,#REF!,0))-IF(AN1826="",0,AN1826)+AP1827,INDEX(#REF!,MATCH($O1826,#REF!,0))-IF(AN1826="",0,AN1826)),"")</f>
        <v/>
      </c>
      <c r="V1826" s="53" t="str">
        <f t="shared" si="898"/>
        <v/>
      </c>
      <c r="W1826" s="52" t="str">
        <f t="shared" si="899"/>
        <v/>
      </c>
      <c r="X1826" s="52" t="str">
        <f>IFERROR(IF(AND(AR1827=AR1826,AM1826&lt;&gt;""),INDEX(#REF!,MATCH($O1826,#REF!,0))-IF(AN1826="",0,AN1826)+AP1827+AD1826+AL1826,IF(AR1827=AR1826,INDEX(#REF!,MATCH($O1826,#REF!,0))-IF(AN1826="",0,AN1826)+AP1827+AD1826,IF(AM1826&lt;&gt;"",INDEX(#REF!,MATCH($O1826,#REF!,0))-IF(AN1826="",0,AN1826)+AD1826+AL1826,INDEX(#REF!,MATCH($O1826,#REF!,0))-IF(AN1826="",0,AN1826)+AD1826))),"")</f>
        <v/>
      </c>
      <c r="Y1826" s="53" t="str">
        <f t="shared" si="900"/>
        <v/>
      </c>
      <c r="Z1826" s="52" t="str">
        <f>IF(L1826="","",INDEX(#REF!,MATCH($O1826,#REF!,0)))</f>
        <v/>
      </c>
      <c r="AA1826" s="52" t="str">
        <f t="shared" si="901"/>
        <v/>
      </c>
      <c r="AB1826" s="52" t="str">
        <f>IFERROR(INDEX(#REF!,MATCH($O1826,#REF!,0)),"")</f>
        <v/>
      </c>
      <c r="AC1826" s="52" t="str">
        <f>IFERROR(IF(O1826="","",SUMIFS('CPL Mats'!F:F,'CPL Mats'!Q:Q,AR1826,'CPL Mats'!S:S,AS1826)),"")</f>
        <v/>
      </c>
      <c r="AF1826" s="25" t="e">
        <f>IF(SUMIFS(#REF!,#REF!,"Releasable",#REF!,O1826)=0,"",SUMIFS(#REF!,#REF!,"Releasable",#REF!,O1826))</f>
        <v>#REF!</v>
      </c>
      <c r="AG1826" s="25" t="str">
        <f>IFERROR(INDEX(#REF!,MATCH(O1826,#REF!,0)),"")</f>
        <v/>
      </c>
      <c r="AH1826" s="25" t="str">
        <f>IFERROR(INDEX(#REF!,MATCH($O1826,#REF!,0)),"")</f>
        <v/>
      </c>
      <c r="AI1826" s="25" t="e">
        <f>IF(SUMIFS(#REF!,#REF!,"Expires this month",#REF!,O1826)=0,"",SUMIFS(#REF!,#REF!,"Expires this month",#REF!,O1826))</f>
        <v>#REF!</v>
      </c>
      <c r="AJ1826" s="25" t="e">
        <f>IF(SUMIFS(#REF!,#REF!,"Expired Previous Months",#REF!,O1826)=0,"",SUMIFS(#REF!,#REF!,"Expired Previous Months",#REF!,O1826))</f>
        <v>#REF!</v>
      </c>
      <c r="AK1826" s="25" t="str">
        <f>IFERROR(INDEX('Hun Release Current'!B:B,MATCH(O1826,'Hun Release Current'!A:A,0)),"")</f>
        <v/>
      </c>
      <c r="AL1826" s="25" t="str">
        <f>IF(SUMIF('Prev Aub'!A:A,O1826,'Prev Aub'!B:B)=0,"",SUMIF('Prev Aub'!A:A,O1826,'Prev Aub'!B:B))</f>
        <v/>
      </c>
      <c r="AN1826" s="25" t="s">
        <v>3790</v>
      </c>
      <c r="AO1826" s="25" t="s">
        <v>3790</v>
      </c>
      <c r="AP1826" s="25" t="str">
        <f t="shared" si="923"/>
        <v/>
      </c>
      <c r="AQ1826" s="151" t="e">
        <f>IF(SUMIFS(#REF!,#REF!,O1826,#REF!,"PENDING")=0,"",SUMIFS(#REF!,#REF!,O1826,#REF!,"PENDING"))</f>
        <v>#REF!</v>
      </c>
      <c r="AR1826" s="27" t="str">
        <f t="shared" si="902"/>
        <v/>
      </c>
      <c r="AS1826" s="27" t="str">
        <f t="shared" si="903"/>
        <v/>
      </c>
      <c r="AT1826" s="27" t="str">
        <f t="shared" si="904"/>
        <v/>
      </c>
      <c r="AU1826" s="27" t="str">
        <f t="shared" si="905"/>
        <v/>
      </c>
      <c r="AV1826" s="27" t="str">
        <f t="shared" si="906"/>
        <v/>
      </c>
      <c r="AW1826" s="27" t="e">
        <f t="shared" si="907"/>
        <v>#REF!</v>
      </c>
      <c r="AX1826" s="27" t="e">
        <f t="shared" si="908"/>
        <v>#REF!</v>
      </c>
      <c r="AY1826" s="27" t="str">
        <f t="shared" si="909"/>
        <v/>
      </c>
      <c r="AZ1826" s="27" t="str">
        <f t="shared" si="910"/>
        <v/>
      </c>
      <c r="BA1826" s="27" t="str">
        <f t="shared" si="911"/>
        <v/>
      </c>
      <c r="BB1826" s="27" t="str">
        <f t="shared" si="912"/>
        <v/>
      </c>
      <c r="BC1826" s="27" t="str">
        <f t="shared" si="913"/>
        <v/>
      </c>
      <c r="BD1826" s="27" t="str">
        <f t="shared" si="914"/>
        <v/>
      </c>
      <c r="BE1826" s="27" t="str">
        <f t="shared" si="915"/>
        <v/>
      </c>
      <c r="BF1826" s="27" t="str">
        <f t="shared" si="916"/>
        <v/>
      </c>
      <c r="BG1826" s="27" t="str">
        <f t="shared" si="917"/>
        <v/>
      </c>
      <c r="BH1826" s="27" t="str">
        <f t="shared" si="918"/>
        <v/>
      </c>
      <c r="BI1826" s="27" t="str">
        <f t="shared" si="919"/>
        <v/>
      </c>
      <c r="BJ1826" s="27" t="str">
        <f t="shared" si="920"/>
        <v/>
      </c>
      <c r="BK1826" s="27" t="str">
        <f t="shared" si="921"/>
        <v/>
      </c>
      <c r="BL1826" s="27" t="str">
        <f t="shared" si="922"/>
        <v/>
      </c>
      <c r="BM1826" s="21" t="s">
        <v>3790</v>
      </c>
    </row>
    <row r="1827" spans="1:65" ht="15">
      <c r="A1827" s="25" t="str">
        <f>IFERROR(INDEX(#REF!,MATCH(O1827,#REF!,0)),"")</f>
        <v/>
      </c>
      <c r="B1827" s="25" t="str">
        <f>IFERROR(INDEX(#REF!,MATCH(O1827,#REF!,0)),"")</f>
        <v/>
      </c>
      <c r="C1827" s="25" t="str">
        <f>IFERROR(INDEX(#REF!,MATCH(O1827,#REF!,0)),"")</f>
        <v/>
      </c>
      <c r="D1827" s="25" t="str">
        <f>IFERROR(INDEX(#REF!,MATCH(O1827,#REF!,0)),"")</f>
        <v/>
      </c>
      <c r="E1827" s="25" t="str">
        <f>IFERROR(INDEX(#REF!,MATCH(O1827,#REF!,0)),"")</f>
        <v/>
      </c>
      <c r="F1827" s="25" t="str">
        <f>IFERROR(INDEX(#REF!,MATCH(O1827,#REF!,0)),"")</f>
        <v/>
      </c>
      <c r="G1827" s="25" t="str">
        <f>IFERROR(INDEX(#REF!,MATCH(O1827,#REF!,0)),"")</f>
        <v/>
      </c>
      <c r="H1827" s="25" t="str">
        <f>IFERROR(INDEX(#REF!,MATCH(O1827,#REF!,0)),"")</f>
        <v/>
      </c>
      <c r="I1827" s="25" t="str">
        <f>IFERROR(INDEX(#REF!,MATCH(O1827,#REF!,0)),"")</f>
        <v/>
      </c>
      <c r="J1827" s="25" t="str">
        <f>IFERROR(INDEX(#REF!,MATCH(O1827,#REF!,0)),"")</f>
        <v/>
      </c>
      <c r="K1827" s="25" t="str">
        <f>IFERROR(INDEX(#REF!,MATCH(O1827,#REF!,0)),"")</f>
        <v/>
      </c>
      <c r="L1827" s="25" t="str">
        <f>IFERROR(INDEX(#REF!,MATCH(O1827,#REF!,0)),"")</f>
        <v/>
      </c>
      <c r="P1827" s="27" t="str">
        <f>IFERROR(INDEX(#REF!,MATCH($O1827,#REF!,0)),"")</f>
        <v/>
      </c>
      <c r="Q1827" s="27" t="str">
        <f>IFERROR(INDEX(#REF!,MATCH($O1827,#REF!,0)),"")</f>
        <v/>
      </c>
      <c r="R1827" s="52" t="str">
        <f>IFERROR(IF(AR1828=AR1827,INDEX(#REF!,MATCH($O1827,#REF!,0))-IF(AN1827="",0,AN1827)+AP1828,INDEX(#REF!,MATCH($O1827,#REF!,0))-IF(AN1827="",0,AN1827)),"")</f>
        <v/>
      </c>
      <c r="S1827" s="53" t="str">
        <f t="shared" si="896"/>
        <v/>
      </c>
      <c r="T1827" s="52" t="str">
        <f t="shared" si="897"/>
        <v/>
      </c>
      <c r="U1827" s="52" t="str">
        <f>IFERROR(IF(AR1828=AR1827,INDEX(#REF!,MATCH($O1827,#REF!,0))-IF(AN1827="",0,AN1827)+AP1828,INDEX(#REF!,MATCH($O1827,#REF!,0))-IF(AN1827="",0,AN1827)),"")</f>
        <v/>
      </c>
      <c r="V1827" s="53" t="str">
        <f t="shared" si="898"/>
        <v/>
      </c>
      <c r="W1827" s="52" t="str">
        <f t="shared" si="899"/>
        <v/>
      </c>
      <c r="X1827" s="52" t="str">
        <f>IFERROR(IF(AND(AR1828=AR1827,AM1827&lt;&gt;""),INDEX(#REF!,MATCH($O1827,#REF!,0))-IF(AN1827="",0,AN1827)+AP1828+AD1827+AL1827,IF(AR1828=AR1827,INDEX(#REF!,MATCH($O1827,#REF!,0))-IF(AN1827="",0,AN1827)+AP1828+AD1827,IF(AM1827&lt;&gt;"",INDEX(#REF!,MATCH($O1827,#REF!,0))-IF(AN1827="",0,AN1827)+AD1827+AL1827,INDEX(#REF!,MATCH($O1827,#REF!,0))-IF(AN1827="",0,AN1827)+AD1827))),"")</f>
        <v/>
      </c>
      <c r="Y1827" s="53" t="str">
        <f t="shared" si="900"/>
        <v/>
      </c>
      <c r="Z1827" s="52" t="str">
        <f>IF(L1827="","",INDEX(#REF!,MATCH($O1827,#REF!,0)))</f>
        <v/>
      </c>
      <c r="AA1827" s="52" t="str">
        <f t="shared" si="901"/>
        <v/>
      </c>
      <c r="AB1827" s="52" t="str">
        <f>IFERROR(INDEX(#REF!,MATCH($O1827,#REF!,0)),"")</f>
        <v/>
      </c>
      <c r="AC1827" s="52" t="str">
        <f>IFERROR(IF(O1827="","",SUMIFS('CPL Mats'!F:F,'CPL Mats'!Q:Q,AR1827,'CPL Mats'!S:S,AS1827)),"")</f>
        <v/>
      </c>
      <c r="AF1827" s="25" t="e">
        <f>IF(SUMIFS(#REF!,#REF!,"Releasable",#REF!,O1827)=0,"",SUMIFS(#REF!,#REF!,"Releasable",#REF!,O1827))</f>
        <v>#REF!</v>
      </c>
      <c r="AG1827" s="25" t="str">
        <f>IFERROR(INDEX(#REF!,MATCH(O1827,#REF!,0)),"")</f>
        <v/>
      </c>
      <c r="AH1827" s="25" t="str">
        <f>IFERROR(INDEX(#REF!,MATCH($O1827,#REF!,0)),"")</f>
        <v/>
      </c>
      <c r="AI1827" s="25" t="e">
        <f>IF(SUMIFS(#REF!,#REF!,"Expires this month",#REF!,O1827)=0,"",SUMIFS(#REF!,#REF!,"Expires this month",#REF!,O1827))</f>
        <v>#REF!</v>
      </c>
      <c r="AJ1827" s="25" t="e">
        <f>IF(SUMIFS(#REF!,#REF!,"Expired Previous Months",#REF!,O1827)=0,"",SUMIFS(#REF!,#REF!,"Expired Previous Months",#REF!,O1827))</f>
        <v>#REF!</v>
      </c>
      <c r="AK1827" s="25" t="str">
        <f>IFERROR(INDEX('Hun Release Current'!B:B,MATCH(O1827,'Hun Release Current'!A:A,0)),"")</f>
        <v/>
      </c>
      <c r="AL1827" s="25" t="str">
        <f>IF(SUMIF('Prev Aub'!A:A,O1827,'Prev Aub'!B:B)=0,"",SUMIF('Prev Aub'!A:A,O1827,'Prev Aub'!B:B))</f>
        <v/>
      </c>
      <c r="AN1827" s="25" t="s">
        <v>3790</v>
      </c>
      <c r="AO1827" s="25" t="s">
        <v>3790</v>
      </c>
      <c r="AP1827" s="25" t="str">
        <f t="shared" si="923"/>
        <v/>
      </c>
      <c r="AQ1827" s="151" t="e">
        <f>IF(SUMIFS(#REF!,#REF!,O1827,#REF!,"PENDING")=0,"",SUMIFS(#REF!,#REF!,O1827,#REF!,"PENDING"))</f>
        <v>#REF!</v>
      </c>
      <c r="AR1827" s="27" t="str">
        <f t="shared" si="902"/>
        <v/>
      </c>
      <c r="AS1827" s="27" t="str">
        <f t="shared" si="903"/>
        <v/>
      </c>
      <c r="AT1827" s="27" t="str">
        <f t="shared" si="904"/>
        <v/>
      </c>
      <c r="AU1827" s="27" t="str">
        <f t="shared" si="905"/>
        <v/>
      </c>
      <c r="AV1827" s="27" t="str">
        <f t="shared" si="906"/>
        <v/>
      </c>
      <c r="AW1827" s="27" t="e">
        <f t="shared" si="907"/>
        <v>#REF!</v>
      </c>
      <c r="AX1827" s="27" t="e">
        <f t="shared" si="908"/>
        <v>#REF!</v>
      </c>
      <c r="AY1827" s="27" t="str">
        <f t="shared" si="909"/>
        <v/>
      </c>
      <c r="AZ1827" s="27" t="str">
        <f t="shared" si="910"/>
        <v/>
      </c>
      <c r="BA1827" s="27" t="str">
        <f t="shared" si="911"/>
        <v/>
      </c>
      <c r="BB1827" s="27" t="str">
        <f t="shared" si="912"/>
        <v/>
      </c>
      <c r="BC1827" s="27" t="str">
        <f t="shared" si="913"/>
        <v/>
      </c>
      <c r="BD1827" s="27" t="str">
        <f t="shared" si="914"/>
        <v/>
      </c>
      <c r="BE1827" s="27" t="str">
        <f t="shared" si="915"/>
        <v/>
      </c>
      <c r="BF1827" s="27" t="str">
        <f t="shared" si="916"/>
        <v/>
      </c>
      <c r="BG1827" s="27" t="str">
        <f t="shared" si="917"/>
        <v/>
      </c>
      <c r="BH1827" s="27" t="str">
        <f t="shared" si="918"/>
        <v/>
      </c>
      <c r="BI1827" s="27" t="str">
        <f t="shared" si="919"/>
        <v/>
      </c>
      <c r="BJ1827" s="27" t="str">
        <f t="shared" si="920"/>
        <v/>
      </c>
      <c r="BK1827" s="27" t="str">
        <f t="shared" si="921"/>
        <v/>
      </c>
      <c r="BL1827" s="27" t="str">
        <f t="shared" si="922"/>
        <v/>
      </c>
      <c r="BM1827" s="21" t="s">
        <v>3790</v>
      </c>
    </row>
    <row r="1828" spans="1:65" ht="15">
      <c r="A1828" s="25" t="str">
        <f>IFERROR(INDEX(#REF!,MATCH(O1828,#REF!,0)),"")</f>
        <v/>
      </c>
      <c r="B1828" s="25" t="str">
        <f>IFERROR(INDEX(#REF!,MATCH(O1828,#REF!,0)),"")</f>
        <v/>
      </c>
      <c r="C1828" s="25" t="str">
        <f>IFERROR(INDEX(#REF!,MATCH(O1828,#REF!,0)),"")</f>
        <v/>
      </c>
      <c r="D1828" s="25" t="str">
        <f>IFERROR(INDEX(#REF!,MATCH(O1828,#REF!,0)),"")</f>
        <v/>
      </c>
      <c r="E1828" s="25" t="str">
        <f>IFERROR(INDEX(#REF!,MATCH(O1828,#REF!,0)),"")</f>
        <v/>
      </c>
      <c r="F1828" s="25" t="str">
        <f>IFERROR(INDEX(#REF!,MATCH(O1828,#REF!,0)),"")</f>
        <v/>
      </c>
      <c r="G1828" s="25" t="str">
        <f>IFERROR(INDEX(#REF!,MATCH(O1828,#REF!,0)),"")</f>
        <v/>
      </c>
      <c r="H1828" s="25" t="str">
        <f>IFERROR(INDEX(#REF!,MATCH(O1828,#REF!,0)),"")</f>
        <v/>
      </c>
      <c r="I1828" s="25" t="str">
        <f>IFERROR(INDEX(#REF!,MATCH(O1828,#REF!,0)),"")</f>
        <v/>
      </c>
      <c r="J1828" s="25" t="str">
        <f>IFERROR(INDEX(#REF!,MATCH(O1828,#REF!,0)),"")</f>
        <v/>
      </c>
      <c r="K1828" s="25" t="str">
        <f>IFERROR(INDEX(#REF!,MATCH(O1828,#REF!,0)),"")</f>
        <v/>
      </c>
      <c r="L1828" s="25" t="str">
        <f>IFERROR(INDEX(#REF!,MATCH(O1828,#REF!,0)),"")</f>
        <v/>
      </c>
      <c r="P1828" s="27" t="str">
        <f>IFERROR(INDEX(#REF!,MATCH($O1828,#REF!,0)),"")</f>
        <v/>
      </c>
      <c r="Q1828" s="27" t="str">
        <f>IFERROR(INDEX(#REF!,MATCH($O1828,#REF!,0)),"")</f>
        <v/>
      </c>
      <c r="R1828" s="52" t="str">
        <f>IFERROR(IF(AR1829=AR1828,INDEX(#REF!,MATCH($O1828,#REF!,0))-IF(AN1828="",0,AN1828)+AP1829,INDEX(#REF!,MATCH($O1828,#REF!,0))-IF(AN1828="",0,AN1828)),"")</f>
        <v/>
      </c>
      <c r="S1828" s="53" t="str">
        <f t="shared" si="896"/>
        <v/>
      </c>
      <c r="T1828" s="52" t="str">
        <f t="shared" si="897"/>
        <v/>
      </c>
      <c r="U1828" s="52" t="str">
        <f>IFERROR(IF(AR1829=AR1828,INDEX(#REF!,MATCH($O1828,#REF!,0))-IF(AN1828="",0,AN1828)+AP1829,INDEX(#REF!,MATCH($O1828,#REF!,0))-IF(AN1828="",0,AN1828)),"")</f>
        <v/>
      </c>
      <c r="V1828" s="53" t="str">
        <f t="shared" si="898"/>
        <v/>
      </c>
      <c r="W1828" s="52" t="str">
        <f t="shared" si="899"/>
        <v/>
      </c>
      <c r="X1828" s="52" t="str">
        <f>IFERROR(IF(AND(AR1829=AR1828,AM1828&lt;&gt;""),INDEX(#REF!,MATCH($O1828,#REF!,0))-IF(AN1828="",0,AN1828)+AP1829+AD1828+AL1828,IF(AR1829=AR1828,INDEX(#REF!,MATCH($O1828,#REF!,0))-IF(AN1828="",0,AN1828)+AP1829+AD1828,IF(AM1828&lt;&gt;"",INDEX(#REF!,MATCH($O1828,#REF!,0))-IF(AN1828="",0,AN1828)+AD1828+AL1828,INDEX(#REF!,MATCH($O1828,#REF!,0))-IF(AN1828="",0,AN1828)+AD1828))),"")</f>
        <v/>
      </c>
      <c r="Y1828" s="53" t="str">
        <f t="shared" si="900"/>
        <v/>
      </c>
      <c r="Z1828" s="52" t="str">
        <f>IF(L1828="","",INDEX(#REF!,MATCH($O1828,#REF!,0)))</f>
        <v/>
      </c>
      <c r="AA1828" s="52" t="str">
        <f t="shared" si="901"/>
        <v/>
      </c>
      <c r="AB1828" s="52" t="str">
        <f>IFERROR(INDEX(#REF!,MATCH($O1828,#REF!,0)),"")</f>
        <v/>
      </c>
      <c r="AC1828" s="52" t="str">
        <f>IFERROR(IF(O1828="","",SUMIFS('CPL Mats'!F:F,'CPL Mats'!Q:Q,AR1828,'CPL Mats'!S:S,AS1828)),"")</f>
        <v/>
      </c>
      <c r="AF1828" s="25" t="e">
        <f>IF(SUMIFS(#REF!,#REF!,"Releasable",#REF!,O1828)=0,"",SUMIFS(#REF!,#REF!,"Releasable",#REF!,O1828))</f>
        <v>#REF!</v>
      </c>
      <c r="AG1828" s="25" t="str">
        <f>IFERROR(INDEX(#REF!,MATCH(O1828,#REF!,0)),"")</f>
        <v/>
      </c>
      <c r="AH1828" s="25" t="str">
        <f>IFERROR(INDEX(#REF!,MATCH($O1828,#REF!,0)),"")</f>
        <v/>
      </c>
      <c r="AI1828" s="25" t="e">
        <f>IF(SUMIFS(#REF!,#REF!,"Expires this month",#REF!,O1828)=0,"",SUMIFS(#REF!,#REF!,"Expires this month",#REF!,O1828))</f>
        <v>#REF!</v>
      </c>
      <c r="AJ1828" s="25" t="e">
        <f>IF(SUMIFS(#REF!,#REF!,"Expired Previous Months",#REF!,O1828)=0,"",SUMIFS(#REF!,#REF!,"Expired Previous Months",#REF!,O1828))</f>
        <v>#REF!</v>
      </c>
      <c r="AK1828" s="25" t="str">
        <f>IFERROR(INDEX('Hun Release Current'!B:B,MATCH(O1828,'Hun Release Current'!A:A,0)),"")</f>
        <v/>
      </c>
      <c r="AL1828" s="25" t="str">
        <f>IF(SUMIF('Prev Aub'!A:A,O1828,'Prev Aub'!B:B)=0,"",SUMIF('Prev Aub'!A:A,O1828,'Prev Aub'!B:B))</f>
        <v/>
      </c>
      <c r="AN1828" s="25" t="s">
        <v>3790</v>
      </c>
      <c r="AO1828" s="25" t="s">
        <v>3790</v>
      </c>
      <c r="AP1828" s="25" t="str">
        <f t="shared" si="923"/>
        <v/>
      </c>
      <c r="AQ1828" s="151" t="e">
        <f>IF(SUMIFS(#REF!,#REF!,O1828,#REF!,"PENDING")=0,"",SUMIFS(#REF!,#REF!,O1828,#REF!,"PENDING"))</f>
        <v>#REF!</v>
      </c>
      <c r="AR1828" s="27" t="str">
        <f t="shared" si="902"/>
        <v/>
      </c>
      <c r="AS1828" s="27" t="str">
        <f t="shared" si="903"/>
        <v/>
      </c>
      <c r="AT1828" s="27" t="str">
        <f t="shared" si="904"/>
        <v/>
      </c>
      <c r="AU1828" s="27" t="str">
        <f t="shared" si="905"/>
        <v/>
      </c>
      <c r="AV1828" s="27" t="str">
        <f t="shared" si="906"/>
        <v/>
      </c>
      <c r="AW1828" s="27" t="e">
        <f t="shared" si="907"/>
        <v>#REF!</v>
      </c>
      <c r="AX1828" s="27" t="e">
        <f t="shared" si="908"/>
        <v>#REF!</v>
      </c>
      <c r="AY1828" s="27" t="str">
        <f t="shared" si="909"/>
        <v/>
      </c>
      <c r="AZ1828" s="27" t="str">
        <f t="shared" si="910"/>
        <v/>
      </c>
      <c r="BA1828" s="27" t="str">
        <f t="shared" si="911"/>
        <v/>
      </c>
      <c r="BB1828" s="27" t="str">
        <f t="shared" si="912"/>
        <v/>
      </c>
      <c r="BC1828" s="27" t="str">
        <f t="shared" si="913"/>
        <v/>
      </c>
      <c r="BD1828" s="27" t="str">
        <f t="shared" si="914"/>
        <v/>
      </c>
      <c r="BE1828" s="27" t="str">
        <f t="shared" si="915"/>
        <v/>
      </c>
      <c r="BF1828" s="27" t="str">
        <f t="shared" si="916"/>
        <v/>
      </c>
      <c r="BG1828" s="27" t="str">
        <f t="shared" si="917"/>
        <v/>
      </c>
      <c r="BH1828" s="27" t="str">
        <f t="shared" si="918"/>
        <v/>
      </c>
      <c r="BI1828" s="27" t="str">
        <f t="shared" si="919"/>
        <v/>
      </c>
      <c r="BJ1828" s="27" t="str">
        <f t="shared" si="920"/>
        <v/>
      </c>
      <c r="BK1828" s="27" t="str">
        <f t="shared" si="921"/>
        <v/>
      </c>
      <c r="BL1828" s="27" t="str">
        <f t="shared" si="922"/>
        <v/>
      </c>
      <c r="BM1828" s="21" t="s">
        <v>3790</v>
      </c>
    </row>
    <row r="1829" spans="1:65" ht="15">
      <c r="A1829" s="25" t="str">
        <f>IFERROR(INDEX(#REF!,MATCH(O1829,#REF!,0)),"")</f>
        <v/>
      </c>
      <c r="B1829" s="25" t="str">
        <f>IFERROR(INDEX(#REF!,MATCH(O1829,#REF!,0)),"")</f>
        <v/>
      </c>
      <c r="C1829" s="25" t="str">
        <f>IFERROR(INDEX(#REF!,MATCH(O1829,#REF!,0)),"")</f>
        <v/>
      </c>
      <c r="D1829" s="25" t="str">
        <f>IFERROR(INDEX(#REF!,MATCH(O1829,#REF!,0)),"")</f>
        <v/>
      </c>
      <c r="E1829" s="25" t="str">
        <f>IFERROR(INDEX(#REF!,MATCH(O1829,#REF!,0)),"")</f>
        <v/>
      </c>
      <c r="F1829" s="25" t="str">
        <f>IFERROR(INDEX(#REF!,MATCH(O1829,#REF!,0)),"")</f>
        <v/>
      </c>
      <c r="G1829" s="25" t="str">
        <f>IFERROR(INDEX(#REF!,MATCH(O1829,#REF!,0)),"")</f>
        <v/>
      </c>
      <c r="H1829" s="25" t="str">
        <f>IFERROR(INDEX(#REF!,MATCH(O1829,#REF!,0)),"")</f>
        <v/>
      </c>
      <c r="I1829" s="25" t="str">
        <f>IFERROR(INDEX(#REF!,MATCH(O1829,#REF!,0)),"")</f>
        <v/>
      </c>
      <c r="J1829" s="25" t="str">
        <f>IFERROR(INDEX(#REF!,MATCH(O1829,#REF!,0)),"")</f>
        <v/>
      </c>
      <c r="K1829" s="25" t="str">
        <f>IFERROR(INDEX(#REF!,MATCH(O1829,#REF!,0)),"")</f>
        <v/>
      </c>
      <c r="L1829" s="25" t="str">
        <f>IFERROR(INDEX(#REF!,MATCH(O1829,#REF!,0)),"")</f>
        <v/>
      </c>
      <c r="P1829" s="27" t="str">
        <f>IFERROR(INDEX(#REF!,MATCH($O1829,#REF!,0)),"")</f>
        <v/>
      </c>
      <c r="Q1829" s="27" t="str">
        <f>IFERROR(INDEX(#REF!,MATCH($O1829,#REF!,0)),"")</f>
        <v/>
      </c>
      <c r="R1829" s="52" t="str">
        <f>IFERROR(IF(AR1830=AR1829,INDEX(#REF!,MATCH($O1829,#REF!,0))-IF(AN1829="",0,AN1829)+AP1830,INDEX(#REF!,MATCH($O1829,#REF!,0))-IF(AN1829="",0,AN1829)),"")</f>
        <v/>
      </c>
      <c r="S1829" s="53" t="str">
        <f t="shared" si="896"/>
        <v/>
      </c>
      <c r="T1829" s="52" t="str">
        <f t="shared" si="897"/>
        <v/>
      </c>
      <c r="U1829" s="52" t="str">
        <f>IFERROR(IF(AR1830=AR1829,INDEX(#REF!,MATCH($O1829,#REF!,0))-IF(AN1829="",0,AN1829)+AP1830,INDEX(#REF!,MATCH($O1829,#REF!,0))-IF(AN1829="",0,AN1829)),"")</f>
        <v/>
      </c>
      <c r="V1829" s="53" t="str">
        <f t="shared" si="898"/>
        <v/>
      </c>
      <c r="W1829" s="52" t="str">
        <f t="shared" si="899"/>
        <v/>
      </c>
      <c r="X1829" s="52" t="str">
        <f>IFERROR(IF(AND(AR1830=AR1829,AM1829&lt;&gt;""),INDEX(#REF!,MATCH($O1829,#REF!,0))-IF(AN1829="",0,AN1829)+AP1830+AD1829+AL1829,IF(AR1830=AR1829,INDEX(#REF!,MATCH($O1829,#REF!,0))-IF(AN1829="",0,AN1829)+AP1830+AD1829,IF(AM1829&lt;&gt;"",INDEX(#REF!,MATCH($O1829,#REF!,0))-IF(AN1829="",0,AN1829)+AD1829+AL1829,INDEX(#REF!,MATCH($O1829,#REF!,0))-IF(AN1829="",0,AN1829)+AD1829))),"")</f>
        <v/>
      </c>
      <c r="Y1829" s="53" t="str">
        <f t="shared" si="900"/>
        <v/>
      </c>
      <c r="Z1829" s="52" t="str">
        <f>IF(L1829="","",INDEX(#REF!,MATCH($O1829,#REF!,0)))</f>
        <v/>
      </c>
      <c r="AA1829" s="52" t="str">
        <f t="shared" si="901"/>
        <v/>
      </c>
      <c r="AB1829" s="52" t="str">
        <f>IFERROR(INDEX(#REF!,MATCH($O1829,#REF!,0)),"")</f>
        <v/>
      </c>
      <c r="AC1829" s="52" t="str">
        <f>IFERROR(IF(O1829="","",SUMIFS('CPL Mats'!F:F,'CPL Mats'!Q:Q,AR1829,'CPL Mats'!S:S,AS1829)),"")</f>
        <v/>
      </c>
      <c r="AF1829" s="25" t="e">
        <f>IF(SUMIFS(#REF!,#REF!,"Releasable",#REF!,O1829)=0,"",SUMIFS(#REF!,#REF!,"Releasable",#REF!,O1829))</f>
        <v>#REF!</v>
      </c>
      <c r="AG1829" s="25" t="str">
        <f>IFERROR(INDEX(#REF!,MATCH(O1829,#REF!,0)),"")</f>
        <v/>
      </c>
      <c r="AH1829" s="25" t="str">
        <f>IFERROR(INDEX(#REF!,MATCH($O1829,#REF!,0)),"")</f>
        <v/>
      </c>
      <c r="AI1829" s="25" t="e">
        <f>IF(SUMIFS(#REF!,#REF!,"Expires this month",#REF!,O1829)=0,"",SUMIFS(#REF!,#REF!,"Expires this month",#REF!,O1829))</f>
        <v>#REF!</v>
      </c>
      <c r="AJ1829" s="25" t="e">
        <f>IF(SUMIFS(#REF!,#REF!,"Expired Previous Months",#REF!,O1829)=0,"",SUMIFS(#REF!,#REF!,"Expired Previous Months",#REF!,O1829))</f>
        <v>#REF!</v>
      </c>
      <c r="AK1829" s="25" t="str">
        <f>IFERROR(INDEX('Hun Release Current'!B:B,MATCH(O1829,'Hun Release Current'!A:A,0)),"")</f>
        <v/>
      </c>
      <c r="AL1829" s="25" t="str">
        <f>IF(SUMIF('Prev Aub'!A:A,O1829,'Prev Aub'!B:B)=0,"",SUMIF('Prev Aub'!A:A,O1829,'Prev Aub'!B:B))</f>
        <v/>
      </c>
      <c r="AN1829" s="25" t="s">
        <v>3790</v>
      </c>
      <c r="AO1829" s="25" t="s">
        <v>3790</v>
      </c>
      <c r="AP1829" s="25" t="str">
        <f t="shared" si="923"/>
        <v/>
      </c>
      <c r="AQ1829" s="151" t="e">
        <f>IF(SUMIFS(#REF!,#REF!,O1829,#REF!,"PENDING")=0,"",SUMIFS(#REF!,#REF!,O1829,#REF!,"PENDING"))</f>
        <v>#REF!</v>
      </c>
      <c r="AR1829" s="27" t="str">
        <f t="shared" si="902"/>
        <v/>
      </c>
      <c r="AS1829" s="27" t="str">
        <f t="shared" si="903"/>
        <v/>
      </c>
      <c r="AT1829" s="27" t="str">
        <f t="shared" si="904"/>
        <v/>
      </c>
      <c r="AU1829" s="27" t="str">
        <f t="shared" si="905"/>
        <v/>
      </c>
      <c r="AV1829" s="27" t="str">
        <f t="shared" si="906"/>
        <v/>
      </c>
      <c r="AW1829" s="27" t="e">
        <f t="shared" si="907"/>
        <v>#REF!</v>
      </c>
      <c r="AX1829" s="27" t="e">
        <f t="shared" si="908"/>
        <v>#REF!</v>
      </c>
      <c r="AY1829" s="27" t="str">
        <f t="shared" si="909"/>
        <v/>
      </c>
      <c r="AZ1829" s="27" t="str">
        <f t="shared" si="910"/>
        <v/>
      </c>
      <c r="BA1829" s="27" t="str">
        <f t="shared" si="911"/>
        <v/>
      </c>
      <c r="BB1829" s="27" t="str">
        <f t="shared" si="912"/>
        <v/>
      </c>
      <c r="BC1829" s="27" t="str">
        <f t="shared" si="913"/>
        <v/>
      </c>
      <c r="BD1829" s="27" t="str">
        <f t="shared" si="914"/>
        <v/>
      </c>
      <c r="BE1829" s="27" t="str">
        <f t="shared" si="915"/>
        <v/>
      </c>
      <c r="BF1829" s="27" t="str">
        <f t="shared" si="916"/>
        <v/>
      </c>
      <c r="BG1829" s="27" t="str">
        <f t="shared" si="917"/>
        <v/>
      </c>
      <c r="BH1829" s="27" t="str">
        <f t="shared" si="918"/>
        <v/>
      </c>
      <c r="BI1829" s="27" t="str">
        <f t="shared" si="919"/>
        <v/>
      </c>
      <c r="BJ1829" s="27" t="str">
        <f t="shared" si="920"/>
        <v/>
      </c>
      <c r="BK1829" s="27" t="str">
        <f t="shared" si="921"/>
        <v/>
      </c>
      <c r="BL1829" s="27" t="str">
        <f t="shared" si="922"/>
        <v/>
      </c>
      <c r="BM1829" s="21" t="s">
        <v>3790</v>
      </c>
    </row>
    <row r="1830" spans="1:65" ht="15">
      <c r="A1830" s="25" t="str">
        <f>IFERROR(INDEX(#REF!,MATCH(O1830,#REF!,0)),"")</f>
        <v/>
      </c>
      <c r="B1830" s="25" t="str">
        <f>IFERROR(INDEX(#REF!,MATCH(O1830,#REF!,0)),"")</f>
        <v/>
      </c>
      <c r="C1830" s="25" t="str">
        <f>IFERROR(INDEX(#REF!,MATCH(O1830,#REF!,0)),"")</f>
        <v/>
      </c>
      <c r="D1830" s="25" t="str">
        <f>IFERROR(INDEX(#REF!,MATCH(O1830,#REF!,0)),"")</f>
        <v/>
      </c>
      <c r="E1830" s="25" t="str">
        <f>IFERROR(INDEX(#REF!,MATCH(O1830,#REF!,0)),"")</f>
        <v/>
      </c>
      <c r="F1830" s="25" t="str">
        <f>IFERROR(INDEX(#REF!,MATCH(O1830,#REF!,0)),"")</f>
        <v/>
      </c>
      <c r="G1830" s="25" t="str">
        <f>IFERROR(INDEX(#REF!,MATCH(O1830,#REF!,0)),"")</f>
        <v/>
      </c>
      <c r="H1830" s="25" t="str">
        <f>IFERROR(INDEX(#REF!,MATCH(O1830,#REF!,0)),"")</f>
        <v/>
      </c>
      <c r="I1830" s="25" t="str">
        <f>IFERROR(INDEX(#REF!,MATCH(O1830,#REF!,0)),"")</f>
        <v/>
      </c>
      <c r="J1830" s="25" t="str">
        <f>IFERROR(INDEX(#REF!,MATCH(O1830,#REF!,0)),"")</f>
        <v/>
      </c>
      <c r="K1830" s="25" t="str">
        <f>IFERROR(INDEX(#REF!,MATCH(O1830,#REF!,0)),"")</f>
        <v/>
      </c>
      <c r="L1830" s="25" t="str">
        <f>IFERROR(INDEX(#REF!,MATCH(O1830,#REF!,0)),"")</f>
        <v/>
      </c>
      <c r="P1830" s="27" t="str">
        <f>IFERROR(INDEX(#REF!,MATCH($O1830,#REF!,0)),"")</f>
        <v/>
      </c>
      <c r="Q1830" s="27" t="str">
        <f>IFERROR(INDEX(#REF!,MATCH($O1830,#REF!,0)),"")</f>
        <v/>
      </c>
      <c r="R1830" s="52" t="str">
        <f>IFERROR(IF(AR1831=AR1830,INDEX(#REF!,MATCH($O1830,#REF!,0))-IF(AN1830="",0,AN1830)+AP1831,INDEX(#REF!,MATCH($O1830,#REF!,0))-IF(AN1830="",0,AN1830)),"")</f>
        <v/>
      </c>
      <c r="S1830" s="53" t="str">
        <f t="shared" si="896"/>
        <v/>
      </c>
      <c r="T1830" s="52" t="str">
        <f t="shared" si="897"/>
        <v/>
      </c>
      <c r="U1830" s="52" t="str">
        <f>IFERROR(IF(AR1831=AR1830,INDEX(#REF!,MATCH($O1830,#REF!,0))-IF(AN1830="",0,AN1830)+AP1831,INDEX(#REF!,MATCH($O1830,#REF!,0))-IF(AN1830="",0,AN1830)),"")</f>
        <v/>
      </c>
      <c r="V1830" s="53" t="str">
        <f t="shared" si="898"/>
        <v/>
      </c>
      <c r="W1830" s="52" t="str">
        <f t="shared" si="899"/>
        <v/>
      </c>
      <c r="X1830" s="52" t="str">
        <f>IFERROR(IF(AND(AR1831=AR1830,AM1830&lt;&gt;""),INDEX(#REF!,MATCH($O1830,#REF!,0))-IF(AN1830="",0,AN1830)+AP1831+AD1830+AL1830,IF(AR1831=AR1830,INDEX(#REF!,MATCH($O1830,#REF!,0))-IF(AN1830="",0,AN1830)+AP1831+AD1830,IF(AM1830&lt;&gt;"",INDEX(#REF!,MATCH($O1830,#REF!,0))-IF(AN1830="",0,AN1830)+AD1830+AL1830,INDEX(#REF!,MATCH($O1830,#REF!,0))-IF(AN1830="",0,AN1830)+AD1830))),"")</f>
        <v/>
      </c>
      <c r="Y1830" s="53" t="str">
        <f t="shared" si="900"/>
        <v/>
      </c>
      <c r="Z1830" s="52" t="str">
        <f>IF(L1830="","",INDEX(#REF!,MATCH($O1830,#REF!,0)))</f>
        <v/>
      </c>
      <c r="AA1830" s="52" t="str">
        <f t="shared" si="901"/>
        <v/>
      </c>
      <c r="AB1830" s="52" t="str">
        <f>IFERROR(INDEX(#REF!,MATCH($O1830,#REF!,0)),"")</f>
        <v/>
      </c>
      <c r="AC1830" s="52" t="str">
        <f>IFERROR(IF(O1830="","",SUMIFS('CPL Mats'!F:F,'CPL Mats'!Q:Q,AR1830,'CPL Mats'!S:S,AS1830)),"")</f>
        <v/>
      </c>
      <c r="AF1830" s="25" t="e">
        <f>IF(SUMIFS(#REF!,#REF!,"Releasable",#REF!,O1830)=0,"",SUMIFS(#REF!,#REF!,"Releasable",#REF!,O1830))</f>
        <v>#REF!</v>
      </c>
      <c r="AG1830" s="25" t="str">
        <f>IFERROR(INDEX(#REF!,MATCH(O1830,#REF!,0)),"")</f>
        <v/>
      </c>
      <c r="AH1830" s="25" t="str">
        <f>IFERROR(INDEX(#REF!,MATCH($O1830,#REF!,0)),"")</f>
        <v/>
      </c>
      <c r="AI1830" s="25" t="e">
        <f>IF(SUMIFS(#REF!,#REF!,"Expires this month",#REF!,O1830)=0,"",SUMIFS(#REF!,#REF!,"Expires this month",#REF!,O1830))</f>
        <v>#REF!</v>
      </c>
      <c r="AJ1830" s="25" t="e">
        <f>IF(SUMIFS(#REF!,#REF!,"Expired Previous Months",#REF!,O1830)=0,"",SUMIFS(#REF!,#REF!,"Expired Previous Months",#REF!,O1830))</f>
        <v>#REF!</v>
      </c>
      <c r="AK1830" s="25" t="str">
        <f>IFERROR(INDEX('Hun Release Current'!B:B,MATCH(O1830,'Hun Release Current'!A:A,0)),"")</f>
        <v/>
      </c>
      <c r="AL1830" s="25" t="str">
        <f>IF(SUMIF('Prev Aub'!A:A,O1830,'Prev Aub'!B:B)=0,"",SUMIF('Prev Aub'!A:A,O1830,'Prev Aub'!B:B))</f>
        <v/>
      </c>
      <c r="AN1830" s="25" t="s">
        <v>3790</v>
      </c>
      <c r="AO1830" s="25" t="s">
        <v>3790</v>
      </c>
      <c r="AP1830" s="25" t="str">
        <f t="shared" si="923"/>
        <v/>
      </c>
      <c r="AQ1830" s="151" t="e">
        <f>IF(SUMIFS(#REF!,#REF!,O1830,#REF!,"PENDING")=0,"",SUMIFS(#REF!,#REF!,O1830,#REF!,"PENDING"))</f>
        <v>#REF!</v>
      </c>
      <c r="AR1830" s="27" t="str">
        <f t="shared" si="902"/>
        <v/>
      </c>
      <c r="AS1830" s="27" t="str">
        <f t="shared" si="903"/>
        <v/>
      </c>
      <c r="AT1830" s="27" t="str">
        <f t="shared" si="904"/>
        <v/>
      </c>
      <c r="AU1830" s="27" t="str">
        <f t="shared" si="905"/>
        <v/>
      </c>
      <c r="AV1830" s="27" t="str">
        <f t="shared" si="906"/>
        <v/>
      </c>
      <c r="AW1830" s="27" t="e">
        <f t="shared" si="907"/>
        <v>#REF!</v>
      </c>
      <c r="AX1830" s="27" t="e">
        <f t="shared" si="908"/>
        <v>#REF!</v>
      </c>
      <c r="AY1830" s="27" t="str">
        <f t="shared" si="909"/>
        <v/>
      </c>
      <c r="AZ1830" s="27" t="str">
        <f t="shared" si="910"/>
        <v/>
      </c>
      <c r="BA1830" s="27" t="str">
        <f t="shared" si="911"/>
        <v/>
      </c>
      <c r="BB1830" s="27" t="str">
        <f t="shared" si="912"/>
        <v/>
      </c>
      <c r="BC1830" s="27" t="str">
        <f t="shared" si="913"/>
        <v/>
      </c>
      <c r="BD1830" s="27" t="str">
        <f t="shared" si="914"/>
        <v/>
      </c>
      <c r="BE1830" s="27" t="str">
        <f t="shared" si="915"/>
        <v/>
      </c>
      <c r="BF1830" s="27" t="str">
        <f t="shared" si="916"/>
        <v/>
      </c>
      <c r="BG1830" s="27" t="str">
        <f t="shared" si="917"/>
        <v/>
      </c>
      <c r="BH1830" s="27" t="str">
        <f t="shared" si="918"/>
        <v/>
      </c>
      <c r="BI1830" s="27" t="str">
        <f t="shared" si="919"/>
        <v/>
      </c>
      <c r="BJ1830" s="27" t="str">
        <f t="shared" si="920"/>
        <v/>
      </c>
      <c r="BK1830" s="27" t="str">
        <f t="shared" si="921"/>
        <v/>
      </c>
      <c r="BL1830" s="27" t="str">
        <f t="shared" si="922"/>
        <v/>
      </c>
      <c r="BM1830" s="21" t="s">
        <v>3790</v>
      </c>
    </row>
    <row r="1831" spans="1:65" ht="15">
      <c r="A1831" s="25" t="str">
        <f>IFERROR(INDEX(#REF!,MATCH(O1831,#REF!,0)),"")</f>
        <v/>
      </c>
      <c r="B1831" s="25" t="str">
        <f>IFERROR(INDEX(#REF!,MATCH(O1831,#REF!,0)),"")</f>
        <v/>
      </c>
      <c r="C1831" s="25" t="str">
        <f>IFERROR(INDEX(#REF!,MATCH(O1831,#REF!,0)),"")</f>
        <v/>
      </c>
      <c r="D1831" s="25" t="str">
        <f>IFERROR(INDEX(#REF!,MATCH(O1831,#REF!,0)),"")</f>
        <v/>
      </c>
      <c r="E1831" s="25" t="str">
        <f>IFERROR(INDEX(#REF!,MATCH(O1831,#REF!,0)),"")</f>
        <v/>
      </c>
      <c r="F1831" s="25" t="str">
        <f>IFERROR(INDEX(#REF!,MATCH(O1831,#REF!,0)),"")</f>
        <v/>
      </c>
      <c r="G1831" s="25" t="str">
        <f>IFERROR(INDEX(#REF!,MATCH(O1831,#REF!,0)),"")</f>
        <v/>
      </c>
      <c r="H1831" s="25" t="str">
        <f>IFERROR(INDEX(#REF!,MATCH(O1831,#REF!,0)),"")</f>
        <v/>
      </c>
      <c r="I1831" s="25" t="str">
        <f>IFERROR(INDEX(#REF!,MATCH(O1831,#REF!,0)),"")</f>
        <v/>
      </c>
      <c r="J1831" s="25" t="str">
        <f>IFERROR(INDEX(#REF!,MATCH(O1831,#REF!,0)),"")</f>
        <v/>
      </c>
      <c r="K1831" s="25" t="str">
        <f>IFERROR(INDEX(#REF!,MATCH(O1831,#REF!,0)),"")</f>
        <v/>
      </c>
      <c r="L1831" s="25" t="str">
        <f>IFERROR(INDEX(#REF!,MATCH(O1831,#REF!,0)),"")</f>
        <v/>
      </c>
      <c r="P1831" s="27" t="str">
        <f>IFERROR(INDEX(#REF!,MATCH($O1831,#REF!,0)),"")</f>
        <v/>
      </c>
      <c r="Q1831" s="27" t="str">
        <f>IFERROR(INDEX(#REF!,MATCH($O1831,#REF!,0)),"")</f>
        <v/>
      </c>
      <c r="R1831" s="52" t="str">
        <f>IFERROR(IF(AR1832=AR1831,INDEX(#REF!,MATCH($O1831,#REF!,0))-IF(AN1831="",0,AN1831)+AP1832,INDEX(#REF!,MATCH($O1831,#REF!,0))-IF(AN1831="",0,AN1831)),"")</f>
        <v/>
      </c>
      <c r="S1831" s="53" t="str">
        <f t="shared" si="896"/>
        <v/>
      </c>
      <c r="T1831" s="52" t="str">
        <f t="shared" si="897"/>
        <v/>
      </c>
      <c r="U1831" s="52" t="str">
        <f>IFERROR(IF(AR1832=AR1831,INDEX(#REF!,MATCH($O1831,#REF!,0))-IF(AN1831="",0,AN1831)+AP1832,INDEX(#REF!,MATCH($O1831,#REF!,0))-IF(AN1831="",0,AN1831)),"")</f>
        <v/>
      </c>
      <c r="V1831" s="53" t="str">
        <f t="shared" si="898"/>
        <v/>
      </c>
      <c r="W1831" s="52" t="str">
        <f t="shared" si="899"/>
        <v/>
      </c>
      <c r="X1831" s="52" t="str">
        <f>IFERROR(IF(AND(AR1832=AR1831,AM1831&lt;&gt;""),INDEX(#REF!,MATCH($O1831,#REF!,0))-IF(AN1831="",0,AN1831)+AP1832+AD1831+AL1831,IF(AR1832=AR1831,INDEX(#REF!,MATCH($O1831,#REF!,0))-IF(AN1831="",0,AN1831)+AP1832+AD1831,IF(AM1831&lt;&gt;"",INDEX(#REF!,MATCH($O1831,#REF!,0))-IF(AN1831="",0,AN1831)+AD1831+AL1831,INDEX(#REF!,MATCH($O1831,#REF!,0))-IF(AN1831="",0,AN1831)+AD1831))),"")</f>
        <v/>
      </c>
      <c r="Y1831" s="53" t="str">
        <f t="shared" si="900"/>
        <v/>
      </c>
      <c r="Z1831" s="52" t="str">
        <f>IF(L1831="","",INDEX(#REF!,MATCH($O1831,#REF!,0)))</f>
        <v/>
      </c>
      <c r="AA1831" s="52" t="str">
        <f t="shared" si="901"/>
        <v/>
      </c>
      <c r="AB1831" s="52" t="str">
        <f>IFERROR(INDEX(#REF!,MATCH($O1831,#REF!,0)),"")</f>
        <v/>
      </c>
      <c r="AC1831" s="52" t="str">
        <f>IFERROR(IF(O1831="","",SUMIFS('CPL Mats'!F:F,'CPL Mats'!Q:Q,AR1831,'CPL Mats'!S:S,AS1831)),"")</f>
        <v/>
      </c>
      <c r="AF1831" s="25" t="e">
        <f>IF(SUMIFS(#REF!,#REF!,"Releasable",#REF!,O1831)=0,"",SUMIFS(#REF!,#REF!,"Releasable",#REF!,O1831))</f>
        <v>#REF!</v>
      </c>
      <c r="AG1831" s="25" t="str">
        <f>IFERROR(INDEX(#REF!,MATCH(O1831,#REF!,0)),"")</f>
        <v/>
      </c>
      <c r="AH1831" s="25" t="str">
        <f>IFERROR(INDEX(#REF!,MATCH($O1831,#REF!,0)),"")</f>
        <v/>
      </c>
      <c r="AI1831" s="25" t="e">
        <f>IF(SUMIFS(#REF!,#REF!,"Expires this month",#REF!,O1831)=0,"",SUMIFS(#REF!,#REF!,"Expires this month",#REF!,O1831))</f>
        <v>#REF!</v>
      </c>
      <c r="AJ1831" s="25" t="e">
        <f>IF(SUMIFS(#REF!,#REF!,"Expired Previous Months",#REF!,O1831)=0,"",SUMIFS(#REF!,#REF!,"Expired Previous Months",#REF!,O1831))</f>
        <v>#REF!</v>
      </c>
      <c r="AK1831" s="25" t="str">
        <f>IFERROR(INDEX('Hun Release Current'!B:B,MATCH(O1831,'Hun Release Current'!A:A,0)),"")</f>
        <v/>
      </c>
      <c r="AL1831" s="25" t="str">
        <f>IF(SUMIF('Prev Aub'!A:A,O1831,'Prev Aub'!B:B)=0,"",SUMIF('Prev Aub'!A:A,O1831,'Prev Aub'!B:B))</f>
        <v/>
      </c>
      <c r="AN1831" s="25" t="s">
        <v>3790</v>
      </c>
      <c r="AO1831" s="25" t="s">
        <v>3790</v>
      </c>
      <c r="AP1831" s="25" t="str">
        <f t="shared" si="923"/>
        <v/>
      </c>
      <c r="AQ1831" s="151" t="e">
        <f>IF(SUMIFS(#REF!,#REF!,O1831,#REF!,"PENDING")=0,"",SUMIFS(#REF!,#REF!,O1831,#REF!,"PENDING"))</f>
        <v>#REF!</v>
      </c>
      <c r="AR1831" s="27" t="str">
        <f t="shared" si="902"/>
        <v/>
      </c>
      <c r="AS1831" s="27" t="str">
        <f t="shared" si="903"/>
        <v/>
      </c>
      <c r="AT1831" s="27" t="str">
        <f t="shared" si="904"/>
        <v/>
      </c>
      <c r="AU1831" s="27" t="str">
        <f t="shared" si="905"/>
        <v/>
      </c>
      <c r="AV1831" s="27" t="str">
        <f t="shared" si="906"/>
        <v/>
      </c>
      <c r="AW1831" s="27" t="e">
        <f t="shared" si="907"/>
        <v>#REF!</v>
      </c>
      <c r="AX1831" s="27" t="e">
        <f t="shared" si="908"/>
        <v>#REF!</v>
      </c>
      <c r="AY1831" s="27" t="str">
        <f t="shared" si="909"/>
        <v/>
      </c>
      <c r="AZ1831" s="27" t="str">
        <f t="shared" si="910"/>
        <v/>
      </c>
      <c r="BA1831" s="27" t="str">
        <f t="shared" si="911"/>
        <v/>
      </c>
      <c r="BB1831" s="27" t="str">
        <f t="shared" si="912"/>
        <v/>
      </c>
      <c r="BC1831" s="27" t="str">
        <f t="shared" si="913"/>
        <v/>
      </c>
      <c r="BD1831" s="27" t="str">
        <f t="shared" si="914"/>
        <v/>
      </c>
      <c r="BE1831" s="27" t="str">
        <f t="shared" si="915"/>
        <v/>
      </c>
      <c r="BF1831" s="27" t="str">
        <f t="shared" si="916"/>
        <v/>
      </c>
      <c r="BG1831" s="27" t="str">
        <f t="shared" si="917"/>
        <v/>
      </c>
      <c r="BH1831" s="27" t="str">
        <f t="shared" si="918"/>
        <v/>
      </c>
      <c r="BI1831" s="27" t="str">
        <f t="shared" si="919"/>
        <v/>
      </c>
      <c r="BJ1831" s="27" t="str">
        <f t="shared" si="920"/>
        <v/>
      </c>
      <c r="BK1831" s="27" t="str">
        <f t="shared" si="921"/>
        <v/>
      </c>
      <c r="BL1831" s="27" t="str">
        <f t="shared" si="922"/>
        <v/>
      </c>
      <c r="BM1831" s="21" t="s">
        <v>3790</v>
      </c>
    </row>
    <row r="1832" spans="1:65" ht="15">
      <c r="A1832" s="25" t="str">
        <f>IFERROR(INDEX(#REF!,MATCH(O1832,#REF!,0)),"")</f>
        <v/>
      </c>
      <c r="B1832" s="25" t="str">
        <f>IFERROR(INDEX(#REF!,MATCH(O1832,#REF!,0)),"")</f>
        <v/>
      </c>
      <c r="C1832" s="25" t="str">
        <f>IFERROR(INDEX(#REF!,MATCH(O1832,#REF!,0)),"")</f>
        <v/>
      </c>
      <c r="D1832" s="25" t="str">
        <f>IFERROR(INDEX(#REF!,MATCH(O1832,#REF!,0)),"")</f>
        <v/>
      </c>
      <c r="E1832" s="25" t="str">
        <f>IFERROR(INDEX(#REF!,MATCH(O1832,#REF!,0)),"")</f>
        <v/>
      </c>
      <c r="F1832" s="25" t="str">
        <f>IFERROR(INDEX(#REF!,MATCH(O1832,#REF!,0)),"")</f>
        <v/>
      </c>
      <c r="G1832" s="25" t="str">
        <f>IFERROR(INDEX(#REF!,MATCH(O1832,#REF!,0)),"")</f>
        <v/>
      </c>
      <c r="H1832" s="25" t="str">
        <f>IFERROR(INDEX(#REF!,MATCH(O1832,#REF!,0)),"")</f>
        <v/>
      </c>
      <c r="I1832" s="25" t="str">
        <f>IFERROR(INDEX(#REF!,MATCH(O1832,#REF!,0)),"")</f>
        <v/>
      </c>
      <c r="J1832" s="25" t="str">
        <f>IFERROR(INDEX(#REF!,MATCH(O1832,#REF!,0)),"")</f>
        <v/>
      </c>
      <c r="K1832" s="25" t="str">
        <f>IFERROR(INDEX(#REF!,MATCH(O1832,#REF!,0)),"")</f>
        <v/>
      </c>
      <c r="L1832" s="25" t="str">
        <f>IFERROR(INDEX(#REF!,MATCH(O1832,#REF!,0)),"")</f>
        <v/>
      </c>
      <c r="P1832" s="27" t="str">
        <f>IFERROR(INDEX(#REF!,MATCH($O1832,#REF!,0)),"")</f>
        <v/>
      </c>
      <c r="Q1832" s="27" t="str">
        <f>IFERROR(INDEX(#REF!,MATCH($O1832,#REF!,0)),"")</f>
        <v/>
      </c>
      <c r="R1832" s="52" t="str">
        <f>IFERROR(IF(AR1833=AR1832,INDEX(#REF!,MATCH($O1832,#REF!,0))-IF(AN1832="",0,AN1832)+AP1833,INDEX(#REF!,MATCH($O1832,#REF!,0))-IF(AN1832="",0,AN1832)),"")</f>
        <v/>
      </c>
      <c r="S1832" s="53" t="str">
        <f t="shared" si="896"/>
        <v/>
      </c>
      <c r="T1832" s="52" t="str">
        <f t="shared" si="897"/>
        <v/>
      </c>
      <c r="U1832" s="52" t="str">
        <f>IFERROR(IF(AR1833=AR1832,INDEX(#REF!,MATCH($O1832,#REF!,0))-IF(AN1832="",0,AN1832)+AP1833,INDEX(#REF!,MATCH($O1832,#REF!,0))-IF(AN1832="",0,AN1832)),"")</f>
        <v/>
      </c>
      <c r="V1832" s="53" t="str">
        <f t="shared" si="898"/>
        <v/>
      </c>
      <c r="W1832" s="52" t="str">
        <f t="shared" si="899"/>
        <v/>
      </c>
      <c r="X1832" s="52" t="str">
        <f>IFERROR(IF(AND(AR1833=AR1832,AM1832&lt;&gt;""),INDEX(#REF!,MATCH($O1832,#REF!,0))-IF(AN1832="",0,AN1832)+AP1833+AD1832+AL1832,IF(AR1833=AR1832,INDEX(#REF!,MATCH($O1832,#REF!,0))-IF(AN1832="",0,AN1832)+AP1833+AD1832,IF(AM1832&lt;&gt;"",INDEX(#REF!,MATCH($O1832,#REF!,0))-IF(AN1832="",0,AN1832)+AD1832+AL1832,INDEX(#REF!,MATCH($O1832,#REF!,0))-IF(AN1832="",0,AN1832)+AD1832))),"")</f>
        <v/>
      </c>
      <c r="Y1832" s="53" t="str">
        <f t="shared" si="900"/>
        <v/>
      </c>
      <c r="Z1832" s="52" t="str">
        <f>IF(L1832="","",INDEX(#REF!,MATCH($O1832,#REF!,0)))</f>
        <v/>
      </c>
      <c r="AA1832" s="52" t="str">
        <f t="shared" si="901"/>
        <v/>
      </c>
      <c r="AB1832" s="52" t="str">
        <f>IFERROR(INDEX(#REF!,MATCH($O1832,#REF!,0)),"")</f>
        <v/>
      </c>
      <c r="AC1832" s="52" t="str">
        <f>IFERROR(IF(O1832="","",SUMIFS('CPL Mats'!F:F,'CPL Mats'!Q:Q,AR1832,'CPL Mats'!S:S,AS1832)),"")</f>
        <v/>
      </c>
      <c r="AF1832" s="25" t="e">
        <f>IF(SUMIFS(#REF!,#REF!,"Releasable",#REF!,O1832)=0,"",SUMIFS(#REF!,#REF!,"Releasable",#REF!,O1832))</f>
        <v>#REF!</v>
      </c>
      <c r="AG1832" s="25" t="str">
        <f>IFERROR(INDEX(#REF!,MATCH(O1832,#REF!,0)),"")</f>
        <v/>
      </c>
      <c r="AH1832" s="25" t="str">
        <f>IFERROR(INDEX(#REF!,MATCH($O1832,#REF!,0)),"")</f>
        <v/>
      </c>
      <c r="AI1832" s="25" t="e">
        <f>IF(SUMIFS(#REF!,#REF!,"Expires this month",#REF!,O1832)=0,"",SUMIFS(#REF!,#REF!,"Expires this month",#REF!,O1832))</f>
        <v>#REF!</v>
      </c>
      <c r="AJ1832" s="25" t="e">
        <f>IF(SUMIFS(#REF!,#REF!,"Expired Previous Months",#REF!,O1832)=0,"",SUMIFS(#REF!,#REF!,"Expired Previous Months",#REF!,O1832))</f>
        <v>#REF!</v>
      </c>
      <c r="AK1832" s="25" t="str">
        <f>IFERROR(INDEX('Hun Release Current'!B:B,MATCH(O1832,'Hun Release Current'!A:A,0)),"")</f>
        <v/>
      </c>
      <c r="AL1832" s="25" t="str">
        <f>IF(SUMIF('Prev Aub'!A:A,O1832,'Prev Aub'!B:B)=0,"",SUMIF('Prev Aub'!A:A,O1832,'Prev Aub'!B:B))</f>
        <v/>
      </c>
      <c r="AN1832" s="25" t="s">
        <v>3790</v>
      </c>
      <c r="AO1832" s="25" t="s">
        <v>3790</v>
      </c>
      <c r="AP1832" s="25" t="str">
        <f t="shared" si="923"/>
        <v/>
      </c>
      <c r="AQ1832" s="151" t="e">
        <f>IF(SUMIFS(#REF!,#REF!,O1832,#REF!,"PENDING")=0,"",SUMIFS(#REF!,#REF!,O1832,#REF!,"PENDING"))</f>
        <v>#REF!</v>
      </c>
      <c r="AR1832" s="27" t="str">
        <f t="shared" si="902"/>
        <v/>
      </c>
      <c r="AS1832" s="27" t="str">
        <f t="shared" si="903"/>
        <v/>
      </c>
      <c r="AT1832" s="27" t="str">
        <f t="shared" si="904"/>
        <v/>
      </c>
      <c r="AU1832" s="27" t="str">
        <f t="shared" si="905"/>
        <v/>
      </c>
      <c r="AV1832" s="27" t="str">
        <f t="shared" si="906"/>
        <v/>
      </c>
      <c r="AW1832" s="27" t="e">
        <f t="shared" si="907"/>
        <v>#REF!</v>
      </c>
      <c r="AX1832" s="27" t="e">
        <f t="shared" si="908"/>
        <v>#REF!</v>
      </c>
      <c r="AY1832" s="27" t="str">
        <f t="shared" si="909"/>
        <v/>
      </c>
      <c r="AZ1832" s="27" t="str">
        <f t="shared" si="910"/>
        <v/>
      </c>
      <c r="BA1832" s="27" t="str">
        <f t="shared" si="911"/>
        <v/>
      </c>
      <c r="BB1832" s="27" t="str">
        <f t="shared" si="912"/>
        <v/>
      </c>
      <c r="BC1832" s="27" t="str">
        <f t="shared" si="913"/>
        <v/>
      </c>
      <c r="BD1832" s="27" t="str">
        <f t="shared" si="914"/>
        <v/>
      </c>
      <c r="BE1832" s="27" t="str">
        <f t="shared" si="915"/>
        <v/>
      </c>
      <c r="BF1832" s="27" t="str">
        <f t="shared" si="916"/>
        <v/>
      </c>
      <c r="BG1832" s="27" t="str">
        <f t="shared" si="917"/>
        <v/>
      </c>
      <c r="BH1832" s="27" t="str">
        <f t="shared" si="918"/>
        <v/>
      </c>
      <c r="BI1832" s="27" t="str">
        <f t="shared" si="919"/>
        <v/>
      </c>
      <c r="BJ1832" s="27" t="str">
        <f t="shared" si="920"/>
        <v/>
      </c>
      <c r="BK1832" s="27" t="str">
        <f t="shared" si="921"/>
        <v/>
      </c>
      <c r="BL1832" s="27" t="str">
        <f t="shared" si="922"/>
        <v/>
      </c>
      <c r="BM1832" s="21" t="s">
        <v>3790</v>
      </c>
    </row>
    <row r="1833" spans="1:65" ht="15">
      <c r="A1833" s="25" t="str">
        <f>IFERROR(INDEX(#REF!,MATCH(O1833,#REF!,0)),"")</f>
        <v/>
      </c>
      <c r="B1833" s="25" t="str">
        <f>IFERROR(INDEX(#REF!,MATCH(O1833,#REF!,0)),"")</f>
        <v/>
      </c>
      <c r="C1833" s="25" t="str">
        <f>IFERROR(INDEX(#REF!,MATCH(O1833,#REF!,0)),"")</f>
        <v/>
      </c>
      <c r="D1833" s="25" t="str">
        <f>IFERROR(INDEX(#REF!,MATCH(O1833,#REF!,0)),"")</f>
        <v/>
      </c>
      <c r="E1833" s="25" t="str">
        <f>IFERROR(INDEX(#REF!,MATCH(O1833,#REF!,0)),"")</f>
        <v/>
      </c>
      <c r="F1833" s="25" t="str">
        <f>IFERROR(INDEX(#REF!,MATCH(O1833,#REF!,0)),"")</f>
        <v/>
      </c>
      <c r="G1833" s="25" t="str">
        <f>IFERROR(INDEX(#REF!,MATCH(O1833,#REF!,0)),"")</f>
        <v/>
      </c>
      <c r="H1833" s="25" t="str">
        <f>IFERROR(INDEX(#REF!,MATCH(O1833,#REF!,0)),"")</f>
        <v/>
      </c>
      <c r="I1833" s="25" t="str">
        <f>IFERROR(INDEX(#REF!,MATCH(O1833,#REF!,0)),"")</f>
        <v/>
      </c>
      <c r="J1833" s="25" t="str">
        <f>IFERROR(INDEX(#REF!,MATCH(O1833,#REF!,0)),"")</f>
        <v/>
      </c>
      <c r="K1833" s="25" t="str">
        <f>IFERROR(INDEX(#REF!,MATCH(O1833,#REF!,0)),"")</f>
        <v/>
      </c>
      <c r="L1833" s="25" t="str">
        <f>IFERROR(INDEX(#REF!,MATCH(O1833,#REF!,0)),"")</f>
        <v/>
      </c>
      <c r="P1833" s="27" t="str">
        <f>IFERROR(INDEX(#REF!,MATCH($O1833,#REF!,0)),"")</f>
        <v/>
      </c>
      <c r="Q1833" s="27" t="str">
        <f>IFERROR(INDEX(#REF!,MATCH($O1833,#REF!,0)),"")</f>
        <v/>
      </c>
      <c r="R1833" s="52" t="str">
        <f>IFERROR(IF(AR1834=AR1833,INDEX(#REF!,MATCH($O1833,#REF!,0))-IF(AN1833="",0,AN1833)+AP1834,INDEX(#REF!,MATCH($O1833,#REF!,0))-IF(AN1833="",0,AN1833)),"")</f>
        <v/>
      </c>
      <c r="S1833" s="53" t="str">
        <f t="shared" si="896"/>
        <v/>
      </c>
      <c r="T1833" s="52" t="str">
        <f t="shared" si="897"/>
        <v/>
      </c>
      <c r="U1833" s="52" t="str">
        <f>IFERROR(IF(AR1834=AR1833,INDEX(#REF!,MATCH($O1833,#REF!,0))-IF(AN1833="",0,AN1833)+AP1834,INDEX(#REF!,MATCH($O1833,#REF!,0))-IF(AN1833="",0,AN1833)),"")</f>
        <v/>
      </c>
      <c r="V1833" s="53" t="str">
        <f t="shared" si="898"/>
        <v/>
      </c>
      <c r="W1833" s="52" t="str">
        <f t="shared" si="899"/>
        <v/>
      </c>
      <c r="X1833" s="52" t="str">
        <f>IFERROR(IF(AND(AR1834=AR1833,AM1833&lt;&gt;""),INDEX(#REF!,MATCH($O1833,#REF!,0))-IF(AN1833="",0,AN1833)+AP1834+AD1833+AL1833,IF(AR1834=AR1833,INDEX(#REF!,MATCH($O1833,#REF!,0))-IF(AN1833="",0,AN1833)+AP1834+AD1833,IF(AM1833&lt;&gt;"",INDEX(#REF!,MATCH($O1833,#REF!,0))-IF(AN1833="",0,AN1833)+AD1833+AL1833,INDEX(#REF!,MATCH($O1833,#REF!,0))-IF(AN1833="",0,AN1833)+AD1833))),"")</f>
        <v/>
      </c>
      <c r="Y1833" s="53" t="str">
        <f t="shared" si="900"/>
        <v/>
      </c>
      <c r="Z1833" s="52" t="str">
        <f>IF(L1833="","",INDEX(#REF!,MATCH($O1833,#REF!,0)))</f>
        <v/>
      </c>
      <c r="AA1833" s="52" t="str">
        <f t="shared" si="901"/>
        <v/>
      </c>
      <c r="AB1833" s="52" t="str">
        <f>IFERROR(INDEX(#REF!,MATCH($O1833,#REF!,0)),"")</f>
        <v/>
      </c>
      <c r="AC1833" s="52" t="str">
        <f>IFERROR(IF(O1833="","",SUMIFS('CPL Mats'!F:F,'CPL Mats'!Q:Q,AR1833,'CPL Mats'!S:S,AS1833)),"")</f>
        <v/>
      </c>
      <c r="AF1833" s="25" t="e">
        <f>IF(SUMIFS(#REF!,#REF!,"Releasable",#REF!,O1833)=0,"",SUMIFS(#REF!,#REF!,"Releasable",#REF!,O1833))</f>
        <v>#REF!</v>
      </c>
      <c r="AG1833" s="25" t="str">
        <f>IFERROR(INDEX(#REF!,MATCH(O1833,#REF!,0)),"")</f>
        <v/>
      </c>
      <c r="AH1833" s="25" t="str">
        <f>IFERROR(INDEX(#REF!,MATCH($O1833,#REF!,0)),"")</f>
        <v/>
      </c>
      <c r="AI1833" s="25" t="e">
        <f>IF(SUMIFS(#REF!,#REF!,"Expires this month",#REF!,O1833)=0,"",SUMIFS(#REF!,#REF!,"Expires this month",#REF!,O1833))</f>
        <v>#REF!</v>
      </c>
      <c r="AJ1833" s="25" t="e">
        <f>IF(SUMIFS(#REF!,#REF!,"Expired Previous Months",#REF!,O1833)=0,"",SUMIFS(#REF!,#REF!,"Expired Previous Months",#REF!,O1833))</f>
        <v>#REF!</v>
      </c>
      <c r="AK1833" s="25" t="str">
        <f>IFERROR(INDEX('Hun Release Current'!B:B,MATCH(O1833,'Hun Release Current'!A:A,0)),"")</f>
        <v/>
      </c>
      <c r="AL1833" s="25" t="str">
        <f>IF(SUMIF('Prev Aub'!A:A,O1833,'Prev Aub'!B:B)=0,"",SUMIF('Prev Aub'!A:A,O1833,'Prev Aub'!B:B))</f>
        <v/>
      </c>
      <c r="AN1833" s="25" t="s">
        <v>3790</v>
      </c>
      <c r="AO1833" s="25" t="s">
        <v>3790</v>
      </c>
      <c r="AP1833" s="25" t="str">
        <f t="shared" si="923"/>
        <v/>
      </c>
      <c r="AQ1833" s="151" t="e">
        <f>IF(SUMIFS(#REF!,#REF!,O1833,#REF!,"PENDING")=0,"",SUMIFS(#REF!,#REF!,O1833,#REF!,"PENDING"))</f>
        <v>#REF!</v>
      </c>
      <c r="AR1833" s="27" t="str">
        <f t="shared" si="902"/>
        <v/>
      </c>
      <c r="AS1833" s="27" t="str">
        <f t="shared" si="903"/>
        <v/>
      </c>
      <c r="AT1833" s="27" t="str">
        <f t="shared" si="904"/>
        <v/>
      </c>
      <c r="AU1833" s="27" t="str">
        <f t="shared" si="905"/>
        <v/>
      </c>
      <c r="AV1833" s="27" t="str">
        <f t="shared" si="906"/>
        <v/>
      </c>
      <c r="AW1833" s="27" t="e">
        <f t="shared" si="907"/>
        <v>#REF!</v>
      </c>
      <c r="AX1833" s="27" t="e">
        <f t="shared" si="908"/>
        <v>#REF!</v>
      </c>
      <c r="AY1833" s="27" t="str">
        <f t="shared" si="909"/>
        <v/>
      </c>
      <c r="AZ1833" s="27" t="str">
        <f t="shared" si="910"/>
        <v/>
      </c>
      <c r="BA1833" s="27" t="str">
        <f t="shared" si="911"/>
        <v/>
      </c>
      <c r="BB1833" s="27" t="str">
        <f t="shared" si="912"/>
        <v/>
      </c>
      <c r="BC1833" s="27" t="str">
        <f t="shared" si="913"/>
        <v/>
      </c>
      <c r="BD1833" s="27" t="str">
        <f t="shared" si="914"/>
        <v/>
      </c>
      <c r="BE1833" s="27" t="str">
        <f t="shared" si="915"/>
        <v/>
      </c>
      <c r="BF1833" s="27" t="str">
        <f t="shared" si="916"/>
        <v/>
      </c>
      <c r="BG1833" s="27" t="str">
        <f t="shared" si="917"/>
        <v/>
      </c>
      <c r="BH1833" s="27" t="str">
        <f t="shared" si="918"/>
        <v/>
      </c>
      <c r="BI1833" s="27" t="str">
        <f t="shared" si="919"/>
        <v/>
      </c>
      <c r="BJ1833" s="27" t="str">
        <f t="shared" si="920"/>
        <v/>
      </c>
      <c r="BK1833" s="27" t="str">
        <f t="shared" si="921"/>
        <v/>
      </c>
      <c r="BL1833" s="27" t="str">
        <f t="shared" si="922"/>
        <v/>
      </c>
      <c r="BM1833" s="21" t="s">
        <v>3790</v>
      </c>
    </row>
    <row r="1834" spans="1:65" ht="15">
      <c r="A1834" s="25" t="str">
        <f>IFERROR(INDEX(#REF!,MATCH(O1834,#REF!,0)),"")</f>
        <v/>
      </c>
      <c r="B1834" s="25" t="str">
        <f>IFERROR(INDEX(#REF!,MATCH(O1834,#REF!,0)),"")</f>
        <v/>
      </c>
      <c r="C1834" s="25" t="str">
        <f>IFERROR(INDEX(#REF!,MATCH(O1834,#REF!,0)),"")</f>
        <v/>
      </c>
      <c r="D1834" s="25" t="str">
        <f>IFERROR(INDEX(#REF!,MATCH(O1834,#REF!,0)),"")</f>
        <v/>
      </c>
      <c r="E1834" s="25" t="str">
        <f>IFERROR(INDEX(#REF!,MATCH(O1834,#REF!,0)),"")</f>
        <v/>
      </c>
      <c r="F1834" s="25" t="str">
        <f>IFERROR(INDEX(#REF!,MATCH(O1834,#REF!,0)),"")</f>
        <v/>
      </c>
      <c r="G1834" s="25" t="str">
        <f>IFERROR(INDEX(#REF!,MATCH(O1834,#REF!,0)),"")</f>
        <v/>
      </c>
      <c r="H1834" s="25" t="str">
        <f>IFERROR(INDEX(#REF!,MATCH(O1834,#REF!,0)),"")</f>
        <v/>
      </c>
      <c r="I1834" s="25" t="str">
        <f>IFERROR(INDEX(#REF!,MATCH(O1834,#REF!,0)),"")</f>
        <v/>
      </c>
      <c r="J1834" s="25" t="str">
        <f>IFERROR(INDEX(#REF!,MATCH(O1834,#REF!,0)),"")</f>
        <v/>
      </c>
      <c r="K1834" s="25" t="str">
        <f>IFERROR(INDEX(#REF!,MATCH(O1834,#REF!,0)),"")</f>
        <v/>
      </c>
      <c r="L1834" s="25" t="str">
        <f>IFERROR(INDEX(#REF!,MATCH(O1834,#REF!,0)),"")</f>
        <v/>
      </c>
      <c r="P1834" s="27" t="str">
        <f>IFERROR(INDEX(#REF!,MATCH($O1834,#REF!,0)),"")</f>
        <v/>
      </c>
      <c r="Q1834" s="27" t="str">
        <f>IFERROR(INDEX(#REF!,MATCH($O1834,#REF!,0)),"")</f>
        <v/>
      </c>
      <c r="R1834" s="52" t="str">
        <f>IFERROR(IF(AR1835=AR1834,INDEX(#REF!,MATCH($O1834,#REF!,0))-IF(AN1834="",0,AN1834)+AP1835,INDEX(#REF!,MATCH($O1834,#REF!,0))-IF(AN1834="",0,AN1834)),"")</f>
        <v/>
      </c>
      <c r="S1834" s="53" t="str">
        <f t="shared" si="896"/>
        <v/>
      </c>
      <c r="T1834" s="52" t="str">
        <f t="shared" si="897"/>
        <v/>
      </c>
      <c r="U1834" s="52" t="str">
        <f>IFERROR(IF(AR1835=AR1834,INDEX(#REF!,MATCH($O1834,#REF!,0))-IF(AN1834="",0,AN1834)+AP1835,INDEX(#REF!,MATCH($O1834,#REF!,0))-IF(AN1834="",0,AN1834)),"")</f>
        <v/>
      </c>
      <c r="V1834" s="53" t="str">
        <f t="shared" si="898"/>
        <v/>
      </c>
      <c r="W1834" s="52" t="str">
        <f t="shared" si="899"/>
        <v/>
      </c>
      <c r="X1834" s="52" t="str">
        <f>IFERROR(IF(AND(AR1835=AR1834,AM1834&lt;&gt;""),INDEX(#REF!,MATCH($O1834,#REF!,0))-IF(AN1834="",0,AN1834)+AP1835+AD1834+AL1834,IF(AR1835=AR1834,INDEX(#REF!,MATCH($O1834,#REF!,0))-IF(AN1834="",0,AN1834)+AP1835+AD1834,IF(AM1834&lt;&gt;"",INDEX(#REF!,MATCH($O1834,#REF!,0))-IF(AN1834="",0,AN1834)+AD1834+AL1834,INDEX(#REF!,MATCH($O1834,#REF!,0))-IF(AN1834="",0,AN1834)+AD1834))),"")</f>
        <v/>
      </c>
      <c r="Y1834" s="53" t="str">
        <f t="shared" si="900"/>
        <v/>
      </c>
      <c r="Z1834" s="52" t="str">
        <f>IF(L1834="","",INDEX(#REF!,MATCH($O1834,#REF!,0)))</f>
        <v/>
      </c>
      <c r="AA1834" s="52" t="str">
        <f t="shared" si="901"/>
        <v/>
      </c>
      <c r="AB1834" s="52" t="str">
        <f>IFERROR(INDEX(#REF!,MATCH($O1834,#REF!,0)),"")</f>
        <v/>
      </c>
      <c r="AC1834" s="52" t="str">
        <f>IFERROR(IF(O1834="","",SUMIFS('CPL Mats'!F:F,'CPL Mats'!Q:Q,AR1834,'CPL Mats'!S:S,AS1834)),"")</f>
        <v/>
      </c>
      <c r="AF1834" s="25" t="e">
        <f>IF(SUMIFS(#REF!,#REF!,"Releasable",#REF!,O1834)=0,"",SUMIFS(#REF!,#REF!,"Releasable",#REF!,O1834))</f>
        <v>#REF!</v>
      </c>
      <c r="AG1834" s="25" t="str">
        <f>IFERROR(INDEX(#REF!,MATCH(O1834,#REF!,0)),"")</f>
        <v/>
      </c>
      <c r="AH1834" s="25" t="str">
        <f>IFERROR(INDEX(#REF!,MATCH($O1834,#REF!,0)),"")</f>
        <v/>
      </c>
      <c r="AI1834" s="25" t="e">
        <f>IF(SUMIFS(#REF!,#REF!,"Expires this month",#REF!,O1834)=0,"",SUMIFS(#REF!,#REF!,"Expires this month",#REF!,O1834))</f>
        <v>#REF!</v>
      </c>
      <c r="AJ1834" s="25" t="e">
        <f>IF(SUMIFS(#REF!,#REF!,"Expired Previous Months",#REF!,O1834)=0,"",SUMIFS(#REF!,#REF!,"Expired Previous Months",#REF!,O1834))</f>
        <v>#REF!</v>
      </c>
      <c r="AK1834" s="25" t="str">
        <f>IFERROR(INDEX('Hun Release Current'!B:B,MATCH(O1834,'Hun Release Current'!A:A,0)),"")</f>
        <v/>
      </c>
      <c r="AL1834" s="25" t="str">
        <f>IF(SUMIF('Prev Aub'!A:A,O1834,'Prev Aub'!B:B)=0,"",SUMIF('Prev Aub'!A:A,O1834,'Prev Aub'!B:B))</f>
        <v/>
      </c>
      <c r="AN1834" s="25" t="s">
        <v>3790</v>
      </c>
      <c r="AO1834" s="25" t="s">
        <v>3790</v>
      </c>
      <c r="AP1834" s="25" t="str">
        <f t="shared" si="923"/>
        <v/>
      </c>
      <c r="AQ1834" s="151" t="e">
        <f>IF(SUMIFS(#REF!,#REF!,O1834,#REF!,"PENDING")=0,"",SUMIFS(#REF!,#REF!,O1834,#REF!,"PENDING"))</f>
        <v>#REF!</v>
      </c>
      <c r="AR1834" s="27" t="str">
        <f t="shared" si="902"/>
        <v/>
      </c>
      <c r="AS1834" s="27" t="str">
        <f t="shared" si="903"/>
        <v/>
      </c>
      <c r="AT1834" s="27" t="str">
        <f t="shared" si="904"/>
        <v/>
      </c>
      <c r="AU1834" s="27" t="str">
        <f t="shared" si="905"/>
        <v/>
      </c>
      <c r="AV1834" s="27" t="str">
        <f t="shared" si="906"/>
        <v/>
      </c>
      <c r="AW1834" s="27" t="e">
        <f t="shared" si="907"/>
        <v>#REF!</v>
      </c>
      <c r="AX1834" s="27" t="e">
        <f t="shared" si="908"/>
        <v>#REF!</v>
      </c>
      <c r="AY1834" s="27" t="str">
        <f t="shared" si="909"/>
        <v/>
      </c>
      <c r="AZ1834" s="27" t="str">
        <f t="shared" si="910"/>
        <v/>
      </c>
      <c r="BA1834" s="27" t="str">
        <f t="shared" si="911"/>
        <v/>
      </c>
      <c r="BB1834" s="27" t="str">
        <f t="shared" si="912"/>
        <v/>
      </c>
      <c r="BC1834" s="27" t="str">
        <f t="shared" si="913"/>
        <v/>
      </c>
      <c r="BD1834" s="27" t="str">
        <f t="shared" si="914"/>
        <v/>
      </c>
      <c r="BE1834" s="27" t="str">
        <f t="shared" si="915"/>
        <v/>
      </c>
      <c r="BF1834" s="27" t="str">
        <f t="shared" si="916"/>
        <v/>
      </c>
      <c r="BG1834" s="27" t="str">
        <f t="shared" si="917"/>
        <v/>
      </c>
      <c r="BH1834" s="27" t="str">
        <f t="shared" si="918"/>
        <v/>
      </c>
      <c r="BI1834" s="27" t="str">
        <f t="shared" si="919"/>
        <v/>
      </c>
      <c r="BJ1834" s="27" t="str">
        <f t="shared" si="920"/>
        <v/>
      </c>
      <c r="BK1834" s="27" t="str">
        <f t="shared" si="921"/>
        <v/>
      </c>
      <c r="BL1834" s="27" t="str">
        <f t="shared" si="922"/>
        <v/>
      </c>
      <c r="BM1834" s="21" t="s">
        <v>3790</v>
      </c>
    </row>
    <row r="1835" spans="1:65" ht="15">
      <c r="A1835" s="25" t="str">
        <f>IFERROR(INDEX(#REF!,MATCH(O1835,#REF!,0)),"")</f>
        <v/>
      </c>
      <c r="B1835" s="25" t="str">
        <f>IFERROR(INDEX(#REF!,MATCH(O1835,#REF!,0)),"")</f>
        <v/>
      </c>
      <c r="C1835" s="25" t="str">
        <f>IFERROR(INDEX(#REF!,MATCH(O1835,#REF!,0)),"")</f>
        <v/>
      </c>
      <c r="D1835" s="25" t="str">
        <f>IFERROR(INDEX(#REF!,MATCH(O1835,#REF!,0)),"")</f>
        <v/>
      </c>
      <c r="E1835" s="25" t="str">
        <f>IFERROR(INDEX(#REF!,MATCH(O1835,#REF!,0)),"")</f>
        <v/>
      </c>
      <c r="F1835" s="25" t="str">
        <f>IFERROR(INDEX(#REF!,MATCH(O1835,#REF!,0)),"")</f>
        <v/>
      </c>
      <c r="G1835" s="25" t="str">
        <f>IFERROR(INDEX(#REF!,MATCH(O1835,#REF!,0)),"")</f>
        <v/>
      </c>
      <c r="H1835" s="25" t="str">
        <f>IFERROR(INDEX(#REF!,MATCH(O1835,#REF!,0)),"")</f>
        <v/>
      </c>
      <c r="I1835" s="25" t="str">
        <f>IFERROR(INDEX(#REF!,MATCH(O1835,#REF!,0)),"")</f>
        <v/>
      </c>
      <c r="J1835" s="25" t="str">
        <f>IFERROR(INDEX(#REF!,MATCH(O1835,#REF!,0)),"")</f>
        <v/>
      </c>
      <c r="K1835" s="25" t="str">
        <f>IFERROR(INDEX(#REF!,MATCH(O1835,#REF!,0)),"")</f>
        <v/>
      </c>
      <c r="L1835" s="25" t="str">
        <f>IFERROR(INDEX(#REF!,MATCH(O1835,#REF!,0)),"")</f>
        <v/>
      </c>
      <c r="P1835" s="27" t="str">
        <f>IFERROR(INDEX(#REF!,MATCH($O1835,#REF!,0)),"")</f>
        <v/>
      </c>
      <c r="Q1835" s="27" t="str">
        <f>IFERROR(INDEX(#REF!,MATCH($O1835,#REF!,0)),"")</f>
        <v/>
      </c>
      <c r="R1835" s="52" t="str">
        <f>IFERROR(IF(AR1836=AR1835,INDEX(#REF!,MATCH($O1835,#REF!,0))-IF(AN1835="",0,AN1835)+AP1836,INDEX(#REF!,MATCH($O1835,#REF!,0))-IF(AN1835="",0,AN1835)),"")</f>
        <v/>
      </c>
      <c r="S1835" s="53" t="str">
        <f t="shared" si="896"/>
        <v/>
      </c>
      <c r="T1835" s="52" t="str">
        <f t="shared" si="897"/>
        <v/>
      </c>
      <c r="U1835" s="52" t="str">
        <f>IFERROR(IF(AR1836=AR1835,INDEX(#REF!,MATCH($O1835,#REF!,0))-IF(AN1835="",0,AN1835)+AP1836,INDEX(#REF!,MATCH($O1835,#REF!,0))-IF(AN1835="",0,AN1835)),"")</f>
        <v/>
      </c>
      <c r="V1835" s="53" t="str">
        <f t="shared" si="898"/>
        <v/>
      </c>
      <c r="W1835" s="52" t="str">
        <f t="shared" si="899"/>
        <v/>
      </c>
      <c r="X1835" s="52" t="str">
        <f>IFERROR(IF(AND(AR1836=AR1835,AM1835&lt;&gt;""),INDEX(#REF!,MATCH($O1835,#REF!,0))-IF(AN1835="",0,AN1835)+AP1836+AD1835+AL1835,IF(AR1836=AR1835,INDEX(#REF!,MATCH($O1835,#REF!,0))-IF(AN1835="",0,AN1835)+AP1836+AD1835,IF(AM1835&lt;&gt;"",INDEX(#REF!,MATCH($O1835,#REF!,0))-IF(AN1835="",0,AN1835)+AD1835+AL1835,INDEX(#REF!,MATCH($O1835,#REF!,0))-IF(AN1835="",0,AN1835)+AD1835))),"")</f>
        <v/>
      </c>
      <c r="Y1835" s="53" t="str">
        <f t="shared" si="900"/>
        <v/>
      </c>
      <c r="Z1835" s="52" t="str">
        <f>IF(L1835="","",INDEX(#REF!,MATCH($O1835,#REF!,0)))</f>
        <v/>
      </c>
      <c r="AA1835" s="52" t="str">
        <f t="shared" si="901"/>
        <v/>
      </c>
      <c r="AB1835" s="52" t="str">
        <f>IFERROR(INDEX(#REF!,MATCH($O1835,#REF!,0)),"")</f>
        <v/>
      </c>
      <c r="AC1835" s="52" t="str">
        <f>IFERROR(IF(O1835="","",SUMIFS('CPL Mats'!F:F,'CPL Mats'!Q:Q,AR1835,'CPL Mats'!S:S,AS1835)),"")</f>
        <v/>
      </c>
      <c r="AF1835" s="25" t="e">
        <f>IF(SUMIFS(#REF!,#REF!,"Releasable",#REF!,O1835)=0,"",SUMIFS(#REF!,#REF!,"Releasable",#REF!,O1835))</f>
        <v>#REF!</v>
      </c>
      <c r="AG1835" s="25" t="str">
        <f>IFERROR(INDEX(#REF!,MATCH(O1835,#REF!,0)),"")</f>
        <v/>
      </c>
      <c r="AH1835" s="25" t="str">
        <f>IFERROR(INDEX(#REF!,MATCH($O1835,#REF!,0)),"")</f>
        <v/>
      </c>
      <c r="AI1835" s="25" t="e">
        <f>IF(SUMIFS(#REF!,#REF!,"Expires this month",#REF!,O1835)=0,"",SUMIFS(#REF!,#REF!,"Expires this month",#REF!,O1835))</f>
        <v>#REF!</v>
      </c>
      <c r="AJ1835" s="25" t="e">
        <f>IF(SUMIFS(#REF!,#REF!,"Expired Previous Months",#REF!,O1835)=0,"",SUMIFS(#REF!,#REF!,"Expired Previous Months",#REF!,O1835))</f>
        <v>#REF!</v>
      </c>
      <c r="AK1835" s="25" t="str">
        <f>IFERROR(INDEX('Hun Release Current'!B:B,MATCH(O1835,'Hun Release Current'!A:A,0)),"")</f>
        <v/>
      </c>
      <c r="AL1835" s="25" t="str">
        <f>IF(SUMIF('Prev Aub'!A:A,O1835,'Prev Aub'!B:B)=0,"",SUMIF('Prev Aub'!A:A,O1835,'Prev Aub'!B:B))</f>
        <v/>
      </c>
      <c r="AN1835" s="25" t="s">
        <v>3790</v>
      </c>
      <c r="AO1835" s="25" t="s">
        <v>3790</v>
      </c>
      <c r="AP1835" s="25" t="str">
        <f t="shared" si="923"/>
        <v/>
      </c>
      <c r="AQ1835" s="151" t="e">
        <f>IF(SUMIFS(#REF!,#REF!,O1835,#REF!,"PENDING")=0,"",SUMIFS(#REF!,#REF!,O1835,#REF!,"PENDING"))</f>
        <v>#REF!</v>
      </c>
      <c r="AR1835" s="27" t="str">
        <f t="shared" si="902"/>
        <v/>
      </c>
      <c r="AS1835" s="27" t="str">
        <f t="shared" si="903"/>
        <v/>
      </c>
      <c r="AT1835" s="27" t="str">
        <f t="shared" si="904"/>
        <v/>
      </c>
      <c r="AU1835" s="27" t="str">
        <f t="shared" si="905"/>
        <v/>
      </c>
      <c r="AV1835" s="27" t="str">
        <f t="shared" si="906"/>
        <v/>
      </c>
      <c r="AW1835" s="27" t="e">
        <f t="shared" si="907"/>
        <v>#REF!</v>
      </c>
      <c r="AX1835" s="27" t="e">
        <f t="shared" si="908"/>
        <v>#REF!</v>
      </c>
      <c r="AY1835" s="27" t="str">
        <f t="shared" si="909"/>
        <v/>
      </c>
      <c r="AZ1835" s="27" t="str">
        <f t="shared" si="910"/>
        <v/>
      </c>
      <c r="BA1835" s="27" t="str">
        <f t="shared" si="911"/>
        <v/>
      </c>
      <c r="BB1835" s="27" t="str">
        <f t="shared" si="912"/>
        <v/>
      </c>
      <c r="BC1835" s="27" t="str">
        <f t="shared" si="913"/>
        <v/>
      </c>
      <c r="BD1835" s="27" t="str">
        <f t="shared" si="914"/>
        <v/>
      </c>
      <c r="BE1835" s="27" t="str">
        <f t="shared" si="915"/>
        <v/>
      </c>
      <c r="BF1835" s="27" t="str">
        <f t="shared" si="916"/>
        <v/>
      </c>
      <c r="BG1835" s="27" t="str">
        <f t="shared" si="917"/>
        <v/>
      </c>
      <c r="BH1835" s="27" t="str">
        <f t="shared" si="918"/>
        <v/>
      </c>
      <c r="BI1835" s="27" t="str">
        <f t="shared" si="919"/>
        <v/>
      </c>
      <c r="BJ1835" s="27" t="str">
        <f t="shared" si="920"/>
        <v/>
      </c>
      <c r="BK1835" s="27" t="str">
        <f t="shared" si="921"/>
        <v/>
      </c>
      <c r="BL1835" s="27" t="str">
        <f t="shared" si="922"/>
        <v/>
      </c>
      <c r="BM1835" s="21" t="s">
        <v>3790</v>
      </c>
    </row>
    <row r="1836" spans="1:65" ht="15">
      <c r="A1836" s="25" t="str">
        <f>IFERROR(INDEX(#REF!,MATCH(O1836,#REF!,0)),"")</f>
        <v/>
      </c>
      <c r="B1836" s="25" t="str">
        <f>IFERROR(INDEX(#REF!,MATCH(O1836,#REF!,0)),"")</f>
        <v/>
      </c>
      <c r="C1836" s="25" t="str">
        <f>IFERROR(INDEX(#REF!,MATCH(O1836,#REF!,0)),"")</f>
        <v/>
      </c>
      <c r="D1836" s="25" t="str">
        <f>IFERROR(INDEX(#REF!,MATCH(O1836,#REF!,0)),"")</f>
        <v/>
      </c>
      <c r="E1836" s="25" t="str">
        <f>IFERROR(INDEX(#REF!,MATCH(O1836,#REF!,0)),"")</f>
        <v/>
      </c>
      <c r="F1836" s="25" t="str">
        <f>IFERROR(INDEX(#REF!,MATCH(O1836,#REF!,0)),"")</f>
        <v/>
      </c>
      <c r="G1836" s="25" t="str">
        <f>IFERROR(INDEX(#REF!,MATCH(O1836,#REF!,0)),"")</f>
        <v/>
      </c>
      <c r="H1836" s="25" t="str">
        <f>IFERROR(INDEX(#REF!,MATCH(O1836,#REF!,0)),"")</f>
        <v/>
      </c>
      <c r="I1836" s="25" t="str">
        <f>IFERROR(INDEX(#REF!,MATCH(O1836,#REF!,0)),"")</f>
        <v/>
      </c>
      <c r="J1836" s="25" t="str">
        <f>IFERROR(INDEX(#REF!,MATCH(O1836,#REF!,0)),"")</f>
        <v/>
      </c>
      <c r="K1836" s="25" t="str">
        <f>IFERROR(INDEX(#REF!,MATCH(O1836,#REF!,0)),"")</f>
        <v/>
      </c>
      <c r="L1836" s="25" t="str">
        <f>IFERROR(INDEX(#REF!,MATCH(O1836,#REF!,0)),"")</f>
        <v/>
      </c>
      <c r="P1836" s="27" t="str">
        <f>IFERROR(INDEX(#REF!,MATCH($O1836,#REF!,0)),"")</f>
        <v/>
      </c>
      <c r="Q1836" s="27" t="str">
        <f>IFERROR(INDEX(#REF!,MATCH($O1836,#REF!,0)),"")</f>
        <v/>
      </c>
      <c r="R1836" s="52" t="str">
        <f>IFERROR(IF(AR1837=AR1836,INDEX(#REF!,MATCH($O1836,#REF!,0))-IF(AN1836="",0,AN1836)+AP1837,INDEX(#REF!,MATCH($O1836,#REF!,0))-IF(AN1836="",0,AN1836)),"")</f>
        <v/>
      </c>
      <c r="S1836" s="53" t="str">
        <f t="shared" si="896"/>
        <v/>
      </c>
      <c r="T1836" s="52" t="str">
        <f t="shared" si="897"/>
        <v/>
      </c>
      <c r="U1836" s="52" t="str">
        <f>IFERROR(IF(AR1837=AR1836,INDEX(#REF!,MATCH($O1836,#REF!,0))-IF(AN1836="",0,AN1836)+AP1837,INDEX(#REF!,MATCH($O1836,#REF!,0))-IF(AN1836="",0,AN1836)),"")</f>
        <v/>
      </c>
      <c r="V1836" s="53" t="str">
        <f t="shared" si="898"/>
        <v/>
      </c>
      <c r="W1836" s="52" t="str">
        <f t="shared" si="899"/>
        <v/>
      </c>
      <c r="X1836" s="52" t="str">
        <f>IFERROR(IF(AND(AR1837=AR1836,AM1836&lt;&gt;""),INDEX(#REF!,MATCH($O1836,#REF!,0))-IF(AN1836="",0,AN1836)+AP1837+AD1836+AL1836,IF(AR1837=AR1836,INDEX(#REF!,MATCH($O1836,#REF!,0))-IF(AN1836="",0,AN1836)+AP1837+AD1836,IF(AM1836&lt;&gt;"",INDEX(#REF!,MATCH($O1836,#REF!,0))-IF(AN1836="",0,AN1836)+AD1836+AL1836,INDEX(#REF!,MATCH($O1836,#REF!,0))-IF(AN1836="",0,AN1836)+AD1836))),"")</f>
        <v/>
      </c>
      <c r="Y1836" s="53" t="str">
        <f t="shared" si="900"/>
        <v/>
      </c>
      <c r="Z1836" s="52" t="str">
        <f>IF(L1836="","",INDEX(#REF!,MATCH($O1836,#REF!,0)))</f>
        <v/>
      </c>
      <c r="AA1836" s="52" t="str">
        <f t="shared" si="901"/>
        <v/>
      </c>
      <c r="AB1836" s="52" t="str">
        <f>IFERROR(INDEX(#REF!,MATCH($O1836,#REF!,0)),"")</f>
        <v/>
      </c>
      <c r="AC1836" s="52" t="str">
        <f>IFERROR(IF(O1836="","",SUMIFS('CPL Mats'!F:F,'CPL Mats'!Q:Q,AR1836,'CPL Mats'!S:S,AS1836)),"")</f>
        <v/>
      </c>
      <c r="AF1836" s="25" t="e">
        <f>IF(SUMIFS(#REF!,#REF!,"Releasable",#REF!,O1836)=0,"",SUMIFS(#REF!,#REF!,"Releasable",#REF!,O1836))</f>
        <v>#REF!</v>
      </c>
      <c r="AG1836" s="25" t="str">
        <f>IFERROR(INDEX(#REF!,MATCH(O1836,#REF!,0)),"")</f>
        <v/>
      </c>
      <c r="AH1836" s="25" t="str">
        <f>IFERROR(INDEX(#REF!,MATCH($O1836,#REF!,0)),"")</f>
        <v/>
      </c>
      <c r="AI1836" s="25" t="e">
        <f>IF(SUMIFS(#REF!,#REF!,"Expires this month",#REF!,O1836)=0,"",SUMIFS(#REF!,#REF!,"Expires this month",#REF!,O1836))</f>
        <v>#REF!</v>
      </c>
      <c r="AJ1836" s="25" t="e">
        <f>IF(SUMIFS(#REF!,#REF!,"Expired Previous Months",#REF!,O1836)=0,"",SUMIFS(#REF!,#REF!,"Expired Previous Months",#REF!,O1836))</f>
        <v>#REF!</v>
      </c>
      <c r="AK1836" s="25" t="str">
        <f>IFERROR(INDEX('Hun Release Current'!B:B,MATCH(O1836,'Hun Release Current'!A:A,0)),"")</f>
        <v/>
      </c>
      <c r="AL1836" s="25" t="str">
        <f>IF(SUMIF('Prev Aub'!A:A,O1836,'Prev Aub'!B:B)=0,"",SUMIF('Prev Aub'!A:A,O1836,'Prev Aub'!B:B))</f>
        <v/>
      </c>
      <c r="AN1836" s="25" t="s">
        <v>3790</v>
      </c>
      <c r="AO1836" s="25" t="s">
        <v>3790</v>
      </c>
      <c r="AP1836" s="25" t="str">
        <f t="shared" si="923"/>
        <v/>
      </c>
      <c r="AQ1836" s="151" t="e">
        <f>IF(SUMIFS(#REF!,#REF!,O1836,#REF!,"PENDING")=0,"",SUMIFS(#REF!,#REF!,O1836,#REF!,"PENDING"))</f>
        <v>#REF!</v>
      </c>
      <c r="AR1836" s="27" t="str">
        <f t="shared" si="902"/>
        <v/>
      </c>
      <c r="AS1836" s="27" t="str">
        <f t="shared" si="903"/>
        <v/>
      </c>
      <c r="AT1836" s="27" t="str">
        <f t="shared" si="904"/>
        <v/>
      </c>
      <c r="AU1836" s="27" t="str">
        <f t="shared" si="905"/>
        <v/>
      </c>
      <c r="AV1836" s="27" t="str">
        <f t="shared" si="906"/>
        <v/>
      </c>
      <c r="AW1836" s="27" t="e">
        <f t="shared" si="907"/>
        <v>#REF!</v>
      </c>
      <c r="AX1836" s="27" t="e">
        <f t="shared" si="908"/>
        <v>#REF!</v>
      </c>
      <c r="AY1836" s="27" t="str">
        <f t="shared" si="909"/>
        <v/>
      </c>
      <c r="AZ1836" s="27" t="str">
        <f t="shared" si="910"/>
        <v/>
      </c>
      <c r="BA1836" s="27" t="str">
        <f t="shared" si="911"/>
        <v/>
      </c>
      <c r="BB1836" s="27" t="str">
        <f t="shared" si="912"/>
        <v/>
      </c>
      <c r="BC1836" s="27" t="str">
        <f t="shared" si="913"/>
        <v/>
      </c>
      <c r="BD1836" s="27" t="str">
        <f t="shared" si="914"/>
        <v/>
      </c>
      <c r="BE1836" s="27" t="str">
        <f t="shared" si="915"/>
        <v/>
      </c>
      <c r="BF1836" s="27" t="str">
        <f t="shared" si="916"/>
        <v/>
      </c>
      <c r="BG1836" s="27" t="str">
        <f t="shared" si="917"/>
        <v/>
      </c>
      <c r="BH1836" s="27" t="str">
        <f t="shared" si="918"/>
        <v/>
      </c>
      <c r="BI1836" s="27" t="str">
        <f t="shared" si="919"/>
        <v/>
      </c>
      <c r="BJ1836" s="27" t="str">
        <f t="shared" si="920"/>
        <v/>
      </c>
      <c r="BK1836" s="27" t="str">
        <f t="shared" si="921"/>
        <v/>
      </c>
      <c r="BL1836" s="27" t="str">
        <f t="shared" si="922"/>
        <v/>
      </c>
      <c r="BM1836" s="21" t="s">
        <v>3790</v>
      </c>
    </row>
    <row r="1837" spans="1:65" ht="15">
      <c r="A1837" s="25" t="str">
        <f>IFERROR(INDEX(#REF!,MATCH(O1837,#REF!,0)),"")</f>
        <v/>
      </c>
      <c r="B1837" s="25" t="str">
        <f>IFERROR(INDEX(#REF!,MATCH(O1837,#REF!,0)),"")</f>
        <v/>
      </c>
      <c r="C1837" s="25" t="str">
        <f>IFERROR(INDEX(#REF!,MATCH(O1837,#REF!,0)),"")</f>
        <v/>
      </c>
      <c r="D1837" s="25" t="str">
        <f>IFERROR(INDEX(#REF!,MATCH(O1837,#REF!,0)),"")</f>
        <v/>
      </c>
      <c r="E1837" s="25" t="str">
        <f>IFERROR(INDEX(#REF!,MATCH(O1837,#REF!,0)),"")</f>
        <v/>
      </c>
      <c r="F1837" s="25" t="str">
        <f>IFERROR(INDEX(#REF!,MATCH(O1837,#REF!,0)),"")</f>
        <v/>
      </c>
      <c r="G1837" s="25" t="str">
        <f>IFERROR(INDEX(#REF!,MATCH(O1837,#REF!,0)),"")</f>
        <v/>
      </c>
      <c r="H1837" s="25" t="str">
        <f>IFERROR(INDEX(#REF!,MATCH(O1837,#REF!,0)),"")</f>
        <v/>
      </c>
      <c r="I1837" s="25" t="str">
        <f>IFERROR(INDEX(#REF!,MATCH(O1837,#REF!,0)),"")</f>
        <v/>
      </c>
      <c r="J1837" s="25" t="str">
        <f>IFERROR(INDEX(#REF!,MATCH(O1837,#REF!,0)),"")</f>
        <v/>
      </c>
      <c r="K1837" s="25" t="str">
        <f>IFERROR(INDEX(#REF!,MATCH(O1837,#REF!,0)),"")</f>
        <v/>
      </c>
      <c r="L1837" s="25" t="str">
        <f>IFERROR(INDEX(#REF!,MATCH(O1837,#REF!,0)),"")</f>
        <v/>
      </c>
      <c r="P1837" s="27" t="str">
        <f>IFERROR(INDEX(#REF!,MATCH($O1837,#REF!,0)),"")</f>
        <v/>
      </c>
      <c r="Q1837" s="27" t="str">
        <f>IFERROR(INDEX(#REF!,MATCH($O1837,#REF!,0)),"")</f>
        <v/>
      </c>
      <c r="R1837" s="52" t="str">
        <f>IFERROR(IF(AR1838=AR1837,INDEX(#REF!,MATCH($O1837,#REF!,0))-IF(AN1837="",0,AN1837)+AP1838,INDEX(#REF!,MATCH($O1837,#REF!,0))-IF(AN1837="",0,AN1837)),"")</f>
        <v/>
      </c>
      <c r="S1837" s="53" t="str">
        <f t="shared" si="896"/>
        <v/>
      </c>
      <c r="T1837" s="52" t="str">
        <f t="shared" si="897"/>
        <v/>
      </c>
      <c r="U1837" s="52" t="str">
        <f>IFERROR(IF(AR1838=AR1837,INDEX(#REF!,MATCH($O1837,#REF!,0))-IF(AN1837="",0,AN1837)+AP1838,INDEX(#REF!,MATCH($O1837,#REF!,0))-IF(AN1837="",0,AN1837)),"")</f>
        <v/>
      </c>
      <c r="V1837" s="53" t="str">
        <f t="shared" si="898"/>
        <v/>
      </c>
      <c r="W1837" s="52" t="str">
        <f t="shared" si="899"/>
        <v/>
      </c>
      <c r="X1837" s="52" t="str">
        <f>IFERROR(IF(AND(AR1838=AR1837,AM1837&lt;&gt;""),INDEX(#REF!,MATCH($O1837,#REF!,0))-IF(AN1837="",0,AN1837)+AP1838+AD1837+AL1837,IF(AR1838=AR1837,INDEX(#REF!,MATCH($O1837,#REF!,0))-IF(AN1837="",0,AN1837)+AP1838+AD1837,IF(AM1837&lt;&gt;"",INDEX(#REF!,MATCH($O1837,#REF!,0))-IF(AN1837="",0,AN1837)+AD1837+AL1837,INDEX(#REF!,MATCH($O1837,#REF!,0))-IF(AN1837="",0,AN1837)+AD1837))),"")</f>
        <v/>
      </c>
      <c r="Y1837" s="53" t="str">
        <f t="shared" si="900"/>
        <v/>
      </c>
      <c r="Z1837" s="52" t="str">
        <f>IF(L1837="","",INDEX(#REF!,MATCH($O1837,#REF!,0)))</f>
        <v/>
      </c>
      <c r="AA1837" s="52" t="str">
        <f t="shared" si="901"/>
        <v/>
      </c>
      <c r="AB1837" s="52" t="str">
        <f>IFERROR(INDEX(#REF!,MATCH($O1837,#REF!,0)),"")</f>
        <v/>
      </c>
      <c r="AC1837" s="52" t="str">
        <f>IFERROR(IF(O1837="","",SUMIFS('CPL Mats'!F:F,'CPL Mats'!Q:Q,AR1837,'CPL Mats'!S:S,AS1837)),"")</f>
        <v/>
      </c>
      <c r="AF1837" s="25" t="e">
        <f>IF(SUMIFS(#REF!,#REF!,"Releasable",#REF!,O1837)=0,"",SUMIFS(#REF!,#REF!,"Releasable",#REF!,O1837))</f>
        <v>#REF!</v>
      </c>
      <c r="AG1837" s="25" t="str">
        <f>IFERROR(INDEX(#REF!,MATCH(O1837,#REF!,0)),"")</f>
        <v/>
      </c>
      <c r="AH1837" s="25" t="str">
        <f>IFERROR(INDEX(#REF!,MATCH($O1837,#REF!,0)),"")</f>
        <v/>
      </c>
      <c r="AI1837" s="25" t="e">
        <f>IF(SUMIFS(#REF!,#REF!,"Expires this month",#REF!,O1837)=0,"",SUMIFS(#REF!,#REF!,"Expires this month",#REF!,O1837))</f>
        <v>#REF!</v>
      </c>
      <c r="AJ1837" s="25" t="e">
        <f>IF(SUMIFS(#REF!,#REF!,"Expired Previous Months",#REF!,O1837)=0,"",SUMIFS(#REF!,#REF!,"Expired Previous Months",#REF!,O1837))</f>
        <v>#REF!</v>
      </c>
      <c r="AK1837" s="25" t="str">
        <f>IFERROR(INDEX('Hun Release Current'!B:B,MATCH(O1837,'Hun Release Current'!A:A,0)),"")</f>
        <v/>
      </c>
      <c r="AL1837" s="25" t="str">
        <f>IF(SUMIF('Prev Aub'!A:A,O1837,'Prev Aub'!B:B)=0,"",SUMIF('Prev Aub'!A:A,O1837,'Prev Aub'!B:B))</f>
        <v/>
      </c>
      <c r="AN1837" s="25" t="s">
        <v>3790</v>
      </c>
      <c r="AO1837" s="25" t="s">
        <v>3790</v>
      </c>
      <c r="AP1837" s="25" t="str">
        <f t="shared" si="923"/>
        <v/>
      </c>
      <c r="AQ1837" s="151" t="e">
        <f>IF(SUMIFS(#REF!,#REF!,O1837,#REF!,"PENDING")=0,"",SUMIFS(#REF!,#REF!,O1837,#REF!,"PENDING"))</f>
        <v>#REF!</v>
      </c>
      <c r="AR1837" s="27" t="str">
        <f t="shared" si="902"/>
        <v/>
      </c>
      <c r="AS1837" s="27" t="str">
        <f t="shared" si="903"/>
        <v/>
      </c>
      <c r="AT1837" s="27" t="str">
        <f t="shared" si="904"/>
        <v/>
      </c>
      <c r="AU1837" s="27" t="str">
        <f t="shared" si="905"/>
        <v/>
      </c>
      <c r="AV1837" s="27" t="str">
        <f t="shared" si="906"/>
        <v/>
      </c>
      <c r="AW1837" s="27" t="e">
        <f t="shared" si="907"/>
        <v>#REF!</v>
      </c>
      <c r="AX1837" s="27" t="e">
        <f t="shared" si="908"/>
        <v>#REF!</v>
      </c>
      <c r="AY1837" s="27" t="str">
        <f t="shared" si="909"/>
        <v/>
      </c>
      <c r="AZ1837" s="27" t="str">
        <f t="shared" si="910"/>
        <v/>
      </c>
      <c r="BA1837" s="27" t="str">
        <f t="shared" si="911"/>
        <v/>
      </c>
      <c r="BB1837" s="27" t="str">
        <f t="shared" si="912"/>
        <v/>
      </c>
      <c r="BC1837" s="27" t="str">
        <f t="shared" si="913"/>
        <v/>
      </c>
      <c r="BD1837" s="27" t="str">
        <f t="shared" si="914"/>
        <v/>
      </c>
      <c r="BE1837" s="27" t="str">
        <f t="shared" si="915"/>
        <v/>
      </c>
      <c r="BF1837" s="27" t="str">
        <f t="shared" si="916"/>
        <v/>
      </c>
      <c r="BG1837" s="27" t="str">
        <f t="shared" si="917"/>
        <v/>
      </c>
      <c r="BH1837" s="27" t="str">
        <f t="shared" si="918"/>
        <v/>
      </c>
      <c r="BI1837" s="27" t="str">
        <f t="shared" si="919"/>
        <v/>
      </c>
      <c r="BJ1837" s="27" t="str">
        <f t="shared" si="920"/>
        <v/>
      </c>
      <c r="BK1837" s="27" t="str">
        <f t="shared" si="921"/>
        <v/>
      </c>
      <c r="BL1837" s="27" t="str">
        <f t="shared" si="922"/>
        <v/>
      </c>
      <c r="BM1837" s="21" t="s">
        <v>3790</v>
      </c>
    </row>
    <row r="1838" spans="1:65" ht="15">
      <c r="A1838" s="25" t="str">
        <f>IFERROR(INDEX(#REF!,MATCH(O1838,#REF!,0)),"")</f>
        <v/>
      </c>
      <c r="B1838" s="25" t="str">
        <f>IFERROR(INDEX(#REF!,MATCH(O1838,#REF!,0)),"")</f>
        <v/>
      </c>
      <c r="C1838" s="25" t="str">
        <f>IFERROR(INDEX(#REF!,MATCH(O1838,#REF!,0)),"")</f>
        <v/>
      </c>
      <c r="D1838" s="25" t="str">
        <f>IFERROR(INDEX(#REF!,MATCH(O1838,#REF!,0)),"")</f>
        <v/>
      </c>
      <c r="E1838" s="25" t="str">
        <f>IFERROR(INDEX(#REF!,MATCH(O1838,#REF!,0)),"")</f>
        <v/>
      </c>
      <c r="F1838" s="25" t="str">
        <f>IFERROR(INDEX(#REF!,MATCH(O1838,#REF!,0)),"")</f>
        <v/>
      </c>
      <c r="G1838" s="25" t="str">
        <f>IFERROR(INDEX(#REF!,MATCH(O1838,#REF!,0)),"")</f>
        <v/>
      </c>
      <c r="H1838" s="25" t="str">
        <f>IFERROR(INDEX(#REF!,MATCH(O1838,#REF!,0)),"")</f>
        <v/>
      </c>
      <c r="I1838" s="25" t="str">
        <f>IFERROR(INDEX(#REF!,MATCH(O1838,#REF!,0)),"")</f>
        <v/>
      </c>
      <c r="J1838" s="25" t="str">
        <f>IFERROR(INDEX(#REF!,MATCH(O1838,#REF!,0)),"")</f>
        <v/>
      </c>
      <c r="K1838" s="25" t="str">
        <f>IFERROR(INDEX(#REF!,MATCH(O1838,#REF!,0)),"")</f>
        <v/>
      </c>
      <c r="L1838" s="25" t="str">
        <f>IFERROR(INDEX(#REF!,MATCH(O1838,#REF!,0)),"")</f>
        <v/>
      </c>
      <c r="P1838" s="27" t="str">
        <f>IFERROR(INDEX(#REF!,MATCH($O1838,#REF!,0)),"")</f>
        <v/>
      </c>
      <c r="Q1838" s="27" t="str">
        <f>IFERROR(INDEX(#REF!,MATCH($O1838,#REF!,0)),"")</f>
        <v/>
      </c>
      <c r="R1838" s="52" t="str">
        <f>IFERROR(IF(AR1839=AR1838,INDEX(#REF!,MATCH($O1838,#REF!,0))-IF(AN1838="",0,AN1838)+AP1839,INDEX(#REF!,MATCH($O1838,#REF!,0))-IF(AN1838="",0,AN1838)),"")</f>
        <v/>
      </c>
      <c r="S1838" s="53" t="str">
        <f t="shared" si="896"/>
        <v/>
      </c>
      <c r="T1838" s="52" t="str">
        <f t="shared" si="897"/>
        <v/>
      </c>
      <c r="U1838" s="52" t="str">
        <f>IFERROR(IF(AR1839=AR1838,INDEX(#REF!,MATCH($O1838,#REF!,0))-IF(AN1838="",0,AN1838)+AP1839,INDEX(#REF!,MATCH($O1838,#REF!,0))-IF(AN1838="",0,AN1838)),"")</f>
        <v/>
      </c>
      <c r="V1838" s="53" t="str">
        <f t="shared" si="898"/>
        <v/>
      </c>
      <c r="W1838" s="52" t="str">
        <f t="shared" si="899"/>
        <v/>
      </c>
      <c r="X1838" s="52" t="str">
        <f>IFERROR(IF(AND(AR1839=AR1838,AM1838&lt;&gt;""),INDEX(#REF!,MATCH($O1838,#REF!,0))-IF(AN1838="",0,AN1838)+AP1839+AD1838+AL1838,IF(AR1839=AR1838,INDEX(#REF!,MATCH($O1838,#REF!,0))-IF(AN1838="",0,AN1838)+AP1839+AD1838,IF(AM1838&lt;&gt;"",INDEX(#REF!,MATCH($O1838,#REF!,0))-IF(AN1838="",0,AN1838)+AD1838+AL1838,INDEX(#REF!,MATCH($O1838,#REF!,0))-IF(AN1838="",0,AN1838)+AD1838))),"")</f>
        <v/>
      </c>
      <c r="Y1838" s="53" t="str">
        <f t="shared" si="900"/>
        <v/>
      </c>
      <c r="Z1838" s="52" t="str">
        <f>IF(L1838="","",INDEX(#REF!,MATCH($O1838,#REF!,0)))</f>
        <v/>
      </c>
      <c r="AA1838" s="52" t="str">
        <f t="shared" si="901"/>
        <v/>
      </c>
      <c r="AB1838" s="52" t="str">
        <f>IFERROR(INDEX(#REF!,MATCH($O1838,#REF!,0)),"")</f>
        <v/>
      </c>
      <c r="AC1838" s="52" t="str">
        <f>IFERROR(IF(O1838="","",SUMIFS('CPL Mats'!F:F,'CPL Mats'!Q:Q,AR1838,'CPL Mats'!S:S,AS1838)),"")</f>
        <v/>
      </c>
      <c r="AF1838" s="25" t="e">
        <f>IF(SUMIFS(#REF!,#REF!,"Releasable",#REF!,O1838)=0,"",SUMIFS(#REF!,#REF!,"Releasable",#REF!,O1838))</f>
        <v>#REF!</v>
      </c>
      <c r="AG1838" s="25" t="str">
        <f>IFERROR(INDEX(#REF!,MATCH(O1838,#REF!,0)),"")</f>
        <v/>
      </c>
      <c r="AH1838" s="25" t="str">
        <f>IFERROR(INDEX(#REF!,MATCH($O1838,#REF!,0)),"")</f>
        <v/>
      </c>
      <c r="AI1838" s="25" t="e">
        <f>IF(SUMIFS(#REF!,#REF!,"Expires this month",#REF!,O1838)=0,"",SUMIFS(#REF!,#REF!,"Expires this month",#REF!,O1838))</f>
        <v>#REF!</v>
      </c>
      <c r="AJ1838" s="25" t="e">
        <f>IF(SUMIFS(#REF!,#REF!,"Expired Previous Months",#REF!,O1838)=0,"",SUMIFS(#REF!,#REF!,"Expired Previous Months",#REF!,O1838))</f>
        <v>#REF!</v>
      </c>
      <c r="AK1838" s="25" t="str">
        <f>IFERROR(INDEX('Hun Release Current'!B:B,MATCH(O1838,'Hun Release Current'!A:A,0)),"")</f>
        <v/>
      </c>
      <c r="AL1838" s="25" t="str">
        <f>IF(SUMIF('Prev Aub'!A:A,O1838,'Prev Aub'!B:B)=0,"",SUMIF('Prev Aub'!A:A,O1838,'Prev Aub'!B:B))</f>
        <v/>
      </c>
      <c r="AN1838" s="25" t="s">
        <v>3790</v>
      </c>
      <c r="AO1838" s="25" t="s">
        <v>3790</v>
      </c>
      <c r="AP1838" s="25" t="str">
        <f t="shared" si="923"/>
        <v/>
      </c>
      <c r="AQ1838" s="151" t="e">
        <f>IF(SUMIFS(#REF!,#REF!,O1838,#REF!,"PENDING")=0,"",SUMIFS(#REF!,#REF!,O1838,#REF!,"PENDING"))</f>
        <v>#REF!</v>
      </c>
      <c r="AR1838" s="27" t="str">
        <f t="shared" si="902"/>
        <v/>
      </c>
      <c r="AS1838" s="27" t="str">
        <f t="shared" si="903"/>
        <v/>
      </c>
      <c r="AT1838" s="27" t="str">
        <f t="shared" si="904"/>
        <v/>
      </c>
      <c r="AU1838" s="27" t="str">
        <f t="shared" si="905"/>
        <v/>
      </c>
      <c r="AV1838" s="27" t="str">
        <f t="shared" si="906"/>
        <v/>
      </c>
      <c r="AW1838" s="27" t="e">
        <f t="shared" si="907"/>
        <v>#REF!</v>
      </c>
      <c r="AX1838" s="27" t="e">
        <f t="shared" si="908"/>
        <v>#REF!</v>
      </c>
      <c r="AY1838" s="27" t="str">
        <f t="shared" si="909"/>
        <v/>
      </c>
      <c r="AZ1838" s="27" t="str">
        <f t="shared" si="910"/>
        <v/>
      </c>
      <c r="BA1838" s="27" t="str">
        <f t="shared" si="911"/>
        <v/>
      </c>
      <c r="BB1838" s="27" t="str">
        <f t="shared" si="912"/>
        <v/>
      </c>
      <c r="BC1838" s="27" t="str">
        <f t="shared" si="913"/>
        <v/>
      </c>
      <c r="BD1838" s="27" t="str">
        <f t="shared" si="914"/>
        <v/>
      </c>
      <c r="BE1838" s="27" t="str">
        <f t="shared" si="915"/>
        <v/>
      </c>
      <c r="BF1838" s="27" t="str">
        <f t="shared" si="916"/>
        <v/>
      </c>
      <c r="BG1838" s="27" t="str">
        <f t="shared" si="917"/>
        <v/>
      </c>
      <c r="BH1838" s="27" t="str">
        <f t="shared" si="918"/>
        <v/>
      </c>
      <c r="BI1838" s="27" t="str">
        <f t="shared" si="919"/>
        <v/>
      </c>
      <c r="BJ1838" s="27" t="str">
        <f t="shared" si="920"/>
        <v/>
      </c>
      <c r="BK1838" s="27" t="str">
        <f t="shared" si="921"/>
        <v/>
      </c>
      <c r="BL1838" s="27" t="str">
        <f t="shared" si="922"/>
        <v/>
      </c>
      <c r="BM1838" s="21" t="s">
        <v>3790</v>
      </c>
    </row>
    <row r="1839" spans="1:65" ht="15">
      <c r="A1839" s="25" t="str">
        <f>IFERROR(INDEX(#REF!,MATCH(O1839,#REF!,0)),"")</f>
        <v/>
      </c>
      <c r="B1839" s="25" t="str">
        <f>IFERROR(INDEX(#REF!,MATCH(O1839,#REF!,0)),"")</f>
        <v/>
      </c>
      <c r="C1839" s="25" t="str">
        <f>IFERROR(INDEX(#REF!,MATCH(O1839,#REF!,0)),"")</f>
        <v/>
      </c>
      <c r="D1839" s="25" t="str">
        <f>IFERROR(INDEX(#REF!,MATCH(O1839,#REF!,0)),"")</f>
        <v/>
      </c>
      <c r="E1839" s="25" t="str">
        <f>IFERROR(INDEX(#REF!,MATCH(O1839,#REF!,0)),"")</f>
        <v/>
      </c>
      <c r="F1839" s="25" t="str">
        <f>IFERROR(INDEX(#REF!,MATCH(O1839,#REF!,0)),"")</f>
        <v/>
      </c>
      <c r="G1839" s="25" t="str">
        <f>IFERROR(INDEX(#REF!,MATCH(O1839,#REF!,0)),"")</f>
        <v/>
      </c>
      <c r="H1839" s="25" t="str">
        <f>IFERROR(INDEX(#REF!,MATCH(O1839,#REF!,0)),"")</f>
        <v/>
      </c>
      <c r="I1839" s="25" t="str">
        <f>IFERROR(INDEX(#REF!,MATCH(O1839,#REF!,0)),"")</f>
        <v/>
      </c>
      <c r="J1839" s="25" t="str">
        <f>IFERROR(INDEX(#REF!,MATCH(O1839,#REF!,0)),"")</f>
        <v/>
      </c>
      <c r="K1839" s="25" t="str">
        <f>IFERROR(INDEX(#REF!,MATCH(O1839,#REF!,0)),"")</f>
        <v/>
      </c>
      <c r="L1839" s="25" t="str">
        <f>IFERROR(INDEX(#REF!,MATCH(O1839,#REF!,0)),"")</f>
        <v/>
      </c>
      <c r="P1839" s="27" t="str">
        <f>IFERROR(INDEX(#REF!,MATCH($O1839,#REF!,0)),"")</f>
        <v/>
      </c>
      <c r="Q1839" s="27" t="str">
        <f>IFERROR(INDEX(#REF!,MATCH($O1839,#REF!,0)),"")</f>
        <v/>
      </c>
      <c r="R1839" s="52" t="str">
        <f>IFERROR(IF(AR1840=AR1839,INDEX(#REF!,MATCH($O1839,#REF!,0))-IF(AN1839="",0,AN1839)+AP1840,INDEX(#REF!,MATCH($O1839,#REF!,0))-IF(AN1839="",0,AN1839)),"")</f>
        <v/>
      </c>
      <c r="S1839" s="53" t="str">
        <f t="shared" si="896"/>
        <v/>
      </c>
      <c r="T1839" s="52" t="str">
        <f t="shared" si="897"/>
        <v/>
      </c>
      <c r="U1839" s="52" t="str">
        <f>IFERROR(IF(AR1840=AR1839,INDEX(#REF!,MATCH($O1839,#REF!,0))-IF(AN1839="",0,AN1839)+AP1840,INDEX(#REF!,MATCH($O1839,#REF!,0))-IF(AN1839="",0,AN1839)),"")</f>
        <v/>
      </c>
      <c r="V1839" s="53" t="str">
        <f t="shared" si="898"/>
        <v/>
      </c>
      <c r="W1839" s="52" t="str">
        <f t="shared" si="899"/>
        <v/>
      </c>
      <c r="X1839" s="52" t="str">
        <f>IFERROR(IF(AND(AR1840=AR1839,AM1839&lt;&gt;""),INDEX(#REF!,MATCH($O1839,#REF!,0))-IF(AN1839="",0,AN1839)+AP1840+AD1839+AL1839,IF(AR1840=AR1839,INDEX(#REF!,MATCH($O1839,#REF!,0))-IF(AN1839="",0,AN1839)+AP1840+AD1839,IF(AM1839&lt;&gt;"",INDEX(#REF!,MATCH($O1839,#REF!,0))-IF(AN1839="",0,AN1839)+AD1839+AL1839,INDEX(#REF!,MATCH($O1839,#REF!,0))-IF(AN1839="",0,AN1839)+AD1839))),"")</f>
        <v/>
      </c>
      <c r="Y1839" s="53" t="str">
        <f t="shared" si="900"/>
        <v/>
      </c>
      <c r="Z1839" s="52" t="str">
        <f>IF(L1839="","",INDEX(#REF!,MATCH($O1839,#REF!,0)))</f>
        <v/>
      </c>
      <c r="AA1839" s="52" t="str">
        <f t="shared" si="901"/>
        <v/>
      </c>
      <c r="AB1839" s="52" t="str">
        <f>IFERROR(INDEX(#REF!,MATCH($O1839,#REF!,0)),"")</f>
        <v/>
      </c>
      <c r="AC1839" s="52" t="str">
        <f>IFERROR(IF(O1839="","",SUMIFS('CPL Mats'!F:F,'CPL Mats'!Q:Q,AR1839,'CPL Mats'!S:S,AS1839)),"")</f>
        <v/>
      </c>
      <c r="AF1839" s="25" t="e">
        <f>IF(SUMIFS(#REF!,#REF!,"Releasable",#REF!,O1839)=0,"",SUMIFS(#REF!,#REF!,"Releasable",#REF!,O1839))</f>
        <v>#REF!</v>
      </c>
      <c r="AG1839" s="25" t="str">
        <f>IFERROR(INDEX(#REF!,MATCH(O1839,#REF!,0)),"")</f>
        <v/>
      </c>
      <c r="AH1839" s="25" t="str">
        <f>IFERROR(INDEX(#REF!,MATCH($O1839,#REF!,0)),"")</f>
        <v/>
      </c>
      <c r="AI1839" s="25" t="e">
        <f>IF(SUMIFS(#REF!,#REF!,"Expires this month",#REF!,O1839)=0,"",SUMIFS(#REF!,#REF!,"Expires this month",#REF!,O1839))</f>
        <v>#REF!</v>
      </c>
      <c r="AJ1839" s="25" t="e">
        <f>IF(SUMIFS(#REF!,#REF!,"Expired Previous Months",#REF!,O1839)=0,"",SUMIFS(#REF!,#REF!,"Expired Previous Months",#REF!,O1839))</f>
        <v>#REF!</v>
      </c>
      <c r="AK1839" s="25" t="str">
        <f>IFERROR(INDEX('Hun Release Current'!B:B,MATCH(O1839,'Hun Release Current'!A:A,0)),"")</f>
        <v/>
      </c>
      <c r="AL1839" s="25" t="str">
        <f>IF(SUMIF('Prev Aub'!A:A,O1839,'Prev Aub'!B:B)=0,"",SUMIF('Prev Aub'!A:A,O1839,'Prev Aub'!B:B))</f>
        <v/>
      </c>
      <c r="AN1839" s="25" t="s">
        <v>3790</v>
      </c>
      <c r="AO1839" s="25" t="s">
        <v>3790</v>
      </c>
      <c r="AP1839" s="25" t="str">
        <f t="shared" si="923"/>
        <v/>
      </c>
      <c r="AQ1839" s="151" t="e">
        <f>IF(SUMIFS(#REF!,#REF!,O1839,#REF!,"PENDING")=0,"",SUMIFS(#REF!,#REF!,O1839,#REF!,"PENDING"))</f>
        <v>#REF!</v>
      </c>
      <c r="AR1839" s="27" t="str">
        <f t="shared" si="902"/>
        <v/>
      </c>
      <c r="AS1839" s="27" t="str">
        <f t="shared" si="903"/>
        <v/>
      </c>
      <c r="AT1839" s="27" t="str">
        <f t="shared" si="904"/>
        <v/>
      </c>
      <c r="AU1839" s="27" t="str">
        <f t="shared" si="905"/>
        <v/>
      </c>
      <c r="AV1839" s="27" t="str">
        <f t="shared" si="906"/>
        <v/>
      </c>
      <c r="AW1839" s="27" t="e">
        <f t="shared" si="907"/>
        <v>#REF!</v>
      </c>
      <c r="AX1839" s="27" t="e">
        <f t="shared" si="908"/>
        <v>#REF!</v>
      </c>
      <c r="AY1839" s="27" t="str">
        <f t="shared" si="909"/>
        <v/>
      </c>
      <c r="AZ1839" s="27" t="str">
        <f t="shared" si="910"/>
        <v/>
      </c>
      <c r="BA1839" s="27" t="str">
        <f t="shared" si="911"/>
        <v/>
      </c>
      <c r="BB1839" s="27" t="str">
        <f t="shared" si="912"/>
        <v/>
      </c>
      <c r="BC1839" s="27" t="str">
        <f t="shared" si="913"/>
        <v/>
      </c>
      <c r="BD1839" s="27" t="str">
        <f t="shared" si="914"/>
        <v/>
      </c>
      <c r="BE1839" s="27" t="str">
        <f t="shared" si="915"/>
        <v/>
      </c>
      <c r="BF1839" s="27" t="str">
        <f t="shared" si="916"/>
        <v/>
      </c>
      <c r="BG1839" s="27" t="str">
        <f t="shared" si="917"/>
        <v/>
      </c>
      <c r="BH1839" s="27" t="str">
        <f t="shared" si="918"/>
        <v/>
      </c>
      <c r="BI1839" s="27" t="str">
        <f t="shared" si="919"/>
        <v/>
      </c>
      <c r="BJ1839" s="27" t="str">
        <f t="shared" si="920"/>
        <v/>
      </c>
      <c r="BK1839" s="27" t="str">
        <f t="shared" si="921"/>
        <v/>
      </c>
      <c r="BL1839" s="27" t="str">
        <f t="shared" si="922"/>
        <v/>
      </c>
      <c r="BM1839" s="21" t="s">
        <v>3790</v>
      </c>
    </row>
    <row r="1840" spans="1:65" ht="15">
      <c r="A1840" s="25" t="str">
        <f>IFERROR(INDEX(#REF!,MATCH(O1840,#REF!,0)),"")</f>
        <v/>
      </c>
      <c r="B1840" s="25" t="str">
        <f>IFERROR(INDEX(#REF!,MATCH(O1840,#REF!,0)),"")</f>
        <v/>
      </c>
      <c r="C1840" s="25" t="str">
        <f>IFERROR(INDEX(#REF!,MATCH(O1840,#REF!,0)),"")</f>
        <v/>
      </c>
      <c r="D1840" s="25" t="str">
        <f>IFERROR(INDEX(#REF!,MATCH(O1840,#REF!,0)),"")</f>
        <v/>
      </c>
      <c r="E1840" s="25" t="str">
        <f>IFERROR(INDEX(#REF!,MATCH(O1840,#REF!,0)),"")</f>
        <v/>
      </c>
      <c r="F1840" s="25" t="str">
        <f>IFERROR(INDEX(#REF!,MATCH(O1840,#REF!,0)),"")</f>
        <v/>
      </c>
      <c r="G1840" s="25" t="str">
        <f>IFERROR(INDEX(#REF!,MATCH(O1840,#REF!,0)),"")</f>
        <v/>
      </c>
      <c r="H1840" s="25" t="str">
        <f>IFERROR(INDEX(#REF!,MATCH(O1840,#REF!,0)),"")</f>
        <v/>
      </c>
      <c r="I1840" s="25" t="str">
        <f>IFERROR(INDEX(#REF!,MATCH(O1840,#REF!,0)),"")</f>
        <v/>
      </c>
      <c r="J1840" s="25" t="str">
        <f>IFERROR(INDEX(#REF!,MATCH(O1840,#REF!,0)),"")</f>
        <v/>
      </c>
      <c r="K1840" s="25" t="str">
        <f>IFERROR(INDEX(#REF!,MATCH(O1840,#REF!,0)),"")</f>
        <v/>
      </c>
      <c r="L1840" s="25" t="str">
        <f>IFERROR(INDEX(#REF!,MATCH(O1840,#REF!,0)),"")</f>
        <v/>
      </c>
      <c r="P1840" s="27" t="str">
        <f>IFERROR(INDEX(#REF!,MATCH($O1840,#REF!,0)),"")</f>
        <v/>
      </c>
      <c r="Q1840" s="27" t="str">
        <f>IFERROR(INDEX(#REF!,MATCH($O1840,#REF!,0)),"")</f>
        <v/>
      </c>
      <c r="R1840" s="52" t="str">
        <f>IFERROR(IF(AR1841=AR1840,INDEX(#REF!,MATCH($O1840,#REF!,0))-IF(AN1840="",0,AN1840)+AP1841,INDEX(#REF!,MATCH($O1840,#REF!,0))-IF(AN1840="",0,AN1840)),"")</f>
        <v/>
      </c>
      <c r="S1840" s="53" t="str">
        <f t="shared" si="896"/>
        <v/>
      </c>
      <c r="T1840" s="52" t="str">
        <f t="shared" si="897"/>
        <v/>
      </c>
      <c r="U1840" s="52" t="str">
        <f>IFERROR(IF(AR1841=AR1840,INDEX(#REF!,MATCH($O1840,#REF!,0))-IF(AN1840="",0,AN1840)+AP1841,INDEX(#REF!,MATCH($O1840,#REF!,0))-IF(AN1840="",0,AN1840)),"")</f>
        <v/>
      </c>
      <c r="V1840" s="53" t="str">
        <f t="shared" si="898"/>
        <v/>
      </c>
      <c r="W1840" s="52" t="str">
        <f t="shared" si="899"/>
        <v/>
      </c>
      <c r="X1840" s="52" t="str">
        <f>IFERROR(IF(AND(AR1841=AR1840,AM1840&lt;&gt;""),INDEX(#REF!,MATCH($O1840,#REF!,0))-IF(AN1840="",0,AN1840)+AP1841+AD1840+AL1840,IF(AR1841=AR1840,INDEX(#REF!,MATCH($O1840,#REF!,0))-IF(AN1840="",0,AN1840)+AP1841+AD1840,IF(AM1840&lt;&gt;"",INDEX(#REF!,MATCH($O1840,#REF!,0))-IF(AN1840="",0,AN1840)+AD1840+AL1840,INDEX(#REF!,MATCH($O1840,#REF!,0))-IF(AN1840="",0,AN1840)+AD1840))),"")</f>
        <v/>
      </c>
      <c r="Y1840" s="53" t="str">
        <f t="shared" si="900"/>
        <v/>
      </c>
      <c r="Z1840" s="52" t="str">
        <f>IF(L1840="","",INDEX(#REF!,MATCH($O1840,#REF!,0)))</f>
        <v/>
      </c>
      <c r="AA1840" s="52" t="str">
        <f t="shared" si="901"/>
        <v/>
      </c>
      <c r="AB1840" s="52" t="str">
        <f>IFERROR(INDEX(#REF!,MATCH($O1840,#REF!,0)),"")</f>
        <v/>
      </c>
      <c r="AC1840" s="52" t="str">
        <f>IFERROR(IF(O1840="","",SUMIFS('CPL Mats'!F:F,'CPL Mats'!Q:Q,AR1840,'CPL Mats'!S:S,AS1840)),"")</f>
        <v/>
      </c>
      <c r="AF1840" s="25" t="e">
        <f>IF(SUMIFS(#REF!,#REF!,"Releasable",#REF!,O1840)=0,"",SUMIFS(#REF!,#REF!,"Releasable",#REF!,O1840))</f>
        <v>#REF!</v>
      </c>
      <c r="AG1840" s="25" t="str">
        <f>IFERROR(INDEX(#REF!,MATCH(O1840,#REF!,0)),"")</f>
        <v/>
      </c>
      <c r="AH1840" s="25" t="str">
        <f>IFERROR(INDEX(#REF!,MATCH($O1840,#REF!,0)),"")</f>
        <v/>
      </c>
      <c r="AI1840" s="25" t="e">
        <f>IF(SUMIFS(#REF!,#REF!,"Expires this month",#REF!,O1840)=0,"",SUMIFS(#REF!,#REF!,"Expires this month",#REF!,O1840))</f>
        <v>#REF!</v>
      </c>
      <c r="AJ1840" s="25" t="e">
        <f>IF(SUMIFS(#REF!,#REF!,"Expired Previous Months",#REF!,O1840)=0,"",SUMIFS(#REF!,#REF!,"Expired Previous Months",#REF!,O1840))</f>
        <v>#REF!</v>
      </c>
      <c r="AK1840" s="25" t="str">
        <f>IFERROR(INDEX('Hun Release Current'!B:B,MATCH(O1840,'Hun Release Current'!A:A,0)),"")</f>
        <v/>
      </c>
      <c r="AL1840" s="25" t="str">
        <f>IF(SUMIF('Prev Aub'!A:A,O1840,'Prev Aub'!B:B)=0,"",SUMIF('Prev Aub'!A:A,O1840,'Prev Aub'!B:B))</f>
        <v/>
      </c>
      <c r="AN1840" s="25" t="s">
        <v>3790</v>
      </c>
      <c r="AO1840" s="25" t="s">
        <v>3790</v>
      </c>
      <c r="AP1840" s="25" t="str">
        <f t="shared" si="923"/>
        <v/>
      </c>
      <c r="AQ1840" s="151" t="e">
        <f>IF(SUMIFS(#REF!,#REF!,O1840,#REF!,"PENDING")=0,"",SUMIFS(#REF!,#REF!,O1840,#REF!,"PENDING"))</f>
        <v>#REF!</v>
      </c>
      <c r="AR1840" s="27" t="str">
        <f t="shared" si="902"/>
        <v/>
      </c>
      <c r="AS1840" s="27" t="str">
        <f t="shared" si="903"/>
        <v/>
      </c>
      <c r="AT1840" s="27" t="str">
        <f t="shared" si="904"/>
        <v/>
      </c>
      <c r="AU1840" s="27" t="str">
        <f t="shared" si="905"/>
        <v/>
      </c>
      <c r="AV1840" s="27" t="str">
        <f t="shared" si="906"/>
        <v/>
      </c>
      <c r="AW1840" s="27" t="e">
        <f t="shared" si="907"/>
        <v>#REF!</v>
      </c>
      <c r="AX1840" s="27" t="e">
        <f t="shared" si="908"/>
        <v>#REF!</v>
      </c>
      <c r="AY1840" s="27" t="str">
        <f t="shared" si="909"/>
        <v/>
      </c>
      <c r="AZ1840" s="27" t="str">
        <f t="shared" si="910"/>
        <v/>
      </c>
      <c r="BA1840" s="27" t="str">
        <f t="shared" si="911"/>
        <v/>
      </c>
      <c r="BB1840" s="27" t="str">
        <f t="shared" si="912"/>
        <v/>
      </c>
      <c r="BC1840" s="27" t="str">
        <f t="shared" si="913"/>
        <v/>
      </c>
      <c r="BD1840" s="27" t="str">
        <f t="shared" si="914"/>
        <v/>
      </c>
      <c r="BE1840" s="27" t="str">
        <f t="shared" si="915"/>
        <v/>
      </c>
      <c r="BF1840" s="27" t="str">
        <f t="shared" si="916"/>
        <v/>
      </c>
      <c r="BG1840" s="27" t="str">
        <f t="shared" si="917"/>
        <v/>
      </c>
      <c r="BH1840" s="27" t="str">
        <f t="shared" si="918"/>
        <v/>
      </c>
      <c r="BI1840" s="27" t="str">
        <f t="shared" si="919"/>
        <v/>
      </c>
      <c r="BJ1840" s="27" t="str">
        <f t="shared" si="920"/>
        <v/>
      </c>
      <c r="BK1840" s="27" t="str">
        <f t="shared" si="921"/>
        <v/>
      </c>
      <c r="BL1840" s="27" t="str">
        <f t="shared" si="922"/>
        <v/>
      </c>
      <c r="BM1840" s="21" t="s">
        <v>3790</v>
      </c>
    </row>
    <row r="1841" spans="1:65" ht="15">
      <c r="A1841" s="25" t="str">
        <f>IFERROR(INDEX(#REF!,MATCH(O1841,#REF!,0)),"")</f>
        <v/>
      </c>
      <c r="B1841" s="25" t="str">
        <f>IFERROR(INDEX(#REF!,MATCH(O1841,#REF!,0)),"")</f>
        <v/>
      </c>
      <c r="C1841" s="25" t="str">
        <f>IFERROR(INDEX(#REF!,MATCH(O1841,#REF!,0)),"")</f>
        <v/>
      </c>
      <c r="D1841" s="25" t="str">
        <f>IFERROR(INDEX(#REF!,MATCH(O1841,#REF!,0)),"")</f>
        <v/>
      </c>
      <c r="E1841" s="25" t="str">
        <f>IFERROR(INDEX(#REF!,MATCH(O1841,#REF!,0)),"")</f>
        <v/>
      </c>
      <c r="F1841" s="25" t="str">
        <f>IFERROR(INDEX(#REF!,MATCH(O1841,#REF!,0)),"")</f>
        <v/>
      </c>
      <c r="G1841" s="25" t="str">
        <f>IFERROR(INDEX(#REF!,MATCH(O1841,#REF!,0)),"")</f>
        <v/>
      </c>
      <c r="H1841" s="25" t="str">
        <f>IFERROR(INDEX(#REF!,MATCH(O1841,#REF!,0)),"")</f>
        <v/>
      </c>
      <c r="I1841" s="25" t="str">
        <f>IFERROR(INDEX(#REF!,MATCH(O1841,#REF!,0)),"")</f>
        <v/>
      </c>
      <c r="J1841" s="25" t="str">
        <f>IFERROR(INDEX(#REF!,MATCH(O1841,#REF!,0)),"")</f>
        <v/>
      </c>
      <c r="K1841" s="25" t="str">
        <f>IFERROR(INDEX(#REF!,MATCH(O1841,#REF!,0)),"")</f>
        <v/>
      </c>
      <c r="L1841" s="25" t="str">
        <f>IFERROR(INDEX(#REF!,MATCH(O1841,#REF!,0)),"")</f>
        <v/>
      </c>
      <c r="P1841" s="27" t="str">
        <f>IFERROR(INDEX(#REF!,MATCH($O1841,#REF!,0)),"")</f>
        <v/>
      </c>
      <c r="Q1841" s="27" t="str">
        <f>IFERROR(INDEX(#REF!,MATCH($O1841,#REF!,0)),"")</f>
        <v/>
      </c>
      <c r="R1841" s="52" t="str">
        <f>IFERROR(IF(AR1842=AR1841,INDEX(#REF!,MATCH($O1841,#REF!,0))-IF(AN1841="",0,AN1841)+AP1842,INDEX(#REF!,MATCH($O1841,#REF!,0))-IF(AN1841="",0,AN1841)),"")</f>
        <v/>
      </c>
      <c r="S1841" s="53" t="str">
        <f t="shared" si="896"/>
        <v/>
      </c>
      <c r="T1841" s="52" t="str">
        <f t="shared" si="897"/>
        <v/>
      </c>
      <c r="U1841" s="52" t="str">
        <f>IFERROR(IF(AR1842=AR1841,INDEX(#REF!,MATCH($O1841,#REF!,0))-IF(AN1841="",0,AN1841)+AP1842,INDEX(#REF!,MATCH($O1841,#REF!,0))-IF(AN1841="",0,AN1841)),"")</f>
        <v/>
      </c>
      <c r="V1841" s="53" t="str">
        <f t="shared" si="898"/>
        <v/>
      </c>
      <c r="W1841" s="52" t="str">
        <f t="shared" si="899"/>
        <v/>
      </c>
      <c r="X1841" s="52" t="str">
        <f>IFERROR(IF(AND(AR1842=AR1841,AM1841&lt;&gt;""),INDEX(#REF!,MATCH($O1841,#REF!,0))-IF(AN1841="",0,AN1841)+AP1842+AD1841+AL1841,IF(AR1842=AR1841,INDEX(#REF!,MATCH($O1841,#REF!,0))-IF(AN1841="",0,AN1841)+AP1842+AD1841,IF(AM1841&lt;&gt;"",INDEX(#REF!,MATCH($O1841,#REF!,0))-IF(AN1841="",0,AN1841)+AD1841+AL1841,INDEX(#REF!,MATCH($O1841,#REF!,0))-IF(AN1841="",0,AN1841)+AD1841))),"")</f>
        <v/>
      </c>
      <c r="Y1841" s="53" t="str">
        <f t="shared" si="900"/>
        <v/>
      </c>
      <c r="Z1841" s="52" t="str">
        <f>IF(L1841="","",INDEX(#REF!,MATCH($O1841,#REF!,0)))</f>
        <v/>
      </c>
      <c r="AA1841" s="52" t="str">
        <f t="shared" si="901"/>
        <v/>
      </c>
      <c r="AB1841" s="52" t="str">
        <f>IFERROR(INDEX(#REF!,MATCH($O1841,#REF!,0)),"")</f>
        <v/>
      </c>
      <c r="AC1841" s="52" t="str">
        <f>IFERROR(IF(O1841="","",SUMIFS('CPL Mats'!F:F,'CPL Mats'!Q:Q,AR1841,'CPL Mats'!S:S,AS1841)),"")</f>
        <v/>
      </c>
      <c r="AF1841" s="25" t="e">
        <f>IF(SUMIFS(#REF!,#REF!,"Releasable",#REF!,O1841)=0,"",SUMIFS(#REF!,#REF!,"Releasable",#REF!,O1841))</f>
        <v>#REF!</v>
      </c>
      <c r="AG1841" s="25" t="str">
        <f>IFERROR(INDEX(#REF!,MATCH(O1841,#REF!,0)),"")</f>
        <v/>
      </c>
      <c r="AH1841" s="25" t="str">
        <f>IFERROR(INDEX(#REF!,MATCH($O1841,#REF!,0)),"")</f>
        <v/>
      </c>
      <c r="AI1841" s="25" t="e">
        <f>IF(SUMIFS(#REF!,#REF!,"Expires this month",#REF!,O1841)=0,"",SUMIFS(#REF!,#REF!,"Expires this month",#REF!,O1841))</f>
        <v>#REF!</v>
      </c>
      <c r="AJ1841" s="25" t="e">
        <f>IF(SUMIFS(#REF!,#REF!,"Expired Previous Months",#REF!,O1841)=0,"",SUMIFS(#REF!,#REF!,"Expired Previous Months",#REF!,O1841))</f>
        <v>#REF!</v>
      </c>
      <c r="AK1841" s="25" t="str">
        <f>IFERROR(INDEX('Hun Release Current'!B:B,MATCH(O1841,'Hun Release Current'!A:A,0)),"")</f>
        <v/>
      </c>
      <c r="AL1841" s="25" t="str">
        <f>IF(SUMIF('Prev Aub'!A:A,O1841,'Prev Aub'!B:B)=0,"",SUMIF('Prev Aub'!A:A,O1841,'Prev Aub'!B:B))</f>
        <v/>
      </c>
      <c r="AN1841" s="25" t="s">
        <v>3790</v>
      </c>
      <c r="AO1841" s="25" t="s">
        <v>3790</v>
      </c>
      <c r="AP1841" s="25" t="str">
        <f t="shared" si="923"/>
        <v/>
      </c>
      <c r="AQ1841" s="151" t="e">
        <f>IF(SUMIFS(#REF!,#REF!,O1841,#REF!,"PENDING")=0,"",SUMIFS(#REF!,#REF!,O1841,#REF!,"PENDING"))</f>
        <v>#REF!</v>
      </c>
      <c r="AR1841" s="27" t="str">
        <f t="shared" si="902"/>
        <v/>
      </c>
      <c r="AS1841" s="27" t="str">
        <f t="shared" si="903"/>
        <v/>
      </c>
      <c r="AT1841" s="27" t="str">
        <f t="shared" si="904"/>
        <v/>
      </c>
      <c r="AU1841" s="27" t="str">
        <f t="shared" si="905"/>
        <v/>
      </c>
      <c r="AV1841" s="27" t="str">
        <f t="shared" si="906"/>
        <v/>
      </c>
      <c r="AW1841" s="27" t="e">
        <f t="shared" si="907"/>
        <v>#REF!</v>
      </c>
      <c r="AX1841" s="27" t="e">
        <f t="shared" si="908"/>
        <v>#REF!</v>
      </c>
      <c r="AY1841" s="27" t="str">
        <f t="shared" si="909"/>
        <v/>
      </c>
      <c r="AZ1841" s="27" t="str">
        <f t="shared" si="910"/>
        <v/>
      </c>
      <c r="BA1841" s="27" t="str">
        <f t="shared" si="911"/>
        <v/>
      </c>
      <c r="BB1841" s="27" t="str">
        <f t="shared" si="912"/>
        <v/>
      </c>
      <c r="BC1841" s="27" t="str">
        <f t="shared" si="913"/>
        <v/>
      </c>
      <c r="BD1841" s="27" t="str">
        <f t="shared" si="914"/>
        <v/>
      </c>
      <c r="BE1841" s="27" t="str">
        <f t="shared" si="915"/>
        <v/>
      </c>
      <c r="BF1841" s="27" t="str">
        <f t="shared" si="916"/>
        <v/>
      </c>
      <c r="BG1841" s="27" t="str">
        <f t="shared" si="917"/>
        <v/>
      </c>
      <c r="BH1841" s="27" t="str">
        <f t="shared" si="918"/>
        <v/>
      </c>
      <c r="BI1841" s="27" t="str">
        <f t="shared" si="919"/>
        <v/>
      </c>
      <c r="BJ1841" s="27" t="str">
        <f t="shared" si="920"/>
        <v/>
      </c>
      <c r="BK1841" s="27" t="str">
        <f t="shared" si="921"/>
        <v/>
      </c>
      <c r="BL1841" s="27" t="str">
        <f t="shared" si="922"/>
        <v/>
      </c>
      <c r="BM1841" s="21" t="s">
        <v>3790</v>
      </c>
    </row>
    <row r="1842" spans="1:65" ht="15">
      <c r="A1842" s="25" t="str">
        <f>IFERROR(INDEX(#REF!,MATCH(O1842,#REF!,0)),"")</f>
        <v/>
      </c>
      <c r="B1842" s="25" t="str">
        <f>IFERROR(INDEX(#REF!,MATCH(O1842,#REF!,0)),"")</f>
        <v/>
      </c>
      <c r="C1842" s="25" t="str">
        <f>IFERROR(INDEX(#REF!,MATCH(O1842,#REF!,0)),"")</f>
        <v/>
      </c>
      <c r="D1842" s="25" t="str">
        <f>IFERROR(INDEX(#REF!,MATCH(O1842,#REF!,0)),"")</f>
        <v/>
      </c>
      <c r="E1842" s="25" t="str">
        <f>IFERROR(INDEX(#REF!,MATCH(O1842,#REF!,0)),"")</f>
        <v/>
      </c>
      <c r="F1842" s="25" t="str">
        <f>IFERROR(INDEX(#REF!,MATCH(O1842,#REF!,0)),"")</f>
        <v/>
      </c>
      <c r="G1842" s="25" t="str">
        <f>IFERROR(INDEX(#REF!,MATCH(O1842,#REF!,0)),"")</f>
        <v/>
      </c>
      <c r="H1842" s="25" t="str">
        <f>IFERROR(INDEX(#REF!,MATCH(O1842,#REF!,0)),"")</f>
        <v/>
      </c>
      <c r="I1842" s="25" t="str">
        <f>IFERROR(INDEX(#REF!,MATCH(O1842,#REF!,0)),"")</f>
        <v/>
      </c>
      <c r="J1842" s="25" t="str">
        <f>IFERROR(INDEX(#REF!,MATCH(O1842,#REF!,0)),"")</f>
        <v/>
      </c>
      <c r="K1842" s="25" t="str">
        <f>IFERROR(INDEX(#REF!,MATCH(O1842,#REF!,0)),"")</f>
        <v/>
      </c>
      <c r="L1842" s="25" t="str">
        <f>IFERROR(INDEX(#REF!,MATCH(O1842,#REF!,0)),"")</f>
        <v/>
      </c>
      <c r="P1842" s="27" t="str">
        <f>IFERROR(INDEX(#REF!,MATCH($O1842,#REF!,0)),"")</f>
        <v/>
      </c>
      <c r="Q1842" s="27" t="str">
        <f>IFERROR(INDEX(#REF!,MATCH($O1842,#REF!,0)),"")</f>
        <v/>
      </c>
      <c r="R1842" s="52" t="str">
        <f>IFERROR(IF(AR1843=AR1842,INDEX(#REF!,MATCH($O1842,#REF!,0))-IF(AN1842="",0,AN1842)+AP1843,INDEX(#REF!,MATCH($O1842,#REF!,0))-IF(AN1842="",0,AN1842)),"")</f>
        <v/>
      </c>
      <c r="S1842" s="53" t="str">
        <f t="shared" si="896"/>
        <v/>
      </c>
      <c r="T1842" s="52" t="str">
        <f t="shared" si="897"/>
        <v/>
      </c>
      <c r="U1842" s="52" t="str">
        <f>IFERROR(IF(AR1843=AR1842,INDEX(#REF!,MATCH($O1842,#REF!,0))-IF(AN1842="",0,AN1842)+AP1843,INDEX(#REF!,MATCH($O1842,#REF!,0))-IF(AN1842="",0,AN1842)),"")</f>
        <v/>
      </c>
      <c r="V1842" s="53" t="str">
        <f t="shared" si="898"/>
        <v/>
      </c>
      <c r="W1842" s="52" t="str">
        <f t="shared" si="899"/>
        <v/>
      </c>
      <c r="X1842" s="52" t="str">
        <f>IFERROR(IF(AND(AR1843=AR1842,AM1842&lt;&gt;""),INDEX(#REF!,MATCH($O1842,#REF!,0))-IF(AN1842="",0,AN1842)+AP1843+AD1842+AL1842,IF(AR1843=AR1842,INDEX(#REF!,MATCH($O1842,#REF!,0))-IF(AN1842="",0,AN1842)+AP1843+AD1842,IF(AM1842&lt;&gt;"",INDEX(#REF!,MATCH($O1842,#REF!,0))-IF(AN1842="",0,AN1842)+AD1842+AL1842,INDEX(#REF!,MATCH($O1842,#REF!,0))-IF(AN1842="",0,AN1842)+AD1842))),"")</f>
        <v/>
      </c>
      <c r="Y1842" s="53" t="str">
        <f t="shared" si="900"/>
        <v/>
      </c>
      <c r="Z1842" s="52" t="str">
        <f>IF(L1842="","",INDEX(#REF!,MATCH($O1842,#REF!,0)))</f>
        <v/>
      </c>
      <c r="AA1842" s="52" t="str">
        <f t="shared" si="901"/>
        <v/>
      </c>
      <c r="AB1842" s="52" t="str">
        <f>IFERROR(INDEX(#REF!,MATCH($O1842,#REF!,0)),"")</f>
        <v/>
      </c>
      <c r="AC1842" s="52" t="str">
        <f>IFERROR(IF(O1842="","",SUMIFS('CPL Mats'!F:F,'CPL Mats'!Q:Q,AR1842,'CPL Mats'!S:S,AS1842)),"")</f>
        <v/>
      </c>
      <c r="AF1842" s="25" t="e">
        <f>IF(SUMIFS(#REF!,#REF!,"Releasable",#REF!,O1842)=0,"",SUMIFS(#REF!,#REF!,"Releasable",#REF!,O1842))</f>
        <v>#REF!</v>
      </c>
      <c r="AG1842" s="25" t="str">
        <f>IFERROR(INDEX(#REF!,MATCH(O1842,#REF!,0)),"")</f>
        <v/>
      </c>
      <c r="AH1842" s="25" t="str">
        <f>IFERROR(INDEX(#REF!,MATCH($O1842,#REF!,0)),"")</f>
        <v/>
      </c>
      <c r="AI1842" s="25" t="e">
        <f>IF(SUMIFS(#REF!,#REF!,"Expires this month",#REF!,O1842)=0,"",SUMIFS(#REF!,#REF!,"Expires this month",#REF!,O1842))</f>
        <v>#REF!</v>
      </c>
      <c r="AJ1842" s="25" t="e">
        <f>IF(SUMIFS(#REF!,#REF!,"Expired Previous Months",#REF!,O1842)=0,"",SUMIFS(#REF!,#REF!,"Expired Previous Months",#REF!,O1842))</f>
        <v>#REF!</v>
      </c>
      <c r="AK1842" s="25" t="str">
        <f>IFERROR(INDEX('Hun Release Current'!B:B,MATCH(O1842,'Hun Release Current'!A:A,0)),"")</f>
        <v/>
      </c>
      <c r="AL1842" s="25" t="str">
        <f>IF(SUMIF('Prev Aub'!A:A,O1842,'Prev Aub'!B:B)=0,"",SUMIF('Prev Aub'!A:A,O1842,'Prev Aub'!B:B))</f>
        <v/>
      </c>
      <c r="AN1842" s="25" t="s">
        <v>3790</v>
      </c>
      <c r="AO1842" s="25" t="s">
        <v>3790</v>
      </c>
      <c r="AP1842" s="25" t="str">
        <f t="shared" si="923"/>
        <v/>
      </c>
      <c r="AQ1842" s="151" t="e">
        <f>IF(SUMIFS(#REF!,#REF!,O1842,#REF!,"PENDING")=0,"",SUMIFS(#REF!,#REF!,O1842,#REF!,"PENDING"))</f>
        <v>#REF!</v>
      </c>
      <c r="AR1842" s="27" t="str">
        <f t="shared" si="902"/>
        <v/>
      </c>
      <c r="AS1842" s="27" t="str">
        <f t="shared" si="903"/>
        <v/>
      </c>
      <c r="AT1842" s="27" t="str">
        <f t="shared" si="904"/>
        <v/>
      </c>
      <c r="AU1842" s="27" t="str">
        <f t="shared" si="905"/>
        <v/>
      </c>
      <c r="AV1842" s="27" t="str">
        <f t="shared" si="906"/>
        <v/>
      </c>
      <c r="AW1842" s="27" t="e">
        <f t="shared" si="907"/>
        <v>#REF!</v>
      </c>
      <c r="AX1842" s="27" t="e">
        <f t="shared" si="908"/>
        <v>#REF!</v>
      </c>
      <c r="AY1842" s="27" t="str">
        <f t="shared" si="909"/>
        <v/>
      </c>
      <c r="AZ1842" s="27" t="str">
        <f t="shared" si="910"/>
        <v/>
      </c>
      <c r="BA1842" s="27" t="str">
        <f t="shared" si="911"/>
        <v/>
      </c>
      <c r="BB1842" s="27" t="str">
        <f t="shared" si="912"/>
        <v/>
      </c>
      <c r="BC1842" s="27" t="str">
        <f t="shared" si="913"/>
        <v/>
      </c>
      <c r="BD1842" s="27" t="str">
        <f t="shared" si="914"/>
        <v/>
      </c>
      <c r="BE1842" s="27" t="str">
        <f t="shared" si="915"/>
        <v/>
      </c>
      <c r="BF1842" s="27" t="str">
        <f t="shared" si="916"/>
        <v/>
      </c>
      <c r="BG1842" s="27" t="str">
        <f t="shared" si="917"/>
        <v/>
      </c>
      <c r="BH1842" s="27" t="str">
        <f t="shared" si="918"/>
        <v/>
      </c>
      <c r="BI1842" s="27" t="str">
        <f t="shared" si="919"/>
        <v/>
      </c>
      <c r="BJ1842" s="27" t="str">
        <f t="shared" si="920"/>
        <v/>
      </c>
      <c r="BK1842" s="27" t="str">
        <f t="shared" si="921"/>
        <v/>
      </c>
      <c r="BL1842" s="27" t="str">
        <f t="shared" si="922"/>
        <v/>
      </c>
      <c r="BM1842" s="21" t="s">
        <v>3790</v>
      </c>
    </row>
    <row r="1843" spans="1:65" ht="15">
      <c r="A1843" s="25" t="str">
        <f>IFERROR(INDEX(#REF!,MATCH(O1843,#REF!,0)),"")</f>
        <v/>
      </c>
      <c r="B1843" s="25" t="str">
        <f>IFERROR(INDEX(#REF!,MATCH(O1843,#REF!,0)),"")</f>
        <v/>
      </c>
      <c r="C1843" s="25" t="str">
        <f>IFERROR(INDEX(#REF!,MATCH(O1843,#REF!,0)),"")</f>
        <v/>
      </c>
      <c r="D1843" s="25" t="str">
        <f>IFERROR(INDEX(#REF!,MATCH(O1843,#REF!,0)),"")</f>
        <v/>
      </c>
      <c r="E1843" s="25" t="str">
        <f>IFERROR(INDEX(#REF!,MATCH(O1843,#REF!,0)),"")</f>
        <v/>
      </c>
      <c r="F1843" s="25" t="str">
        <f>IFERROR(INDEX(#REF!,MATCH(O1843,#REF!,0)),"")</f>
        <v/>
      </c>
      <c r="G1843" s="25" t="str">
        <f>IFERROR(INDEX(#REF!,MATCH(O1843,#REF!,0)),"")</f>
        <v/>
      </c>
      <c r="H1843" s="25" t="str">
        <f>IFERROR(INDEX(#REF!,MATCH(O1843,#REF!,0)),"")</f>
        <v/>
      </c>
      <c r="I1843" s="25" t="str">
        <f>IFERROR(INDEX(#REF!,MATCH(O1843,#REF!,0)),"")</f>
        <v/>
      </c>
      <c r="J1843" s="25" t="str">
        <f>IFERROR(INDEX(#REF!,MATCH(O1843,#REF!,0)),"")</f>
        <v/>
      </c>
      <c r="K1843" s="25" t="str">
        <f>IFERROR(INDEX(#REF!,MATCH(O1843,#REF!,0)),"")</f>
        <v/>
      </c>
      <c r="L1843" s="25" t="str">
        <f>IFERROR(INDEX(#REF!,MATCH(O1843,#REF!,0)),"")</f>
        <v/>
      </c>
      <c r="P1843" s="27" t="str">
        <f>IFERROR(INDEX(#REF!,MATCH($O1843,#REF!,0)),"")</f>
        <v/>
      </c>
      <c r="Q1843" s="27" t="str">
        <f>IFERROR(INDEX(#REF!,MATCH($O1843,#REF!,0)),"")</f>
        <v/>
      </c>
      <c r="R1843" s="52" t="str">
        <f>IFERROR(IF(AR1844=AR1843,INDEX(#REF!,MATCH($O1843,#REF!,0))-IF(AN1843="",0,AN1843)+AP1844,INDEX(#REF!,MATCH($O1843,#REF!,0))-IF(AN1843="",0,AN1843)),"")</f>
        <v/>
      </c>
      <c r="S1843" s="53" t="str">
        <f t="shared" si="896"/>
        <v/>
      </c>
      <c r="T1843" s="52" t="str">
        <f t="shared" si="897"/>
        <v/>
      </c>
      <c r="U1843" s="52" t="str">
        <f>IFERROR(IF(AR1844=AR1843,INDEX(#REF!,MATCH($O1843,#REF!,0))-IF(AN1843="",0,AN1843)+AP1844,INDEX(#REF!,MATCH($O1843,#REF!,0))-IF(AN1843="",0,AN1843)),"")</f>
        <v/>
      </c>
      <c r="V1843" s="53" t="str">
        <f t="shared" si="898"/>
        <v/>
      </c>
      <c r="W1843" s="52" t="str">
        <f t="shared" si="899"/>
        <v/>
      </c>
      <c r="X1843" s="52" t="str">
        <f>IFERROR(IF(AND(AR1844=AR1843,AM1843&lt;&gt;""),INDEX(#REF!,MATCH($O1843,#REF!,0))-IF(AN1843="",0,AN1843)+AP1844+AD1843+AL1843,IF(AR1844=AR1843,INDEX(#REF!,MATCH($O1843,#REF!,0))-IF(AN1843="",0,AN1843)+AP1844+AD1843,IF(AM1843&lt;&gt;"",INDEX(#REF!,MATCH($O1843,#REF!,0))-IF(AN1843="",0,AN1843)+AD1843+AL1843,INDEX(#REF!,MATCH($O1843,#REF!,0))-IF(AN1843="",0,AN1843)+AD1843))),"")</f>
        <v/>
      </c>
      <c r="Y1843" s="53" t="str">
        <f t="shared" si="900"/>
        <v/>
      </c>
      <c r="Z1843" s="52" t="str">
        <f>IF(L1843="","",INDEX(#REF!,MATCH($O1843,#REF!,0)))</f>
        <v/>
      </c>
      <c r="AA1843" s="52" t="str">
        <f t="shared" si="901"/>
        <v/>
      </c>
      <c r="AB1843" s="52" t="str">
        <f>IFERROR(INDEX(#REF!,MATCH($O1843,#REF!,0)),"")</f>
        <v/>
      </c>
      <c r="AC1843" s="52" t="str">
        <f>IFERROR(IF(O1843="","",SUMIFS('CPL Mats'!F:F,'CPL Mats'!Q:Q,AR1843,'CPL Mats'!S:S,AS1843)),"")</f>
        <v/>
      </c>
      <c r="AF1843" s="25" t="e">
        <f>IF(SUMIFS(#REF!,#REF!,"Releasable",#REF!,O1843)=0,"",SUMIFS(#REF!,#REF!,"Releasable",#REF!,O1843))</f>
        <v>#REF!</v>
      </c>
      <c r="AG1843" s="25" t="str">
        <f>IFERROR(INDEX(#REF!,MATCH(O1843,#REF!,0)),"")</f>
        <v/>
      </c>
      <c r="AH1843" s="25" t="str">
        <f>IFERROR(INDEX(#REF!,MATCH($O1843,#REF!,0)),"")</f>
        <v/>
      </c>
      <c r="AI1843" s="25" t="e">
        <f>IF(SUMIFS(#REF!,#REF!,"Expires this month",#REF!,O1843)=0,"",SUMIFS(#REF!,#REF!,"Expires this month",#REF!,O1843))</f>
        <v>#REF!</v>
      </c>
      <c r="AJ1843" s="25" t="e">
        <f>IF(SUMIFS(#REF!,#REF!,"Expired Previous Months",#REF!,O1843)=0,"",SUMIFS(#REF!,#REF!,"Expired Previous Months",#REF!,O1843))</f>
        <v>#REF!</v>
      </c>
      <c r="AK1843" s="25" t="str">
        <f>IFERROR(INDEX('Hun Release Current'!B:B,MATCH(O1843,'Hun Release Current'!A:A,0)),"")</f>
        <v/>
      </c>
      <c r="AL1843" s="25" t="str">
        <f>IF(SUMIF('Prev Aub'!A:A,O1843,'Prev Aub'!B:B)=0,"",SUMIF('Prev Aub'!A:A,O1843,'Prev Aub'!B:B))</f>
        <v/>
      </c>
      <c r="AN1843" s="25" t="s">
        <v>3790</v>
      </c>
      <c r="AO1843" s="25" t="s">
        <v>3790</v>
      </c>
      <c r="AP1843" s="25" t="str">
        <f t="shared" si="923"/>
        <v/>
      </c>
      <c r="AQ1843" s="151" t="e">
        <f>IF(SUMIFS(#REF!,#REF!,O1843,#REF!,"PENDING")=0,"",SUMIFS(#REF!,#REF!,O1843,#REF!,"PENDING"))</f>
        <v>#REF!</v>
      </c>
      <c r="AR1843" s="27" t="str">
        <f t="shared" si="902"/>
        <v/>
      </c>
      <c r="AS1843" s="27" t="str">
        <f t="shared" si="903"/>
        <v/>
      </c>
      <c r="AT1843" s="27" t="str">
        <f t="shared" si="904"/>
        <v/>
      </c>
      <c r="AU1843" s="27" t="str">
        <f t="shared" si="905"/>
        <v/>
      </c>
      <c r="AV1843" s="27" t="str">
        <f t="shared" si="906"/>
        <v/>
      </c>
      <c r="AW1843" s="27" t="e">
        <f t="shared" si="907"/>
        <v>#REF!</v>
      </c>
      <c r="AX1843" s="27" t="e">
        <f t="shared" si="908"/>
        <v>#REF!</v>
      </c>
      <c r="AY1843" s="27" t="str">
        <f t="shared" si="909"/>
        <v/>
      </c>
      <c r="AZ1843" s="27" t="str">
        <f t="shared" si="910"/>
        <v/>
      </c>
      <c r="BA1843" s="27" t="str">
        <f t="shared" si="911"/>
        <v/>
      </c>
      <c r="BB1843" s="27" t="str">
        <f t="shared" si="912"/>
        <v/>
      </c>
      <c r="BC1843" s="27" t="str">
        <f t="shared" si="913"/>
        <v/>
      </c>
      <c r="BD1843" s="27" t="str">
        <f t="shared" si="914"/>
        <v/>
      </c>
      <c r="BE1843" s="27" t="str">
        <f t="shared" si="915"/>
        <v/>
      </c>
      <c r="BF1843" s="27" t="str">
        <f t="shared" si="916"/>
        <v/>
      </c>
      <c r="BG1843" s="27" t="str">
        <f t="shared" si="917"/>
        <v/>
      </c>
      <c r="BH1843" s="27" t="str">
        <f t="shared" si="918"/>
        <v/>
      </c>
      <c r="BI1843" s="27" t="str">
        <f t="shared" si="919"/>
        <v/>
      </c>
      <c r="BJ1843" s="27" t="str">
        <f t="shared" si="920"/>
        <v/>
      </c>
      <c r="BK1843" s="27" t="str">
        <f t="shared" si="921"/>
        <v/>
      </c>
      <c r="BL1843" s="27" t="str">
        <f t="shared" si="922"/>
        <v/>
      </c>
      <c r="BM1843" s="21" t="s">
        <v>3790</v>
      </c>
    </row>
    <row r="1844" spans="1:65" ht="15">
      <c r="A1844" s="25" t="str">
        <f>IFERROR(INDEX(#REF!,MATCH(O1844,#REF!,0)),"")</f>
        <v/>
      </c>
      <c r="B1844" s="25" t="str">
        <f>IFERROR(INDEX(#REF!,MATCH(O1844,#REF!,0)),"")</f>
        <v/>
      </c>
      <c r="C1844" s="25" t="str">
        <f>IFERROR(INDEX(#REF!,MATCH(O1844,#REF!,0)),"")</f>
        <v/>
      </c>
      <c r="D1844" s="25" t="str">
        <f>IFERROR(INDEX(#REF!,MATCH(O1844,#REF!,0)),"")</f>
        <v/>
      </c>
      <c r="E1844" s="25" t="str">
        <f>IFERROR(INDEX(#REF!,MATCH(O1844,#REF!,0)),"")</f>
        <v/>
      </c>
      <c r="F1844" s="25" t="str">
        <f>IFERROR(INDEX(#REF!,MATCH(O1844,#REF!,0)),"")</f>
        <v/>
      </c>
      <c r="G1844" s="25" t="str">
        <f>IFERROR(INDEX(#REF!,MATCH(O1844,#REF!,0)),"")</f>
        <v/>
      </c>
      <c r="H1844" s="25" t="str">
        <f>IFERROR(INDEX(#REF!,MATCH(O1844,#REF!,0)),"")</f>
        <v/>
      </c>
      <c r="I1844" s="25" t="str">
        <f>IFERROR(INDEX(#REF!,MATCH(O1844,#REF!,0)),"")</f>
        <v/>
      </c>
      <c r="J1844" s="25" t="str">
        <f>IFERROR(INDEX(#REF!,MATCH(O1844,#REF!,0)),"")</f>
        <v/>
      </c>
      <c r="K1844" s="25" t="str">
        <f>IFERROR(INDEX(#REF!,MATCH(O1844,#REF!,0)),"")</f>
        <v/>
      </c>
      <c r="L1844" s="25" t="str">
        <f>IFERROR(INDEX(#REF!,MATCH(O1844,#REF!,0)),"")</f>
        <v/>
      </c>
      <c r="P1844" s="27" t="str">
        <f>IFERROR(INDEX(#REF!,MATCH($O1844,#REF!,0)),"")</f>
        <v/>
      </c>
      <c r="Q1844" s="27" t="str">
        <f>IFERROR(INDEX(#REF!,MATCH($O1844,#REF!,0)),"")</f>
        <v/>
      </c>
      <c r="R1844" s="52" t="str">
        <f>IFERROR(IF(AR1845=AR1844,INDEX(#REF!,MATCH($O1844,#REF!,0))-IF(AN1844="",0,AN1844)+AP1845,INDEX(#REF!,MATCH($O1844,#REF!,0))-IF(AN1844="",0,AN1844)),"")</f>
        <v/>
      </c>
      <c r="S1844" s="53" t="str">
        <f t="shared" si="896"/>
        <v/>
      </c>
      <c r="T1844" s="52" t="str">
        <f t="shared" si="897"/>
        <v/>
      </c>
      <c r="U1844" s="52" t="str">
        <f>IFERROR(IF(AR1845=AR1844,INDEX(#REF!,MATCH($O1844,#REF!,0))-IF(AN1844="",0,AN1844)+AP1845,INDEX(#REF!,MATCH($O1844,#REF!,0))-IF(AN1844="",0,AN1844)),"")</f>
        <v/>
      </c>
      <c r="V1844" s="53" t="str">
        <f t="shared" si="898"/>
        <v/>
      </c>
      <c r="W1844" s="52" t="str">
        <f t="shared" si="899"/>
        <v/>
      </c>
      <c r="X1844" s="52" t="str">
        <f>IFERROR(IF(AND(AR1845=AR1844,AM1844&lt;&gt;""),INDEX(#REF!,MATCH($O1844,#REF!,0))-IF(AN1844="",0,AN1844)+AP1845+AD1844+AL1844,IF(AR1845=AR1844,INDEX(#REF!,MATCH($O1844,#REF!,0))-IF(AN1844="",0,AN1844)+AP1845+AD1844,IF(AM1844&lt;&gt;"",INDEX(#REF!,MATCH($O1844,#REF!,0))-IF(AN1844="",0,AN1844)+AD1844+AL1844,INDEX(#REF!,MATCH($O1844,#REF!,0))-IF(AN1844="",0,AN1844)+AD1844))),"")</f>
        <v/>
      </c>
      <c r="Y1844" s="53" t="str">
        <f t="shared" si="900"/>
        <v/>
      </c>
      <c r="Z1844" s="52" t="str">
        <f>IF(L1844="","",INDEX(#REF!,MATCH($O1844,#REF!,0)))</f>
        <v/>
      </c>
      <c r="AA1844" s="52" t="str">
        <f t="shared" si="901"/>
        <v/>
      </c>
      <c r="AB1844" s="52" t="str">
        <f>IFERROR(INDEX(#REF!,MATCH($O1844,#REF!,0)),"")</f>
        <v/>
      </c>
      <c r="AC1844" s="52" t="str">
        <f>IFERROR(IF(O1844="","",SUMIFS('CPL Mats'!F:F,'CPL Mats'!Q:Q,AR1844,'CPL Mats'!S:S,AS1844)),"")</f>
        <v/>
      </c>
      <c r="AF1844" s="25" t="e">
        <f>IF(SUMIFS(#REF!,#REF!,"Releasable",#REF!,O1844)=0,"",SUMIFS(#REF!,#REF!,"Releasable",#REF!,O1844))</f>
        <v>#REF!</v>
      </c>
      <c r="AG1844" s="25" t="str">
        <f>IFERROR(INDEX(#REF!,MATCH(O1844,#REF!,0)),"")</f>
        <v/>
      </c>
      <c r="AH1844" s="25" t="str">
        <f>IFERROR(INDEX(#REF!,MATCH($O1844,#REF!,0)),"")</f>
        <v/>
      </c>
      <c r="AI1844" s="25" t="e">
        <f>IF(SUMIFS(#REF!,#REF!,"Expires this month",#REF!,O1844)=0,"",SUMIFS(#REF!,#REF!,"Expires this month",#REF!,O1844))</f>
        <v>#REF!</v>
      </c>
      <c r="AJ1844" s="25" t="e">
        <f>IF(SUMIFS(#REF!,#REF!,"Expired Previous Months",#REF!,O1844)=0,"",SUMIFS(#REF!,#REF!,"Expired Previous Months",#REF!,O1844))</f>
        <v>#REF!</v>
      </c>
      <c r="AK1844" s="25" t="str">
        <f>IFERROR(INDEX('Hun Release Current'!B:B,MATCH(O1844,'Hun Release Current'!A:A,0)),"")</f>
        <v/>
      </c>
      <c r="AL1844" s="25" t="str">
        <f>IF(SUMIF('Prev Aub'!A:A,O1844,'Prev Aub'!B:B)=0,"",SUMIF('Prev Aub'!A:A,O1844,'Prev Aub'!B:B))</f>
        <v/>
      </c>
      <c r="AN1844" s="25" t="s">
        <v>3790</v>
      </c>
      <c r="AO1844" s="25" t="s">
        <v>3790</v>
      </c>
      <c r="AP1844" s="25" t="str">
        <f t="shared" si="923"/>
        <v/>
      </c>
      <c r="AQ1844" s="151" t="e">
        <f>IF(SUMIFS(#REF!,#REF!,O1844,#REF!,"PENDING")=0,"",SUMIFS(#REF!,#REF!,O1844,#REF!,"PENDING"))</f>
        <v>#REF!</v>
      </c>
      <c r="AR1844" s="27" t="str">
        <f t="shared" si="902"/>
        <v/>
      </c>
      <c r="AS1844" s="27" t="str">
        <f t="shared" si="903"/>
        <v/>
      </c>
      <c r="AT1844" s="27" t="str">
        <f t="shared" si="904"/>
        <v/>
      </c>
      <c r="AU1844" s="27" t="str">
        <f t="shared" si="905"/>
        <v/>
      </c>
      <c r="AV1844" s="27" t="str">
        <f t="shared" si="906"/>
        <v/>
      </c>
      <c r="AW1844" s="27" t="e">
        <f t="shared" si="907"/>
        <v>#REF!</v>
      </c>
      <c r="AX1844" s="27" t="e">
        <f t="shared" si="908"/>
        <v>#REF!</v>
      </c>
      <c r="AY1844" s="27" t="str">
        <f t="shared" si="909"/>
        <v/>
      </c>
      <c r="AZ1844" s="27" t="str">
        <f t="shared" si="910"/>
        <v/>
      </c>
      <c r="BA1844" s="27" t="str">
        <f t="shared" si="911"/>
        <v/>
      </c>
      <c r="BB1844" s="27" t="str">
        <f t="shared" si="912"/>
        <v/>
      </c>
      <c r="BC1844" s="27" t="str">
        <f t="shared" si="913"/>
        <v/>
      </c>
      <c r="BD1844" s="27" t="str">
        <f t="shared" si="914"/>
        <v/>
      </c>
      <c r="BE1844" s="27" t="str">
        <f t="shared" si="915"/>
        <v/>
      </c>
      <c r="BF1844" s="27" t="str">
        <f t="shared" si="916"/>
        <v/>
      </c>
      <c r="BG1844" s="27" t="str">
        <f t="shared" si="917"/>
        <v/>
      </c>
      <c r="BH1844" s="27" t="str">
        <f t="shared" si="918"/>
        <v/>
      </c>
      <c r="BI1844" s="27" t="str">
        <f t="shared" si="919"/>
        <v/>
      </c>
      <c r="BJ1844" s="27" t="str">
        <f t="shared" si="920"/>
        <v/>
      </c>
      <c r="BK1844" s="27" t="str">
        <f t="shared" si="921"/>
        <v/>
      </c>
      <c r="BL1844" s="27" t="str">
        <f t="shared" si="922"/>
        <v/>
      </c>
      <c r="BM1844" s="21" t="s">
        <v>3790</v>
      </c>
    </row>
    <row r="1845" spans="1:65" ht="15">
      <c r="A1845" s="25" t="str">
        <f>IFERROR(INDEX(#REF!,MATCH(O1845,#REF!,0)),"")</f>
        <v/>
      </c>
      <c r="B1845" s="25" t="str">
        <f>IFERROR(INDEX(#REF!,MATCH(O1845,#REF!,0)),"")</f>
        <v/>
      </c>
      <c r="C1845" s="25" t="str">
        <f>IFERROR(INDEX(#REF!,MATCH(O1845,#REF!,0)),"")</f>
        <v/>
      </c>
      <c r="D1845" s="25" t="str">
        <f>IFERROR(INDEX(#REF!,MATCH(O1845,#REF!,0)),"")</f>
        <v/>
      </c>
      <c r="E1845" s="25" t="str">
        <f>IFERROR(INDEX(#REF!,MATCH(O1845,#REF!,0)),"")</f>
        <v/>
      </c>
      <c r="F1845" s="25" t="str">
        <f>IFERROR(INDEX(#REF!,MATCH(O1845,#REF!,0)),"")</f>
        <v/>
      </c>
      <c r="G1845" s="25" t="str">
        <f>IFERROR(INDEX(#REF!,MATCH(O1845,#REF!,0)),"")</f>
        <v/>
      </c>
      <c r="H1845" s="25" t="str">
        <f>IFERROR(INDEX(#REF!,MATCH(O1845,#REF!,0)),"")</f>
        <v/>
      </c>
      <c r="I1845" s="25" t="str">
        <f>IFERROR(INDEX(#REF!,MATCH(O1845,#REF!,0)),"")</f>
        <v/>
      </c>
      <c r="J1845" s="25" t="str">
        <f>IFERROR(INDEX(#REF!,MATCH(O1845,#REF!,0)),"")</f>
        <v/>
      </c>
      <c r="K1845" s="25" t="str">
        <f>IFERROR(INDEX(#REF!,MATCH(O1845,#REF!,0)),"")</f>
        <v/>
      </c>
      <c r="L1845" s="25" t="str">
        <f>IFERROR(INDEX(#REF!,MATCH(O1845,#REF!,0)),"")</f>
        <v/>
      </c>
      <c r="P1845" s="27" t="str">
        <f>IFERROR(INDEX(#REF!,MATCH($O1845,#REF!,0)),"")</f>
        <v/>
      </c>
      <c r="Q1845" s="27" t="str">
        <f>IFERROR(INDEX(#REF!,MATCH($O1845,#REF!,0)),"")</f>
        <v/>
      </c>
      <c r="R1845" s="52" t="str">
        <f>IFERROR(IF(AR1846=AR1845,INDEX(#REF!,MATCH($O1845,#REF!,0))-IF(AN1845="",0,AN1845)+AP1846,INDEX(#REF!,MATCH($O1845,#REF!,0))-IF(AN1845="",0,AN1845)),"")</f>
        <v/>
      </c>
      <c r="S1845" s="53" t="str">
        <f t="shared" si="896"/>
        <v/>
      </c>
      <c r="T1845" s="52" t="str">
        <f t="shared" si="897"/>
        <v/>
      </c>
      <c r="U1845" s="52" t="str">
        <f>IFERROR(IF(AR1846=AR1845,INDEX(#REF!,MATCH($O1845,#REF!,0))-IF(AN1845="",0,AN1845)+AP1846,INDEX(#REF!,MATCH($O1845,#REF!,0))-IF(AN1845="",0,AN1845)),"")</f>
        <v/>
      </c>
      <c r="V1845" s="53" t="str">
        <f t="shared" si="898"/>
        <v/>
      </c>
      <c r="W1845" s="52" t="str">
        <f t="shared" si="899"/>
        <v/>
      </c>
      <c r="X1845" s="52" t="str">
        <f>IFERROR(IF(AND(AR1846=AR1845,AM1845&lt;&gt;""),INDEX(#REF!,MATCH($O1845,#REF!,0))-IF(AN1845="",0,AN1845)+AP1846+AD1845+AL1845,IF(AR1846=AR1845,INDEX(#REF!,MATCH($O1845,#REF!,0))-IF(AN1845="",0,AN1845)+AP1846+AD1845,IF(AM1845&lt;&gt;"",INDEX(#REF!,MATCH($O1845,#REF!,0))-IF(AN1845="",0,AN1845)+AD1845+AL1845,INDEX(#REF!,MATCH($O1845,#REF!,0))-IF(AN1845="",0,AN1845)+AD1845))),"")</f>
        <v/>
      </c>
      <c r="Y1845" s="53" t="str">
        <f t="shared" si="900"/>
        <v/>
      </c>
      <c r="Z1845" s="52" t="str">
        <f>IF(L1845="","",INDEX(#REF!,MATCH($O1845,#REF!,0)))</f>
        <v/>
      </c>
      <c r="AA1845" s="52" t="str">
        <f t="shared" si="901"/>
        <v/>
      </c>
      <c r="AB1845" s="52" t="str">
        <f>IFERROR(INDEX(#REF!,MATCH($O1845,#REF!,0)),"")</f>
        <v/>
      </c>
      <c r="AC1845" s="52" t="str">
        <f>IFERROR(IF(O1845="","",SUMIFS('CPL Mats'!F:F,'CPL Mats'!Q:Q,AR1845,'CPL Mats'!S:S,AS1845)),"")</f>
        <v/>
      </c>
      <c r="AF1845" s="25" t="e">
        <f>IF(SUMIFS(#REF!,#REF!,"Releasable",#REF!,O1845)=0,"",SUMIFS(#REF!,#REF!,"Releasable",#REF!,O1845))</f>
        <v>#REF!</v>
      </c>
      <c r="AG1845" s="25" t="str">
        <f>IFERROR(INDEX(#REF!,MATCH(O1845,#REF!,0)),"")</f>
        <v/>
      </c>
      <c r="AH1845" s="25" t="str">
        <f>IFERROR(INDEX(#REF!,MATCH($O1845,#REF!,0)),"")</f>
        <v/>
      </c>
      <c r="AI1845" s="25" t="e">
        <f>IF(SUMIFS(#REF!,#REF!,"Expires this month",#REF!,O1845)=0,"",SUMIFS(#REF!,#REF!,"Expires this month",#REF!,O1845))</f>
        <v>#REF!</v>
      </c>
      <c r="AJ1845" s="25" t="e">
        <f>IF(SUMIFS(#REF!,#REF!,"Expired Previous Months",#REF!,O1845)=0,"",SUMIFS(#REF!,#REF!,"Expired Previous Months",#REF!,O1845))</f>
        <v>#REF!</v>
      </c>
      <c r="AK1845" s="25" t="str">
        <f>IFERROR(INDEX('Hun Release Current'!B:B,MATCH(O1845,'Hun Release Current'!A:A,0)),"")</f>
        <v/>
      </c>
      <c r="AL1845" s="25" t="str">
        <f>IF(SUMIF('Prev Aub'!A:A,O1845,'Prev Aub'!B:B)=0,"",SUMIF('Prev Aub'!A:A,O1845,'Prev Aub'!B:B))</f>
        <v/>
      </c>
      <c r="AN1845" s="25" t="s">
        <v>3790</v>
      </c>
      <c r="AO1845" s="25" t="s">
        <v>3790</v>
      </c>
      <c r="AP1845" s="25" t="str">
        <f t="shared" si="923"/>
        <v/>
      </c>
      <c r="AQ1845" s="151" t="e">
        <f>IF(SUMIFS(#REF!,#REF!,O1845,#REF!,"PENDING")=0,"",SUMIFS(#REF!,#REF!,O1845,#REF!,"PENDING"))</f>
        <v>#REF!</v>
      </c>
      <c r="AR1845" s="27" t="str">
        <f t="shared" si="902"/>
        <v/>
      </c>
      <c r="AS1845" s="27" t="str">
        <f t="shared" si="903"/>
        <v/>
      </c>
      <c r="AT1845" s="27" t="str">
        <f t="shared" si="904"/>
        <v/>
      </c>
      <c r="AU1845" s="27" t="str">
        <f t="shared" si="905"/>
        <v/>
      </c>
      <c r="AV1845" s="27" t="str">
        <f t="shared" si="906"/>
        <v/>
      </c>
      <c r="AW1845" s="27" t="e">
        <f t="shared" si="907"/>
        <v>#REF!</v>
      </c>
      <c r="AX1845" s="27" t="e">
        <f t="shared" si="908"/>
        <v>#REF!</v>
      </c>
      <c r="AY1845" s="27" t="str">
        <f t="shared" si="909"/>
        <v/>
      </c>
      <c r="AZ1845" s="27" t="str">
        <f t="shared" si="910"/>
        <v/>
      </c>
      <c r="BA1845" s="27" t="str">
        <f t="shared" si="911"/>
        <v/>
      </c>
      <c r="BB1845" s="27" t="str">
        <f t="shared" si="912"/>
        <v/>
      </c>
      <c r="BC1845" s="27" t="str">
        <f t="shared" si="913"/>
        <v/>
      </c>
      <c r="BD1845" s="27" t="str">
        <f t="shared" si="914"/>
        <v/>
      </c>
      <c r="BE1845" s="27" t="str">
        <f t="shared" si="915"/>
        <v/>
      </c>
      <c r="BF1845" s="27" t="str">
        <f t="shared" si="916"/>
        <v/>
      </c>
      <c r="BG1845" s="27" t="str">
        <f t="shared" si="917"/>
        <v/>
      </c>
      <c r="BH1845" s="27" t="str">
        <f t="shared" si="918"/>
        <v/>
      </c>
      <c r="BI1845" s="27" t="str">
        <f t="shared" si="919"/>
        <v/>
      </c>
      <c r="BJ1845" s="27" t="str">
        <f t="shared" si="920"/>
        <v/>
      </c>
      <c r="BK1845" s="27" t="str">
        <f t="shared" si="921"/>
        <v/>
      </c>
      <c r="BL1845" s="27" t="str">
        <f t="shared" si="922"/>
        <v/>
      </c>
      <c r="BM1845" s="21" t="s">
        <v>3790</v>
      </c>
    </row>
    <row r="1846" spans="1:65" ht="15">
      <c r="A1846" s="25" t="str">
        <f>IFERROR(INDEX(#REF!,MATCH(O1846,#REF!,0)),"")</f>
        <v/>
      </c>
      <c r="B1846" s="25" t="str">
        <f>IFERROR(INDEX(#REF!,MATCH(O1846,#REF!,0)),"")</f>
        <v/>
      </c>
      <c r="C1846" s="25" t="str">
        <f>IFERROR(INDEX(#REF!,MATCH(O1846,#REF!,0)),"")</f>
        <v/>
      </c>
      <c r="D1846" s="25" t="str">
        <f>IFERROR(INDEX(#REF!,MATCH(O1846,#REF!,0)),"")</f>
        <v/>
      </c>
      <c r="E1846" s="25" t="str">
        <f>IFERROR(INDEX(#REF!,MATCH(O1846,#REF!,0)),"")</f>
        <v/>
      </c>
      <c r="F1846" s="25" t="str">
        <f>IFERROR(INDEX(#REF!,MATCH(O1846,#REF!,0)),"")</f>
        <v/>
      </c>
      <c r="G1846" s="25" t="str">
        <f>IFERROR(INDEX(#REF!,MATCH(O1846,#REF!,0)),"")</f>
        <v/>
      </c>
      <c r="H1846" s="25" t="str">
        <f>IFERROR(INDEX(#REF!,MATCH(O1846,#REF!,0)),"")</f>
        <v/>
      </c>
      <c r="I1846" s="25" t="str">
        <f>IFERROR(INDEX(#REF!,MATCH(O1846,#REF!,0)),"")</f>
        <v/>
      </c>
      <c r="J1846" s="25" t="str">
        <f>IFERROR(INDEX(#REF!,MATCH(O1846,#REF!,0)),"")</f>
        <v/>
      </c>
      <c r="K1846" s="25" t="str">
        <f>IFERROR(INDEX(#REF!,MATCH(O1846,#REF!,0)),"")</f>
        <v/>
      </c>
      <c r="L1846" s="25" t="str">
        <f>IFERROR(INDEX(#REF!,MATCH(O1846,#REF!,0)),"")</f>
        <v/>
      </c>
      <c r="P1846" s="27" t="str">
        <f>IFERROR(INDEX(#REF!,MATCH($O1846,#REF!,0)),"")</f>
        <v/>
      </c>
      <c r="Q1846" s="27" t="str">
        <f>IFERROR(INDEX(#REF!,MATCH($O1846,#REF!,0)),"")</f>
        <v/>
      </c>
      <c r="R1846" s="52" t="str">
        <f>IFERROR(IF(AR1847=AR1846,INDEX(#REF!,MATCH($O1846,#REF!,0))-IF(AN1846="",0,AN1846)+AP1847,INDEX(#REF!,MATCH($O1846,#REF!,0))-IF(AN1846="",0,AN1846)),"")</f>
        <v/>
      </c>
      <c r="S1846" s="53" t="str">
        <f t="shared" si="896"/>
        <v/>
      </c>
      <c r="T1846" s="52" t="str">
        <f t="shared" si="897"/>
        <v/>
      </c>
      <c r="U1846" s="52" t="str">
        <f>IFERROR(IF(AR1847=AR1846,INDEX(#REF!,MATCH($O1846,#REF!,0))-IF(AN1846="",0,AN1846)+AP1847,INDEX(#REF!,MATCH($O1846,#REF!,0))-IF(AN1846="",0,AN1846)),"")</f>
        <v/>
      </c>
      <c r="V1846" s="53" t="str">
        <f t="shared" si="898"/>
        <v/>
      </c>
      <c r="W1846" s="52" t="str">
        <f t="shared" si="899"/>
        <v/>
      </c>
      <c r="X1846" s="52" t="str">
        <f>IFERROR(IF(AND(AR1847=AR1846,AM1846&lt;&gt;""),INDEX(#REF!,MATCH($O1846,#REF!,0))-IF(AN1846="",0,AN1846)+AP1847+AD1846+AL1846,IF(AR1847=AR1846,INDEX(#REF!,MATCH($O1846,#REF!,0))-IF(AN1846="",0,AN1846)+AP1847+AD1846,IF(AM1846&lt;&gt;"",INDEX(#REF!,MATCH($O1846,#REF!,0))-IF(AN1846="",0,AN1846)+AD1846+AL1846,INDEX(#REF!,MATCH($O1846,#REF!,0))-IF(AN1846="",0,AN1846)+AD1846))),"")</f>
        <v/>
      </c>
      <c r="Y1846" s="53" t="str">
        <f t="shared" si="900"/>
        <v/>
      </c>
      <c r="Z1846" s="52" t="str">
        <f>IF(L1846="","",INDEX(#REF!,MATCH($O1846,#REF!,0)))</f>
        <v/>
      </c>
      <c r="AA1846" s="52" t="str">
        <f t="shared" si="901"/>
        <v/>
      </c>
      <c r="AB1846" s="52" t="str">
        <f>IFERROR(INDEX(#REF!,MATCH($O1846,#REF!,0)),"")</f>
        <v/>
      </c>
      <c r="AC1846" s="52" t="str">
        <f>IFERROR(IF(O1846="","",SUMIFS('CPL Mats'!F:F,'CPL Mats'!Q:Q,AR1846,'CPL Mats'!S:S,AS1846)),"")</f>
        <v/>
      </c>
      <c r="AF1846" s="25" t="e">
        <f>IF(SUMIFS(#REF!,#REF!,"Releasable",#REF!,O1846)=0,"",SUMIFS(#REF!,#REF!,"Releasable",#REF!,O1846))</f>
        <v>#REF!</v>
      </c>
      <c r="AG1846" s="25" t="str">
        <f>IFERROR(INDEX(#REF!,MATCH(O1846,#REF!,0)),"")</f>
        <v/>
      </c>
      <c r="AH1846" s="25" t="str">
        <f>IFERROR(INDEX(#REF!,MATCH($O1846,#REF!,0)),"")</f>
        <v/>
      </c>
      <c r="AI1846" s="25" t="e">
        <f>IF(SUMIFS(#REF!,#REF!,"Expires this month",#REF!,O1846)=0,"",SUMIFS(#REF!,#REF!,"Expires this month",#REF!,O1846))</f>
        <v>#REF!</v>
      </c>
      <c r="AJ1846" s="25" t="e">
        <f>IF(SUMIFS(#REF!,#REF!,"Expired Previous Months",#REF!,O1846)=0,"",SUMIFS(#REF!,#REF!,"Expired Previous Months",#REF!,O1846))</f>
        <v>#REF!</v>
      </c>
      <c r="AK1846" s="25" t="str">
        <f>IFERROR(INDEX('Hun Release Current'!B:B,MATCH(O1846,'Hun Release Current'!A:A,0)),"")</f>
        <v/>
      </c>
      <c r="AL1846" s="25" t="str">
        <f>IF(SUMIF('Prev Aub'!A:A,O1846,'Prev Aub'!B:B)=0,"",SUMIF('Prev Aub'!A:A,O1846,'Prev Aub'!B:B))</f>
        <v/>
      </c>
      <c r="AN1846" s="25" t="s">
        <v>3790</v>
      </c>
      <c r="AO1846" s="25" t="s">
        <v>3790</v>
      </c>
      <c r="AP1846" s="25" t="str">
        <f t="shared" si="923"/>
        <v/>
      </c>
      <c r="AQ1846" s="151" t="e">
        <f>IF(SUMIFS(#REF!,#REF!,O1846,#REF!,"PENDING")=0,"",SUMIFS(#REF!,#REF!,O1846,#REF!,"PENDING"))</f>
        <v>#REF!</v>
      </c>
      <c r="AR1846" s="27" t="str">
        <f t="shared" si="902"/>
        <v/>
      </c>
      <c r="AS1846" s="27" t="str">
        <f t="shared" si="903"/>
        <v/>
      </c>
      <c r="AT1846" s="27" t="str">
        <f t="shared" si="904"/>
        <v/>
      </c>
      <c r="AU1846" s="27" t="str">
        <f t="shared" si="905"/>
        <v/>
      </c>
      <c r="AV1846" s="27" t="str">
        <f t="shared" si="906"/>
        <v/>
      </c>
      <c r="AW1846" s="27" t="e">
        <f t="shared" si="907"/>
        <v>#REF!</v>
      </c>
      <c r="AX1846" s="27" t="e">
        <f t="shared" si="908"/>
        <v>#REF!</v>
      </c>
      <c r="AY1846" s="27" t="str">
        <f t="shared" si="909"/>
        <v/>
      </c>
      <c r="AZ1846" s="27" t="str">
        <f t="shared" si="910"/>
        <v/>
      </c>
      <c r="BA1846" s="27" t="str">
        <f t="shared" si="911"/>
        <v/>
      </c>
      <c r="BB1846" s="27" t="str">
        <f t="shared" si="912"/>
        <v/>
      </c>
      <c r="BC1846" s="27" t="str">
        <f t="shared" si="913"/>
        <v/>
      </c>
      <c r="BD1846" s="27" t="str">
        <f t="shared" si="914"/>
        <v/>
      </c>
      <c r="BE1846" s="27" t="str">
        <f t="shared" si="915"/>
        <v/>
      </c>
      <c r="BF1846" s="27" t="str">
        <f t="shared" si="916"/>
        <v/>
      </c>
      <c r="BG1846" s="27" t="str">
        <f t="shared" si="917"/>
        <v/>
      </c>
      <c r="BH1846" s="27" t="str">
        <f t="shared" si="918"/>
        <v/>
      </c>
      <c r="BI1846" s="27" t="str">
        <f t="shared" si="919"/>
        <v/>
      </c>
      <c r="BJ1846" s="27" t="str">
        <f t="shared" si="920"/>
        <v/>
      </c>
      <c r="BK1846" s="27" t="str">
        <f t="shared" si="921"/>
        <v/>
      </c>
      <c r="BL1846" s="27" t="str">
        <f t="shared" si="922"/>
        <v/>
      </c>
      <c r="BM1846" s="21" t="s">
        <v>3790</v>
      </c>
    </row>
    <row r="1847" spans="1:65" ht="15">
      <c r="A1847" s="25" t="str">
        <f>IFERROR(INDEX(#REF!,MATCH(O1847,#REF!,0)),"")</f>
        <v/>
      </c>
      <c r="B1847" s="25" t="str">
        <f>IFERROR(INDEX(#REF!,MATCH(O1847,#REF!,0)),"")</f>
        <v/>
      </c>
      <c r="C1847" s="25" t="str">
        <f>IFERROR(INDEX(#REF!,MATCH(O1847,#REF!,0)),"")</f>
        <v/>
      </c>
      <c r="D1847" s="25" t="str">
        <f>IFERROR(INDEX(#REF!,MATCH(O1847,#REF!,0)),"")</f>
        <v/>
      </c>
      <c r="E1847" s="25" t="str">
        <f>IFERROR(INDEX(#REF!,MATCH(O1847,#REF!,0)),"")</f>
        <v/>
      </c>
      <c r="F1847" s="25" t="str">
        <f>IFERROR(INDEX(#REF!,MATCH(O1847,#REF!,0)),"")</f>
        <v/>
      </c>
      <c r="G1847" s="25" t="str">
        <f>IFERROR(INDEX(#REF!,MATCH(O1847,#REF!,0)),"")</f>
        <v/>
      </c>
      <c r="H1847" s="25" t="str">
        <f>IFERROR(INDEX(#REF!,MATCH(O1847,#REF!,0)),"")</f>
        <v/>
      </c>
      <c r="I1847" s="25" t="str">
        <f>IFERROR(INDEX(#REF!,MATCH(O1847,#REF!,0)),"")</f>
        <v/>
      </c>
      <c r="J1847" s="25" t="str">
        <f>IFERROR(INDEX(#REF!,MATCH(O1847,#REF!,0)),"")</f>
        <v/>
      </c>
      <c r="K1847" s="25" t="str">
        <f>IFERROR(INDEX(#REF!,MATCH(O1847,#REF!,0)),"")</f>
        <v/>
      </c>
      <c r="L1847" s="25" t="str">
        <f>IFERROR(INDEX(#REF!,MATCH(O1847,#REF!,0)),"")</f>
        <v/>
      </c>
      <c r="P1847" s="27" t="str">
        <f>IFERROR(INDEX(#REF!,MATCH($O1847,#REF!,0)),"")</f>
        <v/>
      </c>
      <c r="Q1847" s="27" t="str">
        <f>IFERROR(INDEX(#REF!,MATCH($O1847,#REF!,0)),"")</f>
        <v/>
      </c>
      <c r="R1847" s="52" t="str">
        <f>IFERROR(IF(AR1848=AR1847,INDEX(#REF!,MATCH($O1847,#REF!,0))-IF(AN1847="",0,AN1847)+AP1848,INDEX(#REF!,MATCH($O1847,#REF!,0))-IF(AN1847="",0,AN1847)),"")</f>
        <v/>
      </c>
      <c r="S1847" s="53" t="str">
        <f t="shared" si="896"/>
        <v/>
      </c>
      <c r="T1847" s="52" t="str">
        <f t="shared" si="897"/>
        <v/>
      </c>
      <c r="U1847" s="52" t="str">
        <f>IFERROR(IF(AR1848=AR1847,INDEX(#REF!,MATCH($O1847,#REF!,0))-IF(AN1847="",0,AN1847)+AP1848,INDEX(#REF!,MATCH($O1847,#REF!,0))-IF(AN1847="",0,AN1847)),"")</f>
        <v/>
      </c>
      <c r="V1847" s="53" t="str">
        <f t="shared" si="898"/>
        <v/>
      </c>
      <c r="W1847" s="52" t="str">
        <f t="shared" si="899"/>
        <v/>
      </c>
      <c r="X1847" s="52" t="str">
        <f>IFERROR(IF(AND(AR1848=AR1847,AM1847&lt;&gt;""),INDEX(#REF!,MATCH($O1847,#REF!,0))-IF(AN1847="",0,AN1847)+AP1848+AD1847+AL1847,IF(AR1848=AR1847,INDEX(#REF!,MATCH($O1847,#REF!,0))-IF(AN1847="",0,AN1847)+AP1848+AD1847,IF(AM1847&lt;&gt;"",INDEX(#REF!,MATCH($O1847,#REF!,0))-IF(AN1847="",0,AN1847)+AD1847+AL1847,INDEX(#REF!,MATCH($O1847,#REF!,0))-IF(AN1847="",0,AN1847)+AD1847))),"")</f>
        <v/>
      </c>
      <c r="Y1847" s="53" t="str">
        <f t="shared" si="900"/>
        <v/>
      </c>
      <c r="Z1847" s="52" t="str">
        <f>IF(L1847="","",INDEX(#REF!,MATCH($O1847,#REF!,0)))</f>
        <v/>
      </c>
      <c r="AA1847" s="52" t="str">
        <f t="shared" si="901"/>
        <v/>
      </c>
      <c r="AB1847" s="52" t="str">
        <f>IFERROR(INDEX(#REF!,MATCH($O1847,#REF!,0)),"")</f>
        <v/>
      </c>
      <c r="AC1847" s="52" t="str">
        <f>IFERROR(IF(O1847="","",SUMIFS('CPL Mats'!F:F,'CPL Mats'!Q:Q,AR1847,'CPL Mats'!S:S,AS1847)),"")</f>
        <v/>
      </c>
      <c r="AF1847" s="25" t="e">
        <f>IF(SUMIFS(#REF!,#REF!,"Releasable",#REF!,O1847)=0,"",SUMIFS(#REF!,#REF!,"Releasable",#REF!,O1847))</f>
        <v>#REF!</v>
      </c>
      <c r="AG1847" s="25" t="str">
        <f>IFERROR(INDEX(#REF!,MATCH(O1847,#REF!,0)),"")</f>
        <v/>
      </c>
      <c r="AH1847" s="25" t="str">
        <f>IFERROR(INDEX(#REF!,MATCH($O1847,#REF!,0)),"")</f>
        <v/>
      </c>
      <c r="AI1847" s="25" t="e">
        <f>IF(SUMIFS(#REF!,#REF!,"Expires this month",#REF!,O1847)=0,"",SUMIFS(#REF!,#REF!,"Expires this month",#REF!,O1847))</f>
        <v>#REF!</v>
      </c>
      <c r="AJ1847" s="25" t="e">
        <f>IF(SUMIFS(#REF!,#REF!,"Expired Previous Months",#REF!,O1847)=0,"",SUMIFS(#REF!,#REF!,"Expired Previous Months",#REF!,O1847))</f>
        <v>#REF!</v>
      </c>
      <c r="AK1847" s="25" t="str">
        <f>IFERROR(INDEX('Hun Release Current'!B:B,MATCH(O1847,'Hun Release Current'!A:A,0)),"")</f>
        <v/>
      </c>
      <c r="AL1847" s="25" t="str">
        <f>IF(SUMIF('Prev Aub'!A:A,O1847,'Prev Aub'!B:B)=0,"",SUMIF('Prev Aub'!A:A,O1847,'Prev Aub'!B:B))</f>
        <v/>
      </c>
      <c r="AN1847" s="25" t="s">
        <v>3790</v>
      </c>
      <c r="AO1847" s="25" t="s">
        <v>3790</v>
      </c>
      <c r="AP1847" s="25" t="str">
        <f t="shared" si="923"/>
        <v/>
      </c>
      <c r="AQ1847" s="151" t="e">
        <f>IF(SUMIFS(#REF!,#REF!,O1847,#REF!,"PENDING")=0,"",SUMIFS(#REF!,#REF!,O1847,#REF!,"PENDING"))</f>
        <v>#REF!</v>
      </c>
      <c r="AR1847" s="27" t="str">
        <f t="shared" si="902"/>
        <v/>
      </c>
      <c r="AS1847" s="27" t="str">
        <f t="shared" si="903"/>
        <v/>
      </c>
      <c r="AT1847" s="27" t="str">
        <f t="shared" si="904"/>
        <v/>
      </c>
      <c r="AU1847" s="27" t="str">
        <f t="shared" si="905"/>
        <v/>
      </c>
      <c r="AV1847" s="27" t="str">
        <f t="shared" si="906"/>
        <v/>
      </c>
      <c r="AW1847" s="27" t="e">
        <f t="shared" si="907"/>
        <v>#REF!</v>
      </c>
      <c r="AX1847" s="27" t="e">
        <f t="shared" si="908"/>
        <v>#REF!</v>
      </c>
      <c r="AY1847" s="27" t="str">
        <f t="shared" si="909"/>
        <v/>
      </c>
      <c r="AZ1847" s="27" t="str">
        <f t="shared" si="910"/>
        <v/>
      </c>
      <c r="BA1847" s="27" t="str">
        <f t="shared" si="911"/>
        <v/>
      </c>
      <c r="BB1847" s="27" t="str">
        <f t="shared" si="912"/>
        <v/>
      </c>
      <c r="BC1847" s="27" t="str">
        <f t="shared" si="913"/>
        <v/>
      </c>
      <c r="BD1847" s="27" t="str">
        <f t="shared" si="914"/>
        <v/>
      </c>
      <c r="BE1847" s="27" t="str">
        <f t="shared" si="915"/>
        <v/>
      </c>
      <c r="BF1847" s="27" t="str">
        <f t="shared" si="916"/>
        <v/>
      </c>
      <c r="BG1847" s="27" t="str">
        <f t="shared" si="917"/>
        <v/>
      </c>
      <c r="BH1847" s="27" t="str">
        <f t="shared" si="918"/>
        <v/>
      </c>
      <c r="BI1847" s="27" t="str">
        <f t="shared" si="919"/>
        <v/>
      </c>
      <c r="BJ1847" s="27" t="str">
        <f t="shared" si="920"/>
        <v/>
      </c>
      <c r="BK1847" s="27" t="str">
        <f t="shared" si="921"/>
        <v/>
      </c>
      <c r="BL1847" s="27" t="str">
        <f t="shared" si="922"/>
        <v/>
      </c>
      <c r="BM1847" s="21" t="s">
        <v>3790</v>
      </c>
    </row>
    <row r="1848" spans="1:65" ht="15">
      <c r="A1848" s="25" t="str">
        <f>IFERROR(INDEX(#REF!,MATCH(O1848,#REF!,0)),"")</f>
        <v/>
      </c>
      <c r="B1848" s="25" t="str">
        <f>IFERROR(INDEX(#REF!,MATCH(O1848,#REF!,0)),"")</f>
        <v/>
      </c>
      <c r="C1848" s="25" t="str">
        <f>IFERROR(INDEX(#REF!,MATCH(O1848,#REF!,0)),"")</f>
        <v/>
      </c>
      <c r="D1848" s="25" t="str">
        <f>IFERROR(INDEX(#REF!,MATCH(O1848,#REF!,0)),"")</f>
        <v/>
      </c>
      <c r="E1848" s="25" t="str">
        <f>IFERROR(INDEX(#REF!,MATCH(O1848,#REF!,0)),"")</f>
        <v/>
      </c>
      <c r="F1848" s="25" t="str">
        <f>IFERROR(INDEX(#REF!,MATCH(O1848,#REF!,0)),"")</f>
        <v/>
      </c>
      <c r="G1848" s="25" t="str">
        <f>IFERROR(INDEX(#REF!,MATCH(O1848,#REF!,0)),"")</f>
        <v/>
      </c>
      <c r="H1848" s="25" t="str">
        <f>IFERROR(INDEX(#REF!,MATCH(O1848,#REF!,0)),"")</f>
        <v/>
      </c>
      <c r="I1848" s="25" t="str">
        <f>IFERROR(INDEX(#REF!,MATCH(O1848,#REF!,0)),"")</f>
        <v/>
      </c>
      <c r="J1848" s="25" t="str">
        <f>IFERROR(INDEX(#REF!,MATCH(O1848,#REF!,0)),"")</f>
        <v/>
      </c>
      <c r="K1848" s="25" t="str">
        <f>IFERROR(INDEX(#REF!,MATCH(O1848,#REF!,0)),"")</f>
        <v/>
      </c>
      <c r="L1848" s="25" t="str">
        <f>IFERROR(INDEX(#REF!,MATCH(O1848,#REF!,0)),"")</f>
        <v/>
      </c>
      <c r="P1848" s="27" t="str">
        <f>IFERROR(INDEX(#REF!,MATCH($O1848,#REF!,0)),"")</f>
        <v/>
      </c>
      <c r="Q1848" s="27" t="str">
        <f>IFERROR(INDEX(#REF!,MATCH($O1848,#REF!,0)),"")</f>
        <v/>
      </c>
      <c r="R1848" s="52" t="str">
        <f>IFERROR(IF(AR1849=AR1848,INDEX(#REF!,MATCH($O1848,#REF!,0))-IF(AN1848="",0,AN1848)+AP1849,INDEX(#REF!,MATCH($O1848,#REF!,0))-IF(AN1848="",0,AN1848)),"")</f>
        <v/>
      </c>
      <c r="S1848" s="53" t="str">
        <f t="shared" si="896"/>
        <v/>
      </c>
      <c r="T1848" s="52" t="str">
        <f t="shared" si="897"/>
        <v/>
      </c>
      <c r="U1848" s="52" t="str">
        <f>IFERROR(IF(AR1849=AR1848,INDEX(#REF!,MATCH($O1848,#REF!,0))-IF(AN1848="",0,AN1848)+AP1849,INDEX(#REF!,MATCH($O1848,#REF!,0))-IF(AN1848="",0,AN1848)),"")</f>
        <v/>
      </c>
      <c r="V1848" s="53" t="str">
        <f t="shared" si="898"/>
        <v/>
      </c>
      <c r="W1848" s="52" t="str">
        <f t="shared" si="899"/>
        <v/>
      </c>
      <c r="X1848" s="52" t="str">
        <f>IFERROR(IF(AND(AR1849=AR1848,AM1848&lt;&gt;""),INDEX(#REF!,MATCH($O1848,#REF!,0))-IF(AN1848="",0,AN1848)+AP1849+AD1848+AL1848,IF(AR1849=AR1848,INDEX(#REF!,MATCH($O1848,#REF!,0))-IF(AN1848="",0,AN1848)+AP1849+AD1848,IF(AM1848&lt;&gt;"",INDEX(#REF!,MATCH($O1848,#REF!,0))-IF(AN1848="",0,AN1848)+AD1848+AL1848,INDEX(#REF!,MATCH($O1848,#REF!,0))-IF(AN1848="",0,AN1848)+AD1848))),"")</f>
        <v/>
      </c>
      <c r="Y1848" s="53" t="str">
        <f t="shared" si="900"/>
        <v/>
      </c>
      <c r="Z1848" s="52" t="str">
        <f>IF(L1848="","",INDEX(#REF!,MATCH($O1848,#REF!,0)))</f>
        <v/>
      </c>
      <c r="AA1848" s="52" t="str">
        <f t="shared" si="901"/>
        <v/>
      </c>
      <c r="AB1848" s="52" t="str">
        <f>IFERROR(INDEX(#REF!,MATCH($O1848,#REF!,0)),"")</f>
        <v/>
      </c>
      <c r="AC1848" s="52" t="str">
        <f>IFERROR(IF(O1848="","",SUMIFS('CPL Mats'!F:F,'CPL Mats'!Q:Q,AR1848,'CPL Mats'!S:S,AS1848)),"")</f>
        <v/>
      </c>
      <c r="AF1848" s="25" t="e">
        <f>IF(SUMIFS(#REF!,#REF!,"Releasable",#REF!,O1848)=0,"",SUMIFS(#REF!,#REF!,"Releasable",#REF!,O1848))</f>
        <v>#REF!</v>
      </c>
      <c r="AG1848" s="25" t="str">
        <f>IFERROR(INDEX(#REF!,MATCH(O1848,#REF!,0)),"")</f>
        <v/>
      </c>
      <c r="AH1848" s="25" t="str">
        <f>IFERROR(INDEX(#REF!,MATCH($O1848,#REF!,0)),"")</f>
        <v/>
      </c>
      <c r="AI1848" s="25" t="e">
        <f>IF(SUMIFS(#REF!,#REF!,"Expires this month",#REF!,O1848)=0,"",SUMIFS(#REF!,#REF!,"Expires this month",#REF!,O1848))</f>
        <v>#REF!</v>
      </c>
      <c r="AJ1848" s="25" t="e">
        <f>IF(SUMIFS(#REF!,#REF!,"Expired Previous Months",#REF!,O1848)=0,"",SUMIFS(#REF!,#REF!,"Expired Previous Months",#REF!,O1848))</f>
        <v>#REF!</v>
      </c>
      <c r="AK1848" s="25" t="str">
        <f>IFERROR(INDEX('Hun Release Current'!B:B,MATCH(O1848,'Hun Release Current'!A:A,0)),"")</f>
        <v/>
      </c>
      <c r="AL1848" s="25" t="str">
        <f>IF(SUMIF('Prev Aub'!A:A,O1848,'Prev Aub'!B:B)=0,"",SUMIF('Prev Aub'!A:A,O1848,'Prev Aub'!B:B))</f>
        <v/>
      </c>
      <c r="AN1848" s="25" t="s">
        <v>3790</v>
      </c>
      <c r="AO1848" s="25" t="s">
        <v>3790</v>
      </c>
      <c r="AP1848" s="25" t="str">
        <f t="shared" si="923"/>
        <v/>
      </c>
      <c r="AQ1848" s="151" t="e">
        <f>IF(SUMIFS(#REF!,#REF!,O1848,#REF!,"PENDING")=0,"",SUMIFS(#REF!,#REF!,O1848,#REF!,"PENDING"))</f>
        <v>#REF!</v>
      </c>
      <c r="AR1848" s="27" t="str">
        <f t="shared" si="902"/>
        <v/>
      </c>
      <c r="AS1848" s="27" t="str">
        <f t="shared" si="903"/>
        <v/>
      </c>
      <c r="AT1848" s="27" t="str">
        <f t="shared" si="904"/>
        <v/>
      </c>
      <c r="AU1848" s="27" t="str">
        <f t="shared" si="905"/>
        <v/>
      </c>
      <c r="AV1848" s="27" t="str">
        <f t="shared" si="906"/>
        <v/>
      </c>
      <c r="AW1848" s="27" t="e">
        <f t="shared" si="907"/>
        <v>#REF!</v>
      </c>
      <c r="AX1848" s="27" t="e">
        <f t="shared" si="908"/>
        <v>#REF!</v>
      </c>
      <c r="AY1848" s="27" t="str">
        <f t="shared" si="909"/>
        <v/>
      </c>
      <c r="AZ1848" s="27" t="str">
        <f t="shared" si="910"/>
        <v/>
      </c>
      <c r="BA1848" s="27" t="str">
        <f t="shared" si="911"/>
        <v/>
      </c>
      <c r="BB1848" s="27" t="str">
        <f t="shared" si="912"/>
        <v/>
      </c>
      <c r="BC1848" s="27" t="str">
        <f t="shared" si="913"/>
        <v/>
      </c>
      <c r="BD1848" s="27" t="str">
        <f t="shared" si="914"/>
        <v/>
      </c>
      <c r="BE1848" s="27" t="str">
        <f t="shared" si="915"/>
        <v/>
      </c>
      <c r="BF1848" s="27" t="str">
        <f t="shared" si="916"/>
        <v/>
      </c>
      <c r="BG1848" s="27" t="str">
        <f t="shared" si="917"/>
        <v/>
      </c>
      <c r="BH1848" s="27" t="str">
        <f t="shared" si="918"/>
        <v/>
      </c>
      <c r="BI1848" s="27" t="str">
        <f t="shared" si="919"/>
        <v/>
      </c>
      <c r="BJ1848" s="27" t="str">
        <f t="shared" si="920"/>
        <v/>
      </c>
      <c r="BK1848" s="27" t="str">
        <f t="shared" si="921"/>
        <v/>
      </c>
      <c r="BL1848" s="27" t="str">
        <f t="shared" si="922"/>
        <v/>
      </c>
      <c r="BM1848" s="21" t="s">
        <v>3790</v>
      </c>
    </row>
    <row r="1849" spans="1:65" ht="15">
      <c r="A1849" s="25" t="str">
        <f>IFERROR(INDEX(#REF!,MATCH(O1849,#REF!,0)),"")</f>
        <v/>
      </c>
      <c r="B1849" s="25" t="str">
        <f>IFERROR(INDEX(#REF!,MATCH(O1849,#REF!,0)),"")</f>
        <v/>
      </c>
      <c r="C1849" s="25" t="str">
        <f>IFERROR(INDEX(#REF!,MATCH(O1849,#REF!,0)),"")</f>
        <v/>
      </c>
      <c r="D1849" s="25" t="str">
        <f>IFERROR(INDEX(#REF!,MATCH(O1849,#REF!,0)),"")</f>
        <v/>
      </c>
      <c r="E1849" s="25" t="str">
        <f>IFERROR(INDEX(#REF!,MATCH(O1849,#REF!,0)),"")</f>
        <v/>
      </c>
      <c r="F1849" s="25" t="str">
        <f>IFERROR(INDEX(#REF!,MATCH(O1849,#REF!,0)),"")</f>
        <v/>
      </c>
      <c r="G1849" s="25" t="str">
        <f>IFERROR(INDEX(#REF!,MATCH(O1849,#REF!,0)),"")</f>
        <v/>
      </c>
      <c r="H1849" s="25" t="str">
        <f>IFERROR(INDEX(#REF!,MATCH(O1849,#REF!,0)),"")</f>
        <v/>
      </c>
      <c r="I1849" s="25" t="str">
        <f>IFERROR(INDEX(#REF!,MATCH(O1849,#REF!,0)),"")</f>
        <v/>
      </c>
      <c r="J1849" s="25" t="str">
        <f>IFERROR(INDEX(#REF!,MATCH(O1849,#REF!,0)),"")</f>
        <v/>
      </c>
      <c r="K1849" s="25" t="str">
        <f>IFERROR(INDEX(#REF!,MATCH(O1849,#REF!,0)),"")</f>
        <v/>
      </c>
      <c r="L1849" s="25" t="str">
        <f>IFERROR(INDEX(#REF!,MATCH(O1849,#REF!,0)),"")</f>
        <v/>
      </c>
      <c r="P1849" s="27" t="str">
        <f>IFERROR(INDEX(#REF!,MATCH($O1849,#REF!,0)),"")</f>
        <v/>
      </c>
      <c r="Q1849" s="27" t="str">
        <f>IFERROR(INDEX(#REF!,MATCH($O1849,#REF!,0)),"")</f>
        <v/>
      </c>
      <c r="R1849" s="52" t="str">
        <f>IFERROR(IF(AR1850=AR1849,INDEX(#REF!,MATCH($O1849,#REF!,0))-IF(AN1849="",0,AN1849)+AP1850,INDEX(#REF!,MATCH($O1849,#REF!,0))-IF(AN1849="",0,AN1849)),"")</f>
        <v/>
      </c>
      <c r="S1849" s="53" t="str">
        <f t="shared" si="896"/>
        <v/>
      </c>
      <c r="T1849" s="52" t="str">
        <f t="shared" si="897"/>
        <v/>
      </c>
      <c r="U1849" s="52" t="str">
        <f>IFERROR(IF(AR1850=AR1849,INDEX(#REF!,MATCH($O1849,#REF!,0))-IF(AN1849="",0,AN1849)+AP1850,INDEX(#REF!,MATCH($O1849,#REF!,0))-IF(AN1849="",0,AN1849)),"")</f>
        <v/>
      </c>
      <c r="V1849" s="53" t="str">
        <f t="shared" si="898"/>
        <v/>
      </c>
      <c r="W1849" s="52" t="str">
        <f t="shared" si="899"/>
        <v/>
      </c>
      <c r="X1849" s="52" t="str">
        <f>IFERROR(IF(AND(AR1850=AR1849,AM1849&lt;&gt;""),INDEX(#REF!,MATCH($O1849,#REF!,0))-IF(AN1849="",0,AN1849)+AP1850+AD1849+AL1849,IF(AR1850=AR1849,INDEX(#REF!,MATCH($O1849,#REF!,0))-IF(AN1849="",0,AN1849)+AP1850+AD1849,IF(AM1849&lt;&gt;"",INDEX(#REF!,MATCH($O1849,#REF!,0))-IF(AN1849="",0,AN1849)+AD1849+AL1849,INDEX(#REF!,MATCH($O1849,#REF!,0))-IF(AN1849="",0,AN1849)+AD1849))),"")</f>
        <v/>
      </c>
      <c r="Y1849" s="53" t="str">
        <f t="shared" si="900"/>
        <v/>
      </c>
      <c r="Z1849" s="52" t="str">
        <f>IF(L1849="","",INDEX(#REF!,MATCH($O1849,#REF!,0)))</f>
        <v/>
      </c>
      <c r="AA1849" s="52" t="str">
        <f t="shared" si="901"/>
        <v/>
      </c>
      <c r="AB1849" s="52" t="str">
        <f>IFERROR(INDEX(#REF!,MATCH($O1849,#REF!,0)),"")</f>
        <v/>
      </c>
      <c r="AC1849" s="52" t="str">
        <f>IFERROR(IF(O1849="","",SUMIFS('CPL Mats'!F:F,'CPL Mats'!Q:Q,AR1849,'CPL Mats'!S:S,AS1849)),"")</f>
        <v/>
      </c>
      <c r="AF1849" s="25" t="e">
        <f>IF(SUMIFS(#REF!,#REF!,"Releasable",#REF!,O1849)=0,"",SUMIFS(#REF!,#REF!,"Releasable",#REF!,O1849))</f>
        <v>#REF!</v>
      </c>
      <c r="AG1849" s="25" t="str">
        <f>IFERROR(INDEX(#REF!,MATCH(O1849,#REF!,0)),"")</f>
        <v/>
      </c>
      <c r="AH1849" s="25" t="str">
        <f>IFERROR(INDEX(#REF!,MATCH($O1849,#REF!,0)),"")</f>
        <v/>
      </c>
      <c r="AI1849" s="25" t="e">
        <f>IF(SUMIFS(#REF!,#REF!,"Expires this month",#REF!,O1849)=0,"",SUMIFS(#REF!,#REF!,"Expires this month",#REF!,O1849))</f>
        <v>#REF!</v>
      </c>
      <c r="AJ1849" s="25" t="e">
        <f>IF(SUMIFS(#REF!,#REF!,"Expired Previous Months",#REF!,O1849)=0,"",SUMIFS(#REF!,#REF!,"Expired Previous Months",#REF!,O1849))</f>
        <v>#REF!</v>
      </c>
      <c r="AK1849" s="25" t="str">
        <f>IFERROR(INDEX('Hun Release Current'!B:B,MATCH(O1849,'Hun Release Current'!A:A,0)),"")</f>
        <v/>
      </c>
      <c r="AL1849" s="25" t="str">
        <f>IF(SUMIF('Prev Aub'!A:A,O1849,'Prev Aub'!B:B)=0,"",SUMIF('Prev Aub'!A:A,O1849,'Prev Aub'!B:B))</f>
        <v/>
      </c>
      <c r="AN1849" s="25" t="s">
        <v>3790</v>
      </c>
      <c r="AO1849" s="25" t="s">
        <v>3790</v>
      </c>
      <c r="AP1849" s="25" t="str">
        <f t="shared" si="923"/>
        <v/>
      </c>
      <c r="AQ1849" s="151" t="e">
        <f>IF(SUMIFS(#REF!,#REF!,O1849,#REF!,"PENDING")=0,"",SUMIFS(#REF!,#REF!,O1849,#REF!,"PENDING"))</f>
        <v>#REF!</v>
      </c>
      <c r="AR1849" s="27" t="str">
        <f t="shared" si="902"/>
        <v/>
      </c>
      <c r="AS1849" s="27" t="str">
        <f t="shared" si="903"/>
        <v/>
      </c>
      <c r="AT1849" s="27" t="str">
        <f t="shared" si="904"/>
        <v/>
      </c>
      <c r="AU1849" s="27" t="str">
        <f t="shared" si="905"/>
        <v/>
      </c>
      <c r="AV1849" s="27" t="str">
        <f t="shared" si="906"/>
        <v/>
      </c>
      <c r="AW1849" s="27" t="e">
        <f t="shared" si="907"/>
        <v>#REF!</v>
      </c>
      <c r="AX1849" s="27" t="e">
        <f t="shared" si="908"/>
        <v>#REF!</v>
      </c>
      <c r="AY1849" s="27" t="str">
        <f t="shared" si="909"/>
        <v/>
      </c>
      <c r="AZ1849" s="27" t="str">
        <f t="shared" si="910"/>
        <v/>
      </c>
      <c r="BA1849" s="27" t="str">
        <f t="shared" si="911"/>
        <v/>
      </c>
      <c r="BB1849" s="27" t="str">
        <f t="shared" si="912"/>
        <v/>
      </c>
      <c r="BC1849" s="27" t="str">
        <f t="shared" si="913"/>
        <v/>
      </c>
      <c r="BD1849" s="27" t="str">
        <f t="shared" si="914"/>
        <v/>
      </c>
      <c r="BE1849" s="27" t="str">
        <f t="shared" si="915"/>
        <v/>
      </c>
      <c r="BF1849" s="27" t="str">
        <f t="shared" si="916"/>
        <v/>
      </c>
      <c r="BG1849" s="27" t="str">
        <f t="shared" si="917"/>
        <v/>
      </c>
      <c r="BH1849" s="27" t="str">
        <f t="shared" si="918"/>
        <v/>
      </c>
      <c r="BI1849" s="27" t="str">
        <f t="shared" si="919"/>
        <v/>
      </c>
      <c r="BJ1849" s="27" t="str">
        <f t="shared" si="920"/>
        <v/>
      </c>
      <c r="BK1849" s="27" t="str">
        <f t="shared" si="921"/>
        <v/>
      </c>
      <c r="BL1849" s="27" t="str">
        <f t="shared" si="922"/>
        <v/>
      </c>
      <c r="BM1849" s="21" t="s">
        <v>3790</v>
      </c>
    </row>
    <row r="1850" spans="1:65" ht="15">
      <c r="A1850" s="25" t="str">
        <f>IFERROR(INDEX(#REF!,MATCH(O1850,#REF!,0)),"")</f>
        <v/>
      </c>
      <c r="B1850" s="25" t="str">
        <f>IFERROR(INDEX(#REF!,MATCH(O1850,#REF!,0)),"")</f>
        <v/>
      </c>
      <c r="C1850" s="25" t="str">
        <f>IFERROR(INDEX(#REF!,MATCH(O1850,#REF!,0)),"")</f>
        <v/>
      </c>
      <c r="D1850" s="25" t="str">
        <f>IFERROR(INDEX(#REF!,MATCH(O1850,#REF!,0)),"")</f>
        <v/>
      </c>
      <c r="E1850" s="25" t="str">
        <f>IFERROR(INDEX(#REF!,MATCH(O1850,#REF!,0)),"")</f>
        <v/>
      </c>
      <c r="F1850" s="25" t="str">
        <f>IFERROR(INDEX(#REF!,MATCH(O1850,#REF!,0)),"")</f>
        <v/>
      </c>
      <c r="G1850" s="25" t="str">
        <f>IFERROR(INDEX(#REF!,MATCH(O1850,#REF!,0)),"")</f>
        <v/>
      </c>
      <c r="H1850" s="25" t="str">
        <f>IFERROR(INDEX(#REF!,MATCH(O1850,#REF!,0)),"")</f>
        <v/>
      </c>
      <c r="I1850" s="25" t="str">
        <f>IFERROR(INDEX(#REF!,MATCH(O1850,#REF!,0)),"")</f>
        <v/>
      </c>
      <c r="J1850" s="25" t="str">
        <f>IFERROR(INDEX(#REF!,MATCH(O1850,#REF!,0)),"")</f>
        <v/>
      </c>
      <c r="K1850" s="25" t="str">
        <f>IFERROR(INDEX(#REF!,MATCH(O1850,#REF!,0)),"")</f>
        <v/>
      </c>
      <c r="L1850" s="25" t="str">
        <f>IFERROR(INDEX(#REF!,MATCH(O1850,#REF!,0)),"")</f>
        <v/>
      </c>
      <c r="P1850" s="27" t="str">
        <f>IFERROR(INDEX(#REF!,MATCH($O1850,#REF!,0)),"")</f>
        <v/>
      </c>
      <c r="Q1850" s="27" t="str">
        <f>IFERROR(INDEX(#REF!,MATCH($O1850,#REF!,0)),"")</f>
        <v/>
      </c>
      <c r="R1850" s="52" t="str">
        <f>IFERROR(IF(AR1851=AR1850,INDEX(#REF!,MATCH($O1850,#REF!,0))-IF(AN1850="",0,AN1850)+AP1851,INDEX(#REF!,MATCH($O1850,#REF!,0))-IF(AN1850="",0,AN1850)),"")</f>
        <v/>
      </c>
      <c r="S1850" s="53" t="str">
        <f t="shared" si="896"/>
        <v/>
      </c>
      <c r="T1850" s="52" t="str">
        <f t="shared" si="897"/>
        <v/>
      </c>
      <c r="U1850" s="52" t="str">
        <f>IFERROR(IF(AR1851=AR1850,INDEX(#REF!,MATCH($O1850,#REF!,0))-IF(AN1850="",0,AN1850)+AP1851,INDEX(#REF!,MATCH($O1850,#REF!,0))-IF(AN1850="",0,AN1850)),"")</f>
        <v/>
      </c>
      <c r="V1850" s="53" t="str">
        <f t="shared" si="898"/>
        <v/>
      </c>
      <c r="W1850" s="52" t="str">
        <f t="shared" si="899"/>
        <v/>
      </c>
      <c r="X1850" s="52" t="str">
        <f>IFERROR(IF(AND(AR1851=AR1850,AM1850&lt;&gt;""),INDEX(#REF!,MATCH($O1850,#REF!,0))-IF(AN1850="",0,AN1850)+AP1851+AD1850+AL1850,IF(AR1851=AR1850,INDEX(#REF!,MATCH($O1850,#REF!,0))-IF(AN1850="",0,AN1850)+AP1851+AD1850,IF(AM1850&lt;&gt;"",INDEX(#REF!,MATCH($O1850,#REF!,0))-IF(AN1850="",0,AN1850)+AD1850+AL1850,INDEX(#REF!,MATCH($O1850,#REF!,0))-IF(AN1850="",0,AN1850)+AD1850))),"")</f>
        <v/>
      </c>
      <c r="Y1850" s="53" t="str">
        <f t="shared" si="900"/>
        <v/>
      </c>
      <c r="Z1850" s="52" t="str">
        <f>IF(L1850="","",INDEX(#REF!,MATCH($O1850,#REF!,0)))</f>
        <v/>
      </c>
      <c r="AA1850" s="52" t="str">
        <f t="shared" si="901"/>
        <v/>
      </c>
      <c r="AB1850" s="52" t="str">
        <f>IFERROR(INDEX(#REF!,MATCH($O1850,#REF!,0)),"")</f>
        <v/>
      </c>
      <c r="AC1850" s="52" t="str">
        <f>IFERROR(IF(O1850="","",SUMIFS('CPL Mats'!F:F,'CPL Mats'!Q:Q,AR1850,'CPL Mats'!S:S,AS1850)),"")</f>
        <v/>
      </c>
      <c r="AF1850" s="25" t="e">
        <f>IF(SUMIFS(#REF!,#REF!,"Releasable",#REF!,O1850)=0,"",SUMIFS(#REF!,#REF!,"Releasable",#REF!,O1850))</f>
        <v>#REF!</v>
      </c>
      <c r="AG1850" s="25" t="str">
        <f>IFERROR(INDEX(#REF!,MATCH(O1850,#REF!,0)),"")</f>
        <v/>
      </c>
      <c r="AH1850" s="25" t="str">
        <f>IFERROR(INDEX(#REF!,MATCH($O1850,#REF!,0)),"")</f>
        <v/>
      </c>
      <c r="AI1850" s="25" t="e">
        <f>IF(SUMIFS(#REF!,#REF!,"Expires this month",#REF!,O1850)=0,"",SUMIFS(#REF!,#REF!,"Expires this month",#REF!,O1850))</f>
        <v>#REF!</v>
      </c>
      <c r="AJ1850" s="25" t="e">
        <f>IF(SUMIFS(#REF!,#REF!,"Expired Previous Months",#REF!,O1850)=0,"",SUMIFS(#REF!,#REF!,"Expired Previous Months",#REF!,O1850))</f>
        <v>#REF!</v>
      </c>
      <c r="AK1850" s="25" t="str">
        <f>IFERROR(INDEX('Hun Release Current'!B:B,MATCH(O1850,'Hun Release Current'!A:A,0)),"")</f>
        <v/>
      </c>
      <c r="AL1850" s="25" t="str">
        <f>IF(SUMIF('Prev Aub'!A:A,O1850,'Prev Aub'!B:B)=0,"",SUMIF('Prev Aub'!A:A,O1850,'Prev Aub'!B:B))</f>
        <v/>
      </c>
      <c r="AN1850" s="25" t="s">
        <v>3790</v>
      </c>
      <c r="AO1850" s="25" t="s">
        <v>3790</v>
      </c>
      <c r="AP1850" s="25" t="str">
        <f t="shared" si="923"/>
        <v/>
      </c>
      <c r="AQ1850" s="151" t="e">
        <f>IF(SUMIFS(#REF!,#REF!,O1850,#REF!,"PENDING")=0,"",SUMIFS(#REF!,#REF!,O1850,#REF!,"PENDING"))</f>
        <v>#REF!</v>
      </c>
      <c r="AR1850" s="27" t="str">
        <f t="shared" si="902"/>
        <v/>
      </c>
      <c r="AS1850" s="27" t="str">
        <f t="shared" si="903"/>
        <v/>
      </c>
      <c r="AT1850" s="27" t="str">
        <f t="shared" si="904"/>
        <v/>
      </c>
      <c r="AU1850" s="27" t="str">
        <f t="shared" si="905"/>
        <v/>
      </c>
      <c r="AV1850" s="27" t="str">
        <f t="shared" si="906"/>
        <v/>
      </c>
      <c r="AW1850" s="27" t="e">
        <f t="shared" si="907"/>
        <v>#REF!</v>
      </c>
      <c r="AX1850" s="27" t="e">
        <f t="shared" si="908"/>
        <v>#REF!</v>
      </c>
      <c r="AY1850" s="27" t="str">
        <f t="shared" si="909"/>
        <v/>
      </c>
      <c r="AZ1850" s="27" t="str">
        <f t="shared" si="910"/>
        <v/>
      </c>
      <c r="BA1850" s="27" t="str">
        <f t="shared" si="911"/>
        <v/>
      </c>
      <c r="BB1850" s="27" t="str">
        <f t="shared" si="912"/>
        <v/>
      </c>
      <c r="BC1850" s="27" t="str">
        <f t="shared" si="913"/>
        <v/>
      </c>
      <c r="BD1850" s="27" t="str">
        <f t="shared" si="914"/>
        <v/>
      </c>
      <c r="BE1850" s="27" t="str">
        <f t="shared" si="915"/>
        <v/>
      </c>
      <c r="BF1850" s="27" t="str">
        <f t="shared" si="916"/>
        <v/>
      </c>
      <c r="BG1850" s="27" t="str">
        <f t="shared" si="917"/>
        <v/>
      </c>
      <c r="BH1850" s="27" t="str">
        <f t="shared" si="918"/>
        <v/>
      </c>
      <c r="BI1850" s="27" t="str">
        <f t="shared" si="919"/>
        <v/>
      </c>
      <c r="BJ1850" s="27" t="str">
        <f t="shared" si="920"/>
        <v/>
      </c>
      <c r="BK1850" s="27" t="str">
        <f t="shared" si="921"/>
        <v/>
      </c>
      <c r="BL1850" s="27" t="str">
        <f t="shared" si="922"/>
        <v/>
      </c>
      <c r="BM1850" s="21" t="s">
        <v>3790</v>
      </c>
    </row>
    <row r="1851" spans="1:65" ht="15">
      <c r="A1851" s="25" t="str">
        <f>IFERROR(INDEX(#REF!,MATCH(O1851,#REF!,0)),"")</f>
        <v/>
      </c>
      <c r="B1851" s="25" t="str">
        <f>IFERROR(INDEX(#REF!,MATCH(O1851,#REF!,0)),"")</f>
        <v/>
      </c>
      <c r="C1851" s="25" t="str">
        <f>IFERROR(INDEX(#REF!,MATCH(O1851,#REF!,0)),"")</f>
        <v/>
      </c>
      <c r="D1851" s="25" t="str">
        <f>IFERROR(INDEX(#REF!,MATCH(O1851,#REF!,0)),"")</f>
        <v/>
      </c>
      <c r="E1851" s="25" t="str">
        <f>IFERROR(INDEX(#REF!,MATCH(O1851,#REF!,0)),"")</f>
        <v/>
      </c>
      <c r="F1851" s="25" t="str">
        <f>IFERROR(INDEX(#REF!,MATCH(O1851,#REF!,0)),"")</f>
        <v/>
      </c>
      <c r="G1851" s="25" t="str">
        <f>IFERROR(INDEX(#REF!,MATCH(O1851,#REF!,0)),"")</f>
        <v/>
      </c>
      <c r="H1851" s="25" t="str">
        <f>IFERROR(INDEX(#REF!,MATCH(O1851,#REF!,0)),"")</f>
        <v/>
      </c>
      <c r="I1851" s="25" t="str">
        <f>IFERROR(INDEX(#REF!,MATCH(O1851,#REF!,0)),"")</f>
        <v/>
      </c>
      <c r="J1851" s="25" t="str">
        <f>IFERROR(INDEX(#REF!,MATCH(O1851,#REF!,0)),"")</f>
        <v/>
      </c>
      <c r="K1851" s="25" t="str">
        <f>IFERROR(INDEX(#REF!,MATCH(O1851,#REF!,0)),"")</f>
        <v/>
      </c>
      <c r="L1851" s="25" t="str">
        <f>IFERROR(INDEX(#REF!,MATCH(O1851,#REF!,0)),"")</f>
        <v/>
      </c>
      <c r="P1851" s="27" t="str">
        <f>IFERROR(INDEX(#REF!,MATCH($O1851,#REF!,0)),"")</f>
        <v/>
      </c>
      <c r="Q1851" s="27" t="str">
        <f>IFERROR(INDEX(#REF!,MATCH($O1851,#REF!,0)),"")</f>
        <v/>
      </c>
      <c r="R1851" s="52" t="str">
        <f>IFERROR(IF(AR1852=AR1851,INDEX(#REF!,MATCH($O1851,#REF!,0))-IF(AN1851="",0,AN1851)+AP1852,INDEX(#REF!,MATCH($O1851,#REF!,0))-IF(AN1851="",0,AN1851)),"")</f>
        <v/>
      </c>
      <c r="S1851" s="53" t="str">
        <f t="shared" si="896"/>
        <v/>
      </c>
      <c r="T1851" s="52" t="str">
        <f t="shared" si="897"/>
        <v/>
      </c>
      <c r="U1851" s="52" t="str">
        <f>IFERROR(IF(AR1852=AR1851,INDEX(#REF!,MATCH($O1851,#REF!,0))-IF(AN1851="",0,AN1851)+AP1852,INDEX(#REF!,MATCH($O1851,#REF!,0))-IF(AN1851="",0,AN1851)),"")</f>
        <v/>
      </c>
      <c r="V1851" s="53" t="str">
        <f t="shared" si="898"/>
        <v/>
      </c>
      <c r="W1851" s="52" t="str">
        <f t="shared" si="899"/>
        <v/>
      </c>
      <c r="X1851" s="52" t="str">
        <f>IFERROR(IF(AND(AR1852=AR1851,AM1851&lt;&gt;""),INDEX(#REF!,MATCH($O1851,#REF!,0))-IF(AN1851="",0,AN1851)+AP1852+AD1851+AL1851,IF(AR1852=AR1851,INDEX(#REF!,MATCH($O1851,#REF!,0))-IF(AN1851="",0,AN1851)+AP1852+AD1851,IF(AM1851&lt;&gt;"",INDEX(#REF!,MATCH($O1851,#REF!,0))-IF(AN1851="",0,AN1851)+AD1851+AL1851,INDEX(#REF!,MATCH($O1851,#REF!,0))-IF(AN1851="",0,AN1851)+AD1851))),"")</f>
        <v/>
      </c>
      <c r="Y1851" s="53" t="str">
        <f t="shared" si="900"/>
        <v/>
      </c>
      <c r="Z1851" s="52" t="str">
        <f>IF(L1851="","",INDEX(#REF!,MATCH($O1851,#REF!,0)))</f>
        <v/>
      </c>
      <c r="AA1851" s="52" t="str">
        <f t="shared" si="901"/>
        <v/>
      </c>
      <c r="AB1851" s="52" t="str">
        <f>IFERROR(INDEX(#REF!,MATCH($O1851,#REF!,0)),"")</f>
        <v/>
      </c>
      <c r="AC1851" s="52" t="str">
        <f>IFERROR(IF(O1851="","",SUMIFS('CPL Mats'!F:F,'CPL Mats'!Q:Q,AR1851,'CPL Mats'!S:S,AS1851)),"")</f>
        <v/>
      </c>
      <c r="AF1851" s="25" t="e">
        <f>IF(SUMIFS(#REF!,#REF!,"Releasable",#REF!,O1851)=0,"",SUMIFS(#REF!,#REF!,"Releasable",#REF!,O1851))</f>
        <v>#REF!</v>
      </c>
      <c r="AG1851" s="25" t="str">
        <f>IFERROR(INDEX(#REF!,MATCH(O1851,#REF!,0)),"")</f>
        <v/>
      </c>
      <c r="AH1851" s="25" t="str">
        <f>IFERROR(INDEX(#REF!,MATCH($O1851,#REF!,0)),"")</f>
        <v/>
      </c>
      <c r="AI1851" s="25" t="e">
        <f>IF(SUMIFS(#REF!,#REF!,"Expires this month",#REF!,O1851)=0,"",SUMIFS(#REF!,#REF!,"Expires this month",#REF!,O1851))</f>
        <v>#REF!</v>
      </c>
      <c r="AJ1851" s="25" t="e">
        <f>IF(SUMIFS(#REF!,#REF!,"Expired Previous Months",#REF!,O1851)=0,"",SUMIFS(#REF!,#REF!,"Expired Previous Months",#REF!,O1851))</f>
        <v>#REF!</v>
      </c>
      <c r="AK1851" s="25" t="str">
        <f>IFERROR(INDEX('Hun Release Current'!B:B,MATCH(O1851,'Hun Release Current'!A:A,0)),"")</f>
        <v/>
      </c>
      <c r="AL1851" s="25" t="str">
        <f>IF(SUMIF('Prev Aub'!A:A,O1851,'Prev Aub'!B:B)=0,"",SUMIF('Prev Aub'!A:A,O1851,'Prev Aub'!B:B))</f>
        <v/>
      </c>
      <c r="AN1851" s="25" t="s">
        <v>3790</v>
      </c>
      <c r="AO1851" s="25" t="s">
        <v>3790</v>
      </c>
      <c r="AP1851" s="25" t="str">
        <f t="shared" si="923"/>
        <v/>
      </c>
      <c r="AQ1851" s="151" t="e">
        <f>IF(SUMIFS(#REF!,#REF!,O1851,#REF!,"PENDING")=0,"",SUMIFS(#REF!,#REF!,O1851,#REF!,"PENDING"))</f>
        <v>#REF!</v>
      </c>
      <c r="AR1851" s="27" t="str">
        <f t="shared" si="902"/>
        <v/>
      </c>
      <c r="AS1851" s="27" t="str">
        <f t="shared" si="903"/>
        <v/>
      </c>
      <c r="AT1851" s="27" t="str">
        <f t="shared" si="904"/>
        <v/>
      </c>
      <c r="AU1851" s="27" t="str">
        <f t="shared" si="905"/>
        <v/>
      </c>
      <c r="AV1851" s="27" t="str">
        <f t="shared" si="906"/>
        <v/>
      </c>
      <c r="AW1851" s="27" t="e">
        <f t="shared" si="907"/>
        <v>#REF!</v>
      </c>
      <c r="AX1851" s="27" t="e">
        <f t="shared" si="908"/>
        <v>#REF!</v>
      </c>
      <c r="AY1851" s="27" t="str">
        <f t="shared" si="909"/>
        <v/>
      </c>
      <c r="AZ1851" s="27" t="str">
        <f t="shared" si="910"/>
        <v/>
      </c>
      <c r="BA1851" s="27" t="str">
        <f t="shared" si="911"/>
        <v/>
      </c>
      <c r="BB1851" s="27" t="str">
        <f t="shared" si="912"/>
        <v/>
      </c>
      <c r="BC1851" s="27" t="str">
        <f t="shared" si="913"/>
        <v/>
      </c>
      <c r="BD1851" s="27" t="str">
        <f t="shared" si="914"/>
        <v/>
      </c>
      <c r="BE1851" s="27" t="str">
        <f t="shared" si="915"/>
        <v/>
      </c>
      <c r="BF1851" s="27" t="str">
        <f t="shared" si="916"/>
        <v/>
      </c>
      <c r="BG1851" s="27" t="str">
        <f t="shared" si="917"/>
        <v/>
      </c>
      <c r="BH1851" s="27" t="str">
        <f t="shared" si="918"/>
        <v/>
      </c>
      <c r="BI1851" s="27" t="str">
        <f t="shared" si="919"/>
        <v/>
      </c>
      <c r="BJ1851" s="27" t="str">
        <f t="shared" si="920"/>
        <v/>
      </c>
      <c r="BK1851" s="27" t="str">
        <f t="shared" si="921"/>
        <v/>
      </c>
      <c r="BL1851" s="27" t="str">
        <f t="shared" si="922"/>
        <v/>
      </c>
      <c r="BM1851" s="21" t="s">
        <v>3790</v>
      </c>
    </row>
    <row r="1852" spans="1:65" ht="15">
      <c r="A1852" s="25" t="str">
        <f>IFERROR(INDEX(#REF!,MATCH(O1852,#REF!,0)),"")</f>
        <v/>
      </c>
      <c r="B1852" s="25" t="str">
        <f>IFERROR(INDEX(#REF!,MATCH(O1852,#REF!,0)),"")</f>
        <v/>
      </c>
      <c r="C1852" s="25" t="str">
        <f>IFERROR(INDEX(#REF!,MATCH(O1852,#REF!,0)),"")</f>
        <v/>
      </c>
      <c r="D1852" s="25" t="str">
        <f>IFERROR(INDEX(#REF!,MATCH(O1852,#REF!,0)),"")</f>
        <v/>
      </c>
      <c r="E1852" s="25" t="str">
        <f>IFERROR(INDEX(#REF!,MATCH(O1852,#REF!,0)),"")</f>
        <v/>
      </c>
      <c r="F1852" s="25" t="str">
        <f>IFERROR(INDEX(#REF!,MATCH(O1852,#REF!,0)),"")</f>
        <v/>
      </c>
      <c r="G1852" s="25" t="str">
        <f>IFERROR(INDEX(#REF!,MATCH(O1852,#REF!,0)),"")</f>
        <v/>
      </c>
      <c r="H1852" s="25" t="str">
        <f>IFERROR(INDEX(#REF!,MATCH(O1852,#REF!,0)),"")</f>
        <v/>
      </c>
      <c r="I1852" s="25" t="str">
        <f>IFERROR(INDEX(#REF!,MATCH(O1852,#REF!,0)),"")</f>
        <v/>
      </c>
      <c r="J1852" s="25" t="str">
        <f>IFERROR(INDEX(#REF!,MATCH(O1852,#REF!,0)),"")</f>
        <v/>
      </c>
      <c r="K1852" s="25" t="str">
        <f>IFERROR(INDEX(#REF!,MATCH(O1852,#REF!,0)),"")</f>
        <v/>
      </c>
      <c r="L1852" s="25" t="str">
        <f>IFERROR(INDEX(#REF!,MATCH(O1852,#REF!,0)),"")</f>
        <v/>
      </c>
      <c r="P1852" s="27" t="str">
        <f>IFERROR(INDEX(#REF!,MATCH($O1852,#REF!,0)),"")</f>
        <v/>
      </c>
      <c r="Q1852" s="27" t="str">
        <f>IFERROR(INDEX(#REF!,MATCH($O1852,#REF!,0)),"")</f>
        <v/>
      </c>
      <c r="R1852" s="52" t="str">
        <f>IFERROR(IF(AR1853=AR1852,INDEX(#REF!,MATCH($O1852,#REF!,0))-IF(AN1852="",0,AN1852)+AP1853,INDEX(#REF!,MATCH($O1852,#REF!,0))-IF(AN1852="",0,AN1852)),"")</f>
        <v/>
      </c>
      <c r="S1852" s="53" t="str">
        <f t="shared" si="896"/>
        <v/>
      </c>
      <c r="T1852" s="52" t="str">
        <f t="shared" si="897"/>
        <v/>
      </c>
      <c r="U1852" s="52" t="str">
        <f>IFERROR(IF(AR1853=AR1852,INDEX(#REF!,MATCH($O1852,#REF!,0))-IF(AN1852="",0,AN1852)+AP1853,INDEX(#REF!,MATCH($O1852,#REF!,0))-IF(AN1852="",0,AN1852)),"")</f>
        <v/>
      </c>
      <c r="V1852" s="53" t="str">
        <f t="shared" si="898"/>
        <v/>
      </c>
      <c r="W1852" s="52" t="str">
        <f t="shared" si="899"/>
        <v/>
      </c>
      <c r="X1852" s="52" t="str">
        <f>IFERROR(IF(AND(AR1853=AR1852,AM1852&lt;&gt;""),INDEX(#REF!,MATCH($O1852,#REF!,0))-IF(AN1852="",0,AN1852)+AP1853+AD1852+AL1852,IF(AR1853=AR1852,INDEX(#REF!,MATCH($O1852,#REF!,0))-IF(AN1852="",0,AN1852)+AP1853+AD1852,IF(AM1852&lt;&gt;"",INDEX(#REF!,MATCH($O1852,#REF!,0))-IF(AN1852="",0,AN1852)+AD1852+AL1852,INDEX(#REF!,MATCH($O1852,#REF!,0))-IF(AN1852="",0,AN1852)+AD1852))),"")</f>
        <v/>
      </c>
      <c r="Y1852" s="53" t="str">
        <f t="shared" si="900"/>
        <v/>
      </c>
      <c r="Z1852" s="52" t="str">
        <f>IF(L1852="","",INDEX(#REF!,MATCH($O1852,#REF!,0)))</f>
        <v/>
      </c>
      <c r="AA1852" s="52" t="str">
        <f t="shared" si="901"/>
        <v/>
      </c>
      <c r="AB1852" s="52" t="str">
        <f>IFERROR(INDEX(#REF!,MATCH($O1852,#REF!,0)),"")</f>
        <v/>
      </c>
      <c r="AC1852" s="52" t="str">
        <f>IFERROR(IF(O1852="","",SUMIFS('CPL Mats'!F:F,'CPL Mats'!Q:Q,AR1852,'CPL Mats'!S:S,AS1852)),"")</f>
        <v/>
      </c>
      <c r="AF1852" s="25" t="e">
        <f>IF(SUMIFS(#REF!,#REF!,"Releasable",#REF!,O1852)=0,"",SUMIFS(#REF!,#REF!,"Releasable",#REF!,O1852))</f>
        <v>#REF!</v>
      </c>
      <c r="AG1852" s="25" t="str">
        <f>IFERROR(INDEX(#REF!,MATCH(O1852,#REF!,0)),"")</f>
        <v/>
      </c>
      <c r="AH1852" s="25" t="str">
        <f>IFERROR(INDEX(#REF!,MATCH($O1852,#REF!,0)),"")</f>
        <v/>
      </c>
      <c r="AI1852" s="25" t="e">
        <f>IF(SUMIFS(#REF!,#REF!,"Expires this month",#REF!,O1852)=0,"",SUMIFS(#REF!,#REF!,"Expires this month",#REF!,O1852))</f>
        <v>#REF!</v>
      </c>
      <c r="AJ1852" s="25" t="e">
        <f>IF(SUMIFS(#REF!,#REF!,"Expired Previous Months",#REF!,O1852)=0,"",SUMIFS(#REF!,#REF!,"Expired Previous Months",#REF!,O1852))</f>
        <v>#REF!</v>
      </c>
      <c r="AK1852" s="25" t="str">
        <f>IFERROR(INDEX('Hun Release Current'!B:B,MATCH(O1852,'Hun Release Current'!A:A,0)),"")</f>
        <v/>
      </c>
      <c r="AL1852" s="25" t="str">
        <f>IF(SUMIF('Prev Aub'!A:A,O1852,'Prev Aub'!B:B)=0,"",SUMIF('Prev Aub'!A:A,O1852,'Prev Aub'!B:B))</f>
        <v/>
      </c>
      <c r="AN1852" s="25" t="s">
        <v>3790</v>
      </c>
      <c r="AO1852" s="25" t="s">
        <v>3790</v>
      </c>
      <c r="AP1852" s="25" t="str">
        <f t="shared" si="923"/>
        <v/>
      </c>
      <c r="AQ1852" s="151" t="e">
        <f>IF(SUMIFS(#REF!,#REF!,O1852,#REF!,"PENDING")=0,"",SUMIFS(#REF!,#REF!,O1852,#REF!,"PENDING"))</f>
        <v>#REF!</v>
      </c>
      <c r="AR1852" s="27" t="str">
        <f t="shared" si="902"/>
        <v/>
      </c>
      <c r="AS1852" s="27" t="str">
        <f t="shared" si="903"/>
        <v/>
      </c>
      <c r="AT1852" s="27" t="str">
        <f t="shared" si="904"/>
        <v/>
      </c>
      <c r="AU1852" s="27" t="str">
        <f t="shared" si="905"/>
        <v/>
      </c>
      <c r="AV1852" s="27" t="str">
        <f t="shared" si="906"/>
        <v/>
      </c>
      <c r="AW1852" s="27" t="e">
        <f t="shared" si="907"/>
        <v>#REF!</v>
      </c>
      <c r="AX1852" s="27" t="e">
        <f t="shared" si="908"/>
        <v>#REF!</v>
      </c>
      <c r="AY1852" s="27" t="str">
        <f t="shared" si="909"/>
        <v/>
      </c>
      <c r="AZ1852" s="27" t="str">
        <f t="shared" si="910"/>
        <v/>
      </c>
      <c r="BA1852" s="27" t="str">
        <f t="shared" si="911"/>
        <v/>
      </c>
      <c r="BB1852" s="27" t="str">
        <f t="shared" si="912"/>
        <v/>
      </c>
      <c r="BC1852" s="27" t="str">
        <f t="shared" si="913"/>
        <v/>
      </c>
      <c r="BD1852" s="27" t="str">
        <f t="shared" si="914"/>
        <v/>
      </c>
      <c r="BE1852" s="27" t="str">
        <f t="shared" si="915"/>
        <v/>
      </c>
      <c r="BF1852" s="27" t="str">
        <f t="shared" si="916"/>
        <v/>
      </c>
      <c r="BG1852" s="27" t="str">
        <f t="shared" si="917"/>
        <v/>
      </c>
      <c r="BH1852" s="27" t="str">
        <f t="shared" si="918"/>
        <v/>
      </c>
      <c r="BI1852" s="27" t="str">
        <f t="shared" si="919"/>
        <v/>
      </c>
      <c r="BJ1852" s="27" t="str">
        <f t="shared" si="920"/>
        <v/>
      </c>
      <c r="BK1852" s="27" t="str">
        <f t="shared" si="921"/>
        <v/>
      </c>
      <c r="BL1852" s="27" t="str">
        <f t="shared" si="922"/>
        <v/>
      </c>
      <c r="BM1852" s="21" t="s">
        <v>3790</v>
      </c>
    </row>
    <row r="1853" spans="1:65" ht="15">
      <c r="A1853" s="25" t="str">
        <f>IFERROR(INDEX(#REF!,MATCH(O1853,#REF!,0)),"")</f>
        <v/>
      </c>
      <c r="B1853" s="25" t="str">
        <f>IFERROR(INDEX(#REF!,MATCH(O1853,#REF!,0)),"")</f>
        <v/>
      </c>
      <c r="C1853" s="25" t="str">
        <f>IFERROR(INDEX(#REF!,MATCH(O1853,#REF!,0)),"")</f>
        <v/>
      </c>
      <c r="D1853" s="25" t="str">
        <f>IFERROR(INDEX(#REF!,MATCH(O1853,#REF!,0)),"")</f>
        <v/>
      </c>
      <c r="E1853" s="25" t="str">
        <f>IFERROR(INDEX(#REF!,MATCH(O1853,#REF!,0)),"")</f>
        <v/>
      </c>
      <c r="F1853" s="25" t="str">
        <f>IFERROR(INDEX(#REF!,MATCH(O1853,#REF!,0)),"")</f>
        <v/>
      </c>
      <c r="G1853" s="25" t="str">
        <f>IFERROR(INDEX(#REF!,MATCH(O1853,#REF!,0)),"")</f>
        <v/>
      </c>
      <c r="H1853" s="25" t="str">
        <f>IFERROR(INDEX(#REF!,MATCH(O1853,#REF!,0)),"")</f>
        <v/>
      </c>
      <c r="I1853" s="25" t="str">
        <f>IFERROR(INDEX(#REF!,MATCH(O1853,#REF!,0)),"")</f>
        <v/>
      </c>
      <c r="J1853" s="25" t="str">
        <f>IFERROR(INDEX(#REF!,MATCH(O1853,#REF!,0)),"")</f>
        <v/>
      </c>
      <c r="K1853" s="25" t="str">
        <f>IFERROR(INDEX(#REF!,MATCH(O1853,#REF!,0)),"")</f>
        <v/>
      </c>
      <c r="L1853" s="25" t="str">
        <f>IFERROR(INDEX(#REF!,MATCH(O1853,#REF!,0)),"")</f>
        <v/>
      </c>
      <c r="P1853" s="27" t="str">
        <f>IFERROR(INDEX(#REF!,MATCH($O1853,#REF!,0)),"")</f>
        <v/>
      </c>
      <c r="Q1853" s="27" t="str">
        <f>IFERROR(INDEX(#REF!,MATCH($O1853,#REF!,0)),"")</f>
        <v/>
      </c>
      <c r="R1853" s="52" t="str">
        <f>IFERROR(IF(AR1854=AR1853,INDEX(#REF!,MATCH($O1853,#REF!,0))-IF(AN1853="",0,AN1853)+AP1854,INDEX(#REF!,MATCH($O1853,#REF!,0))-IF(AN1853="",0,AN1853)),"")</f>
        <v/>
      </c>
      <c r="S1853" s="53" t="str">
        <f t="shared" si="896"/>
        <v/>
      </c>
      <c r="T1853" s="52" t="str">
        <f t="shared" si="897"/>
        <v/>
      </c>
      <c r="U1853" s="52" t="str">
        <f>IFERROR(IF(AR1854=AR1853,INDEX(#REF!,MATCH($O1853,#REF!,0))-IF(AN1853="",0,AN1853)+AP1854,INDEX(#REF!,MATCH($O1853,#REF!,0))-IF(AN1853="",0,AN1853)),"")</f>
        <v/>
      </c>
      <c r="V1853" s="53" t="str">
        <f t="shared" si="898"/>
        <v/>
      </c>
      <c r="W1853" s="52" t="str">
        <f t="shared" si="899"/>
        <v/>
      </c>
      <c r="X1853" s="52" t="str">
        <f>IFERROR(IF(AND(AR1854=AR1853,AM1853&lt;&gt;""),INDEX(#REF!,MATCH($O1853,#REF!,0))-IF(AN1853="",0,AN1853)+AP1854+AD1853+AL1853,IF(AR1854=AR1853,INDEX(#REF!,MATCH($O1853,#REF!,0))-IF(AN1853="",0,AN1853)+AP1854+AD1853,IF(AM1853&lt;&gt;"",INDEX(#REF!,MATCH($O1853,#REF!,0))-IF(AN1853="",0,AN1853)+AD1853+AL1853,INDEX(#REF!,MATCH($O1853,#REF!,0))-IF(AN1853="",0,AN1853)+AD1853))),"")</f>
        <v/>
      </c>
      <c r="Y1853" s="53" t="str">
        <f t="shared" si="900"/>
        <v/>
      </c>
      <c r="Z1853" s="52" t="str">
        <f>IF(L1853="","",INDEX(#REF!,MATCH($O1853,#REF!,0)))</f>
        <v/>
      </c>
      <c r="AA1853" s="52" t="str">
        <f t="shared" si="901"/>
        <v/>
      </c>
      <c r="AB1853" s="52" t="str">
        <f>IFERROR(INDEX(#REF!,MATCH($O1853,#REF!,0)),"")</f>
        <v/>
      </c>
      <c r="AC1853" s="52" t="str">
        <f>IFERROR(IF(O1853="","",SUMIFS('CPL Mats'!F:F,'CPL Mats'!Q:Q,AR1853,'CPL Mats'!S:S,AS1853)),"")</f>
        <v/>
      </c>
      <c r="AF1853" s="25" t="e">
        <f>IF(SUMIFS(#REF!,#REF!,"Releasable",#REF!,O1853)=0,"",SUMIFS(#REF!,#REF!,"Releasable",#REF!,O1853))</f>
        <v>#REF!</v>
      </c>
      <c r="AG1853" s="25" t="str">
        <f>IFERROR(INDEX(#REF!,MATCH(O1853,#REF!,0)),"")</f>
        <v/>
      </c>
      <c r="AH1853" s="25" t="str">
        <f>IFERROR(INDEX(#REF!,MATCH($O1853,#REF!,0)),"")</f>
        <v/>
      </c>
      <c r="AI1853" s="25" t="e">
        <f>IF(SUMIFS(#REF!,#REF!,"Expires this month",#REF!,O1853)=0,"",SUMIFS(#REF!,#REF!,"Expires this month",#REF!,O1853))</f>
        <v>#REF!</v>
      </c>
      <c r="AJ1853" s="25" t="e">
        <f>IF(SUMIFS(#REF!,#REF!,"Expired Previous Months",#REF!,O1853)=0,"",SUMIFS(#REF!,#REF!,"Expired Previous Months",#REF!,O1853))</f>
        <v>#REF!</v>
      </c>
      <c r="AK1853" s="25" t="str">
        <f>IFERROR(INDEX('Hun Release Current'!B:B,MATCH(O1853,'Hun Release Current'!A:A,0)),"")</f>
        <v/>
      </c>
      <c r="AL1853" s="25" t="str">
        <f>IF(SUMIF('Prev Aub'!A:A,O1853,'Prev Aub'!B:B)=0,"",SUMIF('Prev Aub'!A:A,O1853,'Prev Aub'!B:B))</f>
        <v/>
      </c>
      <c r="AN1853" s="25" t="s">
        <v>3790</v>
      </c>
      <c r="AO1853" s="25" t="s">
        <v>3790</v>
      </c>
      <c r="AP1853" s="25" t="str">
        <f t="shared" si="923"/>
        <v/>
      </c>
      <c r="AQ1853" s="151" t="e">
        <f>IF(SUMIFS(#REF!,#REF!,O1853,#REF!,"PENDING")=0,"",SUMIFS(#REF!,#REF!,O1853,#REF!,"PENDING"))</f>
        <v>#REF!</v>
      </c>
      <c r="AR1853" s="27" t="str">
        <f t="shared" si="902"/>
        <v/>
      </c>
      <c r="AS1853" s="27" t="str">
        <f t="shared" si="903"/>
        <v/>
      </c>
      <c r="AT1853" s="27" t="str">
        <f t="shared" si="904"/>
        <v/>
      </c>
      <c r="AU1853" s="27" t="str">
        <f t="shared" si="905"/>
        <v/>
      </c>
      <c r="AV1853" s="27" t="str">
        <f t="shared" si="906"/>
        <v/>
      </c>
      <c r="AW1853" s="27" t="e">
        <f t="shared" si="907"/>
        <v>#REF!</v>
      </c>
      <c r="AX1853" s="27" t="e">
        <f t="shared" si="908"/>
        <v>#REF!</v>
      </c>
      <c r="AY1853" s="27" t="str">
        <f t="shared" si="909"/>
        <v/>
      </c>
      <c r="AZ1853" s="27" t="str">
        <f t="shared" si="910"/>
        <v/>
      </c>
      <c r="BA1853" s="27" t="str">
        <f t="shared" si="911"/>
        <v/>
      </c>
      <c r="BB1853" s="27" t="str">
        <f t="shared" si="912"/>
        <v/>
      </c>
      <c r="BC1853" s="27" t="str">
        <f t="shared" si="913"/>
        <v/>
      </c>
      <c r="BD1853" s="27" t="str">
        <f t="shared" si="914"/>
        <v/>
      </c>
      <c r="BE1853" s="27" t="str">
        <f t="shared" si="915"/>
        <v/>
      </c>
      <c r="BF1853" s="27" t="str">
        <f t="shared" si="916"/>
        <v/>
      </c>
      <c r="BG1853" s="27" t="str">
        <f t="shared" si="917"/>
        <v/>
      </c>
      <c r="BH1853" s="27" t="str">
        <f t="shared" si="918"/>
        <v/>
      </c>
      <c r="BI1853" s="27" t="str">
        <f t="shared" si="919"/>
        <v/>
      </c>
      <c r="BJ1853" s="27" t="str">
        <f t="shared" si="920"/>
        <v/>
      </c>
      <c r="BK1853" s="27" t="str">
        <f t="shared" si="921"/>
        <v/>
      </c>
      <c r="BL1853" s="27" t="str">
        <f t="shared" si="922"/>
        <v/>
      </c>
      <c r="BM1853" s="21" t="s">
        <v>3790</v>
      </c>
    </row>
    <row r="1854" spans="1:65" ht="15">
      <c r="A1854" s="25" t="str">
        <f>IFERROR(INDEX(#REF!,MATCH(O1854,#REF!,0)),"")</f>
        <v/>
      </c>
      <c r="B1854" s="25" t="str">
        <f>IFERROR(INDEX(#REF!,MATCH(O1854,#REF!,0)),"")</f>
        <v/>
      </c>
      <c r="C1854" s="25" t="str">
        <f>IFERROR(INDEX(#REF!,MATCH(O1854,#REF!,0)),"")</f>
        <v/>
      </c>
      <c r="D1854" s="25" t="str">
        <f>IFERROR(INDEX(#REF!,MATCH(O1854,#REF!,0)),"")</f>
        <v/>
      </c>
      <c r="E1854" s="25" t="str">
        <f>IFERROR(INDEX(#REF!,MATCH(O1854,#REF!,0)),"")</f>
        <v/>
      </c>
      <c r="F1854" s="25" t="str">
        <f>IFERROR(INDEX(#REF!,MATCH(O1854,#REF!,0)),"")</f>
        <v/>
      </c>
      <c r="G1854" s="25" t="str">
        <f>IFERROR(INDEX(#REF!,MATCH(O1854,#REF!,0)),"")</f>
        <v/>
      </c>
      <c r="H1854" s="25" t="str">
        <f>IFERROR(INDEX(#REF!,MATCH(O1854,#REF!,0)),"")</f>
        <v/>
      </c>
      <c r="I1854" s="25" t="str">
        <f>IFERROR(INDEX(#REF!,MATCH(O1854,#REF!,0)),"")</f>
        <v/>
      </c>
      <c r="J1854" s="25" t="str">
        <f>IFERROR(INDEX(#REF!,MATCH(O1854,#REF!,0)),"")</f>
        <v/>
      </c>
      <c r="K1854" s="25" t="str">
        <f>IFERROR(INDEX(#REF!,MATCH(O1854,#REF!,0)),"")</f>
        <v/>
      </c>
      <c r="L1854" s="25" t="str">
        <f>IFERROR(INDEX(#REF!,MATCH(O1854,#REF!,0)),"")</f>
        <v/>
      </c>
      <c r="P1854" s="27" t="str">
        <f>IFERROR(INDEX(#REF!,MATCH($O1854,#REF!,0)),"")</f>
        <v/>
      </c>
      <c r="Q1854" s="27" t="str">
        <f>IFERROR(INDEX(#REF!,MATCH($O1854,#REF!,0)),"")</f>
        <v/>
      </c>
      <c r="R1854" s="52" t="str">
        <f>IFERROR(IF(AR1855=AR1854,INDEX(#REF!,MATCH($O1854,#REF!,0))-IF(AN1854="",0,AN1854)+AP1855,INDEX(#REF!,MATCH($O1854,#REF!,0))-IF(AN1854="",0,AN1854)),"")</f>
        <v/>
      </c>
      <c r="S1854" s="53" t="str">
        <f t="shared" si="896"/>
        <v/>
      </c>
      <c r="T1854" s="52" t="str">
        <f t="shared" si="897"/>
        <v/>
      </c>
      <c r="U1854" s="52" t="str">
        <f>IFERROR(IF(AR1855=AR1854,INDEX(#REF!,MATCH($O1854,#REF!,0))-IF(AN1854="",0,AN1854)+AP1855,INDEX(#REF!,MATCH($O1854,#REF!,0))-IF(AN1854="",0,AN1854)),"")</f>
        <v/>
      </c>
      <c r="V1854" s="53" t="str">
        <f t="shared" si="898"/>
        <v/>
      </c>
      <c r="W1854" s="52" t="str">
        <f t="shared" si="899"/>
        <v/>
      </c>
      <c r="X1854" s="52" t="str">
        <f>IFERROR(IF(AND(AR1855=AR1854,AM1854&lt;&gt;""),INDEX(#REF!,MATCH($O1854,#REF!,0))-IF(AN1854="",0,AN1854)+AP1855+AD1854+AL1854,IF(AR1855=AR1854,INDEX(#REF!,MATCH($O1854,#REF!,0))-IF(AN1854="",0,AN1854)+AP1855+AD1854,IF(AM1854&lt;&gt;"",INDEX(#REF!,MATCH($O1854,#REF!,0))-IF(AN1854="",0,AN1854)+AD1854+AL1854,INDEX(#REF!,MATCH($O1854,#REF!,0))-IF(AN1854="",0,AN1854)+AD1854))),"")</f>
        <v/>
      </c>
      <c r="Y1854" s="53" t="str">
        <f t="shared" si="900"/>
        <v/>
      </c>
      <c r="Z1854" s="52" t="str">
        <f>IF(L1854="","",INDEX(#REF!,MATCH($O1854,#REF!,0)))</f>
        <v/>
      </c>
      <c r="AA1854" s="52" t="str">
        <f t="shared" si="901"/>
        <v/>
      </c>
      <c r="AB1854" s="52" t="str">
        <f>IFERROR(INDEX(#REF!,MATCH($O1854,#REF!,0)),"")</f>
        <v/>
      </c>
      <c r="AC1854" s="52" t="str">
        <f>IFERROR(IF(O1854="","",SUMIFS('CPL Mats'!F:F,'CPL Mats'!Q:Q,AR1854,'CPL Mats'!S:S,AS1854)),"")</f>
        <v/>
      </c>
      <c r="AF1854" s="25" t="e">
        <f>IF(SUMIFS(#REF!,#REF!,"Releasable",#REF!,O1854)=0,"",SUMIFS(#REF!,#REF!,"Releasable",#REF!,O1854))</f>
        <v>#REF!</v>
      </c>
      <c r="AG1854" s="25" t="str">
        <f>IFERROR(INDEX(#REF!,MATCH(O1854,#REF!,0)),"")</f>
        <v/>
      </c>
      <c r="AH1854" s="25" t="str">
        <f>IFERROR(INDEX(#REF!,MATCH($O1854,#REF!,0)),"")</f>
        <v/>
      </c>
      <c r="AI1854" s="25" t="e">
        <f>IF(SUMIFS(#REF!,#REF!,"Expires this month",#REF!,O1854)=0,"",SUMIFS(#REF!,#REF!,"Expires this month",#REF!,O1854))</f>
        <v>#REF!</v>
      </c>
      <c r="AJ1854" s="25" t="e">
        <f>IF(SUMIFS(#REF!,#REF!,"Expired Previous Months",#REF!,O1854)=0,"",SUMIFS(#REF!,#REF!,"Expired Previous Months",#REF!,O1854))</f>
        <v>#REF!</v>
      </c>
      <c r="AK1854" s="25" t="str">
        <f>IFERROR(INDEX('Hun Release Current'!B:B,MATCH(O1854,'Hun Release Current'!A:A,0)),"")</f>
        <v/>
      </c>
      <c r="AL1854" s="25" t="str">
        <f>IF(SUMIF('Prev Aub'!A:A,O1854,'Prev Aub'!B:B)=0,"",SUMIF('Prev Aub'!A:A,O1854,'Prev Aub'!B:B))</f>
        <v/>
      </c>
      <c r="AN1854" s="25" t="s">
        <v>3790</v>
      </c>
      <c r="AO1854" s="25" t="s">
        <v>3790</v>
      </c>
      <c r="AP1854" s="25" t="str">
        <f t="shared" si="923"/>
        <v/>
      </c>
      <c r="AQ1854" s="151" t="e">
        <f>IF(SUMIFS(#REF!,#REF!,O1854,#REF!,"PENDING")=0,"",SUMIFS(#REF!,#REF!,O1854,#REF!,"PENDING"))</f>
        <v>#REF!</v>
      </c>
      <c r="AR1854" s="27" t="str">
        <f t="shared" si="902"/>
        <v/>
      </c>
      <c r="AS1854" s="27" t="str">
        <f t="shared" si="903"/>
        <v/>
      </c>
      <c r="AT1854" s="27" t="str">
        <f t="shared" si="904"/>
        <v/>
      </c>
      <c r="AU1854" s="27" t="str">
        <f t="shared" si="905"/>
        <v/>
      </c>
      <c r="AV1854" s="27" t="str">
        <f t="shared" si="906"/>
        <v/>
      </c>
      <c r="AW1854" s="27" t="e">
        <f t="shared" si="907"/>
        <v>#REF!</v>
      </c>
      <c r="AX1854" s="27" t="e">
        <f t="shared" si="908"/>
        <v>#REF!</v>
      </c>
      <c r="AY1854" s="27" t="str">
        <f t="shared" si="909"/>
        <v/>
      </c>
      <c r="AZ1854" s="27" t="str">
        <f t="shared" si="910"/>
        <v/>
      </c>
      <c r="BA1854" s="27" t="str">
        <f t="shared" si="911"/>
        <v/>
      </c>
      <c r="BB1854" s="27" t="str">
        <f t="shared" si="912"/>
        <v/>
      </c>
      <c r="BC1854" s="27" t="str">
        <f t="shared" si="913"/>
        <v/>
      </c>
      <c r="BD1854" s="27" t="str">
        <f t="shared" si="914"/>
        <v/>
      </c>
      <c r="BE1854" s="27" t="str">
        <f t="shared" si="915"/>
        <v/>
      </c>
      <c r="BF1854" s="27" t="str">
        <f t="shared" si="916"/>
        <v/>
      </c>
      <c r="BG1854" s="27" t="str">
        <f t="shared" si="917"/>
        <v/>
      </c>
      <c r="BH1854" s="27" t="str">
        <f t="shared" si="918"/>
        <v/>
      </c>
      <c r="BI1854" s="27" t="str">
        <f t="shared" si="919"/>
        <v/>
      </c>
      <c r="BJ1854" s="27" t="str">
        <f t="shared" si="920"/>
        <v/>
      </c>
      <c r="BK1854" s="27" t="str">
        <f t="shared" si="921"/>
        <v/>
      </c>
      <c r="BL1854" s="27" t="str">
        <f t="shared" si="922"/>
        <v/>
      </c>
      <c r="BM1854" s="21" t="s">
        <v>3790</v>
      </c>
    </row>
    <row r="1855" spans="1:65" ht="15">
      <c r="A1855" s="25" t="str">
        <f>IFERROR(INDEX(#REF!,MATCH(O1855,#REF!,0)),"")</f>
        <v/>
      </c>
      <c r="B1855" s="25" t="str">
        <f>IFERROR(INDEX(#REF!,MATCH(O1855,#REF!,0)),"")</f>
        <v/>
      </c>
      <c r="C1855" s="25" t="str">
        <f>IFERROR(INDEX(#REF!,MATCH(O1855,#REF!,0)),"")</f>
        <v/>
      </c>
      <c r="D1855" s="25" t="str">
        <f>IFERROR(INDEX(#REF!,MATCH(O1855,#REF!,0)),"")</f>
        <v/>
      </c>
      <c r="E1855" s="25" t="str">
        <f>IFERROR(INDEX(#REF!,MATCH(O1855,#REF!,0)),"")</f>
        <v/>
      </c>
      <c r="F1855" s="25" t="str">
        <f>IFERROR(INDEX(#REF!,MATCH(O1855,#REF!,0)),"")</f>
        <v/>
      </c>
      <c r="G1855" s="25" t="str">
        <f>IFERROR(INDEX(#REF!,MATCH(O1855,#REF!,0)),"")</f>
        <v/>
      </c>
      <c r="H1855" s="25" t="str">
        <f>IFERROR(INDEX(#REF!,MATCH(O1855,#REF!,0)),"")</f>
        <v/>
      </c>
      <c r="I1855" s="25" t="str">
        <f>IFERROR(INDEX(#REF!,MATCH(O1855,#REF!,0)),"")</f>
        <v/>
      </c>
      <c r="J1855" s="25" t="str">
        <f>IFERROR(INDEX(#REF!,MATCH(O1855,#REF!,0)),"")</f>
        <v/>
      </c>
      <c r="K1855" s="25" t="str">
        <f>IFERROR(INDEX(#REF!,MATCH(O1855,#REF!,0)),"")</f>
        <v/>
      </c>
      <c r="L1855" s="25" t="str">
        <f>IFERROR(INDEX(#REF!,MATCH(O1855,#REF!,0)),"")</f>
        <v/>
      </c>
      <c r="P1855" s="27" t="str">
        <f>IFERROR(INDEX(#REF!,MATCH($O1855,#REF!,0)),"")</f>
        <v/>
      </c>
      <c r="Q1855" s="27" t="str">
        <f>IFERROR(INDEX(#REF!,MATCH($O1855,#REF!,0)),"")</f>
        <v/>
      </c>
      <c r="R1855" s="52" t="str">
        <f>IFERROR(IF(AR1856=AR1855,INDEX(#REF!,MATCH($O1855,#REF!,0))-IF(AN1855="",0,AN1855)+AP1856,INDEX(#REF!,MATCH($O1855,#REF!,0))-IF(AN1855="",0,AN1855)),"")</f>
        <v/>
      </c>
      <c r="S1855" s="53" t="str">
        <f t="shared" si="896"/>
        <v/>
      </c>
      <c r="T1855" s="52" t="str">
        <f t="shared" si="897"/>
        <v/>
      </c>
      <c r="U1855" s="52" t="str">
        <f>IFERROR(IF(AR1856=AR1855,INDEX(#REF!,MATCH($O1855,#REF!,0))-IF(AN1855="",0,AN1855)+AP1856,INDEX(#REF!,MATCH($O1855,#REF!,0))-IF(AN1855="",0,AN1855)),"")</f>
        <v/>
      </c>
      <c r="V1855" s="53" t="str">
        <f t="shared" si="898"/>
        <v/>
      </c>
      <c r="W1855" s="52" t="str">
        <f t="shared" si="899"/>
        <v/>
      </c>
      <c r="X1855" s="52" t="str">
        <f>IFERROR(IF(AND(AR1856=AR1855,AM1855&lt;&gt;""),INDEX(#REF!,MATCH($O1855,#REF!,0))-IF(AN1855="",0,AN1855)+AP1856+AD1855+AL1855,IF(AR1856=AR1855,INDEX(#REF!,MATCH($O1855,#REF!,0))-IF(AN1855="",0,AN1855)+AP1856+AD1855,IF(AM1855&lt;&gt;"",INDEX(#REF!,MATCH($O1855,#REF!,0))-IF(AN1855="",0,AN1855)+AD1855+AL1855,INDEX(#REF!,MATCH($O1855,#REF!,0))-IF(AN1855="",0,AN1855)+AD1855))),"")</f>
        <v/>
      </c>
      <c r="Y1855" s="53" t="str">
        <f t="shared" si="900"/>
        <v/>
      </c>
      <c r="Z1855" s="52" t="str">
        <f>IF(L1855="","",INDEX(#REF!,MATCH($O1855,#REF!,0)))</f>
        <v/>
      </c>
      <c r="AA1855" s="52" t="str">
        <f t="shared" si="901"/>
        <v/>
      </c>
      <c r="AB1855" s="52" t="str">
        <f>IFERROR(INDEX(#REF!,MATCH($O1855,#REF!,0)),"")</f>
        <v/>
      </c>
      <c r="AC1855" s="52" t="str">
        <f>IFERROR(IF(O1855="","",SUMIFS('CPL Mats'!F:F,'CPL Mats'!Q:Q,AR1855,'CPL Mats'!S:S,AS1855)),"")</f>
        <v/>
      </c>
      <c r="AF1855" s="25" t="e">
        <f>IF(SUMIFS(#REF!,#REF!,"Releasable",#REF!,O1855)=0,"",SUMIFS(#REF!,#REF!,"Releasable",#REF!,O1855))</f>
        <v>#REF!</v>
      </c>
      <c r="AG1855" s="25" t="str">
        <f>IFERROR(INDEX(#REF!,MATCH(O1855,#REF!,0)),"")</f>
        <v/>
      </c>
      <c r="AH1855" s="25" t="str">
        <f>IFERROR(INDEX(#REF!,MATCH($O1855,#REF!,0)),"")</f>
        <v/>
      </c>
      <c r="AI1855" s="25" t="e">
        <f>IF(SUMIFS(#REF!,#REF!,"Expires this month",#REF!,O1855)=0,"",SUMIFS(#REF!,#REF!,"Expires this month",#REF!,O1855))</f>
        <v>#REF!</v>
      </c>
      <c r="AJ1855" s="25" t="e">
        <f>IF(SUMIFS(#REF!,#REF!,"Expired Previous Months",#REF!,O1855)=0,"",SUMIFS(#REF!,#REF!,"Expired Previous Months",#REF!,O1855))</f>
        <v>#REF!</v>
      </c>
      <c r="AK1855" s="25" t="str">
        <f>IFERROR(INDEX('Hun Release Current'!B:B,MATCH(O1855,'Hun Release Current'!A:A,0)),"")</f>
        <v/>
      </c>
      <c r="AL1855" s="25" t="str">
        <f>IF(SUMIF('Prev Aub'!A:A,O1855,'Prev Aub'!B:B)=0,"",SUMIF('Prev Aub'!A:A,O1855,'Prev Aub'!B:B))</f>
        <v/>
      </c>
      <c r="AN1855" s="25" t="s">
        <v>3790</v>
      </c>
      <c r="AO1855" s="25" t="s">
        <v>3790</v>
      </c>
      <c r="AP1855" s="25" t="str">
        <f t="shared" si="923"/>
        <v/>
      </c>
      <c r="AQ1855" s="151" t="e">
        <f>IF(SUMIFS(#REF!,#REF!,O1855,#REF!,"PENDING")=0,"",SUMIFS(#REF!,#REF!,O1855,#REF!,"PENDING"))</f>
        <v>#REF!</v>
      </c>
      <c r="AR1855" s="27" t="str">
        <f t="shared" si="902"/>
        <v/>
      </c>
      <c r="AS1855" s="27" t="str">
        <f t="shared" si="903"/>
        <v/>
      </c>
      <c r="AT1855" s="27" t="str">
        <f t="shared" si="904"/>
        <v/>
      </c>
      <c r="AU1855" s="27" t="str">
        <f t="shared" si="905"/>
        <v/>
      </c>
      <c r="AV1855" s="27" t="str">
        <f t="shared" si="906"/>
        <v/>
      </c>
      <c r="AW1855" s="27" t="e">
        <f t="shared" si="907"/>
        <v>#REF!</v>
      </c>
      <c r="AX1855" s="27" t="e">
        <f t="shared" si="908"/>
        <v>#REF!</v>
      </c>
      <c r="AY1855" s="27" t="str">
        <f t="shared" si="909"/>
        <v/>
      </c>
      <c r="AZ1855" s="27" t="str">
        <f t="shared" si="910"/>
        <v/>
      </c>
      <c r="BA1855" s="27" t="str">
        <f t="shared" si="911"/>
        <v/>
      </c>
      <c r="BB1855" s="27" t="str">
        <f t="shared" si="912"/>
        <v/>
      </c>
      <c r="BC1855" s="27" t="str">
        <f t="shared" si="913"/>
        <v/>
      </c>
      <c r="BD1855" s="27" t="str">
        <f t="shared" si="914"/>
        <v/>
      </c>
      <c r="BE1855" s="27" t="str">
        <f t="shared" si="915"/>
        <v/>
      </c>
      <c r="BF1855" s="27" t="str">
        <f t="shared" si="916"/>
        <v/>
      </c>
      <c r="BG1855" s="27" t="str">
        <f t="shared" si="917"/>
        <v/>
      </c>
      <c r="BH1855" s="27" t="str">
        <f t="shared" si="918"/>
        <v/>
      </c>
      <c r="BI1855" s="27" t="str">
        <f t="shared" si="919"/>
        <v/>
      </c>
      <c r="BJ1855" s="27" t="str">
        <f t="shared" si="920"/>
        <v/>
      </c>
      <c r="BK1855" s="27" t="str">
        <f t="shared" si="921"/>
        <v/>
      </c>
      <c r="BL1855" s="27" t="str">
        <f t="shared" si="922"/>
        <v/>
      </c>
      <c r="BM1855" s="21" t="s">
        <v>3790</v>
      </c>
    </row>
    <row r="1856" spans="1:65" ht="15">
      <c r="A1856" s="25" t="str">
        <f>IFERROR(INDEX(#REF!,MATCH(O1856,#REF!,0)),"")</f>
        <v/>
      </c>
      <c r="B1856" s="25" t="str">
        <f>IFERROR(INDEX(#REF!,MATCH(O1856,#REF!,0)),"")</f>
        <v/>
      </c>
      <c r="C1856" s="25" t="str">
        <f>IFERROR(INDEX(#REF!,MATCH(O1856,#REF!,0)),"")</f>
        <v/>
      </c>
      <c r="D1856" s="25" t="str">
        <f>IFERROR(INDEX(#REF!,MATCH(O1856,#REF!,0)),"")</f>
        <v/>
      </c>
      <c r="E1856" s="25" t="str">
        <f>IFERROR(INDEX(#REF!,MATCH(O1856,#REF!,0)),"")</f>
        <v/>
      </c>
      <c r="F1856" s="25" t="str">
        <f>IFERROR(INDEX(#REF!,MATCH(O1856,#REF!,0)),"")</f>
        <v/>
      </c>
      <c r="G1856" s="25" t="str">
        <f>IFERROR(INDEX(#REF!,MATCH(O1856,#REF!,0)),"")</f>
        <v/>
      </c>
      <c r="H1856" s="25" t="str">
        <f>IFERROR(INDEX(#REF!,MATCH(O1856,#REF!,0)),"")</f>
        <v/>
      </c>
      <c r="I1856" s="25" t="str">
        <f>IFERROR(INDEX(#REF!,MATCH(O1856,#REF!,0)),"")</f>
        <v/>
      </c>
      <c r="J1856" s="25" t="str">
        <f>IFERROR(INDEX(#REF!,MATCH(O1856,#REF!,0)),"")</f>
        <v/>
      </c>
      <c r="K1856" s="25" t="str">
        <f>IFERROR(INDEX(#REF!,MATCH(O1856,#REF!,0)),"")</f>
        <v/>
      </c>
      <c r="L1856" s="25" t="str">
        <f>IFERROR(INDEX(#REF!,MATCH(O1856,#REF!,0)),"")</f>
        <v/>
      </c>
      <c r="P1856" s="27" t="str">
        <f>IFERROR(INDEX(#REF!,MATCH($O1856,#REF!,0)),"")</f>
        <v/>
      </c>
      <c r="Q1856" s="27" t="str">
        <f>IFERROR(INDEX(#REF!,MATCH($O1856,#REF!,0)),"")</f>
        <v/>
      </c>
      <c r="R1856" s="52" t="str">
        <f>IFERROR(IF(AR1857=AR1856,INDEX(#REF!,MATCH($O1856,#REF!,0))-IF(AN1856="",0,AN1856)+AP1857,INDEX(#REF!,MATCH($O1856,#REF!,0))-IF(AN1856="",0,AN1856)),"")</f>
        <v/>
      </c>
      <c r="S1856" s="53" t="str">
        <f t="shared" si="896"/>
        <v/>
      </c>
      <c r="T1856" s="52" t="str">
        <f t="shared" si="897"/>
        <v/>
      </c>
      <c r="U1856" s="52" t="str">
        <f>IFERROR(IF(AR1857=AR1856,INDEX(#REF!,MATCH($O1856,#REF!,0))-IF(AN1856="",0,AN1856)+AP1857,INDEX(#REF!,MATCH($O1856,#REF!,0))-IF(AN1856="",0,AN1856)),"")</f>
        <v/>
      </c>
      <c r="V1856" s="53" t="str">
        <f t="shared" si="898"/>
        <v/>
      </c>
      <c r="W1856" s="52" t="str">
        <f t="shared" si="899"/>
        <v/>
      </c>
      <c r="X1856" s="52" t="str">
        <f>IFERROR(IF(AND(AR1857=AR1856,AM1856&lt;&gt;""),INDEX(#REF!,MATCH($O1856,#REF!,0))-IF(AN1856="",0,AN1856)+AP1857+AD1856+AL1856,IF(AR1857=AR1856,INDEX(#REF!,MATCH($O1856,#REF!,0))-IF(AN1856="",0,AN1856)+AP1857+AD1856,IF(AM1856&lt;&gt;"",INDEX(#REF!,MATCH($O1856,#REF!,0))-IF(AN1856="",0,AN1856)+AD1856+AL1856,INDEX(#REF!,MATCH($O1856,#REF!,0))-IF(AN1856="",0,AN1856)+AD1856))),"")</f>
        <v/>
      </c>
      <c r="Y1856" s="53" t="str">
        <f t="shared" si="900"/>
        <v/>
      </c>
      <c r="Z1856" s="52" t="str">
        <f>IF(L1856="","",INDEX(#REF!,MATCH($O1856,#REF!,0)))</f>
        <v/>
      </c>
      <c r="AA1856" s="52" t="str">
        <f t="shared" si="901"/>
        <v/>
      </c>
      <c r="AB1856" s="52" t="str">
        <f>IFERROR(INDEX(#REF!,MATCH($O1856,#REF!,0)),"")</f>
        <v/>
      </c>
      <c r="AC1856" s="52" t="str">
        <f>IFERROR(IF(O1856="","",SUMIFS('CPL Mats'!F:F,'CPL Mats'!Q:Q,AR1856,'CPL Mats'!S:S,AS1856)),"")</f>
        <v/>
      </c>
      <c r="AF1856" s="25" t="e">
        <f>IF(SUMIFS(#REF!,#REF!,"Releasable",#REF!,O1856)=0,"",SUMIFS(#REF!,#REF!,"Releasable",#REF!,O1856))</f>
        <v>#REF!</v>
      </c>
      <c r="AG1856" s="25" t="str">
        <f>IFERROR(INDEX(#REF!,MATCH(O1856,#REF!,0)),"")</f>
        <v/>
      </c>
      <c r="AH1856" s="25" t="str">
        <f>IFERROR(INDEX(#REF!,MATCH($O1856,#REF!,0)),"")</f>
        <v/>
      </c>
      <c r="AI1856" s="25" t="e">
        <f>IF(SUMIFS(#REF!,#REF!,"Expires this month",#REF!,O1856)=0,"",SUMIFS(#REF!,#REF!,"Expires this month",#REF!,O1856))</f>
        <v>#REF!</v>
      </c>
      <c r="AJ1856" s="25" t="e">
        <f>IF(SUMIFS(#REF!,#REF!,"Expired Previous Months",#REF!,O1856)=0,"",SUMIFS(#REF!,#REF!,"Expired Previous Months",#REF!,O1856))</f>
        <v>#REF!</v>
      </c>
      <c r="AK1856" s="25" t="str">
        <f>IFERROR(INDEX('Hun Release Current'!B:B,MATCH(O1856,'Hun Release Current'!A:A,0)),"")</f>
        <v/>
      </c>
      <c r="AL1856" s="25" t="str">
        <f>IF(SUMIF('Prev Aub'!A:A,O1856,'Prev Aub'!B:B)=0,"",SUMIF('Prev Aub'!A:A,O1856,'Prev Aub'!B:B))</f>
        <v/>
      </c>
      <c r="AN1856" s="25" t="s">
        <v>3790</v>
      </c>
      <c r="AO1856" s="25" t="s">
        <v>3790</v>
      </c>
      <c r="AP1856" s="25" t="str">
        <f t="shared" si="923"/>
        <v/>
      </c>
      <c r="AQ1856" s="151" t="e">
        <f>IF(SUMIFS(#REF!,#REF!,O1856,#REF!,"PENDING")=0,"",SUMIFS(#REF!,#REF!,O1856,#REF!,"PENDING"))</f>
        <v>#REF!</v>
      </c>
      <c r="AR1856" s="27" t="str">
        <f t="shared" si="902"/>
        <v/>
      </c>
      <c r="AS1856" s="27" t="str">
        <f t="shared" si="903"/>
        <v/>
      </c>
      <c r="AT1856" s="27" t="str">
        <f t="shared" si="904"/>
        <v/>
      </c>
      <c r="AU1856" s="27" t="str">
        <f t="shared" si="905"/>
        <v/>
      </c>
      <c r="AV1856" s="27" t="str">
        <f t="shared" si="906"/>
        <v/>
      </c>
      <c r="AW1856" s="27" t="e">
        <f t="shared" si="907"/>
        <v>#REF!</v>
      </c>
      <c r="AX1856" s="27" t="e">
        <f t="shared" si="908"/>
        <v>#REF!</v>
      </c>
      <c r="AY1856" s="27" t="str">
        <f t="shared" si="909"/>
        <v/>
      </c>
      <c r="AZ1856" s="27" t="str">
        <f t="shared" si="910"/>
        <v/>
      </c>
      <c r="BA1856" s="27" t="str">
        <f t="shared" si="911"/>
        <v/>
      </c>
      <c r="BB1856" s="27" t="str">
        <f t="shared" si="912"/>
        <v/>
      </c>
      <c r="BC1856" s="27" t="str">
        <f t="shared" si="913"/>
        <v/>
      </c>
      <c r="BD1856" s="27" t="str">
        <f t="shared" si="914"/>
        <v/>
      </c>
      <c r="BE1856" s="27" t="str">
        <f t="shared" si="915"/>
        <v/>
      </c>
      <c r="BF1856" s="27" t="str">
        <f t="shared" si="916"/>
        <v/>
      </c>
      <c r="BG1856" s="27" t="str">
        <f t="shared" si="917"/>
        <v/>
      </c>
      <c r="BH1856" s="27" t="str">
        <f t="shared" si="918"/>
        <v/>
      </c>
      <c r="BI1856" s="27" t="str">
        <f t="shared" si="919"/>
        <v/>
      </c>
      <c r="BJ1856" s="27" t="str">
        <f t="shared" si="920"/>
        <v/>
      </c>
      <c r="BK1856" s="27" t="str">
        <f t="shared" si="921"/>
        <v/>
      </c>
      <c r="BL1856" s="27" t="str">
        <f t="shared" si="922"/>
        <v/>
      </c>
      <c r="BM1856" s="21" t="s">
        <v>3790</v>
      </c>
    </row>
    <row r="1857" spans="1:65" ht="15">
      <c r="A1857" s="25" t="str">
        <f>IFERROR(INDEX(#REF!,MATCH(O1857,#REF!,0)),"")</f>
        <v/>
      </c>
      <c r="B1857" s="25" t="str">
        <f>IFERROR(INDEX(#REF!,MATCH(O1857,#REF!,0)),"")</f>
        <v/>
      </c>
      <c r="C1857" s="25" t="str">
        <f>IFERROR(INDEX(#REF!,MATCH(O1857,#REF!,0)),"")</f>
        <v/>
      </c>
      <c r="D1857" s="25" t="str">
        <f>IFERROR(INDEX(#REF!,MATCH(O1857,#REF!,0)),"")</f>
        <v/>
      </c>
      <c r="E1857" s="25" t="str">
        <f>IFERROR(INDEX(#REF!,MATCH(O1857,#REF!,0)),"")</f>
        <v/>
      </c>
      <c r="F1857" s="25" t="str">
        <f>IFERROR(INDEX(#REF!,MATCH(O1857,#REF!,0)),"")</f>
        <v/>
      </c>
      <c r="G1857" s="25" t="str">
        <f>IFERROR(INDEX(#REF!,MATCH(O1857,#REF!,0)),"")</f>
        <v/>
      </c>
      <c r="H1857" s="25" t="str">
        <f>IFERROR(INDEX(#REF!,MATCH(O1857,#REF!,0)),"")</f>
        <v/>
      </c>
      <c r="I1857" s="25" t="str">
        <f>IFERROR(INDEX(#REF!,MATCH(O1857,#REF!,0)),"")</f>
        <v/>
      </c>
      <c r="J1857" s="25" t="str">
        <f>IFERROR(INDEX(#REF!,MATCH(O1857,#REF!,0)),"")</f>
        <v/>
      </c>
      <c r="K1857" s="25" t="str">
        <f>IFERROR(INDEX(#REF!,MATCH(O1857,#REF!,0)),"")</f>
        <v/>
      </c>
      <c r="L1857" s="25" t="str">
        <f>IFERROR(INDEX(#REF!,MATCH(O1857,#REF!,0)),"")</f>
        <v/>
      </c>
      <c r="P1857" s="27" t="str">
        <f>IFERROR(INDEX(#REF!,MATCH($O1857,#REF!,0)),"")</f>
        <v/>
      </c>
      <c r="Q1857" s="27" t="str">
        <f>IFERROR(INDEX(#REF!,MATCH($O1857,#REF!,0)),"")</f>
        <v/>
      </c>
      <c r="R1857" s="52" t="str">
        <f>IFERROR(IF(AR1858=AR1857,INDEX(#REF!,MATCH($O1857,#REF!,0))-IF(AN1857="",0,AN1857)+AP1858,INDEX(#REF!,MATCH($O1857,#REF!,0))-IF(AN1857="",0,AN1857)),"")</f>
        <v/>
      </c>
      <c r="S1857" s="53" t="str">
        <f t="shared" si="896"/>
        <v/>
      </c>
      <c r="T1857" s="52" t="str">
        <f t="shared" si="897"/>
        <v/>
      </c>
      <c r="U1857" s="52" t="str">
        <f>IFERROR(IF(AR1858=AR1857,INDEX(#REF!,MATCH($O1857,#REF!,0))-IF(AN1857="",0,AN1857)+AP1858,INDEX(#REF!,MATCH($O1857,#REF!,0))-IF(AN1857="",0,AN1857)),"")</f>
        <v/>
      </c>
      <c r="V1857" s="53" t="str">
        <f t="shared" si="898"/>
        <v/>
      </c>
      <c r="W1857" s="52" t="str">
        <f t="shared" si="899"/>
        <v/>
      </c>
      <c r="X1857" s="52" t="str">
        <f>IFERROR(IF(AND(AR1858=AR1857,AM1857&lt;&gt;""),INDEX(#REF!,MATCH($O1857,#REF!,0))-IF(AN1857="",0,AN1857)+AP1858+AD1857+AL1857,IF(AR1858=AR1857,INDEX(#REF!,MATCH($O1857,#REF!,0))-IF(AN1857="",0,AN1857)+AP1858+AD1857,IF(AM1857&lt;&gt;"",INDEX(#REF!,MATCH($O1857,#REF!,0))-IF(AN1857="",0,AN1857)+AD1857+AL1857,INDEX(#REF!,MATCH($O1857,#REF!,0))-IF(AN1857="",0,AN1857)+AD1857))),"")</f>
        <v/>
      </c>
      <c r="Y1857" s="53" t="str">
        <f t="shared" si="900"/>
        <v/>
      </c>
      <c r="Z1857" s="52" t="str">
        <f>IF(L1857="","",INDEX(#REF!,MATCH($O1857,#REF!,0)))</f>
        <v/>
      </c>
      <c r="AA1857" s="52" t="str">
        <f t="shared" si="901"/>
        <v/>
      </c>
      <c r="AB1857" s="52" t="str">
        <f>IFERROR(INDEX(#REF!,MATCH($O1857,#REF!,0)),"")</f>
        <v/>
      </c>
      <c r="AC1857" s="52" t="str">
        <f>IFERROR(IF(O1857="","",SUMIFS('CPL Mats'!F:F,'CPL Mats'!Q:Q,AR1857,'CPL Mats'!S:S,AS1857)),"")</f>
        <v/>
      </c>
      <c r="AF1857" s="25" t="e">
        <f>IF(SUMIFS(#REF!,#REF!,"Releasable",#REF!,O1857)=0,"",SUMIFS(#REF!,#REF!,"Releasable",#REF!,O1857))</f>
        <v>#REF!</v>
      </c>
      <c r="AG1857" s="25" t="str">
        <f>IFERROR(INDEX(#REF!,MATCH(O1857,#REF!,0)),"")</f>
        <v/>
      </c>
      <c r="AH1857" s="25" t="str">
        <f>IFERROR(INDEX(#REF!,MATCH($O1857,#REF!,0)),"")</f>
        <v/>
      </c>
      <c r="AI1857" s="25" t="e">
        <f>IF(SUMIFS(#REF!,#REF!,"Expires this month",#REF!,O1857)=0,"",SUMIFS(#REF!,#REF!,"Expires this month",#REF!,O1857))</f>
        <v>#REF!</v>
      </c>
      <c r="AJ1857" s="25" t="e">
        <f>IF(SUMIFS(#REF!,#REF!,"Expired Previous Months",#REF!,O1857)=0,"",SUMIFS(#REF!,#REF!,"Expired Previous Months",#REF!,O1857))</f>
        <v>#REF!</v>
      </c>
      <c r="AK1857" s="25" t="str">
        <f>IFERROR(INDEX('Hun Release Current'!B:B,MATCH(O1857,'Hun Release Current'!A:A,0)),"")</f>
        <v/>
      </c>
      <c r="AL1857" s="25" t="str">
        <f>IF(SUMIF('Prev Aub'!A:A,O1857,'Prev Aub'!B:B)=0,"",SUMIF('Prev Aub'!A:A,O1857,'Prev Aub'!B:B))</f>
        <v/>
      </c>
      <c r="AN1857" s="25" t="s">
        <v>3790</v>
      </c>
      <c r="AO1857" s="25" t="s">
        <v>3790</v>
      </c>
      <c r="AP1857" s="25" t="str">
        <f t="shared" si="923"/>
        <v/>
      </c>
      <c r="AQ1857" s="151" t="e">
        <f>IF(SUMIFS(#REF!,#REF!,O1857,#REF!,"PENDING")=0,"",SUMIFS(#REF!,#REF!,O1857,#REF!,"PENDING"))</f>
        <v>#REF!</v>
      </c>
      <c r="AR1857" s="27" t="str">
        <f t="shared" si="902"/>
        <v/>
      </c>
      <c r="AS1857" s="27" t="str">
        <f t="shared" si="903"/>
        <v/>
      </c>
      <c r="AT1857" s="27" t="str">
        <f t="shared" si="904"/>
        <v/>
      </c>
      <c r="AU1857" s="27" t="str">
        <f t="shared" si="905"/>
        <v/>
      </c>
      <c r="AV1857" s="27" t="str">
        <f t="shared" si="906"/>
        <v/>
      </c>
      <c r="AW1857" s="27" t="e">
        <f t="shared" si="907"/>
        <v>#REF!</v>
      </c>
      <c r="AX1857" s="27" t="e">
        <f t="shared" si="908"/>
        <v>#REF!</v>
      </c>
      <c r="AY1857" s="27" t="str">
        <f t="shared" si="909"/>
        <v/>
      </c>
      <c r="AZ1857" s="27" t="str">
        <f t="shared" si="910"/>
        <v/>
      </c>
      <c r="BA1857" s="27" t="str">
        <f t="shared" si="911"/>
        <v/>
      </c>
      <c r="BB1857" s="27" t="str">
        <f t="shared" si="912"/>
        <v/>
      </c>
      <c r="BC1857" s="27" t="str">
        <f t="shared" si="913"/>
        <v/>
      </c>
      <c r="BD1857" s="27" t="str">
        <f t="shared" si="914"/>
        <v/>
      </c>
      <c r="BE1857" s="27" t="str">
        <f t="shared" si="915"/>
        <v/>
      </c>
      <c r="BF1857" s="27" t="str">
        <f t="shared" si="916"/>
        <v/>
      </c>
      <c r="BG1857" s="27" t="str">
        <f t="shared" si="917"/>
        <v/>
      </c>
      <c r="BH1857" s="27" t="str">
        <f t="shared" si="918"/>
        <v/>
      </c>
      <c r="BI1857" s="27" t="str">
        <f t="shared" si="919"/>
        <v/>
      </c>
      <c r="BJ1857" s="27" t="str">
        <f t="shared" si="920"/>
        <v/>
      </c>
      <c r="BK1857" s="27" t="str">
        <f t="shared" si="921"/>
        <v/>
      </c>
      <c r="BL1857" s="27" t="str">
        <f t="shared" si="922"/>
        <v/>
      </c>
      <c r="BM1857" s="21" t="s">
        <v>3790</v>
      </c>
    </row>
    <row r="1858" spans="1:65" ht="15">
      <c r="A1858" s="25" t="str">
        <f>IFERROR(INDEX(#REF!,MATCH(O1858,#REF!,0)),"")</f>
        <v/>
      </c>
      <c r="B1858" s="25" t="str">
        <f>IFERROR(INDEX(#REF!,MATCH(O1858,#REF!,0)),"")</f>
        <v/>
      </c>
      <c r="C1858" s="25" t="str">
        <f>IFERROR(INDEX(#REF!,MATCH(O1858,#REF!,0)),"")</f>
        <v/>
      </c>
      <c r="D1858" s="25" t="str">
        <f>IFERROR(INDEX(#REF!,MATCH(O1858,#REF!,0)),"")</f>
        <v/>
      </c>
      <c r="E1858" s="25" t="str">
        <f>IFERROR(INDEX(#REF!,MATCH(O1858,#REF!,0)),"")</f>
        <v/>
      </c>
      <c r="F1858" s="25" t="str">
        <f>IFERROR(INDEX(#REF!,MATCH(O1858,#REF!,0)),"")</f>
        <v/>
      </c>
      <c r="G1858" s="25" t="str">
        <f>IFERROR(INDEX(#REF!,MATCH(O1858,#REF!,0)),"")</f>
        <v/>
      </c>
      <c r="H1858" s="25" t="str">
        <f>IFERROR(INDEX(#REF!,MATCH(O1858,#REF!,0)),"")</f>
        <v/>
      </c>
      <c r="I1858" s="25" t="str">
        <f>IFERROR(INDEX(#REF!,MATCH(O1858,#REF!,0)),"")</f>
        <v/>
      </c>
      <c r="J1858" s="25" t="str">
        <f>IFERROR(INDEX(#REF!,MATCH(O1858,#REF!,0)),"")</f>
        <v/>
      </c>
      <c r="K1858" s="25" t="str">
        <f>IFERROR(INDEX(#REF!,MATCH(O1858,#REF!,0)),"")</f>
        <v/>
      </c>
      <c r="L1858" s="25" t="str">
        <f>IFERROR(INDEX(#REF!,MATCH(O1858,#REF!,0)),"")</f>
        <v/>
      </c>
      <c r="P1858" s="27" t="str">
        <f>IFERROR(INDEX(#REF!,MATCH($O1858,#REF!,0)),"")</f>
        <v/>
      </c>
      <c r="Q1858" s="27" t="str">
        <f>IFERROR(INDEX(#REF!,MATCH($O1858,#REF!,0)),"")</f>
        <v/>
      </c>
      <c r="R1858" s="52" t="str">
        <f>IFERROR(IF(AR1859=AR1858,INDEX(#REF!,MATCH($O1858,#REF!,0))-IF(AN1858="",0,AN1858)+AP1859,INDEX(#REF!,MATCH($O1858,#REF!,0))-IF(AN1858="",0,AN1858)),"")</f>
        <v/>
      </c>
      <c r="S1858" s="53" t="str">
        <f t="shared" ref="S1858:S1883" si="924">IFERROR(IF(O1858="","",ROUND(R1858/((Z1858/30)*7),1)),"n/a")</f>
        <v/>
      </c>
      <c r="T1858" s="52" t="str">
        <f t="shared" ref="T1858:T1883" si="925">IFERROR(IF(S1858&lt;3.1,IF(AA1858="spike",(3-S1858)*(Z1858/4),(3-S1858)*(AA1858/4)),""),"")</f>
        <v/>
      </c>
      <c r="U1858" s="52" t="str">
        <f>IFERROR(IF(AR1859=AR1858,INDEX(#REF!,MATCH($O1858,#REF!,0))-IF(AN1858="",0,AN1858)+AP1859,INDEX(#REF!,MATCH($O1858,#REF!,0))-IF(AN1858="",0,AN1858)),"")</f>
        <v/>
      </c>
      <c r="V1858" s="53" t="str">
        <f t="shared" ref="V1858:V1883" si="926">IFERROR(IF(O1858="","",ROUND(U1858/((Z1858/30)*7),1)),"n/a")</f>
        <v/>
      </c>
      <c r="W1858" s="52" t="str">
        <f t="shared" ref="W1858:W1883" si="927">IF(IFERROR(IF(V1858&lt;3.1,IF(AA1858="spike",(3-V1858)*(Z1858/4),(3-V1858)*(AA1858/4)),""),"")&lt;0,0,IFERROR(IF(V1858&lt;3.1,IF(AA1858="spike",(3-V1858)*(Z1858/4),(3-V1858)*(AA1858/4)),""),""))</f>
        <v/>
      </c>
      <c r="X1858" s="52" t="str">
        <f>IFERROR(IF(AND(AR1859=AR1858,AM1858&lt;&gt;""),INDEX(#REF!,MATCH($O1858,#REF!,0))-IF(AN1858="",0,AN1858)+AP1859+AD1858+AL1858,IF(AR1859=AR1858,INDEX(#REF!,MATCH($O1858,#REF!,0))-IF(AN1858="",0,AN1858)+AP1859+AD1858,IF(AM1858&lt;&gt;"",INDEX(#REF!,MATCH($O1858,#REF!,0))-IF(AN1858="",0,AN1858)+AD1858+AL1858,INDEX(#REF!,MATCH($O1858,#REF!,0))-IF(AN1858="",0,AN1858)+AD1858))),"")</f>
        <v/>
      </c>
      <c r="Y1858" s="53" t="str">
        <f t="shared" ref="Y1858:Y1883" si="928">IFERROR(IF(O1858="","",ROUND(X1858/((Z1858/30)*7),1)),"n/a")</f>
        <v/>
      </c>
      <c r="Z1858" s="52" t="str">
        <f>IF(L1858="","",INDEX(#REF!,MATCH($O1858,#REF!,0)))</f>
        <v/>
      </c>
      <c r="AA1858" s="52" t="str">
        <f t="shared" ref="AA1858:AA1883" si="929">IF(L1858="","",IF(LARGE(I1858:L1858,2)=0,"-spike-",AVERAGE(LARGE(I1858:L1858,1),LARGE(I1858:L1858,2))))</f>
        <v/>
      </c>
      <c r="AB1858" s="52" t="str">
        <f>IFERROR(INDEX(#REF!,MATCH($O1858,#REF!,0)),"")</f>
        <v/>
      </c>
      <c r="AC1858" s="52" t="str">
        <f>IFERROR(IF(O1858="","",SUMIFS('CPL Mats'!F:F,'CPL Mats'!Q:Q,AR1858,'CPL Mats'!S:S,AS1858)),"")</f>
        <v/>
      </c>
      <c r="AF1858" s="25" t="e">
        <f>IF(SUMIFS(#REF!,#REF!,"Releasable",#REF!,O1858)=0,"",SUMIFS(#REF!,#REF!,"Releasable",#REF!,O1858))</f>
        <v>#REF!</v>
      </c>
      <c r="AG1858" s="25" t="str">
        <f>IFERROR(INDEX(#REF!,MATCH(O1858,#REF!,0)),"")</f>
        <v/>
      </c>
      <c r="AH1858" s="25" t="str">
        <f>IFERROR(INDEX(#REF!,MATCH($O1858,#REF!,0)),"")</f>
        <v/>
      </c>
      <c r="AI1858" s="25" t="e">
        <f>IF(SUMIFS(#REF!,#REF!,"Expires this month",#REF!,O1858)=0,"",SUMIFS(#REF!,#REF!,"Expires this month",#REF!,O1858))</f>
        <v>#REF!</v>
      </c>
      <c r="AJ1858" s="25" t="e">
        <f>IF(SUMIFS(#REF!,#REF!,"Expired Previous Months",#REF!,O1858)=0,"",SUMIFS(#REF!,#REF!,"Expired Previous Months",#REF!,O1858))</f>
        <v>#REF!</v>
      </c>
      <c r="AK1858" s="25" t="str">
        <f>IFERROR(INDEX('Hun Release Current'!B:B,MATCH(O1858,'Hun Release Current'!A:A,0)),"")</f>
        <v/>
      </c>
      <c r="AL1858" s="25" t="str">
        <f>IF(SUMIF('Prev Aub'!A:A,O1858,'Prev Aub'!B:B)=0,"",SUMIF('Prev Aub'!A:A,O1858,'Prev Aub'!B:B))</f>
        <v/>
      </c>
      <c r="AN1858" s="25" t="s">
        <v>3790</v>
      </c>
      <c r="AO1858" s="25" t="s">
        <v>3790</v>
      </c>
      <c r="AP1858" s="25" t="str">
        <f t="shared" si="923"/>
        <v/>
      </c>
      <c r="AQ1858" s="151" t="e">
        <f>IF(SUMIFS(#REF!,#REF!,O1858,#REF!,"PENDING")=0,"",SUMIFS(#REF!,#REF!,O1858,#REF!,"PENDING"))</f>
        <v>#REF!</v>
      </c>
      <c r="AR1858" s="27" t="str">
        <f t="shared" ref="AR1858:AR1883" si="930">MID(O1858,4,5)</f>
        <v/>
      </c>
      <c r="AS1858" s="27" t="str">
        <f t="shared" ref="AS1858:AS1883" si="931">MID(O1858,10,2)</f>
        <v/>
      </c>
      <c r="AT1858" s="27" t="str">
        <f t="shared" ref="AT1858:AT1883" si="932">IF(S1858&lt;3.1,AR1858,"")</f>
        <v/>
      </c>
      <c r="AU1858" s="27" t="str">
        <f t="shared" ref="AU1858:AU1883" si="933">IF(Y1858&lt;3.1,AR1858,"")</f>
        <v/>
      </c>
      <c r="AV1858" s="27" t="str">
        <f t="shared" ref="AV1858:AV1883" si="934">IF(AND(AA1858="Spike",L1858=0,K1858=0,X1858&gt;=0),"",IF(Y1858&lt;3.1,AR1858,""))</f>
        <v/>
      </c>
      <c r="AW1858" s="27" t="e">
        <f t="shared" ref="AW1858:AW1883" si="935">IF(AI1858=AL1858,"",IF(OR(AI1858&lt;&gt;"",AJ1858&lt;&gt;""),AR1858,""))</f>
        <v>#REF!</v>
      </c>
      <c r="AX1858" s="27" t="e">
        <f t="shared" ref="AX1858:AX1883" si="936">IF(AF1858&lt;&gt;"",AR1858,"")</f>
        <v>#REF!</v>
      </c>
      <c r="AY1858" s="27" t="str">
        <f t="shared" ref="AY1858:AY1883" si="937">IF(AND(AG1858&lt;&gt;"",AG1858&gt;AH1858),AR1858,"")</f>
        <v/>
      </c>
      <c r="AZ1858" s="27" t="str">
        <f t="shared" ref="AZ1858:AZ1883" si="938">IFERROR(IF(O1858="","",IF(ISERROR(MATCH(AR1858,AX:AX,0)),"","Supp")),"")</f>
        <v/>
      </c>
      <c r="BA1858" s="27" t="str">
        <f t="shared" ref="BA1858:BA1883" si="939">IFERROR(IF(O1858="","",IF(ISERROR(MATCH(AR1858,AY:AY,0)),"","Hun")),"")</f>
        <v/>
      </c>
      <c r="BB1858" s="27" t="str">
        <f t="shared" ref="BB1858:BB1883" si="940">IFERROR(IF(O1858="","",IF(ISERROR(MATCH(AR1858,AT:AT,0)),"","Gross")),"")</f>
        <v/>
      </c>
      <c r="BC1858" s="27" t="str">
        <f t="shared" ref="BC1858:BC1883" si="941">IFERROR(IF(O1858="","",IF(ISERROR(MATCH(AR1858,AU:AU,0)),"","Net")),"")</f>
        <v/>
      </c>
      <c r="BD1858" s="27" t="str">
        <f t="shared" ref="BD1858:BD1883" si="942">IFERROR(IF(O1858="","",IF(ISERROR(MATCH(AR1858,AV:AV,0)),"","Net")),"")</f>
        <v/>
      </c>
      <c r="BE1858" s="27" t="str">
        <f t="shared" ref="BE1858:BE1883" si="943">IFERROR(IF(O1858="","",IF(ISERROR(MATCH(AR1858,AW:AW,0)),"","Exp")),"")</f>
        <v/>
      </c>
      <c r="BF1858" s="27" t="str">
        <f t="shared" ref="BF1858:BF1883" si="944">IFERROR(IF(O1858="","",IF(AND(AZ1858="Supp",BC1858="Net"),"S+N","")),"")</f>
        <v/>
      </c>
      <c r="BG1858" s="27" t="str">
        <f t="shared" ref="BG1858:BG1883" si="945">IFERROR(IF(O1858="","",IF(OR(BE1858&lt;&gt;"",BF1858&lt;&gt;""),"S+NorE","")),"")</f>
        <v/>
      </c>
      <c r="BH1858" s="27" t="str">
        <f t="shared" ref="BH1858:BH1883" si="946">IFERROR(IF(O1858="","",IF(AND(BA1858&lt;&gt;"",BC1858&lt;&gt;""),"H+N","")),"")</f>
        <v/>
      </c>
      <c r="BI1858" s="27" t="str">
        <f t="shared" ref="BI1858:BI1883" si="947">IFERROR(IF(O1858="","",IF(AND(BA1858&lt;&gt;"",BD1858&lt;&gt;""),"H+Nex","")),"")</f>
        <v/>
      </c>
      <c r="BJ1858" s="27" t="str">
        <f t="shared" ref="BJ1858:BJ1883" si="948">IF(OR(AZ1858&lt;&gt;"",BA1858&lt;&gt;""),"Supp or Hun","")</f>
        <v/>
      </c>
      <c r="BK1858" s="27" t="str">
        <f t="shared" ref="BK1858:BK1883" si="949">IF(AND(BJ1858&lt;&gt;"",BC1858&lt;&gt;""),"Supp or Hun Need","")</f>
        <v/>
      </c>
      <c r="BL1858" s="27" t="str">
        <f t="shared" ref="BL1858:BL1921" si="950">IF(OR(BK1858&lt;&gt;"",BE1858&lt;&gt;""),"SorHandNandE","")</f>
        <v/>
      </c>
      <c r="BM1858" s="21" t="s">
        <v>3790</v>
      </c>
    </row>
    <row r="1859" spans="1:65" ht="15">
      <c r="A1859" s="25" t="str">
        <f>IFERROR(INDEX(#REF!,MATCH(O1859,#REF!,0)),"")</f>
        <v/>
      </c>
      <c r="B1859" s="25" t="str">
        <f>IFERROR(INDEX(#REF!,MATCH(O1859,#REF!,0)),"")</f>
        <v/>
      </c>
      <c r="C1859" s="25" t="str">
        <f>IFERROR(INDEX(#REF!,MATCH(O1859,#REF!,0)),"")</f>
        <v/>
      </c>
      <c r="D1859" s="25" t="str">
        <f>IFERROR(INDEX(#REF!,MATCH(O1859,#REF!,0)),"")</f>
        <v/>
      </c>
      <c r="E1859" s="25" t="str">
        <f>IFERROR(INDEX(#REF!,MATCH(O1859,#REF!,0)),"")</f>
        <v/>
      </c>
      <c r="F1859" s="25" t="str">
        <f>IFERROR(INDEX(#REF!,MATCH(O1859,#REF!,0)),"")</f>
        <v/>
      </c>
      <c r="G1859" s="25" t="str">
        <f>IFERROR(INDEX(#REF!,MATCH(O1859,#REF!,0)),"")</f>
        <v/>
      </c>
      <c r="H1859" s="25" t="str">
        <f>IFERROR(INDEX(#REF!,MATCH(O1859,#REF!,0)),"")</f>
        <v/>
      </c>
      <c r="I1859" s="25" t="str">
        <f>IFERROR(INDEX(#REF!,MATCH(O1859,#REF!,0)),"")</f>
        <v/>
      </c>
      <c r="J1859" s="25" t="str">
        <f>IFERROR(INDEX(#REF!,MATCH(O1859,#REF!,0)),"")</f>
        <v/>
      </c>
      <c r="K1859" s="25" t="str">
        <f>IFERROR(INDEX(#REF!,MATCH(O1859,#REF!,0)),"")</f>
        <v/>
      </c>
      <c r="L1859" s="25" t="str">
        <f>IFERROR(INDEX(#REF!,MATCH(O1859,#REF!,0)),"")</f>
        <v/>
      </c>
      <c r="P1859" s="27" t="str">
        <f>IFERROR(INDEX(#REF!,MATCH($O1859,#REF!,0)),"")</f>
        <v/>
      </c>
      <c r="Q1859" s="27" t="str">
        <f>IFERROR(INDEX(#REF!,MATCH($O1859,#REF!,0)),"")</f>
        <v/>
      </c>
      <c r="R1859" s="52" t="str">
        <f>IFERROR(IF(AR1860=AR1859,INDEX(#REF!,MATCH($O1859,#REF!,0))-IF(AN1859="",0,AN1859)+AP1860,INDEX(#REF!,MATCH($O1859,#REF!,0))-IF(AN1859="",0,AN1859)),"")</f>
        <v/>
      </c>
      <c r="S1859" s="53" t="str">
        <f t="shared" si="924"/>
        <v/>
      </c>
      <c r="T1859" s="52" t="str">
        <f t="shared" si="925"/>
        <v/>
      </c>
      <c r="U1859" s="52" t="str">
        <f>IFERROR(IF(AR1860=AR1859,INDEX(#REF!,MATCH($O1859,#REF!,0))-IF(AN1859="",0,AN1859)+AP1860,INDEX(#REF!,MATCH($O1859,#REF!,0))-IF(AN1859="",0,AN1859)),"")</f>
        <v/>
      </c>
      <c r="V1859" s="53" t="str">
        <f t="shared" si="926"/>
        <v/>
      </c>
      <c r="W1859" s="52" t="str">
        <f t="shared" si="927"/>
        <v/>
      </c>
      <c r="X1859" s="52" t="str">
        <f>IFERROR(IF(AND(AR1860=AR1859,AM1859&lt;&gt;""),INDEX(#REF!,MATCH($O1859,#REF!,0))-IF(AN1859="",0,AN1859)+AP1860+AD1859+AL1859,IF(AR1860=AR1859,INDEX(#REF!,MATCH($O1859,#REF!,0))-IF(AN1859="",0,AN1859)+AP1860+AD1859,IF(AM1859&lt;&gt;"",INDEX(#REF!,MATCH($O1859,#REF!,0))-IF(AN1859="",0,AN1859)+AD1859+AL1859,INDEX(#REF!,MATCH($O1859,#REF!,0))-IF(AN1859="",0,AN1859)+AD1859))),"")</f>
        <v/>
      </c>
      <c r="Y1859" s="53" t="str">
        <f t="shared" si="928"/>
        <v/>
      </c>
      <c r="Z1859" s="52" t="str">
        <f>IF(L1859="","",INDEX(#REF!,MATCH($O1859,#REF!,0)))</f>
        <v/>
      </c>
      <c r="AA1859" s="52" t="str">
        <f t="shared" si="929"/>
        <v/>
      </c>
      <c r="AB1859" s="52" t="str">
        <f>IFERROR(INDEX(#REF!,MATCH($O1859,#REF!,0)),"")</f>
        <v/>
      </c>
      <c r="AC1859" s="52" t="str">
        <f>IFERROR(IF(O1859="","",SUMIFS('CPL Mats'!F:F,'CPL Mats'!Q:Q,AR1859,'CPL Mats'!S:S,AS1859)),"")</f>
        <v/>
      </c>
      <c r="AF1859" s="25" t="e">
        <f>IF(SUMIFS(#REF!,#REF!,"Releasable",#REF!,O1859)=0,"",SUMIFS(#REF!,#REF!,"Releasable",#REF!,O1859))</f>
        <v>#REF!</v>
      </c>
      <c r="AG1859" s="25" t="str">
        <f>IFERROR(INDEX(#REF!,MATCH(O1859,#REF!,0)),"")</f>
        <v/>
      </c>
      <c r="AH1859" s="25" t="str">
        <f>IFERROR(INDEX(#REF!,MATCH($O1859,#REF!,0)),"")</f>
        <v/>
      </c>
      <c r="AI1859" s="25" t="e">
        <f>IF(SUMIFS(#REF!,#REF!,"Expires this month",#REF!,O1859)=0,"",SUMIFS(#REF!,#REF!,"Expires this month",#REF!,O1859))</f>
        <v>#REF!</v>
      </c>
      <c r="AJ1859" s="25" t="e">
        <f>IF(SUMIFS(#REF!,#REF!,"Expired Previous Months",#REF!,O1859)=0,"",SUMIFS(#REF!,#REF!,"Expired Previous Months",#REF!,O1859))</f>
        <v>#REF!</v>
      </c>
      <c r="AK1859" s="25" t="str">
        <f>IFERROR(INDEX('Hun Release Current'!B:B,MATCH(O1859,'Hun Release Current'!A:A,0)),"")</f>
        <v/>
      </c>
      <c r="AL1859" s="25" t="str">
        <f>IF(SUMIF('Prev Aub'!A:A,O1859,'Prev Aub'!B:B)=0,"",SUMIF('Prev Aub'!A:A,O1859,'Prev Aub'!B:B))</f>
        <v/>
      </c>
      <c r="AN1859" s="25" t="s">
        <v>3790</v>
      </c>
      <c r="AO1859" s="25" t="s">
        <v>3790</v>
      </c>
      <c r="AP1859" s="25" t="str">
        <f t="shared" ref="AP1859:AP1883" si="951">IFERROR(IF(O1859="","",IF(AN1859="",0,VALUE(AN1859)-(VALUE(AN1859)*0.2))),"")</f>
        <v/>
      </c>
      <c r="AQ1859" s="151" t="e">
        <f>IF(SUMIFS(#REF!,#REF!,O1859,#REF!,"PENDING")=0,"",SUMIFS(#REF!,#REF!,O1859,#REF!,"PENDING"))</f>
        <v>#REF!</v>
      </c>
      <c r="AR1859" s="27" t="str">
        <f t="shared" si="930"/>
        <v/>
      </c>
      <c r="AS1859" s="27" t="str">
        <f t="shared" si="931"/>
        <v/>
      </c>
      <c r="AT1859" s="27" t="str">
        <f t="shared" si="932"/>
        <v/>
      </c>
      <c r="AU1859" s="27" t="str">
        <f t="shared" si="933"/>
        <v/>
      </c>
      <c r="AV1859" s="27" t="str">
        <f t="shared" si="934"/>
        <v/>
      </c>
      <c r="AW1859" s="27" t="e">
        <f t="shared" si="935"/>
        <v>#REF!</v>
      </c>
      <c r="AX1859" s="27" t="e">
        <f t="shared" si="936"/>
        <v>#REF!</v>
      </c>
      <c r="AY1859" s="27" t="str">
        <f t="shared" si="937"/>
        <v/>
      </c>
      <c r="AZ1859" s="27" t="str">
        <f t="shared" si="938"/>
        <v/>
      </c>
      <c r="BA1859" s="27" t="str">
        <f t="shared" si="939"/>
        <v/>
      </c>
      <c r="BB1859" s="27" t="str">
        <f t="shared" si="940"/>
        <v/>
      </c>
      <c r="BC1859" s="27" t="str">
        <f t="shared" si="941"/>
        <v/>
      </c>
      <c r="BD1859" s="27" t="str">
        <f t="shared" si="942"/>
        <v/>
      </c>
      <c r="BE1859" s="27" t="str">
        <f t="shared" si="943"/>
        <v/>
      </c>
      <c r="BF1859" s="27" t="str">
        <f t="shared" si="944"/>
        <v/>
      </c>
      <c r="BG1859" s="27" t="str">
        <f t="shared" si="945"/>
        <v/>
      </c>
      <c r="BH1859" s="27" t="str">
        <f t="shared" si="946"/>
        <v/>
      </c>
      <c r="BI1859" s="27" t="str">
        <f t="shared" si="947"/>
        <v/>
      </c>
      <c r="BJ1859" s="27" t="str">
        <f t="shared" si="948"/>
        <v/>
      </c>
      <c r="BK1859" s="27" t="str">
        <f t="shared" si="949"/>
        <v/>
      </c>
      <c r="BL1859" s="27" t="str">
        <f t="shared" si="950"/>
        <v/>
      </c>
      <c r="BM1859" s="21" t="s">
        <v>3790</v>
      </c>
    </row>
    <row r="1860" spans="1:65" ht="15">
      <c r="A1860" s="25" t="str">
        <f>IFERROR(INDEX(#REF!,MATCH(O1860,#REF!,0)),"")</f>
        <v/>
      </c>
      <c r="B1860" s="25" t="str">
        <f>IFERROR(INDEX(#REF!,MATCH(O1860,#REF!,0)),"")</f>
        <v/>
      </c>
      <c r="C1860" s="25" t="str">
        <f>IFERROR(INDEX(#REF!,MATCH(O1860,#REF!,0)),"")</f>
        <v/>
      </c>
      <c r="D1860" s="25" t="str">
        <f>IFERROR(INDEX(#REF!,MATCH(O1860,#REF!,0)),"")</f>
        <v/>
      </c>
      <c r="E1860" s="25" t="str">
        <f>IFERROR(INDEX(#REF!,MATCH(O1860,#REF!,0)),"")</f>
        <v/>
      </c>
      <c r="F1860" s="25" t="str">
        <f>IFERROR(INDEX(#REF!,MATCH(O1860,#REF!,0)),"")</f>
        <v/>
      </c>
      <c r="G1860" s="25" t="str">
        <f>IFERROR(INDEX(#REF!,MATCH(O1860,#REF!,0)),"")</f>
        <v/>
      </c>
      <c r="H1860" s="25" t="str">
        <f>IFERROR(INDEX(#REF!,MATCH(O1860,#REF!,0)),"")</f>
        <v/>
      </c>
      <c r="I1860" s="25" t="str">
        <f>IFERROR(INDEX(#REF!,MATCH(O1860,#REF!,0)),"")</f>
        <v/>
      </c>
      <c r="J1860" s="25" t="str">
        <f>IFERROR(INDEX(#REF!,MATCH(O1860,#REF!,0)),"")</f>
        <v/>
      </c>
      <c r="K1860" s="25" t="str">
        <f>IFERROR(INDEX(#REF!,MATCH(O1860,#REF!,0)),"")</f>
        <v/>
      </c>
      <c r="L1860" s="25" t="str">
        <f>IFERROR(INDEX(#REF!,MATCH(O1860,#REF!,0)),"")</f>
        <v/>
      </c>
      <c r="P1860" s="27" t="str">
        <f>IFERROR(INDEX(#REF!,MATCH($O1860,#REF!,0)),"")</f>
        <v/>
      </c>
      <c r="Q1860" s="27" t="str">
        <f>IFERROR(INDEX(#REF!,MATCH($O1860,#REF!,0)),"")</f>
        <v/>
      </c>
      <c r="R1860" s="52" t="str">
        <f>IFERROR(IF(AR1861=AR1860,INDEX(#REF!,MATCH($O1860,#REF!,0))-IF(AN1860="",0,AN1860)+AP1861,INDEX(#REF!,MATCH($O1860,#REF!,0))-IF(AN1860="",0,AN1860)),"")</f>
        <v/>
      </c>
      <c r="S1860" s="53" t="str">
        <f t="shared" si="924"/>
        <v/>
      </c>
      <c r="T1860" s="52" t="str">
        <f t="shared" si="925"/>
        <v/>
      </c>
      <c r="U1860" s="52" t="str">
        <f>IFERROR(IF(AR1861=AR1860,INDEX(#REF!,MATCH($O1860,#REF!,0))-IF(AN1860="",0,AN1860)+AP1861,INDEX(#REF!,MATCH($O1860,#REF!,0))-IF(AN1860="",0,AN1860)),"")</f>
        <v/>
      </c>
      <c r="V1860" s="53" t="str">
        <f t="shared" si="926"/>
        <v/>
      </c>
      <c r="W1860" s="52" t="str">
        <f t="shared" si="927"/>
        <v/>
      </c>
      <c r="X1860" s="52" t="str">
        <f>IFERROR(IF(AND(AR1861=AR1860,AM1860&lt;&gt;""),INDEX(#REF!,MATCH($O1860,#REF!,0))-IF(AN1860="",0,AN1860)+AP1861+AD1860+AL1860,IF(AR1861=AR1860,INDEX(#REF!,MATCH($O1860,#REF!,0))-IF(AN1860="",0,AN1860)+AP1861+AD1860,IF(AM1860&lt;&gt;"",INDEX(#REF!,MATCH($O1860,#REF!,0))-IF(AN1860="",0,AN1860)+AD1860+AL1860,INDEX(#REF!,MATCH($O1860,#REF!,0))-IF(AN1860="",0,AN1860)+AD1860))),"")</f>
        <v/>
      </c>
      <c r="Y1860" s="53" t="str">
        <f t="shared" si="928"/>
        <v/>
      </c>
      <c r="Z1860" s="52" t="str">
        <f>IF(L1860="","",INDEX(#REF!,MATCH($O1860,#REF!,0)))</f>
        <v/>
      </c>
      <c r="AA1860" s="52" t="str">
        <f t="shared" si="929"/>
        <v/>
      </c>
      <c r="AB1860" s="52" t="str">
        <f>IFERROR(INDEX(#REF!,MATCH($O1860,#REF!,0)),"")</f>
        <v/>
      </c>
      <c r="AC1860" s="52" t="str">
        <f>IFERROR(IF(O1860="","",SUMIFS('CPL Mats'!F:F,'CPL Mats'!Q:Q,AR1860,'CPL Mats'!S:S,AS1860)),"")</f>
        <v/>
      </c>
      <c r="AF1860" s="25" t="e">
        <f>IF(SUMIFS(#REF!,#REF!,"Releasable",#REF!,O1860)=0,"",SUMIFS(#REF!,#REF!,"Releasable",#REF!,O1860))</f>
        <v>#REF!</v>
      </c>
      <c r="AG1860" s="25" t="str">
        <f>IFERROR(INDEX(#REF!,MATCH(O1860,#REF!,0)),"")</f>
        <v/>
      </c>
      <c r="AH1860" s="25" t="str">
        <f>IFERROR(INDEX(#REF!,MATCH($O1860,#REF!,0)),"")</f>
        <v/>
      </c>
      <c r="AI1860" s="25" t="e">
        <f>IF(SUMIFS(#REF!,#REF!,"Expires this month",#REF!,O1860)=0,"",SUMIFS(#REF!,#REF!,"Expires this month",#REF!,O1860))</f>
        <v>#REF!</v>
      </c>
      <c r="AJ1860" s="25" t="e">
        <f>IF(SUMIFS(#REF!,#REF!,"Expired Previous Months",#REF!,O1860)=0,"",SUMIFS(#REF!,#REF!,"Expired Previous Months",#REF!,O1860))</f>
        <v>#REF!</v>
      </c>
      <c r="AK1860" s="25" t="str">
        <f>IFERROR(INDEX('Hun Release Current'!B:B,MATCH(O1860,'Hun Release Current'!A:A,0)),"")</f>
        <v/>
      </c>
      <c r="AL1860" s="25" t="str">
        <f>IF(SUMIF('Prev Aub'!A:A,O1860,'Prev Aub'!B:B)=0,"",SUMIF('Prev Aub'!A:A,O1860,'Prev Aub'!B:B))</f>
        <v/>
      </c>
      <c r="AN1860" s="25" t="s">
        <v>3790</v>
      </c>
      <c r="AO1860" s="25" t="s">
        <v>3790</v>
      </c>
      <c r="AP1860" s="25" t="str">
        <f t="shared" si="951"/>
        <v/>
      </c>
      <c r="AQ1860" s="151" t="e">
        <f>IF(SUMIFS(#REF!,#REF!,O1860,#REF!,"PENDING")=0,"",SUMIFS(#REF!,#REF!,O1860,#REF!,"PENDING"))</f>
        <v>#REF!</v>
      </c>
      <c r="AR1860" s="27" t="str">
        <f t="shared" si="930"/>
        <v/>
      </c>
      <c r="AS1860" s="27" t="str">
        <f t="shared" si="931"/>
        <v/>
      </c>
      <c r="AT1860" s="27" t="str">
        <f t="shared" si="932"/>
        <v/>
      </c>
      <c r="AU1860" s="27" t="str">
        <f t="shared" si="933"/>
        <v/>
      </c>
      <c r="AV1860" s="27" t="str">
        <f t="shared" si="934"/>
        <v/>
      </c>
      <c r="AW1860" s="27" t="e">
        <f t="shared" si="935"/>
        <v>#REF!</v>
      </c>
      <c r="AX1860" s="27" t="e">
        <f t="shared" si="936"/>
        <v>#REF!</v>
      </c>
      <c r="AY1860" s="27" t="str">
        <f t="shared" si="937"/>
        <v/>
      </c>
      <c r="AZ1860" s="27" t="str">
        <f t="shared" si="938"/>
        <v/>
      </c>
      <c r="BA1860" s="27" t="str">
        <f t="shared" si="939"/>
        <v/>
      </c>
      <c r="BB1860" s="27" t="str">
        <f t="shared" si="940"/>
        <v/>
      </c>
      <c r="BC1860" s="27" t="str">
        <f t="shared" si="941"/>
        <v/>
      </c>
      <c r="BD1860" s="27" t="str">
        <f t="shared" si="942"/>
        <v/>
      </c>
      <c r="BE1860" s="27" t="str">
        <f t="shared" si="943"/>
        <v/>
      </c>
      <c r="BF1860" s="27" t="str">
        <f t="shared" si="944"/>
        <v/>
      </c>
      <c r="BG1860" s="27" t="str">
        <f t="shared" si="945"/>
        <v/>
      </c>
      <c r="BH1860" s="27" t="str">
        <f t="shared" si="946"/>
        <v/>
      </c>
      <c r="BI1860" s="27" t="str">
        <f t="shared" si="947"/>
        <v/>
      </c>
      <c r="BJ1860" s="27" t="str">
        <f t="shared" si="948"/>
        <v/>
      </c>
      <c r="BK1860" s="27" t="str">
        <f t="shared" si="949"/>
        <v/>
      </c>
      <c r="BL1860" s="27" t="str">
        <f t="shared" si="950"/>
        <v/>
      </c>
      <c r="BM1860" s="21" t="s">
        <v>3790</v>
      </c>
    </row>
    <row r="1861" spans="1:65" ht="15">
      <c r="A1861" s="25" t="str">
        <f>IFERROR(INDEX(#REF!,MATCH(O1861,#REF!,0)),"")</f>
        <v/>
      </c>
      <c r="B1861" s="25" t="str">
        <f>IFERROR(INDEX(#REF!,MATCH(O1861,#REF!,0)),"")</f>
        <v/>
      </c>
      <c r="C1861" s="25" t="str">
        <f>IFERROR(INDEX(#REF!,MATCH(O1861,#REF!,0)),"")</f>
        <v/>
      </c>
      <c r="D1861" s="25" t="str">
        <f>IFERROR(INDEX(#REF!,MATCH(O1861,#REF!,0)),"")</f>
        <v/>
      </c>
      <c r="E1861" s="25" t="str">
        <f>IFERROR(INDEX(#REF!,MATCH(O1861,#REF!,0)),"")</f>
        <v/>
      </c>
      <c r="F1861" s="25" t="str">
        <f>IFERROR(INDEX(#REF!,MATCH(O1861,#REF!,0)),"")</f>
        <v/>
      </c>
      <c r="G1861" s="25" t="str">
        <f>IFERROR(INDEX(#REF!,MATCH(O1861,#REF!,0)),"")</f>
        <v/>
      </c>
      <c r="H1861" s="25" t="str">
        <f>IFERROR(INDEX(#REF!,MATCH(O1861,#REF!,0)),"")</f>
        <v/>
      </c>
      <c r="I1861" s="25" t="str">
        <f>IFERROR(INDEX(#REF!,MATCH(O1861,#REF!,0)),"")</f>
        <v/>
      </c>
      <c r="J1861" s="25" t="str">
        <f>IFERROR(INDEX(#REF!,MATCH(O1861,#REF!,0)),"")</f>
        <v/>
      </c>
      <c r="K1861" s="25" t="str">
        <f>IFERROR(INDEX(#REF!,MATCH(O1861,#REF!,0)),"")</f>
        <v/>
      </c>
      <c r="L1861" s="25" t="str">
        <f>IFERROR(INDEX(#REF!,MATCH(O1861,#REF!,0)),"")</f>
        <v/>
      </c>
      <c r="P1861" s="27" t="str">
        <f>IFERROR(INDEX(#REF!,MATCH($O1861,#REF!,0)),"")</f>
        <v/>
      </c>
      <c r="Q1861" s="27" t="str">
        <f>IFERROR(INDEX(#REF!,MATCH($O1861,#REF!,0)),"")</f>
        <v/>
      </c>
      <c r="R1861" s="52" t="str">
        <f>IFERROR(IF(AR1862=AR1861,INDEX(#REF!,MATCH($O1861,#REF!,0))-IF(AN1861="",0,AN1861)+AP1862,INDEX(#REF!,MATCH($O1861,#REF!,0))-IF(AN1861="",0,AN1861)),"")</f>
        <v/>
      </c>
      <c r="S1861" s="53" t="str">
        <f t="shared" si="924"/>
        <v/>
      </c>
      <c r="T1861" s="52" t="str">
        <f t="shared" si="925"/>
        <v/>
      </c>
      <c r="U1861" s="52" t="str">
        <f>IFERROR(IF(AR1862=AR1861,INDEX(#REF!,MATCH($O1861,#REF!,0))-IF(AN1861="",0,AN1861)+AP1862,INDEX(#REF!,MATCH($O1861,#REF!,0))-IF(AN1861="",0,AN1861)),"")</f>
        <v/>
      </c>
      <c r="V1861" s="53" t="str">
        <f t="shared" si="926"/>
        <v/>
      </c>
      <c r="W1861" s="52" t="str">
        <f t="shared" si="927"/>
        <v/>
      </c>
      <c r="X1861" s="52" t="str">
        <f>IFERROR(IF(AND(AR1862=AR1861,AM1861&lt;&gt;""),INDEX(#REF!,MATCH($O1861,#REF!,0))-IF(AN1861="",0,AN1861)+AP1862+AD1861+AL1861,IF(AR1862=AR1861,INDEX(#REF!,MATCH($O1861,#REF!,0))-IF(AN1861="",0,AN1861)+AP1862+AD1861,IF(AM1861&lt;&gt;"",INDEX(#REF!,MATCH($O1861,#REF!,0))-IF(AN1861="",0,AN1861)+AD1861+AL1861,INDEX(#REF!,MATCH($O1861,#REF!,0))-IF(AN1861="",0,AN1861)+AD1861))),"")</f>
        <v/>
      </c>
      <c r="Y1861" s="53" t="str">
        <f t="shared" si="928"/>
        <v/>
      </c>
      <c r="Z1861" s="52" t="str">
        <f>IF(L1861="","",INDEX(#REF!,MATCH($O1861,#REF!,0)))</f>
        <v/>
      </c>
      <c r="AA1861" s="52" t="str">
        <f t="shared" si="929"/>
        <v/>
      </c>
      <c r="AB1861" s="52" t="str">
        <f>IFERROR(INDEX(#REF!,MATCH($O1861,#REF!,0)),"")</f>
        <v/>
      </c>
      <c r="AC1861" s="52" t="str">
        <f>IFERROR(IF(O1861="","",SUMIFS('CPL Mats'!F:F,'CPL Mats'!Q:Q,AR1861,'CPL Mats'!S:S,AS1861)),"")</f>
        <v/>
      </c>
      <c r="AF1861" s="25" t="e">
        <f>IF(SUMIFS(#REF!,#REF!,"Releasable",#REF!,O1861)=0,"",SUMIFS(#REF!,#REF!,"Releasable",#REF!,O1861))</f>
        <v>#REF!</v>
      </c>
      <c r="AG1861" s="25" t="str">
        <f>IFERROR(INDEX(#REF!,MATCH(O1861,#REF!,0)),"")</f>
        <v/>
      </c>
      <c r="AH1861" s="25" t="str">
        <f>IFERROR(INDEX(#REF!,MATCH($O1861,#REF!,0)),"")</f>
        <v/>
      </c>
      <c r="AI1861" s="25" t="e">
        <f>IF(SUMIFS(#REF!,#REF!,"Expires this month",#REF!,O1861)=0,"",SUMIFS(#REF!,#REF!,"Expires this month",#REF!,O1861))</f>
        <v>#REF!</v>
      </c>
      <c r="AJ1861" s="25" t="e">
        <f>IF(SUMIFS(#REF!,#REF!,"Expired Previous Months",#REF!,O1861)=0,"",SUMIFS(#REF!,#REF!,"Expired Previous Months",#REF!,O1861))</f>
        <v>#REF!</v>
      </c>
      <c r="AK1861" s="25" t="str">
        <f>IFERROR(INDEX('Hun Release Current'!B:B,MATCH(O1861,'Hun Release Current'!A:A,0)),"")</f>
        <v/>
      </c>
      <c r="AL1861" s="25" t="str">
        <f>IF(SUMIF('Prev Aub'!A:A,O1861,'Prev Aub'!B:B)=0,"",SUMIF('Prev Aub'!A:A,O1861,'Prev Aub'!B:B))</f>
        <v/>
      </c>
      <c r="AN1861" s="25" t="s">
        <v>3790</v>
      </c>
      <c r="AO1861" s="25" t="s">
        <v>3790</v>
      </c>
      <c r="AP1861" s="25" t="str">
        <f t="shared" si="951"/>
        <v/>
      </c>
      <c r="AQ1861" s="151" t="e">
        <f>IF(SUMIFS(#REF!,#REF!,O1861,#REF!,"PENDING")=0,"",SUMIFS(#REF!,#REF!,O1861,#REF!,"PENDING"))</f>
        <v>#REF!</v>
      </c>
      <c r="AR1861" s="27" t="str">
        <f t="shared" si="930"/>
        <v/>
      </c>
      <c r="AS1861" s="27" t="str">
        <f t="shared" si="931"/>
        <v/>
      </c>
      <c r="AT1861" s="27" t="str">
        <f t="shared" si="932"/>
        <v/>
      </c>
      <c r="AU1861" s="27" t="str">
        <f t="shared" si="933"/>
        <v/>
      </c>
      <c r="AV1861" s="27" t="str">
        <f t="shared" si="934"/>
        <v/>
      </c>
      <c r="AW1861" s="27" t="e">
        <f t="shared" si="935"/>
        <v>#REF!</v>
      </c>
      <c r="AX1861" s="27" t="e">
        <f t="shared" si="936"/>
        <v>#REF!</v>
      </c>
      <c r="AY1861" s="27" t="str">
        <f t="shared" si="937"/>
        <v/>
      </c>
      <c r="AZ1861" s="27" t="str">
        <f t="shared" si="938"/>
        <v/>
      </c>
      <c r="BA1861" s="27" t="str">
        <f t="shared" si="939"/>
        <v/>
      </c>
      <c r="BB1861" s="27" t="str">
        <f t="shared" si="940"/>
        <v/>
      </c>
      <c r="BC1861" s="27" t="str">
        <f t="shared" si="941"/>
        <v/>
      </c>
      <c r="BD1861" s="27" t="str">
        <f t="shared" si="942"/>
        <v/>
      </c>
      <c r="BE1861" s="27" t="str">
        <f t="shared" si="943"/>
        <v/>
      </c>
      <c r="BF1861" s="27" t="str">
        <f t="shared" si="944"/>
        <v/>
      </c>
      <c r="BG1861" s="27" t="str">
        <f t="shared" si="945"/>
        <v/>
      </c>
      <c r="BH1861" s="27" t="str">
        <f t="shared" si="946"/>
        <v/>
      </c>
      <c r="BI1861" s="27" t="str">
        <f t="shared" si="947"/>
        <v/>
      </c>
      <c r="BJ1861" s="27" t="str">
        <f t="shared" si="948"/>
        <v/>
      </c>
      <c r="BK1861" s="27" t="str">
        <f t="shared" si="949"/>
        <v/>
      </c>
      <c r="BL1861" s="27" t="str">
        <f t="shared" si="950"/>
        <v/>
      </c>
      <c r="BM1861" s="21" t="s">
        <v>3790</v>
      </c>
    </row>
    <row r="1862" spans="1:65" ht="15">
      <c r="A1862" s="25" t="str">
        <f>IFERROR(INDEX(#REF!,MATCH(O1862,#REF!,0)),"")</f>
        <v/>
      </c>
      <c r="B1862" s="25" t="str">
        <f>IFERROR(INDEX(#REF!,MATCH(O1862,#REF!,0)),"")</f>
        <v/>
      </c>
      <c r="C1862" s="25" t="str">
        <f>IFERROR(INDEX(#REF!,MATCH(O1862,#REF!,0)),"")</f>
        <v/>
      </c>
      <c r="D1862" s="25" t="str">
        <f>IFERROR(INDEX(#REF!,MATCH(O1862,#REF!,0)),"")</f>
        <v/>
      </c>
      <c r="E1862" s="25" t="str">
        <f>IFERROR(INDEX(#REF!,MATCH(O1862,#REF!,0)),"")</f>
        <v/>
      </c>
      <c r="F1862" s="25" t="str">
        <f>IFERROR(INDEX(#REF!,MATCH(O1862,#REF!,0)),"")</f>
        <v/>
      </c>
      <c r="G1862" s="25" t="str">
        <f>IFERROR(INDEX(#REF!,MATCH(O1862,#REF!,0)),"")</f>
        <v/>
      </c>
      <c r="H1862" s="25" t="str">
        <f>IFERROR(INDEX(#REF!,MATCH(O1862,#REF!,0)),"")</f>
        <v/>
      </c>
      <c r="I1862" s="25" t="str">
        <f>IFERROR(INDEX(#REF!,MATCH(O1862,#REF!,0)),"")</f>
        <v/>
      </c>
      <c r="J1862" s="25" t="str">
        <f>IFERROR(INDEX(#REF!,MATCH(O1862,#REF!,0)),"")</f>
        <v/>
      </c>
      <c r="K1862" s="25" t="str">
        <f>IFERROR(INDEX(#REF!,MATCH(O1862,#REF!,0)),"")</f>
        <v/>
      </c>
      <c r="L1862" s="25" t="str">
        <f>IFERROR(INDEX(#REF!,MATCH(O1862,#REF!,0)),"")</f>
        <v/>
      </c>
      <c r="P1862" s="27" t="str">
        <f>IFERROR(INDEX(#REF!,MATCH($O1862,#REF!,0)),"")</f>
        <v/>
      </c>
      <c r="Q1862" s="27" t="str">
        <f>IFERROR(INDEX(#REF!,MATCH($O1862,#REF!,0)),"")</f>
        <v/>
      </c>
      <c r="R1862" s="52" t="str">
        <f>IFERROR(IF(AR1863=AR1862,INDEX(#REF!,MATCH($O1862,#REF!,0))-IF(AN1862="",0,AN1862)+AP1863,INDEX(#REF!,MATCH($O1862,#REF!,0))-IF(AN1862="",0,AN1862)),"")</f>
        <v/>
      </c>
      <c r="S1862" s="53" t="str">
        <f t="shared" si="924"/>
        <v/>
      </c>
      <c r="T1862" s="52" t="str">
        <f t="shared" si="925"/>
        <v/>
      </c>
      <c r="U1862" s="52" t="str">
        <f>IFERROR(IF(AR1863=AR1862,INDEX(#REF!,MATCH($O1862,#REF!,0))-IF(AN1862="",0,AN1862)+AP1863,INDEX(#REF!,MATCH($O1862,#REF!,0))-IF(AN1862="",0,AN1862)),"")</f>
        <v/>
      </c>
      <c r="V1862" s="53" t="str">
        <f t="shared" si="926"/>
        <v/>
      </c>
      <c r="W1862" s="52" t="str">
        <f t="shared" si="927"/>
        <v/>
      </c>
      <c r="X1862" s="52" t="str">
        <f>IFERROR(IF(AND(AR1863=AR1862,AM1862&lt;&gt;""),INDEX(#REF!,MATCH($O1862,#REF!,0))-IF(AN1862="",0,AN1862)+AP1863+AD1862+AL1862,IF(AR1863=AR1862,INDEX(#REF!,MATCH($O1862,#REF!,0))-IF(AN1862="",0,AN1862)+AP1863+AD1862,IF(AM1862&lt;&gt;"",INDEX(#REF!,MATCH($O1862,#REF!,0))-IF(AN1862="",0,AN1862)+AD1862+AL1862,INDEX(#REF!,MATCH($O1862,#REF!,0))-IF(AN1862="",0,AN1862)+AD1862))),"")</f>
        <v/>
      </c>
      <c r="Y1862" s="53" t="str">
        <f t="shared" si="928"/>
        <v/>
      </c>
      <c r="Z1862" s="52" t="str">
        <f>IF(L1862="","",INDEX(#REF!,MATCH($O1862,#REF!,0)))</f>
        <v/>
      </c>
      <c r="AA1862" s="52" t="str">
        <f t="shared" si="929"/>
        <v/>
      </c>
      <c r="AB1862" s="52" t="str">
        <f>IFERROR(INDEX(#REF!,MATCH($O1862,#REF!,0)),"")</f>
        <v/>
      </c>
      <c r="AC1862" s="52" t="str">
        <f>IFERROR(IF(O1862="","",SUMIFS('CPL Mats'!F:F,'CPL Mats'!Q:Q,AR1862,'CPL Mats'!S:S,AS1862)),"")</f>
        <v/>
      </c>
      <c r="AF1862" s="25" t="e">
        <f>IF(SUMIFS(#REF!,#REF!,"Releasable",#REF!,O1862)=0,"",SUMIFS(#REF!,#REF!,"Releasable",#REF!,O1862))</f>
        <v>#REF!</v>
      </c>
      <c r="AG1862" s="25" t="str">
        <f>IFERROR(INDEX(#REF!,MATCH(O1862,#REF!,0)),"")</f>
        <v/>
      </c>
      <c r="AH1862" s="25" t="str">
        <f>IFERROR(INDEX(#REF!,MATCH($O1862,#REF!,0)),"")</f>
        <v/>
      </c>
      <c r="AI1862" s="25" t="e">
        <f>IF(SUMIFS(#REF!,#REF!,"Expires this month",#REF!,O1862)=0,"",SUMIFS(#REF!,#REF!,"Expires this month",#REF!,O1862))</f>
        <v>#REF!</v>
      </c>
      <c r="AJ1862" s="25" t="e">
        <f>IF(SUMIFS(#REF!,#REF!,"Expired Previous Months",#REF!,O1862)=0,"",SUMIFS(#REF!,#REF!,"Expired Previous Months",#REF!,O1862))</f>
        <v>#REF!</v>
      </c>
      <c r="AK1862" s="25" t="str">
        <f>IFERROR(INDEX('Hun Release Current'!B:B,MATCH(O1862,'Hun Release Current'!A:A,0)),"")</f>
        <v/>
      </c>
      <c r="AL1862" s="25" t="str">
        <f>IF(SUMIF('Prev Aub'!A:A,O1862,'Prev Aub'!B:B)=0,"",SUMIF('Prev Aub'!A:A,O1862,'Prev Aub'!B:B))</f>
        <v/>
      </c>
      <c r="AN1862" s="25" t="s">
        <v>3790</v>
      </c>
      <c r="AO1862" s="25" t="s">
        <v>3790</v>
      </c>
      <c r="AP1862" s="25" t="str">
        <f t="shared" si="951"/>
        <v/>
      </c>
      <c r="AQ1862" s="151" t="e">
        <f>IF(SUMIFS(#REF!,#REF!,O1862,#REF!,"PENDING")=0,"",SUMIFS(#REF!,#REF!,O1862,#REF!,"PENDING"))</f>
        <v>#REF!</v>
      </c>
      <c r="AR1862" s="27" t="str">
        <f t="shared" si="930"/>
        <v/>
      </c>
      <c r="AS1862" s="27" t="str">
        <f t="shared" si="931"/>
        <v/>
      </c>
      <c r="AT1862" s="27" t="str">
        <f t="shared" si="932"/>
        <v/>
      </c>
      <c r="AU1862" s="27" t="str">
        <f t="shared" si="933"/>
        <v/>
      </c>
      <c r="AV1862" s="27" t="str">
        <f t="shared" si="934"/>
        <v/>
      </c>
      <c r="AW1862" s="27" t="e">
        <f t="shared" si="935"/>
        <v>#REF!</v>
      </c>
      <c r="AX1862" s="27" t="e">
        <f t="shared" si="936"/>
        <v>#REF!</v>
      </c>
      <c r="AY1862" s="27" t="str">
        <f t="shared" si="937"/>
        <v/>
      </c>
      <c r="AZ1862" s="27" t="str">
        <f t="shared" si="938"/>
        <v/>
      </c>
      <c r="BA1862" s="27" t="str">
        <f t="shared" si="939"/>
        <v/>
      </c>
      <c r="BB1862" s="27" t="str">
        <f t="shared" si="940"/>
        <v/>
      </c>
      <c r="BC1862" s="27" t="str">
        <f t="shared" si="941"/>
        <v/>
      </c>
      <c r="BD1862" s="27" t="str">
        <f t="shared" si="942"/>
        <v/>
      </c>
      <c r="BE1862" s="27" t="str">
        <f t="shared" si="943"/>
        <v/>
      </c>
      <c r="BF1862" s="27" t="str">
        <f t="shared" si="944"/>
        <v/>
      </c>
      <c r="BG1862" s="27" t="str">
        <f t="shared" si="945"/>
        <v/>
      </c>
      <c r="BH1862" s="27" t="str">
        <f t="shared" si="946"/>
        <v/>
      </c>
      <c r="BI1862" s="27" t="str">
        <f t="shared" si="947"/>
        <v/>
      </c>
      <c r="BJ1862" s="27" t="str">
        <f t="shared" si="948"/>
        <v/>
      </c>
      <c r="BK1862" s="27" t="str">
        <f t="shared" si="949"/>
        <v/>
      </c>
      <c r="BL1862" s="27" t="str">
        <f t="shared" si="950"/>
        <v/>
      </c>
      <c r="BM1862" s="21" t="s">
        <v>3790</v>
      </c>
    </row>
    <row r="1863" spans="1:65" ht="15">
      <c r="A1863" s="25" t="str">
        <f>IFERROR(INDEX(#REF!,MATCH(O1863,#REF!,0)),"")</f>
        <v/>
      </c>
      <c r="B1863" s="25" t="str">
        <f>IFERROR(INDEX(#REF!,MATCH(O1863,#REF!,0)),"")</f>
        <v/>
      </c>
      <c r="C1863" s="25" t="str">
        <f>IFERROR(INDEX(#REF!,MATCH(O1863,#REF!,0)),"")</f>
        <v/>
      </c>
      <c r="D1863" s="25" t="str">
        <f>IFERROR(INDEX(#REF!,MATCH(O1863,#REF!,0)),"")</f>
        <v/>
      </c>
      <c r="E1863" s="25" t="str">
        <f>IFERROR(INDEX(#REF!,MATCH(O1863,#REF!,0)),"")</f>
        <v/>
      </c>
      <c r="F1863" s="25" t="str">
        <f>IFERROR(INDEX(#REF!,MATCH(O1863,#REF!,0)),"")</f>
        <v/>
      </c>
      <c r="G1863" s="25" t="str">
        <f>IFERROR(INDEX(#REF!,MATCH(O1863,#REF!,0)),"")</f>
        <v/>
      </c>
      <c r="H1863" s="25" t="str">
        <f>IFERROR(INDEX(#REF!,MATCH(O1863,#REF!,0)),"")</f>
        <v/>
      </c>
      <c r="I1863" s="25" t="str">
        <f>IFERROR(INDEX(#REF!,MATCH(O1863,#REF!,0)),"")</f>
        <v/>
      </c>
      <c r="J1863" s="25" t="str">
        <f>IFERROR(INDEX(#REF!,MATCH(O1863,#REF!,0)),"")</f>
        <v/>
      </c>
      <c r="K1863" s="25" t="str">
        <f>IFERROR(INDEX(#REF!,MATCH(O1863,#REF!,0)),"")</f>
        <v/>
      </c>
      <c r="L1863" s="25" t="str">
        <f>IFERROR(INDEX(#REF!,MATCH(O1863,#REF!,0)),"")</f>
        <v/>
      </c>
      <c r="P1863" s="27" t="str">
        <f>IFERROR(INDEX(#REF!,MATCH($O1863,#REF!,0)),"")</f>
        <v/>
      </c>
      <c r="Q1863" s="27" t="str">
        <f>IFERROR(INDEX(#REF!,MATCH($O1863,#REF!,0)),"")</f>
        <v/>
      </c>
      <c r="R1863" s="52" t="str">
        <f>IFERROR(IF(AR1864=AR1863,INDEX(#REF!,MATCH($O1863,#REF!,0))-IF(AN1863="",0,AN1863)+AP1864,INDEX(#REF!,MATCH($O1863,#REF!,0))-IF(AN1863="",0,AN1863)),"")</f>
        <v/>
      </c>
      <c r="S1863" s="53" t="str">
        <f t="shared" si="924"/>
        <v/>
      </c>
      <c r="T1863" s="52" t="str">
        <f t="shared" si="925"/>
        <v/>
      </c>
      <c r="U1863" s="52" t="str">
        <f>IFERROR(IF(AR1864=AR1863,INDEX(#REF!,MATCH($O1863,#REF!,0))-IF(AN1863="",0,AN1863)+AP1864,INDEX(#REF!,MATCH($O1863,#REF!,0))-IF(AN1863="",0,AN1863)),"")</f>
        <v/>
      </c>
      <c r="V1863" s="53" t="str">
        <f t="shared" si="926"/>
        <v/>
      </c>
      <c r="W1863" s="52" t="str">
        <f t="shared" si="927"/>
        <v/>
      </c>
      <c r="X1863" s="52" t="str">
        <f>IFERROR(IF(AND(AR1864=AR1863,AM1863&lt;&gt;""),INDEX(#REF!,MATCH($O1863,#REF!,0))-IF(AN1863="",0,AN1863)+AP1864+AD1863+AL1863,IF(AR1864=AR1863,INDEX(#REF!,MATCH($O1863,#REF!,0))-IF(AN1863="",0,AN1863)+AP1864+AD1863,IF(AM1863&lt;&gt;"",INDEX(#REF!,MATCH($O1863,#REF!,0))-IF(AN1863="",0,AN1863)+AD1863+AL1863,INDEX(#REF!,MATCH($O1863,#REF!,0))-IF(AN1863="",0,AN1863)+AD1863))),"")</f>
        <v/>
      </c>
      <c r="Y1863" s="53" t="str">
        <f t="shared" si="928"/>
        <v/>
      </c>
      <c r="Z1863" s="52" t="str">
        <f>IF(L1863="","",INDEX(#REF!,MATCH($O1863,#REF!,0)))</f>
        <v/>
      </c>
      <c r="AA1863" s="52" t="str">
        <f t="shared" si="929"/>
        <v/>
      </c>
      <c r="AB1863" s="52" t="str">
        <f>IFERROR(INDEX(#REF!,MATCH($O1863,#REF!,0)),"")</f>
        <v/>
      </c>
      <c r="AC1863" s="52" t="str">
        <f>IFERROR(IF(O1863="","",SUMIFS('CPL Mats'!F:F,'CPL Mats'!Q:Q,AR1863,'CPL Mats'!S:S,AS1863)),"")</f>
        <v/>
      </c>
      <c r="AF1863" s="25" t="e">
        <f>IF(SUMIFS(#REF!,#REF!,"Releasable",#REF!,O1863)=0,"",SUMIFS(#REF!,#REF!,"Releasable",#REF!,O1863))</f>
        <v>#REF!</v>
      </c>
      <c r="AG1863" s="25" t="str">
        <f>IFERROR(INDEX(#REF!,MATCH(O1863,#REF!,0)),"")</f>
        <v/>
      </c>
      <c r="AH1863" s="25" t="str">
        <f>IFERROR(INDEX(#REF!,MATCH($O1863,#REF!,0)),"")</f>
        <v/>
      </c>
      <c r="AI1863" s="25" t="e">
        <f>IF(SUMIFS(#REF!,#REF!,"Expires this month",#REF!,O1863)=0,"",SUMIFS(#REF!,#REF!,"Expires this month",#REF!,O1863))</f>
        <v>#REF!</v>
      </c>
      <c r="AJ1863" s="25" t="e">
        <f>IF(SUMIFS(#REF!,#REF!,"Expired Previous Months",#REF!,O1863)=0,"",SUMIFS(#REF!,#REF!,"Expired Previous Months",#REF!,O1863))</f>
        <v>#REF!</v>
      </c>
      <c r="AK1863" s="25" t="str">
        <f>IFERROR(INDEX('Hun Release Current'!B:B,MATCH(O1863,'Hun Release Current'!A:A,0)),"")</f>
        <v/>
      </c>
      <c r="AL1863" s="25" t="str">
        <f>IF(SUMIF('Prev Aub'!A:A,O1863,'Prev Aub'!B:B)=0,"",SUMIF('Prev Aub'!A:A,O1863,'Prev Aub'!B:B))</f>
        <v/>
      </c>
      <c r="AN1863" s="25" t="s">
        <v>3790</v>
      </c>
      <c r="AO1863" s="25" t="s">
        <v>3790</v>
      </c>
      <c r="AP1863" s="25" t="str">
        <f t="shared" si="951"/>
        <v/>
      </c>
      <c r="AQ1863" s="151" t="e">
        <f>IF(SUMIFS(#REF!,#REF!,O1863,#REF!,"PENDING")=0,"",SUMIFS(#REF!,#REF!,O1863,#REF!,"PENDING"))</f>
        <v>#REF!</v>
      </c>
      <c r="AR1863" s="27" t="str">
        <f t="shared" si="930"/>
        <v/>
      </c>
      <c r="AS1863" s="27" t="str">
        <f t="shared" si="931"/>
        <v/>
      </c>
      <c r="AT1863" s="27" t="str">
        <f t="shared" si="932"/>
        <v/>
      </c>
      <c r="AU1863" s="27" t="str">
        <f t="shared" si="933"/>
        <v/>
      </c>
      <c r="AV1863" s="27" t="str">
        <f t="shared" si="934"/>
        <v/>
      </c>
      <c r="AW1863" s="27" t="e">
        <f t="shared" si="935"/>
        <v>#REF!</v>
      </c>
      <c r="AX1863" s="27" t="e">
        <f t="shared" si="936"/>
        <v>#REF!</v>
      </c>
      <c r="AY1863" s="27" t="str">
        <f t="shared" si="937"/>
        <v/>
      </c>
      <c r="AZ1863" s="27" t="str">
        <f t="shared" si="938"/>
        <v/>
      </c>
      <c r="BA1863" s="27" t="str">
        <f t="shared" si="939"/>
        <v/>
      </c>
      <c r="BB1863" s="27" t="str">
        <f t="shared" si="940"/>
        <v/>
      </c>
      <c r="BC1863" s="27" t="str">
        <f t="shared" si="941"/>
        <v/>
      </c>
      <c r="BD1863" s="27" t="str">
        <f t="shared" si="942"/>
        <v/>
      </c>
      <c r="BE1863" s="27" t="str">
        <f t="shared" si="943"/>
        <v/>
      </c>
      <c r="BF1863" s="27" t="str">
        <f t="shared" si="944"/>
        <v/>
      </c>
      <c r="BG1863" s="27" t="str">
        <f t="shared" si="945"/>
        <v/>
      </c>
      <c r="BH1863" s="27" t="str">
        <f t="shared" si="946"/>
        <v/>
      </c>
      <c r="BI1863" s="27" t="str">
        <f t="shared" si="947"/>
        <v/>
      </c>
      <c r="BJ1863" s="27" t="str">
        <f t="shared" si="948"/>
        <v/>
      </c>
      <c r="BK1863" s="27" t="str">
        <f t="shared" si="949"/>
        <v/>
      </c>
      <c r="BL1863" s="27" t="str">
        <f t="shared" si="950"/>
        <v/>
      </c>
      <c r="BM1863" s="21" t="s">
        <v>3790</v>
      </c>
    </row>
    <row r="1864" spans="1:65" ht="15">
      <c r="A1864" s="25" t="str">
        <f>IFERROR(INDEX(#REF!,MATCH(O1864,#REF!,0)),"")</f>
        <v/>
      </c>
      <c r="B1864" s="25" t="str">
        <f>IFERROR(INDEX(#REF!,MATCH(O1864,#REF!,0)),"")</f>
        <v/>
      </c>
      <c r="C1864" s="25" t="str">
        <f>IFERROR(INDEX(#REF!,MATCH(O1864,#REF!,0)),"")</f>
        <v/>
      </c>
      <c r="D1864" s="25" t="str">
        <f>IFERROR(INDEX(#REF!,MATCH(O1864,#REF!,0)),"")</f>
        <v/>
      </c>
      <c r="E1864" s="25" t="str">
        <f>IFERROR(INDEX(#REF!,MATCH(O1864,#REF!,0)),"")</f>
        <v/>
      </c>
      <c r="F1864" s="25" t="str">
        <f>IFERROR(INDEX(#REF!,MATCH(O1864,#REF!,0)),"")</f>
        <v/>
      </c>
      <c r="G1864" s="25" t="str">
        <f>IFERROR(INDEX(#REF!,MATCH(O1864,#REF!,0)),"")</f>
        <v/>
      </c>
      <c r="H1864" s="25" t="str">
        <f>IFERROR(INDEX(#REF!,MATCH(O1864,#REF!,0)),"")</f>
        <v/>
      </c>
      <c r="I1864" s="25" t="str">
        <f>IFERROR(INDEX(#REF!,MATCH(O1864,#REF!,0)),"")</f>
        <v/>
      </c>
      <c r="J1864" s="25" t="str">
        <f>IFERROR(INDEX(#REF!,MATCH(O1864,#REF!,0)),"")</f>
        <v/>
      </c>
      <c r="K1864" s="25" t="str">
        <f>IFERROR(INDEX(#REF!,MATCH(O1864,#REF!,0)),"")</f>
        <v/>
      </c>
      <c r="L1864" s="25" t="str">
        <f>IFERROR(INDEX(#REF!,MATCH(O1864,#REF!,0)),"")</f>
        <v/>
      </c>
      <c r="P1864" s="27" t="str">
        <f>IFERROR(INDEX(#REF!,MATCH($O1864,#REF!,0)),"")</f>
        <v/>
      </c>
      <c r="Q1864" s="27" t="str">
        <f>IFERROR(INDEX(#REF!,MATCH($O1864,#REF!,0)),"")</f>
        <v/>
      </c>
      <c r="R1864" s="52" t="str">
        <f>IFERROR(IF(AR1865=AR1864,INDEX(#REF!,MATCH($O1864,#REF!,0))-IF(AN1864="",0,AN1864)+AP1865,INDEX(#REF!,MATCH($O1864,#REF!,0))-IF(AN1864="",0,AN1864)),"")</f>
        <v/>
      </c>
      <c r="S1864" s="53" t="str">
        <f t="shared" si="924"/>
        <v/>
      </c>
      <c r="T1864" s="52" t="str">
        <f t="shared" si="925"/>
        <v/>
      </c>
      <c r="U1864" s="52" t="str">
        <f>IFERROR(IF(AR1865=AR1864,INDEX(#REF!,MATCH($O1864,#REF!,0))-IF(AN1864="",0,AN1864)+AP1865,INDEX(#REF!,MATCH($O1864,#REF!,0))-IF(AN1864="",0,AN1864)),"")</f>
        <v/>
      </c>
      <c r="V1864" s="53" t="str">
        <f t="shared" si="926"/>
        <v/>
      </c>
      <c r="W1864" s="52" t="str">
        <f t="shared" si="927"/>
        <v/>
      </c>
      <c r="X1864" s="52" t="str">
        <f>IFERROR(IF(AND(AR1865=AR1864,AM1864&lt;&gt;""),INDEX(#REF!,MATCH($O1864,#REF!,0))-IF(AN1864="",0,AN1864)+AP1865+AD1864+AL1864,IF(AR1865=AR1864,INDEX(#REF!,MATCH($O1864,#REF!,0))-IF(AN1864="",0,AN1864)+AP1865+AD1864,IF(AM1864&lt;&gt;"",INDEX(#REF!,MATCH($O1864,#REF!,0))-IF(AN1864="",0,AN1864)+AD1864+AL1864,INDEX(#REF!,MATCH($O1864,#REF!,0))-IF(AN1864="",0,AN1864)+AD1864))),"")</f>
        <v/>
      </c>
      <c r="Y1864" s="53" t="str">
        <f t="shared" si="928"/>
        <v/>
      </c>
      <c r="Z1864" s="52" t="str">
        <f>IF(L1864="","",INDEX(#REF!,MATCH($O1864,#REF!,0)))</f>
        <v/>
      </c>
      <c r="AA1864" s="52" t="str">
        <f t="shared" si="929"/>
        <v/>
      </c>
      <c r="AB1864" s="52" t="str">
        <f>IFERROR(INDEX(#REF!,MATCH($O1864,#REF!,0)),"")</f>
        <v/>
      </c>
      <c r="AC1864" s="52" t="str">
        <f>IFERROR(IF(O1864="","",SUMIFS('CPL Mats'!F:F,'CPL Mats'!Q:Q,AR1864,'CPL Mats'!S:S,AS1864)),"")</f>
        <v/>
      </c>
      <c r="AF1864" s="25" t="e">
        <f>IF(SUMIFS(#REF!,#REF!,"Releasable",#REF!,O1864)=0,"",SUMIFS(#REF!,#REF!,"Releasable",#REF!,O1864))</f>
        <v>#REF!</v>
      </c>
      <c r="AG1864" s="25" t="str">
        <f>IFERROR(INDEX(#REF!,MATCH(O1864,#REF!,0)),"")</f>
        <v/>
      </c>
      <c r="AH1864" s="25" t="str">
        <f>IFERROR(INDEX(#REF!,MATCH($O1864,#REF!,0)),"")</f>
        <v/>
      </c>
      <c r="AI1864" s="25" t="e">
        <f>IF(SUMIFS(#REF!,#REF!,"Expires this month",#REF!,O1864)=0,"",SUMIFS(#REF!,#REF!,"Expires this month",#REF!,O1864))</f>
        <v>#REF!</v>
      </c>
      <c r="AJ1864" s="25" t="e">
        <f>IF(SUMIFS(#REF!,#REF!,"Expired Previous Months",#REF!,O1864)=0,"",SUMIFS(#REF!,#REF!,"Expired Previous Months",#REF!,O1864))</f>
        <v>#REF!</v>
      </c>
      <c r="AK1864" s="25" t="str">
        <f>IFERROR(INDEX('Hun Release Current'!B:B,MATCH(O1864,'Hun Release Current'!A:A,0)),"")</f>
        <v/>
      </c>
      <c r="AL1864" s="25" t="str">
        <f>IF(SUMIF('Prev Aub'!A:A,O1864,'Prev Aub'!B:B)=0,"",SUMIF('Prev Aub'!A:A,O1864,'Prev Aub'!B:B))</f>
        <v/>
      </c>
      <c r="AN1864" s="25" t="s">
        <v>3790</v>
      </c>
      <c r="AO1864" s="25" t="s">
        <v>3790</v>
      </c>
      <c r="AP1864" s="25" t="str">
        <f t="shared" si="951"/>
        <v/>
      </c>
      <c r="AQ1864" s="151" t="e">
        <f>IF(SUMIFS(#REF!,#REF!,O1864,#REF!,"PENDING")=0,"",SUMIFS(#REF!,#REF!,O1864,#REF!,"PENDING"))</f>
        <v>#REF!</v>
      </c>
      <c r="AR1864" s="27" t="str">
        <f t="shared" si="930"/>
        <v/>
      </c>
      <c r="AS1864" s="27" t="str">
        <f t="shared" si="931"/>
        <v/>
      </c>
      <c r="AT1864" s="27" t="str">
        <f t="shared" si="932"/>
        <v/>
      </c>
      <c r="AU1864" s="27" t="str">
        <f t="shared" si="933"/>
        <v/>
      </c>
      <c r="AV1864" s="27" t="str">
        <f t="shared" si="934"/>
        <v/>
      </c>
      <c r="AW1864" s="27" t="e">
        <f t="shared" si="935"/>
        <v>#REF!</v>
      </c>
      <c r="AX1864" s="27" t="e">
        <f t="shared" si="936"/>
        <v>#REF!</v>
      </c>
      <c r="AY1864" s="27" t="str">
        <f t="shared" si="937"/>
        <v/>
      </c>
      <c r="AZ1864" s="27" t="str">
        <f t="shared" si="938"/>
        <v/>
      </c>
      <c r="BA1864" s="27" t="str">
        <f t="shared" si="939"/>
        <v/>
      </c>
      <c r="BB1864" s="27" t="str">
        <f t="shared" si="940"/>
        <v/>
      </c>
      <c r="BC1864" s="27" t="str">
        <f t="shared" si="941"/>
        <v/>
      </c>
      <c r="BD1864" s="27" t="str">
        <f t="shared" si="942"/>
        <v/>
      </c>
      <c r="BE1864" s="27" t="str">
        <f t="shared" si="943"/>
        <v/>
      </c>
      <c r="BF1864" s="27" t="str">
        <f t="shared" si="944"/>
        <v/>
      </c>
      <c r="BG1864" s="27" t="str">
        <f t="shared" si="945"/>
        <v/>
      </c>
      <c r="BH1864" s="27" t="str">
        <f t="shared" si="946"/>
        <v/>
      </c>
      <c r="BI1864" s="27" t="str">
        <f t="shared" si="947"/>
        <v/>
      </c>
      <c r="BJ1864" s="27" t="str">
        <f t="shared" si="948"/>
        <v/>
      </c>
      <c r="BK1864" s="27" t="str">
        <f t="shared" si="949"/>
        <v/>
      </c>
      <c r="BL1864" s="27" t="str">
        <f t="shared" si="950"/>
        <v/>
      </c>
      <c r="BM1864" s="21" t="s">
        <v>3790</v>
      </c>
    </row>
    <row r="1865" spans="1:65" ht="15">
      <c r="A1865" s="25" t="str">
        <f>IFERROR(INDEX(#REF!,MATCH(O1865,#REF!,0)),"")</f>
        <v/>
      </c>
      <c r="B1865" s="25" t="str">
        <f>IFERROR(INDEX(#REF!,MATCH(O1865,#REF!,0)),"")</f>
        <v/>
      </c>
      <c r="C1865" s="25" t="str">
        <f>IFERROR(INDEX(#REF!,MATCH(O1865,#REF!,0)),"")</f>
        <v/>
      </c>
      <c r="D1865" s="25" t="str">
        <f>IFERROR(INDEX(#REF!,MATCH(O1865,#REF!,0)),"")</f>
        <v/>
      </c>
      <c r="E1865" s="25" t="str">
        <f>IFERROR(INDEX(#REF!,MATCH(O1865,#REF!,0)),"")</f>
        <v/>
      </c>
      <c r="F1865" s="25" t="str">
        <f>IFERROR(INDEX(#REF!,MATCH(O1865,#REF!,0)),"")</f>
        <v/>
      </c>
      <c r="G1865" s="25" t="str">
        <f>IFERROR(INDEX(#REF!,MATCH(O1865,#REF!,0)),"")</f>
        <v/>
      </c>
      <c r="H1865" s="25" t="str">
        <f>IFERROR(INDEX(#REF!,MATCH(O1865,#REF!,0)),"")</f>
        <v/>
      </c>
      <c r="I1865" s="25" t="str">
        <f>IFERROR(INDEX(#REF!,MATCH(O1865,#REF!,0)),"")</f>
        <v/>
      </c>
      <c r="J1865" s="25" t="str">
        <f>IFERROR(INDEX(#REF!,MATCH(O1865,#REF!,0)),"")</f>
        <v/>
      </c>
      <c r="K1865" s="25" t="str">
        <f>IFERROR(INDEX(#REF!,MATCH(O1865,#REF!,0)),"")</f>
        <v/>
      </c>
      <c r="L1865" s="25" t="str">
        <f>IFERROR(INDEX(#REF!,MATCH(O1865,#REF!,0)),"")</f>
        <v/>
      </c>
      <c r="P1865" s="27" t="str">
        <f>IFERROR(INDEX(#REF!,MATCH($O1865,#REF!,0)),"")</f>
        <v/>
      </c>
      <c r="Q1865" s="27" t="str">
        <f>IFERROR(INDEX(#REF!,MATCH($O1865,#REF!,0)),"")</f>
        <v/>
      </c>
      <c r="R1865" s="52" t="str">
        <f>IFERROR(IF(AR1866=AR1865,INDEX(#REF!,MATCH($O1865,#REF!,0))-IF(AN1865="",0,AN1865)+AP1866,INDEX(#REF!,MATCH($O1865,#REF!,0))-IF(AN1865="",0,AN1865)),"")</f>
        <v/>
      </c>
      <c r="S1865" s="53" t="str">
        <f t="shared" si="924"/>
        <v/>
      </c>
      <c r="T1865" s="52" t="str">
        <f t="shared" si="925"/>
        <v/>
      </c>
      <c r="U1865" s="52" t="str">
        <f>IFERROR(IF(AR1866=AR1865,INDEX(#REF!,MATCH($O1865,#REF!,0))-IF(AN1865="",0,AN1865)+AP1866,INDEX(#REF!,MATCH($O1865,#REF!,0))-IF(AN1865="",0,AN1865)),"")</f>
        <v/>
      </c>
      <c r="V1865" s="53" t="str">
        <f t="shared" si="926"/>
        <v/>
      </c>
      <c r="W1865" s="52" t="str">
        <f t="shared" si="927"/>
        <v/>
      </c>
      <c r="X1865" s="52" t="str">
        <f>IFERROR(IF(AND(AR1866=AR1865,AM1865&lt;&gt;""),INDEX(#REF!,MATCH($O1865,#REF!,0))-IF(AN1865="",0,AN1865)+AP1866+AD1865+AL1865,IF(AR1866=AR1865,INDEX(#REF!,MATCH($O1865,#REF!,0))-IF(AN1865="",0,AN1865)+AP1866+AD1865,IF(AM1865&lt;&gt;"",INDEX(#REF!,MATCH($O1865,#REF!,0))-IF(AN1865="",0,AN1865)+AD1865+AL1865,INDEX(#REF!,MATCH($O1865,#REF!,0))-IF(AN1865="",0,AN1865)+AD1865))),"")</f>
        <v/>
      </c>
      <c r="Y1865" s="53" t="str">
        <f t="shared" si="928"/>
        <v/>
      </c>
      <c r="Z1865" s="52" t="str">
        <f>IF(L1865="","",INDEX(#REF!,MATCH($O1865,#REF!,0)))</f>
        <v/>
      </c>
      <c r="AA1865" s="52" t="str">
        <f t="shared" si="929"/>
        <v/>
      </c>
      <c r="AB1865" s="52" t="str">
        <f>IFERROR(INDEX(#REF!,MATCH($O1865,#REF!,0)),"")</f>
        <v/>
      </c>
      <c r="AC1865" s="52" t="str">
        <f>IFERROR(IF(O1865="","",SUMIFS('CPL Mats'!F:F,'CPL Mats'!Q:Q,AR1865,'CPL Mats'!S:S,AS1865)),"")</f>
        <v/>
      </c>
      <c r="AF1865" s="25" t="e">
        <f>IF(SUMIFS(#REF!,#REF!,"Releasable",#REF!,O1865)=0,"",SUMIFS(#REF!,#REF!,"Releasable",#REF!,O1865))</f>
        <v>#REF!</v>
      </c>
      <c r="AG1865" s="25" t="str">
        <f>IFERROR(INDEX(#REF!,MATCH(O1865,#REF!,0)),"")</f>
        <v/>
      </c>
      <c r="AH1865" s="25" t="str">
        <f>IFERROR(INDEX(#REF!,MATCH($O1865,#REF!,0)),"")</f>
        <v/>
      </c>
      <c r="AI1865" s="25" t="e">
        <f>IF(SUMIFS(#REF!,#REF!,"Expires this month",#REF!,O1865)=0,"",SUMIFS(#REF!,#REF!,"Expires this month",#REF!,O1865))</f>
        <v>#REF!</v>
      </c>
      <c r="AJ1865" s="25" t="e">
        <f>IF(SUMIFS(#REF!,#REF!,"Expired Previous Months",#REF!,O1865)=0,"",SUMIFS(#REF!,#REF!,"Expired Previous Months",#REF!,O1865))</f>
        <v>#REF!</v>
      </c>
      <c r="AK1865" s="25" t="str">
        <f>IFERROR(INDEX('Hun Release Current'!B:B,MATCH(O1865,'Hun Release Current'!A:A,0)),"")</f>
        <v/>
      </c>
      <c r="AL1865" s="25" t="str">
        <f>IF(SUMIF('Prev Aub'!A:A,O1865,'Prev Aub'!B:B)=0,"",SUMIF('Prev Aub'!A:A,O1865,'Prev Aub'!B:B))</f>
        <v/>
      </c>
      <c r="AN1865" s="25" t="s">
        <v>3790</v>
      </c>
      <c r="AO1865" s="25" t="s">
        <v>3790</v>
      </c>
      <c r="AP1865" s="25" t="str">
        <f t="shared" si="951"/>
        <v/>
      </c>
      <c r="AQ1865" s="151" t="e">
        <f>IF(SUMIFS(#REF!,#REF!,O1865,#REF!,"PENDING")=0,"",SUMIFS(#REF!,#REF!,O1865,#REF!,"PENDING"))</f>
        <v>#REF!</v>
      </c>
      <c r="AR1865" s="27" t="str">
        <f t="shared" si="930"/>
        <v/>
      </c>
      <c r="AS1865" s="27" t="str">
        <f t="shared" si="931"/>
        <v/>
      </c>
      <c r="AT1865" s="27" t="str">
        <f t="shared" si="932"/>
        <v/>
      </c>
      <c r="AU1865" s="27" t="str">
        <f t="shared" si="933"/>
        <v/>
      </c>
      <c r="AV1865" s="27" t="str">
        <f t="shared" si="934"/>
        <v/>
      </c>
      <c r="AW1865" s="27" t="e">
        <f t="shared" si="935"/>
        <v>#REF!</v>
      </c>
      <c r="AX1865" s="27" t="e">
        <f t="shared" si="936"/>
        <v>#REF!</v>
      </c>
      <c r="AY1865" s="27" t="str">
        <f t="shared" si="937"/>
        <v/>
      </c>
      <c r="AZ1865" s="27" t="str">
        <f t="shared" si="938"/>
        <v/>
      </c>
      <c r="BA1865" s="27" t="str">
        <f t="shared" si="939"/>
        <v/>
      </c>
      <c r="BB1865" s="27" t="str">
        <f t="shared" si="940"/>
        <v/>
      </c>
      <c r="BC1865" s="27" t="str">
        <f t="shared" si="941"/>
        <v/>
      </c>
      <c r="BD1865" s="27" t="str">
        <f t="shared" si="942"/>
        <v/>
      </c>
      <c r="BE1865" s="27" t="str">
        <f t="shared" si="943"/>
        <v/>
      </c>
      <c r="BF1865" s="27" t="str">
        <f t="shared" si="944"/>
        <v/>
      </c>
      <c r="BG1865" s="27" t="str">
        <f t="shared" si="945"/>
        <v/>
      </c>
      <c r="BH1865" s="27" t="str">
        <f t="shared" si="946"/>
        <v/>
      </c>
      <c r="BI1865" s="27" t="str">
        <f t="shared" si="947"/>
        <v/>
      </c>
      <c r="BJ1865" s="27" t="str">
        <f t="shared" si="948"/>
        <v/>
      </c>
      <c r="BK1865" s="27" t="str">
        <f t="shared" si="949"/>
        <v/>
      </c>
      <c r="BL1865" s="27" t="str">
        <f t="shared" si="950"/>
        <v/>
      </c>
      <c r="BM1865" s="21" t="s">
        <v>3790</v>
      </c>
    </row>
    <row r="1866" spans="1:65" ht="15">
      <c r="A1866" s="25" t="str">
        <f>IFERROR(INDEX(#REF!,MATCH(O1866,#REF!,0)),"")</f>
        <v/>
      </c>
      <c r="B1866" s="25" t="str">
        <f>IFERROR(INDEX(#REF!,MATCH(O1866,#REF!,0)),"")</f>
        <v/>
      </c>
      <c r="C1866" s="25" t="str">
        <f>IFERROR(INDEX(#REF!,MATCH(O1866,#REF!,0)),"")</f>
        <v/>
      </c>
      <c r="D1866" s="25" t="str">
        <f>IFERROR(INDEX(#REF!,MATCH(O1866,#REF!,0)),"")</f>
        <v/>
      </c>
      <c r="E1866" s="25" t="str">
        <f>IFERROR(INDEX(#REF!,MATCH(O1866,#REF!,0)),"")</f>
        <v/>
      </c>
      <c r="F1866" s="25" t="str">
        <f>IFERROR(INDEX(#REF!,MATCH(O1866,#REF!,0)),"")</f>
        <v/>
      </c>
      <c r="G1866" s="25" t="str">
        <f>IFERROR(INDEX(#REF!,MATCH(O1866,#REF!,0)),"")</f>
        <v/>
      </c>
      <c r="H1866" s="25" t="str">
        <f>IFERROR(INDEX(#REF!,MATCH(O1866,#REF!,0)),"")</f>
        <v/>
      </c>
      <c r="I1866" s="25" t="str">
        <f>IFERROR(INDEX(#REF!,MATCH(O1866,#REF!,0)),"")</f>
        <v/>
      </c>
      <c r="J1866" s="25" t="str">
        <f>IFERROR(INDEX(#REF!,MATCH(O1866,#REF!,0)),"")</f>
        <v/>
      </c>
      <c r="K1866" s="25" t="str">
        <f>IFERROR(INDEX(#REF!,MATCH(O1866,#REF!,0)),"")</f>
        <v/>
      </c>
      <c r="L1866" s="25" t="str">
        <f>IFERROR(INDEX(#REF!,MATCH(O1866,#REF!,0)),"")</f>
        <v/>
      </c>
      <c r="P1866" s="27" t="str">
        <f>IFERROR(INDEX(#REF!,MATCH($O1866,#REF!,0)),"")</f>
        <v/>
      </c>
      <c r="Q1866" s="27" t="str">
        <f>IFERROR(INDEX(#REF!,MATCH($O1866,#REF!,0)),"")</f>
        <v/>
      </c>
      <c r="R1866" s="52" t="str">
        <f>IFERROR(IF(AR1867=AR1866,INDEX(#REF!,MATCH($O1866,#REF!,0))-IF(AN1866="",0,AN1866)+AP1867,INDEX(#REF!,MATCH($O1866,#REF!,0))-IF(AN1866="",0,AN1866)),"")</f>
        <v/>
      </c>
      <c r="S1866" s="53" t="str">
        <f t="shared" si="924"/>
        <v/>
      </c>
      <c r="T1866" s="52" t="str">
        <f t="shared" si="925"/>
        <v/>
      </c>
      <c r="U1866" s="52" t="str">
        <f>IFERROR(IF(AR1867=AR1866,INDEX(#REF!,MATCH($O1866,#REF!,0))-IF(AN1866="",0,AN1866)+AP1867,INDEX(#REF!,MATCH($O1866,#REF!,0))-IF(AN1866="",0,AN1866)),"")</f>
        <v/>
      </c>
      <c r="V1866" s="53" t="str">
        <f t="shared" si="926"/>
        <v/>
      </c>
      <c r="W1866" s="52" t="str">
        <f t="shared" si="927"/>
        <v/>
      </c>
      <c r="X1866" s="52" t="str">
        <f>IFERROR(IF(AND(AR1867=AR1866,AM1866&lt;&gt;""),INDEX(#REF!,MATCH($O1866,#REF!,0))-IF(AN1866="",0,AN1866)+AP1867+AD1866+AL1866,IF(AR1867=AR1866,INDEX(#REF!,MATCH($O1866,#REF!,0))-IF(AN1866="",0,AN1866)+AP1867+AD1866,IF(AM1866&lt;&gt;"",INDEX(#REF!,MATCH($O1866,#REF!,0))-IF(AN1866="",0,AN1866)+AD1866+AL1866,INDEX(#REF!,MATCH($O1866,#REF!,0))-IF(AN1866="",0,AN1866)+AD1866))),"")</f>
        <v/>
      </c>
      <c r="Y1866" s="53" t="str">
        <f t="shared" si="928"/>
        <v/>
      </c>
      <c r="Z1866" s="52" t="str">
        <f>IF(L1866="","",INDEX(#REF!,MATCH($O1866,#REF!,0)))</f>
        <v/>
      </c>
      <c r="AA1866" s="52" t="str">
        <f t="shared" si="929"/>
        <v/>
      </c>
      <c r="AB1866" s="52" t="str">
        <f>IFERROR(INDEX(#REF!,MATCH($O1866,#REF!,0)),"")</f>
        <v/>
      </c>
      <c r="AC1866" s="52" t="str">
        <f>IFERROR(IF(O1866="","",SUMIFS('CPL Mats'!F:F,'CPL Mats'!Q:Q,AR1866,'CPL Mats'!S:S,AS1866)),"")</f>
        <v/>
      </c>
      <c r="AF1866" s="25" t="e">
        <f>IF(SUMIFS(#REF!,#REF!,"Releasable",#REF!,O1866)=0,"",SUMIFS(#REF!,#REF!,"Releasable",#REF!,O1866))</f>
        <v>#REF!</v>
      </c>
      <c r="AG1866" s="25" t="str">
        <f>IFERROR(INDEX(#REF!,MATCH(O1866,#REF!,0)),"")</f>
        <v/>
      </c>
      <c r="AH1866" s="25" t="str">
        <f>IFERROR(INDEX(#REF!,MATCH($O1866,#REF!,0)),"")</f>
        <v/>
      </c>
      <c r="AI1866" s="25" t="e">
        <f>IF(SUMIFS(#REF!,#REF!,"Expires this month",#REF!,O1866)=0,"",SUMIFS(#REF!,#REF!,"Expires this month",#REF!,O1866))</f>
        <v>#REF!</v>
      </c>
      <c r="AJ1866" s="25" t="e">
        <f>IF(SUMIFS(#REF!,#REF!,"Expired Previous Months",#REF!,O1866)=0,"",SUMIFS(#REF!,#REF!,"Expired Previous Months",#REF!,O1866))</f>
        <v>#REF!</v>
      </c>
      <c r="AK1866" s="25" t="str">
        <f>IFERROR(INDEX('Hun Release Current'!B:B,MATCH(O1866,'Hun Release Current'!A:A,0)),"")</f>
        <v/>
      </c>
      <c r="AL1866" s="25" t="str">
        <f>IF(SUMIF('Prev Aub'!A:A,O1866,'Prev Aub'!B:B)=0,"",SUMIF('Prev Aub'!A:A,O1866,'Prev Aub'!B:B))</f>
        <v/>
      </c>
      <c r="AN1866" s="25" t="s">
        <v>3790</v>
      </c>
      <c r="AO1866" s="25" t="s">
        <v>3790</v>
      </c>
      <c r="AP1866" s="25" t="str">
        <f t="shared" si="951"/>
        <v/>
      </c>
      <c r="AQ1866" s="151" t="e">
        <f>IF(SUMIFS(#REF!,#REF!,O1866,#REF!,"PENDING")=0,"",SUMIFS(#REF!,#REF!,O1866,#REF!,"PENDING"))</f>
        <v>#REF!</v>
      </c>
      <c r="AR1866" s="27" t="str">
        <f t="shared" si="930"/>
        <v/>
      </c>
      <c r="AS1866" s="27" t="str">
        <f t="shared" si="931"/>
        <v/>
      </c>
      <c r="AT1866" s="27" t="str">
        <f t="shared" si="932"/>
        <v/>
      </c>
      <c r="AU1866" s="27" t="str">
        <f t="shared" si="933"/>
        <v/>
      </c>
      <c r="AV1866" s="27" t="str">
        <f t="shared" si="934"/>
        <v/>
      </c>
      <c r="AW1866" s="27" t="e">
        <f t="shared" si="935"/>
        <v>#REF!</v>
      </c>
      <c r="AX1866" s="27" t="e">
        <f t="shared" si="936"/>
        <v>#REF!</v>
      </c>
      <c r="AY1866" s="27" t="str">
        <f t="shared" si="937"/>
        <v/>
      </c>
      <c r="AZ1866" s="27" t="str">
        <f t="shared" si="938"/>
        <v/>
      </c>
      <c r="BA1866" s="27" t="str">
        <f t="shared" si="939"/>
        <v/>
      </c>
      <c r="BB1866" s="27" t="str">
        <f t="shared" si="940"/>
        <v/>
      </c>
      <c r="BC1866" s="27" t="str">
        <f t="shared" si="941"/>
        <v/>
      </c>
      <c r="BD1866" s="27" t="str">
        <f t="shared" si="942"/>
        <v/>
      </c>
      <c r="BE1866" s="27" t="str">
        <f t="shared" si="943"/>
        <v/>
      </c>
      <c r="BF1866" s="27" t="str">
        <f t="shared" si="944"/>
        <v/>
      </c>
      <c r="BG1866" s="27" t="str">
        <f t="shared" si="945"/>
        <v/>
      </c>
      <c r="BH1866" s="27" t="str">
        <f t="shared" si="946"/>
        <v/>
      </c>
      <c r="BI1866" s="27" t="str">
        <f t="shared" si="947"/>
        <v/>
      </c>
      <c r="BJ1866" s="27" t="str">
        <f t="shared" si="948"/>
        <v/>
      </c>
      <c r="BK1866" s="27" t="str">
        <f t="shared" si="949"/>
        <v/>
      </c>
      <c r="BL1866" s="27" t="str">
        <f t="shared" si="950"/>
        <v/>
      </c>
      <c r="BM1866" s="21" t="s">
        <v>3790</v>
      </c>
    </row>
    <row r="1867" spans="1:65" ht="15">
      <c r="A1867" s="25" t="str">
        <f>IFERROR(INDEX(#REF!,MATCH(O1867,#REF!,0)),"")</f>
        <v/>
      </c>
      <c r="B1867" s="25" t="str">
        <f>IFERROR(INDEX(#REF!,MATCH(O1867,#REF!,0)),"")</f>
        <v/>
      </c>
      <c r="C1867" s="25" t="str">
        <f>IFERROR(INDEX(#REF!,MATCH(O1867,#REF!,0)),"")</f>
        <v/>
      </c>
      <c r="D1867" s="25" t="str">
        <f>IFERROR(INDEX(#REF!,MATCH(O1867,#REF!,0)),"")</f>
        <v/>
      </c>
      <c r="E1867" s="25" t="str">
        <f>IFERROR(INDEX(#REF!,MATCH(O1867,#REF!,0)),"")</f>
        <v/>
      </c>
      <c r="F1867" s="25" t="str">
        <f>IFERROR(INDEX(#REF!,MATCH(O1867,#REF!,0)),"")</f>
        <v/>
      </c>
      <c r="G1867" s="25" t="str">
        <f>IFERROR(INDEX(#REF!,MATCH(O1867,#REF!,0)),"")</f>
        <v/>
      </c>
      <c r="H1867" s="25" t="str">
        <f>IFERROR(INDEX(#REF!,MATCH(O1867,#REF!,0)),"")</f>
        <v/>
      </c>
      <c r="I1867" s="25" t="str">
        <f>IFERROR(INDEX(#REF!,MATCH(O1867,#REF!,0)),"")</f>
        <v/>
      </c>
      <c r="J1867" s="25" t="str">
        <f>IFERROR(INDEX(#REF!,MATCH(O1867,#REF!,0)),"")</f>
        <v/>
      </c>
      <c r="K1867" s="25" t="str">
        <f>IFERROR(INDEX(#REF!,MATCH(O1867,#REF!,0)),"")</f>
        <v/>
      </c>
      <c r="L1867" s="25" t="str">
        <f>IFERROR(INDEX(#REF!,MATCH(O1867,#REF!,0)),"")</f>
        <v/>
      </c>
      <c r="P1867" s="27" t="str">
        <f>IFERROR(INDEX(#REF!,MATCH($O1867,#REF!,0)),"")</f>
        <v/>
      </c>
      <c r="Q1867" s="27" t="str">
        <f>IFERROR(INDEX(#REF!,MATCH($O1867,#REF!,0)),"")</f>
        <v/>
      </c>
      <c r="R1867" s="52" t="str">
        <f>IFERROR(IF(AR1868=AR1867,INDEX(#REF!,MATCH($O1867,#REF!,0))-IF(AN1867="",0,AN1867)+AP1868,INDEX(#REF!,MATCH($O1867,#REF!,0))-IF(AN1867="",0,AN1867)),"")</f>
        <v/>
      </c>
      <c r="S1867" s="53" t="str">
        <f t="shared" si="924"/>
        <v/>
      </c>
      <c r="T1867" s="52" t="str">
        <f t="shared" si="925"/>
        <v/>
      </c>
      <c r="U1867" s="52" t="str">
        <f>IFERROR(IF(AR1868=AR1867,INDEX(#REF!,MATCH($O1867,#REF!,0))-IF(AN1867="",0,AN1867)+AP1868,INDEX(#REF!,MATCH($O1867,#REF!,0))-IF(AN1867="",0,AN1867)),"")</f>
        <v/>
      </c>
      <c r="V1867" s="53" t="str">
        <f t="shared" si="926"/>
        <v/>
      </c>
      <c r="W1867" s="52" t="str">
        <f t="shared" si="927"/>
        <v/>
      </c>
      <c r="X1867" s="52" t="str">
        <f>IFERROR(IF(AND(AR1868=AR1867,AM1867&lt;&gt;""),INDEX(#REF!,MATCH($O1867,#REF!,0))-IF(AN1867="",0,AN1867)+AP1868+AD1867+AL1867,IF(AR1868=AR1867,INDEX(#REF!,MATCH($O1867,#REF!,0))-IF(AN1867="",0,AN1867)+AP1868+AD1867,IF(AM1867&lt;&gt;"",INDEX(#REF!,MATCH($O1867,#REF!,0))-IF(AN1867="",0,AN1867)+AD1867+AL1867,INDEX(#REF!,MATCH($O1867,#REF!,0))-IF(AN1867="",0,AN1867)+AD1867))),"")</f>
        <v/>
      </c>
      <c r="Y1867" s="53" t="str">
        <f t="shared" si="928"/>
        <v/>
      </c>
      <c r="Z1867" s="52" t="str">
        <f>IF(L1867="","",INDEX(#REF!,MATCH($O1867,#REF!,0)))</f>
        <v/>
      </c>
      <c r="AA1867" s="52" t="str">
        <f t="shared" si="929"/>
        <v/>
      </c>
      <c r="AB1867" s="52" t="str">
        <f>IFERROR(INDEX(#REF!,MATCH($O1867,#REF!,0)),"")</f>
        <v/>
      </c>
      <c r="AC1867" s="52" t="str">
        <f>IFERROR(IF(O1867="","",SUMIFS('CPL Mats'!F:F,'CPL Mats'!Q:Q,AR1867,'CPL Mats'!S:S,AS1867)),"")</f>
        <v/>
      </c>
      <c r="AF1867" s="25" t="e">
        <f>IF(SUMIFS(#REF!,#REF!,"Releasable",#REF!,O1867)=0,"",SUMIFS(#REF!,#REF!,"Releasable",#REF!,O1867))</f>
        <v>#REF!</v>
      </c>
      <c r="AG1867" s="25" t="str">
        <f>IFERROR(INDEX(#REF!,MATCH(O1867,#REF!,0)),"")</f>
        <v/>
      </c>
      <c r="AH1867" s="25" t="str">
        <f>IFERROR(INDEX(#REF!,MATCH($O1867,#REF!,0)),"")</f>
        <v/>
      </c>
      <c r="AI1867" s="25" t="e">
        <f>IF(SUMIFS(#REF!,#REF!,"Expires this month",#REF!,O1867)=0,"",SUMIFS(#REF!,#REF!,"Expires this month",#REF!,O1867))</f>
        <v>#REF!</v>
      </c>
      <c r="AJ1867" s="25" t="e">
        <f>IF(SUMIFS(#REF!,#REF!,"Expired Previous Months",#REF!,O1867)=0,"",SUMIFS(#REF!,#REF!,"Expired Previous Months",#REF!,O1867))</f>
        <v>#REF!</v>
      </c>
      <c r="AK1867" s="25" t="str">
        <f>IFERROR(INDEX('Hun Release Current'!B:B,MATCH(O1867,'Hun Release Current'!A:A,0)),"")</f>
        <v/>
      </c>
      <c r="AL1867" s="25" t="str">
        <f>IF(SUMIF('Prev Aub'!A:A,O1867,'Prev Aub'!B:B)=0,"",SUMIF('Prev Aub'!A:A,O1867,'Prev Aub'!B:B))</f>
        <v/>
      </c>
      <c r="AN1867" s="25" t="s">
        <v>3790</v>
      </c>
      <c r="AO1867" s="25" t="s">
        <v>3790</v>
      </c>
      <c r="AP1867" s="25" t="str">
        <f t="shared" si="951"/>
        <v/>
      </c>
      <c r="AQ1867" s="151" t="e">
        <f>IF(SUMIFS(#REF!,#REF!,O1867,#REF!,"PENDING")=0,"",SUMIFS(#REF!,#REF!,O1867,#REF!,"PENDING"))</f>
        <v>#REF!</v>
      </c>
      <c r="AR1867" s="27" t="str">
        <f t="shared" si="930"/>
        <v/>
      </c>
      <c r="AS1867" s="27" t="str">
        <f t="shared" si="931"/>
        <v/>
      </c>
      <c r="AT1867" s="27" t="str">
        <f t="shared" si="932"/>
        <v/>
      </c>
      <c r="AU1867" s="27" t="str">
        <f t="shared" si="933"/>
        <v/>
      </c>
      <c r="AV1867" s="27" t="str">
        <f t="shared" si="934"/>
        <v/>
      </c>
      <c r="AW1867" s="27" t="e">
        <f t="shared" si="935"/>
        <v>#REF!</v>
      </c>
      <c r="AX1867" s="27" t="e">
        <f t="shared" si="936"/>
        <v>#REF!</v>
      </c>
      <c r="AY1867" s="27" t="str">
        <f t="shared" si="937"/>
        <v/>
      </c>
      <c r="AZ1867" s="27" t="str">
        <f t="shared" si="938"/>
        <v/>
      </c>
      <c r="BA1867" s="27" t="str">
        <f t="shared" si="939"/>
        <v/>
      </c>
      <c r="BB1867" s="27" t="str">
        <f t="shared" si="940"/>
        <v/>
      </c>
      <c r="BC1867" s="27" t="str">
        <f t="shared" si="941"/>
        <v/>
      </c>
      <c r="BD1867" s="27" t="str">
        <f t="shared" si="942"/>
        <v/>
      </c>
      <c r="BE1867" s="27" t="str">
        <f t="shared" si="943"/>
        <v/>
      </c>
      <c r="BF1867" s="27" t="str">
        <f t="shared" si="944"/>
        <v/>
      </c>
      <c r="BG1867" s="27" t="str">
        <f t="shared" si="945"/>
        <v/>
      </c>
      <c r="BH1867" s="27" t="str">
        <f t="shared" si="946"/>
        <v/>
      </c>
      <c r="BI1867" s="27" t="str">
        <f t="shared" si="947"/>
        <v/>
      </c>
      <c r="BJ1867" s="27" t="str">
        <f t="shared" si="948"/>
        <v/>
      </c>
      <c r="BK1867" s="27" t="str">
        <f t="shared" si="949"/>
        <v/>
      </c>
      <c r="BL1867" s="27" t="str">
        <f t="shared" si="950"/>
        <v/>
      </c>
      <c r="BM1867" s="21" t="s">
        <v>3790</v>
      </c>
    </row>
    <row r="1868" spans="1:65" ht="15">
      <c r="A1868" s="25" t="str">
        <f>IFERROR(INDEX(#REF!,MATCH(O1868,#REF!,0)),"")</f>
        <v/>
      </c>
      <c r="B1868" s="25" t="str">
        <f>IFERROR(INDEX(#REF!,MATCH(O1868,#REF!,0)),"")</f>
        <v/>
      </c>
      <c r="C1868" s="25" t="str">
        <f>IFERROR(INDEX(#REF!,MATCH(O1868,#REF!,0)),"")</f>
        <v/>
      </c>
      <c r="D1868" s="25" t="str">
        <f>IFERROR(INDEX(#REF!,MATCH(O1868,#REF!,0)),"")</f>
        <v/>
      </c>
      <c r="E1868" s="25" t="str">
        <f>IFERROR(INDEX(#REF!,MATCH(O1868,#REF!,0)),"")</f>
        <v/>
      </c>
      <c r="F1868" s="25" t="str">
        <f>IFERROR(INDEX(#REF!,MATCH(O1868,#REF!,0)),"")</f>
        <v/>
      </c>
      <c r="G1868" s="25" t="str">
        <f>IFERROR(INDEX(#REF!,MATCH(O1868,#REF!,0)),"")</f>
        <v/>
      </c>
      <c r="H1868" s="25" t="str">
        <f>IFERROR(INDEX(#REF!,MATCH(O1868,#REF!,0)),"")</f>
        <v/>
      </c>
      <c r="I1868" s="25" t="str">
        <f>IFERROR(INDEX(#REF!,MATCH(O1868,#REF!,0)),"")</f>
        <v/>
      </c>
      <c r="J1868" s="25" t="str">
        <f>IFERROR(INDEX(#REF!,MATCH(O1868,#REF!,0)),"")</f>
        <v/>
      </c>
      <c r="K1868" s="25" t="str">
        <f>IFERROR(INDEX(#REF!,MATCH(O1868,#REF!,0)),"")</f>
        <v/>
      </c>
      <c r="L1868" s="25" t="str">
        <f>IFERROR(INDEX(#REF!,MATCH(O1868,#REF!,0)),"")</f>
        <v/>
      </c>
      <c r="P1868" s="27" t="str">
        <f>IFERROR(INDEX(#REF!,MATCH($O1868,#REF!,0)),"")</f>
        <v/>
      </c>
      <c r="Q1868" s="27" t="str">
        <f>IFERROR(INDEX(#REF!,MATCH($O1868,#REF!,0)),"")</f>
        <v/>
      </c>
      <c r="R1868" s="52" t="str">
        <f>IFERROR(IF(AR1869=AR1868,INDEX(#REF!,MATCH($O1868,#REF!,0))-IF(AN1868="",0,AN1868)+AP1869,INDEX(#REF!,MATCH($O1868,#REF!,0))-IF(AN1868="",0,AN1868)),"")</f>
        <v/>
      </c>
      <c r="S1868" s="53" t="str">
        <f t="shared" si="924"/>
        <v/>
      </c>
      <c r="T1868" s="52" t="str">
        <f t="shared" si="925"/>
        <v/>
      </c>
      <c r="U1868" s="52" t="str">
        <f>IFERROR(IF(AR1869=AR1868,INDEX(#REF!,MATCH($O1868,#REF!,0))-IF(AN1868="",0,AN1868)+AP1869,INDEX(#REF!,MATCH($O1868,#REF!,0))-IF(AN1868="",0,AN1868)),"")</f>
        <v/>
      </c>
      <c r="V1868" s="53" t="str">
        <f t="shared" si="926"/>
        <v/>
      </c>
      <c r="W1868" s="52" t="str">
        <f t="shared" si="927"/>
        <v/>
      </c>
      <c r="X1868" s="52" t="str">
        <f>IFERROR(IF(AND(AR1869=AR1868,AM1868&lt;&gt;""),INDEX(#REF!,MATCH($O1868,#REF!,0))-IF(AN1868="",0,AN1868)+AP1869+AD1868+AL1868,IF(AR1869=AR1868,INDEX(#REF!,MATCH($O1868,#REF!,0))-IF(AN1868="",0,AN1868)+AP1869+AD1868,IF(AM1868&lt;&gt;"",INDEX(#REF!,MATCH($O1868,#REF!,0))-IF(AN1868="",0,AN1868)+AD1868+AL1868,INDEX(#REF!,MATCH($O1868,#REF!,0))-IF(AN1868="",0,AN1868)+AD1868))),"")</f>
        <v/>
      </c>
      <c r="Y1868" s="53" t="str">
        <f t="shared" si="928"/>
        <v/>
      </c>
      <c r="Z1868" s="52" t="str">
        <f>IF(L1868="","",INDEX(#REF!,MATCH($O1868,#REF!,0)))</f>
        <v/>
      </c>
      <c r="AA1868" s="52" t="str">
        <f t="shared" si="929"/>
        <v/>
      </c>
      <c r="AB1868" s="52" t="str">
        <f>IFERROR(INDEX(#REF!,MATCH($O1868,#REF!,0)),"")</f>
        <v/>
      </c>
      <c r="AC1868" s="52" t="str">
        <f>IFERROR(IF(O1868="","",SUMIFS('CPL Mats'!F:F,'CPL Mats'!Q:Q,AR1868,'CPL Mats'!S:S,AS1868)),"")</f>
        <v/>
      </c>
      <c r="AF1868" s="25" t="e">
        <f>IF(SUMIFS(#REF!,#REF!,"Releasable",#REF!,O1868)=0,"",SUMIFS(#REF!,#REF!,"Releasable",#REF!,O1868))</f>
        <v>#REF!</v>
      </c>
      <c r="AG1868" s="25" t="str">
        <f>IFERROR(INDEX(#REF!,MATCH(O1868,#REF!,0)),"")</f>
        <v/>
      </c>
      <c r="AH1868" s="25" t="str">
        <f>IFERROR(INDEX(#REF!,MATCH($O1868,#REF!,0)),"")</f>
        <v/>
      </c>
      <c r="AI1868" s="25" t="e">
        <f>IF(SUMIFS(#REF!,#REF!,"Expires this month",#REF!,O1868)=0,"",SUMIFS(#REF!,#REF!,"Expires this month",#REF!,O1868))</f>
        <v>#REF!</v>
      </c>
      <c r="AJ1868" s="25" t="e">
        <f>IF(SUMIFS(#REF!,#REF!,"Expired Previous Months",#REF!,O1868)=0,"",SUMIFS(#REF!,#REF!,"Expired Previous Months",#REF!,O1868))</f>
        <v>#REF!</v>
      </c>
      <c r="AK1868" s="25" t="str">
        <f>IFERROR(INDEX('Hun Release Current'!B:B,MATCH(O1868,'Hun Release Current'!A:A,0)),"")</f>
        <v/>
      </c>
      <c r="AL1868" s="25" t="str">
        <f>IF(SUMIF('Prev Aub'!A:A,O1868,'Prev Aub'!B:B)=0,"",SUMIF('Prev Aub'!A:A,O1868,'Prev Aub'!B:B))</f>
        <v/>
      </c>
      <c r="AN1868" s="25" t="s">
        <v>3790</v>
      </c>
      <c r="AO1868" s="25" t="s">
        <v>3790</v>
      </c>
      <c r="AP1868" s="25" t="str">
        <f t="shared" si="951"/>
        <v/>
      </c>
      <c r="AQ1868" s="151" t="e">
        <f>IF(SUMIFS(#REF!,#REF!,O1868,#REF!,"PENDING")=0,"",SUMIFS(#REF!,#REF!,O1868,#REF!,"PENDING"))</f>
        <v>#REF!</v>
      </c>
      <c r="AR1868" s="27" t="str">
        <f t="shared" si="930"/>
        <v/>
      </c>
      <c r="AS1868" s="27" t="str">
        <f t="shared" si="931"/>
        <v/>
      </c>
      <c r="AT1868" s="27" t="str">
        <f t="shared" si="932"/>
        <v/>
      </c>
      <c r="AU1868" s="27" t="str">
        <f t="shared" si="933"/>
        <v/>
      </c>
      <c r="AV1868" s="27" t="str">
        <f t="shared" si="934"/>
        <v/>
      </c>
      <c r="AW1868" s="27" t="e">
        <f t="shared" si="935"/>
        <v>#REF!</v>
      </c>
      <c r="AX1868" s="27" t="e">
        <f t="shared" si="936"/>
        <v>#REF!</v>
      </c>
      <c r="AY1868" s="27" t="str">
        <f t="shared" si="937"/>
        <v/>
      </c>
      <c r="AZ1868" s="27" t="str">
        <f t="shared" si="938"/>
        <v/>
      </c>
      <c r="BA1868" s="27" t="str">
        <f t="shared" si="939"/>
        <v/>
      </c>
      <c r="BB1868" s="27" t="str">
        <f t="shared" si="940"/>
        <v/>
      </c>
      <c r="BC1868" s="27" t="str">
        <f t="shared" si="941"/>
        <v/>
      </c>
      <c r="BD1868" s="27" t="str">
        <f t="shared" si="942"/>
        <v/>
      </c>
      <c r="BE1868" s="27" t="str">
        <f t="shared" si="943"/>
        <v/>
      </c>
      <c r="BF1868" s="27" t="str">
        <f t="shared" si="944"/>
        <v/>
      </c>
      <c r="BG1868" s="27" t="str">
        <f t="shared" si="945"/>
        <v/>
      </c>
      <c r="BH1868" s="27" t="str">
        <f t="shared" si="946"/>
        <v/>
      </c>
      <c r="BI1868" s="27" t="str">
        <f t="shared" si="947"/>
        <v/>
      </c>
      <c r="BJ1868" s="27" t="str">
        <f t="shared" si="948"/>
        <v/>
      </c>
      <c r="BK1868" s="27" t="str">
        <f t="shared" si="949"/>
        <v/>
      </c>
      <c r="BL1868" s="27" t="str">
        <f t="shared" si="950"/>
        <v/>
      </c>
      <c r="BM1868" s="21" t="s">
        <v>3790</v>
      </c>
    </row>
    <row r="1869" spans="1:65" ht="15">
      <c r="A1869" s="25" t="str">
        <f>IFERROR(INDEX(#REF!,MATCH(O1869,#REF!,0)),"")</f>
        <v/>
      </c>
      <c r="B1869" s="25" t="str">
        <f>IFERROR(INDEX(#REF!,MATCH(O1869,#REF!,0)),"")</f>
        <v/>
      </c>
      <c r="C1869" s="25" t="str">
        <f>IFERROR(INDEX(#REF!,MATCH(O1869,#REF!,0)),"")</f>
        <v/>
      </c>
      <c r="D1869" s="25" t="str">
        <f>IFERROR(INDEX(#REF!,MATCH(O1869,#REF!,0)),"")</f>
        <v/>
      </c>
      <c r="E1869" s="25" t="str">
        <f>IFERROR(INDEX(#REF!,MATCH(O1869,#REF!,0)),"")</f>
        <v/>
      </c>
      <c r="F1869" s="25" t="str">
        <f>IFERROR(INDEX(#REF!,MATCH(O1869,#REF!,0)),"")</f>
        <v/>
      </c>
      <c r="G1869" s="25" t="str">
        <f>IFERROR(INDEX(#REF!,MATCH(O1869,#REF!,0)),"")</f>
        <v/>
      </c>
      <c r="H1869" s="25" t="str">
        <f>IFERROR(INDEX(#REF!,MATCH(O1869,#REF!,0)),"")</f>
        <v/>
      </c>
      <c r="I1869" s="25" t="str">
        <f>IFERROR(INDEX(#REF!,MATCH(O1869,#REF!,0)),"")</f>
        <v/>
      </c>
      <c r="J1869" s="25" t="str">
        <f>IFERROR(INDEX(#REF!,MATCH(O1869,#REF!,0)),"")</f>
        <v/>
      </c>
      <c r="K1869" s="25" t="str">
        <f>IFERROR(INDEX(#REF!,MATCH(O1869,#REF!,0)),"")</f>
        <v/>
      </c>
      <c r="L1869" s="25" t="str">
        <f>IFERROR(INDEX(#REF!,MATCH(O1869,#REF!,0)),"")</f>
        <v/>
      </c>
      <c r="P1869" s="27" t="str">
        <f>IFERROR(INDEX(#REF!,MATCH($O1869,#REF!,0)),"")</f>
        <v/>
      </c>
      <c r="Q1869" s="27" t="str">
        <f>IFERROR(INDEX(#REF!,MATCH($O1869,#REF!,0)),"")</f>
        <v/>
      </c>
      <c r="R1869" s="52" t="str">
        <f>IFERROR(IF(AR1870=AR1869,INDEX(#REF!,MATCH($O1869,#REF!,0))-IF(AN1869="",0,AN1869)+AP1870,INDEX(#REF!,MATCH($O1869,#REF!,0))-IF(AN1869="",0,AN1869)),"")</f>
        <v/>
      </c>
      <c r="S1869" s="53" t="str">
        <f t="shared" si="924"/>
        <v/>
      </c>
      <c r="T1869" s="52" t="str">
        <f t="shared" si="925"/>
        <v/>
      </c>
      <c r="U1869" s="52" t="str">
        <f>IFERROR(IF(AR1870=AR1869,INDEX(#REF!,MATCH($O1869,#REF!,0))-IF(AN1869="",0,AN1869)+AP1870,INDEX(#REF!,MATCH($O1869,#REF!,0))-IF(AN1869="",0,AN1869)),"")</f>
        <v/>
      </c>
      <c r="V1869" s="53" t="str">
        <f t="shared" si="926"/>
        <v/>
      </c>
      <c r="W1869" s="52" t="str">
        <f t="shared" si="927"/>
        <v/>
      </c>
      <c r="X1869" s="52" t="str">
        <f>IFERROR(IF(AND(AR1870=AR1869,AM1869&lt;&gt;""),INDEX(#REF!,MATCH($O1869,#REF!,0))-IF(AN1869="",0,AN1869)+AP1870+AD1869+AL1869,IF(AR1870=AR1869,INDEX(#REF!,MATCH($O1869,#REF!,0))-IF(AN1869="",0,AN1869)+AP1870+AD1869,IF(AM1869&lt;&gt;"",INDEX(#REF!,MATCH($O1869,#REF!,0))-IF(AN1869="",0,AN1869)+AD1869+AL1869,INDEX(#REF!,MATCH($O1869,#REF!,0))-IF(AN1869="",0,AN1869)+AD1869))),"")</f>
        <v/>
      </c>
      <c r="Y1869" s="53" t="str">
        <f t="shared" si="928"/>
        <v/>
      </c>
      <c r="Z1869" s="52" t="str">
        <f>IF(L1869="","",INDEX(#REF!,MATCH($O1869,#REF!,0)))</f>
        <v/>
      </c>
      <c r="AA1869" s="52" t="str">
        <f t="shared" si="929"/>
        <v/>
      </c>
      <c r="AB1869" s="52" t="str">
        <f>IFERROR(INDEX(#REF!,MATCH($O1869,#REF!,0)),"")</f>
        <v/>
      </c>
      <c r="AC1869" s="52" t="str">
        <f>IFERROR(IF(O1869="","",SUMIFS('CPL Mats'!F:F,'CPL Mats'!Q:Q,AR1869,'CPL Mats'!S:S,AS1869)),"")</f>
        <v/>
      </c>
      <c r="AF1869" s="25" t="e">
        <f>IF(SUMIFS(#REF!,#REF!,"Releasable",#REF!,O1869)=0,"",SUMIFS(#REF!,#REF!,"Releasable",#REF!,O1869))</f>
        <v>#REF!</v>
      </c>
      <c r="AG1869" s="25" t="str">
        <f>IFERROR(INDEX(#REF!,MATCH(O1869,#REF!,0)),"")</f>
        <v/>
      </c>
      <c r="AH1869" s="25" t="str">
        <f>IFERROR(INDEX(#REF!,MATCH($O1869,#REF!,0)),"")</f>
        <v/>
      </c>
      <c r="AI1869" s="25" t="e">
        <f>IF(SUMIFS(#REF!,#REF!,"Expires this month",#REF!,O1869)=0,"",SUMIFS(#REF!,#REF!,"Expires this month",#REF!,O1869))</f>
        <v>#REF!</v>
      </c>
      <c r="AJ1869" s="25" t="e">
        <f>IF(SUMIFS(#REF!,#REF!,"Expired Previous Months",#REF!,O1869)=0,"",SUMIFS(#REF!,#REF!,"Expired Previous Months",#REF!,O1869))</f>
        <v>#REF!</v>
      </c>
      <c r="AK1869" s="25" t="str">
        <f>IFERROR(INDEX('Hun Release Current'!B:B,MATCH(O1869,'Hun Release Current'!A:A,0)),"")</f>
        <v/>
      </c>
      <c r="AL1869" s="25" t="str">
        <f>IF(SUMIF('Prev Aub'!A:A,O1869,'Prev Aub'!B:B)=0,"",SUMIF('Prev Aub'!A:A,O1869,'Prev Aub'!B:B))</f>
        <v/>
      </c>
      <c r="AN1869" s="25" t="s">
        <v>3790</v>
      </c>
      <c r="AO1869" s="25" t="s">
        <v>3790</v>
      </c>
      <c r="AP1869" s="25" t="str">
        <f t="shared" si="951"/>
        <v/>
      </c>
      <c r="AQ1869" s="151" t="e">
        <f>IF(SUMIFS(#REF!,#REF!,O1869,#REF!,"PENDING")=0,"",SUMIFS(#REF!,#REF!,O1869,#REF!,"PENDING"))</f>
        <v>#REF!</v>
      </c>
      <c r="AR1869" s="27" t="str">
        <f t="shared" si="930"/>
        <v/>
      </c>
      <c r="AS1869" s="27" t="str">
        <f t="shared" si="931"/>
        <v/>
      </c>
      <c r="AT1869" s="27" t="str">
        <f t="shared" si="932"/>
        <v/>
      </c>
      <c r="AU1869" s="27" t="str">
        <f t="shared" si="933"/>
        <v/>
      </c>
      <c r="AV1869" s="27" t="str">
        <f t="shared" si="934"/>
        <v/>
      </c>
      <c r="AW1869" s="27" t="e">
        <f t="shared" si="935"/>
        <v>#REF!</v>
      </c>
      <c r="AX1869" s="27" t="e">
        <f t="shared" si="936"/>
        <v>#REF!</v>
      </c>
      <c r="AY1869" s="27" t="str">
        <f t="shared" si="937"/>
        <v/>
      </c>
      <c r="AZ1869" s="27" t="str">
        <f t="shared" si="938"/>
        <v/>
      </c>
      <c r="BA1869" s="27" t="str">
        <f t="shared" si="939"/>
        <v/>
      </c>
      <c r="BB1869" s="27" t="str">
        <f t="shared" si="940"/>
        <v/>
      </c>
      <c r="BC1869" s="27" t="str">
        <f t="shared" si="941"/>
        <v/>
      </c>
      <c r="BD1869" s="27" t="str">
        <f t="shared" si="942"/>
        <v/>
      </c>
      <c r="BE1869" s="27" t="str">
        <f t="shared" si="943"/>
        <v/>
      </c>
      <c r="BF1869" s="27" t="str">
        <f t="shared" si="944"/>
        <v/>
      </c>
      <c r="BG1869" s="27" t="str">
        <f t="shared" si="945"/>
        <v/>
      </c>
      <c r="BH1869" s="27" t="str">
        <f t="shared" si="946"/>
        <v/>
      </c>
      <c r="BI1869" s="27" t="str">
        <f t="shared" si="947"/>
        <v/>
      </c>
      <c r="BJ1869" s="27" t="str">
        <f t="shared" si="948"/>
        <v/>
      </c>
      <c r="BK1869" s="27" t="str">
        <f t="shared" si="949"/>
        <v/>
      </c>
      <c r="BL1869" s="27" t="str">
        <f t="shared" si="950"/>
        <v/>
      </c>
      <c r="BM1869" s="21" t="s">
        <v>3790</v>
      </c>
    </row>
    <row r="1870" spans="1:65" ht="15">
      <c r="A1870" s="25" t="str">
        <f>IFERROR(INDEX(#REF!,MATCH(O1870,#REF!,0)),"")</f>
        <v/>
      </c>
      <c r="B1870" s="25" t="str">
        <f>IFERROR(INDEX(#REF!,MATCH(O1870,#REF!,0)),"")</f>
        <v/>
      </c>
      <c r="C1870" s="25" t="str">
        <f>IFERROR(INDEX(#REF!,MATCH(O1870,#REF!,0)),"")</f>
        <v/>
      </c>
      <c r="D1870" s="25" t="str">
        <f>IFERROR(INDEX(#REF!,MATCH(O1870,#REF!,0)),"")</f>
        <v/>
      </c>
      <c r="E1870" s="25" t="str">
        <f>IFERROR(INDEX(#REF!,MATCH(O1870,#REF!,0)),"")</f>
        <v/>
      </c>
      <c r="F1870" s="25" t="str">
        <f>IFERROR(INDEX(#REF!,MATCH(O1870,#REF!,0)),"")</f>
        <v/>
      </c>
      <c r="G1870" s="25" t="str">
        <f>IFERROR(INDEX(#REF!,MATCH(O1870,#REF!,0)),"")</f>
        <v/>
      </c>
      <c r="H1870" s="25" t="str">
        <f>IFERROR(INDEX(#REF!,MATCH(O1870,#REF!,0)),"")</f>
        <v/>
      </c>
      <c r="I1870" s="25" t="str">
        <f>IFERROR(INDEX(#REF!,MATCH(O1870,#REF!,0)),"")</f>
        <v/>
      </c>
      <c r="J1870" s="25" t="str">
        <f>IFERROR(INDEX(#REF!,MATCH(O1870,#REF!,0)),"")</f>
        <v/>
      </c>
      <c r="K1870" s="25" t="str">
        <f>IFERROR(INDEX(#REF!,MATCH(O1870,#REF!,0)),"")</f>
        <v/>
      </c>
      <c r="L1870" s="25" t="str">
        <f>IFERROR(INDEX(#REF!,MATCH(O1870,#REF!,0)),"")</f>
        <v/>
      </c>
      <c r="P1870" s="27" t="str">
        <f>IFERROR(INDEX(#REF!,MATCH($O1870,#REF!,0)),"")</f>
        <v/>
      </c>
      <c r="Q1870" s="27" t="str">
        <f>IFERROR(INDEX(#REF!,MATCH($O1870,#REF!,0)),"")</f>
        <v/>
      </c>
      <c r="R1870" s="52" t="str">
        <f>IFERROR(IF(AR1871=AR1870,INDEX(#REF!,MATCH($O1870,#REF!,0))-IF(AN1870="",0,AN1870)+AP1871,INDEX(#REF!,MATCH($O1870,#REF!,0))-IF(AN1870="",0,AN1870)),"")</f>
        <v/>
      </c>
      <c r="S1870" s="53" t="str">
        <f t="shared" si="924"/>
        <v/>
      </c>
      <c r="T1870" s="52" t="str">
        <f t="shared" si="925"/>
        <v/>
      </c>
      <c r="U1870" s="52" t="str">
        <f>IFERROR(IF(AR1871=AR1870,INDEX(#REF!,MATCH($O1870,#REF!,0))-IF(AN1870="",0,AN1870)+AP1871,INDEX(#REF!,MATCH($O1870,#REF!,0))-IF(AN1870="",0,AN1870)),"")</f>
        <v/>
      </c>
      <c r="V1870" s="53" t="str">
        <f t="shared" si="926"/>
        <v/>
      </c>
      <c r="W1870" s="52" t="str">
        <f t="shared" si="927"/>
        <v/>
      </c>
      <c r="X1870" s="52" t="str">
        <f>IFERROR(IF(AND(AR1871=AR1870,AM1870&lt;&gt;""),INDEX(#REF!,MATCH($O1870,#REF!,0))-IF(AN1870="",0,AN1870)+AP1871+AD1870+AL1870,IF(AR1871=AR1870,INDEX(#REF!,MATCH($O1870,#REF!,0))-IF(AN1870="",0,AN1870)+AP1871+AD1870,IF(AM1870&lt;&gt;"",INDEX(#REF!,MATCH($O1870,#REF!,0))-IF(AN1870="",0,AN1870)+AD1870+AL1870,INDEX(#REF!,MATCH($O1870,#REF!,0))-IF(AN1870="",0,AN1870)+AD1870))),"")</f>
        <v/>
      </c>
      <c r="Y1870" s="53" t="str">
        <f t="shared" si="928"/>
        <v/>
      </c>
      <c r="Z1870" s="52" t="str">
        <f>IF(L1870="","",INDEX(#REF!,MATCH($O1870,#REF!,0)))</f>
        <v/>
      </c>
      <c r="AA1870" s="52" t="str">
        <f t="shared" si="929"/>
        <v/>
      </c>
      <c r="AB1870" s="52" t="str">
        <f>IFERROR(INDEX(#REF!,MATCH($O1870,#REF!,0)),"")</f>
        <v/>
      </c>
      <c r="AC1870" s="52" t="str">
        <f>IFERROR(IF(O1870="","",SUMIFS('CPL Mats'!F:F,'CPL Mats'!Q:Q,AR1870,'CPL Mats'!S:S,AS1870)),"")</f>
        <v/>
      </c>
      <c r="AF1870" s="25" t="e">
        <f>IF(SUMIFS(#REF!,#REF!,"Releasable",#REF!,O1870)=0,"",SUMIFS(#REF!,#REF!,"Releasable",#REF!,O1870))</f>
        <v>#REF!</v>
      </c>
      <c r="AG1870" s="25" t="str">
        <f>IFERROR(INDEX(#REF!,MATCH(O1870,#REF!,0)),"")</f>
        <v/>
      </c>
      <c r="AH1870" s="25" t="str">
        <f>IFERROR(INDEX(#REF!,MATCH($O1870,#REF!,0)),"")</f>
        <v/>
      </c>
      <c r="AI1870" s="25" t="e">
        <f>IF(SUMIFS(#REF!,#REF!,"Expires this month",#REF!,O1870)=0,"",SUMIFS(#REF!,#REF!,"Expires this month",#REF!,O1870))</f>
        <v>#REF!</v>
      </c>
      <c r="AJ1870" s="25" t="e">
        <f>IF(SUMIFS(#REF!,#REF!,"Expired Previous Months",#REF!,O1870)=0,"",SUMIFS(#REF!,#REF!,"Expired Previous Months",#REF!,O1870))</f>
        <v>#REF!</v>
      </c>
      <c r="AK1870" s="25" t="str">
        <f>IFERROR(INDEX('Hun Release Current'!B:B,MATCH(O1870,'Hun Release Current'!A:A,0)),"")</f>
        <v/>
      </c>
      <c r="AL1870" s="25" t="str">
        <f>IF(SUMIF('Prev Aub'!A:A,O1870,'Prev Aub'!B:B)=0,"",SUMIF('Prev Aub'!A:A,O1870,'Prev Aub'!B:B))</f>
        <v/>
      </c>
      <c r="AN1870" s="25" t="s">
        <v>3790</v>
      </c>
      <c r="AO1870" s="25" t="s">
        <v>3790</v>
      </c>
      <c r="AP1870" s="25" t="str">
        <f t="shared" si="951"/>
        <v/>
      </c>
      <c r="AQ1870" s="151" t="e">
        <f>IF(SUMIFS(#REF!,#REF!,O1870,#REF!,"PENDING")=0,"",SUMIFS(#REF!,#REF!,O1870,#REF!,"PENDING"))</f>
        <v>#REF!</v>
      </c>
      <c r="AR1870" s="27" t="str">
        <f t="shared" si="930"/>
        <v/>
      </c>
      <c r="AS1870" s="27" t="str">
        <f t="shared" si="931"/>
        <v/>
      </c>
      <c r="AT1870" s="27" t="str">
        <f t="shared" si="932"/>
        <v/>
      </c>
      <c r="AU1870" s="27" t="str">
        <f t="shared" si="933"/>
        <v/>
      </c>
      <c r="AV1870" s="27" t="str">
        <f t="shared" si="934"/>
        <v/>
      </c>
      <c r="AW1870" s="27" t="e">
        <f t="shared" si="935"/>
        <v>#REF!</v>
      </c>
      <c r="AX1870" s="27" t="e">
        <f t="shared" si="936"/>
        <v>#REF!</v>
      </c>
      <c r="AY1870" s="27" t="str">
        <f t="shared" si="937"/>
        <v/>
      </c>
      <c r="AZ1870" s="27" t="str">
        <f t="shared" si="938"/>
        <v/>
      </c>
      <c r="BA1870" s="27" t="str">
        <f t="shared" si="939"/>
        <v/>
      </c>
      <c r="BB1870" s="27" t="str">
        <f t="shared" si="940"/>
        <v/>
      </c>
      <c r="BC1870" s="27" t="str">
        <f t="shared" si="941"/>
        <v/>
      </c>
      <c r="BD1870" s="27" t="str">
        <f t="shared" si="942"/>
        <v/>
      </c>
      <c r="BE1870" s="27" t="str">
        <f t="shared" si="943"/>
        <v/>
      </c>
      <c r="BF1870" s="27" t="str">
        <f t="shared" si="944"/>
        <v/>
      </c>
      <c r="BG1870" s="27" t="str">
        <f t="shared" si="945"/>
        <v/>
      </c>
      <c r="BH1870" s="27" t="str">
        <f t="shared" si="946"/>
        <v/>
      </c>
      <c r="BI1870" s="27" t="str">
        <f t="shared" si="947"/>
        <v/>
      </c>
      <c r="BJ1870" s="27" t="str">
        <f t="shared" si="948"/>
        <v/>
      </c>
      <c r="BK1870" s="27" t="str">
        <f t="shared" si="949"/>
        <v/>
      </c>
      <c r="BL1870" s="27" t="str">
        <f t="shared" si="950"/>
        <v/>
      </c>
      <c r="BM1870" s="21" t="s">
        <v>3790</v>
      </c>
    </row>
    <row r="1871" spans="1:65" ht="15">
      <c r="A1871" s="25" t="str">
        <f>IFERROR(INDEX(#REF!,MATCH(O1871,#REF!,0)),"")</f>
        <v/>
      </c>
      <c r="B1871" s="25" t="str">
        <f>IFERROR(INDEX(#REF!,MATCH(O1871,#REF!,0)),"")</f>
        <v/>
      </c>
      <c r="C1871" s="25" t="str">
        <f>IFERROR(INDEX(#REF!,MATCH(O1871,#REF!,0)),"")</f>
        <v/>
      </c>
      <c r="D1871" s="25" t="str">
        <f>IFERROR(INDEX(#REF!,MATCH(O1871,#REF!,0)),"")</f>
        <v/>
      </c>
      <c r="E1871" s="25" t="str">
        <f>IFERROR(INDEX(#REF!,MATCH(O1871,#REF!,0)),"")</f>
        <v/>
      </c>
      <c r="F1871" s="25" t="str">
        <f>IFERROR(INDEX(#REF!,MATCH(O1871,#REF!,0)),"")</f>
        <v/>
      </c>
      <c r="G1871" s="25" t="str">
        <f>IFERROR(INDEX(#REF!,MATCH(O1871,#REF!,0)),"")</f>
        <v/>
      </c>
      <c r="H1871" s="25" t="str">
        <f>IFERROR(INDEX(#REF!,MATCH(O1871,#REF!,0)),"")</f>
        <v/>
      </c>
      <c r="I1871" s="25" t="str">
        <f>IFERROR(INDEX(#REF!,MATCH(O1871,#REF!,0)),"")</f>
        <v/>
      </c>
      <c r="J1871" s="25" t="str">
        <f>IFERROR(INDEX(#REF!,MATCH(O1871,#REF!,0)),"")</f>
        <v/>
      </c>
      <c r="K1871" s="25" t="str">
        <f>IFERROR(INDEX(#REF!,MATCH(O1871,#REF!,0)),"")</f>
        <v/>
      </c>
      <c r="L1871" s="25" t="str">
        <f>IFERROR(INDEX(#REF!,MATCH(O1871,#REF!,0)),"")</f>
        <v/>
      </c>
      <c r="P1871" s="27" t="str">
        <f>IFERROR(INDEX(#REF!,MATCH($O1871,#REF!,0)),"")</f>
        <v/>
      </c>
      <c r="Q1871" s="27" t="str">
        <f>IFERROR(INDEX(#REF!,MATCH($O1871,#REF!,0)),"")</f>
        <v/>
      </c>
      <c r="R1871" s="52" t="str">
        <f>IFERROR(IF(AR1872=AR1871,INDEX(#REF!,MATCH($O1871,#REF!,0))-IF(AN1871="",0,AN1871)+AP1872,INDEX(#REF!,MATCH($O1871,#REF!,0))-IF(AN1871="",0,AN1871)),"")</f>
        <v/>
      </c>
      <c r="S1871" s="53" t="str">
        <f t="shared" si="924"/>
        <v/>
      </c>
      <c r="T1871" s="52" t="str">
        <f t="shared" si="925"/>
        <v/>
      </c>
      <c r="U1871" s="52" t="str">
        <f>IFERROR(IF(AR1872=AR1871,INDEX(#REF!,MATCH($O1871,#REF!,0))-IF(AN1871="",0,AN1871)+AP1872,INDEX(#REF!,MATCH($O1871,#REF!,0))-IF(AN1871="",0,AN1871)),"")</f>
        <v/>
      </c>
      <c r="V1871" s="53" t="str">
        <f t="shared" si="926"/>
        <v/>
      </c>
      <c r="W1871" s="52" t="str">
        <f t="shared" si="927"/>
        <v/>
      </c>
      <c r="X1871" s="52" t="str">
        <f>IFERROR(IF(AND(AR1872=AR1871,AM1871&lt;&gt;""),INDEX(#REF!,MATCH($O1871,#REF!,0))-IF(AN1871="",0,AN1871)+AP1872+AD1871+AL1871,IF(AR1872=AR1871,INDEX(#REF!,MATCH($O1871,#REF!,0))-IF(AN1871="",0,AN1871)+AP1872+AD1871,IF(AM1871&lt;&gt;"",INDEX(#REF!,MATCH($O1871,#REF!,0))-IF(AN1871="",0,AN1871)+AD1871+AL1871,INDEX(#REF!,MATCH($O1871,#REF!,0))-IF(AN1871="",0,AN1871)+AD1871))),"")</f>
        <v/>
      </c>
      <c r="Y1871" s="53" t="str">
        <f t="shared" si="928"/>
        <v/>
      </c>
      <c r="Z1871" s="52" t="str">
        <f>IF(L1871="","",INDEX(#REF!,MATCH($O1871,#REF!,0)))</f>
        <v/>
      </c>
      <c r="AA1871" s="52" t="str">
        <f t="shared" si="929"/>
        <v/>
      </c>
      <c r="AB1871" s="52" t="str">
        <f>IFERROR(INDEX(#REF!,MATCH($O1871,#REF!,0)),"")</f>
        <v/>
      </c>
      <c r="AC1871" s="52" t="str">
        <f>IFERROR(IF(O1871="","",SUMIFS('CPL Mats'!F:F,'CPL Mats'!Q:Q,AR1871,'CPL Mats'!S:S,AS1871)),"")</f>
        <v/>
      </c>
      <c r="AF1871" s="25" t="e">
        <f>IF(SUMIFS(#REF!,#REF!,"Releasable",#REF!,O1871)=0,"",SUMIFS(#REF!,#REF!,"Releasable",#REF!,O1871))</f>
        <v>#REF!</v>
      </c>
      <c r="AG1871" s="25" t="str">
        <f>IFERROR(INDEX(#REF!,MATCH(O1871,#REF!,0)),"")</f>
        <v/>
      </c>
      <c r="AH1871" s="25" t="str">
        <f>IFERROR(INDEX(#REF!,MATCH($O1871,#REF!,0)),"")</f>
        <v/>
      </c>
      <c r="AI1871" s="25" t="e">
        <f>IF(SUMIFS(#REF!,#REF!,"Expires this month",#REF!,O1871)=0,"",SUMIFS(#REF!,#REF!,"Expires this month",#REF!,O1871))</f>
        <v>#REF!</v>
      </c>
      <c r="AJ1871" s="25" t="e">
        <f>IF(SUMIFS(#REF!,#REF!,"Expired Previous Months",#REF!,O1871)=0,"",SUMIFS(#REF!,#REF!,"Expired Previous Months",#REF!,O1871))</f>
        <v>#REF!</v>
      </c>
      <c r="AK1871" s="25" t="str">
        <f>IFERROR(INDEX('Hun Release Current'!B:B,MATCH(O1871,'Hun Release Current'!A:A,0)),"")</f>
        <v/>
      </c>
      <c r="AL1871" s="25" t="str">
        <f>IF(SUMIF('Prev Aub'!A:A,O1871,'Prev Aub'!B:B)=0,"",SUMIF('Prev Aub'!A:A,O1871,'Prev Aub'!B:B))</f>
        <v/>
      </c>
      <c r="AN1871" s="25" t="s">
        <v>3790</v>
      </c>
      <c r="AO1871" s="25" t="s">
        <v>3790</v>
      </c>
      <c r="AP1871" s="25" t="str">
        <f t="shared" si="951"/>
        <v/>
      </c>
      <c r="AQ1871" s="151" t="e">
        <f>IF(SUMIFS(#REF!,#REF!,O1871,#REF!,"PENDING")=0,"",SUMIFS(#REF!,#REF!,O1871,#REF!,"PENDING"))</f>
        <v>#REF!</v>
      </c>
      <c r="AR1871" s="27" t="str">
        <f t="shared" si="930"/>
        <v/>
      </c>
      <c r="AS1871" s="27" t="str">
        <f t="shared" si="931"/>
        <v/>
      </c>
      <c r="AT1871" s="27" t="str">
        <f t="shared" si="932"/>
        <v/>
      </c>
      <c r="AU1871" s="27" t="str">
        <f t="shared" si="933"/>
        <v/>
      </c>
      <c r="AV1871" s="27" t="str">
        <f t="shared" si="934"/>
        <v/>
      </c>
      <c r="AW1871" s="27" t="e">
        <f t="shared" si="935"/>
        <v>#REF!</v>
      </c>
      <c r="AX1871" s="27" t="e">
        <f t="shared" si="936"/>
        <v>#REF!</v>
      </c>
      <c r="AY1871" s="27" t="str">
        <f t="shared" si="937"/>
        <v/>
      </c>
      <c r="AZ1871" s="27" t="str">
        <f t="shared" si="938"/>
        <v/>
      </c>
      <c r="BA1871" s="27" t="str">
        <f t="shared" si="939"/>
        <v/>
      </c>
      <c r="BB1871" s="27" t="str">
        <f t="shared" si="940"/>
        <v/>
      </c>
      <c r="BC1871" s="27" t="str">
        <f t="shared" si="941"/>
        <v/>
      </c>
      <c r="BD1871" s="27" t="str">
        <f t="shared" si="942"/>
        <v/>
      </c>
      <c r="BE1871" s="27" t="str">
        <f t="shared" si="943"/>
        <v/>
      </c>
      <c r="BF1871" s="27" t="str">
        <f t="shared" si="944"/>
        <v/>
      </c>
      <c r="BG1871" s="27" t="str">
        <f t="shared" si="945"/>
        <v/>
      </c>
      <c r="BH1871" s="27" t="str">
        <f t="shared" si="946"/>
        <v/>
      </c>
      <c r="BI1871" s="27" t="str">
        <f t="shared" si="947"/>
        <v/>
      </c>
      <c r="BJ1871" s="27" t="str">
        <f t="shared" si="948"/>
        <v/>
      </c>
      <c r="BK1871" s="27" t="str">
        <f t="shared" si="949"/>
        <v/>
      </c>
      <c r="BL1871" s="27" t="str">
        <f t="shared" si="950"/>
        <v/>
      </c>
      <c r="BM1871" s="21" t="s">
        <v>3790</v>
      </c>
    </row>
    <row r="1872" spans="1:65" ht="15">
      <c r="A1872" s="25" t="str">
        <f>IFERROR(INDEX(#REF!,MATCH(O1872,#REF!,0)),"")</f>
        <v/>
      </c>
      <c r="B1872" s="25" t="str">
        <f>IFERROR(INDEX(#REF!,MATCH(O1872,#REF!,0)),"")</f>
        <v/>
      </c>
      <c r="C1872" s="25" t="str">
        <f>IFERROR(INDEX(#REF!,MATCH(O1872,#REF!,0)),"")</f>
        <v/>
      </c>
      <c r="D1872" s="25" t="str">
        <f>IFERROR(INDEX(#REF!,MATCH(O1872,#REF!,0)),"")</f>
        <v/>
      </c>
      <c r="E1872" s="25" t="str">
        <f>IFERROR(INDEX(#REF!,MATCH(O1872,#REF!,0)),"")</f>
        <v/>
      </c>
      <c r="F1872" s="25" t="str">
        <f>IFERROR(INDEX(#REF!,MATCH(O1872,#REF!,0)),"")</f>
        <v/>
      </c>
      <c r="G1872" s="25" t="str">
        <f>IFERROR(INDEX(#REF!,MATCH(O1872,#REF!,0)),"")</f>
        <v/>
      </c>
      <c r="H1872" s="25" t="str">
        <f>IFERROR(INDEX(#REF!,MATCH(O1872,#REF!,0)),"")</f>
        <v/>
      </c>
      <c r="I1872" s="25" t="str">
        <f>IFERROR(INDEX(#REF!,MATCH(O1872,#REF!,0)),"")</f>
        <v/>
      </c>
      <c r="J1872" s="25" t="str">
        <f>IFERROR(INDEX(#REF!,MATCH(O1872,#REF!,0)),"")</f>
        <v/>
      </c>
      <c r="K1872" s="25" t="str">
        <f>IFERROR(INDEX(#REF!,MATCH(O1872,#REF!,0)),"")</f>
        <v/>
      </c>
      <c r="L1872" s="25" t="str">
        <f>IFERROR(INDEX(#REF!,MATCH(O1872,#REF!,0)),"")</f>
        <v/>
      </c>
      <c r="P1872" s="27" t="str">
        <f>IFERROR(INDEX(#REF!,MATCH($O1872,#REF!,0)),"")</f>
        <v/>
      </c>
      <c r="Q1872" s="27" t="str">
        <f>IFERROR(INDEX(#REF!,MATCH($O1872,#REF!,0)),"")</f>
        <v/>
      </c>
      <c r="R1872" s="52" t="str">
        <f>IFERROR(IF(AR1873=AR1872,INDEX(#REF!,MATCH($O1872,#REF!,0))-IF(AN1872="",0,AN1872)+AP1873,INDEX(#REF!,MATCH($O1872,#REF!,0))-IF(AN1872="",0,AN1872)),"")</f>
        <v/>
      </c>
      <c r="S1872" s="53" t="str">
        <f t="shared" si="924"/>
        <v/>
      </c>
      <c r="T1872" s="52" t="str">
        <f t="shared" si="925"/>
        <v/>
      </c>
      <c r="U1872" s="52" t="str">
        <f>IFERROR(IF(AR1873=AR1872,INDEX(#REF!,MATCH($O1872,#REF!,0))-IF(AN1872="",0,AN1872)+AP1873,INDEX(#REF!,MATCH($O1872,#REF!,0))-IF(AN1872="",0,AN1872)),"")</f>
        <v/>
      </c>
      <c r="V1872" s="53" t="str">
        <f t="shared" si="926"/>
        <v/>
      </c>
      <c r="W1872" s="52" t="str">
        <f t="shared" si="927"/>
        <v/>
      </c>
      <c r="X1872" s="52" t="str">
        <f>IFERROR(IF(AND(AR1873=AR1872,AM1872&lt;&gt;""),INDEX(#REF!,MATCH($O1872,#REF!,0))-IF(AN1872="",0,AN1872)+AP1873+AD1872+AL1872,IF(AR1873=AR1872,INDEX(#REF!,MATCH($O1872,#REF!,0))-IF(AN1872="",0,AN1872)+AP1873+AD1872,IF(AM1872&lt;&gt;"",INDEX(#REF!,MATCH($O1872,#REF!,0))-IF(AN1872="",0,AN1872)+AD1872+AL1872,INDEX(#REF!,MATCH($O1872,#REF!,0))-IF(AN1872="",0,AN1872)+AD1872))),"")</f>
        <v/>
      </c>
      <c r="Y1872" s="53" t="str">
        <f t="shared" si="928"/>
        <v/>
      </c>
      <c r="Z1872" s="52" t="str">
        <f>IF(L1872="","",INDEX(#REF!,MATCH($O1872,#REF!,0)))</f>
        <v/>
      </c>
      <c r="AA1872" s="52" t="str">
        <f t="shared" si="929"/>
        <v/>
      </c>
      <c r="AB1872" s="52" t="str">
        <f>IFERROR(INDEX(#REF!,MATCH($O1872,#REF!,0)),"")</f>
        <v/>
      </c>
      <c r="AC1872" s="52" t="str">
        <f>IFERROR(IF(O1872="","",SUMIFS('CPL Mats'!F:F,'CPL Mats'!Q:Q,AR1872,'CPL Mats'!S:S,AS1872)),"")</f>
        <v/>
      </c>
      <c r="AF1872" s="25" t="e">
        <f>IF(SUMIFS(#REF!,#REF!,"Releasable",#REF!,O1872)=0,"",SUMIFS(#REF!,#REF!,"Releasable",#REF!,O1872))</f>
        <v>#REF!</v>
      </c>
      <c r="AG1872" s="25" t="str">
        <f>IFERROR(INDEX(#REF!,MATCH(O1872,#REF!,0)),"")</f>
        <v/>
      </c>
      <c r="AH1872" s="25" t="str">
        <f>IFERROR(INDEX(#REF!,MATCH($O1872,#REF!,0)),"")</f>
        <v/>
      </c>
      <c r="AI1872" s="25" t="e">
        <f>IF(SUMIFS(#REF!,#REF!,"Expires this month",#REF!,O1872)=0,"",SUMIFS(#REF!,#REF!,"Expires this month",#REF!,O1872))</f>
        <v>#REF!</v>
      </c>
      <c r="AJ1872" s="25" t="e">
        <f>IF(SUMIFS(#REF!,#REF!,"Expired Previous Months",#REF!,O1872)=0,"",SUMIFS(#REF!,#REF!,"Expired Previous Months",#REF!,O1872))</f>
        <v>#REF!</v>
      </c>
      <c r="AK1872" s="25" t="str">
        <f>IFERROR(INDEX('Hun Release Current'!B:B,MATCH(O1872,'Hun Release Current'!A:A,0)),"")</f>
        <v/>
      </c>
      <c r="AL1872" s="25" t="str">
        <f>IF(SUMIF('Prev Aub'!A:A,O1872,'Prev Aub'!B:B)=0,"",SUMIF('Prev Aub'!A:A,O1872,'Prev Aub'!B:B))</f>
        <v/>
      </c>
      <c r="AN1872" s="25" t="s">
        <v>3790</v>
      </c>
      <c r="AO1872" s="25" t="s">
        <v>3790</v>
      </c>
      <c r="AP1872" s="25" t="str">
        <f t="shared" si="951"/>
        <v/>
      </c>
      <c r="AQ1872" s="151" t="e">
        <f>IF(SUMIFS(#REF!,#REF!,O1872,#REF!,"PENDING")=0,"",SUMIFS(#REF!,#REF!,O1872,#REF!,"PENDING"))</f>
        <v>#REF!</v>
      </c>
      <c r="AR1872" s="27" t="str">
        <f t="shared" si="930"/>
        <v/>
      </c>
      <c r="AS1872" s="27" t="str">
        <f t="shared" si="931"/>
        <v/>
      </c>
      <c r="AT1872" s="27" t="str">
        <f t="shared" si="932"/>
        <v/>
      </c>
      <c r="AU1872" s="27" t="str">
        <f t="shared" si="933"/>
        <v/>
      </c>
      <c r="AV1872" s="27" t="str">
        <f t="shared" si="934"/>
        <v/>
      </c>
      <c r="AW1872" s="27" t="e">
        <f t="shared" si="935"/>
        <v>#REF!</v>
      </c>
      <c r="AX1872" s="27" t="e">
        <f t="shared" si="936"/>
        <v>#REF!</v>
      </c>
      <c r="AY1872" s="27" t="str">
        <f t="shared" si="937"/>
        <v/>
      </c>
      <c r="AZ1872" s="27" t="str">
        <f t="shared" si="938"/>
        <v/>
      </c>
      <c r="BA1872" s="27" t="str">
        <f t="shared" si="939"/>
        <v/>
      </c>
      <c r="BB1872" s="27" t="str">
        <f t="shared" si="940"/>
        <v/>
      </c>
      <c r="BC1872" s="27" t="str">
        <f t="shared" si="941"/>
        <v/>
      </c>
      <c r="BD1872" s="27" t="str">
        <f t="shared" si="942"/>
        <v/>
      </c>
      <c r="BE1872" s="27" t="str">
        <f t="shared" si="943"/>
        <v/>
      </c>
      <c r="BF1872" s="27" t="str">
        <f t="shared" si="944"/>
        <v/>
      </c>
      <c r="BG1872" s="27" t="str">
        <f t="shared" si="945"/>
        <v/>
      </c>
      <c r="BH1872" s="27" t="str">
        <f t="shared" si="946"/>
        <v/>
      </c>
      <c r="BI1872" s="27" t="str">
        <f t="shared" si="947"/>
        <v/>
      </c>
      <c r="BJ1872" s="27" t="str">
        <f t="shared" si="948"/>
        <v/>
      </c>
      <c r="BK1872" s="27" t="str">
        <f t="shared" si="949"/>
        <v/>
      </c>
      <c r="BL1872" s="27" t="str">
        <f t="shared" si="950"/>
        <v/>
      </c>
      <c r="BM1872" s="21" t="s">
        <v>3790</v>
      </c>
    </row>
    <row r="1873" spans="1:65" ht="15">
      <c r="A1873" s="25" t="str">
        <f>IFERROR(INDEX(#REF!,MATCH(O1873,#REF!,0)),"")</f>
        <v/>
      </c>
      <c r="B1873" s="25" t="str">
        <f>IFERROR(INDEX(#REF!,MATCH(O1873,#REF!,0)),"")</f>
        <v/>
      </c>
      <c r="C1873" s="25" t="str">
        <f>IFERROR(INDEX(#REF!,MATCH(O1873,#REF!,0)),"")</f>
        <v/>
      </c>
      <c r="D1873" s="25" t="str">
        <f>IFERROR(INDEX(#REF!,MATCH(O1873,#REF!,0)),"")</f>
        <v/>
      </c>
      <c r="E1873" s="25" t="str">
        <f>IFERROR(INDEX(#REF!,MATCH(O1873,#REF!,0)),"")</f>
        <v/>
      </c>
      <c r="F1873" s="25" t="str">
        <f>IFERROR(INDEX(#REF!,MATCH(O1873,#REF!,0)),"")</f>
        <v/>
      </c>
      <c r="G1873" s="25" t="str">
        <f>IFERROR(INDEX(#REF!,MATCH(O1873,#REF!,0)),"")</f>
        <v/>
      </c>
      <c r="H1873" s="25" t="str">
        <f>IFERROR(INDEX(#REF!,MATCH(O1873,#REF!,0)),"")</f>
        <v/>
      </c>
      <c r="I1873" s="25" t="str">
        <f>IFERROR(INDEX(#REF!,MATCH(O1873,#REF!,0)),"")</f>
        <v/>
      </c>
      <c r="J1873" s="25" t="str">
        <f>IFERROR(INDEX(#REF!,MATCH(O1873,#REF!,0)),"")</f>
        <v/>
      </c>
      <c r="K1873" s="25" t="str">
        <f>IFERROR(INDEX(#REF!,MATCH(O1873,#REF!,0)),"")</f>
        <v/>
      </c>
      <c r="L1873" s="25" t="str">
        <f>IFERROR(INDEX(#REF!,MATCH(O1873,#REF!,0)),"")</f>
        <v/>
      </c>
      <c r="P1873" s="27" t="str">
        <f>IFERROR(INDEX(#REF!,MATCH($O1873,#REF!,0)),"")</f>
        <v/>
      </c>
      <c r="Q1873" s="27" t="str">
        <f>IFERROR(INDEX(#REF!,MATCH($O1873,#REF!,0)),"")</f>
        <v/>
      </c>
      <c r="R1873" s="52" t="str">
        <f>IFERROR(IF(AR1874=AR1873,INDEX(#REF!,MATCH($O1873,#REF!,0))-IF(AN1873="",0,AN1873)+AP1874,INDEX(#REF!,MATCH($O1873,#REF!,0))-IF(AN1873="",0,AN1873)),"")</f>
        <v/>
      </c>
      <c r="S1873" s="53" t="str">
        <f t="shared" si="924"/>
        <v/>
      </c>
      <c r="T1873" s="52" t="str">
        <f t="shared" si="925"/>
        <v/>
      </c>
      <c r="U1873" s="52" t="str">
        <f>IFERROR(IF(AR1874=AR1873,INDEX(#REF!,MATCH($O1873,#REF!,0))-IF(AN1873="",0,AN1873)+AP1874,INDEX(#REF!,MATCH($O1873,#REF!,0))-IF(AN1873="",0,AN1873)),"")</f>
        <v/>
      </c>
      <c r="V1873" s="53" t="str">
        <f t="shared" si="926"/>
        <v/>
      </c>
      <c r="W1873" s="52" t="str">
        <f t="shared" si="927"/>
        <v/>
      </c>
      <c r="X1873" s="52" t="str">
        <f>IFERROR(IF(AND(AR1874=AR1873,AM1873&lt;&gt;""),INDEX(#REF!,MATCH($O1873,#REF!,0))-IF(AN1873="",0,AN1873)+AP1874+AD1873+AL1873,IF(AR1874=AR1873,INDEX(#REF!,MATCH($O1873,#REF!,0))-IF(AN1873="",0,AN1873)+AP1874+AD1873,IF(AM1873&lt;&gt;"",INDEX(#REF!,MATCH($O1873,#REF!,0))-IF(AN1873="",0,AN1873)+AD1873+AL1873,INDEX(#REF!,MATCH($O1873,#REF!,0))-IF(AN1873="",0,AN1873)+AD1873))),"")</f>
        <v/>
      </c>
      <c r="Y1873" s="53" t="str">
        <f t="shared" si="928"/>
        <v/>
      </c>
      <c r="Z1873" s="52" t="str">
        <f>IF(L1873="","",INDEX(#REF!,MATCH($O1873,#REF!,0)))</f>
        <v/>
      </c>
      <c r="AA1873" s="52" t="str">
        <f t="shared" si="929"/>
        <v/>
      </c>
      <c r="AB1873" s="52" t="str">
        <f>IFERROR(INDEX(#REF!,MATCH($O1873,#REF!,0)),"")</f>
        <v/>
      </c>
      <c r="AC1873" s="52" t="str">
        <f>IFERROR(IF(O1873="","",SUMIFS('CPL Mats'!F:F,'CPL Mats'!Q:Q,AR1873,'CPL Mats'!S:S,AS1873)),"")</f>
        <v/>
      </c>
      <c r="AF1873" s="25" t="e">
        <f>IF(SUMIFS(#REF!,#REF!,"Releasable",#REF!,O1873)=0,"",SUMIFS(#REF!,#REF!,"Releasable",#REF!,O1873))</f>
        <v>#REF!</v>
      </c>
      <c r="AG1873" s="25" t="str">
        <f>IFERROR(INDEX(#REF!,MATCH(O1873,#REF!,0)),"")</f>
        <v/>
      </c>
      <c r="AH1873" s="25" t="str">
        <f>IFERROR(INDEX(#REF!,MATCH($O1873,#REF!,0)),"")</f>
        <v/>
      </c>
      <c r="AI1873" s="25" t="e">
        <f>IF(SUMIFS(#REF!,#REF!,"Expires this month",#REF!,O1873)=0,"",SUMIFS(#REF!,#REF!,"Expires this month",#REF!,O1873))</f>
        <v>#REF!</v>
      </c>
      <c r="AJ1873" s="25" t="e">
        <f>IF(SUMIFS(#REF!,#REF!,"Expired Previous Months",#REF!,O1873)=0,"",SUMIFS(#REF!,#REF!,"Expired Previous Months",#REF!,O1873))</f>
        <v>#REF!</v>
      </c>
      <c r="AK1873" s="25" t="str">
        <f>IFERROR(INDEX('Hun Release Current'!B:B,MATCH(O1873,'Hun Release Current'!A:A,0)),"")</f>
        <v/>
      </c>
      <c r="AL1873" s="25" t="str">
        <f>IF(SUMIF('Prev Aub'!A:A,O1873,'Prev Aub'!B:B)=0,"",SUMIF('Prev Aub'!A:A,O1873,'Prev Aub'!B:B))</f>
        <v/>
      </c>
      <c r="AN1873" s="25" t="s">
        <v>3790</v>
      </c>
      <c r="AO1873" s="25" t="s">
        <v>3790</v>
      </c>
      <c r="AP1873" s="25" t="str">
        <f t="shared" si="951"/>
        <v/>
      </c>
      <c r="AQ1873" s="151" t="e">
        <f>IF(SUMIFS(#REF!,#REF!,O1873,#REF!,"PENDING")=0,"",SUMIFS(#REF!,#REF!,O1873,#REF!,"PENDING"))</f>
        <v>#REF!</v>
      </c>
      <c r="AR1873" s="27" t="str">
        <f t="shared" si="930"/>
        <v/>
      </c>
      <c r="AS1873" s="27" t="str">
        <f t="shared" si="931"/>
        <v/>
      </c>
      <c r="AT1873" s="27" t="str">
        <f t="shared" si="932"/>
        <v/>
      </c>
      <c r="AU1873" s="27" t="str">
        <f t="shared" si="933"/>
        <v/>
      </c>
      <c r="AV1873" s="27" t="str">
        <f t="shared" si="934"/>
        <v/>
      </c>
      <c r="AW1873" s="27" t="e">
        <f t="shared" si="935"/>
        <v>#REF!</v>
      </c>
      <c r="AX1873" s="27" t="e">
        <f t="shared" si="936"/>
        <v>#REF!</v>
      </c>
      <c r="AY1873" s="27" t="str">
        <f t="shared" si="937"/>
        <v/>
      </c>
      <c r="AZ1873" s="27" t="str">
        <f t="shared" si="938"/>
        <v/>
      </c>
      <c r="BA1873" s="27" t="str">
        <f t="shared" si="939"/>
        <v/>
      </c>
      <c r="BB1873" s="27" t="str">
        <f t="shared" si="940"/>
        <v/>
      </c>
      <c r="BC1873" s="27" t="str">
        <f t="shared" si="941"/>
        <v/>
      </c>
      <c r="BD1873" s="27" t="str">
        <f t="shared" si="942"/>
        <v/>
      </c>
      <c r="BE1873" s="27" t="str">
        <f t="shared" si="943"/>
        <v/>
      </c>
      <c r="BF1873" s="27" t="str">
        <f t="shared" si="944"/>
        <v/>
      </c>
      <c r="BG1873" s="27" t="str">
        <f t="shared" si="945"/>
        <v/>
      </c>
      <c r="BH1873" s="27" t="str">
        <f t="shared" si="946"/>
        <v/>
      </c>
      <c r="BI1873" s="27" t="str">
        <f t="shared" si="947"/>
        <v/>
      </c>
      <c r="BJ1873" s="27" t="str">
        <f t="shared" si="948"/>
        <v/>
      </c>
      <c r="BK1873" s="27" t="str">
        <f t="shared" si="949"/>
        <v/>
      </c>
      <c r="BL1873" s="27" t="str">
        <f t="shared" si="950"/>
        <v/>
      </c>
      <c r="BM1873" s="21" t="s">
        <v>3790</v>
      </c>
    </row>
    <row r="1874" spans="1:65" ht="15">
      <c r="A1874" s="25" t="str">
        <f>IFERROR(INDEX(#REF!,MATCH(O1874,#REF!,0)),"")</f>
        <v/>
      </c>
      <c r="B1874" s="25" t="str">
        <f>IFERROR(INDEX(#REF!,MATCH(O1874,#REF!,0)),"")</f>
        <v/>
      </c>
      <c r="C1874" s="25" t="str">
        <f>IFERROR(INDEX(#REF!,MATCH(O1874,#REF!,0)),"")</f>
        <v/>
      </c>
      <c r="D1874" s="25" t="str">
        <f>IFERROR(INDEX(#REF!,MATCH(O1874,#REF!,0)),"")</f>
        <v/>
      </c>
      <c r="E1874" s="25" t="str">
        <f>IFERROR(INDEX(#REF!,MATCH(O1874,#REF!,0)),"")</f>
        <v/>
      </c>
      <c r="F1874" s="25" t="str">
        <f>IFERROR(INDEX(#REF!,MATCH(O1874,#REF!,0)),"")</f>
        <v/>
      </c>
      <c r="G1874" s="25" t="str">
        <f>IFERROR(INDEX(#REF!,MATCH(O1874,#REF!,0)),"")</f>
        <v/>
      </c>
      <c r="H1874" s="25" t="str">
        <f>IFERROR(INDEX(#REF!,MATCH(O1874,#REF!,0)),"")</f>
        <v/>
      </c>
      <c r="I1874" s="25" t="str">
        <f>IFERROR(INDEX(#REF!,MATCH(O1874,#REF!,0)),"")</f>
        <v/>
      </c>
      <c r="J1874" s="25" t="str">
        <f>IFERROR(INDEX(#REF!,MATCH(O1874,#REF!,0)),"")</f>
        <v/>
      </c>
      <c r="K1874" s="25" t="str">
        <f>IFERROR(INDEX(#REF!,MATCH(O1874,#REF!,0)),"")</f>
        <v/>
      </c>
      <c r="L1874" s="25" t="str">
        <f>IFERROR(INDEX(#REF!,MATCH(O1874,#REF!,0)),"")</f>
        <v/>
      </c>
      <c r="P1874" s="27" t="str">
        <f>IFERROR(INDEX(#REF!,MATCH($O1874,#REF!,0)),"")</f>
        <v/>
      </c>
      <c r="Q1874" s="27" t="str">
        <f>IFERROR(INDEX(#REF!,MATCH($O1874,#REF!,0)),"")</f>
        <v/>
      </c>
      <c r="R1874" s="52" t="str">
        <f>IFERROR(IF(AR1875=AR1874,INDEX(#REF!,MATCH($O1874,#REF!,0))-IF(AN1874="",0,AN1874)+AP1875,INDEX(#REF!,MATCH($O1874,#REF!,0))-IF(AN1874="",0,AN1874)),"")</f>
        <v/>
      </c>
      <c r="S1874" s="53" t="str">
        <f t="shared" si="924"/>
        <v/>
      </c>
      <c r="T1874" s="52" t="str">
        <f t="shared" si="925"/>
        <v/>
      </c>
      <c r="U1874" s="52" t="str">
        <f>IFERROR(IF(AR1875=AR1874,INDEX(#REF!,MATCH($O1874,#REF!,0))-IF(AN1874="",0,AN1874)+AP1875,INDEX(#REF!,MATCH($O1874,#REF!,0))-IF(AN1874="",0,AN1874)),"")</f>
        <v/>
      </c>
      <c r="V1874" s="53" t="str">
        <f t="shared" si="926"/>
        <v/>
      </c>
      <c r="W1874" s="52" t="str">
        <f t="shared" si="927"/>
        <v/>
      </c>
      <c r="X1874" s="52" t="str">
        <f>IFERROR(IF(AND(AR1875=AR1874,AM1874&lt;&gt;""),INDEX(#REF!,MATCH($O1874,#REF!,0))-IF(AN1874="",0,AN1874)+AP1875+AD1874+AL1874,IF(AR1875=AR1874,INDEX(#REF!,MATCH($O1874,#REF!,0))-IF(AN1874="",0,AN1874)+AP1875+AD1874,IF(AM1874&lt;&gt;"",INDEX(#REF!,MATCH($O1874,#REF!,0))-IF(AN1874="",0,AN1874)+AD1874+AL1874,INDEX(#REF!,MATCH($O1874,#REF!,0))-IF(AN1874="",0,AN1874)+AD1874))),"")</f>
        <v/>
      </c>
      <c r="Y1874" s="53" t="str">
        <f t="shared" si="928"/>
        <v/>
      </c>
      <c r="Z1874" s="52" t="str">
        <f>IF(L1874="","",INDEX(#REF!,MATCH($O1874,#REF!,0)))</f>
        <v/>
      </c>
      <c r="AA1874" s="52" t="str">
        <f t="shared" si="929"/>
        <v/>
      </c>
      <c r="AB1874" s="52" t="str">
        <f>IFERROR(INDEX(#REF!,MATCH($O1874,#REF!,0)),"")</f>
        <v/>
      </c>
      <c r="AC1874" s="52" t="str">
        <f>IFERROR(IF(O1874="","",SUMIFS('CPL Mats'!F:F,'CPL Mats'!Q:Q,AR1874,'CPL Mats'!S:S,AS1874)),"")</f>
        <v/>
      </c>
      <c r="AF1874" s="25" t="e">
        <f>IF(SUMIFS(#REF!,#REF!,"Releasable",#REF!,O1874)=0,"",SUMIFS(#REF!,#REF!,"Releasable",#REF!,O1874))</f>
        <v>#REF!</v>
      </c>
      <c r="AG1874" s="25" t="str">
        <f>IFERROR(INDEX(#REF!,MATCH(O1874,#REF!,0)),"")</f>
        <v/>
      </c>
      <c r="AH1874" s="25" t="str">
        <f>IFERROR(INDEX(#REF!,MATCH($O1874,#REF!,0)),"")</f>
        <v/>
      </c>
      <c r="AI1874" s="25" t="e">
        <f>IF(SUMIFS(#REF!,#REF!,"Expires this month",#REF!,O1874)=0,"",SUMIFS(#REF!,#REF!,"Expires this month",#REF!,O1874))</f>
        <v>#REF!</v>
      </c>
      <c r="AJ1874" s="25" t="e">
        <f>IF(SUMIFS(#REF!,#REF!,"Expired Previous Months",#REF!,O1874)=0,"",SUMIFS(#REF!,#REF!,"Expired Previous Months",#REF!,O1874))</f>
        <v>#REF!</v>
      </c>
      <c r="AK1874" s="25" t="str">
        <f>IFERROR(INDEX('Hun Release Current'!B:B,MATCH(O1874,'Hun Release Current'!A:A,0)),"")</f>
        <v/>
      </c>
      <c r="AL1874" s="25" t="str">
        <f>IF(SUMIF('Prev Aub'!A:A,O1874,'Prev Aub'!B:B)=0,"",SUMIF('Prev Aub'!A:A,O1874,'Prev Aub'!B:B))</f>
        <v/>
      </c>
      <c r="AN1874" s="25" t="s">
        <v>3790</v>
      </c>
      <c r="AO1874" s="25" t="s">
        <v>3790</v>
      </c>
      <c r="AP1874" s="25" t="str">
        <f t="shared" si="951"/>
        <v/>
      </c>
      <c r="AQ1874" s="151" t="e">
        <f>IF(SUMIFS(#REF!,#REF!,O1874,#REF!,"PENDING")=0,"",SUMIFS(#REF!,#REF!,O1874,#REF!,"PENDING"))</f>
        <v>#REF!</v>
      </c>
      <c r="AR1874" s="27" t="str">
        <f t="shared" si="930"/>
        <v/>
      </c>
      <c r="AS1874" s="27" t="str">
        <f t="shared" si="931"/>
        <v/>
      </c>
      <c r="AT1874" s="27" t="str">
        <f t="shared" si="932"/>
        <v/>
      </c>
      <c r="AU1874" s="27" t="str">
        <f t="shared" si="933"/>
        <v/>
      </c>
      <c r="AV1874" s="27" t="str">
        <f t="shared" si="934"/>
        <v/>
      </c>
      <c r="AW1874" s="27" t="e">
        <f t="shared" si="935"/>
        <v>#REF!</v>
      </c>
      <c r="AX1874" s="27" t="e">
        <f t="shared" si="936"/>
        <v>#REF!</v>
      </c>
      <c r="AY1874" s="27" t="str">
        <f t="shared" si="937"/>
        <v/>
      </c>
      <c r="AZ1874" s="27" t="str">
        <f t="shared" si="938"/>
        <v/>
      </c>
      <c r="BA1874" s="27" t="str">
        <f t="shared" si="939"/>
        <v/>
      </c>
      <c r="BB1874" s="27" t="str">
        <f t="shared" si="940"/>
        <v/>
      </c>
      <c r="BC1874" s="27" t="str">
        <f t="shared" si="941"/>
        <v/>
      </c>
      <c r="BD1874" s="27" t="str">
        <f t="shared" si="942"/>
        <v/>
      </c>
      <c r="BE1874" s="27" t="str">
        <f t="shared" si="943"/>
        <v/>
      </c>
      <c r="BF1874" s="27" t="str">
        <f t="shared" si="944"/>
        <v/>
      </c>
      <c r="BG1874" s="27" t="str">
        <f t="shared" si="945"/>
        <v/>
      </c>
      <c r="BH1874" s="27" t="str">
        <f t="shared" si="946"/>
        <v/>
      </c>
      <c r="BI1874" s="27" t="str">
        <f t="shared" si="947"/>
        <v/>
      </c>
      <c r="BJ1874" s="27" t="str">
        <f t="shared" si="948"/>
        <v/>
      </c>
      <c r="BK1874" s="27" t="str">
        <f t="shared" si="949"/>
        <v/>
      </c>
      <c r="BL1874" s="27" t="str">
        <f t="shared" si="950"/>
        <v/>
      </c>
      <c r="BM1874" s="21" t="s">
        <v>3790</v>
      </c>
    </row>
    <row r="1875" spans="1:65" ht="15">
      <c r="A1875" s="25" t="str">
        <f>IFERROR(INDEX(#REF!,MATCH(O1875,#REF!,0)),"")</f>
        <v/>
      </c>
      <c r="B1875" s="25" t="str">
        <f>IFERROR(INDEX(#REF!,MATCH(O1875,#REF!,0)),"")</f>
        <v/>
      </c>
      <c r="C1875" s="25" t="str">
        <f>IFERROR(INDEX(#REF!,MATCH(O1875,#REF!,0)),"")</f>
        <v/>
      </c>
      <c r="D1875" s="25" t="str">
        <f>IFERROR(INDEX(#REF!,MATCH(O1875,#REF!,0)),"")</f>
        <v/>
      </c>
      <c r="E1875" s="25" t="str">
        <f>IFERROR(INDEX(#REF!,MATCH(O1875,#REF!,0)),"")</f>
        <v/>
      </c>
      <c r="F1875" s="25" t="str">
        <f>IFERROR(INDEX(#REF!,MATCH(O1875,#REF!,0)),"")</f>
        <v/>
      </c>
      <c r="G1875" s="25" t="str">
        <f>IFERROR(INDEX(#REF!,MATCH(O1875,#REF!,0)),"")</f>
        <v/>
      </c>
      <c r="H1875" s="25" t="str">
        <f>IFERROR(INDEX(#REF!,MATCH(O1875,#REF!,0)),"")</f>
        <v/>
      </c>
      <c r="I1875" s="25" t="str">
        <f>IFERROR(INDEX(#REF!,MATCH(O1875,#REF!,0)),"")</f>
        <v/>
      </c>
      <c r="J1875" s="25" t="str">
        <f>IFERROR(INDEX(#REF!,MATCH(O1875,#REF!,0)),"")</f>
        <v/>
      </c>
      <c r="K1875" s="25" t="str">
        <f>IFERROR(INDEX(#REF!,MATCH(O1875,#REF!,0)),"")</f>
        <v/>
      </c>
      <c r="L1875" s="25" t="str">
        <f>IFERROR(INDEX(#REF!,MATCH(O1875,#REF!,0)),"")</f>
        <v/>
      </c>
      <c r="P1875" s="27" t="str">
        <f>IFERROR(INDEX(#REF!,MATCH($O1875,#REF!,0)),"")</f>
        <v/>
      </c>
      <c r="Q1875" s="27" t="str">
        <f>IFERROR(INDEX(#REF!,MATCH($O1875,#REF!,0)),"")</f>
        <v/>
      </c>
      <c r="R1875" s="52" t="str">
        <f>IFERROR(IF(AR1876=AR1875,INDEX(#REF!,MATCH($O1875,#REF!,0))-IF(AN1875="",0,AN1875)+AP1876,INDEX(#REF!,MATCH($O1875,#REF!,0))-IF(AN1875="",0,AN1875)),"")</f>
        <v/>
      </c>
      <c r="S1875" s="53" t="str">
        <f t="shared" si="924"/>
        <v/>
      </c>
      <c r="T1875" s="52" t="str">
        <f t="shared" si="925"/>
        <v/>
      </c>
      <c r="U1875" s="52" t="str">
        <f>IFERROR(IF(AR1876=AR1875,INDEX(#REF!,MATCH($O1875,#REF!,0))-IF(AN1875="",0,AN1875)+AP1876,INDEX(#REF!,MATCH($O1875,#REF!,0))-IF(AN1875="",0,AN1875)),"")</f>
        <v/>
      </c>
      <c r="V1875" s="53" t="str">
        <f t="shared" si="926"/>
        <v/>
      </c>
      <c r="W1875" s="52" t="str">
        <f t="shared" si="927"/>
        <v/>
      </c>
      <c r="X1875" s="52" t="str">
        <f>IFERROR(IF(AND(AR1876=AR1875,AM1875&lt;&gt;""),INDEX(#REF!,MATCH($O1875,#REF!,0))-IF(AN1875="",0,AN1875)+AP1876+AD1875+AL1875,IF(AR1876=AR1875,INDEX(#REF!,MATCH($O1875,#REF!,0))-IF(AN1875="",0,AN1875)+AP1876+AD1875,IF(AM1875&lt;&gt;"",INDEX(#REF!,MATCH($O1875,#REF!,0))-IF(AN1875="",0,AN1875)+AD1875+AL1875,INDEX(#REF!,MATCH($O1875,#REF!,0))-IF(AN1875="",0,AN1875)+AD1875))),"")</f>
        <v/>
      </c>
      <c r="Y1875" s="53" t="str">
        <f t="shared" si="928"/>
        <v/>
      </c>
      <c r="Z1875" s="52" t="str">
        <f>IF(L1875="","",INDEX(#REF!,MATCH($O1875,#REF!,0)))</f>
        <v/>
      </c>
      <c r="AA1875" s="52" t="str">
        <f t="shared" si="929"/>
        <v/>
      </c>
      <c r="AB1875" s="52" t="str">
        <f>IFERROR(INDEX(#REF!,MATCH($O1875,#REF!,0)),"")</f>
        <v/>
      </c>
      <c r="AC1875" s="52" t="str">
        <f>IFERROR(IF(O1875="","",SUMIFS('CPL Mats'!F:F,'CPL Mats'!Q:Q,AR1875,'CPL Mats'!S:S,AS1875)),"")</f>
        <v/>
      </c>
      <c r="AF1875" s="25" t="e">
        <f>IF(SUMIFS(#REF!,#REF!,"Releasable",#REF!,O1875)=0,"",SUMIFS(#REF!,#REF!,"Releasable",#REF!,O1875))</f>
        <v>#REF!</v>
      </c>
      <c r="AG1875" s="25" t="str">
        <f>IFERROR(INDEX(#REF!,MATCH(O1875,#REF!,0)),"")</f>
        <v/>
      </c>
      <c r="AH1875" s="25" t="str">
        <f>IFERROR(INDEX(#REF!,MATCH($O1875,#REF!,0)),"")</f>
        <v/>
      </c>
      <c r="AI1875" s="25" t="e">
        <f>IF(SUMIFS(#REF!,#REF!,"Expires this month",#REF!,O1875)=0,"",SUMIFS(#REF!,#REF!,"Expires this month",#REF!,O1875))</f>
        <v>#REF!</v>
      </c>
      <c r="AJ1875" s="25" t="e">
        <f>IF(SUMIFS(#REF!,#REF!,"Expired Previous Months",#REF!,O1875)=0,"",SUMIFS(#REF!,#REF!,"Expired Previous Months",#REF!,O1875))</f>
        <v>#REF!</v>
      </c>
      <c r="AK1875" s="25" t="str">
        <f>IFERROR(INDEX('Hun Release Current'!B:B,MATCH(O1875,'Hun Release Current'!A:A,0)),"")</f>
        <v/>
      </c>
      <c r="AL1875" s="25" t="str">
        <f>IF(SUMIF('Prev Aub'!A:A,O1875,'Prev Aub'!B:B)=0,"",SUMIF('Prev Aub'!A:A,O1875,'Prev Aub'!B:B))</f>
        <v/>
      </c>
      <c r="AN1875" s="25" t="s">
        <v>3790</v>
      </c>
      <c r="AO1875" s="25" t="s">
        <v>3790</v>
      </c>
      <c r="AP1875" s="25" t="str">
        <f t="shared" si="951"/>
        <v/>
      </c>
      <c r="AQ1875" s="151" t="e">
        <f>IF(SUMIFS(#REF!,#REF!,O1875,#REF!,"PENDING")=0,"",SUMIFS(#REF!,#REF!,O1875,#REF!,"PENDING"))</f>
        <v>#REF!</v>
      </c>
      <c r="AR1875" s="27" t="str">
        <f t="shared" si="930"/>
        <v/>
      </c>
      <c r="AS1875" s="27" t="str">
        <f t="shared" si="931"/>
        <v/>
      </c>
      <c r="AT1875" s="27" t="str">
        <f t="shared" si="932"/>
        <v/>
      </c>
      <c r="AU1875" s="27" t="str">
        <f t="shared" si="933"/>
        <v/>
      </c>
      <c r="AV1875" s="27" t="str">
        <f t="shared" si="934"/>
        <v/>
      </c>
      <c r="AW1875" s="27" t="e">
        <f t="shared" si="935"/>
        <v>#REF!</v>
      </c>
      <c r="AX1875" s="27" t="e">
        <f t="shared" si="936"/>
        <v>#REF!</v>
      </c>
      <c r="AY1875" s="27" t="str">
        <f t="shared" si="937"/>
        <v/>
      </c>
      <c r="AZ1875" s="27" t="str">
        <f t="shared" si="938"/>
        <v/>
      </c>
      <c r="BA1875" s="27" t="str">
        <f t="shared" si="939"/>
        <v/>
      </c>
      <c r="BB1875" s="27" t="str">
        <f t="shared" si="940"/>
        <v/>
      </c>
      <c r="BC1875" s="27" t="str">
        <f t="shared" si="941"/>
        <v/>
      </c>
      <c r="BD1875" s="27" t="str">
        <f t="shared" si="942"/>
        <v/>
      </c>
      <c r="BE1875" s="27" t="str">
        <f t="shared" si="943"/>
        <v/>
      </c>
      <c r="BF1875" s="27" t="str">
        <f t="shared" si="944"/>
        <v/>
      </c>
      <c r="BG1875" s="27" t="str">
        <f t="shared" si="945"/>
        <v/>
      </c>
      <c r="BH1875" s="27" t="str">
        <f t="shared" si="946"/>
        <v/>
      </c>
      <c r="BI1875" s="27" t="str">
        <f t="shared" si="947"/>
        <v/>
      </c>
      <c r="BJ1875" s="27" t="str">
        <f t="shared" si="948"/>
        <v/>
      </c>
      <c r="BK1875" s="27" t="str">
        <f t="shared" si="949"/>
        <v/>
      </c>
      <c r="BL1875" s="27" t="str">
        <f t="shared" si="950"/>
        <v/>
      </c>
      <c r="BM1875" s="21" t="s">
        <v>3790</v>
      </c>
    </row>
    <row r="1876" spans="1:65" ht="15">
      <c r="A1876" s="25" t="str">
        <f>IFERROR(INDEX(#REF!,MATCH(O1876,#REF!,0)),"")</f>
        <v/>
      </c>
      <c r="B1876" s="25" t="str">
        <f>IFERROR(INDEX(#REF!,MATCH(O1876,#REF!,0)),"")</f>
        <v/>
      </c>
      <c r="C1876" s="25" t="str">
        <f>IFERROR(INDEX(#REF!,MATCH(O1876,#REF!,0)),"")</f>
        <v/>
      </c>
      <c r="D1876" s="25" t="str">
        <f>IFERROR(INDEX(#REF!,MATCH(O1876,#REF!,0)),"")</f>
        <v/>
      </c>
      <c r="E1876" s="25" t="str">
        <f>IFERROR(INDEX(#REF!,MATCH(O1876,#REF!,0)),"")</f>
        <v/>
      </c>
      <c r="F1876" s="25" t="str">
        <f>IFERROR(INDEX(#REF!,MATCH(O1876,#REF!,0)),"")</f>
        <v/>
      </c>
      <c r="G1876" s="25" t="str">
        <f>IFERROR(INDEX(#REF!,MATCH(O1876,#REF!,0)),"")</f>
        <v/>
      </c>
      <c r="H1876" s="25" t="str">
        <f>IFERROR(INDEX(#REF!,MATCH(O1876,#REF!,0)),"")</f>
        <v/>
      </c>
      <c r="I1876" s="25" t="str">
        <f>IFERROR(INDEX(#REF!,MATCH(O1876,#REF!,0)),"")</f>
        <v/>
      </c>
      <c r="J1876" s="25" t="str">
        <f>IFERROR(INDEX(#REF!,MATCH(O1876,#REF!,0)),"")</f>
        <v/>
      </c>
      <c r="K1876" s="25" t="str">
        <f>IFERROR(INDEX(#REF!,MATCH(O1876,#REF!,0)),"")</f>
        <v/>
      </c>
      <c r="L1876" s="25" t="str">
        <f>IFERROR(INDEX(#REF!,MATCH(O1876,#REF!,0)),"")</f>
        <v/>
      </c>
      <c r="P1876" s="27" t="str">
        <f>IFERROR(INDEX(#REF!,MATCH($O1876,#REF!,0)),"")</f>
        <v/>
      </c>
      <c r="Q1876" s="27" t="str">
        <f>IFERROR(INDEX(#REF!,MATCH($O1876,#REF!,0)),"")</f>
        <v/>
      </c>
      <c r="R1876" s="52" t="str">
        <f>IFERROR(IF(AR1877=AR1876,INDEX(#REF!,MATCH($O1876,#REF!,0))-IF(AN1876="",0,AN1876)+AP1877,INDEX(#REF!,MATCH($O1876,#REF!,0))-IF(AN1876="",0,AN1876)),"")</f>
        <v/>
      </c>
      <c r="S1876" s="53" t="str">
        <f t="shared" si="924"/>
        <v/>
      </c>
      <c r="T1876" s="52" t="str">
        <f t="shared" si="925"/>
        <v/>
      </c>
      <c r="U1876" s="52" t="str">
        <f>IFERROR(IF(AR1877=AR1876,INDEX(#REF!,MATCH($O1876,#REF!,0))-IF(AN1876="",0,AN1876)+AP1877,INDEX(#REF!,MATCH($O1876,#REF!,0))-IF(AN1876="",0,AN1876)),"")</f>
        <v/>
      </c>
      <c r="V1876" s="53" t="str">
        <f t="shared" si="926"/>
        <v/>
      </c>
      <c r="W1876" s="52" t="str">
        <f t="shared" si="927"/>
        <v/>
      </c>
      <c r="X1876" s="52" t="str">
        <f>IFERROR(IF(AND(AR1877=AR1876,AM1876&lt;&gt;""),INDEX(#REF!,MATCH($O1876,#REF!,0))-IF(AN1876="",0,AN1876)+AP1877+AD1876+AL1876,IF(AR1877=AR1876,INDEX(#REF!,MATCH($O1876,#REF!,0))-IF(AN1876="",0,AN1876)+AP1877+AD1876,IF(AM1876&lt;&gt;"",INDEX(#REF!,MATCH($O1876,#REF!,0))-IF(AN1876="",0,AN1876)+AD1876+AL1876,INDEX(#REF!,MATCH($O1876,#REF!,0))-IF(AN1876="",0,AN1876)+AD1876))),"")</f>
        <v/>
      </c>
      <c r="Y1876" s="53" t="str">
        <f t="shared" si="928"/>
        <v/>
      </c>
      <c r="Z1876" s="52" t="str">
        <f>IF(L1876="","",INDEX(#REF!,MATCH($O1876,#REF!,0)))</f>
        <v/>
      </c>
      <c r="AA1876" s="52" t="str">
        <f t="shared" si="929"/>
        <v/>
      </c>
      <c r="AB1876" s="52" t="str">
        <f>IFERROR(INDEX(#REF!,MATCH($O1876,#REF!,0)),"")</f>
        <v/>
      </c>
      <c r="AC1876" s="52" t="str">
        <f>IFERROR(IF(O1876="","",SUMIFS('CPL Mats'!F:F,'CPL Mats'!Q:Q,AR1876,'CPL Mats'!S:S,AS1876)),"")</f>
        <v/>
      </c>
      <c r="AF1876" s="25" t="e">
        <f>IF(SUMIFS(#REF!,#REF!,"Releasable",#REF!,O1876)=0,"",SUMIFS(#REF!,#REF!,"Releasable",#REF!,O1876))</f>
        <v>#REF!</v>
      </c>
      <c r="AG1876" s="25" t="str">
        <f>IFERROR(INDEX(#REF!,MATCH(O1876,#REF!,0)),"")</f>
        <v/>
      </c>
      <c r="AH1876" s="25" t="str">
        <f>IFERROR(INDEX(#REF!,MATCH($O1876,#REF!,0)),"")</f>
        <v/>
      </c>
      <c r="AI1876" s="25" t="e">
        <f>IF(SUMIFS(#REF!,#REF!,"Expires this month",#REF!,O1876)=0,"",SUMIFS(#REF!,#REF!,"Expires this month",#REF!,O1876))</f>
        <v>#REF!</v>
      </c>
      <c r="AJ1876" s="25" t="e">
        <f>IF(SUMIFS(#REF!,#REF!,"Expired Previous Months",#REF!,O1876)=0,"",SUMIFS(#REF!,#REF!,"Expired Previous Months",#REF!,O1876))</f>
        <v>#REF!</v>
      </c>
      <c r="AK1876" s="25" t="str">
        <f>IFERROR(INDEX('Hun Release Current'!B:B,MATCH(O1876,'Hun Release Current'!A:A,0)),"")</f>
        <v/>
      </c>
      <c r="AL1876" s="25" t="str">
        <f>IF(SUMIF('Prev Aub'!A:A,O1876,'Prev Aub'!B:B)=0,"",SUMIF('Prev Aub'!A:A,O1876,'Prev Aub'!B:B))</f>
        <v/>
      </c>
      <c r="AN1876" s="25" t="s">
        <v>3790</v>
      </c>
      <c r="AO1876" s="25" t="s">
        <v>3790</v>
      </c>
      <c r="AP1876" s="25" t="str">
        <f t="shared" si="951"/>
        <v/>
      </c>
      <c r="AQ1876" s="151" t="e">
        <f>IF(SUMIFS(#REF!,#REF!,O1876,#REF!,"PENDING")=0,"",SUMIFS(#REF!,#REF!,O1876,#REF!,"PENDING"))</f>
        <v>#REF!</v>
      </c>
      <c r="AR1876" s="27" t="str">
        <f t="shared" si="930"/>
        <v/>
      </c>
      <c r="AS1876" s="27" t="str">
        <f t="shared" si="931"/>
        <v/>
      </c>
      <c r="AT1876" s="27" t="str">
        <f t="shared" si="932"/>
        <v/>
      </c>
      <c r="AU1876" s="27" t="str">
        <f t="shared" si="933"/>
        <v/>
      </c>
      <c r="AV1876" s="27" t="str">
        <f t="shared" si="934"/>
        <v/>
      </c>
      <c r="AW1876" s="27" t="e">
        <f t="shared" si="935"/>
        <v>#REF!</v>
      </c>
      <c r="AX1876" s="27" t="e">
        <f t="shared" si="936"/>
        <v>#REF!</v>
      </c>
      <c r="AY1876" s="27" t="str">
        <f t="shared" si="937"/>
        <v/>
      </c>
      <c r="AZ1876" s="27" t="str">
        <f t="shared" si="938"/>
        <v/>
      </c>
      <c r="BA1876" s="27" t="str">
        <f t="shared" si="939"/>
        <v/>
      </c>
      <c r="BB1876" s="27" t="str">
        <f t="shared" si="940"/>
        <v/>
      </c>
      <c r="BC1876" s="27" t="str">
        <f t="shared" si="941"/>
        <v/>
      </c>
      <c r="BD1876" s="27" t="str">
        <f t="shared" si="942"/>
        <v/>
      </c>
      <c r="BE1876" s="27" t="str">
        <f t="shared" si="943"/>
        <v/>
      </c>
      <c r="BF1876" s="27" t="str">
        <f t="shared" si="944"/>
        <v/>
      </c>
      <c r="BG1876" s="27" t="str">
        <f t="shared" si="945"/>
        <v/>
      </c>
      <c r="BH1876" s="27" t="str">
        <f t="shared" si="946"/>
        <v/>
      </c>
      <c r="BI1876" s="27" t="str">
        <f t="shared" si="947"/>
        <v/>
      </c>
      <c r="BJ1876" s="27" t="str">
        <f t="shared" si="948"/>
        <v/>
      </c>
      <c r="BK1876" s="27" t="str">
        <f t="shared" si="949"/>
        <v/>
      </c>
      <c r="BL1876" s="27" t="str">
        <f t="shared" si="950"/>
        <v/>
      </c>
      <c r="BM1876" s="21" t="s">
        <v>3790</v>
      </c>
    </row>
    <row r="1877" spans="1:65" ht="15">
      <c r="A1877" s="25" t="str">
        <f>IFERROR(INDEX(#REF!,MATCH(O1877,#REF!,0)),"")</f>
        <v/>
      </c>
      <c r="B1877" s="25" t="str">
        <f>IFERROR(INDEX(#REF!,MATCH(O1877,#REF!,0)),"")</f>
        <v/>
      </c>
      <c r="C1877" s="25" t="str">
        <f>IFERROR(INDEX(#REF!,MATCH(O1877,#REF!,0)),"")</f>
        <v/>
      </c>
      <c r="D1877" s="25" t="str">
        <f>IFERROR(INDEX(#REF!,MATCH(O1877,#REF!,0)),"")</f>
        <v/>
      </c>
      <c r="E1877" s="25" t="str">
        <f>IFERROR(INDEX(#REF!,MATCH(O1877,#REF!,0)),"")</f>
        <v/>
      </c>
      <c r="F1877" s="25" t="str">
        <f>IFERROR(INDEX(#REF!,MATCH(O1877,#REF!,0)),"")</f>
        <v/>
      </c>
      <c r="G1877" s="25" t="str">
        <f>IFERROR(INDEX(#REF!,MATCH(O1877,#REF!,0)),"")</f>
        <v/>
      </c>
      <c r="H1877" s="25" t="str">
        <f>IFERROR(INDEX(#REF!,MATCH(O1877,#REF!,0)),"")</f>
        <v/>
      </c>
      <c r="I1877" s="25" t="str">
        <f>IFERROR(INDEX(#REF!,MATCH(O1877,#REF!,0)),"")</f>
        <v/>
      </c>
      <c r="J1877" s="25" t="str">
        <f>IFERROR(INDEX(#REF!,MATCH(O1877,#REF!,0)),"")</f>
        <v/>
      </c>
      <c r="K1877" s="25" t="str">
        <f>IFERROR(INDEX(#REF!,MATCH(O1877,#REF!,0)),"")</f>
        <v/>
      </c>
      <c r="L1877" s="25" t="str">
        <f>IFERROR(INDEX(#REF!,MATCH(O1877,#REF!,0)),"")</f>
        <v/>
      </c>
      <c r="P1877" s="27" t="str">
        <f>IFERROR(INDEX(#REF!,MATCH($O1877,#REF!,0)),"")</f>
        <v/>
      </c>
      <c r="Q1877" s="27" t="str">
        <f>IFERROR(INDEX(#REF!,MATCH($O1877,#REF!,0)),"")</f>
        <v/>
      </c>
      <c r="R1877" s="52" t="str">
        <f>IFERROR(IF(AR1878=AR1877,INDEX(#REF!,MATCH($O1877,#REF!,0))-IF(AN1877="",0,AN1877)+AP1878,INDEX(#REF!,MATCH($O1877,#REF!,0))-IF(AN1877="",0,AN1877)),"")</f>
        <v/>
      </c>
      <c r="S1877" s="53" t="str">
        <f t="shared" si="924"/>
        <v/>
      </c>
      <c r="T1877" s="52" t="str">
        <f t="shared" si="925"/>
        <v/>
      </c>
      <c r="U1877" s="52" t="str">
        <f>IFERROR(IF(AR1878=AR1877,INDEX(#REF!,MATCH($O1877,#REF!,0))-IF(AN1877="",0,AN1877)+AP1878,INDEX(#REF!,MATCH($O1877,#REF!,0))-IF(AN1877="",0,AN1877)),"")</f>
        <v/>
      </c>
      <c r="V1877" s="53" t="str">
        <f t="shared" si="926"/>
        <v/>
      </c>
      <c r="W1877" s="52" t="str">
        <f t="shared" si="927"/>
        <v/>
      </c>
      <c r="X1877" s="52" t="str">
        <f>IFERROR(IF(AND(AR1878=AR1877,AM1877&lt;&gt;""),INDEX(#REF!,MATCH($O1877,#REF!,0))-IF(AN1877="",0,AN1877)+AP1878+AD1877+AL1877,IF(AR1878=AR1877,INDEX(#REF!,MATCH($O1877,#REF!,0))-IF(AN1877="",0,AN1877)+AP1878+AD1877,IF(AM1877&lt;&gt;"",INDEX(#REF!,MATCH($O1877,#REF!,0))-IF(AN1877="",0,AN1877)+AD1877+AL1877,INDEX(#REF!,MATCH($O1877,#REF!,0))-IF(AN1877="",0,AN1877)+AD1877))),"")</f>
        <v/>
      </c>
      <c r="Y1877" s="53" t="str">
        <f t="shared" si="928"/>
        <v/>
      </c>
      <c r="Z1877" s="52" t="str">
        <f>IF(L1877="","",INDEX(#REF!,MATCH($O1877,#REF!,0)))</f>
        <v/>
      </c>
      <c r="AA1877" s="52" t="str">
        <f t="shared" si="929"/>
        <v/>
      </c>
      <c r="AB1877" s="52" t="str">
        <f>IFERROR(INDEX(#REF!,MATCH($O1877,#REF!,0)),"")</f>
        <v/>
      </c>
      <c r="AC1877" s="52" t="str">
        <f>IFERROR(IF(O1877="","",SUMIFS('CPL Mats'!F:F,'CPL Mats'!Q:Q,AR1877,'CPL Mats'!S:S,AS1877)),"")</f>
        <v/>
      </c>
      <c r="AF1877" s="25" t="e">
        <f>IF(SUMIFS(#REF!,#REF!,"Releasable",#REF!,O1877)=0,"",SUMIFS(#REF!,#REF!,"Releasable",#REF!,O1877))</f>
        <v>#REF!</v>
      </c>
      <c r="AG1877" s="25" t="str">
        <f>IFERROR(INDEX(#REF!,MATCH(O1877,#REF!,0)),"")</f>
        <v/>
      </c>
      <c r="AH1877" s="25" t="str">
        <f>IFERROR(INDEX(#REF!,MATCH($O1877,#REF!,0)),"")</f>
        <v/>
      </c>
      <c r="AI1877" s="25" t="e">
        <f>IF(SUMIFS(#REF!,#REF!,"Expires this month",#REF!,O1877)=0,"",SUMIFS(#REF!,#REF!,"Expires this month",#REF!,O1877))</f>
        <v>#REF!</v>
      </c>
      <c r="AJ1877" s="25" t="e">
        <f>IF(SUMIFS(#REF!,#REF!,"Expired Previous Months",#REF!,O1877)=0,"",SUMIFS(#REF!,#REF!,"Expired Previous Months",#REF!,O1877))</f>
        <v>#REF!</v>
      </c>
      <c r="AK1877" s="25" t="str">
        <f>IFERROR(INDEX('Hun Release Current'!B:B,MATCH(O1877,'Hun Release Current'!A:A,0)),"")</f>
        <v/>
      </c>
      <c r="AL1877" s="25" t="str">
        <f>IF(SUMIF('Prev Aub'!A:A,O1877,'Prev Aub'!B:B)=0,"",SUMIF('Prev Aub'!A:A,O1877,'Prev Aub'!B:B))</f>
        <v/>
      </c>
      <c r="AN1877" s="25" t="s">
        <v>3790</v>
      </c>
      <c r="AO1877" s="25" t="s">
        <v>3790</v>
      </c>
      <c r="AP1877" s="25" t="str">
        <f t="shared" si="951"/>
        <v/>
      </c>
      <c r="AQ1877" s="151" t="e">
        <f>IF(SUMIFS(#REF!,#REF!,O1877,#REF!,"PENDING")=0,"",SUMIFS(#REF!,#REF!,O1877,#REF!,"PENDING"))</f>
        <v>#REF!</v>
      </c>
      <c r="AR1877" s="27" t="str">
        <f t="shared" si="930"/>
        <v/>
      </c>
      <c r="AS1877" s="27" t="str">
        <f t="shared" si="931"/>
        <v/>
      </c>
      <c r="AT1877" s="27" t="str">
        <f t="shared" si="932"/>
        <v/>
      </c>
      <c r="AU1877" s="27" t="str">
        <f t="shared" si="933"/>
        <v/>
      </c>
      <c r="AV1877" s="27" t="str">
        <f t="shared" si="934"/>
        <v/>
      </c>
      <c r="AW1877" s="27" t="e">
        <f t="shared" si="935"/>
        <v>#REF!</v>
      </c>
      <c r="AX1877" s="27" t="e">
        <f t="shared" si="936"/>
        <v>#REF!</v>
      </c>
      <c r="AY1877" s="27" t="str">
        <f t="shared" si="937"/>
        <v/>
      </c>
      <c r="AZ1877" s="27" t="str">
        <f t="shared" si="938"/>
        <v/>
      </c>
      <c r="BA1877" s="27" t="str">
        <f t="shared" si="939"/>
        <v/>
      </c>
      <c r="BB1877" s="27" t="str">
        <f t="shared" si="940"/>
        <v/>
      </c>
      <c r="BC1877" s="27" t="str">
        <f t="shared" si="941"/>
        <v/>
      </c>
      <c r="BD1877" s="27" t="str">
        <f t="shared" si="942"/>
        <v/>
      </c>
      <c r="BE1877" s="27" t="str">
        <f t="shared" si="943"/>
        <v/>
      </c>
      <c r="BF1877" s="27" t="str">
        <f t="shared" si="944"/>
        <v/>
      </c>
      <c r="BG1877" s="27" t="str">
        <f t="shared" si="945"/>
        <v/>
      </c>
      <c r="BH1877" s="27" t="str">
        <f t="shared" si="946"/>
        <v/>
      </c>
      <c r="BI1877" s="27" t="str">
        <f t="shared" si="947"/>
        <v/>
      </c>
      <c r="BJ1877" s="27" t="str">
        <f t="shared" si="948"/>
        <v/>
      </c>
      <c r="BK1877" s="27" t="str">
        <f t="shared" si="949"/>
        <v/>
      </c>
      <c r="BL1877" s="27" t="str">
        <f t="shared" si="950"/>
        <v/>
      </c>
      <c r="BM1877" s="21" t="s">
        <v>3790</v>
      </c>
    </row>
    <row r="1878" spans="1:65" ht="15">
      <c r="A1878" s="25" t="str">
        <f>IFERROR(INDEX(#REF!,MATCH(O1878,#REF!,0)),"")</f>
        <v/>
      </c>
      <c r="B1878" s="25" t="str">
        <f>IFERROR(INDEX(#REF!,MATCH(O1878,#REF!,0)),"")</f>
        <v/>
      </c>
      <c r="C1878" s="25" t="str">
        <f>IFERROR(INDEX(#REF!,MATCH(O1878,#REF!,0)),"")</f>
        <v/>
      </c>
      <c r="D1878" s="25" t="str">
        <f>IFERROR(INDEX(#REF!,MATCH(O1878,#REF!,0)),"")</f>
        <v/>
      </c>
      <c r="E1878" s="25" t="str">
        <f>IFERROR(INDEX(#REF!,MATCH(O1878,#REF!,0)),"")</f>
        <v/>
      </c>
      <c r="F1878" s="25" t="str">
        <f>IFERROR(INDEX(#REF!,MATCH(O1878,#REF!,0)),"")</f>
        <v/>
      </c>
      <c r="G1878" s="25" t="str">
        <f>IFERROR(INDEX(#REF!,MATCH(O1878,#REF!,0)),"")</f>
        <v/>
      </c>
      <c r="H1878" s="25" t="str">
        <f>IFERROR(INDEX(#REF!,MATCH(O1878,#REF!,0)),"")</f>
        <v/>
      </c>
      <c r="I1878" s="25" t="str">
        <f>IFERROR(INDEX(#REF!,MATCH(O1878,#REF!,0)),"")</f>
        <v/>
      </c>
      <c r="J1878" s="25" t="str">
        <f>IFERROR(INDEX(#REF!,MATCH(O1878,#REF!,0)),"")</f>
        <v/>
      </c>
      <c r="K1878" s="25" t="str">
        <f>IFERROR(INDEX(#REF!,MATCH(O1878,#REF!,0)),"")</f>
        <v/>
      </c>
      <c r="L1878" s="25" t="str">
        <f>IFERROR(INDEX(#REF!,MATCH(O1878,#REF!,0)),"")</f>
        <v/>
      </c>
      <c r="P1878" s="27" t="str">
        <f>IFERROR(INDEX(#REF!,MATCH($O1878,#REF!,0)),"")</f>
        <v/>
      </c>
      <c r="Q1878" s="27" t="str">
        <f>IFERROR(INDEX(#REF!,MATCH($O1878,#REF!,0)),"")</f>
        <v/>
      </c>
      <c r="R1878" s="52" t="str">
        <f>IFERROR(IF(AR1879=AR1878,INDEX(#REF!,MATCH($O1878,#REF!,0))-IF(AN1878="",0,AN1878)+AP1879,INDEX(#REF!,MATCH($O1878,#REF!,0))-IF(AN1878="",0,AN1878)),"")</f>
        <v/>
      </c>
      <c r="S1878" s="53" t="str">
        <f t="shared" si="924"/>
        <v/>
      </c>
      <c r="T1878" s="52" t="str">
        <f t="shared" si="925"/>
        <v/>
      </c>
      <c r="U1878" s="52" t="str">
        <f>IFERROR(IF(AR1879=AR1878,INDEX(#REF!,MATCH($O1878,#REF!,0))-IF(AN1878="",0,AN1878)+AP1879,INDEX(#REF!,MATCH($O1878,#REF!,0))-IF(AN1878="",0,AN1878)),"")</f>
        <v/>
      </c>
      <c r="V1878" s="53" t="str">
        <f t="shared" si="926"/>
        <v/>
      </c>
      <c r="W1878" s="52" t="str">
        <f t="shared" si="927"/>
        <v/>
      </c>
      <c r="X1878" s="52" t="str">
        <f>IFERROR(IF(AND(AR1879=AR1878,AM1878&lt;&gt;""),INDEX(#REF!,MATCH($O1878,#REF!,0))-IF(AN1878="",0,AN1878)+AP1879+AD1878+AL1878,IF(AR1879=AR1878,INDEX(#REF!,MATCH($O1878,#REF!,0))-IF(AN1878="",0,AN1878)+AP1879+AD1878,IF(AM1878&lt;&gt;"",INDEX(#REF!,MATCH($O1878,#REF!,0))-IF(AN1878="",0,AN1878)+AD1878+AL1878,INDEX(#REF!,MATCH($O1878,#REF!,0))-IF(AN1878="",0,AN1878)+AD1878))),"")</f>
        <v/>
      </c>
      <c r="Y1878" s="53" t="str">
        <f t="shared" si="928"/>
        <v/>
      </c>
      <c r="Z1878" s="52" t="str">
        <f>IF(L1878="","",INDEX(#REF!,MATCH($O1878,#REF!,0)))</f>
        <v/>
      </c>
      <c r="AA1878" s="52" t="str">
        <f t="shared" si="929"/>
        <v/>
      </c>
      <c r="AB1878" s="52" t="str">
        <f>IFERROR(INDEX(#REF!,MATCH($O1878,#REF!,0)),"")</f>
        <v/>
      </c>
      <c r="AC1878" s="52" t="str">
        <f>IFERROR(IF(O1878="","",SUMIFS('CPL Mats'!F:F,'CPL Mats'!Q:Q,AR1878,'CPL Mats'!S:S,AS1878)),"")</f>
        <v/>
      </c>
      <c r="AF1878" s="25" t="e">
        <f>IF(SUMIFS(#REF!,#REF!,"Releasable",#REF!,O1878)=0,"",SUMIFS(#REF!,#REF!,"Releasable",#REF!,O1878))</f>
        <v>#REF!</v>
      </c>
      <c r="AG1878" s="25" t="str">
        <f>IFERROR(INDEX(#REF!,MATCH(O1878,#REF!,0)),"")</f>
        <v/>
      </c>
      <c r="AH1878" s="25" t="str">
        <f>IFERROR(INDEX(#REF!,MATCH($O1878,#REF!,0)),"")</f>
        <v/>
      </c>
      <c r="AI1878" s="25" t="e">
        <f>IF(SUMIFS(#REF!,#REF!,"Expires this month",#REF!,O1878)=0,"",SUMIFS(#REF!,#REF!,"Expires this month",#REF!,O1878))</f>
        <v>#REF!</v>
      </c>
      <c r="AJ1878" s="25" t="e">
        <f>IF(SUMIFS(#REF!,#REF!,"Expired Previous Months",#REF!,O1878)=0,"",SUMIFS(#REF!,#REF!,"Expired Previous Months",#REF!,O1878))</f>
        <v>#REF!</v>
      </c>
      <c r="AK1878" s="25" t="str">
        <f>IFERROR(INDEX('Hun Release Current'!B:B,MATCH(O1878,'Hun Release Current'!A:A,0)),"")</f>
        <v/>
      </c>
      <c r="AL1878" s="25" t="str">
        <f>IF(SUMIF('Prev Aub'!A:A,O1878,'Prev Aub'!B:B)=0,"",SUMIF('Prev Aub'!A:A,O1878,'Prev Aub'!B:B))</f>
        <v/>
      </c>
      <c r="AN1878" s="25" t="s">
        <v>3790</v>
      </c>
      <c r="AO1878" s="25" t="s">
        <v>3790</v>
      </c>
      <c r="AP1878" s="25" t="str">
        <f t="shared" si="951"/>
        <v/>
      </c>
      <c r="AQ1878" s="151" t="e">
        <f>IF(SUMIFS(#REF!,#REF!,O1878,#REF!,"PENDING")=0,"",SUMIFS(#REF!,#REF!,O1878,#REF!,"PENDING"))</f>
        <v>#REF!</v>
      </c>
      <c r="AR1878" s="27" t="str">
        <f t="shared" si="930"/>
        <v/>
      </c>
      <c r="AS1878" s="27" t="str">
        <f t="shared" si="931"/>
        <v/>
      </c>
      <c r="AT1878" s="27" t="str">
        <f t="shared" si="932"/>
        <v/>
      </c>
      <c r="AU1878" s="27" t="str">
        <f t="shared" si="933"/>
        <v/>
      </c>
      <c r="AV1878" s="27" t="str">
        <f t="shared" si="934"/>
        <v/>
      </c>
      <c r="AW1878" s="27" t="e">
        <f t="shared" si="935"/>
        <v>#REF!</v>
      </c>
      <c r="AX1878" s="27" t="e">
        <f t="shared" si="936"/>
        <v>#REF!</v>
      </c>
      <c r="AY1878" s="27" t="str">
        <f t="shared" si="937"/>
        <v/>
      </c>
      <c r="AZ1878" s="27" t="str">
        <f t="shared" si="938"/>
        <v/>
      </c>
      <c r="BA1878" s="27" t="str">
        <f t="shared" si="939"/>
        <v/>
      </c>
      <c r="BB1878" s="27" t="str">
        <f t="shared" si="940"/>
        <v/>
      </c>
      <c r="BC1878" s="27" t="str">
        <f t="shared" si="941"/>
        <v/>
      </c>
      <c r="BD1878" s="27" t="str">
        <f t="shared" si="942"/>
        <v/>
      </c>
      <c r="BE1878" s="27" t="str">
        <f t="shared" si="943"/>
        <v/>
      </c>
      <c r="BF1878" s="27" t="str">
        <f t="shared" si="944"/>
        <v/>
      </c>
      <c r="BG1878" s="27" t="str">
        <f t="shared" si="945"/>
        <v/>
      </c>
      <c r="BH1878" s="27" t="str">
        <f t="shared" si="946"/>
        <v/>
      </c>
      <c r="BI1878" s="27" t="str">
        <f t="shared" si="947"/>
        <v/>
      </c>
      <c r="BJ1878" s="27" t="str">
        <f t="shared" si="948"/>
        <v/>
      </c>
      <c r="BK1878" s="27" t="str">
        <f t="shared" si="949"/>
        <v/>
      </c>
      <c r="BL1878" s="27" t="str">
        <f t="shared" si="950"/>
        <v/>
      </c>
      <c r="BM1878" s="21" t="s">
        <v>3790</v>
      </c>
    </row>
    <row r="1879" spans="1:65" ht="15">
      <c r="A1879" s="25" t="str">
        <f>IFERROR(INDEX(#REF!,MATCH(O1879,#REF!,0)),"")</f>
        <v/>
      </c>
      <c r="B1879" s="25" t="str">
        <f>IFERROR(INDEX(#REF!,MATCH(O1879,#REF!,0)),"")</f>
        <v/>
      </c>
      <c r="C1879" s="25" t="str">
        <f>IFERROR(INDEX(#REF!,MATCH(O1879,#REF!,0)),"")</f>
        <v/>
      </c>
      <c r="D1879" s="25" t="str">
        <f>IFERROR(INDEX(#REF!,MATCH(O1879,#REF!,0)),"")</f>
        <v/>
      </c>
      <c r="E1879" s="25" t="str">
        <f>IFERROR(INDEX(#REF!,MATCH(O1879,#REF!,0)),"")</f>
        <v/>
      </c>
      <c r="F1879" s="25" t="str">
        <f>IFERROR(INDEX(#REF!,MATCH(O1879,#REF!,0)),"")</f>
        <v/>
      </c>
      <c r="G1879" s="25" t="str">
        <f>IFERROR(INDEX(#REF!,MATCH(O1879,#REF!,0)),"")</f>
        <v/>
      </c>
      <c r="H1879" s="25" t="str">
        <f>IFERROR(INDEX(#REF!,MATCH(O1879,#REF!,0)),"")</f>
        <v/>
      </c>
      <c r="I1879" s="25" t="str">
        <f>IFERROR(INDEX(#REF!,MATCH(O1879,#REF!,0)),"")</f>
        <v/>
      </c>
      <c r="J1879" s="25" t="str">
        <f>IFERROR(INDEX(#REF!,MATCH(O1879,#REF!,0)),"")</f>
        <v/>
      </c>
      <c r="K1879" s="25" t="str">
        <f>IFERROR(INDEX(#REF!,MATCH(O1879,#REF!,0)),"")</f>
        <v/>
      </c>
      <c r="L1879" s="25" t="str">
        <f>IFERROR(INDEX(#REF!,MATCH(O1879,#REF!,0)),"")</f>
        <v/>
      </c>
      <c r="P1879" s="27" t="str">
        <f>IFERROR(INDEX(#REF!,MATCH($O1879,#REF!,0)),"")</f>
        <v/>
      </c>
      <c r="Q1879" s="27" t="str">
        <f>IFERROR(INDEX(#REF!,MATCH($O1879,#REF!,0)),"")</f>
        <v/>
      </c>
      <c r="R1879" s="52" t="str">
        <f>IFERROR(IF(AR1880=AR1879,INDEX(#REF!,MATCH($O1879,#REF!,0))-IF(AN1879="",0,AN1879)+AP1880,INDEX(#REF!,MATCH($O1879,#REF!,0))-IF(AN1879="",0,AN1879)),"")</f>
        <v/>
      </c>
      <c r="S1879" s="53" t="str">
        <f t="shared" si="924"/>
        <v/>
      </c>
      <c r="T1879" s="52" t="str">
        <f t="shared" si="925"/>
        <v/>
      </c>
      <c r="U1879" s="52" t="str">
        <f>IFERROR(IF(AR1880=AR1879,INDEX(#REF!,MATCH($O1879,#REF!,0))-IF(AN1879="",0,AN1879)+AP1880,INDEX(#REF!,MATCH($O1879,#REF!,0))-IF(AN1879="",0,AN1879)),"")</f>
        <v/>
      </c>
      <c r="V1879" s="53" t="str">
        <f t="shared" si="926"/>
        <v/>
      </c>
      <c r="W1879" s="52" t="str">
        <f t="shared" si="927"/>
        <v/>
      </c>
      <c r="X1879" s="52" t="str">
        <f>IFERROR(IF(AND(AR1880=AR1879,AM1879&lt;&gt;""),INDEX(#REF!,MATCH($O1879,#REF!,0))-IF(AN1879="",0,AN1879)+AP1880+AD1879+AL1879,IF(AR1880=AR1879,INDEX(#REF!,MATCH($O1879,#REF!,0))-IF(AN1879="",0,AN1879)+AP1880+AD1879,IF(AM1879&lt;&gt;"",INDEX(#REF!,MATCH($O1879,#REF!,0))-IF(AN1879="",0,AN1879)+AD1879+AL1879,INDEX(#REF!,MATCH($O1879,#REF!,0))-IF(AN1879="",0,AN1879)+AD1879))),"")</f>
        <v/>
      </c>
      <c r="Y1879" s="53" t="str">
        <f t="shared" si="928"/>
        <v/>
      </c>
      <c r="Z1879" s="52" t="str">
        <f>IF(L1879="","",INDEX(#REF!,MATCH($O1879,#REF!,0)))</f>
        <v/>
      </c>
      <c r="AA1879" s="52" t="str">
        <f t="shared" si="929"/>
        <v/>
      </c>
      <c r="AB1879" s="52" t="str">
        <f>IFERROR(INDEX(#REF!,MATCH($O1879,#REF!,0)),"")</f>
        <v/>
      </c>
      <c r="AC1879" s="52" t="str">
        <f>IFERROR(IF(O1879="","",SUMIFS('CPL Mats'!F:F,'CPL Mats'!Q:Q,AR1879,'CPL Mats'!S:S,AS1879)),"")</f>
        <v/>
      </c>
      <c r="AF1879" s="25" t="e">
        <f>IF(SUMIFS(#REF!,#REF!,"Releasable",#REF!,O1879)=0,"",SUMIFS(#REF!,#REF!,"Releasable",#REF!,O1879))</f>
        <v>#REF!</v>
      </c>
      <c r="AG1879" s="25" t="str">
        <f>IFERROR(INDEX(#REF!,MATCH(O1879,#REF!,0)),"")</f>
        <v/>
      </c>
      <c r="AH1879" s="25" t="str">
        <f>IFERROR(INDEX(#REF!,MATCH($O1879,#REF!,0)),"")</f>
        <v/>
      </c>
      <c r="AI1879" s="25" t="e">
        <f>IF(SUMIFS(#REF!,#REF!,"Expires this month",#REF!,O1879)=0,"",SUMIFS(#REF!,#REF!,"Expires this month",#REF!,O1879))</f>
        <v>#REF!</v>
      </c>
      <c r="AJ1879" s="25" t="e">
        <f>IF(SUMIFS(#REF!,#REF!,"Expired Previous Months",#REF!,O1879)=0,"",SUMIFS(#REF!,#REF!,"Expired Previous Months",#REF!,O1879))</f>
        <v>#REF!</v>
      </c>
      <c r="AK1879" s="25" t="str">
        <f>IFERROR(INDEX('Hun Release Current'!B:B,MATCH(O1879,'Hun Release Current'!A:A,0)),"")</f>
        <v/>
      </c>
      <c r="AL1879" s="25" t="str">
        <f>IF(SUMIF('Prev Aub'!A:A,O1879,'Prev Aub'!B:B)=0,"",SUMIF('Prev Aub'!A:A,O1879,'Prev Aub'!B:B))</f>
        <v/>
      </c>
      <c r="AN1879" s="25" t="s">
        <v>3790</v>
      </c>
      <c r="AO1879" s="25" t="s">
        <v>3790</v>
      </c>
      <c r="AP1879" s="25" t="str">
        <f t="shared" si="951"/>
        <v/>
      </c>
      <c r="AQ1879" s="151" t="e">
        <f>IF(SUMIFS(#REF!,#REF!,O1879,#REF!,"PENDING")=0,"",SUMIFS(#REF!,#REF!,O1879,#REF!,"PENDING"))</f>
        <v>#REF!</v>
      </c>
      <c r="AR1879" s="27" t="str">
        <f t="shared" si="930"/>
        <v/>
      </c>
      <c r="AS1879" s="27" t="str">
        <f t="shared" si="931"/>
        <v/>
      </c>
      <c r="AT1879" s="27" t="str">
        <f t="shared" si="932"/>
        <v/>
      </c>
      <c r="AU1879" s="27" t="str">
        <f t="shared" si="933"/>
        <v/>
      </c>
      <c r="AV1879" s="27" t="str">
        <f t="shared" si="934"/>
        <v/>
      </c>
      <c r="AW1879" s="27" t="e">
        <f t="shared" si="935"/>
        <v>#REF!</v>
      </c>
      <c r="AX1879" s="27" t="e">
        <f t="shared" si="936"/>
        <v>#REF!</v>
      </c>
      <c r="AY1879" s="27" t="str">
        <f t="shared" si="937"/>
        <v/>
      </c>
      <c r="AZ1879" s="27" t="str">
        <f t="shared" si="938"/>
        <v/>
      </c>
      <c r="BA1879" s="27" t="str">
        <f t="shared" si="939"/>
        <v/>
      </c>
      <c r="BB1879" s="27" t="str">
        <f t="shared" si="940"/>
        <v/>
      </c>
      <c r="BC1879" s="27" t="str">
        <f t="shared" si="941"/>
        <v/>
      </c>
      <c r="BD1879" s="27" t="str">
        <f t="shared" si="942"/>
        <v/>
      </c>
      <c r="BE1879" s="27" t="str">
        <f t="shared" si="943"/>
        <v/>
      </c>
      <c r="BF1879" s="27" t="str">
        <f t="shared" si="944"/>
        <v/>
      </c>
      <c r="BG1879" s="27" t="str">
        <f t="shared" si="945"/>
        <v/>
      </c>
      <c r="BH1879" s="27" t="str">
        <f t="shared" si="946"/>
        <v/>
      </c>
      <c r="BI1879" s="27" t="str">
        <f t="shared" si="947"/>
        <v/>
      </c>
      <c r="BJ1879" s="27" t="str">
        <f t="shared" si="948"/>
        <v/>
      </c>
      <c r="BK1879" s="27" t="str">
        <f t="shared" si="949"/>
        <v/>
      </c>
      <c r="BL1879" s="27" t="str">
        <f t="shared" si="950"/>
        <v/>
      </c>
      <c r="BM1879" s="21" t="s">
        <v>3790</v>
      </c>
    </row>
    <row r="1880" spans="1:65" ht="15">
      <c r="A1880" s="25" t="str">
        <f>IFERROR(INDEX(#REF!,MATCH(O1880,#REF!,0)),"")</f>
        <v/>
      </c>
      <c r="B1880" s="25" t="str">
        <f>IFERROR(INDEX(#REF!,MATCH(O1880,#REF!,0)),"")</f>
        <v/>
      </c>
      <c r="C1880" s="25" t="str">
        <f>IFERROR(INDEX(#REF!,MATCH(O1880,#REF!,0)),"")</f>
        <v/>
      </c>
      <c r="D1880" s="25" t="str">
        <f>IFERROR(INDEX(#REF!,MATCH(O1880,#REF!,0)),"")</f>
        <v/>
      </c>
      <c r="E1880" s="25" t="str">
        <f>IFERROR(INDEX(#REF!,MATCH(O1880,#REF!,0)),"")</f>
        <v/>
      </c>
      <c r="F1880" s="25" t="str">
        <f>IFERROR(INDEX(#REF!,MATCH(O1880,#REF!,0)),"")</f>
        <v/>
      </c>
      <c r="G1880" s="25" t="str">
        <f>IFERROR(INDEX(#REF!,MATCH(O1880,#REF!,0)),"")</f>
        <v/>
      </c>
      <c r="H1880" s="25" t="str">
        <f>IFERROR(INDEX(#REF!,MATCH(O1880,#REF!,0)),"")</f>
        <v/>
      </c>
      <c r="I1880" s="25" t="str">
        <f>IFERROR(INDEX(#REF!,MATCH(O1880,#REF!,0)),"")</f>
        <v/>
      </c>
      <c r="J1880" s="25" t="str">
        <f>IFERROR(INDEX(#REF!,MATCH(O1880,#REF!,0)),"")</f>
        <v/>
      </c>
      <c r="K1880" s="25" t="str">
        <f>IFERROR(INDEX(#REF!,MATCH(O1880,#REF!,0)),"")</f>
        <v/>
      </c>
      <c r="L1880" s="25" t="str">
        <f>IFERROR(INDEX(#REF!,MATCH(O1880,#REF!,0)),"")</f>
        <v/>
      </c>
      <c r="P1880" s="27" t="str">
        <f>IFERROR(INDEX(#REF!,MATCH($O1880,#REF!,0)),"")</f>
        <v/>
      </c>
      <c r="Q1880" s="27" t="str">
        <f>IFERROR(INDEX(#REF!,MATCH($O1880,#REF!,0)),"")</f>
        <v/>
      </c>
      <c r="R1880" s="52" t="str">
        <f>IFERROR(IF(AR1881=AR1880,INDEX(#REF!,MATCH($O1880,#REF!,0))-IF(AN1880="",0,AN1880)+AP1881,INDEX(#REF!,MATCH($O1880,#REF!,0))-IF(AN1880="",0,AN1880)),"")</f>
        <v/>
      </c>
      <c r="S1880" s="53" t="str">
        <f t="shared" si="924"/>
        <v/>
      </c>
      <c r="T1880" s="52" t="str">
        <f t="shared" si="925"/>
        <v/>
      </c>
      <c r="U1880" s="52" t="str">
        <f>IFERROR(IF(AR1881=AR1880,INDEX(#REF!,MATCH($O1880,#REF!,0))-IF(AN1880="",0,AN1880)+AP1881,INDEX(#REF!,MATCH($O1880,#REF!,0))-IF(AN1880="",0,AN1880)),"")</f>
        <v/>
      </c>
      <c r="V1880" s="53" t="str">
        <f t="shared" si="926"/>
        <v/>
      </c>
      <c r="W1880" s="52" t="str">
        <f t="shared" si="927"/>
        <v/>
      </c>
      <c r="X1880" s="52" t="str">
        <f>IFERROR(IF(AND(AR1881=AR1880,AM1880&lt;&gt;""),INDEX(#REF!,MATCH($O1880,#REF!,0))-IF(AN1880="",0,AN1880)+AP1881+AD1880+AL1880,IF(AR1881=AR1880,INDEX(#REF!,MATCH($O1880,#REF!,0))-IF(AN1880="",0,AN1880)+AP1881+AD1880,IF(AM1880&lt;&gt;"",INDEX(#REF!,MATCH($O1880,#REF!,0))-IF(AN1880="",0,AN1880)+AD1880+AL1880,INDEX(#REF!,MATCH($O1880,#REF!,0))-IF(AN1880="",0,AN1880)+AD1880))),"")</f>
        <v/>
      </c>
      <c r="Y1880" s="53" t="str">
        <f t="shared" si="928"/>
        <v/>
      </c>
      <c r="Z1880" s="52" t="str">
        <f>IF(L1880="","",INDEX(#REF!,MATCH($O1880,#REF!,0)))</f>
        <v/>
      </c>
      <c r="AA1880" s="52" t="str">
        <f t="shared" si="929"/>
        <v/>
      </c>
      <c r="AB1880" s="52" t="str">
        <f>IFERROR(INDEX(#REF!,MATCH($O1880,#REF!,0)),"")</f>
        <v/>
      </c>
      <c r="AC1880" s="52" t="str">
        <f>IFERROR(IF(O1880="","",SUMIFS('CPL Mats'!F:F,'CPL Mats'!Q:Q,AR1880,'CPL Mats'!S:S,AS1880)),"")</f>
        <v/>
      </c>
      <c r="AF1880" s="25" t="e">
        <f>IF(SUMIFS(#REF!,#REF!,"Releasable",#REF!,O1880)=0,"",SUMIFS(#REF!,#REF!,"Releasable",#REF!,O1880))</f>
        <v>#REF!</v>
      </c>
      <c r="AG1880" s="25" t="str">
        <f>IFERROR(INDEX(#REF!,MATCH(O1880,#REF!,0)),"")</f>
        <v/>
      </c>
      <c r="AH1880" s="25" t="str">
        <f>IFERROR(INDEX(#REF!,MATCH($O1880,#REF!,0)),"")</f>
        <v/>
      </c>
      <c r="AI1880" s="25" t="e">
        <f>IF(SUMIFS(#REF!,#REF!,"Expires this month",#REF!,O1880)=0,"",SUMIFS(#REF!,#REF!,"Expires this month",#REF!,O1880))</f>
        <v>#REF!</v>
      </c>
      <c r="AJ1880" s="25" t="e">
        <f>IF(SUMIFS(#REF!,#REF!,"Expired Previous Months",#REF!,O1880)=0,"",SUMIFS(#REF!,#REF!,"Expired Previous Months",#REF!,O1880))</f>
        <v>#REF!</v>
      </c>
      <c r="AK1880" s="25" t="str">
        <f>IFERROR(INDEX('Hun Release Current'!B:B,MATCH(O1880,'Hun Release Current'!A:A,0)),"")</f>
        <v/>
      </c>
      <c r="AL1880" s="25" t="str">
        <f>IF(SUMIF('Prev Aub'!A:A,O1880,'Prev Aub'!B:B)=0,"",SUMIF('Prev Aub'!A:A,O1880,'Prev Aub'!B:B))</f>
        <v/>
      </c>
      <c r="AN1880" s="25" t="s">
        <v>3790</v>
      </c>
      <c r="AO1880" s="25" t="s">
        <v>3790</v>
      </c>
      <c r="AP1880" s="25" t="str">
        <f t="shared" si="951"/>
        <v/>
      </c>
      <c r="AQ1880" s="151" t="e">
        <f>IF(SUMIFS(#REF!,#REF!,O1880,#REF!,"PENDING")=0,"",SUMIFS(#REF!,#REF!,O1880,#REF!,"PENDING"))</f>
        <v>#REF!</v>
      </c>
      <c r="AR1880" s="27" t="str">
        <f t="shared" si="930"/>
        <v/>
      </c>
      <c r="AS1880" s="27" t="str">
        <f t="shared" si="931"/>
        <v/>
      </c>
      <c r="AT1880" s="27" t="str">
        <f t="shared" si="932"/>
        <v/>
      </c>
      <c r="AU1880" s="27" t="str">
        <f t="shared" si="933"/>
        <v/>
      </c>
      <c r="AV1880" s="27" t="str">
        <f t="shared" si="934"/>
        <v/>
      </c>
      <c r="AW1880" s="27" t="e">
        <f t="shared" si="935"/>
        <v>#REF!</v>
      </c>
      <c r="AX1880" s="27" t="e">
        <f t="shared" si="936"/>
        <v>#REF!</v>
      </c>
      <c r="AY1880" s="27" t="str">
        <f t="shared" si="937"/>
        <v/>
      </c>
      <c r="AZ1880" s="27" t="str">
        <f t="shared" si="938"/>
        <v/>
      </c>
      <c r="BA1880" s="27" t="str">
        <f t="shared" si="939"/>
        <v/>
      </c>
      <c r="BB1880" s="27" t="str">
        <f t="shared" si="940"/>
        <v/>
      </c>
      <c r="BC1880" s="27" t="str">
        <f t="shared" si="941"/>
        <v/>
      </c>
      <c r="BD1880" s="27" t="str">
        <f t="shared" si="942"/>
        <v/>
      </c>
      <c r="BE1880" s="27" t="str">
        <f t="shared" si="943"/>
        <v/>
      </c>
      <c r="BF1880" s="27" t="str">
        <f t="shared" si="944"/>
        <v/>
      </c>
      <c r="BG1880" s="27" t="str">
        <f t="shared" si="945"/>
        <v/>
      </c>
      <c r="BH1880" s="27" t="str">
        <f t="shared" si="946"/>
        <v/>
      </c>
      <c r="BI1880" s="27" t="str">
        <f t="shared" si="947"/>
        <v/>
      </c>
      <c r="BJ1880" s="27" t="str">
        <f t="shared" si="948"/>
        <v/>
      </c>
      <c r="BK1880" s="27" t="str">
        <f t="shared" si="949"/>
        <v/>
      </c>
      <c r="BL1880" s="27" t="str">
        <f t="shared" si="950"/>
        <v/>
      </c>
      <c r="BM1880" s="21" t="s">
        <v>3790</v>
      </c>
    </row>
    <row r="1881" spans="1:65" ht="15">
      <c r="A1881" s="25" t="str">
        <f>IFERROR(INDEX(#REF!,MATCH(O1881,#REF!,0)),"")</f>
        <v/>
      </c>
      <c r="B1881" s="25" t="str">
        <f>IFERROR(INDEX(#REF!,MATCH(O1881,#REF!,0)),"")</f>
        <v/>
      </c>
      <c r="C1881" s="25" t="str">
        <f>IFERROR(INDEX(#REF!,MATCH(O1881,#REF!,0)),"")</f>
        <v/>
      </c>
      <c r="D1881" s="25" t="str">
        <f>IFERROR(INDEX(#REF!,MATCH(O1881,#REF!,0)),"")</f>
        <v/>
      </c>
      <c r="E1881" s="25" t="str">
        <f>IFERROR(INDEX(#REF!,MATCH(O1881,#REF!,0)),"")</f>
        <v/>
      </c>
      <c r="F1881" s="25" t="str">
        <f>IFERROR(INDEX(#REF!,MATCH(O1881,#REF!,0)),"")</f>
        <v/>
      </c>
      <c r="G1881" s="25" t="str">
        <f>IFERROR(INDEX(#REF!,MATCH(O1881,#REF!,0)),"")</f>
        <v/>
      </c>
      <c r="H1881" s="25" t="str">
        <f>IFERROR(INDEX(#REF!,MATCH(O1881,#REF!,0)),"")</f>
        <v/>
      </c>
      <c r="I1881" s="25" t="str">
        <f>IFERROR(INDEX(#REF!,MATCH(O1881,#REF!,0)),"")</f>
        <v/>
      </c>
      <c r="J1881" s="25" t="str">
        <f>IFERROR(INDEX(#REF!,MATCH(O1881,#REF!,0)),"")</f>
        <v/>
      </c>
      <c r="K1881" s="25" t="str">
        <f>IFERROR(INDEX(#REF!,MATCH(O1881,#REF!,0)),"")</f>
        <v/>
      </c>
      <c r="L1881" s="25" t="str">
        <f>IFERROR(INDEX(#REF!,MATCH(O1881,#REF!,0)),"")</f>
        <v/>
      </c>
      <c r="P1881" s="27" t="str">
        <f>IFERROR(INDEX(#REF!,MATCH($O1881,#REF!,0)),"")</f>
        <v/>
      </c>
      <c r="Q1881" s="27" t="str">
        <f>IFERROR(INDEX(#REF!,MATCH($O1881,#REF!,0)),"")</f>
        <v/>
      </c>
      <c r="R1881" s="52" t="str">
        <f>IFERROR(IF(AR1882=AR1881,INDEX(#REF!,MATCH($O1881,#REF!,0))-IF(AN1881="",0,AN1881)+AP1882,INDEX(#REF!,MATCH($O1881,#REF!,0))-IF(AN1881="",0,AN1881)),"")</f>
        <v/>
      </c>
      <c r="S1881" s="53" t="str">
        <f t="shared" si="924"/>
        <v/>
      </c>
      <c r="T1881" s="52" t="str">
        <f t="shared" si="925"/>
        <v/>
      </c>
      <c r="U1881" s="52" t="str">
        <f>IFERROR(IF(AR1882=AR1881,INDEX(#REF!,MATCH($O1881,#REF!,0))-IF(AN1881="",0,AN1881)+AP1882,INDEX(#REF!,MATCH($O1881,#REF!,0))-IF(AN1881="",0,AN1881)),"")</f>
        <v/>
      </c>
      <c r="V1881" s="53" t="str">
        <f t="shared" si="926"/>
        <v/>
      </c>
      <c r="W1881" s="52" t="str">
        <f t="shared" si="927"/>
        <v/>
      </c>
      <c r="X1881" s="52" t="str">
        <f>IFERROR(IF(AND(AR1882=AR1881,AM1881&lt;&gt;""),INDEX(#REF!,MATCH($O1881,#REF!,0))-IF(AN1881="",0,AN1881)+AP1882+AD1881+AL1881,IF(AR1882=AR1881,INDEX(#REF!,MATCH($O1881,#REF!,0))-IF(AN1881="",0,AN1881)+AP1882+AD1881,IF(AM1881&lt;&gt;"",INDEX(#REF!,MATCH($O1881,#REF!,0))-IF(AN1881="",0,AN1881)+AD1881+AL1881,INDEX(#REF!,MATCH($O1881,#REF!,0))-IF(AN1881="",0,AN1881)+AD1881))),"")</f>
        <v/>
      </c>
      <c r="Y1881" s="53" t="str">
        <f t="shared" si="928"/>
        <v/>
      </c>
      <c r="Z1881" s="52" t="str">
        <f>IF(L1881="","",INDEX(#REF!,MATCH($O1881,#REF!,0)))</f>
        <v/>
      </c>
      <c r="AA1881" s="52" t="str">
        <f t="shared" si="929"/>
        <v/>
      </c>
      <c r="AB1881" s="52" t="str">
        <f>IFERROR(INDEX(#REF!,MATCH($O1881,#REF!,0)),"")</f>
        <v/>
      </c>
      <c r="AC1881" s="52" t="str">
        <f>IFERROR(IF(O1881="","",SUMIFS('CPL Mats'!F:F,'CPL Mats'!Q:Q,AR1881,'CPL Mats'!S:S,AS1881)),"")</f>
        <v/>
      </c>
      <c r="AF1881" s="25" t="e">
        <f>IF(SUMIFS(#REF!,#REF!,"Releasable",#REF!,O1881)=0,"",SUMIFS(#REF!,#REF!,"Releasable",#REF!,O1881))</f>
        <v>#REF!</v>
      </c>
      <c r="AG1881" s="25" t="str">
        <f>IFERROR(INDEX(#REF!,MATCH(O1881,#REF!,0)),"")</f>
        <v/>
      </c>
      <c r="AH1881" s="25" t="str">
        <f>IFERROR(INDEX(#REF!,MATCH($O1881,#REF!,0)),"")</f>
        <v/>
      </c>
      <c r="AI1881" s="25" t="e">
        <f>IF(SUMIFS(#REF!,#REF!,"Expires this month",#REF!,O1881)=0,"",SUMIFS(#REF!,#REF!,"Expires this month",#REF!,O1881))</f>
        <v>#REF!</v>
      </c>
      <c r="AJ1881" s="25" t="e">
        <f>IF(SUMIFS(#REF!,#REF!,"Expired Previous Months",#REF!,O1881)=0,"",SUMIFS(#REF!,#REF!,"Expired Previous Months",#REF!,O1881))</f>
        <v>#REF!</v>
      </c>
      <c r="AK1881" s="25" t="str">
        <f>IFERROR(INDEX('Hun Release Current'!B:B,MATCH(O1881,'Hun Release Current'!A:A,0)),"")</f>
        <v/>
      </c>
      <c r="AL1881" s="25" t="str">
        <f>IF(SUMIF('Prev Aub'!A:A,O1881,'Prev Aub'!B:B)=0,"",SUMIF('Prev Aub'!A:A,O1881,'Prev Aub'!B:B))</f>
        <v/>
      </c>
      <c r="AN1881" s="25" t="s">
        <v>3790</v>
      </c>
      <c r="AO1881" s="25" t="s">
        <v>3790</v>
      </c>
      <c r="AP1881" s="25" t="str">
        <f t="shared" si="951"/>
        <v/>
      </c>
      <c r="AQ1881" s="151" t="e">
        <f>IF(SUMIFS(#REF!,#REF!,O1881,#REF!,"PENDING")=0,"",SUMIFS(#REF!,#REF!,O1881,#REF!,"PENDING"))</f>
        <v>#REF!</v>
      </c>
      <c r="AR1881" s="27" t="str">
        <f t="shared" si="930"/>
        <v/>
      </c>
      <c r="AS1881" s="27" t="str">
        <f t="shared" si="931"/>
        <v/>
      </c>
      <c r="AT1881" s="27" t="str">
        <f t="shared" si="932"/>
        <v/>
      </c>
      <c r="AU1881" s="27" t="str">
        <f t="shared" si="933"/>
        <v/>
      </c>
      <c r="AV1881" s="27" t="str">
        <f t="shared" si="934"/>
        <v/>
      </c>
      <c r="AW1881" s="27" t="e">
        <f t="shared" si="935"/>
        <v>#REF!</v>
      </c>
      <c r="AX1881" s="27" t="e">
        <f t="shared" si="936"/>
        <v>#REF!</v>
      </c>
      <c r="AY1881" s="27" t="str">
        <f t="shared" si="937"/>
        <v/>
      </c>
      <c r="AZ1881" s="27" t="str">
        <f t="shared" si="938"/>
        <v/>
      </c>
      <c r="BA1881" s="27" t="str">
        <f t="shared" si="939"/>
        <v/>
      </c>
      <c r="BB1881" s="27" t="str">
        <f t="shared" si="940"/>
        <v/>
      </c>
      <c r="BC1881" s="27" t="str">
        <f t="shared" si="941"/>
        <v/>
      </c>
      <c r="BD1881" s="27" t="str">
        <f t="shared" si="942"/>
        <v/>
      </c>
      <c r="BE1881" s="27" t="str">
        <f t="shared" si="943"/>
        <v/>
      </c>
      <c r="BF1881" s="27" t="str">
        <f t="shared" si="944"/>
        <v/>
      </c>
      <c r="BG1881" s="27" t="str">
        <f t="shared" si="945"/>
        <v/>
      </c>
      <c r="BH1881" s="27" t="str">
        <f t="shared" si="946"/>
        <v/>
      </c>
      <c r="BI1881" s="27" t="str">
        <f t="shared" si="947"/>
        <v/>
      </c>
      <c r="BJ1881" s="27" t="str">
        <f t="shared" si="948"/>
        <v/>
      </c>
      <c r="BK1881" s="27" t="str">
        <f t="shared" si="949"/>
        <v/>
      </c>
      <c r="BL1881" s="27" t="str">
        <f t="shared" si="950"/>
        <v/>
      </c>
      <c r="BM1881" s="21" t="s">
        <v>3790</v>
      </c>
    </row>
    <row r="1882" spans="1:65" ht="15">
      <c r="A1882" s="25" t="str">
        <f>IFERROR(INDEX(#REF!,MATCH(O1882,#REF!,0)),"")</f>
        <v/>
      </c>
      <c r="B1882" s="25" t="str">
        <f>IFERROR(INDEX(#REF!,MATCH(O1882,#REF!,0)),"")</f>
        <v/>
      </c>
      <c r="C1882" s="25" t="str">
        <f>IFERROR(INDEX(#REF!,MATCH(O1882,#REF!,0)),"")</f>
        <v/>
      </c>
      <c r="D1882" s="25" t="str">
        <f>IFERROR(INDEX(#REF!,MATCH(O1882,#REF!,0)),"")</f>
        <v/>
      </c>
      <c r="E1882" s="25" t="str">
        <f>IFERROR(INDEX(#REF!,MATCH(O1882,#REF!,0)),"")</f>
        <v/>
      </c>
      <c r="F1882" s="25" t="str">
        <f>IFERROR(INDEX(#REF!,MATCH(O1882,#REF!,0)),"")</f>
        <v/>
      </c>
      <c r="G1882" s="25" t="str">
        <f>IFERROR(INDEX(#REF!,MATCH(O1882,#REF!,0)),"")</f>
        <v/>
      </c>
      <c r="H1882" s="25" t="str">
        <f>IFERROR(INDEX(#REF!,MATCH(O1882,#REF!,0)),"")</f>
        <v/>
      </c>
      <c r="I1882" s="25" t="str">
        <f>IFERROR(INDEX(#REF!,MATCH(O1882,#REF!,0)),"")</f>
        <v/>
      </c>
      <c r="J1882" s="25" t="str">
        <f>IFERROR(INDEX(#REF!,MATCH(O1882,#REF!,0)),"")</f>
        <v/>
      </c>
      <c r="K1882" s="25" t="str">
        <f>IFERROR(INDEX(#REF!,MATCH(O1882,#REF!,0)),"")</f>
        <v/>
      </c>
      <c r="L1882" s="25" t="str">
        <f>IFERROR(INDEX(#REF!,MATCH(O1882,#REF!,0)),"")</f>
        <v/>
      </c>
      <c r="P1882" s="27" t="str">
        <f>IFERROR(INDEX(#REF!,MATCH($O1882,#REF!,0)),"")</f>
        <v/>
      </c>
      <c r="Q1882" s="27" t="str">
        <f>IFERROR(INDEX(#REF!,MATCH($O1882,#REF!,0)),"")</f>
        <v/>
      </c>
      <c r="R1882" s="52" t="str">
        <f>IFERROR(IF(AR1883=AR1882,INDEX(#REF!,MATCH($O1882,#REF!,0))-IF(AN1882="",0,AN1882)+AP1883,INDEX(#REF!,MATCH($O1882,#REF!,0))-IF(AN1882="",0,AN1882)),"")</f>
        <v/>
      </c>
      <c r="S1882" s="53" t="str">
        <f t="shared" si="924"/>
        <v/>
      </c>
      <c r="T1882" s="52" t="str">
        <f t="shared" si="925"/>
        <v/>
      </c>
      <c r="U1882" s="52" t="str">
        <f>IFERROR(IF(AR1883=AR1882,INDEX(#REF!,MATCH($O1882,#REF!,0))-IF(AN1882="",0,AN1882)+AP1883,INDEX(#REF!,MATCH($O1882,#REF!,0))-IF(AN1882="",0,AN1882)),"")</f>
        <v/>
      </c>
      <c r="V1882" s="53" t="str">
        <f t="shared" si="926"/>
        <v/>
      </c>
      <c r="W1882" s="52" t="str">
        <f t="shared" si="927"/>
        <v/>
      </c>
      <c r="X1882" s="52" t="str">
        <f>IFERROR(IF(AND(AR1883=AR1882,AM1882&lt;&gt;""),INDEX(#REF!,MATCH($O1882,#REF!,0))-IF(AN1882="",0,AN1882)+AP1883+AD1882+AL1882,IF(AR1883=AR1882,INDEX(#REF!,MATCH($O1882,#REF!,0))-IF(AN1882="",0,AN1882)+AP1883+AD1882,IF(AM1882&lt;&gt;"",INDEX(#REF!,MATCH($O1882,#REF!,0))-IF(AN1882="",0,AN1882)+AD1882+AL1882,INDEX(#REF!,MATCH($O1882,#REF!,0))-IF(AN1882="",0,AN1882)+AD1882))),"")</f>
        <v/>
      </c>
      <c r="Y1882" s="53" t="str">
        <f t="shared" si="928"/>
        <v/>
      </c>
      <c r="Z1882" s="52" t="str">
        <f>IF(L1882="","",INDEX(#REF!,MATCH($O1882,#REF!,0)))</f>
        <v/>
      </c>
      <c r="AA1882" s="52" t="str">
        <f t="shared" si="929"/>
        <v/>
      </c>
      <c r="AB1882" s="52" t="str">
        <f>IFERROR(INDEX(#REF!,MATCH($O1882,#REF!,0)),"")</f>
        <v/>
      </c>
      <c r="AC1882" s="52" t="str">
        <f>IFERROR(IF(O1882="","",SUMIFS('CPL Mats'!F:F,'CPL Mats'!Q:Q,AR1882,'CPL Mats'!S:S,AS1882)),"")</f>
        <v/>
      </c>
      <c r="AF1882" s="25" t="e">
        <f>IF(SUMIFS(#REF!,#REF!,"Releasable",#REF!,O1882)=0,"",SUMIFS(#REF!,#REF!,"Releasable",#REF!,O1882))</f>
        <v>#REF!</v>
      </c>
      <c r="AG1882" s="25" t="str">
        <f>IFERROR(INDEX(#REF!,MATCH(O1882,#REF!,0)),"")</f>
        <v/>
      </c>
      <c r="AH1882" s="25" t="str">
        <f>IFERROR(INDEX(#REF!,MATCH($O1882,#REF!,0)),"")</f>
        <v/>
      </c>
      <c r="AI1882" s="25" t="e">
        <f>IF(SUMIFS(#REF!,#REF!,"Expires this month",#REF!,O1882)=0,"",SUMIFS(#REF!,#REF!,"Expires this month",#REF!,O1882))</f>
        <v>#REF!</v>
      </c>
      <c r="AJ1882" s="25" t="e">
        <f>IF(SUMIFS(#REF!,#REF!,"Expired Previous Months",#REF!,O1882)=0,"",SUMIFS(#REF!,#REF!,"Expired Previous Months",#REF!,O1882))</f>
        <v>#REF!</v>
      </c>
      <c r="AK1882" s="25" t="str">
        <f>IFERROR(INDEX('Hun Release Current'!B:B,MATCH(O1882,'Hun Release Current'!A:A,0)),"")</f>
        <v/>
      </c>
      <c r="AL1882" s="25" t="str">
        <f>IF(SUMIF('Prev Aub'!A:A,O1882,'Prev Aub'!B:B)=0,"",SUMIF('Prev Aub'!A:A,O1882,'Prev Aub'!B:B))</f>
        <v/>
      </c>
      <c r="AN1882" s="25" t="s">
        <v>3790</v>
      </c>
      <c r="AO1882" s="25" t="s">
        <v>3790</v>
      </c>
      <c r="AP1882" s="25" t="str">
        <f t="shared" si="951"/>
        <v/>
      </c>
      <c r="AQ1882" s="151" t="e">
        <f>IF(SUMIFS(#REF!,#REF!,O1882,#REF!,"PENDING")=0,"",SUMIFS(#REF!,#REF!,O1882,#REF!,"PENDING"))</f>
        <v>#REF!</v>
      </c>
      <c r="AR1882" s="27" t="str">
        <f t="shared" si="930"/>
        <v/>
      </c>
      <c r="AS1882" s="27" t="str">
        <f t="shared" si="931"/>
        <v/>
      </c>
      <c r="AT1882" s="27" t="str">
        <f t="shared" si="932"/>
        <v/>
      </c>
      <c r="AU1882" s="27" t="str">
        <f t="shared" si="933"/>
        <v/>
      </c>
      <c r="AV1882" s="27" t="str">
        <f t="shared" si="934"/>
        <v/>
      </c>
      <c r="AW1882" s="27" t="e">
        <f t="shared" si="935"/>
        <v>#REF!</v>
      </c>
      <c r="AX1882" s="27" t="e">
        <f t="shared" si="936"/>
        <v>#REF!</v>
      </c>
      <c r="AY1882" s="27" t="str">
        <f t="shared" si="937"/>
        <v/>
      </c>
      <c r="AZ1882" s="27" t="str">
        <f t="shared" si="938"/>
        <v/>
      </c>
      <c r="BA1882" s="27" t="str">
        <f t="shared" si="939"/>
        <v/>
      </c>
      <c r="BB1882" s="27" t="str">
        <f t="shared" si="940"/>
        <v/>
      </c>
      <c r="BC1882" s="27" t="str">
        <f t="shared" si="941"/>
        <v/>
      </c>
      <c r="BD1882" s="27" t="str">
        <f t="shared" si="942"/>
        <v/>
      </c>
      <c r="BE1882" s="27" t="str">
        <f t="shared" si="943"/>
        <v/>
      </c>
      <c r="BF1882" s="27" t="str">
        <f t="shared" si="944"/>
        <v/>
      </c>
      <c r="BG1882" s="27" t="str">
        <f t="shared" si="945"/>
        <v/>
      </c>
      <c r="BH1882" s="27" t="str">
        <f t="shared" si="946"/>
        <v/>
      </c>
      <c r="BI1882" s="27" t="str">
        <f t="shared" si="947"/>
        <v/>
      </c>
      <c r="BJ1882" s="27" t="str">
        <f t="shared" si="948"/>
        <v/>
      </c>
      <c r="BK1882" s="27" t="str">
        <f t="shared" si="949"/>
        <v/>
      </c>
      <c r="BL1882" s="27" t="str">
        <f t="shared" si="950"/>
        <v/>
      </c>
      <c r="BM1882" s="21" t="s">
        <v>3790</v>
      </c>
    </row>
    <row r="1883" spans="1:65" ht="15">
      <c r="A1883" s="25" t="str">
        <f>IFERROR(INDEX(#REF!,MATCH(O1883,#REF!,0)),"")</f>
        <v/>
      </c>
      <c r="B1883" s="25" t="str">
        <f>IFERROR(INDEX(#REF!,MATCH(O1883,#REF!,0)),"")</f>
        <v/>
      </c>
      <c r="C1883" s="25" t="str">
        <f>IFERROR(INDEX(#REF!,MATCH(O1883,#REF!,0)),"")</f>
        <v/>
      </c>
      <c r="D1883" s="25" t="str">
        <f>IFERROR(INDEX(#REF!,MATCH(O1883,#REF!,0)),"")</f>
        <v/>
      </c>
      <c r="E1883" s="25" t="str">
        <f>IFERROR(INDEX(#REF!,MATCH(O1883,#REF!,0)),"")</f>
        <v/>
      </c>
      <c r="F1883" s="25" t="str">
        <f>IFERROR(INDEX(#REF!,MATCH(O1883,#REF!,0)),"")</f>
        <v/>
      </c>
      <c r="G1883" s="25" t="str">
        <f>IFERROR(INDEX(#REF!,MATCH(O1883,#REF!,0)),"")</f>
        <v/>
      </c>
      <c r="H1883" s="25" t="str">
        <f>IFERROR(INDEX(#REF!,MATCH(O1883,#REF!,0)),"")</f>
        <v/>
      </c>
      <c r="I1883" s="25" t="str">
        <f>IFERROR(INDEX(#REF!,MATCH(O1883,#REF!,0)),"")</f>
        <v/>
      </c>
      <c r="J1883" s="25" t="str">
        <f>IFERROR(INDEX(#REF!,MATCH(O1883,#REF!,0)),"")</f>
        <v/>
      </c>
      <c r="K1883" s="25" t="str">
        <f>IFERROR(INDEX(#REF!,MATCH(O1883,#REF!,0)),"")</f>
        <v/>
      </c>
      <c r="L1883" s="25" t="str">
        <f>IFERROR(INDEX(#REF!,MATCH(O1883,#REF!,0)),"")</f>
        <v/>
      </c>
      <c r="P1883" s="27" t="str">
        <f>IFERROR(INDEX(#REF!,MATCH($O1883,#REF!,0)),"")</f>
        <v/>
      </c>
      <c r="Q1883" s="27" t="str">
        <f>IFERROR(INDEX(#REF!,MATCH($O1883,#REF!,0)),"")</f>
        <v/>
      </c>
      <c r="R1883" s="52" t="str">
        <f>IFERROR(IF(AR1884=AR1883,INDEX(#REF!,MATCH($O1883,#REF!,0))-IF(AN1883="",0,AN1883)+AP1884,INDEX(#REF!,MATCH($O1883,#REF!,0))-IF(AN1883="",0,AN1883)),"")</f>
        <v/>
      </c>
      <c r="S1883" s="53" t="str">
        <f t="shared" si="924"/>
        <v/>
      </c>
      <c r="T1883" s="52" t="str">
        <f t="shared" si="925"/>
        <v/>
      </c>
      <c r="U1883" s="52" t="str">
        <f>IFERROR(IF(AR1884=AR1883,INDEX(#REF!,MATCH($O1883,#REF!,0))-IF(AN1883="",0,AN1883)+AP1884,INDEX(#REF!,MATCH($O1883,#REF!,0))-IF(AN1883="",0,AN1883)),"")</f>
        <v/>
      </c>
      <c r="V1883" s="53" t="str">
        <f t="shared" si="926"/>
        <v/>
      </c>
      <c r="W1883" s="52" t="str">
        <f t="shared" si="927"/>
        <v/>
      </c>
      <c r="X1883" s="52" t="str">
        <f>IFERROR(IF(AND(AR1884=AR1883,AM1883&lt;&gt;""),INDEX(#REF!,MATCH($O1883,#REF!,0))-IF(AN1883="",0,AN1883)+AP1884+AD1883+AL1883,IF(AR1884=AR1883,INDEX(#REF!,MATCH($O1883,#REF!,0))-IF(AN1883="",0,AN1883)+AP1884+AD1883,IF(AM1883&lt;&gt;"",INDEX(#REF!,MATCH($O1883,#REF!,0))-IF(AN1883="",0,AN1883)+AD1883+AL1883,INDEX(#REF!,MATCH($O1883,#REF!,0))-IF(AN1883="",0,AN1883)+AD1883))),"")</f>
        <v/>
      </c>
      <c r="Y1883" s="53" t="str">
        <f t="shared" si="928"/>
        <v/>
      </c>
      <c r="Z1883" s="52" t="str">
        <f>IF(L1883="","",INDEX(#REF!,MATCH($O1883,#REF!,0)))</f>
        <v/>
      </c>
      <c r="AA1883" s="52" t="str">
        <f t="shared" si="929"/>
        <v/>
      </c>
      <c r="AB1883" s="52" t="str">
        <f>IFERROR(INDEX(#REF!,MATCH($O1883,#REF!,0)),"")</f>
        <v/>
      </c>
      <c r="AC1883" s="52" t="str">
        <f>IFERROR(IF(O1883="","",SUMIFS('CPL Mats'!F:F,'CPL Mats'!Q:Q,AR1883,'CPL Mats'!S:S,AS1883)),"")</f>
        <v/>
      </c>
      <c r="AF1883" s="25" t="e">
        <f>IF(SUMIFS(#REF!,#REF!,"Releasable",#REF!,O1883)=0,"",SUMIFS(#REF!,#REF!,"Releasable",#REF!,O1883))</f>
        <v>#REF!</v>
      </c>
      <c r="AG1883" s="25" t="str">
        <f>IFERROR(INDEX(#REF!,MATCH(O1883,#REF!,0)),"")</f>
        <v/>
      </c>
      <c r="AH1883" s="25" t="str">
        <f>IFERROR(INDEX(#REF!,MATCH($O1883,#REF!,0)),"")</f>
        <v/>
      </c>
      <c r="AI1883" s="25" t="e">
        <f>IF(SUMIFS(#REF!,#REF!,"Expires this month",#REF!,O1883)=0,"",SUMIFS(#REF!,#REF!,"Expires this month",#REF!,O1883))</f>
        <v>#REF!</v>
      </c>
      <c r="AJ1883" s="25" t="e">
        <f>IF(SUMIFS(#REF!,#REF!,"Expired Previous Months",#REF!,O1883)=0,"",SUMIFS(#REF!,#REF!,"Expired Previous Months",#REF!,O1883))</f>
        <v>#REF!</v>
      </c>
      <c r="AK1883" s="25" t="str">
        <f>IFERROR(INDEX('Hun Release Current'!B:B,MATCH(O1883,'Hun Release Current'!A:A,0)),"")</f>
        <v/>
      </c>
      <c r="AL1883" s="25" t="str">
        <f>IF(SUMIF('Prev Aub'!A:A,O1883,'Prev Aub'!B:B)=0,"",SUMIF('Prev Aub'!A:A,O1883,'Prev Aub'!B:B))</f>
        <v/>
      </c>
      <c r="AN1883" s="25" t="s">
        <v>3790</v>
      </c>
      <c r="AO1883" s="25" t="s">
        <v>3790</v>
      </c>
      <c r="AP1883" s="25" t="str">
        <f t="shared" si="951"/>
        <v/>
      </c>
      <c r="AQ1883" s="151" t="e">
        <f>IF(SUMIFS(#REF!,#REF!,O1883,#REF!,"PENDING")=0,"",SUMIFS(#REF!,#REF!,O1883,#REF!,"PENDING"))</f>
        <v>#REF!</v>
      </c>
      <c r="AR1883" s="27" t="str">
        <f t="shared" si="930"/>
        <v/>
      </c>
      <c r="AS1883" s="27" t="str">
        <f t="shared" si="931"/>
        <v/>
      </c>
      <c r="AT1883" s="27" t="str">
        <f t="shared" si="932"/>
        <v/>
      </c>
      <c r="AU1883" s="27" t="str">
        <f t="shared" si="933"/>
        <v/>
      </c>
      <c r="AV1883" s="27" t="str">
        <f t="shared" si="934"/>
        <v/>
      </c>
      <c r="AW1883" s="27" t="e">
        <f t="shared" si="935"/>
        <v>#REF!</v>
      </c>
      <c r="AX1883" s="27" t="e">
        <f t="shared" si="936"/>
        <v>#REF!</v>
      </c>
      <c r="AY1883" s="27" t="str">
        <f t="shared" si="937"/>
        <v/>
      </c>
      <c r="AZ1883" s="27" t="str">
        <f t="shared" si="938"/>
        <v/>
      </c>
      <c r="BA1883" s="27" t="str">
        <f t="shared" si="939"/>
        <v/>
      </c>
      <c r="BB1883" s="27" t="str">
        <f t="shared" si="940"/>
        <v/>
      </c>
      <c r="BC1883" s="27" t="str">
        <f t="shared" si="941"/>
        <v/>
      </c>
      <c r="BD1883" s="27" t="str">
        <f t="shared" si="942"/>
        <v/>
      </c>
      <c r="BE1883" s="27" t="str">
        <f t="shared" si="943"/>
        <v/>
      </c>
      <c r="BF1883" s="27" t="str">
        <f t="shared" si="944"/>
        <v/>
      </c>
      <c r="BG1883" s="27" t="str">
        <f t="shared" si="945"/>
        <v/>
      </c>
      <c r="BH1883" s="27" t="str">
        <f t="shared" si="946"/>
        <v/>
      </c>
      <c r="BI1883" s="27" t="str">
        <f t="shared" si="947"/>
        <v/>
      </c>
      <c r="BJ1883" s="27" t="str">
        <f t="shared" si="948"/>
        <v/>
      </c>
      <c r="BK1883" s="27" t="str">
        <f t="shared" si="949"/>
        <v/>
      </c>
      <c r="BL1883" s="27" t="str">
        <f t="shared" si="950"/>
        <v/>
      </c>
      <c r="BM1883" s="21" t="s">
        <v>3790</v>
      </c>
    </row>
    <row r="1884" spans="1:65">
      <c r="A1884" s="25" t="str">
        <f>IFERROR(INDEX(#REF!,MATCH(O1884,#REF!,0)),"")</f>
        <v/>
      </c>
      <c r="AK1884" s="25" t="str">
        <f>IFERROR(INDEX('Hun Release Current'!B:B,MATCH(O1884,'Hun Release Current'!A:A,0)),"")</f>
        <v/>
      </c>
      <c r="AN1884" s="25" t="s">
        <v>3790</v>
      </c>
      <c r="AO1884" s="25" t="s">
        <v>3790</v>
      </c>
      <c r="BL1884" s="27" t="str">
        <f t="shared" si="950"/>
        <v/>
      </c>
      <c r="BM1884" s="21" t="s">
        <v>3790</v>
      </c>
    </row>
    <row r="1885" spans="1:65">
      <c r="A1885" s="25" t="str">
        <f>IFERROR(INDEX(#REF!,MATCH(O1885,#REF!,0)),"")</f>
        <v/>
      </c>
      <c r="AK1885" s="25" t="str">
        <f>IFERROR(INDEX('Hun Release Current'!B:B,MATCH(O1885,'Hun Release Current'!A:A,0)),"")</f>
        <v/>
      </c>
      <c r="AN1885" s="25" t="s">
        <v>3790</v>
      </c>
      <c r="AO1885" s="25" t="s">
        <v>3790</v>
      </c>
      <c r="BL1885" s="27" t="str">
        <f t="shared" si="950"/>
        <v/>
      </c>
      <c r="BM1885" s="21" t="s">
        <v>3790</v>
      </c>
    </row>
    <row r="1886" spans="1:65">
      <c r="A1886" s="25" t="str">
        <f>IFERROR(INDEX(#REF!,MATCH(O1886,#REF!,0)),"")</f>
        <v/>
      </c>
      <c r="AK1886" s="25" t="str">
        <f>IFERROR(INDEX('Hun Release Current'!B:B,MATCH(O1886,'Hun Release Current'!A:A,0)),"")</f>
        <v/>
      </c>
      <c r="AN1886" s="25" t="s">
        <v>3790</v>
      </c>
      <c r="AO1886" s="25" t="s">
        <v>3790</v>
      </c>
      <c r="BL1886" s="27" t="str">
        <f t="shared" si="950"/>
        <v/>
      </c>
      <c r="BM1886" s="21" t="s">
        <v>3790</v>
      </c>
    </row>
    <row r="1887" spans="1:65">
      <c r="A1887" s="25" t="str">
        <f>IFERROR(INDEX(#REF!,MATCH(O1887,#REF!,0)),"")</f>
        <v/>
      </c>
      <c r="AK1887" s="25" t="str">
        <f>IFERROR(INDEX('Hun Release Current'!B:B,MATCH(O1887,'Hun Release Current'!A:A,0)),"")</f>
        <v/>
      </c>
      <c r="AN1887" s="25" t="s">
        <v>3790</v>
      </c>
      <c r="AO1887" s="25" t="s">
        <v>3790</v>
      </c>
      <c r="BL1887" s="27" t="str">
        <f t="shared" si="950"/>
        <v/>
      </c>
      <c r="BM1887" s="21" t="s">
        <v>3790</v>
      </c>
    </row>
    <row r="1888" spans="1:65">
      <c r="A1888" s="25" t="str">
        <f>IFERROR(INDEX(#REF!,MATCH(O1888,#REF!,0)),"")</f>
        <v/>
      </c>
      <c r="AK1888" s="25" t="str">
        <f>IFERROR(INDEX('Hun Release Current'!B:B,MATCH(O1888,'Hun Release Current'!A:A,0)),"")</f>
        <v/>
      </c>
      <c r="AN1888" s="25" t="s">
        <v>3790</v>
      </c>
      <c r="AO1888" s="25" t="s">
        <v>3790</v>
      </c>
      <c r="BL1888" s="27" t="str">
        <f t="shared" si="950"/>
        <v/>
      </c>
      <c r="BM1888" s="21" t="s">
        <v>3790</v>
      </c>
    </row>
    <row r="1889" spans="1:65">
      <c r="A1889" s="25" t="str">
        <f>IFERROR(INDEX(#REF!,MATCH(O1889,#REF!,0)),"")</f>
        <v/>
      </c>
      <c r="AK1889" s="25" t="str">
        <f>IFERROR(INDEX('Hun Release Current'!B:B,MATCH(O1889,'Hun Release Current'!A:A,0)),"")</f>
        <v/>
      </c>
      <c r="AN1889" s="25" t="s">
        <v>3790</v>
      </c>
      <c r="AO1889" s="25" t="s">
        <v>3790</v>
      </c>
      <c r="BL1889" s="27" t="str">
        <f t="shared" si="950"/>
        <v/>
      </c>
      <c r="BM1889" s="21" t="s">
        <v>3790</v>
      </c>
    </row>
    <row r="1890" spans="1:65">
      <c r="A1890" s="25" t="str">
        <f>IFERROR(INDEX(#REF!,MATCH(O1890,#REF!,0)),"")</f>
        <v/>
      </c>
      <c r="AK1890" s="25" t="str">
        <f>IFERROR(INDEX('Hun Release Current'!B:B,MATCH(O1890,'Hun Release Current'!A:A,0)),"")</f>
        <v/>
      </c>
      <c r="AN1890" s="25" t="s">
        <v>3790</v>
      </c>
      <c r="AO1890" s="25" t="s">
        <v>3790</v>
      </c>
      <c r="BL1890" s="27" t="str">
        <f t="shared" si="950"/>
        <v/>
      </c>
      <c r="BM1890" s="21" t="s">
        <v>3790</v>
      </c>
    </row>
    <row r="1891" spans="1:65">
      <c r="A1891" s="25" t="str">
        <f>IFERROR(INDEX(#REF!,MATCH(O1891,#REF!,0)),"")</f>
        <v/>
      </c>
      <c r="AK1891" s="25" t="str">
        <f>IFERROR(INDEX('Hun Release Current'!B:B,MATCH(O1891,'Hun Release Current'!A:A,0)),"")</f>
        <v/>
      </c>
      <c r="AN1891" s="25" t="s">
        <v>3790</v>
      </c>
      <c r="AO1891" s="25" t="s">
        <v>3790</v>
      </c>
      <c r="BL1891" s="27" t="str">
        <f t="shared" si="950"/>
        <v/>
      </c>
      <c r="BM1891" s="21" t="s">
        <v>3790</v>
      </c>
    </row>
    <row r="1892" spans="1:65">
      <c r="A1892" s="25" t="str">
        <f>IFERROR(INDEX(#REF!,MATCH(O1892,#REF!,0)),"")</f>
        <v/>
      </c>
      <c r="AK1892" s="25" t="str">
        <f>IFERROR(INDEX('Hun Release Current'!B:B,MATCH(O1892,'Hun Release Current'!A:A,0)),"")</f>
        <v/>
      </c>
      <c r="AN1892" s="25" t="s">
        <v>3790</v>
      </c>
      <c r="AO1892" s="25" t="s">
        <v>3790</v>
      </c>
      <c r="BL1892" s="27" t="str">
        <f t="shared" si="950"/>
        <v/>
      </c>
      <c r="BM1892" s="21" t="s">
        <v>3790</v>
      </c>
    </row>
    <row r="1893" spans="1:65">
      <c r="A1893" s="25" t="str">
        <f>IFERROR(INDEX(#REF!,MATCH(O1893,#REF!,0)),"")</f>
        <v/>
      </c>
      <c r="AK1893" s="25" t="str">
        <f>IFERROR(INDEX('Hun Release Current'!B:B,MATCH(O1893,'Hun Release Current'!A:A,0)),"")</f>
        <v/>
      </c>
      <c r="AN1893" s="25" t="s">
        <v>3790</v>
      </c>
      <c r="AO1893" s="25" t="s">
        <v>3790</v>
      </c>
      <c r="BL1893" s="27" t="str">
        <f t="shared" si="950"/>
        <v/>
      </c>
      <c r="BM1893" s="21" t="s">
        <v>3790</v>
      </c>
    </row>
    <row r="1894" spans="1:65">
      <c r="A1894" s="25" t="str">
        <f>IFERROR(INDEX(#REF!,MATCH(O1894,#REF!,0)),"")</f>
        <v/>
      </c>
      <c r="AK1894" s="25" t="str">
        <f>IFERROR(INDEX('Hun Release Current'!B:B,MATCH(O1894,'Hun Release Current'!A:A,0)),"")</f>
        <v/>
      </c>
      <c r="AN1894" s="25" t="s">
        <v>3790</v>
      </c>
      <c r="AO1894" s="25" t="s">
        <v>3790</v>
      </c>
      <c r="BL1894" s="27" t="str">
        <f t="shared" si="950"/>
        <v/>
      </c>
      <c r="BM1894" s="21" t="s">
        <v>3790</v>
      </c>
    </row>
    <row r="1895" spans="1:65">
      <c r="A1895" s="25" t="str">
        <f>IFERROR(INDEX(#REF!,MATCH(O1895,#REF!,0)),"")</f>
        <v/>
      </c>
      <c r="AK1895" s="25" t="str">
        <f>IFERROR(INDEX('Hun Release Current'!B:B,MATCH(O1895,'Hun Release Current'!A:A,0)),"")</f>
        <v/>
      </c>
      <c r="AN1895" s="25" t="s">
        <v>3790</v>
      </c>
      <c r="AO1895" s="25" t="s">
        <v>3790</v>
      </c>
      <c r="BL1895" s="27" t="str">
        <f t="shared" si="950"/>
        <v/>
      </c>
      <c r="BM1895" s="21" t="s">
        <v>3790</v>
      </c>
    </row>
    <row r="1896" spans="1:65">
      <c r="A1896" s="25" t="str">
        <f>IFERROR(INDEX(#REF!,MATCH(O1896,#REF!,0)),"")</f>
        <v/>
      </c>
      <c r="AK1896" s="25" t="str">
        <f>IFERROR(INDEX('Hun Release Current'!B:B,MATCH(O1896,'Hun Release Current'!A:A,0)),"")</f>
        <v/>
      </c>
      <c r="AN1896" s="25" t="s">
        <v>3790</v>
      </c>
      <c r="AO1896" s="25" t="s">
        <v>3790</v>
      </c>
      <c r="BL1896" s="27" t="str">
        <f t="shared" si="950"/>
        <v/>
      </c>
      <c r="BM1896" s="21" t="s">
        <v>3790</v>
      </c>
    </row>
    <row r="1897" spans="1:65">
      <c r="A1897" s="25" t="str">
        <f>IFERROR(INDEX(#REF!,MATCH(O1897,#REF!,0)),"")</f>
        <v/>
      </c>
      <c r="AK1897" s="25" t="str">
        <f>IFERROR(INDEX('Hun Release Current'!B:B,MATCH(O1897,'Hun Release Current'!A:A,0)),"")</f>
        <v/>
      </c>
      <c r="AN1897" s="25" t="s">
        <v>3790</v>
      </c>
      <c r="AO1897" s="25" t="s">
        <v>3790</v>
      </c>
      <c r="BL1897" s="27" t="str">
        <f t="shared" si="950"/>
        <v/>
      </c>
      <c r="BM1897" s="21" t="s">
        <v>3790</v>
      </c>
    </row>
    <row r="1898" spans="1:65">
      <c r="A1898" s="25" t="str">
        <f>IFERROR(INDEX(#REF!,MATCH(O1898,#REF!,0)),"")</f>
        <v/>
      </c>
      <c r="AK1898" s="25" t="str">
        <f>IFERROR(INDEX('Hun Release Current'!B:B,MATCH(O1898,'Hun Release Current'!A:A,0)),"")</f>
        <v/>
      </c>
      <c r="AN1898" s="25" t="s">
        <v>3790</v>
      </c>
      <c r="AO1898" s="25" t="s">
        <v>3790</v>
      </c>
      <c r="BL1898" s="27" t="str">
        <f t="shared" si="950"/>
        <v/>
      </c>
      <c r="BM1898" s="21" t="s">
        <v>3790</v>
      </c>
    </row>
    <row r="1899" spans="1:65">
      <c r="A1899" s="25" t="str">
        <f>IFERROR(INDEX(#REF!,MATCH(O1899,#REF!,0)),"")</f>
        <v/>
      </c>
      <c r="AK1899" s="25" t="str">
        <f>IFERROR(INDEX('Hun Release Current'!B:B,MATCH(O1899,'Hun Release Current'!A:A,0)),"")</f>
        <v/>
      </c>
      <c r="AN1899" s="25" t="s">
        <v>3790</v>
      </c>
      <c r="AO1899" s="25" t="s">
        <v>3790</v>
      </c>
      <c r="BL1899" s="27" t="str">
        <f t="shared" si="950"/>
        <v/>
      </c>
      <c r="BM1899" s="21" t="s">
        <v>3790</v>
      </c>
    </row>
    <row r="1900" spans="1:65">
      <c r="A1900" s="25" t="str">
        <f>IFERROR(INDEX(#REF!,MATCH(O1900,#REF!,0)),"")</f>
        <v/>
      </c>
      <c r="AK1900" s="25" t="str">
        <f>IFERROR(INDEX('Hun Release Current'!B:B,MATCH(O1900,'Hun Release Current'!A:A,0)),"")</f>
        <v/>
      </c>
      <c r="AN1900" s="25" t="s">
        <v>3790</v>
      </c>
      <c r="AO1900" s="25" t="s">
        <v>3790</v>
      </c>
      <c r="BL1900" s="27" t="str">
        <f t="shared" si="950"/>
        <v/>
      </c>
      <c r="BM1900" s="21" t="s">
        <v>3790</v>
      </c>
    </row>
    <row r="1901" spans="1:65">
      <c r="A1901" s="25" t="str">
        <f>IFERROR(INDEX(#REF!,MATCH(O1901,#REF!,0)),"")</f>
        <v/>
      </c>
      <c r="AK1901" s="25" t="str">
        <f>IFERROR(INDEX('Hun Release Current'!B:B,MATCH(O1901,'Hun Release Current'!A:A,0)),"")</f>
        <v/>
      </c>
      <c r="AN1901" s="25" t="s">
        <v>3790</v>
      </c>
      <c r="AO1901" s="25" t="s">
        <v>3790</v>
      </c>
      <c r="BL1901" s="27" t="str">
        <f t="shared" si="950"/>
        <v/>
      </c>
      <c r="BM1901" s="21" t="s">
        <v>3790</v>
      </c>
    </row>
    <row r="1902" spans="1:65">
      <c r="A1902" s="25" t="str">
        <f>IFERROR(INDEX(#REF!,MATCH(O1902,#REF!,0)),"")</f>
        <v/>
      </c>
      <c r="AK1902" s="25" t="str">
        <f>IFERROR(INDEX('Hun Release Current'!B:B,MATCH(O1902,'Hun Release Current'!A:A,0)),"")</f>
        <v/>
      </c>
      <c r="AN1902" s="25" t="s">
        <v>3790</v>
      </c>
      <c r="AO1902" s="25" t="s">
        <v>3790</v>
      </c>
      <c r="BL1902" s="27" t="str">
        <f t="shared" si="950"/>
        <v/>
      </c>
      <c r="BM1902" s="21" t="s">
        <v>3790</v>
      </c>
    </row>
    <row r="1903" spans="1:65">
      <c r="A1903" s="25" t="str">
        <f>IFERROR(INDEX(#REF!,MATCH(O1903,#REF!,0)),"")</f>
        <v/>
      </c>
      <c r="AK1903" s="25" t="str">
        <f>IFERROR(INDEX('Hun Release Current'!B:B,MATCH(O1903,'Hun Release Current'!A:A,0)),"")</f>
        <v/>
      </c>
      <c r="AN1903" s="25" t="s">
        <v>3790</v>
      </c>
      <c r="AO1903" s="25" t="s">
        <v>3790</v>
      </c>
      <c r="BL1903" s="27" t="str">
        <f t="shared" si="950"/>
        <v/>
      </c>
      <c r="BM1903" s="21" t="s">
        <v>3790</v>
      </c>
    </row>
    <row r="1904" spans="1:65">
      <c r="A1904" s="25" t="str">
        <f>IFERROR(INDEX(#REF!,MATCH(O1904,#REF!,0)),"")</f>
        <v/>
      </c>
      <c r="AK1904" s="25" t="str">
        <f>IFERROR(INDEX('Hun Release Current'!B:B,MATCH(O1904,'Hun Release Current'!A:A,0)),"")</f>
        <v/>
      </c>
      <c r="AN1904" s="25" t="s">
        <v>3790</v>
      </c>
      <c r="AO1904" s="25" t="s">
        <v>3790</v>
      </c>
      <c r="BL1904" s="27" t="str">
        <f t="shared" si="950"/>
        <v/>
      </c>
      <c r="BM1904" s="21" t="s">
        <v>3790</v>
      </c>
    </row>
    <row r="1905" spans="1:65">
      <c r="A1905" s="25" t="str">
        <f>IFERROR(INDEX(#REF!,MATCH(O1905,#REF!,0)),"")</f>
        <v/>
      </c>
      <c r="AK1905" s="25" t="str">
        <f>IFERROR(INDEX('Hun Release Current'!B:B,MATCH(O1905,'Hun Release Current'!A:A,0)),"")</f>
        <v/>
      </c>
      <c r="AN1905" s="25" t="s">
        <v>3790</v>
      </c>
      <c r="AO1905" s="25" t="s">
        <v>3790</v>
      </c>
      <c r="BL1905" s="27" t="str">
        <f t="shared" si="950"/>
        <v/>
      </c>
      <c r="BM1905" s="21" t="s">
        <v>3790</v>
      </c>
    </row>
    <row r="1906" spans="1:65">
      <c r="A1906" s="25" t="str">
        <f>IFERROR(INDEX(#REF!,MATCH(O1906,#REF!,0)),"")</f>
        <v/>
      </c>
      <c r="AK1906" s="25" t="str">
        <f>IFERROR(INDEX('Hun Release Current'!B:B,MATCH(O1906,'Hun Release Current'!A:A,0)),"")</f>
        <v/>
      </c>
      <c r="AN1906" s="25" t="s">
        <v>3790</v>
      </c>
      <c r="AO1906" s="25" t="s">
        <v>3790</v>
      </c>
      <c r="BL1906" s="27" t="str">
        <f t="shared" si="950"/>
        <v/>
      </c>
      <c r="BM1906" s="21" t="s">
        <v>3790</v>
      </c>
    </row>
    <row r="1907" spans="1:65">
      <c r="A1907" s="25" t="str">
        <f>IFERROR(INDEX(#REF!,MATCH(O1907,#REF!,0)),"")</f>
        <v/>
      </c>
      <c r="AK1907" s="25" t="str">
        <f>IFERROR(INDEX('Hun Release Current'!B:B,MATCH(O1907,'Hun Release Current'!A:A,0)),"")</f>
        <v/>
      </c>
      <c r="AN1907" s="25" t="s">
        <v>3790</v>
      </c>
      <c r="AO1907" s="25" t="s">
        <v>3790</v>
      </c>
      <c r="BL1907" s="27" t="str">
        <f t="shared" si="950"/>
        <v/>
      </c>
      <c r="BM1907" s="21" t="s">
        <v>3790</v>
      </c>
    </row>
    <row r="1908" spans="1:65">
      <c r="A1908" s="25" t="str">
        <f>IFERROR(INDEX(#REF!,MATCH(O1908,#REF!,0)),"")</f>
        <v/>
      </c>
      <c r="AK1908" s="25" t="str">
        <f>IFERROR(INDEX('Hun Release Current'!B:B,MATCH(O1908,'Hun Release Current'!A:A,0)),"")</f>
        <v/>
      </c>
      <c r="AN1908" s="25" t="s">
        <v>3790</v>
      </c>
      <c r="AO1908" s="25" t="s">
        <v>3790</v>
      </c>
      <c r="BL1908" s="27" t="str">
        <f t="shared" si="950"/>
        <v/>
      </c>
      <c r="BM1908" s="21" t="s">
        <v>3790</v>
      </c>
    </row>
    <row r="1909" spans="1:65">
      <c r="A1909" s="25" t="str">
        <f>IFERROR(INDEX(#REF!,MATCH(O1909,#REF!,0)),"")</f>
        <v/>
      </c>
      <c r="AK1909" s="25" t="str">
        <f>IFERROR(INDEX('Hun Release Current'!B:B,MATCH(O1909,'Hun Release Current'!A:A,0)),"")</f>
        <v/>
      </c>
      <c r="AN1909" s="25" t="s">
        <v>3790</v>
      </c>
      <c r="AO1909" s="25" t="s">
        <v>3790</v>
      </c>
      <c r="BL1909" s="27" t="str">
        <f t="shared" si="950"/>
        <v/>
      </c>
      <c r="BM1909" s="21" t="s">
        <v>3790</v>
      </c>
    </row>
    <row r="1910" spans="1:65">
      <c r="A1910" s="25" t="str">
        <f>IFERROR(INDEX(#REF!,MATCH(O1910,#REF!,0)),"")</f>
        <v/>
      </c>
      <c r="AK1910" s="25" t="str">
        <f>IFERROR(INDEX('Hun Release Current'!B:B,MATCH(O1910,'Hun Release Current'!A:A,0)),"")</f>
        <v/>
      </c>
      <c r="AN1910" s="25" t="s">
        <v>3790</v>
      </c>
      <c r="AO1910" s="25" t="s">
        <v>3790</v>
      </c>
      <c r="BL1910" s="27" t="str">
        <f t="shared" si="950"/>
        <v/>
      </c>
      <c r="BM1910" s="21" t="s">
        <v>3790</v>
      </c>
    </row>
    <row r="1911" spans="1:65">
      <c r="A1911" s="25" t="str">
        <f>IFERROR(INDEX(#REF!,MATCH(O1911,#REF!,0)),"")</f>
        <v/>
      </c>
      <c r="AK1911" s="25" t="str">
        <f>IFERROR(INDEX('Hun Release Current'!B:B,MATCH(O1911,'Hun Release Current'!A:A,0)),"")</f>
        <v/>
      </c>
      <c r="AN1911" s="25" t="s">
        <v>3790</v>
      </c>
      <c r="AO1911" s="25" t="s">
        <v>3790</v>
      </c>
      <c r="BL1911" s="27" t="str">
        <f t="shared" si="950"/>
        <v/>
      </c>
      <c r="BM1911" s="21" t="s">
        <v>3790</v>
      </c>
    </row>
    <row r="1912" spans="1:65">
      <c r="A1912" s="25" t="str">
        <f>IFERROR(INDEX(#REF!,MATCH(O1912,#REF!,0)),"")</f>
        <v/>
      </c>
      <c r="AK1912" s="25" t="str">
        <f>IFERROR(INDEX('Hun Release Current'!B:B,MATCH(O1912,'Hun Release Current'!A:A,0)),"")</f>
        <v/>
      </c>
      <c r="AN1912" s="25" t="s">
        <v>3790</v>
      </c>
      <c r="AO1912" s="25" t="s">
        <v>3790</v>
      </c>
      <c r="BL1912" s="27" t="str">
        <f t="shared" si="950"/>
        <v/>
      </c>
      <c r="BM1912" s="21" t="s">
        <v>3790</v>
      </c>
    </row>
    <row r="1913" spans="1:65">
      <c r="A1913" s="25" t="str">
        <f>IFERROR(INDEX(#REF!,MATCH(O1913,#REF!,0)),"")</f>
        <v/>
      </c>
      <c r="AK1913" s="25" t="str">
        <f>IFERROR(INDEX('Hun Release Current'!B:B,MATCH(O1913,'Hun Release Current'!A:A,0)),"")</f>
        <v/>
      </c>
      <c r="AN1913" s="25" t="s">
        <v>3790</v>
      </c>
      <c r="AO1913" s="25" t="s">
        <v>3790</v>
      </c>
      <c r="BL1913" s="27" t="str">
        <f t="shared" si="950"/>
        <v/>
      </c>
      <c r="BM1913" s="21" t="s">
        <v>3790</v>
      </c>
    </row>
    <row r="1914" spans="1:65">
      <c r="A1914" s="25" t="str">
        <f>IFERROR(INDEX(#REF!,MATCH(O1914,#REF!,0)),"")</f>
        <v/>
      </c>
      <c r="AK1914" s="25" t="str">
        <f>IFERROR(INDEX('Hun Release Current'!B:B,MATCH(O1914,'Hun Release Current'!A:A,0)),"")</f>
        <v/>
      </c>
      <c r="AN1914" s="25" t="s">
        <v>3790</v>
      </c>
      <c r="AO1914" s="25" t="s">
        <v>3790</v>
      </c>
      <c r="BL1914" s="27" t="str">
        <f t="shared" si="950"/>
        <v/>
      </c>
      <c r="BM1914" s="21" t="s">
        <v>3790</v>
      </c>
    </row>
    <row r="1915" spans="1:65">
      <c r="A1915" s="25" t="str">
        <f>IFERROR(INDEX(#REF!,MATCH(O1915,#REF!,0)),"")</f>
        <v/>
      </c>
      <c r="AK1915" s="25" t="str">
        <f>IFERROR(INDEX('Hun Release Current'!B:B,MATCH(O1915,'Hun Release Current'!A:A,0)),"")</f>
        <v/>
      </c>
      <c r="AN1915" s="25" t="s">
        <v>3790</v>
      </c>
      <c r="AO1915" s="25" t="s">
        <v>3790</v>
      </c>
      <c r="BL1915" s="27" t="str">
        <f t="shared" si="950"/>
        <v/>
      </c>
      <c r="BM1915" s="21" t="s">
        <v>3790</v>
      </c>
    </row>
    <row r="1916" spans="1:65">
      <c r="A1916" s="25" t="str">
        <f>IFERROR(INDEX(#REF!,MATCH(O1916,#REF!,0)),"")</f>
        <v/>
      </c>
      <c r="AK1916" s="25" t="str">
        <f>IFERROR(INDEX('Hun Release Current'!B:B,MATCH(O1916,'Hun Release Current'!A:A,0)),"")</f>
        <v/>
      </c>
      <c r="AN1916" s="25" t="s">
        <v>3790</v>
      </c>
      <c r="AO1916" s="25" t="s">
        <v>3790</v>
      </c>
      <c r="BL1916" s="27" t="str">
        <f t="shared" si="950"/>
        <v/>
      </c>
      <c r="BM1916" s="21" t="s">
        <v>3790</v>
      </c>
    </row>
    <row r="1917" spans="1:65">
      <c r="A1917" s="25" t="str">
        <f>IFERROR(INDEX(#REF!,MATCH(O1917,#REF!,0)),"")</f>
        <v/>
      </c>
      <c r="AK1917" s="25" t="str">
        <f>IFERROR(INDEX('Hun Release Current'!B:B,MATCH(O1917,'Hun Release Current'!A:A,0)),"")</f>
        <v/>
      </c>
      <c r="AN1917" s="25" t="s">
        <v>3790</v>
      </c>
      <c r="AO1917" s="25" t="s">
        <v>3790</v>
      </c>
      <c r="BL1917" s="27" t="str">
        <f t="shared" si="950"/>
        <v/>
      </c>
      <c r="BM1917" s="21" t="s">
        <v>3790</v>
      </c>
    </row>
    <row r="1918" spans="1:65">
      <c r="A1918" s="25" t="str">
        <f>IFERROR(INDEX(#REF!,MATCH(O1918,#REF!,0)),"")</f>
        <v/>
      </c>
      <c r="AK1918" s="25" t="str">
        <f>IFERROR(INDEX('Hun Release Current'!B:B,MATCH(O1918,'Hun Release Current'!A:A,0)),"")</f>
        <v/>
      </c>
      <c r="AN1918" s="25" t="s">
        <v>3790</v>
      </c>
      <c r="AO1918" s="25" t="s">
        <v>3790</v>
      </c>
      <c r="BL1918" s="27" t="str">
        <f t="shared" si="950"/>
        <v/>
      </c>
      <c r="BM1918" s="21" t="s">
        <v>3790</v>
      </c>
    </row>
    <row r="1919" spans="1:65">
      <c r="A1919" s="25" t="str">
        <f>IFERROR(INDEX(#REF!,MATCH(O1919,#REF!,0)),"")</f>
        <v/>
      </c>
      <c r="AK1919" s="25" t="str">
        <f>IFERROR(INDEX('Hun Release Current'!B:B,MATCH(O1919,'Hun Release Current'!A:A,0)),"")</f>
        <v/>
      </c>
      <c r="AN1919" s="25" t="s">
        <v>3790</v>
      </c>
      <c r="AO1919" s="25" t="s">
        <v>3790</v>
      </c>
      <c r="BL1919" s="27" t="str">
        <f t="shared" si="950"/>
        <v/>
      </c>
      <c r="BM1919" s="21" t="s">
        <v>3790</v>
      </c>
    </row>
    <row r="1920" spans="1:65">
      <c r="A1920" s="25" t="str">
        <f>IFERROR(INDEX(#REF!,MATCH(O1920,#REF!,0)),"")</f>
        <v/>
      </c>
      <c r="AK1920" s="25" t="str">
        <f>IFERROR(INDEX('Hun Release Current'!B:B,MATCH(O1920,'Hun Release Current'!A:A,0)),"")</f>
        <v/>
      </c>
      <c r="AN1920" s="25" t="s">
        <v>3790</v>
      </c>
      <c r="AO1920" s="25" t="s">
        <v>3790</v>
      </c>
      <c r="BL1920" s="27" t="str">
        <f t="shared" si="950"/>
        <v/>
      </c>
      <c r="BM1920" s="21" t="s">
        <v>3790</v>
      </c>
    </row>
    <row r="1921" spans="1:65">
      <c r="A1921" s="25" t="str">
        <f>IFERROR(INDEX(#REF!,MATCH(O1921,#REF!,0)),"")</f>
        <v/>
      </c>
      <c r="AK1921" s="25" t="str">
        <f>IFERROR(INDEX('Hun Release Current'!B:B,MATCH(O1921,'Hun Release Current'!A:A,0)),"")</f>
        <v/>
      </c>
      <c r="AN1921" s="25" t="s">
        <v>3790</v>
      </c>
      <c r="AO1921" s="25" t="s">
        <v>3790</v>
      </c>
      <c r="BL1921" s="27" t="str">
        <f t="shared" si="950"/>
        <v/>
      </c>
      <c r="BM1921" s="21" t="s">
        <v>3790</v>
      </c>
    </row>
    <row r="1922" spans="1:65">
      <c r="A1922" s="25" t="str">
        <f>IFERROR(INDEX(#REF!,MATCH(O1922,#REF!,0)),"")</f>
        <v/>
      </c>
      <c r="AK1922" s="25" t="str">
        <f>IFERROR(INDEX('Hun Release Current'!B:B,MATCH(O1922,'Hun Release Current'!A:A,0)),"")</f>
        <v/>
      </c>
      <c r="AN1922" s="25" t="s">
        <v>3790</v>
      </c>
      <c r="AO1922" s="25" t="s">
        <v>3790</v>
      </c>
      <c r="BL1922" s="27" t="str">
        <f t="shared" ref="BL1922:BL1985" si="952">IF(OR(BK1922&lt;&gt;"",BE1922&lt;&gt;""),"SorHandNandE","")</f>
        <v/>
      </c>
      <c r="BM1922" s="21" t="s">
        <v>3790</v>
      </c>
    </row>
    <row r="1923" spans="1:65">
      <c r="A1923" s="25" t="str">
        <f>IFERROR(INDEX(#REF!,MATCH(O1923,#REF!,0)),"")</f>
        <v/>
      </c>
      <c r="AK1923" s="25" t="str">
        <f>IFERROR(INDEX('Hun Release Current'!B:B,MATCH(O1923,'Hun Release Current'!A:A,0)),"")</f>
        <v/>
      </c>
      <c r="AN1923" s="25" t="s">
        <v>3790</v>
      </c>
      <c r="AO1923" s="25" t="s">
        <v>3790</v>
      </c>
      <c r="BL1923" s="27" t="str">
        <f t="shared" si="952"/>
        <v/>
      </c>
      <c r="BM1923" s="21" t="s">
        <v>3790</v>
      </c>
    </row>
    <row r="1924" spans="1:65">
      <c r="A1924" s="25" t="str">
        <f>IFERROR(INDEX(#REF!,MATCH(O1924,#REF!,0)),"")</f>
        <v/>
      </c>
      <c r="AK1924" s="25" t="str">
        <f>IFERROR(INDEX('Hun Release Current'!B:B,MATCH(O1924,'Hun Release Current'!A:A,0)),"")</f>
        <v/>
      </c>
      <c r="AN1924" s="25" t="s">
        <v>3790</v>
      </c>
      <c r="AO1924" s="25" t="s">
        <v>3790</v>
      </c>
      <c r="BL1924" s="27" t="str">
        <f t="shared" si="952"/>
        <v/>
      </c>
      <c r="BM1924" s="21" t="s">
        <v>3790</v>
      </c>
    </row>
    <row r="1925" spans="1:65">
      <c r="A1925" s="25" t="str">
        <f>IFERROR(INDEX(#REF!,MATCH(O1925,#REF!,0)),"")</f>
        <v/>
      </c>
      <c r="AK1925" s="25" t="str">
        <f>IFERROR(INDEX('Hun Release Current'!B:B,MATCH(O1925,'Hun Release Current'!A:A,0)),"")</f>
        <v/>
      </c>
      <c r="AN1925" s="25" t="s">
        <v>3790</v>
      </c>
      <c r="AO1925" s="25" t="s">
        <v>3790</v>
      </c>
      <c r="BL1925" s="27" t="str">
        <f t="shared" si="952"/>
        <v/>
      </c>
      <c r="BM1925" s="21" t="s">
        <v>3790</v>
      </c>
    </row>
    <row r="1926" spans="1:65">
      <c r="A1926" s="25" t="str">
        <f>IFERROR(INDEX(#REF!,MATCH(O1926,#REF!,0)),"")</f>
        <v/>
      </c>
      <c r="AK1926" s="25" t="str">
        <f>IFERROR(INDEX('Hun Release Current'!B:B,MATCH(O1926,'Hun Release Current'!A:A,0)),"")</f>
        <v/>
      </c>
      <c r="AN1926" s="25" t="s">
        <v>3790</v>
      </c>
      <c r="AO1926" s="25" t="s">
        <v>3790</v>
      </c>
      <c r="BL1926" s="27" t="str">
        <f t="shared" si="952"/>
        <v/>
      </c>
      <c r="BM1926" s="21" t="s">
        <v>3790</v>
      </c>
    </row>
    <row r="1927" spans="1:65">
      <c r="A1927" s="25" t="str">
        <f>IFERROR(INDEX(#REF!,MATCH(O1927,#REF!,0)),"")</f>
        <v/>
      </c>
      <c r="AK1927" s="25" t="str">
        <f>IFERROR(INDEX('Hun Release Current'!B:B,MATCH(O1927,'Hun Release Current'!A:A,0)),"")</f>
        <v/>
      </c>
      <c r="AN1927" s="25" t="s">
        <v>3790</v>
      </c>
      <c r="AO1927" s="25" t="s">
        <v>3790</v>
      </c>
      <c r="BL1927" s="27" t="str">
        <f t="shared" si="952"/>
        <v/>
      </c>
      <c r="BM1927" s="21" t="s">
        <v>3790</v>
      </c>
    </row>
    <row r="1928" spans="1:65">
      <c r="A1928" s="25" t="str">
        <f>IFERROR(INDEX(#REF!,MATCH(O1928,#REF!,0)),"")</f>
        <v/>
      </c>
      <c r="AK1928" s="25" t="str">
        <f>IFERROR(INDEX('Hun Release Current'!B:B,MATCH(O1928,'Hun Release Current'!A:A,0)),"")</f>
        <v/>
      </c>
      <c r="AN1928" s="25" t="s">
        <v>3790</v>
      </c>
      <c r="AO1928" s="25" t="s">
        <v>3790</v>
      </c>
      <c r="BL1928" s="27" t="str">
        <f t="shared" si="952"/>
        <v/>
      </c>
      <c r="BM1928" s="21" t="s">
        <v>3790</v>
      </c>
    </row>
    <row r="1929" spans="1:65">
      <c r="A1929" s="25" t="str">
        <f>IFERROR(INDEX(#REF!,MATCH(O1929,#REF!,0)),"")</f>
        <v/>
      </c>
      <c r="AK1929" s="25" t="str">
        <f>IFERROR(INDEX('Hun Release Current'!B:B,MATCH(O1929,'Hun Release Current'!A:A,0)),"")</f>
        <v/>
      </c>
      <c r="AN1929" s="25" t="s">
        <v>3790</v>
      </c>
      <c r="AO1929" s="25" t="s">
        <v>3790</v>
      </c>
      <c r="BL1929" s="27" t="str">
        <f t="shared" si="952"/>
        <v/>
      </c>
      <c r="BM1929" s="21" t="s">
        <v>3790</v>
      </c>
    </row>
    <row r="1930" spans="1:65">
      <c r="A1930" s="25" t="str">
        <f>IFERROR(INDEX(#REF!,MATCH(O1930,#REF!,0)),"")</f>
        <v/>
      </c>
      <c r="AK1930" s="25" t="str">
        <f>IFERROR(INDEX('Hun Release Current'!B:B,MATCH(O1930,'Hun Release Current'!A:A,0)),"")</f>
        <v/>
      </c>
      <c r="AN1930" s="25" t="s">
        <v>3790</v>
      </c>
      <c r="AO1930" s="25" t="s">
        <v>3790</v>
      </c>
      <c r="BL1930" s="27" t="str">
        <f t="shared" si="952"/>
        <v/>
      </c>
      <c r="BM1930" s="21" t="s">
        <v>3790</v>
      </c>
    </row>
    <row r="1931" spans="1:65">
      <c r="A1931" s="25" t="str">
        <f>IFERROR(INDEX(#REF!,MATCH(O1931,#REF!,0)),"")</f>
        <v/>
      </c>
      <c r="AK1931" s="25" t="str">
        <f>IFERROR(INDEX('Hun Release Current'!B:B,MATCH(O1931,'Hun Release Current'!A:A,0)),"")</f>
        <v/>
      </c>
      <c r="AN1931" s="25" t="s">
        <v>3790</v>
      </c>
      <c r="AO1931" s="25" t="s">
        <v>3790</v>
      </c>
      <c r="BL1931" s="27" t="str">
        <f t="shared" si="952"/>
        <v/>
      </c>
      <c r="BM1931" s="21" t="s">
        <v>3790</v>
      </c>
    </row>
    <row r="1932" spans="1:65">
      <c r="A1932" s="25" t="str">
        <f>IFERROR(INDEX(#REF!,MATCH(O1932,#REF!,0)),"")</f>
        <v/>
      </c>
      <c r="AK1932" s="25" t="str">
        <f>IFERROR(INDEX('Hun Release Current'!B:B,MATCH(O1932,'Hun Release Current'!A:A,0)),"")</f>
        <v/>
      </c>
      <c r="AN1932" s="25" t="s">
        <v>3790</v>
      </c>
      <c r="AO1932" s="25" t="s">
        <v>3790</v>
      </c>
      <c r="BL1932" s="27" t="str">
        <f t="shared" si="952"/>
        <v/>
      </c>
      <c r="BM1932" s="21" t="s">
        <v>3790</v>
      </c>
    </row>
    <row r="1933" spans="1:65">
      <c r="A1933" s="25" t="str">
        <f>IFERROR(INDEX(#REF!,MATCH(O1933,#REF!,0)),"")</f>
        <v/>
      </c>
      <c r="AK1933" s="25" t="str">
        <f>IFERROR(INDEX('Hun Release Current'!B:B,MATCH(O1933,'Hun Release Current'!A:A,0)),"")</f>
        <v/>
      </c>
      <c r="AN1933" s="25" t="s">
        <v>3790</v>
      </c>
      <c r="AO1933" s="25" t="s">
        <v>3790</v>
      </c>
      <c r="BL1933" s="27" t="str">
        <f t="shared" si="952"/>
        <v/>
      </c>
      <c r="BM1933" s="21" t="s">
        <v>3790</v>
      </c>
    </row>
    <row r="1934" spans="1:65">
      <c r="A1934" s="25" t="str">
        <f>IFERROR(INDEX(#REF!,MATCH(O1934,#REF!,0)),"")</f>
        <v/>
      </c>
      <c r="AK1934" s="25" t="str">
        <f>IFERROR(INDEX('Hun Release Current'!B:B,MATCH(O1934,'Hun Release Current'!A:A,0)),"")</f>
        <v/>
      </c>
      <c r="AN1934" s="25" t="s">
        <v>3790</v>
      </c>
      <c r="AO1934" s="25" t="s">
        <v>3790</v>
      </c>
      <c r="BL1934" s="27" t="str">
        <f t="shared" si="952"/>
        <v/>
      </c>
      <c r="BM1934" s="21" t="s">
        <v>3790</v>
      </c>
    </row>
    <row r="1935" spans="1:65">
      <c r="A1935" s="25" t="str">
        <f>IFERROR(INDEX(#REF!,MATCH(O1935,#REF!,0)),"")</f>
        <v/>
      </c>
      <c r="AK1935" s="25" t="str">
        <f>IFERROR(INDEX('Hun Release Current'!B:B,MATCH(O1935,'Hun Release Current'!A:A,0)),"")</f>
        <v/>
      </c>
      <c r="AN1935" s="25" t="s">
        <v>3790</v>
      </c>
      <c r="AO1935" s="25" t="s">
        <v>3790</v>
      </c>
      <c r="BL1935" s="27" t="str">
        <f t="shared" si="952"/>
        <v/>
      </c>
      <c r="BM1935" s="21" t="s">
        <v>3790</v>
      </c>
    </row>
    <row r="1936" spans="1:65">
      <c r="A1936" s="25" t="str">
        <f>IFERROR(INDEX(#REF!,MATCH(O1936,#REF!,0)),"")</f>
        <v/>
      </c>
      <c r="AK1936" s="25" t="str">
        <f>IFERROR(INDEX('Hun Release Current'!B:B,MATCH(O1936,'Hun Release Current'!A:A,0)),"")</f>
        <v/>
      </c>
      <c r="AN1936" s="25" t="s">
        <v>3790</v>
      </c>
      <c r="AO1936" s="25" t="s">
        <v>3790</v>
      </c>
      <c r="BL1936" s="27" t="str">
        <f t="shared" si="952"/>
        <v/>
      </c>
      <c r="BM1936" s="21" t="s">
        <v>3790</v>
      </c>
    </row>
    <row r="1937" spans="1:65">
      <c r="A1937" s="25" t="str">
        <f>IFERROR(INDEX(#REF!,MATCH(O1937,#REF!,0)),"")</f>
        <v/>
      </c>
      <c r="AK1937" s="25" t="str">
        <f>IFERROR(INDEX('Hun Release Current'!B:B,MATCH(O1937,'Hun Release Current'!A:A,0)),"")</f>
        <v/>
      </c>
      <c r="AN1937" s="25" t="s">
        <v>3790</v>
      </c>
      <c r="AO1937" s="25" t="s">
        <v>3790</v>
      </c>
      <c r="BL1937" s="27" t="str">
        <f t="shared" si="952"/>
        <v/>
      </c>
      <c r="BM1937" s="21" t="s">
        <v>3790</v>
      </c>
    </row>
    <row r="1938" spans="1:65">
      <c r="A1938" s="25" t="str">
        <f>IFERROR(INDEX(#REF!,MATCH(O1938,#REF!,0)),"")</f>
        <v/>
      </c>
      <c r="AK1938" s="25" t="str">
        <f>IFERROR(INDEX('Hun Release Current'!B:B,MATCH(O1938,'Hun Release Current'!A:A,0)),"")</f>
        <v/>
      </c>
      <c r="AN1938" s="25" t="s">
        <v>3790</v>
      </c>
      <c r="AO1938" s="25" t="s">
        <v>3790</v>
      </c>
      <c r="BL1938" s="27" t="str">
        <f t="shared" si="952"/>
        <v/>
      </c>
      <c r="BM1938" s="21" t="s">
        <v>3790</v>
      </c>
    </row>
    <row r="1939" spans="1:65">
      <c r="A1939" s="25" t="str">
        <f>IFERROR(INDEX(#REF!,MATCH(O1939,#REF!,0)),"")</f>
        <v/>
      </c>
      <c r="AK1939" s="25" t="str">
        <f>IFERROR(INDEX('Hun Release Current'!B:B,MATCH(O1939,'Hun Release Current'!A:A,0)),"")</f>
        <v/>
      </c>
      <c r="AN1939" s="25" t="s">
        <v>3790</v>
      </c>
      <c r="AO1939" s="25" t="s">
        <v>3790</v>
      </c>
      <c r="BL1939" s="27" t="str">
        <f t="shared" si="952"/>
        <v/>
      </c>
      <c r="BM1939" s="21" t="s">
        <v>3790</v>
      </c>
    </row>
    <row r="1940" spans="1:65">
      <c r="A1940" s="25" t="str">
        <f>IFERROR(INDEX(#REF!,MATCH(O1940,#REF!,0)),"")</f>
        <v/>
      </c>
      <c r="AK1940" s="25" t="str">
        <f>IFERROR(INDEX('Hun Release Current'!B:B,MATCH(O1940,'Hun Release Current'!A:A,0)),"")</f>
        <v/>
      </c>
      <c r="AN1940" s="25" t="s">
        <v>3790</v>
      </c>
      <c r="AO1940" s="25" t="s">
        <v>3790</v>
      </c>
      <c r="BL1940" s="27" t="str">
        <f t="shared" si="952"/>
        <v/>
      </c>
      <c r="BM1940" s="21" t="s">
        <v>3790</v>
      </c>
    </row>
    <row r="1941" spans="1:65">
      <c r="A1941" s="25" t="str">
        <f>IFERROR(INDEX(#REF!,MATCH(O1941,#REF!,0)),"")</f>
        <v/>
      </c>
      <c r="AK1941" s="25" t="str">
        <f>IFERROR(INDEX('Hun Release Current'!B:B,MATCH(O1941,'Hun Release Current'!A:A,0)),"")</f>
        <v/>
      </c>
      <c r="AN1941" s="25" t="s">
        <v>3790</v>
      </c>
      <c r="AO1941" s="25" t="s">
        <v>3790</v>
      </c>
      <c r="BL1941" s="27" t="str">
        <f t="shared" si="952"/>
        <v/>
      </c>
      <c r="BM1941" s="21" t="s">
        <v>3790</v>
      </c>
    </row>
    <row r="1942" spans="1:65">
      <c r="A1942" s="25" t="str">
        <f>IFERROR(INDEX(#REF!,MATCH(O1942,#REF!,0)),"")</f>
        <v/>
      </c>
      <c r="AK1942" s="25" t="str">
        <f>IFERROR(INDEX('Hun Release Current'!B:B,MATCH(O1942,'Hun Release Current'!A:A,0)),"")</f>
        <v/>
      </c>
      <c r="AN1942" s="25" t="s">
        <v>3790</v>
      </c>
      <c r="AO1942" s="25" t="s">
        <v>3790</v>
      </c>
      <c r="BL1942" s="27" t="str">
        <f t="shared" si="952"/>
        <v/>
      </c>
      <c r="BM1942" s="21" t="s">
        <v>3790</v>
      </c>
    </row>
    <row r="1943" spans="1:65">
      <c r="A1943" s="25" t="str">
        <f>IFERROR(INDEX(#REF!,MATCH(O1943,#REF!,0)),"")</f>
        <v/>
      </c>
      <c r="AK1943" s="25" t="str">
        <f>IFERROR(INDEX('Hun Release Current'!B:B,MATCH(O1943,'Hun Release Current'!A:A,0)),"")</f>
        <v/>
      </c>
      <c r="AN1943" s="25" t="s">
        <v>3790</v>
      </c>
      <c r="AO1943" s="25" t="s">
        <v>3790</v>
      </c>
      <c r="BL1943" s="27" t="str">
        <f t="shared" si="952"/>
        <v/>
      </c>
      <c r="BM1943" s="21" t="s">
        <v>3790</v>
      </c>
    </row>
    <row r="1944" spans="1:65">
      <c r="A1944" s="25" t="str">
        <f>IFERROR(INDEX(#REF!,MATCH(O1944,#REF!,0)),"")</f>
        <v/>
      </c>
      <c r="AK1944" s="25" t="str">
        <f>IFERROR(INDEX('Hun Release Current'!B:B,MATCH(O1944,'Hun Release Current'!A:A,0)),"")</f>
        <v/>
      </c>
      <c r="AN1944" s="25" t="s">
        <v>3790</v>
      </c>
      <c r="AO1944" s="25" t="s">
        <v>3790</v>
      </c>
      <c r="BL1944" s="27" t="str">
        <f t="shared" si="952"/>
        <v/>
      </c>
      <c r="BM1944" s="21" t="s">
        <v>3790</v>
      </c>
    </row>
    <row r="1945" spans="1:65">
      <c r="A1945" s="25" t="str">
        <f>IFERROR(INDEX(#REF!,MATCH(O1945,#REF!,0)),"")</f>
        <v/>
      </c>
      <c r="AK1945" s="25" t="str">
        <f>IFERROR(INDEX('Hun Release Current'!B:B,MATCH(O1945,'Hun Release Current'!A:A,0)),"")</f>
        <v/>
      </c>
      <c r="AN1945" s="25" t="s">
        <v>3790</v>
      </c>
      <c r="AO1945" s="25" t="s">
        <v>3790</v>
      </c>
      <c r="BL1945" s="27" t="str">
        <f t="shared" si="952"/>
        <v/>
      </c>
      <c r="BM1945" s="21" t="s">
        <v>3790</v>
      </c>
    </row>
    <row r="1946" spans="1:65">
      <c r="A1946" s="25" t="str">
        <f>IFERROR(INDEX(#REF!,MATCH(O1946,#REF!,0)),"")</f>
        <v/>
      </c>
      <c r="AK1946" s="25" t="str">
        <f>IFERROR(INDEX('Hun Release Current'!B:B,MATCH(O1946,'Hun Release Current'!A:A,0)),"")</f>
        <v/>
      </c>
      <c r="AN1946" s="25" t="s">
        <v>3790</v>
      </c>
      <c r="AO1946" s="25" t="s">
        <v>3790</v>
      </c>
      <c r="BL1946" s="27" t="str">
        <f t="shared" si="952"/>
        <v/>
      </c>
      <c r="BM1946" s="21" t="s">
        <v>3790</v>
      </c>
    </row>
    <row r="1947" spans="1:65">
      <c r="A1947" s="25" t="str">
        <f>IFERROR(INDEX(#REF!,MATCH(O1947,#REF!,0)),"")</f>
        <v/>
      </c>
      <c r="AK1947" s="25" t="str">
        <f>IFERROR(INDEX('Hun Release Current'!B:B,MATCH(O1947,'Hun Release Current'!A:A,0)),"")</f>
        <v/>
      </c>
      <c r="AN1947" s="25" t="s">
        <v>3790</v>
      </c>
      <c r="AO1947" s="25" t="s">
        <v>3790</v>
      </c>
      <c r="BL1947" s="27" t="str">
        <f t="shared" si="952"/>
        <v/>
      </c>
      <c r="BM1947" s="21" t="s">
        <v>3790</v>
      </c>
    </row>
    <row r="1948" spans="1:65">
      <c r="A1948" s="25" t="str">
        <f>IFERROR(INDEX(#REF!,MATCH(O1948,#REF!,0)),"")</f>
        <v/>
      </c>
      <c r="AK1948" s="25" t="str">
        <f>IFERROR(INDEX('Hun Release Current'!B:B,MATCH(O1948,'Hun Release Current'!A:A,0)),"")</f>
        <v/>
      </c>
      <c r="AN1948" s="25" t="s">
        <v>3790</v>
      </c>
      <c r="AO1948" s="25" t="s">
        <v>3790</v>
      </c>
      <c r="BL1948" s="27" t="str">
        <f t="shared" si="952"/>
        <v/>
      </c>
      <c r="BM1948" s="21" t="s">
        <v>3790</v>
      </c>
    </row>
    <row r="1949" spans="1:65">
      <c r="A1949" s="25" t="str">
        <f>IFERROR(INDEX(#REF!,MATCH(O1949,#REF!,0)),"")</f>
        <v/>
      </c>
      <c r="AK1949" s="25" t="str">
        <f>IFERROR(INDEX('Hun Release Current'!B:B,MATCH(O1949,'Hun Release Current'!A:A,0)),"")</f>
        <v/>
      </c>
      <c r="AN1949" s="25" t="s">
        <v>3790</v>
      </c>
      <c r="AO1949" s="25" t="s">
        <v>3790</v>
      </c>
      <c r="BL1949" s="27" t="str">
        <f t="shared" si="952"/>
        <v/>
      </c>
      <c r="BM1949" s="21" t="s">
        <v>3790</v>
      </c>
    </row>
    <row r="1950" spans="1:65">
      <c r="A1950" s="25" t="str">
        <f>IFERROR(INDEX(#REF!,MATCH(O1950,#REF!,0)),"")</f>
        <v/>
      </c>
      <c r="AK1950" s="25" t="str">
        <f>IFERROR(INDEX('Hun Release Current'!B:B,MATCH(O1950,'Hun Release Current'!A:A,0)),"")</f>
        <v/>
      </c>
      <c r="AN1950" s="25" t="s">
        <v>3790</v>
      </c>
      <c r="AO1950" s="25" t="s">
        <v>3790</v>
      </c>
      <c r="BL1950" s="27" t="str">
        <f t="shared" si="952"/>
        <v/>
      </c>
      <c r="BM1950" s="21" t="s">
        <v>3790</v>
      </c>
    </row>
    <row r="1951" spans="1:65">
      <c r="A1951" s="25" t="str">
        <f>IFERROR(INDEX(#REF!,MATCH(O1951,#REF!,0)),"")</f>
        <v/>
      </c>
      <c r="AK1951" s="25" t="str">
        <f>IFERROR(INDEX('Hun Release Current'!B:B,MATCH(O1951,'Hun Release Current'!A:A,0)),"")</f>
        <v/>
      </c>
      <c r="AN1951" s="25" t="s">
        <v>3790</v>
      </c>
      <c r="AO1951" s="25" t="s">
        <v>3790</v>
      </c>
      <c r="BL1951" s="27" t="str">
        <f t="shared" si="952"/>
        <v/>
      </c>
      <c r="BM1951" s="21" t="s">
        <v>3790</v>
      </c>
    </row>
    <row r="1952" spans="1:65">
      <c r="A1952" s="25" t="str">
        <f>IFERROR(INDEX(#REF!,MATCH(O1952,#REF!,0)),"")</f>
        <v/>
      </c>
      <c r="AK1952" s="25" t="str">
        <f>IFERROR(INDEX('Hun Release Current'!B:B,MATCH(O1952,'Hun Release Current'!A:A,0)),"")</f>
        <v/>
      </c>
      <c r="AN1952" s="25" t="s">
        <v>3790</v>
      </c>
      <c r="AO1952" s="25" t="s">
        <v>3790</v>
      </c>
      <c r="BL1952" s="27" t="str">
        <f t="shared" si="952"/>
        <v/>
      </c>
      <c r="BM1952" s="21" t="s">
        <v>3790</v>
      </c>
    </row>
    <row r="1953" spans="1:65">
      <c r="A1953" s="25" t="str">
        <f>IFERROR(INDEX(#REF!,MATCH(O1953,#REF!,0)),"")</f>
        <v/>
      </c>
      <c r="AK1953" s="25" t="str">
        <f>IFERROR(INDEX('Hun Release Current'!B:B,MATCH(O1953,'Hun Release Current'!A:A,0)),"")</f>
        <v/>
      </c>
      <c r="AN1953" s="25" t="s">
        <v>3790</v>
      </c>
      <c r="AO1953" s="25" t="s">
        <v>3790</v>
      </c>
      <c r="BL1953" s="27" t="str">
        <f t="shared" si="952"/>
        <v/>
      </c>
      <c r="BM1953" s="21" t="s">
        <v>3790</v>
      </c>
    </row>
    <row r="1954" spans="1:65">
      <c r="A1954" s="25" t="str">
        <f>IFERROR(INDEX(#REF!,MATCH(O1954,#REF!,0)),"")</f>
        <v/>
      </c>
      <c r="AK1954" s="25" t="str">
        <f>IFERROR(INDEX('Hun Release Current'!B:B,MATCH(O1954,'Hun Release Current'!A:A,0)),"")</f>
        <v/>
      </c>
      <c r="AN1954" s="25" t="s">
        <v>3790</v>
      </c>
      <c r="AO1954" s="25" t="s">
        <v>3790</v>
      </c>
      <c r="BL1954" s="27" t="str">
        <f t="shared" si="952"/>
        <v/>
      </c>
      <c r="BM1954" s="21" t="s">
        <v>3790</v>
      </c>
    </row>
    <row r="1955" spans="1:65">
      <c r="A1955" s="25" t="str">
        <f>IFERROR(INDEX(#REF!,MATCH(O1955,#REF!,0)),"")</f>
        <v/>
      </c>
      <c r="AK1955" s="25" t="str">
        <f>IFERROR(INDEX('Hun Release Current'!B:B,MATCH(O1955,'Hun Release Current'!A:A,0)),"")</f>
        <v/>
      </c>
      <c r="AN1955" s="25" t="s">
        <v>3790</v>
      </c>
      <c r="AO1955" s="25" t="s">
        <v>3790</v>
      </c>
      <c r="BL1955" s="27" t="str">
        <f t="shared" si="952"/>
        <v/>
      </c>
      <c r="BM1955" s="21" t="s">
        <v>3790</v>
      </c>
    </row>
    <row r="1956" spans="1:65">
      <c r="A1956" s="25" t="str">
        <f>IFERROR(INDEX(#REF!,MATCH(O1956,#REF!,0)),"")</f>
        <v/>
      </c>
      <c r="AK1956" s="25" t="str">
        <f>IFERROR(INDEX('Hun Release Current'!B:B,MATCH(O1956,'Hun Release Current'!A:A,0)),"")</f>
        <v/>
      </c>
      <c r="AN1956" s="25" t="s">
        <v>3790</v>
      </c>
      <c r="AO1956" s="25" t="s">
        <v>3790</v>
      </c>
      <c r="BL1956" s="27" t="str">
        <f t="shared" si="952"/>
        <v/>
      </c>
      <c r="BM1956" s="21" t="s">
        <v>3790</v>
      </c>
    </row>
    <row r="1957" spans="1:65">
      <c r="A1957" s="25" t="str">
        <f>IFERROR(INDEX(#REF!,MATCH(O1957,#REF!,0)),"")</f>
        <v/>
      </c>
      <c r="AK1957" s="25" t="str">
        <f>IFERROR(INDEX('Hun Release Current'!B:B,MATCH(O1957,'Hun Release Current'!A:A,0)),"")</f>
        <v/>
      </c>
      <c r="AN1957" s="25" t="s">
        <v>3790</v>
      </c>
      <c r="AO1957" s="25" t="s">
        <v>3790</v>
      </c>
      <c r="BL1957" s="27" t="str">
        <f t="shared" si="952"/>
        <v/>
      </c>
      <c r="BM1957" s="21" t="s">
        <v>3790</v>
      </c>
    </row>
    <row r="1958" spans="1:65">
      <c r="A1958" s="25" t="str">
        <f>IFERROR(INDEX(#REF!,MATCH(O1958,#REF!,0)),"")</f>
        <v/>
      </c>
      <c r="AK1958" s="25" t="str">
        <f>IFERROR(INDEX('Hun Release Current'!B:B,MATCH(O1958,'Hun Release Current'!A:A,0)),"")</f>
        <v/>
      </c>
      <c r="AN1958" s="25" t="s">
        <v>3790</v>
      </c>
      <c r="AO1958" s="25" t="s">
        <v>3790</v>
      </c>
      <c r="BL1958" s="27" t="str">
        <f t="shared" si="952"/>
        <v/>
      </c>
      <c r="BM1958" s="21" t="s">
        <v>3790</v>
      </c>
    </row>
    <row r="1959" spans="1:65">
      <c r="A1959" s="25" t="str">
        <f>IFERROR(INDEX(#REF!,MATCH(O1959,#REF!,0)),"")</f>
        <v/>
      </c>
      <c r="AK1959" s="25" t="str">
        <f>IFERROR(INDEX('Hun Release Current'!B:B,MATCH(O1959,'Hun Release Current'!A:A,0)),"")</f>
        <v/>
      </c>
      <c r="AN1959" s="25" t="s">
        <v>3790</v>
      </c>
      <c r="AO1959" s="25" t="s">
        <v>3790</v>
      </c>
      <c r="BL1959" s="27" t="str">
        <f t="shared" si="952"/>
        <v/>
      </c>
      <c r="BM1959" s="21" t="s">
        <v>3790</v>
      </c>
    </row>
    <row r="1960" spans="1:65">
      <c r="A1960" s="25" t="str">
        <f>IFERROR(INDEX(#REF!,MATCH(O1960,#REF!,0)),"")</f>
        <v/>
      </c>
      <c r="AK1960" s="25" t="str">
        <f>IFERROR(INDEX('Hun Release Current'!B:B,MATCH(O1960,'Hun Release Current'!A:A,0)),"")</f>
        <v/>
      </c>
      <c r="AN1960" s="25" t="s">
        <v>3790</v>
      </c>
      <c r="AO1960" s="25" t="s">
        <v>3790</v>
      </c>
      <c r="BL1960" s="27" t="str">
        <f t="shared" si="952"/>
        <v/>
      </c>
      <c r="BM1960" s="21" t="s">
        <v>3790</v>
      </c>
    </row>
    <row r="1961" spans="1:65">
      <c r="A1961" s="25" t="str">
        <f>IFERROR(INDEX(#REF!,MATCH(O1961,#REF!,0)),"")</f>
        <v/>
      </c>
      <c r="AK1961" s="25" t="str">
        <f>IFERROR(INDEX('Hun Release Current'!B:B,MATCH(O1961,'Hun Release Current'!A:A,0)),"")</f>
        <v/>
      </c>
      <c r="AN1961" s="25" t="s">
        <v>3790</v>
      </c>
      <c r="AO1961" s="25" t="s">
        <v>3790</v>
      </c>
      <c r="BL1961" s="27" t="str">
        <f t="shared" si="952"/>
        <v/>
      </c>
      <c r="BM1961" s="21" t="s">
        <v>3790</v>
      </c>
    </row>
    <row r="1962" spans="1:65">
      <c r="A1962" s="25" t="str">
        <f>IFERROR(INDEX(#REF!,MATCH(O1962,#REF!,0)),"")</f>
        <v/>
      </c>
      <c r="AK1962" s="25" t="str">
        <f>IFERROR(INDEX('Hun Release Current'!B:B,MATCH(O1962,'Hun Release Current'!A:A,0)),"")</f>
        <v/>
      </c>
      <c r="AN1962" s="25" t="s">
        <v>3790</v>
      </c>
      <c r="AO1962" s="25" t="s">
        <v>3790</v>
      </c>
      <c r="BL1962" s="27" t="str">
        <f t="shared" si="952"/>
        <v/>
      </c>
      <c r="BM1962" s="21" t="s">
        <v>3790</v>
      </c>
    </row>
    <row r="1963" spans="1:65">
      <c r="A1963" s="25" t="str">
        <f>IFERROR(INDEX(#REF!,MATCH(O1963,#REF!,0)),"")</f>
        <v/>
      </c>
      <c r="AK1963" s="25" t="str">
        <f>IFERROR(INDEX('Hun Release Current'!B:B,MATCH(O1963,'Hun Release Current'!A:A,0)),"")</f>
        <v/>
      </c>
      <c r="AN1963" s="25" t="s">
        <v>3790</v>
      </c>
      <c r="AO1963" s="25" t="s">
        <v>3790</v>
      </c>
      <c r="BL1963" s="27" t="str">
        <f t="shared" si="952"/>
        <v/>
      </c>
      <c r="BM1963" s="21" t="s">
        <v>3790</v>
      </c>
    </row>
    <row r="1964" spans="1:65">
      <c r="A1964" s="25" t="str">
        <f>IFERROR(INDEX(#REF!,MATCH(O1964,#REF!,0)),"")</f>
        <v/>
      </c>
      <c r="AK1964" s="25" t="str">
        <f>IFERROR(INDEX('Hun Release Current'!B:B,MATCH(O1964,'Hun Release Current'!A:A,0)),"")</f>
        <v/>
      </c>
      <c r="AN1964" s="25" t="s">
        <v>3790</v>
      </c>
      <c r="AO1964" s="25" t="s">
        <v>3790</v>
      </c>
      <c r="BL1964" s="27" t="str">
        <f t="shared" si="952"/>
        <v/>
      </c>
      <c r="BM1964" s="21" t="s">
        <v>3790</v>
      </c>
    </row>
    <row r="1965" spans="1:65">
      <c r="A1965" s="25" t="str">
        <f>IFERROR(INDEX(#REF!,MATCH(O1965,#REF!,0)),"")</f>
        <v/>
      </c>
      <c r="AK1965" s="25" t="str">
        <f>IFERROR(INDEX('Hun Release Current'!B:B,MATCH(O1965,'Hun Release Current'!A:A,0)),"")</f>
        <v/>
      </c>
      <c r="AN1965" s="25" t="s">
        <v>3790</v>
      </c>
      <c r="AO1965" s="25" t="s">
        <v>3790</v>
      </c>
      <c r="BL1965" s="27" t="str">
        <f t="shared" si="952"/>
        <v/>
      </c>
      <c r="BM1965" s="21" t="s">
        <v>3790</v>
      </c>
    </row>
    <row r="1966" spans="1:65">
      <c r="A1966" s="25" t="str">
        <f>IFERROR(INDEX(#REF!,MATCH(O1966,#REF!,0)),"")</f>
        <v/>
      </c>
      <c r="AK1966" s="25" t="str">
        <f>IFERROR(INDEX('Hun Release Current'!B:B,MATCH(O1966,'Hun Release Current'!A:A,0)),"")</f>
        <v/>
      </c>
      <c r="AN1966" s="25" t="s">
        <v>3790</v>
      </c>
      <c r="AO1966" s="25" t="s">
        <v>3790</v>
      </c>
      <c r="BL1966" s="27" t="str">
        <f t="shared" si="952"/>
        <v/>
      </c>
      <c r="BM1966" s="21" t="s">
        <v>3790</v>
      </c>
    </row>
    <row r="1967" spans="1:65">
      <c r="A1967" s="25" t="str">
        <f>IFERROR(INDEX(#REF!,MATCH(O1967,#REF!,0)),"")</f>
        <v/>
      </c>
      <c r="AK1967" s="25" t="str">
        <f>IFERROR(INDEX('Hun Release Current'!B:B,MATCH(O1967,'Hun Release Current'!A:A,0)),"")</f>
        <v/>
      </c>
      <c r="AN1967" s="25" t="s">
        <v>3790</v>
      </c>
      <c r="AO1967" s="25" t="s">
        <v>3790</v>
      </c>
      <c r="BL1967" s="27" t="str">
        <f t="shared" si="952"/>
        <v/>
      </c>
      <c r="BM1967" s="21" t="s">
        <v>3790</v>
      </c>
    </row>
    <row r="1968" spans="1:65">
      <c r="A1968" s="25" t="str">
        <f>IFERROR(INDEX(#REF!,MATCH(O1968,#REF!,0)),"")</f>
        <v/>
      </c>
      <c r="AK1968" s="25" t="str">
        <f>IFERROR(INDEX('Hun Release Current'!B:B,MATCH(O1968,'Hun Release Current'!A:A,0)),"")</f>
        <v/>
      </c>
      <c r="AN1968" s="25" t="s">
        <v>3790</v>
      </c>
      <c r="AO1968" s="25" t="s">
        <v>3790</v>
      </c>
      <c r="BL1968" s="27" t="str">
        <f t="shared" si="952"/>
        <v/>
      </c>
      <c r="BM1968" s="21" t="s">
        <v>3790</v>
      </c>
    </row>
    <row r="1969" spans="1:65">
      <c r="A1969" s="25" t="str">
        <f>IFERROR(INDEX(#REF!,MATCH(O1969,#REF!,0)),"")</f>
        <v/>
      </c>
      <c r="AK1969" s="25" t="str">
        <f>IFERROR(INDEX('Hun Release Current'!B:B,MATCH(O1969,'Hun Release Current'!A:A,0)),"")</f>
        <v/>
      </c>
      <c r="AN1969" s="25" t="s">
        <v>3790</v>
      </c>
      <c r="AO1969" s="25" t="s">
        <v>3790</v>
      </c>
      <c r="BL1969" s="27" t="str">
        <f t="shared" si="952"/>
        <v/>
      </c>
      <c r="BM1969" s="21" t="s">
        <v>3790</v>
      </c>
    </row>
    <row r="1970" spans="1:65">
      <c r="A1970" s="25" t="str">
        <f>IFERROR(INDEX(#REF!,MATCH(O1970,#REF!,0)),"")</f>
        <v/>
      </c>
      <c r="AK1970" s="25" t="str">
        <f>IFERROR(INDEX('Hun Release Current'!B:B,MATCH(O1970,'Hun Release Current'!A:A,0)),"")</f>
        <v/>
      </c>
      <c r="AN1970" s="25" t="s">
        <v>3790</v>
      </c>
      <c r="AO1970" s="25" t="s">
        <v>3790</v>
      </c>
      <c r="BL1970" s="27" t="str">
        <f t="shared" si="952"/>
        <v/>
      </c>
      <c r="BM1970" s="21" t="s">
        <v>3790</v>
      </c>
    </row>
    <row r="1971" spans="1:65">
      <c r="A1971" s="25" t="str">
        <f>IFERROR(INDEX(#REF!,MATCH(O1971,#REF!,0)),"")</f>
        <v/>
      </c>
      <c r="AK1971" s="25" t="str">
        <f>IFERROR(INDEX('Hun Release Current'!B:B,MATCH(O1971,'Hun Release Current'!A:A,0)),"")</f>
        <v/>
      </c>
      <c r="AN1971" s="25" t="s">
        <v>3790</v>
      </c>
      <c r="AO1971" s="25" t="s">
        <v>3790</v>
      </c>
      <c r="BL1971" s="27" t="str">
        <f t="shared" si="952"/>
        <v/>
      </c>
      <c r="BM1971" s="21" t="s">
        <v>3790</v>
      </c>
    </row>
    <row r="1972" spans="1:65">
      <c r="A1972" s="25" t="str">
        <f>IFERROR(INDEX(#REF!,MATCH(O1972,#REF!,0)),"")</f>
        <v/>
      </c>
      <c r="AK1972" s="25" t="str">
        <f>IFERROR(INDEX('Hun Release Current'!B:B,MATCH(O1972,'Hun Release Current'!A:A,0)),"")</f>
        <v/>
      </c>
      <c r="AN1972" s="25" t="s">
        <v>3790</v>
      </c>
      <c r="AO1972" s="25" t="s">
        <v>3790</v>
      </c>
      <c r="BL1972" s="27" t="str">
        <f t="shared" si="952"/>
        <v/>
      </c>
      <c r="BM1972" s="21" t="s">
        <v>3790</v>
      </c>
    </row>
    <row r="1973" spans="1:65">
      <c r="A1973" s="25" t="str">
        <f>IFERROR(INDEX(#REF!,MATCH(O1973,#REF!,0)),"")</f>
        <v/>
      </c>
      <c r="AK1973" s="25" t="str">
        <f>IFERROR(INDEX('Hun Release Current'!B:B,MATCH(O1973,'Hun Release Current'!A:A,0)),"")</f>
        <v/>
      </c>
      <c r="AN1973" s="25" t="s">
        <v>3790</v>
      </c>
      <c r="AO1973" s="25" t="s">
        <v>3790</v>
      </c>
      <c r="BL1973" s="27" t="str">
        <f t="shared" si="952"/>
        <v/>
      </c>
      <c r="BM1973" s="21" t="s">
        <v>3790</v>
      </c>
    </row>
    <row r="1974" spans="1:65">
      <c r="A1974" s="25" t="str">
        <f>IFERROR(INDEX(#REF!,MATCH(O1974,#REF!,0)),"")</f>
        <v/>
      </c>
      <c r="AK1974" s="25" t="str">
        <f>IFERROR(INDEX('Hun Release Current'!B:B,MATCH(O1974,'Hun Release Current'!A:A,0)),"")</f>
        <v/>
      </c>
      <c r="AN1974" s="25" t="s">
        <v>3790</v>
      </c>
      <c r="AO1974" s="25" t="s">
        <v>3790</v>
      </c>
      <c r="BL1974" s="27" t="str">
        <f t="shared" si="952"/>
        <v/>
      </c>
      <c r="BM1974" s="21" t="s">
        <v>3790</v>
      </c>
    </row>
    <row r="1975" spans="1:65">
      <c r="A1975" s="25" t="str">
        <f>IFERROR(INDEX(#REF!,MATCH(O1975,#REF!,0)),"")</f>
        <v/>
      </c>
      <c r="AK1975" s="25" t="str">
        <f>IFERROR(INDEX('Hun Release Current'!B:B,MATCH(O1975,'Hun Release Current'!A:A,0)),"")</f>
        <v/>
      </c>
      <c r="AN1975" s="25" t="s">
        <v>3790</v>
      </c>
      <c r="AO1975" s="25" t="s">
        <v>3790</v>
      </c>
      <c r="BL1975" s="27" t="str">
        <f t="shared" si="952"/>
        <v/>
      </c>
      <c r="BM1975" s="21" t="s">
        <v>3790</v>
      </c>
    </row>
    <row r="1976" spans="1:65">
      <c r="A1976" s="25" t="str">
        <f>IFERROR(INDEX(#REF!,MATCH(O1976,#REF!,0)),"")</f>
        <v/>
      </c>
      <c r="AK1976" s="25" t="str">
        <f>IFERROR(INDEX('Hun Release Current'!B:B,MATCH(O1976,'Hun Release Current'!A:A,0)),"")</f>
        <v/>
      </c>
      <c r="AN1976" s="25" t="s">
        <v>3790</v>
      </c>
      <c r="AO1976" s="25" t="s">
        <v>3790</v>
      </c>
      <c r="BL1976" s="27" t="str">
        <f t="shared" si="952"/>
        <v/>
      </c>
      <c r="BM1976" s="21" t="s">
        <v>3790</v>
      </c>
    </row>
    <row r="1977" spans="1:65">
      <c r="A1977" s="25" t="str">
        <f>IFERROR(INDEX(#REF!,MATCH(O1977,#REF!,0)),"")</f>
        <v/>
      </c>
      <c r="AK1977" s="25" t="str">
        <f>IFERROR(INDEX('Hun Release Current'!B:B,MATCH(O1977,'Hun Release Current'!A:A,0)),"")</f>
        <v/>
      </c>
      <c r="AN1977" s="25" t="s">
        <v>3790</v>
      </c>
      <c r="AO1977" s="25" t="s">
        <v>3790</v>
      </c>
      <c r="BL1977" s="27" t="str">
        <f t="shared" si="952"/>
        <v/>
      </c>
      <c r="BM1977" s="21" t="s">
        <v>3790</v>
      </c>
    </row>
    <row r="1978" spans="1:65">
      <c r="A1978" s="25" t="str">
        <f>IFERROR(INDEX(#REF!,MATCH(O1978,#REF!,0)),"")</f>
        <v/>
      </c>
      <c r="AK1978" s="25" t="str">
        <f>IFERROR(INDEX('Hun Release Current'!B:B,MATCH(O1978,'Hun Release Current'!A:A,0)),"")</f>
        <v/>
      </c>
      <c r="AN1978" s="25" t="s">
        <v>3790</v>
      </c>
      <c r="AO1978" s="25" t="s">
        <v>3790</v>
      </c>
      <c r="BL1978" s="27" t="str">
        <f t="shared" si="952"/>
        <v/>
      </c>
      <c r="BM1978" s="21" t="s">
        <v>3790</v>
      </c>
    </row>
    <row r="1979" spans="1:65">
      <c r="A1979" s="25" t="str">
        <f>IFERROR(INDEX(#REF!,MATCH(O1979,#REF!,0)),"")</f>
        <v/>
      </c>
      <c r="AK1979" s="25" t="str">
        <f>IFERROR(INDEX('Hun Release Current'!B:B,MATCH(O1979,'Hun Release Current'!A:A,0)),"")</f>
        <v/>
      </c>
      <c r="AN1979" s="25" t="s">
        <v>3790</v>
      </c>
      <c r="AO1979" s="25" t="s">
        <v>3790</v>
      </c>
      <c r="BL1979" s="27" t="str">
        <f t="shared" si="952"/>
        <v/>
      </c>
      <c r="BM1979" s="21" t="s">
        <v>3790</v>
      </c>
    </row>
    <row r="1980" spans="1:65">
      <c r="A1980" s="25" t="str">
        <f>IFERROR(INDEX(#REF!,MATCH(O1980,#REF!,0)),"")</f>
        <v/>
      </c>
      <c r="AK1980" s="25" t="str">
        <f>IFERROR(INDEX('Hun Release Current'!B:B,MATCH(O1980,'Hun Release Current'!A:A,0)),"")</f>
        <v/>
      </c>
      <c r="AN1980" s="25" t="s">
        <v>3790</v>
      </c>
      <c r="AO1980" s="25" t="s">
        <v>3790</v>
      </c>
      <c r="BL1980" s="27" t="str">
        <f t="shared" si="952"/>
        <v/>
      </c>
      <c r="BM1980" s="21" t="s">
        <v>3790</v>
      </c>
    </row>
    <row r="1981" spans="1:65">
      <c r="A1981" s="25" t="str">
        <f>IFERROR(INDEX(#REF!,MATCH(O1981,#REF!,0)),"")</f>
        <v/>
      </c>
      <c r="AK1981" s="25" t="str">
        <f>IFERROR(INDEX('Hun Release Current'!B:B,MATCH(O1981,'Hun Release Current'!A:A,0)),"")</f>
        <v/>
      </c>
      <c r="AN1981" s="25" t="s">
        <v>3790</v>
      </c>
      <c r="AO1981" s="25" t="s">
        <v>3790</v>
      </c>
      <c r="BL1981" s="27" t="str">
        <f t="shared" si="952"/>
        <v/>
      </c>
      <c r="BM1981" s="21" t="s">
        <v>3790</v>
      </c>
    </row>
    <row r="1982" spans="1:65">
      <c r="A1982" s="25" t="str">
        <f>IFERROR(INDEX(#REF!,MATCH(O1982,#REF!,0)),"")</f>
        <v/>
      </c>
      <c r="AK1982" s="25" t="str">
        <f>IFERROR(INDEX('Hun Release Current'!B:B,MATCH(O1982,'Hun Release Current'!A:A,0)),"")</f>
        <v/>
      </c>
      <c r="AN1982" s="25" t="s">
        <v>3790</v>
      </c>
      <c r="AO1982" s="25" t="s">
        <v>3790</v>
      </c>
      <c r="BL1982" s="27" t="str">
        <f t="shared" si="952"/>
        <v/>
      </c>
      <c r="BM1982" s="21" t="s">
        <v>3790</v>
      </c>
    </row>
    <row r="1983" spans="1:65">
      <c r="A1983" s="25" t="str">
        <f>IFERROR(INDEX(#REF!,MATCH(O1983,#REF!,0)),"")</f>
        <v/>
      </c>
      <c r="AK1983" s="25" t="str">
        <f>IFERROR(INDEX('Hun Release Current'!B:B,MATCH(O1983,'Hun Release Current'!A:A,0)),"")</f>
        <v/>
      </c>
      <c r="AN1983" s="25" t="s">
        <v>3790</v>
      </c>
      <c r="AO1983" s="25" t="s">
        <v>3790</v>
      </c>
      <c r="BL1983" s="27" t="str">
        <f t="shared" si="952"/>
        <v/>
      </c>
      <c r="BM1983" s="21" t="s">
        <v>3790</v>
      </c>
    </row>
    <row r="1984" spans="1:65">
      <c r="A1984" s="25" t="str">
        <f>IFERROR(INDEX(#REF!,MATCH(O1984,#REF!,0)),"")</f>
        <v/>
      </c>
      <c r="AK1984" s="25" t="str">
        <f>IFERROR(INDEX('Hun Release Current'!B:B,MATCH(O1984,'Hun Release Current'!A:A,0)),"")</f>
        <v/>
      </c>
      <c r="AN1984" s="25" t="s">
        <v>3790</v>
      </c>
      <c r="AO1984" s="25" t="s">
        <v>3790</v>
      </c>
      <c r="BL1984" s="27" t="str">
        <f t="shared" si="952"/>
        <v/>
      </c>
      <c r="BM1984" s="21" t="s">
        <v>3790</v>
      </c>
    </row>
    <row r="1985" spans="1:65">
      <c r="A1985" s="25" t="str">
        <f>IFERROR(INDEX(#REF!,MATCH(O1985,#REF!,0)),"")</f>
        <v/>
      </c>
      <c r="AK1985" s="25" t="str">
        <f>IFERROR(INDEX('Hun Release Current'!B:B,MATCH(O1985,'Hun Release Current'!A:A,0)),"")</f>
        <v/>
      </c>
      <c r="AN1985" s="25" t="s">
        <v>3790</v>
      </c>
      <c r="AO1985" s="25" t="s">
        <v>3790</v>
      </c>
      <c r="BL1985" s="27" t="str">
        <f t="shared" si="952"/>
        <v/>
      </c>
      <c r="BM1985" s="21" t="s">
        <v>3790</v>
      </c>
    </row>
    <row r="1986" spans="1:65">
      <c r="A1986" s="25" t="str">
        <f>IFERROR(INDEX(#REF!,MATCH(O1986,#REF!,0)),"")</f>
        <v/>
      </c>
      <c r="AK1986" s="25" t="str">
        <f>IFERROR(INDEX('Hun Release Current'!B:B,MATCH(O1986,'Hun Release Current'!A:A,0)),"")</f>
        <v/>
      </c>
      <c r="AN1986" s="25" t="s">
        <v>3790</v>
      </c>
      <c r="AO1986" s="25" t="s">
        <v>3790</v>
      </c>
      <c r="BL1986" s="27" t="str">
        <f t="shared" ref="BL1986:BL2000" si="953">IF(OR(BK1986&lt;&gt;"",BE1986&lt;&gt;""),"SorHandNandE","")</f>
        <v/>
      </c>
      <c r="BM1986" s="21" t="s">
        <v>3790</v>
      </c>
    </row>
    <row r="1987" spans="1:65">
      <c r="A1987" s="25" t="str">
        <f>IFERROR(INDEX(#REF!,MATCH(O1987,#REF!,0)),"")</f>
        <v/>
      </c>
      <c r="AK1987" s="25" t="str">
        <f>IFERROR(INDEX('Hun Release Current'!B:B,MATCH(O1987,'Hun Release Current'!A:A,0)),"")</f>
        <v/>
      </c>
      <c r="AN1987" s="25" t="s">
        <v>3790</v>
      </c>
      <c r="AO1987" s="25" t="s">
        <v>3790</v>
      </c>
      <c r="BL1987" s="27" t="str">
        <f t="shared" si="953"/>
        <v/>
      </c>
      <c r="BM1987" s="21" t="s">
        <v>3790</v>
      </c>
    </row>
    <row r="1988" spans="1:65">
      <c r="A1988" s="25" t="str">
        <f>IFERROR(INDEX(#REF!,MATCH(O1988,#REF!,0)),"")</f>
        <v/>
      </c>
      <c r="AK1988" s="25" t="str">
        <f>IFERROR(INDEX('Hun Release Current'!B:B,MATCH(O1988,'Hun Release Current'!A:A,0)),"")</f>
        <v/>
      </c>
      <c r="AN1988" s="25" t="s">
        <v>3790</v>
      </c>
      <c r="AO1988" s="25" t="s">
        <v>3790</v>
      </c>
      <c r="BL1988" s="27" t="str">
        <f t="shared" si="953"/>
        <v/>
      </c>
      <c r="BM1988" s="21" t="s">
        <v>3790</v>
      </c>
    </row>
    <row r="1989" spans="1:65">
      <c r="A1989" s="25" t="str">
        <f>IFERROR(INDEX(#REF!,MATCH(O1989,#REF!,0)),"")</f>
        <v/>
      </c>
      <c r="AK1989" s="25" t="str">
        <f>IFERROR(INDEX('Hun Release Current'!B:B,MATCH(O1989,'Hun Release Current'!A:A,0)),"")</f>
        <v/>
      </c>
      <c r="AN1989" s="25" t="s">
        <v>3790</v>
      </c>
      <c r="AO1989" s="25" t="s">
        <v>3790</v>
      </c>
      <c r="BL1989" s="27" t="str">
        <f t="shared" si="953"/>
        <v/>
      </c>
      <c r="BM1989" s="21" t="s">
        <v>3790</v>
      </c>
    </row>
    <row r="1990" spans="1:65">
      <c r="A1990" s="25" t="str">
        <f>IFERROR(INDEX(#REF!,MATCH(O1990,#REF!,0)),"")</f>
        <v/>
      </c>
      <c r="AK1990" s="25" t="str">
        <f>IFERROR(INDEX('Hun Release Current'!B:B,MATCH(O1990,'Hun Release Current'!A:A,0)),"")</f>
        <v/>
      </c>
      <c r="AN1990" s="25" t="s">
        <v>3790</v>
      </c>
      <c r="AO1990" s="25" t="s">
        <v>3790</v>
      </c>
      <c r="BL1990" s="27" t="str">
        <f t="shared" si="953"/>
        <v/>
      </c>
      <c r="BM1990" s="21" t="s">
        <v>3790</v>
      </c>
    </row>
    <row r="1991" spans="1:65">
      <c r="A1991" s="25" t="str">
        <f>IFERROR(INDEX(#REF!,MATCH(O1991,#REF!,0)),"")</f>
        <v/>
      </c>
      <c r="AK1991" s="25" t="str">
        <f>IFERROR(INDEX('Hun Release Current'!B:B,MATCH(O1991,'Hun Release Current'!A:A,0)),"")</f>
        <v/>
      </c>
      <c r="AN1991" s="25" t="s">
        <v>3790</v>
      </c>
      <c r="AO1991" s="25" t="s">
        <v>3790</v>
      </c>
      <c r="BL1991" s="27" t="str">
        <f t="shared" si="953"/>
        <v/>
      </c>
      <c r="BM1991" s="21" t="s">
        <v>3790</v>
      </c>
    </row>
    <row r="1992" spans="1:65">
      <c r="A1992" s="25" t="str">
        <f>IFERROR(INDEX(#REF!,MATCH(O1992,#REF!,0)),"")</f>
        <v/>
      </c>
      <c r="AK1992" s="25" t="str">
        <f>IFERROR(INDEX('Hun Release Current'!B:B,MATCH(O1992,'Hun Release Current'!A:A,0)),"")</f>
        <v/>
      </c>
      <c r="AN1992" s="25" t="s">
        <v>3790</v>
      </c>
      <c r="AO1992" s="25" t="s">
        <v>3790</v>
      </c>
      <c r="BL1992" s="27" t="str">
        <f t="shared" si="953"/>
        <v/>
      </c>
      <c r="BM1992" s="21" t="s">
        <v>3790</v>
      </c>
    </row>
    <row r="1993" spans="1:65">
      <c r="A1993" s="25" t="str">
        <f>IFERROR(INDEX(#REF!,MATCH(O1993,#REF!,0)),"")</f>
        <v/>
      </c>
      <c r="AK1993" s="25" t="str">
        <f>IFERROR(INDEX('Hun Release Current'!B:B,MATCH(O1993,'Hun Release Current'!A:A,0)),"")</f>
        <v/>
      </c>
      <c r="AN1993" s="25" t="s">
        <v>3790</v>
      </c>
      <c r="AO1993" s="25" t="s">
        <v>3790</v>
      </c>
      <c r="BL1993" s="27" t="str">
        <f t="shared" si="953"/>
        <v/>
      </c>
      <c r="BM1993" s="21" t="s">
        <v>3790</v>
      </c>
    </row>
    <row r="1994" spans="1:65">
      <c r="A1994" s="25" t="str">
        <f>IFERROR(INDEX(#REF!,MATCH(O1994,#REF!,0)),"")</f>
        <v/>
      </c>
      <c r="AK1994" s="25" t="str">
        <f>IFERROR(INDEX('Hun Release Current'!B:B,MATCH(O1994,'Hun Release Current'!A:A,0)),"")</f>
        <v/>
      </c>
      <c r="AN1994" s="25" t="s">
        <v>3790</v>
      </c>
      <c r="AO1994" s="25" t="s">
        <v>3790</v>
      </c>
      <c r="BL1994" s="27" t="str">
        <f t="shared" si="953"/>
        <v/>
      </c>
      <c r="BM1994" s="21" t="s">
        <v>3790</v>
      </c>
    </row>
    <row r="1995" spans="1:65">
      <c r="A1995" s="25" t="str">
        <f>IFERROR(INDEX(#REF!,MATCH(O1995,#REF!,0)),"")</f>
        <v/>
      </c>
      <c r="AK1995" s="25" t="str">
        <f>IFERROR(INDEX('Hun Release Current'!B:B,MATCH(O1995,'Hun Release Current'!A:A,0)),"")</f>
        <v/>
      </c>
      <c r="AN1995" s="25" t="s">
        <v>3790</v>
      </c>
      <c r="AO1995" s="25" t="s">
        <v>3790</v>
      </c>
      <c r="BL1995" s="27" t="str">
        <f t="shared" si="953"/>
        <v/>
      </c>
      <c r="BM1995" s="21" t="s">
        <v>3790</v>
      </c>
    </row>
    <row r="1996" spans="1:65">
      <c r="A1996" s="25" t="str">
        <f>IFERROR(INDEX(#REF!,MATCH(O1996,#REF!,0)),"")</f>
        <v/>
      </c>
      <c r="AK1996" s="25" t="str">
        <f>IFERROR(INDEX('Hun Release Current'!B:B,MATCH(O1996,'Hun Release Current'!A:A,0)),"")</f>
        <v/>
      </c>
      <c r="AN1996" s="25" t="s">
        <v>3790</v>
      </c>
      <c r="AO1996" s="25" t="s">
        <v>3790</v>
      </c>
      <c r="BL1996" s="27" t="str">
        <f t="shared" si="953"/>
        <v/>
      </c>
      <c r="BM1996" s="21" t="s">
        <v>3790</v>
      </c>
    </row>
    <row r="1997" spans="1:65">
      <c r="A1997" s="25" t="str">
        <f>IFERROR(INDEX(#REF!,MATCH(O1997,#REF!,0)),"")</f>
        <v/>
      </c>
      <c r="AK1997" s="25" t="str">
        <f>IFERROR(INDEX('Hun Release Current'!B:B,MATCH(O1997,'Hun Release Current'!A:A,0)),"")</f>
        <v/>
      </c>
      <c r="AN1997" s="25" t="s">
        <v>3790</v>
      </c>
      <c r="AO1997" s="25" t="s">
        <v>3790</v>
      </c>
      <c r="BL1997" s="27" t="str">
        <f t="shared" si="953"/>
        <v/>
      </c>
      <c r="BM1997" s="21" t="s">
        <v>3790</v>
      </c>
    </row>
    <row r="1998" spans="1:65">
      <c r="A1998" s="25" t="str">
        <f>IFERROR(INDEX(#REF!,MATCH(O1998,#REF!,0)),"")</f>
        <v/>
      </c>
      <c r="AK1998" s="25" t="str">
        <f>IFERROR(INDEX('Hun Release Current'!B:B,MATCH(O1998,'Hun Release Current'!A:A,0)),"")</f>
        <v/>
      </c>
      <c r="AN1998" s="25" t="s">
        <v>3790</v>
      </c>
      <c r="AO1998" s="25" t="s">
        <v>3790</v>
      </c>
      <c r="BL1998" s="27" t="str">
        <f t="shared" si="953"/>
        <v/>
      </c>
      <c r="BM1998" s="21" t="s">
        <v>3790</v>
      </c>
    </row>
    <row r="1999" spans="1:65">
      <c r="A1999" s="25" t="str">
        <f>IFERROR(INDEX(#REF!,MATCH(O1999,#REF!,0)),"")</f>
        <v/>
      </c>
      <c r="AK1999" s="25" t="str">
        <f>IFERROR(INDEX('Hun Release Current'!B:B,MATCH(O1999,'Hun Release Current'!A:A,0)),"")</f>
        <v/>
      </c>
      <c r="AN1999" s="25" t="s">
        <v>3790</v>
      </c>
      <c r="AO1999" s="25" t="s">
        <v>3790</v>
      </c>
      <c r="BL1999" s="27" t="str">
        <f t="shared" si="953"/>
        <v/>
      </c>
      <c r="BM1999" s="21" t="s">
        <v>3790</v>
      </c>
    </row>
    <row r="2000" spans="1:65">
      <c r="A2000" s="25" t="str">
        <f>IFERROR(INDEX(#REF!,MATCH(O2000,#REF!,0)),"")</f>
        <v/>
      </c>
      <c r="AK2000" s="25" t="str">
        <f>IFERROR(INDEX('Hun Release Current'!B:B,MATCH(O2000,'Hun Release Current'!A:A,0)),"")</f>
        <v/>
      </c>
      <c r="AN2000" s="25" t="s">
        <v>3790</v>
      </c>
      <c r="AO2000" s="25" t="s">
        <v>3790</v>
      </c>
      <c r="BL2000" s="27" t="str">
        <f t="shared" si="953"/>
        <v/>
      </c>
      <c r="BM2000" s="21" t="s">
        <v>3790</v>
      </c>
    </row>
  </sheetData>
  <sortState xmlns:xlrd2="http://schemas.microsoft.com/office/spreadsheetml/2017/richdata2" ref="A2:BM2000">
    <sortCondition ref="Q2:Q2000"/>
    <sortCondition ref="AR2:AR2000"/>
    <sortCondition ref="AS2:AS2000"/>
  </sortState>
  <conditionalFormatting sqref="S1:S1048576">
    <cfRule type="cellIs" dxfId="1093" priority="14" operator="equal">
      <formula>3</formula>
    </cfRule>
    <cfRule type="expression" dxfId="1092" priority="25">
      <formula>AND($S1&lt;3,$O1&lt;&gt;"")</formula>
    </cfRule>
  </conditionalFormatting>
  <conditionalFormatting sqref="V1:V1048576">
    <cfRule type="cellIs" dxfId="1091" priority="15" operator="equal">
      <formula>3</formula>
    </cfRule>
    <cfRule type="expression" dxfId="1090" priority="24">
      <formula>AND($V1&lt;3,$O1&lt;&gt;"")</formula>
    </cfRule>
  </conditionalFormatting>
  <conditionalFormatting sqref="R1:AC1048576">
    <cfRule type="cellIs" dxfId="1089" priority="27" operator="equal">
      <formula>0</formula>
    </cfRule>
    <cfRule type="beginsWith" dxfId="1088" priority="28" operator="beginsWith" text="n/a">
      <formula>LEFT(R1,LEN("n/a"))="n/a"</formula>
    </cfRule>
  </conditionalFormatting>
  <conditionalFormatting sqref="A1:L1048576">
    <cfRule type="cellIs" dxfId="1087" priority="23" operator="equal">
      <formula>0</formula>
    </cfRule>
  </conditionalFormatting>
  <conditionalFormatting sqref="O1:O1048576 G1:G1048576 R1:R1048576">
    <cfRule type="notContainsBlanks" dxfId="1086" priority="22">
      <formula>LEN(TRIM(G1))&gt;0</formula>
    </cfRule>
  </conditionalFormatting>
  <conditionalFormatting sqref="Z1:AA1048576">
    <cfRule type="containsBlanks" dxfId="1085" priority="17">
      <formula>LEN(TRIM(Z1))=0</formula>
    </cfRule>
    <cfRule type="cellIs" dxfId="1084" priority="18" operator="greaterThan">
      <formula>9999999</formula>
    </cfRule>
    <cfRule type="cellIs" dxfId="1083" priority="19" operator="greaterThan">
      <formula>499</formula>
    </cfRule>
    <cfRule type="cellIs" dxfId="1082" priority="20" operator="between">
      <formula>100</formula>
      <formula>499</formula>
    </cfRule>
    <cfRule type="cellIs" dxfId="1081" priority="21" operator="between">
      <formula>29</formula>
      <formula>99</formula>
    </cfRule>
    <cfRule type="cellIs" dxfId="1080" priority="26" operator="between">
      <formula>0</formula>
      <formula>29</formula>
    </cfRule>
  </conditionalFormatting>
  <conditionalFormatting sqref="AA1:AA1048576">
    <cfRule type="containsText" dxfId="1079" priority="16" operator="containsText" text="spike">
      <formula>NOT(ISERROR(SEARCH("spike",AA1)))</formula>
    </cfRule>
  </conditionalFormatting>
  <conditionalFormatting sqref="Y1:Y1048576">
    <cfRule type="cellIs" dxfId="1078" priority="12" operator="equal">
      <formula>3</formula>
    </cfRule>
    <cfRule type="expression" dxfId="1077" priority="13">
      <formula>AND($Y1&lt;3,$O1&lt;&gt;"")</formula>
    </cfRule>
    <cfRule type="notContainsBlanks" dxfId="1076" priority="38">
      <formula>LEN(TRIM(Y1))&gt;0</formula>
    </cfRule>
  </conditionalFormatting>
  <conditionalFormatting sqref="Q1:Q1048576">
    <cfRule type="containsText" dxfId="1075" priority="11" operator="containsText" text="panol">
      <formula>NOT(ISERROR(SEARCH("panol",Q1)))</formula>
    </cfRule>
  </conditionalFormatting>
  <conditionalFormatting sqref="Z1:Z1048576 AB1:AB1048576">
    <cfRule type="notContainsBlanks" dxfId="1074" priority="10">
      <formula>LEN(TRIM(Z1))&gt;0</formula>
    </cfRule>
  </conditionalFormatting>
  <conditionalFormatting sqref="AD1:AF1048576">
    <cfRule type="expression" dxfId="1073" priority="30">
      <formula>AND($O1&lt;&gt;"",$AF1&gt;0,$AF1&lt;&gt;"At Supplier",$AF1&lt;&gt;"")</formula>
    </cfRule>
  </conditionalFormatting>
  <conditionalFormatting sqref="AI1:AJ1048576">
    <cfRule type="expression" dxfId="1072" priority="31">
      <formula>AND($O1&lt;&gt;"",$AI1&gt;0,$AI1&lt;&gt;"Expires this Month",$AI1&lt;&gt;"")</formula>
    </cfRule>
  </conditionalFormatting>
  <conditionalFormatting sqref="AD1:AD1048576">
    <cfRule type="expression" dxfId="1071" priority="33">
      <formula>$AE1="H"</formula>
    </cfRule>
    <cfRule type="expression" dxfId="1070" priority="34">
      <formula>$O1&lt;&gt;""</formula>
    </cfRule>
  </conditionalFormatting>
  <conditionalFormatting sqref="AE1:AE1048576">
    <cfRule type="expression" dxfId="1069" priority="5">
      <formula>AND($AE1="",$AD1&lt;&gt;"")</formula>
    </cfRule>
    <cfRule type="expression" dxfId="1068" priority="35">
      <formula>$O1&lt;&gt;""</formula>
    </cfRule>
  </conditionalFormatting>
  <conditionalFormatting sqref="AD1:AG1048576">
    <cfRule type="expression" dxfId="1067" priority="4">
      <formula>AND($AD1&lt;&gt;"",$AF1="",AG1="",$AG1="")</formula>
    </cfRule>
    <cfRule type="expression" dxfId="1066" priority="29">
      <formula>AND($O1&lt;&gt;"",$AF1="",(OR($AG1="",$AG1=0,$AG1&lt;$AH1)))</formula>
    </cfRule>
  </conditionalFormatting>
  <conditionalFormatting sqref="AD1:AE1048576 AG1:AG1048576">
    <cfRule type="expression" dxfId="1065" priority="32">
      <formula>AND($O1&lt;&gt;"",$AG1&gt;$AH1,$AG1&lt;&gt;"")</formula>
    </cfRule>
  </conditionalFormatting>
  <conditionalFormatting sqref="AD1:AE1048576 AL1:AL1048576">
    <cfRule type="expression" dxfId="1064" priority="9">
      <formula>AND($AD1&lt;&gt;"",$AL1&lt;&gt;"",LEFT($AL1,1)&lt;&gt;"A")</formula>
    </cfRule>
  </conditionalFormatting>
  <conditionalFormatting sqref="A2001:BM1045951 A1:BM2 AK3:AK2000 A3:AM1999 AP3:BL1999 BM3:BM2000 AN3:AO2000">
    <cfRule type="expression" dxfId="1063" priority="36">
      <formula>$AR1&lt;&gt;$AR2</formula>
    </cfRule>
    <cfRule type="expression" dxfId="1062" priority="37">
      <formula>$O1&lt;&gt;$O2</formula>
    </cfRule>
  </conditionalFormatting>
  <conditionalFormatting sqref="AD1:AF1048576">
    <cfRule type="expression" dxfId="1061" priority="8">
      <formula>AND($O1&lt;&gt;"",$AD1&lt;&gt;"",$AE1="S",(OR($AF1="",$AF1&lt;$AD1)))</formula>
    </cfRule>
  </conditionalFormatting>
  <conditionalFormatting sqref="AD1:AE1048576 AG1:AG1048576">
    <cfRule type="expression" dxfId="1060" priority="7">
      <formula>AND($O1&lt;&gt;"",$AD1&lt;&gt;"",$AE1="H",(OR($AG1="",$AG1&lt;$AD1)))</formula>
    </cfRule>
  </conditionalFormatting>
  <conditionalFormatting sqref="AD1:AD1048576 AF1:AF1048576 AK1:AK1048576">
    <cfRule type="expression" dxfId="1059" priority="6">
      <formula>AND($O1&lt;&gt;"",$AD1&lt;&gt;"",$AE1="S",$AK1&lt;&gt;"",(OR($AF1="",($AF1-$AK1)&lt;$AD1)))</formula>
    </cfRule>
  </conditionalFormatting>
  <conditionalFormatting sqref="AH1:AH1048576">
    <cfRule type="expression" dxfId="1058" priority="3">
      <formula>AND($O1&lt;&gt;"",$AH1&gt;$AG1,LEFT($AH1,1)&lt;&gt;"H")</formula>
    </cfRule>
  </conditionalFormatting>
  <conditionalFormatting sqref="AG1:AG1048576">
    <cfRule type="expression" dxfId="1057" priority="2">
      <formula>AND($O1&lt;&gt;"",$AH1&gt;$AG1,LEFT($AH1,1)&lt;&gt;"H")</formula>
    </cfRule>
  </conditionalFormatting>
  <conditionalFormatting sqref="A1045952:BM1048576">
    <cfRule type="expression" dxfId="1056" priority="39">
      <formula>$AR1045952&lt;&gt;$AR1</formula>
    </cfRule>
    <cfRule type="expression" dxfId="1055" priority="40">
      <formula>$O1045952&lt;&gt;$O1</formula>
    </cfRule>
  </conditionalFormatting>
  <conditionalFormatting sqref="A2000:AM2000 AP2000:BL2000">
    <cfRule type="expression" dxfId="1054" priority="41">
      <formula>$AR2000&lt;&gt;#REF!</formula>
    </cfRule>
    <cfRule type="expression" dxfId="1053" priority="42">
      <formula>$O2000&lt;&gt;#REF!</formula>
    </cfRule>
  </conditionalFormatting>
  <conditionalFormatting sqref="AJ1:AJ1048576">
    <cfRule type="expression" dxfId="1052" priority="1">
      <formula>AND(LEFT($AJ1,1)&lt;&gt;"E",$AJ1&lt;&gt;"",$AJ1&gt;0)</formula>
    </cfRule>
  </conditionalFormatting>
  <dataValidations disablePrompts="1" count="3">
    <dataValidation type="list" errorStyle="warning" allowBlank="1" showInputMessage="1" showErrorMessage="1" errorTitle="Valid" error="Non-standard input detected.  Standard inputs include S, s, H, or h" sqref="AE1:AE1048576" xr:uid="{E37242AA-D579-46C2-9AB6-F5FD880192AF}">
      <formula1>"s, h, S, H"</formula1>
    </dataValidation>
    <dataValidation type="list" errorStyle="warning" allowBlank="1" showInputMessage="1" showErrorMessage="1" errorTitle="Invalid Input" error="This field requires and X or a blank for its input" sqref="AM1:AM1048576 AO1:AO1048576" xr:uid="{895D4557-6667-4367-8EC7-B2ED9D6295AE}">
      <formula1>"X, x"</formula1>
    </dataValidation>
    <dataValidation type="whole" errorStyle="warning" operator="greaterThan" allowBlank="1" showInputMessage="1" showErrorMessage="1" errorTitle="Invalid Input" error="Positive Value Required" sqref="AN1:AN1048576" xr:uid="{AF878636-E91B-4889-A531-08BC02D2961B}">
      <formula1>0</formula1>
    </dataValidation>
  </dataValidations>
  <pageMargins left="0.25" right="0.25" top="0.5" bottom="0.5" header="0.15" footer="0.15"/>
  <pageSetup scale="34" fitToHeight="0" orientation="landscape" r:id="rId1"/>
  <headerFooter>
    <oddHeader>&amp;C&amp;"+,Regular"&amp;20Auburn Paper Release Review Document</oddHeader>
    <oddFooter>&amp;LPage &amp;P&amp;C&amp;Z&amp;F</oddFooter>
  </headerFooter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xr2:uid="{E1AEEF72-0061-4213-B0F9-BFE9C418921F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Review!G2:L2</xm:f>
              <xm:sqref>N2</xm:sqref>
            </x14:sparkline>
            <x14:sparkline>
              <xm:f>Review!G3:L3</xm:f>
              <xm:sqref>N3</xm:sqref>
            </x14:sparkline>
            <x14:sparkline>
              <xm:f>Review!G4:L4</xm:f>
              <xm:sqref>N4</xm:sqref>
            </x14:sparkline>
            <x14:sparkline>
              <xm:f>Review!G5:L5</xm:f>
              <xm:sqref>N5</xm:sqref>
            </x14:sparkline>
            <x14:sparkline>
              <xm:f>Review!G6:L6</xm:f>
              <xm:sqref>N6</xm:sqref>
            </x14:sparkline>
            <x14:sparkline>
              <xm:f>Review!G7:L7</xm:f>
              <xm:sqref>N7</xm:sqref>
            </x14:sparkline>
            <x14:sparkline>
              <xm:f>Review!G8:L8</xm:f>
              <xm:sqref>N8</xm:sqref>
            </x14:sparkline>
            <x14:sparkline>
              <xm:f>Review!G9:L9</xm:f>
              <xm:sqref>N9</xm:sqref>
            </x14:sparkline>
            <x14:sparkline>
              <xm:f>Review!G10:L10</xm:f>
              <xm:sqref>N10</xm:sqref>
            </x14:sparkline>
            <x14:sparkline>
              <xm:f>Review!G11:L11</xm:f>
              <xm:sqref>N11</xm:sqref>
            </x14:sparkline>
            <x14:sparkline>
              <xm:f>Review!G12:L12</xm:f>
              <xm:sqref>N12</xm:sqref>
            </x14:sparkline>
            <x14:sparkline>
              <xm:f>Review!G13:L13</xm:f>
              <xm:sqref>N13</xm:sqref>
            </x14:sparkline>
            <x14:sparkline>
              <xm:f>Review!G14:L14</xm:f>
              <xm:sqref>N14</xm:sqref>
            </x14:sparkline>
            <x14:sparkline>
              <xm:f>Review!G15:L15</xm:f>
              <xm:sqref>N15</xm:sqref>
            </x14:sparkline>
            <x14:sparkline>
              <xm:f>Review!G16:L16</xm:f>
              <xm:sqref>N16</xm:sqref>
            </x14:sparkline>
            <x14:sparkline>
              <xm:f>Review!G17:L17</xm:f>
              <xm:sqref>N17</xm:sqref>
            </x14:sparkline>
            <x14:sparkline>
              <xm:f>Review!G18:L18</xm:f>
              <xm:sqref>N18</xm:sqref>
            </x14:sparkline>
            <x14:sparkline>
              <xm:f>Review!G19:L19</xm:f>
              <xm:sqref>N19</xm:sqref>
            </x14:sparkline>
            <x14:sparkline>
              <xm:f>Review!G20:L20</xm:f>
              <xm:sqref>N20</xm:sqref>
            </x14:sparkline>
            <x14:sparkline>
              <xm:f>Review!G21:L21</xm:f>
              <xm:sqref>N21</xm:sqref>
            </x14:sparkline>
            <x14:sparkline>
              <xm:f>Review!G22:L22</xm:f>
              <xm:sqref>N22</xm:sqref>
            </x14:sparkline>
            <x14:sparkline>
              <xm:f>Review!G23:L23</xm:f>
              <xm:sqref>N23</xm:sqref>
            </x14:sparkline>
            <x14:sparkline>
              <xm:f>Review!G24:L24</xm:f>
              <xm:sqref>N24</xm:sqref>
            </x14:sparkline>
            <x14:sparkline>
              <xm:f>Review!G25:L25</xm:f>
              <xm:sqref>N25</xm:sqref>
            </x14:sparkline>
            <x14:sparkline>
              <xm:f>Review!G26:L26</xm:f>
              <xm:sqref>N26</xm:sqref>
            </x14:sparkline>
            <x14:sparkline>
              <xm:f>Review!G27:L27</xm:f>
              <xm:sqref>N27</xm:sqref>
            </x14:sparkline>
            <x14:sparkline>
              <xm:f>Review!G28:L28</xm:f>
              <xm:sqref>N28</xm:sqref>
            </x14:sparkline>
            <x14:sparkline>
              <xm:f>Review!G29:L29</xm:f>
              <xm:sqref>N29</xm:sqref>
            </x14:sparkline>
            <x14:sparkline>
              <xm:f>Review!G30:L30</xm:f>
              <xm:sqref>N30</xm:sqref>
            </x14:sparkline>
            <x14:sparkline>
              <xm:f>Review!G31:L31</xm:f>
              <xm:sqref>N31</xm:sqref>
            </x14:sparkline>
            <x14:sparkline>
              <xm:f>Review!G32:L32</xm:f>
              <xm:sqref>N32</xm:sqref>
            </x14:sparkline>
            <x14:sparkline>
              <xm:f>Review!G33:L33</xm:f>
              <xm:sqref>N33</xm:sqref>
            </x14:sparkline>
            <x14:sparkline>
              <xm:f>Review!G34:L34</xm:f>
              <xm:sqref>N34</xm:sqref>
            </x14:sparkline>
            <x14:sparkline>
              <xm:f>Review!G35:L35</xm:f>
              <xm:sqref>N35</xm:sqref>
            </x14:sparkline>
            <x14:sparkline>
              <xm:f>Review!G36:L36</xm:f>
              <xm:sqref>N36</xm:sqref>
            </x14:sparkline>
            <x14:sparkline>
              <xm:f>Review!G37:L37</xm:f>
              <xm:sqref>N37</xm:sqref>
            </x14:sparkline>
            <x14:sparkline>
              <xm:f>Review!G38:L38</xm:f>
              <xm:sqref>N38</xm:sqref>
            </x14:sparkline>
            <x14:sparkline>
              <xm:f>Review!G39:L39</xm:f>
              <xm:sqref>N39</xm:sqref>
            </x14:sparkline>
            <x14:sparkline>
              <xm:f>Review!G40:L40</xm:f>
              <xm:sqref>N40</xm:sqref>
            </x14:sparkline>
            <x14:sparkline>
              <xm:f>Review!G41:L41</xm:f>
              <xm:sqref>N41</xm:sqref>
            </x14:sparkline>
            <x14:sparkline>
              <xm:f>Review!G42:L42</xm:f>
              <xm:sqref>N42</xm:sqref>
            </x14:sparkline>
            <x14:sparkline>
              <xm:f>Review!G43:L43</xm:f>
              <xm:sqref>N43</xm:sqref>
            </x14:sparkline>
            <x14:sparkline>
              <xm:f>Review!G44:L44</xm:f>
              <xm:sqref>N44</xm:sqref>
            </x14:sparkline>
            <x14:sparkline>
              <xm:f>Review!G45:L45</xm:f>
              <xm:sqref>N45</xm:sqref>
            </x14:sparkline>
            <x14:sparkline>
              <xm:f>Review!G46:L46</xm:f>
              <xm:sqref>N46</xm:sqref>
            </x14:sparkline>
            <x14:sparkline>
              <xm:f>Review!G47:L47</xm:f>
              <xm:sqref>N47</xm:sqref>
            </x14:sparkline>
            <x14:sparkline>
              <xm:f>Review!G48:L48</xm:f>
              <xm:sqref>N48</xm:sqref>
            </x14:sparkline>
            <x14:sparkline>
              <xm:f>Review!G49:L49</xm:f>
              <xm:sqref>N49</xm:sqref>
            </x14:sparkline>
            <x14:sparkline>
              <xm:f>Review!G50:L50</xm:f>
              <xm:sqref>N50</xm:sqref>
            </x14:sparkline>
            <x14:sparkline>
              <xm:f>Review!G51:L51</xm:f>
              <xm:sqref>N51</xm:sqref>
            </x14:sparkline>
            <x14:sparkline>
              <xm:f>Review!G52:L52</xm:f>
              <xm:sqref>N52</xm:sqref>
            </x14:sparkline>
            <x14:sparkline>
              <xm:f>Review!G53:L53</xm:f>
              <xm:sqref>N53</xm:sqref>
            </x14:sparkline>
            <x14:sparkline>
              <xm:f>Review!G54:L54</xm:f>
              <xm:sqref>N54</xm:sqref>
            </x14:sparkline>
            <x14:sparkline>
              <xm:f>Review!G55:L55</xm:f>
              <xm:sqref>N55</xm:sqref>
            </x14:sparkline>
            <x14:sparkline>
              <xm:f>Review!G56:L56</xm:f>
              <xm:sqref>N56</xm:sqref>
            </x14:sparkline>
            <x14:sparkline>
              <xm:f>Review!G57:L57</xm:f>
              <xm:sqref>N57</xm:sqref>
            </x14:sparkline>
            <x14:sparkline>
              <xm:f>Review!G58:L58</xm:f>
              <xm:sqref>N58</xm:sqref>
            </x14:sparkline>
            <x14:sparkline>
              <xm:f>Review!G59:L59</xm:f>
              <xm:sqref>N59</xm:sqref>
            </x14:sparkline>
            <x14:sparkline>
              <xm:f>Review!G60:L60</xm:f>
              <xm:sqref>N60</xm:sqref>
            </x14:sparkline>
            <x14:sparkline>
              <xm:f>Review!G61:L61</xm:f>
              <xm:sqref>N61</xm:sqref>
            </x14:sparkline>
            <x14:sparkline>
              <xm:f>Review!G62:L62</xm:f>
              <xm:sqref>N62</xm:sqref>
            </x14:sparkline>
            <x14:sparkline>
              <xm:f>Review!G63:L63</xm:f>
              <xm:sqref>N63</xm:sqref>
            </x14:sparkline>
            <x14:sparkline>
              <xm:f>Review!G64:L64</xm:f>
              <xm:sqref>N64</xm:sqref>
            </x14:sparkline>
            <x14:sparkline>
              <xm:f>Review!G65:L65</xm:f>
              <xm:sqref>N65</xm:sqref>
            </x14:sparkline>
            <x14:sparkline>
              <xm:f>Review!G66:L66</xm:f>
              <xm:sqref>N66</xm:sqref>
            </x14:sparkline>
            <x14:sparkline>
              <xm:f>Review!G67:L67</xm:f>
              <xm:sqref>N67</xm:sqref>
            </x14:sparkline>
            <x14:sparkline>
              <xm:f>Review!G68:L68</xm:f>
              <xm:sqref>N68</xm:sqref>
            </x14:sparkline>
            <x14:sparkline>
              <xm:f>Review!G69:L69</xm:f>
              <xm:sqref>N69</xm:sqref>
            </x14:sparkline>
            <x14:sparkline>
              <xm:f>Review!G70:L70</xm:f>
              <xm:sqref>N70</xm:sqref>
            </x14:sparkline>
            <x14:sparkline>
              <xm:f>Review!G71:L71</xm:f>
              <xm:sqref>N71</xm:sqref>
            </x14:sparkline>
            <x14:sparkline>
              <xm:f>Review!G72:L72</xm:f>
              <xm:sqref>N72</xm:sqref>
            </x14:sparkline>
            <x14:sparkline>
              <xm:f>Review!G73:L73</xm:f>
              <xm:sqref>N73</xm:sqref>
            </x14:sparkline>
            <x14:sparkline>
              <xm:f>Review!G74:L74</xm:f>
              <xm:sqref>N74</xm:sqref>
            </x14:sparkline>
            <x14:sparkline>
              <xm:f>Review!G75:L75</xm:f>
              <xm:sqref>N75</xm:sqref>
            </x14:sparkline>
            <x14:sparkline>
              <xm:f>Review!G76:L76</xm:f>
              <xm:sqref>N76</xm:sqref>
            </x14:sparkline>
            <x14:sparkline>
              <xm:f>Review!G77:L77</xm:f>
              <xm:sqref>N77</xm:sqref>
            </x14:sparkline>
            <x14:sparkline>
              <xm:f>Review!G78:L78</xm:f>
              <xm:sqref>N78</xm:sqref>
            </x14:sparkline>
            <x14:sparkline>
              <xm:f>Review!G79:L79</xm:f>
              <xm:sqref>N79</xm:sqref>
            </x14:sparkline>
            <x14:sparkline>
              <xm:f>Review!G80:L80</xm:f>
              <xm:sqref>N80</xm:sqref>
            </x14:sparkline>
            <x14:sparkline>
              <xm:f>Review!G81:L81</xm:f>
              <xm:sqref>N81</xm:sqref>
            </x14:sparkline>
            <x14:sparkline>
              <xm:f>Review!G82:L82</xm:f>
              <xm:sqref>N82</xm:sqref>
            </x14:sparkline>
            <x14:sparkline>
              <xm:f>Review!G83:L83</xm:f>
              <xm:sqref>N83</xm:sqref>
            </x14:sparkline>
            <x14:sparkline>
              <xm:f>Review!G84:L84</xm:f>
              <xm:sqref>N84</xm:sqref>
            </x14:sparkline>
            <x14:sparkline>
              <xm:f>Review!G85:L85</xm:f>
              <xm:sqref>N85</xm:sqref>
            </x14:sparkline>
            <x14:sparkline>
              <xm:f>Review!G86:L86</xm:f>
              <xm:sqref>N86</xm:sqref>
            </x14:sparkline>
            <x14:sparkline>
              <xm:f>Review!G87:L87</xm:f>
              <xm:sqref>N87</xm:sqref>
            </x14:sparkline>
            <x14:sparkline>
              <xm:f>Review!G88:L88</xm:f>
              <xm:sqref>N88</xm:sqref>
            </x14:sparkline>
            <x14:sparkline>
              <xm:f>Review!G89:L89</xm:f>
              <xm:sqref>N89</xm:sqref>
            </x14:sparkline>
            <x14:sparkline>
              <xm:f>Review!G90:L90</xm:f>
              <xm:sqref>N90</xm:sqref>
            </x14:sparkline>
            <x14:sparkline>
              <xm:f>Review!G91:L91</xm:f>
              <xm:sqref>N91</xm:sqref>
            </x14:sparkline>
            <x14:sparkline>
              <xm:f>Review!G92:L92</xm:f>
              <xm:sqref>N92</xm:sqref>
            </x14:sparkline>
            <x14:sparkline>
              <xm:f>Review!G93:L93</xm:f>
              <xm:sqref>N93</xm:sqref>
            </x14:sparkline>
            <x14:sparkline>
              <xm:f>Review!G94:L94</xm:f>
              <xm:sqref>N94</xm:sqref>
            </x14:sparkline>
            <x14:sparkline>
              <xm:f>Review!G95:L95</xm:f>
              <xm:sqref>N95</xm:sqref>
            </x14:sparkline>
            <x14:sparkline>
              <xm:f>Review!G96:L96</xm:f>
              <xm:sqref>N96</xm:sqref>
            </x14:sparkline>
            <x14:sparkline>
              <xm:f>Review!G97:L97</xm:f>
              <xm:sqref>N97</xm:sqref>
            </x14:sparkline>
            <x14:sparkline>
              <xm:f>Review!G98:L98</xm:f>
              <xm:sqref>N98</xm:sqref>
            </x14:sparkline>
            <x14:sparkline>
              <xm:f>Review!G99:L99</xm:f>
              <xm:sqref>N99</xm:sqref>
            </x14:sparkline>
            <x14:sparkline>
              <xm:f>Review!G100:L100</xm:f>
              <xm:sqref>N100</xm:sqref>
            </x14:sparkline>
            <x14:sparkline>
              <xm:f>Review!G101:L101</xm:f>
              <xm:sqref>N101</xm:sqref>
            </x14:sparkline>
            <x14:sparkline>
              <xm:f>Review!G102:L102</xm:f>
              <xm:sqref>N102</xm:sqref>
            </x14:sparkline>
            <x14:sparkline>
              <xm:f>Review!G103:L103</xm:f>
              <xm:sqref>N103</xm:sqref>
            </x14:sparkline>
            <x14:sparkline>
              <xm:f>Review!G104:L104</xm:f>
              <xm:sqref>N104</xm:sqref>
            </x14:sparkline>
            <x14:sparkline>
              <xm:f>Review!G105:L105</xm:f>
              <xm:sqref>N105</xm:sqref>
            </x14:sparkline>
            <x14:sparkline>
              <xm:f>Review!G106:L106</xm:f>
              <xm:sqref>N106</xm:sqref>
            </x14:sparkline>
            <x14:sparkline>
              <xm:f>Review!G107:L107</xm:f>
              <xm:sqref>N107</xm:sqref>
            </x14:sparkline>
            <x14:sparkline>
              <xm:f>Review!G108:L108</xm:f>
              <xm:sqref>N108</xm:sqref>
            </x14:sparkline>
            <x14:sparkline>
              <xm:f>Review!G109:L109</xm:f>
              <xm:sqref>N109</xm:sqref>
            </x14:sparkline>
            <x14:sparkline>
              <xm:f>Review!G110:L110</xm:f>
              <xm:sqref>N110</xm:sqref>
            </x14:sparkline>
            <x14:sparkline>
              <xm:f>Review!G111:L111</xm:f>
              <xm:sqref>N111</xm:sqref>
            </x14:sparkline>
            <x14:sparkline>
              <xm:f>Review!G112:L112</xm:f>
              <xm:sqref>N112</xm:sqref>
            </x14:sparkline>
            <x14:sparkline>
              <xm:f>Review!G113:L113</xm:f>
              <xm:sqref>N113</xm:sqref>
            </x14:sparkline>
            <x14:sparkline>
              <xm:f>Review!G114:L114</xm:f>
              <xm:sqref>N114</xm:sqref>
            </x14:sparkline>
            <x14:sparkline>
              <xm:f>Review!G115:L115</xm:f>
              <xm:sqref>N115</xm:sqref>
            </x14:sparkline>
            <x14:sparkline>
              <xm:f>Review!G116:L116</xm:f>
              <xm:sqref>N116</xm:sqref>
            </x14:sparkline>
            <x14:sparkline>
              <xm:f>Review!G117:L117</xm:f>
              <xm:sqref>N117</xm:sqref>
            </x14:sparkline>
            <x14:sparkline>
              <xm:f>Review!G118:L118</xm:f>
              <xm:sqref>N118</xm:sqref>
            </x14:sparkline>
            <x14:sparkline>
              <xm:f>Review!G119:L119</xm:f>
              <xm:sqref>N119</xm:sqref>
            </x14:sparkline>
            <x14:sparkline>
              <xm:f>Review!G120:L120</xm:f>
              <xm:sqref>N120</xm:sqref>
            </x14:sparkline>
            <x14:sparkline>
              <xm:f>Review!G121:L121</xm:f>
              <xm:sqref>N121</xm:sqref>
            </x14:sparkline>
            <x14:sparkline>
              <xm:f>Review!G122:L122</xm:f>
              <xm:sqref>N122</xm:sqref>
            </x14:sparkline>
            <x14:sparkline>
              <xm:f>Review!G123:L123</xm:f>
              <xm:sqref>N123</xm:sqref>
            </x14:sparkline>
            <x14:sparkline>
              <xm:f>Review!G124:L124</xm:f>
              <xm:sqref>N124</xm:sqref>
            </x14:sparkline>
            <x14:sparkline>
              <xm:f>Review!G125:L125</xm:f>
              <xm:sqref>N125</xm:sqref>
            </x14:sparkline>
            <x14:sparkline>
              <xm:f>Review!G126:L126</xm:f>
              <xm:sqref>N126</xm:sqref>
            </x14:sparkline>
            <x14:sparkline>
              <xm:f>Review!G127:L127</xm:f>
              <xm:sqref>N127</xm:sqref>
            </x14:sparkline>
            <x14:sparkline>
              <xm:f>Review!G128:L128</xm:f>
              <xm:sqref>N128</xm:sqref>
            </x14:sparkline>
            <x14:sparkline>
              <xm:f>Review!G129:L129</xm:f>
              <xm:sqref>N129</xm:sqref>
            </x14:sparkline>
            <x14:sparkline>
              <xm:f>Review!G130:L130</xm:f>
              <xm:sqref>N130</xm:sqref>
            </x14:sparkline>
            <x14:sparkline>
              <xm:f>Review!G131:L131</xm:f>
              <xm:sqref>N131</xm:sqref>
            </x14:sparkline>
            <x14:sparkline>
              <xm:f>Review!G132:L132</xm:f>
              <xm:sqref>N132</xm:sqref>
            </x14:sparkline>
            <x14:sparkline>
              <xm:f>Review!G133:L133</xm:f>
              <xm:sqref>N133</xm:sqref>
            </x14:sparkline>
            <x14:sparkline>
              <xm:f>Review!G134:L134</xm:f>
              <xm:sqref>N134</xm:sqref>
            </x14:sparkline>
            <x14:sparkline>
              <xm:f>Review!G135:L135</xm:f>
              <xm:sqref>N135</xm:sqref>
            </x14:sparkline>
            <x14:sparkline>
              <xm:f>Review!G136:L136</xm:f>
              <xm:sqref>N136</xm:sqref>
            </x14:sparkline>
            <x14:sparkline>
              <xm:f>Review!G137:L137</xm:f>
              <xm:sqref>N137</xm:sqref>
            </x14:sparkline>
            <x14:sparkline>
              <xm:f>Review!G138:L138</xm:f>
              <xm:sqref>N138</xm:sqref>
            </x14:sparkline>
            <x14:sparkline>
              <xm:f>Review!G139:L139</xm:f>
              <xm:sqref>N139</xm:sqref>
            </x14:sparkline>
            <x14:sparkline>
              <xm:f>Review!G140:L140</xm:f>
              <xm:sqref>N140</xm:sqref>
            </x14:sparkline>
            <x14:sparkline>
              <xm:f>Review!G141:L141</xm:f>
              <xm:sqref>N141</xm:sqref>
            </x14:sparkline>
            <x14:sparkline>
              <xm:f>Review!G142:L142</xm:f>
              <xm:sqref>N142</xm:sqref>
            </x14:sparkline>
            <x14:sparkline>
              <xm:f>Review!G143:L143</xm:f>
              <xm:sqref>N143</xm:sqref>
            </x14:sparkline>
            <x14:sparkline>
              <xm:f>Review!G144:L144</xm:f>
              <xm:sqref>N144</xm:sqref>
            </x14:sparkline>
            <x14:sparkline>
              <xm:f>Review!G145:L145</xm:f>
              <xm:sqref>N145</xm:sqref>
            </x14:sparkline>
            <x14:sparkline>
              <xm:f>Review!G146:L146</xm:f>
              <xm:sqref>N146</xm:sqref>
            </x14:sparkline>
            <x14:sparkline>
              <xm:f>Review!G147:L147</xm:f>
              <xm:sqref>N147</xm:sqref>
            </x14:sparkline>
            <x14:sparkline>
              <xm:f>Review!G148:L148</xm:f>
              <xm:sqref>N148</xm:sqref>
            </x14:sparkline>
            <x14:sparkline>
              <xm:f>Review!G149:L149</xm:f>
              <xm:sqref>N149</xm:sqref>
            </x14:sparkline>
            <x14:sparkline>
              <xm:f>Review!G150:L150</xm:f>
              <xm:sqref>N150</xm:sqref>
            </x14:sparkline>
            <x14:sparkline>
              <xm:f>Review!G151:L151</xm:f>
              <xm:sqref>N151</xm:sqref>
            </x14:sparkline>
            <x14:sparkline>
              <xm:f>Review!G152:L152</xm:f>
              <xm:sqref>N152</xm:sqref>
            </x14:sparkline>
            <x14:sparkline>
              <xm:f>Review!G153:L153</xm:f>
              <xm:sqref>N153</xm:sqref>
            </x14:sparkline>
            <x14:sparkline>
              <xm:f>Review!G154:L154</xm:f>
              <xm:sqref>N154</xm:sqref>
            </x14:sparkline>
            <x14:sparkline>
              <xm:f>Review!G155:L155</xm:f>
              <xm:sqref>N155</xm:sqref>
            </x14:sparkline>
            <x14:sparkline>
              <xm:f>Review!G156:L156</xm:f>
              <xm:sqref>N156</xm:sqref>
            </x14:sparkline>
            <x14:sparkline>
              <xm:f>Review!G157:L157</xm:f>
              <xm:sqref>N157</xm:sqref>
            </x14:sparkline>
            <x14:sparkline>
              <xm:f>Review!G158:L158</xm:f>
              <xm:sqref>N158</xm:sqref>
            </x14:sparkline>
            <x14:sparkline>
              <xm:f>Review!G159:L159</xm:f>
              <xm:sqref>N159</xm:sqref>
            </x14:sparkline>
            <x14:sparkline>
              <xm:f>Review!G160:L160</xm:f>
              <xm:sqref>N160</xm:sqref>
            </x14:sparkline>
            <x14:sparkline>
              <xm:f>Review!G161:L161</xm:f>
              <xm:sqref>N161</xm:sqref>
            </x14:sparkline>
            <x14:sparkline>
              <xm:f>Review!G162:L162</xm:f>
              <xm:sqref>N162</xm:sqref>
            </x14:sparkline>
            <x14:sparkline>
              <xm:f>Review!G163:L163</xm:f>
              <xm:sqref>N163</xm:sqref>
            </x14:sparkline>
            <x14:sparkline>
              <xm:f>Review!G164:L164</xm:f>
              <xm:sqref>N164</xm:sqref>
            </x14:sparkline>
            <x14:sparkline>
              <xm:f>Review!G165:L165</xm:f>
              <xm:sqref>N165</xm:sqref>
            </x14:sparkline>
            <x14:sparkline>
              <xm:f>Review!G166:L166</xm:f>
              <xm:sqref>N166</xm:sqref>
            </x14:sparkline>
            <x14:sparkline>
              <xm:f>Review!G167:L167</xm:f>
              <xm:sqref>N167</xm:sqref>
            </x14:sparkline>
            <x14:sparkline>
              <xm:f>Review!G168:L168</xm:f>
              <xm:sqref>N168</xm:sqref>
            </x14:sparkline>
            <x14:sparkline>
              <xm:f>Review!G169:L169</xm:f>
              <xm:sqref>N169</xm:sqref>
            </x14:sparkline>
            <x14:sparkline>
              <xm:f>Review!G170:L170</xm:f>
              <xm:sqref>N170</xm:sqref>
            </x14:sparkline>
            <x14:sparkline>
              <xm:f>Review!G171:L171</xm:f>
              <xm:sqref>N171</xm:sqref>
            </x14:sparkline>
            <x14:sparkline>
              <xm:f>Review!G172:L172</xm:f>
              <xm:sqref>N172</xm:sqref>
            </x14:sparkline>
            <x14:sparkline>
              <xm:f>Review!G173:L173</xm:f>
              <xm:sqref>N173</xm:sqref>
            </x14:sparkline>
            <x14:sparkline>
              <xm:f>Review!G174:L174</xm:f>
              <xm:sqref>N174</xm:sqref>
            </x14:sparkline>
            <x14:sparkline>
              <xm:f>Review!G175:L175</xm:f>
              <xm:sqref>N175</xm:sqref>
            </x14:sparkline>
            <x14:sparkline>
              <xm:f>Review!G176:L176</xm:f>
              <xm:sqref>N176</xm:sqref>
            </x14:sparkline>
            <x14:sparkline>
              <xm:f>Review!G177:L177</xm:f>
              <xm:sqref>N177</xm:sqref>
            </x14:sparkline>
            <x14:sparkline>
              <xm:f>Review!G178:L178</xm:f>
              <xm:sqref>N178</xm:sqref>
            </x14:sparkline>
            <x14:sparkline>
              <xm:f>Review!G179:L179</xm:f>
              <xm:sqref>N179</xm:sqref>
            </x14:sparkline>
            <x14:sparkline>
              <xm:f>Review!G180:L180</xm:f>
              <xm:sqref>N180</xm:sqref>
            </x14:sparkline>
            <x14:sparkline>
              <xm:f>Review!G181:L181</xm:f>
              <xm:sqref>N181</xm:sqref>
            </x14:sparkline>
            <x14:sparkline>
              <xm:f>Review!G182:L182</xm:f>
              <xm:sqref>N182</xm:sqref>
            </x14:sparkline>
            <x14:sparkline>
              <xm:f>Review!G183:L183</xm:f>
              <xm:sqref>N183</xm:sqref>
            </x14:sparkline>
            <x14:sparkline>
              <xm:f>Review!G184:L184</xm:f>
              <xm:sqref>N184</xm:sqref>
            </x14:sparkline>
            <x14:sparkline>
              <xm:f>Review!G185:L185</xm:f>
              <xm:sqref>N185</xm:sqref>
            </x14:sparkline>
            <x14:sparkline>
              <xm:f>Review!G186:L186</xm:f>
              <xm:sqref>N186</xm:sqref>
            </x14:sparkline>
            <x14:sparkline>
              <xm:f>Review!G187:L187</xm:f>
              <xm:sqref>N187</xm:sqref>
            </x14:sparkline>
            <x14:sparkline>
              <xm:f>Review!G188:L188</xm:f>
              <xm:sqref>N188</xm:sqref>
            </x14:sparkline>
            <x14:sparkline>
              <xm:f>Review!G189:L189</xm:f>
              <xm:sqref>N189</xm:sqref>
            </x14:sparkline>
            <x14:sparkline>
              <xm:f>Review!G190:L190</xm:f>
              <xm:sqref>N190</xm:sqref>
            </x14:sparkline>
            <x14:sparkline>
              <xm:f>Review!G191:L191</xm:f>
              <xm:sqref>N191</xm:sqref>
            </x14:sparkline>
            <x14:sparkline>
              <xm:f>Review!G192:L192</xm:f>
              <xm:sqref>N192</xm:sqref>
            </x14:sparkline>
            <x14:sparkline>
              <xm:f>Review!G193:L193</xm:f>
              <xm:sqref>N193</xm:sqref>
            </x14:sparkline>
            <x14:sparkline>
              <xm:f>Review!G194:L194</xm:f>
              <xm:sqref>N194</xm:sqref>
            </x14:sparkline>
            <x14:sparkline>
              <xm:f>Review!G195:L195</xm:f>
              <xm:sqref>N195</xm:sqref>
            </x14:sparkline>
            <x14:sparkline>
              <xm:f>Review!G196:L196</xm:f>
              <xm:sqref>N196</xm:sqref>
            </x14:sparkline>
            <x14:sparkline>
              <xm:f>Review!G197:L197</xm:f>
              <xm:sqref>N197</xm:sqref>
            </x14:sparkline>
            <x14:sparkline>
              <xm:f>Review!G198:L198</xm:f>
              <xm:sqref>N198</xm:sqref>
            </x14:sparkline>
            <x14:sparkline>
              <xm:f>Review!G199:L199</xm:f>
              <xm:sqref>N199</xm:sqref>
            </x14:sparkline>
            <x14:sparkline>
              <xm:f>Review!G200:L200</xm:f>
              <xm:sqref>N200</xm:sqref>
            </x14:sparkline>
            <x14:sparkline>
              <xm:f>Review!G201:L201</xm:f>
              <xm:sqref>N201</xm:sqref>
            </x14:sparkline>
            <x14:sparkline>
              <xm:f>Review!G202:L202</xm:f>
              <xm:sqref>N202</xm:sqref>
            </x14:sparkline>
            <x14:sparkline>
              <xm:f>Review!G203:L203</xm:f>
              <xm:sqref>N203</xm:sqref>
            </x14:sparkline>
            <x14:sparkline>
              <xm:f>Review!G204:L204</xm:f>
              <xm:sqref>N204</xm:sqref>
            </x14:sparkline>
            <x14:sparkline>
              <xm:f>Review!G205:L205</xm:f>
              <xm:sqref>N205</xm:sqref>
            </x14:sparkline>
            <x14:sparkline>
              <xm:f>Review!G206:L206</xm:f>
              <xm:sqref>N206</xm:sqref>
            </x14:sparkline>
            <x14:sparkline>
              <xm:f>Review!G207:L207</xm:f>
              <xm:sqref>N207</xm:sqref>
            </x14:sparkline>
            <x14:sparkline>
              <xm:f>Review!G208:L208</xm:f>
              <xm:sqref>N208</xm:sqref>
            </x14:sparkline>
            <x14:sparkline>
              <xm:f>Review!G209:L209</xm:f>
              <xm:sqref>N209</xm:sqref>
            </x14:sparkline>
            <x14:sparkline>
              <xm:f>Review!G210:L210</xm:f>
              <xm:sqref>N210</xm:sqref>
            </x14:sparkline>
            <x14:sparkline>
              <xm:f>Review!G211:L211</xm:f>
              <xm:sqref>N211</xm:sqref>
            </x14:sparkline>
            <x14:sparkline>
              <xm:f>Review!G212:L212</xm:f>
              <xm:sqref>N212</xm:sqref>
            </x14:sparkline>
            <x14:sparkline>
              <xm:f>Review!G213:L213</xm:f>
              <xm:sqref>N213</xm:sqref>
            </x14:sparkline>
            <x14:sparkline>
              <xm:f>Review!G214:L214</xm:f>
              <xm:sqref>N214</xm:sqref>
            </x14:sparkline>
            <x14:sparkline>
              <xm:f>Review!G215:L215</xm:f>
              <xm:sqref>N215</xm:sqref>
            </x14:sparkline>
            <x14:sparkline>
              <xm:f>Review!G216:L216</xm:f>
              <xm:sqref>N216</xm:sqref>
            </x14:sparkline>
            <x14:sparkline>
              <xm:f>Review!G217:L217</xm:f>
              <xm:sqref>N217</xm:sqref>
            </x14:sparkline>
            <x14:sparkline>
              <xm:f>Review!G218:L218</xm:f>
              <xm:sqref>N218</xm:sqref>
            </x14:sparkline>
            <x14:sparkline>
              <xm:f>Review!G219:L219</xm:f>
              <xm:sqref>N219</xm:sqref>
            </x14:sparkline>
            <x14:sparkline>
              <xm:f>Review!G220:L220</xm:f>
              <xm:sqref>N220</xm:sqref>
            </x14:sparkline>
            <x14:sparkline>
              <xm:f>Review!G221:L221</xm:f>
              <xm:sqref>N221</xm:sqref>
            </x14:sparkline>
            <x14:sparkline>
              <xm:f>Review!G222:L222</xm:f>
              <xm:sqref>N222</xm:sqref>
            </x14:sparkline>
            <x14:sparkline>
              <xm:f>Review!G223:L223</xm:f>
              <xm:sqref>N223</xm:sqref>
            </x14:sparkline>
            <x14:sparkline>
              <xm:f>Review!G224:L224</xm:f>
              <xm:sqref>N224</xm:sqref>
            </x14:sparkline>
            <x14:sparkline>
              <xm:f>Review!G225:L225</xm:f>
              <xm:sqref>N225</xm:sqref>
            </x14:sparkline>
            <x14:sparkline>
              <xm:f>Review!G226:L226</xm:f>
              <xm:sqref>N226</xm:sqref>
            </x14:sparkline>
            <x14:sparkline>
              <xm:f>Review!G227:L227</xm:f>
              <xm:sqref>N227</xm:sqref>
            </x14:sparkline>
            <x14:sparkline>
              <xm:f>Review!G228:L228</xm:f>
              <xm:sqref>N228</xm:sqref>
            </x14:sparkline>
            <x14:sparkline>
              <xm:f>Review!G229:L229</xm:f>
              <xm:sqref>N229</xm:sqref>
            </x14:sparkline>
            <x14:sparkline>
              <xm:f>Review!G230:L230</xm:f>
              <xm:sqref>N230</xm:sqref>
            </x14:sparkline>
            <x14:sparkline>
              <xm:f>Review!G231:L231</xm:f>
              <xm:sqref>N231</xm:sqref>
            </x14:sparkline>
            <x14:sparkline>
              <xm:f>Review!G232:L232</xm:f>
              <xm:sqref>N232</xm:sqref>
            </x14:sparkline>
            <x14:sparkline>
              <xm:f>Review!G233:L233</xm:f>
              <xm:sqref>N233</xm:sqref>
            </x14:sparkline>
            <x14:sparkline>
              <xm:f>Review!G234:L234</xm:f>
              <xm:sqref>N234</xm:sqref>
            </x14:sparkline>
            <x14:sparkline>
              <xm:f>Review!G235:L235</xm:f>
              <xm:sqref>N235</xm:sqref>
            </x14:sparkline>
            <x14:sparkline>
              <xm:f>Review!G236:L236</xm:f>
              <xm:sqref>N236</xm:sqref>
            </x14:sparkline>
            <x14:sparkline>
              <xm:f>Review!G237:L237</xm:f>
              <xm:sqref>N237</xm:sqref>
            </x14:sparkline>
            <x14:sparkline>
              <xm:f>Review!G238:L238</xm:f>
              <xm:sqref>N238</xm:sqref>
            </x14:sparkline>
            <x14:sparkline>
              <xm:f>Review!G239:L239</xm:f>
              <xm:sqref>N239</xm:sqref>
            </x14:sparkline>
            <x14:sparkline>
              <xm:f>Review!G240:L240</xm:f>
              <xm:sqref>N240</xm:sqref>
            </x14:sparkline>
            <x14:sparkline>
              <xm:f>Review!G241:L241</xm:f>
              <xm:sqref>N241</xm:sqref>
            </x14:sparkline>
            <x14:sparkline>
              <xm:f>Review!G242:L242</xm:f>
              <xm:sqref>N242</xm:sqref>
            </x14:sparkline>
            <x14:sparkline>
              <xm:f>Review!G243:L243</xm:f>
              <xm:sqref>N243</xm:sqref>
            </x14:sparkline>
            <x14:sparkline>
              <xm:f>Review!G244:L244</xm:f>
              <xm:sqref>N244</xm:sqref>
            </x14:sparkline>
            <x14:sparkline>
              <xm:f>Review!G245:L245</xm:f>
              <xm:sqref>N245</xm:sqref>
            </x14:sparkline>
            <x14:sparkline>
              <xm:f>Review!G246:L246</xm:f>
              <xm:sqref>N246</xm:sqref>
            </x14:sparkline>
            <x14:sparkline>
              <xm:f>Review!G247:L247</xm:f>
              <xm:sqref>N247</xm:sqref>
            </x14:sparkline>
            <x14:sparkline>
              <xm:f>Review!G248:L248</xm:f>
              <xm:sqref>N248</xm:sqref>
            </x14:sparkline>
            <x14:sparkline>
              <xm:f>Review!G249:L249</xm:f>
              <xm:sqref>N249</xm:sqref>
            </x14:sparkline>
            <x14:sparkline>
              <xm:f>Review!G250:L250</xm:f>
              <xm:sqref>N250</xm:sqref>
            </x14:sparkline>
            <x14:sparkline>
              <xm:f>Review!G251:L251</xm:f>
              <xm:sqref>N251</xm:sqref>
            </x14:sparkline>
            <x14:sparkline>
              <xm:f>Review!G252:L252</xm:f>
              <xm:sqref>N252</xm:sqref>
            </x14:sparkline>
            <x14:sparkline>
              <xm:f>Review!G253:L253</xm:f>
              <xm:sqref>N253</xm:sqref>
            </x14:sparkline>
            <x14:sparkline>
              <xm:f>Review!G254:L254</xm:f>
              <xm:sqref>N254</xm:sqref>
            </x14:sparkline>
            <x14:sparkline>
              <xm:f>Review!G255:L255</xm:f>
              <xm:sqref>N255</xm:sqref>
            </x14:sparkline>
            <x14:sparkline>
              <xm:f>Review!G256:L256</xm:f>
              <xm:sqref>N256</xm:sqref>
            </x14:sparkline>
            <x14:sparkline>
              <xm:f>Review!G257:L257</xm:f>
              <xm:sqref>N257</xm:sqref>
            </x14:sparkline>
            <x14:sparkline>
              <xm:f>Review!G258:L258</xm:f>
              <xm:sqref>N258</xm:sqref>
            </x14:sparkline>
            <x14:sparkline>
              <xm:f>Review!G259:L259</xm:f>
              <xm:sqref>N259</xm:sqref>
            </x14:sparkline>
            <x14:sparkline>
              <xm:f>Review!G260:L260</xm:f>
              <xm:sqref>N260</xm:sqref>
            </x14:sparkline>
            <x14:sparkline>
              <xm:f>Review!G261:L261</xm:f>
              <xm:sqref>N261</xm:sqref>
            </x14:sparkline>
            <x14:sparkline>
              <xm:f>Review!G262:L262</xm:f>
              <xm:sqref>N262</xm:sqref>
            </x14:sparkline>
            <x14:sparkline>
              <xm:f>Review!G263:L263</xm:f>
              <xm:sqref>N263</xm:sqref>
            </x14:sparkline>
            <x14:sparkline>
              <xm:f>Review!G264:L264</xm:f>
              <xm:sqref>N264</xm:sqref>
            </x14:sparkline>
            <x14:sparkline>
              <xm:f>Review!G265:L265</xm:f>
              <xm:sqref>N265</xm:sqref>
            </x14:sparkline>
            <x14:sparkline>
              <xm:f>Review!G266:L266</xm:f>
              <xm:sqref>N266</xm:sqref>
            </x14:sparkline>
            <x14:sparkline>
              <xm:f>Review!G267:L267</xm:f>
              <xm:sqref>N267</xm:sqref>
            </x14:sparkline>
            <x14:sparkline>
              <xm:f>Review!G268:L268</xm:f>
              <xm:sqref>N268</xm:sqref>
            </x14:sparkline>
            <x14:sparkline>
              <xm:f>Review!G269:L269</xm:f>
              <xm:sqref>N269</xm:sqref>
            </x14:sparkline>
            <x14:sparkline>
              <xm:f>Review!G270:L270</xm:f>
              <xm:sqref>N270</xm:sqref>
            </x14:sparkline>
            <x14:sparkline>
              <xm:f>Review!G271:L271</xm:f>
              <xm:sqref>N271</xm:sqref>
            </x14:sparkline>
            <x14:sparkline>
              <xm:f>Review!G272:L272</xm:f>
              <xm:sqref>N272</xm:sqref>
            </x14:sparkline>
            <x14:sparkline>
              <xm:f>Review!G273:L273</xm:f>
              <xm:sqref>N273</xm:sqref>
            </x14:sparkline>
            <x14:sparkline>
              <xm:f>Review!G274:L274</xm:f>
              <xm:sqref>N274</xm:sqref>
            </x14:sparkline>
            <x14:sparkline>
              <xm:f>Review!G275:L275</xm:f>
              <xm:sqref>N275</xm:sqref>
            </x14:sparkline>
            <x14:sparkline>
              <xm:f>Review!G276:L276</xm:f>
              <xm:sqref>N276</xm:sqref>
            </x14:sparkline>
            <x14:sparkline>
              <xm:f>Review!G277:L277</xm:f>
              <xm:sqref>N277</xm:sqref>
            </x14:sparkline>
            <x14:sparkline>
              <xm:f>Review!G278:L278</xm:f>
              <xm:sqref>N278</xm:sqref>
            </x14:sparkline>
            <x14:sparkline>
              <xm:f>Review!G279:L279</xm:f>
              <xm:sqref>N279</xm:sqref>
            </x14:sparkline>
            <x14:sparkline>
              <xm:f>Review!G280:L280</xm:f>
              <xm:sqref>N280</xm:sqref>
            </x14:sparkline>
            <x14:sparkline>
              <xm:f>Review!G281:L281</xm:f>
              <xm:sqref>N281</xm:sqref>
            </x14:sparkline>
            <x14:sparkline>
              <xm:f>Review!G282:L282</xm:f>
              <xm:sqref>N282</xm:sqref>
            </x14:sparkline>
            <x14:sparkline>
              <xm:f>Review!G283:L283</xm:f>
              <xm:sqref>N283</xm:sqref>
            </x14:sparkline>
            <x14:sparkline>
              <xm:f>Review!G284:L284</xm:f>
              <xm:sqref>N284</xm:sqref>
            </x14:sparkline>
            <x14:sparkline>
              <xm:f>Review!G285:L285</xm:f>
              <xm:sqref>N285</xm:sqref>
            </x14:sparkline>
            <x14:sparkline>
              <xm:f>Review!G286:L286</xm:f>
              <xm:sqref>N286</xm:sqref>
            </x14:sparkline>
            <x14:sparkline>
              <xm:f>Review!G287:L287</xm:f>
              <xm:sqref>N287</xm:sqref>
            </x14:sparkline>
            <x14:sparkline>
              <xm:f>Review!G288:L288</xm:f>
              <xm:sqref>N288</xm:sqref>
            </x14:sparkline>
            <x14:sparkline>
              <xm:f>Review!G289:L289</xm:f>
              <xm:sqref>N289</xm:sqref>
            </x14:sparkline>
            <x14:sparkline>
              <xm:f>Review!G290:L290</xm:f>
              <xm:sqref>N290</xm:sqref>
            </x14:sparkline>
            <x14:sparkline>
              <xm:f>Review!G291:L291</xm:f>
              <xm:sqref>N291</xm:sqref>
            </x14:sparkline>
            <x14:sparkline>
              <xm:f>Review!G292:L292</xm:f>
              <xm:sqref>N292</xm:sqref>
            </x14:sparkline>
            <x14:sparkline>
              <xm:f>Review!G293:L293</xm:f>
              <xm:sqref>N293</xm:sqref>
            </x14:sparkline>
            <x14:sparkline>
              <xm:f>Review!G294:L294</xm:f>
              <xm:sqref>N294</xm:sqref>
            </x14:sparkline>
            <x14:sparkline>
              <xm:f>Review!G295:L295</xm:f>
              <xm:sqref>N295</xm:sqref>
            </x14:sparkline>
            <x14:sparkline>
              <xm:f>Review!G296:L296</xm:f>
              <xm:sqref>N296</xm:sqref>
            </x14:sparkline>
            <x14:sparkline>
              <xm:f>Review!G297:L297</xm:f>
              <xm:sqref>N297</xm:sqref>
            </x14:sparkline>
            <x14:sparkline>
              <xm:f>Review!G298:L298</xm:f>
              <xm:sqref>N298</xm:sqref>
            </x14:sparkline>
            <x14:sparkline>
              <xm:f>Review!G299:L299</xm:f>
              <xm:sqref>N299</xm:sqref>
            </x14:sparkline>
            <x14:sparkline>
              <xm:f>Review!G300:L300</xm:f>
              <xm:sqref>N300</xm:sqref>
            </x14:sparkline>
            <x14:sparkline>
              <xm:f>Review!G301:L301</xm:f>
              <xm:sqref>N301</xm:sqref>
            </x14:sparkline>
            <x14:sparkline>
              <xm:f>Review!G302:L302</xm:f>
              <xm:sqref>N302</xm:sqref>
            </x14:sparkline>
            <x14:sparkline>
              <xm:f>Review!G303:L303</xm:f>
              <xm:sqref>N303</xm:sqref>
            </x14:sparkline>
            <x14:sparkline>
              <xm:f>Review!G304:L304</xm:f>
              <xm:sqref>N304</xm:sqref>
            </x14:sparkline>
            <x14:sparkline>
              <xm:f>Review!G305:L305</xm:f>
              <xm:sqref>N305</xm:sqref>
            </x14:sparkline>
            <x14:sparkline>
              <xm:f>Review!G306:L306</xm:f>
              <xm:sqref>N306</xm:sqref>
            </x14:sparkline>
            <x14:sparkline>
              <xm:f>Review!G307:L307</xm:f>
              <xm:sqref>N307</xm:sqref>
            </x14:sparkline>
            <x14:sparkline>
              <xm:f>Review!G308:L308</xm:f>
              <xm:sqref>N308</xm:sqref>
            </x14:sparkline>
            <x14:sparkline>
              <xm:f>Review!G309:L309</xm:f>
              <xm:sqref>N309</xm:sqref>
            </x14:sparkline>
            <x14:sparkline>
              <xm:f>Review!G310:L310</xm:f>
              <xm:sqref>N310</xm:sqref>
            </x14:sparkline>
            <x14:sparkline>
              <xm:f>Review!G311:L311</xm:f>
              <xm:sqref>N311</xm:sqref>
            </x14:sparkline>
            <x14:sparkline>
              <xm:f>Review!G312:L312</xm:f>
              <xm:sqref>N312</xm:sqref>
            </x14:sparkline>
            <x14:sparkline>
              <xm:f>Review!G313:L313</xm:f>
              <xm:sqref>N313</xm:sqref>
            </x14:sparkline>
            <x14:sparkline>
              <xm:f>Review!G314:L314</xm:f>
              <xm:sqref>N314</xm:sqref>
            </x14:sparkline>
            <x14:sparkline>
              <xm:f>Review!G315:L315</xm:f>
              <xm:sqref>N315</xm:sqref>
            </x14:sparkline>
            <x14:sparkline>
              <xm:f>Review!G316:L316</xm:f>
              <xm:sqref>N316</xm:sqref>
            </x14:sparkline>
            <x14:sparkline>
              <xm:f>Review!G317:L317</xm:f>
              <xm:sqref>N317</xm:sqref>
            </x14:sparkline>
            <x14:sparkline>
              <xm:f>Review!G318:L318</xm:f>
              <xm:sqref>N318</xm:sqref>
            </x14:sparkline>
            <x14:sparkline>
              <xm:f>Review!G319:L319</xm:f>
              <xm:sqref>N319</xm:sqref>
            </x14:sparkline>
            <x14:sparkline>
              <xm:f>Review!G320:L320</xm:f>
              <xm:sqref>N320</xm:sqref>
            </x14:sparkline>
            <x14:sparkline>
              <xm:f>Review!G321:L321</xm:f>
              <xm:sqref>N321</xm:sqref>
            </x14:sparkline>
            <x14:sparkline>
              <xm:f>Review!G322:L322</xm:f>
              <xm:sqref>N322</xm:sqref>
            </x14:sparkline>
            <x14:sparkline>
              <xm:f>Review!G323:L323</xm:f>
              <xm:sqref>N323</xm:sqref>
            </x14:sparkline>
            <x14:sparkline>
              <xm:f>Review!G324:L324</xm:f>
              <xm:sqref>N324</xm:sqref>
            </x14:sparkline>
            <x14:sparkline>
              <xm:f>Review!G325:L325</xm:f>
              <xm:sqref>N325</xm:sqref>
            </x14:sparkline>
            <x14:sparkline>
              <xm:f>Review!G326:L326</xm:f>
              <xm:sqref>N326</xm:sqref>
            </x14:sparkline>
            <x14:sparkline>
              <xm:f>Review!G327:L327</xm:f>
              <xm:sqref>N327</xm:sqref>
            </x14:sparkline>
            <x14:sparkline>
              <xm:f>Review!G328:L328</xm:f>
              <xm:sqref>N328</xm:sqref>
            </x14:sparkline>
            <x14:sparkline>
              <xm:f>Review!G329:L329</xm:f>
              <xm:sqref>N329</xm:sqref>
            </x14:sparkline>
            <x14:sparkline>
              <xm:f>Review!G330:L330</xm:f>
              <xm:sqref>N330</xm:sqref>
            </x14:sparkline>
            <x14:sparkline>
              <xm:f>Review!G331:L331</xm:f>
              <xm:sqref>N331</xm:sqref>
            </x14:sparkline>
            <x14:sparkline>
              <xm:f>Review!G332:L332</xm:f>
              <xm:sqref>N332</xm:sqref>
            </x14:sparkline>
            <x14:sparkline>
              <xm:f>Review!G333:L333</xm:f>
              <xm:sqref>N333</xm:sqref>
            </x14:sparkline>
            <x14:sparkline>
              <xm:f>Review!G334:L334</xm:f>
              <xm:sqref>N334</xm:sqref>
            </x14:sparkline>
            <x14:sparkline>
              <xm:f>Review!G335:L335</xm:f>
              <xm:sqref>N335</xm:sqref>
            </x14:sparkline>
            <x14:sparkline>
              <xm:f>Review!G336:L336</xm:f>
              <xm:sqref>N336</xm:sqref>
            </x14:sparkline>
            <x14:sparkline>
              <xm:f>Review!G337:L337</xm:f>
              <xm:sqref>N337</xm:sqref>
            </x14:sparkline>
            <x14:sparkline>
              <xm:f>Review!G338:L338</xm:f>
              <xm:sqref>N338</xm:sqref>
            </x14:sparkline>
            <x14:sparkline>
              <xm:f>Review!G339:L339</xm:f>
              <xm:sqref>N339</xm:sqref>
            </x14:sparkline>
            <x14:sparkline>
              <xm:f>Review!G340:L340</xm:f>
              <xm:sqref>N340</xm:sqref>
            </x14:sparkline>
            <x14:sparkline>
              <xm:f>Review!G341:L341</xm:f>
              <xm:sqref>N341</xm:sqref>
            </x14:sparkline>
            <x14:sparkline>
              <xm:f>Review!G342:L342</xm:f>
              <xm:sqref>N342</xm:sqref>
            </x14:sparkline>
            <x14:sparkline>
              <xm:f>Review!G343:L343</xm:f>
              <xm:sqref>N343</xm:sqref>
            </x14:sparkline>
            <x14:sparkline>
              <xm:f>Review!G344:L344</xm:f>
              <xm:sqref>N344</xm:sqref>
            </x14:sparkline>
            <x14:sparkline>
              <xm:f>Review!G345:L345</xm:f>
              <xm:sqref>N345</xm:sqref>
            </x14:sparkline>
            <x14:sparkline>
              <xm:f>Review!G346:L346</xm:f>
              <xm:sqref>N346</xm:sqref>
            </x14:sparkline>
            <x14:sparkline>
              <xm:f>Review!G347:L347</xm:f>
              <xm:sqref>N347</xm:sqref>
            </x14:sparkline>
            <x14:sparkline>
              <xm:f>Review!G348:L348</xm:f>
              <xm:sqref>N348</xm:sqref>
            </x14:sparkline>
            <x14:sparkline>
              <xm:f>Review!G349:L349</xm:f>
              <xm:sqref>N349</xm:sqref>
            </x14:sparkline>
            <x14:sparkline>
              <xm:f>Review!G350:L350</xm:f>
              <xm:sqref>N350</xm:sqref>
            </x14:sparkline>
            <x14:sparkline>
              <xm:f>Review!G351:L351</xm:f>
              <xm:sqref>N351</xm:sqref>
            </x14:sparkline>
            <x14:sparkline>
              <xm:f>Review!G352:L352</xm:f>
              <xm:sqref>N352</xm:sqref>
            </x14:sparkline>
            <x14:sparkline>
              <xm:f>Review!G353:L353</xm:f>
              <xm:sqref>N353</xm:sqref>
            </x14:sparkline>
            <x14:sparkline>
              <xm:f>Review!G354:L354</xm:f>
              <xm:sqref>N354</xm:sqref>
            </x14:sparkline>
            <x14:sparkline>
              <xm:f>Review!G355:L355</xm:f>
              <xm:sqref>N355</xm:sqref>
            </x14:sparkline>
            <x14:sparkline>
              <xm:f>Review!G356:L356</xm:f>
              <xm:sqref>N356</xm:sqref>
            </x14:sparkline>
            <x14:sparkline>
              <xm:f>Review!G357:L357</xm:f>
              <xm:sqref>N357</xm:sqref>
            </x14:sparkline>
            <x14:sparkline>
              <xm:f>Review!G358:L358</xm:f>
              <xm:sqref>N358</xm:sqref>
            </x14:sparkline>
            <x14:sparkline>
              <xm:f>Review!G359:L359</xm:f>
              <xm:sqref>N359</xm:sqref>
            </x14:sparkline>
            <x14:sparkline>
              <xm:f>Review!G360:L360</xm:f>
              <xm:sqref>N360</xm:sqref>
            </x14:sparkline>
            <x14:sparkline>
              <xm:f>Review!G361:L361</xm:f>
              <xm:sqref>N361</xm:sqref>
            </x14:sparkline>
            <x14:sparkline>
              <xm:f>Review!G362:L362</xm:f>
              <xm:sqref>N362</xm:sqref>
            </x14:sparkline>
            <x14:sparkline>
              <xm:f>Review!G363:L363</xm:f>
              <xm:sqref>N363</xm:sqref>
            </x14:sparkline>
            <x14:sparkline>
              <xm:f>Review!G364:L364</xm:f>
              <xm:sqref>N364</xm:sqref>
            </x14:sparkline>
            <x14:sparkline>
              <xm:f>Review!G365:L365</xm:f>
              <xm:sqref>N365</xm:sqref>
            </x14:sparkline>
            <x14:sparkline>
              <xm:f>Review!G366:L366</xm:f>
              <xm:sqref>N366</xm:sqref>
            </x14:sparkline>
            <x14:sparkline>
              <xm:f>Review!G367:L367</xm:f>
              <xm:sqref>N367</xm:sqref>
            </x14:sparkline>
            <x14:sparkline>
              <xm:f>Review!G368:L368</xm:f>
              <xm:sqref>N368</xm:sqref>
            </x14:sparkline>
            <x14:sparkline>
              <xm:f>Review!G369:L369</xm:f>
              <xm:sqref>N369</xm:sqref>
            </x14:sparkline>
            <x14:sparkline>
              <xm:f>Review!G370:L370</xm:f>
              <xm:sqref>N370</xm:sqref>
            </x14:sparkline>
            <x14:sparkline>
              <xm:f>Review!G371:L371</xm:f>
              <xm:sqref>N371</xm:sqref>
            </x14:sparkline>
            <x14:sparkline>
              <xm:f>Review!G372:L372</xm:f>
              <xm:sqref>N372</xm:sqref>
            </x14:sparkline>
            <x14:sparkline>
              <xm:f>Review!G373:L373</xm:f>
              <xm:sqref>N373</xm:sqref>
            </x14:sparkline>
            <x14:sparkline>
              <xm:f>Review!G374:L374</xm:f>
              <xm:sqref>N374</xm:sqref>
            </x14:sparkline>
            <x14:sparkline>
              <xm:f>Review!G375:L375</xm:f>
              <xm:sqref>N375</xm:sqref>
            </x14:sparkline>
            <x14:sparkline>
              <xm:f>Review!G376:L376</xm:f>
              <xm:sqref>N376</xm:sqref>
            </x14:sparkline>
            <x14:sparkline>
              <xm:f>Review!G377:L377</xm:f>
              <xm:sqref>N377</xm:sqref>
            </x14:sparkline>
            <x14:sparkline>
              <xm:f>Review!G378:L378</xm:f>
              <xm:sqref>N378</xm:sqref>
            </x14:sparkline>
            <x14:sparkline>
              <xm:f>Review!G379:L379</xm:f>
              <xm:sqref>N379</xm:sqref>
            </x14:sparkline>
            <x14:sparkline>
              <xm:f>Review!G380:L380</xm:f>
              <xm:sqref>N380</xm:sqref>
            </x14:sparkline>
            <x14:sparkline>
              <xm:f>Review!G381:L381</xm:f>
              <xm:sqref>N381</xm:sqref>
            </x14:sparkline>
            <x14:sparkline>
              <xm:f>Review!G382:L382</xm:f>
              <xm:sqref>N382</xm:sqref>
            </x14:sparkline>
            <x14:sparkline>
              <xm:f>Review!G383:L383</xm:f>
              <xm:sqref>N383</xm:sqref>
            </x14:sparkline>
            <x14:sparkline>
              <xm:f>Review!G384:L384</xm:f>
              <xm:sqref>N384</xm:sqref>
            </x14:sparkline>
            <x14:sparkline>
              <xm:f>Review!G385:L385</xm:f>
              <xm:sqref>N385</xm:sqref>
            </x14:sparkline>
            <x14:sparkline>
              <xm:f>Review!G386:L386</xm:f>
              <xm:sqref>N386</xm:sqref>
            </x14:sparkline>
            <x14:sparkline>
              <xm:f>Review!G387:L387</xm:f>
              <xm:sqref>N387</xm:sqref>
            </x14:sparkline>
            <x14:sparkline>
              <xm:f>Review!G388:L388</xm:f>
              <xm:sqref>N388</xm:sqref>
            </x14:sparkline>
            <x14:sparkline>
              <xm:f>Review!G389:L389</xm:f>
              <xm:sqref>N389</xm:sqref>
            </x14:sparkline>
            <x14:sparkline>
              <xm:f>Review!G390:L390</xm:f>
              <xm:sqref>N390</xm:sqref>
            </x14:sparkline>
            <x14:sparkline>
              <xm:f>Review!G391:L391</xm:f>
              <xm:sqref>N391</xm:sqref>
            </x14:sparkline>
            <x14:sparkline>
              <xm:f>Review!G392:L392</xm:f>
              <xm:sqref>N392</xm:sqref>
            </x14:sparkline>
            <x14:sparkline>
              <xm:f>Review!G393:L393</xm:f>
              <xm:sqref>N393</xm:sqref>
            </x14:sparkline>
            <x14:sparkline>
              <xm:f>Review!G394:L394</xm:f>
              <xm:sqref>N394</xm:sqref>
            </x14:sparkline>
            <x14:sparkline>
              <xm:f>Review!G395:L395</xm:f>
              <xm:sqref>N395</xm:sqref>
            </x14:sparkline>
            <x14:sparkline>
              <xm:f>Review!G396:L396</xm:f>
              <xm:sqref>N396</xm:sqref>
            </x14:sparkline>
            <x14:sparkline>
              <xm:f>Review!G397:L397</xm:f>
              <xm:sqref>N397</xm:sqref>
            </x14:sparkline>
            <x14:sparkline>
              <xm:f>Review!G398:L398</xm:f>
              <xm:sqref>N398</xm:sqref>
            </x14:sparkline>
            <x14:sparkline>
              <xm:f>Review!G399:L399</xm:f>
              <xm:sqref>N399</xm:sqref>
            </x14:sparkline>
            <x14:sparkline>
              <xm:f>Review!G400:L400</xm:f>
              <xm:sqref>N400</xm:sqref>
            </x14:sparkline>
            <x14:sparkline>
              <xm:f>Review!G401:L401</xm:f>
              <xm:sqref>N401</xm:sqref>
            </x14:sparkline>
            <x14:sparkline>
              <xm:f>Review!G402:L402</xm:f>
              <xm:sqref>N402</xm:sqref>
            </x14:sparkline>
            <x14:sparkline>
              <xm:f>Review!G403:L403</xm:f>
              <xm:sqref>N403</xm:sqref>
            </x14:sparkline>
            <x14:sparkline>
              <xm:f>Review!G404:L404</xm:f>
              <xm:sqref>N404</xm:sqref>
            </x14:sparkline>
            <x14:sparkline>
              <xm:f>Review!G405:L405</xm:f>
              <xm:sqref>N405</xm:sqref>
            </x14:sparkline>
            <x14:sparkline>
              <xm:f>Review!G406:L406</xm:f>
              <xm:sqref>N406</xm:sqref>
            </x14:sparkline>
            <x14:sparkline>
              <xm:f>Review!G407:L407</xm:f>
              <xm:sqref>N407</xm:sqref>
            </x14:sparkline>
            <x14:sparkline>
              <xm:f>Review!G408:L408</xm:f>
              <xm:sqref>N408</xm:sqref>
            </x14:sparkline>
            <x14:sparkline>
              <xm:f>Review!G409:L409</xm:f>
              <xm:sqref>N409</xm:sqref>
            </x14:sparkline>
            <x14:sparkline>
              <xm:f>Review!G410:L410</xm:f>
              <xm:sqref>N410</xm:sqref>
            </x14:sparkline>
            <x14:sparkline>
              <xm:f>Review!G411:L411</xm:f>
              <xm:sqref>N411</xm:sqref>
            </x14:sparkline>
            <x14:sparkline>
              <xm:f>Review!G412:L412</xm:f>
              <xm:sqref>N412</xm:sqref>
            </x14:sparkline>
            <x14:sparkline>
              <xm:f>Review!G413:L413</xm:f>
              <xm:sqref>N413</xm:sqref>
            </x14:sparkline>
            <x14:sparkline>
              <xm:f>Review!G414:L414</xm:f>
              <xm:sqref>N414</xm:sqref>
            </x14:sparkline>
            <x14:sparkline>
              <xm:f>Review!G415:L415</xm:f>
              <xm:sqref>N415</xm:sqref>
            </x14:sparkline>
            <x14:sparkline>
              <xm:f>Review!G416:L416</xm:f>
              <xm:sqref>N416</xm:sqref>
            </x14:sparkline>
            <x14:sparkline>
              <xm:f>Review!G417:L417</xm:f>
              <xm:sqref>N417</xm:sqref>
            </x14:sparkline>
            <x14:sparkline>
              <xm:f>Review!G418:L418</xm:f>
              <xm:sqref>N418</xm:sqref>
            </x14:sparkline>
            <x14:sparkline>
              <xm:f>Review!G419:L419</xm:f>
              <xm:sqref>N419</xm:sqref>
            </x14:sparkline>
            <x14:sparkline>
              <xm:f>Review!G420:L420</xm:f>
              <xm:sqref>N420</xm:sqref>
            </x14:sparkline>
            <x14:sparkline>
              <xm:f>Review!G421:L421</xm:f>
              <xm:sqref>N421</xm:sqref>
            </x14:sparkline>
            <x14:sparkline>
              <xm:f>Review!G422:L422</xm:f>
              <xm:sqref>N422</xm:sqref>
            </x14:sparkline>
            <x14:sparkline>
              <xm:f>Review!G423:L423</xm:f>
              <xm:sqref>N423</xm:sqref>
            </x14:sparkline>
            <x14:sparkline>
              <xm:f>Review!G424:L424</xm:f>
              <xm:sqref>N424</xm:sqref>
            </x14:sparkline>
            <x14:sparkline>
              <xm:f>Review!G425:L425</xm:f>
              <xm:sqref>N425</xm:sqref>
            </x14:sparkline>
            <x14:sparkline>
              <xm:f>Review!G426:L426</xm:f>
              <xm:sqref>N426</xm:sqref>
            </x14:sparkline>
            <x14:sparkline>
              <xm:f>Review!G427:L427</xm:f>
              <xm:sqref>N427</xm:sqref>
            </x14:sparkline>
            <x14:sparkline>
              <xm:f>Review!G428:L428</xm:f>
              <xm:sqref>N428</xm:sqref>
            </x14:sparkline>
            <x14:sparkline>
              <xm:f>Review!G429:L429</xm:f>
              <xm:sqref>N429</xm:sqref>
            </x14:sparkline>
            <x14:sparkline>
              <xm:f>Review!G430:L430</xm:f>
              <xm:sqref>N430</xm:sqref>
            </x14:sparkline>
            <x14:sparkline>
              <xm:f>Review!G431:L431</xm:f>
              <xm:sqref>N431</xm:sqref>
            </x14:sparkline>
            <x14:sparkline>
              <xm:f>Review!G432:L432</xm:f>
              <xm:sqref>N432</xm:sqref>
            </x14:sparkline>
            <x14:sparkline>
              <xm:f>Review!G433:L433</xm:f>
              <xm:sqref>N433</xm:sqref>
            </x14:sparkline>
            <x14:sparkline>
              <xm:f>Review!G434:L434</xm:f>
              <xm:sqref>N434</xm:sqref>
            </x14:sparkline>
            <x14:sparkline>
              <xm:f>Review!G435:L435</xm:f>
              <xm:sqref>N435</xm:sqref>
            </x14:sparkline>
            <x14:sparkline>
              <xm:f>Review!G436:L436</xm:f>
              <xm:sqref>N436</xm:sqref>
            </x14:sparkline>
            <x14:sparkline>
              <xm:f>Review!G437:L437</xm:f>
              <xm:sqref>N437</xm:sqref>
            </x14:sparkline>
            <x14:sparkline>
              <xm:f>Review!G438:L438</xm:f>
              <xm:sqref>N438</xm:sqref>
            </x14:sparkline>
            <x14:sparkline>
              <xm:f>Review!G439:L439</xm:f>
              <xm:sqref>N439</xm:sqref>
            </x14:sparkline>
            <x14:sparkline>
              <xm:f>Review!G440:L440</xm:f>
              <xm:sqref>N440</xm:sqref>
            </x14:sparkline>
            <x14:sparkline>
              <xm:f>Review!G441:L441</xm:f>
              <xm:sqref>N441</xm:sqref>
            </x14:sparkline>
            <x14:sparkline>
              <xm:f>Review!G442:L442</xm:f>
              <xm:sqref>N442</xm:sqref>
            </x14:sparkline>
            <x14:sparkline>
              <xm:f>Review!G443:L443</xm:f>
              <xm:sqref>N443</xm:sqref>
            </x14:sparkline>
            <x14:sparkline>
              <xm:f>Review!G444:L444</xm:f>
              <xm:sqref>N444</xm:sqref>
            </x14:sparkline>
            <x14:sparkline>
              <xm:f>Review!G445:L445</xm:f>
              <xm:sqref>N445</xm:sqref>
            </x14:sparkline>
            <x14:sparkline>
              <xm:f>Review!G446:L446</xm:f>
              <xm:sqref>N446</xm:sqref>
            </x14:sparkline>
            <x14:sparkline>
              <xm:f>Review!G447:L447</xm:f>
              <xm:sqref>N447</xm:sqref>
            </x14:sparkline>
            <x14:sparkline>
              <xm:f>Review!G448:L448</xm:f>
              <xm:sqref>N448</xm:sqref>
            </x14:sparkline>
            <x14:sparkline>
              <xm:f>Review!G449:L449</xm:f>
              <xm:sqref>N449</xm:sqref>
            </x14:sparkline>
            <x14:sparkline>
              <xm:f>Review!G450:L450</xm:f>
              <xm:sqref>N450</xm:sqref>
            </x14:sparkline>
            <x14:sparkline>
              <xm:f>Review!G451:L451</xm:f>
              <xm:sqref>N451</xm:sqref>
            </x14:sparkline>
            <x14:sparkline>
              <xm:f>Review!G452:L452</xm:f>
              <xm:sqref>N452</xm:sqref>
            </x14:sparkline>
            <x14:sparkline>
              <xm:f>Review!G453:L453</xm:f>
              <xm:sqref>N453</xm:sqref>
            </x14:sparkline>
            <x14:sparkline>
              <xm:f>Review!G454:L454</xm:f>
              <xm:sqref>N454</xm:sqref>
            </x14:sparkline>
            <x14:sparkline>
              <xm:f>Review!G455:L455</xm:f>
              <xm:sqref>N455</xm:sqref>
            </x14:sparkline>
            <x14:sparkline>
              <xm:f>Review!G456:L456</xm:f>
              <xm:sqref>N456</xm:sqref>
            </x14:sparkline>
            <x14:sparkline>
              <xm:f>Review!G457:L457</xm:f>
              <xm:sqref>N457</xm:sqref>
            </x14:sparkline>
            <x14:sparkline>
              <xm:f>Review!G458:L458</xm:f>
              <xm:sqref>N458</xm:sqref>
            </x14:sparkline>
            <x14:sparkline>
              <xm:f>Review!G459:L459</xm:f>
              <xm:sqref>N459</xm:sqref>
            </x14:sparkline>
            <x14:sparkline>
              <xm:f>Review!G460:L460</xm:f>
              <xm:sqref>N460</xm:sqref>
            </x14:sparkline>
            <x14:sparkline>
              <xm:f>Review!G461:L461</xm:f>
              <xm:sqref>N461</xm:sqref>
            </x14:sparkline>
            <x14:sparkline>
              <xm:f>Review!G462:L462</xm:f>
              <xm:sqref>N462</xm:sqref>
            </x14:sparkline>
            <x14:sparkline>
              <xm:f>Review!G463:L463</xm:f>
              <xm:sqref>N463</xm:sqref>
            </x14:sparkline>
            <x14:sparkline>
              <xm:f>Review!G464:L464</xm:f>
              <xm:sqref>N464</xm:sqref>
            </x14:sparkline>
            <x14:sparkline>
              <xm:f>Review!G465:L465</xm:f>
              <xm:sqref>N465</xm:sqref>
            </x14:sparkline>
            <x14:sparkline>
              <xm:f>Review!G466:L466</xm:f>
              <xm:sqref>N466</xm:sqref>
            </x14:sparkline>
            <x14:sparkline>
              <xm:f>Review!G467:L467</xm:f>
              <xm:sqref>N467</xm:sqref>
            </x14:sparkline>
            <x14:sparkline>
              <xm:f>Review!G468:L468</xm:f>
              <xm:sqref>N468</xm:sqref>
            </x14:sparkline>
            <x14:sparkline>
              <xm:f>Review!G469:L469</xm:f>
              <xm:sqref>N469</xm:sqref>
            </x14:sparkline>
            <x14:sparkline>
              <xm:f>Review!G470:L470</xm:f>
              <xm:sqref>N470</xm:sqref>
            </x14:sparkline>
            <x14:sparkline>
              <xm:f>Review!G471:L471</xm:f>
              <xm:sqref>N471</xm:sqref>
            </x14:sparkline>
            <x14:sparkline>
              <xm:f>Review!G472:L472</xm:f>
              <xm:sqref>N472</xm:sqref>
            </x14:sparkline>
            <x14:sparkline>
              <xm:f>Review!G473:L473</xm:f>
              <xm:sqref>N473</xm:sqref>
            </x14:sparkline>
            <x14:sparkline>
              <xm:f>Review!G474:L474</xm:f>
              <xm:sqref>N474</xm:sqref>
            </x14:sparkline>
            <x14:sparkline>
              <xm:f>Review!G475:L475</xm:f>
              <xm:sqref>N475</xm:sqref>
            </x14:sparkline>
            <x14:sparkline>
              <xm:f>Review!G476:L476</xm:f>
              <xm:sqref>N476</xm:sqref>
            </x14:sparkline>
            <x14:sparkline>
              <xm:f>Review!G477:L477</xm:f>
              <xm:sqref>N477</xm:sqref>
            </x14:sparkline>
            <x14:sparkline>
              <xm:f>Review!G478:L478</xm:f>
              <xm:sqref>N478</xm:sqref>
            </x14:sparkline>
            <x14:sparkline>
              <xm:f>Review!G479:L479</xm:f>
              <xm:sqref>N479</xm:sqref>
            </x14:sparkline>
            <x14:sparkline>
              <xm:f>Review!G480:L480</xm:f>
              <xm:sqref>N480</xm:sqref>
            </x14:sparkline>
            <x14:sparkline>
              <xm:f>Review!G481:L481</xm:f>
              <xm:sqref>N481</xm:sqref>
            </x14:sparkline>
            <x14:sparkline>
              <xm:f>Review!G482:L482</xm:f>
              <xm:sqref>N482</xm:sqref>
            </x14:sparkline>
            <x14:sparkline>
              <xm:f>Review!G483:L483</xm:f>
              <xm:sqref>N483</xm:sqref>
            </x14:sparkline>
            <x14:sparkline>
              <xm:f>Review!G484:L484</xm:f>
              <xm:sqref>N484</xm:sqref>
            </x14:sparkline>
            <x14:sparkline>
              <xm:f>Review!G485:L485</xm:f>
              <xm:sqref>N485</xm:sqref>
            </x14:sparkline>
            <x14:sparkline>
              <xm:f>Review!G486:L486</xm:f>
              <xm:sqref>N486</xm:sqref>
            </x14:sparkline>
            <x14:sparkline>
              <xm:f>Review!G487:L487</xm:f>
              <xm:sqref>N487</xm:sqref>
            </x14:sparkline>
            <x14:sparkline>
              <xm:f>Review!G488:L488</xm:f>
              <xm:sqref>N488</xm:sqref>
            </x14:sparkline>
            <x14:sparkline>
              <xm:f>Review!G489:L489</xm:f>
              <xm:sqref>N489</xm:sqref>
            </x14:sparkline>
            <x14:sparkline>
              <xm:f>Review!G490:L490</xm:f>
              <xm:sqref>N490</xm:sqref>
            </x14:sparkline>
            <x14:sparkline>
              <xm:f>Review!G491:L491</xm:f>
              <xm:sqref>N491</xm:sqref>
            </x14:sparkline>
            <x14:sparkline>
              <xm:f>Review!G492:L492</xm:f>
              <xm:sqref>N492</xm:sqref>
            </x14:sparkline>
            <x14:sparkline>
              <xm:f>Review!G493:L493</xm:f>
              <xm:sqref>N493</xm:sqref>
            </x14:sparkline>
            <x14:sparkline>
              <xm:f>Review!G494:L494</xm:f>
              <xm:sqref>N494</xm:sqref>
            </x14:sparkline>
            <x14:sparkline>
              <xm:f>Review!G495:L495</xm:f>
              <xm:sqref>N495</xm:sqref>
            </x14:sparkline>
            <x14:sparkline>
              <xm:f>Review!G496:L496</xm:f>
              <xm:sqref>N496</xm:sqref>
            </x14:sparkline>
            <x14:sparkline>
              <xm:f>Review!G497:L497</xm:f>
              <xm:sqref>N497</xm:sqref>
            </x14:sparkline>
            <x14:sparkline>
              <xm:f>Review!G498:L498</xm:f>
              <xm:sqref>N498</xm:sqref>
            </x14:sparkline>
            <x14:sparkline>
              <xm:f>Review!G499:L499</xm:f>
              <xm:sqref>N499</xm:sqref>
            </x14:sparkline>
            <x14:sparkline>
              <xm:f>Review!G500:L500</xm:f>
              <xm:sqref>N500</xm:sqref>
            </x14:sparkline>
            <x14:sparkline>
              <xm:f>Review!G501:L501</xm:f>
              <xm:sqref>N501</xm:sqref>
            </x14:sparkline>
            <x14:sparkline>
              <xm:f>Review!G502:L502</xm:f>
              <xm:sqref>N502</xm:sqref>
            </x14:sparkline>
            <x14:sparkline>
              <xm:f>Review!G503:L503</xm:f>
              <xm:sqref>N503</xm:sqref>
            </x14:sparkline>
            <x14:sparkline>
              <xm:f>Review!G504:L504</xm:f>
              <xm:sqref>N504</xm:sqref>
            </x14:sparkline>
            <x14:sparkline>
              <xm:f>Review!G505:L505</xm:f>
              <xm:sqref>N505</xm:sqref>
            </x14:sparkline>
            <x14:sparkline>
              <xm:f>Review!G506:L506</xm:f>
              <xm:sqref>N506</xm:sqref>
            </x14:sparkline>
            <x14:sparkline>
              <xm:f>Review!G507:L507</xm:f>
              <xm:sqref>N507</xm:sqref>
            </x14:sparkline>
            <x14:sparkline>
              <xm:f>Review!G508:L508</xm:f>
              <xm:sqref>N508</xm:sqref>
            </x14:sparkline>
            <x14:sparkline>
              <xm:f>Review!G509:L509</xm:f>
              <xm:sqref>N509</xm:sqref>
            </x14:sparkline>
            <x14:sparkline>
              <xm:f>Review!G510:L510</xm:f>
              <xm:sqref>N510</xm:sqref>
            </x14:sparkline>
            <x14:sparkline>
              <xm:f>Review!G511:L511</xm:f>
              <xm:sqref>N511</xm:sqref>
            </x14:sparkline>
            <x14:sparkline>
              <xm:f>Review!G512:L512</xm:f>
              <xm:sqref>N512</xm:sqref>
            </x14:sparkline>
            <x14:sparkline>
              <xm:f>Review!G513:L513</xm:f>
              <xm:sqref>N513</xm:sqref>
            </x14:sparkline>
            <x14:sparkline>
              <xm:f>Review!G514:L514</xm:f>
              <xm:sqref>N514</xm:sqref>
            </x14:sparkline>
            <x14:sparkline>
              <xm:f>Review!G515:L515</xm:f>
              <xm:sqref>N515</xm:sqref>
            </x14:sparkline>
            <x14:sparkline>
              <xm:f>Review!G516:L516</xm:f>
              <xm:sqref>N516</xm:sqref>
            </x14:sparkline>
            <x14:sparkline>
              <xm:f>Review!G517:L517</xm:f>
              <xm:sqref>N517</xm:sqref>
            </x14:sparkline>
            <x14:sparkline>
              <xm:f>Review!G518:L518</xm:f>
              <xm:sqref>N518</xm:sqref>
            </x14:sparkline>
            <x14:sparkline>
              <xm:f>Review!G519:L519</xm:f>
              <xm:sqref>N519</xm:sqref>
            </x14:sparkline>
            <x14:sparkline>
              <xm:f>Review!G520:L520</xm:f>
              <xm:sqref>N520</xm:sqref>
            </x14:sparkline>
            <x14:sparkline>
              <xm:f>Review!G521:L521</xm:f>
              <xm:sqref>N521</xm:sqref>
            </x14:sparkline>
            <x14:sparkline>
              <xm:f>Review!G522:L522</xm:f>
              <xm:sqref>N522</xm:sqref>
            </x14:sparkline>
            <x14:sparkline>
              <xm:f>Review!G523:L523</xm:f>
              <xm:sqref>N523</xm:sqref>
            </x14:sparkline>
            <x14:sparkline>
              <xm:f>Review!G524:L524</xm:f>
              <xm:sqref>N524</xm:sqref>
            </x14:sparkline>
            <x14:sparkline>
              <xm:f>Review!G525:L525</xm:f>
              <xm:sqref>N525</xm:sqref>
            </x14:sparkline>
            <x14:sparkline>
              <xm:f>Review!G526:L526</xm:f>
              <xm:sqref>N526</xm:sqref>
            </x14:sparkline>
            <x14:sparkline>
              <xm:f>Review!G527:L527</xm:f>
              <xm:sqref>N527</xm:sqref>
            </x14:sparkline>
            <x14:sparkline>
              <xm:f>Review!G528:L528</xm:f>
              <xm:sqref>N528</xm:sqref>
            </x14:sparkline>
            <x14:sparkline>
              <xm:f>Review!G529:L529</xm:f>
              <xm:sqref>N529</xm:sqref>
            </x14:sparkline>
            <x14:sparkline>
              <xm:f>Review!G530:L530</xm:f>
              <xm:sqref>N530</xm:sqref>
            </x14:sparkline>
            <x14:sparkline>
              <xm:f>Review!G531:L531</xm:f>
              <xm:sqref>N531</xm:sqref>
            </x14:sparkline>
            <x14:sparkline>
              <xm:f>Review!G532:L532</xm:f>
              <xm:sqref>N532</xm:sqref>
            </x14:sparkline>
            <x14:sparkline>
              <xm:f>Review!G533:L533</xm:f>
              <xm:sqref>N533</xm:sqref>
            </x14:sparkline>
            <x14:sparkline>
              <xm:f>Review!G534:L534</xm:f>
              <xm:sqref>N534</xm:sqref>
            </x14:sparkline>
            <x14:sparkline>
              <xm:f>Review!G535:L535</xm:f>
              <xm:sqref>N535</xm:sqref>
            </x14:sparkline>
            <x14:sparkline>
              <xm:f>Review!G536:L536</xm:f>
              <xm:sqref>N536</xm:sqref>
            </x14:sparkline>
            <x14:sparkline>
              <xm:f>Review!G537:L537</xm:f>
              <xm:sqref>N537</xm:sqref>
            </x14:sparkline>
            <x14:sparkline>
              <xm:f>Review!G538:L538</xm:f>
              <xm:sqref>N538</xm:sqref>
            </x14:sparkline>
            <x14:sparkline>
              <xm:f>Review!G539:L539</xm:f>
              <xm:sqref>N539</xm:sqref>
            </x14:sparkline>
            <x14:sparkline>
              <xm:f>Review!G540:L540</xm:f>
              <xm:sqref>N540</xm:sqref>
            </x14:sparkline>
            <x14:sparkline>
              <xm:f>Review!G541:L541</xm:f>
              <xm:sqref>N541</xm:sqref>
            </x14:sparkline>
            <x14:sparkline>
              <xm:f>Review!G542:L542</xm:f>
              <xm:sqref>N542</xm:sqref>
            </x14:sparkline>
            <x14:sparkline>
              <xm:f>Review!G543:L543</xm:f>
              <xm:sqref>N543</xm:sqref>
            </x14:sparkline>
            <x14:sparkline>
              <xm:f>Review!G544:L544</xm:f>
              <xm:sqref>N544</xm:sqref>
            </x14:sparkline>
            <x14:sparkline>
              <xm:f>Review!G545:L545</xm:f>
              <xm:sqref>N545</xm:sqref>
            </x14:sparkline>
            <x14:sparkline>
              <xm:f>Review!G546:L546</xm:f>
              <xm:sqref>N546</xm:sqref>
            </x14:sparkline>
            <x14:sparkline>
              <xm:f>Review!G547:L547</xm:f>
              <xm:sqref>N547</xm:sqref>
            </x14:sparkline>
            <x14:sparkline>
              <xm:f>Review!G548:L548</xm:f>
              <xm:sqref>N548</xm:sqref>
            </x14:sparkline>
            <x14:sparkline>
              <xm:f>Review!G549:L549</xm:f>
              <xm:sqref>N549</xm:sqref>
            </x14:sparkline>
            <x14:sparkline>
              <xm:f>Review!G550:L550</xm:f>
              <xm:sqref>N550</xm:sqref>
            </x14:sparkline>
            <x14:sparkline>
              <xm:f>Review!G551:L551</xm:f>
              <xm:sqref>N551</xm:sqref>
            </x14:sparkline>
            <x14:sparkline>
              <xm:f>Review!G552:L552</xm:f>
              <xm:sqref>N552</xm:sqref>
            </x14:sparkline>
            <x14:sparkline>
              <xm:f>Review!G553:L553</xm:f>
              <xm:sqref>N553</xm:sqref>
            </x14:sparkline>
            <x14:sparkline>
              <xm:f>Review!G554:L554</xm:f>
              <xm:sqref>N554</xm:sqref>
            </x14:sparkline>
            <x14:sparkline>
              <xm:f>Review!G555:L555</xm:f>
              <xm:sqref>N555</xm:sqref>
            </x14:sparkline>
            <x14:sparkline>
              <xm:f>Review!G556:L556</xm:f>
              <xm:sqref>N556</xm:sqref>
            </x14:sparkline>
            <x14:sparkline>
              <xm:f>Review!G557:L557</xm:f>
              <xm:sqref>N557</xm:sqref>
            </x14:sparkline>
            <x14:sparkline>
              <xm:f>Review!G558:L558</xm:f>
              <xm:sqref>N558</xm:sqref>
            </x14:sparkline>
            <x14:sparkline>
              <xm:f>Review!G559:L559</xm:f>
              <xm:sqref>N559</xm:sqref>
            </x14:sparkline>
            <x14:sparkline>
              <xm:f>Review!G560:L560</xm:f>
              <xm:sqref>N560</xm:sqref>
            </x14:sparkline>
            <x14:sparkline>
              <xm:f>Review!G561:L561</xm:f>
              <xm:sqref>N561</xm:sqref>
            </x14:sparkline>
            <x14:sparkline>
              <xm:f>Review!G562:L562</xm:f>
              <xm:sqref>N562</xm:sqref>
            </x14:sparkline>
            <x14:sparkline>
              <xm:f>Review!G563:L563</xm:f>
              <xm:sqref>N563</xm:sqref>
            </x14:sparkline>
            <x14:sparkline>
              <xm:f>Review!G564:L564</xm:f>
              <xm:sqref>N564</xm:sqref>
            </x14:sparkline>
            <x14:sparkline>
              <xm:f>Review!G565:L565</xm:f>
              <xm:sqref>N565</xm:sqref>
            </x14:sparkline>
            <x14:sparkline>
              <xm:f>Review!G566:L566</xm:f>
              <xm:sqref>N566</xm:sqref>
            </x14:sparkline>
            <x14:sparkline>
              <xm:f>Review!G567:L567</xm:f>
              <xm:sqref>N567</xm:sqref>
            </x14:sparkline>
            <x14:sparkline>
              <xm:f>Review!G568:L568</xm:f>
              <xm:sqref>N568</xm:sqref>
            </x14:sparkline>
            <x14:sparkline>
              <xm:f>Review!G569:L569</xm:f>
              <xm:sqref>N569</xm:sqref>
            </x14:sparkline>
            <x14:sparkline>
              <xm:f>Review!G570:L570</xm:f>
              <xm:sqref>N570</xm:sqref>
            </x14:sparkline>
            <x14:sparkline>
              <xm:f>Review!G571:L571</xm:f>
              <xm:sqref>N571</xm:sqref>
            </x14:sparkline>
            <x14:sparkline>
              <xm:f>Review!G572:L572</xm:f>
              <xm:sqref>N572</xm:sqref>
            </x14:sparkline>
            <x14:sparkline>
              <xm:f>Review!G573:L573</xm:f>
              <xm:sqref>N573</xm:sqref>
            </x14:sparkline>
            <x14:sparkline>
              <xm:f>Review!G574:L574</xm:f>
              <xm:sqref>N574</xm:sqref>
            </x14:sparkline>
            <x14:sparkline>
              <xm:f>Review!G575:L575</xm:f>
              <xm:sqref>N575</xm:sqref>
            </x14:sparkline>
            <x14:sparkline>
              <xm:f>Review!G576:L576</xm:f>
              <xm:sqref>N576</xm:sqref>
            </x14:sparkline>
            <x14:sparkline>
              <xm:f>Review!G577:L577</xm:f>
              <xm:sqref>N577</xm:sqref>
            </x14:sparkline>
            <x14:sparkline>
              <xm:f>Review!G578:L578</xm:f>
              <xm:sqref>N578</xm:sqref>
            </x14:sparkline>
            <x14:sparkline>
              <xm:f>Review!G579:L579</xm:f>
              <xm:sqref>N579</xm:sqref>
            </x14:sparkline>
            <x14:sparkline>
              <xm:f>Review!G580:L580</xm:f>
              <xm:sqref>N580</xm:sqref>
            </x14:sparkline>
            <x14:sparkline>
              <xm:f>Review!G581:L581</xm:f>
              <xm:sqref>N581</xm:sqref>
            </x14:sparkline>
            <x14:sparkline>
              <xm:f>Review!G582:L582</xm:f>
              <xm:sqref>N582</xm:sqref>
            </x14:sparkline>
            <x14:sparkline>
              <xm:f>Review!G583:L583</xm:f>
              <xm:sqref>N583</xm:sqref>
            </x14:sparkline>
            <x14:sparkline>
              <xm:f>Review!G584:L584</xm:f>
              <xm:sqref>N584</xm:sqref>
            </x14:sparkline>
            <x14:sparkline>
              <xm:f>Review!G585:L585</xm:f>
              <xm:sqref>N585</xm:sqref>
            </x14:sparkline>
            <x14:sparkline>
              <xm:f>Review!G586:L586</xm:f>
              <xm:sqref>N586</xm:sqref>
            </x14:sparkline>
            <x14:sparkline>
              <xm:f>Review!G587:L587</xm:f>
              <xm:sqref>N587</xm:sqref>
            </x14:sparkline>
            <x14:sparkline>
              <xm:f>Review!G588:L588</xm:f>
              <xm:sqref>N588</xm:sqref>
            </x14:sparkline>
            <x14:sparkline>
              <xm:f>Review!G589:L589</xm:f>
              <xm:sqref>N589</xm:sqref>
            </x14:sparkline>
            <x14:sparkline>
              <xm:f>Review!G590:L590</xm:f>
              <xm:sqref>N590</xm:sqref>
            </x14:sparkline>
            <x14:sparkline>
              <xm:f>Review!G591:L591</xm:f>
              <xm:sqref>N591</xm:sqref>
            </x14:sparkline>
            <x14:sparkline>
              <xm:f>Review!G592:L592</xm:f>
              <xm:sqref>N592</xm:sqref>
            </x14:sparkline>
            <x14:sparkline>
              <xm:f>Review!G593:L593</xm:f>
              <xm:sqref>N593</xm:sqref>
            </x14:sparkline>
            <x14:sparkline>
              <xm:f>Review!G594:L594</xm:f>
              <xm:sqref>N594</xm:sqref>
            </x14:sparkline>
            <x14:sparkline>
              <xm:f>Review!G595:L595</xm:f>
              <xm:sqref>N595</xm:sqref>
            </x14:sparkline>
            <x14:sparkline>
              <xm:f>Review!G596:L596</xm:f>
              <xm:sqref>N596</xm:sqref>
            </x14:sparkline>
            <x14:sparkline>
              <xm:f>Review!G597:L597</xm:f>
              <xm:sqref>N597</xm:sqref>
            </x14:sparkline>
            <x14:sparkline>
              <xm:f>Review!G598:L598</xm:f>
              <xm:sqref>N598</xm:sqref>
            </x14:sparkline>
            <x14:sparkline>
              <xm:f>Review!G599:L599</xm:f>
              <xm:sqref>N599</xm:sqref>
            </x14:sparkline>
            <x14:sparkline>
              <xm:f>Review!G600:L600</xm:f>
              <xm:sqref>N600</xm:sqref>
            </x14:sparkline>
            <x14:sparkline>
              <xm:f>Review!G601:L601</xm:f>
              <xm:sqref>N601</xm:sqref>
            </x14:sparkline>
            <x14:sparkline>
              <xm:f>Review!G602:L602</xm:f>
              <xm:sqref>N602</xm:sqref>
            </x14:sparkline>
            <x14:sparkline>
              <xm:f>Review!G603:L603</xm:f>
              <xm:sqref>N603</xm:sqref>
            </x14:sparkline>
            <x14:sparkline>
              <xm:f>Review!G604:L604</xm:f>
              <xm:sqref>N604</xm:sqref>
            </x14:sparkline>
            <x14:sparkline>
              <xm:f>Review!G605:L605</xm:f>
              <xm:sqref>N605</xm:sqref>
            </x14:sparkline>
            <x14:sparkline>
              <xm:f>Review!G606:L606</xm:f>
              <xm:sqref>N606</xm:sqref>
            </x14:sparkline>
            <x14:sparkline>
              <xm:f>Review!G607:L607</xm:f>
              <xm:sqref>N607</xm:sqref>
            </x14:sparkline>
            <x14:sparkline>
              <xm:f>Review!G608:L608</xm:f>
              <xm:sqref>N608</xm:sqref>
            </x14:sparkline>
            <x14:sparkline>
              <xm:f>Review!G609:L609</xm:f>
              <xm:sqref>N609</xm:sqref>
            </x14:sparkline>
            <x14:sparkline>
              <xm:f>Review!G610:L610</xm:f>
              <xm:sqref>N610</xm:sqref>
            </x14:sparkline>
            <x14:sparkline>
              <xm:f>Review!G611:L611</xm:f>
              <xm:sqref>N611</xm:sqref>
            </x14:sparkline>
            <x14:sparkline>
              <xm:f>Review!G612:L612</xm:f>
              <xm:sqref>N612</xm:sqref>
            </x14:sparkline>
            <x14:sparkline>
              <xm:f>Review!G613:L613</xm:f>
              <xm:sqref>N613</xm:sqref>
            </x14:sparkline>
            <x14:sparkline>
              <xm:f>Review!G614:L614</xm:f>
              <xm:sqref>N614</xm:sqref>
            </x14:sparkline>
            <x14:sparkline>
              <xm:f>Review!G615:L615</xm:f>
              <xm:sqref>N615</xm:sqref>
            </x14:sparkline>
            <x14:sparkline>
              <xm:f>Review!G616:L616</xm:f>
              <xm:sqref>N616</xm:sqref>
            </x14:sparkline>
            <x14:sparkline>
              <xm:f>Review!G617:L617</xm:f>
              <xm:sqref>N617</xm:sqref>
            </x14:sparkline>
            <x14:sparkline>
              <xm:f>Review!G618:L618</xm:f>
              <xm:sqref>N618</xm:sqref>
            </x14:sparkline>
            <x14:sparkline>
              <xm:f>Review!G619:L619</xm:f>
              <xm:sqref>N619</xm:sqref>
            </x14:sparkline>
            <x14:sparkline>
              <xm:f>Review!G620:L620</xm:f>
              <xm:sqref>N620</xm:sqref>
            </x14:sparkline>
            <x14:sparkline>
              <xm:f>Review!G621:L621</xm:f>
              <xm:sqref>N621</xm:sqref>
            </x14:sparkline>
            <x14:sparkline>
              <xm:f>Review!G622:L622</xm:f>
              <xm:sqref>N622</xm:sqref>
            </x14:sparkline>
            <x14:sparkline>
              <xm:f>Review!G623:L623</xm:f>
              <xm:sqref>N623</xm:sqref>
            </x14:sparkline>
            <x14:sparkline>
              <xm:f>Review!G624:L624</xm:f>
              <xm:sqref>N624</xm:sqref>
            </x14:sparkline>
            <x14:sparkline>
              <xm:f>Review!G625:L625</xm:f>
              <xm:sqref>N625</xm:sqref>
            </x14:sparkline>
            <x14:sparkline>
              <xm:f>Review!G626:L626</xm:f>
              <xm:sqref>N626</xm:sqref>
            </x14:sparkline>
            <x14:sparkline>
              <xm:f>Review!G627:L627</xm:f>
              <xm:sqref>N627</xm:sqref>
            </x14:sparkline>
            <x14:sparkline>
              <xm:f>Review!G628:L628</xm:f>
              <xm:sqref>N628</xm:sqref>
            </x14:sparkline>
            <x14:sparkline>
              <xm:f>Review!G629:L629</xm:f>
              <xm:sqref>N629</xm:sqref>
            </x14:sparkline>
            <x14:sparkline>
              <xm:f>Review!G630:L630</xm:f>
              <xm:sqref>N630</xm:sqref>
            </x14:sparkline>
            <x14:sparkline>
              <xm:f>Review!G631:L631</xm:f>
              <xm:sqref>N631</xm:sqref>
            </x14:sparkline>
            <x14:sparkline>
              <xm:f>Review!G632:L632</xm:f>
              <xm:sqref>N632</xm:sqref>
            </x14:sparkline>
            <x14:sparkline>
              <xm:f>Review!G633:L633</xm:f>
              <xm:sqref>N633</xm:sqref>
            </x14:sparkline>
            <x14:sparkline>
              <xm:f>Review!G634:L634</xm:f>
              <xm:sqref>N634</xm:sqref>
            </x14:sparkline>
            <x14:sparkline>
              <xm:f>Review!G635:L635</xm:f>
              <xm:sqref>N635</xm:sqref>
            </x14:sparkline>
            <x14:sparkline>
              <xm:f>Review!G636:L636</xm:f>
              <xm:sqref>N636</xm:sqref>
            </x14:sparkline>
            <x14:sparkline>
              <xm:f>Review!G637:L637</xm:f>
              <xm:sqref>N637</xm:sqref>
            </x14:sparkline>
            <x14:sparkline>
              <xm:f>Review!G638:L638</xm:f>
              <xm:sqref>N638</xm:sqref>
            </x14:sparkline>
            <x14:sparkline>
              <xm:f>Review!G639:L639</xm:f>
              <xm:sqref>N639</xm:sqref>
            </x14:sparkline>
            <x14:sparkline>
              <xm:f>Review!G640:L640</xm:f>
              <xm:sqref>N640</xm:sqref>
            </x14:sparkline>
            <x14:sparkline>
              <xm:f>Review!G641:L641</xm:f>
              <xm:sqref>N641</xm:sqref>
            </x14:sparkline>
            <x14:sparkline>
              <xm:f>Review!G642:L642</xm:f>
              <xm:sqref>N642</xm:sqref>
            </x14:sparkline>
            <x14:sparkline>
              <xm:f>Review!G643:L643</xm:f>
              <xm:sqref>N643</xm:sqref>
            </x14:sparkline>
            <x14:sparkline>
              <xm:f>Review!G644:L644</xm:f>
              <xm:sqref>N644</xm:sqref>
            </x14:sparkline>
            <x14:sparkline>
              <xm:f>Review!G645:L645</xm:f>
              <xm:sqref>N645</xm:sqref>
            </x14:sparkline>
            <x14:sparkline>
              <xm:f>Review!G646:L646</xm:f>
              <xm:sqref>N646</xm:sqref>
            </x14:sparkline>
            <x14:sparkline>
              <xm:f>Review!G647:L647</xm:f>
              <xm:sqref>N647</xm:sqref>
            </x14:sparkline>
            <x14:sparkline>
              <xm:f>Review!G648:L648</xm:f>
              <xm:sqref>N648</xm:sqref>
            </x14:sparkline>
            <x14:sparkline>
              <xm:f>Review!G649:L649</xm:f>
              <xm:sqref>N649</xm:sqref>
            </x14:sparkline>
            <x14:sparkline>
              <xm:f>Review!G650:L650</xm:f>
              <xm:sqref>N650</xm:sqref>
            </x14:sparkline>
            <x14:sparkline>
              <xm:f>Review!G651:L651</xm:f>
              <xm:sqref>N651</xm:sqref>
            </x14:sparkline>
            <x14:sparkline>
              <xm:f>Review!G652:L652</xm:f>
              <xm:sqref>N652</xm:sqref>
            </x14:sparkline>
            <x14:sparkline>
              <xm:f>Review!G653:L653</xm:f>
              <xm:sqref>N653</xm:sqref>
            </x14:sparkline>
            <x14:sparkline>
              <xm:f>Review!G654:L654</xm:f>
              <xm:sqref>N654</xm:sqref>
            </x14:sparkline>
            <x14:sparkline>
              <xm:f>Review!G655:L655</xm:f>
              <xm:sqref>N655</xm:sqref>
            </x14:sparkline>
            <x14:sparkline>
              <xm:f>Review!G656:L656</xm:f>
              <xm:sqref>N656</xm:sqref>
            </x14:sparkline>
            <x14:sparkline>
              <xm:f>Review!G657:L657</xm:f>
              <xm:sqref>N657</xm:sqref>
            </x14:sparkline>
            <x14:sparkline>
              <xm:f>Review!G658:L658</xm:f>
              <xm:sqref>N658</xm:sqref>
            </x14:sparkline>
            <x14:sparkline>
              <xm:f>Review!G659:L659</xm:f>
              <xm:sqref>N659</xm:sqref>
            </x14:sparkline>
            <x14:sparkline>
              <xm:f>Review!G660:L660</xm:f>
              <xm:sqref>N660</xm:sqref>
            </x14:sparkline>
            <x14:sparkline>
              <xm:f>Review!G661:L661</xm:f>
              <xm:sqref>N661</xm:sqref>
            </x14:sparkline>
            <x14:sparkline>
              <xm:f>Review!G662:L662</xm:f>
              <xm:sqref>N662</xm:sqref>
            </x14:sparkline>
            <x14:sparkline>
              <xm:f>Review!G663:L663</xm:f>
              <xm:sqref>N663</xm:sqref>
            </x14:sparkline>
            <x14:sparkline>
              <xm:f>Review!G664:L664</xm:f>
              <xm:sqref>N664</xm:sqref>
            </x14:sparkline>
            <x14:sparkline>
              <xm:f>Review!G665:L665</xm:f>
              <xm:sqref>N665</xm:sqref>
            </x14:sparkline>
            <x14:sparkline>
              <xm:f>Review!G666:L666</xm:f>
              <xm:sqref>N666</xm:sqref>
            </x14:sparkline>
            <x14:sparkline>
              <xm:f>Review!G667:L667</xm:f>
              <xm:sqref>N667</xm:sqref>
            </x14:sparkline>
            <x14:sparkline>
              <xm:f>Review!G668:L668</xm:f>
              <xm:sqref>N668</xm:sqref>
            </x14:sparkline>
            <x14:sparkline>
              <xm:f>Review!G669:L669</xm:f>
              <xm:sqref>N669</xm:sqref>
            </x14:sparkline>
            <x14:sparkline>
              <xm:f>Review!G670:L670</xm:f>
              <xm:sqref>N670</xm:sqref>
            </x14:sparkline>
            <x14:sparkline>
              <xm:f>Review!G671:L671</xm:f>
              <xm:sqref>N671</xm:sqref>
            </x14:sparkline>
            <x14:sparkline>
              <xm:f>Review!G672:L672</xm:f>
              <xm:sqref>N672</xm:sqref>
            </x14:sparkline>
            <x14:sparkline>
              <xm:f>Review!G673:L673</xm:f>
              <xm:sqref>N673</xm:sqref>
            </x14:sparkline>
            <x14:sparkline>
              <xm:f>Review!G674:L674</xm:f>
              <xm:sqref>N674</xm:sqref>
            </x14:sparkline>
            <x14:sparkline>
              <xm:f>Review!G675:L675</xm:f>
              <xm:sqref>N675</xm:sqref>
            </x14:sparkline>
            <x14:sparkline>
              <xm:f>Review!G676:L676</xm:f>
              <xm:sqref>N676</xm:sqref>
            </x14:sparkline>
            <x14:sparkline>
              <xm:f>Review!G677:L677</xm:f>
              <xm:sqref>N677</xm:sqref>
            </x14:sparkline>
            <x14:sparkline>
              <xm:f>Review!G678:L678</xm:f>
              <xm:sqref>N678</xm:sqref>
            </x14:sparkline>
            <x14:sparkline>
              <xm:f>Review!G679:L679</xm:f>
              <xm:sqref>N679</xm:sqref>
            </x14:sparkline>
            <x14:sparkline>
              <xm:f>Review!G680:L680</xm:f>
              <xm:sqref>N680</xm:sqref>
            </x14:sparkline>
            <x14:sparkline>
              <xm:f>Review!G681:L681</xm:f>
              <xm:sqref>N681</xm:sqref>
            </x14:sparkline>
            <x14:sparkline>
              <xm:f>Review!G682:L682</xm:f>
              <xm:sqref>N682</xm:sqref>
            </x14:sparkline>
            <x14:sparkline>
              <xm:f>Review!G683:L683</xm:f>
              <xm:sqref>N683</xm:sqref>
            </x14:sparkline>
            <x14:sparkline>
              <xm:f>Review!G684:L684</xm:f>
              <xm:sqref>N684</xm:sqref>
            </x14:sparkline>
            <x14:sparkline>
              <xm:f>Review!G685:L685</xm:f>
              <xm:sqref>N685</xm:sqref>
            </x14:sparkline>
            <x14:sparkline>
              <xm:f>Review!G686:L686</xm:f>
              <xm:sqref>N686</xm:sqref>
            </x14:sparkline>
            <x14:sparkline>
              <xm:f>Review!G687:L687</xm:f>
              <xm:sqref>N687</xm:sqref>
            </x14:sparkline>
            <x14:sparkline>
              <xm:f>Review!G688:L688</xm:f>
              <xm:sqref>N688</xm:sqref>
            </x14:sparkline>
            <x14:sparkline>
              <xm:f>Review!G689:L689</xm:f>
              <xm:sqref>N689</xm:sqref>
            </x14:sparkline>
            <x14:sparkline>
              <xm:f>Review!G690:L690</xm:f>
              <xm:sqref>N690</xm:sqref>
            </x14:sparkline>
            <x14:sparkline>
              <xm:f>Review!G691:L691</xm:f>
              <xm:sqref>N691</xm:sqref>
            </x14:sparkline>
            <x14:sparkline>
              <xm:f>Review!G692:L692</xm:f>
              <xm:sqref>N692</xm:sqref>
            </x14:sparkline>
            <x14:sparkline>
              <xm:f>Review!G693:L693</xm:f>
              <xm:sqref>N693</xm:sqref>
            </x14:sparkline>
            <x14:sparkline>
              <xm:f>Review!G694:L694</xm:f>
              <xm:sqref>N694</xm:sqref>
            </x14:sparkline>
            <x14:sparkline>
              <xm:f>Review!G695:L695</xm:f>
              <xm:sqref>N695</xm:sqref>
            </x14:sparkline>
            <x14:sparkline>
              <xm:f>Review!G696:L696</xm:f>
              <xm:sqref>N696</xm:sqref>
            </x14:sparkline>
            <x14:sparkline>
              <xm:f>Review!G697:L697</xm:f>
              <xm:sqref>N697</xm:sqref>
            </x14:sparkline>
            <x14:sparkline>
              <xm:f>Review!G698:L698</xm:f>
              <xm:sqref>N698</xm:sqref>
            </x14:sparkline>
            <x14:sparkline>
              <xm:f>Review!G699:L699</xm:f>
              <xm:sqref>N699</xm:sqref>
            </x14:sparkline>
            <x14:sparkline>
              <xm:f>Review!G700:L700</xm:f>
              <xm:sqref>N700</xm:sqref>
            </x14:sparkline>
            <x14:sparkline>
              <xm:f>Review!G701:L701</xm:f>
              <xm:sqref>N701</xm:sqref>
            </x14:sparkline>
            <x14:sparkline>
              <xm:f>Review!G702:L702</xm:f>
              <xm:sqref>N702</xm:sqref>
            </x14:sparkline>
            <x14:sparkline>
              <xm:f>Review!G703:L703</xm:f>
              <xm:sqref>N703</xm:sqref>
            </x14:sparkline>
            <x14:sparkline>
              <xm:f>Review!G704:L704</xm:f>
              <xm:sqref>N704</xm:sqref>
            </x14:sparkline>
            <x14:sparkline>
              <xm:f>Review!G705:L705</xm:f>
              <xm:sqref>N705</xm:sqref>
            </x14:sparkline>
            <x14:sparkline>
              <xm:f>Review!G706:L706</xm:f>
              <xm:sqref>N706</xm:sqref>
            </x14:sparkline>
            <x14:sparkline>
              <xm:f>Review!G707:L707</xm:f>
              <xm:sqref>N707</xm:sqref>
            </x14:sparkline>
            <x14:sparkline>
              <xm:f>Review!G708:L708</xm:f>
              <xm:sqref>N708</xm:sqref>
            </x14:sparkline>
            <x14:sparkline>
              <xm:f>Review!G709:L709</xm:f>
              <xm:sqref>N709</xm:sqref>
            </x14:sparkline>
            <x14:sparkline>
              <xm:f>Review!G710:L710</xm:f>
              <xm:sqref>N710</xm:sqref>
            </x14:sparkline>
            <x14:sparkline>
              <xm:f>Review!G711:L711</xm:f>
              <xm:sqref>N711</xm:sqref>
            </x14:sparkline>
            <x14:sparkline>
              <xm:f>Review!G712:L712</xm:f>
              <xm:sqref>N712</xm:sqref>
            </x14:sparkline>
            <x14:sparkline>
              <xm:f>Review!G713:L713</xm:f>
              <xm:sqref>N713</xm:sqref>
            </x14:sparkline>
            <x14:sparkline>
              <xm:f>Review!G714:L714</xm:f>
              <xm:sqref>N714</xm:sqref>
            </x14:sparkline>
            <x14:sparkline>
              <xm:f>Review!G715:L715</xm:f>
              <xm:sqref>N715</xm:sqref>
            </x14:sparkline>
            <x14:sparkline>
              <xm:f>Review!G716:L716</xm:f>
              <xm:sqref>N716</xm:sqref>
            </x14:sparkline>
            <x14:sparkline>
              <xm:f>Review!G717:L717</xm:f>
              <xm:sqref>N717</xm:sqref>
            </x14:sparkline>
            <x14:sparkline>
              <xm:f>Review!G718:L718</xm:f>
              <xm:sqref>N718</xm:sqref>
            </x14:sparkline>
            <x14:sparkline>
              <xm:f>Review!G719:L719</xm:f>
              <xm:sqref>N719</xm:sqref>
            </x14:sparkline>
            <x14:sparkline>
              <xm:f>Review!G720:L720</xm:f>
              <xm:sqref>N720</xm:sqref>
            </x14:sparkline>
            <x14:sparkline>
              <xm:f>Review!G721:L721</xm:f>
              <xm:sqref>N721</xm:sqref>
            </x14:sparkline>
            <x14:sparkline>
              <xm:f>Review!G722:L722</xm:f>
              <xm:sqref>N722</xm:sqref>
            </x14:sparkline>
            <x14:sparkline>
              <xm:f>Review!G723:L723</xm:f>
              <xm:sqref>N723</xm:sqref>
            </x14:sparkline>
            <x14:sparkline>
              <xm:f>Review!G724:L724</xm:f>
              <xm:sqref>N724</xm:sqref>
            </x14:sparkline>
            <x14:sparkline>
              <xm:f>Review!G725:L725</xm:f>
              <xm:sqref>N725</xm:sqref>
            </x14:sparkline>
            <x14:sparkline>
              <xm:f>Review!G726:L726</xm:f>
              <xm:sqref>N726</xm:sqref>
            </x14:sparkline>
            <x14:sparkline>
              <xm:f>Review!G727:L727</xm:f>
              <xm:sqref>N727</xm:sqref>
            </x14:sparkline>
            <x14:sparkline>
              <xm:f>Review!G728:L728</xm:f>
              <xm:sqref>N728</xm:sqref>
            </x14:sparkline>
            <x14:sparkline>
              <xm:f>Review!G729:L729</xm:f>
              <xm:sqref>N729</xm:sqref>
            </x14:sparkline>
            <x14:sparkline>
              <xm:f>Review!G730:L730</xm:f>
              <xm:sqref>N730</xm:sqref>
            </x14:sparkline>
            <x14:sparkline>
              <xm:f>Review!G731:L731</xm:f>
              <xm:sqref>N731</xm:sqref>
            </x14:sparkline>
            <x14:sparkline>
              <xm:f>Review!G732:L732</xm:f>
              <xm:sqref>N732</xm:sqref>
            </x14:sparkline>
            <x14:sparkline>
              <xm:f>Review!G733:L733</xm:f>
              <xm:sqref>N733</xm:sqref>
            </x14:sparkline>
            <x14:sparkline>
              <xm:f>Review!G734:L734</xm:f>
              <xm:sqref>N734</xm:sqref>
            </x14:sparkline>
            <x14:sparkline>
              <xm:f>Review!G735:L735</xm:f>
              <xm:sqref>N735</xm:sqref>
            </x14:sparkline>
            <x14:sparkline>
              <xm:f>Review!G736:L736</xm:f>
              <xm:sqref>N736</xm:sqref>
            </x14:sparkline>
            <x14:sparkline>
              <xm:f>Review!G737:L737</xm:f>
              <xm:sqref>N737</xm:sqref>
            </x14:sparkline>
            <x14:sparkline>
              <xm:f>Review!G738:L738</xm:f>
              <xm:sqref>N738</xm:sqref>
            </x14:sparkline>
            <x14:sparkline>
              <xm:f>Review!G739:L739</xm:f>
              <xm:sqref>N739</xm:sqref>
            </x14:sparkline>
            <x14:sparkline>
              <xm:f>Review!G740:L740</xm:f>
              <xm:sqref>N740</xm:sqref>
            </x14:sparkline>
            <x14:sparkline>
              <xm:f>Review!G741:L741</xm:f>
              <xm:sqref>N741</xm:sqref>
            </x14:sparkline>
            <x14:sparkline>
              <xm:f>Review!G742:L742</xm:f>
              <xm:sqref>N742</xm:sqref>
            </x14:sparkline>
            <x14:sparkline>
              <xm:f>Review!G743:L743</xm:f>
              <xm:sqref>N743</xm:sqref>
            </x14:sparkline>
            <x14:sparkline>
              <xm:f>Review!G744:L744</xm:f>
              <xm:sqref>N744</xm:sqref>
            </x14:sparkline>
            <x14:sparkline>
              <xm:f>Review!G745:L745</xm:f>
              <xm:sqref>N745</xm:sqref>
            </x14:sparkline>
            <x14:sparkline>
              <xm:f>Review!G746:L746</xm:f>
              <xm:sqref>N746</xm:sqref>
            </x14:sparkline>
            <x14:sparkline>
              <xm:f>Review!G747:L747</xm:f>
              <xm:sqref>N747</xm:sqref>
            </x14:sparkline>
            <x14:sparkline>
              <xm:f>Review!G748:L748</xm:f>
              <xm:sqref>N748</xm:sqref>
            </x14:sparkline>
            <x14:sparkline>
              <xm:f>Review!G749:L749</xm:f>
              <xm:sqref>N749</xm:sqref>
            </x14:sparkline>
            <x14:sparkline>
              <xm:f>Review!G750:L750</xm:f>
              <xm:sqref>N750</xm:sqref>
            </x14:sparkline>
            <x14:sparkline>
              <xm:f>Review!G751:L751</xm:f>
              <xm:sqref>N751</xm:sqref>
            </x14:sparkline>
            <x14:sparkline>
              <xm:f>Review!G752:L752</xm:f>
              <xm:sqref>N752</xm:sqref>
            </x14:sparkline>
            <x14:sparkline>
              <xm:f>Review!G753:L753</xm:f>
              <xm:sqref>N753</xm:sqref>
            </x14:sparkline>
            <x14:sparkline>
              <xm:f>Review!G754:L754</xm:f>
              <xm:sqref>N754</xm:sqref>
            </x14:sparkline>
            <x14:sparkline>
              <xm:f>Review!G755:L755</xm:f>
              <xm:sqref>N755</xm:sqref>
            </x14:sparkline>
            <x14:sparkline>
              <xm:f>Review!G756:L756</xm:f>
              <xm:sqref>N756</xm:sqref>
            </x14:sparkline>
            <x14:sparkline>
              <xm:f>Review!G757:L757</xm:f>
              <xm:sqref>N757</xm:sqref>
            </x14:sparkline>
            <x14:sparkline>
              <xm:f>Review!G758:L758</xm:f>
              <xm:sqref>N758</xm:sqref>
            </x14:sparkline>
            <x14:sparkline>
              <xm:f>Review!G759:L759</xm:f>
              <xm:sqref>N759</xm:sqref>
            </x14:sparkline>
            <x14:sparkline>
              <xm:f>Review!G760:L760</xm:f>
              <xm:sqref>N760</xm:sqref>
            </x14:sparkline>
            <x14:sparkline>
              <xm:f>Review!G761:L761</xm:f>
              <xm:sqref>N761</xm:sqref>
            </x14:sparkline>
            <x14:sparkline>
              <xm:f>Review!G762:L762</xm:f>
              <xm:sqref>N762</xm:sqref>
            </x14:sparkline>
            <x14:sparkline>
              <xm:f>Review!G763:L763</xm:f>
              <xm:sqref>N763</xm:sqref>
            </x14:sparkline>
            <x14:sparkline>
              <xm:f>Review!G764:L764</xm:f>
              <xm:sqref>N764</xm:sqref>
            </x14:sparkline>
            <x14:sparkline>
              <xm:f>Review!G765:L765</xm:f>
              <xm:sqref>N765</xm:sqref>
            </x14:sparkline>
            <x14:sparkline>
              <xm:f>Review!G766:L766</xm:f>
              <xm:sqref>N766</xm:sqref>
            </x14:sparkline>
            <x14:sparkline>
              <xm:f>Review!G767:L767</xm:f>
              <xm:sqref>N767</xm:sqref>
            </x14:sparkline>
            <x14:sparkline>
              <xm:f>Review!G768:L768</xm:f>
              <xm:sqref>N768</xm:sqref>
            </x14:sparkline>
            <x14:sparkline>
              <xm:f>Review!G769:L769</xm:f>
              <xm:sqref>N769</xm:sqref>
            </x14:sparkline>
            <x14:sparkline>
              <xm:f>Review!G770:L770</xm:f>
              <xm:sqref>N770</xm:sqref>
            </x14:sparkline>
            <x14:sparkline>
              <xm:f>Review!G771:L771</xm:f>
              <xm:sqref>N771</xm:sqref>
            </x14:sparkline>
            <x14:sparkline>
              <xm:f>Review!G772:L772</xm:f>
              <xm:sqref>N772</xm:sqref>
            </x14:sparkline>
            <x14:sparkline>
              <xm:f>Review!G773:L773</xm:f>
              <xm:sqref>N773</xm:sqref>
            </x14:sparkline>
            <x14:sparkline>
              <xm:f>Review!G774:L774</xm:f>
              <xm:sqref>N774</xm:sqref>
            </x14:sparkline>
            <x14:sparkline>
              <xm:f>Review!G775:L775</xm:f>
              <xm:sqref>N775</xm:sqref>
            </x14:sparkline>
            <x14:sparkline>
              <xm:f>Review!G776:L776</xm:f>
              <xm:sqref>N776</xm:sqref>
            </x14:sparkline>
            <x14:sparkline>
              <xm:f>Review!G777:L777</xm:f>
              <xm:sqref>N777</xm:sqref>
            </x14:sparkline>
            <x14:sparkline>
              <xm:f>Review!G778:L778</xm:f>
              <xm:sqref>N778</xm:sqref>
            </x14:sparkline>
            <x14:sparkline>
              <xm:f>Review!G779:L779</xm:f>
              <xm:sqref>N779</xm:sqref>
            </x14:sparkline>
            <x14:sparkline>
              <xm:f>Review!G780:L780</xm:f>
              <xm:sqref>N780</xm:sqref>
            </x14:sparkline>
            <x14:sparkline>
              <xm:f>Review!G781:L781</xm:f>
              <xm:sqref>N781</xm:sqref>
            </x14:sparkline>
            <x14:sparkline>
              <xm:f>Review!G782:L782</xm:f>
              <xm:sqref>N782</xm:sqref>
            </x14:sparkline>
            <x14:sparkline>
              <xm:f>Review!G783:L783</xm:f>
              <xm:sqref>N783</xm:sqref>
            </x14:sparkline>
            <x14:sparkline>
              <xm:f>Review!G784:L784</xm:f>
              <xm:sqref>N784</xm:sqref>
            </x14:sparkline>
            <x14:sparkline>
              <xm:f>Review!G785:L785</xm:f>
              <xm:sqref>N785</xm:sqref>
            </x14:sparkline>
            <x14:sparkline>
              <xm:f>Review!G786:L786</xm:f>
              <xm:sqref>N786</xm:sqref>
            </x14:sparkline>
            <x14:sparkline>
              <xm:f>Review!G787:L787</xm:f>
              <xm:sqref>N787</xm:sqref>
            </x14:sparkline>
            <x14:sparkline>
              <xm:f>Review!G788:L788</xm:f>
              <xm:sqref>N788</xm:sqref>
            </x14:sparkline>
            <x14:sparkline>
              <xm:f>Review!G789:L789</xm:f>
              <xm:sqref>N789</xm:sqref>
            </x14:sparkline>
            <x14:sparkline>
              <xm:f>Review!G790:L790</xm:f>
              <xm:sqref>N790</xm:sqref>
            </x14:sparkline>
            <x14:sparkline>
              <xm:f>Review!G791:L791</xm:f>
              <xm:sqref>N791</xm:sqref>
            </x14:sparkline>
            <x14:sparkline>
              <xm:f>Review!G792:L792</xm:f>
              <xm:sqref>N792</xm:sqref>
            </x14:sparkline>
            <x14:sparkline>
              <xm:f>Review!G793:L793</xm:f>
              <xm:sqref>N793</xm:sqref>
            </x14:sparkline>
            <x14:sparkline>
              <xm:f>Review!G794:L794</xm:f>
              <xm:sqref>N794</xm:sqref>
            </x14:sparkline>
            <x14:sparkline>
              <xm:f>Review!G795:L795</xm:f>
              <xm:sqref>N795</xm:sqref>
            </x14:sparkline>
            <x14:sparkline>
              <xm:f>Review!G796:L796</xm:f>
              <xm:sqref>N796</xm:sqref>
            </x14:sparkline>
            <x14:sparkline>
              <xm:f>Review!G797:L797</xm:f>
              <xm:sqref>N797</xm:sqref>
            </x14:sparkline>
            <x14:sparkline>
              <xm:f>Review!G798:L798</xm:f>
              <xm:sqref>N798</xm:sqref>
            </x14:sparkline>
            <x14:sparkline>
              <xm:f>Review!G799:L799</xm:f>
              <xm:sqref>N799</xm:sqref>
            </x14:sparkline>
            <x14:sparkline>
              <xm:f>Review!G800:L800</xm:f>
              <xm:sqref>N800</xm:sqref>
            </x14:sparkline>
            <x14:sparkline>
              <xm:f>Review!G801:L801</xm:f>
              <xm:sqref>N801</xm:sqref>
            </x14:sparkline>
            <x14:sparkline>
              <xm:f>Review!G802:L802</xm:f>
              <xm:sqref>N802</xm:sqref>
            </x14:sparkline>
            <x14:sparkline>
              <xm:f>Review!G803:L803</xm:f>
              <xm:sqref>N803</xm:sqref>
            </x14:sparkline>
            <x14:sparkline>
              <xm:f>Review!G804:L804</xm:f>
              <xm:sqref>N804</xm:sqref>
            </x14:sparkline>
            <x14:sparkline>
              <xm:f>Review!G805:L805</xm:f>
              <xm:sqref>N805</xm:sqref>
            </x14:sparkline>
            <x14:sparkline>
              <xm:f>Review!G806:L806</xm:f>
              <xm:sqref>N806</xm:sqref>
            </x14:sparkline>
            <x14:sparkline>
              <xm:f>Review!G807:L807</xm:f>
              <xm:sqref>N807</xm:sqref>
            </x14:sparkline>
            <x14:sparkline>
              <xm:f>Review!G808:L808</xm:f>
              <xm:sqref>N808</xm:sqref>
            </x14:sparkline>
            <x14:sparkline>
              <xm:f>Review!G809:L809</xm:f>
              <xm:sqref>N809</xm:sqref>
            </x14:sparkline>
            <x14:sparkline>
              <xm:f>Review!G810:L810</xm:f>
              <xm:sqref>N810</xm:sqref>
            </x14:sparkline>
            <x14:sparkline>
              <xm:f>Review!G811:L811</xm:f>
              <xm:sqref>N811</xm:sqref>
            </x14:sparkline>
            <x14:sparkline>
              <xm:f>Review!G812:L812</xm:f>
              <xm:sqref>N812</xm:sqref>
            </x14:sparkline>
            <x14:sparkline>
              <xm:f>Review!G813:L813</xm:f>
              <xm:sqref>N813</xm:sqref>
            </x14:sparkline>
            <x14:sparkline>
              <xm:f>Review!G814:L814</xm:f>
              <xm:sqref>N814</xm:sqref>
            </x14:sparkline>
            <x14:sparkline>
              <xm:f>Review!G815:L815</xm:f>
              <xm:sqref>N815</xm:sqref>
            </x14:sparkline>
            <x14:sparkline>
              <xm:f>Review!G816:L816</xm:f>
              <xm:sqref>N816</xm:sqref>
            </x14:sparkline>
            <x14:sparkline>
              <xm:f>Review!G817:L817</xm:f>
              <xm:sqref>N817</xm:sqref>
            </x14:sparkline>
            <x14:sparkline>
              <xm:f>Review!G818:L818</xm:f>
              <xm:sqref>N818</xm:sqref>
            </x14:sparkline>
            <x14:sparkline>
              <xm:f>Review!G819:L819</xm:f>
              <xm:sqref>N819</xm:sqref>
            </x14:sparkline>
            <x14:sparkline>
              <xm:f>Review!G820:L820</xm:f>
              <xm:sqref>N820</xm:sqref>
            </x14:sparkline>
            <x14:sparkline>
              <xm:f>Review!G821:L821</xm:f>
              <xm:sqref>N821</xm:sqref>
            </x14:sparkline>
            <x14:sparkline>
              <xm:f>Review!G822:L822</xm:f>
              <xm:sqref>N822</xm:sqref>
            </x14:sparkline>
            <x14:sparkline>
              <xm:f>Review!G823:L823</xm:f>
              <xm:sqref>N823</xm:sqref>
            </x14:sparkline>
            <x14:sparkline>
              <xm:f>Review!G824:L824</xm:f>
              <xm:sqref>N824</xm:sqref>
            </x14:sparkline>
            <x14:sparkline>
              <xm:f>Review!G825:L825</xm:f>
              <xm:sqref>N825</xm:sqref>
            </x14:sparkline>
            <x14:sparkline>
              <xm:f>Review!G826:L826</xm:f>
              <xm:sqref>N826</xm:sqref>
            </x14:sparkline>
            <x14:sparkline>
              <xm:f>Review!G827:L827</xm:f>
              <xm:sqref>N827</xm:sqref>
            </x14:sparkline>
            <x14:sparkline>
              <xm:f>Review!G828:L828</xm:f>
              <xm:sqref>N828</xm:sqref>
            </x14:sparkline>
            <x14:sparkline>
              <xm:f>Review!G829:L829</xm:f>
              <xm:sqref>N829</xm:sqref>
            </x14:sparkline>
            <x14:sparkline>
              <xm:f>Review!G830:L830</xm:f>
              <xm:sqref>N830</xm:sqref>
            </x14:sparkline>
            <x14:sparkline>
              <xm:f>Review!G831:L831</xm:f>
              <xm:sqref>N831</xm:sqref>
            </x14:sparkline>
            <x14:sparkline>
              <xm:f>Review!G832:L832</xm:f>
              <xm:sqref>N832</xm:sqref>
            </x14:sparkline>
            <x14:sparkline>
              <xm:f>Review!G833:L833</xm:f>
              <xm:sqref>N833</xm:sqref>
            </x14:sparkline>
            <x14:sparkline>
              <xm:f>Review!G834:L834</xm:f>
              <xm:sqref>N834</xm:sqref>
            </x14:sparkline>
            <x14:sparkline>
              <xm:f>Review!G835:L835</xm:f>
              <xm:sqref>N835</xm:sqref>
            </x14:sparkline>
            <x14:sparkline>
              <xm:f>Review!G836:L836</xm:f>
              <xm:sqref>N836</xm:sqref>
            </x14:sparkline>
            <x14:sparkline>
              <xm:f>Review!G837:L837</xm:f>
              <xm:sqref>N837</xm:sqref>
            </x14:sparkline>
            <x14:sparkline>
              <xm:f>Review!G838:L838</xm:f>
              <xm:sqref>N838</xm:sqref>
            </x14:sparkline>
            <x14:sparkline>
              <xm:f>Review!G839:L839</xm:f>
              <xm:sqref>N839</xm:sqref>
            </x14:sparkline>
            <x14:sparkline>
              <xm:f>Review!G840:L840</xm:f>
              <xm:sqref>N840</xm:sqref>
            </x14:sparkline>
            <x14:sparkline>
              <xm:f>Review!G841:L841</xm:f>
              <xm:sqref>N841</xm:sqref>
            </x14:sparkline>
            <x14:sparkline>
              <xm:f>Review!G842:L842</xm:f>
              <xm:sqref>N842</xm:sqref>
            </x14:sparkline>
            <x14:sparkline>
              <xm:f>Review!G843:L843</xm:f>
              <xm:sqref>N843</xm:sqref>
            </x14:sparkline>
            <x14:sparkline>
              <xm:f>Review!G844:L844</xm:f>
              <xm:sqref>N844</xm:sqref>
            </x14:sparkline>
            <x14:sparkline>
              <xm:f>Review!G845:L845</xm:f>
              <xm:sqref>N845</xm:sqref>
            </x14:sparkline>
            <x14:sparkline>
              <xm:f>Review!G846:L846</xm:f>
              <xm:sqref>N846</xm:sqref>
            </x14:sparkline>
            <x14:sparkline>
              <xm:f>Review!G847:L847</xm:f>
              <xm:sqref>N847</xm:sqref>
            </x14:sparkline>
            <x14:sparkline>
              <xm:f>Review!G848:L848</xm:f>
              <xm:sqref>N848</xm:sqref>
            </x14:sparkline>
            <x14:sparkline>
              <xm:f>Review!G849:L849</xm:f>
              <xm:sqref>N849</xm:sqref>
            </x14:sparkline>
            <x14:sparkline>
              <xm:f>Review!G850:L850</xm:f>
              <xm:sqref>N850</xm:sqref>
            </x14:sparkline>
            <x14:sparkline>
              <xm:f>Review!G851:L851</xm:f>
              <xm:sqref>N851</xm:sqref>
            </x14:sparkline>
            <x14:sparkline>
              <xm:f>Review!G852:L852</xm:f>
              <xm:sqref>N852</xm:sqref>
            </x14:sparkline>
            <x14:sparkline>
              <xm:f>Review!G853:L853</xm:f>
              <xm:sqref>N853</xm:sqref>
            </x14:sparkline>
            <x14:sparkline>
              <xm:f>Review!G854:L854</xm:f>
              <xm:sqref>N854</xm:sqref>
            </x14:sparkline>
            <x14:sparkline>
              <xm:f>Review!G855:L855</xm:f>
              <xm:sqref>N855</xm:sqref>
            </x14:sparkline>
            <x14:sparkline>
              <xm:f>Review!G856:L856</xm:f>
              <xm:sqref>N856</xm:sqref>
            </x14:sparkline>
            <x14:sparkline>
              <xm:f>Review!G857:L857</xm:f>
              <xm:sqref>N857</xm:sqref>
            </x14:sparkline>
            <x14:sparkline>
              <xm:f>Review!G858:L858</xm:f>
              <xm:sqref>N858</xm:sqref>
            </x14:sparkline>
            <x14:sparkline>
              <xm:f>Review!G859:L859</xm:f>
              <xm:sqref>N859</xm:sqref>
            </x14:sparkline>
            <x14:sparkline>
              <xm:f>Review!G860:L860</xm:f>
              <xm:sqref>N860</xm:sqref>
            </x14:sparkline>
            <x14:sparkline>
              <xm:f>Review!G861:L861</xm:f>
              <xm:sqref>N861</xm:sqref>
            </x14:sparkline>
            <x14:sparkline>
              <xm:f>Review!G862:L862</xm:f>
              <xm:sqref>N862</xm:sqref>
            </x14:sparkline>
            <x14:sparkline>
              <xm:f>Review!G863:L863</xm:f>
              <xm:sqref>N863</xm:sqref>
            </x14:sparkline>
            <x14:sparkline>
              <xm:f>Review!G864:L864</xm:f>
              <xm:sqref>N864</xm:sqref>
            </x14:sparkline>
            <x14:sparkline>
              <xm:f>Review!G865:L865</xm:f>
              <xm:sqref>N865</xm:sqref>
            </x14:sparkline>
            <x14:sparkline>
              <xm:f>Review!G866:L866</xm:f>
              <xm:sqref>N866</xm:sqref>
            </x14:sparkline>
            <x14:sparkline>
              <xm:f>Review!G867:L867</xm:f>
              <xm:sqref>N867</xm:sqref>
            </x14:sparkline>
            <x14:sparkline>
              <xm:f>Review!G868:L868</xm:f>
              <xm:sqref>N868</xm:sqref>
            </x14:sparkline>
            <x14:sparkline>
              <xm:f>Review!G869:L869</xm:f>
              <xm:sqref>N869</xm:sqref>
            </x14:sparkline>
            <x14:sparkline>
              <xm:f>Review!G870:L870</xm:f>
              <xm:sqref>N870</xm:sqref>
            </x14:sparkline>
            <x14:sparkline>
              <xm:f>Review!G871:L871</xm:f>
              <xm:sqref>N871</xm:sqref>
            </x14:sparkline>
            <x14:sparkline>
              <xm:f>Review!G872:L872</xm:f>
              <xm:sqref>N872</xm:sqref>
            </x14:sparkline>
            <x14:sparkline>
              <xm:f>Review!G873:L873</xm:f>
              <xm:sqref>N873</xm:sqref>
            </x14:sparkline>
            <x14:sparkline>
              <xm:f>Review!G874:L874</xm:f>
              <xm:sqref>N874</xm:sqref>
            </x14:sparkline>
            <x14:sparkline>
              <xm:f>Review!G875:L875</xm:f>
              <xm:sqref>N875</xm:sqref>
            </x14:sparkline>
            <x14:sparkline>
              <xm:f>Review!G876:L876</xm:f>
              <xm:sqref>N876</xm:sqref>
            </x14:sparkline>
            <x14:sparkline>
              <xm:f>Review!G877:L877</xm:f>
              <xm:sqref>N877</xm:sqref>
            </x14:sparkline>
            <x14:sparkline>
              <xm:f>Review!G878:L878</xm:f>
              <xm:sqref>N878</xm:sqref>
            </x14:sparkline>
            <x14:sparkline>
              <xm:f>Review!G879:L879</xm:f>
              <xm:sqref>N879</xm:sqref>
            </x14:sparkline>
            <x14:sparkline>
              <xm:f>Review!G880:L880</xm:f>
              <xm:sqref>N880</xm:sqref>
            </x14:sparkline>
            <x14:sparkline>
              <xm:f>Review!G881:L881</xm:f>
              <xm:sqref>N881</xm:sqref>
            </x14:sparkline>
            <x14:sparkline>
              <xm:f>Review!G882:L882</xm:f>
              <xm:sqref>N882</xm:sqref>
            </x14:sparkline>
            <x14:sparkline>
              <xm:f>Review!G883:L883</xm:f>
              <xm:sqref>N883</xm:sqref>
            </x14:sparkline>
            <x14:sparkline>
              <xm:f>Review!G884:L884</xm:f>
              <xm:sqref>N884</xm:sqref>
            </x14:sparkline>
            <x14:sparkline>
              <xm:f>Review!G885:L885</xm:f>
              <xm:sqref>N885</xm:sqref>
            </x14:sparkline>
            <x14:sparkline>
              <xm:f>Review!G886:L886</xm:f>
              <xm:sqref>N886</xm:sqref>
            </x14:sparkline>
            <x14:sparkline>
              <xm:f>Review!G887:L887</xm:f>
              <xm:sqref>N887</xm:sqref>
            </x14:sparkline>
            <x14:sparkline>
              <xm:f>Review!G888:L888</xm:f>
              <xm:sqref>N888</xm:sqref>
            </x14:sparkline>
            <x14:sparkline>
              <xm:f>Review!G889:L889</xm:f>
              <xm:sqref>N889</xm:sqref>
            </x14:sparkline>
            <x14:sparkline>
              <xm:f>Review!G890:L890</xm:f>
              <xm:sqref>N890</xm:sqref>
            </x14:sparkline>
            <x14:sparkline>
              <xm:f>Review!G891:L891</xm:f>
              <xm:sqref>N891</xm:sqref>
            </x14:sparkline>
            <x14:sparkline>
              <xm:f>Review!G892:L892</xm:f>
              <xm:sqref>N892</xm:sqref>
            </x14:sparkline>
            <x14:sparkline>
              <xm:f>Review!G893:L893</xm:f>
              <xm:sqref>N893</xm:sqref>
            </x14:sparkline>
            <x14:sparkline>
              <xm:f>Review!G894:L894</xm:f>
              <xm:sqref>N894</xm:sqref>
            </x14:sparkline>
            <x14:sparkline>
              <xm:f>Review!G895:L895</xm:f>
              <xm:sqref>N895</xm:sqref>
            </x14:sparkline>
            <x14:sparkline>
              <xm:f>Review!G896:L896</xm:f>
              <xm:sqref>N896</xm:sqref>
            </x14:sparkline>
            <x14:sparkline>
              <xm:f>Review!G897:L897</xm:f>
              <xm:sqref>N897</xm:sqref>
            </x14:sparkline>
            <x14:sparkline>
              <xm:f>Review!G898:L898</xm:f>
              <xm:sqref>N898</xm:sqref>
            </x14:sparkline>
            <x14:sparkline>
              <xm:f>Review!G899:L899</xm:f>
              <xm:sqref>N899</xm:sqref>
            </x14:sparkline>
            <x14:sparkline>
              <xm:f>Review!G900:L900</xm:f>
              <xm:sqref>N900</xm:sqref>
            </x14:sparkline>
            <x14:sparkline>
              <xm:f>Review!G901:L901</xm:f>
              <xm:sqref>N901</xm:sqref>
            </x14:sparkline>
            <x14:sparkline>
              <xm:f>Review!G902:L902</xm:f>
              <xm:sqref>N902</xm:sqref>
            </x14:sparkline>
            <x14:sparkline>
              <xm:f>Review!G903:L903</xm:f>
              <xm:sqref>N903</xm:sqref>
            </x14:sparkline>
            <x14:sparkline>
              <xm:f>Review!G904:L904</xm:f>
              <xm:sqref>N904</xm:sqref>
            </x14:sparkline>
            <x14:sparkline>
              <xm:f>Review!G905:L905</xm:f>
              <xm:sqref>N905</xm:sqref>
            </x14:sparkline>
            <x14:sparkline>
              <xm:f>Review!G906:L906</xm:f>
              <xm:sqref>N906</xm:sqref>
            </x14:sparkline>
            <x14:sparkline>
              <xm:f>Review!G907:L907</xm:f>
              <xm:sqref>N907</xm:sqref>
            </x14:sparkline>
            <x14:sparkline>
              <xm:f>Review!G908:L908</xm:f>
              <xm:sqref>N908</xm:sqref>
            </x14:sparkline>
            <x14:sparkline>
              <xm:f>Review!G909:L909</xm:f>
              <xm:sqref>N909</xm:sqref>
            </x14:sparkline>
            <x14:sparkline>
              <xm:f>Review!G910:L910</xm:f>
              <xm:sqref>N910</xm:sqref>
            </x14:sparkline>
            <x14:sparkline>
              <xm:f>Review!G911:L911</xm:f>
              <xm:sqref>N911</xm:sqref>
            </x14:sparkline>
            <x14:sparkline>
              <xm:f>Review!G912:L912</xm:f>
              <xm:sqref>N912</xm:sqref>
            </x14:sparkline>
            <x14:sparkline>
              <xm:f>Review!G913:L913</xm:f>
              <xm:sqref>N913</xm:sqref>
            </x14:sparkline>
            <x14:sparkline>
              <xm:f>Review!G914:L914</xm:f>
              <xm:sqref>N914</xm:sqref>
            </x14:sparkline>
            <x14:sparkline>
              <xm:f>Review!G915:L915</xm:f>
              <xm:sqref>N915</xm:sqref>
            </x14:sparkline>
            <x14:sparkline>
              <xm:f>Review!G916:L916</xm:f>
              <xm:sqref>N916</xm:sqref>
            </x14:sparkline>
            <x14:sparkline>
              <xm:f>Review!G917:L917</xm:f>
              <xm:sqref>N917</xm:sqref>
            </x14:sparkline>
            <x14:sparkline>
              <xm:f>Review!G918:L918</xm:f>
              <xm:sqref>N918</xm:sqref>
            </x14:sparkline>
            <x14:sparkline>
              <xm:f>Review!G919:L919</xm:f>
              <xm:sqref>N919</xm:sqref>
            </x14:sparkline>
            <x14:sparkline>
              <xm:f>Review!G920:L920</xm:f>
              <xm:sqref>N920</xm:sqref>
            </x14:sparkline>
            <x14:sparkline>
              <xm:f>Review!G921:L921</xm:f>
              <xm:sqref>N921</xm:sqref>
            </x14:sparkline>
            <x14:sparkline>
              <xm:f>Review!G922:L922</xm:f>
              <xm:sqref>N922</xm:sqref>
            </x14:sparkline>
            <x14:sparkline>
              <xm:f>Review!G923:L923</xm:f>
              <xm:sqref>N923</xm:sqref>
            </x14:sparkline>
            <x14:sparkline>
              <xm:f>Review!G924:L924</xm:f>
              <xm:sqref>N924</xm:sqref>
            </x14:sparkline>
            <x14:sparkline>
              <xm:f>Review!G925:L925</xm:f>
              <xm:sqref>N925</xm:sqref>
            </x14:sparkline>
            <x14:sparkline>
              <xm:f>Review!G926:L926</xm:f>
              <xm:sqref>N926</xm:sqref>
            </x14:sparkline>
            <x14:sparkline>
              <xm:f>Review!G927:L927</xm:f>
              <xm:sqref>N927</xm:sqref>
            </x14:sparkline>
            <x14:sparkline>
              <xm:f>Review!G928:L928</xm:f>
              <xm:sqref>N928</xm:sqref>
            </x14:sparkline>
            <x14:sparkline>
              <xm:f>Review!G929:L929</xm:f>
              <xm:sqref>N929</xm:sqref>
            </x14:sparkline>
            <x14:sparkline>
              <xm:f>Review!G930:L930</xm:f>
              <xm:sqref>N930</xm:sqref>
            </x14:sparkline>
            <x14:sparkline>
              <xm:f>Review!G931:L931</xm:f>
              <xm:sqref>N931</xm:sqref>
            </x14:sparkline>
            <x14:sparkline>
              <xm:f>Review!G932:L932</xm:f>
              <xm:sqref>N932</xm:sqref>
            </x14:sparkline>
            <x14:sparkline>
              <xm:f>Review!G933:L933</xm:f>
              <xm:sqref>N933</xm:sqref>
            </x14:sparkline>
            <x14:sparkline>
              <xm:f>Review!G934:L934</xm:f>
              <xm:sqref>N934</xm:sqref>
            </x14:sparkline>
            <x14:sparkline>
              <xm:f>Review!G935:L935</xm:f>
              <xm:sqref>N935</xm:sqref>
            </x14:sparkline>
            <x14:sparkline>
              <xm:f>Review!G936:L936</xm:f>
              <xm:sqref>N936</xm:sqref>
            </x14:sparkline>
            <x14:sparkline>
              <xm:f>Review!G937:L937</xm:f>
              <xm:sqref>N937</xm:sqref>
            </x14:sparkline>
            <x14:sparkline>
              <xm:f>Review!G938:L938</xm:f>
              <xm:sqref>N938</xm:sqref>
            </x14:sparkline>
            <x14:sparkline>
              <xm:f>Review!G939:L939</xm:f>
              <xm:sqref>N939</xm:sqref>
            </x14:sparkline>
            <x14:sparkline>
              <xm:f>Review!G940:L940</xm:f>
              <xm:sqref>N940</xm:sqref>
            </x14:sparkline>
            <x14:sparkline>
              <xm:f>Review!G941:L941</xm:f>
              <xm:sqref>N941</xm:sqref>
            </x14:sparkline>
            <x14:sparkline>
              <xm:f>Review!G942:L942</xm:f>
              <xm:sqref>N942</xm:sqref>
            </x14:sparkline>
            <x14:sparkline>
              <xm:f>Review!G943:L943</xm:f>
              <xm:sqref>N943</xm:sqref>
            </x14:sparkline>
            <x14:sparkline>
              <xm:f>Review!G944:L944</xm:f>
              <xm:sqref>N944</xm:sqref>
            </x14:sparkline>
            <x14:sparkline>
              <xm:f>Review!G945:L945</xm:f>
              <xm:sqref>N945</xm:sqref>
            </x14:sparkline>
            <x14:sparkline>
              <xm:f>Review!G946:L946</xm:f>
              <xm:sqref>N946</xm:sqref>
            </x14:sparkline>
            <x14:sparkline>
              <xm:f>Review!G947:L947</xm:f>
              <xm:sqref>N947</xm:sqref>
            </x14:sparkline>
            <x14:sparkline>
              <xm:f>Review!G948:L948</xm:f>
              <xm:sqref>N948</xm:sqref>
            </x14:sparkline>
            <x14:sparkline>
              <xm:f>Review!G949:L949</xm:f>
              <xm:sqref>N949</xm:sqref>
            </x14:sparkline>
            <x14:sparkline>
              <xm:f>Review!G950:L950</xm:f>
              <xm:sqref>N950</xm:sqref>
            </x14:sparkline>
            <x14:sparkline>
              <xm:f>Review!G951:L951</xm:f>
              <xm:sqref>N951</xm:sqref>
            </x14:sparkline>
            <x14:sparkline>
              <xm:f>Review!G952:L952</xm:f>
              <xm:sqref>N952</xm:sqref>
            </x14:sparkline>
            <x14:sparkline>
              <xm:f>Review!G953:L953</xm:f>
              <xm:sqref>N953</xm:sqref>
            </x14:sparkline>
            <x14:sparkline>
              <xm:f>Review!G954:L954</xm:f>
              <xm:sqref>N954</xm:sqref>
            </x14:sparkline>
            <x14:sparkline>
              <xm:f>Review!G955:L955</xm:f>
              <xm:sqref>N955</xm:sqref>
            </x14:sparkline>
            <x14:sparkline>
              <xm:f>Review!G956:L956</xm:f>
              <xm:sqref>N956</xm:sqref>
            </x14:sparkline>
            <x14:sparkline>
              <xm:f>Review!G957:L957</xm:f>
              <xm:sqref>N957</xm:sqref>
            </x14:sparkline>
            <x14:sparkline>
              <xm:f>Review!G958:L958</xm:f>
              <xm:sqref>N958</xm:sqref>
            </x14:sparkline>
            <x14:sparkline>
              <xm:f>Review!G959:L959</xm:f>
              <xm:sqref>N959</xm:sqref>
            </x14:sparkline>
            <x14:sparkline>
              <xm:f>Review!G960:L960</xm:f>
              <xm:sqref>N960</xm:sqref>
            </x14:sparkline>
            <x14:sparkline>
              <xm:f>Review!G961:L961</xm:f>
              <xm:sqref>N961</xm:sqref>
            </x14:sparkline>
            <x14:sparkline>
              <xm:f>Review!G962:L962</xm:f>
              <xm:sqref>N962</xm:sqref>
            </x14:sparkline>
            <x14:sparkline>
              <xm:f>Review!G963:L963</xm:f>
              <xm:sqref>N963</xm:sqref>
            </x14:sparkline>
            <x14:sparkline>
              <xm:f>Review!G964:L964</xm:f>
              <xm:sqref>N964</xm:sqref>
            </x14:sparkline>
            <x14:sparkline>
              <xm:f>Review!G965:L965</xm:f>
              <xm:sqref>N965</xm:sqref>
            </x14:sparkline>
            <x14:sparkline>
              <xm:f>Review!G966:L966</xm:f>
              <xm:sqref>N966</xm:sqref>
            </x14:sparkline>
            <x14:sparkline>
              <xm:f>Review!G967:L967</xm:f>
              <xm:sqref>N967</xm:sqref>
            </x14:sparkline>
            <x14:sparkline>
              <xm:f>Review!G968:L968</xm:f>
              <xm:sqref>N968</xm:sqref>
            </x14:sparkline>
            <x14:sparkline>
              <xm:f>Review!G969:L969</xm:f>
              <xm:sqref>N969</xm:sqref>
            </x14:sparkline>
            <x14:sparkline>
              <xm:f>Review!G970:L970</xm:f>
              <xm:sqref>N970</xm:sqref>
            </x14:sparkline>
            <x14:sparkline>
              <xm:f>Review!G971:L971</xm:f>
              <xm:sqref>N971</xm:sqref>
            </x14:sparkline>
            <x14:sparkline>
              <xm:f>Review!G972:L972</xm:f>
              <xm:sqref>N972</xm:sqref>
            </x14:sparkline>
            <x14:sparkline>
              <xm:f>Review!G973:L973</xm:f>
              <xm:sqref>N973</xm:sqref>
            </x14:sparkline>
            <x14:sparkline>
              <xm:f>Review!G974:L974</xm:f>
              <xm:sqref>N974</xm:sqref>
            </x14:sparkline>
            <x14:sparkline>
              <xm:f>Review!G975:L975</xm:f>
              <xm:sqref>N975</xm:sqref>
            </x14:sparkline>
            <x14:sparkline>
              <xm:f>Review!G976:L976</xm:f>
              <xm:sqref>N976</xm:sqref>
            </x14:sparkline>
            <x14:sparkline>
              <xm:f>Review!G977:L977</xm:f>
              <xm:sqref>N977</xm:sqref>
            </x14:sparkline>
            <x14:sparkline>
              <xm:f>Review!G978:L978</xm:f>
              <xm:sqref>N978</xm:sqref>
            </x14:sparkline>
            <x14:sparkline>
              <xm:f>Review!G979:L979</xm:f>
              <xm:sqref>N979</xm:sqref>
            </x14:sparkline>
            <x14:sparkline>
              <xm:f>Review!G980:L980</xm:f>
              <xm:sqref>N980</xm:sqref>
            </x14:sparkline>
            <x14:sparkline>
              <xm:f>Review!G981:L981</xm:f>
              <xm:sqref>N981</xm:sqref>
            </x14:sparkline>
            <x14:sparkline>
              <xm:f>Review!G982:L982</xm:f>
              <xm:sqref>N982</xm:sqref>
            </x14:sparkline>
            <x14:sparkline>
              <xm:f>Review!G983:L983</xm:f>
              <xm:sqref>N983</xm:sqref>
            </x14:sparkline>
            <x14:sparkline>
              <xm:f>Review!G984:L984</xm:f>
              <xm:sqref>N984</xm:sqref>
            </x14:sparkline>
            <x14:sparkline>
              <xm:f>Review!G985:L985</xm:f>
              <xm:sqref>N985</xm:sqref>
            </x14:sparkline>
            <x14:sparkline>
              <xm:f>Review!G986:L986</xm:f>
              <xm:sqref>N986</xm:sqref>
            </x14:sparkline>
            <x14:sparkline>
              <xm:f>Review!G987:L987</xm:f>
              <xm:sqref>N987</xm:sqref>
            </x14:sparkline>
            <x14:sparkline>
              <xm:f>Review!G988:L988</xm:f>
              <xm:sqref>N988</xm:sqref>
            </x14:sparkline>
            <x14:sparkline>
              <xm:f>Review!G989:L989</xm:f>
              <xm:sqref>N989</xm:sqref>
            </x14:sparkline>
            <x14:sparkline>
              <xm:f>Review!G990:L990</xm:f>
              <xm:sqref>N990</xm:sqref>
            </x14:sparkline>
            <x14:sparkline>
              <xm:f>Review!G991:L991</xm:f>
              <xm:sqref>N991</xm:sqref>
            </x14:sparkline>
            <x14:sparkline>
              <xm:f>Review!G992:L992</xm:f>
              <xm:sqref>N992</xm:sqref>
            </x14:sparkline>
            <x14:sparkline>
              <xm:f>Review!G993:L993</xm:f>
              <xm:sqref>N993</xm:sqref>
            </x14:sparkline>
            <x14:sparkline>
              <xm:f>Review!G994:L994</xm:f>
              <xm:sqref>N994</xm:sqref>
            </x14:sparkline>
            <x14:sparkline>
              <xm:f>Review!G995:L995</xm:f>
              <xm:sqref>N995</xm:sqref>
            </x14:sparkline>
            <x14:sparkline>
              <xm:f>Review!G996:L996</xm:f>
              <xm:sqref>N996</xm:sqref>
            </x14:sparkline>
            <x14:sparkline>
              <xm:f>Review!G997:L997</xm:f>
              <xm:sqref>N997</xm:sqref>
            </x14:sparkline>
            <x14:sparkline>
              <xm:f>Review!G998:L998</xm:f>
              <xm:sqref>N998</xm:sqref>
            </x14:sparkline>
            <x14:sparkline>
              <xm:f>Review!G999:L999</xm:f>
              <xm:sqref>N999</xm:sqref>
            </x14:sparkline>
            <x14:sparkline>
              <xm:f>Review!G1000:L1000</xm:f>
              <xm:sqref>N1000</xm:sqref>
            </x14:sparkline>
            <x14:sparkline>
              <xm:f>Review!G1001:L1001</xm:f>
              <xm:sqref>N1001</xm:sqref>
            </x14:sparkline>
            <x14:sparkline>
              <xm:f>Review!G1002:L1002</xm:f>
              <xm:sqref>N1002</xm:sqref>
            </x14:sparkline>
            <x14:sparkline>
              <xm:f>Review!G1003:L1003</xm:f>
              <xm:sqref>N1003</xm:sqref>
            </x14:sparkline>
            <x14:sparkline>
              <xm:f>Review!G1004:L1004</xm:f>
              <xm:sqref>N1004</xm:sqref>
            </x14:sparkline>
            <x14:sparkline>
              <xm:f>Review!G1005:L1005</xm:f>
              <xm:sqref>N1005</xm:sqref>
            </x14:sparkline>
            <x14:sparkline>
              <xm:f>Review!G1006:L1006</xm:f>
              <xm:sqref>N1006</xm:sqref>
            </x14:sparkline>
            <x14:sparkline>
              <xm:f>Review!G1007:L1007</xm:f>
              <xm:sqref>N1007</xm:sqref>
            </x14:sparkline>
            <x14:sparkline>
              <xm:f>Review!G1008:L1008</xm:f>
              <xm:sqref>N1008</xm:sqref>
            </x14:sparkline>
            <x14:sparkline>
              <xm:f>Review!G1009:L1009</xm:f>
              <xm:sqref>N1009</xm:sqref>
            </x14:sparkline>
            <x14:sparkline>
              <xm:f>Review!G1010:L1010</xm:f>
              <xm:sqref>N1010</xm:sqref>
            </x14:sparkline>
            <x14:sparkline>
              <xm:f>Review!G1011:L1011</xm:f>
              <xm:sqref>N1011</xm:sqref>
            </x14:sparkline>
            <x14:sparkline>
              <xm:f>Review!G1012:L1012</xm:f>
              <xm:sqref>N1012</xm:sqref>
            </x14:sparkline>
            <x14:sparkline>
              <xm:f>Review!G1013:L1013</xm:f>
              <xm:sqref>N1013</xm:sqref>
            </x14:sparkline>
            <x14:sparkline>
              <xm:f>Review!G1014:L1014</xm:f>
              <xm:sqref>N1014</xm:sqref>
            </x14:sparkline>
            <x14:sparkline>
              <xm:f>Review!G1015:L1015</xm:f>
              <xm:sqref>N1015</xm:sqref>
            </x14:sparkline>
            <x14:sparkline>
              <xm:f>Review!G1016:L1016</xm:f>
              <xm:sqref>N1016</xm:sqref>
            </x14:sparkline>
            <x14:sparkline>
              <xm:f>Review!G1017:L1017</xm:f>
              <xm:sqref>N1017</xm:sqref>
            </x14:sparkline>
            <x14:sparkline>
              <xm:f>Review!G1018:L1018</xm:f>
              <xm:sqref>N1018</xm:sqref>
            </x14:sparkline>
            <x14:sparkline>
              <xm:f>Review!G1019:L1019</xm:f>
              <xm:sqref>N1019</xm:sqref>
            </x14:sparkline>
            <x14:sparkline>
              <xm:f>Review!G1020:L1020</xm:f>
              <xm:sqref>N1020</xm:sqref>
            </x14:sparkline>
            <x14:sparkline>
              <xm:f>Review!G1021:L1021</xm:f>
              <xm:sqref>N1021</xm:sqref>
            </x14:sparkline>
            <x14:sparkline>
              <xm:f>Review!G1022:L1022</xm:f>
              <xm:sqref>N1022</xm:sqref>
            </x14:sparkline>
            <x14:sparkline>
              <xm:f>Review!G1023:L1023</xm:f>
              <xm:sqref>N1023</xm:sqref>
            </x14:sparkline>
            <x14:sparkline>
              <xm:f>Review!G1024:L1024</xm:f>
              <xm:sqref>N1024</xm:sqref>
            </x14:sparkline>
            <x14:sparkline>
              <xm:f>Review!G1025:L1025</xm:f>
              <xm:sqref>N1025</xm:sqref>
            </x14:sparkline>
            <x14:sparkline>
              <xm:f>Review!G1026:L1026</xm:f>
              <xm:sqref>N1026</xm:sqref>
            </x14:sparkline>
            <x14:sparkline>
              <xm:f>Review!G1027:L1027</xm:f>
              <xm:sqref>N1027</xm:sqref>
            </x14:sparkline>
            <x14:sparkline>
              <xm:f>Review!G1028:L1028</xm:f>
              <xm:sqref>N1028</xm:sqref>
            </x14:sparkline>
            <x14:sparkline>
              <xm:f>Review!G1029:L1029</xm:f>
              <xm:sqref>N1029</xm:sqref>
            </x14:sparkline>
            <x14:sparkline>
              <xm:f>Review!G1030:L1030</xm:f>
              <xm:sqref>N1030</xm:sqref>
            </x14:sparkline>
            <x14:sparkline>
              <xm:f>Review!G1031:L1031</xm:f>
              <xm:sqref>N1031</xm:sqref>
            </x14:sparkline>
            <x14:sparkline>
              <xm:f>Review!G1032:L1032</xm:f>
              <xm:sqref>N1032</xm:sqref>
            </x14:sparkline>
            <x14:sparkline>
              <xm:f>Review!G1033:L1033</xm:f>
              <xm:sqref>N1033</xm:sqref>
            </x14:sparkline>
            <x14:sparkline>
              <xm:f>Review!G1034:L1034</xm:f>
              <xm:sqref>N1034</xm:sqref>
            </x14:sparkline>
            <x14:sparkline>
              <xm:f>Review!G1035:L1035</xm:f>
              <xm:sqref>N1035</xm:sqref>
            </x14:sparkline>
            <x14:sparkline>
              <xm:f>Review!G1036:L1036</xm:f>
              <xm:sqref>N1036</xm:sqref>
            </x14:sparkline>
            <x14:sparkline>
              <xm:f>Review!G1037:L1037</xm:f>
              <xm:sqref>N1037</xm:sqref>
            </x14:sparkline>
            <x14:sparkline>
              <xm:f>Review!G1038:L1038</xm:f>
              <xm:sqref>N1038</xm:sqref>
            </x14:sparkline>
            <x14:sparkline>
              <xm:f>Review!G1039:L1039</xm:f>
              <xm:sqref>N1039</xm:sqref>
            </x14:sparkline>
            <x14:sparkline>
              <xm:f>Review!G1040:L1040</xm:f>
              <xm:sqref>N1040</xm:sqref>
            </x14:sparkline>
            <x14:sparkline>
              <xm:f>Review!G1041:L1041</xm:f>
              <xm:sqref>N1041</xm:sqref>
            </x14:sparkline>
            <x14:sparkline>
              <xm:f>Review!G1042:L1042</xm:f>
              <xm:sqref>N1042</xm:sqref>
            </x14:sparkline>
            <x14:sparkline>
              <xm:f>Review!G1043:L1043</xm:f>
              <xm:sqref>N1043</xm:sqref>
            </x14:sparkline>
            <x14:sparkline>
              <xm:f>Review!G1044:L1044</xm:f>
              <xm:sqref>N1044</xm:sqref>
            </x14:sparkline>
            <x14:sparkline>
              <xm:f>Review!G1045:L1045</xm:f>
              <xm:sqref>N1045</xm:sqref>
            </x14:sparkline>
            <x14:sparkline>
              <xm:f>Review!G1046:L1046</xm:f>
              <xm:sqref>N1046</xm:sqref>
            </x14:sparkline>
            <x14:sparkline>
              <xm:f>Review!G1047:L1047</xm:f>
              <xm:sqref>N1047</xm:sqref>
            </x14:sparkline>
            <x14:sparkline>
              <xm:f>Review!G1048:L1048</xm:f>
              <xm:sqref>N1048</xm:sqref>
            </x14:sparkline>
            <x14:sparkline>
              <xm:f>Review!G1049:L1049</xm:f>
              <xm:sqref>N1049</xm:sqref>
            </x14:sparkline>
            <x14:sparkline>
              <xm:f>Review!G1050:L1050</xm:f>
              <xm:sqref>N1050</xm:sqref>
            </x14:sparkline>
            <x14:sparkline>
              <xm:f>Review!G1051:L1051</xm:f>
              <xm:sqref>N1051</xm:sqref>
            </x14:sparkline>
            <x14:sparkline>
              <xm:f>Review!G1052:L1052</xm:f>
              <xm:sqref>N1052</xm:sqref>
            </x14:sparkline>
            <x14:sparkline>
              <xm:f>Review!G1053:L1053</xm:f>
              <xm:sqref>N1053</xm:sqref>
            </x14:sparkline>
            <x14:sparkline>
              <xm:f>Review!G1054:L1054</xm:f>
              <xm:sqref>N1054</xm:sqref>
            </x14:sparkline>
            <x14:sparkline>
              <xm:f>Review!G1055:L1055</xm:f>
              <xm:sqref>N1055</xm:sqref>
            </x14:sparkline>
            <x14:sparkline>
              <xm:f>Review!G1056:L1056</xm:f>
              <xm:sqref>N1056</xm:sqref>
            </x14:sparkline>
            <x14:sparkline>
              <xm:f>Review!G1057:L1057</xm:f>
              <xm:sqref>N1057</xm:sqref>
            </x14:sparkline>
            <x14:sparkline>
              <xm:f>Review!G1058:L1058</xm:f>
              <xm:sqref>N1058</xm:sqref>
            </x14:sparkline>
            <x14:sparkline>
              <xm:f>Review!G1059:L1059</xm:f>
              <xm:sqref>N1059</xm:sqref>
            </x14:sparkline>
            <x14:sparkline>
              <xm:f>Review!G1060:L1060</xm:f>
              <xm:sqref>N1060</xm:sqref>
            </x14:sparkline>
            <x14:sparkline>
              <xm:f>Review!G1061:L1061</xm:f>
              <xm:sqref>N1061</xm:sqref>
            </x14:sparkline>
            <x14:sparkline>
              <xm:f>Review!G1062:L1062</xm:f>
              <xm:sqref>N1062</xm:sqref>
            </x14:sparkline>
            <x14:sparkline>
              <xm:f>Review!G1063:L1063</xm:f>
              <xm:sqref>N1063</xm:sqref>
            </x14:sparkline>
            <x14:sparkline>
              <xm:f>Review!G1064:L1064</xm:f>
              <xm:sqref>N1064</xm:sqref>
            </x14:sparkline>
            <x14:sparkline>
              <xm:f>Review!G1065:L1065</xm:f>
              <xm:sqref>N1065</xm:sqref>
            </x14:sparkline>
            <x14:sparkline>
              <xm:f>Review!G1066:L1066</xm:f>
              <xm:sqref>N1066</xm:sqref>
            </x14:sparkline>
            <x14:sparkline>
              <xm:f>Review!G1067:L1067</xm:f>
              <xm:sqref>N1067</xm:sqref>
            </x14:sparkline>
            <x14:sparkline>
              <xm:f>Review!G1068:L1068</xm:f>
              <xm:sqref>N1068</xm:sqref>
            </x14:sparkline>
            <x14:sparkline>
              <xm:f>Review!G1069:L1069</xm:f>
              <xm:sqref>N1069</xm:sqref>
            </x14:sparkline>
            <x14:sparkline>
              <xm:f>Review!G1070:L1070</xm:f>
              <xm:sqref>N1070</xm:sqref>
            </x14:sparkline>
            <x14:sparkline>
              <xm:f>Review!G1071:L1071</xm:f>
              <xm:sqref>N1071</xm:sqref>
            </x14:sparkline>
            <x14:sparkline>
              <xm:f>Review!G1072:L1072</xm:f>
              <xm:sqref>N1072</xm:sqref>
            </x14:sparkline>
            <x14:sparkline>
              <xm:f>Review!G1073:L1073</xm:f>
              <xm:sqref>N1073</xm:sqref>
            </x14:sparkline>
            <x14:sparkline>
              <xm:f>Review!G1074:L1074</xm:f>
              <xm:sqref>N1074</xm:sqref>
            </x14:sparkline>
            <x14:sparkline>
              <xm:f>Review!G1075:L1075</xm:f>
              <xm:sqref>N1075</xm:sqref>
            </x14:sparkline>
            <x14:sparkline>
              <xm:f>Review!G1076:L1076</xm:f>
              <xm:sqref>N1076</xm:sqref>
            </x14:sparkline>
            <x14:sparkline>
              <xm:f>Review!G1077:L1077</xm:f>
              <xm:sqref>N1077</xm:sqref>
            </x14:sparkline>
            <x14:sparkline>
              <xm:f>Review!G1078:L1078</xm:f>
              <xm:sqref>N1078</xm:sqref>
            </x14:sparkline>
            <x14:sparkline>
              <xm:f>Review!G1079:L1079</xm:f>
              <xm:sqref>N1079</xm:sqref>
            </x14:sparkline>
            <x14:sparkline>
              <xm:f>Review!G1080:L1080</xm:f>
              <xm:sqref>N1080</xm:sqref>
            </x14:sparkline>
            <x14:sparkline>
              <xm:f>Review!G1081:L1081</xm:f>
              <xm:sqref>N1081</xm:sqref>
            </x14:sparkline>
            <x14:sparkline>
              <xm:f>Review!G1082:L1082</xm:f>
              <xm:sqref>N1082</xm:sqref>
            </x14:sparkline>
            <x14:sparkline>
              <xm:f>Review!G1083:L1083</xm:f>
              <xm:sqref>N1083</xm:sqref>
            </x14:sparkline>
            <x14:sparkline>
              <xm:f>Review!G1084:L1084</xm:f>
              <xm:sqref>N1084</xm:sqref>
            </x14:sparkline>
            <x14:sparkline>
              <xm:f>Review!G1085:L1085</xm:f>
              <xm:sqref>N1085</xm:sqref>
            </x14:sparkline>
            <x14:sparkline>
              <xm:f>Review!G1086:L1086</xm:f>
              <xm:sqref>N1086</xm:sqref>
            </x14:sparkline>
            <x14:sparkline>
              <xm:f>Review!G1087:L1087</xm:f>
              <xm:sqref>N1087</xm:sqref>
            </x14:sparkline>
            <x14:sparkline>
              <xm:f>Review!G1088:L1088</xm:f>
              <xm:sqref>N1088</xm:sqref>
            </x14:sparkline>
            <x14:sparkline>
              <xm:f>Review!G1089:L1089</xm:f>
              <xm:sqref>N1089</xm:sqref>
            </x14:sparkline>
            <x14:sparkline>
              <xm:f>Review!G1090:L1090</xm:f>
              <xm:sqref>N1090</xm:sqref>
            </x14:sparkline>
            <x14:sparkline>
              <xm:f>Review!G1091:L1091</xm:f>
              <xm:sqref>N1091</xm:sqref>
            </x14:sparkline>
            <x14:sparkline>
              <xm:f>Review!G1092:L1092</xm:f>
              <xm:sqref>N1092</xm:sqref>
            </x14:sparkline>
            <x14:sparkline>
              <xm:f>Review!G1093:L1093</xm:f>
              <xm:sqref>N1093</xm:sqref>
            </x14:sparkline>
            <x14:sparkline>
              <xm:f>Review!G1094:L1094</xm:f>
              <xm:sqref>N1094</xm:sqref>
            </x14:sparkline>
            <x14:sparkline>
              <xm:f>Review!G1095:L1095</xm:f>
              <xm:sqref>N1095</xm:sqref>
            </x14:sparkline>
            <x14:sparkline>
              <xm:f>Review!G1096:L1096</xm:f>
              <xm:sqref>N1096</xm:sqref>
            </x14:sparkline>
            <x14:sparkline>
              <xm:f>Review!G1097:L1097</xm:f>
              <xm:sqref>N1097</xm:sqref>
            </x14:sparkline>
            <x14:sparkline>
              <xm:f>Review!G1098:L1098</xm:f>
              <xm:sqref>N1098</xm:sqref>
            </x14:sparkline>
            <x14:sparkline>
              <xm:f>Review!G1099:L1099</xm:f>
              <xm:sqref>N1099</xm:sqref>
            </x14:sparkline>
            <x14:sparkline>
              <xm:f>Review!G1100:L1100</xm:f>
              <xm:sqref>N1100</xm:sqref>
            </x14:sparkline>
            <x14:sparkline>
              <xm:f>Review!G1101:L1101</xm:f>
              <xm:sqref>N1101</xm:sqref>
            </x14:sparkline>
            <x14:sparkline>
              <xm:f>Review!G1102:L1102</xm:f>
              <xm:sqref>N1102</xm:sqref>
            </x14:sparkline>
            <x14:sparkline>
              <xm:f>Review!G1103:L1103</xm:f>
              <xm:sqref>N1103</xm:sqref>
            </x14:sparkline>
            <x14:sparkline>
              <xm:f>Review!G1104:L1104</xm:f>
              <xm:sqref>N1104</xm:sqref>
            </x14:sparkline>
            <x14:sparkline>
              <xm:f>Review!G1105:L1105</xm:f>
              <xm:sqref>N1105</xm:sqref>
            </x14:sparkline>
            <x14:sparkline>
              <xm:f>Review!G1106:L1106</xm:f>
              <xm:sqref>N1106</xm:sqref>
            </x14:sparkline>
            <x14:sparkline>
              <xm:f>Review!G1107:L1107</xm:f>
              <xm:sqref>N1107</xm:sqref>
            </x14:sparkline>
            <x14:sparkline>
              <xm:f>Review!G1108:L1108</xm:f>
              <xm:sqref>N1108</xm:sqref>
            </x14:sparkline>
            <x14:sparkline>
              <xm:f>Review!G1109:L1109</xm:f>
              <xm:sqref>N1109</xm:sqref>
            </x14:sparkline>
            <x14:sparkline>
              <xm:f>Review!G1110:L1110</xm:f>
              <xm:sqref>N1110</xm:sqref>
            </x14:sparkline>
            <x14:sparkline>
              <xm:f>Review!G1111:L1111</xm:f>
              <xm:sqref>N1111</xm:sqref>
            </x14:sparkline>
            <x14:sparkline>
              <xm:f>Review!G1112:L1112</xm:f>
              <xm:sqref>N1112</xm:sqref>
            </x14:sparkline>
            <x14:sparkline>
              <xm:f>Review!G1113:L1113</xm:f>
              <xm:sqref>N1113</xm:sqref>
            </x14:sparkline>
            <x14:sparkline>
              <xm:f>Review!G1114:L1114</xm:f>
              <xm:sqref>N1114</xm:sqref>
            </x14:sparkline>
            <x14:sparkline>
              <xm:f>Review!G1115:L1115</xm:f>
              <xm:sqref>N1115</xm:sqref>
            </x14:sparkline>
            <x14:sparkline>
              <xm:f>Review!G1116:L1116</xm:f>
              <xm:sqref>N1116</xm:sqref>
            </x14:sparkline>
            <x14:sparkline>
              <xm:f>Review!G1117:L1117</xm:f>
              <xm:sqref>N1117</xm:sqref>
            </x14:sparkline>
            <x14:sparkline>
              <xm:f>Review!G1118:L1118</xm:f>
              <xm:sqref>N1118</xm:sqref>
            </x14:sparkline>
            <x14:sparkline>
              <xm:f>Review!G1119:L1119</xm:f>
              <xm:sqref>N1119</xm:sqref>
            </x14:sparkline>
            <x14:sparkline>
              <xm:f>Review!G1120:L1120</xm:f>
              <xm:sqref>N1120</xm:sqref>
            </x14:sparkline>
            <x14:sparkline>
              <xm:f>Review!G1121:L1121</xm:f>
              <xm:sqref>N1121</xm:sqref>
            </x14:sparkline>
            <x14:sparkline>
              <xm:f>Review!G1122:L1122</xm:f>
              <xm:sqref>N1122</xm:sqref>
            </x14:sparkline>
            <x14:sparkline>
              <xm:f>Review!G1123:L1123</xm:f>
              <xm:sqref>N1123</xm:sqref>
            </x14:sparkline>
            <x14:sparkline>
              <xm:f>Review!G1124:L1124</xm:f>
              <xm:sqref>N1124</xm:sqref>
            </x14:sparkline>
            <x14:sparkline>
              <xm:f>Review!G1125:L1125</xm:f>
              <xm:sqref>N1125</xm:sqref>
            </x14:sparkline>
            <x14:sparkline>
              <xm:f>Review!G1126:L1126</xm:f>
              <xm:sqref>N1126</xm:sqref>
            </x14:sparkline>
            <x14:sparkline>
              <xm:f>Review!G1127:L1127</xm:f>
              <xm:sqref>N1127</xm:sqref>
            </x14:sparkline>
            <x14:sparkline>
              <xm:f>Review!G1128:L1128</xm:f>
              <xm:sqref>N1128</xm:sqref>
            </x14:sparkline>
            <x14:sparkline>
              <xm:f>Review!G1129:L1129</xm:f>
              <xm:sqref>N1129</xm:sqref>
            </x14:sparkline>
            <x14:sparkline>
              <xm:f>Review!G1130:L1130</xm:f>
              <xm:sqref>N1130</xm:sqref>
            </x14:sparkline>
            <x14:sparkline>
              <xm:f>Review!G1131:L1131</xm:f>
              <xm:sqref>N1131</xm:sqref>
            </x14:sparkline>
            <x14:sparkline>
              <xm:f>Review!G1132:L1132</xm:f>
              <xm:sqref>N1132</xm:sqref>
            </x14:sparkline>
            <x14:sparkline>
              <xm:f>Review!G1133:L1133</xm:f>
              <xm:sqref>N1133</xm:sqref>
            </x14:sparkline>
            <x14:sparkline>
              <xm:f>Review!G1134:L1134</xm:f>
              <xm:sqref>N1134</xm:sqref>
            </x14:sparkline>
            <x14:sparkline>
              <xm:f>Review!G1135:L1135</xm:f>
              <xm:sqref>N1135</xm:sqref>
            </x14:sparkline>
            <x14:sparkline>
              <xm:f>Review!G1136:L1136</xm:f>
              <xm:sqref>N1136</xm:sqref>
            </x14:sparkline>
            <x14:sparkline>
              <xm:f>Review!G1137:L1137</xm:f>
              <xm:sqref>N1137</xm:sqref>
            </x14:sparkline>
            <x14:sparkline>
              <xm:f>Review!G1138:L1138</xm:f>
              <xm:sqref>N1138</xm:sqref>
            </x14:sparkline>
            <x14:sparkline>
              <xm:f>Review!G1139:L1139</xm:f>
              <xm:sqref>N1139</xm:sqref>
            </x14:sparkline>
            <x14:sparkline>
              <xm:f>Review!G1140:L1140</xm:f>
              <xm:sqref>N1140</xm:sqref>
            </x14:sparkline>
            <x14:sparkline>
              <xm:f>Review!G1141:L1141</xm:f>
              <xm:sqref>N1141</xm:sqref>
            </x14:sparkline>
            <x14:sparkline>
              <xm:f>Review!G1142:L1142</xm:f>
              <xm:sqref>N1142</xm:sqref>
            </x14:sparkline>
            <x14:sparkline>
              <xm:f>Review!G1143:L1143</xm:f>
              <xm:sqref>N1143</xm:sqref>
            </x14:sparkline>
            <x14:sparkline>
              <xm:f>Review!G1144:L1144</xm:f>
              <xm:sqref>N1144</xm:sqref>
            </x14:sparkline>
            <x14:sparkline>
              <xm:f>Review!G1145:L1145</xm:f>
              <xm:sqref>N1145</xm:sqref>
            </x14:sparkline>
            <x14:sparkline>
              <xm:f>Review!G1146:L1146</xm:f>
              <xm:sqref>N1146</xm:sqref>
            </x14:sparkline>
            <x14:sparkline>
              <xm:f>Review!G1147:L1147</xm:f>
              <xm:sqref>N1147</xm:sqref>
            </x14:sparkline>
            <x14:sparkline>
              <xm:f>Review!G1148:L1148</xm:f>
              <xm:sqref>N1148</xm:sqref>
            </x14:sparkline>
            <x14:sparkline>
              <xm:f>Review!G1149:L1149</xm:f>
              <xm:sqref>N1149</xm:sqref>
            </x14:sparkline>
            <x14:sparkline>
              <xm:f>Review!G1150:L1150</xm:f>
              <xm:sqref>N1150</xm:sqref>
            </x14:sparkline>
            <x14:sparkline>
              <xm:f>Review!G1151:L1151</xm:f>
              <xm:sqref>N1151</xm:sqref>
            </x14:sparkline>
            <x14:sparkline>
              <xm:f>Review!G1152:L1152</xm:f>
              <xm:sqref>N1152</xm:sqref>
            </x14:sparkline>
            <x14:sparkline>
              <xm:f>Review!G1153:L1153</xm:f>
              <xm:sqref>N1153</xm:sqref>
            </x14:sparkline>
            <x14:sparkline>
              <xm:f>Review!G1154:L1154</xm:f>
              <xm:sqref>N1154</xm:sqref>
            </x14:sparkline>
            <x14:sparkline>
              <xm:f>Review!G1155:L1155</xm:f>
              <xm:sqref>N1155</xm:sqref>
            </x14:sparkline>
            <x14:sparkline>
              <xm:f>Review!G1156:L1156</xm:f>
              <xm:sqref>N1156</xm:sqref>
            </x14:sparkline>
            <x14:sparkline>
              <xm:f>Review!G1157:L1157</xm:f>
              <xm:sqref>N1157</xm:sqref>
            </x14:sparkline>
            <x14:sparkline>
              <xm:f>Review!G1158:L1158</xm:f>
              <xm:sqref>N1158</xm:sqref>
            </x14:sparkline>
            <x14:sparkline>
              <xm:f>Review!G1159:L1159</xm:f>
              <xm:sqref>N1159</xm:sqref>
            </x14:sparkline>
            <x14:sparkline>
              <xm:f>Review!G1160:L1160</xm:f>
              <xm:sqref>N1160</xm:sqref>
            </x14:sparkline>
            <x14:sparkline>
              <xm:f>Review!G1161:L1161</xm:f>
              <xm:sqref>N1161</xm:sqref>
            </x14:sparkline>
            <x14:sparkline>
              <xm:f>Review!G1162:L1162</xm:f>
              <xm:sqref>N1162</xm:sqref>
            </x14:sparkline>
            <x14:sparkline>
              <xm:f>Review!G1163:L1163</xm:f>
              <xm:sqref>N1163</xm:sqref>
            </x14:sparkline>
            <x14:sparkline>
              <xm:f>Review!G1164:L1164</xm:f>
              <xm:sqref>N1164</xm:sqref>
            </x14:sparkline>
            <x14:sparkline>
              <xm:f>Review!G1165:L1165</xm:f>
              <xm:sqref>N1165</xm:sqref>
            </x14:sparkline>
            <x14:sparkline>
              <xm:f>Review!G1166:L1166</xm:f>
              <xm:sqref>N1166</xm:sqref>
            </x14:sparkline>
            <x14:sparkline>
              <xm:f>Review!G1167:L1167</xm:f>
              <xm:sqref>N1167</xm:sqref>
            </x14:sparkline>
            <x14:sparkline>
              <xm:f>Review!G1168:L1168</xm:f>
              <xm:sqref>N1168</xm:sqref>
            </x14:sparkline>
            <x14:sparkline>
              <xm:f>Review!G1169:L1169</xm:f>
              <xm:sqref>N1169</xm:sqref>
            </x14:sparkline>
            <x14:sparkline>
              <xm:f>Review!G1170:L1170</xm:f>
              <xm:sqref>N1170</xm:sqref>
            </x14:sparkline>
            <x14:sparkline>
              <xm:f>Review!G1171:L1171</xm:f>
              <xm:sqref>N1171</xm:sqref>
            </x14:sparkline>
            <x14:sparkline>
              <xm:f>Review!G1172:L1172</xm:f>
              <xm:sqref>N1172</xm:sqref>
            </x14:sparkline>
            <x14:sparkline>
              <xm:f>Review!G1173:L1173</xm:f>
              <xm:sqref>N1173</xm:sqref>
            </x14:sparkline>
            <x14:sparkline>
              <xm:f>Review!G1174:L1174</xm:f>
              <xm:sqref>N1174</xm:sqref>
            </x14:sparkline>
            <x14:sparkline>
              <xm:f>Review!G1175:L1175</xm:f>
              <xm:sqref>N1175</xm:sqref>
            </x14:sparkline>
            <x14:sparkline>
              <xm:f>Review!G1176:L1176</xm:f>
              <xm:sqref>N1176</xm:sqref>
            </x14:sparkline>
            <x14:sparkline>
              <xm:f>Review!G1177:L1177</xm:f>
              <xm:sqref>N1177</xm:sqref>
            </x14:sparkline>
            <x14:sparkline>
              <xm:f>Review!G1178:L1178</xm:f>
              <xm:sqref>N1178</xm:sqref>
            </x14:sparkline>
            <x14:sparkline>
              <xm:f>Review!G1179:L1179</xm:f>
              <xm:sqref>N1179</xm:sqref>
            </x14:sparkline>
            <x14:sparkline>
              <xm:f>Review!G1180:L1180</xm:f>
              <xm:sqref>N1180</xm:sqref>
            </x14:sparkline>
            <x14:sparkline>
              <xm:f>Review!G1181:L1181</xm:f>
              <xm:sqref>N1181</xm:sqref>
            </x14:sparkline>
            <x14:sparkline>
              <xm:f>Review!G1182:L1182</xm:f>
              <xm:sqref>N1182</xm:sqref>
            </x14:sparkline>
            <x14:sparkline>
              <xm:f>Review!G1183:L1183</xm:f>
              <xm:sqref>N1183</xm:sqref>
            </x14:sparkline>
            <x14:sparkline>
              <xm:f>Review!G1184:L1184</xm:f>
              <xm:sqref>N1184</xm:sqref>
            </x14:sparkline>
            <x14:sparkline>
              <xm:f>Review!G1185:L1185</xm:f>
              <xm:sqref>N1185</xm:sqref>
            </x14:sparkline>
            <x14:sparkline>
              <xm:f>Review!G1186:L1186</xm:f>
              <xm:sqref>N1186</xm:sqref>
            </x14:sparkline>
            <x14:sparkline>
              <xm:f>Review!G1187:L1187</xm:f>
              <xm:sqref>N1187</xm:sqref>
            </x14:sparkline>
            <x14:sparkline>
              <xm:f>Review!G1188:L1188</xm:f>
              <xm:sqref>N1188</xm:sqref>
            </x14:sparkline>
            <x14:sparkline>
              <xm:f>Review!G1189:L1189</xm:f>
              <xm:sqref>N1189</xm:sqref>
            </x14:sparkline>
            <x14:sparkline>
              <xm:f>Review!G1190:L1190</xm:f>
              <xm:sqref>N1190</xm:sqref>
            </x14:sparkline>
            <x14:sparkline>
              <xm:f>Review!G1191:L1191</xm:f>
              <xm:sqref>N1191</xm:sqref>
            </x14:sparkline>
            <x14:sparkline>
              <xm:f>Review!G1192:L1192</xm:f>
              <xm:sqref>N1192</xm:sqref>
            </x14:sparkline>
            <x14:sparkline>
              <xm:f>Review!G1193:L1193</xm:f>
              <xm:sqref>N1193</xm:sqref>
            </x14:sparkline>
            <x14:sparkline>
              <xm:f>Review!G1194:L1194</xm:f>
              <xm:sqref>N1194</xm:sqref>
            </x14:sparkline>
            <x14:sparkline>
              <xm:f>Review!G1195:L1195</xm:f>
              <xm:sqref>N1195</xm:sqref>
            </x14:sparkline>
            <x14:sparkline>
              <xm:f>Review!G1196:L1196</xm:f>
              <xm:sqref>N1196</xm:sqref>
            </x14:sparkline>
            <x14:sparkline>
              <xm:f>Review!G1197:L1197</xm:f>
              <xm:sqref>N1197</xm:sqref>
            </x14:sparkline>
            <x14:sparkline>
              <xm:f>Review!G1198:L1198</xm:f>
              <xm:sqref>N1198</xm:sqref>
            </x14:sparkline>
            <x14:sparkline>
              <xm:f>Review!G1199:L1199</xm:f>
              <xm:sqref>N1199</xm:sqref>
            </x14:sparkline>
            <x14:sparkline>
              <xm:f>Review!G1200:L1200</xm:f>
              <xm:sqref>N1200</xm:sqref>
            </x14:sparkline>
            <x14:sparkline>
              <xm:f>Review!G1201:L1201</xm:f>
              <xm:sqref>N1201</xm:sqref>
            </x14:sparkline>
            <x14:sparkline>
              <xm:f>Review!G1202:L1202</xm:f>
              <xm:sqref>N1202</xm:sqref>
            </x14:sparkline>
            <x14:sparkline>
              <xm:f>Review!G1203:L1203</xm:f>
              <xm:sqref>N1203</xm:sqref>
            </x14:sparkline>
            <x14:sparkline>
              <xm:f>Review!G1204:L1204</xm:f>
              <xm:sqref>N1204</xm:sqref>
            </x14:sparkline>
            <x14:sparkline>
              <xm:f>Review!G1205:L1205</xm:f>
              <xm:sqref>N1205</xm:sqref>
            </x14:sparkline>
            <x14:sparkline>
              <xm:f>Review!G1206:L1206</xm:f>
              <xm:sqref>N1206</xm:sqref>
            </x14:sparkline>
            <x14:sparkline>
              <xm:f>Review!G1207:L1207</xm:f>
              <xm:sqref>N1207</xm:sqref>
            </x14:sparkline>
            <x14:sparkline>
              <xm:f>Review!G1208:L1208</xm:f>
              <xm:sqref>N1208</xm:sqref>
            </x14:sparkline>
            <x14:sparkline>
              <xm:f>Review!G1209:L1209</xm:f>
              <xm:sqref>N1209</xm:sqref>
            </x14:sparkline>
            <x14:sparkline>
              <xm:f>Review!G1210:L1210</xm:f>
              <xm:sqref>N1210</xm:sqref>
            </x14:sparkline>
            <x14:sparkline>
              <xm:f>Review!G1211:L1211</xm:f>
              <xm:sqref>N1211</xm:sqref>
            </x14:sparkline>
            <x14:sparkline>
              <xm:f>Review!G1212:L1212</xm:f>
              <xm:sqref>N1212</xm:sqref>
            </x14:sparkline>
            <x14:sparkline>
              <xm:f>Review!G1213:L1213</xm:f>
              <xm:sqref>N1213</xm:sqref>
            </x14:sparkline>
            <x14:sparkline>
              <xm:f>Review!G1214:L1214</xm:f>
              <xm:sqref>N1214</xm:sqref>
            </x14:sparkline>
            <x14:sparkline>
              <xm:f>Review!G1215:L1215</xm:f>
              <xm:sqref>N1215</xm:sqref>
            </x14:sparkline>
            <x14:sparkline>
              <xm:f>Review!G1216:L1216</xm:f>
              <xm:sqref>N1216</xm:sqref>
            </x14:sparkline>
            <x14:sparkline>
              <xm:f>Review!G1217:L1217</xm:f>
              <xm:sqref>N1217</xm:sqref>
            </x14:sparkline>
            <x14:sparkline>
              <xm:f>Review!G1218:L1218</xm:f>
              <xm:sqref>N1218</xm:sqref>
            </x14:sparkline>
            <x14:sparkline>
              <xm:f>Review!G1219:L1219</xm:f>
              <xm:sqref>N1219</xm:sqref>
            </x14:sparkline>
            <x14:sparkline>
              <xm:f>Review!G1220:L1220</xm:f>
              <xm:sqref>N1220</xm:sqref>
            </x14:sparkline>
            <x14:sparkline>
              <xm:f>Review!G1221:L1221</xm:f>
              <xm:sqref>N1221</xm:sqref>
            </x14:sparkline>
            <x14:sparkline>
              <xm:f>Review!G1222:L1222</xm:f>
              <xm:sqref>N1222</xm:sqref>
            </x14:sparkline>
            <x14:sparkline>
              <xm:f>Review!G1223:L1223</xm:f>
              <xm:sqref>N1223</xm:sqref>
            </x14:sparkline>
            <x14:sparkline>
              <xm:f>Review!G1224:L1224</xm:f>
              <xm:sqref>N1224</xm:sqref>
            </x14:sparkline>
            <x14:sparkline>
              <xm:f>Review!G1225:L1225</xm:f>
              <xm:sqref>N1225</xm:sqref>
            </x14:sparkline>
            <x14:sparkline>
              <xm:f>Review!G1226:L1226</xm:f>
              <xm:sqref>N1226</xm:sqref>
            </x14:sparkline>
            <x14:sparkline>
              <xm:f>Review!G1227:L1227</xm:f>
              <xm:sqref>N1227</xm:sqref>
            </x14:sparkline>
            <x14:sparkline>
              <xm:f>Review!G1228:L1228</xm:f>
              <xm:sqref>N1228</xm:sqref>
            </x14:sparkline>
            <x14:sparkline>
              <xm:f>Review!G1229:L1229</xm:f>
              <xm:sqref>N1229</xm:sqref>
            </x14:sparkline>
            <x14:sparkline>
              <xm:f>Review!G1230:L1230</xm:f>
              <xm:sqref>N1230</xm:sqref>
            </x14:sparkline>
            <x14:sparkline>
              <xm:f>Review!G1231:L1231</xm:f>
              <xm:sqref>N1231</xm:sqref>
            </x14:sparkline>
            <x14:sparkline>
              <xm:f>Review!G1232:L1232</xm:f>
              <xm:sqref>N1232</xm:sqref>
            </x14:sparkline>
            <x14:sparkline>
              <xm:f>Review!G1233:L1233</xm:f>
              <xm:sqref>N1233</xm:sqref>
            </x14:sparkline>
            <x14:sparkline>
              <xm:f>Review!G1234:L1234</xm:f>
              <xm:sqref>N1234</xm:sqref>
            </x14:sparkline>
            <x14:sparkline>
              <xm:f>Review!G1235:L1235</xm:f>
              <xm:sqref>N1235</xm:sqref>
            </x14:sparkline>
            <x14:sparkline>
              <xm:f>Review!G1236:L1236</xm:f>
              <xm:sqref>N1236</xm:sqref>
            </x14:sparkline>
            <x14:sparkline>
              <xm:f>Review!G1237:L1237</xm:f>
              <xm:sqref>N1237</xm:sqref>
            </x14:sparkline>
            <x14:sparkline>
              <xm:f>Review!G1238:L1238</xm:f>
              <xm:sqref>N1238</xm:sqref>
            </x14:sparkline>
            <x14:sparkline>
              <xm:f>Review!G1239:L1239</xm:f>
              <xm:sqref>N1239</xm:sqref>
            </x14:sparkline>
            <x14:sparkline>
              <xm:f>Review!G1240:L1240</xm:f>
              <xm:sqref>N1240</xm:sqref>
            </x14:sparkline>
            <x14:sparkline>
              <xm:f>Review!G1241:L1241</xm:f>
              <xm:sqref>N1241</xm:sqref>
            </x14:sparkline>
            <x14:sparkline>
              <xm:f>Review!G1242:L1242</xm:f>
              <xm:sqref>N1242</xm:sqref>
            </x14:sparkline>
            <x14:sparkline>
              <xm:f>Review!G1243:L1243</xm:f>
              <xm:sqref>N1243</xm:sqref>
            </x14:sparkline>
            <x14:sparkline>
              <xm:f>Review!G1244:L1244</xm:f>
              <xm:sqref>N1244</xm:sqref>
            </x14:sparkline>
            <x14:sparkline>
              <xm:f>Review!G1245:L1245</xm:f>
              <xm:sqref>N1245</xm:sqref>
            </x14:sparkline>
            <x14:sparkline>
              <xm:f>Review!G1246:L1246</xm:f>
              <xm:sqref>N1246</xm:sqref>
            </x14:sparkline>
            <x14:sparkline>
              <xm:f>Review!G1247:L1247</xm:f>
              <xm:sqref>N1247</xm:sqref>
            </x14:sparkline>
            <x14:sparkline>
              <xm:f>Review!G1248:L1248</xm:f>
              <xm:sqref>N1248</xm:sqref>
            </x14:sparkline>
            <x14:sparkline>
              <xm:f>Review!G1249:L1249</xm:f>
              <xm:sqref>N1249</xm:sqref>
            </x14:sparkline>
            <x14:sparkline>
              <xm:f>Review!G1250:L1250</xm:f>
              <xm:sqref>N1250</xm:sqref>
            </x14:sparkline>
            <x14:sparkline>
              <xm:f>Review!G1251:L1251</xm:f>
              <xm:sqref>N1251</xm:sqref>
            </x14:sparkline>
            <x14:sparkline>
              <xm:f>Review!G1252:L1252</xm:f>
              <xm:sqref>N1252</xm:sqref>
            </x14:sparkline>
            <x14:sparkline>
              <xm:f>Review!G1253:L1253</xm:f>
              <xm:sqref>N1253</xm:sqref>
            </x14:sparkline>
            <x14:sparkline>
              <xm:f>Review!G1254:L1254</xm:f>
              <xm:sqref>N1254</xm:sqref>
            </x14:sparkline>
            <x14:sparkline>
              <xm:f>Review!G1255:L1255</xm:f>
              <xm:sqref>N1255</xm:sqref>
            </x14:sparkline>
            <x14:sparkline>
              <xm:f>Review!G1256:L1256</xm:f>
              <xm:sqref>N1256</xm:sqref>
            </x14:sparkline>
            <x14:sparkline>
              <xm:f>Review!G1257:L1257</xm:f>
              <xm:sqref>N1257</xm:sqref>
            </x14:sparkline>
            <x14:sparkline>
              <xm:f>Review!G1258:L1258</xm:f>
              <xm:sqref>N1258</xm:sqref>
            </x14:sparkline>
            <x14:sparkline>
              <xm:f>Review!G1259:L1259</xm:f>
              <xm:sqref>N1259</xm:sqref>
            </x14:sparkline>
            <x14:sparkline>
              <xm:f>Review!G1260:L1260</xm:f>
              <xm:sqref>N1260</xm:sqref>
            </x14:sparkline>
            <x14:sparkline>
              <xm:f>Review!G1261:L1261</xm:f>
              <xm:sqref>N1261</xm:sqref>
            </x14:sparkline>
            <x14:sparkline>
              <xm:f>Review!G1262:L1262</xm:f>
              <xm:sqref>N1262</xm:sqref>
            </x14:sparkline>
            <x14:sparkline>
              <xm:f>Review!G1263:L1263</xm:f>
              <xm:sqref>N1263</xm:sqref>
            </x14:sparkline>
            <x14:sparkline>
              <xm:f>Review!G1264:L1264</xm:f>
              <xm:sqref>N1264</xm:sqref>
            </x14:sparkline>
            <x14:sparkline>
              <xm:f>Review!G1265:L1265</xm:f>
              <xm:sqref>N1265</xm:sqref>
            </x14:sparkline>
            <x14:sparkline>
              <xm:f>Review!G1266:L1266</xm:f>
              <xm:sqref>N1266</xm:sqref>
            </x14:sparkline>
            <x14:sparkline>
              <xm:f>Review!G1267:L1267</xm:f>
              <xm:sqref>N1267</xm:sqref>
            </x14:sparkline>
            <x14:sparkline>
              <xm:f>Review!G1268:L1268</xm:f>
              <xm:sqref>N1268</xm:sqref>
            </x14:sparkline>
            <x14:sparkline>
              <xm:f>Review!G1269:L1269</xm:f>
              <xm:sqref>N1269</xm:sqref>
            </x14:sparkline>
            <x14:sparkline>
              <xm:f>Review!G1270:L1270</xm:f>
              <xm:sqref>N1270</xm:sqref>
            </x14:sparkline>
            <x14:sparkline>
              <xm:f>Review!G1271:L1271</xm:f>
              <xm:sqref>N1271</xm:sqref>
            </x14:sparkline>
            <x14:sparkline>
              <xm:f>Review!G1272:L1272</xm:f>
              <xm:sqref>N1272</xm:sqref>
            </x14:sparkline>
            <x14:sparkline>
              <xm:f>Review!G1273:L1273</xm:f>
              <xm:sqref>N1273</xm:sqref>
            </x14:sparkline>
            <x14:sparkline>
              <xm:f>Review!G1274:L1274</xm:f>
              <xm:sqref>N1274</xm:sqref>
            </x14:sparkline>
            <x14:sparkline>
              <xm:f>Review!G1275:L1275</xm:f>
              <xm:sqref>N1275</xm:sqref>
            </x14:sparkline>
            <x14:sparkline>
              <xm:f>Review!G1276:L1276</xm:f>
              <xm:sqref>N1276</xm:sqref>
            </x14:sparkline>
            <x14:sparkline>
              <xm:f>Review!G1277:L1277</xm:f>
              <xm:sqref>N1277</xm:sqref>
            </x14:sparkline>
            <x14:sparkline>
              <xm:f>Review!G1278:L1278</xm:f>
              <xm:sqref>N1278</xm:sqref>
            </x14:sparkline>
            <x14:sparkline>
              <xm:f>Review!G1279:L1279</xm:f>
              <xm:sqref>N1279</xm:sqref>
            </x14:sparkline>
            <x14:sparkline>
              <xm:f>Review!G1280:L1280</xm:f>
              <xm:sqref>N1280</xm:sqref>
            </x14:sparkline>
            <x14:sparkline>
              <xm:f>Review!G1281:L1281</xm:f>
              <xm:sqref>N1281</xm:sqref>
            </x14:sparkline>
            <x14:sparkline>
              <xm:f>Review!G1282:L1282</xm:f>
              <xm:sqref>N1282</xm:sqref>
            </x14:sparkline>
            <x14:sparkline>
              <xm:f>Review!G1283:L1283</xm:f>
              <xm:sqref>N1283</xm:sqref>
            </x14:sparkline>
            <x14:sparkline>
              <xm:f>Review!G1284:L1284</xm:f>
              <xm:sqref>N1284</xm:sqref>
            </x14:sparkline>
            <x14:sparkline>
              <xm:f>Review!G1285:L1285</xm:f>
              <xm:sqref>N1285</xm:sqref>
            </x14:sparkline>
            <x14:sparkline>
              <xm:f>Review!G1286:L1286</xm:f>
              <xm:sqref>N1286</xm:sqref>
            </x14:sparkline>
            <x14:sparkline>
              <xm:f>Review!G1287:L1287</xm:f>
              <xm:sqref>N1287</xm:sqref>
            </x14:sparkline>
            <x14:sparkline>
              <xm:f>Review!G1288:L1288</xm:f>
              <xm:sqref>N1288</xm:sqref>
            </x14:sparkline>
            <x14:sparkline>
              <xm:f>Review!G1289:L1289</xm:f>
              <xm:sqref>N1289</xm:sqref>
            </x14:sparkline>
            <x14:sparkline>
              <xm:f>Review!G1290:L1290</xm:f>
              <xm:sqref>N1290</xm:sqref>
            </x14:sparkline>
            <x14:sparkline>
              <xm:f>Review!G1291:L1291</xm:f>
              <xm:sqref>N1291</xm:sqref>
            </x14:sparkline>
            <x14:sparkline>
              <xm:f>Review!G1292:L1292</xm:f>
              <xm:sqref>N1292</xm:sqref>
            </x14:sparkline>
            <x14:sparkline>
              <xm:f>Review!G1293:L1293</xm:f>
              <xm:sqref>N1293</xm:sqref>
            </x14:sparkline>
            <x14:sparkline>
              <xm:f>Review!G1294:L1294</xm:f>
              <xm:sqref>N1294</xm:sqref>
            </x14:sparkline>
            <x14:sparkline>
              <xm:f>Review!G1295:L1295</xm:f>
              <xm:sqref>N1295</xm:sqref>
            </x14:sparkline>
            <x14:sparkline>
              <xm:f>Review!G1296:L1296</xm:f>
              <xm:sqref>N1296</xm:sqref>
            </x14:sparkline>
            <x14:sparkline>
              <xm:f>Review!G1297:L1297</xm:f>
              <xm:sqref>N1297</xm:sqref>
            </x14:sparkline>
            <x14:sparkline>
              <xm:f>Review!G1298:L1298</xm:f>
              <xm:sqref>N1298</xm:sqref>
            </x14:sparkline>
            <x14:sparkline>
              <xm:f>Review!G1299:L1299</xm:f>
              <xm:sqref>N1299</xm:sqref>
            </x14:sparkline>
            <x14:sparkline>
              <xm:f>Review!G1300:L1300</xm:f>
              <xm:sqref>N1300</xm:sqref>
            </x14:sparkline>
            <x14:sparkline>
              <xm:f>Review!G1301:L1301</xm:f>
              <xm:sqref>N1301</xm:sqref>
            </x14:sparkline>
            <x14:sparkline>
              <xm:f>Review!G1302:L1302</xm:f>
              <xm:sqref>N1302</xm:sqref>
            </x14:sparkline>
            <x14:sparkline>
              <xm:f>Review!G1303:L1303</xm:f>
              <xm:sqref>N1303</xm:sqref>
            </x14:sparkline>
            <x14:sparkline>
              <xm:f>Review!G1304:L1304</xm:f>
              <xm:sqref>N1304</xm:sqref>
            </x14:sparkline>
            <x14:sparkline>
              <xm:f>Review!G1305:L1305</xm:f>
              <xm:sqref>N1305</xm:sqref>
            </x14:sparkline>
            <x14:sparkline>
              <xm:f>Review!G1306:L1306</xm:f>
              <xm:sqref>N1306</xm:sqref>
            </x14:sparkline>
            <x14:sparkline>
              <xm:f>Review!G1307:L1307</xm:f>
              <xm:sqref>N1307</xm:sqref>
            </x14:sparkline>
            <x14:sparkline>
              <xm:f>Review!G1308:L1308</xm:f>
              <xm:sqref>N1308</xm:sqref>
            </x14:sparkline>
            <x14:sparkline>
              <xm:f>Review!G1309:L1309</xm:f>
              <xm:sqref>N1309</xm:sqref>
            </x14:sparkline>
            <x14:sparkline>
              <xm:f>Review!G1310:L1310</xm:f>
              <xm:sqref>N1310</xm:sqref>
            </x14:sparkline>
            <x14:sparkline>
              <xm:f>Review!G1311:L1311</xm:f>
              <xm:sqref>N1311</xm:sqref>
            </x14:sparkline>
            <x14:sparkline>
              <xm:f>Review!G1312:L1312</xm:f>
              <xm:sqref>N1312</xm:sqref>
            </x14:sparkline>
            <x14:sparkline>
              <xm:f>Review!G1313:L1313</xm:f>
              <xm:sqref>N1313</xm:sqref>
            </x14:sparkline>
            <x14:sparkline>
              <xm:f>Review!G1314:L1314</xm:f>
              <xm:sqref>N1314</xm:sqref>
            </x14:sparkline>
            <x14:sparkline>
              <xm:f>Review!G1315:L1315</xm:f>
              <xm:sqref>N1315</xm:sqref>
            </x14:sparkline>
            <x14:sparkline>
              <xm:f>Review!G1316:L1316</xm:f>
              <xm:sqref>N1316</xm:sqref>
            </x14:sparkline>
            <x14:sparkline>
              <xm:f>Review!G1317:L1317</xm:f>
              <xm:sqref>N1317</xm:sqref>
            </x14:sparkline>
            <x14:sparkline>
              <xm:f>Review!G1318:L1318</xm:f>
              <xm:sqref>N1318</xm:sqref>
            </x14:sparkline>
            <x14:sparkline>
              <xm:f>Review!G1319:L1319</xm:f>
              <xm:sqref>N1319</xm:sqref>
            </x14:sparkline>
            <x14:sparkline>
              <xm:f>Review!G1320:L1320</xm:f>
              <xm:sqref>N1320</xm:sqref>
            </x14:sparkline>
            <x14:sparkline>
              <xm:f>Review!G1321:L1321</xm:f>
              <xm:sqref>N1321</xm:sqref>
            </x14:sparkline>
            <x14:sparkline>
              <xm:f>Review!G1322:L1322</xm:f>
              <xm:sqref>N1322</xm:sqref>
            </x14:sparkline>
            <x14:sparkline>
              <xm:f>Review!G1323:L1323</xm:f>
              <xm:sqref>N1323</xm:sqref>
            </x14:sparkline>
            <x14:sparkline>
              <xm:f>Review!G1324:L1324</xm:f>
              <xm:sqref>N1324</xm:sqref>
            </x14:sparkline>
            <x14:sparkline>
              <xm:f>Review!G1325:L1325</xm:f>
              <xm:sqref>N1325</xm:sqref>
            </x14:sparkline>
            <x14:sparkline>
              <xm:f>Review!G1326:L1326</xm:f>
              <xm:sqref>N1326</xm:sqref>
            </x14:sparkline>
            <x14:sparkline>
              <xm:f>Review!G1327:L1327</xm:f>
              <xm:sqref>N1327</xm:sqref>
            </x14:sparkline>
            <x14:sparkline>
              <xm:f>Review!G1328:L1328</xm:f>
              <xm:sqref>N1328</xm:sqref>
            </x14:sparkline>
            <x14:sparkline>
              <xm:f>Review!G1329:L1329</xm:f>
              <xm:sqref>N1329</xm:sqref>
            </x14:sparkline>
            <x14:sparkline>
              <xm:f>Review!G1330:L1330</xm:f>
              <xm:sqref>N1330</xm:sqref>
            </x14:sparkline>
            <x14:sparkline>
              <xm:f>Review!G1331:L1331</xm:f>
              <xm:sqref>N1331</xm:sqref>
            </x14:sparkline>
            <x14:sparkline>
              <xm:f>Review!G1332:L1332</xm:f>
              <xm:sqref>N1332</xm:sqref>
            </x14:sparkline>
            <x14:sparkline>
              <xm:f>Review!G1333:L1333</xm:f>
              <xm:sqref>N1333</xm:sqref>
            </x14:sparkline>
            <x14:sparkline>
              <xm:f>Review!G1334:L1334</xm:f>
              <xm:sqref>N1334</xm:sqref>
            </x14:sparkline>
            <x14:sparkline>
              <xm:f>Review!G1335:L1335</xm:f>
              <xm:sqref>N1335</xm:sqref>
            </x14:sparkline>
            <x14:sparkline>
              <xm:f>Review!G1336:L1336</xm:f>
              <xm:sqref>N1336</xm:sqref>
            </x14:sparkline>
            <x14:sparkline>
              <xm:f>Review!G1337:L1337</xm:f>
              <xm:sqref>N1337</xm:sqref>
            </x14:sparkline>
            <x14:sparkline>
              <xm:f>Review!G1338:L1338</xm:f>
              <xm:sqref>N1338</xm:sqref>
            </x14:sparkline>
            <x14:sparkline>
              <xm:f>Review!G1339:L1339</xm:f>
              <xm:sqref>N1339</xm:sqref>
            </x14:sparkline>
            <x14:sparkline>
              <xm:f>Review!G1340:L1340</xm:f>
              <xm:sqref>N1340</xm:sqref>
            </x14:sparkline>
            <x14:sparkline>
              <xm:f>Review!G1341:L1341</xm:f>
              <xm:sqref>N1341</xm:sqref>
            </x14:sparkline>
            <x14:sparkline>
              <xm:f>Review!G1342:L1342</xm:f>
              <xm:sqref>N1342</xm:sqref>
            </x14:sparkline>
            <x14:sparkline>
              <xm:f>Review!G1343:L1343</xm:f>
              <xm:sqref>N1343</xm:sqref>
            </x14:sparkline>
            <x14:sparkline>
              <xm:f>Review!G1344:L1344</xm:f>
              <xm:sqref>N1344</xm:sqref>
            </x14:sparkline>
            <x14:sparkline>
              <xm:f>Review!G1345:L1345</xm:f>
              <xm:sqref>N1345</xm:sqref>
            </x14:sparkline>
            <x14:sparkline>
              <xm:f>Review!G1346:L1346</xm:f>
              <xm:sqref>N1346</xm:sqref>
            </x14:sparkline>
            <x14:sparkline>
              <xm:f>Review!G1347:L1347</xm:f>
              <xm:sqref>N1347</xm:sqref>
            </x14:sparkline>
            <x14:sparkline>
              <xm:f>Review!G1348:L1348</xm:f>
              <xm:sqref>N1348</xm:sqref>
            </x14:sparkline>
            <x14:sparkline>
              <xm:f>Review!G1349:L1349</xm:f>
              <xm:sqref>N1349</xm:sqref>
            </x14:sparkline>
            <x14:sparkline>
              <xm:f>Review!G1350:L1350</xm:f>
              <xm:sqref>N1350</xm:sqref>
            </x14:sparkline>
            <x14:sparkline>
              <xm:f>Review!G1351:L1351</xm:f>
              <xm:sqref>N1351</xm:sqref>
            </x14:sparkline>
            <x14:sparkline>
              <xm:f>Review!G1352:L1352</xm:f>
              <xm:sqref>N1352</xm:sqref>
            </x14:sparkline>
            <x14:sparkline>
              <xm:f>Review!G1353:L1353</xm:f>
              <xm:sqref>N1353</xm:sqref>
            </x14:sparkline>
            <x14:sparkline>
              <xm:f>Review!G1354:L1354</xm:f>
              <xm:sqref>N1354</xm:sqref>
            </x14:sparkline>
            <x14:sparkline>
              <xm:f>Review!G1355:L1355</xm:f>
              <xm:sqref>N1355</xm:sqref>
            </x14:sparkline>
            <x14:sparkline>
              <xm:f>Review!G1356:L1356</xm:f>
              <xm:sqref>N1356</xm:sqref>
            </x14:sparkline>
            <x14:sparkline>
              <xm:f>Review!G1357:L1357</xm:f>
              <xm:sqref>N1357</xm:sqref>
            </x14:sparkline>
            <x14:sparkline>
              <xm:f>Review!G1358:L1358</xm:f>
              <xm:sqref>N1358</xm:sqref>
            </x14:sparkline>
            <x14:sparkline>
              <xm:f>Review!G1359:L1359</xm:f>
              <xm:sqref>N1359</xm:sqref>
            </x14:sparkline>
            <x14:sparkline>
              <xm:f>Review!G1360:L1360</xm:f>
              <xm:sqref>N1360</xm:sqref>
            </x14:sparkline>
            <x14:sparkline>
              <xm:f>Review!G1361:L1361</xm:f>
              <xm:sqref>N1361</xm:sqref>
            </x14:sparkline>
            <x14:sparkline>
              <xm:f>Review!G1362:L1362</xm:f>
              <xm:sqref>N1362</xm:sqref>
            </x14:sparkline>
            <x14:sparkline>
              <xm:f>Review!G1363:L1363</xm:f>
              <xm:sqref>N1363</xm:sqref>
            </x14:sparkline>
            <x14:sparkline>
              <xm:f>Review!G1364:L1364</xm:f>
              <xm:sqref>N1364</xm:sqref>
            </x14:sparkline>
            <x14:sparkline>
              <xm:f>Review!G1365:L1365</xm:f>
              <xm:sqref>N1365</xm:sqref>
            </x14:sparkline>
            <x14:sparkline>
              <xm:f>Review!G1366:L1366</xm:f>
              <xm:sqref>N1366</xm:sqref>
            </x14:sparkline>
            <x14:sparkline>
              <xm:f>Review!G1367:L1367</xm:f>
              <xm:sqref>N1367</xm:sqref>
            </x14:sparkline>
            <x14:sparkline>
              <xm:f>Review!G1368:L1368</xm:f>
              <xm:sqref>N1368</xm:sqref>
            </x14:sparkline>
            <x14:sparkline>
              <xm:f>Review!G1369:L1369</xm:f>
              <xm:sqref>N1369</xm:sqref>
            </x14:sparkline>
            <x14:sparkline>
              <xm:f>Review!G1370:L1370</xm:f>
              <xm:sqref>N1370</xm:sqref>
            </x14:sparkline>
            <x14:sparkline>
              <xm:f>Review!G1371:L1371</xm:f>
              <xm:sqref>N1371</xm:sqref>
            </x14:sparkline>
            <x14:sparkline>
              <xm:f>Review!G1372:L1372</xm:f>
              <xm:sqref>N1372</xm:sqref>
            </x14:sparkline>
            <x14:sparkline>
              <xm:f>Review!G1373:L1373</xm:f>
              <xm:sqref>N1373</xm:sqref>
            </x14:sparkline>
            <x14:sparkline>
              <xm:f>Review!G1374:L1374</xm:f>
              <xm:sqref>N1374</xm:sqref>
            </x14:sparkline>
            <x14:sparkline>
              <xm:f>Review!G1375:L1375</xm:f>
              <xm:sqref>N1375</xm:sqref>
            </x14:sparkline>
            <x14:sparkline>
              <xm:f>Review!G1376:L1376</xm:f>
              <xm:sqref>N1376</xm:sqref>
            </x14:sparkline>
            <x14:sparkline>
              <xm:f>Review!G1377:L1377</xm:f>
              <xm:sqref>N1377</xm:sqref>
            </x14:sparkline>
            <x14:sparkline>
              <xm:f>Review!G1378:L1378</xm:f>
              <xm:sqref>N1378</xm:sqref>
            </x14:sparkline>
            <x14:sparkline>
              <xm:f>Review!G1379:L1379</xm:f>
              <xm:sqref>N1379</xm:sqref>
            </x14:sparkline>
            <x14:sparkline>
              <xm:f>Review!G1380:L1380</xm:f>
              <xm:sqref>N1380</xm:sqref>
            </x14:sparkline>
            <x14:sparkline>
              <xm:f>Review!G1381:L1381</xm:f>
              <xm:sqref>N1381</xm:sqref>
            </x14:sparkline>
            <x14:sparkline>
              <xm:f>Review!G1382:L1382</xm:f>
              <xm:sqref>N1382</xm:sqref>
            </x14:sparkline>
            <x14:sparkline>
              <xm:f>Review!G1383:L1383</xm:f>
              <xm:sqref>N1383</xm:sqref>
            </x14:sparkline>
            <x14:sparkline>
              <xm:f>Review!G1384:L1384</xm:f>
              <xm:sqref>N1384</xm:sqref>
            </x14:sparkline>
            <x14:sparkline>
              <xm:f>Review!G1385:L1385</xm:f>
              <xm:sqref>N1385</xm:sqref>
            </x14:sparkline>
            <x14:sparkline>
              <xm:f>Review!G1386:L1386</xm:f>
              <xm:sqref>N1386</xm:sqref>
            </x14:sparkline>
            <x14:sparkline>
              <xm:f>Review!G1387:L1387</xm:f>
              <xm:sqref>N1387</xm:sqref>
            </x14:sparkline>
            <x14:sparkline>
              <xm:f>Review!G1388:L1388</xm:f>
              <xm:sqref>N1388</xm:sqref>
            </x14:sparkline>
            <x14:sparkline>
              <xm:f>Review!G1389:L1389</xm:f>
              <xm:sqref>N1389</xm:sqref>
            </x14:sparkline>
            <x14:sparkline>
              <xm:f>Review!G1390:L1390</xm:f>
              <xm:sqref>N1390</xm:sqref>
            </x14:sparkline>
            <x14:sparkline>
              <xm:f>Review!G1391:L1391</xm:f>
              <xm:sqref>N1391</xm:sqref>
            </x14:sparkline>
            <x14:sparkline>
              <xm:f>Review!G1392:L1392</xm:f>
              <xm:sqref>N1392</xm:sqref>
            </x14:sparkline>
            <x14:sparkline>
              <xm:f>Review!G1393:L1393</xm:f>
              <xm:sqref>N1393</xm:sqref>
            </x14:sparkline>
            <x14:sparkline>
              <xm:f>Review!G1394:L1394</xm:f>
              <xm:sqref>N1394</xm:sqref>
            </x14:sparkline>
            <x14:sparkline>
              <xm:f>Review!G1395:L1395</xm:f>
              <xm:sqref>N1395</xm:sqref>
            </x14:sparkline>
            <x14:sparkline>
              <xm:f>Review!G1396:L1396</xm:f>
              <xm:sqref>N1396</xm:sqref>
            </x14:sparkline>
            <x14:sparkline>
              <xm:f>Review!G1397:L1397</xm:f>
              <xm:sqref>N1397</xm:sqref>
            </x14:sparkline>
            <x14:sparkline>
              <xm:f>Review!G1398:L1398</xm:f>
              <xm:sqref>N1398</xm:sqref>
            </x14:sparkline>
            <x14:sparkline>
              <xm:f>Review!G1399:L1399</xm:f>
              <xm:sqref>N1399</xm:sqref>
            </x14:sparkline>
            <x14:sparkline>
              <xm:f>Review!G1400:L1400</xm:f>
              <xm:sqref>N1400</xm:sqref>
            </x14:sparkline>
            <x14:sparkline>
              <xm:f>Review!G1401:L1401</xm:f>
              <xm:sqref>N1401</xm:sqref>
            </x14:sparkline>
            <x14:sparkline>
              <xm:f>Review!G1402:L1402</xm:f>
              <xm:sqref>N1402</xm:sqref>
            </x14:sparkline>
            <x14:sparkline>
              <xm:f>Review!G1403:L1403</xm:f>
              <xm:sqref>N1403</xm:sqref>
            </x14:sparkline>
            <x14:sparkline>
              <xm:f>Review!G1404:L1404</xm:f>
              <xm:sqref>N1404</xm:sqref>
            </x14:sparkline>
            <x14:sparkline>
              <xm:f>Review!G1405:L1405</xm:f>
              <xm:sqref>N1405</xm:sqref>
            </x14:sparkline>
            <x14:sparkline>
              <xm:f>Review!G1406:L1406</xm:f>
              <xm:sqref>N1406</xm:sqref>
            </x14:sparkline>
            <x14:sparkline>
              <xm:f>Review!G1407:L1407</xm:f>
              <xm:sqref>N1407</xm:sqref>
            </x14:sparkline>
            <x14:sparkline>
              <xm:f>Review!G1408:L1408</xm:f>
              <xm:sqref>N1408</xm:sqref>
            </x14:sparkline>
            <x14:sparkline>
              <xm:f>Review!G1409:L1409</xm:f>
              <xm:sqref>N1409</xm:sqref>
            </x14:sparkline>
            <x14:sparkline>
              <xm:f>Review!G1410:L1410</xm:f>
              <xm:sqref>N1410</xm:sqref>
            </x14:sparkline>
            <x14:sparkline>
              <xm:f>Review!G1411:L1411</xm:f>
              <xm:sqref>N1411</xm:sqref>
            </x14:sparkline>
            <x14:sparkline>
              <xm:f>Review!G1412:L1412</xm:f>
              <xm:sqref>N1412</xm:sqref>
            </x14:sparkline>
            <x14:sparkline>
              <xm:f>Review!G1413:L1413</xm:f>
              <xm:sqref>N1413</xm:sqref>
            </x14:sparkline>
            <x14:sparkline>
              <xm:f>Review!G1414:L1414</xm:f>
              <xm:sqref>N1414</xm:sqref>
            </x14:sparkline>
            <x14:sparkline>
              <xm:f>Review!G1415:L1415</xm:f>
              <xm:sqref>N1415</xm:sqref>
            </x14:sparkline>
            <x14:sparkline>
              <xm:f>Review!G1416:L1416</xm:f>
              <xm:sqref>N1416</xm:sqref>
            </x14:sparkline>
            <x14:sparkline>
              <xm:f>Review!G1417:L1417</xm:f>
              <xm:sqref>N1417</xm:sqref>
            </x14:sparkline>
            <x14:sparkline>
              <xm:f>Review!G1418:L1418</xm:f>
              <xm:sqref>N1418</xm:sqref>
            </x14:sparkline>
            <x14:sparkline>
              <xm:f>Review!G1419:L1419</xm:f>
              <xm:sqref>N1419</xm:sqref>
            </x14:sparkline>
            <x14:sparkline>
              <xm:f>Review!G1420:L1420</xm:f>
              <xm:sqref>N1420</xm:sqref>
            </x14:sparkline>
            <x14:sparkline>
              <xm:f>Review!G1421:L1421</xm:f>
              <xm:sqref>N1421</xm:sqref>
            </x14:sparkline>
            <x14:sparkline>
              <xm:f>Review!G1422:L1422</xm:f>
              <xm:sqref>N1422</xm:sqref>
            </x14:sparkline>
            <x14:sparkline>
              <xm:f>Review!G1423:L1423</xm:f>
              <xm:sqref>N1423</xm:sqref>
            </x14:sparkline>
            <x14:sparkline>
              <xm:f>Review!G1424:L1424</xm:f>
              <xm:sqref>N1424</xm:sqref>
            </x14:sparkline>
            <x14:sparkline>
              <xm:f>Review!G1425:L1425</xm:f>
              <xm:sqref>N1425</xm:sqref>
            </x14:sparkline>
            <x14:sparkline>
              <xm:f>Review!G1426:L1426</xm:f>
              <xm:sqref>N1426</xm:sqref>
            </x14:sparkline>
            <x14:sparkline>
              <xm:f>Review!G1427:L1427</xm:f>
              <xm:sqref>N1427</xm:sqref>
            </x14:sparkline>
            <x14:sparkline>
              <xm:f>Review!G1428:L1428</xm:f>
              <xm:sqref>N1428</xm:sqref>
            </x14:sparkline>
            <x14:sparkline>
              <xm:f>Review!G1429:L1429</xm:f>
              <xm:sqref>N1429</xm:sqref>
            </x14:sparkline>
            <x14:sparkline>
              <xm:f>Review!G1430:L1430</xm:f>
              <xm:sqref>N1430</xm:sqref>
            </x14:sparkline>
            <x14:sparkline>
              <xm:f>Review!G1431:L1431</xm:f>
              <xm:sqref>N1431</xm:sqref>
            </x14:sparkline>
            <x14:sparkline>
              <xm:f>Review!G1432:L1432</xm:f>
              <xm:sqref>N1432</xm:sqref>
            </x14:sparkline>
            <x14:sparkline>
              <xm:f>Review!G1433:L1433</xm:f>
              <xm:sqref>N1433</xm:sqref>
            </x14:sparkline>
            <x14:sparkline>
              <xm:f>Review!G1434:L1434</xm:f>
              <xm:sqref>N1434</xm:sqref>
            </x14:sparkline>
            <x14:sparkline>
              <xm:f>Review!G1435:L1435</xm:f>
              <xm:sqref>N1435</xm:sqref>
            </x14:sparkline>
            <x14:sparkline>
              <xm:f>Review!G1436:L1436</xm:f>
              <xm:sqref>N1436</xm:sqref>
            </x14:sparkline>
            <x14:sparkline>
              <xm:f>Review!G1437:L1437</xm:f>
              <xm:sqref>N1437</xm:sqref>
            </x14:sparkline>
            <x14:sparkline>
              <xm:f>Review!G1438:L1438</xm:f>
              <xm:sqref>N1438</xm:sqref>
            </x14:sparkline>
            <x14:sparkline>
              <xm:f>Review!G1439:L1439</xm:f>
              <xm:sqref>N1439</xm:sqref>
            </x14:sparkline>
            <x14:sparkline>
              <xm:f>Review!G1440:L1440</xm:f>
              <xm:sqref>N1440</xm:sqref>
            </x14:sparkline>
            <x14:sparkline>
              <xm:f>Review!G1441:L1441</xm:f>
              <xm:sqref>N1441</xm:sqref>
            </x14:sparkline>
            <x14:sparkline>
              <xm:f>Review!G1442:L1442</xm:f>
              <xm:sqref>N1442</xm:sqref>
            </x14:sparkline>
            <x14:sparkline>
              <xm:f>Review!G1443:L1443</xm:f>
              <xm:sqref>N1443</xm:sqref>
            </x14:sparkline>
            <x14:sparkline>
              <xm:f>Review!G1444:L1444</xm:f>
              <xm:sqref>N1444</xm:sqref>
            </x14:sparkline>
            <x14:sparkline>
              <xm:f>Review!G1445:L1445</xm:f>
              <xm:sqref>N1445</xm:sqref>
            </x14:sparkline>
            <x14:sparkline>
              <xm:f>Review!G1446:L1446</xm:f>
              <xm:sqref>N1446</xm:sqref>
            </x14:sparkline>
            <x14:sparkline>
              <xm:f>Review!G1447:L1447</xm:f>
              <xm:sqref>N1447</xm:sqref>
            </x14:sparkline>
            <x14:sparkline>
              <xm:f>Review!G1448:L1448</xm:f>
              <xm:sqref>N1448</xm:sqref>
            </x14:sparkline>
            <x14:sparkline>
              <xm:f>Review!G1449:L1449</xm:f>
              <xm:sqref>N1449</xm:sqref>
            </x14:sparkline>
            <x14:sparkline>
              <xm:f>Review!G1450:L1450</xm:f>
              <xm:sqref>N1450</xm:sqref>
            </x14:sparkline>
            <x14:sparkline>
              <xm:f>Review!G1451:L1451</xm:f>
              <xm:sqref>N1451</xm:sqref>
            </x14:sparkline>
            <x14:sparkline>
              <xm:f>Review!G1452:L1452</xm:f>
              <xm:sqref>N1452</xm:sqref>
            </x14:sparkline>
            <x14:sparkline>
              <xm:f>Review!G1453:L1453</xm:f>
              <xm:sqref>N1453</xm:sqref>
            </x14:sparkline>
            <x14:sparkline>
              <xm:f>Review!G1454:L1454</xm:f>
              <xm:sqref>N1454</xm:sqref>
            </x14:sparkline>
            <x14:sparkline>
              <xm:f>Review!G1455:L1455</xm:f>
              <xm:sqref>N1455</xm:sqref>
            </x14:sparkline>
            <x14:sparkline>
              <xm:f>Review!G1456:L1456</xm:f>
              <xm:sqref>N1456</xm:sqref>
            </x14:sparkline>
            <x14:sparkline>
              <xm:f>Review!G1457:L1457</xm:f>
              <xm:sqref>N1457</xm:sqref>
            </x14:sparkline>
            <x14:sparkline>
              <xm:f>Review!G1458:L1458</xm:f>
              <xm:sqref>N1458</xm:sqref>
            </x14:sparkline>
            <x14:sparkline>
              <xm:f>Review!G1459:L1459</xm:f>
              <xm:sqref>N1459</xm:sqref>
            </x14:sparkline>
            <x14:sparkline>
              <xm:f>Review!G1460:L1460</xm:f>
              <xm:sqref>N1460</xm:sqref>
            </x14:sparkline>
            <x14:sparkline>
              <xm:f>Review!G1461:L1461</xm:f>
              <xm:sqref>N1461</xm:sqref>
            </x14:sparkline>
            <x14:sparkline>
              <xm:f>Review!G1462:L1462</xm:f>
              <xm:sqref>N1462</xm:sqref>
            </x14:sparkline>
            <x14:sparkline>
              <xm:f>Review!G1463:L1463</xm:f>
              <xm:sqref>N1463</xm:sqref>
            </x14:sparkline>
            <x14:sparkline>
              <xm:f>Review!G1464:L1464</xm:f>
              <xm:sqref>N1464</xm:sqref>
            </x14:sparkline>
            <x14:sparkline>
              <xm:f>Review!G1465:L1465</xm:f>
              <xm:sqref>N1465</xm:sqref>
            </x14:sparkline>
            <x14:sparkline>
              <xm:f>Review!G1466:L1466</xm:f>
              <xm:sqref>N1466</xm:sqref>
            </x14:sparkline>
            <x14:sparkline>
              <xm:f>Review!G1467:L1467</xm:f>
              <xm:sqref>N1467</xm:sqref>
            </x14:sparkline>
            <x14:sparkline>
              <xm:f>Review!G1468:L1468</xm:f>
              <xm:sqref>N1468</xm:sqref>
            </x14:sparkline>
            <x14:sparkline>
              <xm:f>Review!G1469:L1469</xm:f>
              <xm:sqref>N1469</xm:sqref>
            </x14:sparkline>
            <x14:sparkline>
              <xm:f>Review!G1470:L1470</xm:f>
              <xm:sqref>N1470</xm:sqref>
            </x14:sparkline>
            <x14:sparkline>
              <xm:f>Review!G1471:L1471</xm:f>
              <xm:sqref>N1471</xm:sqref>
            </x14:sparkline>
            <x14:sparkline>
              <xm:f>Review!G1472:L1472</xm:f>
              <xm:sqref>N1472</xm:sqref>
            </x14:sparkline>
            <x14:sparkline>
              <xm:f>Review!G1473:L1473</xm:f>
              <xm:sqref>N1473</xm:sqref>
            </x14:sparkline>
            <x14:sparkline>
              <xm:f>Review!G1474:L1474</xm:f>
              <xm:sqref>N1474</xm:sqref>
            </x14:sparkline>
            <x14:sparkline>
              <xm:f>Review!G1475:L1475</xm:f>
              <xm:sqref>N1475</xm:sqref>
            </x14:sparkline>
            <x14:sparkline>
              <xm:f>Review!G1476:L1476</xm:f>
              <xm:sqref>N1476</xm:sqref>
            </x14:sparkline>
            <x14:sparkline>
              <xm:f>Review!G1477:L1477</xm:f>
              <xm:sqref>N1477</xm:sqref>
            </x14:sparkline>
            <x14:sparkline>
              <xm:f>Review!G1478:L1478</xm:f>
              <xm:sqref>N1478</xm:sqref>
            </x14:sparkline>
            <x14:sparkline>
              <xm:f>Review!G1479:L1479</xm:f>
              <xm:sqref>N1479</xm:sqref>
            </x14:sparkline>
            <x14:sparkline>
              <xm:f>Review!G1480:L1480</xm:f>
              <xm:sqref>N1480</xm:sqref>
            </x14:sparkline>
            <x14:sparkline>
              <xm:f>Review!G1481:L1481</xm:f>
              <xm:sqref>N1481</xm:sqref>
            </x14:sparkline>
            <x14:sparkline>
              <xm:f>Review!G1482:L1482</xm:f>
              <xm:sqref>N1482</xm:sqref>
            </x14:sparkline>
            <x14:sparkline>
              <xm:f>Review!G1483:L1483</xm:f>
              <xm:sqref>N1483</xm:sqref>
            </x14:sparkline>
            <x14:sparkline>
              <xm:f>Review!G1484:L1484</xm:f>
              <xm:sqref>N1484</xm:sqref>
            </x14:sparkline>
            <x14:sparkline>
              <xm:f>Review!G1485:L1485</xm:f>
              <xm:sqref>N1485</xm:sqref>
            </x14:sparkline>
            <x14:sparkline>
              <xm:f>Review!G1486:L1486</xm:f>
              <xm:sqref>N1486</xm:sqref>
            </x14:sparkline>
            <x14:sparkline>
              <xm:f>Review!G1487:L1487</xm:f>
              <xm:sqref>N1487</xm:sqref>
            </x14:sparkline>
            <x14:sparkline>
              <xm:f>Review!G1488:L1488</xm:f>
              <xm:sqref>N1488</xm:sqref>
            </x14:sparkline>
            <x14:sparkline>
              <xm:f>Review!G1489:L1489</xm:f>
              <xm:sqref>N1489</xm:sqref>
            </x14:sparkline>
            <x14:sparkline>
              <xm:f>Review!G1490:L1490</xm:f>
              <xm:sqref>N1490</xm:sqref>
            </x14:sparkline>
            <x14:sparkline>
              <xm:f>Review!G1491:L1491</xm:f>
              <xm:sqref>N1491</xm:sqref>
            </x14:sparkline>
            <x14:sparkline>
              <xm:f>Review!G1492:L1492</xm:f>
              <xm:sqref>N1492</xm:sqref>
            </x14:sparkline>
            <x14:sparkline>
              <xm:f>Review!G1493:L1493</xm:f>
              <xm:sqref>N1493</xm:sqref>
            </x14:sparkline>
            <x14:sparkline>
              <xm:f>Review!G1494:L1494</xm:f>
              <xm:sqref>N1494</xm:sqref>
            </x14:sparkline>
            <x14:sparkline>
              <xm:f>Review!G1495:L1495</xm:f>
              <xm:sqref>N1495</xm:sqref>
            </x14:sparkline>
            <x14:sparkline>
              <xm:f>Review!G1496:L1496</xm:f>
              <xm:sqref>N1496</xm:sqref>
            </x14:sparkline>
            <x14:sparkline>
              <xm:f>Review!G1497:L1497</xm:f>
              <xm:sqref>N1497</xm:sqref>
            </x14:sparkline>
            <x14:sparkline>
              <xm:f>Review!G1498:L1498</xm:f>
              <xm:sqref>N1498</xm:sqref>
            </x14:sparkline>
            <x14:sparkline>
              <xm:f>Review!G1499:L1499</xm:f>
              <xm:sqref>N1499</xm:sqref>
            </x14:sparkline>
            <x14:sparkline>
              <xm:f>Review!G1500:L1500</xm:f>
              <xm:sqref>N1500</xm:sqref>
            </x14:sparkline>
            <x14:sparkline>
              <xm:f>Review!G1501:L1501</xm:f>
              <xm:sqref>N1501</xm:sqref>
            </x14:sparkline>
            <x14:sparkline>
              <xm:f>Review!G1502:L1502</xm:f>
              <xm:sqref>N1502</xm:sqref>
            </x14:sparkline>
            <x14:sparkline>
              <xm:f>Review!G1503:L1503</xm:f>
              <xm:sqref>N1503</xm:sqref>
            </x14:sparkline>
            <x14:sparkline>
              <xm:f>Review!G1504:L1504</xm:f>
              <xm:sqref>N1504</xm:sqref>
            </x14:sparkline>
            <x14:sparkline>
              <xm:f>Review!G1505:L1505</xm:f>
              <xm:sqref>N1505</xm:sqref>
            </x14:sparkline>
            <x14:sparkline>
              <xm:f>Review!G1506:L1506</xm:f>
              <xm:sqref>N1506</xm:sqref>
            </x14:sparkline>
            <x14:sparkline>
              <xm:f>Review!G1507:L1507</xm:f>
              <xm:sqref>N1507</xm:sqref>
            </x14:sparkline>
            <x14:sparkline>
              <xm:f>Review!G1508:L1508</xm:f>
              <xm:sqref>N1508</xm:sqref>
            </x14:sparkline>
            <x14:sparkline>
              <xm:f>Review!G1509:L1509</xm:f>
              <xm:sqref>N1509</xm:sqref>
            </x14:sparkline>
            <x14:sparkline>
              <xm:f>Review!G1510:L1510</xm:f>
              <xm:sqref>N1510</xm:sqref>
            </x14:sparkline>
            <x14:sparkline>
              <xm:f>Review!G1511:L1511</xm:f>
              <xm:sqref>N1511</xm:sqref>
            </x14:sparkline>
            <x14:sparkline>
              <xm:f>Review!G1512:L1512</xm:f>
              <xm:sqref>N1512</xm:sqref>
            </x14:sparkline>
            <x14:sparkline>
              <xm:f>Review!G1513:L1513</xm:f>
              <xm:sqref>N1513</xm:sqref>
            </x14:sparkline>
            <x14:sparkline>
              <xm:f>Review!G1514:L1514</xm:f>
              <xm:sqref>N1514</xm:sqref>
            </x14:sparkline>
            <x14:sparkline>
              <xm:f>Review!G1515:L1515</xm:f>
              <xm:sqref>N1515</xm:sqref>
            </x14:sparkline>
            <x14:sparkline>
              <xm:f>Review!G1516:L1516</xm:f>
              <xm:sqref>N1516</xm:sqref>
            </x14:sparkline>
            <x14:sparkline>
              <xm:f>Review!G1517:L1517</xm:f>
              <xm:sqref>N1517</xm:sqref>
            </x14:sparkline>
            <x14:sparkline>
              <xm:f>Review!G1518:L1518</xm:f>
              <xm:sqref>N1518</xm:sqref>
            </x14:sparkline>
            <x14:sparkline>
              <xm:f>Review!G1519:L1519</xm:f>
              <xm:sqref>N1519</xm:sqref>
            </x14:sparkline>
            <x14:sparkline>
              <xm:f>Review!G1520:L1520</xm:f>
              <xm:sqref>N1520</xm:sqref>
            </x14:sparkline>
            <x14:sparkline>
              <xm:f>Review!G1521:L1521</xm:f>
              <xm:sqref>N1521</xm:sqref>
            </x14:sparkline>
            <x14:sparkline>
              <xm:f>Review!G1522:L1522</xm:f>
              <xm:sqref>N1522</xm:sqref>
            </x14:sparkline>
            <x14:sparkline>
              <xm:f>Review!G1523:L1523</xm:f>
              <xm:sqref>N1523</xm:sqref>
            </x14:sparkline>
            <x14:sparkline>
              <xm:f>Review!G1524:L1524</xm:f>
              <xm:sqref>N1524</xm:sqref>
            </x14:sparkline>
            <x14:sparkline>
              <xm:f>Review!G1525:L1525</xm:f>
              <xm:sqref>N1525</xm:sqref>
            </x14:sparkline>
            <x14:sparkline>
              <xm:f>Review!G1526:L1526</xm:f>
              <xm:sqref>N1526</xm:sqref>
            </x14:sparkline>
            <x14:sparkline>
              <xm:f>Review!G1527:L1527</xm:f>
              <xm:sqref>N1527</xm:sqref>
            </x14:sparkline>
            <x14:sparkline>
              <xm:f>Review!G1528:L1528</xm:f>
              <xm:sqref>N1528</xm:sqref>
            </x14:sparkline>
            <x14:sparkline>
              <xm:f>Review!G1529:L1529</xm:f>
              <xm:sqref>N1529</xm:sqref>
            </x14:sparkline>
            <x14:sparkline>
              <xm:f>Review!G1530:L1530</xm:f>
              <xm:sqref>N1530</xm:sqref>
            </x14:sparkline>
            <x14:sparkline>
              <xm:f>Review!G1531:L1531</xm:f>
              <xm:sqref>N1531</xm:sqref>
            </x14:sparkline>
            <x14:sparkline>
              <xm:f>Review!G1532:L1532</xm:f>
              <xm:sqref>N1532</xm:sqref>
            </x14:sparkline>
            <x14:sparkline>
              <xm:f>Review!G1533:L1533</xm:f>
              <xm:sqref>N1533</xm:sqref>
            </x14:sparkline>
            <x14:sparkline>
              <xm:f>Review!G1534:L1534</xm:f>
              <xm:sqref>N1534</xm:sqref>
            </x14:sparkline>
            <x14:sparkline>
              <xm:f>Review!G1535:L1535</xm:f>
              <xm:sqref>N1535</xm:sqref>
            </x14:sparkline>
            <x14:sparkline>
              <xm:f>Review!G1536:L1536</xm:f>
              <xm:sqref>N1536</xm:sqref>
            </x14:sparkline>
            <x14:sparkline>
              <xm:f>Review!G1537:L1537</xm:f>
              <xm:sqref>N1537</xm:sqref>
            </x14:sparkline>
            <x14:sparkline>
              <xm:f>Review!G1538:L1538</xm:f>
              <xm:sqref>N1538</xm:sqref>
            </x14:sparkline>
            <x14:sparkline>
              <xm:f>Review!G1539:L1539</xm:f>
              <xm:sqref>N1539</xm:sqref>
            </x14:sparkline>
            <x14:sparkline>
              <xm:f>Review!G1540:L1540</xm:f>
              <xm:sqref>N1540</xm:sqref>
            </x14:sparkline>
            <x14:sparkline>
              <xm:f>Review!G1541:L1541</xm:f>
              <xm:sqref>N1541</xm:sqref>
            </x14:sparkline>
            <x14:sparkline>
              <xm:f>Review!G1542:L1542</xm:f>
              <xm:sqref>N1542</xm:sqref>
            </x14:sparkline>
            <x14:sparkline>
              <xm:f>Review!G1543:L1543</xm:f>
              <xm:sqref>N1543</xm:sqref>
            </x14:sparkline>
            <x14:sparkline>
              <xm:f>Review!G1544:L1544</xm:f>
              <xm:sqref>N1544</xm:sqref>
            </x14:sparkline>
            <x14:sparkline>
              <xm:f>Review!G1545:L1545</xm:f>
              <xm:sqref>N1545</xm:sqref>
            </x14:sparkline>
            <x14:sparkline>
              <xm:f>Review!G1546:L1546</xm:f>
              <xm:sqref>N1546</xm:sqref>
            </x14:sparkline>
            <x14:sparkline>
              <xm:f>Review!G1547:L1547</xm:f>
              <xm:sqref>N1547</xm:sqref>
            </x14:sparkline>
            <x14:sparkline>
              <xm:f>Review!G1548:L1548</xm:f>
              <xm:sqref>N1548</xm:sqref>
            </x14:sparkline>
            <x14:sparkline>
              <xm:f>Review!G1549:L1549</xm:f>
              <xm:sqref>N1549</xm:sqref>
            </x14:sparkline>
            <x14:sparkline>
              <xm:f>Review!G1550:L1550</xm:f>
              <xm:sqref>N1550</xm:sqref>
            </x14:sparkline>
            <x14:sparkline>
              <xm:f>Review!G1551:L1551</xm:f>
              <xm:sqref>N1551</xm:sqref>
            </x14:sparkline>
            <x14:sparkline>
              <xm:f>Review!G1552:L1552</xm:f>
              <xm:sqref>N1552</xm:sqref>
            </x14:sparkline>
            <x14:sparkline>
              <xm:f>Review!G1553:L1553</xm:f>
              <xm:sqref>N1553</xm:sqref>
            </x14:sparkline>
            <x14:sparkline>
              <xm:f>Review!G1554:L1554</xm:f>
              <xm:sqref>N1554</xm:sqref>
            </x14:sparkline>
            <x14:sparkline>
              <xm:f>Review!G1555:L1555</xm:f>
              <xm:sqref>N1555</xm:sqref>
            </x14:sparkline>
            <x14:sparkline>
              <xm:f>Review!G1556:L1556</xm:f>
              <xm:sqref>N1556</xm:sqref>
            </x14:sparkline>
            <x14:sparkline>
              <xm:f>Review!G1557:L1557</xm:f>
              <xm:sqref>N1557</xm:sqref>
            </x14:sparkline>
            <x14:sparkline>
              <xm:f>Review!G1558:L1558</xm:f>
              <xm:sqref>N1558</xm:sqref>
            </x14:sparkline>
            <x14:sparkline>
              <xm:f>Review!G1559:L1559</xm:f>
              <xm:sqref>N1559</xm:sqref>
            </x14:sparkline>
            <x14:sparkline>
              <xm:f>Review!G1560:L1560</xm:f>
              <xm:sqref>N1560</xm:sqref>
            </x14:sparkline>
            <x14:sparkline>
              <xm:f>Review!G1561:L1561</xm:f>
              <xm:sqref>N1561</xm:sqref>
            </x14:sparkline>
            <x14:sparkline>
              <xm:f>Review!G1562:L1562</xm:f>
              <xm:sqref>N1562</xm:sqref>
            </x14:sparkline>
            <x14:sparkline>
              <xm:f>Review!G1563:L1563</xm:f>
              <xm:sqref>N1563</xm:sqref>
            </x14:sparkline>
            <x14:sparkline>
              <xm:f>Review!G1564:L1564</xm:f>
              <xm:sqref>N1564</xm:sqref>
            </x14:sparkline>
            <x14:sparkline>
              <xm:f>Review!G1565:L1565</xm:f>
              <xm:sqref>N1565</xm:sqref>
            </x14:sparkline>
            <x14:sparkline>
              <xm:f>Review!G1566:L1566</xm:f>
              <xm:sqref>N1566</xm:sqref>
            </x14:sparkline>
            <x14:sparkline>
              <xm:f>Review!G1567:L1567</xm:f>
              <xm:sqref>N1567</xm:sqref>
            </x14:sparkline>
            <x14:sparkline>
              <xm:f>Review!G1568:L1568</xm:f>
              <xm:sqref>N1568</xm:sqref>
            </x14:sparkline>
            <x14:sparkline>
              <xm:f>Review!G1569:L1569</xm:f>
              <xm:sqref>N1569</xm:sqref>
            </x14:sparkline>
            <x14:sparkline>
              <xm:f>Review!G1570:L1570</xm:f>
              <xm:sqref>N1570</xm:sqref>
            </x14:sparkline>
            <x14:sparkline>
              <xm:f>Review!G1571:L1571</xm:f>
              <xm:sqref>N1571</xm:sqref>
            </x14:sparkline>
            <x14:sparkline>
              <xm:f>Review!G1572:L1572</xm:f>
              <xm:sqref>N1572</xm:sqref>
            </x14:sparkline>
            <x14:sparkline>
              <xm:f>Review!G1573:L1573</xm:f>
              <xm:sqref>N1573</xm:sqref>
            </x14:sparkline>
            <x14:sparkline>
              <xm:f>Review!G1574:L1574</xm:f>
              <xm:sqref>N1574</xm:sqref>
            </x14:sparkline>
            <x14:sparkline>
              <xm:f>Review!G1575:L1575</xm:f>
              <xm:sqref>N1575</xm:sqref>
            </x14:sparkline>
            <x14:sparkline>
              <xm:f>Review!G1576:L1576</xm:f>
              <xm:sqref>N1576</xm:sqref>
            </x14:sparkline>
            <x14:sparkline>
              <xm:f>Review!G1577:L1577</xm:f>
              <xm:sqref>N1577</xm:sqref>
            </x14:sparkline>
            <x14:sparkline>
              <xm:f>Review!G1578:L1578</xm:f>
              <xm:sqref>N1578</xm:sqref>
            </x14:sparkline>
            <x14:sparkline>
              <xm:f>Review!G1579:L1579</xm:f>
              <xm:sqref>N1579</xm:sqref>
            </x14:sparkline>
            <x14:sparkline>
              <xm:f>Review!G1580:L1580</xm:f>
              <xm:sqref>N1580</xm:sqref>
            </x14:sparkline>
            <x14:sparkline>
              <xm:f>Review!G1581:L1581</xm:f>
              <xm:sqref>N1581</xm:sqref>
            </x14:sparkline>
            <x14:sparkline>
              <xm:f>Review!G1582:L1582</xm:f>
              <xm:sqref>N1582</xm:sqref>
            </x14:sparkline>
            <x14:sparkline>
              <xm:f>Review!G1583:L1583</xm:f>
              <xm:sqref>N1583</xm:sqref>
            </x14:sparkline>
            <x14:sparkline>
              <xm:f>Review!G1584:L1584</xm:f>
              <xm:sqref>N1584</xm:sqref>
            </x14:sparkline>
            <x14:sparkline>
              <xm:f>Review!G1585:L1585</xm:f>
              <xm:sqref>N1585</xm:sqref>
            </x14:sparkline>
            <x14:sparkline>
              <xm:f>Review!G1586:L1586</xm:f>
              <xm:sqref>N1586</xm:sqref>
            </x14:sparkline>
            <x14:sparkline>
              <xm:f>Review!G1587:L1587</xm:f>
              <xm:sqref>N1587</xm:sqref>
            </x14:sparkline>
            <x14:sparkline>
              <xm:f>Review!G1588:L1588</xm:f>
              <xm:sqref>N1588</xm:sqref>
            </x14:sparkline>
            <x14:sparkline>
              <xm:f>Review!G1589:L1589</xm:f>
              <xm:sqref>N1589</xm:sqref>
            </x14:sparkline>
            <x14:sparkline>
              <xm:f>Review!G1590:L1590</xm:f>
              <xm:sqref>N1590</xm:sqref>
            </x14:sparkline>
            <x14:sparkline>
              <xm:f>Review!G1591:L1591</xm:f>
              <xm:sqref>N1591</xm:sqref>
            </x14:sparkline>
            <x14:sparkline>
              <xm:f>Review!G1592:L1592</xm:f>
              <xm:sqref>N1592</xm:sqref>
            </x14:sparkline>
            <x14:sparkline>
              <xm:f>Review!G1593:L1593</xm:f>
              <xm:sqref>N1593</xm:sqref>
            </x14:sparkline>
            <x14:sparkline>
              <xm:f>Review!G1594:L1594</xm:f>
              <xm:sqref>N1594</xm:sqref>
            </x14:sparkline>
            <x14:sparkline>
              <xm:f>Review!G1595:L1595</xm:f>
              <xm:sqref>N1595</xm:sqref>
            </x14:sparkline>
            <x14:sparkline>
              <xm:f>Review!G1596:L1596</xm:f>
              <xm:sqref>N1596</xm:sqref>
            </x14:sparkline>
            <x14:sparkline>
              <xm:f>Review!G1597:L1597</xm:f>
              <xm:sqref>N1597</xm:sqref>
            </x14:sparkline>
            <x14:sparkline>
              <xm:f>Review!G1598:L1598</xm:f>
              <xm:sqref>N1598</xm:sqref>
            </x14:sparkline>
            <x14:sparkline>
              <xm:f>Review!G1599:L1599</xm:f>
              <xm:sqref>N1599</xm:sqref>
            </x14:sparkline>
            <x14:sparkline>
              <xm:f>Review!G1600:L1600</xm:f>
              <xm:sqref>N1600</xm:sqref>
            </x14:sparkline>
            <x14:sparkline>
              <xm:f>Review!G1601:L1601</xm:f>
              <xm:sqref>N1601</xm:sqref>
            </x14:sparkline>
            <x14:sparkline>
              <xm:f>Review!G1602:L1602</xm:f>
              <xm:sqref>N1602</xm:sqref>
            </x14:sparkline>
            <x14:sparkline>
              <xm:f>Review!G1603:L1603</xm:f>
              <xm:sqref>N1603</xm:sqref>
            </x14:sparkline>
            <x14:sparkline>
              <xm:f>Review!G1604:L1604</xm:f>
              <xm:sqref>N1604</xm:sqref>
            </x14:sparkline>
            <x14:sparkline>
              <xm:f>Review!G1605:L1605</xm:f>
              <xm:sqref>N1605</xm:sqref>
            </x14:sparkline>
            <x14:sparkline>
              <xm:f>Review!G1606:L1606</xm:f>
              <xm:sqref>N1606</xm:sqref>
            </x14:sparkline>
            <x14:sparkline>
              <xm:f>Review!G1607:L1607</xm:f>
              <xm:sqref>N1607</xm:sqref>
            </x14:sparkline>
            <x14:sparkline>
              <xm:f>Review!G1608:L1608</xm:f>
              <xm:sqref>N1608</xm:sqref>
            </x14:sparkline>
            <x14:sparkline>
              <xm:f>Review!G1609:L1609</xm:f>
              <xm:sqref>N1609</xm:sqref>
            </x14:sparkline>
            <x14:sparkline>
              <xm:f>Review!G1610:L1610</xm:f>
              <xm:sqref>N1610</xm:sqref>
            </x14:sparkline>
            <x14:sparkline>
              <xm:f>Review!G1611:L1611</xm:f>
              <xm:sqref>N1611</xm:sqref>
            </x14:sparkline>
            <x14:sparkline>
              <xm:f>Review!G1612:L1612</xm:f>
              <xm:sqref>N1612</xm:sqref>
            </x14:sparkline>
            <x14:sparkline>
              <xm:f>Review!G1613:L1613</xm:f>
              <xm:sqref>N1613</xm:sqref>
            </x14:sparkline>
            <x14:sparkline>
              <xm:f>Review!G1614:L1614</xm:f>
              <xm:sqref>N1614</xm:sqref>
            </x14:sparkline>
            <x14:sparkline>
              <xm:f>Review!G1615:L1615</xm:f>
              <xm:sqref>N1615</xm:sqref>
            </x14:sparkline>
            <x14:sparkline>
              <xm:f>Review!G1616:L1616</xm:f>
              <xm:sqref>N1616</xm:sqref>
            </x14:sparkline>
            <x14:sparkline>
              <xm:f>Review!G1617:L1617</xm:f>
              <xm:sqref>N1617</xm:sqref>
            </x14:sparkline>
            <x14:sparkline>
              <xm:f>Review!G1618:L1618</xm:f>
              <xm:sqref>N1618</xm:sqref>
            </x14:sparkline>
            <x14:sparkline>
              <xm:f>Review!G1619:L1619</xm:f>
              <xm:sqref>N1619</xm:sqref>
            </x14:sparkline>
            <x14:sparkline>
              <xm:f>Review!G1620:L1620</xm:f>
              <xm:sqref>N1620</xm:sqref>
            </x14:sparkline>
            <x14:sparkline>
              <xm:f>Review!G1621:L1621</xm:f>
              <xm:sqref>N1621</xm:sqref>
            </x14:sparkline>
            <x14:sparkline>
              <xm:f>Review!G1622:L1622</xm:f>
              <xm:sqref>N1622</xm:sqref>
            </x14:sparkline>
            <x14:sparkline>
              <xm:f>Review!G1623:L1623</xm:f>
              <xm:sqref>N1623</xm:sqref>
            </x14:sparkline>
            <x14:sparkline>
              <xm:f>Review!G1624:L1624</xm:f>
              <xm:sqref>N1624</xm:sqref>
            </x14:sparkline>
            <x14:sparkline>
              <xm:f>Review!G1625:L1625</xm:f>
              <xm:sqref>N1625</xm:sqref>
            </x14:sparkline>
            <x14:sparkline>
              <xm:f>Review!G1626:L1626</xm:f>
              <xm:sqref>N1626</xm:sqref>
            </x14:sparkline>
            <x14:sparkline>
              <xm:f>Review!G1627:L1627</xm:f>
              <xm:sqref>N1627</xm:sqref>
            </x14:sparkline>
            <x14:sparkline>
              <xm:f>Review!G1628:L1628</xm:f>
              <xm:sqref>N1628</xm:sqref>
            </x14:sparkline>
            <x14:sparkline>
              <xm:f>Review!G1629:L1629</xm:f>
              <xm:sqref>N1629</xm:sqref>
            </x14:sparkline>
            <x14:sparkline>
              <xm:f>Review!G1630:L1630</xm:f>
              <xm:sqref>N1630</xm:sqref>
            </x14:sparkline>
            <x14:sparkline>
              <xm:f>Review!G1631:L1631</xm:f>
              <xm:sqref>N1631</xm:sqref>
            </x14:sparkline>
            <x14:sparkline>
              <xm:f>Review!G1632:L1632</xm:f>
              <xm:sqref>N1632</xm:sqref>
            </x14:sparkline>
            <x14:sparkline>
              <xm:f>Review!G1633:L1633</xm:f>
              <xm:sqref>N1633</xm:sqref>
            </x14:sparkline>
            <x14:sparkline>
              <xm:f>Review!G1634:L1634</xm:f>
              <xm:sqref>N1634</xm:sqref>
            </x14:sparkline>
            <x14:sparkline>
              <xm:f>Review!G1635:L1635</xm:f>
              <xm:sqref>N1635</xm:sqref>
            </x14:sparkline>
            <x14:sparkline>
              <xm:f>Review!G1636:L1636</xm:f>
              <xm:sqref>N1636</xm:sqref>
            </x14:sparkline>
            <x14:sparkline>
              <xm:f>Review!G1637:L1637</xm:f>
              <xm:sqref>N1637</xm:sqref>
            </x14:sparkline>
            <x14:sparkline>
              <xm:f>Review!G1638:L1638</xm:f>
              <xm:sqref>N1638</xm:sqref>
            </x14:sparkline>
            <x14:sparkline>
              <xm:f>Review!G1639:L1639</xm:f>
              <xm:sqref>N1639</xm:sqref>
            </x14:sparkline>
            <x14:sparkline>
              <xm:f>Review!G1640:L1640</xm:f>
              <xm:sqref>N1640</xm:sqref>
            </x14:sparkline>
            <x14:sparkline>
              <xm:f>Review!G1641:L1641</xm:f>
              <xm:sqref>N1641</xm:sqref>
            </x14:sparkline>
            <x14:sparkline>
              <xm:f>Review!G1642:L1642</xm:f>
              <xm:sqref>N1642</xm:sqref>
            </x14:sparkline>
            <x14:sparkline>
              <xm:f>Review!G1643:L1643</xm:f>
              <xm:sqref>N1643</xm:sqref>
            </x14:sparkline>
            <x14:sparkline>
              <xm:f>Review!G1644:L1644</xm:f>
              <xm:sqref>N1644</xm:sqref>
            </x14:sparkline>
            <x14:sparkline>
              <xm:f>Review!G1645:L1645</xm:f>
              <xm:sqref>N1645</xm:sqref>
            </x14:sparkline>
            <x14:sparkline>
              <xm:f>Review!G1646:L1646</xm:f>
              <xm:sqref>N1646</xm:sqref>
            </x14:sparkline>
            <x14:sparkline>
              <xm:f>Review!G1647:L1647</xm:f>
              <xm:sqref>N1647</xm:sqref>
            </x14:sparkline>
            <x14:sparkline>
              <xm:f>Review!G1648:L1648</xm:f>
              <xm:sqref>N1648</xm:sqref>
            </x14:sparkline>
            <x14:sparkline>
              <xm:f>Review!G1649:L1649</xm:f>
              <xm:sqref>N1649</xm:sqref>
            </x14:sparkline>
            <x14:sparkline>
              <xm:f>Review!G1650:L1650</xm:f>
              <xm:sqref>N1650</xm:sqref>
            </x14:sparkline>
            <x14:sparkline>
              <xm:f>Review!G1651:L1651</xm:f>
              <xm:sqref>N1651</xm:sqref>
            </x14:sparkline>
            <x14:sparkline>
              <xm:f>Review!G1652:L1652</xm:f>
              <xm:sqref>N1652</xm:sqref>
            </x14:sparkline>
            <x14:sparkline>
              <xm:f>Review!G1653:L1653</xm:f>
              <xm:sqref>N1653</xm:sqref>
            </x14:sparkline>
            <x14:sparkline>
              <xm:f>Review!G1654:L1654</xm:f>
              <xm:sqref>N1654</xm:sqref>
            </x14:sparkline>
            <x14:sparkline>
              <xm:f>Review!G1655:L1655</xm:f>
              <xm:sqref>N1655</xm:sqref>
            </x14:sparkline>
            <x14:sparkline>
              <xm:f>Review!G1656:L1656</xm:f>
              <xm:sqref>N1656</xm:sqref>
            </x14:sparkline>
            <x14:sparkline>
              <xm:f>Review!G1657:L1657</xm:f>
              <xm:sqref>N1657</xm:sqref>
            </x14:sparkline>
            <x14:sparkline>
              <xm:f>Review!G1658:L1658</xm:f>
              <xm:sqref>N1658</xm:sqref>
            </x14:sparkline>
            <x14:sparkline>
              <xm:f>Review!G1659:L1659</xm:f>
              <xm:sqref>N1659</xm:sqref>
            </x14:sparkline>
            <x14:sparkline>
              <xm:f>Review!G1660:L1660</xm:f>
              <xm:sqref>N1660</xm:sqref>
            </x14:sparkline>
            <x14:sparkline>
              <xm:f>Review!G1661:L1661</xm:f>
              <xm:sqref>N1661</xm:sqref>
            </x14:sparkline>
            <x14:sparkline>
              <xm:f>Review!G1662:L1662</xm:f>
              <xm:sqref>N1662</xm:sqref>
            </x14:sparkline>
            <x14:sparkline>
              <xm:f>Review!G1663:L1663</xm:f>
              <xm:sqref>N1663</xm:sqref>
            </x14:sparkline>
            <x14:sparkline>
              <xm:f>Review!G1664:L1664</xm:f>
              <xm:sqref>N1664</xm:sqref>
            </x14:sparkline>
            <x14:sparkline>
              <xm:f>Review!G1665:L1665</xm:f>
              <xm:sqref>N1665</xm:sqref>
            </x14:sparkline>
            <x14:sparkline>
              <xm:f>Review!G1666:L1666</xm:f>
              <xm:sqref>N1666</xm:sqref>
            </x14:sparkline>
            <x14:sparkline>
              <xm:f>Review!G1667:L1667</xm:f>
              <xm:sqref>N1667</xm:sqref>
            </x14:sparkline>
            <x14:sparkline>
              <xm:f>Review!G1668:L1668</xm:f>
              <xm:sqref>N1668</xm:sqref>
            </x14:sparkline>
            <x14:sparkline>
              <xm:f>Review!G1669:L1669</xm:f>
              <xm:sqref>N1669</xm:sqref>
            </x14:sparkline>
            <x14:sparkline>
              <xm:f>Review!G1670:L1670</xm:f>
              <xm:sqref>N1670</xm:sqref>
            </x14:sparkline>
            <x14:sparkline>
              <xm:f>Review!G1671:L1671</xm:f>
              <xm:sqref>N1671</xm:sqref>
            </x14:sparkline>
            <x14:sparkline>
              <xm:f>Review!G1672:L1672</xm:f>
              <xm:sqref>N1672</xm:sqref>
            </x14:sparkline>
            <x14:sparkline>
              <xm:f>Review!G1673:L1673</xm:f>
              <xm:sqref>N1673</xm:sqref>
            </x14:sparkline>
            <x14:sparkline>
              <xm:f>Review!G1674:L1674</xm:f>
              <xm:sqref>N1674</xm:sqref>
            </x14:sparkline>
            <x14:sparkline>
              <xm:f>Review!G1675:L1675</xm:f>
              <xm:sqref>N1675</xm:sqref>
            </x14:sparkline>
            <x14:sparkline>
              <xm:f>Review!G1676:L1676</xm:f>
              <xm:sqref>N1676</xm:sqref>
            </x14:sparkline>
            <x14:sparkline>
              <xm:f>Review!G1677:L1677</xm:f>
              <xm:sqref>N1677</xm:sqref>
            </x14:sparkline>
            <x14:sparkline>
              <xm:f>Review!G1678:L1678</xm:f>
              <xm:sqref>N1678</xm:sqref>
            </x14:sparkline>
            <x14:sparkline>
              <xm:f>Review!G1679:L1679</xm:f>
              <xm:sqref>N1679</xm:sqref>
            </x14:sparkline>
            <x14:sparkline>
              <xm:f>Review!G1680:L1680</xm:f>
              <xm:sqref>N1680</xm:sqref>
            </x14:sparkline>
            <x14:sparkline>
              <xm:f>Review!G1681:L1681</xm:f>
              <xm:sqref>N1681</xm:sqref>
            </x14:sparkline>
            <x14:sparkline>
              <xm:f>Review!G1682:L1682</xm:f>
              <xm:sqref>N1682</xm:sqref>
            </x14:sparkline>
            <x14:sparkline>
              <xm:f>Review!G1683:L1683</xm:f>
              <xm:sqref>N1683</xm:sqref>
            </x14:sparkline>
            <x14:sparkline>
              <xm:f>Review!G1684:L1684</xm:f>
              <xm:sqref>N1684</xm:sqref>
            </x14:sparkline>
            <x14:sparkline>
              <xm:f>Review!G1685:L1685</xm:f>
              <xm:sqref>N1685</xm:sqref>
            </x14:sparkline>
            <x14:sparkline>
              <xm:f>Review!G1686:L1686</xm:f>
              <xm:sqref>N1686</xm:sqref>
            </x14:sparkline>
            <x14:sparkline>
              <xm:f>Review!G1687:L1687</xm:f>
              <xm:sqref>N1687</xm:sqref>
            </x14:sparkline>
            <x14:sparkline>
              <xm:f>Review!G1688:L1688</xm:f>
              <xm:sqref>N1688</xm:sqref>
            </x14:sparkline>
            <x14:sparkline>
              <xm:f>Review!G1689:L1689</xm:f>
              <xm:sqref>N1689</xm:sqref>
            </x14:sparkline>
            <x14:sparkline>
              <xm:f>Review!G1690:L1690</xm:f>
              <xm:sqref>N1690</xm:sqref>
            </x14:sparkline>
            <x14:sparkline>
              <xm:f>Review!G1691:L1691</xm:f>
              <xm:sqref>N1691</xm:sqref>
            </x14:sparkline>
            <x14:sparkline>
              <xm:f>Review!G1692:L1692</xm:f>
              <xm:sqref>N1692</xm:sqref>
            </x14:sparkline>
            <x14:sparkline>
              <xm:f>Review!G1693:L1693</xm:f>
              <xm:sqref>N1693</xm:sqref>
            </x14:sparkline>
            <x14:sparkline>
              <xm:f>Review!G1694:L1694</xm:f>
              <xm:sqref>N1694</xm:sqref>
            </x14:sparkline>
            <x14:sparkline>
              <xm:f>Review!G1695:L1695</xm:f>
              <xm:sqref>N1695</xm:sqref>
            </x14:sparkline>
            <x14:sparkline>
              <xm:f>Review!G1696:L1696</xm:f>
              <xm:sqref>N1696</xm:sqref>
            </x14:sparkline>
            <x14:sparkline>
              <xm:f>Review!G1697:L1697</xm:f>
              <xm:sqref>N1697</xm:sqref>
            </x14:sparkline>
            <x14:sparkline>
              <xm:f>Review!G1698:L1698</xm:f>
              <xm:sqref>N1698</xm:sqref>
            </x14:sparkline>
            <x14:sparkline>
              <xm:f>Review!G1699:L1699</xm:f>
              <xm:sqref>N1699</xm:sqref>
            </x14:sparkline>
            <x14:sparkline>
              <xm:f>Review!G1700:L1700</xm:f>
              <xm:sqref>N1700</xm:sqref>
            </x14:sparkline>
            <x14:sparkline>
              <xm:f>Review!G1701:L1701</xm:f>
              <xm:sqref>N1701</xm:sqref>
            </x14:sparkline>
            <x14:sparkline>
              <xm:f>Review!G1702:L1702</xm:f>
              <xm:sqref>N1702</xm:sqref>
            </x14:sparkline>
            <x14:sparkline>
              <xm:f>Review!G1703:L1703</xm:f>
              <xm:sqref>N1703</xm:sqref>
            </x14:sparkline>
            <x14:sparkline>
              <xm:f>Review!G1704:L1704</xm:f>
              <xm:sqref>N1704</xm:sqref>
            </x14:sparkline>
            <x14:sparkline>
              <xm:f>Review!G1705:L1705</xm:f>
              <xm:sqref>N1705</xm:sqref>
            </x14:sparkline>
            <x14:sparkline>
              <xm:f>Review!G1706:L1706</xm:f>
              <xm:sqref>N1706</xm:sqref>
            </x14:sparkline>
            <x14:sparkline>
              <xm:f>Review!G1707:L1707</xm:f>
              <xm:sqref>N1707</xm:sqref>
            </x14:sparkline>
            <x14:sparkline>
              <xm:f>Review!G1708:L1708</xm:f>
              <xm:sqref>N1708</xm:sqref>
            </x14:sparkline>
            <x14:sparkline>
              <xm:f>Review!G1709:L1709</xm:f>
              <xm:sqref>N1709</xm:sqref>
            </x14:sparkline>
            <x14:sparkline>
              <xm:f>Review!G1710:L1710</xm:f>
              <xm:sqref>N1710</xm:sqref>
            </x14:sparkline>
            <x14:sparkline>
              <xm:f>Review!G1711:L1711</xm:f>
              <xm:sqref>N1711</xm:sqref>
            </x14:sparkline>
            <x14:sparkline>
              <xm:f>Review!G1712:L1712</xm:f>
              <xm:sqref>N1712</xm:sqref>
            </x14:sparkline>
            <x14:sparkline>
              <xm:f>Review!G1713:L1713</xm:f>
              <xm:sqref>N1713</xm:sqref>
            </x14:sparkline>
            <x14:sparkline>
              <xm:f>Review!G1714:L1714</xm:f>
              <xm:sqref>N1714</xm:sqref>
            </x14:sparkline>
            <x14:sparkline>
              <xm:f>Review!G1715:L1715</xm:f>
              <xm:sqref>N1715</xm:sqref>
            </x14:sparkline>
            <x14:sparkline>
              <xm:f>Review!G1716:L1716</xm:f>
              <xm:sqref>N1716</xm:sqref>
            </x14:sparkline>
            <x14:sparkline>
              <xm:f>Review!G1717:L1717</xm:f>
              <xm:sqref>N1717</xm:sqref>
            </x14:sparkline>
            <x14:sparkline>
              <xm:f>Review!G1718:L1718</xm:f>
              <xm:sqref>N1718</xm:sqref>
            </x14:sparkline>
            <x14:sparkline>
              <xm:f>Review!G1719:L1719</xm:f>
              <xm:sqref>N1719</xm:sqref>
            </x14:sparkline>
            <x14:sparkline>
              <xm:f>Review!G1720:L1720</xm:f>
              <xm:sqref>N1720</xm:sqref>
            </x14:sparkline>
            <x14:sparkline>
              <xm:f>Review!G1721:L1721</xm:f>
              <xm:sqref>N1721</xm:sqref>
            </x14:sparkline>
            <x14:sparkline>
              <xm:f>Review!G1722:L1722</xm:f>
              <xm:sqref>N1722</xm:sqref>
            </x14:sparkline>
            <x14:sparkline>
              <xm:f>Review!G1723:L1723</xm:f>
              <xm:sqref>N1723</xm:sqref>
            </x14:sparkline>
            <x14:sparkline>
              <xm:f>Review!G1724:L1724</xm:f>
              <xm:sqref>N1724</xm:sqref>
            </x14:sparkline>
            <x14:sparkline>
              <xm:f>Review!G1725:L1725</xm:f>
              <xm:sqref>N1725</xm:sqref>
            </x14:sparkline>
            <x14:sparkline>
              <xm:f>Review!G1726:L1726</xm:f>
              <xm:sqref>N1726</xm:sqref>
            </x14:sparkline>
            <x14:sparkline>
              <xm:f>Review!G1727:L1727</xm:f>
              <xm:sqref>N1727</xm:sqref>
            </x14:sparkline>
            <x14:sparkline>
              <xm:f>Review!G1728:L1728</xm:f>
              <xm:sqref>N1728</xm:sqref>
            </x14:sparkline>
            <x14:sparkline>
              <xm:f>Review!G1729:L1729</xm:f>
              <xm:sqref>N1729</xm:sqref>
            </x14:sparkline>
            <x14:sparkline>
              <xm:f>Review!G1730:L1730</xm:f>
              <xm:sqref>N1730</xm:sqref>
            </x14:sparkline>
            <x14:sparkline>
              <xm:f>Review!G1731:L1731</xm:f>
              <xm:sqref>N1731</xm:sqref>
            </x14:sparkline>
            <x14:sparkline>
              <xm:f>Review!G1732:L1732</xm:f>
              <xm:sqref>N1732</xm:sqref>
            </x14:sparkline>
            <x14:sparkline>
              <xm:f>Review!G1733:L1733</xm:f>
              <xm:sqref>N1733</xm:sqref>
            </x14:sparkline>
            <x14:sparkline>
              <xm:f>Review!G1734:L1734</xm:f>
              <xm:sqref>N1734</xm:sqref>
            </x14:sparkline>
            <x14:sparkline>
              <xm:f>Review!G1735:L1735</xm:f>
              <xm:sqref>N1735</xm:sqref>
            </x14:sparkline>
            <x14:sparkline>
              <xm:f>Review!G1736:L1736</xm:f>
              <xm:sqref>N1736</xm:sqref>
            </x14:sparkline>
            <x14:sparkline>
              <xm:f>Review!G1737:L1737</xm:f>
              <xm:sqref>N1737</xm:sqref>
            </x14:sparkline>
            <x14:sparkline>
              <xm:f>Review!G1738:L1738</xm:f>
              <xm:sqref>N1738</xm:sqref>
            </x14:sparkline>
            <x14:sparkline>
              <xm:f>Review!G1739:L1739</xm:f>
              <xm:sqref>N1739</xm:sqref>
            </x14:sparkline>
            <x14:sparkline>
              <xm:f>Review!G1740:L1740</xm:f>
              <xm:sqref>N1740</xm:sqref>
            </x14:sparkline>
            <x14:sparkline>
              <xm:f>Review!G1741:L1741</xm:f>
              <xm:sqref>N1741</xm:sqref>
            </x14:sparkline>
            <x14:sparkline>
              <xm:f>Review!G1742:L1742</xm:f>
              <xm:sqref>N1742</xm:sqref>
            </x14:sparkline>
            <x14:sparkline>
              <xm:f>Review!G1743:L1743</xm:f>
              <xm:sqref>N1743</xm:sqref>
            </x14:sparkline>
            <x14:sparkline>
              <xm:f>Review!G1744:L1744</xm:f>
              <xm:sqref>N1744</xm:sqref>
            </x14:sparkline>
            <x14:sparkline>
              <xm:f>Review!G1745:L1745</xm:f>
              <xm:sqref>N1745</xm:sqref>
            </x14:sparkline>
            <x14:sparkline>
              <xm:f>Review!G1746:L1746</xm:f>
              <xm:sqref>N1746</xm:sqref>
            </x14:sparkline>
            <x14:sparkline>
              <xm:f>Review!G1747:L1747</xm:f>
              <xm:sqref>N1747</xm:sqref>
            </x14:sparkline>
            <x14:sparkline>
              <xm:f>Review!G1748:L1748</xm:f>
              <xm:sqref>N1748</xm:sqref>
            </x14:sparkline>
            <x14:sparkline>
              <xm:f>Review!G1749:L1749</xm:f>
              <xm:sqref>N1749</xm:sqref>
            </x14:sparkline>
            <x14:sparkline>
              <xm:f>Review!G1750:L1750</xm:f>
              <xm:sqref>N1750</xm:sqref>
            </x14:sparkline>
            <x14:sparkline>
              <xm:f>Review!G1751:L1751</xm:f>
              <xm:sqref>N1751</xm:sqref>
            </x14:sparkline>
            <x14:sparkline>
              <xm:f>Review!G1752:L1752</xm:f>
              <xm:sqref>N1752</xm:sqref>
            </x14:sparkline>
            <x14:sparkline>
              <xm:f>Review!G1753:L1753</xm:f>
              <xm:sqref>N1753</xm:sqref>
            </x14:sparkline>
            <x14:sparkline>
              <xm:f>Review!G1754:L1754</xm:f>
              <xm:sqref>N1754</xm:sqref>
            </x14:sparkline>
            <x14:sparkline>
              <xm:f>Review!G1755:L1755</xm:f>
              <xm:sqref>N1755</xm:sqref>
            </x14:sparkline>
            <x14:sparkline>
              <xm:f>Review!G1756:L1756</xm:f>
              <xm:sqref>N1756</xm:sqref>
            </x14:sparkline>
            <x14:sparkline>
              <xm:f>Review!G1757:L1757</xm:f>
              <xm:sqref>N1757</xm:sqref>
            </x14:sparkline>
            <x14:sparkline>
              <xm:f>Review!G1758:L1758</xm:f>
              <xm:sqref>N1758</xm:sqref>
            </x14:sparkline>
            <x14:sparkline>
              <xm:f>Review!G1759:L1759</xm:f>
              <xm:sqref>N1759</xm:sqref>
            </x14:sparkline>
            <x14:sparkline>
              <xm:f>Review!G1760:L1760</xm:f>
              <xm:sqref>N1760</xm:sqref>
            </x14:sparkline>
            <x14:sparkline>
              <xm:f>Review!G1761:L1761</xm:f>
              <xm:sqref>N1761</xm:sqref>
            </x14:sparkline>
            <x14:sparkline>
              <xm:f>Review!G1762:L1762</xm:f>
              <xm:sqref>N1762</xm:sqref>
            </x14:sparkline>
            <x14:sparkline>
              <xm:f>Review!G1763:L1763</xm:f>
              <xm:sqref>N1763</xm:sqref>
            </x14:sparkline>
            <x14:sparkline>
              <xm:f>Review!G1764:L1764</xm:f>
              <xm:sqref>N1764</xm:sqref>
            </x14:sparkline>
            <x14:sparkline>
              <xm:f>Review!G1765:L1765</xm:f>
              <xm:sqref>N1765</xm:sqref>
            </x14:sparkline>
            <x14:sparkline>
              <xm:f>Review!G1766:L1766</xm:f>
              <xm:sqref>N1766</xm:sqref>
            </x14:sparkline>
            <x14:sparkline>
              <xm:f>Review!G1767:L1767</xm:f>
              <xm:sqref>N1767</xm:sqref>
            </x14:sparkline>
            <x14:sparkline>
              <xm:f>Review!G1768:L1768</xm:f>
              <xm:sqref>N1768</xm:sqref>
            </x14:sparkline>
            <x14:sparkline>
              <xm:f>Review!G1769:L1769</xm:f>
              <xm:sqref>N1769</xm:sqref>
            </x14:sparkline>
            <x14:sparkline>
              <xm:f>Review!G1770:L1770</xm:f>
              <xm:sqref>N1770</xm:sqref>
            </x14:sparkline>
            <x14:sparkline>
              <xm:f>Review!G1771:L1771</xm:f>
              <xm:sqref>N1771</xm:sqref>
            </x14:sparkline>
            <x14:sparkline>
              <xm:f>Review!G1772:L1772</xm:f>
              <xm:sqref>N1772</xm:sqref>
            </x14:sparkline>
            <x14:sparkline>
              <xm:f>Review!G1773:L1773</xm:f>
              <xm:sqref>N1773</xm:sqref>
            </x14:sparkline>
            <x14:sparkline>
              <xm:f>Review!G1774:L1774</xm:f>
              <xm:sqref>N1774</xm:sqref>
            </x14:sparkline>
            <x14:sparkline>
              <xm:f>Review!G1775:L1775</xm:f>
              <xm:sqref>N1775</xm:sqref>
            </x14:sparkline>
            <x14:sparkline>
              <xm:f>Review!G1776:L1776</xm:f>
              <xm:sqref>N1776</xm:sqref>
            </x14:sparkline>
            <x14:sparkline>
              <xm:f>Review!G1777:L1777</xm:f>
              <xm:sqref>N1777</xm:sqref>
            </x14:sparkline>
            <x14:sparkline>
              <xm:f>Review!G1778:L1778</xm:f>
              <xm:sqref>N1778</xm:sqref>
            </x14:sparkline>
            <x14:sparkline>
              <xm:f>Review!G1779:L1779</xm:f>
              <xm:sqref>N1779</xm:sqref>
            </x14:sparkline>
            <x14:sparkline>
              <xm:f>Review!G1780:L1780</xm:f>
              <xm:sqref>N1780</xm:sqref>
            </x14:sparkline>
            <x14:sparkline>
              <xm:f>Review!G1781:L1781</xm:f>
              <xm:sqref>N1781</xm:sqref>
            </x14:sparkline>
            <x14:sparkline>
              <xm:f>Review!G1782:L1782</xm:f>
              <xm:sqref>N1782</xm:sqref>
            </x14:sparkline>
            <x14:sparkline>
              <xm:f>Review!G1783:L1783</xm:f>
              <xm:sqref>N1783</xm:sqref>
            </x14:sparkline>
            <x14:sparkline>
              <xm:f>Review!G1784:L1784</xm:f>
              <xm:sqref>N1784</xm:sqref>
            </x14:sparkline>
            <x14:sparkline>
              <xm:f>Review!G1785:L1785</xm:f>
              <xm:sqref>N1785</xm:sqref>
            </x14:sparkline>
            <x14:sparkline>
              <xm:f>Review!G1786:L1786</xm:f>
              <xm:sqref>N1786</xm:sqref>
            </x14:sparkline>
            <x14:sparkline>
              <xm:f>Review!G1787:L1787</xm:f>
              <xm:sqref>N1787</xm:sqref>
            </x14:sparkline>
            <x14:sparkline>
              <xm:f>Review!G1788:L1788</xm:f>
              <xm:sqref>N1788</xm:sqref>
            </x14:sparkline>
            <x14:sparkline>
              <xm:f>Review!G1789:L1789</xm:f>
              <xm:sqref>N1789</xm:sqref>
            </x14:sparkline>
            <x14:sparkline>
              <xm:f>Review!G1790:L1790</xm:f>
              <xm:sqref>N1790</xm:sqref>
            </x14:sparkline>
            <x14:sparkline>
              <xm:f>Review!G1791:L1791</xm:f>
              <xm:sqref>N1791</xm:sqref>
            </x14:sparkline>
            <x14:sparkline>
              <xm:f>Review!G1792:L1792</xm:f>
              <xm:sqref>N1792</xm:sqref>
            </x14:sparkline>
            <x14:sparkline>
              <xm:f>Review!G1793:L1793</xm:f>
              <xm:sqref>N1793</xm:sqref>
            </x14:sparkline>
            <x14:sparkline>
              <xm:f>Review!G1794:L1794</xm:f>
              <xm:sqref>N1794</xm:sqref>
            </x14:sparkline>
            <x14:sparkline>
              <xm:f>Review!G1795:L1795</xm:f>
              <xm:sqref>N1795</xm:sqref>
            </x14:sparkline>
            <x14:sparkline>
              <xm:f>Review!G1796:L1796</xm:f>
              <xm:sqref>N1796</xm:sqref>
            </x14:sparkline>
            <x14:sparkline>
              <xm:f>Review!G1797:L1797</xm:f>
              <xm:sqref>N1797</xm:sqref>
            </x14:sparkline>
            <x14:sparkline>
              <xm:f>Review!G1798:L1798</xm:f>
              <xm:sqref>N1798</xm:sqref>
            </x14:sparkline>
            <x14:sparkline>
              <xm:f>Review!G1799:L1799</xm:f>
              <xm:sqref>N1799</xm:sqref>
            </x14:sparkline>
            <x14:sparkline>
              <xm:f>Review!G1800:L1800</xm:f>
              <xm:sqref>N1800</xm:sqref>
            </x14:sparkline>
            <x14:sparkline>
              <xm:f>Review!G1801:L1801</xm:f>
              <xm:sqref>N1801</xm:sqref>
            </x14:sparkline>
            <x14:sparkline>
              <xm:f>Review!G1802:L1802</xm:f>
              <xm:sqref>N1802</xm:sqref>
            </x14:sparkline>
            <x14:sparkline>
              <xm:f>Review!G1803:L1803</xm:f>
              <xm:sqref>N1803</xm:sqref>
            </x14:sparkline>
            <x14:sparkline>
              <xm:f>Review!G1804:L1804</xm:f>
              <xm:sqref>N1804</xm:sqref>
            </x14:sparkline>
            <x14:sparkline>
              <xm:f>Review!G1805:L1805</xm:f>
              <xm:sqref>N1805</xm:sqref>
            </x14:sparkline>
            <x14:sparkline>
              <xm:f>Review!G1806:L1806</xm:f>
              <xm:sqref>N1806</xm:sqref>
            </x14:sparkline>
            <x14:sparkline>
              <xm:f>Review!G1807:L1807</xm:f>
              <xm:sqref>N1807</xm:sqref>
            </x14:sparkline>
            <x14:sparkline>
              <xm:f>Review!G1808:L1808</xm:f>
              <xm:sqref>N1808</xm:sqref>
            </x14:sparkline>
            <x14:sparkline>
              <xm:f>Review!G1809:L1809</xm:f>
              <xm:sqref>N1809</xm:sqref>
            </x14:sparkline>
            <x14:sparkline>
              <xm:f>Review!G1810:L1810</xm:f>
              <xm:sqref>N1810</xm:sqref>
            </x14:sparkline>
            <x14:sparkline>
              <xm:f>Review!G1811:L1811</xm:f>
              <xm:sqref>N1811</xm:sqref>
            </x14:sparkline>
            <x14:sparkline>
              <xm:f>Review!G1812:L1812</xm:f>
              <xm:sqref>N1812</xm:sqref>
            </x14:sparkline>
            <x14:sparkline>
              <xm:f>Review!G1813:L1813</xm:f>
              <xm:sqref>N1813</xm:sqref>
            </x14:sparkline>
            <x14:sparkline>
              <xm:f>Review!G1814:L1814</xm:f>
              <xm:sqref>N1814</xm:sqref>
            </x14:sparkline>
            <x14:sparkline>
              <xm:f>Review!G1815:L1815</xm:f>
              <xm:sqref>N1815</xm:sqref>
            </x14:sparkline>
            <x14:sparkline>
              <xm:f>Review!G1816:L1816</xm:f>
              <xm:sqref>N1816</xm:sqref>
            </x14:sparkline>
            <x14:sparkline>
              <xm:f>Review!G1817:L1817</xm:f>
              <xm:sqref>N1817</xm:sqref>
            </x14:sparkline>
            <x14:sparkline>
              <xm:f>Review!G1818:L1818</xm:f>
              <xm:sqref>N1818</xm:sqref>
            </x14:sparkline>
            <x14:sparkline>
              <xm:f>Review!G1819:L1819</xm:f>
              <xm:sqref>N1819</xm:sqref>
            </x14:sparkline>
            <x14:sparkline>
              <xm:f>Review!G1820:L1820</xm:f>
              <xm:sqref>N1820</xm:sqref>
            </x14:sparkline>
            <x14:sparkline>
              <xm:f>Review!G1821:L1821</xm:f>
              <xm:sqref>N1821</xm:sqref>
            </x14:sparkline>
            <x14:sparkline>
              <xm:f>Review!G1822:L1822</xm:f>
              <xm:sqref>N1822</xm:sqref>
            </x14:sparkline>
            <x14:sparkline>
              <xm:f>Review!G1823:L1823</xm:f>
              <xm:sqref>N1823</xm:sqref>
            </x14:sparkline>
            <x14:sparkline>
              <xm:f>Review!G1824:L1824</xm:f>
              <xm:sqref>N1824</xm:sqref>
            </x14:sparkline>
            <x14:sparkline>
              <xm:f>Review!G1825:L1825</xm:f>
              <xm:sqref>N1825</xm:sqref>
            </x14:sparkline>
            <x14:sparkline>
              <xm:f>Review!G1826:L1826</xm:f>
              <xm:sqref>N1826</xm:sqref>
            </x14:sparkline>
            <x14:sparkline>
              <xm:f>Review!G1827:L1827</xm:f>
              <xm:sqref>N1827</xm:sqref>
            </x14:sparkline>
            <x14:sparkline>
              <xm:f>Review!G1828:L1828</xm:f>
              <xm:sqref>N1828</xm:sqref>
            </x14:sparkline>
            <x14:sparkline>
              <xm:f>Review!G1829:L1829</xm:f>
              <xm:sqref>N1829</xm:sqref>
            </x14:sparkline>
            <x14:sparkline>
              <xm:f>Review!G1830:L1830</xm:f>
              <xm:sqref>N1830</xm:sqref>
            </x14:sparkline>
            <x14:sparkline>
              <xm:f>Review!G1831:L1831</xm:f>
              <xm:sqref>N1831</xm:sqref>
            </x14:sparkline>
            <x14:sparkline>
              <xm:f>Review!G1832:L1832</xm:f>
              <xm:sqref>N1832</xm:sqref>
            </x14:sparkline>
            <x14:sparkline>
              <xm:f>Review!G1833:L1833</xm:f>
              <xm:sqref>N1833</xm:sqref>
            </x14:sparkline>
            <x14:sparkline>
              <xm:f>Review!G1834:L1834</xm:f>
              <xm:sqref>N1834</xm:sqref>
            </x14:sparkline>
            <x14:sparkline>
              <xm:f>Review!G1835:L1835</xm:f>
              <xm:sqref>N1835</xm:sqref>
            </x14:sparkline>
            <x14:sparkline>
              <xm:f>Review!G1836:L1836</xm:f>
              <xm:sqref>N1836</xm:sqref>
            </x14:sparkline>
            <x14:sparkline>
              <xm:f>Review!G1837:L1837</xm:f>
              <xm:sqref>N1837</xm:sqref>
            </x14:sparkline>
            <x14:sparkline>
              <xm:f>Review!G1838:L1838</xm:f>
              <xm:sqref>N1838</xm:sqref>
            </x14:sparkline>
            <x14:sparkline>
              <xm:f>Review!G1839:L1839</xm:f>
              <xm:sqref>N1839</xm:sqref>
            </x14:sparkline>
            <x14:sparkline>
              <xm:f>Review!G1840:L1840</xm:f>
              <xm:sqref>N1840</xm:sqref>
            </x14:sparkline>
            <x14:sparkline>
              <xm:f>Review!G1841:L1841</xm:f>
              <xm:sqref>N1841</xm:sqref>
            </x14:sparkline>
            <x14:sparkline>
              <xm:f>Review!G1842:L1842</xm:f>
              <xm:sqref>N1842</xm:sqref>
            </x14:sparkline>
            <x14:sparkline>
              <xm:f>Review!G1843:L1843</xm:f>
              <xm:sqref>N1843</xm:sqref>
            </x14:sparkline>
            <x14:sparkline>
              <xm:f>Review!G1844:L1844</xm:f>
              <xm:sqref>N1844</xm:sqref>
            </x14:sparkline>
            <x14:sparkline>
              <xm:f>Review!G1845:L1845</xm:f>
              <xm:sqref>N1845</xm:sqref>
            </x14:sparkline>
            <x14:sparkline>
              <xm:f>Review!G1846:L1846</xm:f>
              <xm:sqref>N1846</xm:sqref>
            </x14:sparkline>
            <x14:sparkline>
              <xm:f>Review!G1847:L1847</xm:f>
              <xm:sqref>N1847</xm:sqref>
            </x14:sparkline>
            <x14:sparkline>
              <xm:f>Review!G1848:L1848</xm:f>
              <xm:sqref>N1848</xm:sqref>
            </x14:sparkline>
            <x14:sparkline>
              <xm:f>Review!G1849:L1849</xm:f>
              <xm:sqref>N1849</xm:sqref>
            </x14:sparkline>
            <x14:sparkline>
              <xm:f>Review!G1850:L1850</xm:f>
              <xm:sqref>N1850</xm:sqref>
            </x14:sparkline>
            <x14:sparkline>
              <xm:f>Review!G1851:L1851</xm:f>
              <xm:sqref>N1851</xm:sqref>
            </x14:sparkline>
          </x14:sparklines>
        </x14:sparklineGroup>
        <x14:sparklineGroup type="column" displayEmptyCellsAs="gap" high="1" xr2:uid="{93F18F20-C486-4874-BDDD-2C4E90F351A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Review!A2:F2</xm:f>
              <xm:sqref>M2</xm:sqref>
            </x14:sparkline>
            <x14:sparkline>
              <xm:f>Review!A3:F3</xm:f>
              <xm:sqref>M3</xm:sqref>
            </x14:sparkline>
            <x14:sparkline>
              <xm:f>Review!A4:F4</xm:f>
              <xm:sqref>M4</xm:sqref>
            </x14:sparkline>
            <x14:sparkline>
              <xm:f>Review!A5:F5</xm:f>
              <xm:sqref>M5</xm:sqref>
            </x14:sparkline>
            <x14:sparkline>
              <xm:f>Review!A6:F6</xm:f>
              <xm:sqref>M6</xm:sqref>
            </x14:sparkline>
            <x14:sparkline>
              <xm:f>Review!A7:F7</xm:f>
              <xm:sqref>M7</xm:sqref>
            </x14:sparkline>
            <x14:sparkline>
              <xm:f>Review!A8:F8</xm:f>
              <xm:sqref>M8</xm:sqref>
            </x14:sparkline>
            <x14:sparkline>
              <xm:f>Review!A9:F9</xm:f>
              <xm:sqref>M9</xm:sqref>
            </x14:sparkline>
            <x14:sparkline>
              <xm:f>Review!A10:F10</xm:f>
              <xm:sqref>M10</xm:sqref>
            </x14:sparkline>
            <x14:sparkline>
              <xm:f>Review!A11:F11</xm:f>
              <xm:sqref>M11</xm:sqref>
            </x14:sparkline>
            <x14:sparkline>
              <xm:f>Review!A12:F12</xm:f>
              <xm:sqref>M12</xm:sqref>
            </x14:sparkline>
            <x14:sparkline>
              <xm:f>Review!A13:F13</xm:f>
              <xm:sqref>M13</xm:sqref>
            </x14:sparkline>
            <x14:sparkline>
              <xm:f>Review!A14:F14</xm:f>
              <xm:sqref>M14</xm:sqref>
            </x14:sparkline>
            <x14:sparkline>
              <xm:f>Review!A15:F15</xm:f>
              <xm:sqref>M15</xm:sqref>
            </x14:sparkline>
            <x14:sparkline>
              <xm:f>Review!A16:F16</xm:f>
              <xm:sqref>M16</xm:sqref>
            </x14:sparkline>
            <x14:sparkline>
              <xm:f>Review!A17:F17</xm:f>
              <xm:sqref>M17</xm:sqref>
            </x14:sparkline>
            <x14:sparkline>
              <xm:f>Review!A18:F18</xm:f>
              <xm:sqref>M18</xm:sqref>
            </x14:sparkline>
            <x14:sparkline>
              <xm:f>Review!A19:F19</xm:f>
              <xm:sqref>M19</xm:sqref>
            </x14:sparkline>
            <x14:sparkline>
              <xm:f>Review!A20:F20</xm:f>
              <xm:sqref>M20</xm:sqref>
            </x14:sparkline>
            <x14:sparkline>
              <xm:f>Review!A21:F21</xm:f>
              <xm:sqref>M21</xm:sqref>
            </x14:sparkline>
            <x14:sparkline>
              <xm:f>Review!A22:F22</xm:f>
              <xm:sqref>M22</xm:sqref>
            </x14:sparkline>
            <x14:sparkline>
              <xm:f>Review!A23:F23</xm:f>
              <xm:sqref>M23</xm:sqref>
            </x14:sparkline>
            <x14:sparkline>
              <xm:f>Review!A24:F24</xm:f>
              <xm:sqref>M24</xm:sqref>
            </x14:sparkline>
            <x14:sparkline>
              <xm:f>Review!A25:F25</xm:f>
              <xm:sqref>M25</xm:sqref>
            </x14:sparkline>
            <x14:sparkline>
              <xm:f>Review!A26:F26</xm:f>
              <xm:sqref>M26</xm:sqref>
            </x14:sparkline>
            <x14:sparkline>
              <xm:f>Review!A27:F27</xm:f>
              <xm:sqref>M27</xm:sqref>
            </x14:sparkline>
            <x14:sparkline>
              <xm:f>Review!A28:F28</xm:f>
              <xm:sqref>M28</xm:sqref>
            </x14:sparkline>
            <x14:sparkline>
              <xm:f>Review!A29:F29</xm:f>
              <xm:sqref>M29</xm:sqref>
            </x14:sparkline>
            <x14:sparkline>
              <xm:f>Review!A30:F30</xm:f>
              <xm:sqref>M30</xm:sqref>
            </x14:sparkline>
            <x14:sparkline>
              <xm:f>Review!A31:F31</xm:f>
              <xm:sqref>M31</xm:sqref>
            </x14:sparkline>
            <x14:sparkline>
              <xm:f>Review!A32:F32</xm:f>
              <xm:sqref>M32</xm:sqref>
            </x14:sparkline>
            <x14:sparkline>
              <xm:f>Review!A33:F33</xm:f>
              <xm:sqref>M33</xm:sqref>
            </x14:sparkline>
            <x14:sparkline>
              <xm:f>Review!A34:F34</xm:f>
              <xm:sqref>M34</xm:sqref>
            </x14:sparkline>
            <x14:sparkline>
              <xm:f>Review!A35:F35</xm:f>
              <xm:sqref>M35</xm:sqref>
            </x14:sparkline>
            <x14:sparkline>
              <xm:f>Review!A36:F36</xm:f>
              <xm:sqref>M36</xm:sqref>
            </x14:sparkline>
            <x14:sparkline>
              <xm:f>Review!A37:F37</xm:f>
              <xm:sqref>M37</xm:sqref>
            </x14:sparkline>
            <x14:sparkline>
              <xm:f>Review!A38:F38</xm:f>
              <xm:sqref>M38</xm:sqref>
            </x14:sparkline>
            <x14:sparkline>
              <xm:f>Review!A39:F39</xm:f>
              <xm:sqref>M39</xm:sqref>
            </x14:sparkline>
            <x14:sparkline>
              <xm:f>Review!A40:F40</xm:f>
              <xm:sqref>M40</xm:sqref>
            </x14:sparkline>
            <x14:sparkline>
              <xm:f>Review!A41:F41</xm:f>
              <xm:sqref>M41</xm:sqref>
            </x14:sparkline>
            <x14:sparkline>
              <xm:f>Review!A42:F42</xm:f>
              <xm:sqref>M42</xm:sqref>
            </x14:sparkline>
            <x14:sparkline>
              <xm:f>Review!A43:F43</xm:f>
              <xm:sqref>M43</xm:sqref>
            </x14:sparkline>
            <x14:sparkline>
              <xm:f>Review!A44:F44</xm:f>
              <xm:sqref>M44</xm:sqref>
            </x14:sparkline>
            <x14:sparkline>
              <xm:f>Review!A45:F45</xm:f>
              <xm:sqref>M45</xm:sqref>
            </x14:sparkline>
            <x14:sparkline>
              <xm:f>Review!A46:F46</xm:f>
              <xm:sqref>M46</xm:sqref>
            </x14:sparkline>
            <x14:sparkline>
              <xm:f>Review!A47:F47</xm:f>
              <xm:sqref>M47</xm:sqref>
            </x14:sparkline>
            <x14:sparkline>
              <xm:f>Review!A48:F48</xm:f>
              <xm:sqref>M48</xm:sqref>
            </x14:sparkline>
            <x14:sparkline>
              <xm:f>Review!A49:F49</xm:f>
              <xm:sqref>M49</xm:sqref>
            </x14:sparkline>
            <x14:sparkline>
              <xm:f>Review!A50:F50</xm:f>
              <xm:sqref>M50</xm:sqref>
            </x14:sparkline>
            <x14:sparkline>
              <xm:f>Review!A51:F51</xm:f>
              <xm:sqref>M51</xm:sqref>
            </x14:sparkline>
            <x14:sparkline>
              <xm:f>Review!A52:F52</xm:f>
              <xm:sqref>M52</xm:sqref>
            </x14:sparkline>
            <x14:sparkline>
              <xm:f>Review!A53:F53</xm:f>
              <xm:sqref>M53</xm:sqref>
            </x14:sparkline>
            <x14:sparkline>
              <xm:f>Review!A54:F54</xm:f>
              <xm:sqref>M54</xm:sqref>
            </x14:sparkline>
            <x14:sparkline>
              <xm:f>Review!A55:F55</xm:f>
              <xm:sqref>M55</xm:sqref>
            </x14:sparkline>
            <x14:sparkline>
              <xm:f>Review!A56:F56</xm:f>
              <xm:sqref>M56</xm:sqref>
            </x14:sparkline>
            <x14:sparkline>
              <xm:f>Review!A57:F57</xm:f>
              <xm:sqref>M57</xm:sqref>
            </x14:sparkline>
            <x14:sparkline>
              <xm:f>Review!A58:F58</xm:f>
              <xm:sqref>M58</xm:sqref>
            </x14:sparkline>
            <x14:sparkline>
              <xm:f>Review!A59:F59</xm:f>
              <xm:sqref>M59</xm:sqref>
            </x14:sparkline>
            <x14:sparkline>
              <xm:f>Review!A60:F60</xm:f>
              <xm:sqref>M60</xm:sqref>
            </x14:sparkline>
            <x14:sparkline>
              <xm:f>Review!A61:F61</xm:f>
              <xm:sqref>M61</xm:sqref>
            </x14:sparkline>
            <x14:sparkline>
              <xm:f>Review!A62:F62</xm:f>
              <xm:sqref>M62</xm:sqref>
            </x14:sparkline>
            <x14:sparkline>
              <xm:f>Review!A63:F63</xm:f>
              <xm:sqref>M63</xm:sqref>
            </x14:sparkline>
            <x14:sparkline>
              <xm:f>Review!A64:F64</xm:f>
              <xm:sqref>M64</xm:sqref>
            </x14:sparkline>
            <x14:sparkline>
              <xm:f>Review!A65:F65</xm:f>
              <xm:sqref>M65</xm:sqref>
            </x14:sparkline>
            <x14:sparkline>
              <xm:f>Review!A66:F66</xm:f>
              <xm:sqref>M66</xm:sqref>
            </x14:sparkline>
            <x14:sparkline>
              <xm:f>Review!A67:F67</xm:f>
              <xm:sqref>M67</xm:sqref>
            </x14:sparkline>
            <x14:sparkline>
              <xm:f>Review!A68:F68</xm:f>
              <xm:sqref>M68</xm:sqref>
            </x14:sparkline>
            <x14:sparkline>
              <xm:f>Review!A69:F69</xm:f>
              <xm:sqref>M69</xm:sqref>
            </x14:sparkline>
            <x14:sparkline>
              <xm:f>Review!A70:F70</xm:f>
              <xm:sqref>M70</xm:sqref>
            </x14:sparkline>
            <x14:sparkline>
              <xm:f>Review!A71:F71</xm:f>
              <xm:sqref>M71</xm:sqref>
            </x14:sparkline>
            <x14:sparkline>
              <xm:f>Review!A72:F72</xm:f>
              <xm:sqref>M72</xm:sqref>
            </x14:sparkline>
            <x14:sparkline>
              <xm:f>Review!A73:F73</xm:f>
              <xm:sqref>M73</xm:sqref>
            </x14:sparkline>
            <x14:sparkline>
              <xm:f>Review!A74:F74</xm:f>
              <xm:sqref>M74</xm:sqref>
            </x14:sparkline>
            <x14:sparkline>
              <xm:f>Review!A75:F75</xm:f>
              <xm:sqref>M75</xm:sqref>
            </x14:sparkline>
            <x14:sparkline>
              <xm:f>Review!A76:F76</xm:f>
              <xm:sqref>M76</xm:sqref>
            </x14:sparkline>
            <x14:sparkline>
              <xm:f>Review!A77:F77</xm:f>
              <xm:sqref>M77</xm:sqref>
            </x14:sparkline>
            <x14:sparkline>
              <xm:f>Review!A78:F78</xm:f>
              <xm:sqref>M78</xm:sqref>
            </x14:sparkline>
            <x14:sparkline>
              <xm:f>Review!A79:F79</xm:f>
              <xm:sqref>M79</xm:sqref>
            </x14:sparkline>
            <x14:sparkline>
              <xm:f>Review!A80:F80</xm:f>
              <xm:sqref>M80</xm:sqref>
            </x14:sparkline>
            <x14:sparkline>
              <xm:f>Review!A81:F81</xm:f>
              <xm:sqref>M81</xm:sqref>
            </x14:sparkline>
            <x14:sparkline>
              <xm:f>Review!A82:F82</xm:f>
              <xm:sqref>M82</xm:sqref>
            </x14:sparkline>
            <x14:sparkline>
              <xm:f>Review!A83:F83</xm:f>
              <xm:sqref>M83</xm:sqref>
            </x14:sparkline>
            <x14:sparkline>
              <xm:f>Review!A84:F84</xm:f>
              <xm:sqref>M84</xm:sqref>
            </x14:sparkline>
            <x14:sparkline>
              <xm:f>Review!A85:F85</xm:f>
              <xm:sqref>M85</xm:sqref>
            </x14:sparkline>
            <x14:sparkline>
              <xm:f>Review!A86:F86</xm:f>
              <xm:sqref>M86</xm:sqref>
            </x14:sparkline>
            <x14:sparkline>
              <xm:f>Review!A87:F87</xm:f>
              <xm:sqref>M87</xm:sqref>
            </x14:sparkline>
            <x14:sparkline>
              <xm:f>Review!A88:F88</xm:f>
              <xm:sqref>M88</xm:sqref>
            </x14:sparkline>
            <x14:sparkline>
              <xm:f>Review!A89:F89</xm:f>
              <xm:sqref>M89</xm:sqref>
            </x14:sparkline>
            <x14:sparkline>
              <xm:f>Review!A90:F90</xm:f>
              <xm:sqref>M90</xm:sqref>
            </x14:sparkline>
            <x14:sparkline>
              <xm:f>Review!A91:F91</xm:f>
              <xm:sqref>M91</xm:sqref>
            </x14:sparkline>
            <x14:sparkline>
              <xm:f>Review!A92:F92</xm:f>
              <xm:sqref>M92</xm:sqref>
            </x14:sparkline>
            <x14:sparkline>
              <xm:f>Review!A93:F93</xm:f>
              <xm:sqref>M93</xm:sqref>
            </x14:sparkline>
            <x14:sparkline>
              <xm:f>Review!A94:F94</xm:f>
              <xm:sqref>M94</xm:sqref>
            </x14:sparkline>
            <x14:sparkline>
              <xm:f>Review!A95:F95</xm:f>
              <xm:sqref>M95</xm:sqref>
            </x14:sparkline>
            <x14:sparkline>
              <xm:f>Review!A96:F96</xm:f>
              <xm:sqref>M96</xm:sqref>
            </x14:sparkline>
            <x14:sparkline>
              <xm:f>Review!A97:F97</xm:f>
              <xm:sqref>M97</xm:sqref>
            </x14:sparkline>
            <x14:sparkline>
              <xm:f>Review!A98:F98</xm:f>
              <xm:sqref>M98</xm:sqref>
            </x14:sparkline>
            <x14:sparkline>
              <xm:f>Review!A99:F99</xm:f>
              <xm:sqref>M99</xm:sqref>
            </x14:sparkline>
            <x14:sparkline>
              <xm:f>Review!A100:F100</xm:f>
              <xm:sqref>M100</xm:sqref>
            </x14:sparkline>
            <x14:sparkline>
              <xm:f>Review!A101:F101</xm:f>
              <xm:sqref>M101</xm:sqref>
            </x14:sparkline>
            <x14:sparkline>
              <xm:f>Review!A102:F102</xm:f>
              <xm:sqref>M102</xm:sqref>
            </x14:sparkline>
            <x14:sparkline>
              <xm:f>Review!A103:F103</xm:f>
              <xm:sqref>M103</xm:sqref>
            </x14:sparkline>
            <x14:sparkline>
              <xm:f>Review!A104:F104</xm:f>
              <xm:sqref>M104</xm:sqref>
            </x14:sparkline>
            <x14:sparkline>
              <xm:f>Review!A105:F105</xm:f>
              <xm:sqref>M105</xm:sqref>
            </x14:sparkline>
            <x14:sparkline>
              <xm:f>Review!A106:F106</xm:f>
              <xm:sqref>M106</xm:sqref>
            </x14:sparkline>
            <x14:sparkline>
              <xm:f>Review!A107:F107</xm:f>
              <xm:sqref>M107</xm:sqref>
            </x14:sparkline>
            <x14:sparkline>
              <xm:f>Review!A108:F108</xm:f>
              <xm:sqref>M108</xm:sqref>
            </x14:sparkline>
            <x14:sparkline>
              <xm:f>Review!A109:F109</xm:f>
              <xm:sqref>M109</xm:sqref>
            </x14:sparkline>
            <x14:sparkline>
              <xm:f>Review!A110:F110</xm:f>
              <xm:sqref>M110</xm:sqref>
            </x14:sparkline>
            <x14:sparkline>
              <xm:f>Review!A111:F111</xm:f>
              <xm:sqref>M111</xm:sqref>
            </x14:sparkline>
            <x14:sparkline>
              <xm:f>Review!A112:F112</xm:f>
              <xm:sqref>M112</xm:sqref>
            </x14:sparkline>
            <x14:sparkline>
              <xm:f>Review!A113:F113</xm:f>
              <xm:sqref>M113</xm:sqref>
            </x14:sparkline>
            <x14:sparkline>
              <xm:f>Review!A114:F114</xm:f>
              <xm:sqref>M114</xm:sqref>
            </x14:sparkline>
            <x14:sparkline>
              <xm:f>Review!A115:F115</xm:f>
              <xm:sqref>M115</xm:sqref>
            </x14:sparkline>
            <x14:sparkline>
              <xm:f>Review!A116:F116</xm:f>
              <xm:sqref>M116</xm:sqref>
            </x14:sparkline>
            <x14:sparkline>
              <xm:f>Review!A117:F117</xm:f>
              <xm:sqref>M117</xm:sqref>
            </x14:sparkline>
            <x14:sparkline>
              <xm:f>Review!A118:F118</xm:f>
              <xm:sqref>M118</xm:sqref>
            </x14:sparkline>
            <x14:sparkline>
              <xm:f>Review!A119:F119</xm:f>
              <xm:sqref>M119</xm:sqref>
            </x14:sparkline>
            <x14:sparkline>
              <xm:f>Review!A120:F120</xm:f>
              <xm:sqref>M120</xm:sqref>
            </x14:sparkline>
            <x14:sparkline>
              <xm:f>Review!A121:F121</xm:f>
              <xm:sqref>M121</xm:sqref>
            </x14:sparkline>
            <x14:sparkline>
              <xm:f>Review!A122:F122</xm:f>
              <xm:sqref>M122</xm:sqref>
            </x14:sparkline>
            <x14:sparkline>
              <xm:f>Review!A123:F123</xm:f>
              <xm:sqref>M123</xm:sqref>
            </x14:sparkline>
            <x14:sparkline>
              <xm:f>Review!A124:F124</xm:f>
              <xm:sqref>M124</xm:sqref>
            </x14:sparkline>
            <x14:sparkline>
              <xm:f>Review!A125:F125</xm:f>
              <xm:sqref>M125</xm:sqref>
            </x14:sparkline>
            <x14:sparkline>
              <xm:f>Review!A126:F126</xm:f>
              <xm:sqref>M126</xm:sqref>
            </x14:sparkline>
            <x14:sparkline>
              <xm:f>Review!A127:F127</xm:f>
              <xm:sqref>M127</xm:sqref>
            </x14:sparkline>
            <x14:sparkline>
              <xm:f>Review!A128:F128</xm:f>
              <xm:sqref>M128</xm:sqref>
            </x14:sparkline>
            <x14:sparkline>
              <xm:f>Review!A129:F129</xm:f>
              <xm:sqref>M129</xm:sqref>
            </x14:sparkline>
            <x14:sparkline>
              <xm:f>Review!A130:F130</xm:f>
              <xm:sqref>M130</xm:sqref>
            </x14:sparkline>
            <x14:sparkline>
              <xm:f>Review!A131:F131</xm:f>
              <xm:sqref>M131</xm:sqref>
            </x14:sparkline>
            <x14:sparkline>
              <xm:f>Review!A132:F132</xm:f>
              <xm:sqref>M132</xm:sqref>
            </x14:sparkline>
            <x14:sparkline>
              <xm:f>Review!A133:F133</xm:f>
              <xm:sqref>M133</xm:sqref>
            </x14:sparkline>
            <x14:sparkline>
              <xm:f>Review!A134:F134</xm:f>
              <xm:sqref>M134</xm:sqref>
            </x14:sparkline>
            <x14:sparkline>
              <xm:f>Review!A135:F135</xm:f>
              <xm:sqref>M135</xm:sqref>
            </x14:sparkline>
            <x14:sparkline>
              <xm:f>Review!A136:F136</xm:f>
              <xm:sqref>M136</xm:sqref>
            </x14:sparkline>
            <x14:sparkline>
              <xm:f>Review!A137:F137</xm:f>
              <xm:sqref>M137</xm:sqref>
            </x14:sparkline>
            <x14:sparkline>
              <xm:f>Review!A138:F138</xm:f>
              <xm:sqref>M138</xm:sqref>
            </x14:sparkline>
            <x14:sparkline>
              <xm:f>Review!A139:F139</xm:f>
              <xm:sqref>M139</xm:sqref>
            </x14:sparkline>
            <x14:sparkline>
              <xm:f>Review!A140:F140</xm:f>
              <xm:sqref>M140</xm:sqref>
            </x14:sparkline>
            <x14:sparkline>
              <xm:f>Review!A141:F141</xm:f>
              <xm:sqref>M141</xm:sqref>
            </x14:sparkline>
            <x14:sparkline>
              <xm:f>Review!A142:F142</xm:f>
              <xm:sqref>M142</xm:sqref>
            </x14:sparkline>
            <x14:sparkline>
              <xm:f>Review!A143:F143</xm:f>
              <xm:sqref>M143</xm:sqref>
            </x14:sparkline>
            <x14:sparkline>
              <xm:f>Review!A144:F144</xm:f>
              <xm:sqref>M144</xm:sqref>
            </x14:sparkline>
            <x14:sparkline>
              <xm:f>Review!A145:F145</xm:f>
              <xm:sqref>M145</xm:sqref>
            </x14:sparkline>
            <x14:sparkline>
              <xm:f>Review!A146:F146</xm:f>
              <xm:sqref>M146</xm:sqref>
            </x14:sparkline>
            <x14:sparkline>
              <xm:f>Review!A147:F147</xm:f>
              <xm:sqref>M147</xm:sqref>
            </x14:sparkline>
            <x14:sparkline>
              <xm:f>Review!A148:F148</xm:f>
              <xm:sqref>M148</xm:sqref>
            </x14:sparkline>
            <x14:sparkline>
              <xm:f>Review!A149:F149</xm:f>
              <xm:sqref>M149</xm:sqref>
            </x14:sparkline>
            <x14:sparkline>
              <xm:f>Review!A150:F150</xm:f>
              <xm:sqref>M150</xm:sqref>
            </x14:sparkline>
            <x14:sparkline>
              <xm:f>Review!A151:F151</xm:f>
              <xm:sqref>M151</xm:sqref>
            </x14:sparkline>
            <x14:sparkline>
              <xm:f>Review!A152:F152</xm:f>
              <xm:sqref>M152</xm:sqref>
            </x14:sparkline>
            <x14:sparkline>
              <xm:f>Review!A153:F153</xm:f>
              <xm:sqref>M153</xm:sqref>
            </x14:sparkline>
            <x14:sparkline>
              <xm:f>Review!A154:F154</xm:f>
              <xm:sqref>M154</xm:sqref>
            </x14:sparkline>
            <x14:sparkline>
              <xm:f>Review!A155:F155</xm:f>
              <xm:sqref>M155</xm:sqref>
            </x14:sparkline>
            <x14:sparkline>
              <xm:f>Review!A156:F156</xm:f>
              <xm:sqref>M156</xm:sqref>
            </x14:sparkline>
            <x14:sparkline>
              <xm:f>Review!A157:F157</xm:f>
              <xm:sqref>M157</xm:sqref>
            </x14:sparkline>
            <x14:sparkline>
              <xm:f>Review!A158:F158</xm:f>
              <xm:sqref>M158</xm:sqref>
            </x14:sparkline>
            <x14:sparkline>
              <xm:f>Review!A159:F159</xm:f>
              <xm:sqref>M159</xm:sqref>
            </x14:sparkline>
            <x14:sparkline>
              <xm:f>Review!A160:F160</xm:f>
              <xm:sqref>M160</xm:sqref>
            </x14:sparkline>
            <x14:sparkline>
              <xm:f>Review!A161:F161</xm:f>
              <xm:sqref>M161</xm:sqref>
            </x14:sparkline>
            <x14:sparkline>
              <xm:f>Review!A162:F162</xm:f>
              <xm:sqref>M162</xm:sqref>
            </x14:sparkline>
            <x14:sparkline>
              <xm:f>Review!A163:F163</xm:f>
              <xm:sqref>M163</xm:sqref>
            </x14:sparkline>
            <x14:sparkline>
              <xm:f>Review!A164:F164</xm:f>
              <xm:sqref>M164</xm:sqref>
            </x14:sparkline>
            <x14:sparkline>
              <xm:f>Review!A165:F165</xm:f>
              <xm:sqref>M165</xm:sqref>
            </x14:sparkline>
            <x14:sparkline>
              <xm:f>Review!A166:F166</xm:f>
              <xm:sqref>M166</xm:sqref>
            </x14:sparkline>
            <x14:sparkline>
              <xm:f>Review!A167:F167</xm:f>
              <xm:sqref>M167</xm:sqref>
            </x14:sparkline>
            <x14:sparkline>
              <xm:f>Review!A168:F168</xm:f>
              <xm:sqref>M168</xm:sqref>
            </x14:sparkline>
            <x14:sparkline>
              <xm:f>Review!A169:F169</xm:f>
              <xm:sqref>M169</xm:sqref>
            </x14:sparkline>
            <x14:sparkline>
              <xm:f>Review!A170:F170</xm:f>
              <xm:sqref>M170</xm:sqref>
            </x14:sparkline>
            <x14:sparkline>
              <xm:f>Review!A171:F171</xm:f>
              <xm:sqref>M171</xm:sqref>
            </x14:sparkline>
            <x14:sparkline>
              <xm:f>Review!A172:F172</xm:f>
              <xm:sqref>M172</xm:sqref>
            </x14:sparkline>
            <x14:sparkline>
              <xm:f>Review!A173:F173</xm:f>
              <xm:sqref>M173</xm:sqref>
            </x14:sparkline>
            <x14:sparkline>
              <xm:f>Review!A174:F174</xm:f>
              <xm:sqref>M174</xm:sqref>
            </x14:sparkline>
            <x14:sparkline>
              <xm:f>Review!A175:F175</xm:f>
              <xm:sqref>M175</xm:sqref>
            </x14:sparkline>
            <x14:sparkline>
              <xm:f>Review!A176:F176</xm:f>
              <xm:sqref>M176</xm:sqref>
            </x14:sparkline>
            <x14:sparkline>
              <xm:f>Review!A177:F177</xm:f>
              <xm:sqref>M177</xm:sqref>
            </x14:sparkline>
            <x14:sparkline>
              <xm:f>Review!A178:F178</xm:f>
              <xm:sqref>M178</xm:sqref>
            </x14:sparkline>
            <x14:sparkline>
              <xm:f>Review!A179:F179</xm:f>
              <xm:sqref>M179</xm:sqref>
            </x14:sparkline>
            <x14:sparkline>
              <xm:f>Review!A180:F180</xm:f>
              <xm:sqref>M180</xm:sqref>
            </x14:sparkline>
            <x14:sparkline>
              <xm:f>Review!A181:F181</xm:f>
              <xm:sqref>M181</xm:sqref>
            </x14:sparkline>
            <x14:sparkline>
              <xm:f>Review!A182:F182</xm:f>
              <xm:sqref>M182</xm:sqref>
            </x14:sparkline>
            <x14:sparkline>
              <xm:f>Review!A183:F183</xm:f>
              <xm:sqref>M183</xm:sqref>
            </x14:sparkline>
            <x14:sparkline>
              <xm:f>Review!A184:F184</xm:f>
              <xm:sqref>M184</xm:sqref>
            </x14:sparkline>
            <x14:sparkline>
              <xm:f>Review!A185:F185</xm:f>
              <xm:sqref>M185</xm:sqref>
            </x14:sparkline>
            <x14:sparkline>
              <xm:f>Review!A186:F186</xm:f>
              <xm:sqref>M186</xm:sqref>
            </x14:sparkline>
            <x14:sparkline>
              <xm:f>Review!A187:F187</xm:f>
              <xm:sqref>M187</xm:sqref>
            </x14:sparkline>
            <x14:sparkline>
              <xm:f>Review!A188:F188</xm:f>
              <xm:sqref>M188</xm:sqref>
            </x14:sparkline>
            <x14:sparkline>
              <xm:f>Review!A189:F189</xm:f>
              <xm:sqref>M189</xm:sqref>
            </x14:sparkline>
            <x14:sparkline>
              <xm:f>Review!A190:F190</xm:f>
              <xm:sqref>M190</xm:sqref>
            </x14:sparkline>
            <x14:sparkline>
              <xm:f>Review!A191:F191</xm:f>
              <xm:sqref>M191</xm:sqref>
            </x14:sparkline>
            <x14:sparkline>
              <xm:f>Review!A192:F192</xm:f>
              <xm:sqref>M192</xm:sqref>
            </x14:sparkline>
            <x14:sparkline>
              <xm:f>Review!A193:F193</xm:f>
              <xm:sqref>M193</xm:sqref>
            </x14:sparkline>
            <x14:sparkline>
              <xm:f>Review!A194:F194</xm:f>
              <xm:sqref>M194</xm:sqref>
            </x14:sparkline>
            <x14:sparkline>
              <xm:f>Review!A195:F195</xm:f>
              <xm:sqref>M195</xm:sqref>
            </x14:sparkline>
            <x14:sparkline>
              <xm:f>Review!A196:F196</xm:f>
              <xm:sqref>M196</xm:sqref>
            </x14:sparkline>
            <x14:sparkline>
              <xm:f>Review!A197:F197</xm:f>
              <xm:sqref>M197</xm:sqref>
            </x14:sparkline>
            <x14:sparkline>
              <xm:f>Review!A198:F198</xm:f>
              <xm:sqref>M198</xm:sqref>
            </x14:sparkline>
            <x14:sparkline>
              <xm:f>Review!A199:F199</xm:f>
              <xm:sqref>M199</xm:sqref>
            </x14:sparkline>
            <x14:sparkline>
              <xm:f>Review!A200:F200</xm:f>
              <xm:sqref>M200</xm:sqref>
            </x14:sparkline>
            <x14:sparkline>
              <xm:f>Review!A201:F201</xm:f>
              <xm:sqref>M201</xm:sqref>
            </x14:sparkline>
            <x14:sparkline>
              <xm:f>Review!A202:F202</xm:f>
              <xm:sqref>M202</xm:sqref>
            </x14:sparkline>
            <x14:sparkline>
              <xm:f>Review!A203:F203</xm:f>
              <xm:sqref>M203</xm:sqref>
            </x14:sparkline>
            <x14:sparkline>
              <xm:f>Review!A204:F204</xm:f>
              <xm:sqref>M204</xm:sqref>
            </x14:sparkline>
            <x14:sparkline>
              <xm:f>Review!A205:F205</xm:f>
              <xm:sqref>M205</xm:sqref>
            </x14:sparkline>
            <x14:sparkline>
              <xm:f>Review!A206:F206</xm:f>
              <xm:sqref>M206</xm:sqref>
            </x14:sparkline>
            <x14:sparkline>
              <xm:f>Review!A207:F207</xm:f>
              <xm:sqref>M207</xm:sqref>
            </x14:sparkline>
            <x14:sparkline>
              <xm:f>Review!A208:F208</xm:f>
              <xm:sqref>M208</xm:sqref>
            </x14:sparkline>
            <x14:sparkline>
              <xm:f>Review!A209:F209</xm:f>
              <xm:sqref>M209</xm:sqref>
            </x14:sparkline>
            <x14:sparkline>
              <xm:f>Review!A210:F210</xm:f>
              <xm:sqref>M210</xm:sqref>
            </x14:sparkline>
            <x14:sparkline>
              <xm:f>Review!A211:F211</xm:f>
              <xm:sqref>M211</xm:sqref>
            </x14:sparkline>
            <x14:sparkline>
              <xm:f>Review!A212:F212</xm:f>
              <xm:sqref>M212</xm:sqref>
            </x14:sparkline>
            <x14:sparkline>
              <xm:f>Review!A213:F213</xm:f>
              <xm:sqref>M213</xm:sqref>
            </x14:sparkline>
            <x14:sparkline>
              <xm:f>Review!A214:F214</xm:f>
              <xm:sqref>M214</xm:sqref>
            </x14:sparkline>
            <x14:sparkline>
              <xm:f>Review!A215:F215</xm:f>
              <xm:sqref>M215</xm:sqref>
            </x14:sparkline>
            <x14:sparkline>
              <xm:f>Review!A216:F216</xm:f>
              <xm:sqref>M216</xm:sqref>
            </x14:sparkline>
            <x14:sparkline>
              <xm:f>Review!A217:F217</xm:f>
              <xm:sqref>M217</xm:sqref>
            </x14:sparkline>
            <x14:sparkline>
              <xm:f>Review!A218:F218</xm:f>
              <xm:sqref>M218</xm:sqref>
            </x14:sparkline>
            <x14:sparkline>
              <xm:f>Review!A219:F219</xm:f>
              <xm:sqref>M219</xm:sqref>
            </x14:sparkline>
            <x14:sparkline>
              <xm:f>Review!A220:F220</xm:f>
              <xm:sqref>M220</xm:sqref>
            </x14:sparkline>
            <x14:sparkline>
              <xm:f>Review!A221:F221</xm:f>
              <xm:sqref>M221</xm:sqref>
            </x14:sparkline>
            <x14:sparkline>
              <xm:f>Review!A222:F222</xm:f>
              <xm:sqref>M222</xm:sqref>
            </x14:sparkline>
            <x14:sparkline>
              <xm:f>Review!A223:F223</xm:f>
              <xm:sqref>M223</xm:sqref>
            </x14:sparkline>
            <x14:sparkline>
              <xm:f>Review!A224:F224</xm:f>
              <xm:sqref>M224</xm:sqref>
            </x14:sparkline>
            <x14:sparkline>
              <xm:f>Review!A225:F225</xm:f>
              <xm:sqref>M225</xm:sqref>
            </x14:sparkline>
            <x14:sparkline>
              <xm:f>Review!A226:F226</xm:f>
              <xm:sqref>M226</xm:sqref>
            </x14:sparkline>
            <x14:sparkline>
              <xm:f>Review!A227:F227</xm:f>
              <xm:sqref>M227</xm:sqref>
            </x14:sparkline>
            <x14:sparkline>
              <xm:f>Review!A228:F228</xm:f>
              <xm:sqref>M228</xm:sqref>
            </x14:sparkline>
            <x14:sparkline>
              <xm:f>Review!A229:F229</xm:f>
              <xm:sqref>M229</xm:sqref>
            </x14:sparkline>
            <x14:sparkline>
              <xm:f>Review!A230:F230</xm:f>
              <xm:sqref>M230</xm:sqref>
            </x14:sparkline>
            <x14:sparkline>
              <xm:f>Review!A231:F231</xm:f>
              <xm:sqref>M231</xm:sqref>
            </x14:sparkline>
            <x14:sparkline>
              <xm:f>Review!A232:F232</xm:f>
              <xm:sqref>M232</xm:sqref>
            </x14:sparkline>
            <x14:sparkline>
              <xm:f>Review!A233:F233</xm:f>
              <xm:sqref>M233</xm:sqref>
            </x14:sparkline>
            <x14:sparkline>
              <xm:f>Review!A234:F234</xm:f>
              <xm:sqref>M234</xm:sqref>
            </x14:sparkline>
            <x14:sparkline>
              <xm:f>Review!A235:F235</xm:f>
              <xm:sqref>M235</xm:sqref>
            </x14:sparkline>
            <x14:sparkline>
              <xm:f>Review!A236:F236</xm:f>
              <xm:sqref>M236</xm:sqref>
            </x14:sparkline>
            <x14:sparkline>
              <xm:f>Review!A237:F237</xm:f>
              <xm:sqref>M237</xm:sqref>
            </x14:sparkline>
            <x14:sparkline>
              <xm:f>Review!A238:F238</xm:f>
              <xm:sqref>M238</xm:sqref>
            </x14:sparkline>
            <x14:sparkline>
              <xm:f>Review!A239:F239</xm:f>
              <xm:sqref>M239</xm:sqref>
            </x14:sparkline>
            <x14:sparkline>
              <xm:f>Review!A240:F240</xm:f>
              <xm:sqref>M240</xm:sqref>
            </x14:sparkline>
            <x14:sparkline>
              <xm:f>Review!A241:F241</xm:f>
              <xm:sqref>M241</xm:sqref>
            </x14:sparkline>
            <x14:sparkline>
              <xm:f>Review!A242:F242</xm:f>
              <xm:sqref>M242</xm:sqref>
            </x14:sparkline>
            <x14:sparkline>
              <xm:f>Review!A243:F243</xm:f>
              <xm:sqref>M243</xm:sqref>
            </x14:sparkline>
            <x14:sparkline>
              <xm:f>Review!A244:F244</xm:f>
              <xm:sqref>M244</xm:sqref>
            </x14:sparkline>
            <x14:sparkline>
              <xm:f>Review!A245:F245</xm:f>
              <xm:sqref>M245</xm:sqref>
            </x14:sparkline>
            <x14:sparkline>
              <xm:f>Review!A246:F246</xm:f>
              <xm:sqref>M246</xm:sqref>
            </x14:sparkline>
            <x14:sparkline>
              <xm:f>Review!A247:F247</xm:f>
              <xm:sqref>M247</xm:sqref>
            </x14:sparkline>
            <x14:sparkline>
              <xm:f>Review!A248:F248</xm:f>
              <xm:sqref>M248</xm:sqref>
            </x14:sparkline>
            <x14:sparkline>
              <xm:f>Review!A249:F249</xm:f>
              <xm:sqref>M249</xm:sqref>
            </x14:sparkline>
            <x14:sparkline>
              <xm:f>Review!A250:F250</xm:f>
              <xm:sqref>M250</xm:sqref>
            </x14:sparkline>
            <x14:sparkline>
              <xm:f>Review!A251:F251</xm:f>
              <xm:sqref>M251</xm:sqref>
            </x14:sparkline>
            <x14:sparkline>
              <xm:f>Review!A252:F252</xm:f>
              <xm:sqref>M252</xm:sqref>
            </x14:sparkline>
            <x14:sparkline>
              <xm:f>Review!A253:F253</xm:f>
              <xm:sqref>M253</xm:sqref>
            </x14:sparkline>
            <x14:sparkline>
              <xm:f>Review!A254:F254</xm:f>
              <xm:sqref>M254</xm:sqref>
            </x14:sparkline>
            <x14:sparkline>
              <xm:f>Review!A255:F255</xm:f>
              <xm:sqref>M255</xm:sqref>
            </x14:sparkline>
            <x14:sparkline>
              <xm:f>Review!A256:F256</xm:f>
              <xm:sqref>M256</xm:sqref>
            </x14:sparkline>
            <x14:sparkline>
              <xm:f>Review!A257:F257</xm:f>
              <xm:sqref>M257</xm:sqref>
            </x14:sparkline>
            <x14:sparkline>
              <xm:f>Review!A258:F258</xm:f>
              <xm:sqref>M258</xm:sqref>
            </x14:sparkline>
            <x14:sparkline>
              <xm:f>Review!A259:F259</xm:f>
              <xm:sqref>M259</xm:sqref>
            </x14:sparkline>
            <x14:sparkline>
              <xm:f>Review!A260:F260</xm:f>
              <xm:sqref>M260</xm:sqref>
            </x14:sparkline>
            <x14:sparkline>
              <xm:f>Review!A261:F261</xm:f>
              <xm:sqref>M261</xm:sqref>
            </x14:sparkline>
            <x14:sparkline>
              <xm:f>Review!A262:F262</xm:f>
              <xm:sqref>M262</xm:sqref>
            </x14:sparkline>
            <x14:sparkline>
              <xm:f>Review!A263:F263</xm:f>
              <xm:sqref>M263</xm:sqref>
            </x14:sparkline>
            <x14:sparkline>
              <xm:f>Review!A264:F264</xm:f>
              <xm:sqref>M264</xm:sqref>
            </x14:sparkline>
            <x14:sparkline>
              <xm:f>Review!A265:F265</xm:f>
              <xm:sqref>M265</xm:sqref>
            </x14:sparkline>
            <x14:sparkline>
              <xm:f>Review!A266:F266</xm:f>
              <xm:sqref>M266</xm:sqref>
            </x14:sparkline>
            <x14:sparkline>
              <xm:f>Review!A267:F267</xm:f>
              <xm:sqref>M267</xm:sqref>
            </x14:sparkline>
            <x14:sparkline>
              <xm:f>Review!A268:F268</xm:f>
              <xm:sqref>M268</xm:sqref>
            </x14:sparkline>
            <x14:sparkline>
              <xm:f>Review!A269:F269</xm:f>
              <xm:sqref>M269</xm:sqref>
            </x14:sparkline>
            <x14:sparkline>
              <xm:f>Review!A270:F270</xm:f>
              <xm:sqref>M270</xm:sqref>
            </x14:sparkline>
            <x14:sparkline>
              <xm:f>Review!A271:F271</xm:f>
              <xm:sqref>M271</xm:sqref>
            </x14:sparkline>
            <x14:sparkline>
              <xm:f>Review!A272:F272</xm:f>
              <xm:sqref>M272</xm:sqref>
            </x14:sparkline>
            <x14:sparkline>
              <xm:f>Review!A273:F273</xm:f>
              <xm:sqref>M273</xm:sqref>
            </x14:sparkline>
            <x14:sparkline>
              <xm:f>Review!A274:F274</xm:f>
              <xm:sqref>M274</xm:sqref>
            </x14:sparkline>
            <x14:sparkline>
              <xm:f>Review!A275:F275</xm:f>
              <xm:sqref>M275</xm:sqref>
            </x14:sparkline>
            <x14:sparkline>
              <xm:f>Review!A276:F276</xm:f>
              <xm:sqref>M276</xm:sqref>
            </x14:sparkline>
            <x14:sparkline>
              <xm:f>Review!A277:F277</xm:f>
              <xm:sqref>M277</xm:sqref>
            </x14:sparkline>
            <x14:sparkline>
              <xm:f>Review!A278:F278</xm:f>
              <xm:sqref>M278</xm:sqref>
            </x14:sparkline>
            <x14:sparkline>
              <xm:f>Review!A279:F279</xm:f>
              <xm:sqref>M279</xm:sqref>
            </x14:sparkline>
            <x14:sparkline>
              <xm:f>Review!A280:F280</xm:f>
              <xm:sqref>M280</xm:sqref>
            </x14:sparkline>
            <x14:sparkline>
              <xm:f>Review!A281:F281</xm:f>
              <xm:sqref>M281</xm:sqref>
            </x14:sparkline>
            <x14:sparkline>
              <xm:f>Review!A282:F282</xm:f>
              <xm:sqref>M282</xm:sqref>
            </x14:sparkline>
            <x14:sparkline>
              <xm:f>Review!A283:F283</xm:f>
              <xm:sqref>M283</xm:sqref>
            </x14:sparkline>
            <x14:sparkline>
              <xm:f>Review!A284:F284</xm:f>
              <xm:sqref>M284</xm:sqref>
            </x14:sparkline>
            <x14:sparkline>
              <xm:f>Review!A285:F285</xm:f>
              <xm:sqref>M285</xm:sqref>
            </x14:sparkline>
            <x14:sparkline>
              <xm:f>Review!A286:F286</xm:f>
              <xm:sqref>M286</xm:sqref>
            </x14:sparkline>
            <x14:sparkline>
              <xm:f>Review!A287:F287</xm:f>
              <xm:sqref>M287</xm:sqref>
            </x14:sparkline>
            <x14:sparkline>
              <xm:f>Review!A288:F288</xm:f>
              <xm:sqref>M288</xm:sqref>
            </x14:sparkline>
            <x14:sparkline>
              <xm:f>Review!A289:F289</xm:f>
              <xm:sqref>M289</xm:sqref>
            </x14:sparkline>
            <x14:sparkline>
              <xm:f>Review!A290:F290</xm:f>
              <xm:sqref>M290</xm:sqref>
            </x14:sparkline>
            <x14:sparkline>
              <xm:f>Review!A291:F291</xm:f>
              <xm:sqref>M291</xm:sqref>
            </x14:sparkline>
            <x14:sparkline>
              <xm:f>Review!A292:F292</xm:f>
              <xm:sqref>M292</xm:sqref>
            </x14:sparkline>
            <x14:sparkline>
              <xm:f>Review!A293:F293</xm:f>
              <xm:sqref>M293</xm:sqref>
            </x14:sparkline>
            <x14:sparkline>
              <xm:f>Review!A294:F294</xm:f>
              <xm:sqref>M294</xm:sqref>
            </x14:sparkline>
            <x14:sparkline>
              <xm:f>Review!A295:F295</xm:f>
              <xm:sqref>M295</xm:sqref>
            </x14:sparkline>
            <x14:sparkline>
              <xm:f>Review!A296:F296</xm:f>
              <xm:sqref>M296</xm:sqref>
            </x14:sparkline>
            <x14:sparkline>
              <xm:f>Review!A297:F297</xm:f>
              <xm:sqref>M297</xm:sqref>
            </x14:sparkline>
            <x14:sparkline>
              <xm:f>Review!A298:F298</xm:f>
              <xm:sqref>M298</xm:sqref>
            </x14:sparkline>
            <x14:sparkline>
              <xm:f>Review!A299:F299</xm:f>
              <xm:sqref>M299</xm:sqref>
            </x14:sparkline>
            <x14:sparkline>
              <xm:f>Review!A300:F300</xm:f>
              <xm:sqref>M300</xm:sqref>
            </x14:sparkline>
            <x14:sparkline>
              <xm:f>Review!A301:F301</xm:f>
              <xm:sqref>M301</xm:sqref>
            </x14:sparkline>
            <x14:sparkline>
              <xm:f>Review!A302:F302</xm:f>
              <xm:sqref>M302</xm:sqref>
            </x14:sparkline>
            <x14:sparkline>
              <xm:f>Review!A303:F303</xm:f>
              <xm:sqref>M303</xm:sqref>
            </x14:sparkline>
            <x14:sparkline>
              <xm:f>Review!A304:F304</xm:f>
              <xm:sqref>M304</xm:sqref>
            </x14:sparkline>
            <x14:sparkline>
              <xm:f>Review!A305:F305</xm:f>
              <xm:sqref>M305</xm:sqref>
            </x14:sparkline>
            <x14:sparkline>
              <xm:f>Review!A306:F306</xm:f>
              <xm:sqref>M306</xm:sqref>
            </x14:sparkline>
            <x14:sparkline>
              <xm:f>Review!A307:F307</xm:f>
              <xm:sqref>M307</xm:sqref>
            </x14:sparkline>
            <x14:sparkline>
              <xm:f>Review!A308:F308</xm:f>
              <xm:sqref>M308</xm:sqref>
            </x14:sparkline>
            <x14:sparkline>
              <xm:f>Review!A309:F309</xm:f>
              <xm:sqref>M309</xm:sqref>
            </x14:sparkline>
            <x14:sparkline>
              <xm:f>Review!A310:F310</xm:f>
              <xm:sqref>M310</xm:sqref>
            </x14:sparkline>
            <x14:sparkline>
              <xm:f>Review!A311:F311</xm:f>
              <xm:sqref>M311</xm:sqref>
            </x14:sparkline>
            <x14:sparkline>
              <xm:f>Review!A312:F312</xm:f>
              <xm:sqref>M312</xm:sqref>
            </x14:sparkline>
            <x14:sparkline>
              <xm:f>Review!A313:F313</xm:f>
              <xm:sqref>M313</xm:sqref>
            </x14:sparkline>
            <x14:sparkline>
              <xm:f>Review!A314:F314</xm:f>
              <xm:sqref>M314</xm:sqref>
            </x14:sparkline>
            <x14:sparkline>
              <xm:f>Review!A315:F315</xm:f>
              <xm:sqref>M315</xm:sqref>
            </x14:sparkline>
            <x14:sparkline>
              <xm:f>Review!A316:F316</xm:f>
              <xm:sqref>M316</xm:sqref>
            </x14:sparkline>
            <x14:sparkline>
              <xm:f>Review!A317:F317</xm:f>
              <xm:sqref>M317</xm:sqref>
            </x14:sparkline>
            <x14:sparkline>
              <xm:f>Review!A318:F318</xm:f>
              <xm:sqref>M318</xm:sqref>
            </x14:sparkline>
            <x14:sparkline>
              <xm:f>Review!A319:F319</xm:f>
              <xm:sqref>M319</xm:sqref>
            </x14:sparkline>
            <x14:sparkline>
              <xm:f>Review!A320:F320</xm:f>
              <xm:sqref>M320</xm:sqref>
            </x14:sparkline>
            <x14:sparkline>
              <xm:f>Review!A321:F321</xm:f>
              <xm:sqref>M321</xm:sqref>
            </x14:sparkline>
            <x14:sparkline>
              <xm:f>Review!A322:F322</xm:f>
              <xm:sqref>M322</xm:sqref>
            </x14:sparkline>
            <x14:sparkline>
              <xm:f>Review!A323:F323</xm:f>
              <xm:sqref>M323</xm:sqref>
            </x14:sparkline>
            <x14:sparkline>
              <xm:f>Review!A324:F324</xm:f>
              <xm:sqref>M324</xm:sqref>
            </x14:sparkline>
            <x14:sparkline>
              <xm:f>Review!A325:F325</xm:f>
              <xm:sqref>M325</xm:sqref>
            </x14:sparkline>
            <x14:sparkline>
              <xm:f>Review!A326:F326</xm:f>
              <xm:sqref>M326</xm:sqref>
            </x14:sparkline>
            <x14:sparkline>
              <xm:f>Review!A327:F327</xm:f>
              <xm:sqref>M327</xm:sqref>
            </x14:sparkline>
            <x14:sparkline>
              <xm:f>Review!A328:F328</xm:f>
              <xm:sqref>M328</xm:sqref>
            </x14:sparkline>
            <x14:sparkline>
              <xm:f>Review!A329:F329</xm:f>
              <xm:sqref>M329</xm:sqref>
            </x14:sparkline>
            <x14:sparkline>
              <xm:f>Review!A330:F330</xm:f>
              <xm:sqref>M330</xm:sqref>
            </x14:sparkline>
            <x14:sparkline>
              <xm:f>Review!A331:F331</xm:f>
              <xm:sqref>M331</xm:sqref>
            </x14:sparkline>
            <x14:sparkline>
              <xm:f>Review!A332:F332</xm:f>
              <xm:sqref>M332</xm:sqref>
            </x14:sparkline>
            <x14:sparkline>
              <xm:f>Review!A333:F333</xm:f>
              <xm:sqref>M333</xm:sqref>
            </x14:sparkline>
            <x14:sparkline>
              <xm:f>Review!A334:F334</xm:f>
              <xm:sqref>M334</xm:sqref>
            </x14:sparkline>
            <x14:sparkline>
              <xm:f>Review!A335:F335</xm:f>
              <xm:sqref>M335</xm:sqref>
            </x14:sparkline>
            <x14:sparkline>
              <xm:f>Review!A336:F336</xm:f>
              <xm:sqref>M336</xm:sqref>
            </x14:sparkline>
            <x14:sparkline>
              <xm:f>Review!A337:F337</xm:f>
              <xm:sqref>M337</xm:sqref>
            </x14:sparkline>
            <x14:sparkline>
              <xm:f>Review!A338:F338</xm:f>
              <xm:sqref>M338</xm:sqref>
            </x14:sparkline>
            <x14:sparkline>
              <xm:f>Review!A339:F339</xm:f>
              <xm:sqref>M339</xm:sqref>
            </x14:sparkline>
            <x14:sparkline>
              <xm:f>Review!A340:F340</xm:f>
              <xm:sqref>M340</xm:sqref>
            </x14:sparkline>
            <x14:sparkline>
              <xm:f>Review!A341:F341</xm:f>
              <xm:sqref>M341</xm:sqref>
            </x14:sparkline>
            <x14:sparkline>
              <xm:f>Review!A342:F342</xm:f>
              <xm:sqref>M342</xm:sqref>
            </x14:sparkline>
            <x14:sparkline>
              <xm:f>Review!A343:F343</xm:f>
              <xm:sqref>M343</xm:sqref>
            </x14:sparkline>
            <x14:sparkline>
              <xm:f>Review!A344:F344</xm:f>
              <xm:sqref>M344</xm:sqref>
            </x14:sparkline>
            <x14:sparkline>
              <xm:f>Review!A345:F345</xm:f>
              <xm:sqref>M345</xm:sqref>
            </x14:sparkline>
            <x14:sparkline>
              <xm:f>Review!A346:F346</xm:f>
              <xm:sqref>M346</xm:sqref>
            </x14:sparkline>
            <x14:sparkline>
              <xm:f>Review!A347:F347</xm:f>
              <xm:sqref>M347</xm:sqref>
            </x14:sparkline>
            <x14:sparkline>
              <xm:f>Review!A348:F348</xm:f>
              <xm:sqref>M348</xm:sqref>
            </x14:sparkline>
            <x14:sparkline>
              <xm:f>Review!A349:F349</xm:f>
              <xm:sqref>M349</xm:sqref>
            </x14:sparkline>
            <x14:sparkline>
              <xm:f>Review!A350:F350</xm:f>
              <xm:sqref>M350</xm:sqref>
            </x14:sparkline>
            <x14:sparkline>
              <xm:f>Review!A351:F351</xm:f>
              <xm:sqref>M351</xm:sqref>
            </x14:sparkline>
            <x14:sparkline>
              <xm:f>Review!A352:F352</xm:f>
              <xm:sqref>M352</xm:sqref>
            </x14:sparkline>
            <x14:sparkline>
              <xm:f>Review!A353:F353</xm:f>
              <xm:sqref>M353</xm:sqref>
            </x14:sparkline>
            <x14:sparkline>
              <xm:f>Review!A354:F354</xm:f>
              <xm:sqref>M354</xm:sqref>
            </x14:sparkline>
            <x14:sparkline>
              <xm:f>Review!A355:F355</xm:f>
              <xm:sqref>M355</xm:sqref>
            </x14:sparkline>
            <x14:sparkline>
              <xm:f>Review!A356:F356</xm:f>
              <xm:sqref>M356</xm:sqref>
            </x14:sparkline>
            <x14:sparkline>
              <xm:f>Review!A357:F357</xm:f>
              <xm:sqref>M357</xm:sqref>
            </x14:sparkline>
            <x14:sparkline>
              <xm:f>Review!A358:F358</xm:f>
              <xm:sqref>M358</xm:sqref>
            </x14:sparkline>
            <x14:sparkline>
              <xm:f>Review!A359:F359</xm:f>
              <xm:sqref>M359</xm:sqref>
            </x14:sparkline>
            <x14:sparkline>
              <xm:f>Review!A360:F360</xm:f>
              <xm:sqref>M360</xm:sqref>
            </x14:sparkline>
            <x14:sparkline>
              <xm:f>Review!A361:F361</xm:f>
              <xm:sqref>M361</xm:sqref>
            </x14:sparkline>
            <x14:sparkline>
              <xm:f>Review!A362:F362</xm:f>
              <xm:sqref>M362</xm:sqref>
            </x14:sparkline>
            <x14:sparkline>
              <xm:f>Review!A363:F363</xm:f>
              <xm:sqref>M363</xm:sqref>
            </x14:sparkline>
            <x14:sparkline>
              <xm:f>Review!A364:F364</xm:f>
              <xm:sqref>M364</xm:sqref>
            </x14:sparkline>
            <x14:sparkline>
              <xm:f>Review!A365:F365</xm:f>
              <xm:sqref>M365</xm:sqref>
            </x14:sparkline>
            <x14:sparkline>
              <xm:f>Review!A366:F366</xm:f>
              <xm:sqref>M366</xm:sqref>
            </x14:sparkline>
            <x14:sparkline>
              <xm:f>Review!A367:F367</xm:f>
              <xm:sqref>M367</xm:sqref>
            </x14:sparkline>
            <x14:sparkline>
              <xm:f>Review!A368:F368</xm:f>
              <xm:sqref>M368</xm:sqref>
            </x14:sparkline>
            <x14:sparkline>
              <xm:f>Review!A369:F369</xm:f>
              <xm:sqref>M369</xm:sqref>
            </x14:sparkline>
            <x14:sparkline>
              <xm:f>Review!A370:F370</xm:f>
              <xm:sqref>M370</xm:sqref>
            </x14:sparkline>
            <x14:sparkline>
              <xm:f>Review!A371:F371</xm:f>
              <xm:sqref>M371</xm:sqref>
            </x14:sparkline>
            <x14:sparkline>
              <xm:f>Review!A372:F372</xm:f>
              <xm:sqref>M372</xm:sqref>
            </x14:sparkline>
            <x14:sparkline>
              <xm:f>Review!A373:F373</xm:f>
              <xm:sqref>M373</xm:sqref>
            </x14:sparkline>
            <x14:sparkline>
              <xm:f>Review!A374:F374</xm:f>
              <xm:sqref>M374</xm:sqref>
            </x14:sparkline>
            <x14:sparkline>
              <xm:f>Review!A375:F375</xm:f>
              <xm:sqref>M375</xm:sqref>
            </x14:sparkline>
            <x14:sparkline>
              <xm:f>Review!A376:F376</xm:f>
              <xm:sqref>M376</xm:sqref>
            </x14:sparkline>
            <x14:sparkline>
              <xm:f>Review!A377:F377</xm:f>
              <xm:sqref>M377</xm:sqref>
            </x14:sparkline>
            <x14:sparkline>
              <xm:f>Review!A378:F378</xm:f>
              <xm:sqref>M378</xm:sqref>
            </x14:sparkline>
            <x14:sparkline>
              <xm:f>Review!A379:F379</xm:f>
              <xm:sqref>M379</xm:sqref>
            </x14:sparkline>
            <x14:sparkline>
              <xm:f>Review!A380:F380</xm:f>
              <xm:sqref>M380</xm:sqref>
            </x14:sparkline>
            <x14:sparkline>
              <xm:f>Review!A381:F381</xm:f>
              <xm:sqref>M381</xm:sqref>
            </x14:sparkline>
            <x14:sparkline>
              <xm:f>Review!A382:F382</xm:f>
              <xm:sqref>M382</xm:sqref>
            </x14:sparkline>
            <x14:sparkline>
              <xm:f>Review!A383:F383</xm:f>
              <xm:sqref>M383</xm:sqref>
            </x14:sparkline>
            <x14:sparkline>
              <xm:f>Review!A384:F384</xm:f>
              <xm:sqref>M384</xm:sqref>
            </x14:sparkline>
            <x14:sparkline>
              <xm:f>Review!A385:F385</xm:f>
              <xm:sqref>M385</xm:sqref>
            </x14:sparkline>
            <x14:sparkline>
              <xm:f>Review!A386:F386</xm:f>
              <xm:sqref>M386</xm:sqref>
            </x14:sparkline>
            <x14:sparkline>
              <xm:f>Review!A387:F387</xm:f>
              <xm:sqref>M387</xm:sqref>
            </x14:sparkline>
            <x14:sparkline>
              <xm:f>Review!A388:F388</xm:f>
              <xm:sqref>M388</xm:sqref>
            </x14:sparkline>
            <x14:sparkline>
              <xm:f>Review!A389:F389</xm:f>
              <xm:sqref>M389</xm:sqref>
            </x14:sparkline>
            <x14:sparkline>
              <xm:f>Review!A390:F390</xm:f>
              <xm:sqref>M390</xm:sqref>
            </x14:sparkline>
            <x14:sparkline>
              <xm:f>Review!A391:F391</xm:f>
              <xm:sqref>M391</xm:sqref>
            </x14:sparkline>
            <x14:sparkline>
              <xm:f>Review!A392:F392</xm:f>
              <xm:sqref>M392</xm:sqref>
            </x14:sparkline>
            <x14:sparkline>
              <xm:f>Review!A393:F393</xm:f>
              <xm:sqref>M393</xm:sqref>
            </x14:sparkline>
            <x14:sparkline>
              <xm:f>Review!A394:F394</xm:f>
              <xm:sqref>M394</xm:sqref>
            </x14:sparkline>
            <x14:sparkline>
              <xm:f>Review!A395:F395</xm:f>
              <xm:sqref>M395</xm:sqref>
            </x14:sparkline>
            <x14:sparkline>
              <xm:f>Review!A396:F396</xm:f>
              <xm:sqref>M396</xm:sqref>
            </x14:sparkline>
            <x14:sparkline>
              <xm:f>Review!A397:F397</xm:f>
              <xm:sqref>M397</xm:sqref>
            </x14:sparkline>
            <x14:sparkline>
              <xm:f>Review!A398:F398</xm:f>
              <xm:sqref>M398</xm:sqref>
            </x14:sparkline>
            <x14:sparkline>
              <xm:f>Review!A399:F399</xm:f>
              <xm:sqref>M399</xm:sqref>
            </x14:sparkline>
            <x14:sparkline>
              <xm:f>Review!A400:F400</xm:f>
              <xm:sqref>M400</xm:sqref>
            </x14:sparkline>
            <x14:sparkline>
              <xm:f>Review!A401:F401</xm:f>
              <xm:sqref>M401</xm:sqref>
            </x14:sparkline>
            <x14:sparkline>
              <xm:f>Review!A402:F402</xm:f>
              <xm:sqref>M402</xm:sqref>
            </x14:sparkline>
            <x14:sparkline>
              <xm:f>Review!A403:F403</xm:f>
              <xm:sqref>M403</xm:sqref>
            </x14:sparkline>
            <x14:sparkline>
              <xm:f>Review!A404:F404</xm:f>
              <xm:sqref>M404</xm:sqref>
            </x14:sparkline>
            <x14:sparkline>
              <xm:f>Review!A405:F405</xm:f>
              <xm:sqref>M405</xm:sqref>
            </x14:sparkline>
            <x14:sparkline>
              <xm:f>Review!A406:F406</xm:f>
              <xm:sqref>M406</xm:sqref>
            </x14:sparkline>
            <x14:sparkline>
              <xm:f>Review!A407:F407</xm:f>
              <xm:sqref>M407</xm:sqref>
            </x14:sparkline>
            <x14:sparkline>
              <xm:f>Review!A408:F408</xm:f>
              <xm:sqref>M408</xm:sqref>
            </x14:sparkline>
            <x14:sparkline>
              <xm:f>Review!A409:F409</xm:f>
              <xm:sqref>M409</xm:sqref>
            </x14:sparkline>
            <x14:sparkline>
              <xm:f>Review!A410:F410</xm:f>
              <xm:sqref>M410</xm:sqref>
            </x14:sparkline>
            <x14:sparkline>
              <xm:f>Review!A411:F411</xm:f>
              <xm:sqref>M411</xm:sqref>
            </x14:sparkline>
            <x14:sparkline>
              <xm:f>Review!A412:F412</xm:f>
              <xm:sqref>M412</xm:sqref>
            </x14:sparkline>
            <x14:sparkline>
              <xm:f>Review!A413:F413</xm:f>
              <xm:sqref>M413</xm:sqref>
            </x14:sparkline>
            <x14:sparkline>
              <xm:f>Review!A414:F414</xm:f>
              <xm:sqref>M414</xm:sqref>
            </x14:sparkline>
            <x14:sparkline>
              <xm:f>Review!A415:F415</xm:f>
              <xm:sqref>M415</xm:sqref>
            </x14:sparkline>
            <x14:sparkline>
              <xm:f>Review!A416:F416</xm:f>
              <xm:sqref>M416</xm:sqref>
            </x14:sparkline>
            <x14:sparkline>
              <xm:f>Review!A417:F417</xm:f>
              <xm:sqref>M417</xm:sqref>
            </x14:sparkline>
            <x14:sparkline>
              <xm:f>Review!A418:F418</xm:f>
              <xm:sqref>M418</xm:sqref>
            </x14:sparkline>
            <x14:sparkline>
              <xm:f>Review!A419:F419</xm:f>
              <xm:sqref>M419</xm:sqref>
            </x14:sparkline>
            <x14:sparkline>
              <xm:f>Review!A420:F420</xm:f>
              <xm:sqref>M420</xm:sqref>
            </x14:sparkline>
            <x14:sparkline>
              <xm:f>Review!A421:F421</xm:f>
              <xm:sqref>M421</xm:sqref>
            </x14:sparkline>
            <x14:sparkline>
              <xm:f>Review!A422:F422</xm:f>
              <xm:sqref>M422</xm:sqref>
            </x14:sparkline>
            <x14:sparkline>
              <xm:f>Review!A423:F423</xm:f>
              <xm:sqref>M423</xm:sqref>
            </x14:sparkline>
            <x14:sparkline>
              <xm:f>Review!A424:F424</xm:f>
              <xm:sqref>M424</xm:sqref>
            </x14:sparkline>
            <x14:sparkline>
              <xm:f>Review!A425:F425</xm:f>
              <xm:sqref>M425</xm:sqref>
            </x14:sparkline>
            <x14:sparkline>
              <xm:f>Review!A426:F426</xm:f>
              <xm:sqref>M426</xm:sqref>
            </x14:sparkline>
            <x14:sparkline>
              <xm:f>Review!A427:F427</xm:f>
              <xm:sqref>M427</xm:sqref>
            </x14:sparkline>
            <x14:sparkline>
              <xm:f>Review!A428:F428</xm:f>
              <xm:sqref>M428</xm:sqref>
            </x14:sparkline>
            <x14:sparkline>
              <xm:f>Review!A429:F429</xm:f>
              <xm:sqref>M429</xm:sqref>
            </x14:sparkline>
            <x14:sparkline>
              <xm:f>Review!A430:F430</xm:f>
              <xm:sqref>M430</xm:sqref>
            </x14:sparkline>
            <x14:sparkline>
              <xm:f>Review!A431:F431</xm:f>
              <xm:sqref>M431</xm:sqref>
            </x14:sparkline>
            <x14:sparkline>
              <xm:f>Review!A432:F432</xm:f>
              <xm:sqref>M432</xm:sqref>
            </x14:sparkline>
            <x14:sparkline>
              <xm:f>Review!A433:F433</xm:f>
              <xm:sqref>M433</xm:sqref>
            </x14:sparkline>
            <x14:sparkline>
              <xm:f>Review!A434:F434</xm:f>
              <xm:sqref>M434</xm:sqref>
            </x14:sparkline>
            <x14:sparkline>
              <xm:f>Review!A435:F435</xm:f>
              <xm:sqref>M435</xm:sqref>
            </x14:sparkline>
            <x14:sparkline>
              <xm:f>Review!A436:F436</xm:f>
              <xm:sqref>M436</xm:sqref>
            </x14:sparkline>
            <x14:sparkline>
              <xm:f>Review!A437:F437</xm:f>
              <xm:sqref>M437</xm:sqref>
            </x14:sparkline>
            <x14:sparkline>
              <xm:f>Review!A438:F438</xm:f>
              <xm:sqref>M438</xm:sqref>
            </x14:sparkline>
            <x14:sparkline>
              <xm:f>Review!A439:F439</xm:f>
              <xm:sqref>M439</xm:sqref>
            </x14:sparkline>
            <x14:sparkline>
              <xm:f>Review!A440:F440</xm:f>
              <xm:sqref>M440</xm:sqref>
            </x14:sparkline>
            <x14:sparkline>
              <xm:f>Review!A441:F441</xm:f>
              <xm:sqref>M441</xm:sqref>
            </x14:sparkline>
            <x14:sparkline>
              <xm:f>Review!A442:F442</xm:f>
              <xm:sqref>M442</xm:sqref>
            </x14:sparkline>
            <x14:sparkline>
              <xm:f>Review!A443:F443</xm:f>
              <xm:sqref>M443</xm:sqref>
            </x14:sparkline>
            <x14:sparkline>
              <xm:f>Review!A444:F444</xm:f>
              <xm:sqref>M444</xm:sqref>
            </x14:sparkline>
            <x14:sparkline>
              <xm:f>Review!A445:F445</xm:f>
              <xm:sqref>M445</xm:sqref>
            </x14:sparkline>
            <x14:sparkline>
              <xm:f>Review!A446:F446</xm:f>
              <xm:sqref>M446</xm:sqref>
            </x14:sparkline>
            <x14:sparkline>
              <xm:f>Review!A447:F447</xm:f>
              <xm:sqref>M447</xm:sqref>
            </x14:sparkline>
            <x14:sparkline>
              <xm:f>Review!A448:F448</xm:f>
              <xm:sqref>M448</xm:sqref>
            </x14:sparkline>
            <x14:sparkline>
              <xm:f>Review!A449:F449</xm:f>
              <xm:sqref>M449</xm:sqref>
            </x14:sparkline>
            <x14:sparkline>
              <xm:f>Review!A450:F450</xm:f>
              <xm:sqref>M450</xm:sqref>
            </x14:sparkline>
            <x14:sparkline>
              <xm:f>Review!A451:F451</xm:f>
              <xm:sqref>M451</xm:sqref>
            </x14:sparkline>
            <x14:sparkline>
              <xm:f>Review!A452:F452</xm:f>
              <xm:sqref>M452</xm:sqref>
            </x14:sparkline>
            <x14:sparkline>
              <xm:f>Review!A453:F453</xm:f>
              <xm:sqref>M453</xm:sqref>
            </x14:sparkline>
            <x14:sparkline>
              <xm:f>Review!A454:F454</xm:f>
              <xm:sqref>M454</xm:sqref>
            </x14:sparkline>
            <x14:sparkline>
              <xm:f>Review!A455:F455</xm:f>
              <xm:sqref>M455</xm:sqref>
            </x14:sparkline>
            <x14:sparkline>
              <xm:f>Review!A456:F456</xm:f>
              <xm:sqref>M456</xm:sqref>
            </x14:sparkline>
            <x14:sparkline>
              <xm:f>Review!A457:F457</xm:f>
              <xm:sqref>M457</xm:sqref>
            </x14:sparkline>
            <x14:sparkline>
              <xm:f>Review!A458:F458</xm:f>
              <xm:sqref>M458</xm:sqref>
            </x14:sparkline>
            <x14:sparkline>
              <xm:f>Review!A459:F459</xm:f>
              <xm:sqref>M459</xm:sqref>
            </x14:sparkline>
            <x14:sparkline>
              <xm:f>Review!A460:F460</xm:f>
              <xm:sqref>M460</xm:sqref>
            </x14:sparkline>
            <x14:sparkline>
              <xm:f>Review!A461:F461</xm:f>
              <xm:sqref>M461</xm:sqref>
            </x14:sparkline>
            <x14:sparkline>
              <xm:f>Review!A462:F462</xm:f>
              <xm:sqref>M462</xm:sqref>
            </x14:sparkline>
            <x14:sparkline>
              <xm:f>Review!A463:F463</xm:f>
              <xm:sqref>M463</xm:sqref>
            </x14:sparkline>
            <x14:sparkline>
              <xm:f>Review!A464:F464</xm:f>
              <xm:sqref>M464</xm:sqref>
            </x14:sparkline>
            <x14:sparkline>
              <xm:f>Review!A465:F465</xm:f>
              <xm:sqref>M465</xm:sqref>
            </x14:sparkline>
            <x14:sparkline>
              <xm:f>Review!A466:F466</xm:f>
              <xm:sqref>M466</xm:sqref>
            </x14:sparkline>
            <x14:sparkline>
              <xm:f>Review!A467:F467</xm:f>
              <xm:sqref>M467</xm:sqref>
            </x14:sparkline>
            <x14:sparkline>
              <xm:f>Review!A468:F468</xm:f>
              <xm:sqref>M468</xm:sqref>
            </x14:sparkline>
            <x14:sparkline>
              <xm:f>Review!A469:F469</xm:f>
              <xm:sqref>M469</xm:sqref>
            </x14:sparkline>
            <x14:sparkline>
              <xm:f>Review!A470:F470</xm:f>
              <xm:sqref>M470</xm:sqref>
            </x14:sparkline>
            <x14:sparkline>
              <xm:f>Review!A471:F471</xm:f>
              <xm:sqref>M471</xm:sqref>
            </x14:sparkline>
            <x14:sparkline>
              <xm:f>Review!A472:F472</xm:f>
              <xm:sqref>M472</xm:sqref>
            </x14:sparkline>
            <x14:sparkline>
              <xm:f>Review!A473:F473</xm:f>
              <xm:sqref>M473</xm:sqref>
            </x14:sparkline>
            <x14:sparkline>
              <xm:f>Review!A474:F474</xm:f>
              <xm:sqref>M474</xm:sqref>
            </x14:sparkline>
            <x14:sparkline>
              <xm:f>Review!A475:F475</xm:f>
              <xm:sqref>M475</xm:sqref>
            </x14:sparkline>
            <x14:sparkline>
              <xm:f>Review!A476:F476</xm:f>
              <xm:sqref>M476</xm:sqref>
            </x14:sparkline>
            <x14:sparkline>
              <xm:f>Review!A477:F477</xm:f>
              <xm:sqref>M477</xm:sqref>
            </x14:sparkline>
            <x14:sparkline>
              <xm:f>Review!A478:F478</xm:f>
              <xm:sqref>M478</xm:sqref>
            </x14:sparkline>
            <x14:sparkline>
              <xm:f>Review!A479:F479</xm:f>
              <xm:sqref>M479</xm:sqref>
            </x14:sparkline>
            <x14:sparkline>
              <xm:f>Review!A480:F480</xm:f>
              <xm:sqref>M480</xm:sqref>
            </x14:sparkline>
            <x14:sparkline>
              <xm:f>Review!A481:F481</xm:f>
              <xm:sqref>M481</xm:sqref>
            </x14:sparkline>
            <x14:sparkline>
              <xm:f>Review!A482:F482</xm:f>
              <xm:sqref>M482</xm:sqref>
            </x14:sparkline>
            <x14:sparkline>
              <xm:f>Review!A483:F483</xm:f>
              <xm:sqref>M483</xm:sqref>
            </x14:sparkline>
            <x14:sparkline>
              <xm:f>Review!A484:F484</xm:f>
              <xm:sqref>M484</xm:sqref>
            </x14:sparkline>
            <x14:sparkline>
              <xm:f>Review!A485:F485</xm:f>
              <xm:sqref>M485</xm:sqref>
            </x14:sparkline>
            <x14:sparkline>
              <xm:f>Review!A486:F486</xm:f>
              <xm:sqref>M486</xm:sqref>
            </x14:sparkline>
            <x14:sparkline>
              <xm:f>Review!A487:F487</xm:f>
              <xm:sqref>M487</xm:sqref>
            </x14:sparkline>
            <x14:sparkline>
              <xm:f>Review!A488:F488</xm:f>
              <xm:sqref>M488</xm:sqref>
            </x14:sparkline>
            <x14:sparkline>
              <xm:f>Review!A489:F489</xm:f>
              <xm:sqref>M489</xm:sqref>
            </x14:sparkline>
            <x14:sparkline>
              <xm:f>Review!A490:F490</xm:f>
              <xm:sqref>M490</xm:sqref>
            </x14:sparkline>
            <x14:sparkline>
              <xm:f>Review!A491:F491</xm:f>
              <xm:sqref>M491</xm:sqref>
            </x14:sparkline>
            <x14:sparkline>
              <xm:f>Review!A492:F492</xm:f>
              <xm:sqref>M492</xm:sqref>
            </x14:sparkline>
            <x14:sparkline>
              <xm:f>Review!A493:F493</xm:f>
              <xm:sqref>M493</xm:sqref>
            </x14:sparkline>
            <x14:sparkline>
              <xm:f>Review!A494:F494</xm:f>
              <xm:sqref>M494</xm:sqref>
            </x14:sparkline>
            <x14:sparkline>
              <xm:f>Review!A495:F495</xm:f>
              <xm:sqref>M495</xm:sqref>
            </x14:sparkline>
            <x14:sparkline>
              <xm:f>Review!A496:F496</xm:f>
              <xm:sqref>M496</xm:sqref>
            </x14:sparkline>
            <x14:sparkline>
              <xm:f>Review!A497:F497</xm:f>
              <xm:sqref>M497</xm:sqref>
            </x14:sparkline>
            <x14:sparkline>
              <xm:f>Review!A498:F498</xm:f>
              <xm:sqref>M498</xm:sqref>
            </x14:sparkline>
            <x14:sparkline>
              <xm:f>Review!A499:F499</xm:f>
              <xm:sqref>M499</xm:sqref>
            </x14:sparkline>
            <x14:sparkline>
              <xm:f>Review!A500:F500</xm:f>
              <xm:sqref>M500</xm:sqref>
            </x14:sparkline>
            <x14:sparkline>
              <xm:f>Review!A501:F501</xm:f>
              <xm:sqref>M501</xm:sqref>
            </x14:sparkline>
            <x14:sparkline>
              <xm:f>Review!A502:F502</xm:f>
              <xm:sqref>M502</xm:sqref>
            </x14:sparkline>
            <x14:sparkline>
              <xm:f>Review!A503:F503</xm:f>
              <xm:sqref>M503</xm:sqref>
            </x14:sparkline>
            <x14:sparkline>
              <xm:f>Review!A504:F504</xm:f>
              <xm:sqref>M504</xm:sqref>
            </x14:sparkline>
            <x14:sparkline>
              <xm:f>Review!A505:F505</xm:f>
              <xm:sqref>M505</xm:sqref>
            </x14:sparkline>
            <x14:sparkline>
              <xm:f>Review!A506:F506</xm:f>
              <xm:sqref>M506</xm:sqref>
            </x14:sparkline>
            <x14:sparkline>
              <xm:f>Review!A507:F507</xm:f>
              <xm:sqref>M507</xm:sqref>
            </x14:sparkline>
            <x14:sparkline>
              <xm:f>Review!A508:F508</xm:f>
              <xm:sqref>M508</xm:sqref>
            </x14:sparkline>
            <x14:sparkline>
              <xm:f>Review!A509:F509</xm:f>
              <xm:sqref>M509</xm:sqref>
            </x14:sparkline>
            <x14:sparkline>
              <xm:f>Review!A510:F510</xm:f>
              <xm:sqref>M510</xm:sqref>
            </x14:sparkline>
            <x14:sparkline>
              <xm:f>Review!A511:F511</xm:f>
              <xm:sqref>M511</xm:sqref>
            </x14:sparkline>
            <x14:sparkline>
              <xm:f>Review!A512:F512</xm:f>
              <xm:sqref>M512</xm:sqref>
            </x14:sparkline>
            <x14:sparkline>
              <xm:f>Review!A513:F513</xm:f>
              <xm:sqref>M513</xm:sqref>
            </x14:sparkline>
            <x14:sparkline>
              <xm:f>Review!A514:F514</xm:f>
              <xm:sqref>M514</xm:sqref>
            </x14:sparkline>
            <x14:sparkline>
              <xm:f>Review!A515:F515</xm:f>
              <xm:sqref>M515</xm:sqref>
            </x14:sparkline>
            <x14:sparkline>
              <xm:f>Review!A516:F516</xm:f>
              <xm:sqref>M516</xm:sqref>
            </x14:sparkline>
            <x14:sparkline>
              <xm:f>Review!A517:F517</xm:f>
              <xm:sqref>M517</xm:sqref>
            </x14:sparkline>
            <x14:sparkline>
              <xm:f>Review!A518:F518</xm:f>
              <xm:sqref>M518</xm:sqref>
            </x14:sparkline>
            <x14:sparkline>
              <xm:f>Review!A519:F519</xm:f>
              <xm:sqref>M519</xm:sqref>
            </x14:sparkline>
            <x14:sparkline>
              <xm:f>Review!A520:F520</xm:f>
              <xm:sqref>M520</xm:sqref>
            </x14:sparkline>
            <x14:sparkline>
              <xm:f>Review!A521:F521</xm:f>
              <xm:sqref>M521</xm:sqref>
            </x14:sparkline>
            <x14:sparkline>
              <xm:f>Review!A522:F522</xm:f>
              <xm:sqref>M522</xm:sqref>
            </x14:sparkline>
            <x14:sparkline>
              <xm:f>Review!A523:F523</xm:f>
              <xm:sqref>M523</xm:sqref>
            </x14:sparkline>
            <x14:sparkline>
              <xm:f>Review!A524:F524</xm:f>
              <xm:sqref>M524</xm:sqref>
            </x14:sparkline>
            <x14:sparkline>
              <xm:f>Review!A525:F525</xm:f>
              <xm:sqref>M525</xm:sqref>
            </x14:sparkline>
            <x14:sparkline>
              <xm:f>Review!A526:F526</xm:f>
              <xm:sqref>M526</xm:sqref>
            </x14:sparkline>
            <x14:sparkline>
              <xm:f>Review!A527:F527</xm:f>
              <xm:sqref>M527</xm:sqref>
            </x14:sparkline>
            <x14:sparkline>
              <xm:f>Review!A528:F528</xm:f>
              <xm:sqref>M528</xm:sqref>
            </x14:sparkline>
            <x14:sparkline>
              <xm:f>Review!A529:F529</xm:f>
              <xm:sqref>M529</xm:sqref>
            </x14:sparkline>
            <x14:sparkline>
              <xm:f>Review!A530:F530</xm:f>
              <xm:sqref>M530</xm:sqref>
            </x14:sparkline>
            <x14:sparkline>
              <xm:f>Review!A531:F531</xm:f>
              <xm:sqref>M531</xm:sqref>
            </x14:sparkline>
            <x14:sparkline>
              <xm:f>Review!A532:F532</xm:f>
              <xm:sqref>M532</xm:sqref>
            </x14:sparkline>
            <x14:sparkline>
              <xm:f>Review!A533:F533</xm:f>
              <xm:sqref>M533</xm:sqref>
            </x14:sparkline>
            <x14:sparkline>
              <xm:f>Review!A534:F534</xm:f>
              <xm:sqref>M534</xm:sqref>
            </x14:sparkline>
            <x14:sparkline>
              <xm:f>Review!A535:F535</xm:f>
              <xm:sqref>M535</xm:sqref>
            </x14:sparkline>
            <x14:sparkline>
              <xm:f>Review!A536:F536</xm:f>
              <xm:sqref>M536</xm:sqref>
            </x14:sparkline>
            <x14:sparkline>
              <xm:f>Review!A537:F537</xm:f>
              <xm:sqref>M537</xm:sqref>
            </x14:sparkline>
            <x14:sparkline>
              <xm:f>Review!A538:F538</xm:f>
              <xm:sqref>M538</xm:sqref>
            </x14:sparkline>
            <x14:sparkline>
              <xm:f>Review!A539:F539</xm:f>
              <xm:sqref>M539</xm:sqref>
            </x14:sparkline>
            <x14:sparkline>
              <xm:f>Review!A540:F540</xm:f>
              <xm:sqref>M540</xm:sqref>
            </x14:sparkline>
            <x14:sparkline>
              <xm:f>Review!A541:F541</xm:f>
              <xm:sqref>M541</xm:sqref>
            </x14:sparkline>
            <x14:sparkline>
              <xm:f>Review!A542:F542</xm:f>
              <xm:sqref>M542</xm:sqref>
            </x14:sparkline>
            <x14:sparkline>
              <xm:f>Review!A543:F543</xm:f>
              <xm:sqref>M543</xm:sqref>
            </x14:sparkline>
            <x14:sparkline>
              <xm:f>Review!A544:F544</xm:f>
              <xm:sqref>M544</xm:sqref>
            </x14:sparkline>
            <x14:sparkline>
              <xm:f>Review!A545:F545</xm:f>
              <xm:sqref>M545</xm:sqref>
            </x14:sparkline>
            <x14:sparkline>
              <xm:f>Review!A546:F546</xm:f>
              <xm:sqref>M546</xm:sqref>
            </x14:sparkline>
            <x14:sparkline>
              <xm:f>Review!A547:F547</xm:f>
              <xm:sqref>M547</xm:sqref>
            </x14:sparkline>
            <x14:sparkline>
              <xm:f>Review!A548:F548</xm:f>
              <xm:sqref>M548</xm:sqref>
            </x14:sparkline>
            <x14:sparkline>
              <xm:f>Review!A549:F549</xm:f>
              <xm:sqref>M549</xm:sqref>
            </x14:sparkline>
            <x14:sparkline>
              <xm:f>Review!A550:F550</xm:f>
              <xm:sqref>M550</xm:sqref>
            </x14:sparkline>
            <x14:sparkline>
              <xm:f>Review!A551:F551</xm:f>
              <xm:sqref>M551</xm:sqref>
            </x14:sparkline>
            <x14:sparkline>
              <xm:f>Review!A552:F552</xm:f>
              <xm:sqref>M552</xm:sqref>
            </x14:sparkline>
            <x14:sparkline>
              <xm:f>Review!A553:F553</xm:f>
              <xm:sqref>M553</xm:sqref>
            </x14:sparkline>
            <x14:sparkline>
              <xm:f>Review!A554:F554</xm:f>
              <xm:sqref>M554</xm:sqref>
            </x14:sparkline>
            <x14:sparkline>
              <xm:f>Review!A555:F555</xm:f>
              <xm:sqref>M555</xm:sqref>
            </x14:sparkline>
            <x14:sparkline>
              <xm:f>Review!A556:F556</xm:f>
              <xm:sqref>M556</xm:sqref>
            </x14:sparkline>
            <x14:sparkline>
              <xm:f>Review!A557:F557</xm:f>
              <xm:sqref>M557</xm:sqref>
            </x14:sparkline>
            <x14:sparkline>
              <xm:f>Review!A558:F558</xm:f>
              <xm:sqref>M558</xm:sqref>
            </x14:sparkline>
            <x14:sparkline>
              <xm:f>Review!A559:F559</xm:f>
              <xm:sqref>M559</xm:sqref>
            </x14:sparkline>
            <x14:sparkline>
              <xm:f>Review!A560:F560</xm:f>
              <xm:sqref>M560</xm:sqref>
            </x14:sparkline>
            <x14:sparkline>
              <xm:f>Review!A561:F561</xm:f>
              <xm:sqref>M561</xm:sqref>
            </x14:sparkline>
            <x14:sparkline>
              <xm:f>Review!A562:F562</xm:f>
              <xm:sqref>M562</xm:sqref>
            </x14:sparkline>
            <x14:sparkline>
              <xm:f>Review!A563:F563</xm:f>
              <xm:sqref>M563</xm:sqref>
            </x14:sparkline>
            <x14:sparkline>
              <xm:f>Review!A564:F564</xm:f>
              <xm:sqref>M564</xm:sqref>
            </x14:sparkline>
            <x14:sparkline>
              <xm:f>Review!A565:F565</xm:f>
              <xm:sqref>M565</xm:sqref>
            </x14:sparkline>
            <x14:sparkline>
              <xm:f>Review!A566:F566</xm:f>
              <xm:sqref>M566</xm:sqref>
            </x14:sparkline>
            <x14:sparkline>
              <xm:f>Review!A567:F567</xm:f>
              <xm:sqref>M567</xm:sqref>
            </x14:sparkline>
            <x14:sparkline>
              <xm:f>Review!A568:F568</xm:f>
              <xm:sqref>M568</xm:sqref>
            </x14:sparkline>
            <x14:sparkline>
              <xm:f>Review!A569:F569</xm:f>
              <xm:sqref>M569</xm:sqref>
            </x14:sparkline>
            <x14:sparkline>
              <xm:f>Review!A570:F570</xm:f>
              <xm:sqref>M570</xm:sqref>
            </x14:sparkline>
            <x14:sparkline>
              <xm:f>Review!A571:F571</xm:f>
              <xm:sqref>M571</xm:sqref>
            </x14:sparkline>
            <x14:sparkline>
              <xm:f>Review!A572:F572</xm:f>
              <xm:sqref>M572</xm:sqref>
            </x14:sparkline>
            <x14:sparkline>
              <xm:f>Review!A573:F573</xm:f>
              <xm:sqref>M573</xm:sqref>
            </x14:sparkline>
            <x14:sparkline>
              <xm:f>Review!A574:F574</xm:f>
              <xm:sqref>M574</xm:sqref>
            </x14:sparkline>
            <x14:sparkline>
              <xm:f>Review!A575:F575</xm:f>
              <xm:sqref>M575</xm:sqref>
            </x14:sparkline>
            <x14:sparkline>
              <xm:f>Review!A576:F576</xm:f>
              <xm:sqref>M576</xm:sqref>
            </x14:sparkline>
            <x14:sparkline>
              <xm:f>Review!A577:F577</xm:f>
              <xm:sqref>M577</xm:sqref>
            </x14:sparkline>
            <x14:sparkline>
              <xm:f>Review!A578:F578</xm:f>
              <xm:sqref>M578</xm:sqref>
            </x14:sparkline>
            <x14:sparkline>
              <xm:f>Review!A579:F579</xm:f>
              <xm:sqref>M579</xm:sqref>
            </x14:sparkline>
            <x14:sparkline>
              <xm:f>Review!A580:F580</xm:f>
              <xm:sqref>M580</xm:sqref>
            </x14:sparkline>
            <x14:sparkline>
              <xm:f>Review!A581:F581</xm:f>
              <xm:sqref>M581</xm:sqref>
            </x14:sparkline>
            <x14:sparkline>
              <xm:f>Review!A582:F582</xm:f>
              <xm:sqref>M582</xm:sqref>
            </x14:sparkline>
            <x14:sparkline>
              <xm:f>Review!A583:F583</xm:f>
              <xm:sqref>M583</xm:sqref>
            </x14:sparkline>
            <x14:sparkline>
              <xm:f>Review!A584:F584</xm:f>
              <xm:sqref>M584</xm:sqref>
            </x14:sparkline>
            <x14:sparkline>
              <xm:f>Review!A585:F585</xm:f>
              <xm:sqref>M585</xm:sqref>
            </x14:sparkline>
            <x14:sparkline>
              <xm:f>Review!A586:F586</xm:f>
              <xm:sqref>M586</xm:sqref>
            </x14:sparkline>
            <x14:sparkline>
              <xm:f>Review!A587:F587</xm:f>
              <xm:sqref>M587</xm:sqref>
            </x14:sparkline>
            <x14:sparkline>
              <xm:f>Review!A588:F588</xm:f>
              <xm:sqref>M588</xm:sqref>
            </x14:sparkline>
            <x14:sparkline>
              <xm:f>Review!A589:F589</xm:f>
              <xm:sqref>M589</xm:sqref>
            </x14:sparkline>
            <x14:sparkline>
              <xm:f>Review!A590:F590</xm:f>
              <xm:sqref>M590</xm:sqref>
            </x14:sparkline>
            <x14:sparkline>
              <xm:f>Review!A591:F591</xm:f>
              <xm:sqref>M591</xm:sqref>
            </x14:sparkline>
            <x14:sparkline>
              <xm:f>Review!A592:F592</xm:f>
              <xm:sqref>M592</xm:sqref>
            </x14:sparkline>
            <x14:sparkline>
              <xm:f>Review!A593:F593</xm:f>
              <xm:sqref>M593</xm:sqref>
            </x14:sparkline>
            <x14:sparkline>
              <xm:f>Review!A594:F594</xm:f>
              <xm:sqref>M594</xm:sqref>
            </x14:sparkline>
            <x14:sparkline>
              <xm:f>Review!A595:F595</xm:f>
              <xm:sqref>M595</xm:sqref>
            </x14:sparkline>
            <x14:sparkline>
              <xm:f>Review!A596:F596</xm:f>
              <xm:sqref>M596</xm:sqref>
            </x14:sparkline>
            <x14:sparkline>
              <xm:f>Review!A597:F597</xm:f>
              <xm:sqref>M597</xm:sqref>
            </x14:sparkline>
            <x14:sparkline>
              <xm:f>Review!A598:F598</xm:f>
              <xm:sqref>M598</xm:sqref>
            </x14:sparkline>
            <x14:sparkline>
              <xm:f>Review!A599:F599</xm:f>
              <xm:sqref>M599</xm:sqref>
            </x14:sparkline>
            <x14:sparkline>
              <xm:f>Review!A600:F600</xm:f>
              <xm:sqref>M600</xm:sqref>
            </x14:sparkline>
            <x14:sparkline>
              <xm:f>Review!A601:F601</xm:f>
              <xm:sqref>M601</xm:sqref>
            </x14:sparkline>
            <x14:sparkline>
              <xm:f>Review!A602:F602</xm:f>
              <xm:sqref>M602</xm:sqref>
            </x14:sparkline>
            <x14:sparkline>
              <xm:f>Review!A603:F603</xm:f>
              <xm:sqref>M603</xm:sqref>
            </x14:sparkline>
            <x14:sparkline>
              <xm:f>Review!A604:F604</xm:f>
              <xm:sqref>M604</xm:sqref>
            </x14:sparkline>
            <x14:sparkline>
              <xm:f>Review!A605:F605</xm:f>
              <xm:sqref>M605</xm:sqref>
            </x14:sparkline>
            <x14:sparkline>
              <xm:f>Review!A606:F606</xm:f>
              <xm:sqref>M606</xm:sqref>
            </x14:sparkline>
            <x14:sparkline>
              <xm:f>Review!A607:F607</xm:f>
              <xm:sqref>M607</xm:sqref>
            </x14:sparkline>
            <x14:sparkline>
              <xm:f>Review!A608:F608</xm:f>
              <xm:sqref>M608</xm:sqref>
            </x14:sparkline>
            <x14:sparkline>
              <xm:f>Review!A609:F609</xm:f>
              <xm:sqref>M609</xm:sqref>
            </x14:sparkline>
            <x14:sparkline>
              <xm:f>Review!A610:F610</xm:f>
              <xm:sqref>M610</xm:sqref>
            </x14:sparkline>
            <x14:sparkline>
              <xm:f>Review!A611:F611</xm:f>
              <xm:sqref>M611</xm:sqref>
            </x14:sparkline>
            <x14:sparkline>
              <xm:f>Review!A612:F612</xm:f>
              <xm:sqref>M612</xm:sqref>
            </x14:sparkline>
            <x14:sparkline>
              <xm:f>Review!A613:F613</xm:f>
              <xm:sqref>M613</xm:sqref>
            </x14:sparkline>
            <x14:sparkline>
              <xm:f>Review!A614:F614</xm:f>
              <xm:sqref>M614</xm:sqref>
            </x14:sparkline>
            <x14:sparkline>
              <xm:f>Review!A615:F615</xm:f>
              <xm:sqref>M615</xm:sqref>
            </x14:sparkline>
            <x14:sparkline>
              <xm:f>Review!A616:F616</xm:f>
              <xm:sqref>M616</xm:sqref>
            </x14:sparkline>
            <x14:sparkline>
              <xm:f>Review!A617:F617</xm:f>
              <xm:sqref>M617</xm:sqref>
            </x14:sparkline>
            <x14:sparkline>
              <xm:f>Review!A618:F618</xm:f>
              <xm:sqref>M618</xm:sqref>
            </x14:sparkline>
            <x14:sparkline>
              <xm:f>Review!A619:F619</xm:f>
              <xm:sqref>M619</xm:sqref>
            </x14:sparkline>
            <x14:sparkline>
              <xm:f>Review!A620:F620</xm:f>
              <xm:sqref>M620</xm:sqref>
            </x14:sparkline>
            <x14:sparkline>
              <xm:f>Review!A621:F621</xm:f>
              <xm:sqref>M621</xm:sqref>
            </x14:sparkline>
            <x14:sparkline>
              <xm:f>Review!A622:F622</xm:f>
              <xm:sqref>M622</xm:sqref>
            </x14:sparkline>
            <x14:sparkline>
              <xm:f>Review!A623:F623</xm:f>
              <xm:sqref>M623</xm:sqref>
            </x14:sparkline>
            <x14:sparkline>
              <xm:f>Review!A624:F624</xm:f>
              <xm:sqref>M624</xm:sqref>
            </x14:sparkline>
            <x14:sparkline>
              <xm:f>Review!A625:F625</xm:f>
              <xm:sqref>M625</xm:sqref>
            </x14:sparkline>
            <x14:sparkline>
              <xm:f>Review!A626:F626</xm:f>
              <xm:sqref>M626</xm:sqref>
            </x14:sparkline>
            <x14:sparkline>
              <xm:f>Review!A627:F627</xm:f>
              <xm:sqref>M627</xm:sqref>
            </x14:sparkline>
            <x14:sparkline>
              <xm:f>Review!A628:F628</xm:f>
              <xm:sqref>M628</xm:sqref>
            </x14:sparkline>
            <x14:sparkline>
              <xm:f>Review!A629:F629</xm:f>
              <xm:sqref>M629</xm:sqref>
            </x14:sparkline>
            <x14:sparkline>
              <xm:f>Review!A630:F630</xm:f>
              <xm:sqref>M630</xm:sqref>
            </x14:sparkline>
            <x14:sparkline>
              <xm:f>Review!A631:F631</xm:f>
              <xm:sqref>M631</xm:sqref>
            </x14:sparkline>
            <x14:sparkline>
              <xm:f>Review!A632:F632</xm:f>
              <xm:sqref>M632</xm:sqref>
            </x14:sparkline>
            <x14:sparkline>
              <xm:f>Review!A633:F633</xm:f>
              <xm:sqref>M633</xm:sqref>
            </x14:sparkline>
            <x14:sparkline>
              <xm:f>Review!A634:F634</xm:f>
              <xm:sqref>M634</xm:sqref>
            </x14:sparkline>
            <x14:sparkline>
              <xm:f>Review!A635:F635</xm:f>
              <xm:sqref>M635</xm:sqref>
            </x14:sparkline>
            <x14:sparkline>
              <xm:f>Review!A636:F636</xm:f>
              <xm:sqref>M636</xm:sqref>
            </x14:sparkline>
            <x14:sparkline>
              <xm:f>Review!A637:F637</xm:f>
              <xm:sqref>M637</xm:sqref>
            </x14:sparkline>
            <x14:sparkline>
              <xm:f>Review!A638:F638</xm:f>
              <xm:sqref>M638</xm:sqref>
            </x14:sparkline>
            <x14:sparkline>
              <xm:f>Review!A639:F639</xm:f>
              <xm:sqref>M639</xm:sqref>
            </x14:sparkline>
            <x14:sparkline>
              <xm:f>Review!A640:F640</xm:f>
              <xm:sqref>M640</xm:sqref>
            </x14:sparkline>
            <x14:sparkline>
              <xm:f>Review!A641:F641</xm:f>
              <xm:sqref>M641</xm:sqref>
            </x14:sparkline>
            <x14:sparkline>
              <xm:f>Review!A642:F642</xm:f>
              <xm:sqref>M642</xm:sqref>
            </x14:sparkline>
            <x14:sparkline>
              <xm:f>Review!A643:F643</xm:f>
              <xm:sqref>M643</xm:sqref>
            </x14:sparkline>
            <x14:sparkline>
              <xm:f>Review!A644:F644</xm:f>
              <xm:sqref>M644</xm:sqref>
            </x14:sparkline>
            <x14:sparkline>
              <xm:f>Review!A645:F645</xm:f>
              <xm:sqref>M645</xm:sqref>
            </x14:sparkline>
            <x14:sparkline>
              <xm:f>Review!A646:F646</xm:f>
              <xm:sqref>M646</xm:sqref>
            </x14:sparkline>
            <x14:sparkline>
              <xm:f>Review!A647:F647</xm:f>
              <xm:sqref>M647</xm:sqref>
            </x14:sparkline>
            <x14:sparkline>
              <xm:f>Review!A648:F648</xm:f>
              <xm:sqref>M648</xm:sqref>
            </x14:sparkline>
            <x14:sparkline>
              <xm:f>Review!A649:F649</xm:f>
              <xm:sqref>M649</xm:sqref>
            </x14:sparkline>
            <x14:sparkline>
              <xm:f>Review!A650:F650</xm:f>
              <xm:sqref>M650</xm:sqref>
            </x14:sparkline>
            <x14:sparkline>
              <xm:f>Review!A651:F651</xm:f>
              <xm:sqref>M651</xm:sqref>
            </x14:sparkline>
            <x14:sparkline>
              <xm:f>Review!A652:F652</xm:f>
              <xm:sqref>M652</xm:sqref>
            </x14:sparkline>
            <x14:sparkline>
              <xm:f>Review!A653:F653</xm:f>
              <xm:sqref>M653</xm:sqref>
            </x14:sparkline>
            <x14:sparkline>
              <xm:f>Review!A654:F654</xm:f>
              <xm:sqref>M654</xm:sqref>
            </x14:sparkline>
            <x14:sparkline>
              <xm:f>Review!A655:F655</xm:f>
              <xm:sqref>M655</xm:sqref>
            </x14:sparkline>
            <x14:sparkline>
              <xm:f>Review!A656:F656</xm:f>
              <xm:sqref>M656</xm:sqref>
            </x14:sparkline>
            <x14:sparkline>
              <xm:f>Review!A657:F657</xm:f>
              <xm:sqref>M657</xm:sqref>
            </x14:sparkline>
            <x14:sparkline>
              <xm:f>Review!A658:F658</xm:f>
              <xm:sqref>M658</xm:sqref>
            </x14:sparkline>
            <x14:sparkline>
              <xm:f>Review!A659:F659</xm:f>
              <xm:sqref>M659</xm:sqref>
            </x14:sparkline>
            <x14:sparkline>
              <xm:f>Review!A660:F660</xm:f>
              <xm:sqref>M660</xm:sqref>
            </x14:sparkline>
            <x14:sparkline>
              <xm:f>Review!A661:F661</xm:f>
              <xm:sqref>M661</xm:sqref>
            </x14:sparkline>
            <x14:sparkline>
              <xm:f>Review!A662:F662</xm:f>
              <xm:sqref>M662</xm:sqref>
            </x14:sparkline>
            <x14:sparkline>
              <xm:f>Review!A663:F663</xm:f>
              <xm:sqref>M663</xm:sqref>
            </x14:sparkline>
            <x14:sparkline>
              <xm:f>Review!A664:F664</xm:f>
              <xm:sqref>M664</xm:sqref>
            </x14:sparkline>
            <x14:sparkline>
              <xm:f>Review!A665:F665</xm:f>
              <xm:sqref>M665</xm:sqref>
            </x14:sparkline>
            <x14:sparkline>
              <xm:f>Review!A666:F666</xm:f>
              <xm:sqref>M666</xm:sqref>
            </x14:sparkline>
            <x14:sparkline>
              <xm:f>Review!A667:F667</xm:f>
              <xm:sqref>M667</xm:sqref>
            </x14:sparkline>
            <x14:sparkline>
              <xm:f>Review!A668:F668</xm:f>
              <xm:sqref>M668</xm:sqref>
            </x14:sparkline>
            <x14:sparkline>
              <xm:f>Review!A669:F669</xm:f>
              <xm:sqref>M669</xm:sqref>
            </x14:sparkline>
            <x14:sparkline>
              <xm:f>Review!A670:F670</xm:f>
              <xm:sqref>M670</xm:sqref>
            </x14:sparkline>
            <x14:sparkline>
              <xm:f>Review!A671:F671</xm:f>
              <xm:sqref>M671</xm:sqref>
            </x14:sparkline>
            <x14:sparkline>
              <xm:f>Review!A672:F672</xm:f>
              <xm:sqref>M672</xm:sqref>
            </x14:sparkline>
            <x14:sparkline>
              <xm:f>Review!A673:F673</xm:f>
              <xm:sqref>M673</xm:sqref>
            </x14:sparkline>
            <x14:sparkline>
              <xm:f>Review!A674:F674</xm:f>
              <xm:sqref>M674</xm:sqref>
            </x14:sparkline>
            <x14:sparkline>
              <xm:f>Review!A675:F675</xm:f>
              <xm:sqref>M675</xm:sqref>
            </x14:sparkline>
            <x14:sparkline>
              <xm:f>Review!A676:F676</xm:f>
              <xm:sqref>M676</xm:sqref>
            </x14:sparkline>
            <x14:sparkline>
              <xm:f>Review!A677:F677</xm:f>
              <xm:sqref>M677</xm:sqref>
            </x14:sparkline>
            <x14:sparkline>
              <xm:f>Review!A678:F678</xm:f>
              <xm:sqref>M678</xm:sqref>
            </x14:sparkline>
            <x14:sparkline>
              <xm:f>Review!A679:F679</xm:f>
              <xm:sqref>M679</xm:sqref>
            </x14:sparkline>
            <x14:sparkline>
              <xm:f>Review!A680:F680</xm:f>
              <xm:sqref>M680</xm:sqref>
            </x14:sparkline>
            <x14:sparkline>
              <xm:f>Review!A681:F681</xm:f>
              <xm:sqref>M681</xm:sqref>
            </x14:sparkline>
            <x14:sparkline>
              <xm:f>Review!A682:F682</xm:f>
              <xm:sqref>M682</xm:sqref>
            </x14:sparkline>
            <x14:sparkline>
              <xm:f>Review!A683:F683</xm:f>
              <xm:sqref>M683</xm:sqref>
            </x14:sparkline>
            <x14:sparkline>
              <xm:f>Review!A684:F684</xm:f>
              <xm:sqref>M684</xm:sqref>
            </x14:sparkline>
            <x14:sparkline>
              <xm:f>Review!A685:F685</xm:f>
              <xm:sqref>M685</xm:sqref>
            </x14:sparkline>
            <x14:sparkline>
              <xm:f>Review!A686:F686</xm:f>
              <xm:sqref>M686</xm:sqref>
            </x14:sparkline>
            <x14:sparkline>
              <xm:f>Review!A687:F687</xm:f>
              <xm:sqref>M687</xm:sqref>
            </x14:sparkline>
            <x14:sparkline>
              <xm:f>Review!A688:F688</xm:f>
              <xm:sqref>M688</xm:sqref>
            </x14:sparkline>
            <x14:sparkline>
              <xm:f>Review!A689:F689</xm:f>
              <xm:sqref>M689</xm:sqref>
            </x14:sparkline>
            <x14:sparkline>
              <xm:f>Review!A690:F690</xm:f>
              <xm:sqref>M690</xm:sqref>
            </x14:sparkline>
            <x14:sparkline>
              <xm:f>Review!A691:F691</xm:f>
              <xm:sqref>M691</xm:sqref>
            </x14:sparkline>
            <x14:sparkline>
              <xm:f>Review!A692:F692</xm:f>
              <xm:sqref>M692</xm:sqref>
            </x14:sparkline>
            <x14:sparkline>
              <xm:f>Review!A693:F693</xm:f>
              <xm:sqref>M693</xm:sqref>
            </x14:sparkline>
            <x14:sparkline>
              <xm:f>Review!A694:F694</xm:f>
              <xm:sqref>M694</xm:sqref>
            </x14:sparkline>
            <x14:sparkline>
              <xm:f>Review!A695:F695</xm:f>
              <xm:sqref>M695</xm:sqref>
            </x14:sparkline>
            <x14:sparkline>
              <xm:f>Review!A696:F696</xm:f>
              <xm:sqref>M696</xm:sqref>
            </x14:sparkline>
            <x14:sparkline>
              <xm:f>Review!A697:F697</xm:f>
              <xm:sqref>M697</xm:sqref>
            </x14:sparkline>
            <x14:sparkline>
              <xm:f>Review!A698:F698</xm:f>
              <xm:sqref>M698</xm:sqref>
            </x14:sparkline>
            <x14:sparkline>
              <xm:f>Review!A699:F699</xm:f>
              <xm:sqref>M699</xm:sqref>
            </x14:sparkline>
            <x14:sparkline>
              <xm:f>Review!A700:F700</xm:f>
              <xm:sqref>M700</xm:sqref>
            </x14:sparkline>
            <x14:sparkline>
              <xm:f>Review!A701:F701</xm:f>
              <xm:sqref>M701</xm:sqref>
            </x14:sparkline>
            <x14:sparkline>
              <xm:f>Review!A702:F702</xm:f>
              <xm:sqref>M702</xm:sqref>
            </x14:sparkline>
            <x14:sparkline>
              <xm:f>Review!A703:F703</xm:f>
              <xm:sqref>M703</xm:sqref>
            </x14:sparkline>
            <x14:sparkline>
              <xm:f>Review!A704:F704</xm:f>
              <xm:sqref>M704</xm:sqref>
            </x14:sparkline>
            <x14:sparkline>
              <xm:f>Review!A705:F705</xm:f>
              <xm:sqref>M705</xm:sqref>
            </x14:sparkline>
            <x14:sparkline>
              <xm:f>Review!A706:F706</xm:f>
              <xm:sqref>M706</xm:sqref>
            </x14:sparkline>
            <x14:sparkline>
              <xm:f>Review!A707:F707</xm:f>
              <xm:sqref>M707</xm:sqref>
            </x14:sparkline>
            <x14:sparkline>
              <xm:f>Review!A708:F708</xm:f>
              <xm:sqref>M708</xm:sqref>
            </x14:sparkline>
            <x14:sparkline>
              <xm:f>Review!A709:F709</xm:f>
              <xm:sqref>M709</xm:sqref>
            </x14:sparkline>
            <x14:sparkline>
              <xm:f>Review!A710:F710</xm:f>
              <xm:sqref>M710</xm:sqref>
            </x14:sparkline>
            <x14:sparkline>
              <xm:f>Review!A711:F711</xm:f>
              <xm:sqref>M711</xm:sqref>
            </x14:sparkline>
            <x14:sparkline>
              <xm:f>Review!A712:F712</xm:f>
              <xm:sqref>M712</xm:sqref>
            </x14:sparkline>
            <x14:sparkline>
              <xm:f>Review!A713:F713</xm:f>
              <xm:sqref>M713</xm:sqref>
            </x14:sparkline>
            <x14:sparkline>
              <xm:f>Review!A714:F714</xm:f>
              <xm:sqref>M714</xm:sqref>
            </x14:sparkline>
            <x14:sparkline>
              <xm:f>Review!A715:F715</xm:f>
              <xm:sqref>M715</xm:sqref>
            </x14:sparkline>
            <x14:sparkline>
              <xm:f>Review!A716:F716</xm:f>
              <xm:sqref>M716</xm:sqref>
            </x14:sparkline>
            <x14:sparkline>
              <xm:f>Review!A717:F717</xm:f>
              <xm:sqref>M717</xm:sqref>
            </x14:sparkline>
            <x14:sparkline>
              <xm:f>Review!A718:F718</xm:f>
              <xm:sqref>M718</xm:sqref>
            </x14:sparkline>
            <x14:sparkline>
              <xm:f>Review!A719:F719</xm:f>
              <xm:sqref>M719</xm:sqref>
            </x14:sparkline>
            <x14:sparkline>
              <xm:f>Review!A720:F720</xm:f>
              <xm:sqref>M720</xm:sqref>
            </x14:sparkline>
            <x14:sparkline>
              <xm:f>Review!A721:F721</xm:f>
              <xm:sqref>M721</xm:sqref>
            </x14:sparkline>
            <x14:sparkline>
              <xm:f>Review!A722:F722</xm:f>
              <xm:sqref>M722</xm:sqref>
            </x14:sparkline>
            <x14:sparkline>
              <xm:f>Review!A723:F723</xm:f>
              <xm:sqref>M723</xm:sqref>
            </x14:sparkline>
            <x14:sparkline>
              <xm:f>Review!A724:F724</xm:f>
              <xm:sqref>M724</xm:sqref>
            </x14:sparkline>
            <x14:sparkline>
              <xm:f>Review!A725:F725</xm:f>
              <xm:sqref>M725</xm:sqref>
            </x14:sparkline>
            <x14:sparkline>
              <xm:f>Review!A726:F726</xm:f>
              <xm:sqref>M726</xm:sqref>
            </x14:sparkline>
            <x14:sparkline>
              <xm:f>Review!A727:F727</xm:f>
              <xm:sqref>M727</xm:sqref>
            </x14:sparkline>
            <x14:sparkline>
              <xm:f>Review!A728:F728</xm:f>
              <xm:sqref>M728</xm:sqref>
            </x14:sparkline>
            <x14:sparkline>
              <xm:f>Review!A729:F729</xm:f>
              <xm:sqref>M729</xm:sqref>
            </x14:sparkline>
            <x14:sparkline>
              <xm:f>Review!A730:F730</xm:f>
              <xm:sqref>M730</xm:sqref>
            </x14:sparkline>
            <x14:sparkline>
              <xm:f>Review!A731:F731</xm:f>
              <xm:sqref>M731</xm:sqref>
            </x14:sparkline>
            <x14:sparkline>
              <xm:f>Review!A732:F732</xm:f>
              <xm:sqref>M732</xm:sqref>
            </x14:sparkline>
            <x14:sparkline>
              <xm:f>Review!A733:F733</xm:f>
              <xm:sqref>M733</xm:sqref>
            </x14:sparkline>
            <x14:sparkline>
              <xm:f>Review!A734:F734</xm:f>
              <xm:sqref>M734</xm:sqref>
            </x14:sparkline>
            <x14:sparkline>
              <xm:f>Review!A735:F735</xm:f>
              <xm:sqref>M735</xm:sqref>
            </x14:sparkline>
            <x14:sparkline>
              <xm:f>Review!A736:F736</xm:f>
              <xm:sqref>M736</xm:sqref>
            </x14:sparkline>
            <x14:sparkline>
              <xm:f>Review!A737:F737</xm:f>
              <xm:sqref>M737</xm:sqref>
            </x14:sparkline>
            <x14:sparkline>
              <xm:f>Review!A738:F738</xm:f>
              <xm:sqref>M738</xm:sqref>
            </x14:sparkline>
            <x14:sparkline>
              <xm:f>Review!A739:F739</xm:f>
              <xm:sqref>M739</xm:sqref>
            </x14:sparkline>
            <x14:sparkline>
              <xm:f>Review!A740:F740</xm:f>
              <xm:sqref>M740</xm:sqref>
            </x14:sparkline>
            <x14:sparkline>
              <xm:f>Review!A741:F741</xm:f>
              <xm:sqref>M741</xm:sqref>
            </x14:sparkline>
            <x14:sparkline>
              <xm:f>Review!A742:F742</xm:f>
              <xm:sqref>M742</xm:sqref>
            </x14:sparkline>
            <x14:sparkline>
              <xm:f>Review!A743:F743</xm:f>
              <xm:sqref>M743</xm:sqref>
            </x14:sparkline>
            <x14:sparkline>
              <xm:f>Review!A744:F744</xm:f>
              <xm:sqref>M744</xm:sqref>
            </x14:sparkline>
            <x14:sparkline>
              <xm:f>Review!A745:F745</xm:f>
              <xm:sqref>M745</xm:sqref>
            </x14:sparkline>
            <x14:sparkline>
              <xm:f>Review!A746:F746</xm:f>
              <xm:sqref>M746</xm:sqref>
            </x14:sparkline>
            <x14:sparkline>
              <xm:f>Review!A747:F747</xm:f>
              <xm:sqref>M747</xm:sqref>
            </x14:sparkline>
            <x14:sparkline>
              <xm:f>Review!A748:F748</xm:f>
              <xm:sqref>M748</xm:sqref>
            </x14:sparkline>
            <x14:sparkline>
              <xm:f>Review!A749:F749</xm:f>
              <xm:sqref>M749</xm:sqref>
            </x14:sparkline>
            <x14:sparkline>
              <xm:f>Review!A750:F750</xm:f>
              <xm:sqref>M750</xm:sqref>
            </x14:sparkline>
            <x14:sparkline>
              <xm:f>Review!A751:F751</xm:f>
              <xm:sqref>M751</xm:sqref>
            </x14:sparkline>
            <x14:sparkline>
              <xm:f>Review!A752:F752</xm:f>
              <xm:sqref>M752</xm:sqref>
            </x14:sparkline>
            <x14:sparkline>
              <xm:f>Review!A753:F753</xm:f>
              <xm:sqref>M753</xm:sqref>
            </x14:sparkline>
            <x14:sparkline>
              <xm:f>Review!A754:F754</xm:f>
              <xm:sqref>M754</xm:sqref>
            </x14:sparkline>
            <x14:sparkline>
              <xm:f>Review!A755:F755</xm:f>
              <xm:sqref>M755</xm:sqref>
            </x14:sparkline>
            <x14:sparkline>
              <xm:f>Review!A756:F756</xm:f>
              <xm:sqref>M756</xm:sqref>
            </x14:sparkline>
            <x14:sparkline>
              <xm:f>Review!A757:F757</xm:f>
              <xm:sqref>M757</xm:sqref>
            </x14:sparkline>
            <x14:sparkline>
              <xm:f>Review!A758:F758</xm:f>
              <xm:sqref>M758</xm:sqref>
            </x14:sparkline>
            <x14:sparkline>
              <xm:f>Review!A759:F759</xm:f>
              <xm:sqref>M759</xm:sqref>
            </x14:sparkline>
            <x14:sparkline>
              <xm:f>Review!A760:F760</xm:f>
              <xm:sqref>M760</xm:sqref>
            </x14:sparkline>
            <x14:sparkline>
              <xm:f>Review!A761:F761</xm:f>
              <xm:sqref>M761</xm:sqref>
            </x14:sparkline>
            <x14:sparkline>
              <xm:f>Review!A762:F762</xm:f>
              <xm:sqref>M762</xm:sqref>
            </x14:sparkline>
            <x14:sparkline>
              <xm:f>Review!A763:F763</xm:f>
              <xm:sqref>M763</xm:sqref>
            </x14:sparkline>
            <x14:sparkline>
              <xm:f>Review!A764:F764</xm:f>
              <xm:sqref>M764</xm:sqref>
            </x14:sparkline>
            <x14:sparkline>
              <xm:f>Review!A765:F765</xm:f>
              <xm:sqref>M765</xm:sqref>
            </x14:sparkline>
            <x14:sparkline>
              <xm:f>Review!A766:F766</xm:f>
              <xm:sqref>M766</xm:sqref>
            </x14:sparkline>
            <x14:sparkline>
              <xm:f>Review!A767:F767</xm:f>
              <xm:sqref>M767</xm:sqref>
            </x14:sparkline>
            <x14:sparkline>
              <xm:f>Review!A768:F768</xm:f>
              <xm:sqref>M768</xm:sqref>
            </x14:sparkline>
            <x14:sparkline>
              <xm:f>Review!A769:F769</xm:f>
              <xm:sqref>M769</xm:sqref>
            </x14:sparkline>
            <x14:sparkline>
              <xm:f>Review!A770:F770</xm:f>
              <xm:sqref>M770</xm:sqref>
            </x14:sparkline>
            <x14:sparkline>
              <xm:f>Review!A771:F771</xm:f>
              <xm:sqref>M771</xm:sqref>
            </x14:sparkline>
            <x14:sparkline>
              <xm:f>Review!A772:F772</xm:f>
              <xm:sqref>M772</xm:sqref>
            </x14:sparkline>
            <x14:sparkline>
              <xm:f>Review!A773:F773</xm:f>
              <xm:sqref>M773</xm:sqref>
            </x14:sparkline>
            <x14:sparkline>
              <xm:f>Review!A774:F774</xm:f>
              <xm:sqref>M774</xm:sqref>
            </x14:sparkline>
            <x14:sparkline>
              <xm:f>Review!A775:F775</xm:f>
              <xm:sqref>M775</xm:sqref>
            </x14:sparkline>
            <x14:sparkline>
              <xm:f>Review!A776:F776</xm:f>
              <xm:sqref>M776</xm:sqref>
            </x14:sparkline>
            <x14:sparkline>
              <xm:f>Review!A777:F777</xm:f>
              <xm:sqref>M777</xm:sqref>
            </x14:sparkline>
            <x14:sparkline>
              <xm:f>Review!A778:F778</xm:f>
              <xm:sqref>M778</xm:sqref>
            </x14:sparkline>
            <x14:sparkline>
              <xm:f>Review!A779:F779</xm:f>
              <xm:sqref>M779</xm:sqref>
            </x14:sparkline>
            <x14:sparkline>
              <xm:f>Review!A780:F780</xm:f>
              <xm:sqref>M780</xm:sqref>
            </x14:sparkline>
            <x14:sparkline>
              <xm:f>Review!A781:F781</xm:f>
              <xm:sqref>M781</xm:sqref>
            </x14:sparkline>
            <x14:sparkline>
              <xm:f>Review!A782:F782</xm:f>
              <xm:sqref>M782</xm:sqref>
            </x14:sparkline>
            <x14:sparkline>
              <xm:f>Review!A783:F783</xm:f>
              <xm:sqref>M783</xm:sqref>
            </x14:sparkline>
            <x14:sparkline>
              <xm:f>Review!A784:F784</xm:f>
              <xm:sqref>M784</xm:sqref>
            </x14:sparkline>
            <x14:sparkline>
              <xm:f>Review!A785:F785</xm:f>
              <xm:sqref>M785</xm:sqref>
            </x14:sparkline>
            <x14:sparkline>
              <xm:f>Review!A786:F786</xm:f>
              <xm:sqref>M786</xm:sqref>
            </x14:sparkline>
            <x14:sparkline>
              <xm:f>Review!A787:F787</xm:f>
              <xm:sqref>M787</xm:sqref>
            </x14:sparkline>
            <x14:sparkline>
              <xm:f>Review!A788:F788</xm:f>
              <xm:sqref>M788</xm:sqref>
            </x14:sparkline>
            <x14:sparkline>
              <xm:f>Review!A789:F789</xm:f>
              <xm:sqref>M789</xm:sqref>
            </x14:sparkline>
            <x14:sparkline>
              <xm:f>Review!A790:F790</xm:f>
              <xm:sqref>M790</xm:sqref>
            </x14:sparkline>
            <x14:sparkline>
              <xm:f>Review!A791:F791</xm:f>
              <xm:sqref>M791</xm:sqref>
            </x14:sparkline>
            <x14:sparkline>
              <xm:f>Review!A792:F792</xm:f>
              <xm:sqref>M792</xm:sqref>
            </x14:sparkline>
            <x14:sparkline>
              <xm:f>Review!A793:F793</xm:f>
              <xm:sqref>M793</xm:sqref>
            </x14:sparkline>
            <x14:sparkline>
              <xm:f>Review!A794:F794</xm:f>
              <xm:sqref>M794</xm:sqref>
            </x14:sparkline>
            <x14:sparkline>
              <xm:f>Review!A795:F795</xm:f>
              <xm:sqref>M795</xm:sqref>
            </x14:sparkline>
            <x14:sparkline>
              <xm:f>Review!A796:F796</xm:f>
              <xm:sqref>M796</xm:sqref>
            </x14:sparkline>
            <x14:sparkline>
              <xm:f>Review!A797:F797</xm:f>
              <xm:sqref>M797</xm:sqref>
            </x14:sparkline>
            <x14:sparkline>
              <xm:f>Review!A798:F798</xm:f>
              <xm:sqref>M798</xm:sqref>
            </x14:sparkline>
            <x14:sparkline>
              <xm:f>Review!A799:F799</xm:f>
              <xm:sqref>M799</xm:sqref>
            </x14:sparkline>
            <x14:sparkline>
              <xm:f>Review!A800:F800</xm:f>
              <xm:sqref>M800</xm:sqref>
            </x14:sparkline>
            <x14:sparkline>
              <xm:f>Review!A801:F801</xm:f>
              <xm:sqref>M801</xm:sqref>
            </x14:sparkline>
            <x14:sparkline>
              <xm:f>Review!A802:F802</xm:f>
              <xm:sqref>M802</xm:sqref>
            </x14:sparkline>
            <x14:sparkline>
              <xm:f>Review!A803:F803</xm:f>
              <xm:sqref>M803</xm:sqref>
            </x14:sparkline>
            <x14:sparkline>
              <xm:f>Review!A804:F804</xm:f>
              <xm:sqref>M804</xm:sqref>
            </x14:sparkline>
            <x14:sparkline>
              <xm:f>Review!A805:F805</xm:f>
              <xm:sqref>M805</xm:sqref>
            </x14:sparkline>
            <x14:sparkline>
              <xm:f>Review!A806:F806</xm:f>
              <xm:sqref>M806</xm:sqref>
            </x14:sparkline>
            <x14:sparkline>
              <xm:f>Review!A807:F807</xm:f>
              <xm:sqref>M807</xm:sqref>
            </x14:sparkline>
            <x14:sparkline>
              <xm:f>Review!A808:F808</xm:f>
              <xm:sqref>M808</xm:sqref>
            </x14:sparkline>
            <x14:sparkline>
              <xm:f>Review!A809:F809</xm:f>
              <xm:sqref>M809</xm:sqref>
            </x14:sparkline>
            <x14:sparkline>
              <xm:f>Review!A810:F810</xm:f>
              <xm:sqref>M810</xm:sqref>
            </x14:sparkline>
            <x14:sparkline>
              <xm:f>Review!A811:F811</xm:f>
              <xm:sqref>M811</xm:sqref>
            </x14:sparkline>
            <x14:sparkline>
              <xm:f>Review!A812:F812</xm:f>
              <xm:sqref>M812</xm:sqref>
            </x14:sparkline>
            <x14:sparkline>
              <xm:f>Review!A813:F813</xm:f>
              <xm:sqref>M813</xm:sqref>
            </x14:sparkline>
            <x14:sparkline>
              <xm:f>Review!A814:F814</xm:f>
              <xm:sqref>M814</xm:sqref>
            </x14:sparkline>
            <x14:sparkline>
              <xm:f>Review!A815:F815</xm:f>
              <xm:sqref>M815</xm:sqref>
            </x14:sparkline>
            <x14:sparkline>
              <xm:f>Review!A816:F816</xm:f>
              <xm:sqref>M816</xm:sqref>
            </x14:sparkline>
            <x14:sparkline>
              <xm:f>Review!A817:F817</xm:f>
              <xm:sqref>M817</xm:sqref>
            </x14:sparkline>
            <x14:sparkline>
              <xm:f>Review!A818:F818</xm:f>
              <xm:sqref>M818</xm:sqref>
            </x14:sparkline>
            <x14:sparkline>
              <xm:f>Review!A819:F819</xm:f>
              <xm:sqref>M819</xm:sqref>
            </x14:sparkline>
            <x14:sparkline>
              <xm:f>Review!A820:F820</xm:f>
              <xm:sqref>M820</xm:sqref>
            </x14:sparkline>
            <x14:sparkline>
              <xm:f>Review!A821:F821</xm:f>
              <xm:sqref>M821</xm:sqref>
            </x14:sparkline>
            <x14:sparkline>
              <xm:f>Review!A822:F822</xm:f>
              <xm:sqref>M822</xm:sqref>
            </x14:sparkline>
            <x14:sparkline>
              <xm:f>Review!A823:F823</xm:f>
              <xm:sqref>M823</xm:sqref>
            </x14:sparkline>
            <x14:sparkline>
              <xm:f>Review!A824:F824</xm:f>
              <xm:sqref>M824</xm:sqref>
            </x14:sparkline>
            <x14:sparkline>
              <xm:f>Review!A825:F825</xm:f>
              <xm:sqref>M825</xm:sqref>
            </x14:sparkline>
            <x14:sparkline>
              <xm:f>Review!A826:F826</xm:f>
              <xm:sqref>M826</xm:sqref>
            </x14:sparkline>
            <x14:sparkline>
              <xm:f>Review!A827:F827</xm:f>
              <xm:sqref>M827</xm:sqref>
            </x14:sparkline>
            <x14:sparkline>
              <xm:f>Review!A828:F828</xm:f>
              <xm:sqref>M828</xm:sqref>
            </x14:sparkline>
            <x14:sparkline>
              <xm:f>Review!A829:F829</xm:f>
              <xm:sqref>M829</xm:sqref>
            </x14:sparkline>
            <x14:sparkline>
              <xm:f>Review!A830:F830</xm:f>
              <xm:sqref>M830</xm:sqref>
            </x14:sparkline>
            <x14:sparkline>
              <xm:f>Review!A831:F831</xm:f>
              <xm:sqref>M831</xm:sqref>
            </x14:sparkline>
            <x14:sparkline>
              <xm:f>Review!A832:F832</xm:f>
              <xm:sqref>M832</xm:sqref>
            </x14:sparkline>
            <x14:sparkline>
              <xm:f>Review!A833:F833</xm:f>
              <xm:sqref>M833</xm:sqref>
            </x14:sparkline>
            <x14:sparkline>
              <xm:f>Review!A834:F834</xm:f>
              <xm:sqref>M834</xm:sqref>
            </x14:sparkline>
            <x14:sparkline>
              <xm:f>Review!A835:F835</xm:f>
              <xm:sqref>M835</xm:sqref>
            </x14:sparkline>
            <x14:sparkline>
              <xm:f>Review!A836:F836</xm:f>
              <xm:sqref>M836</xm:sqref>
            </x14:sparkline>
            <x14:sparkline>
              <xm:f>Review!A837:F837</xm:f>
              <xm:sqref>M837</xm:sqref>
            </x14:sparkline>
            <x14:sparkline>
              <xm:f>Review!A838:F838</xm:f>
              <xm:sqref>M838</xm:sqref>
            </x14:sparkline>
            <x14:sparkline>
              <xm:f>Review!A839:F839</xm:f>
              <xm:sqref>M839</xm:sqref>
            </x14:sparkline>
            <x14:sparkline>
              <xm:f>Review!A840:F840</xm:f>
              <xm:sqref>M840</xm:sqref>
            </x14:sparkline>
            <x14:sparkline>
              <xm:f>Review!A841:F841</xm:f>
              <xm:sqref>M841</xm:sqref>
            </x14:sparkline>
            <x14:sparkline>
              <xm:f>Review!A842:F842</xm:f>
              <xm:sqref>M842</xm:sqref>
            </x14:sparkline>
            <x14:sparkline>
              <xm:f>Review!A843:F843</xm:f>
              <xm:sqref>M843</xm:sqref>
            </x14:sparkline>
            <x14:sparkline>
              <xm:f>Review!A844:F844</xm:f>
              <xm:sqref>M844</xm:sqref>
            </x14:sparkline>
            <x14:sparkline>
              <xm:f>Review!A845:F845</xm:f>
              <xm:sqref>M845</xm:sqref>
            </x14:sparkline>
            <x14:sparkline>
              <xm:f>Review!A846:F846</xm:f>
              <xm:sqref>M846</xm:sqref>
            </x14:sparkline>
            <x14:sparkline>
              <xm:f>Review!A847:F847</xm:f>
              <xm:sqref>M847</xm:sqref>
            </x14:sparkline>
            <x14:sparkline>
              <xm:f>Review!A848:F848</xm:f>
              <xm:sqref>M848</xm:sqref>
            </x14:sparkline>
            <x14:sparkline>
              <xm:f>Review!A849:F849</xm:f>
              <xm:sqref>M849</xm:sqref>
            </x14:sparkline>
            <x14:sparkline>
              <xm:f>Review!A850:F850</xm:f>
              <xm:sqref>M850</xm:sqref>
            </x14:sparkline>
            <x14:sparkline>
              <xm:f>Review!A851:F851</xm:f>
              <xm:sqref>M851</xm:sqref>
            </x14:sparkline>
            <x14:sparkline>
              <xm:f>Review!A852:F852</xm:f>
              <xm:sqref>M852</xm:sqref>
            </x14:sparkline>
            <x14:sparkline>
              <xm:f>Review!A853:F853</xm:f>
              <xm:sqref>M853</xm:sqref>
            </x14:sparkline>
            <x14:sparkline>
              <xm:f>Review!A854:F854</xm:f>
              <xm:sqref>M854</xm:sqref>
            </x14:sparkline>
            <x14:sparkline>
              <xm:f>Review!A855:F855</xm:f>
              <xm:sqref>M855</xm:sqref>
            </x14:sparkline>
            <x14:sparkline>
              <xm:f>Review!A856:F856</xm:f>
              <xm:sqref>M856</xm:sqref>
            </x14:sparkline>
            <x14:sparkline>
              <xm:f>Review!A857:F857</xm:f>
              <xm:sqref>M857</xm:sqref>
            </x14:sparkline>
            <x14:sparkline>
              <xm:f>Review!A858:F858</xm:f>
              <xm:sqref>M858</xm:sqref>
            </x14:sparkline>
            <x14:sparkline>
              <xm:f>Review!A859:F859</xm:f>
              <xm:sqref>M859</xm:sqref>
            </x14:sparkline>
            <x14:sparkline>
              <xm:f>Review!A860:F860</xm:f>
              <xm:sqref>M860</xm:sqref>
            </x14:sparkline>
            <x14:sparkline>
              <xm:f>Review!A861:F861</xm:f>
              <xm:sqref>M861</xm:sqref>
            </x14:sparkline>
            <x14:sparkline>
              <xm:f>Review!A862:F862</xm:f>
              <xm:sqref>M862</xm:sqref>
            </x14:sparkline>
            <x14:sparkline>
              <xm:f>Review!A863:F863</xm:f>
              <xm:sqref>M863</xm:sqref>
            </x14:sparkline>
            <x14:sparkline>
              <xm:f>Review!A864:F864</xm:f>
              <xm:sqref>M864</xm:sqref>
            </x14:sparkline>
            <x14:sparkline>
              <xm:f>Review!A865:F865</xm:f>
              <xm:sqref>M865</xm:sqref>
            </x14:sparkline>
            <x14:sparkline>
              <xm:f>Review!A866:F866</xm:f>
              <xm:sqref>M866</xm:sqref>
            </x14:sparkline>
            <x14:sparkline>
              <xm:f>Review!A867:F867</xm:f>
              <xm:sqref>M867</xm:sqref>
            </x14:sparkline>
            <x14:sparkline>
              <xm:f>Review!A868:F868</xm:f>
              <xm:sqref>M868</xm:sqref>
            </x14:sparkline>
            <x14:sparkline>
              <xm:f>Review!A869:F869</xm:f>
              <xm:sqref>M869</xm:sqref>
            </x14:sparkline>
            <x14:sparkline>
              <xm:f>Review!A870:F870</xm:f>
              <xm:sqref>M870</xm:sqref>
            </x14:sparkline>
            <x14:sparkline>
              <xm:f>Review!A871:F871</xm:f>
              <xm:sqref>M871</xm:sqref>
            </x14:sparkline>
            <x14:sparkline>
              <xm:f>Review!A872:F872</xm:f>
              <xm:sqref>M872</xm:sqref>
            </x14:sparkline>
            <x14:sparkline>
              <xm:f>Review!A873:F873</xm:f>
              <xm:sqref>M873</xm:sqref>
            </x14:sparkline>
            <x14:sparkline>
              <xm:f>Review!A874:F874</xm:f>
              <xm:sqref>M874</xm:sqref>
            </x14:sparkline>
            <x14:sparkline>
              <xm:f>Review!A875:F875</xm:f>
              <xm:sqref>M875</xm:sqref>
            </x14:sparkline>
            <x14:sparkline>
              <xm:f>Review!A876:F876</xm:f>
              <xm:sqref>M876</xm:sqref>
            </x14:sparkline>
            <x14:sparkline>
              <xm:f>Review!A877:F877</xm:f>
              <xm:sqref>M877</xm:sqref>
            </x14:sparkline>
            <x14:sparkline>
              <xm:f>Review!A878:F878</xm:f>
              <xm:sqref>M878</xm:sqref>
            </x14:sparkline>
            <x14:sparkline>
              <xm:f>Review!A879:F879</xm:f>
              <xm:sqref>M879</xm:sqref>
            </x14:sparkline>
            <x14:sparkline>
              <xm:f>Review!A880:F880</xm:f>
              <xm:sqref>M880</xm:sqref>
            </x14:sparkline>
            <x14:sparkline>
              <xm:f>Review!A881:F881</xm:f>
              <xm:sqref>M881</xm:sqref>
            </x14:sparkline>
            <x14:sparkline>
              <xm:f>Review!A882:F882</xm:f>
              <xm:sqref>M882</xm:sqref>
            </x14:sparkline>
            <x14:sparkline>
              <xm:f>Review!A883:F883</xm:f>
              <xm:sqref>M883</xm:sqref>
            </x14:sparkline>
            <x14:sparkline>
              <xm:f>Review!A884:F884</xm:f>
              <xm:sqref>M884</xm:sqref>
            </x14:sparkline>
            <x14:sparkline>
              <xm:f>Review!A885:F885</xm:f>
              <xm:sqref>M885</xm:sqref>
            </x14:sparkline>
            <x14:sparkline>
              <xm:f>Review!A886:F886</xm:f>
              <xm:sqref>M886</xm:sqref>
            </x14:sparkline>
            <x14:sparkline>
              <xm:f>Review!A887:F887</xm:f>
              <xm:sqref>M887</xm:sqref>
            </x14:sparkline>
            <x14:sparkline>
              <xm:f>Review!A888:F888</xm:f>
              <xm:sqref>M888</xm:sqref>
            </x14:sparkline>
            <x14:sparkline>
              <xm:f>Review!A889:F889</xm:f>
              <xm:sqref>M889</xm:sqref>
            </x14:sparkline>
            <x14:sparkline>
              <xm:f>Review!A890:F890</xm:f>
              <xm:sqref>M890</xm:sqref>
            </x14:sparkline>
            <x14:sparkline>
              <xm:f>Review!A891:F891</xm:f>
              <xm:sqref>M891</xm:sqref>
            </x14:sparkline>
            <x14:sparkline>
              <xm:f>Review!A892:F892</xm:f>
              <xm:sqref>M892</xm:sqref>
            </x14:sparkline>
            <x14:sparkline>
              <xm:f>Review!A893:F893</xm:f>
              <xm:sqref>M893</xm:sqref>
            </x14:sparkline>
            <x14:sparkline>
              <xm:f>Review!A894:F894</xm:f>
              <xm:sqref>M894</xm:sqref>
            </x14:sparkline>
            <x14:sparkline>
              <xm:f>Review!A895:F895</xm:f>
              <xm:sqref>M895</xm:sqref>
            </x14:sparkline>
            <x14:sparkline>
              <xm:f>Review!A896:F896</xm:f>
              <xm:sqref>M896</xm:sqref>
            </x14:sparkline>
            <x14:sparkline>
              <xm:f>Review!A897:F897</xm:f>
              <xm:sqref>M897</xm:sqref>
            </x14:sparkline>
            <x14:sparkline>
              <xm:f>Review!A898:F898</xm:f>
              <xm:sqref>M898</xm:sqref>
            </x14:sparkline>
            <x14:sparkline>
              <xm:f>Review!A899:F899</xm:f>
              <xm:sqref>M899</xm:sqref>
            </x14:sparkline>
            <x14:sparkline>
              <xm:f>Review!A900:F900</xm:f>
              <xm:sqref>M900</xm:sqref>
            </x14:sparkline>
            <x14:sparkline>
              <xm:f>Review!A901:F901</xm:f>
              <xm:sqref>M901</xm:sqref>
            </x14:sparkline>
            <x14:sparkline>
              <xm:f>Review!A902:F902</xm:f>
              <xm:sqref>M902</xm:sqref>
            </x14:sparkline>
            <x14:sparkline>
              <xm:f>Review!A903:F903</xm:f>
              <xm:sqref>M903</xm:sqref>
            </x14:sparkline>
            <x14:sparkline>
              <xm:f>Review!A904:F904</xm:f>
              <xm:sqref>M904</xm:sqref>
            </x14:sparkline>
            <x14:sparkline>
              <xm:f>Review!A905:F905</xm:f>
              <xm:sqref>M905</xm:sqref>
            </x14:sparkline>
            <x14:sparkline>
              <xm:f>Review!A906:F906</xm:f>
              <xm:sqref>M906</xm:sqref>
            </x14:sparkline>
            <x14:sparkline>
              <xm:f>Review!A907:F907</xm:f>
              <xm:sqref>M907</xm:sqref>
            </x14:sparkline>
            <x14:sparkline>
              <xm:f>Review!A908:F908</xm:f>
              <xm:sqref>M908</xm:sqref>
            </x14:sparkline>
            <x14:sparkline>
              <xm:f>Review!A909:F909</xm:f>
              <xm:sqref>M909</xm:sqref>
            </x14:sparkline>
            <x14:sparkline>
              <xm:f>Review!A910:F910</xm:f>
              <xm:sqref>M910</xm:sqref>
            </x14:sparkline>
            <x14:sparkline>
              <xm:f>Review!A911:F911</xm:f>
              <xm:sqref>M911</xm:sqref>
            </x14:sparkline>
            <x14:sparkline>
              <xm:f>Review!A912:F912</xm:f>
              <xm:sqref>M912</xm:sqref>
            </x14:sparkline>
            <x14:sparkline>
              <xm:f>Review!A913:F913</xm:f>
              <xm:sqref>M913</xm:sqref>
            </x14:sparkline>
            <x14:sparkline>
              <xm:f>Review!A914:F914</xm:f>
              <xm:sqref>M914</xm:sqref>
            </x14:sparkline>
            <x14:sparkline>
              <xm:f>Review!A915:F915</xm:f>
              <xm:sqref>M915</xm:sqref>
            </x14:sparkline>
            <x14:sparkline>
              <xm:f>Review!A916:F916</xm:f>
              <xm:sqref>M916</xm:sqref>
            </x14:sparkline>
            <x14:sparkline>
              <xm:f>Review!A917:F917</xm:f>
              <xm:sqref>M917</xm:sqref>
            </x14:sparkline>
            <x14:sparkline>
              <xm:f>Review!A918:F918</xm:f>
              <xm:sqref>M918</xm:sqref>
            </x14:sparkline>
            <x14:sparkline>
              <xm:f>Review!A919:F919</xm:f>
              <xm:sqref>M919</xm:sqref>
            </x14:sparkline>
            <x14:sparkline>
              <xm:f>Review!A920:F920</xm:f>
              <xm:sqref>M920</xm:sqref>
            </x14:sparkline>
            <x14:sparkline>
              <xm:f>Review!A921:F921</xm:f>
              <xm:sqref>M921</xm:sqref>
            </x14:sparkline>
            <x14:sparkline>
              <xm:f>Review!A922:F922</xm:f>
              <xm:sqref>M922</xm:sqref>
            </x14:sparkline>
            <x14:sparkline>
              <xm:f>Review!A923:F923</xm:f>
              <xm:sqref>M923</xm:sqref>
            </x14:sparkline>
            <x14:sparkline>
              <xm:f>Review!A924:F924</xm:f>
              <xm:sqref>M924</xm:sqref>
            </x14:sparkline>
            <x14:sparkline>
              <xm:f>Review!A925:F925</xm:f>
              <xm:sqref>M925</xm:sqref>
            </x14:sparkline>
            <x14:sparkline>
              <xm:f>Review!A926:F926</xm:f>
              <xm:sqref>M926</xm:sqref>
            </x14:sparkline>
            <x14:sparkline>
              <xm:f>Review!A927:F927</xm:f>
              <xm:sqref>M927</xm:sqref>
            </x14:sparkline>
            <x14:sparkline>
              <xm:f>Review!A928:F928</xm:f>
              <xm:sqref>M928</xm:sqref>
            </x14:sparkline>
            <x14:sparkline>
              <xm:f>Review!A929:F929</xm:f>
              <xm:sqref>M929</xm:sqref>
            </x14:sparkline>
            <x14:sparkline>
              <xm:f>Review!A930:F930</xm:f>
              <xm:sqref>M930</xm:sqref>
            </x14:sparkline>
            <x14:sparkline>
              <xm:f>Review!A931:F931</xm:f>
              <xm:sqref>M931</xm:sqref>
            </x14:sparkline>
            <x14:sparkline>
              <xm:f>Review!A932:F932</xm:f>
              <xm:sqref>M932</xm:sqref>
            </x14:sparkline>
            <x14:sparkline>
              <xm:f>Review!A933:F933</xm:f>
              <xm:sqref>M933</xm:sqref>
            </x14:sparkline>
            <x14:sparkline>
              <xm:f>Review!A934:F934</xm:f>
              <xm:sqref>M934</xm:sqref>
            </x14:sparkline>
            <x14:sparkline>
              <xm:f>Review!A935:F935</xm:f>
              <xm:sqref>M935</xm:sqref>
            </x14:sparkline>
            <x14:sparkline>
              <xm:f>Review!A936:F936</xm:f>
              <xm:sqref>M936</xm:sqref>
            </x14:sparkline>
            <x14:sparkline>
              <xm:f>Review!A937:F937</xm:f>
              <xm:sqref>M937</xm:sqref>
            </x14:sparkline>
            <x14:sparkline>
              <xm:f>Review!A938:F938</xm:f>
              <xm:sqref>M938</xm:sqref>
            </x14:sparkline>
            <x14:sparkline>
              <xm:f>Review!A939:F939</xm:f>
              <xm:sqref>M939</xm:sqref>
            </x14:sparkline>
            <x14:sparkline>
              <xm:f>Review!A940:F940</xm:f>
              <xm:sqref>M940</xm:sqref>
            </x14:sparkline>
            <x14:sparkline>
              <xm:f>Review!A941:F941</xm:f>
              <xm:sqref>M941</xm:sqref>
            </x14:sparkline>
            <x14:sparkline>
              <xm:f>Review!A942:F942</xm:f>
              <xm:sqref>M942</xm:sqref>
            </x14:sparkline>
            <x14:sparkline>
              <xm:f>Review!A943:F943</xm:f>
              <xm:sqref>M943</xm:sqref>
            </x14:sparkline>
            <x14:sparkline>
              <xm:f>Review!A944:F944</xm:f>
              <xm:sqref>M944</xm:sqref>
            </x14:sparkline>
            <x14:sparkline>
              <xm:f>Review!A945:F945</xm:f>
              <xm:sqref>M945</xm:sqref>
            </x14:sparkline>
            <x14:sparkline>
              <xm:f>Review!A946:F946</xm:f>
              <xm:sqref>M946</xm:sqref>
            </x14:sparkline>
            <x14:sparkline>
              <xm:f>Review!A947:F947</xm:f>
              <xm:sqref>M947</xm:sqref>
            </x14:sparkline>
            <x14:sparkline>
              <xm:f>Review!A948:F948</xm:f>
              <xm:sqref>M948</xm:sqref>
            </x14:sparkline>
            <x14:sparkline>
              <xm:f>Review!A949:F949</xm:f>
              <xm:sqref>M949</xm:sqref>
            </x14:sparkline>
            <x14:sparkline>
              <xm:f>Review!A950:F950</xm:f>
              <xm:sqref>M950</xm:sqref>
            </x14:sparkline>
            <x14:sparkline>
              <xm:f>Review!A951:F951</xm:f>
              <xm:sqref>M951</xm:sqref>
            </x14:sparkline>
            <x14:sparkline>
              <xm:f>Review!A952:F952</xm:f>
              <xm:sqref>M952</xm:sqref>
            </x14:sparkline>
            <x14:sparkline>
              <xm:f>Review!A953:F953</xm:f>
              <xm:sqref>M953</xm:sqref>
            </x14:sparkline>
            <x14:sparkline>
              <xm:f>Review!A954:F954</xm:f>
              <xm:sqref>M954</xm:sqref>
            </x14:sparkline>
            <x14:sparkline>
              <xm:f>Review!A955:F955</xm:f>
              <xm:sqref>M955</xm:sqref>
            </x14:sparkline>
            <x14:sparkline>
              <xm:f>Review!A956:F956</xm:f>
              <xm:sqref>M956</xm:sqref>
            </x14:sparkline>
            <x14:sparkline>
              <xm:f>Review!A957:F957</xm:f>
              <xm:sqref>M957</xm:sqref>
            </x14:sparkline>
            <x14:sparkline>
              <xm:f>Review!A958:F958</xm:f>
              <xm:sqref>M958</xm:sqref>
            </x14:sparkline>
            <x14:sparkline>
              <xm:f>Review!A959:F959</xm:f>
              <xm:sqref>M959</xm:sqref>
            </x14:sparkline>
            <x14:sparkline>
              <xm:f>Review!A960:F960</xm:f>
              <xm:sqref>M960</xm:sqref>
            </x14:sparkline>
            <x14:sparkline>
              <xm:f>Review!A961:F961</xm:f>
              <xm:sqref>M961</xm:sqref>
            </x14:sparkline>
            <x14:sparkline>
              <xm:f>Review!A962:F962</xm:f>
              <xm:sqref>M962</xm:sqref>
            </x14:sparkline>
            <x14:sparkline>
              <xm:f>Review!A963:F963</xm:f>
              <xm:sqref>M963</xm:sqref>
            </x14:sparkline>
            <x14:sparkline>
              <xm:f>Review!A964:F964</xm:f>
              <xm:sqref>M964</xm:sqref>
            </x14:sparkline>
            <x14:sparkline>
              <xm:f>Review!A965:F965</xm:f>
              <xm:sqref>M965</xm:sqref>
            </x14:sparkline>
            <x14:sparkline>
              <xm:f>Review!A966:F966</xm:f>
              <xm:sqref>M966</xm:sqref>
            </x14:sparkline>
            <x14:sparkline>
              <xm:f>Review!A967:F967</xm:f>
              <xm:sqref>M967</xm:sqref>
            </x14:sparkline>
            <x14:sparkline>
              <xm:f>Review!A968:F968</xm:f>
              <xm:sqref>M968</xm:sqref>
            </x14:sparkline>
            <x14:sparkline>
              <xm:f>Review!A969:F969</xm:f>
              <xm:sqref>M969</xm:sqref>
            </x14:sparkline>
            <x14:sparkline>
              <xm:f>Review!A970:F970</xm:f>
              <xm:sqref>M970</xm:sqref>
            </x14:sparkline>
            <x14:sparkline>
              <xm:f>Review!A971:F971</xm:f>
              <xm:sqref>M971</xm:sqref>
            </x14:sparkline>
            <x14:sparkline>
              <xm:f>Review!A972:F972</xm:f>
              <xm:sqref>M972</xm:sqref>
            </x14:sparkline>
            <x14:sparkline>
              <xm:f>Review!A973:F973</xm:f>
              <xm:sqref>M973</xm:sqref>
            </x14:sparkline>
            <x14:sparkline>
              <xm:f>Review!A974:F974</xm:f>
              <xm:sqref>M974</xm:sqref>
            </x14:sparkline>
            <x14:sparkline>
              <xm:f>Review!A975:F975</xm:f>
              <xm:sqref>M975</xm:sqref>
            </x14:sparkline>
            <x14:sparkline>
              <xm:f>Review!A976:F976</xm:f>
              <xm:sqref>M976</xm:sqref>
            </x14:sparkline>
            <x14:sparkline>
              <xm:f>Review!A977:F977</xm:f>
              <xm:sqref>M977</xm:sqref>
            </x14:sparkline>
            <x14:sparkline>
              <xm:f>Review!A978:F978</xm:f>
              <xm:sqref>M978</xm:sqref>
            </x14:sparkline>
            <x14:sparkline>
              <xm:f>Review!A979:F979</xm:f>
              <xm:sqref>M979</xm:sqref>
            </x14:sparkline>
            <x14:sparkline>
              <xm:f>Review!A980:F980</xm:f>
              <xm:sqref>M980</xm:sqref>
            </x14:sparkline>
            <x14:sparkline>
              <xm:f>Review!A981:F981</xm:f>
              <xm:sqref>M981</xm:sqref>
            </x14:sparkline>
            <x14:sparkline>
              <xm:f>Review!A982:F982</xm:f>
              <xm:sqref>M982</xm:sqref>
            </x14:sparkline>
            <x14:sparkline>
              <xm:f>Review!A983:F983</xm:f>
              <xm:sqref>M983</xm:sqref>
            </x14:sparkline>
            <x14:sparkline>
              <xm:f>Review!A984:F984</xm:f>
              <xm:sqref>M984</xm:sqref>
            </x14:sparkline>
            <x14:sparkline>
              <xm:f>Review!A985:F985</xm:f>
              <xm:sqref>M985</xm:sqref>
            </x14:sparkline>
            <x14:sparkline>
              <xm:f>Review!A986:F986</xm:f>
              <xm:sqref>M986</xm:sqref>
            </x14:sparkline>
            <x14:sparkline>
              <xm:f>Review!A987:F987</xm:f>
              <xm:sqref>M987</xm:sqref>
            </x14:sparkline>
            <x14:sparkline>
              <xm:f>Review!A988:F988</xm:f>
              <xm:sqref>M988</xm:sqref>
            </x14:sparkline>
            <x14:sparkline>
              <xm:f>Review!A989:F989</xm:f>
              <xm:sqref>M989</xm:sqref>
            </x14:sparkline>
            <x14:sparkline>
              <xm:f>Review!A990:F990</xm:f>
              <xm:sqref>M990</xm:sqref>
            </x14:sparkline>
            <x14:sparkline>
              <xm:f>Review!A991:F991</xm:f>
              <xm:sqref>M991</xm:sqref>
            </x14:sparkline>
            <x14:sparkline>
              <xm:f>Review!A992:F992</xm:f>
              <xm:sqref>M992</xm:sqref>
            </x14:sparkline>
            <x14:sparkline>
              <xm:f>Review!A993:F993</xm:f>
              <xm:sqref>M993</xm:sqref>
            </x14:sparkline>
            <x14:sparkline>
              <xm:f>Review!A994:F994</xm:f>
              <xm:sqref>M994</xm:sqref>
            </x14:sparkline>
            <x14:sparkline>
              <xm:f>Review!A995:F995</xm:f>
              <xm:sqref>M995</xm:sqref>
            </x14:sparkline>
            <x14:sparkline>
              <xm:f>Review!A996:F996</xm:f>
              <xm:sqref>M996</xm:sqref>
            </x14:sparkline>
            <x14:sparkline>
              <xm:f>Review!A997:F997</xm:f>
              <xm:sqref>M997</xm:sqref>
            </x14:sparkline>
            <x14:sparkline>
              <xm:f>Review!A998:F998</xm:f>
              <xm:sqref>M998</xm:sqref>
            </x14:sparkline>
            <x14:sparkline>
              <xm:f>Review!A999:F999</xm:f>
              <xm:sqref>M999</xm:sqref>
            </x14:sparkline>
            <x14:sparkline>
              <xm:f>Review!A1000:F1000</xm:f>
              <xm:sqref>M1000</xm:sqref>
            </x14:sparkline>
            <x14:sparkline>
              <xm:f>Review!A1001:F1001</xm:f>
              <xm:sqref>M1001</xm:sqref>
            </x14:sparkline>
            <x14:sparkline>
              <xm:f>Review!A1002:F1002</xm:f>
              <xm:sqref>M1002</xm:sqref>
            </x14:sparkline>
            <x14:sparkline>
              <xm:f>Review!A1003:F1003</xm:f>
              <xm:sqref>M1003</xm:sqref>
            </x14:sparkline>
            <x14:sparkline>
              <xm:f>Review!A1004:F1004</xm:f>
              <xm:sqref>M1004</xm:sqref>
            </x14:sparkline>
            <x14:sparkline>
              <xm:f>Review!A1005:F1005</xm:f>
              <xm:sqref>M1005</xm:sqref>
            </x14:sparkline>
            <x14:sparkline>
              <xm:f>Review!A1006:F1006</xm:f>
              <xm:sqref>M1006</xm:sqref>
            </x14:sparkline>
            <x14:sparkline>
              <xm:f>Review!A1007:F1007</xm:f>
              <xm:sqref>M1007</xm:sqref>
            </x14:sparkline>
            <x14:sparkline>
              <xm:f>Review!A1008:F1008</xm:f>
              <xm:sqref>M1008</xm:sqref>
            </x14:sparkline>
            <x14:sparkline>
              <xm:f>Review!A1009:F1009</xm:f>
              <xm:sqref>M1009</xm:sqref>
            </x14:sparkline>
            <x14:sparkline>
              <xm:f>Review!A1010:F1010</xm:f>
              <xm:sqref>M1010</xm:sqref>
            </x14:sparkline>
            <x14:sparkline>
              <xm:f>Review!A1011:F1011</xm:f>
              <xm:sqref>M1011</xm:sqref>
            </x14:sparkline>
            <x14:sparkline>
              <xm:f>Review!A1012:F1012</xm:f>
              <xm:sqref>M1012</xm:sqref>
            </x14:sparkline>
            <x14:sparkline>
              <xm:f>Review!A1013:F1013</xm:f>
              <xm:sqref>M1013</xm:sqref>
            </x14:sparkline>
            <x14:sparkline>
              <xm:f>Review!A1014:F1014</xm:f>
              <xm:sqref>M1014</xm:sqref>
            </x14:sparkline>
            <x14:sparkline>
              <xm:f>Review!A1015:F1015</xm:f>
              <xm:sqref>M1015</xm:sqref>
            </x14:sparkline>
            <x14:sparkline>
              <xm:f>Review!A1016:F1016</xm:f>
              <xm:sqref>M1016</xm:sqref>
            </x14:sparkline>
            <x14:sparkline>
              <xm:f>Review!A1017:F1017</xm:f>
              <xm:sqref>M1017</xm:sqref>
            </x14:sparkline>
            <x14:sparkline>
              <xm:f>Review!A1018:F1018</xm:f>
              <xm:sqref>M1018</xm:sqref>
            </x14:sparkline>
            <x14:sparkline>
              <xm:f>Review!A1019:F1019</xm:f>
              <xm:sqref>M1019</xm:sqref>
            </x14:sparkline>
            <x14:sparkline>
              <xm:f>Review!A1020:F1020</xm:f>
              <xm:sqref>M1020</xm:sqref>
            </x14:sparkline>
            <x14:sparkline>
              <xm:f>Review!A1021:F1021</xm:f>
              <xm:sqref>M1021</xm:sqref>
            </x14:sparkline>
            <x14:sparkline>
              <xm:f>Review!A1022:F1022</xm:f>
              <xm:sqref>M1022</xm:sqref>
            </x14:sparkline>
            <x14:sparkline>
              <xm:f>Review!A1023:F1023</xm:f>
              <xm:sqref>M1023</xm:sqref>
            </x14:sparkline>
            <x14:sparkline>
              <xm:f>Review!A1024:F1024</xm:f>
              <xm:sqref>M1024</xm:sqref>
            </x14:sparkline>
            <x14:sparkline>
              <xm:f>Review!A1025:F1025</xm:f>
              <xm:sqref>M1025</xm:sqref>
            </x14:sparkline>
            <x14:sparkline>
              <xm:f>Review!A1026:F1026</xm:f>
              <xm:sqref>M1026</xm:sqref>
            </x14:sparkline>
            <x14:sparkline>
              <xm:f>Review!A1027:F1027</xm:f>
              <xm:sqref>M1027</xm:sqref>
            </x14:sparkline>
            <x14:sparkline>
              <xm:f>Review!A1028:F1028</xm:f>
              <xm:sqref>M1028</xm:sqref>
            </x14:sparkline>
            <x14:sparkline>
              <xm:f>Review!A1029:F1029</xm:f>
              <xm:sqref>M1029</xm:sqref>
            </x14:sparkline>
            <x14:sparkline>
              <xm:f>Review!A1030:F1030</xm:f>
              <xm:sqref>M1030</xm:sqref>
            </x14:sparkline>
            <x14:sparkline>
              <xm:f>Review!A1031:F1031</xm:f>
              <xm:sqref>M1031</xm:sqref>
            </x14:sparkline>
            <x14:sparkline>
              <xm:f>Review!A1032:F1032</xm:f>
              <xm:sqref>M1032</xm:sqref>
            </x14:sparkline>
            <x14:sparkline>
              <xm:f>Review!A1033:F1033</xm:f>
              <xm:sqref>M1033</xm:sqref>
            </x14:sparkline>
            <x14:sparkline>
              <xm:f>Review!A1034:F1034</xm:f>
              <xm:sqref>M1034</xm:sqref>
            </x14:sparkline>
            <x14:sparkline>
              <xm:f>Review!A1035:F1035</xm:f>
              <xm:sqref>M1035</xm:sqref>
            </x14:sparkline>
            <x14:sparkline>
              <xm:f>Review!A1036:F1036</xm:f>
              <xm:sqref>M1036</xm:sqref>
            </x14:sparkline>
            <x14:sparkline>
              <xm:f>Review!A1037:F1037</xm:f>
              <xm:sqref>M1037</xm:sqref>
            </x14:sparkline>
            <x14:sparkline>
              <xm:f>Review!A1038:F1038</xm:f>
              <xm:sqref>M1038</xm:sqref>
            </x14:sparkline>
            <x14:sparkline>
              <xm:f>Review!A1039:F1039</xm:f>
              <xm:sqref>M1039</xm:sqref>
            </x14:sparkline>
            <x14:sparkline>
              <xm:f>Review!A1040:F1040</xm:f>
              <xm:sqref>M1040</xm:sqref>
            </x14:sparkline>
            <x14:sparkline>
              <xm:f>Review!A1041:F1041</xm:f>
              <xm:sqref>M1041</xm:sqref>
            </x14:sparkline>
            <x14:sparkline>
              <xm:f>Review!A1042:F1042</xm:f>
              <xm:sqref>M1042</xm:sqref>
            </x14:sparkline>
            <x14:sparkline>
              <xm:f>Review!A1043:F1043</xm:f>
              <xm:sqref>M1043</xm:sqref>
            </x14:sparkline>
            <x14:sparkline>
              <xm:f>Review!A1044:F1044</xm:f>
              <xm:sqref>M1044</xm:sqref>
            </x14:sparkline>
            <x14:sparkline>
              <xm:f>Review!A1045:F1045</xm:f>
              <xm:sqref>M1045</xm:sqref>
            </x14:sparkline>
            <x14:sparkline>
              <xm:f>Review!A1046:F1046</xm:f>
              <xm:sqref>M1046</xm:sqref>
            </x14:sparkline>
            <x14:sparkline>
              <xm:f>Review!A1047:F1047</xm:f>
              <xm:sqref>M1047</xm:sqref>
            </x14:sparkline>
            <x14:sparkline>
              <xm:f>Review!A1048:F1048</xm:f>
              <xm:sqref>M1048</xm:sqref>
            </x14:sparkline>
            <x14:sparkline>
              <xm:f>Review!A1049:F1049</xm:f>
              <xm:sqref>M1049</xm:sqref>
            </x14:sparkline>
            <x14:sparkline>
              <xm:f>Review!A1050:F1050</xm:f>
              <xm:sqref>M1050</xm:sqref>
            </x14:sparkline>
            <x14:sparkline>
              <xm:f>Review!A1051:F1051</xm:f>
              <xm:sqref>M1051</xm:sqref>
            </x14:sparkline>
            <x14:sparkline>
              <xm:f>Review!A1052:F1052</xm:f>
              <xm:sqref>M1052</xm:sqref>
            </x14:sparkline>
            <x14:sparkline>
              <xm:f>Review!A1053:F1053</xm:f>
              <xm:sqref>M1053</xm:sqref>
            </x14:sparkline>
            <x14:sparkline>
              <xm:f>Review!A1054:F1054</xm:f>
              <xm:sqref>M1054</xm:sqref>
            </x14:sparkline>
            <x14:sparkline>
              <xm:f>Review!A1055:F1055</xm:f>
              <xm:sqref>M1055</xm:sqref>
            </x14:sparkline>
            <x14:sparkline>
              <xm:f>Review!A1056:F1056</xm:f>
              <xm:sqref>M1056</xm:sqref>
            </x14:sparkline>
            <x14:sparkline>
              <xm:f>Review!A1057:F1057</xm:f>
              <xm:sqref>M1057</xm:sqref>
            </x14:sparkline>
            <x14:sparkline>
              <xm:f>Review!A1058:F1058</xm:f>
              <xm:sqref>M1058</xm:sqref>
            </x14:sparkline>
            <x14:sparkline>
              <xm:f>Review!A1059:F1059</xm:f>
              <xm:sqref>M1059</xm:sqref>
            </x14:sparkline>
            <x14:sparkline>
              <xm:f>Review!A1060:F1060</xm:f>
              <xm:sqref>M1060</xm:sqref>
            </x14:sparkline>
            <x14:sparkline>
              <xm:f>Review!A1061:F1061</xm:f>
              <xm:sqref>M1061</xm:sqref>
            </x14:sparkline>
            <x14:sparkline>
              <xm:f>Review!A1062:F1062</xm:f>
              <xm:sqref>M1062</xm:sqref>
            </x14:sparkline>
            <x14:sparkline>
              <xm:f>Review!A1063:F1063</xm:f>
              <xm:sqref>M1063</xm:sqref>
            </x14:sparkline>
            <x14:sparkline>
              <xm:f>Review!A1064:F1064</xm:f>
              <xm:sqref>M1064</xm:sqref>
            </x14:sparkline>
            <x14:sparkline>
              <xm:f>Review!A1065:F1065</xm:f>
              <xm:sqref>M1065</xm:sqref>
            </x14:sparkline>
            <x14:sparkline>
              <xm:f>Review!A1066:F1066</xm:f>
              <xm:sqref>M1066</xm:sqref>
            </x14:sparkline>
            <x14:sparkline>
              <xm:f>Review!A1067:F1067</xm:f>
              <xm:sqref>M1067</xm:sqref>
            </x14:sparkline>
            <x14:sparkline>
              <xm:f>Review!A1068:F1068</xm:f>
              <xm:sqref>M1068</xm:sqref>
            </x14:sparkline>
            <x14:sparkline>
              <xm:f>Review!A1069:F1069</xm:f>
              <xm:sqref>M1069</xm:sqref>
            </x14:sparkline>
            <x14:sparkline>
              <xm:f>Review!A1070:F1070</xm:f>
              <xm:sqref>M1070</xm:sqref>
            </x14:sparkline>
            <x14:sparkline>
              <xm:f>Review!A1071:F1071</xm:f>
              <xm:sqref>M1071</xm:sqref>
            </x14:sparkline>
            <x14:sparkline>
              <xm:f>Review!A1072:F1072</xm:f>
              <xm:sqref>M1072</xm:sqref>
            </x14:sparkline>
            <x14:sparkline>
              <xm:f>Review!A1073:F1073</xm:f>
              <xm:sqref>M1073</xm:sqref>
            </x14:sparkline>
            <x14:sparkline>
              <xm:f>Review!A1074:F1074</xm:f>
              <xm:sqref>M1074</xm:sqref>
            </x14:sparkline>
            <x14:sparkline>
              <xm:f>Review!A1075:F1075</xm:f>
              <xm:sqref>M1075</xm:sqref>
            </x14:sparkline>
            <x14:sparkline>
              <xm:f>Review!A1076:F1076</xm:f>
              <xm:sqref>M1076</xm:sqref>
            </x14:sparkline>
            <x14:sparkline>
              <xm:f>Review!A1077:F1077</xm:f>
              <xm:sqref>M1077</xm:sqref>
            </x14:sparkline>
            <x14:sparkline>
              <xm:f>Review!A1078:F1078</xm:f>
              <xm:sqref>M1078</xm:sqref>
            </x14:sparkline>
            <x14:sparkline>
              <xm:f>Review!A1079:F1079</xm:f>
              <xm:sqref>M1079</xm:sqref>
            </x14:sparkline>
            <x14:sparkline>
              <xm:f>Review!A1080:F1080</xm:f>
              <xm:sqref>M1080</xm:sqref>
            </x14:sparkline>
            <x14:sparkline>
              <xm:f>Review!A1081:F1081</xm:f>
              <xm:sqref>M1081</xm:sqref>
            </x14:sparkline>
            <x14:sparkline>
              <xm:f>Review!A1082:F1082</xm:f>
              <xm:sqref>M1082</xm:sqref>
            </x14:sparkline>
            <x14:sparkline>
              <xm:f>Review!A1083:F1083</xm:f>
              <xm:sqref>M1083</xm:sqref>
            </x14:sparkline>
            <x14:sparkline>
              <xm:f>Review!A1084:F1084</xm:f>
              <xm:sqref>M1084</xm:sqref>
            </x14:sparkline>
            <x14:sparkline>
              <xm:f>Review!A1085:F1085</xm:f>
              <xm:sqref>M1085</xm:sqref>
            </x14:sparkline>
            <x14:sparkline>
              <xm:f>Review!A1086:F1086</xm:f>
              <xm:sqref>M1086</xm:sqref>
            </x14:sparkline>
            <x14:sparkline>
              <xm:f>Review!A1087:F1087</xm:f>
              <xm:sqref>M1087</xm:sqref>
            </x14:sparkline>
            <x14:sparkline>
              <xm:f>Review!A1088:F1088</xm:f>
              <xm:sqref>M1088</xm:sqref>
            </x14:sparkline>
            <x14:sparkline>
              <xm:f>Review!A1089:F1089</xm:f>
              <xm:sqref>M1089</xm:sqref>
            </x14:sparkline>
            <x14:sparkline>
              <xm:f>Review!A1090:F1090</xm:f>
              <xm:sqref>M1090</xm:sqref>
            </x14:sparkline>
            <x14:sparkline>
              <xm:f>Review!A1091:F1091</xm:f>
              <xm:sqref>M1091</xm:sqref>
            </x14:sparkline>
            <x14:sparkline>
              <xm:f>Review!A1092:F1092</xm:f>
              <xm:sqref>M1092</xm:sqref>
            </x14:sparkline>
            <x14:sparkline>
              <xm:f>Review!A1093:F1093</xm:f>
              <xm:sqref>M1093</xm:sqref>
            </x14:sparkline>
            <x14:sparkline>
              <xm:f>Review!A1094:F1094</xm:f>
              <xm:sqref>M1094</xm:sqref>
            </x14:sparkline>
            <x14:sparkline>
              <xm:f>Review!A1095:F1095</xm:f>
              <xm:sqref>M1095</xm:sqref>
            </x14:sparkline>
            <x14:sparkline>
              <xm:f>Review!A1096:F1096</xm:f>
              <xm:sqref>M1096</xm:sqref>
            </x14:sparkline>
            <x14:sparkline>
              <xm:f>Review!A1097:F1097</xm:f>
              <xm:sqref>M1097</xm:sqref>
            </x14:sparkline>
            <x14:sparkline>
              <xm:f>Review!A1098:F1098</xm:f>
              <xm:sqref>M1098</xm:sqref>
            </x14:sparkline>
            <x14:sparkline>
              <xm:f>Review!A1099:F1099</xm:f>
              <xm:sqref>M1099</xm:sqref>
            </x14:sparkline>
            <x14:sparkline>
              <xm:f>Review!A1100:F1100</xm:f>
              <xm:sqref>M1100</xm:sqref>
            </x14:sparkline>
            <x14:sparkline>
              <xm:f>Review!A1101:F1101</xm:f>
              <xm:sqref>M1101</xm:sqref>
            </x14:sparkline>
            <x14:sparkline>
              <xm:f>Review!A1102:F1102</xm:f>
              <xm:sqref>M1102</xm:sqref>
            </x14:sparkline>
            <x14:sparkline>
              <xm:f>Review!A1103:F1103</xm:f>
              <xm:sqref>M1103</xm:sqref>
            </x14:sparkline>
            <x14:sparkline>
              <xm:f>Review!A1104:F1104</xm:f>
              <xm:sqref>M1104</xm:sqref>
            </x14:sparkline>
            <x14:sparkline>
              <xm:f>Review!A1105:F1105</xm:f>
              <xm:sqref>M1105</xm:sqref>
            </x14:sparkline>
            <x14:sparkline>
              <xm:f>Review!A1106:F1106</xm:f>
              <xm:sqref>M1106</xm:sqref>
            </x14:sparkline>
            <x14:sparkline>
              <xm:f>Review!A1107:F1107</xm:f>
              <xm:sqref>M1107</xm:sqref>
            </x14:sparkline>
            <x14:sparkline>
              <xm:f>Review!A1108:F1108</xm:f>
              <xm:sqref>M1108</xm:sqref>
            </x14:sparkline>
            <x14:sparkline>
              <xm:f>Review!A1109:F1109</xm:f>
              <xm:sqref>M1109</xm:sqref>
            </x14:sparkline>
            <x14:sparkline>
              <xm:f>Review!A1110:F1110</xm:f>
              <xm:sqref>M1110</xm:sqref>
            </x14:sparkline>
            <x14:sparkline>
              <xm:f>Review!A1111:F1111</xm:f>
              <xm:sqref>M1111</xm:sqref>
            </x14:sparkline>
            <x14:sparkline>
              <xm:f>Review!A1112:F1112</xm:f>
              <xm:sqref>M1112</xm:sqref>
            </x14:sparkline>
            <x14:sparkline>
              <xm:f>Review!A1113:F1113</xm:f>
              <xm:sqref>M1113</xm:sqref>
            </x14:sparkline>
            <x14:sparkline>
              <xm:f>Review!A1114:F1114</xm:f>
              <xm:sqref>M1114</xm:sqref>
            </x14:sparkline>
            <x14:sparkline>
              <xm:f>Review!A1115:F1115</xm:f>
              <xm:sqref>M1115</xm:sqref>
            </x14:sparkline>
            <x14:sparkline>
              <xm:f>Review!A1116:F1116</xm:f>
              <xm:sqref>M1116</xm:sqref>
            </x14:sparkline>
            <x14:sparkline>
              <xm:f>Review!A1117:F1117</xm:f>
              <xm:sqref>M1117</xm:sqref>
            </x14:sparkline>
            <x14:sparkline>
              <xm:f>Review!A1118:F1118</xm:f>
              <xm:sqref>M1118</xm:sqref>
            </x14:sparkline>
            <x14:sparkline>
              <xm:f>Review!A1119:F1119</xm:f>
              <xm:sqref>M1119</xm:sqref>
            </x14:sparkline>
            <x14:sparkline>
              <xm:f>Review!A1120:F1120</xm:f>
              <xm:sqref>M1120</xm:sqref>
            </x14:sparkline>
            <x14:sparkline>
              <xm:f>Review!A1121:F1121</xm:f>
              <xm:sqref>M1121</xm:sqref>
            </x14:sparkline>
            <x14:sparkline>
              <xm:f>Review!A1122:F1122</xm:f>
              <xm:sqref>M1122</xm:sqref>
            </x14:sparkline>
            <x14:sparkline>
              <xm:f>Review!A1123:F1123</xm:f>
              <xm:sqref>M1123</xm:sqref>
            </x14:sparkline>
            <x14:sparkline>
              <xm:f>Review!A1124:F1124</xm:f>
              <xm:sqref>M1124</xm:sqref>
            </x14:sparkline>
            <x14:sparkline>
              <xm:f>Review!A1125:F1125</xm:f>
              <xm:sqref>M1125</xm:sqref>
            </x14:sparkline>
            <x14:sparkline>
              <xm:f>Review!A1126:F1126</xm:f>
              <xm:sqref>M1126</xm:sqref>
            </x14:sparkline>
            <x14:sparkline>
              <xm:f>Review!A1127:F1127</xm:f>
              <xm:sqref>M1127</xm:sqref>
            </x14:sparkline>
            <x14:sparkline>
              <xm:f>Review!A1128:F1128</xm:f>
              <xm:sqref>M1128</xm:sqref>
            </x14:sparkline>
            <x14:sparkline>
              <xm:f>Review!A1129:F1129</xm:f>
              <xm:sqref>M1129</xm:sqref>
            </x14:sparkline>
            <x14:sparkline>
              <xm:f>Review!A1130:F1130</xm:f>
              <xm:sqref>M1130</xm:sqref>
            </x14:sparkline>
            <x14:sparkline>
              <xm:f>Review!A1131:F1131</xm:f>
              <xm:sqref>M1131</xm:sqref>
            </x14:sparkline>
            <x14:sparkline>
              <xm:f>Review!A1132:F1132</xm:f>
              <xm:sqref>M1132</xm:sqref>
            </x14:sparkline>
            <x14:sparkline>
              <xm:f>Review!A1133:F1133</xm:f>
              <xm:sqref>M1133</xm:sqref>
            </x14:sparkline>
            <x14:sparkline>
              <xm:f>Review!A1134:F1134</xm:f>
              <xm:sqref>M1134</xm:sqref>
            </x14:sparkline>
            <x14:sparkline>
              <xm:f>Review!A1135:F1135</xm:f>
              <xm:sqref>M1135</xm:sqref>
            </x14:sparkline>
            <x14:sparkline>
              <xm:f>Review!A1136:F1136</xm:f>
              <xm:sqref>M1136</xm:sqref>
            </x14:sparkline>
            <x14:sparkline>
              <xm:f>Review!A1137:F1137</xm:f>
              <xm:sqref>M1137</xm:sqref>
            </x14:sparkline>
            <x14:sparkline>
              <xm:f>Review!A1138:F1138</xm:f>
              <xm:sqref>M1138</xm:sqref>
            </x14:sparkline>
            <x14:sparkline>
              <xm:f>Review!A1139:F1139</xm:f>
              <xm:sqref>M1139</xm:sqref>
            </x14:sparkline>
            <x14:sparkline>
              <xm:f>Review!A1140:F1140</xm:f>
              <xm:sqref>M1140</xm:sqref>
            </x14:sparkline>
            <x14:sparkline>
              <xm:f>Review!A1141:F1141</xm:f>
              <xm:sqref>M1141</xm:sqref>
            </x14:sparkline>
            <x14:sparkline>
              <xm:f>Review!A1142:F1142</xm:f>
              <xm:sqref>M1142</xm:sqref>
            </x14:sparkline>
            <x14:sparkline>
              <xm:f>Review!A1143:F1143</xm:f>
              <xm:sqref>M1143</xm:sqref>
            </x14:sparkline>
            <x14:sparkline>
              <xm:f>Review!A1144:F1144</xm:f>
              <xm:sqref>M1144</xm:sqref>
            </x14:sparkline>
            <x14:sparkline>
              <xm:f>Review!A1145:F1145</xm:f>
              <xm:sqref>M1145</xm:sqref>
            </x14:sparkline>
            <x14:sparkline>
              <xm:f>Review!A1146:F1146</xm:f>
              <xm:sqref>M1146</xm:sqref>
            </x14:sparkline>
            <x14:sparkline>
              <xm:f>Review!A1147:F1147</xm:f>
              <xm:sqref>M1147</xm:sqref>
            </x14:sparkline>
            <x14:sparkline>
              <xm:f>Review!A1148:F1148</xm:f>
              <xm:sqref>M1148</xm:sqref>
            </x14:sparkline>
            <x14:sparkline>
              <xm:f>Review!A1149:F1149</xm:f>
              <xm:sqref>M1149</xm:sqref>
            </x14:sparkline>
            <x14:sparkline>
              <xm:f>Review!A1150:F1150</xm:f>
              <xm:sqref>M1150</xm:sqref>
            </x14:sparkline>
            <x14:sparkline>
              <xm:f>Review!A1151:F1151</xm:f>
              <xm:sqref>M1151</xm:sqref>
            </x14:sparkline>
            <x14:sparkline>
              <xm:f>Review!A1152:F1152</xm:f>
              <xm:sqref>M1152</xm:sqref>
            </x14:sparkline>
            <x14:sparkline>
              <xm:f>Review!A1153:F1153</xm:f>
              <xm:sqref>M1153</xm:sqref>
            </x14:sparkline>
            <x14:sparkline>
              <xm:f>Review!A1154:F1154</xm:f>
              <xm:sqref>M1154</xm:sqref>
            </x14:sparkline>
            <x14:sparkline>
              <xm:f>Review!A1155:F1155</xm:f>
              <xm:sqref>M1155</xm:sqref>
            </x14:sparkline>
            <x14:sparkline>
              <xm:f>Review!A1156:F1156</xm:f>
              <xm:sqref>M1156</xm:sqref>
            </x14:sparkline>
            <x14:sparkline>
              <xm:f>Review!A1157:F1157</xm:f>
              <xm:sqref>M1157</xm:sqref>
            </x14:sparkline>
            <x14:sparkline>
              <xm:f>Review!A1158:F1158</xm:f>
              <xm:sqref>M1158</xm:sqref>
            </x14:sparkline>
            <x14:sparkline>
              <xm:f>Review!A1159:F1159</xm:f>
              <xm:sqref>M1159</xm:sqref>
            </x14:sparkline>
            <x14:sparkline>
              <xm:f>Review!A1160:F1160</xm:f>
              <xm:sqref>M1160</xm:sqref>
            </x14:sparkline>
            <x14:sparkline>
              <xm:f>Review!A1161:F1161</xm:f>
              <xm:sqref>M1161</xm:sqref>
            </x14:sparkline>
            <x14:sparkline>
              <xm:f>Review!A1162:F1162</xm:f>
              <xm:sqref>M1162</xm:sqref>
            </x14:sparkline>
            <x14:sparkline>
              <xm:f>Review!A1163:F1163</xm:f>
              <xm:sqref>M1163</xm:sqref>
            </x14:sparkline>
            <x14:sparkline>
              <xm:f>Review!A1164:F1164</xm:f>
              <xm:sqref>M1164</xm:sqref>
            </x14:sparkline>
            <x14:sparkline>
              <xm:f>Review!A1165:F1165</xm:f>
              <xm:sqref>M1165</xm:sqref>
            </x14:sparkline>
            <x14:sparkline>
              <xm:f>Review!A1166:F1166</xm:f>
              <xm:sqref>M1166</xm:sqref>
            </x14:sparkline>
            <x14:sparkline>
              <xm:f>Review!A1167:F1167</xm:f>
              <xm:sqref>M1167</xm:sqref>
            </x14:sparkline>
            <x14:sparkline>
              <xm:f>Review!A1168:F1168</xm:f>
              <xm:sqref>M1168</xm:sqref>
            </x14:sparkline>
            <x14:sparkline>
              <xm:f>Review!A1169:F1169</xm:f>
              <xm:sqref>M1169</xm:sqref>
            </x14:sparkline>
            <x14:sparkline>
              <xm:f>Review!A1170:F1170</xm:f>
              <xm:sqref>M1170</xm:sqref>
            </x14:sparkline>
            <x14:sparkline>
              <xm:f>Review!A1171:F1171</xm:f>
              <xm:sqref>M1171</xm:sqref>
            </x14:sparkline>
            <x14:sparkline>
              <xm:f>Review!A1172:F1172</xm:f>
              <xm:sqref>M1172</xm:sqref>
            </x14:sparkline>
            <x14:sparkline>
              <xm:f>Review!A1173:F1173</xm:f>
              <xm:sqref>M1173</xm:sqref>
            </x14:sparkline>
            <x14:sparkline>
              <xm:f>Review!A1174:F1174</xm:f>
              <xm:sqref>M1174</xm:sqref>
            </x14:sparkline>
            <x14:sparkline>
              <xm:f>Review!A1175:F1175</xm:f>
              <xm:sqref>M1175</xm:sqref>
            </x14:sparkline>
            <x14:sparkline>
              <xm:f>Review!A1176:F1176</xm:f>
              <xm:sqref>M1176</xm:sqref>
            </x14:sparkline>
            <x14:sparkline>
              <xm:f>Review!A1177:F1177</xm:f>
              <xm:sqref>M1177</xm:sqref>
            </x14:sparkline>
            <x14:sparkline>
              <xm:f>Review!A1178:F1178</xm:f>
              <xm:sqref>M1178</xm:sqref>
            </x14:sparkline>
            <x14:sparkline>
              <xm:f>Review!A1179:F1179</xm:f>
              <xm:sqref>M1179</xm:sqref>
            </x14:sparkline>
            <x14:sparkline>
              <xm:f>Review!A1180:F1180</xm:f>
              <xm:sqref>M1180</xm:sqref>
            </x14:sparkline>
            <x14:sparkline>
              <xm:f>Review!A1181:F1181</xm:f>
              <xm:sqref>M1181</xm:sqref>
            </x14:sparkline>
            <x14:sparkline>
              <xm:f>Review!A1182:F1182</xm:f>
              <xm:sqref>M1182</xm:sqref>
            </x14:sparkline>
            <x14:sparkline>
              <xm:f>Review!A1183:F1183</xm:f>
              <xm:sqref>M1183</xm:sqref>
            </x14:sparkline>
            <x14:sparkline>
              <xm:f>Review!A1184:F1184</xm:f>
              <xm:sqref>M1184</xm:sqref>
            </x14:sparkline>
            <x14:sparkline>
              <xm:f>Review!A1185:F1185</xm:f>
              <xm:sqref>M1185</xm:sqref>
            </x14:sparkline>
            <x14:sparkline>
              <xm:f>Review!A1186:F1186</xm:f>
              <xm:sqref>M1186</xm:sqref>
            </x14:sparkline>
            <x14:sparkline>
              <xm:f>Review!A1187:F1187</xm:f>
              <xm:sqref>M1187</xm:sqref>
            </x14:sparkline>
            <x14:sparkline>
              <xm:f>Review!A1188:F1188</xm:f>
              <xm:sqref>M1188</xm:sqref>
            </x14:sparkline>
            <x14:sparkline>
              <xm:f>Review!A1189:F1189</xm:f>
              <xm:sqref>M1189</xm:sqref>
            </x14:sparkline>
            <x14:sparkline>
              <xm:f>Review!A1190:F1190</xm:f>
              <xm:sqref>M1190</xm:sqref>
            </x14:sparkline>
            <x14:sparkline>
              <xm:f>Review!A1191:F1191</xm:f>
              <xm:sqref>M1191</xm:sqref>
            </x14:sparkline>
            <x14:sparkline>
              <xm:f>Review!A1192:F1192</xm:f>
              <xm:sqref>M1192</xm:sqref>
            </x14:sparkline>
            <x14:sparkline>
              <xm:f>Review!A1193:F1193</xm:f>
              <xm:sqref>M1193</xm:sqref>
            </x14:sparkline>
            <x14:sparkline>
              <xm:f>Review!A1194:F1194</xm:f>
              <xm:sqref>M1194</xm:sqref>
            </x14:sparkline>
            <x14:sparkline>
              <xm:f>Review!A1195:F1195</xm:f>
              <xm:sqref>M1195</xm:sqref>
            </x14:sparkline>
            <x14:sparkline>
              <xm:f>Review!A1196:F1196</xm:f>
              <xm:sqref>M1196</xm:sqref>
            </x14:sparkline>
            <x14:sparkline>
              <xm:f>Review!A1197:F1197</xm:f>
              <xm:sqref>M1197</xm:sqref>
            </x14:sparkline>
            <x14:sparkline>
              <xm:f>Review!A1198:F1198</xm:f>
              <xm:sqref>M1198</xm:sqref>
            </x14:sparkline>
            <x14:sparkline>
              <xm:f>Review!A1199:F1199</xm:f>
              <xm:sqref>M1199</xm:sqref>
            </x14:sparkline>
            <x14:sparkline>
              <xm:f>Review!A1200:F1200</xm:f>
              <xm:sqref>M1200</xm:sqref>
            </x14:sparkline>
            <x14:sparkline>
              <xm:f>Review!A1201:F1201</xm:f>
              <xm:sqref>M1201</xm:sqref>
            </x14:sparkline>
            <x14:sparkline>
              <xm:f>Review!A1202:F1202</xm:f>
              <xm:sqref>M1202</xm:sqref>
            </x14:sparkline>
            <x14:sparkline>
              <xm:f>Review!A1203:F1203</xm:f>
              <xm:sqref>M1203</xm:sqref>
            </x14:sparkline>
            <x14:sparkline>
              <xm:f>Review!A1204:F1204</xm:f>
              <xm:sqref>M1204</xm:sqref>
            </x14:sparkline>
            <x14:sparkline>
              <xm:f>Review!A1205:F1205</xm:f>
              <xm:sqref>M1205</xm:sqref>
            </x14:sparkline>
            <x14:sparkline>
              <xm:f>Review!A1206:F1206</xm:f>
              <xm:sqref>M1206</xm:sqref>
            </x14:sparkline>
            <x14:sparkline>
              <xm:f>Review!A1207:F1207</xm:f>
              <xm:sqref>M1207</xm:sqref>
            </x14:sparkline>
            <x14:sparkline>
              <xm:f>Review!A1208:F1208</xm:f>
              <xm:sqref>M1208</xm:sqref>
            </x14:sparkline>
            <x14:sparkline>
              <xm:f>Review!A1209:F1209</xm:f>
              <xm:sqref>M1209</xm:sqref>
            </x14:sparkline>
            <x14:sparkline>
              <xm:f>Review!A1210:F1210</xm:f>
              <xm:sqref>M1210</xm:sqref>
            </x14:sparkline>
            <x14:sparkline>
              <xm:f>Review!A1211:F1211</xm:f>
              <xm:sqref>M1211</xm:sqref>
            </x14:sparkline>
            <x14:sparkline>
              <xm:f>Review!A1212:F1212</xm:f>
              <xm:sqref>M1212</xm:sqref>
            </x14:sparkline>
            <x14:sparkline>
              <xm:f>Review!A1213:F1213</xm:f>
              <xm:sqref>M1213</xm:sqref>
            </x14:sparkline>
            <x14:sparkline>
              <xm:f>Review!A1214:F1214</xm:f>
              <xm:sqref>M1214</xm:sqref>
            </x14:sparkline>
            <x14:sparkline>
              <xm:f>Review!A1215:F1215</xm:f>
              <xm:sqref>M1215</xm:sqref>
            </x14:sparkline>
            <x14:sparkline>
              <xm:f>Review!A1216:F1216</xm:f>
              <xm:sqref>M1216</xm:sqref>
            </x14:sparkline>
            <x14:sparkline>
              <xm:f>Review!A1217:F1217</xm:f>
              <xm:sqref>M1217</xm:sqref>
            </x14:sparkline>
            <x14:sparkline>
              <xm:f>Review!A1218:F1218</xm:f>
              <xm:sqref>M1218</xm:sqref>
            </x14:sparkline>
            <x14:sparkline>
              <xm:f>Review!A1219:F1219</xm:f>
              <xm:sqref>M1219</xm:sqref>
            </x14:sparkline>
            <x14:sparkline>
              <xm:f>Review!A1220:F1220</xm:f>
              <xm:sqref>M1220</xm:sqref>
            </x14:sparkline>
            <x14:sparkline>
              <xm:f>Review!A1221:F1221</xm:f>
              <xm:sqref>M1221</xm:sqref>
            </x14:sparkline>
            <x14:sparkline>
              <xm:f>Review!A1222:F1222</xm:f>
              <xm:sqref>M1222</xm:sqref>
            </x14:sparkline>
            <x14:sparkline>
              <xm:f>Review!A1223:F1223</xm:f>
              <xm:sqref>M1223</xm:sqref>
            </x14:sparkline>
            <x14:sparkline>
              <xm:f>Review!A1224:F1224</xm:f>
              <xm:sqref>M1224</xm:sqref>
            </x14:sparkline>
            <x14:sparkline>
              <xm:f>Review!A1225:F1225</xm:f>
              <xm:sqref>M1225</xm:sqref>
            </x14:sparkline>
            <x14:sparkline>
              <xm:f>Review!A1226:F1226</xm:f>
              <xm:sqref>M1226</xm:sqref>
            </x14:sparkline>
            <x14:sparkline>
              <xm:f>Review!A1227:F1227</xm:f>
              <xm:sqref>M1227</xm:sqref>
            </x14:sparkline>
            <x14:sparkline>
              <xm:f>Review!A1228:F1228</xm:f>
              <xm:sqref>M1228</xm:sqref>
            </x14:sparkline>
            <x14:sparkline>
              <xm:f>Review!A1229:F1229</xm:f>
              <xm:sqref>M1229</xm:sqref>
            </x14:sparkline>
            <x14:sparkline>
              <xm:f>Review!A1230:F1230</xm:f>
              <xm:sqref>M1230</xm:sqref>
            </x14:sparkline>
            <x14:sparkline>
              <xm:f>Review!A1231:F1231</xm:f>
              <xm:sqref>M1231</xm:sqref>
            </x14:sparkline>
            <x14:sparkline>
              <xm:f>Review!A1232:F1232</xm:f>
              <xm:sqref>M1232</xm:sqref>
            </x14:sparkline>
            <x14:sparkline>
              <xm:f>Review!A1233:F1233</xm:f>
              <xm:sqref>M1233</xm:sqref>
            </x14:sparkline>
            <x14:sparkline>
              <xm:f>Review!A1234:F1234</xm:f>
              <xm:sqref>M1234</xm:sqref>
            </x14:sparkline>
            <x14:sparkline>
              <xm:f>Review!A1235:F1235</xm:f>
              <xm:sqref>M1235</xm:sqref>
            </x14:sparkline>
            <x14:sparkline>
              <xm:f>Review!A1236:F1236</xm:f>
              <xm:sqref>M1236</xm:sqref>
            </x14:sparkline>
            <x14:sparkline>
              <xm:f>Review!A1237:F1237</xm:f>
              <xm:sqref>M1237</xm:sqref>
            </x14:sparkline>
            <x14:sparkline>
              <xm:f>Review!A1238:F1238</xm:f>
              <xm:sqref>M1238</xm:sqref>
            </x14:sparkline>
            <x14:sparkline>
              <xm:f>Review!A1239:F1239</xm:f>
              <xm:sqref>M1239</xm:sqref>
            </x14:sparkline>
            <x14:sparkline>
              <xm:f>Review!A1240:F1240</xm:f>
              <xm:sqref>M1240</xm:sqref>
            </x14:sparkline>
            <x14:sparkline>
              <xm:f>Review!A1241:F1241</xm:f>
              <xm:sqref>M1241</xm:sqref>
            </x14:sparkline>
            <x14:sparkline>
              <xm:f>Review!A1242:F1242</xm:f>
              <xm:sqref>M1242</xm:sqref>
            </x14:sparkline>
            <x14:sparkline>
              <xm:f>Review!A1243:F1243</xm:f>
              <xm:sqref>M1243</xm:sqref>
            </x14:sparkline>
            <x14:sparkline>
              <xm:f>Review!A1244:F1244</xm:f>
              <xm:sqref>M1244</xm:sqref>
            </x14:sparkline>
            <x14:sparkline>
              <xm:f>Review!A1245:F1245</xm:f>
              <xm:sqref>M1245</xm:sqref>
            </x14:sparkline>
            <x14:sparkline>
              <xm:f>Review!A1246:F1246</xm:f>
              <xm:sqref>M1246</xm:sqref>
            </x14:sparkline>
            <x14:sparkline>
              <xm:f>Review!A1247:F1247</xm:f>
              <xm:sqref>M1247</xm:sqref>
            </x14:sparkline>
            <x14:sparkline>
              <xm:f>Review!A1248:F1248</xm:f>
              <xm:sqref>M1248</xm:sqref>
            </x14:sparkline>
            <x14:sparkline>
              <xm:f>Review!A1249:F1249</xm:f>
              <xm:sqref>M1249</xm:sqref>
            </x14:sparkline>
            <x14:sparkline>
              <xm:f>Review!A1250:F1250</xm:f>
              <xm:sqref>M1250</xm:sqref>
            </x14:sparkline>
            <x14:sparkline>
              <xm:f>Review!A1251:F1251</xm:f>
              <xm:sqref>M1251</xm:sqref>
            </x14:sparkline>
            <x14:sparkline>
              <xm:f>Review!A1252:F1252</xm:f>
              <xm:sqref>M1252</xm:sqref>
            </x14:sparkline>
            <x14:sparkline>
              <xm:f>Review!A1253:F1253</xm:f>
              <xm:sqref>M1253</xm:sqref>
            </x14:sparkline>
            <x14:sparkline>
              <xm:f>Review!A1254:F1254</xm:f>
              <xm:sqref>M1254</xm:sqref>
            </x14:sparkline>
            <x14:sparkline>
              <xm:f>Review!A1255:F1255</xm:f>
              <xm:sqref>M1255</xm:sqref>
            </x14:sparkline>
            <x14:sparkline>
              <xm:f>Review!A1256:F1256</xm:f>
              <xm:sqref>M1256</xm:sqref>
            </x14:sparkline>
            <x14:sparkline>
              <xm:f>Review!A1257:F1257</xm:f>
              <xm:sqref>M1257</xm:sqref>
            </x14:sparkline>
            <x14:sparkline>
              <xm:f>Review!A1258:F1258</xm:f>
              <xm:sqref>M1258</xm:sqref>
            </x14:sparkline>
            <x14:sparkline>
              <xm:f>Review!A1259:F1259</xm:f>
              <xm:sqref>M1259</xm:sqref>
            </x14:sparkline>
            <x14:sparkline>
              <xm:f>Review!A1260:F1260</xm:f>
              <xm:sqref>M1260</xm:sqref>
            </x14:sparkline>
            <x14:sparkline>
              <xm:f>Review!A1261:F1261</xm:f>
              <xm:sqref>M1261</xm:sqref>
            </x14:sparkline>
            <x14:sparkline>
              <xm:f>Review!A1262:F1262</xm:f>
              <xm:sqref>M1262</xm:sqref>
            </x14:sparkline>
            <x14:sparkline>
              <xm:f>Review!A1263:F1263</xm:f>
              <xm:sqref>M1263</xm:sqref>
            </x14:sparkline>
            <x14:sparkline>
              <xm:f>Review!A1264:F1264</xm:f>
              <xm:sqref>M1264</xm:sqref>
            </x14:sparkline>
            <x14:sparkline>
              <xm:f>Review!A1265:F1265</xm:f>
              <xm:sqref>M1265</xm:sqref>
            </x14:sparkline>
            <x14:sparkline>
              <xm:f>Review!A1266:F1266</xm:f>
              <xm:sqref>M1266</xm:sqref>
            </x14:sparkline>
            <x14:sparkline>
              <xm:f>Review!A1267:F1267</xm:f>
              <xm:sqref>M1267</xm:sqref>
            </x14:sparkline>
            <x14:sparkline>
              <xm:f>Review!A1268:F1268</xm:f>
              <xm:sqref>M1268</xm:sqref>
            </x14:sparkline>
            <x14:sparkline>
              <xm:f>Review!A1269:F1269</xm:f>
              <xm:sqref>M1269</xm:sqref>
            </x14:sparkline>
            <x14:sparkline>
              <xm:f>Review!A1270:F1270</xm:f>
              <xm:sqref>M1270</xm:sqref>
            </x14:sparkline>
            <x14:sparkline>
              <xm:f>Review!A1271:F1271</xm:f>
              <xm:sqref>M1271</xm:sqref>
            </x14:sparkline>
            <x14:sparkline>
              <xm:f>Review!A1272:F1272</xm:f>
              <xm:sqref>M1272</xm:sqref>
            </x14:sparkline>
            <x14:sparkline>
              <xm:f>Review!A1273:F1273</xm:f>
              <xm:sqref>M1273</xm:sqref>
            </x14:sparkline>
            <x14:sparkline>
              <xm:f>Review!A1274:F1274</xm:f>
              <xm:sqref>M1274</xm:sqref>
            </x14:sparkline>
            <x14:sparkline>
              <xm:f>Review!A1275:F1275</xm:f>
              <xm:sqref>M1275</xm:sqref>
            </x14:sparkline>
            <x14:sparkline>
              <xm:f>Review!A1276:F1276</xm:f>
              <xm:sqref>M1276</xm:sqref>
            </x14:sparkline>
            <x14:sparkline>
              <xm:f>Review!A1277:F1277</xm:f>
              <xm:sqref>M1277</xm:sqref>
            </x14:sparkline>
            <x14:sparkline>
              <xm:f>Review!A1278:F1278</xm:f>
              <xm:sqref>M1278</xm:sqref>
            </x14:sparkline>
            <x14:sparkline>
              <xm:f>Review!A1279:F1279</xm:f>
              <xm:sqref>M1279</xm:sqref>
            </x14:sparkline>
            <x14:sparkline>
              <xm:f>Review!A1280:F1280</xm:f>
              <xm:sqref>M1280</xm:sqref>
            </x14:sparkline>
            <x14:sparkline>
              <xm:f>Review!A1281:F1281</xm:f>
              <xm:sqref>M1281</xm:sqref>
            </x14:sparkline>
            <x14:sparkline>
              <xm:f>Review!A1282:F1282</xm:f>
              <xm:sqref>M1282</xm:sqref>
            </x14:sparkline>
            <x14:sparkline>
              <xm:f>Review!A1283:F1283</xm:f>
              <xm:sqref>M1283</xm:sqref>
            </x14:sparkline>
            <x14:sparkline>
              <xm:f>Review!A1284:F1284</xm:f>
              <xm:sqref>M1284</xm:sqref>
            </x14:sparkline>
            <x14:sparkline>
              <xm:f>Review!A1285:F1285</xm:f>
              <xm:sqref>M1285</xm:sqref>
            </x14:sparkline>
            <x14:sparkline>
              <xm:f>Review!A1286:F1286</xm:f>
              <xm:sqref>M1286</xm:sqref>
            </x14:sparkline>
            <x14:sparkline>
              <xm:f>Review!A1287:F1287</xm:f>
              <xm:sqref>M1287</xm:sqref>
            </x14:sparkline>
            <x14:sparkline>
              <xm:f>Review!A1288:F1288</xm:f>
              <xm:sqref>M1288</xm:sqref>
            </x14:sparkline>
            <x14:sparkline>
              <xm:f>Review!A1289:F1289</xm:f>
              <xm:sqref>M1289</xm:sqref>
            </x14:sparkline>
            <x14:sparkline>
              <xm:f>Review!A1290:F1290</xm:f>
              <xm:sqref>M1290</xm:sqref>
            </x14:sparkline>
            <x14:sparkline>
              <xm:f>Review!A1291:F1291</xm:f>
              <xm:sqref>M1291</xm:sqref>
            </x14:sparkline>
            <x14:sparkline>
              <xm:f>Review!A1292:F1292</xm:f>
              <xm:sqref>M1292</xm:sqref>
            </x14:sparkline>
            <x14:sparkline>
              <xm:f>Review!A1293:F1293</xm:f>
              <xm:sqref>M1293</xm:sqref>
            </x14:sparkline>
            <x14:sparkline>
              <xm:f>Review!A1294:F1294</xm:f>
              <xm:sqref>M1294</xm:sqref>
            </x14:sparkline>
            <x14:sparkline>
              <xm:f>Review!A1295:F1295</xm:f>
              <xm:sqref>M1295</xm:sqref>
            </x14:sparkline>
            <x14:sparkline>
              <xm:f>Review!A1296:F1296</xm:f>
              <xm:sqref>M1296</xm:sqref>
            </x14:sparkline>
            <x14:sparkline>
              <xm:f>Review!A1297:F1297</xm:f>
              <xm:sqref>M1297</xm:sqref>
            </x14:sparkline>
            <x14:sparkline>
              <xm:f>Review!A1298:F1298</xm:f>
              <xm:sqref>M1298</xm:sqref>
            </x14:sparkline>
            <x14:sparkline>
              <xm:f>Review!A1299:F1299</xm:f>
              <xm:sqref>M1299</xm:sqref>
            </x14:sparkline>
            <x14:sparkline>
              <xm:f>Review!A1300:F1300</xm:f>
              <xm:sqref>M1300</xm:sqref>
            </x14:sparkline>
            <x14:sparkline>
              <xm:f>Review!A1301:F1301</xm:f>
              <xm:sqref>M1301</xm:sqref>
            </x14:sparkline>
            <x14:sparkline>
              <xm:f>Review!A1302:F1302</xm:f>
              <xm:sqref>M1302</xm:sqref>
            </x14:sparkline>
            <x14:sparkline>
              <xm:f>Review!A1303:F1303</xm:f>
              <xm:sqref>M1303</xm:sqref>
            </x14:sparkline>
            <x14:sparkline>
              <xm:f>Review!A1304:F1304</xm:f>
              <xm:sqref>M1304</xm:sqref>
            </x14:sparkline>
            <x14:sparkline>
              <xm:f>Review!A1305:F1305</xm:f>
              <xm:sqref>M1305</xm:sqref>
            </x14:sparkline>
            <x14:sparkline>
              <xm:f>Review!A1306:F1306</xm:f>
              <xm:sqref>M1306</xm:sqref>
            </x14:sparkline>
            <x14:sparkline>
              <xm:f>Review!A1307:F1307</xm:f>
              <xm:sqref>M1307</xm:sqref>
            </x14:sparkline>
            <x14:sparkline>
              <xm:f>Review!A1308:F1308</xm:f>
              <xm:sqref>M1308</xm:sqref>
            </x14:sparkline>
            <x14:sparkline>
              <xm:f>Review!A1309:F1309</xm:f>
              <xm:sqref>M1309</xm:sqref>
            </x14:sparkline>
            <x14:sparkline>
              <xm:f>Review!A1310:F1310</xm:f>
              <xm:sqref>M1310</xm:sqref>
            </x14:sparkline>
            <x14:sparkline>
              <xm:f>Review!A1311:F1311</xm:f>
              <xm:sqref>M1311</xm:sqref>
            </x14:sparkline>
            <x14:sparkline>
              <xm:f>Review!A1312:F1312</xm:f>
              <xm:sqref>M1312</xm:sqref>
            </x14:sparkline>
            <x14:sparkline>
              <xm:f>Review!A1313:F1313</xm:f>
              <xm:sqref>M1313</xm:sqref>
            </x14:sparkline>
            <x14:sparkline>
              <xm:f>Review!A1314:F1314</xm:f>
              <xm:sqref>M1314</xm:sqref>
            </x14:sparkline>
            <x14:sparkline>
              <xm:f>Review!A1315:F1315</xm:f>
              <xm:sqref>M1315</xm:sqref>
            </x14:sparkline>
            <x14:sparkline>
              <xm:f>Review!A1316:F1316</xm:f>
              <xm:sqref>M1316</xm:sqref>
            </x14:sparkline>
            <x14:sparkline>
              <xm:f>Review!A1317:F1317</xm:f>
              <xm:sqref>M1317</xm:sqref>
            </x14:sparkline>
            <x14:sparkline>
              <xm:f>Review!A1318:F1318</xm:f>
              <xm:sqref>M1318</xm:sqref>
            </x14:sparkline>
            <x14:sparkline>
              <xm:f>Review!A1319:F1319</xm:f>
              <xm:sqref>M1319</xm:sqref>
            </x14:sparkline>
            <x14:sparkline>
              <xm:f>Review!A1320:F1320</xm:f>
              <xm:sqref>M1320</xm:sqref>
            </x14:sparkline>
            <x14:sparkline>
              <xm:f>Review!A1321:F1321</xm:f>
              <xm:sqref>M1321</xm:sqref>
            </x14:sparkline>
            <x14:sparkline>
              <xm:f>Review!A1322:F1322</xm:f>
              <xm:sqref>M1322</xm:sqref>
            </x14:sparkline>
            <x14:sparkline>
              <xm:f>Review!A1323:F1323</xm:f>
              <xm:sqref>M1323</xm:sqref>
            </x14:sparkline>
            <x14:sparkline>
              <xm:f>Review!A1324:F1324</xm:f>
              <xm:sqref>M1324</xm:sqref>
            </x14:sparkline>
            <x14:sparkline>
              <xm:f>Review!A1325:F1325</xm:f>
              <xm:sqref>M1325</xm:sqref>
            </x14:sparkline>
            <x14:sparkline>
              <xm:f>Review!A1326:F1326</xm:f>
              <xm:sqref>M1326</xm:sqref>
            </x14:sparkline>
            <x14:sparkline>
              <xm:f>Review!A1327:F1327</xm:f>
              <xm:sqref>M1327</xm:sqref>
            </x14:sparkline>
            <x14:sparkline>
              <xm:f>Review!A1328:F1328</xm:f>
              <xm:sqref>M1328</xm:sqref>
            </x14:sparkline>
            <x14:sparkline>
              <xm:f>Review!A1329:F1329</xm:f>
              <xm:sqref>M1329</xm:sqref>
            </x14:sparkline>
            <x14:sparkline>
              <xm:f>Review!A1330:F1330</xm:f>
              <xm:sqref>M1330</xm:sqref>
            </x14:sparkline>
            <x14:sparkline>
              <xm:f>Review!A1331:F1331</xm:f>
              <xm:sqref>M1331</xm:sqref>
            </x14:sparkline>
            <x14:sparkline>
              <xm:f>Review!A1332:F1332</xm:f>
              <xm:sqref>M1332</xm:sqref>
            </x14:sparkline>
            <x14:sparkline>
              <xm:f>Review!A1333:F1333</xm:f>
              <xm:sqref>M1333</xm:sqref>
            </x14:sparkline>
            <x14:sparkline>
              <xm:f>Review!A1334:F1334</xm:f>
              <xm:sqref>M1334</xm:sqref>
            </x14:sparkline>
            <x14:sparkline>
              <xm:f>Review!A1335:F1335</xm:f>
              <xm:sqref>M1335</xm:sqref>
            </x14:sparkline>
            <x14:sparkline>
              <xm:f>Review!A1336:F1336</xm:f>
              <xm:sqref>M1336</xm:sqref>
            </x14:sparkline>
            <x14:sparkline>
              <xm:f>Review!A1337:F1337</xm:f>
              <xm:sqref>M1337</xm:sqref>
            </x14:sparkline>
            <x14:sparkline>
              <xm:f>Review!A1338:F1338</xm:f>
              <xm:sqref>M1338</xm:sqref>
            </x14:sparkline>
            <x14:sparkline>
              <xm:f>Review!A1339:F1339</xm:f>
              <xm:sqref>M1339</xm:sqref>
            </x14:sparkline>
            <x14:sparkline>
              <xm:f>Review!A1340:F1340</xm:f>
              <xm:sqref>M1340</xm:sqref>
            </x14:sparkline>
            <x14:sparkline>
              <xm:f>Review!A1341:F1341</xm:f>
              <xm:sqref>M1341</xm:sqref>
            </x14:sparkline>
            <x14:sparkline>
              <xm:f>Review!A1342:F1342</xm:f>
              <xm:sqref>M1342</xm:sqref>
            </x14:sparkline>
            <x14:sparkline>
              <xm:f>Review!A1343:F1343</xm:f>
              <xm:sqref>M1343</xm:sqref>
            </x14:sparkline>
            <x14:sparkline>
              <xm:f>Review!A1344:F1344</xm:f>
              <xm:sqref>M1344</xm:sqref>
            </x14:sparkline>
            <x14:sparkline>
              <xm:f>Review!A1345:F1345</xm:f>
              <xm:sqref>M1345</xm:sqref>
            </x14:sparkline>
            <x14:sparkline>
              <xm:f>Review!A1346:F1346</xm:f>
              <xm:sqref>M1346</xm:sqref>
            </x14:sparkline>
            <x14:sparkline>
              <xm:f>Review!A1347:F1347</xm:f>
              <xm:sqref>M1347</xm:sqref>
            </x14:sparkline>
            <x14:sparkline>
              <xm:f>Review!A1348:F1348</xm:f>
              <xm:sqref>M1348</xm:sqref>
            </x14:sparkline>
            <x14:sparkline>
              <xm:f>Review!A1349:F1349</xm:f>
              <xm:sqref>M1349</xm:sqref>
            </x14:sparkline>
            <x14:sparkline>
              <xm:f>Review!A1350:F1350</xm:f>
              <xm:sqref>M1350</xm:sqref>
            </x14:sparkline>
            <x14:sparkline>
              <xm:f>Review!A1351:F1351</xm:f>
              <xm:sqref>M1351</xm:sqref>
            </x14:sparkline>
            <x14:sparkline>
              <xm:f>Review!A1352:F1352</xm:f>
              <xm:sqref>M1352</xm:sqref>
            </x14:sparkline>
            <x14:sparkline>
              <xm:f>Review!A1353:F1353</xm:f>
              <xm:sqref>M1353</xm:sqref>
            </x14:sparkline>
            <x14:sparkline>
              <xm:f>Review!A1354:F1354</xm:f>
              <xm:sqref>M1354</xm:sqref>
            </x14:sparkline>
            <x14:sparkline>
              <xm:f>Review!A1355:F1355</xm:f>
              <xm:sqref>M1355</xm:sqref>
            </x14:sparkline>
            <x14:sparkline>
              <xm:f>Review!A1356:F1356</xm:f>
              <xm:sqref>M1356</xm:sqref>
            </x14:sparkline>
            <x14:sparkline>
              <xm:f>Review!A1357:F1357</xm:f>
              <xm:sqref>M1357</xm:sqref>
            </x14:sparkline>
            <x14:sparkline>
              <xm:f>Review!A1358:F1358</xm:f>
              <xm:sqref>M1358</xm:sqref>
            </x14:sparkline>
            <x14:sparkline>
              <xm:f>Review!A1359:F1359</xm:f>
              <xm:sqref>M1359</xm:sqref>
            </x14:sparkline>
            <x14:sparkline>
              <xm:f>Review!A1360:F1360</xm:f>
              <xm:sqref>M1360</xm:sqref>
            </x14:sparkline>
            <x14:sparkline>
              <xm:f>Review!A1361:F1361</xm:f>
              <xm:sqref>M1361</xm:sqref>
            </x14:sparkline>
            <x14:sparkline>
              <xm:f>Review!A1362:F1362</xm:f>
              <xm:sqref>M1362</xm:sqref>
            </x14:sparkline>
            <x14:sparkline>
              <xm:f>Review!A1363:F1363</xm:f>
              <xm:sqref>M1363</xm:sqref>
            </x14:sparkline>
            <x14:sparkline>
              <xm:f>Review!A1364:F1364</xm:f>
              <xm:sqref>M1364</xm:sqref>
            </x14:sparkline>
            <x14:sparkline>
              <xm:f>Review!A1365:F1365</xm:f>
              <xm:sqref>M1365</xm:sqref>
            </x14:sparkline>
            <x14:sparkline>
              <xm:f>Review!A1366:F1366</xm:f>
              <xm:sqref>M1366</xm:sqref>
            </x14:sparkline>
            <x14:sparkline>
              <xm:f>Review!A1367:F1367</xm:f>
              <xm:sqref>M1367</xm:sqref>
            </x14:sparkline>
            <x14:sparkline>
              <xm:f>Review!A1368:F1368</xm:f>
              <xm:sqref>M1368</xm:sqref>
            </x14:sparkline>
            <x14:sparkline>
              <xm:f>Review!A1369:F1369</xm:f>
              <xm:sqref>M1369</xm:sqref>
            </x14:sparkline>
            <x14:sparkline>
              <xm:f>Review!A1370:F1370</xm:f>
              <xm:sqref>M1370</xm:sqref>
            </x14:sparkline>
            <x14:sparkline>
              <xm:f>Review!A1371:F1371</xm:f>
              <xm:sqref>M1371</xm:sqref>
            </x14:sparkline>
            <x14:sparkline>
              <xm:f>Review!A1372:F1372</xm:f>
              <xm:sqref>M1372</xm:sqref>
            </x14:sparkline>
            <x14:sparkline>
              <xm:f>Review!A1373:F1373</xm:f>
              <xm:sqref>M1373</xm:sqref>
            </x14:sparkline>
            <x14:sparkline>
              <xm:f>Review!A1374:F1374</xm:f>
              <xm:sqref>M1374</xm:sqref>
            </x14:sparkline>
            <x14:sparkline>
              <xm:f>Review!A1375:F1375</xm:f>
              <xm:sqref>M1375</xm:sqref>
            </x14:sparkline>
            <x14:sparkline>
              <xm:f>Review!A1376:F1376</xm:f>
              <xm:sqref>M1376</xm:sqref>
            </x14:sparkline>
            <x14:sparkline>
              <xm:f>Review!A1377:F1377</xm:f>
              <xm:sqref>M1377</xm:sqref>
            </x14:sparkline>
            <x14:sparkline>
              <xm:f>Review!A1378:F1378</xm:f>
              <xm:sqref>M1378</xm:sqref>
            </x14:sparkline>
            <x14:sparkline>
              <xm:f>Review!A1379:F1379</xm:f>
              <xm:sqref>M1379</xm:sqref>
            </x14:sparkline>
            <x14:sparkline>
              <xm:f>Review!A1380:F1380</xm:f>
              <xm:sqref>M1380</xm:sqref>
            </x14:sparkline>
            <x14:sparkline>
              <xm:f>Review!A1381:F1381</xm:f>
              <xm:sqref>M1381</xm:sqref>
            </x14:sparkline>
            <x14:sparkline>
              <xm:f>Review!A1382:F1382</xm:f>
              <xm:sqref>M1382</xm:sqref>
            </x14:sparkline>
            <x14:sparkline>
              <xm:f>Review!A1383:F1383</xm:f>
              <xm:sqref>M1383</xm:sqref>
            </x14:sparkline>
            <x14:sparkline>
              <xm:f>Review!A1384:F1384</xm:f>
              <xm:sqref>M1384</xm:sqref>
            </x14:sparkline>
            <x14:sparkline>
              <xm:f>Review!A1385:F1385</xm:f>
              <xm:sqref>M1385</xm:sqref>
            </x14:sparkline>
            <x14:sparkline>
              <xm:f>Review!A1386:F1386</xm:f>
              <xm:sqref>M1386</xm:sqref>
            </x14:sparkline>
            <x14:sparkline>
              <xm:f>Review!A1387:F1387</xm:f>
              <xm:sqref>M1387</xm:sqref>
            </x14:sparkline>
            <x14:sparkline>
              <xm:f>Review!A1388:F1388</xm:f>
              <xm:sqref>M1388</xm:sqref>
            </x14:sparkline>
            <x14:sparkline>
              <xm:f>Review!A1389:F1389</xm:f>
              <xm:sqref>M1389</xm:sqref>
            </x14:sparkline>
            <x14:sparkline>
              <xm:f>Review!A1390:F1390</xm:f>
              <xm:sqref>M1390</xm:sqref>
            </x14:sparkline>
            <x14:sparkline>
              <xm:f>Review!A1391:F1391</xm:f>
              <xm:sqref>M1391</xm:sqref>
            </x14:sparkline>
            <x14:sparkline>
              <xm:f>Review!A1392:F1392</xm:f>
              <xm:sqref>M1392</xm:sqref>
            </x14:sparkline>
            <x14:sparkline>
              <xm:f>Review!A1393:F1393</xm:f>
              <xm:sqref>M1393</xm:sqref>
            </x14:sparkline>
            <x14:sparkline>
              <xm:f>Review!A1394:F1394</xm:f>
              <xm:sqref>M1394</xm:sqref>
            </x14:sparkline>
            <x14:sparkline>
              <xm:f>Review!A1395:F1395</xm:f>
              <xm:sqref>M1395</xm:sqref>
            </x14:sparkline>
            <x14:sparkline>
              <xm:f>Review!A1396:F1396</xm:f>
              <xm:sqref>M1396</xm:sqref>
            </x14:sparkline>
            <x14:sparkline>
              <xm:f>Review!A1397:F1397</xm:f>
              <xm:sqref>M1397</xm:sqref>
            </x14:sparkline>
            <x14:sparkline>
              <xm:f>Review!A1398:F1398</xm:f>
              <xm:sqref>M1398</xm:sqref>
            </x14:sparkline>
            <x14:sparkline>
              <xm:f>Review!A1399:F1399</xm:f>
              <xm:sqref>M1399</xm:sqref>
            </x14:sparkline>
            <x14:sparkline>
              <xm:f>Review!A1400:F1400</xm:f>
              <xm:sqref>M1400</xm:sqref>
            </x14:sparkline>
            <x14:sparkline>
              <xm:f>Review!A1401:F1401</xm:f>
              <xm:sqref>M1401</xm:sqref>
            </x14:sparkline>
            <x14:sparkline>
              <xm:f>Review!A1402:F1402</xm:f>
              <xm:sqref>M1402</xm:sqref>
            </x14:sparkline>
            <x14:sparkline>
              <xm:f>Review!A1403:F1403</xm:f>
              <xm:sqref>M1403</xm:sqref>
            </x14:sparkline>
            <x14:sparkline>
              <xm:f>Review!A1404:F1404</xm:f>
              <xm:sqref>M1404</xm:sqref>
            </x14:sparkline>
            <x14:sparkline>
              <xm:f>Review!A1405:F1405</xm:f>
              <xm:sqref>M1405</xm:sqref>
            </x14:sparkline>
            <x14:sparkline>
              <xm:f>Review!A1406:F1406</xm:f>
              <xm:sqref>M1406</xm:sqref>
            </x14:sparkline>
            <x14:sparkline>
              <xm:f>Review!A1407:F1407</xm:f>
              <xm:sqref>M1407</xm:sqref>
            </x14:sparkline>
            <x14:sparkline>
              <xm:f>Review!A1408:F1408</xm:f>
              <xm:sqref>M1408</xm:sqref>
            </x14:sparkline>
            <x14:sparkline>
              <xm:f>Review!A1409:F1409</xm:f>
              <xm:sqref>M1409</xm:sqref>
            </x14:sparkline>
            <x14:sparkline>
              <xm:f>Review!A1410:F1410</xm:f>
              <xm:sqref>M1410</xm:sqref>
            </x14:sparkline>
            <x14:sparkline>
              <xm:f>Review!A1411:F1411</xm:f>
              <xm:sqref>M1411</xm:sqref>
            </x14:sparkline>
            <x14:sparkline>
              <xm:f>Review!A1412:F1412</xm:f>
              <xm:sqref>M1412</xm:sqref>
            </x14:sparkline>
            <x14:sparkline>
              <xm:f>Review!A1413:F1413</xm:f>
              <xm:sqref>M1413</xm:sqref>
            </x14:sparkline>
            <x14:sparkline>
              <xm:f>Review!A1414:F1414</xm:f>
              <xm:sqref>M1414</xm:sqref>
            </x14:sparkline>
            <x14:sparkline>
              <xm:f>Review!A1415:F1415</xm:f>
              <xm:sqref>M1415</xm:sqref>
            </x14:sparkline>
            <x14:sparkline>
              <xm:f>Review!A1416:F1416</xm:f>
              <xm:sqref>M1416</xm:sqref>
            </x14:sparkline>
            <x14:sparkline>
              <xm:f>Review!A1417:F1417</xm:f>
              <xm:sqref>M1417</xm:sqref>
            </x14:sparkline>
            <x14:sparkline>
              <xm:f>Review!A1418:F1418</xm:f>
              <xm:sqref>M1418</xm:sqref>
            </x14:sparkline>
            <x14:sparkline>
              <xm:f>Review!A1419:F1419</xm:f>
              <xm:sqref>M1419</xm:sqref>
            </x14:sparkline>
            <x14:sparkline>
              <xm:f>Review!A1420:F1420</xm:f>
              <xm:sqref>M1420</xm:sqref>
            </x14:sparkline>
            <x14:sparkline>
              <xm:f>Review!A1421:F1421</xm:f>
              <xm:sqref>M1421</xm:sqref>
            </x14:sparkline>
            <x14:sparkline>
              <xm:f>Review!A1422:F1422</xm:f>
              <xm:sqref>M1422</xm:sqref>
            </x14:sparkline>
            <x14:sparkline>
              <xm:f>Review!A1423:F1423</xm:f>
              <xm:sqref>M1423</xm:sqref>
            </x14:sparkline>
            <x14:sparkline>
              <xm:f>Review!A1424:F1424</xm:f>
              <xm:sqref>M1424</xm:sqref>
            </x14:sparkline>
            <x14:sparkline>
              <xm:f>Review!A1425:F1425</xm:f>
              <xm:sqref>M1425</xm:sqref>
            </x14:sparkline>
            <x14:sparkline>
              <xm:f>Review!A1426:F1426</xm:f>
              <xm:sqref>M1426</xm:sqref>
            </x14:sparkline>
            <x14:sparkline>
              <xm:f>Review!A1427:F1427</xm:f>
              <xm:sqref>M1427</xm:sqref>
            </x14:sparkline>
            <x14:sparkline>
              <xm:f>Review!A1428:F1428</xm:f>
              <xm:sqref>M1428</xm:sqref>
            </x14:sparkline>
            <x14:sparkline>
              <xm:f>Review!A1429:F1429</xm:f>
              <xm:sqref>M1429</xm:sqref>
            </x14:sparkline>
            <x14:sparkline>
              <xm:f>Review!A1430:F1430</xm:f>
              <xm:sqref>M1430</xm:sqref>
            </x14:sparkline>
            <x14:sparkline>
              <xm:f>Review!A1431:F1431</xm:f>
              <xm:sqref>M1431</xm:sqref>
            </x14:sparkline>
            <x14:sparkline>
              <xm:f>Review!A1432:F1432</xm:f>
              <xm:sqref>M1432</xm:sqref>
            </x14:sparkline>
            <x14:sparkline>
              <xm:f>Review!A1433:F1433</xm:f>
              <xm:sqref>M1433</xm:sqref>
            </x14:sparkline>
            <x14:sparkline>
              <xm:f>Review!A1434:F1434</xm:f>
              <xm:sqref>M1434</xm:sqref>
            </x14:sparkline>
            <x14:sparkline>
              <xm:f>Review!A1435:F1435</xm:f>
              <xm:sqref>M1435</xm:sqref>
            </x14:sparkline>
            <x14:sparkline>
              <xm:f>Review!A1436:F1436</xm:f>
              <xm:sqref>M1436</xm:sqref>
            </x14:sparkline>
            <x14:sparkline>
              <xm:f>Review!A1437:F1437</xm:f>
              <xm:sqref>M1437</xm:sqref>
            </x14:sparkline>
            <x14:sparkline>
              <xm:f>Review!A1438:F1438</xm:f>
              <xm:sqref>M1438</xm:sqref>
            </x14:sparkline>
            <x14:sparkline>
              <xm:f>Review!A1439:F1439</xm:f>
              <xm:sqref>M1439</xm:sqref>
            </x14:sparkline>
            <x14:sparkline>
              <xm:f>Review!A1440:F1440</xm:f>
              <xm:sqref>M1440</xm:sqref>
            </x14:sparkline>
            <x14:sparkline>
              <xm:f>Review!A1441:F1441</xm:f>
              <xm:sqref>M1441</xm:sqref>
            </x14:sparkline>
            <x14:sparkline>
              <xm:f>Review!A1442:F1442</xm:f>
              <xm:sqref>M1442</xm:sqref>
            </x14:sparkline>
            <x14:sparkline>
              <xm:f>Review!A1443:F1443</xm:f>
              <xm:sqref>M1443</xm:sqref>
            </x14:sparkline>
            <x14:sparkline>
              <xm:f>Review!A1444:F1444</xm:f>
              <xm:sqref>M1444</xm:sqref>
            </x14:sparkline>
            <x14:sparkline>
              <xm:f>Review!A1445:F1445</xm:f>
              <xm:sqref>M1445</xm:sqref>
            </x14:sparkline>
            <x14:sparkline>
              <xm:f>Review!A1446:F1446</xm:f>
              <xm:sqref>M1446</xm:sqref>
            </x14:sparkline>
            <x14:sparkline>
              <xm:f>Review!A1447:F1447</xm:f>
              <xm:sqref>M1447</xm:sqref>
            </x14:sparkline>
            <x14:sparkline>
              <xm:f>Review!A1448:F1448</xm:f>
              <xm:sqref>M1448</xm:sqref>
            </x14:sparkline>
            <x14:sparkline>
              <xm:f>Review!A1449:F1449</xm:f>
              <xm:sqref>M1449</xm:sqref>
            </x14:sparkline>
            <x14:sparkline>
              <xm:f>Review!A1450:F1450</xm:f>
              <xm:sqref>M1450</xm:sqref>
            </x14:sparkline>
            <x14:sparkline>
              <xm:f>Review!A1451:F1451</xm:f>
              <xm:sqref>M1451</xm:sqref>
            </x14:sparkline>
            <x14:sparkline>
              <xm:f>Review!A1452:F1452</xm:f>
              <xm:sqref>M1452</xm:sqref>
            </x14:sparkline>
            <x14:sparkline>
              <xm:f>Review!A1453:F1453</xm:f>
              <xm:sqref>M1453</xm:sqref>
            </x14:sparkline>
            <x14:sparkline>
              <xm:f>Review!A1454:F1454</xm:f>
              <xm:sqref>M1454</xm:sqref>
            </x14:sparkline>
            <x14:sparkline>
              <xm:f>Review!A1455:F1455</xm:f>
              <xm:sqref>M1455</xm:sqref>
            </x14:sparkline>
            <x14:sparkline>
              <xm:f>Review!A1456:F1456</xm:f>
              <xm:sqref>M1456</xm:sqref>
            </x14:sparkline>
            <x14:sparkline>
              <xm:f>Review!A1457:F1457</xm:f>
              <xm:sqref>M1457</xm:sqref>
            </x14:sparkline>
            <x14:sparkline>
              <xm:f>Review!A1458:F1458</xm:f>
              <xm:sqref>M1458</xm:sqref>
            </x14:sparkline>
            <x14:sparkline>
              <xm:f>Review!A1459:F1459</xm:f>
              <xm:sqref>M1459</xm:sqref>
            </x14:sparkline>
            <x14:sparkline>
              <xm:f>Review!A1460:F1460</xm:f>
              <xm:sqref>M1460</xm:sqref>
            </x14:sparkline>
            <x14:sparkline>
              <xm:f>Review!A1461:F1461</xm:f>
              <xm:sqref>M1461</xm:sqref>
            </x14:sparkline>
            <x14:sparkline>
              <xm:f>Review!A1462:F1462</xm:f>
              <xm:sqref>M1462</xm:sqref>
            </x14:sparkline>
            <x14:sparkline>
              <xm:f>Review!A1463:F1463</xm:f>
              <xm:sqref>M1463</xm:sqref>
            </x14:sparkline>
            <x14:sparkline>
              <xm:f>Review!A1464:F1464</xm:f>
              <xm:sqref>M1464</xm:sqref>
            </x14:sparkline>
            <x14:sparkline>
              <xm:f>Review!A1465:F1465</xm:f>
              <xm:sqref>M1465</xm:sqref>
            </x14:sparkline>
            <x14:sparkline>
              <xm:f>Review!A1466:F1466</xm:f>
              <xm:sqref>M1466</xm:sqref>
            </x14:sparkline>
            <x14:sparkline>
              <xm:f>Review!A1467:F1467</xm:f>
              <xm:sqref>M1467</xm:sqref>
            </x14:sparkline>
            <x14:sparkline>
              <xm:f>Review!A1468:F1468</xm:f>
              <xm:sqref>M1468</xm:sqref>
            </x14:sparkline>
            <x14:sparkline>
              <xm:f>Review!A1469:F1469</xm:f>
              <xm:sqref>M1469</xm:sqref>
            </x14:sparkline>
            <x14:sparkline>
              <xm:f>Review!A1470:F1470</xm:f>
              <xm:sqref>M1470</xm:sqref>
            </x14:sparkline>
            <x14:sparkline>
              <xm:f>Review!A1471:F1471</xm:f>
              <xm:sqref>M1471</xm:sqref>
            </x14:sparkline>
            <x14:sparkline>
              <xm:f>Review!A1472:F1472</xm:f>
              <xm:sqref>M1472</xm:sqref>
            </x14:sparkline>
            <x14:sparkline>
              <xm:f>Review!A1473:F1473</xm:f>
              <xm:sqref>M1473</xm:sqref>
            </x14:sparkline>
            <x14:sparkline>
              <xm:f>Review!A1474:F1474</xm:f>
              <xm:sqref>M1474</xm:sqref>
            </x14:sparkline>
            <x14:sparkline>
              <xm:f>Review!A1475:F1475</xm:f>
              <xm:sqref>M1475</xm:sqref>
            </x14:sparkline>
            <x14:sparkline>
              <xm:f>Review!A1476:F1476</xm:f>
              <xm:sqref>M1476</xm:sqref>
            </x14:sparkline>
            <x14:sparkline>
              <xm:f>Review!A1477:F1477</xm:f>
              <xm:sqref>M1477</xm:sqref>
            </x14:sparkline>
            <x14:sparkline>
              <xm:f>Review!A1478:F1478</xm:f>
              <xm:sqref>M1478</xm:sqref>
            </x14:sparkline>
            <x14:sparkline>
              <xm:f>Review!A1479:F1479</xm:f>
              <xm:sqref>M1479</xm:sqref>
            </x14:sparkline>
            <x14:sparkline>
              <xm:f>Review!A1480:F1480</xm:f>
              <xm:sqref>M1480</xm:sqref>
            </x14:sparkline>
            <x14:sparkline>
              <xm:f>Review!A1481:F1481</xm:f>
              <xm:sqref>M1481</xm:sqref>
            </x14:sparkline>
            <x14:sparkline>
              <xm:f>Review!A1482:F1482</xm:f>
              <xm:sqref>M1482</xm:sqref>
            </x14:sparkline>
            <x14:sparkline>
              <xm:f>Review!A1483:F1483</xm:f>
              <xm:sqref>M1483</xm:sqref>
            </x14:sparkline>
            <x14:sparkline>
              <xm:f>Review!A1484:F1484</xm:f>
              <xm:sqref>M1484</xm:sqref>
            </x14:sparkline>
            <x14:sparkline>
              <xm:f>Review!A1485:F1485</xm:f>
              <xm:sqref>M1485</xm:sqref>
            </x14:sparkline>
            <x14:sparkline>
              <xm:f>Review!A1486:F1486</xm:f>
              <xm:sqref>M1486</xm:sqref>
            </x14:sparkline>
            <x14:sparkline>
              <xm:f>Review!A1487:F1487</xm:f>
              <xm:sqref>M1487</xm:sqref>
            </x14:sparkline>
            <x14:sparkline>
              <xm:f>Review!A1488:F1488</xm:f>
              <xm:sqref>M1488</xm:sqref>
            </x14:sparkline>
            <x14:sparkline>
              <xm:f>Review!A1489:F1489</xm:f>
              <xm:sqref>M1489</xm:sqref>
            </x14:sparkline>
            <x14:sparkline>
              <xm:f>Review!A1490:F1490</xm:f>
              <xm:sqref>M1490</xm:sqref>
            </x14:sparkline>
            <x14:sparkline>
              <xm:f>Review!A1491:F1491</xm:f>
              <xm:sqref>M1491</xm:sqref>
            </x14:sparkline>
            <x14:sparkline>
              <xm:f>Review!A1492:F1492</xm:f>
              <xm:sqref>M1492</xm:sqref>
            </x14:sparkline>
            <x14:sparkline>
              <xm:f>Review!A1493:F1493</xm:f>
              <xm:sqref>M1493</xm:sqref>
            </x14:sparkline>
            <x14:sparkline>
              <xm:f>Review!A1494:F1494</xm:f>
              <xm:sqref>M1494</xm:sqref>
            </x14:sparkline>
            <x14:sparkline>
              <xm:f>Review!A1495:F1495</xm:f>
              <xm:sqref>M1495</xm:sqref>
            </x14:sparkline>
            <x14:sparkline>
              <xm:f>Review!A1496:F1496</xm:f>
              <xm:sqref>M1496</xm:sqref>
            </x14:sparkline>
            <x14:sparkline>
              <xm:f>Review!A1497:F1497</xm:f>
              <xm:sqref>M1497</xm:sqref>
            </x14:sparkline>
            <x14:sparkline>
              <xm:f>Review!A1498:F1498</xm:f>
              <xm:sqref>M1498</xm:sqref>
            </x14:sparkline>
            <x14:sparkline>
              <xm:f>Review!A1499:F1499</xm:f>
              <xm:sqref>M1499</xm:sqref>
            </x14:sparkline>
            <x14:sparkline>
              <xm:f>Review!A1500:F1500</xm:f>
              <xm:sqref>M1500</xm:sqref>
            </x14:sparkline>
            <x14:sparkline>
              <xm:f>Review!A1501:F1501</xm:f>
              <xm:sqref>M1501</xm:sqref>
            </x14:sparkline>
            <x14:sparkline>
              <xm:f>Review!A1502:F1502</xm:f>
              <xm:sqref>M1502</xm:sqref>
            </x14:sparkline>
            <x14:sparkline>
              <xm:f>Review!A1503:F1503</xm:f>
              <xm:sqref>M1503</xm:sqref>
            </x14:sparkline>
            <x14:sparkline>
              <xm:f>Review!A1504:F1504</xm:f>
              <xm:sqref>M1504</xm:sqref>
            </x14:sparkline>
            <x14:sparkline>
              <xm:f>Review!A1505:F1505</xm:f>
              <xm:sqref>M1505</xm:sqref>
            </x14:sparkline>
            <x14:sparkline>
              <xm:f>Review!A1506:F1506</xm:f>
              <xm:sqref>M1506</xm:sqref>
            </x14:sparkline>
            <x14:sparkline>
              <xm:f>Review!A1507:F1507</xm:f>
              <xm:sqref>M1507</xm:sqref>
            </x14:sparkline>
            <x14:sparkline>
              <xm:f>Review!A1508:F1508</xm:f>
              <xm:sqref>M1508</xm:sqref>
            </x14:sparkline>
            <x14:sparkline>
              <xm:f>Review!A1509:F1509</xm:f>
              <xm:sqref>M1509</xm:sqref>
            </x14:sparkline>
            <x14:sparkline>
              <xm:f>Review!A1510:F1510</xm:f>
              <xm:sqref>M1510</xm:sqref>
            </x14:sparkline>
            <x14:sparkline>
              <xm:f>Review!A1511:F1511</xm:f>
              <xm:sqref>M1511</xm:sqref>
            </x14:sparkline>
            <x14:sparkline>
              <xm:f>Review!A1512:F1512</xm:f>
              <xm:sqref>M1512</xm:sqref>
            </x14:sparkline>
            <x14:sparkline>
              <xm:f>Review!A1513:F1513</xm:f>
              <xm:sqref>M1513</xm:sqref>
            </x14:sparkline>
            <x14:sparkline>
              <xm:f>Review!A1514:F1514</xm:f>
              <xm:sqref>M1514</xm:sqref>
            </x14:sparkline>
            <x14:sparkline>
              <xm:f>Review!A1515:F1515</xm:f>
              <xm:sqref>M1515</xm:sqref>
            </x14:sparkline>
            <x14:sparkline>
              <xm:f>Review!A1516:F1516</xm:f>
              <xm:sqref>M1516</xm:sqref>
            </x14:sparkline>
            <x14:sparkline>
              <xm:f>Review!A1517:F1517</xm:f>
              <xm:sqref>M1517</xm:sqref>
            </x14:sparkline>
            <x14:sparkline>
              <xm:f>Review!A1518:F1518</xm:f>
              <xm:sqref>M1518</xm:sqref>
            </x14:sparkline>
            <x14:sparkline>
              <xm:f>Review!A1519:F1519</xm:f>
              <xm:sqref>M1519</xm:sqref>
            </x14:sparkline>
            <x14:sparkline>
              <xm:f>Review!A1520:F1520</xm:f>
              <xm:sqref>M1520</xm:sqref>
            </x14:sparkline>
            <x14:sparkline>
              <xm:f>Review!A1521:F1521</xm:f>
              <xm:sqref>M1521</xm:sqref>
            </x14:sparkline>
            <x14:sparkline>
              <xm:f>Review!A1522:F1522</xm:f>
              <xm:sqref>M1522</xm:sqref>
            </x14:sparkline>
            <x14:sparkline>
              <xm:f>Review!A1523:F1523</xm:f>
              <xm:sqref>M1523</xm:sqref>
            </x14:sparkline>
            <x14:sparkline>
              <xm:f>Review!A1524:F1524</xm:f>
              <xm:sqref>M1524</xm:sqref>
            </x14:sparkline>
            <x14:sparkline>
              <xm:f>Review!A1525:F1525</xm:f>
              <xm:sqref>M1525</xm:sqref>
            </x14:sparkline>
            <x14:sparkline>
              <xm:f>Review!A1526:F1526</xm:f>
              <xm:sqref>M1526</xm:sqref>
            </x14:sparkline>
            <x14:sparkline>
              <xm:f>Review!A1527:F1527</xm:f>
              <xm:sqref>M1527</xm:sqref>
            </x14:sparkline>
            <x14:sparkline>
              <xm:f>Review!A1528:F1528</xm:f>
              <xm:sqref>M1528</xm:sqref>
            </x14:sparkline>
            <x14:sparkline>
              <xm:f>Review!A1529:F1529</xm:f>
              <xm:sqref>M1529</xm:sqref>
            </x14:sparkline>
            <x14:sparkline>
              <xm:f>Review!A1530:F1530</xm:f>
              <xm:sqref>M1530</xm:sqref>
            </x14:sparkline>
            <x14:sparkline>
              <xm:f>Review!A1531:F1531</xm:f>
              <xm:sqref>M1531</xm:sqref>
            </x14:sparkline>
            <x14:sparkline>
              <xm:f>Review!A1532:F1532</xm:f>
              <xm:sqref>M1532</xm:sqref>
            </x14:sparkline>
            <x14:sparkline>
              <xm:f>Review!A1533:F1533</xm:f>
              <xm:sqref>M1533</xm:sqref>
            </x14:sparkline>
            <x14:sparkline>
              <xm:f>Review!A1534:F1534</xm:f>
              <xm:sqref>M1534</xm:sqref>
            </x14:sparkline>
            <x14:sparkline>
              <xm:f>Review!A1535:F1535</xm:f>
              <xm:sqref>M1535</xm:sqref>
            </x14:sparkline>
            <x14:sparkline>
              <xm:f>Review!A1536:F1536</xm:f>
              <xm:sqref>M1536</xm:sqref>
            </x14:sparkline>
            <x14:sparkline>
              <xm:f>Review!A1537:F1537</xm:f>
              <xm:sqref>M1537</xm:sqref>
            </x14:sparkline>
            <x14:sparkline>
              <xm:f>Review!A1538:F1538</xm:f>
              <xm:sqref>M1538</xm:sqref>
            </x14:sparkline>
            <x14:sparkline>
              <xm:f>Review!A1539:F1539</xm:f>
              <xm:sqref>M1539</xm:sqref>
            </x14:sparkline>
            <x14:sparkline>
              <xm:f>Review!A1540:F1540</xm:f>
              <xm:sqref>M1540</xm:sqref>
            </x14:sparkline>
            <x14:sparkline>
              <xm:f>Review!A1541:F1541</xm:f>
              <xm:sqref>M1541</xm:sqref>
            </x14:sparkline>
            <x14:sparkline>
              <xm:f>Review!A1542:F1542</xm:f>
              <xm:sqref>M1542</xm:sqref>
            </x14:sparkline>
            <x14:sparkline>
              <xm:f>Review!A1543:F1543</xm:f>
              <xm:sqref>M1543</xm:sqref>
            </x14:sparkline>
            <x14:sparkline>
              <xm:f>Review!A1544:F1544</xm:f>
              <xm:sqref>M1544</xm:sqref>
            </x14:sparkline>
            <x14:sparkline>
              <xm:f>Review!A1545:F1545</xm:f>
              <xm:sqref>M1545</xm:sqref>
            </x14:sparkline>
            <x14:sparkline>
              <xm:f>Review!A1546:F1546</xm:f>
              <xm:sqref>M1546</xm:sqref>
            </x14:sparkline>
            <x14:sparkline>
              <xm:f>Review!A1547:F1547</xm:f>
              <xm:sqref>M1547</xm:sqref>
            </x14:sparkline>
            <x14:sparkline>
              <xm:f>Review!A1548:F1548</xm:f>
              <xm:sqref>M1548</xm:sqref>
            </x14:sparkline>
            <x14:sparkline>
              <xm:f>Review!A1549:F1549</xm:f>
              <xm:sqref>M1549</xm:sqref>
            </x14:sparkline>
            <x14:sparkline>
              <xm:f>Review!A1550:F1550</xm:f>
              <xm:sqref>M1550</xm:sqref>
            </x14:sparkline>
            <x14:sparkline>
              <xm:f>Review!A1551:F1551</xm:f>
              <xm:sqref>M1551</xm:sqref>
            </x14:sparkline>
            <x14:sparkline>
              <xm:f>Review!A1552:F1552</xm:f>
              <xm:sqref>M1552</xm:sqref>
            </x14:sparkline>
            <x14:sparkline>
              <xm:f>Review!A1553:F1553</xm:f>
              <xm:sqref>M1553</xm:sqref>
            </x14:sparkline>
            <x14:sparkline>
              <xm:f>Review!A1554:F1554</xm:f>
              <xm:sqref>M1554</xm:sqref>
            </x14:sparkline>
            <x14:sparkline>
              <xm:f>Review!A1555:F1555</xm:f>
              <xm:sqref>M1555</xm:sqref>
            </x14:sparkline>
            <x14:sparkline>
              <xm:f>Review!A1556:F1556</xm:f>
              <xm:sqref>M1556</xm:sqref>
            </x14:sparkline>
            <x14:sparkline>
              <xm:f>Review!A1557:F1557</xm:f>
              <xm:sqref>M1557</xm:sqref>
            </x14:sparkline>
            <x14:sparkline>
              <xm:f>Review!A1558:F1558</xm:f>
              <xm:sqref>M1558</xm:sqref>
            </x14:sparkline>
            <x14:sparkline>
              <xm:f>Review!A1559:F1559</xm:f>
              <xm:sqref>M1559</xm:sqref>
            </x14:sparkline>
            <x14:sparkline>
              <xm:f>Review!A1560:F1560</xm:f>
              <xm:sqref>M1560</xm:sqref>
            </x14:sparkline>
            <x14:sparkline>
              <xm:f>Review!A1561:F1561</xm:f>
              <xm:sqref>M1561</xm:sqref>
            </x14:sparkline>
            <x14:sparkline>
              <xm:f>Review!A1562:F1562</xm:f>
              <xm:sqref>M1562</xm:sqref>
            </x14:sparkline>
            <x14:sparkline>
              <xm:f>Review!A1563:F1563</xm:f>
              <xm:sqref>M1563</xm:sqref>
            </x14:sparkline>
            <x14:sparkline>
              <xm:f>Review!A1564:F1564</xm:f>
              <xm:sqref>M1564</xm:sqref>
            </x14:sparkline>
            <x14:sparkline>
              <xm:f>Review!A1565:F1565</xm:f>
              <xm:sqref>M1565</xm:sqref>
            </x14:sparkline>
            <x14:sparkline>
              <xm:f>Review!A1566:F1566</xm:f>
              <xm:sqref>M1566</xm:sqref>
            </x14:sparkline>
            <x14:sparkline>
              <xm:f>Review!A1567:F1567</xm:f>
              <xm:sqref>M1567</xm:sqref>
            </x14:sparkline>
            <x14:sparkline>
              <xm:f>Review!A1568:F1568</xm:f>
              <xm:sqref>M1568</xm:sqref>
            </x14:sparkline>
            <x14:sparkline>
              <xm:f>Review!A1569:F1569</xm:f>
              <xm:sqref>M1569</xm:sqref>
            </x14:sparkline>
            <x14:sparkline>
              <xm:f>Review!A1570:F1570</xm:f>
              <xm:sqref>M1570</xm:sqref>
            </x14:sparkline>
            <x14:sparkline>
              <xm:f>Review!A1571:F1571</xm:f>
              <xm:sqref>M1571</xm:sqref>
            </x14:sparkline>
            <x14:sparkline>
              <xm:f>Review!A1572:F1572</xm:f>
              <xm:sqref>M1572</xm:sqref>
            </x14:sparkline>
            <x14:sparkline>
              <xm:f>Review!A1573:F1573</xm:f>
              <xm:sqref>M1573</xm:sqref>
            </x14:sparkline>
            <x14:sparkline>
              <xm:f>Review!A1574:F1574</xm:f>
              <xm:sqref>M1574</xm:sqref>
            </x14:sparkline>
            <x14:sparkline>
              <xm:f>Review!A1575:F1575</xm:f>
              <xm:sqref>M1575</xm:sqref>
            </x14:sparkline>
            <x14:sparkline>
              <xm:f>Review!A1576:F1576</xm:f>
              <xm:sqref>M1576</xm:sqref>
            </x14:sparkline>
            <x14:sparkline>
              <xm:f>Review!A1577:F1577</xm:f>
              <xm:sqref>M1577</xm:sqref>
            </x14:sparkline>
            <x14:sparkline>
              <xm:f>Review!A1578:F1578</xm:f>
              <xm:sqref>M1578</xm:sqref>
            </x14:sparkline>
            <x14:sparkline>
              <xm:f>Review!A1579:F1579</xm:f>
              <xm:sqref>M1579</xm:sqref>
            </x14:sparkline>
            <x14:sparkline>
              <xm:f>Review!A1580:F1580</xm:f>
              <xm:sqref>M1580</xm:sqref>
            </x14:sparkline>
            <x14:sparkline>
              <xm:f>Review!A1581:F1581</xm:f>
              <xm:sqref>M1581</xm:sqref>
            </x14:sparkline>
            <x14:sparkline>
              <xm:f>Review!A1582:F1582</xm:f>
              <xm:sqref>M1582</xm:sqref>
            </x14:sparkline>
            <x14:sparkline>
              <xm:f>Review!A1583:F1583</xm:f>
              <xm:sqref>M1583</xm:sqref>
            </x14:sparkline>
            <x14:sparkline>
              <xm:f>Review!A1584:F1584</xm:f>
              <xm:sqref>M1584</xm:sqref>
            </x14:sparkline>
            <x14:sparkline>
              <xm:f>Review!A1585:F1585</xm:f>
              <xm:sqref>M1585</xm:sqref>
            </x14:sparkline>
            <x14:sparkline>
              <xm:f>Review!A1586:F1586</xm:f>
              <xm:sqref>M1586</xm:sqref>
            </x14:sparkline>
            <x14:sparkline>
              <xm:f>Review!A1587:F1587</xm:f>
              <xm:sqref>M1587</xm:sqref>
            </x14:sparkline>
            <x14:sparkline>
              <xm:f>Review!A1588:F1588</xm:f>
              <xm:sqref>M1588</xm:sqref>
            </x14:sparkline>
            <x14:sparkline>
              <xm:f>Review!A1589:F1589</xm:f>
              <xm:sqref>M1589</xm:sqref>
            </x14:sparkline>
            <x14:sparkline>
              <xm:f>Review!A1590:F1590</xm:f>
              <xm:sqref>M1590</xm:sqref>
            </x14:sparkline>
            <x14:sparkline>
              <xm:f>Review!A1591:F1591</xm:f>
              <xm:sqref>M1591</xm:sqref>
            </x14:sparkline>
            <x14:sparkline>
              <xm:f>Review!A1592:F1592</xm:f>
              <xm:sqref>M1592</xm:sqref>
            </x14:sparkline>
            <x14:sparkline>
              <xm:f>Review!A1593:F1593</xm:f>
              <xm:sqref>M1593</xm:sqref>
            </x14:sparkline>
            <x14:sparkline>
              <xm:f>Review!A1594:F1594</xm:f>
              <xm:sqref>M1594</xm:sqref>
            </x14:sparkline>
            <x14:sparkline>
              <xm:f>Review!A1595:F1595</xm:f>
              <xm:sqref>M1595</xm:sqref>
            </x14:sparkline>
            <x14:sparkline>
              <xm:f>Review!A1596:F1596</xm:f>
              <xm:sqref>M1596</xm:sqref>
            </x14:sparkline>
            <x14:sparkline>
              <xm:f>Review!A1597:F1597</xm:f>
              <xm:sqref>M1597</xm:sqref>
            </x14:sparkline>
            <x14:sparkline>
              <xm:f>Review!A1598:F1598</xm:f>
              <xm:sqref>M1598</xm:sqref>
            </x14:sparkline>
            <x14:sparkline>
              <xm:f>Review!A1599:F1599</xm:f>
              <xm:sqref>M1599</xm:sqref>
            </x14:sparkline>
            <x14:sparkline>
              <xm:f>Review!A1600:F1600</xm:f>
              <xm:sqref>M1600</xm:sqref>
            </x14:sparkline>
            <x14:sparkline>
              <xm:f>Review!A1601:F1601</xm:f>
              <xm:sqref>M1601</xm:sqref>
            </x14:sparkline>
            <x14:sparkline>
              <xm:f>Review!A1602:F1602</xm:f>
              <xm:sqref>M1602</xm:sqref>
            </x14:sparkline>
            <x14:sparkline>
              <xm:f>Review!A1603:F1603</xm:f>
              <xm:sqref>M1603</xm:sqref>
            </x14:sparkline>
            <x14:sparkline>
              <xm:f>Review!A1604:F1604</xm:f>
              <xm:sqref>M1604</xm:sqref>
            </x14:sparkline>
            <x14:sparkline>
              <xm:f>Review!A1605:F1605</xm:f>
              <xm:sqref>M1605</xm:sqref>
            </x14:sparkline>
            <x14:sparkline>
              <xm:f>Review!A1606:F1606</xm:f>
              <xm:sqref>M1606</xm:sqref>
            </x14:sparkline>
            <x14:sparkline>
              <xm:f>Review!A1607:F1607</xm:f>
              <xm:sqref>M1607</xm:sqref>
            </x14:sparkline>
            <x14:sparkline>
              <xm:f>Review!A1608:F1608</xm:f>
              <xm:sqref>M1608</xm:sqref>
            </x14:sparkline>
            <x14:sparkline>
              <xm:f>Review!A1609:F1609</xm:f>
              <xm:sqref>M1609</xm:sqref>
            </x14:sparkline>
            <x14:sparkline>
              <xm:f>Review!A1610:F1610</xm:f>
              <xm:sqref>M1610</xm:sqref>
            </x14:sparkline>
            <x14:sparkline>
              <xm:f>Review!A1611:F1611</xm:f>
              <xm:sqref>M1611</xm:sqref>
            </x14:sparkline>
            <x14:sparkline>
              <xm:f>Review!A1612:F1612</xm:f>
              <xm:sqref>M1612</xm:sqref>
            </x14:sparkline>
            <x14:sparkline>
              <xm:f>Review!A1613:F1613</xm:f>
              <xm:sqref>M1613</xm:sqref>
            </x14:sparkline>
            <x14:sparkline>
              <xm:f>Review!A1614:F1614</xm:f>
              <xm:sqref>M1614</xm:sqref>
            </x14:sparkline>
            <x14:sparkline>
              <xm:f>Review!A1615:F1615</xm:f>
              <xm:sqref>M1615</xm:sqref>
            </x14:sparkline>
            <x14:sparkline>
              <xm:f>Review!A1616:F1616</xm:f>
              <xm:sqref>M1616</xm:sqref>
            </x14:sparkline>
            <x14:sparkline>
              <xm:f>Review!A1617:F1617</xm:f>
              <xm:sqref>M1617</xm:sqref>
            </x14:sparkline>
            <x14:sparkline>
              <xm:f>Review!A1618:F1618</xm:f>
              <xm:sqref>M1618</xm:sqref>
            </x14:sparkline>
            <x14:sparkline>
              <xm:f>Review!A1619:F1619</xm:f>
              <xm:sqref>M1619</xm:sqref>
            </x14:sparkline>
            <x14:sparkline>
              <xm:f>Review!A1620:F1620</xm:f>
              <xm:sqref>M1620</xm:sqref>
            </x14:sparkline>
            <x14:sparkline>
              <xm:f>Review!A1621:F1621</xm:f>
              <xm:sqref>M1621</xm:sqref>
            </x14:sparkline>
            <x14:sparkline>
              <xm:f>Review!A1622:F1622</xm:f>
              <xm:sqref>M1622</xm:sqref>
            </x14:sparkline>
            <x14:sparkline>
              <xm:f>Review!A1623:F1623</xm:f>
              <xm:sqref>M1623</xm:sqref>
            </x14:sparkline>
            <x14:sparkline>
              <xm:f>Review!A1624:F1624</xm:f>
              <xm:sqref>M1624</xm:sqref>
            </x14:sparkline>
            <x14:sparkline>
              <xm:f>Review!A1625:F1625</xm:f>
              <xm:sqref>M1625</xm:sqref>
            </x14:sparkline>
            <x14:sparkline>
              <xm:f>Review!A1626:F1626</xm:f>
              <xm:sqref>M1626</xm:sqref>
            </x14:sparkline>
            <x14:sparkline>
              <xm:f>Review!A1627:F1627</xm:f>
              <xm:sqref>M1627</xm:sqref>
            </x14:sparkline>
            <x14:sparkline>
              <xm:f>Review!A1628:F1628</xm:f>
              <xm:sqref>M1628</xm:sqref>
            </x14:sparkline>
            <x14:sparkline>
              <xm:f>Review!A1629:F1629</xm:f>
              <xm:sqref>M1629</xm:sqref>
            </x14:sparkline>
            <x14:sparkline>
              <xm:f>Review!A1630:F1630</xm:f>
              <xm:sqref>M1630</xm:sqref>
            </x14:sparkline>
            <x14:sparkline>
              <xm:f>Review!A1631:F1631</xm:f>
              <xm:sqref>M1631</xm:sqref>
            </x14:sparkline>
            <x14:sparkline>
              <xm:f>Review!A1632:F1632</xm:f>
              <xm:sqref>M1632</xm:sqref>
            </x14:sparkline>
            <x14:sparkline>
              <xm:f>Review!A1633:F1633</xm:f>
              <xm:sqref>M1633</xm:sqref>
            </x14:sparkline>
            <x14:sparkline>
              <xm:f>Review!A1634:F1634</xm:f>
              <xm:sqref>M1634</xm:sqref>
            </x14:sparkline>
            <x14:sparkline>
              <xm:f>Review!A1635:F1635</xm:f>
              <xm:sqref>M1635</xm:sqref>
            </x14:sparkline>
            <x14:sparkline>
              <xm:f>Review!A1636:F1636</xm:f>
              <xm:sqref>M1636</xm:sqref>
            </x14:sparkline>
            <x14:sparkline>
              <xm:f>Review!A1637:F1637</xm:f>
              <xm:sqref>M1637</xm:sqref>
            </x14:sparkline>
            <x14:sparkline>
              <xm:f>Review!A1638:F1638</xm:f>
              <xm:sqref>M1638</xm:sqref>
            </x14:sparkline>
            <x14:sparkline>
              <xm:f>Review!A1639:F1639</xm:f>
              <xm:sqref>M1639</xm:sqref>
            </x14:sparkline>
            <x14:sparkline>
              <xm:f>Review!A1640:F1640</xm:f>
              <xm:sqref>M1640</xm:sqref>
            </x14:sparkline>
            <x14:sparkline>
              <xm:f>Review!A1641:F1641</xm:f>
              <xm:sqref>M1641</xm:sqref>
            </x14:sparkline>
            <x14:sparkline>
              <xm:f>Review!A1642:F1642</xm:f>
              <xm:sqref>M1642</xm:sqref>
            </x14:sparkline>
            <x14:sparkline>
              <xm:f>Review!A1643:F1643</xm:f>
              <xm:sqref>M1643</xm:sqref>
            </x14:sparkline>
            <x14:sparkline>
              <xm:f>Review!A1644:F1644</xm:f>
              <xm:sqref>M1644</xm:sqref>
            </x14:sparkline>
            <x14:sparkline>
              <xm:f>Review!A1645:F1645</xm:f>
              <xm:sqref>M1645</xm:sqref>
            </x14:sparkline>
            <x14:sparkline>
              <xm:f>Review!A1646:F1646</xm:f>
              <xm:sqref>M1646</xm:sqref>
            </x14:sparkline>
            <x14:sparkline>
              <xm:f>Review!A1647:F1647</xm:f>
              <xm:sqref>M1647</xm:sqref>
            </x14:sparkline>
            <x14:sparkline>
              <xm:f>Review!A1648:F1648</xm:f>
              <xm:sqref>M1648</xm:sqref>
            </x14:sparkline>
            <x14:sparkline>
              <xm:f>Review!A1649:F1649</xm:f>
              <xm:sqref>M1649</xm:sqref>
            </x14:sparkline>
            <x14:sparkline>
              <xm:f>Review!A1650:F1650</xm:f>
              <xm:sqref>M1650</xm:sqref>
            </x14:sparkline>
            <x14:sparkline>
              <xm:f>Review!A1651:F1651</xm:f>
              <xm:sqref>M1651</xm:sqref>
            </x14:sparkline>
            <x14:sparkline>
              <xm:f>Review!A1652:F1652</xm:f>
              <xm:sqref>M1652</xm:sqref>
            </x14:sparkline>
            <x14:sparkline>
              <xm:f>Review!A1653:F1653</xm:f>
              <xm:sqref>M1653</xm:sqref>
            </x14:sparkline>
            <x14:sparkline>
              <xm:f>Review!A1654:F1654</xm:f>
              <xm:sqref>M1654</xm:sqref>
            </x14:sparkline>
            <x14:sparkline>
              <xm:f>Review!A1655:F1655</xm:f>
              <xm:sqref>M1655</xm:sqref>
            </x14:sparkline>
            <x14:sparkline>
              <xm:f>Review!A1656:F1656</xm:f>
              <xm:sqref>M1656</xm:sqref>
            </x14:sparkline>
            <x14:sparkline>
              <xm:f>Review!A1657:F1657</xm:f>
              <xm:sqref>M1657</xm:sqref>
            </x14:sparkline>
            <x14:sparkline>
              <xm:f>Review!A1658:F1658</xm:f>
              <xm:sqref>M1658</xm:sqref>
            </x14:sparkline>
            <x14:sparkline>
              <xm:f>Review!A1659:F1659</xm:f>
              <xm:sqref>M1659</xm:sqref>
            </x14:sparkline>
            <x14:sparkline>
              <xm:f>Review!A1660:F1660</xm:f>
              <xm:sqref>M1660</xm:sqref>
            </x14:sparkline>
            <x14:sparkline>
              <xm:f>Review!A1661:F1661</xm:f>
              <xm:sqref>M1661</xm:sqref>
            </x14:sparkline>
            <x14:sparkline>
              <xm:f>Review!A1662:F1662</xm:f>
              <xm:sqref>M1662</xm:sqref>
            </x14:sparkline>
            <x14:sparkline>
              <xm:f>Review!A1663:F1663</xm:f>
              <xm:sqref>M1663</xm:sqref>
            </x14:sparkline>
            <x14:sparkline>
              <xm:f>Review!A1664:F1664</xm:f>
              <xm:sqref>M1664</xm:sqref>
            </x14:sparkline>
            <x14:sparkline>
              <xm:f>Review!A1665:F1665</xm:f>
              <xm:sqref>M1665</xm:sqref>
            </x14:sparkline>
            <x14:sparkline>
              <xm:f>Review!A1666:F1666</xm:f>
              <xm:sqref>M1666</xm:sqref>
            </x14:sparkline>
            <x14:sparkline>
              <xm:f>Review!A1667:F1667</xm:f>
              <xm:sqref>M1667</xm:sqref>
            </x14:sparkline>
            <x14:sparkline>
              <xm:f>Review!A1668:F1668</xm:f>
              <xm:sqref>M1668</xm:sqref>
            </x14:sparkline>
            <x14:sparkline>
              <xm:f>Review!A1669:F1669</xm:f>
              <xm:sqref>M1669</xm:sqref>
            </x14:sparkline>
            <x14:sparkline>
              <xm:f>Review!A1670:F1670</xm:f>
              <xm:sqref>M1670</xm:sqref>
            </x14:sparkline>
            <x14:sparkline>
              <xm:f>Review!A1671:F1671</xm:f>
              <xm:sqref>M1671</xm:sqref>
            </x14:sparkline>
            <x14:sparkline>
              <xm:f>Review!A1672:F1672</xm:f>
              <xm:sqref>M1672</xm:sqref>
            </x14:sparkline>
            <x14:sparkline>
              <xm:f>Review!A1673:F1673</xm:f>
              <xm:sqref>M1673</xm:sqref>
            </x14:sparkline>
            <x14:sparkline>
              <xm:f>Review!A1674:F1674</xm:f>
              <xm:sqref>M1674</xm:sqref>
            </x14:sparkline>
            <x14:sparkline>
              <xm:f>Review!A1675:F1675</xm:f>
              <xm:sqref>M1675</xm:sqref>
            </x14:sparkline>
            <x14:sparkline>
              <xm:f>Review!A1676:F1676</xm:f>
              <xm:sqref>M1676</xm:sqref>
            </x14:sparkline>
            <x14:sparkline>
              <xm:f>Review!A1677:F1677</xm:f>
              <xm:sqref>M1677</xm:sqref>
            </x14:sparkline>
            <x14:sparkline>
              <xm:f>Review!A1678:F1678</xm:f>
              <xm:sqref>M1678</xm:sqref>
            </x14:sparkline>
            <x14:sparkline>
              <xm:f>Review!A1679:F1679</xm:f>
              <xm:sqref>M1679</xm:sqref>
            </x14:sparkline>
            <x14:sparkline>
              <xm:f>Review!A1680:F1680</xm:f>
              <xm:sqref>M1680</xm:sqref>
            </x14:sparkline>
            <x14:sparkline>
              <xm:f>Review!A1681:F1681</xm:f>
              <xm:sqref>M1681</xm:sqref>
            </x14:sparkline>
            <x14:sparkline>
              <xm:f>Review!A1682:F1682</xm:f>
              <xm:sqref>M1682</xm:sqref>
            </x14:sparkline>
            <x14:sparkline>
              <xm:f>Review!A1683:F1683</xm:f>
              <xm:sqref>M1683</xm:sqref>
            </x14:sparkline>
            <x14:sparkline>
              <xm:f>Review!A1684:F1684</xm:f>
              <xm:sqref>M1684</xm:sqref>
            </x14:sparkline>
            <x14:sparkline>
              <xm:f>Review!A1685:F1685</xm:f>
              <xm:sqref>M1685</xm:sqref>
            </x14:sparkline>
            <x14:sparkline>
              <xm:f>Review!A1686:F1686</xm:f>
              <xm:sqref>M1686</xm:sqref>
            </x14:sparkline>
            <x14:sparkline>
              <xm:f>Review!A1687:F1687</xm:f>
              <xm:sqref>M1687</xm:sqref>
            </x14:sparkline>
            <x14:sparkline>
              <xm:f>Review!A1688:F1688</xm:f>
              <xm:sqref>M1688</xm:sqref>
            </x14:sparkline>
            <x14:sparkline>
              <xm:f>Review!A1689:F1689</xm:f>
              <xm:sqref>M1689</xm:sqref>
            </x14:sparkline>
            <x14:sparkline>
              <xm:f>Review!A1690:F1690</xm:f>
              <xm:sqref>M1690</xm:sqref>
            </x14:sparkline>
            <x14:sparkline>
              <xm:f>Review!A1691:F1691</xm:f>
              <xm:sqref>M1691</xm:sqref>
            </x14:sparkline>
            <x14:sparkline>
              <xm:f>Review!A1692:F1692</xm:f>
              <xm:sqref>M1692</xm:sqref>
            </x14:sparkline>
            <x14:sparkline>
              <xm:f>Review!A1693:F1693</xm:f>
              <xm:sqref>M1693</xm:sqref>
            </x14:sparkline>
            <x14:sparkline>
              <xm:f>Review!A1694:F1694</xm:f>
              <xm:sqref>M1694</xm:sqref>
            </x14:sparkline>
            <x14:sparkline>
              <xm:f>Review!A1695:F1695</xm:f>
              <xm:sqref>M1695</xm:sqref>
            </x14:sparkline>
            <x14:sparkline>
              <xm:f>Review!A1696:F1696</xm:f>
              <xm:sqref>M1696</xm:sqref>
            </x14:sparkline>
            <x14:sparkline>
              <xm:f>Review!A1697:F1697</xm:f>
              <xm:sqref>M1697</xm:sqref>
            </x14:sparkline>
            <x14:sparkline>
              <xm:f>Review!A1698:F1698</xm:f>
              <xm:sqref>M1698</xm:sqref>
            </x14:sparkline>
            <x14:sparkline>
              <xm:f>Review!A1699:F1699</xm:f>
              <xm:sqref>M1699</xm:sqref>
            </x14:sparkline>
            <x14:sparkline>
              <xm:f>Review!A1700:F1700</xm:f>
              <xm:sqref>M1700</xm:sqref>
            </x14:sparkline>
            <x14:sparkline>
              <xm:f>Review!A1701:F1701</xm:f>
              <xm:sqref>M1701</xm:sqref>
            </x14:sparkline>
            <x14:sparkline>
              <xm:f>Review!A1702:F1702</xm:f>
              <xm:sqref>M1702</xm:sqref>
            </x14:sparkline>
            <x14:sparkline>
              <xm:f>Review!A1703:F1703</xm:f>
              <xm:sqref>M1703</xm:sqref>
            </x14:sparkline>
            <x14:sparkline>
              <xm:f>Review!A1704:F1704</xm:f>
              <xm:sqref>M1704</xm:sqref>
            </x14:sparkline>
            <x14:sparkline>
              <xm:f>Review!A1705:F1705</xm:f>
              <xm:sqref>M1705</xm:sqref>
            </x14:sparkline>
            <x14:sparkline>
              <xm:f>Review!A1706:F1706</xm:f>
              <xm:sqref>M1706</xm:sqref>
            </x14:sparkline>
            <x14:sparkline>
              <xm:f>Review!A1707:F1707</xm:f>
              <xm:sqref>M1707</xm:sqref>
            </x14:sparkline>
            <x14:sparkline>
              <xm:f>Review!A1708:F1708</xm:f>
              <xm:sqref>M1708</xm:sqref>
            </x14:sparkline>
            <x14:sparkline>
              <xm:f>Review!A1709:F1709</xm:f>
              <xm:sqref>M1709</xm:sqref>
            </x14:sparkline>
            <x14:sparkline>
              <xm:f>Review!A1710:F1710</xm:f>
              <xm:sqref>M1710</xm:sqref>
            </x14:sparkline>
            <x14:sparkline>
              <xm:f>Review!A1711:F1711</xm:f>
              <xm:sqref>M1711</xm:sqref>
            </x14:sparkline>
            <x14:sparkline>
              <xm:f>Review!A1712:F1712</xm:f>
              <xm:sqref>M1712</xm:sqref>
            </x14:sparkline>
            <x14:sparkline>
              <xm:f>Review!A1713:F1713</xm:f>
              <xm:sqref>M1713</xm:sqref>
            </x14:sparkline>
            <x14:sparkline>
              <xm:f>Review!A1714:F1714</xm:f>
              <xm:sqref>M1714</xm:sqref>
            </x14:sparkline>
            <x14:sparkline>
              <xm:f>Review!A1715:F1715</xm:f>
              <xm:sqref>M1715</xm:sqref>
            </x14:sparkline>
            <x14:sparkline>
              <xm:f>Review!A1716:F1716</xm:f>
              <xm:sqref>M1716</xm:sqref>
            </x14:sparkline>
            <x14:sparkline>
              <xm:f>Review!A1717:F1717</xm:f>
              <xm:sqref>M1717</xm:sqref>
            </x14:sparkline>
            <x14:sparkline>
              <xm:f>Review!A1718:F1718</xm:f>
              <xm:sqref>M1718</xm:sqref>
            </x14:sparkline>
            <x14:sparkline>
              <xm:f>Review!A1719:F1719</xm:f>
              <xm:sqref>M1719</xm:sqref>
            </x14:sparkline>
            <x14:sparkline>
              <xm:f>Review!A1720:F1720</xm:f>
              <xm:sqref>M1720</xm:sqref>
            </x14:sparkline>
            <x14:sparkline>
              <xm:f>Review!A1721:F1721</xm:f>
              <xm:sqref>M1721</xm:sqref>
            </x14:sparkline>
            <x14:sparkline>
              <xm:f>Review!A1722:F1722</xm:f>
              <xm:sqref>M1722</xm:sqref>
            </x14:sparkline>
            <x14:sparkline>
              <xm:f>Review!A1723:F1723</xm:f>
              <xm:sqref>M1723</xm:sqref>
            </x14:sparkline>
            <x14:sparkline>
              <xm:f>Review!A1724:F1724</xm:f>
              <xm:sqref>M1724</xm:sqref>
            </x14:sparkline>
            <x14:sparkline>
              <xm:f>Review!A1725:F1725</xm:f>
              <xm:sqref>M1725</xm:sqref>
            </x14:sparkline>
            <x14:sparkline>
              <xm:f>Review!A1726:F1726</xm:f>
              <xm:sqref>M1726</xm:sqref>
            </x14:sparkline>
            <x14:sparkline>
              <xm:f>Review!A1727:F1727</xm:f>
              <xm:sqref>M1727</xm:sqref>
            </x14:sparkline>
            <x14:sparkline>
              <xm:f>Review!A1728:F1728</xm:f>
              <xm:sqref>M1728</xm:sqref>
            </x14:sparkline>
            <x14:sparkline>
              <xm:f>Review!A1729:F1729</xm:f>
              <xm:sqref>M1729</xm:sqref>
            </x14:sparkline>
            <x14:sparkline>
              <xm:f>Review!A1730:F1730</xm:f>
              <xm:sqref>M1730</xm:sqref>
            </x14:sparkline>
            <x14:sparkline>
              <xm:f>Review!A1731:F1731</xm:f>
              <xm:sqref>M1731</xm:sqref>
            </x14:sparkline>
            <x14:sparkline>
              <xm:f>Review!A1732:F1732</xm:f>
              <xm:sqref>M1732</xm:sqref>
            </x14:sparkline>
            <x14:sparkline>
              <xm:f>Review!A1733:F1733</xm:f>
              <xm:sqref>M1733</xm:sqref>
            </x14:sparkline>
            <x14:sparkline>
              <xm:f>Review!A1734:F1734</xm:f>
              <xm:sqref>M1734</xm:sqref>
            </x14:sparkline>
            <x14:sparkline>
              <xm:f>Review!A1735:F1735</xm:f>
              <xm:sqref>M1735</xm:sqref>
            </x14:sparkline>
            <x14:sparkline>
              <xm:f>Review!A1736:F1736</xm:f>
              <xm:sqref>M1736</xm:sqref>
            </x14:sparkline>
            <x14:sparkline>
              <xm:f>Review!A1737:F1737</xm:f>
              <xm:sqref>M1737</xm:sqref>
            </x14:sparkline>
            <x14:sparkline>
              <xm:f>Review!A1738:F1738</xm:f>
              <xm:sqref>M1738</xm:sqref>
            </x14:sparkline>
            <x14:sparkline>
              <xm:f>Review!A1739:F1739</xm:f>
              <xm:sqref>M1739</xm:sqref>
            </x14:sparkline>
            <x14:sparkline>
              <xm:f>Review!A1740:F1740</xm:f>
              <xm:sqref>M1740</xm:sqref>
            </x14:sparkline>
            <x14:sparkline>
              <xm:f>Review!A1741:F1741</xm:f>
              <xm:sqref>M1741</xm:sqref>
            </x14:sparkline>
            <x14:sparkline>
              <xm:f>Review!A1742:F1742</xm:f>
              <xm:sqref>M1742</xm:sqref>
            </x14:sparkline>
            <x14:sparkline>
              <xm:f>Review!A1743:F1743</xm:f>
              <xm:sqref>M1743</xm:sqref>
            </x14:sparkline>
            <x14:sparkline>
              <xm:f>Review!A1744:F1744</xm:f>
              <xm:sqref>M1744</xm:sqref>
            </x14:sparkline>
            <x14:sparkline>
              <xm:f>Review!A1745:F1745</xm:f>
              <xm:sqref>M1745</xm:sqref>
            </x14:sparkline>
            <x14:sparkline>
              <xm:f>Review!A1746:F1746</xm:f>
              <xm:sqref>M1746</xm:sqref>
            </x14:sparkline>
            <x14:sparkline>
              <xm:f>Review!A1747:F1747</xm:f>
              <xm:sqref>M1747</xm:sqref>
            </x14:sparkline>
            <x14:sparkline>
              <xm:f>Review!A1748:F1748</xm:f>
              <xm:sqref>M1748</xm:sqref>
            </x14:sparkline>
            <x14:sparkline>
              <xm:f>Review!A1749:F1749</xm:f>
              <xm:sqref>M1749</xm:sqref>
            </x14:sparkline>
            <x14:sparkline>
              <xm:f>Review!A1750:F1750</xm:f>
              <xm:sqref>M1750</xm:sqref>
            </x14:sparkline>
            <x14:sparkline>
              <xm:f>Review!A1751:F1751</xm:f>
              <xm:sqref>M1751</xm:sqref>
            </x14:sparkline>
            <x14:sparkline>
              <xm:f>Review!A1752:F1752</xm:f>
              <xm:sqref>M1752</xm:sqref>
            </x14:sparkline>
            <x14:sparkline>
              <xm:f>Review!A1753:F1753</xm:f>
              <xm:sqref>M1753</xm:sqref>
            </x14:sparkline>
            <x14:sparkline>
              <xm:f>Review!A1754:F1754</xm:f>
              <xm:sqref>M1754</xm:sqref>
            </x14:sparkline>
            <x14:sparkline>
              <xm:f>Review!A1755:F1755</xm:f>
              <xm:sqref>M1755</xm:sqref>
            </x14:sparkline>
            <x14:sparkline>
              <xm:f>Review!A1756:F1756</xm:f>
              <xm:sqref>M1756</xm:sqref>
            </x14:sparkline>
            <x14:sparkline>
              <xm:f>Review!A1757:F1757</xm:f>
              <xm:sqref>M1757</xm:sqref>
            </x14:sparkline>
            <x14:sparkline>
              <xm:f>Review!A1758:F1758</xm:f>
              <xm:sqref>M1758</xm:sqref>
            </x14:sparkline>
            <x14:sparkline>
              <xm:f>Review!A1759:F1759</xm:f>
              <xm:sqref>M1759</xm:sqref>
            </x14:sparkline>
            <x14:sparkline>
              <xm:f>Review!A1760:F1760</xm:f>
              <xm:sqref>M1760</xm:sqref>
            </x14:sparkline>
            <x14:sparkline>
              <xm:f>Review!A1761:F1761</xm:f>
              <xm:sqref>M1761</xm:sqref>
            </x14:sparkline>
            <x14:sparkline>
              <xm:f>Review!A1762:F1762</xm:f>
              <xm:sqref>M1762</xm:sqref>
            </x14:sparkline>
            <x14:sparkline>
              <xm:f>Review!A1763:F1763</xm:f>
              <xm:sqref>M1763</xm:sqref>
            </x14:sparkline>
            <x14:sparkline>
              <xm:f>Review!A1764:F1764</xm:f>
              <xm:sqref>M1764</xm:sqref>
            </x14:sparkline>
            <x14:sparkline>
              <xm:f>Review!A1765:F1765</xm:f>
              <xm:sqref>M1765</xm:sqref>
            </x14:sparkline>
            <x14:sparkline>
              <xm:f>Review!A1766:F1766</xm:f>
              <xm:sqref>M1766</xm:sqref>
            </x14:sparkline>
            <x14:sparkline>
              <xm:f>Review!A1767:F1767</xm:f>
              <xm:sqref>M1767</xm:sqref>
            </x14:sparkline>
            <x14:sparkline>
              <xm:f>Review!A1768:F1768</xm:f>
              <xm:sqref>M1768</xm:sqref>
            </x14:sparkline>
            <x14:sparkline>
              <xm:f>Review!A1769:F1769</xm:f>
              <xm:sqref>M1769</xm:sqref>
            </x14:sparkline>
            <x14:sparkline>
              <xm:f>Review!A1770:F1770</xm:f>
              <xm:sqref>M1770</xm:sqref>
            </x14:sparkline>
            <x14:sparkline>
              <xm:f>Review!A1771:F1771</xm:f>
              <xm:sqref>M1771</xm:sqref>
            </x14:sparkline>
            <x14:sparkline>
              <xm:f>Review!A1772:F1772</xm:f>
              <xm:sqref>M1772</xm:sqref>
            </x14:sparkline>
            <x14:sparkline>
              <xm:f>Review!A1773:F1773</xm:f>
              <xm:sqref>M1773</xm:sqref>
            </x14:sparkline>
            <x14:sparkline>
              <xm:f>Review!A1774:F1774</xm:f>
              <xm:sqref>M1774</xm:sqref>
            </x14:sparkline>
            <x14:sparkline>
              <xm:f>Review!A1775:F1775</xm:f>
              <xm:sqref>M1775</xm:sqref>
            </x14:sparkline>
            <x14:sparkline>
              <xm:f>Review!A1776:F1776</xm:f>
              <xm:sqref>M1776</xm:sqref>
            </x14:sparkline>
            <x14:sparkline>
              <xm:f>Review!A1777:F1777</xm:f>
              <xm:sqref>M1777</xm:sqref>
            </x14:sparkline>
            <x14:sparkline>
              <xm:f>Review!A1778:F1778</xm:f>
              <xm:sqref>M1778</xm:sqref>
            </x14:sparkline>
            <x14:sparkline>
              <xm:f>Review!A1779:F1779</xm:f>
              <xm:sqref>M1779</xm:sqref>
            </x14:sparkline>
            <x14:sparkline>
              <xm:f>Review!A1780:F1780</xm:f>
              <xm:sqref>M1780</xm:sqref>
            </x14:sparkline>
            <x14:sparkline>
              <xm:f>Review!A1781:F1781</xm:f>
              <xm:sqref>M1781</xm:sqref>
            </x14:sparkline>
            <x14:sparkline>
              <xm:f>Review!A1782:F1782</xm:f>
              <xm:sqref>M1782</xm:sqref>
            </x14:sparkline>
            <x14:sparkline>
              <xm:f>Review!A1783:F1783</xm:f>
              <xm:sqref>M1783</xm:sqref>
            </x14:sparkline>
            <x14:sparkline>
              <xm:f>Review!A1784:F1784</xm:f>
              <xm:sqref>M1784</xm:sqref>
            </x14:sparkline>
            <x14:sparkline>
              <xm:f>Review!A1785:F1785</xm:f>
              <xm:sqref>M1785</xm:sqref>
            </x14:sparkline>
            <x14:sparkline>
              <xm:f>Review!A1786:F1786</xm:f>
              <xm:sqref>M1786</xm:sqref>
            </x14:sparkline>
            <x14:sparkline>
              <xm:f>Review!A1787:F1787</xm:f>
              <xm:sqref>M1787</xm:sqref>
            </x14:sparkline>
            <x14:sparkline>
              <xm:f>Review!A1788:F1788</xm:f>
              <xm:sqref>M1788</xm:sqref>
            </x14:sparkline>
            <x14:sparkline>
              <xm:f>Review!A1789:F1789</xm:f>
              <xm:sqref>M1789</xm:sqref>
            </x14:sparkline>
            <x14:sparkline>
              <xm:f>Review!A1790:F1790</xm:f>
              <xm:sqref>M1790</xm:sqref>
            </x14:sparkline>
            <x14:sparkline>
              <xm:f>Review!A1791:F1791</xm:f>
              <xm:sqref>M1791</xm:sqref>
            </x14:sparkline>
            <x14:sparkline>
              <xm:f>Review!A1792:F1792</xm:f>
              <xm:sqref>M1792</xm:sqref>
            </x14:sparkline>
            <x14:sparkline>
              <xm:f>Review!A1793:F1793</xm:f>
              <xm:sqref>M1793</xm:sqref>
            </x14:sparkline>
            <x14:sparkline>
              <xm:f>Review!A1794:F1794</xm:f>
              <xm:sqref>M1794</xm:sqref>
            </x14:sparkline>
            <x14:sparkline>
              <xm:f>Review!A1795:F1795</xm:f>
              <xm:sqref>M1795</xm:sqref>
            </x14:sparkline>
            <x14:sparkline>
              <xm:f>Review!A1796:F1796</xm:f>
              <xm:sqref>M1796</xm:sqref>
            </x14:sparkline>
            <x14:sparkline>
              <xm:f>Review!A1797:F1797</xm:f>
              <xm:sqref>M1797</xm:sqref>
            </x14:sparkline>
            <x14:sparkline>
              <xm:f>Review!A1798:F1798</xm:f>
              <xm:sqref>M1798</xm:sqref>
            </x14:sparkline>
            <x14:sparkline>
              <xm:f>Review!A1799:F1799</xm:f>
              <xm:sqref>M1799</xm:sqref>
            </x14:sparkline>
            <x14:sparkline>
              <xm:f>Review!A1800:F1800</xm:f>
              <xm:sqref>M1800</xm:sqref>
            </x14:sparkline>
            <x14:sparkline>
              <xm:f>Review!A1801:F1801</xm:f>
              <xm:sqref>M1801</xm:sqref>
            </x14:sparkline>
            <x14:sparkline>
              <xm:f>Review!A1802:F1802</xm:f>
              <xm:sqref>M1802</xm:sqref>
            </x14:sparkline>
            <x14:sparkline>
              <xm:f>Review!A1803:F1803</xm:f>
              <xm:sqref>M1803</xm:sqref>
            </x14:sparkline>
            <x14:sparkline>
              <xm:f>Review!A1804:F1804</xm:f>
              <xm:sqref>M1804</xm:sqref>
            </x14:sparkline>
            <x14:sparkline>
              <xm:f>Review!A1805:F1805</xm:f>
              <xm:sqref>M1805</xm:sqref>
            </x14:sparkline>
            <x14:sparkline>
              <xm:f>Review!A1806:F1806</xm:f>
              <xm:sqref>M1806</xm:sqref>
            </x14:sparkline>
            <x14:sparkline>
              <xm:f>Review!A1807:F1807</xm:f>
              <xm:sqref>M1807</xm:sqref>
            </x14:sparkline>
            <x14:sparkline>
              <xm:f>Review!A1808:F1808</xm:f>
              <xm:sqref>M1808</xm:sqref>
            </x14:sparkline>
            <x14:sparkline>
              <xm:f>Review!A1809:F1809</xm:f>
              <xm:sqref>M1809</xm:sqref>
            </x14:sparkline>
            <x14:sparkline>
              <xm:f>Review!A1810:F1810</xm:f>
              <xm:sqref>M1810</xm:sqref>
            </x14:sparkline>
            <x14:sparkline>
              <xm:f>Review!A1811:F1811</xm:f>
              <xm:sqref>M1811</xm:sqref>
            </x14:sparkline>
            <x14:sparkline>
              <xm:f>Review!A1812:F1812</xm:f>
              <xm:sqref>M1812</xm:sqref>
            </x14:sparkline>
            <x14:sparkline>
              <xm:f>Review!A1813:F1813</xm:f>
              <xm:sqref>M1813</xm:sqref>
            </x14:sparkline>
            <x14:sparkline>
              <xm:f>Review!A1814:F1814</xm:f>
              <xm:sqref>M1814</xm:sqref>
            </x14:sparkline>
            <x14:sparkline>
              <xm:f>Review!A1815:F1815</xm:f>
              <xm:sqref>M1815</xm:sqref>
            </x14:sparkline>
            <x14:sparkline>
              <xm:f>Review!A1816:F1816</xm:f>
              <xm:sqref>M1816</xm:sqref>
            </x14:sparkline>
            <x14:sparkline>
              <xm:f>Review!A1817:F1817</xm:f>
              <xm:sqref>M1817</xm:sqref>
            </x14:sparkline>
            <x14:sparkline>
              <xm:f>Review!A1818:F1818</xm:f>
              <xm:sqref>M1818</xm:sqref>
            </x14:sparkline>
            <x14:sparkline>
              <xm:f>Review!A1819:F1819</xm:f>
              <xm:sqref>M1819</xm:sqref>
            </x14:sparkline>
            <x14:sparkline>
              <xm:f>Review!A1820:F1820</xm:f>
              <xm:sqref>M1820</xm:sqref>
            </x14:sparkline>
            <x14:sparkline>
              <xm:f>Review!A1821:F1821</xm:f>
              <xm:sqref>M1821</xm:sqref>
            </x14:sparkline>
            <x14:sparkline>
              <xm:f>Review!A1822:F1822</xm:f>
              <xm:sqref>M1822</xm:sqref>
            </x14:sparkline>
            <x14:sparkline>
              <xm:f>Review!A1823:F1823</xm:f>
              <xm:sqref>M1823</xm:sqref>
            </x14:sparkline>
            <x14:sparkline>
              <xm:f>Review!A1824:F1824</xm:f>
              <xm:sqref>M1824</xm:sqref>
            </x14:sparkline>
            <x14:sparkline>
              <xm:f>Review!A1825:F1825</xm:f>
              <xm:sqref>M1825</xm:sqref>
            </x14:sparkline>
            <x14:sparkline>
              <xm:f>Review!A1826:F1826</xm:f>
              <xm:sqref>M1826</xm:sqref>
            </x14:sparkline>
            <x14:sparkline>
              <xm:f>Review!A1827:F1827</xm:f>
              <xm:sqref>M1827</xm:sqref>
            </x14:sparkline>
            <x14:sparkline>
              <xm:f>Review!A1828:F1828</xm:f>
              <xm:sqref>M1828</xm:sqref>
            </x14:sparkline>
            <x14:sparkline>
              <xm:f>Review!A1829:F1829</xm:f>
              <xm:sqref>M1829</xm:sqref>
            </x14:sparkline>
            <x14:sparkline>
              <xm:f>Review!A1830:F1830</xm:f>
              <xm:sqref>M1830</xm:sqref>
            </x14:sparkline>
            <x14:sparkline>
              <xm:f>Review!A1831:F1831</xm:f>
              <xm:sqref>M1831</xm:sqref>
            </x14:sparkline>
            <x14:sparkline>
              <xm:f>Review!A1832:F1832</xm:f>
              <xm:sqref>M1832</xm:sqref>
            </x14:sparkline>
            <x14:sparkline>
              <xm:f>Review!A1833:F1833</xm:f>
              <xm:sqref>M1833</xm:sqref>
            </x14:sparkline>
            <x14:sparkline>
              <xm:f>Review!A1834:F1834</xm:f>
              <xm:sqref>M1834</xm:sqref>
            </x14:sparkline>
            <x14:sparkline>
              <xm:f>Review!A1835:F1835</xm:f>
              <xm:sqref>M1835</xm:sqref>
            </x14:sparkline>
            <x14:sparkline>
              <xm:f>Review!A1836:F1836</xm:f>
              <xm:sqref>M1836</xm:sqref>
            </x14:sparkline>
            <x14:sparkline>
              <xm:f>Review!A1837:F1837</xm:f>
              <xm:sqref>M1837</xm:sqref>
            </x14:sparkline>
            <x14:sparkline>
              <xm:f>Review!A1838:F1838</xm:f>
              <xm:sqref>M1838</xm:sqref>
            </x14:sparkline>
            <x14:sparkline>
              <xm:f>Review!A1839:F1839</xm:f>
              <xm:sqref>M1839</xm:sqref>
            </x14:sparkline>
            <x14:sparkline>
              <xm:f>Review!A1840:F1840</xm:f>
              <xm:sqref>M1840</xm:sqref>
            </x14:sparkline>
            <x14:sparkline>
              <xm:f>Review!A1841:F1841</xm:f>
              <xm:sqref>M1841</xm:sqref>
            </x14:sparkline>
            <x14:sparkline>
              <xm:f>Review!A1842:F1842</xm:f>
              <xm:sqref>M1842</xm:sqref>
            </x14:sparkline>
            <x14:sparkline>
              <xm:f>Review!A1843:F1843</xm:f>
              <xm:sqref>M1843</xm:sqref>
            </x14:sparkline>
            <x14:sparkline>
              <xm:f>Review!A1844:F1844</xm:f>
              <xm:sqref>M1844</xm:sqref>
            </x14:sparkline>
            <x14:sparkline>
              <xm:f>Review!A1845:F1845</xm:f>
              <xm:sqref>M1845</xm:sqref>
            </x14:sparkline>
            <x14:sparkline>
              <xm:f>Review!A1846:F1846</xm:f>
              <xm:sqref>M1846</xm:sqref>
            </x14:sparkline>
            <x14:sparkline>
              <xm:f>Review!A1847:F1847</xm:f>
              <xm:sqref>M1847</xm:sqref>
            </x14:sparkline>
            <x14:sparkline>
              <xm:f>Review!A1848:F1848</xm:f>
              <xm:sqref>M1848</xm:sqref>
            </x14:sparkline>
            <x14:sparkline>
              <xm:f>Review!A1849:F1849</xm:f>
              <xm:sqref>M1849</xm:sqref>
            </x14:sparkline>
            <x14:sparkline>
              <xm:f>Review!A1850:F1850</xm:f>
              <xm:sqref>M1850</xm:sqref>
            </x14:sparkline>
            <x14:sparkline>
              <xm:f>Review!A1851:F1851</xm:f>
              <xm:sqref>M1851</xm:sqref>
            </x14:sparkline>
          </x14:sparklines>
        </x14:sparklineGroup>
      </x14:sparklineGroup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32DF0-DA14-4A1B-BFBD-5CFA5AECCBF1}">
  <sheetPr codeName="Sheet16">
    <tabColor theme="6" tint="-0.249977111117893"/>
  </sheetPr>
  <dimension ref="A1:S28"/>
  <sheetViews>
    <sheetView zoomScale="95" zoomScaleNormal="95" workbookViewId="0">
      <pane ySplit="1" topLeftCell="A2" activePane="bottomLeft" state="frozen"/>
      <selection activeCell="B1" sqref="B1"/>
      <selection pane="bottomLeft" activeCell="F28" sqref="F2:F28"/>
    </sheetView>
  </sheetViews>
  <sheetFormatPr defaultRowHeight="15"/>
  <cols>
    <col min="1" max="1" width="0.5703125" style="39" hidden="1" customWidth="1"/>
    <col min="2" max="2" width="8.42578125" style="26" customWidth="1"/>
    <col min="3" max="3" width="16" style="26" bestFit="1" customWidth="1"/>
    <col min="4" max="4" width="23" style="26" bestFit="1" customWidth="1"/>
    <col min="5" max="5" width="8.42578125" style="74" bestFit="1" customWidth="1"/>
    <col min="6" max="6" width="10.5703125" style="26" bestFit="1" customWidth="1"/>
    <col min="7" max="7" width="15" style="26" bestFit="1" customWidth="1"/>
    <col min="8" max="8" width="10" style="26" customWidth="1"/>
    <col min="9" max="9" width="10.7109375" style="76" hidden="1" customWidth="1"/>
    <col min="10" max="10" width="5.28515625" style="26" bestFit="1" customWidth="1"/>
    <col min="11" max="11" width="6.85546875" style="74" bestFit="1" customWidth="1"/>
    <col min="12" max="12" width="11.140625" style="75" bestFit="1" customWidth="1"/>
    <col min="13" max="13" width="14.28515625" style="26" bestFit="1" customWidth="1"/>
    <col min="14" max="14" width="17" style="26" bestFit="1" customWidth="1"/>
    <col min="15" max="15" width="5.28515625" style="26" bestFit="1" customWidth="1"/>
    <col min="16" max="16" width="9.42578125" style="74" customWidth="1"/>
    <col min="17" max="17" width="8.85546875" style="75" bestFit="1" customWidth="1"/>
    <col min="18" max="18" width="14.28515625" style="26" bestFit="1" customWidth="1"/>
    <col min="19" max="19" width="9" style="26" bestFit="1" customWidth="1"/>
    <col min="20" max="16384" width="9.140625" style="26"/>
  </cols>
  <sheetData>
    <row r="1" spans="1:19" s="1" customFormat="1" ht="13.5" customHeight="1">
      <c r="A1" s="236" t="s">
        <v>5594</v>
      </c>
      <c r="B1" s="203" t="s">
        <v>0</v>
      </c>
      <c r="C1" s="203" t="s">
        <v>1</v>
      </c>
      <c r="D1" s="203" t="s">
        <v>39</v>
      </c>
      <c r="E1" s="230" t="s">
        <v>5595</v>
      </c>
      <c r="F1" s="203" t="s">
        <v>5596</v>
      </c>
      <c r="G1" s="203" t="s">
        <v>5597</v>
      </c>
      <c r="H1" s="203" t="s">
        <v>5598</v>
      </c>
      <c r="I1" s="77" t="s">
        <v>5585</v>
      </c>
      <c r="J1" s="78" t="s">
        <v>5586</v>
      </c>
      <c r="K1" s="79" t="s">
        <v>5587</v>
      </c>
      <c r="L1" s="80" t="s">
        <v>5592</v>
      </c>
      <c r="M1" s="78" t="s">
        <v>5599</v>
      </c>
      <c r="N1" s="78" t="s">
        <v>5590</v>
      </c>
      <c r="O1" s="81" t="s">
        <v>5588</v>
      </c>
      <c r="P1" s="82" t="s">
        <v>5589</v>
      </c>
      <c r="Q1" s="83" t="s">
        <v>5593</v>
      </c>
      <c r="R1" s="81" t="s">
        <v>5600</v>
      </c>
      <c r="S1" s="81" t="s">
        <v>5590</v>
      </c>
    </row>
    <row r="2" spans="1:19">
      <c r="A2" s="39" t="str">
        <f>IFERROR(INDEX(Review!AE:AE,MATCH(C2,Review!O:O,0)),"")</f>
        <v>s</v>
      </c>
      <c r="B2" s="26" t="str">
        <f>IFERROR(INDEX(Review!Q:Q,MATCH(C2,Review!O:O,0)),"")</f>
        <v>AHLST</v>
      </c>
      <c r="C2" s="26" t="s">
        <v>1433</v>
      </c>
      <c r="D2" s="26" t="str">
        <f>IFERROR(INDEX(Review!P:P,MATCH(C2,Review!O:O,0)),"")</f>
        <v>STONEDUST</v>
      </c>
      <c r="E2" s="74">
        <f>IFERROR(INDEX(Review!AD:AD,MATCH(C2,Review!O:O,0)),"")</f>
        <v>500</v>
      </c>
      <c r="F2" s="26" t="str">
        <f t="shared" ref="F2:F26" si="0">IFERROR(H2,"")</f>
        <v>7126</v>
      </c>
      <c r="G2" s="26" t="str">
        <f t="shared" ref="G2:G21" si="1">IFERROR(IF(A2="H","Huntsville",IFERROR(IF(F2="","",INDEX(N:N,MATCH(F2,J:J,0))),INDEX(S:S,MATCH(F2,O:O,0)))),"")</f>
        <v>Stone</v>
      </c>
      <c r="H2" s="26" t="str">
        <f t="shared" ref="H2:H21" si="2">IFERROR(IF(A2="H","HUN",IF(K2&gt;=E2,J2,"")),"")</f>
        <v>7126</v>
      </c>
      <c r="I2" s="76">
        <f>IFERROR(COUNTIFS('Supp Consol'!A:A,C2,'Supp Consol'!Y:Y,"Releasable"),"")</f>
        <v>1</v>
      </c>
      <c r="J2" s="26" t="str">
        <f>IFERROR(IF(A2="H","",INDEX('Supp Consol'!R:R,MATCH(_xlfn.CONCAT(C2,"1"),'Supp Consol'!AC:AC,0))),"")</f>
        <v>7126</v>
      </c>
      <c r="K2" s="74">
        <f>IFERROR(IF(A2="H","",INDEX('Supp Consol'!S:S,MATCH(_xlfn.CONCAT(C2,"1"),'Supp Consol'!AC:AC,0))),"")</f>
        <v>1554</v>
      </c>
      <c r="L2" s="75" t="str">
        <f>IFERROR(IF(A2="H","",IF(INDEX('Supp Consol'!X:X,MATCH(_xlfn.CONCAT(C2,"1"),'Supp Consol'!AC:AC,0))="","",INDEX('Supp Consol'!X:X,MATCH(_xlfn.CONCAT(C2,"1"),'Supp Consol'!AC:AC,0)))),"")</f>
        <v/>
      </c>
      <c r="M2" s="26" t="str">
        <f>IFERROR(IF(A2="H","",IF(INDEX('Supp Consol'!F:F,MATCH(_xlfn.CONCAT(C2,"1"),'Supp Consol'!AC:AC,0))="","",INDEX('Supp Consol'!F:F,MATCH(_xlfn.CONCAT(C2,"1"),'Supp Consol'!AC:AC,0)))),"")</f>
        <v>DUSTONE</v>
      </c>
      <c r="N2" s="26" t="str">
        <f>IFERROR(IF(A2="H","",INDEX(Tables!W:W,MATCH(_xlfn.CONCAT(B2,M2),Tables!V:V,0))),"")</f>
        <v>Stone</v>
      </c>
      <c r="O2" s="26" t="str">
        <f>IFERROR(IF(A2="H","",IF(I2&gt;1,INDEX('Supp Consol'!R:R,MATCH(_xlfn.CONCAT(C2,"2"),'Supp Consol'!AC:AC,0)),"")),"")</f>
        <v/>
      </c>
      <c r="P2" s="74" t="str">
        <f>IFERROR(IF(A2="H","",IF(I2&gt;1,INDEX('Supp Consol'!S:S,MATCH(_xlfn.CONCAT(C2,"2"),'Supp Consol'!AC:AC,0)),"")),"")</f>
        <v/>
      </c>
      <c r="Q2" s="75" t="str">
        <f>IFERROR(IF(A2="H","",IF(I2&gt;1,IF(INDEX('Supp Consol'!X:X,MATCH(_xlfn.CONCAT(C2,"2"),'Supp Consol'!AC:AC,0))="","",INDEX('Supp Consol'!X:X,MATCH(_xlfn.CONCAT(C2,"2"),'Supp Consol'!AC:AC,0))),"")),"")</f>
        <v/>
      </c>
      <c r="R2" s="26" t="str">
        <f>IFERROR(IF(A2="H","",IF(I2&gt;1,IF(INDEX('Supp Consol'!F:F,MATCH(_xlfn.CONCAT(C2,"2"),'Supp Consol'!AC:AC,0))="","",INDEX('Supp Consol'!F:F,MATCH(_xlfn.CONCAT(C2,"2"),'Supp Consol'!AC:AC,0))),"")),"")</f>
        <v/>
      </c>
      <c r="S2" s="26" t="str">
        <f>IFERROR(IF(A2="H","",IF(I2&gt;1,INDEX(Tables!W:W,MATCH(_xlfn.CONCAT(B2,R2),Tables!V:V,0)),"")),"")</f>
        <v/>
      </c>
    </row>
    <row r="3" spans="1:19">
      <c r="A3" s="39" t="str">
        <f>IFERROR(INDEX(Review!AE:AE,MATCH(C3,Review!O:O,0)),"")</f>
        <v>s</v>
      </c>
      <c r="B3" s="26" t="str">
        <f>IFERROR(INDEX(Review!Q:Q,MATCH(C3,Review!O:O,0)),"")</f>
        <v>AHLST</v>
      </c>
      <c r="C3" s="26" t="s">
        <v>2051</v>
      </c>
      <c r="D3" s="26" t="str">
        <f>IFERROR(INDEX(Review!P:P,MATCH(C3,Review!O:O,0)),"")</f>
        <v>SMOKEY SKIES LC</v>
      </c>
      <c r="E3" s="74">
        <f>IFERROR(INDEX(Review!AD:AD,MATCH(C3,Review!O:O,0)),"")</f>
        <v>500</v>
      </c>
      <c r="F3" s="26" t="str">
        <f t="shared" si="0"/>
        <v>7029</v>
      </c>
      <c r="G3" s="26" t="str">
        <f t="shared" si="1"/>
        <v>Stone</v>
      </c>
      <c r="H3" s="26" t="str">
        <f t="shared" si="2"/>
        <v>7029</v>
      </c>
      <c r="I3" s="76">
        <f>IFERROR(COUNTIFS('Supp Consol'!A:A,C3,'Supp Consol'!Y:Y,"Releasable"),"")</f>
        <v>1</v>
      </c>
      <c r="J3" s="26" t="str">
        <f>IFERROR(IF(A3="H","",INDEX('Supp Consol'!R:R,MATCH(_xlfn.CONCAT(C3,"1"),'Supp Consol'!AC:AC,0))),"")</f>
        <v>7029</v>
      </c>
      <c r="K3" s="74">
        <f>IFERROR(IF(A3="H","",INDEX('Supp Consol'!S:S,MATCH(_xlfn.CONCAT(C3,"1"),'Supp Consol'!AC:AC,0))),"")</f>
        <v>1856</v>
      </c>
      <c r="L3" s="75">
        <f>IFERROR(IF(A3="H","",IF(INDEX('Supp Consol'!X:X,MATCH(_xlfn.CONCAT(C3,"1"),'Supp Consol'!AC:AC,0))="","",INDEX('Supp Consol'!X:X,MATCH(_xlfn.CONCAT(C3,"1"),'Supp Consol'!AC:AC,0)))),"")</f>
        <v>45030</v>
      </c>
      <c r="M3" s="26" t="str">
        <f>IFERROR(IF(A3="H","",IF(INDEX('Supp Consol'!F:F,MATCH(_xlfn.CONCAT(C3,"1"),'Supp Consol'!AC:AC,0))="","",INDEX('Supp Consol'!F:F,MATCH(_xlfn.CONCAT(C3,"1"),'Supp Consol'!AC:AC,0)))),"")</f>
        <v>LMSTONE</v>
      </c>
      <c r="N3" s="26" t="str">
        <f>IFERROR(IF(A3="H","",INDEX(Tables!W:W,MATCH(_xlfn.CONCAT(B3,M3),Tables!V:V,0))),"")</f>
        <v>Stone</v>
      </c>
      <c r="O3" s="26" t="str">
        <f>IFERROR(IF(A3="H","",IF(I3&gt;1,INDEX('Supp Consol'!R:R,MATCH(_xlfn.CONCAT(C3,"2"),'Supp Consol'!AC:AC,0)),"")),"")</f>
        <v/>
      </c>
      <c r="P3" s="74" t="str">
        <f>IFERROR(IF(A3="H","",IF(I3&gt;1,INDEX('Supp Consol'!S:S,MATCH(_xlfn.CONCAT(C3,"2"),'Supp Consol'!AC:AC,0)),"")),"")</f>
        <v/>
      </c>
      <c r="Q3" s="75" t="str">
        <f>IFERROR(IF(A3="H","",IF(I3&gt;1,IF(INDEX('Supp Consol'!X:X,MATCH(_xlfn.CONCAT(C3,"2"),'Supp Consol'!AC:AC,0))="","",INDEX('Supp Consol'!X:X,MATCH(_xlfn.CONCAT(C3,"2"),'Supp Consol'!AC:AC,0))),"")),"")</f>
        <v/>
      </c>
      <c r="R3" s="26" t="str">
        <f>IFERROR(IF(A3="H","",IF(I3&gt;1,IF(INDEX('Supp Consol'!F:F,MATCH(_xlfn.CONCAT(C3,"2"),'Supp Consol'!AC:AC,0))="","",INDEX('Supp Consol'!F:F,MATCH(_xlfn.CONCAT(C3,"2"),'Supp Consol'!AC:AC,0))),"")),"")</f>
        <v/>
      </c>
      <c r="S3" s="26" t="str">
        <f>IFERROR(IF(A3="H","",IF(I3&gt;1,INDEX(Tables!W:W,MATCH(_xlfn.CONCAT(B3,R3),Tables!V:V,0)),"")),"")</f>
        <v/>
      </c>
    </row>
    <row r="4" spans="1:19">
      <c r="A4" s="39" t="str">
        <f>IFERROR(INDEX(Review!AE:AE,MATCH(C4,Review!O:O,0)),"")</f>
        <v>s</v>
      </c>
      <c r="B4" s="26" t="str">
        <f>IFERROR(INDEX(Review!Q:Q,MATCH(C4,Review!O:O,0)),"")</f>
        <v>AHLST</v>
      </c>
      <c r="C4" s="26" t="s">
        <v>2527</v>
      </c>
      <c r="D4" s="26" t="str">
        <f>IFERROR(INDEX(Review!P:P,MATCH(C4,Review!O:O,0)),"")</f>
        <v>CARIBBEAN BLUE 48"</v>
      </c>
      <c r="E4" s="74">
        <f>IFERROR(INDEX(Review!AD:AD,MATCH(C4,Review!O:O,0)),"")</f>
        <v>500</v>
      </c>
      <c r="F4" s="26" t="str">
        <f t="shared" si="0"/>
        <v>7169</v>
      </c>
      <c r="G4" s="26" t="str">
        <f t="shared" si="1"/>
        <v>Stone</v>
      </c>
      <c r="H4" s="26" t="str">
        <f t="shared" si="2"/>
        <v>7169</v>
      </c>
      <c r="I4" s="76">
        <f>IFERROR(COUNTIFS('Supp Consol'!A:A,C4,'Supp Consol'!Y:Y,"Releasable"),"")</f>
        <v>1</v>
      </c>
      <c r="J4" s="26" t="str">
        <f>IFERROR(IF(A4="H","",INDEX('Supp Consol'!R:R,MATCH(_xlfn.CONCAT(C4,"1"),'Supp Consol'!AC:AC,0))),"")</f>
        <v>7169</v>
      </c>
      <c r="K4" s="74">
        <f>IFERROR(IF(A4="H","",INDEX('Supp Consol'!S:S,MATCH(_xlfn.CONCAT(C4,"1"),'Supp Consol'!AC:AC,0))),"")</f>
        <v>2114</v>
      </c>
      <c r="L4" s="75" t="str">
        <f>IFERROR(IF(A4="H","",IF(INDEX('Supp Consol'!X:X,MATCH(_xlfn.CONCAT(C4,"1"),'Supp Consol'!AC:AC,0))="","",INDEX('Supp Consol'!X:X,MATCH(_xlfn.CONCAT(C4,"1"),'Supp Consol'!AC:AC,0)))),"")</f>
        <v/>
      </c>
      <c r="M4" s="26" t="str">
        <f>IFERROR(IF(A4="H","",IF(INDEX('Supp Consol'!F:F,MATCH(_xlfn.CONCAT(C4,"1"),'Supp Consol'!AC:AC,0))="","",INDEX('Supp Consol'!F:F,MATCH(_xlfn.CONCAT(C4,"1"),'Supp Consol'!AC:AC,0)))),"")</f>
        <v>DUSTONE</v>
      </c>
      <c r="N4" s="26" t="str">
        <f>IFERROR(IF(A4="H","",INDEX(Tables!W:W,MATCH(_xlfn.CONCAT(B4,M4),Tables!V:V,0))),"")</f>
        <v>Stone</v>
      </c>
      <c r="O4" s="26" t="str">
        <f>IFERROR(IF(A4="H","",IF(I4&gt;1,INDEX('Supp Consol'!R:R,MATCH(_xlfn.CONCAT(C4,"2"),'Supp Consol'!AC:AC,0)),"")),"")</f>
        <v/>
      </c>
      <c r="P4" s="74" t="str">
        <f>IFERROR(IF(A4="H","",IF(I4&gt;1,INDEX('Supp Consol'!S:S,MATCH(_xlfn.CONCAT(C4,"2"),'Supp Consol'!AC:AC,0)),"")),"")</f>
        <v/>
      </c>
      <c r="Q4" s="75" t="str">
        <f>IFERROR(IF(A4="H","",IF(I4&gt;1,IF(INDEX('Supp Consol'!X:X,MATCH(_xlfn.CONCAT(C4,"2"),'Supp Consol'!AC:AC,0))="","",INDEX('Supp Consol'!X:X,MATCH(_xlfn.CONCAT(C4,"2"),'Supp Consol'!AC:AC,0))),"")),"")</f>
        <v/>
      </c>
      <c r="R4" s="26" t="str">
        <f>IFERROR(IF(A4="H","",IF(I4&gt;1,IF(INDEX('Supp Consol'!F:F,MATCH(_xlfn.CONCAT(C4,"2"),'Supp Consol'!AC:AC,0))="","",INDEX('Supp Consol'!F:F,MATCH(_xlfn.CONCAT(C4,"2"),'Supp Consol'!AC:AC,0))),"")),"")</f>
        <v/>
      </c>
      <c r="S4" s="26" t="str">
        <f>IFERROR(IF(A4="H","",IF(I4&gt;1,INDEX(Tables!W:W,MATCH(_xlfn.CONCAT(B4,R4),Tables!V:V,0)),"")),"")</f>
        <v/>
      </c>
    </row>
    <row r="5" spans="1:19">
      <c r="A5" s="39" t="str">
        <f>IFERROR(INDEX(Review!AE:AE,MATCH(C5,Review!O:O,0)),"")</f>
        <v>s</v>
      </c>
      <c r="B5" s="26" t="str">
        <f>IFERROR(INDEX(Review!Q:Q,MATCH(C5,Review!O:O,0)),"")</f>
        <v>AHLST</v>
      </c>
      <c r="C5" s="26" t="s">
        <v>2657</v>
      </c>
      <c r="D5" s="26" t="str">
        <f>IFERROR(INDEX(Review!P:P,MATCH(C5,Review!O:O,0)),"")</f>
        <v>FOUNDRY 60"</v>
      </c>
      <c r="E5" s="74">
        <f>IFERROR(INDEX(Review!AD:AD,MATCH(C5,Review!O:O,0)),"")</f>
        <v>500</v>
      </c>
      <c r="F5" s="26" t="str">
        <f t="shared" si="0"/>
        <v>7174</v>
      </c>
      <c r="G5" s="26" t="str">
        <f t="shared" si="1"/>
        <v>Stone</v>
      </c>
      <c r="H5" s="26" t="str">
        <f t="shared" si="2"/>
        <v>7174</v>
      </c>
      <c r="I5" s="76">
        <f>IFERROR(COUNTIFS('Supp Consol'!A:A,C5,'Supp Consol'!Y:Y,"Releasable"),"")</f>
        <v>1</v>
      </c>
      <c r="J5" s="26" t="str">
        <f>IFERROR(IF(A5="H","",INDEX('Supp Consol'!R:R,MATCH(_xlfn.CONCAT(C5,"1"),'Supp Consol'!AC:AC,0))),"")</f>
        <v>7174</v>
      </c>
      <c r="K5" s="74">
        <f>IFERROR(IF(A5="H","",INDEX('Supp Consol'!S:S,MATCH(_xlfn.CONCAT(C5,"1"),'Supp Consol'!AC:AC,0))),"")</f>
        <v>3699</v>
      </c>
      <c r="L5" s="75">
        <f>IFERROR(IF(A5="H","",IF(INDEX('Supp Consol'!X:X,MATCH(_xlfn.CONCAT(C5,"1"),'Supp Consol'!AC:AC,0))="","",INDEX('Supp Consol'!X:X,MATCH(_xlfn.CONCAT(C5,"1"),'Supp Consol'!AC:AC,0)))),"")</f>
        <v>44940</v>
      </c>
      <c r="M5" s="26" t="str">
        <f>IFERROR(IF(A5="H","",IF(INDEX('Supp Consol'!F:F,MATCH(_xlfn.CONCAT(C5,"1"),'Supp Consol'!AC:AC,0))="","",INDEX('Supp Consol'!F:F,MATCH(_xlfn.CONCAT(C5,"1"),'Supp Consol'!AC:AC,0)))),"")</f>
        <v>DUSTONE</v>
      </c>
      <c r="N5" s="26" t="str">
        <f>IFERROR(IF(A5="H","",INDEX(Tables!W:W,MATCH(_xlfn.CONCAT(B5,M5),Tables!V:V,0))),"")</f>
        <v>Stone</v>
      </c>
      <c r="O5" s="26" t="str">
        <f>IFERROR(IF(A5="H","",IF(I5&gt;1,INDEX('Supp Consol'!R:R,MATCH(_xlfn.CONCAT(C5,"2"),'Supp Consol'!AC:AC,0)),"")),"")</f>
        <v/>
      </c>
      <c r="P5" s="74" t="str">
        <f>IFERROR(IF(A5="H","",IF(I5&gt;1,INDEX('Supp Consol'!S:S,MATCH(_xlfn.CONCAT(C5,"2"),'Supp Consol'!AC:AC,0)),"")),"")</f>
        <v/>
      </c>
      <c r="Q5" s="75" t="str">
        <f>IFERROR(IF(A5="H","",IF(I5&gt;1,IF(INDEX('Supp Consol'!X:X,MATCH(_xlfn.CONCAT(C5,"2"),'Supp Consol'!AC:AC,0))="","",INDEX('Supp Consol'!X:X,MATCH(_xlfn.CONCAT(C5,"2"),'Supp Consol'!AC:AC,0))),"")),"")</f>
        <v/>
      </c>
      <c r="R5" s="26" t="str">
        <f>IFERROR(IF(A5="H","",IF(I5&gt;1,IF(INDEX('Supp Consol'!F:F,MATCH(_xlfn.CONCAT(C5,"2"),'Supp Consol'!AC:AC,0))="","",INDEX('Supp Consol'!F:F,MATCH(_xlfn.CONCAT(C5,"2"),'Supp Consol'!AC:AC,0))),"")),"")</f>
        <v/>
      </c>
      <c r="S5" s="26" t="str">
        <f>IFERROR(IF(A5="H","",IF(I5&gt;1,INDEX(Tables!W:W,MATCH(_xlfn.CONCAT(B5,R5),Tables!V:V,0)),"")),"")</f>
        <v/>
      </c>
    </row>
    <row r="6" spans="1:19">
      <c r="A6" s="39" t="str">
        <f>IFERROR(INDEX(Review!AE:AE,MATCH(C6,Review!O:O,0)),"")</f>
        <v>s</v>
      </c>
      <c r="B6" s="26" t="str">
        <f>IFERROR(INDEX(Review!Q:Q,MATCH(C6,Review!O:O,0)),"")</f>
        <v>AHLST</v>
      </c>
      <c r="C6" s="26" t="s">
        <v>2963</v>
      </c>
      <c r="D6" s="26" t="str">
        <f>IFERROR(INDEX(Review!P:P,MATCH(C6,Review!O:O,0)),"")</f>
        <v>MACCHIATO</v>
      </c>
      <c r="E6" s="74">
        <f>IFERROR(INDEX(Review!AD:AD,MATCH(C6,Review!O:O,0)),"")</f>
        <v>500</v>
      </c>
      <c r="F6" s="26" t="str">
        <f t="shared" si="0"/>
        <v>6905</v>
      </c>
      <c r="G6" s="26" t="str">
        <f t="shared" si="1"/>
        <v>Stone</v>
      </c>
      <c r="H6" s="26" t="str">
        <f t="shared" si="2"/>
        <v>6905</v>
      </c>
      <c r="I6" s="76">
        <f>IFERROR(COUNTIFS('Supp Consol'!A:A,C6,'Supp Consol'!Y:Y,"Releasable"),"")</f>
        <v>2</v>
      </c>
      <c r="J6" s="26" t="str">
        <f>IFERROR(IF(A6="H","",INDEX('Supp Consol'!R:R,MATCH(_xlfn.CONCAT(C6,"1"),'Supp Consol'!AC:AC,0))),"")</f>
        <v>6905</v>
      </c>
      <c r="K6" s="74">
        <f>IFERROR(IF(A6="H","",INDEX('Supp Consol'!S:S,MATCH(_xlfn.CONCAT(C6,"1"),'Supp Consol'!AC:AC,0))),"")</f>
        <v>4273</v>
      </c>
      <c r="L6" s="75">
        <f>IFERROR(IF(A6="H","",IF(INDEX('Supp Consol'!X:X,MATCH(_xlfn.CONCAT(C6,"1"),'Supp Consol'!AC:AC,0))="","",INDEX('Supp Consol'!X:X,MATCH(_xlfn.CONCAT(C6,"1"),'Supp Consol'!AC:AC,0)))),"")</f>
        <v>45029</v>
      </c>
      <c r="M6" s="26" t="str">
        <f>IFERROR(IF(A6="H","",IF(INDEX('Supp Consol'!F:F,MATCH(_xlfn.CONCAT(C6,"1"),'Supp Consol'!AC:AC,0))="","",INDEX('Supp Consol'!F:F,MATCH(_xlfn.CONCAT(C6,"1"),'Supp Consol'!AC:AC,0)))),"")</f>
        <v>LMSTONE</v>
      </c>
      <c r="N6" s="26" t="str">
        <f>IFERROR(IF(A6="H","",INDEX(Tables!W:W,MATCH(_xlfn.CONCAT(B6,M6),Tables!V:V,0))),"")</f>
        <v>Stone</v>
      </c>
      <c r="O6" s="26" t="str">
        <f>IFERROR(IF(A6="H","",IF(I6&gt;1,INDEX('Supp Consol'!R:R,MATCH(_xlfn.CONCAT(C6,"2"),'Supp Consol'!AC:AC,0)),"")),"")</f>
        <v>7048</v>
      </c>
      <c r="P6" s="74">
        <f>IFERROR(IF(A6="H","",IF(I6&gt;1,INDEX('Supp Consol'!S:S,MATCH(_xlfn.CONCAT(C6,"2"),'Supp Consol'!AC:AC,0)),"")),"")</f>
        <v>2412</v>
      </c>
      <c r="Q6" s="75">
        <f>IFERROR(IF(A6="H","",IF(I6&gt;1,IF(INDEX('Supp Consol'!X:X,MATCH(_xlfn.CONCAT(C6,"2"),'Supp Consol'!AC:AC,0))="","",INDEX('Supp Consol'!X:X,MATCH(_xlfn.CONCAT(C6,"2"),'Supp Consol'!AC:AC,0))),"")),"")</f>
        <v>45029</v>
      </c>
      <c r="R6" s="26" t="str">
        <f>IFERROR(IF(A6="H","",IF(I6&gt;1,IF(INDEX('Supp Consol'!F:F,MATCH(_xlfn.CONCAT(C6,"2"),'Supp Consol'!AC:AC,0))="","",INDEX('Supp Consol'!F:F,MATCH(_xlfn.CONCAT(C6,"2"),'Supp Consol'!AC:AC,0))),"")),"")</f>
        <v>LMSTONE</v>
      </c>
      <c r="S6" s="26" t="str">
        <f>IFERROR(IF(A6="H","",IF(I6&gt;1,INDEX(Tables!W:W,MATCH(_xlfn.CONCAT(B6,R6),Tables!V:V,0)),"")),"")</f>
        <v>Stone</v>
      </c>
    </row>
    <row r="7" spans="1:19">
      <c r="A7" s="39" t="str">
        <f>IFERROR(INDEX(Review!AE:AE,MATCH(C7,Review!O:O,0)),"")</f>
        <v>s</v>
      </c>
      <c r="B7" s="26" t="str">
        <f>IFERROR(INDEX(Review!Q:Q,MATCH(C7,Review!O:O,0)),"")</f>
        <v>DNP A</v>
      </c>
      <c r="C7" s="26" t="s">
        <v>3052</v>
      </c>
      <c r="D7" s="26" t="str">
        <f>IFERROR(INDEX(Review!P:P,MATCH(C7,Review!O:O,0)),"")</f>
        <v>CLEAR MAPLE 50"</v>
      </c>
      <c r="E7" s="74">
        <f>IFERROR(INDEX(Review!AD:AD,MATCH(C7,Review!O:O,0)),"")</f>
        <v>500</v>
      </c>
      <c r="F7" s="26" t="str">
        <f t="shared" si="0"/>
        <v>6961</v>
      </c>
      <c r="G7" s="26" t="str">
        <f t="shared" si="1"/>
        <v>Stone</v>
      </c>
      <c r="H7" s="26" t="str">
        <f t="shared" si="2"/>
        <v>6961</v>
      </c>
      <c r="I7" s="76">
        <f>IFERROR(COUNTIFS('Supp Consol'!A:A,C7,'Supp Consol'!Y:Y,"Releasable"),"")</f>
        <v>1</v>
      </c>
      <c r="J7" s="26" t="str">
        <f>IFERROR(IF(A7="H","",INDEX('Supp Consol'!R:R,MATCH(_xlfn.CONCAT(C7,"1"),'Supp Consol'!AC:AC,0))),"")</f>
        <v>6961</v>
      </c>
      <c r="K7" s="74">
        <f>IFERROR(IF(A7="H","",INDEX('Supp Consol'!S:S,MATCH(_xlfn.CONCAT(C7,"1"),'Supp Consol'!AC:AC,0))),"")</f>
        <v>2156</v>
      </c>
      <c r="L7" s="75">
        <f>IFERROR(IF(A7="H","",IF(INDEX('Supp Consol'!X:X,MATCH(_xlfn.CONCAT(C7,"1"),'Supp Consol'!AC:AC,0))="","",INDEX('Supp Consol'!X:X,MATCH(_xlfn.CONCAT(C7,"1"),'Supp Consol'!AC:AC,0)))),"")</f>
        <v>45000</v>
      </c>
      <c r="M7" s="26" t="str">
        <f>IFERROR(IF(A7="H","",IF(INDEX('Supp Consol'!F:F,MATCH(_xlfn.CONCAT(C7,"1"),'Supp Consol'!AC:AC,0))="","",INDEX('Supp Consol'!F:F,MATCH(_xlfn.CONCAT(C7,"1"),'Supp Consol'!AC:AC,0)))),"")</f>
        <v>New York</v>
      </c>
      <c r="N7" s="26" t="str">
        <f>IFERROR(IF(A7="H","",INDEX(Tables!W:W,MATCH(_xlfn.CONCAT(B7,M7),Tables!V:V,0))),"")</f>
        <v>Stone</v>
      </c>
      <c r="O7" s="26" t="str">
        <f>IFERROR(IF(A7="H","",IF(I7&gt;1,INDEX('Supp Consol'!R:R,MATCH(_xlfn.CONCAT(C7,"2"),'Supp Consol'!AC:AC,0)),"")),"")</f>
        <v/>
      </c>
      <c r="P7" s="74" t="str">
        <f>IFERROR(IF(A7="H","",IF(I7&gt;1,INDEX('Supp Consol'!S:S,MATCH(_xlfn.CONCAT(C7,"2"),'Supp Consol'!AC:AC,0)),"")),"")</f>
        <v/>
      </c>
      <c r="Q7" s="75" t="str">
        <f>IFERROR(IF(A7="H","",IF(I7&gt;1,IF(INDEX('Supp Consol'!X:X,MATCH(_xlfn.CONCAT(C7,"2"),'Supp Consol'!AC:AC,0))="","",INDEX('Supp Consol'!X:X,MATCH(_xlfn.CONCAT(C7,"2"),'Supp Consol'!AC:AC,0))),"")),"")</f>
        <v/>
      </c>
      <c r="R7" s="26" t="str">
        <f>IFERROR(IF(A7="H","",IF(I7&gt;1,IF(INDEX('Supp Consol'!F:F,MATCH(_xlfn.CONCAT(C7,"2"),'Supp Consol'!AC:AC,0))="","",INDEX('Supp Consol'!F:F,MATCH(_xlfn.CONCAT(C7,"2"),'Supp Consol'!AC:AC,0))),"")),"")</f>
        <v/>
      </c>
      <c r="S7" s="26" t="str">
        <f>IFERROR(IF(A7="H","",IF(I7&gt;1,INDEX(Tables!W:W,MATCH(_xlfn.CONCAT(B7,R7),Tables!V:V,0)),"")),"")</f>
        <v/>
      </c>
    </row>
    <row r="8" spans="1:19">
      <c r="A8" s="39" t="str">
        <f>IFERROR(INDEX(Review!AE:AE,MATCH(C8,Review!O:O,0)),"")</f>
        <v>s</v>
      </c>
      <c r="B8" s="26" t="str">
        <f>IFERROR(INDEX(Review!Q:Q,MATCH(C8,Review!O:O,0)),"")</f>
        <v>GLATF</v>
      </c>
      <c r="C8" s="26" t="s">
        <v>64</v>
      </c>
      <c r="D8" s="26" t="str">
        <f>IFERROR(INDEX(Review!P:P,MATCH(C8,Review!O:O,0)),"")</f>
        <v>WHITE OVERLAY HC</v>
      </c>
      <c r="E8" s="74">
        <f>IFERROR(INDEX(Review!AD:AD,MATCH(C8,Review!O:O,0)),"")</f>
        <v>1000</v>
      </c>
      <c r="F8" s="26" t="str">
        <f t="shared" si="0"/>
        <v>6962</v>
      </c>
      <c r="G8" s="26" t="str">
        <f t="shared" si="1"/>
        <v>Glatfelter</v>
      </c>
      <c r="H8" s="26" t="str">
        <f t="shared" si="2"/>
        <v>6962</v>
      </c>
      <c r="I8" s="76">
        <f>IFERROR(COUNTIFS('Supp Consol'!A:A,C8,'Supp Consol'!Y:Y,"Releasable"),"")</f>
        <v>1</v>
      </c>
      <c r="J8" s="26" t="str">
        <f>IFERROR(IF(A8="H","",INDEX('Supp Consol'!R:R,MATCH(_xlfn.CONCAT(C8,"1"),'Supp Consol'!AC:AC,0))),"")</f>
        <v>6962</v>
      </c>
      <c r="K8" s="74">
        <f>IFERROR(IF(A8="H","",INDEX('Supp Consol'!S:S,MATCH(_xlfn.CONCAT(C8,"1"),'Supp Consol'!AC:AC,0))),"")</f>
        <v>5734</v>
      </c>
      <c r="L8" s="75" t="str">
        <f>IFERROR(IF(A8="H","",IF(INDEX('Supp Consol'!X:X,MATCH(_xlfn.CONCAT(C8,"1"),'Supp Consol'!AC:AC,0))="","",INDEX('Supp Consol'!X:X,MATCH(_xlfn.CONCAT(C8,"1"),'Supp Consol'!AC:AC,0)))),"")</f>
        <v/>
      </c>
      <c r="M8" s="26" t="str">
        <f>IFERROR(IF(A8="H","",IF(INDEX('Supp Consol'!F:F,MATCH(_xlfn.CONCAT(C8,"1"),'Supp Consol'!AC:AC,0))="","",INDEX('Supp Consol'!F:F,MATCH(_xlfn.CONCAT(C8,"1"),'Supp Consol'!AC:AC,0)))),"")</f>
        <v/>
      </c>
      <c r="N8" s="26" t="str">
        <f>IFERROR(IF(A8="H","",INDEX(Tables!W:W,MATCH(_xlfn.CONCAT(B8,M8),Tables!V:V,0))),"")</f>
        <v>Glatfelter</v>
      </c>
      <c r="O8" s="26" t="str">
        <f>IFERROR(IF(A8="H","",IF(I8&gt;1,INDEX('Supp Consol'!R:R,MATCH(_xlfn.CONCAT(C8,"2"),'Supp Consol'!AC:AC,0)),"")),"")</f>
        <v/>
      </c>
      <c r="P8" s="74" t="str">
        <f>IFERROR(IF(A8="H","",IF(I8&gt;1,INDEX('Supp Consol'!S:S,MATCH(_xlfn.CONCAT(C8,"2"),'Supp Consol'!AC:AC,0)),"")),"")</f>
        <v/>
      </c>
      <c r="Q8" s="75" t="str">
        <f>IFERROR(IF(A8="H","",IF(I8&gt;1,IF(INDEX('Supp Consol'!X:X,MATCH(_xlfn.CONCAT(C8,"2"),'Supp Consol'!AC:AC,0))="","",INDEX('Supp Consol'!X:X,MATCH(_xlfn.CONCAT(C8,"2"),'Supp Consol'!AC:AC,0))),"")),"")</f>
        <v/>
      </c>
      <c r="R8" s="26" t="str">
        <f>IFERROR(IF(A8="H","",IF(I8&gt;1,IF(INDEX('Supp Consol'!F:F,MATCH(_xlfn.CONCAT(C8,"2"),'Supp Consol'!AC:AC,0))="","",INDEX('Supp Consol'!F:F,MATCH(_xlfn.CONCAT(C8,"2"),'Supp Consol'!AC:AC,0))),"")),"")</f>
        <v/>
      </c>
      <c r="S8" s="26" t="str">
        <f>IFERROR(IF(A8="H","",IF(I8&gt;1,INDEX(Tables!W:W,MATCH(_xlfn.CONCAT(B8,R8),Tables!V:V,0)),"")),"")</f>
        <v/>
      </c>
    </row>
    <row r="9" spans="1:19">
      <c r="A9" s="39" t="str">
        <f>IFERROR(INDEX(Review!AE:AE,MATCH(C9,Review!O:O,0)),"")</f>
        <v>s</v>
      </c>
      <c r="B9" s="26" t="str">
        <f>IFERROR(INDEX(Review!Q:Q,MATCH(C9,Review!O:O,0)),"")</f>
        <v>GLATF</v>
      </c>
      <c r="C9" s="26" t="s">
        <v>74</v>
      </c>
      <c r="D9" s="26" t="str">
        <f>IFERROR(INDEX(Review!P:P,MATCH(C9,Review!O:O,0)),"")</f>
        <v>HIGH WEAR OVERLAY</v>
      </c>
      <c r="E9" s="74">
        <f>IFERROR(INDEX(Review!AD:AD,MATCH(C9,Review!O:O,0)),"")</f>
        <v>1000</v>
      </c>
      <c r="F9" s="26" t="str">
        <f t="shared" si="0"/>
        <v>6980</v>
      </c>
      <c r="G9" s="26" t="str">
        <f t="shared" si="1"/>
        <v>Glatfelter</v>
      </c>
      <c r="H9" s="26" t="str">
        <f t="shared" si="2"/>
        <v>6980</v>
      </c>
      <c r="I9" s="76">
        <f>IFERROR(COUNTIFS('Supp Consol'!A:A,C9,'Supp Consol'!Y:Y,"Releasable"),"")</f>
        <v>2</v>
      </c>
      <c r="J9" s="26" t="str">
        <f>IFERROR(IF(A9="H","",INDEX('Supp Consol'!R:R,MATCH(_xlfn.CONCAT(C9,"1"),'Supp Consol'!AC:AC,0))),"")</f>
        <v>6980</v>
      </c>
      <c r="K9" s="74">
        <f>IFERROR(IF(A9="H","",INDEX('Supp Consol'!S:S,MATCH(_xlfn.CONCAT(C9,"1"),'Supp Consol'!AC:AC,0))),"")</f>
        <v>9179</v>
      </c>
      <c r="L9" s="75" t="str">
        <f>IFERROR(IF(A9="H","",IF(INDEX('Supp Consol'!X:X,MATCH(_xlfn.CONCAT(C9,"1"),'Supp Consol'!AC:AC,0))="","",INDEX('Supp Consol'!X:X,MATCH(_xlfn.CONCAT(C9,"1"),'Supp Consol'!AC:AC,0)))),"")</f>
        <v/>
      </c>
      <c r="M9" s="26" t="str">
        <f>IFERROR(IF(A9="H","",IF(INDEX('Supp Consol'!F:F,MATCH(_xlfn.CONCAT(C9,"1"),'Supp Consol'!AC:AC,0))="","",INDEX('Supp Consol'!F:F,MATCH(_xlfn.CONCAT(C9,"1"),'Supp Consol'!AC:AC,0)))),"")</f>
        <v/>
      </c>
      <c r="N9" s="26" t="str">
        <f>IFERROR(IF(A9="H","",INDEX(Tables!W:W,MATCH(_xlfn.CONCAT(B9,M9),Tables!V:V,0))),"")</f>
        <v>Glatfelter</v>
      </c>
      <c r="O9" s="26" t="str">
        <f>IFERROR(IF(A9="H","",IF(I9&gt;1,INDEX('Supp Consol'!R:R,MATCH(_xlfn.CONCAT(C9,"2"),'Supp Consol'!AC:AC,0)),"")),"")</f>
        <v>7096</v>
      </c>
      <c r="P9" s="74">
        <f>IFERROR(IF(A9="H","",IF(I9&gt;1,INDEX('Supp Consol'!S:S,MATCH(_xlfn.CONCAT(C9,"2"),'Supp Consol'!AC:AC,0)),"")),"")</f>
        <v>24277</v>
      </c>
      <c r="Q9" s="75" t="str">
        <f>IFERROR(IF(A9="H","",IF(I9&gt;1,IF(INDEX('Supp Consol'!X:X,MATCH(_xlfn.CONCAT(C9,"2"),'Supp Consol'!AC:AC,0))="","",INDEX('Supp Consol'!X:X,MATCH(_xlfn.CONCAT(C9,"2"),'Supp Consol'!AC:AC,0))),"")),"")</f>
        <v/>
      </c>
      <c r="R9" s="26" t="str">
        <f>IFERROR(IF(A9="H","",IF(I9&gt;1,IF(INDEX('Supp Consol'!F:F,MATCH(_xlfn.CONCAT(C9,"2"),'Supp Consol'!AC:AC,0))="","",INDEX('Supp Consol'!F:F,MATCH(_xlfn.CONCAT(C9,"2"),'Supp Consol'!AC:AC,0))),"")),"")</f>
        <v/>
      </c>
      <c r="S9" s="26" t="str">
        <f>IFERROR(IF(A9="H","",IF(I9&gt;1,INDEX(Tables!W:W,MATCH(_xlfn.CONCAT(B9,R9),Tables!V:V,0)),"")),"")</f>
        <v>Glatfelter</v>
      </c>
    </row>
    <row r="10" spans="1:19">
      <c r="A10" s="39" t="str">
        <f>IFERROR(INDEX(Review!AE:AE,MATCH(C10,Review!O:O,0)),"")</f>
        <v>s</v>
      </c>
      <c r="B10" s="26" t="str">
        <f>IFERROR(INDEX(Review!Q:Q,MATCH(C10,Review!O:O,0)),"")</f>
        <v>INTER</v>
      </c>
      <c r="C10" s="26" t="s">
        <v>2970</v>
      </c>
      <c r="D10" s="26" t="str">
        <f>IFERROR(INDEX(Review!P:P,MATCH(C10,Review!O:O,0)),"")</f>
        <v>VENERABLE OLD OAK</v>
      </c>
      <c r="E10" s="74">
        <f>IFERROR(INDEX(Review!AD:AD,MATCH(C10,Review!O:O,0)),"")</f>
        <v>466</v>
      </c>
      <c r="F10" s="26" t="str">
        <f t="shared" si="0"/>
        <v>6865</v>
      </c>
      <c r="G10" s="26" t="str">
        <f t="shared" si="1"/>
        <v>Interprint</v>
      </c>
      <c r="H10" s="26" t="str">
        <f t="shared" si="2"/>
        <v>6865</v>
      </c>
      <c r="I10" s="76">
        <f>IFERROR(COUNTIFS('Supp Consol'!A:A,C10,'Supp Consol'!Y:Y,"Releasable"),"")</f>
        <v>1</v>
      </c>
      <c r="J10" s="26" t="str">
        <f>IFERROR(IF(A10="H","",INDEX('Supp Consol'!R:R,MATCH(_xlfn.CONCAT(C10,"1"),'Supp Consol'!AC:AC,0))),"")</f>
        <v>6865</v>
      </c>
      <c r="K10" s="74">
        <f>IFERROR(IF(A10="H","",INDEX('Supp Consol'!S:S,MATCH(_xlfn.CONCAT(C10,"1"),'Supp Consol'!AC:AC,0))),"")</f>
        <v>466</v>
      </c>
      <c r="L10" s="75">
        <f>IFERROR(IF(A10="H","",IF(INDEX('Supp Consol'!X:X,MATCH(_xlfn.CONCAT(C10,"1"),'Supp Consol'!AC:AC,0))="","",INDEX('Supp Consol'!X:X,MATCH(_xlfn.CONCAT(C10,"1"),'Supp Consol'!AC:AC,0)))),"")</f>
        <v>44942</v>
      </c>
      <c r="M10" s="26" t="str">
        <f>IFERROR(IF(A10="H","",IF(INDEX('Supp Consol'!F:F,MATCH(_xlfn.CONCAT(C10,"1"),'Supp Consol'!AC:AC,0))="","",INDEX('Supp Consol'!F:F,MATCH(_xlfn.CONCAT(C10,"1"),'Supp Consol'!AC:AC,0)))),"")</f>
        <v/>
      </c>
      <c r="N10" s="26" t="str">
        <f>IFERROR(IF(A10="H","",INDEX(Tables!W:W,MATCH(_xlfn.CONCAT(B10,M10),Tables!V:V,0))),"")</f>
        <v>Interprint</v>
      </c>
      <c r="O10" s="26" t="str">
        <f>IFERROR(IF(A10="H","",IF(I10&gt;1,INDEX('Supp Consol'!R:R,MATCH(_xlfn.CONCAT(C10,"2"),'Supp Consol'!AC:AC,0)),"")),"")</f>
        <v/>
      </c>
      <c r="P10" s="74" t="str">
        <f>IFERROR(IF(A10="H","",IF(I10&gt;1,INDEX('Supp Consol'!S:S,MATCH(_xlfn.CONCAT(C10,"2"),'Supp Consol'!AC:AC,0)),"")),"")</f>
        <v/>
      </c>
      <c r="Q10" s="75" t="str">
        <f>IFERROR(IF(A10="H","",IF(I10&gt;1,IF(INDEX('Supp Consol'!X:X,MATCH(_xlfn.CONCAT(C10,"2"),'Supp Consol'!AC:AC,0))="","",INDEX('Supp Consol'!X:X,MATCH(_xlfn.CONCAT(C10,"2"),'Supp Consol'!AC:AC,0))),"")),"")</f>
        <v/>
      </c>
      <c r="R10" s="26" t="str">
        <f>IFERROR(IF(A10="H","",IF(I10&gt;1,IF(INDEX('Supp Consol'!F:F,MATCH(_xlfn.CONCAT(C10,"2"),'Supp Consol'!AC:AC,0))="","",INDEX('Supp Consol'!F:F,MATCH(_xlfn.CONCAT(C10,"2"),'Supp Consol'!AC:AC,0))),"")),"")</f>
        <v/>
      </c>
      <c r="S10" s="26" t="str">
        <f>IFERROR(IF(A10="H","",IF(I10&gt;1,INDEX(Tables!W:W,MATCH(_xlfn.CONCAT(B10,R10),Tables!V:V,0)),"")),"")</f>
        <v/>
      </c>
    </row>
    <row r="11" spans="1:19">
      <c r="A11" s="39" t="str">
        <f>IFERROR(INDEX(Review!AE:AE,MATCH(C11,Review!O:O,0)),"")</f>
        <v>s</v>
      </c>
      <c r="B11" s="26" t="str">
        <f>IFERROR(INDEX(Review!Q:Q,MATCH(C11,Review!O:O,0)),"")</f>
        <v>LAMIG</v>
      </c>
      <c r="C11" s="26" t="s">
        <v>1869</v>
      </c>
      <c r="D11" s="26" t="str">
        <f>IFERROR(INDEX(Review!P:P,MATCH(C11,Review!O:O,0)),"")</f>
        <v>PRALINES &amp; CREAM</v>
      </c>
      <c r="E11" s="74">
        <f>IFERROR(INDEX(Review!AD:AD,MATCH(C11,Review!O:O,0)),"")</f>
        <v>500</v>
      </c>
      <c r="F11" s="26" t="str">
        <f t="shared" si="0"/>
        <v>7090</v>
      </c>
      <c r="G11" s="26" t="str">
        <f t="shared" si="1"/>
        <v>Stone</v>
      </c>
      <c r="H11" s="26" t="str">
        <f t="shared" si="2"/>
        <v>7090</v>
      </c>
      <c r="I11" s="76">
        <f>IFERROR(COUNTIFS('Supp Consol'!A:A,C11,'Supp Consol'!Y:Y,"Releasable"),"")</f>
        <v>1</v>
      </c>
      <c r="J11" s="26" t="str">
        <f>IFERROR(IF(A11="H","",INDEX('Supp Consol'!R:R,MATCH(_xlfn.CONCAT(C11,"1"),'Supp Consol'!AC:AC,0))),"")</f>
        <v>7090</v>
      </c>
      <c r="K11" s="74">
        <f>IFERROR(IF(A11="H","",INDEX('Supp Consol'!S:S,MATCH(_xlfn.CONCAT(C11,"1"),'Supp Consol'!AC:AC,0))),"")</f>
        <v>1316</v>
      </c>
      <c r="L11" s="75">
        <f>IFERROR(IF(A11="H","",IF(INDEX('Supp Consol'!X:X,MATCH(_xlfn.CONCAT(C11,"1"),'Supp Consol'!AC:AC,0))="","",INDEX('Supp Consol'!X:X,MATCH(_xlfn.CONCAT(C11,"1"),'Supp Consol'!AC:AC,0)))),"")</f>
        <v>44620</v>
      </c>
      <c r="M11" s="26" t="str">
        <f>IFERROR(IF(A11="H","",IF(INDEX('Supp Consol'!F:F,MATCH(_xlfn.CONCAT(C11,"1"),'Supp Consol'!AC:AC,0))="","",INDEX('Supp Consol'!F:F,MATCH(_xlfn.CONCAT(C11,"1"),'Supp Consol'!AC:AC,0)))),"")</f>
        <v>Watervliet</v>
      </c>
      <c r="N11" s="26" t="str">
        <f>IFERROR(IF(A11="H","",INDEX(Tables!W:W,MATCH(_xlfn.CONCAT(B11,M11),Tables!V:V,0))),"")</f>
        <v>Stone</v>
      </c>
      <c r="O11" s="26" t="str">
        <f>IFERROR(IF(A11="H","",IF(I11&gt;1,INDEX('Supp Consol'!R:R,MATCH(_xlfn.CONCAT(C11,"2"),'Supp Consol'!AC:AC,0)),"")),"")</f>
        <v/>
      </c>
      <c r="P11" s="74" t="str">
        <f>IFERROR(IF(A11="H","",IF(I11&gt;1,INDEX('Supp Consol'!S:S,MATCH(_xlfn.CONCAT(C11,"2"),'Supp Consol'!AC:AC,0)),"")),"")</f>
        <v/>
      </c>
      <c r="Q11" s="75" t="str">
        <f>IFERROR(IF(A11="H","",IF(I11&gt;1,IF(INDEX('Supp Consol'!X:X,MATCH(_xlfn.CONCAT(C11,"2"),'Supp Consol'!AC:AC,0))="","",INDEX('Supp Consol'!X:X,MATCH(_xlfn.CONCAT(C11,"2"),'Supp Consol'!AC:AC,0))),"")),"")</f>
        <v/>
      </c>
      <c r="R11" s="26" t="str">
        <f>IFERROR(IF(A11="H","",IF(I11&gt;1,IF(INDEX('Supp Consol'!F:F,MATCH(_xlfn.CONCAT(C11,"2"),'Supp Consol'!AC:AC,0))="","",INDEX('Supp Consol'!F:F,MATCH(_xlfn.CONCAT(C11,"2"),'Supp Consol'!AC:AC,0))),"")),"")</f>
        <v/>
      </c>
      <c r="S11" s="26" t="str">
        <f>IFERROR(IF(A11="H","",IF(I11&gt;1,INDEX(Tables!W:W,MATCH(_xlfn.CONCAT(B11,R11),Tables!V:V,0)),"")),"")</f>
        <v/>
      </c>
    </row>
    <row r="12" spans="1:19">
      <c r="A12" s="39" t="str">
        <f>IFERROR(INDEX(Review!AE:AE,MATCH(C12,Review!O:O,0)),"")</f>
        <v>s</v>
      </c>
      <c r="B12" s="26" t="str">
        <f>IFERROR(INDEX(Review!Q:Q,MATCH(C12,Review!O:O,0)),"")</f>
        <v>ONYX</v>
      </c>
      <c r="C12" s="26" t="s">
        <v>69</v>
      </c>
      <c r="D12" s="26" t="str">
        <f>IFERROR(INDEX(Review!P:P,MATCH(C12,Review!O:O,0)),"")</f>
        <v>POLY OVERLAY 17# (ME</v>
      </c>
      <c r="E12" s="74">
        <f>IFERROR(INDEX(Review!AD:AD,MATCH(C12,Review!O:O,0)),"")</f>
        <v>2000</v>
      </c>
      <c r="F12" s="26" t="str">
        <f t="shared" si="0"/>
        <v>7113</v>
      </c>
      <c r="G12" s="26" t="str">
        <f t="shared" si="1"/>
        <v>Onyx</v>
      </c>
      <c r="H12" s="26" t="str">
        <f t="shared" si="2"/>
        <v>7113</v>
      </c>
      <c r="I12" s="76">
        <f>IFERROR(COUNTIFS('Supp Consol'!A:A,C12,'Supp Consol'!Y:Y,"Releasable"),"")</f>
        <v>1</v>
      </c>
      <c r="J12" s="26" t="str">
        <f>IFERROR(IF(A12="H","",INDEX('Supp Consol'!R:R,MATCH(_xlfn.CONCAT(C12,"1"),'Supp Consol'!AC:AC,0))),"")</f>
        <v>7113</v>
      </c>
      <c r="K12" s="74">
        <f>IFERROR(IF(A12="H","",INDEX('Supp Consol'!S:S,MATCH(_xlfn.CONCAT(C12,"1"),'Supp Consol'!AC:AC,0))),"")</f>
        <v>11992</v>
      </c>
      <c r="L12" s="75">
        <f>IFERROR(IF(A12="H","",IF(INDEX('Supp Consol'!X:X,MATCH(_xlfn.CONCAT(C12,"1"),'Supp Consol'!AC:AC,0))="","",INDEX('Supp Consol'!X:X,MATCH(_xlfn.CONCAT(C12,"1"),'Supp Consol'!AC:AC,0)))),"")</f>
        <v>45003</v>
      </c>
      <c r="M12" s="26" t="str">
        <f>IFERROR(IF(A12="H","",IF(INDEX('Supp Consol'!F:F,MATCH(_xlfn.CONCAT(C12,"1"),'Supp Consol'!AC:AC,0))="","",INDEX('Supp Consol'!F:F,MATCH(_xlfn.CONCAT(C12,"1"),'Supp Consol'!AC:AC,0)))),"")</f>
        <v/>
      </c>
      <c r="N12" s="26" t="str">
        <f>IFERROR(IF(A12="H","",INDEX(Tables!W:W,MATCH(_xlfn.CONCAT(B12,M12),Tables!V:V,0))),"")</f>
        <v>Onyx</v>
      </c>
      <c r="O12" s="26" t="str">
        <f>IFERROR(IF(A12="H","",IF(I12&gt;1,INDEX('Supp Consol'!R:R,MATCH(_xlfn.CONCAT(C12,"2"),'Supp Consol'!AC:AC,0)),"")),"")</f>
        <v/>
      </c>
      <c r="P12" s="74" t="str">
        <f>IFERROR(IF(A12="H","",IF(I12&gt;1,INDEX('Supp Consol'!S:S,MATCH(_xlfn.CONCAT(C12,"2"),'Supp Consol'!AC:AC,0)),"")),"")</f>
        <v/>
      </c>
      <c r="Q12" s="75" t="str">
        <f>IFERROR(IF(A12="H","",IF(I12&gt;1,IF(INDEX('Supp Consol'!X:X,MATCH(_xlfn.CONCAT(C12,"2"),'Supp Consol'!AC:AC,0))="","",INDEX('Supp Consol'!X:X,MATCH(_xlfn.CONCAT(C12,"2"),'Supp Consol'!AC:AC,0))),"")),"")</f>
        <v/>
      </c>
      <c r="R12" s="26" t="str">
        <f>IFERROR(IF(A12="H","",IF(I12&gt;1,IF(INDEX('Supp Consol'!F:F,MATCH(_xlfn.CONCAT(C12,"2"),'Supp Consol'!AC:AC,0))="","",INDEX('Supp Consol'!F:F,MATCH(_xlfn.CONCAT(C12,"2"),'Supp Consol'!AC:AC,0))),"")),"")</f>
        <v/>
      </c>
      <c r="S12" s="26" t="str">
        <f>IFERROR(IF(A12="H","",IF(I12&gt;1,INDEX(Tables!W:W,MATCH(_xlfn.CONCAT(B12,R12),Tables!V:V,0)),"")),"")</f>
        <v/>
      </c>
    </row>
    <row r="13" spans="1:19">
      <c r="A13" s="39" t="str">
        <f>IFERROR(INDEX(Review!AE:AE,MATCH(C13,Review!O:O,0)),"")</f>
        <v>s</v>
      </c>
      <c r="B13" s="26" t="str">
        <f>IFERROR(INDEX(Review!Q:Q,MATCH(C13,Review!O:O,0)),"")</f>
        <v>ONYX</v>
      </c>
      <c r="C13" s="26" t="s">
        <v>76</v>
      </c>
      <c r="D13" s="26" t="str">
        <f>IFERROR(INDEX(Review!P:P,MATCH(C13,Review!O:O,0)),"")</f>
        <v>SUPER H/W OVERLAY</v>
      </c>
      <c r="E13" s="74">
        <f>IFERROR(INDEX(Review!AD:AD,MATCH(C13,Review!O:O,0)),"")</f>
        <v>2000</v>
      </c>
      <c r="F13" s="26" t="str">
        <f t="shared" si="0"/>
        <v>7114</v>
      </c>
      <c r="G13" s="26" t="str">
        <f t="shared" si="1"/>
        <v>Onyx</v>
      </c>
      <c r="H13" s="26" t="str">
        <f t="shared" si="2"/>
        <v>7114</v>
      </c>
      <c r="I13" s="76">
        <f>IFERROR(COUNTIFS('Supp Consol'!A:A,C13,'Supp Consol'!Y:Y,"Releasable"),"")</f>
        <v>1</v>
      </c>
      <c r="J13" s="26" t="str">
        <f>IFERROR(IF(A13="H","",INDEX('Supp Consol'!R:R,MATCH(_xlfn.CONCAT(C13,"1"),'Supp Consol'!AC:AC,0))),"")</f>
        <v>7114</v>
      </c>
      <c r="K13" s="74">
        <f>IFERROR(IF(A13="H","",INDEX('Supp Consol'!S:S,MATCH(_xlfn.CONCAT(C13,"1"),'Supp Consol'!AC:AC,0))),"")</f>
        <v>14180</v>
      </c>
      <c r="L13" s="75">
        <f>IFERROR(IF(A13="H","",IF(INDEX('Supp Consol'!X:X,MATCH(_xlfn.CONCAT(C13,"1"),'Supp Consol'!AC:AC,0))="","",INDEX('Supp Consol'!X:X,MATCH(_xlfn.CONCAT(C13,"1"),'Supp Consol'!AC:AC,0)))),"")</f>
        <v>45017</v>
      </c>
      <c r="M13" s="26" t="str">
        <f>IFERROR(IF(A13="H","",IF(INDEX('Supp Consol'!F:F,MATCH(_xlfn.CONCAT(C13,"1"),'Supp Consol'!AC:AC,0))="","",INDEX('Supp Consol'!F:F,MATCH(_xlfn.CONCAT(C13,"1"),'Supp Consol'!AC:AC,0)))),"")</f>
        <v/>
      </c>
      <c r="N13" s="26" t="str">
        <f>IFERROR(IF(A13="H","",INDEX(Tables!W:W,MATCH(_xlfn.CONCAT(B13,M13),Tables!V:V,0))),"")</f>
        <v>Onyx</v>
      </c>
      <c r="O13" s="26" t="str">
        <f>IFERROR(IF(A13="H","",IF(I13&gt;1,INDEX('Supp Consol'!R:R,MATCH(_xlfn.CONCAT(C13,"2"),'Supp Consol'!AC:AC,0)),"")),"")</f>
        <v/>
      </c>
      <c r="P13" s="74" t="str">
        <f>IFERROR(IF(A13="H","",IF(I13&gt;1,INDEX('Supp Consol'!S:S,MATCH(_xlfn.CONCAT(C13,"2"),'Supp Consol'!AC:AC,0)),"")),"")</f>
        <v/>
      </c>
      <c r="Q13" s="75" t="str">
        <f>IFERROR(IF(A13="H","",IF(I13&gt;1,IF(INDEX('Supp Consol'!X:X,MATCH(_xlfn.CONCAT(C13,"2"),'Supp Consol'!AC:AC,0))="","",INDEX('Supp Consol'!X:X,MATCH(_xlfn.CONCAT(C13,"2"),'Supp Consol'!AC:AC,0))),"")),"")</f>
        <v/>
      </c>
      <c r="R13" s="26" t="str">
        <f>IFERROR(IF(A13="H","",IF(I13&gt;1,IF(INDEX('Supp Consol'!F:F,MATCH(_xlfn.CONCAT(C13,"2"),'Supp Consol'!AC:AC,0))="","",INDEX('Supp Consol'!F:F,MATCH(_xlfn.CONCAT(C13,"2"),'Supp Consol'!AC:AC,0))),"")),"")</f>
        <v/>
      </c>
      <c r="S13" s="26" t="str">
        <f>IFERROR(IF(A13="H","",IF(I13&gt;1,INDEX(Tables!W:W,MATCH(_xlfn.CONCAT(B13,R13),Tables!V:V,0)),"")),"")</f>
        <v/>
      </c>
    </row>
    <row r="14" spans="1:19">
      <c r="A14" s="39" t="str">
        <f>IFERROR(INDEX(Review!AE:AE,MATCH(C14,Review!O:O,0)),"")</f>
        <v>s</v>
      </c>
      <c r="B14" s="26" t="str">
        <f>IFERROR(INDEX(Review!Q:Q,MATCH(C14,Review!O:O,0)),"")</f>
        <v>ONYX</v>
      </c>
      <c r="C14" s="26" t="s">
        <v>80</v>
      </c>
      <c r="D14" s="26" t="str">
        <f>IFERROR(INDEX(Review!P:P,MATCH(C14,Review!O:O,0)),"")</f>
        <v>SUPER H/W OVERLAY</v>
      </c>
      <c r="E14" s="74">
        <f>IFERROR(INDEX(Review!AD:AD,MATCH(C14,Review!O:O,0)),"")</f>
        <v>1000</v>
      </c>
      <c r="F14" s="26" t="str">
        <f t="shared" si="0"/>
        <v>7114</v>
      </c>
      <c r="G14" s="26" t="str">
        <f t="shared" si="1"/>
        <v>Onyx</v>
      </c>
      <c r="H14" s="26" t="str">
        <f t="shared" si="2"/>
        <v>7114</v>
      </c>
      <c r="I14" s="76">
        <f>IFERROR(COUNTIFS('Supp Consol'!A:A,C14,'Supp Consol'!Y:Y,"Releasable"),"")</f>
        <v>1</v>
      </c>
      <c r="J14" s="26" t="str">
        <f>IFERROR(IF(A14="H","",INDEX('Supp Consol'!R:R,MATCH(_xlfn.CONCAT(C14,"1"),'Supp Consol'!AC:AC,0))),"")</f>
        <v>7114</v>
      </c>
      <c r="K14" s="74">
        <f>IFERROR(IF(A14="H","",INDEX('Supp Consol'!S:S,MATCH(_xlfn.CONCAT(C14,"1"),'Supp Consol'!AC:AC,0))),"")</f>
        <v>14194</v>
      </c>
      <c r="L14" s="75">
        <f>IFERROR(IF(A14="H","",IF(INDEX('Supp Consol'!X:X,MATCH(_xlfn.CONCAT(C14,"1"),'Supp Consol'!AC:AC,0))="","",INDEX('Supp Consol'!X:X,MATCH(_xlfn.CONCAT(C14,"1"),'Supp Consol'!AC:AC,0)))),"")</f>
        <v>45017</v>
      </c>
      <c r="M14" s="26" t="str">
        <f>IFERROR(IF(A14="H","",IF(INDEX('Supp Consol'!F:F,MATCH(_xlfn.CONCAT(C14,"1"),'Supp Consol'!AC:AC,0))="","",INDEX('Supp Consol'!F:F,MATCH(_xlfn.CONCAT(C14,"1"),'Supp Consol'!AC:AC,0)))),"")</f>
        <v/>
      </c>
      <c r="N14" s="26" t="str">
        <f>IFERROR(IF(A14="H","",INDEX(Tables!W:W,MATCH(_xlfn.CONCAT(B14,M14),Tables!V:V,0))),"")</f>
        <v>Onyx</v>
      </c>
      <c r="O14" s="26" t="str">
        <f>IFERROR(IF(A14="H","",IF(I14&gt;1,INDEX('Supp Consol'!R:R,MATCH(_xlfn.CONCAT(C14,"2"),'Supp Consol'!AC:AC,0)),"")),"")</f>
        <v/>
      </c>
      <c r="P14" s="74" t="str">
        <f>IFERROR(IF(A14="H","",IF(I14&gt;1,INDEX('Supp Consol'!S:S,MATCH(_xlfn.CONCAT(C14,"2"),'Supp Consol'!AC:AC,0)),"")),"")</f>
        <v/>
      </c>
      <c r="Q14" s="75" t="str">
        <f>IFERROR(IF(A14="H","",IF(I14&gt;1,IF(INDEX('Supp Consol'!X:X,MATCH(_xlfn.CONCAT(C14,"2"),'Supp Consol'!AC:AC,0))="","",INDEX('Supp Consol'!X:X,MATCH(_xlfn.CONCAT(C14,"2"),'Supp Consol'!AC:AC,0))),"")),"")</f>
        <v/>
      </c>
      <c r="R14" s="26" t="str">
        <f>IFERROR(IF(A14="H","",IF(I14&gt;1,IF(INDEX('Supp Consol'!F:F,MATCH(_xlfn.CONCAT(C14,"2"),'Supp Consol'!AC:AC,0))="","",INDEX('Supp Consol'!F:F,MATCH(_xlfn.CONCAT(C14,"2"),'Supp Consol'!AC:AC,0))),"")),"")</f>
        <v/>
      </c>
      <c r="S14" s="26" t="str">
        <f>IFERROR(IF(A14="H","",IF(I14&gt;1,INDEX(Tables!W:W,MATCH(_xlfn.CONCAT(B14,R14),Tables!V:V,0)),"")),"")</f>
        <v/>
      </c>
    </row>
    <row r="15" spans="1:19">
      <c r="A15" s="39" t="str">
        <f>IFERROR(INDEX(Review!AE:AE,MATCH(C15,Review!O:O,0)),"")</f>
        <v>s</v>
      </c>
      <c r="B15" s="26" t="str">
        <f>IFERROR(INDEX(Review!Q:Q,MATCH(C15,Review!O:O,0)),"")</f>
        <v>ONYX</v>
      </c>
      <c r="C15" s="26" t="s">
        <v>1500</v>
      </c>
      <c r="D15" s="26" t="str">
        <f>IFERROR(INDEX(Review!P:P,MATCH(C15,Review!O:O,0)),"")</f>
        <v>SQUASH</v>
      </c>
      <c r="E15" s="74">
        <f>IFERROR(INDEX(Review!AD:AD,MATCH(C15,Review!O:O,0)),"")</f>
        <v>500</v>
      </c>
      <c r="F15" s="26" t="str">
        <f t="shared" si="0"/>
        <v>6810</v>
      </c>
      <c r="G15" s="26" t="str">
        <f t="shared" si="1"/>
        <v>Onyx</v>
      </c>
      <c r="H15" s="26" t="str">
        <f t="shared" si="2"/>
        <v>6810</v>
      </c>
      <c r="I15" s="76">
        <f>IFERROR(COUNTIFS('Supp Consol'!A:A,C15,'Supp Consol'!Y:Y,"Releasable"),"")</f>
        <v>1</v>
      </c>
      <c r="J15" s="26" t="str">
        <f>IFERROR(IF(A15="H","",INDEX('Supp Consol'!R:R,MATCH(_xlfn.CONCAT(C15,"1"),'Supp Consol'!AC:AC,0))),"")</f>
        <v>6810</v>
      </c>
      <c r="K15" s="74">
        <f>IFERROR(IF(A15="H","",INDEX('Supp Consol'!S:S,MATCH(_xlfn.CONCAT(C15,"1"),'Supp Consol'!AC:AC,0))),"")</f>
        <v>3660</v>
      </c>
      <c r="L15" s="75">
        <f>IFERROR(IF(A15="H","",IF(INDEX('Supp Consol'!X:X,MATCH(_xlfn.CONCAT(C15,"1"),'Supp Consol'!AC:AC,0))="","",INDEX('Supp Consol'!X:X,MATCH(_xlfn.CONCAT(C15,"1"),'Supp Consol'!AC:AC,0)))),"")</f>
        <v>44948</v>
      </c>
      <c r="M15" s="26" t="str">
        <f>IFERROR(IF(A15="H","",IF(INDEX('Supp Consol'!F:F,MATCH(_xlfn.CONCAT(C15,"1"),'Supp Consol'!AC:AC,0))="","",INDEX('Supp Consol'!F:F,MATCH(_xlfn.CONCAT(C15,"1"),'Supp Consol'!AC:AC,0)))),"")</f>
        <v/>
      </c>
      <c r="N15" s="26" t="str">
        <f>IFERROR(IF(A15="H","",INDEX(Tables!W:W,MATCH(_xlfn.CONCAT(B15,M15),Tables!V:V,0))),"")</f>
        <v>Onyx</v>
      </c>
      <c r="O15" s="26" t="str">
        <f>IFERROR(IF(A15="H","",IF(I15&gt;1,INDEX('Supp Consol'!R:R,MATCH(_xlfn.CONCAT(C15,"2"),'Supp Consol'!AC:AC,0)),"")),"")</f>
        <v/>
      </c>
      <c r="P15" s="74" t="str">
        <f>IFERROR(IF(A15="H","",IF(I15&gt;1,INDEX('Supp Consol'!S:S,MATCH(_xlfn.CONCAT(C15,"2"),'Supp Consol'!AC:AC,0)),"")),"")</f>
        <v/>
      </c>
      <c r="Q15" s="75" t="str">
        <f>IFERROR(IF(A15="H","",IF(I15&gt;1,IF(INDEX('Supp Consol'!X:X,MATCH(_xlfn.CONCAT(C15,"2"),'Supp Consol'!AC:AC,0))="","",INDEX('Supp Consol'!X:X,MATCH(_xlfn.CONCAT(C15,"2"),'Supp Consol'!AC:AC,0))),"")),"")</f>
        <v/>
      </c>
      <c r="R15" s="26" t="str">
        <f>IFERROR(IF(A15="H","",IF(I15&gt;1,IF(INDEX('Supp Consol'!F:F,MATCH(_xlfn.CONCAT(C15,"2"),'Supp Consol'!AC:AC,0))="","",INDEX('Supp Consol'!F:F,MATCH(_xlfn.CONCAT(C15,"2"),'Supp Consol'!AC:AC,0))),"")),"")</f>
        <v/>
      </c>
      <c r="S15" s="26" t="str">
        <f>IFERROR(IF(A15="H","",IF(I15&gt;1,INDEX(Tables!W:W,MATCH(_xlfn.CONCAT(B15,R15),Tables!V:V,0)),"")),"")</f>
        <v/>
      </c>
    </row>
    <row r="16" spans="1:19">
      <c r="A16" s="39" t="str">
        <f>IFERROR(INDEX(Review!AE:AE,MATCH(C16,Review!O:O,0)),"")</f>
        <v>s</v>
      </c>
      <c r="B16" s="26" t="str">
        <f>IFERROR(INDEX(Review!Q:Q,MATCH(C16,Review!O:O,0)),"")</f>
        <v>ONYX</v>
      </c>
      <c r="C16" s="26" t="s">
        <v>2726</v>
      </c>
      <c r="D16" s="26" t="str">
        <f>IFERROR(INDEX(Review!P:P,MATCH(C16,Review!O:O,0)),"")</f>
        <v>WROUGHT IRON 48"</v>
      </c>
      <c r="E16" s="74">
        <f>IFERROR(INDEX(Review!AD:AD,MATCH(C16,Review!O:O,0)),"")</f>
        <v>500</v>
      </c>
      <c r="F16" s="26" t="str">
        <f t="shared" si="0"/>
        <v>7097</v>
      </c>
      <c r="G16" s="26" t="str">
        <f t="shared" si="1"/>
        <v>Onyx</v>
      </c>
      <c r="H16" s="26" t="str">
        <f t="shared" si="2"/>
        <v>7097</v>
      </c>
      <c r="I16" s="76">
        <f>IFERROR(COUNTIFS('Supp Consol'!A:A,C16,'Supp Consol'!Y:Y,"Releasable"),"")</f>
        <v>1</v>
      </c>
      <c r="J16" s="26" t="str">
        <f>IFERROR(IF(A16="H","",INDEX('Supp Consol'!R:R,MATCH(_xlfn.CONCAT(C16,"1"),'Supp Consol'!AC:AC,0))),"")</f>
        <v>7097</v>
      </c>
      <c r="K16" s="74">
        <f>IFERROR(IF(A16="H","",INDEX('Supp Consol'!S:S,MATCH(_xlfn.CONCAT(C16,"1"),'Supp Consol'!AC:AC,0))),"")</f>
        <v>5032</v>
      </c>
      <c r="L16" s="75">
        <f>IFERROR(IF(A16="H","",IF(INDEX('Supp Consol'!X:X,MATCH(_xlfn.CONCAT(C16,"1"),'Supp Consol'!AC:AC,0))="","",INDEX('Supp Consol'!X:X,MATCH(_xlfn.CONCAT(C16,"1"),'Supp Consol'!AC:AC,0)))),"")</f>
        <v>44974</v>
      </c>
      <c r="M16" s="26" t="str">
        <f>IFERROR(IF(A16="H","",IF(INDEX('Supp Consol'!F:F,MATCH(_xlfn.CONCAT(C16,"1"),'Supp Consol'!AC:AC,0))="","",INDEX('Supp Consol'!F:F,MATCH(_xlfn.CONCAT(C16,"1"),'Supp Consol'!AC:AC,0)))),"")</f>
        <v/>
      </c>
      <c r="N16" s="26" t="str">
        <f>IFERROR(IF(A16="H","",INDEX(Tables!W:W,MATCH(_xlfn.CONCAT(B16,M16),Tables!V:V,0))),"")</f>
        <v>Onyx</v>
      </c>
      <c r="O16" s="26" t="str">
        <f>IFERROR(IF(A16="H","",IF(I16&gt;1,INDEX('Supp Consol'!R:R,MATCH(_xlfn.CONCAT(C16,"2"),'Supp Consol'!AC:AC,0)),"")),"")</f>
        <v/>
      </c>
      <c r="P16" s="74" t="str">
        <f>IFERROR(IF(A16="H","",IF(I16&gt;1,INDEX('Supp Consol'!S:S,MATCH(_xlfn.CONCAT(C16,"2"),'Supp Consol'!AC:AC,0)),"")),"")</f>
        <v/>
      </c>
      <c r="Q16" s="75" t="str">
        <f>IFERROR(IF(A16="H","",IF(I16&gt;1,IF(INDEX('Supp Consol'!X:X,MATCH(_xlfn.CONCAT(C16,"2"),'Supp Consol'!AC:AC,0))="","",INDEX('Supp Consol'!X:X,MATCH(_xlfn.CONCAT(C16,"2"),'Supp Consol'!AC:AC,0))),"")),"")</f>
        <v/>
      </c>
      <c r="R16" s="26" t="str">
        <f>IFERROR(IF(A16="H","",IF(I16&gt;1,IF(INDEX('Supp Consol'!F:F,MATCH(_xlfn.CONCAT(C16,"2"),'Supp Consol'!AC:AC,0))="","",INDEX('Supp Consol'!F:F,MATCH(_xlfn.CONCAT(C16,"2"),'Supp Consol'!AC:AC,0))),"")),"")</f>
        <v/>
      </c>
      <c r="S16" s="26" t="str">
        <f>IFERROR(IF(A16="H","",IF(I16&gt;1,INDEX(Tables!W:W,MATCH(_xlfn.CONCAT(B16,R16),Tables!V:V,0)),"")),"")</f>
        <v/>
      </c>
    </row>
    <row r="17" spans="1:19">
      <c r="A17" s="39" t="str">
        <f>IFERROR(INDEX(Review!AE:AE,MATCH(C17,Review!O:O,0)),"")</f>
        <v>s</v>
      </c>
      <c r="B17" s="26" t="str">
        <f>IFERROR(INDEX(Review!Q:Q,MATCH(C17,Review!O:O,0)),"")</f>
        <v>SUDDE</v>
      </c>
      <c r="C17" s="26" t="s">
        <v>1721</v>
      </c>
      <c r="D17" s="26" t="str">
        <f>IFERROR(INDEX(Review!P:P,MATCH(C17,Review!O:O,0)),"")</f>
        <v>MURREY LANE</v>
      </c>
      <c r="E17" s="74">
        <f>IFERROR(INDEX(Review!AD:AD,MATCH(C17,Review!O:O,0)),"")</f>
        <v>500</v>
      </c>
      <c r="F17" s="26" t="str">
        <f t="shared" si="0"/>
        <v>7147</v>
      </c>
      <c r="G17" s="26" t="str">
        <f t="shared" si="1"/>
        <v>Suddekor</v>
      </c>
      <c r="H17" s="26" t="str">
        <f t="shared" si="2"/>
        <v>7147</v>
      </c>
      <c r="I17" s="76">
        <f>IFERROR(COUNTIFS('Supp Consol'!A:A,C17,'Supp Consol'!Y:Y,"Releasable"),"")</f>
        <v>1</v>
      </c>
      <c r="J17" s="26" t="str">
        <f>IFERROR(IF(A17="H","",INDEX('Supp Consol'!R:R,MATCH(_xlfn.CONCAT(C17,"1"),'Supp Consol'!AC:AC,0))),"")</f>
        <v>7147</v>
      </c>
      <c r="K17" s="74">
        <f>IFERROR(IF(A17="H","",INDEX('Supp Consol'!S:S,MATCH(_xlfn.CONCAT(C17,"1"),'Supp Consol'!AC:AC,0))),"")</f>
        <v>1163</v>
      </c>
      <c r="L17" s="75">
        <f>IFERROR(IF(A17="H","",IF(INDEX('Supp Consol'!X:X,MATCH(_xlfn.CONCAT(C17,"1"),'Supp Consol'!AC:AC,0))="","",INDEX('Supp Consol'!X:X,MATCH(_xlfn.CONCAT(C17,"1"),'Supp Consol'!AC:AC,0)))),"")</f>
        <v>45030</v>
      </c>
      <c r="M17" s="26" t="str">
        <f>IFERROR(IF(A17="H","",IF(INDEX('Supp Consol'!F:F,MATCH(_xlfn.CONCAT(C17,"1"),'Supp Consol'!AC:AC,0))="","",INDEX('Supp Consol'!F:F,MATCH(_xlfn.CONCAT(C17,"1"),'Supp Consol'!AC:AC,0)))),"")</f>
        <v>West Springfield</v>
      </c>
      <c r="N17" s="26" t="str">
        <f>IFERROR(IF(A17="H","",INDEX(Tables!W:W,MATCH(_xlfn.CONCAT(B17,M17),Tables!V:V,0))),"")</f>
        <v>Suddekor</v>
      </c>
      <c r="O17" s="26" t="str">
        <f>IFERROR(IF(A17="H","",IF(I17&gt;1,INDEX('Supp Consol'!R:R,MATCH(_xlfn.CONCAT(C17,"2"),'Supp Consol'!AC:AC,0)),"")),"")</f>
        <v/>
      </c>
      <c r="P17" s="74" t="str">
        <f>IFERROR(IF(A17="H","",IF(I17&gt;1,INDEX('Supp Consol'!S:S,MATCH(_xlfn.CONCAT(C17,"2"),'Supp Consol'!AC:AC,0)),"")),"")</f>
        <v/>
      </c>
      <c r="Q17" s="75" t="str">
        <f>IFERROR(IF(A17="H","",IF(I17&gt;1,IF(INDEX('Supp Consol'!X:X,MATCH(_xlfn.CONCAT(C17,"2"),'Supp Consol'!AC:AC,0))="","",INDEX('Supp Consol'!X:X,MATCH(_xlfn.CONCAT(C17,"2"),'Supp Consol'!AC:AC,0))),"")),"")</f>
        <v/>
      </c>
      <c r="R17" s="26" t="str">
        <f>IFERROR(IF(A17="H","",IF(I17&gt;1,IF(INDEX('Supp Consol'!F:F,MATCH(_xlfn.CONCAT(C17,"2"),'Supp Consol'!AC:AC,0))="","",INDEX('Supp Consol'!F:F,MATCH(_xlfn.CONCAT(C17,"2"),'Supp Consol'!AC:AC,0))),"")),"")</f>
        <v/>
      </c>
      <c r="S17" s="26" t="str">
        <f>IFERROR(IF(A17="H","",IF(I17&gt;1,INDEX(Tables!W:W,MATCH(_xlfn.CONCAT(B17,R17),Tables!V:V,0)),"")),"")</f>
        <v/>
      </c>
    </row>
    <row r="18" spans="1:19">
      <c r="A18" s="39" t="str">
        <f>IFERROR(INDEX(Review!AE:AE,MATCH(C18,Review!O:O,0)),"")</f>
        <v>s</v>
      </c>
      <c r="B18" s="26" t="str">
        <f>IFERROR(INDEX(Review!Q:Q,MATCH(C18,Review!O:O,0)),"")</f>
        <v>TECHN</v>
      </c>
      <c r="C18" s="26" t="s">
        <v>795</v>
      </c>
      <c r="D18" s="26" t="str">
        <f>IFERROR(INDEX(Review!P:P,MATCH(C18,Review!O:O,0)),"")</f>
        <v>FIREPLI 125#</v>
      </c>
      <c r="E18" s="74">
        <f>IFERROR(INDEX(Review!AD:AD,MATCH(C18,Review!O:O,0)),"")</f>
        <v>12000</v>
      </c>
      <c r="F18" s="26" t="str">
        <f t="shared" si="0"/>
        <v>7117</v>
      </c>
      <c r="G18" s="26" t="str">
        <f t="shared" si="1"/>
        <v>Drummondville</v>
      </c>
      <c r="H18" s="26" t="str">
        <f t="shared" si="2"/>
        <v>7117</v>
      </c>
      <c r="I18" s="76">
        <f>IFERROR(COUNTIFS('Supp Consol'!A:A,C18,'Supp Consol'!Y:Y,"Releasable"),"")</f>
        <v>1</v>
      </c>
      <c r="J18" s="26" t="str">
        <f>IFERROR(IF(A18="H","",INDEX('Supp Consol'!R:R,MATCH(_xlfn.CONCAT(C18,"1"),'Supp Consol'!AC:AC,0))),"")</f>
        <v>7117</v>
      </c>
      <c r="K18" s="74">
        <f>IFERROR(IF(A18="H","",INDEX('Supp Consol'!S:S,MATCH(_xlfn.CONCAT(C18,"1"),'Supp Consol'!AC:AC,0))),"")</f>
        <v>65782</v>
      </c>
      <c r="L18" s="75">
        <f>IFERROR(IF(A18="H","",IF(INDEX('Supp Consol'!X:X,MATCH(_xlfn.CONCAT(C18,"1"),'Supp Consol'!AC:AC,0))="","",INDEX('Supp Consol'!X:X,MATCH(_xlfn.CONCAT(C18,"1"),'Supp Consol'!AC:AC,0)))),"")</f>
        <v>44973</v>
      </c>
      <c r="M18" s="26" t="str">
        <f>IFERROR(IF(A18="H","",IF(INDEX('Supp Consol'!F:F,MATCH(_xlfn.CONCAT(C18,"1"),'Supp Consol'!AC:AC,0))="","",INDEX('Supp Consol'!F:F,MATCH(_xlfn.CONCAT(C18,"1"),'Supp Consol'!AC:AC,0)))),"")</f>
        <v>WM Standard</v>
      </c>
      <c r="N18" s="26" t="str">
        <f>IFERROR(IF(A18="H","",INDEX(Tables!W:W,MATCH(_xlfn.CONCAT(B18,M18),Tables!V:V,0))),"")</f>
        <v>Drummondville</v>
      </c>
      <c r="O18" s="26" t="str">
        <f>IFERROR(IF(A18="H","",IF(I18&gt;1,INDEX('Supp Consol'!R:R,MATCH(_xlfn.CONCAT(C18,"2"),'Supp Consol'!AC:AC,0)),"")),"")</f>
        <v/>
      </c>
      <c r="P18" s="74" t="str">
        <f>IFERROR(IF(A18="H","",IF(I18&gt;1,INDEX('Supp Consol'!S:S,MATCH(_xlfn.CONCAT(C18,"2"),'Supp Consol'!AC:AC,0)),"")),"")</f>
        <v/>
      </c>
      <c r="Q18" s="75" t="str">
        <f>IFERROR(IF(A18="H","",IF(I18&gt;1,IF(INDEX('Supp Consol'!X:X,MATCH(_xlfn.CONCAT(C18,"2"),'Supp Consol'!AC:AC,0))="","",INDEX('Supp Consol'!X:X,MATCH(_xlfn.CONCAT(C18,"2"),'Supp Consol'!AC:AC,0))),"")),"")</f>
        <v/>
      </c>
      <c r="R18" s="26" t="str">
        <f>IFERROR(IF(A18="H","",IF(I18&gt;1,IF(INDEX('Supp Consol'!F:F,MATCH(_xlfn.CONCAT(C18,"2"),'Supp Consol'!AC:AC,0))="","",INDEX('Supp Consol'!F:F,MATCH(_xlfn.CONCAT(C18,"2"),'Supp Consol'!AC:AC,0))),"")),"")</f>
        <v/>
      </c>
      <c r="S18" s="26" t="str">
        <f>IFERROR(IF(A18="H","",IF(I18&gt;1,INDEX(Tables!W:W,MATCH(_xlfn.CONCAT(B18,R18),Tables!V:V,0)),"")),"")</f>
        <v/>
      </c>
    </row>
    <row r="19" spans="1:19">
      <c r="A19" s="39" t="str">
        <f>IFERROR(INDEX(Review!AE:AE,MATCH(C19,Review!O:O,0)),"")</f>
        <v>s</v>
      </c>
      <c r="B19" s="26" t="str">
        <f>IFERROR(INDEX(Review!Q:Q,MATCH(C19,Review!O:O,0)),"")</f>
        <v>TECHN</v>
      </c>
      <c r="C19" s="26" t="s">
        <v>796</v>
      </c>
      <c r="D19" s="26" t="str">
        <f>IFERROR(INDEX(Review!P:P,MATCH(C19,Review!O:O,0)),"")</f>
        <v>FIREPLI 125#</v>
      </c>
      <c r="E19" s="74">
        <f>IFERROR(INDEX(Review!AD:AD,MATCH(C19,Review!O:O,0)),"")</f>
        <v>1000</v>
      </c>
      <c r="F19" s="26" t="str">
        <f t="shared" si="0"/>
        <v>7117</v>
      </c>
      <c r="G19" s="26" t="str">
        <f t="shared" si="1"/>
        <v>Drummondville</v>
      </c>
      <c r="H19" s="26" t="str">
        <f t="shared" si="2"/>
        <v>7117</v>
      </c>
      <c r="I19" s="76">
        <f>IFERROR(COUNTIFS('Supp Consol'!A:A,C19,'Supp Consol'!Y:Y,"Releasable"),"")</f>
        <v>1</v>
      </c>
      <c r="J19" s="26" t="str">
        <f>IFERROR(IF(A19="H","",INDEX('Supp Consol'!R:R,MATCH(_xlfn.CONCAT(C19,"1"),'Supp Consol'!AC:AC,0))),"")</f>
        <v>7117</v>
      </c>
      <c r="K19" s="74">
        <f>IFERROR(IF(A19="H","",INDEX('Supp Consol'!S:S,MATCH(_xlfn.CONCAT(C19,"1"),'Supp Consol'!AC:AC,0))),"")</f>
        <v>17304</v>
      </c>
      <c r="L19" s="75">
        <f>IFERROR(IF(A19="H","",IF(INDEX('Supp Consol'!X:X,MATCH(_xlfn.CONCAT(C19,"1"),'Supp Consol'!AC:AC,0))="","",INDEX('Supp Consol'!X:X,MATCH(_xlfn.CONCAT(C19,"1"),'Supp Consol'!AC:AC,0)))),"")</f>
        <v>44973</v>
      </c>
      <c r="M19" s="26" t="str">
        <f>IFERROR(IF(A19="H","",IF(INDEX('Supp Consol'!F:F,MATCH(_xlfn.CONCAT(C19,"1"),'Supp Consol'!AC:AC,0))="","",INDEX('Supp Consol'!F:F,MATCH(_xlfn.CONCAT(C19,"1"),'Supp Consol'!AC:AC,0)))),"")</f>
        <v>WM Standard</v>
      </c>
      <c r="N19" s="26" t="str">
        <f>IFERROR(IF(A19="H","",INDEX(Tables!W:W,MATCH(_xlfn.CONCAT(B19,M19),Tables!V:V,0))),"")</f>
        <v>Drummondville</v>
      </c>
      <c r="O19" s="26" t="str">
        <f>IFERROR(IF(A19="H","",IF(I19&gt;1,INDEX('Supp Consol'!R:R,MATCH(_xlfn.CONCAT(C19,"2"),'Supp Consol'!AC:AC,0)),"")),"")</f>
        <v/>
      </c>
      <c r="P19" s="74" t="str">
        <f>IFERROR(IF(A19="H","",IF(I19&gt;1,INDEX('Supp Consol'!S:S,MATCH(_xlfn.CONCAT(C19,"2"),'Supp Consol'!AC:AC,0)),"")),"")</f>
        <v/>
      </c>
      <c r="Q19" s="75" t="str">
        <f>IFERROR(IF(A19="H","",IF(I19&gt;1,IF(INDEX('Supp Consol'!X:X,MATCH(_xlfn.CONCAT(C19,"2"),'Supp Consol'!AC:AC,0))="","",INDEX('Supp Consol'!X:X,MATCH(_xlfn.CONCAT(C19,"2"),'Supp Consol'!AC:AC,0))),"")),"")</f>
        <v/>
      </c>
      <c r="R19" s="26" t="str">
        <f>IFERROR(IF(A19="H","",IF(I19&gt;1,IF(INDEX('Supp Consol'!F:F,MATCH(_xlfn.CONCAT(C19,"2"),'Supp Consol'!AC:AC,0))="","",INDEX('Supp Consol'!F:F,MATCH(_xlfn.CONCAT(C19,"2"),'Supp Consol'!AC:AC,0))),"")),"")</f>
        <v/>
      </c>
      <c r="S19" s="26" t="str">
        <f>IFERROR(IF(A19="H","",IF(I19&gt;1,INDEX(Tables!W:W,MATCH(_xlfn.CONCAT(B19,R19),Tables!V:V,0)),"")),"")</f>
        <v/>
      </c>
    </row>
    <row r="20" spans="1:19">
      <c r="A20" s="39" t="str">
        <f>IFERROR(INDEX(Review!AE:AE,MATCH(C20,Review!O:O,0)),"")</f>
        <v>s</v>
      </c>
      <c r="B20" s="26" t="str">
        <f>IFERROR(INDEX(Review!Q:Q,MATCH(C20,Review!O:O,0)),"")</f>
        <v>TOPPA</v>
      </c>
      <c r="C20" s="26" t="s">
        <v>352</v>
      </c>
      <c r="D20" s="26" t="str">
        <f>IFERROR(INDEX(Review!P:P,MATCH(C20,Review!O:O,0)),"")</f>
        <v>GRAPHITE TALC</v>
      </c>
      <c r="E20" s="74">
        <f>IFERROR(INDEX(Review!AD:AD,MATCH(C20,Review!O:O,0)),"")</f>
        <v>500</v>
      </c>
      <c r="F20" s="26" t="str">
        <f t="shared" si="0"/>
        <v>7086</v>
      </c>
      <c r="G20" s="26" t="str">
        <f t="shared" si="1"/>
        <v>McDonough</v>
      </c>
      <c r="H20" s="26" t="str">
        <f t="shared" si="2"/>
        <v>7086</v>
      </c>
      <c r="I20" s="76">
        <f>IFERROR(COUNTIFS('Supp Consol'!A:A,C20,'Supp Consol'!Y:Y,"Releasable"),"")</f>
        <v>1</v>
      </c>
      <c r="J20" s="26" t="str">
        <f>IFERROR(IF(A20="H","",INDEX('Supp Consol'!R:R,MATCH(_xlfn.CONCAT(C20,"1"),'Supp Consol'!AC:AC,0))),"")</f>
        <v>7086</v>
      </c>
      <c r="K20" s="74">
        <f>IFERROR(IF(A20="H","",INDEX('Supp Consol'!S:S,MATCH(_xlfn.CONCAT(C20,"1"),'Supp Consol'!AC:AC,0))),"")</f>
        <v>3001</v>
      </c>
      <c r="L20" s="75">
        <f>IFERROR(IF(A20="H","",IF(INDEX('Supp Consol'!X:X,MATCH(_xlfn.CONCAT(C20,"1"),'Supp Consol'!AC:AC,0))="","",INDEX('Supp Consol'!X:X,MATCH(_xlfn.CONCAT(C20,"1"),'Supp Consol'!AC:AC,0)))),"")</f>
        <v>44985</v>
      </c>
      <c r="M20" s="26" t="str">
        <f>IFERROR(IF(A20="H","",IF(INDEX('Supp Consol'!F:F,MATCH(_xlfn.CONCAT(C20,"1"),'Supp Consol'!AC:AC,0))="","",INDEX('Supp Consol'!F:F,MATCH(_xlfn.CONCAT(C20,"1"),'Supp Consol'!AC:AC,0)))),"")</f>
        <v>McDonough</v>
      </c>
      <c r="N20" s="26" t="str">
        <f>IFERROR(IF(A20="H","",INDEX(Tables!W:W,MATCH(_xlfn.CONCAT(B20,M20),Tables!V:V,0))),"")</f>
        <v>McDonough</v>
      </c>
      <c r="O20" s="26" t="str">
        <f>IFERROR(IF(A20="H","",IF(I20&gt;1,INDEX('Supp Consol'!R:R,MATCH(_xlfn.CONCAT(C20,"2"),'Supp Consol'!AC:AC,0)),"")),"")</f>
        <v/>
      </c>
      <c r="P20" s="74" t="str">
        <f>IFERROR(IF(A20="H","",IF(I20&gt;1,INDEX('Supp Consol'!S:S,MATCH(_xlfn.CONCAT(C20,"2"),'Supp Consol'!AC:AC,0)),"")),"")</f>
        <v/>
      </c>
      <c r="Q20" s="75" t="str">
        <f>IFERROR(IF(A20="H","",IF(I20&gt;1,IF(INDEX('Supp Consol'!X:X,MATCH(_xlfn.CONCAT(C20,"2"),'Supp Consol'!AC:AC,0))="","",INDEX('Supp Consol'!X:X,MATCH(_xlfn.CONCAT(C20,"2"),'Supp Consol'!AC:AC,0))),"")),"")</f>
        <v/>
      </c>
      <c r="R20" s="26" t="str">
        <f>IFERROR(IF(A20="H","",IF(I20&gt;1,IF(INDEX('Supp Consol'!F:F,MATCH(_xlfn.CONCAT(C20,"2"),'Supp Consol'!AC:AC,0))="","",INDEX('Supp Consol'!F:F,MATCH(_xlfn.CONCAT(C20,"2"),'Supp Consol'!AC:AC,0))),"")),"")</f>
        <v/>
      </c>
      <c r="S20" s="26" t="str">
        <f>IFERROR(IF(A20="H","",IF(I20&gt;1,INDEX(Tables!W:W,MATCH(_xlfn.CONCAT(B20,R20),Tables!V:V,0)),"")),"")</f>
        <v/>
      </c>
    </row>
    <row r="21" spans="1:19">
      <c r="A21" s="39" t="str">
        <f>IFERROR(INDEX(Review!AE:AE,MATCH(C21,Review!O:O,0)),"")</f>
        <v>s</v>
      </c>
      <c r="B21" s="26" t="str">
        <f>IFERROR(INDEX(Review!Q:Q,MATCH(C21,Review!O:O,0)),"")</f>
        <v>TOPPA</v>
      </c>
      <c r="C21" s="26" t="s">
        <v>2006</v>
      </c>
      <c r="D21" s="26" t="str">
        <f>IFERROR(INDEX(Review!P:P,MATCH(C21,Review!O:O,0)),"")</f>
        <v>ABSOLUTE ACAJOU</v>
      </c>
      <c r="E21" s="74">
        <f>IFERROR(INDEX(Review!AD:AD,MATCH(C21,Review!O:O,0)),"")</f>
        <v>500</v>
      </c>
      <c r="F21" s="26" t="str">
        <f t="shared" si="0"/>
        <v>7064</v>
      </c>
      <c r="G21" s="26" t="str">
        <f t="shared" si="1"/>
        <v>ADP</v>
      </c>
      <c r="H21" s="26" t="str">
        <f t="shared" si="2"/>
        <v>7064</v>
      </c>
      <c r="I21" s="76">
        <f>IFERROR(COUNTIFS('Supp Consol'!A:A,C21,'Supp Consol'!Y:Y,"Releasable"),"")</f>
        <v>1</v>
      </c>
      <c r="J21" s="26" t="str">
        <f>IFERROR(IF(A21="H","",INDEX('Supp Consol'!R:R,MATCH(_xlfn.CONCAT(C21,"1"),'Supp Consol'!AC:AC,0))),"")</f>
        <v>7064</v>
      </c>
      <c r="K21" s="74">
        <f>IFERROR(IF(A21="H","",INDEX('Supp Consol'!S:S,MATCH(_xlfn.CONCAT(C21,"1"),'Supp Consol'!AC:AC,0))),"")</f>
        <v>49705</v>
      </c>
      <c r="L21" s="75">
        <f>IFERROR(IF(A21="H","",IF(INDEX('Supp Consol'!X:X,MATCH(_xlfn.CONCAT(C21,"1"),'Supp Consol'!AC:AC,0))="","",INDEX('Supp Consol'!X:X,MATCH(_xlfn.CONCAT(C21,"1"),'Supp Consol'!AC:AC,0)))),"")</f>
        <v>44992</v>
      </c>
      <c r="M21" s="26" t="str">
        <f>IFERROR(IF(A21="H","",IF(INDEX('Supp Consol'!F:F,MATCH(_xlfn.CONCAT(C21,"1"),'Supp Consol'!AC:AC,0))="","",INDEX('Supp Consol'!F:F,MATCH(_xlfn.CONCAT(C21,"1"),'Supp Consol'!AC:AC,0)))),"")</f>
        <v>New Holland</v>
      </c>
      <c r="N21" s="26" t="str">
        <f>IFERROR(IF(A21="H","",INDEX(Tables!W:W,MATCH(_xlfn.CONCAT(B21,M21),Tables!V:V,0))),"")</f>
        <v>ADP</v>
      </c>
      <c r="O21" s="26" t="str">
        <f>IFERROR(IF(A21="H","",IF(I21&gt;1,INDEX('Supp Consol'!R:R,MATCH(_xlfn.CONCAT(C21,"2"),'Supp Consol'!AC:AC,0)),"")),"")</f>
        <v/>
      </c>
      <c r="P21" s="74" t="str">
        <f>IFERROR(IF(A21="H","",IF(I21&gt;1,INDEX('Supp Consol'!S:S,MATCH(_xlfn.CONCAT(C21,"2"),'Supp Consol'!AC:AC,0)),"")),"")</f>
        <v/>
      </c>
      <c r="Q21" s="75" t="str">
        <f>IFERROR(IF(A21="H","",IF(I21&gt;1,IF(INDEX('Supp Consol'!X:X,MATCH(_xlfn.CONCAT(C21,"2"),'Supp Consol'!AC:AC,0))="","",INDEX('Supp Consol'!X:X,MATCH(_xlfn.CONCAT(C21,"2"),'Supp Consol'!AC:AC,0))),"")),"")</f>
        <v/>
      </c>
      <c r="R21" s="26" t="str">
        <f>IFERROR(IF(A21="H","",IF(I21&gt;1,IF(INDEX('Supp Consol'!F:F,MATCH(_xlfn.CONCAT(C21,"2"),'Supp Consol'!AC:AC,0))="","",INDEX('Supp Consol'!F:F,MATCH(_xlfn.CONCAT(C21,"2"),'Supp Consol'!AC:AC,0))),"")),"")</f>
        <v/>
      </c>
      <c r="S21" s="26" t="str">
        <f>IFERROR(IF(A21="H","",IF(I21&gt;1,INDEX(Tables!W:W,MATCH(_xlfn.CONCAT(B21,R21),Tables!V:V,0)),"")),"")</f>
        <v/>
      </c>
    </row>
    <row r="22" spans="1:19">
      <c r="A22" s="39" t="str">
        <f>IFERROR(INDEX(Review!AE:AE,MATCH(C22,Review!O:O,0)),"")</f>
        <v>s</v>
      </c>
      <c r="B22" s="26" t="str">
        <f>IFERROR(INDEX(Review!Q:Q,MATCH(C22,Review!O:O,0)),"")</f>
        <v>TOPPA</v>
      </c>
      <c r="C22" s="26" t="s">
        <v>2193</v>
      </c>
      <c r="D22" s="26" t="str">
        <f>IFERROR(INDEX(Review!P:P,MATCH(C22,Review!O:O,0)),"")</f>
        <v>W GRAY GRANITE</v>
      </c>
      <c r="E22" s="74">
        <f>IFERROR(INDEX(Review!AD:AD,MATCH(C22,Review!O:O,0)),"")</f>
        <v>500</v>
      </c>
      <c r="F22" s="26" t="str">
        <f t="shared" si="0"/>
        <v>7088</v>
      </c>
      <c r="G22" s="26" t="str">
        <f t="shared" ref="G22:G24" si="3">IFERROR(IF(A22="H","Huntsville",IFERROR(IF(F22="","",INDEX(N:N,MATCH(F22,J:J,0))),INDEX(S:S,MATCH(F22,O:O,0)))),"")</f>
        <v>McDonough</v>
      </c>
      <c r="H22" s="240" t="s">
        <v>3962</v>
      </c>
      <c r="I22" s="76">
        <f>IFERROR(COUNTIFS('Supp Consol'!A:A,C22,'Supp Consol'!Y:Y,"Releasable"),"")</f>
        <v>0</v>
      </c>
      <c r="J22" s="26" t="str">
        <f>IFERROR(IF(A22="H","",INDEX('Supp Consol'!R:R,MATCH(_xlfn.CONCAT(C22,"1"),'Supp Consol'!AC:AC,0))),"")</f>
        <v>7088</v>
      </c>
      <c r="K22" s="74">
        <f>IFERROR(IF(A22="H","",INDEX('Supp Consol'!S:S,MATCH(_xlfn.CONCAT(C22,"1"),'Supp Consol'!AC:AC,0))),"")</f>
        <v>0</v>
      </c>
      <c r="L22" s="75" t="str">
        <f>IFERROR(IF(A22="H","",IF(INDEX('Supp Consol'!X:X,MATCH(_xlfn.CONCAT(C22,"1"),'Supp Consol'!AC:AC,0))="","",INDEX('Supp Consol'!X:X,MATCH(_xlfn.CONCAT(C22,"1"),'Supp Consol'!AC:AC,0)))),"")</f>
        <v/>
      </c>
      <c r="M22" s="26" t="str">
        <f>IFERROR(IF(A22="H","",IF(INDEX('Supp Consol'!F:F,MATCH(_xlfn.CONCAT(C22,"1"),'Supp Consol'!AC:AC,0))="","",INDEX('Supp Consol'!F:F,MATCH(_xlfn.CONCAT(C22,"1"),'Supp Consol'!AC:AC,0)))),"")</f>
        <v xml:space="preserve"> </v>
      </c>
      <c r="N22" s="26" t="s">
        <v>3914</v>
      </c>
      <c r="O22" s="26" t="str">
        <f>IFERROR(IF(A22="H","",IF(I22&gt;1,INDEX('Supp Consol'!R:R,MATCH(_xlfn.CONCAT(C22,"2"),'Supp Consol'!AC:AC,0)),"")),"")</f>
        <v/>
      </c>
      <c r="P22" s="74" t="str">
        <f>IFERROR(IF(A22="H","",IF(I22&gt;1,INDEX('Supp Consol'!S:S,MATCH(_xlfn.CONCAT(C22,"2"),'Supp Consol'!AC:AC,0)),"")),"")</f>
        <v/>
      </c>
      <c r="Q22" s="75" t="str">
        <f>IFERROR(IF(A22="H","",IF(I22&gt;1,IF(INDEX('Supp Consol'!X:X,MATCH(_xlfn.CONCAT(C22,"2"),'Supp Consol'!AC:AC,0))="","",INDEX('Supp Consol'!X:X,MATCH(_xlfn.CONCAT(C22,"2"),'Supp Consol'!AC:AC,0))),"")),"")</f>
        <v/>
      </c>
      <c r="R22" s="26" t="str">
        <f>IFERROR(IF(A22="H","",IF(I22&gt;1,IF(INDEX('Supp Consol'!F:F,MATCH(_xlfn.CONCAT(C22,"2"),'Supp Consol'!AC:AC,0))="","",INDEX('Supp Consol'!F:F,MATCH(_xlfn.CONCAT(C22,"2"),'Supp Consol'!AC:AC,0))),"")),"")</f>
        <v/>
      </c>
      <c r="S22" s="26" t="str">
        <f>IFERROR(IF(A22="H","",IF(I22&gt;1,INDEX(Tables!W:W,MATCH(_xlfn.CONCAT(B22,R22),Tables!V:V,0)),"")),"")</f>
        <v/>
      </c>
    </row>
    <row r="23" spans="1:19">
      <c r="A23" s="39" t="str">
        <f>IFERROR(INDEX(Review!AE:AE,MATCH(C23,Review!O:O,0)),"")</f>
        <v>s</v>
      </c>
      <c r="B23" s="26" t="str">
        <f>IFERROR(INDEX(Review!Q:Q,MATCH(C23,Review!O:O,0)),"")</f>
        <v>TOPPA</v>
      </c>
      <c r="C23" s="26" t="s">
        <v>2196</v>
      </c>
      <c r="D23" s="26" t="str">
        <f>IFERROR(INDEX(Review!P:P,MATCH(C23,Review!O:O,0)),"")</f>
        <v>W GRAY GRANITE</v>
      </c>
      <c r="E23" s="74">
        <f>IFERROR(INDEX(Review!AD:AD,MATCH(C23,Review!O:O,0)),"")</f>
        <v>1000</v>
      </c>
      <c r="F23" s="26" t="str">
        <f t="shared" si="0"/>
        <v>7088</v>
      </c>
      <c r="G23" s="26" t="str">
        <f t="shared" si="3"/>
        <v>McDonough</v>
      </c>
      <c r="H23" s="240" t="s">
        <v>3962</v>
      </c>
      <c r="I23" s="76">
        <f>IFERROR(COUNTIFS('Supp Consol'!A:A,C23,'Supp Consol'!Y:Y,"Releasable"),"")</f>
        <v>0</v>
      </c>
      <c r="J23" s="26" t="str">
        <f>IFERROR(IF(A23="H","",INDEX('Supp Consol'!R:R,MATCH(_xlfn.CONCAT(C23,"1"),'Supp Consol'!AC:AC,0))),"")</f>
        <v>7088</v>
      </c>
      <c r="K23" s="74">
        <f>IFERROR(IF(A23="H","",INDEX('Supp Consol'!S:S,MATCH(_xlfn.CONCAT(C23,"1"),'Supp Consol'!AC:AC,0))),"")</f>
        <v>0</v>
      </c>
      <c r="L23" s="75" t="str">
        <f>IFERROR(IF(A23="H","",IF(INDEX('Supp Consol'!X:X,MATCH(_xlfn.CONCAT(C23,"1"),'Supp Consol'!AC:AC,0))="","",INDEX('Supp Consol'!X:X,MATCH(_xlfn.CONCAT(C23,"1"),'Supp Consol'!AC:AC,0)))),"")</f>
        <v/>
      </c>
      <c r="M23" s="26" t="str">
        <f>IFERROR(IF(A23="H","",IF(INDEX('Supp Consol'!F:F,MATCH(_xlfn.CONCAT(C23,"1"),'Supp Consol'!AC:AC,0))="","",INDEX('Supp Consol'!F:F,MATCH(_xlfn.CONCAT(C23,"1"),'Supp Consol'!AC:AC,0)))),"")</f>
        <v xml:space="preserve"> </v>
      </c>
      <c r="N23" s="26" t="s">
        <v>3914</v>
      </c>
      <c r="O23" s="26" t="str">
        <f>IFERROR(IF(A23="H","",IF(I23&gt;1,INDEX('Supp Consol'!R:R,MATCH(_xlfn.CONCAT(C23,"2"),'Supp Consol'!AC:AC,0)),"")),"")</f>
        <v/>
      </c>
      <c r="P23" s="74" t="str">
        <f>IFERROR(IF(A23="H","",IF(I23&gt;1,INDEX('Supp Consol'!S:S,MATCH(_xlfn.CONCAT(C23,"2"),'Supp Consol'!AC:AC,0)),"")),"")</f>
        <v/>
      </c>
      <c r="Q23" s="75" t="str">
        <f>IFERROR(IF(A23="H","",IF(I23&gt;1,IF(INDEX('Supp Consol'!X:X,MATCH(_xlfn.CONCAT(C23,"2"),'Supp Consol'!AC:AC,0))="","",INDEX('Supp Consol'!X:X,MATCH(_xlfn.CONCAT(C23,"2"),'Supp Consol'!AC:AC,0))),"")),"")</f>
        <v/>
      </c>
      <c r="R23" s="26" t="str">
        <f>IFERROR(IF(A23="H","",IF(I23&gt;1,IF(INDEX('Supp Consol'!F:F,MATCH(_xlfn.CONCAT(C23,"2"),'Supp Consol'!AC:AC,0))="","",INDEX('Supp Consol'!F:F,MATCH(_xlfn.CONCAT(C23,"2"),'Supp Consol'!AC:AC,0))),"")),"")</f>
        <v/>
      </c>
      <c r="S23" s="26" t="str">
        <f>IFERROR(IF(A23="H","",IF(I23&gt;1,INDEX(Tables!W:W,MATCH(_xlfn.CONCAT(B23,R23),Tables!V:V,0)),"")),"")</f>
        <v/>
      </c>
    </row>
    <row r="24" spans="1:19">
      <c r="A24" s="39" t="str">
        <f>IFERROR(INDEX(Review!AE:AE,MATCH(C24,Review!O:O,0)),"")</f>
        <v>s</v>
      </c>
      <c r="B24" s="26" t="str">
        <f>IFERROR(INDEX(Review!Q:Q,MATCH(C24,Review!O:O,0)),"")</f>
        <v>TOPPA</v>
      </c>
      <c r="C24" s="26" t="s">
        <v>2867</v>
      </c>
      <c r="D24" s="26" t="str">
        <f>IFERROR(INDEX(Review!P:P,MATCH(C24,Review!O:O,0)),"")</f>
        <v>VANILLA BEAN</v>
      </c>
      <c r="E24" s="74">
        <f>IFERROR(INDEX(Review!AD:AD,MATCH(C24,Review!O:O,0)),"")</f>
        <v>500</v>
      </c>
      <c r="F24" s="26" t="str">
        <f t="shared" si="0"/>
        <v>7088</v>
      </c>
      <c r="G24" s="26" t="str">
        <f t="shared" si="3"/>
        <v>McDonough</v>
      </c>
      <c r="H24" s="240" t="s">
        <v>3962</v>
      </c>
      <c r="I24" s="76">
        <f>IFERROR(COUNTIFS('Supp Consol'!A:A,C24,'Supp Consol'!Y:Y,"Releasable"),"")</f>
        <v>1</v>
      </c>
      <c r="J24" s="26" t="str">
        <f>IFERROR(IF(A24="H","",INDEX('Supp Consol'!R:R,MATCH(_xlfn.CONCAT(C24,"1"),'Supp Consol'!AC:AC,0))),"")</f>
        <v>7088</v>
      </c>
      <c r="K24" s="74">
        <f>IFERROR(IF(A24="H","",INDEX('Supp Consol'!S:S,MATCH(_xlfn.CONCAT(C24,"1"),'Supp Consol'!AC:AC,0))),"")</f>
        <v>3128</v>
      </c>
      <c r="L24" s="75">
        <f>IFERROR(IF(A24="H","",IF(INDEX('Supp Consol'!X:X,MATCH(_xlfn.CONCAT(C24,"1"),'Supp Consol'!AC:AC,0))="","",INDEX('Supp Consol'!X:X,MATCH(_xlfn.CONCAT(C24,"1"),'Supp Consol'!AC:AC,0)))),"")</f>
        <v>45062</v>
      </c>
      <c r="M24" s="26" t="str">
        <f>IFERROR(IF(A24="H","",IF(INDEX('Supp Consol'!F:F,MATCH(_xlfn.CONCAT(C24,"1"),'Supp Consol'!AC:AC,0))="","",INDEX('Supp Consol'!F:F,MATCH(_xlfn.CONCAT(C24,"1"),'Supp Consol'!AC:AC,0)))),"")</f>
        <v>McDonough</v>
      </c>
      <c r="N24" s="26" t="str">
        <f>IFERROR(IF(A24="H","",INDEX(Tables!W:W,MATCH(_xlfn.CONCAT(B24,M24),Tables!V:V,0))),"")</f>
        <v>McDonough</v>
      </c>
      <c r="O24" s="26" t="str">
        <f>IFERROR(IF(A24="H","",IF(I24&gt;1,INDEX('Supp Consol'!R:R,MATCH(_xlfn.CONCAT(C24,"2"),'Supp Consol'!AC:AC,0)),"")),"")</f>
        <v/>
      </c>
      <c r="P24" s="74" t="str">
        <f>IFERROR(IF(A24="H","",IF(I24&gt;1,INDEX('Supp Consol'!S:S,MATCH(_xlfn.CONCAT(C24,"2"),'Supp Consol'!AC:AC,0)),"")),"")</f>
        <v/>
      </c>
      <c r="Q24" s="75" t="str">
        <f>IFERROR(IF(A24="H","",IF(I24&gt;1,IF(INDEX('Supp Consol'!X:X,MATCH(_xlfn.CONCAT(C24,"2"),'Supp Consol'!AC:AC,0))="","",INDEX('Supp Consol'!X:X,MATCH(_xlfn.CONCAT(C24,"2"),'Supp Consol'!AC:AC,0))),"")),"")</f>
        <v/>
      </c>
      <c r="R24" s="26" t="str">
        <f>IFERROR(IF(A24="H","",IF(I24&gt;1,IF(INDEX('Supp Consol'!F:F,MATCH(_xlfn.CONCAT(C24,"2"),'Supp Consol'!AC:AC,0))="","",INDEX('Supp Consol'!F:F,MATCH(_xlfn.CONCAT(C24,"2"),'Supp Consol'!AC:AC,0))),"")),"")</f>
        <v/>
      </c>
      <c r="S24" s="26" t="str">
        <f>IFERROR(IF(A24="H","",IF(I24&gt;1,INDEX(Tables!W:W,MATCH(_xlfn.CONCAT(B24,R24),Tables!V:V,0)),"")),"")</f>
        <v/>
      </c>
    </row>
    <row r="25" spans="1:19">
      <c r="B25" s="241" t="s">
        <v>1027</v>
      </c>
      <c r="C25" s="241" t="s">
        <v>1874</v>
      </c>
      <c r="D25" s="26" t="s">
        <v>1873</v>
      </c>
      <c r="E25" s="74">
        <v>500</v>
      </c>
      <c r="F25" s="26" t="str">
        <f t="shared" si="0"/>
        <v>7060</v>
      </c>
      <c r="G25" s="26" t="s">
        <v>5445</v>
      </c>
      <c r="H25" s="240" t="s">
        <v>4277</v>
      </c>
    </row>
    <row r="26" spans="1:19">
      <c r="B26" s="241" t="s">
        <v>275</v>
      </c>
      <c r="C26" s="241" t="s">
        <v>1725</v>
      </c>
      <c r="D26" s="26" t="s">
        <v>1726</v>
      </c>
      <c r="F26" s="26" t="str">
        <f t="shared" si="0"/>
        <v>7147</v>
      </c>
      <c r="G26" s="26" t="s">
        <v>3882</v>
      </c>
      <c r="H26" s="240" t="s">
        <v>5372</v>
      </c>
    </row>
    <row r="27" spans="1:19">
      <c r="B27" s="241" t="s">
        <v>110</v>
      </c>
      <c r="C27" s="241" t="s">
        <v>1106</v>
      </c>
      <c r="D27" s="26" t="s">
        <v>1104</v>
      </c>
      <c r="E27" s="74">
        <v>1500</v>
      </c>
      <c r="F27" s="26" t="s">
        <v>4149</v>
      </c>
      <c r="G27" s="26" t="s">
        <v>893</v>
      </c>
    </row>
    <row r="28" spans="1:19">
      <c r="B28" s="26" t="s">
        <v>101</v>
      </c>
      <c r="C28" s="26" t="s">
        <v>102</v>
      </c>
      <c r="D28" s="26" t="s">
        <v>100</v>
      </c>
      <c r="E28" s="74">
        <v>2500</v>
      </c>
      <c r="F28" s="240" t="s">
        <v>7556</v>
      </c>
      <c r="G28" s="26" t="s">
        <v>5443</v>
      </c>
    </row>
  </sheetData>
  <sortState xmlns:xlrd2="http://schemas.microsoft.com/office/spreadsheetml/2017/richdata2" ref="A2:S1164">
    <sortCondition ref="A2:A1164"/>
    <sortCondition ref="B2:B1164"/>
    <sortCondition ref="C2:C1164"/>
  </sortState>
  <conditionalFormatting sqref="H1:H1048576">
    <cfRule type="expression" dxfId="1051" priority="4">
      <formula>AND($C1&lt;&gt;"",$H1="")</formula>
    </cfRule>
  </conditionalFormatting>
  <conditionalFormatting sqref="B1:B1048576">
    <cfRule type="containsText" dxfId="1050" priority="1" operator="containsText" text="panol">
      <formula>NOT(ISERROR(SEARCH("panol",B1)))</formula>
    </cfRule>
    <cfRule type="expression" dxfId="1049" priority="3">
      <formula>AND($C1&lt;&gt;"",$B1=0)</formula>
    </cfRule>
  </conditionalFormatting>
  <conditionalFormatting sqref="G1:G1048576">
    <cfRule type="expression" dxfId="1048" priority="2">
      <formula>AND($C1&lt;&gt;"",$G1="")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FAB79-7F54-4853-9EFA-26FA53C39561}">
  <sheetPr codeName="Sheet24">
    <tabColor theme="6" tint="-0.249977111117893"/>
    <pageSetUpPr fitToPage="1"/>
  </sheetPr>
  <dimension ref="A1:J3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3.140625" style="205" customWidth="1"/>
    <col min="2" max="2" width="30.85546875" style="1" customWidth="1"/>
    <col min="3" max="4" width="11.5703125" style="84" customWidth="1"/>
    <col min="5" max="5" width="11.85546875" style="212" customWidth="1"/>
    <col min="6" max="6" width="56.140625" style="204" customWidth="1"/>
    <col min="7" max="7" width="1.5703125" style="1" customWidth="1"/>
    <col min="8" max="8" width="9.5703125" style="208" customWidth="1"/>
    <col min="9" max="16384" width="9.140625" style="1"/>
  </cols>
  <sheetData>
    <row r="1" spans="1:10" ht="64.5" customHeight="1">
      <c r="A1" s="203" t="s">
        <v>1</v>
      </c>
      <c r="B1" s="203" t="s">
        <v>3499</v>
      </c>
      <c r="C1" s="189" t="s">
        <v>6291</v>
      </c>
      <c r="D1" s="206" t="s">
        <v>6290</v>
      </c>
      <c r="E1" s="211" t="s">
        <v>6288</v>
      </c>
      <c r="F1" s="203" t="s">
        <v>3523</v>
      </c>
      <c r="H1" s="207">
        <f ca="1">TODAY()</f>
        <v>44935</v>
      </c>
      <c r="I1" s="187"/>
      <c r="J1" s="187"/>
    </row>
    <row r="2" spans="1:10">
      <c r="A2" s="205" cm="1">
        <f t="array" ref="A2">_xlfn.UNIQUE(_xlfn._xlws.FILTER(Result!C:C,(Result!C:C&lt;&gt;"")=(Result!H:H="HUN"),""))</f>
        <v>0</v>
      </c>
      <c r="B2" s="205" t="str">
        <f>IFERROR(INDEX(Result!D:D,MATCH(A2,Result!C:C,0)),"")</f>
        <v/>
      </c>
      <c r="C2" s="84" t="str">
        <f>IFERROR(INDEX(Result!E:E,MATCH(A2,Result!C:C,0)),"")</f>
        <v/>
      </c>
    </row>
    <row r="3" spans="1:10">
      <c r="B3" s="205" t="str">
        <f>IFERROR(INDEX(Result!D:D,MATCH(A3,Result!C:C,0)),"")</f>
        <v/>
      </c>
      <c r="C3" s="84" t="str">
        <f>IFERROR(INDEX(Result!E:E,MATCH(A3,Result!C:C,0)),"")</f>
        <v/>
      </c>
    </row>
    <row r="4" spans="1:10">
      <c r="B4" s="205" t="str">
        <f>IFERROR(INDEX(Result!D:D,MATCH(A4,Result!C:C,0)),"")</f>
        <v/>
      </c>
      <c r="C4" s="84" t="str">
        <f>IFERROR(INDEX(Result!E:E,MATCH(A4,Result!C:C,0)),"")</f>
        <v/>
      </c>
    </row>
    <row r="5" spans="1:10">
      <c r="B5" s="205" t="str">
        <f>IFERROR(INDEX(Result!D:D,MATCH(A5,Result!C:C,0)),"")</f>
        <v/>
      </c>
      <c r="C5" s="84" t="str">
        <f>IFERROR(INDEX(Result!E:E,MATCH(A5,Result!C:C,0)),"")</f>
        <v/>
      </c>
    </row>
    <row r="6" spans="1:10">
      <c r="B6" s="205" t="str">
        <f>IFERROR(INDEX(Result!D:D,MATCH(A6,Result!C:C,0)),"")</f>
        <v/>
      </c>
      <c r="C6" s="84" t="str">
        <f>IFERROR(INDEX(Result!E:E,MATCH(A6,Result!C:C,0)),"")</f>
        <v/>
      </c>
    </row>
    <row r="7" spans="1:10">
      <c r="B7" s="205" t="str">
        <f>IFERROR(INDEX(Result!D:D,MATCH(A7,Result!C:C,0)),"")</f>
        <v/>
      </c>
      <c r="C7" s="84" t="str">
        <f>IFERROR(INDEX(Result!E:E,MATCH(A7,Result!C:C,0)),"")</f>
        <v/>
      </c>
    </row>
    <row r="8" spans="1:10">
      <c r="B8" s="205" t="str">
        <f>IFERROR(INDEX(Result!D:D,MATCH(A8,Result!C:C,0)),"")</f>
        <v/>
      </c>
      <c r="C8" s="84" t="str">
        <f>IFERROR(INDEX(Result!E:E,MATCH(A8,Result!C:C,0)),"")</f>
        <v/>
      </c>
    </row>
    <row r="9" spans="1:10">
      <c r="B9" s="205" t="str">
        <f>IFERROR(INDEX(Result!D:D,MATCH(A9,Result!C:C,0)),"")</f>
        <v/>
      </c>
      <c r="C9" s="84" t="str">
        <f>IFERROR(INDEX(Result!E:E,MATCH(A9,Result!C:C,0)),"")</f>
        <v/>
      </c>
    </row>
    <row r="10" spans="1:10">
      <c r="B10" s="205" t="str">
        <f>IFERROR(INDEX(Result!D:D,MATCH(A10,Result!C:C,0)),"")</f>
        <v/>
      </c>
      <c r="C10" s="84" t="str">
        <f>IFERROR(INDEX(Result!E:E,MATCH(A10,Result!C:C,0)),"")</f>
        <v/>
      </c>
    </row>
    <row r="11" spans="1:10">
      <c r="B11" s="205" t="str">
        <f>IFERROR(INDEX(Result!D:D,MATCH(A11,Result!C:C,0)),"")</f>
        <v/>
      </c>
      <c r="C11" s="84" t="str">
        <f>IFERROR(INDEX(Result!E:E,MATCH(A11,Result!C:C,0)),"")</f>
        <v/>
      </c>
    </row>
    <row r="12" spans="1:10">
      <c r="B12" s="205" t="str">
        <f>IFERROR(INDEX(Result!D:D,MATCH(A12,Result!C:C,0)),"")</f>
        <v/>
      </c>
      <c r="C12" s="84" t="str">
        <f>IFERROR(INDEX(Result!E:E,MATCH(A12,Result!C:C,0)),"")</f>
        <v/>
      </c>
    </row>
    <row r="13" spans="1:10">
      <c r="B13" s="205" t="str">
        <f>IFERROR(INDEX(Result!D:D,MATCH(A13,Result!C:C,0)),"")</f>
        <v/>
      </c>
      <c r="C13" s="84" t="str">
        <f>IFERROR(INDEX(Result!E:E,MATCH(A13,Result!C:C,0)),"")</f>
        <v/>
      </c>
    </row>
    <row r="14" spans="1:10">
      <c r="B14" s="205" t="str">
        <f>IFERROR(INDEX(Result!D:D,MATCH(A14,Result!C:C,0)),"")</f>
        <v/>
      </c>
      <c r="C14" s="84" t="str">
        <f>IFERROR(INDEX(Result!E:E,MATCH(A14,Result!C:C,0)),"")</f>
        <v/>
      </c>
    </row>
    <row r="15" spans="1:10">
      <c r="B15" s="205" t="str">
        <f>IFERROR(INDEX(Result!D:D,MATCH(A15,Result!C:C,0)),"")</f>
        <v/>
      </c>
      <c r="C15" s="84" t="str">
        <f>IFERROR(INDEX(Result!E:E,MATCH(A15,Result!C:C,0)),"")</f>
        <v/>
      </c>
    </row>
    <row r="16" spans="1:10">
      <c r="B16" s="205" t="str">
        <f>IFERROR(INDEX(Result!D:D,MATCH(A16,Result!C:C,0)),"")</f>
        <v/>
      </c>
      <c r="C16" s="84" t="str">
        <f>IFERROR(INDEX(Result!E:E,MATCH(A16,Result!C:C,0)),"")</f>
        <v/>
      </c>
    </row>
    <row r="17" spans="2:3">
      <c r="B17" s="205" t="str">
        <f>IFERROR(INDEX(Result!D:D,MATCH(A17,Result!C:C,0)),"")</f>
        <v/>
      </c>
      <c r="C17" s="84" t="str">
        <f>IFERROR(INDEX(Result!E:E,MATCH(A17,Result!C:C,0)),"")</f>
        <v/>
      </c>
    </row>
    <row r="18" spans="2:3">
      <c r="B18" s="205" t="str">
        <f>IFERROR(INDEX(Result!D:D,MATCH(A18,Result!C:C,0)),"")</f>
        <v/>
      </c>
      <c r="C18" s="84" t="str">
        <f>IFERROR(INDEX(Result!E:E,MATCH(A18,Result!C:C,0)),"")</f>
        <v/>
      </c>
    </row>
    <row r="19" spans="2:3">
      <c r="B19" s="205" t="str">
        <f>IFERROR(INDEX(Result!D:D,MATCH(A19,Result!C:C,0)),"")</f>
        <v/>
      </c>
      <c r="C19" s="84" t="str">
        <f>IFERROR(INDEX(Result!E:E,MATCH(A19,Result!C:C,0)),"")</f>
        <v/>
      </c>
    </row>
    <row r="20" spans="2:3">
      <c r="B20" s="205" t="str">
        <f>IFERROR(INDEX(Result!D:D,MATCH(A20,Result!C:C,0)),"")</f>
        <v/>
      </c>
      <c r="C20" s="84" t="str">
        <f>IFERROR(INDEX(Result!E:E,MATCH(A20,Result!C:C,0)),"")</f>
        <v/>
      </c>
    </row>
    <row r="21" spans="2:3">
      <c r="B21" s="205" t="str">
        <f>IFERROR(INDEX(Result!D:D,MATCH(A21,Result!C:C,0)),"")</f>
        <v/>
      </c>
      <c r="C21" s="84" t="str">
        <f>IFERROR(INDEX(Result!E:E,MATCH(A21,Result!C:C,0)),"")</f>
        <v/>
      </c>
    </row>
    <row r="22" spans="2:3">
      <c r="B22" s="205" t="str">
        <f>IFERROR(INDEX(Result!D:D,MATCH(A22,Result!C:C,0)),"")</f>
        <v/>
      </c>
      <c r="C22" s="84" t="str">
        <f>IFERROR(INDEX(Result!E:E,MATCH(A22,Result!C:C,0)),"")</f>
        <v/>
      </c>
    </row>
    <row r="23" spans="2:3">
      <c r="B23" s="205" t="str">
        <f>IFERROR(INDEX(Result!D:D,MATCH(A23,Result!C:C,0)),"")</f>
        <v/>
      </c>
      <c r="C23" s="84" t="str">
        <f>IFERROR(INDEX(Result!E:E,MATCH(A23,Result!C:C,0)),"")</f>
        <v/>
      </c>
    </row>
    <row r="24" spans="2:3">
      <c r="B24" s="205" t="str">
        <f>IFERROR(INDEX(Result!D:D,MATCH(A24,Result!C:C,0)),"")</f>
        <v/>
      </c>
      <c r="C24" s="84" t="str">
        <f>IFERROR(INDEX(Result!E:E,MATCH(A24,Result!C:C,0)),"")</f>
        <v/>
      </c>
    </row>
    <row r="25" spans="2:3">
      <c r="B25" s="205" t="str">
        <f>IFERROR(INDEX(Result!D:D,MATCH(A25,Result!C:C,0)),"")</f>
        <v/>
      </c>
      <c r="C25" s="84" t="str">
        <f>IFERROR(INDEX(Result!E:E,MATCH(A25,Result!C:C,0)),"")</f>
        <v/>
      </c>
    </row>
    <row r="26" spans="2:3">
      <c r="B26" s="205" t="str">
        <f>IFERROR(INDEX(Result!D:D,MATCH(A26,Result!C:C,0)),"")</f>
        <v/>
      </c>
      <c r="C26" s="84" t="str">
        <f>IFERROR(INDEX(Result!E:E,MATCH(A26,Result!C:C,0)),"")</f>
        <v/>
      </c>
    </row>
    <row r="27" spans="2:3">
      <c r="B27" s="205" t="str">
        <f>IFERROR(INDEX(Result!D:D,MATCH(A27,Result!C:C,0)),"")</f>
        <v/>
      </c>
      <c r="C27" s="84" t="str">
        <f>IFERROR(INDEX(Result!E:E,MATCH(A27,Result!C:C,0)),"")</f>
        <v/>
      </c>
    </row>
    <row r="28" spans="2:3">
      <c r="B28" s="205" t="str">
        <f>IFERROR(INDEX(Result!D:D,MATCH(A28,Result!C:C,0)),"")</f>
        <v/>
      </c>
      <c r="C28" s="84" t="str">
        <f>IFERROR(INDEX(Result!E:E,MATCH(A28,Result!C:C,0)),"")</f>
        <v/>
      </c>
    </row>
    <row r="29" spans="2:3">
      <c r="B29" s="205" t="str">
        <f>IFERROR(INDEX(Result!D:D,MATCH(A29,Result!C:C,0)),"")</f>
        <v/>
      </c>
      <c r="C29" s="84" t="str">
        <f>IFERROR(INDEX(Result!E:E,MATCH(A29,Result!C:C,0)),"")</f>
        <v/>
      </c>
    </row>
    <row r="30" spans="2:3">
      <c r="B30" s="205" t="str">
        <f>IFERROR(INDEX(Result!D:D,MATCH(A30,Result!C:C,0)),"")</f>
        <v/>
      </c>
      <c r="C30" s="84" t="str">
        <f>IFERROR(INDEX(Result!E:E,MATCH(A30,Result!C:C,0)),"")</f>
        <v/>
      </c>
    </row>
    <row r="31" spans="2:3">
      <c r="B31" s="205" t="str">
        <f>IFERROR(INDEX(Result!D:D,MATCH(A31,Result!C:C,0)),"")</f>
        <v/>
      </c>
      <c r="C31" s="84" t="str">
        <f>IFERROR(INDEX(Result!E:E,MATCH(A31,Result!C:C,0)),"")</f>
        <v/>
      </c>
    </row>
    <row r="32" spans="2:3">
      <c r="B32" s="205" t="str">
        <f>IFERROR(INDEX(Result!D:D,MATCH(A32,Result!C:C,0)),"")</f>
        <v/>
      </c>
      <c r="C32" s="84" t="str">
        <f>IFERROR(INDEX(Result!E:E,MATCH(A32,Result!C:C,0)),"")</f>
        <v/>
      </c>
    </row>
    <row r="33" spans="2:3">
      <c r="B33" s="205" t="str">
        <f>IFERROR(INDEX(Result!D:D,MATCH(A33,Result!C:C,0)),"")</f>
        <v/>
      </c>
      <c r="C33" s="84" t="str">
        <f>IFERROR(INDEX(Result!E:E,MATCH(A33,Result!C:C,0)),"")</f>
        <v/>
      </c>
    </row>
  </sheetData>
  <conditionalFormatting sqref="A1:F1048576">
    <cfRule type="expression" dxfId="1047" priority="4">
      <formula>$A1&lt;&gt;""</formula>
    </cfRule>
  </conditionalFormatting>
  <conditionalFormatting sqref="A1:A1048576">
    <cfRule type="cellIs" dxfId="1046" priority="3" operator="equal">
      <formula>0</formula>
    </cfRule>
  </conditionalFormatting>
  <conditionalFormatting sqref="D1:D1048576">
    <cfRule type="expression" dxfId="1045" priority="2">
      <formula>AND($A1&lt;&gt;"",$A1&lt;&gt;0,$D1="")</formula>
    </cfRule>
  </conditionalFormatting>
  <conditionalFormatting sqref="E1:E1048576">
    <cfRule type="expression" dxfId="1044" priority="1">
      <formula>AND($A1&lt;&gt;"",$A1&lt;&gt;0,$E1="")</formula>
    </cfRule>
  </conditionalFormatting>
  <pageMargins left="0.25" right="0.25" top="0.75" bottom="0.75" header="0.3" footer="0.3"/>
  <pageSetup scale="85" orientation="landscape" r:id="rId1"/>
  <headerFooter>
    <oddHeader>&amp;C&amp;"+,Bold"&amp;16Auburn Request for Price and Release</oddHeader>
    <oddFooter>Page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41EB-BA24-40C5-AEA2-200E9F15CEDE}">
  <sheetPr codeName="Sheet17">
    <tabColor theme="6" tint="-0.249977111117893"/>
    <pageSetUpPr fitToPage="1"/>
  </sheetPr>
  <dimension ref="A1:J25"/>
  <sheetViews>
    <sheetView showGridLines="0" workbookViewId="0">
      <pane ySplit="3" topLeftCell="A4" activePane="bottomLeft" state="frozen"/>
      <selection pane="bottomLeft" activeCell="E23" sqref="E23"/>
    </sheetView>
  </sheetViews>
  <sheetFormatPr defaultRowHeight="15"/>
  <cols>
    <col min="1" max="1" width="15" bestFit="1" customWidth="1"/>
    <col min="2" max="2" width="15.85546875" bestFit="1" customWidth="1"/>
    <col min="3" max="3" width="11.85546875" customWidth="1"/>
    <col min="4" max="4" width="20.42578125" style="49" customWidth="1"/>
    <col min="5" max="8" width="8" style="49" customWidth="1"/>
    <col min="9" max="9" width="11.85546875" customWidth="1"/>
    <col min="10" max="10" width="21" style="49" customWidth="1"/>
    <col min="13" max="13" width="9.140625" customWidth="1"/>
  </cols>
  <sheetData>
    <row r="1" spans="1:10" ht="46.5">
      <c r="A1" s="246" t="s">
        <v>5815</v>
      </c>
      <c r="B1" s="246"/>
      <c r="C1" s="246"/>
      <c r="D1" s="246"/>
      <c r="E1" s="246"/>
      <c r="F1" s="246"/>
      <c r="G1" s="246"/>
      <c r="H1" s="246"/>
      <c r="I1" s="246"/>
      <c r="J1" s="154">
        <f ca="1">TODAY()</f>
        <v>44935</v>
      </c>
    </row>
    <row r="2" spans="1:10">
      <c r="A2" s="225" t="s">
        <v>7551</v>
      </c>
    </row>
    <row r="3" spans="1:10" s="39" customFormat="1" ht="37.5">
      <c r="A3" s="97" t="s">
        <v>5805</v>
      </c>
      <c r="B3" s="97" t="s">
        <v>5446</v>
      </c>
      <c r="C3" s="97" t="s">
        <v>5447</v>
      </c>
      <c r="D3" s="98" t="s">
        <v>5604</v>
      </c>
      <c r="E3" s="84"/>
      <c r="F3" s="245"/>
      <c r="G3" s="245"/>
      <c r="H3" s="84"/>
      <c r="I3" s="99" t="s">
        <v>5447</v>
      </c>
      <c r="J3" s="100" t="s">
        <v>5604</v>
      </c>
    </row>
    <row r="4" spans="1:10">
      <c r="A4" t="str" cm="1">
        <f t="array" ref="A4:A11">_xlfn._xlws.SORT(_xlfn.UNIQUE(_xlfn._xlws.FILTER(Result!G2:G200,Result!G2:G200&lt;&gt;"")))</f>
        <v>ADP</v>
      </c>
      <c r="B4" t="str">
        <f>IFERROR(INDEX(SuppDetails[City],MATCH(A4,SuppDetails[Warehouse Tranlation],0)),"")</f>
        <v>Exton</v>
      </c>
      <c r="C4" t="str">
        <f>IFERROR(INDEX(SuppDetails[State],MATCH(A4,SuppDetails[Warehouse Tranlation],0)),"")</f>
        <v>PA</v>
      </c>
      <c r="D4" s="49">
        <f>IF(SUMIF(Result!G:G,A4,Result!E:E)=0,"",SUMIF(Result!G:G,A4,Result!E:E))</f>
        <v>500</v>
      </c>
      <c r="I4" t="str" cm="1">
        <f t="array" ref="I4:I8">_xlfn.UNIQUE(_xlfn._xlws.FILTER(C4:C22,(C4:C22&lt;&gt;"")=(C4:C22&lt;&gt;"Self Deliver"),""))</f>
        <v>PA</v>
      </c>
      <c r="J4" s="49">
        <f t="shared" ref="J4:J16" si="0">IF(SUMIF(C:C,I4,D:D)=0,"",SUMIF(C:C,I4,D:D))</f>
        <v>500</v>
      </c>
    </row>
    <row r="5" spans="1:10">
      <c r="A5" t="str">
        <v>Drummondville</v>
      </c>
      <c r="B5" t="str">
        <f>IFERROR(INDEX(SuppDetails[City],MATCH(A5,SuppDetails[Warehouse Tranlation],0)),"")</f>
        <v>Drummondville</v>
      </c>
      <c r="C5" t="str">
        <f>IFERROR(INDEX(SuppDetails[State],MATCH(A5,SuppDetails[Warehouse Tranlation],0)),"")</f>
        <v>Quebec</v>
      </c>
      <c r="D5" s="49">
        <f>IF(SUMIF(Result!G:G,A5,Result!E:E)=0,"",SUMIF(Result!G:G,A5,Result!E:E))</f>
        <v>15500</v>
      </c>
      <c r="I5" t="str">
        <v>Quebec</v>
      </c>
      <c r="J5" s="49">
        <f t="shared" si="0"/>
        <v>15500</v>
      </c>
    </row>
    <row r="6" spans="1:10">
      <c r="A6" t="str">
        <v>Glatfelter</v>
      </c>
      <c r="B6" t="str">
        <f>IFERROR(INDEX(SuppDetails[City],MATCH(A6,SuppDetails[Warehouse Tranlation],0)),"")</f>
        <v>- -</v>
      </c>
      <c r="C6" t="str">
        <f>IFERROR(INDEX(SuppDetails[State],MATCH(A6,SuppDetails[Warehouse Tranlation],0)),"")</f>
        <v>Self Deliver</v>
      </c>
      <c r="D6" s="49">
        <f>IF(SUMIF(Result!G:G,A6,Result!E:E)=0,"",SUMIF(Result!G:G,A6,Result!E:E))</f>
        <v>2000</v>
      </c>
      <c r="I6" t="str">
        <v>MA</v>
      </c>
      <c r="J6" s="49">
        <f t="shared" si="0"/>
        <v>8466</v>
      </c>
    </row>
    <row r="7" spans="1:10">
      <c r="A7" t="str">
        <v>Interprint</v>
      </c>
      <c r="B7" t="str">
        <f>IFERROR(INDEX(SuppDetails[City],MATCH(A7,SuppDetails[Warehouse Tranlation],0)),"")</f>
        <v>Pittsfield</v>
      </c>
      <c r="C7" t="str">
        <f>IFERROR(INDEX(SuppDetails[State],MATCH(A7,SuppDetails[Warehouse Tranlation],0)),"")</f>
        <v>MA</v>
      </c>
      <c r="D7" s="49">
        <f>IF(SUMIF(Result!G:G,A7,Result!E:E)=0,"",SUMIF(Result!G:G,A7,Result!E:E))</f>
        <v>1966</v>
      </c>
      <c r="I7" t="str">
        <v>GA</v>
      </c>
      <c r="J7" s="49">
        <f t="shared" si="0"/>
        <v>2500</v>
      </c>
    </row>
    <row r="8" spans="1:10">
      <c r="A8" t="str">
        <v>McDonough</v>
      </c>
      <c r="B8" t="str">
        <f>IFERROR(INDEX(SuppDetails[City],MATCH(A8,SuppDetails[Warehouse Tranlation],0)),"")</f>
        <v>McDonough</v>
      </c>
      <c r="C8" t="str">
        <f>IFERROR(INDEX(SuppDetails[State],MATCH(A8,SuppDetails[Warehouse Tranlation],0)),"")</f>
        <v>GA</v>
      </c>
      <c r="D8" s="49">
        <f>IF(SUMIF(Result!G:G,A8,Result!E:E)=0,"",SUMIF(Result!G:G,A8,Result!E:E))</f>
        <v>2500</v>
      </c>
      <c r="I8" t="str">
        <v>NY</v>
      </c>
      <c r="J8" s="49">
        <f t="shared" si="0"/>
        <v>4000</v>
      </c>
    </row>
    <row r="9" spans="1:10">
      <c r="A9" t="str">
        <v>Onyx</v>
      </c>
      <c r="B9" t="str">
        <f>IFERROR(INDEX(SuppDetails[City],MATCH(A9,SuppDetails[Warehouse Tranlation],0)),"")</f>
        <v>South Lee</v>
      </c>
      <c r="C9" t="str">
        <f>IFERROR(INDEX(SuppDetails[State],MATCH(A9,SuppDetails[Warehouse Tranlation],0)),"")</f>
        <v>MA</v>
      </c>
      <c r="D9" s="49">
        <f>IF(SUMIF(Result!G:G,A9,Result!E:E)=0,"",SUMIF(Result!G:G,A9,Result!E:E))</f>
        <v>6000</v>
      </c>
      <c r="J9" s="49" t="str">
        <f t="shared" si="0"/>
        <v/>
      </c>
    </row>
    <row r="10" spans="1:10">
      <c r="A10" t="str">
        <v>Stone</v>
      </c>
      <c r="B10" t="str">
        <f>IFERROR(INDEX(SuppDetails[City],MATCH(A10,SuppDetails[Warehouse Tranlation],0)),"")</f>
        <v>Watervliet</v>
      </c>
      <c r="C10" t="str">
        <f>IFERROR(INDEX(SuppDetails[State],MATCH(A10,SuppDetails[Warehouse Tranlation],0)),"")</f>
        <v>NY</v>
      </c>
      <c r="D10" s="49">
        <f>IF(SUMIF(Result!G:G,A10,Result!E:E)=0,"",SUMIF(Result!G:G,A10,Result!E:E))</f>
        <v>4000</v>
      </c>
      <c r="J10" s="49" t="str">
        <f t="shared" si="0"/>
        <v/>
      </c>
    </row>
    <row r="11" spans="1:10">
      <c r="A11" t="str">
        <v>Suddekor</v>
      </c>
      <c r="B11" t="str">
        <f>IFERROR(INDEX(SuppDetails[City],MATCH(A11,SuppDetails[Warehouse Tranlation],0)),"")</f>
        <v>West Springfield</v>
      </c>
      <c r="C11" t="str">
        <f>IFERROR(INDEX(SuppDetails[State],MATCH(A11,SuppDetails[Warehouse Tranlation],0)),"")</f>
        <v>MA</v>
      </c>
      <c r="D11" s="49">
        <f>IF(SUMIF(Result!G:G,A11,Result!E:E)=0,"",SUMIF(Result!G:G,A11,Result!E:E))</f>
        <v>500</v>
      </c>
      <c r="J11" s="49" t="str">
        <f t="shared" si="0"/>
        <v/>
      </c>
    </row>
    <row r="12" spans="1:10">
      <c r="J12" s="49" t="str">
        <f t="shared" si="0"/>
        <v/>
      </c>
    </row>
    <row r="13" spans="1:10">
      <c r="J13" s="49" t="str">
        <f t="shared" si="0"/>
        <v/>
      </c>
    </row>
    <row r="14" spans="1:10">
      <c r="J14" s="49" t="str">
        <f t="shared" si="0"/>
        <v/>
      </c>
    </row>
    <row r="15" spans="1:10" ht="18.75">
      <c r="E15" s="152"/>
      <c r="J15" s="49" t="str">
        <f t="shared" si="0"/>
        <v/>
      </c>
    </row>
    <row r="16" spans="1:10">
      <c r="E16" s="153"/>
      <c r="J16" s="49" t="str">
        <f t="shared" si="0"/>
        <v/>
      </c>
    </row>
    <row r="20" spans="5:9" ht="23.25">
      <c r="E20" s="244" t="s">
        <v>5806</v>
      </c>
      <c r="F20" s="244"/>
      <c r="G20" s="244"/>
      <c r="H20" s="244"/>
      <c r="I20" s="46"/>
    </row>
    <row r="21" spans="5:9">
      <c r="E21" s="130">
        <f>SUM(Review!AD:AD)</f>
        <v>28466</v>
      </c>
      <c r="F21" s="130" t="s">
        <v>5808</v>
      </c>
      <c r="G21" s="130"/>
      <c r="H21" s="130"/>
      <c r="I21" s="46"/>
    </row>
    <row r="22" spans="5:9">
      <c r="E22" s="130">
        <f>SUM(Result!E:E)</f>
        <v>32966</v>
      </c>
      <c r="F22" s="130" t="s">
        <v>5809</v>
      </c>
      <c r="G22" s="130"/>
      <c r="H22" s="130"/>
      <c r="I22" s="46"/>
    </row>
    <row r="23" spans="5:9">
      <c r="E23" s="130">
        <f>SUM(D:D)</f>
        <v>32966</v>
      </c>
      <c r="F23" s="130" t="s">
        <v>5812</v>
      </c>
      <c r="G23" s="130"/>
      <c r="H23" s="130"/>
      <c r="I23" s="46"/>
    </row>
    <row r="24" spans="5:9">
      <c r="E24" s="130">
        <f>SUM('Extra Pickup'!D:D)</f>
        <v>9000</v>
      </c>
      <c r="F24" s="130" t="s">
        <v>5810</v>
      </c>
      <c r="G24" s="130"/>
      <c r="H24" s="130"/>
      <c r="I24" s="46"/>
    </row>
    <row r="25" spans="5:9">
      <c r="E25" s="130">
        <f>SUM(E23:E24)</f>
        <v>41966</v>
      </c>
      <c r="F25" s="130" t="s">
        <v>5811</v>
      </c>
      <c r="G25" s="130"/>
      <c r="H25" s="130"/>
      <c r="I25" s="46"/>
    </row>
  </sheetData>
  <mergeCells count="3">
    <mergeCell ref="E20:H20"/>
    <mergeCell ref="F3:G3"/>
    <mergeCell ref="A1:I1"/>
  </mergeCells>
  <conditionalFormatting sqref="A1 A2:D1048576">
    <cfRule type="expression" dxfId="1043" priority="828">
      <formula>$A1&lt;&gt;""</formula>
    </cfRule>
  </conditionalFormatting>
  <conditionalFormatting sqref="I2:J1048576 J1">
    <cfRule type="expression" dxfId="1042" priority="829">
      <formula>$I1&lt;&gt;""</formula>
    </cfRule>
  </conditionalFormatting>
  <conditionalFormatting sqref="E21:E23">
    <cfRule type="expression" dxfId="1041" priority="1">
      <formula>OR($E$21&lt;&gt;$E$22,$E$21&lt;&gt;$E$23,$E$22&lt;&gt;$E$23)</formula>
    </cfRule>
  </conditionalFormatting>
  <printOptions horizontalCentered="1"/>
  <pageMargins left="0.25" right="0.25" top="0.75" bottom="0.75" header="0.3" footer="0.3"/>
  <pageSetup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B8027-CE82-48B1-A881-9B531E0B04AB}">
  <sheetPr codeName="Sheet20">
    <tabColor theme="6" tint="-0.249977111117893"/>
    <pageSetUpPr fitToPage="1"/>
  </sheetPr>
  <dimension ref="A1:R38"/>
  <sheetViews>
    <sheetView showGridLines="0" workbookViewId="0">
      <pane ySplit="2" topLeftCell="A3" activePane="bottomLeft" state="frozen"/>
      <selection activeCell="B16" sqref="B16"/>
      <selection pane="bottomLeft" activeCell="G8" sqref="G8"/>
    </sheetView>
  </sheetViews>
  <sheetFormatPr defaultRowHeight="20.25" customHeight="1"/>
  <cols>
    <col min="1" max="1" width="3" style="26" customWidth="1"/>
    <col min="2" max="2" width="15" style="26" bestFit="1" customWidth="1"/>
    <col min="3" max="3" width="15.85546875" style="26" bestFit="1" customWidth="1"/>
    <col min="4" max="4" width="11.85546875" style="26" customWidth="1"/>
    <col min="5" max="5" width="14.5703125" style="136" customWidth="1"/>
    <col min="6" max="6" width="11.140625" style="28" customWidth="1"/>
    <col min="7" max="7" width="13.42578125" style="137" bestFit="1" customWidth="1"/>
    <col min="8" max="8" width="0.28515625" style="37" customWidth="1"/>
    <col min="9" max="10" width="8" style="136" customWidth="1"/>
    <col min="11" max="11" width="13.28515625" style="26" customWidth="1"/>
    <col min="12" max="12" width="13.28515625" style="138" customWidth="1"/>
    <col min="13" max="13" width="16.28515625" style="125" customWidth="1"/>
    <col min="14" max="14" width="2.140625" style="26" customWidth="1"/>
    <col min="15" max="16384" width="9.140625" style="26"/>
  </cols>
  <sheetData>
    <row r="1" spans="1:18" ht="33" customHeight="1">
      <c r="F1" s="157" t="s">
        <v>6072</v>
      </c>
      <c r="G1" s="157" t="s">
        <v>6072</v>
      </c>
      <c r="L1" s="157" t="s">
        <v>6072</v>
      </c>
      <c r="M1" s="157" t="s">
        <v>6072</v>
      </c>
    </row>
    <row r="2" spans="1:18" s="39" customFormat="1" ht="50.25">
      <c r="B2" s="97" t="s">
        <v>5805</v>
      </c>
      <c r="C2" s="97" t="s">
        <v>5446</v>
      </c>
      <c r="D2" s="97" t="s">
        <v>5447</v>
      </c>
      <c r="E2" s="98" t="s">
        <v>6073</v>
      </c>
      <c r="F2" s="134" t="s">
        <v>6074</v>
      </c>
      <c r="G2" s="135" t="s">
        <v>5850</v>
      </c>
      <c r="H2" s="237" t="s">
        <v>5852</v>
      </c>
      <c r="I2" s="247"/>
      <c r="J2" s="248"/>
      <c r="K2" s="97" t="s">
        <v>6074</v>
      </c>
      <c r="L2" s="135" t="s">
        <v>5851</v>
      </c>
      <c r="M2" s="135" t="s">
        <v>5849</v>
      </c>
    </row>
    <row r="3" spans="1:18" ht="20.25" customHeight="1">
      <c r="A3" s="26" t="str">
        <f>IF(ISERROR(MATCH(B3,'Extra Pickup'!A:A,0)),"","X")</f>
        <v/>
      </c>
      <c r="B3" s="26" t="str">
        <f>IF(Weight!$A4="","",Weight!$A4)</f>
        <v>ADP</v>
      </c>
      <c r="C3" s="26" t="str">
        <f>IF(A3="X",INDEX('Extra Pickup'!B:B,MATCH(B3,'Extra Pickup'!A:A,0)),IFERROR(INDEX(SuppDetails[City],MATCH(B3,SuppDetails[Warehouse Tranlation],0)),""))</f>
        <v>Exton</v>
      </c>
      <c r="D3" s="26" t="str">
        <f>IF(A3="X",INDEX('Extra Pickup'!C:C,MATCH(B3,'Extra Pickup'!A:A,0)),IFERROR(INDEX(SuppDetails[State],MATCH(B3,SuppDetails[Warehouse Tranlation],0)),""))</f>
        <v>PA</v>
      </c>
      <c r="E3" s="136">
        <f>IF(A3="X",INDEX('Extra Pickup'!D:D,MATCH(B3,'Extra Pickup'!A:A,0)),IF(SUMIF(Result!G:G,B3,Result!E:E)=0,"",SUMIF(Result!G:G,B3,Result!E:E)))</f>
        <v>500</v>
      </c>
      <c r="F3" s="39">
        <v>4</v>
      </c>
      <c r="G3" s="137">
        <v>44935</v>
      </c>
      <c r="H3" s="37" t="str">
        <f>IF(F3="","",F3&amp;COUNTIF($F$3:F3,F3))</f>
        <v>41</v>
      </c>
      <c r="K3" s="155">
        <v>1</v>
      </c>
      <c r="L3" s="156">
        <v>44936</v>
      </c>
      <c r="M3" s="150" t="s">
        <v>7773</v>
      </c>
      <c r="O3" s="185" t="s">
        <v>6100</v>
      </c>
    </row>
    <row r="4" spans="1:18" ht="20.25" customHeight="1">
      <c r="A4" s="26" t="str">
        <f>IF(ISERROR(MATCH(B4,'Extra Pickup'!A:A,0)),"","X")</f>
        <v/>
      </c>
      <c r="B4" s="26" t="str">
        <f>IF(Weight!$A5="","",Weight!$A5)</f>
        <v>Drummondville</v>
      </c>
      <c r="C4" s="26" t="str">
        <f>IF(A4="X",INDEX('Extra Pickup'!B:B,MATCH(B4,'Extra Pickup'!A:A,0)),IFERROR(INDEX(SuppDetails[City],MATCH(B4,SuppDetails[Warehouse Tranlation],0)),""))</f>
        <v>Drummondville</v>
      </c>
      <c r="D4" s="26" t="str">
        <f>IF(A4="X",INDEX('Extra Pickup'!C:C,MATCH(B4,'Extra Pickup'!A:A,0)),IFERROR(INDEX(SuppDetails[State],MATCH(B4,SuppDetails[Warehouse Tranlation],0)),""))</f>
        <v>Quebec</v>
      </c>
      <c r="E4" s="136">
        <f>IF(A4="X",INDEX('Extra Pickup'!D:D,MATCH(B4,'Extra Pickup'!A:A,0)),IF(SUMIF(Result!G:G,B4,Result!E:E)=0,"",SUMIF(Result!G:G,B4,Result!E:E)))</f>
        <v>15500</v>
      </c>
      <c r="F4" s="39">
        <v>1</v>
      </c>
      <c r="G4" s="137">
        <v>44935</v>
      </c>
      <c r="H4" s="37" t="str">
        <f>IF(F4="","",F4&amp;COUNTIF($F$3:F4,F4))</f>
        <v>11</v>
      </c>
      <c r="K4" s="155">
        <v>2</v>
      </c>
      <c r="L4" s="156">
        <v>44938</v>
      </c>
      <c r="M4" s="150" t="s">
        <v>7634</v>
      </c>
      <c r="O4" s="249"/>
      <c r="P4" s="249"/>
      <c r="Q4" s="249"/>
      <c r="R4" s="249"/>
    </row>
    <row r="5" spans="1:18" ht="20.25" customHeight="1">
      <c r="A5" s="26" t="str">
        <f>IF(ISERROR(MATCH(B5,'Extra Pickup'!A:A,0)),"","X")</f>
        <v/>
      </c>
      <c r="B5" s="26" t="str">
        <f>IF(Weight!$A6="","",Weight!$A6)</f>
        <v>Glatfelter</v>
      </c>
      <c r="C5" s="26" t="str">
        <f>IF(A5="X",INDEX('Extra Pickup'!B:B,MATCH(B5,'Extra Pickup'!A:A,0)),IFERROR(INDEX(SuppDetails[City],MATCH(B5,SuppDetails[Warehouse Tranlation],0)),""))</f>
        <v>- -</v>
      </c>
      <c r="D5" s="26" t="str">
        <f>IF(A5="X",INDEX('Extra Pickup'!C:C,MATCH(B5,'Extra Pickup'!A:A,0)),IFERROR(INDEX(SuppDetails[State],MATCH(B5,SuppDetails[Warehouse Tranlation],0)),""))</f>
        <v>Self Deliver</v>
      </c>
      <c r="E5" s="136">
        <f>IF(A5="X",INDEX('Extra Pickup'!D:D,MATCH(B5,'Extra Pickup'!A:A,0)),IF(SUMIF(Result!G:G,B5,Result!E:E)=0,"",SUMIF(Result!G:G,B5,Result!E:E)))</f>
        <v>2000</v>
      </c>
      <c r="F5" s="39"/>
      <c r="H5" s="37" t="str">
        <f>IF(F5="","",F5&amp;COUNTIF($F$3:F5,F5))</f>
        <v/>
      </c>
      <c r="K5" s="155">
        <v>3</v>
      </c>
      <c r="L5" s="156">
        <v>44937</v>
      </c>
      <c r="M5" s="150" t="s">
        <v>7635</v>
      </c>
      <c r="O5" s="249"/>
      <c r="P5" s="249"/>
      <c r="Q5" s="249"/>
      <c r="R5" s="249"/>
    </row>
    <row r="6" spans="1:18" ht="20.25" customHeight="1">
      <c r="A6" s="26" t="str">
        <f>IF(ISERROR(MATCH(B6,'Extra Pickup'!A:A,0)),"","X")</f>
        <v/>
      </c>
      <c r="B6" s="26" t="str">
        <f>IF(Weight!$A7="","",Weight!$A7)</f>
        <v>Interprint</v>
      </c>
      <c r="C6" s="26" t="str">
        <f>IF(A6="X",INDEX('Extra Pickup'!B:B,MATCH(B6,'Extra Pickup'!A:A,0)),IFERROR(INDEX(SuppDetails[City],MATCH(B6,SuppDetails[Warehouse Tranlation],0)),""))</f>
        <v>Pittsfield</v>
      </c>
      <c r="D6" s="26" t="str">
        <f>IF(A6="X",INDEX('Extra Pickup'!C:C,MATCH(B6,'Extra Pickup'!A:A,0)),IFERROR(INDEX(SuppDetails[State],MATCH(B6,SuppDetails[Warehouse Tranlation],0)),""))</f>
        <v>MA</v>
      </c>
      <c r="E6" s="136">
        <f>IF(A6="X",INDEX('Extra Pickup'!D:D,MATCH(B6,'Extra Pickup'!A:A,0)),IF(SUMIF(Result!G:G,B6,Result!E:E)=0,"",SUMIF(Result!G:G,B6,Result!E:E)))</f>
        <v>1966</v>
      </c>
      <c r="F6" s="39">
        <v>3</v>
      </c>
      <c r="G6" s="137">
        <v>44936</v>
      </c>
      <c r="H6" s="37" t="str">
        <f>IF(F6="","",F6&amp;COUNTIF($F$3:F6,F6))</f>
        <v>31</v>
      </c>
      <c r="K6" s="155">
        <v>4</v>
      </c>
      <c r="L6" s="156">
        <v>44938</v>
      </c>
      <c r="M6" s="150" t="s">
        <v>7774</v>
      </c>
      <c r="O6" s="249"/>
      <c r="P6" s="249"/>
      <c r="Q6" s="249"/>
      <c r="R6" s="249"/>
    </row>
    <row r="7" spans="1:18" ht="20.25" customHeight="1">
      <c r="A7" s="26" t="str">
        <f>IF(ISERROR(MATCH(B7,'Extra Pickup'!A:A,0)),"","X")</f>
        <v/>
      </c>
      <c r="B7" s="26" t="str">
        <f>IF(Weight!$A8="","",Weight!$A8)</f>
        <v>McDonough</v>
      </c>
      <c r="C7" s="26" t="str">
        <f>IF(A7="X",INDEX('Extra Pickup'!B:B,MATCH(B7,'Extra Pickup'!A:A,0)),IFERROR(INDEX(SuppDetails[City],MATCH(B7,SuppDetails[Warehouse Tranlation],0)),""))</f>
        <v>McDonough</v>
      </c>
      <c r="D7" s="26" t="str">
        <f>IF(A7="X",INDEX('Extra Pickup'!C:C,MATCH(B7,'Extra Pickup'!A:A,0)),IFERROR(INDEX(SuppDetails[State],MATCH(B7,SuppDetails[Warehouse Tranlation],0)),""))</f>
        <v>GA</v>
      </c>
      <c r="E7" s="136">
        <f>IF(A7="X",INDEX('Extra Pickup'!D:D,MATCH(B7,'Extra Pickup'!A:A,0)),IF(SUMIF(Result!G:G,B7,Result!E:E)=0,"",SUMIF(Result!G:G,B7,Result!E:E)))</f>
        <v>2500</v>
      </c>
      <c r="F7" s="39">
        <v>2</v>
      </c>
      <c r="G7" s="137">
        <v>44935</v>
      </c>
      <c r="H7" s="37" t="str">
        <f>IF(F7="","",F7&amp;COUNTIF($F$3:F7,F7))</f>
        <v>21</v>
      </c>
      <c r="K7" s="155">
        <v>5</v>
      </c>
      <c r="L7" s="156"/>
      <c r="M7" s="150"/>
      <c r="O7" s="249"/>
      <c r="P7" s="249"/>
      <c r="Q7" s="249"/>
      <c r="R7" s="249"/>
    </row>
    <row r="8" spans="1:18" ht="20.25" customHeight="1">
      <c r="A8" s="26" t="str">
        <f>IF(ISERROR(MATCH(B8,'Extra Pickup'!A:A,0)),"","X")</f>
        <v/>
      </c>
      <c r="B8" s="26" t="str">
        <f>IF(Weight!$A9="","",Weight!$A9)</f>
        <v>Onyx</v>
      </c>
      <c r="C8" s="26" t="str">
        <f>IF(A8="X",INDEX('Extra Pickup'!B:B,MATCH(B8,'Extra Pickup'!A:A,0)),IFERROR(INDEX(SuppDetails[City],MATCH(B8,SuppDetails[Warehouse Tranlation],0)),""))</f>
        <v>South Lee</v>
      </c>
      <c r="D8" s="26" t="str">
        <f>IF(A8="X",INDEX('Extra Pickup'!C:C,MATCH(B8,'Extra Pickup'!A:A,0)),IFERROR(INDEX(SuppDetails[State],MATCH(B8,SuppDetails[Warehouse Tranlation],0)),""))</f>
        <v>MA</v>
      </c>
      <c r="E8" s="136">
        <f>IF(A8="X",INDEX('Extra Pickup'!D:D,MATCH(B8,'Extra Pickup'!A:A,0)),IF(SUMIF(Result!G:G,B8,Result!E:E)=0,"",SUMIF(Result!G:G,B8,Result!E:E)))</f>
        <v>6000</v>
      </c>
      <c r="F8" s="39">
        <v>3</v>
      </c>
      <c r="G8" s="137">
        <v>44936</v>
      </c>
      <c r="H8" s="37" t="str">
        <f>IF(F8="","",F8&amp;COUNTIF($F$3:F8,F8))</f>
        <v>32</v>
      </c>
      <c r="K8" s="155">
        <v>6</v>
      </c>
      <c r="L8" s="156"/>
      <c r="M8" s="150"/>
      <c r="O8" s="249"/>
      <c r="P8" s="249"/>
      <c r="Q8" s="249"/>
      <c r="R8" s="249"/>
    </row>
    <row r="9" spans="1:18" ht="20.25" customHeight="1">
      <c r="A9" s="26" t="str">
        <f>IF(ISERROR(MATCH(B9,'Extra Pickup'!A:A,0)),"","X")</f>
        <v/>
      </c>
      <c r="B9" s="26" t="str">
        <f>IF(Weight!$A10="","",Weight!$A10)</f>
        <v>Stone</v>
      </c>
      <c r="C9" s="26" t="str">
        <f>IF(A9="X",INDEX('Extra Pickup'!B:B,MATCH(B9,'Extra Pickup'!A:A,0)),IFERROR(INDEX(SuppDetails[City],MATCH(B9,SuppDetails[Warehouse Tranlation],0)),""))</f>
        <v>Watervliet</v>
      </c>
      <c r="D9" s="26" t="str">
        <f>IF(A9="X",INDEX('Extra Pickup'!C:C,MATCH(B9,'Extra Pickup'!A:A,0)),IFERROR(INDEX(SuppDetails[State],MATCH(B9,SuppDetails[Warehouse Tranlation],0)),""))</f>
        <v>NY</v>
      </c>
      <c r="E9" s="136">
        <f>IF(A9="X",INDEX('Extra Pickup'!D:D,MATCH(B9,'Extra Pickup'!A:A,0)),IF(SUMIF(Result!G:G,B9,Result!E:E)=0,"",SUMIF(Result!G:G,B9,Result!E:E)))</f>
        <v>4000</v>
      </c>
      <c r="F9" s="39">
        <v>3</v>
      </c>
      <c r="G9" s="137">
        <v>44936</v>
      </c>
      <c r="H9" s="37" t="str">
        <f>IF(F9="","",F9&amp;COUNTIF($F$3:F9,F9))</f>
        <v>33</v>
      </c>
      <c r="K9" s="226" t="s">
        <v>6097</v>
      </c>
      <c r="L9" s="227"/>
      <c r="M9" s="228"/>
      <c r="O9" s="249"/>
      <c r="P9" s="249"/>
      <c r="Q9" s="249"/>
      <c r="R9" s="249"/>
    </row>
    <row r="10" spans="1:18" ht="20.25" customHeight="1">
      <c r="A10" s="26" t="str">
        <f>IF(ISERROR(MATCH(B10,'Extra Pickup'!A:A,0)),"","X")</f>
        <v/>
      </c>
      <c r="B10" s="26" t="str">
        <f>IF(Weight!$A11="","",Weight!$A11)</f>
        <v>Suddekor</v>
      </c>
      <c r="C10" s="26" t="str">
        <f>IF(A10="X",INDEX('Extra Pickup'!B:B,MATCH(B10,'Extra Pickup'!A:A,0)),IFERROR(INDEX(SuppDetails[City],MATCH(B10,SuppDetails[Warehouse Tranlation],0)),""))</f>
        <v>West Springfield</v>
      </c>
      <c r="D10" s="26" t="str">
        <f>IF(A10="X",INDEX('Extra Pickup'!C:C,MATCH(B10,'Extra Pickup'!A:A,0)),IFERROR(INDEX(SuppDetails[State],MATCH(B10,SuppDetails[Warehouse Tranlation],0)),""))</f>
        <v>MA</v>
      </c>
      <c r="E10" s="136">
        <f>IF(A10="X",INDEX('Extra Pickup'!D:D,MATCH(B10,'Extra Pickup'!A:A,0)),IF(SUMIF(Result!G:G,B10,Result!E:E)=0,"",SUMIF(Result!G:G,B10,Result!E:E)))</f>
        <v>500</v>
      </c>
      <c r="F10" s="39">
        <v>3</v>
      </c>
      <c r="G10" s="137">
        <v>44936</v>
      </c>
      <c r="H10" s="37" t="str">
        <f>IF(F10="","",F10&amp;COUNTIF($F$3:F10,F10))</f>
        <v>34</v>
      </c>
      <c r="K10" s="226" t="s">
        <v>3873</v>
      </c>
      <c r="L10" s="227"/>
      <c r="M10" s="229"/>
      <c r="O10" s="249"/>
      <c r="P10" s="249"/>
      <c r="Q10" s="249"/>
      <c r="R10" s="249"/>
    </row>
    <row r="11" spans="1:18" ht="20.25" customHeight="1">
      <c r="A11" s="26" t="str">
        <f>IF(ISERROR(MATCH(B11,'Extra Pickup'!A:A,0)),"","X")</f>
        <v/>
      </c>
      <c r="B11" s="26" t="str">
        <f>IF(Weight!$A12="","",Weight!$A12)</f>
        <v/>
      </c>
      <c r="C11" s="26" t="str">
        <f>IF(A11="X",INDEX('Extra Pickup'!B:B,MATCH(B11,'Extra Pickup'!A:A,0)),IFERROR(INDEX(SuppDetails[City],MATCH(B11,SuppDetails[Warehouse Tranlation],0)),""))</f>
        <v/>
      </c>
      <c r="D11" s="26" t="str">
        <f>IF(A11="X",INDEX('Extra Pickup'!C:C,MATCH(B11,'Extra Pickup'!A:A,0)),IFERROR(INDEX(SuppDetails[State],MATCH(B11,SuppDetails[Warehouse Tranlation],0)),""))</f>
        <v/>
      </c>
      <c r="E11" s="136" t="str">
        <f>IF(A11="X",INDEX('Extra Pickup'!D:D,MATCH(B11,'Extra Pickup'!A:A,0)),IF(SUMIF(Result!G:G,B11,Result!E:E)=0,"",SUMIF(Result!G:G,B11,Result!E:E)))</f>
        <v/>
      </c>
      <c r="H11" s="37" t="str">
        <f>IF(F11="","",F11&amp;COUNTIF($F$3:F11,F11))</f>
        <v/>
      </c>
      <c r="K11" s="226" t="s">
        <v>6098</v>
      </c>
      <c r="L11" s="227"/>
      <c r="M11" s="229"/>
      <c r="O11" s="249"/>
      <c r="P11" s="249"/>
      <c r="Q11" s="249"/>
      <c r="R11" s="249"/>
    </row>
    <row r="12" spans="1:18" ht="20.25" customHeight="1">
      <c r="A12" s="26" t="str">
        <f>IF(ISERROR(MATCH(B12,'Extra Pickup'!A:A,0)),"","X")</f>
        <v/>
      </c>
      <c r="B12" s="26" t="str">
        <f>IF(Weight!$A13="","",Weight!$A13)</f>
        <v/>
      </c>
      <c r="C12" s="26" t="str">
        <f>IF(A12="X",INDEX('Extra Pickup'!B:B,MATCH(B12,'Extra Pickup'!A:A,0)),IFERROR(INDEX(SuppDetails[City],MATCH(B12,SuppDetails[Warehouse Tranlation],0)),""))</f>
        <v/>
      </c>
      <c r="D12" s="26" t="str">
        <f>IF(A12="X",INDEX('Extra Pickup'!C:C,MATCH(B12,'Extra Pickup'!A:A,0)),IFERROR(INDEX(SuppDetails[State],MATCH(B12,SuppDetails[Warehouse Tranlation],0)),""))</f>
        <v/>
      </c>
      <c r="E12" s="136" t="str">
        <f>IF(A12="X",INDEX('Extra Pickup'!D:D,MATCH(B12,'Extra Pickup'!A:A,0)),IF(SUMIF(Result!G:G,B12,Result!E:E)=0,"",SUMIF(Result!G:G,B12,Result!E:E)))</f>
        <v/>
      </c>
      <c r="H12" s="37" t="str">
        <f>IF(F12="","",F12&amp;COUNTIF($F$3:F12,F12))</f>
        <v/>
      </c>
      <c r="K12" s="226" t="s">
        <v>6099</v>
      </c>
      <c r="L12" s="227"/>
      <c r="M12" s="229"/>
      <c r="O12" s="249"/>
      <c r="P12" s="249"/>
      <c r="Q12" s="249"/>
      <c r="R12" s="249"/>
    </row>
    <row r="13" spans="1:18" ht="20.25" customHeight="1">
      <c r="A13" s="26" t="str">
        <f>IF(ISERROR(MATCH(B13,'Extra Pickup'!A:A,0)),"","X")</f>
        <v/>
      </c>
      <c r="B13" s="26" t="str">
        <f>IF(Weight!$A14="","",Weight!$A14)</f>
        <v/>
      </c>
      <c r="C13" s="26" t="str">
        <f>IF(A13="X",INDEX('Extra Pickup'!B:B,MATCH(B13,'Extra Pickup'!A:A,0)),IFERROR(INDEX(SuppDetails[City],MATCH(B13,SuppDetails[Warehouse Tranlation],0)),""))</f>
        <v/>
      </c>
      <c r="D13" s="26" t="str">
        <f>IF(A13="X",INDEX('Extra Pickup'!C:C,MATCH(B13,'Extra Pickup'!A:A,0)),IFERROR(INDEX(SuppDetails[State],MATCH(B13,SuppDetails[Warehouse Tranlation],0)),""))</f>
        <v/>
      </c>
      <c r="E13" s="136" t="str">
        <f>IF(A13="X",INDEX('Extra Pickup'!D:D,MATCH(B13,'Extra Pickup'!A:A,0)),IF(SUMIF(Result!G:G,B13,Result!E:E)=0,"",SUMIF(Result!G:G,B13,Result!E:E)))</f>
        <v/>
      </c>
      <c r="H13" s="37" t="str">
        <f>IF(F13="","",F13&amp;COUNTIF($F$3:F13,F13))</f>
        <v/>
      </c>
    </row>
    <row r="14" spans="1:18" ht="20.25" customHeight="1">
      <c r="A14" s="26" t="str">
        <f>IF(ISERROR(MATCH(B14,'Extra Pickup'!A:A,0)),"","X")</f>
        <v/>
      </c>
      <c r="B14" s="26" t="str">
        <f>IF(Weight!$A15="","",Weight!$A15)</f>
        <v/>
      </c>
      <c r="C14" s="26" t="str">
        <f>IF(A14="X",INDEX('Extra Pickup'!B:B,MATCH(B14,'Extra Pickup'!A:A,0)),IFERROR(INDEX(SuppDetails[City],MATCH(B14,SuppDetails[Warehouse Tranlation],0)),""))</f>
        <v/>
      </c>
      <c r="D14" s="26" t="str">
        <f>IF(A14="X",INDEX('Extra Pickup'!C:C,MATCH(B14,'Extra Pickup'!A:A,0)),IFERROR(INDEX(SuppDetails[State],MATCH(B14,SuppDetails[Warehouse Tranlation],0)),""))</f>
        <v/>
      </c>
      <c r="E14" s="136" t="str">
        <f>IF(A14="X",INDEX('Extra Pickup'!D:D,MATCH(B14,'Extra Pickup'!A:A,0)),IF(SUMIF(Result!G:G,B14,Result!E:E)=0,"",SUMIF(Result!G:G,B14,Result!E:E)))</f>
        <v/>
      </c>
      <c r="H14" s="37" t="str">
        <f>IF(F14="","",F14&amp;COUNTIF($F$3:F14,F14))</f>
        <v/>
      </c>
    </row>
    <row r="15" spans="1:18" ht="20.25" customHeight="1">
      <c r="A15" s="26" t="str">
        <f>IF(ISERROR(MATCH(B15,'Extra Pickup'!A:A,0)),"","X")</f>
        <v/>
      </c>
      <c r="B15" s="26" t="str">
        <f>IF(Weight!$A16="","",Weight!$A16)</f>
        <v/>
      </c>
      <c r="C15" s="26" t="str">
        <f>IF(A15="X",INDEX('Extra Pickup'!B:B,MATCH(B15,'Extra Pickup'!A:A,0)),IFERROR(INDEX(SuppDetails[City],MATCH(B15,SuppDetails[Warehouse Tranlation],0)),""))</f>
        <v/>
      </c>
      <c r="D15" s="26" t="str">
        <f>IF(A15="X",INDEX('Extra Pickup'!C:C,MATCH(B15,'Extra Pickup'!A:A,0)),IFERROR(INDEX(SuppDetails[State],MATCH(B15,SuppDetails[Warehouse Tranlation],0)),""))</f>
        <v/>
      </c>
      <c r="E15" s="136" t="str">
        <f>IF(A15="X",INDEX('Extra Pickup'!D:D,MATCH(B15,'Extra Pickup'!A:A,0)),IF(SUMIF(Result!G:G,B15,Result!E:E)=0,"",SUMIF(Result!G:G,B15,Result!E:E)))</f>
        <v/>
      </c>
      <c r="H15" s="37" t="str">
        <f>IF(F15="","",F15&amp;COUNTIF($F$3:F15,F15))</f>
        <v/>
      </c>
    </row>
    <row r="16" spans="1:18" ht="20.25" customHeight="1">
      <c r="A16" s="26" t="str">
        <f>IF(ISERROR(MATCH(B16,'Extra Pickup'!A:A,0)),"","X")</f>
        <v/>
      </c>
      <c r="B16" s="26" t="str">
        <f>IF(Weight!$A17="","",Weight!$A17)</f>
        <v/>
      </c>
      <c r="C16" s="26" t="str">
        <f>IF(A16="X",INDEX('Extra Pickup'!B:B,MATCH(B16,'Extra Pickup'!A:A,0)),IFERROR(INDEX(SuppDetails[City],MATCH(B16,SuppDetails[Warehouse Tranlation],0)),""))</f>
        <v/>
      </c>
      <c r="D16" s="26" t="str">
        <f>IF(A16="X",INDEX('Extra Pickup'!C:C,MATCH(B16,'Extra Pickup'!A:A,0)),IFERROR(INDEX(SuppDetails[State],MATCH(B16,SuppDetails[Warehouse Tranlation],0)),""))</f>
        <v/>
      </c>
      <c r="E16" s="136" t="str">
        <f>IF(A16="X",INDEX('Extra Pickup'!D:D,MATCH(B16,'Extra Pickup'!A:A,0)),IF(SUMIF(Result!G:G,B16,Result!E:E)=0,"",SUMIF(Result!G:G,B16,Result!E:E)))</f>
        <v/>
      </c>
      <c r="H16" s="37" t="str">
        <f>IF(F16="","",F16&amp;COUNTIF($F$3:F16,F16))</f>
        <v/>
      </c>
    </row>
    <row r="17" spans="1:8" ht="20.25" customHeight="1">
      <c r="A17" s="26" t="str">
        <f>IF(ISERROR(MATCH(B17,'Extra Pickup'!A:A,0)),"","X")</f>
        <v/>
      </c>
      <c r="B17" s="26" t="str">
        <f>IF(Weight!$A18="","",Weight!$A18)</f>
        <v/>
      </c>
      <c r="C17" s="26" t="str">
        <f>IF(A17="X",INDEX('Extra Pickup'!B:B,MATCH(B17,'Extra Pickup'!A:A,0)),IFERROR(INDEX(SuppDetails[City],MATCH(B17,SuppDetails[Warehouse Tranlation],0)),""))</f>
        <v/>
      </c>
      <c r="D17" s="26" t="str">
        <f>IF(A17="X",INDEX('Extra Pickup'!C:C,MATCH(B17,'Extra Pickup'!A:A,0)),IFERROR(INDEX(SuppDetails[State],MATCH(B17,SuppDetails[Warehouse Tranlation],0)),""))</f>
        <v/>
      </c>
      <c r="E17" s="136" t="str">
        <f>IF(A17="X",INDEX('Extra Pickup'!D:D,MATCH(B17,'Extra Pickup'!A:A,0)),IF(SUMIF(Result!G:G,B17,Result!E:E)=0,"",SUMIF(Result!G:G,B17,Result!E:E)))</f>
        <v/>
      </c>
      <c r="H17" s="37" t="str">
        <f>IF(F17="","",F17&amp;COUNTIF($F$3:F17,F17))</f>
        <v/>
      </c>
    </row>
    <row r="18" spans="1:8" ht="20.25" customHeight="1">
      <c r="A18" s="26" t="str">
        <f>IF(ISERROR(MATCH(B18,'Extra Pickup'!A:A,0)),"","X")</f>
        <v/>
      </c>
      <c r="B18" s="26" t="str">
        <f>IF(Weight!$A19="","",Weight!$A19)</f>
        <v/>
      </c>
      <c r="C18" s="26" t="str">
        <f>IF(A18="X",INDEX('Extra Pickup'!B:B,MATCH(B18,'Extra Pickup'!A:A,0)),IFERROR(INDEX(SuppDetails[City],MATCH(B18,SuppDetails[Warehouse Tranlation],0)),""))</f>
        <v/>
      </c>
      <c r="D18" s="26" t="str">
        <f>IF(A18="X",INDEX('Extra Pickup'!C:C,MATCH(B18,'Extra Pickup'!A:A,0)),IFERROR(INDEX(SuppDetails[State],MATCH(B18,SuppDetails[Warehouse Tranlation],0)),""))</f>
        <v/>
      </c>
      <c r="E18" s="136" t="str">
        <f>IF(A18="X",INDEX('Extra Pickup'!D:D,MATCH(B18,'Extra Pickup'!A:A,0)),IF(SUMIF(Result!G:G,B18,Result!E:E)=0,"",SUMIF(Result!G:G,B18,Result!E:E)))</f>
        <v/>
      </c>
      <c r="H18" s="37" t="str">
        <f>IF(F18="","",F18&amp;COUNTIF($F$3:F18,F18))</f>
        <v/>
      </c>
    </row>
    <row r="19" spans="1:8" ht="20.25" customHeight="1">
      <c r="A19" s="26" t="str">
        <f>IF(ISERROR(MATCH(B19,'Extra Pickup'!A:A,0)),"","X")</f>
        <v/>
      </c>
      <c r="B19" s="26" t="str">
        <f>IF(Weight!$A20="","",Weight!$A20)</f>
        <v/>
      </c>
      <c r="C19" s="26" t="str">
        <f>IF(A19="X",INDEX('Extra Pickup'!B:B,MATCH(B19,'Extra Pickup'!A:A,0)),IFERROR(INDEX(SuppDetails[City],MATCH(B19,SuppDetails[Warehouse Tranlation],0)),""))</f>
        <v/>
      </c>
      <c r="D19" s="26" t="str">
        <f>IF(A19="X",INDEX('Extra Pickup'!C:C,MATCH(B19,'Extra Pickup'!A:A,0)),IFERROR(INDEX(SuppDetails[State],MATCH(B19,SuppDetails[Warehouse Tranlation],0)),""))</f>
        <v/>
      </c>
      <c r="E19" s="136" t="str">
        <f>IF(A19="X",INDEX('Extra Pickup'!D:D,MATCH(B19,'Extra Pickup'!A:A,0)),IF(SUMIF(Result!G:G,B19,Result!E:E)=0,"",SUMIF(Result!G:G,B19,Result!E:E)))</f>
        <v/>
      </c>
      <c r="H19" s="37" t="str">
        <f>IF(F19="","",F19&amp;COUNTIF($F$3:F19,F19))</f>
        <v/>
      </c>
    </row>
    <row r="20" spans="1:8" ht="20.25" customHeight="1">
      <c r="A20" s="26" t="str">
        <f>IF(ISERROR(MATCH(B20,'Extra Pickup'!A:A,0)),"","X")</f>
        <v/>
      </c>
      <c r="B20" s="26" t="str">
        <f>IF(Weight!$A21="","",Weight!$A21)</f>
        <v/>
      </c>
      <c r="C20" s="26" t="str">
        <f>IF(A20="X",INDEX('Extra Pickup'!B:B,MATCH(B20,'Extra Pickup'!A:A,0)),IFERROR(INDEX(SuppDetails[City],MATCH(B20,SuppDetails[Warehouse Tranlation],0)),""))</f>
        <v/>
      </c>
      <c r="D20" s="26" t="str">
        <f>IF(A20="X",INDEX('Extra Pickup'!C:C,MATCH(B20,'Extra Pickup'!A:A,0)),IFERROR(INDEX(SuppDetails[State],MATCH(B20,SuppDetails[Warehouse Tranlation],0)),""))</f>
        <v/>
      </c>
      <c r="E20" s="136" t="str">
        <f>IF(A20="X",INDEX('Extra Pickup'!D:D,MATCH(B20,'Extra Pickup'!A:A,0)),IF(SUMIF(Result!G:G,B20,Result!E:E)=0,"",SUMIF(Result!G:G,B20,Result!E:E)))</f>
        <v/>
      </c>
      <c r="H20" s="37" t="str">
        <f>IF(F20="","",F20&amp;COUNTIF($F$3:F20,F20))</f>
        <v/>
      </c>
    </row>
    <row r="21" spans="1:8" ht="20.25" customHeight="1">
      <c r="A21" s="26" t="str">
        <f>IF(ISERROR(MATCH(B21,'Extra Pickup'!A:A,0)),"","X")</f>
        <v/>
      </c>
      <c r="B21" s="26" t="str">
        <f>IF(Weight!$A22="","",Weight!$A22)</f>
        <v/>
      </c>
      <c r="C21" s="26" t="str">
        <f>IF(A21="X",INDEX('Extra Pickup'!B:B,MATCH(B21,'Extra Pickup'!A:A,0)),IFERROR(INDEX(SuppDetails[City],MATCH(B21,SuppDetails[Warehouse Tranlation],0)),""))</f>
        <v/>
      </c>
      <c r="D21" s="26" t="str">
        <f>IF(A21="X",INDEX('Extra Pickup'!C:C,MATCH(B21,'Extra Pickup'!A:A,0)),IFERROR(INDEX(SuppDetails[State],MATCH(B21,SuppDetails[Warehouse Tranlation],0)),""))</f>
        <v/>
      </c>
      <c r="E21" s="136" t="str">
        <f>IF(A21="X",INDEX('Extra Pickup'!D:D,MATCH(B21,'Extra Pickup'!A:A,0)),IF(SUMIF(Result!G:G,B21,Result!E:E)=0,"",SUMIF(Result!G:G,B21,Result!E:E)))</f>
        <v/>
      </c>
      <c r="H21" s="37" t="str">
        <f>IF(F21="","",F21&amp;COUNTIF($F$3:F21,F21))</f>
        <v/>
      </c>
    </row>
    <row r="22" spans="1:8" ht="20.25" customHeight="1">
      <c r="A22" s="26" t="str">
        <f>IF(ISERROR(MATCH(B22,'Extra Pickup'!A:A,0)),"","X")</f>
        <v/>
      </c>
      <c r="B22" s="26" t="str">
        <f>IF(Weight!$A23="","",Weight!$A23)</f>
        <v/>
      </c>
      <c r="C22" s="26" t="str">
        <f>IF(A22="X",INDEX('Extra Pickup'!B:B,MATCH(B22,'Extra Pickup'!A:A,0)),IFERROR(INDEX(SuppDetails[City],MATCH(B22,SuppDetails[Warehouse Tranlation],0)),""))</f>
        <v/>
      </c>
      <c r="D22" s="26" t="str">
        <f>IF(A22="X",INDEX('Extra Pickup'!C:C,MATCH(B22,'Extra Pickup'!A:A,0)),IFERROR(INDEX(SuppDetails[State],MATCH(B22,SuppDetails[Warehouse Tranlation],0)),""))</f>
        <v/>
      </c>
      <c r="E22" s="136" t="str">
        <f>IF(A22="X",INDEX('Extra Pickup'!D:D,MATCH(B22,'Extra Pickup'!A:A,0)),IF(SUMIF(Result!G:G,B22,Result!E:E)=0,"",SUMIF(Result!G:G,B22,Result!E:E)))</f>
        <v/>
      </c>
      <c r="H22" s="37" t="str">
        <f>IF(F22="","",F22&amp;COUNTIF($F$3:F22,F22))</f>
        <v/>
      </c>
    </row>
    <row r="23" spans="1:8" ht="20.25" customHeight="1">
      <c r="A23" s="26" t="str">
        <f>IF(ISERROR(MATCH(B23,'Extra Pickup'!A:A,0)),"","X")</f>
        <v/>
      </c>
      <c r="B23" s="26" t="str">
        <f>IF(Weight!$A24="","",Weight!$A24)</f>
        <v/>
      </c>
      <c r="C23" s="26" t="str">
        <f>IF(A23="X",INDEX('Extra Pickup'!B:B,MATCH(B23,'Extra Pickup'!A:A,0)),IFERROR(INDEX(SuppDetails[City],MATCH(B23,SuppDetails[Warehouse Tranlation],0)),""))</f>
        <v/>
      </c>
      <c r="D23" s="26" t="str">
        <f>IF(A23="X",INDEX('Extra Pickup'!C:C,MATCH(B23,'Extra Pickup'!A:A,0)),IFERROR(INDEX(SuppDetails[State],MATCH(B23,SuppDetails[Warehouse Tranlation],0)),""))</f>
        <v/>
      </c>
      <c r="E23" s="136" t="str">
        <f>IF(A23="X",INDEX('Extra Pickup'!D:D,MATCH(B23,'Extra Pickup'!A:A,0)),IF(SUMIF(Result!G:G,B23,Result!E:E)=0,"",SUMIF(Result!G:G,B23,Result!E:E)))</f>
        <v/>
      </c>
      <c r="H23" s="37" t="str">
        <f>IF(F23="","",F23&amp;COUNTIF($F$3:F23,F23))</f>
        <v/>
      </c>
    </row>
    <row r="24" spans="1:8" ht="20.25" customHeight="1">
      <c r="A24" s="26" t="str">
        <f>IF(ISERROR(MATCH(B24,'Extra Pickup'!A:A,0)),"","X")</f>
        <v/>
      </c>
      <c r="B24" s="26" t="str">
        <f>IF(Weight!$A25="","",Weight!$A25)</f>
        <v/>
      </c>
      <c r="C24" s="26" t="str">
        <f>IF(A24="X",INDEX('Extra Pickup'!B:B,MATCH(B24,'Extra Pickup'!A:A,0)),IFERROR(INDEX(SuppDetails[City],MATCH(B24,SuppDetails[Warehouse Tranlation],0)),""))</f>
        <v/>
      </c>
      <c r="D24" s="26" t="str">
        <f>IF(A24="X",INDEX('Extra Pickup'!C:C,MATCH(B24,'Extra Pickup'!A:A,0)),IFERROR(INDEX(SuppDetails[State],MATCH(B24,SuppDetails[Warehouse Tranlation],0)),""))</f>
        <v/>
      </c>
      <c r="E24" s="136" t="str">
        <f>IF(A24="X",INDEX('Extra Pickup'!D:D,MATCH(B24,'Extra Pickup'!A:A,0)),IF(SUMIF(Result!G:G,B24,Result!E:E)=0,"",SUMIF(Result!G:G,B24,Result!E:E)))</f>
        <v/>
      </c>
      <c r="H24" s="37" t="str">
        <f>IF(F24="","",F24&amp;COUNTIF($F$3:F24,F24))</f>
        <v/>
      </c>
    </row>
    <row r="25" spans="1:8" ht="20.25" customHeight="1">
      <c r="A25" s="26" t="str">
        <f>IF(ISERROR(MATCH(B25,'Extra Pickup'!A:A,0)),"","X")</f>
        <v/>
      </c>
      <c r="B25" s="26" t="str">
        <f>IF(Weight!$A26="","",Weight!$A26)</f>
        <v/>
      </c>
      <c r="C25" s="26" t="str">
        <f>IF(A25="X",INDEX('Extra Pickup'!B:B,MATCH(B25,'Extra Pickup'!A:A,0)),IFERROR(INDEX(SuppDetails[City],MATCH(B25,SuppDetails[Warehouse Tranlation],0)),""))</f>
        <v/>
      </c>
      <c r="D25" s="26" t="str">
        <f>IF(A25="X",INDEX('Extra Pickup'!C:C,MATCH(B25,'Extra Pickup'!A:A,0)),IFERROR(INDEX(SuppDetails[State],MATCH(B25,SuppDetails[Warehouse Tranlation],0)),""))</f>
        <v/>
      </c>
      <c r="E25" s="136" t="str">
        <f>IF(A25="X",INDEX('Extra Pickup'!D:D,MATCH(B25,'Extra Pickup'!A:A,0)),IF(SUMIF(Result!G:G,B25,Result!E:E)=0,"",SUMIF(Result!G:G,B25,Result!E:E)))</f>
        <v/>
      </c>
      <c r="H25" s="37" t="str">
        <f>IF(F25="","",F25&amp;COUNTIF($F$3:F25,F25))</f>
        <v/>
      </c>
    </row>
    <row r="26" spans="1:8" ht="20.25" customHeight="1">
      <c r="A26" s="26" t="str">
        <f>IF(ISERROR(MATCH(B26,'Extra Pickup'!A:A,0)),"","X")</f>
        <v/>
      </c>
      <c r="B26" s="26" t="str">
        <f>IF(Weight!$A27="","",Weight!$A27)</f>
        <v/>
      </c>
      <c r="C26" s="26" t="str">
        <f>IF(A26="X",INDEX('Extra Pickup'!B:B,MATCH(B26,'Extra Pickup'!A:A,0)),IFERROR(INDEX(SuppDetails[City],MATCH(B26,SuppDetails[Warehouse Tranlation],0)),""))</f>
        <v/>
      </c>
      <c r="D26" s="26" t="str">
        <f>IF(A26="X",INDEX('Extra Pickup'!C:C,MATCH(B26,'Extra Pickup'!A:A,0)),IFERROR(INDEX(SuppDetails[State],MATCH(B26,SuppDetails[Warehouse Tranlation],0)),""))</f>
        <v/>
      </c>
      <c r="E26" s="136" t="str">
        <f>IF(A26="X",INDEX('Extra Pickup'!D:D,MATCH(B26,'Extra Pickup'!A:A,0)),IF(SUMIF(Result!G:G,B26,Result!E:E)=0,"",SUMIF(Result!G:G,B26,Result!E:E)))</f>
        <v/>
      </c>
      <c r="H26" s="37" t="str">
        <f>IF(F26="","",F26&amp;COUNTIF($F$3:F26,F26))</f>
        <v/>
      </c>
    </row>
    <row r="27" spans="1:8" ht="20.25" customHeight="1">
      <c r="A27" s="26" t="str">
        <f>IF(ISERROR(MATCH(B27,'Extra Pickup'!A:A,0)),"","X")</f>
        <v/>
      </c>
      <c r="B27" s="26" t="str">
        <f>IF(Weight!$A28="","",Weight!$A28)</f>
        <v/>
      </c>
      <c r="C27" s="26" t="str">
        <f>IF(A27="X",INDEX('Extra Pickup'!B:B,MATCH(B27,'Extra Pickup'!A:A,0)),IFERROR(INDEX(SuppDetails[City],MATCH(B27,SuppDetails[Warehouse Tranlation],0)),""))</f>
        <v/>
      </c>
      <c r="D27" s="26" t="str">
        <f>IF(A27="X",INDEX('Extra Pickup'!C:C,MATCH(B27,'Extra Pickup'!A:A,0)),IFERROR(INDEX(SuppDetails[State],MATCH(B27,SuppDetails[Warehouse Tranlation],0)),""))</f>
        <v/>
      </c>
      <c r="E27" s="136" t="str">
        <f>IF(A27="X",INDEX('Extra Pickup'!D:D,MATCH(B27,'Extra Pickup'!A:A,0)),IF(SUMIF(Result!G:G,B27,Result!E:E)=0,"",SUMIF(Result!G:G,B27,Result!E:E)))</f>
        <v/>
      </c>
      <c r="H27" s="37" t="str">
        <f>IF(F27="","",F27&amp;COUNTIF($F$3:F27,F27))</f>
        <v/>
      </c>
    </row>
    <row r="28" spans="1:8" ht="20.25" customHeight="1">
      <c r="A28" s="26" t="str">
        <f>IF(ISERROR(MATCH(B28,'Extra Pickup'!A:A,0)),"","X")</f>
        <v/>
      </c>
      <c r="B28" s="26" t="str">
        <f>IF(Weight!$A29="","",Weight!$A29)</f>
        <v/>
      </c>
      <c r="C28" s="26" t="str">
        <f>IF(A28="X",INDEX('Extra Pickup'!B:B,MATCH(B28,'Extra Pickup'!A:A,0)),IFERROR(INDEX(SuppDetails[City],MATCH(B28,SuppDetails[Warehouse Tranlation],0)),""))</f>
        <v/>
      </c>
      <c r="D28" s="26" t="str">
        <f>IF(A28="X",INDEX('Extra Pickup'!C:C,MATCH(B28,'Extra Pickup'!A:A,0)),IFERROR(INDEX(SuppDetails[State],MATCH(B28,SuppDetails[Warehouse Tranlation],0)),""))</f>
        <v/>
      </c>
      <c r="E28" s="136" t="str">
        <f>IF(A28="X",INDEX('Extra Pickup'!D:D,MATCH(B28,'Extra Pickup'!A:A,0)),IF(SUMIF(Result!G:G,B28,Result!E:E)=0,"",SUMIF(Result!G:G,B28,Result!E:E)))</f>
        <v/>
      </c>
      <c r="H28" s="37" t="str">
        <f>IF(F28="","",F28&amp;COUNTIF($F$3:F28,F28))</f>
        <v/>
      </c>
    </row>
    <row r="29" spans="1:8" ht="20.25" customHeight="1">
      <c r="A29" s="26" t="str">
        <f>IF(ISERROR(MATCH(B29,'Extra Pickup'!A:A,0)),"","X")</f>
        <v/>
      </c>
      <c r="B29" s="26" t="str">
        <f>IF(Weight!$A30="","",Weight!$A30)</f>
        <v/>
      </c>
      <c r="C29" s="26" t="str">
        <f>IF(A29="X",INDEX('Extra Pickup'!B:B,MATCH(B29,'Extra Pickup'!A:A,0)),IFERROR(INDEX(SuppDetails[City],MATCH(B29,SuppDetails[Warehouse Tranlation],0)),""))</f>
        <v/>
      </c>
      <c r="D29" s="26" t="str">
        <f>IF(A29="X",INDEX('Extra Pickup'!C:C,MATCH(B29,'Extra Pickup'!A:A,0)),IFERROR(INDEX(SuppDetails[State],MATCH(B29,SuppDetails[Warehouse Tranlation],0)),""))</f>
        <v/>
      </c>
      <c r="E29" s="136" t="str">
        <f>IF(A29="X",INDEX('Extra Pickup'!D:D,MATCH(B29,'Extra Pickup'!A:A,0)),IF(SUMIF(Result!G:G,B29,Result!E:E)=0,"",SUMIF(Result!G:G,B29,Result!E:E)))</f>
        <v/>
      </c>
      <c r="H29" s="37" t="str">
        <f>IF(F29="","",F29&amp;COUNTIF($F$3:F29,F29))</f>
        <v/>
      </c>
    </row>
    <row r="30" spans="1:8" ht="20.25" customHeight="1">
      <c r="A30" s="26" t="str">
        <f>IF(ISERROR(MATCH(B30,'Extra Pickup'!A:A,0)),"","X")</f>
        <v/>
      </c>
      <c r="B30" s="26" t="str">
        <f>IF(Weight!$A31="","",Weight!$A31)</f>
        <v/>
      </c>
      <c r="C30" s="26" t="str">
        <f>IF(A30="X",INDEX('Extra Pickup'!B:B,MATCH(B30,'Extra Pickup'!A:A,0)),IFERROR(INDEX(SuppDetails[City],MATCH(B30,SuppDetails[Warehouse Tranlation],0)),""))</f>
        <v/>
      </c>
      <c r="D30" s="26" t="str">
        <f>IF(A30="X",INDEX('Extra Pickup'!C:C,MATCH(B30,'Extra Pickup'!A:A,0)),IFERROR(INDEX(SuppDetails[State],MATCH(B30,SuppDetails[Warehouse Tranlation],0)),""))</f>
        <v/>
      </c>
      <c r="E30" s="136" t="str">
        <f>IF(A30="X",INDEX('Extra Pickup'!D:D,MATCH(B30,'Extra Pickup'!A:A,0)),IF(SUMIF(Result!G:G,B30,Result!E:E)=0,"",SUMIF(Result!G:G,B30,Result!E:E)))</f>
        <v/>
      </c>
      <c r="H30" s="37" t="str">
        <f>IF(F30="","",F30&amp;COUNTIF($F$3:F30,F30))</f>
        <v/>
      </c>
    </row>
    <row r="31" spans="1:8" ht="20.25" customHeight="1">
      <c r="A31" s="26" t="str">
        <f>IF(ISERROR(MATCH(B31,'Extra Pickup'!A:A,0)),"","X")</f>
        <v/>
      </c>
      <c r="B31" s="26" t="str">
        <f>IF(Weight!$A32="","",Weight!$A32)</f>
        <v/>
      </c>
      <c r="C31" s="26" t="str">
        <f>IF(A31="X",INDEX('Extra Pickup'!B:B,MATCH(B31,'Extra Pickup'!A:A,0)),IFERROR(INDEX(SuppDetails[City],MATCH(B31,SuppDetails[Warehouse Tranlation],0)),""))</f>
        <v/>
      </c>
      <c r="D31" s="26" t="str">
        <f>IF(A31="X",INDEX('Extra Pickup'!C:C,MATCH(B31,'Extra Pickup'!A:A,0)),IFERROR(INDEX(SuppDetails[State],MATCH(B31,SuppDetails[Warehouse Tranlation],0)),""))</f>
        <v/>
      </c>
      <c r="E31" s="136" t="str">
        <f>IF(A31="X",INDEX('Extra Pickup'!D:D,MATCH(B31,'Extra Pickup'!A:A,0)),IF(SUMIF(Result!G:G,B31,Result!E:E)=0,"",SUMIF(Result!G:G,B31,Result!E:E)))</f>
        <v/>
      </c>
      <c r="H31" s="37" t="str">
        <f>IF(F31="","",F31&amp;COUNTIF($F$3:F31,F31))</f>
        <v/>
      </c>
    </row>
    <row r="32" spans="1:8" ht="20.25" customHeight="1">
      <c r="A32" s="26" t="str">
        <f>IF(ISERROR(MATCH(B32,'Extra Pickup'!A:A,0)),"","X")</f>
        <v/>
      </c>
      <c r="B32" s="26" t="str">
        <f>IF(Weight!$A33="","",Weight!$A33)</f>
        <v/>
      </c>
      <c r="C32" s="26" t="str">
        <f>IF(A32="X",INDEX('Extra Pickup'!B:B,MATCH(B32,'Extra Pickup'!A:A,0)),IFERROR(INDEX(SuppDetails[City],MATCH(B32,SuppDetails[Warehouse Tranlation],0)),""))</f>
        <v/>
      </c>
      <c r="D32" s="26" t="str">
        <f>IF(A32="X",INDEX('Extra Pickup'!C:C,MATCH(B32,'Extra Pickup'!A:A,0)),IFERROR(INDEX(SuppDetails[State],MATCH(B32,SuppDetails[Warehouse Tranlation],0)),""))</f>
        <v/>
      </c>
      <c r="E32" s="136" t="str">
        <f>IF(A32="X",INDEX('Extra Pickup'!D:D,MATCH(B32,'Extra Pickup'!A:A,0)),IF(SUMIF(Result!G:G,B32,Result!E:E)=0,"",SUMIF(Result!G:G,B32,Result!E:E)))</f>
        <v/>
      </c>
      <c r="H32" s="37" t="str">
        <f>IF(F32="","",F32&amp;COUNTIF($F$3:F32,F32))</f>
        <v/>
      </c>
    </row>
    <row r="33" spans="1:8" ht="20.25" customHeight="1">
      <c r="A33" s="26" t="str">
        <f>IF(ISERROR(MATCH(B33,'Extra Pickup'!A:A,0)),"","X")</f>
        <v/>
      </c>
      <c r="B33" s="26" t="str">
        <f>IF(Weight!$A34="","",Weight!$A34)</f>
        <v/>
      </c>
      <c r="C33" s="26" t="str">
        <f>IF(A33="X",INDEX('Extra Pickup'!B:B,MATCH(B33,'Extra Pickup'!A:A,0)),IFERROR(INDEX(SuppDetails[City],MATCH(B33,SuppDetails[Warehouse Tranlation],0)),""))</f>
        <v/>
      </c>
      <c r="D33" s="26" t="str">
        <f>IF(A33="X",INDEX('Extra Pickup'!C:C,MATCH(B33,'Extra Pickup'!A:A,0)),IFERROR(INDEX(SuppDetails[State],MATCH(B33,SuppDetails[Warehouse Tranlation],0)),""))</f>
        <v/>
      </c>
      <c r="E33" s="136" t="str">
        <f>IF(A33="X",INDEX('Extra Pickup'!D:D,MATCH(B33,'Extra Pickup'!A:A,0)),IF(SUMIF(Result!G:G,B33,Result!E:E)=0,"",SUMIF(Result!G:G,B33,Result!E:E)))</f>
        <v/>
      </c>
      <c r="H33" s="37" t="str">
        <f>IF(F33="","",F33&amp;COUNTIF($F$3:F33,F33))</f>
        <v/>
      </c>
    </row>
    <row r="34" spans="1:8" ht="20.25" customHeight="1">
      <c r="A34" s="26" t="str">
        <f>IF(ISERROR(MATCH(B34,'Extra Pickup'!A:A,0)),"","X")</f>
        <v/>
      </c>
      <c r="B34" s="26" t="str">
        <f>IF(Weight!$A35="","",Weight!$A35)</f>
        <v/>
      </c>
      <c r="C34" s="26" t="str">
        <f>IF(A34="X",INDEX('Extra Pickup'!B:B,MATCH(B34,'Extra Pickup'!A:A,0)),IFERROR(INDEX(SuppDetails[City],MATCH(B34,SuppDetails[Warehouse Tranlation],0)),""))</f>
        <v/>
      </c>
      <c r="D34" s="26" t="str">
        <f>IF(A34="X",INDEX('Extra Pickup'!C:C,MATCH(B34,'Extra Pickup'!A:A,0)),IFERROR(INDEX(SuppDetails[State],MATCH(B34,SuppDetails[Warehouse Tranlation],0)),""))</f>
        <v/>
      </c>
      <c r="E34" s="136" t="str">
        <f>IF(A34="X",INDEX('Extra Pickup'!D:D,MATCH(B34,'Extra Pickup'!A:A,0)),IF(SUMIF(Result!G:G,B34,Result!E:E)=0,"",SUMIF(Result!G:G,B34,Result!E:E)))</f>
        <v/>
      </c>
      <c r="H34" s="37" t="str">
        <f>IF(F34="","",F34&amp;COUNTIF($F$3:F34,F34))</f>
        <v/>
      </c>
    </row>
    <row r="35" spans="1:8" ht="20.25" customHeight="1">
      <c r="A35" s="26" t="str">
        <f>IF(ISERROR(MATCH(B35,'Extra Pickup'!A:A,0)),"","X")</f>
        <v/>
      </c>
      <c r="B35" s="26" t="str">
        <f>IF(Weight!$A36="","",Weight!$A36)</f>
        <v/>
      </c>
      <c r="C35" s="26" t="str">
        <f>IF(A35="X",INDEX('Extra Pickup'!B:B,MATCH(B35,'Extra Pickup'!A:A,0)),IFERROR(INDEX(SuppDetails[City],MATCH(B35,SuppDetails[Warehouse Tranlation],0)),""))</f>
        <v/>
      </c>
      <c r="D35" s="26" t="str">
        <f>IF(A35="X",INDEX('Extra Pickup'!C:C,MATCH(B35,'Extra Pickup'!A:A,0)),IFERROR(INDEX(SuppDetails[State],MATCH(B35,SuppDetails[Warehouse Tranlation],0)),""))</f>
        <v/>
      </c>
      <c r="E35" s="136" t="str">
        <f>IF(A35="X",INDEX('Extra Pickup'!D:D,MATCH(B35,'Extra Pickup'!A:A,0)),IF(SUMIF(Result!G:G,B35,Result!E:E)=0,"",SUMIF(Result!G:G,B35,Result!E:E)))</f>
        <v/>
      </c>
      <c r="H35" s="37" t="str">
        <f>IF(F35="","",F35&amp;COUNTIF($F$3:F35,F35))</f>
        <v/>
      </c>
    </row>
    <row r="36" spans="1:8" ht="20.25" customHeight="1">
      <c r="A36" s="26" t="str">
        <f>IF(ISERROR(MATCH(B36,'Extra Pickup'!A:A,0)),"","X")</f>
        <v/>
      </c>
      <c r="B36" s="26" t="str">
        <f>IF(Weight!$A37="","",Weight!$A37)</f>
        <v/>
      </c>
      <c r="C36" s="26" t="str">
        <f>IF(A36="X",INDEX('Extra Pickup'!B:B,MATCH(B36,'Extra Pickup'!A:A,0)),IFERROR(INDEX(SuppDetails[City],MATCH(B36,SuppDetails[Warehouse Tranlation],0)),""))</f>
        <v/>
      </c>
      <c r="D36" s="26" t="str">
        <f>IF(A36="X",INDEX('Extra Pickup'!C:C,MATCH(B36,'Extra Pickup'!A:A,0)),IFERROR(INDEX(SuppDetails[State],MATCH(B36,SuppDetails[Warehouse Tranlation],0)),""))</f>
        <v/>
      </c>
      <c r="E36" s="136" t="str">
        <f>IF(A36="X",INDEX('Extra Pickup'!D:D,MATCH(B36,'Extra Pickup'!A:A,0)),IF(SUMIF(Result!G:G,B36,Result!E:E)=0,"",SUMIF(Result!G:G,B36,Result!E:E)))</f>
        <v/>
      </c>
      <c r="H36" s="37" t="str">
        <f>IF(F36="","",F36&amp;COUNTIF($F$3:F36,F36))</f>
        <v/>
      </c>
    </row>
    <row r="37" spans="1:8" ht="20.25" customHeight="1">
      <c r="A37" s="26" t="str">
        <f>IF(ISERROR(MATCH(B37,'Extra Pickup'!A:A,0)),"","X")</f>
        <v/>
      </c>
      <c r="B37" s="26" t="str">
        <f>IF(Weight!$A38="","",Weight!$A38)</f>
        <v/>
      </c>
      <c r="C37" s="26" t="str">
        <f>IF(A37="X",INDEX('Extra Pickup'!B:B,MATCH(B37,'Extra Pickup'!A:A,0)),IFERROR(INDEX(SuppDetails[City],MATCH(B37,SuppDetails[Warehouse Tranlation],0)),""))</f>
        <v/>
      </c>
      <c r="D37" s="26" t="str">
        <f>IF(A37="X",INDEX('Extra Pickup'!C:C,MATCH(B37,'Extra Pickup'!A:A,0)),IFERROR(INDEX(SuppDetails[State],MATCH(B37,SuppDetails[Warehouse Tranlation],0)),""))</f>
        <v/>
      </c>
      <c r="E37" s="136" t="str">
        <f>IF(A37="X",INDEX('Extra Pickup'!D:D,MATCH(B37,'Extra Pickup'!A:A,0)),IF(SUMIF(Result!G:G,B37,Result!E:E)=0,"",SUMIF(Result!G:G,B37,Result!E:E)))</f>
        <v/>
      </c>
      <c r="H37" s="37" t="str">
        <f>IF(F37="","",F37&amp;COUNTIF($F$3:F37,F37))</f>
        <v/>
      </c>
    </row>
    <row r="38" spans="1:8" ht="20.25" customHeight="1">
      <c r="A38" s="26" t="str">
        <f>IF(ISERROR(MATCH(B38,'Extra Pickup'!A:A,0)),"","X")</f>
        <v/>
      </c>
      <c r="B38" s="26" t="str">
        <f>IF(Weight!$A39="","",Weight!$A39)</f>
        <v/>
      </c>
      <c r="C38" s="26" t="str">
        <f>IF(A38="X",INDEX('Extra Pickup'!B:B,MATCH(B38,'Extra Pickup'!A:A,0)),IFERROR(INDEX(SuppDetails[City],MATCH(B38,SuppDetails[Warehouse Tranlation],0)),""))</f>
        <v/>
      </c>
      <c r="D38" s="26" t="str">
        <f>IF(A38="X",INDEX('Extra Pickup'!C:C,MATCH(B38,'Extra Pickup'!A:A,0)),IFERROR(INDEX(SuppDetails[State],MATCH(B38,SuppDetails[Warehouse Tranlation],0)),""))</f>
        <v/>
      </c>
      <c r="E38" s="136" t="str">
        <f>IF(A38="X",INDEX('Extra Pickup'!D:D,MATCH(B38,'Extra Pickup'!A:A,0)),IF(SUMIF(Result!G:G,B38,Result!E:E)=0,"",SUMIF(Result!G:G,B38,Result!E:E)))</f>
        <v/>
      </c>
      <c r="H38" s="37" t="str">
        <f>IF(F38="","",F38&amp;COUNTIF($F$3:F38,F38))</f>
        <v/>
      </c>
    </row>
  </sheetData>
  <sortState xmlns:xlrd2="http://schemas.microsoft.com/office/spreadsheetml/2017/richdata2" ref="B3:G10">
    <sortCondition ref="F3:F10"/>
    <sortCondition ref="G3:G10"/>
  </sortState>
  <mergeCells count="2">
    <mergeCell ref="I2:J2"/>
    <mergeCell ref="O4:R12"/>
  </mergeCells>
  <conditionalFormatting sqref="D1:D1048576">
    <cfRule type="containsText" dxfId="1040" priority="10" operator="containsText" text="self deliver">
      <formula>NOT(ISERROR(SEARCH("self deliver",D1)))</formula>
    </cfRule>
  </conditionalFormatting>
  <conditionalFormatting sqref="B1:H1048576">
    <cfRule type="expression" dxfId="1039" priority="11">
      <formula>$D1="self deliver"</formula>
    </cfRule>
    <cfRule type="expression" dxfId="1038" priority="841">
      <formula>$B2&lt;&gt;""</formula>
    </cfRule>
  </conditionalFormatting>
  <conditionalFormatting sqref="K2">
    <cfRule type="containsText" dxfId="1037" priority="1" operator="containsText" text="self deliver">
      <formula>NOT(ISERROR(SEARCH("self deliver",K2)))</formula>
    </cfRule>
  </conditionalFormatting>
  <conditionalFormatting sqref="K2">
    <cfRule type="expression" dxfId="1036" priority="2">
      <formula>$D2="self deliver"</formula>
    </cfRule>
    <cfRule type="expression" dxfId="1035" priority="3">
      <formula>$B3&lt;&gt;""</formula>
    </cfRule>
  </conditionalFormatting>
  <dataValidations count="2">
    <dataValidation type="list" allowBlank="1" showInputMessage="1" showErrorMessage="1" sqref="F1:F1048576" xr:uid="{EABBA660-D749-4337-8438-229F6B27C08D}">
      <formula1>$K$3:$K$12</formula1>
    </dataValidation>
    <dataValidation type="date" allowBlank="1" showInputMessage="1" showErrorMessage="1" sqref="L1:L1048576 G1:G1048576" xr:uid="{DB1F33DA-3FA5-4CCB-B8AE-AB45625E994F}">
      <formula1>44562</formula1>
      <formula2>72686</formula2>
    </dataValidation>
  </dataValidations>
  <printOptions horizontalCentered="1"/>
  <pageMargins left="0.25" right="0.25" top="0.75" bottom="0.75" header="0.3" footer="0.3"/>
  <pageSetup scale="6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D9798-059A-406F-A7FD-23F17099CE3C}">
  <sheetPr codeName="Sheet19">
    <tabColor theme="6" tint="-0.249977111117893"/>
    <pageSetUpPr fitToPage="1"/>
  </sheetPr>
  <dimension ref="B1:O33"/>
  <sheetViews>
    <sheetView showGridLines="0" workbookViewId="0">
      <selection activeCell="O4" sqref="O4"/>
    </sheetView>
  </sheetViews>
  <sheetFormatPr defaultRowHeight="15"/>
  <cols>
    <col min="1" max="1" width="1.140625" style="26" customWidth="1"/>
    <col min="2" max="2" width="13.42578125" style="26" customWidth="1"/>
    <col min="3" max="3" width="6.5703125" style="26" customWidth="1"/>
    <col min="4" max="4" width="12" style="26" customWidth="1"/>
    <col min="5" max="5" width="9.140625" style="26"/>
    <col min="6" max="6" width="3.85546875" style="26" customWidth="1"/>
    <col min="7" max="7" width="13.42578125" style="26" customWidth="1"/>
    <col min="8" max="8" width="6.5703125" style="26" customWidth="1"/>
    <col min="9" max="9" width="12" style="26" customWidth="1"/>
    <col min="10" max="10" width="9.140625" style="26"/>
    <col min="11" max="11" width="3.85546875" style="26" customWidth="1"/>
    <col min="12" max="12" width="13.42578125" style="26" customWidth="1"/>
    <col min="13" max="13" width="6.5703125" style="26" customWidth="1"/>
    <col min="14" max="14" width="12" style="26" customWidth="1"/>
    <col min="15" max="15" width="9.140625" style="26"/>
    <col min="16" max="16" width="3.140625" style="26" customWidth="1"/>
    <col min="17" max="16384" width="9.140625" style="26"/>
  </cols>
  <sheetData>
    <row r="1" spans="2:15" ht="8.25" customHeight="1" thickBot="1"/>
    <row r="2" spans="2:15" s="128" customFormat="1" ht="21.75" thickBot="1">
      <c r="B2" s="265" t="s">
        <v>5840</v>
      </c>
      <c r="C2" s="266"/>
      <c r="D2" s="266"/>
      <c r="E2" s="267"/>
      <c r="G2" s="265" t="s">
        <v>5843</v>
      </c>
      <c r="H2" s="266"/>
      <c r="I2" s="266"/>
      <c r="J2" s="267"/>
      <c r="L2" s="265" t="s">
        <v>5844</v>
      </c>
      <c r="M2" s="266"/>
      <c r="N2" s="266"/>
      <c r="O2" s="267"/>
    </row>
    <row r="3" spans="2:15" ht="15.75" thickBot="1">
      <c r="B3" s="131" t="s">
        <v>5839</v>
      </c>
      <c r="C3" s="132" t="s">
        <v>5447</v>
      </c>
      <c r="D3" s="132" t="s">
        <v>3517</v>
      </c>
      <c r="E3" s="133" t="s">
        <v>5837</v>
      </c>
      <c r="G3" s="131" t="s">
        <v>5839</v>
      </c>
      <c r="H3" s="132" t="s">
        <v>5447</v>
      </c>
      <c r="I3" s="132" t="s">
        <v>3517</v>
      </c>
      <c r="J3" s="133" t="s">
        <v>5837</v>
      </c>
      <c r="L3" s="131" t="s">
        <v>5839</v>
      </c>
      <c r="M3" s="132" t="s">
        <v>5447</v>
      </c>
      <c r="N3" s="132" t="s">
        <v>3517</v>
      </c>
      <c r="O3" s="133" t="s">
        <v>5837</v>
      </c>
    </row>
    <row r="4" spans="2:15" ht="15.75" thickTop="1">
      <c r="B4" s="142">
        <f>IFERROR(INDEX('Truck Input'!$G:$G,MATCH("11",'Truck Input'!$H:$H,0)),"")</f>
        <v>44935</v>
      </c>
      <c r="C4" s="122" t="str">
        <f>IFERROR(INDEX('Truck Input'!$D:$D,MATCH("11",'Truck Input'!$H:$H,0)),"")</f>
        <v>Quebec</v>
      </c>
      <c r="D4" s="122" t="str">
        <f>IFERROR(INDEX('Truck Input'!$B:$B,MATCH("11",'Truck Input'!$H:$H,0)),"")</f>
        <v>Drummondville</v>
      </c>
      <c r="E4" s="143">
        <f>IFERROR(INDEX('Truck Input'!$E:$E,MATCH("11",'Truck Input'!$H:$H,0)),"")</f>
        <v>15500</v>
      </c>
      <c r="G4" s="142">
        <f>IFERROR(INDEX('Truck Input'!$G:$G,MATCH("21",'Truck Input'!$H:$H,0)),"")</f>
        <v>44935</v>
      </c>
      <c r="H4" s="122" t="str">
        <f>IFERROR(INDEX('Truck Input'!$D:$D,MATCH("21",'Truck Input'!$H:$H,0)),"")</f>
        <v>GA</v>
      </c>
      <c r="I4" s="122" t="str">
        <f>IFERROR(INDEX('Truck Input'!$B:$B,MATCH("21",'Truck Input'!$H:$H,0)),"")</f>
        <v>McDonough</v>
      </c>
      <c r="J4" s="143">
        <f>IFERROR(INDEX('Truck Input'!$E:$E,MATCH("21",'Truck Input'!$H:$H,0)),"")</f>
        <v>2500</v>
      </c>
      <c r="L4" s="142">
        <f>IFERROR(INDEX('Truck Input'!$G:$G,MATCH("31",'Truck Input'!$H:$H,0)),"")</f>
        <v>44936</v>
      </c>
      <c r="M4" s="122" t="str">
        <f>IFERROR(INDEX('Truck Input'!$D:$D,MATCH("31",'Truck Input'!$H:$H,0)),"")</f>
        <v>MA</v>
      </c>
      <c r="N4" s="122" t="str">
        <f>IFERROR(INDEX('Truck Input'!$B:$B,MATCH("31",'Truck Input'!$H:$H,0)),"")</f>
        <v>Interprint</v>
      </c>
      <c r="O4" s="143">
        <f>IFERROR(INDEX('Truck Input'!$E:$E,MATCH("31",'Truck Input'!$H:$H,0)),"")</f>
        <v>1966</v>
      </c>
    </row>
    <row r="5" spans="2:15">
      <c r="B5" s="142" t="str">
        <f>IFERROR(INDEX('Truck Input'!$G:$G,MATCH("12",'Truck Input'!$H:$H,0)),"")</f>
        <v/>
      </c>
      <c r="C5" s="122" t="str">
        <f>IFERROR(INDEX('Truck Input'!$D:$D,MATCH("12",'Truck Input'!$H:$H,0)),"")</f>
        <v/>
      </c>
      <c r="D5" s="122" t="str">
        <f>IFERROR(INDEX('Truck Input'!$B:$B,MATCH("12",'Truck Input'!$H:$H,0)),"")</f>
        <v/>
      </c>
      <c r="E5" s="143" t="str">
        <f>IFERROR(INDEX('Truck Input'!$E:$E,MATCH("12",'Truck Input'!$H:$H,0)),"")</f>
        <v/>
      </c>
      <c r="G5" s="142" t="str">
        <f>IFERROR(INDEX('Truck Input'!$G:$G,MATCH("22",'Truck Input'!$H:$H,0)),"")</f>
        <v/>
      </c>
      <c r="H5" s="122" t="str">
        <f>IFERROR(INDEX('Truck Input'!$D:$D,MATCH("22",'Truck Input'!$H:$H,0)),"")</f>
        <v/>
      </c>
      <c r="I5" s="122" t="str">
        <f>IFERROR(INDEX('Truck Input'!$B:$B,MATCH("22",'Truck Input'!$H:$H,0)),"")</f>
        <v/>
      </c>
      <c r="J5" s="143" t="str">
        <f>IFERROR(INDEX('Truck Input'!$E:$E,MATCH("22",'Truck Input'!$H:$H,0)),"")</f>
        <v/>
      </c>
      <c r="L5" s="142">
        <f>IFERROR(INDEX('Truck Input'!$G:$G,MATCH("32",'Truck Input'!$H:$H,0)),"")</f>
        <v>44936</v>
      </c>
      <c r="M5" s="122" t="str">
        <f>IFERROR(INDEX('Truck Input'!$D:$D,MATCH("32",'Truck Input'!$H:$H,0)),"")</f>
        <v>MA</v>
      </c>
      <c r="N5" s="122" t="str">
        <f>IFERROR(INDEX('Truck Input'!$B:$B,MATCH("32",'Truck Input'!$H:$H,0)),"")</f>
        <v>Onyx</v>
      </c>
      <c r="O5" s="143">
        <f>IFERROR(INDEX('Truck Input'!$E:$E,MATCH("32",'Truck Input'!$H:$H,0)),"")</f>
        <v>6000</v>
      </c>
    </row>
    <row r="6" spans="2:15">
      <c r="B6" s="142" t="str">
        <f>IFERROR(INDEX('Truck Input'!$G:$G,MATCH("13",'Truck Input'!$H:$H,0)),"")</f>
        <v/>
      </c>
      <c r="C6" s="122" t="str">
        <f>IFERROR(INDEX('Truck Input'!$D:$D,MATCH("13",'Truck Input'!$H:$H,0)),"")</f>
        <v/>
      </c>
      <c r="D6" s="122" t="str">
        <f>IFERROR(INDEX('Truck Input'!$B:$B,MATCH("13",'Truck Input'!$H:$H,0)),"")</f>
        <v/>
      </c>
      <c r="E6" s="143" t="str">
        <f>IFERROR(INDEX('Truck Input'!$E:$E,MATCH("13",'Truck Input'!$H:$H,0)),"")</f>
        <v/>
      </c>
      <c r="G6" s="142" t="str">
        <f>IFERROR(INDEX('Truck Input'!$G:$G,MATCH("23",'Truck Input'!$H:$H,0)),"")</f>
        <v/>
      </c>
      <c r="H6" s="122" t="str">
        <f>IFERROR(INDEX('Truck Input'!$D:$D,MATCH("23",'Truck Input'!$H:$H,0)),"")</f>
        <v/>
      </c>
      <c r="I6" s="122" t="str">
        <f>IFERROR(INDEX('Truck Input'!$B:$B,MATCH("23",'Truck Input'!$H:$H,0)),"")</f>
        <v/>
      </c>
      <c r="J6" s="143" t="str">
        <f>IFERROR(INDEX('Truck Input'!$E:$E,MATCH("23",'Truck Input'!$H:$H,0)),"")</f>
        <v/>
      </c>
      <c r="L6" s="142">
        <f>IFERROR(INDEX('Truck Input'!$G:$G,MATCH("33",'Truck Input'!$H:$H,0)),"")</f>
        <v>44936</v>
      </c>
      <c r="M6" s="122" t="str">
        <f>IFERROR(INDEX('Truck Input'!$D:$D,MATCH("33",'Truck Input'!$H:$H,0)),"")</f>
        <v>NY</v>
      </c>
      <c r="N6" s="122" t="str">
        <f>IFERROR(INDEX('Truck Input'!$B:$B,MATCH("33",'Truck Input'!$H:$H,0)),"")</f>
        <v>Stone</v>
      </c>
      <c r="O6" s="143">
        <f>IFERROR(INDEX('Truck Input'!$E:$E,MATCH("33",'Truck Input'!$H:$H,0)),"")</f>
        <v>4000</v>
      </c>
    </row>
    <row r="7" spans="2:15">
      <c r="B7" s="142" t="str">
        <f>IFERROR(INDEX('Truck Input'!$G:$G,MATCH("14",'Truck Input'!$H:$H,0)),"")</f>
        <v/>
      </c>
      <c r="C7" s="122" t="str">
        <f>IFERROR(INDEX('Truck Input'!$D:$D,MATCH("14",'Truck Input'!$H:$H,0)),"")</f>
        <v/>
      </c>
      <c r="D7" s="122" t="str">
        <f>IFERROR(INDEX('Truck Input'!$B:$B,MATCH("14",'Truck Input'!$H:$H,0)),"")</f>
        <v/>
      </c>
      <c r="E7" s="143" t="str">
        <f>IFERROR(INDEX('Truck Input'!$E:$E,MATCH("14",'Truck Input'!$H:$H,0)),"")</f>
        <v/>
      </c>
      <c r="G7" s="142" t="str">
        <f>IFERROR(INDEX('Truck Input'!$G:$G,MATCH("24",'Truck Input'!$H:$H,0)),"")</f>
        <v/>
      </c>
      <c r="H7" s="122" t="str">
        <f>IFERROR(INDEX('Truck Input'!$D:$D,MATCH("24",'Truck Input'!$H:$H,0)),"")</f>
        <v/>
      </c>
      <c r="I7" s="122" t="str">
        <f>IFERROR(INDEX('Truck Input'!$B:$B,MATCH("24",'Truck Input'!$H:$H,0)),"")</f>
        <v/>
      </c>
      <c r="J7" s="143" t="str">
        <f>IFERROR(INDEX('Truck Input'!$E:$E,MATCH("24",'Truck Input'!$H:$H,0)),"")</f>
        <v/>
      </c>
      <c r="L7" s="142">
        <f>IFERROR(INDEX('Truck Input'!$G:$G,MATCH("34",'Truck Input'!$H:$H,0)),"")</f>
        <v>44936</v>
      </c>
      <c r="M7" s="122" t="str">
        <f>IFERROR(INDEX('Truck Input'!$D:$D,MATCH("34",'Truck Input'!$H:$H,0)),"")</f>
        <v>MA</v>
      </c>
      <c r="N7" s="122" t="str">
        <f>IFERROR(INDEX('Truck Input'!$B:$B,MATCH("34",'Truck Input'!$H:$H,0)),"")</f>
        <v>Suddekor</v>
      </c>
      <c r="O7" s="143">
        <f>IFERROR(INDEX('Truck Input'!$E:$E,MATCH("34",'Truck Input'!$H:$H,0)),"")</f>
        <v>500</v>
      </c>
    </row>
    <row r="8" spans="2:15">
      <c r="B8" s="142" t="str">
        <f>IFERROR(INDEX('Truck Input'!$G:$G,MATCH("15",'Truck Input'!$H:$H,0)),"")</f>
        <v/>
      </c>
      <c r="C8" s="122" t="str">
        <f>IFERROR(INDEX('Truck Input'!$D:$D,MATCH("15",'Truck Input'!$H:$H,0)),"")</f>
        <v/>
      </c>
      <c r="D8" s="122" t="str">
        <f>IFERROR(INDEX('Truck Input'!$B:$B,MATCH("15",'Truck Input'!$H:$H,0)),"")</f>
        <v/>
      </c>
      <c r="E8" s="143" t="str">
        <f>IFERROR(INDEX('Truck Input'!$E:$E,MATCH("15",'Truck Input'!$H:$H,0)),"")</f>
        <v/>
      </c>
      <c r="G8" s="142" t="str">
        <f>IFERROR(INDEX('Truck Input'!$G:$G,MATCH("25",'Truck Input'!$H:$H,0)),"")</f>
        <v/>
      </c>
      <c r="H8" s="122" t="str">
        <f>IFERROR(INDEX('Truck Input'!$D:$D,MATCH("25",'Truck Input'!$H:$H,0)),"")</f>
        <v/>
      </c>
      <c r="I8" s="122" t="str">
        <f>IFERROR(INDEX('Truck Input'!$B:$B,MATCH("25",'Truck Input'!$H:$H,0)),"")</f>
        <v/>
      </c>
      <c r="J8" s="143" t="str">
        <f>IFERROR(INDEX('Truck Input'!$E:$E,MATCH("25",'Truck Input'!$H:$H,0)),"")</f>
        <v/>
      </c>
      <c r="L8" s="142" t="str">
        <f>IFERROR(INDEX('Truck Input'!$G:$G,MATCH("35",'Truck Input'!$H:$H,0)),"")</f>
        <v/>
      </c>
      <c r="M8" s="122" t="str">
        <f>IFERROR(INDEX('Truck Input'!$D:$D,MATCH("35",'Truck Input'!$H:$H,0)),"")</f>
        <v/>
      </c>
      <c r="N8" s="122" t="str">
        <f>IFERROR(INDEX('Truck Input'!$B:$B,MATCH("35",'Truck Input'!$H:$H,0)),"")</f>
        <v/>
      </c>
      <c r="O8" s="143" t="str">
        <f>IFERROR(INDEX('Truck Input'!$E:$E,MATCH("35",'Truck Input'!$H:$H,0)),"")</f>
        <v/>
      </c>
    </row>
    <row r="9" spans="2:15" ht="15.75" thickBot="1">
      <c r="B9" s="144" t="str">
        <f>IFERROR(INDEX('Truck Input'!$G:$G,MATCH("16",'Truck Input'!$H:$H,0)),"")</f>
        <v/>
      </c>
      <c r="C9" s="139" t="str">
        <f>IFERROR(INDEX('Truck Input'!$D:$D,MATCH("16",'Truck Input'!$H:$H,0)),"")</f>
        <v/>
      </c>
      <c r="D9" s="139" t="str">
        <f>IFERROR(INDEX('Truck Input'!$B:$B,MATCH("16",'Truck Input'!$H:$H,0)),"")</f>
        <v/>
      </c>
      <c r="E9" s="145" t="str">
        <f>IFERROR(INDEX('Truck Input'!$E:$E,MATCH("16",'Truck Input'!$H:$H,0)),"")</f>
        <v/>
      </c>
      <c r="G9" s="146" t="str">
        <f>IFERROR(INDEX('Truck Input'!$G:$G,MATCH("26",'Truck Input'!$H:$H,0)),"")</f>
        <v/>
      </c>
      <c r="H9" s="123" t="str">
        <f>IFERROR(INDEX('Truck Input'!$D:$D,MATCH("26",'Truck Input'!$H:$H,0)),"")</f>
        <v/>
      </c>
      <c r="I9" s="123" t="str">
        <f>IFERROR(INDEX('Truck Input'!$B:$B,MATCH("26",'Truck Input'!$H:$H,0)),"")</f>
        <v/>
      </c>
      <c r="J9" s="147" t="str">
        <f>IFERROR(INDEX('Truck Input'!$E:$E,MATCH("26",'Truck Input'!$H:$H,0)),"")</f>
        <v/>
      </c>
      <c r="L9" s="144" t="str">
        <f>IFERROR(INDEX('Truck Input'!$G:$G,MATCH("36",'Truck Input'!$H:$H,0)),"")</f>
        <v/>
      </c>
      <c r="M9" s="139" t="str">
        <f>IFERROR(INDEX('Truck Input'!$D:$D,MATCH("36",'Truck Input'!$H:$H,0)),"")</f>
        <v/>
      </c>
      <c r="N9" s="139" t="str">
        <f>IFERROR(INDEX('Truck Input'!$B:$B,MATCH("36",'Truck Input'!$H:$H,0)),"")</f>
        <v/>
      </c>
      <c r="O9" s="148" t="str">
        <f>IFERROR(INDEX('Truck Input'!$E:$E,MATCH("36",'Truck Input'!$H:$H,0)),"")</f>
        <v/>
      </c>
    </row>
    <row r="10" spans="2:15" s="127" customFormat="1" ht="15.75">
      <c r="B10" s="279" t="s">
        <v>5838</v>
      </c>
      <c r="C10" s="280"/>
      <c r="D10" s="281"/>
      <c r="E10" s="140">
        <f>SUM(E4:E9)</f>
        <v>15500</v>
      </c>
      <c r="G10" s="268" t="s">
        <v>5838</v>
      </c>
      <c r="H10" s="269"/>
      <c r="I10" s="270"/>
      <c r="J10" s="126">
        <f>SUM(J4:J9)</f>
        <v>2500</v>
      </c>
      <c r="L10" s="279" t="s">
        <v>5838</v>
      </c>
      <c r="M10" s="280"/>
      <c r="N10" s="281"/>
      <c r="O10" s="126">
        <f>SUM(O4:O9)</f>
        <v>12466</v>
      </c>
    </row>
    <row r="11" spans="2:15">
      <c r="B11" s="271" t="s">
        <v>5823</v>
      </c>
      <c r="C11" s="272"/>
      <c r="D11" s="273" t="str">
        <f>IF('Truck Input'!$M$3="","",'Truck Input'!$M$3)</f>
        <v>A. Duie Pyle</v>
      </c>
      <c r="E11" s="274"/>
      <c r="G11" s="271" t="s">
        <v>5823</v>
      </c>
      <c r="H11" s="272"/>
      <c r="I11" s="273" t="str">
        <f>IF('Truck Input'!$M$4="","",'Truck Input'!$M$4)</f>
        <v>Old Dominion</v>
      </c>
      <c r="J11" s="274"/>
      <c r="L11" s="271" t="s">
        <v>5823</v>
      </c>
      <c r="M11" s="272"/>
      <c r="N11" s="273" t="str">
        <f>IF('Truck Input'!$M$5="","",'Truck Input'!$M$5)</f>
        <v>Heniff</v>
      </c>
      <c r="O11" s="274"/>
    </row>
    <row r="12" spans="2:15" ht="15.75" thickBot="1">
      <c r="B12" s="275" t="s">
        <v>5841</v>
      </c>
      <c r="C12" s="276"/>
      <c r="D12" s="277">
        <f>IF('Truck Input'!$L$3="","",'Truck Input'!$L$3)</f>
        <v>44936</v>
      </c>
      <c r="E12" s="278"/>
      <c r="G12" s="275" t="s">
        <v>5841</v>
      </c>
      <c r="H12" s="276"/>
      <c r="I12" s="277">
        <f>IF('Truck Input'!$L$4="","",'Truck Input'!$L$4)</f>
        <v>44938</v>
      </c>
      <c r="J12" s="278"/>
      <c r="L12" s="275" t="s">
        <v>5841</v>
      </c>
      <c r="M12" s="276"/>
      <c r="N12" s="277">
        <f>IF('Truck Input'!$L$5="","",'Truck Input'!$L$5)</f>
        <v>44937</v>
      </c>
      <c r="O12" s="278"/>
    </row>
    <row r="14" spans="2:15" ht="15.75" thickBot="1"/>
    <row r="15" spans="2:15" s="128" customFormat="1" ht="21.75" thickBot="1">
      <c r="B15" s="265" t="s">
        <v>5845</v>
      </c>
      <c r="C15" s="266"/>
      <c r="D15" s="266"/>
      <c r="E15" s="267"/>
      <c r="G15" s="265" t="s">
        <v>5846</v>
      </c>
      <c r="H15" s="266"/>
      <c r="I15" s="266"/>
      <c r="J15" s="267"/>
      <c r="L15" s="265" t="s">
        <v>5847</v>
      </c>
      <c r="M15" s="266"/>
      <c r="N15" s="266"/>
      <c r="O15" s="267"/>
    </row>
    <row r="16" spans="2:15" ht="15.75" thickBot="1">
      <c r="B16" s="131" t="s">
        <v>5839</v>
      </c>
      <c r="C16" s="132" t="s">
        <v>5447</v>
      </c>
      <c r="D16" s="132" t="s">
        <v>3517</v>
      </c>
      <c r="E16" s="133" t="s">
        <v>5837</v>
      </c>
      <c r="G16" s="131" t="s">
        <v>5839</v>
      </c>
      <c r="H16" s="132" t="s">
        <v>5447</v>
      </c>
      <c r="I16" s="132" t="s">
        <v>3517</v>
      </c>
      <c r="J16" s="133" t="s">
        <v>5837</v>
      </c>
      <c r="L16" s="131" t="s">
        <v>5839</v>
      </c>
      <c r="M16" s="132" t="s">
        <v>5447</v>
      </c>
      <c r="N16" s="132" t="s">
        <v>3517</v>
      </c>
      <c r="O16" s="133" t="s">
        <v>5837</v>
      </c>
    </row>
    <row r="17" spans="2:15" ht="15.75" thickTop="1">
      <c r="B17" s="142">
        <f>IFERROR(INDEX('Truck Input'!$G:$G,MATCH("41",'Truck Input'!$H:$H,0)),"")</f>
        <v>44935</v>
      </c>
      <c r="C17" s="122" t="str">
        <f>IFERROR(INDEX('Truck Input'!$D:$D,MATCH("41",'Truck Input'!$H:$H,0)),"")</f>
        <v>PA</v>
      </c>
      <c r="D17" s="122" t="str">
        <f>IFERROR(INDEX('Truck Input'!$B:$B,MATCH("41",'Truck Input'!$H:$H,0)),"")</f>
        <v>ADP</v>
      </c>
      <c r="E17" s="143">
        <f>IFERROR(INDEX('Truck Input'!$E:$E,MATCH("41",'Truck Input'!$H:$H,0)),"")</f>
        <v>500</v>
      </c>
      <c r="G17" s="142" t="str">
        <f>IFERROR(INDEX('Truck Input'!$G:$G,MATCH("51",'Truck Input'!$H:$H,0)),"")</f>
        <v/>
      </c>
      <c r="H17" s="122" t="str">
        <f>IFERROR(INDEX('Truck Input'!$D:$D,MATCH("51",'Truck Input'!$H:$H,0)),"")</f>
        <v/>
      </c>
      <c r="I17" s="122" t="str">
        <f>IFERROR(INDEX('Truck Input'!$B:$B,MATCH("51",'Truck Input'!$H:$H,0)),"")</f>
        <v/>
      </c>
      <c r="J17" s="143" t="str">
        <f>IFERROR(INDEX('Truck Input'!$E:$E,MATCH("51",'Truck Input'!$H:$H,0)),"")</f>
        <v/>
      </c>
      <c r="L17" s="142" t="str">
        <f>IFERROR(INDEX('Truck Input'!$G:$G,MATCH("61",'Truck Input'!$H:$H,0)),"")</f>
        <v/>
      </c>
      <c r="M17" s="122" t="str">
        <f>IFERROR(INDEX('Truck Input'!$D:$D,MATCH("61",'Truck Input'!$H:$H,0)),"")</f>
        <v/>
      </c>
      <c r="N17" s="122" t="str">
        <f>IFERROR(INDEX('Truck Input'!$B:$B,MATCH("61",'Truck Input'!$H:$H,0)),"")</f>
        <v/>
      </c>
      <c r="O17" s="143" t="str">
        <f>IFERROR(INDEX('Truck Input'!$E:$E,MATCH("61",'Truck Input'!$H:$H,0)),"")</f>
        <v/>
      </c>
    </row>
    <row r="18" spans="2:15">
      <c r="B18" s="142" t="str">
        <f>IFERROR(INDEX('Truck Input'!$G:$G,MATCH("42",'Truck Input'!$H:$H,0)),"")</f>
        <v/>
      </c>
      <c r="C18" s="122" t="str">
        <f>IFERROR(INDEX('Truck Input'!$D:$D,MATCH("42",'Truck Input'!$H:$H,0)),"")</f>
        <v/>
      </c>
      <c r="D18" s="122" t="str">
        <f>IFERROR(INDEX('Truck Input'!$B:$B,MATCH("42",'Truck Input'!$H:$H,0)),"")</f>
        <v/>
      </c>
      <c r="E18" s="143" t="str">
        <f>IFERROR(INDEX('Truck Input'!$E:$E,MATCH("42",'Truck Input'!$H:$H,0)),"")</f>
        <v/>
      </c>
      <c r="G18" s="142" t="str">
        <f>IFERROR(INDEX('Truck Input'!$G:$G,MATCH("52",'Truck Input'!$H:$H,0)),"")</f>
        <v/>
      </c>
      <c r="H18" s="122" t="str">
        <f>IFERROR(INDEX('Truck Input'!$D:$D,MATCH("52",'Truck Input'!$H:$H,0)),"")</f>
        <v/>
      </c>
      <c r="I18" s="122" t="str">
        <f>IFERROR(INDEX('Truck Input'!$B:$B,MATCH("52",'Truck Input'!$H:$H,0)),"")</f>
        <v/>
      </c>
      <c r="J18" s="143" t="str">
        <f>IFERROR(INDEX('Truck Input'!$E:$E,MATCH("52",'Truck Input'!$H:$H,0)),"")</f>
        <v/>
      </c>
      <c r="L18" s="142" t="str">
        <f>IFERROR(INDEX('Truck Input'!$G:$G,MATCH("62",'Truck Input'!$H:$H,0)),"")</f>
        <v/>
      </c>
      <c r="M18" s="122" t="str">
        <f>IFERROR(INDEX('Truck Input'!$D:$D,MATCH("62",'Truck Input'!$H:$H,0)),"")</f>
        <v/>
      </c>
      <c r="N18" s="122" t="str">
        <f>IFERROR(INDEX('Truck Input'!$B:$B,MATCH("62",'Truck Input'!$H:$H,0)),"")</f>
        <v/>
      </c>
      <c r="O18" s="143" t="str">
        <f>IFERROR(INDEX('Truck Input'!$E:$E,MATCH("62",'Truck Input'!$H:$H,0)),"")</f>
        <v/>
      </c>
    </row>
    <row r="19" spans="2:15">
      <c r="B19" s="142" t="str">
        <f>IFERROR(INDEX('Truck Input'!$G:$G,MATCH("43",'Truck Input'!$H:$H,0)),"")</f>
        <v/>
      </c>
      <c r="C19" s="122" t="str">
        <f>IFERROR(INDEX('Truck Input'!$D:$D,MATCH("43",'Truck Input'!$H:$H,0)),"")</f>
        <v/>
      </c>
      <c r="D19" s="122" t="str">
        <f>IFERROR(INDEX('Truck Input'!$B:$B,MATCH("43",'Truck Input'!$H:$H,0)),"")</f>
        <v/>
      </c>
      <c r="E19" s="143" t="str">
        <f>IFERROR(INDEX('Truck Input'!$E:$E,MATCH("43",'Truck Input'!$H:$H,0)),"")</f>
        <v/>
      </c>
      <c r="G19" s="142" t="str">
        <f>IFERROR(INDEX('Truck Input'!$G:$G,MATCH("53",'Truck Input'!$H:$H,0)),"")</f>
        <v/>
      </c>
      <c r="H19" s="122" t="str">
        <f>IFERROR(INDEX('Truck Input'!$D:$D,MATCH("53",'Truck Input'!$H:$H,0)),"")</f>
        <v/>
      </c>
      <c r="I19" s="122" t="str">
        <f>IFERROR(INDEX('Truck Input'!$B:$B,MATCH("53",'Truck Input'!$H:$H,0)),"")</f>
        <v/>
      </c>
      <c r="J19" s="143" t="str">
        <f>IFERROR(INDEX('Truck Input'!$E:$E,MATCH("53",'Truck Input'!$H:$H,0)),"")</f>
        <v/>
      </c>
      <c r="L19" s="142" t="str">
        <f>IFERROR(INDEX('Truck Input'!$G:$G,MATCH("63",'Truck Input'!$H:$H,0)),"")</f>
        <v/>
      </c>
      <c r="M19" s="122" t="str">
        <f>IFERROR(INDEX('Truck Input'!$D:$D,MATCH("63",'Truck Input'!$H:$H,0)),"")</f>
        <v/>
      </c>
      <c r="N19" s="122" t="str">
        <f>IFERROR(INDEX('Truck Input'!$B:$B,MATCH("63",'Truck Input'!$H:$H,0)),"")</f>
        <v/>
      </c>
      <c r="O19" s="143" t="str">
        <f>IFERROR(INDEX('Truck Input'!$E:$E,MATCH("63",'Truck Input'!$H:$H,0)),"")</f>
        <v/>
      </c>
    </row>
    <row r="20" spans="2:15">
      <c r="B20" s="142" t="str">
        <f>IFERROR(INDEX('Truck Input'!$G:$G,MATCH("44",'Truck Input'!$H:$H,0)),"")</f>
        <v/>
      </c>
      <c r="C20" s="122" t="str">
        <f>IFERROR(INDEX('Truck Input'!$D:$D,MATCH("44",'Truck Input'!$H:$H,0)),"")</f>
        <v/>
      </c>
      <c r="D20" s="122" t="str">
        <f>IFERROR(INDEX('Truck Input'!$B:$B,MATCH("44",'Truck Input'!$H:$H,0)),"")</f>
        <v/>
      </c>
      <c r="E20" s="143" t="str">
        <f>IFERROR(INDEX('Truck Input'!$E:$E,MATCH("44",'Truck Input'!$H:$H,0)),"")</f>
        <v/>
      </c>
      <c r="G20" s="142" t="str">
        <f>IFERROR(INDEX('Truck Input'!$G:$G,MATCH("54",'Truck Input'!$H:$H,0)),"")</f>
        <v/>
      </c>
      <c r="H20" s="122" t="str">
        <f>IFERROR(INDEX('Truck Input'!$D:$D,MATCH("54",'Truck Input'!$H:$H,0)),"")</f>
        <v/>
      </c>
      <c r="I20" s="122" t="str">
        <f>IFERROR(INDEX('Truck Input'!$B:$B,MATCH("54",'Truck Input'!$H:$H,0)),"")</f>
        <v/>
      </c>
      <c r="J20" s="143" t="str">
        <f>IFERROR(INDEX('Truck Input'!$E:$E,MATCH("54",'Truck Input'!$H:$H,0)),"")</f>
        <v/>
      </c>
      <c r="L20" s="142" t="str">
        <f>IFERROR(INDEX('Truck Input'!$G:$G,MATCH("64",'Truck Input'!$H:$H,0)),"")</f>
        <v/>
      </c>
      <c r="M20" s="122" t="str">
        <f>IFERROR(INDEX('Truck Input'!$D:$D,MATCH("64",'Truck Input'!$H:$H,0)),"")</f>
        <v/>
      </c>
      <c r="N20" s="122" t="str">
        <f>IFERROR(INDEX('Truck Input'!$B:$B,MATCH("64",'Truck Input'!$H:$H,0)),"")</f>
        <v/>
      </c>
      <c r="O20" s="143" t="str">
        <f>IFERROR(INDEX('Truck Input'!$E:$E,MATCH("64",'Truck Input'!$H:$H,0)),"")</f>
        <v/>
      </c>
    </row>
    <row r="21" spans="2:15">
      <c r="B21" s="142" t="str">
        <f>IFERROR(INDEX('Truck Input'!$G:$G,MATCH("45",'Truck Input'!$H:$H,0)),"")</f>
        <v/>
      </c>
      <c r="C21" s="122" t="str">
        <f>IFERROR(INDEX('Truck Input'!$D:$D,MATCH("45",'Truck Input'!$H:$H,0)),"")</f>
        <v/>
      </c>
      <c r="D21" s="122" t="str">
        <f>IFERROR(INDEX('Truck Input'!$B:$B,MATCH("45",'Truck Input'!$H:$H,0)),"")</f>
        <v/>
      </c>
      <c r="E21" s="143" t="str">
        <f>IFERROR(INDEX('Truck Input'!$E:$E,MATCH("45",'Truck Input'!$H:$H,0)),"")</f>
        <v/>
      </c>
      <c r="G21" s="142" t="str">
        <f>IFERROR(INDEX('Truck Input'!$G:$G,MATCH("55",'Truck Input'!$H:$H,0)),"")</f>
        <v/>
      </c>
      <c r="H21" s="122" t="str">
        <f>IFERROR(INDEX('Truck Input'!$D:$D,MATCH("55",'Truck Input'!$H:$H,0)),"")</f>
        <v/>
      </c>
      <c r="I21" s="122" t="str">
        <f>IFERROR(INDEX('Truck Input'!$B:$B,MATCH("55",'Truck Input'!$H:$H,0)),"")</f>
        <v/>
      </c>
      <c r="J21" s="143" t="str">
        <f>IFERROR(INDEX('Truck Input'!$E:$E,MATCH("55",'Truck Input'!$H:$H,0)),"")</f>
        <v/>
      </c>
      <c r="L21" s="142" t="str">
        <f>IFERROR(INDEX('Truck Input'!$G:$G,MATCH("65",'Truck Input'!$H:$H,0)),"")</f>
        <v/>
      </c>
      <c r="M21" s="122" t="str">
        <f>IFERROR(INDEX('Truck Input'!$D:$D,MATCH("65",'Truck Input'!$H:$H,0)),"")</f>
        <v/>
      </c>
      <c r="N21" s="122" t="str">
        <f>IFERROR(INDEX('Truck Input'!$B:$B,MATCH("65",'Truck Input'!$H:$H,0)),"")</f>
        <v/>
      </c>
      <c r="O21" s="143" t="str">
        <f>IFERROR(INDEX('Truck Input'!$E:$E,MATCH("65",'Truck Input'!$H:$H,0)),"")</f>
        <v/>
      </c>
    </row>
    <row r="22" spans="2:15" ht="15.75" thickBot="1">
      <c r="B22" s="144" t="str">
        <f>IFERROR(INDEX('Truck Input'!$G:$G,MATCH("46",'Truck Input'!$H:$H,0)),"")</f>
        <v/>
      </c>
      <c r="C22" s="139" t="str">
        <f>IFERROR(INDEX('Truck Input'!$D:$D,MATCH("46",'Truck Input'!$H:$H,0)),"")</f>
        <v/>
      </c>
      <c r="D22" s="139" t="str">
        <f>IFERROR(INDEX('Truck Input'!$B:$B,MATCH("46",'Truck Input'!$H:$H,0)),"")</f>
        <v/>
      </c>
      <c r="E22" s="148" t="str">
        <f>IFERROR(INDEX('Truck Input'!$E:$E,MATCH("46",'Truck Input'!$H:$H,0)),"")</f>
        <v/>
      </c>
      <c r="G22" s="144" t="str">
        <f>IFERROR(INDEX('Truck Input'!$G:$G,MATCH("56",'Truck Input'!$H:$H,0)),"")</f>
        <v/>
      </c>
      <c r="H22" s="139" t="str">
        <f>IFERROR(INDEX('Truck Input'!$D:$D,MATCH("56",'Truck Input'!$H:$H,0)),"")</f>
        <v/>
      </c>
      <c r="I22" s="139" t="str">
        <f>IFERROR(INDEX('Truck Input'!$B:$B,MATCH("56",'Truck Input'!$H:$H,0)),"")</f>
        <v/>
      </c>
      <c r="J22" s="148" t="str">
        <f>IFERROR(INDEX('Truck Input'!$E:$E,MATCH("56",'Truck Input'!$H:$H,0)),"")</f>
        <v/>
      </c>
      <c r="L22" s="149" t="str">
        <f>IFERROR(INDEX('Truck Input'!$G:$G,MATCH("66",'Truck Input'!$H:$H,0)),"")</f>
        <v/>
      </c>
      <c r="M22" s="141" t="str">
        <f>IFERROR(INDEX('Truck Input'!$D:$D,MATCH("66",'Truck Input'!$H:$H,0)),"")</f>
        <v/>
      </c>
      <c r="N22" s="141" t="str">
        <f>IFERROR(INDEX('Truck Input'!$B:$B,MATCH("66",'Truck Input'!$H:$H,0)),"")</f>
        <v/>
      </c>
      <c r="O22" s="148" t="str">
        <f>IFERROR(INDEX('Truck Input'!$E:$E,MATCH("66",'Truck Input'!$H:$H,0)),"")</f>
        <v/>
      </c>
    </row>
    <row r="23" spans="2:15" s="127" customFormat="1" ht="15.75">
      <c r="B23" s="279" t="s">
        <v>5838</v>
      </c>
      <c r="C23" s="280"/>
      <c r="D23" s="281"/>
      <c r="E23" s="126">
        <f>SUM(E17:E22)</f>
        <v>500</v>
      </c>
      <c r="G23" s="279" t="s">
        <v>5838</v>
      </c>
      <c r="H23" s="280"/>
      <c r="I23" s="281"/>
      <c r="J23" s="126">
        <f>SUM(J17:J22)</f>
        <v>0</v>
      </c>
      <c r="L23" s="268" t="s">
        <v>5838</v>
      </c>
      <c r="M23" s="269"/>
      <c r="N23" s="270"/>
      <c r="O23" s="126">
        <f>SUM(O17:O22)</f>
        <v>0</v>
      </c>
    </row>
    <row r="24" spans="2:15">
      <c r="B24" s="271" t="s">
        <v>5823</v>
      </c>
      <c r="C24" s="272"/>
      <c r="D24" s="273" t="str">
        <f>IF('Truck Input'!$M$6="","",'Truck Input'!$M$6)</f>
        <v>ONE</v>
      </c>
      <c r="E24" s="274"/>
      <c r="G24" s="271" t="s">
        <v>5823</v>
      </c>
      <c r="H24" s="272"/>
      <c r="I24" s="273" t="str">
        <f>IF('Truck Input'!$M$7="","",'Truck Input'!$M$7)</f>
        <v/>
      </c>
      <c r="J24" s="274"/>
      <c r="L24" s="271" t="s">
        <v>5823</v>
      </c>
      <c r="M24" s="272"/>
      <c r="N24" s="273" t="str">
        <f>IF('Truck Input'!$M$8="","",'Truck Input'!$M$8)</f>
        <v/>
      </c>
      <c r="O24" s="274"/>
    </row>
    <row r="25" spans="2:15" ht="15.75" thickBot="1">
      <c r="B25" s="275" t="s">
        <v>5841</v>
      </c>
      <c r="C25" s="276"/>
      <c r="D25" s="277">
        <f>IF('Truck Input'!$L$6="","",'Truck Input'!$L$6)</f>
        <v>44938</v>
      </c>
      <c r="E25" s="278"/>
      <c r="G25" s="275" t="s">
        <v>5841</v>
      </c>
      <c r="H25" s="276"/>
      <c r="I25" s="277" t="str">
        <f>IF('Truck Input'!$L$7="","",'Truck Input'!$L$7)</f>
        <v/>
      </c>
      <c r="J25" s="278"/>
      <c r="L25" s="275" t="s">
        <v>5841</v>
      </c>
      <c r="M25" s="276"/>
      <c r="N25" s="277" t="str">
        <f>IF('Truck Input'!$L$8="","",'Truck Input'!$L$8)</f>
        <v/>
      </c>
      <c r="O25" s="278"/>
    </row>
    <row r="27" spans="2:15" ht="15.75" thickBot="1"/>
    <row r="28" spans="2:15" s="128" customFormat="1" ht="18.75">
      <c r="B28" s="252" t="s">
        <v>5842</v>
      </c>
      <c r="C28" s="253"/>
      <c r="D28" s="253"/>
      <c r="E28" s="254"/>
      <c r="G28" s="129"/>
    </row>
    <row r="29" spans="2:15" ht="28.5" customHeight="1" thickBot="1">
      <c r="B29" s="250" t="s">
        <v>5855</v>
      </c>
      <c r="C29" s="251"/>
      <c r="D29" s="120" t="s">
        <v>0</v>
      </c>
      <c r="E29" s="121" t="s">
        <v>5837</v>
      </c>
      <c r="J29" s="257" t="s">
        <v>5848</v>
      </c>
      <c r="K29" s="258"/>
      <c r="L29" s="259"/>
      <c r="M29" s="260" t="str">
        <f>_xlfn.CONCAT(" ",TEXT(SUM($E$10,$J$10,$O$10,$E$23,$J$23,$O$23,$E$30:$E$33),"##,#")," lbs.")</f>
        <v xml:space="preserve"> 32,966 lbs.</v>
      </c>
      <c r="N29" s="261"/>
    </row>
    <row r="30" spans="2:15" ht="16.5" customHeight="1" thickTop="1">
      <c r="B30" s="255" t="s">
        <v>5853</v>
      </c>
      <c r="C30" s="256"/>
      <c r="D30" s="119" t="s">
        <v>3693</v>
      </c>
      <c r="E30" s="124">
        <f>IFERROR(INDEX('Truck Input'!$E:$E,MATCH($D30,'Truck Input'!$B:$B,0)),0)</f>
        <v>2000</v>
      </c>
      <c r="G30" s="125"/>
    </row>
    <row r="31" spans="2:15" ht="15" customHeight="1">
      <c r="B31" s="262" t="s">
        <v>5853</v>
      </c>
      <c r="C31" s="262"/>
      <c r="D31" s="119" t="s">
        <v>3873</v>
      </c>
      <c r="E31" s="124">
        <f>IFERROR(INDEX('Truck Input'!$E:$E,MATCH($D31,'Truck Input'!$B:$B,0)),0)</f>
        <v>0</v>
      </c>
      <c r="G31" s="125"/>
      <c r="L31" s="158">
        <f ca="1">TODAY()</f>
        <v>44935</v>
      </c>
    </row>
    <row r="32" spans="2:15" ht="15" customHeight="1">
      <c r="B32" s="263" t="s">
        <v>5854</v>
      </c>
      <c r="C32" s="264"/>
      <c r="D32" s="119" t="s">
        <v>5689</v>
      </c>
      <c r="E32" s="124">
        <f>IFERROR(INDEX('Truck Input'!$E:$E,MATCH($D32,'Truck Input'!$B:$B,0)),0)</f>
        <v>0</v>
      </c>
      <c r="G32" s="125"/>
    </row>
    <row r="33" spans="2:7">
      <c r="B33" s="263" t="s">
        <v>5854</v>
      </c>
      <c r="C33" s="264"/>
      <c r="D33" s="119" t="s">
        <v>3893</v>
      </c>
      <c r="E33" s="124">
        <f>IFERROR(INDEX('Truck Input'!$E:$E,MATCH($D33,'Truck Input'!$B:$B,0)),0)</f>
        <v>0</v>
      </c>
      <c r="G33" s="125"/>
    </row>
  </sheetData>
  <mergeCells count="44">
    <mergeCell ref="B15:E15"/>
    <mergeCell ref="B2:E2"/>
    <mergeCell ref="B11:C11"/>
    <mergeCell ref="B10:D10"/>
    <mergeCell ref="B12:C12"/>
    <mergeCell ref="D12:E12"/>
    <mergeCell ref="D11:E11"/>
    <mergeCell ref="G15:J15"/>
    <mergeCell ref="G23:I23"/>
    <mergeCell ref="G24:H24"/>
    <mergeCell ref="I24:J24"/>
    <mergeCell ref="L2:O2"/>
    <mergeCell ref="L10:N10"/>
    <mergeCell ref="L11:M11"/>
    <mergeCell ref="N11:O11"/>
    <mergeCell ref="L12:M12"/>
    <mergeCell ref="N12:O12"/>
    <mergeCell ref="G2:J2"/>
    <mergeCell ref="G10:I10"/>
    <mergeCell ref="G11:H11"/>
    <mergeCell ref="I11:J11"/>
    <mergeCell ref="G12:H12"/>
    <mergeCell ref="I12:J12"/>
    <mergeCell ref="B31:C31"/>
    <mergeCell ref="B32:C32"/>
    <mergeCell ref="B33:C33"/>
    <mergeCell ref="L15:O15"/>
    <mergeCell ref="L23:N23"/>
    <mergeCell ref="L24:M24"/>
    <mergeCell ref="N24:O24"/>
    <mergeCell ref="L25:M25"/>
    <mergeCell ref="N25:O25"/>
    <mergeCell ref="G25:H25"/>
    <mergeCell ref="I25:J25"/>
    <mergeCell ref="B23:D23"/>
    <mergeCell ref="B24:C24"/>
    <mergeCell ref="D24:E24"/>
    <mergeCell ref="B25:C25"/>
    <mergeCell ref="D25:E25"/>
    <mergeCell ref="B29:C29"/>
    <mergeCell ref="B28:E28"/>
    <mergeCell ref="B30:C30"/>
    <mergeCell ref="J29:L29"/>
    <mergeCell ref="M29:N29"/>
  </mergeCells>
  <phoneticPr fontId="40" type="noConversion"/>
  <conditionalFormatting sqref="B2:E12">
    <cfRule type="expression" dxfId="1034" priority="6">
      <formula>$E$10=0</formula>
    </cfRule>
  </conditionalFormatting>
  <conditionalFormatting sqref="G2:J12">
    <cfRule type="expression" dxfId="1033" priority="5">
      <formula>$J$10=0</formula>
    </cfRule>
  </conditionalFormatting>
  <conditionalFormatting sqref="L2:O12">
    <cfRule type="expression" dxfId="1032" priority="4">
      <formula>$O$10=0</formula>
    </cfRule>
  </conditionalFormatting>
  <conditionalFormatting sqref="B15:E25">
    <cfRule type="expression" dxfId="1031" priority="3">
      <formula>$E$23=0</formula>
    </cfRule>
  </conditionalFormatting>
  <conditionalFormatting sqref="G15:J25">
    <cfRule type="expression" dxfId="1030" priority="2">
      <formula>$J$23=0</formula>
    </cfRule>
  </conditionalFormatting>
  <conditionalFormatting sqref="L15:O25">
    <cfRule type="expression" dxfId="1029" priority="1">
      <formula>$O$23=0</formula>
    </cfRule>
  </conditionalFormatting>
  <printOptions horizontalCentered="1"/>
  <pageMargins left="0.25" right="0.25" top="0.75" bottom="0.75" header="0.3" footer="0.3"/>
  <pageSetup scale="77" orientation="landscape" r:id="rId1"/>
  <headerFooter>
    <oddHeader>&amp;C&amp;"-,Bold"&amp;16Auburn Paper Release - Truck Lineup</oddHeader>
    <oddFooter>&amp;C&amp;9&amp;K00-049&amp;Z&amp;F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A92F8-EF8F-433C-8FEB-BF8DFEDC228F}">
  <sheetPr codeName="Sheet36">
    <tabColor theme="6" tint="-0.249977111117893"/>
    <pageSetUpPr fitToPage="1"/>
  </sheetPr>
  <dimension ref="A1:R26"/>
  <sheetViews>
    <sheetView showGridLines="0" zoomScaleNormal="100" workbookViewId="0"/>
  </sheetViews>
  <sheetFormatPr defaultRowHeight="12.75"/>
  <cols>
    <col min="1" max="1" width="16.5703125" style="103" customWidth="1"/>
    <col min="2" max="2" width="0.5703125" style="103" customWidth="1"/>
    <col min="3" max="3" width="24.42578125" style="103" customWidth="1"/>
    <col min="4" max="4" width="0.42578125" style="103" customWidth="1"/>
    <col min="5" max="5" width="24.42578125" style="103" customWidth="1"/>
    <col min="6" max="6" width="0.42578125" style="103" customWidth="1"/>
    <col min="7" max="7" width="24.42578125" style="103" customWidth="1"/>
    <col min="8" max="8" width="0.42578125" style="103" customWidth="1"/>
    <col min="9" max="9" width="24.42578125" style="103" customWidth="1"/>
    <col min="10" max="10" width="0.42578125" style="103" customWidth="1"/>
    <col min="11" max="11" width="24.42578125" style="103" customWidth="1"/>
    <col min="12" max="12" width="0.42578125" style="103" customWidth="1"/>
    <col min="13" max="13" width="24.42578125" style="103" customWidth="1"/>
    <col min="14" max="17" width="9.140625" style="103"/>
    <col min="18" max="18" width="10.42578125" style="103" bestFit="1" customWidth="1"/>
    <col min="19" max="262" width="9.140625" style="103"/>
    <col min="263" max="263" width="28.7109375" style="103" customWidth="1"/>
    <col min="264" max="264" width="23.28515625" style="103" bestFit="1" customWidth="1"/>
    <col min="265" max="265" width="26.28515625" style="103" bestFit="1" customWidth="1"/>
    <col min="266" max="266" width="27.28515625" style="103" bestFit="1" customWidth="1"/>
    <col min="267" max="267" width="26.42578125" style="103" customWidth="1"/>
    <col min="268" max="268" width="16" style="103" customWidth="1"/>
    <col min="269" max="269" width="21.42578125" style="103" customWidth="1"/>
    <col min="270" max="518" width="9.140625" style="103"/>
    <col min="519" max="519" width="28.7109375" style="103" customWidth="1"/>
    <col min="520" max="520" width="23.28515625" style="103" bestFit="1" customWidth="1"/>
    <col min="521" max="521" width="26.28515625" style="103" bestFit="1" customWidth="1"/>
    <col min="522" max="522" width="27.28515625" style="103" bestFit="1" customWidth="1"/>
    <col min="523" max="523" width="26.42578125" style="103" customWidth="1"/>
    <col min="524" max="524" width="16" style="103" customWidth="1"/>
    <col min="525" max="525" width="21.42578125" style="103" customWidth="1"/>
    <col min="526" max="774" width="9.140625" style="103"/>
    <col min="775" max="775" width="28.7109375" style="103" customWidth="1"/>
    <col min="776" max="776" width="23.28515625" style="103" bestFit="1" customWidth="1"/>
    <col min="777" max="777" width="26.28515625" style="103" bestFit="1" customWidth="1"/>
    <col min="778" max="778" width="27.28515625" style="103" bestFit="1" customWidth="1"/>
    <col min="779" max="779" width="26.42578125" style="103" customWidth="1"/>
    <col min="780" max="780" width="16" style="103" customWidth="1"/>
    <col min="781" max="781" width="21.42578125" style="103" customWidth="1"/>
    <col min="782" max="1030" width="9.140625" style="103"/>
    <col min="1031" max="1031" width="28.7109375" style="103" customWidth="1"/>
    <col min="1032" max="1032" width="23.28515625" style="103" bestFit="1" customWidth="1"/>
    <col min="1033" max="1033" width="26.28515625" style="103" bestFit="1" customWidth="1"/>
    <col min="1034" max="1034" width="27.28515625" style="103" bestFit="1" customWidth="1"/>
    <col min="1035" max="1035" width="26.42578125" style="103" customWidth="1"/>
    <col min="1036" max="1036" width="16" style="103" customWidth="1"/>
    <col min="1037" max="1037" width="21.42578125" style="103" customWidth="1"/>
    <col min="1038" max="1286" width="9.140625" style="103"/>
    <col min="1287" max="1287" width="28.7109375" style="103" customWidth="1"/>
    <col min="1288" max="1288" width="23.28515625" style="103" bestFit="1" customWidth="1"/>
    <col min="1289" max="1289" width="26.28515625" style="103" bestFit="1" customWidth="1"/>
    <col min="1290" max="1290" width="27.28515625" style="103" bestFit="1" customWidth="1"/>
    <col min="1291" max="1291" width="26.42578125" style="103" customWidth="1"/>
    <col min="1292" max="1292" width="16" style="103" customWidth="1"/>
    <col min="1293" max="1293" width="21.42578125" style="103" customWidth="1"/>
    <col min="1294" max="1542" width="9.140625" style="103"/>
    <col min="1543" max="1543" width="28.7109375" style="103" customWidth="1"/>
    <col min="1544" max="1544" width="23.28515625" style="103" bestFit="1" customWidth="1"/>
    <col min="1545" max="1545" width="26.28515625" style="103" bestFit="1" customWidth="1"/>
    <col min="1546" max="1546" width="27.28515625" style="103" bestFit="1" customWidth="1"/>
    <col min="1547" max="1547" width="26.42578125" style="103" customWidth="1"/>
    <col min="1548" max="1548" width="16" style="103" customWidth="1"/>
    <col min="1549" max="1549" width="21.42578125" style="103" customWidth="1"/>
    <col min="1550" max="1798" width="9.140625" style="103"/>
    <col min="1799" max="1799" width="28.7109375" style="103" customWidth="1"/>
    <col min="1800" max="1800" width="23.28515625" style="103" bestFit="1" customWidth="1"/>
    <col min="1801" max="1801" width="26.28515625" style="103" bestFit="1" customWidth="1"/>
    <col min="1802" max="1802" width="27.28515625" style="103" bestFit="1" customWidth="1"/>
    <col min="1803" max="1803" width="26.42578125" style="103" customWidth="1"/>
    <col min="1804" max="1804" width="16" style="103" customWidth="1"/>
    <col min="1805" max="1805" width="21.42578125" style="103" customWidth="1"/>
    <col min="1806" max="2054" width="9.140625" style="103"/>
    <col min="2055" max="2055" width="28.7109375" style="103" customWidth="1"/>
    <col min="2056" max="2056" width="23.28515625" style="103" bestFit="1" customWidth="1"/>
    <col min="2057" max="2057" width="26.28515625" style="103" bestFit="1" customWidth="1"/>
    <col min="2058" max="2058" width="27.28515625" style="103" bestFit="1" customWidth="1"/>
    <col min="2059" max="2059" width="26.42578125" style="103" customWidth="1"/>
    <col min="2060" max="2060" width="16" style="103" customWidth="1"/>
    <col min="2061" max="2061" width="21.42578125" style="103" customWidth="1"/>
    <col min="2062" max="2310" width="9.140625" style="103"/>
    <col min="2311" max="2311" width="28.7109375" style="103" customWidth="1"/>
    <col min="2312" max="2312" width="23.28515625" style="103" bestFit="1" customWidth="1"/>
    <col min="2313" max="2313" width="26.28515625" style="103" bestFit="1" customWidth="1"/>
    <col min="2314" max="2314" width="27.28515625" style="103" bestFit="1" customWidth="1"/>
    <col min="2315" max="2315" width="26.42578125" style="103" customWidth="1"/>
    <col min="2316" max="2316" width="16" style="103" customWidth="1"/>
    <col min="2317" max="2317" width="21.42578125" style="103" customWidth="1"/>
    <col min="2318" max="2566" width="9.140625" style="103"/>
    <col min="2567" max="2567" width="28.7109375" style="103" customWidth="1"/>
    <col min="2568" max="2568" width="23.28515625" style="103" bestFit="1" customWidth="1"/>
    <col min="2569" max="2569" width="26.28515625" style="103" bestFit="1" customWidth="1"/>
    <col min="2570" max="2570" width="27.28515625" style="103" bestFit="1" customWidth="1"/>
    <col min="2571" max="2571" width="26.42578125" style="103" customWidth="1"/>
    <col min="2572" max="2572" width="16" style="103" customWidth="1"/>
    <col min="2573" max="2573" width="21.42578125" style="103" customWidth="1"/>
    <col min="2574" max="2822" width="9.140625" style="103"/>
    <col min="2823" max="2823" width="28.7109375" style="103" customWidth="1"/>
    <col min="2824" max="2824" width="23.28515625" style="103" bestFit="1" customWidth="1"/>
    <col min="2825" max="2825" width="26.28515625" style="103" bestFit="1" customWidth="1"/>
    <col min="2826" max="2826" width="27.28515625" style="103" bestFit="1" customWidth="1"/>
    <col min="2827" max="2827" width="26.42578125" style="103" customWidth="1"/>
    <col min="2828" max="2828" width="16" style="103" customWidth="1"/>
    <col min="2829" max="2829" width="21.42578125" style="103" customWidth="1"/>
    <col min="2830" max="3078" width="9.140625" style="103"/>
    <col min="3079" max="3079" width="28.7109375" style="103" customWidth="1"/>
    <col min="3080" max="3080" width="23.28515625" style="103" bestFit="1" customWidth="1"/>
    <col min="3081" max="3081" width="26.28515625" style="103" bestFit="1" customWidth="1"/>
    <col min="3082" max="3082" width="27.28515625" style="103" bestFit="1" customWidth="1"/>
    <col min="3083" max="3083" width="26.42578125" style="103" customWidth="1"/>
    <col min="3084" max="3084" width="16" style="103" customWidth="1"/>
    <col min="3085" max="3085" width="21.42578125" style="103" customWidth="1"/>
    <col min="3086" max="3334" width="9.140625" style="103"/>
    <col min="3335" max="3335" width="28.7109375" style="103" customWidth="1"/>
    <col min="3336" max="3336" width="23.28515625" style="103" bestFit="1" customWidth="1"/>
    <col min="3337" max="3337" width="26.28515625" style="103" bestFit="1" customWidth="1"/>
    <col min="3338" max="3338" width="27.28515625" style="103" bestFit="1" customWidth="1"/>
    <col min="3339" max="3339" width="26.42578125" style="103" customWidth="1"/>
    <col min="3340" max="3340" width="16" style="103" customWidth="1"/>
    <col min="3341" max="3341" width="21.42578125" style="103" customWidth="1"/>
    <col min="3342" max="3590" width="9.140625" style="103"/>
    <col min="3591" max="3591" width="28.7109375" style="103" customWidth="1"/>
    <col min="3592" max="3592" width="23.28515625" style="103" bestFit="1" customWidth="1"/>
    <col min="3593" max="3593" width="26.28515625" style="103" bestFit="1" customWidth="1"/>
    <col min="3594" max="3594" width="27.28515625" style="103" bestFit="1" customWidth="1"/>
    <col min="3595" max="3595" width="26.42578125" style="103" customWidth="1"/>
    <col min="3596" max="3596" width="16" style="103" customWidth="1"/>
    <col min="3597" max="3597" width="21.42578125" style="103" customWidth="1"/>
    <col min="3598" max="3846" width="9.140625" style="103"/>
    <col min="3847" max="3847" width="28.7109375" style="103" customWidth="1"/>
    <col min="3848" max="3848" width="23.28515625" style="103" bestFit="1" customWidth="1"/>
    <col min="3849" max="3849" width="26.28515625" style="103" bestFit="1" customWidth="1"/>
    <col min="3850" max="3850" width="27.28515625" style="103" bestFit="1" customWidth="1"/>
    <col min="3851" max="3851" width="26.42578125" style="103" customWidth="1"/>
    <col min="3852" max="3852" width="16" style="103" customWidth="1"/>
    <col min="3853" max="3853" width="21.42578125" style="103" customWidth="1"/>
    <col min="3854" max="4102" width="9.140625" style="103"/>
    <col min="4103" max="4103" width="28.7109375" style="103" customWidth="1"/>
    <col min="4104" max="4104" width="23.28515625" style="103" bestFit="1" customWidth="1"/>
    <col min="4105" max="4105" width="26.28515625" style="103" bestFit="1" customWidth="1"/>
    <col min="4106" max="4106" width="27.28515625" style="103" bestFit="1" customWidth="1"/>
    <col min="4107" max="4107" width="26.42578125" style="103" customWidth="1"/>
    <col min="4108" max="4108" width="16" style="103" customWidth="1"/>
    <col min="4109" max="4109" width="21.42578125" style="103" customWidth="1"/>
    <col min="4110" max="4358" width="9.140625" style="103"/>
    <col min="4359" max="4359" width="28.7109375" style="103" customWidth="1"/>
    <col min="4360" max="4360" width="23.28515625" style="103" bestFit="1" customWidth="1"/>
    <col min="4361" max="4361" width="26.28515625" style="103" bestFit="1" customWidth="1"/>
    <col min="4362" max="4362" width="27.28515625" style="103" bestFit="1" customWidth="1"/>
    <col min="4363" max="4363" width="26.42578125" style="103" customWidth="1"/>
    <col min="4364" max="4364" width="16" style="103" customWidth="1"/>
    <col min="4365" max="4365" width="21.42578125" style="103" customWidth="1"/>
    <col min="4366" max="4614" width="9.140625" style="103"/>
    <col min="4615" max="4615" width="28.7109375" style="103" customWidth="1"/>
    <col min="4616" max="4616" width="23.28515625" style="103" bestFit="1" customWidth="1"/>
    <col min="4617" max="4617" width="26.28515625" style="103" bestFit="1" customWidth="1"/>
    <col min="4618" max="4618" width="27.28515625" style="103" bestFit="1" customWidth="1"/>
    <col min="4619" max="4619" width="26.42578125" style="103" customWidth="1"/>
    <col min="4620" max="4620" width="16" style="103" customWidth="1"/>
    <col min="4621" max="4621" width="21.42578125" style="103" customWidth="1"/>
    <col min="4622" max="4870" width="9.140625" style="103"/>
    <col min="4871" max="4871" width="28.7109375" style="103" customWidth="1"/>
    <col min="4872" max="4872" width="23.28515625" style="103" bestFit="1" customWidth="1"/>
    <col min="4873" max="4873" width="26.28515625" style="103" bestFit="1" customWidth="1"/>
    <col min="4874" max="4874" width="27.28515625" style="103" bestFit="1" customWidth="1"/>
    <col min="4875" max="4875" width="26.42578125" style="103" customWidth="1"/>
    <col min="4876" max="4876" width="16" style="103" customWidth="1"/>
    <col min="4877" max="4877" width="21.42578125" style="103" customWidth="1"/>
    <col min="4878" max="5126" width="9.140625" style="103"/>
    <col min="5127" max="5127" width="28.7109375" style="103" customWidth="1"/>
    <col min="5128" max="5128" width="23.28515625" style="103" bestFit="1" customWidth="1"/>
    <col min="5129" max="5129" width="26.28515625" style="103" bestFit="1" customWidth="1"/>
    <col min="5130" max="5130" width="27.28515625" style="103" bestFit="1" customWidth="1"/>
    <col min="5131" max="5131" width="26.42578125" style="103" customWidth="1"/>
    <col min="5132" max="5132" width="16" style="103" customWidth="1"/>
    <col min="5133" max="5133" width="21.42578125" style="103" customWidth="1"/>
    <col min="5134" max="5382" width="9.140625" style="103"/>
    <col min="5383" max="5383" width="28.7109375" style="103" customWidth="1"/>
    <col min="5384" max="5384" width="23.28515625" style="103" bestFit="1" customWidth="1"/>
    <col min="5385" max="5385" width="26.28515625" style="103" bestFit="1" customWidth="1"/>
    <col min="5386" max="5386" width="27.28515625" style="103" bestFit="1" customWidth="1"/>
    <col min="5387" max="5387" width="26.42578125" style="103" customWidth="1"/>
    <col min="5388" max="5388" width="16" style="103" customWidth="1"/>
    <col min="5389" max="5389" width="21.42578125" style="103" customWidth="1"/>
    <col min="5390" max="5638" width="9.140625" style="103"/>
    <col min="5639" max="5639" width="28.7109375" style="103" customWidth="1"/>
    <col min="5640" max="5640" width="23.28515625" style="103" bestFit="1" customWidth="1"/>
    <col min="5641" max="5641" width="26.28515625" style="103" bestFit="1" customWidth="1"/>
    <col min="5642" max="5642" width="27.28515625" style="103" bestFit="1" customWidth="1"/>
    <col min="5643" max="5643" width="26.42578125" style="103" customWidth="1"/>
    <col min="5644" max="5644" width="16" style="103" customWidth="1"/>
    <col min="5645" max="5645" width="21.42578125" style="103" customWidth="1"/>
    <col min="5646" max="5894" width="9.140625" style="103"/>
    <col min="5895" max="5895" width="28.7109375" style="103" customWidth="1"/>
    <col min="5896" max="5896" width="23.28515625" style="103" bestFit="1" customWidth="1"/>
    <col min="5897" max="5897" width="26.28515625" style="103" bestFit="1" customWidth="1"/>
    <col min="5898" max="5898" width="27.28515625" style="103" bestFit="1" customWidth="1"/>
    <col min="5899" max="5899" width="26.42578125" style="103" customWidth="1"/>
    <col min="5900" max="5900" width="16" style="103" customWidth="1"/>
    <col min="5901" max="5901" width="21.42578125" style="103" customWidth="1"/>
    <col min="5902" max="6150" width="9.140625" style="103"/>
    <col min="6151" max="6151" width="28.7109375" style="103" customWidth="1"/>
    <col min="6152" max="6152" width="23.28515625" style="103" bestFit="1" customWidth="1"/>
    <col min="6153" max="6153" width="26.28515625" style="103" bestFit="1" customWidth="1"/>
    <col min="6154" max="6154" width="27.28515625" style="103" bestFit="1" customWidth="1"/>
    <col min="6155" max="6155" width="26.42578125" style="103" customWidth="1"/>
    <col min="6156" max="6156" width="16" style="103" customWidth="1"/>
    <col min="6157" max="6157" width="21.42578125" style="103" customWidth="1"/>
    <col min="6158" max="6406" width="9.140625" style="103"/>
    <col min="6407" max="6407" width="28.7109375" style="103" customWidth="1"/>
    <col min="6408" max="6408" width="23.28515625" style="103" bestFit="1" customWidth="1"/>
    <col min="6409" max="6409" width="26.28515625" style="103" bestFit="1" customWidth="1"/>
    <col min="6410" max="6410" width="27.28515625" style="103" bestFit="1" customWidth="1"/>
    <col min="6411" max="6411" width="26.42578125" style="103" customWidth="1"/>
    <col min="6412" max="6412" width="16" style="103" customWidth="1"/>
    <col min="6413" max="6413" width="21.42578125" style="103" customWidth="1"/>
    <col min="6414" max="6662" width="9.140625" style="103"/>
    <col min="6663" max="6663" width="28.7109375" style="103" customWidth="1"/>
    <col min="6664" max="6664" width="23.28515625" style="103" bestFit="1" customWidth="1"/>
    <col min="6665" max="6665" width="26.28515625" style="103" bestFit="1" customWidth="1"/>
    <col min="6666" max="6666" width="27.28515625" style="103" bestFit="1" customWidth="1"/>
    <col min="6667" max="6667" width="26.42578125" style="103" customWidth="1"/>
    <col min="6668" max="6668" width="16" style="103" customWidth="1"/>
    <col min="6669" max="6669" width="21.42578125" style="103" customWidth="1"/>
    <col min="6670" max="6918" width="9.140625" style="103"/>
    <col min="6919" max="6919" width="28.7109375" style="103" customWidth="1"/>
    <col min="6920" max="6920" width="23.28515625" style="103" bestFit="1" customWidth="1"/>
    <col min="6921" max="6921" width="26.28515625" style="103" bestFit="1" customWidth="1"/>
    <col min="6922" max="6922" width="27.28515625" style="103" bestFit="1" customWidth="1"/>
    <col min="6923" max="6923" width="26.42578125" style="103" customWidth="1"/>
    <col min="6924" max="6924" width="16" style="103" customWidth="1"/>
    <col min="6925" max="6925" width="21.42578125" style="103" customWidth="1"/>
    <col min="6926" max="7174" width="9.140625" style="103"/>
    <col min="7175" max="7175" width="28.7109375" style="103" customWidth="1"/>
    <col min="7176" max="7176" width="23.28515625" style="103" bestFit="1" customWidth="1"/>
    <col min="7177" max="7177" width="26.28515625" style="103" bestFit="1" customWidth="1"/>
    <col min="7178" max="7178" width="27.28515625" style="103" bestFit="1" customWidth="1"/>
    <col min="7179" max="7179" width="26.42578125" style="103" customWidth="1"/>
    <col min="7180" max="7180" width="16" style="103" customWidth="1"/>
    <col min="7181" max="7181" width="21.42578125" style="103" customWidth="1"/>
    <col min="7182" max="7430" width="9.140625" style="103"/>
    <col min="7431" max="7431" width="28.7109375" style="103" customWidth="1"/>
    <col min="7432" max="7432" width="23.28515625" style="103" bestFit="1" customWidth="1"/>
    <col min="7433" max="7433" width="26.28515625" style="103" bestFit="1" customWidth="1"/>
    <col min="7434" max="7434" width="27.28515625" style="103" bestFit="1" customWidth="1"/>
    <col min="7435" max="7435" width="26.42578125" style="103" customWidth="1"/>
    <col min="7436" max="7436" width="16" style="103" customWidth="1"/>
    <col min="7437" max="7437" width="21.42578125" style="103" customWidth="1"/>
    <col min="7438" max="7686" width="9.140625" style="103"/>
    <col min="7687" max="7687" width="28.7109375" style="103" customWidth="1"/>
    <col min="7688" max="7688" width="23.28515625" style="103" bestFit="1" customWidth="1"/>
    <col min="7689" max="7689" width="26.28515625" style="103" bestFit="1" customWidth="1"/>
    <col min="7690" max="7690" width="27.28515625" style="103" bestFit="1" customWidth="1"/>
    <col min="7691" max="7691" width="26.42578125" style="103" customWidth="1"/>
    <col min="7692" max="7692" width="16" style="103" customWidth="1"/>
    <col min="7693" max="7693" width="21.42578125" style="103" customWidth="1"/>
    <col min="7694" max="7942" width="9.140625" style="103"/>
    <col min="7943" max="7943" width="28.7109375" style="103" customWidth="1"/>
    <col min="7944" max="7944" width="23.28515625" style="103" bestFit="1" customWidth="1"/>
    <col min="7945" max="7945" width="26.28515625" style="103" bestFit="1" customWidth="1"/>
    <col min="7946" max="7946" width="27.28515625" style="103" bestFit="1" customWidth="1"/>
    <col min="7947" max="7947" width="26.42578125" style="103" customWidth="1"/>
    <col min="7948" max="7948" width="16" style="103" customWidth="1"/>
    <col min="7949" max="7949" width="21.42578125" style="103" customWidth="1"/>
    <col min="7950" max="8198" width="9.140625" style="103"/>
    <col min="8199" max="8199" width="28.7109375" style="103" customWidth="1"/>
    <col min="8200" max="8200" width="23.28515625" style="103" bestFit="1" customWidth="1"/>
    <col min="8201" max="8201" width="26.28515625" style="103" bestFit="1" customWidth="1"/>
    <col min="8202" max="8202" width="27.28515625" style="103" bestFit="1" customWidth="1"/>
    <col min="8203" max="8203" width="26.42578125" style="103" customWidth="1"/>
    <col min="8204" max="8204" width="16" style="103" customWidth="1"/>
    <col min="8205" max="8205" width="21.42578125" style="103" customWidth="1"/>
    <col min="8206" max="8454" width="9.140625" style="103"/>
    <col min="8455" max="8455" width="28.7109375" style="103" customWidth="1"/>
    <col min="8456" max="8456" width="23.28515625" style="103" bestFit="1" customWidth="1"/>
    <col min="8457" max="8457" width="26.28515625" style="103" bestFit="1" customWidth="1"/>
    <col min="8458" max="8458" width="27.28515625" style="103" bestFit="1" customWidth="1"/>
    <col min="8459" max="8459" width="26.42578125" style="103" customWidth="1"/>
    <col min="8460" max="8460" width="16" style="103" customWidth="1"/>
    <col min="8461" max="8461" width="21.42578125" style="103" customWidth="1"/>
    <col min="8462" max="8710" width="9.140625" style="103"/>
    <col min="8711" max="8711" width="28.7109375" style="103" customWidth="1"/>
    <col min="8712" max="8712" width="23.28515625" style="103" bestFit="1" customWidth="1"/>
    <col min="8713" max="8713" width="26.28515625" style="103" bestFit="1" customWidth="1"/>
    <col min="8714" max="8714" width="27.28515625" style="103" bestFit="1" customWidth="1"/>
    <col min="8715" max="8715" width="26.42578125" style="103" customWidth="1"/>
    <col min="8716" max="8716" width="16" style="103" customWidth="1"/>
    <col min="8717" max="8717" width="21.42578125" style="103" customWidth="1"/>
    <col min="8718" max="8966" width="9.140625" style="103"/>
    <col min="8967" max="8967" width="28.7109375" style="103" customWidth="1"/>
    <col min="8968" max="8968" width="23.28515625" style="103" bestFit="1" customWidth="1"/>
    <col min="8969" max="8969" width="26.28515625" style="103" bestFit="1" customWidth="1"/>
    <col min="8970" max="8970" width="27.28515625" style="103" bestFit="1" customWidth="1"/>
    <col min="8971" max="8971" width="26.42578125" style="103" customWidth="1"/>
    <col min="8972" max="8972" width="16" style="103" customWidth="1"/>
    <col min="8973" max="8973" width="21.42578125" style="103" customWidth="1"/>
    <col min="8974" max="9222" width="9.140625" style="103"/>
    <col min="9223" max="9223" width="28.7109375" style="103" customWidth="1"/>
    <col min="9224" max="9224" width="23.28515625" style="103" bestFit="1" customWidth="1"/>
    <col min="9225" max="9225" width="26.28515625" style="103" bestFit="1" customWidth="1"/>
    <col min="9226" max="9226" width="27.28515625" style="103" bestFit="1" customWidth="1"/>
    <col min="9227" max="9227" width="26.42578125" style="103" customWidth="1"/>
    <col min="9228" max="9228" width="16" style="103" customWidth="1"/>
    <col min="9229" max="9229" width="21.42578125" style="103" customWidth="1"/>
    <col min="9230" max="9478" width="9.140625" style="103"/>
    <col min="9479" max="9479" width="28.7109375" style="103" customWidth="1"/>
    <col min="9480" max="9480" width="23.28515625" style="103" bestFit="1" customWidth="1"/>
    <col min="9481" max="9481" width="26.28515625" style="103" bestFit="1" customWidth="1"/>
    <col min="9482" max="9482" width="27.28515625" style="103" bestFit="1" customWidth="1"/>
    <col min="9483" max="9483" width="26.42578125" style="103" customWidth="1"/>
    <col min="9484" max="9484" width="16" style="103" customWidth="1"/>
    <col min="9485" max="9485" width="21.42578125" style="103" customWidth="1"/>
    <col min="9486" max="9734" width="9.140625" style="103"/>
    <col min="9735" max="9735" width="28.7109375" style="103" customWidth="1"/>
    <col min="9736" max="9736" width="23.28515625" style="103" bestFit="1" customWidth="1"/>
    <col min="9737" max="9737" width="26.28515625" style="103" bestFit="1" customWidth="1"/>
    <col min="9738" max="9738" width="27.28515625" style="103" bestFit="1" customWidth="1"/>
    <col min="9739" max="9739" width="26.42578125" style="103" customWidth="1"/>
    <col min="9740" max="9740" width="16" style="103" customWidth="1"/>
    <col min="9741" max="9741" width="21.42578125" style="103" customWidth="1"/>
    <col min="9742" max="9990" width="9.140625" style="103"/>
    <col min="9991" max="9991" width="28.7109375" style="103" customWidth="1"/>
    <col min="9992" max="9992" width="23.28515625" style="103" bestFit="1" customWidth="1"/>
    <col min="9993" max="9993" width="26.28515625" style="103" bestFit="1" customWidth="1"/>
    <col min="9994" max="9994" width="27.28515625" style="103" bestFit="1" customWidth="1"/>
    <col min="9995" max="9995" width="26.42578125" style="103" customWidth="1"/>
    <col min="9996" max="9996" width="16" style="103" customWidth="1"/>
    <col min="9997" max="9997" width="21.42578125" style="103" customWidth="1"/>
    <col min="9998" max="10246" width="9.140625" style="103"/>
    <col min="10247" max="10247" width="28.7109375" style="103" customWidth="1"/>
    <col min="10248" max="10248" width="23.28515625" style="103" bestFit="1" customWidth="1"/>
    <col min="10249" max="10249" width="26.28515625" style="103" bestFit="1" customWidth="1"/>
    <col min="10250" max="10250" width="27.28515625" style="103" bestFit="1" customWidth="1"/>
    <col min="10251" max="10251" width="26.42578125" style="103" customWidth="1"/>
    <col min="10252" max="10252" width="16" style="103" customWidth="1"/>
    <col min="10253" max="10253" width="21.42578125" style="103" customWidth="1"/>
    <col min="10254" max="10502" width="9.140625" style="103"/>
    <col min="10503" max="10503" width="28.7109375" style="103" customWidth="1"/>
    <col min="10504" max="10504" width="23.28515625" style="103" bestFit="1" customWidth="1"/>
    <col min="10505" max="10505" width="26.28515625" style="103" bestFit="1" customWidth="1"/>
    <col min="10506" max="10506" width="27.28515625" style="103" bestFit="1" customWidth="1"/>
    <col min="10507" max="10507" width="26.42578125" style="103" customWidth="1"/>
    <col min="10508" max="10508" width="16" style="103" customWidth="1"/>
    <col min="10509" max="10509" width="21.42578125" style="103" customWidth="1"/>
    <col min="10510" max="10758" width="9.140625" style="103"/>
    <col min="10759" max="10759" width="28.7109375" style="103" customWidth="1"/>
    <col min="10760" max="10760" width="23.28515625" style="103" bestFit="1" customWidth="1"/>
    <col min="10761" max="10761" width="26.28515625" style="103" bestFit="1" customWidth="1"/>
    <col min="10762" max="10762" width="27.28515625" style="103" bestFit="1" customWidth="1"/>
    <col min="10763" max="10763" width="26.42578125" style="103" customWidth="1"/>
    <col min="10764" max="10764" width="16" style="103" customWidth="1"/>
    <col min="10765" max="10765" width="21.42578125" style="103" customWidth="1"/>
    <col min="10766" max="11014" width="9.140625" style="103"/>
    <col min="11015" max="11015" width="28.7109375" style="103" customWidth="1"/>
    <col min="11016" max="11016" width="23.28515625" style="103" bestFit="1" customWidth="1"/>
    <col min="11017" max="11017" width="26.28515625" style="103" bestFit="1" customWidth="1"/>
    <col min="11018" max="11018" width="27.28515625" style="103" bestFit="1" customWidth="1"/>
    <col min="11019" max="11019" width="26.42578125" style="103" customWidth="1"/>
    <col min="11020" max="11020" width="16" style="103" customWidth="1"/>
    <col min="11021" max="11021" width="21.42578125" style="103" customWidth="1"/>
    <col min="11022" max="11270" width="9.140625" style="103"/>
    <col min="11271" max="11271" width="28.7109375" style="103" customWidth="1"/>
    <col min="11272" max="11272" width="23.28515625" style="103" bestFit="1" customWidth="1"/>
    <col min="11273" max="11273" width="26.28515625" style="103" bestFit="1" customWidth="1"/>
    <col min="11274" max="11274" width="27.28515625" style="103" bestFit="1" customWidth="1"/>
    <col min="11275" max="11275" width="26.42578125" style="103" customWidth="1"/>
    <col min="11276" max="11276" width="16" style="103" customWidth="1"/>
    <col min="11277" max="11277" width="21.42578125" style="103" customWidth="1"/>
    <col min="11278" max="11526" width="9.140625" style="103"/>
    <col min="11527" max="11527" width="28.7109375" style="103" customWidth="1"/>
    <col min="11528" max="11528" width="23.28515625" style="103" bestFit="1" customWidth="1"/>
    <col min="11529" max="11529" width="26.28515625" style="103" bestFit="1" customWidth="1"/>
    <col min="11530" max="11530" width="27.28515625" style="103" bestFit="1" customWidth="1"/>
    <col min="11531" max="11531" width="26.42578125" style="103" customWidth="1"/>
    <col min="11532" max="11532" width="16" style="103" customWidth="1"/>
    <col min="11533" max="11533" width="21.42578125" style="103" customWidth="1"/>
    <col min="11534" max="11782" width="9.140625" style="103"/>
    <col min="11783" max="11783" width="28.7109375" style="103" customWidth="1"/>
    <col min="11784" max="11784" width="23.28515625" style="103" bestFit="1" customWidth="1"/>
    <col min="11785" max="11785" width="26.28515625" style="103" bestFit="1" customWidth="1"/>
    <col min="11786" max="11786" width="27.28515625" style="103" bestFit="1" customWidth="1"/>
    <col min="11787" max="11787" width="26.42578125" style="103" customWidth="1"/>
    <col min="11788" max="11788" width="16" style="103" customWidth="1"/>
    <col min="11789" max="11789" width="21.42578125" style="103" customWidth="1"/>
    <col min="11790" max="12038" width="9.140625" style="103"/>
    <col min="12039" max="12039" width="28.7109375" style="103" customWidth="1"/>
    <col min="12040" max="12040" width="23.28515625" style="103" bestFit="1" customWidth="1"/>
    <col min="12041" max="12041" width="26.28515625" style="103" bestFit="1" customWidth="1"/>
    <col min="12042" max="12042" width="27.28515625" style="103" bestFit="1" customWidth="1"/>
    <col min="12043" max="12043" width="26.42578125" style="103" customWidth="1"/>
    <col min="12044" max="12044" width="16" style="103" customWidth="1"/>
    <col min="12045" max="12045" width="21.42578125" style="103" customWidth="1"/>
    <col min="12046" max="12294" width="9.140625" style="103"/>
    <col min="12295" max="12295" width="28.7109375" style="103" customWidth="1"/>
    <col min="12296" max="12296" width="23.28515625" style="103" bestFit="1" customWidth="1"/>
    <col min="12297" max="12297" width="26.28515625" style="103" bestFit="1" customWidth="1"/>
    <col min="12298" max="12298" width="27.28515625" style="103" bestFit="1" customWidth="1"/>
    <col min="12299" max="12299" width="26.42578125" style="103" customWidth="1"/>
    <col min="12300" max="12300" width="16" style="103" customWidth="1"/>
    <col min="12301" max="12301" width="21.42578125" style="103" customWidth="1"/>
    <col min="12302" max="12550" width="9.140625" style="103"/>
    <col min="12551" max="12551" width="28.7109375" style="103" customWidth="1"/>
    <col min="12552" max="12552" width="23.28515625" style="103" bestFit="1" customWidth="1"/>
    <col min="12553" max="12553" width="26.28515625" style="103" bestFit="1" customWidth="1"/>
    <col min="12554" max="12554" width="27.28515625" style="103" bestFit="1" customWidth="1"/>
    <col min="12555" max="12555" width="26.42578125" style="103" customWidth="1"/>
    <col min="12556" max="12556" width="16" style="103" customWidth="1"/>
    <col min="12557" max="12557" width="21.42578125" style="103" customWidth="1"/>
    <col min="12558" max="12806" width="9.140625" style="103"/>
    <col min="12807" max="12807" width="28.7109375" style="103" customWidth="1"/>
    <col min="12808" max="12808" width="23.28515625" style="103" bestFit="1" customWidth="1"/>
    <col min="12809" max="12809" width="26.28515625" style="103" bestFit="1" customWidth="1"/>
    <col min="12810" max="12810" width="27.28515625" style="103" bestFit="1" customWidth="1"/>
    <col min="12811" max="12811" width="26.42578125" style="103" customWidth="1"/>
    <col min="12812" max="12812" width="16" style="103" customWidth="1"/>
    <col min="12813" max="12813" width="21.42578125" style="103" customWidth="1"/>
    <col min="12814" max="13062" width="9.140625" style="103"/>
    <col min="13063" max="13063" width="28.7109375" style="103" customWidth="1"/>
    <col min="13064" max="13064" width="23.28515625" style="103" bestFit="1" customWidth="1"/>
    <col min="13065" max="13065" width="26.28515625" style="103" bestFit="1" customWidth="1"/>
    <col min="13066" max="13066" width="27.28515625" style="103" bestFit="1" customWidth="1"/>
    <col min="13067" max="13067" width="26.42578125" style="103" customWidth="1"/>
    <col min="13068" max="13068" width="16" style="103" customWidth="1"/>
    <col min="13069" max="13069" width="21.42578125" style="103" customWidth="1"/>
    <col min="13070" max="13318" width="9.140625" style="103"/>
    <col min="13319" max="13319" width="28.7109375" style="103" customWidth="1"/>
    <col min="13320" max="13320" width="23.28515625" style="103" bestFit="1" customWidth="1"/>
    <col min="13321" max="13321" width="26.28515625" style="103" bestFit="1" customWidth="1"/>
    <col min="13322" max="13322" width="27.28515625" style="103" bestFit="1" customWidth="1"/>
    <col min="13323" max="13323" width="26.42578125" style="103" customWidth="1"/>
    <col min="13324" max="13324" width="16" style="103" customWidth="1"/>
    <col min="13325" max="13325" width="21.42578125" style="103" customWidth="1"/>
    <col min="13326" max="13574" width="9.140625" style="103"/>
    <col min="13575" max="13575" width="28.7109375" style="103" customWidth="1"/>
    <col min="13576" max="13576" width="23.28515625" style="103" bestFit="1" customWidth="1"/>
    <col min="13577" max="13577" width="26.28515625" style="103" bestFit="1" customWidth="1"/>
    <col min="13578" max="13578" width="27.28515625" style="103" bestFit="1" customWidth="1"/>
    <col min="13579" max="13579" width="26.42578125" style="103" customWidth="1"/>
    <col min="13580" max="13580" width="16" style="103" customWidth="1"/>
    <col min="13581" max="13581" width="21.42578125" style="103" customWidth="1"/>
    <col min="13582" max="13830" width="9.140625" style="103"/>
    <col min="13831" max="13831" width="28.7109375" style="103" customWidth="1"/>
    <col min="13832" max="13832" width="23.28515625" style="103" bestFit="1" customWidth="1"/>
    <col min="13833" max="13833" width="26.28515625" style="103" bestFit="1" customWidth="1"/>
    <col min="13834" max="13834" width="27.28515625" style="103" bestFit="1" customWidth="1"/>
    <col min="13835" max="13835" width="26.42578125" style="103" customWidth="1"/>
    <col min="13836" max="13836" width="16" style="103" customWidth="1"/>
    <col min="13837" max="13837" width="21.42578125" style="103" customWidth="1"/>
    <col min="13838" max="14086" width="9.140625" style="103"/>
    <col min="14087" max="14087" width="28.7109375" style="103" customWidth="1"/>
    <col min="14088" max="14088" width="23.28515625" style="103" bestFit="1" customWidth="1"/>
    <col min="14089" max="14089" width="26.28515625" style="103" bestFit="1" customWidth="1"/>
    <col min="14090" max="14090" width="27.28515625" style="103" bestFit="1" customWidth="1"/>
    <col min="14091" max="14091" width="26.42578125" style="103" customWidth="1"/>
    <col min="14092" max="14092" width="16" style="103" customWidth="1"/>
    <col min="14093" max="14093" width="21.42578125" style="103" customWidth="1"/>
    <col min="14094" max="14342" width="9.140625" style="103"/>
    <col min="14343" max="14343" width="28.7109375" style="103" customWidth="1"/>
    <col min="14344" max="14344" width="23.28515625" style="103" bestFit="1" customWidth="1"/>
    <col min="14345" max="14345" width="26.28515625" style="103" bestFit="1" customWidth="1"/>
    <col min="14346" max="14346" width="27.28515625" style="103" bestFit="1" customWidth="1"/>
    <col min="14347" max="14347" width="26.42578125" style="103" customWidth="1"/>
    <col min="14348" max="14348" width="16" style="103" customWidth="1"/>
    <col min="14349" max="14349" width="21.42578125" style="103" customWidth="1"/>
    <col min="14350" max="14598" width="9.140625" style="103"/>
    <col min="14599" max="14599" width="28.7109375" style="103" customWidth="1"/>
    <col min="14600" max="14600" width="23.28515625" style="103" bestFit="1" customWidth="1"/>
    <col min="14601" max="14601" width="26.28515625" style="103" bestFit="1" customWidth="1"/>
    <col min="14602" max="14602" width="27.28515625" style="103" bestFit="1" customWidth="1"/>
    <col min="14603" max="14603" width="26.42578125" style="103" customWidth="1"/>
    <col min="14604" max="14604" width="16" style="103" customWidth="1"/>
    <col min="14605" max="14605" width="21.42578125" style="103" customWidth="1"/>
    <col min="14606" max="14854" width="9.140625" style="103"/>
    <col min="14855" max="14855" width="28.7109375" style="103" customWidth="1"/>
    <col min="14856" max="14856" width="23.28515625" style="103" bestFit="1" customWidth="1"/>
    <col min="14857" max="14857" width="26.28515625" style="103" bestFit="1" customWidth="1"/>
    <col min="14858" max="14858" width="27.28515625" style="103" bestFit="1" customWidth="1"/>
    <col min="14859" max="14859" width="26.42578125" style="103" customWidth="1"/>
    <col min="14860" max="14860" width="16" style="103" customWidth="1"/>
    <col min="14861" max="14861" width="21.42578125" style="103" customWidth="1"/>
    <col min="14862" max="15110" width="9.140625" style="103"/>
    <col min="15111" max="15111" width="28.7109375" style="103" customWidth="1"/>
    <col min="15112" max="15112" width="23.28515625" style="103" bestFit="1" customWidth="1"/>
    <col min="15113" max="15113" width="26.28515625" style="103" bestFit="1" customWidth="1"/>
    <col min="15114" max="15114" width="27.28515625" style="103" bestFit="1" customWidth="1"/>
    <col min="15115" max="15115" width="26.42578125" style="103" customWidth="1"/>
    <col min="15116" max="15116" width="16" style="103" customWidth="1"/>
    <col min="15117" max="15117" width="21.42578125" style="103" customWidth="1"/>
    <col min="15118" max="15366" width="9.140625" style="103"/>
    <col min="15367" max="15367" width="28.7109375" style="103" customWidth="1"/>
    <col min="15368" max="15368" width="23.28515625" style="103" bestFit="1" customWidth="1"/>
    <col min="15369" max="15369" width="26.28515625" style="103" bestFit="1" customWidth="1"/>
    <col min="15370" max="15370" width="27.28515625" style="103" bestFit="1" customWidth="1"/>
    <col min="15371" max="15371" width="26.42578125" style="103" customWidth="1"/>
    <col min="15372" max="15372" width="16" style="103" customWidth="1"/>
    <col min="15373" max="15373" width="21.42578125" style="103" customWidth="1"/>
    <col min="15374" max="15622" width="9.140625" style="103"/>
    <col min="15623" max="15623" width="28.7109375" style="103" customWidth="1"/>
    <col min="15624" max="15624" width="23.28515625" style="103" bestFit="1" customWidth="1"/>
    <col min="15625" max="15625" width="26.28515625" style="103" bestFit="1" customWidth="1"/>
    <col min="15626" max="15626" width="27.28515625" style="103" bestFit="1" customWidth="1"/>
    <col min="15627" max="15627" width="26.42578125" style="103" customWidth="1"/>
    <col min="15628" max="15628" width="16" style="103" customWidth="1"/>
    <col min="15629" max="15629" width="21.42578125" style="103" customWidth="1"/>
    <col min="15630" max="15878" width="9.140625" style="103"/>
    <col min="15879" max="15879" width="28.7109375" style="103" customWidth="1"/>
    <col min="15880" max="15880" width="23.28515625" style="103" bestFit="1" customWidth="1"/>
    <col min="15881" max="15881" width="26.28515625" style="103" bestFit="1" customWidth="1"/>
    <col min="15882" max="15882" width="27.28515625" style="103" bestFit="1" customWidth="1"/>
    <col min="15883" max="15883" width="26.42578125" style="103" customWidth="1"/>
    <col min="15884" max="15884" width="16" style="103" customWidth="1"/>
    <col min="15885" max="15885" width="21.42578125" style="103" customWidth="1"/>
    <col min="15886" max="16134" width="9.140625" style="103"/>
    <col min="16135" max="16135" width="28.7109375" style="103" customWidth="1"/>
    <col min="16136" max="16136" width="23.28515625" style="103" bestFit="1" customWidth="1"/>
    <col min="16137" max="16137" width="26.28515625" style="103" bestFit="1" customWidth="1"/>
    <col min="16138" max="16138" width="27.28515625" style="103" bestFit="1" customWidth="1"/>
    <col min="16139" max="16139" width="26.42578125" style="103" customWidth="1"/>
    <col min="16140" max="16140" width="16" style="103" customWidth="1"/>
    <col min="16141" max="16141" width="21.42578125" style="103" customWidth="1"/>
    <col min="16142" max="16384" width="9.140625" style="103"/>
  </cols>
  <sheetData>
    <row r="1" spans="1:18" ht="4.5" customHeight="1"/>
    <row r="2" spans="1:18" ht="27">
      <c r="A2" s="290" t="s">
        <v>5816</v>
      </c>
      <c r="B2" s="290"/>
      <c r="C2" s="290"/>
      <c r="D2" s="290"/>
      <c r="E2" s="290"/>
      <c r="F2" s="290"/>
      <c r="G2" s="290"/>
      <c r="H2" s="290"/>
      <c r="I2" s="290"/>
      <c r="J2" s="290"/>
      <c r="K2" s="290"/>
      <c r="L2" s="290"/>
      <c r="M2" s="290"/>
      <c r="R2" s="184"/>
    </row>
    <row r="3" spans="1:18" ht="24">
      <c r="A3" s="291" t="s">
        <v>5817</v>
      </c>
      <c r="B3" s="292"/>
      <c r="C3" s="292"/>
      <c r="D3" s="292"/>
      <c r="E3" s="292"/>
      <c r="F3" s="292"/>
      <c r="G3" s="292"/>
      <c r="H3" s="292"/>
      <c r="I3" s="292"/>
      <c r="J3" s="292"/>
      <c r="K3" s="292"/>
      <c r="L3" s="292"/>
      <c r="M3" s="292"/>
    </row>
    <row r="4" spans="1:18" ht="15.75">
      <c r="G4" s="107" t="s">
        <v>6085</v>
      </c>
      <c r="I4" s="108">
        <f ca="1">TODAY()</f>
        <v>44935</v>
      </c>
      <c r="M4" s="104" t="s">
        <v>5818</v>
      </c>
    </row>
    <row r="5" spans="1:18" s="109" customFormat="1" ht="18.75">
      <c r="A5" s="105" t="s">
        <v>5819</v>
      </c>
      <c r="B5" s="105"/>
      <c r="C5" s="293" t="s">
        <v>5820</v>
      </c>
      <c r="D5" s="293"/>
      <c r="E5" s="293"/>
      <c r="F5" s="106"/>
      <c r="G5" s="105" t="s">
        <v>5821</v>
      </c>
      <c r="H5" s="105"/>
      <c r="I5" s="106" t="s">
        <v>5822</v>
      </c>
      <c r="J5" s="106"/>
      <c r="K5" s="107"/>
      <c r="L5" s="107"/>
      <c r="M5" s="108"/>
      <c r="O5" s="160" t="s">
        <v>6077</v>
      </c>
    </row>
    <row r="6" spans="1:18" s="109" customFormat="1" ht="16.5" thickBot="1">
      <c r="A6" s="105" t="s">
        <v>5823</v>
      </c>
      <c r="B6" s="105"/>
      <c r="C6" s="293" t="str">
        <f>IFERROR(IF(O7="Glat","Chapman",IF(INDEX('Truck Input'!$M:$M,MATCH($O$7,'Truck Input'!$K:$K,0))="","",INDEX('Truck Input'!$M:$M,MATCH($O$7,'Truck Input'!$K:$K,0)))),"")</f>
        <v/>
      </c>
      <c r="D6" s="293"/>
      <c r="E6" s="293"/>
      <c r="F6" s="106"/>
      <c r="I6" s="106" t="s">
        <v>5824</v>
      </c>
      <c r="J6" s="106"/>
      <c r="O6" s="159" t="s">
        <v>6078</v>
      </c>
    </row>
    <row r="7" spans="1:18" s="162" customFormat="1" ht="18.75" customHeight="1">
      <c r="A7" s="110" t="s">
        <v>5838</v>
      </c>
      <c r="B7" s="109"/>
      <c r="C7" s="182">
        <f>SUM(C24:M24)</f>
        <v>0</v>
      </c>
      <c r="D7" s="182"/>
      <c r="E7" s="183"/>
      <c r="G7" s="161" t="s">
        <v>5825</v>
      </c>
      <c r="H7" s="161"/>
      <c r="I7" s="163" t="s">
        <v>5826</v>
      </c>
      <c r="J7" s="163"/>
      <c r="O7" s="282"/>
      <c r="P7" s="283"/>
      <c r="Q7" s="284"/>
    </row>
    <row r="8" spans="1:18" s="109" customFormat="1" ht="21.75" customHeight="1" thickBot="1">
      <c r="E8" s="111"/>
      <c r="F8" s="111"/>
      <c r="G8" s="111"/>
      <c r="H8" s="111"/>
      <c r="I8" s="181" t="s">
        <v>5827</v>
      </c>
      <c r="J8" s="181"/>
      <c r="K8" s="294" t="str">
        <f ca="1">IFERROR(IF(O7="Glat",TODAY()+(7-WEEKDAY(TODAY(),2)+1),IF(INDEX('Truck Input'!$L:$L,MATCH($O$7,'Truck Input'!$K:$K,0))="","",INDEX('Truck Input'!$L:$L,MATCH($O$7,'Truck Input'!$K:$K,0)))),"")</f>
        <v/>
      </c>
      <c r="L8" s="294"/>
      <c r="M8" s="294"/>
      <c r="O8" s="285"/>
      <c r="P8" s="286"/>
      <c r="Q8" s="287"/>
    </row>
    <row r="9" spans="1:18" ht="2.25" customHeight="1" thickBot="1"/>
    <row r="10" spans="1:18" ht="23.1" customHeight="1" thickBot="1">
      <c r="A10" s="180" t="s">
        <v>5828</v>
      </c>
      <c r="C10" s="179">
        <v>1</v>
      </c>
      <c r="D10" s="173"/>
      <c r="E10" s="179">
        <v>2</v>
      </c>
      <c r="F10" s="173"/>
      <c r="G10" s="179">
        <v>3</v>
      </c>
      <c r="H10" s="173"/>
      <c r="I10" s="179">
        <v>4</v>
      </c>
      <c r="J10" s="173"/>
      <c r="K10" s="179">
        <v>5</v>
      </c>
      <c r="L10" s="173"/>
      <c r="M10" s="179">
        <v>6</v>
      </c>
    </row>
    <row r="11" spans="1:18" ht="16.5" thickTop="1">
      <c r="A11" s="174" t="s">
        <v>5829</v>
      </c>
      <c r="B11" s="112"/>
      <c r="C11" s="178" t="str">
        <f>IFERROR(IF(O7="Glat",K8,INDEX('Truck Input'!$G:$G,MATCH(CONCATENATE($O$7,C10),'Truck Input'!$H:$H,0))),"")</f>
        <v/>
      </c>
      <c r="D11" s="164"/>
      <c r="E11" s="178" t="str">
        <f>IFERROR(INDEX('Truck Input'!$G:$G,MATCH(CONCATENATE($O$7,E10),'Truck Input'!$H:$H,0)),"")</f>
        <v/>
      </c>
      <c r="F11" s="164"/>
      <c r="G11" s="178" t="str">
        <f>IFERROR(INDEX('Truck Input'!$G:$G,MATCH(CONCATENATE($O$7,G10),'Truck Input'!$H:$H,0)),"")</f>
        <v/>
      </c>
      <c r="H11" s="164"/>
      <c r="I11" s="178" t="str">
        <f>IFERROR(INDEX('Truck Input'!$G:$G,MATCH(CONCATENATE($O$7,I10),'Truck Input'!$H:$H,0)),"")</f>
        <v/>
      </c>
      <c r="J11" s="164"/>
      <c r="K11" s="178" t="str">
        <f>IFERROR(INDEX('Truck Input'!$G:$G,MATCH(CONCATENATE($O$7,K10),'Truck Input'!$H:$H,0)),"")</f>
        <v/>
      </c>
      <c r="L11" s="164"/>
      <c r="M11" s="178" t="str">
        <f>IFERROR(INDEX('Truck Input'!$G:$G,MATCH(CONCATENATE($O$7,M10),'Truck Input'!$H:$H,0)),"")</f>
        <v/>
      </c>
    </row>
    <row r="12" spans="1:18" ht="21.75" customHeight="1">
      <c r="A12" s="288" t="s">
        <v>5830</v>
      </c>
      <c r="B12" s="112"/>
      <c r="C12" s="169" t="str">
        <f>IFERROR(CONCATENATE(INDEX('Pickup Locations'!$L:$L,MATCH(C25,'Pickup Locations'!$B:$B,0))," ",INDEX('Pickup Locations'!$M:$M,MATCH(C25,'Pickup Locations'!$B:$B,0))),"")</f>
        <v/>
      </c>
      <c r="D12" s="165"/>
      <c r="E12" s="169" t="str">
        <f>IFERROR(CONCATENATE(INDEX('Pickup Locations'!$L:$L,MATCH(E25,'Pickup Locations'!$B:$B,0))," ",INDEX('Pickup Locations'!$M:$M,MATCH(E25,'Pickup Locations'!$B:$B,0))),"")</f>
        <v/>
      </c>
      <c r="F12" s="165"/>
      <c r="G12" s="169" t="str">
        <f>IFERROR(CONCATENATE(INDEX('Pickup Locations'!$L:$L,MATCH(G25,'Pickup Locations'!$B:$B,0))," ",INDEX('Pickup Locations'!$M:$M,MATCH(G25,'Pickup Locations'!$B:$B,0))),"")</f>
        <v/>
      </c>
      <c r="H12" s="165"/>
      <c r="I12" s="169" t="str">
        <f>IFERROR(CONCATENATE(INDEX('Pickup Locations'!$L:$L,MATCH(I25,'Pickup Locations'!$B:$B,0))," ",INDEX('Pickup Locations'!$M:$M,MATCH(I25,'Pickup Locations'!$B:$B,0))),"")</f>
        <v/>
      </c>
      <c r="J12" s="165"/>
      <c r="K12" s="169" t="str">
        <f>IFERROR(CONCATENATE(INDEX('Pickup Locations'!$L:$L,MATCH(K25,'Pickup Locations'!$B:$B,0))," ",INDEX('Pickup Locations'!$M:$M,MATCH(K25,'Pickup Locations'!$B:$B,0))),"")</f>
        <v/>
      </c>
      <c r="L12" s="165"/>
      <c r="M12" s="169" t="str">
        <f>IFERROR(CONCATENATE(INDEX('Pickup Locations'!$L:$L,MATCH(M25,'Pickup Locations'!$B:$B,0))," ",INDEX('Pickup Locations'!$M:$M,MATCH(M25,'Pickup Locations'!$B:$B,0))),"")</f>
        <v/>
      </c>
    </row>
    <row r="13" spans="1:18" ht="21.75" customHeight="1">
      <c r="A13" s="289"/>
      <c r="B13" s="112"/>
      <c r="C13" s="117" t="str">
        <f>IFERROR(INDEX('Pickup Locations'!$N:$N,MATCH(C25,'Pickup Locations'!$B:$B,0)),"")</f>
        <v/>
      </c>
      <c r="D13" s="165"/>
      <c r="E13" s="117" t="str">
        <f>IFERROR(INDEX('Pickup Locations'!$N:$N,MATCH(E25,'Pickup Locations'!$B:$B,0)),"")</f>
        <v/>
      </c>
      <c r="F13" s="165"/>
      <c r="G13" s="117" t="str">
        <f>IFERROR(INDEX('Pickup Locations'!$N:$N,MATCH(G25,'Pickup Locations'!$B:$B,0)),"")</f>
        <v/>
      </c>
      <c r="H13" s="165"/>
      <c r="I13" s="117" t="str">
        <f>IFERROR(INDEX('Pickup Locations'!$N:$N,MATCH(I25,'Pickup Locations'!$B:$B,0)),"")</f>
        <v/>
      </c>
      <c r="J13" s="165"/>
      <c r="K13" s="117" t="str">
        <f>IFERROR(INDEX('Pickup Locations'!$N:$N,MATCH(K25,'Pickup Locations'!$B:$B,0)),"")</f>
        <v/>
      </c>
      <c r="L13" s="165"/>
      <c r="M13" s="117" t="str">
        <f>IFERROR(INDEX('Pickup Locations'!$N:$N,MATCH(M25,'Pickup Locations'!$B:$B,0)),"")</f>
        <v/>
      </c>
    </row>
    <row r="14" spans="1:18" ht="37.5" customHeight="1">
      <c r="A14" s="176" t="s">
        <v>6084</v>
      </c>
      <c r="B14" s="112"/>
      <c r="C14" s="113" t="str">
        <f>IFERROR(INDEX('Pickup Locations'!$O:$O,MATCH(C25,'Pickup Locations'!$B:$B,0)),"")</f>
        <v/>
      </c>
      <c r="D14" s="166"/>
      <c r="E14" s="113" t="str">
        <f>IFERROR(INDEX('Pickup Locations'!$O:$O,MATCH(E25,'Pickup Locations'!$B:$B,0)),"")</f>
        <v/>
      </c>
      <c r="F14" s="166"/>
      <c r="G14" s="113" t="str">
        <f>IFERROR(INDEX('Pickup Locations'!$O:$O,MATCH(G25,'Pickup Locations'!$B:$B,0)),"")</f>
        <v/>
      </c>
      <c r="H14" s="166"/>
      <c r="I14" s="113" t="str">
        <f>IFERROR(INDEX('Pickup Locations'!$O:$O,MATCH(I25,'Pickup Locations'!$B:$B,0)),"")</f>
        <v/>
      </c>
      <c r="J14" s="166"/>
      <c r="K14" s="113" t="str">
        <f>IFERROR(INDEX('Pickup Locations'!$O:$O,MATCH(K25,'Pickup Locations'!$B:$B,0)),"")</f>
        <v/>
      </c>
      <c r="L14" s="166"/>
      <c r="M14" s="113" t="str">
        <f>IFERROR(INDEX('Pickup Locations'!$O:$O,MATCH(M25,'Pickup Locations'!$B:$B,0)),"")</f>
        <v/>
      </c>
    </row>
    <row r="15" spans="1:18" ht="21" customHeight="1">
      <c r="A15" s="176" t="s">
        <v>5606</v>
      </c>
      <c r="B15" s="114"/>
      <c r="C15" s="117" t="str">
        <f>IFERROR(INDEX('Pickup Locations'!$A:$A,MATCH(C25,'Pickup Locations'!$B:$B,0)),"")</f>
        <v/>
      </c>
      <c r="D15" s="165"/>
      <c r="E15" s="117" t="str">
        <f>IFERROR(INDEX('Pickup Locations'!$A:$A,MATCH(E25,'Pickup Locations'!$B:$B,0)),"")</f>
        <v/>
      </c>
      <c r="F15" s="165"/>
      <c r="G15" s="117" t="str">
        <f>IFERROR(INDEX('Pickup Locations'!$A:$A,MATCH(G25,'Pickup Locations'!$B:$B,0)),"")</f>
        <v/>
      </c>
      <c r="H15" s="165"/>
      <c r="I15" s="117" t="str">
        <f>IFERROR(INDEX('Pickup Locations'!$A:$A,MATCH(I25,'Pickup Locations'!$B:$B,0)),"")</f>
        <v/>
      </c>
      <c r="J15" s="165"/>
      <c r="K15" s="117" t="str">
        <f>IFERROR(INDEX('Pickup Locations'!$A:$A,MATCH(K25,'Pickup Locations'!$B:$B,0)),"")</f>
        <v/>
      </c>
      <c r="L15" s="165"/>
      <c r="M15" s="117" t="str">
        <f>IFERROR(INDEX('Pickup Locations'!$A:$A,MATCH(M25,'Pickup Locations'!$B:$B,0)),"")</f>
        <v/>
      </c>
    </row>
    <row r="16" spans="1:18" ht="24.75" customHeight="1">
      <c r="A16" s="175" t="s">
        <v>5831</v>
      </c>
      <c r="B16" s="112"/>
      <c r="C16" s="116" t="str">
        <f>IFERROR(INDEX('Pickup Locations'!$D:$D,MATCH(C25,'Pickup Locations'!$B:$B,0)),"")</f>
        <v/>
      </c>
      <c r="D16" s="167"/>
      <c r="E16" s="116" t="str">
        <f>IFERROR(INDEX('Pickup Locations'!$D:$D,MATCH(E25,'Pickup Locations'!$B:$B,0)),"")</f>
        <v/>
      </c>
      <c r="F16" s="167"/>
      <c r="G16" s="116" t="str">
        <f>IFERROR(INDEX('Pickup Locations'!$D:$D,MATCH(G25,'Pickup Locations'!$B:$B,0)),"")</f>
        <v/>
      </c>
      <c r="H16" s="167"/>
      <c r="I16" s="116" t="str">
        <f>IFERROR(INDEX('Pickup Locations'!$D:$D,MATCH(I25,'Pickup Locations'!$B:$B,0)),"")</f>
        <v/>
      </c>
      <c r="J16" s="167"/>
      <c r="K16" s="116" t="str">
        <f>IFERROR(INDEX('Pickup Locations'!$D:$D,MATCH(K25,'Pickup Locations'!$B:$B,0)),"")</f>
        <v/>
      </c>
      <c r="L16" s="167"/>
      <c r="M16" s="116" t="str">
        <f>IFERROR(INDEX('Pickup Locations'!$D:$D,MATCH(M25,'Pickup Locations'!$B:$B,0)),"")</f>
        <v/>
      </c>
    </row>
    <row r="17" spans="1:13" ht="15.75">
      <c r="A17" s="175" t="s">
        <v>5446</v>
      </c>
      <c r="B17" s="112"/>
      <c r="C17" s="116" t="str">
        <f>IFERROR(INDEX('Pickup Locations'!$E:$E,MATCH(C25,'Pickup Locations'!$B:$B,0)),"")</f>
        <v/>
      </c>
      <c r="D17" s="167"/>
      <c r="E17" s="116" t="str">
        <f>IFERROR(INDEX('Pickup Locations'!$E:$E,MATCH(E25,'Pickup Locations'!$B:$B,0)),"")</f>
        <v/>
      </c>
      <c r="F17" s="167"/>
      <c r="G17" s="116" t="str">
        <f>IFERROR(INDEX('Pickup Locations'!$E:$E,MATCH(G25,'Pickup Locations'!$B:$B,0)),"")</f>
        <v/>
      </c>
      <c r="H17" s="167"/>
      <c r="I17" s="116" t="str">
        <f>IFERROR(INDEX('Pickup Locations'!$E:$E,MATCH(I25,'Pickup Locations'!$B:$B,0)),"")</f>
        <v/>
      </c>
      <c r="J17" s="167"/>
      <c r="K17" s="116" t="str">
        <f>IFERROR(INDEX('Pickup Locations'!$E:$E,MATCH(K25,'Pickup Locations'!$B:$B,0)),"")</f>
        <v/>
      </c>
      <c r="L17" s="167"/>
      <c r="M17" s="116" t="str">
        <f>IFERROR(INDEX('Pickup Locations'!$E:$E,MATCH(M25,'Pickup Locations'!$B:$B,0)),"")</f>
        <v/>
      </c>
    </row>
    <row r="18" spans="1:13" ht="15.75">
      <c r="A18" s="175" t="s">
        <v>5447</v>
      </c>
      <c r="B18" s="112"/>
      <c r="C18" s="116" t="str">
        <f>IFERROR(INDEX('Pickup Locations'!$F:$F,MATCH(C25,'Pickup Locations'!$B:$B,0)),"")</f>
        <v/>
      </c>
      <c r="D18" s="167"/>
      <c r="E18" s="116" t="str">
        <f>IFERROR(INDEX('Pickup Locations'!$F:$F,MATCH(E25,'Pickup Locations'!$B:$B,0)),"")</f>
        <v/>
      </c>
      <c r="F18" s="167"/>
      <c r="G18" s="116" t="str">
        <f>IFERROR(INDEX('Pickup Locations'!$F:$F,MATCH(G25,'Pickup Locations'!$B:$B,0)),"")</f>
        <v/>
      </c>
      <c r="H18" s="167"/>
      <c r="I18" s="116" t="str">
        <f>IFERROR(INDEX('Pickup Locations'!$F:$F,MATCH(I25,'Pickup Locations'!$B:$B,0)),"")</f>
        <v/>
      </c>
      <c r="J18" s="167"/>
      <c r="K18" s="116" t="str">
        <f>IFERROR(INDEX('Pickup Locations'!$F:$F,MATCH(K25,'Pickup Locations'!$B:$B,0)),"")</f>
        <v/>
      </c>
      <c r="L18" s="167"/>
      <c r="M18" s="116" t="str">
        <f>IFERROR(INDEX('Pickup Locations'!$F:$F,MATCH(M25,'Pickup Locations'!$B:$B,0)),"")</f>
        <v/>
      </c>
    </row>
    <row r="19" spans="1:13" ht="15.75">
      <c r="A19" s="174" t="s">
        <v>5832</v>
      </c>
      <c r="B19" s="112"/>
      <c r="C19" s="170" t="str">
        <f>IFERROR(INDEX('Pickup Locations'!$G:$G,MATCH(C25,'Pickup Locations'!$B:$B,0)),"")</f>
        <v/>
      </c>
      <c r="D19" s="167"/>
      <c r="E19" s="170" t="str">
        <f>IFERROR(INDEX('Pickup Locations'!$G:$G,MATCH(E25,'Pickup Locations'!$B:$B,0)),"")</f>
        <v/>
      </c>
      <c r="F19" s="167"/>
      <c r="G19" s="170" t="str">
        <f>IFERROR(INDEX('Pickup Locations'!$G:$G,MATCH(G25,'Pickup Locations'!$B:$B,0)),"")</f>
        <v/>
      </c>
      <c r="H19" s="167"/>
      <c r="I19" s="170" t="str">
        <f>IFERROR(INDEX('Pickup Locations'!$G:$G,MATCH(I25,'Pickup Locations'!$B:$B,0)),"")</f>
        <v/>
      </c>
      <c r="J19" s="167"/>
      <c r="K19" s="170" t="str">
        <f>IFERROR(INDEX('Pickup Locations'!$G:$G,MATCH(K25,'Pickup Locations'!$B:$B,0)),"")</f>
        <v/>
      </c>
      <c r="L19" s="167"/>
      <c r="M19" s="170" t="str">
        <f>IFERROR(INDEX('Pickup Locations'!$G:$G,MATCH(M25,'Pickup Locations'!$B:$B,0)),"")</f>
        <v/>
      </c>
    </row>
    <row r="20" spans="1:13" ht="24.75" customHeight="1">
      <c r="A20" s="175" t="s">
        <v>5833</v>
      </c>
      <c r="B20" s="112"/>
      <c r="C20" s="115" t="str">
        <f>IFERROR(IF(INDEX('Pickup Locations'!$H:$H,MATCH(C25,'Pickup Locations'!$B:$B,0))="","",INDEX('Pickup Locations'!$H:$H,MATCH(C25,'Pickup Locations'!$B:$B,0))),"")</f>
        <v/>
      </c>
      <c r="D20" s="165"/>
      <c r="E20" s="115" t="str">
        <f>IFERROR(IF(INDEX('Pickup Locations'!$H:$H,MATCH(E25,'Pickup Locations'!$B:$B,0))="","",INDEX('Pickup Locations'!$H:$H,MATCH(E25,'Pickup Locations'!$B:$B,0))),"")</f>
        <v/>
      </c>
      <c r="F20" s="165"/>
      <c r="G20" s="115" t="str">
        <f>IFERROR(IF(INDEX('Pickup Locations'!$H:$H,MATCH(G25,'Pickup Locations'!$B:$B,0))="","",INDEX('Pickup Locations'!$H:$H,MATCH(G25,'Pickup Locations'!$B:$B,0))),"")</f>
        <v/>
      </c>
      <c r="H20" s="165"/>
      <c r="I20" s="115" t="str">
        <f>IFERROR(IF(INDEX('Pickup Locations'!$H:$H,MATCH(I25,'Pickup Locations'!$B:$B,0))="","",INDEX('Pickup Locations'!$H:$H,MATCH(I25,'Pickup Locations'!$B:$B,0))),"")</f>
        <v/>
      </c>
      <c r="J20" s="165"/>
      <c r="K20" s="115" t="str">
        <f>IFERROR(IF(INDEX('Pickup Locations'!$H:$H,MATCH(K25,'Pickup Locations'!$B:$B,0))="","",INDEX('Pickup Locations'!$H:$H,MATCH(K25,'Pickup Locations'!$B:$B,0))),"")</f>
        <v/>
      </c>
      <c r="L20" s="165"/>
      <c r="M20" s="115" t="str">
        <f>IFERROR(IF(INDEX('Pickup Locations'!$H:$H,MATCH(M25,'Pickup Locations'!$B:$B,0))="","",INDEX('Pickup Locations'!$H:$H,MATCH(M25,'Pickup Locations'!$B:$B,0))),"")</f>
        <v/>
      </c>
    </row>
    <row r="21" spans="1:13" ht="23.25" customHeight="1">
      <c r="A21" s="175" t="s">
        <v>6083</v>
      </c>
      <c r="B21" s="112"/>
      <c r="C21" s="115" t="str">
        <f>IFERROR(IF(INDEX('Pickup Locations'!$I:$I,MATCH(C25,'Pickup Locations'!$B:$B,0))="","",INDEX('Pickup Locations'!$I:$I,MATCH(C25,'Pickup Locations'!$B:$B,0))),"")</f>
        <v/>
      </c>
      <c r="D21" s="165"/>
      <c r="E21" s="115" t="str">
        <f>IFERROR(IF(INDEX('Pickup Locations'!$I:$I,MATCH(E25,'Pickup Locations'!$B:$B,0))="","",INDEX('Pickup Locations'!$I:$I,MATCH(E25,'Pickup Locations'!$B:$B,0))),"")</f>
        <v/>
      </c>
      <c r="F21" s="165"/>
      <c r="G21" s="115" t="str">
        <f>IFERROR(IF(INDEX('Pickup Locations'!$I:$I,MATCH(G25,'Pickup Locations'!$B:$B,0))="","",INDEX('Pickup Locations'!$I:$I,MATCH(G25,'Pickup Locations'!$B:$B,0))),"")</f>
        <v/>
      </c>
      <c r="H21" s="165"/>
      <c r="I21" s="115" t="str">
        <f>IFERROR(IF(INDEX('Pickup Locations'!$I:$I,MATCH(I25,'Pickup Locations'!$B:$B,0))="","",INDEX('Pickup Locations'!$I:$I,MATCH(I25,'Pickup Locations'!$B:$B,0))),"")</f>
        <v/>
      </c>
      <c r="J21" s="165"/>
      <c r="K21" s="115" t="str">
        <f>IFERROR(IF(INDEX('Pickup Locations'!$I:$I,MATCH(K25,'Pickup Locations'!$B:$B,0))="","",INDEX('Pickup Locations'!$I:$I,MATCH(K25,'Pickup Locations'!$B:$B,0))),"")</f>
        <v/>
      </c>
      <c r="L21" s="165"/>
      <c r="M21" s="115" t="str">
        <f>IFERROR(IF(INDEX('Pickup Locations'!$I:$I,MATCH(M25,'Pickup Locations'!$B:$B,0))="","",INDEX('Pickup Locations'!$I:$I,MATCH(M25,'Pickup Locations'!$B:$B,0))),"")</f>
        <v/>
      </c>
    </row>
    <row r="22" spans="1:13" ht="46.5" customHeight="1">
      <c r="A22" s="175" t="s">
        <v>5610</v>
      </c>
      <c r="B22" s="112"/>
      <c r="C22" s="115" t="str">
        <f>IFERROR(IF(INDEX('Pickup Locations'!$K:$K,MATCH(C25,'Pickup Locations'!$B:$B,0))="","",INDEX('Pickup Locations'!$K:$K,MATCH(C25,'Pickup Locations'!$B:$B,0))),"")</f>
        <v/>
      </c>
      <c r="D22" s="165"/>
      <c r="E22" s="115" t="str">
        <f>IFERROR(IF(INDEX('Pickup Locations'!$K:$K,MATCH(E25,'Pickup Locations'!$B:$B,0))="","",INDEX('Pickup Locations'!$K:$K,MATCH(E25,'Pickup Locations'!$B:$B,0))),"")</f>
        <v/>
      </c>
      <c r="F22" s="165"/>
      <c r="G22" s="115" t="str">
        <f>IFERROR(IF(INDEX('Pickup Locations'!$K:$K,MATCH(G25,'Pickup Locations'!$B:$B,0))="","",INDEX('Pickup Locations'!$K:$K,MATCH(G25,'Pickup Locations'!$B:$B,0))),"")</f>
        <v/>
      </c>
      <c r="H22" s="165"/>
      <c r="I22" s="115" t="str">
        <f>IFERROR(IF(INDEX('Pickup Locations'!$K:$K,MATCH(I25,'Pickup Locations'!$B:$B,0))="","",INDEX('Pickup Locations'!$K:$K,MATCH(I25,'Pickup Locations'!$B:$B,0))),"")</f>
        <v/>
      </c>
      <c r="J22" s="165"/>
      <c r="K22" s="115" t="str">
        <f>IFERROR(IF(INDEX('Pickup Locations'!$K:$K,MATCH(K25,'Pickup Locations'!$B:$B,0))="","",INDEX('Pickup Locations'!$K:$K,MATCH(K25,'Pickup Locations'!$B:$B,0))),"")</f>
        <v/>
      </c>
      <c r="L22" s="165"/>
      <c r="M22" s="115" t="str">
        <f>IFERROR(IF(INDEX('Pickup Locations'!$K:$K,MATCH(M25,'Pickup Locations'!$B:$B,0))="","",INDEX('Pickup Locations'!$K:$K,MATCH(M25,'Pickup Locations'!$B:$B,0))),"")</f>
        <v/>
      </c>
    </row>
    <row r="23" spans="1:13" ht="23.25" customHeight="1">
      <c r="A23" s="174" t="s">
        <v>5834</v>
      </c>
      <c r="B23" s="112"/>
      <c r="C23" s="117" t="str">
        <f>IFERROR(IF(INDEX('Pickup Locations'!$J:$J,MATCH(C25,'Pickup Locations'!$B:$B,0))="","",INDEX('Pickup Locations'!$J:$J,MATCH(C25,'Pickup Locations'!$B:$B,0))),"")</f>
        <v/>
      </c>
      <c r="D23" s="165"/>
      <c r="E23" s="117"/>
      <c r="F23" s="165"/>
      <c r="G23" s="117"/>
      <c r="H23" s="165"/>
      <c r="I23" s="117"/>
      <c r="J23" s="165"/>
      <c r="K23" s="117"/>
      <c r="L23" s="165"/>
      <c r="M23" s="117"/>
    </row>
    <row r="24" spans="1:13" ht="18" customHeight="1">
      <c r="A24" s="175" t="s">
        <v>5835</v>
      </c>
      <c r="B24" s="112"/>
      <c r="C24" s="171" t="str">
        <f>IFERROR(INDEX(Weight!$D:$D,MATCH(C25,Weight!$A:$A,0)),"")</f>
        <v/>
      </c>
      <c r="D24" s="168"/>
      <c r="E24" s="171" t="str">
        <f>IFERROR(INDEX(Weight!$D:$D,MATCH(E25,Weight!$A:$A,0)),"")</f>
        <v/>
      </c>
      <c r="F24" s="168"/>
      <c r="G24" s="171" t="str">
        <f>IFERROR(INDEX(Weight!$D:$D,MATCH(G25,Weight!$A:$A,0)),"")</f>
        <v/>
      </c>
      <c r="H24" s="168"/>
      <c r="I24" s="171" t="str">
        <f>IFERROR(INDEX(Weight!$D:$D,MATCH(I25,Weight!$A:$A,0)),"")</f>
        <v/>
      </c>
      <c r="J24" s="168"/>
      <c r="K24" s="171" t="str">
        <f>IFERROR(INDEX(Weight!$D:$D,MATCH(K25,Weight!$A:$A,0)),"")</f>
        <v/>
      </c>
      <c r="L24" s="168"/>
      <c r="M24" s="171" t="str">
        <f>IFERROR(INDEX(Weight!$D:$D,MATCH(M25,Weight!$A:$A,0)),"")</f>
        <v/>
      </c>
    </row>
    <row r="25" spans="1:13" ht="17.25" thickBot="1">
      <c r="A25" s="177"/>
      <c r="C25" s="172" t="str">
        <f>IFERROR(IF(O7="Glat","Glatfelter",INDEX('Truck Input'!$B:$B,MATCH(CONCATENATE($O$7,C10),'Truck Input'!$H:$H,0))),"")</f>
        <v/>
      </c>
      <c r="E25" s="172" t="str">
        <f>IFERROR(INDEX('Truck Input'!$B:$B,MATCH(CONCATENATE($O$7,E10),'Truck Input'!$H:$H,0)),"")</f>
        <v/>
      </c>
      <c r="G25" s="172" t="str">
        <f>IFERROR(INDEX('Truck Input'!$B:$B,MATCH(CONCATENATE($O$7,G10),'Truck Input'!$H:$H,0)),"")</f>
        <v/>
      </c>
      <c r="I25" s="172" t="str">
        <f>IFERROR(INDEX('Truck Input'!$B:$B,MATCH(CONCATENATE($O$7,I10),'Truck Input'!$H:$H,0)),"")</f>
        <v/>
      </c>
      <c r="K25" s="172" t="str">
        <f>IFERROR(INDEX('Truck Input'!$B:$B,MATCH(CONCATENATE($O$7,K10),'Truck Input'!$H:$H,0)),"")</f>
        <v/>
      </c>
      <c r="M25" s="172" t="str">
        <f>IFERROR(INDEX('Truck Input'!$B:$B,MATCH(CONCATENATE($O$7,M10),'Truck Input'!$H:$H,0)),"")</f>
        <v/>
      </c>
    </row>
    <row r="26" spans="1:13" ht="15.75">
      <c r="M26" s="118" t="s">
        <v>5836</v>
      </c>
    </row>
  </sheetData>
  <mergeCells count="7">
    <mergeCell ref="O7:Q8"/>
    <mergeCell ref="A12:A13"/>
    <mergeCell ref="A2:M2"/>
    <mergeCell ref="A3:M3"/>
    <mergeCell ref="C5:E5"/>
    <mergeCell ref="C6:E6"/>
    <mergeCell ref="K8:M8"/>
  </mergeCells>
  <conditionalFormatting sqref="C5 E5">
    <cfRule type="containsBlanks" dxfId="1028" priority="5">
      <formula>LEN(TRIM(C5))=0</formula>
    </cfRule>
  </conditionalFormatting>
  <conditionalFormatting sqref="C24 M24 K24 I24 G24 E24">
    <cfRule type="containsText" dxfId="1027" priority="829" operator="containsText" text="unknown">
      <formula>NOT(ISERROR(SEARCH("unknown",C24)))</formula>
    </cfRule>
    <cfRule type="expression" dxfId="1026" priority="830">
      <formula>AND(C24="",#REF!&lt;&gt;"")</formula>
    </cfRule>
  </conditionalFormatting>
  <conditionalFormatting sqref="O7:Q8">
    <cfRule type="containsBlanks" dxfId="1025" priority="1">
      <formula>LEN(TRIM(O7))=0</formula>
    </cfRule>
  </conditionalFormatting>
  <pageMargins left="0.42" right="0.18" top="0.42" bottom="0.36" header="0.25" footer="0.19"/>
  <pageSetup scale="62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A0F89A-0FA9-46D9-A8B3-E3116BD00303}">
          <x14:formula1>
            <xm:f>'Truck Input'!$K$3:$K$9</xm:f>
          </x14:formula1>
          <xm:sqref>O7:Q8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C2218-C9A4-492A-91C7-5D4764FBB5D3}">
  <sheetPr codeName="Sheet22">
    <tabColor theme="6" tint="-0.249977111117893"/>
    <pageSetUpPr fitToPage="1"/>
  </sheetPr>
  <dimension ref="A1:F16"/>
  <sheetViews>
    <sheetView showGridLines="0" workbookViewId="0">
      <pane ySplit="1" topLeftCell="A2" activePane="bottomLeft" state="frozen"/>
      <selection activeCell="B16" sqref="B16"/>
      <selection pane="bottomLeft" activeCell="E11" sqref="E11"/>
    </sheetView>
  </sheetViews>
  <sheetFormatPr defaultRowHeight="21"/>
  <cols>
    <col min="1" max="1" width="31.85546875" style="213" customWidth="1"/>
    <col min="2" max="2" width="20.7109375" style="213" hidden="1" customWidth="1"/>
    <col min="3" max="3" width="24.28515625" style="213" customWidth="1"/>
    <col min="4" max="4" width="24.28515625" style="233" hidden="1" customWidth="1"/>
    <col min="5" max="5" width="24.28515625" style="233" customWidth="1"/>
    <col min="6" max="6" width="28.42578125" style="213" customWidth="1"/>
    <col min="7" max="8" width="9.140625" style="213"/>
    <col min="9" max="9" width="13.5703125" style="213" customWidth="1"/>
    <col min="10" max="16384" width="9.140625" style="213"/>
  </cols>
  <sheetData>
    <row r="1" spans="1:6" s="216" customFormat="1" ht="39" customHeight="1">
      <c r="A1" s="215" t="s">
        <v>6115</v>
      </c>
      <c r="B1" s="215" t="s">
        <v>5591</v>
      </c>
      <c r="C1" s="215" t="s">
        <v>5805</v>
      </c>
      <c r="D1" s="231" t="s">
        <v>6303</v>
      </c>
      <c r="E1" s="215" t="s">
        <v>6114</v>
      </c>
      <c r="F1" s="215" t="s">
        <v>7626</v>
      </c>
    </row>
    <row r="2" spans="1:6" ht="29.25" customHeight="1">
      <c r="A2" s="214" t="s">
        <v>5428</v>
      </c>
      <c r="B2" s="214" t="s">
        <v>267</v>
      </c>
      <c r="C2" s="214" t="s">
        <v>5445</v>
      </c>
      <c r="D2" s="232" t="s">
        <v>7614</v>
      </c>
      <c r="E2" s="232">
        <v>11023</v>
      </c>
      <c r="F2" s="214" t="str">
        <f>IF(ISERROR(MATCH(D2,'SuppWorksheet 01'!I:I,0)),"no pickup","Pickup ID Required")</f>
        <v>Pickup ID Required</v>
      </c>
    </row>
    <row r="3" spans="1:6" ht="29.25" customHeight="1">
      <c r="A3" s="214" t="s">
        <v>5429</v>
      </c>
      <c r="B3" s="214" t="s">
        <v>3462</v>
      </c>
      <c r="C3" s="214" t="s">
        <v>5445</v>
      </c>
      <c r="D3" s="232" t="s">
        <v>7623</v>
      </c>
      <c r="E3" s="232"/>
      <c r="F3" s="214" t="str">
        <f>IF(ISERROR(MATCH(D3,'SuppWorksheet 01'!I:I,0)),"no pickup","Pickup ID Required")</f>
        <v>no pickup</v>
      </c>
    </row>
    <row r="4" spans="1:6" ht="29.25" customHeight="1">
      <c r="A4" s="214" t="s">
        <v>7612</v>
      </c>
      <c r="B4" s="214" t="s">
        <v>1027</v>
      </c>
      <c r="C4" s="214" t="s">
        <v>5445</v>
      </c>
      <c r="D4" s="232" t="s">
        <v>7618</v>
      </c>
      <c r="E4" s="232" t="s">
        <v>7784</v>
      </c>
      <c r="F4" s="214" t="str">
        <f>IF(ISERROR(MATCH(D4,'SuppWorksheet 01'!I:I,0)),"no pickup","Pickup ID Required")</f>
        <v>Pickup ID Required</v>
      </c>
    </row>
    <row r="5" spans="1:6" ht="29.25" customHeight="1">
      <c r="A5" s="214" t="s">
        <v>3788</v>
      </c>
      <c r="B5" s="214" t="s">
        <v>325</v>
      </c>
      <c r="C5" s="214" t="s">
        <v>5445</v>
      </c>
      <c r="D5" s="232" t="s">
        <v>7624</v>
      </c>
      <c r="E5" s="232"/>
      <c r="F5" s="214" t="str">
        <f>IF(ISERROR(MATCH(D5,'SuppWorksheet 01'!I:I,0)),"no pickup","Pickup ID Required")</f>
        <v>no pickup</v>
      </c>
    </row>
    <row r="6" spans="1:6" ht="29.25" customHeight="1">
      <c r="A6" s="214" t="s">
        <v>3653</v>
      </c>
      <c r="B6" s="214" t="s">
        <v>991</v>
      </c>
      <c r="C6" s="214" t="s">
        <v>5445</v>
      </c>
      <c r="D6" s="232" t="s">
        <v>7615</v>
      </c>
      <c r="E6" s="232"/>
      <c r="F6" s="214" t="str">
        <f>IF(ISERROR(MATCH(D6,'SuppWorksheet 01'!I:I,0)),"no pickup","Pickup ID Required")</f>
        <v>no pickup</v>
      </c>
    </row>
    <row r="7" spans="1:6" ht="29.25" customHeight="1">
      <c r="A7" s="214" t="s">
        <v>3662</v>
      </c>
      <c r="B7" s="214" t="s">
        <v>318</v>
      </c>
      <c r="C7" s="214" t="s">
        <v>5445</v>
      </c>
      <c r="D7" s="232" t="s">
        <v>7616</v>
      </c>
      <c r="E7" s="232" t="s">
        <v>7775</v>
      </c>
      <c r="F7" s="214" t="str">
        <f>IF(ISERROR(MATCH(D7,'SuppWorksheet 01'!I:I,0)),"no pickup","Pickup ID Required")</f>
        <v>Pickup ID Required</v>
      </c>
    </row>
    <row r="8" spans="1:6" ht="29.25" customHeight="1">
      <c r="A8" s="214" t="s">
        <v>893</v>
      </c>
      <c r="B8" s="214" t="s">
        <v>110</v>
      </c>
      <c r="C8" s="214" t="s">
        <v>893</v>
      </c>
      <c r="D8" s="232" t="s">
        <v>7617</v>
      </c>
      <c r="E8" s="232">
        <v>223200008</v>
      </c>
      <c r="F8" s="214" t="str">
        <f>IF(ISERROR(MATCH(D8,'SuppWorksheet 01'!I:I,0)),"no pickup","Pickup ID Required")</f>
        <v>Pickup ID Required</v>
      </c>
    </row>
    <row r="9" spans="1:6" ht="29.25" customHeight="1">
      <c r="A9" s="214" t="s">
        <v>3792</v>
      </c>
      <c r="B9" s="214" t="s">
        <v>68</v>
      </c>
      <c r="C9" s="214" t="s">
        <v>3792</v>
      </c>
      <c r="D9" s="232" t="s">
        <v>7619</v>
      </c>
      <c r="E9" s="232">
        <v>34661</v>
      </c>
      <c r="F9" s="214" t="str">
        <f>IF(ISERROR(MATCH(D9,'SuppWorksheet 01'!I:I,0)),"no pickup","Pickup ID Required")</f>
        <v>Pickup ID Required</v>
      </c>
    </row>
    <row r="10" spans="1:6" ht="29.25" customHeight="1">
      <c r="A10" s="214" t="s">
        <v>3900</v>
      </c>
      <c r="B10" s="214" t="s">
        <v>101</v>
      </c>
      <c r="C10" s="214" t="s">
        <v>3882</v>
      </c>
      <c r="D10" s="232" t="s">
        <v>7625</v>
      </c>
      <c r="E10" s="232"/>
      <c r="F10" s="214" t="str">
        <f>IF(ISERROR(MATCH(D10,'SuppWorksheet 01'!I:I,0)),"no pickup","Pickup ID Required")</f>
        <v>no pickup</v>
      </c>
    </row>
    <row r="11" spans="1:6" ht="29.25" customHeight="1">
      <c r="A11" s="214" t="s">
        <v>3911</v>
      </c>
      <c r="B11" s="214" t="s">
        <v>329</v>
      </c>
      <c r="C11" s="214" t="s">
        <v>3914</v>
      </c>
      <c r="D11" s="232" t="s">
        <v>7621</v>
      </c>
      <c r="E11" s="232">
        <v>1195512</v>
      </c>
      <c r="F11" s="214" t="str">
        <f>IF(ISERROR(MATCH(D11,'SuppWorksheet 01'!I:I,0)),"no pickup","Pickup ID Required")</f>
        <v>Pickup ID Required</v>
      </c>
    </row>
    <row r="12" spans="1:6" ht="29.25" customHeight="1">
      <c r="A12" s="214" t="s">
        <v>3911</v>
      </c>
      <c r="B12" s="214" t="s">
        <v>329</v>
      </c>
      <c r="C12" s="214" t="s">
        <v>7613</v>
      </c>
      <c r="D12" s="232" t="s">
        <v>7622</v>
      </c>
      <c r="E12" s="232"/>
      <c r="F12" s="214" t="str">
        <f>IF(ISERROR(MATCH(D12,'SuppWorksheet 01'!I:I,0)),"no pickup","Pickup ID Required")</f>
        <v>no pickup</v>
      </c>
    </row>
    <row r="13" spans="1:6" ht="29.25" customHeight="1">
      <c r="A13" s="214" t="s">
        <v>3911</v>
      </c>
      <c r="B13" s="214" t="s">
        <v>329</v>
      </c>
      <c r="C13" s="214" t="s">
        <v>7776</v>
      </c>
      <c r="D13" s="232" t="s">
        <v>7620</v>
      </c>
      <c r="E13" s="232">
        <v>1195405</v>
      </c>
      <c r="F13" s="214" t="str">
        <f>IF(ISERROR(MATCH(D13,'SuppWorksheet 01'!I:I,0)),"no pickup","Pickup ID Required")</f>
        <v>Pickup ID Required</v>
      </c>
    </row>
    <row r="14" spans="1:6" ht="29.25" customHeight="1"/>
    <row r="15" spans="1:6" ht="29.25" customHeight="1"/>
    <row r="16" spans="1:6" ht="29.25" customHeight="1"/>
  </sheetData>
  <sortState xmlns:xlrd2="http://schemas.microsoft.com/office/spreadsheetml/2017/richdata2" ref="A2:F8">
    <sortCondition ref="C2:C8"/>
    <sortCondition ref="A2:A8"/>
  </sortState>
  <conditionalFormatting sqref="A1:F1048576">
    <cfRule type="expression" dxfId="1024" priority="1">
      <formula>$F1="no pickup"</formula>
    </cfRule>
  </conditionalFormatting>
  <pageMargins left="0.25" right="0.25" top="0.75" bottom="0.75" header="0.3" footer="0.3"/>
  <pageSetup scale="68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80BE-DC60-4EA6-9681-F9B85CAD7D4D}">
  <sheetPr codeName="Sheet25">
    <tabColor theme="6" tint="-0.249977111117893"/>
    <pageSetUpPr fitToPage="1"/>
  </sheetPr>
  <dimension ref="A1:Z55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8.42578125" style="305" customWidth="1"/>
    <col min="2" max="2" width="17" style="27" customWidth="1"/>
    <col min="3" max="3" width="12.28515625" style="136" customWidth="1"/>
    <col min="4" max="4" width="10.85546875" style="218" customWidth="1"/>
    <col min="5" max="5" width="9.85546875" style="39" customWidth="1"/>
    <col min="6" max="6" width="12.28515625" style="136" customWidth="1"/>
    <col min="7" max="9" width="7.28515625" style="39" customWidth="1"/>
    <col min="10" max="10" width="9.85546875" style="39" customWidth="1"/>
    <col min="11" max="11" width="12" style="39" customWidth="1"/>
    <col min="12" max="12" width="12.28515625" style="136" customWidth="1"/>
    <col min="13" max="13" width="26.42578125" style="27" bestFit="1" customWidth="1"/>
    <col min="14" max="15" width="11.140625" style="27" customWidth="1"/>
    <col min="16" max="18" width="9.85546875" style="39" customWidth="1"/>
    <col min="19" max="20" width="12.42578125" style="26" customWidth="1"/>
    <col min="21" max="21" width="12.140625" style="300" customWidth="1"/>
    <col min="22" max="22" width="10.140625" style="39" customWidth="1"/>
    <col min="23" max="23" width="26.140625" style="26" customWidth="1"/>
    <col min="24" max="16384" width="9.140625" style="26"/>
  </cols>
  <sheetData>
    <row r="1" spans="1:26" s="1" customFormat="1" ht="60">
      <c r="A1" s="304" t="s">
        <v>53</v>
      </c>
      <c r="B1" s="209" t="s">
        <v>1</v>
      </c>
      <c r="C1" s="189" t="s">
        <v>6300</v>
      </c>
      <c r="D1" s="217" t="s">
        <v>6302</v>
      </c>
      <c r="E1" s="203" t="s">
        <v>6297</v>
      </c>
      <c r="F1" s="189" t="s">
        <v>4632</v>
      </c>
      <c r="G1" s="203" t="s">
        <v>6295</v>
      </c>
      <c r="H1" s="203" t="s">
        <v>6294</v>
      </c>
      <c r="I1" s="203" t="s">
        <v>6296</v>
      </c>
      <c r="J1" s="203" t="s">
        <v>6445</v>
      </c>
      <c r="K1" s="203" t="s">
        <v>6442</v>
      </c>
      <c r="L1" s="189" t="s">
        <v>6301</v>
      </c>
      <c r="M1" s="209" t="s">
        <v>3499</v>
      </c>
      <c r="N1" s="209" t="s">
        <v>6443</v>
      </c>
      <c r="O1" s="209" t="s">
        <v>6444</v>
      </c>
      <c r="P1" s="203" t="s">
        <v>6446</v>
      </c>
      <c r="Q1" s="203" t="s">
        <v>6298</v>
      </c>
      <c r="R1" s="203" t="s">
        <v>6299</v>
      </c>
      <c r="S1" s="203" t="s">
        <v>0</v>
      </c>
      <c r="T1" s="203" t="s">
        <v>5805</v>
      </c>
      <c r="U1" s="299" t="s">
        <v>5460</v>
      </c>
      <c r="V1" s="203" t="s">
        <v>6293</v>
      </c>
      <c r="W1" s="203" t="s">
        <v>6120</v>
      </c>
      <c r="X1" s="203" t="s">
        <v>6441</v>
      </c>
    </row>
    <row r="2" spans="1:26">
      <c r="A2" s="305" t="s">
        <v>3530</v>
      </c>
      <c r="B2" s="27" t="s">
        <v>2963</v>
      </c>
      <c r="C2" s="136">
        <f>IFERROR(ABS(F2-INDEX('Supp Consol'!S:S,MATCH(X2,'Supp Consol'!AB:AB,0))),"")</f>
        <v>3773</v>
      </c>
      <c r="D2" s="218">
        <v>44937</v>
      </c>
      <c r="E2" s="39" t="s">
        <v>5617</v>
      </c>
      <c r="F2" s="136">
        <v>500</v>
      </c>
      <c r="G2" s="39" t="s">
        <v>6292</v>
      </c>
      <c r="H2" s="39">
        <v>1100</v>
      </c>
      <c r="I2" s="39" t="s">
        <v>4682</v>
      </c>
      <c r="M2" s="27" t="s">
        <v>2962</v>
      </c>
      <c r="O2" s="27" t="str">
        <f>IF(N2="","",IFERROR(ABS(N2-INDEX('Supp Consol'!S:S,MATCH(X2,'Supp Consol'!AB:AB,0))),""))</f>
        <v/>
      </c>
      <c r="S2" s="26" t="s">
        <v>267</v>
      </c>
      <c r="T2" s="26" t="s">
        <v>5445</v>
      </c>
      <c r="U2" s="301" t="str">
        <f>INDEX(SuppDetails[Supplier ID],MATCH(S2,SuppDetails[Supplier Code],0))</f>
        <v>0000001481</v>
      </c>
      <c r="V2" s="39" t="str">
        <f>IF(A2="hun","H","S")</f>
        <v>S</v>
      </c>
      <c r="X2" s="26" t="str">
        <f>_xlfn.CONCAT(B2,A2)</f>
        <v>110WF011-62006905</v>
      </c>
      <c r="Z2" s="26">
        <f>IF(R2="X","",IF(N2="",F2,N2))</f>
        <v>500</v>
      </c>
    </row>
    <row r="3" spans="1:26">
      <c r="A3" s="305" t="s">
        <v>3593</v>
      </c>
      <c r="B3" s="27" t="s">
        <v>2051</v>
      </c>
      <c r="C3" s="136">
        <f>IFERROR(ABS(F3-INDEX('Supp Consol'!S:S,MATCH(X3,'Supp Consol'!AB:AB,0))),"")</f>
        <v>1356</v>
      </c>
      <c r="D3" s="218">
        <v>44937</v>
      </c>
      <c r="E3" s="39" t="s">
        <v>5617</v>
      </c>
      <c r="F3" s="136">
        <v>500</v>
      </c>
      <c r="G3" s="39" t="s">
        <v>6292</v>
      </c>
      <c r="H3" s="39">
        <v>1100</v>
      </c>
      <c r="I3" s="39" t="s">
        <v>4682</v>
      </c>
      <c r="M3" s="27" t="s">
        <v>2052</v>
      </c>
      <c r="O3" s="27" t="str">
        <f>IF(N3="","",IFERROR(ABS(N3-INDEX('Supp Consol'!S:S,MATCH(X3,'Supp Consol'!AB:AB,0))),""))</f>
        <v/>
      </c>
      <c r="S3" s="26" t="s">
        <v>267</v>
      </c>
      <c r="T3" s="26" t="s">
        <v>5445</v>
      </c>
      <c r="U3" s="301" t="str">
        <f>INDEX(SuppDetails[Supplier ID],MATCH(S3,SuppDetails[Supplier Code],0))</f>
        <v>0000001481</v>
      </c>
      <c r="V3" s="39" t="str">
        <f>IF(A3="hun","H","S")</f>
        <v>S</v>
      </c>
      <c r="X3" s="26" t="str">
        <f>_xlfn.CONCAT(B3,A3)</f>
        <v>110AG872-50007029</v>
      </c>
      <c r="Z3" s="26">
        <f t="shared" ref="Z3:Z28" si="0">IF(R3="X","",IF(N3="",F3,N3))</f>
        <v>500</v>
      </c>
    </row>
    <row r="4" spans="1:26">
      <c r="A4" s="305" t="s">
        <v>3630</v>
      </c>
      <c r="B4" s="27" t="s">
        <v>1433</v>
      </c>
      <c r="C4" s="136">
        <f>IFERROR(ABS(F4-INDEX('Supp Consol'!S:S,MATCH(X4,'Supp Consol'!AB:AB,0))),"")</f>
        <v>1054</v>
      </c>
      <c r="D4" s="218">
        <v>44937</v>
      </c>
      <c r="E4" s="39" t="s">
        <v>5617</v>
      </c>
      <c r="F4" s="136">
        <v>500</v>
      </c>
      <c r="G4" s="39" t="s">
        <v>6292</v>
      </c>
      <c r="H4" s="39">
        <v>1100</v>
      </c>
      <c r="I4" s="39" t="s">
        <v>4682</v>
      </c>
      <c r="J4" s="39" t="s">
        <v>3701</v>
      </c>
      <c r="M4" s="27" t="s">
        <v>1434</v>
      </c>
      <c r="O4" s="27" t="str">
        <f>IF(N4="","",IFERROR(ABS(N4-INDEX('Supp Consol'!S:S,MATCH(X4,'Supp Consol'!AB:AB,0))),""))</f>
        <v/>
      </c>
      <c r="S4" s="26" t="s">
        <v>267</v>
      </c>
      <c r="T4" s="26" t="s">
        <v>5445</v>
      </c>
      <c r="U4" s="301" t="str">
        <f>INDEX(SuppDetails[Supplier ID],MATCH(S4,SuppDetails[Supplier Code],0))</f>
        <v>0000001481</v>
      </c>
      <c r="V4" s="39" t="str">
        <f t="shared" ref="V4:V28" si="1">IF(A4="hun","H","S")</f>
        <v>S</v>
      </c>
      <c r="X4" s="26" t="str">
        <f>_xlfn.CONCAT(B4,A4)</f>
        <v>100SG224-50007126</v>
      </c>
      <c r="Z4" s="26">
        <f t="shared" si="0"/>
        <v>500</v>
      </c>
    </row>
    <row r="5" spans="1:26">
      <c r="A5" s="305" t="s">
        <v>6034</v>
      </c>
      <c r="B5" s="27" t="s">
        <v>2527</v>
      </c>
      <c r="C5" s="136">
        <f>IFERROR(ABS(F5-INDEX('Supp Consol'!S:S,MATCH(X5,'Supp Consol'!AB:AB,0))),"")</f>
        <v>1614</v>
      </c>
      <c r="D5" s="218">
        <v>44937</v>
      </c>
      <c r="E5" s="39" t="s">
        <v>5617</v>
      </c>
      <c r="F5" s="136">
        <v>500</v>
      </c>
      <c r="G5" s="39" t="s">
        <v>6292</v>
      </c>
      <c r="H5" s="39">
        <v>1100</v>
      </c>
      <c r="I5" s="39" t="s">
        <v>4682</v>
      </c>
      <c r="M5" s="27" t="s">
        <v>2528</v>
      </c>
      <c r="O5" s="27" t="str">
        <f>IF(N5="","",IFERROR(ABS(N5-INDEX('Supp Consol'!S:S,MATCH(X5,'Supp Consol'!AB:AB,0))),""))</f>
        <v/>
      </c>
      <c r="S5" s="26" t="s">
        <v>267</v>
      </c>
      <c r="T5" s="26" t="s">
        <v>5445</v>
      </c>
      <c r="U5" s="301" t="str">
        <f>INDEX(SuppDetails[Supplier ID],MATCH(S5,SuppDetails[Supplier Code],0))</f>
        <v>0000001481</v>
      </c>
      <c r="V5" s="39" t="str">
        <f t="shared" si="1"/>
        <v>S</v>
      </c>
      <c r="X5" s="26" t="str">
        <f>_xlfn.CONCAT(B5,A5)</f>
        <v>110S3070-50007169</v>
      </c>
      <c r="Z5" s="26">
        <f t="shared" si="0"/>
        <v>500</v>
      </c>
    </row>
    <row r="6" spans="1:26">
      <c r="A6" s="305" t="s">
        <v>6043</v>
      </c>
      <c r="B6" s="27" t="s">
        <v>2657</v>
      </c>
      <c r="C6" s="136">
        <f>IFERROR(ABS(F6-INDEX('Supp Consol'!S:S,MATCH(X6,'Supp Consol'!AB:AB,0))),"")</f>
        <v>3199</v>
      </c>
      <c r="D6" s="218">
        <v>44937</v>
      </c>
      <c r="E6" s="39" t="s">
        <v>5617</v>
      </c>
      <c r="F6" s="136">
        <v>500</v>
      </c>
      <c r="G6" s="39" t="s">
        <v>6292</v>
      </c>
      <c r="H6" s="39">
        <v>1100</v>
      </c>
      <c r="I6" s="39" t="s">
        <v>4682</v>
      </c>
      <c r="M6" s="27" t="s">
        <v>2658</v>
      </c>
      <c r="O6" s="27" t="str">
        <f>IF(N6="","",IFERROR(ABS(N6-INDEX('Supp Consol'!S:S,MATCH(X6,'Supp Consol'!AB:AB,0))),""))</f>
        <v/>
      </c>
      <c r="S6" s="26" t="s">
        <v>267</v>
      </c>
      <c r="T6" s="26" t="s">
        <v>5445</v>
      </c>
      <c r="U6" s="301" t="str">
        <f>INDEX(SuppDetails[Supplier ID],MATCH(S6,SuppDetails[Supplier Code],0))</f>
        <v>0000001481</v>
      </c>
      <c r="V6" s="39" t="str">
        <f t="shared" si="1"/>
        <v>S</v>
      </c>
      <c r="X6" s="26" t="str">
        <f>_xlfn.CONCAT(B6,A6)</f>
        <v>110SN284-62007174</v>
      </c>
      <c r="Z6" s="26">
        <f t="shared" si="0"/>
        <v>500</v>
      </c>
    </row>
    <row r="7" spans="1:26">
      <c r="A7" s="305" t="s">
        <v>4169</v>
      </c>
      <c r="B7" s="27" t="s">
        <v>3052</v>
      </c>
      <c r="C7" s="136">
        <f>IFERROR(ABS(F7-INDEX('Supp Consol'!S:S,MATCH(X7,'Supp Consol'!AB:AB,0))),"")</f>
        <v>1656</v>
      </c>
      <c r="D7" s="218">
        <v>44937</v>
      </c>
      <c r="E7" s="39" t="s">
        <v>5617</v>
      </c>
      <c r="F7" s="136">
        <v>500</v>
      </c>
      <c r="G7" s="39" t="s">
        <v>6292</v>
      </c>
      <c r="H7" s="39">
        <v>1100</v>
      </c>
      <c r="I7" s="39" t="s">
        <v>4682</v>
      </c>
      <c r="M7" s="27" t="s">
        <v>3053</v>
      </c>
      <c r="O7" s="27" t="str">
        <f>IF(N7="","",IFERROR(ABS(N7-INDEX('Supp Consol'!S:S,MATCH(X7,'Supp Consol'!AB:AB,0))),""))</f>
        <v/>
      </c>
      <c r="S7" s="26" t="s">
        <v>318</v>
      </c>
      <c r="T7" s="26" t="s">
        <v>5445</v>
      </c>
      <c r="U7" s="301" t="str">
        <f>INDEX(SuppDetails[Supplier ID],MATCH(S7,SuppDetails[Supplier Code],0))</f>
        <v>0000000417</v>
      </c>
      <c r="V7" s="39" t="str">
        <f t="shared" si="1"/>
        <v>S</v>
      </c>
      <c r="X7" s="26" t="str">
        <f>_xlfn.CONCAT(B7,A7)</f>
        <v>110WM840-50006961</v>
      </c>
      <c r="Z7" s="26">
        <f t="shared" si="0"/>
        <v>500</v>
      </c>
    </row>
    <row r="8" spans="1:26">
      <c r="A8" s="305" t="s">
        <v>4021</v>
      </c>
      <c r="B8" s="27" t="s">
        <v>64</v>
      </c>
      <c r="C8" s="136">
        <f>IFERROR(ABS(F8-INDEX('Supp Consol'!S:S,MATCH(X8,'Supp Consol'!AB:AB,0))),"")</f>
        <v>4734</v>
      </c>
      <c r="D8" s="218">
        <v>44935</v>
      </c>
      <c r="E8" s="39" t="s">
        <v>5617</v>
      </c>
      <c r="F8" s="136">
        <v>1000</v>
      </c>
      <c r="G8" s="39" t="s">
        <v>6292</v>
      </c>
      <c r="H8" s="39">
        <v>1100</v>
      </c>
      <c r="I8" s="39" t="s">
        <v>4682</v>
      </c>
      <c r="J8" s="39" t="s">
        <v>3891</v>
      </c>
      <c r="K8" s="39" t="s">
        <v>3891</v>
      </c>
      <c r="M8" s="27" t="s">
        <v>57</v>
      </c>
      <c r="O8" s="27" t="str">
        <f>IF(N8="","",IFERROR(ABS(N8-INDEX('Supp Consol'!S:S,MATCH(X8,'Supp Consol'!AB:AB,0))),""))</f>
        <v/>
      </c>
      <c r="S8" s="26" t="s">
        <v>58</v>
      </c>
      <c r="T8" s="26" t="s">
        <v>3693</v>
      </c>
      <c r="U8" s="301" t="str">
        <f>INDEX(SuppDetails[Supplier ID],MATCH(S8,SuppDetails[Supplier Code],0))</f>
        <v>0000001528</v>
      </c>
      <c r="V8" s="39" t="str">
        <f t="shared" si="1"/>
        <v>S</v>
      </c>
      <c r="X8" s="26" t="str">
        <f>_xlfn.CONCAT(B8,A8)</f>
        <v>10000002-50006962</v>
      </c>
      <c r="Z8" s="26">
        <f t="shared" si="0"/>
        <v>1000</v>
      </c>
    </row>
    <row r="9" spans="1:26">
      <c r="A9" s="305" t="s">
        <v>4032</v>
      </c>
      <c r="B9" s="27" t="s">
        <v>74</v>
      </c>
      <c r="C9" s="136">
        <f>IFERROR(ABS(F9-INDEX('Supp Consol'!S:S,MATCH(X9,'Supp Consol'!AB:AB,0))),"")</f>
        <v>8179</v>
      </c>
      <c r="D9" s="218">
        <v>44935</v>
      </c>
      <c r="E9" s="39" t="s">
        <v>5617</v>
      </c>
      <c r="F9" s="136">
        <v>1000</v>
      </c>
      <c r="G9" s="39" t="s">
        <v>6292</v>
      </c>
      <c r="H9" s="39">
        <v>1100</v>
      </c>
      <c r="I9" s="39" t="s">
        <v>4682</v>
      </c>
      <c r="J9" s="39" t="s">
        <v>3891</v>
      </c>
      <c r="K9" s="39" t="s">
        <v>3891</v>
      </c>
      <c r="M9" s="27" t="s">
        <v>72</v>
      </c>
      <c r="O9" s="27" t="str">
        <f>IF(N9="","",IFERROR(ABS(N9-INDEX('Supp Consol'!S:S,MATCH(X9,'Supp Consol'!AB:AB,0))),""))</f>
        <v/>
      </c>
      <c r="S9" s="26" t="s">
        <v>58</v>
      </c>
      <c r="T9" s="26" t="s">
        <v>3693</v>
      </c>
      <c r="U9" s="301" t="str">
        <f>INDEX(SuppDetails[Supplier ID],MATCH(S9,SuppDetails[Supplier Code],0))</f>
        <v>0000001528</v>
      </c>
      <c r="V9" s="39" t="str">
        <f t="shared" si="1"/>
        <v>S</v>
      </c>
      <c r="X9" s="26" t="str">
        <f>_xlfn.CONCAT(B9,A9)</f>
        <v>10000008-50006980</v>
      </c>
      <c r="Z9" s="26">
        <f t="shared" si="0"/>
        <v>1000</v>
      </c>
    </row>
    <row r="10" spans="1:26">
      <c r="A10" s="305" t="s">
        <v>4351</v>
      </c>
      <c r="B10" s="27" t="s">
        <v>2970</v>
      </c>
      <c r="C10" s="136">
        <f>IFERROR(ABS(F10-INDEX('Supp Consol'!S:S,MATCH(X10,'Supp Consol'!AB:AB,0))),"")</f>
        <v>0</v>
      </c>
      <c r="D10" s="218">
        <v>44937</v>
      </c>
      <c r="E10" s="39" t="s">
        <v>5617</v>
      </c>
      <c r="F10" s="136">
        <v>466</v>
      </c>
      <c r="G10" s="39" t="s">
        <v>6292</v>
      </c>
      <c r="H10" s="39">
        <v>1100</v>
      </c>
      <c r="I10" s="39" t="s">
        <v>4682</v>
      </c>
      <c r="J10" s="39" t="s">
        <v>3891</v>
      </c>
      <c r="K10" s="39" t="s">
        <v>3891</v>
      </c>
      <c r="M10" s="27" t="s">
        <v>2971</v>
      </c>
      <c r="O10" s="27" t="str">
        <f>IF(N10="","",IFERROR(ABS(N10-INDEX('Supp Consol'!S:S,MATCH(X10,'Supp Consol'!AB:AB,0))),""))</f>
        <v/>
      </c>
      <c r="S10" s="26" t="s">
        <v>110</v>
      </c>
      <c r="T10" s="26" t="s">
        <v>893</v>
      </c>
      <c r="U10" s="301" t="str">
        <f>INDEX(SuppDetails[Supplier ID],MATCH(S10,SuppDetails[Supplier Code],0))</f>
        <v>0000000844</v>
      </c>
      <c r="V10" s="39" t="str">
        <f t="shared" si="1"/>
        <v>S</v>
      </c>
      <c r="X10" s="26" t="str">
        <f>_xlfn.CONCAT(B10,A10)</f>
        <v>110WK017-50006865</v>
      </c>
      <c r="Z10" s="26">
        <f t="shared" si="0"/>
        <v>466</v>
      </c>
    </row>
    <row r="11" spans="1:26">
      <c r="A11" s="305" t="s">
        <v>4149</v>
      </c>
      <c r="B11" s="27" t="s">
        <v>1106</v>
      </c>
      <c r="C11" s="136">
        <f>IFERROR(ABS(F11-INDEX('Supp Consol'!S:S,MATCH(X11,'Supp Consol'!AB:AB,0))),"")</f>
        <v>1500</v>
      </c>
      <c r="D11" s="218">
        <v>44937</v>
      </c>
      <c r="E11" s="39" t="s">
        <v>5617</v>
      </c>
      <c r="F11" s="136">
        <v>1500</v>
      </c>
      <c r="G11" s="39" t="s">
        <v>6292</v>
      </c>
      <c r="H11" s="39">
        <v>1100</v>
      </c>
      <c r="I11" s="39" t="s">
        <v>4682</v>
      </c>
      <c r="J11" s="39" t="s">
        <v>3891</v>
      </c>
      <c r="K11" s="39" t="s">
        <v>3891</v>
      </c>
      <c r="M11" s="27" t="s">
        <v>1104</v>
      </c>
      <c r="O11" s="27" t="str">
        <f>IF(N11="","",IFERROR(ABS(N11-INDEX('Supp Consol'!S:S,MATCH(X11,'Supp Consol'!AB:AB,0))),""))</f>
        <v/>
      </c>
      <c r="S11" s="26" t="s">
        <v>110</v>
      </c>
      <c r="T11" s="26" t="s">
        <v>893</v>
      </c>
      <c r="U11" s="301" t="str">
        <f>INDEX(SuppDetails[Supplier ID],MATCH(S11,SuppDetails[Supplier Code],0))</f>
        <v>0000000844</v>
      </c>
      <c r="V11" s="39" t="str">
        <f t="shared" si="1"/>
        <v>S</v>
      </c>
      <c r="X11" s="26" t="str">
        <f>_xlfn.CONCAT(B11,A11)</f>
        <v>100KM038-62006987</v>
      </c>
      <c r="Z11" s="26">
        <f t="shared" si="0"/>
        <v>1500</v>
      </c>
    </row>
    <row r="12" spans="1:26">
      <c r="A12" s="305" t="s">
        <v>4277</v>
      </c>
      <c r="B12" s="27" t="s">
        <v>1874</v>
      </c>
      <c r="C12" s="136">
        <f>IFERROR(ABS(F12-INDEX('Supp Consol'!S:S,MATCH(X12,'Supp Consol'!AB:AB,0))),"")</f>
        <v>2227</v>
      </c>
      <c r="D12" s="218">
        <v>44937</v>
      </c>
      <c r="E12" s="39" t="s">
        <v>5617</v>
      </c>
      <c r="F12" s="136">
        <v>500</v>
      </c>
      <c r="G12" s="39" t="s">
        <v>6292</v>
      </c>
      <c r="H12" s="39">
        <v>1100</v>
      </c>
      <c r="I12" s="39" t="s">
        <v>4682</v>
      </c>
      <c r="J12" s="39" t="s">
        <v>3891</v>
      </c>
      <c r="K12" s="39" t="s">
        <v>3891</v>
      </c>
      <c r="M12" s="27" t="s">
        <v>1873</v>
      </c>
      <c r="N12" s="27">
        <v>494</v>
      </c>
      <c r="O12" s="27">
        <f>IF(N12="","",IFERROR(ABS(N12-INDEX('Supp Consol'!S:S,MATCH(X12,'Supp Consol'!AB:AB,0))),""))</f>
        <v>2233</v>
      </c>
      <c r="S12" s="26" t="s">
        <v>1027</v>
      </c>
      <c r="T12" s="26" t="s">
        <v>5445</v>
      </c>
      <c r="U12" s="301" t="str">
        <f>INDEX(SuppDetails[Supplier ID],MATCH(S12,SuppDetails[Supplier Code],0))</f>
        <v>0000005638</v>
      </c>
      <c r="V12" s="39" t="str">
        <f t="shared" si="1"/>
        <v>S</v>
      </c>
      <c r="X12" s="26" t="str">
        <f>_xlfn.CONCAT(B12,A12)</f>
        <v>100WW185-62007060</v>
      </c>
      <c r="Z12" s="26">
        <f t="shared" si="0"/>
        <v>494</v>
      </c>
    </row>
    <row r="13" spans="1:26">
      <c r="A13" s="305" t="s">
        <v>5271</v>
      </c>
      <c r="B13" s="27" t="s">
        <v>1869</v>
      </c>
      <c r="C13" s="136">
        <f>IFERROR(ABS(F13-INDEX('Supp Consol'!S:S,MATCH(X13,'Supp Consol'!AB:AB,0))),"")</f>
        <v>816</v>
      </c>
      <c r="D13" s="218">
        <v>44937</v>
      </c>
      <c r="E13" s="39" t="s">
        <v>5617</v>
      </c>
      <c r="F13" s="136">
        <v>500</v>
      </c>
      <c r="G13" s="39" t="s">
        <v>6292</v>
      </c>
      <c r="H13" s="39">
        <v>1100</v>
      </c>
      <c r="I13" s="39" t="s">
        <v>4682</v>
      </c>
      <c r="J13" s="39" t="s">
        <v>3891</v>
      </c>
      <c r="K13" s="39" t="s">
        <v>3891</v>
      </c>
      <c r="M13" s="27" t="s">
        <v>1870</v>
      </c>
      <c r="N13" s="27">
        <v>664</v>
      </c>
      <c r="O13" s="27">
        <f>IF(N13="","",IFERROR(ABS(N13-INDEX('Supp Consol'!S:S,MATCH(X13,'Supp Consol'!AB:AB,0))),""))</f>
        <v>652</v>
      </c>
      <c r="P13" s="39" t="s">
        <v>3891</v>
      </c>
      <c r="Q13" s="39" t="s">
        <v>3891</v>
      </c>
      <c r="S13" s="26" t="s">
        <v>1027</v>
      </c>
      <c r="T13" s="26" t="s">
        <v>5445</v>
      </c>
      <c r="U13" s="301" t="str">
        <f>INDEX(SuppDetails[Supplier ID],MATCH(S13,SuppDetails[Supplier Code],0))</f>
        <v>0000005638</v>
      </c>
      <c r="V13" s="39" t="str">
        <f t="shared" si="1"/>
        <v>S</v>
      </c>
      <c r="X13" s="26" t="str">
        <f>_xlfn.CONCAT(B13,A13)</f>
        <v>100WW160-50007090</v>
      </c>
      <c r="Z13" s="26">
        <f t="shared" si="0"/>
        <v>664</v>
      </c>
    </row>
    <row r="14" spans="1:26">
      <c r="A14" s="305" t="s">
        <v>3848</v>
      </c>
      <c r="B14" s="27" t="s">
        <v>1500</v>
      </c>
      <c r="C14" s="136">
        <f>IFERROR(ABS(F14-INDEX('Supp Consol'!S:S,MATCH(X14,'Supp Consol'!AB:AB,0))),"")</f>
        <v>3160</v>
      </c>
      <c r="D14" s="218">
        <v>44937</v>
      </c>
      <c r="E14" s="39" t="s">
        <v>5617</v>
      </c>
      <c r="F14" s="136">
        <v>500</v>
      </c>
      <c r="G14" s="39" t="s">
        <v>6292</v>
      </c>
      <c r="H14" s="39">
        <v>1100</v>
      </c>
      <c r="I14" s="39" t="s">
        <v>4682</v>
      </c>
      <c r="M14" s="27" t="s">
        <v>1498</v>
      </c>
      <c r="O14" s="27" t="str">
        <f>IF(N14="","",IFERROR(ABS(N14-INDEX('Supp Consol'!S:S,MATCH(X14,'Supp Consol'!AB:AB,0))),""))</f>
        <v/>
      </c>
      <c r="S14" s="26" t="s">
        <v>68</v>
      </c>
      <c r="T14" s="26" t="s">
        <v>3792</v>
      </c>
      <c r="U14" s="301" t="str">
        <f>INDEX(SuppDetails[Supplier ID],MATCH(S14,SuppDetails[Supplier Code],0))</f>
        <v>0000012879</v>
      </c>
      <c r="V14" s="39" t="str">
        <f t="shared" si="1"/>
        <v>S</v>
      </c>
      <c r="X14" s="26" t="str">
        <f>_xlfn.CONCAT(B14,A14)</f>
        <v>100ST610-62006810</v>
      </c>
      <c r="Z14" s="26">
        <f t="shared" si="0"/>
        <v>500</v>
      </c>
    </row>
    <row r="15" spans="1:26">
      <c r="A15" s="305" t="s">
        <v>3824</v>
      </c>
      <c r="B15" s="27" t="s">
        <v>2726</v>
      </c>
      <c r="C15" s="136">
        <f>IFERROR(ABS(F15-INDEX('Supp Consol'!S:S,MATCH(X15,'Supp Consol'!AB:AB,0))),"")</f>
        <v>4532</v>
      </c>
      <c r="D15" s="218">
        <v>44937</v>
      </c>
      <c r="E15" s="39" t="s">
        <v>5617</v>
      </c>
      <c r="F15" s="136">
        <v>500</v>
      </c>
      <c r="G15" s="39" t="s">
        <v>6292</v>
      </c>
      <c r="H15" s="39">
        <v>1100</v>
      </c>
      <c r="I15" s="39" t="s">
        <v>4682</v>
      </c>
      <c r="M15" s="27" t="s">
        <v>2727</v>
      </c>
      <c r="O15" s="27" t="str">
        <f>IF(N15="","",IFERROR(ABS(N15-INDEX('Supp Consol'!S:S,MATCH(X15,'Supp Consol'!AB:AB,0))),""))</f>
        <v/>
      </c>
      <c r="S15" s="26" t="s">
        <v>68</v>
      </c>
      <c r="T15" s="26" t="s">
        <v>3792</v>
      </c>
      <c r="U15" s="301" t="str">
        <f>INDEX(SuppDetails[Supplier ID],MATCH(S15,SuppDetails[Supplier Code],0))</f>
        <v>0000012879</v>
      </c>
      <c r="V15" s="39" t="str">
        <f t="shared" si="1"/>
        <v>S</v>
      </c>
      <c r="X15" s="26" t="str">
        <f>_xlfn.CONCAT(B15,A15)</f>
        <v>110ST054-50007097</v>
      </c>
      <c r="Z15" s="26">
        <f t="shared" si="0"/>
        <v>500</v>
      </c>
    </row>
    <row r="16" spans="1:26">
      <c r="A16" s="305" t="s">
        <v>3793</v>
      </c>
      <c r="B16" s="27" t="s">
        <v>69</v>
      </c>
      <c r="C16" s="136">
        <f>IFERROR(ABS(F16-INDEX('Supp Consol'!S:S,MATCH(X16,'Supp Consol'!AB:AB,0))),"")</f>
        <v>9992</v>
      </c>
      <c r="D16" s="218">
        <v>44937</v>
      </c>
      <c r="E16" s="39" t="s">
        <v>5617</v>
      </c>
      <c r="F16" s="136">
        <v>2000</v>
      </c>
      <c r="G16" s="39" t="s">
        <v>6292</v>
      </c>
      <c r="H16" s="39">
        <v>1100</v>
      </c>
      <c r="I16" s="39" t="s">
        <v>4682</v>
      </c>
      <c r="M16" s="27" t="s">
        <v>67</v>
      </c>
      <c r="O16" s="27" t="str">
        <f>IF(N16="","",IFERROR(ABS(N16-INDEX('Supp Consol'!S:S,MATCH(X16,'Supp Consol'!AB:AB,0))),""))</f>
        <v/>
      </c>
      <c r="S16" s="26" t="s">
        <v>68</v>
      </c>
      <c r="T16" s="26" t="s">
        <v>3792</v>
      </c>
      <c r="U16" s="301" t="str">
        <f>INDEX(SuppDetails[Supplier ID],MATCH(S16,SuppDetails[Supplier Code],0))</f>
        <v>0000012879</v>
      </c>
      <c r="V16" s="39" t="str">
        <f t="shared" si="1"/>
        <v>S</v>
      </c>
      <c r="X16" s="26" t="str">
        <f>_xlfn.CONCAT(B16,A16)</f>
        <v>10000007-50007113</v>
      </c>
      <c r="Z16" s="26">
        <f t="shared" si="0"/>
        <v>2000</v>
      </c>
    </row>
    <row r="17" spans="1:26">
      <c r="A17" s="305" t="s">
        <v>3799</v>
      </c>
      <c r="B17" s="27" t="s">
        <v>76</v>
      </c>
      <c r="C17" s="136">
        <f>IFERROR(ABS(F17-INDEX('Supp Consol'!S:S,MATCH(X17,'Supp Consol'!AB:AB,0))),"")</f>
        <v>12180</v>
      </c>
      <c r="D17" s="218">
        <v>44937</v>
      </c>
      <c r="E17" s="39" t="s">
        <v>5617</v>
      </c>
      <c r="F17" s="136">
        <v>2000</v>
      </c>
      <c r="G17" s="39" t="s">
        <v>6292</v>
      </c>
      <c r="H17" s="39">
        <v>1100</v>
      </c>
      <c r="I17" s="39" t="s">
        <v>4682</v>
      </c>
      <c r="M17" s="27" t="s">
        <v>77</v>
      </c>
      <c r="O17" s="27" t="str">
        <f>IF(N17="","",IFERROR(ABS(N17-INDEX('Supp Consol'!S:S,MATCH(X17,'Supp Consol'!AB:AB,0))),""))</f>
        <v/>
      </c>
      <c r="S17" s="26" t="s">
        <v>68</v>
      </c>
      <c r="T17" s="26" t="s">
        <v>3792</v>
      </c>
      <c r="U17" s="301" t="str">
        <f>INDEX(SuppDetails[Supplier ID],MATCH(S17,SuppDetails[Supplier Code],0))</f>
        <v>0000012879</v>
      </c>
      <c r="V17" s="39" t="str">
        <f t="shared" si="1"/>
        <v>S</v>
      </c>
      <c r="X17" s="26" t="str">
        <f>_xlfn.CONCAT(B17,A17)</f>
        <v>10000009-43007114</v>
      </c>
      <c r="Z17" s="26">
        <f t="shared" si="0"/>
        <v>2000</v>
      </c>
    </row>
    <row r="18" spans="1:26">
      <c r="A18" s="305" t="s">
        <v>3799</v>
      </c>
      <c r="B18" s="27" t="s">
        <v>80</v>
      </c>
      <c r="C18" s="136">
        <f>IFERROR(ABS(F18-INDEX('Supp Consol'!S:S,MATCH(X18,'Supp Consol'!AB:AB,0))),"")</f>
        <v>13194</v>
      </c>
      <c r="D18" s="218">
        <v>44937</v>
      </c>
      <c r="E18" s="39" t="s">
        <v>5617</v>
      </c>
      <c r="F18" s="136">
        <v>1000</v>
      </c>
      <c r="G18" s="39" t="s">
        <v>6292</v>
      </c>
      <c r="H18" s="39">
        <v>1100</v>
      </c>
      <c r="I18" s="39" t="s">
        <v>4682</v>
      </c>
      <c r="M18" s="27" t="s">
        <v>77</v>
      </c>
      <c r="O18" s="27" t="str">
        <f>IF(N18="","",IFERROR(ABS(N18-INDEX('Supp Consol'!S:S,MATCH(X18,'Supp Consol'!AB:AB,0))),""))</f>
        <v/>
      </c>
      <c r="S18" s="26" t="s">
        <v>68</v>
      </c>
      <c r="T18" s="26" t="s">
        <v>3792</v>
      </c>
      <c r="U18" s="301" t="str">
        <f>INDEX(SuppDetails[Supplier ID],MATCH(S18,SuppDetails[Supplier Code],0))</f>
        <v>0000012879</v>
      </c>
      <c r="V18" s="39" t="str">
        <f t="shared" si="1"/>
        <v>S</v>
      </c>
      <c r="X18" s="26" t="str">
        <f>_xlfn.CONCAT(B18,A18)</f>
        <v>10000009-62007114</v>
      </c>
      <c r="Z18" s="26">
        <f t="shared" si="0"/>
        <v>1000</v>
      </c>
    </row>
    <row r="19" spans="1:26">
      <c r="A19" s="305" t="s">
        <v>5372</v>
      </c>
      <c r="B19" s="27" t="s">
        <v>1721</v>
      </c>
      <c r="C19" s="136">
        <f>IFERROR(ABS(F19-INDEX('Supp Consol'!S:S,MATCH(X19,'Supp Consol'!AB:AB,0))),"")</f>
        <v>663</v>
      </c>
      <c r="D19" s="218">
        <v>44937</v>
      </c>
      <c r="E19" s="39" t="s">
        <v>5617</v>
      </c>
      <c r="F19" s="136">
        <v>500</v>
      </c>
      <c r="G19" s="39" t="s">
        <v>6292</v>
      </c>
      <c r="H19" s="39">
        <v>1100</v>
      </c>
      <c r="I19" s="39" t="s">
        <v>4682</v>
      </c>
      <c r="M19" s="27" t="s">
        <v>1722</v>
      </c>
      <c r="O19" s="27" t="str">
        <f>IF(N19="","",IFERROR(ABS(N19-INDEX('Supp Consol'!S:S,MATCH(X19,'Supp Consol'!AB:AB,0))),""))</f>
        <v/>
      </c>
      <c r="S19" s="26" t="s">
        <v>275</v>
      </c>
      <c r="T19" s="26" t="s">
        <v>3882</v>
      </c>
      <c r="U19" s="301" t="str">
        <f>INDEX(SuppDetails[Supplier ID],MATCH(S19,SuppDetails[Supplier Code],0))</f>
        <v>0000002834</v>
      </c>
      <c r="V19" s="39" t="str">
        <f t="shared" si="1"/>
        <v>S</v>
      </c>
      <c r="X19" s="26" t="str">
        <f>_xlfn.CONCAT(B19,A19)</f>
        <v>100WM331-32507147</v>
      </c>
      <c r="Z19" s="26">
        <f t="shared" si="0"/>
        <v>500</v>
      </c>
    </row>
    <row r="20" spans="1:26">
      <c r="A20" s="305" t="s">
        <v>5372</v>
      </c>
      <c r="B20" s="27" t="s">
        <v>1725</v>
      </c>
      <c r="C20" s="136" t="str">
        <f>IFERROR(ABS(F20-INDEX('Supp Consol'!S:S,MATCH(X20,'Supp Consol'!AB:AB,0))),"")</f>
        <v/>
      </c>
      <c r="D20" s="218">
        <v>44937</v>
      </c>
      <c r="E20" s="39" t="s">
        <v>5617</v>
      </c>
      <c r="F20" s="136">
        <v>500</v>
      </c>
      <c r="G20" s="39" t="s">
        <v>6292</v>
      </c>
      <c r="H20" s="39">
        <v>1100</v>
      </c>
      <c r="I20" s="39" t="s">
        <v>4682</v>
      </c>
      <c r="M20" s="27" t="s">
        <v>1726</v>
      </c>
      <c r="N20" s="303"/>
      <c r="O20" s="27" t="str">
        <f>IF(N20="","",IFERROR(ABS(N20-INDEX('Supp Consol'!S:S,MATCH(X20,'Supp Consol'!AB:AB,0))),""))</f>
        <v/>
      </c>
      <c r="S20" s="26" t="s">
        <v>275</v>
      </c>
      <c r="T20" s="26" t="s">
        <v>3882</v>
      </c>
      <c r="U20" s="301" t="str">
        <f>INDEX(SuppDetails[Supplier ID],MATCH(S20,SuppDetails[Supplier Code],0))</f>
        <v>0000002834</v>
      </c>
      <c r="V20" s="39" t="str">
        <f t="shared" si="1"/>
        <v>S</v>
      </c>
      <c r="X20" s="26" t="str">
        <f>_xlfn.CONCAT(B20,A20)</f>
        <v>100WM332-62007147</v>
      </c>
      <c r="Z20" s="26">
        <f t="shared" si="0"/>
        <v>500</v>
      </c>
    </row>
    <row r="21" spans="1:26">
      <c r="A21" s="305" t="s">
        <v>5290</v>
      </c>
      <c r="B21" s="27" t="s">
        <v>795</v>
      </c>
      <c r="C21" s="136">
        <f>IFERROR(ABS(F21-INDEX('Supp Consol'!S:S,MATCH(X21,'Supp Consol'!AB:AB,0))),"")</f>
        <v>53782</v>
      </c>
      <c r="D21" s="218">
        <v>44936</v>
      </c>
      <c r="E21" s="39" t="s">
        <v>5617</v>
      </c>
      <c r="F21" s="136">
        <v>12000</v>
      </c>
      <c r="G21" s="39" t="s">
        <v>6292</v>
      </c>
      <c r="H21" s="39">
        <v>1100</v>
      </c>
      <c r="I21" s="39" t="s">
        <v>4682</v>
      </c>
      <c r="M21" s="27" t="s">
        <v>793</v>
      </c>
      <c r="O21" s="27" t="str">
        <f>IF(N21="","",IFERROR(ABS(N21-INDEX('Supp Consol'!S:S,MATCH(X21,'Supp Consol'!AB:AB,0))),""))</f>
        <v/>
      </c>
      <c r="R21" s="39" t="s">
        <v>3891</v>
      </c>
      <c r="S21" s="26" t="s">
        <v>101</v>
      </c>
      <c r="T21" s="26" t="s">
        <v>5443</v>
      </c>
      <c r="U21" s="301" t="str">
        <f>INDEX(SuppDetails[Supplier ID],MATCH(S21,SuppDetails[Supplier Code],0))</f>
        <v>0000001663</v>
      </c>
      <c r="V21" s="39" t="str">
        <f t="shared" si="1"/>
        <v>S</v>
      </c>
      <c r="X21" s="26" t="str">
        <f>_xlfn.CONCAT(B21,A21)</f>
        <v>100FR115-50147117</v>
      </c>
      <c r="Z21" s="26" t="str">
        <f t="shared" si="0"/>
        <v/>
      </c>
    </row>
    <row r="22" spans="1:26">
      <c r="A22" s="305" t="s">
        <v>5290</v>
      </c>
      <c r="B22" s="27" t="s">
        <v>796</v>
      </c>
      <c r="C22" s="136">
        <f>IFERROR(ABS(F22-INDEX('Supp Consol'!S:S,MATCH(X22,'Supp Consol'!AB:AB,0))),"")</f>
        <v>16304</v>
      </c>
      <c r="D22" s="218">
        <v>44936</v>
      </c>
      <c r="E22" s="39" t="s">
        <v>5617</v>
      </c>
      <c r="F22" s="136">
        <v>1000</v>
      </c>
      <c r="G22" s="39" t="s">
        <v>6292</v>
      </c>
      <c r="H22" s="39">
        <v>1100</v>
      </c>
      <c r="I22" s="39" t="s">
        <v>4682</v>
      </c>
      <c r="M22" s="27" t="s">
        <v>793</v>
      </c>
      <c r="O22" s="27" t="str">
        <f>IF(N22="","",IFERROR(ABS(N22-INDEX('Supp Consol'!S:S,MATCH(X22,'Supp Consol'!AB:AB,0))),""))</f>
        <v/>
      </c>
      <c r="R22" s="39" t="s">
        <v>3891</v>
      </c>
      <c r="S22" s="26" t="s">
        <v>101</v>
      </c>
      <c r="T22" s="26" t="s">
        <v>5443</v>
      </c>
      <c r="U22" s="301" t="str">
        <f>INDEX(SuppDetails[Supplier ID],MATCH(S22,SuppDetails[Supplier Code],0))</f>
        <v>0000001663</v>
      </c>
      <c r="V22" s="39" t="str">
        <f t="shared" si="1"/>
        <v>S</v>
      </c>
      <c r="X22" s="26" t="str">
        <f>_xlfn.CONCAT(B22,A22)</f>
        <v>100FR115-62127117</v>
      </c>
      <c r="Z22" s="26" t="str">
        <f t="shared" si="0"/>
        <v/>
      </c>
    </row>
    <row r="23" spans="1:26">
      <c r="A23" s="305" t="s">
        <v>7556</v>
      </c>
      <c r="B23" s="27" t="s">
        <v>102</v>
      </c>
      <c r="C23" s="136">
        <f>IFERROR(ABS(F23-INDEX('Supp Consol'!S:S,MATCH(X23,'Supp Consol'!AB:AB,0))),"")</f>
        <v>2500</v>
      </c>
      <c r="D23" s="218">
        <v>44936</v>
      </c>
      <c r="E23" s="39" t="s">
        <v>5617</v>
      </c>
      <c r="F23" s="136">
        <v>2500</v>
      </c>
      <c r="G23" s="39" t="s">
        <v>6292</v>
      </c>
      <c r="H23" s="39">
        <v>1100</v>
      </c>
      <c r="I23" s="39" t="s">
        <v>4682</v>
      </c>
      <c r="M23" s="27" t="s">
        <v>100</v>
      </c>
      <c r="O23" s="27" t="str">
        <f>IF(N23="","",IFERROR(ABS(N23-INDEX('Supp Consol'!S:S,MATCH(X23,'Supp Consol'!AB:AB,0))),""))</f>
        <v/>
      </c>
      <c r="R23" s="39" t="s">
        <v>3891</v>
      </c>
      <c r="S23" s="26" t="s">
        <v>101</v>
      </c>
      <c r="T23" s="26" t="s">
        <v>5443</v>
      </c>
      <c r="U23" s="301" t="str">
        <f>INDEX(SuppDetails[Supplier ID],MATCH(S23,SuppDetails[Supplier Code],0))</f>
        <v>0000001663</v>
      </c>
      <c r="V23" s="39" t="str">
        <f t="shared" si="1"/>
        <v>S</v>
      </c>
      <c r="X23" s="26" t="str">
        <f>_xlfn.CONCAT(B23,A23)</f>
        <v>10000020-62007219</v>
      </c>
      <c r="Z23" s="26" t="str">
        <f t="shared" si="0"/>
        <v/>
      </c>
    </row>
    <row r="24" spans="1:26">
      <c r="A24" s="305" t="s">
        <v>3950</v>
      </c>
      <c r="B24" s="27" t="s">
        <v>2006</v>
      </c>
      <c r="C24" s="136">
        <f>IFERROR(ABS(F24-INDEX('Supp Consol'!S:S,MATCH(X24,'Supp Consol'!AB:AB,0))),"")</f>
        <v>49205</v>
      </c>
      <c r="D24" s="218">
        <v>44938</v>
      </c>
      <c r="E24" s="39" t="s">
        <v>5617</v>
      </c>
      <c r="F24" s="136">
        <v>500</v>
      </c>
      <c r="G24" s="39" t="s">
        <v>6292</v>
      </c>
      <c r="H24" s="39">
        <v>1100</v>
      </c>
      <c r="I24" s="39" t="s">
        <v>4682</v>
      </c>
      <c r="M24" s="27" t="s">
        <v>2004</v>
      </c>
      <c r="O24" s="27" t="str">
        <f>IF(N24="","",IFERROR(ABS(N24-INDEX('Supp Consol'!S:S,MATCH(X24,'Supp Consol'!AB:AB,0))),""))</f>
        <v/>
      </c>
      <c r="S24" s="26" t="s">
        <v>329</v>
      </c>
      <c r="T24" s="26" t="s">
        <v>7778</v>
      </c>
      <c r="U24" s="301" t="str">
        <f>INDEX(SuppDetails[Supplier ID],MATCH(S24,SuppDetails[Supplier Code],0))</f>
        <v>0000001697</v>
      </c>
      <c r="V24" s="39" t="str">
        <f t="shared" si="1"/>
        <v>S</v>
      </c>
      <c r="X24" s="26" t="str">
        <f>_xlfn.CONCAT(B24,A24)</f>
        <v>100WY160-62007064</v>
      </c>
      <c r="Z24" s="26">
        <f t="shared" si="0"/>
        <v>500</v>
      </c>
    </row>
    <row r="25" spans="1:26">
      <c r="A25" s="305" t="s">
        <v>3956</v>
      </c>
      <c r="B25" s="27" t="s">
        <v>352</v>
      </c>
      <c r="C25" s="136">
        <f>IFERROR(ABS(F25-INDEX('Supp Consol'!S:S,MATCH(X25,'Supp Consol'!AB:AB,0))),"")</f>
        <v>2501</v>
      </c>
      <c r="D25" s="218">
        <v>44938</v>
      </c>
      <c r="E25" s="39" t="s">
        <v>5617</v>
      </c>
      <c r="F25" s="136">
        <v>500</v>
      </c>
      <c r="G25" s="39" t="s">
        <v>6292</v>
      </c>
      <c r="H25" s="39">
        <v>1100</v>
      </c>
      <c r="I25" s="39" t="s">
        <v>4682</v>
      </c>
      <c r="M25" s="27" t="s">
        <v>351</v>
      </c>
      <c r="N25" s="27">
        <v>574</v>
      </c>
      <c r="O25" s="27">
        <f>IF(N25="","",IFERROR(ABS(N25-INDEX('Supp Consol'!S:S,MATCH(X25,'Supp Consol'!AB:AB,0))),""))</f>
        <v>2427</v>
      </c>
      <c r="P25" s="39" t="s">
        <v>3891</v>
      </c>
      <c r="Q25" s="39" t="s">
        <v>3891</v>
      </c>
      <c r="S25" s="26" t="s">
        <v>329</v>
      </c>
      <c r="T25" s="26" t="s">
        <v>3914</v>
      </c>
      <c r="U25" s="301" t="str">
        <f>INDEX(SuppDetails[Supplier ID],MATCH(S25,SuppDetails[Supplier Code],0))</f>
        <v>0000001697</v>
      </c>
      <c r="V25" s="39" t="str">
        <f t="shared" si="1"/>
        <v>S</v>
      </c>
      <c r="X25" s="26" t="str">
        <f>_xlfn.CONCAT(B25,A25)</f>
        <v>100AG361-62007086</v>
      </c>
      <c r="Z25" s="26">
        <f t="shared" si="0"/>
        <v>574</v>
      </c>
    </row>
    <row r="26" spans="1:26">
      <c r="A26" s="305" t="s">
        <v>3962</v>
      </c>
      <c r="B26" s="27" t="s">
        <v>2193</v>
      </c>
      <c r="C26" s="136">
        <f>IFERROR(ABS(F26-INDEX('Supp Consol'!S:S,MATCH(X26,'Supp Consol'!AB:AB,0))),"")</f>
        <v>500</v>
      </c>
      <c r="D26" s="218">
        <v>44938</v>
      </c>
      <c r="E26" s="39" t="s">
        <v>5617</v>
      </c>
      <c r="F26" s="136">
        <v>500</v>
      </c>
      <c r="G26" s="39" t="s">
        <v>6292</v>
      </c>
      <c r="H26" s="39">
        <v>1100</v>
      </c>
      <c r="I26" s="39" t="s">
        <v>4682</v>
      </c>
      <c r="M26" s="27" t="s">
        <v>2194</v>
      </c>
      <c r="O26" s="27" t="str">
        <f>IF(N26="","",IFERROR(ABS(N26-INDEX('Supp Consol'!S:S,MATCH(X26,'Supp Consol'!AB:AB,0))),""))</f>
        <v/>
      </c>
      <c r="R26" s="39" t="s">
        <v>3891</v>
      </c>
      <c r="S26" s="26" t="s">
        <v>329</v>
      </c>
      <c r="T26" s="26" t="s">
        <v>3914</v>
      </c>
      <c r="U26" s="301" t="str">
        <f>INDEX(SuppDetails[Supplier ID],MATCH(S26,SuppDetails[Supplier Code],0))</f>
        <v>0000001697</v>
      </c>
      <c r="V26" s="39" t="str">
        <f t="shared" si="1"/>
        <v>S</v>
      </c>
      <c r="W26" s="26" t="s">
        <v>7786</v>
      </c>
      <c r="X26" s="26" t="str">
        <f>_xlfn.CONCAT(B26,A26)</f>
        <v>110H5102-50007088</v>
      </c>
      <c r="Z26" s="26" t="str">
        <f t="shared" si="0"/>
        <v/>
      </c>
    </row>
    <row r="27" spans="1:26">
      <c r="A27" s="305" t="s">
        <v>3962</v>
      </c>
      <c r="B27" s="27" t="s">
        <v>2196</v>
      </c>
      <c r="C27" s="136">
        <f>IFERROR(ABS(F27-INDEX('Supp Consol'!S:S,MATCH(X27,'Supp Consol'!AB:AB,0))),"")</f>
        <v>1000</v>
      </c>
      <c r="D27" s="218">
        <v>44938</v>
      </c>
      <c r="E27" s="39" t="s">
        <v>5617</v>
      </c>
      <c r="F27" s="136">
        <v>1000</v>
      </c>
      <c r="G27" s="39" t="s">
        <v>6292</v>
      </c>
      <c r="H27" s="39">
        <v>1100</v>
      </c>
      <c r="I27" s="39" t="s">
        <v>4682</v>
      </c>
      <c r="M27" s="27" t="s">
        <v>2194</v>
      </c>
      <c r="O27" s="27" t="str">
        <f>IF(N27="","",IFERROR(ABS(N27-INDEX('Supp Consol'!S:S,MATCH(X27,'Supp Consol'!AB:AB,0))),""))</f>
        <v/>
      </c>
      <c r="R27" s="39" t="s">
        <v>3891</v>
      </c>
      <c r="S27" s="26" t="s">
        <v>329</v>
      </c>
      <c r="T27" s="26" t="s">
        <v>3914</v>
      </c>
      <c r="U27" s="301" t="str">
        <f>INDEX(SuppDetails[Supplier ID],MATCH(S27,SuppDetails[Supplier Code],0))</f>
        <v>0000001697</v>
      </c>
      <c r="V27" s="39" t="str">
        <f t="shared" si="1"/>
        <v>S</v>
      </c>
      <c r="W27" s="26" t="s">
        <v>7786</v>
      </c>
      <c r="X27" s="26" t="str">
        <f>_xlfn.CONCAT(B27,A27)</f>
        <v>110H5102-62007088</v>
      </c>
      <c r="Z27" s="26" t="str">
        <f t="shared" si="0"/>
        <v/>
      </c>
    </row>
    <row r="28" spans="1:26">
      <c r="A28" s="305" t="s">
        <v>3962</v>
      </c>
      <c r="B28" s="27" t="s">
        <v>2867</v>
      </c>
      <c r="C28" s="136">
        <f>IFERROR(ABS(F28-INDEX('Supp Consol'!S:S,MATCH(X28,'Supp Consol'!AB:AB,0))),"")</f>
        <v>2628</v>
      </c>
      <c r="D28" s="218">
        <v>44938</v>
      </c>
      <c r="E28" s="39" t="s">
        <v>5617</v>
      </c>
      <c r="F28" s="136">
        <v>500</v>
      </c>
      <c r="G28" s="39" t="s">
        <v>6292</v>
      </c>
      <c r="H28" s="39">
        <v>1100</v>
      </c>
      <c r="I28" s="39" t="s">
        <v>4682</v>
      </c>
      <c r="M28" s="27" t="s">
        <v>2866</v>
      </c>
      <c r="N28" s="27">
        <v>549</v>
      </c>
      <c r="O28" s="27">
        <f>IF(N28="","",IFERROR(ABS(N28-INDEX('Supp Consol'!S:S,MATCH(X28,'Supp Consol'!AB:AB,0))),""))</f>
        <v>2579</v>
      </c>
      <c r="P28" s="39" t="s">
        <v>3891</v>
      </c>
      <c r="Q28" s="39" t="s">
        <v>3891</v>
      </c>
      <c r="S28" s="26" t="s">
        <v>329</v>
      </c>
      <c r="T28" s="26" t="s">
        <v>3914</v>
      </c>
      <c r="U28" s="301" t="str">
        <f>INDEX(SuppDetails[Supplier ID],MATCH(S28,SuppDetails[Supplier Code],0))</f>
        <v>0000001697</v>
      </c>
      <c r="V28" s="39" t="str">
        <f t="shared" si="1"/>
        <v>S</v>
      </c>
      <c r="X28" s="26" t="str">
        <f>_xlfn.CONCAT(B28,A28)</f>
        <v>110VS202-62007088</v>
      </c>
      <c r="Z28" s="26">
        <f t="shared" si="0"/>
        <v>549</v>
      </c>
    </row>
    <row r="33" spans="4:6">
      <c r="D33" s="302"/>
      <c r="E33"/>
      <c r="F33" s="39"/>
    </row>
    <row r="34" spans="4:6">
      <c r="D34" s="302"/>
      <c r="E34"/>
      <c r="F34" s="39"/>
    </row>
    <row r="35" spans="4:6">
      <c r="D35" s="302"/>
      <c r="E35"/>
      <c r="F35" s="39"/>
    </row>
    <row r="36" spans="4:6">
      <c r="D36" s="302"/>
      <c r="E36"/>
      <c r="F36" s="39"/>
    </row>
    <row r="37" spans="4:6">
      <c r="D37" s="302"/>
      <c r="E37"/>
      <c r="F37" s="39"/>
    </row>
    <row r="38" spans="4:6">
      <c r="D38" s="302"/>
      <c r="E38"/>
      <c r="F38" s="39"/>
    </row>
    <row r="39" spans="4:6">
      <c r="D39" s="302"/>
      <c r="E39"/>
      <c r="F39" s="39"/>
    </row>
    <row r="40" spans="4:6">
      <c r="D40" s="302"/>
      <c r="E40"/>
      <c r="F40" s="39"/>
    </row>
    <row r="41" spans="4:6">
      <c r="D41" s="302"/>
      <c r="E41"/>
      <c r="F41" s="39"/>
    </row>
    <row r="42" spans="4:6">
      <c r="D42" s="302"/>
      <c r="E42"/>
      <c r="F42" s="39"/>
    </row>
    <row r="43" spans="4:6">
      <c r="D43" s="302"/>
      <c r="E43"/>
      <c r="F43" s="39"/>
    </row>
    <row r="44" spans="4:6">
      <c r="D44" s="302"/>
      <c r="E44"/>
      <c r="F44" s="39"/>
    </row>
    <row r="45" spans="4:6">
      <c r="D45" s="302"/>
      <c r="E45"/>
      <c r="F45" s="39"/>
    </row>
    <row r="46" spans="4:6">
      <c r="D46" s="302"/>
      <c r="E46"/>
      <c r="F46" s="39"/>
    </row>
    <row r="47" spans="4:6">
      <c r="D47" s="302"/>
      <c r="E47"/>
      <c r="F47" s="39"/>
    </row>
    <row r="48" spans="4:6">
      <c r="D48" s="302"/>
      <c r="E48"/>
      <c r="F48" s="39"/>
    </row>
    <row r="49" spans="4:6">
      <c r="D49" s="302"/>
      <c r="E49"/>
      <c r="F49" s="39"/>
    </row>
    <row r="50" spans="4:6">
      <c r="D50" s="302"/>
      <c r="E50"/>
      <c r="F50" s="39"/>
    </row>
    <row r="51" spans="4:6">
      <c r="D51" s="302"/>
      <c r="E51"/>
      <c r="F51" s="39"/>
    </row>
    <row r="52" spans="4:6">
      <c r="D52" s="302"/>
      <c r="E52"/>
      <c r="F52" s="39"/>
    </row>
    <row r="53" spans="4:6">
      <c r="D53" s="302"/>
      <c r="E53"/>
      <c r="F53" s="39"/>
    </row>
    <row r="54" spans="4:6">
      <c r="D54" s="302"/>
      <c r="E54"/>
      <c r="F54" s="39"/>
    </row>
    <row r="55" spans="4:6">
      <c r="D55" s="302"/>
      <c r="E55"/>
      <c r="F55" s="39"/>
    </row>
  </sheetData>
  <sortState xmlns:xlrd2="http://schemas.microsoft.com/office/spreadsheetml/2017/richdata2" ref="A2:X28">
    <sortCondition ref="S2:S28"/>
    <sortCondition ref="A2:A28"/>
    <sortCondition ref="B2:B28"/>
  </sortState>
  <phoneticPr fontId="40" type="noConversion"/>
  <conditionalFormatting sqref="F1:F1048576 C1:C1048576">
    <cfRule type="expression" dxfId="9" priority="21">
      <formula>AND($B1&lt;&gt;"",$C1&lt;100)</formula>
    </cfRule>
  </conditionalFormatting>
  <conditionalFormatting sqref="N1:O1048576">
    <cfRule type="expression" dxfId="8" priority="13">
      <formula>AND($B1&lt;&gt;"",$N1=$F1)</formula>
    </cfRule>
  </conditionalFormatting>
  <conditionalFormatting sqref="A2">
    <cfRule type="expression" dxfId="7" priority="1000">
      <formula>AND($A2&lt;&gt;"hun",$A2&lt;&gt;"po id",$A2&lt;&gt;"")</formula>
    </cfRule>
  </conditionalFormatting>
  <conditionalFormatting sqref="A1:U1048576">
    <cfRule type="expression" dxfId="6" priority="15">
      <formula>$R1="X"</formula>
    </cfRule>
    <cfRule type="expression" dxfId="5" priority="19">
      <formula>AND($B1&lt;&gt;"",$Q1="xx")</formula>
    </cfRule>
    <cfRule type="expression" dxfId="4" priority="17">
      <formula>$S1&lt;&gt;$S2</formula>
    </cfRule>
    <cfRule type="expression" dxfId="3" priority="20">
      <formula>$Q1="X"</formula>
    </cfRule>
    <cfRule type="expression" dxfId="2" priority="1018">
      <formula>$Q1="xx"</formula>
    </cfRule>
  </conditionalFormatting>
  <conditionalFormatting sqref="A1:A1048576">
    <cfRule type="expression" dxfId="1" priority="18">
      <formula>$A1&lt;&gt;$A2</formula>
    </cfRule>
    <cfRule type="expression" dxfId="0" priority="16">
      <formula>AND($A1&lt;&gt;"hun",$A1&lt;&gt;"po id",$A1&lt;&gt;"")</formula>
    </cfRule>
  </conditionalFormatting>
  <pageMargins left="0.25" right="0.25" top="0.75" bottom="0.75" header="0.3" footer="0.3"/>
  <pageSetup scale="57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04BD-7E04-4ABE-A9F5-F3553132406E}">
  <sheetPr codeName="Sheet26">
    <tabColor theme="2" tint="-0.499984740745262"/>
  </sheetPr>
  <dimension ref="A1:C28"/>
  <sheetViews>
    <sheetView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3" width="43.7109375" customWidth="1"/>
    <col min="4" max="14" width="10" customWidth="1"/>
  </cols>
  <sheetData>
    <row r="1" spans="1:3" s="38" customFormat="1" ht="5.25" customHeight="1">
      <c r="A1" s="238" t="str">
        <f>_xlfn.TEXTJOIN("; ",TRUE,A3:A71)</f>
        <v>Greg_Hoyle@panolam.com; Haibado_Daher@panolam.com; John_Suominen@panolam.com; Jackie_Wickline@panolam.com; Tonya_Kirkland@panolam.com; Jennifer_Lepkowski@panolam.com</v>
      </c>
      <c r="B1" s="238" t="str">
        <f>_xlfn.TEXTJOIN("; ",TRUE,B3:B71)</f>
        <v>Amie_Morris@panolam.com; Benjamin_BeDen@panolam.com; Beth_Cocca@panolam.com; Bob_Willey@panolam.com; Brad_Tripp@panolam.com; Charles_Banks@panolam.com; Diane_Roberts@panolam.com; Dianne_Coy@panolam.com; Greg_Hoyle@panolam.com; Jeff_Nadeau@panolam.com; Jim_Pare@panolam.com; Joann_Hanning@panolam.com; John_Hickey@panolam.com; John_Suominen@panolam.com; Larisa_Adams@panolam.com; Mitch_Dulac@panolam.com; Randall_Sappington@panolam.com; Renee_Becker@panolam.com; Sam_Quan@panolam.com; Scott_Huss@panolam.com; Sherry_May@panolam.com; Stefania_Eaton@panolam.com; Stephanie_Lavoie@panolam.com; Teri_Latham@panolam.com; Tonya_Kirkland@panolam.com; Tracy_Paradis@panolam.com</v>
      </c>
      <c r="C1" s="238" t="str">
        <f>_xlfn.TEXTJOIN("; ",TRUE,C3:C71)</f>
        <v>Sam_Quan@panolam.com; Lisa_Paddle@panolam.com; Tonya_Kirkland@panolam.com</v>
      </c>
    </row>
    <row r="2" spans="1:3" s="39" customFormat="1">
      <c r="A2" s="239" t="s">
        <v>7636</v>
      </c>
      <c r="B2" s="239" t="s">
        <v>7637</v>
      </c>
      <c r="C2" s="239" t="s">
        <v>5689</v>
      </c>
    </row>
    <row r="3" spans="1:3">
      <c r="A3" t="s">
        <v>7643</v>
      </c>
      <c r="B3" t="s">
        <v>7658</v>
      </c>
      <c r="C3" t="s">
        <v>7662</v>
      </c>
    </row>
    <row r="4" spans="1:3">
      <c r="A4" t="s">
        <v>7642</v>
      </c>
      <c r="B4" t="s">
        <v>7647</v>
      </c>
      <c r="C4" t="s">
        <v>7667</v>
      </c>
    </row>
    <row r="5" spans="1:3">
      <c r="A5" t="s">
        <v>7641</v>
      </c>
      <c r="B5" t="s">
        <v>7648</v>
      </c>
      <c r="C5" t="s">
        <v>7639</v>
      </c>
    </row>
    <row r="6" spans="1:3">
      <c r="A6" t="s">
        <v>7640</v>
      </c>
      <c r="B6" t="s">
        <v>7666</v>
      </c>
    </row>
    <row r="7" spans="1:3">
      <c r="A7" t="s">
        <v>7639</v>
      </c>
      <c r="B7" t="s">
        <v>7665</v>
      </c>
    </row>
    <row r="8" spans="1:3">
      <c r="A8" t="s">
        <v>7638</v>
      </c>
      <c r="B8" t="s">
        <v>7645</v>
      </c>
    </row>
    <row r="9" spans="1:3">
      <c r="B9" t="s">
        <v>7663</v>
      </c>
    </row>
    <row r="10" spans="1:3">
      <c r="B10" t="s">
        <v>7649</v>
      </c>
    </row>
    <row r="11" spans="1:3">
      <c r="B11" t="s">
        <v>7643</v>
      </c>
    </row>
    <row r="12" spans="1:3">
      <c r="B12" t="s">
        <v>7659</v>
      </c>
    </row>
    <row r="13" spans="1:3">
      <c r="B13" t="s">
        <v>7661</v>
      </c>
    </row>
    <row r="14" spans="1:3">
      <c r="B14" t="s">
        <v>7652</v>
      </c>
    </row>
    <row r="15" spans="1:3">
      <c r="B15" t="s">
        <v>7653</v>
      </c>
    </row>
    <row r="16" spans="1:3">
      <c r="B16" t="s">
        <v>7641</v>
      </c>
    </row>
    <row r="17" spans="2:2">
      <c r="B17" t="s">
        <v>7644</v>
      </c>
    </row>
    <row r="18" spans="2:2">
      <c r="B18" t="s">
        <v>7650</v>
      </c>
    </row>
    <row r="19" spans="2:2">
      <c r="B19" t="s">
        <v>7664</v>
      </c>
    </row>
    <row r="20" spans="2:2">
      <c r="B20" t="s">
        <v>7646</v>
      </c>
    </row>
    <row r="21" spans="2:2">
      <c r="B21" t="s">
        <v>7662</v>
      </c>
    </row>
    <row r="22" spans="2:2">
      <c r="B22" t="s">
        <v>7654</v>
      </c>
    </row>
    <row r="23" spans="2:2">
      <c r="B23" t="s">
        <v>7657</v>
      </c>
    </row>
    <row r="24" spans="2:2">
      <c r="B24" t="s">
        <v>7651</v>
      </c>
    </row>
    <row r="25" spans="2:2">
      <c r="B25" t="s">
        <v>7656</v>
      </c>
    </row>
    <row r="26" spans="2:2">
      <c r="B26" t="s">
        <v>7655</v>
      </c>
    </row>
    <row r="27" spans="2:2">
      <c r="B27" t="s">
        <v>7639</v>
      </c>
    </row>
    <row r="28" spans="2:2">
      <c r="B28" t="s">
        <v>7660</v>
      </c>
    </row>
  </sheetData>
  <sortState xmlns:xlrd2="http://schemas.microsoft.com/office/spreadsheetml/2017/richdata2" ref="B3:B28">
    <sortCondition ref="B3:B28"/>
  </sortState>
  <pageMargins left="0.7" right="0.7" top="0.75" bottom="0.75" header="0.3" footer="0.3"/>
  <pageSetup orientation="portrait" copies="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090F5-8835-4B14-9779-6181780DB9F9}">
  <sheetPr codeName="Sheet3">
    <tabColor theme="2" tint="-0.499984740745262"/>
  </sheetPr>
  <dimension ref="A1:AA48"/>
  <sheetViews>
    <sheetView topLeftCell="O1" workbookViewId="0">
      <selection activeCell="X25" sqref="X25"/>
    </sheetView>
  </sheetViews>
  <sheetFormatPr defaultRowHeight="15"/>
  <cols>
    <col min="1" max="1" width="23.42578125" bestFit="1" customWidth="1"/>
    <col min="2" max="2" width="23.42578125" hidden="1" customWidth="1"/>
    <col min="3" max="3" width="12.28515625" customWidth="1"/>
    <col min="4" max="4" width="23.42578125" customWidth="1"/>
    <col min="5" max="6" width="2.140625" customWidth="1"/>
    <col min="7" max="7" width="12.28515625" customWidth="1"/>
    <col min="8" max="8" width="15.85546875" customWidth="1"/>
    <col min="9" max="9" width="1.85546875" customWidth="1"/>
    <col min="10" max="10" width="23.7109375" customWidth="1"/>
    <col min="11" max="12" width="1" customWidth="1"/>
    <col min="14" max="14" width="51.140625" style="38" customWidth="1"/>
    <col min="15" max="16" width="2.42578125" customWidth="1"/>
    <col min="17" max="17" width="8.7109375" customWidth="1"/>
    <col min="18" max="18" width="18.5703125" style="12" bestFit="1" customWidth="1"/>
    <col min="19" max="19" width="12.7109375" customWidth="1"/>
    <col min="20" max="20" width="18.42578125" customWidth="1"/>
    <col min="21" max="21" width="28.140625" bestFit="1" customWidth="1"/>
    <col min="22" max="22" width="23.28515625" customWidth="1"/>
    <col min="23" max="23" width="15.85546875" bestFit="1" customWidth="1"/>
    <col min="24" max="24" width="7.85546875" bestFit="1" customWidth="1"/>
    <col min="25" max="25" width="11.28515625" bestFit="1" customWidth="1"/>
    <col min="26" max="26" width="14" customWidth="1"/>
    <col min="27" max="27" width="28.28515625" customWidth="1"/>
  </cols>
  <sheetData>
    <row r="1" spans="1:27" s="1" customFormat="1" ht="30">
      <c r="A1" s="1" t="s">
        <v>5232</v>
      </c>
      <c r="B1" s="1" t="s">
        <v>39</v>
      </c>
      <c r="C1" s="1" t="s">
        <v>4008</v>
      </c>
      <c r="D1" s="1" t="s">
        <v>5345</v>
      </c>
      <c r="G1" s="23" t="s">
        <v>4664</v>
      </c>
      <c r="H1" s="24" t="s">
        <v>4665</v>
      </c>
      <c r="I1" s="24"/>
      <c r="J1" s="295" t="s">
        <v>5231</v>
      </c>
      <c r="M1" s="1" t="s">
        <v>5348</v>
      </c>
      <c r="N1" s="37" t="s">
        <v>5349</v>
      </c>
      <c r="Q1" s="1" t="s">
        <v>5591</v>
      </c>
      <c r="R1" s="1" t="s">
        <v>0</v>
      </c>
      <c r="S1" s="200" t="s">
        <v>5460</v>
      </c>
      <c r="T1" s="1" t="s">
        <v>5442</v>
      </c>
      <c r="U1" s="1" t="s">
        <v>6125</v>
      </c>
      <c r="V1" s="1" t="s">
        <v>6127</v>
      </c>
      <c r="W1" s="1" t="s">
        <v>5441</v>
      </c>
      <c r="X1" s="1" t="s">
        <v>5446</v>
      </c>
      <c r="Y1" s="1" t="s">
        <v>5447</v>
      </c>
      <c r="Z1" s="1" t="s">
        <v>6111</v>
      </c>
      <c r="AA1" s="1" t="s">
        <v>6126</v>
      </c>
    </row>
    <row r="2" spans="1:27">
      <c r="A2" t="s">
        <v>151</v>
      </c>
      <c r="B2" t="e">
        <f>INDEX(#REF!,MATCH(A2,#REF!,0))</f>
        <v>#REF!</v>
      </c>
      <c r="C2" t="str">
        <f t="shared" ref="C2:C20" si="0">IF(COUNTIF(A:A,A2)&gt;1,"Duplicate","good")</f>
        <v>good</v>
      </c>
      <c r="D2" t="s">
        <v>5346</v>
      </c>
      <c r="G2" s="15" t="s">
        <v>4651</v>
      </c>
      <c r="H2">
        <v>50</v>
      </c>
      <c r="J2" s="296"/>
      <c r="Q2" t="s">
        <v>267</v>
      </c>
      <c r="R2" t="s">
        <v>5428</v>
      </c>
      <c r="S2" s="12" t="s">
        <v>5461</v>
      </c>
      <c r="T2" t="s">
        <v>3524</v>
      </c>
      <c r="U2" t="str">
        <f>CONCATENATE(SuppDetails[[#This Row],[Supplier]],SuppDetails[[#This Row],[Warehouse Provided]])</f>
        <v>Ahlstrom Paper Inc.LMSTONE</v>
      </c>
      <c r="V2" t="str">
        <f>_xlfn.CONCAT(SuppDetails[[#This Row],[Supplier Code]],SuppDetails[[#This Row],[Warehouse Provided]])</f>
        <v>AHLSTLMSTONE</v>
      </c>
      <c r="W2" t="s">
        <v>5445</v>
      </c>
      <c r="X2" t="s">
        <v>3657</v>
      </c>
      <c r="Y2" t="s">
        <v>5459</v>
      </c>
      <c r="Z2" t="s">
        <v>6112</v>
      </c>
      <c r="AA2" t="str">
        <f>_xlfn.CONCAT(SuppDetails[[#This Row],[Supplier]],SuppDetails[[#This Row],[Warehouse Tranlation]])</f>
        <v>Ahlstrom Paper Inc.Stone</v>
      </c>
    </row>
    <row r="3" spans="1:27">
      <c r="A3" t="s">
        <v>154</v>
      </c>
      <c r="B3" t="e">
        <f>INDEX(#REF!,MATCH(A3,#REF!,0))</f>
        <v>#REF!</v>
      </c>
      <c r="C3" t="str">
        <f t="shared" si="0"/>
        <v>good</v>
      </c>
      <c r="D3" t="s">
        <v>5346</v>
      </c>
      <c r="G3" s="15" t="s">
        <v>4652</v>
      </c>
      <c r="H3">
        <v>62</v>
      </c>
      <c r="J3" s="296"/>
      <c r="Q3" t="s">
        <v>3462</v>
      </c>
      <c r="R3" t="s">
        <v>5429</v>
      </c>
      <c r="S3" s="12" t="s">
        <v>5488</v>
      </c>
      <c r="T3" t="s">
        <v>3524</v>
      </c>
      <c r="U3" t="str">
        <f>CONCATENATE(SuppDetails[[#This Row],[Supplier]],SuppDetails[[#This Row],[Warehouse Provided]])</f>
        <v>Munksjo USA Inc.LMSTONE</v>
      </c>
      <c r="V3" t="str">
        <f>_xlfn.CONCAT(SuppDetails[[#This Row],[Supplier Code]],SuppDetails[[#This Row],[Warehouse Provided]])</f>
        <v>MUNZILMSTONE</v>
      </c>
      <c r="W3" t="s">
        <v>5445</v>
      </c>
      <c r="X3" t="s">
        <v>3657</v>
      </c>
      <c r="Y3" t="s">
        <v>5459</v>
      </c>
      <c r="Z3" t="s">
        <v>6112</v>
      </c>
      <c r="AA3" t="str">
        <f>_xlfn.CONCAT(SuppDetails[[#This Row],[Supplier]],SuppDetails[[#This Row],[Warehouse Tranlation]])</f>
        <v>Munksjo USA Inc.Stone</v>
      </c>
    </row>
    <row r="4" spans="1:27">
      <c r="A4" t="s">
        <v>155</v>
      </c>
      <c r="B4" t="e">
        <f>INDEX(#REF!,MATCH(A4,#REF!,0))</f>
        <v>#REF!</v>
      </c>
      <c r="C4" t="str">
        <f t="shared" si="0"/>
        <v>good</v>
      </c>
      <c r="D4" t="s">
        <v>5346</v>
      </c>
      <c r="G4" s="15" t="s">
        <v>4653</v>
      </c>
      <c r="H4">
        <v>50</v>
      </c>
      <c r="J4" s="296"/>
      <c r="Q4" t="s">
        <v>3462</v>
      </c>
      <c r="R4" t="s">
        <v>5429</v>
      </c>
      <c r="S4" s="12" t="s">
        <v>5488</v>
      </c>
      <c r="T4" t="s">
        <v>5502</v>
      </c>
      <c r="U4" t="str">
        <f>CONCATENATE(SuppDetails[[#This Row],[Supplier]],SuppDetails[[#This Row],[Warehouse Provided]])</f>
        <v>Munksjo USA Inc.DUSTONE</v>
      </c>
      <c r="V4" t="str">
        <f>_xlfn.CONCAT(SuppDetails[[#This Row],[Supplier Code]],SuppDetails[[#This Row],[Warehouse Provided]])</f>
        <v>MUNZIDUSTONE</v>
      </c>
      <c r="W4" t="s">
        <v>5445</v>
      </c>
      <c r="X4" t="s">
        <v>3657</v>
      </c>
      <c r="Y4" t="s">
        <v>5459</v>
      </c>
      <c r="Z4" t="s">
        <v>6112</v>
      </c>
      <c r="AA4" t="str">
        <f>_xlfn.CONCAT(SuppDetails[[#This Row],[Supplier]],SuppDetails[[#This Row],[Warehouse Tranlation]])</f>
        <v>Munksjo USA Inc.Stone</v>
      </c>
    </row>
    <row r="5" spans="1:27">
      <c r="A5" t="s">
        <v>606</v>
      </c>
      <c r="B5" t="e">
        <f>INDEX(#REF!,MATCH(A5,#REF!,0))</f>
        <v>#REF!</v>
      </c>
      <c r="C5" t="str">
        <f t="shared" si="0"/>
        <v>good</v>
      </c>
      <c r="D5" t="s">
        <v>5346</v>
      </c>
      <c r="G5" s="15" t="s">
        <v>4654</v>
      </c>
      <c r="H5">
        <v>62</v>
      </c>
      <c r="J5" s="296"/>
      <c r="Q5" t="s">
        <v>267</v>
      </c>
      <c r="R5" t="s">
        <v>5428</v>
      </c>
      <c r="S5" s="12" t="s">
        <v>5461</v>
      </c>
      <c r="T5" t="s">
        <v>5502</v>
      </c>
      <c r="U5" t="str">
        <f>CONCATENATE(SuppDetails[[#This Row],[Supplier]],SuppDetails[[#This Row],[Warehouse Provided]])</f>
        <v>Ahlstrom Paper Inc.DUSTONE</v>
      </c>
      <c r="V5" t="str">
        <f>_xlfn.CONCAT(SuppDetails[[#This Row],[Supplier Code]],SuppDetails[[#This Row],[Warehouse Provided]])</f>
        <v>AHLSTDUSTONE</v>
      </c>
      <c r="W5" t="s">
        <v>5445</v>
      </c>
      <c r="X5" t="s">
        <v>3657</v>
      </c>
      <c r="Y5" t="s">
        <v>5459</v>
      </c>
      <c r="Z5" t="s">
        <v>6112</v>
      </c>
      <c r="AA5" t="str">
        <f>_xlfn.CONCAT(SuppDetails[[#This Row],[Supplier]],SuppDetails[[#This Row],[Warehouse Tranlation]])</f>
        <v>Ahlstrom Paper Inc.Stone</v>
      </c>
    </row>
    <row r="6" spans="1:27">
      <c r="A6" t="s">
        <v>797</v>
      </c>
      <c r="B6" t="e">
        <f>INDEX(#REF!,MATCH(A6,#REF!,0))</f>
        <v>#REF!</v>
      </c>
      <c r="C6" t="str">
        <f t="shared" si="0"/>
        <v>good</v>
      </c>
      <c r="D6" t="s">
        <v>5346</v>
      </c>
      <c r="G6" s="15" t="s">
        <v>4655</v>
      </c>
      <c r="H6">
        <v>50</v>
      </c>
      <c r="J6" s="296"/>
      <c r="Q6" t="s">
        <v>991</v>
      </c>
      <c r="R6" t="s">
        <v>3653</v>
      </c>
      <c r="S6" s="12" t="s">
        <v>5462</v>
      </c>
      <c r="T6" t="s">
        <v>3657</v>
      </c>
      <c r="U6" t="str">
        <f>CONCATENATE(SuppDetails[[#This Row],[Supplier]],SuppDetails[[#This Row],[Warehouse Provided]])</f>
        <v>CartiereWatervliet</v>
      </c>
      <c r="V6" t="str">
        <f>_xlfn.CONCAT(SuppDetails[[#This Row],[Supplier Code]],SuppDetails[[#This Row],[Warehouse Provided]])</f>
        <v>CARTIWatervliet</v>
      </c>
      <c r="W6" t="s">
        <v>5445</v>
      </c>
      <c r="X6" t="s">
        <v>3657</v>
      </c>
      <c r="Y6" t="s">
        <v>5459</v>
      </c>
      <c r="Z6" t="s">
        <v>6112</v>
      </c>
      <c r="AA6" t="str">
        <f>_xlfn.CONCAT(SuppDetails[[#This Row],[Supplier]],SuppDetails[[#This Row],[Warehouse Tranlation]])</f>
        <v>CartiereStone</v>
      </c>
    </row>
    <row r="7" spans="1:27">
      <c r="A7" t="s">
        <v>805</v>
      </c>
      <c r="B7" t="e">
        <f>INDEX(#REF!,MATCH(A7,#REF!,0))</f>
        <v>#REF!</v>
      </c>
      <c r="C7" t="str">
        <f t="shared" si="0"/>
        <v>good</v>
      </c>
      <c r="D7" t="s">
        <v>5346</v>
      </c>
      <c r="G7" s="15" t="s">
        <v>4656</v>
      </c>
      <c r="H7">
        <v>50</v>
      </c>
      <c r="J7" s="296"/>
      <c r="Q7" t="s">
        <v>318</v>
      </c>
      <c r="R7" t="s">
        <v>3662</v>
      </c>
      <c r="S7" s="12" t="s">
        <v>5463</v>
      </c>
      <c r="T7" t="s">
        <v>3661</v>
      </c>
      <c r="U7" t="str">
        <f>CONCATENATE(SuppDetails[[#This Row],[Supplier]],SuppDetails[[#This Row],[Warehouse Provided]])</f>
        <v>DNPNew York</v>
      </c>
      <c r="V7" t="str">
        <f>_xlfn.CONCAT(SuppDetails[[#This Row],[Supplier Code]],SuppDetails[[#This Row],[Warehouse Provided]])</f>
        <v>DNP ANew York</v>
      </c>
      <c r="W7" t="s">
        <v>5445</v>
      </c>
      <c r="X7" t="s">
        <v>3657</v>
      </c>
      <c r="Y7" t="s">
        <v>5459</v>
      </c>
      <c r="Z7" t="s">
        <v>6112</v>
      </c>
      <c r="AA7" t="str">
        <f>_xlfn.CONCAT(SuppDetails[[#This Row],[Supplier]],SuppDetails[[#This Row],[Warehouse Tranlation]])</f>
        <v>DNPStone</v>
      </c>
    </row>
    <row r="8" spans="1:27">
      <c r="A8" t="s">
        <v>808</v>
      </c>
      <c r="B8" t="e">
        <f>INDEX(#REF!,MATCH(A8,#REF!,0))</f>
        <v>#REF!</v>
      </c>
      <c r="C8" t="str">
        <f t="shared" si="0"/>
        <v>good</v>
      </c>
      <c r="D8" t="s">
        <v>5346</v>
      </c>
      <c r="G8" s="15" t="s">
        <v>4657</v>
      </c>
      <c r="H8">
        <v>62</v>
      </c>
      <c r="J8" s="296"/>
      <c r="Q8" t="s">
        <v>58</v>
      </c>
      <c r="R8" t="s">
        <v>3693</v>
      </c>
      <c r="S8" s="12" t="s">
        <v>5464</v>
      </c>
      <c r="U8" t="str">
        <f>CONCATENATE(SuppDetails[[#This Row],[Supplier]],SuppDetails[[#This Row],[Warehouse Provided]])</f>
        <v>Glatfelter</v>
      </c>
      <c r="V8" t="str">
        <f>_xlfn.CONCAT(SuppDetails[[#This Row],[Supplier Code]],SuppDetails[[#This Row],[Warehouse Provided]])</f>
        <v>GLATF</v>
      </c>
      <c r="W8" t="s">
        <v>3693</v>
      </c>
      <c r="X8" s="22" t="s">
        <v>5797</v>
      </c>
      <c r="Y8" t="s">
        <v>5813</v>
      </c>
      <c r="Z8" t="s">
        <v>6113</v>
      </c>
      <c r="AA8" t="str">
        <f>_xlfn.CONCAT(SuppDetails[[#This Row],[Supplier]],SuppDetails[[#This Row],[Warehouse Tranlation]])</f>
        <v>GlatfelterGlatfelter</v>
      </c>
    </row>
    <row r="9" spans="1:27">
      <c r="A9" t="s">
        <v>810</v>
      </c>
      <c r="B9" t="e">
        <f>INDEX(#REF!,MATCH(A9,#REF!,0))</f>
        <v>#REF!</v>
      </c>
      <c r="C9" t="str">
        <f t="shared" si="0"/>
        <v>good</v>
      </c>
      <c r="D9" t="s">
        <v>5346</v>
      </c>
      <c r="G9" s="15" t="s">
        <v>4658</v>
      </c>
      <c r="H9">
        <v>62</v>
      </c>
      <c r="J9" s="296"/>
      <c r="Q9" t="s">
        <v>338</v>
      </c>
      <c r="R9" t="s">
        <v>3702</v>
      </c>
      <c r="S9" s="12" t="s">
        <v>5465</v>
      </c>
      <c r="U9" t="str">
        <f>CONCATENATE(SuppDetails[[#This Row],[Supplier]],SuppDetails[[#This Row],[Warehouse Provided]])</f>
        <v>Impress</v>
      </c>
      <c r="V9" t="str">
        <f>_xlfn.CONCAT(SuppDetails[[#This Row],[Supplier Code]],SuppDetails[[#This Row],[Warehouse Provided]])</f>
        <v>IMPRE</v>
      </c>
      <c r="W9" t="s">
        <v>3702</v>
      </c>
      <c r="X9" t="s">
        <v>5452</v>
      </c>
      <c r="Y9" t="s">
        <v>5453</v>
      </c>
      <c r="Z9" t="s">
        <v>6113</v>
      </c>
      <c r="AA9" t="str">
        <f>_xlfn.CONCAT(SuppDetails[[#This Row],[Supplier]],SuppDetails[[#This Row],[Warehouse Tranlation]])</f>
        <v>ImpressImpress</v>
      </c>
    </row>
    <row r="10" spans="1:27">
      <c r="A10" t="s">
        <v>813</v>
      </c>
      <c r="B10" t="e">
        <f>INDEX(#REF!,MATCH(A10,#REF!,0))</f>
        <v>#REF!</v>
      </c>
      <c r="C10" t="str">
        <f t="shared" si="0"/>
        <v>good</v>
      </c>
      <c r="D10" t="s">
        <v>5346</v>
      </c>
      <c r="G10" s="15" t="s">
        <v>4659</v>
      </c>
      <c r="H10">
        <v>50</v>
      </c>
      <c r="J10" s="296"/>
      <c r="Q10" t="s">
        <v>110</v>
      </c>
      <c r="R10" t="s">
        <v>893</v>
      </c>
      <c r="S10" s="12" t="s">
        <v>5466</v>
      </c>
      <c r="U10" t="str">
        <f>CONCATENATE(SuppDetails[[#This Row],[Supplier]],SuppDetails[[#This Row],[Warehouse Provided]])</f>
        <v>Interprint</v>
      </c>
      <c r="V10" t="str">
        <f>_xlfn.CONCAT(SuppDetails[[#This Row],[Supplier Code]],SuppDetails[[#This Row],[Warehouse Provided]])</f>
        <v>INTER</v>
      </c>
      <c r="W10" t="s">
        <v>893</v>
      </c>
      <c r="X10" t="s">
        <v>5454</v>
      </c>
      <c r="Y10" t="s">
        <v>5455</v>
      </c>
      <c r="Z10" t="s">
        <v>6112</v>
      </c>
      <c r="AA10" t="str">
        <f>_xlfn.CONCAT(SuppDetails[[#This Row],[Supplier]],SuppDetails[[#This Row],[Warehouse Tranlation]])</f>
        <v>InterprintInterprint</v>
      </c>
    </row>
    <row r="11" spans="1:27">
      <c r="A11" t="s">
        <v>817</v>
      </c>
      <c r="B11" t="e">
        <f>INDEX(#REF!,MATCH(A11,#REF!,0))</f>
        <v>#REF!</v>
      </c>
      <c r="C11" t="str">
        <f t="shared" si="0"/>
        <v>good</v>
      </c>
      <c r="D11" t="s">
        <v>5346</v>
      </c>
      <c r="G11" s="15" t="s">
        <v>4660</v>
      </c>
      <c r="H11">
        <v>62</v>
      </c>
      <c r="J11" s="296"/>
      <c r="Q11" t="s">
        <v>1027</v>
      </c>
      <c r="R11" t="s">
        <v>7612</v>
      </c>
      <c r="S11" s="12" t="s">
        <v>5467</v>
      </c>
      <c r="T11" t="s">
        <v>3657</v>
      </c>
      <c r="U11" t="str">
        <f>CONCATENATE(SuppDetails[[#This Row],[Supplier]],SuppDetails[[#This Row],[Warehouse Provided]])</f>
        <v>LamigrafWatervliet</v>
      </c>
      <c r="V11" t="str">
        <f>_xlfn.CONCAT(SuppDetails[[#This Row],[Supplier Code]],SuppDetails[[#This Row],[Warehouse Provided]])</f>
        <v>LAMIGWatervliet</v>
      </c>
      <c r="W11" t="s">
        <v>5445</v>
      </c>
      <c r="X11" t="s">
        <v>3657</v>
      </c>
      <c r="Y11" t="s">
        <v>5459</v>
      </c>
      <c r="Z11" t="s">
        <v>6112</v>
      </c>
      <c r="AA11" t="str">
        <f>_xlfn.CONCAT(SuppDetails[[#This Row],[Supplier]],SuppDetails[[#This Row],[Warehouse Tranlation]])</f>
        <v>LamigrafStone</v>
      </c>
    </row>
    <row r="12" spans="1:27">
      <c r="A12" t="s">
        <v>3496</v>
      </c>
      <c r="B12" t="e">
        <f>INDEX(#REF!,MATCH(A12,#REF!,0))</f>
        <v>#REF!</v>
      </c>
      <c r="C12" t="str">
        <f t="shared" si="0"/>
        <v>good</v>
      </c>
      <c r="D12" t="s">
        <v>5346</v>
      </c>
      <c r="G12" s="15" t="s">
        <v>4661</v>
      </c>
      <c r="H12">
        <v>62</v>
      </c>
      <c r="J12" s="296"/>
      <c r="Q12" t="s">
        <v>3462</v>
      </c>
      <c r="R12" t="s">
        <v>5429</v>
      </c>
      <c r="S12" s="12" t="s">
        <v>5488</v>
      </c>
      <c r="T12" t="s">
        <v>3524</v>
      </c>
      <c r="U12" t="str">
        <f>CONCATENATE(SuppDetails[[#This Row],[Supplier]],SuppDetails[[#This Row],[Warehouse Provided]])</f>
        <v>Munksjo USA Inc.LMSTONE</v>
      </c>
      <c r="V12" t="str">
        <f>_xlfn.CONCAT(SuppDetails[[#This Row],[Supplier Code]],SuppDetails[[#This Row],[Warehouse Provided]])</f>
        <v>MUNZILMSTONE</v>
      </c>
      <c r="W12" t="s">
        <v>5445</v>
      </c>
      <c r="X12" t="s">
        <v>3657</v>
      </c>
      <c r="Y12" t="s">
        <v>5459</v>
      </c>
      <c r="Z12" t="s">
        <v>6112</v>
      </c>
      <c r="AA12" t="str">
        <f>_xlfn.CONCAT(SuppDetails[[#This Row],[Supplier]],SuppDetails[[#This Row],[Warehouse Tranlation]])</f>
        <v>Munksjo USA Inc.Stone</v>
      </c>
    </row>
    <row r="13" spans="1:27">
      <c r="A13" t="s">
        <v>3497</v>
      </c>
      <c r="B13" t="e">
        <f>INDEX(#REF!,MATCH(A13,#REF!,0))</f>
        <v>#REF!</v>
      </c>
      <c r="C13" t="str">
        <f t="shared" si="0"/>
        <v>good</v>
      </c>
      <c r="D13" t="s">
        <v>5346</v>
      </c>
      <c r="G13" s="15" t="s">
        <v>4662</v>
      </c>
      <c r="H13">
        <v>50</v>
      </c>
      <c r="J13" s="296"/>
      <c r="Q13" t="s">
        <v>325</v>
      </c>
      <c r="R13" t="s">
        <v>3788</v>
      </c>
      <c r="S13" s="12" t="s">
        <v>5468</v>
      </c>
      <c r="U13" t="str">
        <f>CONCATENATE(SuppDetails[[#This Row],[Supplier]],SuppDetails[[#This Row],[Warehouse Provided]])</f>
        <v>Neodecortech</v>
      </c>
      <c r="V13" t="str">
        <f>_xlfn.CONCAT(SuppDetails[[#This Row],[Supplier Code]],SuppDetails[[#This Row],[Warehouse Provided]])</f>
        <v>NEODE</v>
      </c>
      <c r="W13" t="s">
        <v>5445</v>
      </c>
      <c r="X13" t="s">
        <v>3657</v>
      </c>
      <c r="Y13" t="s">
        <v>5459</v>
      </c>
      <c r="Z13" t="s">
        <v>6112</v>
      </c>
      <c r="AA13" t="str">
        <f>_xlfn.CONCAT(SuppDetails[[#This Row],[Supplier]],SuppDetails[[#This Row],[Warehouse Tranlation]])</f>
        <v>NeodecortechStone</v>
      </c>
    </row>
    <row r="14" spans="1:27" ht="15.75" thickBot="1">
      <c r="A14" t="s">
        <v>3495</v>
      </c>
      <c r="B14" t="e">
        <f>INDEX(#REF!,MATCH(A14,#REF!,0))</f>
        <v>#REF!</v>
      </c>
      <c r="C14" t="str">
        <f t="shared" si="0"/>
        <v>good</v>
      </c>
      <c r="D14" t="s">
        <v>5346</v>
      </c>
      <c r="G14" s="16" t="s">
        <v>4663</v>
      </c>
      <c r="H14" s="17">
        <v>50</v>
      </c>
      <c r="I14" s="17"/>
      <c r="J14" s="297"/>
      <c r="Q14" t="s">
        <v>68</v>
      </c>
      <c r="R14" t="s">
        <v>3792</v>
      </c>
      <c r="S14" s="12" t="s">
        <v>5469</v>
      </c>
      <c r="T14" t="s">
        <v>3790</v>
      </c>
      <c r="U14" t="str">
        <f>CONCATENATE(SuppDetails[[#This Row],[Supplier]],SuppDetails[[#This Row],[Warehouse Provided]])</f>
        <v>Onyx</v>
      </c>
      <c r="V14" t="str">
        <f>_xlfn.CONCAT(SuppDetails[[#This Row],[Supplier Code]],SuppDetails[[#This Row],[Warehouse Provided]])</f>
        <v>ONYX</v>
      </c>
      <c r="W14" t="s">
        <v>3792</v>
      </c>
      <c r="X14" t="s">
        <v>5457</v>
      </c>
      <c r="Y14" t="s">
        <v>5455</v>
      </c>
      <c r="Z14" t="s">
        <v>6112</v>
      </c>
      <c r="AA14" t="str">
        <f>_xlfn.CONCAT(SuppDetails[[#This Row],[Supplier]],SuppDetails[[#This Row],[Warehouse Tranlation]])</f>
        <v>OnyxOnyx</v>
      </c>
    </row>
    <row r="15" spans="1:27">
      <c r="A15" t="s">
        <v>3494</v>
      </c>
      <c r="B15" t="e">
        <f>INDEX(#REF!,MATCH(A15,#REF!,0))</f>
        <v>#REF!</v>
      </c>
      <c r="C15" t="str">
        <f t="shared" si="0"/>
        <v>good</v>
      </c>
      <c r="D15" t="s">
        <v>5346</v>
      </c>
      <c r="Q15" t="s">
        <v>183</v>
      </c>
      <c r="R15" t="s">
        <v>3873</v>
      </c>
      <c r="S15" s="12" t="s">
        <v>5470</v>
      </c>
      <c r="U15" t="str">
        <f>CONCATENATE(SuppDetails[[#This Row],[Supplier]],SuppDetails[[#This Row],[Warehouse Provided]])</f>
        <v>Sappi</v>
      </c>
      <c r="V15" t="str">
        <f>_xlfn.CONCAT(SuppDetails[[#This Row],[Supplier Code]],SuppDetails[[#This Row],[Warehouse Provided]])</f>
        <v>SAPPI</v>
      </c>
      <c r="W15" t="s">
        <v>3873</v>
      </c>
      <c r="X15" s="22" t="s">
        <v>5797</v>
      </c>
      <c r="Y15" t="s">
        <v>5813</v>
      </c>
      <c r="Z15" t="s">
        <v>6113</v>
      </c>
      <c r="AA15" t="str">
        <f>_xlfn.CONCAT(SuppDetails[[#This Row],[Supplier]],SuppDetails[[#This Row],[Warehouse Tranlation]])</f>
        <v>SappiSappi</v>
      </c>
    </row>
    <row r="16" spans="1:27">
      <c r="A16" t="s">
        <v>3492</v>
      </c>
      <c r="B16" t="e">
        <f>INDEX(#REF!,MATCH(A16,#REF!,0))</f>
        <v>#REF!</v>
      </c>
      <c r="C16" t="str">
        <f t="shared" si="0"/>
        <v>good</v>
      </c>
      <c r="D16" t="s">
        <v>5346</v>
      </c>
      <c r="Q16" t="s">
        <v>313</v>
      </c>
      <c r="R16" t="s">
        <v>3893</v>
      </c>
      <c r="S16" s="12" t="s">
        <v>5471</v>
      </c>
      <c r="T16" t="s">
        <v>3894</v>
      </c>
      <c r="U16" t="str">
        <f>CONCATENATE(SuppDetails[[#This Row],[Supplier]],SuppDetails[[#This Row],[Warehouse Provided]])</f>
        <v>SchattdecorST. LOUIS</v>
      </c>
      <c r="V16" t="str">
        <f>_xlfn.CONCAT(SuppDetails[[#This Row],[Supplier Code]],SuppDetails[[#This Row],[Warehouse Provided]])</f>
        <v>SCHATST. LOUIS</v>
      </c>
      <c r="W16" t="s">
        <v>3893</v>
      </c>
      <c r="X16" s="22" t="s">
        <v>5797</v>
      </c>
      <c r="Y16" t="s">
        <v>5813</v>
      </c>
      <c r="Z16" t="s">
        <v>6113</v>
      </c>
      <c r="AA16" t="str">
        <f>_xlfn.CONCAT(SuppDetails[[#This Row],[Supplier]],SuppDetails[[#This Row],[Warehouse Tranlation]])</f>
        <v>SchattdecorSchattdecor</v>
      </c>
    </row>
    <row r="17" spans="1:27">
      <c r="A17" t="s">
        <v>3493</v>
      </c>
      <c r="B17" t="e">
        <f>INDEX(#REF!,MATCH(A17,#REF!,0))</f>
        <v>#REF!</v>
      </c>
      <c r="C17" t="str">
        <f t="shared" si="0"/>
        <v>good</v>
      </c>
      <c r="D17" t="s">
        <v>5346</v>
      </c>
      <c r="Q17" t="s">
        <v>313</v>
      </c>
      <c r="R17" t="s">
        <v>3893</v>
      </c>
      <c r="S17" s="12" t="s">
        <v>5471</v>
      </c>
      <c r="T17" t="s">
        <v>3895</v>
      </c>
      <c r="U17" t="str">
        <f>CONCATENATE(SuppDetails[[#This Row],[Supplier]],SuppDetails[[#This Row],[Warehouse Provided]])</f>
        <v>SchattdecorST.LOUIS</v>
      </c>
      <c r="V17" t="str">
        <f>_xlfn.CONCAT(SuppDetails[[#This Row],[Supplier Code]],SuppDetails[[#This Row],[Warehouse Provided]])</f>
        <v>SCHATST.LOUIS</v>
      </c>
      <c r="W17" t="s">
        <v>3893</v>
      </c>
      <c r="X17" s="22" t="s">
        <v>5797</v>
      </c>
      <c r="Y17" t="s">
        <v>5813</v>
      </c>
      <c r="Z17" t="s">
        <v>6113</v>
      </c>
      <c r="AA17" t="str">
        <f>_xlfn.CONCAT(SuppDetails[[#This Row],[Supplier]],SuppDetails[[#This Row],[Warehouse Tranlation]])</f>
        <v>SchattdecorSchattdecor</v>
      </c>
    </row>
    <row r="18" spans="1:27">
      <c r="A18" t="s">
        <v>1301</v>
      </c>
      <c r="B18" t="e">
        <f>INDEX(#REF!,MATCH(A18,#REF!,0))</f>
        <v>#REF!</v>
      </c>
      <c r="C18" t="str">
        <f t="shared" si="0"/>
        <v>good</v>
      </c>
      <c r="D18" t="s">
        <v>5346</v>
      </c>
      <c r="Q18" t="s">
        <v>1147</v>
      </c>
      <c r="R18" t="s">
        <v>3893</v>
      </c>
      <c r="S18" s="12" t="s">
        <v>5471</v>
      </c>
      <c r="T18" t="s">
        <v>3894</v>
      </c>
      <c r="U18" t="str">
        <f>CONCATENATE(SuppDetails[[#This Row],[Supplier]],SuppDetails[[#This Row],[Warehouse Provided]])</f>
        <v>SchattdecorST. LOUIS</v>
      </c>
      <c r="V18" t="str">
        <f>_xlfn.CONCAT(SuppDetails[[#This Row],[Supplier Code]],SuppDetails[[#This Row],[Warehouse Provided]])</f>
        <v>SHATTST. LOUIS</v>
      </c>
      <c r="W18" t="s">
        <v>3893</v>
      </c>
      <c r="X18" s="22" t="s">
        <v>5797</v>
      </c>
      <c r="Y18" t="s">
        <v>5813</v>
      </c>
      <c r="Z18" t="s">
        <v>6113</v>
      </c>
      <c r="AA18" t="str">
        <f>_xlfn.CONCAT(SuppDetails[[#This Row],[Supplier]],SuppDetails[[#This Row],[Warehouse Tranlation]])</f>
        <v>SchattdecorSchattdecor</v>
      </c>
    </row>
    <row r="19" spans="1:27">
      <c r="A19" t="s">
        <v>603</v>
      </c>
      <c r="B19" t="e">
        <f>INDEX(#REF!,MATCH(A19,#REF!,0))</f>
        <v>#REF!</v>
      </c>
      <c r="C19" t="str">
        <f t="shared" si="0"/>
        <v>good</v>
      </c>
      <c r="D19" t="s">
        <v>5346</v>
      </c>
      <c r="Q19" t="s">
        <v>1147</v>
      </c>
      <c r="R19" t="s">
        <v>3893</v>
      </c>
      <c r="S19" s="12" t="s">
        <v>5471</v>
      </c>
      <c r="T19" t="s">
        <v>3895</v>
      </c>
      <c r="U19" t="str">
        <f>CONCATENATE(SuppDetails[[#This Row],[Supplier]],SuppDetails[[#This Row],[Warehouse Provided]])</f>
        <v>SchattdecorST.LOUIS</v>
      </c>
      <c r="V19" t="str">
        <f>_xlfn.CONCAT(SuppDetails[[#This Row],[Supplier Code]],SuppDetails[[#This Row],[Warehouse Provided]])</f>
        <v>SHATTST.LOUIS</v>
      </c>
      <c r="W19" t="s">
        <v>3893</v>
      </c>
      <c r="X19" s="22" t="s">
        <v>5797</v>
      </c>
      <c r="Y19" t="s">
        <v>5813</v>
      </c>
      <c r="Z19" t="s">
        <v>6113</v>
      </c>
      <c r="AA19" t="str">
        <f>_xlfn.CONCAT(SuppDetails[[#This Row],[Supplier]],SuppDetails[[#This Row],[Warehouse Tranlation]])</f>
        <v>SchattdecorSchattdecor</v>
      </c>
    </row>
    <row r="20" spans="1:27">
      <c r="A20" t="s">
        <v>605</v>
      </c>
      <c r="B20" t="e">
        <f>INDEX(#REF!,MATCH(A20,#REF!,0))</f>
        <v>#REF!</v>
      </c>
      <c r="C20" t="str">
        <f t="shared" si="0"/>
        <v>good</v>
      </c>
      <c r="D20" t="s">
        <v>5346</v>
      </c>
      <c r="Q20" t="s">
        <v>275</v>
      </c>
      <c r="R20" t="s">
        <v>3882</v>
      </c>
      <c r="S20" s="12" t="s">
        <v>5472</v>
      </c>
      <c r="T20" t="s">
        <v>3881</v>
      </c>
      <c r="U20" t="str">
        <f>CONCATENATE(SuppDetails[[#This Row],[Supplier]],SuppDetails[[#This Row],[Warehouse Provided]])</f>
        <v>SuddekorWest Springfield</v>
      </c>
      <c r="V20" t="str">
        <f>_xlfn.CONCAT(SuppDetails[[#This Row],[Supplier Code]],SuppDetails[[#This Row],[Warehouse Provided]])</f>
        <v>SUDDEWest Springfield</v>
      </c>
      <c r="W20" t="s">
        <v>3882</v>
      </c>
      <c r="X20" t="s">
        <v>3881</v>
      </c>
      <c r="Y20" t="s">
        <v>5455</v>
      </c>
      <c r="Z20" t="s">
        <v>6112</v>
      </c>
      <c r="AA20" t="str">
        <f>_xlfn.CONCAT(SuppDetails[[#This Row],[Supplier]],SuppDetails[[#This Row],[Warehouse Tranlation]])</f>
        <v>SuddekorSuddekor</v>
      </c>
    </row>
    <row r="21" spans="1:27">
      <c r="A21" t="s">
        <v>615</v>
      </c>
      <c r="B21" t="e">
        <f>INDEX(#REF!,MATCH(A21,#REF!,0))</f>
        <v>#REF!</v>
      </c>
      <c r="C21" t="str">
        <f t="shared" ref="C21:C30" si="1">IF(COUNTIF(A:A,A21)&gt;1,"Duplicate","good")</f>
        <v>good</v>
      </c>
      <c r="D21" t="s">
        <v>5346</v>
      </c>
      <c r="Q21" t="s">
        <v>101</v>
      </c>
      <c r="R21" t="s">
        <v>3900</v>
      </c>
      <c r="S21" s="12" t="s">
        <v>5473</v>
      </c>
      <c r="T21" t="s">
        <v>3899</v>
      </c>
      <c r="U21" t="str">
        <f>CONCATENATE(SuppDetails[[#This Row],[Supplier]],SuppDetails[[#This Row],[Warehouse Provided]])</f>
        <v>TechnocellWM Standard</v>
      </c>
      <c r="V21" t="str">
        <f>_xlfn.CONCAT(SuppDetails[[#This Row],[Supplier Code]],SuppDetails[[#This Row],[Warehouse Provided]])</f>
        <v>TECHNWM Standard</v>
      </c>
      <c r="W21" t="s">
        <v>5443</v>
      </c>
      <c r="X21" t="s">
        <v>5443</v>
      </c>
      <c r="Y21" t="s">
        <v>5449</v>
      </c>
      <c r="Z21" t="s">
        <v>6113</v>
      </c>
      <c r="AA21" t="str">
        <f>_xlfn.CONCAT(SuppDetails[[#This Row],[Supplier]],SuppDetails[[#This Row],[Warehouse Tranlation]])</f>
        <v>TechnocellDrummondville</v>
      </c>
    </row>
    <row r="22" spans="1:27">
      <c r="A22" t="s">
        <v>617</v>
      </c>
      <c r="B22" t="e">
        <f>INDEX(#REF!,MATCH(A22,#REF!,0))</f>
        <v>#REF!</v>
      </c>
      <c r="C22" t="str">
        <f t="shared" si="1"/>
        <v>good</v>
      </c>
      <c r="D22" t="s">
        <v>5346</v>
      </c>
      <c r="Q22" t="s">
        <v>101</v>
      </c>
      <c r="R22" t="s">
        <v>3900</v>
      </c>
      <c r="S22" s="12" t="s">
        <v>5473</v>
      </c>
      <c r="T22" t="s">
        <v>3904</v>
      </c>
      <c r="U22" t="str">
        <f>CONCATENATE(SuppDetails[[#This Row],[Supplier]],SuppDetails[[#This Row],[Warehouse Provided]])</f>
        <v>TechnocellSuddekor Warehou</v>
      </c>
      <c r="V22" t="str">
        <f>_xlfn.CONCAT(SuppDetails[[#This Row],[Supplier Code]],SuppDetails[[#This Row],[Warehouse Provided]])</f>
        <v>TECHNSuddekor Warehou</v>
      </c>
      <c r="W22" t="s">
        <v>3882</v>
      </c>
      <c r="X22" t="s">
        <v>3881</v>
      </c>
      <c r="Y22" t="s">
        <v>5455</v>
      </c>
      <c r="Z22" t="s">
        <v>6113</v>
      </c>
      <c r="AA22" t="str">
        <f>_xlfn.CONCAT(SuppDetails[[#This Row],[Supplier]],SuppDetails[[#This Row],[Warehouse Tranlation]])</f>
        <v>TechnocellSuddekor</v>
      </c>
    </row>
    <row r="23" spans="1:27">
      <c r="A23" t="s">
        <v>618</v>
      </c>
      <c r="B23" t="e">
        <f>INDEX(#REF!,MATCH(A23,#REF!,0))</f>
        <v>#REF!</v>
      </c>
      <c r="C23" t="str">
        <f t="shared" si="1"/>
        <v>good</v>
      </c>
      <c r="D23" t="s">
        <v>5346</v>
      </c>
      <c r="Q23" t="s">
        <v>329</v>
      </c>
      <c r="R23" t="s">
        <v>3911</v>
      </c>
      <c r="S23" s="12" t="s">
        <v>5474</v>
      </c>
      <c r="T23" t="s">
        <v>5444</v>
      </c>
      <c r="U23" t="str">
        <f>CONCATENATE(SuppDetails[[#This Row],[Supplier]],SuppDetails[[#This Row],[Warehouse Provided]])</f>
        <v>ToppanEDS</v>
      </c>
      <c r="V23" t="str">
        <f>_xlfn.CONCAT(SuppDetails[[#This Row],[Supplier Code]],SuppDetails[[#This Row],[Warehouse Provided]])</f>
        <v>TOPPAEDS</v>
      </c>
      <c r="W23" t="s">
        <v>5444</v>
      </c>
      <c r="X23" t="s">
        <v>5450</v>
      </c>
      <c r="Y23" t="s">
        <v>5451</v>
      </c>
      <c r="Z23" t="s">
        <v>6112</v>
      </c>
      <c r="AA23" t="str">
        <f>_xlfn.CONCAT(SuppDetails[[#This Row],[Supplier]],SuppDetails[[#This Row],[Warehouse Tranlation]])</f>
        <v>ToppanEDS</v>
      </c>
    </row>
    <row r="24" spans="1:27">
      <c r="A24" t="s">
        <v>621</v>
      </c>
      <c r="B24" t="e">
        <f>INDEX(#REF!,MATCH(A24,#REF!,0))</f>
        <v>#REF!</v>
      </c>
      <c r="C24" t="str">
        <f t="shared" si="1"/>
        <v>good</v>
      </c>
      <c r="D24" t="s">
        <v>5346</v>
      </c>
      <c r="Q24" t="s">
        <v>329</v>
      </c>
      <c r="R24" t="s">
        <v>3911</v>
      </c>
      <c r="S24" s="12" t="s">
        <v>5474</v>
      </c>
      <c r="T24" t="s">
        <v>5523</v>
      </c>
      <c r="U24" t="str">
        <f>CONCATENATE(SuppDetails[[#This Row],[Supplier]],SuppDetails[[#This Row],[Warehouse Provided]])</f>
        <v>ToppanNew Holland</v>
      </c>
      <c r="V24" t="str">
        <f>_xlfn.CONCAT(SuppDetails[[#This Row],[Supplier Code]],SuppDetails[[#This Row],[Warehouse Provided]])</f>
        <v>TOPPANew Holland</v>
      </c>
      <c r="W24" t="s">
        <v>7778</v>
      </c>
      <c r="X24" t="s">
        <v>7780</v>
      </c>
      <c r="Y24" t="s">
        <v>5451</v>
      </c>
      <c r="Z24" t="s">
        <v>6112</v>
      </c>
      <c r="AA24" t="str">
        <f>_xlfn.CONCAT(SuppDetails[[#This Row],[Supplier]],SuppDetails[[#This Row],[Warehouse Tranlation]])</f>
        <v>ToppanADP</v>
      </c>
    </row>
    <row r="25" spans="1:27">
      <c r="A25" t="s">
        <v>623</v>
      </c>
      <c r="B25" t="e">
        <f>INDEX(#REF!,MATCH(A25,#REF!,0))</f>
        <v>#REF!</v>
      </c>
      <c r="C25" t="str">
        <f t="shared" si="1"/>
        <v>good</v>
      </c>
      <c r="D25" t="s">
        <v>5346</v>
      </c>
      <c r="Q25" t="s">
        <v>329</v>
      </c>
      <c r="R25" t="s">
        <v>3911</v>
      </c>
      <c r="S25" s="12" t="s">
        <v>5474</v>
      </c>
      <c r="T25" t="s">
        <v>3914</v>
      </c>
      <c r="U25" t="str">
        <f>CONCATENATE(SuppDetails[[#This Row],[Supplier]],SuppDetails[[#This Row],[Warehouse Provided]])</f>
        <v>ToppanMcDonough</v>
      </c>
      <c r="V25" t="str">
        <f>_xlfn.CONCAT(SuppDetails[[#This Row],[Supplier Code]],SuppDetails[[#This Row],[Warehouse Provided]])</f>
        <v>TOPPAMcDonough</v>
      </c>
      <c r="W25" t="s">
        <v>3914</v>
      </c>
      <c r="X25" t="s">
        <v>3914</v>
      </c>
      <c r="Y25" t="s">
        <v>5456</v>
      </c>
      <c r="Z25" t="s">
        <v>6112</v>
      </c>
      <c r="AA25" t="str">
        <f>_xlfn.CONCAT(SuppDetails[[#This Row],[Supplier]],SuppDetails[[#This Row],[Warehouse Tranlation]])</f>
        <v>ToppanMcDonough</v>
      </c>
    </row>
    <row r="26" spans="1:27">
      <c r="A26" t="s">
        <v>627</v>
      </c>
      <c r="B26" t="e">
        <f>INDEX(#REF!,MATCH(A26,#REF!,0))</f>
        <v>#REF!</v>
      </c>
      <c r="C26" t="str">
        <f t="shared" si="1"/>
        <v>good</v>
      </c>
      <c r="D26" t="s">
        <v>5346</v>
      </c>
      <c r="Q26" t="s">
        <v>329</v>
      </c>
      <c r="R26" t="s">
        <v>3911</v>
      </c>
      <c r="S26" s="12" t="s">
        <v>5474</v>
      </c>
      <c r="T26" t="s">
        <v>5383</v>
      </c>
      <c r="U26" t="str">
        <f>CONCATENATE(SuppDetails[[#This Row],[Supplier]],SuppDetails[[#This Row],[Warehouse Provided]])</f>
        <v>ToppanMorgantown</v>
      </c>
      <c r="V26" t="str">
        <f>_xlfn.CONCAT(SuppDetails[[#This Row],[Supplier Code]],SuppDetails[[#This Row],[Warehouse Provided]])</f>
        <v>TOPPAMorgantown</v>
      </c>
      <c r="W26" t="s">
        <v>5383</v>
      </c>
      <c r="X26" t="s">
        <v>5383</v>
      </c>
      <c r="Y26" t="s">
        <v>5451</v>
      </c>
      <c r="Z26" t="s">
        <v>6112</v>
      </c>
      <c r="AA26" t="str">
        <f>_xlfn.CONCAT(SuppDetails[[#This Row],[Supplier]],SuppDetails[[#This Row],[Warehouse Tranlation]])</f>
        <v>ToppanMorgantown</v>
      </c>
    </row>
    <row r="27" spans="1:27">
      <c r="A27" t="s">
        <v>631</v>
      </c>
      <c r="B27" t="e">
        <f>INDEX(#REF!,MATCH(A27,#REF!,0))</f>
        <v>#REF!</v>
      </c>
      <c r="C27" t="str">
        <f t="shared" si="1"/>
        <v>good</v>
      </c>
      <c r="D27" t="s">
        <v>5346</v>
      </c>
      <c r="Q27" t="s">
        <v>329</v>
      </c>
      <c r="R27" t="s">
        <v>3911</v>
      </c>
      <c r="S27" s="12" t="s">
        <v>5474</v>
      </c>
      <c r="T27" t="s">
        <v>3941</v>
      </c>
      <c r="U27" t="str">
        <f>CONCATENATE(SuppDetails[[#This Row],[Supplier]],SuppDetails[[#This Row],[Warehouse Provided]])</f>
        <v>ToppanMorrow</v>
      </c>
      <c r="V27" t="str">
        <f>_xlfn.CONCAT(SuppDetails[[#This Row],[Supplier Code]],SuppDetails[[#This Row],[Warehouse Provided]])</f>
        <v>TOPPAMorrow</v>
      </c>
      <c r="W27" t="s">
        <v>3941</v>
      </c>
      <c r="X27" t="s">
        <v>3941</v>
      </c>
      <c r="Y27" t="s">
        <v>5456</v>
      </c>
      <c r="Z27" t="s">
        <v>6112</v>
      </c>
      <c r="AA27" t="str">
        <f>_xlfn.CONCAT(SuppDetails[[#This Row],[Supplier]],SuppDetails[[#This Row],[Warehouse Tranlation]])</f>
        <v>ToppanMorrow</v>
      </c>
    </row>
    <row r="28" spans="1:27">
      <c r="A28" t="s">
        <v>634</v>
      </c>
      <c r="B28" t="e">
        <f>INDEX(#REF!,MATCH(A28,#REF!,0))</f>
        <v>#REF!</v>
      </c>
      <c r="C28" t="str">
        <f t="shared" si="1"/>
        <v>good</v>
      </c>
      <c r="D28" t="s">
        <v>5346</v>
      </c>
      <c r="Q28" t="s">
        <v>141</v>
      </c>
      <c r="R28" t="s">
        <v>3991</v>
      </c>
      <c r="S28" s="12" t="s">
        <v>5475</v>
      </c>
      <c r="U28" t="str">
        <f>CONCATENATE(SuppDetails[[#This Row],[Supplier]],SuppDetails[[#This Row],[Warehouse Provided]])</f>
        <v>Troy</v>
      </c>
      <c r="V28" t="str">
        <f>_xlfn.CONCAT(SuppDetails[[#This Row],[Supplier Code]],SuppDetails[[#This Row],[Warehouse Provided]])</f>
        <v>NOVAC</v>
      </c>
      <c r="W28" t="s">
        <v>3991</v>
      </c>
      <c r="X28" t="s">
        <v>3991</v>
      </c>
      <c r="Y28" t="s">
        <v>5448</v>
      </c>
      <c r="Z28" t="s">
        <v>6113</v>
      </c>
      <c r="AA28" t="str">
        <f>_xlfn.CONCAT(SuppDetails[[#This Row],[Supplier]],SuppDetails[[#This Row],[Warehouse Tranlation]])</f>
        <v>TroyTroy</v>
      </c>
    </row>
    <row r="29" spans="1:27">
      <c r="A29" t="s">
        <v>636</v>
      </c>
      <c r="B29" t="e">
        <f>INDEX(#REF!,MATCH(A29,#REF!,0))</f>
        <v>#REF!</v>
      </c>
      <c r="C29" t="str">
        <f t="shared" si="1"/>
        <v>good</v>
      </c>
      <c r="D29" t="s">
        <v>5346</v>
      </c>
      <c r="Q29" t="s">
        <v>5814</v>
      </c>
      <c r="R29" t="s">
        <v>5814</v>
      </c>
      <c r="S29" s="12"/>
      <c r="U29" t="str">
        <f>CONCATENATE(SuppDetails[[#This Row],[Supplier]],SuppDetails[[#This Row],[Warehouse Provided]])</f>
        <v>HUN</v>
      </c>
      <c r="V29" t="str">
        <f>_xlfn.CONCAT(SuppDetails[[#This Row],[Supplier Code]],SuppDetails[[#This Row],[Warehouse Provided]])</f>
        <v>HUN</v>
      </c>
      <c r="W29" t="s">
        <v>5689</v>
      </c>
      <c r="X29" s="22" t="s">
        <v>5797</v>
      </c>
      <c r="Y29" t="s">
        <v>5813</v>
      </c>
      <c r="Z29" t="s">
        <v>6113</v>
      </c>
      <c r="AA29" t="str">
        <f>_xlfn.CONCAT(SuppDetails[[#This Row],[Supplier]],SuppDetails[[#This Row],[Warehouse Tranlation]])</f>
        <v>HUNHuntsville</v>
      </c>
    </row>
    <row r="30" spans="1:27">
      <c r="A30" t="s">
        <v>637</v>
      </c>
      <c r="B30" t="e">
        <f>INDEX(#REF!,MATCH(A30,#REF!,0))</f>
        <v>#REF!</v>
      </c>
      <c r="C30" t="str">
        <f t="shared" si="1"/>
        <v>good</v>
      </c>
      <c r="D30" t="s">
        <v>5346</v>
      </c>
    </row>
    <row r="31" spans="1:27">
      <c r="A31" t="s">
        <v>3448</v>
      </c>
      <c r="B31" t="e">
        <f>INDEX(#REF!,MATCH(A31,#REF!,0))</f>
        <v>#REF!</v>
      </c>
      <c r="C31" t="str">
        <f t="shared" ref="C31:C48" si="2">IF(COUNTIF(A:A,A31)&gt;1,"Duplicate","good")</f>
        <v>good</v>
      </c>
      <c r="D31" t="s">
        <v>5346</v>
      </c>
    </row>
    <row r="32" spans="1:27">
      <c r="A32" t="s">
        <v>3451</v>
      </c>
      <c r="B32" t="e">
        <f>INDEX(#REF!,MATCH(A32,#REF!,0))</f>
        <v>#REF!</v>
      </c>
      <c r="C32" t="str">
        <f t="shared" si="2"/>
        <v>good</v>
      </c>
      <c r="D32" t="s">
        <v>5346</v>
      </c>
    </row>
    <row r="33" spans="1:4">
      <c r="A33" t="s">
        <v>3454</v>
      </c>
      <c r="B33" t="e">
        <f>INDEX(#REF!,MATCH(A33,#REF!,0))</f>
        <v>#REF!</v>
      </c>
      <c r="C33" t="str">
        <f t="shared" si="2"/>
        <v>good</v>
      </c>
      <c r="D33" t="s">
        <v>5346</v>
      </c>
    </row>
    <row r="34" spans="1:4">
      <c r="A34" t="s">
        <v>3457</v>
      </c>
      <c r="B34" t="e">
        <f>INDEX(#REF!,MATCH(A34,#REF!,0))</f>
        <v>#REF!</v>
      </c>
      <c r="C34" t="str">
        <f t="shared" si="2"/>
        <v>good</v>
      </c>
      <c r="D34" t="s">
        <v>5346</v>
      </c>
    </row>
    <row r="35" spans="1:4">
      <c r="A35" t="s">
        <v>3459</v>
      </c>
      <c r="B35" t="e">
        <f>INDEX(#REF!,MATCH(A35,#REF!,0))</f>
        <v>#REF!</v>
      </c>
      <c r="C35" t="str">
        <f t="shared" si="2"/>
        <v>good</v>
      </c>
      <c r="D35" t="s">
        <v>5346</v>
      </c>
    </row>
    <row r="36" spans="1:4">
      <c r="A36" t="s">
        <v>3460</v>
      </c>
      <c r="B36" t="e">
        <f>INDEX(#REF!,MATCH(A36,#REF!,0))</f>
        <v>#REF!</v>
      </c>
      <c r="C36" t="str">
        <f t="shared" si="2"/>
        <v>good</v>
      </c>
      <c r="D36" t="s">
        <v>5346</v>
      </c>
    </row>
    <row r="37" spans="1:4">
      <c r="A37" t="s">
        <v>3464</v>
      </c>
      <c r="B37" t="e">
        <f>INDEX(#REF!,MATCH(A37,#REF!,0))</f>
        <v>#REF!</v>
      </c>
      <c r="C37" t="str">
        <f t="shared" si="2"/>
        <v>good</v>
      </c>
      <c r="D37" t="s">
        <v>5346</v>
      </c>
    </row>
    <row r="38" spans="1:4">
      <c r="A38" t="s">
        <v>3467</v>
      </c>
      <c r="B38" t="e">
        <f>INDEX(#REF!,MATCH(A38,#REF!,0))</f>
        <v>#REF!</v>
      </c>
      <c r="C38" t="str">
        <f t="shared" si="2"/>
        <v>good</v>
      </c>
      <c r="D38" t="s">
        <v>5346</v>
      </c>
    </row>
    <row r="39" spans="1:4">
      <c r="A39" t="s">
        <v>3469</v>
      </c>
      <c r="B39" t="e">
        <f>INDEX(#REF!,MATCH(A39,#REF!,0))</f>
        <v>#REF!</v>
      </c>
      <c r="C39" t="str">
        <f t="shared" si="2"/>
        <v>good</v>
      </c>
      <c r="D39" t="s">
        <v>5346</v>
      </c>
    </row>
    <row r="40" spans="1:4">
      <c r="A40" t="s">
        <v>3472</v>
      </c>
      <c r="B40" t="e">
        <f>INDEX(#REF!,MATCH(A40,#REF!,0))</f>
        <v>#REF!</v>
      </c>
      <c r="C40" t="str">
        <f t="shared" si="2"/>
        <v>good</v>
      </c>
      <c r="D40" t="s">
        <v>5346</v>
      </c>
    </row>
    <row r="41" spans="1:4">
      <c r="A41" t="s">
        <v>3474</v>
      </c>
      <c r="B41" t="e">
        <f>INDEX(#REF!,MATCH(A41,#REF!,0))</f>
        <v>#REF!</v>
      </c>
      <c r="C41" t="str">
        <f t="shared" si="2"/>
        <v>good</v>
      </c>
      <c r="D41" t="s">
        <v>5346</v>
      </c>
    </row>
    <row r="42" spans="1:4">
      <c r="A42" t="s">
        <v>3476</v>
      </c>
      <c r="B42" t="e">
        <f>INDEX(#REF!,MATCH(A42,#REF!,0))</f>
        <v>#REF!</v>
      </c>
      <c r="C42" t="str">
        <f t="shared" si="2"/>
        <v>good</v>
      </c>
      <c r="D42" t="s">
        <v>5346</v>
      </c>
    </row>
    <row r="43" spans="1:4">
      <c r="A43" t="s">
        <v>3480</v>
      </c>
      <c r="B43" t="e">
        <f>INDEX(#REF!,MATCH(A43,#REF!,0))</f>
        <v>#REF!</v>
      </c>
      <c r="C43" t="str">
        <f t="shared" si="2"/>
        <v>good</v>
      </c>
      <c r="D43" t="s">
        <v>5346</v>
      </c>
    </row>
    <row r="44" spans="1:4">
      <c r="A44" t="s">
        <v>3482</v>
      </c>
      <c r="B44" t="e">
        <f>INDEX(#REF!,MATCH(A44,#REF!,0))</f>
        <v>#REF!</v>
      </c>
      <c r="C44" t="str">
        <f t="shared" si="2"/>
        <v>good</v>
      </c>
      <c r="D44" t="s">
        <v>5346</v>
      </c>
    </row>
    <row r="45" spans="1:4">
      <c r="A45" t="s">
        <v>3485</v>
      </c>
      <c r="B45" t="e">
        <f>INDEX(#REF!,MATCH(A45,#REF!,0))</f>
        <v>#REF!</v>
      </c>
      <c r="C45" t="str">
        <f t="shared" si="2"/>
        <v>good</v>
      </c>
      <c r="D45" t="s">
        <v>5346</v>
      </c>
    </row>
    <row r="46" spans="1:4">
      <c r="A46" t="s">
        <v>3487</v>
      </c>
      <c r="B46" t="e">
        <f>INDEX(#REF!,MATCH(A46,#REF!,0))</f>
        <v>#REF!</v>
      </c>
      <c r="C46" t="str">
        <f t="shared" si="2"/>
        <v>good</v>
      </c>
      <c r="D46" t="s">
        <v>5346</v>
      </c>
    </row>
    <row r="47" spans="1:4">
      <c r="A47" t="s">
        <v>3490</v>
      </c>
      <c r="B47" t="e">
        <f>INDEX(#REF!,MATCH(A47,#REF!,0))</f>
        <v>#REF!</v>
      </c>
      <c r="C47" t="str">
        <f t="shared" si="2"/>
        <v>good</v>
      </c>
      <c r="D47" t="s">
        <v>5346</v>
      </c>
    </row>
    <row r="48" spans="1:4">
      <c r="A48" t="s">
        <v>3498</v>
      </c>
      <c r="B48" t="e">
        <f>INDEX(#REF!,MATCH(A48,#REF!,0))</f>
        <v>#REF!</v>
      </c>
      <c r="C48" t="str">
        <f t="shared" si="2"/>
        <v>good</v>
      </c>
      <c r="D48" t="s">
        <v>5346</v>
      </c>
    </row>
  </sheetData>
  <mergeCells count="1">
    <mergeCell ref="J1:J14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2E25F-C4B3-40E7-8686-3ED00471F064}">
  <sheetPr codeName="Sheet8">
    <tabColor theme="2" tint="-0.499984740745262"/>
  </sheetPr>
  <dimension ref="A1:D16"/>
  <sheetViews>
    <sheetView workbookViewId="0">
      <pane ySplit="1" topLeftCell="A2" activePane="bottomLeft" state="frozen"/>
      <selection activeCell="A3" sqref="A3"/>
      <selection pane="bottomLeft" activeCell="A3" sqref="A3"/>
    </sheetView>
  </sheetViews>
  <sheetFormatPr defaultRowHeight="15"/>
  <cols>
    <col min="1" max="1" width="17.5703125" style="39" customWidth="1"/>
    <col min="2" max="2" width="16.7109375" style="28" customWidth="1"/>
    <col min="3" max="3" width="13.85546875" style="50" customWidth="1"/>
    <col min="4" max="4" width="13.5703125" style="39" customWidth="1"/>
    <col min="5" max="5" width="10.140625" style="39" customWidth="1"/>
    <col min="6" max="16384" width="9.140625" style="39"/>
  </cols>
  <sheetData>
    <row r="1" spans="1:4" ht="45">
      <c r="A1" s="188" t="s">
        <v>1</v>
      </c>
      <c r="B1" s="189" t="s">
        <v>4632</v>
      </c>
      <c r="C1" s="190" t="s">
        <v>6110</v>
      </c>
      <c r="D1" s="188" t="s">
        <v>53</v>
      </c>
    </row>
    <row r="2" spans="1:4">
      <c r="A2" s="39" t="str" cm="1">
        <f t="array" ref="A2:A7">_xlfn._xlws.FILTER(_xlfn.VSTACK('Hun Current'!G2:G100,'Hun Current'!H2:H100),(_xlfn.VSTACK('Hun Current'!G2:G100,'Hun Current'!H2:H100)&lt;&gt;"")*(_xlfn.VSTACK('Hun Current'!G2:G100,'Hun Current'!H2:H100)&lt;&gt;""))</f>
        <v>100AW300-5000</v>
      </c>
      <c r="B2" s="28">
        <f>IFERROR(INDEX('Hun Current'!D:D,MATCH(A2,'Hun Current'!G:G,0)),INDEX('Hun Current'!E:E,MATCH(A2,'Hun Current'!H:H,0)))</f>
        <v>500</v>
      </c>
      <c r="C2" s="50">
        <f>IFERROR(INDEX('Hun Current'!F:F,MATCH(A2,'Hun Current'!G:G,0)),INDEX('Hun Current'!F:F,MATCH(A2,'Hun Current'!H:H,0)))</f>
        <v>0</v>
      </c>
      <c r="D2" s="39">
        <f>IFERROR(INDEX('Hun Current'!C:C,MATCH(A2,'Hun Current'!G:G,0)),INDEX('Hun Current'!C:C,MATCH(A2,'Hun Current'!H:H,0)))</f>
        <v>7078</v>
      </c>
    </row>
    <row r="3" spans="1:4">
      <c r="A3" s="39" t="str">
        <v>110WW780-6200</v>
      </c>
      <c r="B3" s="28">
        <f>IFERROR(INDEX('Hun Current'!D:D,MATCH(A3,'Hun Current'!G:G,0)),INDEX('Hun Current'!E:E,MATCH(A3,'Hun Current'!H:H,0)))</f>
        <v>500</v>
      </c>
      <c r="C3" s="50">
        <f>IFERROR(INDEX('Hun Current'!F:F,MATCH(A3,'Hun Current'!G:G,0)),INDEX('Hun Current'!F:F,MATCH(A3,'Hun Current'!H:H,0)))</f>
        <v>0</v>
      </c>
      <c r="D3" s="39">
        <f>IFERROR(INDEX('Hun Current'!C:C,MATCH(A3,'Hun Current'!G:G,0)),INDEX('Hun Current'!C:C,MATCH(A3,'Hun Current'!H:H,0)))</f>
        <v>7060</v>
      </c>
    </row>
    <row r="4" spans="1:4">
      <c r="A4" s="39" t="str">
        <v>100WT890-6200</v>
      </c>
      <c r="B4" s="28">
        <f>IFERROR(INDEX('Hun Current'!D:D,MATCH(A4,'Hun Current'!G:G,0)),INDEX('Hun Current'!E:E,MATCH(A4,'Hun Current'!H:H,0)))</f>
        <v>1000</v>
      </c>
      <c r="C4" s="50">
        <f>IFERROR(INDEX('Hun Current'!F:F,MATCH(A4,'Hun Current'!G:G,0)),INDEX('Hun Current'!F:F,MATCH(A4,'Hun Current'!H:H,0)))</f>
        <v>0</v>
      </c>
      <c r="D4" s="39">
        <f>IFERROR(INDEX('Hun Current'!C:C,MATCH(A4,'Hun Current'!G:G,0)),INDEX('Hun Current'!C:C,MATCH(A4,'Hun Current'!H:H,0)))</f>
        <v>7130</v>
      </c>
    </row>
    <row r="5" spans="1:4">
      <c r="A5" s="39" t="str">
        <v>100DS064-6200</v>
      </c>
      <c r="B5" s="28">
        <f>IFERROR(INDEX('Hun Current'!D:D,MATCH(A5,'Hun Current'!G:G,0)),INDEX('Hun Current'!E:E,MATCH(A5,'Hun Current'!H:H,0)))</f>
        <v>6000</v>
      </c>
      <c r="C5" s="50">
        <f>IFERROR(INDEX('Hun Current'!F:F,MATCH(A5,'Hun Current'!G:G,0)),INDEX('Hun Current'!F:F,MATCH(A5,'Hun Current'!H:H,0)))</f>
        <v>0</v>
      </c>
      <c r="D5" s="39">
        <f>IFERROR(INDEX('Hun Current'!C:C,MATCH(A5,'Hun Current'!G:G,0)),INDEX('Hun Current'!C:C,MATCH(A5,'Hun Current'!H:H,0)))</f>
        <v>7129</v>
      </c>
    </row>
    <row r="6" spans="1:4">
      <c r="A6" s="39" t="str">
        <v>110ST054-6200</v>
      </c>
      <c r="B6" s="28">
        <f>IFERROR(INDEX('Hun Current'!D:D,MATCH(A6,'Hun Current'!G:G,0)),INDEX('Hun Current'!E:E,MATCH(A6,'Hun Current'!H:H,0)))</f>
        <v>1000</v>
      </c>
      <c r="C6" s="50">
        <f>IFERROR(INDEX('Hun Current'!F:F,MATCH(A6,'Hun Current'!G:G,0)),INDEX('Hun Current'!F:F,MATCH(A6,'Hun Current'!H:H,0)))</f>
        <v>0</v>
      </c>
      <c r="D6" s="39">
        <f>IFERROR(INDEX('Hun Current'!C:C,MATCH(A6,'Hun Current'!G:G,0)),INDEX('Hun Current'!C:C,MATCH(A6,'Hun Current'!H:H,0)))</f>
        <v>7097</v>
      </c>
    </row>
    <row r="7" spans="1:4">
      <c r="A7" s="39" t="str">
        <v>100HP336-6200</v>
      </c>
      <c r="B7" s="28">
        <f>IFERROR(INDEX('Hun Current'!D:D,MATCH(A7,'Hun Current'!G:G,0)),INDEX('Hun Current'!E:E,MATCH(A7,'Hun Current'!H:H,0)))</f>
        <v>1757</v>
      </c>
      <c r="C7" s="50">
        <f>IFERROR(INDEX('Hun Current'!F:F,MATCH(A7,'Hun Current'!G:G,0)),INDEX('Hun Current'!F:F,MATCH(A7,'Hun Current'!H:H,0)))</f>
        <v>0</v>
      </c>
      <c r="D7" s="39">
        <f>IFERROR(INDEX('Hun Current'!C:C,MATCH(A7,'Hun Current'!G:G,0)),INDEX('Hun Current'!C:C,MATCH(A7,'Hun Current'!H:H,0)))</f>
        <v>6982</v>
      </c>
    </row>
    <row r="8" spans="1:4">
      <c r="B8" s="28" t="e">
        <f>IFERROR(INDEX('Hun Current'!D:D,MATCH(A8,'Hun Current'!G:G,0)),INDEX('Hun Current'!E:E,MATCH(A8,'Hun Current'!H:H,0)))</f>
        <v>#N/A</v>
      </c>
      <c r="C8" s="50" t="e">
        <f>IFERROR(INDEX('Hun Current'!F:F,MATCH(A8,'Hun Current'!G:G,0)),INDEX('Hun Current'!F:F,MATCH(A8,'Hun Current'!H:H,0)))</f>
        <v>#N/A</v>
      </c>
      <c r="D8" s="39" t="e">
        <f>IFERROR(INDEX('Hun Current'!C:C,MATCH(A8,'Hun Current'!G:G,0)),INDEX('Hun Current'!C:C,MATCH(A8,'Hun Current'!H:H,0)))</f>
        <v>#N/A</v>
      </c>
    </row>
    <row r="9" spans="1:4">
      <c r="B9" s="28" t="e">
        <f>IFERROR(INDEX('Hun Current'!D:D,MATCH(A9,'Hun Current'!G:G,0)),INDEX('Hun Current'!E:E,MATCH(A9,'Hun Current'!H:H,0)))</f>
        <v>#N/A</v>
      </c>
      <c r="C9" s="50" t="e">
        <f>IFERROR(INDEX('Hun Current'!F:F,MATCH(A9,'Hun Current'!G:G,0)),INDEX('Hun Current'!F:F,MATCH(A9,'Hun Current'!H:H,0)))</f>
        <v>#N/A</v>
      </c>
      <c r="D9" s="39" t="e">
        <f>IFERROR(INDEX('Hun Current'!C:C,MATCH(A9,'Hun Current'!G:G,0)),INDEX('Hun Current'!C:C,MATCH(A9,'Hun Current'!H:H,0)))</f>
        <v>#N/A</v>
      </c>
    </row>
    <row r="10" spans="1:4">
      <c r="B10" s="28" t="e">
        <f>IFERROR(INDEX('Hun Current'!D:D,MATCH(A10,'Hun Current'!G:G,0)),INDEX('Hun Current'!E:E,MATCH(A10,'Hun Current'!H:H,0)))</f>
        <v>#N/A</v>
      </c>
      <c r="C10" s="50" t="e">
        <f>IFERROR(INDEX('Hun Current'!F:F,MATCH(A10,'Hun Current'!G:G,0)),INDEX('Hun Current'!F:F,MATCH(A10,'Hun Current'!H:H,0)))</f>
        <v>#N/A</v>
      </c>
      <c r="D10" s="39" t="e">
        <f>IFERROR(INDEX('Hun Current'!C:C,MATCH(A10,'Hun Current'!G:G,0)),INDEX('Hun Current'!C:C,MATCH(A10,'Hun Current'!H:H,0)))</f>
        <v>#N/A</v>
      </c>
    </row>
    <row r="11" spans="1:4">
      <c r="B11" s="28" t="e">
        <f>IFERROR(INDEX('Hun Current'!D:D,MATCH(A11,'Hun Current'!G:G,0)),INDEX('Hun Current'!E:E,MATCH(A11,'Hun Current'!H:H,0)))</f>
        <v>#N/A</v>
      </c>
      <c r="C11" s="50" t="e">
        <f>IFERROR(INDEX('Hun Current'!F:F,MATCH(A11,'Hun Current'!G:G,0)),INDEX('Hun Current'!F:F,MATCH(A11,'Hun Current'!H:H,0)))</f>
        <v>#N/A</v>
      </c>
      <c r="D11" s="39" t="e">
        <f>IFERROR(INDEX('Hun Current'!C:C,MATCH(A11,'Hun Current'!G:G,0)),INDEX('Hun Current'!C:C,MATCH(A11,'Hun Current'!H:H,0)))</f>
        <v>#N/A</v>
      </c>
    </row>
    <row r="12" spans="1:4">
      <c r="B12" s="28" t="e">
        <f>IFERROR(INDEX('Hun Current'!D:D,MATCH(A12,'Hun Current'!G:G,0)),INDEX('Hun Current'!E:E,MATCH(A12,'Hun Current'!H:H,0)))</f>
        <v>#N/A</v>
      </c>
      <c r="C12" s="50" t="e">
        <f>IFERROR(INDEX('Hun Current'!F:F,MATCH(A12,'Hun Current'!G:G,0)),INDEX('Hun Current'!F:F,MATCH(A12,'Hun Current'!H:H,0)))</f>
        <v>#N/A</v>
      </c>
      <c r="D12" s="39" t="e">
        <f>IFERROR(INDEX('Hun Current'!C:C,MATCH(A12,'Hun Current'!G:G,0)),INDEX('Hun Current'!C:C,MATCH(A12,'Hun Current'!H:H,0)))</f>
        <v>#N/A</v>
      </c>
    </row>
    <row r="13" spans="1:4">
      <c r="B13" s="28" t="e">
        <f>IFERROR(INDEX('Hun Current'!D:D,MATCH(A13,'Hun Current'!G:G,0)),INDEX('Hun Current'!E:E,MATCH(A13,'Hun Current'!H:H,0)))</f>
        <v>#N/A</v>
      </c>
      <c r="C13" s="50" t="e">
        <f>IFERROR(INDEX('Hun Current'!F:F,MATCH(A13,'Hun Current'!G:G,0)),INDEX('Hun Current'!F:F,MATCH(A13,'Hun Current'!H:H,0)))</f>
        <v>#N/A</v>
      </c>
      <c r="D13" s="39" t="e">
        <f>IFERROR(INDEX('Hun Current'!C:C,MATCH(A13,'Hun Current'!G:G,0)),INDEX('Hun Current'!C:C,MATCH(A13,'Hun Current'!H:H,0)))</f>
        <v>#N/A</v>
      </c>
    </row>
    <row r="14" spans="1:4">
      <c r="B14" s="28" t="e">
        <f>IFERROR(INDEX('Hun Current'!D:D,MATCH(A14,'Hun Current'!G:G,0)),INDEX('Hun Current'!E:E,MATCH(A14,'Hun Current'!H:H,0)))</f>
        <v>#N/A</v>
      </c>
      <c r="C14" s="50" t="e">
        <f>IFERROR(INDEX('Hun Current'!F:F,MATCH(A14,'Hun Current'!G:G,0)),INDEX('Hun Current'!F:F,MATCH(A14,'Hun Current'!H:H,0)))</f>
        <v>#N/A</v>
      </c>
      <c r="D14" s="39" t="e">
        <f>IFERROR(INDEX('Hun Current'!C:C,MATCH(A14,'Hun Current'!G:G,0)),INDEX('Hun Current'!C:C,MATCH(A14,'Hun Current'!H:H,0)))</f>
        <v>#N/A</v>
      </c>
    </row>
    <row r="15" spans="1:4">
      <c r="B15" s="28" t="e">
        <f>IFERROR(INDEX('Hun Current'!D:D,MATCH(A15,'Hun Current'!G:G,0)),INDEX('Hun Current'!E:E,MATCH(A15,'Hun Current'!H:H,0)))</f>
        <v>#N/A</v>
      </c>
      <c r="C15" s="50" t="e">
        <f>IFERROR(INDEX('Hun Current'!F:F,MATCH(A15,'Hun Current'!G:G,0)),INDEX('Hun Current'!F:F,MATCH(A15,'Hun Current'!H:H,0)))</f>
        <v>#N/A</v>
      </c>
      <c r="D15" s="39" t="e">
        <f>IFERROR(INDEX('Hun Current'!C:C,MATCH(A15,'Hun Current'!G:G,0)),INDEX('Hun Current'!C:C,MATCH(A15,'Hun Current'!H:H,0)))</f>
        <v>#N/A</v>
      </c>
    </row>
    <row r="16" spans="1:4">
      <c r="B16" s="28" t="e">
        <f>IFERROR(INDEX('Hun Current'!D:D,MATCH(A16,'Hun Current'!G:G,0)),INDEX('Hun Current'!E:E,MATCH(A16,'Hun Current'!H:H,0)))</f>
        <v>#N/A</v>
      </c>
      <c r="C16" s="50" t="e">
        <f>IFERROR(INDEX('Hun Current'!F:F,MATCH(A16,'Hun Current'!G:G,0)),INDEX('Hun Current'!F:F,MATCH(A16,'Hun Current'!H:H,0)))</f>
        <v>#N/A</v>
      </c>
      <c r="D16" s="39" t="e">
        <f>IFERROR(INDEX('Hun Current'!C:C,MATCH(A16,'Hun Current'!G:G,0)),INDEX('Hun Current'!C:C,MATCH(A16,'Hun Current'!H:H,0)))</f>
        <v>#N/A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FEE19-3FE6-47DE-B492-78D69A45C52D}">
  <sheetPr codeName="Sheet37">
    <tabColor theme="2" tint="-0.499984740745262"/>
  </sheetPr>
  <dimension ref="A1:P30"/>
  <sheetViews>
    <sheetView workbookViewId="0">
      <pane xSplit="1" ySplit="1" topLeftCell="B2" activePane="bottomRight" state="frozen"/>
      <selection activeCell="A3" sqref="A3"/>
      <selection pane="topRight" activeCell="A3" sqref="A3"/>
      <selection pane="bottomLeft" activeCell="A3" sqref="A3"/>
      <selection pane="bottomRight" activeCell="I29" sqref="I29"/>
    </sheetView>
  </sheetViews>
  <sheetFormatPr defaultColWidth="5.140625" defaultRowHeight="12.75"/>
  <cols>
    <col min="1" max="1" width="27.85546875" style="89" bestFit="1" customWidth="1"/>
    <col min="2" max="2" width="18.42578125" style="89" bestFit="1" customWidth="1"/>
    <col min="3" max="3" width="20.85546875" style="89" bestFit="1" customWidth="1"/>
    <col min="4" max="4" width="22.7109375" style="89" bestFit="1" customWidth="1"/>
    <col min="5" max="5" width="16.5703125" style="89" bestFit="1" customWidth="1"/>
    <col min="6" max="6" width="9.7109375" style="87" bestFit="1" customWidth="1"/>
    <col min="7" max="7" width="7.7109375" style="88" bestFit="1" customWidth="1"/>
    <col min="8" max="8" width="24.7109375" style="89" bestFit="1" customWidth="1"/>
    <col min="9" max="9" width="21" style="89" bestFit="1" customWidth="1"/>
    <col min="10" max="10" width="22.42578125" style="89" bestFit="1" customWidth="1"/>
    <col min="11" max="11" width="35.28515625" style="89" bestFit="1" customWidth="1"/>
    <col min="12" max="12" width="17.42578125" style="89" bestFit="1" customWidth="1"/>
    <col min="13" max="13" width="17.42578125" style="89" customWidth="1"/>
    <col min="14" max="14" width="16" style="89" bestFit="1" customWidth="1"/>
    <col min="15" max="15" width="48.5703125" style="89" bestFit="1" customWidth="1"/>
    <col min="16" max="16" width="17.42578125" style="89" bestFit="1" customWidth="1"/>
    <col min="17" max="16384" width="5.140625" style="87"/>
  </cols>
  <sheetData>
    <row r="1" spans="1:16" ht="25.5">
      <c r="A1" s="87" t="s">
        <v>5606</v>
      </c>
      <c r="B1" s="87" t="s">
        <v>5796</v>
      </c>
      <c r="C1" s="87" t="s">
        <v>5798</v>
      </c>
      <c r="D1" s="87" t="s">
        <v>5795</v>
      </c>
      <c r="E1" s="87" t="s">
        <v>5446</v>
      </c>
      <c r="F1" s="87" t="s">
        <v>5794</v>
      </c>
      <c r="G1" s="88" t="s">
        <v>5607</v>
      </c>
      <c r="H1" s="87" t="s">
        <v>5802</v>
      </c>
      <c r="I1" s="87" t="s">
        <v>5608</v>
      </c>
      <c r="J1" s="87" t="s">
        <v>5609</v>
      </c>
      <c r="K1" s="87" t="s">
        <v>5610</v>
      </c>
      <c r="L1" s="87" t="s">
        <v>5611</v>
      </c>
      <c r="M1" s="87" t="s">
        <v>6079</v>
      </c>
      <c r="N1" s="87" t="s">
        <v>5612</v>
      </c>
      <c r="O1" s="87" t="s">
        <v>5613</v>
      </c>
      <c r="P1" s="87" t="s">
        <v>5614</v>
      </c>
    </row>
    <row r="2" spans="1:16">
      <c r="A2" s="89" t="s">
        <v>5615</v>
      </c>
      <c r="B2" s="89" t="s">
        <v>3693</v>
      </c>
      <c r="C2" s="89" t="s">
        <v>3693</v>
      </c>
      <c r="D2" s="89" t="s">
        <v>5616</v>
      </c>
      <c r="E2" s="89" t="s">
        <v>5617</v>
      </c>
      <c r="F2" s="87" t="s">
        <v>5458</v>
      </c>
      <c r="G2" s="88" t="s">
        <v>5618</v>
      </c>
      <c r="H2" s="89" t="s">
        <v>5619</v>
      </c>
      <c r="I2" s="89" t="s">
        <v>5620</v>
      </c>
      <c r="J2" s="89" t="s">
        <v>5621</v>
      </c>
      <c r="L2" s="90" t="s">
        <v>5797</v>
      </c>
      <c r="M2" s="90"/>
      <c r="N2" s="90" t="s">
        <v>5797</v>
      </c>
      <c r="O2" s="90" t="s">
        <v>5797</v>
      </c>
      <c r="P2" s="89" t="s">
        <v>5623</v>
      </c>
    </row>
    <row r="3" spans="1:16">
      <c r="A3" s="89" t="s">
        <v>5624</v>
      </c>
      <c r="B3" s="89" t="s">
        <v>3702</v>
      </c>
      <c r="C3" s="89" t="s">
        <v>3702</v>
      </c>
      <c r="D3" s="89" t="s">
        <v>5625</v>
      </c>
      <c r="E3" s="89" t="s">
        <v>5626</v>
      </c>
      <c r="F3" s="87" t="s">
        <v>5453</v>
      </c>
      <c r="G3" s="88">
        <v>27105</v>
      </c>
      <c r="H3" s="89" t="s">
        <v>5627</v>
      </c>
      <c r="I3" s="89" t="s">
        <v>5628</v>
      </c>
      <c r="L3" s="91" t="s">
        <v>5629</v>
      </c>
      <c r="M3" s="91" t="s">
        <v>6080</v>
      </c>
      <c r="N3" s="91" t="s">
        <v>5630</v>
      </c>
      <c r="O3" s="89" t="s">
        <v>5631</v>
      </c>
      <c r="P3" s="89" t="s">
        <v>5623</v>
      </c>
    </row>
    <row r="4" spans="1:16" ht="25.5">
      <c r="A4" s="89" t="s">
        <v>893</v>
      </c>
      <c r="B4" s="89" t="s">
        <v>893</v>
      </c>
      <c r="C4" s="89" t="s">
        <v>893</v>
      </c>
      <c r="D4" s="89" t="s">
        <v>5632</v>
      </c>
      <c r="E4" s="89" t="s">
        <v>5454</v>
      </c>
      <c r="F4" s="87" t="s">
        <v>5455</v>
      </c>
      <c r="G4" s="88" t="s">
        <v>5633</v>
      </c>
      <c r="H4" s="90" t="s">
        <v>5797</v>
      </c>
      <c r="I4" s="89" t="s">
        <v>5635</v>
      </c>
      <c r="J4" s="89" t="s">
        <v>5636</v>
      </c>
      <c r="L4" s="91" t="s">
        <v>6081</v>
      </c>
      <c r="M4" s="91"/>
      <c r="N4" s="91" t="s">
        <v>5638</v>
      </c>
      <c r="O4" s="89" t="s">
        <v>5639</v>
      </c>
      <c r="P4" s="89" t="s">
        <v>5623</v>
      </c>
    </row>
    <row r="5" spans="1:16" ht="25.5">
      <c r="A5" s="89" t="s">
        <v>5640</v>
      </c>
      <c r="B5" s="89" t="s">
        <v>3792</v>
      </c>
      <c r="C5" s="89" t="s">
        <v>3792</v>
      </c>
      <c r="D5" s="89" t="s">
        <v>5641</v>
      </c>
      <c r="E5" s="89" t="s">
        <v>5457</v>
      </c>
      <c r="F5" s="87" t="s">
        <v>5455</v>
      </c>
      <c r="G5" s="92" t="s">
        <v>5642</v>
      </c>
      <c r="H5" s="89" t="s">
        <v>5643</v>
      </c>
      <c r="I5" s="89" t="s">
        <v>5644</v>
      </c>
      <c r="J5" s="89" t="s">
        <v>5645</v>
      </c>
      <c r="K5" s="89" t="s">
        <v>5646</v>
      </c>
      <c r="L5" s="89" t="s">
        <v>5637</v>
      </c>
      <c r="M5" s="91" t="s">
        <v>6080</v>
      </c>
      <c r="N5" s="89" t="s">
        <v>5647</v>
      </c>
      <c r="O5" s="89" t="s">
        <v>5631</v>
      </c>
      <c r="P5" s="89" t="s">
        <v>5623</v>
      </c>
    </row>
    <row r="6" spans="1:16" ht="15">
      <c r="A6" s="89" t="s">
        <v>5648</v>
      </c>
      <c r="B6" s="89" t="s">
        <v>5445</v>
      </c>
      <c r="C6" s="89" t="s">
        <v>5800</v>
      </c>
      <c r="D6" s="89" t="s">
        <v>5649</v>
      </c>
      <c r="E6" s="89" t="s">
        <v>3657</v>
      </c>
      <c r="F6" s="87" t="s">
        <v>5459</v>
      </c>
      <c r="G6" s="88">
        <v>12189</v>
      </c>
      <c r="H6" s="89" t="s">
        <v>5650</v>
      </c>
      <c r="I6" s="89" t="s">
        <v>5651</v>
      </c>
      <c r="J6" s="93" t="s">
        <v>5652</v>
      </c>
      <c r="K6" s="89" t="s">
        <v>5653</v>
      </c>
      <c r="L6" s="91" t="s">
        <v>5637</v>
      </c>
      <c r="M6" s="91" t="s">
        <v>6080</v>
      </c>
      <c r="N6" s="91" t="s">
        <v>5654</v>
      </c>
      <c r="O6" s="89" t="s">
        <v>5655</v>
      </c>
      <c r="P6" s="89" t="s">
        <v>5623</v>
      </c>
    </row>
    <row r="7" spans="1:16" ht="25.5">
      <c r="A7" s="89" t="s">
        <v>5656</v>
      </c>
      <c r="B7" s="89" t="s">
        <v>3882</v>
      </c>
      <c r="C7" s="89" t="s">
        <v>5801</v>
      </c>
      <c r="D7" s="89" t="s">
        <v>5657</v>
      </c>
      <c r="E7" s="89" t="s">
        <v>3881</v>
      </c>
      <c r="F7" s="87" t="s">
        <v>5455</v>
      </c>
      <c r="G7" s="88" t="s">
        <v>5658</v>
      </c>
      <c r="H7" s="89" t="s">
        <v>5659</v>
      </c>
      <c r="I7" s="89" t="s">
        <v>5660</v>
      </c>
      <c r="J7" s="89" t="s">
        <v>5661</v>
      </c>
      <c r="K7" s="93" t="s">
        <v>5662</v>
      </c>
      <c r="L7" s="91" t="s">
        <v>5629</v>
      </c>
      <c r="M7" s="91" t="s">
        <v>6080</v>
      </c>
      <c r="N7" s="91" t="s">
        <v>5654</v>
      </c>
      <c r="O7" s="89" t="s">
        <v>5663</v>
      </c>
      <c r="P7" s="89" t="s">
        <v>5623</v>
      </c>
    </row>
    <row r="8" spans="1:16">
      <c r="A8" s="89" t="s">
        <v>5443</v>
      </c>
      <c r="B8" s="89" t="s">
        <v>5443</v>
      </c>
      <c r="C8" s="89" t="s">
        <v>5443</v>
      </c>
      <c r="D8" s="89" t="s">
        <v>5664</v>
      </c>
      <c r="E8" s="89" t="s">
        <v>5443</v>
      </c>
      <c r="F8" s="87" t="s">
        <v>5449</v>
      </c>
      <c r="G8" s="88" t="s">
        <v>5665</v>
      </c>
      <c r="H8" s="89" t="s">
        <v>5666</v>
      </c>
      <c r="I8" s="89" t="s">
        <v>5667</v>
      </c>
      <c r="L8" s="91" t="s">
        <v>5637</v>
      </c>
      <c r="M8" s="91" t="s">
        <v>6080</v>
      </c>
      <c r="N8" s="91" t="s">
        <v>5630</v>
      </c>
      <c r="O8" s="89" t="s">
        <v>5668</v>
      </c>
      <c r="P8" s="89" t="s">
        <v>5623</v>
      </c>
    </row>
    <row r="9" spans="1:16" ht="25.5">
      <c r="A9" s="89" t="s">
        <v>5669</v>
      </c>
      <c r="B9" s="89" t="s">
        <v>3914</v>
      </c>
      <c r="C9" s="89" t="s">
        <v>3911</v>
      </c>
      <c r="D9" s="89" t="s">
        <v>5670</v>
      </c>
      <c r="E9" s="89" t="s">
        <v>3914</v>
      </c>
      <c r="F9" s="87" t="s">
        <v>5456</v>
      </c>
      <c r="G9" s="88">
        <v>30253</v>
      </c>
      <c r="H9" s="89" t="s">
        <v>5671</v>
      </c>
      <c r="I9" s="89" t="s">
        <v>5672</v>
      </c>
      <c r="J9" s="89" t="s">
        <v>5673</v>
      </c>
      <c r="K9" s="93" t="s">
        <v>5674</v>
      </c>
      <c r="L9" s="91" t="s">
        <v>6082</v>
      </c>
      <c r="M9" s="91"/>
      <c r="N9" s="91" t="s">
        <v>5675</v>
      </c>
      <c r="O9" s="89" t="s">
        <v>5631</v>
      </c>
      <c r="P9" s="89" t="s">
        <v>5623</v>
      </c>
    </row>
    <row r="10" spans="1:16" ht="25.5">
      <c r="A10" s="89" t="s">
        <v>5676</v>
      </c>
      <c r="B10" s="89" t="s">
        <v>3941</v>
      </c>
      <c r="C10" s="89" t="s">
        <v>3911</v>
      </c>
      <c r="D10" s="89" t="s">
        <v>5677</v>
      </c>
      <c r="E10" s="89" t="s">
        <v>3941</v>
      </c>
      <c r="F10" s="87" t="s">
        <v>5456</v>
      </c>
      <c r="G10" s="88">
        <v>30260</v>
      </c>
      <c r="H10" s="89" t="s">
        <v>5678</v>
      </c>
      <c r="I10" s="89" t="s">
        <v>5679</v>
      </c>
      <c r="J10" s="93"/>
      <c r="K10" s="93" t="s">
        <v>5680</v>
      </c>
      <c r="L10" s="91" t="s">
        <v>5629</v>
      </c>
      <c r="M10" s="91" t="s">
        <v>6080</v>
      </c>
      <c r="N10" s="91" t="s">
        <v>5681</v>
      </c>
      <c r="O10" s="89" t="s">
        <v>5682</v>
      </c>
      <c r="P10" s="89" t="s">
        <v>5623</v>
      </c>
    </row>
    <row r="11" spans="1:16">
      <c r="A11" s="89" t="s">
        <v>5683</v>
      </c>
      <c r="B11" s="89" t="s">
        <v>3991</v>
      </c>
      <c r="C11" s="89" t="s">
        <v>3991</v>
      </c>
      <c r="D11" s="89" t="s">
        <v>5684</v>
      </c>
      <c r="E11" s="89" t="s">
        <v>3991</v>
      </c>
      <c r="F11" s="87" t="s">
        <v>5448</v>
      </c>
      <c r="G11" s="88">
        <v>45373</v>
      </c>
      <c r="H11" s="89" t="s">
        <v>5685</v>
      </c>
      <c r="I11" s="89" t="s">
        <v>5686</v>
      </c>
      <c r="J11" s="89" t="s">
        <v>5687</v>
      </c>
      <c r="L11" s="89" t="s">
        <v>5637</v>
      </c>
      <c r="M11" s="91" t="s">
        <v>6080</v>
      </c>
      <c r="N11" s="89" t="s">
        <v>5688</v>
      </c>
      <c r="O11" s="89" t="s">
        <v>5631</v>
      </c>
      <c r="P11" s="89" t="s">
        <v>5623</v>
      </c>
    </row>
    <row r="12" spans="1:16">
      <c r="A12" s="85" t="s">
        <v>5689</v>
      </c>
      <c r="B12" s="85" t="s">
        <v>5689</v>
      </c>
      <c r="C12" s="85" t="s">
        <v>5689</v>
      </c>
      <c r="D12" s="90" t="s">
        <v>5797</v>
      </c>
      <c r="E12" s="90" t="s">
        <v>5797</v>
      </c>
      <c r="F12" s="90" t="s">
        <v>5797</v>
      </c>
      <c r="G12" s="90" t="s">
        <v>5797</v>
      </c>
      <c r="H12" s="90" t="s">
        <v>5797</v>
      </c>
      <c r="I12" s="90" t="s">
        <v>5797</v>
      </c>
      <c r="J12" s="90" t="s">
        <v>5797</v>
      </c>
      <c r="K12" s="90" t="s">
        <v>5797</v>
      </c>
      <c r="L12" s="90" t="s">
        <v>5797</v>
      </c>
      <c r="M12" s="90"/>
      <c r="N12" s="90" t="s">
        <v>5797</v>
      </c>
      <c r="O12" s="90" t="s">
        <v>5797</v>
      </c>
      <c r="P12" s="90" t="s">
        <v>5797</v>
      </c>
    </row>
    <row r="13" spans="1:16">
      <c r="A13" s="85" t="s">
        <v>3873</v>
      </c>
      <c r="B13" s="85" t="s">
        <v>3873</v>
      </c>
      <c r="C13" s="85" t="s">
        <v>3873</v>
      </c>
      <c r="D13" s="90" t="s">
        <v>5797</v>
      </c>
      <c r="E13" s="90" t="s">
        <v>5797</v>
      </c>
      <c r="F13" s="90" t="s">
        <v>5797</v>
      </c>
      <c r="G13" s="90" t="s">
        <v>5797</v>
      </c>
      <c r="H13" s="90" t="s">
        <v>5797</v>
      </c>
      <c r="I13" s="90" t="s">
        <v>5797</v>
      </c>
      <c r="J13" s="90" t="s">
        <v>5797</v>
      </c>
      <c r="K13" s="90" t="s">
        <v>5797</v>
      </c>
      <c r="L13" s="90" t="s">
        <v>5797</v>
      </c>
      <c r="M13" s="90"/>
      <c r="N13" s="90" t="s">
        <v>5797</v>
      </c>
      <c r="O13" s="90" t="s">
        <v>5797</v>
      </c>
      <c r="P13" s="90" t="s">
        <v>5797</v>
      </c>
    </row>
    <row r="14" spans="1:16">
      <c r="A14" s="85" t="s">
        <v>3893</v>
      </c>
      <c r="B14" s="85" t="s">
        <v>3893</v>
      </c>
      <c r="C14" s="85" t="s">
        <v>3893</v>
      </c>
      <c r="D14" s="90" t="s">
        <v>5797</v>
      </c>
      <c r="E14" s="90" t="s">
        <v>5797</v>
      </c>
      <c r="F14" s="90" t="s">
        <v>5797</v>
      </c>
      <c r="G14" s="90" t="s">
        <v>5797</v>
      </c>
      <c r="H14" s="90" t="s">
        <v>5797</v>
      </c>
      <c r="I14" s="90" t="s">
        <v>5797</v>
      </c>
      <c r="J14" s="90" t="s">
        <v>5797</v>
      </c>
      <c r="K14" s="90" t="s">
        <v>5797</v>
      </c>
      <c r="L14" s="90" t="s">
        <v>5797</v>
      </c>
      <c r="M14" s="90"/>
      <c r="N14" s="90" t="s">
        <v>5797</v>
      </c>
      <c r="O14" s="90" t="s">
        <v>5797</v>
      </c>
      <c r="P14" s="90" t="s">
        <v>5797</v>
      </c>
    </row>
    <row r="15" spans="1:16">
      <c r="A15" s="89" t="s">
        <v>5691</v>
      </c>
      <c r="B15" s="89" t="s">
        <v>5690</v>
      </c>
      <c r="C15" s="89" t="s">
        <v>5690</v>
      </c>
      <c r="D15" s="89" t="s">
        <v>5692</v>
      </c>
      <c r="E15" s="89" t="s">
        <v>5693</v>
      </c>
      <c r="F15" s="87" t="s">
        <v>5453</v>
      </c>
      <c r="G15" s="88">
        <v>27209</v>
      </c>
      <c r="H15" s="89" t="s">
        <v>5694</v>
      </c>
      <c r="I15" s="89" t="s">
        <v>5695</v>
      </c>
      <c r="L15" s="91" t="s">
        <v>5696</v>
      </c>
      <c r="M15" s="91"/>
      <c r="N15" s="91" t="s">
        <v>5697</v>
      </c>
      <c r="O15" s="89" t="s">
        <v>5668</v>
      </c>
      <c r="P15" s="90" t="s">
        <v>5797</v>
      </c>
    </row>
    <row r="16" spans="1:16">
      <c r="A16" s="89" t="s">
        <v>5698</v>
      </c>
      <c r="B16" s="89" t="s">
        <v>5698</v>
      </c>
      <c r="C16" s="89" t="s">
        <v>5698</v>
      </c>
      <c r="D16" s="89" t="s">
        <v>5699</v>
      </c>
      <c r="E16" s="89" t="s">
        <v>5700</v>
      </c>
      <c r="F16" s="87" t="s">
        <v>5455</v>
      </c>
      <c r="G16" s="88" t="s">
        <v>5701</v>
      </c>
      <c r="H16" s="89" t="s">
        <v>5702</v>
      </c>
      <c r="I16" s="89" t="s">
        <v>5703</v>
      </c>
      <c r="L16" s="91" t="s">
        <v>5637</v>
      </c>
      <c r="M16" s="91" t="s">
        <v>6080</v>
      </c>
      <c r="N16" s="91" t="s">
        <v>5704</v>
      </c>
      <c r="O16" s="89" t="s">
        <v>5668</v>
      </c>
      <c r="P16" s="90" t="s">
        <v>5797</v>
      </c>
    </row>
    <row r="17" spans="1:16" ht="25.5">
      <c r="A17" s="89" t="s">
        <v>5705</v>
      </c>
      <c r="B17" s="89" t="s">
        <v>5602</v>
      </c>
      <c r="C17" s="89" t="s">
        <v>5602</v>
      </c>
      <c r="D17" s="89" t="s">
        <v>5706</v>
      </c>
      <c r="E17" s="89" t="s">
        <v>5707</v>
      </c>
      <c r="F17" s="87" t="s">
        <v>5708</v>
      </c>
      <c r="G17" s="88" t="s">
        <v>5709</v>
      </c>
      <c r="H17" s="89" t="s">
        <v>5710</v>
      </c>
      <c r="I17" s="89" t="s">
        <v>5711</v>
      </c>
      <c r="L17" s="91" t="s">
        <v>5629</v>
      </c>
      <c r="M17" s="91" t="s">
        <v>6080</v>
      </c>
      <c r="N17" s="91" t="s">
        <v>5712</v>
      </c>
      <c r="O17" s="89" t="s">
        <v>5631</v>
      </c>
      <c r="P17" s="89" t="s">
        <v>5713</v>
      </c>
    </row>
    <row r="18" spans="1:16">
      <c r="A18" s="89" t="s">
        <v>5715</v>
      </c>
      <c r="B18" s="89" t="s">
        <v>5714</v>
      </c>
      <c r="C18" s="89" t="s">
        <v>3662</v>
      </c>
      <c r="D18" s="89" t="s">
        <v>5716</v>
      </c>
      <c r="E18" s="89" t="s">
        <v>5717</v>
      </c>
      <c r="F18" s="87" t="s">
        <v>5455</v>
      </c>
      <c r="G18" s="88" t="s">
        <v>5718</v>
      </c>
      <c r="H18" s="89" t="s">
        <v>5719</v>
      </c>
      <c r="I18" s="89" t="s">
        <v>5720</v>
      </c>
      <c r="L18" s="91" t="s">
        <v>5647</v>
      </c>
      <c r="M18" s="91" t="s">
        <v>6080</v>
      </c>
      <c r="N18" s="91" t="s">
        <v>5654</v>
      </c>
      <c r="O18" s="89" t="s">
        <v>5663</v>
      </c>
      <c r="P18" s="89" t="s">
        <v>5623</v>
      </c>
    </row>
    <row r="19" spans="1:16">
      <c r="A19" s="89" t="s">
        <v>5721</v>
      </c>
      <c r="B19" s="89" t="s">
        <v>5799</v>
      </c>
      <c r="C19" s="89" t="s">
        <v>5799</v>
      </c>
      <c r="D19" s="89" t="s">
        <v>5722</v>
      </c>
      <c r="E19" s="89" t="s">
        <v>5723</v>
      </c>
      <c r="F19" s="87" t="s">
        <v>5448</v>
      </c>
      <c r="G19" s="88">
        <v>43207</v>
      </c>
      <c r="H19" s="89" t="s">
        <v>5724</v>
      </c>
      <c r="I19" s="89" t="s">
        <v>5725</v>
      </c>
      <c r="L19" s="91" t="s">
        <v>5726</v>
      </c>
      <c r="M19" s="91" t="s">
        <v>6080</v>
      </c>
      <c r="N19" s="91" t="s">
        <v>5681</v>
      </c>
      <c r="O19" s="89" t="s">
        <v>5668</v>
      </c>
      <c r="P19" s="89" t="s">
        <v>5727</v>
      </c>
    </row>
    <row r="20" spans="1:16">
      <c r="A20" s="89" t="s">
        <v>5729</v>
      </c>
      <c r="B20" s="89" t="s">
        <v>5728</v>
      </c>
      <c r="C20" s="89" t="s">
        <v>3911</v>
      </c>
      <c r="D20" s="89" t="s">
        <v>5730</v>
      </c>
      <c r="E20" s="89" t="s">
        <v>5383</v>
      </c>
      <c r="F20" s="87" t="s">
        <v>5451</v>
      </c>
      <c r="G20" s="88">
        <v>19543</v>
      </c>
      <c r="H20" s="94" t="s">
        <v>5731</v>
      </c>
      <c r="I20" s="89" t="s">
        <v>5732</v>
      </c>
      <c r="K20" s="89" t="s">
        <v>5733</v>
      </c>
      <c r="L20" s="91" t="s">
        <v>5629</v>
      </c>
      <c r="M20" s="91" t="s">
        <v>6080</v>
      </c>
      <c r="N20" s="91" t="s">
        <v>5654</v>
      </c>
      <c r="O20" s="89" t="s">
        <v>5631</v>
      </c>
      <c r="P20" s="89" t="s">
        <v>5623</v>
      </c>
    </row>
    <row r="21" spans="1:16" ht="25.5">
      <c r="A21" s="89" t="s">
        <v>5735</v>
      </c>
      <c r="B21" s="89" t="s">
        <v>5734</v>
      </c>
      <c r="C21" s="89" t="s">
        <v>5734</v>
      </c>
      <c r="D21" s="89" t="s">
        <v>5736</v>
      </c>
      <c r="E21" s="89" t="s">
        <v>5734</v>
      </c>
      <c r="F21" s="87" t="s">
        <v>5456</v>
      </c>
      <c r="G21" s="88">
        <v>30012</v>
      </c>
      <c r="H21" s="89" t="s">
        <v>5737</v>
      </c>
      <c r="I21" s="89" t="s">
        <v>5738</v>
      </c>
      <c r="L21" s="91" t="s">
        <v>5696</v>
      </c>
      <c r="M21" s="91"/>
      <c r="N21" s="91" t="s">
        <v>5697</v>
      </c>
      <c r="O21" s="89" t="s">
        <v>5668</v>
      </c>
      <c r="P21" s="89" t="s">
        <v>5739</v>
      </c>
    </row>
    <row r="22" spans="1:16">
      <c r="A22" s="89" t="s">
        <v>5741</v>
      </c>
      <c r="B22" s="89" t="s">
        <v>5740</v>
      </c>
      <c r="C22" s="89" t="s">
        <v>5740</v>
      </c>
      <c r="D22" s="89" t="s">
        <v>5742</v>
      </c>
      <c r="E22" s="89" t="s">
        <v>5740</v>
      </c>
      <c r="F22" s="87" t="s">
        <v>5743</v>
      </c>
      <c r="G22" s="88">
        <v>46514</v>
      </c>
      <c r="H22" s="89" t="s">
        <v>5634</v>
      </c>
      <c r="L22" s="91" t="s">
        <v>5696</v>
      </c>
      <c r="M22" s="91"/>
      <c r="N22" s="91" t="s">
        <v>5697</v>
      </c>
      <c r="O22" s="89" t="s">
        <v>5668</v>
      </c>
      <c r="P22" s="89" t="s">
        <v>5739</v>
      </c>
    </row>
    <row r="23" spans="1:16">
      <c r="A23" s="89" t="s">
        <v>5744</v>
      </c>
      <c r="B23" s="89" t="s">
        <v>5744</v>
      </c>
      <c r="C23" s="89" t="s">
        <v>5744</v>
      </c>
      <c r="D23" s="89" t="s">
        <v>5745</v>
      </c>
      <c r="E23" s="89" t="s">
        <v>5746</v>
      </c>
      <c r="F23" s="87" t="s">
        <v>5448</v>
      </c>
      <c r="G23" s="88">
        <v>44130</v>
      </c>
      <c r="H23" s="89" t="s">
        <v>5747</v>
      </c>
      <c r="I23" s="89" t="s">
        <v>5748</v>
      </c>
      <c r="L23" s="91" t="s">
        <v>5629</v>
      </c>
      <c r="M23" s="91" t="s">
        <v>6080</v>
      </c>
      <c r="N23" s="91" t="s">
        <v>5749</v>
      </c>
      <c r="O23" s="89" t="s">
        <v>5631</v>
      </c>
      <c r="P23" s="89" t="s">
        <v>5622</v>
      </c>
    </row>
    <row r="24" spans="1:16">
      <c r="A24" s="89" t="s">
        <v>5751</v>
      </c>
      <c r="B24" s="89" t="s">
        <v>5750</v>
      </c>
      <c r="C24" s="89" t="s">
        <v>5750</v>
      </c>
      <c r="D24" s="89" t="s">
        <v>5752</v>
      </c>
      <c r="E24" s="89" t="s">
        <v>5750</v>
      </c>
      <c r="F24" s="87" t="s">
        <v>5453</v>
      </c>
      <c r="G24" s="88">
        <v>28086</v>
      </c>
      <c r="H24" s="89" t="s">
        <v>5753</v>
      </c>
      <c r="I24" s="89" t="s">
        <v>5754</v>
      </c>
      <c r="L24" s="91" t="s">
        <v>5637</v>
      </c>
      <c r="M24" s="91" t="s">
        <v>6080</v>
      </c>
      <c r="N24" s="91" t="s">
        <v>5647</v>
      </c>
      <c r="O24" s="89" t="s">
        <v>5631</v>
      </c>
      <c r="P24" s="89" t="s">
        <v>5755</v>
      </c>
    </row>
    <row r="25" spans="1:16" ht="25.5">
      <c r="A25" s="89" t="s">
        <v>5756</v>
      </c>
      <c r="B25" s="89" t="s">
        <v>5601</v>
      </c>
      <c r="C25" s="89" t="s">
        <v>5601</v>
      </c>
      <c r="D25" s="89" t="s">
        <v>5757</v>
      </c>
      <c r="E25" s="89" t="s">
        <v>5758</v>
      </c>
      <c r="F25" s="87" t="s">
        <v>5759</v>
      </c>
      <c r="G25" s="88">
        <v>49443</v>
      </c>
      <c r="H25" s="89" t="s">
        <v>5760</v>
      </c>
      <c r="I25" s="89" t="s">
        <v>5761</v>
      </c>
      <c r="J25" s="89" t="s">
        <v>5762</v>
      </c>
      <c r="L25" s="91" t="s">
        <v>5763</v>
      </c>
      <c r="M25" s="91" t="s">
        <v>6080</v>
      </c>
      <c r="N25" s="91" t="s">
        <v>5764</v>
      </c>
      <c r="O25" s="89" t="s">
        <v>5631</v>
      </c>
      <c r="P25" s="89" t="s">
        <v>5765</v>
      </c>
    </row>
    <row r="26" spans="1:16">
      <c r="A26" s="89" t="s">
        <v>5766</v>
      </c>
      <c r="B26" s="89" t="s">
        <v>5766</v>
      </c>
      <c r="C26" s="89" t="s">
        <v>5766</v>
      </c>
      <c r="D26" s="89" t="s">
        <v>5767</v>
      </c>
      <c r="E26" s="89" t="s">
        <v>5768</v>
      </c>
      <c r="F26" s="87" t="s">
        <v>5453</v>
      </c>
      <c r="G26" s="88">
        <v>28655</v>
      </c>
      <c r="H26" s="89" t="s">
        <v>5769</v>
      </c>
      <c r="I26" s="89" t="s">
        <v>5770</v>
      </c>
      <c r="L26" s="91" t="s">
        <v>5696</v>
      </c>
      <c r="M26" s="91"/>
      <c r="N26" s="91" t="s">
        <v>5697</v>
      </c>
      <c r="O26" s="89" t="s">
        <v>5668</v>
      </c>
      <c r="P26" s="90" t="s">
        <v>5797</v>
      </c>
    </row>
    <row r="27" spans="1:16" ht="25.5">
      <c r="A27" s="85" t="s">
        <v>5771</v>
      </c>
      <c r="B27" s="85" t="s">
        <v>5771</v>
      </c>
      <c r="C27" s="85" t="s">
        <v>5739</v>
      </c>
      <c r="D27" s="85" t="s">
        <v>5772</v>
      </c>
      <c r="E27" s="85" t="s">
        <v>5773</v>
      </c>
      <c r="F27" s="86" t="s">
        <v>5458</v>
      </c>
      <c r="G27" s="95" t="s">
        <v>5774</v>
      </c>
      <c r="H27" s="85" t="s">
        <v>5775</v>
      </c>
      <c r="I27" s="85" t="s">
        <v>5776</v>
      </c>
      <c r="J27" s="40" t="s">
        <v>5777</v>
      </c>
      <c r="K27" s="39" t="s">
        <v>5778</v>
      </c>
      <c r="L27" s="91" t="s">
        <v>5637</v>
      </c>
      <c r="M27" s="91" t="s">
        <v>6080</v>
      </c>
      <c r="N27" s="91" t="s">
        <v>5654</v>
      </c>
      <c r="O27" s="89" t="s">
        <v>5779</v>
      </c>
      <c r="P27" s="90" t="s">
        <v>5797</v>
      </c>
    </row>
    <row r="28" spans="1:16">
      <c r="A28" s="89" t="s">
        <v>5781</v>
      </c>
      <c r="B28" s="89" t="s">
        <v>5780</v>
      </c>
      <c r="C28" s="89" t="s">
        <v>5780</v>
      </c>
      <c r="D28" s="89" t="s">
        <v>5782</v>
      </c>
      <c r="E28" s="89" t="s">
        <v>5780</v>
      </c>
      <c r="F28" s="87" t="s">
        <v>5783</v>
      </c>
      <c r="G28" s="88" t="s">
        <v>5784</v>
      </c>
      <c r="H28" s="89" t="s">
        <v>5785</v>
      </c>
      <c r="I28" s="89" t="s">
        <v>5786</v>
      </c>
      <c r="L28" s="91" t="s">
        <v>5696</v>
      </c>
      <c r="M28" s="91"/>
      <c r="N28" s="91" t="s">
        <v>5697</v>
      </c>
      <c r="O28" s="89" t="s">
        <v>5668</v>
      </c>
      <c r="P28" s="89" t="s">
        <v>5739</v>
      </c>
    </row>
    <row r="29" spans="1:16" ht="15">
      <c r="A29" s="89" t="s">
        <v>7777</v>
      </c>
      <c r="B29" s="89" t="s">
        <v>7778</v>
      </c>
      <c r="C29" s="89" t="s">
        <v>3911</v>
      </c>
      <c r="D29" s="89" t="s">
        <v>7779</v>
      </c>
      <c r="E29" s="89" t="s">
        <v>7780</v>
      </c>
      <c r="F29" s="87" t="s">
        <v>5451</v>
      </c>
      <c r="G29" s="88" t="s">
        <v>7781</v>
      </c>
      <c r="H29" s="89" t="s">
        <v>7782</v>
      </c>
      <c r="I29" s="89" t="s">
        <v>7783</v>
      </c>
      <c r="K29" s="51"/>
      <c r="L29" s="91">
        <v>0.35416666666666669</v>
      </c>
      <c r="M29" s="91" t="s">
        <v>6080</v>
      </c>
      <c r="N29" s="91">
        <v>0.14583333333333334</v>
      </c>
      <c r="O29" s="89" t="s">
        <v>7785</v>
      </c>
    </row>
    <row r="30" spans="1:16">
      <c r="A30" s="85" t="s">
        <v>5804</v>
      </c>
      <c r="B30" s="85" t="s">
        <v>5803</v>
      </c>
      <c r="C30" s="85"/>
      <c r="D30" s="85" t="s">
        <v>5787</v>
      </c>
      <c r="E30" s="85" t="s">
        <v>5788</v>
      </c>
      <c r="F30" s="86" t="s">
        <v>5789</v>
      </c>
      <c r="G30" s="96" t="s">
        <v>5790</v>
      </c>
      <c r="H30" s="85" t="s">
        <v>5791</v>
      </c>
      <c r="I30" s="85" t="s">
        <v>5792</v>
      </c>
      <c r="J30" s="85"/>
      <c r="K30" s="85" t="s">
        <v>5793</v>
      </c>
      <c r="L30" s="91" t="s">
        <v>5696</v>
      </c>
      <c r="M30" s="91"/>
      <c r="N30" s="91" t="s">
        <v>5697</v>
      </c>
      <c r="O30" s="89" t="s">
        <v>5668</v>
      </c>
      <c r="P30" s="89" t="s">
        <v>5623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0978A-7431-4D4F-B94E-AA4F87800892}">
  <sheetPr codeName="Sheet9">
    <tabColor theme="2" tint="-0.499984740745262"/>
  </sheetPr>
  <dimension ref="A1:B17"/>
  <sheetViews>
    <sheetView workbookViewId="0">
      <pane ySplit="1" topLeftCell="A2" activePane="bottomLeft" state="frozen"/>
      <selection activeCell="A3" sqref="A3"/>
      <selection pane="bottomLeft" activeCell="B2" sqref="B2:B17"/>
    </sheetView>
  </sheetViews>
  <sheetFormatPr defaultRowHeight="15"/>
  <cols>
    <col min="1" max="1" width="19.7109375" customWidth="1"/>
    <col min="2" max="2" width="8.7109375" style="20" bestFit="1" customWidth="1"/>
  </cols>
  <sheetData>
    <row r="1" spans="1:2" ht="30">
      <c r="A1" s="18" t="s">
        <v>1</v>
      </c>
      <c r="B1" s="19" t="s">
        <v>6096</v>
      </c>
    </row>
    <row r="2" spans="1:2">
      <c r="A2" s="27" t="s">
        <v>1714</v>
      </c>
      <c r="B2" s="136">
        <v>500</v>
      </c>
    </row>
    <row r="3" spans="1:2">
      <c r="A3" s="27" t="s">
        <v>2154</v>
      </c>
      <c r="B3" s="136">
        <v>500</v>
      </c>
    </row>
    <row r="4" spans="1:2">
      <c r="A4" s="27" t="s">
        <v>2201</v>
      </c>
      <c r="B4" s="136">
        <v>500</v>
      </c>
    </row>
    <row r="5" spans="1:2">
      <c r="A5" s="27" t="s">
        <v>2987</v>
      </c>
      <c r="B5" s="136">
        <v>500</v>
      </c>
    </row>
    <row r="6" spans="1:2">
      <c r="A6" s="27" t="s">
        <v>1874</v>
      </c>
      <c r="B6" s="136">
        <v>1000</v>
      </c>
    </row>
    <row r="7" spans="1:2">
      <c r="A7" s="27" t="s">
        <v>69</v>
      </c>
      <c r="B7" s="136">
        <v>1000</v>
      </c>
    </row>
    <row r="8" spans="1:2">
      <c r="A8" s="27" t="s">
        <v>76</v>
      </c>
      <c r="B8" s="136">
        <v>2000</v>
      </c>
    </row>
    <row r="9" spans="1:2">
      <c r="A9" s="27" t="s">
        <v>80</v>
      </c>
      <c r="B9" s="136">
        <v>1000</v>
      </c>
    </row>
    <row r="10" spans="1:2">
      <c r="A10" s="27" t="s">
        <v>1394</v>
      </c>
      <c r="B10" s="136">
        <v>500</v>
      </c>
    </row>
    <row r="11" spans="1:2">
      <c r="A11" s="27" t="s">
        <v>1456</v>
      </c>
      <c r="B11" s="136">
        <v>2071</v>
      </c>
    </row>
    <row r="12" spans="1:2">
      <c r="A12" s="27" t="s">
        <v>2545</v>
      </c>
      <c r="B12" s="136">
        <v>500</v>
      </c>
    </row>
    <row r="13" spans="1:2">
      <c r="A13" s="27" t="s">
        <v>2552</v>
      </c>
      <c r="B13" s="136">
        <v>1000</v>
      </c>
    </row>
    <row r="14" spans="1:2">
      <c r="A14" s="27" t="s">
        <v>2599</v>
      </c>
      <c r="B14" s="136">
        <v>500</v>
      </c>
    </row>
    <row r="15" spans="1:2">
      <c r="A15" s="27" t="s">
        <v>2760</v>
      </c>
      <c r="B15" s="136">
        <v>500</v>
      </c>
    </row>
    <row r="16" spans="1:2">
      <c r="A16" s="27" t="s">
        <v>1557</v>
      </c>
      <c r="B16" s="136">
        <v>500</v>
      </c>
    </row>
    <row r="17" spans="1:2">
      <c r="A17" s="27" t="s">
        <v>1725</v>
      </c>
      <c r="B17" s="136">
        <v>500</v>
      </c>
    </row>
  </sheetData>
  <sortState xmlns:xlrd2="http://schemas.microsoft.com/office/spreadsheetml/2017/richdata2" ref="A2:B79">
    <sortCondition ref="B2:B79"/>
  </sortState>
  <conditionalFormatting sqref="A18:B1048576">
    <cfRule type="expression" dxfId="994" priority="23">
      <formula>$A18="Hun"</formula>
    </cfRule>
  </conditionalFormatting>
  <conditionalFormatting sqref="A18:B1048576">
    <cfRule type="expression" dxfId="993" priority="22">
      <formula>$U18="X"</formula>
    </cfRule>
  </conditionalFormatting>
  <conditionalFormatting sqref="A64:A78 A80:A1048559 A18:A61">
    <cfRule type="expression" dxfId="992" priority="21">
      <formula>$H18&lt;&gt;$H19</formula>
    </cfRule>
  </conditionalFormatting>
  <conditionalFormatting sqref="A80:B1048559 A64:B78 A18:B61">
    <cfRule type="expression" dxfId="991" priority="19">
      <formula>$G18="X"</formula>
    </cfRule>
    <cfRule type="expression" dxfId="990" priority="20">
      <formula>$R18&lt;&gt;$R19</formula>
    </cfRule>
  </conditionalFormatting>
  <conditionalFormatting sqref="A1048573:A1048576">
    <cfRule type="expression" dxfId="989" priority="24">
      <formula>#REF!&lt;&gt;$H12</formula>
    </cfRule>
  </conditionalFormatting>
  <conditionalFormatting sqref="A62:A63">
    <cfRule type="expression" dxfId="988" priority="25">
      <formula>$H62&lt;&gt;$H64</formula>
    </cfRule>
  </conditionalFormatting>
  <conditionalFormatting sqref="A1048573:B1048576">
    <cfRule type="expression" dxfId="987" priority="26">
      <formula>#REF!="X"</formula>
    </cfRule>
    <cfRule type="expression" dxfId="986" priority="27">
      <formula>#REF!&lt;&gt;$R12</formula>
    </cfRule>
  </conditionalFormatting>
  <conditionalFormatting sqref="A62:A63">
    <cfRule type="expression" dxfId="985" priority="28">
      <formula>$G62="X"</formula>
    </cfRule>
    <cfRule type="expression" dxfId="984" priority="29">
      <formula>$R62&lt;&gt;$R64</formula>
    </cfRule>
  </conditionalFormatting>
  <conditionalFormatting sqref="B18:B1048576">
    <cfRule type="expression" dxfId="983" priority="10">
      <formula>AND($I18&lt;&gt;"",$A18=$L18)</formula>
    </cfRule>
  </conditionalFormatting>
  <conditionalFormatting sqref="B62:B63">
    <cfRule type="expression" dxfId="982" priority="17">
      <formula>$G62="X"</formula>
    </cfRule>
    <cfRule type="expression" dxfId="981" priority="18">
      <formula>$R62&lt;&gt;$R64</formula>
    </cfRule>
  </conditionalFormatting>
  <conditionalFormatting sqref="A1048573:A1048576">
    <cfRule type="expression" dxfId="980" priority="946">
      <formula>$H1048573&lt;&gt;$H12</formula>
    </cfRule>
  </conditionalFormatting>
  <conditionalFormatting sqref="A79">
    <cfRule type="expression" dxfId="979" priority="948">
      <formula>$H79&lt;&gt;#REF!</formula>
    </cfRule>
  </conditionalFormatting>
  <conditionalFormatting sqref="A1048573:B1048576">
    <cfRule type="expression" dxfId="978" priority="952">
      <formula>$G1048573="X"</formula>
    </cfRule>
    <cfRule type="expression" dxfId="977" priority="953">
      <formula>$R1048573&lt;&gt;$R12</formula>
    </cfRule>
  </conditionalFormatting>
  <conditionalFormatting sqref="A79:B79">
    <cfRule type="expression" dxfId="976" priority="956">
      <formula>$G79="X"</formula>
    </cfRule>
    <cfRule type="expression" dxfId="975" priority="957">
      <formula>$R79&lt;&gt;#REF!</formula>
    </cfRule>
  </conditionalFormatting>
  <conditionalFormatting sqref="A1048560:A1048572">
    <cfRule type="expression" dxfId="974" priority="966">
      <formula>#REF!&lt;&gt;$H1</formula>
    </cfRule>
  </conditionalFormatting>
  <conditionalFormatting sqref="A1048560:B1048572">
    <cfRule type="expression" dxfId="973" priority="969">
      <formula>#REF!="X"</formula>
    </cfRule>
    <cfRule type="expression" dxfId="972" priority="970">
      <formula>#REF!&lt;&gt;$R1</formula>
    </cfRule>
  </conditionalFormatting>
  <conditionalFormatting sqref="A1048560:A1048572">
    <cfRule type="expression" dxfId="971" priority="980">
      <formula>$H1048560&lt;&gt;$H1</formula>
    </cfRule>
  </conditionalFormatting>
  <conditionalFormatting sqref="A1048560:B1048572">
    <cfRule type="expression" dxfId="970" priority="983">
      <formula>$G1048560="X"</formula>
    </cfRule>
    <cfRule type="expression" dxfId="969" priority="984">
      <formula>$R1048560&lt;&gt;$R1</formula>
    </cfRule>
  </conditionalFormatting>
  <conditionalFormatting sqref="A2:A17">
    <cfRule type="expression" dxfId="968" priority="6">
      <formula>$R2="X"</formula>
    </cfRule>
    <cfRule type="expression" dxfId="967" priority="7">
      <formula>$S2&lt;&gt;$S3</formula>
    </cfRule>
    <cfRule type="expression" dxfId="966" priority="8">
      <formula>AND($B2&lt;&gt;"",$Q2="xx")</formula>
    </cfRule>
    <cfRule type="expression" dxfId="965" priority="9">
      <formula>$Q2="X"</formula>
    </cfRule>
  </conditionalFormatting>
  <conditionalFormatting sqref="B2:B17">
    <cfRule type="expression" dxfId="964" priority="5">
      <formula>AND($B2&lt;&gt;"",$C2&lt;100)</formula>
    </cfRule>
  </conditionalFormatting>
  <conditionalFormatting sqref="B2:B17">
    <cfRule type="expression" dxfId="963" priority="1">
      <formula>$R2="X"</formula>
    </cfRule>
    <cfRule type="expression" dxfId="962" priority="2">
      <formula>$S2&lt;&gt;$S3</formula>
    </cfRule>
    <cfRule type="expression" dxfId="961" priority="3">
      <formula>AND($B2&lt;&gt;"",$Q2="xx")</formula>
    </cfRule>
    <cfRule type="expression" dxfId="960" priority="4">
      <formula>$Q2="X"</formula>
    </cfRule>
  </conditionalFormatting>
  <dataValidations count="1">
    <dataValidation type="whole" errorStyle="warning" operator="greaterThan" allowBlank="1" showInputMessage="1" showErrorMessage="1" sqref="B33" xr:uid="{8A5F6035-F7A5-400B-9948-5BDF5B656E9F}">
      <formula1>0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C4FA4-FD16-48ED-9732-DA8D641E2816}">
  <sheetPr codeName="Sheet10">
    <tabColor theme="2" tint="-0.499984740745262"/>
  </sheetPr>
  <dimension ref="A1:H13"/>
  <sheetViews>
    <sheetView workbookViewId="0">
      <selection activeCell="A3" sqref="A3"/>
    </sheetView>
  </sheetViews>
  <sheetFormatPr defaultRowHeight="15"/>
  <sheetData>
    <row r="1" spans="1:8" ht="30">
      <c r="A1" s="1" t="s">
        <v>6409</v>
      </c>
      <c r="B1" s="1" t="s">
        <v>3860</v>
      </c>
      <c r="C1" s="1">
        <v>7016</v>
      </c>
      <c r="D1" s="1"/>
      <c r="E1" s="1">
        <v>500</v>
      </c>
      <c r="F1" s="187">
        <v>44912</v>
      </c>
      <c r="G1" s="1" t="s">
        <v>3790</v>
      </c>
      <c r="H1" s="1" t="s">
        <v>7633</v>
      </c>
    </row>
    <row r="2" spans="1:8" ht="30">
      <c r="A2" s="1" t="s">
        <v>6410</v>
      </c>
      <c r="B2" s="1" t="s">
        <v>575</v>
      </c>
      <c r="C2" s="1" t="s">
        <v>6417</v>
      </c>
      <c r="D2" s="1">
        <v>665</v>
      </c>
      <c r="E2" s="1">
        <v>500</v>
      </c>
      <c r="F2" s="187">
        <v>44910</v>
      </c>
      <c r="G2" s="1" t="s">
        <v>7633</v>
      </c>
      <c r="H2" s="1" t="s">
        <v>7633</v>
      </c>
    </row>
    <row r="3" spans="1:8" ht="30">
      <c r="A3" s="1" t="s">
        <v>6411</v>
      </c>
      <c r="B3" s="1" t="s">
        <v>1969</v>
      </c>
      <c r="C3" s="1">
        <v>6937</v>
      </c>
      <c r="D3" s="1"/>
      <c r="E3" s="1">
        <v>1000</v>
      </c>
      <c r="F3" s="187">
        <v>44910</v>
      </c>
      <c r="G3" s="1" t="s">
        <v>3790</v>
      </c>
      <c r="H3" s="1" t="s">
        <v>7633</v>
      </c>
    </row>
    <row r="4" spans="1:8" ht="45">
      <c r="A4" s="1" t="s">
        <v>6412</v>
      </c>
      <c r="B4" s="1" t="s">
        <v>2416</v>
      </c>
      <c r="C4" s="1">
        <v>7038</v>
      </c>
      <c r="D4" s="1">
        <v>656</v>
      </c>
      <c r="E4" s="1"/>
      <c r="F4" s="187">
        <v>44910</v>
      </c>
      <c r="G4" s="1" t="s">
        <v>7633</v>
      </c>
      <c r="H4" s="1" t="s">
        <v>3790</v>
      </c>
    </row>
    <row r="5" spans="1:8" ht="45">
      <c r="A5" s="1" t="s">
        <v>6413</v>
      </c>
      <c r="B5" s="1" t="s">
        <v>2971</v>
      </c>
      <c r="C5" s="1">
        <v>6865</v>
      </c>
      <c r="D5" s="1"/>
      <c r="E5" s="1">
        <v>500</v>
      </c>
      <c r="F5" s="187">
        <v>44910</v>
      </c>
      <c r="G5" s="1" t="s">
        <v>3790</v>
      </c>
      <c r="H5" s="1" t="s">
        <v>7633</v>
      </c>
    </row>
    <row r="6" spans="1:8" ht="30">
      <c r="A6" s="1" t="s">
        <v>6414</v>
      </c>
      <c r="B6" s="1" t="s">
        <v>3124</v>
      </c>
      <c r="C6" s="1">
        <v>7065</v>
      </c>
      <c r="D6" s="1"/>
      <c r="E6" s="1">
        <v>600</v>
      </c>
      <c r="F6" s="187">
        <v>44910</v>
      </c>
      <c r="G6" s="1" t="s">
        <v>3790</v>
      </c>
      <c r="H6" s="1" t="s">
        <v>7633</v>
      </c>
    </row>
    <row r="7" spans="1:8" ht="45">
      <c r="A7" s="1" t="s">
        <v>6415</v>
      </c>
      <c r="B7" s="1" t="s">
        <v>3163</v>
      </c>
      <c r="C7" s="1">
        <v>7077</v>
      </c>
      <c r="D7" s="1"/>
      <c r="E7" s="1">
        <v>4000</v>
      </c>
      <c r="F7" s="187">
        <v>44910</v>
      </c>
      <c r="G7" s="1" t="s">
        <v>3790</v>
      </c>
      <c r="H7" s="1" t="s">
        <v>7633</v>
      </c>
    </row>
    <row r="8" spans="1:8" ht="45">
      <c r="A8" s="1" t="s">
        <v>6416</v>
      </c>
      <c r="B8" s="1" t="s">
        <v>581</v>
      </c>
      <c r="C8" s="1">
        <v>7056</v>
      </c>
      <c r="D8" s="1">
        <v>578</v>
      </c>
      <c r="E8" s="1"/>
      <c r="F8" s="187">
        <v>44910</v>
      </c>
      <c r="G8" s="1" t="s">
        <v>7633</v>
      </c>
      <c r="H8" s="1" t="s">
        <v>3790</v>
      </c>
    </row>
    <row r="9" spans="1:8" ht="30">
      <c r="A9" s="1" t="s">
        <v>6418</v>
      </c>
      <c r="B9" s="1" t="s">
        <v>1434</v>
      </c>
      <c r="C9" s="1">
        <v>4003</v>
      </c>
      <c r="D9" s="1"/>
      <c r="E9" s="1">
        <v>906</v>
      </c>
      <c r="F9" s="187">
        <v>44917</v>
      </c>
      <c r="G9" s="1" t="s">
        <v>3790</v>
      </c>
      <c r="H9" s="1" t="s">
        <v>7633</v>
      </c>
    </row>
    <row r="10" spans="1:8" ht="30">
      <c r="A10" s="1" t="s">
        <v>6419</v>
      </c>
      <c r="B10" s="1" t="s">
        <v>1831</v>
      </c>
      <c r="C10" s="1" t="s">
        <v>6420</v>
      </c>
      <c r="D10" s="1">
        <v>500</v>
      </c>
      <c r="E10" s="1">
        <v>1000</v>
      </c>
      <c r="F10" s="187">
        <v>44917</v>
      </c>
      <c r="G10" s="1" t="s">
        <v>7633</v>
      </c>
      <c r="H10" s="1" t="s">
        <v>7633</v>
      </c>
    </row>
    <row r="11" spans="1:8" ht="60">
      <c r="A11" s="1" t="s">
        <v>6421</v>
      </c>
      <c r="B11" s="1" t="s">
        <v>6422</v>
      </c>
      <c r="C11" s="1">
        <v>7040</v>
      </c>
      <c r="D11" s="1">
        <v>500</v>
      </c>
      <c r="E11" s="1"/>
      <c r="F11" s="187">
        <v>44917</v>
      </c>
      <c r="G11" s="1" t="s">
        <v>7633</v>
      </c>
      <c r="H11" s="1" t="s">
        <v>3790</v>
      </c>
    </row>
    <row r="12" spans="1:8" ht="30">
      <c r="A12" s="1" t="s">
        <v>6423</v>
      </c>
      <c r="B12" s="1" t="s">
        <v>1045</v>
      </c>
      <c r="C12" s="1">
        <v>7141</v>
      </c>
      <c r="D12" s="1">
        <v>2000</v>
      </c>
      <c r="E12" s="1"/>
      <c r="F12" s="187">
        <v>44912</v>
      </c>
      <c r="G12" s="1" t="s">
        <v>7633</v>
      </c>
      <c r="H12" s="1" t="s">
        <v>3790</v>
      </c>
    </row>
    <row r="13" spans="1:8" ht="60">
      <c r="A13" s="1" t="s">
        <v>6424</v>
      </c>
      <c r="B13" s="1" t="s">
        <v>1057</v>
      </c>
      <c r="C13" s="1">
        <v>7141</v>
      </c>
      <c r="D13" s="1"/>
      <c r="E13" s="1">
        <v>500</v>
      </c>
      <c r="F13" s="187">
        <v>44912</v>
      </c>
      <c r="G13" s="1" t="s">
        <v>3790</v>
      </c>
      <c r="H13" s="1" t="s">
        <v>7633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CD3DA-393D-4DE5-8AD7-8C01BF519190}">
  <sheetPr codeName="Sheet5">
    <tabColor theme="4" tint="0.39997558519241921"/>
    <pageSetUpPr fitToPage="1"/>
  </sheetPr>
  <dimension ref="A1:AK1836"/>
  <sheetViews>
    <sheetView zoomScale="106" zoomScaleNormal="106" workbookViewId="0">
      <pane xSplit="1" ySplit="3" topLeftCell="B1019" activePane="bottomRight" state="frozen"/>
      <selection pane="topRight" activeCell="B1" sqref="B1"/>
      <selection pane="bottomLeft" activeCell="A4" sqref="A4"/>
      <selection pane="bottomRight" activeCell="A1035" sqref="A1035"/>
    </sheetView>
  </sheetViews>
  <sheetFormatPr defaultRowHeight="15"/>
  <sheetData>
    <row r="1" spans="1:37">
      <c r="K1" t="s">
        <v>5</v>
      </c>
      <c r="AF1" t="s">
        <v>6</v>
      </c>
      <c r="AI1" t="s">
        <v>7</v>
      </c>
      <c r="AJ1" t="s">
        <v>8</v>
      </c>
    </row>
    <row r="2" spans="1:37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30</v>
      </c>
      <c r="T2" t="s">
        <v>31</v>
      </c>
      <c r="U2" t="s">
        <v>32</v>
      </c>
      <c r="V2" t="s">
        <v>33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34</v>
      </c>
      <c r="AF2" t="s">
        <v>35</v>
      </c>
      <c r="AI2" t="s">
        <v>36</v>
      </c>
      <c r="AJ2" t="s">
        <v>37</v>
      </c>
      <c r="AK2" t="s">
        <v>4628</v>
      </c>
    </row>
    <row r="3" spans="1:37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6109</v>
      </c>
    </row>
    <row r="4" spans="1:37">
      <c r="A4" t="s">
        <v>56</v>
      </c>
      <c r="B4" t="s">
        <v>57</v>
      </c>
      <c r="C4" t="s">
        <v>58</v>
      </c>
      <c r="D4" t="s">
        <v>59</v>
      </c>
      <c r="E4">
        <v>14</v>
      </c>
      <c r="F4">
        <v>0.7</v>
      </c>
      <c r="G4">
        <v>149</v>
      </c>
      <c r="H4">
        <v>163</v>
      </c>
      <c r="I4">
        <v>153</v>
      </c>
      <c r="J4">
        <v>142</v>
      </c>
      <c r="K4">
        <v>559</v>
      </c>
      <c r="L4">
        <v>265</v>
      </c>
      <c r="M4">
        <v>0</v>
      </c>
      <c r="N4">
        <v>125</v>
      </c>
      <c r="O4">
        <v>0</v>
      </c>
      <c r="P4">
        <v>0</v>
      </c>
      <c r="Q4">
        <v>434</v>
      </c>
      <c r="R4">
        <v>0</v>
      </c>
      <c r="S4">
        <v>304</v>
      </c>
      <c r="T4">
        <v>0</v>
      </c>
      <c r="U4">
        <v>184</v>
      </c>
      <c r="V4">
        <v>203</v>
      </c>
      <c r="W4">
        <v>0</v>
      </c>
      <c r="X4">
        <v>227</v>
      </c>
      <c r="Y4">
        <v>213</v>
      </c>
      <c r="Z4">
        <v>0</v>
      </c>
      <c r="AA4">
        <v>138</v>
      </c>
      <c r="AB4">
        <v>133</v>
      </c>
      <c r="AC4">
        <v>139</v>
      </c>
      <c r="AD4">
        <v>157</v>
      </c>
      <c r="AE4">
        <v>1698</v>
      </c>
      <c r="AF4">
        <v>3675</v>
      </c>
      <c r="AJ4">
        <v>1.89</v>
      </c>
      <c r="AK4" t="str">
        <f>MID(A4,4,10)</f>
        <v>00002-3700</v>
      </c>
    </row>
    <row r="5" spans="1:37">
      <c r="A5" t="s">
        <v>60</v>
      </c>
      <c r="B5" t="s">
        <v>57</v>
      </c>
      <c r="C5" t="s">
        <v>58</v>
      </c>
      <c r="D5" t="s">
        <v>59</v>
      </c>
      <c r="E5">
        <v>14</v>
      </c>
      <c r="F5">
        <v>0.3</v>
      </c>
      <c r="G5">
        <v>936</v>
      </c>
      <c r="H5">
        <v>659</v>
      </c>
      <c r="I5">
        <v>752</v>
      </c>
      <c r="J5">
        <v>643</v>
      </c>
      <c r="K5">
        <v>1668</v>
      </c>
      <c r="L5">
        <v>467</v>
      </c>
      <c r="M5">
        <v>0</v>
      </c>
      <c r="N5">
        <v>780</v>
      </c>
      <c r="O5">
        <v>0</v>
      </c>
      <c r="P5">
        <v>0</v>
      </c>
      <c r="Q5">
        <v>888</v>
      </c>
      <c r="R5">
        <v>0</v>
      </c>
      <c r="S5">
        <v>477</v>
      </c>
      <c r="T5">
        <v>618</v>
      </c>
      <c r="U5">
        <v>882</v>
      </c>
      <c r="V5">
        <v>1008</v>
      </c>
      <c r="W5">
        <v>698</v>
      </c>
      <c r="X5">
        <v>830</v>
      </c>
      <c r="Y5">
        <v>860</v>
      </c>
      <c r="Z5">
        <v>741</v>
      </c>
      <c r="AA5">
        <v>361</v>
      </c>
      <c r="AB5">
        <v>367</v>
      </c>
      <c r="AC5">
        <v>516</v>
      </c>
      <c r="AD5">
        <v>358</v>
      </c>
      <c r="AE5">
        <v>7716</v>
      </c>
      <c r="AF5">
        <v>5288</v>
      </c>
      <c r="AJ5">
        <v>2.84</v>
      </c>
      <c r="AK5" t="str">
        <f t="shared" ref="AK5:AK68" si="0">MID(A5,4,10)</f>
        <v>00002-4300</v>
      </c>
    </row>
    <row r="6" spans="1:37">
      <c r="A6" t="s">
        <v>61</v>
      </c>
      <c r="B6" t="s">
        <v>62</v>
      </c>
      <c r="C6" t="s">
        <v>58</v>
      </c>
      <c r="D6" t="s">
        <v>63</v>
      </c>
      <c r="E6">
        <v>14</v>
      </c>
      <c r="F6">
        <v>0</v>
      </c>
      <c r="G6">
        <v>0</v>
      </c>
      <c r="H6">
        <v>3966</v>
      </c>
      <c r="I6">
        <v>5819</v>
      </c>
      <c r="J6">
        <v>2910</v>
      </c>
      <c r="K6">
        <v>0</v>
      </c>
      <c r="L6">
        <v>12553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2559</v>
      </c>
      <c r="T6">
        <v>0</v>
      </c>
      <c r="U6">
        <v>9340</v>
      </c>
      <c r="V6">
        <v>10872</v>
      </c>
      <c r="W6">
        <v>10994</v>
      </c>
      <c r="X6">
        <v>1150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34915</v>
      </c>
      <c r="AF6">
        <v>0</v>
      </c>
      <c r="AJ6">
        <v>0</v>
      </c>
      <c r="AK6" t="str">
        <f t="shared" si="0"/>
        <v>00002-4975</v>
      </c>
    </row>
    <row r="7" spans="1:37">
      <c r="A7" t="s">
        <v>64</v>
      </c>
      <c r="B7" t="s">
        <v>57</v>
      </c>
      <c r="C7" t="s">
        <v>58</v>
      </c>
      <c r="D7" t="s">
        <v>59</v>
      </c>
      <c r="E7">
        <v>14</v>
      </c>
      <c r="F7">
        <v>0.4</v>
      </c>
      <c r="G7">
        <v>5590</v>
      </c>
      <c r="H7">
        <v>5581</v>
      </c>
      <c r="I7">
        <v>5817</v>
      </c>
      <c r="J7">
        <v>6165</v>
      </c>
      <c r="K7">
        <v>14431</v>
      </c>
      <c r="L7">
        <v>2570</v>
      </c>
      <c r="M7">
        <v>9</v>
      </c>
      <c r="N7">
        <v>4659</v>
      </c>
      <c r="O7">
        <v>0</v>
      </c>
      <c r="P7">
        <v>0</v>
      </c>
      <c r="Q7">
        <v>9772</v>
      </c>
      <c r="R7">
        <v>65</v>
      </c>
      <c r="S7">
        <v>6717</v>
      </c>
      <c r="T7">
        <v>5559</v>
      </c>
      <c r="U7">
        <v>4466</v>
      </c>
      <c r="V7">
        <v>6282</v>
      </c>
      <c r="W7">
        <v>5544</v>
      </c>
      <c r="X7">
        <v>6333</v>
      </c>
      <c r="Y7">
        <v>6945</v>
      </c>
      <c r="Z7">
        <v>5879</v>
      </c>
      <c r="AA7">
        <v>6261</v>
      </c>
      <c r="AB7">
        <v>7974</v>
      </c>
      <c r="AC7">
        <v>5182</v>
      </c>
      <c r="AD7">
        <v>6835</v>
      </c>
      <c r="AE7">
        <v>73977</v>
      </c>
      <c r="AF7">
        <v>82304</v>
      </c>
      <c r="AJ7">
        <v>2.84</v>
      </c>
      <c r="AK7" t="str">
        <f t="shared" si="0"/>
        <v>00002-5000</v>
      </c>
    </row>
    <row r="8" spans="1:37">
      <c r="A8" t="s">
        <v>65</v>
      </c>
      <c r="B8" t="s">
        <v>57</v>
      </c>
      <c r="C8" t="s">
        <v>58</v>
      </c>
      <c r="D8" t="s">
        <v>59</v>
      </c>
      <c r="E8">
        <v>14</v>
      </c>
      <c r="F8">
        <v>0.3</v>
      </c>
      <c r="G8">
        <v>4544</v>
      </c>
      <c r="H8">
        <v>6813</v>
      </c>
      <c r="I8">
        <v>6311</v>
      </c>
      <c r="J8">
        <v>6827</v>
      </c>
      <c r="K8">
        <v>12662</v>
      </c>
      <c r="L8">
        <v>5918</v>
      </c>
      <c r="M8">
        <v>7</v>
      </c>
      <c r="N8">
        <v>3787</v>
      </c>
      <c r="O8">
        <v>0</v>
      </c>
      <c r="P8">
        <v>0</v>
      </c>
      <c r="Q8">
        <v>8875</v>
      </c>
      <c r="R8">
        <v>1034</v>
      </c>
      <c r="S8">
        <v>10368</v>
      </c>
      <c r="T8">
        <v>4240</v>
      </c>
      <c r="U8">
        <v>5830</v>
      </c>
      <c r="V8">
        <v>6789</v>
      </c>
      <c r="W8">
        <v>5654</v>
      </c>
      <c r="X8">
        <v>4983</v>
      </c>
      <c r="Y8">
        <v>8656</v>
      </c>
      <c r="Z8">
        <v>7777</v>
      </c>
      <c r="AA8">
        <v>5492</v>
      </c>
      <c r="AB8">
        <v>8431</v>
      </c>
      <c r="AC8">
        <v>7363</v>
      </c>
      <c r="AD8">
        <v>6337</v>
      </c>
      <c r="AE8">
        <v>81920</v>
      </c>
      <c r="AF8">
        <v>71129</v>
      </c>
      <c r="AJ8">
        <v>2.84</v>
      </c>
      <c r="AK8" t="str">
        <f t="shared" si="0"/>
        <v>00002-6200</v>
      </c>
    </row>
    <row r="9" spans="1:37">
      <c r="A9" t="s">
        <v>66</v>
      </c>
      <c r="B9" t="s">
        <v>67</v>
      </c>
      <c r="C9" t="s">
        <v>68</v>
      </c>
      <c r="E9">
        <v>17</v>
      </c>
      <c r="F9">
        <v>2.2000000000000002</v>
      </c>
      <c r="G9">
        <v>98</v>
      </c>
      <c r="H9">
        <v>82</v>
      </c>
      <c r="I9">
        <v>91</v>
      </c>
      <c r="J9">
        <v>94</v>
      </c>
      <c r="K9">
        <v>799</v>
      </c>
      <c r="L9">
        <v>227</v>
      </c>
      <c r="M9">
        <v>0</v>
      </c>
      <c r="N9">
        <v>81</v>
      </c>
      <c r="O9">
        <v>0</v>
      </c>
      <c r="P9">
        <v>0</v>
      </c>
      <c r="Q9">
        <v>718</v>
      </c>
      <c r="R9">
        <v>0</v>
      </c>
      <c r="S9">
        <v>246</v>
      </c>
      <c r="T9">
        <v>0</v>
      </c>
      <c r="U9">
        <v>0</v>
      </c>
      <c r="V9">
        <v>0</v>
      </c>
      <c r="W9">
        <v>0</v>
      </c>
      <c r="X9">
        <v>298</v>
      </c>
      <c r="Y9">
        <v>126</v>
      </c>
      <c r="Z9">
        <v>0</v>
      </c>
      <c r="AA9">
        <v>309</v>
      </c>
      <c r="AB9">
        <v>0</v>
      </c>
      <c r="AC9">
        <v>0</v>
      </c>
      <c r="AD9">
        <v>149</v>
      </c>
      <c r="AE9">
        <v>1128</v>
      </c>
      <c r="AF9">
        <v>2007</v>
      </c>
      <c r="AJ9">
        <v>4.07</v>
      </c>
      <c r="AK9" t="str">
        <f t="shared" si="0"/>
        <v>00007-3700</v>
      </c>
    </row>
    <row r="10" spans="1:37">
      <c r="A10" t="s">
        <v>69</v>
      </c>
      <c r="B10" t="s">
        <v>67</v>
      </c>
      <c r="C10" t="s">
        <v>68</v>
      </c>
      <c r="E10">
        <v>17</v>
      </c>
      <c r="F10">
        <v>0.1</v>
      </c>
      <c r="G10">
        <v>1937</v>
      </c>
      <c r="H10">
        <v>3442</v>
      </c>
      <c r="I10">
        <v>4176</v>
      </c>
      <c r="J10">
        <v>3767</v>
      </c>
      <c r="K10">
        <v>2676</v>
      </c>
      <c r="L10">
        <v>6775</v>
      </c>
      <c r="M10">
        <v>0</v>
      </c>
      <c r="N10">
        <v>1614</v>
      </c>
      <c r="O10">
        <v>0</v>
      </c>
      <c r="P10">
        <v>0</v>
      </c>
      <c r="Q10">
        <v>1062</v>
      </c>
      <c r="R10">
        <v>0</v>
      </c>
      <c r="S10">
        <v>5581</v>
      </c>
      <c r="T10">
        <v>2620</v>
      </c>
      <c r="U10">
        <v>2126</v>
      </c>
      <c r="V10">
        <v>5730</v>
      </c>
      <c r="W10">
        <v>3510</v>
      </c>
      <c r="X10">
        <v>5491</v>
      </c>
      <c r="Y10">
        <v>3913</v>
      </c>
      <c r="Z10">
        <v>2777</v>
      </c>
      <c r="AA10">
        <v>5493</v>
      </c>
      <c r="AB10">
        <v>2923</v>
      </c>
      <c r="AC10">
        <v>2045</v>
      </c>
      <c r="AD10">
        <v>2995</v>
      </c>
      <c r="AE10">
        <v>45204</v>
      </c>
      <c r="AF10">
        <v>43353</v>
      </c>
      <c r="AJ10">
        <v>4.1500000000000004</v>
      </c>
      <c r="AK10" t="str">
        <f t="shared" si="0"/>
        <v>00007-5000</v>
      </c>
    </row>
    <row r="11" spans="1:37">
      <c r="A11" t="s">
        <v>70</v>
      </c>
      <c r="B11" t="s">
        <v>67</v>
      </c>
      <c r="C11" t="s">
        <v>68</v>
      </c>
      <c r="E11">
        <v>17</v>
      </c>
      <c r="F11">
        <v>0.4</v>
      </c>
      <c r="G11">
        <v>1140</v>
      </c>
      <c r="H11">
        <v>2109</v>
      </c>
      <c r="I11">
        <v>2290</v>
      </c>
      <c r="J11">
        <v>2428</v>
      </c>
      <c r="K11">
        <v>4425</v>
      </c>
      <c r="L11">
        <v>2405</v>
      </c>
      <c r="M11">
        <v>0</v>
      </c>
      <c r="N11">
        <v>950</v>
      </c>
      <c r="O11">
        <v>0</v>
      </c>
      <c r="P11">
        <v>0</v>
      </c>
      <c r="Q11">
        <v>3475</v>
      </c>
      <c r="R11">
        <v>0</v>
      </c>
      <c r="S11">
        <v>3077</v>
      </c>
      <c r="T11">
        <v>1129</v>
      </c>
      <c r="U11">
        <v>2121</v>
      </c>
      <c r="V11">
        <v>2846</v>
      </c>
      <c r="W11">
        <v>2807</v>
      </c>
      <c r="X11">
        <v>1761</v>
      </c>
      <c r="Y11">
        <v>2984</v>
      </c>
      <c r="Z11">
        <v>2201</v>
      </c>
      <c r="AA11">
        <v>2554</v>
      </c>
      <c r="AB11">
        <v>2614</v>
      </c>
      <c r="AC11">
        <v>3064</v>
      </c>
      <c r="AD11">
        <v>1975</v>
      </c>
      <c r="AE11">
        <v>29133</v>
      </c>
      <c r="AF11">
        <v>32468</v>
      </c>
      <c r="AJ11">
        <v>4.07</v>
      </c>
      <c r="AK11" t="str">
        <f t="shared" si="0"/>
        <v>00007-6200</v>
      </c>
    </row>
    <row r="12" spans="1:37">
      <c r="A12" t="s">
        <v>71</v>
      </c>
      <c r="B12" t="s">
        <v>72</v>
      </c>
      <c r="C12" t="s">
        <v>58</v>
      </c>
      <c r="D12" t="s">
        <v>73</v>
      </c>
      <c r="E12">
        <v>22</v>
      </c>
      <c r="F12">
        <v>14.7</v>
      </c>
      <c r="G12">
        <v>187</v>
      </c>
      <c r="H12">
        <v>22</v>
      </c>
      <c r="I12">
        <v>27</v>
      </c>
      <c r="J12">
        <v>25</v>
      </c>
      <c r="K12">
        <v>1431</v>
      </c>
      <c r="L12">
        <v>58</v>
      </c>
      <c r="M12">
        <v>0</v>
      </c>
      <c r="N12">
        <v>156</v>
      </c>
      <c r="O12">
        <v>0</v>
      </c>
      <c r="P12">
        <v>0</v>
      </c>
      <c r="Q12">
        <v>1275</v>
      </c>
      <c r="R12">
        <v>0</v>
      </c>
      <c r="S12">
        <v>0</v>
      </c>
      <c r="T12">
        <v>39</v>
      </c>
      <c r="U12">
        <v>26</v>
      </c>
      <c r="V12">
        <v>64</v>
      </c>
      <c r="W12">
        <v>0</v>
      </c>
      <c r="X12">
        <v>34</v>
      </c>
      <c r="Y12">
        <v>24</v>
      </c>
      <c r="Z12">
        <v>33</v>
      </c>
      <c r="AA12">
        <v>0</v>
      </c>
      <c r="AB12">
        <v>28</v>
      </c>
      <c r="AC12">
        <v>0</v>
      </c>
      <c r="AD12">
        <v>49</v>
      </c>
      <c r="AE12">
        <v>297</v>
      </c>
      <c r="AF12">
        <v>346</v>
      </c>
      <c r="AJ12">
        <v>1.89</v>
      </c>
      <c r="AK12" t="str">
        <f t="shared" si="0"/>
        <v>00008-3700</v>
      </c>
    </row>
    <row r="13" spans="1:37">
      <c r="A13" t="s">
        <v>74</v>
      </c>
      <c r="B13" t="s">
        <v>72</v>
      </c>
      <c r="C13" t="s">
        <v>58</v>
      </c>
      <c r="D13" t="s">
        <v>73</v>
      </c>
      <c r="E13">
        <v>22</v>
      </c>
      <c r="F13">
        <v>0.1</v>
      </c>
      <c r="G13">
        <v>2345</v>
      </c>
      <c r="H13">
        <v>1303</v>
      </c>
      <c r="I13">
        <v>1238</v>
      </c>
      <c r="J13">
        <v>1257</v>
      </c>
      <c r="K13">
        <v>2565</v>
      </c>
      <c r="L13">
        <v>1050</v>
      </c>
      <c r="M13">
        <v>1</v>
      </c>
      <c r="N13">
        <v>1955</v>
      </c>
      <c r="O13">
        <v>0</v>
      </c>
      <c r="P13">
        <v>0</v>
      </c>
      <c r="Q13">
        <v>610</v>
      </c>
      <c r="R13">
        <v>0</v>
      </c>
      <c r="S13">
        <v>1601</v>
      </c>
      <c r="T13">
        <v>662</v>
      </c>
      <c r="U13">
        <v>1647</v>
      </c>
      <c r="V13">
        <v>1784</v>
      </c>
      <c r="W13">
        <v>1276</v>
      </c>
      <c r="X13">
        <v>459</v>
      </c>
      <c r="Y13">
        <v>2070</v>
      </c>
      <c r="Z13">
        <v>622</v>
      </c>
      <c r="AA13">
        <v>1592</v>
      </c>
      <c r="AB13">
        <v>1701</v>
      </c>
      <c r="AC13">
        <v>694</v>
      </c>
      <c r="AD13">
        <v>976</v>
      </c>
      <c r="AE13">
        <v>15084</v>
      </c>
      <c r="AF13">
        <v>13292</v>
      </c>
      <c r="AJ13">
        <v>2.3199999999999998</v>
      </c>
      <c r="AK13" t="str">
        <f t="shared" si="0"/>
        <v>00008-5000</v>
      </c>
    </row>
    <row r="14" spans="1:37">
      <c r="A14" t="s">
        <v>75</v>
      </c>
      <c r="B14" t="s">
        <v>72</v>
      </c>
      <c r="C14" t="s">
        <v>58</v>
      </c>
      <c r="D14" t="s">
        <v>73</v>
      </c>
      <c r="E14">
        <v>22</v>
      </c>
      <c r="F14">
        <v>0.5</v>
      </c>
      <c r="G14">
        <v>520</v>
      </c>
      <c r="H14">
        <v>292</v>
      </c>
      <c r="I14">
        <v>274</v>
      </c>
      <c r="J14">
        <v>319</v>
      </c>
      <c r="K14">
        <v>1035</v>
      </c>
      <c r="L14">
        <v>326</v>
      </c>
      <c r="M14">
        <v>0</v>
      </c>
      <c r="N14">
        <v>433</v>
      </c>
      <c r="O14">
        <v>0</v>
      </c>
      <c r="P14">
        <v>0</v>
      </c>
      <c r="Q14">
        <v>602</v>
      </c>
      <c r="R14">
        <v>0</v>
      </c>
      <c r="S14">
        <v>312</v>
      </c>
      <c r="T14">
        <v>439</v>
      </c>
      <c r="U14">
        <v>124</v>
      </c>
      <c r="V14">
        <v>355</v>
      </c>
      <c r="W14">
        <v>159</v>
      </c>
      <c r="X14">
        <v>257</v>
      </c>
      <c r="Y14">
        <v>487</v>
      </c>
      <c r="Z14">
        <v>191</v>
      </c>
      <c r="AA14">
        <v>323</v>
      </c>
      <c r="AB14">
        <v>414</v>
      </c>
      <c r="AC14">
        <v>392</v>
      </c>
      <c r="AD14">
        <v>376</v>
      </c>
      <c r="AE14">
        <v>3829</v>
      </c>
      <c r="AF14">
        <v>4156</v>
      </c>
      <c r="AJ14">
        <v>2.3199999999999998</v>
      </c>
      <c r="AK14" t="str">
        <f t="shared" si="0"/>
        <v>00008-6200</v>
      </c>
    </row>
    <row r="15" spans="1:37">
      <c r="A15" t="s">
        <v>76</v>
      </c>
      <c r="B15" t="s">
        <v>77</v>
      </c>
      <c r="C15" t="s">
        <v>68</v>
      </c>
      <c r="D15" t="s">
        <v>78</v>
      </c>
      <c r="E15">
        <v>28</v>
      </c>
      <c r="F15">
        <v>0</v>
      </c>
      <c r="G15">
        <v>2989</v>
      </c>
      <c r="H15">
        <v>1754</v>
      </c>
      <c r="I15">
        <v>2618</v>
      </c>
      <c r="J15">
        <v>2266</v>
      </c>
      <c r="K15">
        <v>2590</v>
      </c>
      <c r="L15">
        <v>1953</v>
      </c>
      <c r="M15">
        <v>434</v>
      </c>
      <c r="N15">
        <v>2491</v>
      </c>
      <c r="O15">
        <v>0</v>
      </c>
      <c r="P15">
        <v>410</v>
      </c>
      <c r="Q15">
        <v>99</v>
      </c>
      <c r="R15">
        <v>0</v>
      </c>
      <c r="S15">
        <v>1959</v>
      </c>
      <c r="T15">
        <v>1895</v>
      </c>
      <c r="U15">
        <v>1409</v>
      </c>
      <c r="V15">
        <v>5023</v>
      </c>
      <c r="W15">
        <v>3585</v>
      </c>
      <c r="X15">
        <v>1834</v>
      </c>
      <c r="Y15">
        <v>2493</v>
      </c>
      <c r="Z15">
        <v>2436</v>
      </c>
      <c r="AA15">
        <v>2370</v>
      </c>
      <c r="AB15">
        <v>1212</v>
      </c>
      <c r="AC15">
        <v>1636</v>
      </c>
      <c r="AD15">
        <v>1336</v>
      </c>
      <c r="AE15">
        <v>27188</v>
      </c>
      <c r="AF15">
        <v>20129</v>
      </c>
      <c r="AJ15">
        <v>3.94</v>
      </c>
      <c r="AK15" t="str">
        <f t="shared" si="0"/>
        <v>00009-4300</v>
      </c>
    </row>
    <row r="16" spans="1:37">
      <c r="A16" t="s">
        <v>79</v>
      </c>
      <c r="B16" t="s">
        <v>77</v>
      </c>
      <c r="C16" t="s">
        <v>68</v>
      </c>
      <c r="D16" t="s">
        <v>78</v>
      </c>
      <c r="E16">
        <v>28</v>
      </c>
      <c r="F16">
        <v>0.6</v>
      </c>
      <c r="G16">
        <v>219</v>
      </c>
      <c r="H16">
        <v>186</v>
      </c>
      <c r="I16">
        <v>224</v>
      </c>
      <c r="J16">
        <v>208</v>
      </c>
      <c r="K16">
        <v>624</v>
      </c>
      <c r="L16">
        <v>104</v>
      </c>
      <c r="M16">
        <v>0</v>
      </c>
      <c r="N16">
        <v>182</v>
      </c>
      <c r="O16">
        <v>0</v>
      </c>
      <c r="P16">
        <v>0</v>
      </c>
      <c r="Q16">
        <v>442</v>
      </c>
      <c r="R16">
        <v>0</v>
      </c>
      <c r="S16">
        <v>389</v>
      </c>
      <c r="T16">
        <v>0</v>
      </c>
      <c r="U16">
        <v>168</v>
      </c>
      <c r="V16">
        <v>286</v>
      </c>
      <c r="W16">
        <v>172</v>
      </c>
      <c r="X16">
        <v>331</v>
      </c>
      <c r="Y16">
        <v>0</v>
      </c>
      <c r="Z16">
        <v>363</v>
      </c>
      <c r="AA16">
        <v>0</v>
      </c>
      <c r="AB16">
        <v>248</v>
      </c>
      <c r="AC16">
        <v>0</v>
      </c>
      <c r="AD16">
        <v>540</v>
      </c>
      <c r="AE16">
        <v>2497</v>
      </c>
      <c r="AF16">
        <v>1441</v>
      </c>
      <c r="AJ16">
        <v>4.03</v>
      </c>
      <c r="AK16" t="str">
        <f t="shared" si="0"/>
        <v>00009-5000</v>
      </c>
    </row>
    <row r="17" spans="1:37">
      <c r="A17" t="s">
        <v>80</v>
      </c>
      <c r="B17" t="s">
        <v>77</v>
      </c>
      <c r="C17" t="s">
        <v>68</v>
      </c>
      <c r="D17" t="s">
        <v>78</v>
      </c>
      <c r="E17">
        <v>28</v>
      </c>
      <c r="F17">
        <v>0.1</v>
      </c>
      <c r="G17">
        <v>3306</v>
      </c>
      <c r="H17">
        <v>1628</v>
      </c>
      <c r="I17">
        <v>2428</v>
      </c>
      <c r="J17">
        <v>2040</v>
      </c>
      <c r="K17">
        <v>3354</v>
      </c>
      <c r="L17">
        <v>3384</v>
      </c>
      <c r="M17">
        <v>0</v>
      </c>
      <c r="N17">
        <v>2755</v>
      </c>
      <c r="O17">
        <v>0</v>
      </c>
      <c r="P17">
        <v>159</v>
      </c>
      <c r="Q17">
        <v>599</v>
      </c>
      <c r="R17">
        <v>0</v>
      </c>
      <c r="S17">
        <v>2617</v>
      </c>
      <c r="T17">
        <v>0</v>
      </c>
      <c r="U17">
        <v>2268</v>
      </c>
      <c r="V17">
        <v>2956</v>
      </c>
      <c r="W17">
        <v>4927</v>
      </c>
      <c r="X17">
        <v>1800</v>
      </c>
      <c r="Y17">
        <v>2545</v>
      </c>
      <c r="Z17">
        <v>1022</v>
      </c>
      <c r="AA17">
        <v>2674</v>
      </c>
      <c r="AB17">
        <v>1273</v>
      </c>
      <c r="AC17">
        <v>719</v>
      </c>
      <c r="AD17">
        <v>1683</v>
      </c>
      <c r="AE17">
        <v>24484</v>
      </c>
      <c r="AF17">
        <v>20234</v>
      </c>
      <c r="AJ17">
        <v>3.94</v>
      </c>
      <c r="AK17" t="str">
        <f t="shared" si="0"/>
        <v>00009-6200</v>
      </c>
    </row>
    <row r="18" spans="1:37">
      <c r="A18" t="s">
        <v>83</v>
      </c>
      <c r="B18" t="s">
        <v>82</v>
      </c>
      <c r="C18" t="s">
        <v>68</v>
      </c>
      <c r="D18" t="s">
        <v>84</v>
      </c>
      <c r="E18">
        <v>22</v>
      </c>
      <c r="F18">
        <v>0.9</v>
      </c>
      <c r="G18">
        <v>930</v>
      </c>
      <c r="H18">
        <v>716</v>
      </c>
      <c r="I18">
        <v>843</v>
      </c>
      <c r="J18">
        <v>727</v>
      </c>
      <c r="K18">
        <v>3404</v>
      </c>
      <c r="L18">
        <v>606</v>
      </c>
      <c r="M18">
        <v>0</v>
      </c>
      <c r="N18">
        <v>775</v>
      </c>
      <c r="O18">
        <v>0</v>
      </c>
      <c r="P18">
        <v>0</v>
      </c>
      <c r="Q18">
        <v>2629</v>
      </c>
      <c r="R18">
        <v>9</v>
      </c>
      <c r="S18">
        <v>684</v>
      </c>
      <c r="T18">
        <v>744</v>
      </c>
      <c r="U18">
        <v>720</v>
      </c>
      <c r="V18">
        <v>1069</v>
      </c>
      <c r="W18">
        <v>797</v>
      </c>
      <c r="X18">
        <v>1046</v>
      </c>
      <c r="Y18">
        <v>499</v>
      </c>
      <c r="Z18">
        <v>1080</v>
      </c>
      <c r="AA18">
        <v>188</v>
      </c>
      <c r="AB18">
        <v>546</v>
      </c>
      <c r="AC18">
        <v>492</v>
      </c>
      <c r="AD18">
        <v>863</v>
      </c>
      <c r="AE18">
        <v>8728</v>
      </c>
      <c r="AF18">
        <v>6360</v>
      </c>
      <c r="AJ18">
        <v>3.53</v>
      </c>
      <c r="AK18" t="str">
        <f t="shared" si="0"/>
        <v>00010-4300</v>
      </c>
    </row>
    <row r="19" spans="1:37">
      <c r="A19" t="s">
        <v>85</v>
      </c>
      <c r="B19" t="s">
        <v>82</v>
      </c>
      <c r="C19" t="s">
        <v>68</v>
      </c>
      <c r="D19" t="s">
        <v>86</v>
      </c>
      <c r="E19">
        <v>22</v>
      </c>
      <c r="F19">
        <v>1.3</v>
      </c>
      <c r="G19">
        <v>43</v>
      </c>
      <c r="H19">
        <v>193</v>
      </c>
      <c r="I19">
        <v>123</v>
      </c>
      <c r="J19">
        <v>75</v>
      </c>
      <c r="K19">
        <v>1072</v>
      </c>
      <c r="L19">
        <v>25</v>
      </c>
      <c r="M19">
        <v>0</v>
      </c>
      <c r="N19">
        <v>36</v>
      </c>
      <c r="O19">
        <v>0</v>
      </c>
      <c r="P19">
        <v>0</v>
      </c>
      <c r="Q19">
        <v>1036</v>
      </c>
      <c r="R19">
        <v>0</v>
      </c>
      <c r="S19">
        <v>33</v>
      </c>
      <c r="T19">
        <v>9</v>
      </c>
      <c r="U19">
        <v>537</v>
      </c>
      <c r="V19">
        <v>52</v>
      </c>
      <c r="W19">
        <v>73</v>
      </c>
      <c r="X19">
        <v>36</v>
      </c>
      <c r="Y19">
        <v>3</v>
      </c>
      <c r="Z19">
        <v>4</v>
      </c>
      <c r="AA19">
        <v>2</v>
      </c>
      <c r="AB19">
        <v>8</v>
      </c>
      <c r="AC19">
        <v>1</v>
      </c>
      <c r="AD19">
        <v>144</v>
      </c>
      <c r="AE19">
        <v>902</v>
      </c>
      <c r="AF19">
        <v>316</v>
      </c>
      <c r="AJ19">
        <v>2.95</v>
      </c>
      <c r="AK19" t="str">
        <f t="shared" si="0"/>
        <v>00010-5000</v>
      </c>
    </row>
    <row r="20" spans="1:37">
      <c r="A20" t="s">
        <v>87</v>
      </c>
      <c r="B20" t="s">
        <v>82</v>
      </c>
      <c r="C20" t="s">
        <v>68</v>
      </c>
      <c r="D20" t="s">
        <v>86</v>
      </c>
      <c r="E20">
        <v>22</v>
      </c>
      <c r="F20">
        <v>0.3</v>
      </c>
      <c r="G20">
        <v>661</v>
      </c>
      <c r="H20">
        <v>760</v>
      </c>
      <c r="I20">
        <v>753</v>
      </c>
      <c r="J20">
        <v>675</v>
      </c>
      <c r="K20">
        <v>1473</v>
      </c>
      <c r="L20">
        <v>728</v>
      </c>
      <c r="M20">
        <v>0</v>
      </c>
      <c r="N20">
        <v>551</v>
      </c>
      <c r="O20">
        <v>0</v>
      </c>
      <c r="P20">
        <v>0</v>
      </c>
      <c r="Q20">
        <v>922</v>
      </c>
      <c r="R20">
        <v>7</v>
      </c>
      <c r="S20">
        <v>536</v>
      </c>
      <c r="T20">
        <v>1051</v>
      </c>
      <c r="U20">
        <v>693</v>
      </c>
      <c r="V20">
        <v>750</v>
      </c>
      <c r="W20">
        <v>729</v>
      </c>
      <c r="X20">
        <v>759</v>
      </c>
      <c r="Y20">
        <v>881</v>
      </c>
      <c r="Z20">
        <v>860</v>
      </c>
      <c r="AA20">
        <v>259</v>
      </c>
      <c r="AB20">
        <v>330</v>
      </c>
      <c r="AC20">
        <v>237</v>
      </c>
      <c r="AD20">
        <v>1013</v>
      </c>
      <c r="AE20">
        <v>8098</v>
      </c>
      <c r="AF20">
        <v>4594</v>
      </c>
      <c r="AJ20">
        <v>4.45</v>
      </c>
      <c r="AK20" t="str">
        <f t="shared" si="0"/>
        <v>00010-6200</v>
      </c>
    </row>
    <row r="21" spans="1:37">
      <c r="A21" t="s">
        <v>88</v>
      </c>
      <c r="B21" t="s">
        <v>89</v>
      </c>
      <c r="C21" t="s">
        <v>58</v>
      </c>
      <c r="D21" t="s">
        <v>90</v>
      </c>
      <c r="E21">
        <v>22</v>
      </c>
      <c r="F21">
        <v>0</v>
      </c>
      <c r="G21">
        <v>0</v>
      </c>
      <c r="H21">
        <v>0</v>
      </c>
      <c r="I21">
        <v>0</v>
      </c>
      <c r="J21">
        <v>0</v>
      </c>
      <c r="K21">
        <v>2052</v>
      </c>
      <c r="L21">
        <v>0</v>
      </c>
      <c r="M21">
        <v>0</v>
      </c>
      <c r="N21">
        <v>0</v>
      </c>
      <c r="O21">
        <v>0</v>
      </c>
      <c r="P21">
        <v>0</v>
      </c>
      <c r="Q21">
        <v>2052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J21">
        <v>1.6</v>
      </c>
      <c r="AK21" t="str">
        <f t="shared" si="0"/>
        <v>00012-5000</v>
      </c>
    </row>
    <row r="22" spans="1:37">
      <c r="A22" t="s">
        <v>91</v>
      </c>
      <c r="B22" t="s">
        <v>89</v>
      </c>
      <c r="C22" t="s">
        <v>58</v>
      </c>
      <c r="D22" t="s">
        <v>90</v>
      </c>
      <c r="E22">
        <v>22</v>
      </c>
      <c r="F22">
        <v>0</v>
      </c>
      <c r="G22">
        <v>0</v>
      </c>
      <c r="H22">
        <v>0</v>
      </c>
      <c r="I22">
        <v>0</v>
      </c>
      <c r="J22">
        <v>0</v>
      </c>
      <c r="K22">
        <v>2648</v>
      </c>
      <c r="L22">
        <v>0</v>
      </c>
      <c r="M22">
        <v>0</v>
      </c>
      <c r="N22">
        <v>0</v>
      </c>
      <c r="O22">
        <v>0</v>
      </c>
      <c r="P22">
        <v>0</v>
      </c>
      <c r="Q22">
        <v>2648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J22">
        <v>1.6</v>
      </c>
      <c r="AK22" t="str">
        <f t="shared" si="0"/>
        <v>00012-6200</v>
      </c>
    </row>
    <row r="23" spans="1:37">
      <c r="A23" t="s">
        <v>92</v>
      </c>
      <c r="B23" t="s">
        <v>93</v>
      </c>
      <c r="C23" t="s">
        <v>68</v>
      </c>
      <c r="E23">
        <v>25</v>
      </c>
      <c r="F23">
        <v>0.3</v>
      </c>
      <c r="G23">
        <v>0</v>
      </c>
      <c r="H23">
        <v>972</v>
      </c>
      <c r="I23">
        <v>486</v>
      </c>
      <c r="J23">
        <v>403</v>
      </c>
      <c r="K23">
        <v>1244</v>
      </c>
      <c r="L23">
        <v>0</v>
      </c>
      <c r="M23">
        <v>0</v>
      </c>
      <c r="N23">
        <v>0</v>
      </c>
      <c r="O23">
        <v>0</v>
      </c>
      <c r="P23">
        <v>0</v>
      </c>
      <c r="Q23">
        <v>1244</v>
      </c>
      <c r="R23">
        <v>0</v>
      </c>
      <c r="S23">
        <v>0</v>
      </c>
      <c r="T23">
        <v>1206</v>
      </c>
      <c r="U23">
        <v>1710</v>
      </c>
      <c r="V23">
        <v>0</v>
      </c>
      <c r="W23">
        <v>0</v>
      </c>
      <c r="X23">
        <v>0</v>
      </c>
      <c r="Y23">
        <v>185</v>
      </c>
      <c r="Z23">
        <v>1737</v>
      </c>
      <c r="AA23">
        <v>0</v>
      </c>
      <c r="AB23">
        <v>0</v>
      </c>
      <c r="AC23">
        <v>0</v>
      </c>
      <c r="AD23">
        <v>0</v>
      </c>
      <c r="AE23">
        <v>4838</v>
      </c>
      <c r="AF23">
        <v>0</v>
      </c>
      <c r="AJ23">
        <v>5.28</v>
      </c>
      <c r="AK23" t="str">
        <f t="shared" si="0"/>
        <v>00013-3700</v>
      </c>
    </row>
    <row r="24" spans="1:37">
      <c r="A24" t="s">
        <v>94</v>
      </c>
      <c r="B24" t="s">
        <v>93</v>
      </c>
      <c r="C24" t="s">
        <v>68</v>
      </c>
      <c r="E24">
        <v>25</v>
      </c>
      <c r="F24">
        <v>0.7</v>
      </c>
      <c r="G24">
        <v>0</v>
      </c>
      <c r="H24">
        <v>337</v>
      </c>
      <c r="I24">
        <v>228</v>
      </c>
      <c r="J24">
        <v>328</v>
      </c>
      <c r="K24">
        <v>927</v>
      </c>
      <c r="L24">
        <v>0</v>
      </c>
      <c r="M24">
        <v>0</v>
      </c>
      <c r="N24">
        <v>0</v>
      </c>
      <c r="O24">
        <v>0</v>
      </c>
      <c r="P24">
        <v>0</v>
      </c>
      <c r="Q24">
        <v>927</v>
      </c>
      <c r="R24">
        <v>0</v>
      </c>
      <c r="S24">
        <v>0</v>
      </c>
      <c r="T24">
        <v>1012</v>
      </c>
      <c r="U24">
        <v>0</v>
      </c>
      <c r="V24">
        <v>0</v>
      </c>
      <c r="W24">
        <v>358</v>
      </c>
      <c r="X24">
        <v>0</v>
      </c>
      <c r="Y24">
        <v>2569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3939</v>
      </c>
      <c r="AF24">
        <v>0</v>
      </c>
      <c r="AJ24">
        <v>5.28</v>
      </c>
      <c r="AK24" t="str">
        <f t="shared" si="0"/>
        <v>00013-5000</v>
      </c>
    </row>
    <row r="25" spans="1:37">
      <c r="A25" t="s">
        <v>95</v>
      </c>
      <c r="B25" t="s">
        <v>93</v>
      </c>
      <c r="C25" t="s">
        <v>68</v>
      </c>
      <c r="E25">
        <v>25</v>
      </c>
      <c r="F25">
        <v>0.6</v>
      </c>
      <c r="G25">
        <v>0</v>
      </c>
      <c r="H25">
        <v>1157</v>
      </c>
      <c r="I25">
        <v>579</v>
      </c>
      <c r="J25">
        <v>579</v>
      </c>
      <c r="K25">
        <v>2905</v>
      </c>
      <c r="L25">
        <v>0</v>
      </c>
      <c r="M25">
        <v>0</v>
      </c>
      <c r="N25">
        <v>0</v>
      </c>
      <c r="O25">
        <v>0</v>
      </c>
      <c r="P25">
        <v>0</v>
      </c>
      <c r="Q25">
        <v>2905</v>
      </c>
      <c r="R25">
        <v>0</v>
      </c>
      <c r="S25">
        <v>0</v>
      </c>
      <c r="T25">
        <v>1425</v>
      </c>
      <c r="U25">
        <v>2046</v>
      </c>
      <c r="V25">
        <v>0</v>
      </c>
      <c r="W25">
        <v>0</v>
      </c>
      <c r="X25">
        <v>0</v>
      </c>
      <c r="Y25">
        <v>610</v>
      </c>
      <c r="Z25">
        <v>2872</v>
      </c>
      <c r="AA25">
        <v>0</v>
      </c>
      <c r="AB25">
        <v>0</v>
      </c>
      <c r="AC25">
        <v>0</v>
      </c>
      <c r="AD25">
        <v>0</v>
      </c>
      <c r="AE25">
        <v>6953</v>
      </c>
      <c r="AF25">
        <v>0</v>
      </c>
      <c r="AJ25">
        <v>5.28</v>
      </c>
      <c r="AK25" t="str">
        <f t="shared" si="0"/>
        <v>00013-6200</v>
      </c>
    </row>
    <row r="26" spans="1:37">
      <c r="A26" t="s">
        <v>96</v>
      </c>
      <c r="B26" t="s">
        <v>97</v>
      </c>
      <c r="C26" t="s">
        <v>68</v>
      </c>
      <c r="E26">
        <v>28</v>
      </c>
      <c r="F26">
        <v>0</v>
      </c>
      <c r="G26">
        <v>0</v>
      </c>
      <c r="H26">
        <v>0</v>
      </c>
      <c r="I26">
        <v>0</v>
      </c>
      <c r="J26">
        <v>0</v>
      </c>
      <c r="K26">
        <v>488</v>
      </c>
      <c r="L26">
        <v>0</v>
      </c>
      <c r="M26">
        <v>0</v>
      </c>
      <c r="N26">
        <v>0</v>
      </c>
      <c r="O26">
        <v>0</v>
      </c>
      <c r="P26">
        <v>0</v>
      </c>
      <c r="Q26">
        <v>488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J26">
        <v>4.95</v>
      </c>
      <c r="AK26" t="str">
        <f t="shared" si="0"/>
        <v>00019-5000</v>
      </c>
    </row>
    <row r="27" spans="1:37">
      <c r="A27" t="s">
        <v>98</v>
      </c>
      <c r="B27" t="s">
        <v>97</v>
      </c>
      <c r="C27" t="s">
        <v>68</v>
      </c>
      <c r="E27">
        <v>28</v>
      </c>
      <c r="F27">
        <v>0</v>
      </c>
      <c r="G27">
        <v>0</v>
      </c>
      <c r="H27">
        <v>0</v>
      </c>
      <c r="I27">
        <v>0</v>
      </c>
      <c r="J27">
        <v>0</v>
      </c>
      <c r="K27">
        <v>1041</v>
      </c>
      <c r="L27">
        <v>0</v>
      </c>
      <c r="M27">
        <v>0</v>
      </c>
      <c r="N27">
        <v>0</v>
      </c>
      <c r="O27">
        <v>0</v>
      </c>
      <c r="P27">
        <v>0</v>
      </c>
      <c r="Q27">
        <v>1041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J27">
        <v>4.95</v>
      </c>
      <c r="AK27" t="str">
        <f t="shared" si="0"/>
        <v>00019-6200</v>
      </c>
    </row>
    <row r="28" spans="1:37">
      <c r="A28" t="s">
        <v>99</v>
      </c>
      <c r="B28" t="s">
        <v>100</v>
      </c>
      <c r="C28" t="s">
        <v>101</v>
      </c>
      <c r="E28">
        <v>62</v>
      </c>
      <c r="F28">
        <v>2.4</v>
      </c>
      <c r="G28">
        <v>525</v>
      </c>
      <c r="H28">
        <v>402</v>
      </c>
      <c r="I28">
        <v>412</v>
      </c>
      <c r="J28">
        <v>348</v>
      </c>
      <c r="K28">
        <v>4228</v>
      </c>
      <c r="L28">
        <v>350</v>
      </c>
      <c r="M28">
        <v>0</v>
      </c>
      <c r="N28">
        <v>438</v>
      </c>
      <c r="O28">
        <v>0</v>
      </c>
      <c r="P28">
        <v>0</v>
      </c>
      <c r="Q28">
        <v>3790</v>
      </c>
      <c r="R28">
        <v>6</v>
      </c>
      <c r="S28">
        <v>564</v>
      </c>
      <c r="T28">
        <v>432</v>
      </c>
      <c r="U28">
        <v>211</v>
      </c>
      <c r="V28">
        <v>752</v>
      </c>
      <c r="W28">
        <v>346</v>
      </c>
      <c r="X28">
        <v>166</v>
      </c>
      <c r="Y28">
        <v>467</v>
      </c>
      <c r="Z28">
        <v>217</v>
      </c>
      <c r="AA28">
        <v>153</v>
      </c>
      <c r="AB28">
        <v>284</v>
      </c>
      <c r="AC28">
        <v>317</v>
      </c>
      <c r="AD28">
        <v>262</v>
      </c>
      <c r="AE28">
        <v>4171</v>
      </c>
      <c r="AF28">
        <v>2942</v>
      </c>
      <c r="AJ28">
        <v>3.49</v>
      </c>
      <c r="AK28" t="str">
        <f t="shared" si="0"/>
        <v>00020-5000</v>
      </c>
    </row>
    <row r="29" spans="1:37">
      <c r="A29" t="s">
        <v>102</v>
      </c>
      <c r="B29" t="s">
        <v>100</v>
      </c>
      <c r="C29" t="s">
        <v>101</v>
      </c>
      <c r="E29">
        <v>62</v>
      </c>
      <c r="F29">
        <v>0.5</v>
      </c>
      <c r="G29">
        <v>244</v>
      </c>
      <c r="H29">
        <v>202</v>
      </c>
      <c r="I29">
        <v>229</v>
      </c>
      <c r="J29">
        <v>166</v>
      </c>
      <c r="K29">
        <v>583</v>
      </c>
      <c r="L29">
        <v>510</v>
      </c>
      <c r="M29">
        <v>0</v>
      </c>
      <c r="N29">
        <v>204</v>
      </c>
      <c r="O29">
        <v>0</v>
      </c>
      <c r="P29">
        <v>0</v>
      </c>
      <c r="Q29">
        <v>379</v>
      </c>
      <c r="R29">
        <v>9</v>
      </c>
      <c r="S29">
        <v>304</v>
      </c>
      <c r="T29">
        <v>243</v>
      </c>
      <c r="U29">
        <v>59</v>
      </c>
      <c r="V29">
        <v>150</v>
      </c>
      <c r="W29">
        <v>177</v>
      </c>
      <c r="X29">
        <v>440</v>
      </c>
      <c r="Y29">
        <v>141</v>
      </c>
      <c r="Z29">
        <v>134</v>
      </c>
      <c r="AA29">
        <v>71</v>
      </c>
      <c r="AB29">
        <v>139</v>
      </c>
      <c r="AC29">
        <v>104</v>
      </c>
      <c r="AD29">
        <v>35</v>
      </c>
      <c r="AE29">
        <v>1997</v>
      </c>
      <c r="AF29">
        <v>2712</v>
      </c>
      <c r="AJ29">
        <v>3.49</v>
      </c>
      <c r="AK29" t="str">
        <f t="shared" si="0"/>
        <v>00020-6200</v>
      </c>
    </row>
    <row r="30" spans="1:37">
      <c r="A30" t="s">
        <v>103</v>
      </c>
      <c r="B30" t="s">
        <v>104</v>
      </c>
      <c r="C30" t="s">
        <v>68</v>
      </c>
      <c r="D30" t="s">
        <v>105</v>
      </c>
      <c r="E30">
        <v>20</v>
      </c>
      <c r="F30">
        <v>0</v>
      </c>
      <c r="G30">
        <v>3</v>
      </c>
      <c r="H30">
        <v>0</v>
      </c>
      <c r="I30">
        <v>9</v>
      </c>
      <c r="J30">
        <v>14</v>
      </c>
      <c r="K30">
        <v>0</v>
      </c>
      <c r="L30">
        <v>13</v>
      </c>
      <c r="M30">
        <v>0</v>
      </c>
      <c r="N30">
        <v>3</v>
      </c>
      <c r="O30">
        <v>0</v>
      </c>
      <c r="P30">
        <v>0</v>
      </c>
      <c r="Q30">
        <v>-3</v>
      </c>
      <c r="R30">
        <v>0</v>
      </c>
      <c r="S30">
        <v>0</v>
      </c>
      <c r="T30">
        <v>0</v>
      </c>
      <c r="U30">
        <v>0</v>
      </c>
      <c r="V30">
        <v>0</v>
      </c>
      <c r="W30">
        <v>53</v>
      </c>
      <c r="X30">
        <v>0</v>
      </c>
      <c r="Y30">
        <v>43</v>
      </c>
      <c r="Z30">
        <v>27</v>
      </c>
      <c r="AA30">
        <v>0</v>
      </c>
      <c r="AB30">
        <v>44</v>
      </c>
      <c r="AC30">
        <v>0</v>
      </c>
      <c r="AD30">
        <v>0</v>
      </c>
      <c r="AE30">
        <v>167</v>
      </c>
      <c r="AF30">
        <v>493</v>
      </c>
      <c r="AJ30">
        <v>4.59</v>
      </c>
      <c r="AK30" t="str">
        <f t="shared" si="0"/>
        <v>00024-3700</v>
      </c>
    </row>
    <row r="31" spans="1:37">
      <c r="A31" t="s">
        <v>106</v>
      </c>
      <c r="B31" t="s">
        <v>104</v>
      </c>
      <c r="C31" t="s">
        <v>68</v>
      </c>
      <c r="D31" t="s">
        <v>105</v>
      </c>
      <c r="E31">
        <v>20</v>
      </c>
      <c r="F31">
        <v>5.0999999999999996</v>
      </c>
      <c r="G31">
        <v>80</v>
      </c>
      <c r="H31">
        <v>71</v>
      </c>
      <c r="I31">
        <v>101</v>
      </c>
      <c r="J31">
        <v>104</v>
      </c>
      <c r="K31">
        <v>1509</v>
      </c>
      <c r="L31">
        <v>80</v>
      </c>
      <c r="M31">
        <v>0</v>
      </c>
      <c r="N31">
        <v>67</v>
      </c>
      <c r="O31">
        <v>0</v>
      </c>
      <c r="P31">
        <v>0</v>
      </c>
      <c r="Q31">
        <v>1442</v>
      </c>
      <c r="R31">
        <v>0</v>
      </c>
      <c r="S31">
        <v>0</v>
      </c>
      <c r="T31">
        <v>123</v>
      </c>
      <c r="U31">
        <v>90</v>
      </c>
      <c r="V31">
        <v>130</v>
      </c>
      <c r="W31">
        <v>138</v>
      </c>
      <c r="X31">
        <v>122</v>
      </c>
      <c r="Y31">
        <v>103</v>
      </c>
      <c r="Z31">
        <v>106</v>
      </c>
      <c r="AA31">
        <v>125</v>
      </c>
      <c r="AB31">
        <v>208</v>
      </c>
      <c r="AC31">
        <v>0</v>
      </c>
      <c r="AD31">
        <v>99</v>
      </c>
      <c r="AE31">
        <v>1244</v>
      </c>
      <c r="AF31">
        <v>1419</v>
      </c>
      <c r="AJ31">
        <v>6.72</v>
      </c>
      <c r="AK31" t="str">
        <f t="shared" si="0"/>
        <v>00024-5000</v>
      </c>
    </row>
    <row r="32" spans="1:37">
      <c r="A32" t="s">
        <v>107</v>
      </c>
      <c r="B32" t="s">
        <v>104</v>
      </c>
      <c r="C32" t="s">
        <v>68</v>
      </c>
      <c r="D32" t="s">
        <v>105</v>
      </c>
      <c r="E32">
        <v>20</v>
      </c>
      <c r="F32">
        <v>11.5</v>
      </c>
      <c r="G32">
        <v>102</v>
      </c>
      <c r="H32">
        <v>62</v>
      </c>
      <c r="I32">
        <v>87</v>
      </c>
      <c r="J32">
        <v>67</v>
      </c>
      <c r="K32">
        <v>2947</v>
      </c>
      <c r="L32">
        <v>95</v>
      </c>
      <c r="M32">
        <v>0</v>
      </c>
      <c r="N32">
        <v>85</v>
      </c>
      <c r="O32">
        <v>0</v>
      </c>
      <c r="P32">
        <v>0</v>
      </c>
      <c r="Q32">
        <v>2862</v>
      </c>
      <c r="R32">
        <v>0</v>
      </c>
      <c r="S32">
        <v>186</v>
      </c>
      <c r="T32">
        <v>0</v>
      </c>
      <c r="U32">
        <v>0</v>
      </c>
      <c r="V32">
        <v>86</v>
      </c>
      <c r="W32">
        <v>0</v>
      </c>
      <c r="X32">
        <v>250</v>
      </c>
      <c r="Y32">
        <v>106</v>
      </c>
      <c r="Z32">
        <v>104</v>
      </c>
      <c r="AA32">
        <v>0</v>
      </c>
      <c r="AB32">
        <v>0</v>
      </c>
      <c r="AC32">
        <v>0</v>
      </c>
      <c r="AD32">
        <v>74</v>
      </c>
      <c r="AE32">
        <v>806</v>
      </c>
      <c r="AF32">
        <v>693</v>
      </c>
      <c r="AJ32">
        <v>6.72</v>
      </c>
      <c r="AK32" t="str">
        <f t="shared" si="0"/>
        <v>00024-6200</v>
      </c>
    </row>
    <row r="33" spans="1:37">
      <c r="A33" t="s">
        <v>108</v>
      </c>
      <c r="B33" t="s">
        <v>109</v>
      </c>
      <c r="C33" t="s">
        <v>110</v>
      </c>
      <c r="D33" t="s">
        <v>111</v>
      </c>
      <c r="E33">
        <v>14</v>
      </c>
      <c r="F33">
        <v>-0.2</v>
      </c>
      <c r="G33">
        <v>106</v>
      </c>
      <c r="H33">
        <v>69</v>
      </c>
      <c r="I33">
        <v>56</v>
      </c>
      <c r="J33">
        <v>39</v>
      </c>
      <c r="K33">
        <v>43</v>
      </c>
      <c r="L33">
        <v>10</v>
      </c>
      <c r="M33">
        <v>0</v>
      </c>
      <c r="N33">
        <v>88</v>
      </c>
      <c r="O33">
        <v>0</v>
      </c>
      <c r="P33">
        <v>0</v>
      </c>
      <c r="Q33">
        <v>-45</v>
      </c>
      <c r="R33">
        <v>0</v>
      </c>
      <c r="S33">
        <v>106</v>
      </c>
      <c r="T33">
        <v>0</v>
      </c>
      <c r="U33">
        <v>100</v>
      </c>
      <c r="V33">
        <v>44</v>
      </c>
      <c r="W33">
        <v>0</v>
      </c>
      <c r="X33">
        <v>83</v>
      </c>
      <c r="Y33">
        <v>0</v>
      </c>
      <c r="Z33">
        <v>0</v>
      </c>
      <c r="AA33">
        <v>0</v>
      </c>
      <c r="AB33">
        <v>41</v>
      </c>
      <c r="AC33">
        <v>88</v>
      </c>
      <c r="AD33">
        <v>0</v>
      </c>
      <c r="AE33">
        <v>462</v>
      </c>
      <c r="AF33">
        <v>106</v>
      </c>
      <c r="AJ33">
        <v>6.75</v>
      </c>
      <c r="AK33" t="str">
        <f t="shared" si="0"/>
        <v>00040-4300</v>
      </c>
    </row>
    <row r="34" spans="1:37">
      <c r="A34" t="s">
        <v>112</v>
      </c>
      <c r="B34" t="s">
        <v>109</v>
      </c>
      <c r="C34" t="s">
        <v>110</v>
      </c>
      <c r="D34" t="s">
        <v>111</v>
      </c>
      <c r="E34">
        <v>14</v>
      </c>
      <c r="F34">
        <v>4.5</v>
      </c>
      <c r="G34">
        <v>82</v>
      </c>
      <c r="H34">
        <v>51</v>
      </c>
      <c r="I34">
        <v>31</v>
      </c>
      <c r="J34">
        <v>28</v>
      </c>
      <c r="K34">
        <v>990</v>
      </c>
      <c r="L34">
        <v>55</v>
      </c>
      <c r="M34">
        <v>0</v>
      </c>
      <c r="N34">
        <v>68</v>
      </c>
      <c r="O34">
        <v>0</v>
      </c>
      <c r="P34">
        <v>0</v>
      </c>
      <c r="Q34">
        <v>922</v>
      </c>
      <c r="R34">
        <v>0</v>
      </c>
      <c r="S34">
        <v>74</v>
      </c>
      <c r="T34">
        <v>0</v>
      </c>
      <c r="U34">
        <v>80</v>
      </c>
      <c r="V34">
        <v>0</v>
      </c>
      <c r="W34">
        <v>0</v>
      </c>
      <c r="X34">
        <v>34</v>
      </c>
      <c r="Y34">
        <v>38</v>
      </c>
      <c r="Z34">
        <v>22</v>
      </c>
      <c r="AA34">
        <v>0</v>
      </c>
      <c r="AB34">
        <v>73</v>
      </c>
      <c r="AC34">
        <v>0</v>
      </c>
      <c r="AD34">
        <v>11</v>
      </c>
      <c r="AE34">
        <v>332</v>
      </c>
      <c r="AF34">
        <v>57</v>
      </c>
      <c r="AJ34">
        <v>6.85</v>
      </c>
      <c r="AK34" t="str">
        <f t="shared" si="0"/>
        <v>00040-6200</v>
      </c>
    </row>
    <row r="35" spans="1:37">
      <c r="A35" t="s">
        <v>113</v>
      </c>
      <c r="B35" t="s">
        <v>114</v>
      </c>
      <c r="C35" t="s">
        <v>101</v>
      </c>
      <c r="D35" t="s">
        <v>115</v>
      </c>
      <c r="E35">
        <v>40</v>
      </c>
      <c r="F35">
        <v>-0.5</v>
      </c>
      <c r="G35">
        <v>355</v>
      </c>
      <c r="H35">
        <v>101</v>
      </c>
      <c r="I35">
        <v>67</v>
      </c>
      <c r="J35">
        <v>65</v>
      </c>
      <c r="K35">
        <v>112</v>
      </c>
      <c r="L35">
        <v>82</v>
      </c>
      <c r="M35">
        <v>0</v>
      </c>
      <c r="N35">
        <v>296</v>
      </c>
      <c r="O35">
        <v>0</v>
      </c>
      <c r="P35">
        <v>0</v>
      </c>
      <c r="Q35">
        <v>-184</v>
      </c>
      <c r="R35">
        <v>16</v>
      </c>
      <c r="S35">
        <v>0</v>
      </c>
      <c r="T35">
        <v>115</v>
      </c>
      <c r="U35">
        <v>188</v>
      </c>
      <c r="V35">
        <v>42</v>
      </c>
      <c r="W35">
        <v>0</v>
      </c>
      <c r="X35">
        <v>56</v>
      </c>
      <c r="Y35">
        <v>124</v>
      </c>
      <c r="Z35">
        <v>0</v>
      </c>
      <c r="AA35">
        <v>0</v>
      </c>
      <c r="AB35">
        <v>0</v>
      </c>
      <c r="AC35">
        <v>0</v>
      </c>
      <c r="AD35">
        <v>258</v>
      </c>
      <c r="AE35">
        <v>783</v>
      </c>
      <c r="AF35">
        <v>716</v>
      </c>
      <c r="AJ35">
        <v>1.82</v>
      </c>
      <c r="AK35" t="str">
        <f t="shared" si="0"/>
        <v>00098-3700</v>
      </c>
    </row>
    <row r="36" spans="1:37">
      <c r="A36" t="s">
        <v>116</v>
      </c>
      <c r="B36" t="s">
        <v>114</v>
      </c>
      <c r="C36" t="s">
        <v>101</v>
      </c>
      <c r="D36" t="s">
        <v>115</v>
      </c>
      <c r="E36">
        <v>40</v>
      </c>
      <c r="F36">
        <v>0.5</v>
      </c>
      <c r="G36">
        <v>7873</v>
      </c>
      <c r="H36">
        <v>4170</v>
      </c>
      <c r="I36">
        <v>4476</v>
      </c>
      <c r="J36">
        <v>4541</v>
      </c>
      <c r="K36">
        <v>14572</v>
      </c>
      <c r="L36">
        <v>1869</v>
      </c>
      <c r="M36">
        <v>4</v>
      </c>
      <c r="N36">
        <v>6561</v>
      </c>
      <c r="O36">
        <v>0</v>
      </c>
      <c r="P36">
        <v>0</v>
      </c>
      <c r="Q36">
        <v>8011</v>
      </c>
      <c r="R36">
        <v>0</v>
      </c>
      <c r="S36">
        <v>4879</v>
      </c>
      <c r="T36">
        <v>4037</v>
      </c>
      <c r="U36">
        <v>3595</v>
      </c>
      <c r="V36">
        <v>5354</v>
      </c>
      <c r="W36">
        <v>5214</v>
      </c>
      <c r="X36">
        <v>3775</v>
      </c>
      <c r="Y36">
        <v>6146</v>
      </c>
      <c r="Z36">
        <v>3890</v>
      </c>
      <c r="AA36">
        <v>4350</v>
      </c>
      <c r="AB36">
        <v>6087</v>
      </c>
      <c r="AC36">
        <v>3616</v>
      </c>
      <c r="AD36">
        <v>3554</v>
      </c>
      <c r="AE36">
        <v>54497</v>
      </c>
      <c r="AF36">
        <v>59936</v>
      </c>
      <c r="AJ36">
        <v>2.37</v>
      </c>
      <c r="AK36" t="str">
        <f t="shared" si="0"/>
        <v>00098-5000</v>
      </c>
    </row>
    <row r="37" spans="1:37">
      <c r="A37" t="s">
        <v>117</v>
      </c>
      <c r="B37" t="s">
        <v>114</v>
      </c>
      <c r="C37" t="s">
        <v>101</v>
      </c>
      <c r="D37" t="s">
        <v>115</v>
      </c>
      <c r="E37">
        <v>40</v>
      </c>
      <c r="F37">
        <v>1</v>
      </c>
      <c r="G37">
        <v>2571</v>
      </c>
      <c r="H37">
        <v>2545</v>
      </c>
      <c r="I37">
        <v>2264</v>
      </c>
      <c r="J37">
        <v>2214</v>
      </c>
      <c r="K37">
        <v>12307</v>
      </c>
      <c r="L37">
        <v>711</v>
      </c>
      <c r="M37">
        <v>289</v>
      </c>
      <c r="N37">
        <v>2142</v>
      </c>
      <c r="O37">
        <v>0</v>
      </c>
      <c r="P37">
        <v>0</v>
      </c>
      <c r="Q37">
        <v>10165</v>
      </c>
      <c r="R37">
        <v>0</v>
      </c>
      <c r="S37">
        <v>2516</v>
      </c>
      <c r="T37">
        <v>1778</v>
      </c>
      <c r="U37">
        <v>3340</v>
      </c>
      <c r="V37">
        <v>2041</v>
      </c>
      <c r="W37">
        <v>2399</v>
      </c>
      <c r="X37">
        <v>1510</v>
      </c>
      <c r="Y37">
        <v>2868</v>
      </c>
      <c r="Z37">
        <v>1546</v>
      </c>
      <c r="AA37">
        <v>2313</v>
      </c>
      <c r="AB37">
        <v>2873</v>
      </c>
      <c r="AC37">
        <v>2057</v>
      </c>
      <c r="AD37">
        <v>1330</v>
      </c>
      <c r="AE37">
        <v>26571</v>
      </c>
      <c r="AF37">
        <v>32947</v>
      </c>
      <c r="AJ37">
        <v>2.37</v>
      </c>
      <c r="AK37" t="str">
        <f t="shared" si="0"/>
        <v>00098-6200</v>
      </c>
    </row>
    <row r="38" spans="1:37">
      <c r="A38" t="s">
        <v>118</v>
      </c>
      <c r="B38" t="s">
        <v>119</v>
      </c>
      <c r="E38">
        <v>50</v>
      </c>
      <c r="F38">
        <v>0</v>
      </c>
      <c r="G38">
        <v>36</v>
      </c>
      <c r="H38">
        <v>213</v>
      </c>
      <c r="I38">
        <v>394</v>
      </c>
      <c r="J38">
        <v>294</v>
      </c>
      <c r="K38">
        <v>0</v>
      </c>
      <c r="L38">
        <v>396</v>
      </c>
      <c r="M38">
        <v>0</v>
      </c>
      <c r="N38">
        <v>30</v>
      </c>
      <c r="O38">
        <v>0</v>
      </c>
      <c r="P38">
        <v>0</v>
      </c>
      <c r="Q38">
        <v>-30</v>
      </c>
      <c r="R38">
        <v>0</v>
      </c>
      <c r="S38">
        <v>0</v>
      </c>
      <c r="T38">
        <v>0</v>
      </c>
      <c r="U38">
        <v>640</v>
      </c>
      <c r="V38">
        <v>319</v>
      </c>
      <c r="W38">
        <v>1004</v>
      </c>
      <c r="X38">
        <v>403</v>
      </c>
      <c r="Y38">
        <v>124</v>
      </c>
      <c r="Z38">
        <v>208</v>
      </c>
      <c r="AA38">
        <v>0</v>
      </c>
      <c r="AB38">
        <v>0</v>
      </c>
      <c r="AC38">
        <v>453</v>
      </c>
      <c r="AD38">
        <v>381</v>
      </c>
      <c r="AE38">
        <v>3532</v>
      </c>
      <c r="AF38">
        <v>1929</v>
      </c>
      <c r="AJ38">
        <v>0</v>
      </c>
      <c r="AK38" t="str">
        <f t="shared" si="0"/>
        <v>00099-5000</v>
      </c>
    </row>
    <row r="39" spans="1:37">
      <c r="A39" t="s">
        <v>120</v>
      </c>
      <c r="B39" t="s">
        <v>119</v>
      </c>
      <c r="E39">
        <v>50</v>
      </c>
      <c r="F39">
        <v>0</v>
      </c>
      <c r="G39">
        <v>722</v>
      </c>
      <c r="H39">
        <v>0</v>
      </c>
      <c r="I39">
        <v>351</v>
      </c>
      <c r="J39">
        <v>498</v>
      </c>
      <c r="K39">
        <v>0</v>
      </c>
      <c r="L39">
        <v>22</v>
      </c>
      <c r="M39">
        <v>0</v>
      </c>
      <c r="N39">
        <v>601</v>
      </c>
      <c r="O39">
        <v>0</v>
      </c>
      <c r="P39">
        <v>0</v>
      </c>
      <c r="Q39">
        <v>-601</v>
      </c>
      <c r="R39">
        <v>0</v>
      </c>
      <c r="S39">
        <v>0</v>
      </c>
      <c r="T39">
        <v>0</v>
      </c>
      <c r="U39">
        <v>0</v>
      </c>
      <c r="V39">
        <v>0</v>
      </c>
      <c r="W39">
        <v>1495</v>
      </c>
      <c r="X39">
        <v>610</v>
      </c>
      <c r="Y39">
        <v>756</v>
      </c>
      <c r="Z39">
        <v>0</v>
      </c>
      <c r="AA39">
        <v>0</v>
      </c>
      <c r="AB39">
        <v>228</v>
      </c>
      <c r="AC39">
        <v>1356</v>
      </c>
      <c r="AD39">
        <v>1528</v>
      </c>
      <c r="AE39">
        <v>5973</v>
      </c>
      <c r="AF39">
        <v>6539</v>
      </c>
      <c r="AJ39">
        <v>0</v>
      </c>
      <c r="AK39" t="str">
        <f t="shared" si="0"/>
        <v>00099-6200</v>
      </c>
    </row>
    <row r="40" spans="1:37">
      <c r="A40" t="s">
        <v>121</v>
      </c>
      <c r="B40" t="s">
        <v>122</v>
      </c>
      <c r="C40" t="s">
        <v>101</v>
      </c>
      <c r="E40">
        <v>92</v>
      </c>
      <c r="F40">
        <v>1.8</v>
      </c>
      <c r="G40">
        <v>1213</v>
      </c>
      <c r="H40">
        <v>2002</v>
      </c>
      <c r="I40">
        <v>1561</v>
      </c>
      <c r="J40">
        <v>2422</v>
      </c>
      <c r="K40">
        <v>15663</v>
      </c>
      <c r="L40">
        <v>1951</v>
      </c>
      <c r="M40">
        <v>0</v>
      </c>
      <c r="N40">
        <v>1011</v>
      </c>
      <c r="O40">
        <v>0</v>
      </c>
      <c r="P40">
        <v>0</v>
      </c>
      <c r="Q40">
        <v>14652</v>
      </c>
      <c r="R40">
        <v>0</v>
      </c>
      <c r="S40">
        <v>2558</v>
      </c>
      <c r="T40">
        <v>2035</v>
      </c>
      <c r="U40">
        <v>1414</v>
      </c>
      <c r="V40">
        <v>1278</v>
      </c>
      <c r="W40">
        <v>163</v>
      </c>
      <c r="X40">
        <v>1917</v>
      </c>
      <c r="Y40">
        <v>3212</v>
      </c>
      <c r="Z40">
        <v>2388</v>
      </c>
      <c r="AA40">
        <v>2768</v>
      </c>
      <c r="AB40">
        <v>4691</v>
      </c>
      <c r="AC40">
        <v>1975</v>
      </c>
      <c r="AD40">
        <v>4667</v>
      </c>
      <c r="AE40">
        <v>29066</v>
      </c>
      <c r="AF40">
        <v>26621</v>
      </c>
      <c r="AJ40">
        <v>1.05</v>
      </c>
      <c r="AK40" t="str">
        <f t="shared" si="0"/>
        <v>000C2-5000</v>
      </c>
    </row>
    <row r="41" spans="1:37">
      <c r="A41" t="s">
        <v>123</v>
      </c>
      <c r="B41" t="s">
        <v>122</v>
      </c>
      <c r="C41" t="s">
        <v>101</v>
      </c>
      <c r="E41">
        <v>92</v>
      </c>
      <c r="F41">
        <v>5.3</v>
      </c>
      <c r="G41">
        <v>1102</v>
      </c>
      <c r="H41">
        <v>559</v>
      </c>
      <c r="I41">
        <v>928</v>
      </c>
      <c r="J41">
        <v>1156</v>
      </c>
      <c r="K41">
        <v>12686</v>
      </c>
      <c r="L41">
        <v>1291</v>
      </c>
      <c r="M41">
        <v>0</v>
      </c>
      <c r="N41">
        <v>919</v>
      </c>
      <c r="O41">
        <v>0</v>
      </c>
      <c r="P41">
        <v>0</v>
      </c>
      <c r="Q41">
        <v>11767</v>
      </c>
      <c r="R41">
        <v>0</v>
      </c>
      <c r="S41">
        <v>0</v>
      </c>
      <c r="T41">
        <v>0</v>
      </c>
      <c r="U41">
        <v>1677</v>
      </c>
      <c r="V41">
        <v>845</v>
      </c>
      <c r="W41">
        <v>2046</v>
      </c>
      <c r="X41">
        <v>1000</v>
      </c>
      <c r="Y41">
        <v>1409</v>
      </c>
      <c r="Z41">
        <v>0</v>
      </c>
      <c r="AA41">
        <v>2776</v>
      </c>
      <c r="AB41">
        <v>822</v>
      </c>
      <c r="AC41">
        <v>3299</v>
      </c>
      <c r="AD41">
        <v>0</v>
      </c>
      <c r="AE41">
        <v>13874</v>
      </c>
      <c r="AF41">
        <v>12093</v>
      </c>
      <c r="AJ41">
        <v>3.12</v>
      </c>
      <c r="AK41" t="str">
        <f t="shared" si="0"/>
        <v>000C2-6200</v>
      </c>
    </row>
    <row r="42" spans="1:37">
      <c r="A42" t="s">
        <v>124</v>
      </c>
      <c r="B42" t="s">
        <v>125</v>
      </c>
      <c r="C42" t="s">
        <v>68</v>
      </c>
      <c r="D42" t="s">
        <v>126</v>
      </c>
      <c r="E42">
        <v>97</v>
      </c>
      <c r="F42">
        <v>0</v>
      </c>
      <c r="G42">
        <v>0</v>
      </c>
      <c r="H42">
        <v>0</v>
      </c>
      <c r="I42">
        <v>30</v>
      </c>
      <c r="J42">
        <v>40</v>
      </c>
      <c r="K42">
        <v>250</v>
      </c>
      <c r="L42">
        <v>0</v>
      </c>
      <c r="M42">
        <v>0</v>
      </c>
      <c r="N42">
        <v>0</v>
      </c>
      <c r="O42">
        <v>0</v>
      </c>
      <c r="P42">
        <v>0</v>
      </c>
      <c r="Q42">
        <v>250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180</v>
      </c>
      <c r="Y42">
        <v>149</v>
      </c>
      <c r="Z42">
        <v>47</v>
      </c>
      <c r="AA42">
        <v>0</v>
      </c>
      <c r="AB42">
        <v>0</v>
      </c>
      <c r="AC42">
        <v>0</v>
      </c>
      <c r="AD42">
        <v>109</v>
      </c>
      <c r="AE42">
        <v>485</v>
      </c>
      <c r="AF42">
        <v>133</v>
      </c>
      <c r="AJ42">
        <v>3.98</v>
      </c>
      <c r="AK42" t="str">
        <f t="shared" si="0"/>
        <v>000C4-5000</v>
      </c>
    </row>
    <row r="43" spans="1:37">
      <c r="A43" t="s">
        <v>127</v>
      </c>
      <c r="B43" t="s">
        <v>128</v>
      </c>
      <c r="C43" t="s">
        <v>129</v>
      </c>
      <c r="E43">
        <v>27</v>
      </c>
      <c r="F43">
        <v>2.2000000000000002</v>
      </c>
      <c r="G43">
        <v>420</v>
      </c>
      <c r="H43">
        <v>372</v>
      </c>
      <c r="I43">
        <v>273</v>
      </c>
      <c r="J43">
        <v>314</v>
      </c>
      <c r="K43">
        <v>3629</v>
      </c>
      <c r="L43">
        <v>696</v>
      </c>
      <c r="M43">
        <v>0</v>
      </c>
      <c r="N43">
        <v>350</v>
      </c>
      <c r="O43">
        <v>0</v>
      </c>
      <c r="P43">
        <v>0</v>
      </c>
      <c r="Q43">
        <v>3279</v>
      </c>
      <c r="R43">
        <v>0</v>
      </c>
      <c r="S43">
        <v>422</v>
      </c>
      <c r="T43">
        <v>695</v>
      </c>
      <c r="U43">
        <v>0</v>
      </c>
      <c r="V43">
        <v>0</v>
      </c>
      <c r="W43">
        <v>0</v>
      </c>
      <c r="X43">
        <v>518</v>
      </c>
      <c r="Y43">
        <v>451</v>
      </c>
      <c r="Z43">
        <v>0</v>
      </c>
      <c r="AA43">
        <v>504</v>
      </c>
      <c r="AB43">
        <v>0</v>
      </c>
      <c r="AC43">
        <v>461</v>
      </c>
      <c r="AD43">
        <v>714</v>
      </c>
      <c r="AE43">
        <v>3765</v>
      </c>
      <c r="AF43">
        <v>5593</v>
      </c>
      <c r="AJ43">
        <v>1.33</v>
      </c>
      <c r="AK43" t="str">
        <f t="shared" si="0"/>
        <v>00104-3700</v>
      </c>
    </row>
    <row r="44" spans="1:37">
      <c r="A44" t="s">
        <v>130</v>
      </c>
      <c r="B44" t="s">
        <v>128</v>
      </c>
      <c r="C44" t="s">
        <v>131</v>
      </c>
      <c r="E44">
        <v>27</v>
      </c>
      <c r="F44">
        <v>1.1000000000000001</v>
      </c>
      <c r="G44">
        <v>30610</v>
      </c>
      <c r="H44">
        <v>17899</v>
      </c>
      <c r="I44">
        <v>15808</v>
      </c>
      <c r="J44">
        <v>16745</v>
      </c>
      <c r="K44">
        <v>103401</v>
      </c>
      <c r="L44">
        <v>10803</v>
      </c>
      <c r="M44">
        <v>0</v>
      </c>
      <c r="N44">
        <v>25508</v>
      </c>
      <c r="O44">
        <v>0</v>
      </c>
      <c r="P44">
        <v>0</v>
      </c>
      <c r="Q44">
        <v>77892</v>
      </c>
      <c r="R44">
        <v>0</v>
      </c>
      <c r="S44">
        <v>15942</v>
      </c>
      <c r="T44">
        <v>21094</v>
      </c>
      <c r="U44">
        <v>16660</v>
      </c>
      <c r="V44">
        <v>11974</v>
      </c>
      <c r="W44">
        <v>14393</v>
      </c>
      <c r="X44">
        <v>14786</v>
      </c>
      <c r="Y44">
        <v>14059</v>
      </c>
      <c r="Z44">
        <v>20582</v>
      </c>
      <c r="AA44">
        <v>15598</v>
      </c>
      <c r="AB44">
        <v>20323</v>
      </c>
      <c r="AC44">
        <v>17120</v>
      </c>
      <c r="AD44">
        <v>18409</v>
      </c>
      <c r="AE44">
        <v>200941</v>
      </c>
      <c r="AF44">
        <v>230466</v>
      </c>
      <c r="AG44" t="s">
        <v>132</v>
      </c>
      <c r="AH44">
        <v>1</v>
      </c>
      <c r="AI44">
        <v>2826</v>
      </c>
      <c r="AJ44">
        <v>1.4</v>
      </c>
      <c r="AK44" t="str">
        <f t="shared" si="0"/>
        <v>00104-5000</v>
      </c>
    </row>
    <row r="45" spans="1:37">
      <c r="A45" t="s">
        <v>130</v>
      </c>
      <c r="B45" t="s">
        <v>128</v>
      </c>
      <c r="C45" t="s">
        <v>131</v>
      </c>
      <c r="E45">
        <v>27</v>
      </c>
      <c r="AG45" t="s">
        <v>133</v>
      </c>
      <c r="AH45">
        <v>1</v>
      </c>
      <c r="AI45">
        <v>13</v>
      </c>
      <c r="AK45" t="str">
        <f t="shared" si="0"/>
        <v>00104-5000</v>
      </c>
    </row>
    <row r="46" spans="1:37">
      <c r="A46" t="s">
        <v>130</v>
      </c>
      <c r="B46" t="s">
        <v>128</v>
      </c>
      <c r="C46" t="s">
        <v>131</v>
      </c>
      <c r="E46">
        <v>27</v>
      </c>
      <c r="AG46" t="s">
        <v>134</v>
      </c>
      <c r="AH46">
        <v>1</v>
      </c>
      <c r="AI46">
        <v>38</v>
      </c>
      <c r="AK46" t="str">
        <f t="shared" si="0"/>
        <v>00104-5000</v>
      </c>
    </row>
    <row r="47" spans="1:37">
      <c r="A47" t="s">
        <v>130</v>
      </c>
      <c r="B47" t="s">
        <v>128</v>
      </c>
      <c r="C47" t="s">
        <v>137</v>
      </c>
      <c r="E47">
        <v>27</v>
      </c>
      <c r="AG47" t="s">
        <v>5293</v>
      </c>
      <c r="AH47">
        <v>1</v>
      </c>
      <c r="AI47">
        <v>41735</v>
      </c>
      <c r="AK47" t="str">
        <f t="shared" si="0"/>
        <v>00104-5000</v>
      </c>
    </row>
    <row r="48" spans="1:37">
      <c r="A48" t="s">
        <v>135</v>
      </c>
      <c r="B48" t="s">
        <v>128</v>
      </c>
      <c r="C48" t="s">
        <v>129</v>
      </c>
      <c r="E48">
        <v>27</v>
      </c>
      <c r="F48">
        <v>3</v>
      </c>
      <c r="G48">
        <v>21784</v>
      </c>
      <c r="H48">
        <v>13319</v>
      </c>
      <c r="I48">
        <v>12902</v>
      </c>
      <c r="J48">
        <v>12945</v>
      </c>
      <c r="K48">
        <v>176315</v>
      </c>
      <c r="L48">
        <v>10239</v>
      </c>
      <c r="M48">
        <v>0</v>
      </c>
      <c r="N48">
        <v>18153</v>
      </c>
      <c r="O48">
        <v>0</v>
      </c>
      <c r="P48">
        <v>0</v>
      </c>
      <c r="Q48">
        <v>158161</v>
      </c>
      <c r="R48">
        <v>-14</v>
      </c>
      <c r="S48">
        <v>10754</v>
      </c>
      <c r="T48">
        <v>15596</v>
      </c>
      <c r="U48">
        <v>13608</v>
      </c>
      <c r="V48">
        <v>9488</v>
      </c>
      <c r="W48">
        <v>16050</v>
      </c>
      <c r="X48">
        <v>11914</v>
      </c>
      <c r="Y48">
        <v>19345</v>
      </c>
      <c r="Z48">
        <v>7312</v>
      </c>
      <c r="AA48">
        <v>10777</v>
      </c>
      <c r="AB48">
        <v>17169</v>
      </c>
      <c r="AC48">
        <v>9928</v>
      </c>
      <c r="AD48">
        <v>13400</v>
      </c>
      <c r="AE48">
        <v>155341</v>
      </c>
      <c r="AF48">
        <v>176810</v>
      </c>
      <c r="AG48" t="s">
        <v>136</v>
      </c>
      <c r="AH48">
        <v>2</v>
      </c>
      <c r="AI48">
        <v>1666</v>
      </c>
      <c r="AJ48">
        <v>1.8245</v>
      </c>
      <c r="AK48" t="str">
        <f t="shared" si="0"/>
        <v>00104-6200</v>
      </c>
    </row>
    <row r="49" spans="1:37">
      <c r="A49" t="s">
        <v>138</v>
      </c>
      <c r="B49" t="s">
        <v>128</v>
      </c>
      <c r="C49" t="s">
        <v>129</v>
      </c>
      <c r="E49">
        <v>27</v>
      </c>
      <c r="F49">
        <v>0</v>
      </c>
      <c r="G49">
        <v>0</v>
      </c>
      <c r="H49">
        <v>0</v>
      </c>
      <c r="I49">
        <v>0</v>
      </c>
      <c r="J49">
        <v>0</v>
      </c>
      <c r="K49">
        <v>645</v>
      </c>
      <c r="L49">
        <v>0</v>
      </c>
      <c r="M49">
        <v>0</v>
      </c>
      <c r="N49">
        <v>0</v>
      </c>
      <c r="O49">
        <v>0</v>
      </c>
      <c r="P49">
        <v>0</v>
      </c>
      <c r="Q49">
        <v>645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J49">
        <v>1.24</v>
      </c>
      <c r="AK49" t="str">
        <f t="shared" si="0"/>
        <v>00104-6500</v>
      </c>
    </row>
    <row r="50" spans="1:37">
      <c r="A50" t="s">
        <v>139</v>
      </c>
      <c r="B50" t="s">
        <v>140</v>
      </c>
      <c r="C50" t="s">
        <v>141</v>
      </c>
      <c r="E50">
        <v>35</v>
      </c>
      <c r="F50">
        <v>0</v>
      </c>
      <c r="G50">
        <v>0</v>
      </c>
      <c r="H50">
        <v>0</v>
      </c>
      <c r="I50">
        <v>30</v>
      </c>
      <c r="J50">
        <v>95</v>
      </c>
      <c r="K50">
        <v>606</v>
      </c>
      <c r="L50">
        <v>215</v>
      </c>
      <c r="M50">
        <v>0</v>
      </c>
      <c r="N50">
        <v>0</v>
      </c>
      <c r="O50">
        <v>0</v>
      </c>
      <c r="P50">
        <v>0</v>
      </c>
      <c r="Q50">
        <v>606</v>
      </c>
      <c r="R50">
        <v>0</v>
      </c>
      <c r="S50">
        <v>0</v>
      </c>
      <c r="T50">
        <v>0</v>
      </c>
      <c r="U50">
        <v>0</v>
      </c>
      <c r="V50">
        <v>0</v>
      </c>
      <c r="W50">
        <v>178</v>
      </c>
      <c r="X50">
        <v>0</v>
      </c>
      <c r="Y50">
        <v>0</v>
      </c>
      <c r="Z50">
        <v>0</v>
      </c>
      <c r="AA50">
        <v>0</v>
      </c>
      <c r="AB50">
        <v>0</v>
      </c>
      <c r="AC50">
        <v>196</v>
      </c>
      <c r="AD50">
        <v>767</v>
      </c>
      <c r="AE50">
        <v>1141</v>
      </c>
      <c r="AF50">
        <v>1041</v>
      </c>
      <c r="AG50" t="s">
        <v>142</v>
      </c>
      <c r="AH50">
        <v>1</v>
      </c>
      <c r="AI50">
        <v>2359</v>
      </c>
      <c r="AJ50">
        <v>4.24</v>
      </c>
      <c r="AK50" t="str">
        <f t="shared" si="0"/>
        <v>00115-5000</v>
      </c>
    </row>
    <row r="51" spans="1:37">
      <c r="A51" t="s">
        <v>143</v>
      </c>
      <c r="B51" t="s">
        <v>140</v>
      </c>
      <c r="C51" t="s">
        <v>141</v>
      </c>
      <c r="E51">
        <v>35</v>
      </c>
      <c r="F51">
        <v>2.9</v>
      </c>
      <c r="G51">
        <v>0</v>
      </c>
      <c r="H51">
        <v>54</v>
      </c>
      <c r="I51">
        <v>27</v>
      </c>
      <c r="J51">
        <v>88</v>
      </c>
      <c r="K51">
        <v>624</v>
      </c>
      <c r="L51">
        <v>33</v>
      </c>
      <c r="M51">
        <v>0</v>
      </c>
      <c r="N51">
        <v>0</v>
      </c>
      <c r="O51">
        <v>0</v>
      </c>
      <c r="P51">
        <v>0</v>
      </c>
      <c r="Q51">
        <v>624</v>
      </c>
      <c r="R51">
        <v>0</v>
      </c>
      <c r="S51">
        <v>0</v>
      </c>
      <c r="T51">
        <v>0</v>
      </c>
      <c r="U51">
        <v>161</v>
      </c>
      <c r="V51">
        <v>0</v>
      </c>
      <c r="W51">
        <v>0</v>
      </c>
      <c r="X51">
        <v>0</v>
      </c>
      <c r="Y51">
        <v>212</v>
      </c>
      <c r="Z51">
        <v>208</v>
      </c>
      <c r="AA51">
        <v>0</v>
      </c>
      <c r="AB51">
        <v>402</v>
      </c>
      <c r="AC51">
        <v>0</v>
      </c>
      <c r="AD51">
        <v>75</v>
      </c>
      <c r="AE51">
        <v>1058</v>
      </c>
      <c r="AF51">
        <v>876</v>
      </c>
      <c r="AG51" t="s">
        <v>142</v>
      </c>
      <c r="AH51">
        <v>2</v>
      </c>
      <c r="AI51">
        <v>1965</v>
      </c>
      <c r="AJ51">
        <v>4.24</v>
      </c>
      <c r="AK51" t="str">
        <f t="shared" si="0"/>
        <v>00115-6200</v>
      </c>
    </row>
    <row r="52" spans="1:37">
      <c r="A52" t="s">
        <v>144</v>
      </c>
      <c r="B52" t="s">
        <v>145</v>
      </c>
      <c r="C52" t="s">
        <v>146</v>
      </c>
      <c r="D52" t="s">
        <v>147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325</v>
      </c>
      <c r="L52">
        <v>0</v>
      </c>
      <c r="M52">
        <v>0</v>
      </c>
      <c r="N52">
        <v>0</v>
      </c>
      <c r="O52">
        <v>0</v>
      </c>
      <c r="P52">
        <v>0</v>
      </c>
      <c r="Q52">
        <v>325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14</v>
      </c>
      <c r="AJ52">
        <v>3.22</v>
      </c>
      <c r="AK52" t="str">
        <f t="shared" si="0"/>
        <v>00117-3700</v>
      </c>
    </row>
    <row r="53" spans="1:37">
      <c r="A53" t="s">
        <v>148</v>
      </c>
      <c r="B53" t="s">
        <v>145</v>
      </c>
      <c r="C53" t="s">
        <v>146</v>
      </c>
      <c r="D53" t="s">
        <v>147</v>
      </c>
      <c r="E53">
        <v>0</v>
      </c>
      <c r="F53">
        <v>0.2</v>
      </c>
      <c r="G53">
        <v>446</v>
      </c>
      <c r="H53">
        <v>251</v>
      </c>
      <c r="I53">
        <v>339</v>
      </c>
      <c r="J53">
        <v>383</v>
      </c>
      <c r="K53">
        <v>614</v>
      </c>
      <c r="L53">
        <v>45</v>
      </c>
      <c r="M53">
        <v>7</v>
      </c>
      <c r="N53">
        <v>371</v>
      </c>
      <c r="O53">
        <v>0</v>
      </c>
      <c r="P53">
        <v>0</v>
      </c>
      <c r="Q53">
        <v>242</v>
      </c>
      <c r="R53">
        <v>0</v>
      </c>
      <c r="S53">
        <v>191</v>
      </c>
      <c r="T53">
        <v>172</v>
      </c>
      <c r="U53">
        <v>392</v>
      </c>
      <c r="V53">
        <v>425</v>
      </c>
      <c r="W53">
        <v>463</v>
      </c>
      <c r="X53">
        <v>394</v>
      </c>
      <c r="Y53">
        <v>496</v>
      </c>
      <c r="Z53">
        <v>415</v>
      </c>
      <c r="AA53">
        <v>314</v>
      </c>
      <c r="AB53">
        <v>447</v>
      </c>
      <c r="AC53">
        <v>531</v>
      </c>
      <c r="AD53">
        <v>350</v>
      </c>
      <c r="AE53">
        <v>4590</v>
      </c>
      <c r="AF53">
        <v>4545</v>
      </c>
      <c r="AG53" t="s">
        <v>149</v>
      </c>
      <c r="AH53">
        <v>1</v>
      </c>
      <c r="AI53">
        <v>5288</v>
      </c>
      <c r="AJ53">
        <v>4.1130000000000004</v>
      </c>
      <c r="AK53" t="str">
        <f t="shared" si="0"/>
        <v>00117-5000</v>
      </c>
    </row>
    <row r="54" spans="1:37">
      <c r="A54" t="s">
        <v>150</v>
      </c>
      <c r="B54" t="s">
        <v>145</v>
      </c>
      <c r="C54" t="s">
        <v>146</v>
      </c>
      <c r="D54" t="s">
        <v>147</v>
      </c>
      <c r="E54">
        <v>0</v>
      </c>
      <c r="F54">
        <v>1.9</v>
      </c>
      <c r="G54">
        <v>625</v>
      </c>
      <c r="H54">
        <v>149</v>
      </c>
      <c r="I54">
        <v>197</v>
      </c>
      <c r="J54">
        <v>257</v>
      </c>
      <c r="K54">
        <v>1652</v>
      </c>
      <c r="L54">
        <v>35</v>
      </c>
      <c r="M54">
        <v>10</v>
      </c>
      <c r="N54">
        <v>520</v>
      </c>
      <c r="O54">
        <v>0</v>
      </c>
      <c r="P54">
        <v>0</v>
      </c>
      <c r="Q54">
        <v>1132</v>
      </c>
      <c r="R54">
        <v>0</v>
      </c>
      <c r="S54">
        <v>99</v>
      </c>
      <c r="T54">
        <v>77</v>
      </c>
      <c r="U54">
        <v>272</v>
      </c>
      <c r="V54">
        <v>156</v>
      </c>
      <c r="W54">
        <v>118</v>
      </c>
      <c r="X54">
        <v>460</v>
      </c>
      <c r="Y54">
        <v>193</v>
      </c>
      <c r="Z54">
        <v>286</v>
      </c>
      <c r="AA54">
        <v>302</v>
      </c>
      <c r="AB54">
        <v>706</v>
      </c>
      <c r="AC54">
        <v>242</v>
      </c>
      <c r="AD54">
        <v>177</v>
      </c>
      <c r="AE54">
        <v>3086</v>
      </c>
      <c r="AF54">
        <v>3008</v>
      </c>
      <c r="AG54" t="s">
        <v>149</v>
      </c>
      <c r="AH54">
        <v>2</v>
      </c>
      <c r="AI54">
        <v>1692</v>
      </c>
      <c r="AJ54">
        <v>3.7294</v>
      </c>
      <c r="AK54" t="str">
        <f t="shared" si="0"/>
        <v>00117-6200</v>
      </c>
    </row>
    <row r="55" spans="1:37">
      <c r="A55" t="s">
        <v>151</v>
      </c>
      <c r="B55" t="s">
        <v>152</v>
      </c>
      <c r="C55" t="s">
        <v>146</v>
      </c>
      <c r="D55" t="s">
        <v>153</v>
      </c>
      <c r="E55">
        <v>0</v>
      </c>
      <c r="F55">
        <v>4.5999999999999996</v>
      </c>
      <c r="G55">
        <v>38</v>
      </c>
      <c r="H55">
        <v>57</v>
      </c>
      <c r="I55">
        <v>45</v>
      </c>
      <c r="J55">
        <v>50</v>
      </c>
      <c r="K55">
        <v>1074</v>
      </c>
      <c r="L55">
        <v>0</v>
      </c>
      <c r="M55">
        <v>0</v>
      </c>
      <c r="N55">
        <v>32</v>
      </c>
      <c r="O55">
        <v>0</v>
      </c>
      <c r="P55">
        <v>0</v>
      </c>
      <c r="Q55">
        <v>1042</v>
      </c>
      <c r="R55">
        <v>0</v>
      </c>
      <c r="S55">
        <v>51</v>
      </c>
      <c r="T55">
        <v>70</v>
      </c>
      <c r="U55">
        <v>50</v>
      </c>
      <c r="V55">
        <v>22</v>
      </c>
      <c r="W55">
        <v>57</v>
      </c>
      <c r="X55">
        <v>21</v>
      </c>
      <c r="Y55">
        <v>16</v>
      </c>
      <c r="Z55">
        <v>34</v>
      </c>
      <c r="AA55">
        <v>96</v>
      </c>
      <c r="AB55">
        <v>145</v>
      </c>
      <c r="AC55">
        <v>15</v>
      </c>
      <c r="AD55">
        <v>18</v>
      </c>
      <c r="AE55">
        <v>595</v>
      </c>
      <c r="AF55">
        <v>1977</v>
      </c>
      <c r="AG55" t="s">
        <v>149</v>
      </c>
      <c r="AH55">
        <v>3</v>
      </c>
      <c r="AI55">
        <v>2000</v>
      </c>
      <c r="AJ55">
        <v>3.3481000000000001</v>
      </c>
      <c r="AK55" t="str">
        <f t="shared" si="0"/>
        <v>00118-3700</v>
      </c>
    </row>
    <row r="56" spans="1:37">
      <c r="A56" t="s">
        <v>154</v>
      </c>
      <c r="B56" t="s">
        <v>152</v>
      </c>
      <c r="C56" t="s">
        <v>146</v>
      </c>
      <c r="D56" t="s">
        <v>153</v>
      </c>
      <c r="E56">
        <v>0</v>
      </c>
      <c r="F56">
        <v>-0.4</v>
      </c>
      <c r="G56">
        <v>582</v>
      </c>
      <c r="H56">
        <v>655</v>
      </c>
      <c r="I56">
        <v>710</v>
      </c>
      <c r="J56">
        <v>798</v>
      </c>
      <c r="K56">
        <v>-688</v>
      </c>
      <c r="L56">
        <v>19</v>
      </c>
      <c r="M56">
        <v>87</v>
      </c>
      <c r="N56">
        <v>485</v>
      </c>
      <c r="O56">
        <v>0</v>
      </c>
      <c r="P56">
        <v>0</v>
      </c>
      <c r="Q56">
        <v>-1173</v>
      </c>
      <c r="R56">
        <v>69</v>
      </c>
      <c r="S56">
        <v>785</v>
      </c>
      <c r="T56">
        <v>409</v>
      </c>
      <c r="U56">
        <v>770</v>
      </c>
      <c r="V56">
        <v>913</v>
      </c>
      <c r="W56">
        <v>338</v>
      </c>
      <c r="X56">
        <v>1045</v>
      </c>
      <c r="Y56">
        <v>985</v>
      </c>
      <c r="Z56">
        <v>998</v>
      </c>
      <c r="AA56">
        <v>753</v>
      </c>
      <c r="AB56">
        <v>1216</v>
      </c>
      <c r="AC56">
        <v>761</v>
      </c>
      <c r="AD56">
        <v>608</v>
      </c>
      <c r="AE56">
        <v>9582</v>
      </c>
      <c r="AF56">
        <v>12306</v>
      </c>
      <c r="AG56" t="s">
        <v>149</v>
      </c>
      <c r="AH56">
        <v>4</v>
      </c>
      <c r="AI56">
        <v>5692</v>
      </c>
      <c r="AJ56">
        <v>4.2370000000000001</v>
      </c>
      <c r="AK56" t="str">
        <f t="shared" si="0"/>
        <v>00118-5000</v>
      </c>
    </row>
    <row r="57" spans="1:37">
      <c r="A57" t="s">
        <v>155</v>
      </c>
      <c r="B57" t="s">
        <v>152</v>
      </c>
      <c r="C57" t="s">
        <v>146</v>
      </c>
      <c r="D57" t="s">
        <v>153</v>
      </c>
      <c r="E57">
        <v>0</v>
      </c>
      <c r="F57">
        <v>-0.4</v>
      </c>
      <c r="G57">
        <v>979</v>
      </c>
      <c r="H57">
        <v>393</v>
      </c>
      <c r="I57">
        <v>512</v>
      </c>
      <c r="J57">
        <v>515</v>
      </c>
      <c r="K57">
        <v>223</v>
      </c>
      <c r="L57">
        <v>4</v>
      </c>
      <c r="M57">
        <v>59</v>
      </c>
      <c r="N57">
        <v>816</v>
      </c>
      <c r="O57">
        <v>0</v>
      </c>
      <c r="P57">
        <v>0</v>
      </c>
      <c r="Q57">
        <v>-592</v>
      </c>
      <c r="R57">
        <v>0</v>
      </c>
      <c r="S57">
        <v>368</v>
      </c>
      <c r="T57">
        <v>422</v>
      </c>
      <c r="U57">
        <v>389</v>
      </c>
      <c r="V57">
        <v>347</v>
      </c>
      <c r="W57">
        <v>964</v>
      </c>
      <c r="X57">
        <v>584</v>
      </c>
      <c r="Y57">
        <v>524</v>
      </c>
      <c r="Z57">
        <v>900</v>
      </c>
      <c r="AA57">
        <v>510</v>
      </c>
      <c r="AB57">
        <v>456</v>
      </c>
      <c r="AC57">
        <v>415</v>
      </c>
      <c r="AD57">
        <v>302</v>
      </c>
      <c r="AE57">
        <v>6182</v>
      </c>
      <c r="AF57">
        <v>6312</v>
      </c>
      <c r="AG57" t="s">
        <v>149</v>
      </c>
      <c r="AH57">
        <v>5</v>
      </c>
      <c r="AI57">
        <v>3076</v>
      </c>
      <c r="AJ57">
        <v>3.6549999999999998</v>
      </c>
      <c r="AK57" t="str">
        <f t="shared" si="0"/>
        <v>00118-6200</v>
      </c>
    </row>
    <row r="58" spans="1:37">
      <c r="A58" t="s">
        <v>156</v>
      </c>
      <c r="B58" t="s">
        <v>157</v>
      </c>
      <c r="C58" t="s">
        <v>146</v>
      </c>
      <c r="D58" t="s">
        <v>158</v>
      </c>
      <c r="E58">
        <v>0</v>
      </c>
      <c r="F58">
        <v>15.2</v>
      </c>
      <c r="G58">
        <v>0</v>
      </c>
      <c r="H58">
        <v>30</v>
      </c>
      <c r="I58">
        <v>24</v>
      </c>
      <c r="J58">
        <v>21</v>
      </c>
      <c r="K58">
        <v>1824</v>
      </c>
      <c r="L58">
        <v>0</v>
      </c>
      <c r="M58">
        <v>0</v>
      </c>
      <c r="N58">
        <v>0</v>
      </c>
      <c r="O58">
        <v>0</v>
      </c>
      <c r="P58">
        <v>0</v>
      </c>
      <c r="Q58">
        <v>1824</v>
      </c>
      <c r="R58">
        <v>0</v>
      </c>
      <c r="S58">
        <v>37</v>
      </c>
      <c r="T58">
        <v>19</v>
      </c>
      <c r="U58">
        <v>34</v>
      </c>
      <c r="V58">
        <v>33</v>
      </c>
      <c r="W58">
        <v>21</v>
      </c>
      <c r="X58">
        <v>0</v>
      </c>
      <c r="Y58">
        <v>73</v>
      </c>
      <c r="Z58">
        <v>30</v>
      </c>
      <c r="AA58">
        <v>0</v>
      </c>
      <c r="AB58">
        <v>2</v>
      </c>
      <c r="AC58">
        <v>3</v>
      </c>
      <c r="AD58">
        <v>0</v>
      </c>
      <c r="AE58">
        <v>252</v>
      </c>
      <c r="AF58">
        <v>12</v>
      </c>
      <c r="AG58" t="s">
        <v>149</v>
      </c>
      <c r="AH58">
        <v>6</v>
      </c>
      <c r="AI58">
        <v>3000</v>
      </c>
      <c r="AJ58">
        <v>2.27</v>
      </c>
      <c r="AK58" t="str">
        <f t="shared" si="0"/>
        <v>00119-5000</v>
      </c>
    </row>
    <row r="59" spans="1:37">
      <c r="A59" t="s">
        <v>159</v>
      </c>
      <c r="B59" t="s">
        <v>157</v>
      </c>
      <c r="C59" t="s">
        <v>146</v>
      </c>
      <c r="D59" t="s">
        <v>158</v>
      </c>
      <c r="E59">
        <v>0</v>
      </c>
      <c r="F59">
        <v>14.1</v>
      </c>
      <c r="G59">
        <v>55</v>
      </c>
      <c r="H59">
        <v>35</v>
      </c>
      <c r="I59">
        <v>48</v>
      </c>
      <c r="J59">
        <v>64</v>
      </c>
      <c r="K59">
        <v>2023</v>
      </c>
      <c r="L59">
        <v>11</v>
      </c>
      <c r="M59">
        <v>0</v>
      </c>
      <c r="N59">
        <v>46</v>
      </c>
      <c r="O59">
        <v>0</v>
      </c>
      <c r="P59">
        <v>0</v>
      </c>
      <c r="Q59">
        <v>1977</v>
      </c>
      <c r="R59">
        <v>0</v>
      </c>
      <c r="S59">
        <v>4</v>
      </c>
      <c r="T59">
        <v>23</v>
      </c>
      <c r="U59">
        <v>79</v>
      </c>
      <c r="V59">
        <v>82</v>
      </c>
      <c r="W59">
        <v>48</v>
      </c>
      <c r="X59">
        <v>51</v>
      </c>
      <c r="Y59">
        <v>3</v>
      </c>
      <c r="Z59">
        <v>69</v>
      </c>
      <c r="AA59">
        <v>130</v>
      </c>
      <c r="AB59">
        <v>196</v>
      </c>
      <c r="AC59">
        <v>3</v>
      </c>
      <c r="AD59">
        <v>84</v>
      </c>
      <c r="AE59">
        <v>771</v>
      </c>
      <c r="AF59">
        <v>413</v>
      </c>
      <c r="AG59" t="s">
        <v>149</v>
      </c>
      <c r="AH59">
        <v>7</v>
      </c>
      <c r="AI59">
        <v>1090</v>
      </c>
      <c r="AJ59">
        <v>2.8660000000000001</v>
      </c>
      <c r="AK59" t="str">
        <f t="shared" si="0"/>
        <v>00119-6200</v>
      </c>
    </row>
    <row r="60" spans="1:37">
      <c r="A60" t="s">
        <v>160</v>
      </c>
      <c r="B60" t="s">
        <v>161</v>
      </c>
      <c r="C60" t="s">
        <v>141</v>
      </c>
      <c r="D60" t="s">
        <v>162</v>
      </c>
      <c r="E60">
        <v>66</v>
      </c>
      <c r="F60">
        <v>-0.1</v>
      </c>
      <c r="G60">
        <v>37</v>
      </c>
      <c r="H60">
        <v>62</v>
      </c>
      <c r="I60">
        <v>81</v>
      </c>
      <c r="J60">
        <v>80</v>
      </c>
      <c r="K60">
        <v>0</v>
      </c>
      <c r="L60">
        <v>67</v>
      </c>
      <c r="M60">
        <v>0</v>
      </c>
      <c r="N60">
        <v>31</v>
      </c>
      <c r="O60">
        <v>0</v>
      </c>
      <c r="P60">
        <v>0</v>
      </c>
      <c r="Q60">
        <v>-31</v>
      </c>
      <c r="R60">
        <v>0</v>
      </c>
      <c r="S60">
        <v>80</v>
      </c>
      <c r="T60">
        <v>0</v>
      </c>
      <c r="U60">
        <v>107</v>
      </c>
      <c r="V60">
        <v>0</v>
      </c>
      <c r="W60">
        <v>221</v>
      </c>
      <c r="X60">
        <v>77</v>
      </c>
      <c r="Y60">
        <v>176</v>
      </c>
      <c r="Z60">
        <v>51</v>
      </c>
      <c r="AA60">
        <v>140</v>
      </c>
      <c r="AB60">
        <v>50</v>
      </c>
      <c r="AC60">
        <v>58</v>
      </c>
      <c r="AD60">
        <v>0</v>
      </c>
      <c r="AE60">
        <v>960</v>
      </c>
      <c r="AF60">
        <v>890</v>
      </c>
      <c r="AJ60">
        <v>0</v>
      </c>
      <c r="AK60" t="str">
        <f t="shared" si="0"/>
        <v>00301-4300</v>
      </c>
    </row>
    <row r="61" spans="1:37">
      <c r="A61" t="s">
        <v>163</v>
      </c>
      <c r="B61" t="s">
        <v>164</v>
      </c>
      <c r="C61" t="s">
        <v>141</v>
      </c>
      <c r="E61">
        <v>66</v>
      </c>
      <c r="F61">
        <v>-0.1</v>
      </c>
      <c r="G61">
        <v>690</v>
      </c>
      <c r="H61">
        <v>586</v>
      </c>
      <c r="I61">
        <v>597</v>
      </c>
      <c r="J61">
        <v>492</v>
      </c>
      <c r="K61">
        <v>271</v>
      </c>
      <c r="L61">
        <v>715</v>
      </c>
      <c r="M61">
        <v>0</v>
      </c>
      <c r="N61">
        <v>575</v>
      </c>
      <c r="O61">
        <v>0</v>
      </c>
      <c r="P61">
        <v>0</v>
      </c>
      <c r="Q61">
        <v>-304</v>
      </c>
      <c r="R61">
        <v>0</v>
      </c>
      <c r="S61">
        <v>574</v>
      </c>
      <c r="T61">
        <v>753</v>
      </c>
      <c r="U61">
        <v>430</v>
      </c>
      <c r="V61">
        <v>278</v>
      </c>
      <c r="W61">
        <v>1060</v>
      </c>
      <c r="X61">
        <v>484</v>
      </c>
      <c r="Y61">
        <v>625</v>
      </c>
      <c r="Z61">
        <v>538</v>
      </c>
      <c r="AA61">
        <v>605</v>
      </c>
      <c r="AB61">
        <v>492</v>
      </c>
      <c r="AC61">
        <v>61</v>
      </c>
      <c r="AD61">
        <v>0</v>
      </c>
      <c r="AE61">
        <v>5900</v>
      </c>
      <c r="AF61">
        <v>5186</v>
      </c>
      <c r="AG61" t="s">
        <v>165</v>
      </c>
      <c r="AH61">
        <v>2</v>
      </c>
      <c r="AI61">
        <v>4000</v>
      </c>
      <c r="AJ61">
        <v>2.5299999999999998</v>
      </c>
      <c r="AK61" t="str">
        <f t="shared" si="0"/>
        <v>00301-6200</v>
      </c>
    </row>
    <row r="62" spans="1:37">
      <c r="A62" t="s">
        <v>166</v>
      </c>
      <c r="B62" t="s">
        <v>167</v>
      </c>
      <c r="C62" t="s">
        <v>141</v>
      </c>
      <c r="E62">
        <v>38.5</v>
      </c>
      <c r="F62">
        <v>0</v>
      </c>
      <c r="G62">
        <v>2</v>
      </c>
      <c r="H62">
        <v>0</v>
      </c>
      <c r="I62">
        <v>0</v>
      </c>
      <c r="J62">
        <v>13</v>
      </c>
      <c r="K62">
        <v>759</v>
      </c>
      <c r="L62">
        <v>41</v>
      </c>
      <c r="M62">
        <v>0</v>
      </c>
      <c r="N62">
        <v>2</v>
      </c>
      <c r="O62">
        <v>0</v>
      </c>
      <c r="P62">
        <v>0</v>
      </c>
      <c r="Q62">
        <v>757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105</v>
      </c>
      <c r="Z62">
        <v>0</v>
      </c>
      <c r="AA62">
        <v>0</v>
      </c>
      <c r="AB62">
        <v>48</v>
      </c>
      <c r="AC62">
        <v>0</v>
      </c>
      <c r="AD62">
        <v>0</v>
      </c>
      <c r="AE62">
        <v>153</v>
      </c>
      <c r="AF62">
        <v>81</v>
      </c>
      <c r="AJ62">
        <v>3.41</v>
      </c>
      <c r="AK62" t="str">
        <f t="shared" si="0"/>
        <v>00302-3700</v>
      </c>
    </row>
    <row r="63" spans="1:37">
      <c r="A63" t="s">
        <v>168</v>
      </c>
      <c r="B63" t="s">
        <v>167</v>
      </c>
      <c r="C63" t="s">
        <v>141</v>
      </c>
      <c r="E63">
        <v>38.5</v>
      </c>
      <c r="F63">
        <v>0.4</v>
      </c>
      <c r="G63">
        <v>456</v>
      </c>
      <c r="H63">
        <v>1008</v>
      </c>
      <c r="I63">
        <v>896</v>
      </c>
      <c r="J63">
        <v>907</v>
      </c>
      <c r="K63">
        <v>1811</v>
      </c>
      <c r="L63">
        <v>1100</v>
      </c>
      <c r="M63">
        <v>0</v>
      </c>
      <c r="N63">
        <v>380</v>
      </c>
      <c r="O63">
        <v>0</v>
      </c>
      <c r="P63">
        <v>0</v>
      </c>
      <c r="Q63">
        <v>1431</v>
      </c>
      <c r="R63">
        <v>0</v>
      </c>
      <c r="S63">
        <v>1253</v>
      </c>
      <c r="T63">
        <v>1409</v>
      </c>
      <c r="U63">
        <v>362</v>
      </c>
      <c r="V63">
        <v>1161</v>
      </c>
      <c r="W63">
        <v>481</v>
      </c>
      <c r="X63">
        <v>707</v>
      </c>
      <c r="Y63">
        <v>894</v>
      </c>
      <c r="Z63">
        <v>641</v>
      </c>
      <c r="AA63">
        <v>1467</v>
      </c>
      <c r="AB63">
        <v>773</v>
      </c>
      <c r="AC63">
        <v>1010</v>
      </c>
      <c r="AD63">
        <v>721</v>
      </c>
      <c r="AE63">
        <v>10879</v>
      </c>
      <c r="AF63">
        <v>8257</v>
      </c>
      <c r="AG63" t="s">
        <v>169</v>
      </c>
      <c r="AH63">
        <v>1</v>
      </c>
      <c r="AI63">
        <v>5</v>
      </c>
      <c r="AJ63">
        <v>4.1500000000000004</v>
      </c>
      <c r="AK63" t="str">
        <f t="shared" si="0"/>
        <v>00302-5000</v>
      </c>
    </row>
    <row r="64" spans="1:37">
      <c r="A64" t="s">
        <v>168</v>
      </c>
      <c r="B64" t="s">
        <v>167</v>
      </c>
      <c r="C64" t="s">
        <v>141</v>
      </c>
      <c r="E64">
        <v>38.5</v>
      </c>
      <c r="AG64" t="s">
        <v>170</v>
      </c>
      <c r="AH64">
        <v>2</v>
      </c>
      <c r="AI64">
        <v>147</v>
      </c>
      <c r="AK64" t="str">
        <f t="shared" si="0"/>
        <v>00302-5000</v>
      </c>
    </row>
    <row r="65" spans="1:37">
      <c r="A65" t="s">
        <v>168</v>
      </c>
      <c r="B65" t="s">
        <v>167</v>
      </c>
      <c r="C65" t="s">
        <v>141</v>
      </c>
      <c r="E65">
        <v>38.5</v>
      </c>
      <c r="AG65" t="s">
        <v>5350</v>
      </c>
      <c r="AH65">
        <v>3</v>
      </c>
      <c r="AI65">
        <v>5000</v>
      </c>
      <c r="AK65" t="str">
        <f t="shared" si="0"/>
        <v>00302-5000</v>
      </c>
    </row>
    <row r="66" spans="1:37">
      <c r="A66" t="s">
        <v>171</v>
      </c>
      <c r="B66" t="s">
        <v>172</v>
      </c>
      <c r="C66" t="s">
        <v>141</v>
      </c>
      <c r="E66">
        <v>38.5</v>
      </c>
      <c r="F66">
        <v>0</v>
      </c>
      <c r="G66">
        <v>0</v>
      </c>
      <c r="H66">
        <v>0</v>
      </c>
      <c r="I66">
        <v>0</v>
      </c>
      <c r="J66">
        <v>0</v>
      </c>
      <c r="K66">
        <v>58890</v>
      </c>
      <c r="L66">
        <v>0</v>
      </c>
      <c r="M66">
        <v>0</v>
      </c>
      <c r="N66">
        <v>0</v>
      </c>
      <c r="O66">
        <v>0</v>
      </c>
      <c r="P66">
        <v>0</v>
      </c>
      <c r="Q66">
        <v>58890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J66">
        <v>4.3</v>
      </c>
      <c r="AK66" t="str">
        <f t="shared" si="0"/>
        <v>00302-5100</v>
      </c>
    </row>
    <row r="67" spans="1:37">
      <c r="A67" t="s">
        <v>173</v>
      </c>
      <c r="B67" t="s">
        <v>167</v>
      </c>
      <c r="C67" t="s">
        <v>141</v>
      </c>
      <c r="E67">
        <v>38.5</v>
      </c>
      <c r="F67">
        <v>0.3</v>
      </c>
      <c r="G67">
        <v>239</v>
      </c>
      <c r="H67">
        <v>721</v>
      </c>
      <c r="I67">
        <v>475</v>
      </c>
      <c r="J67">
        <v>653</v>
      </c>
      <c r="K67">
        <v>990</v>
      </c>
      <c r="L67">
        <v>672</v>
      </c>
      <c r="M67">
        <v>0</v>
      </c>
      <c r="N67">
        <v>199</v>
      </c>
      <c r="O67">
        <v>0</v>
      </c>
      <c r="P67">
        <v>0</v>
      </c>
      <c r="Q67">
        <v>791</v>
      </c>
      <c r="R67">
        <v>0</v>
      </c>
      <c r="S67">
        <v>884</v>
      </c>
      <c r="T67">
        <v>678</v>
      </c>
      <c r="U67">
        <v>601</v>
      </c>
      <c r="V67">
        <v>532</v>
      </c>
      <c r="W67">
        <v>154</v>
      </c>
      <c r="X67">
        <v>0</v>
      </c>
      <c r="Y67">
        <v>1892</v>
      </c>
      <c r="Z67">
        <v>486</v>
      </c>
      <c r="AA67">
        <v>382</v>
      </c>
      <c r="AB67">
        <v>906</v>
      </c>
      <c r="AC67">
        <v>745</v>
      </c>
      <c r="AD67">
        <v>578</v>
      </c>
      <c r="AE67">
        <v>7838</v>
      </c>
      <c r="AF67">
        <v>8374</v>
      </c>
      <c r="AG67" t="s">
        <v>174</v>
      </c>
      <c r="AH67">
        <v>2</v>
      </c>
      <c r="AI67">
        <v>2000</v>
      </c>
      <c r="AJ67">
        <v>3.83</v>
      </c>
      <c r="AK67" t="str">
        <f t="shared" si="0"/>
        <v>00302-6200</v>
      </c>
    </row>
    <row r="68" spans="1:37">
      <c r="A68" t="s">
        <v>175</v>
      </c>
      <c r="B68" t="s">
        <v>172</v>
      </c>
      <c r="C68" t="s">
        <v>141</v>
      </c>
      <c r="E68">
        <v>38.5</v>
      </c>
      <c r="F68">
        <v>0</v>
      </c>
      <c r="G68">
        <v>0</v>
      </c>
      <c r="H68">
        <v>0</v>
      </c>
      <c r="I68">
        <v>0</v>
      </c>
      <c r="J68">
        <v>0</v>
      </c>
      <c r="K68">
        <v>34615</v>
      </c>
      <c r="L68">
        <v>0</v>
      </c>
      <c r="M68">
        <v>0</v>
      </c>
      <c r="N68">
        <v>0</v>
      </c>
      <c r="O68">
        <v>0</v>
      </c>
      <c r="P68">
        <v>0</v>
      </c>
      <c r="Q68">
        <v>34615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J68">
        <v>4.3</v>
      </c>
      <c r="AK68" t="str">
        <f t="shared" si="0"/>
        <v>00302-6300</v>
      </c>
    </row>
    <row r="69" spans="1:37">
      <c r="A69" t="s">
        <v>176</v>
      </c>
      <c r="B69" t="s">
        <v>177</v>
      </c>
      <c r="C69" t="s">
        <v>141</v>
      </c>
      <c r="E69">
        <v>70</v>
      </c>
      <c r="F69">
        <v>24.3</v>
      </c>
      <c r="G69">
        <v>23</v>
      </c>
      <c r="H69">
        <v>21</v>
      </c>
      <c r="I69">
        <v>10</v>
      </c>
      <c r="J69">
        <v>30</v>
      </c>
      <c r="K69">
        <v>2032</v>
      </c>
      <c r="L69">
        <v>20</v>
      </c>
      <c r="M69">
        <v>0</v>
      </c>
      <c r="N69">
        <v>19</v>
      </c>
      <c r="O69">
        <v>0</v>
      </c>
      <c r="P69">
        <v>0</v>
      </c>
      <c r="Q69">
        <v>2013</v>
      </c>
      <c r="R69">
        <v>0</v>
      </c>
      <c r="S69">
        <v>0</v>
      </c>
      <c r="T69">
        <v>0</v>
      </c>
      <c r="U69">
        <v>62</v>
      </c>
      <c r="V69">
        <v>0</v>
      </c>
      <c r="W69">
        <v>0</v>
      </c>
      <c r="X69">
        <v>0</v>
      </c>
      <c r="Y69">
        <v>60</v>
      </c>
      <c r="Z69">
        <v>37</v>
      </c>
      <c r="AA69">
        <v>0</v>
      </c>
      <c r="AB69">
        <v>200</v>
      </c>
      <c r="AC69">
        <v>0</v>
      </c>
      <c r="AD69">
        <v>0</v>
      </c>
      <c r="AE69">
        <v>359</v>
      </c>
      <c r="AF69">
        <v>4032</v>
      </c>
      <c r="AG69" t="s">
        <v>170</v>
      </c>
      <c r="AH69">
        <v>4</v>
      </c>
      <c r="AI69">
        <v>4000</v>
      </c>
      <c r="AJ69">
        <v>3.12</v>
      </c>
      <c r="AK69" t="str">
        <f t="shared" ref="AK69:AK132" si="1">MID(A69,4,10)</f>
        <v>00305-3700</v>
      </c>
    </row>
    <row r="70" spans="1:37">
      <c r="A70" t="s">
        <v>178</v>
      </c>
      <c r="B70" t="s">
        <v>177</v>
      </c>
      <c r="C70" t="s">
        <v>141</v>
      </c>
      <c r="E70">
        <v>70</v>
      </c>
      <c r="F70">
        <v>0.3</v>
      </c>
      <c r="G70">
        <v>1859</v>
      </c>
      <c r="H70">
        <v>2238</v>
      </c>
      <c r="I70">
        <v>2091</v>
      </c>
      <c r="J70">
        <v>1942</v>
      </c>
      <c r="K70">
        <v>4074</v>
      </c>
      <c r="L70">
        <v>1313</v>
      </c>
      <c r="M70">
        <v>0</v>
      </c>
      <c r="N70">
        <v>1549</v>
      </c>
      <c r="O70">
        <v>0</v>
      </c>
      <c r="P70">
        <v>0</v>
      </c>
      <c r="Q70">
        <v>2525</v>
      </c>
      <c r="R70">
        <v>0</v>
      </c>
      <c r="S70">
        <v>2024</v>
      </c>
      <c r="T70">
        <v>1615</v>
      </c>
      <c r="U70">
        <v>3076</v>
      </c>
      <c r="V70">
        <v>2089</v>
      </c>
      <c r="W70">
        <v>1357</v>
      </c>
      <c r="X70">
        <v>2383</v>
      </c>
      <c r="Y70">
        <v>1642</v>
      </c>
      <c r="Z70">
        <v>1654</v>
      </c>
      <c r="AA70">
        <v>1220</v>
      </c>
      <c r="AB70">
        <v>2015</v>
      </c>
      <c r="AC70">
        <v>1923</v>
      </c>
      <c r="AD70">
        <v>2309</v>
      </c>
      <c r="AE70">
        <v>23307</v>
      </c>
      <c r="AF70">
        <v>21347</v>
      </c>
      <c r="AG70" t="s">
        <v>179</v>
      </c>
      <c r="AH70">
        <v>3</v>
      </c>
      <c r="AI70">
        <v>240</v>
      </c>
      <c r="AJ70">
        <v>3.58</v>
      </c>
      <c r="AK70" t="str">
        <f t="shared" si="1"/>
        <v>00305-5000</v>
      </c>
    </row>
    <row r="71" spans="1:37">
      <c r="A71" t="s">
        <v>180</v>
      </c>
      <c r="B71" t="s">
        <v>177</v>
      </c>
      <c r="C71" t="s">
        <v>141</v>
      </c>
      <c r="E71">
        <v>70</v>
      </c>
      <c r="F71">
        <v>0.2</v>
      </c>
      <c r="G71">
        <v>531</v>
      </c>
      <c r="H71">
        <v>973</v>
      </c>
      <c r="I71">
        <v>487</v>
      </c>
      <c r="J71">
        <v>686</v>
      </c>
      <c r="K71">
        <v>1076</v>
      </c>
      <c r="L71">
        <v>591</v>
      </c>
      <c r="M71">
        <v>0</v>
      </c>
      <c r="N71">
        <v>443</v>
      </c>
      <c r="O71">
        <v>0</v>
      </c>
      <c r="P71">
        <v>0</v>
      </c>
      <c r="Q71">
        <v>633</v>
      </c>
      <c r="R71">
        <v>0</v>
      </c>
      <c r="S71">
        <v>2920</v>
      </c>
      <c r="T71">
        <v>0</v>
      </c>
      <c r="U71">
        <v>0</v>
      </c>
      <c r="V71">
        <v>0</v>
      </c>
      <c r="W71">
        <v>0</v>
      </c>
      <c r="X71">
        <v>0</v>
      </c>
      <c r="Y71">
        <v>392</v>
      </c>
      <c r="Z71">
        <v>1000</v>
      </c>
      <c r="AA71">
        <v>761</v>
      </c>
      <c r="AB71">
        <v>864</v>
      </c>
      <c r="AC71">
        <v>1377</v>
      </c>
      <c r="AD71">
        <v>920</v>
      </c>
      <c r="AE71">
        <v>8234</v>
      </c>
      <c r="AF71">
        <v>11053</v>
      </c>
      <c r="AG71" t="s">
        <v>169</v>
      </c>
      <c r="AH71">
        <v>5</v>
      </c>
      <c r="AI71">
        <v>21</v>
      </c>
      <c r="AJ71">
        <v>3.58</v>
      </c>
      <c r="AK71" t="str">
        <f t="shared" si="1"/>
        <v>00305-6200</v>
      </c>
    </row>
    <row r="72" spans="1:37">
      <c r="A72" t="s">
        <v>180</v>
      </c>
      <c r="B72" t="s">
        <v>177</v>
      </c>
      <c r="C72" t="s">
        <v>141</v>
      </c>
      <c r="E72">
        <v>70</v>
      </c>
      <c r="AG72" t="s">
        <v>179</v>
      </c>
      <c r="AH72">
        <v>2</v>
      </c>
      <c r="AI72">
        <v>114</v>
      </c>
      <c r="AK72" t="str">
        <f t="shared" si="1"/>
        <v>00305-6200</v>
      </c>
    </row>
    <row r="73" spans="1:37">
      <c r="A73" t="s">
        <v>181</v>
      </c>
      <c r="B73" t="s">
        <v>182</v>
      </c>
      <c r="C73" t="s">
        <v>183</v>
      </c>
      <c r="E73">
        <v>135</v>
      </c>
      <c r="F73">
        <v>0.7</v>
      </c>
      <c r="G73">
        <v>849</v>
      </c>
      <c r="H73">
        <v>733</v>
      </c>
      <c r="I73">
        <v>506</v>
      </c>
      <c r="J73">
        <v>602</v>
      </c>
      <c r="K73">
        <v>2757</v>
      </c>
      <c r="L73">
        <v>409</v>
      </c>
      <c r="M73">
        <v>0</v>
      </c>
      <c r="N73">
        <v>707</v>
      </c>
      <c r="O73">
        <v>0</v>
      </c>
      <c r="P73">
        <v>0</v>
      </c>
      <c r="Q73">
        <v>2050</v>
      </c>
      <c r="R73">
        <v>0</v>
      </c>
      <c r="S73">
        <v>845</v>
      </c>
      <c r="T73">
        <v>1007</v>
      </c>
      <c r="U73">
        <v>346</v>
      </c>
      <c r="V73">
        <v>430</v>
      </c>
      <c r="W73">
        <v>330</v>
      </c>
      <c r="X73">
        <v>79</v>
      </c>
      <c r="Y73">
        <v>808</v>
      </c>
      <c r="Z73">
        <v>841</v>
      </c>
      <c r="AA73">
        <v>0</v>
      </c>
      <c r="AB73">
        <v>678</v>
      </c>
      <c r="AC73">
        <v>1282</v>
      </c>
      <c r="AD73">
        <v>580</v>
      </c>
      <c r="AE73">
        <v>7226</v>
      </c>
      <c r="AF73">
        <v>2776</v>
      </c>
      <c r="AG73" t="s">
        <v>5351</v>
      </c>
      <c r="AH73">
        <v>1</v>
      </c>
      <c r="AI73">
        <v>1030</v>
      </c>
      <c r="AJ73">
        <v>4.5971000000000002</v>
      </c>
      <c r="AK73" t="str">
        <f t="shared" si="1"/>
        <v>00306-5000</v>
      </c>
    </row>
    <row r="74" spans="1:37">
      <c r="A74" t="s">
        <v>181</v>
      </c>
      <c r="B74" t="s">
        <v>182</v>
      </c>
      <c r="C74" t="s">
        <v>183</v>
      </c>
      <c r="E74">
        <v>135</v>
      </c>
      <c r="AG74" t="s">
        <v>7477</v>
      </c>
      <c r="AH74">
        <v>2</v>
      </c>
      <c r="AI74">
        <v>2000</v>
      </c>
      <c r="AK74" t="str">
        <f t="shared" si="1"/>
        <v>00306-5000</v>
      </c>
    </row>
    <row r="75" spans="1:37">
      <c r="A75" t="s">
        <v>185</v>
      </c>
      <c r="B75" t="s">
        <v>182</v>
      </c>
      <c r="C75" t="s">
        <v>183</v>
      </c>
      <c r="E75">
        <v>135</v>
      </c>
      <c r="F75">
        <v>24</v>
      </c>
      <c r="G75">
        <v>148</v>
      </c>
      <c r="H75">
        <v>49</v>
      </c>
      <c r="I75">
        <v>234</v>
      </c>
      <c r="J75">
        <v>382</v>
      </c>
      <c r="K75">
        <v>4804</v>
      </c>
      <c r="L75">
        <v>854</v>
      </c>
      <c r="M75">
        <v>0</v>
      </c>
      <c r="N75">
        <v>123</v>
      </c>
      <c r="O75">
        <v>0</v>
      </c>
      <c r="P75">
        <v>0</v>
      </c>
      <c r="Q75">
        <v>4681</v>
      </c>
      <c r="R75">
        <v>0</v>
      </c>
      <c r="S75">
        <v>146</v>
      </c>
      <c r="T75">
        <v>0</v>
      </c>
      <c r="U75">
        <v>0</v>
      </c>
      <c r="V75">
        <v>530</v>
      </c>
      <c r="W75">
        <v>727</v>
      </c>
      <c r="X75">
        <v>0</v>
      </c>
      <c r="Y75">
        <v>299</v>
      </c>
      <c r="Z75">
        <v>703</v>
      </c>
      <c r="AA75">
        <v>0</v>
      </c>
      <c r="AB75">
        <v>1445</v>
      </c>
      <c r="AC75">
        <v>423</v>
      </c>
      <c r="AD75">
        <v>307</v>
      </c>
      <c r="AE75">
        <v>4580</v>
      </c>
      <c r="AF75">
        <v>4801</v>
      </c>
      <c r="AG75" t="s">
        <v>5351</v>
      </c>
      <c r="AH75">
        <v>2</v>
      </c>
      <c r="AI75">
        <v>1281</v>
      </c>
      <c r="AJ75">
        <v>4.5971000000000002</v>
      </c>
      <c r="AK75" t="str">
        <f t="shared" si="1"/>
        <v>00306-6200</v>
      </c>
    </row>
    <row r="76" spans="1:37">
      <c r="A76" t="s">
        <v>186</v>
      </c>
      <c r="B76" t="s">
        <v>187</v>
      </c>
      <c r="C76" t="s">
        <v>183</v>
      </c>
      <c r="E76">
        <v>130</v>
      </c>
      <c r="F76">
        <v>0.8</v>
      </c>
      <c r="G76">
        <v>244</v>
      </c>
      <c r="H76">
        <v>215</v>
      </c>
      <c r="I76">
        <v>234</v>
      </c>
      <c r="J76">
        <v>265</v>
      </c>
      <c r="K76">
        <v>862</v>
      </c>
      <c r="L76">
        <v>219</v>
      </c>
      <c r="M76">
        <v>0</v>
      </c>
      <c r="N76">
        <v>203</v>
      </c>
      <c r="O76">
        <v>0</v>
      </c>
      <c r="P76">
        <v>0</v>
      </c>
      <c r="Q76">
        <v>659</v>
      </c>
      <c r="R76">
        <v>0</v>
      </c>
      <c r="S76">
        <v>0</v>
      </c>
      <c r="T76">
        <v>344</v>
      </c>
      <c r="U76">
        <v>300</v>
      </c>
      <c r="V76">
        <v>303</v>
      </c>
      <c r="W76">
        <v>0</v>
      </c>
      <c r="X76">
        <v>455</v>
      </c>
      <c r="Y76">
        <v>93</v>
      </c>
      <c r="Z76">
        <v>405</v>
      </c>
      <c r="AA76">
        <v>429</v>
      </c>
      <c r="AB76">
        <v>369</v>
      </c>
      <c r="AC76">
        <v>0</v>
      </c>
      <c r="AD76">
        <v>477</v>
      </c>
      <c r="AE76">
        <v>3175</v>
      </c>
      <c r="AF76">
        <v>4491</v>
      </c>
      <c r="AG76" t="s">
        <v>188</v>
      </c>
      <c r="AH76">
        <v>1</v>
      </c>
      <c r="AI76">
        <v>800</v>
      </c>
      <c r="AJ76">
        <v>4.5130999999999997</v>
      </c>
      <c r="AK76" t="str">
        <f t="shared" si="1"/>
        <v>00311-5000</v>
      </c>
    </row>
    <row r="77" spans="1:37">
      <c r="A77" t="s">
        <v>189</v>
      </c>
      <c r="B77" t="s">
        <v>187</v>
      </c>
      <c r="C77" t="s">
        <v>183</v>
      </c>
      <c r="E77">
        <v>130</v>
      </c>
      <c r="F77">
        <v>5.9</v>
      </c>
      <c r="G77">
        <v>151</v>
      </c>
      <c r="H77">
        <v>56</v>
      </c>
      <c r="I77">
        <v>75</v>
      </c>
      <c r="J77">
        <v>211</v>
      </c>
      <c r="K77">
        <v>1464</v>
      </c>
      <c r="L77">
        <v>193</v>
      </c>
      <c r="M77">
        <v>0</v>
      </c>
      <c r="N77">
        <v>126</v>
      </c>
      <c r="O77">
        <v>0</v>
      </c>
      <c r="P77">
        <v>0</v>
      </c>
      <c r="Q77">
        <v>1338</v>
      </c>
      <c r="R77">
        <v>0</v>
      </c>
      <c r="S77">
        <v>0</v>
      </c>
      <c r="T77">
        <v>169</v>
      </c>
      <c r="U77">
        <v>0</v>
      </c>
      <c r="V77">
        <v>0</v>
      </c>
      <c r="W77">
        <v>0</v>
      </c>
      <c r="X77">
        <v>280</v>
      </c>
      <c r="Y77">
        <v>736</v>
      </c>
      <c r="Z77">
        <v>783</v>
      </c>
      <c r="AA77">
        <v>289</v>
      </c>
      <c r="AB77">
        <v>0</v>
      </c>
      <c r="AC77">
        <v>271</v>
      </c>
      <c r="AD77">
        <v>0</v>
      </c>
      <c r="AE77">
        <v>2528</v>
      </c>
      <c r="AF77">
        <v>3232</v>
      </c>
      <c r="AG77" t="s">
        <v>188</v>
      </c>
      <c r="AH77">
        <v>2</v>
      </c>
      <c r="AI77">
        <v>1200</v>
      </c>
      <c r="AJ77">
        <v>4.5130999999999997</v>
      </c>
      <c r="AK77" t="str">
        <f t="shared" si="1"/>
        <v>00311-6200</v>
      </c>
    </row>
    <row r="78" spans="1:37">
      <c r="A78" t="s">
        <v>191</v>
      </c>
      <c r="B78" t="s">
        <v>192</v>
      </c>
      <c r="C78" t="s">
        <v>183</v>
      </c>
      <c r="E78">
        <v>135</v>
      </c>
      <c r="F78">
        <v>2.6</v>
      </c>
      <c r="G78">
        <v>14</v>
      </c>
      <c r="H78">
        <v>130</v>
      </c>
      <c r="I78">
        <v>268</v>
      </c>
      <c r="J78">
        <v>252</v>
      </c>
      <c r="K78">
        <v>1374</v>
      </c>
      <c r="L78">
        <v>713</v>
      </c>
      <c r="M78">
        <v>0</v>
      </c>
      <c r="N78">
        <v>11</v>
      </c>
      <c r="O78">
        <v>0</v>
      </c>
      <c r="P78">
        <v>0</v>
      </c>
      <c r="Q78">
        <v>1363</v>
      </c>
      <c r="R78">
        <v>0</v>
      </c>
      <c r="S78">
        <v>0</v>
      </c>
      <c r="T78">
        <v>391</v>
      </c>
      <c r="U78">
        <v>0</v>
      </c>
      <c r="V78">
        <v>754</v>
      </c>
      <c r="W78">
        <v>71</v>
      </c>
      <c r="X78">
        <v>391</v>
      </c>
      <c r="Y78">
        <v>259</v>
      </c>
      <c r="Z78">
        <v>161</v>
      </c>
      <c r="AA78">
        <v>237</v>
      </c>
      <c r="AB78">
        <v>0</v>
      </c>
      <c r="AC78">
        <v>312</v>
      </c>
      <c r="AD78">
        <v>453</v>
      </c>
      <c r="AE78">
        <v>3029</v>
      </c>
      <c r="AF78">
        <v>1936</v>
      </c>
      <c r="AG78" t="s">
        <v>5351</v>
      </c>
      <c r="AH78">
        <v>10</v>
      </c>
      <c r="AI78">
        <v>2000</v>
      </c>
      <c r="AJ78">
        <v>4.6142000000000003</v>
      </c>
      <c r="AK78" t="str">
        <f t="shared" si="1"/>
        <v>00312-5000</v>
      </c>
    </row>
    <row r="79" spans="1:37">
      <c r="A79" t="s">
        <v>193</v>
      </c>
      <c r="B79" t="s">
        <v>192</v>
      </c>
      <c r="C79" t="s">
        <v>183</v>
      </c>
      <c r="E79">
        <v>135</v>
      </c>
      <c r="F79">
        <v>1.2</v>
      </c>
      <c r="G79">
        <v>0</v>
      </c>
      <c r="H79">
        <v>285</v>
      </c>
      <c r="I79">
        <v>199</v>
      </c>
      <c r="J79">
        <v>194</v>
      </c>
      <c r="K79">
        <v>1389</v>
      </c>
      <c r="L79">
        <v>299</v>
      </c>
      <c r="M79">
        <v>0</v>
      </c>
      <c r="N79">
        <v>0</v>
      </c>
      <c r="O79">
        <v>0</v>
      </c>
      <c r="P79">
        <v>0</v>
      </c>
      <c r="Q79">
        <v>1389</v>
      </c>
      <c r="R79">
        <v>0</v>
      </c>
      <c r="S79">
        <v>0</v>
      </c>
      <c r="T79">
        <v>383</v>
      </c>
      <c r="U79">
        <v>473</v>
      </c>
      <c r="V79">
        <v>267</v>
      </c>
      <c r="W79">
        <v>73</v>
      </c>
      <c r="X79">
        <v>0</v>
      </c>
      <c r="Y79">
        <v>0</v>
      </c>
      <c r="Z79">
        <v>636</v>
      </c>
      <c r="AA79">
        <v>180</v>
      </c>
      <c r="AB79">
        <v>311</v>
      </c>
      <c r="AC79">
        <v>0</v>
      </c>
      <c r="AD79">
        <v>0</v>
      </c>
      <c r="AE79">
        <v>2323</v>
      </c>
      <c r="AF79">
        <v>1451</v>
      </c>
      <c r="AJ79">
        <v>4.6142000000000003</v>
      </c>
      <c r="AK79" t="str">
        <f t="shared" si="1"/>
        <v>00312-6200</v>
      </c>
    </row>
    <row r="80" spans="1:37">
      <c r="A80" t="s">
        <v>194</v>
      </c>
      <c r="B80" t="s">
        <v>195</v>
      </c>
      <c r="C80" t="s">
        <v>196</v>
      </c>
      <c r="E80">
        <v>33</v>
      </c>
      <c r="F80">
        <v>0.3</v>
      </c>
      <c r="G80">
        <v>0</v>
      </c>
      <c r="H80">
        <v>328</v>
      </c>
      <c r="I80">
        <v>164</v>
      </c>
      <c r="J80">
        <v>211</v>
      </c>
      <c r="K80">
        <v>379</v>
      </c>
      <c r="L80">
        <v>0</v>
      </c>
      <c r="M80">
        <v>0</v>
      </c>
      <c r="N80">
        <v>0</v>
      </c>
      <c r="O80">
        <v>0</v>
      </c>
      <c r="P80">
        <v>0</v>
      </c>
      <c r="Q80">
        <v>379</v>
      </c>
      <c r="R80">
        <v>0</v>
      </c>
      <c r="S80">
        <v>504</v>
      </c>
      <c r="T80">
        <v>479</v>
      </c>
      <c r="U80">
        <v>0</v>
      </c>
      <c r="V80">
        <v>0</v>
      </c>
      <c r="W80">
        <v>0</v>
      </c>
      <c r="X80">
        <v>0</v>
      </c>
      <c r="Y80">
        <v>0</v>
      </c>
      <c r="Z80">
        <v>551</v>
      </c>
      <c r="AA80">
        <v>0</v>
      </c>
      <c r="AB80">
        <v>0</v>
      </c>
      <c r="AC80">
        <v>430</v>
      </c>
      <c r="AD80">
        <v>562</v>
      </c>
      <c r="AE80">
        <v>2526</v>
      </c>
      <c r="AF80">
        <v>1900</v>
      </c>
      <c r="AJ80">
        <v>0.39750000000000002</v>
      </c>
      <c r="AK80" t="str">
        <f t="shared" si="1"/>
        <v>00317-3700</v>
      </c>
    </row>
    <row r="81" spans="1:37">
      <c r="A81" t="s">
        <v>197</v>
      </c>
      <c r="B81" t="s">
        <v>195</v>
      </c>
      <c r="C81" t="s">
        <v>196</v>
      </c>
      <c r="E81">
        <v>33</v>
      </c>
      <c r="F81">
        <v>1.1000000000000001</v>
      </c>
      <c r="G81">
        <v>12</v>
      </c>
      <c r="H81">
        <v>9838</v>
      </c>
      <c r="I81">
        <v>9444</v>
      </c>
      <c r="J81">
        <v>8791</v>
      </c>
      <c r="K81">
        <v>42027</v>
      </c>
      <c r="L81">
        <v>2232</v>
      </c>
      <c r="M81">
        <v>0</v>
      </c>
      <c r="N81">
        <v>10</v>
      </c>
      <c r="O81">
        <v>0</v>
      </c>
      <c r="P81">
        <v>0</v>
      </c>
      <c r="Q81">
        <v>42017</v>
      </c>
      <c r="R81">
        <v>0</v>
      </c>
      <c r="S81">
        <v>11085</v>
      </c>
      <c r="T81">
        <v>8488</v>
      </c>
      <c r="U81">
        <v>9940</v>
      </c>
      <c r="V81">
        <v>10134</v>
      </c>
      <c r="W81">
        <v>10299</v>
      </c>
      <c r="X81">
        <v>6719</v>
      </c>
      <c r="Y81">
        <v>7646</v>
      </c>
      <c r="Z81">
        <v>9500</v>
      </c>
      <c r="AA81">
        <v>9354</v>
      </c>
      <c r="AB81">
        <v>9333</v>
      </c>
      <c r="AC81">
        <v>6231</v>
      </c>
      <c r="AD81">
        <v>6767</v>
      </c>
      <c r="AE81">
        <v>105496</v>
      </c>
      <c r="AF81">
        <v>102203</v>
      </c>
      <c r="AJ81">
        <v>0.505</v>
      </c>
      <c r="AK81" t="str">
        <f t="shared" si="1"/>
        <v>00317-5000</v>
      </c>
    </row>
    <row r="82" spans="1:37">
      <c r="A82" t="s">
        <v>198</v>
      </c>
      <c r="B82" t="s">
        <v>195</v>
      </c>
      <c r="C82" t="s">
        <v>196</v>
      </c>
      <c r="E82">
        <v>33</v>
      </c>
      <c r="F82">
        <v>1</v>
      </c>
      <c r="G82">
        <v>0</v>
      </c>
      <c r="H82">
        <v>8382</v>
      </c>
      <c r="I82">
        <v>6661</v>
      </c>
      <c r="J82">
        <v>6031</v>
      </c>
      <c r="K82">
        <v>33816</v>
      </c>
      <c r="L82">
        <v>3130</v>
      </c>
      <c r="M82">
        <v>0</v>
      </c>
      <c r="N82">
        <v>0</v>
      </c>
      <c r="O82">
        <v>0</v>
      </c>
      <c r="P82">
        <v>0</v>
      </c>
      <c r="Q82">
        <v>33816</v>
      </c>
      <c r="R82">
        <v>-40</v>
      </c>
      <c r="S82">
        <v>7405</v>
      </c>
      <c r="T82">
        <v>5967</v>
      </c>
      <c r="U82">
        <v>11774</v>
      </c>
      <c r="V82">
        <v>3571</v>
      </c>
      <c r="W82">
        <v>6862</v>
      </c>
      <c r="X82">
        <v>4389</v>
      </c>
      <c r="Y82">
        <v>4513</v>
      </c>
      <c r="Z82">
        <v>3536</v>
      </c>
      <c r="AA82">
        <v>5738</v>
      </c>
      <c r="AB82">
        <v>9364</v>
      </c>
      <c r="AC82">
        <v>4915</v>
      </c>
      <c r="AD82">
        <v>4332</v>
      </c>
      <c r="AE82">
        <v>72366</v>
      </c>
      <c r="AF82">
        <v>58742</v>
      </c>
      <c r="AJ82">
        <v>0.505</v>
      </c>
      <c r="AK82" t="str">
        <f t="shared" si="1"/>
        <v>00317-6400</v>
      </c>
    </row>
    <row r="83" spans="1:37">
      <c r="A83" t="s">
        <v>199</v>
      </c>
      <c r="B83" t="s">
        <v>195</v>
      </c>
      <c r="C83" t="s">
        <v>196</v>
      </c>
      <c r="E83">
        <v>33</v>
      </c>
      <c r="F83">
        <v>1.5</v>
      </c>
      <c r="G83">
        <v>0</v>
      </c>
      <c r="H83">
        <v>616</v>
      </c>
      <c r="I83">
        <v>308</v>
      </c>
      <c r="J83">
        <v>298</v>
      </c>
      <c r="K83">
        <v>3719</v>
      </c>
      <c r="L83">
        <v>0</v>
      </c>
      <c r="M83">
        <v>0</v>
      </c>
      <c r="N83">
        <v>0</v>
      </c>
      <c r="O83">
        <v>0</v>
      </c>
      <c r="P83">
        <v>0</v>
      </c>
      <c r="Q83">
        <v>3719</v>
      </c>
      <c r="R83">
        <v>0</v>
      </c>
      <c r="S83">
        <v>1849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1726</v>
      </c>
      <c r="AC83">
        <v>0</v>
      </c>
      <c r="AD83">
        <v>0</v>
      </c>
      <c r="AE83">
        <v>3575</v>
      </c>
      <c r="AF83">
        <v>1665</v>
      </c>
      <c r="AJ83">
        <v>0.505</v>
      </c>
      <c r="AK83" t="str">
        <f t="shared" si="1"/>
        <v>00317-6500</v>
      </c>
    </row>
    <row r="84" spans="1:37">
      <c r="A84" t="s">
        <v>200</v>
      </c>
      <c r="B84" t="s">
        <v>201</v>
      </c>
      <c r="C84" t="s">
        <v>183</v>
      </c>
      <c r="D84" t="s">
        <v>202</v>
      </c>
      <c r="E84">
        <v>143</v>
      </c>
      <c r="F84">
        <v>0.2</v>
      </c>
      <c r="G84">
        <v>2981</v>
      </c>
      <c r="H84">
        <v>5151</v>
      </c>
      <c r="I84">
        <v>3828</v>
      </c>
      <c r="J84">
        <v>4392</v>
      </c>
      <c r="K84">
        <v>6840</v>
      </c>
      <c r="L84">
        <v>1076</v>
      </c>
      <c r="M84">
        <v>0</v>
      </c>
      <c r="N84">
        <v>2484</v>
      </c>
      <c r="O84">
        <v>0</v>
      </c>
      <c r="P84">
        <v>0</v>
      </c>
      <c r="Q84">
        <v>4356</v>
      </c>
      <c r="R84">
        <v>0</v>
      </c>
      <c r="S84">
        <v>4473</v>
      </c>
      <c r="T84">
        <v>5796</v>
      </c>
      <c r="U84">
        <v>5185</v>
      </c>
      <c r="V84">
        <v>2730</v>
      </c>
      <c r="W84">
        <v>2183</v>
      </c>
      <c r="X84">
        <v>2603</v>
      </c>
      <c r="Y84">
        <v>4881</v>
      </c>
      <c r="Z84">
        <v>4480</v>
      </c>
      <c r="AA84">
        <v>4362</v>
      </c>
      <c r="AB84">
        <v>6005</v>
      </c>
      <c r="AC84">
        <v>1391</v>
      </c>
      <c r="AD84">
        <v>8611</v>
      </c>
      <c r="AE84">
        <v>52700</v>
      </c>
      <c r="AF84">
        <v>55794</v>
      </c>
      <c r="AG84" t="s">
        <v>7477</v>
      </c>
      <c r="AH84">
        <v>1</v>
      </c>
      <c r="AI84">
        <v>5000</v>
      </c>
      <c r="AJ84">
        <v>4.9640000000000004</v>
      </c>
      <c r="AK84" t="str">
        <f t="shared" si="1"/>
        <v>00325-5000</v>
      </c>
    </row>
    <row r="85" spans="1:37">
      <c r="A85" t="s">
        <v>204</v>
      </c>
      <c r="B85" t="s">
        <v>201</v>
      </c>
      <c r="C85" t="s">
        <v>183</v>
      </c>
      <c r="D85" t="s">
        <v>205</v>
      </c>
      <c r="E85">
        <v>143</v>
      </c>
      <c r="F85">
        <v>0.4</v>
      </c>
      <c r="G85">
        <v>1415</v>
      </c>
      <c r="H85">
        <v>1724</v>
      </c>
      <c r="I85">
        <v>1458</v>
      </c>
      <c r="J85">
        <v>1419</v>
      </c>
      <c r="K85">
        <v>3687</v>
      </c>
      <c r="L85">
        <v>1688</v>
      </c>
      <c r="M85">
        <v>0</v>
      </c>
      <c r="N85">
        <v>1179</v>
      </c>
      <c r="O85">
        <v>0</v>
      </c>
      <c r="P85">
        <v>0</v>
      </c>
      <c r="Q85">
        <v>2508</v>
      </c>
      <c r="R85">
        <v>0</v>
      </c>
      <c r="S85">
        <v>1359</v>
      </c>
      <c r="T85">
        <v>2689</v>
      </c>
      <c r="U85">
        <v>1125</v>
      </c>
      <c r="V85">
        <v>1230</v>
      </c>
      <c r="W85">
        <v>738</v>
      </c>
      <c r="X85">
        <v>1605</v>
      </c>
      <c r="Y85">
        <v>191</v>
      </c>
      <c r="Z85">
        <v>2873</v>
      </c>
      <c r="AA85">
        <v>1170</v>
      </c>
      <c r="AB85">
        <v>1499</v>
      </c>
      <c r="AC85">
        <v>867</v>
      </c>
      <c r="AD85">
        <v>1681</v>
      </c>
      <c r="AE85">
        <v>17027</v>
      </c>
      <c r="AF85">
        <v>23617</v>
      </c>
      <c r="AG85" t="s">
        <v>206</v>
      </c>
      <c r="AH85">
        <v>2</v>
      </c>
      <c r="AI85">
        <v>1</v>
      </c>
      <c r="AJ85">
        <v>4.9640000000000004</v>
      </c>
      <c r="AK85" t="str">
        <f t="shared" si="1"/>
        <v>00325-6200</v>
      </c>
    </row>
    <row r="86" spans="1:37">
      <c r="A86" t="s">
        <v>204</v>
      </c>
      <c r="B86" t="s">
        <v>201</v>
      </c>
      <c r="C86" t="s">
        <v>183</v>
      </c>
      <c r="D86" t="s">
        <v>205</v>
      </c>
      <c r="E86">
        <v>143</v>
      </c>
      <c r="AG86" t="s">
        <v>203</v>
      </c>
      <c r="AH86">
        <v>2</v>
      </c>
      <c r="AI86">
        <v>3600</v>
      </c>
      <c r="AK86" t="str">
        <f t="shared" si="1"/>
        <v>00325-6200</v>
      </c>
    </row>
    <row r="87" spans="1:37">
      <c r="A87" t="s">
        <v>207</v>
      </c>
      <c r="B87" t="s">
        <v>208</v>
      </c>
      <c r="C87" t="s">
        <v>183</v>
      </c>
      <c r="E87">
        <v>81</v>
      </c>
      <c r="F87">
        <v>1.2</v>
      </c>
      <c r="G87">
        <v>1559</v>
      </c>
      <c r="H87">
        <v>1599</v>
      </c>
      <c r="I87">
        <v>2165</v>
      </c>
      <c r="J87">
        <v>2842</v>
      </c>
      <c r="K87">
        <v>8685</v>
      </c>
      <c r="L87">
        <v>673</v>
      </c>
      <c r="M87">
        <v>0</v>
      </c>
      <c r="N87">
        <v>1299</v>
      </c>
      <c r="O87">
        <v>0</v>
      </c>
      <c r="P87">
        <v>0</v>
      </c>
      <c r="Q87">
        <v>7386</v>
      </c>
      <c r="R87">
        <v>0</v>
      </c>
      <c r="S87">
        <v>1059</v>
      </c>
      <c r="T87">
        <v>2121</v>
      </c>
      <c r="U87">
        <v>1617</v>
      </c>
      <c r="V87">
        <v>3173</v>
      </c>
      <c r="W87">
        <v>3366</v>
      </c>
      <c r="X87">
        <v>1651</v>
      </c>
      <c r="Y87">
        <v>3598</v>
      </c>
      <c r="Z87">
        <v>2509</v>
      </c>
      <c r="AA87">
        <v>2787</v>
      </c>
      <c r="AB87">
        <v>5907</v>
      </c>
      <c r="AC87">
        <v>3665</v>
      </c>
      <c r="AD87">
        <v>2653</v>
      </c>
      <c r="AE87">
        <v>34106</v>
      </c>
      <c r="AF87">
        <v>26032</v>
      </c>
      <c r="AG87" t="s">
        <v>209</v>
      </c>
      <c r="AH87">
        <v>7</v>
      </c>
      <c r="AI87">
        <v>1000</v>
      </c>
      <c r="AJ87">
        <v>4.3343999999999996</v>
      </c>
      <c r="AK87" t="str">
        <f t="shared" si="1"/>
        <v>00326-5000</v>
      </c>
    </row>
    <row r="88" spans="1:37">
      <c r="A88" t="s">
        <v>207</v>
      </c>
      <c r="B88" t="s">
        <v>208</v>
      </c>
      <c r="C88" t="s">
        <v>183</v>
      </c>
      <c r="E88">
        <v>81</v>
      </c>
      <c r="AG88" t="s">
        <v>190</v>
      </c>
      <c r="AH88">
        <v>3</v>
      </c>
      <c r="AI88">
        <v>8000</v>
      </c>
      <c r="AK88" t="str">
        <f t="shared" si="1"/>
        <v>00326-5000</v>
      </c>
    </row>
    <row r="89" spans="1:37">
      <c r="A89" t="s">
        <v>207</v>
      </c>
      <c r="B89" t="s">
        <v>208</v>
      </c>
      <c r="C89" t="s">
        <v>183</v>
      </c>
      <c r="E89">
        <v>81</v>
      </c>
      <c r="AG89" t="s">
        <v>5351</v>
      </c>
      <c r="AH89">
        <v>4</v>
      </c>
      <c r="AI89">
        <v>8000</v>
      </c>
      <c r="AK89" t="str">
        <f t="shared" si="1"/>
        <v>00326-5000</v>
      </c>
    </row>
    <row r="90" spans="1:37">
      <c r="A90" t="s">
        <v>210</v>
      </c>
      <c r="B90" t="s">
        <v>208</v>
      </c>
      <c r="C90" t="s">
        <v>183</v>
      </c>
      <c r="E90">
        <v>81</v>
      </c>
      <c r="F90">
        <v>1</v>
      </c>
      <c r="G90">
        <v>276</v>
      </c>
      <c r="H90">
        <v>781</v>
      </c>
      <c r="I90">
        <v>889</v>
      </c>
      <c r="J90">
        <v>1356</v>
      </c>
      <c r="K90">
        <v>3449</v>
      </c>
      <c r="L90">
        <v>397</v>
      </c>
      <c r="M90">
        <v>0</v>
      </c>
      <c r="N90">
        <v>230</v>
      </c>
      <c r="O90">
        <v>0</v>
      </c>
      <c r="P90">
        <v>0</v>
      </c>
      <c r="Q90">
        <v>3219</v>
      </c>
      <c r="R90">
        <v>0</v>
      </c>
      <c r="S90">
        <v>459</v>
      </c>
      <c r="T90">
        <v>566</v>
      </c>
      <c r="U90">
        <v>1317</v>
      </c>
      <c r="V90">
        <v>0</v>
      </c>
      <c r="W90">
        <v>2360</v>
      </c>
      <c r="X90">
        <v>634</v>
      </c>
      <c r="Y90">
        <v>3154</v>
      </c>
      <c r="Z90">
        <v>1536</v>
      </c>
      <c r="AA90">
        <v>1364</v>
      </c>
      <c r="AB90">
        <v>2617</v>
      </c>
      <c r="AC90">
        <v>911</v>
      </c>
      <c r="AD90">
        <v>1353</v>
      </c>
      <c r="AE90">
        <v>16271</v>
      </c>
      <c r="AF90">
        <v>13153</v>
      </c>
      <c r="AG90" t="s">
        <v>190</v>
      </c>
      <c r="AH90">
        <v>4</v>
      </c>
      <c r="AI90">
        <v>7000</v>
      </c>
      <c r="AJ90">
        <v>4.3343999999999996</v>
      </c>
      <c r="AK90" t="str">
        <f t="shared" si="1"/>
        <v>00326-6200</v>
      </c>
    </row>
    <row r="91" spans="1:37">
      <c r="A91" t="s">
        <v>210</v>
      </c>
      <c r="B91" t="s">
        <v>208</v>
      </c>
      <c r="C91" t="s">
        <v>183</v>
      </c>
      <c r="E91">
        <v>81</v>
      </c>
      <c r="AG91" t="s">
        <v>6129</v>
      </c>
      <c r="AH91">
        <v>1</v>
      </c>
      <c r="AI91">
        <v>3000</v>
      </c>
      <c r="AK91" t="str">
        <f t="shared" si="1"/>
        <v>00326-6200</v>
      </c>
    </row>
    <row r="92" spans="1:37">
      <c r="A92" t="s">
        <v>211</v>
      </c>
      <c r="B92" t="s">
        <v>212</v>
      </c>
      <c r="C92" t="s">
        <v>183</v>
      </c>
      <c r="E92">
        <v>142</v>
      </c>
      <c r="F92">
        <v>3.2</v>
      </c>
      <c r="G92">
        <v>335</v>
      </c>
      <c r="H92">
        <v>108</v>
      </c>
      <c r="I92">
        <v>188</v>
      </c>
      <c r="J92">
        <v>157</v>
      </c>
      <c r="K92">
        <v>1665</v>
      </c>
      <c r="L92">
        <v>232</v>
      </c>
      <c r="M92">
        <v>0</v>
      </c>
      <c r="N92">
        <v>280</v>
      </c>
      <c r="O92">
        <v>0</v>
      </c>
      <c r="P92">
        <v>0</v>
      </c>
      <c r="Q92">
        <v>1385</v>
      </c>
      <c r="R92">
        <v>120</v>
      </c>
      <c r="S92">
        <v>0</v>
      </c>
      <c r="T92">
        <v>0</v>
      </c>
      <c r="U92">
        <v>324</v>
      </c>
      <c r="V92">
        <v>237</v>
      </c>
      <c r="W92">
        <v>564</v>
      </c>
      <c r="X92">
        <v>0</v>
      </c>
      <c r="Y92">
        <v>201</v>
      </c>
      <c r="Z92">
        <v>177</v>
      </c>
      <c r="AA92">
        <v>0</v>
      </c>
      <c r="AB92">
        <v>0</v>
      </c>
      <c r="AC92">
        <v>0</v>
      </c>
      <c r="AD92">
        <v>382</v>
      </c>
      <c r="AE92">
        <v>1885</v>
      </c>
      <c r="AF92">
        <v>4122</v>
      </c>
      <c r="AJ92">
        <v>4.8883999999999999</v>
      </c>
      <c r="AK92" t="str">
        <f t="shared" si="1"/>
        <v>00327-5000</v>
      </c>
    </row>
    <row r="93" spans="1:37">
      <c r="A93" t="s">
        <v>213</v>
      </c>
      <c r="B93" t="s">
        <v>212</v>
      </c>
      <c r="C93" t="s">
        <v>183</v>
      </c>
      <c r="E93">
        <v>142</v>
      </c>
      <c r="F93">
        <v>0</v>
      </c>
      <c r="G93">
        <v>0</v>
      </c>
      <c r="H93">
        <v>0</v>
      </c>
      <c r="I93">
        <v>0</v>
      </c>
      <c r="J93">
        <v>38</v>
      </c>
      <c r="K93">
        <v>1925</v>
      </c>
      <c r="L93">
        <v>232</v>
      </c>
      <c r="M93">
        <v>0</v>
      </c>
      <c r="N93">
        <v>0</v>
      </c>
      <c r="O93">
        <v>0</v>
      </c>
      <c r="P93">
        <v>0</v>
      </c>
      <c r="Q93">
        <v>1925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287</v>
      </c>
      <c r="AB93">
        <v>173</v>
      </c>
      <c r="AC93">
        <v>0</v>
      </c>
      <c r="AD93">
        <v>0</v>
      </c>
      <c r="AE93">
        <v>460</v>
      </c>
      <c r="AF93">
        <v>1188</v>
      </c>
      <c r="AJ93">
        <v>4.8883999999999999</v>
      </c>
      <c r="AK93" t="str">
        <f t="shared" si="1"/>
        <v>00327-6200</v>
      </c>
    </row>
    <row r="94" spans="1:37">
      <c r="A94" t="s">
        <v>214</v>
      </c>
      <c r="B94" t="s">
        <v>215</v>
      </c>
      <c r="C94" t="s">
        <v>183</v>
      </c>
      <c r="D94" t="s">
        <v>216</v>
      </c>
      <c r="E94">
        <v>151</v>
      </c>
      <c r="F94">
        <v>0.7</v>
      </c>
      <c r="G94">
        <v>812</v>
      </c>
      <c r="H94">
        <v>643</v>
      </c>
      <c r="I94">
        <v>758</v>
      </c>
      <c r="J94">
        <v>880</v>
      </c>
      <c r="K94">
        <v>2349</v>
      </c>
      <c r="L94">
        <v>470</v>
      </c>
      <c r="M94">
        <v>0</v>
      </c>
      <c r="N94">
        <v>677</v>
      </c>
      <c r="O94">
        <v>0</v>
      </c>
      <c r="P94">
        <v>0</v>
      </c>
      <c r="Q94">
        <v>1672</v>
      </c>
      <c r="R94">
        <v>0</v>
      </c>
      <c r="S94">
        <v>476</v>
      </c>
      <c r="T94">
        <v>947</v>
      </c>
      <c r="U94">
        <v>505</v>
      </c>
      <c r="V94">
        <v>1369</v>
      </c>
      <c r="W94">
        <v>868</v>
      </c>
      <c r="X94">
        <v>381</v>
      </c>
      <c r="Y94">
        <v>1377</v>
      </c>
      <c r="Z94">
        <v>1589</v>
      </c>
      <c r="AA94">
        <v>0</v>
      </c>
      <c r="AB94">
        <v>2115</v>
      </c>
      <c r="AC94">
        <v>463</v>
      </c>
      <c r="AD94">
        <v>472</v>
      </c>
      <c r="AE94">
        <v>10562</v>
      </c>
      <c r="AF94">
        <v>9310</v>
      </c>
      <c r="AG94" t="s">
        <v>206</v>
      </c>
      <c r="AH94">
        <v>5</v>
      </c>
      <c r="AI94">
        <v>22</v>
      </c>
      <c r="AJ94">
        <v>4.9644000000000004</v>
      </c>
      <c r="AK94" t="str">
        <f t="shared" si="1"/>
        <v>00328-5000</v>
      </c>
    </row>
    <row r="95" spans="1:37">
      <c r="A95" t="s">
        <v>214</v>
      </c>
      <c r="B95" t="s">
        <v>215</v>
      </c>
      <c r="C95" t="s">
        <v>183</v>
      </c>
      <c r="D95" t="s">
        <v>216</v>
      </c>
      <c r="E95">
        <v>151</v>
      </c>
      <c r="AG95" t="s">
        <v>190</v>
      </c>
      <c r="AH95">
        <v>5</v>
      </c>
      <c r="AI95">
        <v>4000</v>
      </c>
      <c r="AK95" t="str">
        <f t="shared" si="1"/>
        <v>00328-5000</v>
      </c>
    </row>
    <row r="96" spans="1:37">
      <c r="A96" t="s">
        <v>214</v>
      </c>
      <c r="B96" t="s">
        <v>215</v>
      </c>
      <c r="C96" t="s">
        <v>183</v>
      </c>
      <c r="D96" t="s">
        <v>216</v>
      </c>
      <c r="E96">
        <v>151</v>
      </c>
      <c r="AG96" t="s">
        <v>5351</v>
      </c>
      <c r="AH96">
        <v>5</v>
      </c>
      <c r="AI96">
        <v>3000</v>
      </c>
      <c r="AK96" t="str">
        <f t="shared" si="1"/>
        <v>00328-5000</v>
      </c>
    </row>
    <row r="97" spans="1:37">
      <c r="A97" t="s">
        <v>217</v>
      </c>
      <c r="B97" t="s">
        <v>215</v>
      </c>
      <c r="C97" t="s">
        <v>183</v>
      </c>
      <c r="E97">
        <v>151</v>
      </c>
      <c r="F97">
        <v>1</v>
      </c>
      <c r="G97">
        <v>34</v>
      </c>
      <c r="H97">
        <v>205</v>
      </c>
      <c r="I97">
        <v>294</v>
      </c>
      <c r="J97">
        <v>260</v>
      </c>
      <c r="K97">
        <v>839</v>
      </c>
      <c r="L97">
        <v>353</v>
      </c>
      <c r="M97">
        <v>0</v>
      </c>
      <c r="N97">
        <v>28</v>
      </c>
      <c r="O97">
        <v>0</v>
      </c>
      <c r="P97">
        <v>0</v>
      </c>
      <c r="Q97">
        <v>811</v>
      </c>
      <c r="R97">
        <v>0</v>
      </c>
      <c r="S97">
        <v>614</v>
      </c>
      <c r="T97">
        <v>0</v>
      </c>
      <c r="U97">
        <v>0</v>
      </c>
      <c r="V97">
        <v>289</v>
      </c>
      <c r="W97">
        <v>0</v>
      </c>
      <c r="X97">
        <v>859</v>
      </c>
      <c r="Y97">
        <v>492</v>
      </c>
      <c r="Z97">
        <v>135</v>
      </c>
      <c r="AA97">
        <v>0</v>
      </c>
      <c r="AB97">
        <v>0</v>
      </c>
      <c r="AC97">
        <v>0</v>
      </c>
      <c r="AD97">
        <v>728</v>
      </c>
      <c r="AE97">
        <v>3117</v>
      </c>
      <c r="AF97">
        <v>3129</v>
      </c>
      <c r="AG97" t="s">
        <v>218</v>
      </c>
      <c r="AH97">
        <v>4</v>
      </c>
      <c r="AI97">
        <v>1000</v>
      </c>
      <c r="AJ97">
        <v>4.8385999999999996</v>
      </c>
      <c r="AK97" t="str">
        <f t="shared" si="1"/>
        <v>00328-6200</v>
      </c>
    </row>
    <row r="98" spans="1:37">
      <c r="A98" t="s">
        <v>217</v>
      </c>
      <c r="B98" t="s">
        <v>215</v>
      </c>
      <c r="C98" t="s">
        <v>183</v>
      </c>
      <c r="E98">
        <v>151</v>
      </c>
      <c r="AG98" t="s">
        <v>5351</v>
      </c>
      <c r="AH98">
        <v>6</v>
      </c>
      <c r="AI98">
        <v>2000</v>
      </c>
      <c r="AK98" t="str">
        <f t="shared" si="1"/>
        <v>00328-6200</v>
      </c>
    </row>
    <row r="99" spans="1:37">
      <c r="A99" t="s">
        <v>219</v>
      </c>
      <c r="B99" t="s">
        <v>220</v>
      </c>
      <c r="C99" t="s">
        <v>183</v>
      </c>
      <c r="E99">
        <v>147</v>
      </c>
      <c r="F99">
        <v>0</v>
      </c>
      <c r="G99">
        <v>2</v>
      </c>
      <c r="H99">
        <v>0</v>
      </c>
      <c r="I99">
        <v>17</v>
      </c>
      <c r="J99">
        <v>8</v>
      </c>
      <c r="K99">
        <v>1426</v>
      </c>
      <c r="L99">
        <v>23</v>
      </c>
      <c r="M99">
        <v>0</v>
      </c>
      <c r="N99">
        <v>2</v>
      </c>
      <c r="O99">
        <v>0</v>
      </c>
      <c r="P99">
        <v>0</v>
      </c>
      <c r="Q99">
        <v>1424</v>
      </c>
      <c r="R99">
        <v>0</v>
      </c>
      <c r="S99">
        <v>0</v>
      </c>
      <c r="T99">
        <v>0</v>
      </c>
      <c r="U99">
        <v>0</v>
      </c>
      <c r="V99">
        <v>99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99</v>
      </c>
      <c r="AF99">
        <v>479</v>
      </c>
      <c r="AJ99">
        <v>4.62</v>
      </c>
      <c r="AK99" t="str">
        <f t="shared" si="1"/>
        <v>00329-5000</v>
      </c>
    </row>
    <row r="100" spans="1:37">
      <c r="A100" t="s">
        <v>221</v>
      </c>
      <c r="B100" t="s">
        <v>220</v>
      </c>
      <c r="C100" t="s">
        <v>183</v>
      </c>
      <c r="E100">
        <v>147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1406</v>
      </c>
      <c r="L100">
        <v>271</v>
      </c>
      <c r="M100">
        <v>0</v>
      </c>
      <c r="N100">
        <v>0</v>
      </c>
      <c r="O100">
        <v>0</v>
      </c>
      <c r="P100">
        <v>0</v>
      </c>
      <c r="Q100">
        <v>1406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703</v>
      </c>
      <c r="AJ100">
        <v>4.62</v>
      </c>
      <c r="AK100" t="str">
        <f t="shared" si="1"/>
        <v>00329-6200</v>
      </c>
    </row>
    <row r="101" spans="1:37">
      <c r="A101" t="s">
        <v>222</v>
      </c>
      <c r="B101" t="s">
        <v>223</v>
      </c>
      <c r="C101" t="s">
        <v>183</v>
      </c>
      <c r="E101">
        <v>150</v>
      </c>
      <c r="F101">
        <v>2.1</v>
      </c>
      <c r="G101">
        <v>230</v>
      </c>
      <c r="H101">
        <v>644</v>
      </c>
      <c r="I101">
        <v>610</v>
      </c>
      <c r="J101">
        <v>778</v>
      </c>
      <c r="K101">
        <v>5526</v>
      </c>
      <c r="L101">
        <v>926</v>
      </c>
      <c r="M101">
        <v>0</v>
      </c>
      <c r="N101">
        <v>191</v>
      </c>
      <c r="O101">
        <v>0</v>
      </c>
      <c r="P101">
        <v>0</v>
      </c>
      <c r="Q101">
        <v>5335</v>
      </c>
      <c r="R101">
        <v>555</v>
      </c>
      <c r="S101">
        <v>0</v>
      </c>
      <c r="T101">
        <v>880</v>
      </c>
      <c r="U101">
        <v>1051</v>
      </c>
      <c r="V101">
        <v>698</v>
      </c>
      <c r="W101">
        <v>598</v>
      </c>
      <c r="X101">
        <v>430</v>
      </c>
      <c r="Y101">
        <v>1423</v>
      </c>
      <c r="Z101">
        <v>595</v>
      </c>
      <c r="AA101">
        <v>412</v>
      </c>
      <c r="AB101">
        <v>701</v>
      </c>
      <c r="AC101">
        <v>2118</v>
      </c>
      <c r="AD101">
        <v>425</v>
      </c>
      <c r="AE101">
        <v>9331</v>
      </c>
      <c r="AF101">
        <v>12127</v>
      </c>
      <c r="AJ101">
        <v>4.9644000000000004</v>
      </c>
      <c r="AK101" t="str">
        <f t="shared" si="1"/>
        <v>00330-5000</v>
      </c>
    </row>
    <row r="102" spans="1:37">
      <c r="A102" t="s">
        <v>224</v>
      </c>
      <c r="B102" t="s">
        <v>223</v>
      </c>
      <c r="C102" t="s">
        <v>183</v>
      </c>
      <c r="E102">
        <v>150</v>
      </c>
      <c r="F102">
        <v>0</v>
      </c>
      <c r="G102">
        <v>0</v>
      </c>
      <c r="H102">
        <v>0</v>
      </c>
      <c r="I102">
        <v>154</v>
      </c>
      <c r="J102">
        <v>131</v>
      </c>
      <c r="K102">
        <v>3953</v>
      </c>
      <c r="L102">
        <v>170</v>
      </c>
      <c r="M102">
        <v>0</v>
      </c>
      <c r="N102">
        <v>0</v>
      </c>
      <c r="O102">
        <v>0</v>
      </c>
      <c r="P102">
        <v>0</v>
      </c>
      <c r="Q102">
        <v>3953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838</v>
      </c>
      <c r="X102">
        <v>84</v>
      </c>
      <c r="Y102">
        <v>0</v>
      </c>
      <c r="Z102">
        <v>164</v>
      </c>
      <c r="AA102">
        <v>0</v>
      </c>
      <c r="AB102">
        <v>0</v>
      </c>
      <c r="AC102">
        <v>296</v>
      </c>
      <c r="AD102">
        <v>194</v>
      </c>
      <c r="AE102">
        <v>1576</v>
      </c>
      <c r="AF102">
        <v>1956</v>
      </c>
      <c r="AG102" t="s">
        <v>7478</v>
      </c>
      <c r="AH102">
        <v>1</v>
      </c>
      <c r="AI102">
        <v>1000</v>
      </c>
      <c r="AJ102">
        <v>4.9644000000000004</v>
      </c>
      <c r="AK102" t="str">
        <f t="shared" si="1"/>
        <v>00330-6200</v>
      </c>
    </row>
    <row r="103" spans="1:37">
      <c r="A103" t="s">
        <v>225</v>
      </c>
      <c r="B103" t="s">
        <v>226</v>
      </c>
      <c r="C103" t="s">
        <v>183</v>
      </c>
      <c r="E103">
        <v>142</v>
      </c>
      <c r="F103">
        <v>3.6</v>
      </c>
      <c r="G103">
        <v>1153</v>
      </c>
      <c r="H103">
        <v>362</v>
      </c>
      <c r="I103">
        <v>315</v>
      </c>
      <c r="J103">
        <v>591</v>
      </c>
      <c r="K103">
        <v>6219</v>
      </c>
      <c r="L103">
        <v>347</v>
      </c>
      <c r="M103">
        <v>0</v>
      </c>
      <c r="N103">
        <v>961</v>
      </c>
      <c r="O103">
        <v>0</v>
      </c>
      <c r="P103">
        <v>0</v>
      </c>
      <c r="Q103">
        <v>5258</v>
      </c>
      <c r="R103">
        <v>0</v>
      </c>
      <c r="S103">
        <v>0</v>
      </c>
      <c r="T103">
        <v>496</v>
      </c>
      <c r="U103">
        <v>590</v>
      </c>
      <c r="V103">
        <v>326</v>
      </c>
      <c r="W103">
        <v>480</v>
      </c>
      <c r="X103">
        <v>0</v>
      </c>
      <c r="Y103">
        <v>409</v>
      </c>
      <c r="Z103">
        <v>908</v>
      </c>
      <c r="AA103">
        <v>577</v>
      </c>
      <c r="AB103">
        <v>2084</v>
      </c>
      <c r="AC103">
        <v>0</v>
      </c>
      <c r="AD103">
        <v>1223</v>
      </c>
      <c r="AE103">
        <v>7093</v>
      </c>
      <c r="AF103">
        <v>7158</v>
      </c>
      <c r="AJ103">
        <v>4.9640000000000004</v>
      </c>
      <c r="AK103" t="str">
        <f t="shared" si="1"/>
        <v>00331-5000</v>
      </c>
    </row>
    <row r="104" spans="1:37">
      <c r="A104" t="s">
        <v>227</v>
      </c>
      <c r="B104" t="s">
        <v>226</v>
      </c>
      <c r="C104" t="s">
        <v>183</v>
      </c>
      <c r="E104">
        <v>142</v>
      </c>
      <c r="F104">
        <v>9.1</v>
      </c>
      <c r="G104">
        <v>8</v>
      </c>
      <c r="H104">
        <v>52</v>
      </c>
      <c r="I104">
        <v>64</v>
      </c>
      <c r="J104">
        <v>75</v>
      </c>
      <c r="K104">
        <v>1905</v>
      </c>
      <c r="L104">
        <v>263</v>
      </c>
      <c r="M104">
        <v>0</v>
      </c>
      <c r="N104">
        <v>7</v>
      </c>
      <c r="O104">
        <v>0</v>
      </c>
      <c r="P104">
        <v>0</v>
      </c>
      <c r="Q104">
        <v>1898</v>
      </c>
      <c r="R104">
        <v>0</v>
      </c>
      <c r="S104">
        <v>0</v>
      </c>
      <c r="T104">
        <v>0</v>
      </c>
      <c r="U104">
        <v>157</v>
      </c>
      <c r="V104">
        <v>0</v>
      </c>
      <c r="W104">
        <v>224</v>
      </c>
      <c r="X104">
        <v>0</v>
      </c>
      <c r="Y104">
        <v>67</v>
      </c>
      <c r="Z104">
        <v>0</v>
      </c>
      <c r="AA104">
        <v>0</v>
      </c>
      <c r="AB104">
        <v>0</v>
      </c>
      <c r="AC104">
        <v>450</v>
      </c>
      <c r="AD104">
        <v>0</v>
      </c>
      <c r="AE104">
        <v>898</v>
      </c>
      <c r="AF104">
        <v>2194</v>
      </c>
      <c r="AJ104">
        <v>4.9644000000000004</v>
      </c>
      <c r="AK104" t="str">
        <f t="shared" si="1"/>
        <v>00331-6200</v>
      </c>
    </row>
    <row r="105" spans="1:37">
      <c r="A105" t="s">
        <v>228</v>
      </c>
      <c r="B105" t="s">
        <v>229</v>
      </c>
      <c r="C105" t="s">
        <v>183</v>
      </c>
      <c r="E105">
        <v>151</v>
      </c>
      <c r="F105">
        <v>0.6</v>
      </c>
      <c r="G105">
        <v>22</v>
      </c>
      <c r="H105">
        <v>138</v>
      </c>
      <c r="I105">
        <v>69</v>
      </c>
      <c r="J105">
        <v>35</v>
      </c>
      <c r="K105">
        <v>365</v>
      </c>
      <c r="L105">
        <v>86</v>
      </c>
      <c r="M105">
        <v>0</v>
      </c>
      <c r="N105">
        <v>18</v>
      </c>
      <c r="O105">
        <v>0</v>
      </c>
      <c r="P105">
        <v>0</v>
      </c>
      <c r="Q105">
        <v>347</v>
      </c>
      <c r="R105">
        <v>0</v>
      </c>
      <c r="S105">
        <v>0</v>
      </c>
      <c r="T105">
        <v>325</v>
      </c>
      <c r="U105">
        <v>89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414</v>
      </c>
      <c r="AF105">
        <v>480</v>
      </c>
      <c r="AJ105">
        <v>4.84</v>
      </c>
      <c r="AK105" t="str">
        <f t="shared" si="1"/>
        <v>00332-5000</v>
      </c>
    </row>
    <row r="106" spans="1:37">
      <c r="A106" t="s">
        <v>230</v>
      </c>
      <c r="B106" t="s">
        <v>229</v>
      </c>
      <c r="C106" t="s">
        <v>183</v>
      </c>
      <c r="E106">
        <v>151</v>
      </c>
      <c r="F106">
        <v>4.0999999999999996</v>
      </c>
      <c r="G106">
        <v>0</v>
      </c>
      <c r="H106">
        <v>79</v>
      </c>
      <c r="I106">
        <v>65</v>
      </c>
      <c r="J106">
        <v>45</v>
      </c>
      <c r="K106">
        <v>1286</v>
      </c>
      <c r="L106">
        <v>369</v>
      </c>
      <c r="M106">
        <v>0</v>
      </c>
      <c r="N106">
        <v>0</v>
      </c>
      <c r="O106">
        <v>0</v>
      </c>
      <c r="P106">
        <v>0</v>
      </c>
      <c r="Q106">
        <v>1286</v>
      </c>
      <c r="R106">
        <v>0</v>
      </c>
      <c r="S106">
        <v>176</v>
      </c>
      <c r="T106">
        <v>61</v>
      </c>
      <c r="U106">
        <v>0</v>
      </c>
      <c r="V106">
        <v>0</v>
      </c>
      <c r="W106">
        <v>153</v>
      </c>
      <c r="X106">
        <v>0</v>
      </c>
      <c r="Y106">
        <v>0</v>
      </c>
      <c r="Z106">
        <v>0</v>
      </c>
      <c r="AA106">
        <v>152</v>
      </c>
      <c r="AB106">
        <v>0</v>
      </c>
      <c r="AC106">
        <v>0</v>
      </c>
      <c r="AD106">
        <v>0</v>
      </c>
      <c r="AE106">
        <v>542</v>
      </c>
      <c r="AF106">
        <v>727</v>
      </c>
      <c r="AJ106">
        <v>4.84</v>
      </c>
      <c r="AK106" t="str">
        <f t="shared" si="1"/>
        <v>00332-6200</v>
      </c>
    </row>
    <row r="107" spans="1:37">
      <c r="A107" t="s">
        <v>231</v>
      </c>
      <c r="B107" t="s">
        <v>232</v>
      </c>
      <c r="C107" t="s">
        <v>183</v>
      </c>
      <c r="E107">
        <v>137</v>
      </c>
      <c r="F107">
        <v>2.4</v>
      </c>
      <c r="G107">
        <v>382</v>
      </c>
      <c r="H107">
        <v>768</v>
      </c>
      <c r="I107">
        <v>651</v>
      </c>
      <c r="J107">
        <v>665</v>
      </c>
      <c r="K107">
        <v>7654</v>
      </c>
      <c r="L107">
        <v>459</v>
      </c>
      <c r="M107">
        <v>0</v>
      </c>
      <c r="N107">
        <v>318</v>
      </c>
      <c r="O107">
        <v>0</v>
      </c>
      <c r="P107">
        <v>0</v>
      </c>
      <c r="Q107">
        <v>7336</v>
      </c>
      <c r="R107">
        <v>0</v>
      </c>
      <c r="S107">
        <v>1268</v>
      </c>
      <c r="T107">
        <v>956</v>
      </c>
      <c r="U107">
        <v>81</v>
      </c>
      <c r="V107">
        <v>958</v>
      </c>
      <c r="W107">
        <v>552</v>
      </c>
      <c r="X107">
        <v>89</v>
      </c>
      <c r="Y107">
        <v>490</v>
      </c>
      <c r="Z107">
        <v>1985</v>
      </c>
      <c r="AA107">
        <v>0</v>
      </c>
      <c r="AB107">
        <v>1151</v>
      </c>
      <c r="AC107">
        <v>0</v>
      </c>
      <c r="AD107">
        <v>445</v>
      </c>
      <c r="AE107">
        <v>7975</v>
      </c>
      <c r="AF107">
        <v>20452</v>
      </c>
      <c r="AJ107">
        <v>3.8260000000000001</v>
      </c>
      <c r="AK107" t="str">
        <f t="shared" si="1"/>
        <v>00333-5000</v>
      </c>
    </row>
    <row r="108" spans="1:37">
      <c r="A108" t="s">
        <v>233</v>
      </c>
      <c r="B108" t="s">
        <v>232</v>
      </c>
      <c r="C108" t="s">
        <v>183</v>
      </c>
      <c r="E108">
        <v>137</v>
      </c>
      <c r="F108">
        <v>0.7</v>
      </c>
      <c r="G108">
        <v>687</v>
      </c>
      <c r="H108">
        <v>1106</v>
      </c>
      <c r="I108">
        <v>1156</v>
      </c>
      <c r="J108">
        <v>1466</v>
      </c>
      <c r="K108">
        <v>3805</v>
      </c>
      <c r="L108">
        <v>846</v>
      </c>
      <c r="M108">
        <v>0</v>
      </c>
      <c r="N108">
        <v>572</v>
      </c>
      <c r="O108">
        <v>0</v>
      </c>
      <c r="P108">
        <v>0</v>
      </c>
      <c r="Q108">
        <v>3233</v>
      </c>
      <c r="R108">
        <v>0</v>
      </c>
      <c r="S108">
        <v>839</v>
      </c>
      <c r="T108">
        <v>1152</v>
      </c>
      <c r="U108">
        <v>1327</v>
      </c>
      <c r="V108">
        <v>194</v>
      </c>
      <c r="W108">
        <v>2833</v>
      </c>
      <c r="X108">
        <v>590</v>
      </c>
      <c r="Y108">
        <v>1996</v>
      </c>
      <c r="Z108">
        <v>2942</v>
      </c>
      <c r="AA108">
        <v>670</v>
      </c>
      <c r="AB108">
        <v>2463</v>
      </c>
      <c r="AC108">
        <v>1456</v>
      </c>
      <c r="AD108">
        <v>1130</v>
      </c>
      <c r="AE108">
        <v>17592</v>
      </c>
      <c r="AF108">
        <v>24678</v>
      </c>
      <c r="AG108" t="s">
        <v>234</v>
      </c>
      <c r="AH108">
        <v>4</v>
      </c>
      <c r="AI108">
        <v>3</v>
      </c>
      <c r="AJ108">
        <v>3.8260000000000001</v>
      </c>
      <c r="AK108" t="str">
        <f t="shared" si="1"/>
        <v>00333-6200</v>
      </c>
    </row>
    <row r="109" spans="1:37">
      <c r="A109" t="s">
        <v>233</v>
      </c>
      <c r="B109" t="s">
        <v>232</v>
      </c>
      <c r="C109" t="s">
        <v>183</v>
      </c>
      <c r="E109">
        <v>137</v>
      </c>
      <c r="AG109" t="s">
        <v>218</v>
      </c>
      <c r="AH109">
        <v>2</v>
      </c>
      <c r="AI109">
        <v>10000</v>
      </c>
      <c r="AK109" t="str">
        <f t="shared" si="1"/>
        <v>00333-6200</v>
      </c>
    </row>
    <row r="110" spans="1:37">
      <c r="A110" t="s">
        <v>233</v>
      </c>
      <c r="B110" t="s">
        <v>232</v>
      </c>
      <c r="C110" t="s">
        <v>183</v>
      </c>
      <c r="E110">
        <v>137</v>
      </c>
      <c r="AG110" t="s">
        <v>188</v>
      </c>
      <c r="AH110">
        <v>3</v>
      </c>
      <c r="AI110">
        <v>7566</v>
      </c>
      <c r="AK110" t="str">
        <f t="shared" si="1"/>
        <v>00333-6200</v>
      </c>
    </row>
    <row r="111" spans="1:37">
      <c r="A111" t="s">
        <v>235</v>
      </c>
      <c r="B111" t="s">
        <v>236</v>
      </c>
      <c r="C111" t="s">
        <v>183</v>
      </c>
      <c r="E111">
        <v>145</v>
      </c>
      <c r="F111">
        <v>1.9</v>
      </c>
      <c r="G111">
        <v>161</v>
      </c>
      <c r="H111">
        <v>162</v>
      </c>
      <c r="I111">
        <v>329</v>
      </c>
      <c r="J111">
        <v>334</v>
      </c>
      <c r="K111">
        <v>1384</v>
      </c>
      <c r="L111">
        <v>208</v>
      </c>
      <c r="M111">
        <v>0</v>
      </c>
      <c r="N111">
        <v>134</v>
      </c>
      <c r="O111">
        <v>0</v>
      </c>
      <c r="P111">
        <v>0</v>
      </c>
      <c r="Q111">
        <v>1250</v>
      </c>
      <c r="R111">
        <v>0</v>
      </c>
      <c r="S111">
        <v>0</v>
      </c>
      <c r="T111">
        <v>130</v>
      </c>
      <c r="U111">
        <v>356</v>
      </c>
      <c r="V111">
        <v>328</v>
      </c>
      <c r="W111">
        <v>1158</v>
      </c>
      <c r="X111">
        <v>0</v>
      </c>
      <c r="Y111">
        <v>445</v>
      </c>
      <c r="Z111">
        <v>496</v>
      </c>
      <c r="AA111">
        <v>714</v>
      </c>
      <c r="AB111">
        <v>380</v>
      </c>
      <c r="AC111">
        <v>0</v>
      </c>
      <c r="AD111">
        <v>0</v>
      </c>
      <c r="AE111">
        <v>4007</v>
      </c>
      <c r="AF111">
        <v>6372</v>
      </c>
      <c r="AG111" t="s">
        <v>5351</v>
      </c>
      <c r="AH111">
        <v>7</v>
      </c>
      <c r="AI111">
        <v>1000</v>
      </c>
      <c r="AJ111">
        <v>4.9649999999999999</v>
      </c>
      <c r="AK111" t="str">
        <f t="shared" si="1"/>
        <v>00334-5000</v>
      </c>
    </row>
    <row r="112" spans="1:37">
      <c r="A112" t="s">
        <v>237</v>
      </c>
      <c r="B112" t="s">
        <v>238</v>
      </c>
      <c r="C112" t="s">
        <v>183</v>
      </c>
      <c r="E112">
        <v>145</v>
      </c>
      <c r="F112">
        <v>0</v>
      </c>
      <c r="G112">
        <v>82</v>
      </c>
      <c r="H112">
        <v>0</v>
      </c>
      <c r="I112">
        <v>186</v>
      </c>
      <c r="J112">
        <v>760</v>
      </c>
      <c r="K112">
        <v>8925</v>
      </c>
      <c r="L112">
        <v>444</v>
      </c>
      <c r="M112">
        <v>0</v>
      </c>
      <c r="N112">
        <v>69</v>
      </c>
      <c r="O112">
        <v>0</v>
      </c>
      <c r="P112">
        <v>0</v>
      </c>
      <c r="Q112">
        <v>8856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1118</v>
      </c>
      <c r="Y112">
        <v>0</v>
      </c>
      <c r="Z112">
        <v>879</v>
      </c>
      <c r="AA112">
        <v>760</v>
      </c>
      <c r="AB112">
        <v>3257</v>
      </c>
      <c r="AC112">
        <v>1718</v>
      </c>
      <c r="AD112">
        <v>1382</v>
      </c>
      <c r="AE112">
        <v>9114</v>
      </c>
      <c r="AF112">
        <v>3515</v>
      </c>
      <c r="AG112" t="s">
        <v>209</v>
      </c>
      <c r="AH112">
        <v>6</v>
      </c>
      <c r="AI112">
        <v>2226</v>
      </c>
      <c r="AJ112">
        <v>4.9657999999999998</v>
      </c>
      <c r="AK112" t="str">
        <f t="shared" si="1"/>
        <v>00334-6200</v>
      </c>
    </row>
    <row r="113" spans="1:37">
      <c r="A113" t="s">
        <v>239</v>
      </c>
      <c r="B113" t="s">
        <v>240</v>
      </c>
      <c r="C113" t="s">
        <v>183</v>
      </c>
      <c r="E113">
        <v>164</v>
      </c>
      <c r="F113">
        <v>0.2</v>
      </c>
      <c r="G113">
        <v>2636</v>
      </c>
      <c r="H113">
        <v>4780</v>
      </c>
      <c r="I113">
        <v>4622</v>
      </c>
      <c r="J113">
        <v>4854</v>
      </c>
      <c r="K113">
        <v>6460</v>
      </c>
      <c r="L113">
        <v>719</v>
      </c>
      <c r="M113">
        <v>0</v>
      </c>
      <c r="N113">
        <v>2197</v>
      </c>
      <c r="O113">
        <v>0</v>
      </c>
      <c r="P113">
        <v>0</v>
      </c>
      <c r="Q113">
        <v>4263</v>
      </c>
      <c r="R113">
        <v>0</v>
      </c>
      <c r="S113">
        <v>1644</v>
      </c>
      <c r="T113">
        <v>8623</v>
      </c>
      <c r="U113">
        <v>4073</v>
      </c>
      <c r="V113">
        <v>2777</v>
      </c>
      <c r="W113">
        <v>3859</v>
      </c>
      <c r="X113">
        <v>6754</v>
      </c>
      <c r="Y113">
        <v>4836</v>
      </c>
      <c r="Z113">
        <v>6283</v>
      </c>
      <c r="AA113">
        <v>4664</v>
      </c>
      <c r="AB113">
        <v>5072</v>
      </c>
      <c r="AC113">
        <v>2077</v>
      </c>
      <c r="AD113">
        <v>7586</v>
      </c>
      <c r="AE113">
        <v>58248</v>
      </c>
      <c r="AF113">
        <v>47921</v>
      </c>
      <c r="AG113" t="s">
        <v>184</v>
      </c>
      <c r="AH113">
        <v>8</v>
      </c>
      <c r="AI113">
        <v>3037</v>
      </c>
      <c r="AJ113">
        <v>4.84</v>
      </c>
      <c r="AK113" t="str">
        <f t="shared" si="1"/>
        <v>00335-5000</v>
      </c>
    </row>
    <row r="114" spans="1:37">
      <c r="A114" t="s">
        <v>239</v>
      </c>
      <c r="B114" t="s">
        <v>240</v>
      </c>
      <c r="C114" t="s">
        <v>183</v>
      </c>
      <c r="E114">
        <v>164</v>
      </c>
      <c r="AG114" t="s">
        <v>190</v>
      </c>
      <c r="AH114">
        <v>6</v>
      </c>
      <c r="AI114">
        <v>14000</v>
      </c>
      <c r="AK114" t="str">
        <f t="shared" si="1"/>
        <v>00335-5000</v>
      </c>
    </row>
    <row r="115" spans="1:37">
      <c r="A115" t="s">
        <v>239</v>
      </c>
      <c r="B115" t="s">
        <v>240</v>
      </c>
      <c r="C115" t="s">
        <v>183</v>
      </c>
      <c r="E115">
        <v>164</v>
      </c>
      <c r="AG115" t="s">
        <v>5856</v>
      </c>
      <c r="AH115">
        <v>2</v>
      </c>
      <c r="AI115">
        <v>10000</v>
      </c>
      <c r="AK115" t="str">
        <f t="shared" si="1"/>
        <v>00335-5000</v>
      </c>
    </row>
    <row r="116" spans="1:37">
      <c r="A116" t="s">
        <v>241</v>
      </c>
      <c r="B116" t="s">
        <v>240</v>
      </c>
      <c r="C116" t="s">
        <v>183</v>
      </c>
      <c r="E116">
        <v>164</v>
      </c>
      <c r="F116">
        <v>1.2</v>
      </c>
      <c r="G116">
        <v>166</v>
      </c>
      <c r="H116">
        <v>322</v>
      </c>
      <c r="I116">
        <v>161</v>
      </c>
      <c r="J116">
        <v>287</v>
      </c>
      <c r="K116">
        <v>1726</v>
      </c>
      <c r="L116">
        <v>456</v>
      </c>
      <c r="M116">
        <v>0</v>
      </c>
      <c r="N116">
        <v>138</v>
      </c>
      <c r="O116">
        <v>0</v>
      </c>
      <c r="P116">
        <v>0</v>
      </c>
      <c r="Q116">
        <v>1588</v>
      </c>
      <c r="R116">
        <v>0</v>
      </c>
      <c r="S116">
        <v>0</v>
      </c>
      <c r="T116">
        <v>298</v>
      </c>
      <c r="U116">
        <v>667</v>
      </c>
      <c r="V116">
        <v>0</v>
      </c>
      <c r="W116">
        <v>0</v>
      </c>
      <c r="X116">
        <v>0</v>
      </c>
      <c r="Y116">
        <v>993</v>
      </c>
      <c r="Z116">
        <v>340</v>
      </c>
      <c r="AA116">
        <v>138</v>
      </c>
      <c r="AB116">
        <v>602</v>
      </c>
      <c r="AC116">
        <v>247</v>
      </c>
      <c r="AD116">
        <v>164</v>
      </c>
      <c r="AE116">
        <v>3449</v>
      </c>
      <c r="AF116">
        <v>4516</v>
      </c>
      <c r="AG116" t="s">
        <v>218</v>
      </c>
      <c r="AH116">
        <v>3</v>
      </c>
      <c r="AI116">
        <v>1000</v>
      </c>
      <c r="AJ116">
        <v>4.84</v>
      </c>
      <c r="AK116" t="str">
        <f t="shared" si="1"/>
        <v>00335-6200</v>
      </c>
    </row>
    <row r="117" spans="1:37">
      <c r="A117" t="s">
        <v>241</v>
      </c>
      <c r="B117" t="s">
        <v>240</v>
      </c>
      <c r="C117" t="s">
        <v>183</v>
      </c>
      <c r="E117">
        <v>164</v>
      </c>
      <c r="AG117" t="s">
        <v>5856</v>
      </c>
      <c r="AH117">
        <v>1</v>
      </c>
      <c r="AI117">
        <v>1000</v>
      </c>
      <c r="AK117" t="str">
        <f t="shared" si="1"/>
        <v>00335-6200</v>
      </c>
    </row>
    <row r="118" spans="1:37">
      <c r="A118" t="s">
        <v>242</v>
      </c>
      <c r="B118" t="s">
        <v>243</v>
      </c>
      <c r="C118" t="s">
        <v>183</v>
      </c>
      <c r="E118">
        <v>140</v>
      </c>
      <c r="F118">
        <v>0</v>
      </c>
      <c r="G118">
        <v>0</v>
      </c>
      <c r="H118">
        <v>0</v>
      </c>
      <c r="I118">
        <v>0</v>
      </c>
      <c r="J118">
        <v>37</v>
      </c>
      <c r="K118">
        <v>1394</v>
      </c>
      <c r="L118">
        <v>294</v>
      </c>
      <c r="M118">
        <v>0</v>
      </c>
      <c r="N118">
        <v>0</v>
      </c>
      <c r="O118">
        <v>0</v>
      </c>
      <c r="P118">
        <v>0</v>
      </c>
      <c r="Q118">
        <v>1394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448</v>
      </c>
      <c r="AC118">
        <v>0</v>
      </c>
      <c r="AD118">
        <v>0</v>
      </c>
      <c r="AE118">
        <v>448</v>
      </c>
      <c r="AF118">
        <v>915</v>
      </c>
      <c r="AJ118">
        <v>4.83</v>
      </c>
      <c r="AK118" t="str">
        <f t="shared" si="1"/>
        <v>00336-5000</v>
      </c>
    </row>
    <row r="119" spans="1:37">
      <c r="A119" t="s">
        <v>244</v>
      </c>
      <c r="B119" t="s">
        <v>243</v>
      </c>
      <c r="C119" t="s">
        <v>183</v>
      </c>
      <c r="E119">
        <v>140</v>
      </c>
      <c r="F119">
        <v>0</v>
      </c>
      <c r="G119">
        <v>0</v>
      </c>
      <c r="H119">
        <v>0</v>
      </c>
      <c r="I119">
        <v>0</v>
      </c>
      <c r="J119">
        <v>5</v>
      </c>
      <c r="K119">
        <v>1569</v>
      </c>
      <c r="L119">
        <v>283</v>
      </c>
      <c r="M119">
        <v>0</v>
      </c>
      <c r="N119">
        <v>0</v>
      </c>
      <c r="O119">
        <v>0</v>
      </c>
      <c r="P119">
        <v>0</v>
      </c>
      <c r="Q119">
        <v>1569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60</v>
      </c>
      <c r="AA119">
        <v>0</v>
      </c>
      <c r="AB119">
        <v>0</v>
      </c>
      <c r="AC119">
        <v>0</v>
      </c>
      <c r="AD119">
        <v>0</v>
      </c>
      <c r="AE119">
        <v>60</v>
      </c>
      <c r="AF119">
        <v>710</v>
      </c>
      <c r="AJ119">
        <v>3.8653</v>
      </c>
      <c r="AK119" t="str">
        <f t="shared" si="1"/>
        <v>00336-6200</v>
      </c>
    </row>
    <row r="120" spans="1:37">
      <c r="A120" t="s">
        <v>245</v>
      </c>
      <c r="B120" t="s">
        <v>246</v>
      </c>
      <c r="C120" t="s">
        <v>183</v>
      </c>
      <c r="D120" t="s">
        <v>247</v>
      </c>
      <c r="E120">
        <v>148</v>
      </c>
      <c r="F120">
        <v>5.2</v>
      </c>
      <c r="G120">
        <v>66</v>
      </c>
      <c r="H120">
        <v>56</v>
      </c>
      <c r="I120">
        <v>84</v>
      </c>
      <c r="J120">
        <v>58</v>
      </c>
      <c r="K120">
        <v>1226</v>
      </c>
      <c r="L120">
        <v>51</v>
      </c>
      <c r="M120">
        <v>0</v>
      </c>
      <c r="N120">
        <v>55</v>
      </c>
      <c r="O120">
        <v>0</v>
      </c>
      <c r="P120">
        <v>0</v>
      </c>
      <c r="Q120">
        <v>1171</v>
      </c>
      <c r="R120">
        <v>0</v>
      </c>
      <c r="S120">
        <v>0</v>
      </c>
      <c r="T120">
        <v>0</v>
      </c>
      <c r="U120">
        <v>168</v>
      </c>
      <c r="V120">
        <v>0</v>
      </c>
      <c r="W120">
        <v>210</v>
      </c>
      <c r="X120">
        <v>128</v>
      </c>
      <c r="Y120">
        <v>0</v>
      </c>
      <c r="Z120">
        <v>0</v>
      </c>
      <c r="AA120">
        <v>0</v>
      </c>
      <c r="AB120">
        <v>0</v>
      </c>
      <c r="AC120">
        <v>193</v>
      </c>
      <c r="AD120">
        <v>0</v>
      </c>
      <c r="AE120">
        <v>699</v>
      </c>
      <c r="AF120">
        <v>1429</v>
      </c>
      <c r="AJ120">
        <v>4.9644000000000004</v>
      </c>
      <c r="AK120" t="str">
        <f t="shared" si="1"/>
        <v>00337-5000</v>
      </c>
    </row>
    <row r="121" spans="1:37">
      <c r="A121" t="s">
        <v>248</v>
      </c>
      <c r="B121" t="s">
        <v>246</v>
      </c>
      <c r="C121" t="s">
        <v>183</v>
      </c>
      <c r="D121" t="s">
        <v>247</v>
      </c>
      <c r="E121">
        <v>148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3073</v>
      </c>
      <c r="L121">
        <v>474</v>
      </c>
      <c r="M121">
        <v>0</v>
      </c>
      <c r="N121">
        <v>0</v>
      </c>
      <c r="O121">
        <v>0</v>
      </c>
      <c r="P121">
        <v>0</v>
      </c>
      <c r="Q121">
        <v>3073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878</v>
      </c>
      <c r="AJ121">
        <v>4.83</v>
      </c>
      <c r="AK121" t="str">
        <f t="shared" si="1"/>
        <v>00337-6200</v>
      </c>
    </row>
    <row r="122" spans="1:37">
      <c r="A122" t="s">
        <v>249</v>
      </c>
      <c r="B122" t="s">
        <v>250</v>
      </c>
      <c r="C122" t="s">
        <v>183</v>
      </c>
      <c r="E122">
        <v>91</v>
      </c>
      <c r="F122">
        <v>0</v>
      </c>
      <c r="G122">
        <v>15</v>
      </c>
      <c r="H122">
        <v>0</v>
      </c>
      <c r="I122">
        <v>0</v>
      </c>
      <c r="J122">
        <v>0</v>
      </c>
      <c r="K122">
        <v>1502</v>
      </c>
      <c r="L122">
        <v>127</v>
      </c>
      <c r="M122">
        <v>0</v>
      </c>
      <c r="N122">
        <v>12</v>
      </c>
      <c r="O122">
        <v>0</v>
      </c>
      <c r="P122">
        <v>0</v>
      </c>
      <c r="Q122">
        <v>1490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597</v>
      </c>
      <c r="AJ122">
        <v>4.83</v>
      </c>
      <c r="AK122" t="str">
        <f t="shared" si="1"/>
        <v>00338-5000</v>
      </c>
    </row>
    <row r="123" spans="1:37">
      <c r="A123" t="s">
        <v>251</v>
      </c>
      <c r="B123" t="s">
        <v>250</v>
      </c>
      <c r="C123" t="s">
        <v>183</v>
      </c>
      <c r="E123">
        <v>91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1527</v>
      </c>
      <c r="L123">
        <v>139</v>
      </c>
      <c r="M123">
        <v>0</v>
      </c>
      <c r="N123">
        <v>0</v>
      </c>
      <c r="O123">
        <v>0</v>
      </c>
      <c r="P123">
        <v>0</v>
      </c>
      <c r="Q123">
        <v>1527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340</v>
      </c>
      <c r="AJ123">
        <v>5.8</v>
      </c>
      <c r="AK123" t="str">
        <f t="shared" si="1"/>
        <v>00338-6200</v>
      </c>
    </row>
    <row r="124" spans="1:37">
      <c r="A124" t="s">
        <v>252</v>
      </c>
      <c r="B124" t="s">
        <v>253</v>
      </c>
      <c r="C124" t="s">
        <v>183</v>
      </c>
      <c r="E124">
        <v>147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1252</v>
      </c>
      <c r="L124">
        <v>77</v>
      </c>
      <c r="M124">
        <v>0</v>
      </c>
      <c r="N124">
        <v>0</v>
      </c>
      <c r="O124">
        <v>0</v>
      </c>
      <c r="P124">
        <v>0</v>
      </c>
      <c r="Q124">
        <v>1252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1816</v>
      </c>
      <c r="AJ124">
        <v>4.95</v>
      </c>
      <c r="AK124" t="str">
        <f t="shared" si="1"/>
        <v>00339-5000</v>
      </c>
    </row>
    <row r="125" spans="1:37">
      <c r="A125" t="s">
        <v>254</v>
      </c>
      <c r="B125" t="s">
        <v>253</v>
      </c>
      <c r="C125" t="s">
        <v>183</v>
      </c>
      <c r="E125">
        <v>147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2810</v>
      </c>
      <c r="L125">
        <v>373</v>
      </c>
      <c r="M125">
        <v>0</v>
      </c>
      <c r="N125">
        <v>0</v>
      </c>
      <c r="O125">
        <v>0</v>
      </c>
      <c r="P125">
        <v>0</v>
      </c>
      <c r="Q125">
        <v>2810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1655</v>
      </c>
      <c r="AJ125">
        <v>4.95</v>
      </c>
      <c r="AK125" t="str">
        <f t="shared" si="1"/>
        <v>00339-6200</v>
      </c>
    </row>
    <row r="126" spans="1:37">
      <c r="A126" t="s">
        <v>257</v>
      </c>
      <c r="B126" t="s">
        <v>258</v>
      </c>
      <c r="E126">
        <v>134</v>
      </c>
      <c r="F126">
        <v>0</v>
      </c>
      <c r="G126">
        <v>0</v>
      </c>
      <c r="H126">
        <v>0</v>
      </c>
      <c r="I126">
        <v>0</v>
      </c>
      <c r="J126">
        <v>5</v>
      </c>
      <c r="K126">
        <v>45</v>
      </c>
      <c r="L126">
        <v>26</v>
      </c>
      <c r="M126">
        <v>0</v>
      </c>
      <c r="N126">
        <v>0</v>
      </c>
      <c r="O126">
        <v>0</v>
      </c>
      <c r="P126">
        <v>0</v>
      </c>
      <c r="Q126">
        <v>45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57</v>
      </c>
      <c r="AA126">
        <v>0</v>
      </c>
      <c r="AB126">
        <v>0</v>
      </c>
      <c r="AC126">
        <v>0</v>
      </c>
      <c r="AD126">
        <v>0</v>
      </c>
      <c r="AE126">
        <v>57</v>
      </c>
      <c r="AF126">
        <v>234</v>
      </c>
      <c r="AJ126">
        <v>0</v>
      </c>
      <c r="AK126" t="str">
        <f t="shared" si="1"/>
        <v>00406-3125</v>
      </c>
    </row>
    <row r="127" spans="1:37">
      <c r="A127" t="s">
        <v>259</v>
      </c>
      <c r="B127" t="s">
        <v>258</v>
      </c>
      <c r="E127">
        <v>134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732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732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307</v>
      </c>
      <c r="AJ127">
        <v>16.3934</v>
      </c>
      <c r="AK127" t="str">
        <f t="shared" si="1"/>
        <v>00406-3714</v>
      </c>
    </row>
    <row r="128" spans="1:37">
      <c r="A128" t="s">
        <v>260</v>
      </c>
      <c r="B128" t="s">
        <v>261</v>
      </c>
      <c r="E128">
        <v>134</v>
      </c>
      <c r="F128">
        <v>4.5999999999999996</v>
      </c>
      <c r="G128">
        <v>0</v>
      </c>
      <c r="H128">
        <v>4</v>
      </c>
      <c r="I128">
        <v>2</v>
      </c>
      <c r="J128">
        <v>1</v>
      </c>
      <c r="K128">
        <v>80</v>
      </c>
      <c r="L128">
        <v>123</v>
      </c>
      <c r="M128">
        <v>0</v>
      </c>
      <c r="N128">
        <v>0</v>
      </c>
      <c r="O128">
        <v>0</v>
      </c>
      <c r="P128">
        <v>0</v>
      </c>
      <c r="Q128">
        <v>80</v>
      </c>
      <c r="R128">
        <v>0</v>
      </c>
      <c r="S128">
        <v>0</v>
      </c>
      <c r="T128">
        <v>13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13</v>
      </c>
      <c r="AF128">
        <v>419</v>
      </c>
      <c r="AJ128">
        <v>16.100000000000001</v>
      </c>
      <c r="AK128" t="str">
        <f t="shared" si="1"/>
        <v>00406-5014</v>
      </c>
    </row>
    <row r="129" spans="1:37">
      <c r="A129" t="s">
        <v>262</v>
      </c>
      <c r="B129" t="s">
        <v>263</v>
      </c>
      <c r="C129" t="s">
        <v>264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60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60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6</v>
      </c>
      <c r="AB129">
        <v>0</v>
      </c>
      <c r="AC129">
        <v>4</v>
      </c>
      <c r="AD129">
        <v>0</v>
      </c>
      <c r="AE129">
        <v>10</v>
      </c>
      <c r="AF129">
        <v>168</v>
      </c>
      <c r="AJ129">
        <v>43.84</v>
      </c>
      <c r="AK129" t="str">
        <f t="shared" si="1"/>
        <v>00SS1-4800</v>
      </c>
    </row>
    <row r="130" spans="1:37">
      <c r="A130" t="s">
        <v>265</v>
      </c>
      <c r="B130" t="s">
        <v>266</v>
      </c>
      <c r="C130" t="s">
        <v>267</v>
      </c>
      <c r="D130" t="s">
        <v>268</v>
      </c>
      <c r="E130">
        <v>42</v>
      </c>
      <c r="F130">
        <v>0</v>
      </c>
      <c r="G130">
        <v>0</v>
      </c>
      <c r="H130">
        <v>0</v>
      </c>
      <c r="I130">
        <v>8</v>
      </c>
      <c r="J130">
        <v>4</v>
      </c>
      <c r="K130">
        <v>558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558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47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47</v>
      </c>
      <c r="AF130">
        <v>0</v>
      </c>
      <c r="AJ130">
        <v>6.91</v>
      </c>
      <c r="AK130" t="str">
        <f t="shared" si="1"/>
        <v>AB051-5000</v>
      </c>
    </row>
    <row r="131" spans="1:37">
      <c r="A131" t="s">
        <v>269</v>
      </c>
      <c r="B131" t="s">
        <v>266</v>
      </c>
      <c r="C131" t="s">
        <v>267</v>
      </c>
      <c r="D131" t="s">
        <v>268</v>
      </c>
      <c r="E131">
        <v>42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4077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4077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J131">
        <v>5.43</v>
      </c>
      <c r="AK131" t="str">
        <f t="shared" si="1"/>
        <v>AB051-6200</v>
      </c>
    </row>
    <row r="132" spans="1:37">
      <c r="A132" t="s">
        <v>270</v>
      </c>
      <c r="B132" t="s">
        <v>271</v>
      </c>
      <c r="C132" t="s">
        <v>110</v>
      </c>
      <c r="D132" t="s">
        <v>272</v>
      </c>
      <c r="E132">
        <v>43</v>
      </c>
      <c r="F132">
        <v>0</v>
      </c>
      <c r="G132">
        <v>0</v>
      </c>
      <c r="H132">
        <v>0</v>
      </c>
      <c r="I132">
        <v>2</v>
      </c>
      <c r="J132">
        <v>1</v>
      </c>
      <c r="K132">
        <v>704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704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12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12</v>
      </c>
      <c r="AF132">
        <v>38</v>
      </c>
      <c r="AJ132">
        <v>2.95</v>
      </c>
      <c r="AK132" t="str">
        <f t="shared" si="1"/>
        <v>AB085-5000</v>
      </c>
    </row>
    <row r="133" spans="1:37">
      <c r="A133" t="s">
        <v>273</v>
      </c>
      <c r="B133" t="s">
        <v>274</v>
      </c>
      <c r="C133" t="s">
        <v>275</v>
      </c>
      <c r="D133" t="s">
        <v>276</v>
      </c>
      <c r="E133">
        <v>50</v>
      </c>
      <c r="F133">
        <v>5.7</v>
      </c>
      <c r="G133">
        <v>13</v>
      </c>
      <c r="H133">
        <v>78</v>
      </c>
      <c r="I133">
        <v>54</v>
      </c>
      <c r="J133">
        <v>43</v>
      </c>
      <c r="K133">
        <v>1797</v>
      </c>
      <c r="L133">
        <v>183</v>
      </c>
      <c r="M133">
        <v>0</v>
      </c>
      <c r="N133">
        <v>11</v>
      </c>
      <c r="O133">
        <v>0</v>
      </c>
      <c r="P133">
        <v>0</v>
      </c>
      <c r="Q133">
        <v>1786</v>
      </c>
      <c r="R133">
        <v>0</v>
      </c>
      <c r="S133">
        <v>137</v>
      </c>
      <c r="T133">
        <v>0</v>
      </c>
      <c r="U133">
        <v>98</v>
      </c>
      <c r="V133">
        <v>29</v>
      </c>
      <c r="W133">
        <v>0</v>
      </c>
      <c r="X133">
        <v>60</v>
      </c>
      <c r="Y133">
        <v>41</v>
      </c>
      <c r="Z133">
        <v>0</v>
      </c>
      <c r="AA133">
        <v>0</v>
      </c>
      <c r="AB133">
        <v>60</v>
      </c>
      <c r="AC133">
        <v>19</v>
      </c>
      <c r="AD133">
        <v>73</v>
      </c>
      <c r="AE133">
        <v>517</v>
      </c>
      <c r="AF133">
        <v>1717</v>
      </c>
      <c r="AJ133">
        <v>6.27</v>
      </c>
      <c r="AK133" t="str">
        <f t="shared" ref="AK133:AK196" si="2">MID(A133,4,10)</f>
        <v>AB221-5000</v>
      </c>
    </row>
    <row r="134" spans="1:37">
      <c r="A134" t="s">
        <v>277</v>
      </c>
      <c r="B134" t="s">
        <v>274</v>
      </c>
      <c r="C134" t="s">
        <v>275</v>
      </c>
      <c r="D134" t="s">
        <v>276</v>
      </c>
      <c r="E134">
        <v>50</v>
      </c>
      <c r="F134">
        <v>18.5</v>
      </c>
      <c r="G134">
        <v>32</v>
      </c>
      <c r="H134">
        <v>39</v>
      </c>
      <c r="I134">
        <v>41</v>
      </c>
      <c r="J134">
        <v>43</v>
      </c>
      <c r="K134">
        <v>2939</v>
      </c>
      <c r="L134">
        <v>69</v>
      </c>
      <c r="M134">
        <v>0</v>
      </c>
      <c r="N134">
        <v>27</v>
      </c>
      <c r="O134">
        <v>0</v>
      </c>
      <c r="P134">
        <v>0</v>
      </c>
      <c r="Q134">
        <v>2912</v>
      </c>
      <c r="R134">
        <v>0</v>
      </c>
      <c r="S134">
        <v>24</v>
      </c>
      <c r="T134">
        <v>25</v>
      </c>
      <c r="U134">
        <v>69</v>
      </c>
      <c r="V134">
        <v>0</v>
      </c>
      <c r="W134">
        <v>129</v>
      </c>
      <c r="X134">
        <v>0</v>
      </c>
      <c r="Y134">
        <v>25</v>
      </c>
      <c r="Z134">
        <v>0</v>
      </c>
      <c r="AA134">
        <v>144</v>
      </c>
      <c r="AB134">
        <v>0</v>
      </c>
      <c r="AC134">
        <v>0</v>
      </c>
      <c r="AD134">
        <v>97</v>
      </c>
      <c r="AE134">
        <v>513</v>
      </c>
      <c r="AF134">
        <v>1230</v>
      </c>
      <c r="AJ134">
        <v>6.34</v>
      </c>
      <c r="AK134" t="str">
        <f t="shared" si="2"/>
        <v>AB221-6200</v>
      </c>
    </row>
    <row r="135" spans="1:37">
      <c r="A135" t="s">
        <v>281</v>
      </c>
      <c r="B135" t="s">
        <v>279</v>
      </c>
      <c r="C135" t="s">
        <v>275</v>
      </c>
      <c r="D135" t="s">
        <v>280</v>
      </c>
      <c r="E135">
        <v>50</v>
      </c>
      <c r="F135">
        <v>0</v>
      </c>
      <c r="G135">
        <v>0</v>
      </c>
      <c r="H135">
        <v>0</v>
      </c>
      <c r="I135">
        <v>2</v>
      </c>
      <c r="J135">
        <v>2</v>
      </c>
      <c r="K135">
        <v>2010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2010</v>
      </c>
      <c r="R135">
        <v>0</v>
      </c>
      <c r="S135">
        <v>0</v>
      </c>
      <c r="T135">
        <v>0</v>
      </c>
      <c r="U135">
        <v>0</v>
      </c>
      <c r="V135">
        <v>10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10</v>
      </c>
      <c r="AC135">
        <v>7</v>
      </c>
      <c r="AD135">
        <v>0</v>
      </c>
      <c r="AE135">
        <v>27</v>
      </c>
      <c r="AF135">
        <v>32</v>
      </c>
      <c r="AJ135">
        <v>4.76</v>
      </c>
      <c r="AK135" t="str">
        <f t="shared" si="2"/>
        <v>AB281-6200</v>
      </c>
    </row>
    <row r="136" spans="1:37">
      <c r="A136" t="s">
        <v>282</v>
      </c>
      <c r="B136" t="s">
        <v>283</v>
      </c>
      <c r="C136" t="s">
        <v>110</v>
      </c>
      <c r="D136" t="s">
        <v>284</v>
      </c>
      <c r="E136">
        <v>50</v>
      </c>
      <c r="F136">
        <v>8.9</v>
      </c>
      <c r="G136">
        <v>40</v>
      </c>
      <c r="H136">
        <v>35</v>
      </c>
      <c r="I136">
        <v>36</v>
      </c>
      <c r="J136">
        <v>29</v>
      </c>
      <c r="K136">
        <v>1295</v>
      </c>
      <c r="L136">
        <v>11</v>
      </c>
      <c r="M136">
        <v>0</v>
      </c>
      <c r="N136">
        <v>34</v>
      </c>
      <c r="O136">
        <v>0</v>
      </c>
      <c r="P136">
        <v>0</v>
      </c>
      <c r="Q136">
        <v>1261</v>
      </c>
      <c r="R136">
        <v>0</v>
      </c>
      <c r="S136">
        <v>65</v>
      </c>
      <c r="T136">
        <v>0</v>
      </c>
      <c r="U136">
        <v>41</v>
      </c>
      <c r="V136">
        <v>0</v>
      </c>
      <c r="W136">
        <v>83</v>
      </c>
      <c r="X136">
        <v>25</v>
      </c>
      <c r="Y136">
        <v>20</v>
      </c>
      <c r="Z136">
        <v>19</v>
      </c>
      <c r="AA136">
        <v>74</v>
      </c>
      <c r="AB136">
        <v>0</v>
      </c>
      <c r="AC136">
        <v>0</v>
      </c>
      <c r="AD136">
        <v>15</v>
      </c>
      <c r="AE136">
        <v>342</v>
      </c>
      <c r="AF136">
        <v>416</v>
      </c>
      <c r="AJ136">
        <v>4.7699999999999996</v>
      </c>
      <c r="AK136" t="str">
        <f t="shared" si="2"/>
        <v>AB300-5000</v>
      </c>
    </row>
    <row r="137" spans="1:37">
      <c r="A137" t="s">
        <v>285</v>
      </c>
      <c r="B137" t="s">
        <v>286</v>
      </c>
      <c r="C137" t="s">
        <v>110</v>
      </c>
      <c r="D137" t="s">
        <v>284</v>
      </c>
      <c r="E137">
        <v>50</v>
      </c>
      <c r="F137">
        <v>11.3</v>
      </c>
      <c r="G137">
        <v>14</v>
      </c>
      <c r="H137">
        <v>52</v>
      </c>
      <c r="I137">
        <v>46</v>
      </c>
      <c r="J137">
        <v>38</v>
      </c>
      <c r="K137">
        <v>2352</v>
      </c>
      <c r="L137">
        <v>22</v>
      </c>
      <c r="M137">
        <v>0</v>
      </c>
      <c r="N137">
        <v>12</v>
      </c>
      <c r="O137">
        <v>0</v>
      </c>
      <c r="P137">
        <v>0</v>
      </c>
      <c r="Q137">
        <v>2340</v>
      </c>
      <c r="R137">
        <v>0</v>
      </c>
      <c r="S137">
        <v>74</v>
      </c>
      <c r="T137">
        <v>82</v>
      </c>
      <c r="U137">
        <v>0</v>
      </c>
      <c r="V137">
        <v>0</v>
      </c>
      <c r="W137">
        <v>101</v>
      </c>
      <c r="X137">
        <v>16</v>
      </c>
      <c r="Y137">
        <v>71</v>
      </c>
      <c r="Z137">
        <v>35</v>
      </c>
      <c r="AA137">
        <v>20</v>
      </c>
      <c r="AB137">
        <v>57</v>
      </c>
      <c r="AC137">
        <v>0</v>
      </c>
      <c r="AD137">
        <v>0</v>
      </c>
      <c r="AE137">
        <v>456</v>
      </c>
      <c r="AF137">
        <v>201</v>
      </c>
      <c r="AJ137">
        <v>4.8899999999999997</v>
      </c>
      <c r="AK137" t="str">
        <f t="shared" si="2"/>
        <v>AB300-6200</v>
      </c>
    </row>
    <row r="138" spans="1:37">
      <c r="A138" t="s">
        <v>287</v>
      </c>
      <c r="B138" t="s">
        <v>288</v>
      </c>
      <c r="C138" t="s">
        <v>267</v>
      </c>
      <c r="D138" t="s">
        <v>284</v>
      </c>
      <c r="E138">
        <v>43</v>
      </c>
      <c r="F138">
        <v>0</v>
      </c>
      <c r="G138">
        <v>0</v>
      </c>
      <c r="H138">
        <v>0</v>
      </c>
      <c r="I138">
        <v>2</v>
      </c>
      <c r="J138">
        <v>4</v>
      </c>
      <c r="K138">
        <v>1246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1246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12</v>
      </c>
      <c r="X138">
        <v>0</v>
      </c>
      <c r="Y138">
        <v>0</v>
      </c>
      <c r="Z138">
        <v>3</v>
      </c>
      <c r="AA138">
        <v>19</v>
      </c>
      <c r="AB138">
        <v>0</v>
      </c>
      <c r="AC138">
        <v>0</v>
      </c>
      <c r="AD138">
        <v>9</v>
      </c>
      <c r="AE138">
        <v>43</v>
      </c>
      <c r="AF138">
        <v>119</v>
      </c>
      <c r="AJ138">
        <v>4.9000000000000004</v>
      </c>
      <c r="AK138" t="str">
        <f t="shared" si="2"/>
        <v>AB400-5000</v>
      </c>
    </row>
    <row r="139" spans="1:37">
      <c r="A139" t="s">
        <v>289</v>
      </c>
      <c r="B139" t="s">
        <v>288</v>
      </c>
      <c r="C139" t="s">
        <v>267</v>
      </c>
      <c r="E139">
        <v>43</v>
      </c>
      <c r="F139">
        <v>0</v>
      </c>
      <c r="G139">
        <v>0</v>
      </c>
      <c r="H139">
        <v>0</v>
      </c>
      <c r="I139">
        <v>0</v>
      </c>
      <c r="J139">
        <v>6</v>
      </c>
      <c r="K139">
        <v>1146</v>
      </c>
      <c r="L139">
        <v>5</v>
      </c>
      <c r="M139">
        <v>0</v>
      </c>
      <c r="N139">
        <v>0</v>
      </c>
      <c r="O139">
        <v>0</v>
      </c>
      <c r="P139">
        <v>0</v>
      </c>
      <c r="Q139">
        <v>1146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7</v>
      </c>
      <c r="AB139">
        <v>61</v>
      </c>
      <c r="AC139">
        <v>0</v>
      </c>
      <c r="AD139">
        <v>0</v>
      </c>
      <c r="AE139">
        <v>68</v>
      </c>
      <c r="AF139">
        <v>77</v>
      </c>
      <c r="AJ139">
        <v>4.9000000000000004</v>
      </c>
      <c r="AK139" t="str">
        <f t="shared" si="2"/>
        <v>AB400-6200</v>
      </c>
    </row>
    <row r="140" spans="1:37">
      <c r="A140" t="s">
        <v>290</v>
      </c>
      <c r="B140" t="s">
        <v>291</v>
      </c>
      <c r="C140" t="s">
        <v>110</v>
      </c>
      <c r="D140" t="s">
        <v>292</v>
      </c>
      <c r="E140">
        <v>50</v>
      </c>
      <c r="F140">
        <v>14.5</v>
      </c>
      <c r="G140">
        <v>74</v>
      </c>
      <c r="H140">
        <v>11</v>
      </c>
      <c r="I140">
        <v>12</v>
      </c>
      <c r="J140">
        <v>30</v>
      </c>
      <c r="K140">
        <v>680</v>
      </c>
      <c r="L140">
        <v>3</v>
      </c>
      <c r="M140">
        <v>0</v>
      </c>
      <c r="N140">
        <v>61</v>
      </c>
      <c r="O140">
        <v>0</v>
      </c>
      <c r="P140">
        <v>0</v>
      </c>
      <c r="Q140">
        <v>619</v>
      </c>
      <c r="R140">
        <v>0</v>
      </c>
      <c r="S140">
        <v>0</v>
      </c>
      <c r="T140">
        <v>32</v>
      </c>
      <c r="U140">
        <v>0</v>
      </c>
      <c r="V140">
        <v>3</v>
      </c>
      <c r="W140">
        <v>36</v>
      </c>
      <c r="X140">
        <v>0</v>
      </c>
      <c r="Y140">
        <v>0</v>
      </c>
      <c r="Z140">
        <v>87</v>
      </c>
      <c r="AA140">
        <v>0</v>
      </c>
      <c r="AB140">
        <v>55</v>
      </c>
      <c r="AC140">
        <v>0</v>
      </c>
      <c r="AD140">
        <v>152</v>
      </c>
      <c r="AE140">
        <v>365</v>
      </c>
      <c r="AF140">
        <v>529</v>
      </c>
      <c r="AJ140">
        <v>4.25</v>
      </c>
      <c r="AK140" t="str">
        <f t="shared" si="2"/>
        <v>AE011-5000</v>
      </c>
    </row>
    <row r="141" spans="1:37">
      <c r="A141" t="s">
        <v>293</v>
      </c>
      <c r="B141" t="s">
        <v>291</v>
      </c>
      <c r="C141" t="s">
        <v>110</v>
      </c>
      <c r="D141" t="s">
        <v>294</v>
      </c>
      <c r="E141">
        <v>50</v>
      </c>
      <c r="F141">
        <v>0</v>
      </c>
      <c r="G141">
        <v>55</v>
      </c>
      <c r="H141">
        <v>0</v>
      </c>
      <c r="I141">
        <v>0</v>
      </c>
      <c r="J141">
        <v>26</v>
      </c>
      <c r="K141">
        <v>1295</v>
      </c>
      <c r="L141">
        <v>44</v>
      </c>
      <c r="M141">
        <v>0</v>
      </c>
      <c r="N141">
        <v>46</v>
      </c>
      <c r="O141">
        <v>0</v>
      </c>
      <c r="P141">
        <v>0</v>
      </c>
      <c r="Q141">
        <v>1249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48</v>
      </c>
      <c r="Z141">
        <v>124</v>
      </c>
      <c r="AA141">
        <v>0</v>
      </c>
      <c r="AB141">
        <v>110</v>
      </c>
      <c r="AC141">
        <v>27</v>
      </c>
      <c r="AD141">
        <v>0</v>
      </c>
      <c r="AE141">
        <v>309</v>
      </c>
      <c r="AF141">
        <v>452</v>
      </c>
      <c r="AJ141">
        <v>4.25</v>
      </c>
      <c r="AK141" t="str">
        <f t="shared" si="2"/>
        <v>AE011-6200</v>
      </c>
    </row>
    <row r="142" spans="1:37">
      <c r="A142" t="s">
        <v>295</v>
      </c>
      <c r="B142" t="s">
        <v>296</v>
      </c>
      <c r="C142" t="s">
        <v>110</v>
      </c>
      <c r="D142" t="s">
        <v>292</v>
      </c>
      <c r="E142">
        <v>50</v>
      </c>
      <c r="F142">
        <v>235.9</v>
      </c>
      <c r="G142">
        <v>0</v>
      </c>
      <c r="H142">
        <v>3</v>
      </c>
      <c r="I142">
        <v>24</v>
      </c>
      <c r="J142">
        <v>26</v>
      </c>
      <c r="K142">
        <v>3145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3145</v>
      </c>
      <c r="R142">
        <v>0</v>
      </c>
      <c r="S142">
        <v>10</v>
      </c>
      <c r="T142">
        <v>0</v>
      </c>
      <c r="U142">
        <v>0</v>
      </c>
      <c r="V142">
        <v>0</v>
      </c>
      <c r="W142">
        <v>0</v>
      </c>
      <c r="X142">
        <v>132</v>
      </c>
      <c r="Y142">
        <v>0</v>
      </c>
      <c r="Z142">
        <v>69</v>
      </c>
      <c r="AA142">
        <v>89</v>
      </c>
      <c r="AB142">
        <v>12</v>
      </c>
      <c r="AC142">
        <v>0</v>
      </c>
      <c r="AD142">
        <v>0</v>
      </c>
      <c r="AE142">
        <v>312</v>
      </c>
      <c r="AF142">
        <v>1732</v>
      </c>
      <c r="AJ142">
        <v>4.1399999999999997</v>
      </c>
      <c r="AK142" t="str">
        <f t="shared" si="2"/>
        <v>AE021-5000</v>
      </c>
    </row>
    <row r="143" spans="1:37">
      <c r="A143" t="s">
        <v>297</v>
      </c>
      <c r="B143" t="s">
        <v>296</v>
      </c>
      <c r="C143" t="s">
        <v>110</v>
      </c>
      <c r="D143" t="s">
        <v>292</v>
      </c>
      <c r="E143">
        <v>50</v>
      </c>
      <c r="F143">
        <v>2.5</v>
      </c>
      <c r="G143">
        <v>24</v>
      </c>
      <c r="H143">
        <v>206</v>
      </c>
      <c r="I143">
        <v>110</v>
      </c>
      <c r="J143">
        <v>63</v>
      </c>
      <c r="K143">
        <v>2061</v>
      </c>
      <c r="L143">
        <v>19</v>
      </c>
      <c r="M143">
        <v>0</v>
      </c>
      <c r="N143">
        <v>20</v>
      </c>
      <c r="O143">
        <v>0</v>
      </c>
      <c r="P143">
        <v>0</v>
      </c>
      <c r="Q143">
        <v>2041</v>
      </c>
      <c r="R143">
        <v>0</v>
      </c>
      <c r="S143">
        <v>25</v>
      </c>
      <c r="T143">
        <v>29</v>
      </c>
      <c r="U143">
        <v>565</v>
      </c>
      <c r="V143">
        <v>0</v>
      </c>
      <c r="W143">
        <v>0</v>
      </c>
      <c r="X143">
        <v>39</v>
      </c>
      <c r="Y143">
        <v>100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758</v>
      </c>
      <c r="AF143">
        <v>712</v>
      </c>
      <c r="AJ143">
        <v>4.1399999999999997</v>
      </c>
      <c r="AK143" t="str">
        <f t="shared" si="2"/>
        <v>AE021-6200</v>
      </c>
    </row>
    <row r="144" spans="1:37">
      <c r="A144" t="s">
        <v>298</v>
      </c>
      <c r="B144" t="s">
        <v>299</v>
      </c>
      <c r="C144" t="s">
        <v>110</v>
      </c>
      <c r="D144" t="s">
        <v>284</v>
      </c>
      <c r="E144">
        <v>50</v>
      </c>
      <c r="F144">
        <v>8</v>
      </c>
      <c r="G144">
        <v>63</v>
      </c>
      <c r="H144">
        <v>65</v>
      </c>
      <c r="I144">
        <v>52</v>
      </c>
      <c r="J144">
        <v>49</v>
      </c>
      <c r="K144">
        <v>2126</v>
      </c>
      <c r="L144">
        <v>44</v>
      </c>
      <c r="M144">
        <v>0</v>
      </c>
      <c r="N144">
        <v>52</v>
      </c>
      <c r="O144">
        <v>0</v>
      </c>
      <c r="P144">
        <v>0</v>
      </c>
      <c r="Q144">
        <v>2074</v>
      </c>
      <c r="R144">
        <v>0</v>
      </c>
      <c r="S144">
        <v>63</v>
      </c>
      <c r="T144">
        <v>63</v>
      </c>
      <c r="U144">
        <v>68</v>
      </c>
      <c r="V144">
        <v>44</v>
      </c>
      <c r="W144">
        <v>0</v>
      </c>
      <c r="X144">
        <v>76</v>
      </c>
      <c r="Y144">
        <v>20</v>
      </c>
      <c r="Z144">
        <v>61</v>
      </c>
      <c r="AA144">
        <v>189</v>
      </c>
      <c r="AB144">
        <v>0</v>
      </c>
      <c r="AC144">
        <v>0</v>
      </c>
      <c r="AD144">
        <v>0</v>
      </c>
      <c r="AE144">
        <v>584</v>
      </c>
      <c r="AF144">
        <v>387</v>
      </c>
      <c r="AJ144">
        <v>4.7699999999999996</v>
      </c>
      <c r="AK144" t="str">
        <f t="shared" si="2"/>
        <v>AE060-5000</v>
      </c>
    </row>
    <row r="145" spans="1:37">
      <c r="A145" t="s">
        <v>300</v>
      </c>
      <c r="B145" t="s">
        <v>299</v>
      </c>
      <c r="C145" t="s">
        <v>110</v>
      </c>
      <c r="D145" t="s">
        <v>284</v>
      </c>
      <c r="E145">
        <v>50</v>
      </c>
      <c r="F145">
        <v>4.7</v>
      </c>
      <c r="G145">
        <v>32</v>
      </c>
      <c r="H145">
        <v>59</v>
      </c>
      <c r="I145">
        <v>32</v>
      </c>
      <c r="J145">
        <v>21</v>
      </c>
      <c r="K145">
        <v>1121</v>
      </c>
      <c r="L145">
        <v>45</v>
      </c>
      <c r="M145">
        <v>0</v>
      </c>
      <c r="N145">
        <v>27</v>
      </c>
      <c r="O145">
        <v>0</v>
      </c>
      <c r="P145">
        <v>0</v>
      </c>
      <c r="Q145">
        <v>1094</v>
      </c>
      <c r="R145">
        <v>0</v>
      </c>
      <c r="S145">
        <v>139</v>
      </c>
      <c r="T145">
        <v>0</v>
      </c>
      <c r="U145">
        <v>37</v>
      </c>
      <c r="V145">
        <v>0</v>
      </c>
      <c r="W145">
        <v>0</v>
      </c>
      <c r="X145">
        <v>14</v>
      </c>
      <c r="Y145">
        <v>57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247</v>
      </c>
      <c r="AF145">
        <v>215</v>
      </c>
      <c r="AJ145">
        <v>4.7699999999999996</v>
      </c>
      <c r="AK145" t="str">
        <f t="shared" si="2"/>
        <v>AE060-6200</v>
      </c>
    </row>
    <row r="146" spans="1:37">
      <c r="A146" t="s">
        <v>301</v>
      </c>
      <c r="B146" t="s">
        <v>302</v>
      </c>
      <c r="C146" t="s">
        <v>110</v>
      </c>
      <c r="D146" t="s">
        <v>284</v>
      </c>
      <c r="E146">
        <v>50</v>
      </c>
      <c r="F146">
        <v>0.6</v>
      </c>
      <c r="G146">
        <v>75</v>
      </c>
      <c r="H146">
        <v>98</v>
      </c>
      <c r="I146">
        <v>75</v>
      </c>
      <c r="J146">
        <v>91</v>
      </c>
      <c r="K146">
        <v>300</v>
      </c>
      <c r="L146">
        <v>167</v>
      </c>
      <c r="M146">
        <v>0</v>
      </c>
      <c r="N146">
        <v>63</v>
      </c>
      <c r="O146">
        <v>0</v>
      </c>
      <c r="P146">
        <v>0</v>
      </c>
      <c r="Q146">
        <v>237</v>
      </c>
      <c r="R146">
        <v>0</v>
      </c>
      <c r="S146">
        <v>90</v>
      </c>
      <c r="T146">
        <v>166</v>
      </c>
      <c r="U146">
        <v>37</v>
      </c>
      <c r="V146">
        <v>0</v>
      </c>
      <c r="W146">
        <v>0</v>
      </c>
      <c r="X146">
        <v>155</v>
      </c>
      <c r="Y146">
        <v>87</v>
      </c>
      <c r="Z146">
        <v>227</v>
      </c>
      <c r="AA146">
        <v>146</v>
      </c>
      <c r="AB146">
        <v>183</v>
      </c>
      <c r="AC146">
        <v>0</v>
      </c>
      <c r="AD146">
        <v>0</v>
      </c>
      <c r="AE146">
        <v>1091</v>
      </c>
      <c r="AF146">
        <v>2161</v>
      </c>
      <c r="AJ146">
        <v>4.6500000000000004</v>
      </c>
      <c r="AK146" t="str">
        <f t="shared" si="2"/>
        <v>AE100-5000</v>
      </c>
    </row>
    <row r="147" spans="1:37">
      <c r="A147" t="s">
        <v>303</v>
      </c>
      <c r="B147" t="s">
        <v>302</v>
      </c>
      <c r="C147" t="s">
        <v>110</v>
      </c>
      <c r="D147" t="s">
        <v>284</v>
      </c>
      <c r="E147">
        <v>50</v>
      </c>
      <c r="F147">
        <v>0.2</v>
      </c>
      <c r="G147">
        <v>50</v>
      </c>
      <c r="H147">
        <v>125</v>
      </c>
      <c r="I147">
        <v>81</v>
      </c>
      <c r="J147">
        <v>125</v>
      </c>
      <c r="K147">
        <v>165</v>
      </c>
      <c r="L147">
        <v>48</v>
      </c>
      <c r="M147">
        <v>0</v>
      </c>
      <c r="N147">
        <v>42</v>
      </c>
      <c r="O147">
        <v>0</v>
      </c>
      <c r="P147">
        <v>0</v>
      </c>
      <c r="Q147">
        <v>123</v>
      </c>
      <c r="R147">
        <v>0</v>
      </c>
      <c r="S147">
        <v>310</v>
      </c>
      <c r="T147">
        <v>44</v>
      </c>
      <c r="U147">
        <v>21</v>
      </c>
      <c r="V147">
        <v>81</v>
      </c>
      <c r="W147">
        <v>6</v>
      </c>
      <c r="X147">
        <v>23</v>
      </c>
      <c r="Y147">
        <v>431</v>
      </c>
      <c r="Z147">
        <v>50</v>
      </c>
      <c r="AA147">
        <v>33</v>
      </c>
      <c r="AB147">
        <v>124</v>
      </c>
      <c r="AC147">
        <v>372</v>
      </c>
      <c r="AD147">
        <v>0</v>
      </c>
      <c r="AE147">
        <v>1495</v>
      </c>
      <c r="AF147">
        <v>2119</v>
      </c>
      <c r="AJ147">
        <v>4.87</v>
      </c>
      <c r="AK147" t="str">
        <f t="shared" si="2"/>
        <v>AE100-6200</v>
      </c>
    </row>
    <row r="148" spans="1:37">
      <c r="A148" t="s">
        <v>304</v>
      </c>
      <c r="B148" t="s">
        <v>305</v>
      </c>
      <c r="C148" t="s">
        <v>110</v>
      </c>
      <c r="D148" t="s">
        <v>306</v>
      </c>
      <c r="E148">
        <v>45</v>
      </c>
      <c r="F148">
        <v>25.5</v>
      </c>
      <c r="G148">
        <v>16</v>
      </c>
      <c r="H148">
        <v>3</v>
      </c>
      <c r="I148">
        <v>5</v>
      </c>
      <c r="J148">
        <v>15</v>
      </c>
      <c r="K148">
        <v>353</v>
      </c>
      <c r="L148">
        <v>3</v>
      </c>
      <c r="M148">
        <v>0</v>
      </c>
      <c r="N148">
        <v>13</v>
      </c>
      <c r="O148">
        <v>0</v>
      </c>
      <c r="P148">
        <v>88</v>
      </c>
      <c r="Q148">
        <v>340</v>
      </c>
      <c r="R148">
        <v>0</v>
      </c>
      <c r="S148">
        <v>8</v>
      </c>
      <c r="T148">
        <v>0</v>
      </c>
      <c r="U148">
        <v>2</v>
      </c>
      <c r="V148">
        <v>12</v>
      </c>
      <c r="W148">
        <v>10</v>
      </c>
      <c r="X148">
        <v>0</v>
      </c>
      <c r="Y148">
        <v>0</v>
      </c>
      <c r="Z148">
        <v>40</v>
      </c>
      <c r="AA148">
        <v>53</v>
      </c>
      <c r="AB148">
        <v>0</v>
      </c>
      <c r="AC148">
        <v>42</v>
      </c>
      <c r="AD148">
        <v>14</v>
      </c>
      <c r="AE148">
        <v>181</v>
      </c>
      <c r="AF148">
        <v>197</v>
      </c>
      <c r="AJ148">
        <v>4.25</v>
      </c>
      <c r="AK148" t="str">
        <f t="shared" si="2"/>
        <v>AG011-5000</v>
      </c>
    </row>
    <row r="149" spans="1:37">
      <c r="A149" t="s">
        <v>307</v>
      </c>
      <c r="B149" t="s">
        <v>305</v>
      </c>
      <c r="C149" t="s">
        <v>110</v>
      </c>
      <c r="D149" t="s">
        <v>306</v>
      </c>
      <c r="E149">
        <v>45</v>
      </c>
      <c r="F149">
        <v>107.8</v>
      </c>
      <c r="G149">
        <v>51</v>
      </c>
      <c r="H149">
        <v>3</v>
      </c>
      <c r="I149">
        <v>37</v>
      </c>
      <c r="J149">
        <v>45</v>
      </c>
      <c r="K149">
        <v>1480</v>
      </c>
      <c r="L149">
        <v>81</v>
      </c>
      <c r="M149">
        <v>0</v>
      </c>
      <c r="N149">
        <v>42</v>
      </c>
      <c r="O149">
        <v>0</v>
      </c>
      <c r="P149">
        <v>0</v>
      </c>
      <c r="Q149">
        <v>1438</v>
      </c>
      <c r="R149">
        <v>0</v>
      </c>
      <c r="S149">
        <v>0</v>
      </c>
      <c r="T149">
        <v>10</v>
      </c>
      <c r="U149">
        <v>0</v>
      </c>
      <c r="V149">
        <v>100</v>
      </c>
      <c r="W149">
        <v>64</v>
      </c>
      <c r="X149">
        <v>50</v>
      </c>
      <c r="Y149">
        <v>52</v>
      </c>
      <c r="Z149">
        <v>96</v>
      </c>
      <c r="AA149">
        <v>32</v>
      </c>
      <c r="AB149">
        <v>22</v>
      </c>
      <c r="AC149">
        <v>109</v>
      </c>
      <c r="AD149">
        <v>0</v>
      </c>
      <c r="AE149">
        <v>535</v>
      </c>
      <c r="AF149">
        <v>756</v>
      </c>
      <c r="AJ149">
        <v>4.25</v>
      </c>
      <c r="AK149" t="str">
        <f t="shared" si="2"/>
        <v>AG011-6200</v>
      </c>
    </row>
    <row r="150" spans="1:37">
      <c r="A150" t="s">
        <v>308</v>
      </c>
      <c r="B150" t="s">
        <v>309</v>
      </c>
      <c r="C150" t="s">
        <v>110</v>
      </c>
      <c r="D150" t="s">
        <v>306</v>
      </c>
      <c r="E150">
        <v>43</v>
      </c>
      <c r="F150">
        <v>0.4</v>
      </c>
      <c r="G150">
        <v>520</v>
      </c>
      <c r="H150">
        <v>326</v>
      </c>
      <c r="I150">
        <v>603</v>
      </c>
      <c r="J150">
        <v>789</v>
      </c>
      <c r="K150">
        <v>944</v>
      </c>
      <c r="L150">
        <v>888</v>
      </c>
      <c r="M150">
        <v>0</v>
      </c>
      <c r="N150">
        <v>433</v>
      </c>
      <c r="O150">
        <v>0</v>
      </c>
      <c r="P150">
        <v>0</v>
      </c>
      <c r="Q150">
        <v>511</v>
      </c>
      <c r="R150">
        <v>0</v>
      </c>
      <c r="S150">
        <v>687</v>
      </c>
      <c r="T150">
        <v>292</v>
      </c>
      <c r="U150">
        <v>0</v>
      </c>
      <c r="V150">
        <v>846</v>
      </c>
      <c r="W150">
        <v>1794</v>
      </c>
      <c r="X150">
        <v>0</v>
      </c>
      <c r="Y150">
        <v>1015</v>
      </c>
      <c r="Z150">
        <v>2168</v>
      </c>
      <c r="AA150">
        <v>1215</v>
      </c>
      <c r="AB150">
        <v>403</v>
      </c>
      <c r="AC150">
        <v>59</v>
      </c>
      <c r="AD150">
        <v>985</v>
      </c>
      <c r="AE150">
        <v>9464</v>
      </c>
      <c r="AF150">
        <v>9038</v>
      </c>
      <c r="AJ150">
        <v>3.96</v>
      </c>
      <c r="AK150" t="str">
        <f t="shared" si="2"/>
        <v>AG021-5000</v>
      </c>
    </row>
    <row r="151" spans="1:37">
      <c r="A151" t="s">
        <v>310</v>
      </c>
      <c r="B151" t="s">
        <v>309</v>
      </c>
      <c r="C151" t="s">
        <v>110</v>
      </c>
      <c r="D151" t="s">
        <v>306</v>
      </c>
      <c r="E151">
        <v>43</v>
      </c>
      <c r="F151">
        <v>16.2</v>
      </c>
      <c r="G151">
        <v>2</v>
      </c>
      <c r="H151">
        <v>19</v>
      </c>
      <c r="I151">
        <v>66</v>
      </c>
      <c r="J151">
        <v>134</v>
      </c>
      <c r="K151">
        <v>1233</v>
      </c>
      <c r="L151">
        <v>42</v>
      </c>
      <c r="M151">
        <v>0</v>
      </c>
      <c r="N151">
        <v>2</v>
      </c>
      <c r="O151">
        <v>0</v>
      </c>
      <c r="P151">
        <v>0</v>
      </c>
      <c r="Q151">
        <v>1231</v>
      </c>
      <c r="R151">
        <v>0</v>
      </c>
      <c r="S151">
        <v>12</v>
      </c>
      <c r="T151">
        <v>0</v>
      </c>
      <c r="U151">
        <v>45</v>
      </c>
      <c r="V151">
        <v>0</v>
      </c>
      <c r="W151">
        <v>230</v>
      </c>
      <c r="X151">
        <v>110</v>
      </c>
      <c r="Y151">
        <v>0</v>
      </c>
      <c r="Z151">
        <v>364</v>
      </c>
      <c r="AA151">
        <v>0</v>
      </c>
      <c r="AB151">
        <v>739</v>
      </c>
      <c r="AC151">
        <v>110</v>
      </c>
      <c r="AD151">
        <v>0</v>
      </c>
      <c r="AE151">
        <v>1610</v>
      </c>
      <c r="AF151">
        <v>1334</v>
      </c>
      <c r="AJ151">
        <v>4.24</v>
      </c>
      <c r="AK151" t="str">
        <f t="shared" si="2"/>
        <v>AG021-6200</v>
      </c>
    </row>
    <row r="152" spans="1:37">
      <c r="A152" t="s">
        <v>311</v>
      </c>
      <c r="B152" t="s">
        <v>312</v>
      </c>
      <c r="C152" t="s">
        <v>313</v>
      </c>
      <c r="D152" t="s">
        <v>314</v>
      </c>
      <c r="E152">
        <v>43</v>
      </c>
      <c r="F152">
        <v>14.9</v>
      </c>
      <c r="G152">
        <v>3</v>
      </c>
      <c r="H152">
        <v>17</v>
      </c>
      <c r="I152">
        <v>14</v>
      </c>
      <c r="J152">
        <v>17</v>
      </c>
      <c r="K152">
        <v>1018</v>
      </c>
      <c r="L152">
        <v>27</v>
      </c>
      <c r="M152">
        <v>0</v>
      </c>
      <c r="N152">
        <v>3</v>
      </c>
      <c r="O152">
        <v>0</v>
      </c>
      <c r="P152">
        <v>0</v>
      </c>
      <c r="Q152">
        <v>1015</v>
      </c>
      <c r="R152">
        <v>0</v>
      </c>
      <c r="S152">
        <v>30</v>
      </c>
      <c r="T152">
        <v>11</v>
      </c>
      <c r="U152">
        <v>10</v>
      </c>
      <c r="V152">
        <v>2</v>
      </c>
      <c r="W152">
        <v>0</v>
      </c>
      <c r="X152">
        <v>33</v>
      </c>
      <c r="Y152">
        <v>9</v>
      </c>
      <c r="Z152">
        <v>0</v>
      </c>
      <c r="AA152">
        <v>56</v>
      </c>
      <c r="AB152">
        <v>0</v>
      </c>
      <c r="AC152">
        <v>0</v>
      </c>
      <c r="AD152">
        <v>56</v>
      </c>
      <c r="AE152">
        <v>207</v>
      </c>
      <c r="AF152">
        <v>553</v>
      </c>
      <c r="AJ152">
        <v>5.52</v>
      </c>
      <c r="AK152" t="str">
        <f t="shared" si="2"/>
        <v>AG031-5000</v>
      </c>
    </row>
    <row r="153" spans="1:37">
      <c r="A153" t="s">
        <v>315</v>
      </c>
      <c r="B153" t="s">
        <v>312</v>
      </c>
      <c r="C153" t="s">
        <v>313</v>
      </c>
      <c r="D153" t="s">
        <v>314</v>
      </c>
      <c r="E153">
        <v>43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1204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1204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218</v>
      </c>
      <c r="AJ153">
        <v>5.27</v>
      </c>
      <c r="AK153" t="str">
        <f t="shared" si="2"/>
        <v>AG031-6200</v>
      </c>
    </row>
    <row r="154" spans="1:37">
      <c r="A154" t="s">
        <v>316</v>
      </c>
      <c r="B154" t="s">
        <v>317</v>
      </c>
      <c r="C154" t="s">
        <v>318</v>
      </c>
      <c r="E154">
        <v>50</v>
      </c>
      <c r="F154">
        <v>0</v>
      </c>
      <c r="G154">
        <v>0</v>
      </c>
      <c r="H154">
        <v>8</v>
      </c>
      <c r="I154">
        <v>8</v>
      </c>
      <c r="J154">
        <v>10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12</v>
      </c>
      <c r="T154">
        <v>11</v>
      </c>
      <c r="U154">
        <v>0</v>
      </c>
      <c r="V154">
        <v>0</v>
      </c>
      <c r="W154">
        <v>5</v>
      </c>
      <c r="X154">
        <v>20</v>
      </c>
      <c r="Y154">
        <v>0</v>
      </c>
      <c r="Z154">
        <v>51</v>
      </c>
      <c r="AA154">
        <v>0</v>
      </c>
      <c r="AB154">
        <v>7</v>
      </c>
      <c r="AC154">
        <v>2</v>
      </c>
      <c r="AD154">
        <v>9</v>
      </c>
      <c r="AE154">
        <v>117</v>
      </c>
      <c r="AF154">
        <v>63</v>
      </c>
      <c r="AJ154">
        <v>6.74</v>
      </c>
      <c r="AK154" t="str">
        <f t="shared" si="2"/>
        <v>AG041-5000</v>
      </c>
    </row>
    <row r="155" spans="1:37">
      <c r="A155" t="s">
        <v>319</v>
      </c>
      <c r="B155" t="s">
        <v>317</v>
      </c>
      <c r="C155" t="s">
        <v>318</v>
      </c>
      <c r="E155">
        <v>50</v>
      </c>
      <c r="F155">
        <v>0</v>
      </c>
      <c r="G155">
        <v>0</v>
      </c>
      <c r="H155">
        <v>0</v>
      </c>
      <c r="I155">
        <v>51</v>
      </c>
      <c r="J155">
        <v>39</v>
      </c>
      <c r="K155">
        <v>2287</v>
      </c>
      <c r="L155">
        <v>294</v>
      </c>
      <c r="M155">
        <v>0</v>
      </c>
      <c r="N155">
        <v>0</v>
      </c>
      <c r="O155">
        <v>0</v>
      </c>
      <c r="P155">
        <v>0</v>
      </c>
      <c r="Q155">
        <v>2287</v>
      </c>
      <c r="R155">
        <v>0</v>
      </c>
      <c r="S155">
        <v>0</v>
      </c>
      <c r="T155">
        <v>0</v>
      </c>
      <c r="U155">
        <v>0</v>
      </c>
      <c r="V155">
        <v>295</v>
      </c>
      <c r="W155">
        <v>10</v>
      </c>
      <c r="X155">
        <v>2</v>
      </c>
      <c r="Y155">
        <v>45</v>
      </c>
      <c r="Z155">
        <v>28</v>
      </c>
      <c r="AA155">
        <v>37</v>
      </c>
      <c r="AB155">
        <v>20</v>
      </c>
      <c r="AC155">
        <v>0</v>
      </c>
      <c r="AD155">
        <v>32</v>
      </c>
      <c r="AE155">
        <v>469</v>
      </c>
      <c r="AF155">
        <v>235</v>
      </c>
      <c r="AJ155">
        <v>6.81</v>
      </c>
      <c r="AK155" t="str">
        <f t="shared" si="2"/>
        <v>AG041-6200</v>
      </c>
    </row>
    <row r="156" spans="1:37">
      <c r="A156" t="s">
        <v>320</v>
      </c>
      <c r="B156" t="s">
        <v>321</v>
      </c>
      <c r="C156" t="s">
        <v>313</v>
      </c>
      <c r="E156">
        <v>43</v>
      </c>
      <c r="F156">
        <v>-0.1</v>
      </c>
      <c r="G156">
        <v>4</v>
      </c>
      <c r="H156">
        <v>7</v>
      </c>
      <c r="I156">
        <v>9</v>
      </c>
      <c r="J156">
        <v>11</v>
      </c>
      <c r="K156">
        <v>0</v>
      </c>
      <c r="L156">
        <v>15</v>
      </c>
      <c r="M156">
        <v>0</v>
      </c>
      <c r="N156">
        <v>3</v>
      </c>
      <c r="O156">
        <v>0</v>
      </c>
      <c r="P156">
        <v>0</v>
      </c>
      <c r="Q156">
        <v>-3</v>
      </c>
      <c r="R156">
        <v>0</v>
      </c>
      <c r="S156">
        <v>20</v>
      </c>
      <c r="T156">
        <v>0</v>
      </c>
      <c r="U156">
        <v>0</v>
      </c>
      <c r="V156">
        <v>0</v>
      </c>
      <c r="W156">
        <v>0</v>
      </c>
      <c r="X156">
        <v>33</v>
      </c>
      <c r="Y156">
        <v>43</v>
      </c>
      <c r="Z156">
        <v>0</v>
      </c>
      <c r="AA156">
        <v>0</v>
      </c>
      <c r="AB156">
        <v>28</v>
      </c>
      <c r="AC156">
        <v>6</v>
      </c>
      <c r="AD156">
        <v>0</v>
      </c>
      <c r="AE156">
        <v>130</v>
      </c>
      <c r="AF156">
        <v>147</v>
      </c>
      <c r="AJ156">
        <v>5.43</v>
      </c>
      <c r="AK156" t="str">
        <f t="shared" si="2"/>
        <v>AG071-5000</v>
      </c>
    </row>
    <row r="157" spans="1:37">
      <c r="A157" t="s">
        <v>322</v>
      </c>
      <c r="B157" t="s">
        <v>321</v>
      </c>
      <c r="C157" t="s">
        <v>313</v>
      </c>
      <c r="E157">
        <v>43</v>
      </c>
      <c r="F157">
        <v>0</v>
      </c>
      <c r="G157">
        <v>0</v>
      </c>
      <c r="H157">
        <v>0</v>
      </c>
      <c r="I157">
        <v>0</v>
      </c>
      <c r="J157">
        <v>3</v>
      </c>
      <c r="K157">
        <v>1993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1993</v>
      </c>
      <c r="R157">
        <v>0</v>
      </c>
      <c r="S157">
        <v>0</v>
      </c>
      <c r="T157">
        <v>0</v>
      </c>
      <c r="U157">
        <v>0</v>
      </c>
      <c r="V157">
        <v>2</v>
      </c>
      <c r="W157">
        <v>0</v>
      </c>
      <c r="X157">
        <v>0</v>
      </c>
      <c r="Y157">
        <v>0</v>
      </c>
      <c r="Z157">
        <v>0</v>
      </c>
      <c r="AA157">
        <v>30</v>
      </c>
      <c r="AB157">
        <v>0</v>
      </c>
      <c r="AC157">
        <v>0</v>
      </c>
      <c r="AD157">
        <v>0</v>
      </c>
      <c r="AE157">
        <v>32</v>
      </c>
      <c r="AF157">
        <v>105</v>
      </c>
      <c r="AJ157">
        <v>2.95</v>
      </c>
      <c r="AK157" t="str">
        <f t="shared" si="2"/>
        <v>AG071-6200</v>
      </c>
    </row>
    <row r="158" spans="1:37">
      <c r="A158" t="s">
        <v>323</v>
      </c>
      <c r="B158" t="s">
        <v>324</v>
      </c>
      <c r="C158" t="s">
        <v>325</v>
      </c>
      <c r="E158">
        <v>43</v>
      </c>
      <c r="F158">
        <v>3.6</v>
      </c>
      <c r="G158">
        <v>16</v>
      </c>
      <c r="H158">
        <v>107</v>
      </c>
      <c r="I158">
        <v>95</v>
      </c>
      <c r="J158">
        <v>100</v>
      </c>
      <c r="K158">
        <v>1556</v>
      </c>
      <c r="L158">
        <v>130</v>
      </c>
      <c r="M158">
        <v>0</v>
      </c>
      <c r="N158">
        <v>13</v>
      </c>
      <c r="O158">
        <v>0</v>
      </c>
      <c r="P158">
        <v>0</v>
      </c>
      <c r="Q158">
        <v>1543</v>
      </c>
      <c r="R158">
        <v>107</v>
      </c>
      <c r="S158">
        <v>197</v>
      </c>
      <c r="T158">
        <v>0</v>
      </c>
      <c r="U158">
        <v>123</v>
      </c>
      <c r="V158">
        <v>7</v>
      </c>
      <c r="W158">
        <v>212</v>
      </c>
      <c r="X158">
        <v>28</v>
      </c>
      <c r="Y158">
        <v>83</v>
      </c>
      <c r="Z158">
        <v>0</v>
      </c>
      <c r="AA158">
        <v>0</v>
      </c>
      <c r="AB158">
        <v>0</v>
      </c>
      <c r="AC158">
        <v>461</v>
      </c>
      <c r="AD158">
        <v>89</v>
      </c>
      <c r="AE158">
        <v>1200</v>
      </c>
      <c r="AF158">
        <v>675</v>
      </c>
      <c r="AJ158">
        <v>5.71</v>
      </c>
      <c r="AK158" t="str">
        <f t="shared" si="2"/>
        <v>AG081-5000</v>
      </c>
    </row>
    <row r="159" spans="1:37">
      <c r="A159" t="s">
        <v>326</v>
      </c>
      <c r="B159" t="s">
        <v>324</v>
      </c>
      <c r="C159" t="s">
        <v>325</v>
      </c>
      <c r="E159">
        <v>43</v>
      </c>
      <c r="F159">
        <v>6.2</v>
      </c>
      <c r="G159">
        <v>15</v>
      </c>
      <c r="H159">
        <v>131</v>
      </c>
      <c r="I159">
        <v>108</v>
      </c>
      <c r="J159">
        <v>152</v>
      </c>
      <c r="K159">
        <v>3270</v>
      </c>
      <c r="L159">
        <v>86</v>
      </c>
      <c r="M159">
        <v>0</v>
      </c>
      <c r="N159">
        <v>13</v>
      </c>
      <c r="O159">
        <v>0</v>
      </c>
      <c r="P159">
        <v>0</v>
      </c>
      <c r="Q159">
        <v>3257</v>
      </c>
      <c r="R159">
        <v>0</v>
      </c>
      <c r="S159">
        <v>144</v>
      </c>
      <c r="T159">
        <v>146</v>
      </c>
      <c r="U159">
        <v>102</v>
      </c>
      <c r="V159">
        <v>110</v>
      </c>
      <c r="W159">
        <v>114</v>
      </c>
      <c r="X159">
        <v>31</v>
      </c>
      <c r="Y159">
        <v>18</v>
      </c>
      <c r="Z159">
        <v>294</v>
      </c>
      <c r="AA159">
        <v>195</v>
      </c>
      <c r="AB159">
        <v>380</v>
      </c>
      <c r="AC159">
        <v>9</v>
      </c>
      <c r="AD159">
        <v>280</v>
      </c>
      <c r="AE159">
        <v>1823</v>
      </c>
      <c r="AF159">
        <v>3890</v>
      </c>
      <c r="AJ159">
        <v>5.71</v>
      </c>
      <c r="AK159" t="str">
        <f t="shared" si="2"/>
        <v>AG081-6200</v>
      </c>
    </row>
    <row r="160" spans="1:37">
      <c r="A160" t="s">
        <v>327</v>
      </c>
      <c r="B160" t="s">
        <v>328</v>
      </c>
      <c r="C160" t="s">
        <v>329</v>
      </c>
      <c r="D160" t="s">
        <v>330</v>
      </c>
      <c r="E160">
        <v>50</v>
      </c>
      <c r="F160">
        <v>17</v>
      </c>
      <c r="G160">
        <v>0</v>
      </c>
      <c r="H160">
        <v>23</v>
      </c>
      <c r="I160">
        <v>24</v>
      </c>
      <c r="J160">
        <v>84</v>
      </c>
      <c r="K160">
        <v>1542</v>
      </c>
      <c r="L160">
        <v>48</v>
      </c>
      <c r="M160">
        <v>0</v>
      </c>
      <c r="N160">
        <v>0</v>
      </c>
      <c r="O160">
        <v>0</v>
      </c>
      <c r="P160">
        <v>0</v>
      </c>
      <c r="Q160">
        <v>1542</v>
      </c>
      <c r="R160">
        <v>0</v>
      </c>
      <c r="S160">
        <v>0</v>
      </c>
      <c r="T160">
        <v>68</v>
      </c>
      <c r="U160">
        <v>0</v>
      </c>
      <c r="V160">
        <v>76</v>
      </c>
      <c r="W160">
        <v>0</v>
      </c>
      <c r="X160">
        <v>0</v>
      </c>
      <c r="Y160">
        <v>0</v>
      </c>
      <c r="Z160">
        <v>271</v>
      </c>
      <c r="AA160">
        <v>111</v>
      </c>
      <c r="AB160">
        <v>194</v>
      </c>
      <c r="AC160">
        <v>0</v>
      </c>
      <c r="AD160">
        <v>289</v>
      </c>
      <c r="AE160">
        <v>1009</v>
      </c>
      <c r="AF160">
        <v>465</v>
      </c>
      <c r="AJ160">
        <v>6.14</v>
      </c>
      <c r="AK160" t="str">
        <f t="shared" si="2"/>
        <v>AG105-6200</v>
      </c>
    </row>
    <row r="161" spans="1:37">
      <c r="A161" t="s">
        <v>6306</v>
      </c>
      <c r="B161" t="s">
        <v>331</v>
      </c>
      <c r="C161" t="s">
        <v>110</v>
      </c>
      <c r="E161">
        <v>50</v>
      </c>
      <c r="F161">
        <v>0</v>
      </c>
      <c r="G161">
        <v>0</v>
      </c>
      <c r="H161">
        <v>20</v>
      </c>
      <c r="I161">
        <v>10</v>
      </c>
      <c r="J161">
        <v>22</v>
      </c>
      <c r="K161">
        <v>0</v>
      </c>
      <c r="L161">
        <v>5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60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36</v>
      </c>
      <c r="Z161">
        <v>20</v>
      </c>
      <c r="AA161">
        <v>0</v>
      </c>
      <c r="AB161">
        <v>70</v>
      </c>
      <c r="AC161">
        <v>74</v>
      </c>
      <c r="AD161">
        <v>0</v>
      </c>
      <c r="AE161">
        <v>260</v>
      </c>
      <c r="AF161">
        <v>463</v>
      </c>
      <c r="AJ161">
        <v>3.82</v>
      </c>
      <c r="AK161" t="str">
        <f t="shared" si="2"/>
        <v>AG115-5000</v>
      </c>
    </row>
    <row r="162" spans="1:37">
      <c r="A162" t="s">
        <v>332</v>
      </c>
      <c r="B162" t="s">
        <v>331</v>
      </c>
      <c r="C162" t="s">
        <v>110</v>
      </c>
      <c r="E162">
        <v>50</v>
      </c>
      <c r="F162">
        <v>1.6</v>
      </c>
      <c r="G162">
        <v>0</v>
      </c>
      <c r="H162">
        <v>75</v>
      </c>
      <c r="I162">
        <v>108</v>
      </c>
      <c r="J162">
        <v>127</v>
      </c>
      <c r="K162">
        <v>486</v>
      </c>
      <c r="L162">
        <v>139</v>
      </c>
      <c r="M162">
        <v>0</v>
      </c>
      <c r="N162">
        <v>0</v>
      </c>
      <c r="O162">
        <v>0</v>
      </c>
      <c r="P162">
        <v>0</v>
      </c>
      <c r="Q162">
        <v>486</v>
      </c>
      <c r="R162">
        <v>0</v>
      </c>
      <c r="S162">
        <v>0</v>
      </c>
      <c r="T162">
        <v>10</v>
      </c>
      <c r="U162">
        <v>215</v>
      </c>
      <c r="V162">
        <v>185</v>
      </c>
      <c r="W162">
        <v>72</v>
      </c>
      <c r="X162">
        <v>164</v>
      </c>
      <c r="Y162">
        <v>95</v>
      </c>
      <c r="Z162">
        <v>0</v>
      </c>
      <c r="AA162">
        <v>246</v>
      </c>
      <c r="AB162">
        <v>188</v>
      </c>
      <c r="AC162">
        <v>0</v>
      </c>
      <c r="AD162">
        <v>351</v>
      </c>
      <c r="AE162">
        <v>1526</v>
      </c>
      <c r="AF162">
        <v>810</v>
      </c>
      <c r="AJ162">
        <v>4.6100000000000003</v>
      </c>
      <c r="AK162" t="str">
        <f t="shared" si="2"/>
        <v>AG115-6200</v>
      </c>
    </row>
    <row r="163" spans="1:37">
      <c r="A163" t="s">
        <v>333</v>
      </c>
      <c r="B163" t="s">
        <v>334</v>
      </c>
      <c r="C163" t="s">
        <v>325</v>
      </c>
      <c r="E163">
        <v>50</v>
      </c>
      <c r="F163">
        <v>14.1</v>
      </c>
      <c r="G163">
        <v>66</v>
      </c>
      <c r="H163">
        <v>175</v>
      </c>
      <c r="I163">
        <v>346</v>
      </c>
      <c r="J163">
        <v>908</v>
      </c>
      <c r="K163">
        <v>9914</v>
      </c>
      <c r="L163">
        <v>269</v>
      </c>
      <c r="M163">
        <v>0</v>
      </c>
      <c r="N163">
        <v>55</v>
      </c>
      <c r="O163">
        <v>0</v>
      </c>
      <c r="P163">
        <v>0</v>
      </c>
      <c r="Q163">
        <v>9859</v>
      </c>
      <c r="R163">
        <v>0</v>
      </c>
      <c r="S163">
        <v>299</v>
      </c>
      <c r="T163">
        <v>91</v>
      </c>
      <c r="U163">
        <v>134</v>
      </c>
      <c r="V163">
        <v>70</v>
      </c>
      <c r="W163">
        <v>1484</v>
      </c>
      <c r="X163">
        <v>0</v>
      </c>
      <c r="Y163">
        <v>2404</v>
      </c>
      <c r="Z163">
        <v>38</v>
      </c>
      <c r="AA163">
        <v>2156</v>
      </c>
      <c r="AB163">
        <v>2222</v>
      </c>
      <c r="AC163">
        <v>632</v>
      </c>
      <c r="AD163">
        <v>1369</v>
      </c>
      <c r="AE163">
        <v>10899</v>
      </c>
      <c r="AF163">
        <v>12990</v>
      </c>
      <c r="AJ163">
        <v>4.84</v>
      </c>
      <c r="AK163" t="str">
        <f t="shared" si="2"/>
        <v>AG130-5000</v>
      </c>
    </row>
    <row r="164" spans="1:37">
      <c r="A164" t="s">
        <v>335</v>
      </c>
      <c r="B164" t="s">
        <v>334</v>
      </c>
      <c r="C164" t="s">
        <v>325</v>
      </c>
      <c r="E164">
        <v>50</v>
      </c>
      <c r="F164">
        <v>1.7</v>
      </c>
      <c r="G164">
        <v>13</v>
      </c>
      <c r="H164">
        <v>230</v>
      </c>
      <c r="I164">
        <v>188</v>
      </c>
      <c r="J164">
        <v>185</v>
      </c>
      <c r="K164">
        <v>1613</v>
      </c>
      <c r="L164">
        <v>238</v>
      </c>
      <c r="M164">
        <v>0</v>
      </c>
      <c r="N164">
        <v>11</v>
      </c>
      <c r="O164">
        <v>0</v>
      </c>
      <c r="P164">
        <v>0</v>
      </c>
      <c r="Q164">
        <v>1602</v>
      </c>
      <c r="R164">
        <v>0</v>
      </c>
      <c r="S164">
        <v>294</v>
      </c>
      <c r="T164">
        <v>276</v>
      </c>
      <c r="U164">
        <v>120</v>
      </c>
      <c r="V164">
        <v>123</v>
      </c>
      <c r="W164">
        <v>52</v>
      </c>
      <c r="X164">
        <v>261</v>
      </c>
      <c r="Y164">
        <v>275</v>
      </c>
      <c r="Z164">
        <v>191</v>
      </c>
      <c r="AA164">
        <v>182</v>
      </c>
      <c r="AB164">
        <v>111</v>
      </c>
      <c r="AC164">
        <v>128</v>
      </c>
      <c r="AD164">
        <v>205</v>
      </c>
      <c r="AE164">
        <v>2218</v>
      </c>
      <c r="AF164">
        <v>1486</v>
      </c>
      <c r="AJ164">
        <v>4.84</v>
      </c>
      <c r="AK164" t="str">
        <f t="shared" si="2"/>
        <v>AG130-6200</v>
      </c>
    </row>
    <row r="165" spans="1:37">
      <c r="A165" t="s">
        <v>336</v>
      </c>
      <c r="B165" t="s">
        <v>337</v>
      </c>
      <c r="C165" t="s">
        <v>338</v>
      </c>
      <c r="E165">
        <v>43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37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37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1</v>
      </c>
      <c r="AC165">
        <v>0</v>
      </c>
      <c r="AD165">
        <v>2</v>
      </c>
      <c r="AE165">
        <v>3</v>
      </c>
      <c r="AF165">
        <v>104</v>
      </c>
      <c r="AJ165">
        <v>0</v>
      </c>
      <c r="AK165" t="str">
        <f t="shared" si="2"/>
        <v>AG160-5000</v>
      </c>
    </row>
    <row r="166" spans="1:37">
      <c r="A166" t="s">
        <v>339</v>
      </c>
      <c r="B166" t="s">
        <v>337</v>
      </c>
      <c r="C166" t="s">
        <v>338</v>
      </c>
      <c r="E166">
        <v>43</v>
      </c>
      <c r="F166">
        <v>0</v>
      </c>
      <c r="G166">
        <v>0</v>
      </c>
      <c r="H166">
        <v>0</v>
      </c>
      <c r="I166">
        <v>4</v>
      </c>
      <c r="J166">
        <v>6</v>
      </c>
      <c r="K166">
        <v>1752</v>
      </c>
      <c r="L166">
        <v>5</v>
      </c>
      <c r="M166">
        <v>0</v>
      </c>
      <c r="N166">
        <v>0</v>
      </c>
      <c r="O166">
        <v>0</v>
      </c>
      <c r="P166">
        <v>0</v>
      </c>
      <c r="Q166">
        <v>1752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22</v>
      </c>
      <c r="X166">
        <v>0</v>
      </c>
      <c r="Y166">
        <v>0</v>
      </c>
      <c r="Z166">
        <v>25</v>
      </c>
      <c r="AA166">
        <v>0</v>
      </c>
      <c r="AB166">
        <v>21</v>
      </c>
      <c r="AC166">
        <v>0</v>
      </c>
      <c r="AD166">
        <v>6</v>
      </c>
      <c r="AE166">
        <v>74</v>
      </c>
      <c r="AF166">
        <v>177</v>
      </c>
      <c r="AJ166">
        <v>3.73</v>
      </c>
      <c r="AK166" t="str">
        <f t="shared" si="2"/>
        <v>AG160-6200</v>
      </c>
    </row>
    <row r="167" spans="1:37">
      <c r="A167" t="s">
        <v>340</v>
      </c>
      <c r="B167" t="s">
        <v>341</v>
      </c>
      <c r="C167" t="s">
        <v>329</v>
      </c>
      <c r="D167" t="s">
        <v>342</v>
      </c>
      <c r="E167">
        <v>50</v>
      </c>
      <c r="F167">
        <v>0</v>
      </c>
      <c r="G167">
        <v>0</v>
      </c>
      <c r="H167">
        <v>16</v>
      </c>
      <c r="I167">
        <v>13</v>
      </c>
      <c r="J167">
        <v>14</v>
      </c>
      <c r="K167">
        <v>0</v>
      </c>
      <c r="L167">
        <v>1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26</v>
      </c>
      <c r="T167">
        <v>0</v>
      </c>
      <c r="U167">
        <v>22</v>
      </c>
      <c r="V167">
        <v>0</v>
      </c>
      <c r="W167">
        <v>0</v>
      </c>
      <c r="X167">
        <v>28</v>
      </c>
      <c r="Y167">
        <v>0</v>
      </c>
      <c r="Z167">
        <v>19</v>
      </c>
      <c r="AA167">
        <v>9</v>
      </c>
      <c r="AB167">
        <v>0</v>
      </c>
      <c r="AC167">
        <v>36</v>
      </c>
      <c r="AD167">
        <v>31</v>
      </c>
      <c r="AE167">
        <v>171</v>
      </c>
      <c r="AF167">
        <v>248</v>
      </c>
      <c r="AJ167">
        <v>4.8600000000000003</v>
      </c>
      <c r="AK167" t="str">
        <f t="shared" si="2"/>
        <v>AG180-5000</v>
      </c>
    </row>
    <row r="168" spans="1:37">
      <c r="A168" t="s">
        <v>343</v>
      </c>
      <c r="B168" t="s">
        <v>341</v>
      </c>
      <c r="C168" t="s">
        <v>329</v>
      </c>
      <c r="D168" t="s">
        <v>342</v>
      </c>
      <c r="E168">
        <v>50</v>
      </c>
      <c r="F168">
        <v>5.6</v>
      </c>
      <c r="G168">
        <v>16</v>
      </c>
      <c r="H168">
        <v>18</v>
      </c>
      <c r="I168">
        <v>25</v>
      </c>
      <c r="J168">
        <v>28</v>
      </c>
      <c r="K168">
        <v>424</v>
      </c>
      <c r="L168">
        <v>4</v>
      </c>
      <c r="M168">
        <v>0</v>
      </c>
      <c r="N168">
        <v>13</v>
      </c>
      <c r="O168">
        <v>0</v>
      </c>
      <c r="P168">
        <v>0</v>
      </c>
      <c r="Q168">
        <v>411</v>
      </c>
      <c r="R168">
        <v>0</v>
      </c>
      <c r="S168">
        <v>14</v>
      </c>
      <c r="T168">
        <v>41</v>
      </c>
      <c r="U168">
        <v>0</v>
      </c>
      <c r="V168">
        <v>44</v>
      </c>
      <c r="W168">
        <v>0</v>
      </c>
      <c r="X168">
        <v>53</v>
      </c>
      <c r="Y168">
        <v>0</v>
      </c>
      <c r="Z168">
        <v>19</v>
      </c>
      <c r="AA168">
        <v>56</v>
      </c>
      <c r="AB168">
        <v>0</v>
      </c>
      <c r="AC168">
        <v>82</v>
      </c>
      <c r="AD168">
        <v>21</v>
      </c>
      <c r="AE168">
        <v>330</v>
      </c>
      <c r="AF168">
        <v>912</v>
      </c>
      <c r="AJ168">
        <v>4.92</v>
      </c>
      <c r="AK168" t="str">
        <f t="shared" si="2"/>
        <v>AG180-6200</v>
      </c>
    </row>
    <row r="169" spans="1:37">
      <c r="A169" t="s">
        <v>344</v>
      </c>
      <c r="B169" t="s">
        <v>345</v>
      </c>
      <c r="C169" t="s">
        <v>110</v>
      </c>
      <c r="E169">
        <v>50</v>
      </c>
      <c r="F169">
        <v>0</v>
      </c>
      <c r="G169">
        <v>0</v>
      </c>
      <c r="H169">
        <v>0</v>
      </c>
      <c r="I169">
        <v>77</v>
      </c>
      <c r="J169">
        <v>202</v>
      </c>
      <c r="K169">
        <v>767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767</v>
      </c>
      <c r="R169">
        <v>0</v>
      </c>
      <c r="S169">
        <v>0</v>
      </c>
      <c r="T169">
        <v>0</v>
      </c>
      <c r="U169">
        <v>0</v>
      </c>
      <c r="V169">
        <v>460</v>
      </c>
      <c r="W169">
        <v>0</v>
      </c>
      <c r="X169">
        <v>0</v>
      </c>
      <c r="Y169">
        <v>220</v>
      </c>
      <c r="Z169">
        <v>552</v>
      </c>
      <c r="AA169">
        <v>0</v>
      </c>
      <c r="AB169">
        <v>1093</v>
      </c>
      <c r="AC169">
        <v>0</v>
      </c>
      <c r="AD169">
        <v>100</v>
      </c>
      <c r="AE169">
        <v>2425</v>
      </c>
      <c r="AF169">
        <v>2045</v>
      </c>
      <c r="AJ169">
        <v>4.68</v>
      </c>
      <c r="AK169" t="str">
        <f t="shared" si="2"/>
        <v>AG251-3700</v>
      </c>
    </row>
    <row r="170" spans="1:37">
      <c r="A170" t="s">
        <v>346</v>
      </c>
      <c r="B170" t="s">
        <v>345</v>
      </c>
      <c r="C170" t="s">
        <v>110</v>
      </c>
      <c r="E170">
        <v>50</v>
      </c>
      <c r="F170">
        <v>0.7</v>
      </c>
      <c r="G170">
        <v>550</v>
      </c>
      <c r="H170">
        <v>124</v>
      </c>
      <c r="I170">
        <v>113</v>
      </c>
      <c r="J170">
        <v>452</v>
      </c>
      <c r="K170">
        <v>782</v>
      </c>
      <c r="L170">
        <v>121</v>
      </c>
      <c r="M170">
        <v>0</v>
      </c>
      <c r="N170">
        <v>458</v>
      </c>
      <c r="O170">
        <v>0</v>
      </c>
      <c r="P170">
        <v>0</v>
      </c>
      <c r="Q170">
        <v>324</v>
      </c>
      <c r="R170">
        <v>0</v>
      </c>
      <c r="S170">
        <v>171</v>
      </c>
      <c r="T170">
        <v>146</v>
      </c>
      <c r="U170">
        <v>55</v>
      </c>
      <c r="V170">
        <v>272</v>
      </c>
      <c r="W170">
        <v>0</v>
      </c>
      <c r="X170">
        <v>33</v>
      </c>
      <c r="Y170">
        <v>266</v>
      </c>
      <c r="Z170">
        <v>196</v>
      </c>
      <c r="AA170">
        <v>176</v>
      </c>
      <c r="AB170">
        <v>825</v>
      </c>
      <c r="AC170">
        <v>2569</v>
      </c>
      <c r="AD170">
        <v>718</v>
      </c>
      <c r="AE170">
        <v>5427</v>
      </c>
      <c r="AF170">
        <v>9825</v>
      </c>
      <c r="AJ170">
        <v>3.17</v>
      </c>
      <c r="AK170" t="str">
        <f t="shared" si="2"/>
        <v>AG251-5000</v>
      </c>
    </row>
    <row r="171" spans="1:37">
      <c r="A171" t="s">
        <v>347</v>
      </c>
      <c r="B171" t="s">
        <v>345</v>
      </c>
      <c r="C171" t="s">
        <v>110</v>
      </c>
      <c r="E171">
        <v>50</v>
      </c>
      <c r="F171">
        <v>1.6</v>
      </c>
      <c r="G171">
        <v>170</v>
      </c>
      <c r="H171">
        <v>226</v>
      </c>
      <c r="I171">
        <v>521</v>
      </c>
      <c r="J171">
        <v>858</v>
      </c>
      <c r="K171">
        <v>1547</v>
      </c>
      <c r="L171">
        <v>242</v>
      </c>
      <c r="M171">
        <v>0</v>
      </c>
      <c r="N171">
        <v>142</v>
      </c>
      <c r="O171">
        <v>0</v>
      </c>
      <c r="P171">
        <v>0</v>
      </c>
      <c r="Q171">
        <v>1405</v>
      </c>
      <c r="R171">
        <v>0</v>
      </c>
      <c r="S171">
        <v>375</v>
      </c>
      <c r="T171">
        <v>219</v>
      </c>
      <c r="U171">
        <v>84</v>
      </c>
      <c r="V171">
        <v>1844</v>
      </c>
      <c r="W171">
        <v>108</v>
      </c>
      <c r="X171">
        <v>497</v>
      </c>
      <c r="Y171">
        <v>826</v>
      </c>
      <c r="Z171">
        <v>0</v>
      </c>
      <c r="AA171">
        <v>837</v>
      </c>
      <c r="AB171">
        <v>865</v>
      </c>
      <c r="AC171">
        <v>1716</v>
      </c>
      <c r="AD171">
        <v>2925</v>
      </c>
      <c r="AE171">
        <v>10296</v>
      </c>
      <c r="AF171">
        <v>6726</v>
      </c>
      <c r="AJ171">
        <v>3.74</v>
      </c>
      <c r="AK171" t="str">
        <f t="shared" si="2"/>
        <v>AG251-6200</v>
      </c>
    </row>
    <row r="172" spans="1:37">
      <c r="A172" t="s">
        <v>348</v>
      </c>
      <c r="B172" t="s">
        <v>349</v>
      </c>
      <c r="C172" t="s">
        <v>110</v>
      </c>
      <c r="D172" t="s">
        <v>268</v>
      </c>
      <c r="E172">
        <v>50</v>
      </c>
      <c r="F172">
        <v>0</v>
      </c>
      <c r="G172">
        <v>0</v>
      </c>
      <c r="H172">
        <v>0</v>
      </c>
      <c r="I172">
        <v>3</v>
      </c>
      <c r="J172">
        <v>3</v>
      </c>
      <c r="K172">
        <v>63</v>
      </c>
      <c r="L172">
        <v>2</v>
      </c>
      <c r="M172">
        <v>0</v>
      </c>
      <c r="N172">
        <v>0</v>
      </c>
      <c r="O172">
        <v>0</v>
      </c>
      <c r="P172">
        <v>0</v>
      </c>
      <c r="Q172">
        <v>63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17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13</v>
      </c>
      <c r="AD172">
        <v>0</v>
      </c>
      <c r="AE172">
        <v>30</v>
      </c>
      <c r="AF172">
        <v>14</v>
      </c>
      <c r="AJ172">
        <v>4.28</v>
      </c>
      <c r="AK172" t="str">
        <f t="shared" si="2"/>
        <v>AG281-5000</v>
      </c>
    </row>
    <row r="173" spans="1:37">
      <c r="A173" t="s">
        <v>350</v>
      </c>
      <c r="B173" t="s">
        <v>351</v>
      </c>
      <c r="C173" t="s">
        <v>329</v>
      </c>
      <c r="D173" t="s">
        <v>292</v>
      </c>
      <c r="E173">
        <v>50</v>
      </c>
      <c r="F173">
        <v>22.4</v>
      </c>
      <c r="G173">
        <v>108</v>
      </c>
      <c r="H173">
        <v>12</v>
      </c>
      <c r="I173">
        <v>42</v>
      </c>
      <c r="J173">
        <v>48</v>
      </c>
      <c r="K173">
        <v>1195</v>
      </c>
      <c r="L173">
        <v>123</v>
      </c>
      <c r="M173">
        <v>0</v>
      </c>
      <c r="N173">
        <v>90</v>
      </c>
      <c r="O173">
        <v>0</v>
      </c>
      <c r="P173">
        <v>0</v>
      </c>
      <c r="Q173">
        <v>1105</v>
      </c>
      <c r="R173">
        <v>0</v>
      </c>
      <c r="S173">
        <v>37</v>
      </c>
      <c r="T173">
        <v>0</v>
      </c>
      <c r="U173">
        <v>0</v>
      </c>
      <c r="V173">
        <v>116</v>
      </c>
      <c r="W173">
        <v>59</v>
      </c>
      <c r="X173">
        <v>41</v>
      </c>
      <c r="Y173">
        <v>198</v>
      </c>
      <c r="Z173">
        <v>0</v>
      </c>
      <c r="AA173">
        <v>0</v>
      </c>
      <c r="AB173">
        <v>39</v>
      </c>
      <c r="AC173">
        <v>50</v>
      </c>
      <c r="AD173">
        <v>35</v>
      </c>
      <c r="AE173">
        <v>575</v>
      </c>
      <c r="AF173">
        <v>1365</v>
      </c>
      <c r="AJ173">
        <v>4.5</v>
      </c>
      <c r="AK173" t="str">
        <f t="shared" si="2"/>
        <v>AG361-5000</v>
      </c>
    </row>
    <row r="174" spans="1:37">
      <c r="A174" t="s">
        <v>352</v>
      </c>
      <c r="B174" t="s">
        <v>351</v>
      </c>
      <c r="C174" t="s">
        <v>329</v>
      </c>
      <c r="D174" t="s">
        <v>292</v>
      </c>
      <c r="E174">
        <v>50</v>
      </c>
      <c r="F174">
        <v>0</v>
      </c>
      <c r="G174">
        <v>293</v>
      </c>
      <c r="H174">
        <v>108</v>
      </c>
      <c r="I174">
        <v>103</v>
      </c>
      <c r="J174">
        <v>139</v>
      </c>
      <c r="K174">
        <v>247</v>
      </c>
      <c r="L174">
        <v>77</v>
      </c>
      <c r="M174">
        <v>0</v>
      </c>
      <c r="N174">
        <v>244</v>
      </c>
      <c r="O174">
        <v>0</v>
      </c>
      <c r="P174">
        <v>0</v>
      </c>
      <c r="Q174">
        <v>3</v>
      </c>
      <c r="R174">
        <v>0</v>
      </c>
      <c r="S174">
        <v>108</v>
      </c>
      <c r="T174">
        <v>86</v>
      </c>
      <c r="U174">
        <v>130</v>
      </c>
      <c r="V174">
        <v>49</v>
      </c>
      <c r="W174">
        <v>247</v>
      </c>
      <c r="X174">
        <v>0</v>
      </c>
      <c r="Y174">
        <v>535</v>
      </c>
      <c r="Z174">
        <v>243</v>
      </c>
      <c r="AA174">
        <v>0</v>
      </c>
      <c r="AB174">
        <v>77</v>
      </c>
      <c r="AC174">
        <v>115</v>
      </c>
      <c r="AD174">
        <v>73</v>
      </c>
      <c r="AE174">
        <v>1663</v>
      </c>
      <c r="AF174">
        <v>2651</v>
      </c>
      <c r="AJ174">
        <v>4.5</v>
      </c>
      <c r="AK174" t="str">
        <f t="shared" si="2"/>
        <v>AG361-6200</v>
      </c>
    </row>
    <row r="175" spans="1:37">
      <c r="A175" t="s">
        <v>353</v>
      </c>
      <c r="B175" t="s">
        <v>354</v>
      </c>
      <c r="C175" t="s">
        <v>275</v>
      </c>
      <c r="D175" t="s">
        <v>292</v>
      </c>
      <c r="E175">
        <v>50</v>
      </c>
      <c r="F175">
        <v>24.6</v>
      </c>
      <c r="G175">
        <v>0</v>
      </c>
      <c r="H175">
        <v>19</v>
      </c>
      <c r="I175">
        <v>32</v>
      </c>
      <c r="J175">
        <v>26</v>
      </c>
      <c r="K175">
        <v>1868</v>
      </c>
      <c r="L175">
        <v>33</v>
      </c>
      <c r="M175">
        <v>0</v>
      </c>
      <c r="N175">
        <v>0</v>
      </c>
      <c r="O175">
        <v>0</v>
      </c>
      <c r="P175">
        <v>0</v>
      </c>
      <c r="Q175">
        <v>1868</v>
      </c>
      <c r="R175">
        <v>0</v>
      </c>
      <c r="S175">
        <v>0</v>
      </c>
      <c r="T175">
        <v>0</v>
      </c>
      <c r="U175">
        <v>57</v>
      </c>
      <c r="V175">
        <v>0</v>
      </c>
      <c r="W175">
        <v>68</v>
      </c>
      <c r="X175">
        <v>65</v>
      </c>
      <c r="Y175">
        <v>97</v>
      </c>
      <c r="Z175">
        <v>15</v>
      </c>
      <c r="AA175">
        <v>0</v>
      </c>
      <c r="AB175">
        <v>5</v>
      </c>
      <c r="AC175">
        <v>0</v>
      </c>
      <c r="AD175">
        <v>0</v>
      </c>
      <c r="AE175">
        <v>307</v>
      </c>
      <c r="AF175">
        <v>215</v>
      </c>
      <c r="AJ175">
        <v>5.84</v>
      </c>
      <c r="AK175" t="str">
        <f t="shared" si="2"/>
        <v>AG371-5000</v>
      </c>
    </row>
    <row r="176" spans="1:37">
      <c r="A176" t="s">
        <v>355</v>
      </c>
      <c r="B176" t="s">
        <v>354</v>
      </c>
      <c r="C176" t="s">
        <v>275</v>
      </c>
      <c r="D176" t="s">
        <v>292</v>
      </c>
      <c r="E176">
        <v>50</v>
      </c>
      <c r="F176">
        <v>1.3</v>
      </c>
      <c r="G176">
        <v>0</v>
      </c>
      <c r="H176">
        <v>203</v>
      </c>
      <c r="I176">
        <v>102</v>
      </c>
      <c r="J176">
        <v>55</v>
      </c>
      <c r="K176">
        <v>1046</v>
      </c>
      <c r="L176">
        <v>0</v>
      </c>
      <c r="M176">
        <v>22</v>
      </c>
      <c r="N176">
        <v>0</v>
      </c>
      <c r="O176">
        <v>0</v>
      </c>
      <c r="P176">
        <v>0</v>
      </c>
      <c r="Q176">
        <v>1046</v>
      </c>
      <c r="R176">
        <v>0</v>
      </c>
      <c r="S176">
        <v>4</v>
      </c>
      <c r="T176">
        <v>0</v>
      </c>
      <c r="U176">
        <v>606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16</v>
      </c>
      <c r="AD176">
        <v>33</v>
      </c>
      <c r="AE176">
        <v>659</v>
      </c>
      <c r="AF176">
        <v>639</v>
      </c>
      <c r="AJ176">
        <v>6.13</v>
      </c>
      <c r="AK176" t="str">
        <f t="shared" si="2"/>
        <v>AG371-6200</v>
      </c>
    </row>
    <row r="177" spans="1:37">
      <c r="A177" t="s">
        <v>356</v>
      </c>
      <c r="B177" t="s">
        <v>357</v>
      </c>
      <c r="C177" t="s">
        <v>329</v>
      </c>
      <c r="D177" t="s">
        <v>292</v>
      </c>
      <c r="E177">
        <v>50</v>
      </c>
      <c r="F177">
        <v>1.2</v>
      </c>
      <c r="G177">
        <v>0</v>
      </c>
      <c r="H177">
        <v>185</v>
      </c>
      <c r="I177">
        <v>119</v>
      </c>
      <c r="J177">
        <v>99</v>
      </c>
      <c r="K177">
        <v>916</v>
      </c>
      <c r="L177">
        <v>26</v>
      </c>
      <c r="M177">
        <v>0</v>
      </c>
      <c r="N177">
        <v>0</v>
      </c>
      <c r="O177">
        <v>0</v>
      </c>
      <c r="P177">
        <v>0</v>
      </c>
      <c r="Q177">
        <v>916</v>
      </c>
      <c r="R177">
        <v>0</v>
      </c>
      <c r="S177">
        <v>0</v>
      </c>
      <c r="T177">
        <v>0</v>
      </c>
      <c r="U177">
        <v>555</v>
      </c>
      <c r="V177">
        <v>23</v>
      </c>
      <c r="W177">
        <v>80</v>
      </c>
      <c r="X177">
        <v>56</v>
      </c>
      <c r="Y177">
        <v>11</v>
      </c>
      <c r="Z177">
        <v>0</v>
      </c>
      <c r="AA177">
        <v>0</v>
      </c>
      <c r="AB177">
        <v>8</v>
      </c>
      <c r="AC177">
        <v>357</v>
      </c>
      <c r="AD177">
        <v>94</v>
      </c>
      <c r="AE177">
        <v>1184</v>
      </c>
      <c r="AF177">
        <v>3856</v>
      </c>
      <c r="AJ177">
        <v>4</v>
      </c>
      <c r="AK177" t="str">
        <f t="shared" si="2"/>
        <v>AG381-5000</v>
      </c>
    </row>
    <row r="178" spans="1:37">
      <c r="A178" t="s">
        <v>358</v>
      </c>
      <c r="B178" t="s">
        <v>357</v>
      </c>
      <c r="C178" t="s">
        <v>329</v>
      </c>
      <c r="D178" t="s">
        <v>292</v>
      </c>
      <c r="E178">
        <v>50</v>
      </c>
      <c r="F178">
        <v>2.6</v>
      </c>
      <c r="G178">
        <v>0</v>
      </c>
      <c r="H178">
        <v>42</v>
      </c>
      <c r="I178">
        <v>24</v>
      </c>
      <c r="J178">
        <v>74</v>
      </c>
      <c r="K178">
        <v>440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440</v>
      </c>
      <c r="R178">
        <v>0</v>
      </c>
      <c r="S178">
        <v>13</v>
      </c>
      <c r="T178">
        <v>0</v>
      </c>
      <c r="U178">
        <v>114</v>
      </c>
      <c r="V178">
        <v>16</v>
      </c>
      <c r="W178">
        <v>0</v>
      </c>
      <c r="X178">
        <v>0</v>
      </c>
      <c r="Y178">
        <v>6</v>
      </c>
      <c r="Z178">
        <v>0</v>
      </c>
      <c r="AA178">
        <v>0</v>
      </c>
      <c r="AB178">
        <v>0</v>
      </c>
      <c r="AC178">
        <v>110</v>
      </c>
      <c r="AD178">
        <v>632</v>
      </c>
      <c r="AE178">
        <v>891</v>
      </c>
      <c r="AF178">
        <v>1105</v>
      </c>
      <c r="AJ178">
        <v>4.2</v>
      </c>
      <c r="AK178" t="str">
        <f t="shared" si="2"/>
        <v>AG381-6200</v>
      </c>
    </row>
    <row r="179" spans="1:37">
      <c r="A179" t="s">
        <v>359</v>
      </c>
      <c r="B179" t="s">
        <v>360</v>
      </c>
      <c r="C179" t="s">
        <v>110</v>
      </c>
      <c r="D179" t="s">
        <v>284</v>
      </c>
      <c r="E179">
        <v>43</v>
      </c>
      <c r="F179">
        <v>1.2</v>
      </c>
      <c r="G179">
        <v>0</v>
      </c>
      <c r="H179">
        <v>352</v>
      </c>
      <c r="I179">
        <v>249</v>
      </c>
      <c r="J179">
        <v>283</v>
      </c>
      <c r="K179">
        <v>1627</v>
      </c>
      <c r="L179">
        <v>603</v>
      </c>
      <c r="M179">
        <v>0</v>
      </c>
      <c r="N179">
        <v>0</v>
      </c>
      <c r="O179">
        <v>0</v>
      </c>
      <c r="P179">
        <v>0</v>
      </c>
      <c r="Q179">
        <v>1627</v>
      </c>
      <c r="R179">
        <v>0</v>
      </c>
      <c r="S179">
        <v>496</v>
      </c>
      <c r="T179">
        <v>239</v>
      </c>
      <c r="U179">
        <v>322</v>
      </c>
      <c r="V179">
        <v>0</v>
      </c>
      <c r="W179">
        <v>269</v>
      </c>
      <c r="X179">
        <v>166</v>
      </c>
      <c r="Y179">
        <v>808</v>
      </c>
      <c r="Z179">
        <v>101</v>
      </c>
      <c r="AA179">
        <v>57</v>
      </c>
      <c r="AB179">
        <v>371</v>
      </c>
      <c r="AC179">
        <v>13</v>
      </c>
      <c r="AD179">
        <v>555</v>
      </c>
      <c r="AE179">
        <v>3397</v>
      </c>
      <c r="AF179">
        <v>4084</v>
      </c>
      <c r="AJ179">
        <v>4.6100000000000003</v>
      </c>
      <c r="AK179" t="str">
        <f t="shared" si="2"/>
        <v>AG415-5000</v>
      </c>
    </row>
    <row r="180" spans="1:37">
      <c r="A180" t="s">
        <v>361</v>
      </c>
      <c r="B180" t="s">
        <v>360</v>
      </c>
      <c r="C180" t="s">
        <v>110</v>
      </c>
      <c r="D180" t="s">
        <v>284</v>
      </c>
      <c r="E180">
        <v>43</v>
      </c>
      <c r="F180">
        <v>2.5</v>
      </c>
      <c r="G180">
        <v>0</v>
      </c>
      <c r="H180">
        <v>39</v>
      </c>
      <c r="I180">
        <v>39</v>
      </c>
      <c r="J180">
        <v>55</v>
      </c>
      <c r="K180">
        <v>383</v>
      </c>
      <c r="L180">
        <v>41</v>
      </c>
      <c r="M180">
        <v>0</v>
      </c>
      <c r="N180">
        <v>0</v>
      </c>
      <c r="O180">
        <v>0</v>
      </c>
      <c r="P180">
        <v>0</v>
      </c>
      <c r="Q180">
        <v>383</v>
      </c>
      <c r="R180">
        <v>0</v>
      </c>
      <c r="S180">
        <v>90</v>
      </c>
      <c r="T180">
        <v>27</v>
      </c>
      <c r="U180">
        <v>0</v>
      </c>
      <c r="V180">
        <v>80</v>
      </c>
      <c r="W180">
        <v>25</v>
      </c>
      <c r="X180">
        <v>9</v>
      </c>
      <c r="Y180">
        <v>117</v>
      </c>
      <c r="Z180">
        <v>0</v>
      </c>
      <c r="AA180">
        <v>0</v>
      </c>
      <c r="AB180">
        <v>157</v>
      </c>
      <c r="AC180">
        <v>100</v>
      </c>
      <c r="AD180">
        <v>59</v>
      </c>
      <c r="AE180">
        <v>664</v>
      </c>
      <c r="AF180">
        <v>1295</v>
      </c>
      <c r="AJ180">
        <v>4.6100000000000003</v>
      </c>
      <c r="AK180" t="str">
        <f t="shared" si="2"/>
        <v>AG415-6200</v>
      </c>
    </row>
    <row r="181" spans="1:37">
      <c r="A181" t="s">
        <v>362</v>
      </c>
      <c r="B181" t="s">
        <v>363</v>
      </c>
      <c r="C181" t="s">
        <v>267</v>
      </c>
      <c r="E181">
        <v>62</v>
      </c>
      <c r="F181">
        <v>0</v>
      </c>
      <c r="G181">
        <v>0</v>
      </c>
      <c r="H181">
        <v>0</v>
      </c>
      <c r="I181">
        <v>0</v>
      </c>
      <c r="J181">
        <v>125</v>
      </c>
      <c r="K181">
        <v>540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540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252</v>
      </c>
      <c r="Z181">
        <v>0</v>
      </c>
      <c r="AA181">
        <v>0</v>
      </c>
      <c r="AB181">
        <v>0</v>
      </c>
      <c r="AC181">
        <v>0</v>
      </c>
      <c r="AD181">
        <v>1245</v>
      </c>
      <c r="AE181">
        <v>1497</v>
      </c>
      <c r="AF181">
        <v>3408</v>
      </c>
      <c r="AJ181">
        <v>6.93</v>
      </c>
      <c r="AK181" t="str">
        <f t="shared" si="2"/>
        <v>AG460-6200</v>
      </c>
    </row>
    <row r="182" spans="1:37">
      <c r="A182" t="s">
        <v>364</v>
      </c>
      <c r="B182" t="s">
        <v>365</v>
      </c>
      <c r="C182" t="s">
        <v>110</v>
      </c>
      <c r="D182" t="s">
        <v>292</v>
      </c>
      <c r="E182">
        <v>50</v>
      </c>
      <c r="F182">
        <v>4.3</v>
      </c>
      <c r="G182">
        <v>13</v>
      </c>
      <c r="H182">
        <v>25</v>
      </c>
      <c r="I182">
        <v>27</v>
      </c>
      <c r="J182">
        <v>38</v>
      </c>
      <c r="K182">
        <v>440</v>
      </c>
      <c r="L182">
        <v>30</v>
      </c>
      <c r="M182">
        <v>0</v>
      </c>
      <c r="N182">
        <v>11</v>
      </c>
      <c r="O182">
        <v>0</v>
      </c>
      <c r="P182">
        <v>0</v>
      </c>
      <c r="Q182">
        <v>429</v>
      </c>
      <c r="R182">
        <v>0</v>
      </c>
      <c r="S182">
        <v>55</v>
      </c>
      <c r="T182">
        <v>19</v>
      </c>
      <c r="U182">
        <v>1</v>
      </c>
      <c r="V182">
        <v>0</v>
      </c>
      <c r="W182">
        <v>88</v>
      </c>
      <c r="X182">
        <v>0</v>
      </c>
      <c r="Y182">
        <v>15</v>
      </c>
      <c r="Z182">
        <v>13</v>
      </c>
      <c r="AA182">
        <v>14</v>
      </c>
      <c r="AB182">
        <v>197</v>
      </c>
      <c r="AC182">
        <v>28</v>
      </c>
      <c r="AD182">
        <v>30</v>
      </c>
      <c r="AE182">
        <v>460</v>
      </c>
      <c r="AF182">
        <v>662</v>
      </c>
      <c r="AJ182">
        <v>4.6100000000000003</v>
      </c>
      <c r="AK182" t="str">
        <f t="shared" si="2"/>
        <v>AG471-5000</v>
      </c>
    </row>
    <row r="183" spans="1:37">
      <c r="A183" t="s">
        <v>366</v>
      </c>
      <c r="B183" t="s">
        <v>365</v>
      </c>
      <c r="C183" t="s">
        <v>110</v>
      </c>
      <c r="D183" t="s">
        <v>292</v>
      </c>
      <c r="E183">
        <v>50</v>
      </c>
      <c r="F183">
        <v>0.8</v>
      </c>
      <c r="G183">
        <v>43</v>
      </c>
      <c r="H183">
        <v>146</v>
      </c>
      <c r="I183">
        <v>121</v>
      </c>
      <c r="J183">
        <v>114</v>
      </c>
      <c r="K183">
        <v>496</v>
      </c>
      <c r="L183">
        <v>120</v>
      </c>
      <c r="M183">
        <v>0</v>
      </c>
      <c r="N183">
        <v>36</v>
      </c>
      <c r="O183">
        <v>0</v>
      </c>
      <c r="P183">
        <v>0</v>
      </c>
      <c r="Q183">
        <v>460</v>
      </c>
      <c r="R183">
        <v>0</v>
      </c>
      <c r="S183">
        <v>97</v>
      </c>
      <c r="T183">
        <v>241</v>
      </c>
      <c r="U183">
        <v>101</v>
      </c>
      <c r="V183">
        <v>130</v>
      </c>
      <c r="W183">
        <v>122</v>
      </c>
      <c r="X183">
        <v>35</v>
      </c>
      <c r="Y183">
        <v>141</v>
      </c>
      <c r="Z183">
        <v>5</v>
      </c>
      <c r="AA183">
        <v>300</v>
      </c>
      <c r="AB183">
        <v>134</v>
      </c>
      <c r="AC183">
        <v>56</v>
      </c>
      <c r="AD183">
        <v>0</v>
      </c>
      <c r="AE183">
        <v>1362</v>
      </c>
      <c r="AF183">
        <v>1835</v>
      </c>
      <c r="AJ183">
        <v>4.6100000000000003</v>
      </c>
      <c r="AK183" t="str">
        <f t="shared" si="2"/>
        <v>AG471-6200</v>
      </c>
    </row>
    <row r="184" spans="1:37">
      <c r="A184" t="s">
        <v>367</v>
      </c>
      <c r="B184" t="s">
        <v>368</v>
      </c>
      <c r="C184" t="s">
        <v>110</v>
      </c>
      <c r="D184" t="s">
        <v>369</v>
      </c>
      <c r="E184">
        <v>45</v>
      </c>
      <c r="F184">
        <v>6.3</v>
      </c>
      <c r="G184">
        <v>22</v>
      </c>
      <c r="H184">
        <v>40</v>
      </c>
      <c r="I184">
        <v>20</v>
      </c>
      <c r="J184">
        <v>16</v>
      </c>
      <c r="K184">
        <v>1033</v>
      </c>
      <c r="L184">
        <v>17</v>
      </c>
      <c r="M184">
        <v>0</v>
      </c>
      <c r="N184">
        <v>18</v>
      </c>
      <c r="O184">
        <v>0</v>
      </c>
      <c r="P184">
        <v>0</v>
      </c>
      <c r="Q184">
        <v>1015</v>
      </c>
      <c r="R184">
        <v>0</v>
      </c>
      <c r="S184">
        <v>45</v>
      </c>
      <c r="T184">
        <v>59</v>
      </c>
      <c r="U184">
        <v>16</v>
      </c>
      <c r="V184">
        <v>0</v>
      </c>
      <c r="W184">
        <v>2</v>
      </c>
      <c r="X184">
        <v>0</v>
      </c>
      <c r="Y184">
        <v>0</v>
      </c>
      <c r="Z184">
        <v>7</v>
      </c>
      <c r="AA184">
        <v>61</v>
      </c>
      <c r="AB184">
        <v>0</v>
      </c>
      <c r="AC184">
        <v>0</v>
      </c>
      <c r="AD184">
        <v>0</v>
      </c>
      <c r="AE184">
        <v>190</v>
      </c>
      <c r="AF184">
        <v>0</v>
      </c>
      <c r="AJ184">
        <v>10.42</v>
      </c>
      <c r="AK184" t="str">
        <f t="shared" si="2"/>
        <v>AG481-6200</v>
      </c>
    </row>
    <row r="185" spans="1:37">
      <c r="A185" t="s">
        <v>370</v>
      </c>
      <c r="B185" t="s">
        <v>371</v>
      </c>
      <c r="C185" t="s">
        <v>325</v>
      </c>
      <c r="E185">
        <v>43</v>
      </c>
      <c r="F185">
        <v>226.4</v>
      </c>
      <c r="G185">
        <v>0</v>
      </c>
      <c r="H185">
        <v>2</v>
      </c>
      <c r="I185">
        <v>6</v>
      </c>
      <c r="J185">
        <v>5</v>
      </c>
      <c r="K185">
        <v>1509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1509</v>
      </c>
      <c r="R185">
        <v>0</v>
      </c>
      <c r="S185">
        <v>0</v>
      </c>
      <c r="T185">
        <v>0</v>
      </c>
      <c r="U185">
        <v>5</v>
      </c>
      <c r="V185">
        <v>27</v>
      </c>
      <c r="W185">
        <v>4</v>
      </c>
      <c r="X185">
        <v>0</v>
      </c>
      <c r="Y185">
        <v>0</v>
      </c>
      <c r="Z185">
        <v>22</v>
      </c>
      <c r="AA185">
        <v>0</v>
      </c>
      <c r="AB185">
        <v>0</v>
      </c>
      <c r="AC185">
        <v>0</v>
      </c>
      <c r="AD185">
        <v>0</v>
      </c>
      <c r="AE185">
        <v>58</v>
      </c>
      <c r="AF185">
        <v>17</v>
      </c>
      <c r="AJ185">
        <v>2.95</v>
      </c>
      <c r="AK185" t="str">
        <f t="shared" si="2"/>
        <v>AG500-5000</v>
      </c>
    </row>
    <row r="186" spans="1:37">
      <c r="A186" t="s">
        <v>372</v>
      </c>
      <c r="B186" t="s">
        <v>371</v>
      </c>
      <c r="C186" t="s">
        <v>325</v>
      </c>
      <c r="E186">
        <v>43</v>
      </c>
      <c r="F186">
        <v>0</v>
      </c>
      <c r="G186">
        <v>0</v>
      </c>
      <c r="H186">
        <v>0</v>
      </c>
      <c r="I186">
        <v>0</v>
      </c>
      <c r="J186">
        <v>3</v>
      </c>
      <c r="K186">
        <v>1585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1585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38</v>
      </c>
      <c r="AC186">
        <v>0</v>
      </c>
      <c r="AD186">
        <v>0</v>
      </c>
      <c r="AE186">
        <v>38</v>
      </c>
      <c r="AF186">
        <v>8</v>
      </c>
      <c r="AJ186">
        <v>2.95</v>
      </c>
      <c r="AK186" t="str">
        <f t="shared" si="2"/>
        <v>AG500-6200</v>
      </c>
    </row>
    <row r="187" spans="1:37">
      <c r="A187" t="s">
        <v>373</v>
      </c>
      <c r="B187" t="s">
        <v>374</v>
      </c>
      <c r="C187" t="s">
        <v>110</v>
      </c>
      <c r="D187" t="s">
        <v>375</v>
      </c>
      <c r="E187">
        <v>50</v>
      </c>
      <c r="F187">
        <v>24.5</v>
      </c>
      <c r="G187">
        <v>173</v>
      </c>
      <c r="H187">
        <v>8</v>
      </c>
      <c r="I187">
        <v>35</v>
      </c>
      <c r="J187">
        <v>17</v>
      </c>
      <c r="K187">
        <v>896</v>
      </c>
      <c r="L187">
        <v>83</v>
      </c>
      <c r="M187">
        <v>0</v>
      </c>
      <c r="N187">
        <v>144</v>
      </c>
      <c r="O187">
        <v>0</v>
      </c>
      <c r="P187">
        <v>0</v>
      </c>
      <c r="Q187">
        <v>752</v>
      </c>
      <c r="R187">
        <v>0</v>
      </c>
      <c r="S187">
        <v>23</v>
      </c>
      <c r="T187">
        <v>0</v>
      </c>
      <c r="U187">
        <v>0</v>
      </c>
      <c r="V187">
        <v>84</v>
      </c>
      <c r="W187">
        <v>0</v>
      </c>
      <c r="X187">
        <v>100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207</v>
      </c>
      <c r="AF187">
        <v>980</v>
      </c>
      <c r="AJ187">
        <v>4.25</v>
      </c>
      <c r="AK187" t="str">
        <f t="shared" si="2"/>
        <v>AG561-5000</v>
      </c>
    </row>
    <row r="188" spans="1:37">
      <c r="A188" t="s">
        <v>376</v>
      </c>
      <c r="B188" t="s">
        <v>374</v>
      </c>
      <c r="C188" t="s">
        <v>110</v>
      </c>
      <c r="D188" t="s">
        <v>377</v>
      </c>
      <c r="E188">
        <v>50</v>
      </c>
      <c r="F188">
        <v>10.7</v>
      </c>
      <c r="G188">
        <v>48</v>
      </c>
      <c r="H188">
        <v>73</v>
      </c>
      <c r="I188">
        <v>49</v>
      </c>
      <c r="J188">
        <v>55</v>
      </c>
      <c r="K188">
        <v>3163</v>
      </c>
      <c r="L188">
        <v>40</v>
      </c>
      <c r="M188">
        <v>0</v>
      </c>
      <c r="N188">
        <v>40</v>
      </c>
      <c r="O188">
        <v>0</v>
      </c>
      <c r="P188">
        <v>0</v>
      </c>
      <c r="Q188">
        <v>3123</v>
      </c>
      <c r="R188">
        <v>0</v>
      </c>
      <c r="S188">
        <v>109</v>
      </c>
      <c r="T188">
        <v>17</v>
      </c>
      <c r="U188">
        <v>93</v>
      </c>
      <c r="V188">
        <v>49</v>
      </c>
      <c r="W188">
        <v>25</v>
      </c>
      <c r="X188">
        <v>0</v>
      </c>
      <c r="Y188">
        <v>0</v>
      </c>
      <c r="Z188">
        <v>0</v>
      </c>
      <c r="AA188">
        <v>114</v>
      </c>
      <c r="AB188">
        <v>3</v>
      </c>
      <c r="AC188">
        <v>115</v>
      </c>
      <c r="AD188">
        <v>131</v>
      </c>
      <c r="AE188">
        <v>656</v>
      </c>
      <c r="AF188">
        <v>797</v>
      </c>
      <c r="AJ188">
        <v>4.47</v>
      </c>
      <c r="AK188" t="str">
        <f t="shared" si="2"/>
        <v>AG561-6200</v>
      </c>
    </row>
    <row r="189" spans="1:37">
      <c r="A189" t="s">
        <v>378</v>
      </c>
      <c r="B189" t="s">
        <v>379</v>
      </c>
      <c r="C189" t="s">
        <v>267</v>
      </c>
      <c r="D189" t="s">
        <v>380</v>
      </c>
      <c r="E189">
        <v>50</v>
      </c>
      <c r="F189">
        <v>0.3</v>
      </c>
      <c r="G189">
        <v>121</v>
      </c>
      <c r="H189">
        <v>91</v>
      </c>
      <c r="I189">
        <v>142</v>
      </c>
      <c r="J189">
        <v>92</v>
      </c>
      <c r="K189">
        <v>220</v>
      </c>
      <c r="L189">
        <v>150</v>
      </c>
      <c r="M189">
        <v>0</v>
      </c>
      <c r="N189">
        <v>101</v>
      </c>
      <c r="O189">
        <v>0</v>
      </c>
      <c r="P189">
        <v>0</v>
      </c>
      <c r="Q189">
        <v>119</v>
      </c>
      <c r="R189">
        <v>0</v>
      </c>
      <c r="S189">
        <v>110</v>
      </c>
      <c r="T189">
        <v>125</v>
      </c>
      <c r="U189">
        <v>39</v>
      </c>
      <c r="V189">
        <v>41</v>
      </c>
      <c r="W189">
        <v>213</v>
      </c>
      <c r="X189">
        <v>323</v>
      </c>
      <c r="Y189">
        <v>48</v>
      </c>
      <c r="Z189">
        <v>63</v>
      </c>
      <c r="AA189">
        <v>0</v>
      </c>
      <c r="AB189">
        <v>0</v>
      </c>
      <c r="AC189">
        <v>71</v>
      </c>
      <c r="AD189">
        <v>68</v>
      </c>
      <c r="AE189">
        <v>1101</v>
      </c>
      <c r="AF189">
        <v>1134</v>
      </c>
      <c r="AJ189">
        <v>5.2</v>
      </c>
      <c r="AK189" t="str">
        <f t="shared" si="2"/>
        <v>AG601-5000</v>
      </c>
    </row>
    <row r="190" spans="1:37">
      <c r="A190" t="s">
        <v>381</v>
      </c>
      <c r="B190" t="s">
        <v>379</v>
      </c>
      <c r="C190" t="s">
        <v>267</v>
      </c>
      <c r="D190" t="s">
        <v>380</v>
      </c>
      <c r="E190">
        <v>50</v>
      </c>
      <c r="F190">
        <v>10.9</v>
      </c>
      <c r="G190">
        <v>32</v>
      </c>
      <c r="H190">
        <v>52</v>
      </c>
      <c r="I190">
        <v>45</v>
      </c>
      <c r="J190">
        <v>46</v>
      </c>
      <c r="K190">
        <v>2280</v>
      </c>
      <c r="L190">
        <v>53</v>
      </c>
      <c r="M190">
        <v>0</v>
      </c>
      <c r="N190">
        <v>27</v>
      </c>
      <c r="O190">
        <v>0</v>
      </c>
      <c r="P190">
        <v>0</v>
      </c>
      <c r="Q190">
        <v>2253</v>
      </c>
      <c r="R190">
        <v>39</v>
      </c>
      <c r="S190">
        <v>66</v>
      </c>
      <c r="T190">
        <v>0</v>
      </c>
      <c r="U190">
        <v>89</v>
      </c>
      <c r="V190">
        <v>0</v>
      </c>
      <c r="W190">
        <v>0</v>
      </c>
      <c r="X190">
        <v>112</v>
      </c>
      <c r="Y190">
        <v>10</v>
      </c>
      <c r="Z190">
        <v>33</v>
      </c>
      <c r="AA190">
        <v>73</v>
      </c>
      <c r="AB190">
        <v>127</v>
      </c>
      <c r="AC190">
        <v>24</v>
      </c>
      <c r="AD190">
        <v>16</v>
      </c>
      <c r="AE190">
        <v>550</v>
      </c>
      <c r="AF190">
        <v>428</v>
      </c>
      <c r="AJ190">
        <v>5.35</v>
      </c>
      <c r="AK190" t="str">
        <f t="shared" si="2"/>
        <v>AG601-6200</v>
      </c>
    </row>
    <row r="191" spans="1:37">
      <c r="A191" t="s">
        <v>382</v>
      </c>
      <c r="B191" t="s">
        <v>383</v>
      </c>
      <c r="C191" t="s">
        <v>275</v>
      </c>
      <c r="D191" t="s">
        <v>380</v>
      </c>
      <c r="E191">
        <v>45</v>
      </c>
      <c r="F191">
        <v>3.4</v>
      </c>
      <c r="G191">
        <v>72</v>
      </c>
      <c r="H191">
        <v>180</v>
      </c>
      <c r="I191">
        <v>309</v>
      </c>
      <c r="J191">
        <v>363</v>
      </c>
      <c r="K191">
        <v>2525</v>
      </c>
      <c r="L191">
        <v>361</v>
      </c>
      <c r="M191">
        <v>0</v>
      </c>
      <c r="N191">
        <v>60</v>
      </c>
      <c r="O191">
        <v>0</v>
      </c>
      <c r="P191">
        <v>0</v>
      </c>
      <c r="Q191">
        <v>2465</v>
      </c>
      <c r="R191">
        <v>0</v>
      </c>
      <c r="S191">
        <v>0</v>
      </c>
      <c r="T191">
        <v>156</v>
      </c>
      <c r="U191">
        <v>384</v>
      </c>
      <c r="V191">
        <v>241</v>
      </c>
      <c r="W191">
        <v>1070</v>
      </c>
      <c r="X191">
        <v>0</v>
      </c>
      <c r="Y191">
        <v>685</v>
      </c>
      <c r="Z191">
        <v>576</v>
      </c>
      <c r="AA191">
        <v>285</v>
      </c>
      <c r="AB191">
        <v>115</v>
      </c>
      <c r="AC191">
        <v>506</v>
      </c>
      <c r="AD191">
        <v>337</v>
      </c>
      <c r="AE191">
        <v>4355</v>
      </c>
      <c r="AF191">
        <v>3951</v>
      </c>
      <c r="AJ191">
        <v>3.23</v>
      </c>
      <c r="AK191" t="str">
        <f t="shared" si="2"/>
        <v>AG611-5000</v>
      </c>
    </row>
    <row r="192" spans="1:37">
      <c r="A192" t="s">
        <v>384</v>
      </c>
      <c r="B192" t="s">
        <v>383</v>
      </c>
      <c r="C192" t="s">
        <v>275</v>
      </c>
      <c r="D192" t="s">
        <v>385</v>
      </c>
      <c r="E192">
        <v>45</v>
      </c>
      <c r="F192">
        <v>8.1999999999999993</v>
      </c>
      <c r="G192">
        <v>16</v>
      </c>
      <c r="H192">
        <v>124</v>
      </c>
      <c r="I192">
        <v>238</v>
      </c>
      <c r="J192">
        <v>377</v>
      </c>
      <c r="K192">
        <v>4083</v>
      </c>
      <c r="L192">
        <v>342</v>
      </c>
      <c r="M192">
        <v>0</v>
      </c>
      <c r="N192">
        <v>13</v>
      </c>
      <c r="O192">
        <v>0</v>
      </c>
      <c r="P192">
        <v>0</v>
      </c>
      <c r="Q192">
        <v>4070</v>
      </c>
      <c r="R192">
        <v>0</v>
      </c>
      <c r="S192">
        <v>83</v>
      </c>
      <c r="T192">
        <v>177</v>
      </c>
      <c r="U192">
        <v>112</v>
      </c>
      <c r="V192">
        <v>343</v>
      </c>
      <c r="W192">
        <v>269</v>
      </c>
      <c r="X192">
        <v>443</v>
      </c>
      <c r="Y192">
        <v>1068</v>
      </c>
      <c r="Z192">
        <v>0</v>
      </c>
      <c r="AA192">
        <v>1008</v>
      </c>
      <c r="AB192">
        <v>727</v>
      </c>
      <c r="AC192">
        <v>297</v>
      </c>
      <c r="AD192">
        <v>0</v>
      </c>
      <c r="AE192">
        <v>4527</v>
      </c>
      <c r="AF192">
        <v>4452</v>
      </c>
      <c r="AJ192">
        <v>3.9</v>
      </c>
      <c r="AK192" t="str">
        <f t="shared" si="2"/>
        <v>AG611-6200</v>
      </c>
    </row>
    <row r="193" spans="1:37">
      <c r="A193" t="s">
        <v>386</v>
      </c>
      <c r="B193" t="s">
        <v>387</v>
      </c>
      <c r="C193" t="s">
        <v>313</v>
      </c>
      <c r="D193" t="s">
        <v>388</v>
      </c>
      <c r="E193">
        <v>43</v>
      </c>
      <c r="F193">
        <v>-1.2</v>
      </c>
      <c r="G193">
        <v>108</v>
      </c>
      <c r="H193">
        <v>19</v>
      </c>
      <c r="I193">
        <v>23</v>
      </c>
      <c r="J193">
        <v>44</v>
      </c>
      <c r="K193">
        <v>0</v>
      </c>
      <c r="L193">
        <v>6</v>
      </c>
      <c r="M193">
        <v>0</v>
      </c>
      <c r="N193">
        <v>90</v>
      </c>
      <c r="O193">
        <v>0</v>
      </c>
      <c r="P193">
        <v>0</v>
      </c>
      <c r="Q193">
        <v>-90</v>
      </c>
      <c r="R193">
        <v>16</v>
      </c>
      <c r="S193">
        <v>14</v>
      </c>
      <c r="T193">
        <v>24</v>
      </c>
      <c r="U193">
        <v>19</v>
      </c>
      <c r="V193">
        <v>0</v>
      </c>
      <c r="W193">
        <v>80</v>
      </c>
      <c r="X193">
        <v>0</v>
      </c>
      <c r="Y193">
        <v>11</v>
      </c>
      <c r="Z193">
        <v>90</v>
      </c>
      <c r="AA193">
        <v>0</v>
      </c>
      <c r="AB193">
        <v>17</v>
      </c>
      <c r="AC193">
        <v>276</v>
      </c>
      <c r="AD193">
        <v>0</v>
      </c>
      <c r="AE193">
        <v>531</v>
      </c>
      <c r="AF193">
        <v>117</v>
      </c>
      <c r="AJ193">
        <v>3.92</v>
      </c>
      <c r="AK193" t="str">
        <f t="shared" si="2"/>
        <v>AG640-5000</v>
      </c>
    </row>
    <row r="194" spans="1:37">
      <c r="A194" t="s">
        <v>389</v>
      </c>
      <c r="B194" t="s">
        <v>387</v>
      </c>
      <c r="C194" t="s">
        <v>313</v>
      </c>
      <c r="D194" t="s">
        <v>388</v>
      </c>
      <c r="E194">
        <v>43</v>
      </c>
      <c r="F194">
        <v>74.5</v>
      </c>
      <c r="G194">
        <v>28</v>
      </c>
      <c r="H194">
        <v>10</v>
      </c>
      <c r="I194">
        <v>27</v>
      </c>
      <c r="J194">
        <v>27</v>
      </c>
      <c r="K194">
        <v>2902</v>
      </c>
      <c r="L194">
        <v>14</v>
      </c>
      <c r="M194">
        <v>0</v>
      </c>
      <c r="N194">
        <v>23</v>
      </c>
      <c r="O194">
        <v>0</v>
      </c>
      <c r="P194">
        <v>0</v>
      </c>
      <c r="Q194">
        <v>2879</v>
      </c>
      <c r="R194">
        <v>0</v>
      </c>
      <c r="S194">
        <v>0</v>
      </c>
      <c r="T194">
        <v>29</v>
      </c>
      <c r="U194">
        <v>0</v>
      </c>
      <c r="V194">
        <v>58</v>
      </c>
      <c r="W194">
        <v>20</v>
      </c>
      <c r="X194">
        <v>54</v>
      </c>
      <c r="Y194">
        <v>0</v>
      </c>
      <c r="Z194">
        <v>0</v>
      </c>
      <c r="AA194">
        <v>35</v>
      </c>
      <c r="AB194">
        <v>29</v>
      </c>
      <c r="AC194">
        <v>14</v>
      </c>
      <c r="AD194">
        <v>88</v>
      </c>
      <c r="AE194">
        <v>327</v>
      </c>
      <c r="AF194">
        <v>273</v>
      </c>
      <c r="AJ194">
        <v>5.56</v>
      </c>
      <c r="AK194" t="str">
        <f t="shared" si="2"/>
        <v>AG640-6200</v>
      </c>
    </row>
    <row r="195" spans="1:37">
      <c r="A195" t="s">
        <v>390</v>
      </c>
      <c r="B195" t="s">
        <v>391</v>
      </c>
      <c r="C195" t="s">
        <v>313</v>
      </c>
      <c r="E195">
        <v>43</v>
      </c>
      <c r="F195">
        <v>2.5</v>
      </c>
      <c r="G195">
        <v>0</v>
      </c>
      <c r="H195">
        <v>105</v>
      </c>
      <c r="I195">
        <v>62</v>
      </c>
      <c r="J195">
        <v>36</v>
      </c>
      <c r="K195">
        <v>1029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1029</v>
      </c>
      <c r="R195">
        <v>0</v>
      </c>
      <c r="S195">
        <v>35</v>
      </c>
      <c r="T195">
        <v>230</v>
      </c>
      <c r="U195">
        <v>50</v>
      </c>
      <c r="V195">
        <v>4</v>
      </c>
      <c r="W195">
        <v>50</v>
      </c>
      <c r="X195">
        <v>0</v>
      </c>
      <c r="Y195">
        <v>1</v>
      </c>
      <c r="Z195">
        <v>30</v>
      </c>
      <c r="AA195">
        <v>4</v>
      </c>
      <c r="AB195">
        <v>0</v>
      </c>
      <c r="AC195">
        <v>30</v>
      </c>
      <c r="AD195">
        <v>0</v>
      </c>
      <c r="AE195">
        <v>434</v>
      </c>
      <c r="AF195">
        <v>210</v>
      </c>
      <c r="AJ195">
        <v>3.88</v>
      </c>
      <c r="AK195" t="str">
        <f t="shared" si="2"/>
        <v>AG730-5000</v>
      </c>
    </row>
    <row r="196" spans="1:37">
      <c r="A196" t="s">
        <v>392</v>
      </c>
      <c r="B196" t="s">
        <v>391</v>
      </c>
      <c r="C196" t="s">
        <v>313</v>
      </c>
      <c r="E196">
        <v>43</v>
      </c>
      <c r="F196">
        <v>1.9</v>
      </c>
      <c r="G196">
        <v>0</v>
      </c>
      <c r="H196">
        <v>172</v>
      </c>
      <c r="I196">
        <v>104</v>
      </c>
      <c r="J196">
        <v>96</v>
      </c>
      <c r="K196">
        <v>1333</v>
      </c>
      <c r="L196">
        <v>36</v>
      </c>
      <c r="M196">
        <v>0</v>
      </c>
      <c r="N196">
        <v>0</v>
      </c>
      <c r="O196">
        <v>0</v>
      </c>
      <c r="P196">
        <v>0</v>
      </c>
      <c r="Q196">
        <v>1333</v>
      </c>
      <c r="R196">
        <v>0</v>
      </c>
      <c r="S196">
        <v>304</v>
      </c>
      <c r="T196">
        <v>0</v>
      </c>
      <c r="U196">
        <v>212</v>
      </c>
      <c r="V196">
        <v>104</v>
      </c>
      <c r="W196">
        <v>5</v>
      </c>
      <c r="X196">
        <v>0</v>
      </c>
      <c r="Y196">
        <v>0</v>
      </c>
      <c r="Z196">
        <v>310</v>
      </c>
      <c r="AA196">
        <v>0</v>
      </c>
      <c r="AB196">
        <v>221</v>
      </c>
      <c r="AC196">
        <v>0</v>
      </c>
      <c r="AD196">
        <v>0</v>
      </c>
      <c r="AE196">
        <v>1156</v>
      </c>
      <c r="AF196">
        <v>466</v>
      </c>
      <c r="AJ196">
        <v>5.33</v>
      </c>
      <c r="AK196" t="str">
        <f t="shared" si="2"/>
        <v>AG730-6200</v>
      </c>
    </row>
    <row r="197" spans="1:37">
      <c r="A197" t="s">
        <v>393</v>
      </c>
      <c r="B197" t="s">
        <v>394</v>
      </c>
      <c r="C197" t="s">
        <v>275</v>
      </c>
      <c r="E197">
        <v>43</v>
      </c>
      <c r="F197">
        <v>5.2</v>
      </c>
      <c r="G197">
        <v>0</v>
      </c>
      <c r="H197">
        <v>49</v>
      </c>
      <c r="I197">
        <v>29</v>
      </c>
      <c r="J197">
        <v>19</v>
      </c>
      <c r="K197">
        <v>1014</v>
      </c>
      <c r="L197">
        <v>10</v>
      </c>
      <c r="M197">
        <v>0</v>
      </c>
      <c r="N197">
        <v>0</v>
      </c>
      <c r="O197">
        <v>0</v>
      </c>
      <c r="P197">
        <v>0</v>
      </c>
      <c r="Q197">
        <v>1014</v>
      </c>
      <c r="R197">
        <v>0</v>
      </c>
      <c r="S197">
        <v>0</v>
      </c>
      <c r="T197">
        <v>102</v>
      </c>
      <c r="U197">
        <v>45</v>
      </c>
      <c r="V197">
        <v>0</v>
      </c>
      <c r="W197">
        <v>0</v>
      </c>
      <c r="X197">
        <v>24</v>
      </c>
      <c r="Y197">
        <v>16</v>
      </c>
      <c r="Z197">
        <v>13</v>
      </c>
      <c r="AA197">
        <v>7</v>
      </c>
      <c r="AB197">
        <v>0</v>
      </c>
      <c r="AC197">
        <v>19</v>
      </c>
      <c r="AD197">
        <v>0</v>
      </c>
      <c r="AE197">
        <v>226</v>
      </c>
      <c r="AF197">
        <v>86</v>
      </c>
      <c r="AJ197">
        <v>3.45</v>
      </c>
      <c r="AK197" t="str">
        <f t="shared" ref="AK197:AK260" si="3">MID(A197,4,10)</f>
        <v>AG740-5000</v>
      </c>
    </row>
    <row r="198" spans="1:37">
      <c r="A198" t="s">
        <v>395</v>
      </c>
      <c r="B198" t="s">
        <v>394</v>
      </c>
      <c r="C198" t="s">
        <v>275</v>
      </c>
      <c r="E198">
        <v>43</v>
      </c>
      <c r="F198">
        <v>0</v>
      </c>
      <c r="G198">
        <v>0</v>
      </c>
      <c r="H198">
        <v>0</v>
      </c>
      <c r="I198">
        <v>0</v>
      </c>
      <c r="J198">
        <v>5</v>
      </c>
      <c r="K198">
        <v>2676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2676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26</v>
      </c>
      <c r="Z198">
        <v>12</v>
      </c>
      <c r="AA198">
        <v>0</v>
      </c>
      <c r="AB198">
        <v>0</v>
      </c>
      <c r="AC198">
        <v>0</v>
      </c>
      <c r="AD198">
        <v>26</v>
      </c>
      <c r="AE198">
        <v>64</v>
      </c>
      <c r="AF198">
        <v>86</v>
      </c>
      <c r="AJ198">
        <v>6.41</v>
      </c>
      <c r="AK198" t="str">
        <f t="shared" si="3"/>
        <v>AG740-6200</v>
      </c>
    </row>
    <row r="199" spans="1:37">
      <c r="A199" t="s">
        <v>396</v>
      </c>
      <c r="B199" t="s">
        <v>397</v>
      </c>
      <c r="C199" t="s">
        <v>267</v>
      </c>
      <c r="D199" t="s">
        <v>284</v>
      </c>
      <c r="E199">
        <v>50</v>
      </c>
      <c r="F199">
        <v>12.8</v>
      </c>
      <c r="G199">
        <v>0</v>
      </c>
      <c r="H199">
        <v>43</v>
      </c>
      <c r="I199">
        <v>58</v>
      </c>
      <c r="J199">
        <v>76</v>
      </c>
      <c r="K199">
        <v>2180</v>
      </c>
      <c r="L199">
        <v>127</v>
      </c>
      <c r="M199">
        <v>0</v>
      </c>
      <c r="N199">
        <v>0</v>
      </c>
      <c r="O199">
        <v>0</v>
      </c>
      <c r="P199">
        <v>0</v>
      </c>
      <c r="Q199">
        <v>2180</v>
      </c>
      <c r="R199">
        <v>0</v>
      </c>
      <c r="S199">
        <v>25</v>
      </c>
      <c r="T199">
        <v>0</v>
      </c>
      <c r="U199">
        <v>103</v>
      </c>
      <c r="V199">
        <v>0</v>
      </c>
      <c r="W199">
        <v>219</v>
      </c>
      <c r="X199">
        <v>0</v>
      </c>
      <c r="Y199">
        <v>60</v>
      </c>
      <c r="Z199">
        <v>0</v>
      </c>
      <c r="AA199">
        <v>153</v>
      </c>
      <c r="AB199">
        <v>122</v>
      </c>
      <c r="AC199">
        <v>234</v>
      </c>
      <c r="AD199">
        <v>0</v>
      </c>
      <c r="AE199">
        <v>916</v>
      </c>
      <c r="AF199">
        <v>928</v>
      </c>
      <c r="AJ199">
        <v>6.13</v>
      </c>
      <c r="AK199" t="str">
        <f t="shared" si="3"/>
        <v>AG750-5000</v>
      </c>
    </row>
    <row r="200" spans="1:37">
      <c r="A200" t="s">
        <v>398</v>
      </c>
      <c r="B200" t="s">
        <v>397</v>
      </c>
      <c r="C200" t="s">
        <v>267</v>
      </c>
      <c r="D200" t="s">
        <v>284</v>
      </c>
      <c r="E200">
        <v>50</v>
      </c>
      <c r="F200">
        <v>2.2999999999999998</v>
      </c>
      <c r="G200">
        <v>80</v>
      </c>
      <c r="H200">
        <v>165</v>
      </c>
      <c r="I200">
        <v>126</v>
      </c>
      <c r="J200">
        <v>172</v>
      </c>
      <c r="K200">
        <v>1558</v>
      </c>
      <c r="L200">
        <v>139</v>
      </c>
      <c r="M200">
        <v>0</v>
      </c>
      <c r="N200">
        <v>67</v>
      </c>
      <c r="O200">
        <v>0</v>
      </c>
      <c r="P200">
        <v>0</v>
      </c>
      <c r="Q200">
        <v>1491</v>
      </c>
      <c r="R200">
        <v>0</v>
      </c>
      <c r="S200">
        <v>383</v>
      </c>
      <c r="T200">
        <v>33</v>
      </c>
      <c r="U200">
        <v>78</v>
      </c>
      <c r="V200">
        <v>179</v>
      </c>
      <c r="W200">
        <v>80</v>
      </c>
      <c r="X200">
        <v>0</v>
      </c>
      <c r="Y200">
        <v>155</v>
      </c>
      <c r="Z200">
        <v>267</v>
      </c>
      <c r="AA200">
        <v>275</v>
      </c>
      <c r="AB200">
        <v>198</v>
      </c>
      <c r="AC200">
        <v>0</v>
      </c>
      <c r="AD200">
        <v>411</v>
      </c>
      <c r="AE200">
        <v>2059</v>
      </c>
      <c r="AF200">
        <v>1103</v>
      </c>
      <c r="AJ200">
        <v>6.68</v>
      </c>
      <c r="AK200" t="str">
        <f t="shared" si="3"/>
        <v>AG750-6200</v>
      </c>
    </row>
    <row r="201" spans="1:37">
      <c r="A201" t="s">
        <v>5929</v>
      </c>
      <c r="B201" t="s">
        <v>400</v>
      </c>
      <c r="C201" t="s">
        <v>313</v>
      </c>
      <c r="D201" t="s">
        <v>401</v>
      </c>
      <c r="E201">
        <v>43</v>
      </c>
      <c r="F201">
        <v>0</v>
      </c>
      <c r="G201">
        <v>0</v>
      </c>
      <c r="H201">
        <v>32</v>
      </c>
      <c r="I201">
        <v>16</v>
      </c>
      <c r="J201">
        <v>8</v>
      </c>
      <c r="K201">
        <v>0</v>
      </c>
      <c r="L201">
        <v>7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96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96</v>
      </c>
      <c r="AF201">
        <v>0</v>
      </c>
      <c r="AJ201">
        <v>0</v>
      </c>
      <c r="AK201" t="str">
        <f t="shared" si="3"/>
        <v>AG760-5000</v>
      </c>
    </row>
    <row r="202" spans="1:37">
      <c r="A202" t="s">
        <v>399</v>
      </c>
      <c r="B202" t="s">
        <v>400</v>
      </c>
      <c r="C202" t="s">
        <v>313</v>
      </c>
      <c r="D202" t="s">
        <v>401</v>
      </c>
      <c r="E202">
        <v>43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1991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1991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J202">
        <v>5.74</v>
      </c>
      <c r="AK202" t="str">
        <f t="shared" si="3"/>
        <v>AG760-6200</v>
      </c>
    </row>
    <row r="203" spans="1:37">
      <c r="A203" t="s">
        <v>402</v>
      </c>
      <c r="B203" t="s">
        <v>403</v>
      </c>
      <c r="C203" t="s">
        <v>267</v>
      </c>
      <c r="D203" t="s">
        <v>284</v>
      </c>
      <c r="E203">
        <v>43</v>
      </c>
      <c r="F203">
        <v>0</v>
      </c>
      <c r="G203">
        <v>60</v>
      </c>
      <c r="H203">
        <v>0</v>
      </c>
      <c r="I203">
        <v>16</v>
      </c>
      <c r="J203">
        <v>10</v>
      </c>
      <c r="K203">
        <v>863</v>
      </c>
      <c r="L203">
        <v>80</v>
      </c>
      <c r="M203">
        <v>0</v>
      </c>
      <c r="N203">
        <v>50</v>
      </c>
      <c r="O203">
        <v>0</v>
      </c>
      <c r="P203">
        <v>0</v>
      </c>
      <c r="Q203">
        <v>813</v>
      </c>
      <c r="R203">
        <v>61</v>
      </c>
      <c r="S203">
        <v>0</v>
      </c>
      <c r="T203">
        <v>0</v>
      </c>
      <c r="U203">
        <v>0</v>
      </c>
      <c r="V203">
        <v>80</v>
      </c>
      <c r="W203">
        <v>14</v>
      </c>
      <c r="X203">
        <v>0</v>
      </c>
      <c r="Y203">
        <v>13</v>
      </c>
      <c r="Z203">
        <v>0</v>
      </c>
      <c r="AA203">
        <v>0</v>
      </c>
      <c r="AB203">
        <v>0</v>
      </c>
      <c r="AC203">
        <v>17</v>
      </c>
      <c r="AD203">
        <v>0</v>
      </c>
      <c r="AE203">
        <v>124</v>
      </c>
      <c r="AF203">
        <v>1207</v>
      </c>
      <c r="AJ203">
        <v>6.64</v>
      </c>
      <c r="AK203" t="str">
        <f t="shared" si="3"/>
        <v>AG801-5000</v>
      </c>
    </row>
    <row r="204" spans="1:37">
      <c r="A204" t="s">
        <v>404</v>
      </c>
      <c r="B204" t="s">
        <v>403</v>
      </c>
      <c r="C204" t="s">
        <v>267</v>
      </c>
      <c r="D204" t="s">
        <v>284</v>
      </c>
      <c r="E204">
        <v>43</v>
      </c>
      <c r="F204">
        <v>60.3</v>
      </c>
      <c r="G204">
        <v>0</v>
      </c>
      <c r="H204">
        <v>4</v>
      </c>
      <c r="I204">
        <v>7</v>
      </c>
      <c r="J204">
        <v>9</v>
      </c>
      <c r="K204">
        <v>884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884</v>
      </c>
      <c r="R204">
        <v>0</v>
      </c>
      <c r="S204">
        <v>11</v>
      </c>
      <c r="T204">
        <v>0</v>
      </c>
      <c r="U204">
        <v>0</v>
      </c>
      <c r="V204">
        <v>0</v>
      </c>
      <c r="W204">
        <v>32</v>
      </c>
      <c r="X204">
        <v>0</v>
      </c>
      <c r="Y204">
        <v>0</v>
      </c>
      <c r="Z204">
        <v>16</v>
      </c>
      <c r="AA204">
        <v>0</v>
      </c>
      <c r="AB204">
        <v>48</v>
      </c>
      <c r="AC204">
        <v>0</v>
      </c>
      <c r="AD204">
        <v>0</v>
      </c>
      <c r="AE204">
        <v>107</v>
      </c>
      <c r="AF204">
        <v>209</v>
      </c>
      <c r="AJ204">
        <v>6.64</v>
      </c>
      <c r="AK204" t="str">
        <f t="shared" si="3"/>
        <v>AG801-6200</v>
      </c>
    </row>
    <row r="205" spans="1:37">
      <c r="A205" t="s">
        <v>405</v>
      </c>
      <c r="B205" t="s">
        <v>406</v>
      </c>
      <c r="C205" t="s">
        <v>407</v>
      </c>
      <c r="E205">
        <v>0</v>
      </c>
      <c r="F205">
        <v>4.8</v>
      </c>
      <c r="G205">
        <v>111</v>
      </c>
      <c r="H205">
        <v>283</v>
      </c>
      <c r="I205">
        <v>320</v>
      </c>
      <c r="J205">
        <v>396</v>
      </c>
      <c r="K205">
        <v>5542</v>
      </c>
      <c r="L205">
        <v>0</v>
      </c>
      <c r="M205">
        <v>0</v>
      </c>
      <c r="N205">
        <v>92</v>
      </c>
      <c r="O205">
        <v>0</v>
      </c>
      <c r="P205">
        <v>0</v>
      </c>
      <c r="Q205">
        <v>5450</v>
      </c>
      <c r="R205">
        <v>0</v>
      </c>
      <c r="S205">
        <v>271</v>
      </c>
      <c r="T205">
        <v>117</v>
      </c>
      <c r="U205">
        <v>463</v>
      </c>
      <c r="V205">
        <v>536</v>
      </c>
      <c r="W205">
        <v>316</v>
      </c>
      <c r="X205">
        <v>221</v>
      </c>
      <c r="Y205">
        <v>352</v>
      </c>
      <c r="Z205">
        <v>537</v>
      </c>
      <c r="AA205">
        <v>597</v>
      </c>
      <c r="AB205">
        <v>236</v>
      </c>
      <c r="AC205">
        <v>709</v>
      </c>
      <c r="AD205">
        <v>401</v>
      </c>
      <c r="AE205">
        <v>4755</v>
      </c>
      <c r="AF205">
        <v>4744</v>
      </c>
      <c r="AG205" t="s">
        <v>408</v>
      </c>
      <c r="AH205">
        <v>1</v>
      </c>
      <c r="AI205">
        <v>306</v>
      </c>
      <c r="AJ205">
        <v>3.8</v>
      </c>
      <c r="AK205" t="str">
        <f t="shared" si="3"/>
        <v>AGEFL</v>
      </c>
    </row>
    <row r="206" spans="1:37">
      <c r="A206" t="s">
        <v>405</v>
      </c>
      <c r="B206" t="s">
        <v>406</v>
      </c>
      <c r="C206" t="s">
        <v>407</v>
      </c>
      <c r="E206">
        <v>0</v>
      </c>
      <c r="AG206" t="s">
        <v>5422</v>
      </c>
      <c r="AH206">
        <v>1</v>
      </c>
      <c r="AI206">
        <v>306</v>
      </c>
      <c r="AK206" t="str">
        <f t="shared" si="3"/>
        <v>AGEFL</v>
      </c>
    </row>
    <row r="207" spans="1:37">
      <c r="A207" t="s">
        <v>409</v>
      </c>
      <c r="B207" t="s">
        <v>410</v>
      </c>
      <c r="C207" t="s">
        <v>275</v>
      </c>
      <c r="E207">
        <v>43</v>
      </c>
      <c r="F207">
        <v>110.5</v>
      </c>
      <c r="G207">
        <v>0</v>
      </c>
      <c r="H207">
        <v>2</v>
      </c>
      <c r="I207">
        <v>1</v>
      </c>
      <c r="J207">
        <v>3</v>
      </c>
      <c r="K207">
        <v>884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884</v>
      </c>
      <c r="R207">
        <v>0</v>
      </c>
      <c r="S207">
        <v>0</v>
      </c>
      <c r="T207">
        <v>0</v>
      </c>
      <c r="U207">
        <v>6</v>
      </c>
      <c r="V207">
        <v>0</v>
      </c>
      <c r="W207">
        <v>0</v>
      </c>
      <c r="X207">
        <v>0</v>
      </c>
      <c r="Y207">
        <v>14</v>
      </c>
      <c r="Z207">
        <v>0</v>
      </c>
      <c r="AA207">
        <v>0</v>
      </c>
      <c r="AB207">
        <v>0</v>
      </c>
      <c r="AC207">
        <v>12</v>
      </c>
      <c r="AD207">
        <v>0</v>
      </c>
      <c r="AE207">
        <v>32</v>
      </c>
      <c r="AF207">
        <v>53</v>
      </c>
      <c r="AJ207">
        <v>3.45</v>
      </c>
      <c r="AK207" t="str">
        <f t="shared" si="3"/>
        <v>AP280-5000</v>
      </c>
    </row>
    <row r="208" spans="1:37">
      <c r="A208" t="s">
        <v>411</v>
      </c>
      <c r="B208" t="s">
        <v>410</v>
      </c>
      <c r="C208" t="s">
        <v>275</v>
      </c>
      <c r="E208">
        <v>43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2737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2737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32</v>
      </c>
      <c r="AJ208">
        <v>6.13</v>
      </c>
      <c r="AK208" t="str">
        <f t="shared" si="3"/>
        <v>AP280-6200</v>
      </c>
    </row>
    <row r="209" spans="1:37">
      <c r="A209" t="s">
        <v>412</v>
      </c>
      <c r="B209" t="s">
        <v>413</v>
      </c>
      <c r="C209" t="s">
        <v>267</v>
      </c>
      <c r="E209">
        <v>50</v>
      </c>
      <c r="F209">
        <v>0</v>
      </c>
      <c r="G209">
        <v>0</v>
      </c>
      <c r="H209">
        <v>0</v>
      </c>
      <c r="I209">
        <v>14</v>
      </c>
      <c r="J209">
        <v>7</v>
      </c>
      <c r="K209">
        <v>1077</v>
      </c>
      <c r="L209">
        <v>6</v>
      </c>
      <c r="M209">
        <v>0</v>
      </c>
      <c r="N209">
        <v>0</v>
      </c>
      <c r="O209">
        <v>0</v>
      </c>
      <c r="P209">
        <v>0</v>
      </c>
      <c r="Q209">
        <v>1077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82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82</v>
      </c>
      <c r="AF209">
        <v>186</v>
      </c>
      <c r="AJ209">
        <v>5.9</v>
      </c>
      <c r="AK209" t="str">
        <f t="shared" si="3"/>
        <v>AP290-5000</v>
      </c>
    </row>
    <row r="210" spans="1:37">
      <c r="A210" t="s">
        <v>414</v>
      </c>
      <c r="B210" t="s">
        <v>413</v>
      </c>
      <c r="C210" t="s">
        <v>267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2833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2833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25</v>
      </c>
      <c r="AJ210">
        <v>6.4</v>
      </c>
      <c r="AK210" t="str">
        <f t="shared" si="3"/>
        <v>AP290-6200</v>
      </c>
    </row>
    <row r="211" spans="1:37">
      <c r="A211" t="s">
        <v>415</v>
      </c>
      <c r="B211" t="s">
        <v>416</v>
      </c>
      <c r="C211" t="s">
        <v>313</v>
      </c>
      <c r="E211">
        <v>43</v>
      </c>
      <c r="F211">
        <v>0</v>
      </c>
      <c r="G211">
        <v>9</v>
      </c>
      <c r="H211">
        <v>0</v>
      </c>
      <c r="I211">
        <v>3</v>
      </c>
      <c r="J211">
        <v>3</v>
      </c>
      <c r="K211">
        <v>1310</v>
      </c>
      <c r="L211">
        <v>10</v>
      </c>
      <c r="M211">
        <v>0</v>
      </c>
      <c r="N211">
        <v>8</v>
      </c>
      <c r="O211">
        <v>0</v>
      </c>
      <c r="P211">
        <v>0</v>
      </c>
      <c r="Q211">
        <v>1302</v>
      </c>
      <c r="R211">
        <v>6</v>
      </c>
      <c r="S211">
        <v>0</v>
      </c>
      <c r="T211">
        <v>0</v>
      </c>
      <c r="U211">
        <v>0</v>
      </c>
      <c r="V211">
        <v>0</v>
      </c>
      <c r="W211">
        <v>15</v>
      </c>
      <c r="X211">
        <v>0</v>
      </c>
      <c r="Y211">
        <v>0</v>
      </c>
      <c r="Z211">
        <v>0</v>
      </c>
      <c r="AA211">
        <v>6</v>
      </c>
      <c r="AB211">
        <v>0</v>
      </c>
      <c r="AC211">
        <v>9</v>
      </c>
      <c r="AD211">
        <v>0</v>
      </c>
      <c r="AE211">
        <v>30</v>
      </c>
      <c r="AF211">
        <v>47</v>
      </c>
      <c r="AJ211">
        <v>3.88</v>
      </c>
      <c r="AK211" t="str">
        <f t="shared" si="3"/>
        <v>AP365-5000</v>
      </c>
    </row>
    <row r="212" spans="1:37">
      <c r="A212" t="s">
        <v>417</v>
      </c>
      <c r="B212" t="s">
        <v>416</v>
      </c>
      <c r="C212" t="s">
        <v>313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2803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2803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21</v>
      </c>
      <c r="AJ212">
        <v>5.33</v>
      </c>
      <c r="AK212" t="str">
        <f t="shared" si="3"/>
        <v>AP365-6200</v>
      </c>
    </row>
    <row r="213" spans="1:37">
      <c r="A213" t="s">
        <v>418</v>
      </c>
      <c r="B213" t="s">
        <v>419</v>
      </c>
      <c r="C213" t="s">
        <v>313</v>
      </c>
      <c r="E213">
        <v>43</v>
      </c>
      <c r="F213">
        <v>0</v>
      </c>
      <c r="G213">
        <v>9</v>
      </c>
      <c r="H213">
        <v>0</v>
      </c>
      <c r="I213">
        <v>2</v>
      </c>
      <c r="J213">
        <v>3</v>
      </c>
      <c r="K213">
        <v>1454</v>
      </c>
      <c r="L213">
        <v>10</v>
      </c>
      <c r="M213">
        <v>0</v>
      </c>
      <c r="N213">
        <v>8</v>
      </c>
      <c r="O213">
        <v>0</v>
      </c>
      <c r="P213">
        <v>0</v>
      </c>
      <c r="Q213">
        <v>1446</v>
      </c>
      <c r="R213">
        <v>8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9</v>
      </c>
      <c r="Y213">
        <v>13</v>
      </c>
      <c r="Z213">
        <v>0</v>
      </c>
      <c r="AA213">
        <v>0</v>
      </c>
      <c r="AB213">
        <v>0</v>
      </c>
      <c r="AC213">
        <v>9</v>
      </c>
      <c r="AD213">
        <v>2</v>
      </c>
      <c r="AE213">
        <v>33</v>
      </c>
      <c r="AF213">
        <v>124</v>
      </c>
      <c r="AJ213">
        <v>3.88</v>
      </c>
      <c r="AK213" t="str">
        <f t="shared" si="3"/>
        <v>AR250-5000</v>
      </c>
    </row>
    <row r="214" spans="1:37">
      <c r="A214" t="s">
        <v>420</v>
      </c>
      <c r="B214" t="s">
        <v>419</v>
      </c>
      <c r="C214" t="s">
        <v>313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3169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3169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33</v>
      </c>
      <c r="AJ214">
        <v>5.33</v>
      </c>
      <c r="AK214" t="str">
        <f t="shared" si="3"/>
        <v>AR250-6200</v>
      </c>
    </row>
    <row r="215" spans="1:37">
      <c r="A215" t="s">
        <v>421</v>
      </c>
      <c r="B215" t="s">
        <v>422</v>
      </c>
      <c r="C215" t="s">
        <v>110</v>
      </c>
      <c r="D215" t="s">
        <v>423</v>
      </c>
      <c r="E215">
        <v>50</v>
      </c>
      <c r="F215">
        <v>0.5</v>
      </c>
      <c r="G215">
        <v>203</v>
      </c>
      <c r="H215">
        <v>781</v>
      </c>
      <c r="I215">
        <v>681</v>
      </c>
      <c r="J215">
        <v>580</v>
      </c>
      <c r="K215">
        <v>1835</v>
      </c>
      <c r="L215">
        <v>0</v>
      </c>
      <c r="M215">
        <v>0</v>
      </c>
      <c r="N215">
        <v>169</v>
      </c>
      <c r="O215">
        <v>0</v>
      </c>
      <c r="P215">
        <v>0</v>
      </c>
      <c r="Q215">
        <v>1666</v>
      </c>
      <c r="R215">
        <v>0</v>
      </c>
      <c r="S215">
        <v>1245</v>
      </c>
      <c r="T215">
        <v>741</v>
      </c>
      <c r="U215">
        <v>356</v>
      </c>
      <c r="V215">
        <v>955</v>
      </c>
      <c r="W215">
        <v>407</v>
      </c>
      <c r="X215">
        <v>382</v>
      </c>
      <c r="Y215">
        <v>62</v>
      </c>
      <c r="Z215">
        <v>0</v>
      </c>
      <c r="AA215">
        <v>76</v>
      </c>
      <c r="AB215">
        <v>2502</v>
      </c>
      <c r="AC215">
        <v>0</v>
      </c>
      <c r="AD215">
        <v>235</v>
      </c>
      <c r="AE215">
        <v>6961</v>
      </c>
      <c r="AF215">
        <v>4424</v>
      </c>
      <c r="AJ215">
        <v>4.24</v>
      </c>
      <c r="AK215" t="str">
        <f t="shared" si="3"/>
        <v>AR321-6200</v>
      </c>
    </row>
    <row r="216" spans="1:37">
      <c r="A216" t="s">
        <v>424</v>
      </c>
      <c r="B216" t="s">
        <v>425</v>
      </c>
      <c r="C216" t="s">
        <v>329</v>
      </c>
      <c r="D216" t="s">
        <v>342</v>
      </c>
      <c r="E216">
        <v>50</v>
      </c>
      <c r="F216">
        <v>0.1</v>
      </c>
      <c r="G216">
        <v>17</v>
      </c>
      <c r="H216">
        <v>72</v>
      </c>
      <c r="I216">
        <v>61</v>
      </c>
      <c r="J216">
        <v>72</v>
      </c>
      <c r="K216">
        <v>40</v>
      </c>
      <c r="L216">
        <v>191</v>
      </c>
      <c r="M216">
        <v>0</v>
      </c>
      <c r="N216">
        <v>14</v>
      </c>
      <c r="O216">
        <v>0</v>
      </c>
      <c r="P216">
        <v>0</v>
      </c>
      <c r="Q216">
        <v>26</v>
      </c>
      <c r="R216">
        <v>41</v>
      </c>
      <c r="S216">
        <v>199</v>
      </c>
      <c r="T216">
        <v>0</v>
      </c>
      <c r="U216">
        <v>16</v>
      </c>
      <c r="V216">
        <v>0</v>
      </c>
      <c r="W216">
        <v>91</v>
      </c>
      <c r="X216">
        <v>57</v>
      </c>
      <c r="Y216">
        <v>129</v>
      </c>
      <c r="Z216">
        <v>65</v>
      </c>
      <c r="AA216">
        <v>154</v>
      </c>
      <c r="AB216">
        <v>111</v>
      </c>
      <c r="AC216">
        <v>37</v>
      </c>
      <c r="AD216">
        <v>0</v>
      </c>
      <c r="AE216">
        <v>859</v>
      </c>
      <c r="AF216">
        <v>1107</v>
      </c>
      <c r="AJ216">
        <v>4.92</v>
      </c>
      <c r="AK216" t="str">
        <f t="shared" si="3"/>
        <v>AT106-5000</v>
      </c>
    </row>
    <row r="217" spans="1:37">
      <c r="A217" t="s">
        <v>426</v>
      </c>
      <c r="B217" t="s">
        <v>425</v>
      </c>
      <c r="C217" t="s">
        <v>329</v>
      </c>
      <c r="D217" t="s">
        <v>342</v>
      </c>
      <c r="E217">
        <v>50</v>
      </c>
      <c r="F217">
        <v>11</v>
      </c>
      <c r="G217">
        <v>0</v>
      </c>
      <c r="H217">
        <v>31</v>
      </c>
      <c r="I217">
        <v>74</v>
      </c>
      <c r="J217">
        <v>80</v>
      </c>
      <c r="K217">
        <v>1364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1364</v>
      </c>
      <c r="R217">
        <v>0</v>
      </c>
      <c r="S217">
        <v>38</v>
      </c>
      <c r="T217">
        <v>55</v>
      </c>
      <c r="U217">
        <v>0</v>
      </c>
      <c r="V217">
        <v>0</v>
      </c>
      <c r="W217">
        <v>348</v>
      </c>
      <c r="X217">
        <v>0</v>
      </c>
      <c r="Y217">
        <v>78</v>
      </c>
      <c r="Z217">
        <v>132</v>
      </c>
      <c r="AA217">
        <v>7</v>
      </c>
      <c r="AB217">
        <v>268</v>
      </c>
      <c r="AC217">
        <v>32</v>
      </c>
      <c r="AD217">
        <v>0</v>
      </c>
      <c r="AE217">
        <v>958</v>
      </c>
      <c r="AF217">
        <v>59</v>
      </c>
      <c r="AJ217">
        <v>4.92</v>
      </c>
      <c r="AK217" t="str">
        <f t="shared" si="3"/>
        <v>AT106-6200</v>
      </c>
    </row>
    <row r="218" spans="1:37">
      <c r="A218" t="s">
        <v>427</v>
      </c>
      <c r="B218" t="s">
        <v>428</v>
      </c>
      <c r="C218" t="s">
        <v>313</v>
      </c>
      <c r="D218" t="s">
        <v>388</v>
      </c>
      <c r="E218">
        <v>43</v>
      </c>
      <c r="F218">
        <v>0</v>
      </c>
      <c r="G218">
        <v>7</v>
      </c>
      <c r="H218">
        <v>0</v>
      </c>
      <c r="I218">
        <v>43</v>
      </c>
      <c r="J218">
        <v>29</v>
      </c>
      <c r="K218">
        <v>0</v>
      </c>
      <c r="L218">
        <v>13</v>
      </c>
      <c r="M218">
        <v>0</v>
      </c>
      <c r="N218">
        <v>6</v>
      </c>
      <c r="O218">
        <v>0</v>
      </c>
      <c r="P218">
        <v>0</v>
      </c>
      <c r="Q218">
        <v>-6</v>
      </c>
      <c r="R218">
        <v>32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260</v>
      </c>
      <c r="Y218">
        <v>54</v>
      </c>
      <c r="Z218">
        <v>0</v>
      </c>
      <c r="AA218">
        <v>0</v>
      </c>
      <c r="AB218">
        <v>37</v>
      </c>
      <c r="AC218">
        <v>0</v>
      </c>
      <c r="AD218">
        <v>0</v>
      </c>
      <c r="AE218">
        <v>351</v>
      </c>
      <c r="AF218">
        <v>143</v>
      </c>
      <c r="AJ218">
        <v>6.3</v>
      </c>
      <c r="AK218" t="str">
        <f t="shared" si="3"/>
        <v>AT109-5000</v>
      </c>
    </row>
    <row r="219" spans="1:37">
      <c r="A219" t="s">
        <v>429</v>
      </c>
      <c r="B219" t="s">
        <v>428</v>
      </c>
      <c r="C219" t="s">
        <v>313</v>
      </c>
      <c r="D219" t="s">
        <v>388</v>
      </c>
      <c r="E219">
        <v>43</v>
      </c>
      <c r="F219">
        <v>0</v>
      </c>
      <c r="G219">
        <v>21</v>
      </c>
      <c r="H219">
        <v>0</v>
      </c>
      <c r="I219">
        <v>0</v>
      </c>
      <c r="J219">
        <v>8</v>
      </c>
      <c r="K219">
        <v>1514</v>
      </c>
      <c r="L219">
        <v>0</v>
      </c>
      <c r="M219">
        <v>0</v>
      </c>
      <c r="N219">
        <v>17</v>
      </c>
      <c r="O219">
        <v>0</v>
      </c>
      <c r="P219">
        <v>0</v>
      </c>
      <c r="Q219">
        <v>1497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58</v>
      </c>
      <c r="Z219">
        <v>19</v>
      </c>
      <c r="AA219">
        <v>0</v>
      </c>
      <c r="AB219">
        <v>14</v>
      </c>
      <c r="AC219">
        <v>0</v>
      </c>
      <c r="AD219">
        <v>0</v>
      </c>
      <c r="AE219">
        <v>91</v>
      </c>
      <c r="AF219">
        <v>96</v>
      </c>
      <c r="AJ219">
        <v>3.67</v>
      </c>
      <c r="AK219" t="str">
        <f t="shared" si="3"/>
        <v>AT109-6200</v>
      </c>
    </row>
    <row r="220" spans="1:37">
      <c r="A220" t="s">
        <v>430</v>
      </c>
      <c r="B220" t="s">
        <v>431</v>
      </c>
      <c r="C220" t="s">
        <v>275</v>
      </c>
      <c r="D220" t="s">
        <v>280</v>
      </c>
      <c r="E220">
        <v>45</v>
      </c>
      <c r="F220">
        <v>0</v>
      </c>
      <c r="G220">
        <v>7</v>
      </c>
      <c r="H220">
        <v>0</v>
      </c>
      <c r="I220">
        <v>0</v>
      </c>
      <c r="J220">
        <v>2</v>
      </c>
      <c r="K220">
        <v>128</v>
      </c>
      <c r="L220">
        <v>10</v>
      </c>
      <c r="M220">
        <v>0</v>
      </c>
      <c r="N220">
        <v>6</v>
      </c>
      <c r="O220">
        <v>0</v>
      </c>
      <c r="P220">
        <v>0</v>
      </c>
      <c r="Q220">
        <v>122</v>
      </c>
      <c r="R220">
        <v>11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12</v>
      </c>
      <c r="AA220">
        <v>0</v>
      </c>
      <c r="AB220">
        <v>0</v>
      </c>
      <c r="AC220">
        <v>8</v>
      </c>
      <c r="AD220">
        <v>0</v>
      </c>
      <c r="AE220">
        <v>20</v>
      </c>
      <c r="AF220">
        <v>9</v>
      </c>
      <c r="AJ220">
        <v>4.93</v>
      </c>
      <c r="AK220" t="str">
        <f t="shared" si="3"/>
        <v>AT111-6200</v>
      </c>
    </row>
    <row r="221" spans="1:37">
      <c r="A221" t="s">
        <v>432</v>
      </c>
      <c r="B221" t="s">
        <v>433</v>
      </c>
      <c r="C221" t="s">
        <v>110</v>
      </c>
      <c r="D221" t="s">
        <v>268</v>
      </c>
      <c r="E221">
        <v>43</v>
      </c>
      <c r="F221">
        <v>0</v>
      </c>
      <c r="G221">
        <v>0</v>
      </c>
      <c r="H221">
        <v>0</v>
      </c>
      <c r="I221">
        <v>0</v>
      </c>
      <c r="J221">
        <v>1</v>
      </c>
      <c r="K221">
        <v>1021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1021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7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7</v>
      </c>
      <c r="AF221">
        <v>0</v>
      </c>
      <c r="AJ221">
        <v>4.1500000000000004</v>
      </c>
      <c r="AK221" t="str">
        <f t="shared" si="3"/>
        <v>AT121-6200</v>
      </c>
    </row>
    <row r="222" spans="1:37">
      <c r="A222" t="s">
        <v>434</v>
      </c>
      <c r="B222" t="s">
        <v>435</v>
      </c>
      <c r="C222" t="s">
        <v>275</v>
      </c>
      <c r="D222" t="s">
        <v>436</v>
      </c>
      <c r="E222">
        <v>50</v>
      </c>
      <c r="F222">
        <v>-1.5</v>
      </c>
      <c r="G222">
        <v>24</v>
      </c>
      <c r="H222">
        <v>3</v>
      </c>
      <c r="I222">
        <v>16</v>
      </c>
      <c r="J222">
        <v>19</v>
      </c>
      <c r="K222">
        <v>0</v>
      </c>
      <c r="L222">
        <v>10</v>
      </c>
      <c r="M222">
        <v>0</v>
      </c>
      <c r="N222">
        <v>20</v>
      </c>
      <c r="O222">
        <v>0</v>
      </c>
      <c r="P222">
        <v>0</v>
      </c>
      <c r="Q222">
        <v>-20</v>
      </c>
      <c r="R222">
        <v>8</v>
      </c>
      <c r="S222">
        <v>0</v>
      </c>
      <c r="T222">
        <v>0</v>
      </c>
      <c r="U222">
        <v>10</v>
      </c>
      <c r="V222">
        <v>0</v>
      </c>
      <c r="W222">
        <v>26</v>
      </c>
      <c r="X222">
        <v>59</v>
      </c>
      <c r="Y222">
        <v>12</v>
      </c>
      <c r="Z222">
        <v>12</v>
      </c>
      <c r="AA222">
        <v>11</v>
      </c>
      <c r="AB222">
        <v>64</v>
      </c>
      <c r="AC222">
        <v>29</v>
      </c>
      <c r="AD222">
        <v>0</v>
      </c>
      <c r="AE222">
        <v>223</v>
      </c>
      <c r="AF222">
        <v>285</v>
      </c>
      <c r="AJ222">
        <v>5.84</v>
      </c>
      <c r="AK222" t="str">
        <f t="shared" si="3"/>
        <v>AT161-5000</v>
      </c>
    </row>
    <row r="223" spans="1:37">
      <c r="A223" t="s">
        <v>437</v>
      </c>
      <c r="B223" t="s">
        <v>435</v>
      </c>
      <c r="C223" t="s">
        <v>275</v>
      </c>
      <c r="D223" t="s">
        <v>436</v>
      </c>
      <c r="E223">
        <v>50</v>
      </c>
      <c r="F223">
        <v>5.5</v>
      </c>
      <c r="G223">
        <v>26</v>
      </c>
      <c r="H223">
        <v>45</v>
      </c>
      <c r="I223">
        <v>47</v>
      </c>
      <c r="J223">
        <v>43</v>
      </c>
      <c r="K223">
        <v>999</v>
      </c>
      <c r="L223">
        <v>23</v>
      </c>
      <c r="M223">
        <v>0</v>
      </c>
      <c r="N223">
        <v>22</v>
      </c>
      <c r="O223">
        <v>0</v>
      </c>
      <c r="P223">
        <v>0</v>
      </c>
      <c r="Q223">
        <v>977</v>
      </c>
      <c r="R223">
        <v>0</v>
      </c>
      <c r="S223">
        <v>0</v>
      </c>
      <c r="T223">
        <v>124</v>
      </c>
      <c r="U223">
        <v>10</v>
      </c>
      <c r="V223">
        <v>41</v>
      </c>
      <c r="W223">
        <v>32</v>
      </c>
      <c r="X223">
        <v>76</v>
      </c>
      <c r="Y223">
        <v>39</v>
      </c>
      <c r="Z223">
        <v>36</v>
      </c>
      <c r="AA223">
        <v>73</v>
      </c>
      <c r="AB223">
        <v>41</v>
      </c>
      <c r="AC223">
        <v>17</v>
      </c>
      <c r="AD223">
        <v>21</v>
      </c>
      <c r="AE223">
        <v>510</v>
      </c>
      <c r="AF223">
        <v>836</v>
      </c>
      <c r="AJ223">
        <v>5.84</v>
      </c>
      <c r="AK223" t="str">
        <f t="shared" si="3"/>
        <v>AT161-6200</v>
      </c>
    </row>
    <row r="224" spans="1:37">
      <c r="A224" t="s">
        <v>438</v>
      </c>
      <c r="B224" t="s">
        <v>439</v>
      </c>
      <c r="C224" t="s">
        <v>110</v>
      </c>
      <c r="D224" t="s">
        <v>306</v>
      </c>
      <c r="E224">
        <v>45</v>
      </c>
      <c r="F224">
        <v>5.6</v>
      </c>
      <c r="G224">
        <v>10</v>
      </c>
      <c r="H224">
        <v>15</v>
      </c>
      <c r="I224">
        <v>19</v>
      </c>
      <c r="J224">
        <v>15</v>
      </c>
      <c r="K224">
        <v>345</v>
      </c>
      <c r="L224">
        <v>24</v>
      </c>
      <c r="M224">
        <v>0</v>
      </c>
      <c r="N224">
        <v>8</v>
      </c>
      <c r="O224">
        <v>0</v>
      </c>
      <c r="P224">
        <v>0</v>
      </c>
      <c r="Q224">
        <v>337</v>
      </c>
      <c r="R224">
        <v>0</v>
      </c>
      <c r="S224">
        <v>0</v>
      </c>
      <c r="T224">
        <v>0</v>
      </c>
      <c r="U224">
        <v>45</v>
      </c>
      <c r="V224">
        <v>8</v>
      </c>
      <c r="W224">
        <v>25</v>
      </c>
      <c r="X224">
        <v>37</v>
      </c>
      <c r="Y224">
        <v>0</v>
      </c>
      <c r="Z224">
        <v>0</v>
      </c>
      <c r="AA224">
        <v>15</v>
      </c>
      <c r="AB224">
        <v>10</v>
      </c>
      <c r="AC224">
        <v>28</v>
      </c>
      <c r="AD224">
        <v>12</v>
      </c>
      <c r="AE224">
        <v>180</v>
      </c>
      <c r="AF224">
        <v>185</v>
      </c>
      <c r="AJ224">
        <v>4.37</v>
      </c>
      <c r="AK224" t="str">
        <f t="shared" si="3"/>
        <v>AT181-5000</v>
      </c>
    </row>
    <row r="225" spans="1:37">
      <c r="A225" t="s">
        <v>440</v>
      </c>
      <c r="B225" t="s">
        <v>439</v>
      </c>
      <c r="C225" t="s">
        <v>110</v>
      </c>
      <c r="D225" t="s">
        <v>306</v>
      </c>
      <c r="E225">
        <v>45</v>
      </c>
      <c r="F225">
        <v>13.8</v>
      </c>
      <c r="G225">
        <v>7</v>
      </c>
      <c r="H225">
        <v>25</v>
      </c>
      <c r="I225">
        <v>30</v>
      </c>
      <c r="J225">
        <v>24</v>
      </c>
      <c r="K225">
        <v>1401</v>
      </c>
      <c r="L225">
        <v>27</v>
      </c>
      <c r="M225">
        <v>0</v>
      </c>
      <c r="N225">
        <v>6</v>
      </c>
      <c r="O225">
        <v>0</v>
      </c>
      <c r="P225">
        <v>0</v>
      </c>
      <c r="Q225">
        <v>1395</v>
      </c>
      <c r="R225">
        <v>0</v>
      </c>
      <c r="S225">
        <v>0</v>
      </c>
      <c r="T225">
        <v>11</v>
      </c>
      <c r="U225">
        <v>65</v>
      </c>
      <c r="V225">
        <v>22</v>
      </c>
      <c r="W225">
        <v>36</v>
      </c>
      <c r="X225">
        <v>44</v>
      </c>
      <c r="Y225">
        <v>8</v>
      </c>
      <c r="Z225">
        <v>20</v>
      </c>
      <c r="AA225">
        <v>74</v>
      </c>
      <c r="AB225">
        <v>0</v>
      </c>
      <c r="AC225">
        <v>6</v>
      </c>
      <c r="AD225">
        <v>6</v>
      </c>
      <c r="AE225">
        <v>292</v>
      </c>
      <c r="AF225">
        <v>568</v>
      </c>
      <c r="AJ225">
        <v>4.37</v>
      </c>
      <c r="AK225" t="str">
        <f t="shared" si="3"/>
        <v>AT181-6200</v>
      </c>
    </row>
    <row r="226" spans="1:37">
      <c r="A226" t="s">
        <v>441</v>
      </c>
      <c r="B226" t="s">
        <v>442</v>
      </c>
      <c r="C226" t="s">
        <v>110</v>
      </c>
      <c r="D226" t="s">
        <v>306</v>
      </c>
      <c r="E226">
        <v>43</v>
      </c>
      <c r="F226">
        <v>8.8000000000000007</v>
      </c>
      <c r="G226">
        <v>7</v>
      </c>
      <c r="H226">
        <v>14</v>
      </c>
      <c r="I226">
        <v>7</v>
      </c>
      <c r="J226">
        <v>6</v>
      </c>
      <c r="K226">
        <v>508</v>
      </c>
      <c r="L226">
        <v>10</v>
      </c>
      <c r="M226">
        <v>0</v>
      </c>
      <c r="N226">
        <v>6</v>
      </c>
      <c r="O226">
        <v>0</v>
      </c>
      <c r="P226">
        <v>0</v>
      </c>
      <c r="Q226">
        <v>502</v>
      </c>
      <c r="R226">
        <v>0</v>
      </c>
      <c r="S226">
        <v>0</v>
      </c>
      <c r="T226">
        <v>25</v>
      </c>
      <c r="U226">
        <v>18</v>
      </c>
      <c r="V226">
        <v>0</v>
      </c>
      <c r="W226">
        <v>0</v>
      </c>
      <c r="X226">
        <v>0</v>
      </c>
      <c r="Y226">
        <v>10</v>
      </c>
      <c r="Z226">
        <v>6</v>
      </c>
      <c r="AA226">
        <v>0</v>
      </c>
      <c r="AB226">
        <v>14</v>
      </c>
      <c r="AC226">
        <v>0</v>
      </c>
      <c r="AD226">
        <v>0</v>
      </c>
      <c r="AE226">
        <v>73</v>
      </c>
      <c r="AF226">
        <v>570</v>
      </c>
      <c r="AJ226">
        <v>4.25</v>
      </c>
      <c r="AK226" t="str">
        <f t="shared" si="3"/>
        <v>AT191-5000</v>
      </c>
    </row>
    <row r="227" spans="1:37">
      <c r="A227" t="s">
        <v>443</v>
      </c>
      <c r="B227" t="s">
        <v>442</v>
      </c>
      <c r="C227" t="s">
        <v>110</v>
      </c>
      <c r="D227" t="s">
        <v>306</v>
      </c>
      <c r="E227">
        <v>43</v>
      </c>
      <c r="F227">
        <v>61.8</v>
      </c>
      <c r="G227">
        <v>1</v>
      </c>
      <c r="H227">
        <v>9</v>
      </c>
      <c r="I227">
        <v>11</v>
      </c>
      <c r="J227">
        <v>10</v>
      </c>
      <c r="K227">
        <v>2227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2226</v>
      </c>
      <c r="R227">
        <v>0</v>
      </c>
      <c r="S227">
        <v>0</v>
      </c>
      <c r="T227">
        <v>17</v>
      </c>
      <c r="U227">
        <v>10</v>
      </c>
      <c r="V227">
        <v>5</v>
      </c>
      <c r="W227">
        <v>1</v>
      </c>
      <c r="X227">
        <v>30</v>
      </c>
      <c r="Y227">
        <v>0</v>
      </c>
      <c r="Z227">
        <v>56</v>
      </c>
      <c r="AA227">
        <v>0</v>
      </c>
      <c r="AB227">
        <v>0</v>
      </c>
      <c r="AC227">
        <v>0</v>
      </c>
      <c r="AD227">
        <v>0</v>
      </c>
      <c r="AE227">
        <v>119</v>
      </c>
      <c r="AF227">
        <v>346</v>
      </c>
      <c r="AJ227">
        <v>4.37</v>
      </c>
      <c r="AK227" t="str">
        <f t="shared" si="3"/>
        <v>AT191-6200</v>
      </c>
    </row>
    <row r="228" spans="1:37">
      <c r="A228" t="s">
        <v>444</v>
      </c>
      <c r="B228" t="s">
        <v>445</v>
      </c>
      <c r="C228" t="s">
        <v>329</v>
      </c>
      <c r="D228" t="s">
        <v>292</v>
      </c>
      <c r="E228">
        <v>50</v>
      </c>
      <c r="F228">
        <v>64.2</v>
      </c>
      <c r="G228">
        <v>8</v>
      </c>
      <c r="H228">
        <v>3</v>
      </c>
      <c r="I228">
        <v>2</v>
      </c>
      <c r="J228">
        <v>7</v>
      </c>
      <c r="K228">
        <v>777</v>
      </c>
      <c r="L228">
        <v>3</v>
      </c>
      <c r="M228">
        <v>0</v>
      </c>
      <c r="N228">
        <v>7</v>
      </c>
      <c r="O228">
        <v>0</v>
      </c>
      <c r="P228">
        <v>0</v>
      </c>
      <c r="Q228">
        <v>770</v>
      </c>
      <c r="R228">
        <v>0</v>
      </c>
      <c r="S228">
        <v>0</v>
      </c>
      <c r="T228">
        <v>9</v>
      </c>
      <c r="U228">
        <v>0</v>
      </c>
      <c r="V228">
        <v>0</v>
      </c>
      <c r="W228">
        <v>5</v>
      </c>
      <c r="X228">
        <v>0</v>
      </c>
      <c r="Y228">
        <v>0</v>
      </c>
      <c r="Z228">
        <v>26</v>
      </c>
      <c r="AA228">
        <v>0</v>
      </c>
      <c r="AB228">
        <v>0</v>
      </c>
      <c r="AC228">
        <v>30</v>
      </c>
      <c r="AD228">
        <v>13</v>
      </c>
      <c r="AE228">
        <v>83</v>
      </c>
      <c r="AF228">
        <v>86</v>
      </c>
      <c r="AJ228">
        <v>4.92</v>
      </c>
      <c r="AK228" t="str">
        <f t="shared" si="3"/>
        <v>AT231-5000</v>
      </c>
    </row>
    <row r="229" spans="1:37">
      <c r="A229" t="s">
        <v>446</v>
      </c>
      <c r="B229" t="s">
        <v>445</v>
      </c>
      <c r="C229" t="s">
        <v>329</v>
      </c>
      <c r="D229" t="s">
        <v>447</v>
      </c>
      <c r="E229">
        <v>50</v>
      </c>
      <c r="F229">
        <v>26.4</v>
      </c>
      <c r="G229">
        <v>0</v>
      </c>
      <c r="H229">
        <v>12</v>
      </c>
      <c r="I229">
        <v>16</v>
      </c>
      <c r="J229">
        <v>9</v>
      </c>
      <c r="K229">
        <v>1268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1268</v>
      </c>
      <c r="R229">
        <v>0</v>
      </c>
      <c r="S229">
        <v>0</v>
      </c>
      <c r="T229">
        <v>0</v>
      </c>
      <c r="U229">
        <v>36</v>
      </c>
      <c r="V229">
        <v>0</v>
      </c>
      <c r="W229">
        <v>35</v>
      </c>
      <c r="X229">
        <v>23</v>
      </c>
      <c r="Y229">
        <v>0</v>
      </c>
      <c r="Z229">
        <v>11</v>
      </c>
      <c r="AA229">
        <v>0</v>
      </c>
      <c r="AB229">
        <v>0</v>
      </c>
      <c r="AC229">
        <v>0</v>
      </c>
      <c r="AD229">
        <v>0</v>
      </c>
      <c r="AE229">
        <v>105</v>
      </c>
      <c r="AF229">
        <v>182</v>
      </c>
      <c r="AJ229">
        <v>4.92</v>
      </c>
      <c r="AK229" t="str">
        <f t="shared" si="3"/>
        <v>AT231-6200</v>
      </c>
    </row>
    <row r="230" spans="1:37">
      <c r="A230" t="s">
        <v>448</v>
      </c>
      <c r="B230" t="s">
        <v>449</v>
      </c>
      <c r="C230" t="s">
        <v>275</v>
      </c>
      <c r="D230" t="s">
        <v>268</v>
      </c>
      <c r="E230">
        <v>45</v>
      </c>
      <c r="F230">
        <v>33.9</v>
      </c>
      <c r="G230">
        <v>0</v>
      </c>
      <c r="H230">
        <v>7</v>
      </c>
      <c r="I230">
        <v>4</v>
      </c>
      <c r="J230">
        <v>2</v>
      </c>
      <c r="K230">
        <v>950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950</v>
      </c>
      <c r="R230">
        <v>0</v>
      </c>
      <c r="S230">
        <v>14</v>
      </c>
      <c r="T230">
        <v>0</v>
      </c>
      <c r="U230">
        <v>7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3</v>
      </c>
      <c r="AB230">
        <v>0</v>
      </c>
      <c r="AC230">
        <v>0</v>
      </c>
      <c r="AD230">
        <v>0</v>
      </c>
      <c r="AE230">
        <v>24</v>
      </c>
      <c r="AF230">
        <v>0</v>
      </c>
      <c r="AJ230">
        <v>4.76</v>
      </c>
      <c r="AK230" t="str">
        <f t="shared" si="3"/>
        <v>AT291-5000</v>
      </c>
    </row>
    <row r="231" spans="1:37">
      <c r="A231" t="s">
        <v>450</v>
      </c>
      <c r="B231" t="s">
        <v>449</v>
      </c>
      <c r="C231" t="s">
        <v>275</v>
      </c>
      <c r="D231" t="s">
        <v>451</v>
      </c>
      <c r="E231">
        <v>45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188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188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4.76</v>
      </c>
      <c r="AK231" t="str">
        <f t="shared" si="3"/>
        <v>AT291-6200</v>
      </c>
    </row>
    <row r="232" spans="1:37">
      <c r="A232" t="s">
        <v>454</v>
      </c>
      <c r="B232" t="s">
        <v>453</v>
      </c>
      <c r="C232" t="s">
        <v>329</v>
      </c>
      <c r="D232" t="s">
        <v>292</v>
      </c>
      <c r="E232">
        <v>50</v>
      </c>
      <c r="F232">
        <v>-0.2</v>
      </c>
      <c r="G232">
        <v>30</v>
      </c>
      <c r="H232">
        <v>28</v>
      </c>
      <c r="I232">
        <v>48</v>
      </c>
      <c r="J232">
        <v>33</v>
      </c>
      <c r="K232">
        <v>0</v>
      </c>
      <c r="L232">
        <v>13</v>
      </c>
      <c r="M232">
        <v>0</v>
      </c>
      <c r="N232">
        <v>25</v>
      </c>
      <c r="O232">
        <v>0</v>
      </c>
      <c r="P232">
        <v>0</v>
      </c>
      <c r="Q232">
        <v>-25</v>
      </c>
      <c r="R232">
        <v>0</v>
      </c>
      <c r="S232">
        <v>85</v>
      </c>
      <c r="T232">
        <v>0</v>
      </c>
      <c r="U232">
        <v>0</v>
      </c>
      <c r="V232">
        <v>0</v>
      </c>
      <c r="W232">
        <v>61</v>
      </c>
      <c r="X232">
        <v>143</v>
      </c>
      <c r="Y232">
        <v>0</v>
      </c>
      <c r="Z232">
        <v>0</v>
      </c>
      <c r="AA232">
        <v>19</v>
      </c>
      <c r="AB232">
        <v>7</v>
      </c>
      <c r="AC232">
        <v>78</v>
      </c>
      <c r="AD232">
        <v>0</v>
      </c>
      <c r="AE232">
        <v>393</v>
      </c>
      <c r="AF232">
        <v>501</v>
      </c>
      <c r="AJ232">
        <v>4.05</v>
      </c>
      <c r="AK232" t="str">
        <f t="shared" si="3"/>
        <v>AT301-5000</v>
      </c>
    </row>
    <row r="233" spans="1:37">
      <c r="A233" t="s">
        <v>455</v>
      </c>
      <c r="B233" t="s">
        <v>453</v>
      </c>
      <c r="C233" t="s">
        <v>329</v>
      </c>
      <c r="D233" t="s">
        <v>292</v>
      </c>
      <c r="E233">
        <v>50</v>
      </c>
      <c r="F233">
        <v>0</v>
      </c>
      <c r="G233">
        <v>24</v>
      </c>
      <c r="H233">
        <v>0</v>
      </c>
      <c r="I233">
        <v>0</v>
      </c>
      <c r="J233">
        <v>14</v>
      </c>
      <c r="K233">
        <v>302</v>
      </c>
      <c r="L233">
        <v>0</v>
      </c>
      <c r="M233">
        <v>0</v>
      </c>
      <c r="N233">
        <v>20</v>
      </c>
      <c r="O233">
        <v>0</v>
      </c>
      <c r="P233">
        <v>0</v>
      </c>
      <c r="Q233">
        <v>282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54</v>
      </c>
      <c r="AB233">
        <v>0</v>
      </c>
      <c r="AC233">
        <v>0</v>
      </c>
      <c r="AD233">
        <v>112</v>
      </c>
      <c r="AE233">
        <v>166</v>
      </c>
      <c r="AF233">
        <v>397</v>
      </c>
      <c r="AJ233">
        <v>4.92</v>
      </c>
      <c r="AK233" t="str">
        <f t="shared" si="3"/>
        <v>AT301-6200</v>
      </c>
    </row>
    <row r="234" spans="1:37">
      <c r="A234" t="s">
        <v>456</v>
      </c>
      <c r="B234" t="s">
        <v>457</v>
      </c>
      <c r="C234" t="s">
        <v>275</v>
      </c>
      <c r="D234" t="s">
        <v>458</v>
      </c>
      <c r="E234">
        <v>50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93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93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7</v>
      </c>
      <c r="AJ234">
        <v>4.76</v>
      </c>
      <c r="AK234" t="str">
        <f t="shared" si="3"/>
        <v>AT351-5000</v>
      </c>
    </row>
    <row r="235" spans="1:37">
      <c r="A235" t="s">
        <v>459</v>
      </c>
      <c r="B235" t="s">
        <v>457</v>
      </c>
      <c r="C235" t="s">
        <v>275</v>
      </c>
      <c r="D235" t="s">
        <v>458</v>
      </c>
      <c r="E235">
        <v>50</v>
      </c>
      <c r="F235">
        <v>0</v>
      </c>
      <c r="G235">
        <v>0</v>
      </c>
      <c r="H235">
        <v>0</v>
      </c>
      <c r="I235">
        <v>0</v>
      </c>
      <c r="J235">
        <v>5</v>
      </c>
      <c r="K235">
        <v>1193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1193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54</v>
      </c>
      <c r="AA235">
        <v>0</v>
      </c>
      <c r="AB235">
        <v>0</v>
      </c>
      <c r="AC235">
        <v>0</v>
      </c>
      <c r="AD235">
        <v>0</v>
      </c>
      <c r="AE235">
        <v>54</v>
      </c>
      <c r="AF235">
        <v>0</v>
      </c>
      <c r="AJ235">
        <v>4.76</v>
      </c>
      <c r="AK235" t="str">
        <f t="shared" si="3"/>
        <v>AT351-6200</v>
      </c>
    </row>
    <row r="236" spans="1:37">
      <c r="A236" t="s">
        <v>460</v>
      </c>
      <c r="B236" t="s">
        <v>461</v>
      </c>
      <c r="C236" t="s">
        <v>267</v>
      </c>
      <c r="D236" t="s">
        <v>306</v>
      </c>
      <c r="E236">
        <v>50</v>
      </c>
      <c r="F236">
        <v>-0.4</v>
      </c>
      <c r="G236">
        <v>13</v>
      </c>
      <c r="H236">
        <v>8</v>
      </c>
      <c r="I236">
        <v>4</v>
      </c>
      <c r="J236">
        <v>23</v>
      </c>
      <c r="K236">
        <v>0</v>
      </c>
      <c r="L236">
        <v>5</v>
      </c>
      <c r="M236">
        <v>0</v>
      </c>
      <c r="N236">
        <v>11</v>
      </c>
      <c r="O236">
        <v>0</v>
      </c>
      <c r="P236">
        <v>0</v>
      </c>
      <c r="Q236">
        <v>-11</v>
      </c>
      <c r="R236">
        <v>0</v>
      </c>
      <c r="S236">
        <v>0</v>
      </c>
      <c r="T236">
        <v>0</v>
      </c>
      <c r="U236">
        <v>23</v>
      </c>
      <c r="V236">
        <v>0</v>
      </c>
      <c r="W236">
        <v>0</v>
      </c>
      <c r="X236">
        <v>0</v>
      </c>
      <c r="Y236">
        <v>76</v>
      </c>
      <c r="Z236">
        <v>31</v>
      </c>
      <c r="AA236">
        <v>13</v>
      </c>
      <c r="AB236">
        <v>61</v>
      </c>
      <c r="AC236">
        <v>0</v>
      </c>
      <c r="AD236">
        <v>72</v>
      </c>
      <c r="AE236">
        <v>276</v>
      </c>
      <c r="AF236">
        <v>211</v>
      </c>
      <c r="AJ236">
        <v>5.59</v>
      </c>
      <c r="AK236" t="str">
        <f t="shared" si="3"/>
        <v>AT371-5000</v>
      </c>
    </row>
    <row r="237" spans="1:37">
      <c r="A237" t="s">
        <v>462</v>
      </c>
      <c r="B237" t="s">
        <v>461</v>
      </c>
      <c r="C237" t="s">
        <v>267</v>
      </c>
      <c r="D237" t="s">
        <v>306</v>
      </c>
      <c r="E237">
        <v>50</v>
      </c>
      <c r="F237">
        <v>77</v>
      </c>
      <c r="G237">
        <v>16</v>
      </c>
      <c r="H237">
        <v>4</v>
      </c>
      <c r="I237">
        <v>12</v>
      </c>
      <c r="J237">
        <v>19</v>
      </c>
      <c r="K237">
        <v>1348</v>
      </c>
      <c r="L237">
        <v>0</v>
      </c>
      <c r="M237">
        <v>0</v>
      </c>
      <c r="N237">
        <v>13</v>
      </c>
      <c r="O237">
        <v>0</v>
      </c>
      <c r="P237">
        <v>0</v>
      </c>
      <c r="Q237">
        <v>1335</v>
      </c>
      <c r="R237">
        <v>0</v>
      </c>
      <c r="S237">
        <v>0</v>
      </c>
      <c r="T237">
        <v>0</v>
      </c>
      <c r="U237">
        <v>13</v>
      </c>
      <c r="V237">
        <v>0</v>
      </c>
      <c r="W237">
        <v>0</v>
      </c>
      <c r="X237">
        <v>60</v>
      </c>
      <c r="Y237">
        <v>0</v>
      </c>
      <c r="Z237">
        <v>0</v>
      </c>
      <c r="AA237">
        <v>90</v>
      </c>
      <c r="AB237">
        <v>0</v>
      </c>
      <c r="AC237">
        <v>49</v>
      </c>
      <c r="AD237">
        <v>15</v>
      </c>
      <c r="AE237">
        <v>227</v>
      </c>
      <c r="AF237">
        <v>66</v>
      </c>
      <c r="AJ237">
        <v>5.67</v>
      </c>
      <c r="AK237" t="str">
        <f t="shared" si="3"/>
        <v>AT371-6200</v>
      </c>
    </row>
    <row r="238" spans="1:37">
      <c r="A238" t="s">
        <v>466</v>
      </c>
      <c r="B238" t="s">
        <v>464</v>
      </c>
      <c r="C238" t="s">
        <v>275</v>
      </c>
      <c r="D238" t="s">
        <v>465</v>
      </c>
      <c r="E238">
        <v>43</v>
      </c>
      <c r="F238">
        <v>0</v>
      </c>
      <c r="G238">
        <v>0</v>
      </c>
      <c r="H238">
        <v>0</v>
      </c>
      <c r="I238">
        <v>61</v>
      </c>
      <c r="J238">
        <v>32</v>
      </c>
      <c r="K238">
        <v>2038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2038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366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14</v>
      </c>
      <c r="AD238">
        <v>6</v>
      </c>
      <c r="AE238">
        <v>386</v>
      </c>
      <c r="AF238">
        <v>29</v>
      </c>
      <c r="AJ238">
        <v>4.76</v>
      </c>
      <c r="AK238" t="str">
        <f t="shared" si="3"/>
        <v>AT391-6200</v>
      </c>
    </row>
    <row r="239" spans="1:37">
      <c r="A239" t="s">
        <v>467</v>
      </c>
      <c r="B239" t="s">
        <v>468</v>
      </c>
      <c r="C239" t="s">
        <v>329</v>
      </c>
      <c r="D239" t="s">
        <v>280</v>
      </c>
      <c r="E239">
        <v>50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79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79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90</v>
      </c>
      <c r="AJ239">
        <v>2.95</v>
      </c>
      <c r="AK239" t="str">
        <f t="shared" si="3"/>
        <v>AT400-5000</v>
      </c>
    </row>
    <row r="240" spans="1:37">
      <c r="A240" t="s">
        <v>469</v>
      </c>
      <c r="B240" t="s">
        <v>470</v>
      </c>
      <c r="C240" t="s">
        <v>110</v>
      </c>
      <c r="D240" t="s">
        <v>471</v>
      </c>
      <c r="E240">
        <v>50</v>
      </c>
      <c r="F240">
        <v>0</v>
      </c>
      <c r="G240">
        <v>0</v>
      </c>
      <c r="H240">
        <v>3</v>
      </c>
      <c r="I240">
        <v>5</v>
      </c>
      <c r="J240">
        <v>3</v>
      </c>
      <c r="K240">
        <v>0</v>
      </c>
      <c r="L240">
        <v>2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8</v>
      </c>
      <c r="V240">
        <v>0</v>
      </c>
      <c r="W240">
        <v>22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30</v>
      </c>
      <c r="AF240">
        <v>0</v>
      </c>
      <c r="AJ240">
        <v>4.18</v>
      </c>
      <c r="AK240" t="str">
        <f t="shared" si="3"/>
        <v>AT401-5000</v>
      </c>
    </row>
    <row r="241" spans="1:37">
      <c r="A241" t="s">
        <v>472</v>
      </c>
      <c r="B241" t="s">
        <v>470</v>
      </c>
      <c r="C241" t="s">
        <v>110</v>
      </c>
      <c r="D241" t="s">
        <v>471</v>
      </c>
      <c r="E241">
        <v>50</v>
      </c>
      <c r="F241">
        <v>7.4</v>
      </c>
      <c r="G241">
        <v>12</v>
      </c>
      <c r="H241">
        <v>11</v>
      </c>
      <c r="I241">
        <v>27</v>
      </c>
      <c r="J241">
        <v>14</v>
      </c>
      <c r="K241">
        <v>345</v>
      </c>
      <c r="L241">
        <v>14</v>
      </c>
      <c r="M241">
        <v>0</v>
      </c>
      <c r="N241">
        <v>10</v>
      </c>
      <c r="O241">
        <v>0</v>
      </c>
      <c r="P241">
        <v>0</v>
      </c>
      <c r="Q241">
        <v>335</v>
      </c>
      <c r="R241">
        <v>15</v>
      </c>
      <c r="S241">
        <v>10</v>
      </c>
      <c r="T241">
        <v>10</v>
      </c>
      <c r="U241">
        <v>14</v>
      </c>
      <c r="V241">
        <v>0</v>
      </c>
      <c r="W241">
        <v>91</v>
      </c>
      <c r="X241">
        <v>38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163</v>
      </c>
      <c r="AF241">
        <v>0</v>
      </c>
      <c r="AJ241">
        <v>10.41</v>
      </c>
      <c r="AK241" t="str">
        <f t="shared" si="3"/>
        <v>AT401-6200</v>
      </c>
    </row>
    <row r="242" spans="1:37">
      <c r="A242" t="s">
        <v>473</v>
      </c>
      <c r="B242" t="s">
        <v>474</v>
      </c>
      <c r="C242" t="s">
        <v>275</v>
      </c>
      <c r="E242">
        <v>43</v>
      </c>
      <c r="F242">
        <v>18.399999999999999</v>
      </c>
      <c r="G242">
        <v>22</v>
      </c>
      <c r="H242">
        <v>14</v>
      </c>
      <c r="I242">
        <v>7</v>
      </c>
      <c r="J242">
        <v>8</v>
      </c>
      <c r="K242">
        <v>1026</v>
      </c>
      <c r="L242">
        <v>0</v>
      </c>
      <c r="M242">
        <v>0</v>
      </c>
      <c r="N242">
        <v>19</v>
      </c>
      <c r="O242">
        <v>0</v>
      </c>
      <c r="P242">
        <v>0</v>
      </c>
      <c r="Q242">
        <v>1007</v>
      </c>
      <c r="R242">
        <v>0</v>
      </c>
      <c r="S242">
        <v>22</v>
      </c>
      <c r="T242">
        <v>0</v>
      </c>
      <c r="U242">
        <v>19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26</v>
      </c>
      <c r="AB242">
        <v>0</v>
      </c>
      <c r="AC242">
        <v>12</v>
      </c>
      <c r="AD242">
        <v>18</v>
      </c>
      <c r="AE242">
        <v>97</v>
      </c>
      <c r="AF242">
        <v>90</v>
      </c>
      <c r="AJ242">
        <v>3.45</v>
      </c>
      <c r="AK242" t="str">
        <f t="shared" si="3"/>
        <v>AT435-5000</v>
      </c>
    </row>
    <row r="243" spans="1:37">
      <c r="A243" t="s">
        <v>475</v>
      </c>
      <c r="B243" t="s">
        <v>474</v>
      </c>
      <c r="C243" t="s">
        <v>275</v>
      </c>
      <c r="E243">
        <v>43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2313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2313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29</v>
      </c>
      <c r="AJ243">
        <v>6.13</v>
      </c>
      <c r="AK243" t="str">
        <f t="shared" si="3"/>
        <v>AT435-6200</v>
      </c>
    </row>
    <row r="244" spans="1:37">
      <c r="A244" t="s">
        <v>476</v>
      </c>
      <c r="B244" t="s">
        <v>477</v>
      </c>
      <c r="C244" t="s">
        <v>329</v>
      </c>
      <c r="D244" t="s">
        <v>342</v>
      </c>
      <c r="E244">
        <v>50</v>
      </c>
      <c r="F244">
        <v>5.8</v>
      </c>
      <c r="G244">
        <v>13</v>
      </c>
      <c r="H244">
        <v>15</v>
      </c>
      <c r="I244">
        <v>8</v>
      </c>
      <c r="J244">
        <v>8</v>
      </c>
      <c r="K244">
        <v>360</v>
      </c>
      <c r="L244">
        <v>34</v>
      </c>
      <c r="M244">
        <v>0</v>
      </c>
      <c r="N244">
        <v>11</v>
      </c>
      <c r="O244">
        <v>0</v>
      </c>
      <c r="P244">
        <v>0</v>
      </c>
      <c r="Q244">
        <v>349</v>
      </c>
      <c r="R244">
        <v>37</v>
      </c>
      <c r="S244">
        <v>0</v>
      </c>
      <c r="T244">
        <v>34</v>
      </c>
      <c r="U244">
        <v>11</v>
      </c>
      <c r="V244">
        <v>0</v>
      </c>
      <c r="W244">
        <v>0</v>
      </c>
      <c r="X244">
        <v>0</v>
      </c>
      <c r="Y244">
        <v>21</v>
      </c>
      <c r="Z244">
        <v>10</v>
      </c>
      <c r="AA244">
        <v>7</v>
      </c>
      <c r="AB244">
        <v>0</v>
      </c>
      <c r="AC244">
        <v>16</v>
      </c>
      <c r="AD244">
        <v>0</v>
      </c>
      <c r="AE244">
        <v>99</v>
      </c>
      <c r="AF244">
        <v>496</v>
      </c>
      <c r="AJ244">
        <v>4.92</v>
      </c>
      <c r="AK244" t="str">
        <f t="shared" si="3"/>
        <v>AT440-5000</v>
      </c>
    </row>
    <row r="245" spans="1:37">
      <c r="A245" t="s">
        <v>478</v>
      </c>
      <c r="B245" t="s">
        <v>477</v>
      </c>
      <c r="C245" t="s">
        <v>329</v>
      </c>
      <c r="D245" t="s">
        <v>342</v>
      </c>
      <c r="E245">
        <v>50</v>
      </c>
      <c r="F245">
        <v>3.8</v>
      </c>
      <c r="G245">
        <v>32</v>
      </c>
      <c r="H245">
        <v>22</v>
      </c>
      <c r="I245">
        <v>20</v>
      </c>
      <c r="J245">
        <v>25</v>
      </c>
      <c r="K245">
        <v>364</v>
      </c>
      <c r="L245">
        <v>0</v>
      </c>
      <c r="M245">
        <v>0</v>
      </c>
      <c r="N245">
        <v>27</v>
      </c>
      <c r="O245">
        <v>0</v>
      </c>
      <c r="P245">
        <v>0</v>
      </c>
      <c r="Q245">
        <v>337</v>
      </c>
      <c r="R245">
        <v>0</v>
      </c>
      <c r="S245">
        <v>0</v>
      </c>
      <c r="T245">
        <v>66</v>
      </c>
      <c r="U245">
        <v>0</v>
      </c>
      <c r="V245">
        <v>35</v>
      </c>
      <c r="W245">
        <v>0</v>
      </c>
      <c r="X245">
        <v>19</v>
      </c>
      <c r="Y245">
        <v>22</v>
      </c>
      <c r="Z245">
        <v>0</v>
      </c>
      <c r="AA245">
        <v>0</v>
      </c>
      <c r="AB245">
        <v>61</v>
      </c>
      <c r="AC245">
        <v>63</v>
      </c>
      <c r="AD245">
        <v>31</v>
      </c>
      <c r="AE245">
        <v>297</v>
      </c>
      <c r="AF245">
        <v>259</v>
      </c>
      <c r="AJ245">
        <v>4.92</v>
      </c>
      <c r="AK245" t="str">
        <f t="shared" si="3"/>
        <v>AT440-6200</v>
      </c>
    </row>
    <row r="246" spans="1:37">
      <c r="A246" t="s">
        <v>479</v>
      </c>
      <c r="B246" t="s">
        <v>480</v>
      </c>
      <c r="C246" t="s">
        <v>313</v>
      </c>
      <c r="E246">
        <v>43</v>
      </c>
      <c r="F246">
        <v>4.9000000000000004</v>
      </c>
      <c r="G246">
        <v>0</v>
      </c>
      <c r="H246">
        <v>33</v>
      </c>
      <c r="I246">
        <v>17</v>
      </c>
      <c r="J246">
        <v>10</v>
      </c>
      <c r="K246">
        <v>657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657</v>
      </c>
      <c r="R246">
        <v>0</v>
      </c>
      <c r="S246">
        <v>0</v>
      </c>
      <c r="T246">
        <v>10</v>
      </c>
      <c r="U246">
        <v>90</v>
      </c>
      <c r="V246">
        <v>0</v>
      </c>
      <c r="W246">
        <v>0</v>
      </c>
      <c r="X246">
        <v>0</v>
      </c>
      <c r="Y246">
        <v>12</v>
      </c>
      <c r="Z246">
        <v>0</v>
      </c>
      <c r="AA246">
        <v>7</v>
      </c>
      <c r="AB246">
        <v>0</v>
      </c>
      <c r="AC246">
        <v>0</v>
      </c>
      <c r="AD246">
        <v>0</v>
      </c>
      <c r="AE246">
        <v>119</v>
      </c>
      <c r="AF246">
        <v>47</v>
      </c>
      <c r="AJ246">
        <v>6.55</v>
      </c>
      <c r="AK246" t="str">
        <f t="shared" si="3"/>
        <v>AT505-5000</v>
      </c>
    </row>
    <row r="247" spans="1:37">
      <c r="A247" t="s">
        <v>481</v>
      </c>
      <c r="B247" t="s">
        <v>480</v>
      </c>
      <c r="C247" t="s">
        <v>313</v>
      </c>
      <c r="E247">
        <v>43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2217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2217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J247">
        <v>6.55</v>
      </c>
      <c r="AK247" t="str">
        <f t="shared" si="3"/>
        <v>AT505-6200</v>
      </c>
    </row>
    <row r="248" spans="1:37">
      <c r="A248" t="s">
        <v>482</v>
      </c>
      <c r="B248" t="s">
        <v>483</v>
      </c>
      <c r="C248" t="s">
        <v>329</v>
      </c>
      <c r="D248" t="s">
        <v>484</v>
      </c>
      <c r="E248">
        <v>50</v>
      </c>
      <c r="F248">
        <v>0</v>
      </c>
      <c r="G248">
        <v>0</v>
      </c>
      <c r="H248">
        <v>0</v>
      </c>
      <c r="I248">
        <v>0</v>
      </c>
      <c r="J248">
        <v>1</v>
      </c>
      <c r="K248">
        <v>786</v>
      </c>
      <c r="L248">
        <v>6</v>
      </c>
      <c r="M248">
        <v>0</v>
      </c>
      <c r="N248">
        <v>0</v>
      </c>
      <c r="O248">
        <v>0</v>
      </c>
      <c r="P248">
        <v>0</v>
      </c>
      <c r="Q248">
        <v>786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1</v>
      </c>
      <c r="AC248">
        <v>14</v>
      </c>
      <c r="AD248">
        <v>0</v>
      </c>
      <c r="AE248">
        <v>15</v>
      </c>
      <c r="AF248">
        <v>0</v>
      </c>
      <c r="AJ248">
        <v>3.96</v>
      </c>
      <c r="AK248" t="str">
        <f t="shared" si="3"/>
        <v>AT610-5000</v>
      </c>
    </row>
    <row r="249" spans="1:37">
      <c r="A249" t="s">
        <v>485</v>
      </c>
      <c r="B249" t="s">
        <v>486</v>
      </c>
      <c r="C249" t="s">
        <v>275</v>
      </c>
      <c r="E249">
        <v>50</v>
      </c>
      <c r="F249">
        <v>4.5999999999999996</v>
      </c>
      <c r="G249">
        <v>19</v>
      </c>
      <c r="H249">
        <v>108</v>
      </c>
      <c r="I249">
        <v>100</v>
      </c>
      <c r="J249">
        <v>189</v>
      </c>
      <c r="K249">
        <v>1988</v>
      </c>
      <c r="L249">
        <v>198</v>
      </c>
      <c r="M249">
        <v>0</v>
      </c>
      <c r="N249">
        <v>16</v>
      </c>
      <c r="O249">
        <v>0</v>
      </c>
      <c r="P249">
        <v>0</v>
      </c>
      <c r="Q249">
        <v>1972</v>
      </c>
      <c r="R249">
        <v>0</v>
      </c>
      <c r="S249">
        <v>170</v>
      </c>
      <c r="T249">
        <v>60</v>
      </c>
      <c r="U249">
        <v>95</v>
      </c>
      <c r="V249">
        <v>0</v>
      </c>
      <c r="W249">
        <v>117</v>
      </c>
      <c r="X249">
        <v>160</v>
      </c>
      <c r="Y249">
        <v>162</v>
      </c>
      <c r="Z249">
        <v>16</v>
      </c>
      <c r="AA249">
        <v>262</v>
      </c>
      <c r="AB249">
        <v>1210</v>
      </c>
      <c r="AC249">
        <v>0</v>
      </c>
      <c r="AD249">
        <v>10</v>
      </c>
      <c r="AE249">
        <v>2262</v>
      </c>
      <c r="AF249">
        <v>3214</v>
      </c>
      <c r="AJ249">
        <v>5.23</v>
      </c>
      <c r="AK249" t="str">
        <f t="shared" si="3"/>
        <v>AT650-5000</v>
      </c>
    </row>
    <row r="250" spans="1:37">
      <c r="A250" t="s">
        <v>487</v>
      </c>
      <c r="B250" t="s">
        <v>486</v>
      </c>
      <c r="C250" t="s">
        <v>275</v>
      </c>
      <c r="E250">
        <v>50</v>
      </c>
      <c r="F250">
        <v>3.4</v>
      </c>
      <c r="G250">
        <v>83</v>
      </c>
      <c r="H250">
        <v>193</v>
      </c>
      <c r="I250">
        <v>136</v>
      </c>
      <c r="J250">
        <v>265</v>
      </c>
      <c r="K250">
        <v>2713</v>
      </c>
      <c r="L250">
        <v>29</v>
      </c>
      <c r="M250">
        <v>0</v>
      </c>
      <c r="N250">
        <v>69</v>
      </c>
      <c r="O250">
        <v>0</v>
      </c>
      <c r="P250">
        <v>0</v>
      </c>
      <c r="Q250">
        <v>2644</v>
      </c>
      <c r="R250">
        <v>0</v>
      </c>
      <c r="S250">
        <v>283</v>
      </c>
      <c r="T250">
        <v>81</v>
      </c>
      <c r="U250">
        <v>214</v>
      </c>
      <c r="V250">
        <v>0</v>
      </c>
      <c r="W250">
        <v>122</v>
      </c>
      <c r="X250">
        <v>116</v>
      </c>
      <c r="Y250">
        <v>0</v>
      </c>
      <c r="Z250">
        <v>207</v>
      </c>
      <c r="AA250">
        <v>405</v>
      </c>
      <c r="AB250">
        <v>1453</v>
      </c>
      <c r="AC250">
        <v>235</v>
      </c>
      <c r="AD250">
        <v>63</v>
      </c>
      <c r="AE250">
        <v>3179</v>
      </c>
      <c r="AF250">
        <v>3596</v>
      </c>
      <c r="AJ250">
        <v>5.23</v>
      </c>
      <c r="AK250" t="str">
        <f t="shared" si="3"/>
        <v>AT650-6200</v>
      </c>
    </row>
    <row r="251" spans="1:37">
      <c r="A251" t="s">
        <v>488</v>
      </c>
      <c r="B251" t="s">
        <v>489</v>
      </c>
      <c r="C251" t="s">
        <v>313</v>
      </c>
      <c r="D251" t="s">
        <v>314</v>
      </c>
      <c r="E251">
        <v>43</v>
      </c>
      <c r="F251">
        <v>1</v>
      </c>
      <c r="G251">
        <v>194</v>
      </c>
      <c r="H251">
        <v>123</v>
      </c>
      <c r="I251">
        <v>71</v>
      </c>
      <c r="J251">
        <v>95</v>
      </c>
      <c r="K251">
        <v>662</v>
      </c>
      <c r="L251">
        <v>307</v>
      </c>
      <c r="M251">
        <v>0</v>
      </c>
      <c r="N251">
        <v>162</v>
      </c>
      <c r="O251">
        <v>0</v>
      </c>
      <c r="P251">
        <v>0</v>
      </c>
      <c r="Q251">
        <v>500</v>
      </c>
      <c r="R251">
        <v>0</v>
      </c>
      <c r="S251">
        <v>241</v>
      </c>
      <c r="T251">
        <v>129</v>
      </c>
      <c r="U251">
        <v>0</v>
      </c>
      <c r="V251">
        <v>54</v>
      </c>
      <c r="W251">
        <v>0</v>
      </c>
      <c r="X251">
        <v>0</v>
      </c>
      <c r="Y251">
        <v>253</v>
      </c>
      <c r="Z251">
        <v>0</v>
      </c>
      <c r="AA251">
        <v>99</v>
      </c>
      <c r="AB251">
        <v>177</v>
      </c>
      <c r="AC251">
        <v>47</v>
      </c>
      <c r="AD251">
        <v>144</v>
      </c>
      <c r="AE251">
        <v>1144</v>
      </c>
      <c r="AF251">
        <v>977</v>
      </c>
      <c r="AJ251">
        <v>5.66</v>
      </c>
      <c r="AK251" t="str">
        <f t="shared" si="3"/>
        <v>AT660-5000</v>
      </c>
    </row>
    <row r="252" spans="1:37">
      <c r="A252" t="s">
        <v>490</v>
      </c>
      <c r="B252" t="s">
        <v>489</v>
      </c>
      <c r="C252" t="s">
        <v>313</v>
      </c>
      <c r="D252" t="s">
        <v>314</v>
      </c>
      <c r="E252">
        <v>43</v>
      </c>
      <c r="F252">
        <v>18.3</v>
      </c>
      <c r="G252">
        <v>0</v>
      </c>
      <c r="H252">
        <v>10</v>
      </c>
      <c r="I252">
        <v>5</v>
      </c>
      <c r="J252">
        <v>15</v>
      </c>
      <c r="K252">
        <v>709</v>
      </c>
      <c r="L252">
        <v>3</v>
      </c>
      <c r="M252">
        <v>0</v>
      </c>
      <c r="N252">
        <v>0</v>
      </c>
      <c r="O252">
        <v>0</v>
      </c>
      <c r="P252">
        <v>0</v>
      </c>
      <c r="Q252">
        <v>709</v>
      </c>
      <c r="R252">
        <v>0</v>
      </c>
      <c r="S252">
        <v>0</v>
      </c>
      <c r="T252">
        <v>0</v>
      </c>
      <c r="U252">
        <v>29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127</v>
      </c>
      <c r="AD252">
        <v>26</v>
      </c>
      <c r="AE252">
        <v>182</v>
      </c>
      <c r="AF252">
        <v>93</v>
      </c>
      <c r="AJ252">
        <v>5.41</v>
      </c>
      <c r="AK252" t="str">
        <f t="shared" si="3"/>
        <v>AT660-6200</v>
      </c>
    </row>
    <row r="253" spans="1:37">
      <c r="A253" t="s">
        <v>491</v>
      </c>
      <c r="B253" t="s">
        <v>492</v>
      </c>
      <c r="C253" t="s">
        <v>329</v>
      </c>
      <c r="E253">
        <v>50</v>
      </c>
      <c r="F253">
        <v>5.8</v>
      </c>
      <c r="G253">
        <v>96</v>
      </c>
      <c r="H253">
        <v>51</v>
      </c>
      <c r="I253">
        <v>68</v>
      </c>
      <c r="J253">
        <v>41</v>
      </c>
      <c r="K253">
        <v>1260</v>
      </c>
      <c r="L253">
        <v>0</v>
      </c>
      <c r="M253">
        <v>0</v>
      </c>
      <c r="N253">
        <v>80</v>
      </c>
      <c r="O253">
        <v>0</v>
      </c>
      <c r="P253">
        <v>121</v>
      </c>
      <c r="Q253">
        <v>1180</v>
      </c>
      <c r="R253">
        <v>0</v>
      </c>
      <c r="S253">
        <v>80</v>
      </c>
      <c r="T253">
        <v>72</v>
      </c>
      <c r="U253">
        <v>0</v>
      </c>
      <c r="V253">
        <v>47</v>
      </c>
      <c r="W253">
        <v>211</v>
      </c>
      <c r="X253">
        <v>0</v>
      </c>
      <c r="Y253">
        <v>0</v>
      </c>
      <c r="Z253">
        <v>0</v>
      </c>
      <c r="AA253">
        <v>0</v>
      </c>
      <c r="AB253">
        <v>78</v>
      </c>
      <c r="AC253">
        <v>0</v>
      </c>
      <c r="AD253">
        <v>0</v>
      </c>
      <c r="AE253">
        <v>488</v>
      </c>
      <c r="AF253">
        <v>1820</v>
      </c>
      <c r="AJ253">
        <v>6.14</v>
      </c>
      <c r="AK253" t="str">
        <f t="shared" si="3"/>
        <v>AT670-6200</v>
      </c>
    </row>
    <row r="254" spans="1:37">
      <c r="A254" t="s">
        <v>493</v>
      </c>
      <c r="B254" t="s">
        <v>494</v>
      </c>
      <c r="C254" t="s">
        <v>329</v>
      </c>
      <c r="E254">
        <v>50</v>
      </c>
      <c r="F254">
        <v>-0.2</v>
      </c>
      <c r="G254">
        <v>43</v>
      </c>
      <c r="H254">
        <v>36</v>
      </c>
      <c r="I254">
        <v>27</v>
      </c>
      <c r="J254">
        <v>58</v>
      </c>
      <c r="K254">
        <v>0</v>
      </c>
      <c r="L254">
        <v>1</v>
      </c>
      <c r="M254">
        <v>0</v>
      </c>
      <c r="N254">
        <v>36</v>
      </c>
      <c r="O254">
        <v>0</v>
      </c>
      <c r="P254">
        <v>0</v>
      </c>
      <c r="Q254">
        <v>-36</v>
      </c>
      <c r="R254">
        <v>0</v>
      </c>
      <c r="S254">
        <v>42</v>
      </c>
      <c r="T254">
        <v>67</v>
      </c>
      <c r="U254">
        <v>0</v>
      </c>
      <c r="V254">
        <v>0</v>
      </c>
      <c r="W254">
        <v>19</v>
      </c>
      <c r="X254">
        <v>35</v>
      </c>
      <c r="Y254">
        <v>350</v>
      </c>
      <c r="Z254">
        <v>0</v>
      </c>
      <c r="AA254">
        <v>0</v>
      </c>
      <c r="AB254">
        <v>0</v>
      </c>
      <c r="AC254">
        <v>171</v>
      </c>
      <c r="AD254">
        <v>15</v>
      </c>
      <c r="AE254">
        <v>699</v>
      </c>
      <c r="AF254">
        <v>272</v>
      </c>
      <c r="AJ254">
        <v>4.75</v>
      </c>
      <c r="AK254" t="str">
        <f t="shared" si="3"/>
        <v>AT680-5000</v>
      </c>
    </row>
    <row r="255" spans="1:37">
      <c r="A255" t="s">
        <v>495</v>
      </c>
      <c r="B255" t="s">
        <v>494</v>
      </c>
      <c r="C255" t="s">
        <v>329</v>
      </c>
      <c r="E255">
        <v>50</v>
      </c>
      <c r="F255">
        <v>19.2</v>
      </c>
      <c r="G255">
        <v>0</v>
      </c>
      <c r="H255">
        <v>17</v>
      </c>
      <c r="I255">
        <v>9</v>
      </c>
      <c r="J255">
        <v>8</v>
      </c>
      <c r="K255">
        <v>1330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1330</v>
      </c>
      <c r="R255">
        <v>0</v>
      </c>
      <c r="S255">
        <v>27</v>
      </c>
      <c r="T255">
        <v>7</v>
      </c>
      <c r="U255">
        <v>18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15</v>
      </c>
      <c r="AD255">
        <v>27</v>
      </c>
      <c r="AE255">
        <v>94</v>
      </c>
      <c r="AF255">
        <v>255</v>
      </c>
      <c r="AJ255">
        <v>3.15</v>
      </c>
      <c r="AK255" t="str">
        <f t="shared" si="3"/>
        <v>AT680-6200</v>
      </c>
    </row>
    <row r="256" spans="1:37">
      <c r="A256" t="s">
        <v>496</v>
      </c>
      <c r="B256" t="s">
        <v>497</v>
      </c>
      <c r="C256" t="s">
        <v>329</v>
      </c>
      <c r="E256">
        <v>50</v>
      </c>
      <c r="F256">
        <v>-1</v>
      </c>
      <c r="G256">
        <v>20</v>
      </c>
      <c r="H256">
        <v>4</v>
      </c>
      <c r="I256">
        <v>7</v>
      </c>
      <c r="J256">
        <v>16</v>
      </c>
      <c r="K256">
        <v>0</v>
      </c>
      <c r="L256">
        <v>3</v>
      </c>
      <c r="M256">
        <v>0</v>
      </c>
      <c r="N256">
        <v>16</v>
      </c>
      <c r="O256">
        <v>0</v>
      </c>
      <c r="P256">
        <v>0</v>
      </c>
      <c r="Q256">
        <v>-16</v>
      </c>
      <c r="R256">
        <v>0</v>
      </c>
      <c r="S256">
        <v>12</v>
      </c>
      <c r="T256">
        <v>0</v>
      </c>
      <c r="U256">
        <v>0</v>
      </c>
      <c r="V256">
        <v>0</v>
      </c>
      <c r="W256">
        <v>29</v>
      </c>
      <c r="X256">
        <v>0</v>
      </c>
      <c r="Y256">
        <v>52</v>
      </c>
      <c r="Z256">
        <v>0</v>
      </c>
      <c r="AA256">
        <v>0</v>
      </c>
      <c r="AB256">
        <v>26</v>
      </c>
      <c r="AC256">
        <v>0</v>
      </c>
      <c r="AD256">
        <v>77</v>
      </c>
      <c r="AE256">
        <v>196</v>
      </c>
      <c r="AF256">
        <v>422</v>
      </c>
      <c r="AJ256">
        <v>3.96</v>
      </c>
      <c r="AK256" t="str">
        <f t="shared" si="3"/>
        <v>AT710-5000</v>
      </c>
    </row>
    <row r="257" spans="1:37">
      <c r="A257" t="s">
        <v>498</v>
      </c>
      <c r="B257" t="s">
        <v>497</v>
      </c>
      <c r="C257" t="s">
        <v>329</v>
      </c>
      <c r="E257">
        <v>50</v>
      </c>
      <c r="F257">
        <v>0</v>
      </c>
      <c r="G257">
        <v>32</v>
      </c>
      <c r="H257">
        <v>0</v>
      </c>
      <c r="I257">
        <v>13</v>
      </c>
      <c r="J257">
        <v>9</v>
      </c>
      <c r="K257">
        <v>700</v>
      </c>
      <c r="L257">
        <v>12</v>
      </c>
      <c r="M257">
        <v>0</v>
      </c>
      <c r="N257">
        <v>27</v>
      </c>
      <c r="O257">
        <v>0</v>
      </c>
      <c r="P257">
        <v>0</v>
      </c>
      <c r="Q257">
        <v>673</v>
      </c>
      <c r="R257">
        <v>0</v>
      </c>
      <c r="S257">
        <v>0</v>
      </c>
      <c r="T257">
        <v>0</v>
      </c>
      <c r="U257">
        <v>0</v>
      </c>
      <c r="V257">
        <v>44</v>
      </c>
      <c r="W257">
        <v>6</v>
      </c>
      <c r="X257">
        <v>29</v>
      </c>
      <c r="Y257">
        <v>31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110</v>
      </c>
      <c r="AF257">
        <v>216</v>
      </c>
      <c r="AJ257">
        <v>4.92</v>
      </c>
      <c r="AK257" t="str">
        <f t="shared" si="3"/>
        <v>AT710-6200</v>
      </c>
    </row>
    <row r="258" spans="1:37">
      <c r="A258" t="s">
        <v>499</v>
      </c>
      <c r="B258" t="s">
        <v>500</v>
      </c>
      <c r="C258" t="s">
        <v>329</v>
      </c>
      <c r="D258" t="s">
        <v>280</v>
      </c>
      <c r="E258">
        <v>50</v>
      </c>
      <c r="F258">
        <v>0</v>
      </c>
      <c r="G258">
        <v>0</v>
      </c>
      <c r="H258">
        <v>0</v>
      </c>
      <c r="I258">
        <v>0</v>
      </c>
      <c r="J258">
        <v>2</v>
      </c>
      <c r="K258">
        <v>748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748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17</v>
      </c>
      <c r="AD258">
        <v>6</v>
      </c>
      <c r="AE258">
        <v>23</v>
      </c>
      <c r="AF258">
        <v>24</v>
      </c>
      <c r="AJ258">
        <v>2.95</v>
      </c>
      <c r="AK258" t="str">
        <f t="shared" si="3"/>
        <v>AT740-5000</v>
      </c>
    </row>
    <row r="259" spans="1:37">
      <c r="A259" t="s">
        <v>501</v>
      </c>
      <c r="B259" t="s">
        <v>502</v>
      </c>
      <c r="C259" t="s">
        <v>329</v>
      </c>
      <c r="D259" t="s">
        <v>503</v>
      </c>
      <c r="E259">
        <v>50</v>
      </c>
      <c r="F259">
        <v>4.0999999999999996</v>
      </c>
      <c r="G259">
        <v>0</v>
      </c>
      <c r="H259">
        <v>52</v>
      </c>
      <c r="I259">
        <v>45</v>
      </c>
      <c r="J259">
        <v>36</v>
      </c>
      <c r="K259">
        <v>849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849</v>
      </c>
      <c r="R259">
        <v>0</v>
      </c>
      <c r="S259">
        <v>86</v>
      </c>
      <c r="T259">
        <v>71</v>
      </c>
      <c r="U259">
        <v>0</v>
      </c>
      <c r="V259">
        <v>115</v>
      </c>
      <c r="W259">
        <v>0</v>
      </c>
      <c r="X259">
        <v>0</v>
      </c>
      <c r="Y259">
        <v>0</v>
      </c>
      <c r="Z259">
        <v>64</v>
      </c>
      <c r="AA259">
        <v>92</v>
      </c>
      <c r="AB259">
        <v>0</v>
      </c>
      <c r="AC259">
        <v>0</v>
      </c>
      <c r="AD259">
        <v>0</v>
      </c>
      <c r="AE259">
        <v>428</v>
      </c>
      <c r="AF259">
        <v>1558</v>
      </c>
      <c r="AJ259">
        <v>6.14</v>
      </c>
      <c r="AK259" t="str">
        <f t="shared" si="3"/>
        <v>AT760-6200</v>
      </c>
    </row>
    <row r="260" spans="1:37">
      <c r="A260" t="s">
        <v>504</v>
      </c>
      <c r="B260" t="s">
        <v>505</v>
      </c>
      <c r="C260" t="s">
        <v>267</v>
      </c>
      <c r="E260">
        <v>50</v>
      </c>
      <c r="F260">
        <v>115</v>
      </c>
      <c r="G260">
        <v>0</v>
      </c>
      <c r="H260">
        <v>2</v>
      </c>
      <c r="I260">
        <v>14</v>
      </c>
      <c r="J260">
        <v>10</v>
      </c>
      <c r="K260">
        <v>1073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1073</v>
      </c>
      <c r="R260">
        <v>0</v>
      </c>
      <c r="S260">
        <v>0</v>
      </c>
      <c r="T260">
        <v>7</v>
      </c>
      <c r="U260">
        <v>0</v>
      </c>
      <c r="V260">
        <v>0</v>
      </c>
      <c r="W260">
        <v>76</v>
      </c>
      <c r="X260">
        <v>0</v>
      </c>
      <c r="Y260">
        <v>15</v>
      </c>
      <c r="Z260">
        <v>0</v>
      </c>
      <c r="AA260">
        <v>0</v>
      </c>
      <c r="AB260">
        <v>0</v>
      </c>
      <c r="AC260">
        <v>15</v>
      </c>
      <c r="AD260">
        <v>6</v>
      </c>
      <c r="AE260">
        <v>119</v>
      </c>
      <c r="AF260">
        <v>129</v>
      </c>
      <c r="AJ260">
        <v>5.9</v>
      </c>
      <c r="AK260" t="str">
        <f t="shared" si="3"/>
        <v>AT840-5000</v>
      </c>
    </row>
    <row r="261" spans="1:37">
      <c r="A261" t="s">
        <v>506</v>
      </c>
      <c r="B261" t="s">
        <v>505</v>
      </c>
      <c r="C261" t="s">
        <v>267</v>
      </c>
      <c r="E261">
        <v>50</v>
      </c>
      <c r="F261">
        <v>0</v>
      </c>
      <c r="G261">
        <v>0</v>
      </c>
      <c r="H261">
        <v>0</v>
      </c>
      <c r="I261">
        <v>6</v>
      </c>
      <c r="J261">
        <v>8</v>
      </c>
      <c r="K261">
        <v>2828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2828</v>
      </c>
      <c r="R261">
        <v>0</v>
      </c>
      <c r="S261">
        <v>0</v>
      </c>
      <c r="T261">
        <v>0</v>
      </c>
      <c r="U261">
        <v>0</v>
      </c>
      <c r="V261">
        <v>35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66</v>
      </c>
      <c r="AC261">
        <v>0</v>
      </c>
      <c r="AD261">
        <v>0</v>
      </c>
      <c r="AE261">
        <v>101</v>
      </c>
      <c r="AF261">
        <v>0</v>
      </c>
      <c r="AJ261">
        <v>6.59</v>
      </c>
      <c r="AK261" t="str">
        <f t="shared" ref="AK261:AK324" si="4">MID(A261,4,10)</f>
        <v>AT840-6200</v>
      </c>
    </row>
    <row r="262" spans="1:37">
      <c r="A262" t="s">
        <v>507</v>
      </c>
      <c r="B262" t="s">
        <v>508</v>
      </c>
      <c r="C262" t="s">
        <v>313</v>
      </c>
      <c r="E262">
        <v>43</v>
      </c>
      <c r="F262">
        <v>0</v>
      </c>
      <c r="G262">
        <v>0</v>
      </c>
      <c r="H262">
        <v>0</v>
      </c>
      <c r="I262">
        <v>3</v>
      </c>
      <c r="J262">
        <v>4</v>
      </c>
      <c r="K262">
        <v>721</v>
      </c>
      <c r="L262">
        <v>2</v>
      </c>
      <c r="M262">
        <v>0</v>
      </c>
      <c r="N262">
        <v>0</v>
      </c>
      <c r="O262">
        <v>0</v>
      </c>
      <c r="P262">
        <v>0</v>
      </c>
      <c r="Q262">
        <v>721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19</v>
      </c>
      <c r="X262">
        <v>0</v>
      </c>
      <c r="Y262">
        <v>9</v>
      </c>
      <c r="Z262">
        <v>0</v>
      </c>
      <c r="AA262">
        <v>4</v>
      </c>
      <c r="AB262">
        <v>15</v>
      </c>
      <c r="AC262">
        <v>0</v>
      </c>
      <c r="AD262">
        <v>0</v>
      </c>
      <c r="AE262">
        <v>47</v>
      </c>
      <c r="AF262">
        <v>65</v>
      </c>
      <c r="AJ262">
        <v>6.55</v>
      </c>
      <c r="AK262" t="str">
        <f t="shared" si="4"/>
        <v>AT861-5000</v>
      </c>
    </row>
    <row r="263" spans="1:37">
      <c r="A263" t="s">
        <v>509</v>
      </c>
      <c r="B263" t="s">
        <v>508</v>
      </c>
      <c r="C263" t="s">
        <v>313</v>
      </c>
      <c r="E263">
        <v>43</v>
      </c>
      <c r="F263">
        <v>0</v>
      </c>
      <c r="G263">
        <v>0</v>
      </c>
      <c r="H263">
        <v>0</v>
      </c>
      <c r="I263">
        <v>3</v>
      </c>
      <c r="J263">
        <v>2</v>
      </c>
      <c r="K263">
        <v>2343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2343</v>
      </c>
      <c r="R263">
        <v>0</v>
      </c>
      <c r="S263">
        <v>0</v>
      </c>
      <c r="T263">
        <v>0</v>
      </c>
      <c r="U263">
        <v>0</v>
      </c>
      <c r="V263">
        <v>20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20</v>
      </c>
      <c r="AF263">
        <v>24</v>
      </c>
      <c r="AJ263">
        <v>6.55</v>
      </c>
      <c r="AK263" t="str">
        <f t="shared" si="4"/>
        <v>AT861-6200</v>
      </c>
    </row>
    <row r="264" spans="1:37">
      <c r="A264" t="s">
        <v>510</v>
      </c>
      <c r="B264" t="s">
        <v>511</v>
      </c>
      <c r="C264" t="s">
        <v>110</v>
      </c>
      <c r="D264" t="s">
        <v>342</v>
      </c>
      <c r="E264">
        <v>43</v>
      </c>
      <c r="F264">
        <v>0</v>
      </c>
      <c r="G264">
        <v>19</v>
      </c>
      <c r="H264">
        <v>80</v>
      </c>
      <c r="I264">
        <v>40</v>
      </c>
      <c r="J264">
        <v>32</v>
      </c>
      <c r="K264">
        <v>0</v>
      </c>
      <c r="L264">
        <v>140</v>
      </c>
      <c r="M264">
        <v>0</v>
      </c>
      <c r="N264">
        <v>16</v>
      </c>
      <c r="O264">
        <v>0</v>
      </c>
      <c r="P264">
        <v>0</v>
      </c>
      <c r="Q264">
        <v>-16</v>
      </c>
      <c r="R264">
        <v>8</v>
      </c>
      <c r="S264">
        <v>169</v>
      </c>
      <c r="T264">
        <v>52</v>
      </c>
      <c r="U264">
        <v>20</v>
      </c>
      <c r="V264">
        <v>0</v>
      </c>
      <c r="W264">
        <v>0</v>
      </c>
      <c r="X264">
        <v>0</v>
      </c>
      <c r="Y264">
        <v>0</v>
      </c>
      <c r="Z264">
        <v>34</v>
      </c>
      <c r="AA264">
        <v>22</v>
      </c>
      <c r="AB264">
        <v>24</v>
      </c>
      <c r="AC264">
        <v>46</v>
      </c>
      <c r="AD264">
        <v>15</v>
      </c>
      <c r="AE264">
        <v>382</v>
      </c>
      <c r="AF264">
        <v>764</v>
      </c>
      <c r="AJ264">
        <v>4.25</v>
      </c>
      <c r="AK264" t="str">
        <f t="shared" si="4"/>
        <v>AT965-5000</v>
      </c>
    </row>
    <row r="265" spans="1:37">
      <c r="A265" t="s">
        <v>512</v>
      </c>
      <c r="B265" t="s">
        <v>511</v>
      </c>
      <c r="C265" t="s">
        <v>110</v>
      </c>
      <c r="D265" t="s">
        <v>342</v>
      </c>
      <c r="E265">
        <v>43</v>
      </c>
      <c r="F265">
        <v>4.9000000000000004</v>
      </c>
      <c r="G265">
        <v>0</v>
      </c>
      <c r="H265">
        <v>42</v>
      </c>
      <c r="I265">
        <v>23</v>
      </c>
      <c r="J265">
        <v>23</v>
      </c>
      <c r="K265">
        <v>823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823</v>
      </c>
      <c r="R265">
        <v>0</v>
      </c>
      <c r="S265">
        <v>19</v>
      </c>
      <c r="T265">
        <v>92</v>
      </c>
      <c r="U265">
        <v>15</v>
      </c>
      <c r="V265">
        <v>0</v>
      </c>
      <c r="W265">
        <v>0</v>
      </c>
      <c r="X265">
        <v>11</v>
      </c>
      <c r="Y265">
        <v>6</v>
      </c>
      <c r="Z265">
        <v>43</v>
      </c>
      <c r="AA265">
        <v>0</v>
      </c>
      <c r="AB265">
        <v>8</v>
      </c>
      <c r="AC265">
        <v>36</v>
      </c>
      <c r="AD265">
        <v>50</v>
      </c>
      <c r="AE265">
        <v>280</v>
      </c>
      <c r="AF265">
        <v>286</v>
      </c>
      <c r="AJ265">
        <v>4.25</v>
      </c>
      <c r="AK265" t="str">
        <f t="shared" si="4"/>
        <v>AT965-6200</v>
      </c>
    </row>
    <row r="266" spans="1:37">
      <c r="A266" t="s">
        <v>513</v>
      </c>
      <c r="B266" t="s">
        <v>514</v>
      </c>
      <c r="C266" t="s">
        <v>325</v>
      </c>
      <c r="E266">
        <v>43</v>
      </c>
      <c r="F266">
        <v>144</v>
      </c>
      <c r="G266">
        <v>0</v>
      </c>
      <c r="H266">
        <v>3</v>
      </c>
      <c r="I266">
        <v>2</v>
      </c>
      <c r="J266">
        <v>3</v>
      </c>
      <c r="K266">
        <v>1728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1728</v>
      </c>
      <c r="R266">
        <v>0</v>
      </c>
      <c r="S266">
        <v>0</v>
      </c>
      <c r="T266">
        <v>0</v>
      </c>
      <c r="U266">
        <v>9</v>
      </c>
      <c r="V266">
        <v>0</v>
      </c>
      <c r="W266">
        <v>0</v>
      </c>
      <c r="X266">
        <v>0</v>
      </c>
      <c r="Y266">
        <v>8</v>
      </c>
      <c r="Z266">
        <v>0</v>
      </c>
      <c r="AA266">
        <v>7</v>
      </c>
      <c r="AB266">
        <v>0</v>
      </c>
      <c r="AC266">
        <v>13</v>
      </c>
      <c r="AD266">
        <v>0</v>
      </c>
      <c r="AE266">
        <v>37</v>
      </c>
      <c r="AF266">
        <v>35</v>
      </c>
      <c r="AJ266">
        <v>2.95</v>
      </c>
      <c r="AK266" t="str">
        <f t="shared" si="4"/>
        <v>AT970-5000</v>
      </c>
    </row>
    <row r="267" spans="1:37">
      <c r="A267" t="s">
        <v>515</v>
      </c>
      <c r="B267" t="s">
        <v>514</v>
      </c>
      <c r="C267" t="s">
        <v>325</v>
      </c>
      <c r="E267">
        <v>43</v>
      </c>
      <c r="F267">
        <v>25.8</v>
      </c>
      <c r="G267">
        <v>0</v>
      </c>
      <c r="H267">
        <v>21</v>
      </c>
      <c r="I267">
        <v>10</v>
      </c>
      <c r="J267">
        <v>5</v>
      </c>
      <c r="K267">
        <v>2129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2129</v>
      </c>
      <c r="R267">
        <v>0</v>
      </c>
      <c r="S267">
        <v>14</v>
      </c>
      <c r="T267">
        <v>48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62</v>
      </c>
      <c r="AF267">
        <v>103</v>
      </c>
      <c r="AJ267">
        <v>2.95</v>
      </c>
      <c r="AK267" t="str">
        <f t="shared" si="4"/>
        <v>AT970-6200</v>
      </c>
    </row>
    <row r="268" spans="1:37">
      <c r="A268" t="s">
        <v>516</v>
      </c>
      <c r="B268" t="s">
        <v>517</v>
      </c>
      <c r="C268" t="s">
        <v>275</v>
      </c>
      <c r="D268" t="s">
        <v>447</v>
      </c>
      <c r="E268">
        <v>45</v>
      </c>
      <c r="F268">
        <v>2.2999999999999998</v>
      </c>
      <c r="G268">
        <v>43</v>
      </c>
      <c r="H268">
        <v>63</v>
      </c>
      <c r="I268">
        <v>44</v>
      </c>
      <c r="J268">
        <v>33</v>
      </c>
      <c r="K268">
        <v>610</v>
      </c>
      <c r="L268">
        <v>47</v>
      </c>
      <c r="M268">
        <v>0</v>
      </c>
      <c r="N268">
        <v>36</v>
      </c>
      <c r="O268">
        <v>0</v>
      </c>
      <c r="P268">
        <v>0</v>
      </c>
      <c r="Q268">
        <v>574</v>
      </c>
      <c r="R268">
        <v>0</v>
      </c>
      <c r="S268">
        <v>0</v>
      </c>
      <c r="T268">
        <v>51</v>
      </c>
      <c r="U268">
        <v>138</v>
      </c>
      <c r="V268">
        <v>27</v>
      </c>
      <c r="W268">
        <v>0</v>
      </c>
      <c r="X268">
        <v>47</v>
      </c>
      <c r="Y268">
        <v>0</v>
      </c>
      <c r="Z268">
        <v>0</v>
      </c>
      <c r="AA268">
        <v>0</v>
      </c>
      <c r="AB268">
        <v>106</v>
      </c>
      <c r="AC268">
        <v>21</v>
      </c>
      <c r="AD268">
        <v>5</v>
      </c>
      <c r="AE268">
        <v>395</v>
      </c>
      <c r="AF268">
        <v>253</v>
      </c>
      <c r="AJ268">
        <v>6.27</v>
      </c>
      <c r="AK268" t="str">
        <f t="shared" si="4"/>
        <v>AT981-5000</v>
      </c>
    </row>
    <row r="269" spans="1:37">
      <c r="A269" t="s">
        <v>518</v>
      </c>
      <c r="B269" t="s">
        <v>517</v>
      </c>
      <c r="C269" t="s">
        <v>275</v>
      </c>
      <c r="D269" t="s">
        <v>447</v>
      </c>
      <c r="E269">
        <v>45</v>
      </c>
      <c r="F269">
        <v>0</v>
      </c>
      <c r="G269">
        <v>0</v>
      </c>
      <c r="H269">
        <v>0</v>
      </c>
      <c r="I269">
        <v>11</v>
      </c>
      <c r="J269">
        <v>9</v>
      </c>
      <c r="K269">
        <v>1810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1810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64</v>
      </c>
      <c r="X269">
        <v>0</v>
      </c>
      <c r="Y269">
        <v>13</v>
      </c>
      <c r="Z269">
        <v>0</v>
      </c>
      <c r="AA269">
        <v>28</v>
      </c>
      <c r="AB269">
        <v>0</v>
      </c>
      <c r="AC269">
        <v>0</v>
      </c>
      <c r="AD269">
        <v>0</v>
      </c>
      <c r="AE269">
        <v>105</v>
      </c>
      <c r="AF269">
        <v>158</v>
      </c>
      <c r="AJ269">
        <v>6.27</v>
      </c>
      <c r="AK269" t="str">
        <f t="shared" si="4"/>
        <v>AT981-6200</v>
      </c>
    </row>
    <row r="270" spans="1:37">
      <c r="A270" t="s">
        <v>519</v>
      </c>
      <c r="B270" t="s">
        <v>520</v>
      </c>
      <c r="C270" t="s">
        <v>267</v>
      </c>
      <c r="D270" t="s">
        <v>521</v>
      </c>
      <c r="E270">
        <v>50</v>
      </c>
      <c r="F270">
        <v>10</v>
      </c>
      <c r="G270">
        <v>22</v>
      </c>
      <c r="H270">
        <v>42</v>
      </c>
      <c r="I270">
        <v>49</v>
      </c>
      <c r="J270">
        <v>44</v>
      </c>
      <c r="K270">
        <v>1703</v>
      </c>
      <c r="L270">
        <v>42</v>
      </c>
      <c r="M270">
        <v>0</v>
      </c>
      <c r="N270">
        <v>18</v>
      </c>
      <c r="O270">
        <v>0</v>
      </c>
      <c r="P270">
        <v>0</v>
      </c>
      <c r="Q270">
        <v>1685</v>
      </c>
      <c r="R270">
        <v>0</v>
      </c>
      <c r="S270">
        <v>37</v>
      </c>
      <c r="T270">
        <v>82</v>
      </c>
      <c r="U270">
        <v>8</v>
      </c>
      <c r="V270">
        <v>96</v>
      </c>
      <c r="W270">
        <v>0</v>
      </c>
      <c r="X270">
        <v>69</v>
      </c>
      <c r="Y270">
        <v>42</v>
      </c>
      <c r="Z270">
        <v>28</v>
      </c>
      <c r="AA270">
        <v>0</v>
      </c>
      <c r="AB270">
        <v>0</v>
      </c>
      <c r="AC270">
        <v>62</v>
      </c>
      <c r="AD270">
        <v>106</v>
      </c>
      <c r="AE270">
        <v>530</v>
      </c>
      <c r="AF270">
        <v>971</v>
      </c>
      <c r="AJ270">
        <v>5.45</v>
      </c>
      <c r="AK270" t="str">
        <f t="shared" si="4"/>
        <v>AT988-5000</v>
      </c>
    </row>
    <row r="271" spans="1:37">
      <c r="A271" t="s">
        <v>522</v>
      </c>
      <c r="B271" t="s">
        <v>520</v>
      </c>
      <c r="C271" t="s">
        <v>267</v>
      </c>
      <c r="D271" t="s">
        <v>284</v>
      </c>
      <c r="E271">
        <v>50</v>
      </c>
      <c r="F271">
        <v>3.3</v>
      </c>
      <c r="G271">
        <v>83</v>
      </c>
      <c r="H271">
        <v>53</v>
      </c>
      <c r="I271">
        <v>56</v>
      </c>
      <c r="J271">
        <v>37</v>
      </c>
      <c r="K271">
        <v>765</v>
      </c>
      <c r="L271">
        <v>33</v>
      </c>
      <c r="M271">
        <v>0</v>
      </c>
      <c r="N271">
        <v>69</v>
      </c>
      <c r="O271">
        <v>0</v>
      </c>
      <c r="P271">
        <v>0</v>
      </c>
      <c r="Q271">
        <v>696</v>
      </c>
      <c r="R271">
        <v>0</v>
      </c>
      <c r="S271">
        <v>89</v>
      </c>
      <c r="T271">
        <v>0</v>
      </c>
      <c r="U271">
        <v>71</v>
      </c>
      <c r="V271">
        <v>133</v>
      </c>
      <c r="W271">
        <v>42</v>
      </c>
      <c r="X271">
        <v>0</v>
      </c>
      <c r="Y271">
        <v>0</v>
      </c>
      <c r="Z271">
        <v>86</v>
      </c>
      <c r="AA271">
        <v>14</v>
      </c>
      <c r="AB271">
        <v>0</v>
      </c>
      <c r="AC271">
        <v>0</v>
      </c>
      <c r="AD271">
        <v>11</v>
      </c>
      <c r="AE271">
        <v>446</v>
      </c>
      <c r="AF271">
        <v>1554</v>
      </c>
      <c r="AJ271">
        <v>5.95</v>
      </c>
      <c r="AK271" t="str">
        <f t="shared" si="4"/>
        <v>AT988-6200</v>
      </c>
    </row>
    <row r="272" spans="1:37">
      <c r="A272" t="s">
        <v>523</v>
      </c>
      <c r="B272" t="s">
        <v>524</v>
      </c>
      <c r="C272" t="s">
        <v>275</v>
      </c>
      <c r="D272" t="s">
        <v>292</v>
      </c>
      <c r="E272">
        <v>50</v>
      </c>
      <c r="F272">
        <v>14.3</v>
      </c>
      <c r="G272">
        <v>26</v>
      </c>
      <c r="H272">
        <v>18</v>
      </c>
      <c r="I272">
        <v>13</v>
      </c>
      <c r="J272">
        <v>18</v>
      </c>
      <c r="K272">
        <v>1031</v>
      </c>
      <c r="L272">
        <v>15</v>
      </c>
      <c r="M272">
        <v>0</v>
      </c>
      <c r="N272">
        <v>22</v>
      </c>
      <c r="O272">
        <v>0</v>
      </c>
      <c r="P272">
        <v>0</v>
      </c>
      <c r="Q272">
        <v>1009</v>
      </c>
      <c r="R272">
        <v>0</v>
      </c>
      <c r="S272">
        <v>0</v>
      </c>
      <c r="T272">
        <v>53</v>
      </c>
      <c r="U272">
        <v>0</v>
      </c>
      <c r="V272">
        <v>0</v>
      </c>
      <c r="W272">
        <v>0</v>
      </c>
      <c r="X272">
        <v>25</v>
      </c>
      <c r="Y272">
        <v>78</v>
      </c>
      <c r="Z272">
        <v>0</v>
      </c>
      <c r="AA272">
        <v>24</v>
      </c>
      <c r="AB272">
        <v>13</v>
      </c>
      <c r="AC272">
        <v>13</v>
      </c>
      <c r="AD272">
        <v>9</v>
      </c>
      <c r="AE272">
        <v>215</v>
      </c>
      <c r="AF272">
        <v>495</v>
      </c>
      <c r="AJ272">
        <v>5.84</v>
      </c>
      <c r="AK272" t="str">
        <f t="shared" si="4"/>
        <v>AT991-5000</v>
      </c>
    </row>
    <row r="273" spans="1:37">
      <c r="A273" t="s">
        <v>525</v>
      </c>
      <c r="B273" t="s">
        <v>524</v>
      </c>
      <c r="C273" t="s">
        <v>275</v>
      </c>
      <c r="D273" t="s">
        <v>447</v>
      </c>
      <c r="E273">
        <v>50</v>
      </c>
      <c r="F273">
        <v>22.2</v>
      </c>
      <c r="G273">
        <v>16</v>
      </c>
      <c r="H273">
        <v>17</v>
      </c>
      <c r="I273">
        <v>16</v>
      </c>
      <c r="J273">
        <v>17</v>
      </c>
      <c r="K273">
        <v>1550</v>
      </c>
      <c r="L273">
        <v>10</v>
      </c>
      <c r="M273">
        <v>0</v>
      </c>
      <c r="N273">
        <v>13</v>
      </c>
      <c r="O273">
        <v>0</v>
      </c>
      <c r="P273">
        <v>0</v>
      </c>
      <c r="Q273">
        <v>1537</v>
      </c>
      <c r="R273">
        <v>0</v>
      </c>
      <c r="S273">
        <v>14</v>
      </c>
      <c r="T273">
        <v>38</v>
      </c>
      <c r="U273">
        <v>0</v>
      </c>
      <c r="V273">
        <v>9</v>
      </c>
      <c r="W273">
        <v>35</v>
      </c>
      <c r="X273">
        <v>0</v>
      </c>
      <c r="Y273">
        <v>0</v>
      </c>
      <c r="Z273">
        <v>0</v>
      </c>
      <c r="AA273">
        <v>78</v>
      </c>
      <c r="AB273">
        <v>35</v>
      </c>
      <c r="AC273">
        <v>0</v>
      </c>
      <c r="AD273">
        <v>0</v>
      </c>
      <c r="AE273">
        <v>209</v>
      </c>
      <c r="AF273">
        <v>586</v>
      </c>
      <c r="AJ273">
        <v>5.84</v>
      </c>
      <c r="AK273" t="str">
        <f t="shared" si="4"/>
        <v>AT991-6200</v>
      </c>
    </row>
    <row r="274" spans="1:37">
      <c r="A274" t="s">
        <v>526</v>
      </c>
      <c r="B274" t="s">
        <v>527</v>
      </c>
      <c r="C274" t="s">
        <v>267</v>
      </c>
      <c r="D274" t="s">
        <v>458</v>
      </c>
      <c r="E274">
        <v>50</v>
      </c>
      <c r="F274">
        <v>0</v>
      </c>
      <c r="G274">
        <v>0</v>
      </c>
      <c r="H274">
        <v>2</v>
      </c>
      <c r="I274">
        <v>3</v>
      </c>
      <c r="J274">
        <v>1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7</v>
      </c>
      <c r="T274">
        <v>0</v>
      </c>
      <c r="U274">
        <v>0</v>
      </c>
      <c r="V274">
        <v>0</v>
      </c>
      <c r="W274">
        <v>0</v>
      </c>
      <c r="X274">
        <v>8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15</v>
      </c>
      <c r="AF274">
        <v>19</v>
      </c>
      <c r="AJ274">
        <v>5.51</v>
      </c>
      <c r="AK274" t="str">
        <f t="shared" si="4"/>
        <v>AV100-5000</v>
      </c>
    </row>
    <row r="275" spans="1:37">
      <c r="A275" t="s">
        <v>528</v>
      </c>
      <c r="B275" t="s">
        <v>527</v>
      </c>
      <c r="C275" t="s">
        <v>267</v>
      </c>
      <c r="D275" t="s">
        <v>458</v>
      </c>
      <c r="E275">
        <v>50</v>
      </c>
      <c r="F275">
        <v>0</v>
      </c>
      <c r="G275">
        <v>0</v>
      </c>
      <c r="H275">
        <v>0</v>
      </c>
      <c r="I275">
        <v>4</v>
      </c>
      <c r="J275">
        <v>3</v>
      </c>
      <c r="K275">
        <v>584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584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24</v>
      </c>
      <c r="X275">
        <v>0</v>
      </c>
      <c r="Y275">
        <v>0</v>
      </c>
      <c r="Z275">
        <v>0</v>
      </c>
      <c r="AA275">
        <v>0</v>
      </c>
      <c r="AB275">
        <v>12</v>
      </c>
      <c r="AC275">
        <v>0</v>
      </c>
      <c r="AD275">
        <v>0</v>
      </c>
      <c r="AE275">
        <v>36</v>
      </c>
      <c r="AF275">
        <v>0</v>
      </c>
      <c r="AJ275">
        <v>5.51</v>
      </c>
      <c r="AK275" t="str">
        <f t="shared" si="4"/>
        <v>AV100-6200</v>
      </c>
    </row>
    <row r="276" spans="1:37">
      <c r="A276" t="s">
        <v>529</v>
      </c>
      <c r="B276" t="s">
        <v>530</v>
      </c>
      <c r="C276" t="s">
        <v>313</v>
      </c>
      <c r="D276" t="s">
        <v>388</v>
      </c>
      <c r="E276">
        <v>43</v>
      </c>
      <c r="F276">
        <v>4.2</v>
      </c>
      <c r="G276">
        <v>0</v>
      </c>
      <c r="H276">
        <v>7</v>
      </c>
      <c r="I276">
        <v>3</v>
      </c>
      <c r="J276">
        <v>2</v>
      </c>
      <c r="K276">
        <v>113</v>
      </c>
      <c r="L276">
        <v>7</v>
      </c>
      <c r="M276">
        <v>0</v>
      </c>
      <c r="N276">
        <v>0</v>
      </c>
      <c r="O276">
        <v>0</v>
      </c>
      <c r="P276">
        <v>0</v>
      </c>
      <c r="Q276">
        <v>113</v>
      </c>
      <c r="R276">
        <v>0</v>
      </c>
      <c r="S276">
        <v>0</v>
      </c>
      <c r="T276">
        <v>0</v>
      </c>
      <c r="U276">
        <v>20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20</v>
      </c>
      <c r="AF276">
        <v>117</v>
      </c>
      <c r="AJ276">
        <v>3.92</v>
      </c>
      <c r="AK276" t="str">
        <f t="shared" si="4"/>
        <v>AV208-5000</v>
      </c>
    </row>
    <row r="277" spans="1:37">
      <c r="A277" t="s">
        <v>531</v>
      </c>
      <c r="B277" t="s">
        <v>530</v>
      </c>
      <c r="C277" t="s">
        <v>313</v>
      </c>
      <c r="D277" t="s">
        <v>388</v>
      </c>
      <c r="E277">
        <v>43</v>
      </c>
      <c r="F277">
        <v>0</v>
      </c>
      <c r="G277">
        <v>0</v>
      </c>
      <c r="H277">
        <v>0</v>
      </c>
      <c r="I277">
        <v>0</v>
      </c>
      <c r="J277">
        <v>8</v>
      </c>
      <c r="K277">
        <v>1927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1927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42</v>
      </c>
      <c r="AA277">
        <v>0</v>
      </c>
      <c r="AB277">
        <v>0</v>
      </c>
      <c r="AC277">
        <v>0</v>
      </c>
      <c r="AD277">
        <v>49</v>
      </c>
      <c r="AE277">
        <v>91</v>
      </c>
      <c r="AF277">
        <v>45</v>
      </c>
      <c r="AJ277">
        <v>3.67</v>
      </c>
      <c r="AK277" t="str">
        <f t="shared" si="4"/>
        <v>AV208-6200</v>
      </c>
    </row>
    <row r="278" spans="1:37">
      <c r="A278" t="s">
        <v>532</v>
      </c>
      <c r="B278" t="s">
        <v>533</v>
      </c>
      <c r="C278" t="s">
        <v>329</v>
      </c>
      <c r="E278">
        <v>50</v>
      </c>
      <c r="F278">
        <v>-0.5</v>
      </c>
      <c r="G278">
        <v>55</v>
      </c>
      <c r="H278">
        <v>25</v>
      </c>
      <c r="I278">
        <v>13</v>
      </c>
      <c r="J278">
        <v>15</v>
      </c>
      <c r="K278">
        <v>0</v>
      </c>
      <c r="L278">
        <v>37</v>
      </c>
      <c r="M278">
        <v>0</v>
      </c>
      <c r="N278">
        <v>46</v>
      </c>
      <c r="O278">
        <v>0</v>
      </c>
      <c r="P278">
        <v>0</v>
      </c>
      <c r="Q278">
        <v>-46</v>
      </c>
      <c r="R278">
        <v>29</v>
      </c>
      <c r="S278">
        <v>17</v>
      </c>
      <c r="T278">
        <v>0</v>
      </c>
      <c r="U278">
        <v>59</v>
      </c>
      <c r="V278">
        <v>0</v>
      </c>
      <c r="W278">
        <v>0</v>
      </c>
      <c r="X278">
        <v>0</v>
      </c>
      <c r="Y278">
        <v>38</v>
      </c>
      <c r="Z278">
        <v>12</v>
      </c>
      <c r="AA278">
        <v>0</v>
      </c>
      <c r="AB278">
        <v>20</v>
      </c>
      <c r="AC278">
        <v>16</v>
      </c>
      <c r="AD278">
        <v>16</v>
      </c>
      <c r="AE278">
        <v>178</v>
      </c>
      <c r="AF278">
        <v>365</v>
      </c>
      <c r="AJ278">
        <v>4.92</v>
      </c>
      <c r="AK278" t="str">
        <f t="shared" si="4"/>
        <v>AV250-5000</v>
      </c>
    </row>
    <row r="279" spans="1:37">
      <c r="A279" t="s">
        <v>534</v>
      </c>
      <c r="B279" t="s">
        <v>533</v>
      </c>
      <c r="C279" t="s">
        <v>329</v>
      </c>
      <c r="E279">
        <v>50</v>
      </c>
      <c r="F279">
        <v>6.5</v>
      </c>
      <c r="G279">
        <v>32</v>
      </c>
      <c r="H279">
        <v>45</v>
      </c>
      <c r="I279">
        <v>35</v>
      </c>
      <c r="J279">
        <v>36</v>
      </c>
      <c r="K279">
        <v>1203</v>
      </c>
      <c r="L279">
        <v>9</v>
      </c>
      <c r="M279">
        <v>0</v>
      </c>
      <c r="N279">
        <v>27</v>
      </c>
      <c r="O279">
        <v>0</v>
      </c>
      <c r="P279">
        <v>0</v>
      </c>
      <c r="Q279">
        <v>1176</v>
      </c>
      <c r="R279">
        <v>49</v>
      </c>
      <c r="S279">
        <v>24</v>
      </c>
      <c r="T279">
        <v>112</v>
      </c>
      <c r="U279">
        <v>0</v>
      </c>
      <c r="V279">
        <v>0</v>
      </c>
      <c r="W279">
        <v>63</v>
      </c>
      <c r="X279">
        <v>10</v>
      </c>
      <c r="Y279">
        <v>0</v>
      </c>
      <c r="Z279">
        <v>0</v>
      </c>
      <c r="AA279">
        <v>0</v>
      </c>
      <c r="AB279">
        <v>19</v>
      </c>
      <c r="AC279">
        <v>135</v>
      </c>
      <c r="AD279">
        <v>67</v>
      </c>
      <c r="AE279">
        <v>430</v>
      </c>
      <c r="AF279">
        <v>684</v>
      </c>
      <c r="AJ279">
        <v>4.92</v>
      </c>
      <c r="AK279" t="str">
        <f t="shared" si="4"/>
        <v>AV250-6200</v>
      </c>
    </row>
    <row r="280" spans="1:37">
      <c r="A280" t="s">
        <v>5930</v>
      </c>
      <c r="B280" t="s">
        <v>536</v>
      </c>
      <c r="C280" t="s">
        <v>267</v>
      </c>
      <c r="D280" t="s">
        <v>292</v>
      </c>
      <c r="E280">
        <v>43</v>
      </c>
      <c r="F280">
        <v>0</v>
      </c>
      <c r="G280">
        <v>0</v>
      </c>
      <c r="H280">
        <v>8</v>
      </c>
      <c r="I280">
        <v>4</v>
      </c>
      <c r="J280">
        <v>7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23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37</v>
      </c>
      <c r="AC280">
        <v>25</v>
      </c>
      <c r="AD280">
        <v>0</v>
      </c>
      <c r="AE280">
        <v>85</v>
      </c>
      <c r="AF280">
        <v>100</v>
      </c>
      <c r="AJ280">
        <v>6.43</v>
      </c>
      <c r="AK280" t="str">
        <f t="shared" si="4"/>
        <v>AV674-5000</v>
      </c>
    </row>
    <row r="281" spans="1:37">
      <c r="A281" t="s">
        <v>535</v>
      </c>
      <c r="B281" t="s">
        <v>536</v>
      </c>
      <c r="C281" t="s">
        <v>267</v>
      </c>
      <c r="D281" t="s">
        <v>292</v>
      </c>
      <c r="E281">
        <v>43</v>
      </c>
      <c r="F281">
        <v>126.7</v>
      </c>
      <c r="G281">
        <v>0</v>
      </c>
      <c r="H281">
        <v>8</v>
      </c>
      <c r="I281">
        <v>14</v>
      </c>
      <c r="J281">
        <v>13</v>
      </c>
      <c r="K281">
        <v>3885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3885</v>
      </c>
      <c r="R281">
        <v>0</v>
      </c>
      <c r="S281">
        <v>23</v>
      </c>
      <c r="T281">
        <v>0</v>
      </c>
      <c r="U281">
        <v>0</v>
      </c>
      <c r="V281">
        <v>23</v>
      </c>
      <c r="W281">
        <v>40</v>
      </c>
      <c r="X281">
        <v>0</v>
      </c>
      <c r="Y281">
        <v>23</v>
      </c>
      <c r="Z281">
        <v>8</v>
      </c>
      <c r="AA281">
        <v>11</v>
      </c>
      <c r="AB281">
        <v>16</v>
      </c>
      <c r="AC281">
        <v>0</v>
      </c>
      <c r="AD281">
        <v>9</v>
      </c>
      <c r="AE281">
        <v>153</v>
      </c>
      <c r="AF281">
        <v>188</v>
      </c>
      <c r="AJ281">
        <v>6.52</v>
      </c>
      <c r="AK281" t="str">
        <f t="shared" si="4"/>
        <v>AV674-6200</v>
      </c>
    </row>
    <row r="282" spans="1:37">
      <c r="A282" t="s">
        <v>537</v>
      </c>
      <c r="B282" t="s">
        <v>538</v>
      </c>
      <c r="C282" t="s">
        <v>275</v>
      </c>
      <c r="D282" t="s">
        <v>451</v>
      </c>
      <c r="E282">
        <v>50</v>
      </c>
      <c r="F282">
        <v>0</v>
      </c>
      <c r="G282">
        <v>0</v>
      </c>
      <c r="H282">
        <v>0</v>
      </c>
      <c r="I282">
        <v>0</v>
      </c>
      <c r="J282">
        <v>1</v>
      </c>
      <c r="K282">
        <v>94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94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8</v>
      </c>
      <c r="AD282">
        <v>0</v>
      </c>
      <c r="AE282">
        <v>8</v>
      </c>
      <c r="AF282">
        <v>0</v>
      </c>
      <c r="AJ282">
        <v>4.93</v>
      </c>
      <c r="AK282" t="str">
        <f t="shared" si="4"/>
        <v>AV721-5000</v>
      </c>
    </row>
    <row r="283" spans="1:37">
      <c r="A283" t="s">
        <v>5423</v>
      </c>
      <c r="B283" t="s">
        <v>539</v>
      </c>
      <c r="C283" t="s">
        <v>275</v>
      </c>
      <c r="D283" t="s">
        <v>292</v>
      </c>
      <c r="E283">
        <v>45</v>
      </c>
      <c r="F283">
        <v>-0.2</v>
      </c>
      <c r="G283">
        <v>17</v>
      </c>
      <c r="H283">
        <v>21</v>
      </c>
      <c r="I283">
        <v>11</v>
      </c>
      <c r="J283">
        <v>18</v>
      </c>
      <c r="K283">
        <v>0</v>
      </c>
      <c r="L283">
        <v>9</v>
      </c>
      <c r="M283">
        <v>0</v>
      </c>
      <c r="N283">
        <v>14</v>
      </c>
      <c r="O283">
        <v>0</v>
      </c>
      <c r="P283">
        <v>0</v>
      </c>
      <c r="Q283">
        <v>-14</v>
      </c>
      <c r="R283">
        <v>8</v>
      </c>
      <c r="S283">
        <v>0</v>
      </c>
      <c r="T283">
        <v>0</v>
      </c>
      <c r="U283">
        <v>64</v>
      </c>
      <c r="V283">
        <v>0</v>
      </c>
      <c r="W283">
        <v>0</v>
      </c>
      <c r="X283">
        <v>0</v>
      </c>
      <c r="Y283">
        <v>8</v>
      </c>
      <c r="Z283">
        <v>27</v>
      </c>
      <c r="AA283">
        <v>0</v>
      </c>
      <c r="AB283">
        <v>42</v>
      </c>
      <c r="AC283">
        <v>53</v>
      </c>
      <c r="AD283">
        <v>18</v>
      </c>
      <c r="AE283">
        <v>212</v>
      </c>
      <c r="AF283">
        <v>323</v>
      </c>
      <c r="AJ283">
        <v>4.71</v>
      </c>
      <c r="AK283" t="str">
        <f t="shared" si="4"/>
        <v>AV751-5000</v>
      </c>
    </row>
    <row r="284" spans="1:37">
      <c r="A284" t="s">
        <v>540</v>
      </c>
      <c r="B284" t="s">
        <v>539</v>
      </c>
      <c r="C284" t="s">
        <v>275</v>
      </c>
      <c r="D284" t="s">
        <v>447</v>
      </c>
      <c r="E284">
        <v>45</v>
      </c>
      <c r="F284">
        <v>0</v>
      </c>
      <c r="G284">
        <v>0</v>
      </c>
      <c r="H284">
        <v>0</v>
      </c>
      <c r="I284">
        <v>2</v>
      </c>
      <c r="J284">
        <v>4</v>
      </c>
      <c r="K284">
        <v>1799</v>
      </c>
      <c r="L284">
        <v>42</v>
      </c>
      <c r="M284">
        <v>0</v>
      </c>
      <c r="N284">
        <v>0</v>
      </c>
      <c r="O284">
        <v>0</v>
      </c>
      <c r="P284">
        <v>0</v>
      </c>
      <c r="Q284">
        <v>1799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12</v>
      </c>
      <c r="X284">
        <v>0</v>
      </c>
      <c r="Y284">
        <v>0</v>
      </c>
      <c r="Z284">
        <v>0</v>
      </c>
      <c r="AA284">
        <v>25</v>
      </c>
      <c r="AB284">
        <v>0</v>
      </c>
      <c r="AC284">
        <v>0</v>
      </c>
      <c r="AD284">
        <v>12</v>
      </c>
      <c r="AE284">
        <v>49</v>
      </c>
      <c r="AF284">
        <v>1021</v>
      </c>
      <c r="AJ284">
        <v>4.71</v>
      </c>
      <c r="AK284" t="str">
        <f t="shared" si="4"/>
        <v>AV751-6200</v>
      </c>
    </row>
    <row r="285" spans="1:37">
      <c r="A285" t="s">
        <v>541</v>
      </c>
      <c r="B285" t="s">
        <v>542</v>
      </c>
      <c r="C285" t="s">
        <v>110</v>
      </c>
      <c r="D285" t="s">
        <v>268</v>
      </c>
      <c r="E285">
        <v>50</v>
      </c>
      <c r="F285">
        <v>0</v>
      </c>
      <c r="G285">
        <v>0</v>
      </c>
      <c r="H285">
        <v>13</v>
      </c>
      <c r="I285">
        <v>17</v>
      </c>
      <c r="J285">
        <v>16</v>
      </c>
      <c r="K285">
        <v>0</v>
      </c>
      <c r="L285">
        <v>54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38</v>
      </c>
      <c r="U285">
        <v>0</v>
      </c>
      <c r="V285">
        <v>44</v>
      </c>
      <c r="W285">
        <v>20</v>
      </c>
      <c r="X285">
        <v>0</v>
      </c>
      <c r="Y285">
        <v>43</v>
      </c>
      <c r="Z285">
        <v>0</v>
      </c>
      <c r="AA285">
        <v>0</v>
      </c>
      <c r="AB285">
        <v>48</v>
      </c>
      <c r="AC285">
        <v>0</v>
      </c>
      <c r="AD285">
        <v>0</v>
      </c>
      <c r="AE285">
        <v>193</v>
      </c>
      <c r="AF285">
        <v>156</v>
      </c>
      <c r="AJ285">
        <v>4.28</v>
      </c>
      <c r="AK285" t="str">
        <f t="shared" si="4"/>
        <v>AV771-5000</v>
      </c>
    </row>
    <row r="286" spans="1:37">
      <c r="A286" t="s">
        <v>543</v>
      </c>
      <c r="B286" t="s">
        <v>542</v>
      </c>
      <c r="C286" t="s">
        <v>110</v>
      </c>
      <c r="D286" t="s">
        <v>544</v>
      </c>
      <c r="E286">
        <v>50</v>
      </c>
      <c r="F286">
        <v>0</v>
      </c>
      <c r="G286">
        <v>0</v>
      </c>
      <c r="H286">
        <v>0</v>
      </c>
      <c r="I286">
        <v>3</v>
      </c>
      <c r="J286">
        <v>2</v>
      </c>
      <c r="K286">
        <v>213</v>
      </c>
      <c r="L286">
        <v>4</v>
      </c>
      <c r="M286">
        <v>0</v>
      </c>
      <c r="N286">
        <v>0</v>
      </c>
      <c r="O286">
        <v>0</v>
      </c>
      <c r="P286">
        <v>0</v>
      </c>
      <c r="Q286">
        <v>213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18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18</v>
      </c>
      <c r="AF286">
        <v>34</v>
      </c>
      <c r="AJ286">
        <v>10.3</v>
      </c>
      <c r="AK286" t="str">
        <f t="shared" si="4"/>
        <v>AV771-6200</v>
      </c>
    </row>
    <row r="287" spans="1:37">
      <c r="A287" t="s">
        <v>545</v>
      </c>
      <c r="B287" t="s">
        <v>546</v>
      </c>
      <c r="C287" t="s">
        <v>110</v>
      </c>
      <c r="D287" t="s">
        <v>447</v>
      </c>
      <c r="E287">
        <v>50</v>
      </c>
      <c r="F287">
        <v>0</v>
      </c>
      <c r="G287">
        <v>9</v>
      </c>
      <c r="H287">
        <v>0</v>
      </c>
      <c r="I287">
        <v>1</v>
      </c>
      <c r="J287">
        <v>6</v>
      </c>
      <c r="K287">
        <v>800</v>
      </c>
      <c r="L287">
        <v>10</v>
      </c>
      <c r="M287">
        <v>0</v>
      </c>
      <c r="N287">
        <v>7</v>
      </c>
      <c r="O287">
        <v>0</v>
      </c>
      <c r="P287">
        <v>0</v>
      </c>
      <c r="Q287">
        <v>793</v>
      </c>
      <c r="R287">
        <v>10</v>
      </c>
      <c r="S287">
        <v>0</v>
      </c>
      <c r="T287">
        <v>0</v>
      </c>
      <c r="U287">
        <v>0</v>
      </c>
      <c r="V287">
        <v>0</v>
      </c>
      <c r="W287">
        <v>6</v>
      </c>
      <c r="X287">
        <v>0</v>
      </c>
      <c r="Y287">
        <v>9</v>
      </c>
      <c r="Z287">
        <v>16</v>
      </c>
      <c r="AA287">
        <v>27</v>
      </c>
      <c r="AB287">
        <v>0</v>
      </c>
      <c r="AC287">
        <v>7</v>
      </c>
      <c r="AD287">
        <v>6</v>
      </c>
      <c r="AE287">
        <v>71</v>
      </c>
      <c r="AF287">
        <v>124</v>
      </c>
      <c r="AJ287">
        <v>4.25</v>
      </c>
      <c r="AK287" t="str">
        <f t="shared" si="4"/>
        <v>AV781-5000</v>
      </c>
    </row>
    <row r="288" spans="1:37">
      <c r="A288" t="s">
        <v>547</v>
      </c>
      <c r="B288" t="s">
        <v>546</v>
      </c>
      <c r="C288" t="s">
        <v>110</v>
      </c>
      <c r="D288" t="s">
        <v>447</v>
      </c>
      <c r="E288">
        <v>50</v>
      </c>
      <c r="F288">
        <v>26.7</v>
      </c>
      <c r="G288">
        <v>12</v>
      </c>
      <c r="H288">
        <v>14</v>
      </c>
      <c r="I288">
        <v>9</v>
      </c>
      <c r="J288">
        <v>16</v>
      </c>
      <c r="K288">
        <v>1538</v>
      </c>
      <c r="L288">
        <v>6</v>
      </c>
      <c r="M288">
        <v>0</v>
      </c>
      <c r="N288">
        <v>10</v>
      </c>
      <c r="O288">
        <v>0</v>
      </c>
      <c r="P288">
        <v>0</v>
      </c>
      <c r="Q288">
        <v>1528</v>
      </c>
      <c r="R288">
        <v>58</v>
      </c>
      <c r="S288">
        <v>0</v>
      </c>
      <c r="T288">
        <v>21</v>
      </c>
      <c r="U288">
        <v>22</v>
      </c>
      <c r="V288">
        <v>0</v>
      </c>
      <c r="W288">
        <v>9</v>
      </c>
      <c r="X288">
        <v>0</v>
      </c>
      <c r="Y288">
        <v>19</v>
      </c>
      <c r="Z288">
        <v>21</v>
      </c>
      <c r="AA288">
        <v>13</v>
      </c>
      <c r="AB288">
        <v>64</v>
      </c>
      <c r="AC288">
        <v>26</v>
      </c>
      <c r="AD288">
        <v>0</v>
      </c>
      <c r="AE288">
        <v>195</v>
      </c>
      <c r="AF288">
        <v>443</v>
      </c>
      <c r="AJ288">
        <v>4.25</v>
      </c>
      <c r="AK288" t="str">
        <f t="shared" si="4"/>
        <v>AV781-6200</v>
      </c>
    </row>
    <row r="289" spans="1:37">
      <c r="A289" t="s">
        <v>548</v>
      </c>
      <c r="B289" t="s">
        <v>549</v>
      </c>
      <c r="C289" t="s">
        <v>318</v>
      </c>
      <c r="D289" t="s">
        <v>268</v>
      </c>
      <c r="E289">
        <v>50</v>
      </c>
      <c r="F289">
        <v>0</v>
      </c>
      <c r="G289">
        <v>0</v>
      </c>
      <c r="H289">
        <v>0</v>
      </c>
      <c r="I289">
        <v>0</v>
      </c>
      <c r="J289">
        <v>1</v>
      </c>
      <c r="K289">
        <v>256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256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7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7</v>
      </c>
      <c r="AF289">
        <v>34</v>
      </c>
      <c r="AJ289">
        <v>5.66</v>
      </c>
      <c r="AK289" t="str">
        <f t="shared" si="4"/>
        <v>AV801-5000</v>
      </c>
    </row>
    <row r="290" spans="1:37">
      <c r="A290" t="s">
        <v>550</v>
      </c>
      <c r="B290" t="s">
        <v>551</v>
      </c>
      <c r="C290" t="s">
        <v>325</v>
      </c>
      <c r="E290">
        <v>43</v>
      </c>
      <c r="F290">
        <v>66.099999999999994</v>
      </c>
      <c r="G290">
        <v>15</v>
      </c>
      <c r="H290">
        <v>4</v>
      </c>
      <c r="I290">
        <v>2</v>
      </c>
      <c r="J290">
        <v>7</v>
      </c>
      <c r="K290">
        <v>1070</v>
      </c>
      <c r="L290">
        <v>0</v>
      </c>
      <c r="M290">
        <v>0</v>
      </c>
      <c r="N290">
        <v>12</v>
      </c>
      <c r="O290">
        <v>0</v>
      </c>
      <c r="P290">
        <v>0</v>
      </c>
      <c r="Q290">
        <v>1058</v>
      </c>
      <c r="R290">
        <v>0</v>
      </c>
      <c r="S290">
        <v>0</v>
      </c>
      <c r="T290">
        <v>12</v>
      </c>
      <c r="U290">
        <v>0</v>
      </c>
      <c r="V290">
        <v>0</v>
      </c>
      <c r="W290">
        <v>0</v>
      </c>
      <c r="X290">
        <v>0</v>
      </c>
      <c r="Y290">
        <v>10</v>
      </c>
      <c r="Z290">
        <v>36</v>
      </c>
      <c r="AA290">
        <v>0</v>
      </c>
      <c r="AB290">
        <v>10</v>
      </c>
      <c r="AC290">
        <v>11</v>
      </c>
      <c r="AD290">
        <v>0</v>
      </c>
      <c r="AE290">
        <v>79</v>
      </c>
      <c r="AF290">
        <v>93</v>
      </c>
      <c r="AJ290">
        <v>4.25</v>
      </c>
      <c r="AK290" t="str">
        <f t="shared" si="4"/>
        <v>AV830-5000</v>
      </c>
    </row>
    <row r="291" spans="1:37">
      <c r="A291" t="s">
        <v>552</v>
      </c>
      <c r="B291" t="s">
        <v>551</v>
      </c>
      <c r="C291" t="s">
        <v>325</v>
      </c>
      <c r="E291">
        <v>43</v>
      </c>
      <c r="F291">
        <v>0</v>
      </c>
      <c r="G291">
        <v>0</v>
      </c>
      <c r="H291">
        <v>0</v>
      </c>
      <c r="I291">
        <v>5</v>
      </c>
      <c r="J291">
        <v>60</v>
      </c>
      <c r="K291">
        <v>4549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4549</v>
      </c>
      <c r="R291">
        <v>0</v>
      </c>
      <c r="S291">
        <v>0</v>
      </c>
      <c r="T291">
        <v>0</v>
      </c>
      <c r="U291">
        <v>0</v>
      </c>
      <c r="V291">
        <v>32</v>
      </c>
      <c r="W291">
        <v>0</v>
      </c>
      <c r="X291">
        <v>0</v>
      </c>
      <c r="Y291">
        <v>685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717</v>
      </c>
      <c r="AF291">
        <v>608</v>
      </c>
      <c r="AJ291">
        <v>5.07</v>
      </c>
      <c r="AK291" t="str">
        <f t="shared" si="4"/>
        <v>AV830-6200</v>
      </c>
    </row>
    <row r="292" spans="1:37">
      <c r="A292" t="s">
        <v>553</v>
      </c>
      <c r="B292" t="s">
        <v>554</v>
      </c>
      <c r="C292" t="s">
        <v>275</v>
      </c>
      <c r="D292" t="s">
        <v>268</v>
      </c>
      <c r="E292">
        <v>50</v>
      </c>
      <c r="F292">
        <v>0</v>
      </c>
      <c r="G292">
        <v>0</v>
      </c>
      <c r="H292">
        <v>0</v>
      </c>
      <c r="I292">
        <v>0</v>
      </c>
      <c r="J292">
        <v>2</v>
      </c>
      <c r="K292">
        <v>187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187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15</v>
      </c>
      <c r="AC292">
        <v>0</v>
      </c>
      <c r="AD292">
        <v>5</v>
      </c>
      <c r="AE292">
        <v>20</v>
      </c>
      <c r="AF292">
        <v>7</v>
      </c>
      <c r="AJ292">
        <v>4.93</v>
      </c>
      <c r="AK292" t="str">
        <f t="shared" si="4"/>
        <v>AV861-5000</v>
      </c>
    </row>
    <row r="293" spans="1:37">
      <c r="A293" t="s">
        <v>555</v>
      </c>
      <c r="B293" t="s">
        <v>556</v>
      </c>
      <c r="C293" t="s">
        <v>110</v>
      </c>
      <c r="D293" t="s">
        <v>557</v>
      </c>
      <c r="E293">
        <v>50</v>
      </c>
      <c r="F293">
        <v>0</v>
      </c>
      <c r="G293">
        <v>0</v>
      </c>
      <c r="H293">
        <v>0</v>
      </c>
      <c r="I293">
        <v>81</v>
      </c>
      <c r="J293">
        <v>77</v>
      </c>
      <c r="K293">
        <v>502</v>
      </c>
      <c r="L293">
        <v>2</v>
      </c>
      <c r="M293">
        <v>0</v>
      </c>
      <c r="N293">
        <v>0</v>
      </c>
      <c r="O293">
        <v>0</v>
      </c>
      <c r="P293">
        <v>0</v>
      </c>
      <c r="Q293">
        <v>502</v>
      </c>
      <c r="R293">
        <v>0</v>
      </c>
      <c r="S293">
        <v>0</v>
      </c>
      <c r="T293">
        <v>0</v>
      </c>
      <c r="U293">
        <v>0</v>
      </c>
      <c r="V293">
        <v>379</v>
      </c>
      <c r="W293">
        <v>0</v>
      </c>
      <c r="X293">
        <v>107</v>
      </c>
      <c r="Y293">
        <v>85</v>
      </c>
      <c r="Z293">
        <v>35</v>
      </c>
      <c r="AA293">
        <v>17</v>
      </c>
      <c r="AB293">
        <v>130</v>
      </c>
      <c r="AC293">
        <v>77</v>
      </c>
      <c r="AD293">
        <v>93</v>
      </c>
      <c r="AE293">
        <v>923</v>
      </c>
      <c r="AF293">
        <v>709</v>
      </c>
      <c r="AJ293">
        <v>4.8</v>
      </c>
      <c r="AK293" t="str">
        <f t="shared" si="4"/>
        <v>AV971-5000</v>
      </c>
    </row>
    <row r="294" spans="1:37">
      <c r="A294" t="s">
        <v>558</v>
      </c>
      <c r="B294" t="s">
        <v>556</v>
      </c>
      <c r="C294" t="s">
        <v>110</v>
      </c>
      <c r="D294" t="s">
        <v>557</v>
      </c>
      <c r="E294">
        <v>50</v>
      </c>
      <c r="F294">
        <v>0.7</v>
      </c>
      <c r="G294">
        <v>0</v>
      </c>
      <c r="H294">
        <v>168</v>
      </c>
      <c r="I294">
        <v>142</v>
      </c>
      <c r="J294">
        <v>141</v>
      </c>
      <c r="K294">
        <v>459</v>
      </c>
      <c r="L294">
        <v>192</v>
      </c>
      <c r="M294">
        <v>0</v>
      </c>
      <c r="N294">
        <v>0</v>
      </c>
      <c r="O294">
        <v>0</v>
      </c>
      <c r="P294">
        <v>0</v>
      </c>
      <c r="Q294">
        <v>459</v>
      </c>
      <c r="R294">
        <v>0</v>
      </c>
      <c r="S294">
        <v>118</v>
      </c>
      <c r="T294">
        <v>212</v>
      </c>
      <c r="U294">
        <v>173</v>
      </c>
      <c r="V294">
        <v>142</v>
      </c>
      <c r="W294">
        <v>0</v>
      </c>
      <c r="X294">
        <v>205</v>
      </c>
      <c r="Y294">
        <v>208</v>
      </c>
      <c r="Z294">
        <v>215</v>
      </c>
      <c r="AA294">
        <v>0</v>
      </c>
      <c r="AB294">
        <v>299</v>
      </c>
      <c r="AC294">
        <v>111</v>
      </c>
      <c r="AD294">
        <v>12</v>
      </c>
      <c r="AE294">
        <v>1695</v>
      </c>
      <c r="AF294">
        <v>2543</v>
      </c>
      <c r="AJ294">
        <v>4.8</v>
      </c>
      <c r="AK294" t="str">
        <f t="shared" si="4"/>
        <v>AV971-6200</v>
      </c>
    </row>
    <row r="295" spans="1:37">
      <c r="A295" t="s">
        <v>559</v>
      </c>
      <c r="B295" t="s">
        <v>560</v>
      </c>
      <c r="C295" t="s">
        <v>110</v>
      </c>
      <c r="D295" t="s">
        <v>561</v>
      </c>
      <c r="E295">
        <v>50</v>
      </c>
      <c r="F295">
        <v>6.6</v>
      </c>
      <c r="G295">
        <v>0</v>
      </c>
      <c r="H295">
        <v>32</v>
      </c>
      <c r="I295">
        <v>18</v>
      </c>
      <c r="J295">
        <v>18</v>
      </c>
      <c r="K295">
        <v>858</v>
      </c>
      <c r="L295">
        <v>4</v>
      </c>
      <c r="M295">
        <v>0</v>
      </c>
      <c r="N295">
        <v>0</v>
      </c>
      <c r="O295">
        <v>0</v>
      </c>
      <c r="P295">
        <v>0</v>
      </c>
      <c r="Q295">
        <v>858</v>
      </c>
      <c r="R295">
        <v>0</v>
      </c>
      <c r="S295">
        <v>45</v>
      </c>
      <c r="T295">
        <v>25</v>
      </c>
      <c r="U295">
        <v>27</v>
      </c>
      <c r="V295">
        <v>0</v>
      </c>
      <c r="W295">
        <v>13</v>
      </c>
      <c r="X295">
        <v>0</v>
      </c>
      <c r="Y295">
        <v>0</v>
      </c>
      <c r="Z295">
        <v>38</v>
      </c>
      <c r="AA295">
        <v>0</v>
      </c>
      <c r="AB295">
        <v>0</v>
      </c>
      <c r="AC295">
        <v>62</v>
      </c>
      <c r="AD295">
        <v>6</v>
      </c>
      <c r="AE295">
        <v>216</v>
      </c>
      <c r="AF295">
        <v>297</v>
      </c>
      <c r="AJ295">
        <v>4.25</v>
      </c>
      <c r="AK295" t="str">
        <f t="shared" si="4"/>
        <v>AV981-5000</v>
      </c>
    </row>
    <row r="296" spans="1:37">
      <c r="A296" t="s">
        <v>562</v>
      </c>
      <c r="B296" t="s">
        <v>560</v>
      </c>
      <c r="C296" t="s">
        <v>110</v>
      </c>
      <c r="D296" t="s">
        <v>561</v>
      </c>
      <c r="E296">
        <v>50</v>
      </c>
      <c r="F296">
        <v>0.8</v>
      </c>
      <c r="G296">
        <v>48</v>
      </c>
      <c r="H296">
        <v>62</v>
      </c>
      <c r="I296">
        <v>42</v>
      </c>
      <c r="J296">
        <v>40</v>
      </c>
      <c r="K296">
        <v>245</v>
      </c>
      <c r="L296">
        <v>0</v>
      </c>
      <c r="M296">
        <v>0</v>
      </c>
      <c r="N296">
        <v>40</v>
      </c>
      <c r="O296">
        <v>0</v>
      </c>
      <c r="P296">
        <v>0</v>
      </c>
      <c r="Q296">
        <v>205</v>
      </c>
      <c r="R296">
        <v>0</v>
      </c>
      <c r="S296">
        <v>70</v>
      </c>
      <c r="T296">
        <v>90</v>
      </c>
      <c r="U296">
        <v>25</v>
      </c>
      <c r="V296">
        <v>0</v>
      </c>
      <c r="W296">
        <v>0</v>
      </c>
      <c r="X296">
        <v>65</v>
      </c>
      <c r="Y296">
        <v>0</v>
      </c>
      <c r="Z296">
        <v>0</v>
      </c>
      <c r="AA296">
        <v>199</v>
      </c>
      <c r="AB296">
        <v>35</v>
      </c>
      <c r="AC296">
        <v>0</v>
      </c>
      <c r="AD296">
        <v>0</v>
      </c>
      <c r="AE296">
        <v>484</v>
      </c>
      <c r="AF296">
        <v>341</v>
      </c>
      <c r="AJ296">
        <v>4.25</v>
      </c>
      <c r="AK296" t="str">
        <f t="shared" si="4"/>
        <v>AV981-6200</v>
      </c>
    </row>
    <row r="297" spans="1:37">
      <c r="A297" t="s">
        <v>563</v>
      </c>
      <c r="B297" t="s">
        <v>564</v>
      </c>
      <c r="C297" t="s">
        <v>313</v>
      </c>
      <c r="E297">
        <v>43</v>
      </c>
      <c r="F297">
        <v>11.9</v>
      </c>
      <c r="G297">
        <v>15</v>
      </c>
      <c r="H297">
        <v>27</v>
      </c>
      <c r="I297">
        <v>14</v>
      </c>
      <c r="J297">
        <v>8</v>
      </c>
      <c r="K297">
        <v>1293</v>
      </c>
      <c r="L297">
        <v>16</v>
      </c>
      <c r="M297">
        <v>0</v>
      </c>
      <c r="N297">
        <v>12</v>
      </c>
      <c r="O297">
        <v>0</v>
      </c>
      <c r="P297">
        <v>0</v>
      </c>
      <c r="Q297">
        <v>1281</v>
      </c>
      <c r="R297">
        <v>17</v>
      </c>
      <c r="S297">
        <v>70</v>
      </c>
      <c r="T297">
        <v>0</v>
      </c>
      <c r="U297">
        <v>11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7</v>
      </c>
      <c r="AB297">
        <v>0</v>
      </c>
      <c r="AC297">
        <v>11</v>
      </c>
      <c r="AD297">
        <v>0</v>
      </c>
      <c r="AE297">
        <v>99</v>
      </c>
      <c r="AF297">
        <v>57</v>
      </c>
      <c r="AJ297">
        <v>3.88</v>
      </c>
      <c r="AK297" t="str">
        <f t="shared" si="4"/>
        <v>AV999-5000</v>
      </c>
    </row>
    <row r="298" spans="1:37">
      <c r="A298" t="s">
        <v>565</v>
      </c>
      <c r="B298" t="s">
        <v>564</v>
      </c>
      <c r="C298" t="s">
        <v>313</v>
      </c>
      <c r="E298">
        <v>43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2596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2596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J298">
        <v>5.33</v>
      </c>
      <c r="AK298" t="str">
        <f t="shared" si="4"/>
        <v>AV999-6200</v>
      </c>
    </row>
    <row r="299" spans="1:37">
      <c r="A299" t="s">
        <v>566</v>
      </c>
      <c r="B299" t="s">
        <v>567</v>
      </c>
      <c r="C299" t="s">
        <v>329</v>
      </c>
      <c r="D299" t="s">
        <v>436</v>
      </c>
      <c r="E299">
        <v>50</v>
      </c>
      <c r="F299">
        <v>0.9</v>
      </c>
      <c r="G299">
        <v>32</v>
      </c>
      <c r="H299">
        <v>85</v>
      </c>
      <c r="I299">
        <v>70</v>
      </c>
      <c r="J299">
        <v>84</v>
      </c>
      <c r="K299">
        <v>322</v>
      </c>
      <c r="L299">
        <v>58</v>
      </c>
      <c r="M299">
        <v>0</v>
      </c>
      <c r="N299">
        <v>26</v>
      </c>
      <c r="O299">
        <v>0</v>
      </c>
      <c r="P299">
        <v>0</v>
      </c>
      <c r="Q299">
        <v>296</v>
      </c>
      <c r="R299">
        <v>0</v>
      </c>
      <c r="S299">
        <v>61</v>
      </c>
      <c r="T299">
        <v>62</v>
      </c>
      <c r="U299">
        <v>131</v>
      </c>
      <c r="V299">
        <v>44</v>
      </c>
      <c r="W299">
        <v>61</v>
      </c>
      <c r="X299">
        <v>58</v>
      </c>
      <c r="Y299">
        <v>111</v>
      </c>
      <c r="Z299">
        <v>231</v>
      </c>
      <c r="AA299">
        <v>0</v>
      </c>
      <c r="AB299">
        <v>60</v>
      </c>
      <c r="AC299">
        <v>116</v>
      </c>
      <c r="AD299">
        <v>67</v>
      </c>
      <c r="AE299">
        <v>1002</v>
      </c>
      <c r="AF299">
        <v>662</v>
      </c>
      <c r="AJ299">
        <v>4.13</v>
      </c>
      <c r="AK299" t="str">
        <f t="shared" si="4"/>
        <v>AW141-5000</v>
      </c>
    </row>
    <row r="300" spans="1:37">
      <c r="A300" t="s">
        <v>568</v>
      </c>
      <c r="B300" t="s">
        <v>567</v>
      </c>
      <c r="C300" t="s">
        <v>329</v>
      </c>
      <c r="D300" t="s">
        <v>436</v>
      </c>
      <c r="E300">
        <v>50</v>
      </c>
      <c r="F300">
        <v>5.7</v>
      </c>
      <c r="G300">
        <v>128</v>
      </c>
      <c r="H300">
        <v>198</v>
      </c>
      <c r="I300">
        <v>172</v>
      </c>
      <c r="J300">
        <v>374</v>
      </c>
      <c r="K300">
        <v>4635</v>
      </c>
      <c r="L300">
        <v>93</v>
      </c>
      <c r="M300">
        <v>0</v>
      </c>
      <c r="N300">
        <v>107</v>
      </c>
      <c r="O300">
        <v>0</v>
      </c>
      <c r="P300">
        <v>0</v>
      </c>
      <c r="Q300">
        <v>4528</v>
      </c>
      <c r="R300">
        <v>0</v>
      </c>
      <c r="S300">
        <v>0</v>
      </c>
      <c r="T300">
        <v>363</v>
      </c>
      <c r="U300">
        <v>232</v>
      </c>
      <c r="V300">
        <v>335</v>
      </c>
      <c r="W300">
        <v>99</v>
      </c>
      <c r="X300">
        <v>0</v>
      </c>
      <c r="Y300">
        <v>943</v>
      </c>
      <c r="Z300">
        <v>880</v>
      </c>
      <c r="AA300">
        <v>310</v>
      </c>
      <c r="AB300">
        <v>1066</v>
      </c>
      <c r="AC300">
        <v>0</v>
      </c>
      <c r="AD300">
        <v>261</v>
      </c>
      <c r="AE300">
        <v>4489</v>
      </c>
      <c r="AF300">
        <v>4044</v>
      </c>
      <c r="AJ300">
        <v>4.13</v>
      </c>
      <c r="AK300" t="str">
        <f t="shared" si="4"/>
        <v>AW141-6200</v>
      </c>
    </row>
    <row r="301" spans="1:37">
      <c r="A301" t="s">
        <v>5931</v>
      </c>
      <c r="B301" t="s">
        <v>570</v>
      </c>
      <c r="C301" t="s">
        <v>338</v>
      </c>
      <c r="D301" t="s">
        <v>401</v>
      </c>
      <c r="E301">
        <v>50</v>
      </c>
      <c r="F301">
        <v>0</v>
      </c>
      <c r="G301">
        <v>0</v>
      </c>
      <c r="H301">
        <v>40</v>
      </c>
      <c r="I301">
        <v>20</v>
      </c>
      <c r="J301">
        <v>10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119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119</v>
      </c>
      <c r="AF301">
        <v>0</v>
      </c>
      <c r="AJ301">
        <v>0</v>
      </c>
      <c r="AK301" t="str">
        <f t="shared" si="4"/>
        <v>AW190-5000</v>
      </c>
    </row>
    <row r="302" spans="1:37">
      <c r="A302" t="s">
        <v>569</v>
      </c>
      <c r="B302" t="s">
        <v>570</v>
      </c>
      <c r="C302" t="s">
        <v>338</v>
      </c>
      <c r="D302" t="s">
        <v>401</v>
      </c>
      <c r="E302">
        <v>50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1494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1494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J302">
        <v>3.73</v>
      </c>
      <c r="AK302" t="str">
        <f t="shared" si="4"/>
        <v>AW190-6200</v>
      </c>
    </row>
    <row r="303" spans="1:37">
      <c r="A303" t="s">
        <v>571</v>
      </c>
      <c r="B303" t="s">
        <v>572</v>
      </c>
      <c r="C303" t="s">
        <v>110</v>
      </c>
      <c r="D303" t="s">
        <v>342</v>
      </c>
      <c r="E303">
        <v>43</v>
      </c>
      <c r="F303">
        <v>42.6</v>
      </c>
      <c r="G303">
        <v>40</v>
      </c>
      <c r="H303">
        <v>13</v>
      </c>
      <c r="I303">
        <v>179</v>
      </c>
      <c r="J303">
        <v>324</v>
      </c>
      <c r="K303">
        <v>2303</v>
      </c>
      <c r="L303">
        <v>81</v>
      </c>
      <c r="M303">
        <v>0</v>
      </c>
      <c r="N303">
        <v>33</v>
      </c>
      <c r="O303">
        <v>0</v>
      </c>
      <c r="P303">
        <v>0</v>
      </c>
      <c r="Q303">
        <v>2270</v>
      </c>
      <c r="R303">
        <v>87</v>
      </c>
      <c r="S303">
        <v>40</v>
      </c>
      <c r="T303">
        <v>0</v>
      </c>
      <c r="U303">
        <v>0</v>
      </c>
      <c r="V303">
        <v>621</v>
      </c>
      <c r="W303">
        <v>1</v>
      </c>
      <c r="X303">
        <v>410</v>
      </c>
      <c r="Y303">
        <v>447</v>
      </c>
      <c r="Z303">
        <v>0</v>
      </c>
      <c r="AA303">
        <v>478</v>
      </c>
      <c r="AB303">
        <v>611</v>
      </c>
      <c r="AC303">
        <v>480</v>
      </c>
      <c r="AD303">
        <v>800</v>
      </c>
      <c r="AE303">
        <v>3888</v>
      </c>
      <c r="AF303">
        <v>3363</v>
      </c>
      <c r="AJ303">
        <v>4.25</v>
      </c>
      <c r="AK303" t="str">
        <f t="shared" si="4"/>
        <v>AW200-5000</v>
      </c>
    </row>
    <row r="304" spans="1:37">
      <c r="A304" t="s">
        <v>573</v>
      </c>
      <c r="B304" t="s">
        <v>572</v>
      </c>
      <c r="C304" t="s">
        <v>110</v>
      </c>
      <c r="D304" t="s">
        <v>342</v>
      </c>
      <c r="E304">
        <v>43</v>
      </c>
      <c r="F304">
        <v>2.2999999999999998</v>
      </c>
      <c r="G304">
        <v>23</v>
      </c>
      <c r="H304">
        <v>142</v>
      </c>
      <c r="I304">
        <v>121</v>
      </c>
      <c r="J304">
        <v>127</v>
      </c>
      <c r="K304">
        <v>1305</v>
      </c>
      <c r="L304">
        <v>44</v>
      </c>
      <c r="M304">
        <v>0</v>
      </c>
      <c r="N304">
        <v>19</v>
      </c>
      <c r="O304">
        <v>0</v>
      </c>
      <c r="P304">
        <v>0</v>
      </c>
      <c r="Q304">
        <v>1286</v>
      </c>
      <c r="R304">
        <v>57</v>
      </c>
      <c r="S304">
        <v>219</v>
      </c>
      <c r="T304">
        <v>206</v>
      </c>
      <c r="U304">
        <v>0</v>
      </c>
      <c r="V304">
        <v>0</v>
      </c>
      <c r="W304">
        <v>265</v>
      </c>
      <c r="X304">
        <v>37</v>
      </c>
      <c r="Y304">
        <v>223</v>
      </c>
      <c r="Z304">
        <v>121</v>
      </c>
      <c r="AA304">
        <v>109</v>
      </c>
      <c r="AB304">
        <v>162</v>
      </c>
      <c r="AC304">
        <v>47</v>
      </c>
      <c r="AD304">
        <v>137</v>
      </c>
      <c r="AE304">
        <v>1526</v>
      </c>
      <c r="AF304">
        <v>2081</v>
      </c>
      <c r="AJ304">
        <v>4.37</v>
      </c>
      <c r="AK304" t="str">
        <f t="shared" si="4"/>
        <v>AW200-6200</v>
      </c>
    </row>
    <row r="305" spans="1:37">
      <c r="A305" t="s">
        <v>574</v>
      </c>
      <c r="B305" t="s">
        <v>575</v>
      </c>
      <c r="C305" t="s">
        <v>110</v>
      </c>
      <c r="D305" t="s">
        <v>284</v>
      </c>
      <c r="E305">
        <v>43</v>
      </c>
      <c r="F305">
        <v>0.3</v>
      </c>
      <c r="G305">
        <v>276</v>
      </c>
      <c r="H305">
        <v>259</v>
      </c>
      <c r="I305">
        <v>583</v>
      </c>
      <c r="J305">
        <v>756</v>
      </c>
      <c r="K305">
        <v>561</v>
      </c>
      <c r="L305">
        <v>700</v>
      </c>
      <c r="M305">
        <v>0</v>
      </c>
      <c r="N305">
        <v>230</v>
      </c>
      <c r="O305">
        <v>0</v>
      </c>
      <c r="P305">
        <v>0</v>
      </c>
      <c r="Q305">
        <v>331</v>
      </c>
      <c r="R305">
        <v>0</v>
      </c>
      <c r="S305">
        <v>490</v>
      </c>
      <c r="T305">
        <v>265</v>
      </c>
      <c r="U305">
        <v>21</v>
      </c>
      <c r="V305">
        <v>1169</v>
      </c>
      <c r="W305">
        <v>728</v>
      </c>
      <c r="X305">
        <v>826</v>
      </c>
      <c r="Y305">
        <v>1938</v>
      </c>
      <c r="Z305">
        <v>705</v>
      </c>
      <c r="AA305">
        <v>1075</v>
      </c>
      <c r="AB305">
        <v>279</v>
      </c>
      <c r="AC305">
        <v>1165</v>
      </c>
      <c r="AD305">
        <v>406</v>
      </c>
      <c r="AE305">
        <v>9067</v>
      </c>
      <c r="AF305">
        <v>10520</v>
      </c>
      <c r="AJ305">
        <v>4.38</v>
      </c>
      <c r="AK305" t="str">
        <f t="shared" si="4"/>
        <v>AW300-5000</v>
      </c>
    </row>
    <row r="306" spans="1:37">
      <c r="A306" t="s">
        <v>576</v>
      </c>
      <c r="B306" t="s">
        <v>575</v>
      </c>
      <c r="C306" t="s">
        <v>110</v>
      </c>
      <c r="D306" t="s">
        <v>284</v>
      </c>
      <c r="E306">
        <v>43</v>
      </c>
      <c r="F306">
        <v>0.9</v>
      </c>
      <c r="G306">
        <v>0</v>
      </c>
      <c r="H306">
        <v>212</v>
      </c>
      <c r="I306">
        <v>273</v>
      </c>
      <c r="J306">
        <v>180</v>
      </c>
      <c r="K306">
        <v>726</v>
      </c>
      <c r="L306">
        <v>70</v>
      </c>
      <c r="M306">
        <v>0</v>
      </c>
      <c r="N306">
        <v>0</v>
      </c>
      <c r="O306">
        <v>0</v>
      </c>
      <c r="P306">
        <v>0</v>
      </c>
      <c r="Q306">
        <v>726</v>
      </c>
      <c r="R306">
        <v>0</v>
      </c>
      <c r="S306">
        <v>231</v>
      </c>
      <c r="T306">
        <v>128</v>
      </c>
      <c r="U306">
        <v>278</v>
      </c>
      <c r="V306">
        <v>100</v>
      </c>
      <c r="W306">
        <v>861</v>
      </c>
      <c r="X306">
        <v>41</v>
      </c>
      <c r="Y306">
        <v>154</v>
      </c>
      <c r="Z306">
        <v>256</v>
      </c>
      <c r="AA306">
        <v>107</v>
      </c>
      <c r="AB306">
        <v>0</v>
      </c>
      <c r="AC306">
        <v>0</v>
      </c>
      <c r="AD306">
        <v>0</v>
      </c>
      <c r="AE306">
        <v>2156</v>
      </c>
      <c r="AF306">
        <v>4799</v>
      </c>
      <c r="AJ306">
        <v>4.57</v>
      </c>
      <c r="AK306" t="str">
        <f t="shared" si="4"/>
        <v>AW300-6200</v>
      </c>
    </row>
    <row r="307" spans="1:37">
      <c r="A307" t="s">
        <v>577</v>
      </c>
      <c r="B307" t="s">
        <v>578</v>
      </c>
      <c r="C307" t="s">
        <v>275</v>
      </c>
      <c r="E307">
        <v>43</v>
      </c>
      <c r="F307">
        <v>72.5</v>
      </c>
      <c r="G307">
        <v>7</v>
      </c>
      <c r="H307">
        <v>4</v>
      </c>
      <c r="I307">
        <v>5</v>
      </c>
      <c r="J307">
        <v>4</v>
      </c>
      <c r="K307">
        <v>1263</v>
      </c>
      <c r="L307">
        <v>8</v>
      </c>
      <c r="M307">
        <v>0</v>
      </c>
      <c r="N307">
        <v>6</v>
      </c>
      <c r="O307">
        <v>0</v>
      </c>
      <c r="P307">
        <v>0</v>
      </c>
      <c r="Q307">
        <v>1257</v>
      </c>
      <c r="R307">
        <v>4</v>
      </c>
      <c r="S307">
        <v>0</v>
      </c>
      <c r="T307">
        <v>13</v>
      </c>
      <c r="U307">
        <v>0</v>
      </c>
      <c r="V307">
        <v>0</v>
      </c>
      <c r="W307">
        <v>19</v>
      </c>
      <c r="X307">
        <v>0</v>
      </c>
      <c r="Y307">
        <v>0</v>
      </c>
      <c r="Z307">
        <v>14</v>
      </c>
      <c r="AA307">
        <v>0</v>
      </c>
      <c r="AB307">
        <v>3</v>
      </c>
      <c r="AC307">
        <v>0</v>
      </c>
      <c r="AD307">
        <v>0</v>
      </c>
      <c r="AE307">
        <v>49</v>
      </c>
      <c r="AF307">
        <v>53</v>
      </c>
      <c r="AJ307">
        <v>3.45</v>
      </c>
      <c r="AK307" t="str">
        <f t="shared" si="4"/>
        <v>AW700-5000</v>
      </c>
    </row>
    <row r="308" spans="1:37">
      <c r="A308" t="s">
        <v>579</v>
      </c>
      <c r="B308" t="s">
        <v>578</v>
      </c>
      <c r="C308" t="s">
        <v>275</v>
      </c>
      <c r="E308">
        <v>43</v>
      </c>
      <c r="F308">
        <v>0</v>
      </c>
      <c r="G308">
        <v>0</v>
      </c>
      <c r="H308">
        <v>0</v>
      </c>
      <c r="I308">
        <v>0</v>
      </c>
      <c r="J308">
        <v>3</v>
      </c>
      <c r="K308">
        <v>2806</v>
      </c>
      <c r="L308">
        <v>8</v>
      </c>
      <c r="M308">
        <v>0</v>
      </c>
      <c r="N308">
        <v>0</v>
      </c>
      <c r="O308">
        <v>0</v>
      </c>
      <c r="P308">
        <v>0</v>
      </c>
      <c r="Q308">
        <v>2806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34</v>
      </c>
      <c r="AB308">
        <v>0</v>
      </c>
      <c r="AC308">
        <v>0</v>
      </c>
      <c r="AD308">
        <v>0</v>
      </c>
      <c r="AE308">
        <v>34</v>
      </c>
      <c r="AF308">
        <v>24</v>
      </c>
      <c r="AJ308">
        <v>6.13</v>
      </c>
      <c r="AK308" t="str">
        <f t="shared" si="4"/>
        <v>AW700-6200</v>
      </c>
    </row>
    <row r="309" spans="1:37">
      <c r="A309" t="s">
        <v>580</v>
      </c>
      <c r="B309" t="s">
        <v>581</v>
      </c>
      <c r="C309" t="s">
        <v>110</v>
      </c>
      <c r="D309" t="s">
        <v>582</v>
      </c>
      <c r="E309">
        <v>50</v>
      </c>
      <c r="F309">
        <v>0.5</v>
      </c>
      <c r="G309">
        <v>38</v>
      </c>
      <c r="H309">
        <v>469</v>
      </c>
      <c r="I309">
        <v>354</v>
      </c>
      <c r="J309">
        <v>447</v>
      </c>
      <c r="K309">
        <v>958</v>
      </c>
      <c r="L309">
        <v>6</v>
      </c>
      <c r="M309">
        <v>0</v>
      </c>
      <c r="N309">
        <v>32</v>
      </c>
      <c r="O309">
        <v>0</v>
      </c>
      <c r="P309">
        <v>0</v>
      </c>
      <c r="Q309">
        <v>926</v>
      </c>
      <c r="R309">
        <v>0</v>
      </c>
      <c r="S309">
        <v>0</v>
      </c>
      <c r="T309">
        <v>62</v>
      </c>
      <c r="U309">
        <v>1344</v>
      </c>
      <c r="V309">
        <v>381</v>
      </c>
      <c r="W309">
        <v>290</v>
      </c>
      <c r="X309">
        <v>47</v>
      </c>
      <c r="Y309">
        <v>289</v>
      </c>
      <c r="Z309">
        <v>1239</v>
      </c>
      <c r="AA309">
        <v>0</v>
      </c>
      <c r="AB309">
        <v>941</v>
      </c>
      <c r="AC309">
        <v>404</v>
      </c>
      <c r="AD309">
        <v>370</v>
      </c>
      <c r="AE309">
        <v>5367</v>
      </c>
      <c r="AF309">
        <v>5452</v>
      </c>
      <c r="AJ309">
        <v>3.96</v>
      </c>
      <c r="AK309" t="str">
        <f t="shared" si="4"/>
        <v>AW785-5000</v>
      </c>
    </row>
    <row r="310" spans="1:37">
      <c r="A310" t="s">
        <v>583</v>
      </c>
      <c r="B310" t="s">
        <v>581</v>
      </c>
      <c r="C310" t="s">
        <v>110</v>
      </c>
      <c r="D310" t="s">
        <v>584</v>
      </c>
      <c r="E310">
        <v>50</v>
      </c>
      <c r="F310">
        <v>0.9</v>
      </c>
      <c r="G310">
        <v>5</v>
      </c>
      <c r="H310">
        <v>256</v>
      </c>
      <c r="I310">
        <v>438</v>
      </c>
      <c r="J310">
        <v>635</v>
      </c>
      <c r="K310">
        <v>877</v>
      </c>
      <c r="L310">
        <v>58</v>
      </c>
      <c r="M310">
        <v>0</v>
      </c>
      <c r="N310">
        <v>4</v>
      </c>
      <c r="O310">
        <v>0</v>
      </c>
      <c r="P310">
        <v>0</v>
      </c>
      <c r="Q310">
        <v>873</v>
      </c>
      <c r="R310">
        <v>0</v>
      </c>
      <c r="S310">
        <v>70</v>
      </c>
      <c r="T310">
        <v>155</v>
      </c>
      <c r="U310">
        <v>543</v>
      </c>
      <c r="V310">
        <v>0</v>
      </c>
      <c r="W310">
        <v>940</v>
      </c>
      <c r="X310">
        <v>921</v>
      </c>
      <c r="Y310">
        <v>1390</v>
      </c>
      <c r="Z310">
        <v>1383</v>
      </c>
      <c r="AA310">
        <v>0</v>
      </c>
      <c r="AB310">
        <v>918</v>
      </c>
      <c r="AC310">
        <v>784</v>
      </c>
      <c r="AD310">
        <v>519</v>
      </c>
      <c r="AE310">
        <v>7623</v>
      </c>
      <c r="AF310">
        <v>5984</v>
      </c>
      <c r="AJ310">
        <v>3.96</v>
      </c>
      <c r="AK310" t="str">
        <f t="shared" si="4"/>
        <v>AW785-6200</v>
      </c>
    </row>
    <row r="311" spans="1:37">
      <c r="A311" t="s">
        <v>585</v>
      </c>
      <c r="B311" t="s">
        <v>586</v>
      </c>
      <c r="C311" t="s">
        <v>275</v>
      </c>
      <c r="D311" t="s">
        <v>292</v>
      </c>
      <c r="E311">
        <v>50</v>
      </c>
      <c r="F311">
        <v>0</v>
      </c>
      <c r="G311">
        <v>126</v>
      </c>
      <c r="H311">
        <v>0</v>
      </c>
      <c r="I311">
        <v>30</v>
      </c>
      <c r="J311">
        <v>63</v>
      </c>
      <c r="K311">
        <v>872</v>
      </c>
      <c r="L311">
        <v>58</v>
      </c>
      <c r="M311">
        <v>0</v>
      </c>
      <c r="N311">
        <v>105</v>
      </c>
      <c r="O311">
        <v>0</v>
      </c>
      <c r="P311">
        <v>0</v>
      </c>
      <c r="Q311">
        <v>767</v>
      </c>
      <c r="R311">
        <v>9</v>
      </c>
      <c r="S311">
        <v>0</v>
      </c>
      <c r="T311">
        <v>0</v>
      </c>
      <c r="U311">
        <v>0</v>
      </c>
      <c r="V311">
        <v>0</v>
      </c>
      <c r="W311">
        <v>178</v>
      </c>
      <c r="X311">
        <v>0</v>
      </c>
      <c r="Y311">
        <v>0</v>
      </c>
      <c r="Z311">
        <v>338</v>
      </c>
      <c r="AA311">
        <v>0</v>
      </c>
      <c r="AB311">
        <v>0</v>
      </c>
      <c r="AC311">
        <v>0</v>
      </c>
      <c r="AD311">
        <v>240</v>
      </c>
      <c r="AE311">
        <v>756</v>
      </c>
      <c r="AF311">
        <v>1259</v>
      </c>
      <c r="AJ311">
        <v>4.16</v>
      </c>
      <c r="AK311" t="str">
        <f t="shared" si="4"/>
        <v>AW871-5000</v>
      </c>
    </row>
    <row r="312" spans="1:37">
      <c r="A312" t="s">
        <v>587</v>
      </c>
      <c r="B312" t="s">
        <v>586</v>
      </c>
      <c r="C312" t="s">
        <v>275</v>
      </c>
      <c r="D312" t="s">
        <v>292</v>
      </c>
      <c r="E312">
        <v>50</v>
      </c>
      <c r="F312">
        <v>43.2</v>
      </c>
      <c r="G312">
        <v>0</v>
      </c>
      <c r="H312">
        <v>6</v>
      </c>
      <c r="I312">
        <v>13</v>
      </c>
      <c r="J312">
        <v>19</v>
      </c>
      <c r="K312">
        <v>1094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1094</v>
      </c>
      <c r="R312">
        <v>0</v>
      </c>
      <c r="S312">
        <v>6</v>
      </c>
      <c r="T312">
        <v>0</v>
      </c>
      <c r="U312">
        <v>13</v>
      </c>
      <c r="V312">
        <v>25</v>
      </c>
      <c r="W312">
        <v>31</v>
      </c>
      <c r="X312">
        <v>0</v>
      </c>
      <c r="Y312">
        <v>37</v>
      </c>
      <c r="Z312">
        <v>0</v>
      </c>
      <c r="AA312">
        <v>0</v>
      </c>
      <c r="AB312">
        <v>0</v>
      </c>
      <c r="AC312">
        <v>121</v>
      </c>
      <c r="AD312">
        <v>0</v>
      </c>
      <c r="AE312">
        <v>233</v>
      </c>
      <c r="AF312">
        <v>258</v>
      </c>
      <c r="AJ312">
        <v>4.16</v>
      </c>
      <c r="AK312" t="str">
        <f t="shared" si="4"/>
        <v>AW871-6200</v>
      </c>
    </row>
    <row r="313" spans="1:37">
      <c r="A313" t="s">
        <v>588</v>
      </c>
      <c r="B313" t="s">
        <v>589</v>
      </c>
      <c r="C313" t="s">
        <v>275</v>
      </c>
      <c r="D313" t="s">
        <v>590</v>
      </c>
      <c r="E313">
        <v>45</v>
      </c>
      <c r="F313">
        <v>0</v>
      </c>
      <c r="G313">
        <v>0</v>
      </c>
      <c r="H313">
        <v>0</v>
      </c>
      <c r="I313">
        <v>2</v>
      </c>
      <c r="J313">
        <v>2</v>
      </c>
      <c r="K313">
        <v>1223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1223</v>
      </c>
      <c r="R313">
        <v>0</v>
      </c>
      <c r="S313">
        <v>0</v>
      </c>
      <c r="T313">
        <v>0</v>
      </c>
      <c r="U313">
        <v>0</v>
      </c>
      <c r="V313">
        <v>14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12</v>
      </c>
      <c r="AE313">
        <v>26</v>
      </c>
      <c r="AF313">
        <v>18</v>
      </c>
      <c r="AJ313">
        <v>4.93</v>
      </c>
      <c r="AK313" t="str">
        <f t="shared" si="4"/>
        <v>AY102-6200</v>
      </c>
    </row>
    <row r="314" spans="1:37">
      <c r="A314" t="s">
        <v>591</v>
      </c>
      <c r="B314" t="s">
        <v>592</v>
      </c>
      <c r="C314" t="s">
        <v>313</v>
      </c>
      <c r="E314">
        <v>43</v>
      </c>
      <c r="F314">
        <v>36.799999999999997</v>
      </c>
      <c r="G314">
        <v>48</v>
      </c>
      <c r="H314">
        <v>19</v>
      </c>
      <c r="I314">
        <v>42</v>
      </c>
      <c r="J314">
        <v>73</v>
      </c>
      <c r="K314">
        <v>2889</v>
      </c>
      <c r="L314">
        <v>65</v>
      </c>
      <c r="M314">
        <v>0</v>
      </c>
      <c r="N314">
        <v>40</v>
      </c>
      <c r="O314">
        <v>0</v>
      </c>
      <c r="P314">
        <v>0</v>
      </c>
      <c r="Q314">
        <v>2849</v>
      </c>
      <c r="R314">
        <v>8</v>
      </c>
      <c r="S314">
        <v>58</v>
      </c>
      <c r="T314">
        <v>0</v>
      </c>
      <c r="U314">
        <v>0</v>
      </c>
      <c r="V314">
        <v>1</v>
      </c>
      <c r="W314">
        <v>5</v>
      </c>
      <c r="X314">
        <v>190</v>
      </c>
      <c r="Y314">
        <v>144</v>
      </c>
      <c r="Z314">
        <v>0</v>
      </c>
      <c r="AA314">
        <v>88</v>
      </c>
      <c r="AB314">
        <v>247</v>
      </c>
      <c r="AC314">
        <v>0</v>
      </c>
      <c r="AD314">
        <v>145</v>
      </c>
      <c r="AE314">
        <v>878</v>
      </c>
      <c r="AF314">
        <v>2185</v>
      </c>
      <c r="AJ314">
        <v>5.66</v>
      </c>
      <c r="AK314" t="str">
        <f t="shared" si="4"/>
        <v>AY120-5000</v>
      </c>
    </row>
    <row r="315" spans="1:37">
      <c r="A315" t="s">
        <v>593</v>
      </c>
      <c r="B315" t="s">
        <v>592</v>
      </c>
      <c r="C315" t="s">
        <v>313</v>
      </c>
      <c r="E315">
        <v>43</v>
      </c>
      <c r="F315">
        <v>0</v>
      </c>
      <c r="G315">
        <v>0</v>
      </c>
      <c r="H315">
        <v>0</v>
      </c>
      <c r="I315">
        <v>2</v>
      </c>
      <c r="J315">
        <v>2</v>
      </c>
      <c r="K315">
        <v>908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908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12</v>
      </c>
      <c r="X315">
        <v>0</v>
      </c>
      <c r="Y315">
        <v>0</v>
      </c>
      <c r="Z315">
        <v>0</v>
      </c>
      <c r="AA315">
        <v>11</v>
      </c>
      <c r="AB315">
        <v>0</v>
      </c>
      <c r="AC315">
        <v>0</v>
      </c>
      <c r="AD315">
        <v>0</v>
      </c>
      <c r="AE315">
        <v>23</v>
      </c>
      <c r="AF315">
        <v>409</v>
      </c>
      <c r="AJ315">
        <v>2.95</v>
      </c>
      <c r="AK315" t="str">
        <f t="shared" si="4"/>
        <v>AY120-6200</v>
      </c>
    </row>
    <row r="316" spans="1:37">
      <c r="A316" t="s">
        <v>594</v>
      </c>
      <c r="B316" t="s">
        <v>595</v>
      </c>
      <c r="C316" t="s">
        <v>325</v>
      </c>
      <c r="E316">
        <v>43</v>
      </c>
      <c r="F316">
        <v>52.4</v>
      </c>
      <c r="G316">
        <v>9</v>
      </c>
      <c r="H316">
        <v>5</v>
      </c>
      <c r="I316">
        <v>5</v>
      </c>
      <c r="J316">
        <v>4</v>
      </c>
      <c r="K316">
        <v>986</v>
      </c>
      <c r="L316">
        <v>9</v>
      </c>
      <c r="M316">
        <v>0</v>
      </c>
      <c r="N316">
        <v>7</v>
      </c>
      <c r="O316">
        <v>0</v>
      </c>
      <c r="P316">
        <v>0</v>
      </c>
      <c r="Q316">
        <v>979</v>
      </c>
      <c r="R316">
        <v>7</v>
      </c>
      <c r="S316">
        <v>14</v>
      </c>
      <c r="T316">
        <v>0</v>
      </c>
      <c r="U316">
        <v>0</v>
      </c>
      <c r="V316">
        <v>0</v>
      </c>
      <c r="W316">
        <v>18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11</v>
      </c>
      <c r="AD316">
        <v>0</v>
      </c>
      <c r="AE316">
        <v>43</v>
      </c>
      <c r="AF316">
        <v>96</v>
      </c>
      <c r="AJ316">
        <v>4.4000000000000004</v>
      </c>
      <c r="AK316" t="str">
        <f t="shared" si="4"/>
        <v>AY135-5000</v>
      </c>
    </row>
    <row r="317" spans="1:37">
      <c r="A317" t="s">
        <v>596</v>
      </c>
      <c r="B317" t="s">
        <v>595</v>
      </c>
      <c r="C317" t="s">
        <v>325</v>
      </c>
      <c r="E317">
        <v>43</v>
      </c>
      <c r="F317">
        <v>42.1</v>
      </c>
      <c r="G317">
        <v>0</v>
      </c>
      <c r="H317">
        <v>7</v>
      </c>
      <c r="I317">
        <v>17</v>
      </c>
      <c r="J317">
        <v>9</v>
      </c>
      <c r="K317">
        <v>1236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1236</v>
      </c>
      <c r="R317">
        <v>0</v>
      </c>
      <c r="S317">
        <v>0</v>
      </c>
      <c r="T317">
        <v>0</v>
      </c>
      <c r="U317">
        <v>22</v>
      </c>
      <c r="V317">
        <v>0</v>
      </c>
      <c r="W317">
        <v>0</v>
      </c>
      <c r="X317">
        <v>81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103</v>
      </c>
      <c r="AF317">
        <v>111</v>
      </c>
      <c r="AJ317">
        <v>4.4000000000000004</v>
      </c>
      <c r="AK317" t="str">
        <f t="shared" si="4"/>
        <v>AY135-6200</v>
      </c>
    </row>
    <row r="318" spans="1:37">
      <c r="A318" t="s">
        <v>597</v>
      </c>
      <c r="B318" t="s">
        <v>598</v>
      </c>
      <c r="C318" t="s">
        <v>267</v>
      </c>
      <c r="E318">
        <v>50</v>
      </c>
      <c r="F318">
        <v>0</v>
      </c>
      <c r="G318">
        <v>9</v>
      </c>
      <c r="H318">
        <v>0</v>
      </c>
      <c r="I318">
        <v>4</v>
      </c>
      <c r="J318">
        <v>4</v>
      </c>
      <c r="K318">
        <v>955</v>
      </c>
      <c r="L318">
        <v>9</v>
      </c>
      <c r="M318">
        <v>0</v>
      </c>
      <c r="N318">
        <v>7</v>
      </c>
      <c r="O318">
        <v>0</v>
      </c>
      <c r="P318">
        <v>0</v>
      </c>
      <c r="Q318">
        <v>948</v>
      </c>
      <c r="R318">
        <v>7</v>
      </c>
      <c r="S318">
        <v>0</v>
      </c>
      <c r="T318">
        <v>0</v>
      </c>
      <c r="U318">
        <v>0</v>
      </c>
      <c r="V318">
        <v>8</v>
      </c>
      <c r="W318">
        <v>18</v>
      </c>
      <c r="X318">
        <v>0</v>
      </c>
      <c r="Y318">
        <v>18</v>
      </c>
      <c r="Z318">
        <v>0</v>
      </c>
      <c r="AA318">
        <v>0</v>
      </c>
      <c r="AB318">
        <v>4</v>
      </c>
      <c r="AC318">
        <v>0</v>
      </c>
      <c r="AD318">
        <v>5</v>
      </c>
      <c r="AE318">
        <v>53</v>
      </c>
      <c r="AF318">
        <v>174</v>
      </c>
      <c r="AJ318">
        <v>5.9</v>
      </c>
      <c r="AK318" t="str">
        <f t="shared" si="4"/>
        <v>AY160-5000</v>
      </c>
    </row>
    <row r="319" spans="1:37">
      <c r="A319" t="s">
        <v>599</v>
      </c>
      <c r="B319" t="s">
        <v>598</v>
      </c>
      <c r="C319" t="s">
        <v>267</v>
      </c>
      <c r="E319">
        <v>50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2916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2916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17</v>
      </c>
      <c r="AJ319">
        <v>6.4</v>
      </c>
      <c r="AK319" t="str">
        <f t="shared" si="4"/>
        <v>AY160-6200</v>
      </c>
    </row>
    <row r="320" spans="1:37">
      <c r="A320" t="s">
        <v>5555</v>
      </c>
      <c r="B320" t="s">
        <v>600</v>
      </c>
      <c r="C320" t="s">
        <v>68</v>
      </c>
      <c r="E320">
        <v>130</v>
      </c>
      <c r="F320">
        <v>0</v>
      </c>
      <c r="G320">
        <v>3</v>
      </c>
      <c r="H320">
        <v>0</v>
      </c>
      <c r="I320">
        <v>0</v>
      </c>
      <c r="J320">
        <v>17</v>
      </c>
      <c r="K320">
        <v>0</v>
      </c>
      <c r="L320">
        <v>0</v>
      </c>
      <c r="M320">
        <v>0</v>
      </c>
      <c r="N320">
        <v>2</v>
      </c>
      <c r="O320">
        <v>0</v>
      </c>
      <c r="P320">
        <v>0</v>
      </c>
      <c r="Q320">
        <v>-2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201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201</v>
      </c>
      <c r="AF320">
        <v>0</v>
      </c>
      <c r="AJ320">
        <v>0</v>
      </c>
      <c r="AK320" t="str">
        <f t="shared" si="4"/>
        <v>CC130-3800</v>
      </c>
    </row>
    <row r="321" spans="1:37">
      <c r="A321" t="s">
        <v>601</v>
      </c>
      <c r="B321" t="s">
        <v>600</v>
      </c>
      <c r="C321" t="s">
        <v>68</v>
      </c>
      <c r="E321">
        <v>130</v>
      </c>
      <c r="F321">
        <v>0.2</v>
      </c>
      <c r="G321">
        <v>872</v>
      </c>
      <c r="H321">
        <v>1990</v>
      </c>
      <c r="I321">
        <v>1659</v>
      </c>
      <c r="J321">
        <v>1747</v>
      </c>
      <c r="K321">
        <v>2256</v>
      </c>
      <c r="L321">
        <v>2802</v>
      </c>
      <c r="M321">
        <v>0</v>
      </c>
      <c r="N321">
        <v>727</v>
      </c>
      <c r="O321">
        <v>0</v>
      </c>
      <c r="P321">
        <v>0</v>
      </c>
      <c r="Q321">
        <v>1529</v>
      </c>
      <c r="R321">
        <v>0</v>
      </c>
      <c r="S321">
        <v>1001</v>
      </c>
      <c r="T321">
        <v>3998</v>
      </c>
      <c r="U321">
        <v>972</v>
      </c>
      <c r="V321">
        <v>2971</v>
      </c>
      <c r="W321">
        <v>1011</v>
      </c>
      <c r="X321">
        <v>0</v>
      </c>
      <c r="Y321">
        <v>2608</v>
      </c>
      <c r="Z321">
        <v>1143</v>
      </c>
      <c r="AA321">
        <v>0</v>
      </c>
      <c r="AB321">
        <v>4658</v>
      </c>
      <c r="AC321">
        <v>1184</v>
      </c>
      <c r="AD321">
        <v>1422</v>
      </c>
      <c r="AE321">
        <v>20968</v>
      </c>
      <c r="AF321">
        <v>10586</v>
      </c>
      <c r="AJ321">
        <v>2.88</v>
      </c>
      <c r="AK321" t="str">
        <f t="shared" si="4"/>
        <v>CC130-5000</v>
      </c>
    </row>
    <row r="322" spans="1:37">
      <c r="A322" t="s">
        <v>602</v>
      </c>
      <c r="B322" t="s">
        <v>600</v>
      </c>
      <c r="C322" t="s">
        <v>68</v>
      </c>
      <c r="E322">
        <v>130</v>
      </c>
      <c r="F322">
        <v>0.4</v>
      </c>
      <c r="G322">
        <v>238</v>
      </c>
      <c r="H322">
        <v>2136</v>
      </c>
      <c r="I322">
        <v>1734</v>
      </c>
      <c r="J322">
        <v>1955</v>
      </c>
      <c r="K322">
        <v>3784</v>
      </c>
      <c r="L322">
        <v>2996</v>
      </c>
      <c r="M322">
        <v>0</v>
      </c>
      <c r="N322">
        <v>198</v>
      </c>
      <c r="O322">
        <v>0</v>
      </c>
      <c r="P322">
        <v>0</v>
      </c>
      <c r="Q322">
        <v>3586</v>
      </c>
      <c r="R322">
        <v>0</v>
      </c>
      <c r="S322">
        <v>591</v>
      </c>
      <c r="T322">
        <v>3011</v>
      </c>
      <c r="U322">
        <v>2806</v>
      </c>
      <c r="V322">
        <v>2655</v>
      </c>
      <c r="W322">
        <v>1343</v>
      </c>
      <c r="X322">
        <v>0</v>
      </c>
      <c r="Y322">
        <v>1175</v>
      </c>
      <c r="Z322">
        <v>2737</v>
      </c>
      <c r="AA322">
        <v>13</v>
      </c>
      <c r="AB322">
        <v>3451</v>
      </c>
      <c r="AC322">
        <v>2974</v>
      </c>
      <c r="AD322">
        <v>2704</v>
      </c>
      <c r="AE322">
        <v>23460</v>
      </c>
      <c r="AF322">
        <v>23186</v>
      </c>
      <c r="AJ322">
        <v>2.88</v>
      </c>
      <c r="AK322" t="str">
        <f t="shared" si="4"/>
        <v>CC130-6200</v>
      </c>
    </row>
    <row r="323" spans="1:37">
      <c r="A323" t="s">
        <v>603</v>
      </c>
      <c r="B323" t="s">
        <v>604</v>
      </c>
      <c r="C323" t="s">
        <v>68</v>
      </c>
      <c r="E323">
        <v>65</v>
      </c>
      <c r="F323">
        <v>0</v>
      </c>
      <c r="G323">
        <v>0</v>
      </c>
      <c r="H323">
        <v>0</v>
      </c>
      <c r="I323">
        <v>0</v>
      </c>
      <c r="J323">
        <v>3</v>
      </c>
      <c r="K323">
        <v>1125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1125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32</v>
      </c>
      <c r="AE323">
        <v>32</v>
      </c>
      <c r="AF323">
        <v>279</v>
      </c>
      <c r="AJ323">
        <v>0</v>
      </c>
      <c r="AK323" t="str">
        <f t="shared" si="4"/>
        <v>CLEAN-3700</v>
      </c>
    </row>
    <row r="324" spans="1:37">
      <c r="A324" t="s">
        <v>605</v>
      </c>
      <c r="B324" t="s">
        <v>604</v>
      </c>
      <c r="C324" t="s">
        <v>68</v>
      </c>
      <c r="E324">
        <v>65</v>
      </c>
      <c r="F324">
        <v>33.200000000000003</v>
      </c>
      <c r="G324">
        <v>897</v>
      </c>
      <c r="H324">
        <v>86</v>
      </c>
      <c r="I324">
        <v>316</v>
      </c>
      <c r="J324">
        <v>345</v>
      </c>
      <c r="K324">
        <v>12175</v>
      </c>
      <c r="L324">
        <v>1082</v>
      </c>
      <c r="M324">
        <v>0</v>
      </c>
      <c r="N324">
        <v>747</v>
      </c>
      <c r="O324">
        <v>0</v>
      </c>
      <c r="P324">
        <v>0</v>
      </c>
      <c r="Q324">
        <v>11428</v>
      </c>
      <c r="R324">
        <v>0</v>
      </c>
      <c r="S324">
        <v>0</v>
      </c>
      <c r="T324">
        <v>0</v>
      </c>
      <c r="U324">
        <v>258</v>
      </c>
      <c r="V324">
        <v>368</v>
      </c>
      <c r="W324">
        <v>333</v>
      </c>
      <c r="X324">
        <v>934</v>
      </c>
      <c r="Y324">
        <v>442</v>
      </c>
      <c r="Z324">
        <v>0</v>
      </c>
      <c r="AA324">
        <v>336</v>
      </c>
      <c r="AB324">
        <v>690</v>
      </c>
      <c r="AC324">
        <v>283</v>
      </c>
      <c r="AD324">
        <v>494</v>
      </c>
      <c r="AE324">
        <v>4138</v>
      </c>
      <c r="AF324">
        <v>4667</v>
      </c>
      <c r="AJ324">
        <v>0</v>
      </c>
      <c r="AK324" t="str">
        <f t="shared" si="4"/>
        <v>CLEAN-5000</v>
      </c>
    </row>
    <row r="325" spans="1:37">
      <c r="A325" t="s">
        <v>606</v>
      </c>
      <c r="B325" t="s">
        <v>604</v>
      </c>
      <c r="C325" t="s">
        <v>68</v>
      </c>
      <c r="E325">
        <v>65</v>
      </c>
      <c r="F325">
        <v>0</v>
      </c>
      <c r="G325">
        <v>497</v>
      </c>
      <c r="H325">
        <v>0</v>
      </c>
      <c r="I325">
        <v>121</v>
      </c>
      <c r="J325">
        <v>113</v>
      </c>
      <c r="K325">
        <v>0</v>
      </c>
      <c r="L325">
        <v>678</v>
      </c>
      <c r="M325">
        <v>0</v>
      </c>
      <c r="N325">
        <v>414</v>
      </c>
      <c r="O325">
        <v>0</v>
      </c>
      <c r="P325">
        <v>0</v>
      </c>
      <c r="Q325">
        <v>-414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726</v>
      </c>
      <c r="X325">
        <v>0</v>
      </c>
      <c r="Y325">
        <v>162</v>
      </c>
      <c r="Z325">
        <v>0</v>
      </c>
      <c r="AA325">
        <v>469</v>
      </c>
      <c r="AB325">
        <v>0</v>
      </c>
      <c r="AC325">
        <v>0</v>
      </c>
      <c r="AD325">
        <v>0</v>
      </c>
      <c r="AE325">
        <v>1357</v>
      </c>
      <c r="AF325">
        <v>5883</v>
      </c>
      <c r="AJ325">
        <v>0</v>
      </c>
      <c r="AK325" t="str">
        <f t="shared" ref="AK325:AK388" si="5">MID(A325,4,10)</f>
        <v>CLEAN-6200</v>
      </c>
    </row>
    <row r="326" spans="1:37">
      <c r="A326" t="s">
        <v>607</v>
      </c>
      <c r="B326" t="s">
        <v>608</v>
      </c>
      <c r="C326" t="s">
        <v>101</v>
      </c>
      <c r="D326" t="s">
        <v>609</v>
      </c>
      <c r="E326">
        <v>50</v>
      </c>
      <c r="F326">
        <v>0.4</v>
      </c>
      <c r="G326">
        <v>3403</v>
      </c>
      <c r="H326">
        <v>1869</v>
      </c>
      <c r="I326">
        <v>2125</v>
      </c>
      <c r="J326">
        <v>1784</v>
      </c>
      <c r="K326">
        <v>5804</v>
      </c>
      <c r="L326">
        <v>540</v>
      </c>
      <c r="M326">
        <v>0</v>
      </c>
      <c r="N326">
        <v>2836</v>
      </c>
      <c r="O326">
        <v>0</v>
      </c>
      <c r="P326">
        <v>0</v>
      </c>
      <c r="Q326">
        <v>2968</v>
      </c>
      <c r="R326">
        <v>0</v>
      </c>
      <c r="S326">
        <v>1650</v>
      </c>
      <c r="T326">
        <v>1584</v>
      </c>
      <c r="U326">
        <v>2373</v>
      </c>
      <c r="V326">
        <v>1452</v>
      </c>
      <c r="W326">
        <v>3484</v>
      </c>
      <c r="X326">
        <v>2207</v>
      </c>
      <c r="Y326">
        <v>1673</v>
      </c>
      <c r="Z326">
        <v>1972</v>
      </c>
      <c r="AA326">
        <v>1833</v>
      </c>
      <c r="AB326">
        <v>1463</v>
      </c>
      <c r="AC326">
        <v>1012</v>
      </c>
      <c r="AD326">
        <v>699</v>
      </c>
      <c r="AE326">
        <v>21402</v>
      </c>
      <c r="AF326">
        <v>14090</v>
      </c>
      <c r="AJ326">
        <v>0.86</v>
      </c>
      <c r="AK326" t="str">
        <f t="shared" si="5"/>
        <v>DB010-4300</v>
      </c>
    </row>
    <row r="327" spans="1:37">
      <c r="A327" t="s">
        <v>610</v>
      </c>
      <c r="B327" t="s">
        <v>608</v>
      </c>
      <c r="C327" t="s">
        <v>101</v>
      </c>
      <c r="D327" t="s">
        <v>609</v>
      </c>
      <c r="E327">
        <v>50</v>
      </c>
      <c r="F327">
        <v>12.4</v>
      </c>
      <c r="G327">
        <v>171</v>
      </c>
      <c r="H327">
        <v>207</v>
      </c>
      <c r="I327">
        <v>1321</v>
      </c>
      <c r="J327">
        <v>792</v>
      </c>
      <c r="K327">
        <v>10376</v>
      </c>
      <c r="L327">
        <v>421</v>
      </c>
      <c r="M327">
        <v>0</v>
      </c>
      <c r="N327">
        <v>142</v>
      </c>
      <c r="O327">
        <v>0</v>
      </c>
      <c r="P327">
        <v>0</v>
      </c>
      <c r="Q327">
        <v>10234</v>
      </c>
      <c r="R327">
        <v>0</v>
      </c>
      <c r="S327">
        <v>341</v>
      </c>
      <c r="T327">
        <v>0</v>
      </c>
      <c r="U327">
        <v>280</v>
      </c>
      <c r="V327">
        <v>6815</v>
      </c>
      <c r="W327">
        <v>364</v>
      </c>
      <c r="X327">
        <v>125</v>
      </c>
      <c r="Y327">
        <v>239</v>
      </c>
      <c r="Z327">
        <v>498</v>
      </c>
      <c r="AA327">
        <v>26</v>
      </c>
      <c r="AB327">
        <v>121</v>
      </c>
      <c r="AC327">
        <v>0</v>
      </c>
      <c r="AD327">
        <v>700</v>
      </c>
      <c r="AE327">
        <v>9509</v>
      </c>
      <c r="AF327">
        <v>1056</v>
      </c>
      <c r="AJ327">
        <v>0.74</v>
      </c>
      <c r="AK327" t="str">
        <f t="shared" si="5"/>
        <v>DB010-5000</v>
      </c>
    </row>
    <row r="328" spans="1:37">
      <c r="A328" t="s">
        <v>611</v>
      </c>
      <c r="B328" t="s">
        <v>608</v>
      </c>
      <c r="C328" t="s">
        <v>101</v>
      </c>
      <c r="D328" t="s">
        <v>609</v>
      </c>
      <c r="E328">
        <v>50</v>
      </c>
      <c r="F328">
        <v>0.3</v>
      </c>
      <c r="G328">
        <v>825</v>
      </c>
      <c r="H328">
        <v>416</v>
      </c>
      <c r="I328">
        <v>298</v>
      </c>
      <c r="J328">
        <v>149</v>
      </c>
      <c r="K328">
        <v>1171</v>
      </c>
      <c r="L328">
        <v>205</v>
      </c>
      <c r="M328">
        <v>0</v>
      </c>
      <c r="N328">
        <v>687</v>
      </c>
      <c r="O328">
        <v>0</v>
      </c>
      <c r="P328">
        <v>0</v>
      </c>
      <c r="Q328">
        <v>484</v>
      </c>
      <c r="R328">
        <v>0</v>
      </c>
      <c r="S328">
        <v>559</v>
      </c>
      <c r="T328">
        <v>0</v>
      </c>
      <c r="U328">
        <v>690</v>
      </c>
      <c r="V328">
        <v>0</v>
      </c>
      <c r="W328">
        <v>540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1789</v>
      </c>
      <c r="AF328">
        <v>0</v>
      </c>
      <c r="AJ328">
        <v>0.84</v>
      </c>
      <c r="AK328" t="str">
        <f t="shared" si="5"/>
        <v>DB010-6200</v>
      </c>
    </row>
    <row r="329" spans="1:37">
      <c r="A329" t="s">
        <v>612</v>
      </c>
      <c r="B329" t="s">
        <v>613</v>
      </c>
      <c r="C329" t="s">
        <v>101</v>
      </c>
      <c r="D329" t="s">
        <v>614</v>
      </c>
      <c r="E329">
        <v>50</v>
      </c>
      <c r="F329">
        <v>1.5</v>
      </c>
      <c r="G329">
        <v>1974</v>
      </c>
      <c r="H329">
        <v>753</v>
      </c>
      <c r="I329">
        <v>1066</v>
      </c>
      <c r="J329">
        <v>1039</v>
      </c>
      <c r="K329">
        <v>6231</v>
      </c>
      <c r="L329">
        <v>109</v>
      </c>
      <c r="M329">
        <v>0</v>
      </c>
      <c r="N329">
        <v>1645</v>
      </c>
      <c r="O329">
        <v>0</v>
      </c>
      <c r="P329">
        <v>0</v>
      </c>
      <c r="Q329">
        <v>4586</v>
      </c>
      <c r="R329">
        <v>0</v>
      </c>
      <c r="S329">
        <v>945</v>
      </c>
      <c r="T329">
        <v>672</v>
      </c>
      <c r="U329">
        <v>642</v>
      </c>
      <c r="V329">
        <v>974</v>
      </c>
      <c r="W329">
        <v>2263</v>
      </c>
      <c r="X329">
        <v>900</v>
      </c>
      <c r="Y329">
        <v>1286</v>
      </c>
      <c r="Z329">
        <v>1000</v>
      </c>
      <c r="AA329">
        <v>1391</v>
      </c>
      <c r="AB329">
        <v>1325</v>
      </c>
      <c r="AC329">
        <v>384</v>
      </c>
      <c r="AD329">
        <v>680</v>
      </c>
      <c r="AE329">
        <v>12462</v>
      </c>
      <c r="AF329">
        <v>9487</v>
      </c>
      <c r="AJ329">
        <v>0.86</v>
      </c>
      <c r="AK329" t="str">
        <f t="shared" si="5"/>
        <v>DB010-6212</v>
      </c>
    </row>
    <row r="330" spans="1:37">
      <c r="A330" t="s">
        <v>615</v>
      </c>
      <c r="B330" t="s">
        <v>616</v>
      </c>
      <c r="C330" t="s">
        <v>267</v>
      </c>
      <c r="E330">
        <v>37</v>
      </c>
      <c r="F330">
        <v>0.7</v>
      </c>
      <c r="G330">
        <v>0</v>
      </c>
      <c r="H330">
        <v>8797</v>
      </c>
      <c r="I330">
        <v>12716</v>
      </c>
      <c r="J330">
        <v>7177</v>
      </c>
      <c r="K330">
        <v>26374</v>
      </c>
      <c r="L330">
        <v>1120</v>
      </c>
      <c r="M330">
        <v>646</v>
      </c>
      <c r="N330">
        <v>0</v>
      </c>
      <c r="O330">
        <v>0</v>
      </c>
      <c r="P330">
        <v>0</v>
      </c>
      <c r="Q330">
        <v>26374</v>
      </c>
      <c r="R330">
        <v>1146</v>
      </c>
      <c r="S330">
        <v>14667</v>
      </c>
      <c r="T330">
        <v>6468</v>
      </c>
      <c r="U330">
        <v>5256</v>
      </c>
      <c r="V330">
        <v>17005</v>
      </c>
      <c r="W330">
        <v>19194</v>
      </c>
      <c r="X330">
        <v>13703</v>
      </c>
      <c r="Y330">
        <v>9826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86119</v>
      </c>
      <c r="AF330">
        <v>0</v>
      </c>
      <c r="AJ330">
        <v>0.75780000000000003</v>
      </c>
      <c r="AK330" t="str">
        <f t="shared" si="5"/>
        <v>DR037-5014</v>
      </c>
    </row>
    <row r="331" spans="1:37">
      <c r="A331" t="s">
        <v>617</v>
      </c>
      <c r="B331" t="s">
        <v>616</v>
      </c>
      <c r="C331" t="s">
        <v>267</v>
      </c>
      <c r="E331">
        <v>37</v>
      </c>
      <c r="F331">
        <v>1.8</v>
      </c>
      <c r="G331">
        <v>0</v>
      </c>
      <c r="H331">
        <v>3009</v>
      </c>
      <c r="I331">
        <v>2994</v>
      </c>
      <c r="J331">
        <v>1687</v>
      </c>
      <c r="K331">
        <v>22136</v>
      </c>
      <c r="L331">
        <v>1802</v>
      </c>
      <c r="M331">
        <v>559</v>
      </c>
      <c r="N331">
        <v>0</v>
      </c>
      <c r="O331">
        <v>0</v>
      </c>
      <c r="P331">
        <v>0</v>
      </c>
      <c r="Q331">
        <v>22136</v>
      </c>
      <c r="R331">
        <v>0</v>
      </c>
      <c r="S331">
        <v>6005</v>
      </c>
      <c r="T331">
        <v>3022</v>
      </c>
      <c r="U331">
        <v>0</v>
      </c>
      <c r="V331">
        <v>2473</v>
      </c>
      <c r="W331">
        <v>2617</v>
      </c>
      <c r="X331">
        <v>3846</v>
      </c>
      <c r="Y331">
        <v>2287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20249</v>
      </c>
      <c r="AF331">
        <v>0</v>
      </c>
      <c r="AJ331">
        <v>0</v>
      </c>
      <c r="AK331" t="str">
        <f t="shared" si="5"/>
        <v>DR037-6275</v>
      </c>
    </row>
    <row r="332" spans="1:37">
      <c r="A332" t="s">
        <v>618</v>
      </c>
      <c r="B332" t="s">
        <v>619</v>
      </c>
      <c r="C332" t="s">
        <v>620</v>
      </c>
      <c r="E332">
        <v>147</v>
      </c>
      <c r="F332">
        <v>0.2</v>
      </c>
      <c r="G332">
        <v>14946</v>
      </c>
      <c r="H332">
        <v>15650</v>
      </c>
      <c r="I332">
        <v>16473</v>
      </c>
      <c r="J332">
        <v>16516</v>
      </c>
      <c r="K332">
        <v>24565</v>
      </c>
      <c r="L332">
        <v>5803</v>
      </c>
      <c r="M332">
        <v>0</v>
      </c>
      <c r="N332">
        <v>12455</v>
      </c>
      <c r="O332">
        <v>0</v>
      </c>
      <c r="P332">
        <v>0</v>
      </c>
      <c r="Q332">
        <v>12110</v>
      </c>
      <c r="R332">
        <v>0</v>
      </c>
      <c r="S332">
        <v>12780</v>
      </c>
      <c r="T332">
        <v>15335</v>
      </c>
      <c r="U332">
        <v>18835</v>
      </c>
      <c r="V332">
        <v>5025</v>
      </c>
      <c r="W332">
        <v>34295</v>
      </c>
      <c r="X332">
        <v>12570</v>
      </c>
      <c r="Y332">
        <v>17715</v>
      </c>
      <c r="Z332">
        <v>15260</v>
      </c>
      <c r="AA332">
        <v>5245</v>
      </c>
      <c r="AB332">
        <v>22920</v>
      </c>
      <c r="AC332">
        <v>17960</v>
      </c>
      <c r="AD332">
        <v>20255</v>
      </c>
      <c r="AE332">
        <v>198195</v>
      </c>
      <c r="AF332">
        <v>279046</v>
      </c>
      <c r="AJ332">
        <v>0.39400000000000002</v>
      </c>
      <c r="AK332" t="str">
        <f t="shared" si="5"/>
        <v>DR148-3714</v>
      </c>
    </row>
    <row r="333" spans="1:37">
      <c r="A333" t="s">
        <v>621</v>
      </c>
      <c r="B333" t="s">
        <v>619</v>
      </c>
      <c r="C333" t="s">
        <v>622</v>
      </c>
      <c r="E333">
        <v>147</v>
      </c>
      <c r="F333">
        <v>0.3</v>
      </c>
      <c r="G333">
        <v>347319</v>
      </c>
      <c r="H333">
        <v>230017</v>
      </c>
      <c r="I333">
        <v>262073</v>
      </c>
      <c r="J333">
        <v>222168</v>
      </c>
      <c r="K333">
        <v>565495</v>
      </c>
      <c r="L333">
        <v>49309</v>
      </c>
      <c r="M333">
        <v>0</v>
      </c>
      <c r="N333">
        <v>289433</v>
      </c>
      <c r="O333">
        <v>0</v>
      </c>
      <c r="P333">
        <v>806870</v>
      </c>
      <c r="Q333">
        <v>276062</v>
      </c>
      <c r="R333">
        <v>6125</v>
      </c>
      <c r="S333">
        <v>206445</v>
      </c>
      <c r="T333">
        <v>252817</v>
      </c>
      <c r="U333">
        <v>230790</v>
      </c>
      <c r="V333">
        <v>260830</v>
      </c>
      <c r="W333">
        <v>375287</v>
      </c>
      <c r="X333">
        <v>246270</v>
      </c>
      <c r="Y333">
        <v>239415</v>
      </c>
      <c r="Z333">
        <v>239236</v>
      </c>
      <c r="AA333">
        <v>234375</v>
      </c>
      <c r="AB333">
        <v>112768</v>
      </c>
      <c r="AC333">
        <v>178590</v>
      </c>
      <c r="AD333">
        <v>89195</v>
      </c>
      <c r="AE333">
        <v>2666018</v>
      </c>
      <c r="AF333">
        <v>2013596</v>
      </c>
      <c r="AG333" t="s">
        <v>5493</v>
      </c>
      <c r="AH333">
        <v>1</v>
      </c>
      <c r="AI333">
        <v>600000</v>
      </c>
      <c r="AJ333">
        <v>0.47899999999999998</v>
      </c>
      <c r="AK333" t="str">
        <f t="shared" si="5"/>
        <v>DR148-4434</v>
      </c>
    </row>
    <row r="334" spans="1:37">
      <c r="A334" t="s">
        <v>623</v>
      </c>
      <c r="B334" t="s">
        <v>619</v>
      </c>
      <c r="C334" t="s">
        <v>110</v>
      </c>
      <c r="E334">
        <v>147</v>
      </c>
      <c r="F334">
        <v>1.1000000000000001</v>
      </c>
      <c r="G334">
        <v>627563</v>
      </c>
      <c r="H334">
        <v>396232</v>
      </c>
      <c r="I334">
        <v>394607</v>
      </c>
      <c r="J334">
        <v>481006</v>
      </c>
      <c r="K334">
        <v>2233979</v>
      </c>
      <c r="L334">
        <v>203324</v>
      </c>
      <c r="M334">
        <v>0</v>
      </c>
      <c r="N334">
        <v>522969</v>
      </c>
      <c r="O334">
        <v>0</v>
      </c>
      <c r="P334">
        <v>0</v>
      </c>
      <c r="Q334">
        <v>1711010</v>
      </c>
      <c r="R334">
        <v>6915</v>
      </c>
      <c r="S334">
        <v>368423</v>
      </c>
      <c r="T334">
        <v>439497</v>
      </c>
      <c r="U334">
        <v>380775</v>
      </c>
      <c r="V334">
        <v>383714</v>
      </c>
      <c r="W334">
        <v>416731</v>
      </c>
      <c r="X334">
        <v>378502</v>
      </c>
      <c r="Y334">
        <v>494343</v>
      </c>
      <c r="Z334">
        <v>485762</v>
      </c>
      <c r="AA334">
        <v>528193</v>
      </c>
      <c r="AB334">
        <v>686714</v>
      </c>
      <c r="AC334">
        <v>629123</v>
      </c>
      <c r="AD334">
        <v>580298</v>
      </c>
      <c r="AE334">
        <v>5772075</v>
      </c>
      <c r="AF334">
        <v>5861857</v>
      </c>
      <c r="AG334" t="s">
        <v>625</v>
      </c>
      <c r="AH334">
        <v>1</v>
      </c>
      <c r="AI334">
        <v>200000</v>
      </c>
      <c r="AJ334">
        <v>0.44500000000000001</v>
      </c>
      <c r="AK334" t="str">
        <f t="shared" si="5"/>
        <v>DR148-5014</v>
      </c>
    </row>
    <row r="335" spans="1:37">
      <c r="A335" t="s">
        <v>623</v>
      </c>
      <c r="B335" t="s">
        <v>619</v>
      </c>
      <c r="C335" t="s">
        <v>110</v>
      </c>
      <c r="E335">
        <v>147</v>
      </c>
      <c r="AG335" t="s">
        <v>626</v>
      </c>
      <c r="AH335">
        <v>1</v>
      </c>
      <c r="AI335">
        <v>200000</v>
      </c>
      <c r="AK335" t="str">
        <f t="shared" si="5"/>
        <v>DR148-5014</v>
      </c>
    </row>
    <row r="336" spans="1:37">
      <c r="A336" t="s">
        <v>623</v>
      </c>
      <c r="B336" t="s">
        <v>619</v>
      </c>
      <c r="C336" t="s">
        <v>622</v>
      </c>
      <c r="E336">
        <v>147</v>
      </c>
      <c r="AG336" t="s">
        <v>5493</v>
      </c>
      <c r="AH336">
        <v>2</v>
      </c>
      <c r="AI336">
        <v>300000</v>
      </c>
      <c r="AK336" t="str">
        <f t="shared" si="5"/>
        <v>DR148-5014</v>
      </c>
    </row>
    <row r="337" spans="1:37">
      <c r="A337" t="s">
        <v>627</v>
      </c>
      <c r="B337" t="s">
        <v>628</v>
      </c>
      <c r="C337" t="s">
        <v>622</v>
      </c>
      <c r="D337" t="s">
        <v>629</v>
      </c>
      <c r="E337">
        <v>147</v>
      </c>
      <c r="F337">
        <v>0.8</v>
      </c>
      <c r="G337">
        <v>0</v>
      </c>
      <c r="H337">
        <v>82206</v>
      </c>
      <c r="I337">
        <v>124776</v>
      </c>
      <c r="J337">
        <v>74223</v>
      </c>
      <c r="K337">
        <v>266456</v>
      </c>
      <c r="L337">
        <v>80389</v>
      </c>
      <c r="M337">
        <v>0</v>
      </c>
      <c r="N337">
        <v>0</v>
      </c>
      <c r="O337">
        <v>0</v>
      </c>
      <c r="P337">
        <v>508755</v>
      </c>
      <c r="Q337">
        <v>266456</v>
      </c>
      <c r="R337">
        <v>13645</v>
      </c>
      <c r="S337">
        <v>80570</v>
      </c>
      <c r="T337">
        <v>51273</v>
      </c>
      <c r="U337">
        <v>114774</v>
      </c>
      <c r="V337">
        <v>244458</v>
      </c>
      <c r="W337">
        <v>156589</v>
      </c>
      <c r="X337">
        <v>100990</v>
      </c>
      <c r="Y337">
        <v>48189</v>
      </c>
      <c r="Z337">
        <v>75500</v>
      </c>
      <c r="AA337">
        <v>18338</v>
      </c>
      <c r="AB337">
        <v>0</v>
      </c>
      <c r="AC337">
        <v>0</v>
      </c>
      <c r="AD337">
        <v>0</v>
      </c>
      <c r="AE337">
        <v>890681</v>
      </c>
      <c r="AF337">
        <v>0</v>
      </c>
      <c r="AG337" t="s">
        <v>630</v>
      </c>
      <c r="AH337">
        <v>1</v>
      </c>
      <c r="AI337">
        <v>8780</v>
      </c>
      <c r="AJ337">
        <v>0.47899999999999998</v>
      </c>
      <c r="AK337" t="str">
        <f t="shared" si="5"/>
        <v>DR148-5CPL</v>
      </c>
    </row>
    <row r="338" spans="1:37">
      <c r="A338" t="s">
        <v>631</v>
      </c>
      <c r="B338" t="s">
        <v>619</v>
      </c>
      <c r="C338" t="s">
        <v>110</v>
      </c>
      <c r="E338">
        <v>147</v>
      </c>
      <c r="F338">
        <v>0.9</v>
      </c>
      <c r="G338">
        <v>1020594</v>
      </c>
      <c r="H338">
        <v>605079</v>
      </c>
      <c r="I338">
        <v>604586</v>
      </c>
      <c r="J338">
        <v>593178</v>
      </c>
      <c r="K338">
        <v>2963527</v>
      </c>
      <c r="L338">
        <v>309322</v>
      </c>
      <c r="M338">
        <v>0</v>
      </c>
      <c r="N338">
        <v>850495</v>
      </c>
      <c r="O338">
        <v>0</v>
      </c>
      <c r="P338">
        <v>0</v>
      </c>
      <c r="Q338">
        <v>2113032</v>
      </c>
      <c r="R338">
        <v>60121</v>
      </c>
      <c r="S338">
        <v>622435</v>
      </c>
      <c r="T338">
        <v>545323</v>
      </c>
      <c r="U338">
        <v>647480</v>
      </c>
      <c r="V338">
        <v>467634</v>
      </c>
      <c r="W338">
        <v>906125</v>
      </c>
      <c r="X338">
        <v>438517</v>
      </c>
      <c r="Y338">
        <v>646263</v>
      </c>
      <c r="Z338">
        <v>579320</v>
      </c>
      <c r="AA338">
        <v>546544</v>
      </c>
      <c r="AB338">
        <v>753435</v>
      </c>
      <c r="AC338">
        <v>447775</v>
      </c>
      <c r="AD338">
        <v>517283</v>
      </c>
      <c r="AE338">
        <v>7118134</v>
      </c>
      <c r="AF338">
        <v>5838144</v>
      </c>
      <c r="AG338" t="s">
        <v>632</v>
      </c>
      <c r="AH338">
        <v>2</v>
      </c>
      <c r="AI338">
        <v>10674</v>
      </c>
      <c r="AJ338">
        <v>0.44500000000000001</v>
      </c>
      <c r="AK338" t="str">
        <f t="shared" si="5"/>
        <v>DR148-6212</v>
      </c>
    </row>
    <row r="339" spans="1:37">
      <c r="A339" t="s">
        <v>631</v>
      </c>
      <c r="B339" t="s">
        <v>619</v>
      </c>
      <c r="C339" t="s">
        <v>622</v>
      </c>
      <c r="E339">
        <v>147</v>
      </c>
      <c r="AG339" t="s">
        <v>633</v>
      </c>
      <c r="AH339">
        <v>3</v>
      </c>
      <c r="AI339">
        <v>80</v>
      </c>
      <c r="AK339" t="str">
        <f t="shared" si="5"/>
        <v>DR148-6212</v>
      </c>
    </row>
    <row r="340" spans="1:37">
      <c r="A340" t="s">
        <v>631</v>
      </c>
      <c r="B340" t="s">
        <v>619</v>
      </c>
      <c r="C340" t="s">
        <v>110</v>
      </c>
      <c r="E340">
        <v>147</v>
      </c>
      <c r="AG340" t="s">
        <v>624</v>
      </c>
      <c r="AH340">
        <v>2</v>
      </c>
      <c r="AI340">
        <v>150984</v>
      </c>
      <c r="AK340" t="str">
        <f t="shared" si="5"/>
        <v>DR148-6212</v>
      </c>
    </row>
    <row r="341" spans="1:37">
      <c r="A341" t="s">
        <v>631</v>
      </c>
      <c r="B341" t="s">
        <v>619</v>
      </c>
      <c r="C341" t="s">
        <v>110</v>
      </c>
      <c r="E341">
        <v>147</v>
      </c>
      <c r="AG341" t="s">
        <v>625</v>
      </c>
      <c r="AH341">
        <v>2</v>
      </c>
      <c r="AI341">
        <v>400000</v>
      </c>
      <c r="AK341" t="str">
        <f t="shared" si="5"/>
        <v>DR148-6212</v>
      </c>
    </row>
    <row r="342" spans="1:37">
      <c r="A342" t="s">
        <v>631</v>
      </c>
      <c r="B342" t="s">
        <v>619</v>
      </c>
      <c r="C342" t="s">
        <v>110</v>
      </c>
      <c r="E342">
        <v>147</v>
      </c>
      <c r="AG342" t="s">
        <v>626</v>
      </c>
      <c r="AH342">
        <v>2</v>
      </c>
      <c r="AI342">
        <v>300000</v>
      </c>
      <c r="AK342" t="str">
        <f t="shared" si="5"/>
        <v>DR148-6212</v>
      </c>
    </row>
    <row r="343" spans="1:37">
      <c r="A343" t="s">
        <v>631</v>
      </c>
      <c r="B343" t="s">
        <v>619</v>
      </c>
      <c r="C343" t="s">
        <v>622</v>
      </c>
      <c r="E343">
        <v>147</v>
      </c>
      <c r="AG343" t="s">
        <v>5493</v>
      </c>
      <c r="AH343">
        <v>3</v>
      </c>
      <c r="AI343">
        <v>300000</v>
      </c>
      <c r="AK343" t="str">
        <f t="shared" si="5"/>
        <v>DR148-6212</v>
      </c>
    </row>
    <row r="344" spans="1:37">
      <c r="A344" t="s">
        <v>634</v>
      </c>
      <c r="B344" t="s">
        <v>619</v>
      </c>
      <c r="C344" t="s">
        <v>620</v>
      </c>
      <c r="D344" t="s">
        <v>635</v>
      </c>
      <c r="E344">
        <v>147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3980</v>
      </c>
      <c r="AJ344">
        <v>0.39400000000000002</v>
      </c>
      <c r="AK344" t="str">
        <f t="shared" si="5"/>
        <v>DR148-6234</v>
      </c>
    </row>
    <row r="345" spans="1:37">
      <c r="A345" t="s">
        <v>636</v>
      </c>
      <c r="B345" t="s">
        <v>619</v>
      </c>
      <c r="C345" t="s">
        <v>620</v>
      </c>
      <c r="E345">
        <v>145</v>
      </c>
      <c r="F345">
        <v>0</v>
      </c>
      <c r="G345">
        <v>0</v>
      </c>
      <c r="H345">
        <v>5740</v>
      </c>
      <c r="I345">
        <v>2870</v>
      </c>
      <c r="J345">
        <v>1435</v>
      </c>
      <c r="K345">
        <v>0</v>
      </c>
      <c r="L345">
        <v>5425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17219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17219</v>
      </c>
      <c r="AF345">
        <v>0</v>
      </c>
      <c r="AJ345">
        <v>0.45400000000000001</v>
      </c>
      <c r="AK345" t="str">
        <f t="shared" si="5"/>
        <v>DR148-6500</v>
      </c>
    </row>
    <row r="346" spans="1:37">
      <c r="A346" t="s">
        <v>637</v>
      </c>
      <c r="B346" t="s">
        <v>628</v>
      </c>
      <c r="D346" t="s">
        <v>629</v>
      </c>
      <c r="E346">
        <v>147</v>
      </c>
      <c r="F346">
        <v>1.2</v>
      </c>
      <c r="G346">
        <v>47</v>
      </c>
      <c r="H346">
        <v>30428</v>
      </c>
      <c r="I346">
        <v>31401</v>
      </c>
      <c r="J346">
        <v>23333</v>
      </c>
      <c r="K346">
        <v>144333</v>
      </c>
      <c r="L346">
        <v>22118</v>
      </c>
      <c r="M346">
        <v>0</v>
      </c>
      <c r="N346">
        <v>40</v>
      </c>
      <c r="O346">
        <v>0</v>
      </c>
      <c r="P346">
        <v>171325</v>
      </c>
      <c r="Q346">
        <v>144293</v>
      </c>
      <c r="R346">
        <v>14289</v>
      </c>
      <c r="S346">
        <v>71763</v>
      </c>
      <c r="T346">
        <v>9710</v>
      </c>
      <c r="U346">
        <v>9811</v>
      </c>
      <c r="V346">
        <v>46794</v>
      </c>
      <c r="W346">
        <v>35770</v>
      </c>
      <c r="X346">
        <v>14555</v>
      </c>
      <c r="Y346">
        <v>34757</v>
      </c>
      <c r="Z346">
        <v>56841</v>
      </c>
      <c r="AA346">
        <v>0</v>
      </c>
      <c r="AB346">
        <v>0</v>
      </c>
      <c r="AC346">
        <v>0</v>
      </c>
      <c r="AD346">
        <v>0</v>
      </c>
      <c r="AE346">
        <v>280001</v>
      </c>
      <c r="AF346">
        <v>0</v>
      </c>
      <c r="AJ346">
        <v>0.47899999999999998</v>
      </c>
      <c r="AK346" t="str">
        <f t="shared" si="5"/>
        <v>DR148-6CPL</v>
      </c>
    </row>
    <row r="347" spans="1:37">
      <c r="A347" t="s">
        <v>638</v>
      </c>
      <c r="B347" t="s">
        <v>639</v>
      </c>
      <c r="C347" t="s">
        <v>101</v>
      </c>
      <c r="D347" t="s">
        <v>640</v>
      </c>
      <c r="E347">
        <v>59</v>
      </c>
      <c r="F347">
        <v>0.9</v>
      </c>
      <c r="G347">
        <v>3350</v>
      </c>
      <c r="H347">
        <v>1391</v>
      </c>
      <c r="I347">
        <v>1217</v>
      </c>
      <c r="J347">
        <v>1241</v>
      </c>
      <c r="K347">
        <v>7840</v>
      </c>
      <c r="L347">
        <v>2820</v>
      </c>
      <c r="M347">
        <v>0</v>
      </c>
      <c r="N347">
        <v>2792</v>
      </c>
      <c r="O347">
        <v>0</v>
      </c>
      <c r="P347">
        <v>0</v>
      </c>
      <c r="Q347">
        <v>5048</v>
      </c>
      <c r="R347">
        <v>0</v>
      </c>
      <c r="S347">
        <v>2211</v>
      </c>
      <c r="T347">
        <v>1174</v>
      </c>
      <c r="U347">
        <v>787</v>
      </c>
      <c r="V347">
        <v>795</v>
      </c>
      <c r="W347">
        <v>1897</v>
      </c>
      <c r="X347">
        <v>438</v>
      </c>
      <c r="Y347">
        <v>1337</v>
      </c>
      <c r="Z347">
        <v>1365</v>
      </c>
      <c r="AA347">
        <v>752</v>
      </c>
      <c r="AB347">
        <v>1546</v>
      </c>
      <c r="AC347">
        <v>2073</v>
      </c>
      <c r="AD347">
        <v>516</v>
      </c>
      <c r="AE347">
        <v>14891</v>
      </c>
      <c r="AF347">
        <v>13786</v>
      </c>
      <c r="AJ347">
        <v>2.95</v>
      </c>
      <c r="AK347" t="str">
        <f t="shared" si="5"/>
        <v>DS009-5000</v>
      </c>
    </row>
    <row r="348" spans="1:37">
      <c r="A348" t="s">
        <v>641</v>
      </c>
      <c r="B348" t="s">
        <v>639</v>
      </c>
      <c r="C348" t="s">
        <v>101</v>
      </c>
      <c r="D348" t="s">
        <v>640</v>
      </c>
      <c r="E348">
        <v>59</v>
      </c>
      <c r="F348">
        <v>0</v>
      </c>
      <c r="G348">
        <v>1655</v>
      </c>
      <c r="H348">
        <v>1327</v>
      </c>
      <c r="I348">
        <v>1058</v>
      </c>
      <c r="J348">
        <v>977</v>
      </c>
      <c r="K348">
        <v>1260</v>
      </c>
      <c r="L348">
        <v>1670</v>
      </c>
      <c r="M348">
        <v>0</v>
      </c>
      <c r="N348">
        <v>1379</v>
      </c>
      <c r="O348">
        <v>0</v>
      </c>
      <c r="P348">
        <v>0</v>
      </c>
      <c r="Q348">
        <v>-119</v>
      </c>
      <c r="R348">
        <v>0</v>
      </c>
      <c r="S348">
        <v>2410</v>
      </c>
      <c r="T348">
        <v>626</v>
      </c>
      <c r="U348">
        <v>944</v>
      </c>
      <c r="V348">
        <v>541</v>
      </c>
      <c r="W348">
        <v>1342</v>
      </c>
      <c r="X348">
        <v>483</v>
      </c>
      <c r="Y348">
        <v>301</v>
      </c>
      <c r="Z348">
        <v>704</v>
      </c>
      <c r="AA348">
        <v>1392</v>
      </c>
      <c r="AB348">
        <v>1815</v>
      </c>
      <c r="AC348">
        <v>759</v>
      </c>
      <c r="AD348">
        <v>411</v>
      </c>
      <c r="AE348">
        <v>11728</v>
      </c>
      <c r="AF348">
        <v>8546</v>
      </c>
      <c r="AJ348">
        <v>2.95</v>
      </c>
      <c r="AK348" t="str">
        <f t="shared" si="5"/>
        <v>DS009-6200</v>
      </c>
    </row>
    <row r="349" spans="1:37">
      <c r="A349" t="s">
        <v>642</v>
      </c>
      <c r="B349" t="s">
        <v>643</v>
      </c>
      <c r="C349" t="s">
        <v>101</v>
      </c>
      <c r="D349" t="s">
        <v>644</v>
      </c>
      <c r="E349">
        <v>72</v>
      </c>
      <c r="F349">
        <v>0</v>
      </c>
      <c r="G349">
        <v>7</v>
      </c>
      <c r="H349">
        <v>0</v>
      </c>
      <c r="I349">
        <v>0</v>
      </c>
      <c r="J349">
        <v>0</v>
      </c>
      <c r="K349">
        <v>935</v>
      </c>
      <c r="L349">
        <v>27</v>
      </c>
      <c r="M349">
        <v>0</v>
      </c>
      <c r="N349">
        <v>6</v>
      </c>
      <c r="O349">
        <v>0</v>
      </c>
      <c r="P349">
        <v>0</v>
      </c>
      <c r="Q349">
        <v>929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J349">
        <v>4.55</v>
      </c>
      <c r="AK349" t="str">
        <f t="shared" si="5"/>
        <v>DS014-5000</v>
      </c>
    </row>
    <row r="350" spans="1:37">
      <c r="A350" t="s">
        <v>645</v>
      </c>
      <c r="B350" t="s">
        <v>643</v>
      </c>
      <c r="C350" t="s">
        <v>101</v>
      </c>
      <c r="D350" t="s">
        <v>644</v>
      </c>
      <c r="E350">
        <v>72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1783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1783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64</v>
      </c>
      <c r="AJ350">
        <v>4.55</v>
      </c>
      <c r="AK350" t="str">
        <f t="shared" si="5"/>
        <v>DS014-6200</v>
      </c>
    </row>
    <row r="351" spans="1:37">
      <c r="A351" t="s">
        <v>646</v>
      </c>
      <c r="B351" t="s">
        <v>647</v>
      </c>
      <c r="C351" t="s">
        <v>68</v>
      </c>
      <c r="D351" t="s">
        <v>648</v>
      </c>
      <c r="E351">
        <v>50</v>
      </c>
      <c r="F351">
        <v>0</v>
      </c>
      <c r="G351">
        <v>0</v>
      </c>
      <c r="H351">
        <v>0</v>
      </c>
      <c r="I351">
        <v>226</v>
      </c>
      <c r="J351">
        <v>197</v>
      </c>
      <c r="K351">
        <v>604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604</v>
      </c>
      <c r="R351">
        <v>0</v>
      </c>
      <c r="S351">
        <v>0</v>
      </c>
      <c r="T351">
        <v>0</v>
      </c>
      <c r="U351">
        <v>0</v>
      </c>
      <c r="V351">
        <v>379</v>
      </c>
      <c r="W351">
        <v>979</v>
      </c>
      <c r="X351">
        <v>0</v>
      </c>
      <c r="Y351">
        <v>1005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2363</v>
      </c>
      <c r="AF351">
        <v>840</v>
      </c>
      <c r="AJ351">
        <v>4.6399999999999997</v>
      </c>
      <c r="AK351" t="str">
        <f t="shared" si="5"/>
        <v>DS059-5000</v>
      </c>
    </row>
    <row r="352" spans="1:37">
      <c r="A352" t="s">
        <v>649</v>
      </c>
      <c r="B352" t="s">
        <v>647</v>
      </c>
      <c r="C352" t="s">
        <v>68</v>
      </c>
      <c r="D352" t="s">
        <v>650</v>
      </c>
      <c r="E352">
        <v>50</v>
      </c>
      <c r="F352">
        <v>0.3</v>
      </c>
      <c r="G352">
        <v>0</v>
      </c>
      <c r="H352">
        <v>432</v>
      </c>
      <c r="I352">
        <v>303</v>
      </c>
      <c r="J352">
        <v>151</v>
      </c>
      <c r="K352">
        <v>521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521</v>
      </c>
      <c r="R352">
        <v>0</v>
      </c>
      <c r="S352">
        <v>1296</v>
      </c>
      <c r="T352">
        <v>0</v>
      </c>
      <c r="U352">
        <v>0</v>
      </c>
      <c r="V352">
        <v>519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1815</v>
      </c>
      <c r="AF352">
        <v>3049</v>
      </c>
      <c r="AJ352">
        <v>4.6399999999999997</v>
      </c>
      <c r="AK352" t="str">
        <f t="shared" si="5"/>
        <v>DS059-6200</v>
      </c>
    </row>
    <row r="353" spans="1:37">
      <c r="A353" t="s">
        <v>651</v>
      </c>
      <c r="B353" t="s">
        <v>652</v>
      </c>
      <c r="C353" t="s">
        <v>68</v>
      </c>
      <c r="D353" t="s">
        <v>653</v>
      </c>
      <c r="E353">
        <v>50</v>
      </c>
      <c r="F353">
        <v>0</v>
      </c>
      <c r="G353">
        <v>3</v>
      </c>
      <c r="H353">
        <v>0</v>
      </c>
      <c r="I353">
        <v>0</v>
      </c>
      <c r="J353">
        <v>8</v>
      </c>
      <c r="K353">
        <v>466</v>
      </c>
      <c r="L353">
        <v>100</v>
      </c>
      <c r="M353">
        <v>0</v>
      </c>
      <c r="N353">
        <v>3</v>
      </c>
      <c r="O353">
        <v>0</v>
      </c>
      <c r="P353">
        <v>0</v>
      </c>
      <c r="Q353">
        <v>463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90</v>
      </c>
      <c r="AD353">
        <v>0</v>
      </c>
      <c r="AE353">
        <v>90</v>
      </c>
      <c r="AF353">
        <v>27</v>
      </c>
      <c r="AJ353">
        <v>1.38</v>
      </c>
      <c r="AK353" t="str">
        <f t="shared" si="5"/>
        <v>DS064-3700</v>
      </c>
    </row>
    <row r="354" spans="1:37">
      <c r="A354" t="s">
        <v>654</v>
      </c>
      <c r="B354" t="s">
        <v>655</v>
      </c>
      <c r="C354" t="s">
        <v>68</v>
      </c>
      <c r="D354" t="s">
        <v>656</v>
      </c>
      <c r="E354">
        <v>50</v>
      </c>
      <c r="F354">
        <v>101.6</v>
      </c>
      <c r="G354">
        <v>291</v>
      </c>
      <c r="H354">
        <v>41</v>
      </c>
      <c r="I354">
        <v>651</v>
      </c>
      <c r="J354">
        <v>399</v>
      </c>
      <c r="K354">
        <v>17035</v>
      </c>
      <c r="L354">
        <v>0</v>
      </c>
      <c r="M354">
        <v>0</v>
      </c>
      <c r="N354">
        <v>242</v>
      </c>
      <c r="O354">
        <v>0</v>
      </c>
      <c r="P354">
        <v>0</v>
      </c>
      <c r="Q354">
        <v>16793</v>
      </c>
      <c r="R354">
        <v>0</v>
      </c>
      <c r="S354">
        <v>124</v>
      </c>
      <c r="T354">
        <v>0</v>
      </c>
      <c r="U354">
        <v>0</v>
      </c>
      <c r="V354">
        <v>0</v>
      </c>
      <c r="W354">
        <v>126</v>
      </c>
      <c r="X354">
        <v>3654</v>
      </c>
      <c r="Y354">
        <v>287</v>
      </c>
      <c r="Z354">
        <v>184</v>
      </c>
      <c r="AA354">
        <v>247</v>
      </c>
      <c r="AB354">
        <v>162</v>
      </c>
      <c r="AC354">
        <v>0</v>
      </c>
      <c r="AD354">
        <v>0</v>
      </c>
      <c r="AE354">
        <v>4784</v>
      </c>
      <c r="AF354">
        <v>1150</v>
      </c>
      <c r="AJ354">
        <v>1.43</v>
      </c>
      <c r="AK354" t="str">
        <f t="shared" si="5"/>
        <v>DS064-4914</v>
      </c>
    </row>
    <row r="355" spans="1:37">
      <c r="A355" t="s">
        <v>657</v>
      </c>
      <c r="B355" t="s">
        <v>652</v>
      </c>
      <c r="C355" t="s">
        <v>68</v>
      </c>
      <c r="D355" t="s">
        <v>658</v>
      </c>
      <c r="E355">
        <v>50</v>
      </c>
      <c r="F355">
        <v>4.0999999999999996</v>
      </c>
      <c r="G355">
        <v>232</v>
      </c>
      <c r="H355">
        <v>415</v>
      </c>
      <c r="I355">
        <v>514</v>
      </c>
      <c r="J355">
        <v>953</v>
      </c>
      <c r="K355">
        <v>7030</v>
      </c>
      <c r="L355">
        <v>1369</v>
      </c>
      <c r="M355">
        <v>183</v>
      </c>
      <c r="N355">
        <v>193</v>
      </c>
      <c r="O355">
        <v>0</v>
      </c>
      <c r="P355">
        <v>0</v>
      </c>
      <c r="Q355">
        <v>6837</v>
      </c>
      <c r="R355">
        <v>0</v>
      </c>
      <c r="S355">
        <v>343</v>
      </c>
      <c r="T355">
        <v>711</v>
      </c>
      <c r="U355">
        <v>190</v>
      </c>
      <c r="V355">
        <v>1183</v>
      </c>
      <c r="W355">
        <v>654</v>
      </c>
      <c r="X355">
        <v>0</v>
      </c>
      <c r="Y355">
        <v>1233</v>
      </c>
      <c r="Z355">
        <v>295</v>
      </c>
      <c r="AA355">
        <v>1930</v>
      </c>
      <c r="AB355">
        <v>1913</v>
      </c>
      <c r="AC355">
        <v>2044</v>
      </c>
      <c r="AD355">
        <v>936</v>
      </c>
      <c r="AE355">
        <v>11432</v>
      </c>
      <c r="AF355">
        <v>14191</v>
      </c>
      <c r="AJ355">
        <v>1.71</v>
      </c>
      <c r="AK355" t="str">
        <f t="shared" si="5"/>
        <v>DS064-5000</v>
      </c>
    </row>
    <row r="356" spans="1:37">
      <c r="A356" t="s">
        <v>659</v>
      </c>
      <c r="B356" t="s">
        <v>652</v>
      </c>
      <c r="C356" t="s">
        <v>68</v>
      </c>
      <c r="D356" t="s">
        <v>658</v>
      </c>
      <c r="E356">
        <v>50</v>
      </c>
      <c r="F356">
        <v>1.8</v>
      </c>
      <c r="G356">
        <v>1602</v>
      </c>
      <c r="H356">
        <v>1033</v>
      </c>
      <c r="I356">
        <v>1255</v>
      </c>
      <c r="J356">
        <v>1235</v>
      </c>
      <c r="K356">
        <v>8865</v>
      </c>
      <c r="L356">
        <v>1413</v>
      </c>
      <c r="M356">
        <v>0</v>
      </c>
      <c r="N356">
        <v>1335</v>
      </c>
      <c r="O356">
        <v>0</v>
      </c>
      <c r="P356">
        <v>0</v>
      </c>
      <c r="Q356">
        <v>7530</v>
      </c>
      <c r="R356">
        <v>0</v>
      </c>
      <c r="S356">
        <v>912</v>
      </c>
      <c r="T356">
        <v>1758</v>
      </c>
      <c r="U356">
        <v>428</v>
      </c>
      <c r="V356">
        <v>1061</v>
      </c>
      <c r="W356">
        <v>3138</v>
      </c>
      <c r="X356">
        <v>231</v>
      </c>
      <c r="Y356">
        <v>721</v>
      </c>
      <c r="Z356">
        <v>589</v>
      </c>
      <c r="AA356">
        <v>2315</v>
      </c>
      <c r="AB356">
        <v>1667</v>
      </c>
      <c r="AC356">
        <v>942</v>
      </c>
      <c r="AD356">
        <v>1055</v>
      </c>
      <c r="AE356">
        <v>14817</v>
      </c>
      <c r="AF356">
        <v>10815</v>
      </c>
      <c r="AJ356">
        <v>1.71</v>
      </c>
      <c r="AK356" t="str">
        <f t="shared" si="5"/>
        <v>DS064-6200</v>
      </c>
    </row>
    <row r="357" spans="1:37">
      <c r="A357" t="s">
        <v>660</v>
      </c>
      <c r="B357" t="s">
        <v>661</v>
      </c>
      <c r="C357" t="s">
        <v>68</v>
      </c>
      <c r="D357" t="s">
        <v>662</v>
      </c>
      <c r="E357">
        <v>50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553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553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J357">
        <v>4.28</v>
      </c>
      <c r="AK357" t="str">
        <f t="shared" si="5"/>
        <v>DS080-6200</v>
      </c>
    </row>
    <row r="358" spans="1:37">
      <c r="A358" t="s">
        <v>663</v>
      </c>
      <c r="B358" t="s">
        <v>664</v>
      </c>
      <c r="C358" t="s">
        <v>665</v>
      </c>
      <c r="D358" t="s">
        <v>666</v>
      </c>
      <c r="E358">
        <v>50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73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73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J358">
        <v>6.1</v>
      </c>
      <c r="AK358" t="str">
        <f t="shared" si="5"/>
        <v>FB118-6200</v>
      </c>
    </row>
    <row r="359" spans="1:37">
      <c r="A359" t="s">
        <v>667</v>
      </c>
      <c r="B359" t="s">
        <v>668</v>
      </c>
      <c r="C359" t="s">
        <v>665</v>
      </c>
      <c r="D359" t="s">
        <v>666</v>
      </c>
      <c r="E359">
        <v>50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45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45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J359">
        <v>5.44</v>
      </c>
      <c r="AK359" t="str">
        <f t="shared" si="5"/>
        <v>FB204-6200</v>
      </c>
    </row>
    <row r="360" spans="1:37">
      <c r="A360" t="s">
        <v>669</v>
      </c>
      <c r="B360" t="s">
        <v>670</v>
      </c>
      <c r="C360" t="s">
        <v>665</v>
      </c>
      <c r="D360" t="s">
        <v>666</v>
      </c>
      <c r="E360">
        <v>50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27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27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J360">
        <v>5.44</v>
      </c>
      <c r="AK360" t="str">
        <f t="shared" si="5"/>
        <v>FB209-6200</v>
      </c>
    </row>
    <row r="361" spans="1:37">
      <c r="A361" t="s">
        <v>671</v>
      </c>
      <c r="B361" t="s">
        <v>672</v>
      </c>
      <c r="C361" t="s">
        <v>665</v>
      </c>
      <c r="D361" t="s">
        <v>666</v>
      </c>
      <c r="E361">
        <v>50</v>
      </c>
      <c r="F361">
        <v>0</v>
      </c>
      <c r="G361">
        <v>36</v>
      </c>
      <c r="H361">
        <v>0</v>
      </c>
      <c r="I361">
        <v>0</v>
      </c>
      <c r="J361">
        <v>0</v>
      </c>
      <c r="K361">
        <v>166</v>
      </c>
      <c r="L361">
        <v>17</v>
      </c>
      <c r="M361">
        <v>0</v>
      </c>
      <c r="N361">
        <v>30</v>
      </c>
      <c r="O361">
        <v>0</v>
      </c>
      <c r="P361">
        <v>0</v>
      </c>
      <c r="Q361">
        <v>136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39</v>
      </c>
      <c r="AJ361">
        <v>5.4</v>
      </c>
      <c r="AK361" t="str">
        <f t="shared" si="5"/>
        <v>FB213-5000</v>
      </c>
    </row>
    <row r="362" spans="1:37">
      <c r="A362" t="s">
        <v>673</v>
      </c>
      <c r="B362" t="s">
        <v>674</v>
      </c>
      <c r="C362" t="s">
        <v>665</v>
      </c>
      <c r="D362" t="s">
        <v>666</v>
      </c>
      <c r="E362">
        <v>45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66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4.12</v>
      </c>
      <c r="AK362" t="str">
        <f t="shared" si="5"/>
        <v>FB225-5000</v>
      </c>
    </row>
    <row r="363" spans="1:37">
      <c r="A363" t="s">
        <v>675</v>
      </c>
      <c r="B363" t="s">
        <v>676</v>
      </c>
      <c r="C363" t="s">
        <v>665</v>
      </c>
      <c r="D363" t="s">
        <v>666</v>
      </c>
      <c r="E363">
        <v>45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164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164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J363">
        <v>3.83</v>
      </c>
      <c r="AK363" t="str">
        <f t="shared" si="5"/>
        <v>FB229-6200</v>
      </c>
    </row>
    <row r="364" spans="1:37">
      <c r="A364" t="s">
        <v>677</v>
      </c>
      <c r="B364" t="s">
        <v>678</v>
      </c>
      <c r="C364" t="s">
        <v>665</v>
      </c>
      <c r="D364" t="s">
        <v>666</v>
      </c>
      <c r="E364">
        <v>40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247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247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J364">
        <v>3.83</v>
      </c>
      <c r="AK364" t="str">
        <f t="shared" si="5"/>
        <v>FB230-6200</v>
      </c>
    </row>
    <row r="365" spans="1:37">
      <c r="A365" t="s">
        <v>679</v>
      </c>
      <c r="B365" t="s">
        <v>680</v>
      </c>
      <c r="C365" t="s">
        <v>665</v>
      </c>
      <c r="E365">
        <v>45</v>
      </c>
      <c r="F365">
        <v>0</v>
      </c>
      <c r="G365">
        <v>0</v>
      </c>
      <c r="H365">
        <v>0</v>
      </c>
      <c r="I365">
        <v>0</v>
      </c>
      <c r="J365">
        <v>3</v>
      </c>
      <c r="K365">
        <v>136</v>
      </c>
      <c r="L365">
        <v>3</v>
      </c>
      <c r="M365">
        <v>0</v>
      </c>
      <c r="N365">
        <v>0</v>
      </c>
      <c r="O365">
        <v>0</v>
      </c>
      <c r="P365">
        <v>0</v>
      </c>
      <c r="Q365">
        <v>136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9</v>
      </c>
      <c r="Z365">
        <v>0</v>
      </c>
      <c r="AA365">
        <v>0</v>
      </c>
      <c r="AB365">
        <v>0</v>
      </c>
      <c r="AC365">
        <v>23</v>
      </c>
      <c r="AD365">
        <v>0</v>
      </c>
      <c r="AE365">
        <v>32</v>
      </c>
      <c r="AF365">
        <v>0</v>
      </c>
      <c r="AJ365">
        <v>5.26</v>
      </c>
      <c r="AK365" t="str">
        <f t="shared" si="5"/>
        <v>FB233-5000</v>
      </c>
    </row>
    <row r="366" spans="1:37">
      <c r="A366" t="s">
        <v>681</v>
      </c>
      <c r="B366" t="s">
        <v>680</v>
      </c>
      <c r="C366" t="s">
        <v>665</v>
      </c>
      <c r="E366">
        <v>45</v>
      </c>
      <c r="F366">
        <v>3.8</v>
      </c>
      <c r="G366">
        <v>5</v>
      </c>
      <c r="H366">
        <v>7</v>
      </c>
      <c r="I366">
        <v>9</v>
      </c>
      <c r="J366">
        <v>5</v>
      </c>
      <c r="K366">
        <v>111</v>
      </c>
      <c r="L366">
        <v>0</v>
      </c>
      <c r="M366">
        <v>0</v>
      </c>
      <c r="N366">
        <v>4</v>
      </c>
      <c r="O366">
        <v>0</v>
      </c>
      <c r="P366">
        <v>0</v>
      </c>
      <c r="Q366">
        <v>107</v>
      </c>
      <c r="R366">
        <v>0</v>
      </c>
      <c r="S366">
        <v>8</v>
      </c>
      <c r="T366">
        <v>13</v>
      </c>
      <c r="U366">
        <v>0</v>
      </c>
      <c r="V366">
        <v>8</v>
      </c>
      <c r="W366">
        <v>27</v>
      </c>
      <c r="X366">
        <v>0</v>
      </c>
      <c r="Y366">
        <v>7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63</v>
      </c>
      <c r="AF366">
        <v>181</v>
      </c>
      <c r="AJ366">
        <v>9.4953000000000003</v>
      </c>
      <c r="AK366" t="str">
        <f t="shared" si="5"/>
        <v>FB233-6200</v>
      </c>
    </row>
    <row r="367" spans="1:37">
      <c r="A367" t="s">
        <v>682</v>
      </c>
      <c r="B367" t="s">
        <v>683</v>
      </c>
      <c r="C367" t="s">
        <v>665</v>
      </c>
      <c r="D367" t="s">
        <v>666</v>
      </c>
      <c r="E367">
        <v>45</v>
      </c>
      <c r="F367">
        <v>0</v>
      </c>
      <c r="G367">
        <v>50</v>
      </c>
      <c r="H367">
        <v>0</v>
      </c>
      <c r="I367">
        <v>0</v>
      </c>
      <c r="J367">
        <v>6</v>
      </c>
      <c r="K367">
        <v>111</v>
      </c>
      <c r="L367">
        <v>0</v>
      </c>
      <c r="M367">
        <v>0</v>
      </c>
      <c r="N367">
        <v>42</v>
      </c>
      <c r="O367">
        <v>0</v>
      </c>
      <c r="P367">
        <v>0</v>
      </c>
      <c r="Q367">
        <v>69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8</v>
      </c>
      <c r="AC367">
        <v>62</v>
      </c>
      <c r="AD367">
        <v>0</v>
      </c>
      <c r="AE367">
        <v>70</v>
      </c>
      <c r="AF367">
        <v>0</v>
      </c>
      <c r="AJ367">
        <v>6.18</v>
      </c>
      <c r="AK367" t="str">
        <f t="shared" si="5"/>
        <v>FB234-6200</v>
      </c>
    </row>
    <row r="368" spans="1:37">
      <c r="A368" t="s">
        <v>684</v>
      </c>
      <c r="B368" t="s">
        <v>685</v>
      </c>
      <c r="C368" t="s">
        <v>665</v>
      </c>
      <c r="E368">
        <v>50</v>
      </c>
      <c r="F368">
        <v>0</v>
      </c>
      <c r="G368">
        <v>0</v>
      </c>
      <c r="H368">
        <v>0</v>
      </c>
      <c r="I368">
        <v>1</v>
      </c>
      <c r="J368">
        <v>1</v>
      </c>
      <c r="K368">
        <v>96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96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8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8</v>
      </c>
      <c r="AF368">
        <v>0</v>
      </c>
      <c r="AJ368">
        <v>5.4</v>
      </c>
      <c r="AK368" t="str">
        <f t="shared" si="5"/>
        <v>FB237-6200</v>
      </c>
    </row>
    <row r="369" spans="1:37">
      <c r="A369" t="s">
        <v>686</v>
      </c>
      <c r="B369" t="s">
        <v>687</v>
      </c>
      <c r="C369" t="s">
        <v>665</v>
      </c>
      <c r="E369">
        <v>50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302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302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J369">
        <v>6.09</v>
      </c>
      <c r="AK369" t="str">
        <f t="shared" si="5"/>
        <v>FB239-6200</v>
      </c>
    </row>
    <row r="370" spans="1:37">
      <c r="A370" t="s">
        <v>688</v>
      </c>
      <c r="B370" t="s">
        <v>689</v>
      </c>
      <c r="C370" t="s">
        <v>665</v>
      </c>
      <c r="D370" t="s">
        <v>666</v>
      </c>
      <c r="E370">
        <v>45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56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56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30</v>
      </c>
      <c r="AJ370">
        <v>5.4</v>
      </c>
      <c r="AK370" t="str">
        <f t="shared" si="5"/>
        <v>FB244-5000</v>
      </c>
    </row>
    <row r="371" spans="1:37">
      <c r="A371" t="s">
        <v>690</v>
      </c>
      <c r="B371" t="s">
        <v>691</v>
      </c>
      <c r="C371" t="s">
        <v>665</v>
      </c>
      <c r="E371">
        <v>50</v>
      </c>
      <c r="F371">
        <v>3.9</v>
      </c>
      <c r="G371">
        <v>25</v>
      </c>
      <c r="H371">
        <v>4</v>
      </c>
      <c r="I371">
        <v>2</v>
      </c>
      <c r="J371">
        <v>3</v>
      </c>
      <c r="K371">
        <v>84</v>
      </c>
      <c r="L371">
        <v>0</v>
      </c>
      <c r="M371">
        <v>0</v>
      </c>
      <c r="N371">
        <v>21</v>
      </c>
      <c r="O371">
        <v>0</v>
      </c>
      <c r="P371">
        <v>0</v>
      </c>
      <c r="Q371">
        <v>63</v>
      </c>
      <c r="R371">
        <v>0</v>
      </c>
      <c r="S371">
        <v>0</v>
      </c>
      <c r="T371">
        <v>12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11</v>
      </c>
      <c r="AC371">
        <v>0</v>
      </c>
      <c r="AD371">
        <v>18</v>
      </c>
      <c r="AE371">
        <v>41</v>
      </c>
      <c r="AF371">
        <v>31</v>
      </c>
      <c r="AJ371">
        <v>5.26</v>
      </c>
      <c r="AK371" t="str">
        <f t="shared" si="5"/>
        <v>FB247-5000</v>
      </c>
    </row>
    <row r="372" spans="1:37">
      <c r="A372" t="s">
        <v>5932</v>
      </c>
      <c r="B372" t="s">
        <v>691</v>
      </c>
      <c r="C372" t="s">
        <v>665</v>
      </c>
      <c r="E372">
        <v>50</v>
      </c>
      <c r="F372">
        <v>11.3</v>
      </c>
      <c r="G372">
        <v>0</v>
      </c>
      <c r="H372">
        <v>5</v>
      </c>
      <c r="I372">
        <v>3</v>
      </c>
      <c r="J372">
        <v>9</v>
      </c>
      <c r="K372">
        <v>240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240</v>
      </c>
      <c r="R372">
        <v>0</v>
      </c>
      <c r="S372">
        <v>0</v>
      </c>
      <c r="T372">
        <v>16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94</v>
      </c>
      <c r="AD372">
        <v>0</v>
      </c>
      <c r="AE372">
        <v>110</v>
      </c>
      <c r="AF372">
        <v>161</v>
      </c>
      <c r="AJ372">
        <v>7.29</v>
      </c>
      <c r="AK372" t="str">
        <f t="shared" si="5"/>
        <v>FB247-6200</v>
      </c>
    </row>
    <row r="373" spans="1:37">
      <c r="A373" t="s">
        <v>692</v>
      </c>
      <c r="B373" t="s">
        <v>693</v>
      </c>
      <c r="C373" t="s">
        <v>665</v>
      </c>
      <c r="E373">
        <v>40</v>
      </c>
      <c r="F373">
        <v>0</v>
      </c>
      <c r="G373">
        <v>20</v>
      </c>
      <c r="H373">
        <v>0</v>
      </c>
      <c r="I373">
        <v>0</v>
      </c>
      <c r="J373">
        <v>1</v>
      </c>
      <c r="K373">
        <v>278</v>
      </c>
      <c r="L373">
        <v>0</v>
      </c>
      <c r="M373">
        <v>0</v>
      </c>
      <c r="N373">
        <v>17</v>
      </c>
      <c r="O373">
        <v>0</v>
      </c>
      <c r="P373">
        <v>0</v>
      </c>
      <c r="Q373">
        <v>261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15</v>
      </c>
      <c r="AC373">
        <v>0</v>
      </c>
      <c r="AD373">
        <v>0</v>
      </c>
      <c r="AE373">
        <v>15</v>
      </c>
      <c r="AF373">
        <v>0</v>
      </c>
      <c r="AJ373">
        <v>5.4</v>
      </c>
      <c r="AK373" t="str">
        <f t="shared" si="5"/>
        <v>FB248-5000</v>
      </c>
    </row>
    <row r="374" spans="1:37">
      <c r="A374" t="s">
        <v>694</v>
      </c>
      <c r="B374" t="s">
        <v>695</v>
      </c>
      <c r="C374" t="s">
        <v>665</v>
      </c>
      <c r="E374">
        <v>45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218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218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15</v>
      </c>
      <c r="AJ374">
        <v>6.25</v>
      </c>
      <c r="AK374" t="str">
        <f t="shared" si="5"/>
        <v>FB250-5000</v>
      </c>
    </row>
    <row r="375" spans="1:37">
      <c r="A375" t="s">
        <v>696</v>
      </c>
      <c r="B375" t="s">
        <v>695</v>
      </c>
      <c r="C375" t="s">
        <v>665</v>
      </c>
      <c r="E375">
        <v>43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188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188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50</v>
      </c>
      <c r="AJ375">
        <v>5.4089999999999998</v>
      </c>
      <c r="AK375" t="str">
        <f t="shared" si="5"/>
        <v>FB250-6200</v>
      </c>
    </row>
    <row r="376" spans="1:37">
      <c r="A376" t="s">
        <v>697</v>
      </c>
      <c r="B376" t="s">
        <v>698</v>
      </c>
      <c r="C376" t="s">
        <v>665</v>
      </c>
      <c r="E376">
        <v>45</v>
      </c>
      <c r="F376">
        <v>0</v>
      </c>
      <c r="G376">
        <v>0</v>
      </c>
      <c r="H376">
        <v>0</v>
      </c>
      <c r="I376">
        <v>4</v>
      </c>
      <c r="J376">
        <v>4</v>
      </c>
      <c r="K376">
        <v>153</v>
      </c>
      <c r="L376">
        <v>3</v>
      </c>
      <c r="M376">
        <v>0</v>
      </c>
      <c r="N376">
        <v>0</v>
      </c>
      <c r="O376">
        <v>0</v>
      </c>
      <c r="P376">
        <v>0</v>
      </c>
      <c r="Q376">
        <v>153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26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17</v>
      </c>
      <c r="AE376">
        <v>43</v>
      </c>
      <c r="AF376">
        <v>0</v>
      </c>
      <c r="AJ376">
        <v>6.25</v>
      </c>
      <c r="AK376" t="str">
        <f t="shared" si="5"/>
        <v>FB251-5000</v>
      </c>
    </row>
    <row r="377" spans="1:37">
      <c r="A377" t="s">
        <v>5933</v>
      </c>
      <c r="B377" t="s">
        <v>698</v>
      </c>
      <c r="C377" t="s">
        <v>665</v>
      </c>
      <c r="E377">
        <v>43</v>
      </c>
      <c r="F377">
        <v>5.2</v>
      </c>
      <c r="G377">
        <v>0</v>
      </c>
      <c r="H377">
        <v>10</v>
      </c>
      <c r="I377">
        <v>5</v>
      </c>
      <c r="J377">
        <v>9</v>
      </c>
      <c r="K377">
        <v>208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208</v>
      </c>
      <c r="R377">
        <v>0</v>
      </c>
      <c r="S377">
        <v>30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72</v>
      </c>
      <c r="AA377">
        <v>0</v>
      </c>
      <c r="AB377">
        <v>0</v>
      </c>
      <c r="AC377">
        <v>0</v>
      </c>
      <c r="AD377">
        <v>0</v>
      </c>
      <c r="AE377">
        <v>102</v>
      </c>
      <c r="AF377">
        <v>47</v>
      </c>
      <c r="AJ377">
        <v>6.09</v>
      </c>
      <c r="AK377" t="str">
        <f t="shared" si="5"/>
        <v>FB251-6200</v>
      </c>
    </row>
    <row r="378" spans="1:37">
      <c r="A378" t="s">
        <v>699</v>
      </c>
      <c r="B378" t="s">
        <v>700</v>
      </c>
      <c r="C378" t="s">
        <v>665</v>
      </c>
      <c r="E378">
        <v>45</v>
      </c>
      <c r="F378">
        <v>19</v>
      </c>
      <c r="G378">
        <v>0</v>
      </c>
      <c r="H378">
        <v>3</v>
      </c>
      <c r="I378">
        <v>1</v>
      </c>
      <c r="J378">
        <v>1</v>
      </c>
      <c r="K378">
        <v>203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203</v>
      </c>
      <c r="R378">
        <v>0</v>
      </c>
      <c r="S378">
        <v>0</v>
      </c>
      <c r="T378">
        <v>8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8</v>
      </c>
      <c r="AF378">
        <v>0</v>
      </c>
      <c r="AJ378">
        <v>6.25</v>
      </c>
      <c r="AK378" t="str">
        <f t="shared" si="5"/>
        <v>FB252-5000</v>
      </c>
    </row>
    <row r="379" spans="1:37">
      <c r="A379" t="s">
        <v>701</v>
      </c>
      <c r="B379" t="s">
        <v>700</v>
      </c>
      <c r="C379" t="s">
        <v>665</v>
      </c>
      <c r="E379">
        <v>43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184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184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47</v>
      </c>
      <c r="AJ379">
        <v>5.4089999999999998</v>
      </c>
      <c r="AK379" t="str">
        <f t="shared" si="5"/>
        <v>FB252-6200</v>
      </c>
    </row>
    <row r="380" spans="1:37">
      <c r="A380" t="s">
        <v>702</v>
      </c>
      <c r="B380" t="s">
        <v>703</v>
      </c>
      <c r="C380" t="s">
        <v>665</v>
      </c>
      <c r="E380">
        <v>45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220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220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J380">
        <v>6.25</v>
      </c>
      <c r="AK380" t="str">
        <f t="shared" si="5"/>
        <v>FB253-5000</v>
      </c>
    </row>
    <row r="381" spans="1:37">
      <c r="A381" t="s">
        <v>704</v>
      </c>
      <c r="B381" t="s">
        <v>703</v>
      </c>
      <c r="C381" t="s">
        <v>665</v>
      </c>
      <c r="E381">
        <v>43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184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184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47</v>
      </c>
      <c r="AJ381">
        <v>5.4089999999999998</v>
      </c>
      <c r="AK381" t="str">
        <f t="shared" si="5"/>
        <v>FB253-6200</v>
      </c>
    </row>
    <row r="382" spans="1:37">
      <c r="A382" t="s">
        <v>705</v>
      </c>
      <c r="B382" t="s">
        <v>706</v>
      </c>
      <c r="C382" t="s">
        <v>665</v>
      </c>
      <c r="E382">
        <v>45</v>
      </c>
      <c r="F382">
        <v>0</v>
      </c>
      <c r="G382">
        <v>6</v>
      </c>
      <c r="H382">
        <v>0</v>
      </c>
      <c r="I382">
        <v>0</v>
      </c>
      <c r="J382">
        <v>0</v>
      </c>
      <c r="K382">
        <v>207</v>
      </c>
      <c r="L382">
        <v>4</v>
      </c>
      <c r="M382">
        <v>0</v>
      </c>
      <c r="N382">
        <v>5</v>
      </c>
      <c r="O382">
        <v>0</v>
      </c>
      <c r="P382">
        <v>0</v>
      </c>
      <c r="Q382">
        <v>202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5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5</v>
      </c>
      <c r="AF382">
        <v>0</v>
      </c>
      <c r="AJ382">
        <v>6.09</v>
      </c>
      <c r="AK382" t="str">
        <f t="shared" si="5"/>
        <v>FB255-5000</v>
      </c>
    </row>
    <row r="383" spans="1:37">
      <c r="A383" t="s">
        <v>707</v>
      </c>
      <c r="B383" t="s">
        <v>706</v>
      </c>
      <c r="C383" t="s">
        <v>665</v>
      </c>
      <c r="E383">
        <v>45</v>
      </c>
      <c r="F383">
        <v>0</v>
      </c>
      <c r="G383">
        <v>17</v>
      </c>
      <c r="H383">
        <v>0</v>
      </c>
      <c r="I383">
        <v>0</v>
      </c>
      <c r="J383">
        <v>0</v>
      </c>
      <c r="K383">
        <v>187</v>
      </c>
      <c r="L383">
        <v>0</v>
      </c>
      <c r="M383">
        <v>0</v>
      </c>
      <c r="N383">
        <v>14</v>
      </c>
      <c r="O383">
        <v>0</v>
      </c>
      <c r="P383">
        <v>0</v>
      </c>
      <c r="Q383">
        <v>173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J383">
        <v>6.09</v>
      </c>
      <c r="AK383" t="str">
        <f t="shared" si="5"/>
        <v>FB255-6200</v>
      </c>
    </row>
    <row r="384" spans="1:37">
      <c r="A384" t="s">
        <v>708</v>
      </c>
      <c r="B384" t="s">
        <v>709</v>
      </c>
      <c r="C384" t="s">
        <v>665</v>
      </c>
      <c r="D384" t="s">
        <v>666</v>
      </c>
      <c r="E384">
        <v>50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423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423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J384">
        <v>5.44</v>
      </c>
      <c r="AK384" t="str">
        <f t="shared" si="5"/>
        <v>FB256-6200</v>
      </c>
    </row>
    <row r="385" spans="1:37">
      <c r="A385" t="s">
        <v>710</v>
      </c>
      <c r="B385" t="s">
        <v>711</v>
      </c>
      <c r="C385" t="s">
        <v>665</v>
      </c>
      <c r="E385">
        <v>45</v>
      </c>
      <c r="F385">
        <v>0</v>
      </c>
      <c r="G385">
        <v>0</v>
      </c>
      <c r="H385">
        <v>0</v>
      </c>
      <c r="I385">
        <v>2</v>
      </c>
      <c r="J385">
        <v>1</v>
      </c>
      <c r="K385">
        <v>186</v>
      </c>
      <c r="L385">
        <v>3</v>
      </c>
      <c r="M385">
        <v>0</v>
      </c>
      <c r="N385">
        <v>0</v>
      </c>
      <c r="O385">
        <v>0</v>
      </c>
      <c r="P385">
        <v>0</v>
      </c>
      <c r="Q385">
        <v>186</v>
      </c>
      <c r="R385">
        <v>0</v>
      </c>
      <c r="S385">
        <v>0</v>
      </c>
      <c r="T385">
        <v>0</v>
      </c>
      <c r="U385">
        <v>0</v>
      </c>
      <c r="V385">
        <v>14</v>
      </c>
      <c r="W385">
        <v>0</v>
      </c>
      <c r="X385">
        <v>0</v>
      </c>
      <c r="Y385">
        <v>3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17</v>
      </c>
      <c r="AF385">
        <v>0</v>
      </c>
      <c r="AJ385">
        <v>6.09</v>
      </c>
      <c r="AK385" t="str">
        <f t="shared" si="5"/>
        <v>FB257-5000</v>
      </c>
    </row>
    <row r="386" spans="1:37">
      <c r="A386" t="s">
        <v>712</v>
      </c>
      <c r="B386" t="s">
        <v>711</v>
      </c>
      <c r="C386" t="s">
        <v>665</v>
      </c>
      <c r="E386">
        <v>45</v>
      </c>
      <c r="F386">
        <v>0</v>
      </c>
      <c r="G386">
        <v>6</v>
      </c>
      <c r="H386">
        <v>0</v>
      </c>
      <c r="I386">
        <v>0</v>
      </c>
      <c r="J386">
        <v>0</v>
      </c>
      <c r="K386">
        <v>212</v>
      </c>
      <c r="L386">
        <v>0</v>
      </c>
      <c r="M386">
        <v>0</v>
      </c>
      <c r="N386">
        <v>5</v>
      </c>
      <c r="O386">
        <v>0</v>
      </c>
      <c r="P386">
        <v>0</v>
      </c>
      <c r="Q386">
        <v>207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J386">
        <v>6.09</v>
      </c>
      <c r="AK386" t="str">
        <f t="shared" si="5"/>
        <v>FB257-6200</v>
      </c>
    </row>
    <row r="387" spans="1:37">
      <c r="A387" t="s">
        <v>713</v>
      </c>
      <c r="B387" t="s">
        <v>714</v>
      </c>
      <c r="C387" t="s">
        <v>665</v>
      </c>
      <c r="E387">
        <v>45</v>
      </c>
      <c r="F387">
        <v>0</v>
      </c>
      <c r="G387">
        <v>0</v>
      </c>
      <c r="H387">
        <v>0</v>
      </c>
      <c r="I387">
        <v>0</v>
      </c>
      <c r="J387">
        <v>1</v>
      </c>
      <c r="K387">
        <v>223</v>
      </c>
      <c r="L387">
        <v>3</v>
      </c>
      <c r="M387">
        <v>0</v>
      </c>
      <c r="N387">
        <v>0</v>
      </c>
      <c r="O387">
        <v>0</v>
      </c>
      <c r="P387">
        <v>0</v>
      </c>
      <c r="Q387">
        <v>223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8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8</v>
      </c>
      <c r="AF387">
        <v>0</v>
      </c>
      <c r="AJ387">
        <v>5.9</v>
      </c>
      <c r="AK387" t="str">
        <f t="shared" si="5"/>
        <v>FB258-5000</v>
      </c>
    </row>
    <row r="388" spans="1:37">
      <c r="A388" t="s">
        <v>715</v>
      </c>
      <c r="B388" t="s">
        <v>714</v>
      </c>
      <c r="C388" t="s">
        <v>665</v>
      </c>
      <c r="E388">
        <v>45</v>
      </c>
      <c r="F388">
        <v>0</v>
      </c>
      <c r="G388">
        <v>6</v>
      </c>
      <c r="H388">
        <v>0</v>
      </c>
      <c r="I388">
        <v>0</v>
      </c>
      <c r="J388">
        <v>0</v>
      </c>
      <c r="K388">
        <v>198</v>
      </c>
      <c r="L388">
        <v>0</v>
      </c>
      <c r="M388">
        <v>0</v>
      </c>
      <c r="N388">
        <v>5</v>
      </c>
      <c r="O388">
        <v>0</v>
      </c>
      <c r="P388">
        <v>0</v>
      </c>
      <c r="Q388">
        <v>193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J388">
        <v>6.09</v>
      </c>
      <c r="AK388" t="str">
        <f t="shared" si="5"/>
        <v>FB258-6200</v>
      </c>
    </row>
    <row r="389" spans="1:37">
      <c r="A389" t="s">
        <v>716</v>
      </c>
      <c r="B389" t="s">
        <v>717</v>
      </c>
      <c r="C389" t="s">
        <v>665</v>
      </c>
      <c r="D389" t="s">
        <v>666</v>
      </c>
      <c r="E389">
        <v>45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239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239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J389">
        <v>6.09</v>
      </c>
      <c r="AK389" t="str">
        <f t="shared" ref="AK389:AK452" si="6">MID(A389,4,10)</f>
        <v>FB261-5000</v>
      </c>
    </row>
    <row r="390" spans="1:37">
      <c r="A390" t="s">
        <v>718</v>
      </c>
      <c r="B390" t="s">
        <v>719</v>
      </c>
      <c r="C390" t="s">
        <v>665</v>
      </c>
      <c r="D390" t="s">
        <v>666</v>
      </c>
      <c r="E390">
        <v>43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281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281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J390">
        <v>5.44</v>
      </c>
      <c r="AK390" t="str">
        <f t="shared" si="6"/>
        <v>FB270-6200</v>
      </c>
    </row>
    <row r="391" spans="1:37">
      <c r="A391" t="s">
        <v>720</v>
      </c>
      <c r="B391" t="s">
        <v>721</v>
      </c>
      <c r="C391" t="s">
        <v>665</v>
      </c>
      <c r="D391" t="s">
        <v>666</v>
      </c>
      <c r="E391">
        <v>45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57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57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J391">
        <v>5.44</v>
      </c>
      <c r="AK391" t="str">
        <f t="shared" si="6"/>
        <v>FB294-6200</v>
      </c>
    </row>
    <row r="392" spans="1:37">
      <c r="A392" t="s">
        <v>722</v>
      </c>
      <c r="B392" t="s">
        <v>723</v>
      </c>
      <c r="C392" t="s">
        <v>665</v>
      </c>
      <c r="D392" t="s">
        <v>666</v>
      </c>
      <c r="E392">
        <v>45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158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158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J392">
        <v>5.44</v>
      </c>
      <c r="AK392" t="str">
        <f t="shared" si="6"/>
        <v>FB345-6200</v>
      </c>
    </row>
    <row r="393" spans="1:37">
      <c r="A393" t="s">
        <v>724</v>
      </c>
      <c r="B393" t="s">
        <v>725</v>
      </c>
      <c r="C393" t="s">
        <v>665</v>
      </c>
      <c r="D393" t="s">
        <v>666</v>
      </c>
      <c r="E393">
        <v>50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94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94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J393">
        <v>5.44</v>
      </c>
      <c r="AK393" t="str">
        <f t="shared" si="6"/>
        <v>FB356-6200</v>
      </c>
    </row>
    <row r="394" spans="1:37">
      <c r="A394" t="s">
        <v>726</v>
      </c>
      <c r="B394" t="s">
        <v>727</v>
      </c>
      <c r="C394" t="s">
        <v>665</v>
      </c>
      <c r="D394" t="s">
        <v>666</v>
      </c>
      <c r="E394">
        <v>45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62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62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J394">
        <v>5.44</v>
      </c>
      <c r="AK394" t="str">
        <f t="shared" si="6"/>
        <v>FB357-6200</v>
      </c>
    </row>
    <row r="395" spans="1:37">
      <c r="A395" t="s">
        <v>728</v>
      </c>
      <c r="B395" t="s">
        <v>729</v>
      </c>
      <c r="C395" t="s">
        <v>665</v>
      </c>
      <c r="D395" t="s">
        <v>666</v>
      </c>
      <c r="E395">
        <v>45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141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141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J395">
        <v>5.44</v>
      </c>
      <c r="AK395" t="str">
        <f t="shared" si="6"/>
        <v>FB398-6200</v>
      </c>
    </row>
    <row r="396" spans="1:37">
      <c r="A396" t="s">
        <v>730</v>
      </c>
      <c r="B396" t="s">
        <v>731</v>
      </c>
      <c r="C396" t="s">
        <v>665</v>
      </c>
      <c r="D396" t="s">
        <v>666</v>
      </c>
      <c r="E396">
        <v>55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76</v>
      </c>
      <c r="L396">
        <v>7</v>
      </c>
      <c r="M396">
        <v>0</v>
      </c>
      <c r="N396">
        <v>0</v>
      </c>
      <c r="O396">
        <v>0</v>
      </c>
      <c r="P396">
        <v>0</v>
      </c>
      <c r="Q396">
        <v>76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52</v>
      </c>
      <c r="AJ396">
        <v>6.05</v>
      </c>
      <c r="AK396" t="str">
        <f t="shared" si="6"/>
        <v>FB400-5000</v>
      </c>
    </row>
    <row r="397" spans="1:37">
      <c r="A397" t="s">
        <v>732</v>
      </c>
      <c r="B397" t="s">
        <v>733</v>
      </c>
      <c r="C397" t="s">
        <v>665</v>
      </c>
      <c r="D397" t="s">
        <v>666</v>
      </c>
      <c r="E397">
        <v>50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156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156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5.44</v>
      </c>
      <c r="AK397" t="str">
        <f t="shared" si="6"/>
        <v>FB414-5000</v>
      </c>
    </row>
    <row r="398" spans="1:37">
      <c r="A398" t="s">
        <v>734</v>
      </c>
      <c r="B398" t="s">
        <v>735</v>
      </c>
      <c r="C398" t="s">
        <v>665</v>
      </c>
      <c r="D398" t="s">
        <v>666</v>
      </c>
      <c r="E398">
        <v>50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203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203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J398">
        <v>3.83</v>
      </c>
      <c r="AK398" t="str">
        <f t="shared" si="6"/>
        <v>FB415-5000</v>
      </c>
    </row>
    <row r="399" spans="1:37">
      <c r="A399" t="s">
        <v>736</v>
      </c>
      <c r="B399" t="s">
        <v>737</v>
      </c>
      <c r="C399" t="s">
        <v>665</v>
      </c>
      <c r="D399" t="s">
        <v>666</v>
      </c>
      <c r="E399">
        <v>43</v>
      </c>
      <c r="F399">
        <v>0</v>
      </c>
      <c r="G399">
        <v>0</v>
      </c>
      <c r="H399">
        <v>0</v>
      </c>
      <c r="I399">
        <v>0</v>
      </c>
      <c r="J399">
        <v>2</v>
      </c>
      <c r="K399">
        <v>176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176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24</v>
      </c>
      <c r="AE399">
        <v>24</v>
      </c>
      <c r="AF399">
        <v>0</v>
      </c>
      <c r="AJ399">
        <v>3.83</v>
      </c>
      <c r="AK399" t="str">
        <f t="shared" si="6"/>
        <v>FB416-5000</v>
      </c>
    </row>
    <row r="400" spans="1:37">
      <c r="A400" t="s">
        <v>738</v>
      </c>
      <c r="B400" t="s">
        <v>739</v>
      </c>
      <c r="C400" t="s">
        <v>665</v>
      </c>
      <c r="D400" t="s">
        <v>666</v>
      </c>
      <c r="E400">
        <v>45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131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131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J400">
        <v>5.44</v>
      </c>
      <c r="AK400" t="str">
        <f t="shared" si="6"/>
        <v>FB421-6200</v>
      </c>
    </row>
    <row r="401" spans="1:37">
      <c r="A401" t="s">
        <v>740</v>
      </c>
      <c r="B401" t="s">
        <v>741</v>
      </c>
      <c r="C401" t="s">
        <v>665</v>
      </c>
      <c r="D401" t="s">
        <v>666</v>
      </c>
      <c r="E401">
        <v>45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103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103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31</v>
      </c>
      <c r="AJ401">
        <v>7.26</v>
      </c>
      <c r="AK401" t="str">
        <f t="shared" si="6"/>
        <v>FB428-5000</v>
      </c>
    </row>
    <row r="402" spans="1:37">
      <c r="A402" t="s">
        <v>742</v>
      </c>
      <c r="B402" t="s">
        <v>743</v>
      </c>
      <c r="C402" t="s">
        <v>665</v>
      </c>
      <c r="E402">
        <v>45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180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180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J402">
        <v>5.26</v>
      </c>
      <c r="AK402" t="str">
        <f t="shared" si="6"/>
        <v>FB430-5000</v>
      </c>
    </row>
    <row r="403" spans="1:37">
      <c r="A403" t="s">
        <v>744</v>
      </c>
      <c r="B403" t="s">
        <v>743</v>
      </c>
      <c r="C403" t="s">
        <v>665</v>
      </c>
      <c r="E403">
        <v>45</v>
      </c>
      <c r="F403">
        <v>0</v>
      </c>
      <c r="G403">
        <v>0</v>
      </c>
      <c r="H403">
        <v>0</v>
      </c>
      <c r="I403">
        <v>5</v>
      </c>
      <c r="J403">
        <v>3</v>
      </c>
      <c r="K403">
        <v>153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153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31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31</v>
      </c>
      <c r="AF403">
        <v>45</v>
      </c>
      <c r="AJ403">
        <v>5.4</v>
      </c>
      <c r="AK403" t="str">
        <f t="shared" si="6"/>
        <v>FB430-6200</v>
      </c>
    </row>
    <row r="404" spans="1:37">
      <c r="A404" t="s">
        <v>745</v>
      </c>
      <c r="B404" t="s">
        <v>746</v>
      </c>
      <c r="C404" t="s">
        <v>665</v>
      </c>
      <c r="E404">
        <v>45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163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163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J404">
        <v>5.26</v>
      </c>
      <c r="AK404" t="str">
        <f t="shared" si="6"/>
        <v>FB431-5000</v>
      </c>
    </row>
    <row r="405" spans="1:37">
      <c r="A405" t="s">
        <v>747</v>
      </c>
      <c r="B405" t="s">
        <v>746</v>
      </c>
      <c r="C405" t="s">
        <v>665</v>
      </c>
      <c r="E405">
        <v>45</v>
      </c>
      <c r="F405">
        <v>0</v>
      </c>
      <c r="G405">
        <v>0</v>
      </c>
      <c r="H405">
        <v>0</v>
      </c>
      <c r="I405">
        <v>5</v>
      </c>
      <c r="J405">
        <v>2</v>
      </c>
      <c r="K405">
        <v>264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264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27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27</v>
      </c>
      <c r="AF405">
        <v>0</v>
      </c>
      <c r="AJ405">
        <v>5.26</v>
      </c>
      <c r="AK405" t="str">
        <f t="shared" si="6"/>
        <v>FB431-6200</v>
      </c>
    </row>
    <row r="406" spans="1:37">
      <c r="A406" t="s">
        <v>748</v>
      </c>
      <c r="B406" t="s">
        <v>749</v>
      </c>
      <c r="C406" t="s">
        <v>665</v>
      </c>
      <c r="E406">
        <v>45</v>
      </c>
      <c r="F406">
        <v>2.5</v>
      </c>
      <c r="G406">
        <v>0</v>
      </c>
      <c r="H406">
        <v>13</v>
      </c>
      <c r="I406">
        <v>7</v>
      </c>
      <c r="J406">
        <v>6</v>
      </c>
      <c r="K406">
        <v>130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130</v>
      </c>
      <c r="R406">
        <v>0</v>
      </c>
      <c r="S406">
        <v>39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15</v>
      </c>
      <c r="Z406">
        <v>0</v>
      </c>
      <c r="AA406">
        <v>0</v>
      </c>
      <c r="AB406">
        <v>21</v>
      </c>
      <c r="AC406">
        <v>0</v>
      </c>
      <c r="AD406">
        <v>0</v>
      </c>
      <c r="AE406">
        <v>75</v>
      </c>
      <c r="AF406">
        <v>60</v>
      </c>
      <c r="AJ406">
        <v>7.29</v>
      </c>
      <c r="AK406" t="str">
        <f t="shared" si="6"/>
        <v>FB432-6200</v>
      </c>
    </row>
    <row r="407" spans="1:37">
      <c r="A407" t="s">
        <v>750</v>
      </c>
      <c r="B407" t="s">
        <v>751</v>
      </c>
      <c r="C407" t="s">
        <v>665</v>
      </c>
      <c r="D407" t="s">
        <v>666</v>
      </c>
      <c r="E407">
        <v>45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68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68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5.44</v>
      </c>
      <c r="AK407" t="str">
        <f t="shared" si="6"/>
        <v>FB434-6200</v>
      </c>
    </row>
    <row r="408" spans="1:37">
      <c r="A408" t="s">
        <v>752</v>
      </c>
      <c r="B408" t="s">
        <v>753</v>
      </c>
      <c r="C408" t="s">
        <v>665</v>
      </c>
      <c r="D408" t="s">
        <v>666</v>
      </c>
      <c r="E408">
        <v>45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63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63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J408">
        <v>5.44</v>
      </c>
      <c r="AK408" t="str">
        <f t="shared" si="6"/>
        <v>FB436-6200</v>
      </c>
    </row>
    <row r="409" spans="1:37">
      <c r="A409" t="s">
        <v>754</v>
      </c>
      <c r="B409" t="s">
        <v>755</v>
      </c>
      <c r="C409" t="s">
        <v>665</v>
      </c>
      <c r="D409" t="s">
        <v>666</v>
      </c>
      <c r="E409">
        <v>45</v>
      </c>
      <c r="F409">
        <v>0</v>
      </c>
      <c r="G409">
        <v>0</v>
      </c>
      <c r="H409">
        <v>0</v>
      </c>
      <c r="I409">
        <v>4</v>
      </c>
      <c r="J409">
        <v>2</v>
      </c>
      <c r="K409">
        <v>60</v>
      </c>
      <c r="L409">
        <v>4</v>
      </c>
      <c r="M409">
        <v>0</v>
      </c>
      <c r="N409">
        <v>0</v>
      </c>
      <c r="O409">
        <v>0</v>
      </c>
      <c r="P409">
        <v>0</v>
      </c>
      <c r="Q409">
        <v>60</v>
      </c>
      <c r="R409">
        <v>0</v>
      </c>
      <c r="S409">
        <v>0</v>
      </c>
      <c r="T409">
        <v>0</v>
      </c>
      <c r="U409">
        <v>0</v>
      </c>
      <c r="V409">
        <v>26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26</v>
      </c>
      <c r="AF409">
        <v>21</v>
      </c>
      <c r="AJ409">
        <v>6.18</v>
      </c>
      <c r="AK409" t="str">
        <f t="shared" si="6"/>
        <v>FB437-5000</v>
      </c>
    </row>
    <row r="410" spans="1:37">
      <c r="A410" t="s">
        <v>756</v>
      </c>
      <c r="B410" t="s">
        <v>757</v>
      </c>
      <c r="C410" t="s">
        <v>665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362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362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5.26</v>
      </c>
      <c r="AK410" t="str">
        <f t="shared" si="6"/>
        <v>FB439-5000</v>
      </c>
    </row>
    <row r="411" spans="1:37">
      <c r="A411" t="s">
        <v>758</v>
      </c>
      <c r="B411" t="s">
        <v>757</v>
      </c>
      <c r="C411" t="s">
        <v>665</v>
      </c>
      <c r="E411">
        <v>43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162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162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J411">
        <v>5.26</v>
      </c>
      <c r="AK411" t="str">
        <f t="shared" si="6"/>
        <v>FB439-6200</v>
      </c>
    </row>
    <row r="412" spans="1:37">
      <c r="A412" t="s">
        <v>759</v>
      </c>
      <c r="B412" t="s">
        <v>760</v>
      </c>
      <c r="C412" t="s">
        <v>665</v>
      </c>
      <c r="E412">
        <v>43</v>
      </c>
      <c r="F412">
        <v>0</v>
      </c>
      <c r="G412">
        <v>6</v>
      </c>
      <c r="H412">
        <v>0</v>
      </c>
      <c r="I412">
        <v>0</v>
      </c>
      <c r="J412">
        <v>0</v>
      </c>
      <c r="K412">
        <v>212</v>
      </c>
      <c r="L412">
        <v>18</v>
      </c>
      <c r="M412">
        <v>0</v>
      </c>
      <c r="N412">
        <v>5</v>
      </c>
      <c r="O412">
        <v>0</v>
      </c>
      <c r="P412">
        <v>0</v>
      </c>
      <c r="Q412">
        <v>207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30</v>
      </c>
      <c r="AJ412">
        <v>5.26</v>
      </c>
      <c r="AK412" t="str">
        <f t="shared" si="6"/>
        <v>FB442-5000</v>
      </c>
    </row>
    <row r="413" spans="1:37">
      <c r="A413" t="s">
        <v>761</v>
      </c>
      <c r="B413" t="s">
        <v>760</v>
      </c>
      <c r="C413" t="s">
        <v>665</v>
      </c>
      <c r="E413">
        <v>43</v>
      </c>
      <c r="F413">
        <v>0.6</v>
      </c>
      <c r="G413">
        <v>11</v>
      </c>
      <c r="H413">
        <v>13</v>
      </c>
      <c r="I413">
        <v>7</v>
      </c>
      <c r="J413">
        <v>6</v>
      </c>
      <c r="K413">
        <v>40</v>
      </c>
      <c r="L413">
        <v>0</v>
      </c>
      <c r="M413">
        <v>0</v>
      </c>
      <c r="N413">
        <v>10</v>
      </c>
      <c r="O413">
        <v>0</v>
      </c>
      <c r="P413">
        <v>0</v>
      </c>
      <c r="Q413">
        <v>30</v>
      </c>
      <c r="R413">
        <v>0</v>
      </c>
      <c r="S413">
        <v>0</v>
      </c>
      <c r="T413">
        <v>0</v>
      </c>
      <c r="U413">
        <v>39</v>
      </c>
      <c r="V413">
        <v>0</v>
      </c>
      <c r="W413">
        <v>0</v>
      </c>
      <c r="X413">
        <v>0</v>
      </c>
      <c r="Y413">
        <v>15</v>
      </c>
      <c r="Z413">
        <v>0</v>
      </c>
      <c r="AA413">
        <v>14</v>
      </c>
      <c r="AB413">
        <v>0</v>
      </c>
      <c r="AC413">
        <v>0</v>
      </c>
      <c r="AD413">
        <v>0</v>
      </c>
      <c r="AE413">
        <v>68</v>
      </c>
      <c r="AF413">
        <v>57</v>
      </c>
      <c r="AJ413">
        <v>5.26</v>
      </c>
      <c r="AK413" t="str">
        <f t="shared" si="6"/>
        <v>FB442-6200</v>
      </c>
    </row>
    <row r="414" spans="1:37">
      <c r="A414" t="s">
        <v>762</v>
      </c>
      <c r="B414" t="s">
        <v>763</v>
      </c>
      <c r="C414" t="s">
        <v>665</v>
      </c>
      <c r="E414">
        <v>43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399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399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J414">
        <v>5.26</v>
      </c>
      <c r="AK414" t="str">
        <f t="shared" si="6"/>
        <v>FB443-5000</v>
      </c>
    </row>
    <row r="415" spans="1:37">
      <c r="A415" t="s">
        <v>764</v>
      </c>
      <c r="B415" t="s">
        <v>763</v>
      </c>
      <c r="C415" t="s">
        <v>665</v>
      </c>
      <c r="E415">
        <v>43</v>
      </c>
      <c r="F415">
        <v>0</v>
      </c>
      <c r="G415">
        <v>0</v>
      </c>
      <c r="H415">
        <v>0</v>
      </c>
      <c r="I415">
        <v>0</v>
      </c>
      <c r="J415">
        <v>10</v>
      </c>
      <c r="K415">
        <v>273</v>
      </c>
      <c r="L415">
        <v>29</v>
      </c>
      <c r="M415">
        <v>0</v>
      </c>
      <c r="N415">
        <v>0</v>
      </c>
      <c r="O415">
        <v>0</v>
      </c>
      <c r="P415">
        <v>0</v>
      </c>
      <c r="Q415">
        <v>273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121</v>
      </c>
      <c r="AA415">
        <v>0</v>
      </c>
      <c r="AB415">
        <v>0</v>
      </c>
      <c r="AC415">
        <v>0</v>
      </c>
      <c r="AD415">
        <v>0</v>
      </c>
      <c r="AE415">
        <v>121</v>
      </c>
      <c r="AF415">
        <v>0</v>
      </c>
      <c r="AJ415">
        <v>5.26</v>
      </c>
      <c r="AK415" t="str">
        <f t="shared" si="6"/>
        <v>FB443-6200</v>
      </c>
    </row>
    <row r="416" spans="1:37">
      <c r="A416" t="s">
        <v>765</v>
      </c>
      <c r="B416" t="s">
        <v>766</v>
      </c>
      <c r="C416" t="s">
        <v>665</v>
      </c>
      <c r="E416">
        <v>43</v>
      </c>
      <c r="F416">
        <v>19.399999999999999</v>
      </c>
      <c r="G416">
        <v>0</v>
      </c>
      <c r="H416">
        <v>4</v>
      </c>
      <c r="I416">
        <v>6</v>
      </c>
      <c r="J416">
        <v>3</v>
      </c>
      <c r="K416">
        <v>310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310</v>
      </c>
      <c r="R416">
        <v>0</v>
      </c>
      <c r="S416">
        <v>0</v>
      </c>
      <c r="T416">
        <v>0</v>
      </c>
      <c r="U416">
        <v>12</v>
      </c>
      <c r="V416">
        <v>0</v>
      </c>
      <c r="W416">
        <v>25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37</v>
      </c>
      <c r="AF416">
        <v>9</v>
      </c>
      <c r="AJ416">
        <v>5.26</v>
      </c>
      <c r="AK416" t="str">
        <f t="shared" si="6"/>
        <v>FB449-5000</v>
      </c>
    </row>
    <row r="417" spans="1:37">
      <c r="A417" t="s">
        <v>767</v>
      </c>
      <c r="B417" t="s">
        <v>766</v>
      </c>
      <c r="C417" t="s">
        <v>665</v>
      </c>
      <c r="E417">
        <v>43</v>
      </c>
      <c r="F417">
        <v>0</v>
      </c>
      <c r="G417">
        <v>0</v>
      </c>
      <c r="H417">
        <v>0</v>
      </c>
      <c r="I417">
        <v>0</v>
      </c>
      <c r="J417">
        <v>2</v>
      </c>
      <c r="K417">
        <v>44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44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29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29</v>
      </c>
      <c r="AF417">
        <v>86</v>
      </c>
      <c r="AJ417">
        <v>5.26</v>
      </c>
      <c r="AK417" t="str">
        <f t="shared" si="6"/>
        <v>FB449-6200</v>
      </c>
    </row>
    <row r="418" spans="1:37">
      <c r="A418" t="s">
        <v>768</v>
      </c>
      <c r="B418" t="s">
        <v>769</v>
      </c>
      <c r="C418" t="s">
        <v>665</v>
      </c>
      <c r="E418">
        <v>43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105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105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J418">
        <v>5.26</v>
      </c>
      <c r="AK418" t="str">
        <f t="shared" si="6"/>
        <v>FB450-5000</v>
      </c>
    </row>
    <row r="419" spans="1:37">
      <c r="A419" t="s">
        <v>770</v>
      </c>
      <c r="B419" t="s">
        <v>769</v>
      </c>
      <c r="C419" t="s">
        <v>665</v>
      </c>
      <c r="E419">
        <v>43</v>
      </c>
      <c r="F419">
        <v>0</v>
      </c>
      <c r="G419">
        <v>0</v>
      </c>
      <c r="H419">
        <v>20</v>
      </c>
      <c r="I419">
        <v>21</v>
      </c>
      <c r="J419">
        <v>15</v>
      </c>
      <c r="K419">
        <v>0</v>
      </c>
      <c r="L419">
        <v>7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60</v>
      </c>
      <c r="T419">
        <v>0</v>
      </c>
      <c r="U419">
        <v>0</v>
      </c>
      <c r="V419">
        <v>0</v>
      </c>
      <c r="W419">
        <v>67</v>
      </c>
      <c r="X419">
        <v>0</v>
      </c>
      <c r="Y419">
        <v>11</v>
      </c>
      <c r="Z419">
        <v>0</v>
      </c>
      <c r="AA419">
        <v>38</v>
      </c>
      <c r="AB419">
        <v>0</v>
      </c>
      <c r="AC419">
        <v>0</v>
      </c>
      <c r="AD419">
        <v>0</v>
      </c>
      <c r="AE419">
        <v>176</v>
      </c>
      <c r="AF419">
        <v>94</v>
      </c>
      <c r="AG419" t="s">
        <v>7479</v>
      </c>
      <c r="AH419">
        <v>1</v>
      </c>
      <c r="AI419">
        <v>200</v>
      </c>
      <c r="AJ419">
        <v>5.4</v>
      </c>
      <c r="AK419" t="str">
        <f t="shared" si="6"/>
        <v>FB450-6200</v>
      </c>
    </row>
    <row r="420" spans="1:37">
      <c r="A420" t="s">
        <v>771</v>
      </c>
      <c r="B420" t="s">
        <v>772</v>
      </c>
      <c r="C420" t="s">
        <v>665</v>
      </c>
      <c r="E420">
        <v>43</v>
      </c>
      <c r="F420">
        <v>0</v>
      </c>
      <c r="G420">
        <v>0</v>
      </c>
      <c r="H420">
        <v>0</v>
      </c>
      <c r="I420">
        <v>0</v>
      </c>
      <c r="J420">
        <v>2</v>
      </c>
      <c r="K420">
        <v>232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232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26</v>
      </c>
      <c r="AD420">
        <v>0</v>
      </c>
      <c r="AE420">
        <v>26</v>
      </c>
      <c r="AF420">
        <v>0</v>
      </c>
      <c r="AJ420">
        <v>5.26</v>
      </c>
      <c r="AK420" t="str">
        <f t="shared" si="6"/>
        <v>FB451-5000</v>
      </c>
    </row>
    <row r="421" spans="1:37">
      <c r="A421" t="s">
        <v>773</v>
      </c>
      <c r="B421" t="s">
        <v>772</v>
      </c>
      <c r="C421" t="s">
        <v>665</v>
      </c>
      <c r="E421">
        <v>43</v>
      </c>
      <c r="F421">
        <v>1.7</v>
      </c>
      <c r="G421">
        <v>0</v>
      </c>
      <c r="H421">
        <v>14</v>
      </c>
      <c r="I421">
        <v>7</v>
      </c>
      <c r="J421">
        <v>4</v>
      </c>
      <c r="K421">
        <v>100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100</v>
      </c>
      <c r="R421">
        <v>0</v>
      </c>
      <c r="S421">
        <v>0</v>
      </c>
      <c r="T421">
        <v>0</v>
      </c>
      <c r="U421">
        <v>43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43</v>
      </c>
      <c r="AF421">
        <v>72</v>
      </c>
      <c r="AJ421">
        <v>5.26</v>
      </c>
      <c r="AK421" t="str">
        <f t="shared" si="6"/>
        <v>FB451-6200</v>
      </c>
    </row>
    <row r="422" spans="1:37">
      <c r="A422" t="s">
        <v>774</v>
      </c>
      <c r="B422" t="s">
        <v>775</v>
      </c>
      <c r="C422" t="s">
        <v>665</v>
      </c>
      <c r="E422">
        <v>43</v>
      </c>
      <c r="F422">
        <v>0</v>
      </c>
      <c r="G422">
        <v>52</v>
      </c>
      <c r="H422">
        <v>0</v>
      </c>
      <c r="I422">
        <v>1</v>
      </c>
      <c r="J422">
        <v>3</v>
      </c>
      <c r="K422">
        <v>263</v>
      </c>
      <c r="L422">
        <v>4</v>
      </c>
      <c r="M422">
        <v>0</v>
      </c>
      <c r="N422">
        <v>44</v>
      </c>
      <c r="O422">
        <v>0</v>
      </c>
      <c r="P422">
        <v>0</v>
      </c>
      <c r="Q422">
        <v>219</v>
      </c>
      <c r="R422">
        <v>0</v>
      </c>
      <c r="S422">
        <v>0</v>
      </c>
      <c r="T422">
        <v>0</v>
      </c>
      <c r="U422">
        <v>0</v>
      </c>
      <c r="V422">
        <v>7</v>
      </c>
      <c r="W422">
        <v>0</v>
      </c>
      <c r="X422">
        <v>0</v>
      </c>
      <c r="Y422">
        <v>0</v>
      </c>
      <c r="Z422">
        <v>0</v>
      </c>
      <c r="AA422">
        <v>25</v>
      </c>
      <c r="AB422">
        <v>0</v>
      </c>
      <c r="AC422">
        <v>0</v>
      </c>
      <c r="AD422">
        <v>0</v>
      </c>
      <c r="AE422">
        <v>32</v>
      </c>
      <c r="AF422">
        <v>52</v>
      </c>
      <c r="AJ422">
        <v>5.26</v>
      </c>
      <c r="AK422" t="str">
        <f t="shared" si="6"/>
        <v>FB452-5000</v>
      </c>
    </row>
    <row r="423" spans="1:37">
      <c r="A423" t="s">
        <v>776</v>
      </c>
      <c r="B423" t="s">
        <v>775</v>
      </c>
      <c r="C423" t="s">
        <v>665</v>
      </c>
      <c r="E423">
        <v>43</v>
      </c>
      <c r="F423">
        <v>0</v>
      </c>
      <c r="G423">
        <v>29</v>
      </c>
      <c r="H423">
        <v>0</v>
      </c>
      <c r="I423">
        <v>63</v>
      </c>
      <c r="J423">
        <v>37</v>
      </c>
      <c r="K423">
        <v>343</v>
      </c>
      <c r="L423">
        <v>5</v>
      </c>
      <c r="M423">
        <v>0</v>
      </c>
      <c r="N423">
        <v>24</v>
      </c>
      <c r="O423">
        <v>0</v>
      </c>
      <c r="P423">
        <v>0</v>
      </c>
      <c r="Q423">
        <v>319</v>
      </c>
      <c r="R423">
        <v>0</v>
      </c>
      <c r="S423">
        <v>0</v>
      </c>
      <c r="T423">
        <v>0</v>
      </c>
      <c r="U423">
        <v>0</v>
      </c>
      <c r="V423">
        <v>52</v>
      </c>
      <c r="W423">
        <v>0</v>
      </c>
      <c r="X423">
        <v>327</v>
      </c>
      <c r="Y423">
        <v>29</v>
      </c>
      <c r="Z423">
        <v>0</v>
      </c>
      <c r="AA423">
        <v>0</v>
      </c>
      <c r="AB423">
        <v>0</v>
      </c>
      <c r="AC423">
        <v>0</v>
      </c>
      <c r="AD423">
        <v>33</v>
      </c>
      <c r="AE423">
        <v>441</v>
      </c>
      <c r="AF423">
        <v>187</v>
      </c>
      <c r="AJ423">
        <v>7.29</v>
      </c>
      <c r="AK423" t="str">
        <f t="shared" si="6"/>
        <v>FB452-6200</v>
      </c>
    </row>
    <row r="424" spans="1:37">
      <c r="A424" t="s">
        <v>777</v>
      </c>
      <c r="B424" t="s">
        <v>778</v>
      </c>
      <c r="C424" t="s">
        <v>665</v>
      </c>
      <c r="E424">
        <v>45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233</v>
      </c>
      <c r="L424">
        <v>3</v>
      </c>
      <c r="M424">
        <v>0</v>
      </c>
      <c r="N424">
        <v>0</v>
      </c>
      <c r="O424">
        <v>0</v>
      </c>
      <c r="P424">
        <v>0</v>
      </c>
      <c r="Q424">
        <v>233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3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</v>
      </c>
      <c r="AF424">
        <v>0</v>
      </c>
      <c r="AJ424">
        <v>6.09</v>
      </c>
      <c r="AK424" t="str">
        <f t="shared" si="6"/>
        <v>FB456-5000</v>
      </c>
    </row>
    <row r="425" spans="1:37">
      <c r="A425" t="s">
        <v>6425</v>
      </c>
      <c r="B425" t="s">
        <v>778</v>
      </c>
      <c r="C425" t="s">
        <v>665</v>
      </c>
      <c r="E425">
        <v>45</v>
      </c>
      <c r="F425">
        <v>0</v>
      </c>
      <c r="G425">
        <v>6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5</v>
      </c>
      <c r="O425">
        <v>0</v>
      </c>
      <c r="P425">
        <v>0</v>
      </c>
      <c r="Q425">
        <v>-5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J425">
        <v>0</v>
      </c>
      <c r="AK425" t="str">
        <f t="shared" si="6"/>
        <v>FB456-6200</v>
      </c>
    </row>
    <row r="426" spans="1:37">
      <c r="A426" t="s">
        <v>779</v>
      </c>
      <c r="B426" t="s">
        <v>780</v>
      </c>
      <c r="C426" t="s">
        <v>665</v>
      </c>
      <c r="E426">
        <v>45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82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82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11</v>
      </c>
      <c r="AJ426">
        <v>6.25</v>
      </c>
      <c r="AK426" t="str">
        <f t="shared" si="6"/>
        <v>FB458-5000</v>
      </c>
    </row>
    <row r="427" spans="1:37">
      <c r="A427" t="s">
        <v>781</v>
      </c>
      <c r="B427" t="s">
        <v>780</v>
      </c>
      <c r="C427" t="s">
        <v>665</v>
      </c>
      <c r="E427">
        <v>43</v>
      </c>
      <c r="F427">
        <v>0</v>
      </c>
      <c r="G427">
        <v>0</v>
      </c>
      <c r="H427">
        <v>0</v>
      </c>
      <c r="I427">
        <v>5</v>
      </c>
      <c r="J427">
        <v>2</v>
      </c>
      <c r="K427">
        <v>160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160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28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28</v>
      </c>
      <c r="AF427">
        <v>46</v>
      </c>
      <c r="AJ427">
        <v>5.4089999999999998</v>
      </c>
      <c r="AK427" t="str">
        <f t="shared" si="6"/>
        <v>FB458-6200</v>
      </c>
    </row>
    <row r="428" spans="1:37">
      <c r="A428" t="s">
        <v>782</v>
      </c>
      <c r="B428" t="s">
        <v>783</v>
      </c>
      <c r="C428" t="s">
        <v>665</v>
      </c>
      <c r="E428">
        <v>45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249</v>
      </c>
      <c r="L428">
        <v>3</v>
      </c>
      <c r="M428">
        <v>0</v>
      </c>
      <c r="N428">
        <v>0</v>
      </c>
      <c r="O428">
        <v>0</v>
      </c>
      <c r="P428">
        <v>0</v>
      </c>
      <c r="Q428">
        <v>249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2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2</v>
      </c>
      <c r="AF428">
        <v>0</v>
      </c>
      <c r="AJ428">
        <v>6.09</v>
      </c>
      <c r="AK428" t="str">
        <f t="shared" si="6"/>
        <v>FB466-5000</v>
      </c>
    </row>
    <row r="429" spans="1:37">
      <c r="A429" t="s">
        <v>784</v>
      </c>
      <c r="B429" t="s">
        <v>785</v>
      </c>
      <c r="C429" t="s">
        <v>665</v>
      </c>
      <c r="E429">
        <v>45</v>
      </c>
      <c r="F429">
        <v>0</v>
      </c>
      <c r="G429">
        <v>14</v>
      </c>
      <c r="H429">
        <v>0</v>
      </c>
      <c r="I429">
        <v>0</v>
      </c>
      <c r="J429">
        <v>0</v>
      </c>
      <c r="K429">
        <v>207</v>
      </c>
      <c r="L429">
        <v>0</v>
      </c>
      <c r="M429">
        <v>0</v>
      </c>
      <c r="N429">
        <v>11</v>
      </c>
      <c r="O429">
        <v>0</v>
      </c>
      <c r="P429">
        <v>0</v>
      </c>
      <c r="Q429">
        <v>196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6.09</v>
      </c>
      <c r="AK429" t="str">
        <f t="shared" si="6"/>
        <v>FB466-6200</v>
      </c>
    </row>
    <row r="430" spans="1:37">
      <c r="A430" t="s">
        <v>786</v>
      </c>
      <c r="B430" t="s">
        <v>787</v>
      </c>
      <c r="C430" t="s">
        <v>665</v>
      </c>
      <c r="E430">
        <v>45</v>
      </c>
      <c r="F430">
        <v>0</v>
      </c>
      <c r="G430">
        <v>0</v>
      </c>
      <c r="H430">
        <v>0</v>
      </c>
      <c r="I430">
        <v>0</v>
      </c>
      <c r="J430">
        <v>5</v>
      </c>
      <c r="K430">
        <v>129</v>
      </c>
      <c r="L430">
        <v>5</v>
      </c>
      <c r="M430">
        <v>0</v>
      </c>
      <c r="N430">
        <v>0</v>
      </c>
      <c r="O430">
        <v>0</v>
      </c>
      <c r="P430">
        <v>0</v>
      </c>
      <c r="Q430">
        <v>129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56</v>
      </c>
      <c r="AD430">
        <v>0</v>
      </c>
      <c r="AE430">
        <v>56</v>
      </c>
      <c r="AF430">
        <v>0</v>
      </c>
      <c r="AJ430">
        <v>6.09</v>
      </c>
      <c r="AK430" t="str">
        <f t="shared" si="6"/>
        <v>FB536-6200</v>
      </c>
    </row>
    <row r="431" spans="1:37">
      <c r="A431" t="s">
        <v>788</v>
      </c>
      <c r="B431" t="s">
        <v>789</v>
      </c>
      <c r="C431" t="s">
        <v>665</v>
      </c>
      <c r="D431" t="s">
        <v>666</v>
      </c>
      <c r="E431">
        <v>45</v>
      </c>
      <c r="F431">
        <v>0</v>
      </c>
      <c r="G431">
        <v>0</v>
      </c>
      <c r="H431">
        <v>0</v>
      </c>
      <c r="I431">
        <v>0</v>
      </c>
      <c r="J431">
        <v>5</v>
      </c>
      <c r="K431">
        <v>98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98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57</v>
      </c>
      <c r="AE431">
        <v>57</v>
      </c>
      <c r="AF431">
        <v>0</v>
      </c>
      <c r="AJ431">
        <v>5.44</v>
      </c>
      <c r="AK431" t="str">
        <f t="shared" si="6"/>
        <v>FB601-6200</v>
      </c>
    </row>
    <row r="432" spans="1:37">
      <c r="A432" t="s">
        <v>790</v>
      </c>
      <c r="B432" t="s">
        <v>791</v>
      </c>
      <c r="C432" t="s">
        <v>665</v>
      </c>
      <c r="D432" t="s">
        <v>666</v>
      </c>
      <c r="E432">
        <v>45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128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128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J432">
        <v>5.44</v>
      </c>
      <c r="AK432" t="str">
        <f t="shared" si="6"/>
        <v>FB900-6200</v>
      </c>
    </row>
    <row r="433" spans="1:37">
      <c r="A433" t="s">
        <v>792</v>
      </c>
      <c r="B433" t="s">
        <v>793</v>
      </c>
      <c r="C433" t="s">
        <v>101</v>
      </c>
      <c r="D433" t="s">
        <v>794</v>
      </c>
      <c r="E433">
        <v>125</v>
      </c>
      <c r="F433">
        <v>0.6</v>
      </c>
      <c r="G433">
        <v>4378</v>
      </c>
      <c r="H433">
        <v>693</v>
      </c>
      <c r="I433">
        <v>693</v>
      </c>
      <c r="J433">
        <v>1051</v>
      </c>
      <c r="K433">
        <v>5220</v>
      </c>
      <c r="L433">
        <v>1544</v>
      </c>
      <c r="M433">
        <v>0</v>
      </c>
      <c r="N433">
        <v>3648</v>
      </c>
      <c r="O433">
        <v>0</v>
      </c>
      <c r="P433">
        <v>0</v>
      </c>
      <c r="Q433">
        <v>1572</v>
      </c>
      <c r="R433">
        <v>0</v>
      </c>
      <c r="S433">
        <v>0</v>
      </c>
      <c r="T433">
        <v>0</v>
      </c>
      <c r="U433">
        <v>2079</v>
      </c>
      <c r="V433">
        <v>0</v>
      </c>
      <c r="W433">
        <v>2076</v>
      </c>
      <c r="X433">
        <v>0</v>
      </c>
      <c r="Y433">
        <v>1003</v>
      </c>
      <c r="Z433">
        <v>0</v>
      </c>
      <c r="AA433">
        <v>0</v>
      </c>
      <c r="AB433">
        <v>5238</v>
      </c>
      <c r="AC433">
        <v>0</v>
      </c>
      <c r="AD433">
        <v>2211</v>
      </c>
      <c r="AE433">
        <v>12607</v>
      </c>
      <c r="AF433">
        <v>7164</v>
      </c>
      <c r="AJ433">
        <v>1.1100000000000001</v>
      </c>
      <c r="AK433" t="str">
        <f t="shared" si="6"/>
        <v>FR115-3714</v>
      </c>
    </row>
    <row r="434" spans="1:37">
      <c r="A434" t="s">
        <v>795</v>
      </c>
      <c r="B434" t="s">
        <v>793</v>
      </c>
      <c r="C434" t="s">
        <v>101</v>
      </c>
      <c r="D434" t="s">
        <v>794</v>
      </c>
      <c r="E434">
        <v>125</v>
      </c>
      <c r="F434">
        <v>0.1</v>
      </c>
      <c r="G434">
        <v>40486</v>
      </c>
      <c r="H434">
        <v>36295</v>
      </c>
      <c r="I434">
        <v>32614</v>
      </c>
      <c r="J434">
        <v>30148</v>
      </c>
      <c r="K434">
        <v>41423</v>
      </c>
      <c r="L434">
        <v>27074</v>
      </c>
      <c r="M434">
        <v>0</v>
      </c>
      <c r="N434">
        <v>33738</v>
      </c>
      <c r="O434">
        <v>0</v>
      </c>
      <c r="P434">
        <v>0</v>
      </c>
      <c r="Q434">
        <v>7685</v>
      </c>
      <c r="R434">
        <v>0</v>
      </c>
      <c r="S434">
        <v>10898</v>
      </c>
      <c r="T434">
        <v>28752</v>
      </c>
      <c r="U434">
        <v>69235</v>
      </c>
      <c r="V434">
        <v>29318</v>
      </c>
      <c r="W434">
        <v>31061</v>
      </c>
      <c r="X434">
        <v>26417</v>
      </c>
      <c r="Y434">
        <v>22739</v>
      </c>
      <c r="Z434">
        <v>22730</v>
      </c>
      <c r="AA434">
        <v>45437</v>
      </c>
      <c r="AB434">
        <v>36541</v>
      </c>
      <c r="AC434">
        <v>19805</v>
      </c>
      <c r="AD434">
        <v>18841</v>
      </c>
      <c r="AE434">
        <v>361774</v>
      </c>
      <c r="AF434">
        <v>342533</v>
      </c>
      <c r="AJ434">
        <v>1.52</v>
      </c>
      <c r="AK434" t="str">
        <f t="shared" si="6"/>
        <v>FR115-5014</v>
      </c>
    </row>
    <row r="435" spans="1:37">
      <c r="A435" t="s">
        <v>796</v>
      </c>
      <c r="B435" t="s">
        <v>793</v>
      </c>
      <c r="C435" t="s">
        <v>101</v>
      </c>
      <c r="D435" t="s">
        <v>794</v>
      </c>
      <c r="E435">
        <v>125</v>
      </c>
      <c r="F435">
        <v>0.2</v>
      </c>
      <c r="G435">
        <v>8857</v>
      </c>
      <c r="H435">
        <v>7212</v>
      </c>
      <c r="I435">
        <v>7863</v>
      </c>
      <c r="J435">
        <v>7563</v>
      </c>
      <c r="K435">
        <v>11883</v>
      </c>
      <c r="L435">
        <v>6309</v>
      </c>
      <c r="M435">
        <v>0</v>
      </c>
      <c r="N435">
        <v>7381</v>
      </c>
      <c r="O435">
        <v>0</v>
      </c>
      <c r="P435">
        <v>0</v>
      </c>
      <c r="Q435">
        <v>4502</v>
      </c>
      <c r="R435">
        <v>0</v>
      </c>
      <c r="S435">
        <v>3419</v>
      </c>
      <c r="T435">
        <v>6927</v>
      </c>
      <c r="U435">
        <v>11291</v>
      </c>
      <c r="V435">
        <v>15090</v>
      </c>
      <c r="W435">
        <v>3362</v>
      </c>
      <c r="X435">
        <v>7090</v>
      </c>
      <c r="Y435">
        <v>6707</v>
      </c>
      <c r="Z435">
        <v>5135</v>
      </c>
      <c r="AA435">
        <v>6376</v>
      </c>
      <c r="AB435">
        <v>6732</v>
      </c>
      <c r="AC435">
        <v>14098</v>
      </c>
      <c r="AD435">
        <v>4529</v>
      </c>
      <c r="AE435">
        <v>90756</v>
      </c>
      <c r="AF435">
        <v>134586</v>
      </c>
      <c r="AJ435">
        <v>1.52</v>
      </c>
      <c r="AK435" t="str">
        <f t="shared" si="6"/>
        <v>FR115-6212</v>
      </c>
    </row>
    <row r="436" spans="1:37">
      <c r="A436" t="s">
        <v>797</v>
      </c>
      <c r="B436" t="s">
        <v>798</v>
      </c>
      <c r="C436" t="s">
        <v>799</v>
      </c>
      <c r="E436">
        <v>192</v>
      </c>
      <c r="F436">
        <v>0.3</v>
      </c>
      <c r="G436">
        <v>412</v>
      </c>
      <c r="H436">
        <v>1992</v>
      </c>
      <c r="I436">
        <v>1216</v>
      </c>
      <c r="J436">
        <v>1195</v>
      </c>
      <c r="K436">
        <v>2812</v>
      </c>
      <c r="L436">
        <v>0</v>
      </c>
      <c r="M436">
        <v>0</v>
      </c>
      <c r="N436">
        <v>343</v>
      </c>
      <c r="O436">
        <v>0</v>
      </c>
      <c r="P436">
        <v>0</v>
      </c>
      <c r="Q436">
        <v>2469</v>
      </c>
      <c r="R436">
        <v>0</v>
      </c>
      <c r="S436">
        <v>1337</v>
      </c>
      <c r="T436">
        <v>2015</v>
      </c>
      <c r="U436">
        <v>2623</v>
      </c>
      <c r="V436">
        <v>1322</v>
      </c>
      <c r="W436">
        <v>0</v>
      </c>
      <c r="X436">
        <v>0</v>
      </c>
      <c r="Y436">
        <v>1346</v>
      </c>
      <c r="Z436">
        <v>652</v>
      </c>
      <c r="AA436">
        <v>905</v>
      </c>
      <c r="AB436">
        <v>1990</v>
      </c>
      <c r="AC436">
        <v>2146</v>
      </c>
      <c r="AD436">
        <v>0</v>
      </c>
      <c r="AE436">
        <v>14336</v>
      </c>
      <c r="AF436">
        <v>14869</v>
      </c>
      <c r="AG436" t="s">
        <v>800</v>
      </c>
      <c r="AH436">
        <v>3</v>
      </c>
      <c r="AI436">
        <v>55</v>
      </c>
      <c r="AJ436">
        <v>8.73</v>
      </c>
      <c r="AK436" t="str">
        <f t="shared" si="6"/>
        <v>GC002-4800</v>
      </c>
    </row>
    <row r="437" spans="1:37">
      <c r="A437" t="s">
        <v>797</v>
      </c>
      <c r="B437" t="s">
        <v>798</v>
      </c>
      <c r="C437" t="s">
        <v>799</v>
      </c>
      <c r="E437">
        <v>192</v>
      </c>
      <c r="AG437" t="s">
        <v>801</v>
      </c>
      <c r="AH437">
        <v>1</v>
      </c>
      <c r="AI437">
        <v>29</v>
      </c>
      <c r="AK437" t="str">
        <f t="shared" si="6"/>
        <v>GC002-4800</v>
      </c>
    </row>
    <row r="438" spans="1:37">
      <c r="A438" t="s">
        <v>797</v>
      </c>
      <c r="B438" t="s">
        <v>798</v>
      </c>
      <c r="C438" t="s">
        <v>799</v>
      </c>
      <c r="E438">
        <v>192</v>
      </c>
      <c r="AG438" t="s">
        <v>802</v>
      </c>
      <c r="AH438">
        <v>1</v>
      </c>
      <c r="AI438">
        <v>76</v>
      </c>
      <c r="AK438" t="str">
        <f t="shared" si="6"/>
        <v>GC002-4800</v>
      </c>
    </row>
    <row r="439" spans="1:37">
      <c r="A439" t="s">
        <v>797</v>
      </c>
      <c r="B439" t="s">
        <v>798</v>
      </c>
      <c r="C439" t="s">
        <v>799</v>
      </c>
      <c r="E439">
        <v>192</v>
      </c>
      <c r="AG439" t="s">
        <v>804</v>
      </c>
      <c r="AH439">
        <v>1</v>
      </c>
      <c r="AI439">
        <v>351</v>
      </c>
      <c r="AK439" t="str">
        <f t="shared" si="6"/>
        <v>GC002-4800</v>
      </c>
    </row>
    <row r="440" spans="1:37">
      <c r="A440" t="s">
        <v>797</v>
      </c>
      <c r="B440" t="s">
        <v>798</v>
      </c>
      <c r="C440" t="s">
        <v>799</v>
      </c>
      <c r="E440">
        <v>192</v>
      </c>
      <c r="AG440" t="s">
        <v>5430</v>
      </c>
      <c r="AH440">
        <v>1</v>
      </c>
      <c r="AI440">
        <v>3441</v>
      </c>
      <c r="AK440" t="str">
        <f t="shared" si="6"/>
        <v>GC002-4800</v>
      </c>
    </row>
    <row r="441" spans="1:37">
      <c r="A441" t="s">
        <v>797</v>
      </c>
      <c r="B441" t="s">
        <v>798</v>
      </c>
      <c r="C441" t="s">
        <v>799</v>
      </c>
      <c r="E441">
        <v>192</v>
      </c>
      <c r="AG441" t="s">
        <v>5430</v>
      </c>
      <c r="AH441">
        <v>2</v>
      </c>
      <c r="AI441">
        <v>3441</v>
      </c>
      <c r="AK441" t="str">
        <f t="shared" si="6"/>
        <v>GC002-4800</v>
      </c>
    </row>
    <row r="442" spans="1:37">
      <c r="A442" t="s">
        <v>805</v>
      </c>
      <c r="B442" t="s">
        <v>798</v>
      </c>
      <c r="C442" t="s">
        <v>799</v>
      </c>
      <c r="E442">
        <v>192</v>
      </c>
      <c r="F442">
        <v>-0.2</v>
      </c>
      <c r="G442">
        <v>4629</v>
      </c>
      <c r="H442">
        <v>6176</v>
      </c>
      <c r="I442">
        <v>4443</v>
      </c>
      <c r="J442">
        <v>3874</v>
      </c>
      <c r="K442">
        <v>0</v>
      </c>
      <c r="L442">
        <v>0</v>
      </c>
      <c r="M442">
        <v>0</v>
      </c>
      <c r="N442">
        <v>3858</v>
      </c>
      <c r="O442">
        <v>0</v>
      </c>
      <c r="P442">
        <v>0</v>
      </c>
      <c r="Q442">
        <v>-3858</v>
      </c>
      <c r="R442">
        <v>0</v>
      </c>
      <c r="S442">
        <v>6562</v>
      </c>
      <c r="T442">
        <v>6515</v>
      </c>
      <c r="U442">
        <v>5452</v>
      </c>
      <c r="V442">
        <v>4914</v>
      </c>
      <c r="W442">
        <v>1637</v>
      </c>
      <c r="X442">
        <v>1575</v>
      </c>
      <c r="Y442">
        <v>1126</v>
      </c>
      <c r="Z442">
        <v>3347</v>
      </c>
      <c r="AA442">
        <v>811</v>
      </c>
      <c r="AB442">
        <v>3870</v>
      </c>
      <c r="AC442">
        <v>6980</v>
      </c>
      <c r="AD442">
        <v>3694</v>
      </c>
      <c r="AE442">
        <v>46483</v>
      </c>
      <c r="AF442">
        <v>47266</v>
      </c>
      <c r="AG442" t="s">
        <v>806</v>
      </c>
      <c r="AH442">
        <v>1</v>
      </c>
      <c r="AI442">
        <v>368</v>
      </c>
      <c r="AJ442">
        <v>14.05</v>
      </c>
      <c r="AK442" t="str">
        <f t="shared" si="6"/>
        <v>GC002-6200</v>
      </c>
    </row>
    <row r="443" spans="1:37">
      <c r="A443" t="s">
        <v>805</v>
      </c>
      <c r="B443" t="s">
        <v>798</v>
      </c>
      <c r="C443" t="s">
        <v>799</v>
      </c>
      <c r="E443">
        <v>192</v>
      </c>
      <c r="AG443" t="s">
        <v>806</v>
      </c>
      <c r="AH443">
        <v>2</v>
      </c>
      <c r="AI443">
        <v>1</v>
      </c>
      <c r="AK443" t="str">
        <f t="shared" si="6"/>
        <v>GC002-6200</v>
      </c>
    </row>
    <row r="444" spans="1:37">
      <c r="A444" t="s">
        <v>805</v>
      </c>
      <c r="B444" t="s">
        <v>798</v>
      </c>
      <c r="C444" t="s">
        <v>799</v>
      </c>
      <c r="E444">
        <v>192</v>
      </c>
      <c r="AG444" t="s">
        <v>807</v>
      </c>
      <c r="AH444">
        <v>2</v>
      </c>
      <c r="AI444">
        <v>204</v>
      </c>
      <c r="AK444" t="str">
        <f t="shared" si="6"/>
        <v>GC002-6200</v>
      </c>
    </row>
    <row r="445" spans="1:37">
      <c r="A445" t="s">
        <v>805</v>
      </c>
      <c r="B445" t="s">
        <v>798</v>
      </c>
      <c r="C445" t="s">
        <v>799</v>
      </c>
      <c r="E445">
        <v>192</v>
      </c>
      <c r="AG445" t="s">
        <v>807</v>
      </c>
      <c r="AH445">
        <v>4</v>
      </c>
      <c r="AI445">
        <v>2</v>
      </c>
      <c r="AK445" t="str">
        <f t="shared" si="6"/>
        <v>GC002-6200</v>
      </c>
    </row>
    <row r="446" spans="1:37">
      <c r="A446" t="s">
        <v>805</v>
      </c>
      <c r="B446" t="s">
        <v>798</v>
      </c>
      <c r="C446" t="s">
        <v>799</v>
      </c>
      <c r="E446">
        <v>192</v>
      </c>
      <c r="AG446" t="s">
        <v>804</v>
      </c>
      <c r="AH446">
        <v>2</v>
      </c>
      <c r="AI446">
        <v>10551</v>
      </c>
      <c r="AK446" t="str">
        <f t="shared" si="6"/>
        <v>GC002-6200</v>
      </c>
    </row>
    <row r="447" spans="1:37">
      <c r="A447" t="s">
        <v>805</v>
      </c>
      <c r="B447" t="s">
        <v>798</v>
      </c>
      <c r="C447" t="s">
        <v>799</v>
      </c>
      <c r="E447">
        <v>192</v>
      </c>
      <c r="AG447" t="s">
        <v>5934</v>
      </c>
      <c r="AH447">
        <v>1</v>
      </c>
      <c r="AI447">
        <v>10551</v>
      </c>
      <c r="AK447" t="str">
        <f t="shared" si="6"/>
        <v>GC002-6200</v>
      </c>
    </row>
    <row r="448" spans="1:37">
      <c r="A448" t="s">
        <v>808</v>
      </c>
      <c r="B448" t="s">
        <v>798</v>
      </c>
      <c r="C448" t="s">
        <v>799</v>
      </c>
      <c r="E448">
        <v>192</v>
      </c>
      <c r="F448">
        <v>1.1000000000000001</v>
      </c>
      <c r="G448">
        <v>0</v>
      </c>
      <c r="H448">
        <v>1017</v>
      </c>
      <c r="I448">
        <v>509</v>
      </c>
      <c r="J448">
        <v>817</v>
      </c>
      <c r="K448">
        <v>4452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4452</v>
      </c>
      <c r="R448">
        <v>0</v>
      </c>
      <c r="S448">
        <v>0</v>
      </c>
      <c r="T448">
        <v>2172</v>
      </c>
      <c r="U448">
        <v>880</v>
      </c>
      <c r="V448">
        <v>0</v>
      </c>
      <c r="W448">
        <v>0</v>
      </c>
      <c r="X448">
        <v>0</v>
      </c>
      <c r="Y448">
        <v>3806</v>
      </c>
      <c r="Z448">
        <v>0</v>
      </c>
      <c r="AA448">
        <v>453</v>
      </c>
      <c r="AB448">
        <v>1586</v>
      </c>
      <c r="AC448">
        <v>903</v>
      </c>
      <c r="AD448">
        <v>0</v>
      </c>
      <c r="AE448">
        <v>9800</v>
      </c>
      <c r="AF448">
        <v>7014</v>
      </c>
      <c r="AG448" t="s">
        <v>5934</v>
      </c>
      <c r="AH448">
        <v>2</v>
      </c>
      <c r="AI448">
        <v>3324</v>
      </c>
      <c r="AJ448">
        <v>14.33</v>
      </c>
      <c r="AK448" t="str">
        <f t="shared" si="6"/>
        <v>GC002-6500</v>
      </c>
    </row>
    <row r="449" spans="1:37">
      <c r="A449" t="s">
        <v>810</v>
      </c>
      <c r="B449" t="s">
        <v>811</v>
      </c>
      <c r="C449" t="s">
        <v>799</v>
      </c>
      <c r="D449" t="s">
        <v>812</v>
      </c>
      <c r="E449">
        <v>120</v>
      </c>
      <c r="F449">
        <v>3</v>
      </c>
      <c r="G449">
        <v>0</v>
      </c>
      <c r="H449">
        <v>248</v>
      </c>
      <c r="I449">
        <v>338</v>
      </c>
      <c r="J449">
        <v>448</v>
      </c>
      <c r="K449">
        <v>3003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3003</v>
      </c>
      <c r="R449">
        <v>0</v>
      </c>
      <c r="S449">
        <v>0</v>
      </c>
      <c r="T449">
        <v>745</v>
      </c>
      <c r="U449">
        <v>0</v>
      </c>
      <c r="V449">
        <v>1280</v>
      </c>
      <c r="W449">
        <v>0</v>
      </c>
      <c r="X449">
        <v>0</v>
      </c>
      <c r="Y449">
        <v>665</v>
      </c>
      <c r="Z449">
        <v>1760</v>
      </c>
      <c r="AA449">
        <v>0</v>
      </c>
      <c r="AB449">
        <v>925</v>
      </c>
      <c r="AC449">
        <v>0</v>
      </c>
      <c r="AD449">
        <v>0</v>
      </c>
      <c r="AE449">
        <v>5375</v>
      </c>
      <c r="AF449">
        <v>496</v>
      </c>
      <c r="AG449" t="s">
        <v>5934</v>
      </c>
      <c r="AH449">
        <v>3</v>
      </c>
      <c r="AI449">
        <v>1509</v>
      </c>
      <c r="AJ449">
        <v>18.78</v>
      </c>
      <c r="AK449" t="str">
        <f t="shared" si="6"/>
        <v>GC004-4800</v>
      </c>
    </row>
    <row r="450" spans="1:37">
      <c r="A450" t="s">
        <v>813</v>
      </c>
      <c r="B450" t="s">
        <v>811</v>
      </c>
      <c r="C450" t="s">
        <v>799</v>
      </c>
      <c r="E450">
        <v>120</v>
      </c>
      <c r="F450">
        <v>-2.5</v>
      </c>
      <c r="G450">
        <v>10760</v>
      </c>
      <c r="H450">
        <v>747</v>
      </c>
      <c r="I450">
        <v>1245</v>
      </c>
      <c r="J450">
        <v>1807</v>
      </c>
      <c r="K450">
        <v>1493</v>
      </c>
      <c r="L450">
        <v>0</v>
      </c>
      <c r="M450">
        <v>0</v>
      </c>
      <c r="N450">
        <v>8967</v>
      </c>
      <c r="O450">
        <v>0</v>
      </c>
      <c r="P450">
        <v>0</v>
      </c>
      <c r="Q450">
        <v>-7474</v>
      </c>
      <c r="R450">
        <v>0</v>
      </c>
      <c r="S450">
        <v>1516</v>
      </c>
      <c r="T450">
        <v>0</v>
      </c>
      <c r="U450">
        <v>725</v>
      </c>
      <c r="V450">
        <v>3706</v>
      </c>
      <c r="W450">
        <v>1520</v>
      </c>
      <c r="X450">
        <v>0</v>
      </c>
      <c r="Y450">
        <v>2670</v>
      </c>
      <c r="Z450">
        <v>1250</v>
      </c>
      <c r="AA450">
        <v>1839</v>
      </c>
      <c r="AB450">
        <v>2958</v>
      </c>
      <c r="AC450">
        <v>1611</v>
      </c>
      <c r="AD450">
        <v>3891</v>
      </c>
      <c r="AE450">
        <v>21686</v>
      </c>
      <c r="AF450">
        <v>15162</v>
      </c>
      <c r="AG450" t="s">
        <v>814</v>
      </c>
      <c r="AH450">
        <v>1</v>
      </c>
      <c r="AI450">
        <v>245</v>
      </c>
      <c r="AJ450">
        <v>17.420000000000002</v>
      </c>
      <c r="AK450" t="str">
        <f t="shared" si="6"/>
        <v>GC004-6200</v>
      </c>
    </row>
    <row r="451" spans="1:37">
      <c r="A451" t="s">
        <v>813</v>
      </c>
      <c r="B451" t="s">
        <v>811</v>
      </c>
      <c r="C451" t="s">
        <v>799</v>
      </c>
      <c r="E451">
        <v>120</v>
      </c>
      <c r="AG451" t="s">
        <v>803</v>
      </c>
      <c r="AH451">
        <v>2</v>
      </c>
      <c r="AI451">
        <v>1240</v>
      </c>
      <c r="AK451" t="str">
        <f t="shared" si="6"/>
        <v>GC004-6200</v>
      </c>
    </row>
    <row r="452" spans="1:37">
      <c r="A452" t="s">
        <v>813</v>
      </c>
      <c r="B452" t="s">
        <v>811</v>
      </c>
      <c r="C452" t="s">
        <v>799</v>
      </c>
      <c r="E452">
        <v>120</v>
      </c>
      <c r="AG452" t="s">
        <v>815</v>
      </c>
      <c r="AH452">
        <v>2</v>
      </c>
      <c r="AI452">
        <v>3281</v>
      </c>
      <c r="AK452" t="str">
        <f t="shared" si="6"/>
        <v>GC004-6200</v>
      </c>
    </row>
    <row r="453" spans="1:37">
      <c r="A453" t="s">
        <v>813</v>
      </c>
      <c r="B453" t="s">
        <v>811</v>
      </c>
      <c r="C453" t="s">
        <v>799</v>
      </c>
      <c r="E453">
        <v>120</v>
      </c>
      <c r="AG453" t="s">
        <v>816</v>
      </c>
      <c r="AH453">
        <v>1</v>
      </c>
      <c r="AI453">
        <v>1788</v>
      </c>
      <c r="AK453" t="str">
        <f t="shared" ref="AK453:AK516" si="7">MID(A453,4,10)</f>
        <v>GC004-6200</v>
      </c>
    </row>
    <row r="454" spans="1:37">
      <c r="A454" t="s">
        <v>813</v>
      </c>
      <c r="B454" t="s">
        <v>811</v>
      </c>
      <c r="C454" t="s">
        <v>799</v>
      </c>
      <c r="E454">
        <v>120</v>
      </c>
      <c r="AG454" t="s">
        <v>809</v>
      </c>
      <c r="AH454">
        <v>2</v>
      </c>
      <c r="AI454">
        <v>3281</v>
      </c>
      <c r="AK454" t="str">
        <f t="shared" si="7"/>
        <v>GC004-6200</v>
      </c>
    </row>
    <row r="455" spans="1:37">
      <c r="A455" t="s">
        <v>813</v>
      </c>
      <c r="B455" t="s">
        <v>811</v>
      </c>
      <c r="C455" t="s">
        <v>6130</v>
      </c>
      <c r="E455">
        <v>120</v>
      </c>
      <c r="AG455" t="s">
        <v>6131</v>
      </c>
      <c r="AH455">
        <v>1</v>
      </c>
      <c r="AI455">
        <v>97</v>
      </c>
      <c r="AK455" t="str">
        <f t="shared" si="7"/>
        <v>GC004-6200</v>
      </c>
    </row>
    <row r="456" spans="1:37">
      <c r="A456" t="s">
        <v>817</v>
      </c>
      <c r="B456" t="s">
        <v>811</v>
      </c>
      <c r="C456" t="s">
        <v>799</v>
      </c>
      <c r="E456">
        <v>120</v>
      </c>
      <c r="F456">
        <v>0</v>
      </c>
      <c r="G456">
        <v>1537</v>
      </c>
      <c r="H456">
        <v>0</v>
      </c>
      <c r="I456">
        <v>0</v>
      </c>
      <c r="J456">
        <v>138</v>
      </c>
      <c r="K456">
        <v>0</v>
      </c>
      <c r="L456">
        <v>0</v>
      </c>
      <c r="M456">
        <v>0</v>
      </c>
      <c r="N456">
        <v>1281</v>
      </c>
      <c r="O456">
        <v>0</v>
      </c>
      <c r="P456">
        <v>0</v>
      </c>
      <c r="Q456">
        <v>-1281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1658</v>
      </c>
      <c r="AC456">
        <v>0</v>
      </c>
      <c r="AD456">
        <v>0</v>
      </c>
      <c r="AE456">
        <v>1658</v>
      </c>
      <c r="AF456">
        <v>1624</v>
      </c>
      <c r="AG456" t="s">
        <v>5556</v>
      </c>
      <c r="AH456">
        <v>1</v>
      </c>
      <c r="AI456">
        <v>3797</v>
      </c>
      <c r="AJ456">
        <v>16.871200000000002</v>
      </c>
      <c r="AK456" t="str">
        <f t="shared" si="7"/>
        <v>GC004-6300</v>
      </c>
    </row>
    <row r="457" spans="1:37">
      <c r="A457" t="s">
        <v>818</v>
      </c>
      <c r="B457" t="s">
        <v>819</v>
      </c>
      <c r="E457">
        <v>117</v>
      </c>
      <c r="F457">
        <v>0</v>
      </c>
      <c r="G457">
        <v>556</v>
      </c>
      <c r="H457">
        <v>0</v>
      </c>
      <c r="I457">
        <v>0</v>
      </c>
      <c r="J457">
        <v>74</v>
      </c>
      <c r="K457">
        <v>2453</v>
      </c>
      <c r="L457">
        <v>222</v>
      </c>
      <c r="M457">
        <v>0</v>
      </c>
      <c r="N457">
        <v>464</v>
      </c>
      <c r="O457">
        <v>0</v>
      </c>
      <c r="P457">
        <v>0</v>
      </c>
      <c r="Q457">
        <v>1989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453</v>
      </c>
      <c r="Z457">
        <v>0</v>
      </c>
      <c r="AA457">
        <v>0</v>
      </c>
      <c r="AB457">
        <v>0</v>
      </c>
      <c r="AC457">
        <v>0</v>
      </c>
      <c r="AD457">
        <v>440</v>
      </c>
      <c r="AE457">
        <v>893</v>
      </c>
      <c r="AF457">
        <v>0</v>
      </c>
      <c r="AJ457">
        <v>2.2044999999999999</v>
      </c>
      <c r="AK457" t="str">
        <f t="shared" si="7"/>
        <v>GC012-3800</v>
      </c>
    </row>
    <row r="458" spans="1:37">
      <c r="A458" t="s">
        <v>820</v>
      </c>
      <c r="B458" t="s">
        <v>819</v>
      </c>
      <c r="C458" t="s">
        <v>821</v>
      </c>
      <c r="E458">
        <v>117</v>
      </c>
      <c r="F458">
        <v>0</v>
      </c>
      <c r="G458">
        <v>12122</v>
      </c>
      <c r="H458">
        <v>6168</v>
      </c>
      <c r="I458">
        <v>5081</v>
      </c>
      <c r="J458">
        <v>4101</v>
      </c>
      <c r="K458">
        <v>10567</v>
      </c>
      <c r="L458">
        <v>4758</v>
      </c>
      <c r="M458">
        <v>0</v>
      </c>
      <c r="N458">
        <v>10102</v>
      </c>
      <c r="O458">
        <v>0</v>
      </c>
      <c r="P458">
        <v>0</v>
      </c>
      <c r="Q458">
        <v>465</v>
      </c>
      <c r="R458">
        <v>0</v>
      </c>
      <c r="S458">
        <v>6677</v>
      </c>
      <c r="T458">
        <v>3525</v>
      </c>
      <c r="U458">
        <v>8302</v>
      </c>
      <c r="V458">
        <v>7385</v>
      </c>
      <c r="W458">
        <v>0</v>
      </c>
      <c r="X458">
        <v>4594</v>
      </c>
      <c r="Y458">
        <v>5227</v>
      </c>
      <c r="Z458">
        <v>4089</v>
      </c>
      <c r="AA458">
        <v>2575</v>
      </c>
      <c r="AB458">
        <v>1949</v>
      </c>
      <c r="AC458">
        <v>1930</v>
      </c>
      <c r="AD458">
        <v>2961</v>
      </c>
      <c r="AE458">
        <v>49214</v>
      </c>
      <c r="AF458">
        <v>34521</v>
      </c>
      <c r="AG458" t="s">
        <v>822</v>
      </c>
      <c r="AH458">
        <v>4</v>
      </c>
      <c r="AI458">
        <v>448</v>
      </c>
      <c r="AJ458">
        <v>4.1346999999999996</v>
      </c>
      <c r="AK458" t="str">
        <f t="shared" si="7"/>
        <v>GC012-5000</v>
      </c>
    </row>
    <row r="459" spans="1:37">
      <c r="A459" t="s">
        <v>820</v>
      </c>
      <c r="B459" t="s">
        <v>819</v>
      </c>
      <c r="C459" t="s">
        <v>821</v>
      </c>
      <c r="E459">
        <v>117</v>
      </c>
      <c r="AG459" t="s">
        <v>823</v>
      </c>
      <c r="AH459">
        <v>2</v>
      </c>
      <c r="AI459">
        <v>371</v>
      </c>
      <c r="AK459" t="str">
        <f t="shared" si="7"/>
        <v>GC012-5000</v>
      </c>
    </row>
    <row r="460" spans="1:37">
      <c r="A460" t="s">
        <v>820</v>
      </c>
      <c r="B460" t="s">
        <v>819</v>
      </c>
      <c r="C460" t="s">
        <v>821</v>
      </c>
      <c r="E460">
        <v>117</v>
      </c>
      <c r="AG460" t="s">
        <v>823</v>
      </c>
      <c r="AH460">
        <v>3</v>
      </c>
      <c r="AI460">
        <v>464</v>
      </c>
      <c r="AK460" t="str">
        <f t="shared" si="7"/>
        <v>GC012-5000</v>
      </c>
    </row>
    <row r="461" spans="1:37">
      <c r="A461" t="s">
        <v>820</v>
      </c>
      <c r="B461" t="s">
        <v>819</v>
      </c>
      <c r="C461" t="s">
        <v>821</v>
      </c>
      <c r="E461">
        <v>117</v>
      </c>
      <c r="AG461" t="s">
        <v>824</v>
      </c>
      <c r="AH461">
        <v>3</v>
      </c>
      <c r="AI461">
        <v>4720</v>
      </c>
      <c r="AK461" t="str">
        <f t="shared" si="7"/>
        <v>GC012-5000</v>
      </c>
    </row>
    <row r="462" spans="1:37">
      <c r="A462" t="s">
        <v>820</v>
      </c>
      <c r="B462" t="s">
        <v>819</v>
      </c>
      <c r="C462" t="s">
        <v>821</v>
      </c>
      <c r="E462">
        <v>117</v>
      </c>
      <c r="AG462" t="s">
        <v>5935</v>
      </c>
      <c r="AH462">
        <v>1</v>
      </c>
      <c r="AI462">
        <v>4720</v>
      </c>
      <c r="AK462" t="str">
        <f t="shared" si="7"/>
        <v>GC012-5000</v>
      </c>
    </row>
    <row r="463" spans="1:37">
      <c r="A463" t="s">
        <v>820</v>
      </c>
      <c r="B463" t="s">
        <v>819</v>
      </c>
      <c r="C463" t="s">
        <v>821</v>
      </c>
      <c r="E463">
        <v>117</v>
      </c>
      <c r="AG463" t="s">
        <v>5935</v>
      </c>
      <c r="AH463">
        <v>2</v>
      </c>
      <c r="AI463">
        <v>4720</v>
      </c>
      <c r="AK463" t="str">
        <f t="shared" si="7"/>
        <v>GC012-5000</v>
      </c>
    </row>
    <row r="464" spans="1:37">
      <c r="A464" t="s">
        <v>820</v>
      </c>
      <c r="B464" t="s">
        <v>819</v>
      </c>
      <c r="C464" t="s">
        <v>821</v>
      </c>
      <c r="E464">
        <v>117</v>
      </c>
      <c r="AG464" t="s">
        <v>5935</v>
      </c>
      <c r="AH464">
        <v>3</v>
      </c>
      <c r="AI464">
        <v>4720</v>
      </c>
      <c r="AK464" t="str">
        <f t="shared" si="7"/>
        <v>GC012-5000</v>
      </c>
    </row>
    <row r="465" spans="1:37">
      <c r="A465" t="s">
        <v>825</v>
      </c>
      <c r="B465" t="s">
        <v>819</v>
      </c>
      <c r="C465" t="s">
        <v>799</v>
      </c>
      <c r="E465">
        <v>117</v>
      </c>
      <c r="F465">
        <v>-0.7</v>
      </c>
      <c r="G465">
        <v>5787</v>
      </c>
      <c r="H465">
        <v>1814</v>
      </c>
      <c r="I465">
        <v>1178</v>
      </c>
      <c r="J465">
        <v>1084</v>
      </c>
      <c r="K465">
        <v>0</v>
      </c>
      <c r="L465">
        <v>3646</v>
      </c>
      <c r="M465">
        <v>0</v>
      </c>
      <c r="N465">
        <v>4823</v>
      </c>
      <c r="O465">
        <v>0</v>
      </c>
      <c r="P465">
        <v>0</v>
      </c>
      <c r="Q465">
        <v>-4823</v>
      </c>
      <c r="R465">
        <v>0</v>
      </c>
      <c r="S465">
        <v>4299</v>
      </c>
      <c r="T465">
        <v>1143</v>
      </c>
      <c r="U465">
        <v>0</v>
      </c>
      <c r="V465">
        <v>1627</v>
      </c>
      <c r="W465">
        <v>0</v>
      </c>
      <c r="X465">
        <v>0</v>
      </c>
      <c r="Y465">
        <v>1447</v>
      </c>
      <c r="Z465">
        <v>2002</v>
      </c>
      <c r="AA465">
        <v>0</v>
      </c>
      <c r="AB465">
        <v>1280</v>
      </c>
      <c r="AC465">
        <v>0</v>
      </c>
      <c r="AD465">
        <v>1209</v>
      </c>
      <c r="AE465">
        <v>13007</v>
      </c>
      <c r="AF465">
        <v>9475</v>
      </c>
      <c r="AG465" t="s">
        <v>800</v>
      </c>
      <c r="AH465">
        <v>1</v>
      </c>
      <c r="AI465">
        <v>171</v>
      </c>
      <c r="AJ465">
        <v>7.36</v>
      </c>
      <c r="AK465" t="str">
        <f t="shared" si="7"/>
        <v>GC012-6200</v>
      </c>
    </row>
    <row r="466" spans="1:37">
      <c r="A466" t="s">
        <v>825</v>
      </c>
      <c r="B466" t="s">
        <v>819</v>
      </c>
      <c r="C466" t="s">
        <v>799</v>
      </c>
      <c r="E466">
        <v>117</v>
      </c>
      <c r="AG466" t="s">
        <v>800</v>
      </c>
      <c r="AH466">
        <v>2</v>
      </c>
      <c r="AI466">
        <v>9</v>
      </c>
      <c r="AK466" t="str">
        <f t="shared" si="7"/>
        <v>GC012-6200</v>
      </c>
    </row>
    <row r="467" spans="1:37">
      <c r="A467" t="s">
        <v>825</v>
      </c>
      <c r="B467" t="s">
        <v>819</v>
      </c>
      <c r="C467" t="s">
        <v>799</v>
      </c>
      <c r="E467">
        <v>117</v>
      </c>
      <c r="AG467" t="s">
        <v>826</v>
      </c>
      <c r="AH467">
        <v>1</v>
      </c>
      <c r="AI467">
        <v>2347</v>
      </c>
      <c r="AK467" t="str">
        <f t="shared" si="7"/>
        <v>GC012-6200</v>
      </c>
    </row>
    <row r="468" spans="1:37">
      <c r="A468" t="s">
        <v>825</v>
      </c>
      <c r="B468" t="s">
        <v>819</v>
      </c>
      <c r="C468" t="s">
        <v>799</v>
      </c>
      <c r="E468">
        <v>117</v>
      </c>
      <c r="AG468" t="s">
        <v>5430</v>
      </c>
      <c r="AH468">
        <v>3</v>
      </c>
      <c r="AI468">
        <v>2347</v>
      </c>
      <c r="AK468" t="str">
        <f t="shared" si="7"/>
        <v>GC012-6200</v>
      </c>
    </row>
    <row r="469" spans="1:37">
      <c r="A469" t="s">
        <v>827</v>
      </c>
      <c r="B469" t="s">
        <v>828</v>
      </c>
      <c r="C469" t="s">
        <v>101</v>
      </c>
      <c r="D469" t="s">
        <v>829</v>
      </c>
      <c r="E469">
        <v>50</v>
      </c>
      <c r="F469">
        <v>0</v>
      </c>
      <c r="G469">
        <v>0</v>
      </c>
      <c r="H469">
        <v>0</v>
      </c>
      <c r="I469">
        <v>67</v>
      </c>
      <c r="J469">
        <v>33</v>
      </c>
      <c r="K469">
        <v>178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178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401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401</v>
      </c>
      <c r="AF469">
        <v>0</v>
      </c>
      <c r="AJ469">
        <v>2.5</v>
      </c>
      <c r="AK469" t="str">
        <f t="shared" si="7"/>
        <v>HP020-5000</v>
      </c>
    </row>
    <row r="470" spans="1:37">
      <c r="A470" t="s">
        <v>830</v>
      </c>
      <c r="B470" t="s">
        <v>828</v>
      </c>
      <c r="C470" t="s">
        <v>101</v>
      </c>
      <c r="D470" t="s">
        <v>829</v>
      </c>
      <c r="E470">
        <v>50</v>
      </c>
      <c r="F470">
        <v>0</v>
      </c>
      <c r="G470">
        <v>0</v>
      </c>
      <c r="H470">
        <v>0</v>
      </c>
      <c r="I470">
        <v>139</v>
      </c>
      <c r="J470">
        <v>69</v>
      </c>
      <c r="K470">
        <v>564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564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831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831</v>
      </c>
      <c r="AF470">
        <v>0</v>
      </c>
      <c r="AJ470">
        <v>1.77</v>
      </c>
      <c r="AK470" t="str">
        <f t="shared" si="7"/>
        <v>HP020-6200</v>
      </c>
    </row>
    <row r="471" spans="1:37">
      <c r="A471" t="s">
        <v>831</v>
      </c>
      <c r="B471" t="s">
        <v>832</v>
      </c>
      <c r="C471" t="s">
        <v>275</v>
      </c>
      <c r="D471" t="s">
        <v>833</v>
      </c>
      <c r="E471">
        <v>43</v>
      </c>
      <c r="F471">
        <v>0</v>
      </c>
      <c r="G471">
        <v>47</v>
      </c>
      <c r="H471">
        <v>0</v>
      </c>
      <c r="I471">
        <v>0</v>
      </c>
      <c r="J471">
        <v>8</v>
      </c>
      <c r="K471">
        <v>674</v>
      </c>
      <c r="L471">
        <v>22</v>
      </c>
      <c r="M471">
        <v>0</v>
      </c>
      <c r="N471">
        <v>39</v>
      </c>
      <c r="O471">
        <v>0</v>
      </c>
      <c r="P471">
        <v>0</v>
      </c>
      <c r="Q471">
        <v>635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36</v>
      </c>
      <c r="Z471">
        <v>17</v>
      </c>
      <c r="AA471">
        <v>0</v>
      </c>
      <c r="AB471">
        <v>0</v>
      </c>
      <c r="AC471">
        <v>0</v>
      </c>
      <c r="AD471">
        <v>39</v>
      </c>
      <c r="AE471">
        <v>92</v>
      </c>
      <c r="AF471">
        <v>1570</v>
      </c>
      <c r="AJ471">
        <v>5.84</v>
      </c>
      <c r="AK471" t="str">
        <f t="shared" si="7"/>
        <v>HP119-5000</v>
      </c>
    </row>
    <row r="472" spans="1:37">
      <c r="A472" t="s">
        <v>834</v>
      </c>
      <c r="B472" t="s">
        <v>832</v>
      </c>
      <c r="C472" t="s">
        <v>275</v>
      </c>
      <c r="D472" t="s">
        <v>833</v>
      </c>
      <c r="E472">
        <v>43</v>
      </c>
      <c r="F472">
        <v>0</v>
      </c>
      <c r="G472">
        <v>0</v>
      </c>
      <c r="H472">
        <v>0</v>
      </c>
      <c r="I472">
        <v>2</v>
      </c>
      <c r="J472">
        <v>1</v>
      </c>
      <c r="K472">
        <v>558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558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14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14</v>
      </c>
      <c r="AF472">
        <v>0</v>
      </c>
      <c r="AJ472">
        <v>4.71</v>
      </c>
      <c r="AK472" t="str">
        <f t="shared" si="7"/>
        <v>HP119-6200</v>
      </c>
    </row>
    <row r="473" spans="1:37">
      <c r="A473" t="s">
        <v>835</v>
      </c>
      <c r="B473" t="s">
        <v>836</v>
      </c>
      <c r="C473" t="s">
        <v>110</v>
      </c>
      <c r="D473" t="s">
        <v>609</v>
      </c>
      <c r="E473">
        <v>50</v>
      </c>
      <c r="F473">
        <v>2.5</v>
      </c>
      <c r="G473">
        <v>0</v>
      </c>
      <c r="H473">
        <v>43</v>
      </c>
      <c r="I473">
        <v>40</v>
      </c>
      <c r="J473">
        <v>36</v>
      </c>
      <c r="K473">
        <v>434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434</v>
      </c>
      <c r="R473">
        <v>0</v>
      </c>
      <c r="S473">
        <v>111</v>
      </c>
      <c r="T473">
        <v>0</v>
      </c>
      <c r="U473">
        <v>18</v>
      </c>
      <c r="V473">
        <v>0</v>
      </c>
      <c r="W473">
        <v>0</v>
      </c>
      <c r="X473">
        <v>112</v>
      </c>
      <c r="Y473">
        <v>0</v>
      </c>
      <c r="Z473">
        <v>0</v>
      </c>
      <c r="AA473">
        <v>0</v>
      </c>
      <c r="AB473">
        <v>72</v>
      </c>
      <c r="AC473">
        <v>0</v>
      </c>
      <c r="AD473">
        <v>117</v>
      </c>
      <c r="AE473">
        <v>430</v>
      </c>
      <c r="AF473">
        <v>48</v>
      </c>
      <c r="AJ473">
        <v>3.8530000000000002</v>
      </c>
      <c r="AK473" t="str">
        <f t="shared" si="7"/>
        <v>HP140-5000</v>
      </c>
    </row>
    <row r="474" spans="1:37">
      <c r="A474" t="s">
        <v>837</v>
      </c>
      <c r="B474" t="s">
        <v>836</v>
      </c>
      <c r="C474" t="s">
        <v>110</v>
      </c>
      <c r="D474" t="s">
        <v>609</v>
      </c>
      <c r="E474">
        <v>50</v>
      </c>
      <c r="F474">
        <v>16.8</v>
      </c>
      <c r="G474">
        <v>0</v>
      </c>
      <c r="H474">
        <v>17</v>
      </c>
      <c r="I474">
        <v>11</v>
      </c>
      <c r="J474">
        <v>85</v>
      </c>
      <c r="K474">
        <v>1140</v>
      </c>
      <c r="L474">
        <v>32</v>
      </c>
      <c r="M474">
        <v>0</v>
      </c>
      <c r="N474">
        <v>0</v>
      </c>
      <c r="O474">
        <v>0</v>
      </c>
      <c r="P474">
        <v>0</v>
      </c>
      <c r="Q474">
        <v>1140</v>
      </c>
      <c r="R474">
        <v>0</v>
      </c>
      <c r="S474">
        <v>0</v>
      </c>
      <c r="T474">
        <v>0</v>
      </c>
      <c r="U474">
        <v>51</v>
      </c>
      <c r="V474">
        <v>0</v>
      </c>
      <c r="W474">
        <v>16</v>
      </c>
      <c r="X474">
        <v>0</v>
      </c>
      <c r="Y474">
        <v>0</v>
      </c>
      <c r="Z474">
        <v>0</v>
      </c>
      <c r="AA474">
        <v>0</v>
      </c>
      <c r="AB474">
        <v>12</v>
      </c>
      <c r="AC474">
        <v>0</v>
      </c>
      <c r="AD474">
        <v>938</v>
      </c>
      <c r="AE474">
        <v>1017</v>
      </c>
      <c r="AF474">
        <v>1170</v>
      </c>
      <c r="AJ474">
        <v>4.1399999999999997</v>
      </c>
      <c r="AK474" t="str">
        <f t="shared" si="7"/>
        <v>HP140-6200</v>
      </c>
    </row>
    <row r="475" spans="1:37">
      <c r="A475" t="s">
        <v>838</v>
      </c>
      <c r="B475" t="s">
        <v>839</v>
      </c>
      <c r="C475" t="s">
        <v>267</v>
      </c>
      <c r="D475" t="s">
        <v>609</v>
      </c>
      <c r="E475">
        <v>45</v>
      </c>
      <c r="F475">
        <v>8.9</v>
      </c>
      <c r="G475">
        <v>0</v>
      </c>
      <c r="H475">
        <v>13</v>
      </c>
      <c r="I475">
        <v>6</v>
      </c>
      <c r="J475">
        <v>32</v>
      </c>
      <c r="K475">
        <v>450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450</v>
      </c>
      <c r="R475">
        <v>0</v>
      </c>
      <c r="S475">
        <v>0</v>
      </c>
      <c r="T475">
        <v>27</v>
      </c>
      <c r="U475">
        <v>11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146</v>
      </c>
      <c r="AB475">
        <v>140</v>
      </c>
      <c r="AC475">
        <v>65</v>
      </c>
      <c r="AD475">
        <v>0</v>
      </c>
      <c r="AE475">
        <v>389</v>
      </c>
      <c r="AF475">
        <v>158</v>
      </c>
      <c r="AJ475">
        <v>4.7</v>
      </c>
      <c r="AK475" t="str">
        <f t="shared" si="7"/>
        <v>HP144-5000</v>
      </c>
    </row>
    <row r="476" spans="1:37">
      <c r="A476" t="s">
        <v>840</v>
      </c>
      <c r="B476" t="s">
        <v>839</v>
      </c>
      <c r="C476" t="s">
        <v>267</v>
      </c>
      <c r="D476" t="s">
        <v>609</v>
      </c>
      <c r="E476">
        <v>45</v>
      </c>
      <c r="F476">
        <v>3</v>
      </c>
      <c r="G476">
        <v>0</v>
      </c>
      <c r="H476">
        <v>30</v>
      </c>
      <c r="I476">
        <v>23</v>
      </c>
      <c r="J476">
        <v>12</v>
      </c>
      <c r="K476">
        <v>357</v>
      </c>
      <c r="L476">
        <v>12</v>
      </c>
      <c r="M476">
        <v>0</v>
      </c>
      <c r="N476">
        <v>0</v>
      </c>
      <c r="O476">
        <v>0</v>
      </c>
      <c r="P476">
        <v>0</v>
      </c>
      <c r="Q476">
        <v>357</v>
      </c>
      <c r="R476">
        <v>0</v>
      </c>
      <c r="S476">
        <v>0</v>
      </c>
      <c r="T476">
        <v>46</v>
      </c>
      <c r="U476">
        <v>44</v>
      </c>
      <c r="V476">
        <v>48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138</v>
      </c>
      <c r="AF476">
        <v>62</v>
      </c>
      <c r="AJ476">
        <v>4.7</v>
      </c>
      <c r="AK476" t="str">
        <f t="shared" si="7"/>
        <v>HP144-6200</v>
      </c>
    </row>
    <row r="477" spans="1:37">
      <c r="A477" t="s">
        <v>841</v>
      </c>
      <c r="B477" t="s">
        <v>842</v>
      </c>
      <c r="C477" t="s">
        <v>110</v>
      </c>
      <c r="D477" t="s">
        <v>843</v>
      </c>
      <c r="E477">
        <v>43</v>
      </c>
      <c r="F477">
        <v>10</v>
      </c>
      <c r="G477">
        <v>22</v>
      </c>
      <c r="H477">
        <v>21</v>
      </c>
      <c r="I477">
        <v>14</v>
      </c>
      <c r="J477">
        <v>55</v>
      </c>
      <c r="K477">
        <v>858</v>
      </c>
      <c r="L477">
        <v>54</v>
      </c>
      <c r="M477">
        <v>0</v>
      </c>
      <c r="N477">
        <v>18</v>
      </c>
      <c r="O477">
        <v>0</v>
      </c>
      <c r="P477">
        <v>0</v>
      </c>
      <c r="Q477">
        <v>840</v>
      </c>
      <c r="R477">
        <v>0</v>
      </c>
      <c r="S477">
        <v>32</v>
      </c>
      <c r="T477">
        <v>0</v>
      </c>
      <c r="U477">
        <v>31</v>
      </c>
      <c r="V477">
        <v>9</v>
      </c>
      <c r="W477">
        <v>0</v>
      </c>
      <c r="X477">
        <v>14</v>
      </c>
      <c r="Y477">
        <v>0</v>
      </c>
      <c r="Z477">
        <v>24</v>
      </c>
      <c r="AA477">
        <v>0</v>
      </c>
      <c r="AB477">
        <v>510</v>
      </c>
      <c r="AC477">
        <v>0</v>
      </c>
      <c r="AD477">
        <v>38</v>
      </c>
      <c r="AE477">
        <v>658</v>
      </c>
      <c r="AF477">
        <v>429</v>
      </c>
      <c r="AJ477">
        <v>4.24</v>
      </c>
      <c r="AK477" t="str">
        <f t="shared" si="7"/>
        <v>HP156-5000</v>
      </c>
    </row>
    <row r="478" spans="1:37">
      <c r="A478" t="s">
        <v>844</v>
      </c>
      <c r="B478" t="s">
        <v>842</v>
      </c>
      <c r="C478" t="s">
        <v>110</v>
      </c>
      <c r="D478" t="s">
        <v>843</v>
      </c>
      <c r="E478">
        <v>43</v>
      </c>
      <c r="F478">
        <v>0</v>
      </c>
      <c r="G478">
        <v>0</v>
      </c>
      <c r="H478">
        <v>0</v>
      </c>
      <c r="I478">
        <v>3</v>
      </c>
      <c r="J478">
        <v>72</v>
      </c>
      <c r="K478">
        <v>651</v>
      </c>
      <c r="L478">
        <v>15</v>
      </c>
      <c r="M478">
        <v>0</v>
      </c>
      <c r="N478">
        <v>0</v>
      </c>
      <c r="O478">
        <v>0</v>
      </c>
      <c r="P478">
        <v>0</v>
      </c>
      <c r="Q478">
        <v>651</v>
      </c>
      <c r="R478">
        <v>0</v>
      </c>
      <c r="S478">
        <v>0</v>
      </c>
      <c r="T478">
        <v>0</v>
      </c>
      <c r="U478">
        <v>0</v>
      </c>
      <c r="V478">
        <v>15</v>
      </c>
      <c r="W478">
        <v>0</v>
      </c>
      <c r="X478">
        <v>0</v>
      </c>
      <c r="Y478">
        <v>169</v>
      </c>
      <c r="Z478">
        <v>94</v>
      </c>
      <c r="AA478">
        <v>0</v>
      </c>
      <c r="AB478">
        <v>534</v>
      </c>
      <c r="AC478">
        <v>0</v>
      </c>
      <c r="AD478">
        <v>49</v>
      </c>
      <c r="AE478">
        <v>861</v>
      </c>
      <c r="AF478">
        <v>129</v>
      </c>
      <c r="AJ478">
        <v>4.24</v>
      </c>
      <c r="AK478" t="str">
        <f t="shared" si="7"/>
        <v>HP156-6200</v>
      </c>
    </row>
    <row r="479" spans="1:37">
      <c r="A479" t="s">
        <v>845</v>
      </c>
      <c r="B479" t="s">
        <v>846</v>
      </c>
      <c r="C479" t="s">
        <v>329</v>
      </c>
      <c r="D479" t="s">
        <v>609</v>
      </c>
      <c r="E479">
        <v>50</v>
      </c>
      <c r="F479">
        <v>29.5</v>
      </c>
      <c r="G479">
        <v>0</v>
      </c>
      <c r="H479">
        <v>4</v>
      </c>
      <c r="I479">
        <v>2</v>
      </c>
      <c r="J479">
        <v>30</v>
      </c>
      <c r="K479">
        <v>472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472</v>
      </c>
      <c r="R479">
        <v>0</v>
      </c>
      <c r="S479">
        <v>0</v>
      </c>
      <c r="T479">
        <v>12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352</v>
      </c>
      <c r="AE479">
        <v>364</v>
      </c>
      <c r="AF479">
        <v>0</v>
      </c>
      <c r="AJ479">
        <v>4.63</v>
      </c>
      <c r="AK479" t="str">
        <f t="shared" si="7"/>
        <v>HP158-5000</v>
      </c>
    </row>
    <row r="480" spans="1:37">
      <c r="A480" t="s">
        <v>847</v>
      </c>
      <c r="B480" t="s">
        <v>848</v>
      </c>
      <c r="C480" t="s">
        <v>110</v>
      </c>
      <c r="D480" t="s">
        <v>849</v>
      </c>
      <c r="E480">
        <v>43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181</v>
      </c>
      <c r="L480">
        <v>8</v>
      </c>
      <c r="M480">
        <v>0</v>
      </c>
      <c r="N480">
        <v>0</v>
      </c>
      <c r="O480">
        <v>0</v>
      </c>
      <c r="P480">
        <v>0</v>
      </c>
      <c r="Q480">
        <v>181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11</v>
      </c>
      <c r="AJ480">
        <v>4.92</v>
      </c>
      <c r="AK480" t="str">
        <f t="shared" si="7"/>
        <v>HP168-5000</v>
      </c>
    </row>
    <row r="481" spans="1:37">
      <c r="A481" t="s">
        <v>850</v>
      </c>
      <c r="B481" t="s">
        <v>851</v>
      </c>
      <c r="C481" t="s">
        <v>267</v>
      </c>
      <c r="D481" t="s">
        <v>609</v>
      </c>
      <c r="E481">
        <v>45</v>
      </c>
      <c r="F481">
        <v>0.6</v>
      </c>
      <c r="G481">
        <v>0</v>
      </c>
      <c r="H481">
        <v>54</v>
      </c>
      <c r="I481">
        <v>79</v>
      </c>
      <c r="J481">
        <v>176</v>
      </c>
      <c r="K481">
        <v>135</v>
      </c>
      <c r="L481">
        <v>13</v>
      </c>
      <c r="M481">
        <v>0</v>
      </c>
      <c r="N481">
        <v>0</v>
      </c>
      <c r="O481">
        <v>0</v>
      </c>
      <c r="P481">
        <v>0</v>
      </c>
      <c r="Q481">
        <v>135</v>
      </c>
      <c r="R481">
        <v>0</v>
      </c>
      <c r="S481">
        <v>45</v>
      </c>
      <c r="T481">
        <v>61</v>
      </c>
      <c r="U481">
        <v>57</v>
      </c>
      <c r="V481">
        <v>27</v>
      </c>
      <c r="W481">
        <v>126</v>
      </c>
      <c r="X481">
        <v>158</v>
      </c>
      <c r="Y481">
        <v>316</v>
      </c>
      <c r="Z481">
        <v>459</v>
      </c>
      <c r="AA481">
        <v>0</v>
      </c>
      <c r="AB481">
        <v>295</v>
      </c>
      <c r="AC481">
        <v>404</v>
      </c>
      <c r="AD481">
        <v>164</v>
      </c>
      <c r="AE481">
        <v>2112</v>
      </c>
      <c r="AF481">
        <v>220</v>
      </c>
      <c r="AJ481">
        <v>5.67</v>
      </c>
      <c r="AK481" t="str">
        <f t="shared" si="7"/>
        <v>HP190-5000</v>
      </c>
    </row>
    <row r="482" spans="1:37">
      <c r="A482" t="s">
        <v>852</v>
      </c>
      <c r="B482" t="s">
        <v>851</v>
      </c>
      <c r="C482" t="s">
        <v>267</v>
      </c>
      <c r="D482" t="s">
        <v>609</v>
      </c>
      <c r="E482">
        <v>45</v>
      </c>
      <c r="F482">
        <v>4.9000000000000004</v>
      </c>
      <c r="G482">
        <v>0</v>
      </c>
      <c r="H482">
        <v>55</v>
      </c>
      <c r="I482">
        <v>101</v>
      </c>
      <c r="J482">
        <v>126</v>
      </c>
      <c r="K482">
        <v>1088</v>
      </c>
      <c r="L482">
        <v>74</v>
      </c>
      <c r="M482">
        <v>0</v>
      </c>
      <c r="N482">
        <v>0</v>
      </c>
      <c r="O482">
        <v>0</v>
      </c>
      <c r="P482">
        <v>0</v>
      </c>
      <c r="Q482">
        <v>1088</v>
      </c>
      <c r="R482">
        <v>0</v>
      </c>
      <c r="S482">
        <v>0</v>
      </c>
      <c r="T482">
        <v>0</v>
      </c>
      <c r="U482">
        <v>166</v>
      </c>
      <c r="V482">
        <v>0</v>
      </c>
      <c r="W482">
        <v>438</v>
      </c>
      <c r="X482">
        <v>0</v>
      </c>
      <c r="Y482">
        <v>105</v>
      </c>
      <c r="Z482">
        <v>326</v>
      </c>
      <c r="AA482">
        <v>0</v>
      </c>
      <c r="AB482">
        <v>193</v>
      </c>
      <c r="AC482">
        <v>0</v>
      </c>
      <c r="AD482">
        <v>278</v>
      </c>
      <c r="AE482">
        <v>1506</v>
      </c>
      <c r="AF482">
        <v>1408</v>
      </c>
      <c r="AJ482">
        <v>5.62</v>
      </c>
      <c r="AK482" t="str">
        <f t="shared" si="7"/>
        <v>HP190-6200</v>
      </c>
    </row>
    <row r="483" spans="1:37">
      <c r="A483" t="s">
        <v>853</v>
      </c>
      <c r="B483" t="s">
        <v>854</v>
      </c>
      <c r="C483" t="s">
        <v>110</v>
      </c>
      <c r="D483" t="s">
        <v>609</v>
      </c>
      <c r="E483">
        <v>50</v>
      </c>
      <c r="F483">
        <v>0.3</v>
      </c>
      <c r="G483">
        <v>1</v>
      </c>
      <c r="H483">
        <v>369</v>
      </c>
      <c r="I483">
        <v>185</v>
      </c>
      <c r="J483">
        <v>96</v>
      </c>
      <c r="K483">
        <v>384</v>
      </c>
      <c r="L483">
        <v>5</v>
      </c>
      <c r="M483">
        <v>0</v>
      </c>
      <c r="N483">
        <v>1</v>
      </c>
      <c r="O483">
        <v>0</v>
      </c>
      <c r="P483">
        <v>0</v>
      </c>
      <c r="Q483">
        <v>383</v>
      </c>
      <c r="R483">
        <v>0</v>
      </c>
      <c r="S483">
        <v>177</v>
      </c>
      <c r="T483">
        <v>0</v>
      </c>
      <c r="U483">
        <v>930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45</v>
      </c>
      <c r="AB483">
        <v>0</v>
      </c>
      <c r="AC483">
        <v>0</v>
      </c>
      <c r="AD483">
        <v>0</v>
      </c>
      <c r="AE483">
        <v>1152</v>
      </c>
      <c r="AF483">
        <v>777</v>
      </c>
      <c r="AJ483">
        <v>4.0199999999999996</v>
      </c>
      <c r="AK483" t="str">
        <f t="shared" si="7"/>
        <v>HP194-5000</v>
      </c>
    </row>
    <row r="484" spans="1:37">
      <c r="A484" t="s">
        <v>855</v>
      </c>
      <c r="B484" t="s">
        <v>854</v>
      </c>
      <c r="C484" t="s">
        <v>110</v>
      </c>
      <c r="D484" t="s">
        <v>609</v>
      </c>
      <c r="E484">
        <v>50</v>
      </c>
      <c r="F484">
        <v>1.7</v>
      </c>
      <c r="G484">
        <v>0</v>
      </c>
      <c r="H484">
        <v>319</v>
      </c>
      <c r="I484">
        <v>160</v>
      </c>
      <c r="J484">
        <v>111</v>
      </c>
      <c r="K484">
        <v>2174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2174</v>
      </c>
      <c r="R484">
        <v>706</v>
      </c>
      <c r="S484">
        <v>958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376</v>
      </c>
      <c r="AC484">
        <v>0</v>
      </c>
      <c r="AD484">
        <v>0</v>
      </c>
      <c r="AE484">
        <v>1334</v>
      </c>
      <c r="AF484">
        <v>1717</v>
      </c>
      <c r="AJ484">
        <v>4.1399999999999997</v>
      </c>
      <c r="AK484" t="str">
        <f t="shared" si="7"/>
        <v>HP194-6200</v>
      </c>
    </row>
    <row r="485" spans="1:37">
      <c r="A485" t="s">
        <v>856</v>
      </c>
      <c r="B485" t="s">
        <v>857</v>
      </c>
      <c r="C485" t="s">
        <v>110</v>
      </c>
      <c r="E485">
        <v>50</v>
      </c>
      <c r="F485">
        <v>-0.1</v>
      </c>
      <c r="G485">
        <v>14</v>
      </c>
      <c r="H485">
        <v>31</v>
      </c>
      <c r="I485">
        <v>28</v>
      </c>
      <c r="J485">
        <v>14</v>
      </c>
      <c r="K485">
        <v>0</v>
      </c>
      <c r="L485">
        <v>10</v>
      </c>
      <c r="M485">
        <v>0</v>
      </c>
      <c r="N485">
        <v>12</v>
      </c>
      <c r="O485">
        <v>0</v>
      </c>
      <c r="P485">
        <v>0</v>
      </c>
      <c r="Q485">
        <v>-12</v>
      </c>
      <c r="R485">
        <v>0</v>
      </c>
      <c r="S485">
        <v>34</v>
      </c>
      <c r="T485">
        <v>0</v>
      </c>
      <c r="U485">
        <v>58</v>
      </c>
      <c r="V485">
        <v>0</v>
      </c>
      <c r="W485">
        <v>78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170</v>
      </c>
      <c r="AF485">
        <v>0</v>
      </c>
      <c r="AJ485">
        <v>4.1500000000000004</v>
      </c>
      <c r="AK485" t="str">
        <f t="shared" si="7"/>
        <v>HP207-5000</v>
      </c>
    </row>
    <row r="486" spans="1:37">
      <c r="A486" t="s">
        <v>858</v>
      </c>
      <c r="B486" t="s">
        <v>857</v>
      </c>
      <c r="C486" t="s">
        <v>110</v>
      </c>
      <c r="D486" t="s">
        <v>859</v>
      </c>
      <c r="E486">
        <v>50</v>
      </c>
      <c r="F486">
        <v>0.6</v>
      </c>
      <c r="G486">
        <v>0</v>
      </c>
      <c r="H486">
        <v>46</v>
      </c>
      <c r="I486">
        <v>23</v>
      </c>
      <c r="J486">
        <v>33</v>
      </c>
      <c r="K486">
        <v>113</v>
      </c>
      <c r="L486">
        <v>15</v>
      </c>
      <c r="M486">
        <v>0</v>
      </c>
      <c r="N486">
        <v>0</v>
      </c>
      <c r="O486">
        <v>0</v>
      </c>
      <c r="P486">
        <v>0</v>
      </c>
      <c r="Q486">
        <v>113</v>
      </c>
      <c r="R486">
        <v>0</v>
      </c>
      <c r="S486">
        <v>137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123</v>
      </c>
      <c r="Z486">
        <v>0</v>
      </c>
      <c r="AA486">
        <v>0</v>
      </c>
      <c r="AB486">
        <v>18</v>
      </c>
      <c r="AC486">
        <v>16</v>
      </c>
      <c r="AD486">
        <v>100</v>
      </c>
      <c r="AE486">
        <v>394</v>
      </c>
      <c r="AF486">
        <v>702</v>
      </c>
      <c r="AJ486">
        <v>5.9</v>
      </c>
      <c r="AK486" t="str">
        <f t="shared" si="7"/>
        <v>HP207-6200</v>
      </c>
    </row>
    <row r="487" spans="1:37">
      <c r="A487" t="s">
        <v>860</v>
      </c>
      <c r="B487" t="s">
        <v>861</v>
      </c>
      <c r="C487" t="s">
        <v>110</v>
      </c>
      <c r="D487" t="s">
        <v>859</v>
      </c>
      <c r="E487">
        <v>43</v>
      </c>
      <c r="F487">
        <v>2.8</v>
      </c>
      <c r="G487">
        <v>0</v>
      </c>
      <c r="H487">
        <v>35</v>
      </c>
      <c r="I487">
        <v>25</v>
      </c>
      <c r="J487">
        <v>40</v>
      </c>
      <c r="K487">
        <v>390</v>
      </c>
      <c r="L487">
        <v>12</v>
      </c>
      <c r="M487">
        <v>0</v>
      </c>
      <c r="N487">
        <v>0</v>
      </c>
      <c r="O487">
        <v>0</v>
      </c>
      <c r="P487">
        <v>0</v>
      </c>
      <c r="Q487">
        <v>390</v>
      </c>
      <c r="R487">
        <v>0</v>
      </c>
      <c r="S487">
        <v>65</v>
      </c>
      <c r="T487">
        <v>39</v>
      </c>
      <c r="U487">
        <v>0</v>
      </c>
      <c r="V487">
        <v>0</v>
      </c>
      <c r="W487">
        <v>44</v>
      </c>
      <c r="X487">
        <v>0</v>
      </c>
      <c r="Y487">
        <v>0</v>
      </c>
      <c r="Z487">
        <v>192</v>
      </c>
      <c r="AA487">
        <v>44</v>
      </c>
      <c r="AB487">
        <v>39</v>
      </c>
      <c r="AC487">
        <v>32</v>
      </c>
      <c r="AD487">
        <v>20</v>
      </c>
      <c r="AE487">
        <v>475</v>
      </c>
      <c r="AF487">
        <v>249</v>
      </c>
      <c r="AJ487">
        <v>4.6100000000000003</v>
      </c>
      <c r="AK487" t="str">
        <f t="shared" si="7"/>
        <v>HP215-6200</v>
      </c>
    </row>
    <row r="488" spans="1:37">
      <c r="A488" t="s">
        <v>5352</v>
      </c>
      <c r="B488" t="s">
        <v>863</v>
      </c>
      <c r="C488" t="s">
        <v>110</v>
      </c>
      <c r="D488" t="s">
        <v>7480</v>
      </c>
      <c r="E488">
        <v>50</v>
      </c>
      <c r="F488">
        <v>0</v>
      </c>
      <c r="G488">
        <v>0</v>
      </c>
      <c r="H488">
        <v>49</v>
      </c>
      <c r="I488">
        <v>24</v>
      </c>
      <c r="J488">
        <v>12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61</v>
      </c>
      <c r="U488">
        <v>85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146</v>
      </c>
      <c r="AF488">
        <v>0</v>
      </c>
      <c r="AJ488">
        <v>4.1500000000000004</v>
      </c>
      <c r="AK488" t="str">
        <f t="shared" si="7"/>
        <v>HP218-5000</v>
      </c>
    </row>
    <row r="489" spans="1:37">
      <c r="A489" t="s">
        <v>862</v>
      </c>
      <c r="B489" t="s">
        <v>863</v>
      </c>
      <c r="C489" t="s">
        <v>110</v>
      </c>
      <c r="D489" t="s">
        <v>7481</v>
      </c>
      <c r="E489">
        <v>50</v>
      </c>
      <c r="F489">
        <v>0</v>
      </c>
      <c r="G489">
        <v>0</v>
      </c>
      <c r="H489">
        <v>74</v>
      </c>
      <c r="I489">
        <v>37</v>
      </c>
      <c r="J489">
        <v>46</v>
      </c>
      <c r="K489">
        <v>0</v>
      </c>
      <c r="L489">
        <v>17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123</v>
      </c>
      <c r="T489">
        <v>100</v>
      </c>
      <c r="U489">
        <v>0</v>
      </c>
      <c r="V489">
        <v>0</v>
      </c>
      <c r="W489">
        <v>0</v>
      </c>
      <c r="X489">
        <v>0</v>
      </c>
      <c r="Y489">
        <v>148</v>
      </c>
      <c r="Z489">
        <v>0</v>
      </c>
      <c r="AA489">
        <v>60</v>
      </c>
      <c r="AB489">
        <v>60</v>
      </c>
      <c r="AC489">
        <v>64</v>
      </c>
      <c r="AD489">
        <v>0</v>
      </c>
      <c r="AE489">
        <v>555</v>
      </c>
      <c r="AF489">
        <v>479</v>
      </c>
      <c r="AJ489">
        <v>4.6100000000000003</v>
      </c>
      <c r="AK489" t="str">
        <f t="shared" si="7"/>
        <v>HP218-6200</v>
      </c>
    </row>
    <row r="490" spans="1:37">
      <c r="A490" t="s">
        <v>864</v>
      </c>
      <c r="B490" t="s">
        <v>865</v>
      </c>
      <c r="C490" t="s">
        <v>275</v>
      </c>
      <c r="E490">
        <v>43</v>
      </c>
      <c r="F490">
        <v>-0.1</v>
      </c>
      <c r="G490">
        <v>12</v>
      </c>
      <c r="H490">
        <v>41</v>
      </c>
      <c r="I490">
        <v>37</v>
      </c>
      <c r="J490">
        <v>24</v>
      </c>
      <c r="K490">
        <v>0</v>
      </c>
      <c r="L490">
        <v>0</v>
      </c>
      <c r="M490">
        <v>0</v>
      </c>
      <c r="N490">
        <v>10</v>
      </c>
      <c r="O490">
        <v>0</v>
      </c>
      <c r="P490">
        <v>0</v>
      </c>
      <c r="Q490">
        <v>-10</v>
      </c>
      <c r="R490">
        <v>0</v>
      </c>
      <c r="S490">
        <v>64</v>
      </c>
      <c r="T490">
        <v>0</v>
      </c>
      <c r="U490">
        <v>60</v>
      </c>
      <c r="V490">
        <v>0</v>
      </c>
      <c r="W490">
        <v>97</v>
      </c>
      <c r="X490">
        <v>0</v>
      </c>
      <c r="Y490">
        <v>0</v>
      </c>
      <c r="Z490">
        <v>33</v>
      </c>
      <c r="AA490">
        <v>35</v>
      </c>
      <c r="AB490">
        <v>0</v>
      </c>
      <c r="AC490">
        <v>0</v>
      </c>
      <c r="AD490">
        <v>0</v>
      </c>
      <c r="AE490">
        <v>289</v>
      </c>
      <c r="AF490">
        <v>214</v>
      </c>
      <c r="AJ490">
        <v>4.76</v>
      </c>
      <c r="AK490" t="str">
        <f t="shared" si="7"/>
        <v>HP223-5000</v>
      </c>
    </row>
    <row r="491" spans="1:37">
      <c r="A491" t="s">
        <v>866</v>
      </c>
      <c r="B491" t="s">
        <v>865</v>
      </c>
      <c r="C491" t="s">
        <v>275</v>
      </c>
      <c r="D491" t="s">
        <v>859</v>
      </c>
      <c r="E491">
        <v>43</v>
      </c>
      <c r="F491">
        <v>10</v>
      </c>
      <c r="G491">
        <v>0</v>
      </c>
      <c r="H491">
        <v>59</v>
      </c>
      <c r="I491">
        <v>30</v>
      </c>
      <c r="J491">
        <v>41</v>
      </c>
      <c r="K491">
        <v>2355</v>
      </c>
      <c r="L491">
        <v>1</v>
      </c>
      <c r="M491">
        <v>0</v>
      </c>
      <c r="N491">
        <v>0</v>
      </c>
      <c r="O491">
        <v>0</v>
      </c>
      <c r="P491">
        <v>0</v>
      </c>
      <c r="Q491">
        <v>2355</v>
      </c>
      <c r="R491">
        <v>0</v>
      </c>
      <c r="S491">
        <v>177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68</v>
      </c>
      <c r="AA491">
        <v>0</v>
      </c>
      <c r="AB491">
        <v>32</v>
      </c>
      <c r="AC491">
        <v>215</v>
      </c>
      <c r="AD491">
        <v>0</v>
      </c>
      <c r="AE491">
        <v>492</v>
      </c>
      <c r="AF491">
        <v>461</v>
      </c>
      <c r="AJ491">
        <v>6.13</v>
      </c>
      <c r="AK491" t="str">
        <f t="shared" si="7"/>
        <v>HP223-6200</v>
      </c>
    </row>
    <row r="492" spans="1:37">
      <c r="A492" t="s">
        <v>867</v>
      </c>
      <c r="B492" t="s">
        <v>868</v>
      </c>
      <c r="C492" t="s">
        <v>110</v>
      </c>
      <c r="D492" t="s">
        <v>869</v>
      </c>
      <c r="E492">
        <v>50</v>
      </c>
      <c r="F492">
        <v>0.3</v>
      </c>
      <c r="G492">
        <v>108</v>
      </c>
      <c r="H492">
        <v>94</v>
      </c>
      <c r="I492">
        <v>88</v>
      </c>
      <c r="J492">
        <v>120</v>
      </c>
      <c r="K492">
        <v>203</v>
      </c>
      <c r="L492">
        <v>218</v>
      </c>
      <c r="M492">
        <v>0</v>
      </c>
      <c r="N492">
        <v>90</v>
      </c>
      <c r="O492">
        <v>0</v>
      </c>
      <c r="P492">
        <v>0</v>
      </c>
      <c r="Q492">
        <v>113</v>
      </c>
      <c r="R492">
        <v>0</v>
      </c>
      <c r="S492">
        <v>237</v>
      </c>
      <c r="T492">
        <v>46</v>
      </c>
      <c r="U492">
        <v>0</v>
      </c>
      <c r="V492">
        <v>0</v>
      </c>
      <c r="W492">
        <v>90</v>
      </c>
      <c r="X492">
        <v>154</v>
      </c>
      <c r="Y492">
        <v>505</v>
      </c>
      <c r="Z492">
        <v>96</v>
      </c>
      <c r="AA492">
        <v>65</v>
      </c>
      <c r="AB492">
        <v>0</v>
      </c>
      <c r="AC492">
        <v>156</v>
      </c>
      <c r="AD492">
        <v>96</v>
      </c>
      <c r="AE492">
        <v>1445</v>
      </c>
      <c r="AF492">
        <v>2875</v>
      </c>
      <c r="AJ492">
        <v>2.86</v>
      </c>
      <c r="AK492" t="str">
        <f t="shared" si="7"/>
        <v>HP256-5000</v>
      </c>
    </row>
    <row r="493" spans="1:37">
      <c r="A493" t="s">
        <v>870</v>
      </c>
      <c r="B493" t="s">
        <v>868</v>
      </c>
      <c r="C493" t="s">
        <v>110</v>
      </c>
      <c r="D493" t="s">
        <v>869</v>
      </c>
      <c r="E493">
        <v>50</v>
      </c>
      <c r="F493">
        <v>2.9</v>
      </c>
      <c r="G493">
        <v>0</v>
      </c>
      <c r="H493">
        <v>60</v>
      </c>
      <c r="I493">
        <v>33</v>
      </c>
      <c r="J493">
        <v>54</v>
      </c>
      <c r="K493">
        <v>705</v>
      </c>
      <c r="L493">
        <v>151</v>
      </c>
      <c r="M493">
        <v>0</v>
      </c>
      <c r="N493">
        <v>0</v>
      </c>
      <c r="O493">
        <v>0</v>
      </c>
      <c r="P493">
        <v>0</v>
      </c>
      <c r="Q493">
        <v>705</v>
      </c>
      <c r="R493">
        <v>0</v>
      </c>
      <c r="S493">
        <v>172</v>
      </c>
      <c r="T493">
        <v>0</v>
      </c>
      <c r="U493">
        <v>8</v>
      </c>
      <c r="V493">
        <v>0</v>
      </c>
      <c r="W493">
        <v>18</v>
      </c>
      <c r="X493">
        <v>0</v>
      </c>
      <c r="Y493">
        <v>167</v>
      </c>
      <c r="Z493">
        <v>149</v>
      </c>
      <c r="AA493">
        <v>20</v>
      </c>
      <c r="AB493">
        <v>62</v>
      </c>
      <c r="AC493">
        <v>57</v>
      </c>
      <c r="AD493">
        <v>0</v>
      </c>
      <c r="AE493">
        <v>653</v>
      </c>
      <c r="AF493">
        <v>2012</v>
      </c>
      <c r="AJ493">
        <v>2.86</v>
      </c>
      <c r="AK493" t="str">
        <f t="shared" si="7"/>
        <v>HP256-6200</v>
      </c>
    </row>
    <row r="494" spans="1:37">
      <c r="A494" t="s">
        <v>871</v>
      </c>
      <c r="B494" t="s">
        <v>872</v>
      </c>
      <c r="C494" t="s">
        <v>329</v>
      </c>
      <c r="D494" t="s">
        <v>873</v>
      </c>
      <c r="E494">
        <v>50</v>
      </c>
      <c r="F494">
        <v>3.7</v>
      </c>
      <c r="G494">
        <v>469</v>
      </c>
      <c r="H494">
        <v>112</v>
      </c>
      <c r="I494">
        <v>224</v>
      </c>
      <c r="J494">
        <v>679</v>
      </c>
      <c r="K494">
        <v>2056</v>
      </c>
      <c r="L494">
        <v>82</v>
      </c>
      <c r="M494">
        <v>0</v>
      </c>
      <c r="N494">
        <v>391</v>
      </c>
      <c r="O494">
        <v>0</v>
      </c>
      <c r="P494">
        <v>0</v>
      </c>
      <c r="Q494">
        <v>1665</v>
      </c>
      <c r="R494">
        <v>0</v>
      </c>
      <c r="S494">
        <v>0</v>
      </c>
      <c r="T494">
        <v>161</v>
      </c>
      <c r="U494">
        <v>175</v>
      </c>
      <c r="V494">
        <v>183</v>
      </c>
      <c r="W494">
        <v>786</v>
      </c>
      <c r="X494">
        <v>36</v>
      </c>
      <c r="Y494">
        <v>472</v>
      </c>
      <c r="Z494">
        <v>1694</v>
      </c>
      <c r="AA494">
        <v>3137</v>
      </c>
      <c r="AB494">
        <v>311</v>
      </c>
      <c r="AC494">
        <v>0</v>
      </c>
      <c r="AD494">
        <v>1192</v>
      </c>
      <c r="AE494">
        <v>8147</v>
      </c>
      <c r="AF494">
        <v>14224</v>
      </c>
      <c r="AJ494">
        <v>3.38</v>
      </c>
      <c r="AK494" t="str">
        <f t="shared" si="7"/>
        <v>HP268-5000</v>
      </c>
    </row>
    <row r="495" spans="1:37">
      <c r="A495" t="s">
        <v>874</v>
      </c>
      <c r="B495" t="s">
        <v>872</v>
      </c>
      <c r="C495" t="s">
        <v>329</v>
      </c>
      <c r="D495" t="s">
        <v>873</v>
      </c>
      <c r="E495">
        <v>50</v>
      </c>
      <c r="F495">
        <v>0.3</v>
      </c>
      <c r="G495">
        <v>68</v>
      </c>
      <c r="H495">
        <v>458</v>
      </c>
      <c r="I495">
        <v>417</v>
      </c>
      <c r="J495">
        <v>551</v>
      </c>
      <c r="K495">
        <v>694</v>
      </c>
      <c r="L495">
        <v>468</v>
      </c>
      <c r="M495">
        <v>0</v>
      </c>
      <c r="N495">
        <v>56</v>
      </c>
      <c r="O495">
        <v>0</v>
      </c>
      <c r="P495">
        <v>0</v>
      </c>
      <c r="Q495">
        <v>638</v>
      </c>
      <c r="R495">
        <v>0</v>
      </c>
      <c r="S495">
        <v>479</v>
      </c>
      <c r="T495">
        <v>629</v>
      </c>
      <c r="U495">
        <v>267</v>
      </c>
      <c r="V495">
        <v>0</v>
      </c>
      <c r="W495">
        <v>427</v>
      </c>
      <c r="X495">
        <v>700</v>
      </c>
      <c r="Y495">
        <v>411</v>
      </c>
      <c r="Z495">
        <v>752</v>
      </c>
      <c r="AA495">
        <v>1288</v>
      </c>
      <c r="AB495">
        <v>665</v>
      </c>
      <c r="AC495">
        <v>256</v>
      </c>
      <c r="AD495">
        <v>735</v>
      </c>
      <c r="AE495">
        <v>6609</v>
      </c>
      <c r="AF495">
        <v>4937</v>
      </c>
      <c r="AJ495">
        <v>3.38</v>
      </c>
      <c r="AK495" t="str">
        <f t="shared" si="7"/>
        <v>HP268-6200</v>
      </c>
    </row>
    <row r="496" spans="1:37">
      <c r="A496" t="s">
        <v>875</v>
      </c>
      <c r="B496" t="s">
        <v>876</v>
      </c>
      <c r="C496" t="s">
        <v>110</v>
      </c>
      <c r="D496" t="s">
        <v>877</v>
      </c>
      <c r="E496">
        <v>50</v>
      </c>
      <c r="F496">
        <v>16.7</v>
      </c>
      <c r="G496">
        <v>0</v>
      </c>
      <c r="H496">
        <v>12</v>
      </c>
      <c r="I496">
        <v>107</v>
      </c>
      <c r="J496">
        <v>57</v>
      </c>
      <c r="K496">
        <v>824</v>
      </c>
      <c r="L496">
        <v>110</v>
      </c>
      <c r="M496">
        <v>0</v>
      </c>
      <c r="N496">
        <v>0</v>
      </c>
      <c r="O496">
        <v>0</v>
      </c>
      <c r="P496">
        <v>0</v>
      </c>
      <c r="Q496">
        <v>824</v>
      </c>
      <c r="R496">
        <v>0</v>
      </c>
      <c r="S496">
        <v>36</v>
      </c>
      <c r="T496">
        <v>0</v>
      </c>
      <c r="U496">
        <v>1</v>
      </c>
      <c r="V496">
        <v>0</v>
      </c>
      <c r="W496">
        <v>117</v>
      </c>
      <c r="X496">
        <v>486</v>
      </c>
      <c r="Y496">
        <v>41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681</v>
      </c>
      <c r="AF496">
        <v>2942</v>
      </c>
      <c r="AJ496">
        <v>4.6100000000000003</v>
      </c>
      <c r="AK496" t="str">
        <f t="shared" si="7"/>
        <v>HP272-5000</v>
      </c>
    </row>
    <row r="497" spans="1:37">
      <c r="A497" t="s">
        <v>878</v>
      </c>
      <c r="B497" t="s">
        <v>876</v>
      </c>
      <c r="C497" t="s">
        <v>110</v>
      </c>
      <c r="D497" t="s">
        <v>877</v>
      </c>
      <c r="E497">
        <v>50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185</v>
      </c>
      <c r="L497">
        <v>624</v>
      </c>
      <c r="M497">
        <v>0</v>
      </c>
      <c r="N497">
        <v>0</v>
      </c>
      <c r="O497">
        <v>0</v>
      </c>
      <c r="P497">
        <v>0</v>
      </c>
      <c r="Q497">
        <v>185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303</v>
      </c>
      <c r="AJ497">
        <v>4.25</v>
      </c>
      <c r="AK497" t="str">
        <f t="shared" si="7"/>
        <v>HP272-6200</v>
      </c>
    </row>
    <row r="498" spans="1:37">
      <c r="A498" t="s">
        <v>6179</v>
      </c>
      <c r="B498" t="s">
        <v>879</v>
      </c>
      <c r="C498" t="s">
        <v>110</v>
      </c>
      <c r="D498" t="s">
        <v>877</v>
      </c>
      <c r="E498">
        <v>50</v>
      </c>
      <c r="F498">
        <v>0</v>
      </c>
      <c r="G498">
        <v>0</v>
      </c>
      <c r="H498">
        <v>5</v>
      </c>
      <c r="I498">
        <v>3</v>
      </c>
      <c r="J498">
        <v>25</v>
      </c>
      <c r="K498">
        <v>0</v>
      </c>
      <c r="L498">
        <v>2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16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50</v>
      </c>
      <c r="Z498">
        <v>0</v>
      </c>
      <c r="AA498">
        <v>51</v>
      </c>
      <c r="AB498">
        <v>92</v>
      </c>
      <c r="AC498">
        <v>88</v>
      </c>
      <c r="AD498">
        <v>0</v>
      </c>
      <c r="AE498">
        <v>297</v>
      </c>
      <c r="AF498">
        <v>150</v>
      </c>
      <c r="AJ498">
        <v>5.03</v>
      </c>
      <c r="AK498" t="str">
        <f t="shared" si="7"/>
        <v>HP273-5000</v>
      </c>
    </row>
    <row r="499" spans="1:37">
      <c r="A499" t="s">
        <v>880</v>
      </c>
      <c r="B499" t="s">
        <v>879</v>
      </c>
      <c r="C499" t="s">
        <v>110</v>
      </c>
      <c r="D499" t="s">
        <v>877</v>
      </c>
      <c r="E499">
        <v>50</v>
      </c>
      <c r="F499">
        <v>11</v>
      </c>
      <c r="G499">
        <v>0</v>
      </c>
      <c r="H499">
        <v>19</v>
      </c>
      <c r="I499">
        <v>10</v>
      </c>
      <c r="J499">
        <v>16</v>
      </c>
      <c r="K499">
        <v>833</v>
      </c>
      <c r="L499">
        <v>31</v>
      </c>
      <c r="M499">
        <v>0</v>
      </c>
      <c r="N499">
        <v>0</v>
      </c>
      <c r="O499">
        <v>0</v>
      </c>
      <c r="P499">
        <v>0</v>
      </c>
      <c r="Q499">
        <v>833</v>
      </c>
      <c r="R499">
        <v>0</v>
      </c>
      <c r="S499">
        <v>0</v>
      </c>
      <c r="T499">
        <v>57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75</v>
      </c>
      <c r="AD499">
        <v>57</v>
      </c>
      <c r="AE499">
        <v>189</v>
      </c>
      <c r="AF499">
        <v>33</v>
      </c>
      <c r="AJ499">
        <v>5.03</v>
      </c>
      <c r="AK499" t="str">
        <f t="shared" si="7"/>
        <v>HP273-6200</v>
      </c>
    </row>
    <row r="500" spans="1:37">
      <c r="A500" t="s">
        <v>881</v>
      </c>
      <c r="B500" t="s">
        <v>882</v>
      </c>
      <c r="C500" t="s">
        <v>275</v>
      </c>
      <c r="D500" t="s">
        <v>883</v>
      </c>
      <c r="E500">
        <v>43</v>
      </c>
      <c r="F500">
        <v>0</v>
      </c>
      <c r="G500">
        <v>0</v>
      </c>
      <c r="H500">
        <v>0</v>
      </c>
      <c r="I500">
        <v>0</v>
      </c>
      <c r="J500">
        <v>12</v>
      </c>
      <c r="K500">
        <v>2023</v>
      </c>
      <c r="L500">
        <v>5</v>
      </c>
      <c r="M500">
        <v>0</v>
      </c>
      <c r="N500">
        <v>0</v>
      </c>
      <c r="O500">
        <v>0</v>
      </c>
      <c r="P500">
        <v>0</v>
      </c>
      <c r="Q500">
        <v>2023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146</v>
      </c>
      <c r="AC500">
        <v>0</v>
      </c>
      <c r="AD500">
        <v>0</v>
      </c>
      <c r="AE500">
        <v>146</v>
      </c>
      <c r="AF500">
        <v>46</v>
      </c>
      <c r="AJ500">
        <v>6.83</v>
      </c>
      <c r="AK500" t="str">
        <f t="shared" si="7"/>
        <v>HP288-5000</v>
      </c>
    </row>
    <row r="501" spans="1:37">
      <c r="A501" t="s">
        <v>884</v>
      </c>
      <c r="B501" t="s">
        <v>882</v>
      </c>
      <c r="C501" t="s">
        <v>275</v>
      </c>
      <c r="D501" t="s">
        <v>883</v>
      </c>
      <c r="E501">
        <v>43</v>
      </c>
      <c r="F501">
        <v>0</v>
      </c>
      <c r="G501">
        <v>0</v>
      </c>
      <c r="H501">
        <v>0</v>
      </c>
      <c r="I501">
        <v>0</v>
      </c>
      <c r="J501">
        <v>23</v>
      </c>
      <c r="K501">
        <v>525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525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279</v>
      </c>
      <c r="AC501">
        <v>0</v>
      </c>
      <c r="AD501">
        <v>0</v>
      </c>
      <c r="AE501">
        <v>279</v>
      </c>
      <c r="AF501">
        <v>71</v>
      </c>
      <c r="AJ501">
        <v>6.96</v>
      </c>
      <c r="AK501" t="str">
        <f t="shared" si="7"/>
        <v>HP288-6200</v>
      </c>
    </row>
    <row r="502" spans="1:37">
      <c r="A502" t="s">
        <v>885</v>
      </c>
      <c r="B502" t="s">
        <v>886</v>
      </c>
      <c r="C502" t="s">
        <v>275</v>
      </c>
      <c r="D502" t="s">
        <v>883</v>
      </c>
      <c r="E502">
        <v>43</v>
      </c>
      <c r="F502">
        <v>18.2</v>
      </c>
      <c r="G502">
        <v>0</v>
      </c>
      <c r="H502">
        <v>6</v>
      </c>
      <c r="I502">
        <v>13</v>
      </c>
      <c r="J502">
        <v>8</v>
      </c>
      <c r="K502">
        <v>436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436</v>
      </c>
      <c r="R502">
        <v>0</v>
      </c>
      <c r="S502">
        <v>0</v>
      </c>
      <c r="T502">
        <v>0</v>
      </c>
      <c r="U502">
        <v>18</v>
      </c>
      <c r="V502">
        <v>0</v>
      </c>
      <c r="W502">
        <v>62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14</v>
      </c>
      <c r="AE502">
        <v>94</v>
      </c>
      <c r="AF502">
        <v>20</v>
      </c>
      <c r="AJ502">
        <v>6.24</v>
      </c>
      <c r="AK502" t="str">
        <f t="shared" si="7"/>
        <v>HP289-6200</v>
      </c>
    </row>
    <row r="503" spans="1:37">
      <c r="A503" t="s">
        <v>887</v>
      </c>
      <c r="B503" t="s">
        <v>888</v>
      </c>
      <c r="C503" t="s">
        <v>110</v>
      </c>
      <c r="D503" t="s">
        <v>889</v>
      </c>
      <c r="E503">
        <v>45</v>
      </c>
      <c r="F503">
        <v>18.600000000000001</v>
      </c>
      <c r="G503">
        <v>14</v>
      </c>
      <c r="H503">
        <v>12</v>
      </c>
      <c r="I503">
        <v>6</v>
      </c>
      <c r="J503">
        <v>5</v>
      </c>
      <c r="K503">
        <v>904</v>
      </c>
      <c r="L503">
        <v>0</v>
      </c>
      <c r="M503">
        <v>0</v>
      </c>
      <c r="N503">
        <v>12</v>
      </c>
      <c r="O503">
        <v>0</v>
      </c>
      <c r="P503">
        <v>0</v>
      </c>
      <c r="Q503">
        <v>892</v>
      </c>
      <c r="R503">
        <v>0</v>
      </c>
      <c r="S503">
        <v>36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13</v>
      </c>
      <c r="AC503">
        <v>13</v>
      </c>
      <c r="AD503">
        <v>0</v>
      </c>
      <c r="AE503">
        <v>62</v>
      </c>
      <c r="AF503">
        <v>1515</v>
      </c>
      <c r="AJ503">
        <v>4.0199999999999996</v>
      </c>
      <c r="AK503" t="str">
        <f t="shared" si="7"/>
        <v>HP290-5000</v>
      </c>
    </row>
    <row r="504" spans="1:37">
      <c r="A504" t="s">
        <v>890</v>
      </c>
      <c r="B504" t="s">
        <v>888</v>
      </c>
      <c r="C504" t="s">
        <v>110</v>
      </c>
      <c r="D504" t="s">
        <v>889</v>
      </c>
      <c r="E504">
        <v>45</v>
      </c>
      <c r="F504">
        <v>0</v>
      </c>
      <c r="G504">
        <v>0</v>
      </c>
      <c r="H504">
        <v>0</v>
      </c>
      <c r="I504">
        <v>150</v>
      </c>
      <c r="J504">
        <v>75</v>
      </c>
      <c r="K504">
        <v>558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558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900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900</v>
      </c>
      <c r="AF504">
        <v>492</v>
      </c>
      <c r="AJ504">
        <v>4.8</v>
      </c>
      <c r="AK504" t="str">
        <f t="shared" si="7"/>
        <v>HP290-6200</v>
      </c>
    </row>
    <row r="505" spans="1:37">
      <c r="A505" t="s">
        <v>891</v>
      </c>
      <c r="B505" t="s">
        <v>892</v>
      </c>
      <c r="C505" t="s">
        <v>110</v>
      </c>
      <c r="D505" t="s">
        <v>893</v>
      </c>
      <c r="E505">
        <v>50</v>
      </c>
      <c r="F505">
        <v>0</v>
      </c>
      <c r="G505">
        <v>0</v>
      </c>
      <c r="H505">
        <v>0</v>
      </c>
      <c r="I505">
        <v>0</v>
      </c>
      <c r="J505">
        <v>49</v>
      </c>
      <c r="K505">
        <v>133</v>
      </c>
      <c r="L505">
        <v>5</v>
      </c>
      <c r="M505">
        <v>0</v>
      </c>
      <c r="N505">
        <v>0</v>
      </c>
      <c r="O505">
        <v>0</v>
      </c>
      <c r="P505">
        <v>0</v>
      </c>
      <c r="Q505">
        <v>133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592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592</v>
      </c>
      <c r="AF505">
        <v>34</v>
      </c>
      <c r="AJ505">
        <v>4.47</v>
      </c>
      <c r="AK505" t="str">
        <f t="shared" si="7"/>
        <v>HP295-5000</v>
      </c>
    </row>
    <row r="506" spans="1:37">
      <c r="A506" t="s">
        <v>894</v>
      </c>
      <c r="B506" t="s">
        <v>892</v>
      </c>
      <c r="C506" t="s">
        <v>110</v>
      </c>
      <c r="D506" t="s">
        <v>895</v>
      </c>
      <c r="E506">
        <v>50</v>
      </c>
      <c r="F506">
        <v>0</v>
      </c>
      <c r="G506">
        <v>0</v>
      </c>
      <c r="H506">
        <v>0</v>
      </c>
      <c r="I506">
        <v>124</v>
      </c>
      <c r="J506">
        <v>62</v>
      </c>
      <c r="K506">
        <v>1244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1244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745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745</v>
      </c>
      <c r="AF506">
        <v>578</v>
      </c>
      <c r="AJ506">
        <v>4.25</v>
      </c>
      <c r="AK506" t="str">
        <f t="shared" si="7"/>
        <v>HP295-6200</v>
      </c>
    </row>
    <row r="507" spans="1:37">
      <c r="A507" t="s">
        <v>896</v>
      </c>
      <c r="B507" t="s">
        <v>897</v>
      </c>
      <c r="C507" t="s">
        <v>110</v>
      </c>
      <c r="E507">
        <v>43</v>
      </c>
      <c r="F507">
        <v>21.4</v>
      </c>
      <c r="G507">
        <v>0</v>
      </c>
      <c r="H507">
        <v>2</v>
      </c>
      <c r="I507">
        <v>1</v>
      </c>
      <c r="J507">
        <v>1</v>
      </c>
      <c r="K507">
        <v>171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171</v>
      </c>
      <c r="R507">
        <v>0</v>
      </c>
      <c r="S507">
        <v>0</v>
      </c>
      <c r="T507">
        <v>0</v>
      </c>
      <c r="U507">
        <v>6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6</v>
      </c>
      <c r="AF507">
        <v>50</v>
      </c>
      <c r="AJ507">
        <v>4.8499999999999996</v>
      </c>
      <c r="AK507" t="str">
        <f t="shared" si="7"/>
        <v>HP302-5000</v>
      </c>
    </row>
    <row r="508" spans="1:37">
      <c r="A508" t="s">
        <v>898</v>
      </c>
      <c r="B508" t="s">
        <v>899</v>
      </c>
      <c r="C508" t="s">
        <v>110</v>
      </c>
      <c r="D508" t="s">
        <v>900</v>
      </c>
      <c r="E508">
        <v>50</v>
      </c>
      <c r="F508">
        <v>-1</v>
      </c>
      <c r="G508">
        <v>25</v>
      </c>
      <c r="H508">
        <v>5</v>
      </c>
      <c r="I508">
        <v>3</v>
      </c>
      <c r="J508">
        <v>17</v>
      </c>
      <c r="K508">
        <v>0</v>
      </c>
      <c r="L508">
        <v>0</v>
      </c>
      <c r="M508">
        <v>0</v>
      </c>
      <c r="N508">
        <v>21</v>
      </c>
      <c r="O508">
        <v>0</v>
      </c>
      <c r="P508">
        <v>0</v>
      </c>
      <c r="Q508">
        <v>-21</v>
      </c>
      <c r="R508">
        <v>0</v>
      </c>
      <c r="S508">
        <v>16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60</v>
      </c>
      <c r="AB508">
        <v>27</v>
      </c>
      <c r="AC508">
        <v>0</v>
      </c>
      <c r="AD508">
        <v>97</v>
      </c>
      <c r="AE508">
        <v>200</v>
      </c>
      <c r="AF508">
        <v>207</v>
      </c>
      <c r="AJ508">
        <v>5</v>
      </c>
      <c r="AK508" t="str">
        <f t="shared" si="7"/>
        <v>HP313-5000</v>
      </c>
    </row>
    <row r="509" spans="1:37">
      <c r="A509" t="s">
        <v>901</v>
      </c>
      <c r="B509" t="s">
        <v>899</v>
      </c>
      <c r="C509" t="s">
        <v>110</v>
      </c>
      <c r="D509" t="s">
        <v>900</v>
      </c>
      <c r="E509">
        <v>50</v>
      </c>
      <c r="F509">
        <v>28.1</v>
      </c>
      <c r="G509">
        <v>0</v>
      </c>
      <c r="H509">
        <v>60</v>
      </c>
      <c r="I509">
        <v>264</v>
      </c>
      <c r="J509">
        <v>152</v>
      </c>
      <c r="K509">
        <v>6747</v>
      </c>
      <c r="L509">
        <v>36</v>
      </c>
      <c r="M509">
        <v>0</v>
      </c>
      <c r="N509">
        <v>0</v>
      </c>
      <c r="O509">
        <v>0</v>
      </c>
      <c r="P509">
        <v>0</v>
      </c>
      <c r="Q509">
        <v>6747</v>
      </c>
      <c r="R509">
        <v>0</v>
      </c>
      <c r="S509">
        <v>0</v>
      </c>
      <c r="T509">
        <v>92</v>
      </c>
      <c r="U509">
        <v>88</v>
      </c>
      <c r="V509">
        <v>4</v>
      </c>
      <c r="W509">
        <v>1322</v>
      </c>
      <c r="X509">
        <v>75</v>
      </c>
      <c r="Y509">
        <v>8</v>
      </c>
      <c r="Z509">
        <v>0</v>
      </c>
      <c r="AA509">
        <v>59</v>
      </c>
      <c r="AB509">
        <v>52</v>
      </c>
      <c r="AC509">
        <v>25</v>
      </c>
      <c r="AD509">
        <v>93</v>
      </c>
      <c r="AE509">
        <v>1818</v>
      </c>
      <c r="AF509">
        <v>1225</v>
      </c>
      <c r="AJ509">
        <v>3.5</v>
      </c>
      <c r="AK509" t="str">
        <f t="shared" si="7"/>
        <v>HP313-6200</v>
      </c>
    </row>
    <row r="510" spans="1:37">
      <c r="A510" t="s">
        <v>902</v>
      </c>
      <c r="B510" t="s">
        <v>903</v>
      </c>
      <c r="C510" t="s">
        <v>275</v>
      </c>
      <c r="D510" t="s">
        <v>904</v>
      </c>
      <c r="E510">
        <v>43</v>
      </c>
      <c r="F510">
        <v>7.7</v>
      </c>
      <c r="G510">
        <v>55</v>
      </c>
      <c r="H510">
        <v>19</v>
      </c>
      <c r="I510">
        <v>68</v>
      </c>
      <c r="J510">
        <v>82</v>
      </c>
      <c r="K510">
        <v>630</v>
      </c>
      <c r="L510">
        <v>28</v>
      </c>
      <c r="M510">
        <v>0</v>
      </c>
      <c r="N510">
        <v>46</v>
      </c>
      <c r="O510">
        <v>0</v>
      </c>
      <c r="P510">
        <v>0</v>
      </c>
      <c r="Q510">
        <v>584</v>
      </c>
      <c r="R510">
        <v>0</v>
      </c>
      <c r="S510">
        <v>57</v>
      </c>
      <c r="T510">
        <v>0</v>
      </c>
      <c r="U510">
        <v>0</v>
      </c>
      <c r="V510">
        <v>0</v>
      </c>
      <c r="W510">
        <v>216</v>
      </c>
      <c r="X510">
        <v>132</v>
      </c>
      <c r="Y510">
        <v>115</v>
      </c>
      <c r="Z510">
        <v>111</v>
      </c>
      <c r="AA510">
        <v>79</v>
      </c>
      <c r="AB510">
        <v>143</v>
      </c>
      <c r="AC510">
        <v>54</v>
      </c>
      <c r="AD510">
        <v>80</v>
      </c>
      <c r="AE510">
        <v>987</v>
      </c>
      <c r="AF510">
        <v>1006</v>
      </c>
      <c r="AJ510">
        <v>4.58</v>
      </c>
      <c r="AK510" t="str">
        <f t="shared" si="7"/>
        <v>HP336-5000</v>
      </c>
    </row>
    <row r="511" spans="1:37">
      <c r="A511" t="s">
        <v>905</v>
      </c>
      <c r="B511" t="s">
        <v>903</v>
      </c>
      <c r="C511" t="s">
        <v>275</v>
      </c>
      <c r="D511" t="s">
        <v>904</v>
      </c>
      <c r="E511">
        <v>43</v>
      </c>
      <c r="F511">
        <v>4.8</v>
      </c>
      <c r="G511">
        <v>42</v>
      </c>
      <c r="H511">
        <v>37</v>
      </c>
      <c r="I511">
        <v>26</v>
      </c>
      <c r="J511">
        <v>29</v>
      </c>
      <c r="K511">
        <v>740</v>
      </c>
      <c r="L511">
        <v>9</v>
      </c>
      <c r="M511">
        <v>0</v>
      </c>
      <c r="N511">
        <v>35</v>
      </c>
      <c r="O511">
        <v>0</v>
      </c>
      <c r="P511">
        <v>0</v>
      </c>
      <c r="Q511">
        <v>705</v>
      </c>
      <c r="R511">
        <v>0</v>
      </c>
      <c r="S511">
        <v>20</v>
      </c>
      <c r="T511">
        <v>17</v>
      </c>
      <c r="U511">
        <v>73</v>
      </c>
      <c r="V511">
        <v>23</v>
      </c>
      <c r="W511">
        <v>22</v>
      </c>
      <c r="X511">
        <v>0</v>
      </c>
      <c r="Y511">
        <v>49</v>
      </c>
      <c r="Z511">
        <v>47</v>
      </c>
      <c r="AA511">
        <v>23</v>
      </c>
      <c r="AB511">
        <v>73</v>
      </c>
      <c r="AC511">
        <v>0</v>
      </c>
      <c r="AD511">
        <v>0</v>
      </c>
      <c r="AE511">
        <v>347</v>
      </c>
      <c r="AF511">
        <v>665</v>
      </c>
      <c r="AJ511">
        <v>5.84</v>
      </c>
      <c r="AK511" t="str">
        <f t="shared" si="7"/>
        <v>HP336-6200</v>
      </c>
    </row>
    <row r="512" spans="1:37">
      <c r="A512" t="s">
        <v>906</v>
      </c>
      <c r="B512" t="s">
        <v>907</v>
      </c>
      <c r="C512" t="s">
        <v>313</v>
      </c>
      <c r="D512" t="s">
        <v>908</v>
      </c>
      <c r="E512">
        <v>43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5149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5149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J512">
        <v>4.59</v>
      </c>
      <c r="AK512" t="str">
        <f t="shared" si="7"/>
        <v>HP338-5000</v>
      </c>
    </row>
    <row r="513" spans="1:37">
      <c r="A513" t="s">
        <v>909</v>
      </c>
      <c r="B513" t="s">
        <v>907</v>
      </c>
      <c r="C513" t="s">
        <v>313</v>
      </c>
      <c r="D513" t="s">
        <v>895</v>
      </c>
      <c r="E513">
        <v>43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477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477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J513">
        <v>5.3</v>
      </c>
      <c r="AK513" t="str">
        <f t="shared" si="7"/>
        <v>HP338-6200</v>
      </c>
    </row>
    <row r="514" spans="1:37">
      <c r="A514" t="s">
        <v>910</v>
      </c>
      <c r="B514" t="s">
        <v>911</v>
      </c>
      <c r="C514" t="s">
        <v>110</v>
      </c>
      <c r="D514" t="s">
        <v>912</v>
      </c>
      <c r="E514">
        <v>50</v>
      </c>
      <c r="F514">
        <v>2.6</v>
      </c>
      <c r="G514">
        <v>6</v>
      </c>
      <c r="H514">
        <v>30</v>
      </c>
      <c r="I514">
        <v>32</v>
      </c>
      <c r="J514">
        <v>39</v>
      </c>
      <c r="K514">
        <v>313</v>
      </c>
      <c r="L514">
        <v>49</v>
      </c>
      <c r="M514">
        <v>0</v>
      </c>
      <c r="N514">
        <v>5</v>
      </c>
      <c r="O514">
        <v>0</v>
      </c>
      <c r="P514">
        <v>0</v>
      </c>
      <c r="Q514">
        <v>308</v>
      </c>
      <c r="R514">
        <v>0</v>
      </c>
      <c r="S514">
        <v>0</v>
      </c>
      <c r="T514">
        <v>64</v>
      </c>
      <c r="U514">
        <v>26</v>
      </c>
      <c r="V514">
        <v>0</v>
      </c>
      <c r="W514">
        <v>103</v>
      </c>
      <c r="X514">
        <v>0</v>
      </c>
      <c r="Y514">
        <v>0</v>
      </c>
      <c r="Z514">
        <v>70</v>
      </c>
      <c r="AA514">
        <v>0</v>
      </c>
      <c r="AB514">
        <v>68</v>
      </c>
      <c r="AC514">
        <v>0</v>
      </c>
      <c r="AD514">
        <v>138</v>
      </c>
      <c r="AE514">
        <v>469</v>
      </c>
      <c r="AF514">
        <v>599</v>
      </c>
      <c r="AJ514">
        <v>4.37</v>
      </c>
      <c r="AK514" t="str">
        <f t="shared" si="7"/>
        <v>HP340-5000</v>
      </c>
    </row>
    <row r="515" spans="1:37">
      <c r="A515" t="s">
        <v>913</v>
      </c>
      <c r="B515" t="s">
        <v>911</v>
      </c>
      <c r="C515" t="s">
        <v>110</v>
      </c>
      <c r="D515" t="s">
        <v>912</v>
      </c>
      <c r="E515">
        <v>50</v>
      </c>
      <c r="F515">
        <v>0.9</v>
      </c>
      <c r="G515">
        <v>0</v>
      </c>
      <c r="H515">
        <v>222</v>
      </c>
      <c r="I515">
        <v>122</v>
      </c>
      <c r="J515">
        <v>89</v>
      </c>
      <c r="K515">
        <v>758</v>
      </c>
      <c r="L515">
        <v>12</v>
      </c>
      <c r="M515">
        <v>0</v>
      </c>
      <c r="N515">
        <v>0</v>
      </c>
      <c r="O515">
        <v>0</v>
      </c>
      <c r="P515">
        <v>0</v>
      </c>
      <c r="Q515">
        <v>758</v>
      </c>
      <c r="R515">
        <v>0</v>
      </c>
      <c r="S515">
        <v>0</v>
      </c>
      <c r="T515">
        <v>665</v>
      </c>
      <c r="U515">
        <v>0</v>
      </c>
      <c r="V515">
        <v>38</v>
      </c>
      <c r="W515">
        <v>28</v>
      </c>
      <c r="X515">
        <v>0</v>
      </c>
      <c r="Y515">
        <v>63</v>
      </c>
      <c r="Z515">
        <v>0</v>
      </c>
      <c r="AA515">
        <v>0</v>
      </c>
      <c r="AB515">
        <v>0</v>
      </c>
      <c r="AC515">
        <v>72</v>
      </c>
      <c r="AD515">
        <v>200</v>
      </c>
      <c r="AE515">
        <v>1066</v>
      </c>
      <c r="AF515">
        <v>515</v>
      </c>
      <c r="AJ515">
        <v>4.47</v>
      </c>
      <c r="AK515" t="str">
        <f t="shared" si="7"/>
        <v>HP340-6200</v>
      </c>
    </row>
    <row r="516" spans="1:37">
      <c r="A516" t="s">
        <v>914</v>
      </c>
      <c r="B516" t="s">
        <v>915</v>
      </c>
      <c r="C516" t="s">
        <v>275</v>
      </c>
      <c r="D516" t="s">
        <v>883</v>
      </c>
      <c r="E516">
        <v>43</v>
      </c>
      <c r="F516">
        <v>0</v>
      </c>
      <c r="G516">
        <v>0</v>
      </c>
      <c r="H516">
        <v>0</v>
      </c>
      <c r="I516">
        <v>0</v>
      </c>
      <c r="J516">
        <v>5</v>
      </c>
      <c r="K516">
        <v>207</v>
      </c>
      <c r="L516">
        <v>17</v>
      </c>
      <c r="M516">
        <v>0</v>
      </c>
      <c r="N516">
        <v>0</v>
      </c>
      <c r="O516">
        <v>0</v>
      </c>
      <c r="P516">
        <v>0</v>
      </c>
      <c r="Q516">
        <v>207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57</v>
      </c>
      <c r="AD516">
        <v>0</v>
      </c>
      <c r="AE516">
        <v>57</v>
      </c>
      <c r="AF516">
        <v>489</v>
      </c>
      <c r="AJ516">
        <v>5.84</v>
      </c>
      <c r="AK516" t="str">
        <f t="shared" si="7"/>
        <v>HP341-5000</v>
      </c>
    </row>
    <row r="517" spans="1:37">
      <c r="A517" t="s">
        <v>916</v>
      </c>
      <c r="B517" t="s">
        <v>915</v>
      </c>
      <c r="C517" t="s">
        <v>275</v>
      </c>
      <c r="D517" t="s">
        <v>883</v>
      </c>
      <c r="E517">
        <v>43</v>
      </c>
      <c r="F517">
        <v>0</v>
      </c>
      <c r="G517">
        <v>0</v>
      </c>
      <c r="H517">
        <v>0</v>
      </c>
      <c r="I517">
        <v>0</v>
      </c>
      <c r="J517">
        <v>8</v>
      </c>
      <c r="K517">
        <v>393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393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97</v>
      </c>
      <c r="AE517">
        <v>97</v>
      </c>
      <c r="AF517">
        <v>31</v>
      </c>
      <c r="AJ517">
        <v>4.16</v>
      </c>
      <c r="AK517" t="str">
        <f t="shared" ref="AK517:AK580" si="8">MID(A517,4,10)</f>
        <v>HP341-6200</v>
      </c>
    </row>
    <row r="518" spans="1:37">
      <c r="A518" t="s">
        <v>917</v>
      </c>
      <c r="B518" t="s">
        <v>918</v>
      </c>
      <c r="C518" t="s">
        <v>110</v>
      </c>
      <c r="D518" t="s">
        <v>900</v>
      </c>
      <c r="E518">
        <v>50</v>
      </c>
      <c r="F518">
        <v>65.7</v>
      </c>
      <c r="G518">
        <v>0</v>
      </c>
      <c r="H518">
        <v>4</v>
      </c>
      <c r="I518">
        <v>10</v>
      </c>
      <c r="J518">
        <v>9</v>
      </c>
      <c r="K518">
        <v>1139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1139</v>
      </c>
      <c r="R518">
        <v>0</v>
      </c>
      <c r="S518">
        <v>13</v>
      </c>
      <c r="T518">
        <v>0</v>
      </c>
      <c r="U518">
        <v>0</v>
      </c>
      <c r="V518">
        <v>48</v>
      </c>
      <c r="W518">
        <v>0</v>
      </c>
      <c r="X518">
        <v>0</v>
      </c>
      <c r="Y518">
        <v>26</v>
      </c>
      <c r="Z518">
        <v>0</v>
      </c>
      <c r="AA518">
        <v>0</v>
      </c>
      <c r="AB518">
        <v>0</v>
      </c>
      <c r="AC518">
        <v>25</v>
      </c>
      <c r="AD518">
        <v>0</v>
      </c>
      <c r="AE518">
        <v>112</v>
      </c>
      <c r="AF518">
        <v>266</v>
      </c>
      <c r="AJ518">
        <v>3.72</v>
      </c>
      <c r="AK518" t="str">
        <f t="shared" si="8"/>
        <v>HP356-5000</v>
      </c>
    </row>
    <row r="519" spans="1:37">
      <c r="A519" t="s">
        <v>919</v>
      </c>
      <c r="B519" t="s">
        <v>918</v>
      </c>
      <c r="C519" t="s">
        <v>110</v>
      </c>
      <c r="D519" t="s">
        <v>900</v>
      </c>
      <c r="E519">
        <v>50</v>
      </c>
      <c r="F519">
        <v>23</v>
      </c>
      <c r="G519">
        <v>0</v>
      </c>
      <c r="H519">
        <v>10</v>
      </c>
      <c r="I519">
        <v>13</v>
      </c>
      <c r="J519">
        <v>16</v>
      </c>
      <c r="K519">
        <v>920</v>
      </c>
      <c r="L519">
        <v>11</v>
      </c>
      <c r="M519">
        <v>0</v>
      </c>
      <c r="N519">
        <v>0</v>
      </c>
      <c r="O519">
        <v>0</v>
      </c>
      <c r="P519">
        <v>0</v>
      </c>
      <c r="Q519">
        <v>920</v>
      </c>
      <c r="R519">
        <v>0</v>
      </c>
      <c r="S519">
        <v>0</v>
      </c>
      <c r="T519">
        <v>0</v>
      </c>
      <c r="U519">
        <v>30</v>
      </c>
      <c r="V519">
        <v>50</v>
      </c>
      <c r="W519">
        <v>0</v>
      </c>
      <c r="X519">
        <v>0</v>
      </c>
      <c r="Y519">
        <v>43</v>
      </c>
      <c r="Z519">
        <v>0</v>
      </c>
      <c r="AA519">
        <v>72</v>
      </c>
      <c r="AB519">
        <v>0</v>
      </c>
      <c r="AC519">
        <v>0</v>
      </c>
      <c r="AD519">
        <v>0</v>
      </c>
      <c r="AE519">
        <v>195</v>
      </c>
      <c r="AF519">
        <v>1972</v>
      </c>
      <c r="AJ519">
        <v>3.72</v>
      </c>
      <c r="AK519" t="str">
        <f t="shared" si="8"/>
        <v>HP356-6200</v>
      </c>
    </row>
    <row r="520" spans="1:37">
      <c r="A520" t="s">
        <v>920</v>
      </c>
      <c r="B520" t="s">
        <v>921</v>
      </c>
      <c r="C520" t="s">
        <v>110</v>
      </c>
      <c r="D520" t="s">
        <v>900</v>
      </c>
      <c r="E520">
        <v>50</v>
      </c>
      <c r="F520">
        <v>-0.2</v>
      </c>
      <c r="G520">
        <v>9</v>
      </c>
      <c r="H520">
        <v>8</v>
      </c>
      <c r="I520">
        <v>4</v>
      </c>
      <c r="J520">
        <v>11</v>
      </c>
      <c r="K520">
        <v>0</v>
      </c>
      <c r="L520">
        <v>0</v>
      </c>
      <c r="M520">
        <v>0</v>
      </c>
      <c r="N520">
        <v>7</v>
      </c>
      <c r="O520">
        <v>0</v>
      </c>
      <c r="P520">
        <v>0</v>
      </c>
      <c r="Q520">
        <v>-7</v>
      </c>
      <c r="R520">
        <v>0</v>
      </c>
      <c r="S520">
        <v>23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61</v>
      </c>
      <c r="AA520">
        <v>0</v>
      </c>
      <c r="AB520">
        <v>39</v>
      </c>
      <c r="AC520">
        <v>8</v>
      </c>
      <c r="AD520">
        <v>0</v>
      </c>
      <c r="AE520">
        <v>131</v>
      </c>
      <c r="AF520">
        <v>187</v>
      </c>
      <c r="AJ520">
        <v>4.96</v>
      </c>
      <c r="AK520" t="str">
        <f t="shared" si="8"/>
        <v>HP357-5000</v>
      </c>
    </row>
    <row r="521" spans="1:37">
      <c r="A521" t="s">
        <v>922</v>
      </c>
      <c r="B521" t="s">
        <v>921</v>
      </c>
      <c r="C521" t="s">
        <v>110</v>
      </c>
      <c r="D521" t="s">
        <v>900</v>
      </c>
      <c r="E521">
        <v>50</v>
      </c>
      <c r="F521">
        <v>4.2</v>
      </c>
      <c r="G521">
        <v>0</v>
      </c>
      <c r="H521">
        <v>51</v>
      </c>
      <c r="I521">
        <v>26</v>
      </c>
      <c r="J521">
        <v>30</v>
      </c>
      <c r="K521">
        <v>857</v>
      </c>
      <c r="L521">
        <v>39</v>
      </c>
      <c r="M521">
        <v>0</v>
      </c>
      <c r="N521">
        <v>0</v>
      </c>
      <c r="O521">
        <v>0</v>
      </c>
      <c r="P521">
        <v>0</v>
      </c>
      <c r="Q521">
        <v>857</v>
      </c>
      <c r="R521">
        <v>0</v>
      </c>
      <c r="S521">
        <v>92</v>
      </c>
      <c r="T521">
        <v>46</v>
      </c>
      <c r="U521">
        <v>15</v>
      </c>
      <c r="V521">
        <v>0</v>
      </c>
      <c r="W521">
        <v>0</v>
      </c>
      <c r="X521">
        <v>0</v>
      </c>
      <c r="Y521">
        <v>28</v>
      </c>
      <c r="Z521">
        <v>0</v>
      </c>
      <c r="AA521">
        <v>0</v>
      </c>
      <c r="AB521">
        <v>115</v>
      </c>
      <c r="AC521">
        <v>27</v>
      </c>
      <c r="AD521">
        <v>31</v>
      </c>
      <c r="AE521">
        <v>354</v>
      </c>
      <c r="AF521">
        <v>3226</v>
      </c>
      <c r="AJ521">
        <v>4.37</v>
      </c>
      <c r="AK521" t="str">
        <f t="shared" si="8"/>
        <v>HP357-6200</v>
      </c>
    </row>
    <row r="522" spans="1:37">
      <c r="A522" t="s">
        <v>923</v>
      </c>
      <c r="B522" t="s">
        <v>924</v>
      </c>
      <c r="C522" t="s">
        <v>110</v>
      </c>
      <c r="D522" t="s">
        <v>925</v>
      </c>
      <c r="E522">
        <v>50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280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280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J522">
        <v>4.1500000000000004</v>
      </c>
      <c r="AK522" t="str">
        <f t="shared" si="8"/>
        <v>HP358-5000</v>
      </c>
    </row>
    <row r="523" spans="1:37">
      <c r="A523" t="s">
        <v>926</v>
      </c>
      <c r="B523" t="s">
        <v>927</v>
      </c>
      <c r="C523" t="s">
        <v>110</v>
      </c>
      <c r="D523" t="s">
        <v>895</v>
      </c>
      <c r="E523">
        <v>43</v>
      </c>
      <c r="F523">
        <v>-0.3</v>
      </c>
      <c r="G523">
        <v>41</v>
      </c>
      <c r="H523">
        <v>33</v>
      </c>
      <c r="I523">
        <v>25</v>
      </c>
      <c r="J523">
        <v>42</v>
      </c>
      <c r="K523">
        <v>0</v>
      </c>
      <c r="L523">
        <v>30</v>
      </c>
      <c r="M523">
        <v>0</v>
      </c>
      <c r="N523">
        <v>34</v>
      </c>
      <c r="O523">
        <v>0</v>
      </c>
      <c r="P523">
        <v>0</v>
      </c>
      <c r="Q523">
        <v>-34</v>
      </c>
      <c r="R523">
        <v>0</v>
      </c>
      <c r="S523">
        <v>0</v>
      </c>
      <c r="T523">
        <v>59</v>
      </c>
      <c r="U523">
        <v>39</v>
      </c>
      <c r="V523">
        <v>0</v>
      </c>
      <c r="W523">
        <v>52</v>
      </c>
      <c r="X523">
        <v>0</v>
      </c>
      <c r="Y523">
        <v>0</v>
      </c>
      <c r="Z523">
        <v>0</v>
      </c>
      <c r="AA523">
        <v>0</v>
      </c>
      <c r="AB523">
        <v>53</v>
      </c>
      <c r="AC523">
        <v>206</v>
      </c>
      <c r="AD523">
        <v>95</v>
      </c>
      <c r="AE523">
        <v>504</v>
      </c>
      <c r="AF523">
        <v>577</v>
      </c>
      <c r="AJ523">
        <v>5.0199999999999996</v>
      </c>
      <c r="AK523" t="str">
        <f t="shared" si="8"/>
        <v>HP359-5000</v>
      </c>
    </row>
    <row r="524" spans="1:37">
      <c r="A524" t="s">
        <v>928</v>
      </c>
      <c r="B524" t="s">
        <v>927</v>
      </c>
      <c r="C524" t="s">
        <v>110</v>
      </c>
      <c r="D524" t="s">
        <v>895</v>
      </c>
      <c r="E524">
        <v>43</v>
      </c>
      <c r="F524">
        <v>11.1</v>
      </c>
      <c r="G524">
        <v>0</v>
      </c>
      <c r="H524">
        <v>12</v>
      </c>
      <c r="I524">
        <v>6</v>
      </c>
      <c r="J524">
        <v>25</v>
      </c>
      <c r="K524">
        <v>516</v>
      </c>
      <c r="L524">
        <v>4</v>
      </c>
      <c r="M524">
        <v>0</v>
      </c>
      <c r="N524">
        <v>0</v>
      </c>
      <c r="O524">
        <v>0</v>
      </c>
      <c r="P524">
        <v>0</v>
      </c>
      <c r="Q524">
        <v>516</v>
      </c>
      <c r="R524">
        <v>0</v>
      </c>
      <c r="S524">
        <v>35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121</v>
      </c>
      <c r="Z524">
        <v>0</v>
      </c>
      <c r="AA524">
        <v>51</v>
      </c>
      <c r="AB524">
        <v>38</v>
      </c>
      <c r="AC524">
        <v>24</v>
      </c>
      <c r="AD524">
        <v>32</v>
      </c>
      <c r="AE524">
        <v>301</v>
      </c>
      <c r="AF524">
        <v>355</v>
      </c>
      <c r="AJ524">
        <v>4.37</v>
      </c>
      <c r="AK524" t="str">
        <f t="shared" si="8"/>
        <v>HP359-6200</v>
      </c>
    </row>
    <row r="525" spans="1:37">
      <c r="A525" t="s">
        <v>929</v>
      </c>
      <c r="B525" t="s">
        <v>930</v>
      </c>
      <c r="C525" t="s">
        <v>275</v>
      </c>
      <c r="D525" t="s">
        <v>895</v>
      </c>
      <c r="E525">
        <v>43</v>
      </c>
      <c r="F525">
        <v>1.4</v>
      </c>
      <c r="G525">
        <v>66</v>
      </c>
      <c r="H525">
        <v>62</v>
      </c>
      <c r="I525">
        <v>96</v>
      </c>
      <c r="J525">
        <v>88</v>
      </c>
      <c r="K525">
        <v>406</v>
      </c>
      <c r="L525">
        <v>7</v>
      </c>
      <c r="M525">
        <v>0</v>
      </c>
      <c r="N525">
        <v>55</v>
      </c>
      <c r="O525">
        <v>0</v>
      </c>
      <c r="P525">
        <v>0</v>
      </c>
      <c r="Q525">
        <v>351</v>
      </c>
      <c r="R525">
        <v>0</v>
      </c>
      <c r="S525">
        <v>53</v>
      </c>
      <c r="T525">
        <v>0</v>
      </c>
      <c r="U525">
        <v>134</v>
      </c>
      <c r="V525">
        <v>255</v>
      </c>
      <c r="W525">
        <v>0</v>
      </c>
      <c r="X525">
        <v>133</v>
      </c>
      <c r="Y525">
        <v>68</v>
      </c>
      <c r="Z525">
        <v>118</v>
      </c>
      <c r="AA525">
        <v>0</v>
      </c>
      <c r="AB525">
        <v>43</v>
      </c>
      <c r="AC525">
        <v>186</v>
      </c>
      <c r="AD525">
        <v>64</v>
      </c>
      <c r="AE525">
        <v>1054</v>
      </c>
      <c r="AF525">
        <v>882</v>
      </c>
      <c r="AJ525">
        <v>6.1</v>
      </c>
      <c r="AK525" t="str">
        <f t="shared" si="8"/>
        <v>HP360-5000</v>
      </c>
    </row>
    <row r="526" spans="1:37">
      <c r="A526" t="s">
        <v>931</v>
      </c>
      <c r="B526" t="s">
        <v>930</v>
      </c>
      <c r="C526" t="s">
        <v>275</v>
      </c>
      <c r="D526" t="s">
        <v>895</v>
      </c>
      <c r="E526">
        <v>43</v>
      </c>
      <c r="F526">
        <v>0.3</v>
      </c>
      <c r="G526">
        <v>41</v>
      </c>
      <c r="H526">
        <v>23</v>
      </c>
      <c r="I526">
        <v>12</v>
      </c>
      <c r="J526">
        <v>38</v>
      </c>
      <c r="K526">
        <v>60</v>
      </c>
      <c r="L526">
        <v>42</v>
      </c>
      <c r="M526">
        <v>0</v>
      </c>
      <c r="N526">
        <v>35</v>
      </c>
      <c r="O526">
        <v>0</v>
      </c>
      <c r="P526">
        <v>0</v>
      </c>
      <c r="Q526">
        <v>25</v>
      </c>
      <c r="R526">
        <v>0</v>
      </c>
      <c r="S526">
        <v>69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392</v>
      </c>
      <c r="AD526">
        <v>0</v>
      </c>
      <c r="AE526">
        <v>461</v>
      </c>
      <c r="AF526">
        <v>349</v>
      </c>
      <c r="AJ526">
        <v>5.84</v>
      </c>
      <c r="AK526" t="str">
        <f t="shared" si="8"/>
        <v>HP360-6200</v>
      </c>
    </row>
    <row r="527" spans="1:37">
      <c r="A527" t="s">
        <v>932</v>
      </c>
      <c r="B527" t="s">
        <v>933</v>
      </c>
      <c r="C527" t="s">
        <v>110</v>
      </c>
      <c r="D527" t="s">
        <v>609</v>
      </c>
      <c r="E527">
        <v>50</v>
      </c>
      <c r="F527">
        <v>1.6</v>
      </c>
      <c r="G527">
        <v>5</v>
      </c>
      <c r="H527">
        <v>34</v>
      </c>
      <c r="I527">
        <v>17</v>
      </c>
      <c r="J527">
        <v>10</v>
      </c>
      <c r="K527">
        <v>226</v>
      </c>
      <c r="L527">
        <v>3</v>
      </c>
      <c r="M527">
        <v>0</v>
      </c>
      <c r="N527">
        <v>4</v>
      </c>
      <c r="O527">
        <v>0</v>
      </c>
      <c r="P527">
        <v>0</v>
      </c>
      <c r="Q527">
        <v>222</v>
      </c>
      <c r="R527">
        <v>0</v>
      </c>
      <c r="S527">
        <v>21</v>
      </c>
      <c r="T527">
        <v>24</v>
      </c>
      <c r="U527">
        <v>56</v>
      </c>
      <c r="V527">
        <v>0</v>
      </c>
      <c r="W527">
        <v>0</v>
      </c>
      <c r="X527">
        <v>0</v>
      </c>
      <c r="Y527">
        <v>24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125</v>
      </c>
      <c r="AF527">
        <v>84</v>
      </c>
      <c r="AJ527">
        <v>3.55</v>
      </c>
      <c r="AK527" t="str">
        <f t="shared" si="8"/>
        <v>HP365-5000</v>
      </c>
    </row>
    <row r="528" spans="1:37">
      <c r="A528" t="s">
        <v>934</v>
      </c>
      <c r="B528" t="s">
        <v>933</v>
      </c>
      <c r="C528" t="s">
        <v>110</v>
      </c>
      <c r="D528" t="s">
        <v>609</v>
      </c>
      <c r="E528">
        <v>50</v>
      </c>
      <c r="F528">
        <v>3.6</v>
      </c>
      <c r="G528">
        <v>0</v>
      </c>
      <c r="H528">
        <v>28</v>
      </c>
      <c r="I528">
        <v>14</v>
      </c>
      <c r="J528">
        <v>14</v>
      </c>
      <c r="K528">
        <v>398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398</v>
      </c>
      <c r="R528">
        <v>0</v>
      </c>
      <c r="S528">
        <v>0</v>
      </c>
      <c r="T528">
        <v>13</v>
      </c>
      <c r="U528">
        <v>70</v>
      </c>
      <c r="V528">
        <v>0</v>
      </c>
      <c r="W528">
        <v>0</v>
      </c>
      <c r="X528">
        <v>0</v>
      </c>
      <c r="Y528">
        <v>50</v>
      </c>
      <c r="Z528">
        <v>31</v>
      </c>
      <c r="AA528">
        <v>0</v>
      </c>
      <c r="AB528">
        <v>0</v>
      </c>
      <c r="AC528">
        <v>0</v>
      </c>
      <c r="AD528">
        <v>0</v>
      </c>
      <c r="AE528">
        <v>164</v>
      </c>
      <c r="AF528">
        <v>0</v>
      </c>
      <c r="AJ528">
        <v>3.55</v>
      </c>
      <c r="AK528" t="str">
        <f t="shared" si="8"/>
        <v>HP365-6200</v>
      </c>
    </row>
    <row r="529" spans="1:37">
      <c r="A529" t="s">
        <v>935</v>
      </c>
      <c r="B529" t="s">
        <v>936</v>
      </c>
      <c r="C529" t="s">
        <v>110</v>
      </c>
      <c r="D529" t="s">
        <v>609</v>
      </c>
      <c r="E529">
        <v>50</v>
      </c>
      <c r="F529">
        <v>0</v>
      </c>
      <c r="G529">
        <v>1</v>
      </c>
      <c r="H529">
        <v>7</v>
      </c>
      <c r="I529">
        <v>3</v>
      </c>
      <c r="J529">
        <v>17</v>
      </c>
      <c r="K529">
        <v>0</v>
      </c>
      <c r="L529">
        <v>2</v>
      </c>
      <c r="M529">
        <v>0</v>
      </c>
      <c r="N529">
        <v>1</v>
      </c>
      <c r="O529">
        <v>0</v>
      </c>
      <c r="P529">
        <v>0</v>
      </c>
      <c r="Q529">
        <v>-1</v>
      </c>
      <c r="R529">
        <v>0</v>
      </c>
      <c r="S529">
        <v>20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39</v>
      </c>
      <c r="Z529">
        <v>75</v>
      </c>
      <c r="AA529">
        <v>21</v>
      </c>
      <c r="AB529">
        <v>23</v>
      </c>
      <c r="AC529">
        <v>10</v>
      </c>
      <c r="AD529">
        <v>16</v>
      </c>
      <c r="AE529">
        <v>204</v>
      </c>
      <c r="AF529">
        <v>131</v>
      </c>
      <c r="AJ529">
        <v>4.0199999999999996</v>
      </c>
      <c r="AK529" t="str">
        <f t="shared" si="8"/>
        <v>HP370-5000</v>
      </c>
    </row>
    <row r="530" spans="1:37">
      <c r="A530" t="s">
        <v>937</v>
      </c>
      <c r="B530" t="s">
        <v>936</v>
      </c>
      <c r="C530" t="s">
        <v>110</v>
      </c>
      <c r="D530" t="s">
        <v>609</v>
      </c>
      <c r="E530">
        <v>50</v>
      </c>
      <c r="F530">
        <v>1.2</v>
      </c>
      <c r="G530">
        <v>0</v>
      </c>
      <c r="H530">
        <v>17</v>
      </c>
      <c r="I530">
        <v>17</v>
      </c>
      <c r="J530">
        <v>10</v>
      </c>
      <c r="K530">
        <v>79</v>
      </c>
      <c r="L530">
        <v>1</v>
      </c>
      <c r="M530">
        <v>0</v>
      </c>
      <c r="N530">
        <v>0</v>
      </c>
      <c r="O530">
        <v>0</v>
      </c>
      <c r="P530">
        <v>0</v>
      </c>
      <c r="Q530">
        <v>79</v>
      </c>
      <c r="R530">
        <v>0</v>
      </c>
      <c r="S530">
        <v>51</v>
      </c>
      <c r="T530">
        <v>0</v>
      </c>
      <c r="U530">
        <v>0</v>
      </c>
      <c r="V530">
        <v>0</v>
      </c>
      <c r="W530">
        <v>18</v>
      </c>
      <c r="X530">
        <v>31</v>
      </c>
      <c r="Y530">
        <v>0</v>
      </c>
      <c r="Z530">
        <v>0</v>
      </c>
      <c r="AA530">
        <v>0</v>
      </c>
      <c r="AB530">
        <v>14</v>
      </c>
      <c r="AC530">
        <v>0</v>
      </c>
      <c r="AD530">
        <v>0</v>
      </c>
      <c r="AE530">
        <v>114</v>
      </c>
      <c r="AF530">
        <v>602</v>
      </c>
      <c r="AJ530">
        <v>4.25</v>
      </c>
      <c r="AK530" t="str">
        <f t="shared" si="8"/>
        <v>HP370-6200</v>
      </c>
    </row>
    <row r="531" spans="1:37">
      <c r="A531" t="s">
        <v>938</v>
      </c>
      <c r="B531" t="s">
        <v>939</v>
      </c>
      <c r="C531" t="s">
        <v>318</v>
      </c>
      <c r="D531" t="s">
        <v>940</v>
      </c>
      <c r="E531">
        <v>50</v>
      </c>
      <c r="F531">
        <v>0.7</v>
      </c>
      <c r="G531">
        <v>0</v>
      </c>
      <c r="H531">
        <v>86</v>
      </c>
      <c r="I531">
        <v>43</v>
      </c>
      <c r="J531">
        <v>34</v>
      </c>
      <c r="K531">
        <v>242</v>
      </c>
      <c r="L531">
        <v>30</v>
      </c>
      <c r="M531">
        <v>0</v>
      </c>
      <c r="N531">
        <v>0</v>
      </c>
      <c r="O531">
        <v>0</v>
      </c>
      <c r="P531">
        <v>0</v>
      </c>
      <c r="Q531">
        <v>242</v>
      </c>
      <c r="R531">
        <v>0</v>
      </c>
      <c r="S531">
        <v>258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150</v>
      </c>
      <c r="AD531">
        <v>0</v>
      </c>
      <c r="AE531">
        <v>408</v>
      </c>
      <c r="AF531">
        <v>1193</v>
      </c>
      <c r="AJ531">
        <v>5.18</v>
      </c>
      <c r="AK531" t="str">
        <f t="shared" si="8"/>
        <v>HP372-5000</v>
      </c>
    </row>
    <row r="532" spans="1:37">
      <c r="A532" t="s">
        <v>941</v>
      </c>
      <c r="B532" t="s">
        <v>939</v>
      </c>
      <c r="C532" t="s">
        <v>318</v>
      </c>
      <c r="D532" t="s">
        <v>940</v>
      </c>
      <c r="E532">
        <v>50</v>
      </c>
      <c r="F532">
        <v>2.6</v>
      </c>
      <c r="G532">
        <v>0</v>
      </c>
      <c r="H532">
        <v>92</v>
      </c>
      <c r="I532">
        <v>46</v>
      </c>
      <c r="J532">
        <v>148</v>
      </c>
      <c r="K532">
        <v>962</v>
      </c>
      <c r="L532">
        <v>35</v>
      </c>
      <c r="M532">
        <v>0</v>
      </c>
      <c r="N532">
        <v>0</v>
      </c>
      <c r="O532">
        <v>0</v>
      </c>
      <c r="P532">
        <v>0</v>
      </c>
      <c r="Q532">
        <v>962</v>
      </c>
      <c r="R532">
        <v>0</v>
      </c>
      <c r="S532">
        <v>276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214</v>
      </c>
      <c r="Z532">
        <v>0</v>
      </c>
      <c r="AA532">
        <v>510</v>
      </c>
      <c r="AB532">
        <v>257</v>
      </c>
      <c r="AC532">
        <v>524</v>
      </c>
      <c r="AD532">
        <v>0</v>
      </c>
      <c r="AE532">
        <v>1781</v>
      </c>
      <c r="AF532">
        <v>423</v>
      </c>
      <c r="AJ532">
        <v>5.87</v>
      </c>
      <c r="AK532" t="str">
        <f t="shared" si="8"/>
        <v>HP372-6200</v>
      </c>
    </row>
    <row r="533" spans="1:37">
      <c r="A533" t="s">
        <v>942</v>
      </c>
      <c r="B533" t="s">
        <v>943</v>
      </c>
      <c r="C533" t="s">
        <v>318</v>
      </c>
      <c r="E533">
        <v>50</v>
      </c>
      <c r="F533">
        <v>0.4</v>
      </c>
      <c r="G533">
        <v>9</v>
      </c>
      <c r="H533">
        <v>79</v>
      </c>
      <c r="I533">
        <v>40</v>
      </c>
      <c r="J533">
        <v>31</v>
      </c>
      <c r="K533">
        <v>132</v>
      </c>
      <c r="L533">
        <v>0</v>
      </c>
      <c r="M533">
        <v>0</v>
      </c>
      <c r="N533">
        <v>8</v>
      </c>
      <c r="O533">
        <v>0</v>
      </c>
      <c r="P533">
        <v>0</v>
      </c>
      <c r="Q533">
        <v>124</v>
      </c>
      <c r="R533">
        <v>0</v>
      </c>
      <c r="S533">
        <v>19</v>
      </c>
      <c r="T533">
        <v>113</v>
      </c>
      <c r="U533">
        <v>105</v>
      </c>
      <c r="V533">
        <v>0</v>
      </c>
      <c r="W533">
        <v>0</v>
      </c>
      <c r="X533">
        <v>0</v>
      </c>
      <c r="Y533">
        <v>130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367</v>
      </c>
      <c r="AF533">
        <v>696</v>
      </c>
      <c r="AJ533">
        <v>6</v>
      </c>
      <c r="AK533" t="str">
        <f t="shared" si="8"/>
        <v>HP375-5000</v>
      </c>
    </row>
    <row r="534" spans="1:37">
      <c r="A534" t="s">
        <v>944</v>
      </c>
      <c r="B534" t="s">
        <v>945</v>
      </c>
      <c r="C534" t="s">
        <v>110</v>
      </c>
      <c r="D534" t="s">
        <v>946</v>
      </c>
      <c r="E534">
        <v>50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35</v>
      </c>
      <c r="L534">
        <v>12</v>
      </c>
      <c r="M534">
        <v>0</v>
      </c>
      <c r="N534">
        <v>0</v>
      </c>
      <c r="O534">
        <v>0</v>
      </c>
      <c r="P534">
        <v>0</v>
      </c>
      <c r="Q534">
        <v>35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32</v>
      </c>
      <c r="AJ534">
        <v>4.91</v>
      </c>
      <c r="AK534" t="str">
        <f t="shared" si="8"/>
        <v>HP383-5000</v>
      </c>
    </row>
    <row r="535" spans="1:37">
      <c r="A535" t="s">
        <v>947</v>
      </c>
      <c r="B535" t="s">
        <v>948</v>
      </c>
      <c r="C535" t="s">
        <v>329</v>
      </c>
      <c r="D535" t="s">
        <v>949</v>
      </c>
      <c r="E535">
        <v>50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42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42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J535">
        <v>3.92</v>
      </c>
      <c r="AK535" t="str">
        <f t="shared" si="8"/>
        <v>HP391-5000</v>
      </c>
    </row>
    <row r="536" spans="1:37">
      <c r="A536" t="s">
        <v>950</v>
      </c>
      <c r="B536" t="s">
        <v>948</v>
      </c>
      <c r="C536" t="s">
        <v>329</v>
      </c>
      <c r="D536" t="s">
        <v>949</v>
      </c>
      <c r="E536">
        <v>50</v>
      </c>
      <c r="F536">
        <v>0</v>
      </c>
      <c r="G536">
        <v>0</v>
      </c>
      <c r="H536">
        <v>0</v>
      </c>
      <c r="I536">
        <v>40</v>
      </c>
      <c r="J536">
        <v>20</v>
      </c>
      <c r="K536">
        <v>81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81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238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238</v>
      </c>
      <c r="AF536">
        <v>0</v>
      </c>
      <c r="AJ536">
        <v>3.73</v>
      </c>
      <c r="AK536" t="str">
        <f t="shared" si="8"/>
        <v>HP391-6200</v>
      </c>
    </row>
    <row r="537" spans="1:37">
      <c r="A537" t="s">
        <v>951</v>
      </c>
      <c r="B537" t="s">
        <v>952</v>
      </c>
      <c r="C537" t="s">
        <v>110</v>
      </c>
      <c r="D537" t="s">
        <v>609</v>
      </c>
      <c r="E537">
        <v>50</v>
      </c>
      <c r="F537">
        <v>3.5</v>
      </c>
      <c r="G537">
        <v>2</v>
      </c>
      <c r="H537">
        <v>57</v>
      </c>
      <c r="I537">
        <v>93</v>
      </c>
      <c r="J537">
        <v>76</v>
      </c>
      <c r="K537">
        <v>789</v>
      </c>
      <c r="L537">
        <v>33</v>
      </c>
      <c r="M537">
        <v>0</v>
      </c>
      <c r="N537">
        <v>2</v>
      </c>
      <c r="O537">
        <v>0</v>
      </c>
      <c r="P537">
        <v>0</v>
      </c>
      <c r="Q537">
        <v>787</v>
      </c>
      <c r="R537">
        <v>0</v>
      </c>
      <c r="S537">
        <v>0</v>
      </c>
      <c r="T537">
        <v>0</v>
      </c>
      <c r="U537">
        <v>171</v>
      </c>
      <c r="V537">
        <v>0</v>
      </c>
      <c r="W537">
        <v>384</v>
      </c>
      <c r="X537">
        <v>0</v>
      </c>
      <c r="Y537">
        <v>99</v>
      </c>
      <c r="Z537">
        <v>39</v>
      </c>
      <c r="AA537">
        <v>0</v>
      </c>
      <c r="AB537">
        <v>0</v>
      </c>
      <c r="AC537">
        <v>127</v>
      </c>
      <c r="AD537">
        <v>92</v>
      </c>
      <c r="AE537">
        <v>912</v>
      </c>
      <c r="AF537">
        <v>649</v>
      </c>
      <c r="AJ537">
        <v>4.24</v>
      </c>
      <c r="AK537" t="str">
        <f t="shared" si="8"/>
        <v>HP393-5000</v>
      </c>
    </row>
    <row r="538" spans="1:37">
      <c r="A538" t="s">
        <v>953</v>
      </c>
      <c r="B538" t="s">
        <v>952</v>
      </c>
      <c r="C538" t="s">
        <v>110</v>
      </c>
      <c r="D538" t="s">
        <v>609</v>
      </c>
      <c r="E538">
        <v>50</v>
      </c>
      <c r="F538">
        <v>2.7</v>
      </c>
      <c r="G538">
        <v>34</v>
      </c>
      <c r="H538">
        <v>24</v>
      </c>
      <c r="I538">
        <v>23</v>
      </c>
      <c r="J538">
        <v>20</v>
      </c>
      <c r="K538">
        <v>288</v>
      </c>
      <c r="L538">
        <v>35</v>
      </c>
      <c r="M538">
        <v>0</v>
      </c>
      <c r="N538">
        <v>28</v>
      </c>
      <c r="O538">
        <v>0</v>
      </c>
      <c r="P538">
        <v>0</v>
      </c>
      <c r="Q538">
        <v>260</v>
      </c>
      <c r="R538">
        <v>0</v>
      </c>
      <c r="S538">
        <v>71</v>
      </c>
      <c r="T538">
        <v>0</v>
      </c>
      <c r="U538">
        <v>0</v>
      </c>
      <c r="V538">
        <v>18</v>
      </c>
      <c r="W538">
        <v>51</v>
      </c>
      <c r="X538">
        <v>0</v>
      </c>
      <c r="Y538">
        <v>9</v>
      </c>
      <c r="Z538">
        <v>0</v>
      </c>
      <c r="AA538">
        <v>0</v>
      </c>
      <c r="AB538">
        <v>0</v>
      </c>
      <c r="AC538">
        <v>85</v>
      </c>
      <c r="AD538">
        <v>0</v>
      </c>
      <c r="AE538">
        <v>234</v>
      </c>
      <c r="AF538">
        <v>579</v>
      </c>
      <c r="AJ538">
        <v>3.38</v>
      </c>
      <c r="AK538" t="str">
        <f t="shared" si="8"/>
        <v>HP393-6200</v>
      </c>
    </row>
    <row r="539" spans="1:37">
      <c r="A539" t="s">
        <v>954</v>
      </c>
      <c r="B539" t="s">
        <v>955</v>
      </c>
      <c r="C539" t="s">
        <v>101</v>
      </c>
      <c r="D539" t="s">
        <v>956</v>
      </c>
      <c r="E539">
        <v>50</v>
      </c>
      <c r="F539">
        <v>0</v>
      </c>
      <c r="G539">
        <v>0</v>
      </c>
      <c r="H539">
        <v>0</v>
      </c>
      <c r="I539">
        <v>0</v>
      </c>
      <c r="J539">
        <v>15</v>
      </c>
      <c r="K539">
        <v>553</v>
      </c>
      <c r="L539">
        <v>10</v>
      </c>
      <c r="M539">
        <v>0</v>
      </c>
      <c r="N539">
        <v>0</v>
      </c>
      <c r="O539">
        <v>0</v>
      </c>
      <c r="P539">
        <v>0</v>
      </c>
      <c r="Q539">
        <v>553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180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180</v>
      </c>
      <c r="AF539">
        <v>35</v>
      </c>
      <c r="AJ539">
        <v>3.52</v>
      </c>
      <c r="AK539" t="str">
        <f t="shared" si="8"/>
        <v>HP409-5000</v>
      </c>
    </row>
    <row r="540" spans="1:37">
      <c r="A540" t="s">
        <v>957</v>
      </c>
      <c r="B540" t="s">
        <v>955</v>
      </c>
      <c r="C540" t="s">
        <v>101</v>
      </c>
      <c r="D540" t="s">
        <v>956</v>
      </c>
      <c r="E540">
        <v>50</v>
      </c>
      <c r="F540">
        <v>0</v>
      </c>
      <c r="G540">
        <v>0</v>
      </c>
      <c r="H540">
        <v>0</v>
      </c>
      <c r="I540">
        <v>0</v>
      </c>
      <c r="J540">
        <v>16</v>
      </c>
      <c r="K540">
        <v>171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171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195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195</v>
      </c>
      <c r="AF540">
        <v>0</v>
      </c>
      <c r="AJ540">
        <v>3.39</v>
      </c>
      <c r="AK540" t="str">
        <f t="shared" si="8"/>
        <v>HP409-6200</v>
      </c>
    </row>
    <row r="541" spans="1:37">
      <c r="A541" t="s">
        <v>958</v>
      </c>
      <c r="B541" t="s">
        <v>959</v>
      </c>
      <c r="C541" t="s">
        <v>68</v>
      </c>
      <c r="D541" t="s">
        <v>609</v>
      </c>
      <c r="E541">
        <v>85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197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197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J541">
        <v>2.0499999999999998</v>
      </c>
      <c r="AK541" t="str">
        <f t="shared" si="8"/>
        <v>HP417-5000</v>
      </c>
    </row>
    <row r="542" spans="1:37">
      <c r="A542" t="s">
        <v>960</v>
      </c>
      <c r="B542" t="s">
        <v>959</v>
      </c>
      <c r="C542" t="s">
        <v>68</v>
      </c>
      <c r="D542" t="s">
        <v>609</v>
      </c>
      <c r="E542">
        <v>85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112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112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J542">
        <v>4.2960000000000003</v>
      </c>
      <c r="AK542" t="str">
        <f t="shared" si="8"/>
        <v>HP417-6200</v>
      </c>
    </row>
    <row r="543" spans="1:37">
      <c r="A543" t="s">
        <v>961</v>
      </c>
      <c r="B543" t="s">
        <v>962</v>
      </c>
      <c r="C543" t="s">
        <v>68</v>
      </c>
      <c r="D543" t="s">
        <v>900</v>
      </c>
      <c r="E543">
        <v>50</v>
      </c>
      <c r="F543">
        <v>44.4</v>
      </c>
      <c r="G543">
        <v>0</v>
      </c>
      <c r="H543">
        <v>5</v>
      </c>
      <c r="I543">
        <v>48</v>
      </c>
      <c r="J543">
        <v>31</v>
      </c>
      <c r="K543">
        <v>948</v>
      </c>
      <c r="L543">
        <v>15</v>
      </c>
      <c r="M543">
        <v>0</v>
      </c>
      <c r="N543">
        <v>0</v>
      </c>
      <c r="O543">
        <v>0</v>
      </c>
      <c r="P543">
        <v>0</v>
      </c>
      <c r="Q543">
        <v>948</v>
      </c>
      <c r="R543">
        <v>0</v>
      </c>
      <c r="S543">
        <v>0</v>
      </c>
      <c r="T543">
        <v>0</v>
      </c>
      <c r="U543">
        <v>16</v>
      </c>
      <c r="V543">
        <v>134</v>
      </c>
      <c r="W543">
        <v>0</v>
      </c>
      <c r="X543">
        <v>139</v>
      </c>
      <c r="Y543">
        <v>0</v>
      </c>
      <c r="Z543">
        <v>0</v>
      </c>
      <c r="AA543">
        <v>0</v>
      </c>
      <c r="AB543">
        <v>78</v>
      </c>
      <c r="AC543">
        <v>0</v>
      </c>
      <c r="AD543">
        <v>0</v>
      </c>
      <c r="AE543">
        <v>367</v>
      </c>
      <c r="AF543">
        <v>414</v>
      </c>
      <c r="AJ543">
        <v>5.31</v>
      </c>
      <c r="AK543" t="str">
        <f t="shared" si="8"/>
        <v>HP427-6200</v>
      </c>
    </row>
    <row r="544" spans="1:37">
      <c r="A544" t="s">
        <v>963</v>
      </c>
      <c r="B544" t="s">
        <v>964</v>
      </c>
      <c r="C544" t="s">
        <v>101</v>
      </c>
      <c r="D544" t="s">
        <v>965</v>
      </c>
      <c r="E544">
        <v>50</v>
      </c>
      <c r="F544">
        <v>7.4</v>
      </c>
      <c r="G544">
        <v>0</v>
      </c>
      <c r="H544">
        <v>20</v>
      </c>
      <c r="I544">
        <v>16</v>
      </c>
      <c r="J544">
        <v>8</v>
      </c>
      <c r="K544">
        <v>599</v>
      </c>
      <c r="L544">
        <v>14</v>
      </c>
      <c r="M544">
        <v>0</v>
      </c>
      <c r="N544">
        <v>0</v>
      </c>
      <c r="O544">
        <v>0</v>
      </c>
      <c r="P544">
        <v>0</v>
      </c>
      <c r="Q544">
        <v>599</v>
      </c>
      <c r="R544">
        <v>0</v>
      </c>
      <c r="S544">
        <v>0</v>
      </c>
      <c r="T544">
        <v>61</v>
      </c>
      <c r="U544">
        <v>0</v>
      </c>
      <c r="V544">
        <v>32</v>
      </c>
      <c r="W544">
        <v>0</v>
      </c>
      <c r="X544">
        <v>0</v>
      </c>
      <c r="Y544">
        <v>0</v>
      </c>
      <c r="Z544">
        <v>8</v>
      </c>
      <c r="AA544">
        <v>0</v>
      </c>
      <c r="AB544">
        <v>0</v>
      </c>
      <c r="AC544">
        <v>0</v>
      </c>
      <c r="AD544">
        <v>0</v>
      </c>
      <c r="AE544">
        <v>101</v>
      </c>
      <c r="AF544">
        <v>475</v>
      </c>
      <c r="AJ544">
        <v>2.79</v>
      </c>
      <c r="AK544" t="str">
        <f t="shared" si="8"/>
        <v>HP431-5000</v>
      </c>
    </row>
    <row r="545" spans="1:37">
      <c r="A545" t="s">
        <v>966</v>
      </c>
      <c r="B545" t="s">
        <v>964</v>
      </c>
      <c r="C545" t="s">
        <v>68</v>
      </c>
      <c r="D545" t="s">
        <v>967</v>
      </c>
      <c r="E545">
        <v>50</v>
      </c>
      <c r="F545">
        <v>18.2</v>
      </c>
      <c r="G545">
        <v>1</v>
      </c>
      <c r="H545">
        <v>7</v>
      </c>
      <c r="I545">
        <v>12</v>
      </c>
      <c r="J545">
        <v>13</v>
      </c>
      <c r="K545">
        <v>486</v>
      </c>
      <c r="L545">
        <v>8</v>
      </c>
      <c r="M545">
        <v>0</v>
      </c>
      <c r="N545">
        <v>1</v>
      </c>
      <c r="O545">
        <v>0</v>
      </c>
      <c r="P545">
        <v>0</v>
      </c>
      <c r="Q545">
        <v>485</v>
      </c>
      <c r="R545">
        <v>0</v>
      </c>
      <c r="S545">
        <v>20</v>
      </c>
      <c r="T545">
        <v>0</v>
      </c>
      <c r="U545">
        <v>0</v>
      </c>
      <c r="V545">
        <v>51</v>
      </c>
      <c r="W545">
        <v>0</v>
      </c>
      <c r="X545">
        <v>0</v>
      </c>
      <c r="Y545">
        <v>46</v>
      </c>
      <c r="Z545">
        <v>19</v>
      </c>
      <c r="AA545">
        <v>0</v>
      </c>
      <c r="AB545">
        <v>23</v>
      </c>
      <c r="AC545">
        <v>0</v>
      </c>
      <c r="AD545">
        <v>0</v>
      </c>
      <c r="AE545">
        <v>159</v>
      </c>
      <c r="AF545">
        <v>302</v>
      </c>
      <c r="AJ545">
        <v>4.57</v>
      </c>
      <c r="AK545" t="str">
        <f t="shared" si="8"/>
        <v>HP431-6200</v>
      </c>
    </row>
    <row r="546" spans="1:37">
      <c r="A546" t="s">
        <v>968</v>
      </c>
      <c r="B546" t="s">
        <v>969</v>
      </c>
      <c r="C546" t="s">
        <v>101</v>
      </c>
      <c r="D546" t="s">
        <v>609</v>
      </c>
      <c r="E546">
        <v>65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793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793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3.702</v>
      </c>
      <c r="AK546" t="str">
        <f t="shared" si="8"/>
        <v>HP445-5000</v>
      </c>
    </row>
    <row r="547" spans="1:37">
      <c r="A547" t="s">
        <v>970</v>
      </c>
      <c r="B547" t="s">
        <v>969</v>
      </c>
      <c r="C547" t="s">
        <v>101</v>
      </c>
      <c r="D547" t="s">
        <v>609</v>
      </c>
      <c r="E547">
        <v>65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62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62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J547">
        <v>3.49</v>
      </c>
      <c r="AK547" t="str">
        <f t="shared" si="8"/>
        <v>HP445-6200</v>
      </c>
    </row>
    <row r="548" spans="1:37">
      <c r="A548" t="s">
        <v>971</v>
      </c>
      <c r="B548" t="s">
        <v>972</v>
      </c>
      <c r="C548" t="s">
        <v>267</v>
      </c>
      <c r="D548" t="s">
        <v>609</v>
      </c>
      <c r="E548">
        <v>55</v>
      </c>
      <c r="F548">
        <v>5.7</v>
      </c>
      <c r="G548">
        <v>10</v>
      </c>
      <c r="H548">
        <v>31</v>
      </c>
      <c r="I548">
        <v>26</v>
      </c>
      <c r="J548">
        <v>33</v>
      </c>
      <c r="K548">
        <v>727</v>
      </c>
      <c r="L548">
        <v>11</v>
      </c>
      <c r="M548">
        <v>0</v>
      </c>
      <c r="N548">
        <v>8</v>
      </c>
      <c r="O548">
        <v>0</v>
      </c>
      <c r="P548">
        <v>0</v>
      </c>
      <c r="Q548">
        <v>719</v>
      </c>
      <c r="R548">
        <v>0</v>
      </c>
      <c r="S548">
        <v>63</v>
      </c>
      <c r="T548">
        <v>31</v>
      </c>
      <c r="U548">
        <v>0</v>
      </c>
      <c r="V548">
        <v>0</v>
      </c>
      <c r="W548">
        <v>0</v>
      </c>
      <c r="X548">
        <v>59</v>
      </c>
      <c r="Y548">
        <v>18</v>
      </c>
      <c r="Z548">
        <v>86</v>
      </c>
      <c r="AA548">
        <v>32</v>
      </c>
      <c r="AB548">
        <v>0</v>
      </c>
      <c r="AC548">
        <v>22</v>
      </c>
      <c r="AD548">
        <v>83</v>
      </c>
      <c r="AE548">
        <v>394</v>
      </c>
      <c r="AF548">
        <v>1425</v>
      </c>
      <c r="AJ548">
        <v>5.14</v>
      </c>
      <c r="AK548" t="str">
        <f t="shared" si="8"/>
        <v>HP451-5000</v>
      </c>
    </row>
    <row r="549" spans="1:37">
      <c r="A549" t="s">
        <v>973</v>
      </c>
      <c r="B549" t="s">
        <v>972</v>
      </c>
      <c r="C549" t="s">
        <v>267</v>
      </c>
      <c r="D549" t="s">
        <v>609</v>
      </c>
      <c r="E549">
        <v>55</v>
      </c>
      <c r="F549">
        <v>0</v>
      </c>
      <c r="G549">
        <v>26</v>
      </c>
      <c r="H549">
        <v>0</v>
      </c>
      <c r="I549">
        <v>0</v>
      </c>
      <c r="J549">
        <v>0</v>
      </c>
      <c r="K549">
        <v>1493</v>
      </c>
      <c r="L549">
        <v>12</v>
      </c>
      <c r="M549">
        <v>0</v>
      </c>
      <c r="N549">
        <v>22</v>
      </c>
      <c r="O549">
        <v>0</v>
      </c>
      <c r="P549">
        <v>0</v>
      </c>
      <c r="Q549">
        <v>1471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194</v>
      </c>
      <c r="AJ549">
        <v>7.1</v>
      </c>
      <c r="AK549" t="str">
        <f t="shared" si="8"/>
        <v>HP451-6200</v>
      </c>
    </row>
    <row r="550" spans="1:37">
      <c r="A550" t="s">
        <v>974</v>
      </c>
      <c r="B550" t="s">
        <v>975</v>
      </c>
      <c r="C550" t="s">
        <v>68</v>
      </c>
      <c r="D550" t="s">
        <v>976</v>
      </c>
      <c r="E550">
        <v>70</v>
      </c>
      <c r="F550">
        <v>0</v>
      </c>
      <c r="G550">
        <v>0</v>
      </c>
      <c r="H550">
        <v>0</v>
      </c>
      <c r="I550">
        <v>0</v>
      </c>
      <c r="J550">
        <v>74</v>
      </c>
      <c r="K550">
        <v>228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228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885</v>
      </c>
      <c r="AC550">
        <v>0</v>
      </c>
      <c r="AD550">
        <v>0</v>
      </c>
      <c r="AE550">
        <v>885</v>
      </c>
      <c r="AF550">
        <v>0</v>
      </c>
      <c r="AJ550">
        <v>1.88</v>
      </c>
      <c r="AK550" t="str">
        <f t="shared" si="8"/>
        <v>HP463-5000</v>
      </c>
    </row>
    <row r="551" spans="1:37">
      <c r="A551" t="s">
        <v>977</v>
      </c>
      <c r="B551" t="s">
        <v>975</v>
      </c>
      <c r="C551" t="s">
        <v>68</v>
      </c>
      <c r="D551" t="s">
        <v>978</v>
      </c>
      <c r="E551">
        <v>70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743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743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J551">
        <v>2.99</v>
      </c>
      <c r="AK551" t="str">
        <f t="shared" si="8"/>
        <v>HP463-6200</v>
      </c>
    </row>
    <row r="552" spans="1:37">
      <c r="A552" t="s">
        <v>979</v>
      </c>
      <c r="B552" t="s">
        <v>980</v>
      </c>
      <c r="C552" t="s">
        <v>68</v>
      </c>
      <c r="D552" t="s">
        <v>981</v>
      </c>
      <c r="E552">
        <v>50</v>
      </c>
      <c r="F552">
        <v>0</v>
      </c>
      <c r="G552">
        <v>0</v>
      </c>
      <c r="H552">
        <v>0</v>
      </c>
      <c r="I552">
        <v>0</v>
      </c>
      <c r="J552">
        <v>17</v>
      </c>
      <c r="K552">
        <v>341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341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200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200</v>
      </c>
      <c r="AF552">
        <v>0</v>
      </c>
      <c r="AJ552">
        <v>5.01</v>
      </c>
      <c r="AK552" t="str">
        <f t="shared" si="8"/>
        <v>HP473-6200</v>
      </c>
    </row>
    <row r="553" spans="1:37">
      <c r="A553" t="s">
        <v>982</v>
      </c>
      <c r="B553" t="s">
        <v>983</v>
      </c>
      <c r="C553" t="s">
        <v>101</v>
      </c>
      <c r="D553" t="s">
        <v>984</v>
      </c>
      <c r="E553">
        <v>50</v>
      </c>
      <c r="F553">
        <v>6.8</v>
      </c>
      <c r="G553">
        <v>25</v>
      </c>
      <c r="H553">
        <v>27</v>
      </c>
      <c r="I553">
        <v>13</v>
      </c>
      <c r="J553">
        <v>7</v>
      </c>
      <c r="K553">
        <v>741</v>
      </c>
      <c r="L553">
        <v>29</v>
      </c>
      <c r="M553">
        <v>0</v>
      </c>
      <c r="N553">
        <v>21</v>
      </c>
      <c r="O553">
        <v>0</v>
      </c>
      <c r="P553">
        <v>0</v>
      </c>
      <c r="Q553">
        <v>720</v>
      </c>
      <c r="R553">
        <v>0</v>
      </c>
      <c r="S553">
        <v>0</v>
      </c>
      <c r="T553">
        <v>69</v>
      </c>
      <c r="U553">
        <v>11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80</v>
      </c>
      <c r="AF553">
        <v>0</v>
      </c>
      <c r="AJ553">
        <v>3.42</v>
      </c>
      <c r="AK553" t="str">
        <f t="shared" si="8"/>
        <v>HP491-5000</v>
      </c>
    </row>
    <row r="554" spans="1:37">
      <c r="A554" t="s">
        <v>985</v>
      </c>
      <c r="B554" t="s">
        <v>986</v>
      </c>
      <c r="C554" t="s">
        <v>68</v>
      </c>
      <c r="D554" t="s">
        <v>987</v>
      </c>
      <c r="E554">
        <v>50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4219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4219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463</v>
      </c>
      <c r="AJ554">
        <v>5.4</v>
      </c>
      <c r="AK554" t="str">
        <f t="shared" si="8"/>
        <v>HP495-5000</v>
      </c>
    </row>
    <row r="555" spans="1:37">
      <c r="A555" t="s">
        <v>988</v>
      </c>
      <c r="B555" t="s">
        <v>986</v>
      </c>
      <c r="C555" t="s">
        <v>68</v>
      </c>
      <c r="D555" t="s">
        <v>987</v>
      </c>
      <c r="E555">
        <v>50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894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894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5.4</v>
      </c>
      <c r="AK555" t="str">
        <f t="shared" si="8"/>
        <v>HP495-6200</v>
      </c>
    </row>
    <row r="556" spans="1:37">
      <c r="A556" t="s">
        <v>989</v>
      </c>
      <c r="B556" t="s">
        <v>990</v>
      </c>
      <c r="C556" t="s">
        <v>991</v>
      </c>
      <c r="D556" t="s">
        <v>992</v>
      </c>
      <c r="E556">
        <v>50</v>
      </c>
      <c r="F556">
        <v>0</v>
      </c>
      <c r="G556">
        <v>14</v>
      </c>
      <c r="H556">
        <v>0</v>
      </c>
      <c r="I556">
        <v>11</v>
      </c>
      <c r="J556">
        <v>9</v>
      </c>
      <c r="K556">
        <v>3705</v>
      </c>
      <c r="L556">
        <v>0</v>
      </c>
      <c r="M556">
        <v>0</v>
      </c>
      <c r="N556">
        <v>12</v>
      </c>
      <c r="O556">
        <v>0</v>
      </c>
      <c r="P556">
        <v>0</v>
      </c>
      <c r="Q556">
        <v>3693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67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40</v>
      </c>
      <c r="AE556">
        <v>107</v>
      </c>
      <c r="AF556">
        <v>1177</v>
      </c>
      <c r="AJ556">
        <v>1.9</v>
      </c>
      <c r="AK556" t="str">
        <f t="shared" si="8"/>
        <v>HP548-5000</v>
      </c>
    </row>
    <row r="557" spans="1:37">
      <c r="A557" t="s">
        <v>993</v>
      </c>
      <c r="B557" t="s">
        <v>990</v>
      </c>
      <c r="C557" t="s">
        <v>991</v>
      </c>
      <c r="D557" t="s">
        <v>992</v>
      </c>
      <c r="E557">
        <v>50</v>
      </c>
      <c r="F557">
        <v>0</v>
      </c>
      <c r="G557">
        <v>0</v>
      </c>
      <c r="H557">
        <v>0</v>
      </c>
      <c r="I557">
        <v>8</v>
      </c>
      <c r="J557">
        <v>4</v>
      </c>
      <c r="K557">
        <v>333</v>
      </c>
      <c r="L557">
        <v>4</v>
      </c>
      <c r="M557">
        <v>0</v>
      </c>
      <c r="N557">
        <v>0</v>
      </c>
      <c r="O557">
        <v>0</v>
      </c>
      <c r="P557">
        <v>0</v>
      </c>
      <c r="Q557">
        <v>333</v>
      </c>
      <c r="R557">
        <v>0</v>
      </c>
      <c r="S557">
        <v>0</v>
      </c>
      <c r="T557">
        <v>0</v>
      </c>
      <c r="U557">
        <v>0</v>
      </c>
      <c r="V557">
        <v>45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45</v>
      </c>
      <c r="AF557">
        <v>6038</v>
      </c>
      <c r="AJ557">
        <v>1.7</v>
      </c>
      <c r="AK557" t="str">
        <f t="shared" si="8"/>
        <v>HP548-6200</v>
      </c>
    </row>
    <row r="558" spans="1:37">
      <c r="A558" t="s">
        <v>994</v>
      </c>
      <c r="B558" t="s">
        <v>995</v>
      </c>
      <c r="C558" t="s">
        <v>267</v>
      </c>
      <c r="D558" t="s">
        <v>996</v>
      </c>
      <c r="E558">
        <v>50</v>
      </c>
      <c r="F558">
        <v>0</v>
      </c>
      <c r="G558">
        <v>0</v>
      </c>
      <c r="H558">
        <v>0</v>
      </c>
      <c r="I558">
        <v>0</v>
      </c>
      <c r="J558">
        <v>2</v>
      </c>
      <c r="K558">
        <v>2740</v>
      </c>
      <c r="L558">
        <v>15</v>
      </c>
      <c r="M558">
        <v>0</v>
      </c>
      <c r="N558">
        <v>0</v>
      </c>
      <c r="O558">
        <v>0</v>
      </c>
      <c r="P558">
        <v>0</v>
      </c>
      <c r="Q558">
        <v>2740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27</v>
      </c>
      <c r="AB558">
        <v>0</v>
      </c>
      <c r="AC558">
        <v>0</v>
      </c>
      <c r="AD558">
        <v>0</v>
      </c>
      <c r="AE558">
        <v>27</v>
      </c>
      <c r="AF558">
        <v>1429</v>
      </c>
      <c r="AJ558">
        <v>3.1</v>
      </c>
      <c r="AK558" t="str">
        <f t="shared" si="8"/>
        <v>HP551-5000</v>
      </c>
    </row>
    <row r="559" spans="1:37">
      <c r="A559" t="s">
        <v>997</v>
      </c>
      <c r="B559" t="s">
        <v>995</v>
      </c>
      <c r="C559" t="s">
        <v>267</v>
      </c>
      <c r="D559" t="s">
        <v>998</v>
      </c>
      <c r="E559">
        <v>50</v>
      </c>
      <c r="F559">
        <v>10.8</v>
      </c>
      <c r="G559">
        <v>0</v>
      </c>
      <c r="H559">
        <v>28</v>
      </c>
      <c r="I559">
        <v>178</v>
      </c>
      <c r="J559">
        <v>89</v>
      </c>
      <c r="K559">
        <v>1227</v>
      </c>
      <c r="L559">
        <v>15</v>
      </c>
      <c r="M559">
        <v>0</v>
      </c>
      <c r="N559">
        <v>0</v>
      </c>
      <c r="O559">
        <v>0</v>
      </c>
      <c r="P559">
        <v>0</v>
      </c>
      <c r="Q559">
        <v>1227</v>
      </c>
      <c r="R559">
        <v>0</v>
      </c>
      <c r="S559">
        <v>85</v>
      </c>
      <c r="T559">
        <v>0</v>
      </c>
      <c r="U559">
        <v>0</v>
      </c>
      <c r="V559">
        <v>0</v>
      </c>
      <c r="W559">
        <v>0</v>
      </c>
      <c r="X559">
        <v>984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1069</v>
      </c>
      <c r="AF559">
        <v>1755</v>
      </c>
      <c r="AJ559">
        <v>2.99</v>
      </c>
      <c r="AK559" t="str">
        <f t="shared" si="8"/>
        <v>HP551-6200</v>
      </c>
    </row>
    <row r="560" spans="1:37">
      <c r="A560" t="s">
        <v>999</v>
      </c>
      <c r="B560" t="s">
        <v>1000</v>
      </c>
      <c r="C560" t="s">
        <v>267</v>
      </c>
      <c r="D560" t="s">
        <v>609</v>
      </c>
      <c r="E560">
        <v>70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544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544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1444</v>
      </c>
      <c r="AJ560">
        <v>2.6819999999999999</v>
      </c>
      <c r="AK560" t="str">
        <f t="shared" si="8"/>
        <v>HP557-5000</v>
      </c>
    </row>
    <row r="561" spans="1:37">
      <c r="A561" t="s">
        <v>1001</v>
      </c>
      <c r="B561" t="s">
        <v>1000</v>
      </c>
      <c r="C561" t="s">
        <v>267</v>
      </c>
      <c r="D561" t="s">
        <v>609</v>
      </c>
      <c r="E561">
        <v>70</v>
      </c>
      <c r="F561">
        <v>12</v>
      </c>
      <c r="G561">
        <v>0</v>
      </c>
      <c r="H561">
        <v>14</v>
      </c>
      <c r="I561">
        <v>7</v>
      </c>
      <c r="J561">
        <v>29</v>
      </c>
      <c r="K561">
        <v>654</v>
      </c>
      <c r="L561">
        <v>30</v>
      </c>
      <c r="M561">
        <v>0</v>
      </c>
      <c r="N561">
        <v>0</v>
      </c>
      <c r="O561">
        <v>0</v>
      </c>
      <c r="P561">
        <v>0</v>
      </c>
      <c r="Q561">
        <v>654</v>
      </c>
      <c r="R561">
        <v>0</v>
      </c>
      <c r="S561">
        <v>41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37</v>
      </c>
      <c r="Z561">
        <v>33</v>
      </c>
      <c r="AA561">
        <v>0</v>
      </c>
      <c r="AB561">
        <v>34</v>
      </c>
      <c r="AC561">
        <v>191</v>
      </c>
      <c r="AD561">
        <v>10</v>
      </c>
      <c r="AE561">
        <v>346</v>
      </c>
      <c r="AF561">
        <v>65</v>
      </c>
      <c r="AJ561">
        <v>4.9000000000000004</v>
      </c>
      <c r="AK561" t="str">
        <f t="shared" si="8"/>
        <v>HP557-6200</v>
      </c>
    </row>
    <row r="562" spans="1:37">
      <c r="A562" t="s">
        <v>1005</v>
      </c>
      <c r="B562" t="s">
        <v>1003</v>
      </c>
      <c r="C562" t="s">
        <v>101</v>
      </c>
      <c r="D562" t="s">
        <v>1004</v>
      </c>
      <c r="E562">
        <v>50</v>
      </c>
      <c r="F562">
        <v>6.2</v>
      </c>
      <c r="G562">
        <v>0</v>
      </c>
      <c r="H562">
        <v>781</v>
      </c>
      <c r="I562">
        <v>790</v>
      </c>
      <c r="J562">
        <v>804</v>
      </c>
      <c r="K562">
        <v>19360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19360</v>
      </c>
      <c r="R562">
        <v>0</v>
      </c>
      <c r="S562">
        <v>2344</v>
      </c>
      <c r="T562">
        <v>0</v>
      </c>
      <c r="U562">
        <v>0</v>
      </c>
      <c r="V562">
        <v>2394</v>
      </c>
      <c r="W562">
        <v>0</v>
      </c>
      <c r="X562">
        <v>0</v>
      </c>
      <c r="Y562">
        <v>0</v>
      </c>
      <c r="Z562">
        <v>60</v>
      </c>
      <c r="AA562">
        <v>1182</v>
      </c>
      <c r="AB562">
        <v>0</v>
      </c>
      <c r="AC562">
        <v>1249</v>
      </c>
      <c r="AD562">
        <v>2424</v>
      </c>
      <c r="AE562">
        <v>9653</v>
      </c>
      <c r="AF562">
        <v>11602</v>
      </c>
      <c r="AJ562">
        <v>3.01</v>
      </c>
      <c r="AK562" t="str">
        <f t="shared" si="8"/>
        <v>HP563-6200</v>
      </c>
    </row>
    <row r="563" spans="1:37">
      <c r="A563" t="s">
        <v>1006</v>
      </c>
      <c r="B563" t="s">
        <v>1007</v>
      </c>
      <c r="C563" t="s">
        <v>1558</v>
      </c>
      <c r="D563" t="s">
        <v>1008</v>
      </c>
      <c r="E563">
        <v>50</v>
      </c>
      <c r="F563">
        <v>-0.2</v>
      </c>
      <c r="G563">
        <v>181</v>
      </c>
      <c r="H563">
        <v>209</v>
      </c>
      <c r="I563">
        <v>210</v>
      </c>
      <c r="J563">
        <v>362</v>
      </c>
      <c r="K563">
        <v>0</v>
      </c>
      <c r="L563">
        <v>376</v>
      </c>
      <c r="M563">
        <v>0</v>
      </c>
      <c r="N563">
        <v>151</v>
      </c>
      <c r="O563">
        <v>0</v>
      </c>
      <c r="P563">
        <v>0</v>
      </c>
      <c r="Q563">
        <v>-151</v>
      </c>
      <c r="R563">
        <v>0</v>
      </c>
      <c r="S563">
        <v>478</v>
      </c>
      <c r="T563">
        <v>148</v>
      </c>
      <c r="U563">
        <v>0</v>
      </c>
      <c r="V563">
        <v>292</v>
      </c>
      <c r="W563">
        <v>202</v>
      </c>
      <c r="X563">
        <v>140</v>
      </c>
      <c r="Y563">
        <v>182</v>
      </c>
      <c r="Z563">
        <v>371</v>
      </c>
      <c r="AA563">
        <v>204</v>
      </c>
      <c r="AB563">
        <v>300</v>
      </c>
      <c r="AC563">
        <v>1851</v>
      </c>
      <c r="AD563">
        <v>171</v>
      </c>
      <c r="AE563">
        <v>4339</v>
      </c>
      <c r="AF563">
        <v>3101</v>
      </c>
      <c r="AG563" t="s">
        <v>7482</v>
      </c>
      <c r="AH563">
        <v>1</v>
      </c>
      <c r="AI563">
        <v>1437</v>
      </c>
      <c r="AJ563">
        <v>2.31</v>
      </c>
      <c r="AK563" t="str">
        <f t="shared" si="8"/>
        <v>HP565-5000</v>
      </c>
    </row>
    <row r="564" spans="1:37">
      <c r="A564" t="s">
        <v>1009</v>
      </c>
      <c r="B564" t="s">
        <v>1007</v>
      </c>
      <c r="C564" t="s">
        <v>991</v>
      </c>
      <c r="D564" t="s">
        <v>1008</v>
      </c>
      <c r="E564">
        <v>50</v>
      </c>
      <c r="F564">
        <v>2.1</v>
      </c>
      <c r="G564">
        <v>72</v>
      </c>
      <c r="H564">
        <v>43</v>
      </c>
      <c r="I564">
        <v>122</v>
      </c>
      <c r="J564">
        <v>188</v>
      </c>
      <c r="K564">
        <v>426</v>
      </c>
      <c r="L564">
        <v>120</v>
      </c>
      <c r="M564">
        <v>0</v>
      </c>
      <c r="N564">
        <v>60</v>
      </c>
      <c r="O564">
        <v>0</v>
      </c>
      <c r="P564">
        <v>0</v>
      </c>
      <c r="Q564">
        <v>366</v>
      </c>
      <c r="R564">
        <v>0</v>
      </c>
      <c r="S564">
        <v>0</v>
      </c>
      <c r="T564">
        <v>130</v>
      </c>
      <c r="U564">
        <v>0</v>
      </c>
      <c r="V564">
        <v>339</v>
      </c>
      <c r="W564">
        <v>156</v>
      </c>
      <c r="X564">
        <v>107</v>
      </c>
      <c r="Y564">
        <v>370</v>
      </c>
      <c r="Z564">
        <v>338</v>
      </c>
      <c r="AA564">
        <v>299</v>
      </c>
      <c r="AB564">
        <v>238</v>
      </c>
      <c r="AC564">
        <v>0</v>
      </c>
      <c r="AD564">
        <v>284</v>
      </c>
      <c r="AE564">
        <v>2261</v>
      </c>
      <c r="AF564">
        <v>3343</v>
      </c>
      <c r="AJ564">
        <v>2.31</v>
      </c>
      <c r="AK564" t="str">
        <f t="shared" si="8"/>
        <v>HP565-6200</v>
      </c>
    </row>
    <row r="565" spans="1:37">
      <c r="A565" t="s">
        <v>3908</v>
      </c>
      <c r="B565" t="s">
        <v>1011</v>
      </c>
      <c r="C565" t="s">
        <v>101</v>
      </c>
      <c r="D565" t="s">
        <v>609</v>
      </c>
      <c r="E565">
        <v>75</v>
      </c>
      <c r="F565">
        <v>0</v>
      </c>
      <c r="G565">
        <v>0</v>
      </c>
      <c r="H565">
        <v>0</v>
      </c>
      <c r="I565">
        <v>0</v>
      </c>
      <c r="J565">
        <v>1</v>
      </c>
      <c r="K565">
        <v>979</v>
      </c>
      <c r="L565">
        <v>9</v>
      </c>
      <c r="M565">
        <v>0</v>
      </c>
      <c r="N565">
        <v>0</v>
      </c>
      <c r="O565">
        <v>0</v>
      </c>
      <c r="P565">
        <v>0</v>
      </c>
      <c r="Q565">
        <v>979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17</v>
      </c>
      <c r="AD565">
        <v>0</v>
      </c>
      <c r="AE565">
        <v>17</v>
      </c>
      <c r="AF565">
        <v>0</v>
      </c>
      <c r="AJ565">
        <v>4.45</v>
      </c>
      <c r="AK565" t="str">
        <f t="shared" si="8"/>
        <v>HP568-5000</v>
      </c>
    </row>
    <row r="566" spans="1:37">
      <c r="A566" t="s">
        <v>1010</v>
      </c>
      <c r="B566" t="s">
        <v>1011</v>
      </c>
      <c r="C566" t="s">
        <v>101</v>
      </c>
      <c r="D566" t="s">
        <v>609</v>
      </c>
      <c r="E566">
        <v>75</v>
      </c>
      <c r="F566">
        <v>0</v>
      </c>
      <c r="G566">
        <v>0</v>
      </c>
      <c r="H566">
        <v>0</v>
      </c>
      <c r="I566">
        <v>0</v>
      </c>
      <c r="J566">
        <v>4</v>
      </c>
      <c r="K566">
        <v>1197</v>
      </c>
      <c r="L566">
        <v>33</v>
      </c>
      <c r="M566">
        <v>0</v>
      </c>
      <c r="N566">
        <v>0</v>
      </c>
      <c r="O566">
        <v>0</v>
      </c>
      <c r="P566">
        <v>0</v>
      </c>
      <c r="Q566">
        <v>1197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51</v>
      </c>
      <c r="AE566">
        <v>51</v>
      </c>
      <c r="AF566">
        <v>0</v>
      </c>
      <c r="AJ566">
        <v>4.45</v>
      </c>
      <c r="AK566" t="str">
        <f t="shared" si="8"/>
        <v>HP568-6200</v>
      </c>
    </row>
    <row r="567" spans="1:37">
      <c r="A567" t="s">
        <v>1012</v>
      </c>
      <c r="B567" t="s">
        <v>1013</v>
      </c>
      <c r="C567" t="s">
        <v>68</v>
      </c>
      <c r="D567" t="s">
        <v>609</v>
      </c>
      <c r="E567">
        <v>65</v>
      </c>
      <c r="F567">
        <v>0</v>
      </c>
      <c r="G567">
        <v>0</v>
      </c>
      <c r="H567">
        <v>0</v>
      </c>
      <c r="I567">
        <v>0</v>
      </c>
      <c r="J567">
        <v>7</v>
      </c>
      <c r="K567">
        <v>386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386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80</v>
      </c>
      <c r="AA567">
        <v>0</v>
      </c>
      <c r="AB567">
        <v>0</v>
      </c>
      <c r="AC567">
        <v>0</v>
      </c>
      <c r="AD567">
        <v>0</v>
      </c>
      <c r="AE567">
        <v>80</v>
      </c>
      <c r="AF567">
        <v>0</v>
      </c>
      <c r="AJ567">
        <v>5.0999999999999996</v>
      </c>
      <c r="AK567" t="str">
        <f t="shared" si="8"/>
        <v>HP569-5000</v>
      </c>
    </row>
    <row r="568" spans="1:37">
      <c r="A568" t="s">
        <v>1014</v>
      </c>
      <c r="B568" t="s">
        <v>1015</v>
      </c>
      <c r="C568" t="s">
        <v>68</v>
      </c>
      <c r="D568" t="s">
        <v>1016</v>
      </c>
      <c r="E568">
        <v>65</v>
      </c>
      <c r="F568">
        <v>0</v>
      </c>
      <c r="G568">
        <v>0</v>
      </c>
      <c r="H568">
        <v>0</v>
      </c>
      <c r="I568">
        <v>0</v>
      </c>
      <c r="J568">
        <v>46</v>
      </c>
      <c r="K568">
        <v>1222</v>
      </c>
      <c r="L568">
        <v>24</v>
      </c>
      <c r="M568">
        <v>0</v>
      </c>
      <c r="N568">
        <v>0</v>
      </c>
      <c r="O568">
        <v>0</v>
      </c>
      <c r="P568">
        <v>0</v>
      </c>
      <c r="Q568">
        <v>1222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546</v>
      </c>
      <c r="AE568">
        <v>546</v>
      </c>
      <c r="AF568">
        <v>558</v>
      </c>
      <c r="AJ568">
        <v>5.21</v>
      </c>
      <c r="AK568" t="str">
        <f t="shared" si="8"/>
        <v>HP596-5000</v>
      </c>
    </row>
    <row r="569" spans="1:37">
      <c r="A569" t="s">
        <v>1017</v>
      </c>
      <c r="B569" t="s">
        <v>1018</v>
      </c>
      <c r="C569" t="s">
        <v>267</v>
      </c>
      <c r="D569" t="s">
        <v>1019</v>
      </c>
      <c r="E569">
        <v>65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29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29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J569">
        <v>3.62</v>
      </c>
      <c r="AK569" t="str">
        <f t="shared" si="8"/>
        <v>HP597-6200</v>
      </c>
    </row>
    <row r="570" spans="1:37">
      <c r="A570" t="s">
        <v>1023</v>
      </c>
      <c r="B570" t="s">
        <v>1021</v>
      </c>
      <c r="C570" t="s">
        <v>68</v>
      </c>
      <c r="D570" t="s">
        <v>1024</v>
      </c>
      <c r="E570">
        <v>65</v>
      </c>
      <c r="F570">
        <v>0</v>
      </c>
      <c r="G570">
        <v>0</v>
      </c>
      <c r="H570">
        <v>0</v>
      </c>
      <c r="I570">
        <v>0</v>
      </c>
      <c r="J570">
        <v>70</v>
      </c>
      <c r="K570">
        <v>740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740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243</v>
      </c>
      <c r="Z570">
        <v>0</v>
      </c>
      <c r="AA570">
        <v>0</v>
      </c>
      <c r="AB570">
        <v>0</v>
      </c>
      <c r="AC570">
        <v>0</v>
      </c>
      <c r="AD570">
        <v>598</v>
      </c>
      <c r="AE570">
        <v>841</v>
      </c>
      <c r="AF570">
        <v>0</v>
      </c>
      <c r="AJ570">
        <v>5.53</v>
      </c>
      <c r="AK570" t="str">
        <f t="shared" si="8"/>
        <v>HP599-6200</v>
      </c>
    </row>
    <row r="571" spans="1:37">
      <c r="A571" t="s">
        <v>1025</v>
      </c>
      <c r="B571" t="s">
        <v>1026</v>
      </c>
      <c r="C571" t="s">
        <v>1027</v>
      </c>
      <c r="D571" t="s">
        <v>1028</v>
      </c>
      <c r="E571">
        <v>43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2419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2419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J571">
        <v>4.09</v>
      </c>
      <c r="AK571" t="str">
        <f t="shared" si="8"/>
        <v>HP681-5000</v>
      </c>
    </row>
    <row r="572" spans="1:37">
      <c r="A572" t="s">
        <v>1029</v>
      </c>
      <c r="B572" t="s">
        <v>1026</v>
      </c>
      <c r="C572" t="s">
        <v>1027</v>
      </c>
      <c r="D572" t="s">
        <v>609</v>
      </c>
      <c r="E572">
        <v>43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436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436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J572">
        <v>4.96</v>
      </c>
      <c r="AK572" t="str">
        <f t="shared" si="8"/>
        <v>HP681-6200</v>
      </c>
    </row>
    <row r="573" spans="1:37">
      <c r="A573" t="s">
        <v>1030</v>
      </c>
      <c r="B573" t="s">
        <v>1031</v>
      </c>
      <c r="C573" t="s">
        <v>1027</v>
      </c>
      <c r="D573" t="s">
        <v>1032</v>
      </c>
      <c r="E573">
        <v>40</v>
      </c>
      <c r="F573">
        <v>0</v>
      </c>
      <c r="G573">
        <v>0</v>
      </c>
      <c r="H573">
        <v>0</v>
      </c>
      <c r="I573">
        <v>0</v>
      </c>
      <c r="J573">
        <v>7</v>
      </c>
      <c r="K573">
        <v>544</v>
      </c>
      <c r="L573">
        <v>8</v>
      </c>
      <c r="M573">
        <v>0</v>
      </c>
      <c r="N573">
        <v>0</v>
      </c>
      <c r="O573">
        <v>0</v>
      </c>
      <c r="P573">
        <v>0</v>
      </c>
      <c r="Q573">
        <v>544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24</v>
      </c>
      <c r="Z573">
        <v>0</v>
      </c>
      <c r="AA573">
        <v>0</v>
      </c>
      <c r="AB573">
        <v>0</v>
      </c>
      <c r="AC573">
        <v>0</v>
      </c>
      <c r="AD573">
        <v>56</v>
      </c>
      <c r="AE573">
        <v>80</v>
      </c>
      <c r="AF573">
        <v>66</v>
      </c>
      <c r="AJ573">
        <v>4.4000000000000004</v>
      </c>
      <c r="AK573" t="str">
        <f t="shared" si="8"/>
        <v>HP682-5000</v>
      </c>
    </row>
    <row r="574" spans="1:37">
      <c r="A574" t="s">
        <v>1033</v>
      </c>
      <c r="B574" t="s">
        <v>1031</v>
      </c>
      <c r="C574" t="s">
        <v>1027</v>
      </c>
      <c r="D574" t="s">
        <v>1034</v>
      </c>
      <c r="E574">
        <v>40</v>
      </c>
      <c r="F574">
        <v>0</v>
      </c>
      <c r="G574">
        <v>0</v>
      </c>
      <c r="H574">
        <v>0</v>
      </c>
      <c r="I574">
        <v>2</v>
      </c>
      <c r="J574">
        <v>1</v>
      </c>
      <c r="K574">
        <v>1467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1467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9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9</v>
      </c>
      <c r="AF574">
        <v>44</v>
      </c>
      <c r="AJ574">
        <v>4.5999999999999996</v>
      </c>
      <c r="AK574" t="str">
        <f t="shared" si="8"/>
        <v>HP682-6200</v>
      </c>
    </row>
    <row r="575" spans="1:37">
      <c r="A575" t="s">
        <v>1035</v>
      </c>
      <c r="B575" t="s">
        <v>1036</v>
      </c>
      <c r="C575" t="s">
        <v>313</v>
      </c>
      <c r="D575" t="s">
        <v>1037</v>
      </c>
      <c r="E575">
        <v>50</v>
      </c>
      <c r="F575">
        <v>0</v>
      </c>
      <c r="G575">
        <v>0</v>
      </c>
      <c r="H575">
        <v>0</v>
      </c>
      <c r="I575">
        <v>6</v>
      </c>
      <c r="J575">
        <v>3</v>
      </c>
      <c r="K575">
        <v>1439</v>
      </c>
      <c r="L575">
        <v>13</v>
      </c>
      <c r="M575">
        <v>0</v>
      </c>
      <c r="N575">
        <v>0</v>
      </c>
      <c r="O575">
        <v>0</v>
      </c>
      <c r="P575">
        <v>0</v>
      </c>
      <c r="Q575">
        <v>1439</v>
      </c>
      <c r="R575">
        <v>0</v>
      </c>
      <c r="S575">
        <v>0</v>
      </c>
      <c r="T575">
        <v>0</v>
      </c>
      <c r="U575">
        <v>0</v>
      </c>
      <c r="V575">
        <v>34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34</v>
      </c>
      <c r="AF575">
        <v>0</v>
      </c>
      <c r="AJ575">
        <v>5.41</v>
      </c>
      <c r="AK575" t="str">
        <f t="shared" si="8"/>
        <v>HP683-5000</v>
      </c>
    </row>
    <row r="576" spans="1:37">
      <c r="A576" t="s">
        <v>1038</v>
      </c>
      <c r="B576" t="s">
        <v>1036</v>
      </c>
      <c r="C576" t="s">
        <v>313</v>
      </c>
      <c r="D576" t="s">
        <v>609</v>
      </c>
      <c r="E576">
        <v>50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2202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2202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J576">
        <v>5.16</v>
      </c>
      <c r="AK576" t="str">
        <f t="shared" si="8"/>
        <v>HP683-6200</v>
      </c>
    </row>
    <row r="577" spans="1:37">
      <c r="A577" t="s">
        <v>1039</v>
      </c>
      <c r="B577" t="s">
        <v>1040</v>
      </c>
      <c r="C577" t="s">
        <v>313</v>
      </c>
      <c r="D577" t="s">
        <v>1037</v>
      </c>
      <c r="E577">
        <v>45</v>
      </c>
      <c r="F577">
        <v>0</v>
      </c>
      <c r="G577">
        <v>0</v>
      </c>
      <c r="H577">
        <v>0</v>
      </c>
      <c r="I577">
        <v>8</v>
      </c>
      <c r="J577">
        <v>110</v>
      </c>
      <c r="K577">
        <v>2401</v>
      </c>
      <c r="L577">
        <v>23</v>
      </c>
      <c r="M577">
        <v>0</v>
      </c>
      <c r="N577">
        <v>0</v>
      </c>
      <c r="O577">
        <v>0</v>
      </c>
      <c r="P577">
        <v>0</v>
      </c>
      <c r="Q577">
        <v>2401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47</v>
      </c>
      <c r="Y577">
        <v>478</v>
      </c>
      <c r="Z577">
        <v>748</v>
      </c>
      <c r="AA577">
        <v>0</v>
      </c>
      <c r="AB577">
        <v>0</v>
      </c>
      <c r="AC577">
        <v>0</v>
      </c>
      <c r="AD577">
        <v>44</v>
      </c>
      <c r="AE577">
        <v>1317</v>
      </c>
      <c r="AF577">
        <v>938</v>
      </c>
      <c r="AJ577">
        <v>5.9</v>
      </c>
      <c r="AK577" t="str">
        <f t="shared" si="8"/>
        <v>HP684-5000</v>
      </c>
    </row>
    <row r="578" spans="1:37">
      <c r="A578" t="s">
        <v>1041</v>
      </c>
      <c r="B578" t="s">
        <v>1040</v>
      </c>
      <c r="C578" t="s">
        <v>313</v>
      </c>
      <c r="D578" t="s">
        <v>609</v>
      </c>
      <c r="E578">
        <v>45</v>
      </c>
      <c r="F578">
        <v>85</v>
      </c>
      <c r="G578">
        <v>0</v>
      </c>
      <c r="H578">
        <v>7</v>
      </c>
      <c r="I578">
        <v>6</v>
      </c>
      <c r="J578">
        <v>16</v>
      </c>
      <c r="K578">
        <v>2267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2267</v>
      </c>
      <c r="R578">
        <v>0</v>
      </c>
      <c r="S578">
        <v>0</v>
      </c>
      <c r="T578">
        <v>20</v>
      </c>
      <c r="U578">
        <v>0</v>
      </c>
      <c r="V578">
        <v>16</v>
      </c>
      <c r="W578">
        <v>0</v>
      </c>
      <c r="X578">
        <v>0</v>
      </c>
      <c r="Y578">
        <v>0</v>
      </c>
      <c r="Z578">
        <v>110</v>
      </c>
      <c r="AA578">
        <v>0</v>
      </c>
      <c r="AB578">
        <v>41</v>
      </c>
      <c r="AC578">
        <v>0</v>
      </c>
      <c r="AD578">
        <v>0</v>
      </c>
      <c r="AE578">
        <v>187</v>
      </c>
      <c r="AF578">
        <v>909</v>
      </c>
      <c r="AJ578">
        <v>5.65</v>
      </c>
      <c r="AK578" t="str">
        <f t="shared" si="8"/>
        <v>HP684-6200</v>
      </c>
    </row>
    <row r="579" spans="1:37">
      <c r="A579" t="s">
        <v>1042</v>
      </c>
      <c r="B579" t="s">
        <v>1043</v>
      </c>
      <c r="C579" t="s">
        <v>313</v>
      </c>
      <c r="D579" t="s">
        <v>1037</v>
      </c>
      <c r="E579">
        <v>45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473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473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J579">
        <v>4.05</v>
      </c>
      <c r="AK579" t="str">
        <f t="shared" si="8"/>
        <v>HP686-5000</v>
      </c>
    </row>
    <row r="580" spans="1:37">
      <c r="A580" t="s">
        <v>1047</v>
      </c>
      <c r="B580" t="s">
        <v>1045</v>
      </c>
      <c r="C580" t="s">
        <v>275</v>
      </c>
      <c r="D580" t="s">
        <v>1048</v>
      </c>
      <c r="E580">
        <v>43</v>
      </c>
      <c r="F580">
        <v>1.1000000000000001</v>
      </c>
      <c r="G580">
        <v>0</v>
      </c>
      <c r="H580">
        <v>11</v>
      </c>
      <c r="I580">
        <v>8</v>
      </c>
      <c r="J580">
        <v>11</v>
      </c>
      <c r="K580">
        <v>50</v>
      </c>
      <c r="L580">
        <v>10</v>
      </c>
      <c r="M580">
        <v>0</v>
      </c>
      <c r="N580">
        <v>0</v>
      </c>
      <c r="O580">
        <v>0</v>
      </c>
      <c r="P580">
        <v>0</v>
      </c>
      <c r="Q580">
        <v>50</v>
      </c>
      <c r="R580">
        <v>0</v>
      </c>
      <c r="S580">
        <v>0</v>
      </c>
      <c r="T580">
        <v>0</v>
      </c>
      <c r="U580">
        <v>33</v>
      </c>
      <c r="V580">
        <v>16</v>
      </c>
      <c r="W580">
        <v>0</v>
      </c>
      <c r="X580">
        <v>0</v>
      </c>
      <c r="Y580">
        <v>0</v>
      </c>
      <c r="Z580">
        <v>56</v>
      </c>
      <c r="AA580">
        <v>0</v>
      </c>
      <c r="AB580">
        <v>0</v>
      </c>
      <c r="AC580">
        <v>22</v>
      </c>
      <c r="AD580">
        <v>0</v>
      </c>
      <c r="AE580">
        <v>127</v>
      </c>
      <c r="AF580">
        <v>0</v>
      </c>
      <c r="AJ580">
        <v>6.55</v>
      </c>
      <c r="AK580" t="str">
        <f t="shared" si="8"/>
        <v>HP687-6200</v>
      </c>
    </row>
    <row r="581" spans="1:37">
      <c r="A581" t="s">
        <v>1049</v>
      </c>
      <c r="B581" t="s">
        <v>1050</v>
      </c>
      <c r="C581" t="s">
        <v>275</v>
      </c>
      <c r="D581" t="s">
        <v>1051</v>
      </c>
      <c r="E581">
        <v>45</v>
      </c>
      <c r="F581">
        <v>4.0999999999999996</v>
      </c>
      <c r="G581">
        <v>0</v>
      </c>
      <c r="H581">
        <v>12</v>
      </c>
      <c r="I581">
        <v>8</v>
      </c>
      <c r="J581">
        <v>4</v>
      </c>
      <c r="K581">
        <v>199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199</v>
      </c>
      <c r="R581">
        <v>0</v>
      </c>
      <c r="S581">
        <v>0</v>
      </c>
      <c r="T581">
        <v>0</v>
      </c>
      <c r="U581">
        <v>36</v>
      </c>
      <c r="V581">
        <v>0</v>
      </c>
      <c r="W581">
        <v>0</v>
      </c>
      <c r="X581">
        <v>14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50</v>
      </c>
      <c r="AF581">
        <v>528</v>
      </c>
      <c r="AJ581">
        <v>5.95</v>
      </c>
      <c r="AK581" t="str">
        <f t="shared" ref="AK581:AK644" si="9">MID(A581,4,10)</f>
        <v>HP688-5000</v>
      </c>
    </row>
    <row r="582" spans="1:37">
      <c r="A582" t="s">
        <v>1052</v>
      </c>
      <c r="B582" t="s">
        <v>1050</v>
      </c>
      <c r="C582" t="s">
        <v>275</v>
      </c>
      <c r="D582" t="s">
        <v>1051</v>
      </c>
      <c r="E582">
        <v>45</v>
      </c>
      <c r="F582">
        <v>0</v>
      </c>
      <c r="G582">
        <v>0</v>
      </c>
      <c r="H582">
        <v>0</v>
      </c>
      <c r="I582">
        <v>12</v>
      </c>
      <c r="J582">
        <v>7</v>
      </c>
      <c r="K582">
        <v>926</v>
      </c>
      <c r="L582">
        <v>13</v>
      </c>
      <c r="M582">
        <v>0</v>
      </c>
      <c r="N582">
        <v>0</v>
      </c>
      <c r="O582">
        <v>0</v>
      </c>
      <c r="P582">
        <v>0</v>
      </c>
      <c r="Q582">
        <v>926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72</v>
      </c>
      <c r="Y582">
        <v>0</v>
      </c>
      <c r="Z582">
        <v>0</v>
      </c>
      <c r="AA582">
        <v>0</v>
      </c>
      <c r="AB582">
        <v>0</v>
      </c>
      <c r="AC582">
        <v>8</v>
      </c>
      <c r="AD582">
        <v>0</v>
      </c>
      <c r="AE582">
        <v>80</v>
      </c>
      <c r="AF582">
        <v>270</v>
      </c>
      <c r="AJ582">
        <v>6.86</v>
      </c>
      <c r="AK582" t="str">
        <f t="shared" si="9"/>
        <v>HP688-6200</v>
      </c>
    </row>
    <row r="583" spans="1:37">
      <c r="A583" t="s">
        <v>1053</v>
      </c>
      <c r="B583" t="s">
        <v>1054</v>
      </c>
      <c r="C583" t="s">
        <v>275</v>
      </c>
      <c r="D583" t="s">
        <v>609</v>
      </c>
      <c r="E583">
        <v>43</v>
      </c>
      <c r="F583">
        <v>1.1000000000000001</v>
      </c>
      <c r="G583">
        <v>7</v>
      </c>
      <c r="H583">
        <v>23</v>
      </c>
      <c r="I583">
        <v>30</v>
      </c>
      <c r="J583">
        <v>29</v>
      </c>
      <c r="K583">
        <v>106</v>
      </c>
      <c r="L583">
        <v>39</v>
      </c>
      <c r="M583">
        <v>0</v>
      </c>
      <c r="N583">
        <v>6</v>
      </c>
      <c r="O583">
        <v>0</v>
      </c>
      <c r="P583">
        <v>0</v>
      </c>
      <c r="Q583">
        <v>100</v>
      </c>
      <c r="R583">
        <v>0</v>
      </c>
      <c r="S583">
        <v>0</v>
      </c>
      <c r="T583">
        <v>69</v>
      </c>
      <c r="U583">
        <v>0</v>
      </c>
      <c r="V583">
        <v>10</v>
      </c>
      <c r="W583">
        <v>101</v>
      </c>
      <c r="X583">
        <v>0</v>
      </c>
      <c r="Y583">
        <v>69</v>
      </c>
      <c r="Z583">
        <v>16</v>
      </c>
      <c r="AA583">
        <v>70</v>
      </c>
      <c r="AB583">
        <v>0</v>
      </c>
      <c r="AC583">
        <v>0</v>
      </c>
      <c r="AD583">
        <v>18</v>
      </c>
      <c r="AE583">
        <v>353</v>
      </c>
      <c r="AF583">
        <v>316</v>
      </c>
      <c r="AJ583">
        <v>6.86</v>
      </c>
      <c r="AK583" t="str">
        <f t="shared" si="9"/>
        <v>HP689-5000</v>
      </c>
    </row>
    <row r="584" spans="1:37">
      <c r="A584" t="s">
        <v>1055</v>
      </c>
      <c r="B584" t="s">
        <v>1054</v>
      </c>
      <c r="C584" t="s">
        <v>275</v>
      </c>
      <c r="D584" t="s">
        <v>609</v>
      </c>
      <c r="E584">
        <v>43</v>
      </c>
      <c r="F584">
        <v>3.1</v>
      </c>
      <c r="G584">
        <v>5</v>
      </c>
      <c r="H584">
        <v>42</v>
      </c>
      <c r="I584">
        <v>56</v>
      </c>
      <c r="J584">
        <v>41</v>
      </c>
      <c r="K584">
        <v>518</v>
      </c>
      <c r="L584">
        <v>12</v>
      </c>
      <c r="M584">
        <v>0</v>
      </c>
      <c r="N584">
        <v>5</v>
      </c>
      <c r="O584">
        <v>0</v>
      </c>
      <c r="P584">
        <v>0</v>
      </c>
      <c r="Q584">
        <v>513</v>
      </c>
      <c r="R584">
        <v>0</v>
      </c>
      <c r="S584">
        <v>45</v>
      </c>
      <c r="T584">
        <v>80</v>
      </c>
      <c r="U584">
        <v>0</v>
      </c>
      <c r="V584">
        <v>82</v>
      </c>
      <c r="W584">
        <v>62</v>
      </c>
      <c r="X584">
        <v>69</v>
      </c>
      <c r="Y584">
        <v>96</v>
      </c>
      <c r="Z584">
        <v>0</v>
      </c>
      <c r="AA584">
        <v>36</v>
      </c>
      <c r="AB584">
        <v>0</v>
      </c>
      <c r="AC584">
        <v>0</v>
      </c>
      <c r="AD584">
        <v>17</v>
      </c>
      <c r="AE584">
        <v>487</v>
      </c>
      <c r="AF584">
        <v>74</v>
      </c>
      <c r="AJ584">
        <v>7.51</v>
      </c>
      <c r="AK584" t="str">
        <f t="shared" si="9"/>
        <v>HP689-6200</v>
      </c>
    </row>
    <row r="585" spans="1:37">
      <c r="A585" t="s">
        <v>1056</v>
      </c>
      <c r="B585" t="s">
        <v>1057</v>
      </c>
      <c r="C585" t="s">
        <v>275</v>
      </c>
      <c r="D585" t="s">
        <v>609</v>
      </c>
      <c r="E585">
        <v>50</v>
      </c>
      <c r="F585">
        <v>0</v>
      </c>
      <c r="G585">
        <v>0</v>
      </c>
      <c r="H585">
        <v>0</v>
      </c>
      <c r="I585">
        <v>0</v>
      </c>
      <c r="J585">
        <v>53</v>
      </c>
      <c r="K585">
        <v>1420</v>
      </c>
      <c r="L585">
        <v>2</v>
      </c>
      <c r="M585">
        <v>0</v>
      </c>
      <c r="N585">
        <v>0</v>
      </c>
      <c r="O585">
        <v>0</v>
      </c>
      <c r="P585">
        <v>0</v>
      </c>
      <c r="Q585">
        <v>1420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630</v>
      </c>
      <c r="AE585">
        <v>630</v>
      </c>
      <c r="AF585">
        <v>8</v>
      </c>
      <c r="AJ585">
        <v>5.84</v>
      </c>
      <c r="AK585" t="str">
        <f t="shared" si="9"/>
        <v>HP690-5000</v>
      </c>
    </row>
    <row r="586" spans="1:37">
      <c r="A586" t="s">
        <v>1058</v>
      </c>
      <c r="B586" t="s">
        <v>1059</v>
      </c>
      <c r="C586" t="s">
        <v>329</v>
      </c>
      <c r="D586" t="s">
        <v>1060</v>
      </c>
      <c r="E586">
        <v>50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493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493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J586">
        <v>5.0640000000000001</v>
      </c>
      <c r="AK586" t="str">
        <f t="shared" si="9"/>
        <v>HP707-5000</v>
      </c>
    </row>
    <row r="587" spans="1:37">
      <c r="A587" t="s">
        <v>1061</v>
      </c>
      <c r="B587" t="s">
        <v>1062</v>
      </c>
      <c r="C587" t="s">
        <v>110</v>
      </c>
      <c r="D587" t="s">
        <v>1063</v>
      </c>
      <c r="E587">
        <v>45</v>
      </c>
      <c r="F587">
        <v>0</v>
      </c>
      <c r="G587">
        <v>0</v>
      </c>
      <c r="H587">
        <v>0</v>
      </c>
      <c r="I587">
        <v>22</v>
      </c>
      <c r="J587">
        <v>29</v>
      </c>
      <c r="K587">
        <v>347</v>
      </c>
      <c r="L587">
        <v>22</v>
      </c>
      <c r="M587">
        <v>0</v>
      </c>
      <c r="N587">
        <v>0</v>
      </c>
      <c r="O587">
        <v>0</v>
      </c>
      <c r="P587">
        <v>0</v>
      </c>
      <c r="Q587">
        <v>347</v>
      </c>
      <c r="R587">
        <v>0</v>
      </c>
      <c r="S587">
        <v>0</v>
      </c>
      <c r="T587">
        <v>0</v>
      </c>
      <c r="U587">
        <v>0</v>
      </c>
      <c r="V587">
        <v>60</v>
      </c>
      <c r="W587">
        <v>0</v>
      </c>
      <c r="X587">
        <v>69</v>
      </c>
      <c r="Y587">
        <v>76</v>
      </c>
      <c r="Z587">
        <v>24</v>
      </c>
      <c r="AA587">
        <v>36</v>
      </c>
      <c r="AB587">
        <v>0</v>
      </c>
      <c r="AC587">
        <v>47</v>
      </c>
      <c r="AD587">
        <v>37</v>
      </c>
      <c r="AE587">
        <v>349</v>
      </c>
      <c r="AF587">
        <v>390</v>
      </c>
      <c r="AJ587">
        <v>4.1900000000000004</v>
      </c>
      <c r="AK587" t="str">
        <f t="shared" si="9"/>
        <v>HP767-5000</v>
      </c>
    </row>
    <row r="588" spans="1:37">
      <c r="A588" t="s">
        <v>1064</v>
      </c>
      <c r="B588" t="s">
        <v>1062</v>
      </c>
      <c r="C588" t="s">
        <v>110</v>
      </c>
      <c r="D588" t="s">
        <v>1063</v>
      </c>
      <c r="E588">
        <v>45</v>
      </c>
      <c r="F588">
        <v>0.2</v>
      </c>
      <c r="G588">
        <v>42</v>
      </c>
      <c r="H588">
        <v>50</v>
      </c>
      <c r="I588">
        <v>53</v>
      </c>
      <c r="J588">
        <v>59</v>
      </c>
      <c r="K588">
        <v>69</v>
      </c>
      <c r="L588">
        <v>0</v>
      </c>
      <c r="M588">
        <v>0</v>
      </c>
      <c r="N588">
        <v>35</v>
      </c>
      <c r="O588">
        <v>0</v>
      </c>
      <c r="P588">
        <v>0</v>
      </c>
      <c r="Q588">
        <v>34</v>
      </c>
      <c r="R588">
        <v>0</v>
      </c>
      <c r="S588">
        <v>95</v>
      </c>
      <c r="T588">
        <v>56</v>
      </c>
      <c r="U588">
        <v>0</v>
      </c>
      <c r="V588">
        <v>0</v>
      </c>
      <c r="W588">
        <v>37</v>
      </c>
      <c r="X588">
        <v>132</v>
      </c>
      <c r="Y588">
        <v>0</v>
      </c>
      <c r="Z588">
        <v>196</v>
      </c>
      <c r="AA588">
        <v>119</v>
      </c>
      <c r="AB588">
        <v>0</v>
      </c>
      <c r="AC588">
        <v>46</v>
      </c>
      <c r="AD588">
        <v>28</v>
      </c>
      <c r="AE588">
        <v>709</v>
      </c>
      <c r="AF588">
        <v>1813</v>
      </c>
      <c r="AJ588">
        <v>4.1900000000000004</v>
      </c>
      <c r="AK588" t="str">
        <f t="shared" si="9"/>
        <v>HP767-6200</v>
      </c>
    </row>
    <row r="589" spans="1:37">
      <c r="A589" t="s">
        <v>1065</v>
      </c>
      <c r="B589" t="s">
        <v>1066</v>
      </c>
      <c r="C589" t="s">
        <v>110</v>
      </c>
      <c r="D589" t="s">
        <v>900</v>
      </c>
      <c r="E589">
        <v>50</v>
      </c>
      <c r="F589">
        <v>13.9</v>
      </c>
      <c r="G589">
        <v>17</v>
      </c>
      <c r="H589">
        <v>5</v>
      </c>
      <c r="I589">
        <v>3</v>
      </c>
      <c r="J589">
        <v>18</v>
      </c>
      <c r="K589">
        <v>311</v>
      </c>
      <c r="L589">
        <v>0</v>
      </c>
      <c r="M589">
        <v>0</v>
      </c>
      <c r="N589">
        <v>14</v>
      </c>
      <c r="O589">
        <v>0</v>
      </c>
      <c r="P589">
        <v>0</v>
      </c>
      <c r="Q589">
        <v>297</v>
      </c>
      <c r="R589">
        <v>0</v>
      </c>
      <c r="S589">
        <v>16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72</v>
      </c>
      <c r="Z589">
        <v>0</v>
      </c>
      <c r="AA589">
        <v>0</v>
      </c>
      <c r="AB589">
        <v>0</v>
      </c>
      <c r="AC589">
        <v>129</v>
      </c>
      <c r="AD589">
        <v>0</v>
      </c>
      <c r="AE589">
        <v>217</v>
      </c>
      <c r="AF589">
        <v>195</v>
      </c>
      <c r="AJ589">
        <v>4.74</v>
      </c>
      <c r="AK589" t="str">
        <f t="shared" si="9"/>
        <v>HP819-5000</v>
      </c>
    </row>
    <row r="590" spans="1:37">
      <c r="A590" t="s">
        <v>1067</v>
      </c>
      <c r="B590" t="s">
        <v>1066</v>
      </c>
      <c r="C590" t="s">
        <v>110</v>
      </c>
      <c r="D590" t="s">
        <v>1068</v>
      </c>
      <c r="E590">
        <v>50</v>
      </c>
      <c r="F590">
        <v>0.9</v>
      </c>
      <c r="G590">
        <v>16</v>
      </c>
      <c r="H590">
        <v>24</v>
      </c>
      <c r="I590">
        <v>32</v>
      </c>
      <c r="J590">
        <v>32</v>
      </c>
      <c r="K590">
        <v>102</v>
      </c>
      <c r="L590">
        <v>17</v>
      </c>
      <c r="M590">
        <v>0</v>
      </c>
      <c r="N590">
        <v>13</v>
      </c>
      <c r="O590">
        <v>0</v>
      </c>
      <c r="P590">
        <v>0</v>
      </c>
      <c r="Q590">
        <v>89</v>
      </c>
      <c r="R590">
        <v>0</v>
      </c>
      <c r="S590">
        <v>19</v>
      </c>
      <c r="T590">
        <v>53</v>
      </c>
      <c r="U590">
        <v>0</v>
      </c>
      <c r="V590">
        <v>0</v>
      </c>
      <c r="W590">
        <v>119</v>
      </c>
      <c r="X590">
        <v>0</v>
      </c>
      <c r="Y590">
        <v>0</v>
      </c>
      <c r="Z590">
        <v>0</v>
      </c>
      <c r="AA590">
        <v>0</v>
      </c>
      <c r="AB590">
        <v>83</v>
      </c>
      <c r="AC590">
        <v>110</v>
      </c>
      <c r="AD590">
        <v>0</v>
      </c>
      <c r="AE590">
        <v>384</v>
      </c>
      <c r="AF590">
        <v>775</v>
      </c>
      <c r="AJ590">
        <v>4.74</v>
      </c>
      <c r="AK590" t="str">
        <f t="shared" si="9"/>
        <v>HP819-6200</v>
      </c>
    </row>
    <row r="591" spans="1:37">
      <c r="A591" t="s">
        <v>1069</v>
      </c>
      <c r="B591" t="s">
        <v>1070</v>
      </c>
      <c r="C591" t="s">
        <v>110</v>
      </c>
      <c r="D591" t="s">
        <v>1071</v>
      </c>
      <c r="E591">
        <v>50</v>
      </c>
      <c r="F591">
        <v>17.3</v>
      </c>
      <c r="G591">
        <v>40</v>
      </c>
      <c r="H591">
        <v>9</v>
      </c>
      <c r="I591">
        <v>5</v>
      </c>
      <c r="J591">
        <v>52</v>
      </c>
      <c r="K591">
        <v>679</v>
      </c>
      <c r="L591">
        <v>102</v>
      </c>
      <c r="M591">
        <v>0</v>
      </c>
      <c r="N591">
        <v>33</v>
      </c>
      <c r="O591">
        <v>0</v>
      </c>
      <c r="P591">
        <v>0</v>
      </c>
      <c r="Q591">
        <v>646</v>
      </c>
      <c r="R591">
        <v>0</v>
      </c>
      <c r="S591">
        <v>28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195</v>
      </c>
      <c r="AA591">
        <v>0</v>
      </c>
      <c r="AB591">
        <v>223</v>
      </c>
      <c r="AC591">
        <v>100</v>
      </c>
      <c r="AD591">
        <v>79</v>
      </c>
      <c r="AE591">
        <v>625</v>
      </c>
      <c r="AF591">
        <v>202</v>
      </c>
      <c r="AJ591">
        <v>4.74</v>
      </c>
      <c r="AK591" t="str">
        <f t="shared" si="9"/>
        <v>HP821-6200</v>
      </c>
    </row>
    <row r="592" spans="1:37">
      <c r="A592" t="s">
        <v>1072</v>
      </c>
      <c r="B592" t="s">
        <v>1073</v>
      </c>
      <c r="C592" t="s">
        <v>110</v>
      </c>
      <c r="D592" t="s">
        <v>609</v>
      </c>
      <c r="E592">
        <v>50</v>
      </c>
      <c r="F592">
        <v>0</v>
      </c>
      <c r="G592">
        <v>0</v>
      </c>
      <c r="H592">
        <v>0</v>
      </c>
      <c r="I592">
        <v>0</v>
      </c>
      <c r="J592">
        <v>1</v>
      </c>
      <c r="K592">
        <v>114</v>
      </c>
      <c r="L592">
        <v>4</v>
      </c>
      <c r="M592">
        <v>0</v>
      </c>
      <c r="N592">
        <v>0</v>
      </c>
      <c r="O592">
        <v>0</v>
      </c>
      <c r="P592">
        <v>0</v>
      </c>
      <c r="Q592">
        <v>114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8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8</v>
      </c>
      <c r="AF592">
        <v>0</v>
      </c>
      <c r="AJ592">
        <v>4.2699999999999996</v>
      </c>
      <c r="AK592" t="str">
        <f t="shared" si="9"/>
        <v>HP898-5000</v>
      </c>
    </row>
    <row r="593" spans="1:37">
      <c r="A593" t="s">
        <v>1074</v>
      </c>
      <c r="B593" t="s">
        <v>1073</v>
      </c>
      <c r="C593" t="s">
        <v>110</v>
      </c>
      <c r="D593" t="s">
        <v>609</v>
      </c>
      <c r="E593">
        <v>50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757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757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J593">
        <v>4.9000000000000004</v>
      </c>
      <c r="AK593" t="str">
        <f t="shared" si="9"/>
        <v>HP898-6200</v>
      </c>
    </row>
    <row r="594" spans="1:37">
      <c r="A594" t="s">
        <v>1077</v>
      </c>
      <c r="B594" t="s">
        <v>1078</v>
      </c>
      <c r="D594" t="s">
        <v>1079</v>
      </c>
      <c r="E594">
        <v>43</v>
      </c>
      <c r="F594">
        <v>0</v>
      </c>
      <c r="G594">
        <v>0</v>
      </c>
      <c r="H594">
        <v>0</v>
      </c>
      <c r="I594">
        <v>0</v>
      </c>
      <c r="J594">
        <v>11</v>
      </c>
      <c r="K594">
        <v>3351</v>
      </c>
      <c r="L594">
        <v>23</v>
      </c>
      <c r="M594">
        <v>0</v>
      </c>
      <c r="N594">
        <v>0</v>
      </c>
      <c r="O594">
        <v>0</v>
      </c>
      <c r="P594">
        <v>0</v>
      </c>
      <c r="Q594">
        <v>3351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133</v>
      </c>
      <c r="AA594">
        <v>0</v>
      </c>
      <c r="AB594">
        <v>0</v>
      </c>
      <c r="AC594">
        <v>0</v>
      </c>
      <c r="AD594">
        <v>0</v>
      </c>
      <c r="AE594">
        <v>133</v>
      </c>
      <c r="AF594">
        <v>115</v>
      </c>
      <c r="AJ594">
        <v>0</v>
      </c>
      <c r="AK594" t="str">
        <f t="shared" si="9"/>
        <v>K2014-6000</v>
      </c>
    </row>
    <row r="595" spans="1:37">
      <c r="A595" t="s">
        <v>6180</v>
      </c>
      <c r="B595" t="s">
        <v>1081</v>
      </c>
      <c r="C595" t="s">
        <v>110</v>
      </c>
      <c r="E595">
        <v>50</v>
      </c>
      <c r="F595">
        <v>0</v>
      </c>
      <c r="G595">
        <v>0</v>
      </c>
      <c r="H595">
        <v>9</v>
      </c>
      <c r="I595">
        <v>4</v>
      </c>
      <c r="J595">
        <v>2</v>
      </c>
      <c r="K595">
        <v>0</v>
      </c>
      <c r="L595">
        <v>3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26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26</v>
      </c>
      <c r="AF595">
        <v>4</v>
      </c>
      <c r="AJ595">
        <v>0</v>
      </c>
      <c r="AK595" t="str">
        <f t="shared" si="9"/>
        <v>K2019-5000</v>
      </c>
    </row>
    <row r="596" spans="1:37">
      <c r="A596" t="s">
        <v>1080</v>
      </c>
      <c r="B596" t="s">
        <v>1081</v>
      </c>
      <c r="C596" t="s">
        <v>110</v>
      </c>
      <c r="E596">
        <v>50</v>
      </c>
      <c r="F596">
        <v>18.399999999999999</v>
      </c>
      <c r="G596">
        <v>4</v>
      </c>
      <c r="H596">
        <v>5</v>
      </c>
      <c r="I596">
        <v>3</v>
      </c>
      <c r="J596">
        <v>1</v>
      </c>
      <c r="K596">
        <v>395</v>
      </c>
      <c r="L596">
        <v>0</v>
      </c>
      <c r="M596">
        <v>0</v>
      </c>
      <c r="N596">
        <v>4</v>
      </c>
      <c r="O596">
        <v>0</v>
      </c>
      <c r="P596">
        <v>0</v>
      </c>
      <c r="Q596">
        <v>391</v>
      </c>
      <c r="R596">
        <v>0</v>
      </c>
      <c r="S596">
        <v>16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16</v>
      </c>
      <c r="AF596">
        <v>0</v>
      </c>
      <c r="AJ596">
        <v>0</v>
      </c>
      <c r="AK596" t="str">
        <f t="shared" si="9"/>
        <v>K2019-6200</v>
      </c>
    </row>
    <row r="597" spans="1:37">
      <c r="A597" t="s">
        <v>1082</v>
      </c>
      <c r="B597" t="s">
        <v>1083</v>
      </c>
      <c r="C597" t="s">
        <v>110</v>
      </c>
      <c r="E597">
        <v>50</v>
      </c>
      <c r="F597">
        <v>0</v>
      </c>
      <c r="G597">
        <v>0</v>
      </c>
      <c r="H597">
        <v>18</v>
      </c>
      <c r="I597">
        <v>64</v>
      </c>
      <c r="J597">
        <v>34</v>
      </c>
      <c r="K597">
        <v>0</v>
      </c>
      <c r="L597">
        <v>14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53</v>
      </c>
      <c r="V597">
        <v>0</v>
      </c>
      <c r="W597">
        <v>131</v>
      </c>
      <c r="X597">
        <v>199</v>
      </c>
      <c r="Y597">
        <v>0</v>
      </c>
      <c r="Z597">
        <v>0</v>
      </c>
      <c r="AA597">
        <v>0</v>
      </c>
      <c r="AB597">
        <v>14</v>
      </c>
      <c r="AC597">
        <v>13</v>
      </c>
      <c r="AD597">
        <v>0</v>
      </c>
      <c r="AE597">
        <v>410</v>
      </c>
      <c r="AF597">
        <v>76</v>
      </c>
      <c r="AJ597">
        <v>1E-4</v>
      </c>
      <c r="AK597" t="str">
        <f t="shared" si="9"/>
        <v>K2023-5000</v>
      </c>
    </row>
    <row r="598" spans="1:37">
      <c r="A598" t="s">
        <v>1087</v>
      </c>
      <c r="B598" t="s">
        <v>1088</v>
      </c>
      <c r="E598">
        <v>65</v>
      </c>
      <c r="F598">
        <v>5.4</v>
      </c>
      <c r="G598">
        <v>0</v>
      </c>
      <c r="H598">
        <v>92</v>
      </c>
      <c r="I598">
        <v>46</v>
      </c>
      <c r="J598">
        <v>39</v>
      </c>
      <c r="K598">
        <v>1975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1975</v>
      </c>
      <c r="R598">
        <v>0</v>
      </c>
      <c r="S598">
        <v>275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190</v>
      </c>
      <c r="AA598">
        <v>0</v>
      </c>
      <c r="AB598">
        <v>0</v>
      </c>
      <c r="AC598">
        <v>0</v>
      </c>
      <c r="AD598">
        <v>0</v>
      </c>
      <c r="AE598">
        <v>465</v>
      </c>
      <c r="AF598">
        <v>378</v>
      </c>
      <c r="AJ598">
        <v>0</v>
      </c>
      <c r="AK598" t="str">
        <f t="shared" si="9"/>
        <v>K2037-5000</v>
      </c>
    </row>
    <row r="599" spans="1:37">
      <c r="A599" t="s">
        <v>1089</v>
      </c>
      <c r="B599" t="s">
        <v>1090</v>
      </c>
      <c r="C599" t="s">
        <v>68</v>
      </c>
      <c r="E599">
        <v>65</v>
      </c>
      <c r="F599">
        <v>8.4</v>
      </c>
      <c r="G599">
        <v>0</v>
      </c>
      <c r="H599">
        <v>5</v>
      </c>
      <c r="I599">
        <v>7</v>
      </c>
      <c r="J599">
        <v>3</v>
      </c>
      <c r="K599">
        <v>167</v>
      </c>
      <c r="L599">
        <v>14</v>
      </c>
      <c r="M599">
        <v>0</v>
      </c>
      <c r="N599">
        <v>0</v>
      </c>
      <c r="O599">
        <v>0</v>
      </c>
      <c r="P599">
        <v>0</v>
      </c>
      <c r="Q599">
        <v>167</v>
      </c>
      <c r="R599">
        <v>0</v>
      </c>
      <c r="S599">
        <v>0</v>
      </c>
      <c r="T599">
        <v>0</v>
      </c>
      <c r="U599">
        <v>15</v>
      </c>
      <c r="V599">
        <v>24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39</v>
      </c>
      <c r="AF599">
        <v>80</v>
      </c>
      <c r="AJ599">
        <v>0</v>
      </c>
      <c r="AK599" t="str">
        <f t="shared" si="9"/>
        <v>K2038-5000</v>
      </c>
    </row>
    <row r="600" spans="1:37">
      <c r="A600" t="s">
        <v>1091</v>
      </c>
      <c r="B600" t="s">
        <v>1092</v>
      </c>
      <c r="C600" t="s">
        <v>110</v>
      </c>
      <c r="E600">
        <v>43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181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181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J600">
        <v>1E-4</v>
      </c>
      <c r="AK600" t="str">
        <f t="shared" si="9"/>
        <v>K8019-6200</v>
      </c>
    </row>
    <row r="601" spans="1:37">
      <c r="A601" t="s">
        <v>1095</v>
      </c>
      <c r="B601" t="s">
        <v>1096</v>
      </c>
      <c r="C601" t="s">
        <v>110</v>
      </c>
      <c r="E601">
        <v>50</v>
      </c>
      <c r="F601">
        <v>1.2</v>
      </c>
      <c r="G601">
        <v>45</v>
      </c>
      <c r="H601">
        <v>107</v>
      </c>
      <c r="I601">
        <v>125</v>
      </c>
      <c r="J601">
        <v>63</v>
      </c>
      <c r="K601">
        <v>546</v>
      </c>
      <c r="L601">
        <v>128</v>
      </c>
      <c r="M601">
        <v>0</v>
      </c>
      <c r="N601">
        <v>37</v>
      </c>
      <c r="O601">
        <v>0</v>
      </c>
      <c r="P601">
        <v>0</v>
      </c>
      <c r="Q601">
        <v>509</v>
      </c>
      <c r="R601">
        <v>0</v>
      </c>
      <c r="S601">
        <v>17</v>
      </c>
      <c r="T601">
        <v>169</v>
      </c>
      <c r="U601">
        <v>136</v>
      </c>
      <c r="V601">
        <v>111</v>
      </c>
      <c r="W601">
        <v>316</v>
      </c>
      <c r="X601">
        <v>0</v>
      </c>
      <c r="Y601">
        <v>0</v>
      </c>
      <c r="Z601">
        <v>6</v>
      </c>
      <c r="AA601">
        <v>0</v>
      </c>
      <c r="AB601">
        <v>0</v>
      </c>
      <c r="AC601">
        <v>0</v>
      </c>
      <c r="AD601">
        <v>0</v>
      </c>
      <c r="AE601">
        <v>755</v>
      </c>
      <c r="AF601">
        <v>412</v>
      </c>
      <c r="AJ601">
        <v>6.67</v>
      </c>
      <c r="AK601" t="str">
        <f t="shared" si="9"/>
        <v>KM009-6200</v>
      </c>
    </row>
    <row r="602" spans="1:37">
      <c r="A602" t="s">
        <v>1097</v>
      </c>
      <c r="B602" t="s">
        <v>1098</v>
      </c>
      <c r="E602">
        <v>50</v>
      </c>
      <c r="F602">
        <v>0</v>
      </c>
      <c r="G602">
        <v>0</v>
      </c>
      <c r="H602">
        <v>0</v>
      </c>
      <c r="I602">
        <v>0</v>
      </c>
      <c r="J602">
        <v>1</v>
      </c>
      <c r="K602">
        <v>158</v>
      </c>
      <c r="L602">
        <v>9</v>
      </c>
      <c r="M602">
        <v>0</v>
      </c>
      <c r="N602">
        <v>0</v>
      </c>
      <c r="O602">
        <v>0</v>
      </c>
      <c r="P602">
        <v>0</v>
      </c>
      <c r="Q602">
        <v>158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12</v>
      </c>
      <c r="AA602">
        <v>0</v>
      </c>
      <c r="AB602">
        <v>0</v>
      </c>
      <c r="AC602">
        <v>0</v>
      </c>
      <c r="AD602">
        <v>0</v>
      </c>
      <c r="AE602">
        <v>12</v>
      </c>
      <c r="AF602">
        <v>0</v>
      </c>
      <c r="AJ602">
        <v>0</v>
      </c>
      <c r="AK602" t="str">
        <f t="shared" si="9"/>
        <v>KM010-5000</v>
      </c>
    </row>
    <row r="603" spans="1:37">
      <c r="A603" t="s">
        <v>1099</v>
      </c>
      <c r="B603" t="s">
        <v>1100</v>
      </c>
      <c r="C603" t="s">
        <v>110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1</v>
      </c>
      <c r="K603">
        <v>128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128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14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14</v>
      </c>
      <c r="AF603">
        <v>0</v>
      </c>
      <c r="AJ603">
        <v>6.12</v>
      </c>
      <c r="AK603" t="str">
        <f t="shared" si="9"/>
        <v>KM010-6200</v>
      </c>
    </row>
    <row r="604" spans="1:37">
      <c r="A604" t="s">
        <v>1101</v>
      </c>
      <c r="B604" t="s">
        <v>1102</v>
      </c>
      <c r="C604" t="s">
        <v>313</v>
      </c>
      <c r="E604">
        <v>43</v>
      </c>
      <c r="F604">
        <v>0</v>
      </c>
      <c r="G604">
        <v>0</v>
      </c>
      <c r="H604">
        <v>0</v>
      </c>
      <c r="I604">
        <v>196</v>
      </c>
      <c r="J604">
        <v>185</v>
      </c>
      <c r="K604">
        <v>5521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5521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1178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1041</v>
      </c>
      <c r="AE604">
        <v>2219</v>
      </c>
      <c r="AF604">
        <v>2216</v>
      </c>
      <c r="AJ604">
        <v>5.74</v>
      </c>
      <c r="AK604" t="str">
        <f t="shared" si="9"/>
        <v>KM036-6200</v>
      </c>
    </row>
    <row r="605" spans="1:37">
      <c r="A605" t="s">
        <v>1103</v>
      </c>
      <c r="B605" t="s">
        <v>1104</v>
      </c>
      <c r="C605" t="s">
        <v>110</v>
      </c>
      <c r="D605" t="s">
        <v>1105</v>
      </c>
      <c r="E605">
        <v>43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1881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1881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93</v>
      </c>
      <c r="AJ605">
        <v>4.25</v>
      </c>
      <c r="AK605" t="str">
        <f t="shared" si="9"/>
        <v>KM038-5000</v>
      </c>
    </row>
    <row r="606" spans="1:37">
      <c r="A606" t="s">
        <v>1106</v>
      </c>
      <c r="B606" t="s">
        <v>1104</v>
      </c>
      <c r="C606" t="s">
        <v>110</v>
      </c>
      <c r="D606" t="s">
        <v>1105</v>
      </c>
      <c r="E606">
        <v>43</v>
      </c>
      <c r="F606">
        <v>-0.4</v>
      </c>
      <c r="G606">
        <v>1266</v>
      </c>
      <c r="H606">
        <v>594</v>
      </c>
      <c r="I606">
        <v>372</v>
      </c>
      <c r="J606">
        <v>475</v>
      </c>
      <c r="K606">
        <v>0</v>
      </c>
      <c r="L606">
        <v>143</v>
      </c>
      <c r="M606">
        <v>284</v>
      </c>
      <c r="N606">
        <v>1055</v>
      </c>
      <c r="O606">
        <v>0</v>
      </c>
      <c r="P606">
        <v>0</v>
      </c>
      <c r="Q606">
        <v>-1055</v>
      </c>
      <c r="R606">
        <v>0</v>
      </c>
      <c r="S606">
        <v>638</v>
      </c>
      <c r="T606">
        <v>685</v>
      </c>
      <c r="U606">
        <v>458</v>
      </c>
      <c r="V606">
        <v>336</v>
      </c>
      <c r="W606">
        <v>117</v>
      </c>
      <c r="X606">
        <v>0</v>
      </c>
      <c r="Y606">
        <v>273</v>
      </c>
      <c r="Z606">
        <v>548</v>
      </c>
      <c r="AA606">
        <v>604</v>
      </c>
      <c r="AB606">
        <v>778</v>
      </c>
      <c r="AC606">
        <v>479</v>
      </c>
      <c r="AD606">
        <v>781</v>
      </c>
      <c r="AE606">
        <v>5697</v>
      </c>
      <c r="AF606">
        <v>3990</v>
      </c>
      <c r="AJ606">
        <v>4.47</v>
      </c>
      <c r="AK606" t="str">
        <f t="shared" si="9"/>
        <v>KM038-6200</v>
      </c>
    </row>
    <row r="607" spans="1:37">
      <c r="A607" t="s">
        <v>1107</v>
      </c>
      <c r="B607" t="s">
        <v>1108</v>
      </c>
      <c r="C607" t="s">
        <v>329</v>
      </c>
      <c r="D607" t="s">
        <v>1109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7</v>
      </c>
      <c r="K607">
        <v>910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910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41</v>
      </c>
      <c r="AB607">
        <v>0</v>
      </c>
      <c r="AC607">
        <v>46</v>
      </c>
      <c r="AD607">
        <v>0</v>
      </c>
      <c r="AE607">
        <v>87</v>
      </c>
      <c r="AF607">
        <v>224</v>
      </c>
      <c r="AJ607">
        <v>4.2</v>
      </c>
      <c r="AK607" t="str">
        <f t="shared" si="9"/>
        <v>KM041-5000</v>
      </c>
    </row>
    <row r="608" spans="1:37">
      <c r="A608" t="s">
        <v>1110</v>
      </c>
      <c r="B608" t="s">
        <v>1111</v>
      </c>
      <c r="C608" t="s">
        <v>313</v>
      </c>
      <c r="D608" t="s">
        <v>1112</v>
      </c>
      <c r="E608">
        <v>43</v>
      </c>
      <c r="F608">
        <v>-0.1</v>
      </c>
      <c r="G608">
        <v>12</v>
      </c>
      <c r="H608">
        <v>19</v>
      </c>
      <c r="I608">
        <v>38</v>
      </c>
      <c r="J608">
        <v>32</v>
      </c>
      <c r="K608">
        <v>0</v>
      </c>
      <c r="L608">
        <v>12</v>
      </c>
      <c r="M608">
        <v>0</v>
      </c>
      <c r="N608">
        <v>10</v>
      </c>
      <c r="O608">
        <v>0</v>
      </c>
      <c r="P608">
        <v>0</v>
      </c>
      <c r="Q608">
        <v>-10</v>
      </c>
      <c r="R608">
        <v>0</v>
      </c>
      <c r="S608">
        <v>0</v>
      </c>
      <c r="T608">
        <v>0</v>
      </c>
      <c r="U608">
        <v>58</v>
      </c>
      <c r="V608">
        <v>0</v>
      </c>
      <c r="W608">
        <v>80</v>
      </c>
      <c r="X608">
        <v>87</v>
      </c>
      <c r="Y608">
        <v>21</v>
      </c>
      <c r="Z608">
        <v>20</v>
      </c>
      <c r="AA608">
        <v>3</v>
      </c>
      <c r="AB608">
        <v>14</v>
      </c>
      <c r="AC608">
        <v>12</v>
      </c>
      <c r="AD608">
        <v>90</v>
      </c>
      <c r="AE608">
        <v>385</v>
      </c>
      <c r="AF608">
        <v>325</v>
      </c>
      <c r="AJ608">
        <v>4.74</v>
      </c>
      <c r="AK608" t="str">
        <f t="shared" si="9"/>
        <v>KM042-5000</v>
      </c>
    </row>
    <row r="609" spans="1:37">
      <c r="A609" t="s">
        <v>1113</v>
      </c>
      <c r="B609" t="s">
        <v>1111</v>
      </c>
      <c r="C609" t="s">
        <v>313</v>
      </c>
      <c r="D609" t="s">
        <v>1112</v>
      </c>
      <c r="E609">
        <v>43</v>
      </c>
      <c r="F609">
        <v>1.6</v>
      </c>
      <c r="G609">
        <v>35</v>
      </c>
      <c r="H609">
        <v>55</v>
      </c>
      <c r="I609">
        <v>47</v>
      </c>
      <c r="J609">
        <v>79</v>
      </c>
      <c r="K609">
        <v>380</v>
      </c>
      <c r="L609">
        <v>16</v>
      </c>
      <c r="M609">
        <v>0</v>
      </c>
      <c r="N609">
        <v>29</v>
      </c>
      <c r="O609">
        <v>0</v>
      </c>
      <c r="P609">
        <v>0</v>
      </c>
      <c r="Q609">
        <v>351</v>
      </c>
      <c r="R609">
        <v>0</v>
      </c>
      <c r="S609">
        <v>0</v>
      </c>
      <c r="T609">
        <v>139</v>
      </c>
      <c r="U609">
        <v>25</v>
      </c>
      <c r="V609">
        <v>115</v>
      </c>
      <c r="W609">
        <v>0</v>
      </c>
      <c r="X609">
        <v>0</v>
      </c>
      <c r="Y609">
        <v>62</v>
      </c>
      <c r="Z609">
        <v>224</v>
      </c>
      <c r="AA609">
        <v>0</v>
      </c>
      <c r="AB609">
        <v>0</v>
      </c>
      <c r="AC609">
        <v>246</v>
      </c>
      <c r="AD609">
        <v>136</v>
      </c>
      <c r="AE609">
        <v>947</v>
      </c>
      <c r="AF609">
        <v>801</v>
      </c>
      <c r="AJ609">
        <v>5.17</v>
      </c>
      <c r="AK609" t="str">
        <f t="shared" si="9"/>
        <v>KM042-6200</v>
      </c>
    </row>
    <row r="610" spans="1:37">
      <c r="A610" t="s">
        <v>1114</v>
      </c>
      <c r="B610" t="s">
        <v>1115</v>
      </c>
      <c r="C610" t="s">
        <v>1558</v>
      </c>
      <c r="D610" t="s">
        <v>1112</v>
      </c>
      <c r="E610">
        <v>43</v>
      </c>
      <c r="F610">
        <v>-0.1</v>
      </c>
      <c r="G610">
        <v>44</v>
      </c>
      <c r="H610">
        <v>74</v>
      </c>
      <c r="I610">
        <v>59</v>
      </c>
      <c r="J610">
        <v>47</v>
      </c>
      <c r="K610">
        <v>0</v>
      </c>
      <c r="L610">
        <v>14</v>
      </c>
      <c r="M610">
        <v>0</v>
      </c>
      <c r="N610">
        <v>36</v>
      </c>
      <c r="O610">
        <v>0</v>
      </c>
      <c r="P610">
        <v>0</v>
      </c>
      <c r="Q610">
        <v>-36</v>
      </c>
      <c r="R610">
        <v>0</v>
      </c>
      <c r="S610">
        <v>0</v>
      </c>
      <c r="T610">
        <v>110</v>
      </c>
      <c r="U610">
        <v>113</v>
      </c>
      <c r="V610">
        <v>58</v>
      </c>
      <c r="W610">
        <v>0</v>
      </c>
      <c r="X610">
        <v>75</v>
      </c>
      <c r="Y610">
        <v>65</v>
      </c>
      <c r="Z610">
        <v>17</v>
      </c>
      <c r="AA610">
        <v>0</v>
      </c>
      <c r="AB610">
        <v>64</v>
      </c>
      <c r="AC610">
        <v>37</v>
      </c>
      <c r="AD610">
        <v>21</v>
      </c>
      <c r="AE610">
        <v>560</v>
      </c>
      <c r="AF610">
        <v>209</v>
      </c>
      <c r="AG610" t="s">
        <v>7482</v>
      </c>
      <c r="AH610">
        <v>4</v>
      </c>
      <c r="AI610">
        <v>200</v>
      </c>
      <c r="AJ610">
        <v>5.32</v>
      </c>
      <c r="AK610" t="str">
        <f t="shared" si="9"/>
        <v>KM043-5000</v>
      </c>
    </row>
    <row r="611" spans="1:37">
      <c r="A611" t="s">
        <v>1116</v>
      </c>
      <c r="B611" t="s">
        <v>1115</v>
      </c>
      <c r="C611" t="s">
        <v>313</v>
      </c>
      <c r="D611" t="s">
        <v>1112</v>
      </c>
      <c r="E611">
        <v>43</v>
      </c>
      <c r="F611">
        <v>2.2999999999999998</v>
      </c>
      <c r="G611">
        <v>4</v>
      </c>
      <c r="H611">
        <v>160</v>
      </c>
      <c r="I611">
        <v>411</v>
      </c>
      <c r="J611">
        <v>451</v>
      </c>
      <c r="K611">
        <v>1461</v>
      </c>
      <c r="L611">
        <v>50</v>
      </c>
      <c r="M611">
        <v>0</v>
      </c>
      <c r="N611">
        <v>3</v>
      </c>
      <c r="O611">
        <v>0</v>
      </c>
      <c r="P611">
        <v>0</v>
      </c>
      <c r="Q611">
        <v>1458</v>
      </c>
      <c r="R611">
        <v>0</v>
      </c>
      <c r="S611">
        <v>14</v>
      </c>
      <c r="T611">
        <v>93</v>
      </c>
      <c r="U611">
        <v>374</v>
      </c>
      <c r="V611">
        <v>1832</v>
      </c>
      <c r="W611">
        <v>0</v>
      </c>
      <c r="X611">
        <v>154</v>
      </c>
      <c r="Y611">
        <v>92</v>
      </c>
      <c r="Z611">
        <v>106</v>
      </c>
      <c r="AA611">
        <v>83</v>
      </c>
      <c r="AB611">
        <v>26</v>
      </c>
      <c r="AC611">
        <v>97</v>
      </c>
      <c r="AD611">
        <v>2539</v>
      </c>
      <c r="AE611">
        <v>5410</v>
      </c>
      <c r="AF611">
        <v>509</v>
      </c>
      <c r="AJ611">
        <v>4.84</v>
      </c>
      <c r="AK611" t="str">
        <f t="shared" si="9"/>
        <v>KM043-6200</v>
      </c>
    </row>
    <row r="612" spans="1:37">
      <c r="A612" t="s">
        <v>1117</v>
      </c>
      <c r="B612" t="s">
        <v>1118</v>
      </c>
      <c r="C612" t="s">
        <v>313</v>
      </c>
      <c r="D612" t="s">
        <v>1112</v>
      </c>
      <c r="E612">
        <v>43</v>
      </c>
      <c r="F612">
        <v>2.7</v>
      </c>
      <c r="G612">
        <v>90</v>
      </c>
      <c r="H612">
        <v>23</v>
      </c>
      <c r="I612">
        <v>29</v>
      </c>
      <c r="J612">
        <v>38</v>
      </c>
      <c r="K612">
        <v>325</v>
      </c>
      <c r="L612">
        <v>0</v>
      </c>
      <c r="M612">
        <v>0</v>
      </c>
      <c r="N612">
        <v>75</v>
      </c>
      <c r="O612">
        <v>0</v>
      </c>
      <c r="P612">
        <v>0</v>
      </c>
      <c r="Q612">
        <v>250</v>
      </c>
      <c r="R612">
        <v>0</v>
      </c>
      <c r="S612">
        <v>15</v>
      </c>
      <c r="T612">
        <v>0</v>
      </c>
      <c r="U612">
        <v>54</v>
      </c>
      <c r="V612">
        <v>82</v>
      </c>
      <c r="W612">
        <v>24</v>
      </c>
      <c r="X612">
        <v>0</v>
      </c>
      <c r="Y612">
        <v>115</v>
      </c>
      <c r="Z612">
        <v>46</v>
      </c>
      <c r="AA612">
        <v>4</v>
      </c>
      <c r="AB612">
        <v>53</v>
      </c>
      <c r="AC612">
        <v>42</v>
      </c>
      <c r="AD612">
        <v>16</v>
      </c>
      <c r="AE612">
        <v>451</v>
      </c>
      <c r="AF612">
        <v>162</v>
      </c>
      <c r="AJ612">
        <v>5.62</v>
      </c>
      <c r="AK612" t="str">
        <f t="shared" si="9"/>
        <v>KM044-5000</v>
      </c>
    </row>
    <row r="613" spans="1:37">
      <c r="A613" t="s">
        <v>1119</v>
      </c>
      <c r="B613" t="s">
        <v>1118</v>
      </c>
      <c r="C613" t="s">
        <v>313</v>
      </c>
      <c r="D613" t="s">
        <v>1112</v>
      </c>
      <c r="E613">
        <v>43</v>
      </c>
      <c r="F613">
        <v>10.6</v>
      </c>
      <c r="G613">
        <v>99</v>
      </c>
      <c r="H613">
        <v>41</v>
      </c>
      <c r="I613">
        <v>60</v>
      </c>
      <c r="J613">
        <v>58</v>
      </c>
      <c r="K613">
        <v>1801</v>
      </c>
      <c r="L613">
        <v>0</v>
      </c>
      <c r="M613">
        <v>0</v>
      </c>
      <c r="N613">
        <v>83</v>
      </c>
      <c r="O613">
        <v>0</v>
      </c>
      <c r="P613">
        <v>0</v>
      </c>
      <c r="Q613">
        <v>1718</v>
      </c>
      <c r="R613">
        <v>0</v>
      </c>
      <c r="S613">
        <v>22</v>
      </c>
      <c r="T613">
        <v>0</v>
      </c>
      <c r="U613">
        <v>100</v>
      </c>
      <c r="V613">
        <v>8</v>
      </c>
      <c r="W613">
        <v>100</v>
      </c>
      <c r="X613">
        <v>130</v>
      </c>
      <c r="Y613">
        <v>203</v>
      </c>
      <c r="Z613">
        <v>53</v>
      </c>
      <c r="AA613">
        <v>37</v>
      </c>
      <c r="AB613">
        <v>42</v>
      </c>
      <c r="AC613">
        <v>0</v>
      </c>
      <c r="AD613">
        <v>0</v>
      </c>
      <c r="AE613">
        <v>695</v>
      </c>
      <c r="AF613">
        <v>510</v>
      </c>
      <c r="AJ613">
        <v>5.56</v>
      </c>
      <c r="AK613" t="str">
        <f t="shared" si="9"/>
        <v>KM044-6200</v>
      </c>
    </row>
    <row r="614" spans="1:37">
      <c r="A614" t="s">
        <v>1120</v>
      </c>
      <c r="B614" t="s">
        <v>1121</v>
      </c>
      <c r="C614" t="s">
        <v>313</v>
      </c>
      <c r="D614" t="s">
        <v>1122</v>
      </c>
      <c r="E614">
        <v>43</v>
      </c>
      <c r="F614">
        <v>0</v>
      </c>
      <c r="G614">
        <v>0</v>
      </c>
      <c r="H614">
        <v>19</v>
      </c>
      <c r="I614">
        <v>10</v>
      </c>
      <c r="J614">
        <v>20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51</v>
      </c>
      <c r="U614">
        <v>6</v>
      </c>
      <c r="V614">
        <v>0</v>
      </c>
      <c r="W614">
        <v>0</v>
      </c>
      <c r="X614">
        <v>0</v>
      </c>
      <c r="Y614">
        <v>43</v>
      </c>
      <c r="Z614">
        <v>7</v>
      </c>
      <c r="AA614">
        <v>30</v>
      </c>
      <c r="AB614">
        <v>77</v>
      </c>
      <c r="AC614">
        <v>13</v>
      </c>
      <c r="AD614">
        <v>15</v>
      </c>
      <c r="AE614">
        <v>242</v>
      </c>
      <c r="AF614">
        <v>100</v>
      </c>
      <c r="AJ614">
        <v>5.32</v>
      </c>
      <c r="AK614" t="str">
        <f t="shared" si="9"/>
        <v>KM045-5000</v>
      </c>
    </row>
    <row r="615" spans="1:37">
      <c r="A615" t="s">
        <v>1123</v>
      </c>
      <c r="B615" t="s">
        <v>1121</v>
      </c>
      <c r="C615" t="s">
        <v>313</v>
      </c>
      <c r="D615" t="s">
        <v>1122</v>
      </c>
      <c r="E615">
        <v>43</v>
      </c>
      <c r="F615">
        <v>4.9000000000000004</v>
      </c>
      <c r="G615">
        <v>65</v>
      </c>
      <c r="H615">
        <v>41</v>
      </c>
      <c r="I615">
        <v>43</v>
      </c>
      <c r="J615">
        <v>48</v>
      </c>
      <c r="K615">
        <v>857</v>
      </c>
      <c r="L615">
        <v>23</v>
      </c>
      <c r="M615">
        <v>0</v>
      </c>
      <c r="N615">
        <v>54</v>
      </c>
      <c r="O615">
        <v>0</v>
      </c>
      <c r="P615">
        <v>0</v>
      </c>
      <c r="Q615">
        <v>803</v>
      </c>
      <c r="R615">
        <v>18</v>
      </c>
      <c r="S615">
        <v>85</v>
      </c>
      <c r="T615">
        <v>28</v>
      </c>
      <c r="U615">
        <v>11</v>
      </c>
      <c r="V615">
        <v>0</v>
      </c>
      <c r="W615">
        <v>65</v>
      </c>
      <c r="X615">
        <v>67</v>
      </c>
      <c r="Y615">
        <v>141</v>
      </c>
      <c r="Z615">
        <v>16</v>
      </c>
      <c r="AA615">
        <v>30</v>
      </c>
      <c r="AB615">
        <v>108</v>
      </c>
      <c r="AC615">
        <v>0</v>
      </c>
      <c r="AD615">
        <v>24</v>
      </c>
      <c r="AE615">
        <v>575</v>
      </c>
      <c r="AF615">
        <v>443</v>
      </c>
      <c r="AJ615">
        <v>4.12</v>
      </c>
      <c r="AK615" t="str">
        <f t="shared" si="9"/>
        <v>KM045-6200</v>
      </c>
    </row>
    <row r="616" spans="1:37">
      <c r="A616" t="s">
        <v>1124</v>
      </c>
      <c r="B616" t="s">
        <v>1125</v>
      </c>
      <c r="C616" t="s">
        <v>1126</v>
      </c>
      <c r="E616">
        <v>50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1114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1114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291</v>
      </c>
      <c r="AJ616">
        <v>0</v>
      </c>
      <c r="AK616" t="str">
        <f t="shared" si="9"/>
        <v>KM046-6200</v>
      </c>
    </row>
    <row r="617" spans="1:37">
      <c r="A617" t="s">
        <v>1127</v>
      </c>
      <c r="B617" t="s">
        <v>1128</v>
      </c>
      <c r="C617" t="s">
        <v>313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1920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1920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773</v>
      </c>
      <c r="AJ617">
        <v>3.55</v>
      </c>
      <c r="AK617" t="str">
        <f t="shared" si="9"/>
        <v>KM047-6200</v>
      </c>
    </row>
    <row r="618" spans="1:37">
      <c r="A618" t="s">
        <v>1129</v>
      </c>
      <c r="B618" t="s">
        <v>1130</v>
      </c>
      <c r="C618" t="s">
        <v>313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2078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2078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732</v>
      </c>
      <c r="AJ618">
        <v>3.55</v>
      </c>
      <c r="AK618" t="str">
        <f t="shared" si="9"/>
        <v>KM048-6200</v>
      </c>
    </row>
    <row r="619" spans="1:37">
      <c r="A619" t="s">
        <v>1131</v>
      </c>
      <c r="B619" t="s">
        <v>1132</v>
      </c>
      <c r="C619" t="s">
        <v>313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1863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1863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756</v>
      </c>
      <c r="AJ619">
        <v>3.55</v>
      </c>
      <c r="AK619" t="str">
        <f t="shared" si="9"/>
        <v>KM049-6200</v>
      </c>
    </row>
    <row r="620" spans="1:37">
      <c r="A620" t="s">
        <v>1135</v>
      </c>
      <c r="B620" t="s">
        <v>1134</v>
      </c>
      <c r="C620" t="s">
        <v>338</v>
      </c>
      <c r="E620">
        <v>43</v>
      </c>
      <c r="F620">
        <v>1.7</v>
      </c>
      <c r="G620">
        <v>221</v>
      </c>
      <c r="H620">
        <v>206</v>
      </c>
      <c r="I620">
        <v>142</v>
      </c>
      <c r="J620">
        <v>128</v>
      </c>
      <c r="K620">
        <v>1600</v>
      </c>
      <c r="L620">
        <v>50</v>
      </c>
      <c r="M620">
        <v>0</v>
      </c>
      <c r="N620">
        <v>185</v>
      </c>
      <c r="O620">
        <v>0</v>
      </c>
      <c r="P620">
        <v>0</v>
      </c>
      <c r="Q620">
        <v>1415</v>
      </c>
      <c r="R620">
        <v>0</v>
      </c>
      <c r="S620">
        <v>338</v>
      </c>
      <c r="T620">
        <v>187</v>
      </c>
      <c r="U620">
        <v>94</v>
      </c>
      <c r="V620">
        <v>14</v>
      </c>
      <c r="W620">
        <v>219</v>
      </c>
      <c r="X620">
        <v>0</v>
      </c>
      <c r="Y620">
        <v>69</v>
      </c>
      <c r="Z620">
        <v>163</v>
      </c>
      <c r="AA620">
        <v>164</v>
      </c>
      <c r="AB620">
        <v>153</v>
      </c>
      <c r="AC620">
        <v>117</v>
      </c>
      <c r="AD620">
        <v>17</v>
      </c>
      <c r="AE620">
        <v>1535</v>
      </c>
      <c r="AF620">
        <v>790</v>
      </c>
      <c r="AJ620">
        <v>6.75</v>
      </c>
      <c r="AK620" t="str">
        <f t="shared" si="9"/>
        <v>KM059-6200</v>
      </c>
    </row>
    <row r="621" spans="1:37">
      <c r="A621" t="s">
        <v>1138</v>
      </c>
      <c r="B621" t="s">
        <v>1137</v>
      </c>
      <c r="C621" t="s">
        <v>338</v>
      </c>
      <c r="E621">
        <v>43</v>
      </c>
      <c r="F621">
        <v>10.199999999999999</v>
      </c>
      <c r="G621">
        <v>19</v>
      </c>
      <c r="H621">
        <v>27</v>
      </c>
      <c r="I621">
        <v>36</v>
      </c>
      <c r="J621">
        <v>40</v>
      </c>
      <c r="K621">
        <v>1109</v>
      </c>
      <c r="L621">
        <v>3</v>
      </c>
      <c r="M621">
        <v>0</v>
      </c>
      <c r="N621">
        <v>16</v>
      </c>
      <c r="O621">
        <v>0</v>
      </c>
      <c r="P621">
        <v>0</v>
      </c>
      <c r="Q621">
        <v>1093</v>
      </c>
      <c r="R621">
        <v>0</v>
      </c>
      <c r="S621">
        <v>69</v>
      </c>
      <c r="T621">
        <v>0</v>
      </c>
      <c r="U621">
        <v>11</v>
      </c>
      <c r="V621">
        <v>0</v>
      </c>
      <c r="W621">
        <v>60</v>
      </c>
      <c r="X621">
        <v>74</v>
      </c>
      <c r="Y621">
        <v>29</v>
      </c>
      <c r="Z621">
        <v>99</v>
      </c>
      <c r="AA621">
        <v>72</v>
      </c>
      <c r="AB621">
        <v>37</v>
      </c>
      <c r="AC621">
        <v>31</v>
      </c>
      <c r="AD621">
        <v>0</v>
      </c>
      <c r="AE621">
        <v>482</v>
      </c>
      <c r="AF621">
        <v>640</v>
      </c>
      <c r="AJ621">
        <v>3.73</v>
      </c>
      <c r="AK621" t="str">
        <f t="shared" si="9"/>
        <v>KM060-6200</v>
      </c>
    </row>
    <row r="622" spans="1:37">
      <c r="A622" t="s">
        <v>1141</v>
      </c>
      <c r="B622" t="s">
        <v>1140</v>
      </c>
      <c r="E622">
        <v>50</v>
      </c>
      <c r="F622">
        <v>13.1</v>
      </c>
      <c r="G622">
        <v>532</v>
      </c>
      <c r="H622">
        <v>117</v>
      </c>
      <c r="I622">
        <v>80</v>
      </c>
      <c r="J622">
        <v>115</v>
      </c>
      <c r="K622">
        <v>6544</v>
      </c>
      <c r="L622">
        <v>39</v>
      </c>
      <c r="M622">
        <v>0</v>
      </c>
      <c r="N622">
        <v>443</v>
      </c>
      <c r="O622">
        <v>0</v>
      </c>
      <c r="P622">
        <v>0</v>
      </c>
      <c r="Q622">
        <v>6101</v>
      </c>
      <c r="R622">
        <v>0</v>
      </c>
      <c r="S622">
        <v>315</v>
      </c>
      <c r="T622">
        <v>21</v>
      </c>
      <c r="U622">
        <v>14</v>
      </c>
      <c r="V622">
        <v>92</v>
      </c>
      <c r="W622">
        <v>11</v>
      </c>
      <c r="X622">
        <v>27</v>
      </c>
      <c r="Y622">
        <v>0</v>
      </c>
      <c r="Z622">
        <v>415</v>
      </c>
      <c r="AA622">
        <v>105</v>
      </c>
      <c r="AB622">
        <v>351</v>
      </c>
      <c r="AC622">
        <v>26</v>
      </c>
      <c r="AD622">
        <v>0</v>
      </c>
      <c r="AE622">
        <v>1377</v>
      </c>
      <c r="AF622">
        <v>1419</v>
      </c>
      <c r="AJ622">
        <v>3.73</v>
      </c>
      <c r="AK622" t="str">
        <f t="shared" si="9"/>
        <v>KM061-6200</v>
      </c>
    </row>
    <row r="623" spans="1:37">
      <c r="A623" t="s">
        <v>1144</v>
      </c>
      <c r="B623" t="s">
        <v>1143</v>
      </c>
      <c r="C623" t="s">
        <v>338</v>
      </c>
      <c r="E623">
        <v>43</v>
      </c>
      <c r="F623">
        <v>14.9</v>
      </c>
      <c r="G623">
        <v>17</v>
      </c>
      <c r="H623">
        <v>22</v>
      </c>
      <c r="I623">
        <v>12</v>
      </c>
      <c r="J623">
        <v>23</v>
      </c>
      <c r="K623">
        <v>1306</v>
      </c>
      <c r="L623">
        <v>8</v>
      </c>
      <c r="M623">
        <v>0</v>
      </c>
      <c r="N623">
        <v>14</v>
      </c>
      <c r="O623">
        <v>0</v>
      </c>
      <c r="P623">
        <v>0</v>
      </c>
      <c r="Q623">
        <v>1292</v>
      </c>
      <c r="R623">
        <v>0</v>
      </c>
      <c r="S623">
        <v>44</v>
      </c>
      <c r="T623">
        <v>21</v>
      </c>
      <c r="U623">
        <v>0</v>
      </c>
      <c r="V623">
        <v>9</v>
      </c>
      <c r="W623">
        <v>0</v>
      </c>
      <c r="X623">
        <v>0</v>
      </c>
      <c r="Y623">
        <v>0</v>
      </c>
      <c r="Z623">
        <v>12</v>
      </c>
      <c r="AA623">
        <v>57</v>
      </c>
      <c r="AB623">
        <v>0</v>
      </c>
      <c r="AC623">
        <v>135</v>
      </c>
      <c r="AD623">
        <v>0</v>
      </c>
      <c r="AE623">
        <v>278</v>
      </c>
      <c r="AF623">
        <v>531</v>
      </c>
      <c r="AJ623">
        <v>3.73</v>
      </c>
      <c r="AK623" t="str">
        <f t="shared" si="9"/>
        <v>KM062-6200</v>
      </c>
    </row>
    <row r="624" spans="1:37">
      <c r="A624" t="s">
        <v>1148</v>
      </c>
      <c r="B624" t="s">
        <v>1146</v>
      </c>
      <c r="C624" t="s">
        <v>313</v>
      </c>
      <c r="E624">
        <v>43</v>
      </c>
      <c r="F624">
        <v>4.5999999999999996</v>
      </c>
      <c r="G624">
        <v>707</v>
      </c>
      <c r="H624">
        <v>322</v>
      </c>
      <c r="I624">
        <v>182</v>
      </c>
      <c r="J624">
        <v>139</v>
      </c>
      <c r="K624">
        <v>6517</v>
      </c>
      <c r="L624">
        <v>145</v>
      </c>
      <c r="M624">
        <v>0</v>
      </c>
      <c r="N624">
        <v>589</v>
      </c>
      <c r="O624">
        <v>0</v>
      </c>
      <c r="P624">
        <v>0</v>
      </c>
      <c r="Q624">
        <v>5928</v>
      </c>
      <c r="R624">
        <v>0</v>
      </c>
      <c r="S624">
        <v>506</v>
      </c>
      <c r="T624">
        <v>367</v>
      </c>
      <c r="U624">
        <v>92</v>
      </c>
      <c r="V624">
        <v>52</v>
      </c>
      <c r="W624">
        <v>21</v>
      </c>
      <c r="X624">
        <v>51</v>
      </c>
      <c r="Y624">
        <v>34</v>
      </c>
      <c r="Z624">
        <v>218</v>
      </c>
      <c r="AA624">
        <v>0</v>
      </c>
      <c r="AB624">
        <v>324</v>
      </c>
      <c r="AC624">
        <v>0</v>
      </c>
      <c r="AD624">
        <v>0</v>
      </c>
      <c r="AE624">
        <v>1665</v>
      </c>
      <c r="AF624">
        <v>1175</v>
      </c>
      <c r="AJ624">
        <v>4.04</v>
      </c>
      <c r="AK624" t="str">
        <f t="shared" si="9"/>
        <v>KM063-6200</v>
      </c>
    </row>
    <row r="625" spans="1:37">
      <c r="A625" t="s">
        <v>1152</v>
      </c>
      <c r="B625" t="s">
        <v>1150</v>
      </c>
      <c r="C625" t="s">
        <v>1151</v>
      </c>
      <c r="E625">
        <v>43</v>
      </c>
      <c r="F625">
        <v>8.3000000000000007</v>
      </c>
      <c r="G625">
        <v>24</v>
      </c>
      <c r="H625">
        <v>50</v>
      </c>
      <c r="I625">
        <v>39</v>
      </c>
      <c r="J625">
        <v>33</v>
      </c>
      <c r="K625">
        <v>1665</v>
      </c>
      <c r="L625">
        <v>31</v>
      </c>
      <c r="M625">
        <v>0</v>
      </c>
      <c r="N625">
        <v>20</v>
      </c>
      <c r="O625">
        <v>0</v>
      </c>
      <c r="P625">
        <v>0</v>
      </c>
      <c r="Q625">
        <v>1645</v>
      </c>
      <c r="R625">
        <v>0</v>
      </c>
      <c r="S625">
        <v>57</v>
      </c>
      <c r="T625">
        <v>65</v>
      </c>
      <c r="U625">
        <v>27</v>
      </c>
      <c r="V625">
        <v>62</v>
      </c>
      <c r="W625">
        <v>0</v>
      </c>
      <c r="X625">
        <v>23</v>
      </c>
      <c r="Y625">
        <v>77</v>
      </c>
      <c r="Z625">
        <v>28</v>
      </c>
      <c r="AA625">
        <v>0</v>
      </c>
      <c r="AB625">
        <v>55</v>
      </c>
      <c r="AC625">
        <v>0</v>
      </c>
      <c r="AD625">
        <v>0</v>
      </c>
      <c r="AE625">
        <v>394</v>
      </c>
      <c r="AF625">
        <v>469</v>
      </c>
      <c r="AJ625">
        <v>6.55</v>
      </c>
      <c r="AK625" t="str">
        <f t="shared" si="9"/>
        <v>KM064-6200</v>
      </c>
    </row>
    <row r="626" spans="1:37">
      <c r="A626" t="s">
        <v>1153</v>
      </c>
      <c r="B626" t="s">
        <v>1154</v>
      </c>
      <c r="C626" t="s">
        <v>68</v>
      </c>
      <c r="E626">
        <v>72</v>
      </c>
      <c r="F626">
        <v>19.8</v>
      </c>
      <c r="G626">
        <v>0</v>
      </c>
      <c r="H626">
        <v>18</v>
      </c>
      <c r="I626">
        <v>71</v>
      </c>
      <c r="J626">
        <v>35</v>
      </c>
      <c r="K626">
        <v>1422</v>
      </c>
      <c r="L626">
        <v>35</v>
      </c>
      <c r="M626">
        <v>0</v>
      </c>
      <c r="N626">
        <v>0</v>
      </c>
      <c r="O626">
        <v>0</v>
      </c>
      <c r="P626">
        <v>0</v>
      </c>
      <c r="Q626">
        <v>1422</v>
      </c>
      <c r="R626">
        <v>0</v>
      </c>
      <c r="S626">
        <v>0</v>
      </c>
      <c r="T626">
        <v>0</v>
      </c>
      <c r="U626">
        <v>54</v>
      </c>
      <c r="V626">
        <v>46</v>
      </c>
      <c r="W626">
        <v>324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424</v>
      </c>
      <c r="AF626">
        <v>0</v>
      </c>
      <c r="AJ626">
        <v>5.23</v>
      </c>
      <c r="AK626" t="str">
        <f t="shared" si="9"/>
        <v>KM068-5000</v>
      </c>
    </row>
    <row r="627" spans="1:37">
      <c r="A627" t="s">
        <v>1155</v>
      </c>
      <c r="B627" t="s">
        <v>1154</v>
      </c>
      <c r="C627" t="s">
        <v>68</v>
      </c>
      <c r="E627">
        <v>72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1373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1373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J627">
        <v>5.23</v>
      </c>
      <c r="AK627" t="str">
        <f t="shared" si="9"/>
        <v>KM068-6200</v>
      </c>
    </row>
    <row r="628" spans="1:37">
      <c r="A628" t="s">
        <v>1156</v>
      </c>
      <c r="B628" t="s">
        <v>1157</v>
      </c>
      <c r="C628" t="s">
        <v>110</v>
      </c>
      <c r="D628" t="s">
        <v>268</v>
      </c>
      <c r="E628">
        <v>50</v>
      </c>
      <c r="F628">
        <v>0</v>
      </c>
      <c r="G628">
        <v>0</v>
      </c>
      <c r="H628">
        <v>4</v>
      </c>
      <c r="I628">
        <v>9</v>
      </c>
      <c r="J628">
        <v>12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11</v>
      </c>
      <c r="T628">
        <v>0</v>
      </c>
      <c r="U628">
        <v>0</v>
      </c>
      <c r="V628">
        <v>0</v>
      </c>
      <c r="W628">
        <v>24</v>
      </c>
      <c r="X628">
        <v>21</v>
      </c>
      <c r="Y628">
        <v>0</v>
      </c>
      <c r="Z628">
        <v>56</v>
      </c>
      <c r="AA628">
        <v>0</v>
      </c>
      <c r="AB628">
        <v>0</v>
      </c>
      <c r="AC628">
        <v>16</v>
      </c>
      <c r="AD628">
        <v>14</v>
      </c>
      <c r="AE628">
        <v>142</v>
      </c>
      <c r="AF628">
        <v>190</v>
      </c>
      <c r="AJ628">
        <v>4.28</v>
      </c>
      <c r="AK628" t="str">
        <f t="shared" si="9"/>
        <v>LG110-5000</v>
      </c>
    </row>
    <row r="629" spans="1:37">
      <c r="A629" t="s">
        <v>1158</v>
      </c>
      <c r="B629" t="s">
        <v>1157</v>
      </c>
      <c r="C629" t="s">
        <v>110</v>
      </c>
      <c r="D629" t="s">
        <v>268</v>
      </c>
      <c r="E629">
        <v>50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1591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1591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45</v>
      </c>
      <c r="AJ629">
        <v>4.28</v>
      </c>
      <c r="AK629" t="str">
        <f t="shared" si="9"/>
        <v>LG110-6200</v>
      </c>
    </row>
    <row r="630" spans="1:37">
      <c r="A630" t="s">
        <v>1159</v>
      </c>
      <c r="B630" t="s">
        <v>1160</v>
      </c>
      <c r="E630">
        <v>55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741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741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J630">
        <v>64</v>
      </c>
      <c r="AK630" t="str">
        <f t="shared" si="9"/>
        <v>MC400-6200</v>
      </c>
    </row>
    <row r="631" spans="1:37">
      <c r="A631" t="s">
        <v>1161</v>
      </c>
      <c r="B631" t="s">
        <v>1162</v>
      </c>
      <c r="C631" t="s">
        <v>318</v>
      </c>
      <c r="D631" t="s">
        <v>292</v>
      </c>
      <c r="E631">
        <v>50</v>
      </c>
      <c r="F631">
        <v>20.3</v>
      </c>
      <c r="G631">
        <v>12</v>
      </c>
      <c r="H631">
        <v>10</v>
      </c>
      <c r="I631">
        <v>5</v>
      </c>
      <c r="J631">
        <v>36</v>
      </c>
      <c r="K631">
        <v>848</v>
      </c>
      <c r="L631">
        <v>10</v>
      </c>
      <c r="M631">
        <v>0</v>
      </c>
      <c r="N631">
        <v>10</v>
      </c>
      <c r="O631">
        <v>0</v>
      </c>
      <c r="P631">
        <v>0</v>
      </c>
      <c r="Q631">
        <v>838</v>
      </c>
      <c r="R631">
        <v>11</v>
      </c>
      <c r="S631">
        <v>10</v>
      </c>
      <c r="T631">
        <v>0</v>
      </c>
      <c r="U631">
        <v>21</v>
      </c>
      <c r="V631">
        <v>1</v>
      </c>
      <c r="W631">
        <v>0</v>
      </c>
      <c r="X631">
        <v>0</v>
      </c>
      <c r="Y631">
        <v>296</v>
      </c>
      <c r="Z631">
        <v>38</v>
      </c>
      <c r="AA631">
        <v>21</v>
      </c>
      <c r="AB631">
        <v>20</v>
      </c>
      <c r="AC631">
        <v>20</v>
      </c>
      <c r="AD631">
        <v>7</v>
      </c>
      <c r="AE631">
        <v>434</v>
      </c>
      <c r="AF631">
        <v>230</v>
      </c>
      <c r="AJ631">
        <v>6</v>
      </c>
      <c r="AK631" t="str">
        <f t="shared" si="9"/>
        <v>ME011-5000</v>
      </c>
    </row>
    <row r="632" spans="1:37">
      <c r="A632" t="s">
        <v>1163</v>
      </c>
      <c r="B632" t="s">
        <v>1162</v>
      </c>
      <c r="C632" t="s">
        <v>318</v>
      </c>
      <c r="D632" t="s">
        <v>447</v>
      </c>
      <c r="E632">
        <v>50</v>
      </c>
      <c r="F632">
        <v>2.2999999999999998</v>
      </c>
      <c r="G632">
        <v>13</v>
      </c>
      <c r="H632">
        <v>67</v>
      </c>
      <c r="I632">
        <v>45</v>
      </c>
      <c r="J632">
        <v>44</v>
      </c>
      <c r="K632">
        <v>619</v>
      </c>
      <c r="L632">
        <v>60</v>
      </c>
      <c r="M632">
        <v>7</v>
      </c>
      <c r="N632">
        <v>11</v>
      </c>
      <c r="O632">
        <v>0</v>
      </c>
      <c r="P632">
        <v>0</v>
      </c>
      <c r="Q632">
        <v>608</v>
      </c>
      <c r="R632">
        <v>0</v>
      </c>
      <c r="S632">
        <v>68</v>
      </c>
      <c r="T632">
        <v>0</v>
      </c>
      <c r="U632">
        <v>134</v>
      </c>
      <c r="V632">
        <v>69</v>
      </c>
      <c r="W632">
        <v>0</v>
      </c>
      <c r="X632">
        <v>0</v>
      </c>
      <c r="Y632">
        <v>109</v>
      </c>
      <c r="Z632">
        <v>14</v>
      </c>
      <c r="AA632">
        <v>89</v>
      </c>
      <c r="AB632">
        <v>18</v>
      </c>
      <c r="AC632">
        <v>32</v>
      </c>
      <c r="AD632">
        <v>0</v>
      </c>
      <c r="AE632">
        <v>533</v>
      </c>
      <c r="AF632">
        <v>463</v>
      </c>
      <c r="AJ632">
        <v>6</v>
      </c>
      <c r="AK632" t="str">
        <f t="shared" si="9"/>
        <v>ME011-6200</v>
      </c>
    </row>
    <row r="633" spans="1:37">
      <c r="A633" t="s">
        <v>1164</v>
      </c>
      <c r="B633" t="s">
        <v>1165</v>
      </c>
      <c r="C633" t="s">
        <v>275</v>
      </c>
      <c r="D633" t="s">
        <v>268</v>
      </c>
      <c r="E633">
        <v>50</v>
      </c>
      <c r="F633">
        <v>0</v>
      </c>
      <c r="G633">
        <v>33</v>
      </c>
      <c r="H633">
        <v>0</v>
      </c>
      <c r="I633">
        <v>0</v>
      </c>
      <c r="J633">
        <v>0</v>
      </c>
      <c r="K633">
        <v>701</v>
      </c>
      <c r="L633">
        <v>20</v>
      </c>
      <c r="M633">
        <v>0</v>
      </c>
      <c r="N633">
        <v>28</v>
      </c>
      <c r="O633">
        <v>0</v>
      </c>
      <c r="P633">
        <v>0</v>
      </c>
      <c r="Q633">
        <v>673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77</v>
      </c>
      <c r="AJ633">
        <v>4.76</v>
      </c>
      <c r="AK633" t="str">
        <f t="shared" si="9"/>
        <v>ME031-5000</v>
      </c>
    </row>
    <row r="634" spans="1:37">
      <c r="A634" t="s">
        <v>1166</v>
      </c>
      <c r="B634" t="s">
        <v>1165</v>
      </c>
      <c r="C634" t="s">
        <v>275</v>
      </c>
      <c r="D634" t="s">
        <v>268</v>
      </c>
      <c r="E634">
        <v>50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77</v>
      </c>
      <c r="L634">
        <v>127</v>
      </c>
      <c r="M634">
        <v>0</v>
      </c>
      <c r="N634">
        <v>0</v>
      </c>
      <c r="O634">
        <v>0</v>
      </c>
      <c r="P634">
        <v>0</v>
      </c>
      <c r="Q634">
        <v>77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211</v>
      </c>
      <c r="AJ634">
        <v>4.76</v>
      </c>
      <c r="AK634" t="str">
        <f t="shared" si="9"/>
        <v>ME031-6200</v>
      </c>
    </row>
    <row r="635" spans="1:37">
      <c r="A635" t="s">
        <v>1167</v>
      </c>
      <c r="B635" t="s">
        <v>1168</v>
      </c>
      <c r="C635" t="s">
        <v>1027</v>
      </c>
      <c r="E635">
        <v>43</v>
      </c>
      <c r="F635">
        <v>40.200000000000003</v>
      </c>
      <c r="G635">
        <v>0</v>
      </c>
      <c r="H635">
        <v>5</v>
      </c>
      <c r="I635">
        <v>4</v>
      </c>
      <c r="J635">
        <v>3</v>
      </c>
      <c r="K635">
        <v>803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803</v>
      </c>
      <c r="R635">
        <v>0</v>
      </c>
      <c r="S635">
        <v>9</v>
      </c>
      <c r="T635">
        <v>0</v>
      </c>
      <c r="U635">
        <v>6</v>
      </c>
      <c r="V635">
        <v>0</v>
      </c>
      <c r="W635">
        <v>7</v>
      </c>
      <c r="X635">
        <v>0</v>
      </c>
      <c r="Y635">
        <v>0</v>
      </c>
      <c r="Z635">
        <v>12</v>
      </c>
      <c r="AA635">
        <v>0</v>
      </c>
      <c r="AB635">
        <v>0</v>
      </c>
      <c r="AC635">
        <v>0</v>
      </c>
      <c r="AD635">
        <v>0</v>
      </c>
      <c r="AE635">
        <v>34</v>
      </c>
      <c r="AF635">
        <v>48</v>
      </c>
      <c r="AJ635">
        <v>2.8</v>
      </c>
      <c r="AK635" t="str">
        <f t="shared" si="9"/>
        <v>ME051-5000</v>
      </c>
    </row>
    <row r="636" spans="1:37">
      <c r="A636" t="s">
        <v>1169</v>
      </c>
      <c r="B636" t="s">
        <v>1168</v>
      </c>
      <c r="C636" t="s">
        <v>1027</v>
      </c>
      <c r="E636">
        <v>43</v>
      </c>
      <c r="F636">
        <v>40.700000000000003</v>
      </c>
      <c r="G636">
        <v>0</v>
      </c>
      <c r="H636">
        <v>11</v>
      </c>
      <c r="I636">
        <v>6</v>
      </c>
      <c r="J636">
        <v>3</v>
      </c>
      <c r="K636">
        <v>1845</v>
      </c>
      <c r="L636">
        <v>22</v>
      </c>
      <c r="M636">
        <v>0</v>
      </c>
      <c r="N636">
        <v>0</v>
      </c>
      <c r="O636">
        <v>0</v>
      </c>
      <c r="P636">
        <v>0</v>
      </c>
      <c r="Q636">
        <v>1845</v>
      </c>
      <c r="R636">
        <v>0</v>
      </c>
      <c r="S636">
        <v>24</v>
      </c>
      <c r="T636">
        <v>10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34</v>
      </c>
      <c r="AF636">
        <v>220</v>
      </c>
      <c r="AJ636">
        <v>5.27</v>
      </c>
      <c r="AK636" t="str">
        <f t="shared" si="9"/>
        <v>ME051-6200</v>
      </c>
    </row>
    <row r="637" spans="1:37">
      <c r="A637" t="s">
        <v>5936</v>
      </c>
      <c r="B637" t="s">
        <v>5424</v>
      </c>
      <c r="C637" t="s">
        <v>110</v>
      </c>
      <c r="D637" t="s">
        <v>401</v>
      </c>
      <c r="E637">
        <v>43</v>
      </c>
      <c r="F637">
        <v>0</v>
      </c>
      <c r="G637">
        <v>0</v>
      </c>
      <c r="H637">
        <v>30</v>
      </c>
      <c r="I637">
        <v>15</v>
      </c>
      <c r="J637">
        <v>7</v>
      </c>
      <c r="K637">
        <v>0</v>
      </c>
      <c r="L637">
        <v>3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89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89</v>
      </c>
      <c r="AF637">
        <v>0</v>
      </c>
      <c r="AJ637">
        <v>0</v>
      </c>
      <c r="AK637" t="str">
        <f t="shared" si="9"/>
        <v>ME060-5000</v>
      </c>
    </row>
    <row r="638" spans="1:37">
      <c r="A638" t="s">
        <v>3739</v>
      </c>
      <c r="B638" t="s">
        <v>5424</v>
      </c>
      <c r="C638" t="s">
        <v>110</v>
      </c>
      <c r="D638" t="s">
        <v>401</v>
      </c>
      <c r="E638">
        <v>43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606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606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J638">
        <v>3.59</v>
      </c>
      <c r="AK638" t="str">
        <f t="shared" si="9"/>
        <v>ME060-6200</v>
      </c>
    </row>
    <row r="639" spans="1:37">
      <c r="A639" t="s">
        <v>1170</v>
      </c>
      <c r="B639" t="s">
        <v>1171</v>
      </c>
      <c r="C639" t="s">
        <v>1027</v>
      </c>
      <c r="D639" t="s">
        <v>1172</v>
      </c>
      <c r="E639">
        <v>50</v>
      </c>
      <c r="F639">
        <v>251.3</v>
      </c>
      <c r="G639">
        <v>39</v>
      </c>
      <c r="H639">
        <v>9</v>
      </c>
      <c r="I639">
        <v>11</v>
      </c>
      <c r="J639">
        <v>12</v>
      </c>
      <c r="K639">
        <v>9081</v>
      </c>
      <c r="L639">
        <v>25</v>
      </c>
      <c r="M639">
        <v>0</v>
      </c>
      <c r="N639">
        <v>33</v>
      </c>
      <c r="O639">
        <v>0</v>
      </c>
      <c r="P639">
        <v>0</v>
      </c>
      <c r="Q639">
        <v>9048</v>
      </c>
      <c r="R639">
        <v>23</v>
      </c>
      <c r="S639">
        <v>15</v>
      </c>
      <c r="T639">
        <v>0</v>
      </c>
      <c r="U639">
        <v>12</v>
      </c>
      <c r="V639">
        <v>7</v>
      </c>
      <c r="W639">
        <v>31</v>
      </c>
      <c r="X639">
        <v>0</v>
      </c>
      <c r="Y639">
        <v>0</v>
      </c>
      <c r="Z639">
        <v>0</v>
      </c>
      <c r="AA639">
        <v>38</v>
      </c>
      <c r="AB639">
        <v>0</v>
      </c>
      <c r="AC639">
        <v>29</v>
      </c>
      <c r="AD639">
        <v>16</v>
      </c>
      <c r="AE639">
        <v>148</v>
      </c>
      <c r="AF639">
        <v>2438</v>
      </c>
      <c r="AJ639">
        <v>4.93</v>
      </c>
      <c r="AK639" t="str">
        <f t="shared" si="9"/>
        <v>ME100-5000</v>
      </c>
    </row>
    <row r="640" spans="1:37">
      <c r="A640" t="s">
        <v>1173</v>
      </c>
      <c r="B640" t="s">
        <v>1171</v>
      </c>
      <c r="C640" t="s">
        <v>1027</v>
      </c>
      <c r="D640" t="s">
        <v>284</v>
      </c>
      <c r="E640">
        <v>50</v>
      </c>
      <c r="F640">
        <v>10.199999999999999</v>
      </c>
      <c r="G640">
        <v>40</v>
      </c>
      <c r="H640">
        <v>32</v>
      </c>
      <c r="I640">
        <v>69</v>
      </c>
      <c r="J640">
        <v>64</v>
      </c>
      <c r="K640">
        <v>1352</v>
      </c>
      <c r="L640">
        <v>10</v>
      </c>
      <c r="M640">
        <v>0</v>
      </c>
      <c r="N640">
        <v>34</v>
      </c>
      <c r="O640">
        <v>0</v>
      </c>
      <c r="P640">
        <v>120</v>
      </c>
      <c r="Q640">
        <v>1318</v>
      </c>
      <c r="R640">
        <v>0</v>
      </c>
      <c r="S640">
        <v>33</v>
      </c>
      <c r="T640">
        <v>64</v>
      </c>
      <c r="U640">
        <v>0</v>
      </c>
      <c r="V640">
        <v>0</v>
      </c>
      <c r="W640">
        <v>214</v>
      </c>
      <c r="X640">
        <v>101</v>
      </c>
      <c r="Y640">
        <v>105</v>
      </c>
      <c r="Z640">
        <v>153</v>
      </c>
      <c r="AA640">
        <v>73</v>
      </c>
      <c r="AB640">
        <v>0</v>
      </c>
      <c r="AC640">
        <v>28</v>
      </c>
      <c r="AD640">
        <v>0</v>
      </c>
      <c r="AE640">
        <v>771</v>
      </c>
      <c r="AF640">
        <v>1697</v>
      </c>
      <c r="AJ640">
        <v>3.98</v>
      </c>
      <c r="AK640" t="str">
        <f t="shared" si="9"/>
        <v>ME100-6200</v>
      </c>
    </row>
    <row r="641" spans="1:37">
      <c r="A641" t="s">
        <v>1174</v>
      </c>
      <c r="B641" t="s">
        <v>1175</v>
      </c>
      <c r="C641" t="s">
        <v>329</v>
      </c>
      <c r="D641" t="s">
        <v>306</v>
      </c>
      <c r="E641">
        <v>50</v>
      </c>
      <c r="F641">
        <v>0</v>
      </c>
      <c r="G641">
        <v>17</v>
      </c>
      <c r="H641">
        <v>0</v>
      </c>
      <c r="I641">
        <v>0</v>
      </c>
      <c r="J641">
        <v>8</v>
      </c>
      <c r="K641">
        <v>147</v>
      </c>
      <c r="L641">
        <v>17</v>
      </c>
      <c r="M641">
        <v>0</v>
      </c>
      <c r="N641">
        <v>14</v>
      </c>
      <c r="O641">
        <v>0</v>
      </c>
      <c r="P641">
        <v>0</v>
      </c>
      <c r="Q641">
        <v>133</v>
      </c>
      <c r="R641">
        <v>14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30</v>
      </c>
      <c r="Z641">
        <v>0</v>
      </c>
      <c r="AA641">
        <v>0</v>
      </c>
      <c r="AB641">
        <v>25</v>
      </c>
      <c r="AC641">
        <v>35</v>
      </c>
      <c r="AD641">
        <v>0</v>
      </c>
      <c r="AE641">
        <v>90</v>
      </c>
      <c r="AF641">
        <v>160</v>
      </c>
      <c r="AJ641">
        <v>4.92</v>
      </c>
      <c r="AK641" t="str">
        <f t="shared" si="9"/>
        <v>MG071-5000</v>
      </c>
    </row>
    <row r="642" spans="1:37">
      <c r="A642" t="s">
        <v>1176</v>
      </c>
      <c r="B642" t="s">
        <v>1175</v>
      </c>
      <c r="C642" t="s">
        <v>329</v>
      </c>
      <c r="D642" t="s">
        <v>306</v>
      </c>
      <c r="E642">
        <v>50</v>
      </c>
      <c r="F642">
        <v>4.0999999999999996</v>
      </c>
      <c r="G642">
        <v>8</v>
      </c>
      <c r="H642">
        <v>87</v>
      </c>
      <c r="I642">
        <v>53</v>
      </c>
      <c r="J642">
        <v>70</v>
      </c>
      <c r="K642">
        <v>1411</v>
      </c>
      <c r="L642">
        <v>24</v>
      </c>
      <c r="M642">
        <v>0</v>
      </c>
      <c r="N642">
        <v>7</v>
      </c>
      <c r="O642">
        <v>0</v>
      </c>
      <c r="P642">
        <v>0</v>
      </c>
      <c r="Q642">
        <v>1404</v>
      </c>
      <c r="R642">
        <v>0</v>
      </c>
      <c r="S642">
        <v>149</v>
      </c>
      <c r="T642">
        <v>0</v>
      </c>
      <c r="U642">
        <v>111</v>
      </c>
      <c r="V642">
        <v>58</v>
      </c>
      <c r="W642">
        <v>0</v>
      </c>
      <c r="X642">
        <v>0</v>
      </c>
      <c r="Y642">
        <v>0</v>
      </c>
      <c r="Z642">
        <v>213</v>
      </c>
      <c r="AA642">
        <v>0</v>
      </c>
      <c r="AB642">
        <v>70</v>
      </c>
      <c r="AC642">
        <v>223</v>
      </c>
      <c r="AD642">
        <v>15</v>
      </c>
      <c r="AE642">
        <v>839</v>
      </c>
      <c r="AF642">
        <v>1509</v>
      </c>
      <c r="AJ642">
        <v>6.14</v>
      </c>
      <c r="AK642" t="str">
        <f t="shared" si="9"/>
        <v>MG071-6200</v>
      </c>
    </row>
    <row r="643" spans="1:37">
      <c r="A643" t="s">
        <v>1177</v>
      </c>
      <c r="B643" t="s">
        <v>1178</v>
      </c>
      <c r="C643" t="s">
        <v>318</v>
      </c>
      <c r="D643" t="s">
        <v>1179</v>
      </c>
      <c r="E643">
        <v>50</v>
      </c>
      <c r="F643">
        <v>-0.7</v>
      </c>
      <c r="G643">
        <v>17</v>
      </c>
      <c r="H643">
        <v>5</v>
      </c>
      <c r="I643">
        <v>3</v>
      </c>
      <c r="J643">
        <v>5</v>
      </c>
      <c r="K643">
        <v>0</v>
      </c>
      <c r="L643">
        <v>0</v>
      </c>
      <c r="M643">
        <v>0</v>
      </c>
      <c r="N643">
        <v>14</v>
      </c>
      <c r="O643">
        <v>0</v>
      </c>
      <c r="P643">
        <v>0</v>
      </c>
      <c r="Q643">
        <v>-14</v>
      </c>
      <c r="R643">
        <v>0</v>
      </c>
      <c r="S643">
        <v>0</v>
      </c>
      <c r="T643">
        <v>0</v>
      </c>
      <c r="U643">
        <v>16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40</v>
      </c>
      <c r="AC643">
        <v>0</v>
      </c>
      <c r="AD643">
        <v>0</v>
      </c>
      <c r="AE643">
        <v>56</v>
      </c>
      <c r="AF643">
        <v>87</v>
      </c>
      <c r="AJ643">
        <v>4.54</v>
      </c>
      <c r="AK643" t="str">
        <f t="shared" si="9"/>
        <v>MG081-5000</v>
      </c>
    </row>
    <row r="644" spans="1:37">
      <c r="A644" t="s">
        <v>1180</v>
      </c>
      <c r="B644" t="s">
        <v>1178</v>
      </c>
      <c r="C644" t="s">
        <v>318</v>
      </c>
      <c r="D644" t="s">
        <v>1179</v>
      </c>
      <c r="E644">
        <v>50</v>
      </c>
      <c r="F644">
        <v>41.6</v>
      </c>
      <c r="G644">
        <v>0</v>
      </c>
      <c r="H644">
        <v>21</v>
      </c>
      <c r="I644">
        <v>30</v>
      </c>
      <c r="J644">
        <v>42</v>
      </c>
      <c r="K644">
        <v>3496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3496</v>
      </c>
      <c r="R644">
        <v>0</v>
      </c>
      <c r="S644">
        <v>41</v>
      </c>
      <c r="T644">
        <v>22</v>
      </c>
      <c r="U644">
        <v>0</v>
      </c>
      <c r="V644">
        <v>53</v>
      </c>
      <c r="W644">
        <v>48</v>
      </c>
      <c r="X644">
        <v>15</v>
      </c>
      <c r="Y644">
        <v>21</v>
      </c>
      <c r="Z644">
        <v>39</v>
      </c>
      <c r="AA644">
        <v>16</v>
      </c>
      <c r="AB644">
        <v>198</v>
      </c>
      <c r="AC644">
        <v>10</v>
      </c>
      <c r="AD644">
        <v>42</v>
      </c>
      <c r="AE644">
        <v>505</v>
      </c>
      <c r="AF644">
        <v>559</v>
      </c>
      <c r="AJ644">
        <v>4.54</v>
      </c>
      <c r="AK644" t="str">
        <f t="shared" si="9"/>
        <v>MG081-6200</v>
      </c>
    </row>
    <row r="645" spans="1:37">
      <c r="A645" t="s">
        <v>1181</v>
      </c>
      <c r="B645" t="s">
        <v>1182</v>
      </c>
      <c r="C645" t="s">
        <v>275</v>
      </c>
      <c r="D645" t="s">
        <v>284</v>
      </c>
      <c r="E645">
        <v>43</v>
      </c>
      <c r="F645">
        <v>2.7</v>
      </c>
      <c r="G645">
        <v>54</v>
      </c>
      <c r="H645">
        <v>191</v>
      </c>
      <c r="I645">
        <v>158</v>
      </c>
      <c r="J645">
        <v>168</v>
      </c>
      <c r="K645">
        <v>2075</v>
      </c>
      <c r="L645">
        <v>147</v>
      </c>
      <c r="M645">
        <v>0</v>
      </c>
      <c r="N645">
        <v>45</v>
      </c>
      <c r="O645">
        <v>0</v>
      </c>
      <c r="P645">
        <v>0</v>
      </c>
      <c r="Q645">
        <v>2030</v>
      </c>
      <c r="R645">
        <v>0</v>
      </c>
      <c r="S645">
        <v>167</v>
      </c>
      <c r="T645">
        <v>274</v>
      </c>
      <c r="U645">
        <v>133</v>
      </c>
      <c r="V645">
        <v>0</v>
      </c>
      <c r="W645">
        <v>278</v>
      </c>
      <c r="X645">
        <v>94</v>
      </c>
      <c r="Y645">
        <v>156</v>
      </c>
      <c r="Z645">
        <v>260</v>
      </c>
      <c r="AA645">
        <v>96</v>
      </c>
      <c r="AB645">
        <v>350</v>
      </c>
      <c r="AC645">
        <v>22</v>
      </c>
      <c r="AD645">
        <v>188</v>
      </c>
      <c r="AE645">
        <v>2018</v>
      </c>
      <c r="AF645">
        <v>2621</v>
      </c>
      <c r="AJ645">
        <v>6.27</v>
      </c>
      <c r="AK645" t="str">
        <f t="shared" ref="AK645:AK708" si="10">MID(A645,4,10)</f>
        <v>MG115-6200</v>
      </c>
    </row>
    <row r="646" spans="1:37">
      <c r="A646" t="s">
        <v>1183</v>
      </c>
      <c r="B646" t="s">
        <v>1184</v>
      </c>
      <c r="C646" t="s">
        <v>110</v>
      </c>
      <c r="E646">
        <v>45</v>
      </c>
      <c r="F646">
        <v>65.099999999999994</v>
      </c>
      <c r="G646">
        <v>0</v>
      </c>
      <c r="H646">
        <v>2</v>
      </c>
      <c r="I646">
        <v>1</v>
      </c>
      <c r="J646">
        <v>3</v>
      </c>
      <c r="K646">
        <v>434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434</v>
      </c>
      <c r="R646">
        <v>0</v>
      </c>
      <c r="S646">
        <v>0</v>
      </c>
      <c r="T646">
        <v>5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7</v>
      </c>
      <c r="AA646">
        <v>4</v>
      </c>
      <c r="AB646">
        <v>18</v>
      </c>
      <c r="AC646">
        <v>7</v>
      </c>
      <c r="AD646">
        <v>0</v>
      </c>
      <c r="AE646">
        <v>41</v>
      </c>
      <c r="AF646">
        <v>164</v>
      </c>
      <c r="AJ646">
        <v>4.1500000000000004</v>
      </c>
      <c r="AK646" t="str">
        <f t="shared" si="10"/>
        <v>MG120-5000</v>
      </c>
    </row>
    <row r="647" spans="1:37">
      <c r="A647" t="s">
        <v>1185</v>
      </c>
      <c r="B647" t="s">
        <v>1184</v>
      </c>
      <c r="C647" t="s">
        <v>110</v>
      </c>
      <c r="E647">
        <v>45</v>
      </c>
      <c r="F647">
        <v>31.1</v>
      </c>
      <c r="G647">
        <v>0</v>
      </c>
      <c r="H647">
        <v>17</v>
      </c>
      <c r="I647">
        <v>9</v>
      </c>
      <c r="J647">
        <v>10</v>
      </c>
      <c r="K647">
        <v>2113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2113</v>
      </c>
      <c r="R647">
        <v>0</v>
      </c>
      <c r="S647">
        <v>25</v>
      </c>
      <c r="T647">
        <v>26</v>
      </c>
      <c r="U647">
        <v>0</v>
      </c>
      <c r="V647">
        <v>0</v>
      </c>
      <c r="W647">
        <v>0</v>
      </c>
      <c r="X647">
        <v>0</v>
      </c>
      <c r="Y647">
        <v>21</v>
      </c>
      <c r="Z647">
        <v>0</v>
      </c>
      <c r="AA647">
        <v>10</v>
      </c>
      <c r="AB647">
        <v>14</v>
      </c>
      <c r="AC647">
        <v>24</v>
      </c>
      <c r="AD647">
        <v>0</v>
      </c>
      <c r="AE647">
        <v>120</v>
      </c>
      <c r="AF647">
        <v>1008</v>
      </c>
      <c r="AJ647">
        <v>4.25</v>
      </c>
      <c r="AK647" t="str">
        <f t="shared" si="10"/>
        <v>MG120-6200</v>
      </c>
    </row>
    <row r="648" spans="1:37">
      <c r="A648" t="s">
        <v>1186</v>
      </c>
      <c r="B648" t="s">
        <v>1187</v>
      </c>
      <c r="C648" t="s">
        <v>338</v>
      </c>
      <c r="E648">
        <v>43</v>
      </c>
      <c r="F648">
        <v>0</v>
      </c>
      <c r="G648">
        <v>0</v>
      </c>
      <c r="H648">
        <v>0</v>
      </c>
      <c r="I648">
        <v>4</v>
      </c>
      <c r="J648">
        <v>15</v>
      </c>
      <c r="K648">
        <v>1375</v>
      </c>
      <c r="L648">
        <v>6</v>
      </c>
      <c r="M648">
        <v>0</v>
      </c>
      <c r="N648">
        <v>0</v>
      </c>
      <c r="O648">
        <v>0</v>
      </c>
      <c r="P648">
        <v>0</v>
      </c>
      <c r="Q648">
        <v>1375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26</v>
      </c>
      <c r="X648">
        <v>0</v>
      </c>
      <c r="Y648">
        <v>38</v>
      </c>
      <c r="Z648">
        <v>11</v>
      </c>
      <c r="AA648">
        <v>0</v>
      </c>
      <c r="AB648">
        <v>51</v>
      </c>
      <c r="AC648">
        <v>48</v>
      </c>
      <c r="AD648">
        <v>0</v>
      </c>
      <c r="AE648">
        <v>174</v>
      </c>
      <c r="AF648">
        <v>177</v>
      </c>
      <c r="AJ648">
        <v>3.73</v>
      </c>
      <c r="AK648" t="str">
        <f t="shared" si="10"/>
        <v>MG125-6200</v>
      </c>
    </row>
    <row r="649" spans="1:37">
      <c r="A649" t="s">
        <v>1188</v>
      </c>
      <c r="B649" t="s">
        <v>1189</v>
      </c>
      <c r="C649" t="s">
        <v>329</v>
      </c>
      <c r="E649">
        <v>50</v>
      </c>
      <c r="F649">
        <v>0</v>
      </c>
      <c r="G649">
        <v>6</v>
      </c>
      <c r="H649">
        <v>62</v>
      </c>
      <c r="I649">
        <v>32</v>
      </c>
      <c r="J649">
        <v>21</v>
      </c>
      <c r="K649">
        <v>0</v>
      </c>
      <c r="L649">
        <v>90</v>
      </c>
      <c r="M649">
        <v>0</v>
      </c>
      <c r="N649">
        <v>5</v>
      </c>
      <c r="O649">
        <v>0</v>
      </c>
      <c r="P649">
        <v>0</v>
      </c>
      <c r="Q649">
        <v>-5</v>
      </c>
      <c r="R649">
        <v>0</v>
      </c>
      <c r="S649">
        <v>120</v>
      </c>
      <c r="T649">
        <v>0</v>
      </c>
      <c r="U649">
        <v>65</v>
      </c>
      <c r="V649">
        <v>0</v>
      </c>
      <c r="W649">
        <v>0</v>
      </c>
      <c r="X649">
        <v>7</v>
      </c>
      <c r="Y649">
        <v>0</v>
      </c>
      <c r="Z649">
        <v>6</v>
      </c>
      <c r="AA649">
        <v>22</v>
      </c>
      <c r="AB649">
        <v>14</v>
      </c>
      <c r="AC649">
        <v>12</v>
      </c>
      <c r="AD649">
        <v>0</v>
      </c>
      <c r="AE649">
        <v>246</v>
      </c>
      <c r="AF649">
        <v>310</v>
      </c>
      <c r="AJ649">
        <v>4.92</v>
      </c>
      <c r="AK649" t="str">
        <f t="shared" si="10"/>
        <v>MG130-5000</v>
      </c>
    </row>
    <row r="650" spans="1:37">
      <c r="A650" t="s">
        <v>1190</v>
      </c>
      <c r="B650" t="s">
        <v>1189</v>
      </c>
      <c r="C650" t="s">
        <v>329</v>
      </c>
      <c r="E650">
        <v>50</v>
      </c>
      <c r="F650">
        <v>3.1</v>
      </c>
      <c r="G650">
        <v>56</v>
      </c>
      <c r="H650">
        <v>38</v>
      </c>
      <c r="I650">
        <v>33</v>
      </c>
      <c r="J650">
        <v>42</v>
      </c>
      <c r="K650">
        <v>521</v>
      </c>
      <c r="L650">
        <v>0</v>
      </c>
      <c r="M650">
        <v>0</v>
      </c>
      <c r="N650">
        <v>47</v>
      </c>
      <c r="O650">
        <v>0</v>
      </c>
      <c r="P650">
        <v>0</v>
      </c>
      <c r="Q650">
        <v>474</v>
      </c>
      <c r="R650">
        <v>0</v>
      </c>
      <c r="S650">
        <v>65</v>
      </c>
      <c r="T650">
        <v>48</v>
      </c>
      <c r="U650">
        <v>0</v>
      </c>
      <c r="V650">
        <v>0</v>
      </c>
      <c r="W650">
        <v>87</v>
      </c>
      <c r="X650">
        <v>0</v>
      </c>
      <c r="Y650">
        <v>52</v>
      </c>
      <c r="Z650">
        <v>100</v>
      </c>
      <c r="AA650">
        <v>18</v>
      </c>
      <c r="AB650">
        <v>72</v>
      </c>
      <c r="AC650">
        <v>57</v>
      </c>
      <c r="AD650">
        <v>0</v>
      </c>
      <c r="AE650">
        <v>499</v>
      </c>
      <c r="AF650">
        <v>884</v>
      </c>
      <c r="AJ650">
        <v>4.63</v>
      </c>
      <c r="AK650" t="str">
        <f t="shared" si="10"/>
        <v>MG130-6200</v>
      </c>
    </row>
    <row r="651" spans="1:37">
      <c r="A651" t="s">
        <v>1191</v>
      </c>
      <c r="B651" t="s">
        <v>1192</v>
      </c>
      <c r="C651" t="s">
        <v>338</v>
      </c>
      <c r="E651">
        <v>65</v>
      </c>
      <c r="F651">
        <v>0</v>
      </c>
      <c r="G651">
        <v>0</v>
      </c>
      <c r="H651">
        <v>0</v>
      </c>
      <c r="I651">
        <v>6</v>
      </c>
      <c r="J651">
        <v>3</v>
      </c>
      <c r="K651">
        <v>98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98</v>
      </c>
      <c r="R651">
        <v>0</v>
      </c>
      <c r="S651">
        <v>0</v>
      </c>
      <c r="T651">
        <v>0</v>
      </c>
      <c r="U651">
        <v>0</v>
      </c>
      <c r="V651">
        <v>14</v>
      </c>
      <c r="W651">
        <v>0</v>
      </c>
      <c r="X651">
        <v>20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34</v>
      </c>
      <c r="AF651">
        <v>161</v>
      </c>
      <c r="AJ651">
        <v>0</v>
      </c>
      <c r="AK651" t="str">
        <f t="shared" si="10"/>
        <v>MG135-5000</v>
      </c>
    </row>
    <row r="652" spans="1:37">
      <c r="A652" t="s">
        <v>1193</v>
      </c>
      <c r="B652" t="s">
        <v>1192</v>
      </c>
      <c r="C652" t="s">
        <v>338</v>
      </c>
      <c r="E652">
        <v>65</v>
      </c>
      <c r="F652">
        <v>30.6</v>
      </c>
      <c r="G652">
        <v>0</v>
      </c>
      <c r="H652">
        <v>8</v>
      </c>
      <c r="I652">
        <v>9</v>
      </c>
      <c r="J652">
        <v>12</v>
      </c>
      <c r="K652">
        <v>980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980</v>
      </c>
      <c r="R652">
        <v>0</v>
      </c>
      <c r="S652">
        <v>0</v>
      </c>
      <c r="T652">
        <v>24</v>
      </c>
      <c r="U652">
        <v>0</v>
      </c>
      <c r="V652">
        <v>0</v>
      </c>
      <c r="W652">
        <v>28</v>
      </c>
      <c r="X652">
        <v>0</v>
      </c>
      <c r="Y652">
        <v>18</v>
      </c>
      <c r="Z652">
        <v>0</v>
      </c>
      <c r="AA652">
        <v>35</v>
      </c>
      <c r="AB652">
        <v>20</v>
      </c>
      <c r="AC652">
        <v>9</v>
      </c>
      <c r="AD652">
        <v>13</v>
      </c>
      <c r="AE652">
        <v>147</v>
      </c>
      <c r="AF652">
        <v>422</v>
      </c>
      <c r="AJ652">
        <v>3.73</v>
      </c>
      <c r="AK652" t="str">
        <f t="shared" si="10"/>
        <v>MG135-6200</v>
      </c>
    </row>
    <row r="653" spans="1:37">
      <c r="A653" t="s">
        <v>1194</v>
      </c>
      <c r="B653" t="s">
        <v>1195</v>
      </c>
      <c r="C653" t="s">
        <v>338</v>
      </c>
      <c r="E653">
        <v>65</v>
      </c>
      <c r="F653">
        <v>7.7</v>
      </c>
      <c r="G653">
        <v>0</v>
      </c>
      <c r="H653">
        <v>17</v>
      </c>
      <c r="I653">
        <v>13</v>
      </c>
      <c r="J653">
        <v>12</v>
      </c>
      <c r="K653">
        <v>522</v>
      </c>
      <c r="L653">
        <v>12</v>
      </c>
      <c r="M653">
        <v>0</v>
      </c>
      <c r="N653">
        <v>0</v>
      </c>
      <c r="O653">
        <v>0</v>
      </c>
      <c r="P653">
        <v>0</v>
      </c>
      <c r="Q653">
        <v>522</v>
      </c>
      <c r="R653">
        <v>0</v>
      </c>
      <c r="S653">
        <v>39</v>
      </c>
      <c r="T653">
        <v>0</v>
      </c>
      <c r="U653">
        <v>12</v>
      </c>
      <c r="V653">
        <v>0</v>
      </c>
      <c r="W653">
        <v>0</v>
      </c>
      <c r="X653">
        <v>28</v>
      </c>
      <c r="Y653">
        <v>0</v>
      </c>
      <c r="Z653">
        <v>8</v>
      </c>
      <c r="AA653">
        <v>12</v>
      </c>
      <c r="AB653">
        <v>19</v>
      </c>
      <c r="AC653">
        <v>20</v>
      </c>
      <c r="AD653">
        <v>0</v>
      </c>
      <c r="AE653">
        <v>138</v>
      </c>
      <c r="AF653">
        <v>226</v>
      </c>
      <c r="AJ653">
        <v>6.75</v>
      </c>
      <c r="AK653" t="str">
        <f t="shared" si="10"/>
        <v>MG145-5000</v>
      </c>
    </row>
    <row r="654" spans="1:37">
      <c r="A654" t="s">
        <v>1196</v>
      </c>
      <c r="B654" t="s">
        <v>1195</v>
      </c>
      <c r="C654" t="s">
        <v>338</v>
      </c>
      <c r="E654">
        <v>65</v>
      </c>
      <c r="F654">
        <v>18</v>
      </c>
      <c r="G654">
        <v>84</v>
      </c>
      <c r="H654">
        <v>22</v>
      </c>
      <c r="I654">
        <v>44</v>
      </c>
      <c r="J654">
        <v>64</v>
      </c>
      <c r="K654">
        <v>1633</v>
      </c>
      <c r="L654">
        <v>38</v>
      </c>
      <c r="M654">
        <v>0</v>
      </c>
      <c r="N654">
        <v>70</v>
      </c>
      <c r="O654">
        <v>0</v>
      </c>
      <c r="P654">
        <v>0</v>
      </c>
      <c r="Q654">
        <v>1563</v>
      </c>
      <c r="R654">
        <v>0</v>
      </c>
      <c r="S654">
        <v>17</v>
      </c>
      <c r="T654">
        <v>48</v>
      </c>
      <c r="U654">
        <v>0</v>
      </c>
      <c r="V654">
        <v>0</v>
      </c>
      <c r="W654">
        <v>196</v>
      </c>
      <c r="X654">
        <v>0</v>
      </c>
      <c r="Y654">
        <v>130</v>
      </c>
      <c r="Z654">
        <v>76</v>
      </c>
      <c r="AA654">
        <v>76</v>
      </c>
      <c r="AB654">
        <v>149</v>
      </c>
      <c r="AC654">
        <v>73</v>
      </c>
      <c r="AD654">
        <v>0</v>
      </c>
      <c r="AE654">
        <v>765</v>
      </c>
      <c r="AF654">
        <v>698</v>
      </c>
      <c r="AJ654">
        <v>6.75</v>
      </c>
      <c r="AK654" t="str">
        <f t="shared" si="10"/>
        <v>MG145-6200</v>
      </c>
    </row>
    <row r="655" spans="1:37">
      <c r="A655" t="s">
        <v>1197</v>
      </c>
      <c r="B655" t="s">
        <v>1198</v>
      </c>
      <c r="C655" t="s">
        <v>1027</v>
      </c>
      <c r="E655">
        <v>43</v>
      </c>
      <c r="F655">
        <v>0</v>
      </c>
      <c r="G655">
        <v>0</v>
      </c>
      <c r="H655">
        <v>0</v>
      </c>
      <c r="I655">
        <v>0</v>
      </c>
      <c r="J655">
        <v>18</v>
      </c>
      <c r="K655">
        <v>2022</v>
      </c>
      <c r="L655">
        <v>17</v>
      </c>
      <c r="M655">
        <v>0</v>
      </c>
      <c r="N655">
        <v>0</v>
      </c>
      <c r="O655">
        <v>0</v>
      </c>
      <c r="P655">
        <v>0</v>
      </c>
      <c r="Q655">
        <v>2022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80</v>
      </c>
      <c r="AA655">
        <v>12</v>
      </c>
      <c r="AB655">
        <v>71</v>
      </c>
      <c r="AC655">
        <v>22</v>
      </c>
      <c r="AD655">
        <v>25</v>
      </c>
      <c r="AE655">
        <v>210</v>
      </c>
      <c r="AF655">
        <v>491</v>
      </c>
      <c r="AJ655">
        <v>3.27</v>
      </c>
      <c r="AK655" t="str">
        <f t="shared" si="10"/>
        <v>MG155-6200</v>
      </c>
    </row>
    <row r="656" spans="1:37">
      <c r="A656" t="s">
        <v>1199</v>
      </c>
      <c r="B656" t="s">
        <v>1200</v>
      </c>
      <c r="C656" t="s">
        <v>267</v>
      </c>
      <c r="E656">
        <v>43</v>
      </c>
      <c r="F656">
        <v>21.1</v>
      </c>
      <c r="G656">
        <v>65</v>
      </c>
      <c r="H656">
        <v>22</v>
      </c>
      <c r="I656">
        <v>32</v>
      </c>
      <c r="J656">
        <v>33</v>
      </c>
      <c r="K656">
        <v>1913</v>
      </c>
      <c r="L656">
        <v>31</v>
      </c>
      <c r="M656">
        <v>0</v>
      </c>
      <c r="N656">
        <v>54</v>
      </c>
      <c r="O656">
        <v>0</v>
      </c>
      <c r="P656">
        <v>0</v>
      </c>
      <c r="Q656">
        <v>1859</v>
      </c>
      <c r="R656">
        <v>82</v>
      </c>
      <c r="S656">
        <v>8</v>
      </c>
      <c r="T656">
        <v>0</v>
      </c>
      <c r="U656">
        <v>58</v>
      </c>
      <c r="V656">
        <v>0</v>
      </c>
      <c r="W656">
        <v>58</v>
      </c>
      <c r="X656">
        <v>67</v>
      </c>
      <c r="Y656">
        <v>59</v>
      </c>
      <c r="Z656">
        <v>75</v>
      </c>
      <c r="AA656">
        <v>0</v>
      </c>
      <c r="AB656">
        <v>70</v>
      </c>
      <c r="AC656">
        <v>0</v>
      </c>
      <c r="AD656">
        <v>0</v>
      </c>
      <c r="AE656">
        <v>395</v>
      </c>
      <c r="AF656">
        <v>684</v>
      </c>
      <c r="AJ656">
        <v>4.4400000000000004</v>
      </c>
      <c r="AK656" t="str">
        <f t="shared" si="10"/>
        <v>MG160-5000</v>
      </c>
    </row>
    <row r="657" spans="1:37">
      <c r="A657" t="s">
        <v>1201</v>
      </c>
      <c r="B657" t="s">
        <v>1200</v>
      </c>
      <c r="C657" t="s">
        <v>267</v>
      </c>
      <c r="E657">
        <v>43</v>
      </c>
      <c r="F657">
        <v>0.2</v>
      </c>
      <c r="G657">
        <v>112</v>
      </c>
      <c r="H657">
        <v>249</v>
      </c>
      <c r="I657">
        <v>213</v>
      </c>
      <c r="J657">
        <v>217</v>
      </c>
      <c r="K657">
        <v>336</v>
      </c>
      <c r="L657">
        <v>41</v>
      </c>
      <c r="M657">
        <v>89</v>
      </c>
      <c r="N657">
        <v>93</v>
      </c>
      <c r="O657">
        <v>0</v>
      </c>
      <c r="P657">
        <v>0</v>
      </c>
      <c r="Q657">
        <v>243</v>
      </c>
      <c r="R657">
        <v>0</v>
      </c>
      <c r="S657">
        <v>400</v>
      </c>
      <c r="T657">
        <v>188</v>
      </c>
      <c r="U657">
        <v>160</v>
      </c>
      <c r="V657">
        <v>8</v>
      </c>
      <c r="W657">
        <v>300</v>
      </c>
      <c r="X657">
        <v>219</v>
      </c>
      <c r="Y657">
        <v>79</v>
      </c>
      <c r="Z657">
        <v>479</v>
      </c>
      <c r="AA657">
        <v>137</v>
      </c>
      <c r="AB657">
        <v>390</v>
      </c>
      <c r="AC657">
        <v>243</v>
      </c>
      <c r="AD657">
        <v>0</v>
      </c>
      <c r="AE657">
        <v>2603</v>
      </c>
      <c r="AF657">
        <v>3010</v>
      </c>
      <c r="AJ657">
        <v>4.57</v>
      </c>
      <c r="AK657" t="str">
        <f t="shared" si="10"/>
        <v>MG160-6200</v>
      </c>
    </row>
    <row r="658" spans="1:37">
      <c r="A658" t="s">
        <v>1202</v>
      </c>
      <c r="B658" t="s">
        <v>1203</v>
      </c>
      <c r="C658" t="s">
        <v>267</v>
      </c>
      <c r="E658">
        <v>50</v>
      </c>
      <c r="F658">
        <v>0</v>
      </c>
      <c r="G658">
        <v>0</v>
      </c>
      <c r="H658">
        <v>0</v>
      </c>
      <c r="I658">
        <v>3</v>
      </c>
      <c r="J658">
        <v>4</v>
      </c>
      <c r="K658">
        <v>640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640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18</v>
      </c>
      <c r="X658">
        <v>0</v>
      </c>
      <c r="Y658">
        <v>9</v>
      </c>
      <c r="Z658">
        <v>0</v>
      </c>
      <c r="AA658">
        <v>0</v>
      </c>
      <c r="AB658">
        <v>1</v>
      </c>
      <c r="AC658">
        <v>19</v>
      </c>
      <c r="AD658">
        <v>0</v>
      </c>
      <c r="AE658">
        <v>47</v>
      </c>
      <c r="AF658">
        <v>76</v>
      </c>
      <c r="AJ658">
        <v>5.25</v>
      </c>
      <c r="AK658" t="str">
        <f t="shared" si="10"/>
        <v>MG170-5000</v>
      </c>
    </row>
    <row r="659" spans="1:37">
      <c r="A659" t="s">
        <v>1204</v>
      </c>
      <c r="B659" t="s">
        <v>1203</v>
      </c>
      <c r="C659" t="s">
        <v>267</v>
      </c>
      <c r="E659">
        <v>50</v>
      </c>
      <c r="F659">
        <v>0</v>
      </c>
      <c r="G659">
        <v>0</v>
      </c>
      <c r="H659">
        <v>0</v>
      </c>
      <c r="I659">
        <v>3</v>
      </c>
      <c r="J659">
        <v>6</v>
      </c>
      <c r="K659">
        <v>3751</v>
      </c>
      <c r="L659">
        <v>6</v>
      </c>
      <c r="M659">
        <v>0</v>
      </c>
      <c r="N659">
        <v>0</v>
      </c>
      <c r="O659">
        <v>0</v>
      </c>
      <c r="P659">
        <v>0</v>
      </c>
      <c r="Q659">
        <v>3751</v>
      </c>
      <c r="R659">
        <v>0</v>
      </c>
      <c r="S659">
        <v>0</v>
      </c>
      <c r="T659">
        <v>0</v>
      </c>
      <c r="U659">
        <v>0</v>
      </c>
      <c r="V659">
        <v>7</v>
      </c>
      <c r="W659">
        <v>9</v>
      </c>
      <c r="X659">
        <v>0</v>
      </c>
      <c r="Y659">
        <v>10</v>
      </c>
      <c r="Z659">
        <v>31</v>
      </c>
      <c r="AA659">
        <v>0</v>
      </c>
      <c r="AB659">
        <v>16</v>
      </c>
      <c r="AC659">
        <v>0</v>
      </c>
      <c r="AD659">
        <v>0</v>
      </c>
      <c r="AE659">
        <v>73</v>
      </c>
      <c r="AF659">
        <v>104</v>
      </c>
      <c r="AJ659">
        <v>4.88</v>
      </c>
      <c r="AK659" t="str">
        <f t="shared" si="10"/>
        <v>MG170-6200</v>
      </c>
    </row>
    <row r="660" spans="1:37">
      <c r="A660" t="s">
        <v>1205</v>
      </c>
      <c r="B660" t="s">
        <v>1206</v>
      </c>
      <c r="C660" t="s">
        <v>275</v>
      </c>
      <c r="D660" t="s">
        <v>284</v>
      </c>
      <c r="E660">
        <v>43</v>
      </c>
      <c r="F660">
        <v>1.2</v>
      </c>
      <c r="G660">
        <v>86</v>
      </c>
      <c r="H660">
        <v>72</v>
      </c>
      <c r="I660">
        <v>114</v>
      </c>
      <c r="J660">
        <v>132</v>
      </c>
      <c r="K660">
        <v>425</v>
      </c>
      <c r="L660">
        <v>30</v>
      </c>
      <c r="M660">
        <v>0</v>
      </c>
      <c r="N660">
        <v>72</v>
      </c>
      <c r="O660">
        <v>0</v>
      </c>
      <c r="P660">
        <v>0</v>
      </c>
      <c r="Q660">
        <v>353</v>
      </c>
      <c r="R660">
        <v>14</v>
      </c>
      <c r="S660">
        <v>54</v>
      </c>
      <c r="T660">
        <v>105</v>
      </c>
      <c r="U660">
        <v>56</v>
      </c>
      <c r="V660">
        <v>71</v>
      </c>
      <c r="W660">
        <v>339</v>
      </c>
      <c r="X660">
        <v>60</v>
      </c>
      <c r="Y660">
        <v>186</v>
      </c>
      <c r="Z660">
        <v>45</v>
      </c>
      <c r="AA660">
        <v>202</v>
      </c>
      <c r="AB660">
        <v>165</v>
      </c>
      <c r="AC660">
        <v>211</v>
      </c>
      <c r="AD660">
        <v>93</v>
      </c>
      <c r="AE660">
        <v>1587</v>
      </c>
      <c r="AF660">
        <v>2019</v>
      </c>
      <c r="AJ660">
        <v>5.84</v>
      </c>
      <c r="AK660" t="str">
        <f t="shared" si="10"/>
        <v>MG180-6200</v>
      </c>
    </row>
    <row r="661" spans="1:37">
      <c r="A661" t="s">
        <v>1207</v>
      </c>
      <c r="B661" t="s">
        <v>1208</v>
      </c>
      <c r="C661" t="s">
        <v>313</v>
      </c>
      <c r="E661">
        <v>43</v>
      </c>
      <c r="F661">
        <v>15.3</v>
      </c>
      <c r="G661">
        <v>11</v>
      </c>
      <c r="H661">
        <v>16</v>
      </c>
      <c r="I661">
        <v>14</v>
      </c>
      <c r="J661">
        <v>14</v>
      </c>
      <c r="K661">
        <v>1012</v>
      </c>
      <c r="L661">
        <v>11</v>
      </c>
      <c r="M661">
        <v>0</v>
      </c>
      <c r="N661">
        <v>9</v>
      </c>
      <c r="O661">
        <v>0</v>
      </c>
      <c r="P661">
        <v>0</v>
      </c>
      <c r="Q661">
        <v>1003</v>
      </c>
      <c r="R661">
        <v>2</v>
      </c>
      <c r="S661">
        <v>3</v>
      </c>
      <c r="T661">
        <v>34</v>
      </c>
      <c r="U661">
        <v>12</v>
      </c>
      <c r="V661">
        <v>6</v>
      </c>
      <c r="W661">
        <v>0</v>
      </c>
      <c r="X661">
        <v>31</v>
      </c>
      <c r="Y661">
        <v>11</v>
      </c>
      <c r="Z661">
        <v>19</v>
      </c>
      <c r="AA661">
        <v>0</v>
      </c>
      <c r="AB661">
        <v>21</v>
      </c>
      <c r="AC661">
        <v>0</v>
      </c>
      <c r="AD661">
        <v>32</v>
      </c>
      <c r="AE661">
        <v>169</v>
      </c>
      <c r="AF661">
        <v>145</v>
      </c>
      <c r="AJ661">
        <v>5.27</v>
      </c>
      <c r="AK661" t="str">
        <f t="shared" si="10"/>
        <v>MG190-5000</v>
      </c>
    </row>
    <row r="662" spans="1:37">
      <c r="A662" t="s">
        <v>1209</v>
      </c>
      <c r="B662" t="s">
        <v>1208</v>
      </c>
      <c r="C662" t="s">
        <v>313</v>
      </c>
      <c r="E662">
        <v>43</v>
      </c>
      <c r="F662">
        <v>2.1</v>
      </c>
      <c r="G662">
        <v>90</v>
      </c>
      <c r="H662">
        <v>141</v>
      </c>
      <c r="I662">
        <v>132</v>
      </c>
      <c r="J662">
        <v>134</v>
      </c>
      <c r="K662">
        <v>1266</v>
      </c>
      <c r="L662">
        <v>112</v>
      </c>
      <c r="M662">
        <v>0</v>
      </c>
      <c r="N662">
        <v>75</v>
      </c>
      <c r="O662">
        <v>0</v>
      </c>
      <c r="P662">
        <v>0</v>
      </c>
      <c r="Q662">
        <v>1191</v>
      </c>
      <c r="R662">
        <v>0</v>
      </c>
      <c r="S662">
        <v>114</v>
      </c>
      <c r="T662">
        <v>164</v>
      </c>
      <c r="U662">
        <v>145</v>
      </c>
      <c r="V662">
        <v>8</v>
      </c>
      <c r="W662">
        <v>213</v>
      </c>
      <c r="X662">
        <v>148</v>
      </c>
      <c r="Y662">
        <v>165</v>
      </c>
      <c r="Z662">
        <v>206</v>
      </c>
      <c r="AA662">
        <v>120</v>
      </c>
      <c r="AB662">
        <v>21</v>
      </c>
      <c r="AC662">
        <v>193</v>
      </c>
      <c r="AD662">
        <v>112</v>
      </c>
      <c r="AE662">
        <v>1609</v>
      </c>
      <c r="AF662">
        <v>1338</v>
      </c>
      <c r="AJ662">
        <v>5.0199999999999996</v>
      </c>
      <c r="AK662" t="str">
        <f t="shared" si="10"/>
        <v>MG190-6200</v>
      </c>
    </row>
    <row r="663" spans="1:37">
      <c r="A663" t="s">
        <v>5295</v>
      </c>
      <c r="B663" t="s">
        <v>1211</v>
      </c>
      <c r="C663" t="s">
        <v>313</v>
      </c>
      <c r="E663">
        <v>43</v>
      </c>
      <c r="F663">
        <v>0</v>
      </c>
      <c r="G663">
        <v>0</v>
      </c>
      <c r="H663">
        <v>18</v>
      </c>
      <c r="I663">
        <v>9</v>
      </c>
      <c r="J663">
        <v>6</v>
      </c>
      <c r="K663">
        <v>0</v>
      </c>
      <c r="L663">
        <v>3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26</v>
      </c>
      <c r="T663">
        <v>0</v>
      </c>
      <c r="U663">
        <v>27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21</v>
      </c>
      <c r="AD663">
        <v>0</v>
      </c>
      <c r="AE663">
        <v>74</v>
      </c>
      <c r="AF663">
        <v>141</v>
      </c>
      <c r="AJ663">
        <v>0</v>
      </c>
      <c r="AK663" t="str">
        <f t="shared" si="10"/>
        <v>MG200-5000</v>
      </c>
    </row>
    <row r="664" spans="1:37">
      <c r="A664" t="s">
        <v>1210</v>
      </c>
      <c r="B664" t="s">
        <v>1211</v>
      </c>
      <c r="C664" t="s">
        <v>313</v>
      </c>
      <c r="E664">
        <v>43</v>
      </c>
      <c r="F664">
        <v>6.3</v>
      </c>
      <c r="G664">
        <v>2</v>
      </c>
      <c r="H664">
        <v>115</v>
      </c>
      <c r="I664">
        <v>57</v>
      </c>
      <c r="J664">
        <v>44</v>
      </c>
      <c r="K664">
        <v>2907</v>
      </c>
      <c r="L664">
        <v>13</v>
      </c>
      <c r="M664">
        <v>0</v>
      </c>
      <c r="N664">
        <v>1</v>
      </c>
      <c r="O664">
        <v>0</v>
      </c>
      <c r="P664">
        <v>0</v>
      </c>
      <c r="Q664">
        <v>2906</v>
      </c>
      <c r="R664">
        <v>0</v>
      </c>
      <c r="S664">
        <v>134</v>
      </c>
      <c r="T664">
        <v>159</v>
      </c>
      <c r="U664">
        <v>51</v>
      </c>
      <c r="V664">
        <v>0</v>
      </c>
      <c r="W664">
        <v>0</v>
      </c>
      <c r="X664">
        <v>0</v>
      </c>
      <c r="Y664">
        <v>22</v>
      </c>
      <c r="Z664">
        <v>32</v>
      </c>
      <c r="AA664">
        <v>0</v>
      </c>
      <c r="AB664">
        <v>15</v>
      </c>
      <c r="AC664">
        <v>92</v>
      </c>
      <c r="AD664">
        <v>18</v>
      </c>
      <c r="AE664">
        <v>523</v>
      </c>
      <c r="AF664">
        <v>303</v>
      </c>
      <c r="AJ664">
        <v>5.56</v>
      </c>
      <c r="AK664" t="str">
        <f t="shared" si="10"/>
        <v>MG200-6200</v>
      </c>
    </row>
    <row r="665" spans="1:37">
      <c r="A665" t="s">
        <v>1212</v>
      </c>
      <c r="B665" t="s">
        <v>1213</v>
      </c>
      <c r="C665" t="s">
        <v>329</v>
      </c>
      <c r="E665">
        <v>50</v>
      </c>
      <c r="F665">
        <v>9.8000000000000007</v>
      </c>
      <c r="G665">
        <v>0</v>
      </c>
      <c r="H665">
        <v>4</v>
      </c>
      <c r="I665">
        <v>8</v>
      </c>
      <c r="J665">
        <v>6</v>
      </c>
      <c r="K665">
        <v>143</v>
      </c>
      <c r="L665">
        <v>1</v>
      </c>
      <c r="M665">
        <v>0</v>
      </c>
      <c r="N665">
        <v>0</v>
      </c>
      <c r="O665">
        <v>0</v>
      </c>
      <c r="P665">
        <v>0</v>
      </c>
      <c r="Q665">
        <v>143</v>
      </c>
      <c r="R665">
        <v>0</v>
      </c>
      <c r="S665">
        <v>0</v>
      </c>
      <c r="T665">
        <v>11</v>
      </c>
      <c r="U665">
        <v>0</v>
      </c>
      <c r="V665">
        <v>10</v>
      </c>
      <c r="W665">
        <v>0</v>
      </c>
      <c r="X665">
        <v>26</v>
      </c>
      <c r="Y665">
        <v>0</v>
      </c>
      <c r="Z665">
        <v>0</v>
      </c>
      <c r="AA665">
        <v>0</v>
      </c>
      <c r="AB665">
        <v>10</v>
      </c>
      <c r="AC665">
        <v>20</v>
      </c>
      <c r="AD665">
        <v>0</v>
      </c>
      <c r="AE665">
        <v>77</v>
      </c>
      <c r="AF665">
        <v>161</v>
      </c>
      <c r="AJ665">
        <v>4.92</v>
      </c>
      <c r="AK665" t="str">
        <f t="shared" si="10"/>
        <v>MR120-5000</v>
      </c>
    </row>
    <row r="666" spans="1:37">
      <c r="A666" t="s">
        <v>1214</v>
      </c>
      <c r="B666" t="s">
        <v>1213</v>
      </c>
      <c r="C666" t="s">
        <v>329</v>
      </c>
      <c r="E666">
        <v>50</v>
      </c>
      <c r="F666">
        <v>12.2</v>
      </c>
      <c r="G666">
        <v>0</v>
      </c>
      <c r="H666">
        <v>9</v>
      </c>
      <c r="I666">
        <v>21</v>
      </c>
      <c r="J666">
        <v>19</v>
      </c>
      <c r="K666">
        <v>455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455</v>
      </c>
      <c r="R666">
        <v>0</v>
      </c>
      <c r="S666">
        <v>0</v>
      </c>
      <c r="T666">
        <v>28</v>
      </c>
      <c r="U666">
        <v>0</v>
      </c>
      <c r="V666">
        <v>18</v>
      </c>
      <c r="W666">
        <v>77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108</v>
      </c>
      <c r="AE666">
        <v>231</v>
      </c>
      <c r="AF666">
        <v>568</v>
      </c>
      <c r="AJ666">
        <v>4.92</v>
      </c>
      <c r="AK666" t="str">
        <f t="shared" si="10"/>
        <v>MR120-6200</v>
      </c>
    </row>
    <row r="667" spans="1:37">
      <c r="A667" t="s">
        <v>1215</v>
      </c>
      <c r="B667" t="s">
        <v>1216</v>
      </c>
      <c r="C667" t="s">
        <v>329</v>
      </c>
      <c r="E667">
        <v>50</v>
      </c>
      <c r="F667">
        <v>0</v>
      </c>
      <c r="G667">
        <v>1</v>
      </c>
      <c r="H667">
        <v>17</v>
      </c>
      <c r="I667">
        <v>14</v>
      </c>
      <c r="J667">
        <v>29</v>
      </c>
      <c r="K667">
        <v>0</v>
      </c>
      <c r="L667">
        <v>0</v>
      </c>
      <c r="M667">
        <v>0</v>
      </c>
      <c r="N667">
        <v>1</v>
      </c>
      <c r="O667">
        <v>0</v>
      </c>
      <c r="P667">
        <v>0</v>
      </c>
      <c r="Q667">
        <v>-1</v>
      </c>
      <c r="R667">
        <v>0</v>
      </c>
      <c r="S667">
        <v>19</v>
      </c>
      <c r="T667">
        <v>0</v>
      </c>
      <c r="U667">
        <v>32</v>
      </c>
      <c r="V667">
        <v>5</v>
      </c>
      <c r="W667">
        <v>29</v>
      </c>
      <c r="X667">
        <v>0</v>
      </c>
      <c r="Y667">
        <v>77</v>
      </c>
      <c r="Z667">
        <v>53</v>
      </c>
      <c r="AA667">
        <v>0</v>
      </c>
      <c r="AB667">
        <v>77</v>
      </c>
      <c r="AC667">
        <v>23</v>
      </c>
      <c r="AD667">
        <v>30</v>
      </c>
      <c r="AE667">
        <v>345</v>
      </c>
      <c r="AF667">
        <v>2096</v>
      </c>
      <c r="AJ667">
        <v>4.2</v>
      </c>
      <c r="AK667" t="str">
        <f t="shared" si="10"/>
        <v>MR125-5000</v>
      </c>
    </row>
    <row r="668" spans="1:37">
      <c r="A668" t="s">
        <v>1217</v>
      </c>
      <c r="B668" t="s">
        <v>1216</v>
      </c>
      <c r="C668" t="s">
        <v>329</v>
      </c>
      <c r="E668">
        <v>50</v>
      </c>
      <c r="F668">
        <v>16</v>
      </c>
      <c r="G668">
        <v>0</v>
      </c>
      <c r="H668">
        <v>10</v>
      </c>
      <c r="I668">
        <v>9</v>
      </c>
      <c r="J668">
        <v>12</v>
      </c>
      <c r="K668">
        <v>638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638</v>
      </c>
      <c r="R668">
        <v>0</v>
      </c>
      <c r="S668">
        <v>9</v>
      </c>
      <c r="T668">
        <v>21</v>
      </c>
      <c r="U668">
        <v>0</v>
      </c>
      <c r="V668">
        <v>10</v>
      </c>
      <c r="W668">
        <v>0</v>
      </c>
      <c r="X668">
        <v>16</v>
      </c>
      <c r="Y668">
        <v>23</v>
      </c>
      <c r="Z668">
        <v>39</v>
      </c>
      <c r="AA668">
        <v>9</v>
      </c>
      <c r="AB668">
        <v>2</v>
      </c>
      <c r="AC668">
        <v>7</v>
      </c>
      <c r="AD668">
        <v>10</v>
      </c>
      <c r="AE668">
        <v>146</v>
      </c>
      <c r="AF668">
        <v>1529</v>
      </c>
      <c r="AJ668">
        <v>4.92</v>
      </c>
      <c r="AK668" t="str">
        <f t="shared" si="10"/>
        <v>MR125-6200</v>
      </c>
    </row>
    <row r="669" spans="1:37">
      <c r="A669" t="s">
        <v>1218</v>
      </c>
      <c r="B669" t="s">
        <v>1219</v>
      </c>
      <c r="C669" t="s">
        <v>318</v>
      </c>
      <c r="D669" t="s">
        <v>292</v>
      </c>
      <c r="E669">
        <v>60</v>
      </c>
      <c r="F669">
        <v>1.9</v>
      </c>
      <c r="G669">
        <v>0</v>
      </c>
      <c r="H669">
        <v>20</v>
      </c>
      <c r="I669">
        <v>12</v>
      </c>
      <c r="J669">
        <v>18</v>
      </c>
      <c r="K669">
        <v>153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153</v>
      </c>
      <c r="R669">
        <v>0</v>
      </c>
      <c r="S669">
        <v>11</v>
      </c>
      <c r="T669">
        <v>0</v>
      </c>
      <c r="U669">
        <v>48</v>
      </c>
      <c r="V669">
        <v>12</v>
      </c>
      <c r="W669">
        <v>0</v>
      </c>
      <c r="X669">
        <v>0</v>
      </c>
      <c r="Y669">
        <v>44</v>
      </c>
      <c r="Z669">
        <v>14</v>
      </c>
      <c r="AA669">
        <v>10</v>
      </c>
      <c r="AB669">
        <v>31</v>
      </c>
      <c r="AC669">
        <v>43</v>
      </c>
      <c r="AD669">
        <v>0</v>
      </c>
      <c r="AE669">
        <v>213</v>
      </c>
      <c r="AF669">
        <v>518</v>
      </c>
      <c r="AJ669">
        <v>6.39</v>
      </c>
      <c r="AK669" t="str">
        <f t="shared" si="10"/>
        <v>MR130-5000</v>
      </c>
    </row>
    <row r="670" spans="1:37">
      <c r="A670" t="s">
        <v>1220</v>
      </c>
      <c r="B670" t="s">
        <v>1219</v>
      </c>
      <c r="C670" t="s">
        <v>318</v>
      </c>
      <c r="D670" t="s">
        <v>292</v>
      </c>
      <c r="E670">
        <v>60</v>
      </c>
      <c r="F670">
        <v>0.9</v>
      </c>
      <c r="G670">
        <v>113</v>
      </c>
      <c r="H670">
        <v>104</v>
      </c>
      <c r="I670">
        <v>82</v>
      </c>
      <c r="J670">
        <v>96</v>
      </c>
      <c r="K670">
        <v>450</v>
      </c>
      <c r="L670">
        <v>132</v>
      </c>
      <c r="M670">
        <v>0</v>
      </c>
      <c r="N670">
        <v>94</v>
      </c>
      <c r="O670">
        <v>0</v>
      </c>
      <c r="P670">
        <v>0</v>
      </c>
      <c r="Q670">
        <v>356</v>
      </c>
      <c r="R670">
        <v>0</v>
      </c>
      <c r="S670">
        <v>142</v>
      </c>
      <c r="T670">
        <v>146</v>
      </c>
      <c r="U670">
        <v>24</v>
      </c>
      <c r="V670">
        <v>116</v>
      </c>
      <c r="W670">
        <v>18</v>
      </c>
      <c r="X670">
        <v>48</v>
      </c>
      <c r="Y670">
        <v>156</v>
      </c>
      <c r="Z670">
        <v>191</v>
      </c>
      <c r="AA670">
        <v>102</v>
      </c>
      <c r="AB670">
        <v>209</v>
      </c>
      <c r="AC670">
        <v>0</v>
      </c>
      <c r="AD670">
        <v>0</v>
      </c>
      <c r="AE670">
        <v>1152</v>
      </c>
      <c r="AF670">
        <v>1714</v>
      </c>
      <c r="AJ670">
        <v>6.45</v>
      </c>
      <c r="AK670" t="str">
        <f t="shared" si="10"/>
        <v>MR130-6200</v>
      </c>
    </row>
    <row r="671" spans="1:37">
      <c r="A671" t="s">
        <v>1221</v>
      </c>
      <c r="B671" t="s">
        <v>1222</v>
      </c>
      <c r="C671" t="s">
        <v>267</v>
      </c>
      <c r="E671">
        <v>50</v>
      </c>
      <c r="F671">
        <v>25.8</v>
      </c>
      <c r="G671">
        <v>51</v>
      </c>
      <c r="H671">
        <v>17</v>
      </c>
      <c r="I671">
        <v>23</v>
      </c>
      <c r="J671">
        <v>27</v>
      </c>
      <c r="K671">
        <v>1797</v>
      </c>
      <c r="L671">
        <v>7</v>
      </c>
      <c r="M671">
        <v>0</v>
      </c>
      <c r="N671">
        <v>43</v>
      </c>
      <c r="O671">
        <v>0</v>
      </c>
      <c r="P671">
        <v>0</v>
      </c>
      <c r="Q671">
        <v>1754</v>
      </c>
      <c r="R671">
        <v>0</v>
      </c>
      <c r="S671">
        <v>39</v>
      </c>
      <c r="T671">
        <v>12</v>
      </c>
      <c r="U671">
        <v>0</v>
      </c>
      <c r="V671">
        <v>0</v>
      </c>
      <c r="W671">
        <v>88</v>
      </c>
      <c r="X671">
        <v>0</v>
      </c>
      <c r="Y671">
        <v>72</v>
      </c>
      <c r="Z671">
        <v>15</v>
      </c>
      <c r="AA671">
        <v>7</v>
      </c>
      <c r="AB671">
        <v>0</v>
      </c>
      <c r="AC671">
        <v>37</v>
      </c>
      <c r="AD671">
        <v>48</v>
      </c>
      <c r="AE671">
        <v>318</v>
      </c>
      <c r="AF671">
        <v>1072</v>
      </c>
      <c r="AJ671">
        <v>6.25</v>
      </c>
      <c r="AK671" t="str">
        <f t="shared" si="10"/>
        <v>MT250-6200</v>
      </c>
    </row>
    <row r="672" spans="1:37">
      <c r="A672" t="s">
        <v>1223</v>
      </c>
      <c r="B672" t="s">
        <v>1224</v>
      </c>
      <c r="C672" t="s">
        <v>110</v>
      </c>
      <c r="D672" t="s">
        <v>465</v>
      </c>
      <c r="E672">
        <v>50</v>
      </c>
      <c r="F672">
        <v>0</v>
      </c>
      <c r="G672">
        <v>0</v>
      </c>
      <c r="H672">
        <v>0</v>
      </c>
      <c r="I672">
        <v>0</v>
      </c>
      <c r="J672">
        <v>1</v>
      </c>
      <c r="K672">
        <v>91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91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9</v>
      </c>
      <c r="AB672">
        <v>0</v>
      </c>
      <c r="AC672">
        <v>0</v>
      </c>
      <c r="AD672">
        <v>0</v>
      </c>
      <c r="AE672">
        <v>9</v>
      </c>
      <c r="AF672">
        <v>10</v>
      </c>
      <c r="AJ672">
        <v>4.1500000000000004</v>
      </c>
      <c r="AK672" t="str">
        <f t="shared" si="10"/>
        <v>MT260-6200</v>
      </c>
    </row>
    <row r="673" spans="1:37">
      <c r="A673" t="s">
        <v>1225</v>
      </c>
      <c r="B673" t="s">
        <v>1226</v>
      </c>
      <c r="C673" t="s">
        <v>329</v>
      </c>
      <c r="D673" t="s">
        <v>465</v>
      </c>
      <c r="E673">
        <v>50</v>
      </c>
      <c r="F673">
        <v>0</v>
      </c>
      <c r="G673">
        <v>0</v>
      </c>
      <c r="H673">
        <v>0</v>
      </c>
      <c r="I673">
        <v>0</v>
      </c>
      <c r="J673">
        <v>2</v>
      </c>
      <c r="K673">
        <v>772</v>
      </c>
      <c r="L673">
        <v>16</v>
      </c>
      <c r="M673">
        <v>0</v>
      </c>
      <c r="N673">
        <v>0</v>
      </c>
      <c r="O673">
        <v>0</v>
      </c>
      <c r="P673">
        <v>0</v>
      </c>
      <c r="Q673">
        <v>772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25</v>
      </c>
      <c r="AD673">
        <v>0</v>
      </c>
      <c r="AE673">
        <v>25</v>
      </c>
      <c r="AF673">
        <v>3</v>
      </c>
      <c r="AJ673">
        <v>4.62</v>
      </c>
      <c r="AK673" t="str">
        <f t="shared" si="10"/>
        <v>MT290-6200</v>
      </c>
    </row>
    <row r="674" spans="1:37">
      <c r="A674" t="s">
        <v>1227</v>
      </c>
      <c r="B674" t="s">
        <v>1228</v>
      </c>
      <c r="C674" t="s">
        <v>110</v>
      </c>
      <c r="D674" t="s">
        <v>268</v>
      </c>
      <c r="E674">
        <v>50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211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211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11</v>
      </c>
      <c r="AA674">
        <v>0</v>
      </c>
      <c r="AB674">
        <v>0</v>
      </c>
      <c r="AC674">
        <v>0</v>
      </c>
      <c r="AD674">
        <v>0</v>
      </c>
      <c r="AE674">
        <v>11</v>
      </c>
      <c r="AF674">
        <v>24</v>
      </c>
      <c r="AJ674">
        <v>3.57</v>
      </c>
      <c r="AK674" t="str">
        <f t="shared" si="10"/>
        <v>MT300-5000</v>
      </c>
    </row>
    <row r="675" spans="1:37">
      <c r="A675" t="s">
        <v>1229</v>
      </c>
      <c r="B675" t="s">
        <v>1228</v>
      </c>
      <c r="C675" t="s">
        <v>110</v>
      </c>
      <c r="D675" t="s">
        <v>268</v>
      </c>
      <c r="E675">
        <v>50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2940</v>
      </c>
      <c r="L675">
        <v>10</v>
      </c>
      <c r="M675">
        <v>0</v>
      </c>
      <c r="N675">
        <v>0</v>
      </c>
      <c r="O675">
        <v>0</v>
      </c>
      <c r="P675">
        <v>0</v>
      </c>
      <c r="Q675">
        <v>2940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116</v>
      </c>
      <c r="AJ675">
        <v>3.57</v>
      </c>
      <c r="AK675" t="str">
        <f t="shared" si="10"/>
        <v>MT300-6200</v>
      </c>
    </row>
    <row r="676" spans="1:37">
      <c r="A676" t="s">
        <v>1230</v>
      </c>
      <c r="B676" t="s">
        <v>1231</v>
      </c>
      <c r="C676" t="s">
        <v>329</v>
      </c>
      <c r="D676" t="s">
        <v>306</v>
      </c>
      <c r="E676">
        <v>50</v>
      </c>
      <c r="F676">
        <v>2.2999999999999998</v>
      </c>
      <c r="G676">
        <v>0</v>
      </c>
      <c r="H676">
        <v>13</v>
      </c>
      <c r="I676">
        <v>8</v>
      </c>
      <c r="J676">
        <v>15</v>
      </c>
      <c r="K676">
        <v>121</v>
      </c>
      <c r="L676">
        <v>4</v>
      </c>
      <c r="M676">
        <v>0</v>
      </c>
      <c r="N676">
        <v>0</v>
      </c>
      <c r="O676">
        <v>0</v>
      </c>
      <c r="P676">
        <v>0</v>
      </c>
      <c r="Q676">
        <v>121</v>
      </c>
      <c r="R676">
        <v>0</v>
      </c>
      <c r="S676">
        <v>11</v>
      </c>
      <c r="T676">
        <v>0</v>
      </c>
      <c r="U676">
        <v>29</v>
      </c>
      <c r="V676">
        <v>7</v>
      </c>
      <c r="W676">
        <v>0</v>
      </c>
      <c r="X676">
        <v>0</v>
      </c>
      <c r="Y676">
        <v>0</v>
      </c>
      <c r="Z676">
        <v>0</v>
      </c>
      <c r="AA676">
        <v>57</v>
      </c>
      <c r="AB676">
        <v>0</v>
      </c>
      <c r="AC676">
        <v>43</v>
      </c>
      <c r="AD676">
        <v>37</v>
      </c>
      <c r="AE676">
        <v>184</v>
      </c>
      <c r="AF676">
        <v>299</v>
      </c>
      <c r="AJ676">
        <v>4.92</v>
      </c>
      <c r="AK676" t="str">
        <f t="shared" si="10"/>
        <v>MT310-5000</v>
      </c>
    </row>
    <row r="677" spans="1:37">
      <c r="A677" t="s">
        <v>1232</v>
      </c>
      <c r="B677" t="s">
        <v>1231</v>
      </c>
      <c r="C677" t="s">
        <v>329</v>
      </c>
      <c r="D677" t="s">
        <v>306</v>
      </c>
      <c r="E677">
        <v>50</v>
      </c>
      <c r="F677">
        <v>0</v>
      </c>
      <c r="G677">
        <v>5</v>
      </c>
      <c r="H677">
        <v>0</v>
      </c>
      <c r="I677">
        <v>0</v>
      </c>
      <c r="J677">
        <v>21</v>
      </c>
      <c r="K677">
        <v>2151</v>
      </c>
      <c r="L677">
        <v>36</v>
      </c>
      <c r="M677">
        <v>0</v>
      </c>
      <c r="N677">
        <v>4</v>
      </c>
      <c r="O677">
        <v>0</v>
      </c>
      <c r="P677">
        <v>0</v>
      </c>
      <c r="Q677">
        <v>2147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149</v>
      </c>
      <c r="Z677">
        <v>8</v>
      </c>
      <c r="AA677">
        <v>17</v>
      </c>
      <c r="AB677">
        <v>0</v>
      </c>
      <c r="AC677">
        <v>0</v>
      </c>
      <c r="AD677">
        <v>83</v>
      </c>
      <c r="AE677">
        <v>257</v>
      </c>
      <c r="AF677">
        <v>345</v>
      </c>
      <c r="AJ677">
        <v>4.92</v>
      </c>
      <c r="AK677" t="str">
        <f t="shared" si="10"/>
        <v>MT310-6200</v>
      </c>
    </row>
    <row r="678" spans="1:37">
      <c r="A678" t="s">
        <v>1233</v>
      </c>
      <c r="B678" t="s">
        <v>1234</v>
      </c>
      <c r="C678" t="s">
        <v>329</v>
      </c>
      <c r="D678" t="s">
        <v>1235</v>
      </c>
      <c r="E678">
        <v>50</v>
      </c>
      <c r="F678">
        <v>14.3</v>
      </c>
      <c r="G678">
        <v>0</v>
      </c>
      <c r="H678">
        <v>11</v>
      </c>
      <c r="I678">
        <v>8</v>
      </c>
      <c r="J678">
        <v>9</v>
      </c>
      <c r="K678">
        <v>627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627</v>
      </c>
      <c r="R678">
        <v>0</v>
      </c>
      <c r="S678">
        <v>24</v>
      </c>
      <c r="T678">
        <v>0</v>
      </c>
      <c r="U678">
        <v>9</v>
      </c>
      <c r="V678">
        <v>16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30</v>
      </c>
      <c r="AC678">
        <v>15</v>
      </c>
      <c r="AD678">
        <v>18</v>
      </c>
      <c r="AE678">
        <v>112</v>
      </c>
      <c r="AF678">
        <v>167</v>
      </c>
      <c r="AJ678">
        <v>4.75</v>
      </c>
      <c r="AK678" t="str">
        <f t="shared" si="10"/>
        <v>MT330-5000</v>
      </c>
    </row>
    <row r="679" spans="1:37">
      <c r="A679" t="s">
        <v>1236</v>
      </c>
      <c r="B679" t="s">
        <v>1234</v>
      </c>
      <c r="C679" t="s">
        <v>329</v>
      </c>
      <c r="D679" t="s">
        <v>1237</v>
      </c>
      <c r="E679">
        <v>50</v>
      </c>
      <c r="F679">
        <v>9.6</v>
      </c>
      <c r="G679">
        <v>55</v>
      </c>
      <c r="H679">
        <v>21</v>
      </c>
      <c r="I679">
        <v>19</v>
      </c>
      <c r="J679">
        <v>50</v>
      </c>
      <c r="K679">
        <v>836</v>
      </c>
      <c r="L679">
        <v>68</v>
      </c>
      <c r="M679">
        <v>0</v>
      </c>
      <c r="N679">
        <v>46</v>
      </c>
      <c r="O679">
        <v>0</v>
      </c>
      <c r="P679">
        <v>0</v>
      </c>
      <c r="Q679">
        <v>790</v>
      </c>
      <c r="R679">
        <v>0</v>
      </c>
      <c r="S679">
        <v>54</v>
      </c>
      <c r="T679">
        <v>0</v>
      </c>
      <c r="U679">
        <v>8</v>
      </c>
      <c r="V679">
        <v>22</v>
      </c>
      <c r="W679">
        <v>16</v>
      </c>
      <c r="X679">
        <v>12</v>
      </c>
      <c r="Y679">
        <v>25</v>
      </c>
      <c r="Z679">
        <v>19</v>
      </c>
      <c r="AA679">
        <v>21</v>
      </c>
      <c r="AB679">
        <v>343</v>
      </c>
      <c r="AC679">
        <v>80</v>
      </c>
      <c r="AD679">
        <v>0</v>
      </c>
      <c r="AE679">
        <v>600</v>
      </c>
      <c r="AF679">
        <v>672</v>
      </c>
      <c r="AJ679">
        <v>5.0199999999999996</v>
      </c>
      <c r="AK679" t="str">
        <f t="shared" si="10"/>
        <v>MT330-6200</v>
      </c>
    </row>
    <row r="680" spans="1:37">
      <c r="A680" t="s">
        <v>1238</v>
      </c>
      <c r="B680" t="s">
        <v>1239</v>
      </c>
      <c r="C680" t="s">
        <v>329</v>
      </c>
      <c r="D680" t="s">
        <v>1179</v>
      </c>
      <c r="E680">
        <v>50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10446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10446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J680">
        <v>2.89</v>
      </c>
      <c r="AK680" t="str">
        <f t="shared" si="10"/>
        <v>MT370-6200</v>
      </c>
    </row>
    <row r="681" spans="1:37">
      <c r="A681" t="s">
        <v>1240</v>
      </c>
      <c r="B681" t="s">
        <v>1241</v>
      </c>
      <c r="C681" t="s">
        <v>329</v>
      </c>
      <c r="E681">
        <v>50</v>
      </c>
      <c r="F681">
        <v>0</v>
      </c>
      <c r="G681">
        <v>17</v>
      </c>
      <c r="H681">
        <v>0</v>
      </c>
      <c r="I681">
        <v>5</v>
      </c>
      <c r="J681">
        <v>8</v>
      </c>
      <c r="K681">
        <v>0</v>
      </c>
      <c r="L681">
        <v>0</v>
      </c>
      <c r="M681">
        <v>0</v>
      </c>
      <c r="N681">
        <v>14</v>
      </c>
      <c r="O681">
        <v>0</v>
      </c>
      <c r="P681">
        <v>0</v>
      </c>
      <c r="Q681">
        <v>-14</v>
      </c>
      <c r="R681">
        <v>0</v>
      </c>
      <c r="S681">
        <v>0</v>
      </c>
      <c r="T681">
        <v>0</v>
      </c>
      <c r="U681">
        <v>0</v>
      </c>
      <c r="V681">
        <v>8</v>
      </c>
      <c r="W681">
        <v>23</v>
      </c>
      <c r="X681">
        <v>0</v>
      </c>
      <c r="Y681">
        <v>0</v>
      </c>
      <c r="Z681">
        <v>16</v>
      </c>
      <c r="AA681">
        <v>34</v>
      </c>
      <c r="AB681">
        <v>0</v>
      </c>
      <c r="AC681">
        <v>16</v>
      </c>
      <c r="AD681">
        <v>0</v>
      </c>
      <c r="AE681">
        <v>97</v>
      </c>
      <c r="AF681">
        <v>167</v>
      </c>
      <c r="AJ681">
        <v>3.96</v>
      </c>
      <c r="AK681" t="str">
        <f t="shared" si="10"/>
        <v>MT390-5000</v>
      </c>
    </row>
    <row r="682" spans="1:37">
      <c r="A682" t="s">
        <v>1242</v>
      </c>
      <c r="B682" t="s">
        <v>1241</v>
      </c>
      <c r="C682" t="s">
        <v>329</v>
      </c>
      <c r="E682">
        <v>50</v>
      </c>
      <c r="F682">
        <v>2.1</v>
      </c>
      <c r="G682">
        <v>16</v>
      </c>
      <c r="H682">
        <v>67</v>
      </c>
      <c r="I682">
        <v>52</v>
      </c>
      <c r="J682">
        <v>45</v>
      </c>
      <c r="K682">
        <v>583</v>
      </c>
      <c r="L682">
        <v>89</v>
      </c>
      <c r="M682">
        <v>0</v>
      </c>
      <c r="N682">
        <v>13</v>
      </c>
      <c r="O682">
        <v>0</v>
      </c>
      <c r="P682">
        <v>0</v>
      </c>
      <c r="Q682">
        <v>570</v>
      </c>
      <c r="R682">
        <v>0</v>
      </c>
      <c r="S682">
        <v>104</v>
      </c>
      <c r="T682">
        <v>41</v>
      </c>
      <c r="U682">
        <v>57</v>
      </c>
      <c r="V682">
        <v>0</v>
      </c>
      <c r="W682">
        <v>0</v>
      </c>
      <c r="X682">
        <v>110</v>
      </c>
      <c r="Y682">
        <v>18</v>
      </c>
      <c r="Z682">
        <v>0</v>
      </c>
      <c r="AA682">
        <v>45</v>
      </c>
      <c r="AB682">
        <v>128</v>
      </c>
      <c r="AC682">
        <v>32</v>
      </c>
      <c r="AD682">
        <v>0</v>
      </c>
      <c r="AE682">
        <v>535</v>
      </c>
      <c r="AF682">
        <v>700</v>
      </c>
      <c r="AJ682">
        <v>4.92</v>
      </c>
      <c r="AK682" t="str">
        <f t="shared" si="10"/>
        <v>MT390-6200</v>
      </c>
    </row>
    <row r="683" spans="1:37">
      <c r="A683" t="s">
        <v>1243</v>
      </c>
      <c r="B683" t="s">
        <v>1244</v>
      </c>
      <c r="C683" t="s">
        <v>110</v>
      </c>
      <c r="E683">
        <v>45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982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982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J683">
        <v>2.95</v>
      </c>
      <c r="AK683" t="str">
        <f t="shared" si="10"/>
        <v>MT430-5000</v>
      </c>
    </row>
    <row r="684" spans="1:37">
      <c r="A684" t="s">
        <v>1245</v>
      </c>
      <c r="B684" t="s">
        <v>1244</v>
      </c>
      <c r="C684" t="s">
        <v>110</v>
      </c>
      <c r="E684">
        <v>45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2866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2866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J684">
        <v>4.28</v>
      </c>
      <c r="AK684" t="str">
        <f t="shared" si="10"/>
        <v>MT430-6200</v>
      </c>
    </row>
    <row r="685" spans="1:37">
      <c r="A685" t="s">
        <v>1246</v>
      </c>
      <c r="B685" t="s">
        <v>1247</v>
      </c>
      <c r="C685" t="s">
        <v>110</v>
      </c>
      <c r="E685">
        <v>50</v>
      </c>
      <c r="F685">
        <v>0</v>
      </c>
      <c r="G685">
        <v>0</v>
      </c>
      <c r="H685">
        <v>0</v>
      </c>
      <c r="I685">
        <v>0</v>
      </c>
      <c r="J685">
        <v>1</v>
      </c>
      <c r="K685">
        <v>970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970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11</v>
      </c>
      <c r="AD685">
        <v>0</v>
      </c>
      <c r="AE685">
        <v>11</v>
      </c>
      <c r="AF685">
        <v>49</v>
      </c>
      <c r="AJ685">
        <v>4.1500000000000004</v>
      </c>
      <c r="AK685" t="str">
        <f t="shared" si="10"/>
        <v>MT440-5000</v>
      </c>
    </row>
    <row r="686" spans="1:37">
      <c r="A686" t="s">
        <v>1248</v>
      </c>
      <c r="B686" t="s">
        <v>1247</v>
      </c>
      <c r="C686" t="s">
        <v>110</v>
      </c>
      <c r="D686" t="s">
        <v>666</v>
      </c>
      <c r="E686">
        <v>50</v>
      </c>
      <c r="F686">
        <v>0</v>
      </c>
      <c r="G686">
        <v>0</v>
      </c>
      <c r="H686">
        <v>0</v>
      </c>
      <c r="I686">
        <v>0</v>
      </c>
      <c r="J686">
        <v>1</v>
      </c>
      <c r="K686">
        <v>391</v>
      </c>
      <c r="L686">
        <v>13</v>
      </c>
      <c r="M686">
        <v>0</v>
      </c>
      <c r="N686">
        <v>0</v>
      </c>
      <c r="O686">
        <v>0</v>
      </c>
      <c r="P686">
        <v>0</v>
      </c>
      <c r="Q686">
        <v>391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2</v>
      </c>
      <c r="AA686">
        <v>0</v>
      </c>
      <c r="AB686">
        <v>0</v>
      </c>
      <c r="AC686">
        <v>0</v>
      </c>
      <c r="AD686">
        <v>10</v>
      </c>
      <c r="AE686">
        <v>12</v>
      </c>
      <c r="AF686">
        <v>60</v>
      </c>
      <c r="AJ686">
        <v>4.1500000000000004</v>
      </c>
      <c r="AK686" t="str">
        <f t="shared" si="10"/>
        <v>MT440-6200</v>
      </c>
    </row>
    <row r="687" spans="1:37">
      <c r="A687" t="s">
        <v>1249</v>
      </c>
      <c r="B687" t="s">
        <v>1250</v>
      </c>
      <c r="C687" t="s">
        <v>329</v>
      </c>
      <c r="E687">
        <v>50</v>
      </c>
      <c r="F687">
        <v>0</v>
      </c>
      <c r="G687">
        <v>39</v>
      </c>
      <c r="H687">
        <v>77</v>
      </c>
      <c r="I687">
        <v>55</v>
      </c>
      <c r="J687">
        <v>58</v>
      </c>
      <c r="K687">
        <v>28</v>
      </c>
      <c r="L687">
        <v>46</v>
      </c>
      <c r="M687">
        <v>0</v>
      </c>
      <c r="N687">
        <v>33</v>
      </c>
      <c r="O687">
        <v>0</v>
      </c>
      <c r="P687">
        <v>0</v>
      </c>
      <c r="Q687">
        <v>-5</v>
      </c>
      <c r="R687">
        <v>67</v>
      </c>
      <c r="S687">
        <v>0</v>
      </c>
      <c r="T687">
        <v>141</v>
      </c>
      <c r="U687">
        <v>91</v>
      </c>
      <c r="V687">
        <v>45</v>
      </c>
      <c r="W687">
        <v>25</v>
      </c>
      <c r="X687">
        <v>28</v>
      </c>
      <c r="Y687">
        <v>68</v>
      </c>
      <c r="Z687">
        <v>130</v>
      </c>
      <c r="AA687">
        <v>24</v>
      </c>
      <c r="AB687">
        <v>65</v>
      </c>
      <c r="AC687">
        <v>75</v>
      </c>
      <c r="AD687">
        <v>0</v>
      </c>
      <c r="AE687">
        <v>692</v>
      </c>
      <c r="AF687">
        <v>1099</v>
      </c>
      <c r="AJ687">
        <v>4.92</v>
      </c>
      <c r="AK687" t="str">
        <f t="shared" si="10"/>
        <v>MT500-6200</v>
      </c>
    </row>
    <row r="688" spans="1:37">
      <c r="A688" t="s">
        <v>5937</v>
      </c>
      <c r="B688" t="s">
        <v>1252</v>
      </c>
      <c r="C688" t="s">
        <v>338</v>
      </c>
      <c r="E688">
        <v>43</v>
      </c>
      <c r="F688">
        <v>0</v>
      </c>
      <c r="G688">
        <v>0</v>
      </c>
      <c r="H688">
        <v>31</v>
      </c>
      <c r="I688">
        <v>16</v>
      </c>
      <c r="J688">
        <v>8</v>
      </c>
      <c r="K688">
        <v>0</v>
      </c>
      <c r="L688">
        <v>5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93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93</v>
      </c>
      <c r="AF688">
        <v>0</v>
      </c>
      <c r="AJ688">
        <v>0</v>
      </c>
      <c r="AK688" t="str">
        <f t="shared" si="10"/>
        <v>MW535-5000</v>
      </c>
    </row>
    <row r="689" spans="1:37">
      <c r="A689" t="s">
        <v>1251</v>
      </c>
      <c r="B689" t="s">
        <v>1252</v>
      </c>
      <c r="C689" t="s">
        <v>338</v>
      </c>
      <c r="E689">
        <v>43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2155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2155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J689">
        <v>3.73</v>
      </c>
      <c r="AK689" t="str">
        <f t="shared" si="10"/>
        <v>MW535-6200</v>
      </c>
    </row>
    <row r="690" spans="1:37">
      <c r="A690" t="s">
        <v>5938</v>
      </c>
      <c r="B690" t="s">
        <v>1254</v>
      </c>
      <c r="C690" t="s">
        <v>338</v>
      </c>
      <c r="D690" t="s">
        <v>401</v>
      </c>
      <c r="E690">
        <v>40</v>
      </c>
      <c r="F690">
        <v>0.4</v>
      </c>
      <c r="G690">
        <v>0</v>
      </c>
      <c r="H690">
        <v>31</v>
      </c>
      <c r="I690">
        <v>16</v>
      </c>
      <c r="J690">
        <v>8</v>
      </c>
      <c r="K690">
        <v>50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50</v>
      </c>
      <c r="R690">
        <v>0</v>
      </c>
      <c r="S690">
        <v>0</v>
      </c>
      <c r="T690">
        <v>94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94</v>
      </c>
      <c r="AF690">
        <v>0</v>
      </c>
      <c r="AJ690">
        <v>0</v>
      </c>
      <c r="AK690" t="str">
        <f t="shared" si="10"/>
        <v>MW545-5000</v>
      </c>
    </row>
    <row r="691" spans="1:37">
      <c r="A691" t="s">
        <v>1253</v>
      </c>
      <c r="B691" t="s">
        <v>1254</v>
      </c>
      <c r="C691" t="s">
        <v>338</v>
      </c>
      <c r="D691" t="s">
        <v>401</v>
      </c>
      <c r="E691">
        <v>40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2600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2600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J691">
        <v>3.73</v>
      </c>
      <c r="AK691" t="str">
        <f t="shared" si="10"/>
        <v>MW545-6200</v>
      </c>
    </row>
    <row r="692" spans="1:37">
      <c r="A692" t="s">
        <v>1255</v>
      </c>
      <c r="B692" t="s">
        <v>1256</v>
      </c>
      <c r="C692" t="s">
        <v>275</v>
      </c>
      <c r="D692" t="s">
        <v>292</v>
      </c>
      <c r="E692">
        <v>50</v>
      </c>
      <c r="F692">
        <v>0</v>
      </c>
      <c r="G692">
        <v>4</v>
      </c>
      <c r="H692">
        <v>29</v>
      </c>
      <c r="I692">
        <v>53</v>
      </c>
      <c r="J692">
        <v>58</v>
      </c>
      <c r="K692">
        <v>0</v>
      </c>
      <c r="L692">
        <v>21</v>
      </c>
      <c r="M692">
        <v>0</v>
      </c>
      <c r="N692">
        <v>3</v>
      </c>
      <c r="O692">
        <v>0</v>
      </c>
      <c r="P692">
        <v>0</v>
      </c>
      <c r="Q692">
        <v>-3</v>
      </c>
      <c r="R692">
        <v>0</v>
      </c>
      <c r="S692">
        <v>88</v>
      </c>
      <c r="T692">
        <v>0</v>
      </c>
      <c r="U692">
        <v>0</v>
      </c>
      <c r="V692">
        <v>78</v>
      </c>
      <c r="W692">
        <v>39</v>
      </c>
      <c r="X692">
        <v>112</v>
      </c>
      <c r="Y692">
        <v>56</v>
      </c>
      <c r="Z692">
        <v>41</v>
      </c>
      <c r="AA692">
        <v>9</v>
      </c>
      <c r="AB692">
        <v>7</v>
      </c>
      <c r="AC692">
        <v>183</v>
      </c>
      <c r="AD692">
        <v>84</v>
      </c>
      <c r="AE692">
        <v>697</v>
      </c>
      <c r="AF692">
        <v>781</v>
      </c>
      <c r="AJ692">
        <v>5.84</v>
      </c>
      <c r="AK692" t="str">
        <f t="shared" si="10"/>
        <v>MW550-5000</v>
      </c>
    </row>
    <row r="693" spans="1:37">
      <c r="A693" t="s">
        <v>1257</v>
      </c>
      <c r="B693" t="s">
        <v>1256</v>
      </c>
      <c r="C693" t="s">
        <v>275</v>
      </c>
      <c r="D693" t="s">
        <v>292</v>
      </c>
      <c r="E693">
        <v>50</v>
      </c>
      <c r="F693">
        <v>1.1000000000000001</v>
      </c>
      <c r="G693">
        <v>48</v>
      </c>
      <c r="H693">
        <v>105</v>
      </c>
      <c r="I693">
        <v>83</v>
      </c>
      <c r="J693">
        <v>120</v>
      </c>
      <c r="K693">
        <v>505</v>
      </c>
      <c r="L693">
        <v>43</v>
      </c>
      <c r="M693">
        <v>0</v>
      </c>
      <c r="N693">
        <v>40</v>
      </c>
      <c r="O693">
        <v>0</v>
      </c>
      <c r="P693">
        <v>0</v>
      </c>
      <c r="Q693">
        <v>465</v>
      </c>
      <c r="R693">
        <v>0</v>
      </c>
      <c r="S693">
        <v>98</v>
      </c>
      <c r="T693">
        <v>115</v>
      </c>
      <c r="U693">
        <v>101</v>
      </c>
      <c r="V693">
        <v>0</v>
      </c>
      <c r="W693">
        <v>69</v>
      </c>
      <c r="X693">
        <v>114</v>
      </c>
      <c r="Y693">
        <v>244</v>
      </c>
      <c r="Z693">
        <v>125</v>
      </c>
      <c r="AA693">
        <v>10</v>
      </c>
      <c r="AB693">
        <v>0</v>
      </c>
      <c r="AC693">
        <v>428</v>
      </c>
      <c r="AD693">
        <v>139</v>
      </c>
      <c r="AE693">
        <v>1443</v>
      </c>
      <c r="AF693">
        <v>2265</v>
      </c>
      <c r="AJ693">
        <v>6.13</v>
      </c>
      <c r="AK693" t="str">
        <f t="shared" si="10"/>
        <v>MW550-6200</v>
      </c>
    </row>
    <row r="694" spans="1:37">
      <c r="A694" t="s">
        <v>1258</v>
      </c>
      <c r="B694" t="s">
        <v>1259</v>
      </c>
      <c r="C694" t="s">
        <v>267</v>
      </c>
      <c r="E694">
        <v>50</v>
      </c>
      <c r="F694">
        <v>5.6</v>
      </c>
      <c r="G694">
        <v>13</v>
      </c>
      <c r="H694">
        <v>12</v>
      </c>
      <c r="I694">
        <v>28</v>
      </c>
      <c r="J694">
        <v>26</v>
      </c>
      <c r="K694">
        <v>287</v>
      </c>
      <c r="L694">
        <v>20</v>
      </c>
      <c r="M694">
        <v>0</v>
      </c>
      <c r="N694">
        <v>11</v>
      </c>
      <c r="O694">
        <v>0</v>
      </c>
      <c r="P694">
        <v>0</v>
      </c>
      <c r="Q694">
        <v>276</v>
      </c>
      <c r="R694">
        <v>0</v>
      </c>
      <c r="S694">
        <v>0</v>
      </c>
      <c r="T694">
        <v>37</v>
      </c>
      <c r="U694">
        <v>0</v>
      </c>
      <c r="V694">
        <v>0</v>
      </c>
      <c r="W694">
        <v>114</v>
      </c>
      <c r="X694">
        <v>19</v>
      </c>
      <c r="Y694">
        <v>11</v>
      </c>
      <c r="Z694">
        <v>0</v>
      </c>
      <c r="AA694">
        <v>0</v>
      </c>
      <c r="AB694">
        <v>0</v>
      </c>
      <c r="AC694">
        <v>83</v>
      </c>
      <c r="AD694">
        <v>48</v>
      </c>
      <c r="AE694">
        <v>312</v>
      </c>
      <c r="AF694">
        <v>415</v>
      </c>
      <c r="AJ694">
        <v>4.63</v>
      </c>
      <c r="AK694" t="str">
        <f t="shared" si="10"/>
        <v>MW570-5000</v>
      </c>
    </row>
    <row r="695" spans="1:37">
      <c r="A695" t="s">
        <v>1260</v>
      </c>
      <c r="B695" t="s">
        <v>1259</v>
      </c>
      <c r="C695" t="s">
        <v>267</v>
      </c>
      <c r="E695">
        <v>50</v>
      </c>
      <c r="F695">
        <v>4.5</v>
      </c>
      <c r="G695">
        <v>16</v>
      </c>
      <c r="H695">
        <v>140</v>
      </c>
      <c r="I695">
        <v>111</v>
      </c>
      <c r="J695">
        <v>133</v>
      </c>
      <c r="K695">
        <v>2543</v>
      </c>
      <c r="L695">
        <v>27</v>
      </c>
      <c r="M695">
        <v>0</v>
      </c>
      <c r="N695">
        <v>13</v>
      </c>
      <c r="O695">
        <v>0</v>
      </c>
      <c r="P695">
        <v>0</v>
      </c>
      <c r="Q695">
        <v>2530</v>
      </c>
      <c r="R695">
        <v>0</v>
      </c>
      <c r="S695">
        <v>129</v>
      </c>
      <c r="T695">
        <v>227</v>
      </c>
      <c r="U695">
        <v>63</v>
      </c>
      <c r="V695">
        <v>55</v>
      </c>
      <c r="W695">
        <v>0</v>
      </c>
      <c r="X695">
        <v>190</v>
      </c>
      <c r="Y695">
        <v>162</v>
      </c>
      <c r="Z695">
        <v>120</v>
      </c>
      <c r="AA695">
        <v>50</v>
      </c>
      <c r="AB695">
        <v>142</v>
      </c>
      <c r="AC695">
        <v>229</v>
      </c>
      <c r="AD695">
        <v>234</v>
      </c>
      <c r="AE695">
        <v>1601</v>
      </c>
      <c r="AF695">
        <v>1957</v>
      </c>
      <c r="AJ695">
        <v>4.9000000000000004</v>
      </c>
      <c r="AK695" t="str">
        <f t="shared" si="10"/>
        <v>MW570-6200</v>
      </c>
    </row>
    <row r="696" spans="1:37">
      <c r="A696" t="s">
        <v>1261</v>
      </c>
      <c r="B696" t="s">
        <v>1262</v>
      </c>
      <c r="C696" t="s">
        <v>338</v>
      </c>
      <c r="E696">
        <v>65</v>
      </c>
      <c r="F696">
        <v>-0.2</v>
      </c>
      <c r="G696">
        <v>7</v>
      </c>
      <c r="H696">
        <v>9</v>
      </c>
      <c r="I696">
        <v>7</v>
      </c>
      <c r="J696">
        <v>7</v>
      </c>
      <c r="K696">
        <v>0</v>
      </c>
      <c r="L696">
        <v>9</v>
      </c>
      <c r="M696">
        <v>0</v>
      </c>
      <c r="N696">
        <v>5</v>
      </c>
      <c r="O696">
        <v>0</v>
      </c>
      <c r="P696">
        <v>0</v>
      </c>
      <c r="Q696">
        <v>-5</v>
      </c>
      <c r="R696">
        <v>9</v>
      </c>
      <c r="S696">
        <v>17</v>
      </c>
      <c r="T696">
        <v>0</v>
      </c>
      <c r="U696">
        <v>9</v>
      </c>
      <c r="V696">
        <v>0</v>
      </c>
      <c r="W696">
        <v>18</v>
      </c>
      <c r="X696">
        <v>0</v>
      </c>
      <c r="Y696">
        <v>0</v>
      </c>
      <c r="Z696">
        <v>26</v>
      </c>
      <c r="AA696">
        <v>0</v>
      </c>
      <c r="AB696">
        <v>0</v>
      </c>
      <c r="AC696">
        <v>9</v>
      </c>
      <c r="AD696">
        <v>0</v>
      </c>
      <c r="AE696">
        <v>79</v>
      </c>
      <c r="AF696">
        <v>110</v>
      </c>
      <c r="AJ696">
        <v>0</v>
      </c>
      <c r="AK696" t="str">
        <f t="shared" si="10"/>
        <v>MW575-5000</v>
      </c>
    </row>
    <row r="697" spans="1:37">
      <c r="A697" t="s">
        <v>1263</v>
      </c>
      <c r="B697" t="s">
        <v>1262</v>
      </c>
      <c r="C697" t="s">
        <v>338</v>
      </c>
      <c r="E697">
        <v>65</v>
      </c>
      <c r="F697">
        <v>2.1</v>
      </c>
      <c r="G697">
        <v>104</v>
      </c>
      <c r="H697">
        <v>187</v>
      </c>
      <c r="I697">
        <v>169</v>
      </c>
      <c r="J697">
        <v>166</v>
      </c>
      <c r="K697">
        <v>1697</v>
      </c>
      <c r="L697">
        <v>145</v>
      </c>
      <c r="M697">
        <v>0</v>
      </c>
      <c r="N697">
        <v>87</v>
      </c>
      <c r="O697">
        <v>0</v>
      </c>
      <c r="P697">
        <v>0</v>
      </c>
      <c r="Q697">
        <v>1610</v>
      </c>
      <c r="R697">
        <v>142</v>
      </c>
      <c r="S697">
        <v>222</v>
      </c>
      <c r="T697">
        <v>182</v>
      </c>
      <c r="U697">
        <v>158</v>
      </c>
      <c r="V697">
        <v>19</v>
      </c>
      <c r="W697">
        <v>408</v>
      </c>
      <c r="X697">
        <v>22</v>
      </c>
      <c r="Y697">
        <v>224</v>
      </c>
      <c r="Z697">
        <v>223</v>
      </c>
      <c r="AA697">
        <v>146</v>
      </c>
      <c r="AB697">
        <v>219</v>
      </c>
      <c r="AC697">
        <v>22</v>
      </c>
      <c r="AD697">
        <v>141</v>
      </c>
      <c r="AE697">
        <v>1986</v>
      </c>
      <c r="AF697">
        <v>1942</v>
      </c>
      <c r="AJ697">
        <v>7.2</v>
      </c>
      <c r="AK697" t="str">
        <f t="shared" si="10"/>
        <v>MW575-6200</v>
      </c>
    </row>
    <row r="698" spans="1:37">
      <c r="A698" t="s">
        <v>5939</v>
      </c>
      <c r="B698" t="s">
        <v>1265</v>
      </c>
      <c r="C698" t="s">
        <v>313</v>
      </c>
      <c r="D698" t="s">
        <v>401</v>
      </c>
      <c r="E698">
        <v>43</v>
      </c>
      <c r="F698">
        <v>0</v>
      </c>
      <c r="G698">
        <v>0</v>
      </c>
      <c r="H698">
        <v>33</v>
      </c>
      <c r="I698">
        <v>16</v>
      </c>
      <c r="J698">
        <v>8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98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98</v>
      </c>
      <c r="AF698">
        <v>0</v>
      </c>
      <c r="AJ698">
        <v>0</v>
      </c>
      <c r="AK698" t="str">
        <f t="shared" si="10"/>
        <v>MW585-5000</v>
      </c>
    </row>
    <row r="699" spans="1:37">
      <c r="A699" t="s">
        <v>1264</v>
      </c>
      <c r="B699" t="s">
        <v>1265</v>
      </c>
      <c r="C699" t="s">
        <v>313</v>
      </c>
      <c r="D699" t="s">
        <v>401</v>
      </c>
      <c r="E699">
        <v>43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1938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1938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J699">
        <v>5.74</v>
      </c>
      <c r="AK699" t="str">
        <f t="shared" si="10"/>
        <v>MW585-6200</v>
      </c>
    </row>
    <row r="700" spans="1:37">
      <c r="A700" t="s">
        <v>1266</v>
      </c>
      <c r="B700" t="s">
        <v>1267</v>
      </c>
      <c r="C700" t="s">
        <v>329</v>
      </c>
      <c r="D700" t="s">
        <v>1268</v>
      </c>
      <c r="E700">
        <v>50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108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108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17</v>
      </c>
      <c r="AJ700">
        <v>4.7</v>
      </c>
      <c r="AK700" t="str">
        <f t="shared" si="10"/>
        <v>PFA30-5000</v>
      </c>
    </row>
    <row r="701" spans="1:37">
      <c r="A701" t="s">
        <v>1269</v>
      </c>
      <c r="B701" t="s">
        <v>1267</v>
      </c>
      <c r="C701" t="s">
        <v>329</v>
      </c>
      <c r="D701" t="s">
        <v>1268</v>
      </c>
      <c r="E701">
        <v>50</v>
      </c>
      <c r="F701">
        <v>0</v>
      </c>
      <c r="G701">
        <v>0</v>
      </c>
      <c r="H701">
        <v>0</v>
      </c>
      <c r="I701">
        <v>1</v>
      </c>
      <c r="J701">
        <v>4</v>
      </c>
      <c r="K701">
        <v>219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219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4</v>
      </c>
      <c r="Y701">
        <v>47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51</v>
      </c>
      <c r="AF701">
        <v>500</v>
      </c>
      <c r="AJ701">
        <v>4.7</v>
      </c>
      <c r="AK701" t="str">
        <f t="shared" si="10"/>
        <v>PFA30-6200</v>
      </c>
    </row>
    <row r="702" spans="1:37">
      <c r="A702" t="s">
        <v>1270</v>
      </c>
      <c r="B702" t="s">
        <v>1271</v>
      </c>
      <c r="C702" t="s">
        <v>318</v>
      </c>
      <c r="D702" t="s">
        <v>1272</v>
      </c>
      <c r="E702">
        <v>50</v>
      </c>
      <c r="F702">
        <v>0</v>
      </c>
      <c r="G702">
        <v>4</v>
      </c>
      <c r="H702">
        <v>0</v>
      </c>
      <c r="I702">
        <v>5</v>
      </c>
      <c r="J702">
        <v>6</v>
      </c>
      <c r="K702">
        <v>495</v>
      </c>
      <c r="L702">
        <v>1</v>
      </c>
      <c r="M702">
        <v>0</v>
      </c>
      <c r="N702">
        <v>3</v>
      </c>
      <c r="O702">
        <v>0</v>
      </c>
      <c r="P702">
        <v>0</v>
      </c>
      <c r="Q702">
        <v>492</v>
      </c>
      <c r="R702">
        <v>0</v>
      </c>
      <c r="S702">
        <v>0</v>
      </c>
      <c r="T702">
        <v>0</v>
      </c>
      <c r="U702">
        <v>0</v>
      </c>
      <c r="V702">
        <v>29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34</v>
      </c>
      <c r="AD702">
        <v>6</v>
      </c>
      <c r="AE702">
        <v>69</v>
      </c>
      <c r="AF702">
        <v>457</v>
      </c>
      <c r="AJ702">
        <v>5.82</v>
      </c>
      <c r="AK702" t="str">
        <f t="shared" si="10"/>
        <v>PFA39-5000</v>
      </c>
    </row>
    <row r="703" spans="1:37">
      <c r="A703" t="s">
        <v>1273</v>
      </c>
      <c r="B703" t="s">
        <v>1271</v>
      </c>
      <c r="C703" t="s">
        <v>318</v>
      </c>
      <c r="D703" t="s">
        <v>1274</v>
      </c>
      <c r="E703">
        <v>50</v>
      </c>
      <c r="F703">
        <v>0</v>
      </c>
      <c r="G703">
        <v>112</v>
      </c>
      <c r="H703">
        <v>0</v>
      </c>
      <c r="I703">
        <v>40</v>
      </c>
      <c r="J703">
        <v>52</v>
      </c>
      <c r="K703">
        <v>598</v>
      </c>
      <c r="L703">
        <v>223</v>
      </c>
      <c r="M703">
        <v>0</v>
      </c>
      <c r="N703">
        <v>94</v>
      </c>
      <c r="O703">
        <v>0</v>
      </c>
      <c r="P703">
        <v>0</v>
      </c>
      <c r="Q703">
        <v>504</v>
      </c>
      <c r="R703">
        <v>0</v>
      </c>
      <c r="S703">
        <v>0</v>
      </c>
      <c r="T703">
        <v>0</v>
      </c>
      <c r="U703">
        <v>0</v>
      </c>
      <c r="V703">
        <v>133</v>
      </c>
      <c r="W703">
        <v>0</v>
      </c>
      <c r="X703">
        <v>105</v>
      </c>
      <c r="Y703">
        <v>0</v>
      </c>
      <c r="Z703">
        <v>180</v>
      </c>
      <c r="AA703">
        <v>209</v>
      </c>
      <c r="AB703">
        <v>0</v>
      </c>
      <c r="AC703">
        <v>0</v>
      </c>
      <c r="AD703">
        <v>0</v>
      </c>
      <c r="AE703">
        <v>627</v>
      </c>
      <c r="AF703">
        <v>922</v>
      </c>
      <c r="AJ703">
        <v>5.82</v>
      </c>
      <c r="AK703" t="str">
        <f t="shared" si="10"/>
        <v>PFA39-6200</v>
      </c>
    </row>
    <row r="704" spans="1:37">
      <c r="A704" t="s">
        <v>1275</v>
      </c>
      <c r="B704" t="s">
        <v>1276</v>
      </c>
      <c r="C704" t="s">
        <v>318</v>
      </c>
      <c r="D704" t="s">
        <v>1277</v>
      </c>
      <c r="E704">
        <v>50</v>
      </c>
      <c r="F704">
        <v>7.7</v>
      </c>
      <c r="G704">
        <v>48</v>
      </c>
      <c r="H704">
        <v>26</v>
      </c>
      <c r="I704">
        <v>16</v>
      </c>
      <c r="J704">
        <v>51</v>
      </c>
      <c r="K704">
        <v>835</v>
      </c>
      <c r="L704">
        <v>5</v>
      </c>
      <c r="M704">
        <v>0</v>
      </c>
      <c r="N704">
        <v>40</v>
      </c>
      <c r="O704">
        <v>0</v>
      </c>
      <c r="P704">
        <v>0</v>
      </c>
      <c r="Q704">
        <v>795</v>
      </c>
      <c r="R704">
        <v>0</v>
      </c>
      <c r="S704">
        <v>50</v>
      </c>
      <c r="T704">
        <v>27</v>
      </c>
      <c r="U704">
        <v>0</v>
      </c>
      <c r="V704">
        <v>1</v>
      </c>
      <c r="W704">
        <v>20</v>
      </c>
      <c r="X704">
        <v>0</v>
      </c>
      <c r="Y704">
        <v>0</v>
      </c>
      <c r="Z704">
        <v>0</v>
      </c>
      <c r="AA704">
        <v>411</v>
      </c>
      <c r="AB704">
        <v>84</v>
      </c>
      <c r="AC704">
        <v>21</v>
      </c>
      <c r="AD704">
        <v>0</v>
      </c>
      <c r="AE704">
        <v>614</v>
      </c>
      <c r="AF704">
        <v>378</v>
      </c>
      <c r="AJ704">
        <v>5.76</v>
      </c>
      <c r="AK704" t="str">
        <f t="shared" si="10"/>
        <v>PFA42-5000</v>
      </c>
    </row>
    <row r="705" spans="1:37">
      <c r="A705" t="s">
        <v>1278</v>
      </c>
      <c r="B705" t="s">
        <v>1276</v>
      </c>
      <c r="C705" t="s">
        <v>318</v>
      </c>
      <c r="D705" t="s">
        <v>1279</v>
      </c>
      <c r="E705">
        <v>50</v>
      </c>
      <c r="F705">
        <v>4.9000000000000004</v>
      </c>
      <c r="G705">
        <v>0</v>
      </c>
      <c r="H705">
        <v>19</v>
      </c>
      <c r="I705">
        <v>15</v>
      </c>
      <c r="J705">
        <v>9</v>
      </c>
      <c r="K705">
        <v>373</v>
      </c>
      <c r="L705">
        <v>7</v>
      </c>
      <c r="M705">
        <v>0</v>
      </c>
      <c r="N705">
        <v>0</v>
      </c>
      <c r="O705">
        <v>0</v>
      </c>
      <c r="P705">
        <v>0</v>
      </c>
      <c r="Q705">
        <v>373</v>
      </c>
      <c r="R705">
        <v>0</v>
      </c>
      <c r="S705">
        <v>14</v>
      </c>
      <c r="T705">
        <v>14</v>
      </c>
      <c r="U705">
        <v>29</v>
      </c>
      <c r="V705">
        <v>0</v>
      </c>
      <c r="W705">
        <v>0</v>
      </c>
      <c r="X705">
        <v>30</v>
      </c>
      <c r="Y705">
        <v>12</v>
      </c>
      <c r="Z705">
        <v>6</v>
      </c>
      <c r="AA705">
        <v>7</v>
      </c>
      <c r="AB705">
        <v>0</v>
      </c>
      <c r="AC705">
        <v>0</v>
      </c>
      <c r="AD705">
        <v>0</v>
      </c>
      <c r="AE705">
        <v>112</v>
      </c>
      <c r="AF705">
        <v>138</v>
      </c>
      <c r="AJ705">
        <v>5.82</v>
      </c>
      <c r="AK705" t="str">
        <f t="shared" si="10"/>
        <v>PFA42-6200</v>
      </c>
    </row>
    <row r="706" spans="1:37">
      <c r="A706" t="s">
        <v>1280</v>
      </c>
      <c r="B706" t="s">
        <v>1281</v>
      </c>
      <c r="C706" t="s">
        <v>318</v>
      </c>
      <c r="D706" t="s">
        <v>1277</v>
      </c>
      <c r="E706">
        <v>50</v>
      </c>
      <c r="F706">
        <v>69.8</v>
      </c>
      <c r="G706">
        <v>9</v>
      </c>
      <c r="H706">
        <v>5</v>
      </c>
      <c r="I706">
        <v>13</v>
      </c>
      <c r="J706">
        <v>12</v>
      </c>
      <c r="K706">
        <v>1497</v>
      </c>
      <c r="L706">
        <v>23</v>
      </c>
      <c r="M706">
        <v>0</v>
      </c>
      <c r="N706">
        <v>7</v>
      </c>
      <c r="O706">
        <v>0</v>
      </c>
      <c r="P706">
        <v>0</v>
      </c>
      <c r="Q706">
        <v>1490</v>
      </c>
      <c r="R706">
        <v>0</v>
      </c>
      <c r="S706">
        <v>0</v>
      </c>
      <c r="T706">
        <v>0</v>
      </c>
      <c r="U706">
        <v>16</v>
      </c>
      <c r="V706">
        <v>63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62</v>
      </c>
      <c r="AC706">
        <v>0</v>
      </c>
      <c r="AD706">
        <v>0</v>
      </c>
      <c r="AE706">
        <v>141</v>
      </c>
      <c r="AF706">
        <v>1145</v>
      </c>
      <c r="AJ706">
        <v>5.76</v>
      </c>
      <c r="AK706" t="str">
        <f t="shared" si="10"/>
        <v>PFA48-5000</v>
      </c>
    </row>
    <row r="707" spans="1:37">
      <c r="A707" t="s">
        <v>1282</v>
      </c>
      <c r="B707" t="s">
        <v>1281</v>
      </c>
      <c r="C707" t="s">
        <v>318</v>
      </c>
      <c r="D707" t="s">
        <v>1279</v>
      </c>
      <c r="E707">
        <v>50</v>
      </c>
      <c r="F707">
        <v>65.599999999999994</v>
      </c>
      <c r="G707">
        <v>0</v>
      </c>
      <c r="H707">
        <v>5</v>
      </c>
      <c r="I707">
        <v>7</v>
      </c>
      <c r="J707">
        <v>3</v>
      </c>
      <c r="K707">
        <v>1400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1400</v>
      </c>
      <c r="R707">
        <v>0</v>
      </c>
      <c r="S707">
        <v>0</v>
      </c>
      <c r="T707">
        <v>0</v>
      </c>
      <c r="U707">
        <v>16</v>
      </c>
      <c r="V707">
        <v>0</v>
      </c>
      <c r="W707">
        <v>0</v>
      </c>
      <c r="X707">
        <v>23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39</v>
      </c>
      <c r="AF707">
        <v>140</v>
      </c>
      <c r="AJ707">
        <v>5.76</v>
      </c>
      <c r="AK707" t="str">
        <f t="shared" si="10"/>
        <v>PFA48-6200</v>
      </c>
    </row>
    <row r="708" spans="1:37">
      <c r="A708" t="s">
        <v>1283</v>
      </c>
      <c r="B708" t="s">
        <v>1284</v>
      </c>
      <c r="C708" t="s">
        <v>318</v>
      </c>
      <c r="D708" t="s">
        <v>1277</v>
      </c>
      <c r="E708">
        <v>50</v>
      </c>
      <c r="F708">
        <v>12.8</v>
      </c>
      <c r="G708">
        <v>19</v>
      </c>
      <c r="H708">
        <v>2</v>
      </c>
      <c r="I708">
        <v>1</v>
      </c>
      <c r="J708">
        <v>2</v>
      </c>
      <c r="K708">
        <v>118</v>
      </c>
      <c r="L708">
        <v>4</v>
      </c>
      <c r="M708">
        <v>0</v>
      </c>
      <c r="N708">
        <v>16</v>
      </c>
      <c r="O708">
        <v>0</v>
      </c>
      <c r="P708">
        <v>0</v>
      </c>
      <c r="Q708">
        <v>102</v>
      </c>
      <c r="R708">
        <v>0</v>
      </c>
      <c r="S708">
        <v>0</v>
      </c>
      <c r="T708">
        <v>0</v>
      </c>
      <c r="U708">
        <v>6</v>
      </c>
      <c r="V708">
        <v>0</v>
      </c>
      <c r="W708">
        <v>0</v>
      </c>
      <c r="X708">
        <v>0</v>
      </c>
      <c r="Y708">
        <v>0</v>
      </c>
      <c r="Z708">
        <v>10</v>
      </c>
      <c r="AA708">
        <v>13</v>
      </c>
      <c r="AB708">
        <v>0</v>
      </c>
      <c r="AC708">
        <v>0</v>
      </c>
      <c r="AD708">
        <v>0</v>
      </c>
      <c r="AE708">
        <v>29</v>
      </c>
      <c r="AF708">
        <v>111</v>
      </c>
      <c r="AJ708">
        <v>4.13</v>
      </c>
      <c r="AK708" t="str">
        <f t="shared" si="10"/>
        <v>PFA51-5000</v>
      </c>
    </row>
    <row r="709" spans="1:37">
      <c r="A709" t="s">
        <v>1285</v>
      </c>
      <c r="B709" t="s">
        <v>1284</v>
      </c>
      <c r="C709" t="s">
        <v>318</v>
      </c>
      <c r="D709" t="s">
        <v>1279</v>
      </c>
      <c r="E709">
        <v>50</v>
      </c>
      <c r="F709">
        <v>3.9</v>
      </c>
      <c r="G709">
        <v>16</v>
      </c>
      <c r="H709">
        <v>25</v>
      </c>
      <c r="I709">
        <v>21</v>
      </c>
      <c r="J709">
        <v>18</v>
      </c>
      <c r="K709">
        <v>412</v>
      </c>
      <c r="L709">
        <v>0</v>
      </c>
      <c r="M709">
        <v>0</v>
      </c>
      <c r="N709">
        <v>13</v>
      </c>
      <c r="O709">
        <v>0</v>
      </c>
      <c r="P709">
        <v>0</v>
      </c>
      <c r="Q709">
        <v>399</v>
      </c>
      <c r="R709">
        <v>0</v>
      </c>
      <c r="S709">
        <v>24</v>
      </c>
      <c r="T709">
        <v>0</v>
      </c>
      <c r="U709">
        <v>52</v>
      </c>
      <c r="V709">
        <v>20</v>
      </c>
      <c r="W709">
        <v>0</v>
      </c>
      <c r="X709">
        <v>29</v>
      </c>
      <c r="Y709">
        <v>0</v>
      </c>
      <c r="Z709">
        <v>49</v>
      </c>
      <c r="AA709">
        <v>28</v>
      </c>
      <c r="AB709">
        <v>17</v>
      </c>
      <c r="AC709">
        <v>0</v>
      </c>
      <c r="AD709">
        <v>0</v>
      </c>
      <c r="AE709">
        <v>219</v>
      </c>
      <c r="AF709">
        <v>111</v>
      </c>
      <c r="AJ709">
        <v>5.05</v>
      </c>
      <c r="AK709" t="str">
        <f t="shared" ref="AK709:AK772" si="11">MID(A709,4,10)</f>
        <v>PFA51-6200</v>
      </c>
    </row>
    <row r="710" spans="1:37">
      <c r="A710" t="s">
        <v>1286</v>
      </c>
      <c r="B710" t="s">
        <v>1287</v>
      </c>
      <c r="C710" t="s">
        <v>318</v>
      </c>
      <c r="D710" t="s">
        <v>1288</v>
      </c>
      <c r="E710">
        <v>50</v>
      </c>
      <c r="F710">
        <v>0</v>
      </c>
      <c r="G710">
        <v>0</v>
      </c>
      <c r="H710">
        <v>0</v>
      </c>
      <c r="I710">
        <v>0</v>
      </c>
      <c r="J710">
        <v>3</v>
      </c>
      <c r="K710">
        <v>543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543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39</v>
      </c>
      <c r="AC710">
        <v>0</v>
      </c>
      <c r="AD710">
        <v>0</v>
      </c>
      <c r="AE710">
        <v>39</v>
      </c>
      <c r="AF710">
        <v>201</v>
      </c>
      <c r="AJ710">
        <v>5.89</v>
      </c>
      <c r="AK710" t="str">
        <f t="shared" si="11"/>
        <v>PFA54-5000</v>
      </c>
    </row>
    <row r="711" spans="1:37">
      <c r="A711" t="s">
        <v>1289</v>
      </c>
      <c r="B711" t="s">
        <v>1287</v>
      </c>
      <c r="C711" t="s">
        <v>318</v>
      </c>
      <c r="D711" t="s">
        <v>1290</v>
      </c>
      <c r="E711">
        <v>50</v>
      </c>
      <c r="F711">
        <v>0</v>
      </c>
      <c r="G711">
        <v>0</v>
      </c>
      <c r="H711">
        <v>0</v>
      </c>
      <c r="I711">
        <v>0</v>
      </c>
      <c r="J711">
        <v>9</v>
      </c>
      <c r="K711">
        <v>219</v>
      </c>
      <c r="L711">
        <v>92</v>
      </c>
      <c r="M711">
        <v>0</v>
      </c>
      <c r="N711">
        <v>0</v>
      </c>
      <c r="O711">
        <v>0</v>
      </c>
      <c r="P711">
        <v>0</v>
      </c>
      <c r="Q711">
        <v>219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36</v>
      </c>
      <c r="AB711">
        <v>25</v>
      </c>
      <c r="AC711">
        <v>0</v>
      </c>
      <c r="AD711">
        <v>50</v>
      </c>
      <c r="AE711">
        <v>111</v>
      </c>
      <c r="AF711">
        <v>387</v>
      </c>
      <c r="AJ711">
        <v>5.99</v>
      </c>
      <c r="AK711" t="str">
        <f t="shared" si="11"/>
        <v>PFA54-6200</v>
      </c>
    </row>
    <row r="712" spans="1:37">
      <c r="A712" t="s">
        <v>1291</v>
      </c>
      <c r="B712" t="s">
        <v>1292</v>
      </c>
      <c r="C712" t="s">
        <v>110</v>
      </c>
      <c r="D712" t="s">
        <v>1277</v>
      </c>
      <c r="E712">
        <v>55</v>
      </c>
      <c r="F712">
        <v>0.4</v>
      </c>
      <c r="G712">
        <v>617</v>
      </c>
      <c r="H712">
        <v>373</v>
      </c>
      <c r="I712">
        <v>685</v>
      </c>
      <c r="J712">
        <v>1149</v>
      </c>
      <c r="K712">
        <v>1120</v>
      </c>
      <c r="L712">
        <v>1185</v>
      </c>
      <c r="M712">
        <v>0</v>
      </c>
      <c r="N712">
        <v>514</v>
      </c>
      <c r="O712">
        <v>0</v>
      </c>
      <c r="P712">
        <v>0</v>
      </c>
      <c r="Q712">
        <v>606</v>
      </c>
      <c r="R712">
        <v>0</v>
      </c>
      <c r="S712">
        <v>15</v>
      </c>
      <c r="T712">
        <v>770</v>
      </c>
      <c r="U712">
        <v>333</v>
      </c>
      <c r="V712">
        <v>1525</v>
      </c>
      <c r="W712">
        <v>769</v>
      </c>
      <c r="X712">
        <v>700</v>
      </c>
      <c r="Y712">
        <v>1051</v>
      </c>
      <c r="Z712">
        <v>1867</v>
      </c>
      <c r="AA712">
        <v>2210</v>
      </c>
      <c r="AB712">
        <v>2023</v>
      </c>
      <c r="AC712">
        <v>1720</v>
      </c>
      <c r="AD712">
        <v>799</v>
      </c>
      <c r="AE712">
        <v>13782</v>
      </c>
      <c r="AF712">
        <v>7505</v>
      </c>
      <c r="AJ712">
        <v>4.53</v>
      </c>
      <c r="AK712" t="str">
        <f t="shared" si="11"/>
        <v>PFA60-5000</v>
      </c>
    </row>
    <row r="713" spans="1:37">
      <c r="A713" t="s">
        <v>1293</v>
      </c>
      <c r="B713" t="s">
        <v>1292</v>
      </c>
      <c r="C713" t="s">
        <v>110</v>
      </c>
      <c r="D713" t="s">
        <v>1279</v>
      </c>
      <c r="E713">
        <v>55</v>
      </c>
      <c r="F713">
        <v>1.3</v>
      </c>
      <c r="G713">
        <v>147</v>
      </c>
      <c r="H713">
        <v>137</v>
      </c>
      <c r="I713">
        <v>207</v>
      </c>
      <c r="J713">
        <v>249</v>
      </c>
      <c r="K713">
        <v>842</v>
      </c>
      <c r="L713">
        <v>334</v>
      </c>
      <c r="M713">
        <v>0</v>
      </c>
      <c r="N713">
        <v>123</v>
      </c>
      <c r="O713">
        <v>0</v>
      </c>
      <c r="P713">
        <v>0</v>
      </c>
      <c r="Q713">
        <v>719</v>
      </c>
      <c r="R713">
        <v>190</v>
      </c>
      <c r="S713">
        <v>237</v>
      </c>
      <c r="T713">
        <v>34</v>
      </c>
      <c r="U713">
        <v>139</v>
      </c>
      <c r="V713">
        <v>457</v>
      </c>
      <c r="W713">
        <v>65</v>
      </c>
      <c r="X713">
        <v>311</v>
      </c>
      <c r="Y713">
        <v>222</v>
      </c>
      <c r="Z713">
        <v>358</v>
      </c>
      <c r="AA713">
        <v>446</v>
      </c>
      <c r="AB713">
        <v>209</v>
      </c>
      <c r="AC713">
        <v>38</v>
      </c>
      <c r="AD713">
        <v>466</v>
      </c>
      <c r="AE713">
        <v>2982</v>
      </c>
      <c r="AF713">
        <v>5073</v>
      </c>
      <c r="AJ713">
        <v>4.53</v>
      </c>
      <c r="AK713" t="str">
        <f t="shared" si="11"/>
        <v>PFA60-6200</v>
      </c>
    </row>
    <row r="714" spans="1:37">
      <c r="A714" t="s">
        <v>1294</v>
      </c>
      <c r="B714" t="s">
        <v>1295</v>
      </c>
      <c r="C714" t="s">
        <v>318</v>
      </c>
      <c r="D714" t="s">
        <v>609</v>
      </c>
      <c r="E714">
        <v>50</v>
      </c>
      <c r="F714">
        <v>3.7</v>
      </c>
      <c r="G714">
        <v>0</v>
      </c>
      <c r="H714">
        <v>167</v>
      </c>
      <c r="I714">
        <v>84</v>
      </c>
      <c r="J714">
        <v>83</v>
      </c>
      <c r="K714">
        <v>2461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2461</v>
      </c>
      <c r="R714">
        <v>0</v>
      </c>
      <c r="S714">
        <v>0</v>
      </c>
      <c r="T714">
        <v>501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500</v>
      </c>
      <c r="AB714">
        <v>0</v>
      </c>
      <c r="AC714">
        <v>0</v>
      </c>
      <c r="AD714">
        <v>0</v>
      </c>
      <c r="AE714">
        <v>1001</v>
      </c>
      <c r="AF714">
        <v>505</v>
      </c>
      <c r="AJ714">
        <v>5.82</v>
      </c>
      <c r="AK714" t="str">
        <f t="shared" si="11"/>
        <v>PFA66-6200</v>
      </c>
    </row>
    <row r="715" spans="1:37">
      <c r="A715" t="s">
        <v>1296</v>
      </c>
      <c r="B715" t="s">
        <v>1297</v>
      </c>
      <c r="C715" t="s">
        <v>275</v>
      </c>
      <c r="D715" t="s">
        <v>666</v>
      </c>
      <c r="E715">
        <v>43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2144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2144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J715">
        <v>0</v>
      </c>
      <c r="AK715" t="str">
        <f t="shared" si="11"/>
        <v>QP111-6200</v>
      </c>
    </row>
    <row r="716" spans="1:37">
      <c r="A716" t="s">
        <v>1298</v>
      </c>
      <c r="B716" t="s">
        <v>1299</v>
      </c>
      <c r="C716" t="s">
        <v>1300</v>
      </c>
      <c r="E716">
        <v>125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J716">
        <v>2.6892</v>
      </c>
      <c r="AK716" t="str">
        <f t="shared" si="11"/>
        <v>QU663-3800</v>
      </c>
    </row>
    <row r="717" spans="1:37">
      <c r="A717" t="s">
        <v>1302</v>
      </c>
      <c r="B717" t="s">
        <v>1303</v>
      </c>
      <c r="C717" t="s">
        <v>110</v>
      </c>
      <c r="E717">
        <v>175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17746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17746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26445</v>
      </c>
      <c r="AJ717">
        <v>0.35499999999999998</v>
      </c>
      <c r="AK717" t="str">
        <f t="shared" si="11"/>
        <v>QU906-6212</v>
      </c>
    </row>
    <row r="718" spans="1:37">
      <c r="A718" t="s">
        <v>1304</v>
      </c>
      <c r="B718" t="s">
        <v>1305</v>
      </c>
      <c r="C718" t="s">
        <v>141</v>
      </c>
      <c r="E718">
        <v>28</v>
      </c>
      <c r="F718">
        <v>0</v>
      </c>
      <c r="G718">
        <v>0</v>
      </c>
      <c r="H718">
        <v>0</v>
      </c>
      <c r="I718">
        <v>0</v>
      </c>
      <c r="J718">
        <v>258</v>
      </c>
      <c r="K718">
        <v>111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111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3092</v>
      </c>
      <c r="AA718">
        <v>0</v>
      </c>
      <c r="AB718">
        <v>0</v>
      </c>
      <c r="AC718">
        <v>0</v>
      </c>
      <c r="AD718">
        <v>0</v>
      </c>
      <c r="AE718">
        <v>3092</v>
      </c>
      <c r="AF718">
        <v>1094</v>
      </c>
      <c r="AJ718">
        <v>1.65</v>
      </c>
      <c r="AK718" t="str">
        <f t="shared" si="11"/>
        <v>QU910-6200</v>
      </c>
    </row>
    <row r="719" spans="1:37">
      <c r="A719" t="s">
        <v>1308</v>
      </c>
      <c r="B719" t="s">
        <v>1309</v>
      </c>
      <c r="C719" t="s">
        <v>129</v>
      </c>
      <c r="E719">
        <v>50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2981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2981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26481</v>
      </c>
      <c r="AJ719">
        <v>1.38</v>
      </c>
      <c r="AK719" t="str">
        <f t="shared" si="11"/>
        <v>QU920-5000</v>
      </c>
    </row>
    <row r="720" spans="1:37">
      <c r="A720" t="s">
        <v>1312</v>
      </c>
      <c r="B720" t="s">
        <v>1313</v>
      </c>
      <c r="C720" t="s">
        <v>129</v>
      </c>
      <c r="E720">
        <v>50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13430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13430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J720">
        <v>1.43</v>
      </c>
      <c r="AK720" t="str">
        <f t="shared" si="11"/>
        <v>QU931-5000</v>
      </c>
    </row>
    <row r="721" spans="1:37">
      <c r="A721" t="s">
        <v>1314</v>
      </c>
      <c r="B721" t="s">
        <v>1315</v>
      </c>
      <c r="C721" t="s">
        <v>267</v>
      </c>
      <c r="D721" t="s">
        <v>1316</v>
      </c>
      <c r="E721">
        <v>123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235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235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J721">
        <v>0</v>
      </c>
      <c r="AK721" t="str">
        <f t="shared" si="11"/>
        <v>QU932-5000</v>
      </c>
    </row>
    <row r="722" spans="1:37">
      <c r="A722" t="s">
        <v>1317</v>
      </c>
      <c r="B722" t="s">
        <v>1318</v>
      </c>
      <c r="D722" t="s">
        <v>1319</v>
      </c>
      <c r="E722">
        <v>148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28631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28631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J722">
        <v>0.35</v>
      </c>
      <c r="AK722" t="str">
        <f t="shared" si="11"/>
        <v>QU934-5014</v>
      </c>
    </row>
    <row r="723" spans="1:37">
      <c r="A723" t="s">
        <v>1320</v>
      </c>
      <c r="B723" t="s">
        <v>1321</v>
      </c>
      <c r="D723" t="s">
        <v>1319</v>
      </c>
      <c r="E723">
        <v>148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15745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15745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J723">
        <v>0.35</v>
      </c>
      <c r="AK723" t="str">
        <f t="shared" si="11"/>
        <v>QU934-6234</v>
      </c>
    </row>
    <row r="724" spans="1:37">
      <c r="A724" t="s">
        <v>1322</v>
      </c>
      <c r="B724" t="s">
        <v>1323</v>
      </c>
      <c r="C724" t="s">
        <v>329</v>
      </c>
      <c r="D724" t="s">
        <v>900</v>
      </c>
      <c r="E724">
        <v>50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349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349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J724">
        <v>0</v>
      </c>
      <c r="AK724" t="str">
        <f t="shared" si="11"/>
        <v>QU942-5000</v>
      </c>
    </row>
    <row r="725" spans="1:37">
      <c r="A725" t="s">
        <v>1324</v>
      </c>
      <c r="B725" t="s">
        <v>1325</v>
      </c>
      <c r="C725" t="s">
        <v>1326</v>
      </c>
      <c r="E725">
        <v>233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19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19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J725">
        <v>0</v>
      </c>
      <c r="AK725" t="str">
        <f t="shared" si="11"/>
        <v>QU943-5000</v>
      </c>
    </row>
    <row r="726" spans="1:37">
      <c r="A726" t="s">
        <v>1327</v>
      </c>
      <c r="B726" t="s">
        <v>1328</v>
      </c>
      <c r="C726" t="s">
        <v>1326</v>
      </c>
      <c r="E726">
        <v>233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56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56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J726">
        <v>0</v>
      </c>
      <c r="AK726" t="str">
        <f t="shared" si="11"/>
        <v>QU944-5000</v>
      </c>
    </row>
    <row r="727" spans="1:37">
      <c r="A727" t="s">
        <v>1331</v>
      </c>
      <c r="B727" t="s">
        <v>1332</v>
      </c>
      <c r="C727" t="s">
        <v>267</v>
      </c>
      <c r="E727">
        <v>25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3959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3959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179</v>
      </c>
      <c r="AJ727">
        <v>1.3493999999999999</v>
      </c>
      <c r="AK727" t="str">
        <f t="shared" si="11"/>
        <v>QU952-5000</v>
      </c>
    </row>
    <row r="728" spans="1:37">
      <c r="A728" t="s">
        <v>1335</v>
      </c>
      <c r="B728" t="s">
        <v>1336</v>
      </c>
      <c r="C728" t="s">
        <v>1337</v>
      </c>
      <c r="E728">
        <v>50</v>
      </c>
      <c r="F728">
        <v>0</v>
      </c>
      <c r="G728">
        <v>0</v>
      </c>
      <c r="H728">
        <v>40</v>
      </c>
      <c r="I728">
        <v>20</v>
      </c>
      <c r="J728">
        <v>27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120</v>
      </c>
      <c r="V728">
        <v>0</v>
      </c>
      <c r="W728">
        <v>0</v>
      </c>
      <c r="X728">
        <v>0</v>
      </c>
      <c r="Y728">
        <v>206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326</v>
      </c>
      <c r="AF728">
        <v>0</v>
      </c>
      <c r="AJ728">
        <v>2.31</v>
      </c>
      <c r="AK728" t="str">
        <f t="shared" si="11"/>
        <v>QU967-6200</v>
      </c>
    </row>
    <row r="729" spans="1:37">
      <c r="A729" t="s">
        <v>1338</v>
      </c>
      <c r="B729" t="s">
        <v>1339</v>
      </c>
      <c r="C729" t="s">
        <v>267</v>
      </c>
      <c r="E729">
        <v>24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34940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34940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J729">
        <v>1.6997</v>
      </c>
      <c r="AK729" t="str">
        <f t="shared" si="11"/>
        <v>QU968-5000</v>
      </c>
    </row>
    <row r="730" spans="1:37">
      <c r="A730" t="s">
        <v>1340</v>
      </c>
      <c r="B730" t="s">
        <v>1341</v>
      </c>
      <c r="C730" t="s">
        <v>313</v>
      </c>
      <c r="E730">
        <v>43</v>
      </c>
      <c r="F730">
        <v>23.7</v>
      </c>
      <c r="G730">
        <v>0</v>
      </c>
      <c r="H730">
        <v>11</v>
      </c>
      <c r="I730">
        <v>6</v>
      </c>
      <c r="J730">
        <v>3</v>
      </c>
      <c r="K730">
        <v>1042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1042</v>
      </c>
      <c r="R730">
        <v>0</v>
      </c>
      <c r="S730">
        <v>0</v>
      </c>
      <c r="T730">
        <v>8</v>
      </c>
      <c r="U730">
        <v>25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33</v>
      </c>
      <c r="AF730">
        <v>8</v>
      </c>
      <c r="AJ730">
        <v>0</v>
      </c>
      <c r="AK730" t="str">
        <f t="shared" si="11"/>
        <v>QW115-5000</v>
      </c>
    </row>
    <row r="731" spans="1:37">
      <c r="A731" t="s">
        <v>1342</v>
      </c>
      <c r="B731" t="s">
        <v>1343</v>
      </c>
      <c r="C731" t="s">
        <v>313</v>
      </c>
      <c r="E731">
        <v>43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537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537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J731">
        <v>0</v>
      </c>
      <c r="AK731" t="str">
        <f t="shared" si="11"/>
        <v>QW116-5000</v>
      </c>
    </row>
    <row r="732" spans="1:37">
      <c r="A732" t="s">
        <v>1344</v>
      </c>
      <c r="B732" t="s">
        <v>1345</v>
      </c>
      <c r="C732" t="s">
        <v>313</v>
      </c>
      <c r="E732">
        <v>43</v>
      </c>
      <c r="F732">
        <v>0.9</v>
      </c>
      <c r="G732">
        <v>0</v>
      </c>
      <c r="H732">
        <v>85</v>
      </c>
      <c r="I732">
        <v>46</v>
      </c>
      <c r="J732">
        <v>26</v>
      </c>
      <c r="K732">
        <v>309</v>
      </c>
      <c r="L732">
        <v>32</v>
      </c>
      <c r="M732">
        <v>0</v>
      </c>
      <c r="N732">
        <v>0</v>
      </c>
      <c r="O732">
        <v>0</v>
      </c>
      <c r="P732">
        <v>0</v>
      </c>
      <c r="Q732">
        <v>309</v>
      </c>
      <c r="R732">
        <v>0</v>
      </c>
      <c r="S732">
        <v>56</v>
      </c>
      <c r="T732">
        <v>0</v>
      </c>
      <c r="U732">
        <v>199</v>
      </c>
      <c r="V732">
        <v>21</v>
      </c>
      <c r="W732">
        <v>0</v>
      </c>
      <c r="X732">
        <v>0</v>
      </c>
      <c r="Y732">
        <v>37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313</v>
      </c>
      <c r="AF732">
        <v>152</v>
      </c>
      <c r="AJ732">
        <v>0</v>
      </c>
      <c r="AK732" t="str">
        <f t="shared" si="11"/>
        <v>QW118-5000</v>
      </c>
    </row>
    <row r="733" spans="1:37">
      <c r="A733" t="s">
        <v>1346</v>
      </c>
      <c r="B733" t="s">
        <v>1347</v>
      </c>
      <c r="C733" t="s">
        <v>313</v>
      </c>
      <c r="E733">
        <v>43</v>
      </c>
      <c r="F733">
        <v>11.5</v>
      </c>
      <c r="G733">
        <v>68</v>
      </c>
      <c r="H733">
        <v>15</v>
      </c>
      <c r="I733">
        <v>52</v>
      </c>
      <c r="J733">
        <v>27</v>
      </c>
      <c r="K733">
        <v>762</v>
      </c>
      <c r="L733">
        <v>115</v>
      </c>
      <c r="M733">
        <v>0</v>
      </c>
      <c r="N733">
        <v>57</v>
      </c>
      <c r="O733">
        <v>0</v>
      </c>
      <c r="P733">
        <v>0</v>
      </c>
      <c r="Q733">
        <v>705</v>
      </c>
      <c r="R733">
        <v>108</v>
      </c>
      <c r="S733">
        <v>0</v>
      </c>
      <c r="T733">
        <v>0</v>
      </c>
      <c r="U733">
        <v>46</v>
      </c>
      <c r="V733">
        <v>14</v>
      </c>
      <c r="W733">
        <v>134</v>
      </c>
      <c r="X733">
        <v>115</v>
      </c>
      <c r="Y733">
        <v>14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323</v>
      </c>
      <c r="AF733">
        <v>239</v>
      </c>
      <c r="AJ733">
        <v>0</v>
      </c>
      <c r="AK733" t="str">
        <f t="shared" si="11"/>
        <v>QW119-5000</v>
      </c>
    </row>
    <row r="734" spans="1:37">
      <c r="A734" t="s">
        <v>1348</v>
      </c>
      <c r="B734" t="s">
        <v>1349</v>
      </c>
      <c r="C734" t="s">
        <v>313</v>
      </c>
      <c r="E734">
        <v>43</v>
      </c>
      <c r="F734">
        <v>0</v>
      </c>
      <c r="G734">
        <v>0</v>
      </c>
      <c r="H734">
        <v>0</v>
      </c>
      <c r="I734">
        <v>4</v>
      </c>
      <c r="J734">
        <v>2</v>
      </c>
      <c r="K734">
        <v>586</v>
      </c>
      <c r="L734">
        <v>3</v>
      </c>
      <c r="M734">
        <v>0</v>
      </c>
      <c r="N734">
        <v>0</v>
      </c>
      <c r="O734">
        <v>0</v>
      </c>
      <c r="P734">
        <v>0</v>
      </c>
      <c r="Q734">
        <v>586</v>
      </c>
      <c r="R734">
        <v>0</v>
      </c>
      <c r="S734">
        <v>0</v>
      </c>
      <c r="T734">
        <v>0</v>
      </c>
      <c r="U734">
        <v>0</v>
      </c>
      <c r="V734">
        <v>25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25</v>
      </c>
      <c r="AF734">
        <v>31</v>
      </c>
      <c r="AJ734">
        <v>0</v>
      </c>
      <c r="AK734" t="str">
        <f t="shared" si="11"/>
        <v>QW121-5000</v>
      </c>
    </row>
    <row r="735" spans="1:37">
      <c r="A735" t="s">
        <v>1350</v>
      </c>
      <c r="B735" t="s">
        <v>1351</v>
      </c>
      <c r="C735" t="s">
        <v>313</v>
      </c>
      <c r="E735">
        <v>43</v>
      </c>
      <c r="F735">
        <v>10</v>
      </c>
      <c r="G735">
        <v>0</v>
      </c>
      <c r="H735">
        <v>44</v>
      </c>
      <c r="I735">
        <v>31</v>
      </c>
      <c r="J735">
        <v>17</v>
      </c>
      <c r="K735">
        <v>1750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1750</v>
      </c>
      <c r="R735">
        <v>0</v>
      </c>
      <c r="S735">
        <v>0</v>
      </c>
      <c r="T735">
        <v>56</v>
      </c>
      <c r="U735">
        <v>75</v>
      </c>
      <c r="V735">
        <v>12</v>
      </c>
      <c r="W735">
        <v>0</v>
      </c>
      <c r="X735">
        <v>40</v>
      </c>
      <c r="Y735">
        <v>0</v>
      </c>
      <c r="Z735">
        <v>15</v>
      </c>
      <c r="AA735">
        <v>0</v>
      </c>
      <c r="AB735">
        <v>0</v>
      </c>
      <c r="AC735">
        <v>0</v>
      </c>
      <c r="AD735">
        <v>0</v>
      </c>
      <c r="AE735">
        <v>198</v>
      </c>
      <c r="AF735">
        <v>139</v>
      </c>
      <c r="AJ735">
        <v>5.9</v>
      </c>
      <c r="AK735" t="str">
        <f t="shared" si="11"/>
        <v>QW122-5000</v>
      </c>
    </row>
    <row r="736" spans="1:37">
      <c r="A736" t="s">
        <v>1352</v>
      </c>
      <c r="B736" t="s">
        <v>1353</v>
      </c>
      <c r="C736" t="s">
        <v>313</v>
      </c>
      <c r="E736">
        <v>43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1301</v>
      </c>
      <c r="L736">
        <v>15</v>
      </c>
      <c r="M736">
        <v>0</v>
      </c>
      <c r="N736">
        <v>0</v>
      </c>
      <c r="O736">
        <v>0</v>
      </c>
      <c r="P736">
        <v>0</v>
      </c>
      <c r="Q736">
        <v>1301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259</v>
      </c>
      <c r="AJ736">
        <v>0</v>
      </c>
      <c r="AK736" t="str">
        <f t="shared" si="11"/>
        <v>QW124-5000</v>
      </c>
    </row>
    <row r="737" spans="1:37">
      <c r="A737" t="s">
        <v>1354</v>
      </c>
      <c r="B737" t="s">
        <v>1355</v>
      </c>
      <c r="C737" t="s">
        <v>313</v>
      </c>
      <c r="E737">
        <v>43</v>
      </c>
      <c r="F737">
        <v>0</v>
      </c>
      <c r="G737">
        <v>0</v>
      </c>
      <c r="H737">
        <v>0</v>
      </c>
      <c r="I737">
        <v>6</v>
      </c>
      <c r="J737">
        <v>4</v>
      </c>
      <c r="K737">
        <v>129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129</v>
      </c>
      <c r="R737">
        <v>0</v>
      </c>
      <c r="S737">
        <v>0</v>
      </c>
      <c r="T737">
        <v>0</v>
      </c>
      <c r="U737">
        <v>0</v>
      </c>
      <c r="V737">
        <v>37</v>
      </c>
      <c r="W737">
        <v>0</v>
      </c>
      <c r="X737">
        <v>1</v>
      </c>
      <c r="Y737">
        <v>15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53</v>
      </c>
      <c r="AF737">
        <v>0</v>
      </c>
      <c r="AJ737">
        <v>0</v>
      </c>
      <c r="AK737" t="str">
        <f t="shared" si="11"/>
        <v>QW128-5000</v>
      </c>
    </row>
    <row r="738" spans="1:37">
      <c r="A738" t="s">
        <v>1356</v>
      </c>
      <c r="B738" t="s">
        <v>1357</v>
      </c>
      <c r="C738" t="s">
        <v>313</v>
      </c>
      <c r="E738">
        <v>43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778</v>
      </c>
      <c r="L738">
        <v>13</v>
      </c>
      <c r="M738">
        <v>0</v>
      </c>
      <c r="N738">
        <v>0</v>
      </c>
      <c r="O738">
        <v>0</v>
      </c>
      <c r="P738">
        <v>0</v>
      </c>
      <c r="Q738">
        <v>778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268</v>
      </c>
      <c r="AJ738">
        <v>0</v>
      </c>
      <c r="AK738" t="str">
        <f t="shared" si="11"/>
        <v>QW133-5000</v>
      </c>
    </row>
    <row r="739" spans="1:37">
      <c r="A739" t="s">
        <v>1358</v>
      </c>
      <c r="B739" t="s">
        <v>1359</v>
      </c>
      <c r="C739" t="s">
        <v>313</v>
      </c>
      <c r="E739">
        <v>43</v>
      </c>
      <c r="F739">
        <v>0</v>
      </c>
      <c r="G739">
        <v>0</v>
      </c>
      <c r="H739">
        <v>0</v>
      </c>
      <c r="I739">
        <v>11</v>
      </c>
      <c r="J739">
        <v>7</v>
      </c>
      <c r="K739">
        <v>75</v>
      </c>
      <c r="L739">
        <v>6</v>
      </c>
      <c r="M739">
        <v>0</v>
      </c>
      <c r="N739">
        <v>0</v>
      </c>
      <c r="O739">
        <v>0</v>
      </c>
      <c r="P739">
        <v>0</v>
      </c>
      <c r="Q739">
        <v>75</v>
      </c>
      <c r="R739">
        <v>0</v>
      </c>
      <c r="S739">
        <v>0</v>
      </c>
      <c r="T739">
        <v>0</v>
      </c>
      <c r="U739">
        <v>0</v>
      </c>
      <c r="V739">
        <v>30</v>
      </c>
      <c r="W739">
        <v>36</v>
      </c>
      <c r="X739">
        <v>0</v>
      </c>
      <c r="Y739">
        <v>0</v>
      </c>
      <c r="Z739">
        <v>0</v>
      </c>
      <c r="AA739">
        <v>0</v>
      </c>
      <c r="AB739">
        <v>16</v>
      </c>
      <c r="AC739">
        <v>0</v>
      </c>
      <c r="AD739">
        <v>0</v>
      </c>
      <c r="AE739">
        <v>82</v>
      </c>
      <c r="AF739">
        <v>94</v>
      </c>
      <c r="AJ739">
        <v>0</v>
      </c>
      <c r="AK739" t="str">
        <f t="shared" si="11"/>
        <v>QW135-5000</v>
      </c>
    </row>
    <row r="740" spans="1:37">
      <c r="A740" t="s">
        <v>1360</v>
      </c>
      <c r="B740" t="s">
        <v>1361</v>
      </c>
      <c r="C740" t="s">
        <v>313</v>
      </c>
      <c r="E740">
        <v>43</v>
      </c>
      <c r="F740">
        <v>0</v>
      </c>
      <c r="G740">
        <v>0</v>
      </c>
      <c r="H740">
        <v>0</v>
      </c>
      <c r="I740">
        <v>1</v>
      </c>
      <c r="J740">
        <v>2</v>
      </c>
      <c r="K740">
        <v>1351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1351</v>
      </c>
      <c r="R740">
        <v>0</v>
      </c>
      <c r="S740">
        <v>0</v>
      </c>
      <c r="T740">
        <v>0</v>
      </c>
      <c r="U740">
        <v>0</v>
      </c>
      <c r="V740">
        <v>6</v>
      </c>
      <c r="W740">
        <v>0</v>
      </c>
      <c r="X740">
        <v>0</v>
      </c>
      <c r="Y740">
        <v>0</v>
      </c>
      <c r="Z740">
        <v>14</v>
      </c>
      <c r="AA740">
        <v>0</v>
      </c>
      <c r="AB740">
        <v>0</v>
      </c>
      <c r="AC740">
        <v>0</v>
      </c>
      <c r="AD740">
        <v>0</v>
      </c>
      <c r="AE740">
        <v>20</v>
      </c>
      <c r="AF740">
        <v>20</v>
      </c>
      <c r="AJ740">
        <v>0</v>
      </c>
      <c r="AK740" t="str">
        <f t="shared" si="11"/>
        <v>QW139-5000</v>
      </c>
    </row>
    <row r="741" spans="1:37">
      <c r="A741" t="s">
        <v>1362</v>
      </c>
      <c r="B741" t="s">
        <v>1361</v>
      </c>
      <c r="C741" t="s">
        <v>313</v>
      </c>
      <c r="E741">
        <v>43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3979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3979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J741">
        <v>0</v>
      </c>
      <c r="AK741" t="str">
        <f t="shared" si="11"/>
        <v>QW139-6200</v>
      </c>
    </row>
    <row r="742" spans="1:37">
      <c r="A742" t="s">
        <v>1363</v>
      </c>
      <c r="B742" t="s">
        <v>1364</v>
      </c>
      <c r="C742" t="s">
        <v>313</v>
      </c>
      <c r="E742">
        <v>43</v>
      </c>
      <c r="F742">
        <v>0</v>
      </c>
      <c r="G742">
        <v>0</v>
      </c>
      <c r="H742">
        <v>0</v>
      </c>
      <c r="I742">
        <v>1</v>
      </c>
      <c r="J742">
        <v>2</v>
      </c>
      <c r="K742">
        <v>1102</v>
      </c>
      <c r="L742">
        <v>5</v>
      </c>
      <c r="M742">
        <v>0</v>
      </c>
      <c r="N742">
        <v>0</v>
      </c>
      <c r="O742">
        <v>0</v>
      </c>
      <c r="P742">
        <v>0</v>
      </c>
      <c r="Q742">
        <v>1102</v>
      </c>
      <c r="R742">
        <v>0</v>
      </c>
      <c r="S742">
        <v>0</v>
      </c>
      <c r="T742">
        <v>0</v>
      </c>
      <c r="U742">
        <v>0</v>
      </c>
      <c r="V742">
        <v>7</v>
      </c>
      <c r="W742">
        <v>0</v>
      </c>
      <c r="X742">
        <v>0</v>
      </c>
      <c r="Y742">
        <v>0</v>
      </c>
      <c r="Z742">
        <v>17</v>
      </c>
      <c r="AA742">
        <v>0</v>
      </c>
      <c r="AB742">
        <v>0</v>
      </c>
      <c r="AC742">
        <v>0</v>
      </c>
      <c r="AD742">
        <v>0</v>
      </c>
      <c r="AE742">
        <v>24</v>
      </c>
      <c r="AF742">
        <v>43</v>
      </c>
      <c r="AJ742">
        <v>0</v>
      </c>
      <c r="AK742" t="str">
        <f t="shared" si="11"/>
        <v>QW141-5000</v>
      </c>
    </row>
    <row r="743" spans="1:37">
      <c r="A743" t="s">
        <v>1365</v>
      </c>
      <c r="B743" t="s">
        <v>1366</v>
      </c>
      <c r="C743" t="s">
        <v>313</v>
      </c>
      <c r="E743">
        <v>43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318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318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30</v>
      </c>
      <c r="AJ743">
        <v>0</v>
      </c>
      <c r="AK743" t="str">
        <f t="shared" si="11"/>
        <v>QW143-5000</v>
      </c>
    </row>
    <row r="744" spans="1:37">
      <c r="A744" t="s">
        <v>1367</v>
      </c>
      <c r="B744" t="s">
        <v>1368</v>
      </c>
      <c r="C744" t="s">
        <v>313</v>
      </c>
      <c r="E744">
        <v>43</v>
      </c>
      <c r="F744">
        <v>0</v>
      </c>
      <c r="G744">
        <v>0</v>
      </c>
      <c r="H744">
        <v>0</v>
      </c>
      <c r="I744">
        <v>9</v>
      </c>
      <c r="J744">
        <v>17</v>
      </c>
      <c r="K744">
        <v>1508</v>
      </c>
      <c r="L744">
        <v>8</v>
      </c>
      <c r="M744">
        <v>0</v>
      </c>
      <c r="N744">
        <v>0</v>
      </c>
      <c r="O744">
        <v>0</v>
      </c>
      <c r="P744">
        <v>0</v>
      </c>
      <c r="Q744">
        <v>1508</v>
      </c>
      <c r="R744">
        <v>0</v>
      </c>
      <c r="S744">
        <v>0</v>
      </c>
      <c r="T744">
        <v>0</v>
      </c>
      <c r="U744">
        <v>0</v>
      </c>
      <c r="V744">
        <v>17</v>
      </c>
      <c r="W744">
        <v>15</v>
      </c>
      <c r="X744">
        <v>22</v>
      </c>
      <c r="Y744">
        <v>0</v>
      </c>
      <c r="Z744">
        <v>6</v>
      </c>
      <c r="AA744">
        <v>0</v>
      </c>
      <c r="AB744">
        <v>0</v>
      </c>
      <c r="AC744">
        <v>58</v>
      </c>
      <c r="AD744">
        <v>89</v>
      </c>
      <c r="AE744">
        <v>207</v>
      </c>
      <c r="AF744">
        <v>82</v>
      </c>
      <c r="AJ744">
        <v>0</v>
      </c>
      <c r="AK744" t="str">
        <f t="shared" si="11"/>
        <v>QW145-5000</v>
      </c>
    </row>
    <row r="745" spans="1:37">
      <c r="A745" t="s">
        <v>1370</v>
      </c>
      <c r="B745" t="s">
        <v>1369</v>
      </c>
      <c r="C745" t="s">
        <v>68</v>
      </c>
      <c r="D745" t="s">
        <v>292</v>
      </c>
      <c r="E745">
        <v>65</v>
      </c>
      <c r="F745">
        <v>-0.3</v>
      </c>
      <c r="G745">
        <v>39</v>
      </c>
      <c r="H745">
        <v>32</v>
      </c>
      <c r="I745">
        <v>42</v>
      </c>
      <c r="J745">
        <v>100</v>
      </c>
      <c r="K745">
        <v>0</v>
      </c>
      <c r="L745">
        <v>94</v>
      </c>
      <c r="M745">
        <v>0</v>
      </c>
      <c r="N745">
        <v>32</v>
      </c>
      <c r="O745">
        <v>0</v>
      </c>
      <c r="P745">
        <v>0</v>
      </c>
      <c r="Q745">
        <v>-32</v>
      </c>
      <c r="R745">
        <v>0</v>
      </c>
      <c r="S745">
        <v>0</v>
      </c>
      <c r="T745">
        <v>0</v>
      </c>
      <c r="U745">
        <v>96</v>
      </c>
      <c r="V745">
        <v>0</v>
      </c>
      <c r="W745">
        <v>158</v>
      </c>
      <c r="X745">
        <v>0</v>
      </c>
      <c r="Y745">
        <v>108</v>
      </c>
      <c r="Z745">
        <v>184</v>
      </c>
      <c r="AA745">
        <v>0</v>
      </c>
      <c r="AB745">
        <v>171</v>
      </c>
      <c r="AC745">
        <v>396</v>
      </c>
      <c r="AD745">
        <v>85</v>
      </c>
      <c r="AE745">
        <v>1198</v>
      </c>
      <c r="AF745">
        <v>1304</v>
      </c>
      <c r="AJ745">
        <v>4.09</v>
      </c>
      <c r="AK745" t="str">
        <f t="shared" si="11"/>
        <v>SB005-5000</v>
      </c>
    </row>
    <row r="746" spans="1:37">
      <c r="A746" t="s">
        <v>1371</v>
      </c>
      <c r="B746" t="s">
        <v>1369</v>
      </c>
      <c r="C746" t="s">
        <v>68</v>
      </c>
      <c r="D746" t="s">
        <v>292</v>
      </c>
      <c r="E746">
        <v>65</v>
      </c>
      <c r="F746">
        <v>19.2</v>
      </c>
      <c r="G746">
        <v>17</v>
      </c>
      <c r="H746">
        <v>27</v>
      </c>
      <c r="I746">
        <v>34</v>
      </c>
      <c r="J746">
        <v>41</v>
      </c>
      <c r="K746">
        <v>2065</v>
      </c>
      <c r="L746">
        <v>0</v>
      </c>
      <c r="M746">
        <v>0</v>
      </c>
      <c r="N746">
        <v>14</v>
      </c>
      <c r="O746">
        <v>0</v>
      </c>
      <c r="P746">
        <v>0</v>
      </c>
      <c r="Q746">
        <v>2051</v>
      </c>
      <c r="R746">
        <v>0</v>
      </c>
      <c r="S746">
        <v>0</v>
      </c>
      <c r="T746">
        <v>32</v>
      </c>
      <c r="U746">
        <v>48</v>
      </c>
      <c r="V746">
        <v>55</v>
      </c>
      <c r="W746">
        <v>66</v>
      </c>
      <c r="X746">
        <v>0</v>
      </c>
      <c r="Y746">
        <v>0</v>
      </c>
      <c r="Z746">
        <v>0</v>
      </c>
      <c r="AA746">
        <v>0</v>
      </c>
      <c r="AB746">
        <v>81</v>
      </c>
      <c r="AC746">
        <v>176</v>
      </c>
      <c r="AD746">
        <v>36</v>
      </c>
      <c r="AE746">
        <v>494</v>
      </c>
      <c r="AF746">
        <v>507</v>
      </c>
      <c r="AJ746">
        <v>4.1900000000000004</v>
      </c>
      <c r="AK746" t="str">
        <f t="shared" si="11"/>
        <v>SB005-6200</v>
      </c>
    </row>
    <row r="747" spans="1:37">
      <c r="A747" t="s">
        <v>1372</v>
      </c>
      <c r="B747" t="s">
        <v>1373</v>
      </c>
      <c r="C747" t="s">
        <v>68</v>
      </c>
      <c r="D747" t="s">
        <v>292</v>
      </c>
      <c r="E747">
        <v>60</v>
      </c>
      <c r="F747">
        <v>0.9</v>
      </c>
      <c r="G747">
        <v>91</v>
      </c>
      <c r="H747">
        <v>220</v>
      </c>
      <c r="I747">
        <v>158</v>
      </c>
      <c r="J747">
        <v>219</v>
      </c>
      <c r="K747">
        <v>879</v>
      </c>
      <c r="L747">
        <v>373</v>
      </c>
      <c r="M747">
        <v>0</v>
      </c>
      <c r="N747">
        <v>76</v>
      </c>
      <c r="O747">
        <v>0</v>
      </c>
      <c r="P747">
        <v>0</v>
      </c>
      <c r="Q747">
        <v>803</v>
      </c>
      <c r="R747">
        <v>0</v>
      </c>
      <c r="S747">
        <v>210</v>
      </c>
      <c r="T747">
        <v>0</v>
      </c>
      <c r="U747">
        <v>450</v>
      </c>
      <c r="V747">
        <v>0</v>
      </c>
      <c r="W747">
        <v>253</v>
      </c>
      <c r="X747">
        <v>33</v>
      </c>
      <c r="Y747">
        <v>0</v>
      </c>
      <c r="Z747">
        <v>455</v>
      </c>
      <c r="AA747">
        <v>398</v>
      </c>
      <c r="AB747">
        <v>122</v>
      </c>
      <c r="AC747">
        <v>706</v>
      </c>
      <c r="AD747">
        <v>0</v>
      </c>
      <c r="AE747">
        <v>2627</v>
      </c>
      <c r="AF747">
        <v>2517</v>
      </c>
      <c r="AJ747">
        <v>5.45</v>
      </c>
      <c r="AK747" t="str">
        <f t="shared" si="11"/>
        <v>SB006-5000</v>
      </c>
    </row>
    <row r="748" spans="1:37">
      <c r="A748" t="s">
        <v>1374</v>
      </c>
      <c r="B748" t="s">
        <v>1373</v>
      </c>
      <c r="C748" t="s">
        <v>68</v>
      </c>
      <c r="D748" t="s">
        <v>292</v>
      </c>
      <c r="E748">
        <v>60</v>
      </c>
      <c r="F748">
        <v>1.2</v>
      </c>
      <c r="G748">
        <v>58</v>
      </c>
      <c r="H748">
        <v>98</v>
      </c>
      <c r="I748">
        <v>60</v>
      </c>
      <c r="J748">
        <v>66</v>
      </c>
      <c r="K748">
        <v>539</v>
      </c>
      <c r="L748">
        <v>7</v>
      </c>
      <c r="M748">
        <v>0</v>
      </c>
      <c r="N748">
        <v>48</v>
      </c>
      <c r="O748">
        <v>0</v>
      </c>
      <c r="P748">
        <v>0</v>
      </c>
      <c r="Q748">
        <v>491</v>
      </c>
      <c r="R748">
        <v>0</v>
      </c>
      <c r="S748">
        <v>40</v>
      </c>
      <c r="T748">
        <v>0</v>
      </c>
      <c r="U748">
        <v>255</v>
      </c>
      <c r="V748">
        <v>0</v>
      </c>
      <c r="W748">
        <v>63</v>
      </c>
      <c r="X748">
        <v>0</v>
      </c>
      <c r="Y748">
        <v>22</v>
      </c>
      <c r="Z748">
        <v>112</v>
      </c>
      <c r="AA748">
        <v>0</v>
      </c>
      <c r="AB748">
        <v>0</v>
      </c>
      <c r="AC748">
        <v>188</v>
      </c>
      <c r="AD748">
        <v>109</v>
      </c>
      <c r="AE748">
        <v>789</v>
      </c>
      <c r="AF748">
        <v>1232</v>
      </c>
      <c r="AJ748">
        <v>5.09</v>
      </c>
      <c r="AK748" t="str">
        <f t="shared" si="11"/>
        <v>SB006-6200</v>
      </c>
    </row>
    <row r="749" spans="1:37">
      <c r="A749" t="s">
        <v>1375</v>
      </c>
      <c r="B749" t="s">
        <v>1376</v>
      </c>
      <c r="C749" t="s">
        <v>68</v>
      </c>
      <c r="D749" t="s">
        <v>292</v>
      </c>
      <c r="E749">
        <v>65</v>
      </c>
      <c r="F749">
        <v>0.1</v>
      </c>
      <c r="G749">
        <v>13</v>
      </c>
      <c r="H749">
        <v>192</v>
      </c>
      <c r="I749">
        <v>226</v>
      </c>
      <c r="J749">
        <v>115</v>
      </c>
      <c r="K749">
        <v>106</v>
      </c>
      <c r="L749">
        <v>19</v>
      </c>
      <c r="M749">
        <v>0</v>
      </c>
      <c r="N749">
        <v>10</v>
      </c>
      <c r="O749">
        <v>0</v>
      </c>
      <c r="P749">
        <v>0</v>
      </c>
      <c r="Q749">
        <v>96</v>
      </c>
      <c r="R749">
        <v>0</v>
      </c>
      <c r="S749">
        <v>31</v>
      </c>
      <c r="T749">
        <v>0</v>
      </c>
      <c r="U749">
        <v>545</v>
      </c>
      <c r="V749">
        <v>0</v>
      </c>
      <c r="W749">
        <v>777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30</v>
      </c>
      <c r="AE749">
        <v>1383</v>
      </c>
      <c r="AF749">
        <v>0</v>
      </c>
      <c r="AJ749">
        <v>5.41</v>
      </c>
      <c r="AK749" t="str">
        <f t="shared" si="11"/>
        <v>SB007-3700</v>
      </c>
    </row>
    <row r="750" spans="1:37">
      <c r="A750" t="s">
        <v>1377</v>
      </c>
      <c r="B750" t="s">
        <v>1376</v>
      </c>
      <c r="C750" t="s">
        <v>68</v>
      </c>
      <c r="D750" t="s">
        <v>292</v>
      </c>
      <c r="E750">
        <v>65</v>
      </c>
      <c r="F750">
        <v>3.4</v>
      </c>
      <c r="G750">
        <v>40</v>
      </c>
      <c r="H750">
        <v>81</v>
      </c>
      <c r="I750">
        <v>180</v>
      </c>
      <c r="J750">
        <v>188</v>
      </c>
      <c r="K750">
        <v>1141</v>
      </c>
      <c r="L750">
        <v>92</v>
      </c>
      <c r="M750">
        <v>0</v>
      </c>
      <c r="N750">
        <v>33</v>
      </c>
      <c r="O750">
        <v>0</v>
      </c>
      <c r="P750">
        <v>0</v>
      </c>
      <c r="Q750">
        <v>1108</v>
      </c>
      <c r="R750">
        <v>0</v>
      </c>
      <c r="S750">
        <v>0</v>
      </c>
      <c r="T750">
        <v>120</v>
      </c>
      <c r="U750">
        <v>122</v>
      </c>
      <c r="V750">
        <v>206</v>
      </c>
      <c r="W750">
        <v>633</v>
      </c>
      <c r="X750">
        <v>0</v>
      </c>
      <c r="Y750">
        <v>93</v>
      </c>
      <c r="Z750">
        <v>402</v>
      </c>
      <c r="AA750">
        <v>472</v>
      </c>
      <c r="AB750">
        <v>209</v>
      </c>
      <c r="AC750">
        <v>0</v>
      </c>
      <c r="AD750">
        <v>0</v>
      </c>
      <c r="AE750">
        <v>2257</v>
      </c>
      <c r="AF750">
        <v>1345</v>
      </c>
      <c r="AJ750">
        <v>5.41</v>
      </c>
      <c r="AK750" t="str">
        <f t="shared" si="11"/>
        <v>SB007-5000</v>
      </c>
    </row>
    <row r="751" spans="1:37">
      <c r="A751" t="s">
        <v>1378</v>
      </c>
      <c r="B751" t="s">
        <v>1376</v>
      </c>
      <c r="C751" t="s">
        <v>68</v>
      </c>
      <c r="D751" t="s">
        <v>292</v>
      </c>
      <c r="E751">
        <v>65</v>
      </c>
      <c r="F751">
        <v>8.8000000000000007</v>
      </c>
      <c r="G751">
        <v>2</v>
      </c>
      <c r="H751">
        <v>37</v>
      </c>
      <c r="I751">
        <v>106</v>
      </c>
      <c r="J751">
        <v>82</v>
      </c>
      <c r="K751">
        <v>1295</v>
      </c>
      <c r="L751">
        <v>58</v>
      </c>
      <c r="M751">
        <v>0</v>
      </c>
      <c r="N751">
        <v>1</v>
      </c>
      <c r="O751">
        <v>0</v>
      </c>
      <c r="P751">
        <v>0</v>
      </c>
      <c r="Q751">
        <v>1294</v>
      </c>
      <c r="R751">
        <v>0</v>
      </c>
      <c r="S751">
        <v>110</v>
      </c>
      <c r="T751">
        <v>0</v>
      </c>
      <c r="U751">
        <v>0</v>
      </c>
      <c r="V751">
        <v>28</v>
      </c>
      <c r="W751">
        <v>495</v>
      </c>
      <c r="X751">
        <v>0</v>
      </c>
      <c r="Y751">
        <v>32</v>
      </c>
      <c r="Z751">
        <v>79</v>
      </c>
      <c r="AA751">
        <v>43</v>
      </c>
      <c r="AB751">
        <v>154</v>
      </c>
      <c r="AC751">
        <v>44</v>
      </c>
      <c r="AD751">
        <v>0</v>
      </c>
      <c r="AE751">
        <v>985</v>
      </c>
      <c r="AF751">
        <v>806</v>
      </c>
      <c r="AJ751">
        <v>5.41</v>
      </c>
      <c r="AK751" t="str">
        <f t="shared" si="11"/>
        <v>SB007-6200</v>
      </c>
    </row>
    <row r="752" spans="1:37">
      <c r="A752" t="s">
        <v>1379</v>
      </c>
      <c r="B752" t="s">
        <v>1380</v>
      </c>
      <c r="C752" t="s">
        <v>68</v>
      </c>
      <c r="D752" t="s">
        <v>1381</v>
      </c>
      <c r="E752">
        <v>65</v>
      </c>
      <c r="F752">
        <v>1.6</v>
      </c>
      <c r="G752">
        <v>169</v>
      </c>
      <c r="H752">
        <v>196</v>
      </c>
      <c r="I752">
        <v>167</v>
      </c>
      <c r="J752">
        <v>242</v>
      </c>
      <c r="K752">
        <v>1435</v>
      </c>
      <c r="L752">
        <v>202</v>
      </c>
      <c r="M752">
        <v>0</v>
      </c>
      <c r="N752">
        <v>141</v>
      </c>
      <c r="O752">
        <v>0</v>
      </c>
      <c r="P752">
        <v>0</v>
      </c>
      <c r="Q752">
        <v>1294</v>
      </c>
      <c r="R752">
        <v>0</v>
      </c>
      <c r="S752">
        <v>164</v>
      </c>
      <c r="T752">
        <v>221</v>
      </c>
      <c r="U752">
        <v>204</v>
      </c>
      <c r="V752">
        <v>181</v>
      </c>
      <c r="W752">
        <v>98</v>
      </c>
      <c r="X752">
        <v>133</v>
      </c>
      <c r="Y752">
        <v>90</v>
      </c>
      <c r="Z752">
        <v>264</v>
      </c>
      <c r="AA752">
        <v>382</v>
      </c>
      <c r="AB752">
        <v>544</v>
      </c>
      <c r="AC752">
        <v>439</v>
      </c>
      <c r="AD752">
        <v>185</v>
      </c>
      <c r="AE752">
        <v>2905</v>
      </c>
      <c r="AF752">
        <v>2549</v>
      </c>
      <c r="AJ752">
        <v>3.9</v>
      </c>
      <c r="AK752" t="str">
        <f t="shared" si="11"/>
        <v>SB009-5000</v>
      </c>
    </row>
    <row r="753" spans="1:37">
      <c r="A753" t="s">
        <v>1382</v>
      </c>
      <c r="B753" t="s">
        <v>1380</v>
      </c>
      <c r="C753" t="s">
        <v>68</v>
      </c>
      <c r="D753" t="s">
        <v>1381</v>
      </c>
      <c r="E753">
        <v>65</v>
      </c>
      <c r="F753">
        <v>5.8</v>
      </c>
      <c r="G753">
        <v>31</v>
      </c>
      <c r="H753">
        <v>134</v>
      </c>
      <c r="I753">
        <v>90</v>
      </c>
      <c r="J753">
        <v>226</v>
      </c>
      <c r="K753">
        <v>3139</v>
      </c>
      <c r="L753">
        <v>248</v>
      </c>
      <c r="M753">
        <v>0</v>
      </c>
      <c r="N753">
        <v>26</v>
      </c>
      <c r="O753">
        <v>0</v>
      </c>
      <c r="P753">
        <v>0</v>
      </c>
      <c r="Q753">
        <v>3113</v>
      </c>
      <c r="R753">
        <v>0</v>
      </c>
      <c r="S753">
        <v>146</v>
      </c>
      <c r="T753">
        <v>95</v>
      </c>
      <c r="U753">
        <v>161</v>
      </c>
      <c r="V753">
        <v>44</v>
      </c>
      <c r="W753">
        <v>96</v>
      </c>
      <c r="X753">
        <v>0</v>
      </c>
      <c r="Y753">
        <v>98</v>
      </c>
      <c r="Z753">
        <v>222</v>
      </c>
      <c r="AA753">
        <v>753</v>
      </c>
      <c r="AB753">
        <v>265</v>
      </c>
      <c r="AC753">
        <v>792</v>
      </c>
      <c r="AD753">
        <v>34</v>
      </c>
      <c r="AE753">
        <v>2706</v>
      </c>
      <c r="AF753">
        <v>1554</v>
      </c>
      <c r="AJ753">
        <v>3.9</v>
      </c>
      <c r="AK753" t="str">
        <f t="shared" si="11"/>
        <v>SB009-6200</v>
      </c>
    </row>
    <row r="754" spans="1:37">
      <c r="A754" t="s">
        <v>1383</v>
      </c>
      <c r="B754" t="s">
        <v>1384</v>
      </c>
      <c r="C754" t="s">
        <v>267</v>
      </c>
      <c r="D754" t="s">
        <v>284</v>
      </c>
      <c r="E754">
        <v>62</v>
      </c>
      <c r="F754">
        <v>-0.2</v>
      </c>
      <c r="G754">
        <v>358</v>
      </c>
      <c r="H754">
        <v>435</v>
      </c>
      <c r="I754">
        <v>332</v>
      </c>
      <c r="J754">
        <v>223</v>
      </c>
      <c r="K754">
        <v>0</v>
      </c>
      <c r="L754">
        <v>155</v>
      </c>
      <c r="M754">
        <v>0</v>
      </c>
      <c r="N754">
        <v>299</v>
      </c>
      <c r="O754">
        <v>0</v>
      </c>
      <c r="P754">
        <v>0</v>
      </c>
      <c r="Q754">
        <v>-299</v>
      </c>
      <c r="R754">
        <v>0</v>
      </c>
      <c r="S754">
        <v>182</v>
      </c>
      <c r="T754">
        <v>282</v>
      </c>
      <c r="U754">
        <v>840</v>
      </c>
      <c r="V754">
        <v>0</v>
      </c>
      <c r="W754">
        <v>601</v>
      </c>
      <c r="X754">
        <v>89</v>
      </c>
      <c r="Y754">
        <v>103</v>
      </c>
      <c r="Z754">
        <v>102</v>
      </c>
      <c r="AA754">
        <v>170</v>
      </c>
      <c r="AB754">
        <v>189</v>
      </c>
      <c r="AC754">
        <v>32</v>
      </c>
      <c r="AD754">
        <v>90</v>
      </c>
      <c r="AE754">
        <v>2680</v>
      </c>
      <c r="AF754">
        <v>1939</v>
      </c>
      <c r="AJ754">
        <v>3.17</v>
      </c>
      <c r="AK754" t="str">
        <f t="shared" si="11"/>
        <v>SB027-5000</v>
      </c>
    </row>
    <row r="755" spans="1:37">
      <c r="A755" t="s">
        <v>1385</v>
      </c>
      <c r="B755" t="s">
        <v>1384</v>
      </c>
      <c r="C755" t="s">
        <v>267</v>
      </c>
      <c r="D755" t="s">
        <v>284</v>
      </c>
      <c r="E755">
        <v>62</v>
      </c>
      <c r="F755">
        <v>1.4</v>
      </c>
      <c r="G755">
        <v>129</v>
      </c>
      <c r="H755">
        <v>185</v>
      </c>
      <c r="I755">
        <v>147</v>
      </c>
      <c r="J755">
        <v>142</v>
      </c>
      <c r="K755">
        <v>1141</v>
      </c>
      <c r="L755">
        <v>31</v>
      </c>
      <c r="M755">
        <v>0</v>
      </c>
      <c r="N755">
        <v>108</v>
      </c>
      <c r="O755">
        <v>0</v>
      </c>
      <c r="P755">
        <v>0</v>
      </c>
      <c r="Q755">
        <v>1033</v>
      </c>
      <c r="R755">
        <v>0</v>
      </c>
      <c r="S755">
        <v>182</v>
      </c>
      <c r="T755">
        <v>0</v>
      </c>
      <c r="U755">
        <v>374</v>
      </c>
      <c r="V755">
        <v>18</v>
      </c>
      <c r="W755">
        <v>139</v>
      </c>
      <c r="X755">
        <v>167</v>
      </c>
      <c r="Y755">
        <v>138</v>
      </c>
      <c r="Z755">
        <v>49</v>
      </c>
      <c r="AA755">
        <v>222</v>
      </c>
      <c r="AB755">
        <v>110</v>
      </c>
      <c r="AC755">
        <v>264</v>
      </c>
      <c r="AD755">
        <v>40</v>
      </c>
      <c r="AE755">
        <v>1703</v>
      </c>
      <c r="AF755">
        <v>3026</v>
      </c>
      <c r="AJ755">
        <v>3.17</v>
      </c>
      <c r="AK755" t="str">
        <f t="shared" si="11"/>
        <v>SB027-6200</v>
      </c>
    </row>
    <row r="756" spans="1:37">
      <c r="A756" t="s">
        <v>1386</v>
      </c>
      <c r="B756" t="s">
        <v>1387</v>
      </c>
      <c r="C756" t="s">
        <v>1326</v>
      </c>
      <c r="E756">
        <v>192</v>
      </c>
      <c r="F756">
        <v>1.3</v>
      </c>
      <c r="G756">
        <v>153</v>
      </c>
      <c r="H756">
        <v>128</v>
      </c>
      <c r="I756">
        <v>107</v>
      </c>
      <c r="J756">
        <v>105</v>
      </c>
      <c r="K756">
        <v>773</v>
      </c>
      <c r="L756">
        <v>220</v>
      </c>
      <c r="M756">
        <v>0</v>
      </c>
      <c r="N756">
        <v>127</v>
      </c>
      <c r="O756">
        <v>0</v>
      </c>
      <c r="P756">
        <v>0</v>
      </c>
      <c r="Q756">
        <v>646</v>
      </c>
      <c r="R756">
        <v>0</v>
      </c>
      <c r="S756">
        <v>0</v>
      </c>
      <c r="T756">
        <v>375</v>
      </c>
      <c r="U756">
        <v>9</v>
      </c>
      <c r="V756">
        <v>0</v>
      </c>
      <c r="W756">
        <v>0</v>
      </c>
      <c r="X756">
        <v>259</v>
      </c>
      <c r="Y756">
        <v>287</v>
      </c>
      <c r="Z756">
        <v>0</v>
      </c>
      <c r="AA756">
        <v>0</v>
      </c>
      <c r="AB756">
        <v>0</v>
      </c>
      <c r="AC756">
        <v>169</v>
      </c>
      <c r="AD756">
        <v>157</v>
      </c>
      <c r="AE756">
        <v>1256</v>
      </c>
      <c r="AF756">
        <v>1714</v>
      </c>
      <c r="AG756" t="s">
        <v>6307</v>
      </c>
      <c r="AH756">
        <v>1</v>
      </c>
      <c r="AI756">
        <v>1460</v>
      </c>
      <c r="AJ756">
        <v>8.5</v>
      </c>
      <c r="AK756" t="str">
        <f t="shared" si="11"/>
        <v>SB035-5000</v>
      </c>
    </row>
    <row r="757" spans="1:37">
      <c r="A757" t="s">
        <v>1388</v>
      </c>
      <c r="B757" t="s">
        <v>1389</v>
      </c>
      <c r="C757" t="s">
        <v>68</v>
      </c>
      <c r="D757" t="s">
        <v>1390</v>
      </c>
      <c r="E757">
        <v>50</v>
      </c>
      <c r="F757">
        <v>0.1</v>
      </c>
      <c r="G757">
        <v>123</v>
      </c>
      <c r="H757">
        <v>159</v>
      </c>
      <c r="I757">
        <v>120</v>
      </c>
      <c r="J757">
        <v>95</v>
      </c>
      <c r="K757">
        <v>158</v>
      </c>
      <c r="L757">
        <v>53</v>
      </c>
      <c r="M757">
        <v>0</v>
      </c>
      <c r="N757">
        <v>103</v>
      </c>
      <c r="O757">
        <v>0</v>
      </c>
      <c r="P757">
        <v>0</v>
      </c>
      <c r="Q757">
        <v>55</v>
      </c>
      <c r="R757">
        <v>0</v>
      </c>
      <c r="S757">
        <v>234</v>
      </c>
      <c r="T757">
        <v>0</v>
      </c>
      <c r="U757">
        <v>244</v>
      </c>
      <c r="V757">
        <v>120</v>
      </c>
      <c r="W757">
        <v>41</v>
      </c>
      <c r="X757">
        <v>82</v>
      </c>
      <c r="Y757">
        <v>131</v>
      </c>
      <c r="Z757">
        <v>35</v>
      </c>
      <c r="AA757">
        <v>61</v>
      </c>
      <c r="AB757">
        <v>89</v>
      </c>
      <c r="AC757">
        <v>77</v>
      </c>
      <c r="AD757">
        <v>30</v>
      </c>
      <c r="AE757">
        <v>1144</v>
      </c>
      <c r="AF757">
        <v>1245</v>
      </c>
      <c r="AJ757">
        <v>5.38</v>
      </c>
      <c r="AK757" t="str">
        <f t="shared" si="11"/>
        <v>SB040-5000</v>
      </c>
    </row>
    <row r="758" spans="1:37">
      <c r="A758" t="s">
        <v>1391</v>
      </c>
      <c r="B758" t="s">
        <v>1389</v>
      </c>
      <c r="C758" t="s">
        <v>68</v>
      </c>
      <c r="D758" t="s">
        <v>1390</v>
      </c>
      <c r="E758">
        <v>50</v>
      </c>
      <c r="F758">
        <v>2</v>
      </c>
      <c r="G758">
        <v>25</v>
      </c>
      <c r="H758">
        <v>100</v>
      </c>
      <c r="I758">
        <v>66</v>
      </c>
      <c r="J758">
        <v>76</v>
      </c>
      <c r="K758">
        <v>802</v>
      </c>
      <c r="L758">
        <v>26</v>
      </c>
      <c r="M758">
        <v>0</v>
      </c>
      <c r="N758">
        <v>21</v>
      </c>
      <c r="O758">
        <v>0</v>
      </c>
      <c r="P758">
        <v>0</v>
      </c>
      <c r="Q758">
        <v>781</v>
      </c>
      <c r="R758">
        <v>0</v>
      </c>
      <c r="S758">
        <v>153</v>
      </c>
      <c r="T758">
        <v>97</v>
      </c>
      <c r="U758">
        <v>49</v>
      </c>
      <c r="V758">
        <v>0</v>
      </c>
      <c r="W758">
        <v>40</v>
      </c>
      <c r="X758">
        <v>59</v>
      </c>
      <c r="Y758">
        <v>175</v>
      </c>
      <c r="Z758">
        <v>25</v>
      </c>
      <c r="AA758">
        <v>79</v>
      </c>
      <c r="AB758">
        <v>124</v>
      </c>
      <c r="AC758">
        <v>41</v>
      </c>
      <c r="AD758">
        <v>66</v>
      </c>
      <c r="AE758">
        <v>908</v>
      </c>
      <c r="AF758">
        <v>1324</v>
      </c>
      <c r="AJ758">
        <v>5.38</v>
      </c>
      <c r="AK758" t="str">
        <f t="shared" si="11"/>
        <v>SB040-6200</v>
      </c>
    </row>
    <row r="759" spans="1:37">
      <c r="A759" t="s">
        <v>1392</v>
      </c>
      <c r="B759" t="s">
        <v>1393</v>
      </c>
      <c r="C759" t="s">
        <v>68</v>
      </c>
      <c r="D759" t="s">
        <v>90</v>
      </c>
      <c r="E759">
        <v>65</v>
      </c>
      <c r="F759">
        <v>-0.1</v>
      </c>
      <c r="G759">
        <v>94</v>
      </c>
      <c r="H759">
        <v>171</v>
      </c>
      <c r="I759">
        <v>126</v>
      </c>
      <c r="J759">
        <v>106</v>
      </c>
      <c r="K759">
        <v>31</v>
      </c>
      <c r="L759">
        <v>72</v>
      </c>
      <c r="M759">
        <v>0</v>
      </c>
      <c r="N759">
        <v>78</v>
      </c>
      <c r="O759">
        <v>0</v>
      </c>
      <c r="P759">
        <v>0</v>
      </c>
      <c r="Q759">
        <v>-47</v>
      </c>
      <c r="R759">
        <v>0</v>
      </c>
      <c r="S759">
        <v>268</v>
      </c>
      <c r="T759">
        <v>0</v>
      </c>
      <c r="U759">
        <v>244</v>
      </c>
      <c r="V759">
        <v>242</v>
      </c>
      <c r="W759">
        <v>0</v>
      </c>
      <c r="X759">
        <v>0</v>
      </c>
      <c r="Y759">
        <v>0</v>
      </c>
      <c r="Z759">
        <v>92</v>
      </c>
      <c r="AA759">
        <v>160</v>
      </c>
      <c r="AB759">
        <v>73</v>
      </c>
      <c r="AC759">
        <v>194</v>
      </c>
      <c r="AD759">
        <v>0</v>
      </c>
      <c r="AE759">
        <v>1273</v>
      </c>
      <c r="AF759">
        <v>1202</v>
      </c>
      <c r="AJ759">
        <v>4.87</v>
      </c>
      <c r="AK759" t="str">
        <f t="shared" si="11"/>
        <v>SE105-5000</v>
      </c>
    </row>
    <row r="760" spans="1:37">
      <c r="A760" t="s">
        <v>1394</v>
      </c>
      <c r="B760" t="s">
        <v>1393</v>
      </c>
      <c r="C760" t="s">
        <v>68</v>
      </c>
      <c r="D760" t="s">
        <v>90</v>
      </c>
      <c r="E760">
        <v>65</v>
      </c>
      <c r="F760">
        <v>0.6</v>
      </c>
      <c r="G760">
        <v>391</v>
      </c>
      <c r="H760">
        <v>124</v>
      </c>
      <c r="I760">
        <v>166</v>
      </c>
      <c r="J760">
        <v>239</v>
      </c>
      <c r="K760">
        <v>643</v>
      </c>
      <c r="L760">
        <v>118</v>
      </c>
      <c r="M760">
        <v>0</v>
      </c>
      <c r="N760">
        <v>325</v>
      </c>
      <c r="O760">
        <v>0</v>
      </c>
      <c r="P760">
        <v>0</v>
      </c>
      <c r="Q760">
        <v>318</v>
      </c>
      <c r="R760">
        <v>0</v>
      </c>
      <c r="S760">
        <v>345</v>
      </c>
      <c r="T760">
        <v>0</v>
      </c>
      <c r="U760">
        <v>26</v>
      </c>
      <c r="V760">
        <v>0</v>
      </c>
      <c r="W760">
        <v>624</v>
      </c>
      <c r="X760">
        <v>0</v>
      </c>
      <c r="Y760">
        <v>579</v>
      </c>
      <c r="Z760">
        <v>305</v>
      </c>
      <c r="AA760">
        <v>0</v>
      </c>
      <c r="AB760">
        <v>379</v>
      </c>
      <c r="AC760">
        <v>606</v>
      </c>
      <c r="AD760">
        <v>0</v>
      </c>
      <c r="AE760">
        <v>2864</v>
      </c>
      <c r="AF760">
        <v>1782</v>
      </c>
      <c r="AJ760">
        <v>4.87</v>
      </c>
      <c r="AK760" t="str">
        <f t="shared" si="11"/>
        <v>SE105-6200</v>
      </c>
    </row>
    <row r="761" spans="1:37">
      <c r="A761" t="s">
        <v>1395</v>
      </c>
      <c r="B761" t="s">
        <v>1396</v>
      </c>
      <c r="C761" t="s">
        <v>68</v>
      </c>
      <c r="D761" t="s">
        <v>1397</v>
      </c>
      <c r="E761">
        <v>65</v>
      </c>
      <c r="F761">
        <v>6</v>
      </c>
      <c r="G761">
        <v>92</v>
      </c>
      <c r="H761">
        <v>190</v>
      </c>
      <c r="I761">
        <v>302</v>
      </c>
      <c r="J761">
        <v>396</v>
      </c>
      <c r="K761">
        <v>4650</v>
      </c>
      <c r="L761">
        <v>207</v>
      </c>
      <c r="M761">
        <v>0</v>
      </c>
      <c r="N761">
        <v>77</v>
      </c>
      <c r="O761">
        <v>0</v>
      </c>
      <c r="P761">
        <v>0</v>
      </c>
      <c r="Q761">
        <v>4573</v>
      </c>
      <c r="R761">
        <v>0</v>
      </c>
      <c r="S761">
        <v>255</v>
      </c>
      <c r="T761">
        <v>232</v>
      </c>
      <c r="U761">
        <v>84</v>
      </c>
      <c r="V761">
        <v>268</v>
      </c>
      <c r="W761">
        <v>158</v>
      </c>
      <c r="X761">
        <v>815</v>
      </c>
      <c r="Y761">
        <v>248</v>
      </c>
      <c r="Z761">
        <v>0</v>
      </c>
      <c r="AA761">
        <v>939</v>
      </c>
      <c r="AB761">
        <v>509</v>
      </c>
      <c r="AC761">
        <v>1249</v>
      </c>
      <c r="AD761">
        <v>0</v>
      </c>
      <c r="AE761">
        <v>4757</v>
      </c>
      <c r="AF761">
        <v>3241</v>
      </c>
      <c r="AJ761">
        <v>1.98</v>
      </c>
      <c r="AK761" t="str">
        <f t="shared" si="11"/>
        <v>SE113-5000</v>
      </c>
    </row>
    <row r="762" spans="1:37">
      <c r="A762" t="s">
        <v>1398</v>
      </c>
      <c r="B762" t="s">
        <v>1396</v>
      </c>
      <c r="C762" t="s">
        <v>68</v>
      </c>
      <c r="D762" t="s">
        <v>1397</v>
      </c>
      <c r="E762">
        <v>65</v>
      </c>
      <c r="F762">
        <v>8.3000000000000007</v>
      </c>
      <c r="G762">
        <v>111</v>
      </c>
      <c r="H762">
        <v>138</v>
      </c>
      <c r="I762">
        <v>102</v>
      </c>
      <c r="J762">
        <v>367</v>
      </c>
      <c r="K762">
        <v>4682</v>
      </c>
      <c r="L762">
        <v>0</v>
      </c>
      <c r="M762">
        <v>0</v>
      </c>
      <c r="N762">
        <v>93</v>
      </c>
      <c r="O762">
        <v>0</v>
      </c>
      <c r="P762">
        <v>0</v>
      </c>
      <c r="Q762">
        <v>4589</v>
      </c>
      <c r="R762">
        <v>0</v>
      </c>
      <c r="S762">
        <v>161</v>
      </c>
      <c r="T762">
        <v>0</v>
      </c>
      <c r="U762">
        <v>254</v>
      </c>
      <c r="V762">
        <v>26</v>
      </c>
      <c r="W762">
        <v>173</v>
      </c>
      <c r="X762">
        <v>0</v>
      </c>
      <c r="Y762">
        <v>359</v>
      </c>
      <c r="Z762">
        <v>636</v>
      </c>
      <c r="AA762">
        <v>0</v>
      </c>
      <c r="AB762">
        <v>2213</v>
      </c>
      <c r="AC762">
        <v>193</v>
      </c>
      <c r="AD762">
        <v>394</v>
      </c>
      <c r="AE762">
        <v>4409</v>
      </c>
      <c r="AF762">
        <v>1576</v>
      </c>
      <c r="AJ762">
        <v>1.98</v>
      </c>
      <c r="AK762" t="str">
        <f t="shared" si="11"/>
        <v>SE113-6200</v>
      </c>
    </row>
    <row r="763" spans="1:37">
      <c r="A763" t="s">
        <v>1399</v>
      </c>
      <c r="B763" t="s">
        <v>1400</v>
      </c>
      <c r="C763" t="s">
        <v>1326</v>
      </c>
      <c r="E763">
        <v>192</v>
      </c>
      <c r="F763">
        <v>6.7</v>
      </c>
      <c r="G763">
        <v>0</v>
      </c>
      <c r="H763">
        <v>51</v>
      </c>
      <c r="I763">
        <v>259</v>
      </c>
      <c r="J763">
        <v>184</v>
      </c>
      <c r="K763">
        <v>1360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1360</v>
      </c>
      <c r="R763">
        <v>0</v>
      </c>
      <c r="S763">
        <v>0</v>
      </c>
      <c r="T763">
        <v>153</v>
      </c>
      <c r="U763">
        <v>0</v>
      </c>
      <c r="V763">
        <v>0</v>
      </c>
      <c r="W763">
        <v>0</v>
      </c>
      <c r="X763">
        <v>1402</v>
      </c>
      <c r="Y763">
        <v>403</v>
      </c>
      <c r="Z763">
        <v>0</v>
      </c>
      <c r="AA763">
        <v>0</v>
      </c>
      <c r="AB763">
        <v>0</v>
      </c>
      <c r="AC763">
        <v>76</v>
      </c>
      <c r="AD763">
        <v>179</v>
      </c>
      <c r="AE763">
        <v>2213</v>
      </c>
      <c r="AF763">
        <v>3761</v>
      </c>
      <c r="AG763" t="s">
        <v>6307</v>
      </c>
      <c r="AH763">
        <v>2</v>
      </c>
      <c r="AI763">
        <v>1000</v>
      </c>
      <c r="AJ763">
        <v>8.0299999999999994</v>
      </c>
      <c r="AK763" t="str">
        <f t="shared" si="11"/>
        <v>SE115-5000</v>
      </c>
    </row>
    <row r="764" spans="1:37">
      <c r="A764" t="s">
        <v>5354</v>
      </c>
      <c r="B764" t="s">
        <v>5355</v>
      </c>
      <c r="E764">
        <v>50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591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591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2316</v>
      </c>
      <c r="AJ764">
        <v>0</v>
      </c>
      <c r="AK764" t="str">
        <f t="shared" si="11"/>
        <v>SECND-5000</v>
      </c>
    </row>
    <row r="765" spans="1:37">
      <c r="A765" t="s">
        <v>5356</v>
      </c>
      <c r="B765" t="s">
        <v>5355</v>
      </c>
      <c r="E765">
        <v>50</v>
      </c>
      <c r="F765">
        <v>0</v>
      </c>
      <c r="G765">
        <v>0</v>
      </c>
      <c r="H765">
        <v>0</v>
      </c>
      <c r="I765">
        <v>0</v>
      </c>
      <c r="J765">
        <v>19</v>
      </c>
      <c r="K765">
        <v>984</v>
      </c>
      <c r="L765">
        <v>306</v>
      </c>
      <c r="M765">
        <v>0</v>
      </c>
      <c r="N765">
        <v>0</v>
      </c>
      <c r="O765">
        <v>0</v>
      </c>
      <c r="P765">
        <v>0</v>
      </c>
      <c r="Q765">
        <v>984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225</v>
      </c>
      <c r="AE765">
        <v>225</v>
      </c>
      <c r="AF765">
        <v>350</v>
      </c>
      <c r="AJ765">
        <v>0</v>
      </c>
      <c r="AK765" t="str">
        <f t="shared" si="11"/>
        <v>SECND-6200</v>
      </c>
    </row>
    <row r="766" spans="1:37">
      <c r="A766" t="s">
        <v>1401</v>
      </c>
      <c r="B766" t="s">
        <v>1402</v>
      </c>
      <c r="C766" t="s">
        <v>68</v>
      </c>
      <c r="D766" t="s">
        <v>1403</v>
      </c>
      <c r="E766">
        <v>65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2001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2001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J766">
        <v>3.68</v>
      </c>
      <c r="AK766" t="str">
        <f t="shared" si="11"/>
        <v>SG203-3700</v>
      </c>
    </row>
    <row r="767" spans="1:37">
      <c r="A767" t="s">
        <v>1404</v>
      </c>
      <c r="B767" t="s">
        <v>1402</v>
      </c>
      <c r="C767" t="s">
        <v>68</v>
      </c>
      <c r="D767" t="s">
        <v>1403</v>
      </c>
      <c r="E767">
        <v>65</v>
      </c>
      <c r="F767">
        <v>-0.1</v>
      </c>
      <c r="G767">
        <v>183</v>
      </c>
      <c r="H767">
        <v>286</v>
      </c>
      <c r="I767">
        <v>264</v>
      </c>
      <c r="J767">
        <v>243</v>
      </c>
      <c r="K767">
        <v>0</v>
      </c>
      <c r="L767">
        <v>67</v>
      </c>
      <c r="M767">
        <v>0</v>
      </c>
      <c r="N767">
        <v>153</v>
      </c>
      <c r="O767">
        <v>0</v>
      </c>
      <c r="P767">
        <v>0</v>
      </c>
      <c r="Q767">
        <v>-153</v>
      </c>
      <c r="R767">
        <v>0</v>
      </c>
      <c r="S767">
        <v>476</v>
      </c>
      <c r="T767">
        <v>230</v>
      </c>
      <c r="U767">
        <v>153</v>
      </c>
      <c r="V767">
        <v>201</v>
      </c>
      <c r="W767">
        <v>298</v>
      </c>
      <c r="X767">
        <v>224</v>
      </c>
      <c r="Y767">
        <v>67</v>
      </c>
      <c r="Z767">
        <v>249</v>
      </c>
      <c r="AA767">
        <v>462</v>
      </c>
      <c r="AB767">
        <v>87</v>
      </c>
      <c r="AC767">
        <v>288</v>
      </c>
      <c r="AD767">
        <v>185</v>
      </c>
      <c r="AE767">
        <v>2920</v>
      </c>
      <c r="AF767">
        <v>876</v>
      </c>
      <c r="AJ767">
        <v>3.68</v>
      </c>
      <c r="AK767" t="str">
        <f t="shared" si="11"/>
        <v>SG203-5000</v>
      </c>
    </row>
    <row r="768" spans="1:37">
      <c r="A768" t="s">
        <v>1405</v>
      </c>
      <c r="B768" t="s">
        <v>1402</v>
      </c>
      <c r="C768" t="s">
        <v>68</v>
      </c>
      <c r="D768" t="s">
        <v>1403</v>
      </c>
      <c r="E768">
        <v>65</v>
      </c>
      <c r="F768">
        <v>33</v>
      </c>
      <c r="G768">
        <v>0</v>
      </c>
      <c r="H768">
        <v>9</v>
      </c>
      <c r="I768">
        <v>28</v>
      </c>
      <c r="J768">
        <v>30</v>
      </c>
      <c r="K768">
        <v>1187</v>
      </c>
      <c r="L768">
        <v>48</v>
      </c>
      <c r="M768">
        <v>0</v>
      </c>
      <c r="N768">
        <v>0</v>
      </c>
      <c r="O768">
        <v>0</v>
      </c>
      <c r="P768">
        <v>0</v>
      </c>
      <c r="Q768">
        <v>1187</v>
      </c>
      <c r="R768">
        <v>0</v>
      </c>
      <c r="S768">
        <v>0</v>
      </c>
      <c r="T768">
        <v>0</v>
      </c>
      <c r="U768">
        <v>27</v>
      </c>
      <c r="V768">
        <v>86</v>
      </c>
      <c r="W768">
        <v>57</v>
      </c>
      <c r="X768">
        <v>0</v>
      </c>
      <c r="Y768">
        <v>0</v>
      </c>
      <c r="Z768">
        <v>0</v>
      </c>
      <c r="AA768">
        <v>0</v>
      </c>
      <c r="AB768">
        <v>67</v>
      </c>
      <c r="AC768">
        <v>128</v>
      </c>
      <c r="AD768">
        <v>0</v>
      </c>
      <c r="AE768">
        <v>365</v>
      </c>
      <c r="AF768">
        <v>1721</v>
      </c>
      <c r="AJ768">
        <v>3.68</v>
      </c>
      <c r="AK768" t="str">
        <f t="shared" si="11"/>
        <v>SG203-6200</v>
      </c>
    </row>
    <row r="769" spans="1:37">
      <c r="A769" t="s">
        <v>1406</v>
      </c>
      <c r="B769" t="s">
        <v>1407</v>
      </c>
      <c r="C769" t="s">
        <v>68</v>
      </c>
      <c r="D769" t="s">
        <v>1408</v>
      </c>
      <c r="E769">
        <v>65</v>
      </c>
      <c r="F769">
        <v>0.4</v>
      </c>
      <c r="G769">
        <v>63</v>
      </c>
      <c r="H769">
        <v>513</v>
      </c>
      <c r="I769">
        <v>387</v>
      </c>
      <c r="J769">
        <v>244</v>
      </c>
      <c r="K769">
        <v>891</v>
      </c>
      <c r="L769">
        <v>322</v>
      </c>
      <c r="M769">
        <v>0</v>
      </c>
      <c r="N769">
        <v>52</v>
      </c>
      <c r="O769">
        <v>0</v>
      </c>
      <c r="P769">
        <v>0</v>
      </c>
      <c r="Q769">
        <v>839</v>
      </c>
      <c r="R769">
        <v>0</v>
      </c>
      <c r="S769">
        <v>403</v>
      </c>
      <c r="T769">
        <v>0</v>
      </c>
      <c r="U769">
        <v>1136</v>
      </c>
      <c r="V769">
        <v>378</v>
      </c>
      <c r="W769">
        <v>95</v>
      </c>
      <c r="X769">
        <v>312</v>
      </c>
      <c r="Y769">
        <v>154</v>
      </c>
      <c r="Z769">
        <v>0</v>
      </c>
      <c r="AA769">
        <v>0</v>
      </c>
      <c r="AB769">
        <v>129</v>
      </c>
      <c r="AC769">
        <v>317</v>
      </c>
      <c r="AD769">
        <v>0</v>
      </c>
      <c r="AE769">
        <v>2924</v>
      </c>
      <c r="AF769">
        <v>3383</v>
      </c>
      <c r="AJ769">
        <v>3.8</v>
      </c>
      <c r="AK769" t="str">
        <f t="shared" si="11"/>
        <v>SG204-5000</v>
      </c>
    </row>
    <row r="770" spans="1:37">
      <c r="A770" t="s">
        <v>1409</v>
      </c>
      <c r="B770" t="s">
        <v>1410</v>
      </c>
      <c r="C770" t="s">
        <v>68</v>
      </c>
      <c r="D770" t="s">
        <v>1408</v>
      </c>
      <c r="E770">
        <v>65</v>
      </c>
      <c r="F770">
        <v>1.9</v>
      </c>
      <c r="G770">
        <v>69</v>
      </c>
      <c r="H770">
        <v>356</v>
      </c>
      <c r="I770">
        <v>285</v>
      </c>
      <c r="J770">
        <v>191</v>
      </c>
      <c r="K770">
        <v>2726</v>
      </c>
      <c r="L770">
        <v>236</v>
      </c>
      <c r="M770">
        <v>0</v>
      </c>
      <c r="N770">
        <v>58</v>
      </c>
      <c r="O770">
        <v>0</v>
      </c>
      <c r="P770">
        <v>0</v>
      </c>
      <c r="Q770">
        <v>2668</v>
      </c>
      <c r="R770">
        <v>0</v>
      </c>
      <c r="S770">
        <v>304</v>
      </c>
      <c r="T770">
        <v>177</v>
      </c>
      <c r="U770">
        <v>588</v>
      </c>
      <c r="V770">
        <v>543</v>
      </c>
      <c r="W770">
        <v>0</v>
      </c>
      <c r="X770">
        <v>96</v>
      </c>
      <c r="Y770">
        <v>96</v>
      </c>
      <c r="Z770">
        <v>36</v>
      </c>
      <c r="AA770">
        <v>35</v>
      </c>
      <c r="AB770">
        <v>94</v>
      </c>
      <c r="AC770">
        <v>222</v>
      </c>
      <c r="AD770">
        <v>103</v>
      </c>
      <c r="AE770">
        <v>2294</v>
      </c>
      <c r="AF770">
        <v>1686</v>
      </c>
      <c r="AJ770">
        <v>4.08</v>
      </c>
      <c r="AK770" t="str">
        <f t="shared" si="11"/>
        <v>SG204-6200</v>
      </c>
    </row>
    <row r="771" spans="1:37">
      <c r="A771" t="s">
        <v>1411</v>
      </c>
      <c r="B771" t="s">
        <v>1412</v>
      </c>
      <c r="C771" t="s">
        <v>68</v>
      </c>
      <c r="D771" t="s">
        <v>1413</v>
      </c>
      <c r="E771">
        <v>65</v>
      </c>
      <c r="F771">
        <v>-0.2</v>
      </c>
      <c r="G771">
        <v>957</v>
      </c>
      <c r="H771">
        <v>99</v>
      </c>
      <c r="I771">
        <v>263</v>
      </c>
      <c r="J771">
        <v>328</v>
      </c>
      <c r="K771">
        <v>713</v>
      </c>
      <c r="L771">
        <v>327</v>
      </c>
      <c r="M771">
        <v>0</v>
      </c>
      <c r="N771">
        <v>797</v>
      </c>
      <c r="O771">
        <v>0</v>
      </c>
      <c r="P771">
        <v>0</v>
      </c>
      <c r="Q771">
        <v>-84</v>
      </c>
      <c r="R771">
        <v>0</v>
      </c>
      <c r="S771">
        <v>122</v>
      </c>
      <c r="T771">
        <v>86</v>
      </c>
      <c r="U771">
        <v>89</v>
      </c>
      <c r="V771">
        <v>377</v>
      </c>
      <c r="W771">
        <v>495</v>
      </c>
      <c r="X771">
        <v>407</v>
      </c>
      <c r="Y771">
        <v>721</v>
      </c>
      <c r="Z771">
        <v>360</v>
      </c>
      <c r="AA771">
        <v>302</v>
      </c>
      <c r="AB771">
        <v>116</v>
      </c>
      <c r="AC771">
        <v>651</v>
      </c>
      <c r="AD771">
        <v>207</v>
      </c>
      <c r="AE771">
        <v>3933</v>
      </c>
      <c r="AF771">
        <v>2585</v>
      </c>
      <c r="AJ771">
        <v>4.71</v>
      </c>
      <c r="AK771" t="str">
        <f t="shared" si="11"/>
        <v>SG208-5000</v>
      </c>
    </row>
    <row r="772" spans="1:37">
      <c r="A772" t="s">
        <v>1414</v>
      </c>
      <c r="B772" t="s">
        <v>1412</v>
      </c>
      <c r="C772" t="s">
        <v>68</v>
      </c>
      <c r="D772" t="s">
        <v>1413</v>
      </c>
      <c r="E772">
        <v>65</v>
      </c>
      <c r="F772">
        <v>3.5</v>
      </c>
      <c r="G772">
        <v>31</v>
      </c>
      <c r="H772">
        <v>62</v>
      </c>
      <c r="I772">
        <v>70</v>
      </c>
      <c r="J772">
        <v>73</v>
      </c>
      <c r="K772">
        <v>898</v>
      </c>
      <c r="L772">
        <v>22</v>
      </c>
      <c r="M772">
        <v>0</v>
      </c>
      <c r="N772">
        <v>26</v>
      </c>
      <c r="O772">
        <v>0</v>
      </c>
      <c r="P772">
        <v>0</v>
      </c>
      <c r="Q772">
        <v>872</v>
      </c>
      <c r="R772">
        <v>0</v>
      </c>
      <c r="S772">
        <v>64</v>
      </c>
      <c r="T772">
        <v>0</v>
      </c>
      <c r="U772">
        <v>122</v>
      </c>
      <c r="V772">
        <v>31</v>
      </c>
      <c r="W772">
        <v>82</v>
      </c>
      <c r="X772">
        <v>121</v>
      </c>
      <c r="Y772">
        <v>253</v>
      </c>
      <c r="Z772">
        <v>50</v>
      </c>
      <c r="AA772">
        <v>88</v>
      </c>
      <c r="AB772">
        <v>0</v>
      </c>
      <c r="AC772">
        <v>67</v>
      </c>
      <c r="AD772">
        <v>0</v>
      </c>
      <c r="AE772">
        <v>878</v>
      </c>
      <c r="AF772">
        <v>1056</v>
      </c>
      <c r="AJ772">
        <v>3.17</v>
      </c>
      <c r="AK772" t="str">
        <f t="shared" si="11"/>
        <v>SG208-6200</v>
      </c>
    </row>
    <row r="773" spans="1:37">
      <c r="A773" t="s">
        <v>1415</v>
      </c>
      <c r="B773" t="s">
        <v>1416</v>
      </c>
      <c r="C773" t="s">
        <v>101</v>
      </c>
      <c r="D773" t="s">
        <v>1417</v>
      </c>
      <c r="E773">
        <v>65</v>
      </c>
      <c r="F773">
        <v>0.6</v>
      </c>
      <c r="G773">
        <v>22</v>
      </c>
      <c r="H773">
        <v>178</v>
      </c>
      <c r="I773">
        <v>177</v>
      </c>
      <c r="J773">
        <v>144</v>
      </c>
      <c r="K773">
        <v>455</v>
      </c>
      <c r="L773">
        <v>242</v>
      </c>
      <c r="M773">
        <v>0</v>
      </c>
      <c r="N773">
        <v>18</v>
      </c>
      <c r="O773">
        <v>0</v>
      </c>
      <c r="P773">
        <v>0</v>
      </c>
      <c r="Q773">
        <v>437</v>
      </c>
      <c r="R773">
        <v>0</v>
      </c>
      <c r="S773">
        <v>253</v>
      </c>
      <c r="T773">
        <v>140</v>
      </c>
      <c r="U773">
        <v>140</v>
      </c>
      <c r="V773">
        <v>0</v>
      </c>
      <c r="W773">
        <v>266</v>
      </c>
      <c r="X773">
        <v>260</v>
      </c>
      <c r="Y773">
        <v>167</v>
      </c>
      <c r="Z773">
        <v>45</v>
      </c>
      <c r="AA773">
        <v>0</v>
      </c>
      <c r="AB773">
        <v>179</v>
      </c>
      <c r="AC773">
        <v>60</v>
      </c>
      <c r="AD773">
        <v>216</v>
      </c>
      <c r="AE773">
        <v>1726</v>
      </c>
      <c r="AF773">
        <v>1411</v>
      </c>
      <c r="AJ773">
        <v>2.93</v>
      </c>
      <c r="AK773" t="str">
        <f t="shared" ref="AK773:AK836" si="12">MID(A773,4,10)</f>
        <v>SG210-5000</v>
      </c>
    </row>
    <row r="774" spans="1:37">
      <c r="A774" t="s">
        <v>1418</v>
      </c>
      <c r="B774" t="s">
        <v>1416</v>
      </c>
      <c r="C774" t="s">
        <v>101</v>
      </c>
      <c r="D774" t="s">
        <v>1417</v>
      </c>
      <c r="E774">
        <v>65</v>
      </c>
      <c r="F774">
        <v>5.4</v>
      </c>
      <c r="G774">
        <v>128</v>
      </c>
      <c r="H774">
        <v>62</v>
      </c>
      <c r="I774">
        <v>90</v>
      </c>
      <c r="J774">
        <v>109</v>
      </c>
      <c r="K774">
        <v>1456</v>
      </c>
      <c r="L774">
        <v>86</v>
      </c>
      <c r="M774">
        <v>0</v>
      </c>
      <c r="N774">
        <v>107</v>
      </c>
      <c r="O774">
        <v>0</v>
      </c>
      <c r="P774">
        <v>0</v>
      </c>
      <c r="Q774">
        <v>1349</v>
      </c>
      <c r="R774">
        <v>0</v>
      </c>
      <c r="S774">
        <v>150</v>
      </c>
      <c r="T774">
        <v>36</v>
      </c>
      <c r="U774">
        <v>0</v>
      </c>
      <c r="V774">
        <v>152</v>
      </c>
      <c r="W774">
        <v>0</v>
      </c>
      <c r="X774">
        <v>200</v>
      </c>
      <c r="Y774">
        <v>155</v>
      </c>
      <c r="Z774">
        <v>143</v>
      </c>
      <c r="AA774">
        <v>216</v>
      </c>
      <c r="AB774">
        <v>160</v>
      </c>
      <c r="AC774">
        <v>0</v>
      </c>
      <c r="AD774">
        <v>99</v>
      </c>
      <c r="AE774">
        <v>1311</v>
      </c>
      <c r="AF774">
        <v>852</v>
      </c>
      <c r="AJ774">
        <v>2.94</v>
      </c>
      <c r="AK774" t="str">
        <f t="shared" si="12"/>
        <v>SG210-6200</v>
      </c>
    </row>
    <row r="775" spans="1:37">
      <c r="A775" t="s">
        <v>1419</v>
      </c>
      <c r="B775" t="s">
        <v>1420</v>
      </c>
      <c r="C775" t="s">
        <v>68</v>
      </c>
      <c r="D775" t="s">
        <v>292</v>
      </c>
      <c r="E775">
        <v>65</v>
      </c>
      <c r="F775">
        <v>0.3</v>
      </c>
      <c r="G775">
        <v>393</v>
      </c>
      <c r="H775">
        <v>195</v>
      </c>
      <c r="I775">
        <v>177</v>
      </c>
      <c r="J775">
        <v>142</v>
      </c>
      <c r="K775">
        <v>529</v>
      </c>
      <c r="L775">
        <v>232</v>
      </c>
      <c r="M775">
        <v>0</v>
      </c>
      <c r="N775">
        <v>327</v>
      </c>
      <c r="O775">
        <v>0</v>
      </c>
      <c r="P775">
        <v>0</v>
      </c>
      <c r="Q775">
        <v>202</v>
      </c>
      <c r="R775">
        <v>0</v>
      </c>
      <c r="S775">
        <v>171</v>
      </c>
      <c r="T775">
        <v>176</v>
      </c>
      <c r="U775">
        <v>239</v>
      </c>
      <c r="V775">
        <v>30</v>
      </c>
      <c r="W775">
        <v>242</v>
      </c>
      <c r="X775">
        <v>201</v>
      </c>
      <c r="Y775">
        <v>38</v>
      </c>
      <c r="Z775">
        <v>188</v>
      </c>
      <c r="AA775">
        <v>42</v>
      </c>
      <c r="AB775">
        <v>129</v>
      </c>
      <c r="AC775">
        <v>88</v>
      </c>
      <c r="AD775">
        <v>156</v>
      </c>
      <c r="AE775">
        <v>1700</v>
      </c>
      <c r="AF775">
        <v>3620</v>
      </c>
      <c r="AJ775">
        <v>4.91</v>
      </c>
      <c r="AK775" t="str">
        <f t="shared" si="12"/>
        <v>SG211-5000</v>
      </c>
    </row>
    <row r="776" spans="1:37">
      <c r="A776" t="s">
        <v>1421</v>
      </c>
      <c r="B776" t="s">
        <v>1420</v>
      </c>
      <c r="C776" t="s">
        <v>68</v>
      </c>
      <c r="D776" t="s">
        <v>1422</v>
      </c>
      <c r="E776">
        <v>65</v>
      </c>
      <c r="F776">
        <v>0.8</v>
      </c>
      <c r="G776">
        <v>46</v>
      </c>
      <c r="H776">
        <v>81</v>
      </c>
      <c r="I776">
        <v>69</v>
      </c>
      <c r="J776">
        <v>70</v>
      </c>
      <c r="K776">
        <v>312</v>
      </c>
      <c r="L776">
        <v>64</v>
      </c>
      <c r="M776">
        <v>0</v>
      </c>
      <c r="N776">
        <v>38</v>
      </c>
      <c r="O776">
        <v>0</v>
      </c>
      <c r="P776">
        <v>0</v>
      </c>
      <c r="Q776">
        <v>274</v>
      </c>
      <c r="R776">
        <v>0</v>
      </c>
      <c r="S776">
        <v>96</v>
      </c>
      <c r="T776">
        <v>147</v>
      </c>
      <c r="U776">
        <v>0</v>
      </c>
      <c r="V776">
        <v>0</v>
      </c>
      <c r="W776">
        <v>172</v>
      </c>
      <c r="X776">
        <v>0</v>
      </c>
      <c r="Y776">
        <v>151</v>
      </c>
      <c r="Z776">
        <v>167</v>
      </c>
      <c r="AA776">
        <v>92</v>
      </c>
      <c r="AB776">
        <v>19</v>
      </c>
      <c r="AC776">
        <v>0</v>
      </c>
      <c r="AD776">
        <v>0</v>
      </c>
      <c r="AE776">
        <v>844</v>
      </c>
      <c r="AF776">
        <v>1356</v>
      </c>
      <c r="AJ776">
        <v>4.72</v>
      </c>
      <c r="AK776" t="str">
        <f t="shared" si="12"/>
        <v>SG211-6200</v>
      </c>
    </row>
    <row r="777" spans="1:37">
      <c r="A777" t="s">
        <v>1426</v>
      </c>
      <c r="B777" t="s">
        <v>1424</v>
      </c>
      <c r="C777" t="s">
        <v>68</v>
      </c>
      <c r="D777" t="s">
        <v>1425</v>
      </c>
      <c r="E777">
        <v>65</v>
      </c>
      <c r="F777">
        <v>-0.2</v>
      </c>
      <c r="G777">
        <v>217</v>
      </c>
      <c r="H777">
        <v>242</v>
      </c>
      <c r="I777">
        <v>551</v>
      </c>
      <c r="J777">
        <v>455</v>
      </c>
      <c r="K777">
        <v>0</v>
      </c>
      <c r="L777">
        <v>73</v>
      </c>
      <c r="M777">
        <v>0</v>
      </c>
      <c r="N777">
        <v>181</v>
      </c>
      <c r="O777">
        <v>0</v>
      </c>
      <c r="P777">
        <v>0</v>
      </c>
      <c r="Q777">
        <v>-181</v>
      </c>
      <c r="R777">
        <v>0</v>
      </c>
      <c r="S777">
        <v>422</v>
      </c>
      <c r="T777">
        <v>155</v>
      </c>
      <c r="U777">
        <v>150</v>
      </c>
      <c r="V777">
        <v>1092</v>
      </c>
      <c r="W777">
        <v>1488</v>
      </c>
      <c r="X777">
        <v>0</v>
      </c>
      <c r="Y777">
        <v>164</v>
      </c>
      <c r="Z777">
        <v>0</v>
      </c>
      <c r="AA777">
        <v>726</v>
      </c>
      <c r="AB777">
        <v>255</v>
      </c>
      <c r="AC777">
        <v>282</v>
      </c>
      <c r="AD777">
        <v>721</v>
      </c>
      <c r="AE777">
        <v>5455</v>
      </c>
      <c r="AF777">
        <v>3564</v>
      </c>
      <c r="AJ777">
        <v>4.34</v>
      </c>
      <c r="AK777" t="str">
        <f t="shared" si="12"/>
        <v>SG213-5000</v>
      </c>
    </row>
    <row r="778" spans="1:37">
      <c r="A778" t="s">
        <v>1427</v>
      </c>
      <c r="B778" t="s">
        <v>1424</v>
      </c>
      <c r="C778" t="s">
        <v>68</v>
      </c>
      <c r="D778" t="s">
        <v>1425</v>
      </c>
      <c r="E778">
        <v>65</v>
      </c>
      <c r="F778">
        <v>6.6</v>
      </c>
      <c r="G778">
        <v>0</v>
      </c>
      <c r="H778">
        <v>120</v>
      </c>
      <c r="I778">
        <v>325</v>
      </c>
      <c r="J778">
        <v>298</v>
      </c>
      <c r="K778">
        <v>3178</v>
      </c>
      <c r="L778">
        <v>208</v>
      </c>
      <c r="M778">
        <v>0</v>
      </c>
      <c r="N778">
        <v>0</v>
      </c>
      <c r="O778">
        <v>0</v>
      </c>
      <c r="P778">
        <v>0</v>
      </c>
      <c r="Q778">
        <v>3178</v>
      </c>
      <c r="R778">
        <v>0</v>
      </c>
      <c r="S778">
        <v>0</v>
      </c>
      <c r="T778">
        <v>95</v>
      </c>
      <c r="U778">
        <v>266</v>
      </c>
      <c r="V778">
        <v>344</v>
      </c>
      <c r="W778">
        <v>1038</v>
      </c>
      <c r="X778">
        <v>204</v>
      </c>
      <c r="Y778">
        <v>330</v>
      </c>
      <c r="Z778">
        <v>522</v>
      </c>
      <c r="AA778">
        <v>504</v>
      </c>
      <c r="AB778">
        <v>154</v>
      </c>
      <c r="AC778">
        <v>124</v>
      </c>
      <c r="AD778">
        <v>0</v>
      </c>
      <c r="AE778">
        <v>3581</v>
      </c>
      <c r="AF778">
        <v>1648</v>
      </c>
      <c r="AJ778">
        <v>5.66</v>
      </c>
      <c r="AK778" t="str">
        <f t="shared" si="12"/>
        <v>SG213-6200</v>
      </c>
    </row>
    <row r="779" spans="1:37">
      <c r="A779" t="s">
        <v>1428</v>
      </c>
      <c r="B779" t="s">
        <v>1429</v>
      </c>
      <c r="C779" t="s">
        <v>101</v>
      </c>
      <c r="D779" t="s">
        <v>1430</v>
      </c>
      <c r="E779">
        <v>65</v>
      </c>
      <c r="F779">
        <v>-0.1</v>
      </c>
      <c r="G779">
        <v>339</v>
      </c>
      <c r="H779">
        <v>602</v>
      </c>
      <c r="I779">
        <v>508</v>
      </c>
      <c r="J779">
        <v>788</v>
      </c>
      <c r="K779">
        <v>0</v>
      </c>
      <c r="L779">
        <v>434</v>
      </c>
      <c r="M779">
        <v>0</v>
      </c>
      <c r="N779">
        <v>283</v>
      </c>
      <c r="O779">
        <v>0</v>
      </c>
      <c r="P779">
        <v>0</v>
      </c>
      <c r="Q779">
        <v>-283</v>
      </c>
      <c r="R779">
        <v>139</v>
      </c>
      <c r="S779">
        <v>234</v>
      </c>
      <c r="T779">
        <v>492</v>
      </c>
      <c r="U779">
        <v>1079</v>
      </c>
      <c r="V779">
        <v>279</v>
      </c>
      <c r="W779">
        <v>510</v>
      </c>
      <c r="X779">
        <v>451</v>
      </c>
      <c r="Y779">
        <v>496</v>
      </c>
      <c r="Z779">
        <v>663</v>
      </c>
      <c r="AA779">
        <v>256</v>
      </c>
      <c r="AB779">
        <v>1512</v>
      </c>
      <c r="AC779">
        <v>2605</v>
      </c>
      <c r="AD779">
        <v>873</v>
      </c>
      <c r="AE779">
        <v>9450</v>
      </c>
      <c r="AF779">
        <v>8299</v>
      </c>
      <c r="AJ779">
        <v>2.7</v>
      </c>
      <c r="AK779" t="str">
        <f t="shared" si="12"/>
        <v>SG214-5000</v>
      </c>
    </row>
    <row r="780" spans="1:37">
      <c r="A780" t="s">
        <v>1431</v>
      </c>
      <c r="B780" t="s">
        <v>1429</v>
      </c>
      <c r="C780" t="s">
        <v>101</v>
      </c>
      <c r="D780" t="s">
        <v>1432</v>
      </c>
      <c r="E780">
        <v>65</v>
      </c>
      <c r="F780">
        <v>12.8</v>
      </c>
      <c r="G780">
        <v>51</v>
      </c>
      <c r="H780">
        <v>286</v>
      </c>
      <c r="I780">
        <v>387</v>
      </c>
      <c r="J780">
        <v>324</v>
      </c>
      <c r="K780">
        <v>14653</v>
      </c>
      <c r="L780">
        <v>373</v>
      </c>
      <c r="M780">
        <v>2</v>
      </c>
      <c r="N780">
        <v>43</v>
      </c>
      <c r="O780">
        <v>0</v>
      </c>
      <c r="P780">
        <v>0</v>
      </c>
      <c r="Q780">
        <v>14610</v>
      </c>
      <c r="R780">
        <v>0</v>
      </c>
      <c r="S780">
        <v>498</v>
      </c>
      <c r="T780">
        <v>360</v>
      </c>
      <c r="U780">
        <v>0</v>
      </c>
      <c r="V780">
        <v>1210</v>
      </c>
      <c r="W780">
        <v>95</v>
      </c>
      <c r="X780">
        <v>159</v>
      </c>
      <c r="Y780">
        <v>224</v>
      </c>
      <c r="Z780">
        <v>455</v>
      </c>
      <c r="AA780">
        <v>166</v>
      </c>
      <c r="AB780">
        <v>160</v>
      </c>
      <c r="AC780">
        <v>248</v>
      </c>
      <c r="AD780">
        <v>315</v>
      </c>
      <c r="AE780">
        <v>3890</v>
      </c>
      <c r="AF780">
        <v>12250</v>
      </c>
      <c r="AJ780">
        <v>1.81</v>
      </c>
      <c r="AK780" t="str">
        <f t="shared" si="12"/>
        <v>SG214-6200</v>
      </c>
    </row>
    <row r="781" spans="1:37">
      <c r="A781" t="s">
        <v>5940</v>
      </c>
      <c r="B781" t="s">
        <v>1434</v>
      </c>
      <c r="C781" t="s">
        <v>267</v>
      </c>
      <c r="D781" t="s">
        <v>292</v>
      </c>
      <c r="E781">
        <v>65</v>
      </c>
      <c r="F781">
        <v>0</v>
      </c>
      <c r="G781">
        <v>0</v>
      </c>
      <c r="H781">
        <v>13</v>
      </c>
      <c r="I781">
        <v>7</v>
      </c>
      <c r="J781">
        <v>3</v>
      </c>
      <c r="K781">
        <v>0</v>
      </c>
      <c r="L781">
        <v>7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39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39</v>
      </c>
      <c r="AF781">
        <v>0</v>
      </c>
      <c r="AJ781">
        <v>0</v>
      </c>
      <c r="AK781" t="str">
        <f t="shared" si="12"/>
        <v>SG224-3700</v>
      </c>
    </row>
    <row r="782" spans="1:37">
      <c r="A782" t="s">
        <v>1433</v>
      </c>
      <c r="B782" t="s">
        <v>1434</v>
      </c>
      <c r="C782" t="s">
        <v>267</v>
      </c>
      <c r="D782" t="s">
        <v>292</v>
      </c>
      <c r="E782">
        <v>65</v>
      </c>
      <c r="F782">
        <v>-0.2</v>
      </c>
      <c r="G782">
        <v>390</v>
      </c>
      <c r="H782">
        <v>337</v>
      </c>
      <c r="I782">
        <v>309</v>
      </c>
      <c r="J782">
        <v>309</v>
      </c>
      <c r="K782">
        <v>0</v>
      </c>
      <c r="L782">
        <v>435</v>
      </c>
      <c r="M782">
        <v>0</v>
      </c>
      <c r="N782">
        <v>325</v>
      </c>
      <c r="O782">
        <v>0</v>
      </c>
      <c r="P782">
        <v>0</v>
      </c>
      <c r="Q782">
        <v>-325</v>
      </c>
      <c r="R782">
        <v>0</v>
      </c>
      <c r="S782">
        <v>474</v>
      </c>
      <c r="T782">
        <v>234</v>
      </c>
      <c r="U782">
        <v>302</v>
      </c>
      <c r="V782">
        <v>120</v>
      </c>
      <c r="W782">
        <v>557</v>
      </c>
      <c r="X782">
        <v>168</v>
      </c>
      <c r="Y782">
        <v>525</v>
      </c>
      <c r="Z782">
        <v>459</v>
      </c>
      <c r="AA782">
        <v>47</v>
      </c>
      <c r="AB782">
        <v>244</v>
      </c>
      <c r="AC782">
        <v>297</v>
      </c>
      <c r="AD782">
        <v>278</v>
      </c>
      <c r="AE782">
        <v>3705</v>
      </c>
      <c r="AF782">
        <v>3944</v>
      </c>
      <c r="AJ782">
        <v>6.42</v>
      </c>
      <c r="AK782" t="str">
        <f t="shared" si="12"/>
        <v>SG224-5000</v>
      </c>
    </row>
    <row r="783" spans="1:37">
      <c r="A783" t="s">
        <v>1435</v>
      </c>
      <c r="B783" t="s">
        <v>1434</v>
      </c>
      <c r="C783" t="s">
        <v>267</v>
      </c>
      <c r="D783" t="s">
        <v>1422</v>
      </c>
      <c r="E783">
        <v>65</v>
      </c>
      <c r="F783">
        <v>2.2999999999999998</v>
      </c>
      <c r="G783">
        <v>31</v>
      </c>
      <c r="H783">
        <v>287</v>
      </c>
      <c r="I783">
        <v>209</v>
      </c>
      <c r="J783">
        <v>135</v>
      </c>
      <c r="K783">
        <v>2624</v>
      </c>
      <c r="L783">
        <v>324</v>
      </c>
      <c r="M783">
        <v>0</v>
      </c>
      <c r="N783">
        <v>26</v>
      </c>
      <c r="O783">
        <v>0</v>
      </c>
      <c r="P783">
        <v>0</v>
      </c>
      <c r="Q783">
        <v>2598</v>
      </c>
      <c r="R783">
        <v>0</v>
      </c>
      <c r="S783">
        <v>154</v>
      </c>
      <c r="T783">
        <v>481</v>
      </c>
      <c r="U783">
        <v>225</v>
      </c>
      <c r="V783">
        <v>0</v>
      </c>
      <c r="W783">
        <v>333</v>
      </c>
      <c r="X783">
        <v>58</v>
      </c>
      <c r="Y783">
        <v>63</v>
      </c>
      <c r="Z783">
        <v>83</v>
      </c>
      <c r="AA783">
        <v>0</v>
      </c>
      <c r="AB783">
        <v>130</v>
      </c>
      <c r="AC783">
        <v>61</v>
      </c>
      <c r="AD783">
        <v>27</v>
      </c>
      <c r="AE783">
        <v>1615</v>
      </c>
      <c r="AF783">
        <v>1378</v>
      </c>
      <c r="AJ783">
        <v>4.33</v>
      </c>
      <c r="AK783" t="str">
        <f t="shared" si="12"/>
        <v>SG224-6200</v>
      </c>
    </row>
    <row r="784" spans="1:37">
      <c r="A784" t="s">
        <v>1436</v>
      </c>
      <c r="B784" t="s">
        <v>647</v>
      </c>
      <c r="C784" t="s">
        <v>68</v>
      </c>
      <c r="D784" t="s">
        <v>1437</v>
      </c>
      <c r="E784">
        <v>65</v>
      </c>
      <c r="F784">
        <v>1.9</v>
      </c>
      <c r="G784">
        <v>141</v>
      </c>
      <c r="H784">
        <v>232</v>
      </c>
      <c r="I784">
        <v>186</v>
      </c>
      <c r="J784">
        <v>394</v>
      </c>
      <c r="K784">
        <v>1859</v>
      </c>
      <c r="L784">
        <v>333</v>
      </c>
      <c r="M784">
        <v>0</v>
      </c>
      <c r="N784">
        <v>118</v>
      </c>
      <c r="O784">
        <v>0</v>
      </c>
      <c r="P784">
        <v>0</v>
      </c>
      <c r="Q784">
        <v>1741</v>
      </c>
      <c r="R784">
        <v>0</v>
      </c>
      <c r="S784">
        <v>263</v>
      </c>
      <c r="T784">
        <v>289</v>
      </c>
      <c r="U784">
        <v>145</v>
      </c>
      <c r="V784">
        <v>130</v>
      </c>
      <c r="W784">
        <v>0</v>
      </c>
      <c r="X784">
        <v>287</v>
      </c>
      <c r="Y784">
        <v>691</v>
      </c>
      <c r="Z784">
        <v>701</v>
      </c>
      <c r="AA784">
        <v>373</v>
      </c>
      <c r="AB784">
        <v>446</v>
      </c>
      <c r="AC784">
        <v>703</v>
      </c>
      <c r="AD784">
        <v>694</v>
      </c>
      <c r="AE784">
        <v>4722</v>
      </c>
      <c r="AF784">
        <v>4526</v>
      </c>
      <c r="AJ784">
        <v>4.9400000000000004</v>
      </c>
      <c r="AK784" t="str">
        <f t="shared" si="12"/>
        <v>SG228-5000</v>
      </c>
    </row>
    <row r="785" spans="1:37">
      <c r="A785" t="s">
        <v>1438</v>
      </c>
      <c r="B785" t="s">
        <v>647</v>
      </c>
      <c r="C785" t="s">
        <v>68</v>
      </c>
      <c r="D785" t="s">
        <v>1437</v>
      </c>
      <c r="E785">
        <v>65</v>
      </c>
      <c r="F785">
        <v>1.3</v>
      </c>
      <c r="G785">
        <v>156</v>
      </c>
      <c r="H785">
        <v>248</v>
      </c>
      <c r="I785">
        <v>137</v>
      </c>
      <c r="J785">
        <v>295</v>
      </c>
      <c r="K785">
        <v>1393</v>
      </c>
      <c r="L785">
        <v>346</v>
      </c>
      <c r="M785">
        <v>0</v>
      </c>
      <c r="N785">
        <v>130</v>
      </c>
      <c r="O785">
        <v>0</v>
      </c>
      <c r="P785">
        <v>0</v>
      </c>
      <c r="Q785">
        <v>1263</v>
      </c>
      <c r="R785">
        <v>0</v>
      </c>
      <c r="S785">
        <v>394</v>
      </c>
      <c r="T785">
        <v>152</v>
      </c>
      <c r="U785">
        <v>197</v>
      </c>
      <c r="V785">
        <v>77</v>
      </c>
      <c r="W785">
        <v>0</v>
      </c>
      <c r="X785">
        <v>0</v>
      </c>
      <c r="Y785">
        <v>359</v>
      </c>
      <c r="Z785">
        <v>299</v>
      </c>
      <c r="AA785">
        <v>343</v>
      </c>
      <c r="AB785">
        <v>295</v>
      </c>
      <c r="AC785">
        <v>228</v>
      </c>
      <c r="AD785">
        <v>1201</v>
      </c>
      <c r="AE785">
        <v>3545</v>
      </c>
      <c r="AF785">
        <v>4661</v>
      </c>
      <c r="AJ785">
        <v>4.9400000000000004</v>
      </c>
      <c r="AK785" t="str">
        <f t="shared" si="12"/>
        <v>SG228-6200</v>
      </c>
    </row>
    <row r="786" spans="1:37">
      <c r="A786" t="s">
        <v>1439</v>
      </c>
      <c r="B786" t="s">
        <v>1440</v>
      </c>
      <c r="C786" t="s">
        <v>68</v>
      </c>
      <c r="D786" t="s">
        <v>292</v>
      </c>
      <c r="E786">
        <v>65</v>
      </c>
      <c r="F786">
        <v>-0.4</v>
      </c>
      <c r="G786">
        <v>141</v>
      </c>
      <c r="H786">
        <v>66</v>
      </c>
      <c r="I786">
        <v>89</v>
      </c>
      <c r="J786">
        <v>103</v>
      </c>
      <c r="K786">
        <v>0</v>
      </c>
      <c r="L786">
        <v>30</v>
      </c>
      <c r="M786">
        <v>0</v>
      </c>
      <c r="N786">
        <v>117</v>
      </c>
      <c r="O786">
        <v>0</v>
      </c>
      <c r="P786">
        <v>0</v>
      </c>
      <c r="Q786">
        <v>-117</v>
      </c>
      <c r="R786">
        <v>0</v>
      </c>
      <c r="S786">
        <v>92</v>
      </c>
      <c r="T786">
        <v>26</v>
      </c>
      <c r="U786">
        <v>80</v>
      </c>
      <c r="V786">
        <v>0</v>
      </c>
      <c r="W786">
        <v>183</v>
      </c>
      <c r="X786">
        <v>155</v>
      </c>
      <c r="Y786">
        <v>0</v>
      </c>
      <c r="Z786">
        <v>0</v>
      </c>
      <c r="AA786">
        <v>0</v>
      </c>
      <c r="AB786">
        <v>171</v>
      </c>
      <c r="AC786">
        <v>524</v>
      </c>
      <c r="AD786">
        <v>0</v>
      </c>
      <c r="AE786">
        <v>1231</v>
      </c>
      <c r="AF786">
        <v>912</v>
      </c>
      <c r="AJ786">
        <v>4.32</v>
      </c>
      <c r="AK786" t="str">
        <f t="shared" si="12"/>
        <v>SG240-5000</v>
      </c>
    </row>
    <row r="787" spans="1:37">
      <c r="A787" t="s">
        <v>1441</v>
      </c>
      <c r="B787" t="s">
        <v>1440</v>
      </c>
      <c r="C787" t="s">
        <v>68</v>
      </c>
      <c r="D787" t="s">
        <v>292</v>
      </c>
      <c r="E787">
        <v>65</v>
      </c>
      <c r="F787">
        <v>7.8</v>
      </c>
      <c r="G787">
        <v>0</v>
      </c>
      <c r="H787">
        <v>39</v>
      </c>
      <c r="I787">
        <v>69</v>
      </c>
      <c r="J787">
        <v>52</v>
      </c>
      <c r="K787">
        <v>1214</v>
      </c>
      <c r="L787">
        <v>22</v>
      </c>
      <c r="M787">
        <v>0</v>
      </c>
      <c r="N787">
        <v>0</v>
      </c>
      <c r="O787">
        <v>0</v>
      </c>
      <c r="P787">
        <v>0</v>
      </c>
      <c r="Q787">
        <v>1214</v>
      </c>
      <c r="R787">
        <v>0</v>
      </c>
      <c r="S787">
        <v>0</v>
      </c>
      <c r="T787">
        <v>0</v>
      </c>
      <c r="U787">
        <v>117</v>
      </c>
      <c r="V787">
        <v>61</v>
      </c>
      <c r="W787">
        <v>235</v>
      </c>
      <c r="X787">
        <v>0</v>
      </c>
      <c r="Y787">
        <v>0</v>
      </c>
      <c r="Z787">
        <v>0</v>
      </c>
      <c r="AA787">
        <v>111</v>
      </c>
      <c r="AB787">
        <v>35</v>
      </c>
      <c r="AC787">
        <v>0</v>
      </c>
      <c r="AD787">
        <v>61</v>
      </c>
      <c r="AE787">
        <v>620</v>
      </c>
      <c r="AF787">
        <v>451</v>
      </c>
      <c r="AJ787">
        <v>4.32</v>
      </c>
      <c r="AK787" t="str">
        <f t="shared" si="12"/>
        <v>SG240-6200</v>
      </c>
    </row>
    <row r="788" spans="1:37">
      <c r="A788" t="s">
        <v>1442</v>
      </c>
      <c r="B788" t="s">
        <v>1443</v>
      </c>
      <c r="C788" t="s">
        <v>101</v>
      </c>
      <c r="D788" t="s">
        <v>1444</v>
      </c>
      <c r="E788">
        <v>65</v>
      </c>
      <c r="F788">
        <v>-0.1</v>
      </c>
      <c r="G788">
        <v>35</v>
      </c>
      <c r="H788">
        <v>114</v>
      </c>
      <c r="I788">
        <v>64</v>
      </c>
      <c r="J788">
        <v>79</v>
      </c>
      <c r="K788">
        <v>0</v>
      </c>
      <c r="L788">
        <v>35</v>
      </c>
      <c r="M788">
        <v>0</v>
      </c>
      <c r="N788">
        <v>29</v>
      </c>
      <c r="O788">
        <v>0</v>
      </c>
      <c r="P788">
        <v>0</v>
      </c>
      <c r="Q788">
        <v>-29</v>
      </c>
      <c r="R788">
        <v>0</v>
      </c>
      <c r="S788">
        <v>0</v>
      </c>
      <c r="T788">
        <v>342</v>
      </c>
      <c r="U788">
        <v>0</v>
      </c>
      <c r="V788">
        <v>0</v>
      </c>
      <c r="W788">
        <v>0</v>
      </c>
      <c r="X788">
        <v>40</v>
      </c>
      <c r="Y788">
        <v>89</v>
      </c>
      <c r="Z788">
        <v>23</v>
      </c>
      <c r="AA788">
        <v>0</v>
      </c>
      <c r="AB788">
        <v>0</v>
      </c>
      <c r="AC788">
        <v>0</v>
      </c>
      <c r="AD788">
        <v>451</v>
      </c>
      <c r="AE788">
        <v>945</v>
      </c>
      <c r="AF788">
        <v>545</v>
      </c>
      <c r="AJ788">
        <v>2.39</v>
      </c>
      <c r="AK788" t="str">
        <f t="shared" si="12"/>
        <v>SG241-3700</v>
      </c>
    </row>
    <row r="789" spans="1:37">
      <c r="A789" t="s">
        <v>1445</v>
      </c>
      <c r="B789" t="s">
        <v>1443</v>
      </c>
      <c r="C789" t="s">
        <v>101</v>
      </c>
      <c r="D789" t="s">
        <v>1444</v>
      </c>
      <c r="E789">
        <v>65</v>
      </c>
      <c r="F789">
        <v>2.8</v>
      </c>
      <c r="G789">
        <v>294</v>
      </c>
      <c r="H789">
        <v>422</v>
      </c>
      <c r="I789">
        <v>409</v>
      </c>
      <c r="J789">
        <v>687</v>
      </c>
      <c r="K789">
        <v>5015</v>
      </c>
      <c r="L789">
        <v>854</v>
      </c>
      <c r="M789">
        <v>0</v>
      </c>
      <c r="N789">
        <v>245</v>
      </c>
      <c r="O789">
        <v>0</v>
      </c>
      <c r="P789">
        <v>0</v>
      </c>
      <c r="Q789">
        <v>4770</v>
      </c>
      <c r="R789">
        <v>0</v>
      </c>
      <c r="S789">
        <v>659</v>
      </c>
      <c r="T789">
        <v>606</v>
      </c>
      <c r="U789">
        <v>0</v>
      </c>
      <c r="V789">
        <v>491</v>
      </c>
      <c r="W789">
        <v>437</v>
      </c>
      <c r="X789">
        <v>260</v>
      </c>
      <c r="Y789">
        <v>1056</v>
      </c>
      <c r="Z789">
        <v>1114</v>
      </c>
      <c r="AA789">
        <v>1384</v>
      </c>
      <c r="AB789">
        <v>1166</v>
      </c>
      <c r="AC789">
        <v>828</v>
      </c>
      <c r="AD789">
        <v>245</v>
      </c>
      <c r="AE789">
        <v>8246</v>
      </c>
      <c r="AF789">
        <v>10955</v>
      </c>
      <c r="AJ789">
        <v>1.88</v>
      </c>
      <c r="AK789" t="str">
        <f t="shared" si="12"/>
        <v>SG241-5000</v>
      </c>
    </row>
    <row r="790" spans="1:37">
      <c r="A790" t="s">
        <v>1446</v>
      </c>
      <c r="B790" t="s">
        <v>1443</v>
      </c>
      <c r="C790" t="s">
        <v>101</v>
      </c>
      <c r="D790" t="s">
        <v>1432</v>
      </c>
      <c r="E790">
        <v>65</v>
      </c>
      <c r="F790">
        <v>20.8</v>
      </c>
      <c r="G790">
        <v>539</v>
      </c>
      <c r="H790">
        <v>194</v>
      </c>
      <c r="I790">
        <v>255</v>
      </c>
      <c r="J790">
        <v>594</v>
      </c>
      <c r="K790">
        <v>16603</v>
      </c>
      <c r="L790">
        <v>786</v>
      </c>
      <c r="M790">
        <v>0</v>
      </c>
      <c r="N790">
        <v>449</v>
      </c>
      <c r="O790">
        <v>0</v>
      </c>
      <c r="P790">
        <v>0</v>
      </c>
      <c r="Q790">
        <v>16154</v>
      </c>
      <c r="R790">
        <v>0</v>
      </c>
      <c r="S790">
        <v>0</v>
      </c>
      <c r="T790">
        <v>223</v>
      </c>
      <c r="U790">
        <v>360</v>
      </c>
      <c r="V790">
        <v>255</v>
      </c>
      <c r="W790">
        <v>268</v>
      </c>
      <c r="X790">
        <v>426</v>
      </c>
      <c r="Y790">
        <v>1306</v>
      </c>
      <c r="Z790">
        <v>630</v>
      </c>
      <c r="AA790">
        <v>969</v>
      </c>
      <c r="AB790">
        <v>328</v>
      </c>
      <c r="AC790">
        <v>2144</v>
      </c>
      <c r="AD790">
        <v>214</v>
      </c>
      <c r="AE790">
        <v>7123</v>
      </c>
      <c r="AF790">
        <v>9132</v>
      </c>
      <c r="AJ790">
        <v>2.0099999999999998</v>
      </c>
      <c r="AK790" t="str">
        <f t="shared" si="12"/>
        <v>SG241-6200</v>
      </c>
    </row>
    <row r="791" spans="1:37">
      <c r="A791" t="s">
        <v>1447</v>
      </c>
      <c r="B791" t="s">
        <v>1448</v>
      </c>
      <c r="C791" t="s">
        <v>68</v>
      </c>
      <c r="D791" t="s">
        <v>1449</v>
      </c>
      <c r="E791">
        <v>65</v>
      </c>
      <c r="F791">
        <v>0</v>
      </c>
      <c r="G791">
        <v>0</v>
      </c>
      <c r="H791">
        <v>0</v>
      </c>
      <c r="I791">
        <v>0</v>
      </c>
      <c r="J791">
        <v>3</v>
      </c>
      <c r="K791">
        <v>1254</v>
      </c>
      <c r="L791">
        <v>16</v>
      </c>
      <c r="M791">
        <v>0</v>
      </c>
      <c r="N791">
        <v>0</v>
      </c>
      <c r="O791">
        <v>0</v>
      </c>
      <c r="P791">
        <v>0</v>
      </c>
      <c r="Q791">
        <v>1254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36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36</v>
      </c>
      <c r="AF791">
        <v>0</v>
      </c>
      <c r="AJ791">
        <v>4.79</v>
      </c>
      <c r="AK791" t="str">
        <f t="shared" si="12"/>
        <v>SG243-5000</v>
      </c>
    </row>
    <row r="792" spans="1:37">
      <c r="A792" t="s">
        <v>1450</v>
      </c>
      <c r="B792" t="s">
        <v>1448</v>
      </c>
      <c r="C792" t="s">
        <v>68</v>
      </c>
      <c r="D792" t="s">
        <v>1449</v>
      </c>
      <c r="E792">
        <v>65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1161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1161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J792">
        <v>4.79</v>
      </c>
      <c r="AK792" t="str">
        <f t="shared" si="12"/>
        <v>SG243-6200</v>
      </c>
    </row>
    <row r="793" spans="1:37">
      <c r="A793" t="s">
        <v>6426</v>
      </c>
      <c r="B793" t="s">
        <v>1452</v>
      </c>
      <c r="C793" t="s">
        <v>68</v>
      </c>
      <c r="D793" t="s">
        <v>292</v>
      </c>
      <c r="E793">
        <v>65</v>
      </c>
      <c r="F793">
        <v>-0.7</v>
      </c>
      <c r="G793">
        <v>95</v>
      </c>
      <c r="H793">
        <v>28</v>
      </c>
      <c r="I793">
        <v>14</v>
      </c>
      <c r="J793">
        <v>39</v>
      </c>
      <c r="K793">
        <v>0</v>
      </c>
      <c r="L793">
        <v>3</v>
      </c>
      <c r="M793">
        <v>0</v>
      </c>
      <c r="N793">
        <v>79</v>
      </c>
      <c r="O793">
        <v>0</v>
      </c>
      <c r="P793">
        <v>0</v>
      </c>
      <c r="Q793">
        <v>-79</v>
      </c>
      <c r="R793">
        <v>0</v>
      </c>
      <c r="S793">
        <v>85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386</v>
      </c>
      <c r="AC793">
        <v>0</v>
      </c>
      <c r="AD793">
        <v>0</v>
      </c>
      <c r="AE793">
        <v>471</v>
      </c>
      <c r="AF793">
        <v>0</v>
      </c>
      <c r="AJ793">
        <v>2.96</v>
      </c>
      <c r="AK793" t="str">
        <f t="shared" si="12"/>
        <v>SG246-3700</v>
      </c>
    </row>
    <row r="794" spans="1:37">
      <c r="A794" t="s">
        <v>1451</v>
      </c>
      <c r="B794" t="s">
        <v>1452</v>
      </c>
      <c r="C794" t="s">
        <v>68</v>
      </c>
      <c r="D794" t="s">
        <v>292</v>
      </c>
      <c r="E794">
        <v>65</v>
      </c>
      <c r="F794">
        <v>34.299999999999997</v>
      </c>
      <c r="G794">
        <v>215</v>
      </c>
      <c r="H794">
        <v>66</v>
      </c>
      <c r="I794">
        <v>38</v>
      </c>
      <c r="J794">
        <v>1008</v>
      </c>
      <c r="K794">
        <v>9282</v>
      </c>
      <c r="L794">
        <v>2173</v>
      </c>
      <c r="M794">
        <v>0</v>
      </c>
      <c r="N794">
        <v>179</v>
      </c>
      <c r="O794">
        <v>0</v>
      </c>
      <c r="P794">
        <v>0</v>
      </c>
      <c r="Q794">
        <v>9103</v>
      </c>
      <c r="R794">
        <v>0</v>
      </c>
      <c r="S794">
        <v>60</v>
      </c>
      <c r="T794">
        <v>0</v>
      </c>
      <c r="U794">
        <v>139</v>
      </c>
      <c r="V794">
        <v>26</v>
      </c>
      <c r="W794">
        <v>0</v>
      </c>
      <c r="X794">
        <v>0</v>
      </c>
      <c r="Y794">
        <v>0</v>
      </c>
      <c r="Z794">
        <v>5773</v>
      </c>
      <c r="AA794">
        <v>1399</v>
      </c>
      <c r="AB794">
        <v>4097</v>
      </c>
      <c r="AC794">
        <v>391</v>
      </c>
      <c r="AD794">
        <v>216</v>
      </c>
      <c r="AE794">
        <v>12101</v>
      </c>
      <c r="AF794">
        <v>1956</v>
      </c>
      <c r="AJ794">
        <v>4.25</v>
      </c>
      <c r="AK794" t="str">
        <f t="shared" si="12"/>
        <v>SG246-5000</v>
      </c>
    </row>
    <row r="795" spans="1:37">
      <c r="A795" t="s">
        <v>1453</v>
      </c>
      <c r="B795" t="s">
        <v>1452</v>
      </c>
      <c r="C795" t="s">
        <v>68</v>
      </c>
      <c r="D795" t="s">
        <v>292</v>
      </c>
      <c r="E795">
        <v>65</v>
      </c>
      <c r="F795">
        <v>18.3</v>
      </c>
      <c r="G795">
        <v>42</v>
      </c>
      <c r="H795">
        <v>30</v>
      </c>
      <c r="I795">
        <v>38</v>
      </c>
      <c r="J795">
        <v>205</v>
      </c>
      <c r="K795">
        <v>2201</v>
      </c>
      <c r="L795">
        <v>79</v>
      </c>
      <c r="M795">
        <v>0</v>
      </c>
      <c r="N795">
        <v>35</v>
      </c>
      <c r="O795">
        <v>0</v>
      </c>
      <c r="P795">
        <v>0</v>
      </c>
      <c r="Q795">
        <v>2166</v>
      </c>
      <c r="R795">
        <v>0</v>
      </c>
      <c r="S795">
        <v>0</v>
      </c>
      <c r="T795">
        <v>0</v>
      </c>
      <c r="U795">
        <v>89</v>
      </c>
      <c r="V795">
        <v>139</v>
      </c>
      <c r="W795">
        <v>0</v>
      </c>
      <c r="X795">
        <v>0</v>
      </c>
      <c r="Y795">
        <v>0</v>
      </c>
      <c r="Z795">
        <v>329</v>
      </c>
      <c r="AA795">
        <v>1063</v>
      </c>
      <c r="AB795">
        <v>579</v>
      </c>
      <c r="AC795">
        <v>260</v>
      </c>
      <c r="AD795">
        <v>0</v>
      </c>
      <c r="AE795">
        <v>2459</v>
      </c>
      <c r="AF795">
        <v>2674</v>
      </c>
      <c r="AJ795">
        <v>3.96</v>
      </c>
      <c r="AK795" t="str">
        <f t="shared" si="12"/>
        <v>SG246-6200</v>
      </c>
    </row>
    <row r="796" spans="1:37">
      <c r="A796" t="s">
        <v>5857</v>
      </c>
      <c r="B796" t="s">
        <v>1455</v>
      </c>
      <c r="C796" t="s">
        <v>68</v>
      </c>
      <c r="D796" t="s">
        <v>292</v>
      </c>
      <c r="E796">
        <v>75</v>
      </c>
      <c r="F796">
        <v>0</v>
      </c>
      <c r="G796">
        <v>10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8</v>
      </c>
      <c r="O796">
        <v>0</v>
      </c>
      <c r="P796">
        <v>0</v>
      </c>
      <c r="Q796">
        <v>-8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J796">
        <v>0</v>
      </c>
      <c r="AK796" t="str">
        <f t="shared" si="12"/>
        <v>SG254-3700</v>
      </c>
    </row>
    <row r="797" spans="1:37">
      <c r="A797" t="s">
        <v>1454</v>
      </c>
      <c r="B797" t="s">
        <v>1455</v>
      </c>
      <c r="C797" t="s">
        <v>68</v>
      </c>
      <c r="D797" t="s">
        <v>292</v>
      </c>
      <c r="E797">
        <v>75</v>
      </c>
      <c r="F797">
        <v>-0.4</v>
      </c>
      <c r="G797">
        <v>1687</v>
      </c>
      <c r="H797">
        <v>887</v>
      </c>
      <c r="I797">
        <v>564</v>
      </c>
      <c r="J797">
        <v>365</v>
      </c>
      <c r="K797">
        <v>0</v>
      </c>
      <c r="L797">
        <v>303</v>
      </c>
      <c r="M797">
        <v>0</v>
      </c>
      <c r="N797">
        <v>1406</v>
      </c>
      <c r="O797">
        <v>0</v>
      </c>
      <c r="P797">
        <v>0</v>
      </c>
      <c r="Q797">
        <v>-1406</v>
      </c>
      <c r="R797">
        <v>0</v>
      </c>
      <c r="S797">
        <v>1947</v>
      </c>
      <c r="T797">
        <v>106</v>
      </c>
      <c r="U797">
        <v>609</v>
      </c>
      <c r="V797">
        <v>0</v>
      </c>
      <c r="W797">
        <v>614</v>
      </c>
      <c r="X797">
        <v>109</v>
      </c>
      <c r="Y797">
        <v>148</v>
      </c>
      <c r="Z797">
        <v>0</v>
      </c>
      <c r="AA797">
        <v>149</v>
      </c>
      <c r="AB797">
        <v>152</v>
      </c>
      <c r="AC797">
        <v>266</v>
      </c>
      <c r="AD797">
        <v>281</v>
      </c>
      <c r="AE797">
        <v>4381</v>
      </c>
      <c r="AF797">
        <v>2660</v>
      </c>
      <c r="AJ797">
        <v>5.57</v>
      </c>
      <c r="AK797" t="str">
        <f t="shared" si="12"/>
        <v>SG254-5000</v>
      </c>
    </row>
    <row r="798" spans="1:37">
      <c r="A798" t="s">
        <v>1456</v>
      </c>
      <c r="B798" t="s">
        <v>1455</v>
      </c>
      <c r="C798" t="s">
        <v>68</v>
      </c>
      <c r="D798" t="s">
        <v>1422</v>
      </c>
      <c r="E798">
        <v>75</v>
      </c>
      <c r="F798">
        <v>1</v>
      </c>
      <c r="G798">
        <v>24</v>
      </c>
      <c r="H798">
        <v>108</v>
      </c>
      <c r="I798">
        <v>129</v>
      </c>
      <c r="J798">
        <v>155</v>
      </c>
      <c r="K798">
        <v>459</v>
      </c>
      <c r="L798">
        <v>112</v>
      </c>
      <c r="M798">
        <v>0</v>
      </c>
      <c r="N798">
        <v>20</v>
      </c>
      <c r="O798">
        <v>0</v>
      </c>
      <c r="P798">
        <v>0</v>
      </c>
      <c r="Q798">
        <v>439</v>
      </c>
      <c r="R798">
        <v>0</v>
      </c>
      <c r="S798">
        <v>0</v>
      </c>
      <c r="T798">
        <v>181</v>
      </c>
      <c r="U798">
        <v>144</v>
      </c>
      <c r="V798">
        <v>265</v>
      </c>
      <c r="W798">
        <v>184</v>
      </c>
      <c r="X798">
        <v>0</v>
      </c>
      <c r="Y798">
        <v>49</v>
      </c>
      <c r="Z798">
        <v>0</v>
      </c>
      <c r="AA798">
        <v>56</v>
      </c>
      <c r="AB798">
        <v>764</v>
      </c>
      <c r="AC798">
        <v>134</v>
      </c>
      <c r="AD798">
        <v>87</v>
      </c>
      <c r="AE798">
        <v>1864</v>
      </c>
      <c r="AF798">
        <v>1148</v>
      </c>
      <c r="AJ798">
        <v>5.57</v>
      </c>
      <c r="AK798" t="str">
        <f t="shared" si="12"/>
        <v>SG254-6200</v>
      </c>
    </row>
    <row r="799" spans="1:37">
      <c r="A799" t="s">
        <v>1457</v>
      </c>
      <c r="B799" t="s">
        <v>1458</v>
      </c>
      <c r="C799" t="s">
        <v>1326</v>
      </c>
      <c r="E799">
        <v>192</v>
      </c>
      <c r="F799">
        <v>0</v>
      </c>
      <c r="G799">
        <v>439</v>
      </c>
      <c r="H799">
        <v>0</v>
      </c>
      <c r="I799">
        <v>57</v>
      </c>
      <c r="J799">
        <v>30</v>
      </c>
      <c r="K799">
        <v>1330</v>
      </c>
      <c r="L799">
        <v>17</v>
      </c>
      <c r="M799">
        <v>0</v>
      </c>
      <c r="N799">
        <v>366</v>
      </c>
      <c r="O799">
        <v>0</v>
      </c>
      <c r="P799">
        <v>0</v>
      </c>
      <c r="Q799">
        <v>964</v>
      </c>
      <c r="R799">
        <v>0</v>
      </c>
      <c r="S799">
        <v>0</v>
      </c>
      <c r="T799">
        <v>0</v>
      </c>
      <c r="U799">
        <v>0</v>
      </c>
      <c r="V799">
        <v>15</v>
      </c>
      <c r="W799">
        <v>0</v>
      </c>
      <c r="X799">
        <v>327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18</v>
      </c>
      <c r="AE799">
        <v>360</v>
      </c>
      <c r="AF799">
        <v>924</v>
      </c>
      <c r="AJ799">
        <v>13.637700000000001</v>
      </c>
      <c r="AK799" t="str">
        <f t="shared" si="12"/>
        <v>SG263-5000</v>
      </c>
    </row>
    <row r="800" spans="1:37">
      <c r="A800" t="s">
        <v>1459</v>
      </c>
      <c r="B800" t="s">
        <v>1460</v>
      </c>
      <c r="C800" t="s">
        <v>68</v>
      </c>
      <c r="D800" t="s">
        <v>1397</v>
      </c>
      <c r="E800">
        <v>65</v>
      </c>
      <c r="F800">
        <v>0</v>
      </c>
      <c r="G800">
        <v>0</v>
      </c>
      <c r="H800">
        <v>0</v>
      </c>
      <c r="I800">
        <v>0</v>
      </c>
      <c r="J800">
        <v>8</v>
      </c>
      <c r="K800">
        <v>4577</v>
      </c>
      <c r="L800">
        <v>15</v>
      </c>
      <c r="M800">
        <v>0</v>
      </c>
      <c r="N800">
        <v>0</v>
      </c>
      <c r="O800">
        <v>0</v>
      </c>
      <c r="P800">
        <v>0</v>
      </c>
      <c r="Q800">
        <v>4577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96</v>
      </c>
      <c r="AD800">
        <v>0</v>
      </c>
      <c r="AE800">
        <v>96</v>
      </c>
      <c r="AF800">
        <v>250</v>
      </c>
      <c r="AJ800">
        <v>2.23</v>
      </c>
      <c r="AK800" t="str">
        <f t="shared" si="12"/>
        <v>SG266-5000</v>
      </c>
    </row>
    <row r="801" spans="1:37">
      <c r="A801" t="s">
        <v>1461</v>
      </c>
      <c r="B801" t="s">
        <v>1460</v>
      </c>
      <c r="C801" t="s">
        <v>68</v>
      </c>
      <c r="D801" t="s">
        <v>1397</v>
      </c>
      <c r="E801">
        <v>65</v>
      </c>
      <c r="F801">
        <v>0</v>
      </c>
      <c r="G801">
        <v>0</v>
      </c>
      <c r="H801">
        <v>0</v>
      </c>
      <c r="I801">
        <v>57</v>
      </c>
      <c r="J801">
        <v>64</v>
      </c>
      <c r="K801">
        <v>2274</v>
      </c>
      <c r="L801">
        <v>52</v>
      </c>
      <c r="M801">
        <v>0</v>
      </c>
      <c r="N801">
        <v>0</v>
      </c>
      <c r="O801">
        <v>0</v>
      </c>
      <c r="P801">
        <v>0</v>
      </c>
      <c r="Q801">
        <v>2274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319</v>
      </c>
      <c r="X801">
        <v>23</v>
      </c>
      <c r="Y801">
        <v>272</v>
      </c>
      <c r="Z801">
        <v>0</v>
      </c>
      <c r="AA801">
        <v>0</v>
      </c>
      <c r="AB801">
        <v>0</v>
      </c>
      <c r="AC801">
        <v>156</v>
      </c>
      <c r="AD801">
        <v>0</v>
      </c>
      <c r="AE801">
        <v>770</v>
      </c>
      <c r="AF801">
        <v>0</v>
      </c>
      <c r="AJ801">
        <v>2.23</v>
      </c>
      <c r="AK801" t="str">
        <f t="shared" si="12"/>
        <v>SG266-6200</v>
      </c>
    </row>
    <row r="802" spans="1:37">
      <c r="A802" t="s">
        <v>1463</v>
      </c>
      <c r="B802" t="s">
        <v>1462</v>
      </c>
      <c r="C802" t="s">
        <v>101</v>
      </c>
      <c r="D802" t="s">
        <v>1397</v>
      </c>
      <c r="E802">
        <v>50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6671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6671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J802">
        <v>1.18</v>
      </c>
      <c r="AK802" t="str">
        <f t="shared" si="12"/>
        <v>SG292-6200</v>
      </c>
    </row>
    <row r="803" spans="1:37">
      <c r="A803" t="s">
        <v>6181</v>
      </c>
      <c r="B803" t="s">
        <v>1465</v>
      </c>
      <c r="C803" t="s">
        <v>68</v>
      </c>
      <c r="D803" t="s">
        <v>292</v>
      </c>
      <c r="E803">
        <v>65</v>
      </c>
      <c r="F803">
        <v>0</v>
      </c>
      <c r="G803">
        <v>1</v>
      </c>
      <c r="H803">
        <v>0</v>
      </c>
      <c r="I803">
        <v>0</v>
      </c>
      <c r="J803">
        <v>0</v>
      </c>
      <c r="K803">
        <v>0</v>
      </c>
      <c r="L803">
        <v>3</v>
      </c>
      <c r="M803">
        <v>0</v>
      </c>
      <c r="N803">
        <v>1</v>
      </c>
      <c r="O803">
        <v>0</v>
      </c>
      <c r="P803">
        <v>0</v>
      </c>
      <c r="Q803">
        <v>-1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47</v>
      </c>
      <c r="AJ803">
        <v>0</v>
      </c>
      <c r="AK803" t="str">
        <f t="shared" si="12"/>
        <v>SO312-3700</v>
      </c>
    </row>
    <row r="804" spans="1:37">
      <c r="A804" t="s">
        <v>1464</v>
      </c>
      <c r="B804" t="s">
        <v>1465</v>
      </c>
      <c r="C804" t="s">
        <v>68</v>
      </c>
      <c r="D804" t="s">
        <v>292</v>
      </c>
      <c r="E804">
        <v>65</v>
      </c>
      <c r="F804">
        <v>14.5</v>
      </c>
      <c r="G804">
        <v>62</v>
      </c>
      <c r="H804">
        <v>26</v>
      </c>
      <c r="I804">
        <v>42</v>
      </c>
      <c r="J804">
        <v>59</v>
      </c>
      <c r="K804">
        <v>1543</v>
      </c>
      <c r="L804">
        <v>13</v>
      </c>
      <c r="M804">
        <v>0</v>
      </c>
      <c r="N804">
        <v>52</v>
      </c>
      <c r="O804">
        <v>0</v>
      </c>
      <c r="P804">
        <v>0</v>
      </c>
      <c r="Q804">
        <v>1491</v>
      </c>
      <c r="R804">
        <v>0</v>
      </c>
      <c r="S804">
        <v>0</v>
      </c>
      <c r="T804">
        <v>0</v>
      </c>
      <c r="U804">
        <v>77</v>
      </c>
      <c r="V804">
        <v>0</v>
      </c>
      <c r="W804">
        <v>0</v>
      </c>
      <c r="X804">
        <v>175</v>
      </c>
      <c r="Y804">
        <v>0</v>
      </c>
      <c r="Z804">
        <v>201</v>
      </c>
      <c r="AA804">
        <v>0</v>
      </c>
      <c r="AB804">
        <v>71</v>
      </c>
      <c r="AC804">
        <v>101</v>
      </c>
      <c r="AD804">
        <v>85</v>
      </c>
      <c r="AE804">
        <v>710</v>
      </c>
      <c r="AF804">
        <v>736</v>
      </c>
      <c r="AJ804">
        <v>6.78</v>
      </c>
      <c r="AK804" t="str">
        <f t="shared" si="12"/>
        <v>SO312-5000</v>
      </c>
    </row>
    <row r="805" spans="1:37">
      <c r="A805" t="s">
        <v>1466</v>
      </c>
      <c r="B805" t="s">
        <v>1465</v>
      </c>
      <c r="C805" t="s">
        <v>68</v>
      </c>
      <c r="D805" t="s">
        <v>292</v>
      </c>
      <c r="E805">
        <v>65</v>
      </c>
      <c r="F805">
        <v>4.5</v>
      </c>
      <c r="G805">
        <v>7</v>
      </c>
      <c r="H805">
        <v>60</v>
      </c>
      <c r="I805">
        <v>41</v>
      </c>
      <c r="J805">
        <v>46</v>
      </c>
      <c r="K805">
        <v>1091</v>
      </c>
      <c r="L805">
        <v>58</v>
      </c>
      <c r="M805">
        <v>0</v>
      </c>
      <c r="N805">
        <v>6</v>
      </c>
      <c r="O805">
        <v>0</v>
      </c>
      <c r="P805">
        <v>0</v>
      </c>
      <c r="Q805">
        <v>1085</v>
      </c>
      <c r="R805">
        <v>0</v>
      </c>
      <c r="S805">
        <v>126</v>
      </c>
      <c r="T805">
        <v>0</v>
      </c>
      <c r="U805">
        <v>54</v>
      </c>
      <c r="V805">
        <v>67</v>
      </c>
      <c r="W805">
        <v>0</v>
      </c>
      <c r="X805">
        <v>0</v>
      </c>
      <c r="Y805">
        <v>0</v>
      </c>
      <c r="Z805">
        <v>96</v>
      </c>
      <c r="AA805">
        <v>51</v>
      </c>
      <c r="AB805">
        <v>41</v>
      </c>
      <c r="AC805">
        <v>121</v>
      </c>
      <c r="AD805">
        <v>0</v>
      </c>
      <c r="AE805">
        <v>556</v>
      </c>
      <c r="AF805">
        <v>204</v>
      </c>
      <c r="AJ805">
        <v>6.78</v>
      </c>
      <c r="AK805" t="str">
        <f t="shared" si="12"/>
        <v>SO312-6200</v>
      </c>
    </row>
    <row r="806" spans="1:37">
      <c r="A806" t="s">
        <v>1467</v>
      </c>
      <c r="B806" t="s">
        <v>1468</v>
      </c>
      <c r="C806" t="s">
        <v>68</v>
      </c>
      <c r="E806">
        <v>65</v>
      </c>
      <c r="F806">
        <v>0</v>
      </c>
      <c r="G806">
        <v>0</v>
      </c>
      <c r="H806">
        <v>0</v>
      </c>
      <c r="I806">
        <v>18</v>
      </c>
      <c r="J806">
        <v>20</v>
      </c>
      <c r="K806">
        <v>466</v>
      </c>
      <c r="L806">
        <v>166</v>
      </c>
      <c r="M806">
        <v>0</v>
      </c>
      <c r="N806">
        <v>0</v>
      </c>
      <c r="O806">
        <v>0</v>
      </c>
      <c r="P806">
        <v>0</v>
      </c>
      <c r="Q806">
        <v>466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110</v>
      </c>
      <c r="X806">
        <v>0</v>
      </c>
      <c r="Y806">
        <v>124</v>
      </c>
      <c r="Z806">
        <v>9</v>
      </c>
      <c r="AA806">
        <v>0</v>
      </c>
      <c r="AB806">
        <v>0</v>
      </c>
      <c r="AC806">
        <v>0</v>
      </c>
      <c r="AD806">
        <v>0</v>
      </c>
      <c r="AE806">
        <v>243</v>
      </c>
      <c r="AF806">
        <v>567</v>
      </c>
      <c r="AJ806">
        <v>6.39</v>
      </c>
      <c r="AK806" t="str">
        <f t="shared" si="12"/>
        <v>SP401-5000</v>
      </c>
    </row>
    <row r="807" spans="1:37">
      <c r="A807" t="s">
        <v>1469</v>
      </c>
      <c r="B807" t="s">
        <v>1468</v>
      </c>
      <c r="C807" t="s">
        <v>68</v>
      </c>
      <c r="E807">
        <v>65</v>
      </c>
      <c r="F807">
        <v>15.8</v>
      </c>
      <c r="G807">
        <v>0</v>
      </c>
      <c r="H807">
        <v>30</v>
      </c>
      <c r="I807">
        <v>65</v>
      </c>
      <c r="J807">
        <v>76</v>
      </c>
      <c r="K807">
        <v>1890</v>
      </c>
      <c r="L807">
        <v>53</v>
      </c>
      <c r="M807">
        <v>0</v>
      </c>
      <c r="N807">
        <v>0</v>
      </c>
      <c r="O807">
        <v>0</v>
      </c>
      <c r="P807">
        <v>0</v>
      </c>
      <c r="Q807">
        <v>1890</v>
      </c>
      <c r="R807">
        <v>0</v>
      </c>
      <c r="S807">
        <v>0</v>
      </c>
      <c r="T807">
        <v>0</v>
      </c>
      <c r="U807">
        <v>90</v>
      </c>
      <c r="V807">
        <v>63</v>
      </c>
      <c r="W807">
        <v>207</v>
      </c>
      <c r="X807">
        <v>27</v>
      </c>
      <c r="Y807">
        <v>94</v>
      </c>
      <c r="Z807">
        <v>0</v>
      </c>
      <c r="AA807">
        <v>0</v>
      </c>
      <c r="AB807">
        <v>427</v>
      </c>
      <c r="AC807">
        <v>0</v>
      </c>
      <c r="AD807">
        <v>0</v>
      </c>
      <c r="AE807">
        <v>908</v>
      </c>
      <c r="AF807">
        <v>242</v>
      </c>
      <c r="AJ807">
        <v>6.39</v>
      </c>
      <c r="AK807" t="str">
        <f t="shared" si="12"/>
        <v>SP401-6200</v>
      </c>
    </row>
    <row r="808" spans="1:37">
      <c r="A808" t="s">
        <v>1470</v>
      </c>
      <c r="B808" t="s">
        <v>1471</v>
      </c>
      <c r="C808" t="s">
        <v>267</v>
      </c>
      <c r="D808" t="s">
        <v>1390</v>
      </c>
      <c r="E808">
        <v>62</v>
      </c>
      <c r="F808">
        <v>4.8</v>
      </c>
      <c r="G808">
        <v>43</v>
      </c>
      <c r="H808">
        <v>139</v>
      </c>
      <c r="I808">
        <v>166</v>
      </c>
      <c r="J808">
        <v>239</v>
      </c>
      <c r="K808">
        <v>2683</v>
      </c>
      <c r="L808">
        <v>73</v>
      </c>
      <c r="M808">
        <v>0</v>
      </c>
      <c r="N808">
        <v>36</v>
      </c>
      <c r="O808">
        <v>0</v>
      </c>
      <c r="P808">
        <v>0</v>
      </c>
      <c r="Q808">
        <v>2647</v>
      </c>
      <c r="R808">
        <v>0</v>
      </c>
      <c r="S808">
        <v>171</v>
      </c>
      <c r="T808">
        <v>45</v>
      </c>
      <c r="U808">
        <v>200</v>
      </c>
      <c r="V808">
        <v>508</v>
      </c>
      <c r="W808">
        <v>0</v>
      </c>
      <c r="X808">
        <v>72</v>
      </c>
      <c r="Y808">
        <v>226</v>
      </c>
      <c r="Z808">
        <v>31</v>
      </c>
      <c r="AA808">
        <v>133</v>
      </c>
      <c r="AB808">
        <v>221</v>
      </c>
      <c r="AC808">
        <v>1226</v>
      </c>
      <c r="AD808">
        <v>38</v>
      </c>
      <c r="AE808">
        <v>2871</v>
      </c>
      <c r="AF808">
        <v>1394</v>
      </c>
      <c r="AJ808">
        <v>2.62</v>
      </c>
      <c r="AK808" t="str">
        <f t="shared" si="12"/>
        <v>SP414-5000</v>
      </c>
    </row>
    <row r="809" spans="1:37">
      <c r="A809" t="s">
        <v>1472</v>
      </c>
      <c r="B809" t="s">
        <v>1471</v>
      </c>
      <c r="C809" t="s">
        <v>267</v>
      </c>
      <c r="D809" t="s">
        <v>1390</v>
      </c>
      <c r="E809">
        <v>62</v>
      </c>
      <c r="F809">
        <v>17.5</v>
      </c>
      <c r="G809">
        <v>0</v>
      </c>
      <c r="H809">
        <v>31</v>
      </c>
      <c r="I809">
        <v>15</v>
      </c>
      <c r="J809">
        <v>65</v>
      </c>
      <c r="K809">
        <v>2141</v>
      </c>
      <c r="L809">
        <v>74</v>
      </c>
      <c r="M809">
        <v>0</v>
      </c>
      <c r="N809">
        <v>0</v>
      </c>
      <c r="O809">
        <v>0</v>
      </c>
      <c r="P809">
        <v>0</v>
      </c>
      <c r="Q809">
        <v>2141</v>
      </c>
      <c r="R809">
        <v>0</v>
      </c>
      <c r="S809">
        <v>0</v>
      </c>
      <c r="T809">
        <v>92</v>
      </c>
      <c r="U809">
        <v>0</v>
      </c>
      <c r="V809">
        <v>0</v>
      </c>
      <c r="W809">
        <v>0</v>
      </c>
      <c r="X809">
        <v>0</v>
      </c>
      <c r="Y809">
        <v>102</v>
      </c>
      <c r="Z809">
        <v>0</v>
      </c>
      <c r="AA809">
        <v>294</v>
      </c>
      <c r="AB809">
        <v>294</v>
      </c>
      <c r="AC809">
        <v>0</v>
      </c>
      <c r="AD809">
        <v>0</v>
      </c>
      <c r="AE809">
        <v>782</v>
      </c>
      <c r="AF809">
        <v>429</v>
      </c>
      <c r="AJ809">
        <v>2.62</v>
      </c>
      <c r="AK809" t="str">
        <f t="shared" si="12"/>
        <v>SP414-6200</v>
      </c>
    </row>
    <row r="810" spans="1:37">
      <c r="A810" t="s">
        <v>1473</v>
      </c>
      <c r="B810" t="s">
        <v>1474</v>
      </c>
      <c r="C810" t="s">
        <v>68</v>
      </c>
      <c r="D810" t="s">
        <v>1475</v>
      </c>
      <c r="E810">
        <v>65</v>
      </c>
      <c r="F810">
        <v>6.3</v>
      </c>
      <c r="G810">
        <v>62</v>
      </c>
      <c r="H810">
        <v>72</v>
      </c>
      <c r="I810">
        <v>122</v>
      </c>
      <c r="J810">
        <v>170</v>
      </c>
      <c r="K810">
        <v>1878</v>
      </c>
      <c r="L810">
        <v>126</v>
      </c>
      <c r="M810">
        <v>0</v>
      </c>
      <c r="N810">
        <v>52</v>
      </c>
      <c r="O810">
        <v>0</v>
      </c>
      <c r="P810">
        <v>0</v>
      </c>
      <c r="Q810">
        <v>1826</v>
      </c>
      <c r="R810">
        <v>0</v>
      </c>
      <c r="S810">
        <v>85</v>
      </c>
      <c r="T810">
        <v>89</v>
      </c>
      <c r="U810">
        <v>42</v>
      </c>
      <c r="V810">
        <v>332</v>
      </c>
      <c r="W810">
        <v>111</v>
      </c>
      <c r="X810">
        <v>70</v>
      </c>
      <c r="Y810">
        <v>354</v>
      </c>
      <c r="Z810">
        <v>312</v>
      </c>
      <c r="AA810">
        <v>92</v>
      </c>
      <c r="AB810">
        <v>337</v>
      </c>
      <c r="AC810">
        <v>163</v>
      </c>
      <c r="AD810">
        <v>51</v>
      </c>
      <c r="AE810">
        <v>2038</v>
      </c>
      <c r="AF810">
        <v>1678</v>
      </c>
      <c r="AJ810">
        <v>7.45</v>
      </c>
      <c r="AK810" t="str">
        <f t="shared" si="12"/>
        <v>SR505-5000</v>
      </c>
    </row>
    <row r="811" spans="1:37">
      <c r="A811" t="s">
        <v>1476</v>
      </c>
      <c r="B811" t="s">
        <v>1474</v>
      </c>
      <c r="C811" t="s">
        <v>68</v>
      </c>
      <c r="D811" t="s">
        <v>292</v>
      </c>
      <c r="E811">
        <v>65</v>
      </c>
      <c r="F811">
        <v>3</v>
      </c>
      <c r="G811">
        <v>0</v>
      </c>
      <c r="H811">
        <v>64</v>
      </c>
      <c r="I811">
        <v>105</v>
      </c>
      <c r="J811">
        <v>94</v>
      </c>
      <c r="K811">
        <v>757</v>
      </c>
      <c r="L811">
        <v>162</v>
      </c>
      <c r="M811">
        <v>0</v>
      </c>
      <c r="N811">
        <v>0</v>
      </c>
      <c r="O811">
        <v>0</v>
      </c>
      <c r="P811">
        <v>0</v>
      </c>
      <c r="Q811">
        <v>757</v>
      </c>
      <c r="R811">
        <v>0</v>
      </c>
      <c r="S811">
        <v>105</v>
      </c>
      <c r="T811">
        <v>0</v>
      </c>
      <c r="U811">
        <v>87</v>
      </c>
      <c r="V811">
        <v>385</v>
      </c>
      <c r="W811">
        <v>51</v>
      </c>
      <c r="X811">
        <v>0</v>
      </c>
      <c r="Y811">
        <v>73</v>
      </c>
      <c r="Z811">
        <v>39</v>
      </c>
      <c r="AA811">
        <v>168</v>
      </c>
      <c r="AB811">
        <v>56</v>
      </c>
      <c r="AC811">
        <v>0</v>
      </c>
      <c r="AD811">
        <v>158</v>
      </c>
      <c r="AE811">
        <v>1122</v>
      </c>
      <c r="AF811">
        <v>547</v>
      </c>
      <c r="AJ811">
        <v>7.45</v>
      </c>
      <c r="AK811" t="str">
        <f t="shared" si="12"/>
        <v>SR505-6200</v>
      </c>
    </row>
    <row r="812" spans="1:37">
      <c r="A812" t="s">
        <v>1477</v>
      </c>
      <c r="B812" t="s">
        <v>1478</v>
      </c>
      <c r="C812" t="s">
        <v>68</v>
      </c>
      <c r="D812" t="s">
        <v>292</v>
      </c>
      <c r="E812">
        <v>75</v>
      </c>
      <c r="F812">
        <v>0.1</v>
      </c>
      <c r="G812">
        <v>201</v>
      </c>
      <c r="H812">
        <v>121</v>
      </c>
      <c r="I812">
        <v>170</v>
      </c>
      <c r="J812">
        <v>139</v>
      </c>
      <c r="K812">
        <v>239</v>
      </c>
      <c r="L812">
        <v>53</v>
      </c>
      <c r="M812">
        <v>0</v>
      </c>
      <c r="N812">
        <v>168</v>
      </c>
      <c r="O812">
        <v>0</v>
      </c>
      <c r="P812">
        <v>0</v>
      </c>
      <c r="Q812">
        <v>71</v>
      </c>
      <c r="R812">
        <v>0</v>
      </c>
      <c r="S812">
        <v>102</v>
      </c>
      <c r="T812">
        <v>260</v>
      </c>
      <c r="U812">
        <v>0</v>
      </c>
      <c r="V812">
        <v>125</v>
      </c>
      <c r="W812">
        <v>427</v>
      </c>
      <c r="X812">
        <v>105</v>
      </c>
      <c r="Y812">
        <v>249</v>
      </c>
      <c r="Z812">
        <v>55</v>
      </c>
      <c r="AA812">
        <v>246</v>
      </c>
      <c r="AB812">
        <v>0</v>
      </c>
      <c r="AC812">
        <v>104</v>
      </c>
      <c r="AD812">
        <v>0</v>
      </c>
      <c r="AE812">
        <v>1673</v>
      </c>
      <c r="AF812">
        <v>1472</v>
      </c>
      <c r="AJ812">
        <v>6.77</v>
      </c>
      <c r="AK812" t="str">
        <f t="shared" si="12"/>
        <v>SR520-5000</v>
      </c>
    </row>
    <row r="813" spans="1:37">
      <c r="A813" t="s">
        <v>1479</v>
      </c>
      <c r="B813" t="s">
        <v>1478</v>
      </c>
      <c r="C813" t="s">
        <v>68</v>
      </c>
      <c r="D813" t="s">
        <v>292</v>
      </c>
      <c r="E813">
        <v>75</v>
      </c>
      <c r="F813">
        <v>1.9</v>
      </c>
      <c r="G813">
        <v>72</v>
      </c>
      <c r="H813">
        <v>188</v>
      </c>
      <c r="I813">
        <v>129</v>
      </c>
      <c r="J813">
        <v>70</v>
      </c>
      <c r="K813">
        <v>1469</v>
      </c>
      <c r="L813">
        <v>67</v>
      </c>
      <c r="M813">
        <v>0</v>
      </c>
      <c r="N813">
        <v>60</v>
      </c>
      <c r="O813">
        <v>0</v>
      </c>
      <c r="P813">
        <v>0</v>
      </c>
      <c r="Q813">
        <v>1409</v>
      </c>
      <c r="R813">
        <v>0</v>
      </c>
      <c r="S813">
        <v>0</v>
      </c>
      <c r="T813">
        <v>80</v>
      </c>
      <c r="U813">
        <v>485</v>
      </c>
      <c r="V813">
        <v>0</v>
      </c>
      <c r="W813">
        <v>211</v>
      </c>
      <c r="X813">
        <v>0</v>
      </c>
      <c r="Y813">
        <v>0</v>
      </c>
      <c r="Z813">
        <v>0</v>
      </c>
      <c r="AA813">
        <v>40</v>
      </c>
      <c r="AB813">
        <v>0</v>
      </c>
      <c r="AC813">
        <v>0</v>
      </c>
      <c r="AD813">
        <v>18</v>
      </c>
      <c r="AE813">
        <v>834</v>
      </c>
      <c r="AF813">
        <v>1818</v>
      </c>
      <c r="AJ813">
        <v>6.77</v>
      </c>
      <c r="AK813" t="str">
        <f t="shared" si="12"/>
        <v>SR520-6200</v>
      </c>
    </row>
    <row r="814" spans="1:37">
      <c r="A814" t="s">
        <v>1483</v>
      </c>
      <c r="B814" t="s">
        <v>1481</v>
      </c>
      <c r="C814" t="s">
        <v>68</v>
      </c>
      <c r="D814" t="s">
        <v>1484</v>
      </c>
      <c r="E814">
        <v>80</v>
      </c>
      <c r="F814">
        <v>0</v>
      </c>
      <c r="G814">
        <v>0</v>
      </c>
      <c r="H814">
        <v>0</v>
      </c>
      <c r="I814">
        <v>37</v>
      </c>
      <c r="J814">
        <v>19</v>
      </c>
      <c r="K814">
        <v>64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64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222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222</v>
      </c>
      <c r="AF814">
        <v>0</v>
      </c>
      <c r="AJ814">
        <v>6.05</v>
      </c>
      <c r="AK814" t="str">
        <f t="shared" si="12"/>
        <v>SR521-6200</v>
      </c>
    </row>
    <row r="815" spans="1:37">
      <c r="A815" t="s">
        <v>1485</v>
      </c>
      <c r="B815" t="s">
        <v>1486</v>
      </c>
      <c r="C815" t="s">
        <v>267</v>
      </c>
      <c r="D815" t="s">
        <v>284</v>
      </c>
      <c r="E815">
        <v>62</v>
      </c>
      <c r="F815">
        <v>1.5</v>
      </c>
      <c r="G815">
        <v>44</v>
      </c>
      <c r="H815">
        <v>31</v>
      </c>
      <c r="I815">
        <v>16</v>
      </c>
      <c r="J815">
        <v>17</v>
      </c>
      <c r="K815">
        <v>230</v>
      </c>
      <c r="L815">
        <v>43</v>
      </c>
      <c r="M815">
        <v>0</v>
      </c>
      <c r="N815">
        <v>37</v>
      </c>
      <c r="O815">
        <v>0</v>
      </c>
      <c r="P815">
        <v>0</v>
      </c>
      <c r="Q815">
        <v>193</v>
      </c>
      <c r="R815">
        <v>0</v>
      </c>
      <c r="S815">
        <v>94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93</v>
      </c>
      <c r="Z815">
        <v>20</v>
      </c>
      <c r="AA815">
        <v>0</v>
      </c>
      <c r="AB815">
        <v>0</v>
      </c>
      <c r="AC815">
        <v>0</v>
      </c>
      <c r="AD815">
        <v>0</v>
      </c>
      <c r="AE815">
        <v>207</v>
      </c>
      <c r="AF815">
        <v>358</v>
      </c>
      <c r="AJ815">
        <v>4.4000000000000004</v>
      </c>
      <c r="AK815" t="str">
        <f t="shared" si="12"/>
        <v>SR525-5000</v>
      </c>
    </row>
    <row r="816" spans="1:37">
      <c r="A816" t="s">
        <v>1487</v>
      </c>
      <c r="B816" t="s">
        <v>1486</v>
      </c>
      <c r="C816" t="s">
        <v>267</v>
      </c>
      <c r="D816" t="s">
        <v>284</v>
      </c>
      <c r="E816">
        <v>62</v>
      </c>
      <c r="F816">
        <v>11.3</v>
      </c>
      <c r="G816">
        <v>0</v>
      </c>
      <c r="H816">
        <v>23</v>
      </c>
      <c r="I816">
        <v>12</v>
      </c>
      <c r="J816">
        <v>10</v>
      </c>
      <c r="K816">
        <v>1040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1040</v>
      </c>
      <c r="R816">
        <v>0</v>
      </c>
      <c r="S816">
        <v>39</v>
      </c>
      <c r="T816">
        <v>0</v>
      </c>
      <c r="U816">
        <v>30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55</v>
      </c>
      <c r="AD816">
        <v>0</v>
      </c>
      <c r="AE816">
        <v>124</v>
      </c>
      <c r="AF816">
        <v>0</v>
      </c>
      <c r="AJ816">
        <v>2.7</v>
      </c>
      <c r="AK816" t="str">
        <f t="shared" si="12"/>
        <v>SR525-6200</v>
      </c>
    </row>
    <row r="817" spans="1:37">
      <c r="A817" t="s">
        <v>1488</v>
      </c>
      <c r="B817" t="s">
        <v>1489</v>
      </c>
      <c r="C817" t="s">
        <v>267</v>
      </c>
      <c r="D817" t="s">
        <v>284</v>
      </c>
      <c r="E817">
        <v>62</v>
      </c>
      <c r="F817">
        <v>0</v>
      </c>
      <c r="G817">
        <v>22</v>
      </c>
      <c r="H817">
        <v>0</v>
      </c>
      <c r="I817">
        <v>0</v>
      </c>
      <c r="J817">
        <v>22</v>
      </c>
      <c r="K817">
        <v>889</v>
      </c>
      <c r="L817">
        <v>121</v>
      </c>
      <c r="M817">
        <v>0</v>
      </c>
      <c r="N817">
        <v>18</v>
      </c>
      <c r="O817">
        <v>0</v>
      </c>
      <c r="P817">
        <v>0</v>
      </c>
      <c r="Q817">
        <v>871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149</v>
      </c>
      <c r="Z817">
        <v>21</v>
      </c>
      <c r="AA817">
        <v>56</v>
      </c>
      <c r="AB817">
        <v>0</v>
      </c>
      <c r="AC817">
        <v>20</v>
      </c>
      <c r="AD817">
        <v>15</v>
      </c>
      <c r="AE817">
        <v>261</v>
      </c>
      <c r="AF817">
        <v>510</v>
      </c>
      <c r="AJ817">
        <v>6.48</v>
      </c>
      <c r="AK817" t="str">
        <f t="shared" si="12"/>
        <v>SR537-5000</v>
      </c>
    </row>
    <row r="818" spans="1:37">
      <c r="A818" t="s">
        <v>1490</v>
      </c>
      <c r="B818" t="s">
        <v>1489</v>
      </c>
      <c r="C818" t="s">
        <v>267</v>
      </c>
      <c r="D818" t="s">
        <v>284</v>
      </c>
      <c r="E818">
        <v>62</v>
      </c>
      <c r="F818">
        <v>123.8</v>
      </c>
      <c r="G818">
        <v>0</v>
      </c>
      <c r="H818">
        <v>5</v>
      </c>
      <c r="I818">
        <v>3</v>
      </c>
      <c r="J818">
        <v>10</v>
      </c>
      <c r="K818">
        <v>2475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2475</v>
      </c>
      <c r="R818">
        <v>0</v>
      </c>
      <c r="S818">
        <v>0</v>
      </c>
      <c r="T818">
        <v>15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33</v>
      </c>
      <c r="AC818">
        <v>0</v>
      </c>
      <c r="AD818">
        <v>73</v>
      </c>
      <c r="AE818">
        <v>121</v>
      </c>
      <c r="AF818">
        <v>83</v>
      </c>
      <c r="AJ818">
        <v>6.48</v>
      </c>
      <c r="AK818" t="str">
        <f t="shared" si="12"/>
        <v>SR537-6200</v>
      </c>
    </row>
    <row r="819" spans="1:37">
      <c r="A819" t="s">
        <v>1491</v>
      </c>
      <c r="B819" t="s">
        <v>1492</v>
      </c>
      <c r="C819" t="s">
        <v>68</v>
      </c>
      <c r="D819" t="s">
        <v>292</v>
      </c>
      <c r="E819">
        <v>65</v>
      </c>
      <c r="F819">
        <v>0</v>
      </c>
      <c r="G819">
        <v>32</v>
      </c>
      <c r="H819">
        <v>178</v>
      </c>
      <c r="I819">
        <v>137</v>
      </c>
      <c r="J819">
        <v>134</v>
      </c>
      <c r="K819">
        <v>0</v>
      </c>
      <c r="L819">
        <v>37</v>
      </c>
      <c r="M819">
        <v>0</v>
      </c>
      <c r="N819">
        <v>27</v>
      </c>
      <c r="O819">
        <v>0</v>
      </c>
      <c r="P819">
        <v>0</v>
      </c>
      <c r="Q819">
        <v>-27</v>
      </c>
      <c r="R819">
        <v>0</v>
      </c>
      <c r="S819">
        <v>86</v>
      </c>
      <c r="T819">
        <v>391</v>
      </c>
      <c r="U819">
        <v>56</v>
      </c>
      <c r="V819">
        <v>179</v>
      </c>
      <c r="W819">
        <v>107</v>
      </c>
      <c r="X819">
        <v>0</v>
      </c>
      <c r="Y819">
        <v>235</v>
      </c>
      <c r="Z819">
        <v>0</v>
      </c>
      <c r="AA819">
        <v>0</v>
      </c>
      <c r="AB819">
        <v>104</v>
      </c>
      <c r="AC819">
        <v>91</v>
      </c>
      <c r="AD819">
        <v>363</v>
      </c>
      <c r="AE819">
        <v>1612</v>
      </c>
      <c r="AF819">
        <v>1008</v>
      </c>
      <c r="AJ819">
        <v>4.6100000000000003</v>
      </c>
      <c r="AK819" t="str">
        <f t="shared" si="12"/>
        <v>ST604-5000</v>
      </c>
    </row>
    <row r="820" spans="1:37">
      <c r="A820" t="s">
        <v>1493</v>
      </c>
      <c r="B820" t="s">
        <v>1492</v>
      </c>
      <c r="C820" t="s">
        <v>68</v>
      </c>
      <c r="D820" t="s">
        <v>292</v>
      </c>
      <c r="E820">
        <v>65</v>
      </c>
      <c r="F820">
        <v>4.5</v>
      </c>
      <c r="G820">
        <v>31</v>
      </c>
      <c r="H820">
        <v>44</v>
      </c>
      <c r="I820">
        <v>65</v>
      </c>
      <c r="J820">
        <v>37</v>
      </c>
      <c r="K820">
        <v>816</v>
      </c>
      <c r="L820">
        <v>118</v>
      </c>
      <c r="M820">
        <v>0</v>
      </c>
      <c r="N820">
        <v>26</v>
      </c>
      <c r="O820">
        <v>0</v>
      </c>
      <c r="P820">
        <v>0</v>
      </c>
      <c r="Q820">
        <v>790</v>
      </c>
      <c r="R820">
        <v>0</v>
      </c>
      <c r="S820">
        <v>0</v>
      </c>
      <c r="T820">
        <v>90</v>
      </c>
      <c r="U820">
        <v>43</v>
      </c>
      <c r="V820">
        <v>96</v>
      </c>
      <c r="W820">
        <v>161</v>
      </c>
      <c r="X820">
        <v>0</v>
      </c>
      <c r="Y820">
        <v>11</v>
      </c>
      <c r="Z820">
        <v>44</v>
      </c>
      <c r="AA820">
        <v>0</v>
      </c>
      <c r="AB820">
        <v>0</v>
      </c>
      <c r="AC820">
        <v>0</v>
      </c>
      <c r="AD820">
        <v>0</v>
      </c>
      <c r="AE820">
        <v>445</v>
      </c>
      <c r="AF820">
        <v>694</v>
      </c>
      <c r="AJ820">
        <v>5.28</v>
      </c>
      <c r="AK820" t="str">
        <f t="shared" si="12"/>
        <v>ST604-6200</v>
      </c>
    </row>
    <row r="821" spans="1:37">
      <c r="A821" t="s">
        <v>1494</v>
      </c>
      <c r="B821" t="s">
        <v>1495</v>
      </c>
      <c r="C821" t="s">
        <v>267</v>
      </c>
      <c r="D821" t="s">
        <v>1422</v>
      </c>
      <c r="E821">
        <v>60</v>
      </c>
      <c r="F821">
        <v>0</v>
      </c>
      <c r="G821">
        <v>52</v>
      </c>
      <c r="H821">
        <v>0</v>
      </c>
      <c r="I821">
        <v>113</v>
      </c>
      <c r="J821">
        <v>131</v>
      </c>
      <c r="K821">
        <v>1125</v>
      </c>
      <c r="L821">
        <v>52</v>
      </c>
      <c r="M821">
        <v>0</v>
      </c>
      <c r="N821">
        <v>43</v>
      </c>
      <c r="O821">
        <v>0</v>
      </c>
      <c r="P821">
        <v>0</v>
      </c>
      <c r="Q821">
        <v>1082</v>
      </c>
      <c r="R821">
        <v>0</v>
      </c>
      <c r="S821">
        <v>0</v>
      </c>
      <c r="T821">
        <v>0</v>
      </c>
      <c r="U821">
        <v>0</v>
      </c>
      <c r="V821">
        <v>97</v>
      </c>
      <c r="W821">
        <v>77</v>
      </c>
      <c r="X821">
        <v>503</v>
      </c>
      <c r="Y821">
        <v>248</v>
      </c>
      <c r="Z821">
        <v>201</v>
      </c>
      <c r="AA821">
        <v>0</v>
      </c>
      <c r="AB821">
        <v>221</v>
      </c>
      <c r="AC821">
        <v>0</v>
      </c>
      <c r="AD821">
        <v>222</v>
      </c>
      <c r="AE821">
        <v>1569</v>
      </c>
      <c r="AF821">
        <v>2292</v>
      </c>
      <c r="AJ821">
        <v>6.01</v>
      </c>
      <c r="AK821" t="str">
        <f t="shared" si="12"/>
        <v>ST606-5000</v>
      </c>
    </row>
    <row r="822" spans="1:37">
      <c r="A822" t="s">
        <v>1496</v>
      </c>
      <c r="B822" t="s">
        <v>1495</v>
      </c>
      <c r="C822" t="s">
        <v>267</v>
      </c>
      <c r="D822" t="s">
        <v>292</v>
      </c>
      <c r="E822">
        <v>60</v>
      </c>
      <c r="F822">
        <v>1.1000000000000001</v>
      </c>
      <c r="G822">
        <v>0</v>
      </c>
      <c r="H822">
        <v>161</v>
      </c>
      <c r="I822">
        <v>167</v>
      </c>
      <c r="J822">
        <v>151</v>
      </c>
      <c r="K822">
        <v>684</v>
      </c>
      <c r="L822">
        <v>15</v>
      </c>
      <c r="M822">
        <v>0</v>
      </c>
      <c r="N822">
        <v>0</v>
      </c>
      <c r="O822">
        <v>0</v>
      </c>
      <c r="P822">
        <v>0</v>
      </c>
      <c r="Q822">
        <v>684</v>
      </c>
      <c r="R822">
        <v>0</v>
      </c>
      <c r="S822">
        <v>35</v>
      </c>
      <c r="T822">
        <v>448</v>
      </c>
      <c r="U822">
        <v>0</v>
      </c>
      <c r="V822">
        <v>0</v>
      </c>
      <c r="W822">
        <v>516</v>
      </c>
      <c r="X822">
        <v>0</v>
      </c>
      <c r="Y822">
        <v>120</v>
      </c>
      <c r="Z822">
        <v>62</v>
      </c>
      <c r="AA822">
        <v>178</v>
      </c>
      <c r="AB822">
        <v>199</v>
      </c>
      <c r="AC822">
        <v>0</v>
      </c>
      <c r="AD822">
        <v>251</v>
      </c>
      <c r="AE822">
        <v>1809</v>
      </c>
      <c r="AF822">
        <v>967</v>
      </c>
      <c r="AJ822">
        <v>6.01</v>
      </c>
      <c r="AK822" t="str">
        <f t="shared" si="12"/>
        <v>ST606-6200</v>
      </c>
    </row>
    <row r="823" spans="1:37">
      <c r="A823" t="s">
        <v>5494</v>
      </c>
      <c r="B823" t="s">
        <v>1498</v>
      </c>
      <c r="C823" t="s">
        <v>68</v>
      </c>
      <c r="D823" t="s">
        <v>1499</v>
      </c>
      <c r="E823">
        <v>65</v>
      </c>
      <c r="F823">
        <v>0</v>
      </c>
      <c r="G823">
        <v>0</v>
      </c>
      <c r="H823">
        <v>19</v>
      </c>
      <c r="I823">
        <v>10</v>
      </c>
      <c r="J823">
        <v>5</v>
      </c>
      <c r="K823">
        <v>0</v>
      </c>
      <c r="L823">
        <v>11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57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57</v>
      </c>
      <c r="AF823">
        <v>48</v>
      </c>
      <c r="AJ823">
        <v>0</v>
      </c>
      <c r="AK823" t="str">
        <f t="shared" si="12"/>
        <v>ST610-3700</v>
      </c>
    </row>
    <row r="824" spans="1:37">
      <c r="A824" t="s">
        <v>1497</v>
      </c>
      <c r="B824" t="s">
        <v>1498</v>
      </c>
      <c r="C824" t="s">
        <v>68</v>
      </c>
      <c r="D824" t="s">
        <v>1499</v>
      </c>
      <c r="E824">
        <v>65</v>
      </c>
      <c r="F824">
        <v>16.7</v>
      </c>
      <c r="G824">
        <v>0</v>
      </c>
      <c r="H824">
        <v>24</v>
      </c>
      <c r="I824">
        <v>107</v>
      </c>
      <c r="J824">
        <v>90</v>
      </c>
      <c r="K824">
        <v>1606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1606</v>
      </c>
      <c r="R824">
        <v>0</v>
      </c>
      <c r="S824">
        <v>0</v>
      </c>
      <c r="T824">
        <v>0</v>
      </c>
      <c r="U824">
        <v>72</v>
      </c>
      <c r="V824">
        <v>180</v>
      </c>
      <c r="W824">
        <v>250</v>
      </c>
      <c r="X824">
        <v>141</v>
      </c>
      <c r="Y824">
        <v>66</v>
      </c>
      <c r="Z824">
        <v>38</v>
      </c>
      <c r="AA824">
        <v>0</v>
      </c>
      <c r="AB824">
        <v>0</v>
      </c>
      <c r="AC824">
        <v>173</v>
      </c>
      <c r="AD824">
        <v>162</v>
      </c>
      <c r="AE824">
        <v>1082</v>
      </c>
      <c r="AF824">
        <v>6561</v>
      </c>
      <c r="AJ824">
        <v>4.95</v>
      </c>
      <c r="AK824" t="str">
        <f t="shared" si="12"/>
        <v>ST610-5000</v>
      </c>
    </row>
    <row r="825" spans="1:37">
      <c r="A825" t="s">
        <v>1500</v>
      </c>
      <c r="B825" t="s">
        <v>1498</v>
      </c>
      <c r="C825" t="s">
        <v>68</v>
      </c>
      <c r="D825" t="s">
        <v>1499</v>
      </c>
      <c r="E825">
        <v>65</v>
      </c>
      <c r="F825">
        <v>0.2</v>
      </c>
      <c r="G825">
        <v>70</v>
      </c>
      <c r="H825">
        <v>68</v>
      </c>
      <c r="I825">
        <v>46</v>
      </c>
      <c r="J825">
        <v>61</v>
      </c>
      <c r="K825">
        <v>100</v>
      </c>
      <c r="L825">
        <v>47</v>
      </c>
      <c r="M825">
        <v>0</v>
      </c>
      <c r="N825">
        <v>58</v>
      </c>
      <c r="O825">
        <v>0</v>
      </c>
      <c r="P825">
        <v>0</v>
      </c>
      <c r="Q825">
        <v>42</v>
      </c>
      <c r="R825">
        <v>0</v>
      </c>
      <c r="S825">
        <v>183</v>
      </c>
      <c r="T825">
        <v>22</v>
      </c>
      <c r="U825">
        <v>0</v>
      </c>
      <c r="V825">
        <v>0</v>
      </c>
      <c r="W825">
        <v>0</v>
      </c>
      <c r="X825">
        <v>73</v>
      </c>
      <c r="Y825">
        <v>0</v>
      </c>
      <c r="Z825">
        <v>54</v>
      </c>
      <c r="AA825">
        <v>0</v>
      </c>
      <c r="AB825">
        <v>0</v>
      </c>
      <c r="AC825">
        <v>399</v>
      </c>
      <c r="AD825">
        <v>0</v>
      </c>
      <c r="AE825">
        <v>731</v>
      </c>
      <c r="AF825">
        <v>641</v>
      </c>
      <c r="AJ825">
        <v>4.95</v>
      </c>
      <c r="AK825" t="str">
        <f t="shared" si="12"/>
        <v>ST610-6200</v>
      </c>
    </row>
    <row r="826" spans="1:37">
      <c r="A826" t="s">
        <v>1501</v>
      </c>
      <c r="B826" t="s">
        <v>1502</v>
      </c>
      <c r="C826" t="s">
        <v>68</v>
      </c>
      <c r="D826" t="s">
        <v>1503</v>
      </c>
      <c r="E826">
        <v>65</v>
      </c>
      <c r="F826">
        <v>28</v>
      </c>
      <c r="G826">
        <v>85</v>
      </c>
      <c r="H826">
        <v>6</v>
      </c>
      <c r="I826">
        <v>3</v>
      </c>
      <c r="J826">
        <v>55</v>
      </c>
      <c r="K826">
        <v>742</v>
      </c>
      <c r="L826">
        <v>257</v>
      </c>
      <c r="M826">
        <v>0</v>
      </c>
      <c r="N826">
        <v>70</v>
      </c>
      <c r="O826">
        <v>0</v>
      </c>
      <c r="P826">
        <v>0</v>
      </c>
      <c r="Q826">
        <v>672</v>
      </c>
      <c r="R826">
        <v>0</v>
      </c>
      <c r="S826">
        <v>18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89</v>
      </c>
      <c r="Z826">
        <v>466</v>
      </c>
      <c r="AA826">
        <v>0</v>
      </c>
      <c r="AB826">
        <v>0</v>
      </c>
      <c r="AC826">
        <v>81</v>
      </c>
      <c r="AD826">
        <v>0</v>
      </c>
      <c r="AE826">
        <v>654</v>
      </c>
      <c r="AF826">
        <v>1086</v>
      </c>
      <c r="AJ826">
        <v>4.68</v>
      </c>
      <c r="AK826" t="str">
        <f t="shared" si="12"/>
        <v>ST622-5000</v>
      </c>
    </row>
    <row r="827" spans="1:37">
      <c r="A827" t="s">
        <v>1504</v>
      </c>
      <c r="B827" t="s">
        <v>1502</v>
      </c>
      <c r="C827" t="s">
        <v>68</v>
      </c>
      <c r="D827" t="s">
        <v>1503</v>
      </c>
      <c r="E827">
        <v>65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1137</v>
      </c>
      <c r="L827">
        <v>33</v>
      </c>
      <c r="M827">
        <v>0</v>
      </c>
      <c r="N827">
        <v>0</v>
      </c>
      <c r="O827">
        <v>0</v>
      </c>
      <c r="P827">
        <v>0</v>
      </c>
      <c r="Q827">
        <v>1137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246</v>
      </c>
      <c r="AJ827">
        <v>4.68</v>
      </c>
      <c r="AK827" t="str">
        <f t="shared" si="12"/>
        <v>ST622-6200</v>
      </c>
    </row>
    <row r="828" spans="1:37">
      <c r="A828" t="s">
        <v>1507</v>
      </c>
      <c r="B828" t="s">
        <v>1508</v>
      </c>
      <c r="C828" t="s">
        <v>68</v>
      </c>
      <c r="D828" t="s">
        <v>292</v>
      </c>
      <c r="E828">
        <v>65</v>
      </c>
      <c r="F828">
        <v>4</v>
      </c>
      <c r="G828">
        <v>53</v>
      </c>
      <c r="H828">
        <v>38</v>
      </c>
      <c r="I828">
        <v>24</v>
      </c>
      <c r="J828">
        <v>16</v>
      </c>
      <c r="K828">
        <v>661</v>
      </c>
      <c r="L828">
        <v>60</v>
      </c>
      <c r="M828">
        <v>0</v>
      </c>
      <c r="N828">
        <v>44</v>
      </c>
      <c r="O828">
        <v>0</v>
      </c>
      <c r="P828">
        <v>0</v>
      </c>
      <c r="Q828">
        <v>617</v>
      </c>
      <c r="R828">
        <v>0</v>
      </c>
      <c r="S828">
        <v>58</v>
      </c>
      <c r="T828">
        <v>0</v>
      </c>
      <c r="U828">
        <v>57</v>
      </c>
      <c r="V828">
        <v>0</v>
      </c>
      <c r="W828">
        <v>0</v>
      </c>
      <c r="X828">
        <v>29</v>
      </c>
      <c r="Y828">
        <v>19</v>
      </c>
      <c r="Z828">
        <v>26</v>
      </c>
      <c r="AA828">
        <v>0</v>
      </c>
      <c r="AB828">
        <v>0</v>
      </c>
      <c r="AC828">
        <v>0</v>
      </c>
      <c r="AD828">
        <v>0</v>
      </c>
      <c r="AE828">
        <v>189</v>
      </c>
      <c r="AF828">
        <v>710</v>
      </c>
      <c r="AJ828">
        <v>3.94</v>
      </c>
      <c r="AK828" t="str">
        <f t="shared" si="12"/>
        <v>ST655-5000</v>
      </c>
    </row>
    <row r="829" spans="1:37">
      <c r="A829" t="s">
        <v>1509</v>
      </c>
      <c r="B829" t="s">
        <v>1508</v>
      </c>
      <c r="C829" t="s">
        <v>68</v>
      </c>
      <c r="D829" t="s">
        <v>292</v>
      </c>
      <c r="E829">
        <v>65</v>
      </c>
      <c r="F829">
        <v>1</v>
      </c>
      <c r="G829">
        <v>0</v>
      </c>
      <c r="H829">
        <v>153</v>
      </c>
      <c r="I829">
        <v>76</v>
      </c>
      <c r="J829">
        <v>96</v>
      </c>
      <c r="K829">
        <v>599</v>
      </c>
      <c r="L829">
        <v>33</v>
      </c>
      <c r="M829">
        <v>0</v>
      </c>
      <c r="N829">
        <v>0</v>
      </c>
      <c r="O829">
        <v>0</v>
      </c>
      <c r="P829">
        <v>0</v>
      </c>
      <c r="Q829">
        <v>599</v>
      </c>
      <c r="R829">
        <v>0</v>
      </c>
      <c r="S829">
        <v>0</v>
      </c>
      <c r="T829">
        <v>219</v>
      </c>
      <c r="U829">
        <v>239</v>
      </c>
      <c r="V829">
        <v>0</v>
      </c>
      <c r="W829">
        <v>0</v>
      </c>
      <c r="X829">
        <v>0</v>
      </c>
      <c r="Y829">
        <v>0</v>
      </c>
      <c r="Z829">
        <v>223</v>
      </c>
      <c r="AA829">
        <v>0</v>
      </c>
      <c r="AB829">
        <v>222</v>
      </c>
      <c r="AC829">
        <v>151</v>
      </c>
      <c r="AD829">
        <v>99</v>
      </c>
      <c r="AE829">
        <v>1153</v>
      </c>
      <c r="AF829">
        <v>969</v>
      </c>
      <c r="AJ829">
        <v>3.94</v>
      </c>
      <c r="AK829" t="str">
        <f t="shared" si="12"/>
        <v>ST655-6200</v>
      </c>
    </row>
    <row r="830" spans="1:37">
      <c r="A830" t="s">
        <v>1510</v>
      </c>
      <c r="B830" t="s">
        <v>1511</v>
      </c>
      <c r="C830" t="s">
        <v>1326</v>
      </c>
      <c r="E830">
        <v>192</v>
      </c>
      <c r="F830">
        <v>0</v>
      </c>
      <c r="G830">
        <v>0</v>
      </c>
      <c r="H830">
        <v>0</v>
      </c>
      <c r="I830">
        <v>63</v>
      </c>
      <c r="J830">
        <v>47</v>
      </c>
      <c r="K830">
        <v>1091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1091</v>
      </c>
      <c r="R830">
        <v>0</v>
      </c>
      <c r="S830">
        <v>0</v>
      </c>
      <c r="T830">
        <v>0</v>
      </c>
      <c r="U830">
        <v>0</v>
      </c>
      <c r="V830">
        <v>53</v>
      </c>
      <c r="W830">
        <v>0</v>
      </c>
      <c r="X830">
        <v>322</v>
      </c>
      <c r="Y830">
        <v>52</v>
      </c>
      <c r="Z830">
        <v>0</v>
      </c>
      <c r="AA830">
        <v>58</v>
      </c>
      <c r="AB830">
        <v>0</v>
      </c>
      <c r="AC830">
        <v>0</v>
      </c>
      <c r="AD830">
        <v>73</v>
      </c>
      <c r="AE830">
        <v>558</v>
      </c>
      <c r="AF830">
        <v>623</v>
      </c>
      <c r="AJ830">
        <v>8.5</v>
      </c>
      <c r="AK830" t="str">
        <f t="shared" si="12"/>
        <v>ST658-5000</v>
      </c>
    </row>
    <row r="831" spans="1:37">
      <c r="A831" t="s">
        <v>1512</v>
      </c>
      <c r="B831" t="s">
        <v>1513</v>
      </c>
      <c r="C831" t="s">
        <v>1514</v>
      </c>
      <c r="E831">
        <v>43</v>
      </c>
      <c r="F831">
        <v>0</v>
      </c>
      <c r="G831">
        <v>0</v>
      </c>
      <c r="H831">
        <v>0</v>
      </c>
      <c r="I831">
        <v>0</v>
      </c>
      <c r="J831">
        <v>8</v>
      </c>
      <c r="K831">
        <v>467</v>
      </c>
      <c r="L831">
        <v>2</v>
      </c>
      <c r="M831">
        <v>0</v>
      </c>
      <c r="N831">
        <v>0</v>
      </c>
      <c r="O831">
        <v>0</v>
      </c>
      <c r="P831">
        <v>0</v>
      </c>
      <c r="Q831">
        <v>467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91</v>
      </c>
      <c r="AC831">
        <v>0</v>
      </c>
      <c r="AD831">
        <v>0</v>
      </c>
      <c r="AE831">
        <v>91</v>
      </c>
      <c r="AF831">
        <v>0</v>
      </c>
      <c r="AJ831">
        <v>5</v>
      </c>
      <c r="AK831" t="str">
        <f t="shared" si="12"/>
        <v>ST665-6200</v>
      </c>
    </row>
    <row r="832" spans="1:37">
      <c r="A832" t="s">
        <v>1515</v>
      </c>
      <c r="B832" t="s">
        <v>1516</v>
      </c>
      <c r="C832" t="s">
        <v>68</v>
      </c>
      <c r="D832" t="s">
        <v>1397</v>
      </c>
      <c r="E832">
        <v>50</v>
      </c>
      <c r="F832">
        <v>0</v>
      </c>
      <c r="G832">
        <v>0</v>
      </c>
      <c r="H832">
        <v>0</v>
      </c>
      <c r="I832">
        <v>0</v>
      </c>
      <c r="J832">
        <v>2</v>
      </c>
      <c r="K832">
        <v>4922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4922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21</v>
      </c>
      <c r="AD832">
        <v>0</v>
      </c>
      <c r="AE832">
        <v>21</v>
      </c>
      <c r="AF832">
        <v>482</v>
      </c>
      <c r="AJ832">
        <v>2.08</v>
      </c>
      <c r="AK832" t="str">
        <f t="shared" si="12"/>
        <v>ST678-5000</v>
      </c>
    </row>
    <row r="833" spans="1:37">
      <c r="A833" t="s">
        <v>1517</v>
      </c>
      <c r="B833" t="s">
        <v>1516</v>
      </c>
      <c r="C833" t="s">
        <v>68</v>
      </c>
      <c r="D833" t="s">
        <v>1397</v>
      </c>
      <c r="E833">
        <v>50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2263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2263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J833">
        <v>2.08</v>
      </c>
      <c r="AK833" t="str">
        <f t="shared" si="12"/>
        <v>ST678-6200</v>
      </c>
    </row>
    <row r="834" spans="1:37">
      <c r="A834" t="s">
        <v>1518</v>
      </c>
      <c r="B834" t="s">
        <v>1519</v>
      </c>
      <c r="C834" t="s">
        <v>68</v>
      </c>
      <c r="D834" t="s">
        <v>1520</v>
      </c>
      <c r="E834">
        <v>65</v>
      </c>
      <c r="F834">
        <v>4.0999999999999996</v>
      </c>
      <c r="G834">
        <v>0</v>
      </c>
      <c r="H834">
        <v>124</v>
      </c>
      <c r="I834">
        <v>88</v>
      </c>
      <c r="J834">
        <v>166</v>
      </c>
      <c r="K834">
        <v>2030</v>
      </c>
      <c r="L834">
        <v>209</v>
      </c>
      <c r="M834">
        <v>0</v>
      </c>
      <c r="N834">
        <v>0</v>
      </c>
      <c r="O834">
        <v>0</v>
      </c>
      <c r="P834">
        <v>0</v>
      </c>
      <c r="Q834">
        <v>2030</v>
      </c>
      <c r="R834">
        <v>0</v>
      </c>
      <c r="S834">
        <v>121</v>
      </c>
      <c r="T834">
        <v>150</v>
      </c>
      <c r="U834">
        <v>102</v>
      </c>
      <c r="V834">
        <v>0</v>
      </c>
      <c r="W834">
        <v>153</v>
      </c>
      <c r="X834">
        <v>0</v>
      </c>
      <c r="Y834">
        <v>294</v>
      </c>
      <c r="Z834">
        <v>108</v>
      </c>
      <c r="AA834">
        <v>105</v>
      </c>
      <c r="AB834">
        <v>145</v>
      </c>
      <c r="AC834">
        <v>457</v>
      </c>
      <c r="AD834">
        <v>354</v>
      </c>
      <c r="AE834">
        <v>1989</v>
      </c>
      <c r="AF834">
        <v>2550</v>
      </c>
      <c r="AJ834">
        <v>5.49</v>
      </c>
      <c r="AK834" t="str">
        <f t="shared" si="12"/>
        <v>SV709-5000</v>
      </c>
    </row>
    <row r="835" spans="1:37">
      <c r="A835" t="s">
        <v>1521</v>
      </c>
      <c r="B835" t="s">
        <v>1519</v>
      </c>
      <c r="C835" t="s">
        <v>68</v>
      </c>
      <c r="D835" t="s">
        <v>1520</v>
      </c>
      <c r="E835">
        <v>65</v>
      </c>
      <c r="F835">
        <v>38.200000000000003</v>
      </c>
      <c r="G835">
        <v>15</v>
      </c>
      <c r="H835">
        <v>12</v>
      </c>
      <c r="I835">
        <v>55</v>
      </c>
      <c r="J835">
        <v>38</v>
      </c>
      <c r="K835">
        <v>1846</v>
      </c>
      <c r="L835">
        <v>0</v>
      </c>
      <c r="M835">
        <v>0</v>
      </c>
      <c r="N835">
        <v>12</v>
      </c>
      <c r="O835">
        <v>0</v>
      </c>
      <c r="P835">
        <v>0</v>
      </c>
      <c r="Q835">
        <v>1834</v>
      </c>
      <c r="R835">
        <v>0</v>
      </c>
      <c r="S835">
        <v>36</v>
      </c>
      <c r="T835">
        <v>0</v>
      </c>
      <c r="U835">
        <v>0</v>
      </c>
      <c r="V835">
        <v>45</v>
      </c>
      <c r="W835">
        <v>247</v>
      </c>
      <c r="X835">
        <v>0</v>
      </c>
      <c r="Y835">
        <v>78</v>
      </c>
      <c r="Z835">
        <v>0</v>
      </c>
      <c r="AA835">
        <v>49</v>
      </c>
      <c r="AB835">
        <v>0</v>
      </c>
      <c r="AC835">
        <v>0</v>
      </c>
      <c r="AD835">
        <v>0</v>
      </c>
      <c r="AE835">
        <v>455</v>
      </c>
      <c r="AF835">
        <v>1127</v>
      </c>
      <c r="AJ835">
        <v>5.49</v>
      </c>
      <c r="AK835" t="str">
        <f t="shared" si="12"/>
        <v>SV709-6200</v>
      </c>
    </row>
    <row r="836" spans="1:37">
      <c r="A836" t="s">
        <v>1522</v>
      </c>
      <c r="B836" t="s">
        <v>1523</v>
      </c>
      <c r="C836" t="s">
        <v>68</v>
      </c>
      <c r="D836" t="s">
        <v>1390</v>
      </c>
      <c r="E836">
        <v>65</v>
      </c>
      <c r="F836">
        <v>0.3</v>
      </c>
      <c r="G836">
        <v>72</v>
      </c>
      <c r="H836">
        <v>351</v>
      </c>
      <c r="I836">
        <v>228</v>
      </c>
      <c r="J836">
        <v>147</v>
      </c>
      <c r="K836">
        <v>550</v>
      </c>
      <c r="L836">
        <v>554</v>
      </c>
      <c r="M836">
        <v>0</v>
      </c>
      <c r="N836">
        <v>60</v>
      </c>
      <c r="O836">
        <v>0</v>
      </c>
      <c r="P836">
        <v>0</v>
      </c>
      <c r="Q836">
        <v>490</v>
      </c>
      <c r="R836">
        <v>0</v>
      </c>
      <c r="S836">
        <v>805</v>
      </c>
      <c r="T836">
        <v>70</v>
      </c>
      <c r="U836">
        <v>177</v>
      </c>
      <c r="V836">
        <v>0</v>
      </c>
      <c r="W836">
        <v>123</v>
      </c>
      <c r="X836">
        <v>194</v>
      </c>
      <c r="Y836">
        <v>22</v>
      </c>
      <c r="Z836">
        <v>87</v>
      </c>
      <c r="AA836">
        <v>83</v>
      </c>
      <c r="AB836">
        <v>48</v>
      </c>
      <c r="AC836">
        <v>152</v>
      </c>
      <c r="AD836">
        <v>0</v>
      </c>
      <c r="AE836">
        <v>1761</v>
      </c>
      <c r="AF836">
        <v>1663</v>
      </c>
      <c r="AJ836">
        <v>4.58</v>
      </c>
      <c r="AK836" t="str">
        <f t="shared" si="12"/>
        <v>SV713-5000</v>
      </c>
    </row>
    <row r="837" spans="1:37">
      <c r="A837" t="s">
        <v>1524</v>
      </c>
      <c r="B837" t="s">
        <v>1523</v>
      </c>
      <c r="C837" t="s">
        <v>68</v>
      </c>
      <c r="D837" t="s">
        <v>1390</v>
      </c>
      <c r="E837">
        <v>65</v>
      </c>
      <c r="F837">
        <v>27</v>
      </c>
      <c r="G837">
        <v>26</v>
      </c>
      <c r="H837">
        <v>13</v>
      </c>
      <c r="I837">
        <v>10</v>
      </c>
      <c r="J837">
        <v>27</v>
      </c>
      <c r="K837">
        <v>1391</v>
      </c>
      <c r="L837">
        <v>32</v>
      </c>
      <c r="M837">
        <v>0</v>
      </c>
      <c r="N837">
        <v>22</v>
      </c>
      <c r="O837">
        <v>0</v>
      </c>
      <c r="P837">
        <v>0</v>
      </c>
      <c r="Q837">
        <v>1369</v>
      </c>
      <c r="R837">
        <v>0</v>
      </c>
      <c r="S837">
        <v>27</v>
      </c>
      <c r="T837">
        <v>0</v>
      </c>
      <c r="U837">
        <v>11</v>
      </c>
      <c r="V837">
        <v>21</v>
      </c>
      <c r="W837">
        <v>0</v>
      </c>
      <c r="X837">
        <v>0</v>
      </c>
      <c r="Y837">
        <v>36</v>
      </c>
      <c r="Z837">
        <v>0</v>
      </c>
      <c r="AA837">
        <v>0</v>
      </c>
      <c r="AB837">
        <v>194</v>
      </c>
      <c r="AC837">
        <v>19</v>
      </c>
      <c r="AD837">
        <v>18</v>
      </c>
      <c r="AE837">
        <v>326</v>
      </c>
      <c r="AF837">
        <v>504</v>
      </c>
      <c r="AJ837">
        <v>4.58</v>
      </c>
      <c r="AK837" t="str">
        <f t="shared" ref="AK837:AK900" si="13">MID(A837,4,10)</f>
        <v>SV713-6200</v>
      </c>
    </row>
    <row r="838" spans="1:37">
      <c r="A838" t="s">
        <v>1525</v>
      </c>
      <c r="B838" t="s">
        <v>1526</v>
      </c>
      <c r="C838" t="s">
        <v>267</v>
      </c>
      <c r="D838" t="s">
        <v>284</v>
      </c>
      <c r="E838">
        <v>50</v>
      </c>
      <c r="F838">
        <v>2.7</v>
      </c>
      <c r="G838">
        <v>9</v>
      </c>
      <c r="H838">
        <v>69</v>
      </c>
      <c r="I838">
        <v>77</v>
      </c>
      <c r="J838">
        <v>51</v>
      </c>
      <c r="K838">
        <v>747</v>
      </c>
      <c r="L838">
        <v>118</v>
      </c>
      <c r="M838">
        <v>0</v>
      </c>
      <c r="N838">
        <v>7</v>
      </c>
      <c r="O838">
        <v>0</v>
      </c>
      <c r="P838">
        <v>0</v>
      </c>
      <c r="Q838">
        <v>740</v>
      </c>
      <c r="R838">
        <v>0</v>
      </c>
      <c r="S838">
        <v>206</v>
      </c>
      <c r="T838">
        <v>0</v>
      </c>
      <c r="U838">
        <v>0</v>
      </c>
      <c r="V838">
        <v>69</v>
      </c>
      <c r="W838">
        <v>71</v>
      </c>
      <c r="X838">
        <v>118</v>
      </c>
      <c r="Y838">
        <v>46</v>
      </c>
      <c r="Z838">
        <v>20</v>
      </c>
      <c r="AA838">
        <v>35</v>
      </c>
      <c r="AB838">
        <v>50</v>
      </c>
      <c r="AC838">
        <v>0</v>
      </c>
      <c r="AD838">
        <v>0</v>
      </c>
      <c r="AE838">
        <v>615</v>
      </c>
      <c r="AF838">
        <v>1603</v>
      </c>
      <c r="AJ838">
        <v>3.96</v>
      </c>
      <c r="AK838" t="str">
        <f t="shared" si="13"/>
        <v>SV750-5000</v>
      </c>
    </row>
    <row r="839" spans="1:37">
      <c r="A839" t="s">
        <v>1527</v>
      </c>
      <c r="B839" t="s">
        <v>1526</v>
      </c>
      <c r="C839" t="s">
        <v>267</v>
      </c>
      <c r="D839" t="s">
        <v>284</v>
      </c>
      <c r="E839">
        <v>50</v>
      </c>
      <c r="F839">
        <v>14.7</v>
      </c>
      <c r="G839">
        <v>22</v>
      </c>
      <c r="H839">
        <v>50</v>
      </c>
      <c r="I839">
        <v>30</v>
      </c>
      <c r="J839">
        <v>28</v>
      </c>
      <c r="K839">
        <v>2943</v>
      </c>
      <c r="L839">
        <v>65</v>
      </c>
      <c r="M839">
        <v>0</v>
      </c>
      <c r="N839">
        <v>19</v>
      </c>
      <c r="O839">
        <v>0</v>
      </c>
      <c r="P839">
        <v>0</v>
      </c>
      <c r="Q839">
        <v>2924</v>
      </c>
      <c r="R839">
        <v>0</v>
      </c>
      <c r="S839">
        <v>16</v>
      </c>
      <c r="T839">
        <v>111</v>
      </c>
      <c r="U839">
        <v>22</v>
      </c>
      <c r="V839">
        <v>29</v>
      </c>
      <c r="W839">
        <v>0</v>
      </c>
      <c r="X839">
        <v>0</v>
      </c>
      <c r="Y839">
        <v>0</v>
      </c>
      <c r="Z839">
        <v>0</v>
      </c>
      <c r="AA839">
        <v>99</v>
      </c>
      <c r="AB839">
        <v>61</v>
      </c>
      <c r="AC839">
        <v>0</v>
      </c>
      <c r="AD839">
        <v>0</v>
      </c>
      <c r="AE839">
        <v>338</v>
      </c>
      <c r="AF839">
        <v>512</v>
      </c>
      <c r="AJ839">
        <v>3.96</v>
      </c>
      <c r="AK839" t="str">
        <f t="shared" si="13"/>
        <v>SV750-6200</v>
      </c>
    </row>
    <row r="840" spans="1:37">
      <c r="A840" t="s">
        <v>1528</v>
      </c>
      <c r="B840" t="s">
        <v>1529</v>
      </c>
      <c r="C840" t="s">
        <v>101</v>
      </c>
      <c r="E840">
        <v>88</v>
      </c>
      <c r="F840">
        <v>0.2</v>
      </c>
      <c r="G840">
        <v>539</v>
      </c>
      <c r="H840">
        <v>363</v>
      </c>
      <c r="I840">
        <v>671</v>
      </c>
      <c r="J840">
        <v>757</v>
      </c>
      <c r="K840">
        <v>736</v>
      </c>
      <c r="L840">
        <v>391</v>
      </c>
      <c r="M840">
        <v>0</v>
      </c>
      <c r="N840">
        <v>449</v>
      </c>
      <c r="O840">
        <v>0</v>
      </c>
      <c r="P840">
        <v>0</v>
      </c>
      <c r="Q840">
        <v>287</v>
      </c>
      <c r="R840">
        <v>0</v>
      </c>
      <c r="S840">
        <v>527</v>
      </c>
      <c r="T840">
        <v>0</v>
      </c>
      <c r="U840">
        <v>562</v>
      </c>
      <c r="V840">
        <v>2938</v>
      </c>
      <c r="W840">
        <v>0</v>
      </c>
      <c r="X840">
        <v>0</v>
      </c>
      <c r="Y840">
        <v>845</v>
      </c>
      <c r="Z840">
        <v>1356</v>
      </c>
      <c r="AA840">
        <v>827</v>
      </c>
      <c r="AB840">
        <v>276</v>
      </c>
      <c r="AC840">
        <v>1651</v>
      </c>
      <c r="AD840">
        <v>107</v>
      </c>
      <c r="AE840">
        <v>9089</v>
      </c>
      <c r="AF840">
        <v>4542</v>
      </c>
      <c r="AJ840">
        <v>1.91</v>
      </c>
      <c r="AK840" t="str">
        <f t="shared" si="13"/>
        <v>SW350-5000</v>
      </c>
    </row>
    <row r="841" spans="1:37">
      <c r="A841" t="s">
        <v>1530</v>
      </c>
      <c r="B841" t="s">
        <v>1529</v>
      </c>
      <c r="C841" t="s">
        <v>101</v>
      </c>
      <c r="D841" t="s">
        <v>1397</v>
      </c>
      <c r="E841">
        <v>88</v>
      </c>
      <c r="F841">
        <v>39.700000000000003</v>
      </c>
      <c r="G841">
        <v>0</v>
      </c>
      <c r="H841">
        <v>33</v>
      </c>
      <c r="I841">
        <v>182</v>
      </c>
      <c r="J841">
        <v>150</v>
      </c>
      <c r="K841">
        <v>5234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5234</v>
      </c>
      <c r="R841">
        <v>0</v>
      </c>
      <c r="S841">
        <v>99</v>
      </c>
      <c r="T841">
        <v>0</v>
      </c>
      <c r="U841">
        <v>0</v>
      </c>
      <c r="V841">
        <v>992</v>
      </c>
      <c r="W841">
        <v>0</v>
      </c>
      <c r="X841">
        <v>0</v>
      </c>
      <c r="Y841">
        <v>0</v>
      </c>
      <c r="Z841">
        <v>0</v>
      </c>
      <c r="AA841">
        <v>248</v>
      </c>
      <c r="AB841">
        <v>0</v>
      </c>
      <c r="AC841">
        <v>455</v>
      </c>
      <c r="AD841">
        <v>0</v>
      </c>
      <c r="AE841">
        <v>1794</v>
      </c>
      <c r="AF841">
        <v>804</v>
      </c>
      <c r="AJ841">
        <v>1.91</v>
      </c>
      <c r="AK841" t="str">
        <f t="shared" si="13"/>
        <v>SW350-6200</v>
      </c>
    </row>
    <row r="842" spans="1:37">
      <c r="A842" t="s">
        <v>1531</v>
      </c>
      <c r="B842" t="s">
        <v>1532</v>
      </c>
      <c r="C842" t="s">
        <v>101</v>
      </c>
      <c r="D842" t="s">
        <v>1397</v>
      </c>
      <c r="E842">
        <v>99</v>
      </c>
      <c r="F842">
        <v>0.8</v>
      </c>
      <c r="G842">
        <v>0</v>
      </c>
      <c r="H842">
        <v>725</v>
      </c>
      <c r="I842">
        <v>689</v>
      </c>
      <c r="J842">
        <v>820</v>
      </c>
      <c r="K842">
        <v>2400</v>
      </c>
      <c r="L842">
        <v>447</v>
      </c>
      <c r="M842">
        <v>0</v>
      </c>
      <c r="N842">
        <v>0</v>
      </c>
      <c r="O842">
        <v>0</v>
      </c>
      <c r="P842">
        <v>0</v>
      </c>
      <c r="Q842">
        <v>2400</v>
      </c>
      <c r="R842">
        <v>0</v>
      </c>
      <c r="S842">
        <v>618</v>
      </c>
      <c r="T842">
        <v>1187</v>
      </c>
      <c r="U842">
        <v>370</v>
      </c>
      <c r="V842">
        <v>984</v>
      </c>
      <c r="W842">
        <v>974</v>
      </c>
      <c r="X842">
        <v>0</v>
      </c>
      <c r="Y842">
        <v>589</v>
      </c>
      <c r="Z842">
        <v>622</v>
      </c>
      <c r="AA842">
        <v>821</v>
      </c>
      <c r="AB842">
        <v>1892</v>
      </c>
      <c r="AC842">
        <v>365</v>
      </c>
      <c r="AD842">
        <v>1414</v>
      </c>
      <c r="AE842">
        <v>9836</v>
      </c>
      <c r="AF842">
        <v>3145</v>
      </c>
      <c r="AJ842">
        <v>1.39</v>
      </c>
      <c r="AK842" t="str">
        <f t="shared" si="13"/>
        <v>SW480-5000</v>
      </c>
    </row>
    <row r="843" spans="1:37">
      <c r="A843" t="s">
        <v>1533</v>
      </c>
      <c r="B843" t="s">
        <v>1532</v>
      </c>
      <c r="C843" t="s">
        <v>101</v>
      </c>
      <c r="D843" t="s">
        <v>1397</v>
      </c>
      <c r="E843">
        <v>99</v>
      </c>
      <c r="F843">
        <v>28.3</v>
      </c>
      <c r="G843">
        <v>0</v>
      </c>
      <c r="H843">
        <v>75</v>
      </c>
      <c r="I843">
        <v>73</v>
      </c>
      <c r="J843">
        <v>64</v>
      </c>
      <c r="K843">
        <v>8539</v>
      </c>
      <c r="L843">
        <v>26</v>
      </c>
      <c r="M843">
        <v>0</v>
      </c>
      <c r="N843">
        <v>0</v>
      </c>
      <c r="O843">
        <v>0</v>
      </c>
      <c r="P843">
        <v>0</v>
      </c>
      <c r="Q843">
        <v>8539</v>
      </c>
      <c r="R843">
        <v>0</v>
      </c>
      <c r="S843">
        <v>153</v>
      </c>
      <c r="T843">
        <v>73</v>
      </c>
      <c r="U843">
        <v>0</v>
      </c>
      <c r="V843">
        <v>84</v>
      </c>
      <c r="W843">
        <v>127</v>
      </c>
      <c r="X843">
        <v>0</v>
      </c>
      <c r="Y843">
        <v>0</v>
      </c>
      <c r="Z843">
        <v>0</v>
      </c>
      <c r="AA843">
        <v>78</v>
      </c>
      <c r="AB843">
        <v>0</v>
      </c>
      <c r="AC843">
        <v>0</v>
      </c>
      <c r="AD843">
        <v>254</v>
      </c>
      <c r="AE843">
        <v>769</v>
      </c>
      <c r="AF843">
        <v>476</v>
      </c>
      <c r="AJ843">
        <v>1.39</v>
      </c>
      <c r="AK843" t="str">
        <f t="shared" si="13"/>
        <v>SW480-6200</v>
      </c>
    </row>
    <row r="844" spans="1:37">
      <c r="A844" t="s">
        <v>1534</v>
      </c>
      <c r="B844" t="s">
        <v>1535</v>
      </c>
      <c r="C844" t="s">
        <v>68</v>
      </c>
      <c r="D844" t="s">
        <v>1536</v>
      </c>
      <c r="E844">
        <v>65</v>
      </c>
      <c r="F844">
        <v>0</v>
      </c>
      <c r="G844">
        <v>0</v>
      </c>
      <c r="H844">
        <v>0</v>
      </c>
      <c r="I844">
        <v>0</v>
      </c>
      <c r="J844">
        <v>4</v>
      </c>
      <c r="K844">
        <v>346</v>
      </c>
      <c r="L844">
        <v>22</v>
      </c>
      <c r="M844">
        <v>0</v>
      </c>
      <c r="N844">
        <v>0</v>
      </c>
      <c r="O844">
        <v>0</v>
      </c>
      <c r="P844">
        <v>0</v>
      </c>
      <c r="Q844">
        <v>346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42</v>
      </c>
      <c r="AA844">
        <v>0</v>
      </c>
      <c r="AB844">
        <v>0</v>
      </c>
      <c r="AC844">
        <v>0</v>
      </c>
      <c r="AD844">
        <v>0</v>
      </c>
      <c r="AE844">
        <v>42</v>
      </c>
      <c r="AF844">
        <v>29</v>
      </c>
      <c r="AJ844">
        <v>3.77</v>
      </c>
      <c r="AK844" t="str">
        <f t="shared" si="13"/>
        <v>SW803-3700</v>
      </c>
    </row>
    <row r="845" spans="1:37">
      <c r="A845" t="s">
        <v>1537</v>
      </c>
      <c r="B845" t="s">
        <v>1535</v>
      </c>
      <c r="C845" t="s">
        <v>68</v>
      </c>
      <c r="D845" t="s">
        <v>1536</v>
      </c>
      <c r="E845">
        <v>65</v>
      </c>
      <c r="F845">
        <v>3</v>
      </c>
      <c r="G845">
        <v>163</v>
      </c>
      <c r="H845">
        <v>318</v>
      </c>
      <c r="I845">
        <v>281</v>
      </c>
      <c r="J845">
        <v>354</v>
      </c>
      <c r="K845">
        <v>3998</v>
      </c>
      <c r="L845">
        <v>201</v>
      </c>
      <c r="M845">
        <v>0</v>
      </c>
      <c r="N845">
        <v>136</v>
      </c>
      <c r="O845">
        <v>0</v>
      </c>
      <c r="P845">
        <v>0</v>
      </c>
      <c r="Q845">
        <v>3862</v>
      </c>
      <c r="R845">
        <v>0</v>
      </c>
      <c r="S845">
        <v>150</v>
      </c>
      <c r="T845">
        <v>70</v>
      </c>
      <c r="U845">
        <v>735</v>
      </c>
      <c r="V845">
        <v>175</v>
      </c>
      <c r="W845">
        <v>538</v>
      </c>
      <c r="X845">
        <v>20</v>
      </c>
      <c r="Y845">
        <v>202</v>
      </c>
      <c r="Z845">
        <v>776</v>
      </c>
      <c r="AA845">
        <v>250</v>
      </c>
      <c r="AB845">
        <v>593</v>
      </c>
      <c r="AC845">
        <v>253</v>
      </c>
      <c r="AD845">
        <v>484</v>
      </c>
      <c r="AE845">
        <v>4246</v>
      </c>
      <c r="AF845">
        <v>10391</v>
      </c>
      <c r="AJ845">
        <v>3.15</v>
      </c>
      <c r="AK845" t="str">
        <f t="shared" si="13"/>
        <v>SW803-5000</v>
      </c>
    </row>
    <row r="846" spans="1:37">
      <c r="A846" t="s">
        <v>1538</v>
      </c>
      <c r="B846" t="s">
        <v>1535</v>
      </c>
      <c r="C846" t="s">
        <v>68</v>
      </c>
      <c r="D846" t="s">
        <v>1536</v>
      </c>
      <c r="E846">
        <v>65</v>
      </c>
      <c r="F846">
        <v>2.2000000000000002</v>
      </c>
      <c r="G846">
        <v>0</v>
      </c>
      <c r="H846">
        <v>307</v>
      </c>
      <c r="I846">
        <v>333</v>
      </c>
      <c r="J846">
        <v>385</v>
      </c>
      <c r="K846">
        <v>2676</v>
      </c>
      <c r="L846">
        <v>245</v>
      </c>
      <c r="M846">
        <v>0</v>
      </c>
      <c r="N846">
        <v>0</v>
      </c>
      <c r="O846">
        <v>0</v>
      </c>
      <c r="P846">
        <v>0</v>
      </c>
      <c r="Q846">
        <v>2676</v>
      </c>
      <c r="R846">
        <v>0</v>
      </c>
      <c r="S846">
        <v>347</v>
      </c>
      <c r="T846">
        <v>41</v>
      </c>
      <c r="U846">
        <v>532</v>
      </c>
      <c r="V846">
        <v>678</v>
      </c>
      <c r="W846">
        <v>187</v>
      </c>
      <c r="X846">
        <v>215</v>
      </c>
      <c r="Y846">
        <v>461</v>
      </c>
      <c r="Z846">
        <v>236</v>
      </c>
      <c r="AA846">
        <v>518</v>
      </c>
      <c r="AB846">
        <v>702</v>
      </c>
      <c r="AC846">
        <v>366</v>
      </c>
      <c r="AD846">
        <v>341</v>
      </c>
      <c r="AE846">
        <v>4624</v>
      </c>
      <c r="AF846">
        <v>6527</v>
      </c>
      <c r="AJ846">
        <v>5.63</v>
      </c>
      <c r="AK846" t="str">
        <f t="shared" si="13"/>
        <v>SW803-6200</v>
      </c>
    </row>
    <row r="847" spans="1:37">
      <c r="A847" t="s">
        <v>1539</v>
      </c>
      <c r="B847" t="s">
        <v>1540</v>
      </c>
      <c r="C847" t="s">
        <v>267</v>
      </c>
      <c r="D847" t="s">
        <v>1541</v>
      </c>
      <c r="E847">
        <v>72</v>
      </c>
      <c r="F847">
        <v>0.4</v>
      </c>
      <c r="G847">
        <v>1255</v>
      </c>
      <c r="H847">
        <v>70</v>
      </c>
      <c r="I847">
        <v>159</v>
      </c>
      <c r="J847">
        <v>310</v>
      </c>
      <c r="K847">
        <v>1147</v>
      </c>
      <c r="L847">
        <v>1028</v>
      </c>
      <c r="M847">
        <v>0</v>
      </c>
      <c r="N847">
        <v>1046</v>
      </c>
      <c r="O847">
        <v>0</v>
      </c>
      <c r="P847">
        <v>0</v>
      </c>
      <c r="Q847">
        <v>101</v>
      </c>
      <c r="R847">
        <v>0</v>
      </c>
      <c r="S847">
        <v>92</v>
      </c>
      <c r="T847">
        <v>117</v>
      </c>
      <c r="U847">
        <v>0</v>
      </c>
      <c r="V847">
        <v>0</v>
      </c>
      <c r="W847">
        <v>742</v>
      </c>
      <c r="X847">
        <v>0</v>
      </c>
      <c r="Y847">
        <v>794</v>
      </c>
      <c r="Z847">
        <v>607</v>
      </c>
      <c r="AA847">
        <v>309</v>
      </c>
      <c r="AB847">
        <v>338</v>
      </c>
      <c r="AC847">
        <v>0</v>
      </c>
      <c r="AD847">
        <v>720</v>
      </c>
      <c r="AE847">
        <v>3719</v>
      </c>
      <c r="AF847">
        <v>3423</v>
      </c>
      <c r="AJ847">
        <v>4.03</v>
      </c>
      <c r="AK847" t="str">
        <f t="shared" si="13"/>
        <v>SW806-5000</v>
      </c>
    </row>
    <row r="848" spans="1:37">
      <c r="A848" t="s">
        <v>1542</v>
      </c>
      <c r="B848" t="s">
        <v>1540</v>
      </c>
      <c r="C848" t="s">
        <v>267</v>
      </c>
      <c r="D848" t="s">
        <v>1541</v>
      </c>
      <c r="E848">
        <v>72</v>
      </c>
      <c r="F848">
        <v>1.3</v>
      </c>
      <c r="G848">
        <v>43</v>
      </c>
      <c r="H848">
        <v>320</v>
      </c>
      <c r="I848">
        <v>201</v>
      </c>
      <c r="J848">
        <v>252</v>
      </c>
      <c r="K848">
        <v>1637</v>
      </c>
      <c r="L848">
        <v>222</v>
      </c>
      <c r="M848">
        <v>0</v>
      </c>
      <c r="N848">
        <v>36</v>
      </c>
      <c r="O848">
        <v>0</v>
      </c>
      <c r="P848">
        <v>0</v>
      </c>
      <c r="Q848">
        <v>1601</v>
      </c>
      <c r="R848">
        <v>0</v>
      </c>
      <c r="S848">
        <v>207</v>
      </c>
      <c r="T848">
        <v>753</v>
      </c>
      <c r="U848">
        <v>0</v>
      </c>
      <c r="V848">
        <v>0</v>
      </c>
      <c r="W848">
        <v>0</v>
      </c>
      <c r="X848">
        <v>245</v>
      </c>
      <c r="Y848">
        <v>587</v>
      </c>
      <c r="Z848">
        <v>286</v>
      </c>
      <c r="AA848">
        <v>458</v>
      </c>
      <c r="AB848">
        <v>136</v>
      </c>
      <c r="AC848">
        <v>356</v>
      </c>
      <c r="AD848">
        <v>0</v>
      </c>
      <c r="AE848">
        <v>3028</v>
      </c>
      <c r="AF848">
        <v>2787</v>
      </c>
      <c r="AJ848">
        <v>4.22</v>
      </c>
      <c r="AK848" t="str">
        <f t="shared" si="13"/>
        <v>SW806-6200</v>
      </c>
    </row>
    <row r="849" spans="1:37">
      <c r="A849" t="s">
        <v>1543</v>
      </c>
      <c r="B849" t="s">
        <v>1544</v>
      </c>
      <c r="C849" t="s">
        <v>68</v>
      </c>
      <c r="D849" t="s">
        <v>292</v>
      </c>
      <c r="E849">
        <v>90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881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881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J849">
        <v>2.5099999999999998</v>
      </c>
      <c r="AK849" t="str">
        <f t="shared" si="13"/>
        <v>SW811-3700</v>
      </c>
    </row>
    <row r="850" spans="1:37">
      <c r="A850" t="s">
        <v>1545</v>
      </c>
      <c r="B850" t="s">
        <v>1544</v>
      </c>
      <c r="C850" t="s">
        <v>68</v>
      </c>
      <c r="D850" t="s">
        <v>1546</v>
      </c>
      <c r="E850">
        <v>90</v>
      </c>
      <c r="F850">
        <v>0.5</v>
      </c>
      <c r="G850">
        <v>368</v>
      </c>
      <c r="H850">
        <v>531</v>
      </c>
      <c r="I850">
        <v>954</v>
      </c>
      <c r="J850">
        <v>1037</v>
      </c>
      <c r="K850">
        <v>1392</v>
      </c>
      <c r="L850">
        <v>864</v>
      </c>
      <c r="M850">
        <v>0</v>
      </c>
      <c r="N850">
        <v>307</v>
      </c>
      <c r="O850">
        <v>0</v>
      </c>
      <c r="P850">
        <v>0</v>
      </c>
      <c r="Q850">
        <v>1085</v>
      </c>
      <c r="R850">
        <v>0</v>
      </c>
      <c r="S850">
        <v>506</v>
      </c>
      <c r="T850">
        <v>534</v>
      </c>
      <c r="U850">
        <v>554</v>
      </c>
      <c r="V850">
        <v>1904</v>
      </c>
      <c r="W850">
        <v>1335</v>
      </c>
      <c r="X850">
        <v>888</v>
      </c>
      <c r="Y850">
        <v>649</v>
      </c>
      <c r="Z850">
        <v>1542</v>
      </c>
      <c r="AA850">
        <v>145</v>
      </c>
      <c r="AB850">
        <v>3246</v>
      </c>
      <c r="AC850">
        <v>588</v>
      </c>
      <c r="AD850">
        <v>548</v>
      </c>
      <c r="AE850">
        <v>12439</v>
      </c>
      <c r="AF850">
        <v>7643</v>
      </c>
      <c r="AJ850">
        <v>3.02</v>
      </c>
      <c r="AK850" t="str">
        <f t="shared" si="13"/>
        <v>SW811-5000</v>
      </c>
    </row>
    <row r="851" spans="1:37">
      <c r="A851" t="s">
        <v>1547</v>
      </c>
      <c r="B851" t="s">
        <v>1544</v>
      </c>
      <c r="C851" t="s">
        <v>68</v>
      </c>
      <c r="D851" t="s">
        <v>1548</v>
      </c>
      <c r="E851">
        <v>90</v>
      </c>
      <c r="F851">
        <v>1.1000000000000001</v>
      </c>
      <c r="G851">
        <v>477</v>
      </c>
      <c r="H851">
        <v>450</v>
      </c>
      <c r="I851">
        <v>786</v>
      </c>
      <c r="J851">
        <v>848</v>
      </c>
      <c r="K851">
        <v>2412</v>
      </c>
      <c r="L851">
        <v>887</v>
      </c>
      <c r="M851">
        <v>0</v>
      </c>
      <c r="N851">
        <v>397</v>
      </c>
      <c r="O851">
        <v>0</v>
      </c>
      <c r="P851">
        <v>0</v>
      </c>
      <c r="Q851">
        <v>2015</v>
      </c>
      <c r="R851">
        <v>0</v>
      </c>
      <c r="S851">
        <v>300</v>
      </c>
      <c r="T851">
        <v>659</v>
      </c>
      <c r="U851">
        <v>392</v>
      </c>
      <c r="V851">
        <v>859</v>
      </c>
      <c r="W851">
        <v>2044</v>
      </c>
      <c r="X851">
        <v>459</v>
      </c>
      <c r="Y851">
        <v>1255</v>
      </c>
      <c r="Z851">
        <v>1019</v>
      </c>
      <c r="AA851">
        <v>959</v>
      </c>
      <c r="AB851">
        <v>1121</v>
      </c>
      <c r="AC851">
        <v>1111</v>
      </c>
      <c r="AD851">
        <v>0</v>
      </c>
      <c r="AE851">
        <v>10178</v>
      </c>
      <c r="AF851">
        <v>8521</v>
      </c>
      <c r="AJ851">
        <v>3.02</v>
      </c>
      <c r="AK851" t="str">
        <f t="shared" si="13"/>
        <v>SW811-6200</v>
      </c>
    </row>
    <row r="852" spans="1:37">
      <c r="A852" t="s">
        <v>6308</v>
      </c>
      <c r="B852" t="s">
        <v>1549</v>
      </c>
      <c r="C852" t="s">
        <v>68</v>
      </c>
      <c r="D852" t="s">
        <v>292</v>
      </c>
      <c r="E852">
        <v>65</v>
      </c>
      <c r="F852">
        <v>0</v>
      </c>
      <c r="G852">
        <v>1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1</v>
      </c>
      <c r="O852">
        <v>0</v>
      </c>
      <c r="P852">
        <v>0</v>
      </c>
      <c r="Q852">
        <v>-1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J852">
        <v>3.63</v>
      </c>
      <c r="AK852" t="str">
        <f t="shared" si="13"/>
        <v>SW813-3700</v>
      </c>
    </row>
    <row r="853" spans="1:37">
      <c r="A853" t="s">
        <v>1550</v>
      </c>
      <c r="B853" t="s">
        <v>1549</v>
      </c>
      <c r="C853" t="s">
        <v>68</v>
      </c>
      <c r="D853" t="s">
        <v>292</v>
      </c>
      <c r="E853">
        <v>65</v>
      </c>
      <c r="F853">
        <v>0.3</v>
      </c>
      <c r="G853">
        <v>739</v>
      </c>
      <c r="H853">
        <v>1054</v>
      </c>
      <c r="I853">
        <v>928</v>
      </c>
      <c r="J853">
        <v>805</v>
      </c>
      <c r="K853">
        <v>2030</v>
      </c>
      <c r="L853">
        <v>959</v>
      </c>
      <c r="M853">
        <v>0</v>
      </c>
      <c r="N853">
        <v>616</v>
      </c>
      <c r="O853">
        <v>0</v>
      </c>
      <c r="P853">
        <v>0</v>
      </c>
      <c r="Q853">
        <v>1414</v>
      </c>
      <c r="R853">
        <v>0</v>
      </c>
      <c r="S853">
        <v>416</v>
      </c>
      <c r="T853">
        <v>1026</v>
      </c>
      <c r="U853">
        <v>1721</v>
      </c>
      <c r="V853">
        <v>274</v>
      </c>
      <c r="W853">
        <v>1090</v>
      </c>
      <c r="X853">
        <v>1043</v>
      </c>
      <c r="Y853">
        <v>989</v>
      </c>
      <c r="Z853">
        <v>542</v>
      </c>
      <c r="AA853">
        <v>465</v>
      </c>
      <c r="AB853">
        <v>443</v>
      </c>
      <c r="AC853">
        <v>519</v>
      </c>
      <c r="AD853">
        <v>1126</v>
      </c>
      <c r="AE853">
        <v>9654</v>
      </c>
      <c r="AF853">
        <v>8945</v>
      </c>
      <c r="AJ853">
        <v>3.98</v>
      </c>
      <c r="AK853" t="str">
        <f t="shared" si="13"/>
        <v>SW813-5000</v>
      </c>
    </row>
    <row r="854" spans="1:37">
      <c r="A854" t="s">
        <v>1551</v>
      </c>
      <c r="B854" t="s">
        <v>1549</v>
      </c>
      <c r="C854" t="s">
        <v>68</v>
      </c>
      <c r="D854" t="s">
        <v>292</v>
      </c>
      <c r="E854">
        <v>65</v>
      </c>
      <c r="F854">
        <v>0.4</v>
      </c>
      <c r="G854">
        <v>340</v>
      </c>
      <c r="H854">
        <v>517</v>
      </c>
      <c r="I854">
        <v>424</v>
      </c>
      <c r="J854">
        <v>525</v>
      </c>
      <c r="K854">
        <v>1014</v>
      </c>
      <c r="L854">
        <v>894</v>
      </c>
      <c r="M854">
        <v>0</v>
      </c>
      <c r="N854">
        <v>283</v>
      </c>
      <c r="O854">
        <v>0</v>
      </c>
      <c r="P854">
        <v>0</v>
      </c>
      <c r="Q854">
        <v>731</v>
      </c>
      <c r="R854">
        <v>0</v>
      </c>
      <c r="S854">
        <v>529</v>
      </c>
      <c r="T854">
        <v>378</v>
      </c>
      <c r="U854">
        <v>645</v>
      </c>
      <c r="V854">
        <v>189</v>
      </c>
      <c r="W854">
        <v>353</v>
      </c>
      <c r="X854">
        <v>448</v>
      </c>
      <c r="Y854">
        <v>739</v>
      </c>
      <c r="Z854">
        <v>497</v>
      </c>
      <c r="AA854">
        <v>735</v>
      </c>
      <c r="AB854">
        <v>801</v>
      </c>
      <c r="AC854">
        <v>719</v>
      </c>
      <c r="AD854">
        <v>264</v>
      </c>
      <c r="AE854">
        <v>6297</v>
      </c>
      <c r="AF854">
        <v>5673</v>
      </c>
      <c r="AJ854">
        <v>5.07</v>
      </c>
      <c r="AK854" t="str">
        <f t="shared" si="13"/>
        <v>SW813-6200</v>
      </c>
    </row>
    <row r="855" spans="1:37">
      <c r="A855" t="s">
        <v>1552</v>
      </c>
      <c r="B855" t="s">
        <v>1553</v>
      </c>
      <c r="C855" t="s">
        <v>68</v>
      </c>
      <c r="D855" t="s">
        <v>1554</v>
      </c>
      <c r="E855">
        <v>65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1629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1629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J855">
        <v>5.27</v>
      </c>
      <c r="AK855" t="str">
        <f t="shared" si="13"/>
        <v>SW822-5000</v>
      </c>
    </row>
    <row r="856" spans="1:37">
      <c r="A856" t="s">
        <v>1555</v>
      </c>
      <c r="B856" t="s">
        <v>1556</v>
      </c>
      <c r="C856" t="s">
        <v>68</v>
      </c>
      <c r="D856" t="s">
        <v>292</v>
      </c>
      <c r="E856">
        <v>75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21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21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J856">
        <v>2.11</v>
      </c>
      <c r="AK856" t="str">
        <f t="shared" si="13"/>
        <v>SW826-3700</v>
      </c>
    </row>
    <row r="857" spans="1:37">
      <c r="A857" t="s">
        <v>1557</v>
      </c>
      <c r="B857" t="s">
        <v>1556</v>
      </c>
      <c r="C857" t="s">
        <v>1558</v>
      </c>
      <c r="D857" t="s">
        <v>292</v>
      </c>
      <c r="E857">
        <v>75</v>
      </c>
      <c r="F857">
        <v>0.1</v>
      </c>
      <c r="G857">
        <v>815</v>
      </c>
      <c r="H857">
        <v>704</v>
      </c>
      <c r="I857">
        <v>595</v>
      </c>
      <c r="J857">
        <v>783</v>
      </c>
      <c r="K857">
        <v>992</v>
      </c>
      <c r="L857">
        <v>750</v>
      </c>
      <c r="M857">
        <v>0</v>
      </c>
      <c r="N857">
        <v>679</v>
      </c>
      <c r="O857">
        <v>0</v>
      </c>
      <c r="P857">
        <v>0</v>
      </c>
      <c r="Q857">
        <v>313</v>
      </c>
      <c r="R857">
        <v>0</v>
      </c>
      <c r="S857">
        <v>431</v>
      </c>
      <c r="T857">
        <v>968</v>
      </c>
      <c r="U857">
        <v>712</v>
      </c>
      <c r="V857">
        <v>462</v>
      </c>
      <c r="W857">
        <v>554</v>
      </c>
      <c r="X857">
        <v>444</v>
      </c>
      <c r="Y857">
        <v>1102</v>
      </c>
      <c r="Z857">
        <v>1604</v>
      </c>
      <c r="AA857">
        <v>840</v>
      </c>
      <c r="AB857">
        <v>1143</v>
      </c>
      <c r="AC857">
        <v>444</v>
      </c>
      <c r="AD857">
        <v>694</v>
      </c>
      <c r="AE857">
        <v>9398</v>
      </c>
      <c r="AF857">
        <v>13737</v>
      </c>
      <c r="AG857" t="s">
        <v>1559</v>
      </c>
      <c r="AH857">
        <v>4</v>
      </c>
      <c r="AI857">
        <v>185</v>
      </c>
      <c r="AJ857">
        <v>3.23</v>
      </c>
      <c r="AK857" t="str">
        <f t="shared" si="13"/>
        <v>SW826-5000</v>
      </c>
    </row>
    <row r="858" spans="1:37">
      <c r="A858" t="s">
        <v>1560</v>
      </c>
      <c r="B858" t="s">
        <v>1556</v>
      </c>
      <c r="C858" t="s">
        <v>68</v>
      </c>
      <c r="D858" t="s">
        <v>292</v>
      </c>
      <c r="E858">
        <v>75</v>
      </c>
      <c r="F858">
        <v>0.1</v>
      </c>
      <c r="G858">
        <v>176</v>
      </c>
      <c r="H858">
        <v>694</v>
      </c>
      <c r="I858">
        <v>505</v>
      </c>
      <c r="J858">
        <v>485</v>
      </c>
      <c r="K858">
        <v>438</v>
      </c>
      <c r="L858">
        <v>321</v>
      </c>
      <c r="M858">
        <v>0</v>
      </c>
      <c r="N858">
        <v>147</v>
      </c>
      <c r="O858">
        <v>0</v>
      </c>
      <c r="P858">
        <v>0</v>
      </c>
      <c r="Q858">
        <v>291</v>
      </c>
      <c r="R858">
        <v>0</v>
      </c>
      <c r="S858">
        <v>1002</v>
      </c>
      <c r="T858">
        <v>549</v>
      </c>
      <c r="U858">
        <v>530</v>
      </c>
      <c r="V858">
        <v>551</v>
      </c>
      <c r="W858">
        <v>346</v>
      </c>
      <c r="X858">
        <v>49</v>
      </c>
      <c r="Y858">
        <v>848</v>
      </c>
      <c r="Z858">
        <v>743</v>
      </c>
      <c r="AA858">
        <v>402</v>
      </c>
      <c r="AB858">
        <v>206</v>
      </c>
      <c r="AC858">
        <v>378</v>
      </c>
      <c r="AD858">
        <v>213</v>
      </c>
      <c r="AE858">
        <v>5817</v>
      </c>
      <c r="AF858">
        <v>8566</v>
      </c>
      <c r="AJ858">
        <v>3.23</v>
      </c>
      <c r="AK858" t="str">
        <f t="shared" si="13"/>
        <v>SW826-6200</v>
      </c>
    </row>
    <row r="859" spans="1:37">
      <c r="A859" t="s">
        <v>1561</v>
      </c>
      <c r="B859" t="s">
        <v>1562</v>
      </c>
      <c r="C859" t="s">
        <v>101</v>
      </c>
      <c r="D859" t="s">
        <v>1422</v>
      </c>
      <c r="E859">
        <v>65</v>
      </c>
      <c r="F859">
        <v>1.9</v>
      </c>
      <c r="G859">
        <v>420</v>
      </c>
      <c r="H859">
        <v>661</v>
      </c>
      <c r="I859">
        <v>488</v>
      </c>
      <c r="J859">
        <v>603</v>
      </c>
      <c r="K859">
        <v>5337</v>
      </c>
      <c r="L859">
        <v>461</v>
      </c>
      <c r="M859">
        <v>0</v>
      </c>
      <c r="N859">
        <v>350</v>
      </c>
      <c r="O859">
        <v>0</v>
      </c>
      <c r="P859">
        <v>0</v>
      </c>
      <c r="Q859">
        <v>4987</v>
      </c>
      <c r="R859">
        <v>0</v>
      </c>
      <c r="S859">
        <v>346</v>
      </c>
      <c r="T859">
        <v>1020</v>
      </c>
      <c r="U859">
        <v>616</v>
      </c>
      <c r="V859">
        <v>270</v>
      </c>
      <c r="W859">
        <v>0</v>
      </c>
      <c r="X859">
        <v>675</v>
      </c>
      <c r="Y859">
        <v>305</v>
      </c>
      <c r="Z859">
        <v>475</v>
      </c>
      <c r="AA859">
        <v>983</v>
      </c>
      <c r="AB859">
        <v>561</v>
      </c>
      <c r="AC859">
        <v>917</v>
      </c>
      <c r="AD859">
        <v>1073</v>
      </c>
      <c r="AE859">
        <v>7241</v>
      </c>
      <c r="AF859">
        <v>10225</v>
      </c>
      <c r="AJ859">
        <v>2.92</v>
      </c>
      <c r="AK859" t="str">
        <f t="shared" si="13"/>
        <v>SW836-5000</v>
      </c>
    </row>
    <row r="860" spans="1:37">
      <c r="A860" t="s">
        <v>1563</v>
      </c>
      <c r="B860" t="s">
        <v>1562</v>
      </c>
      <c r="C860" t="s">
        <v>101</v>
      </c>
      <c r="D860" t="s">
        <v>292</v>
      </c>
      <c r="E860">
        <v>65</v>
      </c>
      <c r="F860">
        <v>4.4000000000000004</v>
      </c>
      <c r="G860">
        <v>129</v>
      </c>
      <c r="H860">
        <v>269</v>
      </c>
      <c r="I860">
        <v>177</v>
      </c>
      <c r="J860">
        <v>199</v>
      </c>
      <c r="K860">
        <v>4819</v>
      </c>
      <c r="L860">
        <v>113</v>
      </c>
      <c r="M860">
        <v>0</v>
      </c>
      <c r="N860">
        <v>107</v>
      </c>
      <c r="O860">
        <v>0</v>
      </c>
      <c r="P860">
        <v>0</v>
      </c>
      <c r="Q860">
        <v>4712</v>
      </c>
      <c r="R860">
        <v>0</v>
      </c>
      <c r="S860">
        <v>462</v>
      </c>
      <c r="T860">
        <v>267</v>
      </c>
      <c r="U860">
        <v>79</v>
      </c>
      <c r="V860">
        <v>70</v>
      </c>
      <c r="W860">
        <v>186</v>
      </c>
      <c r="X860">
        <v>0</v>
      </c>
      <c r="Y860">
        <v>257</v>
      </c>
      <c r="Z860">
        <v>374</v>
      </c>
      <c r="AA860">
        <v>182</v>
      </c>
      <c r="AB860">
        <v>293</v>
      </c>
      <c r="AC860">
        <v>63</v>
      </c>
      <c r="AD860">
        <v>158</v>
      </c>
      <c r="AE860">
        <v>2391</v>
      </c>
      <c r="AF860">
        <v>2598</v>
      </c>
      <c r="AJ860">
        <v>2.92</v>
      </c>
      <c r="AK860" t="str">
        <f t="shared" si="13"/>
        <v>SW836-6200</v>
      </c>
    </row>
    <row r="861" spans="1:37">
      <c r="A861" t="s">
        <v>1564</v>
      </c>
      <c r="B861" t="s">
        <v>1565</v>
      </c>
      <c r="C861" t="s">
        <v>68</v>
      </c>
      <c r="D861" t="s">
        <v>1566</v>
      </c>
      <c r="E861">
        <v>65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407</v>
      </c>
      <c r="L861">
        <v>7</v>
      </c>
      <c r="M861">
        <v>0</v>
      </c>
      <c r="N861">
        <v>0</v>
      </c>
      <c r="O861">
        <v>0</v>
      </c>
      <c r="P861">
        <v>0</v>
      </c>
      <c r="Q861">
        <v>407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78</v>
      </c>
      <c r="AJ861">
        <v>4.76</v>
      </c>
      <c r="AK861" t="str">
        <f t="shared" si="13"/>
        <v>SW888-5000</v>
      </c>
    </row>
    <row r="862" spans="1:37">
      <c r="A862" t="s">
        <v>1567</v>
      </c>
      <c r="B862" t="s">
        <v>1565</v>
      </c>
      <c r="C862" t="s">
        <v>1558</v>
      </c>
      <c r="D862" t="s">
        <v>1566</v>
      </c>
      <c r="E862">
        <v>65</v>
      </c>
      <c r="F862">
        <v>0</v>
      </c>
      <c r="G862">
        <v>0</v>
      </c>
      <c r="H862">
        <v>0</v>
      </c>
      <c r="I862">
        <v>0</v>
      </c>
      <c r="J862">
        <v>14</v>
      </c>
      <c r="K862">
        <v>573</v>
      </c>
      <c r="L862">
        <v>45</v>
      </c>
      <c r="M862">
        <v>0</v>
      </c>
      <c r="N862">
        <v>0</v>
      </c>
      <c r="O862">
        <v>0</v>
      </c>
      <c r="P862">
        <v>0</v>
      </c>
      <c r="Q862">
        <v>573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171</v>
      </c>
      <c r="AC862">
        <v>0</v>
      </c>
      <c r="AD862">
        <v>0</v>
      </c>
      <c r="AE862">
        <v>171</v>
      </c>
      <c r="AF862">
        <v>290</v>
      </c>
      <c r="AG862" t="s">
        <v>1568</v>
      </c>
      <c r="AH862">
        <v>1</v>
      </c>
      <c r="AI862">
        <v>461</v>
      </c>
      <c r="AJ862">
        <v>5.31</v>
      </c>
      <c r="AK862" t="str">
        <f t="shared" si="13"/>
        <v>SW888-6200</v>
      </c>
    </row>
    <row r="863" spans="1:37">
      <c r="A863" t="s">
        <v>1569</v>
      </c>
      <c r="B863" t="s">
        <v>1570</v>
      </c>
      <c r="C863" t="s">
        <v>1326</v>
      </c>
      <c r="E863">
        <v>192</v>
      </c>
      <c r="F863">
        <v>4.2</v>
      </c>
      <c r="G863">
        <v>0</v>
      </c>
      <c r="H863">
        <v>75</v>
      </c>
      <c r="I863">
        <v>291</v>
      </c>
      <c r="J863">
        <v>275</v>
      </c>
      <c r="K863">
        <v>1259</v>
      </c>
      <c r="L863">
        <v>23</v>
      </c>
      <c r="M863">
        <v>0</v>
      </c>
      <c r="N863">
        <v>0</v>
      </c>
      <c r="O863">
        <v>0</v>
      </c>
      <c r="P863">
        <v>0</v>
      </c>
      <c r="Q863">
        <v>1259</v>
      </c>
      <c r="R863">
        <v>0</v>
      </c>
      <c r="S863">
        <v>0</v>
      </c>
      <c r="T863">
        <v>224</v>
      </c>
      <c r="U863">
        <v>0</v>
      </c>
      <c r="V863">
        <v>60</v>
      </c>
      <c r="W863">
        <v>703</v>
      </c>
      <c r="X863">
        <v>759</v>
      </c>
      <c r="Y863">
        <v>71</v>
      </c>
      <c r="Z863">
        <v>1117</v>
      </c>
      <c r="AA863">
        <v>277</v>
      </c>
      <c r="AB863">
        <v>73</v>
      </c>
      <c r="AC863">
        <v>0</v>
      </c>
      <c r="AD863">
        <v>15</v>
      </c>
      <c r="AE863">
        <v>3299</v>
      </c>
      <c r="AF863">
        <v>789</v>
      </c>
      <c r="AG863" t="s">
        <v>6307</v>
      </c>
      <c r="AH863">
        <v>3</v>
      </c>
      <c r="AI863">
        <v>1000</v>
      </c>
      <c r="AJ863">
        <v>8.31</v>
      </c>
      <c r="AK863" t="str">
        <f t="shared" si="13"/>
        <v>SW890-5000</v>
      </c>
    </row>
    <row r="864" spans="1:37">
      <c r="A864" t="s">
        <v>1571</v>
      </c>
      <c r="B864" t="s">
        <v>1572</v>
      </c>
      <c r="C864" t="s">
        <v>68</v>
      </c>
      <c r="D864" t="s">
        <v>292</v>
      </c>
      <c r="E864">
        <v>65</v>
      </c>
      <c r="F864">
        <v>1.5</v>
      </c>
      <c r="G864">
        <v>65</v>
      </c>
      <c r="H864">
        <v>77</v>
      </c>
      <c r="I864">
        <v>105</v>
      </c>
      <c r="J864">
        <v>126</v>
      </c>
      <c r="K864">
        <v>499</v>
      </c>
      <c r="L864">
        <v>62</v>
      </c>
      <c r="M864">
        <v>0</v>
      </c>
      <c r="N864">
        <v>54</v>
      </c>
      <c r="O864">
        <v>0</v>
      </c>
      <c r="P864">
        <v>0</v>
      </c>
      <c r="Q864">
        <v>445</v>
      </c>
      <c r="R864">
        <v>0</v>
      </c>
      <c r="S864">
        <v>107</v>
      </c>
      <c r="T864">
        <v>123</v>
      </c>
      <c r="U864">
        <v>0</v>
      </c>
      <c r="V864">
        <v>122</v>
      </c>
      <c r="W864">
        <v>94</v>
      </c>
      <c r="X864">
        <v>184</v>
      </c>
      <c r="Y864">
        <v>183</v>
      </c>
      <c r="Z864">
        <v>117</v>
      </c>
      <c r="AA864">
        <v>220</v>
      </c>
      <c r="AB864">
        <v>126</v>
      </c>
      <c r="AC864">
        <v>73</v>
      </c>
      <c r="AD864">
        <v>163</v>
      </c>
      <c r="AE864">
        <v>1512</v>
      </c>
      <c r="AF864">
        <v>2475</v>
      </c>
      <c r="AJ864">
        <v>6.99</v>
      </c>
      <c r="AK864" t="str">
        <f t="shared" si="13"/>
        <v>SY913-5000</v>
      </c>
    </row>
    <row r="865" spans="1:37">
      <c r="A865" t="s">
        <v>1573</v>
      </c>
      <c r="B865" t="s">
        <v>1572</v>
      </c>
      <c r="C865" t="s">
        <v>68</v>
      </c>
      <c r="D865" t="s">
        <v>1422</v>
      </c>
      <c r="E865">
        <v>65</v>
      </c>
      <c r="F865">
        <v>15.8</v>
      </c>
      <c r="G865">
        <v>31</v>
      </c>
      <c r="H865">
        <v>52</v>
      </c>
      <c r="I865">
        <v>40</v>
      </c>
      <c r="J865">
        <v>53</v>
      </c>
      <c r="K865">
        <v>3282</v>
      </c>
      <c r="L865">
        <v>58</v>
      </c>
      <c r="M865">
        <v>0</v>
      </c>
      <c r="N865">
        <v>26</v>
      </c>
      <c r="O865">
        <v>0</v>
      </c>
      <c r="P865">
        <v>0</v>
      </c>
      <c r="Q865">
        <v>3256</v>
      </c>
      <c r="R865">
        <v>0</v>
      </c>
      <c r="S865">
        <v>38</v>
      </c>
      <c r="T865">
        <v>0</v>
      </c>
      <c r="U865">
        <v>117</v>
      </c>
      <c r="V865">
        <v>0</v>
      </c>
      <c r="W865">
        <v>85</v>
      </c>
      <c r="X865">
        <v>0</v>
      </c>
      <c r="Y865">
        <v>0</v>
      </c>
      <c r="Z865">
        <v>0</v>
      </c>
      <c r="AA865">
        <v>160</v>
      </c>
      <c r="AB865">
        <v>76</v>
      </c>
      <c r="AC865">
        <v>0</v>
      </c>
      <c r="AD865">
        <v>154</v>
      </c>
      <c r="AE865">
        <v>630</v>
      </c>
      <c r="AF865">
        <v>973</v>
      </c>
      <c r="AJ865">
        <v>6.63</v>
      </c>
      <c r="AK865" t="str">
        <f t="shared" si="13"/>
        <v>SY913-6200</v>
      </c>
    </row>
    <row r="866" spans="1:37">
      <c r="A866" t="s">
        <v>1574</v>
      </c>
      <c r="B866" t="s">
        <v>1575</v>
      </c>
      <c r="C866" t="s">
        <v>68</v>
      </c>
      <c r="D866" t="s">
        <v>292</v>
      </c>
      <c r="E866">
        <v>65</v>
      </c>
      <c r="F866">
        <v>-0.7</v>
      </c>
      <c r="G866">
        <v>40</v>
      </c>
      <c r="H866">
        <v>13</v>
      </c>
      <c r="I866">
        <v>15</v>
      </c>
      <c r="J866">
        <v>8</v>
      </c>
      <c r="K866">
        <v>0</v>
      </c>
      <c r="L866">
        <v>10</v>
      </c>
      <c r="M866">
        <v>0</v>
      </c>
      <c r="N866">
        <v>34</v>
      </c>
      <c r="O866">
        <v>0</v>
      </c>
      <c r="P866">
        <v>0</v>
      </c>
      <c r="Q866">
        <v>-34</v>
      </c>
      <c r="R866">
        <v>0</v>
      </c>
      <c r="S866">
        <v>38</v>
      </c>
      <c r="T866">
        <v>0</v>
      </c>
      <c r="U866">
        <v>0</v>
      </c>
      <c r="V866">
        <v>0</v>
      </c>
      <c r="W866">
        <v>0</v>
      </c>
      <c r="X866">
        <v>53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91</v>
      </c>
      <c r="AF866">
        <v>0</v>
      </c>
      <c r="AJ866">
        <v>0</v>
      </c>
      <c r="AK866" t="str">
        <f t="shared" si="13"/>
        <v>SY914-3700</v>
      </c>
    </row>
    <row r="867" spans="1:37">
      <c r="A867" t="s">
        <v>1576</v>
      </c>
      <c r="B867" t="s">
        <v>1575</v>
      </c>
      <c r="C867" t="s">
        <v>68</v>
      </c>
      <c r="D867" t="s">
        <v>292</v>
      </c>
      <c r="E867">
        <v>65</v>
      </c>
      <c r="F867">
        <v>-0.1</v>
      </c>
      <c r="G867">
        <v>97</v>
      </c>
      <c r="H867">
        <v>187</v>
      </c>
      <c r="I867">
        <v>179</v>
      </c>
      <c r="J867">
        <v>220</v>
      </c>
      <c r="K867">
        <v>0</v>
      </c>
      <c r="L867">
        <v>85</v>
      </c>
      <c r="M867">
        <v>0</v>
      </c>
      <c r="N867">
        <v>81</v>
      </c>
      <c r="O867">
        <v>0</v>
      </c>
      <c r="P867">
        <v>0</v>
      </c>
      <c r="Q867">
        <v>-81</v>
      </c>
      <c r="R867">
        <v>0</v>
      </c>
      <c r="S867">
        <v>155</v>
      </c>
      <c r="T867">
        <v>406</v>
      </c>
      <c r="U867">
        <v>0</v>
      </c>
      <c r="V867">
        <v>154</v>
      </c>
      <c r="W867">
        <v>358</v>
      </c>
      <c r="X867">
        <v>0</v>
      </c>
      <c r="Y867">
        <v>393</v>
      </c>
      <c r="Z867">
        <v>443</v>
      </c>
      <c r="AA867">
        <v>114</v>
      </c>
      <c r="AB867">
        <v>271</v>
      </c>
      <c r="AC867">
        <v>148</v>
      </c>
      <c r="AD867">
        <v>194</v>
      </c>
      <c r="AE867">
        <v>2636</v>
      </c>
      <c r="AF867">
        <v>2655</v>
      </c>
      <c r="AJ867">
        <v>5.69</v>
      </c>
      <c r="AK867" t="str">
        <f t="shared" si="13"/>
        <v>SY914-5000</v>
      </c>
    </row>
    <row r="868" spans="1:37">
      <c r="A868" t="s">
        <v>1577</v>
      </c>
      <c r="B868" t="s">
        <v>1575</v>
      </c>
      <c r="C868" t="s">
        <v>68</v>
      </c>
      <c r="D868" t="s">
        <v>292</v>
      </c>
      <c r="E868">
        <v>65</v>
      </c>
      <c r="F868">
        <v>1.4</v>
      </c>
      <c r="G868">
        <v>37</v>
      </c>
      <c r="H868">
        <v>180</v>
      </c>
      <c r="I868">
        <v>107</v>
      </c>
      <c r="J868">
        <v>96</v>
      </c>
      <c r="K868">
        <v>1059</v>
      </c>
      <c r="L868">
        <v>50</v>
      </c>
      <c r="M868">
        <v>0</v>
      </c>
      <c r="N868">
        <v>31</v>
      </c>
      <c r="O868">
        <v>0</v>
      </c>
      <c r="P868">
        <v>0</v>
      </c>
      <c r="Q868">
        <v>1028</v>
      </c>
      <c r="R868">
        <v>0</v>
      </c>
      <c r="S868">
        <v>105</v>
      </c>
      <c r="T868">
        <v>0</v>
      </c>
      <c r="U868">
        <v>435</v>
      </c>
      <c r="V868">
        <v>103</v>
      </c>
      <c r="W868">
        <v>0</v>
      </c>
      <c r="X868">
        <v>0</v>
      </c>
      <c r="Y868">
        <v>335</v>
      </c>
      <c r="Z868">
        <v>0</v>
      </c>
      <c r="AA868">
        <v>145</v>
      </c>
      <c r="AB868">
        <v>0</v>
      </c>
      <c r="AC868">
        <v>0</v>
      </c>
      <c r="AD868">
        <v>28</v>
      </c>
      <c r="AE868">
        <v>1151</v>
      </c>
      <c r="AF868">
        <v>1370</v>
      </c>
      <c r="AJ868">
        <v>5.69</v>
      </c>
      <c r="AK868" t="str">
        <f t="shared" si="13"/>
        <v>SY914-6200</v>
      </c>
    </row>
    <row r="869" spans="1:37">
      <c r="A869" t="s">
        <v>1578</v>
      </c>
      <c r="B869" t="s">
        <v>1579</v>
      </c>
      <c r="C869" t="s">
        <v>110</v>
      </c>
      <c r="D869" t="s">
        <v>1580</v>
      </c>
      <c r="E869">
        <v>50</v>
      </c>
      <c r="F869">
        <v>0.1</v>
      </c>
      <c r="G869">
        <v>14</v>
      </c>
      <c r="H869">
        <v>92</v>
      </c>
      <c r="I869">
        <v>60</v>
      </c>
      <c r="J869">
        <v>218</v>
      </c>
      <c r="K869">
        <v>46</v>
      </c>
      <c r="L869">
        <v>98</v>
      </c>
      <c r="M869">
        <v>0</v>
      </c>
      <c r="N869">
        <v>12</v>
      </c>
      <c r="O869">
        <v>0</v>
      </c>
      <c r="P869">
        <v>0</v>
      </c>
      <c r="Q869">
        <v>34</v>
      </c>
      <c r="R869">
        <v>0</v>
      </c>
      <c r="S869">
        <v>71</v>
      </c>
      <c r="T869">
        <v>102</v>
      </c>
      <c r="U869">
        <v>102</v>
      </c>
      <c r="V869">
        <v>15</v>
      </c>
      <c r="W869">
        <v>35</v>
      </c>
      <c r="X869">
        <v>33</v>
      </c>
      <c r="Y869">
        <v>573</v>
      </c>
      <c r="Z869">
        <v>0</v>
      </c>
      <c r="AA869">
        <v>720</v>
      </c>
      <c r="AB869">
        <v>930</v>
      </c>
      <c r="AC869">
        <v>0</v>
      </c>
      <c r="AD869">
        <v>35</v>
      </c>
      <c r="AE869">
        <v>2616</v>
      </c>
      <c r="AF869">
        <v>518</v>
      </c>
      <c r="AJ869">
        <v>4.82</v>
      </c>
      <c r="AK869" t="str">
        <f t="shared" si="13"/>
        <v>WA001-5000</v>
      </c>
    </row>
    <row r="870" spans="1:37">
      <c r="A870" t="s">
        <v>1581</v>
      </c>
      <c r="B870" t="s">
        <v>1579</v>
      </c>
      <c r="C870" t="s">
        <v>110</v>
      </c>
      <c r="D870" t="s">
        <v>1582</v>
      </c>
      <c r="E870">
        <v>50</v>
      </c>
      <c r="F870">
        <v>0.4</v>
      </c>
      <c r="G870">
        <v>0</v>
      </c>
      <c r="H870">
        <v>352</v>
      </c>
      <c r="I870">
        <v>178</v>
      </c>
      <c r="J870">
        <v>89</v>
      </c>
      <c r="K870">
        <v>611</v>
      </c>
      <c r="L870">
        <v>3</v>
      </c>
      <c r="M870">
        <v>0</v>
      </c>
      <c r="N870">
        <v>0</v>
      </c>
      <c r="O870">
        <v>0</v>
      </c>
      <c r="P870">
        <v>0</v>
      </c>
      <c r="Q870">
        <v>611</v>
      </c>
      <c r="R870">
        <v>0</v>
      </c>
      <c r="S870">
        <v>507</v>
      </c>
      <c r="T870">
        <v>548</v>
      </c>
      <c r="U870">
        <v>0</v>
      </c>
      <c r="V870">
        <v>0</v>
      </c>
      <c r="W870">
        <v>11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1066</v>
      </c>
      <c r="AF870">
        <v>31</v>
      </c>
      <c r="AJ870">
        <v>4.25</v>
      </c>
      <c r="AK870" t="str">
        <f t="shared" si="13"/>
        <v>WA001-6200</v>
      </c>
    </row>
    <row r="871" spans="1:37">
      <c r="A871" t="s">
        <v>1583</v>
      </c>
      <c r="B871" t="s">
        <v>1584</v>
      </c>
      <c r="C871" t="s">
        <v>318</v>
      </c>
      <c r="D871" t="s">
        <v>1585</v>
      </c>
      <c r="E871">
        <v>50</v>
      </c>
      <c r="F871">
        <v>2.6</v>
      </c>
      <c r="G871">
        <v>0</v>
      </c>
      <c r="H871">
        <v>5</v>
      </c>
      <c r="I871">
        <v>3</v>
      </c>
      <c r="J871">
        <v>2</v>
      </c>
      <c r="K871">
        <v>56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56</v>
      </c>
      <c r="R871">
        <v>0</v>
      </c>
      <c r="S871">
        <v>0</v>
      </c>
      <c r="T871">
        <v>0</v>
      </c>
      <c r="U871">
        <v>16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13</v>
      </c>
      <c r="AE871">
        <v>29</v>
      </c>
      <c r="AF871">
        <v>0</v>
      </c>
      <c r="AJ871">
        <v>5.94</v>
      </c>
      <c r="AK871" t="str">
        <f t="shared" si="13"/>
        <v>WA011-6200</v>
      </c>
    </row>
    <row r="872" spans="1:37">
      <c r="A872" t="s">
        <v>1586</v>
      </c>
      <c r="B872" t="s">
        <v>1587</v>
      </c>
      <c r="C872" t="s">
        <v>338</v>
      </c>
      <c r="D872" t="s">
        <v>284</v>
      </c>
      <c r="E872">
        <v>43</v>
      </c>
      <c r="F872">
        <v>1.9</v>
      </c>
      <c r="G872">
        <v>56</v>
      </c>
      <c r="H872">
        <v>382</v>
      </c>
      <c r="I872">
        <v>396</v>
      </c>
      <c r="J872">
        <v>427</v>
      </c>
      <c r="K872">
        <v>2994</v>
      </c>
      <c r="L872">
        <v>129</v>
      </c>
      <c r="M872">
        <v>0</v>
      </c>
      <c r="N872">
        <v>47</v>
      </c>
      <c r="O872">
        <v>0</v>
      </c>
      <c r="P872">
        <v>0</v>
      </c>
      <c r="Q872">
        <v>2947</v>
      </c>
      <c r="R872">
        <v>63</v>
      </c>
      <c r="S872">
        <v>141</v>
      </c>
      <c r="T872">
        <v>785</v>
      </c>
      <c r="U872">
        <v>220</v>
      </c>
      <c r="V872">
        <v>872</v>
      </c>
      <c r="W872">
        <v>58</v>
      </c>
      <c r="X872">
        <v>302</v>
      </c>
      <c r="Y872">
        <v>676</v>
      </c>
      <c r="Z872">
        <v>387</v>
      </c>
      <c r="AA872">
        <v>481</v>
      </c>
      <c r="AB872">
        <v>565</v>
      </c>
      <c r="AC872">
        <v>320</v>
      </c>
      <c r="AD872">
        <v>319</v>
      </c>
      <c r="AE872">
        <v>5126</v>
      </c>
      <c r="AF872">
        <v>2735</v>
      </c>
      <c r="AJ872">
        <v>4.91</v>
      </c>
      <c r="AK872" t="str">
        <f t="shared" si="13"/>
        <v>WA030-5000</v>
      </c>
    </row>
    <row r="873" spans="1:37">
      <c r="A873" t="s">
        <v>1588</v>
      </c>
      <c r="B873" t="s">
        <v>1587</v>
      </c>
      <c r="C873" t="s">
        <v>338</v>
      </c>
      <c r="D873" t="s">
        <v>284</v>
      </c>
      <c r="E873">
        <v>43</v>
      </c>
      <c r="F873">
        <v>19.2</v>
      </c>
      <c r="G873">
        <v>21</v>
      </c>
      <c r="H873">
        <v>126</v>
      </c>
      <c r="I873">
        <v>339</v>
      </c>
      <c r="J873">
        <v>290</v>
      </c>
      <c r="K873">
        <v>9682</v>
      </c>
      <c r="L873">
        <v>58</v>
      </c>
      <c r="M873">
        <v>0</v>
      </c>
      <c r="N873">
        <v>17</v>
      </c>
      <c r="O873">
        <v>0</v>
      </c>
      <c r="P873">
        <v>0</v>
      </c>
      <c r="Q873">
        <v>9665</v>
      </c>
      <c r="R873">
        <v>0</v>
      </c>
      <c r="S873">
        <v>0</v>
      </c>
      <c r="T873">
        <v>210</v>
      </c>
      <c r="U873">
        <v>168</v>
      </c>
      <c r="V873">
        <v>1055</v>
      </c>
      <c r="W873">
        <v>599</v>
      </c>
      <c r="X873">
        <v>0</v>
      </c>
      <c r="Y873">
        <v>54</v>
      </c>
      <c r="Z873">
        <v>907</v>
      </c>
      <c r="AA873">
        <v>192</v>
      </c>
      <c r="AB873">
        <v>0</v>
      </c>
      <c r="AC873">
        <v>179</v>
      </c>
      <c r="AD873">
        <v>119</v>
      </c>
      <c r="AE873">
        <v>3483</v>
      </c>
      <c r="AF873">
        <v>3667</v>
      </c>
      <c r="AJ873">
        <v>4.91</v>
      </c>
      <c r="AK873" t="str">
        <f t="shared" si="13"/>
        <v>WA030-6200</v>
      </c>
    </row>
    <row r="874" spans="1:37">
      <c r="A874" t="s">
        <v>1589</v>
      </c>
      <c r="B874" t="s">
        <v>1590</v>
      </c>
      <c r="C874" t="s">
        <v>338</v>
      </c>
      <c r="D874" t="s">
        <v>284</v>
      </c>
      <c r="E874">
        <v>43</v>
      </c>
      <c r="F874">
        <v>8.3000000000000007</v>
      </c>
      <c r="G874">
        <v>19</v>
      </c>
      <c r="H874">
        <v>80</v>
      </c>
      <c r="I874">
        <v>83</v>
      </c>
      <c r="J874">
        <v>76</v>
      </c>
      <c r="K874">
        <v>2694</v>
      </c>
      <c r="L874">
        <v>65</v>
      </c>
      <c r="M874">
        <v>0</v>
      </c>
      <c r="N874">
        <v>16</v>
      </c>
      <c r="O874">
        <v>0</v>
      </c>
      <c r="P874">
        <v>0</v>
      </c>
      <c r="Q874">
        <v>2678</v>
      </c>
      <c r="R874">
        <v>60</v>
      </c>
      <c r="S874">
        <v>48</v>
      </c>
      <c r="T874">
        <v>110</v>
      </c>
      <c r="U874">
        <v>83</v>
      </c>
      <c r="V874">
        <v>109</v>
      </c>
      <c r="W874">
        <v>140</v>
      </c>
      <c r="X874">
        <v>10</v>
      </c>
      <c r="Y874">
        <v>121</v>
      </c>
      <c r="Z874">
        <v>41</v>
      </c>
      <c r="AA874">
        <v>81</v>
      </c>
      <c r="AB874">
        <v>121</v>
      </c>
      <c r="AC874">
        <v>52</v>
      </c>
      <c r="AD874">
        <v>0</v>
      </c>
      <c r="AE874">
        <v>916</v>
      </c>
      <c r="AF874">
        <v>1185</v>
      </c>
      <c r="AJ874">
        <v>5.72</v>
      </c>
      <c r="AK874" t="str">
        <f t="shared" si="13"/>
        <v>WA090-5000</v>
      </c>
    </row>
    <row r="875" spans="1:37">
      <c r="A875" t="s">
        <v>1591</v>
      </c>
      <c r="B875" t="s">
        <v>1590</v>
      </c>
      <c r="C875" t="s">
        <v>338</v>
      </c>
      <c r="D875" t="s">
        <v>284</v>
      </c>
      <c r="E875">
        <v>43</v>
      </c>
      <c r="F875">
        <v>3.1</v>
      </c>
      <c r="G875">
        <v>62</v>
      </c>
      <c r="H875">
        <v>66</v>
      </c>
      <c r="I875">
        <v>52</v>
      </c>
      <c r="J875">
        <v>62</v>
      </c>
      <c r="K875">
        <v>858</v>
      </c>
      <c r="L875">
        <v>46</v>
      </c>
      <c r="M875">
        <v>0</v>
      </c>
      <c r="N875">
        <v>52</v>
      </c>
      <c r="O875">
        <v>0</v>
      </c>
      <c r="P875">
        <v>0</v>
      </c>
      <c r="Q875">
        <v>806</v>
      </c>
      <c r="R875">
        <v>0</v>
      </c>
      <c r="S875">
        <v>0</v>
      </c>
      <c r="T875">
        <v>101</v>
      </c>
      <c r="U875">
        <v>97</v>
      </c>
      <c r="V875">
        <v>47</v>
      </c>
      <c r="W875">
        <v>50</v>
      </c>
      <c r="X875">
        <v>16</v>
      </c>
      <c r="Y875">
        <v>60</v>
      </c>
      <c r="Z875">
        <v>59</v>
      </c>
      <c r="AA875">
        <v>0</v>
      </c>
      <c r="AB875">
        <v>91</v>
      </c>
      <c r="AC875">
        <v>126</v>
      </c>
      <c r="AD875">
        <v>94</v>
      </c>
      <c r="AE875">
        <v>741</v>
      </c>
      <c r="AF875">
        <v>760</v>
      </c>
      <c r="AJ875">
        <v>5.72</v>
      </c>
      <c r="AK875" t="str">
        <f t="shared" si="13"/>
        <v>WA090-6200</v>
      </c>
    </row>
    <row r="876" spans="1:37">
      <c r="A876" t="s">
        <v>1592</v>
      </c>
      <c r="B876" t="s">
        <v>1593</v>
      </c>
      <c r="C876" t="s">
        <v>338</v>
      </c>
      <c r="E876">
        <v>43</v>
      </c>
      <c r="F876">
        <v>4.5999999999999996</v>
      </c>
      <c r="G876">
        <v>0</v>
      </c>
      <c r="H876">
        <v>2</v>
      </c>
      <c r="I876">
        <v>1</v>
      </c>
      <c r="J876">
        <v>1</v>
      </c>
      <c r="K876">
        <v>43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43</v>
      </c>
      <c r="R876">
        <v>0</v>
      </c>
      <c r="S876">
        <v>7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7</v>
      </c>
      <c r="AF876">
        <v>9</v>
      </c>
      <c r="AJ876">
        <v>0</v>
      </c>
      <c r="AK876" t="str">
        <f t="shared" si="13"/>
        <v>WA110-450L</v>
      </c>
    </row>
    <row r="877" spans="1:37">
      <c r="A877" t="s">
        <v>5296</v>
      </c>
      <c r="B877" t="s">
        <v>1593</v>
      </c>
      <c r="C877" t="s">
        <v>338</v>
      </c>
      <c r="E877">
        <v>43</v>
      </c>
      <c r="F877">
        <v>4.5999999999999996</v>
      </c>
      <c r="G877">
        <v>0</v>
      </c>
      <c r="H877">
        <v>2</v>
      </c>
      <c r="I877">
        <v>1</v>
      </c>
      <c r="J877">
        <v>1</v>
      </c>
      <c r="K877">
        <v>43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43</v>
      </c>
      <c r="R877">
        <v>0</v>
      </c>
      <c r="S877">
        <v>7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7</v>
      </c>
      <c r="AF877">
        <v>0</v>
      </c>
      <c r="AJ877">
        <v>0</v>
      </c>
      <c r="AK877" t="str">
        <f t="shared" si="13"/>
        <v>WA110-450R</v>
      </c>
    </row>
    <row r="878" spans="1:37">
      <c r="A878" t="s">
        <v>1594</v>
      </c>
      <c r="B878" t="s">
        <v>1595</v>
      </c>
      <c r="C878" t="s">
        <v>338</v>
      </c>
      <c r="D878" t="s">
        <v>284</v>
      </c>
      <c r="E878">
        <v>43</v>
      </c>
      <c r="F878">
        <v>7.5</v>
      </c>
      <c r="G878">
        <v>70</v>
      </c>
      <c r="H878">
        <v>234</v>
      </c>
      <c r="I878">
        <v>335</v>
      </c>
      <c r="J878">
        <v>236</v>
      </c>
      <c r="K878">
        <v>7104</v>
      </c>
      <c r="L878">
        <v>454</v>
      </c>
      <c r="M878">
        <v>0</v>
      </c>
      <c r="N878">
        <v>59</v>
      </c>
      <c r="O878">
        <v>0</v>
      </c>
      <c r="P878">
        <v>0</v>
      </c>
      <c r="Q878">
        <v>7045</v>
      </c>
      <c r="R878">
        <v>14</v>
      </c>
      <c r="S878">
        <v>227</v>
      </c>
      <c r="T878">
        <v>403</v>
      </c>
      <c r="U878">
        <v>71</v>
      </c>
      <c r="V878">
        <v>590</v>
      </c>
      <c r="W878">
        <v>656</v>
      </c>
      <c r="X878">
        <v>65</v>
      </c>
      <c r="Y878">
        <v>137</v>
      </c>
      <c r="Z878">
        <v>87</v>
      </c>
      <c r="AA878">
        <v>137</v>
      </c>
      <c r="AB878">
        <v>197</v>
      </c>
      <c r="AC878">
        <v>256</v>
      </c>
      <c r="AD878">
        <v>0</v>
      </c>
      <c r="AE878">
        <v>2826</v>
      </c>
      <c r="AF878">
        <v>5187</v>
      </c>
      <c r="AJ878">
        <v>3.85</v>
      </c>
      <c r="AK878" t="str">
        <f t="shared" si="13"/>
        <v>WA110-5000</v>
      </c>
    </row>
    <row r="879" spans="1:37">
      <c r="A879" t="s">
        <v>1596</v>
      </c>
      <c r="B879" t="s">
        <v>1595</v>
      </c>
      <c r="C879" t="s">
        <v>338</v>
      </c>
      <c r="D879" t="s">
        <v>284</v>
      </c>
      <c r="E879">
        <v>43</v>
      </c>
      <c r="F879">
        <v>21.5</v>
      </c>
      <c r="G879">
        <v>114</v>
      </c>
      <c r="H879">
        <v>121</v>
      </c>
      <c r="I879">
        <v>107</v>
      </c>
      <c r="J879">
        <v>511</v>
      </c>
      <c r="K879">
        <v>10490</v>
      </c>
      <c r="L879">
        <v>49</v>
      </c>
      <c r="M879">
        <v>0</v>
      </c>
      <c r="N879">
        <v>95</v>
      </c>
      <c r="O879">
        <v>0</v>
      </c>
      <c r="P879">
        <v>0</v>
      </c>
      <c r="Q879">
        <v>10395</v>
      </c>
      <c r="R879">
        <v>0</v>
      </c>
      <c r="S879">
        <v>112</v>
      </c>
      <c r="T879">
        <v>82</v>
      </c>
      <c r="U879">
        <v>169</v>
      </c>
      <c r="V879">
        <v>31</v>
      </c>
      <c r="W879">
        <v>36</v>
      </c>
      <c r="X879">
        <v>214</v>
      </c>
      <c r="Y879">
        <v>156</v>
      </c>
      <c r="Z879">
        <v>4499</v>
      </c>
      <c r="AA879">
        <v>77</v>
      </c>
      <c r="AB879">
        <v>157</v>
      </c>
      <c r="AC879">
        <v>599</v>
      </c>
      <c r="AD879">
        <v>0</v>
      </c>
      <c r="AE879">
        <v>6132</v>
      </c>
      <c r="AF879">
        <v>4726</v>
      </c>
      <c r="AJ879">
        <v>3.85</v>
      </c>
      <c r="AK879" t="str">
        <f t="shared" si="13"/>
        <v>WA110-6200</v>
      </c>
    </row>
    <row r="880" spans="1:37">
      <c r="A880" t="s">
        <v>1597</v>
      </c>
      <c r="B880" t="s">
        <v>1598</v>
      </c>
      <c r="C880" t="s">
        <v>338</v>
      </c>
      <c r="D880" t="s">
        <v>284</v>
      </c>
      <c r="E880">
        <v>43</v>
      </c>
      <c r="F880">
        <v>5.3</v>
      </c>
      <c r="G880">
        <v>176</v>
      </c>
      <c r="H880">
        <v>56</v>
      </c>
      <c r="I880">
        <v>87</v>
      </c>
      <c r="J880">
        <v>176</v>
      </c>
      <c r="K880">
        <v>1318</v>
      </c>
      <c r="L880">
        <v>59</v>
      </c>
      <c r="M880">
        <v>0</v>
      </c>
      <c r="N880">
        <v>147</v>
      </c>
      <c r="O880">
        <v>0</v>
      </c>
      <c r="P880">
        <v>0</v>
      </c>
      <c r="Q880">
        <v>1171</v>
      </c>
      <c r="R880">
        <v>0</v>
      </c>
      <c r="S880">
        <v>78</v>
      </c>
      <c r="T880">
        <v>38</v>
      </c>
      <c r="U880">
        <v>51</v>
      </c>
      <c r="V880">
        <v>80</v>
      </c>
      <c r="W880">
        <v>7</v>
      </c>
      <c r="X880">
        <v>267</v>
      </c>
      <c r="Y880">
        <v>224</v>
      </c>
      <c r="Z880">
        <v>609</v>
      </c>
      <c r="AA880">
        <v>184</v>
      </c>
      <c r="AB880">
        <v>296</v>
      </c>
      <c r="AC880">
        <v>226</v>
      </c>
      <c r="AD880">
        <v>51</v>
      </c>
      <c r="AE880">
        <v>2111</v>
      </c>
      <c r="AF880">
        <v>2308</v>
      </c>
      <c r="AJ880">
        <v>6.75</v>
      </c>
      <c r="AK880" t="str">
        <f t="shared" si="13"/>
        <v>WA120-5000</v>
      </c>
    </row>
    <row r="881" spans="1:37">
      <c r="A881" t="s">
        <v>1599</v>
      </c>
      <c r="B881" t="s">
        <v>1598</v>
      </c>
      <c r="C881" t="s">
        <v>338</v>
      </c>
      <c r="D881" t="s">
        <v>284</v>
      </c>
      <c r="E881">
        <v>43</v>
      </c>
      <c r="F881">
        <v>2.2000000000000002</v>
      </c>
      <c r="G881">
        <v>144</v>
      </c>
      <c r="H881">
        <v>667</v>
      </c>
      <c r="I881">
        <v>383</v>
      </c>
      <c r="J881">
        <v>443</v>
      </c>
      <c r="K881">
        <v>5926</v>
      </c>
      <c r="L881">
        <v>600</v>
      </c>
      <c r="M881">
        <v>0</v>
      </c>
      <c r="N881">
        <v>120</v>
      </c>
      <c r="O881">
        <v>0</v>
      </c>
      <c r="P881">
        <v>0</v>
      </c>
      <c r="Q881">
        <v>5806</v>
      </c>
      <c r="R881">
        <v>0</v>
      </c>
      <c r="S881">
        <v>394</v>
      </c>
      <c r="T881">
        <v>410</v>
      </c>
      <c r="U881">
        <v>1197</v>
      </c>
      <c r="V881">
        <v>119</v>
      </c>
      <c r="W881">
        <v>97</v>
      </c>
      <c r="X881">
        <v>80</v>
      </c>
      <c r="Y881">
        <v>622</v>
      </c>
      <c r="Z881">
        <v>0</v>
      </c>
      <c r="AA881">
        <v>386</v>
      </c>
      <c r="AB881">
        <v>539</v>
      </c>
      <c r="AC881">
        <v>203</v>
      </c>
      <c r="AD881">
        <v>1267</v>
      </c>
      <c r="AE881">
        <v>5314</v>
      </c>
      <c r="AF881">
        <v>2115</v>
      </c>
      <c r="AJ881">
        <v>5.77</v>
      </c>
      <c r="AK881" t="str">
        <f t="shared" si="13"/>
        <v>WA120-6200</v>
      </c>
    </row>
    <row r="882" spans="1:37">
      <c r="A882" t="s">
        <v>1600</v>
      </c>
      <c r="B882" t="s">
        <v>1601</v>
      </c>
      <c r="C882" t="s">
        <v>110</v>
      </c>
      <c r="D882" t="s">
        <v>900</v>
      </c>
      <c r="E882">
        <v>50</v>
      </c>
      <c r="F882">
        <v>0</v>
      </c>
      <c r="G882">
        <v>0</v>
      </c>
      <c r="H882">
        <v>0</v>
      </c>
      <c r="I882">
        <v>8</v>
      </c>
      <c r="J882">
        <v>13</v>
      </c>
      <c r="K882">
        <v>208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208</v>
      </c>
      <c r="R882">
        <v>0</v>
      </c>
      <c r="S882">
        <v>0</v>
      </c>
      <c r="T882">
        <v>0</v>
      </c>
      <c r="U882">
        <v>0</v>
      </c>
      <c r="V882">
        <v>25</v>
      </c>
      <c r="W882">
        <v>22</v>
      </c>
      <c r="X882">
        <v>0</v>
      </c>
      <c r="Y882">
        <v>0</v>
      </c>
      <c r="Z882">
        <v>0</v>
      </c>
      <c r="AA882">
        <v>0</v>
      </c>
      <c r="AB882">
        <v>59</v>
      </c>
      <c r="AC882">
        <v>4</v>
      </c>
      <c r="AD882">
        <v>41</v>
      </c>
      <c r="AE882">
        <v>151</v>
      </c>
      <c r="AF882">
        <v>856</v>
      </c>
      <c r="AJ882">
        <v>4.0199999999999996</v>
      </c>
      <c r="AK882" t="str">
        <f t="shared" si="13"/>
        <v>WC090-5000</v>
      </c>
    </row>
    <row r="883" spans="1:37">
      <c r="A883" t="s">
        <v>1602</v>
      </c>
      <c r="B883" t="s">
        <v>1601</v>
      </c>
      <c r="C883" t="s">
        <v>110</v>
      </c>
      <c r="D883" t="s">
        <v>900</v>
      </c>
      <c r="E883">
        <v>50</v>
      </c>
      <c r="F883">
        <v>2.1</v>
      </c>
      <c r="G883">
        <v>0</v>
      </c>
      <c r="H883">
        <v>77</v>
      </c>
      <c r="I883">
        <v>67</v>
      </c>
      <c r="J883">
        <v>68</v>
      </c>
      <c r="K883">
        <v>655</v>
      </c>
      <c r="L883">
        <v>16</v>
      </c>
      <c r="M883">
        <v>0</v>
      </c>
      <c r="N883">
        <v>0</v>
      </c>
      <c r="O883">
        <v>0</v>
      </c>
      <c r="P883">
        <v>0</v>
      </c>
      <c r="Q883">
        <v>655</v>
      </c>
      <c r="R883">
        <v>0</v>
      </c>
      <c r="S883">
        <v>48</v>
      </c>
      <c r="T883">
        <v>183</v>
      </c>
      <c r="U883">
        <v>0</v>
      </c>
      <c r="V883">
        <v>104</v>
      </c>
      <c r="W883">
        <v>68</v>
      </c>
      <c r="X883">
        <v>0</v>
      </c>
      <c r="Y883">
        <v>0</v>
      </c>
      <c r="Z883">
        <v>253</v>
      </c>
      <c r="AA883">
        <v>0</v>
      </c>
      <c r="AB883">
        <v>0</v>
      </c>
      <c r="AC883">
        <v>164</v>
      </c>
      <c r="AD883">
        <v>0</v>
      </c>
      <c r="AE883">
        <v>820</v>
      </c>
      <c r="AF883">
        <v>873</v>
      </c>
      <c r="AJ883">
        <v>4.38</v>
      </c>
      <c r="AK883" t="str">
        <f t="shared" si="13"/>
        <v>WC090-6200</v>
      </c>
    </row>
    <row r="884" spans="1:37">
      <c r="A884" t="s">
        <v>1603</v>
      </c>
      <c r="B884" t="s">
        <v>1604</v>
      </c>
      <c r="C884" t="s">
        <v>313</v>
      </c>
      <c r="D884" t="s">
        <v>1605</v>
      </c>
      <c r="E884">
        <v>43</v>
      </c>
      <c r="F884">
        <v>1.6</v>
      </c>
      <c r="G884">
        <v>120</v>
      </c>
      <c r="H884">
        <v>197</v>
      </c>
      <c r="I884">
        <v>293</v>
      </c>
      <c r="J884">
        <v>368</v>
      </c>
      <c r="K884">
        <v>1362</v>
      </c>
      <c r="L884">
        <v>430</v>
      </c>
      <c r="M884">
        <v>0</v>
      </c>
      <c r="N884">
        <v>100</v>
      </c>
      <c r="O884">
        <v>0</v>
      </c>
      <c r="P884">
        <v>0</v>
      </c>
      <c r="Q884">
        <v>1262</v>
      </c>
      <c r="R884">
        <v>0</v>
      </c>
      <c r="S884">
        <v>524</v>
      </c>
      <c r="T884">
        <v>0</v>
      </c>
      <c r="U884">
        <v>66</v>
      </c>
      <c r="V884">
        <v>321</v>
      </c>
      <c r="W884">
        <v>492</v>
      </c>
      <c r="X884">
        <v>352</v>
      </c>
      <c r="Y884">
        <v>305</v>
      </c>
      <c r="Z884">
        <v>697</v>
      </c>
      <c r="AA884">
        <v>538</v>
      </c>
      <c r="AB884">
        <v>56</v>
      </c>
      <c r="AC884">
        <v>1065</v>
      </c>
      <c r="AD884">
        <v>0</v>
      </c>
      <c r="AE884">
        <v>4416</v>
      </c>
      <c r="AF884">
        <v>11132</v>
      </c>
      <c r="AJ884">
        <v>4.2</v>
      </c>
      <c r="AK884" t="str">
        <f t="shared" si="13"/>
        <v>WC105-5000</v>
      </c>
    </row>
    <row r="885" spans="1:37">
      <c r="A885" t="s">
        <v>1606</v>
      </c>
      <c r="B885" t="s">
        <v>1604</v>
      </c>
      <c r="C885" t="s">
        <v>313</v>
      </c>
      <c r="D885" t="s">
        <v>1605</v>
      </c>
      <c r="E885">
        <v>43</v>
      </c>
      <c r="F885">
        <v>3.5</v>
      </c>
      <c r="G885">
        <v>98</v>
      </c>
      <c r="H885">
        <v>63</v>
      </c>
      <c r="I885">
        <v>120</v>
      </c>
      <c r="J885">
        <v>285</v>
      </c>
      <c r="K885">
        <v>952</v>
      </c>
      <c r="L885">
        <v>13</v>
      </c>
      <c r="M885">
        <v>0</v>
      </c>
      <c r="N885">
        <v>82</v>
      </c>
      <c r="O885">
        <v>0</v>
      </c>
      <c r="P885">
        <v>0</v>
      </c>
      <c r="Q885">
        <v>870</v>
      </c>
      <c r="R885">
        <v>0</v>
      </c>
      <c r="S885">
        <v>80</v>
      </c>
      <c r="T885">
        <v>0</v>
      </c>
      <c r="U885">
        <v>109</v>
      </c>
      <c r="V885">
        <v>106</v>
      </c>
      <c r="W885">
        <v>322</v>
      </c>
      <c r="X885">
        <v>102</v>
      </c>
      <c r="Y885">
        <v>395</v>
      </c>
      <c r="Z885">
        <v>149</v>
      </c>
      <c r="AA885">
        <v>479</v>
      </c>
      <c r="AB885">
        <v>1095</v>
      </c>
      <c r="AC885">
        <v>406</v>
      </c>
      <c r="AD885">
        <v>175</v>
      </c>
      <c r="AE885">
        <v>3418</v>
      </c>
      <c r="AF885">
        <v>6734</v>
      </c>
      <c r="AJ885">
        <v>4.2300000000000004</v>
      </c>
      <c r="AK885" t="str">
        <f t="shared" si="13"/>
        <v>WC105-6200</v>
      </c>
    </row>
    <row r="886" spans="1:37">
      <c r="A886" t="s">
        <v>1607</v>
      </c>
      <c r="B886" t="s">
        <v>1608</v>
      </c>
      <c r="C886" t="s">
        <v>313</v>
      </c>
      <c r="E886">
        <v>40</v>
      </c>
      <c r="F886">
        <v>1.8</v>
      </c>
      <c r="G886">
        <v>72</v>
      </c>
      <c r="H886">
        <v>157</v>
      </c>
      <c r="I886">
        <v>278</v>
      </c>
      <c r="J886">
        <v>257</v>
      </c>
      <c r="K886">
        <v>1163</v>
      </c>
      <c r="L886">
        <v>220</v>
      </c>
      <c r="M886">
        <v>0</v>
      </c>
      <c r="N886">
        <v>60</v>
      </c>
      <c r="O886">
        <v>0</v>
      </c>
      <c r="P886">
        <v>0</v>
      </c>
      <c r="Q886">
        <v>1103</v>
      </c>
      <c r="R886">
        <v>0</v>
      </c>
      <c r="S886">
        <v>114</v>
      </c>
      <c r="T886">
        <v>196</v>
      </c>
      <c r="U886">
        <v>162</v>
      </c>
      <c r="V886">
        <v>466</v>
      </c>
      <c r="W886">
        <v>341</v>
      </c>
      <c r="X886">
        <v>391</v>
      </c>
      <c r="Y886">
        <v>338</v>
      </c>
      <c r="Z886">
        <v>131</v>
      </c>
      <c r="AA886">
        <v>503</v>
      </c>
      <c r="AB886">
        <v>0</v>
      </c>
      <c r="AC886">
        <v>219</v>
      </c>
      <c r="AD886">
        <v>218</v>
      </c>
      <c r="AE886">
        <v>3079</v>
      </c>
      <c r="AF886">
        <v>3649</v>
      </c>
      <c r="AJ886">
        <v>3.88</v>
      </c>
      <c r="AK886" t="str">
        <f t="shared" si="13"/>
        <v>WC115-5000</v>
      </c>
    </row>
    <row r="887" spans="1:37">
      <c r="A887" t="s">
        <v>1609</v>
      </c>
      <c r="B887" t="s">
        <v>1608</v>
      </c>
      <c r="C887" t="s">
        <v>313</v>
      </c>
      <c r="E887">
        <v>40</v>
      </c>
      <c r="F887">
        <v>6.4</v>
      </c>
      <c r="G887">
        <v>29</v>
      </c>
      <c r="H887">
        <v>90</v>
      </c>
      <c r="I887">
        <v>109</v>
      </c>
      <c r="J887">
        <v>216</v>
      </c>
      <c r="K887">
        <v>2328</v>
      </c>
      <c r="L887">
        <v>42</v>
      </c>
      <c r="M887">
        <v>0</v>
      </c>
      <c r="N887">
        <v>24</v>
      </c>
      <c r="O887">
        <v>0</v>
      </c>
      <c r="P887">
        <v>0</v>
      </c>
      <c r="Q887">
        <v>2304</v>
      </c>
      <c r="R887">
        <v>0</v>
      </c>
      <c r="S887">
        <v>188</v>
      </c>
      <c r="T887">
        <v>57</v>
      </c>
      <c r="U887">
        <v>25</v>
      </c>
      <c r="V887">
        <v>139</v>
      </c>
      <c r="W887">
        <v>113</v>
      </c>
      <c r="X887">
        <v>129</v>
      </c>
      <c r="Y887">
        <v>503</v>
      </c>
      <c r="Z887">
        <v>177</v>
      </c>
      <c r="AA887">
        <v>731</v>
      </c>
      <c r="AB887">
        <v>172</v>
      </c>
      <c r="AC887">
        <v>0</v>
      </c>
      <c r="AD887">
        <v>355</v>
      </c>
      <c r="AE887">
        <v>2589</v>
      </c>
      <c r="AF887">
        <v>2180</v>
      </c>
      <c r="AJ887">
        <v>5.3</v>
      </c>
      <c r="AK887" t="str">
        <f t="shared" si="13"/>
        <v>WC115-6200</v>
      </c>
    </row>
    <row r="888" spans="1:37">
      <c r="A888" t="s">
        <v>1610</v>
      </c>
      <c r="B888" t="s">
        <v>1611</v>
      </c>
      <c r="C888" t="s">
        <v>313</v>
      </c>
      <c r="D888" t="s">
        <v>1612</v>
      </c>
      <c r="E888">
        <v>43</v>
      </c>
      <c r="F888">
        <v>4.5</v>
      </c>
      <c r="G888">
        <v>0</v>
      </c>
      <c r="H888">
        <v>42</v>
      </c>
      <c r="I888">
        <v>43</v>
      </c>
      <c r="J888">
        <v>46</v>
      </c>
      <c r="K888">
        <v>762</v>
      </c>
      <c r="L888">
        <v>9</v>
      </c>
      <c r="M888">
        <v>0</v>
      </c>
      <c r="N888">
        <v>0</v>
      </c>
      <c r="O888">
        <v>0</v>
      </c>
      <c r="P888">
        <v>0</v>
      </c>
      <c r="Q888">
        <v>762</v>
      </c>
      <c r="R888">
        <v>0</v>
      </c>
      <c r="S888">
        <v>0</v>
      </c>
      <c r="T888">
        <v>126</v>
      </c>
      <c r="U888">
        <v>0</v>
      </c>
      <c r="V888">
        <v>0</v>
      </c>
      <c r="W888">
        <v>120</v>
      </c>
      <c r="X888">
        <v>12</v>
      </c>
      <c r="Y888">
        <v>34</v>
      </c>
      <c r="Z888">
        <v>97</v>
      </c>
      <c r="AA888">
        <v>147</v>
      </c>
      <c r="AB888">
        <v>0</v>
      </c>
      <c r="AC888">
        <v>17</v>
      </c>
      <c r="AD888">
        <v>0</v>
      </c>
      <c r="AE888">
        <v>553</v>
      </c>
      <c r="AF888">
        <v>49</v>
      </c>
      <c r="AJ888">
        <v>5.4</v>
      </c>
      <c r="AK888" t="str">
        <f t="shared" si="13"/>
        <v>WC125-5000</v>
      </c>
    </row>
    <row r="889" spans="1:37">
      <c r="A889" t="s">
        <v>1613</v>
      </c>
      <c r="B889" t="s">
        <v>1611</v>
      </c>
      <c r="C889" t="s">
        <v>313</v>
      </c>
      <c r="D889" t="s">
        <v>1612</v>
      </c>
      <c r="E889">
        <v>43</v>
      </c>
      <c r="F889">
        <v>0</v>
      </c>
      <c r="G889">
        <v>0</v>
      </c>
      <c r="H889">
        <v>0</v>
      </c>
      <c r="I889">
        <v>2</v>
      </c>
      <c r="J889">
        <v>3</v>
      </c>
      <c r="K889">
        <v>427</v>
      </c>
      <c r="L889">
        <v>6</v>
      </c>
      <c r="M889">
        <v>0</v>
      </c>
      <c r="N889">
        <v>0</v>
      </c>
      <c r="O889">
        <v>0</v>
      </c>
      <c r="P889">
        <v>0</v>
      </c>
      <c r="Q889">
        <v>427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11</v>
      </c>
      <c r="Y889">
        <v>0</v>
      </c>
      <c r="Z889">
        <v>16</v>
      </c>
      <c r="AA889">
        <v>0</v>
      </c>
      <c r="AB889">
        <v>9</v>
      </c>
      <c r="AC889">
        <v>0</v>
      </c>
      <c r="AD889">
        <v>0</v>
      </c>
      <c r="AE889">
        <v>36</v>
      </c>
      <c r="AF889">
        <v>18</v>
      </c>
      <c r="AJ889">
        <v>4.8</v>
      </c>
      <c r="AK889" t="str">
        <f t="shared" si="13"/>
        <v>WC125-6200</v>
      </c>
    </row>
    <row r="890" spans="1:37">
      <c r="A890" t="s">
        <v>1614</v>
      </c>
      <c r="B890" t="s">
        <v>1615</v>
      </c>
      <c r="C890" t="s">
        <v>110</v>
      </c>
      <c r="D890" t="s">
        <v>1616</v>
      </c>
      <c r="E890">
        <v>43</v>
      </c>
      <c r="F890">
        <v>48.8</v>
      </c>
      <c r="G890">
        <v>0</v>
      </c>
      <c r="H890">
        <v>3</v>
      </c>
      <c r="I890">
        <v>61</v>
      </c>
      <c r="J890">
        <v>63</v>
      </c>
      <c r="K890">
        <v>650</v>
      </c>
      <c r="L890">
        <v>2</v>
      </c>
      <c r="M890">
        <v>0</v>
      </c>
      <c r="N890">
        <v>0</v>
      </c>
      <c r="O890">
        <v>0</v>
      </c>
      <c r="P890">
        <v>0</v>
      </c>
      <c r="Q890">
        <v>650</v>
      </c>
      <c r="R890">
        <v>0</v>
      </c>
      <c r="S890">
        <v>0</v>
      </c>
      <c r="T890">
        <v>10</v>
      </c>
      <c r="U890">
        <v>0</v>
      </c>
      <c r="V890">
        <v>7</v>
      </c>
      <c r="W890">
        <v>194</v>
      </c>
      <c r="X890">
        <v>156</v>
      </c>
      <c r="Y890">
        <v>0</v>
      </c>
      <c r="Z890">
        <v>314</v>
      </c>
      <c r="AA890">
        <v>0</v>
      </c>
      <c r="AB890">
        <v>0</v>
      </c>
      <c r="AC890">
        <v>8</v>
      </c>
      <c r="AD890">
        <v>68</v>
      </c>
      <c r="AE890">
        <v>757</v>
      </c>
      <c r="AF890">
        <v>631</v>
      </c>
      <c r="AJ890">
        <v>4.1500000000000004</v>
      </c>
      <c r="AK890" t="str">
        <f t="shared" si="13"/>
        <v>WC135-5000</v>
      </c>
    </row>
    <row r="891" spans="1:37">
      <c r="A891" t="s">
        <v>1617</v>
      </c>
      <c r="B891" t="s">
        <v>1615</v>
      </c>
      <c r="C891" t="s">
        <v>110</v>
      </c>
      <c r="D891" t="s">
        <v>1616</v>
      </c>
      <c r="E891">
        <v>43</v>
      </c>
      <c r="F891">
        <v>39.1</v>
      </c>
      <c r="G891">
        <v>0</v>
      </c>
      <c r="H891">
        <v>4</v>
      </c>
      <c r="I891">
        <v>12</v>
      </c>
      <c r="J891">
        <v>94</v>
      </c>
      <c r="K891">
        <v>573</v>
      </c>
      <c r="L891">
        <v>5</v>
      </c>
      <c r="M891">
        <v>0</v>
      </c>
      <c r="N891">
        <v>0</v>
      </c>
      <c r="O891">
        <v>0</v>
      </c>
      <c r="P891">
        <v>0</v>
      </c>
      <c r="Q891">
        <v>573</v>
      </c>
      <c r="R891">
        <v>0</v>
      </c>
      <c r="S891">
        <v>0</v>
      </c>
      <c r="T891">
        <v>0</v>
      </c>
      <c r="U891">
        <v>11</v>
      </c>
      <c r="V891">
        <v>0</v>
      </c>
      <c r="W891">
        <v>9</v>
      </c>
      <c r="X891">
        <v>50</v>
      </c>
      <c r="Y891">
        <v>0</v>
      </c>
      <c r="Z891">
        <v>271</v>
      </c>
      <c r="AA891">
        <v>309</v>
      </c>
      <c r="AB891">
        <v>24</v>
      </c>
      <c r="AC891">
        <v>26</v>
      </c>
      <c r="AD891">
        <v>422</v>
      </c>
      <c r="AE891">
        <v>1122</v>
      </c>
      <c r="AF891">
        <v>87</v>
      </c>
      <c r="AJ891">
        <v>4.38</v>
      </c>
      <c r="AK891" t="str">
        <f t="shared" si="13"/>
        <v>WC135-6200</v>
      </c>
    </row>
    <row r="892" spans="1:37">
      <c r="A892" t="s">
        <v>1618</v>
      </c>
      <c r="B892" t="s">
        <v>1619</v>
      </c>
      <c r="C892" t="s">
        <v>338</v>
      </c>
      <c r="D892" t="s">
        <v>1397</v>
      </c>
      <c r="E892">
        <v>50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5115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5115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0</v>
      </c>
      <c r="AE892">
        <v>3</v>
      </c>
      <c r="AF892">
        <v>0</v>
      </c>
      <c r="AJ892">
        <v>1.78</v>
      </c>
      <c r="AK892" t="str">
        <f t="shared" si="13"/>
        <v>WC175-5000</v>
      </c>
    </row>
    <row r="893" spans="1:37">
      <c r="A893" t="s">
        <v>1620</v>
      </c>
      <c r="B893" t="s">
        <v>1619</v>
      </c>
      <c r="C893" t="s">
        <v>338</v>
      </c>
      <c r="D893" t="s">
        <v>1397</v>
      </c>
      <c r="E893">
        <v>50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3254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3254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J893">
        <v>1.78</v>
      </c>
      <c r="AK893" t="str">
        <f t="shared" si="13"/>
        <v>WC175-6200</v>
      </c>
    </row>
    <row r="894" spans="1:37">
      <c r="A894" t="s">
        <v>1621</v>
      </c>
      <c r="B894" t="s">
        <v>1622</v>
      </c>
      <c r="C894" t="s">
        <v>313</v>
      </c>
      <c r="D894" t="s">
        <v>1623</v>
      </c>
      <c r="E894">
        <v>43</v>
      </c>
      <c r="F894">
        <v>8.1</v>
      </c>
      <c r="G894">
        <v>104</v>
      </c>
      <c r="H894">
        <v>37</v>
      </c>
      <c r="I894">
        <v>131</v>
      </c>
      <c r="J894">
        <v>90</v>
      </c>
      <c r="K894">
        <v>1277</v>
      </c>
      <c r="L894">
        <v>117</v>
      </c>
      <c r="M894">
        <v>0</v>
      </c>
      <c r="N894">
        <v>86</v>
      </c>
      <c r="O894">
        <v>0</v>
      </c>
      <c r="P894">
        <v>0</v>
      </c>
      <c r="Q894">
        <v>1191</v>
      </c>
      <c r="R894">
        <v>0</v>
      </c>
      <c r="S894">
        <v>52</v>
      </c>
      <c r="T894">
        <v>0</v>
      </c>
      <c r="U894">
        <v>58</v>
      </c>
      <c r="V894">
        <v>636</v>
      </c>
      <c r="W894">
        <v>37</v>
      </c>
      <c r="X894">
        <v>0</v>
      </c>
      <c r="Y894">
        <v>52</v>
      </c>
      <c r="Z894">
        <v>0</v>
      </c>
      <c r="AA894">
        <v>96</v>
      </c>
      <c r="AB894">
        <v>92</v>
      </c>
      <c r="AC894">
        <v>51</v>
      </c>
      <c r="AD894">
        <v>0</v>
      </c>
      <c r="AE894">
        <v>1074</v>
      </c>
      <c r="AF894">
        <v>1099</v>
      </c>
      <c r="AJ894">
        <v>5.52</v>
      </c>
      <c r="AK894" t="str">
        <f t="shared" si="13"/>
        <v>WC210-5000</v>
      </c>
    </row>
    <row r="895" spans="1:37">
      <c r="A895" t="s">
        <v>1624</v>
      </c>
      <c r="B895" t="s">
        <v>1622</v>
      </c>
      <c r="C895" t="s">
        <v>313</v>
      </c>
      <c r="D895" t="s">
        <v>1623</v>
      </c>
      <c r="E895">
        <v>43</v>
      </c>
      <c r="F895">
        <v>19.100000000000001</v>
      </c>
      <c r="G895">
        <v>41</v>
      </c>
      <c r="H895">
        <v>19</v>
      </c>
      <c r="I895">
        <v>10</v>
      </c>
      <c r="J895">
        <v>19</v>
      </c>
      <c r="K895">
        <v>1483</v>
      </c>
      <c r="L895">
        <v>0</v>
      </c>
      <c r="M895">
        <v>0</v>
      </c>
      <c r="N895">
        <v>34</v>
      </c>
      <c r="O895">
        <v>0</v>
      </c>
      <c r="P895">
        <v>0</v>
      </c>
      <c r="Q895">
        <v>1449</v>
      </c>
      <c r="R895">
        <v>0</v>
      </c>
      <c r="S895">
        <v>6</v>
      </c>
      <c r="T895">
        <v>0</v>
      </c>
      <c r="U895">
        <v>51</v>
      </c>
      <c r="V895">
        <v>0</v>
      </c>
      <c r="W895">
        <v>0</v>
      </c>
      <c r="X895">
        <v>0</v>
      </c>
      <c r="Y895">
        <v>15</v>
      </c>
      <c r="Z895">
        <v>38</v>
      </c>
      <c r="AA895">
        <v>10</v>
      </c>
      <c r="AB895">
        <v>11</v>
      </c>
      <c r="AC895">
        <v>0</v>
      </c>
      <c r="AD895">
        <v>102</v>
      </c>
      <c r="AE895">
        <v>233</v>
      </c>
      <c r="AF895">
        <v>1189</v>
      </c>
      <c r="AJ895">
        <v>5.26</v>
      </c>
      <c r="AK895" t="str">
        <f t="shared" si="13"/>
        <v>WC210-6200</v>
      </c>
    </row>
    <row r="896" spans="1:37">
      <c r="A896" t="s">
        <v>1625</v>
      </c>
      <c r="B896" t="s">
        <v>1626</v>
      </c>
      <c r="C896" t="s">
        <v>313</v>
      </c>
      <c r="D896" t="s">
        <v>1623</v>
      </c>
      <c r="E896">
        <v>43</v>
      </c>
      <c r="F896">
        <v>53.6</v>
      </c>
      <c r="G896">
        <v>9</v>
      </c>
      <c r="H896">
        <v>9</v>
      </c>
      <c r="I896">
        <v>11</v>
      </c>
      <c r="J896">
        <v>86</v>
      </c>
      <c r="K896">
        <v>2010</v>
      </c>
      <c r="L896">
        <v>54</v>
      </c>
      <c r="M896">
        <v>0</v>
      </c>
      <c r="N896">
        <v>8</v>
      </c>
      <c r="O896">
        <v>0</v>
      </c>
      <c r="P896">
        <v>0</v>
      </c>
      <c r="Q896">
        <v>2002</v>
      </c>
      <c r="R896">
        <v>12</v>
      </c>
      <c r="S896">
        <v>11</v>
      </c>
      <c r="T896">
        <v>7</v>
      </c>
      <c r="U896">
        <v>10</v>
      </c>
      <c r="V896">
        <v>36</v>
      </c>
      <c r="W896">
        <v>0</v>
      </c>
      <c r="X896">
        <v>4</v>
      </c>
      <c r="Y896">
        <v>35</v>
      </c>
      <c r="Z896">
        <v>87</v>
      </c>
      <c r="AA896">
        <v>206</v>
      </c>
      <c r="AB896">
        <v>0</v>
      </c>
      <c r="AC896">
        <v>0</v>
      </c>
      <c r="AD896">
        <v>631</v>
      </c>
      <c r="AE896">
        <v>1027</v>
      </c>
      <c r="AF896">
        <v>1761</v>
      </c>
      <c r="AJ896">
        <v>5.58</v>
      </c>
      <c r="AK896" t="str">
        <f t="shared" si="13"/>
        <v>WC230-5000</v>
      </c>
    </row>
    <row r="897" spans="1:37">
      <c r="A897" t="s">
        <v>1627</v>
      </c>
      <c r="B897" t="s">
        <v>1626</v>
      </c>
      <c r="C897" t="s">
        <v>313</v>
      </c>
      <c r="D897" t="s">
        <v>1623</v>
      </c>
      <c r="E897">
        <v>43</v>
      </c>
      <c r="F897">
        <v>102.2</v>
      </c>
      <c r="G897">
        <v>32</v>
      </c>
      <c r="H897">
        <v>4</v>
      </c>
      <c r="I897">
        <v>2</v>
      </c>
      <c r="J897">
        <v>19</v>
      </c>
      <c r="K897">
        <v>1526</v>
      </c>
      <c r="L897">
        <v>10</v>
      </c>
      <c r="M897">
        <v>0</v>
      </c>
      <c r="N897">
        <v>27</v>
      </c>
      <c r="O897">
        <v>0</v>
      </c>
      <c r="P897">
        <v>0</v>
      </c>
      <c r="Q897">
        <v>1499</v>
      </c>
      <c r="R897">
        <v>0</v>
      </c>
      <c r="S897">
        <v>11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110</v>
      </c>
      <c r="AA897">
        <v>19</v>
      </c>
      <c r="AB897">
        <v>26</v>
      </c>
      <c r="AC897">
        <v>55</v>
      </c>
      <c r="AD897">
        <v>8</v>
      </c>
      <c r="AE897">
        <v>229</v>
      </c>
      <c r="AF897">
        <v>238</v>
      </c>
      <c r="AJ897">
        <v>4.9400000000000004</v>
      </c>
      <c r="AK897" t="str">
        <f t="shared" si="13"/>
        <v>WC230-6200</v>
      </c>
    </row>
    <row r="898" spans="1:37">
      <c r="A898" t="s">
        <v>1628</v>
      </c>
      <c r="B898" t="s">
        <v>1629</v>
      </c>
      <c r="C898" t="s">
        <v>329</v>
      </c>
      <c r="D898" t="s">
        <v>1630</v>
      </c>
      <c r="E898">
        <v>50</v>
      </c>
      <c r="F898">
        <v>9.6999999999999993</v>
      </c>
      <c r="G898">
        <v>7</v>
      </c>
      <c r="H898">
        <v>39</v>
      </c>
      <c r="I898">
        <v>35</v>
      </c>
      <c r="J898">
        <v>61</v>
      </c>
      <c r="K898">
        <v>1502</v>
      </c>
      <c r="L898">
        <v>13</v>
      </c>
      <c r="M898">
        <v>0</v>
      </c>
      <c r="N898">
        <v>6</v>
      </c>
      <c r="O898">
        <v>0</v>
      </c>
      <c r="P898">
        <v>0</v>
      </c>
      <c r="Q898">
        <v>1496</v>
      </c>
      <c r="R898">
        <v>0</v>
      </c>
      <c r="S898">
        <v>0</v>
      </c>
      <c r="T898">
        <v>17</v>
      </c>
      <c r="U898">
        <v>99</v>
      </c>
      <c r="V898">
        <v>0</v>
      </c>
      <c r="W898">
        <v>40</v>
      </c>
      <c r="X898">
        <v>52</v>
      </c>
      <c r="Y898">
        <v>63</v>
      </c>
      <c r="Z898">
        <v>21</v>
      </c>
      <c r="AA898">
        <v>12</v>
      </c>
      <c r="AB898">
        <v>159</v>
      </c>
      <c r="AC898">
        <v>272</v>
      </c>
      <c r="AD898">
        <v>0</v>
      </c>
      <c r="AE898">
        <v>735</v>
      </c>
      <c r="AF898">
        <v>712</v>
      </c>
      <c r="AJ898">
        <v>4.63</v>
      </c>
      <c r="AK898" t="str">
        <f t="shared" si="13"/>
        <v>WC331-5000</v>
      </c>
    </row>
    <row r="899" spans="1:37">
      <c r="A899" t="s">
        <v>1631</v>
      </c>
      <c r="B899" t="s">
        <v>1629</v>
      </c>
      <c r="C899" t="s">
        <v>329</v>
      </c>
      <c r="D899" t="s">
        <v>1632</v>
      </c>
      <c r="E899">
        <v>50</v>
      </c>
      <c r="F899">
        <v>24.3</v>
      </c>
      <c r="G899">
        <v>0</v>
      </c>
      <c r="H899">
        <v>22</v>
      </c>
      <c r="I899">
        <v>20</v>
      </c>
      <c r="J899">
        <v>31</v>
      </c>
      <c r="K899">
        <v>2107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2107</v>
      </c>
      <c r="R899">
        <v>0</v>
      </c>
      <c r="S899">
        <v>65</v>
      </c>
      <c r="T899">
        <v>0</v>
      </c>
      <c r="U899">
        <v>0</v>
      </c>
      <c r="V899">
        <v>0</v>
      </c>
      <c r="W899">
        <v>57</v>
      </c>
      <c r="X899">
        <v>0</v>
      </c>
      <c r="Y899">
        <v>0</v>
      </c>
      <c r="Z899">
        <v>160</v>
      </c>
      <c r="AA899">
        <v>51</v>
      </c>
      <c r="AB899">
        <v>39</v>
      </c>
      <c r="AC899">
        <v>0</v>
      </c>
      <c r="AD899">
        <v>0</v>
      </c>
      <c r="AE899">
        <v>372</v>
      </c>
      <c r="AF899">
        <v>566</v>
      </c>
      <c r="AJ899">
        <v>4.63</v>
      </c>
      <c r="AK899" t="str">
        <f t="shared" si="13"/>
        <v>WC331-6200</v>
      </c>
    </row>
    <row r="900" spans="1:37">
      <c r="A900" t="s">
        <v>1633</v>
      </c>
      <c r="B900" t="s">
        <v>1634</v>
      </c>
      <c r="C900" t="s">
        <v>329</v>
      </c>
      <c r="D900" t="s">
        <v>292</v>
      </c>
      <c r="E900">
        <v>50</v>
      </c>
      <c r="F900">
        <v>0</v>
      </c>
      <c r="G900">
        <v>0</v>
      </c>
      <c r="H900">
        <v>0</v>
      </c>
      <c r="I900">
        <v>0</v>
      </c>
      <c r="J900">
        <v>4</v>
      </c>
      <c r="K900">
        <v>849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849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52</v>
      </c>
      <c r="AA900">
        <v>0</v>
      </c>
      <c r="AB900">
        <v>0</v>
      </c>
      <c r="AC900">
        <v>0</v>
      </c>
      <c r="AD900">
        <v>0</v>
      </c>
      <c r="AE900">
        <v>52</v>
      </c>
      <c r="AF900">
        <v>0</v>
      </c>
      <c r="AJ900">
        <v>3.39</v>
      </c>
      <c r="AK900" t="str">
        <f t="shared" si="13"/>
        <v>WC411-3700</v>
      </c>
    </row>
    <row r="901" spans="1:37">
      <c r="A901" t="s">
        <v>1635</v>
      </c>
      <c r="B901" t="s">
        <v>1634</v>
      </c>
      <c r="C901" t="s">
        <v>329</v>
      </c>
      <c r="D901" t="s">
        <v>1636</v>
      </c>
      <c r="E901">
        <v>50</v>
      </c>
      <c r="F901">
        <v>0</v>
      </c>
      <c r="G901">
        <v>9</v>
      </c>
      <c r="H901">
        <v>42</v>
      </c>
      <c r="I901">
        <v>58</v>
      </c>
      <c r="J901">
        <v>63</v>
      </c>
      <c r="K901">
        <v>0</v>
      </c>
      <c r="L901">
        <v>80</v>
      </c>
      <c r="M901">
        <v>0</v>
      </c>
      <c r="N901">
        <v>8</v>
      </c>
      <c r="O901">
        <v>0</v>
      </c>
      <c r="P901">
        <v>0</v>
      </c>
      <c r="Q901">
        <v>-8</v>
      </c>
      <c r="R901">
        <v>0</v>
      </c>
      <c r="S901">
        <v>0</v>
      </c>
      <c r="T901">
        <v>0</v>
      </c>
      <c r="U901">
        <v>126</v>
      </c>
      <c r="V901">
        <v>148</v>
      </c>
      <c r="W901">
        <v>74</v>
      </c>
      <c r="X901">
        <v>0</v>
      </c>
      <c r="Y901">
        <v>67</v>
      </c>
      <c r="Z901">
        <v>79</v>
      </c>
      <c r="AA901">
        <v>124</v>
      </c>
      <c r="AB901">
        <v>43</v>
      </c>
      <c r="AC901">
        <v>70</v>
      </c>
      <c r="AD901">
        <v>29</v>
      </c>
      <c r="AE901">
        <v>760</v>
      </c>
      <c r="AF901">
        <v>1170</v>
      </c>
      <c r="AJ901">
        <v>2.95</v>
      </c>
      <c r="AK901" t="str">
        <f t="shared" ref="AK901:AK964" si="14">MID(A901,4,10)</f>
        <v>WC411-5000</v>
      </c>
    </row>
    <row r="902" spans="1:37">
      <c r="A902" t="s">
        <v>1637</v>
      </c>
      <c r="B902" t="s">
        <v>1634</v>
      </c>
      <c r="C902" t="s">
        <v>329</v>
      </c>
      <c r="D902" t="s">
        <v>1636</v>
      </c>
      <c r="E902">
        <v>50</v>
      </c>
      <c r="F902">
        <v>11.6</v>
      </c>
      <c r="G902">
        <v>0</v>
      </c>
      <c r="H902">
        <v>59</v>
      </c>
      <c r="I902">
        <v>49</v>
      </c>
      <c r="J902">
        <v>41</v>
      </c>
      <c r="K902">
        <v>2711</v>
      </c>
      <c r="L902">
        <v>103</v>
      </c>
      <c r="M902">
        <v>0</v>
      </c>
      <c r="N902">
        <v>0</v>
      </c>
      <c r="O902">
        <v>0</v>
      </c>
      <c r="P902">
        <v>0</v>
      </c>
      <c r="Q902">
        <v>2711</v>
      </c>
      <c r="R902">
        <v>0</v>
      </c>
      <c r="S902">
        <v>0</v>
      </c>
      <c r="T902">
        <v>116</v>
      </c>
      <c r="U902">
        <v>60</v>
      </c>
      <c r="V902">
        <v>29</v>
      </c>
      <c r="W902">
        <v>87</v>
      </c>
      <c r="X902">
        <v>0</v>
      </c>
      <c r="Y902">
        <v>10</v>
      </c>
      <c r="Z902">
        <v>43</v>
      </c>
      <c r="AA902">
        <v>122</v>
      </c>
      <c r="AB902">
        <v>29</v>
      </c>
      <c r="AC902">
        <v>0</v>
      </c>
      <c r="AD902">
        <v>0</v>
      </c>
      <c r="AE902">
        <v>496</v>
      </c>
      <c r="AF902">
        <v>439</v>
      </c>
      <c r="AJ902">
        <v>3.56</v>
      </c>
      <c r="AK902" t="str">
        <f t="shared" si="14"/>
        <v>WC411-6200</v>
      </c>
    </row>
    <row r="903" spans="1:37">
      <c r="A903" t="s">
        <v>5425</v>
      </c>
      <c r="B903" t="s">
        <v>1638</v>
      </c>
      <c r="C903" t="s">
        <v>275</v>
      </c>
      <c r="D903" t="s">
        <v>292</v>
      </c>
      <c r="E903">
        <v>43</v>
      </c>
      <c r="F903">
        <v>0</v>
      </c>
      <c r="G903">
        <v>0</v>
      </c>
      <c r="H903">
        <v>2</v>
      </c>
      <c r="I903">
        <v>1</v>
      </c>
      <c r="J903">
        <v>4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6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16</v>
      </c>
      <c r="AA903">
        <v>0</v>
      </c>
      <c r="AB903">
        <v>0</v>
      </c>
      <c r="AC903">
        <v>0</v>
      </c>
      <c r="AD903">
        <v>28</v>
      </c>
      <c r="AE903">
        <v>50</v>
      </c>
      <c r="AF903">
        <v>40</v>
      </c>
      <c r="AJ903">
        <v>2.97</v>
      </c>
      <c r="AK903" t="str">
        <f t="shared" si="14"/>
        <v>WC421-3700</v>
      </c>
    </row>
    <row r="904" spans="1:37">
      <c r="A904" t="s">
        <v>1639</v>
      </c>
      <c r="B904" t="s">
        <v>1640</v>
      </c>
      <c r="C904" t="s">
        <v>275</v>
      </c>
      <c r="E904">
        <v>43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47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47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7</v>
      </c>
      <c r="AJ904">
        <v>0</v>
      </c>
      <c r="AK904" t="str">
        <f t="shared" si="14"/>
        <v>WC421-43L0</v>
      </c>
    </row>
    <row r="905" spans="1:37">
      <c r="A905" t="s">
        <v>1641</v>
      </c>
      <c r="B905" t="s">
        <v>1642</v>
      </c>
      <c r="C905" t="s">
        <v>275</v>
      </c>
      <c r="E905">
        <v>43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60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60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2</v>
      </c>
      <c r="AE905">
        <v>2</v>
      </c>
      <c r="AF905">
        <v>5</v>
      </c>
      <c r="AJ905">
        <v>0</v>
      </c>
      <c r="AK905" t="str">
        <f t="shared" si="14"/>
        <v>WC421-43R0</v>
      </c>
    </row>
    <row r="906" spans="1:37">
      <c r="A906" t="s">
        <v>1643</v>
      </c>
      <c r="B906" t="s">
        <v>1638</v>
      </c>
      <c r="C906" t="s">
        <v>275</v>
      </c>
      <c r="D906" t="s">
        <v>1422</v>
      </c>
      <c r="E906">
        <v>43</v>
      </c>
      <c r="F906">
        <v>2.2999999999999998</v>
      </c>
      <c r="G906">
        <v>52</v>
      </c>
      <c r="H906">
        <v>96</v>
      </c>
      <c r="I906">
        <v>158</v>
      </c>
      <c r="J906">
        <v>220</v>
      </c>
      <c r="K906">
        <v>913</v>
      </c>
      <c r="L906">
        <v>247</v>
      </c>
      <c r="M906">
        <v>0</v>
      </c>
      <c r="N906">
        <v>44</v>
      </c>
      <c r="O906">
        <v>0</v>
      </c>
      <c r="P906">
        <v>0</v>
      </c>
      <c r="Q906">
        <v>869</v>
      </c>
      <c r="R906">
        <v>0</v>
      </c>
      <c r="S906">
        <v>130</v>
      </c>
      <c r="T906">
        <v>157</v>
      </c>
      <c r="U906">
        <v>0</v>
      </c>
      <c r="V906">
        <v>81</v>
      </c>
      <c r="W906">
        <v>580</v>
      </c>
      <c r="X906">
        <v>0</v>
      </c>
      <c r="Y906">
        <v>452</v>
      </c>
      <c r="Z906">
        <v>0</v>
      </c>
      <c r="AA906">
        <v>340</v>
      </c>
      <c r="AB906">
        <v>90</v>
      </c>
      <c r="AC906">
        <v>52</v>
      </c>
      <c r="AD906">
        <v>760</v>
      </c>
      <c r="AE906">
        <v>2642</v>
      </c>
      <c r="AF906">
        <v>3152</v>
      </c>
      <c r="AJ906">
        <v>6.41</v>
      </c>
      <c r="AK906" t="str">
        <f t="shared" si="14"/>
        <v>WC421-5000</v>
      </c>
    </row>
    <row r="907" spans="1:37">
      <c r="A907" t="s">
        <v>1644</v>
      </c>
      <c r="B907" t="s">
        <v>1638</v>
      </c>
      <c r="C907" t="s">
        <v>275</v>
      </c>
      <c r="D907" t="s">
        <v>1645</v>
      </c>
      <c r="E907">
        <v>43</v>
      </c>
      <c r="F907">
        <v>29.8</v>
      </c>
      <c r="G907">
        <v>21</v>
      </c>
      <c r="H907">
        <v>30</v>
      </c>
      <c r="I907">
        <v>33</v>
      </c>
      <c r="J907">
        <v>73</v>
      </c>
      <c r="K907">
        <v>3559</v>
      </c>
      <c r="L907">
        <v>30</v>
      </c>
      <c r="M907">
        <v>0</v>
      </c>
      <c r="N907">
        <v>17</v>
      </c>
      <c r="O907">
        <v>0</v>
      </c>
      <c r="P907">
        <v>0</v>
      </c>
      <c r="Q907">
        <v>3542</v>
      </c>
      <c r="R907">
        <v>0</v>
      </c>
      <c r="S907">
        <v>0</v>
      </c>
      <c r="T907">
        <v>42</v>
      </c>
      <c r="U907">
        <v>47</v>
      </c>
      <c r="V907">
        <v>23</v>
      </c>
      <c r="W907">
        <v>0</v>
      </c>
      <c r="X907">
        <v>86</v>
      </c>
      <c r="Y907">
        <v>0</v>
      </c>
      <c r="Z907">
        <v>25</v>
      </c>
      <c r="AA907">
        <v>242</v>
      </c>
      <c r="AB907">
        <v>82</v>
      </c>
      <c r="AC907">
        <v>96</v>
      </c>
      <c r="AD907">
        <v>228</v>
      </c>
      <c r="AE907">
        <v>871</v>
      </c>
      <c r="AF907">
        <v>2093</v>
      </c>
      <c r="AJ907">
        <v>6.41</v>
      </c>
      <c r="AK907" t="str">
        <f t="shared" si="14"/>
        <v>WC421-6200</v>
      </c>
    </row>
    <row r="908" spans="1:37">
      <c r="A908" t="s">
        <v>1646</v>
      </c>
      <c r="B908" t="s">
        <v>1647</v>
      </c>
      <c r="C908" t="s">
        <v>275</v>
      </c>
      <c r="D908" t="s">
        <v>292</v>
      </c>
      <c r="E908">
        <v>43</v>
      </c>
      <c r="F908">
        <v>0</v>
      </c>
      <c r="G908">
        <v>12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10</v>
      </c>
      <c r="O908">
        <v>0</v>
      </c>
      <c r="P908">
        <v>0</v>
      </c>
      <c r="Q908">
        <v>-10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5</v>
      </c>
      <c r="AC908">
        <v>0</v>
      </c>
      <c r="AD908">
        <v>0</v>
      </c>
      <c r="AE908">
        <v>5</v>
      </c>
      <c r="AF908">
        <v>76</v>
      </c>
      <c r="AJ908">
        <v>5.08</v>
      </c>
      <c r="AK908" t="str">
        <f t="shared" si="14"/>
        <v>WC431-3700</v>
      </c>
    </row>
    <row r="909" spans="1:37">
      <c r="A909" t="s">
        <v>1648</v>
      </c>
      <c r="B909" t="s">
        <v>1647</v>
      </c>
      <c r="C909" t="s">
        <v>275</v>
      </c>
      <c r="D909" t="s">
        <v>1422</v>
      </c>
      <c r="E909">
        <v>43</v>
      </c>
      <c r="F909">
        <v>4.8</v>
      </c>
      <c r="G909">
        <v>236</v>
      </c>
      <c r="H909">
        <v>219</v>
      </c>
      <c r="I909">
        <v>288</v>
      </c>
      <c r="J909">
        <v>312</v>
      </c>
      <c r="K909">
        <v>4430</v>
      </c>
      <c r="L909">
        <v>185</v>
      </c>
      <c r="M909">
        <v>0</v>
      </c>
      <c r="N909">
        <v>196</v>
      </c>
      <c r="O909">
        <v>0</v>
      </c>
      <c r="P909">
        <v>0</v>
      </c>
      <c r="Q909">
        <v>4234</v>
      </c>
      <c r="R909">
        <v>0</v>
      </c>
      <c r="S909">
        <v>271</v>
      </c>
      <c r="T909">
        <v>370</v>
      </c>
      <c r="U909">
        <v>15</v>
      </c>
      <c r="V909">
        <v>358</v>
      </c>
      <c r="W909">
        <v>290</v>
      </c>
      <c r="X909">
        <v>425</v>
      </c>
      <c r="Y909">
        <v>371</v>
      </c>
      <c r="Z909">
        <v>485</v>
      </c>
      <c r="AA909">
        <v>548</v>
      </c>
      <c r="AB909">
        <v>589</v>
      </c>
      <c r="AC909">
        <v>0</v>
      </c>
      <c r="AD909">
        <v>19</v>
      </c>
      <c r="AE909">
        <v>3741</v>
      </c>
      <c r="AF909">
        <v>4027</v>
      </c>
      <c r="AJ909">
        <v>4.08</v>
      </c>
      <c r="AK909" t="str">
        <f t="shared" si="14"/>
        <v>WC431-5000</v>
      </c>
    </row>
    <row r="910" spans="1:37">
      <c r="A910" t="s">
        <v>1649</v>
      </c>
      <c r="B910" t="s">
        <v>1647</v>
      </c>
      <c r="C910" t="s">
        <v>275</v>
      </c>
      <c r="D910" t="s">
        <v>292</v>
      </c>
      <c r="E910">
        <v>43</v>
      </c>
      <c r="F910">
        <v>7.9</v>
      </c>
      <c r="G910">
        <v>55</v>
      </c>
      <c r="H910">
        <v>78</v>
      </c>
      <c r="I910">
        <v>39</v>
      </c>
      <c r="J910">
        <v>109</v>
      </c>
      <c r="K910">
        <v>2498</v>
      </c>
      <c r="L910">
        <v>74</v>
      </c>
      <c r="M910">
        <v>0</v>
      </c>
      <c r="N910">
        <v>46</v>
      </c>
      <c r="O910">
        <v>0</v>
      </c>
      <c r="P910">
        <v>0</v>
      </c>
      <c r="Q910">
        <v>2452</v>
      </c>
      <c r="R910">
        <v>0</v>
      </c>
      <c r="S910">
        <v>203</v>
      </c>
      <c r="T910">
        <v>30</v>
      </c>
      <c r="U910">
        <v>0</v>
      </c>
      <c r="V910">
        <v>0</v>
      </c>
      <c r="W910">
        <v>0</v>
      </c>
      <c r="X910">
        <v>0</v>
      </c>
      <c r="Y910">
        <v>279</v>
      </c>
      <c r="Z910">
        <v>184</v>
      </c>
      <c r="AA910">
        <v>49</v>
      </c>
      <c r="AB910">
        <v>395</v>
      </c>
      <c r="AC910">
        <v>0</v>
      </c>
      <c r="AD910">
        <v>162</v>
      </c>
      <c r="AE910">
        <v>1302</v>
      </c>
      <c r="AF910">
        <v>1387</v>
      </c>
      <c r="AJ910">
        <v>4.08</v>
      </c>
      <c r="AK910" t="str">
        <f t="shared" si="14"/>
        <v>WC431-6200</v>
      </c>
    </row>
    <row r="911" spans="1:37">
      <c r="A911" t="s">
        <v>1650</v>
      </c>
      <c r="B911" t="s">
        <v>1651</v>
      </c>
      <c r="C911" t="s">
        <v>329</v>
      </c>
      <c r="D911" t="s">
        <v>1652</v>
      </c>
      <c r="E911">
        <v>50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194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194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J911">
        <v>4.05</v>
      </c>
      <c r="AK911" t="str">
        <f t="shared" si="14"/>
        <v>WC471-5000</v>
      </c>
    </row>
    <row r="912" spans="1:37">
      <c r="A912" t="s">
        <v>1653</v>
      </c>
      <c r="B912" t="s">
        <v>1654</v>
      </c>
      <c r="C912" t="s">
        <v>329</v>
      </c>
      <c r="D912" t="s">
        <v>292</v>
      </c>
      <c r="E912">
        <v>50</v>
      </c>
      <c r="F912">
        <v>-5.8</v>
      </c>
      <c r="G912">
        <v>46</v>
      </c>
      <c r="H912">
        <v>2</v>
      </c>
      <c r="I912">
        <v>9</v>
      </c>
      <c r="J912">
        <v>8</v>
      </c>
      <c r="K912">
        <v>0</v>
      </c>
      <c r="L912">
        <v>16</v>
      </c>
      <c r="M912">
        <v>0</v>
      </c>
      <c r="N912">
        <v>39</v>
      </c>
      <c r="O912">
        <v>0</v>
      </c>
      <c r="P912">
        <v>0</v>
      </c>
      <c r="Q912">
        <v>-39</v>
      </c>
      <c r="R912">
        <v>17</v>
      </c>
      <c r="S912">
        <v>0</v>
      </c>
      <c r="T912">
        <v>0</v>
      </c>
      <c r="U912">
        <v>5</v>
      </c>
      <c r="V912">
        <v>0</v>
      </c>
      <c r="W912">
        <v>24</v>
      </c>
      <c r="X912">
        <v>24</v>
      </c>
      <c r="Y912">
        <v>0</v>
      </c>
      <c r="Z912">
        <v>0</v>
      </c>
      <c r="AA912">
        <v>0</v>
      </c>
      <c r="AB912">
        <v>18</v>
      </c>
      <c r="AC912">
        <v>0</v>
      </c>
      <c r="AD912">
        <v>22</v>
      </c>
      <c r="AE912">
        <v>93</v>
      </c>
      <c r="AF912">
        <v>181</v>
      </c>
      <c r="AJ912">
        <v>3.96</v>
      </c>
      <c r="AK912" t="str">
        <f t="shared" si="14"/>
        <v>WC521-5000</v>
      </c>
    </row>
    <row r="913" spans="1:37">
      <c r="A913" t="s">
        <v>1655</v>
      </c>
      <c r="B913" t="s">
        <v>1654</v>
      </c>
      <c r="C913" t="s">
        <v>329</v>
      </c>
      <c r="D913" t="s">
        <v>292</v>
      </c>
      <c r="E913">
        <v>50</v>
      </c>
      <c r="F913">
        <v>14.2</v>
      </c>
      <c r="G913">
        <v>0</v>
      </c>
      <c r="H913">
        <v>22</v>
      </c>
      <c r="I913">
        <v>11</v>
      </c>
      <c r="J913">
        <v>10</v>
      </c>
      <c r="K913">
        <v>1229</v>
      </c>
      <c r="L913">
        <v>0</v>
      </c>
      <c r="M913">
        <v>2</v>
      </c>
      <c r="N913">
        <v>0</v>
      </c>
      <c r="O913">
        <v>0</v>
      </c>
      <c r="P913">
        <v>152</v>
      </c>
      <c r="Q913">
        <v>1229</v>
      </c>
      <c r="R913">
        <v>0</v>
      </c>
      <c r="S913">
        <v>26</v>
      </c>
      <c r="T913">
        <v>29</v>
      </c>
      <c r="U913">
        <v>10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29</v>
      </c>
      <c r="AC913">
        <v>25</v>
      </c>
      <c r="AD913">
        <v>0</v>
      </c>
      <c r="AE913">
        <v>119</v>
      </c>
      <c r="AF913">
        <v>332</v>
      </c>
      <c r="AJ913">
        <v>4.92</v>
      </c>
      <c r="AK913" t="str">
        <f t="shared" si="14"/>
        <v>WC521-6200</v>
      </c>
    </row>
    <row r="914" spans="1:37">
      <c r="A914" t="s">
        <v>1656</v>
      </c>
      <c r="B914" t="s">
        <v>1657</v>
      </c>
      <c r="C914" t="s">
        <v>1027</v>
      </c>
      <c r="D914" t="s">
        <v>284</v>
      </c>
      <c r="E914">
        <v>50</v>
      </c>
      <c r="F914">
        <v>0</v>
      </c>
      <c r="G914">
        <v>7</v>
      </c>
      <c r="H914">
        <v>0</v>
      </c>
      <c r="I914">
        <v>20</v>
      </c>
      <c r="J914">
        <v>33</v>
      </c>
      <c r="K914">
        <v>2954</v>
      </c>
      <c r="L914">
        <v>46</v>
      </c>
      <c r="M914">
        <v>0</v>
      </c>
      <c r="N914">
        <v>6</v>
      </c>
      <c r="O914">
        <v>0</v>
      </c>
      <c r="P914">
        <v>0</v>
      </c>
      <c r="Q914">
        <v>2948</v>
      </c>
      <c r="R914">
        <v>0</v>
      </c>
      <c r="S914">
        <v>0</v>
      </c>
      <c r="T914">
        <v>0</v>
      </c>
      <c r="U914">
        <v>0</v>
      </c>
      <c r="V914">
        <v>58</v>
      </c>
      <c r="W914">
        <v>0</v>
      </c>
      <c r="X914">
        <v>59</v>
      </c>
      <c r="Y914">
        <v>49</v>
      </c>
      <c r="Z914">
        <v>56</v>
      </c>
      <c r="AA914">
        <v>0</v>
      </c>
      <c r="AB914">
        <v>0</v>
      </c>
      <c r="AC914">
        <v>86</v>
      </c>
      <c r="AD914">
        <v>87</v>
      </c>
      <c r="AE914">
        <v>395</v>
      </c>
      <c r="AF914">
        <v>2276</v>
      </c>
      <c r="AJ914">
        <v>5.81</v>
      </c>
      <c r="AK914" t="str">
        <f t="shared" si="14"/>
        <v>WC652-5000</v>
      </c>
    </row>
    <row r="915" spans="1:37">
      <c r="A915" t="s">
        <v>1658</v>
      </c>
      <c r="B915" t="s">
        <v>1657</v>
      </c>
      <c r="C915" t="s">
        <v>1027</v>
      </c>
      <c r="D915" t="s">
        <v>284</v>
      </c>
      <c r="E915">
        <v>50</v>
      </c>
      <c r="F915">
        <v>0</v>
      </c>
      <c r="G915">
        <v>3</v>
      </c>
      <c r="H915">
        <v>0</v>
      </c>
      <c r="I915">
        <v>0</v>
      </c>
      <c r="J915">
        <v>2</v>
      </c>
      <c r="K915">
        <v>3589</v>
      </c>
      <c r="L915">
        <v>75</v>
      </c>
      <c r="M915">
        <v>0</v>
      </c>
      <c r="N915">
        <v>2</v>
      </c>
      <c r="O915">
        <v>0</v>
      </c>
      <c r="P915">
        <v>0</v>
      </c>
      <c r="Q915">
        <v>3587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18</v>
      </c>
      <c r="AA915">
        <v>0</v>
      </c>
      <c r="AB915">
        <v>6</v>
      </c>
      <c r="AC915">
        <v>0</v>
      </c>
      <c r="AD915">
        <v>0</v>
      </c>
      <c r="AE915">
        <v>24</v>
      </c>
      <c r="AF915">
        <v>2163</v>
      </c>
      <c r="AJ915">
        <v>5.59</v>
      </c>
      <c r="AK915" t="str">
        <f t="shared" si="14"/>
        <v>WC652-6200</v>
      </c>
    </row>
    <row r="916" spans="1:37">
      <c r="A916" t="s">
        <v>1659</v>
      </c>
      <c r="B916" t="s">
        <v>1660</v>
      </c>
      <c r="C916" t="s">
        <v>329</v>
      </c>
      <c r="E916">
        <v>43</v>
      </c>
      <c r="F916">
        <v>0</v>
      </c>
      <c r="G916">
        <v>0</v>
      </c>
      <c r="H916">
        <v>0</v>
      </c>
      <c r="I916">
        <v>1</v>
      </c>
      <c r="J916">
        <v>1</v>
      </c>
      <c r="K916">
        <v>34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34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6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6</v>
      </c>
      <c r="AF916">
        <v>0</v>
      </c>
      <c r="AJ916">
        <v>0</v>
      </c>
      <c r="AK916" t="str">
        <f t="shared" si="14"/>
        <v>WE250-450L</v>
      </c>
    </row>
    <row r="917" spans="1:37">
      <c r="A917" t="s">
        <v>1661</v>
      </c>
      <c r="B917" t="s">
        <v>1662</v>
      </c>
      <c r="C917" t="s">
        <v>329</v>
      </c>
      <c r="E917">
        <v>43</v>
      </c>
      <c r="F917">
        <v>0</v>
      </c>
      <c r="G917">
        <v>0</v>
      </c>
      <c r="H917">
        <v>0</v>
      </c>
      <c r="I917">
        <v>1</v>
      </c>
      <c r="J917">
        <v>0</v>
      </c>
      <c r="K917">
        <v>35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35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5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5</v>
      </c>
      <c r="AF917">
        <v>0</v>
      </c>
      <c r="AJ917">
        <v>0</v>
      </c>
      <c r="AK917" t="str">
        <f t="shared" si="14"/>
        <v>WE250-450R</v>
      </c>
    </row>
    <row r="918" spans="1:37">
      <c r="A918" t="s">
        <v>1663</v>
      </c>
      <c r="B918" t="s">
        <v>1664</v>
      </c>
      <c r="C918" t="s">
        <v>329</v>
      </c>
      <c r="E918">
        <v>43</v>
      </c>
      <c r="F918">
        <v>38.700000000000003</v>
      </c>
      <c r="G918">
        <v>9</v>
      </c>
      <c r="H918">
        <v>3</v>
      </c>
      <c r="I918">
        <v>26</v>
      </c>
      <c r="J918">
        <v>18</v>
      </c>
      <c r="K918">
        <v>472</v>
      </c>
      <c r="L918">
        <v>10</v>
      </c>
      <c r="M918">
        <v>0</v>
      </c>
      <c r="N918">
        <v>8</v>
      </c>
      <c r="O918">
        <v>0</v>
      </c>
      <c r="P918">
        <v>0</v>
      </c>
      <c r="Q918">
        <v>464</v>
      </c>
      <c r="R918">
        <v>10</v>
      </c>
      <c r="S918">
        <v>0</v>
      </c>
      <c r="T918">
        <v>0</v>
      </c>
      <c r="U918">
        <v>9</v>
      </c>
      <c r="V918">
        <v>0</v>
      </c>
      <c r="W918">
        <v>149</v>
      </c>
      <c r="X918">
        <v>0</v>
      </c>
      <c r="Y918">
        <v>24</v>
      </c>
      <c r="Z918">
        <v>7</v>
      </c>
      <c r="AA918">
        <v>10</v>
      </c>
      <c r="AB918">
        <v>0</v>
      </c>
      <c r="AC918">
        <v>11</v>
      </c>
      <c r="AD918">
        <v>0</v>
      </c>
      <c r="AE918">
        <v>210</v>
      </c>
      <c r="AF918">
        <v>122</v>
      </c>
      <c r="AJ918">
        <v>6.55</v>
      </c>
      <c r="AK918" t="str">
        <f t="shared" si="14"/>
        <v>WE250-5000</v>
      </c>
    </row>
    <row r="919" spans="1:37">
      <c r="A919" t="s">
        <v>1665</v>
      </c>
      <c r="B919" t="s">
        <v>1664</v>
      </c>
      <c r="C919" t="s">
        <v>329</v>
      </c>
      <c r="E919">
        <v>43</v>
      </c>
      <c r="F919">
        <v>0</v>
      </c>
      <c r="G919">
        <v>0</v>
      </c>
      <c r="H919">
        <v>0</v>
      </c>
      <c r="I919">
        <v>1</v>
      </c>
      <c r="J919">
        <v>5</v>
      </c>
      <c r="K919">
        <v>1870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1870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5</v>
      </c>
      <c r="X919">
        <v>0</v>
      </c>
      <c r="Y919">
        <v>20</v>
      </c>
      <c r="Z919">
        <v>29</v>
      </c>
      <c r="AA919">
        <v>0</v>
      </c>
      <c r="AB919">
        <v>0</v>
      </c>
      <c r="AC919">
        <v>0</v>
      </c>
      <c r="AD919">
        <v>0</v>
      </c>
      <c r="AE919">
        <v>54</v>
      </c>
      <c r="AF919">
        <v>25</v>
      </c>
      <c r="AJ919">
        <v>5.32</v>
      </c>
      <c r="AK919" t="str">
        <f t="shared" si="14"/>
        <v>WE250-6200</v>
      </c>
    </row>
    <row r="920" spans="1:37">
      <c r="A920" t="s">
        <v>1666</v>
      </c>
      <c r="B920" t="s">
        <v>1667</v>
      </c>
      <c r="C920" t="s">
        <v>318</v>
      </c>
      <c r="D920" t="s">
        <v>292</v>
      </c>
      <c r="E920">
        <v>50</v>
      </c>
      <c r="F920">
        <v>0</v>
      </c>
      <c r="G920">
        <v>61</v>
      </c>
      <c r="H920">
        <v>336</v>
      </c>
      <c r="I920">
        <v>338</v>
      </c>
      <c r="J920">
        <v>315</v>
      </c>
      <c r="K920">
        <v>104</v>
      </c>
      <c r="L920">
        <v>520</v>
      </c>
      <c r="M920">
        <v>0</v>
      </c>
      <c r="N920">
        <v>51</v>
      </c>
      <c r="O920">
        <v>0</v>
      </c>
      <c r="P920">
        <v>0</v>
      </c>
      <c r="Q920">
        <v>53</v>
      </c>
      <c r="R920">
        <v>0</v>
      </c>
      <c r="S920">
        <v>410</v>
      </c>
      <c r="T920">
        <v>0</v>
      </c>
      <c r="U920">
        <v>598</v>
      </c>
      <c r="V920">
        <v>233</v>
      </c>
      <c r="W920">
        <v>595</v>
      </c>
      <c r="X920">
        <v>193</v>
      </c>
      <c r="Y920">
        <v>395</v>
      </c>
      <c r="Z920">
        <v>1004</v>
      </c>
      <c r="AA920">
        <v>0</v>
      </c>
      <c r="AB920">
        <v>0</v>
      </c>
      <c r="AC920">
        <v>180</v>
      </c>
      <c r="AD920">
        <v>174</v>
      </c>
      <c r="AE920">
        <v>3782</v>
      </c>
      <c r="AF920">
        <v>3790</v>
      </c>
      <c r="AJ920">
        <v>8.42</v>
      </c>
      <c r="AK920" t="str">
        <f t="shared" si="14"/>
        <v>WE261-5000</v>
      </c>
    </row>
    <row r="921" spans="1:37">
      <c r="A921" t="s">
        <v>1668</v>
      </c>
      <c r="B921" t="s">
        <v>1667</v>
      </c>
      <c r="C921" t="s">
        <v>318</v>
      </c>
      <c r="D921" t="s">
        <v>292</v>
      </c>
      <c r="E921">
        <v>50</v>
      </c>
      <c r="F921">
        <v>1.3</v>
      </c>
      <c r="G921">
        <v>40</v>
      </c>
      <c r="H921">
        <v>120</v>
      </c>
      <c r="I921">
        <v>90</v>
      </c>
      <c r="J921">
        <v>60</v>
      </c>
      <c r="K921">
        <v>683</v>
      </c>
      <c r="L921">
        <v>202</v>
      </c>
      <c r="M921">
        <v>0</v>
      </c>
      <c r="N921">
        <v>33</v>
      </c>
      <c r="O921">
        <v>0</v>
      </c>
      <c r="P921">
        <v>0</v>
      </c>
      <c r="Q921">
        <v>650</v>
      </c>
      <c r="R921">
        <v>0</v>
      </c>
      <c r="S921">
        <v>129</v>
      </c>
      <c r="T921">
        <v>121</v>
      </c>
      <c r="U921">
        <v>111</v>
      </c>
      <c r="V921">
        <v>37</v>
      </c>
      <c r="W921">
        <v>94</v>
      </c>
      <c r="X921">
        <v>48</v>
      </c>
      <c r="Y921">
        <v>81</v>
      </c>
      <c r="Z921">
        <v>13</v>
      </c>
      <c r="AA921">
        <v>0</v>
      </c>
      <c r="AB921">
        <v>81</v>
      </c>
      <c r="AC921">
        <v>0</v>
      </c>
      <c r="AD921">
        <v>0</v>
      </c>
      <c r="AE921">
        <v>715</v>
      </c>
      <c r="AF921">
        <v>1684</v>
      </c>
      <c r="AJ921">
        <v>6.84</v>
      </c>
      <c r="AK921" t="str">
        <f t="shared" si="14"/>
        <v>WE261-6200</v>
      </c>
    </row>
    <row r="922" spans="1:37">
      <c r="A922" t="s">
        <v>1669</v>
      </c>
      <c r="B922" t="s">
        <v>1670</v>
      </c>
      <c r="C922" t="s">
        <v>329</v>
      </c>
      <c r="E922">
        <v>43</v>
      </c>
      <c r="F922">
        <v>152.30000000000001</v>
      </c>
      <c r="G922">
        <v>0</v>
      </c>
      <c r="H922">
        <v>1</v>
      </c>
      <c r="I922">
        <v>5</v>
      </c>
      <c r="J922">
        <v>5</v>
      </c>
      <c r="K922">
        <v>406</v>
      </c>
      <c r="L922">
        <v>3</v>
      </c>
      <c r="M922">
        <v>0</v>
      </c>
      <c r="N922">
        <v>0</v>
      </c>
      <c r="O922">
        <v>0</v>
      </c>
      <c r="P922">
        <v>0</v>
      </c>
      <c r="Q922">
        <v>406</v>
      </c>
      <c r="R922">
        <v>0</v>
      </c>
      <c r="S922">
        <v>0</v>
      </c>
      <c r="T922">
        <v>0</v>
      </c>
      <c r="U922">
        <v>2</v>
      </c>
      <c r="V922">
        <v>0</v>
      </c>
      <c r="W922">
        <v>30</v>
      </c>
      <c r="X922">
        <v>0</v>
      </c>
      <c r="Y922">
        <v>0</v>
      </c>
      <c r="Z922">
        <v>13</v>
      </c>
      <c r="AA922">
        <v>6</v>
      </c>
      <c r="AB922">
        <v>12</v>
      </c>
      <c r="AC922">
        <v>0</v>
      </c>
      <c r="AD922">
        <v>0</v>
      </c>
      <c r="AE922">
        <v>63</v>
      </c>
      <c r="AF922">
        <v>129</v>
      </c>
      <c r="AJ922">
        <v>4.72</v>
      </c>
      <c r="AK922" t="str">
        <f t="shared" si="14"/>
        <v>WE280-5000</v>
      </c>
    </row>
    <row r="923" spans="1:37">
      <c r="A923" t="s">
        <v>1671</v>
      </c>
      <c r="B923" t="s">
        <v>1670</v>
      </c>
      <c r="C923" t="s">
        <v>329</v>
      </c>
      <c r="E923">
        <v>43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935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935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46</v>
      </c>
      <c r="AJ923">
        <v>4.72</v>
      </c>
      <c r="AK923" t="str">
        <f t="shared" si="14"/>
        <v>WE280-6200</v>
      </c>
    </row>
    <row r="924" spans="1:37">
      <c r="A924" t="s">
        <v>1672</v>
      </c>
      <c r="B924" t="s">
        <v>1673</v>
      </c>
      <c r="C924" t="s">
        <v>313</v>
      </c>
      <c r="D924" t="s">
        <v>1674</v>
      </c>
      <c r="E924">
        <v>43</v>
      </c>
      <c r="F924">
        <v>0</v>
      </c>
      <c r="G924">
        <v>0</v>
      </c>
      <c r="H924">
        <v>0</v>
      </c>
      <c r="I924">
        <v>139</v>
      </c>
      <c r="J924">
        <v>131</v>
      </c>
      <c r="K924">
        <v>2223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2223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836</v>
      </c>
      <c r="X924">
        <v>0</v>
      </c>
      <c r="Y924">
        <v>108</v>
      </c>
      <c r="Z924">
        <v>0</v>
      </c>
      <c r="AA924">
        <v>0</v>
      </c>
      <c r="AB924">
        <v>7</v>
      </c>
      <c r="AC924">
        <v>0</v>
      </c>
      <c r="AD924">
        <v>617</v>
      </c>
      <c r="AE924">
        <v>1568</v>
      </c>
      <c r="AF924">
        <v>1608</v>
      </c>
      <c r="AJ924">
        <v>5.0599999999999996</v>
      </c>
      <c r="AK924" t="str">
        <f t="shared" si="14"/>
        <v>WE300-5000</v>
      </c>
    </row>
    <row r="925" spans="1:37">
      <c r="A925" t="s">
        <v>1675</v>
      </c>
      <c r="B925" t="s">
        <v>1673</v>
      </c>
      <c r="C925" t="s">
        <v>313</v>
      </c>
      <c r="D925" t="s">
        <v>1674</v>
      </c>
      <c r="E925">
        <v>43</v>
      </c>
      <c r="F925">
        <v>1.6</v>
      </c>
      <c r="G925">
        <v>0</v>
      </c>
      <c r="H925">
        <v>234</v>
      </c>
      <c r="I925">
        <v>117</v>
      </c>
      <c r="J925">
        <v>59</v>
      </c>
      <c r="K925">
        <v>1495</v>
      </c>
      <c r="L925">
        <v>11</v>
      </c>
      <c r="M925">
        <v>0</v>
      </c>
      <c r="N925">
        <v>0</v>
      </c>
      <c r="O925">
        <v>0</v>
      </c>
      <c r="P925">
        <v>0</v>
      </c>
      <c r="Q925">
        <v>1495</v>
      </c>
      <c r="R925">
        <v>0</v>
      </c>
      <c r="S925">
        <v>0</v>
      </c>
      <c r="T925">
        <v>703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703</v>
      </c>
      <c r="AF925">
        <v>1229</v>
      </c>
      <c r="AJ925">
        <v>5.33</v>
      </c>
      <c r="AK925" t="str">
        <f t="shared" si="14"/>
        <v>WE300-6200</v>
      </c>
    </row>
    <row r="926" spans="1:37">
      <c r="A926" t="s">
        <v>1676</v>
      </c>
      <c r="B926" t="s">
        <v>1677</v>
      </c>
      <c r="C926" t="s">
        <v>313</v>
      </c>
      <c r="D926" t="s">
        <v>1678</v>
      </c>
      <c r="E926">
        <v>43</v>
      </c>
      <c r="F926">
        <v>12.2</v>
      </c>
      <c r="G926">
        <v>6</v>
      </c>
      <c r="H926">
        <v>84</v>
      </c>
      <c r="I926">
        <v>61</v>
      </c>
      <c r="J926">
        <v>165</v>
      </c>
      <c r="K926">
        <v>4083</v>
      </c>
      <c r="L926">
        <v>0</v>
      </c>
      <c r="M926">
        <v>0</v>
      </c>
      <c r="N926">
        <v>5</v>
      </c>
      <c r="O926">
        <v>0</v>
      </c>
      <c r="P926">
        <v>0</v>
      </c>
      <c r="Q926">
        <v>4078</v>
      </c>
      <c r="R926">
        <v>658</v>
      </c>
      <c r="S926">
        <v>10</v>
      </c>
      <c r="T926">
        <v>208</v>
      </c>
      <c r="U926">
        <v>33</v>
      </c>
      <c r="V926">
        <v>11</v>
      </c>
      <c r="W926">
        <v>79</v>
      </c>
      <c r="X926">
        <v>22</v>
      </c>
      <c r="Y926">
        <v>6</v>
      </c>
      <c r="Z926">
        <v>34</v>
      </c>
      <c r="AA926">
        <v>11</v>
      </c>
      <c r="AB926">
        <v>0</v>
      </c>
      <c r="AC926">
        <v>990</v>
      </c>
      <c r="AD926">
        <v>575</v>
      </c>
      <c r="AE926">
        <v>1979</v>
      </c>
      <c r="AF926">
        <v>1805</v>
      </c>
      <c r="AJ926">
        <v>5.09</v>
      </c>
      <c r="AK926" t="str">
        <f t="shared" si="14"/>
        <v>WE350-5000</v>
      </c>
    </row>
    <row r="927" spans="1:37">
      <c r="A927" t="s">
        <v>1679</v>
      </c>
      <c r="B927" t="s">
        <v>1677</v>
      </c>
      <c r="C927" t="s">
        <v>313</v>
      </c>
      <c r="D927" t="s">
        <v>1678</v>
      </c>
      <c r="E927">
        <v>43</v>
      </c>
      <c r="F927">
        <v>18.100000000000001</v>
      </c>
      <c r="G927">
        <v>0</v>
      </c>
      <c r="H927">
        <v>40</v>
      </c>
      <c r="I927">
        <v>20</v>
      </c>
      <c r="J927">
        <v>10</v>
      </c>
      <c r="K927">
        <v>2916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2916</v>
      </c>
      <c r="R927">
        <v>0</v>
      </c>
      <c r="S927">
        <v>0</v>
      </c>
      <c r="T927">
        <v>0</v>
      </c>
      <c r="U927">
        <v>121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121</v>
      </c>
      <c r="AF927">
        <v>1183</v>
      </c>
      <c r="AJ927">
        <v>5.41</v>
      </c>
      <c r="AK927" t="str">
        <f t="shared" si="14"/>
        <v>WE350-6200</v>
      </c>
    </row>
    <row r="928" spans="1:37">
      <c r="A928" t="s">
        <v>1680</v>
      </c>
      <c r="B928" t="s">
        <v>1681</v>
      </c>
      <c r="C928" t="s">
        <v>338</v>
      </c>
      <c r="D928" t="s">
        <v>284</v>
      </c>
      <c r="E928">
        <v>43</v>
      </c>
      <c r="F928">
        <v>0.5</v>
      </c>
      <c r="G928">
        <v>0</v>
      </c>
      <c r="H928">
        <v>182</v>
      </c>
      <c r="I928">
        <v>91</v>
      </c>
      <c r="J928">
        <v>49</v>
      </c>
      <c r="K928">
        <v>366</v>
      </c>
      <c r="L928">
        <v>40</v>
      </c>
      <c r="M928">
        <v>0</v>
      </c>
      <c r="N928">
        <v>0</v>
      </c>
      <c r="O928">
        <v>0</v>
      </c>
      <c r="P928">
        <v>0</v>
      </c>
      <c r="Q928">
        <v>366</v>
      </c>
      <c r="R928">
        <v>0</v>
      </c>
      <c r="S928">
        <v>17</v>
      </c>
      <c r="T928">
        <v>500</v>
      </c>
      <c r="U928">
        <v>29</v>
      </c>
      <c r="V928">
        <v>0</v>
      </c>
      <c r="W928">
        <v>0</v>
      </c>
      <c r="X928">
        <v>0</v>
      </c>
      <c r="Y928">
        <v>11</v>
      </c>
      <c r="Z928">
        <v>15</v>
      </c>
      <c r="AA928">
        <v>0</v>
      </c>
      <c r="AB928">
        <v>0</v>
      </c>
      <c r="AC928">
        <v>17</v>
      </c>
      <c r="AD928">
        <v>0</v>
      </c>
      <c r="AE928">
        <v>589</v>
      </c>
      <c r="AF928">
        <v>344</v>
      </c>
      <c r="AJ928">
        <v>3.34</v>
      </c>
      <c r="AK928" t="str">
        <f t="shared" si="14"/>
        <v>WE360-5000</v>
      </c>
    </row>
    <row r="929" spans="1:37">
      <c r="A929" t="s">
        <v>1682</v>
      </c>
      <c r="B929" t="s">
        <v>1681</v>
      </c>
      <c r="C929" t="s">
        <v>338</v>
      </c>
      <c r="D929" t="s">
        <v>284</v>
      </c>
      <c r="E929">
        <v>43</v>
      </c>
      <c r="F929">
        <v>23.9</v>
      </c>
      <c r="G929">
        <v>0</v>
      </c>
      <c r="H929">
        <v>9</v>
      </c>
      <c r="I929">
        <v>9</v>
      </c>
      <c r="J929">
        <v>6</v>
      </c>
      <c r="K929">
        <v>859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859</v>
      </c>
      <c r="R929">
        <v>0</v>
      </c>
      <c r="S929">
        <v>0</v>
      </c>
      <c r="T929">
        <v>27</v>
      </c>
      <c r="U929">
        <v>0</v>
      </c>
      <c r="V929">
        <v>0</v>
      </c>
      <c r="W929">
        <v>28</v>
      </c>
      <c r="X929">
        <v>0</v>
      </c>
      <c r="Y929">
        <v>0</v>
      </c>
      <c r="Z929">
        <v>0</v>
      </c>
      <c r="AA929">
        <v>20</v>
      </c>
      <c r="AB929">
        <v>0</v>
      </c>
      <c r="AC929">
        <v>0</v>
      </c>
      <c r="AD929">
        <v>0</v>
      </c>
      <c r="AE929">
        <v>75</v>
      </c>
      <c r="AF929">
        <v>401</v>
      </c>
      <c r="AJ929">
        <v>3.34</v>
      </c>
      <c r="AK929" t="str">
        <f t="shared" si="14"/>
        <v>WE360-6200</v>
      </c>
    </row>
    <row r="930" spans="1:37">
      <c r="A930" t="s">
        <v>1683</v>
      </c>
      <c r="B930" t="s">
        <v>1684</v>
      </c>
      <c r="C930" t="s">
        <v>318</v>
      </c>
      <c r="D930" t="s">
        <v>306</v>
      </c>
      <c r="E930">
        <v>50</v>
      </c>
      <c r="F930">
        <v>7.5</v>
      </c>
      <c r="G930">
        <v>36</v>
      </c>
      <c r="H930">
        <v>49</v>
      </c>
      <c r="I930">
        <v>75</v>
      </c>
      <c r="J930">
        <v>102</v>
      </c>
      <c r="K930">
        <v>1512</v>
      </c>
      <c r="L930">
        <v>106</v>
      </c>
      <c r="M930">
        <v>0</v>
      </c>
      <c r="N930">
        <v>30</v>
      </c>
      <c r="O930">
        <v>0</v>
      </c>
      <c r="P930">
        <v>0</v>
      </c>
      <c r="Q930">
        <v>1482</v>
      </c>
      <c r="R930">
        <v>0</v>
      </c>
      <c r="S930">
        <v>34</v>
      </c>
      <c r="T930">
        <v>14</v>
      </c>
      <c r="U930">
        <v>100</v>
      </c>
      <c r="V930">
        <v>145</v>
      </c>
      <c r="W930">
        <v>84</v>
      </c>
      <c r="X930">
        <v>73</v>
      </c>
      <c r="Y930">
        <v>80</v>
      </c>
      <c r="Z930">
        <v>370</v>
      </c>
      <c r="AA930">
        <v>88</v>
      </c>
      <c r="AB930">
        <v>238</v>
      </c>
      <c r="AC930">
        <v>0</v>
      </c>
      <c r="AD930">
        <v>0</v>
      </c>
      <c r="AE930">
        <v>1226</v>
      </c>
      <c r="AF930">
        <v>1913</v>
      </c>
      <c r="AJ930">
        <v>5.55</v>
      </c>
      <c r="AK930" t="str">
        <f t="shared" si="14"/>
        <v>WF131-5000</v>
      </c>
    </row>
    <row r="931" spans="1:37">
      <c r="A931" t="s">
        <v>1685</v>
      </c>
      <c r="B931" t="s">
        <v>1684</v>
      </c>
      <c r="C931" t="s">
        <v>318</v>
      </c>
      <c r="D931" t="s">
        <v>306</v>
      </c>
      <c r="E931">
        <v>50</v>
      </c>
      <c r="F931">
        <v>7.2</v>
      </c>
      <c r="G931">
        <v>45</v>
      </c>
      <c r="H931">
        <v>94</v>
      </c>
      <c r="I931">
        <v>77</v>
      </c>
      <c r="J931">
        <v>63</v>
      </c>
      <c r="K931">
        <v>2746</v>
      </c>
      <c r="L931">
        <v>135</v>
      </c>
      <c r="M931">
        <v>0</v>
      </c>
      <c r="N931">
        <v>37</v>
      </c>
      <c r="O931">
        <v>0</v>
      </c>
      <c r="P931">
        <v>0</v>
      </c>
      <c r="Q931">
        <v>2709</v>
      </c>
      <c r="R931">
        <v>0</v>
      </c>
      <c r="S931">
        <v>0</v>
      </c>
      <c r="T931">
        <v>82</v>
      </c>
      <c r="U931">
        <v>201</v>
      </c>
      <c r="V931">
        <v>0</v>
      </c>
      <c r="W931">
        <v>143</v>
      </c>
      <c r="X931">
        <v>36</v>
      </c>
      <c r="Y931">
        <v>0</v>
      </c>
      <c r="Z931">
        <v>0</v>
      </c>
      <c r="AA931">
        <v>173</v>
      </c>
      <c r="AB931">
        <v>0</v>
      </c>
      <c r="AC931">
        <v>119</v>
      </c>
      <c r="AD931">
        <v>0</v>
      </c>
      <c r="AE931">
        <v>754</v>
      </c>
      <c r="AF931">
        <v>810</v>
      </c>
      <c r="AJ931">
        <v>5.55</v>
      </c>
      <c r="AK931" t="str">
        <f t="shared" si="14"/>
        <v>WF131-6200</v>
      </c>
    </row>
    <row r="932" spans="1:37">
      <c r="A932" t="s">
        <v>1686</v>
      </c>
      <c r="B932" t="s">
        <v>1687</v>
      </c>
      <c r="C932" t="s">
        <v>318</v>
      </c>
      <c r="E932">
        <v>50</v>
      </c>
      <c r="F932">
        <v>2.5</v>
      </c>
      <c r="G932">
        <v>48</v>
      </c>
      <c r="H932">
        <v>184</v>
      </c>
      <c r="I932">
        <v>111</v>
      </c>
      <c r="J932">
        <v>84</v>
      </c>
      <c r="K932">
        <v>1861</v>
      </c>
      <c r="L932">
        <v>45</v>
      </c>
      <c r="M932">
        <v>0</v>
      </c>
      <c r="N932">
        <v>40</v>
      </c>
      <c r="O932">
        <v>0</v>
      </c>
      <c r="P932">
        <v>0</v>
      </c>
      <c r="Q932">
        <v>1821</v>
      </c>
      <c r="R932">
        <v>0</v>
      </c>
      <c r="S932">
        <v>0</v>
      </c>
      <c r="T932">
        <v>349</v>
      </c>
      <c r="U932">
        <v>203</v>
      </c>
      <c r="V932">
        <v>116</v>
      </c>
      <c r="W932">
        <v>0</v>
      </c>
      <c r="X932">
        <v>0</v>
      </c>
      <c r="Y932">
        <v>96</v>
      </c>
      <c r="Z932">
        <v>82</v>
      </c>
      <c r="AA932">
        <v>0</v>
      </c>
      <c r="AB932">
        <v>160</v>
      </c>
      <c r="AC932">
        <v>0</v>
      </c>
      <c r="AD932">
        <v>0</v>
      </c>
      <c r="AE932">
        <v>1006</v>
      </c>
      <c r="AF932">
        <v>2136</v>
      </c>
      <c r="AJ932">
        <v>6.56</v>
      </c>
      <c r="AK932" t="str">
        <f t="shared" si="14"/>
        <v>WF181-5000</v>
      </c>
    </row>
    <row r="933" spans="1:37">
      <c r="A933" t="s">
        <v>1688</v>
      </c>
      <c r="B933" t="s">
        <v>1687</v>
      </c>
      <c r="C933" t="s">
        <v>318</v>
      </c>
      <c r="E933">
        <v>50</v>
      </c>
      <c r="F933">
        <v>7.6</v>
      </c>
      <c r="G933">
        <v>40</v>
      </c>
      <c r="H933">
        <v>72</v>
      </c>
      <c r="I933">
        <v>92</v>
      </c>
      <c r="J933">
        <v>99</v>
      </c>
      <c r="K933">
        <v>2206</v>
      </c>
      <c r="L933">
        <v>70</v>
      </c>
      <c r="M933">
        <v>0</v>
      </c>
      <c r="N933">
        <v>33</v>
      </c>
      <c r="O933">
        <v>0</v>
      </c>
      <c r="P933">
        <v>0</v>
      </c>
      <c r="Q933">
        <v>2173</v>
      </c>
      <c r="R933">
        <v>0</v>
      </c>
      <c r="S933">
        <v>78</v>
      </c>
      <c r="T933">
        <v>137</v>
      </c>
      <c r="U933">
        <v>0</v>
      </c>
      <c r="V933">
        <v>85</v>
      </c>
      <c r="W933">
        <v>252</v>
      </c>
      <c r="X933">
        <v>0</v>
      </c>
      <c r="Y933">
        <v>290</v>
      </c>
      <c r="Z933">
        <v>111</v>
      </c>
      <c r="AA933">
        <v>29</v>
      </c>
      <c r="AB933">
        <v>140</v>
      </c>
      <c r="AC933">
        <v>63</v>
      </c>
      <c r="AD933">
        <v>0</v>
      </c>
      <c r="AE933">
        <v>1185</v>
      </c>
      <c r="AF933">
        <v>1769</v>
      </c>
      <c r="AJ933">
        <v>6.56</v>
      </c>
      <c r="AK933" t="str">
        <f t="shared" si="14"/>
        <v>WF181-6200</v>
      </c>
    </row>
    <row r="934" spans="1:37">
      <c r="A934" t="s">
        <v>1689</v>
      </c>
      <c r="B934" t="s">
        <v>1690</v>
      </c>
      <c r="C934" t="s">
        <v>110</v>
      </c>
      <c r="D934" t="s">
        <v>268</v>
      </c>
      <c r="E934">
        <v>50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63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63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J934">
        <v>3.12</v>
      </c>
      <c r="AK934" t="str">
        <f t="shared" si="14"/>
        <v>WG101-3700</v>
      </c>
    </row>
    <row r="935" spans="1:37">
      <c r="A935" t="s">
        <v>1691</v>
      </c>
      <c r="B935" t="s">
        <v>1690</v>
      </c>
      <c r="C935" t="s">
        <v>110</v>
      </c>
      <c r="D935" t="s">
        <v>451</v>
      </c>
      <c r="E935">
        <v>50</v>
      </c>
      <c r="F935">
        <v>0</v>
      </c>
      <c r="G935">
        <v>0</v>
      </c>
      <c r="H935">
        <v>0</v>
      </c>
      <c r="I935">
        <v>33</v>
      </c>
      <c r="J935">
        <v>18</v>
      </c>
      <c r="K935">
        <v>489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489</v>
      </c>
      <c r="R935">
        <v>0</v>
      </c>
      <c r="S935">
        <v>0</v>
      </c>
      <c r="T935">
        <v>0</v>
      </c>
      <c r="U935">
        <v>0</v>
      </c>
      <c r="V935">
        <v>200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12</v>
      </c>
      <c r="AC935">
        <v>0</v>
      </c>
      <c r="AD935">
        <v>0</v>
      </c>
      <c r="AE935">
        <v>212</v>
      </c>
      <c r="AF935">
        <v>0</v>
      </c>
      <c r="AJ935">
        <v>3.57</v>
      </c>
      <c r="AK935" t="str">
        <f t="shared" si="14"/>
        <v>WG101-6200</v>
      </c>
    </row>
    <row r="936" spans="1:37">
      <c r="A936" t="s">
        <v>1692</v>
      </c>
      <c r="B936" t="s">
        <v>1693</v>
      </c>
      <c r="C936" t="s">
        <v>275</v>
      </c>
      <c r="E936">
        <v>43</v>
      </c>
      <c r="F936">
        <v>119.1</v>
      </c>
      <c r="G936">
        <v>4</v>
      </c>
      <c r="H936">
        <v>3</v>
      </c>
      <c r="I936">
        <v>1</v>
      </c>
      <c r="J936">
        <v>2</v>
      </c>
      <c r="K936">
        <v>1274</v>
      </c>
      <c r="L936">
        <v>6</v>
      </c>
      <c r="M936">
        <v>0</v>
      </c>
      <c r="N936">
        <v>4</v>
      </c>
      <c r="O936">
        <v>0</v>
      </c>
      <c r="P936">
        <v>0</v>
      </c>
      <c r="Q936">
        <v>1270</v>
      </c>
      <c r="R936">
        <v>3</v>
      </c>
      <c r="S936">
        <v>0</v>
      </c>
      <c r="T936">
        <v>8</v>
      </c>
      <c r="U936">
        <v>0</v>
      </c>
      <c r="V936">
        <v>0</v>
      </c>
      <c r="W936">
        <v>0</v>
      </c>
      <c r="X936">
        <v>0</v>
      </c>
      <c r="Y936">
        <v>10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18</v>
      </c>
      <c r="AF936">
        <v>64</v>
      </c>
      <c r="AJ936">
        <v>3.45</v>
      </c>
      <c r="AK936" t="str">
        <f t="shared" si="14"/>
        <v>WH110-5000</v>
      </c>
    </row>
    <row r="937" spans="1:37">
      <c r="A937" t="s">
        <v>1694</v>
      </c>
      <c r="B937" t="s">
        <v>1693</v>
      </c>
      <c r="C937" t="s">
        <v>275</v>
      </c>
      <c r="E937">
        <v>43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3362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3362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61</v>
      </c>
      <c r="AJ937">
        <v>5.84</v>
      </c>
      <c r="AK937" t="str">
        <f t="shared" si="14"/>
        <v>WH110-6200</v>
      </c>
    </row>
    <row r="938" spans="1:37">
      <c r="A938" t="s">
        <v>1695</v>
      </c>
      <c r="B938" t="s">
        <v>1696</v>
      </c>
      <c r="C938" t="s">
        <v>275</v>
      </c>
      <c r="D938" t="s">
        <v>1697</v>
      </c>
      <c r="E938">
        <v>50</v>
      </c>
      <c r="F938">
        <v>0</v>
      </c>
      <c r="G938">
        <v>11</v>
      </c>
      <c r="H938">
        <v>0</v>
      </c>
      <c r="I938">
        <v>54</v>
      </c>
      <c r="J938">
        <v>63</v>
      </c>
      <c r="K938">
        <v>2864</v>
      </c>
      <c r="L938">
        <v>104</v>
      </c>
      <c r="M938">
        <v>0</v>
      </c>
      <c r="N938">
        <v>9</v>
      </c>
      <c r="O938">
        <v>0</v>
      </c>
      <c r="P938">
        <v>0</v>
      </c>
      <c r="Q938">
        <v>2855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325</v>
      </c>
      <c r="X938">
        <v>0</v>
      </c>
      <c r="Y938">
        <v>106</v>
      </c>
      <c r="Z938">
        <v>321</v>
      </c>
      <c r="AA938">
        <v>0</v>
      </c>
      <c r="AB938">
        <v>0</v>
      </c>
      <c r="AC938">
        <v>0</v>
      </c>
      <c r="AD938">
        <v>0</v>
      </c>
      <c r="AE938">
        <v>752</v>
      </c>
      <c r="AF938">
        <v>1656</v>
      </c>
      <c r="AJ938">
        <v>6.41</v>
      </c>
      <c r="AK938" t="str">
        <f t="shared" si="14"/>
        <v>WM101-6200</v>
      </c>
    </row>
    <row r="939" spans="1:37">
      <c r="A939" t="s">
        <v>1698</v>
      </c>
      <c r="B939" t="s">
        <v>1699</v>
      </c>
      <c r="C939" t="s">
        <v>275</v>
      </c>
      <c r="D939" t="s">
        <v>1697</v>
      </c>
      <c r="E939">
        <v>50</v>
      </c>
      <c r="F939">
        <v>0</v>
      </c>
      <c r="G939">
        <v>0</v>
      </c>
      <c r="H939">
        <v>39</v>
      </c>
      <c r="I939">
        <v>43</v>
      </c>
      <c r="J939">
        <v>36</v>
      </c>
      <c r="K939">
        <v>0</v>
      </c>
      <c r="L939">
        <v>19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31</v>
      </c>
      <c r="T939">
        <v>0</v>
      </c>
      <c r="U939">
        <v>85</v>
      </c>
      <c r="V939">
        <v>0</v>
      </c>
      <c r="W939">
        <v>60</v>
      </c>
      <c r="X939">
        <v>79</v>
      </c>
      <c r="Y939">
        <v>34</v>
      </c>
      <c r="Z939">
        <v>64</v>
      </c>
      <c r="AA939">
        <v>80</v>
      </c>
      <c r="AB939">
        <v>0</v>
      </c>
      <c r="AC939">
        <v>0</v>
      </c>
      <c r="AD939">
        <v>0</v>
      </c>
      <c r="AE939">
        <v>433</v>
      </c>
      <c r="AF939">
        <v>358</v>
      </c>
      <c r="AJ939">
        <v>4.51</v>
      </c>
      <c r="AK939" t="str">
        <f t="shared" si="14"/>
        <v>WM111-4300</v>
      </c>
    </row>
    <row r="940" spans="1:37">
      <c r="A940" t="s">
        <v>1700</v>
      </c>
      <c r="B940" t="s">
        <v>1699</v>
      </c>
      <c r="C940" t="s">
        <v>275</v>
      </c>
      <c r="D940" t="s">
        <v>1697</v>
      </c>
      <c r="E940">
        <v>50</v>
      </c>
      <c r="F940">
        <v>29.4</v>
      </c>
      <c r="G940">
        <v>12</v>
      </c>
      <c r="H940">
        <v>15</v>
      </c>
      <c r="I940">
        <v>7</v>
      </c>
      <c r="J940">
        <v>8</v>
      </c>
      <c r="K940">
        <v>1735</v>
      </c>
      <c r="L940">
        <v>6</v>
      </c>
      <c r="M940">
        <v>0</v>
      </c>
      <c r="N940">
        <v>10</v>
      </c>
      <c r="O940">
        <v>0</v>
      </c>
      <c r="P940">
        <v>0</v>
      </c>
      <c r="Q940">
        <v>1725</v>
      </c>
      <c r="R940">
        <v>0</v>
      </c>
      <c r="S940">
        <v>0</v>
      </c>
      <c r="T940">
        <v>30</v>
      </c>
      <c r="U940">
        <v>14</v>
      </c>
      <c r="V940">
        <v>0</v>
      </c>
      <c r="W940">
        <v>0</v>
      </c>
      <c r="X940">
        <v>0</v>
      </c>
      <c r="Y940">
        <v>27</v>
      </c>
      <c r="Z940">
        <v>0</v>
      </c>
      <c r="AA940">
        <v>28</v>
      </c>
      <c r="AB940">
        <v>0</v>
      </c>
      <c r="AC940">
        <v>0</v>
      </c>
      <c r="AD940">
        <v>0</v>
      </c>
      <c r="AE940">
        <v>99</v>
      </c>
      <c r="AF940">
        <v>103</v>
      </c>
      <c r="AJ940">
        <v>4.51</v>
      </c>
      <c r="AK940" t="str">
        <f t="shared" si="14"/>
        <v>WM111-6200</v>
      </c>
    </row>
    <row r="941" spans="1:37">
      <c r="A941" t="s">
        <v>1701</v>
      </c>
      <c r="B941" t="s">
        <v>1702</v>
      </c>
      <c r="C941" t="s">
        <v>275</v>
      </c>
      <c r="E941">
        <v>45</v>
      </c>
      <c r="F941">
        <v>2</v>
      </c>
      <c r="G941">
        <v>252</v>
      </c>
      <c r="H941">
        <v>458</v>
      </c>
      <c r="I941">
        <v>489</v>
      </c>
      <c r="J941">
        <v>702</v>
      </c>
      <c r="K941">
        <v>3895</v>
      </c>
      <c r="L941">
        <v>430</v>
      </c>
      <c r="M941">
        <v>0</v>
      </c>
      <c r="N941">
        <v>210</v>
      </c>
      <c r="O941">
        <v>0</v>
      </c>
      <c r="P941">
        <v>0</v>
      </c>
      <c r="Q941">
        <v>3685</v>
      </c>
      <c r="R941">
        <v>0</v>
      </c>
      <c r="S941">
        <v>233</v>
      </c>
      <c r="T941">
        <v>283</v>
      </c>
      <c r="U941">
        <v>859</v>
      </c>
      <c r="V941">
        <v>305</v>
      </c>
      <c r="W941">
        <v>1256</v>
      </c>
      <c r="X941">
        <v>0</v>
      </c>
      <c r="Y941">
        <v>84</v>
      </c>
      <c r="Z941">
        <v>2738</v>
      </c>
      <c r="AA941">
        <v>0</v>
      </c>
      <c r="AB941">
        <v>1211</v>
      </c>
      <c r="AC941">
        <v>885</v>
      </c>
      <c r="AD941">
        <v>572</v>
      </c>
      <c r="AE941">
        <v>8426</v>
      </c>
      <c r="AF941">
        <v>9538</v>
      </c>
      <c r="AJ941">
        <v>3.76</v>
      </c>
      <c r="AK941" t="str">
        <f t="shared" si="14"/>
        <v>WM115-5000</v>
      </c>
    </row>
    <row r="942" spans="1:37">
      <c r="A942" t="s">
        <v>1703</v>
      </c>
      <c r="B942" t="s">
        <v>1702</v>
      </c>
      <c r="C942" t="s">
        <v>275</v>
      </c>
      <c r="E942">
        <v>45</v>
      </c>
      <c r="F942">
        <v>0.7</v>
      </c>
      <c r="G942">
        <v>36</v>
      </c>
      <c r="H942">
        <v>171</v>
      </c>
      <c r="I942">
        <v>370</v>
      </c>
      <c r="J942">
        <v>533</v>
      </c>
      <c r="K942">
        <v>507</v>
      </c>
      <c r="L942">
        <v>53</v>
      </c>
      <c r="M942">
        <v>0</v>
      </c>
      <c r="N942">
        <v>30</v>
      </c>
      <c r="O942">
        <v>0</v>
      </c>
      <c r="P942">
        <v>0</v>
      </c>
      <c r="Q942">
        <v>477</v>
      </c>
      <c r="R942">
        <v>0</v>
      </c>
      <c r="S942">
        <v>8</v>
      </c>
      <c r="T942">
        <v>78</v>
      </c>
      <c r="U942">
        <v>427</v>
      </c>
      <c r="V942">
        <v>689</v>
      </c>
      <c r="W942">
        <v>421</v>
      </c>
      <c r="X942">
        <v>595</v>
      </c>
      <c r="Y942">
        <v>139</v>
      </c>
      <c r="Z942">
        <v>2768</v>
      </c>
      <c r="AA942">
        <v>34</v>
      </c>
      <c r="AB942">
        <v>815</v>
      </c>
      <c r="AC942">
        <v>0</v>
      </c>
      <c r="AD942">
        <v>417</v>
      </c>
      <c r="AE942">
        <v>6391</v>
      </c>
      <c r="AF942">
        <v>9814</v>
      </c>
      <c r="AJ942">
        <v>6.41</v>
      </c>
      <c r="AK942" t="str">
        <f t="shared" si="14"/>
        <v>WM115-6200</v>
      </c>
    </row>
    <row r="943" spans="1:37">
      <c r="A943" t="s">
        <v>1704</v>
      </c>
      <c r="B943" t="s">
        <v>1705</v>
      </c>
      <c r="C943" t="s">
        <v>329</v>
      </c>
      <c r="D943" t="s">
        <v>1706</v>
      </c>
      <c r="E943">
        <v>43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723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723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J943">
        <v>3.73</v>
      </c>
      <c r="AK943" t="str">
        <f t="shared" si="14"/>
        <v>WM215-6200</v>
      </c>
    </row>
    <row r="944" spans="1:37">
      <c r="A944" t="s">
        <v>1707</v>
      </c>
      <c r="B944" t="s">
        <v>1708</v>
      </c>
      <c r="C944" t="s">
        <v>267</v>
      </c>
      <c r="D944" t="s">
        <v>1422</v>
      </c>
      <c r="E944">
        <v>50</v>
      </c>
      <c r="F944">
        <v>14.3</v>
      </c>
      <c r="G944">
        <v>9</v>
      </c>
      <c r="H944">
        <v>33</v>
      </c>
      <c r="I944">
        <v>147</v>
      </c>
      <c r="J944">
        <v>182</v>
      </c>
      <c r="K944">
        <v>1916</v>
      </c>
      <c r="L944">
        <v>71</v>
      </c>
      <c r="M944">
        <v>0</v>
      </c>
      <c r="N944">
        <v>7</v>
      </c>
      <c r="O944">
        <v>0</v>
      </c>
      <c r="P944">
        <v>0</v>
      </c>
      <c r="Q944">
        <v>1909</v>
      </c>
      <c r="R944">
        <v>0</v>
      </c>
      <c r="S944">
        <v>0</v>
      </c>
      <c r="T944">
        <v>0</v>
      </c>
      <c r="U944">
        <v>100</v>
      </c>
      <c r="V944">
        <v>80</v>
      </c>
      <c r="W944">
        <v>216</v>
      </c>
      <c r="X944">
        <v>483</v>
      </c>
      <c r="Y944">
        <v>81</v>
      </c>
      <c r="Z944">
        <v>0</v>
      </c>
      <c r="AA944">
        <v>0</v>
      </c>
      <c r="AB944">
        <v>875</v>
      </c>
      <c r="AC944">
        <v>0</v>
      </c>
      <c r="AD944">
        <v>343</v>
      </c>
      <c r="AE944">
        <v>2178</v>
      </c>
      <c r="AF944">
        <v>1978</v>
      </c>
      <c r="AJ944">
        <v>5.87</v>
      </c>
      <c r="AK944" t="str">
        <f t="shared" si="14"/>
        <v>WM221-5000</v>
      </c>
    </row>
    <row r="945" spans="1:37">
      <c r="A945" t="s">
        <v>1709</v>
      </c>
      <c r="B945" t="s">
        <v>1708</v>
      </c>
      <c r="C945" t="s">
        <v>267</v>
      </c>
      <c r="D945" t="s">
        <v>292</v>
      </c>
      <c r="E945">
        <v>50</v>
      </c>
      <c r="F945">
        <v>2.2999999999999998</v>
      </c>
      <c r="G945">
        <v>0</v>
      </c>
      <c r="H945">
        <v>78</v>
      </c>
      <c r="I945">
        <v>47</v>
      </c>
      <c r="J945">
        <v>38</v>
      </c>
      <c r="K945">
        <v>718</v>
      </c>
      <c r="L945">
        <v>33</v>
      </c>
      <c r="M945">
        <v>0</v>
      </c>
      <c r="N945">
        <v>0</v>
      </c>
      <c r="O945">
        <v>0</v>
      </c>
      <c r="P945">
        <v>0</v>
      </c>
      <c r="Q945">
        <v>718</v>
      </c>
      <c r="R945">
        <v>0</v>
      </c>
      <c r="S945">
        <v>161</v>
      </c>
      <c r="T945">
        <v>31</v>
      </c>
      <c r="U945">
        <v>43</v>
      </c>
      <c r="V945">
        <v>0</v>
      </c>
      <c r="W945">
        <v>6</v>
      </c>
      <c r="X945">
        <v>43</v>
      </c>
      <c r="Y945">
        <v>0</v>
      </c>
      <c r="Z945">
        <v>37</v>
      </c>
      <c r="AA945">
        <v>35</v>
      </c>
      <c r="AB945">
        <v>0</v>
      </c>
      <c r="AC945">
        <v>18</v>
      </c>
      <c r="AD945">
        <v>76</v>
      </c>
      <c r="AE945">
        <v>450</v>
      </c>
      <c r="AF945">
        <v>465</v>
      </c>
      <c r="AJ945">
        <v>5.87</v>
      </c>
      <c r="AK945" t="str">
        <f t="shared" si="14"/>
        <v>WM221-6200</v>
      </c>
    </row>
    <row r="946" spans="1:37">
      <c r="A946" t="s">
        <v>1710</v>
      </c>
      <c r="B946" t="s">
        <v>1711</v>
      </c>
      <c r="C946" t="s">
        <v>110</v>
      </c>
      <c r="D946" t="s">
        <v>1712</v>
      </c>
      <c r="E946">
        <v>50</v>
      </c>
      <c r="F946">
        <v>-0.1</v>
      </c>
      <c r="G946">
        <v>14</v>
      </c>
      <c r="H946">
        <v>23</v>
      </c>
      <c r="I946">
        <v>17</v>
      </c>
      <c r="J946">
        <v>18</v>
      </c>
      <c r="K946">
        <v>0</v>
      </c>
      <c r="L946">
        <v>33</v>
      </c>
      <c r="M946">
        <v>0</v>
      </c>
      <c r="N946">
        <v>12</v>
      </c>
      <c r="O946">
        <v>0</v>
      </c>
      <c r="P946">
        <v>0</v>
      </c>
      <c r="Q946">
        <v>-12</v>
      </c>
      <c r="R946">
        <v>0</v>
      </c>
      <c r="S946">
        <v>34</v>
      </c>
      <c r="T946">
        <v>35</v>
      </c>
      <c r="U946">
        <v>0</v>
      </c>
      <c r="V946">
        <v>35</v>
      </c>
      <c r="W946">
        <v>0</v>
      </c>
      <c r="X946">
        <v>0</v>
      </c>
      <c r="Y946">
        <v>56</v>
      </c>
      <c r="Z946">
        <v>29</v>
      </c>
      <c r="AA946">
        <v>0</v>
      </c>
      <c r="AB946">
        <v>30</v>
      </c>
      <c r="AC946">
        <v>0</v>
      </c>
      <c r="AD946">
        <v>0</v>
      </c>
      <c r="AE946">
        <v>219</v>
      </c>
      <c r="AF946">
        <v>172</v>
      </c>
      <c r="AJ946">
        <v>0</v>
      </c>
      <c r="AK946" t="str">
        <f t="shared" si="14"/>
        <v>WM255-5000</v>
      </c>
    </row>
    <row r="947" spans="1:37">
      <c r="A947" t="s">
        <v>1713</v>
      </c>
      <c r="B947" t="s">
        <v>1711</v>
      </c>
      <c r="C947" t="s">
        <v>110</v>
      </c>
      <c r="D947" t="s">
        <v>1712</v>
      </c>
      <c r="E947">
        <v>50</v>
      </c>
      <c r="F947">
        <v>8.1</v>
      </c>
      <c r="G947">
        <v>0</v>
      </c>
      <c r="H947">
        <v>14</v>
      </c>
      <c r="I947">
        <v>49</v>
      </c>
      <c r="J947">
        <v>77</v>
      </c>
      <c r="K947">
        <v>442</v>
      </c>
      <c r="L947">
        <v>70</v>
      </c>
      <c r="M947">
        <v>0</v>
      </c>
      <c r="N947">
        <v>0</v>
      </c>
      <c r="O947">
        <v>0</v>
      </c>
      <c r="P947">
        <v>0</v>
      </c>
      <c r="Q947">
        <v>442</v>
      </c>
      <c r="R947">
        <v>0</v>
      </c>
      <c r="S947">
        <v>0</v>
      </c>
      <c r="T947">
        <v>41</v>
      </c>
      <c r="U947">
        <v>0</v>
      </c>
      <c r="V947">
        <v>94</v>
      </c>
      <c r="W947">
        <v>159</v>
      </c>
      <c r="X947">
        <v>0</v>
      </c>
      <c r="Y947">
        <v>117</v>
      </c>
      <c r="Z947">
        <v>390</v>
      </c>
      <c r="AA947">
        <v>0</v>
      </c>
      <c r="AB947">
        <v>0</v>
      </c>
      <c r="AC947">
        <v>55</v>
      </c>
      <c r="AD947">
        <v>62</v>
      </c>
      <c r="AE947">
        <v>918</v>
      </c>
      <c r="AF947">
        <v>537</v>
      </c>
      <c r="AJ947">
        <v>4.6100000000000003</v>
      </c>
      <c r="AK947" t="str">
        <f t="shared" si="14"/>
        <v>WM255-6200</v>
      </c>
    </row>
    <row r="948" spans="1:37">
      <c r="A948" t="s">
        <v>1714</v>
      </c>
      <c r="B948" t="s">
        <v>1715</v>
      </c>
      <c r="C948" t="s">
        <v>110</v>
      </c>
      <c r="D948" t="s">
        <v>1716</v>
      </c>
      <c r="E948">
        <v>45</v>
      </c>
      <c r="F948">
        <v>0.2</v>
      </c>
      <c r="G948">
        <v>540</v>
      </c>
      <c r="H948">
        <v>123</v>
      </c>
      <c r="I948">
        <v>156</v>
      </c>
      <c r="J948">
        <v>296</v>
      </c>
      <c r="K948">
        <v>571</v>
      </c>
      <c r="L948">
        <v>72</v>
      </c>
      <c r="M948">
        <v>0</v>
      </c>
      <c r="N948">
        <v>450</v>
      </c>
      <c r="O948">
        <v>0</v>
      </c>
      <c r="P948">
        <v>0</v>
      </c>
      <c r="Q948">
        <v>121</v>
      </c>
      <c r="R948">
        <v>0</v>
      </c>
      <c r="S948">
        <v>369</v>
      </c>
      <c r="T948">
        <v>0</v>
      </c>
      <c r="U948">
        <v>0</v>
      </c>
      <c r="V948">
        <v>566</v>
      </c>
      <c r="W948">
        <v>0</v>
      </c>
      <c r="X948">
        <v>0</v>
      </c>
      <c r="Y948">
        <v>1391</v>
      </c>
      <c r="Z948">
        <v>180</v>
      </c>
      <c r="AA948">
        <v>813</v>
      </c>
      <c r="AB948">
        <v>0</v>
      </c>
      <c r="AC948">
        <v>108</v>
      </c>
      <c r="AD948">
        <v>119</v>
      </c>
      <c r="AE948">
        <v>3546</v>
      </c>
      <c r="AF948">
        <v>3877</v>
      </c>
      <c r="AJ948">
        <v>6.18</v>
      </c>
      <c r="AK948" t="str">
        <f t="shared" si="14"/>
        <v>WM301-6200</v>
      </c>
    </row>
    <row r="949" spans="1:37">
      <c r="A949" t="s">
        <v>1717</v>
      </c>
      <c r="B949" t="s">
        <v>1718</v>
      </c>
      <c r="C949" t="s">
        <v>110</v>
      </c>
      <c r="D949" t="s">
        <v>1716</v>
      </c>
      <c r="E949">
        <v>50</v>
      </c>
      <c r="F949">
        <v>2.7</v>
      </c>
      <c r="G949">
        <v>435</v>
      </c>
      <c r="H949">
        <v>49</v>
      </c>
      <c r="I949">
        <v>87</v>
      </c>
      <c r="J949">
        <v>99</v>
      </c>
      <c r="K949">
        <v>897</v>
      </c>
      <c r="L949">
        <v>6</v>
      </c>
      <c r="M949">
        <v>0</v>
      </c>
      <c r="N949">
        <v>363</v>
      </c>
      <c r="O949">
        <v>0</v>
      </c>
      <c r="P949">
        <v>0</v>
      </c>
      <c r="Q949">
        <v>534</v>
      </c>
      <c r="R949">
        <v>0</v>
      </c>
      <c r="S949">
        <v>0</v>
      </c>
      <c r="T949">
        <v>147</v>
      </c>
      <c r="U949">
        <v>0</v>
      </c>
      <c r="V949">
        <v>0</v>
      </c>
      <c r="W949">
        <v>229</v>
      </c>
      <c r="X949">
        <v>144</v>
      </c>
      <c r="Y949">
        <v>0</v>
      </c>
      <c r="Z949">
        <v>0</v>
      </c>
      <c r="AA949">
        <v>597</v>
      </c>
      <c r="AB949">
        <v>71</v>
      </c>
      <c r="AC949">
        <v>0</v>
      </c>
      <c r="AD949">
        <v>0</v>
      </c>
      <c r="AE949">
        <v>1188</v>
      </c>
      <c r="AF949">
        <v>1579</v>
      </c>
      <c r="AJ949">
        <v>6.18</v>
      </c>
      <c r="AK949" t="str">
        <f t="shared" si="14"/>
        <v>WM311-4300</v>
      </c>
    </row>
    <row r="950" spans="1:37">
      <c r="A950" t="s">
        <v>1719</v>
      </c>
      <c r="B950" t="s">
        <v>1720</v>
      </c>
      <c r="C950" t="s">
        <v>110</v>
      </c>
      <c r="D950" t="s">
        <v>1716</v>
      </c>
      <c r="E950">
        <v>50</v>
      </c>
      <c r="F950">
        <v>1.2</v>
      </c>
      <c r="G950">
        <v>442</v>
      </c>
      <c r="H950">
        <v>100</v>
      </c>
      <c r="I950">
        <v>177</v>
      </c>
      <c r="J950">
        <v>155</v>
      </c>
      <c r="K950">
        <v>840</v>
      </c>
      <c r="L950">
        <v>67</v>
      </c>
      <c r="M950">
        <v>0</v>
      </c>
      <c r="N950">
        <v>368</v>
      </c>
      <c r="O950">
        <v>0</v>
      </c>
      <c r="P950">
        <v>0</v>
      </c>
      <c r="Q950">
        <v>472</v>
      </c>
      <c r="R950">
        <v>0</v>
      </c>
      <c r="S950">
        <v>0</v>
      </c>
      <c r="T950">
        <v>299</v>
      </c>
      <c r="U950">
        <v>0</v>
      </c>
      <c r="V950">
        <v>106</v>
      </c>
      <c r="W950">
        <v>512</v>
      </c>
      <c r="X950">
        <v>147</v>
      </c>
      <c r="Y950">
        <v>0</v>
      </c>
      <c r="Z950">
        <v>280</v>
      </c>
      <c r="AA950">
        <v>443</v>
      </c>
      <c r="AB950">
        <v>69</v>
      </c>
      <c r="AC950">
        <v>0</v>
      </c>
      <c r="AD950">
        <v>0</v>
      </c>
      <c r="AE950">
        <v>1856</v>
      </c>
      <c r="AF950">
        <v>1459</v>
      </c>
      <c r="AJ950">
        <v>6.18</v>
      </c>
      <c r="AK950" t="str">
        <f t="shared" si="14"/>
        <v>WM321-4300</v>
      </c>
    </row>
    <row r="951" spans="1:37">
      <c r="A951" t="s">
        <v>1721</v>
      </c>
      <c r="B951" t="s">
        <v>1722</v>
      </c>
      <c r="C951" t="s">
        <v>275</v>
      </c>
      <c r="E951">
        <v>50</v>
      </c>
      <c r="F951">
        <v>-1</v>
      </c>
      <c r="G951">
        <v>277</v>
      </c>
      <c r="H951">
        <v>29</v>
      </c>
      <c r="I951">
        <v>15</v>
      </c>
      <c r="J951">
        <v>13</v>
      </c>
      <c r="K951">
        <v>110</v>
      </c>
      <c r="L951">
        <v>35</v>
      </c>
      <c r="M951">
        <v>0</v>
      </c>
      <c r="N951">
        <v>231</v>
      </c>
      <c r="O951">
        <v>0</v>
      </c>
      <c r="P951">
        <v>0</v>
      </c>
      <c r="Q951">
        <v>-121</v>
      </c>
      <c r="R951">
        <v>0</v>
      </c>
      <c r="S951">
        <v>77</v>
      </c>
      <c r="T951">
        <v>0</v>
      </c>
      <c r="U951">
        <v>11</v>
      </c>
      <c r="V951">
        <v>0</v>
      </c>
      <c r="W951">
        <v>0</v>
      </c>
      <c r="X951">
        <v>0</v>
      </c>
      <c r="Y951">
        <v>0</v>
      </c>
      <c r="Z951">
        <v>17</v>
      </c>
      <c r="AA951">
        <v>0</v>
      </c>
      <c r="AB951">
        <v>0</v>
      </c>
      <c r="AC951">
        <v>0</v>
      </c>
      <c r="AD951">
        <v>48</v>
      </c>
      <c r="AE951">
        <v>153</v>
      </c>
      <c r="AF951">
        <v>64</v>
      </c>
      <c r="AJ951">
        <v>6.41</v>
      </c>
      <c r="AK951" t="str">
        <f t="shared" si="14"/>
        <v>WM331-3250</v>
      </c>
    </row>
    <row r="952" spans="1:37">
      <c r="A952" t="s">
        <v>1723</v>
      </c>
      <c r="B952" t="s">
        <v>1724</v>
      </c>
      <c r="C952" t="s">
        <v>275</v>
      </c>
      <c r="E952">
        <v>50</v>
      </c>
      <c r="F952">
        <v>-1</v>
      </c>
      <c r="G952">
        <v>373</v>
      </c>
      <c r="H952">
        <v>81</v>
      </c>
      <c r="I952">
        <v>100</v>
      </c>
      <c r="J952">
        <v>86</v>
      </c>
      <c r="K952">
        <v>0</v>
      </c>
      <c r="L952">
        <v>65</v>
      </c>
      <c r="M952">
        <v>0</v>
      </c>
      <c r="N952">
        <v>310</v>
      </c>
      <c r="O952">
        <v>0</v>
      </c>
      <c r="P952">
        <v>0</v>
      </c>
      <c r="Q952">
        <v>-310</v>
      </c>
      <c r="R952">
        <v>0</v>
      </c>
      <c r="S952">
        <v>244</v>
      </c>
      <c r="T952">
        <v>0</v>
      </c>
      <c r="U952">
        <v>0</v>
      </c>
      <c r="V952">
        <v>0</v>
      </c>
      <c r="W952">
        <v>238</v>
      </c>
      <c r="X952">
        <v>119</v>
      </c>
      <c r="Y952">
        <v>0</v>
      </c>
      <c r="Z952">
        <v>0</v>
      </c>
      <c r="AA952">
        <v>0</v>
      </c>
      <c r="AB952">
        <v>75</v>
      </c>
      <c r="AC952">
        <v>0</v>
      </c>
      <c r="AD952">
        <v>350</v>
      </c>
      <c r="AE952">
        <v>1026</v>
      </c>
      <c r="AF952">
        <v>36</v>
      </c>
      <c r="AJ952">
        <v>5.09</v>
      </c>
      <c r="AK952" t="str">
        <f t="shared" si="14"/>
        <v>WM331-4300</v>
      </c>
    </row>
    <row r="953" spans="1:37">
      <c r="A953" t="s">
        <v>1725</v>
      </c>
      <c r="B953" t="s">
        <v>1726</v>
      </c>
      <c r="C953" t="s">
        <v>275</v>
      </c>
      <c r="D953" t="s">
        <v>1727</v>
      </c>
      <c r="E953">
        <v>50</v>
      </c>
      <c r="F953">
        <v>0.1</v>
      </c>
      <c r="G953">
        <v>91</v>
      </c>
      <c r="H953">
        <v>165</v>
      </c>
      <c r="I953">
        <v>184</v>
      </c>
      <c r="J953">
        <v>103</v>
      </c>
      <c r="K953">
        <v>130</v>
      </c>
      <c r="L953">
        <v>380</v>
      </c>
      <c r="M953">
        <v>0</v>
      </c>
      <c r="N953">
        <v>76</v>
      </c>
      <c r="O953">
        <v>0</v>
      </c>
      <c r="P953">
        <v>0</v>
      </c>
      <c r="Q953">
        <v>54</v>
      </c>
      <c r="R953">
        <v>0</v>
      </c>
      <c r="S953">
        <v>137</v>
      </c>
      <c r="T953">
        <v>124</v>
      </c>
      <c r="U953">
        <v>234</v>
      </c>
      <c r="V953">
        <v>0</v>
      </c>
      <c r="W953">
        <v>439</v>
      </c>
      <c r="X953">
        <v>168</v>
      </c>
      <c r="Y953">
        <v>0</v>
      </c>
      <c r="Z953">
        <v>73</v>
      </c>
      <c r="AA953">
        <v>0</v>
      </c>
      <c r="AB953">
        <v>0</v>
      </c>
      <c r="AC953">
        <v>55</v>
      </c>
      <c r="AD953">
        <v>0</v>
      </c>
      <c r="AE953">
        <v>1230</v>
      </c>
      <c r="AF953">
        <v>378</v>
      </c>
      <c r="AJ953">
        <v>5.09</v>
      </c>
      <c r="AK953" t="str">
        <f t="shared" si="14"/>
        <v>WM332-6200</v>
      </c>
    </row>
    <row r="954" spans="1:37">
      <c r="A954" t="s">
        <v>1728</v>
      </c>
      <c r="B954" t="s">
        <v>1729</v>
      </c>
      <c r="C954" t="s">
        <v>275</v>
      </c>
      <c r="D954" t="s">
        <v>1730</v>
      </c>
      <c r="E954">
        <v>50</v>
      </c>
      <c r="F954">
        <v>0.6</v>
      </c>
      <c r="G954">
        <v>203</v>
      </c>
      <c r="H954">
        <v>149</v>
      </c>
      <c r="I954">
        <v>89</v>
      </c>
      <c r="J954">
        <v>80</v>
      </c>
      <c r="K954">
        <v>543</v>
      </c>
      <c r="L954">
        <v>302</v>
      </c>
      <c r="M954">
        <v>0</v>
      </c>
      <c r="N954">
        <v>169</v>
      </c>
      <c r="O954">
        <v>0</v>
      </c>
      <c r="P954">
        <v>0</v>
      </c>
      <c r="Q954">
        <v>374</v>
      </c>
      <c r="R954">
        <v>0</v>
      </c>
      <c r="S954">
        <v>129</v>
      </c>
      <c r="T954">
        <v>0</v>
      </c>
      <c r="U954">
        <v>318</v>
      </c>
      <c r="V954">
        <v>0</v>
      </c>
      <c r="W954">
        <v>23</v>
      </c>
      <c r="X954">
        <v>62</v>
      </c>
      <c r="Y954">
        <v>0</v>
      </c>
      <c r="Z954">
        <v>0</v>
      </c>
      <c r="AA954">
        <v>71</v>
      </c>
      <c r="AB954">
        <v>114</v>
      </c>
      <c r="AC954">
        <v>0</v>
      </c>
      <c r="AD954">
        <v>240</v>
      </c>
      <c r="AE954">
        <v>957</v>
      </c>
      <c r="AF954">
        <v>216</v>
      </c>
      <c r="AJ954">
        <v>6.41</v>
      </c>
      <c r="AK954" t="str">
        <f t="shared" si="14"/>
        <v>WM333-6200</v>
      </c>
    </row>
    <row r="955" spans="1:37">
      <c r="A955" t="s">
        <v>1731</v>
      </c>
      <c r="B955" t="s">
        <v>1732</v>
      </c>
      <c r="C955" t="s">
        <v>338</v>
      </c>
      <c r="D955" t="s">
        <v>1397</v>
      </c>
      <c r="E955">
        <v>50</v>
      </c>
      <c r="F955">
        <v>0.4</v>
      </c>
      <c r="G955">
        <v>61</v>
      </c>
      <c r="H955">
        <v>320</v>
      </c>
      <c r="I955">
        <v>242</v>
      </c>
      <c r="J955">
        <v>266</v>
      </c>
      <c r="K955">
        <v>529</v>
      </c>
      <c r="L955">
        <v>108</v>
      </c>
      <c r="M955">
        <v>0</v>
      </c>
      <c r="N955">
        <v>51</v>
      </c>
      <c r="O955">
        <v>0</v>
      </c>
      <c r="P955">
        <v>0</v>
      </c>
      <c r="Q955">
        <v>478</v>
      </c>
      <c r="R955">
        <v>0</v>
      </c>
      <c r="S955">
        <v>569</v>
      </c>
      <c r="T955">
        <v>227</v>
      </c>
      <c r="U955">
        <v>164</v>
      </c>
      <c r="V955">
        <v>73</v>
      </c>
      <c r="W955">
        <v>419</v>
      </c>
      <c r="X955">
        <v>0</v>
      </c>
      <c r="Y955">
        <v>0</v>
      </c>
      <c r="Z955">
        <v>746</v>
      </c>
      <c r="AA955">
        <v>217</v>
      </c>
      <c r="AB955">
        <v>716</v>
      </c>
      <c r="AC955">
        <v>0</v>
      </c>
      <c r="AD955">
        <v>56</v>
      </c>
      <c r="AE955">
        <v>3187</v>
      </c>
      <c r="AF955">
        <v>1283</v>
      </c>
      <c r="AJ955">
        <v>1.78</v>
      </c>
      <c r="AK955" t="str">
        <f t="shared" si="14"/>
        <v>WM345-5000</v>
      </c>
    </row>
    <row r="956" spans="1:37">
      <c r="A956" t="s">
        <v>1733</v>
      </c>
      <c r="B956" t="s">
        <v>1732</v>
      </c>
      <c r="C956" t="s">
        <v>338</v>
      </c>
      <c r="D956" t="s">
        <v>1397</v>
      </c>
      <c r="E956">
        <v>50</v>
      </c>
      <c r="F956">
        <v>2</v>
      </c>
      <c r="G956">
        <v>39</v>
      </c>
      <c r="H956">
        <v>96</v>
      </c>
      <c r="I956">
        <v>142</v>
      </c>
      <c r="J956">
        <v>134</v>
      </c>
      <c r="K956">
        <v>817</v>
      </c>
      <c r="L956">
        <v>0</v>
      </c>
      <c r="M956">
        <v>0</v>
      </c>
      <c r="N956">
        <v>33</v>
      </c>
      <c r="O956">
        <v>0</v>
      </c>
      <c r="P956">
        <v>0</v>
      </c>
      <c r="Q956">
        <v>784</v>
      </c>
      <c r="R956">
        <v>0</v>
      </c>
      <c r="S956">
        <v>207</v>
      </c>
      <c r="T956">
        <v>72</v>
      </c>
      <c r="U956">
        <v>8</v>
      </c>
      <c r="V956">
        <v>0</v>
      </c>
      <c r="W956">
        <v>250</v>
      </c>
      <c r="X956">
        <v>317</v>
      </c>
      <c r="Y956">
        <v>139</v>
      </c>
      <c r="Z956">
        <v>56</v>
      </c>
      <c r="AA956">
        <v>243</v>
      </c>
      <c r="AB956">
        <v>156</v>
      </c>
      <c r="AC956">
        <v>137</v>
      </c>
      <c r="AD956">
        <v>17</v>
      </c>
      <c r="AE956">
        <v>1602</v>
      </c>
      <c r="AF956">
        <v>1175</v>
      </c>
      <c r="AJ956">
        <v>6.66</v>
      </c>
      <c r="AK956" t="str">
        <f t="shared" si="14"/>
        <v>WM345-6200</v>
      </c>
    </row>
    <row r="957" spans="1:37">
      <c r="A957" t="s">
        <v>1734</v>
      </c>
      <c r="B957" t="s">
        <v>1735</v>
      </c>
      <c r="C957" t="s">
        <v>110</v>
      </c>
      <c r="D957" t="s">
        <v>1736</v>
      </c>
      <c r="E957">
        <v>50</v>
      </c>
      <c r="F957">
        <v>57.8</v>
      </c>
      <c r="G957">
        <v>0</v>
      </c>
      <c r="H957">
        <v>3</v>
      </c>
      <c r="I957">
        <v>2</v>
      </c>
      <c r="J957">
        <v>1</v>
      </c>
      <c r="K957">
        <v>617</v>
      </c>
      <c r="L957">
        <v>14</v>
      </c>
      <c r="M957">
        <v>0</v>
      </c>
      <c r="N957">
        <v>0</v>
      </c>
      <c r="O957">
        <v>0</v>
      </c>
      <c r="P957">
        <v>0</v>
      </c>
      <c r="Q957">
        <v>617</v>
      </c>
      <c r="R957">
        <v>0</v>
      </c>
      <c r="S957">
        <v>0</v>
      </c>
      <c r="T957">
        <v>0</v>
      </c>
      <c r="U957">
        <v>8</v>
      </c>
      <c r="V957">
        <v>3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11</v>
      </c>
      <c r="AF957">
        <v>0</v>
      </c>
      <c r="AJ957">
        <v>4.5199999999999996</v>
      </c>
      <c r="AK957" t="str">
        <f t="shared" si="14"/>
        <v>WM361-6200</v>
      </c>
    </row>
    <row r="958" spans="1:37">
      <c r="A958" t="s">
        <v>1737</v>
      </c>
      <c r="B958" t="s">
        <v>1738</v>
      </c>
      <c r="C958" t="s">
        <v>275</v>
      </c>
      <c r="D958" t="s">
        <v>1739</v>
      </c>
      <c r="E958">
        <v>50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1354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1354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J958">
        <v>4.71</v>
      </c>
      <c r="AK958" t="str">
        <f t="shared" si="14"/>
        <v>WM511-4300</v>
      </c>
    </row>
    <row r="959" spans="1:37">
      <c r="A959" t="s">
        <v>1740</v>
      </c>
      <c r="B959" t="s">
        <v>1741</v>
      </c>
      <c r="C959" t="s">
        <v>275</v>
      </c>
      <c r="D959" t="s">
        <v>1739</v>
      </c>
      <c r="E959">
        <v>50</v>
      </c>
      <c r="F959">
        <v>0</v>
      </c>
      <c r="G959">
        <v>3</v>
      </c>
      <c r="H959">
        <v>0</v>
      </c>
      <c r="I959">
        <v>0</v>
      </c>
      <c r="J959">
        <v>3</v>
      </c>
      <c r="K959">
        <v>569</v>
      </c>
      <c r="L959">
        <v>0</v>
      </c>
      <c r="M959">
        <v>0</v>
      </c>
      <c r="N959">
        <v>2</v>
      </c>
      <c r="O959">
        <v>0</v>
      </c>
      <c r="P959">
        <v>0</v>
      </c>
      <c r="Q959">
        <v>567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35</v>
      </c>
      <c r="AC959">
        <v>0</v>
      </c>
      <c r="AD959">
        <v>0</v>
      </c>
      <c r="AE959">
        <v>35</v>
      </c>
      <c r="AF959">
        <v>0</v>
      </c>
      <c r="AJ959">
        <v>4.71</v>
      </c>
      <c r="AK959" t="str">
        <f t="shared" si="14"/>
        <v>WM521-6200</v>
      </c>
    </row>
    <row r="960" spans="1:37">
      <c r="A960" t="s">
        <v>1742</v>
      </c>
      <c r="B960" t="s">
        <v>1743</v>
      </c>
      <c r="C960" t="s">
        <v>275</v>
      </c>
      <c r="D960" t="s">
        <v>1744</v>
      </c>
      <c r="E960">
        <v>50</v>
      </c>
      <c r="F960">
        <v>11.5</v>
      </c>
      <c r="G960">
        <v>39</v>
      </c>
      <c r="H960">
        <v>40</v>
      </c>
      <c r="I960">
        <v>20</v>
      </c>
      <c r="J960">
        <v>30</v>
      </c>
      <c r="K960">
        <v>1865</v>
      </c>
      <c r="L960">
        <v>19</v>
      </c>
      <c r="M960">
        <v>0</v>
      </c>
      <c r="N960">
        <v>33</v>
      </c>
      <c r="O960">
        <v>0</v>
      </c>
      <c r="P960">
        <v>0</v>
      </c>
      <c r="Q960">
        <v>1832</v>
      </c>
      <c r="R960">
        <v>0</v>
      </c>
      <c r="S960">
        <v>120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120</v>
      </c>
      <c r="Z960">
        <v>0</v>
      </c>
      <c r="AA960">
        <v>125</v>
      </c>
      <c r="AB960">
        <v>0</v>
      </c>
      <c r="AC960">
        <v>0</v>
      </c>
      <c r="AD960">
        <v>0</v>
      </c>
      <c r="AE960">
        <v>365</v>
      </c>
      <c r="AF960">
        <v>232</v>
      </c>
      <c r="AJ960">
        <v>5.84</v>
      </c>
      <c r="AK960" t="str">
        <f t="shared" si="14"/>
        <v>WM531-6200</v>
      </c>
    </row>
    <row r="961" spans="1:37">
      <c r="A961" t="s">
        <v>5357</v>
      </c>
      <c r="B961" t="s">
        <v>1746</v>
      </c>
      <c r="C961" t="s">
        <v>110</v>
      </c>
      <c r="D961" t="s">
        <v>1712</v>
      </c>
      <c r="E961">
        <v>50</v>
      </c>
      <c r="F961">
        <v>0</v>
      </c>
      <c r="G961">
        <v>0</v>
      </c>
      <c r="H961">
        <v>19</v>
      </c>
      <c r="I961">
        <v>25</v>
      </c>
      <c r="J961">
        <v>13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57</v>
      </c>
      <c r="V961">
        <v>94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151</v>
      </c>
      <c r="AF961">
        <v>0</v>
      </c>
      <c r="AJ961">
        <v>0</v>
      </c>
      <c r="AK961" t="str">
        <f t="shared" si="14"/>
        <v>WM580-5000</v>
      </c>
    </row>
    <row r="962" spans="1:37">
      <c r="A962" t="s">
        <v>1745</v>
      </c>
      <c r="B962" t="s">
        <v>1746</v>
      </c>
      <c r="C962" t="s">
        <v>110</v>
      </c>
      <c r="D962" t="s">
        <v>1712</v>
      </c>
      <c r="E962">
        <v>50</v>
      </c>
      <c r="F962">
        <v>4.8</v>
      </c>
      <c r="G962">
        <v>0</v>
      </c>
      <c r="H962">
        <v>13</v>
      </c>
      <c r="I962">
        <v>6</v>
      </c>
      <c r="J962">
        <v>28</v>
      </c>
      <c r="K962">
        <v>244</v>
      </c>
      <c r="L962">
        <v>17</v>
      </c>
      <c r="M962">
        <v>0</v>
      </c>
      <c r="N962">
        <v>0</v>
      </c>
      <c r="O962">
        <v>0</v>
      </c>
      <c r="P962">
        <v>0</v>
      </c>
      <c r="Q962">
        <v>244</v>
      </c>
      <c r="R962">
        <v>0</v>
      </c>
      <c r="S962">
        <v>38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301</v>
      </c>
      <c r="AA962">
        <v>0</v>
      </c>
      <c r="AB962">
        <v>0</v>
      </c>
      <c r="AC962">
        <v>0</v>
      </c>
      <c r="AD962">
        <v>0</v>
      </c>
      <c r="AE962">
        <v>339</v>
      </c>
      <c r="AF962">
        <v>139</v>
      </c>
      <c r="AJ962">
        <v>4.1500000000000004</v>
      </c>
      <c r="AK962" t="str">
        <f t="shared" si="14"/>
        <v>WM580-6200</v>
      </c>
    </row>
    <row r="963" spans="1:37">
      <c r="A963" t="s">
        <v>1747</v>
      </c>
      <c r="B963" t="s">
        <v>1748</v>
      </c>
      <c r="C963" t="s">
        <v>329</v>
      </c>
      <c r="D963" t="s">
        <v>292</v>
      </c>
      <c r="E963">
        <v>50</v>
      </c>
      <c r="F963">
        <v>-0.5</v>
      </c>
      <c r="G963">
        <v>40</v>
      </c>
      <c r="H963">
        <v>18</v>
      </c>
      <c r="I963">
        <v>13</v>
      </c>
      <c r="J963">
        <v>13</v>
      </c>
      <c r="K963">
        <v>0</v>
      </c>
      <c r="L963">
        <v>8</v>
      </c>
      <c r="M963">
        <v>0</v>
      </c>
      <c r="N963">
        <v>33</v>
      </c>
      <c r="O963">
        <v>0</v>
      </c>
      <c r="P963">
        <v>0</v>
      </c>
      <c r="Q963">
        <v>-33</v>
      </c>
      <c r="R963">
        <v>0</v>
      </c>
      <c r="S963">
        <v>0</v>
      </c>
      <c r="T963">
        <v>0</v>
      </c>
      <c r="U963">
        <v>54</v>
      </c>
      <c r="V963">
        <v>0</v>
      </c>
      <c r="W963">
        <v>22</v>
      </c>
      <c r="X963">
        <v>0</v>
      </c>
      <c r="Y963">
        <v>0</v>
      </c>
      <c r="Z963">
        <v>0</v>
      </c>
      <c r="AA963">
        <v>0</v>
      </c>
      <c r="AB963">
        <v>74</v>
      </c>
      <c r="AC963">
        <v>0</v>
      </c>
      <c r="AD963">
        <v>0</v>
      </c>
      <c r="AE963">
        <v>150</v>
      </c>
      <c r="AF963">
        <v>646</v>
      </c>
      <c r="AJ963">
        <v>2.97</v>
      </c>
      <c r="AK963" t="str">
        <f t="shared" si="14"/>
        <v>WM791-3700</v>
      </c>
    </row>
    <row r="964" spans="1:37">
      <c r="A964" t="s">
        <v>1751</v>
      </c>
      <c r="B964" t="s">
        <v>1748</v>
      </c>
      <c r="C964" t="s">
        <v>329</v>
      </c>
      <c r="D964" t="s">
        <v>1580</v>
      </c>
      <c r="E964">
        <v>50</v>
      </c>
      <c r="F964">
        <v>0.7</v>
      </c>
      <c r="G964">
        <v>392</v>
      </c>
      <c r="H964">
        <v>373</v>
      </c>
      <c r="I964">
        <v>633</v>
      </c>
      <c r="J964">
        <v>1324</v>
      </c>
      <c r="K964">
        <v>1343</v>
      </c>
      <c r="L964">
        <v>680</v>
      </c>
      <c r="M964">
        <v>0</v>
      </c>
      <c r="N964">
        <v>327</v>
      </c>
      <c r="O964">
        <v>0</v>
      </c>
      <c r="P964">
        <v>1576</v>
      </c>
      <c r="Q964">
        <v>1016</v>
      </c>
      <c r="R964">
        <v>672</v>
      </c>
      <c r="S964">
        <v>917</v>
      </c>
      <c r="T964">
        <v>202</v>
      </c>
      <c r="U964">
        <v>0</v>
      </c>
      <c r="V964">
        <v>539</v>
      </c>
      <c r="W964">
        <v>1001</v>
      </c>
      <c r="X964">
        <v>1141</v>
      </c>
      <c r="Y964">
        <v>2012</v>
      </c>
      <c r="Z964">
        <v>3654</v>
      </c>
      <c r="AA964">
        <v>1386</v>
      </c>
      <c r="AB964">
        <v>2815</v>
      </c>
      <c r="AC964">
        <v>781</v>
      </c>
      <c r="AD964">
        <v>1441</v>
      </c>
      <c r="AE964">
        <v>15889</v>
      </c>
      <c r="AF964">
        <v>17669</v>
      </c>
      <c r="AJ964">
        <v>3.4</v>
      </c>
      <c r="AK964" t="str">
        <f t="shared" si="14"/>
        <v>WM791-5000</v>
      </c>
    </row>
    <row r="965" spans="1:37">
      <c r="A965" t="s">
        <v>1752</v>
      </c>
      <c r="B965" t="s">
        <v>1748</v>
      </c>
      <c r="C965" t="s">
        <v>329</v>
      </c>
      <c r="D965" t="s">
        <v>1753</v>
      </c>
      <c r="E965">
        <v>50</v>
      </c>
      <c r="F965">
        <v>1.8</v>
      </c>
      <c r="G965">
        <v>533</v>
      </c>
      <c r="H965">
        <v>721</v>
      </c>
      <c r="I965">
        <v>601</v>
      </c>
      <c r="J965">
        <v>1103</v>
      </c>
      <c r="K965">
        <v>5637</v>
      </c>
      <c r="L965">
        <v>2572</v>
      </c>
      <c r="M965">
        <v>0</v>
      </c>
      <c r="N965">
        <v>444</v>
      </c>
      <c r="O965">
        <v>0</v>
      </c>
      <c r="P965">
        <v>0</v>
      </c>
      <c r="Q965">
        <v>5193</v>
      </c>
      <c r="R965">
        <v>0</v>
      </c>
      <c r="S965">
        <v>1142</v>
      </c>
      <c r="T965">
        <v>758</v>
      </c>
      <c r="U965">
        <v>263</v>
      </c>
      <c r="V965">
        <v>766</v>
      </c>
      <c r="W965">
        <v>170</v>
      </c>
      <c r="X965">
        <v>504</v>
      </c>
      <c r="Y965">
        <v>3370</v>
      </c>
      <c r="Z965">
        <v>0</v>
      </c>
      <c r="AA965">
        <v>0</v>
      </c>
      <c r="AB965">
        <v>1006</v>
      </c>
      <c r="AC965">
        <v>4098</v>
      </c>
      <c r="AD965">
        <v>1157</v>
      </c>
      <c r="AE965">
        <v>13234</v>
      </c>
      <c r="AF965">
        <v>11697</v>
      </c>
      <c r="AJ965">
        <v>3.4</v>
      </c>
      <c r="AK965" t="str">
        <f t="shared" ref="AK965:AK1028" si="15">MID(A965,4,10)</f>
        <v>WM791-6200</v>
      </c>
    </row>
    <row r="966" spans="1:37">
      <c r="A966" t="s">
        <v>1754</v>
      </c>
      <c r="B966" t="s">
        <v>1755</v>
      </c>
      <c r="C966" t="s">
        <v>329</v>
      </c>
      <c r="D966" t="s">
        <v>1756</v>
      </c>
      <c r="E966">
        <v>50</v>
      </c>
      <c r="F966">
        <v>0</v>
      </c>
      <c r="G966">
        <v>14</v>
      </c>
      <c r="H966">
        <v>0</v>
      </c>
      <c r="I966">
        <v>0</v>
      </c>
      <c r="J966">
        <v>3</v>
      </c>
      <c r="K966">
        <v>743</v>
      </c>
      <c r="L966">
        <v>14</v>
      </c>
      <c r="M966">
        <v>0</v>
      </c>
      <c r="N966">
        <v>12</v>
      </c>
      <c r="O966">
        <v>0</v>
      </c>
      <c r="P966">
        <v>0</v>
      </c>
      <c r="Q966">
        <v>731</v>
      </c>
      <c r="R966">
        <v>750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33</v>
      </c>
      <c r="AC966">
        <v>3</v>
      </c>
      <c r="AD966">
        <v>0</v>
      </c>
      <c r="AE966">
        <v>36</v>
      </c>
      <c r="AF966">
        <v>41</v>
      </c>
      <c r="AJ966">
        <v>3.73</v>
      </c>
      <c r="AK966" t="str">
        <f t="shared" si="15"/>
        <v>WM851-5000</v>
      </c>
    </row>
    <row r="967" spans="1:37">
      <c r="A967" t="s">
        <v>1757</v>
      </c>
      <c r="B967" t="s">
        <v>1755</v>
      </c>
      <c r="C967" t="s">
        <v>329</v>
      </c>
      <c r="D967" t="s">
        <v>1756</v>
      </c>
      <c r="E967">
        <v>50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880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880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J967">
        <v>3.6</v>
      </c>
      <c r="AK967" t="str">
        <f t="shared" si="15"/>
        <v>WM851-6200</v>
      </c>
    </row>
    <row r="968" spans="1:37">
      <c r="A968" t="s">
        <v>5557</v>
      </c>
      <c r="B968" t="s">
        <v>1758</v>
      </c>
      <c r="C968" t="s">
        <v>329</v>
      </c>
      <c r="D968" t="s">
        <v>292</v>
      </c>
      <c r="E968">
        <v>50</v>
      </c>
      <c r="F968">
        <v>-0.2</v>
      </c>
      <c r="G968">
        <v>31</v>
      </c>
      <c r="H968">
        <v>31</v>
      </c>
      <c r="I968">
        <v>16</v>
      </c>
      <c r="J968">
        <v>15</v>
      </c>
      <c r="K968">
        <v>0</v>
      </c>
      <c r="L968">
        <v>0</v>
      </c>
      <c r="M968">
        <v>0</v>
      </c>
      <c r="N968">
        <v>26</v>
      </c>
      <c r="O968">
        <v>0</v>
      </c>
      <c r="P968">
        <v>0</v>
      </c>
      <c r="Q968">
        <v>-26</v>
      </c>
      <c r="R968">
        <v>0</v>
      </c>
      <c r="S968">
        <v>9</v>
      </c>
      <c r="T968">
        <v>85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90</v>
      </c>
      <c r="AC968">
        <v>0</v>
      </c>
      <c r="AD968">
        <v>0</v>
      </c>
      <c r="AE968">
        <v>184</v>
      </c>
      <c r="AF968">
        <v>359</v>
      </c>
      <c r="AJ968">
        <v>2.86</v>
      </c>
      <c r="AK968" t="str">
        <f t="shared" si="15"/>
        <v>WM951-3700</v>
      </c>
    </row>
    <row r="969" spans="1:37">
      <c r="A969" t="s">
        <v>1759</v>
      </c>
      <c r="B969" t="s">
        <v>1758</v>
      </c>
      <c r="C969" t="s">
        <v>329</v>
      </c>
      <c r="D969" t="s">
        <v>1760</v>
      </c>
      <c r="E969">
        <v>50</v>
      </c>
      <c r="F969">
        <v>0.3</v>
      </c>
      <c r="G969">
        <v>427</v>
      </c>
      <c r="H969">
        <v>333</v>
      </c>
      <c r="I969">
        <v>436</v>
      </c>
      <c r="J969">
        <v>466</v>
      </c>
      <c r="K969">
        <v>806</v>
      </c>
      <c r="L969">
        <v>302</v>
      </c>
      <c r="M969">
        <v>0</v>
      </c>
      <c r="N969">
        <v>356</v>
      </c>
      <c r="O969">
        <v>0</v>
      </c>
      <c r="P969">
        <v>0</v>
      </c>
      <c r="Q969">
        <v>450</v>
      </c>
      <c r="R969">
        <v>62</v>
      </c>
      <c r="S969">
        <v>282</v>
      </c>
      <c r="T969">
        <v>194</v>
      </c>
      <c r="U969">
        <v>524</v>
      </c>
      <c r="V969">
        <v>1615</v>
      </c>
      <c r="W969">
        <v>0</v>
      </c>
      <c r="X969">
        <v>0</v>
      </c>
      <c r="Y969">
        <v>144</v>
      </c>
      <c r="Z969">
        <v>665</v>
      </c>
      <c r="AA969">
        <v>297</v>
      </c>
      <c r="AB969">
        <v>770</v>
      </c>
      <c r="AC969">
        <v>817</v>
      </c>
      <c r="AD969">
        <v>281</v>
      </c>
      <c r="AE969">
        <v>5589</v>
      </c>
      <c r="AF969">
        <v>7248</v>
      </c>
      <c r="AJ969">
        <v>4.3600000000000003</v>
      </c>
      <c r="AK969" t="str">
        <f t="shared" si="15"/>
        <v>WM951-5000</v>
      </c>
    </row>
    <row r="970" spans="1:37">
      <c r="A970" t="s">
        <v>1761</v>
      </c>
      <c r="B970" t="s">
        <v>1758</v>
      </c>
      <c r="C970" t="s">
        <v>329</v>
      </c>
      <c r="D970" t="s">
        <v>1760</v>
      </c>
      <c r="E970">
        <v>50</v>
      </c>
      <c r="F970">
        <v>1</v>
      </c>
      <c r="G970">
        <v>79</v>
      </c>
      <c r="H970">
        <v>219</v>
      </c>
      <c r="I970">
        <v>279</v>
      </c>
      <c r="J970">
        <v>236</v>
      </c>
      <c r="K970">
        <v>918</v>
      </c>
      <c r="L970">
        <v>127</v>
      </c>
      <c r="M970">
        <v>0</v>
      </c>
      <c r="N970">
        <v>66</v>
      </c>
      <c r="O970">
        <v>0</v>
      </c>
      <c r="P970">
        <v>0</v>
      </c>
      <c r="Q970">
        <v>852</v>
      </c>
      <c r="R970">
        <v>0</v>
      </c>
      <c r="S970">
        <v>254</v>
      </c>
      <c r="T970">
        <v>305</v>
      </c>
      <c r="U970">
        <v>97</v>
      </c>
      <c r="V970">
        <v>1019</v>
      </c>
      <c r="W970">
        <v>0</v>
      </c>
      <c r="X970">
        <v>0</v>
      </c>
      <c r="Y970">
        <v>0</v>
      </c>
      <c r="Z970">
        <v>0</v>
      </c>
      <c r="AA970">
        <v>38</v>
      </c>
      <c r="AB970">
        <v>252</v>
      </c>
      <c r="AC970">
        <v>159</v>
      </c>
      <c r="AD970">
        <v>704</v>
      </c>
      <c r="AE970">
        <v>2828</v>
      </c>
      <c r="AF970">
        <v>4948</v>
      </c>
      <c r="AJ970">
        <v>3.88</v>
      </c>
      <c r="AK970" t="str">
        <f t="shared" si="15"/>
        <v>WM951-6200</v>
      </c>
    </row>
    <row r="971" spans="1:37">
      <c r="A971" t="s">
        <v>1762</v>
      </c>
      <c r="B971" t="s">
        <v>1763</v>
      </c>
      <c r="C971" t="s">
        <v>275</v>
      </c>
      <c r="D971" t="s">
        <v>1697</v>
      </c>
      <c r="E971">
        <v>50</v>
      </c>
      <c r="F971">
        <v>0</v>
      </c>
      <c r="G971">
        <v>19</v>
      </c>
      <c r="H971">
        <v>0</v>
      </c>
      <c r="I971">
        <v>110</v>
      </c>
      <c r="J971">
        <v>110</v>
      </c>
      <c r="K971">
        <v>833</v>
      </c>
      <c r="L971">
        <v>0</v>
      </c>
      <c r="M971">
        <v>0</v>
      </c>
      <c r="N971">
        <v>16</v>
      </c>
      <c r="O971">
        <v>0</v>
      </c>
      <c r="P971">
        <v>0</v>
      </c>
      <c r="Q971">
        <v>817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658</v>
      </c>
      <c r="X971">
        <v>0</v>
      </c>
      <c r="Y971">
        <v>337</v>
      </c>
      <c r="Z971">
        <v>0</v>
      </c>
      <c r="AA971">
        <v>0</v>
      </c>
      <c r="AB971">
        <v>0</v>
      </c>
      <c r="AC971">
        <v>0</v>
      </c>
      <c r="AD971">
        <v>329</v>
      </c>
      <c r="AE971">
        <v>1324</v>
      </c>
      <c r="AF971">
        <v>1388</v>
      </c>
      <c r="AJ971">
        <v>6.41</v>
      </c>
      <c r="AK971" t="str">
        <f t="shared" si="15"/>
        <v>WM981-6200</v>
      </c>
    </row>
    <row r="972" spans="1:37">
      <c r="A972" t="s">
        <v>1764</v>
      </c>
      <c r="B972" t="s">
        <v>1765</v>
      </c>
      <c r="C972" t="s">
        <v>275</v>
      </c>
      <c r="D972" t="s">
        <v>1697</v>
      </c>
      <c r="E972">
        <v>50</v>
      </c>
      <c r="F972">
        <v>0.2</v>
      </c>
      <c r="G972">
        <v>48</v>
      </c>
      <c r="H972">
        <v>244</v>
      </c>
      <c r="I972">
        <v>267</v>
      </c>
      <c r="J972">
        <v>176</v>
      </c>
      <c r="K972">
        <v>207</v>
      </c>
      <c r="L972">
        <v>280</v>
      </c>
      <c r="M972">
        <v>0</v>
      </c>
      <c r="N972">
        <v>40</v>
      </c>
      <c r="O972">
        <v>0</v>
      </c>
      <c r="P972">
        <v>0</v>
      </c>
      <c r="Q972">
        <v>167</v>
      </c>
      <c r="R972">
        <v>0</v>
      </c>
      <c r="S972">
        <v>252</v>
      </c>
      <c r="T972">
        <v>239</v>
      </c>
      <c r="U972">
        <v>240</v>
      </c>
      <c r="V972">
        <v>0</v>
      </c>
      <c r="W972">
        <v>839</v>
      </c>
      <c r="X972">
        <v>32</v>
      </c>
      <c r="Y972">
        <v>0</v>
      </c>
      <c r="Z972">
        <v>515</v>
      </c>
      <c r="AA972">
        <v>0</v>
      </c>
      <c r="AB972">
        <v>0</v>
      </c>
      <c r="AC972">
        <v>0</v>
      </c>
      <c r="AD972">
        <v>0</v>
      </c>
      <c r="AE972">
        <v>2117</v>
      </c>
      <c r="AF972">
        <v>4058</v>
      </c>
      <c r="AJ972">
        <v>6.34</v>
      </c>
      <c r="AK972" t="str">
        <f t="shared" si="15"/>
        <v>WM991-4300</v>
      </c>
    </row>
    <row r="973" spans="1:37">
      <c r="A973" t="s">
        <v>1766</v>
      </c>
      <c r="B973" t="s">
        <v>1767</v>
      </c>
      <c r="C973" t="s">
        <v>329</v>
      </c>
      <c r="D973" t="s">
        <v>342</v>
      </c>
      <c r="E973">
        <v>50</v>
      </c>
      <c r="F973">
        <v>0</v>
      </c>
      <c r="G973">
        <v>0</v>
      </c>
      <c r="H973">
        <v>54</v>
      </c>
      <c r="I973">
        <v>30</v>
      </c>
      <c r="J973">
        <v>23</v>
      </c>
      <c r="K973">
        <v>0</v>
      </c>
      <c r="L973">
        <v>3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13</v>
      </c>
      <c r="T973">
        <v>25</v>
      </c>
      <c r="U973">
        <v>123</v>
      </c>
      <c r="V973">
        <v>0</v>
      </c>
      <c r="W973">
        <v>0</v>
      </c>
      <c r="X973">
        <v>20</v>
      </c>
      <c r="Y973">
        <v>40</v>
      </c>
      <c r="Z973">
        <v>33</v>
      </c>
      <c r="AA973">
        <v>0</v>
      </c>
      <c r="AB973">
        <v>27</v>
      </c>
      <c r="AC973">
        <v>0</v>
      </c>
      <c r="AD973">
        <v>0</v>
      </c>
      <c r="AE973">
        <v>281</v>
      </c>
      <c r="AF973">
        <v>172</v>
      </c>
      <c r="AJ973">
        <v>4.62</v>
      </c>
      <c r="AK973" t="str">
        <f t="shared" si="15"/>
        <v>WO095-5000</v>
      </c>
    </row>
    <row r="974" spans="1:37">
      <c r="A974" t="s">
        <v>1768</v>
      </c>
      <c r="B974" t="s">
        <v>1767</v>
      </c>
      <c r="C974" t="s">
        <v>329</v>
      </c>
      <c r="D974" t="s">
        <v>342</v>
      </c>
      <c r="E974">
        <v>50</v>
      </c>
      <c r="F974">
        <v>48.8</v>
      </c>
      <c r="G974">
        <v>0</v>
      </c>
      <c r="H974">
        <v>9</v>
      </c>
      <c r="I974">
        <v>4</v>
      </c>
      <c r="J974">
        <v>2</v>
      </c>
      <c r="K974">
        <v>1693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1693</v>
      </c>
      <c r="R974">
        <v>0</v>
      </c>
      <c r="S974">
        <v>0</v>
      </c>
      <c r="T974">
        <v>0</v>
      </c>
      <c r="U974">
        <v>26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26</v>
      </c>
      <c r="AF974">
        <v>0</v>
      </c>
      <c r="AJ974">
        <v>4.92</v>
      </c>
      <c r="AK974" t="str">
        <f t="shared" si="15"/>
        <v>WO095-6200</v>
      </c>
    </row>
    <row r="975" spans="1:37">
      <c r="A975" t="s">
        <v>1769</v>
      </c>
      <c r="B975" t="s">
        <v>1770</v>
      </c>
      <c r="C975" t="s">
        <v>110</v>
      </c>
      <c r="D975" t="s">
        <v>1712</v>
      </c>
      <c r="E975">
        <v>50</v>
      </c>
      <c r="F975">
        <v>1.7</v>
      </c>
      <c r="G975">
        <v>36</v>
      </c>
      <c r="H975">
        <v>168</v>
      </c>
      <c r="I975">
        <v>165</v>
      </c>
      <c r="J975">
        <v>253</v>
      </c>
      <c r="K975">
        <v>1144</v>
      </c>
      <c r="L975">
        <v>125</v>
      </c>
      <c r="M975">
        <v>0</v>
      </c>
      <c r="N975">
        <v>30</v>
      </c>
      <c r="O975">
        <v>0</v>
      </c>
      <c r="P975">
        <v>0</v>
      </c>
      <c r="Q975">
        <v>1114</v>
      </c>
      <c r="R975">
        <v>0</v>
      </c>
      <c r="S975">
        <v>189</v>
      </c>
      <c r="T975">
        <v>180</v>
      </c>
      <c r="U975">
        <v>135</v>
      </c>
      <c r="V975">
        <v>290</v>
      </c>
      <c r="W975">
        <v>195</v>
      </c>
      <c r="X975">
        <v>0</v>
      </c>
      <c r="Y975">
        <v>369</v>
      </c>
      <c r="Z975">
        <v>194</v>
      </c>
      <c r="AA975">
        <v>292</v>
      </c>
      <c r="AB975">
        <v>623</v>
      </c>
      <c r="AC975">
        <v>319</v>
      </c>
      <c r="AD975">
        <v>254</v>
      </c>
      <c r="AE975">
        <v>3040</v>
      </c>
      <c r="AF975">
        <v>2544</v>
      </c>
      <c r="AJ975">
        <v>4.1500000000000004</v>
      </c>
      <c r="AK975" t="str">
        <f t="shared" si="15"/>
        <v>WO145-6200</v>
      </c>
    </row>
    <row r="976" spans="1:37">
      <c r="A976" t="s">
        <v>1771</v>
      </c>
      <c r="B976" t="s">
        <v>1772</v>
      </c>
      <c r="C976" t="s">
        <v>329</v>
      </c>
      <c r="D976" t="s">
        <v>1773</v>
      </c>
      <c r="E976">
        <v>50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1442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1442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J976">
        <v>5.0999999999999996</v>
      </c>
      <c r="AK976" t="str">
        <f t="shared" si="15"/>
        <v>WO241-6200</v>
      </c>
    </row>
    <row r="977" spans="1:37">
      <c r="A977" t="s">
        <v>1774</v>
      </c>
      <c r="B977" t="s">
        <v>1775</v>
      </c>
      <c r="C977" t="s">
        <v>329</v>
      </c>
      <c r="D977" t="s">
        <v>1776</v>
      </c>
      <c r="E977">
        <v>50</v>
      </c>
      <c r="F977">
        <v>12.2</v>
      </c>
      <c r="G977">
        <v>0</v>
      </c>
      <c r="H977">
        <v>26</v>
      </c>
      <c r="I977">
        <v>54</v>
      </c>
      <c r="J977">
        <v>40</v>
      </c>
      <c r="K977">
        <v>1248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1248</v>
      </c>
      <c r="R977">
        <v>0</v>
      </c>
      <c r="S977">
        <v>77</v>
      </c>
      <c r="T977">
        <v>0</v>
      </c>
      <c r="U977">
        <v>0</v>
      </c>
      <c r="V977">
        <v>0</v>
      </c>
      <c r="W977">
        <v>244</v>
      </c>
      <c r="X977">
        <v>0</v>
      </c>
      <c r="Y977">
        <v>98</v>
      </c>
      <c r="Z977">
        <v>56</v>
      </c>
      <c r="AA977">
        <v>0</v>
      </c>
      <c r="AB977">
        <v>0</v>
      </c>
      <c r="AC977">
        <v>0</v>
      </c>
      <c r="AD977">
        <v>0</v>
      </c>
      <c r="AE977">
        <v>475</v>
      </c>
      <c r="AF977">
        <v>1310</v>
      </c>
      <c r="AJ977">
        <v>6.14</v>
      </c>
      <c r="AK977" t="str">
        <f t="shared" si="15"/>
        <v>WO251-5000</v>
      </c>
    </row>
    <row r="978" spans="1:37">
      <c r="A978" t="s">
        <v>1778</v>
      </c>
      <c r="B978" t="s">
        <v>1777</v>
      </c>
      <c r="C978" t="s">
        <v>110</v>
      </c>
      <c r="D978" t="s">
        <v>292</v>
      </c>
      <c r="E978">
        <v>43</v>
      </c>
      <c r="F978">
        <v>1.9</v>
      </c>
      <c r="G978">
        <v>123</v>
      </c>
      <c r="H978">
        <v>51</v>
      </c>
      <c r="I978">
        <v>27</v>
      </c>
      <c r="J978">
        <v>29</v>
      </c>
      <c r="K978">
        <v>494</v>
      </c>
      <c r="L978">
        <v>9</v>
      </c>
      <c r="M978">
        <v>0</v>
      </c>
      <c r="N978">
        <v>102</v>
      </c>
      <c r="O978">
        <v>0</v>
      </c>
      <c r="P978">
        <v>0</v>
      </c>
      <c r="Q978">
        <v>392</v>
      </c>
      <c r="R978">
        <v>0</v>
      </c>
      <c r="S978">
        <v>112</v>
      </c>
      <c r="T978">
        <v>17</v>
      </c>
      <c r="U978">
        <v>24</v>
      </c>
      <c r="V978">
        <v>11</v>
      </c>
      <c r="W978">
        <v>0</v>
      </c>
      <c r="X978">
        <v>0</v>
      </c>
      <c r="Y978">
        <v>113</v>
      </c>
      <c r="Z978">
        <v>55</v>
      </c>
      <c r="AA978">
        <v>20</v>
      </c>
      <c r="AB978">
        <v>0</v>
      </c>
      <c r="AC978">
        <v>0</v>
      </c>
      <c r="AD978">
        <v>0</v>
      </c>
      <c r="AE978">
        <v>352</v>
      </c>
      <c r="AF978">
        <v>1046</v>
      </c>
      <c r="AJ978">
        <v>4.6100000000000003</v>
      </c>
      <c r="AK978" t="str">
        <f t="shared" si="15"/>
        <v>WO581-5000</v>
      </c>
    </row>
    <row r="979" spans="1:37">
      <c r="A979" t="s">
        <v>1779</v>
      </c>
      <c r="B979" t="s">
        <v>1777</v>
      </c>
      <c r="C979" t="s">
        <v>110</v>
      </c>
      <c r="D979" t="s">
        <v>1422</v>
      </c>
      <c r="E979">
        <v>43</v>
      </c>
      <c r="F979">
        <v>1.3</v>
      </c>
      <c r="G979">
        <v>198</v>
      </c>
      <c r="H979">
        <v>48</v>
      </c>
      <c r="I979">
        <v>31</v>
      </c>
      <c r="J979">
        <v>22</v>
      </c>
      <c r="K979">
        <v>415</v>
      </c>
      <c r="L979">
        <v>5</v>
      </c>
      <c r="M979">
        <v>0</v>
      </c>
      <c r="N979">
        <v>165</v>
      </c>
      <c r="O979">
        <v>0</v>
      </c>
      <c r="P979">
        <v>0</v>
      </c>
      <c r="Q979">
        <v>250</v>
      </c>
      <c r="R979">
        <v>0</v>
      </c>
      <c r="S979">
        <v>120</v>
      </c>
      <c r="T979">
        <v>22</v>
      </c>
      <c r="U979">
        <v>3</v>
      </c>
      <c r="V979">
        <v>39</v>
      </c>
      <c r="W979">
        <v>0</v>
      </c>
      <c r="X979">
        <v>0</v>
      </c>
      <c r="Y979">
        <v>5</v>
      </c>
      <c r="Z979">
        <v>0</v>
      </c>
      <c r="AA979">
        <v>14</v>
      </c>
      <c r="AB979">
        <v>55</v>
      </c>
      <c r="AC979">
        <v>0</v>
      </c>
      <c r="AD979">
        <v>0</v>
      </c>
      <c r="AE979">
        <v>258</v>
      </c>
      <c r="AF979">
        <v>650</v>
      </c>
      <c r="AJ979">
        <v>4.25</v>
      </c>
      <c r="AK979" t="str">
        <f t="shared" si="15"/>
        <v>WO581-6200</v>
      </c>
    </row>
    <row r="980" spans="1:37">
      <c r="A980" t="s">
        <v>1780</v>
      </c>
      <c r="B980" t="s">
        <v>1781</v>
      </c>
      <c r="C980" t="s">
        <v>1027</v>
      </c>
      <c r="D980" t="s">
        <v>1782</v>
      </c>
      <c r="E980">
        <v>43</v>
      </c>
      <c r="F980">
        <v>1.5</v>
      </c>
      <c r="G980">
        <v>45</v>
      </c>
      <c r="H980">
        <v>373</v>
      </c>
      <c r="I980">
        <v>290</v>
      </c>
      <c r="J980">
        <v>190</v>
      </c>
      <c r="K980">
        <v>2255</v>
      </c>
      <c r="L980">
        <v>772</v>
      </c>
      <c r="M980">
        <v>0</v>
      </c>
      <c r="N980">
        <v>37</v>
      </c>
      <c r="O980">
        <v>0</v>
      </c>
      <c r="P980">
        <v>0</v>
      </c>
      <c r="Q980">
        <v>2218</v>
      </c>
      <c r="R980">
        <v>0</v>
      </c>
      <c r="S980">
        <v>605</v>
      </c>
      <c r="T980">
        <v>53</v>
      </c>
      <c r="U980">
        <v>462</v>
      </c>
      <c r="V980">
        <v>407</v>
      </c>
      <c r="W980">
        <v>205</v>
      </c>
      <c r="X980">
        <v>6</v>
      </c>
      <c r="Y980">
        <v>116</v>
      </c>
      <c r="Z980">
        <v>0</v>
      </c>
      <c r="AA980">
        <v>0</v>
      </c>
      <c r="AB980">
        <v>189</v>
      </c>
      <c r="AC980">
        <v>106</v>
      </c>
      <c r="AD980">
        <v>130</v>
      </c>
      <c r="AE980">
        <v>2279</v>
      </c>
      <c r="AF980">
        <v>1273</v>
      </c>
      <c r="AJ980">
        <v>4.6900000000000004</v>
      </c>
      <c r="AK980" t="str">
        <f t="shared" si="15"/>
        <v>WO680-5000</v>
      </c>
    </row>
    <row r="981" spans="1:37">
      <c r="A981" t="s">
        <v>1783</v>
      </c>
      <c r="B981" t="s">
        <v>1781</v>
      </c>
      <c r="C981" t="s">
        <v>1027</v>
      </c>
      <c r="D981" t="s">
        <v>1782</v>
      </c>
      <c r="E981">
        <v>43</v>
      </c>
      <c r="F981">
        <v>2.8</v>
      </c>
      <c r="G981">
        <v>10</v>
      </c>
      <c r="H981">
        <v>164</v>
      </c>
      <c r="I981">
        <v>112</v>
      </c>
      <c r="J981">
        <v>81</v>
      </c>
      <c r="K981">
        <v>1864</v>
      </c>
      <c r="L981">
        <v>164</v>
      </c>
      <c r="M981">
        <v>0</v>
      </c>
      <c r="N981">
        <v>8</v>
      </c>
      <c r="O981">
        <v>0</v>
      </c>
      <c r="P981">
        <v>0</v>
      </c>
      <c r="Q981">
        <v>1856</v>
      </c>
      <c r="R981">
        <v>0</v>
      </c>
      <c r="S981">
        <v>228</v>
      </c>
      <c r="T981">
        <v>263</v>
      </c>
      <c r="U981">
        <v>0</v>
      </c>
      <c r="V981">
        <v>12</v>
      </c>
      <c r="W981">
        <v>111</v>
      </c>
      <c r="X981">
        <v>60</v>
      </c>
      <c r="Y981">
        <v>38</v>
      </c>
      <c r="Z981">
        <v>117</v>
      </c>
      <c r="AA981">
        <v>17</v>
      </c>
      <c r="AB981">
        <v>0</v>
      </c>
      <c r="AC981">
        <v>131</v>
      </c>
      <c r="AD981">
        <v>0</v>
      </c>
      <c r="AE981">
        <v>977</v>
      </c>
      <c r="AF981">
        <v>1233</v>
      </c>
      <c r="AJ981">
        <v>5.78</v>
      </c>
      <c r="AK981" t="str">
        <f t="shared" si="15"/>
        <v>WO680-6200</v>
      </c>
    </row>
    <row r="982" spans="1:37">
      <c r="A982" t="s">
        <v>1784</v>
      </c>
      <c r="B982" t="s">
        <v>1785</v>
      </c>
      <c r="C982" t="s">
        <v>329</v>
      </c>
      <c r="E982">
        <v>50</v>
      </c>
      <c r="F982">
        <v>6.7</v>
      </c>
      <c r="G982">
        <v>0</v>
      </c>
      <c r="H982">
        <v>69</v>
      </c>
      <c r="I982">
        <v>41</v>
      </c>
      <c r="J982">
        <v>22</v>
      </c>
      <c r="K982">
        <v>1866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1866</v>
      </c>
      <c r="R982">
        <v>0</v>
      </c>
      <c r="S982">
        <v>0</v>
      </c>
      <c r="T982">
        <v>73</v>
      </c>
      <c r="U982">
        <v>135</v>
      </c>
      <c r="V982">
        <v>11</v>
      </c>
      <c r="W982">
        <v>25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17</v>
      </c>
      <c r="AD982">
        <v>0</v>
      </c>
      <c r="AE982">
        <v>261</v>
      </c>
      <c r="AF982">
        <v>0</v>
      </c>
      <c r="AJ982">
        <v>0</v>
      </c>
      <c r="AK982" t="str">
        <f t="shared" si="15"/>
        <v>WO700-5000</v>
      </c>
    </row>
    <row r="983" spans="1:37">
      <c r="A983" t="s">
        <v>1786</v>
      </c>
      <c r="B983" t="s">
        <v>1787</v>
      </c>
      <c r="C983" t="s">
        <v>110</v>
      </c>
      <c r="D983" t="s">
        <v>1788</v>
      </c>
      <c r="E983">
        <v>50</v>
      </c>
      <c r="F983">
        <v>0.7</v>
      </c>
      <c r="G983">
        <v>4</v>
      </c>
      <c r="H983">
        <v>879</v>
      </c>
      <c r="I983">
        <v>615</v>
      </c>
      <c r="J983">
        <v>504</v>
      </c>
      <c r="K983">
        <v>2619</v>
      </c>
      <c r="L983">
        <v>150</v>
      </c>
      <c r="M983">
        <v>0</v>
      </c>
      <c r="N983">
        <v>4</v>
      </c>
      <c r="O983">
        <v>0</v>
      </c>
      <c r="P983">
        <v>0</v>
      </c>
      <c r="Q983">
        <v>2615</v>
      </c>
      <c r="R983">
        <v>0</v>
      </c>
      <c r="S983">
        <v>0</v>
      </c>
      <c r="T983">
        <v>2019</v>
      </c>
      <c r="U983">
        <v>618</v>
      </c>
      <c r="V983">
        <v>307</v>
      </c>
      <c r="W983">
        <v>358</v>
      </c>
      <c r="X983">
        <v>387</v>
      </c>
      <c r="Y983">
        <v>542</v>
      </c>
      <c r="Z983">
        <v>283</v>
      </c>
      <c r="AA983">
        <v>403</v>
      </c>
      <c r="AB983">
        <v>180</v>
      </c>
      <c r="AC983">
        <v>39</v>
      </c>
      <c r="AD983">
        <v>913</v>
      </c>
      <c r="AE983">
        <v>6049</v>
      </c>
      <c r="AF983">
        <v>8073</v>
      </c>
      <c r="AJ983">
        <v>4.24</v>
      </c>
      <c r="AK983" t="str">
        <f t="shared" si="15"/>
        <v>WO740-5000</v>
      </c>
    </row>
    <row r="984" spans="1:37">
      <c r="A984" t="s">
        <v>5297</v>
      </c>
      <c r="B984" t="s">
        <v>1790</v>
      </c>
      <c r="C984" t="s">
        <v>275</v>
      </c>
      <c r="D984" t="s">
        <v>292</v>
      </c>
      <c r="E984">
        <v>43</v>
      </c>
      <c r="F984">
        <v>-0.1</v>
      </c>
      <c r="G984">
        <v>2</v>
      </c>
      <c r="H984">
        <v>5</v>
      </c>
      <c r="I984">
        <v>2</v>
      </c>
      <c r="J984">
        <v>2</v>
      </c>
      <c r="K984">
        <v>0</v>
      </c>
      <c r="L984">
        <v>2</v>
      </c>
      <c r="M984">
        <v>0</v>
      </c>
      <c r="N984">
        <v>2</v>
      </c>
      <c r="O984">
        <v>0</v>
      </c>
      <c r="P984">
        <v>0</v>
      </c>
      <c r="Q984">
        <v>-2</v>
      </c>
      <c r="R984">
        <v>0</v>
      </c>
      <c r="S984">
        <v>7</v>
      </c>
      <c r="T984">
        <v>0</v>
      </c>
      <c r="U984">
        <v>7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10</v>
      </c>
      <c r="AC984">
        <v>0</v>
      </c>
      <c r="AD984">
        <v>0</v>
      </c>
      <c r="AE984">
        <v>24</v>
      </c>
      <c r="AF984">
        <v>84</v>
      </c>
      <c r="AJ984">
        <v>0</v>
      </c>
      <c r="AK984" t="str">
        <f t="shared" si="15"/>
        <v>WO861-3700</v>
      </c>
    </row>
    <row r="985" spans="1:37">
      <c r="A985" t="s">
        <v>1789</v>
      </c>
      <c r="B985" t="s">
        <v>1790</v>
      </c>
      <c r="C985" t="s">
        <v>275</v>
      </c>
      <c r="D985" t="s">
        <v>292</v>
      </c>
      <c r="E985">
        <v>43</v>
      </c>
      <c r="F985">
        <v>18.5</v>
      </c>
      <c r="G985">
        <v>12</v>
      </c>
      <c r="H985">
        <v>19</v>
      </c>
      <c r="I985">
        <v>28</v>
      </c>
      <c r="J985">
        <v>48</v>
      </c>
      <c r="K985">
        <v>1394</v>
      </c>
      <c r="L985">
        <v>33</v>
      </c>
      <c r="M985">
        <v>0</v>
      </c>
      <c r="N985">
        <v>10</v>
      </c>
      <c r="O985">
        <v>0</v>
      </c>
      <c r="P985">
        <v>0</v>
      </c>
      <c r="Q985">
        <v>1384</v>
      </c>
      <c r="R985">
        <v>0</v>
      </c>
      <c r="S985">
        <v>15</v>
      </c>
      <c r="T985">
        <v>0</v>
      </c>
      <c r="U985">
        <v>41</v>
      </c>
      <c r="V985">
        <v>0</v>
      </c>
      <c r="W985">
        <v>45</v>
      </c>
      <c r="X985">
        <v>69</v>
      </c>
      <c r="Y985">
        <v>55</v>
      </c>
      <c r="Z985">
        <v>115</v>
      </c>
      <c r="AA985">
        <v>59</v>
      </c>
      <c r="AB985">
        <v>125</v>
      </c>
      <c r="AC985">
        <v>32</v>
      </c>
      <c r="AD985">
        <v>21</v>
      </c>
      <c r="AE985">
        <v>577</v>
      </c>
      <c r="AF985">
        <v>525</v>
      </c>
      <c r="AJ985">
        <v>6.41</v>
      </c>
      <c r="AK985" t="str">
        <f t="shared" si="15"/>
        <v>WO861-5000</v>
      </c>
    </row>
    <row r="986" spans="1:37">
      <c r="A986" t="s">
        <v>1791</v>
      </c>
      <c r="B986" t="s">
        <v>1790</v>
      </c>
      <c r="C986" t="s">
        <v>275</v>
      </c>
      <c r="D986" t="s">
        <v>292</v>
      </c>
      <c r="E986">
        <v>43</v>
      </c>
      <c r="F986">
        <v>12.1</v>
      </c>
      <c r="G986">
        <v>21</v>
      </c>
      <c r="H986">
        <v>25</v>
      </c>
      <c r="I986">
        <v>60</v>
      </c>
      <c r="J986">
        <v>45</v>
      </c>
      <c r="K986">
        <v>1208</v>
      </c>
      <c r="L986">
        <v>28</v>
      </c>
      <c r="M986">
        <v>0</v>
      </c>
      <c r="N986">
        <v>17</v>
      </c>
      <c r="O986">
        <v>0</v>
      </c>
      <c r="P986">
        <v>0</v>
      </c>
      <c r="Q986">
        <v>1191</v>
      </c>
      <c r="R986">
        <v>0</v>
      </c>
      <c r="S986">
        <v>0</v>
      </c>
      <c r="T986">
        <v>74</v>
      </c>
      <c r="U986">
        <v>0</v>
      </c>
      <c r="V986">
        <v>0</v>
      </c>
      <c r="W986">
        <v>134</v>
      </c>
      <c r="X986">
        <v>149</v>
      </c>
      <c r="Y986">
        <v>0</v>
      </c>
      <c r="Z986">
        <v>0</v>
      </c>
      <c r="AA986">
        <v>66</v>
      </c>
      <c r="AB986">
        <v>46</v>
      </c>
      <c r="AC986">
        <v>73</v>
      </c>
      <c r="AD986">
        <v>0</v>
      </c>
      <c r="AE986">
        <v>542</v>
      </c>
      <c r="AF986">
        <v>199</v>
      </c>
      <c r="AJ986">
        <v>6.41</v>
      </c>
      <c r="AK986" t="str">
        <f t="shared" si="15"/>
        <v>WO861-6200</v>
      </c>
    </row>
    <row r="987" spans="1:37">
      <c r="A987" t="s">
        <v>1792</v>
      </c>
      <c r="B987" t="s">
        <v>1793</v>
      </c>
      <c r="C987" t="s">
        <v>275</v>
      </c>
      <c r="D987" t="s">
        <v>1794</v>
      </c>
      <c r="E987">
        <v>50</v>
      </c>
      <c r="F987">
        <v>12.1</v>
      </c>
      <c r="G987">
        <v>26</v>
      </c>
      <c r="H987">
        <v>33</v>
      </c>
      <c r="I987">
        <v>37</v>
      </c>
      <c r="J987">
        <v>74</v>
      </c>
      <c r="K987">
        <v>1619</v>
      </c>
      <c r="L987">
        <v>52</v>
      </c>
      <c r="M987">
        <v>0</v>
      </c>
      <c r="N987">
        <v>22</v>
      </c>
      <c r="O987">
        <v>0</v>
      </c>
      <c r="P987">
        <v>0</v>
      </c>
      <c r="Q987">
        <v>1597</v>
      </c>
      <c r="R987">
        <v>0</v>
      </c>
      <c r="S987">
        <v>0</v>
      </c>
      <c r="T987">
        <v>54</v>
      </c>
      <c r="U987">
        <v>45</v>
      </c>
      <c r="V987">
        <v>0</v>
      </c>
      <c r="W987">
        <v>56</v>
      </c>
      <c r="X987">
        <v>65</v>
      </c>
      <c r="Y987">
        <v>582</v>
      </c>
      <c r="Z987">
        <v>31</v>
      </c>
      <c r="AA987">
        <v>48</v>
      </c>
      <c r="AB987">
        <v>10</v>
      </c>
      <c r="AC987">
        <v>0</v>
      </c>
      <c r="AD987">
        <v>0</v>
      </c>
      <c r="AE987">
        <v>891</v>
      </c>
      <c r="AF987">
        <v>1563</v>
      </c>
      <c r="AJ987">
        <v>6.27</v>
      </c>
      <c r="AK987" t="str">
        <f t="shared" si="15"/>
        <v>WO891-5000</v>
      </c>
    </row>
    <row r="988" spans="1:37">
      <c r="A988" t="s">
        <v>1795</v>
      </c>
      <c r="B988" t="s">
        <v>1793</v>
      </c>
      <c r="C988" t="s">
        <v>275</v>
      </c>
      <c r="D988" t="s">
        <v>1796</v>
      </c>
      <c r="E988">
        <v>50</v>
      </c>
      <c r="F988">
        <v>61.3</v>
      </c>
      <c r="G988">
        <v>0</v>
      </c>
      <c r="H988">
        <v>13</v>
      </c>
      <c r="I988">
        <v>13</v>
      </c>
      <c r="J988">
        <v>40</v>
      </c>
      <c r="K988">
        <v>3188</v>
      </c>
      <c r="L988">
        <v>34</v>
      </c>
      <c r="M988">
        <v>0</v>
      </c>
      <c r="N988">
        <v>0</v>
      </c>
      <c r="O988">
        <v>0</v>
      </c>
      <c r="P988">
        <v>0</v>
      </c>
      <c r="Q988">
        <v>3188</v>
      </c>
      <c r="R988">
        <v>0</v>
      </c>
      <c r="S988">
        <v>0</v>
      </c>
      <c r="T988">
        <v>20</v>
      </c>
      <c r="U988">
        <v>19</v>
      </c>
      <c r="V988">
        <v>0</v>
      </c>
      <c r="W988">
        <v>7</v>
      </c>
      <c r="X988">
        <v>34</v>
      </c>
      <c r="Y988">
        <v>48</v>
      </c>
      <c r="Z988">
        <v>5</v>
      </c>
      <c r="AA988">
        <v>99</v>
      </c>
      <c r="AB988">
        <v>132</v>
      </c>
      <c r="AC988">
        <v>27</v>
      </c>
      <c r="AD988">
        <v>84</v>
      </c>
      <c r="AE988">
        <v>475</v>
      </c>
      <c r="AF988">
        <v>2166</v>
      </c>
      <c r="AJ988">
        <v>3.94</v>
      </c>
      <c r="AK988" t="str">
        <f t="shared" si="15"/>
        <v>WO891-6200</v>
      </c>
    </row>
    <row r="989" spans="1:37">
      <c r="A989" t="s">
        <v>1797</v>
      </c>
      <c r="B989" t="s">
        <v>1798</v>
      </c>
      <c r="C989" t="s">
        <v>110</v>
      </c>
      <c r="D989" t="s">
        <v>292</v>
      </c>
      <c r="E989">
        <v>50</v>
      </c>
      <c r="F989">
        <v>0</v>
      </c>
      <c r="G989">
        <v>1</v>
      </c>
      <c r="H989">
        <v>0</v>
      </c>
      <c r="I989">
        <v>33</v>
      </c>
      <c r="J989">
        <v>20</v>
      </c>
      <c r="K989">
        <v>0</v>
      </c>
      <c r="L989">
        <v>15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71</v>
      </c>
      <c r="X989">
        <v>126</v>
      </c>
      <c r="Y989">
        <v>37</v>
      </c>
      <c r="Z989">
        <v>2</v>
      </c>
      <c r="AA989">
        <v>0</v>
      </c>
      <c r="AB989">
        <v>0</v>
      </c>
      <c r="AC989">
        <v>0</v>
      </c>
      <c r="AD989">
        <v>0</v>
      </c>
      <c r="AE989">
        <v>236</v>
      </c>
      <c r="AF989">
        <v>46</v>
      </c>
      <c r="AJ989">
        <v>3.06</v>
      </c>
      <c r="AK989" t="str">
        <f t="shared" si="15"/>
        <v>WO951-3700</v>
      </c>
    </row>
    <row r="990" spans="1:37">
      <c r="A990" t="s">
        <v>1799</v>
      </c>
      <c r="B990" t="s">
        <v>1798</v>
      </c>
      <c r="C990" t="s">
        <v>110</v>
      </c>
      <c r="D990" t="s">
        <v>1800</v>
      </c>
      <c r="E990">
        <v>50</v>
      </c>
      <c r="F990">
        <v>0.7</v>
      </c>
      <c r="G990">
        <v>211</v>
      </c>
      <c r="H990">
        <v>211</v>
      </c>
      <c r="I990">
        <v>229</v>
      </c>
      <c r="J990">
        <v>252</v>
      </c>
      <c r="K990">
        <v>765</v>
      </c>
      <c r="L990">
        <v>441</v>
      </c>
      <c r="M990">
        <v>0</v>
      </c>
      <c r="N990">
        <v>176</v>
      </c>
      <c r="O990">
        <v>0</v>
      </c>
      <c r="P990">
        <v>0</v>
      </c>
      <c r="Q990">
        <v>589</v>
      </c>
      <c r="R990">
        <v>0</v>
      </c>
      <c r="S990">
        <v>417</v>
      </c>
      <c r="T990">
        <v>160</v>
      </c>
      <c r="U990">
        <v>57</v>
      </c>
      <c r="V990">
        <v>247</v>
      </c>
      <c r="W990">
        <v>396</v>
      </c>
      <c r="X990">
        <v>94</v>
      </c>
      <c r="Y990">
        <v>290</v>
      </c>
      <c r="Z990">
        <v>434</v>
      </c>
      <c r="AA990">
        <v>305</v>
      </c>
      <c r="AB990">
        <v>100</v>
      </c>
      <c r="AC990">
        <v>488</v>
      </c>
      <c r="AD990">
        <v>30</v>
      </c>
      <c r="AE990">
        <v>3018</v>
      </c>
      <c r="AF990">
        <v>1975</v>
      </c>
      <c r="AJ990">
        <v>4.6100000000000003</v>
      </c>
      <c r="AK990" t="str">
        <f t="shared" si="15"/>
        <v>WO951-5000</v>
      </c>
    </row>
    <row r="991" spans="1:37">
      <c r="A991" t="s">
        <v>1801</v>
      </c>
      <c r="B991" t="s">
        <v>1798</v>
      </c>
      <c r="C991" t="s">
        <v>110</v>
      </c>
      <c r="D991" t="s">
        <v>1800</v>
      </c>
      <c r="E991">
        <v>50</v>
      </c>
      <c r="F991">
        <v>1.3</v>
      </c>
      <c r="G991">
        <v>116</v>
      </c>
      <c r="H991">
        <v>107</v>
      </c>
      <c r="I991">
        <v>111</v>
      </c>
      <c r="J991">
        <v>141</v>
      </c>
      <c r="K991">
        <v>663</v>
      </c>
      <c r="L991">
        <v>66</v>
      </c>
      <c r="M991">
        <v>0</v>
      </c>
      <c r="N991">
        <v>96</v>
      </c>
      <c r="O991">
        <v>0</v>
      </c>
      <c r="P991">
        <v>0</v>
      </c>
      <c r="Q991">
        <v>567</v>
      </c>
      <c r="R991">
        <v>0</v>
      </c>
      <c r="S991">
        <v>32</v>
      </c>
      <c r="T991">
        <v>166</v>
      </c>
      <c r="U991">
        <v>122</v>
      </c>
      <c r="V991">
        <v>77</v>
      </c>
      <c r="W991">
        <v>268</v>
      </c>
      <c r="X991">
        <v>0</v>
      </c>
      <c r="Y991">
        <v>183</v>
      </c>
      <c r="Z991">
        <v>138</v>
      </c>
      <c r="AA991">
        <v>0</v>
      </c>
      <c r="AB991">
        <v>366</v>
      </c>
      <c r="AC991">
        <v>261</v>
      </c>
      <c r="AD991">
        <v>84</v>
      </c>
      <c r="AE991">
        <v>1697</v>
      </c>
      <c r="AF991">
        <v>2459</v>
      </c>
      <c r="AJ991">
        <v>4.6100000000000003</v>
      </c>
      <c r="AK991" t="str">
        <f t="shared" si="15"/>
        <v>WO951-6200</v>
      </c>
    </row>
    <row r="992" spans="1:37">
      <c r="A992" t="s">
        <v>1802</v>
      </c>
      <c r="B992" t="s">
        <v>1803</v>
      </c>
      <c r="C992" t="s">
        <v>110</v>
      </c>
      <c r="E992">
        <v>50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1036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1036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10</v>
      </c>
      <c r="AJ992">
        <v>4.5129999999999999</v>
      </c>
      <c r="AK992" t="str">
        <f t="shared" si="15"/>
        <v>WP101-5000</v>
      </c>
    </row>
    <row r="993" spans="1:37">
      <c r="A993" t="s">
        <v>1804</v>
      </c>
      <c r="B993" t="s">
        <v>1805</v>
      </c>
      <c r="C993" t="s">
        <v>313</v>
      </c>
      <c r="D993" t="s">
        <v>1806</v>
      </c>
      <c r="E993">
        <v>50</v>
      </c>
      <c r="F993">
        <v>0.3</v>
      </c>
      <c r="G993">
        <v>1126</v>
      </c>
      <c r="H993">
        <v>2493</v>
      </c>
      <c r="I993">
        <v>1832</v>
      </c>
      <c r="J993">
        <v>1988</v>
      </c>
      <c r="K993">
        <v>3630</v>
      </c>
      <c r="L993">
        <v>347</v>
      </c>
      <c r="M993">
        <v>0</v>
      </c>
      <c r="N993">
        <v>939</v>
      </c>
      <c r="O993">
        <v>0</v>
      </c>
      <c r="P993">
        <v>0</v>
      </c>
      <c r="Q993">
        <v>2691</v>
      </c>
      <c r="R993">
        <v>0</v>
      </c>
      <c r="S993">
        <v>2014</v>
      </c>
      <c r="T993">
        <v>1611</v>
      </c>
      <c r="U993">
        <v>3853</v>
      </c>
      <c r="V993">
        <v>792</v>
      </c>
      <c r="W993">
        <v>1258</v>
      </c>
      <c r="X993">
        <v>1464</v>
      </c>
      <c r="Y993">
        <v>2114</v>
      </c>
      <c r="Z993">
        <v>2430</v>
      </c>
      <c r="AA993">
        <v>2496</v>
      </c>
      <c r="AB993">
        <v>1420</v>
      </c>
      <c r="AC993">
        <v>1781</v>
      </c>
      <c r="AD993">
        <v>2618</v>
      </c>
      <c r="AE993">
        <v>23851</v>
      </c>
      <c r="AF993">
        <v>21839</v>
      </c>
      <c r="AJ993">
        <v>3.94</v>
      </c>
      <c r="AK993" t="str">
        <f t="shared" si="15"/>
        <v>WP110-5000</v>
      </c>
    </row>
    <row r="994" spans="1:37">
      <c r="A994" t="s">
        <v>1807</v>
      </c>
      <c r="B994" t="s">
        <v>1805</v>
      </c>
      <c r="C994" t="s">
        <v>313</v>
      </c>
      <c r="D994" t="s">
        <v>1806</v>
      </c>
      <c r="E994">
        <v>50</v>
      </c>
      <c r="F994">
        <v>1.6</v>
      </c>
      <c r="G994">
        <v>245</v>
      </c>
      <c r="H994">
        <v>653</v>
      </c>
      <c r="I994">
        <v>565</v>
      </c>
      <c r="J994">
        <v>854</v>
      </c>
      <c r="K994">
        <v>4482</v>
      </c>
      <c r="L994">
        <v>591</v>
      </c>
      <c r="M994">
        <v>0</v>
      </c>
      <c r="N994">
        <v>204</v>
      </c>
      <c r="O994">
        <v>0</v>
      </c>
      <c r="P994">
        <v>0</v>
      </c>
      <c r="Q994">
        <v>4278</v>
      </c>
      <c r="R994">
        <v>0</v>
      </c>
      <c r="S994">
        <v>582</v>
      </c>
      <c r="T994">
        <v>546</v>
      </c>
      <c r="U994">
        <v>830</v>
      </c>
      <c r="V994">
        <v>367</v>
      </c>
      <c r="W994">
        <v>461</v>
      </c>
      <c r="X994">
        <v>606</v>
      </c>
      <c r="Y994">
        <v>2211</v>
      </c>
      <c r="Z994">
        <v>615</v>
      </c>
      <c r="AA994">
        <v>1377</v>
      </c>
      <c r="AB994">
        <v>1484</v>
      </c>
      <c r="AC994">
        <v>678</v>
      </c>
      <c r="AD994">
        <v>491</v>
      </c>
      <c r="AE994">
        <v>10248</v>
      </c>
      <c r="AF994">
        <v>16003</v>
      </c>
      <c r="AJ994">
        <v>3.69</v>
      </c>
      <c r="AK994" t="str">
        <f t="shared" si="15"/>
        <v>WP110-6200</v>
      </c>
    </row>
    <row r="995" spans="1:37">
      <c r="A995" t="s">
        <v>1808</v>
      </c>
      <c r="B995" t="s">
        <v>1809</v>
      </c>
      <c r="C995" t="s">
        <v>313</v>
      </c>
      <c r="D995" t="s">
        <v>1806</v>
      </c>
      <c r="E995">
        <v>43</v>
      </c>
      <c r="F995">
        <v>1.5</v>
      </c>
      <c r="G995">
        <v>52</v>
      </c>
      <c r="H995">
        <v>313</v>
      </c>
      <c r="I995">
        <v>308</v>
      </c>
      <c r="J995">
        <v>400</v>
      </c>
      <c r="K995">
        <v>1895</v>
      </c>
      <c r="L995">
        <v>136</v>
      </c>
      <c r="M995">
        <v>0</v>
      </c>
      <c r="N995">
        <v>44</v>
      </c>
      <c r="O995">
        <v>0</v>
      </c>
      <c r="P995">
        <v>0</v>
      </c>
      <c r="Q995">
        <v>1851</v>
      </c>
      <c r="R995">
        <v>0</v>
      </c>
      <c r="S995">
        <v>199</v>
      </c>
      <c r="T995">
        <v>60</v>
      </c>
      <c r="U995">
        <v>681</v>
      </c>
      <c r="V995">
        <v>65</v>
      </c>
      <c r="W995">
        <v>716</v>
      </c>
      <c r="X995">
        <v>127</v>
      </c>
      <c r="Y995">
        <v>204</v>
      </c>
      <c r="Z995">
        <v>0</v>
      </c>
      <c r="AA995">
        <v>117</v>
      </c>
      <c r="AB995">
        <v>515</v>
      </c>
      <c r="AC995">
        <v>987</v>
      </c>
      <c r="AD995">
        <v>1125</v>
      </c>
      <c r="AE995">
        <v>4796</v>
      </c>
      <c r="AF995">
        <v>1557</v>
      </c>
      <c r="AJ995">
        <v>5.9</v>
      </c>
      <c r="AK995" t="str">
        <f t="shared" si="15"/>
        <v>WP115-5000</v>
      </c>
    </row>
    <row r="996" spans="1:37">
      <c r="A996" t="s">
        <v>1810</v>
      </c>
      <c r="B996" t="s">
        <v>1809</v>
      </c>
      <c r="C996" t="s">
        <v>313</v>
      </c>
      <c r="D996" t="s">
        <v>1806</v>
      </c>
      <c r="E996">
        <v>43</v>
      </c>
      <c r="F996">
        <v>3.2</v>
      </c>
      <c r="G996">
        <v>29</v>
      </c>
      <c r="H996">
        <v>204</v>
      </c>
      <c r="I996">
        <v>122</v>
      </c>
      <c r="J996">
        <v>112</v>
      </c>
      <c r="K996">
        <v>2628</v>
      </c>
      <c r="L996">
        <v>131</v>
      </c>
      <c r="M996">
        <v>0</v>
      </c>
      <c r="N996">
        <v>25</v>
      </c>
      <c r="O996">
        <v>0</v>
      </c>
      <c r="P996">
        <v>0</v>
      </c>
      <c r="Q996">
        <v>2603</v>
      </c>
      <c r="R996">
        <v>0</v>
      </c>
      <c r="S996">
        <v>0</v>
      </c>
      <c r="T996">
        <v>351</v>
      </c>
      <c r="U996">
        <v>260</v>
      </c>
      <c r="V996">
        <v>0</v>
      </c>
      <c r="W996">
        <v>0</v>
      </c>
      <c r="X996">
        <v>118</v>
      </c>
      <c r="Y996">
        <v>0</v>
      </c>
      <c r="Z996">
        <v>0</v>
      </c>
      <c r="AA996">
        <v>0</v>
      </c>
      <c r="AB996">
        <v>520</v>
      </c>
      <c r="AC996">
        <v>0</v>
      </c>
      <c r="AD996">
        <v>89</v>
      </c>
      <c r="AE996">
        <v>1338</v>
      </c>
      <c r="AF996">
        <v>2223</v>
      </c>
      <c r="AJ996">
        <v>4.84</v>
      </c>
      <c r="AK996" t="str">
        <f t="shared" si="15"/>
        <v>WP115-6200</v>
      </c>
    </row>
    <row r="997" spans="1:37">
      <c r="A997" t="s">
        <v>1811</v>
      </c>
      <c r="B997" t="s">
        <v>1812</v>
      </c>
      <c r="C997" t="s">
        <v>313</v>
      </c>
      <c r="D997" t="s">
        <v>1806</v>
      </c>
      <c r="E997">
        <v>43</v>
      </c>
      <c r="F997">
        <v>19.8</v>
      </c>
      <c r="G997">
        <v>336</v>
      </c>
      <c r="H997">
        <v>40</v>
      </c>
      <c r="I997">
        <v>215</v>
      </c>
      <c r="J997">
        <v>249</v>
      </c>
      <c r="K997">
        <v>3445</v>
      </c>
      <c r="L997">
        <v>52</v>
      </c>
      <c r="M997">
        <v>0</v>
      </c>
      <c r="N997">
        <v>280</v>
      </c>
      <c r="O997">
        <v>0</v>
      </c>
      <c r="P997">
        <v>0</v>
      </c>
      <c r="Q997">
        <v>3165</v>
      </c>
      <c r="R997">
        <v>0</v>
      </c>
      <c r="S997">
        <v>65</v>
      </c>
      <c r="T997">
        <v>55</v>
      </c>
      <c r="U997">
        <v>0</v>
      </c>
      <c r="V997">
        <v>150</v>
      </c>
      <c r="W997">
        <v>170</v>
      </c>
      <c r="X997">
        <v>851</v>
      </c>
      <c r="Y997">
        <v>0</v>
      </c>
      <c r="Z997">
        <v>168</v>
      </c>
      <c r="AA997">
        <v>269</v>
      </c>
      <c r="AB997">
        <v>795</v>
      </c>
      <c r="AC997">
        <v>357</v>
      </c>
      <c r="AD997">
        <v>106</v>
      </c>
      <c r="AE997">
        <v>2986</v>
      </c>
      <c r="AF997">
        <v>3608</v>
      </c>
      <c r="AJ997">
        <v>3.95</v>
      </c>
      <c r="AK997" t="str">
        <f t="shared" si="15"/>
        <v>WP120-5000</v>
      </c>
    </row>
    <row r="998" spans="1:37">
      <c r="A998" t="s">
        <v>1813</v>
      </c>
      <c r="B998" t="s">
        <v>1812</v>
      </c>
      <c r="C998" t="s">
        <v>313</v>
      </c>
      <c r="D998" t="s">
        <v>1806</v>
      </c>
      <c r="E998">
        <v>43</v>
      </c>
      <c r="F998">
        <v>0</v>
      </c>
      <c r="G998">
        <v>0</v>
      </c>
      <c r="H998">
        <v>0</v>
      </c>
      <c r="I998">
        <v>2</v>
      </c>
      <c r="J998">
        <v>10</v>
      </c>
      <c r="K998">
        <v>9006</v>
      </c>
      <c r="L998">
        <v>35</v>
      </c>
      <c r="M998">
        <v>0</v>
      </c>
      <c r="N998">
        <v>0</v>
      </c>
      <c r="O998">
        <v>0</v>
      </c>
      <c r="P998">
        <v>0</v>
      </c>
      <c r="Q998">
        <v>9006</v>
      </c>
      <c r="R998">
        <v>0</v>
      </c>
      <c r="S998">
        <v>0</v>
      </c>
      <c r="T998">
        <v>0</v>
      </c>
      <c r="U998">
        <v>0</v>
      </c>
      <c r="V998">
        <v>14</v>
      </c>
      <c r="W998">
        <v>0</v>
      </c>
      <c r="X998">
        <v>0</v>
      </c>
      <c r="Y998">
        <v>0</v>
      </c>
      <c r="Z998">
        <v>47</v>
      </c>
      <c r="AA998">
        <v>24</v>
      </c>
      <c r="AB998">
        <v>0</v>
      </c>
      <c r="AC998">
        <v>32</v>
      </c>
      <c r="AD998">
        <v>0</v>
      </c>
      <c r="AE998">
        <v>117</v>
      </c>
      <c r="AF998">
        <v>4685</v>
      </c>
      <c r="AJ998">
        <v>3.7</v>
      </c>
      <c r="AK998" t="str">
        <f t="shared" si="15"/>
        <v>WP120-6200</v>
      </c>
    </row>
    <row r="999" spans="1:37">
      <c r="A999" t="s">
        <v>1814</v>
      </c>
      <c r="B999" t="s">
        <v>1815</v>
      </c>
      <c r="C999" t="s">
        <v>313</v>
      </c>
      <c r="D999" t="s">
        <v>1806</v>
      </c>
      <c r="E999">
        <v>43</v>
      </c>
      <c r="F999">
        <v>0.2</v>
      </c>
      <c r="G999">
        <v>66</v>
      </c>
      <c r="H999">
        <v>304</v>
      </c>
      <c r="I999">
        <v>233</v>
      </c>
      <c r="J999">
        <v>161</v>
      </c>
      <c r="K999">
        <v>263</v>
      </c>
      <c r="L999">
        <v>229</v>
      </c>
      <c r="M999">
        <v>0</v>
      </c>
      <c r="N999">
        <v>55</v>
      </c>
      <c r="O999">
        <v>0</v>
      </c>
      <c r="P999">
        <v>0</v>
      </c>
      <c r="Q999">
        <v>208</v>
      </c>
      <c r="R999">
        <v>0</v>
      </c>
      <c r="S999">
        <v>207</v>
      </c>
      <c r="T999">
        <v>420</v>
      </c>
      <c r="U999">
        <v>286</v>
      </c>
      <c r="V999">
        <v>121</v>
      </c>
      <c r="W999">
        <v>278</v>
      </c>
      <c r="X999">
        <v>88</v>
      </c>
      <c r="Y999">
        <v>189</v>
      </c>
      <c r="Z999">
        <v>0</v>
      </c>
      <c r="AA999">
        <v>162</v>
      </c>
      <c r="AB999">
        <v>151</v>
      </c>
      <c r="AC999">
        <v>25</v>
      </c>
      <c r="AD999">
        <v>0</v>
      </c>
      <c r="AE999">
        <v>1927</v>
      </c>
      <c r="AF999">
        <v>2071</v>
      </c>
      <c r="AJ999">
        <v>4.8099999999999996</v>
      </c>
      <c r="AK999" t="str">
        <f t="shared" si="15"/>
        <v>WP125-5000</v>
      </c>
    </row>
    <row r="1000" spans="1:37">
      <c r="A1000" t="s">
        <v>1816</v>
      </c>
      <c r="B1000" t="s">
        <v>1815</v>
      </c>
      <c r="C1000" t="s">
        <v>313</v>
      </c>
      <c r="D1000" t="s">
        <v>1806</v>
      </c>
      <c r="E1000">
        <v>43</v>
      </c>
      <c r="F1000">
        <v>3.9</v>
      </c>
      <c r="G1000">
        <v>21</v>
      </c>
      <c r="H1000">
        <v>84</v>
      </c>
      <c r="I1000">
        <v>46</v>
      </c>
      <c r="J1000">
        <v>31</v>
      </c>
      <c r="K1000">
        <v>1332</v>
      </c>
      <c r="L1000">
        <v>27</v>
      </c>
      <c r="M1000">
        <v>0</v>
      </c>
      <c r="N1000">
        <v>17</v>
      </c>
      <c r="O1000">
        <v>0</v>
      </c>
      <c r="P1000">
        <v>0</v>
      </c>
      <c r="Q1000">
        <v>1315</v>
      </c>
      <c r="R1000">
        <v>0</v>
      </c>
      <c r="S1000">
        <v>0</v>
      </c>
      <c r="T1000">
        <v>138</v>
      </c>
      <c r="U1000">
        <v>114</v>
      </c>
      <c r="V1000">
        <v>0</v>
      </c>
      <c r="W1000">
        <v>21</v>
      </c>
      <c r="X1000">
        <v>0</v>
      </c>
      <c r="Y1000">
        <v>33</v>
      </c>
      <c r="Z1000">
        <v>68</v>
      </c>
      <c r="AA1000">
        <v>0</v>
      </c>
      <c r="AB1000">
        <v>0</v>
      </c>
      <c r="AC1000">
        <v>0</v>
      </c>
      <c r="AD1000">
        <v>0</v>
      </c>
      <c r="AE1000">
        <v>374</v>
      </c>
      <c r="AF1000">
        <v>438</v>
      </c>
      <c r="AJ1000">
        <v>5.3</v>
      </c>
      <c r="AK1000" t="str">
        <f t="shared" si="15"/>
        <v>WP125-6200</v>
      </c>
    </row>
    <row r="1001" spans="1:37">
      <c r="A1001" t="s">
        <v>5941</v>
      </c>
      <c r="B1001" t="s">
        <v>1817</v>
      </c>
      <c r="C1001" t="s">
        <v>313</v>
      </c>
      <c r="D1001" t="s">
        <v>1818</v>
      </c>
      <c r="E1001">
        <v>43</v>
      </c>
      <c r="F1001">
        <v>0</v>
      </c>
      <c r="G1001">
        <v>0</v>
      </c>
      <c r="H1001">
        <v>9</v>
      </c>
      <c r="I1001">
        <v>4</v>
      </c>
      <c r="J1001">
        <v>6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26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37</v>
      </c>
      <c r="Z1001">
        <v>0</v>
      </c>
      <c r="AA1001">
        <v>0</v>
      </c>
      <c r="AB1001">
        <v>9</v>
      </c>
      <c r="AC1001">
        <v>0</v>
      </c>
      <c r="AD1001">
        <v>0</v>
      </c>
      <c r="AE1001">
        <v>72</v>
      </c>
      <c r="AF1001">
        <v>52</v>
      </c>
      <c r="AJ1001">
        <v>2.95</v>
      </c>
      <c r="AK1001" t="str">
        <f t="shared" si="15"/>
        <v>WP130-5000</v>
      </c>
    </row>
    <row r="1002" spans="1:37">
      <c r="A1002" t="s">
        <v>1819</v>
      </c>
      <c r="B1002" t="s">
        <v>1817</v>
      </c>
      <c r="C1002" t="s">
        <v>313</v>
      </c>
      <c r="D1002" t="s">
        <v>1818</v>
      </c>
      <c r="E1002">
        <v>43</v>
      </c>
      <c r="F1002">
        <v>0</v>
      </c>
      <c r="G1002">
        <v>0</v>
      </c>
      <c r="H1002">
        <v>0</v>
      </c>
      <c r="I1002">
        <v>0</v>
      </c>
      <c r="J1002">
        <v>3</v>
      </c>
      <c r="K1002">
        <v>3090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3090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33</v>
      </c>
      <c r="AD1002">
        <v>0</v>
      </c>
      <c r="AE1002">
        <v>33</v>
      </c>
      <c r="AF1002">
        <v>9</v>
      </c>
      <c r="AJ1002">
        <v>3.43</v>
      </c>
      <c r="AK1002" t="str">
        <f t="shared" si="15"/>
        <v>WP130-6200</v>
      </c>
    </row>
    <row r="1003" spans="1:37">
      <c r="A1003" t="s">
        <v>1820</v>
      </c>
      <c r="B1003" t="s">
        <v>1821</v>
      </c>
      <c r="C1003" t="s">
        <v>313</v>
      </c>
      <c r="D1003" t="s">
        <v>1782</v>
      </c>
      <c r="E1003">
        <v>43</v>
      </c>
      <c r="F1003">
        <v>1.2</v>
      </c>
      <c r="G1003">
        <v>81</v>
      </c>
      <c r="H1003">
        <v>113</v>
      </c>
      <c r="I1003">
        <v>136</v>
      </c>
      <c r="J1003">
        <v>110</v>
      </c>
      <c r="K1003">
        <v>621</v>
      </c>
      <c r="L1003">
        <v>8</v>
      </c>
      <c r="M1003">
        <v>0</v>
      </c>
      <c r="N1003">
        <v>68</v>
      </c>
      <c r="O1003">
        <v>0</v>
      </c>
      <c r="P1003">
        <v>0</v>
      </c>
      <c r="Q1003">
        <v>553</v>
      </c>
      <c r="R1003">
        <v>0</v>
      </c>
      <c r="S1003">
        <v>169</v>
      </c>
      <c r="T1003">
        <v>104</v>
      </c>
      <c r="U1003">
        <v>67</v>
      </c>
      <c r="V1003">
        <v>302</v>
      </c>
      <c r="W1003">
        <v>44</v>
      </c>
      <c r="X1003">
        <v>132</v>
      </c>
      <c r="Y1003">
        <v>106</v>
      </c>
      <c r="Z1003">
        <v>27</v>
      </c>
      <c r="AA1003">
        <v>0</v>
      </c>
      <c r="AB1003">
        <v>199</v>
      </c>
      <c r="AC1003">
        <v>109</v>
      </c>
      <c r="AD1003">
        <v>57</v>
      </c>
      <c r="AE1003">
        <v>1316</v>
      </c>
      <c r="AF1003">
        <v>265</v>
      </c>
      <c r="AJ1003">
        <v>5.66</v>
      </c>
      <c r="AK1003" t="str">
        <f t="shared" si="15"/>
        <v>WP140-5000</v>
      </c>
    </row>
    <row r="1004" spans="1:37">
      <c r="A1004" t="s">
        <v>1822</v>
      </c>
      <c r="B1004" t="s">
        <v>1821</v>
      </c>
      <c r="C1004" t="s">
        <v>313</v>
      </c>
      <c r="D1004" t="s">
        <v>1782</v>
      </c>
      <c r="E1004">
        <v>43</v>
      </c>
      <c r="F1004">
        <v>75.400000000000006</v>
      </c>
      <c r="G1004">
        <v>0</v>
      </c>
      <c r="H1004">
        <v>7</v>
      </c>
      <c r="I1004">
        <v>4</v>
      </c>
      <c r="J1004">
        <v>6</v>
      </c>
      <c r="K1004">
        <v>2110</v>
      </c>
      <c r="L1004">
        <v>19</v>
      </c>
      <c r="M1004">
        <v>0</v>
      </c>
      <c r="N1004">
        <v>0</v>
      </c>
      <c r="O1004">
        <v>0</v>
      </c>
      <c r="P1004">
        <v>0</v>
      </c>
      <c r="Q1004">
        <v>2110</v>
      </c>
      <c r="R1004">
        <v>0</v>
      </c>
      <c r="S1004">
        <v>21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46</v>
      </c>
      <c r="AE1004">
        <v>67</v>
      </c>
      <c r="AF1004">
        <v>637</v>
      </c>
      <c r="AJ1004">
        <v>5.41</v>
      </c>
      <c r="AK1004" t="str">
        <f t="shared" si="15"/>
        <v>WP140-6200</v>
      </c>
    </row>
    <row r="1005" spans="1:37">
      <c r="A1005" t="s">
        <v>1823</v>
      </c>
      <c r="B1005" t="s">
        <v>1824</v>
      </c>
      <c r="C1005" t="s">
        <v>1027</v>
      </c>
      <c r="D1005" t="s">
        <v>1782</v>
      </c>
      <c r="E1005">
        <v>43</v>
      </c>
      <c r="F1005">
        <v>0.9</v>
      </c>
      <c r="G1005">
        <v>7</v>
      </c>
      <c r="H1005">
        <v>56</v>
      </c>
      <c r="I1005">
        <v>153</v>
      </c>
      <c r="J1005">
        <v>287</v>
      </c>
      <c r="K1005">
        <v>212</v>
      </c>
      <c r="L1005">
        <v>32</v>
      </c>
      <c r="M1005">
        <v>0</v>
      </c>
      <c r="N1005">
        <v>6</v>
      </c>
      <c r="O1005">
        <v>0</v>
      </c>
      <c r="P1005">
        <v>0</v>
      </c>
      <c r="Q1005">
        <v>206</v>
      </c>
      <c r="R1005">
        <v>0</v>
      </c>
      <c r="S1005">
        <v>24</v>
      </c>
      <c r="T1005">
        <v>51</v>
      </c>
      <c r="U1005">
        <v>94</v>
      </c>
      <c r="V1005">
        <v>0</v>
      </c>
      <c r="W1005">
        <v>750</v>
      </c>
      <c r="X1005">
        <v>0</v>
      </c>
      <c r="Y1005">
        <v>1121</v>
      </c>
      <c r="Z1005">
        <v>0</v>
      </c>
      <c r="AA1005">
        <v>208</v>
      </c>
      <c r="AB1005">
        <v>67</v>
      </c>
      <c r="AC1005">
        <v>171</v>
      </c>
      <c r="AD1005">
        <v>963</v>
      </c>
      <c r="AE1005">
        <v>3449</v>
      </c>
      <c r="AF1005">
        <v>4068</v>
      </c>
      <c r="AJ1005">
        <v>4.08</v>
      </c>
      <c r="AK1005" t="str">
        <f t="shared" si="15"/>
        <v>WP500-5000</v>
      </c>
    </row>
    <row r="1006" spans="1:37">
      <c r="A1006" t="s">
        <v>1825</v>
      </c>
      <c r="B1006" t="s">
        <v>1824</v>
      </c>
      <c r="C1006" t="s">
        <v>1027</v>
      </c>
      <c r="D1006" t="s">
        <v>1782</v>
      </c>
      <c r="E1006">
        <v>43</v>
      </c>
      <c r="F1006">
        <v>14.1</v>
      </c>
      <c r="G1006">
        <v>34</v>
      </c>
      <c r="H1006">
        <v>120</v>
      </c>
      <c r="I1006">
        <v>65</v>
      </c>
      <c r="J1006">
        <v>101</v>
      </c>
      <c r="K1006">
        <v>6762</v>
      </c>
      <c r="L1006">
        <v>11</v>
      </c>
      <c r="M1006">
        <v>0</v>
      </c>
      <c r="N1006">
        <v>29</v>
      </c>
      <c r="O1006">
        <v>0</v>
      </c>
      <c r="P1006">
        <v>0</v>
      </c>
      <c r="Q1006">
        <v>6733</v>
      </c>
      <c r="R1006">
        <v>0</v>
      </c>
      <c r="S1006">
        <v>33</v>
      </c>
      <c r="T1006">
        <v>17</v>
      </c>
      <c r="U1006">
        <v>309</v>
      </c>
      <c r="V1006">
        <v>0</v>
      </c>
      <c r="W1006">
        <v>14</v>
      </c>
      <c r="X1006">
        <v>14</v>
      </c>
      <c r="Y1006">
        <v>412</v>
      </c>
      <c r="Z1006">
        <v>31</v>
      </c>
      <c r="AA1006">
        <v>220</v>
      </c>
      <c r="AB1006">
        <v>149</v>
      </c>
      <c r="AC1006">
        <v>13</v>
      </c>
      <c r="AD1006">
        <v>0</v>
      </c>
      <c r="AE1006">
        <v>1212</v>
      </c>
      <c r="AF1006">
        <v>2950</v>
      </c>
      <c r="AJ1006">
        <v>4.17</v>
      </c>
      <c r="AK1006" t="str">
        <f t="shared" si="15"/>
        <v>WP500-6200</v>
      </c>
    </row>
    <row r="1007" spans="1:37">
      <c r="A1007" t="s">
        <v>1828</v>
      </c>
      <c r="B1007" t="s">
        <v>1827</v>
      </c>
      <c r="C1007" t="s">
        <v>318</v>
      </c>
      <c r="D1007" t="s">
        <v>1422</v>
      </c>
      <c r="E1007">
        <v>50</v>
      </c>
      <c r="F1007">
        <v>10.5</v>
      </c>
      <c r="G1007">
        <v>30</v>
      </c>
      <c r="H1007">
        <v>11</v>
      </c>
      <c r="I1007">
        <v>7</v>
      </c>
      <c r="J1007">
        <v>57</v>
      </c>
      <c r="K1007">
        <v>500</v>
      </c>
      <c r="L1007">
        <v>0</v>
      </c>
      <c r="M1007">
        <v>0</v>
      </c>
      <c r="N1007">
        <v>25</v>
      </c>
      <c r="O1007">
        <v>0</v>
      </c>
      <c r="P1007">
        <v>0</v>
      </c>
      <c r="Q1007">
        <v>475</v>
      </c>
      <c r="R1007">
        <v>0</v>
      </c>
      <c r="S1007">
        <v>21</v>
      </c>
      <c r="T1007">
        <v>0</v>
      </c>
      <c r="U1007">
        <v>13</v>
      </c>
      <c r="V1007">
        <v>0</v>
      </c>
      <c r="W1007">
        <v>8</v>
      </c>
      <c r="X1007">
        <v>0</v>
      </c>
      <c r="Y1007">
        <v>40</v>
      </c>
      <c r="Z1007">
        <v>0</v>
      </c>
      <c r="AA1007">
        <v>0</v>
      </c>
      <c r="AB1007">
        <v>84</v>
      </c>
      <c r="AC1007">
        <v>200</v>
      </c>
      <c r="AD1007">
        <v>315</v>
      </c>
      <c r="AE1007">
        <v>681</v>
      </c>
      <c r="AF1007">
        <v>409</v>
      </c>
      <c r="AJ1007">
        <v>6.67</v>
      </c>
      <c r="AK1007" t="str">
        <f t="shared" si="15"/>
        <v>WT741-5000</v>
      </c>
    </row>
    <row r="1008" spans="1:37">
      <c r="A1008" t="s">
        <v>1829</v>
      </c>
      <c r="B1008" t="s">
        <v>1827</v>
      </c>
      <c r="C1008" t="s">
        <v>318</v>
      </c>
      <c r="D1008" t="s">
        <v>292</v>
      </c>
      <c r="E1008">
        <v>50</v>
      </c>
      <c r="F1008">
        <v>0</v>
      </c>
      <c r="G1008">
        <v>0</v>
      </c>
      <c r="H1008">
        <v>0</v>
      </c>
      <c r="I1008">
        <v>0</v>
      </c>
      <c r="J1008">
        <v>21</v>
      </c>
      <c r="K1008">
        <v>292</v>
      </c>
      <c r="L1008">
        <v>16</v>
      </c>
      <c r="M1008">
        <v>0</v>
      </c>
      <c r="N1008">
        <v>0</v>
      </c>
      <c r="O1008">
        <v>0</v>
      </c>
      <c r="P1008">
        <v>0</v>
      </c>
      <c r="Q1008">
        <v>292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8</v>
      </c>
      <c r="Z1008">
        <v>0</v>
      </c>
      <c r="AA1008">
        <v>71</v>
      </c>
      <c r="AB1008">
        <v>88</v>
      </c>
      <c r="AC1008">
        <v>56</v>
      </c>
      <c r="AD1008">
        <v>30</v>
      </c>
      <c r="AE1008">
        <v>253</v>
      </c>
      <c r="AF1008">
        <v>289</v>
      </c>
      <c r="AJ1008">
        <v>6</v>
      </c>
      <c r="AK1008" t="str">
        <f t="shared" si="15"/>
        <v>WT741-6200</v>
      </c>
    </row>
    <row r="1009" spans="1:37">
      <c r="A1009" t="s">
        <v>1830</v>
      </c>
      <c r="B1009" t="s">
        <v>1831</v>
      </c>
      <c r="C1009" t="s">
        <v>267</v>
      </c>
      <c r="D1009" t="s">
        <v>1782</v>
      </c>
      <c r="E1009">
        <v>43</v>
      </c>
      <c r="F1009">
        <v>2.1</v>
      </c>
      <c r="G1009">
        <v>112</v>
      </c>
      <c r="H1009">
        <v>250</v>
      </c>
      <c r="I1009">
        <v>365</v>
      </c>
      <c r="J1009">
        <v>383</v>
      </c>
      <c r="K1009">
        <v>2224</v>
      </c>
      <c r="L1009">
        <v>71</v>
      </c>
      <c r="M1009">
        <v>0</v>
      </c>
      <c r="N1009">
        <v>93</v>
      </c>
      <c r="O1009">
        <v>0</v>
      </c>
      <c r="P1009">
        <v>355</v>
      </c>
      <c r="Q1009">
        <v>2131</v>
      </c>
      <c r="R1009">
        <v>65</v>
      </c>
      <c r="S1009">
        <v>0</v>
      </c>
      <c r="T1009">
        <v>689</v>
      </c>
      <c r="U1009">
        <v>60</v>
      </c>
      <c r="V1009">
        <v>551</v>
      </c>
      <c r="W1009">
        <v>148</v>
      </c>
      <c r="X1009">
        <v>744</v>
      </c>
      <c r="Y1009">
        <v>606</v>
      </c>
      <c r="Z1009">
        <v>0</v>
      </c>
      <c r="AA1009">
        <v>1493</v>
      </c>
      <c r="AB1009">
        <v>0</v>
      </c>
      <c r="AC1009">
        <v>18</v>
      </c>
      <c r="AD1009">
        <v>291</v>
      </c>
      <c r="AE1009">
        <v>4600</v>
      </c>
      <c r="AF1009">
        <v>3843</v>
      </c>
      <c r="AJ1009">
        <v>4.8099999999999996</v>
      </c>
      <c r="AK1009" t="str">
        <f t="shared" si="15"/>
        <v>WT790-5000</v>
      </c>
    </row>
    <row r="1010" spans="1:37">
      <c r="A1010" t="s">
        <v>1832</v>
      </c>
      <c r="B1010" t="s">
        <v>1831</v>
      </c>
      <c r="C1010" t="s">
        <v>267</v>
      </c>
      <c r="D1010" t="s">
        <v>1782</v>
      </c>
      <c r="E1010">
        <v>43</v>
      </c>
      <c r="F1010">
        <v>5.0999999999999996</v>
      </c>
      <c r="G1010">
        <v>0</v>
      </c>
      <c r="H1010">
        <v>33</v>
      </c>
      <c r="I1010">
        <v>152</v>
      </c>
      <c r="J1010">
        <v>302</v>
      </c>
      <c r="K1010">
        <v>683</v>
      </c>
      <c r="L1010">
        <v>5</v>
      </c>
      <c r="M1010">
        <v>0</v>
      </c>
      <c r="N1010">
        <v>0</v>
      </c>
      <c r="O1010">
        <v>0</v>
      </c>
      <c r="P1010">
        <v>0</v>
      </c>
      <c r="Q1010">
        <v>683</v>
      </c>
      <c r="R1010">
        <v>0</v>
      </c>
      <c r="S1010">
        <v>35</v>
      </c>
      <c r="T1010">
        <v>25</v>
      </c>
      <c r="U1010">
        <v>40</v>
      </c>
      <c r="V1010">
        <v>76</v>
      </c>
      <c r="W1010">
        <v>445</v>
      </c>
      <c r="X1010">
        <v>288</v>
      </c>
      <c r="Y1010">
        <v>481</v>
      </c>
      <c r="Z1010">
        <v>111</v>
      </c>
      <c r="AA1010">
        <v>0</v>
      </c>
      <c r="AB1010">
        <v>582</v>
      </c>
      <c r="AC1010">
        <v>494</v>
      </c>
      <c r="AD1010">
        <v>1049</v>
      </c>
      <c r="AE1010">
        <v>3626</v>
      </c>
      <c r="AF1010">
        <v>2366</v>
      </c>
      <c r="AJ1010">
        <v>4.67</v>
      </c>
      <c r="AK1010" t="str">
        <f t="shared" si="15"/>
        <v>WT790-6200</v>
      </c>
    </row>
    <row r="1011" spans="1:37">
      <c r="A1011" t="s">
        <v>1833</v>
      </c>
      <c r="B1011" t="s">
        <v>1834</v>
      </c>
      <c r="C1011" t="s">
        <v>329</v>
      </c>
      <c r="D1011" t="s">
        <v>1835</v>
      </c>
      <c r="E1011">
        <v>50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2945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2945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909</v>
      </c>
      <c r="AJ1011">
        <v>4.92</v>
      </c>
      <c r="AK1011" t="str">
        <f t="shared" si="15"/>
        <v>WT840-6200</v>
      </c>
    </row>
    <row r="1012" spans="1:37">
      <c r="A1012" t="s">
        <v>1836</v>
      </c>
      <c r="B1012" t="s">
        <v>1837</v>
      </c>
      <c r="C1012" t="s">
        <v>267</v>
      </c>
      <c r="E1012">
        <v>43</v>
      </c>
      <c r="F1012">
        <v>-0.1</v>
      </c>
      <c r="G1012">
        <v>62</v>
      </c>
      <c r="H1012">
        <v>203</v>
      </c>
      <c r="I1012">
        <v>231</v>
      </c>
      <c r="J1012">
        <v>218</v>
      </c>
      <c r="K1012">
        <v>0</v>
      </c>
      <c r="L1012">
        <v>493</v>
      </c>
      <c r="M1012">
        <v>0</v>
      </c>
      <c r="N1012">
        <v>52</v>
      </c>
      <c r="O1012">
        <v>0</v>
      </c>
      <c r="P1012">
        <v>0</v>
      </c>
      <c r="Q1012">
        <v>-52</v>
      </c>
      <c r="R1012">
        <v>56</v>
      </c>
      <c r="S1012">
        <v>321</v>
      </c>
      <c r="T1012">
        <v>0</v>
      </c>
      <c r="U1012">
        <v>287</v>
      </c>
      <c r="V1012">
        <v>108</v>
      </c>
      <c r="W1012">
        <v>64</v>
      </c>
      <c r="X1012">
        <v>608</v>
      </c>
      <c r="Y1012">
        <v>343</v>
      </c>
      <c r="Z1012">
        <v>33</v>
      </c>
      <c r="AA1012">
        <v>258</v>
      </c>
      <c r="AB1012">
        <v>122</v>
      </c>
      <c r="AC1012">
        <v>117</v>
      </c>
      <c r="AD1012">
        <v>359</v>
      </c>
      <c r="AE1012">
        <v>2620</v>
      </c>
      <c r="AF1012">
        <v>4309</v>
      </c>
      <c r="AJ1012">
        <v>6.42</v>
      </c>
      <c r="AK1012" t="str">
        <f t="shared" si="15"/>
        <v>WT850-5000</v>
      </c>
    </row>
    <row r="1013" spans="1:37">
      <c r="A1013" t="s">
        <v>1838</v>
      </c>
      <c r="B1013" t="s">
        <v>1837</v>
      </c>
      <c r="C1013" t="s">
        <v>267</v>
      </c>
      <c r="E1013">
        <v>43</v>
      </c>
      <c r="F1013">
        <v>2</v>
      </c>
      <c r="G1013">
        <v>48</v>
      </c>
      <c r="H1013">
        <v>39</v>
      </c>
      <c r="I1013">
        <v>188</v>
      </c>
      <c r="J1013">
        <v>216</v>
      </c>
      <c r="K1013">
        <v>355</v>
      </c>
      <c r="L1013">
        <v>0</v>
      </c>
      <c r="M1013">
        <v>0</v>
      </c>
      <c r="N1013">
        <v>40</v>
      </c>
      <c r="O1013">
        <v>0</v>
      </c>
      <c r="P1013">
        <v>0</v>
      </c>
      <c r="Q1013">
        <v>315</v>
      </c>
      <c r="R1013">
        <v>0</v>
      </c>
      <c r="S1013">
        <v>43</v>
      </c>
      <c r="T1013">
        <v>74</v>
      </c>
      <c r="U1013">
        <v>0</v>
      </c>
      <c r="V1013">
        <v>0</v>
      </c>
      <c r="W1013">
        <v>0</v>
      </c>
      <c r="X1013">
        <v>1013</v>
      </c>
      <c r="Y1013">
        <v>0</v>
      </c>
      <c r="Z1013">
        <v>212</v>
      </c>
      <c r="AA1013">
        <v>0</v>
      </c>
      <c r="AB1013">
        <v>298</v>
      </c>
      <c r="AC1013">
        <v>568</v>
      </c>
      <c r="AD1013">
        <v>389</v>
      </c>
      <c r="AE1013">
        <v>2597</v>
      </c>
      <c r="AF1013">
        <v>1037</v>
      </c>
      <c r="AJ1013">
        <v>6.04</v>
      </c>
      <c r="AK1013" t="str">
        <f t="shared" si="15"/>
        <v>WT850-6200</v>
      </c>
    </row>
    <row r="1014" spans="1:37">
      <c r="A1014" t="s">
        <v>1839</v>
      </c>
      <c r="B1014" t="s">
        <v>1840</v>
      </c>
      <c r="C1014" t="s">
        <v>338</v>
      </c>
      <c r="D1014" t="s">
        <v>284</v>
      </c>
      <c r="E1014">
        <v>43</v>
      </c>
      <c r="F1014">
        <v>31.4</v>
      </c>
      <c r="G1014">
        <v>22</v>
      </c>
      <c r="H1014">
        <v>21</v>
      </c>
      <c r="I1014">
        <v>36</v>
      </c>
      <c r="J1014">
        <v>36</v>
      </c>
      <c r="K1014">
        <v>2653</v>
      </c>
      <c r="L1014">
        <v>55</v>
      </c>
      <c r="M1014">
        <v>0</v>
      </c>
      <c r="N1014">
        <v>19</v>
      </c>
      <c r="O1014">
        <v>0</v>
      </c>
      <c r="P1014">
        <v>0</v>
      </c>
      <c r="Q1014">
        <v>2634</v>
      </c>
      <c r="R1014">
        <v>21</v>
      </c>
      <c r="S1014">
        <v>13</v>
      </c>
      <c r="T1014">
        <v>29</v>
      </c>
      <c r="U1014">
        <v>21</v>
      </c>
      <c r="V1014">
        <v>11</v>
      </c>
      <c r="W1014">
        <v>92</v>
      </c>
      <c r="X1014">
        <v>52</v>
      </c>
      <c r="Y1014">
        <v>3</v>
      </c>
      <c r="Z1014">
        <v>37</v>
      </c>
      <c r="AA1014">
        <v>0</v>
      </c>
      <c r="AB1014">
        <v>133</v>
      </c>
      <c r="AC1014">
        <v>32</v>
      </c>
      <c r="AD1014">
        <v>8</v>
      </c>
      <c r="AE1014">
        <v>431</v>
      </c>
      <c r="AF1014">
        <v>2632</v>
      </c>
      <c r="AJ1014">
        <v>5.77</v>
      </c>
      <c r="AK1014" t="str">
        <f t="shared" si="15"/>
        <v>WT860-5000</v>
      </c>
    </row>
    <row r="1015" spans="1:37">
      <c r="A1015" t="s">
        <v>1841</v>
      </c>
      <c r="B1015" t="s">
        <v>1840</v>
      </c>
      <c r="C1015" t="s">
        <v>338</v>
      </c>
      <c r="D1015" t="s">
        <v>284</v>
      </c>
      <c r="E1015">
        <v>43</v>
      </c>
      <c r="F1015">
        <v>28.2</v>
      </c>
      <c r="G1015">
        <v>21</v>
      </c>
      <c r="H1015">
        <v>18</v>
      </c>
      <c r="I1015">
        <v>13</v>
      </c>
      <c r="J1015">
        <v>87</v>
      </c>
      <c r="K1015">
        <v>2013</v>
      </c>
      <c r="L1015">
        <v>6</v>
      </c>
      <c r="M1015">
        <v>0</v>
      </c>
      <c r="N1015">
        <v>17</v>
      </c>
      <c r="O1015">
        <v>0</v>
      </c>
      <c r="P1015">
        <v>0</v>
      </c>
      <c r="Q1015">
        <v>1996</v>
      </c>
      <c r="R1015">
        <v>0</v>
      </c>
      <c r="S1015">
        <v>0</v>
      </c>
      <c r="T1015">
        <v>45</v>
      </c>
      <c r="U1015">
        <v>8</v>
      </c>
      <c r="V1015">
        <v>22</v>
      </c>
      <c r="W1015">
        <v>0</v>
      </c>
      <c r="X1015">
        <v>0</v>
      </c>
      <c r="Y1015">
        <v>178</v>
      </c>
      <c r="Z1015">
        <v>6</v>
      </c>
      <c r="AA1015">
        <v>319</v>
      </c>
      <c r="AB1015">
        <v>0</v>
      </c>
      <c r="AC1015">
        <v>67</v>
      </c>
      <c r="AD1015">
        <v>400</v>
      </c>
      <c r="AE1015">
        <v>1045</v>
      </c>
      <c r="AF1015">
        <v>283</v>
      </c>
      <c r="AJ1015">
        <v>5.77</v>
      </c>
      <c r="AK1015" t="str">
        <f t="shared" si="15"/>
        <v>WT860-6200</v>
      </c>
    </row>
    <row r="1016" spans="1:37">
      <c r="A1016" t="s">
        <v>1842</v>
      </c>
      <c r="B1016" t="s">
        <v>1843</v>
      </c>
      <c r="C1016" t="s">
        <v>338</v>
      </c>
      <c r="D1016" t="s">
        <v>284</v>
      </c>
      <c r="E1016">
        <v>43</v>
      </c>
      <c r="F1016">
        <v>21.4</v>
      </c>
      <c r="G1016">
        <v>191</v>
      </c>
      <c r="H1016">
        <v>135</v>
      </c>
      <c r="I1016">
        <v>300</v>
      </c>
      <c r="J1016">
        <v>517</v>
      </c>
      <c r="K1016">
        <v>11681</v>
      </c>
      <c r="L1016">
        <v>630</v>
      </c>
      <c r="M1016">
        <v>0</v>
      </c>
      <c r="N1016">
        <v>159</v>
      </c>
      <c r="O1016">
        <v>0</v>
      </c>
      <c r="P1016">
        <v>0</v>
      </c>
      <c r="Q1016">
        <v>11522</v>
      </c>
      <c r="R1016">
        <v>54</v>
      </c>
      <c r="S1016">
        <v>0</v>
      </c>
      <c r="T1016">
        <v>233</v>
      </c>
      <c r="U1016">
        <v>171</v>
      </c>
      <c r="V1016">
        <v>142</v>
      </c>
      <c r="W1016">
        <v>1130</v>
      </c>
      <c r="X1016">
        <v>126</v>
      </c>
      <c r="Y1016">
        <v>1436</v>
      </c>
      <c r="Z1016">
        <v>520</v>
      </c>
      <c r="AA1016">
        <v>508</v>
      </c>
      <c r="AB1016">
        <v>688</v>
      </c>
      <c r="AC1016">
        <v>1049</v>
      </c>
      <c r="AD1016">
        <v>205</v>
      </c>
      <c r="AE1016">
        <v>6208</v>
      </c>
      <c r="AF1016">
        <v>9173</v>
      </c>
      <c r="AJ1016">
        <v>4.91</v>
      </c>
      <c r="AK1016" t="str">
        <f t="shared" si="15"/>
        <v>WT870-5000</v>
      </c>
    </row>
    <row r="1017" spans="1:37">
      <c r="A1017" t="s">
        <v>1844</v>
      </c>
      <c r="B1017" t="s">
        <v>1843</v>
      </c>
      <c r="C1017" t="s">
        <v>338</v>
      </c>
      <c r="D1017" t="s">
        <v>284</v>
      </c>
      <c r="E1017">
        <v>43</v>
      </c>
      <c r="F1017">
        <v>4.2</v>
      </c>
      <c r="G1017">
        <v>21</v>
      </c>
      <c r="H1017">
        <v>402</v>
      </c>
      <c r="I1017">
        <v>229</v>
      </c>
      <c r="J1017">
        <v>478</v>
      </c>
      <c r="K1017">
        <v>6783</v>
      </c>
      <c r="L1017">
        <v>28</v>
      </c>
      <c r="M1017">
        <v>0</v>
      </c>
      <c r="N1017">
        <v>17</v>
      </c>
      <c r="O1017">
        <v>0</v>
      </c>
      <c r="P1017">
        <v>0</v>
      </c>
      <c r="Q1017">
        <v>6766</v>
      </c>
      <c r="R1017">
        <v>18</v>
      </c>
      <c r="S1017">
        <v>1196</v>
      </c>
      <c r="T1017">
        <v>0</v>
      </c>
      <c r="U1017">
        <v>10</v>
      </c>
      <c r="V1017">
        <v>4</v>
      </c>
      <c r="W1017">
        <v>166</v>
      </c>
      <c r="X1017">
        <v>0</v>
      </c>
      <c r="Y1017">
        <v>1056</v>
      </c>
      <c r="Z1017">
        <v>293</v>
      </c>
      <c r="AA1017">
        <v>775</v>
      </c>
      <c r="AB1017">
        <v>232</v>
      </c>
      <c r="AC1017">
        <v>1207</v>
      </c>
      <c r="AD1017">
        <v>801</v>
      </c>
      <c r="AE1017">
        <v>5740</v>
      </c>
      <c r="AF1017">
        <v>4715</v>
      </c>
      <c r="AJ1017">
        <v>5.77</v>
      </c>
      <c r="AK1017" t="str">
        <f t="shared" si="15"/>
        <v>WT870-6200</v>
      </c>
    </row>
    <row r="1018" spans="1:37">
      <c r="A1018" t="s">
        <v>1845</v>
      </c>
      <c r="B1018" t="s">
        <v>1846</v>
      </c>
      <c r="C1018" t="s">
        <v>338</v>
      </c>
      <c r="D1018" t="s">
        <v>284</v>
      </c>
      <c r="E1018">
        <v>43</v>
      </c>
      <c r="F1018">
        <v>75.2</v>
      </c>
      <c r="G1018">
        <v>11</v>
      </c>
      <c r="H1018">
        <v>19</v>
      </c>
      <c r="I1018">
        <v>10</v>
      </c>
      <c r="J1018">
        <v>5</v>
      </c>
      <c r="K1018">
        <v>5821</v>
      </c>
      <c r="L1018">
        <v>34</v>
      </c>
      <c r="M1018">
        <v>0</v>
      </c>
      <c r="N1018">
        <v>9</v>
      </c>
      <c r="O1018">
        <v>0</v>
      </c>
      <c r="P1018">
        <v>0</v>
      </c>
      <c r="Q1018">
        <v>5812</v>
      </c>
      <c r="R1018">
        <v>0</v>
      </c>
      <c r="S1018">
        <v>0</v>
      </c>
      <c r="T1018">
        <v>58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58</v>
      </c>
      <c r="AF1018">
        <v>5545</v>
      </c>
      <c r="AJ1018">
        <v>6.75</v>
      </c>
      <c r="AK1018" t="str">
        <f t="shared" si="15"/>
        <v>WT880-5000</v>
      </c>
    </row>
    <row r="1019" spans="1:37">
      <c r="A1019" t="s">
        <v>1847</v>
      </c>
      <c r="B1019" t="s">
        <v>1846</v>
      </c>
      <c r="C1019" t="s">
        <v>338</v>
      </c>
      <c r="D1019" t="s">
        <v>284</v>
      </c>
      <c r="E1019">
        <v>43</v>
      </c>
      <c r="F1019">
        <v>24.9</v>
      </c>
      <c r="G1019">
        <v>21</v>
      </c>
      <c r="H1019">
        <v>15</v>
      </c>
      <c r="I1019">
        <v>7</v>
      </c>
      <c r="J1019">
        <v>10</v>
      </c>
      <c r="K1019">
        <v>1480</v>
      </c>
      <c r="L1019">
        <v>0</v>
      </c>
      <c r="M1019">
        <v>0</v>
      </c>
      <c r="N1019">
        <v>17</v>
      </c>
      <c r="O1019">
        <v>0</v>
      </c>
      <c r="P1019">
        <v>0</v>
      </c>
      <c r="Q1019">
        <v>1463</v>
      </c>
      <c r="R1019">
        <v>0</v>
      </c>
      <c r="S1019">
        <v>44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38</v>
      </c>
      <c r="AB1019">
        <v>0</v>
      </c>
      <c r="AC1019">
        <v>27</v>
      </c>
      <c r="AD1019">
        <v>8</v>
      </c>
      <c r="AE1019">
        <v>117</v>
      </c>
      <c r="AF1019">
        <v>176</v>
      </c>
      <c r="AJ1019">
        <v>5.14</v>
      </c>
      <c r="AK1019" t="str">
        <f t="shared" si="15"/>
        <v>WT880-6200</v>
      </c>
    </row>
    <row r="1020" spans="1:37">
      <c r="A1020" t="s">
        <v>1848</v>
      </c>
      <c r="B1020" t="s">
        <v>1849</v>
      </c>
      <c r="C1020" t="s">
        <v>110</v>
      </c>
      <c r="D1020" t="s">
        <v>1850</v>
      </c>
      <c r="E1020">
        <v>43</v>
      </c>
      <c r="F1020">
        <v>26.6</v>
      </c>
      <c r="G1020">
        <v>0</v>
      </c>
      <c r="H1020">
        <v>6</v>
      </c>
      <c r="I1020">
        <v>11</v>
      </c>
      <c r="J1020">
        <v>59</v>
      </c>
      <c r="K1020">
        <v>675</v>
      </c>
      <c r="L1020">
        <v>2</v>
      </c>
      <c r="M1020">
        <v>0</v>
      </c>
      <c r="N1020">
        <v>0</v>
      </c>
      <c r="O1020">
        <v>0</v>
      </c>
      <c r="P1020">
        <v>0</v>
      </c>
      <c r="Q1020">
        <v>675</v>
      </c>
      <c r="R1020">
        <v>0</v>
      </c>
      <c r="S1020">
        <v>9</v>
      </c>
      <c r="T1020">
        <v>0</v>
      </c>
      <c r="U1020">
        <v>10</v>
      </c>
      <c r="V1020">
        <v>0</v>
      </c>
      <c r="W1020">
        <v>0</v>
      </c>
      <c r="X1020">
        <v>48</v>
      </c>
      <c r="Y1020">
        <v>0</v>
      </c>
      <c r="Z1020">
        <v>12</v>
      </c>
      <c r="AA1020">
        <v>222</v>
      </c>
      <c r="AB1020">
        <v>408</v>
      </c>
      <c r="AC1020">
        <v>0</v>
      </c>
      <c r="AD1020">
        <v>0</v>
      </c>
      <c r="AE1020">
        <v>709</v>
      </c>
      <c r="AF1020">
        <v>794</v>
      </c>
      <c r="AJ1020">
        <v>4.6100000000000003</v>
      </c>
      <c r="AK1020" t="str">
        <f t="shared" si="15"/>
        <v>WT890-6200</v>
      </c>
    </row>
    <row r="1021" spans="1:37">
      <c r="A1021" t="s">
        <v>1851</v>
      </c>
      <c r="B1021" t="s">
        <v>1852</v>
      </c>
      <c r="C1021" t="s">
        <v>275</v>
      </c>
      <c r="D1021" t="s">
        <v>306</v>
      </c>
      <c r="E1021">
        <v>43</v>
      </c>
      <c r="F1021">
        <v>5.7</v>
      </c>
      <c r="G1021">
        <v>300</v>
      </c>
      <c r="H1021">
        <v>177</v>
      </c>
      <c r="I1021">
        <v>198</v>
      </c>
      <c r="J1021">
        <v>320</v>
      </c>
      <c r="K1021">
        <v>4290</v>
      </c>
      <c r="L1021">
        <v>410</v>
      </c>
      <c r="M1021">
        <v>0</v>
      </c>
      <c r="N1021">
        <v>250</v>
      </c>
      <c r="O1021">
        <v>0</v>
      </c>
      <c r="P1021">
        <v>0</v>
      </c>
      <c r="Q1021">
        <v>4040</v>
      </c>
      <c r="R1021">
        <v>0</v>
      </c>
      <c r="S1021">
        <v>128</v>
      </c>
      <c r="T1021">
        <v>0</v>
      </c>
      <c r="U1021">
        <v>403</v>
      </c>
      <c r="V1021">
        <v>624</v>
      </c>
      <c r="W1021">
        <v>0</v>
      </c>
      <c r="X1021">
        <v>32</v>
      </c>
      <c r="Y1021">
        <v>188</v>
      </c>
      <c r="Z1021">
        <v>201</v>
      </c>
      <c r="AA1021">
        <v>239</v>
      </c>
      <c r="AB1021">
        <v>341</v>
      </c>
      <c r="AC1021">
        <v>961</v>
      </c>
      <c r="AD1021">
        <v>726</v>
      </c>
      <c r="AE1021">
        <v>3843</v>
      </c>
      <c r="AF1021">
        <v>6467</v>
      </c>
      <c r="AJ1021">
        <v>3.45</v>
      </c>
      <c r="AK1021" t="str">
        <f t="shared" si="15"/>
        <v>WW011-5000</v>
      </c>
    </row>
    <row r="1022" spans="1:37">
      <c r="A1022" t="s">
        <v>1853</v>
      </c>
      <c r="B1022" t="s">
        <v>1852</v>
      </c>
      <c r="C1022" t="s">
        <v>275</v>
      </c>
      <c r="D1022" t="s">
        <v>306</v>
      </c>
      <c r="E1022">
        <v>43</v>
      </c>
      <c r="F1022">
        <v>46.8</v>
      </c>
      <c r="G1022">
        <v>0</v>
      </c>
      <c r="H1022">
        <v>13</v>
      </c>
      <c r="I1022">
        <v>218</v>
      </c>
      <c r="J1022">
        <v>265</v>
      </c>
      <c r="K1022">
        <v>2495</v>
      </c>
      <c r="L1022">
        <v>31</v>
      </c>
      <c r="M1022">
        <v>0</v>
      </c>
      <c r="N1022">
        <v>0</v>
      </c>
      <c r="O1022">
        <v>0</v>
      </c>
      <c r="P1022">
        <v>0</v>
      </c>
      <c r="Q1022">
        <v>2495</v>
      </c>
      <c r="R1022">
        <v>0</v>
      </c>
      <c r="S1022">
        <v>17</v>
      </c>
      <c r="T1022">
        <v>23</v>
      </c>
      <c r="U1022">
        <v>0</v>
      </c>
      <c r="V1022">
        <v>483</v>
      </c>
      <c r="W1022">
        <v>174</v>
      </c>
      <c r="X1022">
        <v>608</v>
      </c>
      <c r="Y1022">
        <v>14</v>
      </c>
      <c r="Z1022">
        <v>556</v>
      </c>
      <c r="AA1022">
        <v>951</v>
      </c>
      <c r="AB1022">
        <v>150</v>
      </c>
      <c r="AC1022">
        <v>81</v>
      </c>
      <c r="AD1022">
        <v>124</v>
      </c>
      <c r="AE1022">
        <v>3181</v>
      </c>
      <c r="AF1022">
        <v>4947</v>
      </c>
      <c r="AJ1022">
        <v>3.45</v>
      </c>
      <c r="AK1022" t="str">
        <f t="shared" si="15"/>
        <v>WW011-6200</v>
      </c>
    </row>
    <row r="1023" spans="1:37">
      <c r="A1023" t="s">
        <v>1854</v>
      </c>
      <c r="B1023" t="s">
        <v>1855</v>
      </c>
      <c r="C1023" t="s">
        <v>110</v>
      </c>
      <c r="D1023" t="s">
        <v>666</v>
      </c>
      <c r="E1023">
        <v>43</v>
      </c>
      <c r="F1023">
        <v>0</v>
      </c>
      <c r="G1023">
        <v>0</v>
      </c>
      <c r="H1023">
        <v>0</v>
      </c>
      <c r="I1023">
        <v>0</v>
      </c>
      <c r="J1023">
        <v>2</v>
      </c>
      <c r="K1023">
        <v>729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729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11</v>
      </c>
      <c r="AA1023">
        <v>13</v>
      </c>
      <c r="AB1023">
        <v>0</v>
      </c>
      <c r="AC1023">
        <v>0</v>
      </c>
      <c r="AD1023">
        <v>0</v>
      </c>
      <c r="AE1023">
        <v>24</v>
      </c>
      <c r="AF1023">
        <v>165</v>
      </c>
      <c r="AJ1023">
        <v>4.1500000000000004</v>
      </c>
      <c r="AK1023" t="str">
        <f t="shared" si="15"/>
        <v>WW020-5000</v>
      </c>
    </row>
    <row r="1024" spans="1:37">
      <c r="A1024" t="s">
        <v>1856</v>
      </c>
      <c r="B1024" t="s">
        <v>1855</v>
      </c>
      <c r="C1024" t="s">
        <v>110</v>
      </c>
      <c r="D1024" t="s">
        <v>666</v>
      </c>
      <c r="E1024">
        <v>43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4205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4205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122</v>
      </c>
      <c r="AJ1024">
        <v>4.25</v>
      </c>
      <c r="AK1024" t="str">
        <f t="shared" si="15"/>
        <v>WW020-6200</v>
      </c>
    </row>
    <row r="1025" spans="1:37">
      <c r="A1025" t="s">
        <v>1857</v>
      </c>
      <c r="B1025" t="s">
        <v>1858</v>
      </c>
      <c r="C1025" t="s">
        <v>1027</v>
      </c>
      <c r="D1025" t="s">
        <v>284</v>
      </c>
      <c r="E1025">
        <v>40</v>
      </c>
      <c r="F1025">
        <v>8.1999999999999993</v>
      </c>
      <c r="G1025">
        <v>50</v>
      </c>
      <c r="H1025">
        <v>54</v>
      </c>
      <c r="I1025">
        <v>58</v>
      </c>
      <c r="J1025">
        <v>62</v>
      </c>
      <c r="K1025">
        <v>1826</v>
      </c>
      <c r="L1025">
        <v>117</v>
      </c>
      <c r="M1025">
        <v>0</v>
      </c>
      <c r="N1025">
        <v>41</v>
      </c>
      <c r="O1025">
        <v>0</v>
      </c>
      <c r="P1025">
        <v>0</v>
      </c>
      <c r="Q1025">
        <v>1785</v>
      </c>
      <c r="R1025">
        <v>0</v>
      </c>
      <c r="S1025">
        <v>98</v>
      </c>
      <c r="T1025">
        <v>0</v>
      </c>
      <c r="U1025">
        <v>65</v>
      </c>
      <c r="V1025">
        <v>139</v>
      </c>
      <c r="W1025">
        <v>43</v>
      </c>
      <c r="X1025">
        <v>0</v>
      </c>
      <c r="Y1025">
        <v>124</v>
      </c>
      <c r="Z1025">
        <v>52</v>
      </c>
      <c r="AA1025">
        <v>138</v>
      </c>
      <c r="AB1025">
        <v>77</v>
      </c>
      <c r="AC1025">
        <v>5</v>
      </c>
      <c r="AD1025">
        <v>0</v>
      </c>
      <c r="AE1025">
        <v>741</v>
      </c>
      <c r="AF1025">
        <v>1759</v>
      </c>
      <c r="AJ1025">
        <v>5.47</v>
      </c>
      <c r="AK1025" t="str">
        <f t="shared" si="15"/>
        <v>WW050-5000</v>
      </c>
    </row>
    <row r="1026" spans="1:37">
      <c r="A1026" t="s">
        <v>1859</v>
      </c>
      <c r="B1026" t="s">
        <v>1858</v>
      </c>
      <c r="C1026" t="s">
        <v>1027</v>
      </c>
      <c r="D1026" t="s">
        <v>284</v>
      </c>
      <c r="E1026">
        <v>40</v>
      </c>
      <c r="F1026">
        <v>5.0999999999999996</v>
      </c>
      <c r="G1026">
        <v>24</v>
      </c>
      <c r="H1026">
        <v>93</v>
      </c>
      <c r="I1026">
        <v>57</v>
      </c>
      <c r="J1026">
        <v>49</v>
      </c>
      <c r="K1026">
        <v>1939</v>
      </c>
      <c r="L1026">
        <v>43</v>
      </c>
      <c r="M1026">
        <v>0</v>
      </c>
      <c r="N1026">
        <v>20</v>
      </c>
      <c r="O1026">
        <v>0</v>
      </c>
      <c r="P1026">
        <v>0</v>
      </c>
      <c r="Q1026">
        <v>1919</v>
      </c>
      <c r="R1026">
        <v>0</v>
      </c>
      <c r="S1026">
        <v>150</v>
      </c>
      <c r="T1026">
        <v>116</v>
      </c>
      <c r="U1026">
        <v>14</v>
      </c>
      <c r="V1026">
        <v>27</v>
      </c>
      <c r="W1026">
        <v>0</v>
      </c>
      <c r="X1026">
        <v>36</v>
      </c>
      <c r="Y1026">
        <v>74</v>
      </c>
      <c r="Z1026">
        <v>51</v>
      </c>
      <c r="AA1026">
        <v>119</v>
      </c>
      <c r="AB1026">
        <v>3</v>
      </c>
      <c r="AC1026">
        <v>0</v>
      </c>
      <c r="AD1026">
        <v>0</v>
      </c>
      <c r="AE1026">
        <v>590</v>
      </c>
      <c r="AF1026">
        <v>445</v>
      </c>
      <c r="AJ1026">
        <v>5.27</v>
      </c>
      <c r="AK1026" t="str">
        <f t="shared" si="15"/>
        <v>WW050-6200</v>
      </c>
    </row>
    <row r="1027" spans="1:37">
      <c r="A1027" t="s">
        <v>1860</v>
      </c>
      <c r="B1027" t="s">
        <v>1861</v>
      </c>
      <c r="C1027" t="s">
        <v>110</v>
      </c>
      <c r="E1027">
        <v>40</v>
      </c>
      <c r="F1027">
        <v>1.2</v>
      </c>
      <c r="G1027">
        <v>1</v>
      </c>
      <c r="H1027">
        <v>238</v>
      </c>
      <c r="I1027">
        <v>130</v>
      </c>
      <c r="J1027">
        <v>130</v>
      </c>
      <c r="K1027">
        <v>1166</v>
      </c>
      <c r="L1027">
        <v>146</v>
      </c>
      <c r="M1027">
        <v>0</v>
      </c>
      <c r="N1027">
        <v>1</v>
      </c>
      <c r="O1027">
        <v>0</v>
      </c>
      <c r="P1027">
        <v>0</v>
      </c>
      <c r="Q1027">
        <v>1165</v>
      </c>
      <c r="R1027">
        <v>0</v>
      </c>
      <c r="S1027">
        <v>0</v>
      </c>
      <c r="T1027">
        <v>422</v>
      </c>
      <c r="U1027">
        <v>291</v>
      </c>
      <c r="V1027">
        <v>0</v>
      </c>
      <c r="W1027">
        <v>0</v>
      </c>
      <c r="X1027">
        <v>66</v>
      </c>
      <c r="Y1027">
        <v>0</v>
      </c>
      <c r="Z1027">
        <v>529</v>
      </c>
      <c r="AA1027">
        <v>149</v>
      </c>
      <c r="AB1027">
        <v>103</v>
      </c>
      <c r="AC1027">
        <v>0</v>
      </c>
      <c r="AD1027">
        <v>0</v>
      </c>
      <c r="AE1027">
        <v>1560</v>
      </c>
      <c r="AF1027">
        <v>13</v>
      </c>
      <c r="AJ1027">
        <v>8.07</v>
      </c>
      <c r="AK1027" t="str">
        <f t="shared" si="15"/>
        <v>WW070-6200</v>
      </c>
    </row>
    <row r="1028" spans="1:37">
      <c r="A1028" t="s">
        <v>1862</v>
      </c>
      <c r="B1028" t="s">
        <v>1863</v>
      </c>
      <c r="C1028" t="s">
        <v>110</v>
      </c>
      <c r="D1028" t="s">
        <v>388</v>
      </c>
      <c r="E1028">
        <v>43</v>
      </c>
      <c r="F1028">
        <v>0.8</v>
      </c>
      <c r="G1028">
        <v>55</v>
      </c>
      <c r="H1028">
        <v>209</v>
      </c>
      <c r="I1028">
        <v>217</v>
      </c>
      <c r="J1028">
        <v>204</v>
      </c>
      <c r="K1028">
        <v>695</v>
      </c>
      <c r="L1028">
        <v>304</v>
      </c>
      <c r="M1028">
        <v>0</v>
      </c>
      <c r="N1028">
        <v>46</v>
      </c>
      <c r="O1028">
        <v>0</v>
      </c>
      <c r="P1028">
        <v>0</v>
      </c>
      <c r="Q1028">
        <v>649</v>
      </c>
      <c r="R1028">
        <v>0</v>
      </c>
      <c r="S1028">
        <v>357</v>
      </c>
      <c r="T1028">
        <v>78</v>
      </c>
      <c r="U1028">
        <v>191</v>
      </c>
      <c r="V1028">
        <v>467</v>
      </c>
      <c r="W1028">
        <v>206</v>
      </c>
      <c r="X1028">
        <v>0</v>
      </c>
      <c r="Y1028">
        <v>338</v>
      </c>
      <c r="Z1028">
        <v>55</v>
      </c>
      <c r="AA1028">
        <v>0</v>
      </c>
      <c r="AB1028">
        <v>26</v>
      </c>
      <c r="AC1028">
        <v>282</v>
      </c>
      <c r="AD1028">
        <v>446</v>
      </c>
      <c r="AE1028">
        <v>2446</v>
      </c>
      <c r="AF1028">
        <v>3300</v>
      </c>
      <c r="AJ1028">
        <v>4.37</v>
      </c>
      <c r="AK1028" t="str">
        <f t="shared" si="15"/>
        <v>WW075-5000</v>
      </c>
    </row>
    <row r="1029" spans="1:37">
      <c r="A1029" t="s">
        <v>1864</v>
      </c>
      <c r="B1029" t="s">
        <v>1863</v>
      </c>
      <c r="C1029" t="s">
        <v>110</v>
      </c>
      <c r="D1029" t="s">
        <v>388</v>
      </c>
      <c r="E1029">
        <v>43</v>
      </c>
      <c r="F1029">
        <v>0.6</v>
      </c>
      <c r="G1029">
        <v>48</v>
      </c>
      <c r="H1029">
        <v>64</v>
      </c>
      <c r="I1029">
        <v>43</v>
      </c>
      <c r="J1029">
        <v>30</v>
      </c>
      <c r="K1029">
        <v>198</v>
      </c>
      <c r="L1029">
        <v>59</v>
      </c>
      <c r="M1029">
        <v>0</v>
      </c>
      <c r="N1029">
        <v>40</v>
      </c>
      <c r="O1029">
        <v>0</v>
      </c>
      <c r="P1029">
        <v>0</v>
      </c>
      <c r="Q1029">
        <v>158</v>
      </c>
      <c r="R1029">
        <v>0</v>
      </c>
      <c r="S1029">
        <v>108</v>
      </c>
      <c r="T1029">
        <v>10</v>
      </c>
      <c r="U1029">
        <v>75</v>
      </c>
      <c r="V1029">
        <v>67</v>
      </c>
      <c r="W1029">
        <v>0</v>
      </c>
      <c r="X1029">
        <v>0</v>
      </c>
      <c r="Y1029">
        <v>0</v>
      </c>
      <c r="Z1029">
        <v>0</v>
      </c>
      <c r="AA1029">
        <v>40</v>
      </c>
      <c r="AB1029">
        <v>0</v>
      </c>
      <c r="AC1029">
        <v>0</v>
      </c>
      <c r="AD1029">
        <v>65</v>
      </c>
      <c r="AE1029">
        <v>365</v>
      </c>
      <c r="AF1029">
        <v>564</v>
      </c>
      <c r="AJ1029">
        <v>4.37</v>
      </c>
      <c r="AK1029" t="str">
        <f t="shared" ref="AK1029:AK1092" si="16">MID(A1029,4,10)</f>
        <v>WW075-6200</v>
      </c>
    </row>
    <row r="1030" spans="1:37">
      <c r="A1030" t="s">
        <v>1865</v>
      </c>
      <c r="B1030" t="s">
        <v>1866</v>
      </c>
      <c r="C1030" t="s">
        <v>1027</v>
      </c>
      <c r="D1030" t="s">
        <v>1867</v>
      </c>
      <c r="E1030">
        <v>40</v>
      </c>
      <c r="F1030">
        <v>0.1</v>
      </c>
      <c r="G1030">
        <v>25</v>
      </c>
      <c r="H1030">
        <v>207</v>
      </c>
      <c r="I1030">
        <v>281</v>
      </c>
      <c r="J1030">
        <v>240</v>
      </c>
      <c r="K1030">
        <v>115</v>
      </c>
      <c r="L1030">
        <v>107</v>
      </c>
      <c r="M1030">
        <v>0</v>
      </c>
      <c r="N1030">
        <v>21</v>
      </c>
      <c r="O1030">
        <v>0</v>
      </c>
      <c r="P1030">
        <v>0</v>
      </c>
      <c r="Q1030">
        <v>94</v>
      </c>
      <c r="R1030">
        <v>0</v>
      </c>
      <c r="S1030">
        <v>0</v>
      </c>
      <c r="T1030">
        <v>199</v>
      </c>
      <c r="U1030">
        <v>422</v>
      </c>
      <c r="V1030">
        <v>68</v>
      </c>
      <c r="W1030">
        <v>211</v>
      </c>
      <c r="X1030">
        <v>788</v>
      </c>
      <c r="Y1030">
        <v>195</v>
      </c>
      <c r="Z1030">
        <v>103</v>
      </c>
      <c r="AA1030">
        <v>518</v>
      </c>
      <c r="AB1030">
        <v>365</v>
      </c>
      <c r="AC1030">
        <v>0</v>
      </c>
      <c r="AD1030">
        <v>8</v>
      </c>
      <c r="AE1030">
        <v>2877</v>
      </c>
      <c r="AF1030">
        <v>2613</v>
      </c>
      <c r="AJ1030">
        <v>4.38</v>
      </c>
      <c r="AK1030" t="str">
        <f t="shared" si="16"/>
        <v>WW120-5000</v>
      </c>
    </row>
    <row r="1031" spans="1:37">
      <c r="A1031" t="s">
        <v>1868</v>
      </c>
      <c r="B1031" t="s">
        <v>1866</v>
      </c>
      <c r="C1031" t="s">
        <v>1027</v>
      </c>
      <c r="D1031" t="s">
        <v>1867</v>
      </c>
      <c r="E1031">
        <v>40</v>
      </c>
      <c r="F1031">
        <v>1.1000000000000001</v>
      </c>
      <c r="G1031">
        <v>0</v>
      </c>
      <c r="H1031">
        <v>1089</v>
      </c>
      <c r="I1031">
        <v>578</v>
      </c>
      <c r="J1031">
        <v>489</v>
      </c>
      <c r="K1031">
        <v>4951</v>
      </c>
      <c r="L1031">
        <v>29</v>
      </c>
      <c r="M1031">
        <v>0</v>
      </c>
      <c r="N1031">
        <v>0</v>
      </c>
      <c r="O1031">
        <v>0</v>
      </c>
      <c r="P1031">
        <v>0</v>
      </c>
      <c r="Q1031">
        <v>4951</v>
      </c>
      <c r="R1031">
        <v>1322</v>
      </c>
      <c r="S1031">
        <v>886</v>
      </c>
      <c r="T1031">
        <v>2299</v>
      </c>
      <c r="U1031">
        <v>83</v>
      </c>
      <c r="V1031">
        <v>42</v>
      </c>
      <c r="W1031">
        <v>68</v>
      </c>
      <c r="X1031">
        <v>91</v>
      </c>
      <c r="Y1031">
        <v>1239</v>
      </c>
      <c r="Z1031">
        <v>173</v>
      </c>
      <c r="AA1031">
        <v>698</v>
      </c>
      <c r="AB1031">
        <v>165</v>
      </c>
      <c r="AC1031">
        <v>86</v>
      </c>
      <c r="AD1031">
        <v>34</v>
      </c>
      <c r="AE1031">
        <v>5864</v>
      </c>
      <c r="AF1031">
        <v>6635</v>
      </c>
      <c r="AJ1031">
        <v>4.38</v>
      </c>
      <c r="AK1031" t="str">
        <f t="shared" si="16"/>
        <v>WW120-6200</v>
      </c>
    </row>
    <row r="1032" spans="1:37">
      <c r="A1032" t="s">
        <v>1869</v>
      </c>
      <c r="B1032" t="s">
        <v>1870</v>
      </c>
      <c r="C1032" t="s">
        <v>1027</v>
      </c>
      <c r="D1032" t="s">
        <v>1782</v>
      </c>
      <c r="E1032">
        <v>43</v>
      </c>
      <c r="F1032">
        <v>-0.1</v>
      </c>
      <c r="G1032">
        <v>379</v>
      </c>
      <c r="H1032">
        <v>270</v>
      </c>
      <c r="I1032">
        <v>449</v>
      </c>
      <c r="J1032">
        <v>357</v>
      </c>
      <c r="K1032">
        <v>244</v>
      </c>
      <c r="L1032">
        <v>225</v>
      </c>
      <c r="M1032">
        <v>0</v>
      </c>
      <c r="N1032">
        <v>316</v>
      </c>
      <c r="O1032">
        <v>0</v>
      </c>
      <c r="P1032">
        <v>0</v>
      </c>
      <c r="Q1032">
        <v>-72</v>
      </c>
      <c r="R1032">
        <v>49</v>
      </c>
      <c r="S1032">
        <v>217</v>
      </c>
      <c r="T1032">
        <v>104</v>
      </c>
      <c r="U1032">
        <v>490</v>
      </c>
      <c r="V1032">
        <v>33</v>
      </c>
      <c r="W1032">
        <v>1169</v>
      </c>
      <c r="X1032">
        <v>679</v>
      </c>
      <c r="Y1032">
        <v>413</v>
      </c>
      <c r="Z1032">
        <v>254</v>
      </c>
      <c r="AA1032">
        <v>268</v>
      </c>
      <c r="AB1032">
        <v>352</v>
      </c>
      <c r="AC1032">
        <v>130</v>
      </c>
      <c r="AD1032">
        <v>174</v>
      </c>
      <c r="AE1032">
        <v>4283</v>
      </c>
      <c r="AF1032">
        <v>4337</v>
      </c>
      <c r="AJ1032">
        <v>5.83</v>
      </c>
      <c r="AK1032" t="str">
        <f t="shared" si="16"/>
        <v>WW160-5000</v>
      </c>
    </row>
    <row r="1033" spans="1:37">
      <c r="A1033" t="s">
        <v>1871</v>
      </c>
      <c r="B1033" t="s">
        <v>1870</v>
      </c>
      <c r="C1033" t="s">
        <v>1027</v>
      </c>
      <c r="D1033" t="s">
        <v>1782</v>
      </c>
      <c r="E1033">
        <v>43</v>
      </c>
      <c r="F1033">
        <v>5.7</v>
      </c>
      <c r="G1033">
        <v>9</v>
      </c>
      <c r="H1033">
        <v>92</v>
      </c>
      <c r="I1033">
        <v>73</v>
      </c>
      <c r="J1033">
        <v>100</v>
      </c>
      <c r="K1033">
        <v>2094</v>
      </c>
      <c r="L1033">
        <v>32</v>
      </c>
      <c r="M1033">
        <v>0</v>
      </c>
      <c r="N1033">
        <v>8</v>
      </c>
      <c r="O1033">
        <v>0</v>
      </c>
      <c r="P1033">
        <v>0</v>
      </c>
      <c r="Q1033">
        <v>2086</v>
      </c>
      <c r="R1033">
        <v>0</v>
      </c>
      <c r="S1033">
        <v>0</v>
      </c>
      <c r="T1033">
        <v>276</v>
      </c>
      <c r="U1033">
        <v>0</v>
      </c>
      <c r="V1033">
        <v>44</v>
      </c>
      <c r="W1033">
        <v>120</v>
      </c>
      <c r="X1033">
        <v>0</v>
      </c>
      <c r="Y1033">
        <v>115</v>
      </c>
      <c r="Z1033">
        <v>101</v>
      </c>
      <c r="AA1033">
        <v>166</v>
      </c>
      <c r="AB1033">
        <v>148</v>
      </c>
      <c r="AC1033">
        <v>137</v>
      </c>
      <c r="AD1033">
        <v>93</v>
      </c>
      <c r="AE1033">
        <v>1200</v>
      </c>
      <c r="AF1033">
        <v>1963</v>
      </c>
      <c r="AJ1033">
        <v>5.05</v>
      </c>
      <c r="AK1033" t="str">
        <f t="shared" si="16"/>
        <v>WW160-6200</v>
      </c>
    </row>
    <row r="1034" spans="1:37">
      <c r="A1034" t="s">
        <v>1872</v>
      </c>
      <c r="B1034" t="s">
        <v>1873</v>
      </c>
      <c r="C1034" t="s">
        <v>1027</v>
      </c>
      <c r="D1034" t="s">
        <v>1782</v>
      </c>
      <c r="E1034">
        <v>43</v>
      </c>
      <c r="F1034">
        <v>6.2</v>
      </c>
      <c r="G1034">
        <v>16</v>
      </c>
      <c r="H1034">
        <v>27</v>
      </c>
      <c r="I1034">
        <v>92</v>
      </c>
      <c r="J1034">
        <v>54</v>
      </c>
      <c r="K1034">
        <v>678</v>
      </c>
      <c r="L1034">
        <v>3</v>
      </c>
      <c r="M1034">
        <v>0</v>
      </c>
      <c r="N1034">
        <v>13</v>
      </c>
      <c r="O1034">
        <v>0</v>
      </c>
      <c r="P1034">
        <v>0</v>
      </c>
      <c r="Q1034">
        <v>665</v>
      </c>
      <c r="R1034">
        <v>0</v>
      </c>
      <c r="S1034">
        <v>23</v>
      </c>
      <c r="T1034">
        <v>0</v>
      </c>
      <c r="U1034">
        <v>57</v>
      </c>
      <c r="V1034">
        <v>7</v>
      </c>
      <c r="W1034">
        <v>63</v>
      </c>
      <c r="X1034">
        <v>399</v>
      </c>
      <c r="Y1034">
        <v>76</v>
      </c>
      <c r="Z1034">
        <v>27</v>
      </c>
      <c r="AA1034">
        <v>0</v>
      </c>
      <c r="AB1034">
        <v>0</v>
      </c>
      <c r="AC1034">
        <v>0</v>
      </c>
      <c r="AD1034">
        <v>0</v>
      </c>
      <c r="AE1034">
        <v>652</v>
      </c>
      <c r="AF1034">
        <v>2174</v>
      </c>
      <c r="AJ1034">
        <v>5.13</v>
      </c>
      <c r="AK1034" t="str">
        <f t="shared" si="16"/>
        <v>WW185-5000</v>
      </c>
    </row>
    <row r="1035" spans="1:37">
      <c r="A1035" t="s">
        <v>1874</v>
      </c>
      <c r="B1035" t="s">
        <v>1873</v>
      </c>
      <c r="C1035" t="s">
        <v>1027</v>
      </c>
      <c r="D1035" t="s">
        <v>1782</v>
      </c>
      <c r="E1035">
        <v>43</v>
      </c>
      <c r="F1035">
        <v>0.1</v>
      </c>
      <c r="G1035">
        <v>388</v>
      </c>
      <c r="H1035">
        <v>586</v>
      </c>
      <c r="I1035">
        <v>334</v>
      </c>
      <c r="J1035">
        <v>406</v>
      </c>
      <c r="K1035">
        <v>465</v>
      </c>
      <c r="L1035">
        <v>142</v>
      </c>
      <c r="M1035">
        <v>0</v>
      </c>
      <c r="N1035">
        <v>324</v>
      </c>
      <c r="O1035">
        <v>0</v>
      </c>
      <c r="P1035">
        <v>0</v>
      </c>
      <c r="Q1035">
        <v>141</v>
      </c>
      <c r="R1035">
        <v>0</v>
      </c>
      <c r="S1035">
        <v>870</v>
      </c>
      <c r="T1035">
        <v>889</v>
      </c>
      <c r="U1035">
        <v>0</v>
      </c>
      <c r="V1035">
        <v>163</v>
      </c>
      <c r="W1035">
        <v>79</v>
      </c>
      <c r="X1035">
        <v>0</v>
      </c>
      <c r="Y1035">
        <v>998</v>
      </c>
      <c r="Z1035">
        <v>178</v>
      </c>
      <c r="AA1035">
        <v>836</v>
      </c>
      <c r="AB1035">
        <v>495</v>
      </c>
      <c r="AC1035">
        <v>369</v>
      </c>
      <c r="AD1035">
        <v>0</v>
      </c>
      <c r="AE1035">
        <v>4877</v>
      </c>
      <c r="AF1035">
        <v>2557</v>
      </c>
      <c r="AJ1035">
        <v>4.67</v>
      </c>
      <c r="AK1035" t="str">
        <f t="shared" si="16"/>
        <v>WW185-6200</v>
      </c>
    </row>
    <row r="1036" spans="1:37">
      <c r="A1036" t="s">
        <v>1875</v>
      </c>
      <c r="B1036" t="s">
        <v>1876</v>
      </c>
      <c r="C1036" t="s">
        <v>1027</v>
      </c>
      <c r="D1036" t="s">
        <v>1877</v>
      </c>
      <c r="E1036">
        <v>43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5758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5758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6</v>
      </c>
      <c r="AJ1036">
        <v>4.5999999999999996</v>
      </c>
      <c r="AK1036" t="str">
        <f t="shared" si="16"/>
        <v>WW210-5000</v>
      </c>
    </row>
    <row r="1037" spans="1:37">
      <c r="A1037" t="s">
        <v>1878</v>
      </c>
      <c r="B1037" t="s">
        <v>1876</v>
      </c>
      <c r="C1037" t="s">
        <v>1027</v>
      </c>
      <c r="D1037" t="s">
        <v>1877</v>
      </c>
      <c r="E1037">
        <v>43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2099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2099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J1037">
        <v>4.5999999999999996</v>
      </c>
      <c r="AK1037" t="str">
        <f t="shared" si="16"/>
        <v>WW210-6200</v>
      </c>
    </row>
    <row r="1038" spans="1:37">
      <c r="A1038" t="s">
        <v>1879</v>
      </c>
      <c r="B1038" t="s">
        <v>1880</v>
      </c>
      <c r="C1038" t="s">
        <v>1514</v>
      </c>
      <c r="E1038">
        <v>50</v>
      </c>
      <c r="F1038">
        <v>6.5</v>
      </c>
      <c r="G1038">
        <v>0</v>
      </c>
      <c r="H1038">
        <v>26</v>
      </c>
      <c r="I1038">
        <v>13</v>
      </c>
      <c r="J1038">
        <v>20</v>
      </c>
      <c r="K1038">
        <v>683</v>
      </c>
      <c r="L1038">
        <v>19</v>
      </c>
      <c r="M1038">
        <v>0</v>
      </c>
      <c r="N1038">
        <v>0</v>
      </c>
      <c r="O1038">
        <v>0</v>
      </c>
      <c r="P1038">
        <v>0</v>
      </c>
      <c r="Q1038">
        <v>683</v>
      </c>
      <c r="R1038">
        <v>0</v>
      </c>
      <c r="S1038">
        <v>0</v>
      </c>
      <c r="T1038">
        <v>0</v>
      </c>
      <c r="U1038">
        <v>79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61</v>
      </c>
      <c r="AC1038">
        <v>75</v>
      </c>
      <c r="AD1038">
        <v>21</v>
      </c>
      <c r="AE1038">
        <v>236</v>
      </c>
      <c r="AF1038">
        <v>85</v>
      </c>
      <c r="AJ1038">
        <v>5</v>
      </c>
      <c r="AK1038" t="str">
        <f t="shared" si="16"/>
        <v>WW220-6200</v>
      </c>
    </row>
    <row r="1039" spans="1:37">
      <c r="A1039" t="s">
        <v>1881</v>
      </c>
      <c r="B1039" t="s">
        <v>1882</v>
      </c>
      <c r="C1039" t="s">
        <v>1514</v>
      </c>
      <c r="E1039">
        <v>50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248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248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47</v>
      </c>
      <c r="AJ1039">
        <v>0</v>
      </c>
      <c r="AK1039" t="str">
        <f t="shared" si="16"/>
        <v>WW260-6200</v>
      </c>
    </row>
    <row r="1040" spans="1:37">
      <c r="A1040" t="s">
        <v>1883</v>
      </c>
      <c r="B1040" t="s">
        <v>1884</v>
      </c>
      <c r="C1040" t="s">
        <v>1514</v>
      </c>
      <c r="E1040">
        <v>43</v>
      </c>
      <c r="F1040">
        <v>0</v>
      </c>
      <c r="G1040">
        <v>0</v>
      </c>
      <c r="H1040">
        <v>0</v>
      </c>
      <c r="I1040">
        <v>0</v>
      </c>
      <c r="J1040">
        <v>9</v>
      </c>
      <c r="K1040">
        <v>391</v>
      </c>
      <c r="L1040">
        <v>4</v>
      </c>
      <c r="M1040">
        <v>0</v>
      </c>
      <c r="N1040">
        <v>0</v>
      </c>
      <c r="O1040">
        <v>0</v>
      </c>
      <c r="P1040">
        <v>0</v>
      </c>
      <c r="Q1040">
        <v>391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105</v>
      </c>
      <c r="AC1040">
        <v>0</v>
      </c>
      <c r="AD1040">
        <v>0</v>
      </c>
      <c r="AE1040">
        <v>105</v>
      </c>
      <c r="AF1040">
        <v>0</v>
      </c>
      <c r="AJ1040">
        <v>5</v>
      </c>
      <c r="AK1040" t="str">
        <f t="shared" si="16"/>
        <v>WW270-6200</v>
      </c>
    </row>
    <row r="1041" spans="1:37">
      <c r="A1041" t="s">
        <v>1885</v>
      </c>
      <c r="B1041" t="s">
        <v>1886</v>
      </c>
      <c r="C1041" t="s">
        <v>1514</v>
      </c>
      <c r="E1041">
        <v>43</v>
      </c>
      <c r="F1041">
        <v>0</v>
      </c>
      <c r="G1041">
        <v>0</v>
      </c>
      <c r="H1041">
        <v>0</v>
      </c>
      <c r="I1041">
        <v>0</v>
      </c>
      <c r="J1041">
        <v>8</v>
      </c>
      <c r="K1041">
        <v>406</v>
      </c>
      <c r="L1041">
        <v>3</v>
      </c>
      <c r="M1041">
        <v>0</v>
      </c>
      <c r="N1041">
        <v>0</v>
      </c>
      <c r="O1041">
        <v>0</v>
      </c>
      <c r="P1041">
        <v>0</v>
      </c>
      <c r="Q1041">
        <v>406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96</v>
      </c>
      <c r="AC1041">
        <v>0</v>
      </c>
      <c r="AD1041">
        <v>0</v>
      </c>
      <c r="AE1041">
        <v>96</v>
      </c>
      <c r="AF1041">
        <v>0</v>
      </c>
      <c r="AJ1041">
        <v>5</v>
      </c>
      <c r="AK1041" t="str">
        <f t="shared" si="16"/>
        <v>WW290-6200</v>
      </c>
    </row>
    <row r="1042" spans="1:37">
      <c r="A1042" t="s">
        <v>1887</v>
      </c>
      <c r="B1042" t="s">
        <v>1888</v>
      </c>
      <c r="C1042" t="s">
        <v>1514</v>
      </c>
      <c r="E1042">
        <v>50</v>
      </c>
      <c r="F1042">
        <v>0</v>
      </c>
      <c r="G1042">
        <v>0</v>
      </c>
      <c r="H1042">
        <v>0</v>
      </c>
      <c r="I1042">
        <v>0</v>
      </c>
      <c r="J1042">
        <v>2</v>
      </c>
      <c r="K1042">
        <v>198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198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25</v>
      </c>
      <c r="AB1042">
        <v>0</v>
      </c>
      <c r="AC1042">
        <v>0</v>
      </c>
      <c r="AD1042">
        <v>0</v>
      </c>
      <c r="AE1042">
        <v>25</v>
      </c>
      <c r="AF1042">
        <v>64</v>
      </c>
      <c r="AJ1042">
        <v>0</v>
      </c>
      <c r="AK1042" t="str">
        <f t="shared" si="16"/>
        <v>WW410-6200</v>
      </c>
    </row>
    <row r="1043" spans="1:37">
      <c r="A1043" t="s">
        <v>1889</v>
      </c>
      <c r="B1043" t="s">
        <v>1890</v>
      </c>
      <c r="C1043" t="s">
        <v>1514</v>
      </c>
      <c r="E1043">
        <v>50</v>
      </c>
      <c r="F1043">
        <v>0</v>
      </c>
      <c r="G1043">
        <v>0</v>
      </c>
      <c r="H1043">
        <v>0</v>
      </c>
      <c r="I1043">
        <v>7</v>
      </c>
      <c r="J1043">
        <v>6</v>
      </c>
      <c r="K1043">
        <v>384</v>
      </c>
      <c r="L1043">
        <v>4</v>
      </c>
      <c r="M1043">
        <v>0</v>
      </c>
      <c r="N1043">
        <v>0</v>
      </c>
      <c r="O1043">
        <v>0</v>
      </c>
      <c r="P1043">
        <v>0</v>
      </c>
      <c r="Q1043">
        <v>384</v>
      </c>
      <c r="R1043">
        <v>0</v>
      </c>
      <c r="S1043">
        <v>0</v>
      </c>
      <c r="T1043">
        <v>0</v>
      </c>
      <c r="U1043">
        <v>0</v>
      </c>
      <c r="V1043">
        <v>39</v>
      </c>
      <c r="W1043">
        <v>0</v>
      </c>
      <c r="X1043">
        <v>0</v>
      </c>
      <c r="Y1043">
        <v>0</v>
      </c>
      <c r="Z1043">
        <v>29</v>
      </c>
      <c r="AA1043">
        <v>0</v>
      </c>
      <c r="AB1043">
        <v>0</v>
      </c>
      <c r="AC1043">
        <v>0</v>
      </c>
      <c r="AD1043">
        <v>0</v>
      </c>
      <c r="AE1043">
        <v>68</v>
      </c>
      <c r="AF1043">
        <v>0</v>
      </c>
      <c r="AJ1043">
        <v>5</v>
      </c>
      <c r="AK1043" t="str">
        <f t="shared" si="16"/>
        <v>WW470-6200</v>
      </c>
    </row>
    <row r="1044" spans="1:37">
      <c r="A1044" t="s">
        <v>1891</v>
      </c>
      <c r="B1044" t="s">
        <v>1892</v>
      </c>
      <c r="C1044" t="s">
        <v>329</v>
      </c>
      <c r="D1044" t="s">
        <v>1422</v>
      </c>
      <c r="E1044">
        <v>50</v>
      </c>
      <c r="F1044">
        <v>2.4</v>
      </c>
      <c r="G1044">
        <v>90</v>
      </c>
      <c r="H1044">
        <v>179</v>
      </c>
      <c r="I1044">
        <v>110</v>
      </c>
      <c r="J1044">
        <v>71</v>
      </c>
      <c r="K1044">
        <v>1821</v>
      </c>
      <c r="L1044">
        <v>23</v>
      </c>
      <c r="M1044">
        <v>0</v>
      </c>
      <c r="N1044">
        <v>75</v>
      </c>
      <c r="O1044">
        <v>0</v>
      </c>
      <c r="P1044">
        <v>0</v>
      </c>
      <c r="Q1044">
        <v>1746</v>
      </c>
      <c r="R1044">
        <v>0</v>
      </c>
      <c r="S1044">
        <v>123</v>
      </c>
      <c r="T1044">
        <v>357</v>
      </c>
      <c r="U1044">
        <v>56</v>
      </c>
      <c r="V1044">
        <v>59</v>
      </c>
      <c r="W1044">
        <v>0</v>
      </c>
      <c r="X1044">
        <v>64</v>
      </c>
      <c r="Y1044">
        <v>19</v>
      </c>
      <c r="Z1044">
        <v>62</v>
      </c>
      <c r="AA1044">
        <v>0</v>
      </c>
      <c r="AB1044">
        <v>60</v>
      </c>
      <c r="AC1044">
        <v>0</v>
      </c>
      <c r="AD1044">
        <v>56</v>
      </c>
      <c r="AE1044">
        <v>856</v>
      </c>
      <c r="AF1044">
        <v>2892</v>
      </c>
      <c r="AJ1044">
        <v>4.2</v>
      </c>
      <c r="AK1044" t="str">
        <f t="shared" si="16"/>
        <v>WW561-5000</v>
      </c>
    </row>
    <row r="1045" spans="1:37">
      <c r="A1045" t="s">
        <v>1893</v>
      </c>
      <c r="B1045" t="s">
        <v>1892</v>
      </c>
      <c r="C1045" t="s">
        <v>329</v>
      </c>
      <c r="D1045" t="s">
        <v>292</v>
      </c>
      <c r="E1045">
        <v>50</v>
      </c>
      <c r="F1045">
        <v>2.1</v>
      </c>
      <c r="G1045">
        <v>0</v>
      </c>
      <c r="H1045">
        <v>49</v>
      </c>
      <c r="I1045">
        <v>35</v>
      </c>
      <c r="J1045">
        <v>27</v>
      </c>
      <c r="K1045">
        <v>422</v>
      </c>
      <c r="L1045">
        <v>16</v>
      </c>
      <c r="M1045">
        <v>0</v>
      </c>
      <c r="N1045">
        <v>0</v>
      </c>
      <c r="O1045">
        <v>0</v>
      </c>
      <c r="P1045">
        <v>0</v>
      </c>
      <c r="Q1045">
        <v>422</v>
      </c>
      <c r="R1045">
        <v>0</v>
      </c>
      <c r="S1045">
        <v>82</v>
      </c>
      <c r="T1045">
        <v>66</v>
      </c>
      <c r="U1045">
        <v>0</v>
      </c>
      <c r="V1045">
        <v>47</v>
      </c>
      <c r="W1045">
        <v>0</v>
      </c>
      <c r="X1045">
        <v>17</v>
      </c>
      <c r="Y1045">
        <v>0</v>
      </c>
      <c r="Z1045">
        <v>0</v>
      </c>
      <c r="AA1045">
        <v>0</v>
      </c>
      <c r="AB1045">
        <v>0</v>
      </c>
      <c r="AC1045">
        <v>117</v>
      </c>
      <c r="AD1045">
        <v>0</v>
      </c>
      <c r="AE1045">
        <v>329</v>
      </c>
      <c r="AF1045">
        <v>378</v>
      </c>
      <c r="AJ1045">
        <v>4.63</v>
      </c>
      <c r="AK1045" t="str">
        <f t="shared" si="16"/>
        <v>WW561-6200</v>
      </c>
    </row>
    <row r="1046" spans="1:37">
      <c r="A1046" t="s">
        <v>1894</v>
      </c>
      <c r="B1046" t="s">
        <v>1895</v>
      </c>
      <c r="C1046" t="s">
        <v>110</v>
      </c>
      <c r="D1046" t="s">
        <v>292</v>
      </c>
      <c r="E1046">
        <v>50</v>
      </c>
      <c r="F1046">
        <v>0.3</v>
      </c>
      <c r="G1046">
        <v>33</v>
      </c>
      <c r="H1046">
        <v>56</v>
      </c>
      <c r="I1046">
        <v>38</v>
      </c>
      <c r="J1046">
        <v>71</v>
      </c>
      <c r="K1046">
        <v>91</v>
      </c>
      <c r="L1046">
        <v>136</v>
      </c>
      <c r="M1046">
        <v>0</v>
      </c>
      <c r="N1046">
        <v>27</v>
      </c>
      <c r="O1046">
        <v>0</v>
      </c>
      <c r="P1046">
        <v>0</v>
      </c>
      <c r="Q1046">
        <v>64</v>
      </c>
      <c r="R1046">
        <v>0</v>
      </c>
      <c r="S1046">
        <v>168</v>
      </c>
      <c r="T1046">
        <v>0</v>
      </c>
      <c r="U1046">
        <v>0</v>
      </c>
      <c r="V1046">
        <v>60</v>
      </c>
      <c r="W1046">
        <v>0</v>
      </c>
      <c r="X1046">
        <v>0</v>
      </c>
      <c r="Y1046">
        <v>226</v>
      </c>
      <c r="Z1046">
        <v>0</v>
      </c>
      <c r="AA1046">
        <v>194</v>
      </c>
      <c r="AB1046">
        <v>204</v>
      </c>
      <c r="AC1046">
        <v>0</v>
      </c>
      <c r="AD1046">
        <v>0</v>
      </c>
      <c r="AE1046">
        <v>852</v>
      </c>
      <c r="AF1046">
        <v>487</v>
      </c>
      <c r="AJ1046">
        <v>4.6100000000000003</v>
      </c>
      <c r="AK1046" t="str">
        <f t="shared" si="16"/>
        <v>WW601-5000</v>
      </c>
    </row>
    <row r="1047" spans="1:37">
      <c r="A1047" t="s">
        <v>1896</v>
      </c>
      <c r="B1047" t="s">
        <v>1895</v>
      </c>
      <c r="C1047" t="s">
        <v>110</v>
      </c>
      <c r="D1047" t="s">
        <v>292</v>
      </c>
      <c r="E1047">
        <v>50</v>
      </c>
      <c r="F1047">
        <v>1.6</v>
      </c>
      <c r="G1047">
        <v>88</v>
      </c>
      <c r="H1047">
        <v>33</v>
      </c>
      <c r="I1047">
        <v>127</v>
      </c>
      <c r="J1047">
        <v>122</v>
      </c>
      <c r="K1047">
        <v>288</v>
      </c>
      <c r="L1047">
        <v>5</v>
      </c>
      <c r="M1047">
        <v>0</v>
      </c>
      <c r="N1047">
        <v>73</v>
      </c>
      <c r="O1047">
        <v>0</v>
      </c>
      <c r="P1047">
        <v>0</v>
      </c>
      <c r="Q1047">
        <v>215</v>
      </c>
      <c r="R1047">
        <v>0</v>
      </c>
      <c r="S1047">
        <v>27</v>
      </c>
      <c r="T1047">
        <v>50</v>
      </c>
      <c r="U1047">
        <v>23</v>
      </c>
      <c r="V1047">
        <v>23</v>
      </c>
      <c r="W1047">
        <v>0</v>
      </c>
      <c r="X1047">
        <v>639</v>
      </c>
      <c r="Y1047">
        <v>206</v>
      </c>
      <c r="Z1047">
        <v>28</v>
      </c>
      <c r="AA1047">
        <v>331</v>
      </c>
      <c r="AB1047">
        <v>86</v>
      </c>
      <c r="AC1047">
        <v>51</v>
      </c>
      <c r="AD1047">
        <v>0</v>
      </c>
      <c r="AE1047">
        <v>1464</v>
      </c>
      <c r="AF1047">
        <v>102</v>
      </c>
      <c r="AJ1047">
        <v>4.9800000000000004</v>
      </c>
      <c r="AK1047" t="str">
        <f t="shared" si="16"/>
        <v>WW601-6200</v>
      </c>
    </row>
    <row r="1048" spans="1:37">
      <c r="A1048" t="s">
        <v>1897</v>
      </c>
      <c r="B1048" t="s">
        <v>1898</v>
      </c>
      <c r="C1048" t="s">
        <v>110</v>
      </c>
      <c r="D1048" t="s">
        <v>1712</v>
      </c>
      <c r="E1048">
        <v>43</v>
      </c>
      <c r="F1048">
        <v>1</v>
      </c>
      <c r="G1048">
        <v>0</v>
      </c>
      <c r="H1048">
        <v>70</v>
      </c>
      <c r="I1048">
        <v>51</v>
      </c>
      <c r="J1048">
        <v>65</v>
      </c>
      <c r="K1048">
        <v>289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289</v>
      </c>
      <c r="R1048">
        <v>0</v>
      </c>
      <c r="S1048">
        <v>38</v>
      </c>
      <c r="T1048">
        <v>28</v>
      </c>
      <c r="U1048">
        <v>145</v>
      </c>
      <c r="V1048">
        <v>0</v>
      </c>
      <c r="W1048">
        <v>97</v>
      </c>
      <c r="X1048">
        <v>0</v>
      </c>
      <c r="Y1048">
        <v>104</v>
      </c>
      <c r="Z1048">
        <v>42</v>
      </c>
      <c r="AA1048">
        <v>123</v>
      </c>
      <c r="AB1048">
        <v>0</v>
      </c>
      <c r="AC1048">
        <v>136</v>
      </c>
      <c r="AD1048">
        <v>64</v>
      </c>
      <c r="AE1048">
        <v>777</v>
      </c>
      <c r="AF1048">
        <v>454</v>
      </c>
      <c r="AJ1048">
        <v>4.8</v>
      </c>
      <c r="AK1048" t="str">
        <f t="shared" si="16"/>
        <v>WW610-6200</v>
      </c>
    </row>
    <row r="1049" spans="1:37">
      <c r="A1049" t="s">
        <v>1901</v>
      </c>
      <c r="B1049" t="s">
        <v>1900</v>
      </c>
      <c r="C1049" t="s">
        <v>110</v>
      </c>
      <c r="D1049" t="s">
        <v>1712</v>
      </c>
      <c r="E1049">
        <v>43</v>
      </c>
      <c r="F1049">
        <v>1.3</v>
      </c>
      <c r="G1049">
        <v>208</v>
      </c>
      <c r="H1049">
        <v>107</v>
      </c>
      <c r="I1049">
        <v>115</v>
      </c>
      <c r="J1049">
        <v>114</v>
      </c>
      <c r="K1049">
        <v>743</v>
      </c>
      <c r="L1049">
        <v>88</v>
      </c>
      <c r="M1049">
        <v>0</v>
      </c>
      <c r="N1049">
        <v>173</v>
      </c>
      <c r="O1049">
        <v>0</v>
      </c>
      <c r="P1049">
        <v>0</v>
      </c>
      <c r="Q1049">
        <v>570</v>
      </c>
      <c r="R1049">
        <v>0</v>
      </c>
      <c r="S1049">
        <v>26</v>
      </c>
      <c r="T1049">
        <v>252</v>
      </c>
      <c r="U1049">
        <v>43</v>
      </c>
      <c r="V1049">
        <v>271</v>
      </c>
      <c r="W1049">
        <v>99</v>
      </c>
      <c r="X1049">
        <v>0</v>
      </c>
      <c r="Y1049">
        <v>336</v>
      </c>
      <c r="Z1049">
        <v>0</v>
      </c>
      <c r="AA1049">
        <v>0</v>
      </c>
      <c r="AB1049">
        <v>83</v>
      </c>
      <c r="AC1049">
        <v>260</v>
      </c>
      <c r="AD1049">
        <v>0</v>
      </c>
      <c r="AE1049">
        <v>1370</v>
      </c>
      <c r="AF1049">
        <v>1473</v>
      </c>
      <c r="AJ1049">
        <v>4.8</v>
      </c>
      <c r="AK1049" t="str">
        <f t="shared" si="16"/>
        <v>WW620-6200</v>
      </c>
    </row>
    <row r="1050" spans="1:37">
      <c r="A1050" t="s">
        <v>1903</v>
      </c>
      <c r="B1050" t="s">
        <v>1904</v>
      </c>
      <c r="C1050" t="s">
        <v>110</v>
      </c>
      <c r="D1050" t="s">
        <v>292</v>
      </c>
      <c r="E1050">
        <v>43</v>
      </c>
      <c r="F1050">
        <v>0</v>
      </c>
      <c r="G1050">
        <v>5</v>
      </c>
      <c r="H1050">
        <v>0</v>
      </c>
      <c r="I1050">
        <v>25</v>
      </c>
      <c r="J1050">
        <v>19</v>
      </c>
      <c r="K1050">
        <v>0</v>
      </c>
      <c r="L1050">
        <v>62</v>
      </c>
      <c r="M1050">
        <v>0</v>
      </c>
      <c r="N1050">
        <v>4</v>
      </c>
      <c r="O1050">
        <v>0</v>
      </c>
      <c r="P1050">
        <v>0</v>
      </c>
      <c r="Q1050">
        <v>-4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136</v>
      </c>
      <c r="X1050">
        <v>15</v>
      </c>
      <c r="Y1050">
        <v>38</v>
      </c>
      <c r="Z1050">
        <v>16</v>
      </c>
      <c r="AA1050">
        <v>0</v>
      </c>
      <c r="AB1050">
        <v>18</v>
      </c>
      <c r="AC1050">
        <v>0</v>
      </c>
      <c r="AD1050">
        <v>0</v>
      </c>
      <c r="AE1050">
        <v>223</v>
      </c>
      <c r="AF1050">
        <v>308</v>
      </c>
      <c r="AJ1050">
        <v>0</v>
      </c>
      <c r="AK1050" t="str">
        <f t="shared" si="16"/>
        <v>WW971-3700</v>
      </c>
    </row>
    <row r="1051" spans="1:37">
      <c r="A1051" t="s">
        <v>1905</v>
      </c>
      <c r="B1051" t="s">
        <v>1904</v>
      </c>
      <c r="C1051" t="s">
        <v>110</v>
      </c>
      <c r="D1051" t="s">
        <v>1906</v>
      </c>
      <c r="E1051">
        <v>43</v>
      </c>
      <c r="F1051">
        <v>1.3</v>
      </c>
      <c r="G1051">
        <v>19</v>
      </c>
      <c r="H1051">
        <v>110</v>
      </c>
      <c r="I1051">
        <v>137</v>
      </c>
      <c r="J1051">
        <v>114</v>
      </c>
      <c r="K1051">
        <v>594</v>
      </c>
      <c r="L1051">
        <v>40</v>
      </c>
      <c r="M1051">
        <v>0</v>
      </c>
      <c r="N1051">
        <v>16</v>
      </c>
      <c r="O1051">
        <v>0</v>
      </c>
      <c r="P1051">
        <v>0</v>
      </c>
      <c r="Q1051">
        <v>578</v>
      </c>
      <c r="R1051">
        <v>0</v>
      </c>
      <c r="S1051">
        <v>0</v>
      </c>
      <c r="T1051">
        <v>161</v>
      </c>
      <c r="U1051">
        <v>170</v>
      </c>
      <c r="V1051">
        <v>164</v>
      </c>
      <c r="W1051">
        <v>290</v>
      </c>
      <c r="X1051">
        <v>38</v>
      </c>
      <c r="Y1051">
        <v>206</v>
      </c>
      <c r="Z1051">
        <v>0</v>
      </c>
      <c r="AA1051">
        <v>0</v>
      </c>
      <c r="AB1051">
        <v>173</v>
      </c>
      <c r="AC1051">
        <v>0</v>
      </c>
      <c r="AD1051">
        <v>168</v>
      </c>
      <c r="AE1051">
        <v>1370</v>
      </c>
      <c r="AF1051">
        <v>1434</v>
      </c>
      <c r="AJ1051">
        <v>4.2300000000000004</v>
      </c>
      <c r="AK1051" t="str">
        <f t="shared" si="16"/>
        <v>WW971-5000</v>
      </c>
    </row>
    <row r="1052" spans="1:37">
      <c r="A1052" t="s">
        <v>1907</v>
      </c>
      <c r="B1052" t="s">
        <v>1904</v>
      </c>
      <c r="C1052" t="s">
        <v>110</v>
      </c>
      <c r="D1052" t="s">
        <v>1908</v>
      </c>
      <c r="E1052">
        <v>43</v>
      </c>
      <c r="F1052">
        <v>0</v>
      </c>
      <c r="G1052">
        <v>129</v>
      </c>
      <c r="H1052">
        <v>0</v>
      </c>
      <c r="I1052">
        <v>42</v>
      </c>
      <c r="J1052">
        <v>131</v>
      </c>
      <c r="K1052">
        <v>1235</v>
      </c>
      <c r="L1052">
        <v>1310</v>
      </c>
      <c r="M1052">
        <v>0</v>
      </c>
      <c r="N1052">
        <v>108</v>
      </c>
      <c r="O1052">
        <v>0</v>
      </c>
      <c r="P1052">
        <v>0</v>
      </c>
      <c r="Q1052">
        <v>1127</v>
      </c>
      <c r="R1052">
        <v>0</v>
      </c>
      <c r="S1052">
        <v>0</v>
      </c>
      <c r="T1052">
        <v>0</v>
      </c>
      <c r="U1052">
        <v>0</v>
      </c>
      <c r="V1052">
        <v>25</v>
      </c>
      <c r="W1052">
        <v>136</v>
      </c>
      <c r="X1052">
        <v>89</v>
      </c>
      <c r="Y1052">
        <v>73</v>
      </c>
      <c r="Z1052">
        <v>356</v>
      </c>
      <c r="AA1052">
        <v>340</v>
      </c>
      <c r="AB1052">
        <v>0</v>
      </c>
      <c r="AC1052">
        <v>281</v>
      </c>
      <c r="AD1052">
        <v>277</v>
      </c>
      <c r="AE1052">
        <v>1577</v>
      </c>
      <c r="AF1052">
        <v>1964</v>
      </c>
      <c r="AJ1052">
        <v>4.3499999999999996</v>
      </c>
      <c r="AK1052" t="str">
        <f t="shared" si="16"/>
        <v>WW971-6200</v>
      </c>
    </row>
    <row r="1053" spans="1:37">
      <c r="A1053" t="s">
        <v>6309</v>
      </c>
      <c r="B1053" t="s">
        <v>1910</v>
      </c>
      <c r="C1053" t="s">
        <v>329</v>
      </c>
      <c r="D1053" t="s">
        <v>292</v>
      </c>
      <c r="E1053">
        <v>50</v>
      </c>
      <c r="F1053">
        <v>0</v>
      </c>
      <c r="G1053">
        <v>38</v>
      </c>
      <c r="H1053">
        <v>0</v>
      </c>
      <c r="I1053">
        <v>0</v>
      </c>
      <c r="J1053">
        <v>0</v>
      </c>
      <c r="K1053">
        <v>0</v>
      </c>
      <c r="L1053">
        <v>5</v>
      </c>
      <c r="M1053">
        <v>0</v>
      </c>
      <c r="N1053">
        <v>31</v>
      </c>
      <c r="O1053">
        <v>0</v>
      </c>
      <c r="P1053">
        <v>0</v>
      </c>
      <c r="Q1053">
        <v>-31</v>
      </c>
      <c r="R1053">
        <v>39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J1053">
        <v>2.5299999999999998</v>
      </c>
      <c r="AK1053" t="str">
        <f t="shared" si="16"/>
        <v>WX031-3700</v>
      </c>
    </row>
    <row r="1054" spans="1:37">
      <c r="A1054" t="s">
        <v>1909</v>
      </c>
      <c r="B1054" t="s">
        <v>1910</v>
      </c>
      <c r="C1054" t="s">
        <v>329</v>
      </c>
      <c r="D1054" t="s">
        <v>1911</v>
      </c>
      <c r="E1054">
        <v>50</v>
      </c>
      <c r="F1054">
        <v>3.4</v>
      </c>
      <c r="G1054">
        <v>62</v>
      </c>
      <c r="H1054">
        <v>154</v>
      </c>
      <c r="I1054">
        <v>194</v>
      </c>
      <c r="J1054">
        <v>163</v>
      </c>
      <c r="K1054">
        <v>2135</v>
      </c>
      <c r="L1054">
        <v>245</v>
      </c>
      <c r="M1054">
        <v>0</v>
      </c>
      <c r="N1054">
        <v>52</v>
      </c>
      <c r="O1054">
        <v>0</v>
      </c>
      <c r="P1054">
        <v>0</v>
      </c>
      <c r="Q1054">
        <v>2083</v>
      </c>
      <c r="R1054">
        <v>0</v>
      </c>
      <c r="S1054">
        <v>92</v>
      </c>
      <c r="T1054">
        <v>100</v>
      </c>
      <c r="U1054">
        <v>271</v>
      </c>
      <c r="V1054">
        <v>69</v>
      </c>
      <c r="W1054">
        <v>580</v>
      </c>
      <c r="X1054">
        <v>49</v>
      </c>
      <c r="Y1054">
        <v>180</v>
      </c>
      <c r="Z1054">
        <v>355</v>
      </c>
      <c r="AA1054">
        <v>0</v>
      </c>
      <c r="AB1054">
        <v>0</v>
      </c>
      <c r="AC1054">
        <v>51</v>
      </c>
      <c r="AD1054">
        <v>212</v>
      </c>
      <c r="AE1054">
        <v>1959</v>
      </c>
      <c r="AF1054">
        <v>2072</v>
      </c>
      <c r="AJ1054">
        <v>4.63</v>
      </c>
      <c r="AK1054" t="str">
        <f t="shared" si="16"/>
        <v>WX031-5000</v>
      </c>
    </row>
    <row r="1055" spans="1:37">
      <c r="A1055" t="s">
        <v>1912</v>
      </c>
      <c r="B1055" t="s">
        <v>1910</v>
      </c>
      <c r="C1055" t="s">
        <v>329</v>
      </c>
      <c r="D1055" t="s">
        <v>1911</v>
      </c>
      <c r="E1055">
        <v>50</v>
      </c>
      <c r="F1055">
        <v>28.4</v>
      </c>
      <c r="G1055">
        <v>0</v>
      </c>
      <c r="H1055">
        <v>7</v>
      </c>
      <c r="I1055">
        <v>96</v>
      </c>
      <c r="J1055">
        <v>110</v>
      </c>
      <c r="K1055">
        <v>756</v>
      </c>
      <c r="L1055">
        <v>7</v>
      </c>
      <c r="M1055">
        <v>0</v>
      </c>
      <c r="N1055">
        <v>0</v>
      </c>
      <c r="O1055">
        <v>0</v>
      </c>
      <c r="P1055">
        <v>0</v>
      </c>
      <c r="Q1055">
        <v>756</v>
      </c>
      <c r="R1055">
        <v>0</v>
      </c>
      <c r="S1055">
        <v>0</v>
      </c>
      <c r="T1055">
        <v>0</v>
      </c>
      <c r="U1055">
        <v>20</v>
      </c>
      <c r="V1055">
        <v>262</v>
      </c>
      <c r="W1055">
        <v>17</v>
      </c>
      <c r="X1055">
        <v>279</v>
      </c>
      <c r="Y1055">
        <v>467</v>
      </c>
      <c r="Z1055">
        <v>203</v>
      </c>
      <c r="AA1055">
        <v>0</v>
      </c>
      <c r="AB1055">
        <v>0</v>
      </c>
      <c r="AC1055">
        <v>12</v>
      </c>
      <c r="AD1055">
        <v>58</v>
      </c>
      <c r="AE1055">
        <v>1318</v>
      </c>
      <c r="AF1055">
        <v>1288</v>
      </c>
      <c r="AJ1055">
        <v>4</v>
      </c>
      <c r="AK1055" t="str">
        <f t="shared" si="16"/>
        <v>WX031-6200</v>
      </c>
    </row>
    <row r="1056" spans="1:37">
      <c r="A1056" t="s">
        <v>6182</v>
      </c>
      <c r="B1056" t="s">
        <v>1914</v>
      </c>
      <c r="C1056" t="s">
        <v>329</v>
      </c>
      <c r="D1056" t="s">
        <v>292</v>
      </c>
      <c r="E1056">
        <v>50</v>
      </c>
      <c r="F1056">
        <v>0</v>
      </c>
      <c r="G1056">
        <v>47</v>
      </c>
      <c r="H1056">
        <v>0</v>
      </c>
      <c r="I1056">
        <v>0</v>
      </c>
      <c r="J1056">
        <v>5</v>
      </c>
      <c r="K1056">
        <v>0</v>
      </c>
      <c r="L1056">
        <v>5</v>
      </c>
      <c r="M1056">
        <v>0</v>
      </c>
      <c r="N1056">
        <v>39</v>
      </c>
      <c r="O1056">
        <v>0</v>
      </c>
      <c r="P1056">
        <v>0</v>
      </c>
      <c r="Q1056">
        <v>-39</v>
      </c>
      <c r="R1056">
        <v>6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57</v>
      </c>
      <c r="AE1056">
        <v>57</v>
      </c>
      <c r="AF1056">
        <v>137</v>
      </c>
      <c r="AJ1056">
        <v>2.57</v>
      </c>
      <c r="AK1056" t="str">
        <f t="shared" si="16"/>
        <v>WX041-3700</v>
      </c>
    </row>
    <row r="1057" spans="1:37">
      <c r="A1057" t="s">
        <v>1913</v>
      </c>
      <c r="B1057" t="s">
        <v>1914</v>
      </c>
      <c r="C1057" t="s">
        <v>329</v>
      </c>
      <c r="D1057" t="s">
        <v>292</v>
      </c>
      <c r="E1057">
        <v>50</v>
      </c>
      <c r="F1057">
        <v>0.8</v>
      </c>
      <c r="G1057">
        <v>70</v>
      </c>
      <c r="H1057">
        <v>204</v>
      </c>
      <c r="I1057">
        <v>118</v>
      </c>
      <c r="J1057">
        <v>227</v>
      </c>
      <c r="K1057">
        <v>679</v>
      </c>
      <c r="L1057">
        <v>133</v>
      </c>
      <c r="M1057">
        <v>0</v>
      </c>
      <c r="N1057">
        <v>58</v>
      </c>
      <c r="O1057">
        <v>0</v>
      </c>
      <c r="P1057">
        <v>0</v>
      </c>
      <c r="Q1057">
        <v>621</v>
      </c>
      <c r="R1057">
        <v>0</v>
      </c>
      <c r="S1057">
        <v>192</v>
      </c>
      <c r="T1057">
        <v>43</v>
      </c>
      <c r="U1057">
        <v>378</v>
      </c>
      <c r="V1057">
        <v>0</v>
      </c>
      <c r="W1057">
        <v>0</v>
      </c>
      <c r="X1057">
        <v>92</v>
      </c>
      <c r="Y1057">
        <v>643</v>
      </c>
      <c r="Z1057">
        <v>1132</v>
      </c>
      <c r="AA1057">
        <v>31</v>
      </c>
      <c r="AB1057">
        <v>160</v>
      </c>
      <c r="AC1057">
        <v>48</v>
      </c>
      <c r="AD1057">
        <v>0</v>
      </c>
      <c r="AE1057">
        <v>2719</v>
      </c>
      <c r="AF1057">
        <v>1241</v>
      </c>
      <c r="AJ1057">
        <v>4.63</v>
      </c>
      <c r="AK1057" t="str">
        <f t="shared" si="16"/>
        <v>WX041-5000</v>
      </c>
    </row>
    <row r="1058" spans="1:37">
      <c r="A1058" t="s">
        <v>1915</v>
      </c>
      <c r="B1058" t="s">
        <v>1914</v>
      </c>
      <c r="C1058" t="s">
        <v>329</v>
      </c>
      <c r="D1058" t="s">
        <v>292</v>
      </c>
      <c r="E1058">
        <v>50</v>
      </c>
      <c r="F1058">
        <v>0.6</v>
      </c>
      <c r="G1058">
        <v>193</v>
      </c>
      <c r="H1058">
        <v>329</v>
      </c>
      <c r="I1058">
        <v>214</v>
      </c>
      <c r="J1058">
        <v>114</v>
      </c>
      <c r="K1058">
        <v>890</v>
      </c>
      <c r="L1058">
        <v>462</v>
      </c>
      <c r="M1058">
        <v>0</v>
      </c>
      <c r="N1058">
        <v>161</v>
      </c>
      <c r="O1058">
        <v>0</v>
      </c>
      <c r="P1058">
        <v>0</v>
      </c>
      <c r="Q1058">
        <v>729</v>
      </c>
      <c r="R1058">
        <v>0</v>
      </c>
      <c r="S1058">
        <v>652</v>
      </c>
      <c r="T1058">
        <v>51</v>
      </c>
      <c r="U1058">
        <v>285</v>
      </c>
      <c r="V1058">
        <v>0</v>
      </c>
      <c r="W1058">
        <v>0</v>
      </c>
      <c r="X1058">
        <v>293</v>
      </c>
      <c r="Y1058">
        <v>0</v>
      </c>
      <c r="Z1058">
        <v>69</v>
      </c>
      <c r="AA1058">
        <v>0</v>
      </c>
      <c r="AB1058">
        <v>23</v>
      </c>
      <c r="AC1058">
        <v>0</v>
      </c>
      <c r="AD1058">
        <v>0</v>
      </c>
      <c r="AE1058">
        <v>1373</v>
      </c>
      <c r="AF1058">
        <v>768</v>
      </c>
      <c r="AJ1058">
        <v>4.63</v>
      </c>
      <c r="AK1058" t="str">
        <f t="shared" si="16"/>
        <v>WX041-6200</v>
      </c>
    </row>
    <row r="1059" spans="1:37">
      <c r="A1059" t="s">
        <v>1916</v>
      </c>
      <c r="B1059" t="s">
        <v>1917</v>
      </c>
      <c r="C1059" t="s">
        <v>110</v>
      </c>
      <c r="D1059" t="s">
        <v>1918</v>
      </c>
      <c r="E1059">
        <v>50</v>
      </c>
      <c r="F1059">
        <v>0</v>
      </c>
      <c r="G1059">
        <v>0</v>
      </c>
      <c r="H1059">
        <v>12</v>
      </c>
      <c r="I1059">
        <v>6</v>
      </c>
      <c r="J1059">
        <v>13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36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62</v>
      </c>
      <c r="AA1059">
        <v>0</v>
      </c>
      <c r="AB1059">
        <v>14</v>
      </c>
      <c r="AC1059">
        <v>45</v>
      </c>
      <c r="AD1059">
        <v>0</v>
      </c>
      <c r="AE1059">
        <v>157</v>
      </c>
      <c r="AF1059">
        <v>100</v>
      </c>
      <c r="AJ1059">
        <v>4.0199999999999996</v>
      </c>
      <c r="AK1059" t="str">
        <f t="shared" si="16"/>
        <v>WX081-5000</v>
      </c>
    </row>
    <row r="1060" spans="1:37">
      <c r="A1060" t="s">
        <v>1919</v>
      </c>
      <c r="B1060" t="s">
        <v>1917</v>
      </c>
      <c r="C1060" t="s">
        <v>110</v>
      </c>
      <c r="D1060" t="s">
        <v>900</v>
      </c>
      <c r="E1060">
        <v>50</v>
      </c>
      <c r="F1060">
        <v>2.8</v>
      </c>
      <c r="G1060">
        <v>40</v>
      </c>
      <c r="H1060">
        <v>43</v>
      </c>
      <c r="I1060">
        <v>27</v>
      </c>
      <c r="J1060">
        <v>38</v>
      </c>
      <c r="K1060">
        <v>516</v>
      </c>
      <c r="L1060">
        <v>12</v>
      </c>
      <c r="M1060">
        <v>0</v>
      </c>
      <c r="N1060">
        <v>33</v>
      </c>
      <c r="O1060">
        <v>0</v>
      </c>
      <c r="P1060">
        <v>0</v>
      </c>
      <c r="Q1060">
        <v>483</v>
      </c>
      <c r="R1060">
        <v>0</v>
      </c>
      <c r="S1060">
        <v>90</v>
      </c>
      <c r="T1060">
        <v>39</v>
      </c>
      <c r="U1060">
        <v>0</v>
      </c>
      <c r="V1060">
        <v>32</v>
      </c>
      <c r="W1060">
        <v>0</v>
      </c>
      <c r="X1060">
        <v>0</v>
      </c>
      <c r="Y1060">
        <v>0</v>
      </c>
      <c r="Z1060">
        <v>114</v>
      </c>
      <c r="AA1060">
        <v>28</v>
      </c>
      <c r="AB1060">
        <v>0</v>
      </c>
      <c r="AC1060">
        <v>149</v>
      </c>
      <c r="AD1060">
        <v>0</v>
      </c>
      <c r="AE1060">
        <v>452</v>
      </c>
      <c r="AF1060">
        <v>155</v>
      </c>
      <c r="AJ1060">
        <v>4.1399999999999997</v>
      </c>
      <c r="AK1060" t="str">
        <f t="shared" si="16"/>
        <v>WX081-6200</v>
      </c>
    </row>
    <row r="1061" spans="1:37">
      <c r="A1061" t="s">
        <v>1920</v>
      </c>
      <c r="B1061" t="s">
        <v>1921</v>
      </c>
      <c r="C1061" t="s">
        <v>275</v>
      </c>
      <c r="E1061">
        <v>50</v>
      </c>
      <c r="F1061">
        <v>5.5</v>
      </c>
      <c r="G1061">
        <v>120</v>
      </c>
      <c r="H1061">
        <v>21</v>
      </c>
      <c r="I1061">
        <v>69</v>
      </c>
      <c r="J1061">
        <v>81</v>
      </c>
      <c r="K1061">
        <v>563</v>
      </c>
      <c r="L1061">
        <v>107</v>
      </c>
      <c r="M1061">
        <v>0</v>
      </c>
      <c r="N1061">
        <v>100</v>
      </c>
      <c r="O1061">
        <v>0</v>
      </c>
      <c r="P1061">
        <v>0</v>
      </c>
      <c r="Q1061">
        <v>463</v>
      </c>
      <c r="R1061">
        <v>4</v>
      </c>
      <c r="S1061">
        <v>0</v>
      </c>
      <c r="T1061">
        <v>63</v>
      </c>
      <c r="U1061">
        <v>0</v>
      </c>
      <c r="V1061">
        <v>183</v>
      </c>
      <c r="W1061">
        <v>0</v>
      </c>
      <c r="X1061">
        <v>170</v>
      </c>
      <c r="Y1061">
        <v>109</v>
      </c>
      <c r="Z1061">
        <v>127</v>
      </c>
      <c r="AA1061">
        <v>189</v>
      </c>
      <c r="AB1061">
        <v>133</v>
      </c>
      <c r="AC1061">
        <v>0</v>
      </c>
      <c r="AD1061">
        <v>0</v>
      </c>
      <c r="AE1061">
        <v>974</v>
      </c>
      <c r="AF1061">
        <v>2191</v>
      </c>
      <c r="AJ1061">
        <v>6.27</v>
      </c>
      <c r="AK1061" t="str">
        <f t="shared" si="16"/>
        <v>WX110-5000</v>
      </c>
    </row>
    <row r="1062" spans="1:37">
      <c r="A1062" t="s">
        <v>1922</v>
      </c>
      <c r="B1062" t="s">
        <v>1921</v>
      </c>
      <c r="C1062" t="s">
        <v>275</v>
      </c>
      <c r="E1062">
        <v>50</v>
      </c>
      <c r="F1062">
        <v>8.1</v>
      </c>
      <c r="G1062">
        <v>51</v>
      </c>
      <c r="H1062">
        <v>76</v>
      </c>
      <c r="I1062">
        <v>115</v>
      </c>
      <c r="J1062">
        <v>101</v>
      </c>
      <c r="K1062">
        <v>2501</v>
      </c>
      <c r="L1062">
        <v>47</v>
      </c>
      <c r="M1062">
        <v>0</v>
      </c>
      <c r="N1062">
        <v>42</v>
      </c>
      <c r="O1062">
        <v>0</v>
      </c>
      <c r="P1062">
        <v>0</v>
      </c>
      <c r="Q1062">
        <v>2459</v>
      </c>
      <c r="R1062">
        <v>0</v>
      </c>
      <c r="S1062">
        <v>190</v>
      </c>
      <c r="T1062">
        <v>37</v>
      </c>
      <c r="U1062">
        <v>0</v>
      </c>
      <c r="V1062">
        <v>197</v>
      </c>
      <c r="W1062">
        <v>149</v>
      </c>
      <c r="X1062">
        <v>119</v>
      </c>
      <c r="Y1062">
        <v>43</v>
      </c>
      <c r="Z1062">
        <v>104</v>
      </c>
      <c r="AA1062">
        <v>116</v>
      </c>
      <c r="AB1062">
        <v>125</v>
      </c>
      <c r="AC1062">
        <v>131</v>
      </c>
      <c r="AD1062">
        <v>0</v>
      </c>
      <c r="AE1062">
        <v>1211</v>
      </c>
      <c r="AF1062">
        <v>1224</v>
      </c>
      <c r="AJ1062">
        <v>6.41</v>
      </c>
      <c r="AK1062" t="str">
        <f t="shared" si="16"/>
        <v>WX110-6200</v>
      </c>
    </row>
    <row r="1063" spans="1:37">
      <c r="A1063" t="s">
        <v>1923</v>
      </c>
      <c r="B1063" t="s">
        <v>1924</v>
      </c>
      <c r="C1063" t="s">
        <v>275</v>
      </c>
      <c r="D1063" t="s">
        <v>1706</v>
      </c>
      <c r="E1063">
        <v>43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246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246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J1063">
        <v>3.44</v>
      </c>
      <c r="AK1063" t="str">
        <f t="shared" si="16"/>
        <v>WX125-6200</v>
      </c>
    </row>
    <row r="1064" spans="1:37">
      <c r="A1064" t="s">
        <v>1925</v>
      </c>
      <c r="B1064" t="s">
        <v>1926</v>
      </c>
      <c r="C1064" t="s">
        <v>1514</v>
      </c>
      <c r="E1064">
        <v>50</v>
      </c>
      <c r="F1064">
        <v>4.4000000000000004</v>
      </c>
      <c r="G1064">
        <v>0</v>
      </c>
      <c r="H1064">
        <v>79</v>
      </c>
      <c r="I1064">
        <v>39</v>
      </c>
      <c r="J1064">
        <v>115</v>
      </c>
      <c r="K1064">
        <v>1389</v>
      </c>
      <c r="L1064">
        <v>3</v>
      </c>
      <c r="M1064">
        <v>0</v>
      </c>
      <c r="N1064">
        <v>0</v>
      </c>
      <c r="O1064">
        <v>0</v>
      </c>
      <c r="P1064">
        <v>0</v>
      </c>
      <c r="Q1064">
        <v>1389</v>
      </c>
      <c r="R1064">
        <v>0</v>
      </c>
      <c r="S1064">
        <v>0</v>
      </c>
      <c r="T1064">
        <v>79</v>
      </c>
      <c r="U1064">
        <v>157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219</v>
      </c>
      <c r="AB1064">
        <v>0</v>
      </c>
      <c r="AC1064">
        <v>17</v>
      </c>
      <c r="AD1064">
        <v>910</v>
      </c>
      <c r="AE1064">
        <v>1382</v>
      </c>
      <c r="AF1064">
        <v>457</v>
      </c>
      <c r="AJ1064">
        <v>5</v>
      </c>
      <c r="AK1064" t="str">
        <f t="shared" si="16"/>
        <v>WX150-6200</v>
      </c>
    </row>
    <row r="1065" spans="1:37">
      <c r="A1065" t="s">
        <v>1927</v>
      </c>
      <c r="B1065" t="s">
        <v>1928</v>
      </c>
      <c r="C1065" t="s">
        <v>1514</v>
      </c>
      <c r="E1065">
        <v>50</v>
      </c>
      <c r="F1065">
        <v>8.1</v>
      </c>
      <c r="G1065">
        <v>0</v>
      </c>
      <c r="H1065">
        <v>15</v>
      </c>
      <c r="I1065">
        <v>11</v>
      </c>
      <c r="J1065">
        <v>8</v>
      </c>
      <c r="K1065">
        <v>477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477</v>
      </c>
      <c r="R1065">
        <v>0</v>
      </c>
      <c r="S1065">
        <v>0</v>
      </c>
      <c r="T1065">
        <v>44</v>
      </c>
      <c r="U1065">
        <v>0</v>
      </c>
      <c r="V1065">
        <v>19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31</v>
      </c>
      <c r="AE1065">
        <v>94</v>
      </c>
      <c r="AF1065">
        <v>24</v>
      </c>
      <c r="AJ1065">
        <v>0</v>
      </c>
      <c r="AK1065" t="str">
        <f t="shared" si="16"/>
        <v>WX160-6200</v>
      </c>
    </row>
    <row r="1066" spans="1:37">
      <c r="A1066" t="s">
        <v>1929</v>
      </c>
      <c r="B1066" t="s">
        <v>1930</v>
      </c>
      <c r="C1066" t="s">
        <v>329</v>
      </c>
      <c r="D1066" t="s">
        <v>1782</v>
      </c>
      <c r="E1066">
        <v>50</v>
      </c>
      <c r="F1066">
        <v>2.8</v>
      </c>
      <c r="G1066">
        <v>12</v>
      </c>
      <c r="H1066">
        <v>61</v>
      </c>
      <c r="I1066">
        <v>140</v>
      </c>
      <c r="J1066">
        <v>82</v>
      </c>
      <c r="K1066">
        <v>690</v>
      </c>
      <c r="L1066">
        <v>159</v>
      </c>
      <c r="M1066">
        <v>0</v>
      </c>
      <c r="N1066">
        <v>10</v>
      </c>
      <c r="O1066">
        <v>0</v>
      </c>
      <c r="P1066">
        <v>0</v>
      </c>
      <c r="Q1066">
        <v>680</v>
      </c>
      <c r="R1066">
        <v>0</v>
      </c>
      <c r="S1066">
        <v>142</v>
      </c>
      <c r="T1066">
        <v>42</v>
      </c>
      <c r="U1066">
        <v>0</v>
      </c>
      <c r="V1066">
        <v>638</v>
      </c>
      <c r="W1066">
        <v>0</v>
      </c>
      <c r="X1066">
        <v>20</v>
      </c>
      <c r="Y1066">
        <v>0</v>
      </c>
      <c r="Z1066">
        <v>63</v>
      </c>
      <c r="AA1066">
        <v>0</v>
      </c>
      <c r="AB1066">
        <v>0</v>
      </c>
      <c r="AC1066">
        <v>61</v>
      </c>
      <c r="AD1066">
        <v>16</v>
      </c>
      <c r="AE1066">
        <v>982</v>
      </c>
      <c r="AF1066">
        <v>539</v>
      </c>
      <c r="AJ1066">
        <v>4.63</v>
      </c>
      <c r="AK1066" t="str">
        <f t="shared" si="16"/>
        <v>WX170-5000</v>
      </c>
    </row>
    <row r="1067" spans="1:37">
      <c r="A1067" t="s">
        <v>1931</v>
      </c>
      <c r="B1067" t="s">
        <v>1930</v>
      </c>
      <c r="C1067" t="s">
        <v>329</v>
      </c>
      <c r="D1067" t="s">
        <v>1782</v>
      </c>
      <c r="E1067">
        <v>50</v>
      </c>
      <c r="F1067">
        <v>0</v>
      </c>
      <c r="G1067">
        <v>0</v>
      </c>
      <c r="H1067">
        <v>0</v>
      </c>
      <c r="I1067">
        <v>5</v>
      </c>
      <c r="J1067">
        <v>20</v>
      </c>
      <c r="K1067">
        <v>1499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1499</v>
      </c>
      <c r="R1067">
        <v>0</v>
      </c>
      <c r="S1067">
        <v>0</v>
      </c>
      <c r="T1067">
        <v>0</v>
      </c>
      <c r="U1067">
        <v>0</v>
      </c>
      <c r="V1067">
        <v>18</v>
      </c>
      <c r="W1067">
        <v>14</v>
      </c>
      <c r="X1067">
        <v>0</v>
      </c>
      <c r="Y1067">
        <v>5</v>
      </c>
      <c r="Z1067">
        <v>34</v>
      </c>
      <c r="AA1067">
        <v>26</v>
      </c>
      <c r="AB1067">
        <v>0</v>
      </c>
      <c r="AC1067">
        <v>139</v>
      </c>
      <c r="AD1067">
        <v>0</v>
      </c>
      <c r="AE1067">
        <v>236</v>
      </c>
      <c r="AF1067">
        <v>763</v>
      </c>
      <c r="AJ1067">
        <v>4.63</v>
      </c>
      <c r="AK1067" t="str">
        <f t="shared" si="16"/>
        <v>WX170-6200</v>
      </c>
    </row>
    <row r="1068" spans="1:37">
      <c r="A1068" t="s">
        <v>1932</v>
      </c>
      <c r="B1068" t="s">
        <v>1933</v>
      </c>
      <c r="C1068" t="s">
        <v>1514</v>
      </c>
      <c r="E1068">
        <v>50</v>
      </c>
      <c r="F1068">
        <v>0</v>
      </c>
      <c r="G1068">
        <v>0</v>
      </c>
      <c r="H1068">
        <v>0</v>
      </c>
      <c r="I1068">
        <v>11</v>
      </c>
      <c r="J1068">
        <v>7</v>
      </c>
      <c r="K1068">
        <v>678</v>
      </c>
      <c r="L1068">
        <v>37</v>
      </c>
      <c r="M1068">
        <v>0</v>
      </c>
      <c r="N1068">
        <v>0</v>
      </c>
      <c r="O1068">
        <v>0</v>
      </c>
      <c r="P1068">
        <v>0</v>
      </c>
      <c r="Q1068">
        <v>678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66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22</v>
      </c>
      <c r="AE1068">
        <v>88</v>
      </c>
      <c r="AF1068">
        <v>64</v>
      </c>
      <c r="AJ1068">
        <v>0</v>
      </c>
      <c r="AK1068" t="str">
        <f t="shared" si="16"/>
        <v>WX180-6200</v>
      </c>
    </row>
    <row r="1069" spans="1:37">
      <c r="A1069" t="s">
        <v>1934</v>
      </c>
      <c r="B1069" t="s">
        <v>1935</v>
      </c>
      <c r="C1069" t="s">
        <v>1514</v>
      </c>
      <c r="E1069">
        <v>50</v>
      </c>
      <c r="F1069">
        <v>0</v>
      </c>
      <c r="G1069">
        <v>0</v>
      </c>
      <c r="H1069">
        <v>0</v>
      </c>
      <c r="I1069">
        <v>4</v>
      </c>
      <c r="J1069">
        <v>4</v>
      </c>
      <c r="K1069">
        <v>82</v>
      </c>
      <c r="L1069">
        <v>4</v>
      </c>
      <c r="M1069">
        <v>0</v>
      </c>
      <c r="N1069">
        <v>0</v>
      </c>
      <c r="O1069">
        <v>0</v>
      </c>
      <c r="P1069">
        <v>0</v>
      </c>
      <c r="Q1069">
        <v>82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25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24</v>
      </c>
      <c r="AE1069">
        <v>49</v>
      </c>
      <c r="AF1069">
        <v>118</v>
      </c>
      <c r="AJ1069">
        <v>0</v>
      </c>
      <c r="AK1069" t="str">
        <f t="shared" si="16"/>
        <v>WX190-6200</v>
      </c>
    </row>
    <row r="1070" spans="1:37">
      <c r="A1070" t="s">
        <v>1936</v>
      </c>
      <c r="B1070" t="s">
        <v>1937</v>
      </c>
      <c r="C1070" t="s">
        <v>318</v>
      </c>
      <c r="D1070" t="s">
        <v>1938</v>
      </c>
      <c r="E1070">
        <v>62</v>
      </c>
      <c r="F1070">
        <v>0</v>
      </c>
      <c r="G1070">
        <v>0</v>
      </c>
      <c r="H1070">
        <v>0</v>
      </c>
      <c r="I1070">
        <v>15</v>
      </c>
      <c r="J1070">
        <v>8</v>
      </c>
      <c r="K1070">
        <v>338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338</v>
      </c>
      <c r="R1070">
        <v>0</v>
      </c>
      <c r="S1070">
        <v>0</v>
      </c>
      <c r="T1070">
        <v>0</v>
      </c>
      <c r="U1070">
        <v>0</v>
      </c>
      <c r="V1070">
        <v>92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92</v>
      </c>
      <c r="AF1070">
        <v>79</v>
      </c>
      <c r="AJ1070">
        <v>6.39</v>
      </c>
      <c r="AK1070" t="str">
        <f t="shared" si="16"/>
        <v>WX221-5000</v>
      </c>
    </row>
    <row r="1071" spans="1:37">
      <c r="A1071" t="s">
        <v>1939</v>
      </c>
      <c r="B1071" t="s">
        <v>1937</v>
      </c>
      <c r="C1071" t="s">
        <v>318</v>
      </c>
      <c r="D1071" t="s">
        <v>1938</v>
      </c>
      <c r="E1071">
        <v>62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660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660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J1071">
        <v>6.39</v>
      </c>
      <c r="AK1071" t="str">
        <f t="shared" si="16"/>
        <v>WX221-6200</v>
      </c>
    </row>
    <row r="1072" spans="1:37">
      <c r="A1072" t="s">
        <v>1940</v>
      </c>
      <c r="B1072" t="s">
        <v>1941</v>
      </c>
      <c r="C1072" t="s">
        <v>110</v>
      </c>
      <c r="E1072">
        <v>43</v>
      </c>
      <c r="F1072">
        <v>8.3000000000000007</v>
      </c>
      <c r="G1072">
        <v>37</v>
      </c>
      <c r="H1072">
        <v>36</v>
      </c>
      <c r="I1072">
        <v>75</v>
      </c>
      <c r="J1072">
        <v>98</v>
      </c>
      <c r="K1072">
        <v>1233</v>
      </c>
      <c r="L1072">
        <v>40</v>
      </c>
      <c r="M1072">
        <v>0</v>
      </c>
      <c r="N1072">
        <v>31</v>
      </c>
      <c r="O1072">
        <v>0</v>
      </c>
      <c r="P1072">
        <v>0</v>
      </c>
      <c r="Q1072">
        <v>1202</v>
      </c>
      <c r="R1072">
        <v>0</v>
      </c>
      <c r="S1072">
        <v>0</v>
      </c>
      <c r="T1072">
        <v>108</v>
      </c>
      <c r="U1072">
        <v>0</v>
      </c>
      <c r="V1072">
        <v>110</v>
      </c>
      <c r="W1072">
        <v>53</v>
      </c>
      <c r="X1072">
        <v>176</v>
      </c>
      <c r="Y1072">
        <v>409</v>
      </c>
      <c r="Z1072">
        <v>0</v>
      </c>
      <c r="AA1072">
        <v>145</v>
      </c>
      <c r="AB1072">
        <v>146</v>
      </c>
      <c r="AC1072">
        <v>0</v>
      </c>
      <c r="AD1072">
        <v>31</v>
      </c>
      <c r="AE1072">
        <v>1178</v>
      </c>
      <c r="AF1072">
        <v>934</v>
      </c>
      <c r="AJ1072">
        <v>4.0199999999999996</v>
      </c>
      <c r="AK1072" t="str">
        <f t="shared" si="16"/>
        <v>WX230-5000</v>
      </c>
    </row>
    <row r="1073" spans="1:37">
      <c r="A1073" t="s">
        <v>1942</v>
      </c>
      <c r="B1073" t="s">
        <v>1941</v>
      </c>
      <c r="C1073" t="s">
        <v>110</v>
      </c>
      <c r="E1073">
        <v>43</v>
      </c>
      <c r="F1073">
        <v>73.5</v>
      </c>
      <c r="G1073">
        <v>0</v>
      </c>
      <c r="H1073">
        <v>3</v>
      </c>
      <c r="I1073">
        <v>5</v>
      </c>
      <c r="J1073">
        <v>14</v>
      </c>
      <c r="K1073">
        <v>882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882</v>
      </c>
      <c r="R1073">
        <v>0</v>
      </c>
      <c r="S1073">
        <v>0</v>
      </c>
      <c r="T1073">
        <v>0</v>
      </c>
      <c r="U1073">
        <v>9</v>
      </c>
      <c r="V1073">
        <v>0</v>
      </c>
      <c r="W1073">
        <v>21</v>
      </c>
      <c r="X1073">
        <v>0</v>
      </c>
      <c r="Y1073">
        <v>0</v>
      </c>
      <c r="Z1073">
        <v>0</v>
      </c>
      <c r="AA1073">
        <v>70</v>
      </c>
      <c r="AB1073">
        <v>0</v>
      </c>
      <c r="AC1073">
        <v>7</v>
      </c>
      <c r="AD1073">
        <v>58</v>
      </c>
      <c r="AE1073">
        <v>165</v>
      </c>
      <c r="AF1073">
        <v>121</v>
      </c>
      <c r="AJ1073">
        <v>4.25</v>
      </c>
      <c r="AK1073" t="str">
        <f t="shared" si="16"/>
        <v>WX230-6200</v>
      </c>
    </row>
    <row r="1074" spans="1:37">
      <c r="A1074" t="s">
        <v>1943</v>
      </c>
      <c r="B1074" t="s">
        <v>1944</v>
      </c>
      <c r="C1074" t="s">
        <v>110</v>
      </c>
      <c r="E1074">
        <v>50</v>
      </c>
      <c r="F1074">
        <v>0</v>
      </c>
      <c r="G1074">
        <v>0</v>
      </c>
      <c r="H1074">
        <v>0</v>
      </c>
      <c r="I1074">
        <v>128</v>
      </c>
      <c r="J1074">
        <v>126</v>
      </c>
      <c r="K1074">
        <v>2165</v>
      </c>
      <c r="L1074">
        <v>19</v>
      </c>
      <c r="M1074">
        <v>0</v>
      </c>
      <c r="N1074">
        <v>0</v>
      </c>
      <c r="O1074">
        <v>0</v>
      </c>
      <c r="P1074">
        <v>0</v>
      </c>
      <c r="Q1074">
        <v>2165</v>
      </c>
      <c r="R1074">
        <v>0</v>
      </c>
      <c r="S1074">
        <v>0</v>
      </c>
      <c r="T1074">
        <v>0</v>
      </c>
      <c r="U1074">
        <v>0</v>
      </c>
      <c r="V1074">
        <v>32</v>
      </c>
      <c r="W1074">
        <v>89</v>
      </c>
      <c r="X1074">
        <v>649</v>
      </c>
      <c r="Y1074">
        <v>410</v>
      </c>
      <c r="Z1074">
        <v>0</v>
      </c>
      <c r="AA1074">
        <v>150</v>
      </c>
      <c r="AB1074">
        <v>0</v>
      </c>
      <c r="AC1074">
        <v>46</v>
      </c>
      <c r="AD1074">
        <v>132</v>
      </c>
      <c r="AE1074">
        <v>1508</v>
      </c>
      <c r="AF1074">
        <v>817</v>
      </c>
      <c r="AJ1074">
        <v>4.25</v>
      </c>
      <c r="AK1074" t="str">
        <f t="shared" si="16"/>
        <v>WX240-5000</v>
      </c>
    </row>
    <row r="1075" spans="1:37">
      <c r="A1075" t="s">
        <v>1945</v>
      </c>
      <c r="B1075" t="s">
        <v>1944</v>
      </c>
      <c r="C1075" t="s">
        <v>110</v>
      </c>
      <c r="E1075">
        <v>50</v>
      </c>
      <c r="F1075">
        <v>0</v>
      </c>
      <c r="G1075">
        <v>0</v>
      </c>
      <c r="H1075">
        <v>0</v>
      </c>
      <c r="I1075">
        <v>7</v>
      </c>
      <c r="J1075">
        <v>6</v>
      </c>
      <c r="K1075">
        <v>1227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1227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40</v>
      </c>
      <c r="Y1075">
        <v>0</v>
      </c>
      <c r="Z1075">
        <v>0</v>
      </c>
      <c r="AA1075">
        <v>30</v>
      </c>
      <c r="AB1075">
        <v>0</v>
      </c>
      <c r="AC1075">
        <v>0</v>
      </c>
      <c r="AD1075">
        <v>0</v>
      </c>
      <c r="AE1075">
        <v>70</v>
      </c>
      <c r="AF1075">
        <v>0</v>
      </c>
      <c r="AJ1075">
        <v>4.5110000000000001</v>
      </c>
      <c r="AK1075" t="str">
        <f t="shared" si="16"/>
        <v>WX240-6200</v>
      </c>
    </row>
    <row r="1076" spans="1:37">
      <c r="A1076" t="s">
        <v>1946</v>
      </c>
      <c r="B1076" t="s">
        <v>1947</v>
      </c>
      <c r="C1076" t="s">
        <v>1514</v>
      </c>
      <c r="E1076">
        <v>50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453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453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43</v>
      </c>
      <c r="AJ1076">
        <v>0</v>
      </c>
      <c r="AK1076" t="str">
        <f t="shared" si="16"/>
        <v>WX270-6200</v>
      </c>
    </row>
    <row r="1077" spans="1:37">
      <c r="A1077" t="s">
        <v>1948</v>
      </c>
      <c r="B1077" t="s">
        <v>1949</v>
      </c>
      <c r="C1077" t="s">
        <v>1514</v>
      </c>
      <c r="E1077">
        <v>50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560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560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74</v>
      </c>
      <c r="AJ1077">
        <v>0</v>
      </c>
      <c r="AK1077" t="str">
        <f t="shared" si="16"/>
        <v>WX290-6200</v>
      </c>
    </row>
    <row r="1078" spans="1:37">
      <c r="A1078" t="s">
        <v>1950</v>
      </c>
      <c r="B1078" t="s">
        <v>1951</v>
      </c>
      <c r="C1078" t="s">
        <v>1514</v>
      </c>
      <c r="E1078">
        <v>43</v>
      </c>
      <c r="F1078">
        <v>0</v>
      </c>
      <c r="G1078">
        <v>0</v>
      </c>
      <c r="H1078">
        <v>0</v>
      </c>
      <c r="I1078">
        <v>0</v>
      </c>
      <c r="J1078">
        <v>7</v>
      </c>
      <c r="K1078">
        <v>705</v>
      </c>
      <c r="L1078">
        <v>5</v>
      </c>
      <c r="M1078">
        <v>0</v>
      </c>
      <c r="N1078">
        <v>0</v>
      </c>
      <c r="O1078">
        <v>0</v>
      </c>
      <c r="P1078">
        <v>0</v>
      </c>
      <c r="Q1078">
        <v>705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85</v>
      </c>
      <c r="AC1078">
        <v>0</v>
      </c>
      <c r="AD1078">
        <v>0</v>
      </c>
      <c r="AE1078">
        <v>85</v>
      </c>
      <c r="AF1078">
        <v>0</v>
      </c>
      <c r="AJ1078">
        <v>5</v>
      </c>
      <c r="AK1078" t="str">
        <f t="shared" si="16"/>
        <v>WX295-6200</v>
      </c>
    </row>
    <row r="1079" spans="1:37">
      <c r="A1079" t="s">
        <v>1952</v>
      </c>
      <c r="B1079" t="s">
        <v>1953</v>
      </c>
      <c r="C1079" t="s">
        <v>1514</v>
      </c>
      <c r="E1079">
        <v>43</v>
      </c>
      <c r="F1079">
        <v>0</v>
      </c>
      <c r="G1079">
        <v>0</v>
      </c>
      <c r="H1079">
        <v>0</v>
      </c>
      <c r="I1079">
        <v>0</v>
      </c>
      <c r="J1079">
        <v>7</v>
      </c>
      <c r="K1079">
        <v>1776</v>
      </c>
      <c r="L1079">
        <v>4</v>
      </c>
      <c r="M1079">
        <v>0</v>
      </c>
      <c r="N1079">
        <v>0</v>
      </c>
      <c r="O1079">
        <v>0</v>
      </c>
      <c r="P1079">
        <v>0</v>
      </c>
      <c r="Q1079">
        <v>1776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85</v>
      </c>
      <c r="AC1079">
        <v>0</v>
      </c>
      <c r="AD1079">
        <v>0</v>
      </c>
      <c r="AE1079">
        <v>85</v>
      </c>
      <c r="AF1079">
        <v>0</v>
      </c>
      <c r="AJ1079">
        <v>5</v>
      </c>
      <c r="AK1079" t="str">
        <f t="shared" si="16"/>
        <v>WX305-6200</v>
      </c>
    </row>
    <row r="1080" spans="1:37">
      <c r="A1080" t="s">
        <v>1957</v>
      </c>
      <c r="B1080" t="s">
        <v>1958</v>
      </c>
      <c r="C1080" t="s">
        <v>1514</v>
      </c>
      <c r="E1080">
        <v>43</v>
      </c>
      <c r="F1080">
        <v>0</v>
      </c>
      <c r="G1080">
        <v>0</v>
      </c>
      <c r="H1080">
        <v>0</v>
      </c>
      <c r="I1080">
        <v>0</v>
      </c>
      <c r="J1080">
        <v>8</v>
      </c>
      <c r="K1080">
        <v>488</v>
      </c>
      <c r="L1080">
        <v>8</v>
      </c>
      <c r="M1080">
        <v>0</v>
      </c>
      <c r="N1080">
        <v>0</v>
      </c>
      <c r="O1080">
        <v>0</v>
      </c>
      <c r="P1080">
        <v>0</v>
      </c>
      <c r="Q1080">
        <v>488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98</v>
      </c>
      <c r="AC1080">
        <v>0</v>
      </c>
      <c r="AD1080">
        <v>0</v>
      </c>
      <c r="AE1080">
        <v>98</v>
      </c>
      <c r="AF1080">
        <v>0</v>
      </c>
      <c r="AJ1080">
        <v>5</v>
      </c>
      <c r="AK1080" t="str">
        <f t="shared" si="16"/>
        <v>WX320-6200</v>
      </c>
    </row>
    <row r="1081" spans="1:37">
      <c r="A1081" t="s">
        <v>1959</v>
      </c>
      <c r="B1081" t="s">
        <v>1960</v>
      </c>
      <c r="C1081" t="s">
        <v>1514</v>
      </c>
      <c r="E1081">
        <v>43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1252</v>
      </c>
      <c r="L1081">
        <v>3</v>
      </c>
      <c r="M1081">
        <v>0</v>
      </c>
      <c r="N1081">
        <v>0</v>
      </c>
      <c r="O1081">
        <v>0</v>
      </c>
      <c r="P1081">
        <v>0</v>
      </c>
      <c r="Q1081">
        <v>1252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92</v>
      </c>
      <c r="AC1081">
        <v>0</v>
      </c>
      <c r="AD1081">
        <v>0</v>
      </c>
      <c r="AE1081">
        <v>92</v>
      </c>
      <c r="AF1081">
        <v>0</v>
      </c>
      <c r="AJ1081">
        <v>5</v>
      </c>
      <c r="AK1081" t="str">
        <f t="shared" si="16"/>
        <v>WX330-6200</v>
      </c>
    </row>
    <row r="1082" spans="1:37">
      <c r="A1082" t="s">
        <v>1962</v>
      </c>
      <c r="B1082" t="s">
        <v>1963</v>
      </c>
      <c r="C1082" t="s">
        <v>1514</v>
      </c>
      <c r="E1082">
        <v>43</v>
      </c>
      <c r="F1082">
        <v>0</v>
      </c>
      <c r="G1082">
        <v>0</v>
      </c>
      <c r="H1082">
        <v>0</v>
      </c>
      <c r="I1082">
        <v>0</v>
      </c>
      <c r="J1082">
        <v>7</v>
      </c>
      <c r="K1082">
        <v>609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609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88</v>
      </c>
      <c r="AC1082">
        <v>0</v>
      </c>
      <c r="AD1082">
        <v>0</v>
      </c>
      <c r="AE1082">
        <v>88</v>
      </c>
      <c r="AF1082">
        <v>0</v>
      </c>
      <c r="AJ1082">
        <v>5</v>
      </c>
      <c r="AK1082" t="str">
        <f t="shared" si="16"/>
        <v>WX345-6200</v>
      </c>
    </row>
    <row r="1083" spans="1:37">
      <c r="A1083" t="s">
        <v>1964</v>
      </c>
      <c r="B1083" t="s">
        <v>1965</v>
      </c>
      <c r="C1083" t="s">
        <v>1514</v>
      </c>
      <c r="E1083">
        <v>50</v>
      </c>
      <c r="F1083">
        <v>8.8000000000000007</v>
      </c>
      <c r="G1083">
        <v>45</v>
      </c>
      <c r="H1083">
        <v>8</v>
      </c>
      <c r="I1083">
        <v>4</v>
      </c>
      <c r="J1083">
        <v>9</v>
      </c>
      <c r="K1083">
        <v>308</v>
      </c>
      <c r="L1083">
        <v>0</v>
      </c>
      <c r="M1083">
        <v>0</v>
      </c>
      <c r="N1083">
        <v>37</v>
      </c>
      <c r="O1083">
        <v>0</v>
      </c>
      <c r="P1083">
        <v>0</v>
      </c>
      <c r="Q1083">
        <v>271</v>
      </c>
      <c r="R1083">
        <v>0</v>
      </c>
      <c r="S1083">
        <v>0</v>
      </c>
      <c r="T1083">
        <v>23</v>
      </c>
      <c r="U1083">
        <v>0</v>
      </c>
      <c r="V1083">
        <v>0</v>
      </c>
      <c r="W1083">
        <v>0</v>
      </c>
      <c r="X1083">
        <v>0</v>
      </c>
      <c r="Y1083">
        <v>63</v>
      </c>
      <c r="Z1083">
        <v>25</v>
      </c>
      <c r="AA1083">
        <v>0</v>
      </c>
      <c r="AB1083">
        <v>0</v>
      </c>
      <c r="AC1083">
        <v>0</v>
      </c>
      <c r="AD1083">
        <v>0</v>
      </c>
      <c r="AE1083">
        <v>111</v>
      </c>
      <c r="AF1083">
        <v>250</v>
      </c>
      <c r="AJ1083">
        <v>5.2857000000000003</v>
      </c>
      <c r="AK1083" t="str">
        <f t="shared" si="16"/>
        <v>WX350-6200</v>
      </c>
    </row>
    <row r="1084" spans="1:37">
      <c r="A1084" t="s">
        <v>1966</v>
      </c>
      <c r="B1084" t="s">
        <v>1967</v>
      </c>
      <c r="C1084" t="s">
        <v>1514</v>
      </c>
      <c r="E1084">
        <v>43</v>
      </c>
      <c r="F1084">
        <v>0</v>
      </c>
      <c r="G1084">
        <v>0</v>
      </c>
      <c r="H1084">
        <v>0</v>
      </c>
      <c r="I1084">
        <v>0</v>
      </c>
      <c r="J1084">
        <v>14</v>
      </c>
      <c r="K1084">
        <v>793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793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87</v>
      </c>
      <c r="AA1084">
        <v>0</v>
      </c>
      <c r="AB1084">
        <v>85</v>
      </c>
      <c r="AC1084">
        <v>0</v>
      </c>
      <c r="AD1084">
        <v>0</v>
      </c>
      <c r="AE1084">
        <v>172</v>
      </c>
      <c r="AF1084">
        <v>0</v>
      </c>
      <c r="AJ1084">
        <v>5</v>
      </c>
      <c r="AK1084" t="str">
        <f t="shared" si="16"/>
        <v>WX360-6200</v>
      </c>
    </row>
    <row r="1085" spans="1:37">
      <c r="A1085" t="s">
        <v>1968</v>
      </c>
      <c r="B1085" t="s">
        <v>1969</v>
      </c>
      <c r="C1085" t="s">
        <v>110</v>
      </c>
      <c r="D1085" t="s">
        <v>1970</v>
      </c>
      <c r="E1085">
        <v>50</v>
      </c>
      <c r="F1085">
        <v>0.6</v>
      </c>
      <c r="G1085">
        <v>150</v>
      </c>
      <c r="H1085">
        <v>175</v>
      </c>
      <c r="I1085">
        <v>266</v>
      </c>
      <c r="J1085">
        <v>434</v>
      </c>
      <c r="K1085">
        <v>520</v>
      </c>
      <c r="L1085">
        <v>165</v>
      </c>
      <c r="M1085">
        <v>0</v>
      </c>
      <c r="N1085">
        <v>125</v>
      </c>
      <c r="O1085">
        <v>0</v>
      </c>
      <c r="P1085">
        <v>0</v>
      </c>
      <c r="Q1085">
        <v>395</v>
      </c>
      <c r="R1085">
        <v>0</v>
      </c>
      <c r="S1085">
        <v>207</v>
      </c>
      <c r="T1085">
        <v>0</v>
      </c>
      <c r="U1085">
        <v>318</v>
      </c>
      <c r="V1085">
        <v>424</v>
      </c>
      <c r="W1085">
        <v>410</v>
      </c>
      <c r="X1085">
        <v>238</v>
      </c>
      <c r="Y1085">
        <v>214</v>
      </c>
      <c r="Z1085">
        <v>499</v>
      </c>
      <c r="AA1085">
        <v>347</v>
      </c>
      <c r="AB1085">
        <v>327</v>
      </c>
      <c r="AC1085">
        <v>1562</v>
      </c>
      <c r="AD1085">
        <v>656</v>
      </c>
      <c r="AE1085">
        <v>5202</v>
      </c>
      <c r="AF1085">
        <v>9645</v>
      </c>
      <c r="AJ1085">
        <v>4.1500000000000004</v>
      </c>
      <c r="AK1085" t="str">
        <f t="shared" si="16"/>
        <v>WX421-5000</v>
      </c>
    </row>
    <row r="1086" spans="1:37">
      <c r="A1086" t="s">
        <v>1971</v>
      </c>
      <c r="B1086" t="s">
        <v>1969</v>
      </c>
      <c r="C1086" t="s">
        <v>110</v>
      </c>
      <c r="D1086" t="s">
        <v>1970</v>
      </c>
      <c r="E1086">
        <v>50</v>
      </c>
      <c r="F1086">
        <v>3.8</v>
      </c>
      <c r="G1086">
        <v>135</v>
      </c>
      <c r="H1086">
        <v>228</v>
      </c>
      <c r="I1086">
        <v>477</v>
      </c>
      <c r="J1086">
        <v>471</v>
      </c>
      <c r="K1086">
        <v>3546</v>
      </c>
      <c r="L1086">
        <v>200</v>
      </c>
      <c r="M1086">
        <v>0</v>
      </c>
      <c r="N1086">
        <v>112</v>
      </c>
      <c r="O1086">
        <v>0</v>
      </c>
      <c r="P1086">
        <v>0</v>
      </c>
      <c r="Q1086">
        <v>3434</v>
      </c>
      <c r="R1086">
        <v>0</v>
      </c>
      <c r="S1086">
        <v>430</v>
      </c>
      <c r="T1086">
        <v>0</v>
      </c>
      <c r="U1086">
        <v>255</v>
      </c>
      <c r="V1086">
        <v>16</v>
      </c>
      <c r="W1086">
        <v>206</v>
      </c>
      <c r="X1086">
        <v>1955</v>
      </c>
      <c r="Y1086">
        <v>912</v>
      </c>
      <c r="Z1086">
        <v>450</v>
      </c>
      <c r="AA1086">
        <v>0</v>
      </c>
      <c r="AB1086">
        <v>123</v>
      </c>
      <c r="AC1086">
        <v>1118</v>
      </c>
      <c r="AD1086">
        <v>182</v>
      </c>
      <c r="AE1086">
        <v>5647</v>
      </c>
      <c r="AF1086">
        <v>7352</v>
      </c>
      <c r="AJ1086">
        <v>3.13</v>
      </c>
      <c r="AK1086" t="str">
        <f t="shared" si="16"/>
        <v>WX421-6200</v>
      </c>
    </row>
    <row r="1087" spans="1:37">
      <c r="A1087" t="s">
        <v>1972</v>
      </c>
      <c r="B1087" t="s">
        <v>1973</v>
      </c>
      <c r="C1087" t="s">
        <v>267</v>
      </c>
      <c r="E1087">
        <v>50</v>
      </c>
      <c r="F1087">
        <v>0</v>
      </c>
      <c r="G1087">
        <v>0</v>
      </c>
      <c r="H1087">
        <v>0</v>
      </c>
      <c r="I1087">
        <v>139</v>
      </c>
      <c r="J1087">
        <v>120</v>
      </c>
      <c r="K1087">
        <v>389</v>
      </c>
      <c r="L1087">
        <v>137</v>
      </c>
      <c r="M1087">
        <v>0</v>
      </c>
      <c r="N1087">
        <v>0</v>
      </c>
      <c r="O1087">
        <v>0</v>
      </c>
      <c r="P1087">
        <v>0</v>
      </c>
      <c r="Q1087">
        <v>389</v>
      </c>
      <c r="R1087">
        <v>0</v>
      </c>
      <c r="S1087">
        <v>0</v>
      </c>
      <c r="T1087">
        <v>0</v>
      </c>
      <c r="U1087">
        <v>0</v>
      </c>
      <c r="V1087">
        <v>114</v>
      </c>
      <c r="W1087">
        <v>406</v>
      </c>
      <c r="X1087">
        <v>312</v>
      </c>
      <c r="Y1087">
        <v>100</v>
      </c>
      <c r="Z1087">
        <v>0</v>
      </c>
      <c r="AA1087">
        <v>138</v>
      </c>
      <c r="AB1087">
        <v>297</v>
      </c>
      <c r="AC1087">
        <v>67</v>
      </c>
      <c r="AD1087">
        <v>0</v>
      </c>
      <c r="AE1087">
        <v>1434</v>
      </c>
      <c r="AF1087">
        <v>1029</v>
      </c>
      <c r="AJ1087">
        <v>5.19</v>
      </c>
      <c r="AK1087" t="str">
        <f t="shared" si="16"/>
        <v>WX440-5000</v>
      </c>
    </row>
    <row r="1088" spans="1:37">
      <c r="A1088" t="s">
        <v>1974</v>
      </c>
      <c r="B1088" t="s">
        <v>1973</v>
      </c>
      <c r="C1088" t="s">
        <v>267</v>
      </c>
      <c r="E1088">
        <v>50</v>
      </c>
      <c r="F1088">
        <v>28.9</v>
      </c>
      <c r="G1088">
        <v>0</v>
      </c>
      <c r="H1088">
        <v>16</v>
      </c>
      <c r="I1088">
        <v>98</v>
      </c>
      <c r="J1088">
        <v>84</v>
      </c>
      <c r="K1088">
        <v>1847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1847</v>
      </c>
      <c r="R1088">
        <v>0</v>
      </c>
      <c r="S1088">
        <v>26</v>
      </c>
      <c r="T1088">
        <v>22</v>
      </c>
      <c r="U1088">
        <v>0</v>
      </c>
      <c r="V1088">
        <v>526</v>
      </c>
      <c r="W1088">
        <v>0</v>
      </c>
      <c r="X1088">
        <v>15</v>
      </c>
      <c r="Y1088">
        <v>0</v>
      </c>
      <c r="Z1088">
        <v>0</v>
      </c>
      <c r="AA1088">
        <v>367</v>
      </c>
      <c r="AB1088">
        <v>0</v>
      </c>
      <c r="AC1088">
        <v>51</v>
      </c>
      <c r="AD1088">
        <v>0</v>
      </c>
      <c r="AE1088">
        <v>1007</v>
      </c>
      <c r="AF1088">
        <v>736</v>
      </c>
      <c r="AJ1088">
        <v>5.49</v>
      </c>
      <c r="AK1088" t="str">
        <f t="shared" si="16"/>
        <v>WX440-6200</v>
      </c>
    </row>
    <row r="1089" spans="1:37">
      <c r="A1089" t="s">
        <v>1975</v>
      </c>
      <c r="B1089" t="s">
        <v>1976</v>
      </c>
      <c r="C1089" t="s">
        <v>267</v>
      </c>
      <c r="D1089" t="s">
        <v>1977</v>
      </c>
      <c r="E1089">
        <v>50</v>
      </c>
      <c r="F1089">
        <v>0</v>
      </c>
      <c r="G1089">
        <v>0</v>
      </c>
      <c r="H1089">
        <v>0</v>
      </c>
      <c r="I1089">
        <v>88</v>
      </c>
      <c r="J1089">
        <v>49</v>
      </c>
      <c r="K1089">
        <v>2197</v>
      </c>
      <c r="L1089">
        <v>6</v>
      </c>
      <c r="M1089">
        <v>0</v>
      </c>
      <c r="N1089">
        <v>0</v>
      </c>
      <c r="O1089">
        <v>0</v>
      </c>
      <c r="P1089">
        <v>0</v>
      </c>
      <c r="Q1089">
        <v>2197</v>
      </c>
      <c r="R1089">
        <v>0</v>
      </c>
      <c r="S1089">
        <v>0</v>
      </c>
      <c r="T1089">
        <v>0</v>
      </c>
      <c r="U1089">
        <v>0</v>
      </c>
      <c r="V1089">
        <v>505</v>
      </c>
      <c r="W1089">
        <v>23</v>
      </c>
      <c r="X1089">
        <v>0</v>
      </c>
      <c r="Y1089">
        <v>27</v>
      </c>
      <c r="Z1089">
        <v>8</v>
      </c>
      <c r="AA1089">
        <v>0</v>
      </c>
      <c r="AB1089">
        <v>21</v>
      </c>
      <c r="AC1089">
        <v>0</v>
      </c>
      <c r="AD1089">
        <v>0</v>
      </c>
      <c r="AE1089">
        <v>584</v>
      </c>
      <c r="AF1089">
        <v>902</v>
      </c>
      <c r="AJ1089">
        <v>5.35</v>
      </c>
      <c r="AK1089" t="str">
        <f t="shared" si="16"/>
        <v>WX600-5000</v>
      </c>
    </row>
    <row r="1090" spans="1:37">
      <c r="A1090" t="s">
        <v>1978</v>
      </c>
      <c r="B1090" t="s">
        <v>1976</v>
      </c>
      <c r="C1090" t="s">
        <v>267</v>
      </c>
      <c r="D1090" t="s">
        <v>1977</v>
      </c>
      <c r="E1090">
        <v>50</v>
      </c>
      <c r="F1090">
        <v>0</v>
      </c>
      <c r="G1090">
        <v>0</v>
      </c>
      <c r="H1090">
        <v>0</v>
      </c>
      <c r="I1090">
        <v>4</v>
      </c>
      <c r="J1090">
        <v>5</v>
      </c>
      <c r="K1090">
        <v>1264</v>
      </c>
      <c r="L1090">
        <v>4</v>
      </c>
      <c r="M1090">
        <v>0</v>
      </c>
      <c r="N1090">
        <v>0</v>
      </c>
      <c r="O1090">
        <v>0</v>
      </c>
      <c r="P1090">
        <v>0</v>
      </c>
      <c r="Q1090">
        <v>1264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25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35</v>
      </c>
      <c r="AD1090">
        <v>0</v>
      </c>
      <c r="AE1090">
        <v>60</v>
      </c>
      <c r="AF1090">
        <v>33</v>
      </c>
      <c r="AJ1090">
        <v>5.19</v>
      </c>
      <c r="AK1090" t="str">
        <f t="shared" si="16"/>
        <v>WX600-6200</v>
      </c>
    </row>
    <row r="1091" spans="1:37">
      <c r="A1091" t="s">
        <v>1979</v>
      </c>
      <c r="B1091" t="s">
        <v>1980</v>
      </c>
      <c r="C1091" t="s">
        <v>1981</v>
      </c>
      <c r="D1091" t="s">
        <v>1982</v>
      </c>
      <c r="E1091">
        <v>50</v>
      </c>
      <c r="F1091">
        <v>30.8</v>
      </c>
      <c r="G1091">
        <v>19</v>
      </c>
      <c r="H1091">
        <v>28</v>
      </c>
      <c r="I1091">
        <v>93</v>
      </c>
      <c r="J1091">
        <v>77</v>
      </c>
      <c r="K1091">
        <v>3424</v>
      </c>
      <c r="L1091">
        <v>9</v>
      </c>
      <c r="M1091">
        <v>0</v>
      </c>
      <c r="N1091">
        <v>16</v>
      </c>
      <c r="O1091">
        <v>0</v>
      </c>
      <c r="P1091">
        <v>0</v>
      </c>
      <c r="Q1091">
        <v>3408</v>
      </c>
      <c r="R1091">
        <v>0</v>
      </c>
      <c r="S1091">
        <v>0</v>
      </c>
      <c r="T1091">
        <v>44</v>
      </c>
      <c r="U1091">
        <v>39</v>
      </c>
      <c r="V1091">
        <v>165</v>
      </c>
      <c r="W1091">
        <v>0</v>
      </c>
      <c r="X1091">
        <v>307</v>
      </c>
      <c r="Y1091">
        <v>312</v>
      </c>
      <c r="Z1091">
        <v>18</v>
      </c>
      <c r="AA1091">
        <v>0</v>
      </c>
      <c r="AB1091">
        <v>36</v>
      </c>
      <c r="AC1091">
        <v>8</v>
      </c>
      <c r="AD1091">
        <v>0</v>
      </c>
      <c r="AE1091">
        <v>929</v>
      </c>
      <c r="AF1091">
        <v>297</v>
      </c>
      <c r="AJ1091">
        <v>4.5999999999999996</v>
      </c>
      <c r="AK1091" t="str">
        <f t="shared" si="16"/>
        <v>WX800-5000</v>
      </c>
    </row>
    <row r="1092" spans="1:37">
      <c r="A1092" t="s">
        <v>1983</v>
      </c>
      <c r="B1092" t="s">
        <v>1980</v>
      </c>
      <c r="C1092" t="s">
        <v>1981</v>
      </c>
      <c r="D1092" t="s">
        <v>1982</v>
      </c>
      <c r="E1092">
        <v>50</v>
      </c>
      <c r="F1092">
        <v>0</v>
      </c>
      <c r="G1092">
        <v>0</v>
      </c>
      <c r="H1092">
        <v>0</v>
      </c>
      <c r="I1092">
        <v>20</v>
      </c>
      <c r="J1092">
        <v>25</v>
      </c>
      <c r="K1092">
        <v>6870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6870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122</v>
      </c>
      <c r="Y1092">
        <v>0</v>
      </c>
      <c r="Z1092">
        <v>0</v>
      </c>
      <c r="AA1092">
        <v>27</v>
      </c>
      <c r="AB1092">
        <v>0</v>
      </c>
      <c r="AC1092">
        <v>0</v>
      </c>
      <c r="AD1092">
        <v>153</v>
      </c>
      <c r="AE1092">
        <v>302</v>
      </c>
      <c r="AF1092">
        <v>1676</v>
      </c>
      <c r="AJ1092">
        <v>4.49</v>
      </c>
      <c r="AK1092" t="str">
        <f t="shared" si="16"/>
        <v>WX800-6200</v>
      </c>
    </row>
    <row r="1093" spans="1:37">
      <c r="A1093" t="s">
        <v>1984</v>
      </c>
      <c r="B1093" t="s">
        <v>1985</v>
      </c>
      <c r="C1093" t="s">
        <v>110</v>
      </c>
      <c r="D1093" t="s">
        <v>1986</v>
      </c>
      <c r="E1093">
        <v>50</v>
      </c>
      <c r="F1093">
        <v>15.5</v>
      </c>
      <c r="G1093">
        <v>9</v>
      </c>
      <c r="H1093">
        <v>37</v>
      </c>
      <c r="I1093">
        <v>149</v>
      </c>
      <c r="J1093">
        <v>193</v>
      </c>
      <c r="K1093">
        <v>2302</v>
      </c>
      <c r="L1093">
        <v>430</v>
      </c>
      <c r="M1093">
        <v>0</v>
      </c>
      <c r="N1093">
        <v>7</v>
      </c>
      <c r="O1093">
        <v>0</v>
      </c>
      <c r="P1093">
        <v>0</v>
      </c>
      <c r="Q1093">
        <v>2295</v>
      </c>
      <c r="R1093">
        <v>81</v>
      </c>
      <c r="S1093">
        <v>0</v>
      </c>
      <c r="T1093">
        <v>111</v>
      </c>
      <c r="U1093">
        <v>0</v>
      </c>
      <c r="V1093">
        <v>406</v>
      </c>
      <c r="W1093">
        <v>169</v>
      </c>
      <c r="X1093">
        <v>209</v>
      </c>
      <c r="Y1093">
        <v>0</v>
      </c>
      <c r="Z1093">
        <v>463</v>
      </c>
      <c r="AA1093">
        <v>154</v>
      </c>
      <c r="AB1093">
        <v>209</v>
      </c>
      <c r="AC1093">
        <v>296</v>
      </c>
      <c r="AD1093">
        <v>300</v>
      </c>
      <c r="AE1093">
        <v>2317</v>
      </c>
      <c r="AF1093">
        <v>3010</v>
      </c>
      <c r="AJ1093">
        <v>4.1399999999999997</v>
      </c>
      <c r="AK1093" t="str">
        <f t="shared" ref="AK1093:AK1156" si="17">MID(A1093,4,10)</f>
        <v>WY031-5000</v>
      </c>
    </row>
    <row r="1094" spans="1:37">
      <c r="A1094" t="s">
        <v>1987</v>
      </c>
      <c r="B1094" t="s">
        <v>1985</v>
      </c>
      <c r="C1094" t="s">
        <v>110</v>
      </c>
      <c r="D1094" t="s">
        <v>1988</v>
      </c>
      <c r="E1094">
        <v>50</v>
      </c>
      <c r="F1094">
        <v>1.7</v>
      </c>
      <c r="G1094">
        <v>27</v>
      </c>
      <c r="H1094">
        <v>53</v>
      </c>
      <c r="I1094">
        <v>53</v>
      </c>
      <c r="J1094">
        <v>69</v>
      </c>
      <c r="K1094">
        <v>375</v>
      </c>
      <c r="L1094">
        <v>94</v>
      </c>
      <c r="M1094">
        <v>0</v>
      </c>
      <c r="N1094">
        <v>22</v>
      </c>
      <c r="O1094">
        <v>0</v>
      </c>
      <c r="P1094">
        <v>0</v>
      </c>
      <c r="Q1094">
        <v>353</v>
      </c>
      <c r="R1094">
        <v>20</v>
      </c>
      <c r="S1094">
        <v>15</v>
      </c>
      <c r="T1094">
        <v>126</v>
      </c>
      <c r="U1094">
        <v>18</v>
      </c>
      <c r="V1094">
        <v>51</v>
      </c>
      <c r="W1094">
        <v>85</v>
      </c>
      <c r="X1094">
        <v>22</v>
      </c>
      <c r="Y1094">
        <v>0</v>
      </c>
      <c r="Z1094">
        <v>95</v>
      </c>
      <c r="AA1094">
        <v>145</v>
      </c>
      <c r="AB1094">
        <v>253</v>
      </c>
      <c r="AC1094">
        <v>15</v>
      </c>
      <c r="AD1094">
        <v>0</v>
      </c>
      <c r="AE1094">
        <v>825</v>
      </c>
      <c r="AF1094">
        <v>631</v>
      </c>
      <c r="AJ1094">
        <v>4.6100000000000003</v>
      </c>
      <c r="AK1094" t="str">
        <f t="shared" si="17"/>
        <v>WY031-6200</v>
      </c>
    </row>
    <row r="1095" spans="1:37">
      <c r="A1095" t="s">
        <v>1989</v>
      </c>
      <c r="B1095" t="s">
        <v>1990</v>
      </c>
      <c r="C1095" t="s">
        <v>318</v>
      </c>
      <c r="D1095" t="s">
        <v>1991</v>
      </c>
      <c r="E1095">
        <v>50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1079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1079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J1095">
        <v>6.45</v>
      </c>
      <c r="AK1095" t="str">
        <f t="shared" si="17"/>
        <v>WY071-5000</v>
      </c>
    </row>
    <row r="1096" spans="1:37">
      <c r="A1096" t="s">
        <v>1992</v>
      </c>
      <c r="B1096" t="s">
        <v>1990</v>
      </c>
      <c r="C1096" t="s">
        <v>318</v>
      </c>
      <c r="D1096" t="s">
        <v>1991</v>
      </c>
      <c r="E1096">
        <v>50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2884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2884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J1096">
        <v>6.45</v>
      </c>
      <c r="AK1096" t="str">
        <f t="shared" si="17"/>
        <v>WY071-6200</v>
      </c>
    </row>
    <row r="1097" spans="1:37">
      <c r="A1097" t="s">
        <v>1993</v>
      </c>
      <c r="B1097" t="s">
        <v>1994</v>
      </c>
      <c r="C1097" t="s">
        <v>318</v>
      </c>
      <c r="D1097" t="s">
        <v>1995</v>
      </c>
      <c r="E1097">
        <v>65</v>
      </c>
      <c r="F1097">
        <v>2.9</v>
      </c>
      <c r="G1097">
        <v>107</v>
      </c>
      <c r="H1097">
        <v>211</v>
      </c>
      <c r="I1097">
        <v>150</v>
      </c>
      <c r="J1097">
        <v>135</v>
      </c>
      <c r="K1097">
        <v>2571</v>
      </c>
      <c r="L1097">
        <v>93</v>
      </c>
      <c r="M1097">
        <v>0</v>
      </c>
      <c r="N1097">
        <v>89</v>
      </c>
      <c r="O1097">
        <v>0</v>
      </c>
      <c r="P1097">
        <v>0</v>
      </c>
      <c r="Q1097">
        <v>2482</v>
      </c>
      <c r="R1097">
        <v>0</v>
      </c>
      <c r="S1097">
        <v>158</v>
      </c>
      <c r="T1097">
        <v>242</v>
      </c>
      <c r="U1097">
        <v>234</v>
      </c>
      <c r="V1097">
        <v>0</v>
      </c>
      <c r="W1097">
        <v>115</v>
      </c>
      <c r="X1097">
        <v>150</v>
      </c>
      <c r="Y1097">
        <v>0</v>
      </c>
      <c r="Z1097">
        <v>219</v>
      </c>
      <c r="AA1097">
        <v>152</v>
      </c>
      <c r="AB1097">
        <v>180</v>
      </c>
      <c r="AC1097">
        <v>168</v>
      </c>
      <c r="AD1097">
        <v>0</v>
      </c>
      <c r="AE1097">
        <v>1618</v>
      </c>
      <c r="AF1097">
        <v>1931</v>
      </c>
      <c r="AJ1097">
        <v>5.35</v>
      </c>
      <c r="AK1097" t="str">
        <f t="shared" si="17"/>
        <v>WY081-5000</v>
      </c>
    </row>
    <row r="1098" spans="1:37">
      <c r="A1098" t="s">
        <v>1996</v>
      </c>
      <c r="B1098" t="s">
        <v>1994</v>
      </c>
      <c r="C1098" t="s">
        <v>1558</v>
      </c>
      <c r="D1098" t="s">
        <v>1995</v>
      </c>
      <c r="E1098">
        <v>65</v>
      </c>
      <c r="F1098">
        <v>0</v>
      </c>
      <c r="G1098">
        <v>220</v>
      </c>
      <c r="H1098">
        <v>355</v>
      </c>
      <c r="I1098">
        <v>286</v>
      </c>
      <c r="J1098">
        <v>209</v>
      </c>
      <c r="K1098">
        <v>232</v>
      </c>
      <c r="L1098">
        <v>118</v>
      </c>
      <c r="M1098">
        <v>0</v>
      </c>
      <c r="N1098">
        <v>183</v>
      </c>
      <c r="O1098">
        <v>0</v>
      </c>
      <c r="P1098">
        <v>0</v>
      </c>
      <c r="Q1098">
        <v>49</v>
      </c>
      <c r="R1098">
        <v>0</v>
      </c>
      <c r="S1098">
        <v>370</v>
      </c>
      <c r="T1098">
        <v>635</v>
      </c>
      <c r="U1098">
        <v>61</v>
      </c>
      <c r="V1098">
        <v>90</v>
      </c>
      <c r="W1098">
        <v>427</v>
      </c>
      <c r="X1098">
        <v>132</v>
      </c>
      <c r="Y1098">
        <v>0</v>
      </c>
      <c r="Z1098">
        <v>416</v>
      </c>
      <c r="AA1098">
        <v>0</v>
      </c>
      <c r="AB1098">
        <v>233</v>
      </c>
      <c r="AC1098">
        <v>117</v>
      </c>
      <c r="AD1098">
        <v>24</v>
      </c>
      <c r="AE1098">
        <v>2505</v>
      </c>
      <c r="AF1098">
        <v>2600</v>
      </c>
      <c r="AG1098" t="s">
        <v>7482</v>
      </c>
      <c r="AH1098">
        <v>2</v>
      </c>
      <c r="AI1098">
        <v>499</v>
      </c>
      <c r="AJ1098">
        <v>5.35</v>
      </c>
      <c r="AK1098" t="str">
        <f t="shared" si="17"/>
        <v>WY081-6200</v>
      </c>
    </row>
    <row r="1099" spans="1:37">
      <c r="A1099" t="s">
        <v>1997</v>
      </c>
      <c r="B1099" t="s">
        <v>1998</v>
      </c>
      <c r="C1099" t="s">
        <v>110</v>
      </c>
      <c r="D1099" t="s">
        <v>306</v>
      </c>
      <c r="E1099">
        <v>43</v>
      </c>
      <c r="F1099">
        <v>1</v>
      </c>
      <c r="G1099">
        <v>169</v>
      </c>
      <c r="H1099">
        <v>133</v>
      </c>
      <c r="I1099">
        <v>107</v>
      </c>
      <c r="J1099">
        <v>86</v>
      </c>
      <c r="K1099">
        <v>668</v>
      </c>
      <c r="L1099">
        <v>61</v>
      </c>
      <c r="M1099">
        <v>0</v>
      </c>
      <c r="N1099">
        <v>141</v>
      </c>
      <c r="O1099">
        <v>0</v>
      </c>
      <c r="P1099">
        <v>0</v>
      </c>
      <c r="Q1099">
        <v>527</v>
      </c>
      <c r="R1099">
        <v>0</v>
      </c>
      <c r="S1099">
        <v>242</v>
      </c>
      <c r="T1099">
        <v>105</v>
      </c>
      <c r="U1099">
        <v>51</v>
      </c>
      <c r="V1099">
        <v>0</v>
      </c>
      <c r="W1099">
        <v>85</v>
      </c>
      <c r="X1099">
        <v>159</v>
      </c>
      <c r="Y1099">
        <v>107</v>
      </c>
      <c r="Z1099">
        <v>135</v>
      </c>
      <c r="AA1099">
        <v>0</v>
      </c>
      <c r="AB1099">
        <v>138</v>
      </c>
      <c r="AC1099">
        <v>0</v>
      </c>
      <c r="AD1099">
        <v>6</v>
      </c>
      <c r="AE1099">
        <v>1028</v>
      </c>
      <c r="AF1099">
        <v>1311</v>
      </c>
      <c r="AJ1099">
        <v>4.7699999999999996</v>
      </c>
      <c r="AK1099" t="str">
        <f t="shared" si="17"/>
        <v>WY131-5000</v>
      </c>
    </row>
    <row r="1100" spans="1:37">
      <c r="A1100" t="s">
        <v>1999</v>
      </c>
      <c r="B1100" t="s">
        <v>1998</v>
      </c>
      <c r="C1100" t="s">
        <v>110</v>
      </c>
      <c r="D1100" t="s">
        <v>306</v>
      </c>
      <c r="E1100">
        <v>43</v>
      </c>
      <c r="F1100">
        <v>26.4</v>
      </c>
      <c r="G1100">
        <v>21</v>
      </c>
      <c r="H1100">
        <v>27</v>
      </c>
      <c r="I1100">
        <v>28</v>
      </c>
      <c r="J1100">
        <v>19</v>
      </c>
      <c r="K1100">
        <v>2829</v>
      </c>
      <c r="L1100">
        <v>21</v>
      </c>
      <c r="M1100">
        <v>0</v>
      </c>
      <c r="N1100">
        <v>17</v>
      </c>
      <c r="O1100">
        <v>0</v>
      </c>
      <c r="P1100">
        <v>0</v>
      </c>
      <c r="Q1100">
        <v>2812</v>
      </c>
      <c r="R1100">
        <v>0</v>
      </c>
      <c r="S1100">
        <v>29</v>
      </c>
      <c r="T1100">
        <v>51</v>
      </c>
      <c r="U1100">
        <v>0</v>
      </c>
      <c r="V1100">
        <v>0</v>
      </c>
      <c r="W1100">
        <v>90</v>
      </c>
      <c r="X1100">
        <v>0</v>
      </c>
      <c r="Y1100">
        <v>13</v>
      </c>
      <c r="Z1100">
        <v>16</v>
      </c>
      <c r="AA1100">
        <v>0</v>
      </c>
      <c r="AB1100">
        <v>0</v>
      </c>
      <c r="AC1100">
        <v>25</v>
      </c>
      <c r="AD1100">
        <v>0</v>
      </c>
      <c r="AE1100">
        <v>224</v>
      </c>
      <c r="AF1100">
        <v>629</v>
      </c>
      <c r="AJ1100">
        <v>4.8899999999999997</v>
      </c>
      <c r="AK1100" t="str">
        <f t="shared" si="17"/>
        <v>WY131-6200</v>
      </c>
    </row>
    <row r="1101" spans="1:37">
      <c r="A1101" t="s">
        <v>2000</v>
      </c>
      <c r="B1101" t="s">
        <v>2001</v>
      </c>
      <c r="C1101" t="s">
        <v>329</v>
      </c>
      <c r="D1101" t="s">
        <v>342</v>
      </c>
      <c r="E1101">
        <v>43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2631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2631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J1101">
        <v>4.92</v>
      </c>
      <c r="AK1101" t="str">
        <f t="shared" si="17"/>
        <v>WY150-5000</v>
      </c>
    </row>
    <row r="1102" spans="1:37">
      <c r="A1102" t="s">
        <v>2002</v>
      </c>
      <c r="B1102" t="s">
        <v>2001</v>
      </c>
      <c r="C1102" t="s">
        <v>329</v>
      </c>
      <c r="D1102" t="s">
        <v>342</v>
      </c>
      <c r="E1102">
        <v>43</v>
      </c>
      <c r="F1102">
        <v>0</v>
      </c>
      <c r="G1102">
        <v>0</v>
      </c>
      <c r="H1102">
        <v>0</v>
      </c>
      <c r="I1102">
        <v>0</v>
      </c>
      <c r="J1102">
        <v>25</v>
      </c>
      <c r="K1102">
        <v>1046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1046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300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300</v>
      </c>
      <c r="AF1102">
        <v>0</v>
      </c>
      <c r="AJ1102">
        <v>4.92</v>
      </c>
      <c r="AK1102" t="str">
        <f t="shared" si="17"/>
        <v>WY150-6200</v>
      </c>
    </row>
    <row r="1103" spans="1:37">
      <c r="A1103" t="s">
        <v>2003</v>
      </c>
      <c r="B1103" t="s">
        <v>2004</v>
      </c>
      <c r="C1103" t="s">
        <v>329</v>
      </c>
      <c r="D1103" t="s">
        <v>2005</v>
      </c>
      <c r="E1103">
        <v>50</v>
      </c>
      <c r="F1103">
        <v>0.4</v>
      </c>
      <c r="G1103">
        <v>528</v>
      </c>
      <c r="H1103">
        <v>561</v>
      </c>
      <c r="I1103">
        <v>565</v>
      </c>
      <c r="J1103">
        <v>613</v>
      </c>
      <c r="K1103">
        <v>1286</v>
      </c>
      <c r="L1103">
        <v>233</v>
      </c>
      <c r="M1103">
        <v>0</v>
      </c>
      <c r="N1103">
        <v>440</v>
      </c>
      <c r="O1103">
        <v>0</v>
      </c>
      <c r="P1103">
        <v>0</v>
      </c>
      <c r="Q1103">
        <v>846</v>
      </c>
      <c r="R1103">
        <v>178</v>
      </c>
      <c r="S1103">
        <v>354</v>
      </c>
      <c r="T1103">
        <v>850</v>
      </c>
      <c r="U1103">
        <v>479</v>
      </c>
      <c r="V1103">
        <v>1269</v>
      </c>
      <c r="W1103">
        <v>305</v>
      </c>
      <c r="X1103">
        <v>133</v>
      </c>
      <c r="Y1103">
        <v>1130</v>
      </c>
      <c r="Z1103">
        <v>0</v>
      </c>
      <c r="AA1103">
        <v>980</v>
      </c>
      <c r="AB1103">
        <v>344</v>
      </c>
      <c r="AC1103">
        <v>245</v>
      </c>
      <c r="AD1103">
        <v>1271</v>
      </c>
      <c r="AE1103">
        <v>7360</v>
      </c>
      <c r="AF1103">
        <v>7525</v>
      </c>
      <c r="AJ1103">
        <v>3.97</v>
      </c>
      <c r="AK1103" t="str">
        <f t="shared" si="17"/>
        <v>WY160-5000</v>
      </c>
    </row>
    <row r="1104" spans="1:37">
      <c r="A1104" t="s">
        <v>2006</v>
      </c>
      <c r="B1104" t="s">
        <v>2004</v>
      </c>
      <c r="C1104" t="s">
        <v>329</v>
      </c>
      <c r="D1104" t="s">
        <v>2005</v>
      </c>
      <c r="E1104">
        <v>50</v>
      </c>
      <c r="F1104">
        <v>0.1</v>
      </c>
      <c r="G1104">
        <v>2858</v>
      </c>
      <c r="H1104">
        <v>469</v>
      </c>
      <c r="I1104">
        <v>431</v>
      </c>
      <c r="J1104">
        <v>433</v>
      </c>
      <c r="K1104">
        <v>2592</v>
      </c>
      <c r="L1104">
        <v>973</v>
      </c>
      <c r="M1104">
        <v>0</v>
      </c>
      <c r="N1104">
        <v>2382</v>
      </c>
      <c r="O1104">
        <v>0</v>
      </c>
      <c r="P1104">
        <v>0</v>
      </c>
      <c r="Q1104">
        <v>210</v>
      </c>
      <c r="R1104">
        <v>0</v>
      </c>
      <c r="S1104">
        <v>570</v>
      </c>
      <c r="T1104">
        <v>492</v>
      </c>
      <c r="U1104">
        <v>345</v>
      </c>
      <c r="V1104">
        <v>289</v>
      </c>
      <c r="W1104">
        <v>511</v>
      </c>
      <c r="X1104">
        <v>377</v>
      </c>
      <c r="Y1104">
        <v>1154</v>
      </c>
      <c r="Z1104">
        <v>0</v>
      </c>
      <c r="AA1104">
        <v>400</v>
      </c>
      <c r="AB1104">
        <v>103</v>
      </c>
      <c r="AC1104">
        <v>343</v>
      </c>
      <c r="AD1104">
        <v>613</v>
      </c>
      <c r="AE1104">
        <v>5197</v>
      </c>
      <c r="AF1104">
        <v>27302</v>
      </c>
      <c r="AJ1104">
        <v>3.74</v>
      </c>
      <c r="AK1104" t="str">
        <f t="shared" si="17"/>
        <v>WY160-6200</v>
      </c>
    </row>
    <row r="1105" spans="1:37">
      <c r="A1105" t="s">
        <v>2007</v>
      </c>
      <c r="B1105" t="s">
        <v>2008</v>
      </c>
      <c r="C1105" t="s">
        <v>329</v>
      </c>
      <c r="D1105" t="s">
        <v>292</v>
      </c>
      <c r="E1105">
        <v>50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400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400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J1105">
        <v>3.96</v>
      </c>
      <c r="AK1105" t="str">
        <f t="shared" si="17"/>
        <v>WY351-3700</v>
      </c>
    </row>
    <row r="1106" spans="1:37">
      <c r="A1106" t="s">
        <v>2009</v>
      </c>
      <c r="B1106" t="s">
        <v>2008</v>
      </c>
      <c r="C1106" t="s">
        <v>329</v>
      </c>
      <c r="D1106" t="s">
        <v>1422</v>
      </c>
      <c r="E1106">
        <v>50</v>
      </c>
      <c r="F1106">
        <v>-0.4</v>
      </c>
      <c r="G1106">
        <v>43</v>
      </c>
      <c r="H1106">
        <v>22</v>
      </c>
      <c r="I1106">
        <v>23</v>
      </c>
      <c r="J1106">
        <v>38</v>
      </c>
      <c r="K1106">
        <v>0</v>
      </c>
      <c r="L1106">
        <v>51</v>
      </c>
      <c r="M1106">
        <v>0</v>
      </c>
      <c r="N1106">
        <v>36</v>
      </c>
      <c r="O1106">
        <v>0</v>
      </c>
      <c r="P1106">
        <v>0</v>
      </c>
      <c r="Q1106">
        <v>-36</v>
      </c>
      <c r="R1106">
        <v>0</v>
      </c>
      <c r="S1106">
        <v>67</v>
      </c>
      <c r="T1106">
        <v>0</v>
      </c>
      <c r="U1106">
        <v>0</v>
      </c>
      <c r="V1106">
        <v>0</v>
      </c>
      <c r="W1106">
        <v>72</v>
      </c>
      <c r="X1106">
        <v>0</v>
      </c>
      <c r="Y1106">
        <v>113</v>
      </c>
      <c r="Z1106">
        <v>0</v>
      </c>
      <c r="AA1106">
        <v>0</v>
      </c>
      <c r="AB1106">
        <v>0</v>
      </c>
      <c r="AC1106">
        <v>109</v>
      </c>
      <c r="AD1106">
        <v>92</v>
      </c>
      <c r="AE1106">
        <v>453</v>
      </c>
      <c r="AF1106">
        <v>486</v>
      </c>
      <c r="AJ1106">
        <v>5.49</v>
      </c>
      <c r="AK1106" t="str">
        <f t="shared" si="17"/>
        <v>WY351-5000</v>
      </c>
    </row>
    <row r="1107" spans="1:37">
      <c r="A1107" t="s">
        <v>2010</v>
      </c>
      <c r="B1107" t="s">
        <v>2008</v>
      </c>
      <c r="C1107" t="s">
        <v>329</v>
      </c>
      <c r="D1107" t="s">
        <v>292</v>
      </c>
      <c r="E1107">
        <v>50</v>
      </c>
      <c r="F1107">
        <v>0.7</v>
      </c>
      <c r="G1107">
        <v>5</v>
      </c>
      <c r="H1107">
        <v>89</v>
      </c>
      <c r="I1107">
        <v>48</v>
      </c>
      <c r="J1107">
        <v>33</v>
      </c>
      <c r="K1107">
        <v>245</v>
      </c>
      <c r="L1107">
        <v>39</v>
      </c>
      <c r="M1107">
        <v>0</v>
      </c>
      <c r="N1107">
        <v>4</v>
      </c>
      <c r="O1107">
        <v>0</v>
      </c>
      <c r="P1107">
        <v>0</v>
      </c>
      <c r="Q1107">
        <v>241</v>
      </c>
      <c r="R1107">
        <v>0</v>
      </c>
      <c r="S1107">
        <v>268</v>
      </c>
      <c r="T1107">
        <v>0</v>
      </c>
      <c r="U1107">
        <v>0</v>
      </c>
      <c r="V1107">
        <v>17</v>
      </c>
      <c r="W1107">
        <v>0</v>
      </c>
      <c r="X1107">
        <v>0</v>
      </c>
      <c r="Y1107">
        <v>0</v>
      </c>
      <c r="Z1107">
        <v>95</v>
      </c>
      <c r="AA1107">
        <v>0</v>
      </c>
      <c r="AB1107">
        <v>0</v>
      </c>
      <c r="AC1107">
        <v>0</v>
      </c>
      <c r="AD1107">
        <v>14</v>
      </c>
      <c r="AE1107">
        <v>394</v>
      </c>
      <c r="AF1107">
        <v>332</v>
      </c>
      <c r="AJ1107">
        <v>6.14</v>
      </c>
      <c r="AK1107" t="str">
        <f t="shared" si="17"/>
        <v>WY351-6200</v>
      </c>
    </row>
    <row r="1108" spans="1:37">
      <c r="A1108" t="s">
        <v>2011</v>
      </c>
      <c r="B1108" t="s">
        <v>2012</v>
      </c>
      <c r="C1108" t="s">
        <v>338</v>
      </c>
      <c r="D1108" t="s">
        <v>1782</v>
      </c>
      <c r="E1108">
        <v>43</v>
      </c>
      <c r="F1108">
        <v>0</v>
      </c>
      <c r="G1108">
        <v>9</v>
      </c>
      <c r="H1108">
        <v>0</v>
      </c>
      <c r="I1108">
        <v>0</v>
      </c>
      <c r="J1108">
        <v>3</v>
      </c>
      <c r="K1108">
        <v>883</v>
      </c>
      <c r="L1108">
        <v>6</v>
      </c>
      <c r="M1108">
        <v>0</v>
      </c>
      <c r="N1108">
        <v>8</v>
      </c>
      <c r="O1108">
        <v>0</v>
      </c>
      <c r="P1108">
        <v>0</v>
      </c>
      <c r="Q1108">
        <v>875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8</v>
      </c>
      <c r="Z1108">
        <v>0</v>
      </c>
      <c r="AA1108">
        <v>9</v>
      </c>
      <c r="AB1108">
        <v>22</v>
      </c>
      <c r="AC1108">
        <v>0</v>
      </c>
      <c r="AD1108">
        <v>0</v>
      </c>
      <c r="AE1108">
        <v>39</v>
      </c>
      <c r="AF1108">
        <v>17</v>
      </c>
      <c r="AJ1108">
        <v>5.0999999999999996</v>
      </c>
      <c r="AK1108" t="str">
        <f t="shared" si="17"/>
        <v>WZ150-5000</v>
      </c>
    </row>
    <row r="1109" spans="1:37">
      <c r="A1109" t="s">
        <v>2013</v>
      </c>
      <c r="B1109" t="s">
        <v>2012</v>
      </c>
      <c r="C1109" t="s">
        <v>338</v>
      </c>
      <c r="D1109" t="s">
        <v>1782</v>
      </c>
      <c r="E1109">
        <v>43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2677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2677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16</v>
      </c>
      <c r="AJ1109">
        <v>5.0999999999999996</v>
      </c>
      <c r="AK1109" t="str">
        <f t="shared" si="17"/>
        <v>WZ150-6200</v>
      </c>
    </row>
    <row r="1110" spans="1:37">
      <c r="A1110" t="s">
        <v>2014</v>
      </c>
      <c r="B1110" t="s">
        <v>2015</v>
      </c>
      <c r="C1110" t="s">
        <v>338</v>
      </c>
      <c r="E1110">
        <v>43</v>
      </c>
      <c r="F1110">
        <v>214.5</v>
      </c>
      <c r="G1110">
        <v>7</v>
      </c>
      <c r="H1110">
        <v>4</v>
      </c>
      <c r="I1110">
        <v>9</v>
      </c>
      <c r="J1110">
        <v>11</v>
      </c>
      <c r="K1110">
        <v>3725</v>
      </c>
      <c r="L1110">
        <v>13</v>
      </c>
      <c r="M1110">
        <v>0</v>
      </c>
      <c r="N1110">
        <v>6</v>
      </c>
      <c r="O1110">
        <v>0</v>
      </c>
      <c r="P1110">
        <v>0</v>
      </c>
      <c r="Q1110">
        <v>3719</v>
      </c>
      <c r="R1110">
        <v>0</v>
      </c>
      <c r="S1110">
        <v>0</v>
      </c>
      <c r="T1110">
        <v>13</v>
      </c>
      <c r="U1110">
        <v>0</v>
      </c>
      <c r="V1110">
        <v>1</v>
      </c>
      <c r="W1110">
        <v>9</v>
      </c>
      <c r="X1110">
        <v>33</v>
      </c>
      <c r="Y1110">
        <v>0</v>
      </c>
      <c r="Z1110">
        <v>0</v>
      </c>
      <c r="AA1110">
        <v>0</v>
      </c>
      <c r="AB1110">
        <v>60</v>
      </c>
      <c r="AC1110">
        <v>0</v>
      </c>
      <c r="AD1110">
        <v>11</v>
      </c>
      <c r="AE1110">
        <v>127</v>
      </c>
      <c r="AF1110">
        <v>431</v>
      </c>
      <c r="AJ1110">
        <v>5.72</v>
      </c>
      <c r="AK1110" t="str">
        <f t="shared" si="17"/>
        <v>WZ160-5000</v>
      </c>
    </row>
    <row r="1111" spans="1:37">
      <c r="A1111" t="s">
        <v>2016</v>
      </c>
      <c r="B1111" t="s">
        <v>2015</v>
      </c>
      <c r="C1111" t="s">
        <v>338</v>
      </c>
      <c r="E1111">
        <v>43</v>
      </c>
      <c r="F1111">
        <v>1.2</v>
      </c>
      <c r="G1111">
        <v>0</v>
      </c>
      <c r="H1111">
        <v>331</v>
      </c>
      <c r="I1111">
        <v>177</v>
      </c>
      <c r="J1111">
        <v>212</v>
      </c>
      <c r="K1111">
        <v>1592</v>
      </c>
      <c r="L1111">
        <v>9</v>
      </c>
      <c r="M1111">
        <v>0</v>
      </c>
      <c r="N1111">
        <v>0</v>
      </c>
      <c r="O1111">
        <v>0</v>
      </c>
      <c r="P1111">
        <v>0</v>
      </c>
      <c r="Q1111">
        <v>1592</v>
      </c>
      <c r="R1111">
        <v>0</v>
      </c>
      <c r="S1111">
        <v>0</v>
      </c>
      <c r="T1111">
        <v>0</v>
      </c>
      <c r="U1111">
        <v>994</v>
      </c>
      <c r="V1111">
        <v>0</v>
      </c>
      <c r="W1111">
        <v>5</v>
      </c>
      <c r="X1111">
        <v>64</v>
      </c>
      <c r="Y1111">
        <v>0</v>
      </c>
      <c r="Z1111">
        <v>934</v>
      </c>
      <c r="AA1111">
        <v>544</v>
      </c>
      <c r="AB1111">
        <v>0</v>
      </c>
      <c r="AC1111">
        <v>0</v>
      </c>
      <c r="AD1111">
        <v>0</v>
      </c>
      <c r="AE1111">
        <v>2541</v>
      </c>
      <c r="AF1111">
        <v>2576</v>
      </c>
      <c r="AJ1111">
        <v>5.72</v>
      </c>
      <c r="AK1111" t="str">
        <f t="shared" si="17"/>
        <v>WZ160-6200</v>
      </c>
    </row>
    <row r="1112" spans="1:37">
      <c r="A1112" t="s">
        <v>2017</v>
      </c>
      <c r="B1112" t="s">
        <v>2018</v>
      </c>
      <c r="C1112" t="s">
        <v>338</v>
      </c>
      <c r="D1112" t="s">
        <v>1782</v>
      </c>
      <c r="E1112">
        <v>43</v>
      </c>
      <c r="F1112">
        <v>24</v>
      </c>
      <c r="G1112">
        <v>7</v>
      </c>
      <c r="H1112">
        <v>23</v>
      </c>
      <c r="I1112">
        <v>13</v>
      </c>
      <c r="J1112">
        <v>12</v>
      </c>
      <c r="K1112">
        <v>2183</v>
      </c>
      <c r="L1112">
        <v>8</v>
      </c>
      <c r="M1112">
        <v>0</v>
      </c>
      <c r="N1112">
        <v>6</v>
      </c>
      <c r="O1112">
        <v>0</v>
      </c>
      <c r="P1112">
        <v>0</v>
      </c>
      <c r="Q1112">
        <v>2177</v>
      </c>
      <c r="R1112">
        <v>2</v>
      </c>
      <c r="S1112">
        <v>0</v>
      </c>
      <c r="T1112">
        <v>27</v>
      </c>
      <c r="U1112">
        <v>41</v>
      </c>
      <c r="V1112">
        <v>0</v>
      </c>
      <c r="W1112">
        <v>0</v>
      </c>
      <c r="X1112">
        <v>10</v>
      </c>
      <c r="Y1112">
        <v>0</v>
      </c>
      <c r="Z1112">
        <v>35</v>
      </c>
      <c r="AA1112">
        <v>14</v>
      </c>
      <c r="AB1112">
        <v>10</v>
      </c>
      <c r="AC1112">
        <v>4</v>
      </c>
      <c r="AD1112">
        <v>0</v>
      </c>
      <c r="AE1112">
        <v>141</v>
      </c>
      <c r="AF1112">
        <v>339</v>
      </c>
      <c r="AJ1112">
        <v>6.7</v>
      </c>
      <c r="AK1112" t="str">
        <f t="shared" si="17"/>
        <v>WZ460-5000</v>
      </c>
    </row>
    <row r="1113" spans="1:37">
      <c r="A1113" t="s">
        <v>2019</v>
      </c>
      <c r="B1113" t="s">
        <v>2018</v>
      </c>
      <c r="C1113" t="s">
        <v>338</v>
      </c>
      <c r="D1113" t="s">
        <v>1782</v>
      </c>
      <c r="E1113">
        <v>43</v>
      </c>
      <c r="F1113">
        <v>38.4</v>
      </c>
      <c r="G1113">
        <v>0</v>
      </c>
      <c r="H1113">
        <v>8</v>
      </c>
      <c r="I1113">
        <v>40</v>
      </c>
      <c r="J1113">
        <v>24</v>
      </c>
      <c r="K1113">
        <v>1279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1279</v>
      </c>
      <c r="R1113">
        <v>0</v>
      </c>
      <c r="S1113">
        <v>0</v>
      </c>
      <c r="T1113">
        <v>0</v>
      </c>
      <c r="U1113">
        <v>25</v>
      </c>
      <c r="V1113">
        <v>211</v>
      </c>
      <c r="W1113">
        <v>0</v>
      </c>
      <c r="X1113">
        <v>1</v>
      </c>
      <c r="Y1113">
        <v>12</v>
      </c>
      <c r="Z1113">
        <v>8</v>
      </c>
      <c r="AA1113">
        <v>0</v>
      </c>
      <c r="AB1113">
        <v>0</v>
      </c>
      <c r="AC1113">
        <v>29</v>
      </c>
      <c r="AD1113">
        <v>0</v>
      </c>
      <c r="AE1113">
        <v>286</v>
      </c>
      <c r="AF1113">
        <v>657</v>
      </c>
      <c r="AJ1113">
        <v>5.72</v>
      </c>
      <c r="AK1113" t="str">
        <f t="shared" si="17"/>
        <v>WZ460-6200</v>
      </c>
    </row>
    <row r="1114" spans="1:37">
      <c r="A1114" t="s">
        <v>2020</v>
      </c>
      <c r="B1114" t="s">
        <v>2021</v>
      </c>
      <c r="C1114" t="s">
        <v>313</v>
      </c>
      <c r="D1114" t="s">
        <v>2022</v>
      </c>
      <c r="E1114">
        <v>43</v>
      </c>
      <c r="F1114">
        <v>0</v>
      </c>
      <c r="G1114">
        <v>0</v>
      </c>
      <c r="H1114">
        <v>0</v>
      </c>
      <c r="I1114">
        <v>1</v>
      </c>
      <c r="J1114">
        <v>3</v>
      </c>
      <c r="K1114">
        <v>727</v>
      </c>
      <c r="L1114">
        <v>6</v>
      </c>
      <c r="M1114">
        <v>0</v>
      </c>
      <c r="N1114">
        <v>0</v>
      </c>
      <c r="O1114">
        <v>0</v>
      </c>
      <c r="P1114">
        <v>0</v>
      </c>
      <c r="Q1114">
        <v>727</v>
      </c>
      <c r="R1114">
        <v>0</v>
      </c>
      <c r="S1114">
        <v>0</v>
      </c>
      <c r="T1114">
        <v>0</v>
      </c>
      <c r="U1114">
        <v>0</v>
      </c>
      <c r="V1114">
        <v>4</v>
      </c>
      <c r="W1114">
        <v>0</v>
      </c>
      <c r="X1114">
        <v>0</v>
      </c>
      <c r="Y1114">
        <v>0</v>
      </c>
      <c r="Z1114">
        <v>12</v>
      </c>
      <c r="AA1114">
        <v>0</v>
      </c>
      <c r="AB1114">
        <v>2</v>
      </c>
      <c r="AC1114">
        <v>17</v>
      </c>
      <c r="AD1114">
        <v>0</v>
      </c>
      <c r="AE1114">
        <v>35</v>
      </c>
      <c r="AF1114">
        <v>35</v>
      </c>
      <c r="AJ1114">
        <v>3.92</v>
      </c>
      <c r="AK1114" t="str">
        <f t="shared" si="17"/>
        <v>AB240-5000</v>
      </c>
    </row>
    <row r="1115" spans="1:37">
      <c r="A1115" t="s">
        <v>2023</v>
      </c>
      <c r="B1115" t="s">
        <v>2021</v>
      </c>
      <c r="C1115" t="s">
        <v>313</v>
      </c>
      <c r="D1115" t="s">
        <v>2022</v>
      </c>
      <c r="E1115">
        <v>43</v>
      </c>
      <c r="F1115">
        <v>0</v>
      </c>
      <c r="G1115">
        <v>0</v>
      </c>
      <c r="H1115">
        <v>0</v>
      </c>
      <c r="I1115">
        <v>0</v>
      </c>
      <c r="J1115">
        <v>1</v>
      </c>
      <c r="K1115">
        <v>945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945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10</v>
      </c>
      <c r="AE1115">
        <v>10</v>
      </c>
      <c r="AF1115">
        <v>0</v>
      </c>
      <c r="AJ1115">
        <v>3.67</v>
      </c>
      <c r="AK1115" t="str">
        <f t="shared" si="17"/>
        <v>AB240-6200</v>
      </c>
    </row>
    <row r="1116" spans="1:37">
      <c r="A1116" t="s">
        <v>2024</v>
      </c>
      <c r="B1116" t="s">
        <v>2025</v>
      </c>
      <c r="C1116" t="s">
        <v>110</v>
      </c>
      <c r="E1116">
        <v>43</v>
      </c>
      <c r="F1116">
        <v>0</v>
      </c>
      <c r="G1116">
        <v>0</v>
      </c>
      <c r="H1116">
        <v>0</v>
      </c>
      <c r="I1116">
        <v>3</v>
      </c>
      <c r="J1116">
        <v>11</v>
      </c>
      <c r="K1116">
        <v>69</v>
      </c>
      <c r="L1116">
        <v>7</v>
      </c>
      <c r="M1116">
        <v>0</v>
      </c>
      <c r="N1116">
        <v>0</v>
      </c>
      <c r="O1116">
        <v>0</v>
      </c>
      <c r="P1116">
        <v>0</v>
      </c>
      <c r="Q1116">
        <v>69</v>
      </c>
      <c r="R1116">
        <v>0</v>
      </c>
      <c r="S1116">
        <v>0</v>
      </c>
      <c r="T1116">
        <v>0</v>
      </c>
      <c r="U1116">
        <v>0</v>
      </c>
      <c r="V1116">
        <v>1</v>
      </c>
      <c r="W1116">
        <v>0</v>
      </c>
      <c r="X1116">
        <v>18</v>
      </c>
      <c r="Y1116">
        <v>1</v>
      </c>
      <c r="Z1116">
        <v>72</v>
      </c>
      <c r="AA1116">
        <v>0</v>
      </c>
      <c r="AB1116">
        <v>6</v>
      </c>
      <c r="AC1116">
        <v>28</v>
      </c>
      <c r="AD1116">
        <v>0</v>
      </c>
      <c r="AE1116">
        <v>126</v>
      </c>
      <c r="AF1116">
        <v>112</v>
      </c>
      <c r="AJ1116">
        <v>3.05</v>
      </c>
      <c r="AK1116" t="str">
        <f t="shared" si="17"/>
        <v>AB444-5000</v>
      </c>
    </row>
    <row r="1117" spans="1:37">
      <c r="A1117" t="s">
        <v>2026</v>
      </c>
      <c r="B1117" t="s">
        <v>2025</v>
      </c>
      <c r="C1117" t="s">
        <v>110</v>
      </c>
      <c r="E1117">
        <v>43</v>
      </c>
      <c r="F1117">
        <v>0</v>
      </c>
      <c r="G1117">
        <v>0</v>
      </c>
      <c r="H1117">
        <v>0</v>
      </c>
      <c r="I1117">
        <v>0</v>
      </c>
      <c r="J1117">
        <v>2</v>
      </c>
      <c r="K1117">
        <v>1711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1711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18</v>
      </c>
      <c r="AA1117">
        <v>0</v>
      </c>
      <c r="AB1117">
        <v>0</v>
      </c>
      <c r="AC1117">
        <v>7</v>
      </c>
      <c r="AD1117">
        <v>0</v>
      </c>
      <c r="AE1117">
        <v>25</v>
      </c>
      <c r="AF1117">
        <v>47</v>
      </c>
      <c r="AJ1117">
        <v>3.05</v>
      </c>
      <c r="AK1117" t="str">
        <f t="shared" si="17"/>
        <v>AB444-6200</v>
      </c>
    </row>
    <row r="1118" spans="1:37">
      <c r="A1118" t="s">
        <v>2027</v>
      </c>
      <c r="B1118" t="s">
        <v>2028</v>
      </c>
      <c r="C1118" t="s">
        <v>338</v>
      </c>
      <c r="E1118">
        <v>50</v>
      </c>
      <c r="F1118">
        <v>0</v>
      </c>
      <c r="G1118">
        <v>4</v>
      </c>
      <c r="H1118">
        <v>0</v>
      </c>
      <c r="I1118">
        <v>6</v>
      </c>
      <c r="J1118">
        <v>6</v>
      </c>
      <c r="K1118">
        <v>1036</v>
      </c>
      <c r="L1118">
        <v>10</v>
      </c>
      <c r="M1118">
        <v>0</v>
      </c>
      <c r="N1118">
        <v>3</v>
      </c>
      <c r="O1118">
        <v>0</v>
      </c>
      <c r="P1118">
        <v>0</v>
      </c>
      <c r="Q1118">
        <v>1033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36</v>
      </c>
      <c r="X1118">
        <v>0</v>
      </c>
      <c r="Y1118">
        <v>21</v>
      </c>
      <c r="Z1118">
        <v>0</v>
      </c>
      <c r="AA1118">
        <v>0</v>
      </c>
      <c r="AB1118">
        <v>0</v>
      </c>
      <c r="AC1118">
        <v>15</v>
      </c>
      <c r="AD1118">
        <v>0</v>
      </c>
      <c r="AE1118">
        <v>72</v>
      </c>
      <c r="AF1118">
        <v>150</v>
      </c>
      <c r="AJ1118">
        <v>6.61</v>
      </c>
      <c r="AK1118" t="str">
        <f t="shared" si="17"/>
        <v>AE050-5000</v>
      </c>
    </row>
    <row r="1119" spans="1:37">
      <c r="A1119" t="s">
        <v>2029</v>
      </c>
      <c r="B1119" t="s">
        <v>2028</v>
      </c>
      <c r="C1119" t="s">
        <v>338</v>
      </c>
      <c r="E1119">
        <v>50</v>
      </c>
      <c r="F1119">
        <v>10.6</v>
      </c>
      <c r="G1119">
        <v>64</v>
      </c>
      <c r="H1119">
        <v>34</v>
      </c>
      <c r="I1119">
        <v>66</v>
      </c>
      <c r="J1119">
        <v>55</v>
      </c>
      <c r="K1119">
        <v>1507</v>
      </c>
      <c r="L1119">
        <v>48</v>
      </c>
      <c r="M1119">
        <v>0</v>
      </c>
      <c r="N1119">
        <v>54</v>
      </c>
      <c r="O1119">
        <v>0</v>
      </c>
      <c r="P1119">
        <v>0</v>
      </c>
      <c r="Q1119">
        <v>1453</v>
      </c>
      <c r="R1119">
        <v>0</v>
      </c>
      <c r="S1119">
        <v>0</v>
      </c>
      <c r="T1119">
        <v>84</v>
      </c>
      <c r="U1119">
        <v>19</v>
      </c>
      <c r="V1119">
        <v>100</v>
      </c>
      <c r="W1119">
        <v>160</v>
      </c>
      <c r="X1119">
        <v>34</v>
      </c>
      <c r="Y1119">
        <v>18</v>
      </c>
      <c r="Z1119">
        <v>107</v>
      </c>
      <c r="AA1119">
        <v>25</v>
      </c>
      <c r="AB1119">
        <v>36</v>
      </c>
      <c r="AC1119">
        <v>0</v>
      </c>
      <c r="AD1119">
        <v>79</v>
      </c>
      <c r="AE1119">
        <v>662</v>
      </c>
      <c r="AF1119">
        <v>752</v>
      </c>
      <c r="AJ1119">
        <v>6.61</v>
      </c>
      <c r="AK1119" t="str">
        <f t="shared" si="17"/>
        <v>AE050-6200</v>
      </c>
    </row>
    <row r="1120" spans="1:37">
      <c r="A1120" t="s">
        <v>2030</v>
      </c>
      <c r="B1120" t="s">
        <v>2031</v>
      </c>
      <c r="C1120" t="s">
        <v>110</v>
      </c>
      <c r="E1120">
        <v>43</v>
      </c>
      <c r="F1120">
        <v>70.900000000000006</v>
      </c>
      <c r="G1120">
        <v>11</v>
      </c>
      <c r="H1120">
        <v>10</v>
      </c>
      <c r="I1120">
        <v>26</v>
      </c>
      <c r="J1120">
        <v>22</v>
      </c>
      <c r="K1120">
        <v>2938</v>
      </c>
      <c r="L1120">
        <v>22</v>
      </c>
      <c r="M1120">
        <v>0</v>
      </c>
      <c r="N1120">
        <v>9</v>
      </c>
      <c r="O1120">
        <v>0</v>
      </c>
      <c r="P1120">
        <v>0</v>
      </c>
      <c r="Q1120">
        <v>2929</v>
      </c>
      <c r="R1120">
        <v>0</v>
      </c>
      <c r="S1120">
        <v>0</v>
      </c>
      <c r="T1120">
        <v>31</v>
      </c>
      <c r="U1120">
        <v>0</v>
      </c>
      <c r="V1120">
        <v>59</v>
      </c>
      <c r="W1120">
        <v>29</v>
      </c>
      <c r="X1120">
        <v>35</v>
      </c>
      <c r="Y1120">
        <v>31</v>
      </c>
      <c r="Z1120">
        <v>50</v>
      </c>
      <c r="AA1120">
        <v>0</v>
      </c>
      <c r="AB1120">
        <v>33</v>
      </c>
      <c r="AC1120">
        <v>0</v>
      </c>
      <c r="AD1120">
        <v>0</v>
      </c>
      <c r="AE1120">
        <v>268</v>
      </c>
      <c r="AF1120">
        <v>1348</v>
      </c>
      <c r="AJ1120">
        <v>4.1399999999999997</v>
      </c>
      <c r="AK1120" t="str">
        <f t="shared" si="17"/>
        <v>AG100-5000</v>
      </c>
    </row>
    <row r="1121" spans="1:37">
      <c r="A1121" t="s">
        <v>2032</v>
      </c>
      <c r="B1121" t="s">
        <v>2031</v>
      </c>
      <c r="C1121" t="s">
        <v>110</v>
      </c>
      <c r="E1121">
        <v>43</v>
      </c>
      <c r="F1121">
        <v>20</v>
      </c>
      <c r="G1121">
        <v>0</v>
      </c>
      <c r="H1121">
        <v>28</v>
      </c>
      <c r="I1121">
        <v>33</v>
      </c>
      <c r="J1121">
        <v>22</v>
      </c>
      <c r="K1121">
        <v>2263</v>
      </c>
      <c r="L1121">
        <v>21</v>
      </c>
      <c r="M1121">
        <v>0</v>
      </c>
      <c r="N1121">
        <v>0</v>
      </c>
      <c r="O1121">
        <v>0</v>
      </c>
      <c r="P1121">
        <v>0</v>
      </c>
      <c r="Q1121">
        <v>2263</v>
      </c>
      <c r="R1121">
        <v>0</v>
      </c>
      <c r="S1121">
        <v>62</v>
      </c>
      <c r="T1121">
        <v>23</v>
      </c>
      <c r="U1121">
        <v>0</v>
      </c>
      <c r="V1121">
        <v>35</v>
      </c>
      <c r="W1121">
        <v>64</v>
      </c>
      <c r="X1121">
        <v>12</v>
      </c>
      <c r="Y1121">
        <v>30</v>
      </c>
      <c r="Z1121">
        <v>21</v>
      </c>
      <c r="AA1121">
        <v>0</v>
      </c>
      <c r="AB1121">
        <v>0</v>
      </c>
      <c r="AC1121">
        <v>12</v>
      </c>
      <c r="AD1121">
        <v>0</v>
      </c>
      <c r="AE1121">
        <v>259</v>
      </c>
      <c r="AF1121">
        <v>195</v>
      </c>
      <c r="AJ1121">
        <v>4.1399999999999997</v>
      </c>
      <c r="AK1121" t="str">
        <f t="shared" si="17"/>
        <v>AG100-6200</v>
      </c>
    </row>
    <row r="1122" spans="1:37">
      <c r="A1122" t="s">
        <v>2033</v>
      </c>
      <c r="B1122" t="s">
        <v>2034</v>
      </c>
      <c r="C1122" t="s">
        <v>110</v>
      </c>
      <c r="E1122">
        <v>50</v>
      </c>
      <c r="F1122">
        <v>6.1</v>
      </c>
      <c r="G1122">
        <v>0</v>
      </c>
      <c r="H1122">
        <v>26</v>
      </c>
      <c r="I1122">
        <v>46</v>
      </c>
      <c r="J1122">
        <v>77</v>
      </c>
      <c r="K1122">
        <v>643</v>
      </c>
      <c r="L1122">
        <v>6</v>
      </c>
      <c r="M1122">
        <v>0</v>
      </c>
      <c r="N1122">
        <v>0</v>
      </c>
      <c r="O1122">
        <v>0</v>
      </c>
      <c r="P1122">
        <v>0</v>
      </c>
      <c r="Q1122">
        <v>643</v>
      </c>
      <c r="R1122">
        <v>0</v>
      </c>
      <c r="S1122">
        <v>0</v>
      </c>
      <c r="T1122">
        <v>68</v>
      </c>
      <c r="U1122">
        <v>11</v>
      </c>
      <c r="V1122">
        <v>2</v>
      </c>
      <c r="W1122">
        <v>150</v>
      </c>
      <c r="X1122">
        <v>43</v>
      </c>
      <c r="Y1122">
        <v>0</v>
      </c>
      <c r="Z1122">
        <v>98</v>
      </c>
      <c r="AA1122">
        <v>102</v>
      </c>
      <c r="AB1122">
        <v>60</v>
      </c>
      <c r="AC1122">
        <v>0</v>
      </c>
      <c r="AD1122">
        <v>384</v>
      </c>
      <c r="AE1122">
        <v>918</v>
      </c>
      <c r="AF1122">
        <v>1346</v>
      </c>
      <c r="AJ1122">
        <v>4.38</v>
      </c>
      <c r="AK1122" t="str">
        <f t="shared" si="17"/>
        <v>AG190-5000</v>
      </c>
    </row>
    <row r="1123" spans="1:37">
      <c r="A1123" t="s">
        <v>2035</v>
      </c>
      <c r="B1123" t="s">
        <v>2034</v>
      </c>
      <c r="C1123" t="s">
        <v>110</v>
      </c>
      <c r="E1123">
        <v>50</v>
      </c>
      <c r="F1123">
        <v>5.4</v>
      </c>
      <c r="G1123">
        <v>10</v>
      </c>
      <c r="H1123">
        <v>169</v>
      </c>
      <c r="I1123">
        <v>156</v>
      </c>
      <c r="J1123">
        <v>115</v>
      </c>
      <c r="K1123">
        <v>3671</v>
      </c>
      <c r="L1123">
        <v>129</v>
      </c>
      <c r="M1123">
        <v>0</v>
      </c>
      <c r="N1123">
        <v>8</v>
      </c>
      <c r="O1123">
        <v>0</v>
      </c>
      <c r="P1123">
        <v>0</v>
      </c>
      <c r="Q1123">
        <v>3663</v>
      </c>
      <c r="R1123">
        <v>0</v>
      </c>
      <c r="S1123">
        <v>0</v>
      </c>
      <c r="T1123">
        <v>431</v>
      </c>
      <c r="U1123">
        <v>75</v>
      </c>
      <c r="V1123">
        <v>193</v>
      </c>
      <c r="W1123">
        <v>170</v>
      </c>
      <c r="X1123">
        <v>68</v>
      </c>
      <c r="Y1123">
        <v>17</v>
      </c>
      <c r="Z1123">
        <v>20</v>
      </c>
      <c r="AA1123">
        <v>0</v>
      </c>
      <c r="AB1123">
        <v>211</v>
      </c>
      <c r="AC1123">
        <v>146</v>
      </c>
      <c r="AD1123">
        <v>50</v>
      </c>
      <c r="AE1123">
        <v>1381</v>
      </c>
      <c r="AF1123">
        <v>2336</v>
      </c>
      <c r="AJ1123">
        <v>4.38</v>
      </c>
      <c r="AK1123" t="str">
        <f t="shared" si="17"/>
        <v>AG190-6200</v>
      </c>
    </row>
    <row r="1124" spans="1:37">
      <c r="A1124" t="s">
        <v>2036</v>
      </c>
      <c r="B1124" t="s">
        <v>2037</v>
      </c>
      <c r="C1124" t="s">
        <v>313</v>
      </c>
      <c r="E1124">
        <v>50</v>
      </c>
      <c r="F1124">
        <v>0</v>
      </c>
      <c r="G1124">
        <v>26</v>
      </c>
      <c r="H1124">
        <v>0</v>
      </c>
      <c r="I1124">
        <v>43</v>
      </c>
      <c r="J1124">
        <v>55</v>
      </c>
      <c r="K1124">
        <v>1839</v>
      </c>
      <c r="L1124">
        <v>53</v>
      </c>
      <c r="M1124">
        <v>0</v>
      </c>
      <c r="N1124">
        <v>22</v>
      </c>
      <c r="O1124">
        <v>0</v>
      </c>
      <c r="P1124">
        <v>0</v>
      </c>
      <c r="Q1124">
        <v>1817</v>
      </c>
      <c r="R1124">
        <v>0</v>
      </c>
      <c r="S1124">
        <v>0</v>
      </c>
      <c r="T1124">
        <v>0</v>
      </c>
      <c r="U1124">
        <v>0</v>
      </c>
      <c r="V1124">
        <v>53</v>
      </c>
      <c r="W1124">
        <v>126</v>
      </c>
      <c r="X1124">
        <v>77</v>
      </c>
      <c r="Y1124">
        <v>0</v>
      </c>
      <c r="Z1124">
        <v>129</v>
      </c>
      <c r="AA1124">
        <v>111</v>
      </c>
      <c r="AB1124">
        <v>0</v>
      </c>
      <c r="AC1124">
        <v>168</v>
      </c>
      <c r="AD1124">
        <v>0</v>
      </c>
      <c r="AE1124">
        <v>664</v>
      </c>
      <c r="AF1124">
        <v>791</v>
      </c>
      <c r="AJ1124">
        <v>5.17</v>
      </c>
      <c r="AK1124" t="str">
        <f t="shared" si="17"/>
        <v>AG630-5000</v>
      </c>
    </row>
    <row r="1125" spans="1:37">
      <c r="A1125" t="s">
        <v>2038</v>
      </c>
      <c r="B1125" t="s">
        <v>2037</v>
      </c>
      <c r="C1125" t="s">
        <v>313</v>
      </c>
      <c r="E1125">
        <v>50</v>
      </c>
      <c r="F1125">
        <v>53.1</v>
      </c>
      <c r="G1125">
        <v>56</v>
      </c>
      <c r="H1125">
        <v>14</v>
      </c>
      <c r="I1125">
        <v>39</v>
      </c>
      <c r="J1125">
        <v>27</v>
      </c>
      <c r="K1125">
        <v>3091</v>
      </c>
      <c r="L1125">
        <v>97</v>
      </c>
      <c r="M1125">
        <v>0</v>
      </c>
      <c r="N1125">
        <v>47</v>
      </c>
      <c r="O1125">
        <v>0</v>
      </c>
      <c r="P1125">
        <v>0</v>
      </c>
      <c r="Q1125">
        <v>3044</v>
      </c>
      <c r="R1125">
        <v>0</v>
      </c>
      <c r="S1125">
        <v>14</v>
      </c>
      <c r="T1125">
        <v>0</v>
      </c>
      <c r="U1125">
        <v>29</v>
      </c>
      <c r="V1125">
        <v>16</v>
      </c>
      <c r="W1125">
        <v>137</v>
      </c>
      <c r="X1125">
        <v>36</v>
      </c>
      <c r="Y1125">
        <v>4</v>
      </c>
      <c r="Z1125">
        <v>74</v>
      </c>
      <c r="AA1125">
        <v>0</v>
      </c>
      <c r="AB1125">
        <v>8</v>
      </c>
      <c r="AC1125">
        <v>0</v>
      </c>
      <c r="AD1125">
        <v>0</v>
      </c>
      <c r="AE1125">
        <v>318</v>
      </c>
      <c r="AF1125">
        <v>700</v>
      </c>
      <c r="AJ1125">
        <v>4.92</v>
      </c>
      <c r="AK1125" t="str">
        <f t="shared" si="17"/>
        <v>AG630-6200</v>
      </c>
    </row>
    <row r="1126" spans="1:37">
      <c r="A1126" t="s">
        <v>2039</v>
      </c>
      <c r="B1126" t="s">
        <v>2040</v>
      </c>
      <c r="C1126" t="s">
        <v>110</v>
      </c>
      <c r="D1126" t="s">
        <v>1835</v>
      </c>
      <c r="E1126">
        <v>50</v>
      </c>
      <c r="F1126">
        <v>0</v>
      </c>
      <c r="G1126">
        <v>0</v>
      </c>
      <c r="H1126">
        <v>0</v>
      </c>
      <c r="I1126">
        <v>3</v>
      </c>
      <c r="J1126">
        <v>1</v>
      </c>
      <c r="K1126">
        <v>976</v>
      </c>
      <c r="L1126">
        <v>3</v>
      </c>
      <c r="M1126">
        <v>0</v>
      </c>
      <c r="N1126">
        <v>0</v>
      </c>
      <c r="O1126">
        <v>0</v>
      </c>
      <c r="P1126">
        <v>0</v>
      </c>
      <c r="Q1126">
        <v>976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17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17</v>
      </c>
      <c r="AF1126">
        <v>0</v>
      </c>
      <c r="AJ1126">
        <v>4.55</v>
      </c>
      <c r="AK1126" t="str">
        <f t="shared" si="17"/>
        <v>AG700-5000</v>
      </c>
    </row>
    <row r="1127" spans="1:37">
      <c r="A1127" t="s">
        <v>2041</v>
      </c>
      <c r="B1127" t="s">
        <v>2042</v>
      </c>
      <c r="C1127" t="s">
        <v>329</v>
      </c>
      <c r="D1127" t="s">
        <v>2043</v>
      </c>
      <c r="E1127">
        <v>50</v>
      </c>
      <c r="F1127">
        <v>0</v>
      </c>
      <c r="G1127">
        <v>0</v>
      </c>
      <c r="H1127">
        <v>0</v>
      </c>
      <c r="I1127">
        <v>2</v>
      </c>
      <c r="J1127">
        <v>4</v>
      </c>
      <c r="K1127">
        <v>572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572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12</v>
      </c>
      <c r="X1127">
        <v>0</v>
      </c>
      <c r="Y1127">
        <v>9</v>
      </c>
      <c r="Z1127">
        <v>0</v>
      </c>
      <c r="AA1127">
        <v>7</v>
      </c>
      <c r="AB1127">
        <v>0</v>
      </c>
      <c r="AC1127">
        <v>6</v>
      </c>
      <c r="AD1127">
        <v>19</v>
      </c>
      <c r="AE1127">
        <v>53</v>
      </c>
      <c r="AF1127">
        <v>113</v>
      </c>
      <c r="AJ1127">
        <v>3.44</v>
      </c>
      <c r="AK1127" t="str">
        <f t="shared" si="17"/>
        <v>AG790-5000</v>
      </c>
    </row>
    <row r="1128" spans="1:37">
      <c r="A1128" t="s">
        <v>2044</v>
      </c>
      <c r="B1128" t="s">
        <v>2042</v>
      </c>
      <c r="C1128" t="s">
        <v>329</v>
      </c>
      <c r="E1128">
        <v>50</v>
      </c>
      <c r="F1128">
        <v>0</v>
      </c>
      <c r="G1128">
        <v>0</v>
      </c>
      <c r="H1128">
        <v>0</v>
      </c>
      <c r="I1128">
        <v>0</v>
      </c>
      <c r="J1128">
        <v>13</v>
      </c>
      <c r="K1128">
        <v>827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827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81</v>
      </c>
      <c r="Z1128">
        <v>35</v>
      </c>
      <c r="AA1128">
        <v>45</v>
      </c>
      <c r="AB1128">
        <v>0</v>
      </c>
      <c r="AC1128">
        <v>0</v>
      </c>
      <c r="AD1128">
        <v>0</v>
      </c>
      <c r="AE1128">
        <v>161</v>
      </c>
      <c r="AF1128">
        <v>196</v>
      </c>
      <c r="AJ1128">
        <v>3.44</v>
      </c>
      <c r="AK1128" t="str">
        <f t="shared" si="17"/>
        <v>AG790-6200</v>
      </c>
    </row>
    <row r="1129" spans="1:37">
      <c r="A1129" t="s">
        <v>2045</v>
      </c>
      <c r="B1129" t="s">
        <v>2046</v>
      </c>
      <c r="C1129" t="s">
        <v>267</v>
      </c>
      <c r="E1129">
        <v>50</v>
      </c>
      <c r="F1129">
        <v>-0.1</v>
      </c>
      <c r="G1129">
        <v>22</v>
      </c>
      <c r="H1129">
        <v>37</v>
      </c>
      <c r="I1129">
        <v>41</v>
      </c>
      <c r="J1129">
        <v>55</v>
      </c>
      <c r="K1129">
        <v>0</v>
      </c>
      <c r="L1129">
        <v>39</v>
      </c>
      <c r="M1129">
        <v>0</v>
      </c>
      <c r="N1129">
        <v>18</v>
      </c>
      <c r="O1129">
        <v>0</v>
      </c>
      <c r="P1129">
        <v>0</v>
      </c>
      <c r="Q1129">
        <v>-18</v>
      </c>
      <c r="R1129">
        <v>0</v>
      </c>
      <c r="S1129">
        <v>0</v>
      </c>
      <c r="T1129">
        <v>88</v>
      </c>
      <c r="U1129">
        <v>23</v>
      </c>
      <c r="V1129">
        <v>68</v>
      </c>
      <c r="W1129">
        <v>0</v>
      </c>
      <c r="X1129">
        <v>64</v>
      </c>
      <c r="Y1129">
        <v>19</v>
      </c>
      <c r="Z1129">
        <v>167</v>
      </c>
      <c r="AA1129">
        <v>59</v>
      </c>
      <c r="AB1129">
        <v>0</v>
      </c>
      <c r="AC1129">
        <v>109</v>
      </c>
      <c r="AD1129">
        <v>60</v>
      </c>
      <c r="AE1129">
        <v>657</v>
      </c>
      <c r="AF1129">
        <v>494</v>
      </c>
      <c r="AJ1129">
        <v>5.73</v>
      </c>
      <c r="AK1129" t="str">
        <f t="shared" si="17"/>
        <v>AG800-5000</v>
      </c>
    </row>
    <row r="1130" spans="1:37">
      <c r="A1130" t="s">
        <v>2047</v>
      </c>
      <c r="B1130" t="s">
        <v>2046</v>
      </c>
      <c r="C1130" t="s">
        <v>267</v>
      </c>
      <c r="E1130">
        <v>50</v>
      </c>
      <c r="F1130">
        <v>12.4</v>
      </c>
      <c r="G1130">
        <v>0</v>
      </c>
      <c r="H1130">
        <v>25</v>
      </c>
      <c r="I1130">
        <v>13</v>
      </c>
      <c r="J1130">
        <v>23</v>
      </c>
      <c r="K1130">
        <v>1260</v>
      </c>
      <c r="L1130">
        <v>0</v>
      </c>
      <c r="M1130">
        <v>1</v>
      </c>
      <c r="N1130">
        <v>0</v>
      </c>
      <c r="O1130">
        <v>0</v>
      </c>
      <c r="P1130">
        <v>0</v>
      </c>
      <c r="Q1130">
        <v>1260</v>
      </c>
      <c r="R1130">
        <v>0</v>
      </c>
      <c r="S1130">
        <v>11</v>
      </c>
      <c r="T1130">
        <v>4</v>
      </c>
      <c r="U1130">
        <v>61</v>
      </c>
      <c r="V1130">
        <v>0</v>
      </c>
      <c r="W1130">
        <v>0</v>
      </c>
      <c r="X1130">
        <v>0</v>
      </c>
      <c r="Y1130">
        <v>0</v>
      </c>
      <c r="Z1130">
        <v>101</v>
      </c>
      <c r="AA1130">
        <v>0</v>
      </c>
      <c r="AB1130">
        <v>0</v>
      </c>
      <c r="AC1130">
        <v>67</v>
      </c>
      <c r="AD1130">
        <v>31</v>
      </c>
      <c r="AE1130">
        <v>275</v>
      </c>
      <c r="AF1130">
        <v>347</v>
      </c>
      <c r="AJ1130">
        <v>5.73</v>
      </c>
      <c r="AK1130" t="str">
        <f t="shared" si="17"/>
        <v>AG800-6200</v>
      </c>
    </row>
    <row r="1131" spans="1:37">
      <c r="A1131" t="s">
        <v>2048</v>
      </c>
      <c r="B1131" t="s">
        <v>2049</v>
      </c>
      <c r="C1131" t="s">
        <v>110</v>
      </c>
      <c r="D1131" t="s">
        <v>2043</v>
      </c>
      <c r="E1131">
        <v>50</v>
      </c>
      <c r="F1131">
        <v>0</v>
      </c>
      <c r="G1131">
        <v>0</v>
      </c>
      <c r="H1131">
        <v>0</v>
      </c>
      <c r="I1131">
        <v>2</v>
      </c>
      <c r="J1131">
        <v>3</v>
      </c>
      <c r="K1131">
        <v>604</v>
      </c>
      <c r="L1131">
        <v>6</v>
      </c>
      <c r="M1131">
        <v>0</v>
      </c>
      <c r="N1131">
        <v>0</v>
      </c>
      <c r="O1131">
        <v>0</v>
      </c>
      <c r="P1131">
        <v>0</v>
      </c>
      <c r="Q1131">
        <v>604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7</v>
      </c>
      <c r="X1131">
        <v>3</v>
      </c>
      <c r="Y1131">
        <v>2</v>
      </c>
      <c r="Z1131">
        <v>0</v>
      </c>
      <c r="AA1131">
        <v>10</v>
      </c>
      <c r="AB1131">
        <v>0</v>
      </c>
      <c r="AC1131">
        <v>10</v>
      </c>
      <c r="AD1131">
        <v>0</v>
      </c>
      <c r="AE1131">
        <v>32</v>
      </c>
      <c r="AF1131">
        <v>52</v>
      </c>
      <c r="AJ1131">
        <v>3.05</v>
      </c>
      <c r="AK1131" t="str">
        <f t="shared" si="17"/>
        <v>AG810-5000</v>
      </c>
    </row>
    <row r="1132" spans="1:37">
      <c r="A1132" t="s">
        <v>2050</v>
      </c>
      <c r="B1132" t="s">
        <v>2049</v>
      </c>
      <c r="C1132" t="s">
        <v>110</v>
      </c>
      <c r="D1132" t="s">
        <v>2043</v>
      </c>
      <c r="E1132">
        <v>50</v>
      </c>
      <c r="F1132">
        <v>0</v>
      </c>
      <c r="G1132">
        <v>0</v>
      </c>
      <c r="H1132">
        <v>0</v>
      </c>
      <c r="I1132">
        <v>6</v>
      </c>
      <c r="J1132">
        <v>14</v>
      </c>
      <c r="K1132">
        <v>1078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1078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36</v>
      </c>
      <c r="Y1132">
        <v>14</v>
      </c>
      <c r="Z1132">
        <v>7</v>
      </c>
      <c r="AA1132">
        <v>116</v>
      </c>
      <c r="AB1132">
        <v>0</v>
      </c>
      <c r="AC1132">
        <v>0</v>
      </c>
      <c r="AD1132">
        <v>0</v>
      </c>
      <c r="AE1132">
        <v>173</v>
      </c>
      <c r="AF1132">
        <v>217</v>
      </c>
      <c r="AJ1132">
        <v>3.05</v>
      </c>
      <c r="AK1132" t="str">
        <f t="shared" si="17"/>
        <v>AG810-6200</v>
      </c>
    </row>
    <row r="1133" spans="1:37">
      <c r="A1133" t="s">
        <v>2051</v>
      </c>
      <c r="B1133" t="s">
        <v>2052</v>
      </c>
      <c r="C1133" t="s">
        <v>267</v>
      </c>
      <c r="D1133" t="s">
        <v>2043</v>
      </c>
      <c r="E1133">
        <v>50</v>
      </c>
      <c r="F1133">
        <v>0</v>
      </c>
      <c r="G1133">
        <v>13</v>
      </c>
      <c r="H1133">
        <v>162</v>
      </c>
      <c r="I1133">
        <v>126</v>
      </c>
      <c r="J1133">
        <v>130</v>
      </c>
      <c r="K1133">
        <v>0</v>
      </c>
      <c r="L1133">
        <v>42</v>
      </c>
      <c r="M1133">
        <v>0</v>
      </c>
      <c r="N1133">
        <v>11</v>
      </c>
      <c r="O1133">
        <v>0</v>
      </c>
      <c r="P1133">
        <v>0</v>
      </c>
      <c r="Q1133">
        <v>-11</v>
      </c>
      <c r="R1133">
        <v>0</v>
      </c>
      <c r="S1133">
        <v>451</v>
      </c>
      <c r="T1133">
        <v>34</v>
      </c>
      <c r="U1133">
        <v>0</v>
      </c>
      <c r="V1133">
        <v>229</v>
      </c>
      <c r="W1133">
        <v>43</v>
      </c>
      <c r="X1133">
        <v>0</v>
      </c>
      <c r="Y1133">
        <v>0</v>
      </c>
      <c r="Z1133">
        <v>552</v>
      </c>
      <c r="AA1133">
        <v>0</v>
      </c>
      <c r="AB1133">
        <v>240</v>
      </c>
      <c r="AC1133">
        <v>5</v>
      </c>
      <c r="AD1133">
        <v>0</v>
      </c>
      <c r="AE1133">
        <v>1554</v>
      </c>
      <c r="AF1133">
        <v>1951</v>
      </c>
      <c r="AJ1133">
        <v>5.85</v>
      </c>
      <c r="AK1133" t="str">
        <f t="shared" si="17"/>
        <v>AG872-5000</v>
      </c>
    </row>
    <row r="1134" spans="1:37">
      <c r="A1134" t="s">
        <v>2053</v>
      </c>
      <c r="B1134" t="s">
        <v>2052</v>
      </c>
      <c r="C1134" t="s">
        <v>267</v>
      </c>
      <c r="D1134" t="s">
        <v>2043</v>
      </c>
      <c r="E1134">
        <v>50</v>
      </c>
      <c r="F1134">
        <v>2.4</v>
      </c>
      <c r="G1134">
        <v>28</v>
      </c>
      <c r="H1134">
        <v>38</v>
      </c>
      <c r="I1134">
        <v>34</v>
      </c>
      <c r="J1134">
        <v>49</v>
      </c>
      <c r="K1134">
        <v>382</v>
      </c>
      <c r="L1134">
        <v>6</v>
      </c>
      <c r="M1134">
        <v>0</v>
      </c>
      <c r="N1134">
        <v>23</v>
      </c>
      <c r="O1134">
        <v>0</v>
      </c>
      <c r="P1134">
        <v>0</v>
      </c>
      <c r="Q1134">
        <v>359</v>
      </c>
      <c r="R1134">
        <v>0</v>
      </c>
      <c r="S1134">
        <v>20</v>
      </c>
      <c r="T1134">
        <v>94</v>
      </c>
      <c r="U1134">
        <v>0</v>
      </c>
      <c r="V1134">
        <v>30</v>
      </c>
      <c r="W1134">
        <v>1</v>
      </c>
      <c r="X1134">
        <v>58</v>
      </c>
      <c r="Y1134">
        <v>55</v>
      </c>
      <c r="Z1134">
        <v>111</v>
      </c>
      <c r="AA1134">
        <v>83</v>
      </c>
      <c r="AB1134">
        <v>98</v>
      </c>
      <c r="AC1134">
        <v>26</v>
      </c>
      <c r="AD1134">
        <v>12</v>
      </c>
      <c r="AE1134">
        <v>588</v>
      </c>
      <c r="AF1134">
        <v>416</v>
      </c>
      <c r="AJ1134">
        <v>5.85</v>
      </c>
      <c r="AK1134" t="str">
        <f t="shared" si="17"/>
        <v>AG872-6200</v>
      </c>
    </row>
    <row r="1135" spans="1:37">
      <c r="A1135" t="s">
        <v>2054</v>
      </c>
      <c r="B1135" t="s">
        <v>2055</v>
      </c>
      <c r="C1135" t="s">
        <v>110</v>
      </c>
      <c r="D1135" t="s">
        <v>2056</v>
      </c>
      <c r="E1135">
        <v>50</v>
      </c>
      <c r="F1135">
        <v>-0.1</v>
      </c>
      <c r="G1135">
        <v>20</v>
      </c>
      <c r="H1135">
        <v>48</v>
      </c>
      <c r="I1135">
        <v>30</v>
      </c>
      <c r="J1135">
        <v>21</v>
      </c>
      <c r="K1135">
        <v>0</v>
      </c>
      <c r="L1135">
        <v>190</v>
      </c>
      <c r="M1135">
        <v>0</v>
      </c>
      <c r="N1135">
        <v>16</v>
      </c>
      <c r="O1135">
        <v>0</v>
      </c>
      <c r="P1135">
        <v>0</v>
      </c>
      <c r="Q1135">
        <v>-16</v>
      </c>
      <c r="R1135">
        <v>9</v>
      </c>
      <c r="S1135">
        <v>145</v>
      </c>
      <c r="T1135">
        <v>0</v>
      </c>
      <c r="U1135">
        <v>0</v>
      </c>
      <c r="V1135">
        <v>0</v>
      </c>
      <c r="W1135">
        <v>20</v>
      </c>
      <c r="X1135">
        <v>12</v>
      </c>
      <c r="Y1135">
        <v>8</v>
      </c>
      <c r="Z1135">
        <v>11</v>
      </c>
      <c r="AA1135">
        <v>0</v>
      </c>
      <c r="AB1135">
        <v>0</v>
      </c>
      <c r="AC1135">
        <v>57</v>
      </c>
      <c r="AD1135">
        <v>0</v>
      </c>
      <c r="AE1135">
        <v>253</v>
      </c>
      <c r="AF1135">
        <v>94</v>
      </c>
      <c r="AJ1135">
        <v>4.3600000000000003</v>
      </c>
      <c r="AK1135" t="str">
        <f t="shared" si="17"/>
        <v>AL202-5000</v>
      </c>
    </row>
    <row r="1136" spans="1:37">
      <c r="A1136" t="s">
        <v>2057</v>
      </c>
      <c r="B1136" t="s">
        <v>2058</v>
      </c>
      <c r="C1136" t="s">
        <v>110</v>
      </c>
      <c r="D1136" t="s">
        <v>2056</v>
      </c>
      <c r="E1136">
        <v>50</v>
      </c>
      <c r="F1136">
        <v>21.8</v>
      </c>
      <c r="G1136">
        <v>0</v>
      </c>
      <c r="H1136">
        <v>19</v>
      </c>
      <c r="I1136">
        <v>12</v>
      </c>
      <c r="J1136">
        <v>7</v>
      </c>
      <c r="K1136">
        <v>1659</v>
      </c>
      <c r="L1136">
        <v>7</v>
      </c>
      <c r="M1136">
        <v>0</v>
      </c>
      <c r="N1136">
        <v>0</v>
      </c>
      <c r="O1136">
        <v>0</v>
      </c>
      <c r="P1136">
        <v>0</v>
      </c>
      <c r="Q1136">
        <v>1659</v>
      </c>
      <c r="R1136">
        <v>0</v>
      </c>
      <c r="S1136">
        <v>57</v>
      </c>
      <c r="T1136">
        <v>0</v>
      </c>
      <c r="U1136">
        <v>0</v>
      </c>
      <c r="V1136">
        <v>0</v>
      </c>
      <c r="W1136">
        <v>17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8</v>
      </c>
      <c r="AD1136">
        <v>0</v>
      </c>
      <c r="AE1136">
        <v>82</v>
      </c>
      <c r="AF1136">
        <v>92</v>
      </c>
      <c r="AJ1136">
        <v>6.12</v>
      </c>
      <c r="AK1136" t="str">
        <f t="shared" si="17"/>
        <v>AL202-6200</v>
      </c>
    </row>
    <row r="1137" spans="1:37">
      <c r="A1137" t="s">
        <v>2059</v>
      </c>
      <c r="B1137" t="s">
        <v>2060</v>
      </c>
      <c r="C1137" t="s">
        <v>110</v>
      </c>
      <c r="E1137">
        <v>50</v>
      </c>
      <c r="F1137">
        <v>17.7</v>
      </c>
      <c r="G1137">
        <v>0</v>
      </c>
      <c r="H1137">
        <v>9</v>
      </c>
      <c r="I1137">
        <v>10</v>
      </c>
      <c r="J1137">
        <v>26</v>
      </c>
      <c r="K1137">
        <v>614</v>
      </c>
      <c r="L1137">
        <v>9</v>
      </c>
      <c r="M1137">
        <v>0</v>
      </c>
      <c r="N1137">
        <v>0</v>
      </c>
      <c r="O1137">
        <v>0</v>
      </c>
      <c r="P1137">
        <v>0</v>
      </c>
      <c r="Q1137">
        <v>614</v>
      </c>
      <c r="R1137">
        <v>0</v>
      </c>
      <c r="S1137">
        <v>0</v>
      </c>
      <c r="T1137">
        <v>17</v>
      </c>
      <c r="U1137">
        <v>9</v>
      </c>
      <c r="V1137">
        <v>33</v>
      </c>
      <c r="W1137">
        <v>0</v>
      </c>
      <c r="X1137">
        <v>0</v>
      </c>
      <c r="Y1137">
        <v>0</v>
      </c>
      <c r="Z1137">
        <v>69</v>
      </c>
      <c r="AA1137">
        <v>48</v>
      </c>
      <c r="AB1137">
        <v>102</v>
      </c>
      <c r="AC1137">
        <v>0</v>
      </c>
      <c r="AD1137">
        <v>28</v>
      </c>
      <c r="AE1137">
        <v>306</v>
      </c>
      <c r="AF1137">
        <v>234</v>
      </c>
      <c r="AJ1137">
        <v>4.25</v>
      </c>
      <c r="AK1137" t="str">
        <f t="shared" si="17"/>
        <v>AL204-5000</v>
      </c>
    </row>
    <row r="1138" spans="1:37">
      <c r="A1138" t="s">
        <v>2061</v>
      </c>
      <c r="B1138" t="s">
        <v>2062</v>
      </c>
      <c r="C1138" t="s">
        <v>110</v>
      </c>
      <c r="E1138">
        <v>50</v>
      </c>
      <c r="F1138">
        <v>0</v>
      </c>
      <c r="G1138">
        <v>0</v>
      </c>
      <c r="H1138">
        <v>0</v>
      </c>
      <c r="I1138">
        <v>10</v>
      </c>
      <c r="J1138">
        <v>25</v>
      </c>
      <c r="K1138">
        <v>3177</v>
      </c>
      <c r="L1138">
        <v>10</v>
      </c>
      <c r="M1138">
        <v>0</v>
      </c>
      <c r="N1138">
        <v>0</v>
      </c>
      <c r="O1138">
        <v>0</v>
      </c>
      <c r="P1138">
        <v>0</v>
      </c>
      <c r="Q1138">
        <v>3177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47</v>
      </c>
      <c r="X1138">
        <v>14</v>
      </c>
      <c r="Y1138">
        <v>0</v>
      </c>
      <c r="Z1138">
        <v>40</v>
      </c>
      <c r="AA1138">
        <v>50</v>
      </c>
      <c r="AB1138">
        <v>55</v>
      </c>
      <c r="AC1138">
        <v>0</v>
      </c>
      <c r="AD1138">
        <v>91</v>
      </c>
      <c r="AE1138">
        <v>297</v>
      </c>
      <c r="AF1138">
        <v>242</v>
      </c>
      <c r="AJ1138">
        <v>4.25</v>
      </c>
      <c r="AK1138" t="str">
        <f t="shared" si="17"/>
        <v>AL204-6200</v>
      </c>
    </row>
    <row r="1139" spans="1:37">
      <c r="A1139" t="s">
        <v>2065</v>
      </c>
      <c r="B1139" t="s">
        <v>2066</v>
      </c>
      <c r="C1139" t="s">
        <v>110</v>
      </c>
      <c r="D1139" t="s">
        <v>2064</v>
      </c>
      <c r="E1139">
        <v>50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1265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1265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J1139">
        <v>4.28</v>
      </c>
      <c r="AK1139" t="str">
        <f t="shared" si="17"/>
        <v>AL302-6200</v>
      </c>
    </row>
    <row r="1140" spans="1:37">
      <c r="A1140" t="s">
        <v>2068</v>
      </c>
      <c r="B1140" t="s">
        <v>2069</v>
      </c>
      <c r="C1140" t="s">
        <v>110</v>
      </c>
      <c r="E1140">
        <v>50</v>
      </c>
      <c r="F1140">
        <v>0</v>
      </c>
      <c r="G1140">
        <v>0</v>
      </c>
      <c r="H1140">
        <v>0</v>
      </c>
      <c r="I1140">
        <v>0</v>
      </c>
      <c r="J1140">
        <v>10</v>
      </c>
      <c r="K1140">
        <v>226</v>
      </c>
      <c r="L1140">
        <v>24</v>
      </c>
      <c r="M1140">
        <v>0</v>
      </c>
      <c r="N1140">
        <v>0</v>
      </c>
      <c r="O1140">
        <v>0</v>
      </c>
      <c r="P1140">
        <v>0</v>
      </c>
      <c r="Q1140">
        <v>226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60</v>
      </c>
      <c r="AC1140">
        <v>0</v>
      </c>
      <c r="AD1140">
        <v>60</v>
      </c>
      <c r="AE1140">
        <v>120</v>
      </c>
      <c r="AF1140">
        <v>290</v>
      </c>
      <c r="AJ1140">
        <v>4.25</v>
      </c>
      <c r="AK1140" t="str">
        <f t="shared" si="17"/>
        <v>AL502-5000</v>
      </c>
    </row>
    <row r="1141" spans="1:37">
      <c r="A1141" t="s">
        <v>2070</v>
      </c>
      <c r="B1141" t="s">
        <v>2071</v>
      </c>
      <c r="C1141" t="s">
        <v>110</v>
      </c>
      <c r="E1141">
        <v>50</v>
      </c>
      <c r="F1141">
        <v>0</v>
      </c>
      <c r="G1141">
        <v>24</v>
      </c>
      <c r="H1141">
        <v>0</v>
      </c>
      <c r="I1141">
        <v>4</v>
      </c>
      <c r="J1141">
        <v>4</v>
      </c>
      <c r="K1141">
        <v>2603</v>
      </c>
      <c r="L1141">
        <v>0</v>
      </c>
      <c r="M1141">
        <v>0</v>
      </c>
      <c r="N1141">
        <v>20</v>
      </c>
      <c r="O1141">
        <v>0</v>
      </c>
      <c r="P1141">
        <v>0</v>
      </c>
      <c r="Q1141">
        <v>2583</v>
      </c>
      <c r="R1141">
        <v>0</v>
      </c>
      <c r="S1141">
        <v>0</v>
      </c>
      <c r="T1141">
        <v>0</v>
      </c>
      <c r="U1141">
        <v>0</v>
      </c>
      <c r="V1141">
        <v>25</v>
      </c>
      <c r="W1141">
        <v>0</v>
      </c>
      <c r="X1141">
        <v>0</v>
      </c>
      <c r="Y1141">
        <v>5</v>
      </c>
      <c r="Z1141">
        <v>20</v>
      </c>
      <c r="AA1141">
        <v>0</v>
      </c>
      <c r="AB1141">
        <v>0</v>
      </c>
      <c r="AC1141">
        <v>0</v>
      </c>
      <c r="AD1141">
        <v>0</v>
      </c>
      <c r="AE1141">
        <v>50</v>
      </c>
      <c r="AF1141">
        <v>371</v>
      </c>
      <c r="AJ1141">
        <v>4.37</v>
      </c>
      <c r="AK1141" t="str">
        <f t="shared" si="17"/>
        <v>AL502-6200</v>
      </c>
    </row>
    <row r="1142" spans="1:37">
      <c r="A1142" t="s">
        <v>2072</v>
      </c>
      <c r="B1142" t="s">
        <v>2073</v>
      </c>
      <c r="C1142" t="s">
        <v>110</v>
      </c>
      <c r="E1142">
        <v>50</v>
      </c>
      <c r="F1142">
        <v>-1.3</v>
      </c>
      <c r="G1142">
        <v>71</v>
      </c>
      <c r="H1142">
        <v>11</v>
      </c>
      <c r="I1142">
        <v>23</v>
      </c>
      <c r="J1142">
        <v>21</v>
      </c>
      <c r="K1142">
        <v>0</v>
      </c>
      <c r="L1142">
        <v>17</v>
      </c>
      <c r="M1142">
        <v>0</v>
      </c>
      <c r="N1142">
        <v>59</v>
      </c>
      <c r="O1142">
        <v>0</v>
      </c>
      <c r="P1142">
        <v>0</v>
      </c>
      <c r="Q1142">
        <v>-59</v>
      </c>
      <c r="R1142">
        <v>0</v>
      </c>
      <c r="S1142">
        <v>0</v>
      </c>
      <c r="T1142">
        <v>32</v>
      </c>
      <c r="U1142">
        <v>2</v>
      </c>
      <c r="V1142">
        <v>8</v>
      </c>
      <c r="W1142">
        <v>69</v>
      </c>
      <c r="X1142">
        <v>27</v>
      </c>
      <c r="Y1142">
        <v>10</v>
      </c>
      <c r="Z1142">
        <v>23</v>
      </c>
      <c r="AA1142">
        <v>0</v>
      </c>
      <c r="AB1142">
        <v>23</v>
      </c>
      <c r="AC1142">
        <v>15</v>
      </c>
      <c r="AD1142">
        <v>43</v>
      </c>
      <c r="AE1142">
        <v>252</v>
      </c>
      <c r="AF1142">
        <v>391</v>
      </c>
      <c r="AJ1142">
        <v>4.25</v>
      </c>
      <c r="AK1142" t="str">
        <f t="shared" si="17"/>
        <v>ALB01-5000</v>
      </c>
    </row>
    <row r="1143" spans="1:37">
      <c r="A1143" t="s">
        <v>2074</v>
      </c>
      <c r="B1143" t="s">
        <v>2075</v>
      </c>
      <c r="C1143" t="s">
        <v>110</v>
      </c>
      <c r="E1143">
        <v>50</v>
      </c>
      <c r="F1143">
        <v>0</v>
      </c>
      <c r="G1143">
        <v>0</v>
      </c>
      <c r="H1143">
        <v>0</v>
      </c>
      <c r="I1143">
        <v>5</v>
      </c>
      <c r="J1143">
        <v>5</v>
      </c>
      <c r="K1143">
        <v>2341</v>
      </c>
      <c r="L1143">
        <v>0</v>
      </c>
      <c r="M1143">
        <v>0</v>
      </c>
      <c r="N1143">
        <v>0</v>
      </c>
      <c r="O1143">
        <v>0</v>
      </c>
      <c r="P1143">
        <v>0</v>
      </c>
      <c r="Q1143">
        <v>2341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30</v>
      </c>
      <c r="Y1143">
        <v>21</v>
      </c>
      <c r="Z1143">
        <v>3</v>
      </c>
      <c r="AA1143">
        <v>0</v>
      </c>
      <c r="AB1143">
        <v>0</v>
      </c>
      <c r="AC1143">
        <v>5</v>
      </c>
      <c r="AD1143">
        <v>6</v>
      </c>
      <c r="AE1143">
        <v>65</v>
      </c>
      <c r="AF1143">
        <v>325</v>
      </c>
      <c r="AJ1143">
        <v>4.25</v>
      </c>
      <c r="AK1143" t="str">
        <f t="shared" si="17"/>
        <v>ALB01-6200</v>
      </c>
    </row>
    <row r="1144" spans="1:37">
      <c r="A1144" t="s">
        <v>2076</v>
      </c>
      <c r="B1144" t="s">
        <v>2077</v>
      </c>
      <c r="C1144" t="s">
        <v>110</v>
      </c>
      <c r="D1144" t="s">
        <v>2078</v>
      </c>
      <c r="E1144">
        <v>50</v>
      </c>
      <c r="F1144">
        <v>-0.2</v>
      </c>
      <c r="G1144">
        <v>16</v>
      </c>
      <c r="H1144">
        <v>20</v>
      </c>
      <c r="I1144">
        <v>16</v>
      </c>
      <c r="J1144">
        <v>14</v>
      </c>
      <c r="K1144">
        <v>0</v>
      </c>
      <c r="L1144">
        <v>7</v>
      </c>
      <c r="M1144">
        <v>0</v>
      </c>
      <c r="N1144">
        <v>13</v>
      </c>
      <c r="O1144">
        <v>0</v>
      </c>
      <c r="P1144">
        <v>0</v>
      </c>
      <c r="Q1144">
        <v>-13</v>
      </c>
      <c r="R1144">
        <v>0</v>
      </c>
      <c r="S1144">
        <v>59</v>
      </c>
      <c r="T1144">
        <v>0</v>
      </c>
      <c r="U1144">
        <v>0</v>
      </c>
      <c r="V1144">
        <v>15</v>
      </c>
      <c r="W1144">
        <v>19</v>
      </c>
      <c r="X1144">
        <v>0</v>
      </c>
      <c r="Y1144">
        <v>18</v>
      </c>
      <c r="Z1144">
        <v>0</v>
      </c>
      <c r="AA1144">
        <v>32</v>
      </c>
      <c r="AB1144">
        <v>15</v>
      </c>
      <c r="AC1144">
        <v>12</v>
      </c>
      <c r="AD1144">
        <v>0</v>
      </c>
      <c r="AE1144">
        <v>170</v>
      </c>
      <c r="AF1144">
        <v>209</v>
      </c>
      <c r="AJ1144">
        <v>4.25</v>
      </c>
      <c r="AK1144" t="str">
        <f t="shared" si="17"/>
        <v>ALN02-5000</v>
      </c>
    </row>
    <row r="1145" spans="1:37">
      <c r="A1145" t="s">
        <v>2079</v>
      </c>
      <c r="B1145" t="s">
        <v>2080</v>
      </c>
      <c r="C1145" t="s">
        <v>110</v>
      </c>
      <c r="D1145" t="s">
        <v>2081</v>
      </c>
      <c r="E1145">
        <v>50</v>
      </c>
      <c r="F1145">
        <v>0</v>
      </c>
      <c r="G1145">
        <v>0</v>
      </c>
      <c r="H1145">
        <v>0</v>
      </c>
      <c r="I1145">
        <v>3</v>
      </c>
      <c r="J1145">
        <v>8</v>
      </c>
      <c r="K1145">
        <v>844</v>
      </c>
      <c r="L1145">
        <v>11</v>
      </c>
      <c r="M1145">
        <v>0</v>
      </c>
      <c r="N1145">
        <v>0</v>
      </c>
      <c r="O1145">
        <v>0</v>
      </c>
      <c r="P1145">
        <v>0</v>
      </c>
      <c r="Q1145">
        <v>844</v>
      </c>
      <c r="R1145">
        <v>0</v>
      </c>
      <c r="S1145">
        <v>0</v>
      </c>
      <c r="T1145">
        <v>0</v>
      </c>
      <c r="U1145">
        <v>0</v>
      </c>
      <c r="V1145">
        <v>17</v>
      </c>
      <c r="W1145">
        <v>0</v>
      </c>
      <c r="X1145">
        <v>0</v>
      </c>
      <c r="Y1145">
        <v>0</v>
      </c>
      <c r="Z1145">
        <v>46</v>
      </c>
      <c r="AA1145">
        <v>0</v>
      </c>
      <c r="AB1145">
        <v>0</v>
      </c>
      <c r="AC1145">
        <v>0</v>
      </c>
      <c r="AD1145">
        <v>36</v>
      </c>
      <c r="AE1145">
        <v>99</v>
      </c>
      <c r="AF1145">
        <v>0</v>
      </c>
      <c r="AJ1145">
        <v>4.25</v>
      </c>
      <c r="AK1145" t="str">
        <f t="shared" si="17"/>
        <v>ALN02-6200</v>
      </c>
    </row>
    <row r="1146" spans="1:37">
      <c r="A1146" t="s">
        <v>2082</v>
      </c>
      <c r="B1146" t="s">
        <v>2083</v>
      </c>
      <c r="C1146" t="s">
        <v>110</v>
      </c>
      <c r="E1146">
        <v>50</v>
      </c>
      <c r="F1146">
        <v>-0.1</v>
      </c>
      <c r="G1146">
        <v>13</v>
      </c>
      <c r="H1146">
        <v>34</v>
      </c>
      <c r="I1146">
        <v>17</v>
      </c>
      <c r="J1146">
        <v>18</v>
      </c>
      <c r="K1146">
        <v>0</v>
      </c>
      <c r="L1146">
        <v>27</v>
      </c>
      <c r="M1146">
        <v>0</v>
      </c>
      <c r="N1146">
        <v>11</v>
      </c>
      <c r="O1146">
        <v>0</v>
      </c>
      <c r="P1146">
        <v>0</v>
      </c>
      <c r="Q1146">
        <v>-11</v>
      </c>
      <c r="R1146">
        <v>0</v>
      </c>
      <c r="S1146">
        <v>68</v>
      </c>
      <c r="T1146">
        <v>16</v>
      </c>
      <c r="U1146">
        <v>17</v>
      </c>
      <c r="V1146">
        <v>0</v>
      </c>
      <c r="W1146">
        <v>0</v>
      </c>
      <c r="X1146">
        <v>0</v>
      </c>
      <c r="Y1146">
        <v>42</v>
      </c>
      <c r="Z1146">
        <v>35</v>
      </c>
      <c r="AA1146">
        <v>0</v>
      </c>
      <c r="AB1146">
        <v>22</v>
      </c>
      <c r="AC1146">
        <v>16</v>
      </c>
      <c r="AD1146">
        <v>0</v>
      </c>
      <c r="AE1146">
        <v>216</v>
      </c>
      <c r="AF1146">
        <v>299</v>
      </c>
      <c r="AJ1146">
        <v>4.25</v>
      </c>
      <c r="AK1146" t="str">
        <f t="shared" si="17"/>
        <v>ALT05-5000</v>
      </c>
    </row>
    <row r="1147" spans="1:37">
      <c r="A1147" t="s">
        <v>2084</v>
      </c>
      <c r="B1147" t="s">
        <v>2083</v>
      </c>
      <c r="C1147" t="s">
        <v>110</v>
      </c>
      <c r="E1147">
        <v>50</v>
      </c>
      <c r="F1147">
        <v>1.4</v>
      </c>
      <c r="G1147">
        <v>1</v>
      </c>
      <c r="H1147">
        <v>105</v>
      </c>
      <c r="I1147">
        <v>53</v>
      </c>
      <c r="J1147">
        <v>39</v>
      </c>
      <c r="K1147">
        <v>591</v>
      </c>
      <c r="L1147">
        <v>131</v>
      </c>
      <c r="M1147">
        <v>0</v>
      </c>
      <c r="N1147">
        <v>1</v>
      </c>
      <c r="O1147">
        <v>0</v>
      </c>
      <c r="P1147">
        <v>0</v>
      </c>
      <c r="Q1147">
        <v>590</v>
      </c>
      <c r="R1147">
        <v>0</v>
      </c>
      <c r="S1147">
        <v>190</v>
      </c>
      <c r="T1147">
        <v>109</v>
      </c>
      <c r="U1147">
        <v>16</v>
      </c>
      <c r="V1147">
        <v>0</v>
      </c>
      <c r="W1147">
        <v>0</v>
      </c>
      <c r="X1147">
        <v>0</v>
      </c>
      <c r="Y1147">
        <v>0</v>
      </c>
      <c r="Z1147">
        <v>32</v>
      </c>
      <c r="AA1147">
        <v>29</v>
      </c>
      <c r="AB1147">
        <v>33</v>
      </c>
      <c r="AC1147">
        <v>0</v>
      </c>
      <c r="AD1147">
        <v>60</v>
      </c>
      <c r="AE1147">
        <v>469</v>
      </c>
      <c r="AF1147">
        <v>507</v>
      </c>
      <c r="AJ1147">
        <v>4.25</v>
      </c>
      <c r="AK1147" t="str">
        <f t="shared" si="17"/>
        <v>ALT05-6200</v>
      </c>
    </row>
    <row r="1148" spans="1:37">
      <c r="A1148" t="s">
        <v>6310</v>
      </c>
      <c r="B1148" t="s">
        <v>6311</v>
      </c>
      <c r="C1148" t="s">
        <v>110</v>
      </c>
      <c r="D1148" t="s">
        <v>6312</v>
      </c>
      <c r="E1148">
        <v>50</v>
      </c>
      <c r="F1148">
        <v>-1.1000000000000001</v>
      </c>
      <c r="G1148">
        <v>35</v>
      </c>
      <c r="H1148">
        <v>7</v>
      </c>
      <c r="I1148">
        <v>3</v>
      </c>
      <c r="J1148">
        <v>9</v>
      </c>
      <c r="K1148">
        <v>0</v>
      </c>
      <c r="L1148">
        <v>14</v>
      </c>
      <c r="M1148">
        <v>0</v>
      </c>
      <c r="N1148">
        <v>29</v>
      </c>
      <c r="O1148">
        <v>0</v>
      </c>
      <c r="P1148">
        <v>0</v>
      </c>
      <c r="Q1148">
        <v>-29</v>
      </c>
      <c r="R1148">
        <v>0</v>
      </c>
      <c r="S1148">
        <v>20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20</v>
      </c>
      <c r="Z1148">
        <v>10</v>
      </c>
      <c r="AA1148">
        <v>0</v>
      </c>
      <c r="AB1148">
        <v>19</v>
      </c>
      <c r="AC1148">
        <v>39</v>
      </c>
      <c r="AD1148">
        <v>0</v>
      </c>
      <c r="AE1148">
        <v>108</v>
      </c>
      <c r="AF1148">
        <v>146</v>
      </c>
      <c r="AJ1148">
        <v>4.67</v>
      </c>
      <c r="AK1148" t="str">
        <f t="shared" si="17"/>
        <v>AM601-5000</v>
      </c>
    </row>
    <row r="1149" spans="1:37">
      <c r="A1149" t="s">
        <v>2085</v>
      </c>
      <c r="B1149" t="s">
        <v>2086</v>
      </c>
      <c r="C1149" t="s">
        <v>110</v>
      </c>
      <c r="D1149" t="s">
        <v>2087</v>
      </c>
      <c r="E1149">
        <v>50</v>
      </c>
      <c r="F1149">
        <v>48.6</v>
      </c>
      <c r="G1149">
        <v>0</v>
      </c>
      <c r="H1149">
        <v>8</v>
      </c>
      <c r="I1149">
        <v>4</v>
      </c>
      <c r="J1149">
        <v>8</v>
      </c>
      <c r="K1149">
        <v>1490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1490</v>
      </c>
      <c r="R1149">
        <v>0</v>
      </c>
      <c r="S1149">
        <v>0</v>
      </c>
      <c r="T1149">
        <v>23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36</v>
      </c>
      <c r="AA1149">
        <v>0</v>
      </c>
      <c r="AB1149">
        <v>0</v>
      </c>
      <c r="AC1149">
        <v>39</v>
      </c>
      <c r="AD1149">
        <v>0</v>
      </c>
      <c r="AE1149">
        <v>98</v>
      </c>
      <c r="AF1149">
        <v>335</v>
      </c>
      <c r="AJ1149">
        <v>4.67</v>
      </c>
      <c r="AK1149" t="str">
        <f t="shared" si="17"/>
        <v>AM601-6200</v>
      </c>
    </row>
    <row r="1150" spans="1:37">
      <c r="A1150" t="s">
        <v>2088</v>
      </c>
      <c r="B1150" t="s">
        <v>2089</v>
      </c>
      <c r="C1150" t="s">
        <v>313</v>
      </c>
      <c r="D1150" t="s">
        <v>2022</v>
      </c>
      <c r="E1150">
        <v>43</v>
      </c>
      <c r="F1150">
        <v>0</v>
      </c>
      <c r="G1150">
        <v>0</v>
      </c>
      <c r="H1150">
        <v>0</v>
      </c>
      <c r="I1150">
        <v>0</v>
      </c>
      <c r="J1150">
        <v>2</v>
      </c>
      <c r="K1150">
        <v>910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910</v>
      </c>
      <c r="R1150">
        <v>0</v>
      </c>
      <c r="S1150">
        <v>0</v>
      </c>
      <c r="T1150">
        <v>0</v>
      </c>
      <c r="U1150">
        <v>0</v>
      </c>
      <c r="V1150">
        <v>2</v>
      </c>
      <c r="W1150">
        <v>0</v>
      </c>
      <c r="X1150">
        <v>0</v>
      </c>
      <c r="Y1150">
        <v>10</v>
      </c>
      <c r="Z1150">
        <v>0</v>
      </c>
      <c r="AA1150">
        <v>0</v>
      </c>
      <c r="AB1150">
        <v>8</v>
      </c>
      <c r="AC1150">
        <v>0</v>
      </c>
      <c r="AD1150">
        <v>0</v>
      </c>
      <c r="AE1150">
        <v>20</v>
      </c>
      <c r="AF1150">
        <v>9</v>
      </c>
      <c r="AJ1150">
        <v>3.92</v>
      </c>
      <c r="AK1150" t="str">
        <f t="shared" si="17"/>
        <v>AO320-5000</v>
      </c>
    </row>
    <row r="1151" spans="1:37">
      <c r="A1151" t="s">
        <v>2090</v>
      </c>
      <c r="B1151" t="s">
        <v>2089</v>
      </c>
      <c r="C1151" t="s">
        <v>313</v>
      </c>
      <c r="D1151" t="s">
        <v>2022</v>
      </c>
      <c r="E1151">
        <v>43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1198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1198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J1151">
        <v>3.67</v>
      </c>
      <c r="AK1151" t="str">
        <f t="shared" si="17"/>
        <v>AO320-6200</v>
      </c>
    </row>
    <row r="1152" spans="1:37">
      <c r="A1152" t="s">
        <v>2091</v>
      </c>
      <c r="B1152" t="s">
        <v>2092</v>
      </c>
      <c r="C1152" t="s">
        <v>110</v>
      </c>
      <c r="E1152">
        <v>43</v>
      </c>
      <c r="F1152">
        <v>0</v>
      </c>
      <c r="G1152">
        <v>0</v>
      </c>
      <c r="H1152">
        <v>0</v>
      </c>
      <c r="I1152">
        <v>1</v>
      </c>
      <c r="J1152">
        <v>1</v>
      </c>
      <c r="K1152">
        <v>324</v>
      </c>
      <c r="L1152">
        <v>7</v>
      </c>
      <c r="M1152">
        <v>0</v>
      </c>
      <c r="N1152">
        <v>0</v>
      </c>
      <c r="O1152">
        <v>0</v>
      </c>
      <c r="P1152">
        <v>0</v>
      </c>
      <c r="Q1152">
        <v>324</v>
      </c>
      <c r="R1152">
        <v>0</v>
      </c>
      <c r="S1152">
        <v>0</v>
      </c>
      <c r="T1152">
        <v>0</v>
      </c>
      <c r="U1152">
        <v>0</v>
      </c>
      <c r="V1152">
        <v>4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7</v>
      </c>
      <c r="AC1152">
        <v>0</v>
      </c>
      <c r="AD1152">
        <v>0</v>
      </c>
      <c r="AE1152">
        <v>11</v>
      </c>
      <c r="AF1152">
        <v>83</v>
      </c>
      <c r="AJ1152">
        <v>3.05</v>
      </c>
      <c r="AK1152" t="str">
        <f t="shared" si="17"/>
        <v>AR283-5000</v>
      </c>
    </row>
    <row r="1153" spans="1:37">
      <c r="A1153" t="s">
        <v>2093</v>
      </c>
      <c r="B1153" t="s">
        <v>2092</v>
      </c>
      <c r="C1153" t="s">
        <v>110</v>
      </c>
      <c r="E1153">
        <v>43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1940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1940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J1153">
        <v>3.05</v>
      </c>
      <c r="AK1153" t="str">
        <f t="shared" si="17"/>
        <v>AR283-6200</v>
      </c>
    </row>
    <row r="1154" spans="1:37">
      <c r="A1154" t="s">
        <v>2094</v>
      </c>
      <c r="B1154" t="s">
        <v>2095</v>
      </c>
      <c r="C1154" t="s">
        <v>338</v>
      </c>
      <c r="E1154">
        <v>43</v>
      </c>
      <c r="F1154">
        <v>53</v>
      </c>
      <c r="G1154">
        <v>15</v>
      </c>
      <c r="H1154">
        <v>14</v>
      </c>
      <c r="I1154">
        <v>17</v>
      </c>
      <c r="J1154">
        <v>20</v>
      </c>
      <c r="K1154">
        <v>3051</v>
      </c>
      <c r="L1154">
        <v>0</v>
      </c>
      <c r="M1154">
        <v>0</v>
      </c>
      <c r="N1154">
        <v>12</v>
      </c>
      <c r="O1154">
        <v>0</v>
      </c>
      <c r="P1154">
        <v>0</v>
      </c>
      <c r="Q1154">
        <v>3039</v>
      </c>
      <c r="R1154">
        <v>0</v>
      </c>
      <c r="S1154">
        <v>17</v>
      </c>
      <c r="T1154">
        <v>0</v>
      </c>
      <c r="U1154">
        <v>26</v>
      </c>
      <c r="V1154">
        <v>8</v>
      </c>
      <c r="W1154">
        <v>0</v>
      </c>
      <c r="X1154">
        <v>51</v>
      </c>
      <c r="Y1154">
        <v>41</v>
      </c>
      <c r="Z1154">
        <v>0</v>
      </c>
      <c r="AA1154">
        <v>0</v>
      </c>
      <c r="AB1154">
        <v>52</v>
      </c>
      <c r="AC1154">
        <v>48</v>
      </c>
      <c r="AD1154">
        <v>0</v>
      </c>
      <c r="AE1154">
        <v>243</v>
      </c>
      <c r="AF1154">
        <v>1559</v>
      </c>
      <c r="AJ1154">
        <v>6.75</v>
      </c>
      <c r="AK1154" t="str">
        <f t="shared" si="17"/>
        <v>AT510-5000</v>
      </c>
    </row>
    <row r="1155" spans="1:37">
      <c r="A1155" t="s">
        <v>2096</v>
      </c>
      <c r="B1155" t="s">
        <v>2095</v>
      </c>
      <c r="C1155" t="s">
        <v>338</v>
      </c>
      <c r="E1155">
        <v>43</v>
      </c>
      <c r="F1155">
        <v>0</v>
      </c>
      <c r="G1155">
        <v>40</v>
      </c>
      <c r="H1155">
        <v>0</v>
      </c>
      <c r="I1155">
        <v>15</v>
      </c>
      <c r="J1155">
        <v>13</v>
      </c>
      <c r="K1155">
        <v>2478</v>
      </c>
      <c r="L1155">
        <v>29</v>
      </c>
      <c r="M1155">
        <v>0</v>
      </c>
      <c r="N1155">
        <v>33</v>
      </c>
      <c r="O1155">
        <v>0</v>
      </c>
      <c r="P1155">
        <v>0</v>
      </c>
      <c r="Q1155">
        <v>2445</v>
      </c>
      <c r="R1155">
        <v>22</v>
      </c>
      <c r="S1155">
        <v>0</v>
      </c>
      <c r="T1155">
        <v>0</v>
      </c>
      <c r="U1155">
        <v>0</v>
      </c>
      <c r="V1155">
        <v>0</v>
      </c>
      <c r="W1155">
        <v>90</v>
      </c>
      <c r="X1155">
        <v>0</v>
      </c>
      <c r="Y1155">
        <v>9</v>
      </c>
      <c r="Z1155">
        <v>0</v>
      </c>
      <c r="AA1155">
        <v>53</v>
      </c>
      <c r="AB1155">
        <v>0</v>
      </c>
      <c r="AC1155">
        <v>0</v>
      </c>
      <c r="AD1155">
        <v>0</v>
      </c>
      <c r="AE1155">
        <v>152</v>
      </c>
      <c r="AF1155">
        <v>216</v>
      </c>
      <c r="AJ1155">
        <v>6.61</v>
      </c>
      <c r="AK1155" t="str">
        <f t="shared" si="17"/>
        <v>AT510-6200</v>
      </c>
    </row>
    <row r="1156" spans="1:37">
      <c r="A1156" t="s">
        <v>2097</v>
      </c>
      <c r="B1156" t="s">
        <v>2098</v>
      </c>
      <c r="C1156" t="s">
        <v>110</v>
      </c>
      <c r="E1156">
        <v>50</v>
      </c>
      <c r="F1156">
        <v>0</v>
      </c>
      <c r="G1156">
        <v>4</v>
      </c>
      <c r="H1156">
        <v>34</v>
      </c>
      <c r="I1156">
        <v>19</v>
      </c>
      <c r="J1156">
        <v>50</v>
      </c>
      <c r="K1156">
        <v>0</v>
      </c>
      <c r="L1156">
        <v>30</v>
      </c>
      <c r="M1156">
        <v>0</v>
      </c>
      <c r="N1156">
        <v>3</v>
      </c>
      <c r="O1156">
        <v>0</v>
      </c>
      <c r="P1156">
        <v>0</v>
      </c>
      <c r="Q1156">
        <v>-3</v>
      </c>
      <c r="R1156">
        <v>0</v>
      </c>
      <c r="S1156">
        <v>101</v>
      </c>
      <c r="T1156">
        <v>0</v>
      </c>
      <c r="U1156">
        <v>0</v>
      </c>
      <c r="V1156">
        <v>0</v>
      </c>
      <c r="W1156">
        <v>14</v>
      </c>
      <c r="X1156">
        <v>0</v>
      </c>
      <c r="Y1156">
        <v>88</v>
      </c>
      <c r="Z1156">
        <v>79</v>
      </c>
      <c r="AA1156">
        <v>183</v>
      </c>
      <c r="AB1156">
        <v>136</v>
      </c>
      <c r="AC1156">
        <v>0</v>
      </c>
      <c r="AD1156">
        <v>0</v>
      </c>
      <c r="AE1156">
        <v>601</v>
      </c>
      <c r="AF1156">
        <v>219</v>
      </c>
      <c r="AJ1156">
        <v>4.7699999999999996</v>
      </c>
      <c r="AK1156" t="str">
        <f t="shared" si="17"/>
        <v>AT750-5000</v>
      </c>
    </row>
    <row r="1157" spans="1:37">
      <c r="A1157" t="s">
        <v>2099</v>
      </c>
      <c r="B1157" t="s">
        <v>2098</v>
      </c>
      <c r="C1157" t="s">
        <v>110</v>
      </c>
      <c r="E1157">
        <v>50</v>
      </c>
      <c r="F1157">
        <v>4.0999999999999996</v>
      </c>
      <c r="G1157">
        <v>27</v>
      </c>
      <c r="H1157">
        <v>47</v>
      </c>
      <c r="I1157">
        <v>26</v>
      </c>
      <c r="J1157">
        <v>45</v>
      </c>
      <c r="K1157">
        <v>801</v>
      </c>
      <c r="L1157">
        <v>0</v>
      </c>
      <c r="M1157">
        <v>0</v>
      </c>
      <c r="N1157">
        <v>22</v>
      </c>
      <c r="O1157">
        <v>0</v>
      </c>
      <c r="P1157">
        <v>0</v>
      </c>
      <c r="Q1157">
        <v>779</v>
      </c>
      <c r="R1157">
        <v>0</v>
      </c>
      <c r="S1157">
        <v>94</v>
      </c>
      <c r="T1157">
        <v>0</v>
      </c>
      <c r="U1157">
        <v>48</v>
      </c>
      <c r="V1157">
        <v>0</v>
      </c>
      <c r="W1157">
        <v>11</v>
      </c>
      <c r="X1157">
        <v>0</v>
      </c>
      <c r="Y1157">
        <v>38</v>
      </c>
      <c r="Z1157">
        <v>26</v>
      </c>
      <c r="AA1157">
        <v>51</v>
      </c>
      <c r="AB1157">
        <v>58</v>
      </c>
      <c r="AC1157">
        <v>0</v>
      </c>
      <c r="AD1157">
        <v>215</v>
      </c>
      <c r="AE1157">
        <v>541</v>
      </c>
      <c r="AF1157">
        <v>130</v>
      </c>
      <c r="AJ1157">
        <v>4.7699999999999996</v>
      </c>
      <c r="AK1157" t="str">
        <f t="shared" ref="AK1157:AK1220" si="18">MID(A1157,4,10)</f>
        <v>AT750-6200</v>
      </c>
    </row>
    <row r="1158" spans="1:37">
      <c r="A1158" t="s">
        <v>2100</v>
      </c>
      <c r="B1158" t="s">
        <v>2101</v>
      </c>
      <c r="C1158" t="s">
        <v>110</v>
      </c>
      <c r="D1158" t="s">
        <v>2102</v>
      </c>
      <c r="E1158">
        <v>43</v>
      </c>
      <c r="F1158">
        <v>6.1</v>
      </c>
      <c r="G1158">
        <v>1</v>
      </c>
      <c r="H1158">
        <v>18</v>
      </c>
      <c r="I1158">
        <v>9</v>
      </c>
      <c r="J1158">
        <v>11</v>
      </c>
      <c r="K1158">
        <v>440</v>
      </c>
      <c r="L1158">
        <v>0</v>
      </c>
      <c r="M1158">
        <v>0</v>
      </c>
      <c r="N1158">
        <v>1</v>
      </c>
      <c r="O1158">
        <v>0</v>
      </c>
      <c r="P1158">
        <v>0</v>
      </c>
      <c r="Q1158">
        <v>439</v>
      </c>
      <c r="R1158">
        <v>0</v>
      </c>
      <c r="S1158">
        <v>13</v>
      </c>
      <c r="T1158">
        <v>41</v>
      </c>
      <c r="U1158">
        <v>0</v>
      </c>
      <c r="V1158">
        <v>0</v>
      </c>
      <c r="W1158">
        <v>0</v>
      </c>
      <c r="X1158">
        <v>0</v>
      </c>
      <c r="Y1158">
        <v>19</v>
      </c>
      <c r="Z1158">
        <v>45</v>
      </c>
      <c r="AA1158">
        <v>0</v>
      </c>
      <c r="AB1158">
        <v>0</v>
      </c>
      <c r="AC1158">
        <v>16</v>
      </c>
      <c r="AD1158">
        <v>0</v>
      </c>
      <c r="AE1158">
        <v>134</v>
      </c>
      <c r="AF1158">
        <v>57</v>
      </c>
      <c r="AJ1158">
        <v>3.05</v>
      </c>
      <c r="AK1158" t="str">
        <f t="shared" si="18"/>
        <v>AT770-5000</v>
      </c>
    </row>
    <row r="1159" spans="1:37">
      <c r="A1159" t="s">
        <v>2103</v>
      </c>
      <c r="B1159" t="s">
        <v>2101</v>
      </c>
      <c r="C1159" t="s">
        <v>110</v>
      </c>
      <c r="D1159" t="s">
        <v>2102</v>
      </c>
      <c r="E1159">
        <v>43</v>
      </c>
      <c r="F1159">
        <v>0</v>
      </c>
      <c r="G1159">
        <v>0</v>
      </c>
      <c r="H1159">
        <v>0</v>
      </c>
      <c r="I1159">
        <v>3</v>
      </c>
      <c r="J1159">
        <v>1</v>
      </c>
      <c r="K1159">
        <v>2052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2052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15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15</v>
      </c>
      <c r="AF1159">
        <v>77</v>
      </c>
      <c r="AJ1159">
        <v>3.05</v>
      </c>
      <c r="AK1159" t="str">
        <f t="shared" si="18"/>
        <v>AT770-6200</v>
      </c>
    </row>
    <row r="1160" spans="1:37">
      <c r="A1160" t="s">
        <v>2104</v>
      </c>
      <c r="B1160" t="s">
        <v>2105</v>
      </c>
      <c r="C1160" t="s">
        <v>110</v>
      </c>
      <c r="D1160" t="s">
        <v>2043</v>
      </c>
      <c r="E1160">
        <v>43</v>
      </c>
      <c r="F1160">
        <v>0</v>
      </c>
      <c r="G1160">
        <v>3</v>
      </c>
      <c r="H1160">
        <v>0</v>
      </c>
      <c r="I1160">
        <v>0</v>
      </c>
      <c r="J1160">
        <v>0</v>
      </c>
      <c r="K1160">
        <v>1072</v>
      </c>
      <c r="L1160">
        <v>4</v>
      </c>
      <c r="M1160">
        <v>0</v>
      </c>
      <c r="N1160">
        <v>3</v>
      </c>
      <c r="O1160">
        <v>0</v>
      </c>
      <c r="P1160">
        <v>0</v>
      </c>
      <c r="Q1160">
        <v>1069</v>
      </c>
      <c r="R1160">
        <v>3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4</v>
      </c>
      <c r="AD1160">
        <v>0</v>
      </c>
      <c r="AE1160">
        <v>4</v>
      </c>
      <c r="AF1160">
        <v>63</v>
      </c>
      <c r="AJ1160">
        <v>3.27</v>
      </c>
      <c r="AK1160" t="str">
        <f t="shared" si="18"/>
        <v>AT996-5000</v>
      </c>
    </row>
    <row r="1161" spans="1:37">
      <c r="A1161" t="s">
        <v>2106</v>
      </c>
      <c r="B1161" t="s">
        <v>2105</v>
      </c>
      <c r="C1161" t="s">
        <v>1027</v>
      </c>
      <c r="D1161" t="s">
        <v>2043</v>
      </c>
      <c r="E1161">
        <v>43</v>
      </c>
      <c r="F1161">
        <v>0</v>
      </c>
      <c r="G1161">
        <v>0</v>
      </c>
      <c r="H1161">
        <v>0</v>
      </c>
      <c r="I1161">
        <v>8</v>
      </c>
      <c r="J1161">
        <v>4</v>
      </c>
      <c r="K1161">
        <v>2609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2609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45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45</v>
      </c>
      <c r="AF1161">
        <v>86</v>
      </c>
      <c r="AJ1161">
        <v>3.27</v>
      </c>
      <c r="AK1161" t="str">
        <f t="shared" si="18"/>
        <v>AT996-6200</v>
      </c>
    </row>
    <row r="1162" spans="1:37">
      <c r="A1162" t="s">
        <v>2107</v>
      </c>
      <c r="B1162" t="s">
        <v>2108</v>
      </c>
      <c r="C1162" t="s">
        <v>110</v>
      </c>
      <c r="E1162">
        <v>50</v>
      </c>
      <c r="F1162">
        <v>0</v>
      </c>
      <c r="G1162">
        <v>13</v>
      </c>
      <c r="H1162">
        <v>0</v>
      </c>
      <c r="I1162">
        <v>1</v>
      </c>
      <c r="J1162">
        <v>8</v>
      </c>
      <c r="K1162">
        <v>130</v>
      </c>
      <c r="L1162">
        <v>7</v>
      </c>
      <c r="M1162">
        <v>0</v>
      </c>
      <c r="N1162">
        <v>11</v>
      </c>
      <c r="O1162">
        <v>0</v>
      </c>
      <c r="P1162">
        <v>0</v>
      </c>
      <c r="Q1162">
        <v>119</v>
      </c>
      <c r="R1162">
        <v>14</v>
      </c>
      <c r="S1162">
        <v>0</v>
      </c>
      <c r="T1162">
        <v>0</v>
      </c>
      <c r="U1162">
        <v>0</v>
      </c>
      <c r="V1162">
        <v>0</v>
      </c>
      <c r="W1162">
        <v>7</v>
      </c>
      <c r="X1162">
        <v>0</v>
      </c>
      <c r="Y1162">
        <v>33</v>
      </c>
      <c r="Z1162">
        <v>0</v>
      </c>
      <c r="AA1162">
        <v>0</v>
      </c>
      <c r="AB1162">
        <v>0</v>
      </c>
      <c r="AC1162">
        <v>51</v>
      </c>
      <c r="AD1162">
        <v>0</v>
      </c>
      <c r="AE1162">
        <v>91</v>
      </c>
      <c r="AF1162">
        <v>56</v>
      </c>
      <c r="AJ1162">
        <v>5.04</v>
      </c>
      <c r="AK1162" t="str">
        <f t="shared" si="18"/>
        <v>AV210-5000</v>
      </c>
    </row>
    <row r="1163" spans="1:37">
      <c r="A1163" t="s">
        <v>2109</v>
      </c>
      <c r="B1163" t="s">
        <v>2108</v>
      </c>
      <c r="C1163" t="s">
        <v>110</v>
      </c>
      <c r="E1163">
        <v>50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2418</v>
      </c>
      <c r="L1163">
        <v>4</v>
      </c>
      <c r="M1163">
        <v>0</v>
      </c>
      <c r="N1163">
        <v>0</v>
      </c>
      <c r="O1163">
        <v>0</v>
      </c>
      <c r="P1163">
        <v>0</v>
      </c>
      <c r="Q1163">
        <v>2418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62</v>
      </c>
      <c r="AJ1163">
        <v>4.25</v>
      </c>
      <c r="AK1163" t="str">
        <f t="shared" si="18"/>
        <v>AV210-6200</v>
      </c>
    </row>
    <row r="1164" spans="1:37">
      <c r="A1164" t="s">
        <v>2110</v>
      </c>
      <c r="B1164" t="s">
        <v>2111</v>
      </c>
      <c r="C1164" t="s">
        <v>110</v>
      </c>
      <c r="D1164" t="s">
        <v>2102</v>
      </c>
      <c r="E1164">
        <v>43</v>
      </c>
      <c r="F1164">
        <v>0</v>
      </c>
      <c r="G1164">
        <v>0</v>
      </c>
      <c r="H1164">
        <v>0</v>
      </c>
      <c r="I1164">
        <v>0</v>
      </c>
      <c r="J1164">
        <v>5</v>
      </c>
      <c r="K1164">
        <v>513</v>
      </c>
      <c r="L1164">
        <v>9</v>
      </c>
      <c r="M1164">
        <v>0</v>
      </c>
      <c r="N1164">
        <v>0</v>
      </c>
      <c r="O1164">
        <v>0</v>
      </c>
      <c r="P1164">
        <v>0</v>
      </c>
      <c r="Q1164">
        <v>513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4</v>
      </c>
      <c r="Z1164">
        <v>11</v>
      </c>
      <c r="AA1164">
        <v>8</v>
      </c>
      <c r="AB1164">
        <v>0</v>
      </c>
      <c r="AC1164">
        <v>38</v>
      </c>
      <c r="AD1164">
        <v>0</v>
      </c>
      <c r="AE1164">
        <v>61</v>
      </c>
      <c r="AF1164">
        <v>112</v>
      </c>
      <c r="AJ1164">
        <v>3.05</v>
      </c>
      <c r="AK1164" t="str">
        <f t="shared" si="18"/>
        <v>AV400-5000</v>
      </c>
    </row>
    <row r="1165" spans="1:37">
      <c r="A1165" t="s">
        <v>2112</v>
      </c>
      <c r="B1165" t="s">
        <v>2111</v>
      </c>
      <c r="C1165" t="s">
        <v>110</v>
      </c>
      <c r="D1165" t="s">
        <v>2102</v>
      </c>
      <c r="E1165">
        <v>43</v>
      </c>
      <c r="F1165">
        <v>83.5</v>
      </c>
      <c r="G1165">
        <v>0</v>
      </c>
      <c r="H1165">
        <v>3</v>
      </c>
      <c r="I1165">
        <v>2</v>
      </c>
      <c r="J1165">
        <v>2</v>
      </c>
      <c r="K1165">
        <v>1002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1002</v>
      </c>
      <c r="R1165">
        <v>0</v>
      </c>
      <c r="S1165">
        <v>0</v>
      </c>
      <c r="T1165">
        <v>0</v>
      </c>
      <c r="U1165">
        <v>9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11</v>
      </c>
      <c r="AD1165">
        <v>0</v>
      </c>
      <c r="AE1165">
        <v>20</v>
      </c>
      <c r="AF1165">
        <v>88</v>
      </c>
      <c r="AJ1165">
        <v>3.05</v>
      </c>
      <c r="AK1165" t="str">
        <f t="shared" si="18"/>
        <v>AV400-6200</v>
      </c>
    </row>
    <row r="1166" spans="1:37">
      <c r="A1166" t="s">
        <v>2113</v>
      </c>
      <c r="B1166" t="s">
        <v>2114</v>
      </c>
      <c r="C1166" t="s">
        <v>110</v>
      </c>
      <c r="E1166">
        <v>43</v>
      </c>
      <c r="F1166">
        <v>5.2</v>
      </c>
      <c r="G1166">
        <v>46</v>
      </c>
      <c r="H1166">
        <v>50</v>
      </c>
      <c r="I1166">
        <v>34</v>
      </c>
      <c r="J1166">
        <v>77</v>
      </c>
      <c r="K1166">
        <v>1078</v>
      </c>
      <c r="L1166">
        <v>129</v>
      </c>
      <c r="M1166">
        <v>0</v>
      </c>
      <c r="N1166">
        <v>38</v>
      </c>
      <c r="O1166">
        <v>0</v>
      </c>
      <c r="P1166">
        <v>0</v>
      </c>
      <c r="Q1166">
        <v>1040</v>
      </c>
      <c r="R1166">
        <v>0</v>
      </c>
      <c r="S1166">
        <v>90</v>
      </c>
      <c r="T1166">
        <v>40</v>
      </c>
      <c r="U1166">
        <v>21</v>
      </c>
      <c r="V1166">
        <v>12</v>
      </c>
      <c r="W1166">
        <v>31</v>
      </c>
      <c r="X1166">
        <v>11</v>
      </c>
      <c r="Y1166">
        <v>180</v>
      </c>
      <c r="Z1166">
        <v>39</v>
      </c>
      <c r="AA1166">
        <v>201</v>
      </c>
      <c r="AB1166">
        <v>206</v>
      </c>
      <c r="AC1166">
        <v>93</v>
      </c>
      <c r="AD1166">
        <v>0</v>
      </c>
      <c r="AE1166">
        <v>924</v>
      </c>
      <c r="AF1166">
        <v>1199</v>
      </c>
      <c r="AJ1166">
        <v>4.37</v>
      </c>
      <c r="AK1166" t="str">
        <f t="shared" si="18"/>
        <v>AW180-5000</v>
      </c>
    </row>
    <row r="1167" spans="1:37">
      <c r="A1167" t="s">
        <v>2115</v>
      </c>
      <c r="B1167" t="s">
        <v>2114</v>
      </c>
      <c r="C1167" t="s">
        <v>110</v>
      </c>
      <c r="E1167">
        <v>43</v>
      </c>
      <c r="F1167">
        <v>0.1</v>
      </c>
      <c r="G1167">
        <v>79</v>
      </c>
      <c r="H1167">
        <v>100</v>
      </c>
      <c r="I1167">
        <v>72</v>
      </c>
      <c r="J1167">
        <v>69</v>
      </c>
      <c r="K1167">
        <v>100</v>
      </c>
      <c r="L1167">
        <v>86</v>
      </c>
      <c r="M1167">
        <v>0</v>
      </c>
      <c r="N1167">
        <v>66</v>
      </c>
      <c r="O1167">
        <v>0</v>
      </c>
      <c r="P1167">
        <v>0</v>
      </c>
      <c r="Q1167">
        <v>34</v>
      </c>
      <c r="R1167">
        <v>0</v>
      </c>
      <c r="S1167">
        <v>0</v>
      </c>
      <c r="T1167">
        <v>260</v>
      </c>
      <c r="U1167">
        <v>41</v>
      </c>
      <c r="V1167">
        <v>22</v>
      </c>
      <c r="W1167">
        <v>52</v>
      </c>
      <c r="X1167">
        <v>55</v>
      </c>
      <c r="Y1167">
        <v>107</v>
      </c>
      <c r="Z1167">
        <v>60</v>
      </c>
      <c r="AA1167">
        <v>6</v>
      </c>
      <c r="AB1167">
        <v>20</v>
      </c>
      <c r="AC1167">
        <v>191</v>
      </c>
      <c r="AD1167">
        <v>13</v>
      </c>
      <c r="AE1167">
        <v>827</v>
      </c>
      <c r="AF1167">
        <v>426</v>
      </c>
      <c r="AJ1167">
        <v>4.37</v>
      </c>
      <c r="AK1167" t="str">
        <f t="shared" si="18"/>
        <v>AW180-6200</v>
      </c>
    </row>
    <row r="1168" spans="1:37">
      <c r="A1168" t="s">
        <v>2116</v>
      </c>
      <c r="B1168" t="s">
        <v>2117</v>
      </c>
      <c r="C1168" t="s">
        <v>110</v>
      </c>
      <c r="E1168">
        <v>50</v>
      </c>
      <c r="F1168">
        <v>0</v>
      </c>
      <c r="G1168">
        <v>0</v>
      </c>
      <c r="H1168">
        <v>30</v>
      </c>
      <c r="I1168">
        <v>22</v>
      </c>
      <c r="J1168">
        <v>13</v>
      </c>
      <c r="K1168">
        <v>0</v>
      </c>
      <c r="L1168">
        <v>9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53</v>
      </c>
      <c r="T1168">
        <v>0</v>
      </c>
      <c r="U1168">
        <v>36</v>
      </c>
      <c r="V1168">
        <v>0</v>
      </c>
      <c r="W1168">
        <v>12</v>
      </c>
      <c r="X1168">
        <v>32</v>
      </c>
      <c r="Y1168">
        <v>24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157</v>
      </c>
      <c r="AF1168">
        <v>73</v>
      </c>
      <c r="AJ1168">
        <v>2.95</v>
      </c>
      <c r="AK1168" t="str">
        <f t="shared" si="18"/>
        <v>AY130-5000</v>
      </c>
    </row>
    <row r="1169" spans="1:37">
      <c r="A1169" t="s">
        <v>2118</v>
      </c>
      <c r="B1169" t="s">
        <v>2117</v>
      </c>
      <c r="C1169" t="s">
        <v>110</v>
      </c>
      <c r="E1169">
        <v>50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583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583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234</v>
      </c>
      <c r="AJ1169">
        <v>4.7699999999999996</v>
      </c>
      <c r="AK1169" t="str">
        <f t="shared" si="18"/>
        <v>AY130-6200</v>
      </c>
    </row>
    <row r="1170" spans="1:37">
      <c r="A1170" t="s">
        <v>2119</v>
      </c>
      <c r="B1170" t="s">
        <v>2120</v>
      </c>
      <c r="C1170" t="s">
        <v>110</v>
      </c>
      <c r="D1170" t="s">
        <v>2121</v>
      </c>
      <c r="E1170">
        <v>50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2805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2805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J1170">
        <v>4.67</v>
      </c>
      <c r="AK1170" t="str">
        <f t="shared" si="18"/>
        <v>AY140-5000</v>
      </c>
    </row>
    <row r="1171" spans="1:37">
      <c r="A1171" t="s">
        <v>2122</v>
      </c>
      <c r="B1171" t="s">
        <v>2123</v>
      </c>
      <c r="C1171" t="s">
        <v>313</v>
      </c>
      <c r="D1171" t="s">
        <v>2022</v>
      </c>
      <c r="E1171">
        <v>43</v>
      </c>
      <c r="F1171">
        <v>77.900000000000006</v>
      </c>
      <c r="G1171">
        <v>0</v>
      </c>
      <c r="H1171">
        <v>2</v>
      </c>
      <c r="I1171">
        <v>1</v>
      </c>
      <c r="J1171">
        <v>2</v>
      </c>
      <c r="K1171">
        <v>727</v>
      </c>
      <c r="L1171">
        <v>3</v>
      </c>
      <c r="M1171">
        <v>0</v>
      </c>
      <c r="N1171">
        <v>0</v>
      </c>
      <c r="O1171">
        <v>0</v>
      </c>
      <c r="P1171">
        <v>0</v>
      </c>
      <c r="Q1171">
        <v>727</v>
      </c>
      <c r="R1171">
        <v>0</v>
      </c>
      <c r="S1171">
        <v>0</v>
      </c>
      <c r="T1171">
        <v>7</v>
      </c>
      <c r="U1171">
        <v>0</v>
      </c>
      <c r="V1171">
        <v>0</v>
      </c>
      <c r="W1171">
        <v>0</v>
      </c>
      <c r="X1171">
        <v>0</v>
      </c>
      <c r="Y1171">
        <v>8</v>
      </c>
      <c r="Z1171">
        <v>0</v>
      </c>
      <c r="AA1171">
        <v>0</v>
      </c>
      <c r="AB1171">
        <v>8</v>
      </c>
      <c r="AC1171">
        <v>0</v>
      </c>
      <c r="AD1171">
        <v>0</v>
      </c>
      <c r="AE1171">
        <v>23</v>
      </c>
      <c r="AF1171">
        <v>56</v>
      </c>
      <c r="AJ1171">
        <v>3.92</v>
      </c>
      <c r="AK1171" t="str">
        <f t="shared" si="18"/>
        <v>AY150-5000</v>
      </c>
    </row>
    <row r="1172" spans="1:37">
      <c r="A1172" t="s">
        <v>2124</v>
      </c>
      <c r="B1172" t="s">
        <v>2123</v>
      </c>
      <c r="C1172" t="s">
        <v>313</v>
      </c>
      <c r="D1172" t="s">
        <v>2022</v>
      </c>
      <c r="E1172">
        <v>43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852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852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J1172">
        <v>3.67</v>
      </c>
      <c r="AK1172" t="str">
        <f t="shared" si="18"/>
        <v>AY150-6200</v>
      </c>
    </row>
    <row r="1173" spans="1:37">
      <c r="A1173" t="s">
        <v>2125</v>
      </c>
      <c r="B1173" t="s">
        <v>2126</v>
      </c>
      <c r="C1173" t="s">
        <v>329</v>
      </c>
      <c r="E1173">
        <v>50</v>
      </c>
      <c r="F1173">
        <v>0</v>
      </c>
      <c r="G1173">
        <v>0</v>
      </c>
      <c r="H1173">
        <v>3</v>
      </c>
      <c r="I1173">
        <v>4</v>
      </c>
      <c r="J1173">
        <v>4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>
        <v>0</v>
      </c>
      <c r="T1173">
        <v>8</v>
      </c>
      <c r="U1173">
        <v>0</v>
      </c>
      <c r="V1173">
        <v>16</v>
      </c>
      <c r="W1173">
        <v>0</v>
      </c>
      <c r="X1173">
        <v>0</v>
      </c>
      <c r="Y1173">
        <v>0</v>
      </c>
      <c r="Z1173">
        <v>19</v>
      </c>
      <c r="AA1173">
        <v>0</v>
      </c>
      <c r="AB1173">
        <v>0</v>
      </c>
      <c r="AC1173">
        <v>0</v>
      </c>
      <c r="AD1173">
        <v>0</v>
      </c>
      <c r="AE1173">
        <v>43</v>
      </c>
      <c r="AF1173">
        <v>113</v>
      </c>
      <c r="AJ1173">
        <v>4.62</v>
      </c>
      <c r="AK1173" t="str">
        <f t="shared" si="18"/>
        <v>CK202-5000</v>
      </c>
    </row>
    <row r="1174" spans="1:37">
      <c r="A1174" t="s">
        <v>2127</v>
      </c>
      <c r="B1174" t="s">
        <v>2128</v>
      </c>
      <c r="C1174" t="s">
        <v>329</v>
      </c>
      <c r="E1174">
        <v>50</v>
      </c>
      <c r="F1174">
        <v>10</v>
      </c>
      <c r="G1174">
        <v>16</v>
      </c>
      <c r="H1174">
        <v>11</v>
      </c>
      <c r="I1174">
        <v>14</v>
      </c>
      <c r="J1174">
        <v>23</v>
      </c>
      <c r="K1174">
        <v>454</v>
      </c>
      <c r="L1174">
        <v>0</v>
      </c>
      <c r="M1174">
        <v>0</v>
      </c>
      <c r="N1174">
        <v>13</v>
      </c>
      <c r="O1174">
        <v>0</v>
      </c>
      <c r="P1174">
        <v>0</v>
      </c>
      <c r="Q1174">
        <v>441</v>
      </c>
      <c r="R1174">
        <v>0</v>
      </c>
      <c r="S1174">
        <v>0</v>
      </c>
      <c r="T1174">
        <v>17</v>
      </c>
      <c r="U1174">
        <v>16</v>
      </c>
      <c r="V1174">
        <v>0</v>
      </c>
      <c r="W1174">
        <v>33</v>
      </c>
      <c r="X1174">
        <v>15</v>
      </c>
      <c r="Y1174">
        <v>0</v>
      </c>
      <c r="Z1174">
        <v>45</v>
      </c>
      <c r="AA1174">
        <v>11</v>
      </c>
      <c r="AB1174">
        <v>0</v>
      </c>
      <c r="AC1174">
        <v>105</v>
      </c>
      <c r="AD1174">
        <v>36</v>
      </c>
      <c r="AE1174">
        <v>278</v>
      </c>
      <c r="AF1174">
        <v>265</v>
      </c>
      <c r="AJ1174">
        <v>4.92</v>
      </c>
      <c r="AK1174" t="str">
        <f t="shared" si="18"/>
        <v>CK202-6200</v>
      </c>
    </row>
    <row r="1175" spans="1:37">
      <c r="A1175" t="s">
        <v>2129</v>
      </c>
      <c r="B1175" t="s">
        <v>2130</v>
      </c>
      <c r="C1175" t="s">
        <v>329</v>
      </c>
      <c r="D1175" t="s">
        <v>2064</v>
      </c>
      <c r="E1175">
        <v>50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871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871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5</v>
      </c>
      <c r="AJ1175">
        <v>4.62</v>
      </c>
      <c r="AK1175" t="str">
        <f t="shared" si="18"/>
        <v>CK203-5000</v>
      </c>
    </row>
    <row r="1176" spans="1:37">
      <c r="A1176" t="s">
        <v>2131</v>
      </c>
      <c r="B1176" t="s">
        <v>2132</v>
      </c>
      <c r="C1176" t="s">
        <v>329</v>
      </c>
      <c r="D1176" t="s">
        <v>2133</v>
      </c>
      <c r="E1176">
        <v>50</v>
      </c>
      <c r="F1176">
        <v>-0.2</v>
      </c>
      <c r="G1176">
        <v>7</v>
      </c>
      <c r="H1176">
        <v>7</v>
      </c>
      <c r="I1176">
        <v>18</v>
      </c>
      <c r="J1176">
        <v>16</v>
      </c>
      <c r="K1176">
        <v>0</v>
      </c>
      <c r="L1176">
        <v>0</v>
      </c>
      <c r="M1176">
        <v>0</v>
      </c>
      <c r="N1176">
        <v>6</v>
      </c>
      <c r="O1176">
        <v>0</v>
      </c>
      <c r="P1176">
        <v>0</v>
      </c>
      <c r="Q1176">
        <v>-6</v>
      </c>
      <c r="R1176">
        <v>0</v>
      </c>
      <c r="S1176">
        <v>0</v>
      </c>
      <c r="T1176">
        <v>5</v>
      </c>
      <c r="U1176">
        <v>16</v>
      </c>
      <c r="V1176">
        <v>34</v>
      </c>
      <c r="W1176">
        <v>50</v>
      </c>
      <c r="X1176">
        <v>0</v>
      </c>
      <c r="Y1176">
        <v>37</v>
      </c>
      <c r="Z1176">
        <v>7</v>
      </c>
      <c r="AA1176">
        <v>6</v>
      </c>
      <c r="AB1176">
        <v>0</v>
      </c>
      <c r="AC1176">
        <v>15</v>
      </c>
      <c r="AD1176">
        <v>17</v>
      </c>
      <c r="AE1176">
        <v>187</v>
      </c>
      <c r="AF1176">
        <v>252</v>
      </c>
      <c r="AJ1176">
        <v>5.19</v>
      </c>
      <c r="AK1176" t="str">
        <f t="shared" si="18"/>
        <v>EM601-5000</v>
      </c>
    </row>
    <row r="1177" spans="1:37">
      <c r="A1177" t="s">
        <v>2134</v>
      </c>
      <c r="B1177" t="s">
        <v>2135</v>
      </c>
      <c r="C1177" t="s">
        <v>329</v>
      </c>
      <c r="D1177" t="s">
        <v>2133</v>
      </c>
      <c r="E1177">
        <v>50</v>
      </c>
      <c r="F1177">
        <v>16.3</v>
      </c>
      <c r="G1177">
        <v>0</v>
      </c>
      <c r="H1177">
        <v>31</v>
      </c>
      <c r="I1177">
        <v>21</v>
      </c>
      <c r="J1177">
        <v>28</v>
      </c>
      <c r="K1177">
        <v>2005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2005</v>
      </c>
      <c r="R1177">
        <v>0</v>
      </c>
      <c r="S1177">
        <v>29</v>
      </c>
      <c r="T1177">
        <v>29</v>
      </c>
      <c r="U1177">
        <v>34</v>
      </c>
      <c r="V1177">
        <v>36</v>
      </c>
      <c r="W1177">
        <v>0</v>
      </c>
      <c r="X1177">
        <v>0</v>
      </c>
      <c r="Y1177">
        <v>68</v>
      </c>
      <c r="Z1177">
        <v>0</v>
      </c>
      <c r="AA1177">
        <v>59</v>
      </c>
      <c r="AB1177">
        <v>55</v>
      </c>
      <c r="AC1177">
        <v>21</v>
      </c>
      <c r="AD1177">
        <v>0</v>
      </c>
      <c r="AE1177">
        <v>331</v>
      </c>
      <c r="AF1177">
        <v>470</v>
      </c>
      <c r="AJ1177">
        <v>5.38</v>
      </c>
      <c r="AK1177" t="str">
        <f t="shared" si="18"/>
        <v>EM601-6200</v>
      </c>
    </row>
    <row r="1178" spans="1:37">
      <c r="A1178" t="s">
        <v>2136</v>
      </c>
      <c r="B1178" t="s">
        <v>2137</v>
      </c>
      <c r="C1178" t="s">
        <v>110</v>
      </c>
      <c r="E1178">
        <v>55</v>
      </c>
      <c r="F1178">
        <v>0</v>
      </c>
      <c r="G1178">
        <v>0</v>
      </c>
      <c r="H1178">
        <v>9</v>
      </c>
      <c r="I1178">
        <v>9</v>
      </c>
      <c r="J1178">
        <v>41</v>
      </c>
      <c r="K1178">
        <v>0</v>
      </c>
      <c r="L1178">
        <v>397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>
        <v>28</v>
      </c>
      <c r="T1178">
        <v>0</v>
      </c>
      <c r="U1178">
        <v>0</v>
      </c>
      <c r="V1178">
        <v>12</v>
      </c>
      <c r="W1178">
        <v>16</v>
      </c>
      <c r="X1178">
        <v>0</v>
      </c>
      <c r="Y1178">
        <v>0</v>
      </c>
      <c r="Z1178">
        <v>8</v>
      </c>
      <c r="AA1178">
        <v>12</v>
      </c>
      <c r="AB1178">
        <v>17</v>
      </c>
      <c r="AC1178">
        <v>227</v>
      </c>
      <c r="AD1178">
        <v>175</v>
      </c>
      <c r="AE1178">
        <v>495</v>
      </c>
      <c r="AF1178">
        <v>253</v>
      </c>
      <c r="AJ1178">
        <v>4.25</v>
      </c>
      <c r="AK1178" t="str">
        <f t="shared" si="18"/>
        <v>ES201-5000</v>
      </c>
    </row>
    <row r="1179" spans="1:37">
      <c r="A1179" t="s">
        <v>2138</v>
      </c>
      <c r="B1179" t="s">
        <v>2139</v>
      </c>
      <c r="C1179" t="s">
        <v>110</v>
      </c>
      <c r="E1179">
        <v>55</v>
      </c>
      <c r="F1179">
        <v>39</v>
      </c>
      <c r="G1179">
        <v>0</v>
      </c>
      <c r="H1179">
        <v>13</v>
      </c>
      <c r="I1179">
        <v>8</v>
      </c>
      <c r="J1179">
        <v>14</v>
      </c>
      <c r="K1179">
        <v>1978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1978</v>
      </c>
      <c r="R1179">
        <v>0</v>
      </c>
      <c r="S1179">
        <v>6</v>
      </c>
      <c r="T1179">
        <v>0</v>
      </c>
      <c r="U1179">
        <v>32</v>
      </c>
      <c r="V1179">
        <v>0</v>
      </c>
      <c r="W1179">
        <v>10</v>
      </c>
      <c r="X1179">
        <v>0</v>
      </c>
      <c r="Y1179">
        <v>90</v>
      </c>
      <c r="Z1179">
        <v>0</v>
      </c>
      <c r="AA1179">
        <v>0</v>
      </c>
      <c r="AB1179">
        <v>0</v>
      </c>
      <c r="AC1179">
        <v>0</v>
      </c>
      <c r="AD1179">
        <v>33</v>
      </c>
      <c r="AE1179">
        <v>171</v>
      </c>
      <c r="AF1179">
        <v>548</v>
      </c>
      <c r="AJ1179">
        <v>4.25</v>
      </c>
      <c r="AK1179" t="str">
        <f t="shared" si="18"/>
        <v>ES201-6200</v>
      </c>
    </row>
    <row r="1180" spans="1:37">
      <c r="A1180" t="s">
        <v>2141</v>
      </c>
      <c r="B1180" t="s">
        <v>2142</v>
      </c>
      <c r="C1180" t="s">
        <v>110</v>
      </c>
      <c r="D1180" t="s">
        <v>2143</v>
      </c>
      <c r="E1180">
        <v>50</v>
      </c>
      <c r="F1180">
        <v>5.5</v>
      </c>
      <c r="G1180">
        <v>4</v>
      </c>
      <c r="H1180">
        <v>56</v>
      </c>
      <c r="I1180">
        <v>45</v>
      </c>
      <c r="J1180">
        <v>42</v>
      </c>
      <c r="K1180">
        <v>1219</v>
      </c>
      <c r="L1180">
        <v>134</v>
      </c>
      <c r="M1180">
        <v>0</v>
      </c>
      <c r="N1180">
        <v>3</v>
      </c>
      <c r="O1180">
        <v>0</v>
      </c>
      <c r="P1180">
        <v>0</v>
      </c>
      <c r="Q1180">
        <v>1216</v>
      </c>
      <c r="R1180">
        <v>0</v>
      </c>
      <c r="S1180">
        <v>159</v>
      </c>
      <c r="T1180">
        <v>8</v>
      </c>
      <c r="U1180">
        <v>0</v>
      </c>
      <c r="V1180">
        <v>0</v>
      </c>
      <c r="W1180">
        <v>100</v>
      </c>
      <c r="X1180">
        <v>0</v>
      </c>
      <c r="Y1180">
        <v>119</v>
      </c>
      <c r="Z1180">
        <v>51</v>
      </c>
      <c r="AA1180">
        <v>0</v>
      </c>
      <c r="AB1180">
        <v>29</v>
      </c>
      <c r="AC1180">
        <v>0</v>
      </c>
      <c r="AD1180">
        <v>35</v>
      </c>
      <c r="AE1180">
        <v>501</v>
      </c>
      <c r="AF1180">
        <v>979</v>
      </c>
      <c r="AJ1180">
        <v>4.47</v>
      </c>
      <c r="AK1180" t="str">
        <f t="shared" si="18"/>
        <v>ES203-5000</v>
      </c>
    </row>
    <row r="1181" spans="1:37">
      <c r="A1181" t="s">
        <v>2144</v>
      </c>
      <c r="B1181" t="s">
        <v>2145</v>
      </c>
      <c r="C1181" t="s">
        <v>110</v>
      </c>
      <c r="D1181" t="s">
        <v>2143</v>
      </c>
      <c r="E1181">
        <v>50</v>
      </c>
      <c r="F1181">
        <v>0</v>
      </c>
      <c r="G1181">
        <v>0</v>
      </c>
      <c r="H1181">
        <v>0</v>
      </c>
      <c r="I1181">
        <v>0</v>
      </c>
      <c r="J1181">
        <v>6</v>
      </c>
      <c r="K1181">
        <v>2245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2245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7</v>
      </c>
      <c r="Z1181">
        <v>35</v>
      </c>
      <c r="AA1181">
        <v>0</v>
      </c>
      <c r="AB1181">
        <v>30</v>
      </c>
      <c r="AC1181">
        <v>0</v>
      </c>
      <c r="AD1181">
        <v>0</v>
      </c>
      <c r="AE1181">
        <v>72</v>
      </c>
      <c r="AF1181">
        <v>606</v>
      </c>
      <c r="AJ1181">
        <v>4.47</v>
      </c>
      <c r="AK1181" t="str">
        <f t="shared" si="18"/>
        <v>ES203-6200</v>
      </c>
    </row>
    <row r="1182" spans="1:37">
      <c r="A1182" t="s">
        <v>2147</v>
      </c>
      <c r="B1182" t="s">
        <v>2148</v>
      </c>
      <c r="C1182" t="s">
        <v>110</v>
      </c>
      <c r="D1182" t="s">
        <v>2149</v>
      </c>
      <c r="E1182">
        <v>50</v>
      </c>
      <c r="F1182">
        <v>0</v>
      </c>
      <c r="G1182">
        <v>9</v>
      </c>
      <c r="H1182">
        <v>63</v>
      </c>
      <c r="I1182">
        <v>66</v>
      </c>
      <c r="J1182">
        <v>46</v>
      </c>
      <c r="K1182">
        <v>0</v>
      </c>
      <c r="L1182">
        <v>54</v>
      </c>
      <c r="M1182">
        <v>0</v>
      </c>
      <c r="N1182">
        <v>7</v>
      </c>
      <c r="O1182">
        <v>0</v>
      </c>
      <c r="P1182">
        <v>0</v>
      </c>
      <c r="Q1182">
        <v>-7</v>
      </c>
      <c r="R1182">
        <v>0</v>
      </c>
      <c r="S1182">
        <v>40</v>
      </c>
      <c r="T1182">
        <v>65</v>
      </c>
      <c r="U1182">
        <v>85</v>
      </c>
      <c r="V1182">
        <v>6</v>
      </c>
      <c r="W1182">
        <v>72</v>
      </c>
      <c r="X1182">
        <v>130</v>
      </c>
      <c r="Y1182">
        <v>0</v>
      </c>
      <c r="Z1182">
        <v>8</v>
      </c>
      <c r="AA1182">
        <v>27</v>
      </c>
      <c r="AB1182">
        <v>7</v>
      </c>
      <c r="AC1182">
        <v>108</v>
      </c>
      <c r="AD1182">
        <v>0</v>
      </c>
      <c r="AE1182">
        <v>548</v>
      </c>
      <c r="AF1182">
        <v>428</v>
      </c>
      <c r="AJ1182">
        <v>4.25</v>
      </c>
      <c r="AK1182" t="str">
        <f t="shared" si="18"/>
        <v>ES602-5000</v>
      </c>
    </row>
    <row r="1183" spans="1:37">
      <c r="A1183" t="s">
        <v>2150</v>
      </c>
      <c r="B1183" t="s">
        <v>2151</v>
      </c>
      <c r="C1183" t="s">
        <v>110</v>
      </c>
      <c r="D1183" t="s">
        <v>2149</v>
      </c>
      <c r="E1183">
        <v>50</v>
      </c>
      <c r="F1183">
        <v>1.6</v>
      </c>
      <c r="G1183">
        <v>24</v>
      </c>
      <c r="H1183">
        <v>110</v>
      </c>
      <c r="I1183">
        <v>71</v>
      </c>
      <c r="J1183">
        <v>62</v>
      </c>
      <c r="K1183">
        <v>706</v>
      </c>
      <c r="L1183">
        <v>42</v>
      </c>
      <c r="M1183">
        <v>0</v>
      </c>
      <c r="N1183">
        <v>20</v>
      </c>
      <c r="O1183">
        <v>0</v>
      </c>
      <c r="P1183">
        <v>0</v>
      </c>
      <c r="Q1183">
        <v>686</v>
      </c>
      <c r="R1183">
        <v>0</v>
      </c>
      <c r="S1183">
        <v>0</v>
      </c>
      <c r="T1183">
        <v>111</v>
      </c>
      <c r="U1183">
        <v>220</v>
      </c>
      <c r="V1183">
        <v>20</v>
      </c>
      <c r="W1183">
        <v>60</v>
      </c>
      <c r="X1183">
        <v>12</v>
      </c>
      <c r="Y1183">
        <v>0</v>
      </c>
      <c r="Z1183">
        <v>70</v>
      </c>
      <c r="AA1183">
        <v>124</v>
      </c>
      <c r="AB1183">
        <v>92</v>
      </c>
      <c r="AC1183">
        <v>33</v>
      </c>
      <c r="AD1183">
        <v>0</v>
      </c>
      <c r="AE1183">
        <v>742</v>
      </c>
      <c r="AF1183">
        <v>541</v>
      </c>
      <c r="AJ1183">
        <v>4.25</v>
      </c>
      <c r="AK1183" t="str">
        <f t="shared" si="18"/>
        <v>ES602-6200</v>
      </c>
    </row>
    <row r="1184" spans="1:37">
      <c r="A1184" t="s">
        <v>2152</v>
      </c>
      <c r="B1184" t="s">
        <v>2153</v>
      </c>
      <c r="C1184" t="s">
        <v>110</v>
      </c>
      <c r="E1184">
        <v>50</v>
      </c>
      <c r="F1184">
        <v>0</v>
      </c>
      <c r="G1184">
        <v>0</v>
      </c>
      <c r="H1184">
        <v>26</v>
      </c>
      <c r="I1184">
        <v>44</v>
      </c>
      <c r="J1184">
        <v>36</v>
      </c>
      <c r="K1184">
        <v>0</v>
      </c>
      <c r="L1184">
        <v>32</v>
      </c>
      <c r="M1184">
        <v>0</v>
      </c>
      <c r="N1184">
        <v>0</v>
      </c>
      <c r="O1184">
        <v>0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77</v>
      </c>
      <c r="V1184">
        <v>0</v>
      </c>
      <c r="W1184">
        <v>72</v>
      </c>
      <c r="X1184">
        <v>116</v>
      </c>
      <c r="Y1184">
        <v>22</v>
      </c>
      <c r="Z1184">
        <v>32</v>
      </c>
      <c r="AA1184">
        <v>0</v>
      </c>
      <c r="AB1184">
        <v>32</v>
      </c>
      <c r="AC1184">
        <v>53</v>
      </c>
      <c r="AD1184">
        <v>30</v>
      </c>
      <c r="AE1184">
        <v>434</v>
      </c>
      <c r="AF1184">
        <v>593</v>
      </c>
      <c r="AJ1184">
        <v>4.25</v>
      </c>
      <c r="AK1184" t="str">
        <f t="shared" si="18"/>
        <v>ES701-5000</v>
      </c>
    </row>
    <row r="1185" spans="1:37">
      <c r="A1185" t="s">
        <v>2154</v>
      </c>
      <c r="B1185" t="s">
        <v>2155</v>
      </c>
      <c r="C1185" t="s">
        <v>110</v>
      </c>
      <c r="E1185">
        <v>50</v>
      </c>
      <c r="F1185">
        <v>0.2</v>
      </c>
      <c r="G1185">
        <v>61</v>
      </c>
      <c r="H1185">
        <v>194</v>
      </c>
      <c r="I1185">
        <v>116</v>
      </c>
      <c r="J1185">
        <v>92</v>
      </c>
      <c r="K1185">
        <v>188</v>
      </c>
      <c r="L1185">
        <v>88</v>
      </c>
      <c r="M1185">
        <v>0</v>
      </c>
      <c r="N1185">
        <v>51</v>
      </c>
      <c r="O1185">
        <v>0</v>
      </c>
      <c r="P1185">
        <v>0</v>
      </c>
      <c r="Q1185">
        <v>137</v>
      </c>
      <c r="R1185">
        <v>0</v>
      </c>
      <c r="S1185">
        <v>108</v>
      </c>
      <c r="T1185">
        <v>218</v>
      </c>
      <c r="U1185">
        <v>257</v>
      </c>
      <c r="V1185">
        <v>1</v>
      </c>
      <c r="W1185">
        <v>0</v>
      </c>
      <c r="X1185">
        <v>109</v>
      </c>
      <c r="Y1185">
        <v>9</v>
      </c>
      <c r="Z1185">
        <v>12</v>
      </c>
      <c r="AA1185">
        <v>173</v>
      </c>
      <c r="AB1185">
        <v>0</v>
      </c>
      <c r="AC1185">
        <v>111</v>
      </c>
      <c r="AD1185">
        <v>102</v>
      </c>
      <c r="AE1185">
        <v>1100</v>
      </c>
      <c r="AF1185">
        <v>652</v>
      </c>
      <c r="AJ1185">
        <v>4.25</v>
      </c>
      <c r="AK1185" t="str">
        <f t="shared" si="18"/>
        <v>ES701-6200</v>
      </c>
    </row>
    <row r="1186" spans="1:37">
      <c r="A1186" t="s">
        <v>2156</v>
      </c>
      <c r="B1186" t="s">
        <v>2157</v>
      </c>
      <c r="C1186" t="s">
        <v>110</v>
      </c>
      <c r="D1186" t="s">
        <v>2158</v>
      </c>
      <c r="E1186">
        <v>50</v>
      </c>
      <c r="F1186">
        <v>0</v>
      </c>
      <c r="G1186">
        <v>17</v>
      </c>
      <c r="H1186">
        <v>0</v>
      </c>
      <c r="I1186">
        <v>40</v>
      </c>
      <c r="J1186">
        <v>35</v>
      </c>
      <c r="K1186">
        <v>1248</v>
      </c>
      <c r="L1186">
        <v>67</v>
      </c>
      <c r="M1186">
        <v>0</v>
      </c>
      <c r="N1186">
        <v>14</v>
      </c>
      <c r="O1186">
        <v>0</v>
      </c>
      <c r="P1186">
        <v>0</v>
      </c>
      <c r="Q1186">
        <v>1234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108</v>
      </c>
      <c r="X1186">
        <v>131</v>
      </c>
      <c r="Y1186">
        <v>16</v>
      </c>
      <c r="Z1186">
        <v>74</v>
      </c>
      <c r="AA1186">
        <v>0</v>
      </c>
      <c r="AB1186">
        <v>0</v>
      </c>
      <c r="AC1186">
        <v>55</v>
      </c>
      <c r="AD1186">
        <v>38</v>
      </c>
      <c r="AE1186">
        <v>422</v>
      </c>
      <c r="AF1186">
        <v>294</v>
      </c>
      <c r="AJ1186">
        <v>4.18</v>
      </c>
      <c r="AK1186" t="str">
        <f t="shared" si="18"/>
        <v>FN102-5000</v>
      </c>
    </row>
    <row r="1187" spans="1:37">
      <c r="A1187" t="s">
        <v>2159</v>
      </c>
      <c r="B1187" t="s">
        <v>2157</v>
      </c>
      <c r="C1187" t="s">
        <v>110</v>
      </c>
      <c r="D1187" t="s">
        <v>2158</v>
      </c>
      <c r="E1187">
        <v>50</v>
      </c>
      <c r="F1187">
        <v>20</v>
      </c>
      <c r="G1187">
        <v>32</v>
      </c>
      <c r="H1187">
        <v>33</v>
      </c>
      <c r="I1187">
        <v>23</v>
      </c>
      <c r="J1187">
        <v>26</v>
      </c>
      <c r="K1187">
        <v>2694</v>
      </c>
      <c r="L1187">
        <v>31</v>
      </c>
      <c r="M1187">
        <v>0</v>
      </c>
      <c r="N1187">
        <v>27</v>
      </c>
      <c r="O1187">
        <v>0</v>
      </c>
      <c r="P1187">
        <v>0</v>
      </c>
      <c r="Q1187">
        <v>2667</v>
      </c>
      <c r="R1187">
        <v>0</v>
      </c>
      <c r="S1187">
        <v>100</v>
      </c>
      <c r="T1187">
        <v>0</v>
      </c>
      <c r="U1187">
        <v>0</v>
      </c>
      <c r="V1187">
        <v>40</v>
      </c>
      <c r="W1187">
        <v>0</v>
      </c>
      <c r="X1187">
        <v>0</v>
      </c>
      <c r="Y1187">
        <v>0</v>
      </c>
      <c r="Z1187">
        <v>0</v>
      </c>
      <c r="AA1187">
        <v>25</v>
      </c>
      <c r="AB1187">
        <v>0</v>
      </c>
      <c r="AC1187">
        <v>80</v>
      </c>
      <c r="AD1187">
        <v>61</v>
      </c>
      <c r="AE1187">
        <v>306</v>
      </c>
      <c r="AF1187">
        <v>149</v>
      </c>
      <c r="AJ1187">
        <v>4.25</v>
      </c>
      <c r="AK1187" t="str">
        <f t="shared" si="18"/>
        <v>FN102-6200</v>
      </c>
    </row>
    <row r="1188" spans="1:37">
      <c r="A1188" t="s">
        <v>2162</v>
      </c>
      <c r="B1188" t="s">
        <v>2163</v>
      </c>
      <c r="C1188" t="s">
        <v>110</v>
      </c>
      <c r="D1188" t="s">
        <v>2161</v>
      </c>
      <c r="E1188">
        <v>50</v>
      </c>
      <c r="F1188">
        <v>0</v>
      </c>
      <c r="G1188">
        <v>0</v>
      </c>
      <c r="H1188">
        <v>0</v>
      </c>
      <c r="I1188">
        <v>0</v>
      </c>
      <c r="J1188">
        <v>21</v>
      </c>
      <c r="K1188">
        <v>1010</v>
      </c>
      <c r="L1188">
        <v>24</v>
      </c>
      <c r="M1188">
        <v>0</v>
      </c>
      <c r="N1188">
        <v>0</v>
      </c>
      <c r="O1188">
        <v>0</v>
      </c>
      <c r="P1188">
        <v>0</v>
      </c>
      <c r="Q1188">
        <v>1010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26</v>
      </c>
      <c r="Z1188">
        <v>0</v>
      </c>
      <c r="AA1188">
        <v>0</v>
      </c>
      <c r="AB1188">
        <v>0</v>
      </c>
      <c r="AC1188">
        <v>146</v>
      </c>
      <c r="AD1188">
        <v>77</v>
      </c>
      <c r="AE1188">
        <v>249</v>
      </c>
      <c r="AF1188">
        <v>272</v>
      </c>
      <c r="AJ1188">
        <v>4.7699999999999996</v>
      </c>
      <c r="AK1188" t="str">
        <f t="shared" si="18"/>
        <v>FN601-6200</v>
      </c>
    </row>
    <row r="1189" spans="1:37">
      <c r="A1189" t="s">
        <v>2164</v>
      </c>
      <c r="B1189" t="s">
        <v>2165</v>
      </c>
      <c r="C1189" t="s">
        <v>318</v>
      </c>
      <c r="D1189" t="s">
        <v>2166</v>
      </c>
      <c r="E1189">
        <v>50</v>
      </c>
      <c r="F1189">
        <v>0.5</v>
      </c>
      <c r="G1189">
        <v>0</v>
      </c>
      <c r="H1189">
        <v>20</v>
      </c>
      <c r="I1189">
        <v>19</v>
      </c>
      <c r="J1189">
        <v>19</v>
      </c>
      <c r="K1189">
        <v>36</v>
      </c>
      <c r="L1189">
        <v>2</v>
      </c>
      <c r="M1189">
        <v>0</v>
      </c>
      <c r="N1189">
        <v>0</v>
      </c>
      <c r="O1189">
        <v>0</v>
      </c>
      <c r="P1189">
        <v>0</v>
      </c>
      <c r="Q1189">
        <v>36</v>
      </c>
      <c r="R1189">
        <v>0</v>
      </c>
      <c r="S1189">
        <v>59</v>
      </c>
      <c r="T1189">
        <v>0</v>
      </c>
      <c r="U1189">
        <v>0</v>
      </c>
      <c r="V1189">
        <v>0</v>
      </c>
      <c r="W1189">
        <v>54</v>
      </c>
      <c r="X1189">
        <v>0</v>
      </c>
      <c r="Y1189">
        <v>55</v>
      </c>
      <c r="Z1189">
        <v>0</v>
      </c>
      <c r="AA1189">
        <v>0</v>
      </c>
      <c r="AB1189">
        <v>0</v>
      </c>
      <c r="AC1189">
        <v>60</v>
      </c>
      <c r="AD1189">
        <v>0</v>
      </c>
      <c r="AE1189">
        <v>228</v>
      </c>
      <c r="AF1189">
        <v>354</v>
      </c>
      <c r="AJ1189">
        <v>5.91</v>
      </c>
      <c r="AK1189" t="str">
        <f t="shared" si="18"/>
        <v>FS201-5000</v>
      </c>
    </row>
    <row r="1190" spans="1:37">
      <c r="A1190" t="s">
        <v>2167</v>
      </c>
      <c r="B1190" t="s">
        <v>2168</v>
      </c>
      <c r="C1190" t="s">
        <v>318</v>
      </c>
      <c r="D1190" t="s">
        <v>2166</v>
      </c>
      <c r="E1190">
        <v>50</v>
      </c>
      <c r="F1190">
        <v>90.4</v>
      </c>
      <c r="G1190">
        <v>0</v>
      </c>
      <c r="H1190">
        <v>6</v>
      </c>
      <c r="I1190">
        <v>3</v>
      </c>
      <c r="J1190">
        <v>4</v>
      </c>
      <c r="K1190">
        <v>2049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2049</v>
      </c>
      <c r="R1190">
        <v>0</v>
      </c>
      <c r="S1190">
        <v>0</v>
      </c>
      <c r="T1190">
        <v>0</v>
      </c>
      <c r="U1190">
        <v>17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33</v>
      </c>
      <c r="AB1190">
        <v>0</v>
      </c>
      <c r="AC1190">
        <v>0</v>
      </c>
      <c r="AD1190">
        <v>0</v>
      </c>
      <c r="AE1190">
        <v>50</v>
      </c>
      <c r="AF1190">
        <v>135</v>
      </c>
      <c r="AJ1190">
        <v>5.91</v>
      </c>
      <c r="AK1190" t="str">
        <f t="shared" si="18"/>
        <v>FS201-6200</v>
      </c>
    </row>
    <row r="1191" spans="1:37">
      <c r="A1191" t="s">
        <v>2169</v>
      </c>
      <c r="B1191" t="s">
        <v>2170</v>
      </c>
      <c r="C1191" t="s">
        <v>318</v>
      </c>
      <c r="D1191" t="s">
        <v>2171</v>
      </c>
      <c r="E1191">
        <v>50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4700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4700</v>
      </c>
      <c r="R1191">
        <v>0</v>
      </c>
      <c r="S1191">
        <v>0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J1191">
        <v>5.85</v>
      </c>
      <c r="AK1191" t="str">
        <f t="shared" si="18"/>
        <v>FS501-6200</v>
      </c>
    </row>
    <row r="1192" spans="1:37">
      <c r="A1192" t="s">
        <v>2172</v>
      </c>
      <c r="B1192" t="s">
        <v>2173</v>
      </c>
      <c r="C1192" t="s">
        <v>1558</v>
      </c>
      <c r="D1192" t="s">
        <v>2174</v>
      </c>
      <c r="E1192">
        <v>50</v>
      </c>
      <c r="F1192">
        <v>0</v>
      </c>
      <c r="G1192">
        <v>1</v>
      </c>
      <c r="H1192">
        <v>17</v>
      </c>
      <c r="I1192">
        <v>25</v>
      </c>
      <c r="J1192">
        <v>33</v>
      </c>
      <c r="K1192">
        <v>0</v>
      </c>
      <c r="L1192">
        <v>34</v>
      </c>
      <c r="M1192">
        <v>0</v>
      </c>
      <c r="N1192">
        <v>1</v>
      </c>
      <c r="O1192">
        <v>0</v>
      </c>
      <c r="P1192">
        <v>0</v>
      </c>
      <c r="Q1192">
        <v>-1</v>
      </c>
      <c r="R1192">
        <v>0</v>
      </c>
      <c r="S1192">
        <v>42</v>
      </c>
      <c r="T1192">
        <v>8</v>
      </c>
      <c r="U1192">
        <v>0</v>
      </c>
      <c r="V1192">
        <v>0</v>
      </c>
      <c r="W1192">
        <v>74</v>
      </c>
      <c r="X1192">
        <v>26</v>
      </c>
      <c r="Y1192">
        <v>93</v>
      </c>
      <c r="Z1192">
        <v>18</v>
      </c>
      <c r="AA1192">
        <v>17</v>
      </c>
      <c r="AB1192">
        <v>96</v>
      </c>
      <c r="AC1192">
        <v>0</v>
      </c>
      <c r="AD1192">
        <v>16</v>
      </c>
      <c r="AE1192">
        <v>390</v>
      </c>
      <c r="AF1192">
        <v>309</v>
      </c>
      <c r="AG1192" t="s">
        <v>7482</v>
      </c>
      <c r="AH1192">
        <v>5</v>
      </c>
      <c r="AI1192">
        <v>495</v>
      </c>
      <c r="AJ1192">
        <v>6.01</v>
      </c>
      <c r="AK1192" t="str">
        <f t="shared" si="18"/>
        <v>FS601-5000</v>
      </c>
    </row>
    <row r="1193" spans="1:37">
      <c r="A1193" t="s">
        <v>2175</v>
      </c>
      <c r="B1193" t="s">
        <v>2173</v>
      </c>
      <c r="C1193" t="s">
        <v>329</v>
      </c>
      <c r="D1193" t="s">
        <v>2174</v>
      </c>
      <c r="E1193">
        <v>50</v>
      </c>
      <c r="F1193">
        <v>10.9</v>
      </c>
      <c r="G1193">
        <v>42</v>
      </c>
      <c r="H1193">
        <v>17</v>
      </c>
      <c r="I1193">
        <v>20</v>
      </c>
      <c r="J1193">
        <v>38</v>
      </c>
      <c r="K1193">
        <v>791</v>
      </c>
      <c r="L1193">
        <v>6</v>
      </c>
      <c r="M1193">
        <v>0</v>
      </c>
      <c r="N1193">
        <v>35</v>
      </c>
      <c r="O1193">
        <v>0</v>
      </c>
      <c r="P1193">
        <v>0</v>
      </c>
      <c r="Q1193">
        <v>756</v>
      </c>
      <c r="R1193">
        <v>0</v>
      </c>
      <c r="S1193">
        <v>25</v>
      </c>
      <c r="T1193">
        <v>27</v>
      </c>
      <c r="U1193">
        <v>0</v>
      </c>
      <c r="V1193">
        <v>0</v>
      </c>
      <c r="W1193">
        <v>0</v>
      </c>
      <c r="X1193">
        <v>68</v>
      </c>
      <c r="Y1193">
        <v>100</v>
      </c>
      <c r="Z1193">
        <v>0</v>
      </c>
      <c r="AA1193">
        <v>0</v>
      </c>
      <c r="AB1193">
        <v>117</v>
      </c>
      <c r="AC1193">
        <v>7</v>
      </c>
      <c r="AD1193">
        <v>106</v>
      </c>
      <c r="AE1193">
        <v>450</v>
      </c>
      <c r="AF1193">
        <v>729</v>
      </c>
      <c r="AJ1193">
        <v>4.92</v>
      </c>
      <c r="AK1193" t="str">
        <f t="shared" si="18"/>
        <v>FS601-6200</v>
      </c>
    </row>
    <row r="1194" spans="1:37">
      <c r="A1194" t="s">
        <v>2176</v>
      </c>
      <c r="B1194" t="s">
        <v>2177</v>
      </c>
      <c r="C1194" t="s">
        <v>68</v>
      </c>
      <c r="D1194" t="s">
        <v>2178</v>
      </c>
      <c r="E1194">
        <v>80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2311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2311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J1194">
        <v>10.58</v>
      </c>
      <c r="AK1194" t="str">
        <f t="shared" si="18"/>
        <v>GA201-5000</v>
      </c>
    </row>
    <row r="1195" spans="1:37">
      <c r="A1195" t="s">
        <v>2179</v>
      </c>
      <c r="B1195" t="s">
        <v>2180</v>
      </c>
      <c r="C1195" t="s">
        <v>68</v>
      </c>
      <c r="D1195" t="s">
        <v>2181</v>
      </c>
      <c r="E1195">
        <v>80</v>
      </c>
      <c r="F1195">
        <v>0</v>
      </c>
      <c r="G1195">
        <v>14</v>
      </c>
      <c r="H1195">
        <v>0</v>
      </c>
      <c r="I1195">
        <v>0</v>
      </c>
      <c r="J1195">
        <v>78</v>
      </c>
      <c r="K1195">
        <v>1633</v>
      </c>
      <c r="L1195">
        <v>596</v>
      </c>
      <c r="M1195">
        <v>0</v>
      </c>
      <c r="N1195">
        <v>12</v>
      </c>
      <c r="O1195">
        <v>0</v>
      </c>
      <c r="P1195">
        <v>0</v>
      </c>
      <c r="Q1195">
        <v>1621</v>
      </c>
      <c r="R1195">
        <v>0</v>
      </c>
      <c r="S1195">
        <v>0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254</v>
      </c>
      <c r="AD1195">
        <v>684</v>
      </c>
      <c r="AE1195">
        <v>938</v>
      </c>
      <c r="AF1195">
        <v>851</v>
      </c>
      <c r="AJ1195">
        <v>10.96</v>
      </c>
      <c r="AK1195" t="str">
        <f t="shared" si="18"/>
        <v>GA601-5000</v>
      </c>
    </row>
    <row r="1196" spans="1:37">
      <c r="A1196" t="s">
        <v>2183</v>
      </c>
      <c r="B1196" t="s">
        <v>2184</v>
      </c>
      <c r="C1196" t="s">
        <v>275</v>
      </c>
      <c r="D1196" t="s">
        <v>2185</v>
      </c>
      <c r="E1196">
        <v>50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2230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2230</v>
      </c>
      <c r="R1196">
        <v>0</v>
      </c>
      <c r="S1196">
        <v>0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64</v>
      </c>
      <c r="AJ1196">
        <v>4.76</v>
      </c>
      <c r="AK1196" t="str">
        <f t="shared" si="18"/>
        <v>GC702-6200</v>
      </c>
    </row>
    <row r="1197" spans="1:37">
      <c r="A1197" t="s">
        <v>2187</v>
      </c>
      <c r="B1197" t="s">
        <v>2188</v>
      </c>
      <c r="C1197" t="s">
        <v>275</v>
      </c>
      <c r="E1197">
        <v>50</v>
      </c>
      <c r="F1197">
        <v>4.2</v>
      </c>
      <c r="G1197">
        <v>0</v>
      </c>
      <c r="H1197">
        <v>25</v>
      </c>
      <c r="I1197">
        <v>38</v>
      </c>
      <c r="J1197">
        <v>37</v>
      </c>
      <c r="K1197">
        <v>412</v>
      </c>
      <c r="L1197">
        <v>4</v>
      </c>
      <c r="M1197">
        <v>0</v>
      </c>
      <c r="N1197">
        <v>0</v>
      </c>
      <c r="O1197">
        <v>0</v>
      </c>
      <c r="P1197">
        <v>0</v>
      </c>
      <c r="Q1197">
        <v>412</v>
      </c>
      <c r="R1197">
        <v>0</v>
      </c>
      <c r="S1197">
        <v>6</v>
      </c>
      <c r="T1197">
        <v>37</v>
      </c>
      <c r="U1197">
        <v>31</v>
      </c>
      <c r="V1197">
        <v>41</v>
      </c>
      <c r="W1197">
        <v>85</v>
      </c>
      <c r="X1197">
        <v>26</v>
      </c>
      <c r="Y1197">
        <v>12</v>
      </c>
      <c r="Z1197">
        <v>57</v>
      </c>
      <c r="AA1197">
        <v>0</v>
      </c>
      <c r="AB1197">
        <v>79</v>
      </c>
      <c r="AC1197">
        <v>67</v>
      </c>
      <c r="AD1197">
        <v>0</v>
      </c>
      <c r="AE1197">
        <v>441</v>
      </c>
      <c r="AF1197">
        <v>378</v>
      </c>
      <c r="AJ1197">
        <v>5.84</v>
      </c>
      <c r="AK1197" t="str">
        <f t="shared" si="18"/>
        <v>GR204-6200</v>
      </c>
    </row>
    <row r="1198" spans="1:37">
      <c r="A1198" t="s">
        <v>2189</v>
      </c>
      <c r="B1198" t="s">
        <v>2190</v>
      </c>
      <c r="C1198" t="s">
        <v>275</v>
      </c>
      <c r="D1198" t="s">
        <v>2191</v>
      </c>
      <c r="E1198">
        <v>50</v>
      </c>
      <c r="F1198">
        <v>-0.9</v>
      </c>
      <c r="G1198">
        <v>27</v>
      </c>
      <c r="H1198">
        <v>6</v>
      </c>
      <c r="I1198">
        <v>3</v>
      </c>
      <c r="J1198">
        <v>13</v>
      </c>
      <c r="K1198">
        <v>0</v>
      </c>
      <c r="L1198">
        <v>1</v>
      </c>
      <c r="M1198">
        <v>0</v>
      </c>
      <c r="N1198">
        <v>22</v>
      </c>
      <c r="O1198">
        <v>0</v>
      </c>
      <c r="P1198">
        <v>0</v>
      </c>
      <c r="Q1198">
        <v>-22</v>
      </c>
      <c r="R1198">
        <v>9</v>
      </c>
      <c r="S1198">
        <v>0</v>
      </c>
      <c r="T1198">
        <v>10</v>
      </c>
      <c r="U1198">
        <v>9</v>
      </c>
      <c r="V1198">
        <v>0</v>
      </c>
      <c r="W1198">
        <v>0</v>
      </c>
      <c r="X1198">
        <v>0</v>
      </c>
      <c r="Y1198">
        <v>50</v>
      </c>
      <c r="Z1198">
        <v>33</v>
      </c>
      <c r="AA1198">
        <v>12</v>
      </c>
      <c r="AB1198">
        <v>16</v>
      </c>
      <c r="AC1198">
        <v>16</v>
      </c>
      <c r="AD1198">
        <v>13</v>
      </c>
      <c r="AE1198">
        <v>159</v>
      </c>
      <c r="AF1198">
        <v>115</v>
      </c>
      <c r="AJ1198">
        <v>4.76</v>
      </c>
      <c r="AK1198" t="str">
        <f t="shared" si="18"/>
        <v>GR401-5000</v>
      </c>
    </row>
    <row r="1199" spans="1:37">
      <c r="A1199" t="s">
        <v>2192</v>
      </c>
      <c r="B1199" t="s">
        <v>2190</v>
      </c>
      <c r="C1199" t="s">
        <v>275</v>
      </c>
      <c r="D1199" t="s">
        <v>2191</v>
      </c>
      <c r="E1199">
        <v>50</v>
      </c>
      <c r="F1199">
        <v>9</v>
      </c>
      <c r="G1199">
        <v>26</v>
      </c>
      <c r="H1199">
        <v>15</v>
      </c>
      <c r="I1199">
        <v>15</v>
      </c>
      <c r="J1199">
        <v>29</v>
      </c>
      <c r="K1199">
        <v>564</v>
      </c>
      <c r="L1199">
        <v>0</v>
      </c>
      <c r="M1199">
        <v>0</v>
      </c>
      <c r="N1199">
        <v>22</v>
      </c>
      <c r="O1199">
        <v>0</v>
      </c>
      <c r="P1199">
        <v>0</v>
      </c>
      <c r="Q1199">
        <v>542</v>
      </c>
      <c r="R1199">
        <v>0</v>
      </c>
      <c r="S1199">
        <v>17</v>
      </c>
      <c r="T1199">
        <v>14</v>
      </c>
      <c r="U1199">
        <v>14</v>
      </c>
      <c r="V1199">
        <v>10</v>
      </c>
      <c r="W1199">
        <v>3</v>
      </c>
      <c r="X1199">
        <v>31</v>
      </c>
      <c r="Y1199">
        <v>18</v>
      </c>
      <c r="Z1199">
        <v>22</v>
      </c>
      <c r="AA1199">
        <v>79</v>
      </c>
      <c r="AB1199">
        <v>58</v>
      </c>
      <c r="AC1199">
        <v>31</v>
      </c>
      <c r="AD1199">
        <v>56</v>
      </c>
      <c r="AE1199">
        <v>353</v>
      </c>
      <c r="AF1199">
        <v>329</v>
      </c>
      <c r="AJ1199">
        <v>5.84</v>
      </c>
      <c r="AK1199" t="str">
        <f t="shared" si="18"/>
        <v>GR401-6200</v>
      </c>
    </row>
    <row r="1200" spans="1:37">
      <c r="A1200" t="s">
        <v>2193</v>
      </c>
      <c r="B1200" t="s">
        <v>2194</v>
      </c>
      <c r="C1200" t="s">
        <v>329</v>
      </c>
      <c r="D1200" t="s">
        <v>2195</v>
      </c>
      <c r="E1200">
        <v>50</v>
      </c>
      <c r="F1200">
        <v>0</v>
      </c>
      <c r="G1200">
        <v>487</v>
      </c>
      <c r="H1200">
        <v>0</v>
      </c>
      <c r="I1200">
        <v>0</v>
      </c>
      <c r="J1200">
        <v>55</v>
      </c>
      <c r="K1200">
        <v>0</v>
      </c>
      <c r="L1200">
        <v>0</v>
      </c>
      <c r="M1200">
        <v>0</v>
      </c>
      <c r="N1200">
        <v>405</v>
      </c>
      <c r="O1200">
        <v>0</v>
      </c>
      <c r="P1200">
        <v>0</v>
      </c>
      <c r="Q1200">
        <v>-405</v>
      </c>
      <c r="R1200">
        <v>0</v>
      </c>
      <c r="S1200">
        <v>0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501</v>
      </c>
      <c r="AA1200">
        <v>0</v>
      </c>
      <c r="AB1200">
        <v>103</v>
      </c>
      <c r="AC1200">
        <v>0</v>
      </c>
      <c r="AD1200">
        <v>52</v>
      </c>
      <c r="AE1200">
        <v>656</v>
      </c>
      <c r="AF1200">
        <v>171</v>
      </c>
      <c r="AJ1200">
        <v>0</v>
      </c>
      <c r="AK1200" t="str">
        <f t="shared" si="18"/>
        <v>H5102-5000</v>
      </c>
    </row>
    <row r="1201" spans="1:37">
      <c r="A1201" t="s">
        <v>2196</v>
      </c>
      <c r="B1201" t="s">
        <v>2194</v>
      </c>
      <c r="C1201" t="s">
        <v>329</v>
      </c>
      <c r="D1201" t="s">
        <v>2195</v>
      </c>
      <c r="E1201">
        <v>50</v>
      </c>
      <c r="F1201">
        <v>0</v>
      </c>
      <c r="G1201">
        <v>810</v>
      </c>
      <c r="H1201">
        <v>0</v>
      </c>
      <c r="I1201">
        <v>83</v>
      </c>
      <c r="J1201">
        <v>156</v>
      </c>
      <c r="K1201">
        <v>0</v>
      </c>
      <c r="L1201">
        <v>7</v>
      </c>
      <c r="M1201">
        <v>0</v>
      </c>
      <c r="N1201">
        <v>675</v>
      </c>
      <c r="O1201">
        <v>0</v>
      </c>
      <c r="P1201">
        <v>0</v>
      </c>
      <c r="Q1201">
        <v>-675</v>
      </c>
      <c r="R1201">
        <v>0</v>
      </c>
      <c r="S1201">
        <v>0</v>
      </c>
      <c r="T1201">
        <v>0</v>
      </c>
      <c r="U1201">
        <v>0</v>
      </c>
      <c r="V1201">
        <v>128</v>
      </c>
      <c r="W1201">
        <v>194</v>
      </c>
      <c r="X1201">
        <v>173</v>
      </c>
      <c r="Y1201">
        <v>116</v>
      </c>
      <c r="Z1201">
        <v>392</v>
      </c>
      <c r="AA1201">
        <v>0</v>
      </c>
      <c r="AB1201">
        <v>0</v>
      </c>
      <c r="AC1201">
        <v>0</v>
      </c>
      <c r="AD1201">
        <v>865</v>
      </c>
      <c r="AE1201">
        <v>1868</v>
      </c>
      <c r="AF1201">
        <v>2580</v>
      </c>
      <c r="AJ1201">
        <v>6.14</v>
      </c>
      <c r="AK1201" t="str">
        <f t="shared" si="18"/>
        <v>H5102-6200</v>
      </c>
    </row>
    <row r="1202" spans="1:37">
      <c r="A1202" t="s">
        <v>2197</v>
      </c>
      <c r="B1202" t="s">
        <v>2198</v>
      </c>
      <c r="C1202" t="s">
        <v>329</v>
      </c>
      <c r="D1202" t="s">
        <v>2199</v>
      </c>
      <c r="E1202">
        <v>92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5445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5445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J1202">
        <v>3.87</v>
      </c>
      <c r="AK1202" t="str">
        <f t="shared" si="18"/>
        <v>H5189-5000</v>
      </c>
    </row>
    <row r="1203" spans="1:37">
      <c r="A1203" t="s">
        <v>2200</v>
      </c>
      <c r="B1203" t="s">
        <v>2198</v>
      </c>
      <c r="C1203" t="s">
        <v>329</v>
      </c>
      <c r="D1203" t="s">
        <v>2199</v>
      </c>
      <c r="E1203">
        <v>92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1379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1379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J1203">
        <v>3.87</v>
      </c>
      <c r="AK1203" t="str">
        <f t="shared" si="18"/>
        <v>H5189-6200</v>
      </c>
    </row>
    <row r="1204" spans="1:37">
      <c r="A1204" t="s">
        <v>2201</v>
      </c>
      <c r="B1204" t="s">
        <v>2202</v>
      </c>
      <c r="C1204" t="s">
        <v>110</v>
      </c>
      <c r="D1204" t="s">
        <v>2203</v>
      </c>
      <c r="E1204">
        <v>50</v>
      </c>
      <c r="F1204">
        <v>0.1</v>
      </c>
      <c r="G1204">
        <v>1263</v>
      </c>
      <c r="H1204">
        <v>713</v>
      </c>
      <c r="I1204">
        <v>773</v>
      </c>
      <c r="J1204">
        <v>745</v>
      </c>
      <c r="K1204">
        <v>1340</v>
      </c>
      <c r="L1204">
        <v>725</v>
      </c>
      <c r="M1204">
        <v>0</v>
      </c>
      <c r="N1204">
        <v>1053</v>
      </c>
      <c r="O1204">
        <v>0</v>
      </c>
      <c r="P1204">
        <v>0</v>
      </c>
      <c r="Q1204">
        <v>287</v>
      </c>
      <c r="R1204">
        <v>150</v>
      </c>
      <c r="S1204">
        <v>480</v>
      </c>
      <c r="T1204">
        <v>583</v>
      </c>
      <c r="U1204">
        <v>1076</v>
      </c>
      <c r="V1204">
        <v>901</v>
      </c>
      <c r="W1204">
        <v>1598</v>
      </c>
      <c r="X1204">
        <v>0</v>
      </c>
      <c r="Y1204">
        <v>1227</v>
      </c>
      <c r="Z1204">
        <v>700</v>
      </c>
      <c r="AA1204">
        <v>1417</v>
      </c>
      <c r="AB1204">
        <v>0</v>
      </c>
      <c r="AC1204">
        <v>95</v>
      </c>
      <c r="AD1204">
        <v>859</v>
      </c>
      <c r="AE1204">
        <v>8936</v>
      </c>
      <c r="AF1204">
        <v>7360</v>
      </c>
      <c r="AJ1204">
        <v>4.99</v>
      </c>
      <c r="AK1204" t="str">
        <f t="shared" si="18"/>
        <v>HA009-4300</v>
      </c>
    </row>
    <row r="1205" spans="1:37">
      <c r="A1205" t="s">
        <v>2204</v>
      </c>
      <c r="B1205" t="s">
        <v>2205</v>
      </c>
      <c r="C1205" t="s">
        <v>110</v>
      </c>
      <c r="D1205" t="s">
        <v>2206</v>
      </c>
      <c r="E1205">
        <v>55</v>
      </c>
      <c r="F1205">
        <v>0</v>
      </c>
      <c r="G1205">
        <v>0</v>
      </c>
      <c r="H1205">
        <v>0</v>
      </c>
      <c r="I1205">
        <v>10</v>
      </c>
      <c r="J1205">
        <v>26</v>
      </c>
      <c r="K1205">
        <v>2196</v>
      </c>
      <c r="L1205">
        <v>23</v>
      </c>
      <c r="M1205">
        <v>0</v>
      </c>
      <c r="N1205">
        <v>0</v>
      </c>
      <c r="O1205">
        <v>0</v>
      </c>
      <c r="P1205">
        <v>0</v>
      </c>
      <c r="Q1205">
        <v>2196</v>
      </c>
      <c r="R1205">
        <v>0</v>
      </c>
      <c r="S1205">
        <v>0</v>
      </c>
      <c r="T1205">
        <v>0</v>
      </c>
      <c r="U1205">
        <v>0</v>
      </c>
      <c r="V1205">
        <v>10</v>
      </c>
      <c r="W1205">
        <v>22</v>
      </c>
      <c r="X1205">
        <v>26</v>
      </c>
      <c r="Y1205">
        <v>0</v>
      </c>
      <c r="Z1205">
        <v>86</v>
      </c>
      <c r="AA1205">
        <v>0</v>
      </c>
      <c r="AB1205">
        <v>136</v>
      </c>
      <c r="AC1205">
        <v>28</v>
      </c>
      <c r="AD1205">
        <v>0</v>
      </c>
      <c r="AE1205">
        <v>308</v>
      </c>
      <c r="AF1205">
        <v>60</v>
      </c>
      <c r="AJ1205">
        <v>4.25</v>
      </c>
      <c r="AK1205" t="str">
        <f t="shared" si="18"/>
        <v>HA032-5000</v>
      </c>
    </row>
    <row r="1206" spans="1:37">
      <c r="A1206" t="s">
        <v>2207</v>
      </c>
      <c r="B1206" t="s">
        <v>2208</v>
      </c>
      <c r="C1206" t="s">
        <v>267</v>
      </c>
      <c r="E1206">
        <v>65</v>
      </c>
      <c r="F1206">
        <v>0</v>
      </c>
      <c r="G1206">
        <v>2</v>
      </c>
      <c r="H1206">
        <v>28</v>
      </c>
      <c r="I1206">
        <v>94</v>
      </c>
      <c r="J1206">
        <v>61</v>
      </c>
      <c r="K1206">
        <v>0</v>
      </c>
      <c r="L1206">
        <v>88</v>
      </c>
      <c r="M1206">
        <v>0</v>
      </c>
      <c r="N1206">
        <v>2</v>
      </c>
      <c r="O1206">
        <v>0</v>
      </c>
      <c r="P1206">
        <v>0</v>
      </c>
      <c r="Q1206">
        <v>-2</v>
      </c>
      <c r="R1206">
        <v>0</v>
      </c>
      <c r="S1206">
        <v>0</v>
      </c>
      <c r="T1206">
        <v>25</v>
      </c>
      <c r="U1206">
        <v>59</v>
      </c>
      <c r="V1206">
        <v>101</v>
      </c>
      <c r="W1206">
        <v>80</v>
      </c>
      <c r="X1206">
        <v>297</v>
      </c>
      <c r="Y1206">
        <v>0</v>
      </c>
      <c r="Z1206">
        <v>110</v>
      </c>
      <c r="AA1206">
        <v>21</v>
      </c>
      <c r="AB1206">
        <v>0</v>
      </c>
      <c r="AC1206">
        <v>21</v>
      </c>
      <c r="AD1206">
        <v>19</v>
      </c>
      <c r="AE1206">
        <v>733</v>
      </c>
      <c r="AF1206">
        <v>297</v>
      </c>
      <c r="AJ1206">
        <v>6.15</v>
      </c>
      <c r="AK1206" t="str">
        <f t="shared" si="18"/>
        <v>HLB01-5000</v>
      </c>
    </row>
    <row r="1207" spans="1:37">
      <c r="A1207" t="s">
        <v>2209</v>
      </c>
      <c r="B1207" t="s">
        <v>2208</v>
      </c>
      <c r="C1207" t="s">
        <v>267</v>
      </c>
      <c r="E1207">
        <v>65</v>
      </c>
      <c r="F1207">
        <v>0</v>
      </c>
      <c r="G1207">
        <v>0</v>
      </c>
      <c r="H1207">
        <v>0</v>
      </c>
      <c r="I1207">
        <v>18</v>
      </c>
      <c r="J1207">
        <v>32</v>
      </c>
      <c r="K1207">
        <v>2336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2336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64</v>
      </c>
      <c r="X1207">
        <v>42</v>
      </c>
      <c r="Y1207">
        <v>45</v>
      </c>
      <c r="Z1207">
        <v>85</v>
      </c>
      <c r="AA1207">
        <v>0</v>
      </c>
      <c r="AB1207">
        <v>0</v>
      </c>
      <c r="AC1207">
        <v>145</v>
      </c>
      <c r="AD1207">
        <v>0</v>
      </c>
      <c r="AE1207">
        <v>381</v>
      </c>
      <c r="AF1207">
        <v>1362</v>
      </c>
      <c r="AJ1207">
        <v>6.62</v>
      </c>
      <c r="AK1207" t="str">
        <f t="shared" si="18"/>
        <v>HLB01-6200</v>
      </c>
    </row>
    <row r="1208" spans="1:37">
      <c r="A1208" t="s">
        <v>2210</v>
      </c>
      <c r="B1208" t="s">
        <v>2211</v>
      </c>
      <c r="C1208" t="s">
        <v>267</v>
      </c>
      <c r="D1208" t="s">
        <v>2212</v>
      </c>
      <c r="E1208">
        <v>50</v>
      </c>
      <c r="F1208">
        <v>1.2</v>
      </c>
      <c r="G1208">
        <v>0</v>
      </c>
      <c r="H1208">
        <v>80</v>
      </c>
      <c r="I1208">
        <v>148</v>
      </c>
      <c r="J1208">
        <v>282</v>
      </c>
      <c r="K1208">
        <v>372</v>
      </c>
      <c r="L1208">
        <v>51</v>
      </c>
      <c r="M1208">
        <v>0</v>
      </c>
      <c r="N1208">
        <v>0</v>
      </c>
      <c r="O1208">
        <v>0</v>
      </c>
      <c r="P1208">
        <v>0</v>
      </c>
      <c r="Q1208">
        <v>372</v>
      </c>
      <c r="R1208">
        <v>0</v>
      </c>
      <c r="S1208">
        <v>67</v>
      </c>
      <c r="T1208">
        <v>173</v>
      </c>
      <c r="U1208">
        <v>0</v>
      </c>
      <c r="V1208">
        <v>0</v>
      </c>
      <c r="W1208">
        <v>646</v>
      </c>
      <c r="X1208">
        <v>0</v>
      </c>
      <c r="Y1208">
        <v>799</v>
      </c>
      <c r="Z1208">
        <v>233</v>
      </c>
      <c r="AA1208">
        <v>760</v>
      </c>
      <c r="AB1208">
        <v>230</v>
      </c>
      <c r="AC1208">
        <v>369</v>
      </c>
      <c r="AD1208">
        <v>111</v>
      </c>
      <c r="AE1208">
        <v>3388</v>
      </c>
      <c r="AF1208">
        <v>2825</v>
      </c>
      <c r="AJ1208">
        <v>4.75</v>
      </c>
      <c r="AK1208" t="str">
        <f t="shared" si="18"/>
        <v>HLT01-5000</v>
      </c>
    </row>
    <row r="1209" spans="1:37">
      <c r="A1209" t="s">
        <v>2213</v>
      </c>
      <c r="B1209" t="s">
        <v>2211</v>
      </c>
      <c r="C1209" t="s">
        <v>267</v>
      </c>
      <c r="D1209" t="s">
        <v>2212</v>
      </c>
      <c r="E1209">
        <v>50</v>
      </c>
      <c r="F1209">
        <v>0</v>
      </c>
      <c r="G1209">
        <v>0</v>
      </c>
      <c r="H1209">
        <v>0</v>
      </c>
      <c r="I1209">
        <v>11</v>
      </c>
      <c r="J1209">
        <v>15</v>
      </c>
      <c r="K1209">
        <v>897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897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66</v>
      </c>
      <c r="X1209">
        <v>0</v>
      </c>
      <c r="Y1209">
        <v>0</v>
      </c>
      <c r="Z1209">
        <v>25</v>
      </c>
      <c r="AA1209">
        <v>31</v>
      </c>
      <c r="AB1209">
        <v>0</v>
      </c>
      <c r="AC1209">
        <v>53</v>
      </c>
      <c r="AD1209">
        <v>0</v>
      </c>
      <c r="AE1209">
        <v>175</v>
      </c>
      <c r="AF1209">
        <v>247</v>
      </c>
      <c r="AJ1209">
        <v>4.08</v>
      </c>
      <c r="AK1209" t="str">
        <f t="shared" si="18"/>
        <v>HLT01-6200</v>
      </c>
    </row>
    <row r="1210" spans="1:37">
      <c r="A1210" t="s">
        <v>2214</v>
      </c>
      <c r="B1210" t="s">
        <v>2215</v>
      </c>
      <c r="C1210" t="s">
        <v>267</v>
      </c>
      <c r="D1210" t="s">
        <v>2216</v>
      </c>
      <c r="E1210">
        <v>65</v>
      </c>
      <c r="F1210">
        <v>-0.3</v>
      </c>
      <c r="G1210">
        <v>254</v>
      </c>
      <c r="H1210">
        <v>170</v>
      </c>
      <c r="I1210">
        <v>166</v>
      </c>
      <c r="J1210">
        <v>158</v>
      </c>
      <c r="K1210">
        <v>0</v>
      </c>
      <c r="L1210">
        <v>188</v>
      </c>
      <c r="M1210">
        <v>0</v>
      </c>
      <c r="N1210">
        <v>211</v>
      </c>
      <c r="O1210">
        <v>0</v>
      </c>
      <c r="P1210">
        <v>0</v>
      </c>
      <c r="Q1210">
        <v>-211</v>
      </c>
      <c r="R1210">
        <v>0</v>
      </c>
      <c r="S1210">
        <v>160</v>
      </c>
      <c r="T1210">
        <v>0</v>
      </c>
      <c r="U1210">
        <v>350</v>
      </c>
      <c r="V1210">
        <v>123</v>
      </c>
      <c r="W1210">
        <v>156</v>
      </c>
      <c r="X1210">
        <v>207</v>
      </c>
      <c r="Y1210">
        <v>128</v>
      </c>
      <c r="Z1210">
        <v>147</v>
      </c>
      <c r="AA1210">
        <v>175</v>
      </c>
      <c r="AB1210">
        <v>113</v>
      </c>
      <c r="AC1210">
        <v>241</v>
      </c>
      <c r="AD1210">
        <v>91</v>
      </c>
      <c r="AE1210">
        <v>1891</v>
      </c>
      <c r="AF1210">
        <v>885</v>
      </c>
      <c r="AJ1210">
        <v>6.48</v>
      </c>
      <c r="AK1210" t="str">
        <f t="shared" si="18"/>
        <v>HLT04-5000</v>
      </c>
    </row>
    <row r="1211" spans="1:37">
      <c r="A1211" t="s">
        <v>2217</v>
      </c>
      <c r="B1211" t="s">
        <v>2215</v>
      </c>
      <c r="C1211" t="s">
        <v>267</v>
      </c>
      <c r="D1211" t="s">
        <v>2216</v>
      </c>
      <c r="E1211">
        <v>65</v>
      </c>
      <c r="F1211">
        <v>0</v>
      </c>
      <c r="G1211">
        <v>0</v>
      </c>
      <c r="H1211">
        <v>73</v>
      </c>
      <c r="I1211">
        <v>69</v>
      </c>
      <c r="J1211">
        <v>57</v>
      </c>
      <c r="K1211">
        <v>0</v>
      </c>
      <c r="L1211">
        <v>18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>
        <v>36</v>
      </c>
      <c r="T1211">
        <v>52</v>
      </c>
      <c r="U1211">
        <v>132</v>
      </c>
      <c r="V1211">
        <v>46</v>
      </c>
      <c r="W1211">
        <v>146</v>
      </c>
      <c r="X1211">
        <v>0</v>
      </c>
      <c r="Y1211">
        <v>0</v>
      </c>
      <c r="Z1211">
        <v>52</v>
      </c>
      <c r="AA1211">
        <v>0</v>
      </c>
      <c r="AB1211">
        <v>0</v>
      </c>
      <c r="AC1211">
        <v>0</v>
      </c>
      <c r="AD1211">
        <v>218</v>
      </c>
      <c r="AE1211">
        <v>682</v>
      </c>
      <c r="AF1211">
        <v>1943</v>
      </c>
      <c r="AJ1211">
        <v>6.48</v>
      </c>
      <c r="AK1211" t="str">
        <f t="shared" si="18"/>
        <v>HLT04-6200</v>
      </c>
    </row>
    <row r="1212" spans="1:37">
      <c r="A1212" t="s">
        <v>2218</v>
      </c>
      <c r="B1212" t="s">
        <v>2219</v>
      </c>
      <c r="C1212" t="s">
        <v>329</v>
      </c>
      <c r="D1212" t="s">
        <v>2220</v>
      </c>
      <c r="E1212">
        <v>92</v>
      </c>
      <c r="F1212">
        <v>0.3</v>
      </c>
      <c r="G1212">
        <v>134</v>
      </c>
      <c r="H1212">
        <v>123</v>
      </c>
      <c r="I1212">
        <v>65</v>
      </c>
      <c r="J1212">
        <v>59</v>
      </c>
      <c r="K1212">
        <v>281</v>
      </c>
      <c r="L1212">
        <v>49</v>
      </c>
      <c r="M1212">
        <v>0</v>
      </c>
      <c r="N1212">
        <v>112</v>
      </c>
      <c r="O1212">
        <v>0</v>
      </c>
      <c r="P1212">
        <v>0</v>
      </c>
      <c r="Q1212">
        <v>169</v>
      </c>
      <c r="R1212">
        <v>0</v>
      </c>
      <c r="S1212">
        <v>0</v>
      </c>
      <c r="T1212">
        <v>86</v>
      </c>
      <c r="U1212">
        <v>283</v>
      </c>
      <c r="V1212">
        <v>20</v>
      </c>
      <c r="W1212">
        <v>0</v>
      </c>
      <c r="X1212">
        <v>0</v>
      </c>
      <c r="Y1212">
        <v>94</v>
      </c>
      <c r="Z1212">
        <v>31</v>
      </c>
      <c r="AA1212">
        <v>43</v>
      </c>
      <c r="AB1212">
        <v>0</v>
      </c>
      <c r="AC1212">
        <v>108</v>
      </c>
      <c r="AD1212">
        <v>37</v>
      </c>
      <c r="AE1212">
        <v>702</v>
      </c>
      <c r="AF1212">
        <v>879</v>
      </c>
      <c r="AJ1212">
        <v>4.5</v>
      </c>
      <c r="AK1212" t="str">
        <f t="shared" si="18"/>
        <v>K3000-5000</v>
      </c>
    </row>
    <row r="1213" spans="1:37">
      <c r="A1213" t="s">
        <v>2221</v>
      </c>
      <c r="B1213" t="s">
        <v>2219</v>
      </c>
      <c r="C1213" t="s">
        <v>329</v>
      </c>
      <c r="D1213" t="s">
        <v>2220</v>
      </c>
      <c r="E1213">
        <v>92</v>
      </c>
      <c r="F1213">
        <v>0.3</v>
      </c>
      <c r="G1213">
        <v>103</v>
      </c>
      <c r="H1213">
        <v>187</v>
      </c>
      <c r="I1213">
        <v>155</v>
      </c>
      <c r="J1213">
        <v>149</v>
      </c>
      <c r="K1213">
        <v>333</v>
      </c>
      <c r="L1213">
        <v>144</v>
      </c>
      <c r="M1213">
        <v>0</v>
      </c>
      <c r="N1213">
        <v>86</v>
      </c>
      <c r="O1213">
        <v>0</v>
      </c>
      <c r="P1213">
        <v>0</v>
      </c>
      <c r="Q1213">
        <v>247</v>
      </c>
      <c r="R1213">
        <v>0</v>
      </c>
      <c r="S1213">
        <v>263</v>
      </c>
      <c r="T1213">
        <v>0</v>
      </c>
      <c r="U1213">
        <v>299</v>
      </c>
      <c r="V1213">
        <v>157</v>
      </c>
      <c r="W1213">
        <v>212</v>
      </c>
      <c r="X1213">
        <v>0</v>
      </c>
      <c r="Y1213">
        <v>209</v>
      </c>
      <c r="Z1213">
        <v>270</v>
      </c>
      <c r="AA1213">
        <v>50</v>
      </c>
      <c r="AB1213">
        <v>151</v>
      </c>
      <c r="AC1213">
        <v>0</v>
      </c>
      <c r="AD1213">
        <v>180</v>
      </c>
      <c r="AE1213">
        <v>1791</v>
      </c>
      <c r="AF1213">
        <v>1527</v>
      </c>
      <c r="AJ1213">
        <v>4.5</v>
      </c>
      <c r="AK1213" t="str">
        <f t="shared" si="18"/>
        <v>K3000-6200</v>
      </c>
    </row>
    <row r="1214" spans="1:37">
      <c r="A1214" t="s">
        <v>2222</v>
      </c>
      <c r="B1214" t="s">
        <v>2223</v>
      </c>
      <c r="C1214" t="s">
        <v>318</v>
      </c>
      <c r="E1214">
        <v>50</v>
      </c>
      <c r="F1214">
        <v>14.7</v>
      </c>
      <c r="G1214">
        <v>0</v>
      </c>
      <c r="H1214">
        <v>14</v>
      </c>
      <c r="I1214">
        <v>11</v>
      </c>
      <c r="J1214">
        <v>8</v>
      </c>
      <c r="K1214">
        <v>845</v>
      </c>
      <c r="L1214">
        <v>4</v>
      </c>
      <c r="M1214">
        <v>0</v>
      </c>
      <c r="N1214">
        <v>0</v>
      </c>
      <c r="O1214">
        <v>0</v>
      </c>
      <c r="P1214">
        <v>0</v>
      </c>
      <c r="Q1214">
        <v>845</v>
      </c>
      <c r="R1214">
        <v>0</v>
      </c>
      <c r="S1214">
        <v>13</v>
      </c>
      <c r="T1214">
        <v>14</v>
      </c>
      <c r="U1214">
        <v>16</v>
      </c>
      <c r="V1214">
        <v>1</v>
      </c>
      <c r="W1214">
        <v>0</v>
      </c>
      <c r="X1214">
        <v>21</v>
      </c>
      <c r="Y1214">
        <v>5</v>
      </c>
      <c r="Z1214">
        <v>4</v>
      </c>
      <c r="AA1214">
        <v>0</v>
      </c>
      <c r="AB1214">
        <v>0</v>
      </c>
      <c r="AC1214">
        <v>0</v>
      </c>
      <c r="AD1214">
        <v>18</v>
      </c>
      <c r="AE1214">
        <v>92</v>
      </c>
      <c r="AF1214">
        <v>209</v>
      </c>
      <c r="AJ1214">
        <v>5.91</v>
      </c>
      <c r="AK1214" t="str">
        <f t="shared" si="18"/>
        <v>KH201-5000</v>
      </c>
    </row>
    <row r="1215" spans="1:37">
      <c r="A1215" t="s">
        <v>2224</v>
      </c>
      <c r="B1215" t="s">
        <v>2225</v>
      </c>
      <c r="C1215" t="s">
        <v>318</v>
      </c>
      <c r="E1215">
        <v>50</v>
      </c>
      <c r="F1215">
        <v>133.5</v>
      </c>
      <c r="G1215">
        <v>0</v>
      </c>
      <c r="H1215">
        <v>3</v>
      </c>
      <c r="I1215">
        <v>7</v>
      </c>
      <c r="J1215">
        <v>8</v>
      </c>
      <c r="K1215">
        <v>1424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1424</v>
      </c>
      <c r="R1215">
        <v>0</v>
      </c>
      <c r="S1215">
        <v>8</v>
      </c>
      <c r="T1215">
        <v>0</v>
      </c>
      <c r="U1215">
        <v>0</v>
      </c>
      <c r="V1215">
        <v>0</v>
      </c>
      <c r="W1215">
        <v>31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61</v>
      </c>
      <c r="AE1215">
        <v>100</v>
      </c>
      <c r="AF1215">
        <v>21</v>
      </c>
      <c r="AJ1215">
        <v>5.91</v>
      </c>
      <c r="AK1215" t="str">
        <f t="shared" si="18"/>
        <v>KH201-6200</v>
      </c>
    </row>
    <row r="1216" spans="1:37">
      <c r="A1216" t="s">
        <v>2226</v>
      </c>
      <c r="B1216" t="s">
        <v>2227</v>
      </c>
      <c r="C1216" t="s">
        <v>110</v>
      </c>
      <c r="D1216" t="s">
        <v>2228</v>
      </c>
      <c r="E1216">
        <v>43</v>
      </c>
      <c r="F1216">
        <v>2.7</v>
      </c>
      <c r="G1216">
        <v>0</v>
      </c>
      <c r="H1216">
        <v>99</v>
      </c>
      <c r="I1216">
        <v>331</v>
      </c>
      <c r="J1216">
        <v>204</v>
      </c>
      <c r="K1216">
        <v>1060</v>
      </c>
      <c r="L1216">
        <v>241</v>
      </c>
      <c r="M1216">
        <v>0</v>
      </c>
      <c r="N1216">
        <v>0</v>
      </c>
      <c r="O1216">
        <v>0</v>
      </c>
      <c r="P1216">
        <v>0</v>
      </c>
      <c r="Q1216">
        <v>1060</v>
      </c>
      <c r="R1216">
        <v>0</v>
      </c>
      <c r="S1216">
        <v>0</v>
      </c>
      <c r="T1216">
        <v>0</v>
      </c>
      <c r="U1216">
        <v>296</v>
      </c>
      <c r="V1216">
        <v>248</v>
      </c>
      <c r="W1216">
        <v>1439</v>
      </c>
      <c r="X1216">
        <v>0</v>
      </c>
      <c r="Y1216">
        <v>0</v>
      </c>
      <c r="Z1216">
        <v>448</v>
      </c>
      <c r="AA1216">
        <v>0</v>
      </c>
      <c r="AB1216">
        <v>21</v>
      </c>
      <c r="AC1216">
        <v>0</v>
      </c>
      <c r="AD1216">
        <v>0</v>
      </c>
      <c r="AE1216">
        <v>2452</v>
      </c>
      <c r="AF1216">
        <v>2896</v>
      </c>
      <c r="AJ1216">
        <v>8.0500000000000007</v>
      </c>
      <c r="AK1216" t="str">
        <f t="shared" si="18"/>
        <v>KM007-6200</v>
      </c>
    </row>
    <row r="1217" spans="1:37">
      <c r="A1217" t="s">
        <v>2231</v>
      </c>
      <c r="B1217" t="s">
        <v>2230</v>
      </c>
      <c r="C1217" t="s">
        <v>110</v>
      </c>
      <c r="E1217">
        <v>43</v>
      </c>
      <c r="F1217">
        <v>1.1000000000000001</v>
      </c>
      <c r="G1217">
        <v>0</v>
      </c>
      <c r="H1217">
        <v>368</v>
      </c>
      <c r="I1217">
        <v>232</v>
      </c>
      <c r="J1217">
        <v>213</v>
      </c>
      <c r="K1217">
        <v>1569</v>
      </c>
      <c r="L1217">
        <v>259</v>
      </c>
      <c r="M1217">
        <v>0</v>
      </c>
      <c r="N1217">
        <v>0</v>
      </c>
      <c r="O1217">
        <v>0</v>
      </c>
      <c r="P1217">
        <v>0</v>
      </c>
      <c r="Q1217">
        <v>1569</v>
      </c>
      <c r="R1217">
        <v>0</v>
      </c>
      <c r="S1217">
        <v>286</v>
      </c>
      <c r="T1217">
        <v>0</v>
      </c>
      <c r="U1217">
        <v>819</v>
      </c>
      <c r="V1217">
        <v>289</v>
      </c>
      <c r="W1217">
        <v>0</v>
      </c>
      <c r="X1217">
        <v>0</v>
      </c>
      <c r="Y1217">
        <v>650</v>
      </c>
      <c r="Z1217">
        <v>298</v>
      </c>
      <c r="AA1217">
        <v>0</v>
      </c>
      <c r="AB1217">
        <v>95</v>
      </c>
      <c r="AC1217">
        <v>117</v>
      </c>
      <c r="AD1217">
        <v>0</v>
      </c>
      <c r="AE1217">
        <v>2554</v>
      </c>
      <c r="AF1217">
        <v>3923</v>
      </c>
      <c r="AJ1217">
        <v>7.72</v>
      </c>
      <c r="AK1217" t="str">
        <f t="shared" si="18"/>
        <v>KM027-6200</v>
      </c>
    </row>
    <row r="1218" spans="1:37">
      <c r="A1218" t="s">
        <v>2232</v>
      </c>
      <c r="B1218" t="s">
        <v>2233</v>
      </c>
      <c r="C1218" t="s">
        <v>110</v>
      </c>
      <c r="E1218">
        <v>43</v>
      </c>
      <c r="F1218">
        <v>1.2</v>
      </c>
      <c r="G1218">
        <v>0</v>
      </c>
      <c r="H1218">
        <v>234</v>
      </c>
      <c r="I1218">
        <v>159</v>
      </c>
      <c r="J1218">
        <v>168</v>
      </c>
      <c r="K1218">
        <v>1099</v>
      </c>
      <c r="L1218">
        <v>90</v>
      </c>
      <c r="M1218">
        <v>0</v>
      </c>
      <c r="N1218">
        <v>0</v>
      </c>
      <c r="O1218">
        <v>0</v>
      </c>
      <c r="P1218">
        <v>0</v>
      </c>
      <c r="Q1218">
        <v>1099</v>
      </c>
      <c r="R1218">
        <v>0</v>
      </c>
      <c r="S1218">
        <v>0</v>
      </c>
      <c r="T1218">
        <v>0</v>
      </c>
      <c r="U1218">
        <v>701</v>
      </c>
      <c r="V1218">
        <v>0</v>
      </c>
      <c r="W1218">
        <v>0</v>
      </c>
      <c r="X1218">
        <v>255</v>
      </c>
      <c r="Y1218">
        <v>329</v>
      </c>
      <c r="Z1218">
        <v>235</v>
      </c>
      <c r="AA1218">
        <v>79</v>
      </c>
      <c r="AB1218">
        <v>96</v>
      </c>
      <c r="AC1218">
        <v>321</v>
      </c>
      <c r="AD1218">
        <v>0</v>
      </c>
      <c r="AE1218">
        <v>2016</v>
      </c>
      <c r="AF1218">
        <v>2078</v>
      </c>
      <c r="AJ1218">
        <v>7.5</v>
      </c>
      <c r="AK1218" t="str">
        <f t="shared" si="18"/>
        <v>KM028-6200</v>
      </c>
    </row>
    <row r="1219" spans="1:37">
      <c r="A1219" t="s">
        <v>2234</v>
      </c>
      <c r="B1219" t="s">
        <v>2235</v>
      </c>
      <c r="C1219" t="s">
        <v>110</v>
      </c>
      <c r="D1219" t="s">
        <v>2236</v>
      </c>
      <c r="E1219">
        <v>50</v>
      </c>
      <c r="F1219">
        <v>0</v>
      </c>
      <c r="G1219">
        <v>0</v>
      </c>
      <c r="H1219">
        <v>0</v>
      </c>
      <c r="I1219">
        <v>22</v>
      </c>
      <c r="J1219">
        <v>27</v>
      </c>
      <c r="K1219">
        <v>1061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1061</v>
      </c>
      <c r="R1219">
        <v>0</v>
      </c>
      <c r="S1219">
        <v>0</v>
      </c>
      <c r="T1219">
        <v>0</v>
      </c>
      <c r="U1219">
        <v>0</v>
      </c>
      <c r="V1219">
        <v>24</v>
      </c>
      <c r="W1219">
        <v>105</v>
      </c>
      <c r="X1219">
        <v>0</v>
      </c>
      <c r="Y1219">
        <v>0</v>
      </c>
      <c r="Z1219">
        <v>56</v>
      </c>
      <c r="AA1219">
        <v>66</v>
      </c>
      <c r="AB1219">
        <v>0</v>
      </c>
      <c r="AC1219">
        <v>25</v>
      </c>
      <c r="AD1219">
        <v>49</v>
      </c>
      <c r="AE1219">
        <v>325</v>
      </c>
      <c r="AF1219">
        <v>353</v>
      </c>
      <c r="AJ1219">
        <v>4.1399999999999997</v>
      </c>
      <c r="AK1219" t="str">
        <f t="shared" si="18"/>
        <v>LD601-5000</v>
      </c>
    </row>
    <row r="1220" spans="1:37">
      <c r="A1220" t="s">
        <v>2237</v>
      </c>
      <c r="B1220" t="s">
        <v>2238</v>
      </c>
      <c r="C1220" t="s">
        <v>110</v>
      </c>
      <c r="D1220" t="s">
        <v>2236</v>
      </c>
      <c r="E1220">
        <v>50</v>
      </c>
      <c r="F1220">
        <v>6.7</v>
      </c>
      <c r="G1220">
        <v>33</v>
      </c>
      <c r="H1220">
        <v>121</v>
      </c>
      <c r="I1220">
        <v>80</v>
      </c>
      <c r="J1220">
        <v>61</v>
      </c>
      <c r="K1220">
        <v>3241</v>
      </c>
      <c r="L1220">
        <v>69</v>
      </c>
      <c r="M1220">
        <v>0</v>
      </c>
      <c r="N1220">
        <v>28</v>
      </c>
      <c r="O1220">
        <v>0</v>
      </c>
      <c r="P1220">
        <v>0</v>
      </c>
      <c r="Q1220">
        <v>3213</v>
      </c>
      <c r="R1220">
        <v>0</v>
      </c>
      <c r="S1220">
        <v>128</v>
      </c>
      <c r="T1220">
        <v>0</v>
      </c>
      <c r="U1220">
        <v>234</v>
      </c>
      <c r="V1220">
        <v>11</v>
      </c>
      <c r="W1220">
        <v>55</v>
      </c>
      <c r="X1220">
        <v>54</v>
      </c>
      <c r="Y1220">
        <v>5</v>
      </c>
      <c r="Z1220">
        <v>0</v>
      </c>
      <c r="AA1220">
        <v>0</v>
      </c>
      <c r="AB1220">
        <v>134</v>
      </c>
      <c r="AC1220">
        <v>0</v>
      </c>
      <c r="AD1220">
        <v>112</v>
      </c>
      <c r="AE1220">
        <v>733</v>
      </c>
      <c r="AF1220">
        <v>961</v>
      </c>
      <c r="AJ1220">
        <v>4.1399999999999997</v>
      </c>
      <c r="AK1220" t="str">
        <f t="shared" si="18"/>
        <v>LD601-6200</v>
      </c>
    </row>
    <row r="1221" spans="1:37">
      <c r="A1221" t="s">
        <v>2239</v>
      </c>
      <c r="B1221" t="s">
        <v>2240</v>
      </c>
      <c r="C1221" t="s">
        <v>313</v>
      </c>
      <c r="D1221" t="s">
        <v>2174</v>
      </c>
      <c r="E1221">
        <v>43</v>
      </c>
      <c r="F1221">
        <v>2.4</v>
      </c>
      <c r="G1221">
        <v>37</v>
      </c>
      <c r="H1221">
        <v>139</v>
      </c>
      <c r="I1221">
        <v>104</v>
      </c>
      <c r="J1221">
        <v>108</v>
      </c>
      <c r="K1221">
        <v>1347</v>
      </c>
      <c r="L1221">
        <v>79</v>
      </c>
      <c r="M1221">
        <v>0</v>
      </c>
      <c r="N1221">
        <v>31</v>
      </c>
      <c r="O1221">
        <v>0</v>
      </c>
      <c r="P1221">
        <v>0</v>
      </c>
      <c r="Q1221">
        <v>1316</v>
      </c>
      <c r="R1221">
        <v>0</v>
      </c>
      <c r="S1221">
        <v>40</v>
      </c>
      <c r="T1221">
        <v>196</v>
      </c>
      <c r="U1221">
        <v>181</v>
      </c>
      <c r="V1221">
        <v>129</v>
      </c>
      <c r="W1221">
        <v>0</v>
      </c>
      <c r="X1221">
        <v>80</v>
      </c>
      <c r="Y1221">
        <v>324</v>
      </c>
      <c r="Z1221">
        <v>105</v>
      </c>
      <c r="AA1221">
        <v>8</v>
      </c>
      <c r="AB1221">
        <v>127</v>
      </c>
      <c r="AC1221">
        <v>52</v>
      </c>
      <c r="AD1221">
        <v>48</v>
      </c>
      <c r="AE1221">
        <v>1290</v>
      </c>
      <c r="AF1221">
        <v>1239</v>
      </c>
      <c r="AJ1221">
        <v>5.81</v>
      </c>
      <c r="AK1221" t="str">
        <f t="shared" ref="AK1221:AK1284" si="19">MID(A1221,4,10)</f>
        <v>LN601-5000</v>
      </c>
    </row>
    <row r="1222" spans="1:37">
      <c r="A1222" t="s">
        <v>2241</v>
      </c>
      <c r="B1222" t="s">
        <v>2240</v>
      </c>
      <c r="C1222" t="s">
        <v>313</v>
      </c>
      <c r="D1222" t="s">
        <v>2174</v>
      </c>
      <c r="E1222">
        <v>43</v>
      </c>
      <c r="F1222">
        <v>16.8</v>
      </c>
      <c r="G1222">
        <v>28</v>
      </c>
      <c r="H1222">
        <v>46</v>
      </c>
      <c r="I1222">
        <v>33</v>
      </c>
      <c r="J1222">
        <v>33</v>
      </c>
      <c r="K1222">
        <v>3118</v>
      </c>
      <c r="L1222">
        <v>47</v>
      </c>
      <c r="M1222">
        <v>0</v>
      </c>
      <c r="N1222">
        <v>23</v>
      </c>
      <c r="O1222">
        <v>0</v>
      </c>
      <c r="P1222">
        <v>0</v>
      </c>
      <c r="Q1222">
        <v>3095</v>
      </c>
      <c r="R1222">
        <v>0</v>
      </c>
      <c r="S1222">
        <v>72</v>
      </c>
      <c r="T1222">
        <v>5</v>
      </c>
      <c r="U1222">
        <v>61</v>
      </c>
      <c r="V1222">
        <v>0</v>
      </c>
      <c r="W1222">
        <v>62</v>
      </c>
      <c r="X1222">
        <v>0</v>
      </c>
      <c r="Y1222">
        <v>23</v>
      </c>
      <c r="Z1222">
        <v>73</v>
      </c>
      <c r="AA1222">
        <v>89</v>
      </c>
      <c r="AB1222">
        <v>0</v>
      </c>
      <c r="AC1222">
        <v>16</v>
      </c>
      <c r="AD1222">
        <v>0</v>
      </c>
      <c r="AE1222">
        <v>401</v>
      </c>
      <c r="AF1222">
        <v>656</v>
      </c>
      <c r="AJ1222">
        <v>5.56</v>
      </c>
      <c r="AK1222" t="str">
        <f t="shared" si="19"/>
        <v>LN601-6200</v>
      </c>
    </row>
    <row r="1223" spans="1:37">
      <c r="A1223" t="s">
        <v>2242</v>
      </c>
      <c r="B1223" t="s">
        <v>2243</v>
      </c>
      <c r="C1223" t="s">
        <v>313</v>
      </c>
      <c r="D1223" t="s">
        <v>2174</v>
      </c>
      <c r="E1223">
        <v>43</v>
      </c>
      <c r="F1223">
        <v>0.5</v>
      </c>
      <c r="G1223">
        <v>41</v>
      </c>
      <c r="H1223">
        <v>62</v>
      </c>
      <c r="I1223">
        <v>61</v>
      </c>
      <c r="J1223">
        <v>110</v>
      </c>
      <c r="K1223">
        <v>153</v>
      </c>
      <c r="L1223">
        <v>43</v>
      </c>
      <c r="M1223">
        <v>0</v>
      </c>
      <c r="N1223">
        <v>34</v>
      </c>
      <c r="O1223">
        <v>0</v>
      </c>
      <c r="P1223">
        <v>0</v>
      </c>
      <c r="Q1223">
        <v>119</v>
      </c>
      <c r="R1223">
        <v>0</v>
      </c>
      <c r="S1223">
        <v>0</v>
      </c>
      <c r="T1223">
        <v>138</v>
      </c>
      <c r="U1223">
        <v>47</v>
      </c>
      <c r="V1223">
        <v>92</v>
      </c>
      <c r="W1223">
        <v>88</v>
      </c>
      <c r="X1223">
        <v>0</v>
      </c>
      <c r="Y1223">
        <v>221</v>
      </c>
      <c r="Z1223">
        <v>231</v>
      </c>
      <c r="AA1223">
        <v>284</v>
      </c>
      <c r="AB1223">
        <v>164</v>
      </c>
      <c r="AC1223">
        <v>0</v>
      </c>
      <c r="AD1223">
        <v>50</v>
      </c>
      <c r="AE1223">
        <v>1315</v>
      </c>
      <c r="AF1223">
        <v>989</v>
      </c>
      <c r="AJ1223">
        <v>5.4</v>
      </c>
      <c r="AK1223" t="str">
        <f t="shared" si="19"/>
        <v>LN602-5000</v>
      </c>
    </row>
    <row r="1224" spans="1:37">
      <c r="A1224" t="s">
        <v>2244</v>
      </c>
      <c r="B1224" t="s">
        <v>2243</v>
      </c>
      <c r="C1224" t="s">
        <v>313</v>
      </c>
      <c r="D1224" t="s">
        <v>2174</v>
      </c>
      <c r="E1224">
        <v>43</v>
      </c>
      <c r="F1224">
        <v>2.7</v>
      </c>
      <c r="G1224">
        <v>55</v>
      </c>
      <c r="H1224">
        <v>131</v>
      </c>
      <c r="I1224">
        <v>114</v>
      </c>
      <c r="J1224">
        <v>103</v>
      </c>
      <c r="K1224">
        <v>1468</v>
      </c>
      <c r="L1224">
        <v>106</v>
      </c>
      <c r="M1224">
        <v>0</v>
      </c>
      <c r="N1224">
        <v>46</v>
      </c>
      <c r="O1224">
        <v>0</v>
      </c>
      <c r="P1224">
        <v>0</v>
      </c>
      <c r="Q1224">
        <v>1422</v>
      </c>
      <c r="R1224">
        <v>0</v>
      </c>
      <c r="S1224">
        <v>13</v>
      </c>
      <c r="T1224">
        <v>223</v>
      </c>
      <c r="U1224">
        <v>157</v>
      </c>
      <c r="V1224">
        <v>172</v>
      </c>
      <c r="W1224">
        <v>0</v>
      </c>
      <c r="X1224">
        <v>120</v>
      </c>
      <c r="Y1224">
        <v>106</v>
      </c>
      <c r="Z1224">
        <v>21</v>
      </c>
      <c r="AA1224">
        <v>15</v>
      </c>
      <c r="AB1224">
        <v>109</v>
      </c>
      <c r="AC1224">
        <v>250</v>
      </c>
      <c r="AD1224">
        <v>46</v>
      </c>
      <c r="AE1224">
        <v>1232</v>
      </c>
      <c r="AF1224">
        <v>998</v>
      </c>
      <c r="AJ1224">
        <v>5.33</v>
      </c>
      <c r="AK1224" t="str">
        <f t="shared" si="19"/>
        <v>LN602-6200</v>
      </c>
    </row>
    <row r="1225" spans="1:37">
      <c r="A1225" t="s">
        <v>2247</v>
      </c>
      <c r="B1225" t="s">
        <v>2246</v>
      </c>
      <c r="C1225" t="s">
        <v>275</v>
      </c>
      <c r="E1225">
        <v>50</v>
      </c>
      <c r="F1225">
        <v>3.4</v>
      </c>
      <c r="G1225">
        <v>0</v>
      </c>
      <c r="H1225">
        <v>63</v>
      </c>
      <c r="I1225">
        <v>43</v>
      </c>
      <c r="J1225">
        <v>31</v>
      </c>
      <c r="K1225">
        <v>861</v>
      </c>
      <c r="L1225">
        <v>88</v>
      </c>
      <c r="M1225">
        <v>0</v>
      </c>
      <c r="N1225">
        <v>0</v>
      </c>
      <c r="O1225">
        <v>0</v>
      </c>
      <c r="P1225">
        <v>0</v>
      </c>
      <c r="Q1225">
        <v>861</v>
      </c>
      <c r="R1225">
        <v>0</v>
      </c>
      <c r="S1225">
        <v>58</v>
      </c>
      <c r="T1225">
        <v>77</v>
      </c>
      <c r="U1225">
        <v>54</v>
      </c>
      <c r="V1225">
        <v>26</v>
      </c>
      <c r="W1225">
        <v>0</v>
      </c>
      <c r="X1225">
        <v>43</v>
      </c>
      <c r="Y1225">
        <v>6</v>
      </c>
      <c r="Z1225">
        <v>0</v>
      </c>
      <c r="AA1225">
        <v>0</v>
      </c>
      <c r="AB1225">
        <v>57</v>
      </c>
      <c r="AC1225">
        <v>0</v>
      </c>
      <c r="AD1225">
        <v>51</v>
      </c>
      <c r="AE1225">
        <v>372</v>
      </c>
      <c r="AF1225">
        <v>337</v>
      </c>
      <c r="AJ1225">
        <v>5.84</v>
      </c>
      <c r="AK1225" t="str">
        <f t="shared" si="19"/>
        <v>LU301-6200</v>
      </c>
    </row>
    <row r="1226" spans="1:37">
      <c r="A1226" t="s">
        <v>2248</v>
      </c>
      <c r="B1226" t="s">
        <v>2249</v>
      </c>
      <c r="C1226" t="s">
        <v>275</v>
      </c>
      <c r="E1226">
        <v>50</v>
      </c>
      <c r="F1226">
        <v>1.7</v>
      </c>
      <c r="G1226">
        <v>0</v>
      </c>
      <c r="H1226">
        <v>44</v>
      </c>
      <c r="I1226">
        <v>37</v>
      </c>
      <c r="J1226">
        <v>27</v>
      </c>
      <c r="K1226">
        <v>293</v>
      </c>
      <c r="L1226">
        <v>48</v>
      </c>
      <c r="M1226">
        <v>0</v>
      </c>
      <c r="N1226">
        <v>0</v>
      </c>
      <c r="O1226">
        <v>0</v>
      </c>
      <c r="P1226">
        <v>0</v>
      </c>
      <c r="Q1226">
        <v>293</v>
      </c>
      <c r="R1226">
        <v>0</v>
      </c>
      <c r="S1226">
        <v>0</v>
      </c>
      <c r="T1226">
        <v>59</v>
      </c>
      <c r="U1226">
        <v>72</v>
      </c>
      <c r="V1226">
        <v>59</v>
      </c>
      <c r="W1226">
        <v>0</v>
      </c>
      <c r="X1226">
        <v>32</v>
      </c>
      <c r="Y1226">
        <v>32</v>
      </c>
      <c r="Z1226">
        <v>40</v>
      </c>
      <c r="AA1226">
        <v>0</v>
      </c>
      <c r="AB1226">
        <v>7</v>
      </c>
      <c r="AC1226">
        <v>22</v>
      </c>
      <c r="AD1226">
        <v>0</v>
      </c>
      <c r="AE1226">
        <v>323</v>
      </c>
      <c r="AF1226">
        <v>291</v>
      </c>
      <c r="AJ1226">
        <v>6.41</v>
      </c>
      <c r="AK1226" t="str">
        <f t="shared" si="19"/>
        <v>LU601-5000</v>
      </c>
    </row>
    <row r="1227" spans="1:37">
      <c r="A1227" t="s">
        <v>2250</v>
      </c>
      <c r="B1227" t="s">
        <v>2251</v>
      </c>
      <c r="C1227" t="s">
        <v>275</v>
      </c>
      <c r="E1227">
        <v>50</v>
      </c>
      <c r="F1227">
        <v>9.4</v>
      </c>
      <c r="G1227">
        <v>24</v>
      </c>
      <c r="H1227">
        <v>37</v>
      </c>
      <c r="I1227">
        <v>55</v>
      </c>
      <c r="J1227">
        <v>44</v>
      </c>
      <c r="K1227">
        <v>1422</v>
      </c>
      <c r="L1227">
        <v>81</v>
      </c>
      <c r="M1227">
        <v>0</v>
      </c>
      <c r="N1227">
        <v>20</v>
      </c>
      <c r="O1227">
        <v>0</v>
      </c>
      <c r="P1227">
        <v>0</v>
      </c>
      <c r="Q1227">
        <v>1402</v>
      </c>
      <c r="R1227">
        <v>0</v>
      </c>
      <c r="S1227">
        <v>0</v>
      </c>
      <c r="T1227">
        <v>0</v>
      </c>
      <c r="U1227">
        <v>112</v>
      </c>
      <c r="V1227">
        <v>107</v>
      </c>
      <c r="W1227">
        <v>0</v>
      </c>
      <c r="X1227">
        <v>110</v>
      </c>
      <c r="Y1227">
        <v>56</v>
      </c>
      <c r="Z1227">
        <v>125</v>
      </c>
      <c r="AA1227">
        <v>0</v>
      </c>
      <c r="AB1227">
        <v>0</v>
      </c>
      <c r="AC1227">
        <v>20</v>
      </c>
      <c r="AD1227">
        <v>0</v>
      </c>
      <c r="AE1227">
        <v>530</v>
      </c>
      <c r="AF1227">
        <v>704</v>
      </c>
      <c r="AJ1227">
        <v>6.41</v>
      </c>
      <c r="AK1227" t="str">
        <f t="shared" si="19"/>
        <v>LU601-6200</v>
      </c>
    </row>
    <row r="1228" spans="1:37">
      <c r="A1228" t="s">
        <v>2252</v>
      </c>
      <c r="B1228" t="s">
        <v>2253</v>
      </c>
      <c r="C1228" t="s">
        <v>275</v>
      </c>
      <c r="D1228" t="s">
        <v>2064</v>
      </c>
      <c r="E1228">
        <v>50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851</v>
      </c>
      <c r="L1228">
        <v>28</v>
      </c>
      <c r="M1228">
        <v>0</v>
      </c>
      <c r="N1228">
        <v>0</v>
      </c>
      <c r="O1228">
        <v>0</v>
      </c>
      <c r="P1228">
        <v>0</v>
      </c>
      <c r="Q1228">
        <v>851</v>
      </c>
      <c r="R1228">
        <v>0</v>
      </c>
      <c r="S1228">
        <v>0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62</v>
      </c>
      <c r="AJ1228">
        <v>4.76</v>
      </c>
      <c r="AK1228" t="str">
        <f t="shared" si="19"/>
        <v>LU602-6200</v>
      </c>
    </row>
    <row r="1229" spans="1:37">
      <c r="A1229" t="s">
        <v>2255</v>
      </c>
      <c r="B1229" t="s">
        <v>72</v>
      </c>
      <c r="C1229" t="s">
        <v>58</v>
      </c>
      <c r="E1229">
        <v>23</v>
      </c>
      <c r="F1229">
        <v>26.4</v>
      </c>
      <c r="G1229">
        <v>228</v>
      </c>
      <c r="H1229">
        <v>42</v>
      </c>
      <c r="I1229">
        <v>221</v>
      </c>
      <c r="J1229">
        <v>339</v>
      </c>
      <c r="K1229">
        <v>4627</v>
      </c>
      <c r="L1229">
        <v>63</v>
      </c>
      <c r="M1229">
        <v>0</v>
      </c>
      <c r="N1229">
        <v>190</v>
      </c>
      <c r="O1229">
        <v>0</v>
      </c>
      <c r="P1229">
        <v>0</v>
      </c>
      <c r="Q1229">
        <v>4437</v>
      </c>
      <c r="R1229">
        <v>0</v>
      </c>
      <c r="S1229">
        <v>126</v>
      </c>
      <c r="T1229">
        <v>0</v>
      </c>
      <c r="U1229">
        <v>0</v>
      </c>
      <c r="V1229">
        <v>260</v>
      </c>
      <c r="W1229">
        <v>629</v>
      </c>
      <c r="X1229">
        <v>310</v>
      </c>
      <c r="Y1229">
        <v>0</v>
      </c>
      <c r="Z1229">
        <v>0</v>
      </c>
      <c r="AA1229">
        <v>0</v>
      </c>
      <c r="AB1229">
        <v>0</v>
      </c>
      <c r="AC1229">
        <v>1117</v>
      </c>
      <c r="AD1229">
        <v>1621</v>
      </c>
      <c r="AE1229">
        <v>4063</v>
      </c>
      <c r="AF1229">
        <v>11984</v>
      </c>
      <c r="AJ1229">
        <v>2.35</v>
      </c>
      <c r="AK1229" t="str">
        <f t="shared" si="19"/>
        <v>M0740-5000</v>
      </c>
    </row>
    <row r="1230" spans="1:37">
      <c r="A1230" t="s">
        <v>2256</v>
      </c>
      <c r="B1230" t="s">
        <v>72</v>
      </c>
      <c r="C1230" t="s">
        <v>58</v>
      </c>
      <c r="E1230">
        <v>23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4652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4652</v>
      </c>
      <c r="R1230">
        <v>0</v>
      </c>
      <c r="S1230">
        <v>0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J1230">
        <v>2.15</v>
      </c>
      <c r="AK1230" t="str">
        <f t="shared" si="19"/>
        <v>M0740-6200</v>
      </c>
    </row>
    <row r="1231" spans="1:37">
      <c r="A1231" t="s">
        <v>2257</v>
      </c>
      <c r="B1231" t="s">
        <v>104</v>
      </c>
      <c r="C1231" t="s">
        <v>68</v>
      </c>
      <c r="D1231" t="s">
        <v>2258</v>
      </c>
      <c r="E1231">
        <v>22</v>
      </c>
      <c r="F1231">
        <v>0</v>
      </c>
      <c r="G1231">
        <v>13</v>
      </c>
      <c r="H1231">
        <v>0</v>
      </c>
      <c r="I1231">
        <v>0</v>
      </c>
      <c r="J1231">
        <v>9</v>
      </c>
      <c r="K1231">
        <v>1924</v>
      </c>
      <c r="L1231">
        <v>0</v>
      </c>
      <c r="M1231">
        <v>0</v>
      </c>
      <c r="N1231">
        <v>10</v>
      </c>
      <c r="O1231">
        <v>0</v>
      </c>
      <c r="P1231">
        <v>0</v>
      </c>
      <c r="Q1231">
        <v>1914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54</v>
      </c>
      <c r="AC1231">
        <v>50</v>
      </c>
      <c r="AD1231">
        <v>0</v>
      </c>
      <c r="AE1231">
        <v>104</v>
      </c>
      <c r="AF1231">
        <v>1483</v>
      </c>
      <c r="AJ1231">
        <v>3.59</v>
      </c>
      <c r="AK1231" t="str">
        <f t="shared" si="19"/>
        <v>M0791-3700</v>
      </c>
    </row>
    <row r="1232" spans="1:37">
      <c r="A1232" t="s">
        <v>2259</v>
      </c>
      <c r="B1232" t="s">
        <v>104</v>
      </c>
      <c r="C1232" t="s">
        <v>68</v>
      </c>
      <c r="D1232" t="s">
        <v>2258</v>
      </c>
      <c r="E1232">
        <v>22</v>
      </c>
      <c r="F1232">
        <v>1</v>
      </c>
      <c r="G1232">
        <v>385</v>
      </c>
      <c r="H1232">
        <v>196</v>
      </c>
      <c r="I1232">
        <v>285</v>
      </c>
      <c r="J1232">
        <v>343</v>
      </c>
      <c r="K1232">
        <v>1101</v>
      </c>
      <c r="L1232">
        <v>212</v>
      </c>
      <c r="M1232">
        <v>0</v>
      </c>
      <c r="N1232">
        <v>321</v>
      </c>
      <c r="O1232">
        <v>0</v>
      </c>
      <c r="P1232">
        <v>0</v>
      </c>
      <c r="Q1232">
        <v>780</v>
      </c>
      <c r="R1232">
        <v>0</v>
      </c>
      <c r="S1232">
        <v>25</v>
      </c>
      <c r="T1232">
        <v>365</v>
      </c>
      <c r="U1232">
        <v>197</v>
      </c>
      <c r="V1232">
        <v>515</v>
      </c>
      <c r="W1232">
        <v>306</v>
      </c>
      <c r="X1232">
        <v>299</v>
      </c>
      <c r="Y1232">
        <v>601</v>
      </c>
      <c r="Z1232">
        <v>614</v>
      </c>
      <c r="AA1232">
        <v>262</v>
      </c>
      <c r="AB1232">
        <v>459</v>
      </c>
      <c r="AC1232">
        <v>83</v>
      </c>
      <c r="AD1232">
        <v>393</v>
      </c>
      <c r="AE1232">
        <v>4119</v>
      </c>
      <c r="AF1232">
        <v>4395</v>
      </c>
      <c r="AJ1232">
        <v>3.59</v>
      </c>
      <c r="AK1232" t="str">
        <f t="shared" si="19"/>
        <v>M0791-5000</v>
      </c>
    </row>
    <row r="1233" spans="1:37">
      <c r="A1233" t="s">
        <v>2260</v>
      </c>
      <c r="B1233" t="s">
        <v>104</v>
      </c>
      <c r="C1233" t="s">
        <v>68</v>
      </c>
      <c r="D1233" t="s">
        <v>2258</v>
      </c>
      <c r="E1233">
        <v>22</v>
      </c>
      <c r="F1233">
        <v>1.5</v>
      </c>
      <c r="G1233">
        <v>66</v>
      </c>
      <c r="H1233">
        <v>94</v>
      </c>
      <c r="I1233">
        <v>110</v>
      </c>
      <c r="J1233">
        <v>99</v>
      </c>
      <c r="K1233">
        <v>607</v>
      </c>
      <c r="L1233">
        <v>101</v>
      </c>
      <c r="M1233">
        <v>0</v>
      </c>
      <c r="N1233">
        <v>55</v>
      </c>
      <c r="O1233">
        <v>0</v>
      </c>
      <c r="P1233">
        <v>0</v>
      </c>
      <c r="Q1233">
        <v>552</v>
      </c>
      <c r="R1233">
        <v>0</v>
      </c>
      <c r="S1233">
        <v>184</v>
      </c>
      <c r="T1233">
        <v>98</v>
      </c>
      <c r="U1233">
        <v>0</v>
      </c>
      <c r="V1233">
        <v>46</v>
      </c>
      <c r="W1233">
        <v>192</v>
      </c>
      <c r="X1233">
        <v>137</v>
      </c>
      <c r="Y1233">
        <v>82</v>
      </c>
      <c r="Z1233">
        <v>148</v>
      </c>
      <c r="AA1233">
        <v>0</v>
      </c>
      <c r="AB1233">
        <v>149</v>
      </c>
      <c r="AC1233">
        <v>0</v>
      </c>
      <c r="AD1233">
        <v>149</v>
      </c>
      <c r="AE1233">
        <v>1185</v>
      </c>
      <c r="AF1233">
        <v>2126</v>
      </c>
      <c r="AJ1233">
        <v>3.59</v>
      </c>
      <c r="AK1233" t="str">
        <f t="shared" si="19"/>
        <v>M0791-6200</v>
      </c>
    </row>
    <row r="1234" spans="1:37">
      <c r="A1234" t="s">
        <v>5358</v>
      </c>
      <c r="B1234" t="s">
        <v>2262</v>
      </c>
      <c r="C1234" t="s">
        <v>68</v>
      </c>
      <c r="D1234" t="s">
        <v>2263</v>
      </c>
      <c r="E1234">
        <v>22</v>
      </c>
      <c r="F1234">
        <v>8.9</v>
      </c>
      <c r="G1234">
        <v>0</v>
      </c>
      <c r="H1234">
        <v>8</v>
      </c>
      <c r="I1234">
        <v>4</v>
      </c>
      <c r="J1234">
        <v>2</v>
      </c>
      <c r="K1234">
        <v>296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296</v>
      </c>
      <c r="R1234">
        <v>0</v>
      </c>
      <c r="S1234">
        <v>0</v>
      </c>
      <c r="T1234">
        <v>0</v>
      </c>
      <c r="U1234">
        <v>25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25</v>
      </c>
      <c r="AF1234">
        <v>43</v>
      </c>
      <c r="AJ1234">
        <v>4.58</v>
      </c>
      <c r="AK1234" t="str">
        <f t="shared" si="19"/>
        <v>M0812-3700</v>
      </c>
    </row>
    <row r="1235" spans="1:37">
      <c r="A1235" t="s">
        <v>2261</v>
      </c>
      <c r="B1235" t="s">
        <v>2262</v>
      </c>
      <c r="C1235" t="s">
        <v>68</v>
      </c>
      <c r="D1235" t="s">
        <v>2263</v>
      </c>
      <c r="E1235">
        <v>22</v>
      </c>
      <c r="F1235">
        <v>-0.1</v>
      </c>
      <c r="G1235">
        <v>7</v>
      </c>
      <c r="H1235">
        <v>21</v>
      </c>
      <c r="I1235">
        <v>78</v>
      </c>
      <c r="J1235">
        <v>64</v>
      </c>
      <c r="K1235">
        <v>0</v>
      </c>
      <c r="L1235">
        <v>173</v>
      </c>
      <c r="M1235">
        <v>0</v>
      </c>
      <c r="N1235">
        <v>6</v>
      </c>
      <c r="O1235">
        <v>0</v>
      </c>
      <c r="P1235">
        <v>0</v>
      </c>
      <c r="Q1235">
        <v>-6</v>
      </c>
      <c r="R1235">
        <v>0</v>
      </c>
      <c r="S1235">
        <v>20</v>
      </c>
      <c r="T1235">
        <v>0</v>
      </c>
      <c r="U1235">
        <v>42</v>
      </c>
      <c r="V1235">
        <v>233</v>
      </c>
      <c r="W1235">
        <v>173</v>
      </c>
      <c r="X1235">
        <v>0</v>
      </c>
      <c r="Y1235">
        <v>29</v>
      </c>
      <c r="Z1235">
        <v>106</v>
      </c>
      <c r="AA1235">
        <v>170</v>
      </c>
      <c r="AB1235">
        <v>0</v>
      </c>
      <c r="AC1235">
        <v>0</v>
      </c>
      <c r="AD1235">
        <v>0</v>
      </c>
      <c r="AE1235">
        <v>773</v>
      </c>
      <c r="AF1235">
        <v>723</v>
      </c>
      <c r="AJ1235">
        <v>5.81</v>
      </c>
      <c r="AK1235" t="str">
        <f t="shared" si="19"/>
        <v>M0812-5000</v>
      </c>
    </row>
    <row r="1236" spans="1:37">
      <c r="A1236" t="s">
        <v>2264</v>
      </c>
      <c r="B1236" t="s">
        <v>2262</v>
      </c>
      <c r="C1236" t="s">
        <v>68</v>
      </c>
      <c r="D1236" t="s">
        <v>2263</v>
      </c>
      <c r="E1236">
        <v>22</v>
      </c>
      <c r="F1236">
        <v>0</v>
      </c>
      <c r="G1236">
        <v>0</v>
      </c>
      <c r="H1236">
        <v>0</v>
      </c>
      <c r="I1236">
        <v>0</v>
      </c>
      <c r="J1236">
        <v>10</v>
      </c>
      <c r="K1236">
        <v>3437</v>
      </c>
      <c r="L1236">
        <v>140</v>
      </c>
      <c r="M1236">
        <v>0</v>
      </c>
      <c r="N1236">
        <v>0</v>
      </c>
      <c r="O1236">
        <v>0</v>
      </c>
      <c r="P1236">
        <v>0</v>
      </c>
      <c r="Q1236">
        <v>3437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118</v>
      </c>
      <c r="AB1236">
        <v>0</v>
      </c>
      <c r="AC1236">
        <v>0</v>
      </c>
      <c r="AD1236">
        <v>0</v>
      </c>
      <c r="AE1236">
        <v>118</v>
      </c>
      <c r="AF1236">
        <v>180</v>
      </c>
      <c r="AJ1236">
        <v>5.81</v>
      </c>
      <c r="AK1236" t="str">
        <f t="shared" si="19"/>
        <v>M0812-6200</v>
      </c>
    </row>
    <row r="1237" spans="1:37">
      <c r="A1237" t="s">
        <v>2265</v>
      </c>
      <c r="B1237" t="s">
        <v>2266</v>
      </c>
      <c r="C1237" t="s">
        <v>68</v>
      </c>
      <c r="D1237" t="s">
        <v>2267</v>
      </c>
      <c r="E1237">
        <v>130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1049</v>
      </c>
      <c r="L1237">
        <v>0</v>
      </c>
      <c r="M1237">
        <v>0</v>
      </c>
      <c r="N1237">
        <v>0</v>
      </c>
      <c r="O1237">
        <v>0</v>
      </c>
      <c r="P1237">
        <v>0</v>
      </c>
      <c r="Q1237">
        <v>1049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J1237">
        <v>2.1</v>
      </c>
      <c r="AK1237" t="str">
        <f t="shared" si="19"/>
        <v>M5088-3700</v>
      </c>
    </row>
    <row r="1238" spans="1:37">
      <c r="A1238" t="s">
        <v>2268</v>
      </c>
      <c r="B1238" t="s">
        <v>2266</v>
      </c>
      <c r="C1238" t="s">
        <v>68</v>
      </c>
      <c r="D1238" t="s">
        <v>2267</v>
      </c>
      <c r="E1238">
        <v>130</v>
      </c>
      <c r="F1238">
        <v>8.1999999999999993</v>
      </c>
      <c r="G1238">
        <v>303</v>
      </c>
      <c r="H1238">
        <v>324</v>
      </c>
      <c r="I1238">
        <v>425</v>
      </c>
      <c r="J1238">
        <v>288</v>
      </c>
      <c r="K1238">
        <v>10850</v>
      </c>
      <c r="L1238">
        <v>3565</v>
      </c>
      <c r="M1238">
        <v>0</v>
      </c>
      <c r="N1238">
        <v>253</v>
      </c>
      <c r="O1238">
        <v>0</v>
      </c>
      <c r="P1238">
        <v>0</v>
      </c>
      <c r="Q1238">
        <v>10597</v>
      </c>
      <c r="R1238">
        <v>0</v>
      </c>
      <c r="S1238">
        <v>972</v>
      </c>
      <c r="T1238">
        <v>0</v>
      </c>
      <c r="U1238">
        <v>0</v>
      </c>
      <c r="V1238">
        <v>1579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904</v>
      </c>
      <c r="AD1238">
        <v>0</v>
      </c>
      <c r="AE1238">
        <v>3455</v>
      </c>
      <c r="AF1238">
        <v>12258</v>
      </c>
      <c r="AJ1238">
        <v>2.99</v>
      </c>
      <c r="AK1238" t="str">
        <f t="shared" si="19"/>
        <v>M5088-5000</v>
      </c>
    </row>
    <row r="1239" spans="1:37">
      <c r="A1239" t="s">
        <v>2269</v>
      </c>
      <c r="B1239" t="s">
        <v>2270</v>
      </c>
      <c r="C1239" t="s">
        <v>183</v>
      </c>
      <c r="D1239" t="s">
        <v>2271</v>
      </c>
      <c r="E1239">
        <v>80</v>
      </c>
      <c r="F1239">
        <v>0</v>
      </c>
      <c r="G1239">
        <v>14</v>
      </c>
      <c r="H1239">
        <v>0</v>
      </c>
      <c r="I1239">
        <v>21</v>
      </c>
      <c r="J1239">
        <v>30</v>
      </c>
      <c r="K1239">
        <v>1900</v>
      </c>
      <c r="L1239">
        <v>66</v>
      </c>
      <c r="M1239">
        <v>0</v>
      </c>
      <c r="N1239">
        <v>12</v>
      </c>
      <c r="O1239">
        <v>0</v>
      </c>
      <c r="P1239">
        <v>0</v>
      </c>
      <c r="Q1239">
        <v>1888</v>
      </c>
      <c r="R1239">
        <v>0</v>
      </c>
      <c r="S1239">
        <v>0</v>
      </c>
      <c r="T1239">
        <v>0</v>
      </c>
      <c r="U1239">
        <v>0</v>
      </c>
      <c r="V1239">
        <v>60</v>
      </c>
      <c r="W1239">
        <v>68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230</v>
      </c>
      <c r="AE1239">
        <v>358</v>
      </c>
      <c r="AF1239">
        <v>1139</v>
      </c>
      <c r="AJ1239">
        <v>3.5232999999999999</v>
      </c>
      <c r="AK1239" t="str">
        <f t="shared" si="19"/>
        <v>M5108-5000</v>
      </c>
    </row>
    <row r="1240" spans="1:37">
      <c r="A1240" t="s">
        <v>2272</v>
      </c>
      <c r="B1240" t="s">
        <v>2273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2</v>
      </c>
      <c r="K1240">
        <v>65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65</v>
      </c>
      <c r="R1240">
        <v>0</v>
      </c>
      <c r="S1240">
        <v>0</v>
      </c>
      <c r="T1240">
        <v>0</v>
      </c>
      <c r="U1240">
        <v>0</v>
      </c>
      <c r="V1240">
        <v>1</v>
      </c>
      <c r="W1240">
        <v>0</v>
      </c>
      <c r="X1240">
        <v>0</v>
      </c>
      <c r="Y1240">
        <v>6</v>
      </c>
      <c r="Z1240">
        <v>12</v>
      </c>
      <c r="AA1240">
        <v>0</v>
      </c>
      <c r="AB1240">
        <v>0</v>
      </c>
      <c r="AC1240">
        <v>0</v>
      </c>
      <c r="AD1240">
        <v>0</v>
      </c>
      <c r="AE1240">
        <v>19</v>
      </c>
      <c r="AF1240">
        <v>117</v>
      </c>
      <c r="AJ1240" t="s">
        <v>2274</v>
      </c>
      <c r="AK1240" t="str">
        <f t="shared" si="19"/>
        <v>M5159-4800</v>
      </c>
    </row>
    <row r="1241" spans="1:37">
      <c r="A1241" t="s">
        <v>2275</v>
      </c>
      <c r="B1241" t="s">
        <v>2276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16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16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J1241">
        <v>66.47</v>
      </c>
      <c r="AK1241" t="str">
        <f t="shared" si="19"/>
        <v>M5160-4200</v>
      </c>
    </row>
    <row r="1242" spans="1:37">
      <c r="A1242" t="s">
        <v>2277</v>
      </c>
      <c r="B1242" t="s">
        <v>2276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50</v>
      </c>
      <c r="L1242">
        <v>17</v>
      </c>
      <c r="M1242">
        <v>0</v>
      </c>
      <c r="N1242">
        <v>0</v>
      </c>
      <c r="O1242">
        <v>0</v>
      </c>
      <c r="P1242">
        <v>0</v>
      </c>
      <c r="Q1242">
        <v>50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J1242" t="s">
        <v>2274</v>
      </c>
      <c r="AK1242" t="str">
        <f t="shared" si="19"/>
        <v>M5160-5000</v>
      </c>
    </row>
    <row r="1243" spans="1:37">
      <c r="A1243" t="s">
        <v>2278</v>
      </c>
      <c r="B1243" t="s">
        <v>2279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30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30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J1243">
        <v>77.42</v>
      </c>
      <c r="AK1243" t="str">
        <f t="shared" si="19"/>
        <v>M5191-3800</v>
      </c>
    </row>
    <row r="1244" spans="1:37">
      <c r="A1244" t="s">
        <v>2280</v>
      </c>
      <c r="B1244" t="s">
        <v>2281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255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255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J1244">
        <v>86.29</v>
      </c>
      <c r="AK1244" t="str">
        <f t="shared" si="19"/>
        <v>M5191-4800</v>
      </c>
    </row>
    <row r="1245" spans="1:37">
      <c r="A1245" t="s">
        <v>2282</v>
      </c>
      <c r="B1245" t="s">
        <v>2283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112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112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136</v>
      </c>
      <c r="AJ1245">
        <v>42.98</v>
      </c>
      <c r="AK1245" t="str">
        <f t="shared" si="19"/>
        <v>M5192-3800</v>
      </c>
    </row>
    <row r="1246" spans="1:37">
      <c r="A1246" t="s">
        <v>2284</v>
      </c>
      <c r="B1246" t="s">
        <v>2285</v>
      </c>
      <c r="C1246" t="s">
        <v>2286</v>
      </c>
      <c r="E1246">
        <v>0</v>
      </c>
      <c r="F1246">
        <v>0.2</v>
      </c>
      <c r="G1246">
        <v>103</v>
      </c>
      <c r="H1246">
        <v>161</v>
      </c>
      <c r="I1246">
        <v>110</v>
      </c>
      <c r="J1246">
        <v>96</v>
      </c>
      <c r="K1246">
        <v>231</v>
      </c>
      <c r="L1246">
        <v>9</v>
      </c>
      <c r="M1246">
        <v>60</v>
      </c>
      <c r="N1246">
        <v>86</v>
      </c>
      <c r="O1246">
        <v>0</v>
      </c>
      <c r="P1246">
        <v>0</v>
      </c>
      <c r="Q1246">
        <v>145</v>
      </c>
      <c r="R1246">
        <v>0</v>
      </c>
      <c r="S1246">
        <v>242</v>
      </c>
      <c r="T1246">
        <v>0</v>
      </c>
      <c r="U1246">
        <v>240</v>
      </c>
      <c r="V1246">
        <v>127</v>
      </c>
      <c r="W1246">
        <v>18</v>
      </c>
      <c r="X1246">
        <v>33</v>
      </c>
      <c r="Y1246">
        <v>138</v>
      </c>
      <c r="Z1246">
        <v>0</v>
      </c>
      <c r="AA1246">
        <v>50</v>
      </c>
      <c r="AB1246">
        <v>104</v>
      </c>
      <c r="AC1246">
        <v>151</v>
      </c>
      <c r="AD1246">
        <v>48</v>
      </c>
      <c r="AE1246">
        <v>1151</v>
      </c>
      <c r="AF1246">
        <v>467</v>
      </c>
      <c r="AG1246" t="s">
        <v>2287</v>
      </c>
      <c r="AH1246">
        <v>1</v>
      </c>
      <c r="AI1246">
        <v>12</v>
      </c>
      <c r="AJ1246">
        <v>78.39</v>
      </c>
      <c r="AK1246" t="str">
        <f t="shared" si="19"/>
        <v>M5192-4000</v>
      </c>
    </row>
    <row r="1247" spans="1:37">
      <c r="A1247" t="s">
        <v>2284</v>
      </c>
      <c r="B1247" t="s">
        <v>2285</v>
      </c>
      <c r="C1247" t="s">
        <v>2286</v>
      </c>
      <c r="E1247">
        <v>0</v>
      </c>
      <c r="AG1247" t="s">
        <v>5942</v>
      </c>
      <c r="AH1247">
        <v>1</v>
      </c>
      <c r="AI1247">
        <v>300</v>
      </c>
      <c r="AK1247" t="str">
        <f t="shared" si="19"/>
        <v>M5192-4000</v>
      </c>
    </row>
    <row r="1248" spans="1:37">
      <c r="A1248" t="s">
        <v>2288</v>
      </c>
      <c r="B1248" t="s">
        <v>2285</v>
      </c>
      <c r="E1248">
        <v>0</v>
      </c>
      <c r="F1248">
        <v>0.8</v>
      </c>
      <c r="G1248">
        <v>196</v>
      </c>
      <c r="H1248">
        <v>263</v>
      </c>
      <c r="I1248">
        <v>176</v>
      </c>
      <c r="J1248">
        <v>170</v>
      </c>
      <c r="K1248">
        <v>996</v>
      </c>
      <c r="L1248">
        <v>40</v>
      </c>
      <c r="M1248">
        <v>0</v>
      </c>
      <c r="N1248">
        <v>163</v>
      </c>
      <c r="O1248">
        <v>0</v>
      </c>
      <c r="P1248">
        <v>0</v>
      </c>
      <c r="Q1248">
        <v>833</v>
      </c>
      <c r="R1248">
        <v>0</v>
      </c>
      <c r="S1248">
        <v>444</v>
      </c>
      <c r="T1248">
        <v>8</v>
      </c>
      <c r="U1248">
        <v>338</v>
      </c>
      <c r="V1248">
        <v>250</v>
      </c>
      <c r="W1248">
        <v>0</v>
      </c>
      <c r="X1248">
        <v>18</v>
      </c>
      <c r="Y1248">
        <v>57</v>
      </c>
      <c r="Z1248">
        <v>14</v>
      </c>
      <c r="AA1248">
        <v>232</v>
      </c>
      <c r="AB1248">
        <v>483</v>
      </c>
      <c r="AC1248">
        <v>101</v>
      </c>
      <c r="AD1248">
        <v>97</v>
      </c>
      <c r="AE1248">
        <v>2042</v>
      </c>
      <c r="AF1248">
        <v>1418</v>
      </c>
      <c r="AJ1248">
        <v>63.68</v>
      </c>
      <c r="AK1248" t="str">
        <f t="shared" si="19"/>
        <v>M5192-4800</v>
      </c>
    </row>
    <row r="1249" spans="1:37">
      <c r="A1249" t="s">
        <v>2289</v>
      </c>
      <c r="B1249" t="s">
        <v>2290</v>
      </c>
      <c r="E1249">
        <v>0</v>
      </c>
      <c r="F1249">
        <v>2.9</v>
      </c>
      <c r="G1249">
        <v>46</v>
      </c>
      <c r="H1249">
        <v>35</v>
      </c>
      <c r="I1249">
        <v>46</v>
      </c>
      <c r="J1249">
        <v>50</v>
      </c>
      <c r="K1249">
        <v>450</v>
      </c>
      <c r="L1249">
        <v>0</v>
      </c>
      <c r="M1249">
        <v>0</v>
      </c>
      <c r="N1249">
        <v>38</v>
      </c>
      <c r="O1249">
        <v>0</v>
      </c>
      <c r="P1249">
        <v>0</v>
      </c>
      <c r="Q1249">
        <v>412</v>
      </c>
      <c r="R1249">
        <v>12</v>
      </c>
      <c r="S1249">
        <v>39</v>
      </c>
      <c r="T1249">
        <v>66</v>
      </c>
      <c r="U1249">
        <v>0</v>
      </c>
      <c r="V1249">
        <v>78</v>
      </c>
      <c r="W1249">
        <v>90</v>
      </c>
      <c r="X1249">
        <v>0</v>
      </c>
      <c r="Y1249">
        <v>162</v>
      </c>
      <c r="Z1249">
        <v>48</v>
      </c>
      <c r="AA1249">
        <v>34</v>
      </c>
      <c r="AB1249">
        <v>60</v>
      </c>
      <c r="AC1249">
        <v>11</v>
      </c>
      <c r="AD1249">
        <v>6</v>
      </c>
      <c r="AE1249">
        <v>594</v>
      </c>
      <c r="AF1249">
        <v>445</v>
      </c>
      <c r="AJ1249" t="s">
        <v>2274</v>
      </c>
      <c r="AK1249" t="str">
        <f t="shared" si="19"/>
        <v>M5192-5000</v>
      </c>
    </row>
    <row r="1250" spans="1:37">
      <c r="A1250" t="s">
        <v>2291</v>
      </c>
      <c r="B1250" t="s">
        <v>2290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3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3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J1250">
        <v>64.349999999999994</v>
      </c>
      <c r="AK1250" t="str">
        <f t="shared" si="19"/>
        <v>M5192-5200</v>
      </c>
    </row>
    <row r="1251" spans="1:37">
      <c r="A1251" t="s">
        <v>2292</v>
      </c>
      <c r="B1251" t="s">
        <v>2290</v>
      </c>
      <c r="E1251">
        <v>0</v>
      </c>
      <c r="F1251">
        <v>10</v>
      </c>
      <c r="G1251">
        <v>0</v>
      </c>
      <c r="H1251">
        <v>12</v>
      </c>
      <c r="I1251">
        <v>13</v>
      </c>
      <c r="J1251">
        <v>18</v>
      </c>
      <c r="K1251">
        <v>482</v>
      </c>
      <c r="L1251">
        <v>10</v>
      </c>
      <c r="M1251">
        <v>186</v>
      </c>
      <c r="N1251">
        <v>0</v>
      </c>
      <c r="O1251">
        <v>0</v>
      </c>
      <c r="P1251">
        <v>0</v>
      </c>
      <c r="Q1251">
        <v>482</v>
      </c>
      <c r="R1251">
        <v>0</v>
      </c>
      <c r="S1251">
        <v>36</v>
      </c>
      <c r="T1251">
        <v>0</v>
      </c>
      <c r="U1251">
        <v>0</v>
      </c>
      <c r="V1251">
        <v>32</v>
      </c>
      <c r="W1251">
        <v>0</v>
      </c>
      <c r="X1251">
        <v>8</v>
      </c>
      <c r="Y1251">
        <v>21</v>
      </c>
      <c r="Z1251">
        <v>6</v>
      </c>
      <c r="AA1251">
        <v>24</v>
      </c>
      <c r="AB1251">
        <v>18</v>
      </c>
      <c r="AC1251">
        <v>31</v>
      </c>
      <c r="AD1251">
        <v>36</v>
      </c>
      <c r="AE1251">
        <v>212</v>
      </c>
      <c r="AF1251">
        <v>1229</v>
      </c>
      <c r="AJ1251">
        <v>78.510000000000005</v>
      </c>
      <c r="AK1251" t="str">
        <f t="shared" si="19"/>
        <v>M5192-5800</v>
      </c>
    </row>
    <row r="1252" spans="1:37">
      <c r="A1252" t="s">
        <v>2293</v>
      </c>
      <c r="B1252" t="s">
        <v>2294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0</v>
      </c>
      <c r="K1252">
        <v>8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8</v>
      </c>
      <c r="R1252">
        <v>0</v>
      </c>
      <c r="S1252">
        <v>0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J1252">
        <v>66.540000000000006</v>
      </c>
      <c r="AK1252" t="str">
        <f t="shared" si="19"/>
        <v>M5196-3000</v>
      </c>
    </row>
    <row r="1253" spans="1:37">
      <c r="A1253" t="s">
        <v>2295</v>
      </c>
      <c r="B1253" t="s">
        <v>2294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4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4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J1253">
        <v>83.34</v>
      </c>
      <c r="AK1253" t="str">
        <f t="shared" si="19"/>
        <v>M5196-3200</v>
      </c>
    </row>
    <row r="1254" spans="1:37">
      <c r="A1254" t="s">
        <v>2296</v>
      </c>
      <c r="B1254" t="s">
        <v>2294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45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45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J1254">
        <v>53.46</v>
      </c>
      <c r="AK1254" t="str">
        <f t="shared" si="19"/>
        <v>M5196-3800</v>
      </c>
    </row>
    <row r="1255" spans="1:37">
      <c r="A1255" t="s">
        <v>2297</v>
      </c>
      <c r="B1255" t="s">
        <v>2294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0</v>
      </c>
      <c r="K1255">
        <v>13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13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J1255">
        <v>89.24</v>
      </c>
      <c r="AK1255" t="str">
        <f t="shared" si="19"/>
        <v>M5196-4000</v>
      </c>
    </row>
    <row r="1256" spans="1:37">
      <c r="A1256" t="s">
        <v>2298</v>
      </c>
      <c r="B1256" t="s">
        <v>2294</v>
      </c>
      <c r="E1256">
        <v>0</v>
      </c>
      <c r="F1256">
        <v>0</v>
      </c>
      <c r="G1256">
        <v>29</v>
      </c>
      <c r="H1256">
        <v>0</v>
      </c>
      <c r="I1256">
        <v>1</v>
      </c>
      <c r="J1256">
        <v>6</v>
      </c>
      <c r="K1256">
        <v>168</v>
      </c>
      <c r="L1256">
        <v>1</v>
      </c>
      <c r="M1256">
        <v>0</v>
      </c>
      <c r="N1256">
        <v>24</v>
      </c>
      <c r="O1256">
        <v>0</v>
      </c>
      <c r="P1256">
        <v>0</v>
      </c>
      <c r="Q1256">
        <v>144</v>
      </c>
      <c r="R1256">
        <v>0</v>
      </c>
      <c r="S1256">
        <v>0</v>
      </c>
      <c r="T1256">
        <v>0</v>
      </c>
      <c r="U1256">
        <v>0</v>
      </c>
      <c r="V1256">
        <v>0</v>
      </c>
      <c r="W1256">
        <v>3</v>
      </c>
      <c r="X1256">
        <v>2</v>
      </c>
      <c r="Y1256">
        <v>6</v>
      </c>
      <c r="Z1256">
        <v>4</v>
      </c>
      <c r="AA1256">
        <v>3</v>
      </c>
      <c r="AB1256">
        <v>50</v>
      </c>
      <c r="AC1256">
        <v>0</v>
      </c>
      <c r="AD1256">
        <v>0</v>
      </c>
      <c r="AE1256">
        <v>68</v>
      </c>
      <c r="AF1256">
        <v>44</v>
      </c>
      <c r="AJ1256" t="s">
        <v>2274</v>
      </c>
      <c r="AK1256" t="str">
        <f t="shared" si="19"/>
        <v>M5196-4800</v>
      </c>
    </row>
    <row r="1257" spans="1:37">
      <c r="A1257" t="s">
        <v>2299</v>
      </c>
      <c r="B1257" t="s">
        <v>2294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  <c r="K1257">
        <v>148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148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J1257" t="s">
        <v>2274</v>
      </c>
      <c r="AK1257" t="str">
        <f t="shared" si="19"/>
        <v>M5196-5000</v>
      </c>
    </row>
    <row r="1258" spans="1:37">
      <c r="A1258" t="s">
        <v>2300</v>
      </c>
      <c r="B1258" t="s">
        <v>2294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0</v>
      </c>
      <c r="K1258">
        <v>64</v>
      </c>
      <c r="L1258">
        <v>0</v>
      </c>
      <c r="M1258">
        <v>0</v>
      </c>
      <c r="N1258">
        <v>0</v>
      </c>
      <c r="O1258">
        <v>0</v>
      </c>
      <c r="P1258">
        <v>0</v>
      </c>
      <c r="Q1258">
        <v>64</v>
      </c>
      <c r="R1258">
        <v>0</v>
      </c>
      <c r="S1258">
        <v>0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J1258">
        <v>90.42</v>
      </c>
      <c r="AK1258" t="str">
        <f t="shared" si="19"/>
        <v>M5196-5800</v>
      </c>
    </row>
    <row r="1259" spans="1:37">
      <c r="A1259" t="s">
        <v>2301</v>
      </c>
      <c r="B1259" t="s">
        <v>2302</v>
      </c>
      <c r="C1259" t="s">
        <v>141</v>
      </c>
      <c r="D1259" t="s">
        <v>2303</v>
      </c>
      <c r="E1259">
        <v>70</v>
      </c>
      <c r="F1259">
        <v>0</v>
      </c>
      <c r="G1259">
        <v>12</v>
      </c>
      <c r="H1259">
        <v>0</v>
      </c>
      <c r="I1259">
        <v>0</v>
      </c>
      <c r="J1259">
        <v>9</v>
      </c>
      <c r="K1259">
        <v>646</v>
      </c>
      <c r="L1259">
        <v>68</v>
      </c>
      <c r="M1259">
        <v>0</v>
      </c>
      <c r="N1259">
        <v>10</v>
      </c>
      <c r="O1259">
        <v>0</v>
      </c>
      <c r="P1259">
        <v>0</v>
      </c>
      <c r="Q1259">
        <v>636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104</v>
      </c>
      <c r="AE1259">
        <v>104</v>
      </c>
      <c r="AF1259">
        <v>159</v>
      </c>
      <c r="AJ1259">
        <v>3.05</v>
      </c>
      <c r="AK1259" t="str">
        <f t="shared" si="19"/>
        <v>M5208-3700</v>
      </c>
    </row>
    <row r="1260" spans="1:37">
      <c r="A1260" t="s">
        <v>2304</v>
      </c>
      <c r="B1260" t="s">
        <v>2302</v>
      </c>
      <c r="C1260" t="s">
        <v>141</v>
      </c>
      <c r="D1260" t="s">
        <v>2303</v>
      </c>
      <c r="E1260">
        <v>70</v>
      </c>
      <c r="F1260">
        <v>0.2</v>
      </c>
      <c r="G1260">
        <v>310</v>
      </c>
      <c r="H1260">
        <v>656</v>
      </c>
      <c r="I1260">
        <v>696</v>
      </c>
      <c r="J1260">
        <v>636</v>
      </c>
      <c r="K1260">
        <v>888</v>
      </c>
      <c r="L1260">
        <v>335</v>
      </c>
      <c r="M1260">
        <v>2</v>
      </c>
      <c r="N1260">
        <v>259</v>
      </c>
      <c r="O1260">
        <v>0</v>
      </c>
      <c r="P1260">
        <v>0</v>
      </c>
      <c r="Q1260">
        <v>629</v>
      </c>
      <c r="R1260">
        <v>0</v>
      </c>
      <c r="S1260">
        <v>437</v>
      </c>
      <c r="T1260">
        <v>1531</v>
      </c>
      <c r="U1260">
        <v>0</v>
      </c>
      <c r="V1260">
        <v>683</v>
      </c>
      <c r="W1260">
        <v>1527</v>
      </c>
      <c r="X1260">
        <v>0</v>
      </c>
      <c r="Y1260">
        <v>632</v>
      </c>
      <c r="Z1260">
        <v>503</v>
      </c>
      <c r="AA1260">
        <v>783</v>
      </c>
      <c r="AB1260">
        <v>442</v>
      </c>
      <c r="AC1260">
        <v>632</v>
      </c>
      <c r="AD1260">
        <v>463</v>
      </c>
      <c r="AE1260">
        <v>7633</v>
      </c>
      <c r="AF1260">
        <v>7513</v>
      </c>
      <c r="AG1260" t="s">
        <v>179</v>
      </c>
      <c r="AH1260">
        <v>1</v>
      </c>
      <c r="AI1260">
        <v>70</v>
      </c>
      <c r="AJ1260">
        <v>3.32</v>
      </c>
      <c r="AK1260" t="str">
        <f t="shared" si="19"/>
        <v>M5208-5000</v>
      </c>
    </row>
    <row r="1261" spans="1:37">
      <c r="A1261" t="s">
        <v>2304</v>
      </c>
      <c r="B1261" t="s">
        <v>2302</v>
      </c>
      <c r="C1261" t="s">
        <v>141</v>
      </c>
      <c r="D1261" t="s">
        <v>2303</v>
      </c>
      <c r="E1261">
        <v>70</v>
      </c>
      <c r="AG1261" t="s">
        <v>165</v>
      </c>
      <c r="AH1261">
        <v>1</v>
      </c>
      <c r="AI1261">
        <v>2047</v>
      </c>
      <c r="AK1261" t="str">
        <f t="shared" si="19"/>
        <v>M5208-5000</v>
      </c>
    </row>
    <row r="1262" spans="1:37">
      <c r="A1262" t="s">
        <v>2304</v>
      </c>
      <c r="B1262" t="s">
        <v>2302</v>
      </c>
      <c r="C1262" t="s">
        <v>141</v>
      </c>
      <c r="D1262" t="s">
        <v>2303</v>
      </c>
      <c r="E1262">
        <v>70</v>
      </c>
      <c r="AG1262" t="s">
        <v>5350</v>
      </c>
      <c r="AH1262">
        <v>4</v>
      </c>
      <c r="AI1262">
        <v>2000</v>
      </c>
      <c r="AK1262" t="str">
        <f t="shared" si="19"/>
        <v>M5208-5000</v>
      </c>
    </row>
    <row r="1263" spans="1:37">
      <c r="A1263" t="s">
        <v>2305</v>
      </c>
      <c r="B1263" t="s">
        <v>2302</v>
      </c>
      <c r="C1263" t="s">
        <v>141</v>
      </c>
      <c r="D1263" t="s">
        <v>2303</v>
      </c>
      <c r="E1263">
        <v>70</v>
      </c>
      <c r="F1263">
        <v>-0.2</v>
      </c>
      <c r="G1263">
        <v>269</v>
      </c>
      <c r="H1263">
        <v>231</v>
      </c>
      <c r="I1263">
        <v>213</v>
      </c>
      <c r="J1263">
        <v>193</v>
      </c>
      <c r="K1263">
        <v>0</v>
      </c>
      <c r="L1263">
        <v>146</v>
      </c>
      <c r="M1263">
        <v>0</v>
      </c>
      <c r="N1263">
        <v>224</v>
      </c>
      <c r="O1263">
        <v>0</v>
      </c>
      <c r="P1263">
        <v>0</v>
      </c>
      <c r="Q1263">
        <v>-224</v>
      </c>
      <c r="R1263">
        <v>0</v>
      </c>
      <c r="S1263">
        <v>77</v>
      </c>
      <c r="T1263">
        <v>206</v>
      </c>
      <c r="U1263">
        <v>410</v>
      </c>
      <c r="V1263">
        <v>151</v>
      </c>
      <c r="W1263">
        <v>431</v>
      </c>
      <c r="X1263">
        <v>0</v>
      </c>
      <c r="Y1263">
        <v>248</v>
      </c>
      <c r="Z1263">
        <v>0</v>
      </c>
      <c r="AA1263">
        <v>81</v>
      </c>
      <c r="AB1263">
        <v>94</v>
      </c>
      <c r="AC1263">
        <v>336</v>
      </c>
      <c r="AD1263">
        <v>276</v>
      </c>
      <c r="AE1263">
        <v>2310</v>
      </c>
      <c r="AF1263">
        <v>3081</v>
      </c>
      <c r="AG1263" t="s">
        <v>5350</v>
      </c>
      <c r="AH1263">
        <v>1</v>
      </c>
      <c r="AI1263">
        <v>3000</v>
      </c>
      <c r="AJ1263">
        <v>3.32</v>
      </c>
      <c r="AK1263" t="str">
        <f t="shared" si="19"/>
        <v>M5208-6200</v>
      </c>
    </row>
    <row r="1264" spans="1:37">
      <c r="A1264" t="s">
        <v>2305</v>
      </c>
      <c r="B1264" t="s">
        <v>2302</v>
      </c>
      <c r="C1264" t="s">
        <v>141</v>
      </c>
      <c r="D1264" t="s">
        <v>2303</v>
      </c>
      <c r="E1264">
        <v>70</v>
      </c>
      <c r="AG1264" t="s">
        <v>6313</v>
      </c>
      <c r="AH1264">
        <v>1</v>
      </c>
      <c r="AI1264">
        <v>128</v>
      </c>
      <c r="AK1264" t="str">
        <f t="shared" si="19"/>
        <v>M5208-6200</v>
      </c>
    </row>
    <row r="1265" spans="1:37">
      <c r="A1265" t="s">
        <v>2306</v>
      </c>
      <c r="B1265" t="s">
        <v>2307</v>
      </c>
      <c r="C1265" t="s">
        <v>183</v>
      </c>
      <c r="D1265" t="s">
        <v>2308</v>
      </c>
      <c r="E1265">
        <v>130</v>
      </c>
      <c r="F1265">
        <v>0.3</v>
      </c>
      <c r="G1265">
        <v>2585</v>
      </c>
      <c r="H1265">
        <v>1042</v>
      </c>
      <c r="I1265">
        <v>1185</v>
      </c>
      <c r="J1265">
        <v>1069</v>
      </c>
      <c r="K1265">
        <v>3286</v>
      </c>
      <c r="L1265">
        <v>279</v>
      </c>
      <c r="M1265">
        <v>0</v>
      </c>
      <c r="N1265">
        <v>2155</v>
      </c>
      <c r="O1265">
        <v>0</v>
      </c>
      <c r="P1265">
        <v>0</v>
      </c>
      <c r="Q1265">
        <v>1131</v>
      </c>
      <c r="R1265">
        <v>0</v>
      </c>
      <c r="S1265">
        <v>1187</v>
      </c>
      <c r="T1265">
        <v>742</v>
      </c>
      <c r="U1265">
        <v>1197</v>
      </c>
      <c r="V1265">
        <v>1550</v>
      </c>
      <c r="W1265">
        <v>2431</v>
      </c>
      <c r="X1265">
        <v>0</v>
      </c>
      <c r="Y1265">
        <v>1663</v>
      </c>
      <c r="Z1265">
        <v>1604</v>
      </c>
      <c r="AA1265">
        <v>915</v>
      </c>
      <c r="AB1265">
        <v>465</v>
      </c>
      <c r="AC1265">
        <v>0</v>
      </c>
      <c r="AD1265">
        <v>1068</v>
      </c>
      <c r="AE1265">
        <v>12822</v>
      </c>
      <c r="AF1265">
        <v>11107</v>
      </c>
      <c r="AG1265" t="s">
        <v>5351</v>
      </c>
      <c r="AH1265">
        <v>8</v>
      </c>
      <c r="AI1265">
        <v>2620</v>
      </c>
      <c r="AJ1265">
        <v>4.1207000000000003</v>
      </c>
      <c r="AK1265" t="str">
        <f t="shared" si="19"/>
        <v>M5211-6200</v>
      </c>
    </row>
    <row r="1266" spans="1:37">
      <c r="A1266" t="s">
        <v>2306</v>
      </c>
      <c r="B1266" t="s">
        <v>2307</v>
      </c>
      <c r="C1266" t="s">
        <v>183</v>
      </c>
      <c r="D1266" t="s">
        <v>2308</v>
      </c>
      <c r="E1266">
        <v>130</v>
      </c>
      <c r="AG1266" t="s">
        <v>7632</v>
      </c>
      <c r="AH1266">
        <v>1</v>
      </c>
      <c r="AI1266">
        <v>2000</v>
      </c>
      <c r="AK1266" t="str">
        <f t="shared" si="19"/>
        <v>M5211-6200</v>
      </c>
    </row>
    <row r="1267" spans="1:37">
      <c r="A1267" t="s">
        <v>2309</v>
      </c>
      <c r="B1267" t="s">
        <v>2310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0</v>
      </c>
      <c r="K1267">
        <v>17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17</v>
      </c>
      <c r="R1267">
        <v>0</v>
      </c>
      <c r="S1267">
        <v>0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J1267">
        <v>79.34</v>
      </c>
      <c r="AK1267" t="str">
        <f t="shared" si="19"/>
        <v>M5218-4000</v>
      </c>
    </row>
    <row r="1268" spans="1:37">
      <c r="A1268" t="s">
        <v>2311</v>
      </c>
      <c r="B1268" t="s">
        <v>2312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0</v>
      </c>
      <c r="K1268">
        <v>47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47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J1268">
        <v>94.94</v>
      </c>
      <c r="AK1268" t="str">
        <f t="shared" si="19"/>
        <v>M5218-4200</v>
      </c>
    </row>
    <row r="1269" spans="1:37">
      <c r="A1269" t="s">
        <v>2313</v>
      </c>
      <c r="B1269" t="s">
        <v>2314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0</v>
      </c>
      <c r="K1269">
        <v>8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8</v>
      </c>
      <c r="R1269">
        <v>0</v>
      </c>
      <c r="S1269">
        <v>0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J1269">
        <v>66.31</v>
      </c>
      <c r="AK1269" t="str">
        <f t="shared" si="19"/>
        <v>M5218-4800</v>
      </c>
    </row>
    <row r="1270" spans="1:37">
      <c r="A1270" t="s">
        <v>2315</v>
      </c>
      <c r="B1270" t="s">
        <v>2316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0</v>
      </c>
      <c r="K1270">
        <v>30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30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J1270" t="s">
        <v>2274</v>
      </c>
      <c r="AK1270" t="str">
        <f t="shared" si="19"/>
        <v>M5218-5200</v>
      </c>
    </row>
    <row r="1271" spans="1:37">
      <c r="A1271" t="s">
        <v>2318</v>
      </c>
      <c r="B1271" t="s">
        <v>2317</v>
      </c>
      <c r="C1271" t="s">
        <v>338</v>
      </c>
      <c r="D1271" t="s">
        <v>2043</v>
      </c>
      <c r="E1271">
        <v>43</v>
      </c>
      <c r="F1271">
        <v>35</v>
      </c>
      <c r="G1271">
        <v>0</v>
      </c>
      <c r="H1271">
        <v>5</v>
      </c>
      <c r="I1271">
        <v>2</v>
      </c>
      <c r="J1271">
        <v>33</v>
      </c>
      <c r="K1271">
        <v>654</v>
      </c>
      <c r="L1271">
        <v>16</v>
      </c>
      <c r="M1271">
        <v>0</v>
      </c>
      <c r="N1271">
        <v>0</v>
      </c>
      <c r="O1271">
        <v>0</v>
      </c>
      <c r="P1271">
        <v>0</v>
      </c>
      <c r="Q1271">
        <v>654</v>
      </c>
      <c r="R1271">
        <v>0</v>
      </c>
      <c r="S1271">
        <v>0</v>
      </c>
      <c r="T1271">
        <v>0</v>
      </c>
      <c r="U1271">
        <v>14</v>
      </c>
      <c r="V1271">
        <v>0</v>
      </c>
      <c r="W1271">
        <v>0</v>
      </c>
      <c r="X1271">
        <v>0</v>
      </c>
      <c r="Y1271">
        <v>44</v>
      </c>
      <c r="Z1271">
        <v>58</v>
      </c>
      <c r="AA1271">
        <v>166</v>
      </c>
      <c r="AB1271">
        <v>0</v>
      </c>
      <c r="AC1271">
        <v>0</v>
      </c>
      <c r="AD1271">
        <v>111</v>
      </c>
      <c r="AE1271">
        <v>393</v>
      </c>
      <c r="AF1271">
        <v>210</v>
      </c>
      <c r="AJ1271">
        <v>3.73</v>
      </c>
      <c r="AK1271" t="str">
        <f t="shared" si="19"/>
        <v>MG093-6200</v>
      </c>
    </row>
    <row r="1272" spans="1:37">
      <c r="A1272" t="s">
        <v>2319</v>
      </c>
      <c r="B1272" t="s">
        <v>7670</v>
      </c>
      <c r="C1272" t="s">
        <v>110</v>
      </c>
      <c r="D1272" t="s">
        <v>2320</v>
      </c>
      <c r="E1272">
        <v>50</v>
      </c>
      <c r="F1272">
        <v>0</v>
      </c>
      <c r="G1272">
        <v>1</v>
      </c>
      <c r="H1272">
        <v>0</v>
      </c>
      <c r="I1272">
        <v>4</v>
      </c>
      <c r="J1272">
        <v>16</v>
      </c>
      <c r="K1272">
        <v>0</v>
      </c>
      <c r="L1272">
        <v>47</v>
      </c>
      <c r="M1272">
        <v>0</v>
      </c>
      <c r="N1272">
        <v>1</v>
      </c>
      <c r="O1272">
        <v>0</v>
      </c>
      <c r="P1272">
        <v>0</v>
      </c>
      <c r="Q1272">
        <v>-1</v>
      </c>
      <c r="R1272">
        <v>0</v>
      </c>
      <c r="S1272">
        <v>0</v>
      </c>
      <c r="T1272">
        <v>0</v>
      </c>
      <c r="U1272">
        <v>0</v>
      </c>
      <c r="V1272">
        <v>0</v>
      </c>
      <c r="W1272">
        <v>25</v>
      </c>
      <c r="X1272">
        <v>0</v>
      </c>
      <c r="Y1272">
        <v>0</v>
      </c>
      <c r="Z1272">
        <v>0</v>
      </c>
      <c r="AA1272">
        <v>0</v>
      </c>
      <c r="AB1272">
        <v>37</v>
      </c>
      <c r="AC1272">
        <v>0</v>
      </c>
      <c r="AD1272">
        <v>124</v>
      </c>
      <c r="AE1272">
        <v>186</v>
      </c>
      <c r="AF1272">
        <v>573</v>
      </c>
      <c r="AJ1272">
        <v>4.7699999999999996</v>
      </c>
      <c r="AK1272" t="str">
        <f t="shared" si="19"/>
        <v>MH401-5000</v>
      </c>
    </row>
    <row r="1273" spans="1:37">
      <c r="A1273" t="s">
        <v>2321</v>
      </c>
      <c r="B1273" t="s">
        <v>2322</v>
      </c>
      <c r="C1273" t="s">
        <v>110</v>
      </c>
      <c r="D1273" t="s">
        <v>2320</v>
      </c>
      <c r="E1273">
        <v>50</v>
      </c>
      <c r="F1273">
        <v>0</v>
      </c>
      <c r="G1273">
        <v>0</v>
      </c>
      <c r="H1273">
        <v>0</v>
      </c>
      <c r="I1273">
        <v>28</v>
      </c>
      <c r="J1273">
        <v>21</v>
      </c>
      <c r="K1273">
        <v>1115</v>
      </c>
      <c r="L1273">
        <v>10</v>
      </c>
      <c r="M1273">
        <v>0</v>
      </c>
      <c r="N1273">
        <v>0</v>
      </c>
      <c r="O1273">
        <v>0</v>
      </c>
      <c r="P1273">
        <v>0</v>
      </c>
      <c r="Q1273">
        <v>1115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168</v>
      </c>
      <c r="Y1273">
        <v>0</v>
      </c>
      <c r="Z1273">
        <v>0</v>
      </c>
      <c r="AA1273">
        <v>0</v>
      </c>
      <c r="AB1273">
        <v>41</v>
      </c>
      <c r="AC1273">
        <v>0</v>
      </c>
      <c r="AD1273">
        <v>37</v>
      </c>
      <c r="AE1273">
        <v>246</v>
      </c>
      <c r="AF1273">
        <v>149</v>
      </c>
      <c r="AJ1273">
        <v>4.7699999999999996</v>
      </c>
      <c r="AK1273" t="str">
        <f t="shared" si="19"/>
        <v>MH401-6200</v>
      </c>
    </row>
    <row r="1274" spans="1:37">
      <c r="A1274" t="s">
        <v>2323</v>
      </c>
      <c r="B1274" t="s">
        <v>2324</v>
      </c>
      <c r="C1274" t="s">
        <v>110</v>
      </c>
      <c r="D1274" t="s">
        <v>2325</v>
      </c>
      <c r="E1274">
        <v>50</v>
      </c>
      <c r="F1274">
        <v>0</v>
      </c>
      <c r="G1274">
        <v>20</v>
      </c>
      <c r="H1274">
        <v>0</v>
      </c>
      <c r="I1274">
        <v>24</v>
      </c>
      <c r="J1274">
        <v>33</v>
      </c>
      <c r="K1274">
        <v>770</v>
      </c>
      <c r="L1274">
        <v>34</v>
      </c>
      <c r="M1274">
        <v>0</v>
      </c>
      <c r="N1274">
        <v>17</v>
      </c>
      <c r="O1274">
        <v>0</v>
      </c>
      <c r="P1274">
        <v>0</v>
      </c>
      <c r="Q1274">
        <v>753</v>
      </c>
      <c r="R1274">
        <v>0</v>
      </c>
      <c r="S1274">
        <v>0</v>
      </c>
      <c r="T1274">
        <v>0</v>
      </c>
      <c r="U1274">
        <v>0</v>
      </c>
      <c r="V1274">
        <v>39</v>
      </c>
      <c r="W1274">
        <v>66</v>
      </c>
      <c r="X1274">
        <v>40</v>
      </c>
      <c r="Y1274">
        <v>138</v>
      </c>
      <c r="Z1274">
        <v>70</v>
      </c>
      <c r="AA1274">
        <v>0</v>
      </c>
      <c r="AB1274">
        <v>0</v>
      </c>
      <c r="AC1274">
        <v>0</v>
      </c>
      <c r="AD1274">
        <v>38</v>
      </c>
      <c r="AE1274">
        <v>391</v>
      </c>
      <c r="AF1274">
        <v>278</v>
      </c>
      <c r="AJ1274">
        <v>4.7699999999999996</v>
      </c>
      <c r="AK1274" t="str">
        <f t="shared" si="19"/>
        <v>MH601-5000</v>
      </c>
    </row>
    <row r="1275" spans="1:37">
      <c r="A1275" t="s">
        <v>2326</v>
      </c>
      <c r="B1275" t="s">
        <v>2327</v>
      </c>
      <c r="C1275" t="s">
        <v>110</v>
      </c>
      <c r="D1275" t="s">
        <v>2325</v>
      </c>
      <c r="E1275">
        <v>50</v>
      </c>
      <c r="F1275">
        <v>0</v>
      </c>
      <c r="G1275">
        <v>0</v>
      </c>
      <c r="H1275">
        <v>0</v>
      </c>
      <c r="I1275">
        <v>10</v>
      </c>
      <c r="J1275">
        <v>17</v>
      </c>
      <c r="K1275">
        <v>2262</v>
      </c>
      <c r="L1275">
        <v>14</v>
      </c>
      <c r="M1275">
        <v>0</v>
      </c>
      <c r="N1275">
        <v>0</v>
      </c>
      <c r="O1275">
        <v>0</v>
      </c>
      <c r="P1275">
        <v>0</v>
      </c>
      <c r="Q1275">
        <v>2262</v>
      </c>
      <c r="R1275">
        <v>0</v>
      </c>
      <c r="S1275">
        <v>0</v>
      </c>
      <c r="T1275">
        <v>0</v>
      </c>
      <c r="U1275">
        <v>0</v>
      </c>
      <c r="V1275">
        <v>43</v>
      </c>
      <c r="W1275">
        <v>0</v>
      </c>
      <c r="X1275">
        <v>18</v>
      </c>
      <c r="Y1275">
        <v>72</v>
      </c>
      <c r="Z1275">
        <v>22</v>
      </c>
      <c r="AA1275">
        <v>51</v>
      </c>
      <c r="AB1275">
        <v>0</v>
      </c>
      <c r="AC1275">
        <v>0</v>
      </c>
      <c r="AD1275">
        <v>0</v>
      </c>
      <c r="AE1275">
        <v>206</v>
      </c>
      <c r="AF1275">
        <v>607</v>
      </c>
      <c r="AJ1275">
        <v>4.99</v>
      </c>
      <c r="AK1275" t="str">
        <f t="shared" si="19"/>
        <v>MH601-6200</v>
      </c>
    </row>
    <row r="1276" spans="1:37">
      <c r="A1276" t="s">
        <v>2328</v>
      </c>
      <c r="B1276" t="s">
        <v>2329</v>
      </c>
      <c r="C1276" t="s">
        <v>110</v>
      </c>
      <c r="E1276">
        <v>50</v>
      </c>
      <c r="F1276">
        <v>0</v>
      </c>
      <c r="G1276">
        <v>1</v>
      </c>
      <c r="H1276">
        <v>12</v>
      </c>
      <c r="I1276">
        <v>9</v>
      </c>
      <c r="J1276">
        <v>12</v>
      </c>
      <c r="K1276">
        <v>0</v>
      </c>
      <c r="L1276">
        <v>0</v>
      </c>
      <c r="M1276">
        <v>0</v>
      </c>
      <c r="N1276">
        <v>1</v>
      </c>
      <c r="O1276">
        <v>0</v>
      </c>
      <c r="P1276">
        <v>0</v>
      </c>
      <c r="Q1276">
        <v>-1</v>
      </c>
      <c r="R1276">
        <v>0</v>
      </c>
      <c r="S1276">
        <v>0</v>
      </c>
      <c r="T1276">
        <v>36</v>
      </c>
      <c r="U1276">
        <v>0</v>
      </c>
      <c r="V1276">
        <v>0</v>
      </c>
      <c r="W1276">
        <v>20</v>
      </c>
      <c r="X1276">
        <v>0</v>
      </c>
      <c r="Y1276">
        <v>25</v>
      </c>
      <c r="Z1276">
        <v>0</v>
      </c>
      <c r="AA1276">
        <v>14</v>
      </c>
      <c r="AB1276">
        <v>20</v>
      </c>
      <c r="AC1276">
        <v>0</v>
      </c>
      <c r="AD1276">
        <v>33</v>
      </c>
      <c r="AE1276">
        <v>148</v>
      </c>
      <c r="AF1276">
        <v>47</v>
      </c>
      <c r="AJ1276">
        <v>4.88</v>
      </c>
      <c r="AK1276" t="str">
        <f t="shared" si="19"/>
        <v>MH801-5000</v>
      </c>
    </row>
    <row r="1277" spans="1:37">
      <c r="A1277" t="s">
        <v>2330</v>
      </c>
      <c r="B1277" t="s">
        <v>2331</v>
      </c>
      <c r="C1277" t="s">
        <v>110</v>
      </c>
      <c r="E1277">
        <v>50</v>
      </c>
      <c r="F1277">
        <v>0</v>
      </c>
      <c r="G1277">
        <v>3</v>
      </c>
      <c r="H1277">
        <v>0</v>
      </c>
      <c r="I1277">
        <v>0</v>
      </c>
      <c r="J1277">
        <v>0</v>
      </c>
      <c r="K1277">
        <v>3106</v>
      </c>
      <c r="L1277">
        <v>0</v>
      </c>
      <c r="M1277">
        <v>0</v>
      </c>
      <c r="N1277">
        <v>2</v>
      </c>
      <c r="O1277">
        <v>0</v>
      </c>
      <c r="P1277">
        <v>0</v>
      </c>
      <c r="Q1277">
        <v>3104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J1277">
        <v>4.7699999999999996</v>
      </c>
      <c r="AK1277" t="str">
        <f t="shared" si="19"/>
        <v>MH801-6200</v>
      </c>
    </row>
    <row r="1278" spans="1:37">
      <c r="A1278" t="s">
        <v>2332</v>
      </c>
      <c r="B1278" t="s">
        <v>2333</v>
      </c>
      <c r="C1278" t="s">
        <v>110</v>
      </c>
      <c r="D1278" t="s">
        <v>2064</v>
      </c>
      <c r="E1278">
        <v>50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334</v>
      </c>
      <c r="L1278">
        <v>11</v>
      </c>
      <c r="M1278">
        <v>0</v>
      </c>
      <c r="N1278">
        <v>0</v>
      </c>
      <c r="O1278">
        <v>0</v>
      </c>
      <c r="P1278">
        <v>0</v>
      </c>
      <c r="Q1278">
        <v>334</v>
      </c>
      <c r="R1278">
        <v>0</v>
      </c>
      <c r="S1278">
        <v>0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50</v>
      </c>
      <c r="AJ1278">
        <v>4.3600000000000003</v>
      </c>
      <c r="AK1278" t="str">
        <f t="shared" si="19"/>
        <v>MR106-6200</v>
      </c>
    </row>
    <row r="1279" spans="1:37">
      <c r="A1279" t="s">
        <v>2334</v>
      </c>
      <c r="B1279" t="s">
        <v>2335</v>
      </c>
      <c r="C1279" t="s">
        <v>110</v>
      </c>
      <c r="D1279" t="s">
        <v>2336</v>
      </c>
      <c r="E1279">
        <v>50</v>
      </c>
      <c r="F1279">
        <v>0.9</v>
      </c>
      <c r="G1279">
        <v>0</v>
      </c>
      <c r="H1279">
        <v>19</v>
      </c>
      <c r="I1279">
        <v>9</v>
      </c>
      <c r="J1279">
        <v>40</v>
      </c>
      <c r="K1279">
        <v>70</v>
      </c>
      <c r="L1279">
        <v>531</v>
      </c>
      <c r="M1279">
        <v>0</v>
      </c>
      <c r="N1279">
        <v>0</v>
      </c>
      <c r="O1279">
        <v>0</v>
      </c>
      <c r="P1279">
        <v>0</v>
      </c>
      <c r="Q1279">
        <v>70</v>
      </c>
      <c r="R1279">
        <v>0</v>
      </c>
      <c r="S1279">
        <v>16</v>
      </c>
      <c r="T1279">
        <v>40</v>
      </c>
      <c r="U1279">
        <v>0</v>
      </c>
      <c r="V1279">
        <v>0</v>
      </c>
      <c r="W1279">
        <v>0</v>
      </c>
      <c r="X1279">
        <v>0</v>
      </c>
      <c r="Y1279">
        <v>78</v>
      </c>
      <c r="Z1279">
        <v>80</v>
      </c>
      <c r="AA1279">
        <v>0</v>
      </c>
      <c r="AB1279">
        <v>0</v>
      </c>
      <c r="AC1279">
        <v>260</v>
      </c>
      <c r="AD1279">
        <v>0</v>
      </c>
      <c r="AE1279">
        <v>474</v>
      </c>
      <c r="AF1279">
        <v>1009</v>
      </c>
      <c r="AJ1279">
        <v>4.37</v>
      </c>
      <c r="AK1279" t="str">
        <f t="shared" si="19"/>
        <v>MR202-5000</v>
      </c>
    </row>
    <row r="1280" spans="1:37">
      <c r="A1280" t="s">
        <v>2337</v>
      </c>
      <c r="B1280" t="s">
        <v>2338</v>
      </c>
      <c r="C1280" t="s">
        <v>110</v>
      </c>
      <c r="D1280" t="s">
        <v>2336</v>
      </c>
      <c r="E1280">
        <v>50</v>
      </c>
      <c r="F1280">
        <v>14.3</v>
      </c>
      <c r="G1280">
        <v>0</v>
      </c>
      <c r="H1280">
        <v>22</v>
      </c>
      <c r="I1280">
        <v>28</v>
      </c>
      <c r="J1280">
        <v>71</v>
      </c>
      <c r="K1280">
        <v>1280</v>
      </c>
      <c r="L1280">
        <v>13</v>
      </c>
      <c r="M1280">
        <v>0</v>
      </c>
      <c r="N1280">
        <v>0</v>
      </c>
      <c r="O1280">
        <v>0</v>
      </c>
      <c r="P1280">
        <v>0</v>
      </c>
      <c r="Q1280">
        <v>1280</v>
      </c>
      <c r="R1280">
        <v>0</v>
      </c>
      <c r="S1280">
        <v>0</v>
      </c>
      <c r="T1280">
        <v>67</v>
      </c>
      <c r="U1280">
        <v>0</v>
      </c>
      <c r="V1280">
        <v>0</v>
      </c>
      <c r="W1280">
        <v>103</v>
      </c>
      <c r="X1280">
        <v>0</v>
      </c>
      <c r="Y1280">
        <v>130</v>
      </c>
      <c r="Z1280">
        <v>0</v>
      </c>
      <c r="AA1280">
        <v>59</v>
      </c>
      <c r="AB1280">
        <v>82</v>
      </c>
      <c r="AC1280">
        <v>93</v>
      </c>
      <c r="AD1280">
        <v>320</v>
      </c>
      <c r="AE1280">
        <v>854</v>
      </c>
      <c r="AF1280">
        <v>498</v>
      </c>
      <c r="AJ1280">
        <v>4.37</v>
      </c>
      <c r="AK1280" t="str">
        <f t="shared" si="19"/>
        <v>MR202-6200</v>
      </c>
    </row>
    <row r="1281" spans="1:37">
      <c r="A1281" t="s">
        <v>2339</v>
      </c>
      <c r="B1281" t="s">
        <v>2340</v>
      </c>
      <c r="C1281" t="s">
        <v>1558</v>
      </c>
      <c r="D1281" t="s">
        <v>2341</v>
      </c>
      <c r="E1281">
        <v>50</v>
      </c>
      <c r="F1281">
        <v>0</v>
      </c>
      <c r="G1281">
        <v>0</v>
      </c>
      <c r="H1281">
        <v>0</v>
      </c>
      <c r="I1281">
        <v>3</v>
      </c>
      <c r="J1281">
        <v>2</v>
      </c>
      <c r="K1281">
        <v>146</v>
      </c>
      <c r="L1281">
        <v>8</v>
      </c>
      <c r="M1281">
        <v>0</v>
      </c>
      <c r="N1281">
        <v>0</v>
      </c>
      <c r="O1281">
        <v>0</v>
      </c>
      <c r="P1281">
        <v>0</v>
      </c>
      <c r="Q1281">
        <v>146</v>
      </c>
      <c r="R1281">
        <v>0</v>
      </c>
      <c r="S1281">
        <v>0</v>
      </c>
      <c r="T1281">
        <v>0</v>
      </c>
      <c r="U1281">
        <v>0</v>
      </c>
      <c r="V1281">
        <v>9</v>
      </c>
      <c r="W1281">
        <v>0</v>
      </c>
      <c r="X1281">
        <v>7</v>
      </c>
      <c r="Y1281">
        <v>0</v>
      </c>
      <c r="Z1281">
        <v>9</v>
      </c>
      <c r="AA1281">
        <v>0</v>
      </c>
      <c r="AB1281">
        <v>0</v>
      </c>
      <c r="AC1281">
        <v>0</v>
      </c>
      <c r="AD1281">
        <v>0</v>
      </c>
      <c r="AE1281">
        <v>25</v>
      </c>
      <c r="AF1281">
        <v>79</v>
      </c>
      <c r="AG1281" t="s">
        <v>2342</v>
      </c>
      <c r="AH1281">
        <v>3</v>
      </c>
      <c r="AI1281">
        <v>2</v>
      </c>
      <c r="AJ1281">
        <v>7.07</v>
      </c>
      <c r="AK1281" t="str">
        <f t="shared" si="19"/>
        <v>MR203-5000</v>
      </c>
    </row>
    <row r="1282" spans="1:37">
      <c r="A1282" t="s">
        <v>2343</v>
      </c>
      <c r="B1282" t="s">
        <v>2344</v>
      </c>
      <c r="C1282" t="s">
        <v>110</v>
      </c>
      <c r="D1282" t="s">
        <v>2341</v>
      </c>
      <c r="E1282">
        <v>50</v>
      </c>
      <c r="F1282">
        <v>0</v>
      </c>
      <c r="G1282">
        <v>0</v>
      </c>
      <c r="H1282">
        <v>0</v>
      </c>
      <c r="I1282">
        <v>2</v>
      </c>
      <c r="J1282">
        <v>10</v>
      </c>
      <c r="K1282">
        <v>1734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1734</v>
      </c>
      <c r="R1282">
        <v>0</v>
      </c>
      <c r="S1282">
        <v>0</v>
      </c>
      <c r="T1282">
        <v>0</v>
      </c>
      <c r="U1282">
        <v>0</v>
      </c>
      <c r="V1282">
        <v>14</v>
      </c>
      <c r="W1282">
        <v>0</v>
      </c>
      <c r="X1282">
        <v>0</v>
      </c>
      <c r="Y1282">
        <v>0</v>
      </c>
      <c r="Z1282">
        <v>21</v>
      </c>
      <c r="AA1282">
        <v>0</v>
      </c>
      <c r="AB1282">
        <v>0</v>
      </c>
      <c r="AC1282">
        <v>0</v>
      </c>
      <c r="AD1282">
        <v>80</v>
      </c>
      <c r="AE1282">
        <v>115</v>
      </c>
      <c r="AF1282">
        <v>95</v>
      </c>
      <c r="AJ1282">
        <v>6.12</v>
      </c>
      <c r="AK1282" t="str">
        <f t="shared" si="19"/>
        <v>MR203-6200</v>
      </c>
    </row>
    <row r="1283" spans="1:37">
      <c r="A1283" t="s">
        <v>2345</v>
      </c>
      <c r="B1283" t="s">
        <v>2346</v>
      </c>
      <c r="C1283" t="s">
        <v>318</v>
      </c>
      <c r="D1283" t="s">
        <v>2347</v>
      </c>
      <c r="E1283">
        <v>50</v>
      </c>
      <c r="F1283">
        <v>2.7</v>
      </c>
      <c r="G1283">
        <v>17</v>
      </c>
      <c r="H1283">
        <v>24</v>
      </c>
      <c r="I1283">
        <v>24</v>
      </c>
      <c r="J1283">
        <v>25</v>
      </c>
      <c r="K1283">
        <v>269</v>
      </c>
      <c r="L1283">
        <v>37</v>
      </c>
      <c r="M1283">
        <v>0</v>
      </c>
      <c r="N1283">
        <v>14</v>
      </c>
      <c r="O1283">
        <v>0</v>
      </c>
      <c r="P1283">
        <v>0</v>
      </c>
      <c r="Q1283">
        <v>255</v>
      </c>
      <c r="R1283">
        <v>0</v>
      </c>
      <c r="S1283">
        <v>72</v>
      </c>
      <c r="T1283">
        <v>0</v>
      </c>
      <c r="U1283">
        <v>0</v>
      </c>
      <c r="V1283">
        <v>0</v>
      </c>
      <c r="W1283">
        <v>71</v>
      </c>
      <c r="X1283">
        <v>0</v>
      </c>
      <c r="Y1283">
        <v>77</v>
      </c>
      <c r="Z1283">
        <v>0</v>
      </c>
      <c r="AA1283">
        <v>0</v>
      </c>
      <c r="AB1283">
        <v>0</v>
      </c>
      <c r="AC1283">
        <v>62</v>
      </c>
      <c r="AD1283">
        <v>20</v>
      </c>
      <c r="AE1283">
        <v>302</v>
      </c>
      <c r="AF1283">
        <v>234</v>
      </c>
      <c r="AJ1283">
        <v>6.51</v>
      </c>
      <c r="AK1283" t="str">
        <f t="shared" si="19"/>
        <v>MR206-5000</v>
      </c>
    </row>
    <row r="1284" spans="1:37">
      <c r="A1284" t="s">
        <v>2348</v>
      </c>
      <c r="B1284" t="s">
        <v>2349</v>
      </c>
      <c r="C1284" t="s">
        <v>318</v>
      </c>
      <c r="D1284" t="s">
        <v>2347</v>
      </c>
      <c r="E1284">
        <v>50</v>
      </c>
      <c r="F1284">
        <v>8.3000000000000007</v>
      </c>
      <c r="G1284">
        <v>0</v>
      </c>
      <c r="H1284">
        <v>20</v>
      </c>
      <c r="I1284">
        <v>10</v>
      </c>
      <c r="J1284">
        <v>13</v>
      </c>
      <c r="K1284">
        <v>656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656</v>
      </c>
      <c r="R1284">
        <v>0</v>
      </c>
      <c r="S1284">
        <v>0</v>
      </c>
      <c r="T1284">
        <v>59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100</v>
      </c>
      <c r="AE1284">
        <v>159</v>
      </c>
      <c r="AF1284">
        <v>993</v>
      </c>
      <c r="AJ1284">
        <v>6.51</v>
      </c>
      <c r="AK1284" t="str">
        <f t="shared" si="19"/>
        <v>MR206-6200</v>
      </c>
    </row>
    <row r="1285" spans="1:37">
      <c r="A1285" t="s">
        <v>2350</v>
      </c>
      <c r="B1285" t="s">
        <v>2351</v>
      </c>
      <c r="C1285" t="s">
        <v>110</v>
      </c>
      <c r="D1285" t="s">
        <v>2064</v>
      </c>
      <c r="E1285">
        <v>50</v>
      </c>
      <c r="F1285">
        <v>0</v>
      </c>
      <c r="G1285">
        <v>0</v>
      </c>
      <c r="H1285">
        <v>0</v>
      </c>
      <c r="I1285">
        <v>0</v>
      </c>
      <c r="J1285">
        <v>2</v>
      </c>
      <c r="K1285">
        <v>216</v>
      </c>
      <c r="L1285">
        <v>9</v>
      </c>
      <c r="M1285">
        <v>0</v>
      </c>
      <c r="N1285">
        <v>0</v>
      </c>
      <c r="O1285">
        <v>0</v>
      </c>
      <c r="P1285">
        <v>0</v>
      </c>
      <c r="Q1285">
        <v>216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28</v>
      </c>
      <c r="AA1285">
        <v>0</v>
      </c>
      <c r="AB1285">
        <v>0</v>
      </c>
      <c r="AC1285">
        <v>0</v>
      </c>
      <c r="AD1285">
        <v>0</v>
      </c>
      <c r="AE1285">
        <v>28</v>
      </c>
      <c r="AF1285">
        <v>98</v>
      </c>
      <c r="AJ1285">
        <v>4.87</v>
      </c>
      <c r="AK1285" t="str">
        <f t="shared" ref="AK1285:AK1348" si="20">MID(A1285,4,10)</f>
        <v>MR208-6200</v>
      </c>
    </row>
    <row r="1286" spans="1:37">
      <c r="A1286" t="s">
        <v>2352</v>
      </c>
      <c r="B1286" t="s">
        <v>2353</v>
      </c>
      <c r="C1286" t="s">
        <v>110</v>
      </c>
      <c r="D1286" t="s">
        <v>2354</v>
      </c>
      <c r="E1286">
        <v>50</v>
      </c>
      <c r="F1286">
        <v>2.2999999999999998</v>
      </c>
      <c r="G1286">
        <v>0</v>
      </c>
      <c r="H1286">
        <v>123</v>
      </c>
      <c r="I1286">
        <v>269</v>
      </c>
      <c r="J1286">
        <v>258</v>
      </c>
      <c r="K1286">
        <v>1118</v>
      </c>
      <c r="L1286">
        <v>248</v>
      </c>
      <c r="M1286">
        <v>0</v>
      </c>
      <c r="N1286">
        <v>0</v>
      </c>
      <c r="O1286">
        <v>0</v>
      </c>
      <c r="P1286">
        <v>0</v>
      </c>
      <c r="Q1286">
        <v>1118</v>
      </c>
      <c r="R1286">
        <v>0</v>
      </c>
      <c r="S1286">
        <v>0</v>
      </c>
      <c r="T1286">
        <v>169</v>
      </c>
      <c r="U1286">
        <v>201</v>
      </c>
      <c r="V1286">
        <v>764</v>
      </c>
      <c r="W1286">
        <v>92</v>
      </c>
      <c r="X1286">
        <v>389</v>
      </c>
      <c r="Y1286">
        <v>871</v>
      </c>
      <c r="Z1286">
        <v>137</v>
      </c>
      <c r="AA1286">
        <v>0</v>
      </c>
      <c r="AB1286">
        <v>0</v>
      </c>
      <c r="AC1286">
        <v>188</v>
      </c>
      <c r="AD1286">
        <v>284</v>
      </c>
      <c r="AE1286">
        <v>3095</v>
      </c>
      <c r="AF1286">
        <v>1972</v>
      </c>
      <c r="AJ1286">
        <v>4.47</v>
      </c>
      <c r="AK1286" t="str">
        <f t="shared" si="20"/>
        <v>MR303-5000</v>
      </c>
    </row>
    <row r="1287" spans="1:37">
      <c r="A1287" t="s">
        <v>2355</v>
      </c>
      <c r="B1287" t="s">
        <v>2356</v>
      </c>
      <c r="C1287" t="s">
        <v>110</v>
      </c>
      <c r="D1287" t="s">
        <v>2354</v>
      </c>
      <c r="E1287">
        <v>50</v>
      </c>
      <c r="F1287">
        <v>70.900000000000006</v>
      </c>
      <c r="G1287">
        <v>0</v>
      </c>
      <c r="H1287">
        <v>3</v>
      </c>
      <c r="I1287">
        <v>28</v>
      </c>
      <c r="J1287">
        <v>23</v>
      </c>
      <c r="K1287">
        <v>756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756</v>
      </c>
      <c r="R1287">
        <v>0</v>
      </c>
      <c r="S1287">
        <v>0</v>
      </c>
      <c r="T1287">
        <v>0</v>
      </c>
      <c r="U1287">
        <v>8</v>
      </c>
      <c r="V1287">
        <v>120</v>
      </c>
      <c r="W1287">
        <v>40</v>
      </c>
      <c r="X1287">
        <v>0</v>
      </c>
      <c r="Y1287">
        <v>8</v>
      </c>
      <c r="Z1287">
        <v>0</v>
      </c>
      <c r="AA1287">
        <v>0</v>
      </c>
      <c r="AB1287">
        <v>100</v>
      </c>
      <c r="AC1287">
        <v>0</v>
      </c>
      <c r="AD1287">
        <v>0</v>
      </c>
      <c r="AE1287">
        <v>276</v>
      </c>
      <c r="AF1287">
        <v>371</v>
      </c>
      <c r="AJ1287">
        <v>4.37</v>
      </c>
      <c r="AK1287" t="str">
        <f t="shared" si="20"/>
        <v>MR303-6200</v>
      </c>
    </row>
    <row r="1288" spans="1:37">
      <c r="A1288" t="s">
        <v>2357</v>
      </c>
      <c r="B1288" t="s">
        <v>2358</v>
      </c>
      <c r="C1288" t="s">
        <v>110</v>
      </c>
      <c r="E1288">
        <v>50</v>
      </c>
      <c r="F1288">
        <v>7.5</v>
      </c>
      <c r="G1288">
        <v>0</v>
      </c>
      <c r="H1288">
        <v>36</v>
      </c>
      <c r="I1288">
        <v>34</v>
      </c>
      <c r="J1288">
        <v>65</v>
      </c>
      <c r="K1288">
        <v>1093</v>
      </c>
      <c r="L1288">
        <v>247</v>
      </c>
      <c r="M1288">
        <v>0</v>
      </c>
      <c r="N1288">
        <v>0</v>
      </c>
      <c r="O1288">
        <v>0</v>
      </c>
      <c r="P1288">
        <v>0</v>
      </c>
      <c r="Q1288">
        <v>1093</v>
      </c>
      <c r="R1288">
        <v>0</v>
      </c>
      <c r="S1288">
        <v>49</v>
      </c>
      <c r="T1288">
        <v>60</v>
      </c>
      <c r="U1288">
        <v>0</v>
      </c>
      <c r="V1288">
        <v>62</v>
      </c>
      <c r="W1288">
        <v>33</v>
      </c>
      <c r="X1288">
        <v>0</v>
      </c>
      <c r="Y1288">
        <v>0</v>
      </c>
      <c r="Z1288">
        <v>352</v>
      </c>
      <c r="AA1288">
        <v>0</v>
      </c>
      <c r="AB1288">
        <v>175</v>
      </c>
      <c r="AC1288">
        <v>0</v>
      </c>
      <c r="AD1288">
        <v>45</v>
      </c>
      <c r="AE1288">
        <v>776</v>
      </c>
      <c r="AF1288">
        <v>746</v>
      </c>
      <c r="AJ1288">
        <v>4.25</v>
      </c>
      <c r="AK1288" t="str">
        <f t="shared" si="20"/>
        <v>MR308-5000</v>
      </c>
    </row>
    <row r="1289" spans="1:37">
      <c r="A1289" t="s">
        <v>2359</v>
      </c>
      <c r="B1289" t="s">
        <v>2360</v>
      </c>
      <c r="C1289" t="s">
        <v>110</v>
      </c>
      <c r="E1289">
        <v>50</v>
      </c>
      <c r="F1289">
        <v>2.8</v>
      </c>
      <c r="G1289">
        <v>40</v>
      </c>
      <c r="H1289">
        <v>73</v>
      </c>
      <c r="I1289">
        <v>45</v>
      </c>
      <c r="J1289">
        <v>40</v>
      </c>
      <c r="K1289">
        <v>850</v>
      </c>
      <c r="L1289">
        <v>98</v>
      </c>
      <c r="M1289">
        <v>0</v>
      </c>
      <c r="N1289">
        <v>33</v>
      </c>
      <c r="O1289">
        <v>0</v>
      </c>
      <c r="P1289">
        <v>0</v>
      </c>
      <c r="Q1289">
        <v>817</v>
      </c>
      <c r="R1289">
        <v>0</v>
      </c>
      <c r="S1289">
        <v>111</v>
      </c>
      <c r="T1289">
        <v>31</v>
      </c>
      <c r="U1289">
        <v>77</v>
      </c>
      <c r="V1289">
        <v>51</v>
      </c>
      <c r="W1289">
        <v>0</v>
      </c>
      <c r="X1289">
        <v>0</v>
      </c>
      <c r="Y1289">
        <v>63</v>
      </c>
      <c r="Z1289">
        <v>20</v>
      </c>
      <c r="AA1289">
        <v>0</v>
      </c>
      <c r="AB1289">
        <v>106</v>
      </c>
      <c r="AC1289">
        <v>0</v>
      </c>
      <c r="AD1289">
        <v>21</v>
      </c>
      <c r="AE1289">
        <v>480</v>
      </c>
      <c r="AF1289">
        <v>232</v>
      </c>
      <c r="AJ1289">
        <v>4.25</v>
      </c>
      <c r="AK1289" t="str">
        <f t="shared" si="20"/>
        <v>MR308-6200</v>
      </c>
    </row>
    <row r="1290" spans="1:37">
      <c r="A1290" t="s">
        <v>2361</v>
      </c>
      <c r="B1290" t="s">
        <v>2362</v>
      </c>
      <c r="C1290" t="s">
        <v>110</v>
      </c>
      <c r="D1290" t="s">
        <v>2363</v>
      </c>
      <c r="E1290">
        <v>50</v>
      </c>
      <c r="F1290">
        <v>24.8</v>
      </c>
      <c r="G1290">
        <v>0</v>
      </c>
      <c r="H1290">
        <v>14</v>
      </c>
      <c r="I1290">
        <v>7</v>
      </c>
      <c r="J1290">
        <v>5</v>
      </c>
      <c r="K1290">
        <v>1389</v>
      </c>
      <c r="L1290">
        <v>8</v>
      </c>
      <c r="M1290">
        <v>0</v>
      </c>
      <c r="N1290">
        <v>0</v>
      </c>
      <c r="O1290">
        <v>0</v>
      </c>
      <c r="P1290">
        <v>0</v>
      </c>
      <c r="Q1290">
        <v>1389</v>
      </c>
      <c r="R1290">
        <v>0</v>
      </c>
      <c r="S1290">
        <v>0</v>
      </c>
      <c r="T1290">
        <v>24</v>
      </c>
      <c r="U1290">
        <v>18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15</v>
      </c>
      <c r="AC1290">
        <v>0</v>
      </c>
      <c r="AD1290">
        <v>0</v>
      </c>
      <c r="AE1290">
        <v>57</v>
      </c>
      <c r="AF1290">
        <v>13</v>
      </c>
      <c r="AJ1290">
        <v>4.28</v>
      </c>
      <c r="AK1290" t="str">
        <f t="shared" si="20"/>
        <v>MR504-6200</v>
      </c>
    </row>
    <row r="1291" spans="1:37">
      <c r="A1291" t="s">
        <v>2364</v>
      </c>
      <c r="B1291" t="s">
        <v>2365</v>
      </c>
      <c r="C1291" t="s">
        <v>110</v>
      </c>
      <c r="D1291" t="s">
        <v>2366</v>
      </c>
      <c r="E1291">
        <v>50</v>
      </c>
      <c r="F1291">
        <v>0</v>
      </c>
      <c r="G1291">
        <v>0</v>
      </c>
      <c r="H1291">
        <v>0</v>
      </c>
      <c r="I1291">
        <v>0</v>
      </c>
      <c r="J1291">
        <v>0</v>
      </c>
      <c r="K1291">
        <v>320</v>
      </c>
      <c r="L1291">
        <v>43</v>
      </c>
      <c r="M1291">
        <v>0</v>
      </c>
      <c r="N1291">
        <v>0</v>
      </c>
      <c r="O1291">
        <v>0</v>
      </c>
      <c r="P1291">
        <v>0</v>
      </c>
      <c r="Q1291">
        <v>320</v>
      </c>
      <c r="R1291">
        <v>0</v>
      </c>
      <c r="S1291">
        <v>0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109</v>
      </c>
      <c r="AJ1291">
        <v>4.0199999999999996</v>
      </c>
      <c r="AK1291" t="str">
        <f t="shared" si="20"/>
        <v>MR506-6200</v>
      </c>
    </row>
    <row r="1292" spans="1:37">
      <c r="A1292" t="s">
        <v>2367</v>
      </c>
      <c r="B1292" t="s">
        <v>2368</v>
      </c>
      <c r="C1292" t="s">
        <v>110</v>
      </c>
      <c r="E1292">
        <v>50</v>
      </c>
      <c r="F1292">
        <v>-0.6</v>
      </c>
      <c r="G1292">
        <v>64</v>
      </c>
      <c r="H1292">
        <v>21</v>
      </c>
      <c r="I1292">
        <v>57</v>
      </c>
      <c r="J1292">
        <v>51</v>
      </c>
      <c r="K1292">
        <v>0</v>
      </c>
      <c r="L1292">
        <v>77</v>
      </c>
      <c r="M1292">
        <v>0</v>
      </c>
      <c r="N1292">
        <v>53</v>
      </c>
      <c r="O1292">
        <v>0</v>
      </c>
      <c r="P1292">
        <v>0</v>
      </c>
      <c r="Q1292">
        <v>-53</v>
      </c>
      <c r="R1292">
        <v>0</v>
      </c>
      <c r="S1292">
        <v>64</v>
      </c>
      <c r="T1292">
        <v>0</v>
      </c>
      <c r="U1292">
        <v>0</v>
      </c>
      <c r="V1292">
        <v>207</v>
      </c>
      <c r="W1292">
        <v>0</v>
      </c>
      <c r="X1292">
        <v>68</v>
      </c>
      <c r="Y1292">
        <v>16</v>
      </c>
      <c r="Z1292">
        <v>228</v>
      </c>
      <c r="AA1292">
        <v>13</v>
      </c>
      <c r="AB1292">
        <v>0</v>
      </c>
      <c r="AC1292">
        <v>17</v>
      </c>
      <c r="AD1292">
        <v>0</v>
      </c>
      <c r="AE1292">
        <v>613</v>
      </c>
      <c r="AF1292">
        <v>179</v>
      </c>
      <c r="AJ1292">
        <v>4.28</v>
      </c>
      <c r="AK1292" t="str">
        <f t="shared" si="20"/>
        <v>MR507-5000</v>
      </c>
    </row>
    <row r="1293" spans="1:37">
      <c r="A1293" t="s">
        <v>2369</v>
      </c>
      <c r="B1293" t="s">
        <v>2370</v>
      </c>
      <c r="C1293" t="s">
        <v>110</v>
      </c>
      <c r="E1293">
        <v>50</v>
      </c>
      <c r="F1293">
        <v>3.5</v>
      </c>
      <c r="G1293">
        <v>32</v>
      </c>
      <c r="H1293">
        <v>54</v>
      </c>
      <c r="I1293">
        <v>44</v>
      </c>
      <c r="J1293">
        <v>26</v>
      </c>
      <c r="K1293">
        <v>776</v>
      </c>
      <c r="L1293">
        <v>0</v>
      </c>
      <c r="M1293">
        <v>0</v>
      </c>
      <c r="N1293">
        <v>27</v>
      </c>
      <c r="O1293">
        <v>0</v>
      </c>
      <c r="P1293">
        <v>0</v>
      </c>
      <c r="Q1293">
        <v>749</v>
      </c>
      <c r="R1293">
        <v>0</v>
      </c>
      <c r="S1293">
        <v>124</v>
      </c>
      <c r="T1293">
        <v>37</v>
      </c>
      <c r="U1293">
        <v>0</v>
      </c>
      <c r="V1293">
        <v>45</v>
      </c>
      <c r="W1293">
        <v>39</v>
      </c>
      <c r="X1293">
        <v>16</v>
      </c>
      <c r="Y1293">
        <v>3</v>
      </c>
      <c r="Z1293">
        <v>28</v>
      </c>
      <c r="AA1293">
        <v>0</v>
      </c>
      <c r="AB1293">
        <v>24</v>
      </c>
      <c r="AC1293">
        <v>0</v>
      </c>
      <c r="AD1293">
        <v>0</v>
      </c>
      <c r="AE1293">
        <v>316</v>
      </c>
      <c r="AF1293">
        <v>237</v>
      </c>
      <c r="AJ1293">
        <v>4.25</v>
      </c>
      <c r="AK1293" t="str">
        <f t="shared" si="20"/>
        <v>MR507-6200</v>
      </c>
    </row>
    <row r="1294" spans="1:37">
      <c r="A1294" t="s">
        <v>2372</v>
      </c>
      <c r="B1294" t="s">
        <v>2373</v>
      </c>
      <c r="C1294" t="s">
        <v>110</v>
      </c>
      <c r="D1294" t="s">
        <v>2374</v>
      </c>
      <c r="E1294">
        <v>50</v>
      </c>
      <c r="F1294">
        <v>26.8</v>
      </c>
      <c r="G1294">
        <v>46</v>
      </c>
      <c r="H1294">
        <v>47</v>
      </c>
      <c r="I1294">
        <v>92</v>
      </c>
      <c r="J1294">
        <v>492</v>
      </c>
      <c r="K1294">
        <v>5077</v>
      </c>
      <c r="L1294">
        <v>635</v>
      </c>
      <c r="M1294">
        <v>0</v>
      </c>
      <c r="N1294">
        <v>38</v>
      </c>
      <c r="O1294">
        <v>0</v>
      </c>
      <c r="P1294">
        <v>0</v>
      </c>
      <c r="Q1294">
        <v>5039</v>
      </c>
      <c r="R1294">
        <v>0</v>
      </c>
      <c r="S1294">
        <v>22</v>
      </c>
      <c r="T1294">
        <v>119</v>
      </c>
      <c r="U1294">
        <v>0</v>
      </c>
      <c r="V1294">
        <v>348</v>
      </c>
      <c r="W1294">
        <v>0</v>
      </c>
      <c r="X1294">
        <v>64</v>
      </c>
      <c r="Y1294">
        <v>505</v>
      </c>
      <c r="Z1294">
        <v>1119</v>
      </c>
      <c r="AA1294">
        <v>362</v>
      </c>
      <c r="AB1294">
        <v>1272</v>
      </c>
      <c r="AC1294">
        <v>1219</v>
      </c>
      <c r="AD1294">
        <v>871</v>
      </c>
      <c r="AE1294">
        <v>5901</v>
      </c>
      <c r="AF1294">
        <v>9004</v>
      </c>
      <c r="AJ1294">
        <v>3.96</v>
      </c>
      <c r="AK1294" t="str">
        <f t="shared" si="20"/>
        <v>MR601-5000</v>
      </c>
    </row>
    <row r="1295" spans="1:37">
      <c r="A1295" t="s">
        <v>2375</v>
      </c>
      <c r="B1295" t="s">
        <v>2376</v>
      </c>
      <c r="C1295" t="s">
        <v>110</v>
      </c>
      <c r="D1295" t="s">
        <v>2377</v>
      </c>
      <c r="E1295">
        <v>50</v>
      </c>
      <c r="F1295">
        <v>4.5999999999999996</v>
      </c>
      <c r="G1295">
        <v>56</v>
      </c>
      <c r="H1295">
        <v>70</v>
      </c>
      <c r="I1295">
        <v>300</v>
      </c>
      <c r="J1295">
        <v>642</v>
      </c>
      <c r="K1295">
        <v>1329</v>
      </c>
      <c r="L1295">
        <v>26</v>
      </c>
      <c r="M1295">
        <v>0</v>
      </c>
      <c r="N1295">
        <v>47</v>
      </c>
      <c r="O1295">
        <v>0</v>
      </c>
      <c r="P1295">
        <v>0</v>
      </c>
      <c r="Q1295">
        <v>1282</v>
      </c>
      <c r="R1295">
        <v>0</v>
      </c>
      <c r="S1295">
        <v>70</v>
      </c>
      <c r="T1295">
        <v>139</v>
      </c>
      <c r="U1295">
        <v>0</v>
      </c>
      <c r="V1295">
        <v>886</v>
      </c>
      <c r="W1295">
        <v>498</v>
      </c>
      <c r="X1295">
        <v>204</v>
      </c>
      <c r="Y1295">
        <v>0</v>
      </c>
      <c r="Z1295">
        <v>2213</v>
      </c>
      <c r="AA1295">
        <v>416</v>
      </c>
      <c r="AB1295">
        <v>2131</v>
      </c>
      <c r="AC1295">
        <v>890</v>
      </c>
      <c r="AD1295">
        <v>251</v>
      </c>
      <c r="AE1295">
        <v>7698</v>
      </c>
      <c r="AF1295">
        <v>6847</v>
      </c>
      <c r="AJ1295">
        <v>3.96</v>
      </c>
      <c r="AK1295" t="str">
        <f t="shared" si="20"/>
        <v>MR601-6200</v>
      </c>
    </row>
    <row r="1296" spans="1:37">
      <c r="A1296" t="s">
        <v>2378</v>
      </c>
      <c r="B1296" t="s">
        <v>2379</v>
      </c>
      <c r="C1296" t="s">
        <v>110</v>
      </c>
      <c r="D1296" t="s">
        <v>2380</v>
      </c>
      <c r="E1296">
        <v>50</v>
      </c>
      <c r="F1296">
        <v>1.4</v>
      </c>
      <c r="G1296">
        <v>312</v>
      </c>
      <c r="H1296">
        <v>133</v>
      </c>
      <c r="I1296">
        <v>87</v>
      </c>
      <c r="J1296">
        <v>172</v>
      </c>
      <c r="K1296">
        <v>978</v>
      </c>
      <c r="L1296">
        <v>57</v>
      </c>
      <c r="M1296">
        <v>0</v>
      </c>
      <c r="N1296">
        <v>260</v>
      </c>
      <c r="O1296">
        <v>0</v>
      </c>
      <c r="P1296">
        <v>0</v>
      </c>
      <c r="Q1296">
        <v>718</v>
      </c>
      <c r="R1296">
        <v>0</v>
      </c>
      <c r="S1296">
        <v>73</v>
      </c>
      <c r="T1296">
        <v>60</v>
      </c>
      <c r="U1296">
        <v>265</v>
      </c>
      <c r="V1296">
        <v>65</v>
      </c>
      <c r="W1296">
        <v>60</v>
      </c>
      <c r="X1296">
        <v>0</v>
      </c>
      <c r="Y1296">
        <v>0</v>
      </c>
      <c r="Z1296">
        <v>256</v>
      </c>
      <c r="AA1296">
        <v>0</v>
      </c>
      <c r="AB1296">
        <v>222</v>
      </c>
      <c r="AC1296">
        <v>385</v>
      </c>
      <c r="AD1296">
        <v>677</v>
      </c>
      <c r="AE1296">
        <v>2063</v>
      </c>
      <c r="AF1296">
        <v>1914</v>
      </c>
      <c r="AJ1296">
        <v>4.24</v>
      </c>
      <c r="AK1296" t="str">
        <f t="shared" si="20"/>
        <v>MR602-5000</v>
      </c>
    </row>
    <row r="1297" spans="1:37">
      <c r="A1297" t="s">
        <v>2381</v>
      </c>
      <c r="B1297" t="s">
        <v>2382</v>
      </c>
      <c r="C1297" t="s">
        <v>110</v>
      </c>
      <c r="D1297" t="s">
        <v>2380</v>
      </c>
      <c r="E1297">
        <v>50</v>
      </c>
      <c r="F1297">
        <v>0.8</v>
      </c>
      <c r="G1297">
        <v>678</v>
      </c>
      <c r="H1297">
        <v>262</v>
      </c>
      <c r="I1297">
        <v>209</v>
      </c>
      <c r="J1297">
        <v>278</v>
      </c>
      <c r="K1297">
        <v>1379</v>
      </c>
      <c r="L1297">
        <v>231</v>
      </c>
      <c r="M1297">
        <v>0</v>
      </c>
      <c r="N1297">
        <v>565</v>
      </c>
      <c r="O1297">
        <v>0</v>
      </c>
      <c r="P1297">
        <v>0</v>
      </c>
      <c r="Q1297">
        <v>814</v>
      </c>
      <c r="R1297">
        <v>0</v>
      </c>
      <c r="S1297">
        <v>474</v>
      </c>
      <c r="T1297">
        <v>115</v>
      </c>
      <c r="U1297">
        <v>197</v>
      </c>
      <c r="V1297">
        <v>130</v>
      </c>
      <c r="W1297">
        <v>129</v>
      </c>
      <c r="X1297">
        <v>206</v>
      </c>
      <c r="Y1297">
        <v>258</v>
      </c>
      <c r="Z1297">
        <v>185</v>
      </c>
      <c r="AA1297">
        <v>0</v>
      </c>
      <c r="AB1297">
        <v>943</v>
      </c>
      <c r="AC1297">
        <v>254</v>
      </c>
      <c r="AD1297">
        <v>440</v>
      </c>
      <c r="AE1297">
        <v>3331</v>
      </c>
      <c r="AF1297">
        <v>4394</v>
      </c>
      <c r="AJ1297">
        <v>4.24</v>
      </c>
      <c r="AK1297" t="str">
        <f t="shared" si="20"/>
        <v>MR602-6200</v>
      </c>
    </row>
    <row r="1298" spans="1:37">
      <c r="A1298" t="s">
        <v>2383</v>
      </c>
      <c r="B1298" t="s">
        <v>2384</v>
      </c>
      <c r="C1298" t="s">
        <v>110</v>
      </c>
      <c r="D1298" t="s">
        <v>2385</v>
      </c>
      <c r="E1298">
        <v>50</v>
      </c>
      <c r="F1298">
        <v>7.9</v>
      </c>
      <c r="G1298">
        <v>8</v>
      </c>
      <c r="H1298">
        <v>15</v>
      </c>
      <c r="I1298">
        <v>17</v>
      </c>
      <c r="J1298">
        <v>19</v>
      </c>
      <c r="K1298">
        <v>483</v>
      </c>
      <c r="L1298">
        <v>13</v>
      </c>
      <c r="M1298">
        <v>0</v>
      </c>
      <c r="N1298">
        <v>7</v>
      </c>
      <c r="O1298">
        <v>0</v>
      </c>
      <c r="P1298">
        <v>0</v>
      </c>
      <c r="Q1298">
        <v>476</v>
      </c>
      <c r="R1298">
        <v>10</v>
      </c>
      <c r="S1298">
        <v>45</v>
      </c>
      <c r="T1298">
        <v>0</v>
      </c>
      <c r="U1298">
        <v>0</v>
      </c>
      <c r="V1298">
        <v>0</v>
      </c>
      <c r="W1298">
        <v>55</v>
      </c>
      <c r="X1298">
        <v>0</v>
      </c>
      <c r="Y1298">
        <v>0</v>
      </c>
      <c r="Z1298">
        <v>63</v>
      </c>
      <c r="AA1298">
        <v>51</v>
      </c>
      <c r="AB1298">
        <v>12</v>
      </c>
      <c r="AC1298">
        <v>0</v>
      </c>
      <c r="AD1298">
        <v>0</v>
      </c>
      <c r="AE1298">
        <v>226</v>
      </c>
      <c r="AF1298">
        <v>512</v>
      </c>
      <c r="AJ1298">
        <v>4.25</v>
      </c>
      <c r="AK1298" t="str">
        <f t="shared" si="20"/>
        <v>MR604-5000</v>
      </c>
    </row>
    <row r="1299" spans="1:37">
      <c r="A1299" t="s">
        <v>2386</v>
      </c>
      <c r="B1299" t="s">
        <v>2387</v>
      </c>
      <c r="C1299" t="s">
        <v>110</v>
      </c>
      <c r="D1299" t="s">
        <v>2385</v>
      </c>
      <c r="E1299">
        <v>50</v>
      </c>
      <c r="F1299">
        <v>3.5</v>
      </c>
      <c r="G1299">
        <v>17</v>
      </c>
      <c r="H1299">
        <v>79</v>
      </c>
      <c r="I1299">
        <v>99</v>
      </c>
      <c r="J1299">
        <v>109</v>
      </c>
      <c r="K1299">
        <v>1118</v>
      </c>
      <c r="L1299">
        <v>104</v>
      </c>
      <c r="M1299">
        <v>0</v>
      </c>
      <c r="N1299">
        <v>14</v>
      </c>
      <c r="O1299">
        <v>0</v>
      </c>
      <c r="P1299">
        <v>0</v>
      </c>
      <c r="Q1299">
        <v>1104</v>
      </c>
      <c r="R1299">
        <v>0</v>
      </c>
      <c r="S1299">
        <v>126</v>
      </c>
      <c r="T1299">
        <v>0</v>
      </c>
      <c r="U1299">
        <v>112</v>
      </c>
      <c r="V1299">
        <v>88</v>
      </c>
      <c r="W1299">
        <v>249</v>
      </c>
      <c r="X1299">
        <v>16</v>
      </c>
      <c r="Y1299">
        <v>12</v>
      </c>
      <c r="Z1299">
        <v>84</v>
      </c>
      <c r="AA1299">
        <v>48</v>
      </c>
      <c r="AB1299">
        <v>96</v>
      </c>
      <c r="AC1299">
        <v>112</v>
      </c>
      <c r="AD1299">
        <v>365</v>
      </c>
      <c r="AE1299">
        <v>1308</v>
      </c>
      <c r="AF1299">
        <v>1006</v>
      </c>
      <c r="AJ1299">
        <v>4.25</v>
      </c>
      <c r="AK1299" t="str">
        <f t="shared" si="20"/>
        <v>MR604-6200</v>
      </c>
    </row>
    <row r="1300" spans="1:37">
      <c r="A1300" t="s">
        <v>2388</v>
      </c>
      <c r="B1300" t="s">
        <v>2389</v>
      </c>
      <c r="C1300" t="s">
        <v>110</v>
      </c>
      <c r="D1300" t="s">
        <v>2390</v>
      </c>
      <c r="E1300">
        <v>50</v>
      </c>
      <c r="F1300">
        <v>1</v>
      </c>
      <c r="G1300">
        <v>405</v>
      </c>
      <c r="H1300">
        <v>266</v>
      </c>
      <c r="I1300">
        <v>391</v>
      </c>
      <c r="J1300">
        <v>285</v>
      </c>
      <c r="K1300">
        <v>1377</v>
      </c>
      <c r="L1300">
        <v>980</v>
      </c>
      <c r="M1300">
        <v>0</v>
      </c>
      <c r="N1300">
        <v>337</v>
      </c>
      <c r="O1300">
        <v>0</v>
      </c>
      <c r="P1300">
        <v>0</v>
      </c>
      <c r="Q1300">
        <v>1040</v>
      </c>
      <c r="R1300">
        <v>0</v>
      </c>
      <c r="S1300">
        <v>137</v>
      </c>
      <c r="T1300">
        <v>21</v>
      </c>
      <c r="U1300">
        <v>639</v>
      </c>
      <c r="V1300">
        <v>125</v>
      </c>
      <c r="W1300">
        <v>987</v>
      </c>
      <c r="X1300">
        <v>439</v>
      </c>
      <c r="Y1300">
        <v>105</v>
      </c>
      <c r="Z1300">
        <v>27</v>
      </c>
      <c r="AA1300">
        <v>192</v>
      </c>
      <c r="AB1300">
        <v>0</v>
      </c>
      <c r="AC1300">
        <v>349</v>
      </c>
      <c r="AD1300">
        <v>403</v>
      </c>
      <c r="AE1300">
        <v>3424</v>
      </c>
      <c r="AF1300">
        <v>2940</v>
      </c>
      <c r="AJ1300">
        <v>4.57</v>
      </c>
      <c r="AK1300" t="str">
        <f t="shared" si="20"/>
        <v>MR605-5000</v>
      </c>
    </row>
    <row r="1301" spans="1:37">
      <c r="A1301" t="s">
        <v>2391</v>
      </c>
      <c r="B1301" t="s">
        <v>2392</v>
      </c>
      <c r="C1301" t="s">
        <v>110</v>
      </c>
      <c r="D1301" t="s">
        <v>2390</v>
      </c>
      <c r="E1301">
        <v>50</v>
      </c>
      <c r="F1301">
        <v>0</v>
      </c>
      <c r="G1301">
        <v>0</v>
      </c>
      <c r="H1301">
        <v>0</v>
      </c>
      <c r="I1301">
        <v>22</v>
      </c>
      <c r="J1301">
        <v>17</v>
      </c>
      <c r="K1301">
        <v>109</v>
      </c>
      <c r="L1301">
        <v>19</v>
      </c>
      <c r="M1301">
        <v>0</v>
      </c>
      <c r="N1301">
        <v>0</v>
      </c>
      <c r="O1301">
        <v>0</v>
      </c>
      <c r="P1301">
        <v>0</v>
      </c>
      <c r="Q1301">
        <v>109</v>
      </c>
      <c r="R1301">
        <v>0</v>
      </c>
      <c r="S1301">
        <v>0</v>
      </c>
      <c r="T1301">
        <v>0</v>
      </c>
      <c r="U1301">
        <v>0</v>
      </c>
      <c r="V1301">
        <v>132</v>
      </c>
      <c r="W1301">
        <v>0</v>
      </c>
      <c r="X1301">
        <v>0</v>
      </c>
      <c r="Y1301">
        <v>0</v>
      </c>
      <c r="Z1301">
        <v>0</v>
      </c>
      <c r="AA1301">
        <v>76</v>
      </c>
      <c r="AB1301">
        <v>0</v>
      </c>
      <c r="AC1301">
        <v>0</v>
      </c>
      <c r="AD1301">
        <v>0</v>
      </c>
      <c r="AE1301">
        <v>208</v>
      </c>
      <c r="AF1301">
        <v>525</v>
      </c>
      <c r="AJ1301">
        <v>4.47</v>
      </c>
      <c r="AK1301" t="str">
        <f t="shared" si="20"/>
        <v>MR605-6200</v>
      </c>
    </row>
    <row r="1302" spans="1:37">
      <c r="A1302" t="s">
        <v>2393</v>
      </c>
      <c r="B1302" t="s">
        <v>2394</v>
      </c>
      <c r="C1302" t="s">
        <v>110</v>
      </c>
      <c r="D1302" t="s">
        <v>2395</v>
      </c>
      <c r="E1302">
        <v>50</v>
      </c>
      <c r="F1302">
        <v>18.899999999999999</v>
      </c>
      <c r="G1302">
        <v>17</v>
      </c>
      <c r="H1302">
        <v>20</v>
      </c>
      <c r="I1302">
        <v>18</v>
      </c>
      <c r="J1302">
        <v>65</v>
      </c>
      <c r="K1302">
        <v>1500</v>
      </c>
      <c r="L1302">
        <v>20</v>
      </c>
      <c r="M1302">
        <v>0</v>
      </c>
      <c r="N1302">
        <v>14</v>
      </c>
      <c r="O1302">
        <v>0</v>
      </c>
      <c r="P1302">
        <v>0</v>
      </c>
      <c r="Q1302">
        <v>1486</v>
      </c>
      <c r="R1302">
        <v>19</v>
      </c>
      <c r="S1302">
        <v>55</v>
      </c>
      <c r="T1302">
        <v>4</v>
      </c>
      <c r="U1302">
        <v>0</v>
      </c>
      <c r="V1302">
        <v>46</v>
      </c>
      <c r="W1302">
        <v>0</v>
      </c>
      <c r="X1302">
        <v>0</v>
      </c>
      <c r="Y1302">
        <v>0</v>
      </c>
      <c r="Z1302">
        <v>3</v>
      </c>
      <c r="AA1302">
        <v>0</v>
      </c>
      <c r="AB1302">
        <v>12</v>
      </c>
      <c r="AC1302">
        <v>9</v>
      </c>
      <c r="AD1302">
        <v>656</v>
      </c>
      <c r="AE1302">
        <v>785</v>
      </c>
      <c r="AF1302">
        <v>320</v>
      </c>
      <c r="AJ1302">
        <v>4.6100000000000003</v>
      </c>
      <c r="AK1302" t="str">
        <f t="shared" si="20"/>
        <v>MR607-5000</v>
      </c>
    </row>
    <row r="1303" spans="1:37">
      <c r="A1303" t="s">
        <v>2396</v>
      </c>
      <c r="B1303" t="s">
        <v>2394</v>
      </c>
      <c r="C1303" t="s">
        <v>110</v>
      </c>
      <c r="D1303" t="s">
        <v>2395</v>
      </c>
      <c r="E1303">
        <v>50</v>
      </c>
      <c r="F1303">
        <v>0</v>
      </c>
      <c r="G1303">
        <v>48</v>
      </c>
      <c r="H1303">
        <v>0</v>
      </c>
      <c r="I1303">
        <v>3</v>
      </c>
      <c r="J1303">
        <v>18</v>
      </c>
      <c r="K1303">
        <v>1220</v>
      </c>
      <c r="L1303">
        <v>13</v>
      </c>
      <c r="M1303">
        <v>0</v>
      </c>
      <c r="N1303">
        <v>40</v>
      </c>
      <c r="O1303">
        <v>0</v>
      </c>
      <c r="P1303">
        <v>0</v>
      </c>
      <c r="Q1303">
        <v>1180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17</v>
      </c>
      <c r="Y1303">
        <v>7</v>
      </c>
      <c r="Z1303">
        <v>17</v>
      </c>
      <c r="AA1303">
        <v>0</v>
      </c>
      <c r="AB1303">
        <v>90</v>
      </c>
      <c r="AC1303">
        <v>70</v>
      </c>
      <c r="AD1303">
        <v>16</v>
      </c>
      <c r="AE1303">
        <v>217</v>
      </c>
      <c r="AF1303">
        <v>191</v>
      </c>
      <c r="AJ1303">
        <v>4.6100000000000003</v>
      </c>
      <c r="AK1303" t="str">
        <f t="shared" si="20"/>
        <v>MR607-6200</v>
      </c>
    </row>
    <row r="1304" spans="1:37">
      <c r="A1304" t="s">
        <v>2397</v>
      </c>
      <c r="B1304" t="s">
        <v>2398</v>
      </c>
      <c r="C1304" t="s">
        <v>110</v>
      </c>
      <c r="D1304" t="s">
        <v>2399</v>
      </c>
      <c r="E1304">
        <v>50</v>
      </c>
      <c r="F1304">
        <v>4.4000000000000004</v>
      </c>
      <c r="G1304">
        <v>0</v>
      </c>
      <c r="H1304">
        <v>163</v>
      </c>
      <c r="I1304">
        <v>86</v>
      </c>
      <c r="J1304">
        <v>47</v>
      </c>
      <c r="K1304">
        <v>2880</v>
      </c>
      <c r="L1304">
        <v>7</v>
      </c>
      <c r="M1304">
        <v>0</v>
      </c>
      <c r="N1304">
        <v>0</v>
      </c>
      <c r="O1304">
        <v>0</v>
      </c>
      <c r="P1304">
        <v>0</v>
      </c>
      <c r="Q1304">
        <v>2880</v>
      </c>
      <c r="R1304">
        <v>0</v>
      </c>
      <c r="S1304">
        <v>490</v>
      </c>
      <c r="T1304">
        <v>0</v>
      </c>
      <c r="U1304">
        <v>0</v>
      </c>
      <c r="V1304">
        <v>0</v>
      </c>
      <c r="W1304">
        <v>0</v>
      </c>
      <c r="X1304">
        <v>25</v>
      </c>
      <c r="Y1304">
        <v>11</v>
      </c>
      <c r="Z1304">
        <v>0</v>
      </c>
      <c r="AA1304">
        <v>0</v>
      </c>
      <c r="AB1304">
        <v>6</v>
      </c>
      <c r="AC1304">
        <v>11</v>
      </c>
      <c r="AD1304">
        <v>19</v>
      </c>
      <c r="AE1304">
        <v>562</v>
      </c>
      <c r="AF1304">
        <v>389</v>
      </c>
      <c r="AJ1304">
        <v>4.25</v>
      </c>
      <c r="AK1304" t="str">
        <f t="shared" si="20"/>
        <v>MR608-5000</v>
      </c>
    </row>
    <row r="1305" spans="1:37">
      <c r="A1305" t="s">
        <v>2400</v>
      </c>
      <c r="B1305" t="s">
        <v>2401</v>
      </c>
      <c r="C1305" t="s">
        <v>110</v>
      </c>
      <c r="D1305" t="s">
        <v>2399</v>
      </c>
      <c r="E1305">
        <v>50</v>
      </c>
      <c r="F1305">
        <v>3.7</v>
      </c>
      <c r="G1305">
        <v>0</v>
      </c>
      <c r="H1305">
        <v>28</v>
      </c>
      <c r="I1305">
        <v>14</v>
      </c>
      <c r="J1305">
        <v>7</v>
      </c>
      <c r="K1305">
        <v>421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421</v>
      </c>
      <c r="R1305">
        <v>0</v>
      </c>
      <c r="S1305">
        <v>0</v>
      </c>
      <c r="T1305">
        <v>32</v>
      </c>
      <c r="U1305">
        <v>53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85</v>
      </c>
      <c r="AF1305">
        <v>154</v>
      </c>
      <c r="AJ1305">
        <v>4.25</v>
      </c>
      <c r="AK1305" t="str">
        <f t="shared" si="20"/>
        <v>MR608-6200</v>
      </c>
    </row>
    <row r="1306" spans="1:37">
      <c r="A1306" t="s">
        <v>2402</v>
      </c>
      <c r="B1306" t="s">
        <v>2403</v>
      </c>
      <c r="C1306" t="s">
        <v>110</v>
      </c>
      <c r="D1306" t="s">
        <v>2404</v>
      </c>
      <c r="E1306">
        <v>50</v>
      </c>
      <c r="F1306">
        <v>1</v>
      </c>
      <c r="G1306">
        <v>3</v>
      </c>
      <c r="H1306">
        <v>22</v>
      </c>
      <c r="I1306">
        <v>19</v>
      </c>
      <c r="J1306">
        <v>16</v>
      </c>
      <c r="K1306">
        <v>85</v>
      </c>
      <c r="L1306">
        <v>0</v>
      </c>
      <c r="M1306">
        <v>0</v>
      </c>
      <c r="N1306">
        <v>2</v>
      </c>
      <c r="O1306">
        <v>0</v>
      </c>
      <c r="P1306">
        <v>0</v>
      </c>
      <c r="Q1306">
        <v>83</v>
      </c>
      <c r="R1306">
        <v>0</v>
      </c>
      <c r="S1306">
        <v>61</v>
      </c>
      <c r="T1306">
        <v>1</v>
      </c>
      <c r="U1306">
        <v>3</v>
      </c>
      <c r="V1306">
        <v>19</v>
      </c>
      <c r="W1306">
        <v>0</v>
      </c>
      <c r="X1306">
        <v>30</v>
      </c>
      <c r="Y1306">
        <v>18</v>
      </c>
      <c r="Z1306">
        <v>0</v>
      </c>
      <c r="AA1306">
        <v>0</v>
      </c>
      <c r="AB1306">
        <v>38</v>
      </c>
      <c r="AC1306">
        <v>18</v>
      </c>
      <c r="AD1306">
        <v>0</v>
      </c>
      <c r="AE1306">
        <v>188</v>
      </c>
      <c r="AF1306">
        <v>489</v>
      </c>
      <c r="AJ1306">
        <v>4.25</v>
      </c>
      <c r="AK1306" t="str">
        <f t="shared" si="20"/>
        <v>MR701-5000</v>
      </c>
    </row>
    <row r="1307" spans="1:37">
      <c r="A1307" t="s">
        <v>2405</v>
      </c>
      <c r="B1307" t="s">
        <v>2403</v>
      </c>
      <c r="C1307" t="s">
        <v>110</v>
      </c>
      <c r="D1307" t="s">
        <v>2404</v>
      </c>
      <c r="E1307">
        <v>50</v>
      </c>
      <c r="F1307">
        <v>1.5</v>
      </c>
      <c r="G1307">
        <v>0</v>
      </c>
      <c r="H1307">
        <v>118</v>
      </c>
      <c r="I1307">
        <v>142</v>
      </c>
      <c r="J1307">
        <v>84</v>
      </c>
      <c r="K1307">
        <v>730</v>
      </c>
      <c r="L1307">
        <v>10</v>
      </c>
      <c r="M1307">
        <v>0</v>
      </c>
      <c r="N1307">
        <v>0</v>
      </c>
      <c r="O1307">
        <v>0</v>
      </c>
      <c r="P1307">
        <v>0</v>
      </c>
      <c r="Q1307">
        <v>730</v>
      </c>
      <c r="R1307">
        <v>0</v>
      </c>
      <c r="S1307">
        <v>28</v>
      </c>
      <c r="T1307">
        <v>326</v>
      </c>
      <c r="U1307">
        <v>0</v>
      </c>
      <c r="V1307">
        <v>8</v>
      </c>
      <c r="W1307">
        <v>50</v>
      </c>
      <c r="X1307">
        <v>438</v>
      </c>
      <c r="Y1307">
        <v>58</v>
      </c>
      <c r="Z1307">
        <v>84</v>
      </c>
      <c r="AA1307">
        <v>14</v>
      </c>
      <c r="AB1307">
        <v>0</v>
      </c>
      <c r="AC1307">
        <v>0</v>
      </c>
      <c r="AD1307">
        <v>0</v>
      </c>
      <c r="AE1307">
        <v>1006</v>
      </c>
      <c r="AF1307">
        <v>1280</v>
      </c>
      <c r="AJ1307">
        <v>4.25</v>
      </c>
      <c r="AK1307" t="str">
        <f t="shared" si="20"/>
        <v>MR701-6200</v>
      </c>
    </row>
    <row r="1308" spans="1:37">
      <c r="A1308" t="s">
        <v>2406</v>
      </c>
      <c r="B1308" t="s">
        <v>2407</v>
      </c>
      <c r="C1308" t="s">
        <v>110</v>
      </c>
      <c r="D1308" t="s">
        <v>2408</v>
      </c>
      <c r="E1308">
        <v>50</v>
      </c>
      <c r="F1308">
        <v>6.6</v>
      </c>
      <c r="G1308">
        <v>25</v>
      </c>
      <c r="H1308">
        <v>38</v>
      </c>
      <c r="I1308">
        <v>32</v>
      </c>
      <c r="J1308">
        <v>115</v>
      </c>
      <c r="K1308">
        <v>1009</v>
      </c>
      <c r="L1308">
        <v>74</v>
      </c>
      <c r="M1308">
        <v>0</v>
      </c>
      <c r="N1308">
        <v>21</v>
      </c>
      <c r="O1308">
        <v>0</v>
      </c>
      <c r="P1308">
        <v>0</v>
      </c>
      <c r="Q1308">
        <v>988</v>
      </c>
      <c r="R1308">
        <v>0</v>
      </c>
      <c r="S1308">
        <v>94</v>
      </c>
      <c r="T1308">
        <v>10</v>
      </c>
      <c r="U1308">
        <v>9</v>
      </c>
      <c r="V1308">
        <v>80</v>
      </c>
      <c r="W1308">
        <v>0</v>
      </c>
      <c r="X1308">
        <v>0</v>
      </c>
      <c r="Y1308">
        <v>119</v>
      </c>
      <c r="Z1308">
        <v>242</v>
      </c>
      <c r="AA1308">
        <v>31</v>
      </c>
      <c r="AB1308">
        <v>393</v>
      </c>
      <c r="AC1308">
        <v>401</v>
      </c>
      <c r="AD1308">
        <v>0</v>
      </c>
      <c r="AE1308">
        <v>1379</v>
      </c>
      <c r="AF1308">
        <v>1314</v>
      </c>
      <c r="AJ1308">
        <v>4.47</v>
      </c>
      <c r="AK1308" t="str">
        <f t="shared" si="20"/>
        <v>MR702-5000</v>
      </c>
    </row>
    <row r="1309" spans="1:37">
      <c r="A1309" t="s">
        <v>2409</v>
      </c>
      <c r="B1309" t="s">
        <v>2407</v>
      </c>
      <c r="C1309" t="s">
        <v>110</v>
      </c>
      <c r="D1309" t="s">
        <v>2408</v>
      </c>
      <c r="E1309">
        <v>50</v>
      </c>
      <c r="F1309">
        <v>4</v>
      </c>
      <c r="G1309">
        <v>0</v>
      </c>
      <c r="H1309">
        <v>79</v>
      </c>
      <c r="I1309">
        <v>56</v>
      </c>
      <c r="J1309">
        <v>202</v>
      </c>
      <c r="K1309">
        <v>1269</v>
      </c>
      <c r="L1309">
        <v>126</v>
      </c>
      <c r="M1309">
        <v>0</v>
      </c>
      <c r="N1309">
        <v>0</v>
      </c>
      <c r="O1309">
        <v>0</v>
      </c>
      <c r="P1309">
        <v>0</v>
      </c>
      <c r="Q1309">
        <v>1269</v>
      </c>
      <c r="R1309">
        <v>0</v>
      </c>
      <c r="S1309">
        <v>115</v>
      </c>
      <c r="T1309">
        <v>123</v>
      </c>
      <c r="U1309">
        <v>0</v>
      </c>
      <c r="V1309">
        <v>69</v>
      </c>
      <c r="W1309">
        <v>28</v>
      </c>
      <c r="X1309">
        <v>0</v>
      </c>
      <c r="Y1309">
        <v>0</v>
      </c>
      <c r="Z1309">
        <v>884</v>
      </c>
      <c r="AA1309">
        <v>378</v>
      </c>
      <c r="AB1309">
        <v>250</v>
      </c>
      <c r="AC1309">
        <v>576</v>
      </c>
      <c r="AD1309">
        <v>0</v>
      </c>
      <c r="AE1309">
        <v>2423</v>
      </c>
      <c r="AF1309">
        <v>2682</v>
      </c>
      <c r="AJ1309">
        <v>4.47</v>
      </c>
      <c r="AK1309" t="str">
        <f t="shared" si="20"/>
        <v>MR702-6200</v>
      </c>
    </row>
    <row r="1310" spans="1:37">
      <c r="A1310" t="s">
        <v>2410</v>
      </c>
      <c r="B1310" t="s">
        <v>2411</v>
      </c>
      <c r="C1310" t="s">
        <v>338</v>
      </c>
      <c r="D1310" t="s">
        <v>2043</v>
      </c>
      <c r="E1310">
        <v>43</v>
      </c>
      <c r="F1310">
        <v>73.3</v>
      </c>
      <c r="G1310">
        <v>0</v>
      </c>
      <c r="H1310">
        <v>2</v>
      </c>
      <c r="I1310">
        <v>4</v>
      </c>
      <c r="J1310">
        <v>4</v>
      </c>
      <c r="K1310">
        <v>586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586</v>
      </c>
      <c r="R1310">
        <v>0</v>
      </c>
      <c r="S1310">
        <v>0</v>
      </c>
      <c r="T1310">
        <v>3</v>
      </c>
      <c r="U1310">
        <v>3</v>
      </c>
      <c r="V1310">
        <v>0</v>
      </c>
      <c r="W1310">
        <v>16</v>
      </c>
      <c r="X1310">
        <v>0</v>
      </c>
      <c r="Y1310">
        <v>5</v>
      </c>
      <c r="Z1310">
        <v>0</v>
      </c>
      <c r="AA1310">
        <v>6</v>
      </c>
      <c r="AB1310">
        <v>12</v>
      </c>
      <c r="AC1310">
        <v>5</v>
      </c>
      <c r="AD1310">
        <v>0</v>
      </c>
      <c r="AE1310">
        <v>50</v>
      </c>
      <c r="AF1310">
        <v>51</v>
      </c>
      <c r="AJ1310">
        <v>3.73</v>
      </c>
      <c r="AK1310" t="str">
        <f t="shared" si="20"/>
        <v>MT405-5000</v>
      </c>
    </row>
    <row r="1311" spans="1:37">
      <c r="A1311" t="s">
        <v>2412</v>
      </c>
      <c r="B1311" t="s">
        <v>2411</v>
      </c>
      <c r="C1311" t="s">
        <v>338</v>
      </c>
      <c r="D1311" t="s">
        <v>2043</v>
      </c>
      <c r="E1311">
        <v>43</v>
      </c>
      <c r="F1311">
        <v>0</v>
      </c>
      <c r="G1311">
        <v>0</v>
      </c>
      <c r="H1311">
        <v>0</v>
      </c>
      <c r="I1311">
        <v>30</v>
      </c>
      <c r="J1311">
        <v>27</v>
      </c>
      <c r="K1311">
        <v>1858</v>
      </c>
      <c r="L1311">
        <v>19</v>
      </c>
      <c r="M1311">
        <v>0</v>
      </c>
      <c r="N1311">
        <v>0</v>
      </c>
      <c r="O1311">
        <v>0</v>
      </c>
      <c r="P1311">
        <v>0</v>
      </c>
      <c r="Q1311">
        <v>1858</v>
      </c>
      <c r="R1311">
        <v>0</v>
      </c>
      <c r="S1311">
        <v>0</v>
      </c>
      <c r="T1311">
        <v>0</v>
      </c>
      <c r="U1311">
        <v>0</v>
      </c>
      <c r="V1311">
        <v>0</v>
      </c>
      <c r="W1311">
        <v>0</v>
      </c>
      <c r="X1311">
        <v>181</v>
      </c>
      <c r="Y1311">
        <v>106</v>
      </c>
      <c r="Z1311">
        <v>0</v>
      </c>
      <c r="AA1311">
        <v>36</v>
      </c>
      <c r="AB1311">
        <v>0</v>
      </c>
      <c r="AC1311">
        <v>0</v>
      </c>
      <c r="AD1311">
        <v>0</v>
      </c>
      <c r="AE1311">
        <v>323</v>
      </c>
      <c r="AF1311">
        <v>264</v>
      </c>
      <c r="AJ1311">
        <v>3.73</v>
      </c>
      <c r="AK1311" t="str">
        <f t="shared" si="20"/>
        <v>MT405-6200</v>
      </c>
    </row>
    <row r="1312" spans="1:37">
      <c r="A1312" t="s">
        <v>2413</v>
      </c>
      <c r="B1312" t="s">
        <v>2414</v>
      </c>
      <c r="C1312" t="s">
        <v>110</v>
      </c>
      <c r="E1312">
        <v>92</v>
      </c>
      <c r="F1312">
        <v>0</v>
      </c>
      <c r="G1312">
        <v>40</v>
      </c>
      <c r="H1312">
        <v>0</v>
      </c>
      <c r="I1312">
        <v>0</v>
      </c>
      <c r="J1312">
        <v>48</v>
      </c>
      <c r="K1312">
        <v>1943</v>
      </c>
      <c r="L1312">
        <v>957</v>
      </c>
      <c r="M1312">
        <v>0</v>
      </c>
      <c r="N1312">
        <v>33</v>
      </c>
      <c r="O1312">
        <v>0</v>
      </c>
      <c r="P1312">
        <v>0</v>
      </c>
      <c r="Q1312">
        <v>1910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579</v>
      </c>
      <c r="AD1312">
        <v>0</v>
      </c>
      <c r="AE1312">
        <v>579</v>
      </c>
      <c r="AF1312">
        <v>824</v>
      </c>
      <c r="AJ1312">
        <v>7.42</v>
      </c>
      <c r="AK1312" t="str">
        <f t="shared" si="20"/>
        <v>MT702-5000</v>
      </c>
    </row>
    <row r="1313" spans="1:37">
      <c r="A1313" t="s">
        <v>2415</v>
      </c>
      <c r="B1313" t="s">
        <v>2416</v>
      </c>
      <c r="C1313" t="s">
        <v>110</v>
      </c>
      <c r="E1313">
        <v>50</v>
      </c>
      <c r="F1313">
        <v>2</v>
      </c>
      <c r="G1313">
        <v>57</v>
      </c>
      <c r="H1313">
        <v>46</v>
      </c>
      <c r="I1313">
        <v>37</v>
      </c>
      <c r="J1313">
        <v>60</v>
      </c>
      <c r="K1313">
        <v>425</v>
      </c>
      <c r="L1313">
        <v>98</v>
      </c>
      <c r="M1313">
        <v>0</v>
      </c>
      <c r="N1313">
        <v>48</v>
      </c>
      <c r="O1313">
        <v>0</v>
      </c>
      <c r="P1313">
        <v>0</v>
      </c>
      <c r="Q1313">
        <v>377</v>
      </c>
      <c r="R1313">
        <v>67</v>
      </c>
      <c r="S1313">
        <v>0</v>
      </c>
      <c r="T1313">
        <v>64</v>
      </c>
      <c r="U1313">
        <v>75</v>
      </c>
      <c r="V1313">
        <v>13</v>
      </c>
      <c r="W1313">
        <v>68</v>
      </c>
      <c r="X1313">
        <v>0</v>
      </c>
      <c r="Y1313">
        <v>62</v>
      </c>
      <c r="Z1313">
        <v>58</v>
      </c>
      <c r="AA1313">
        <v>0</v>
      </c>
      <c r="AB1313">
        <v>124</v>
      </c>
      <c r="AC1313">
        <v>130</v>
      </c>
      <c r="AD1313">
        <v>124</v>
      </c>
      <c r="AE1313">
        <v>718</v>
      </c>
      <c r="AF1313">
        <v>778</v>
      </c>
      <c r="AJ1313">
        <v>4.25</v>
      </c>
      <c r="AK1313" t="str">
        <f t="shared" si="20"/>
        <v>MW580-5000</v>
      </c>
    </row>
    <row r="1314" spans="1:37">
      <c r="A1314" t="s">
        <v>2417</v>
      </c>
      <c r="B1314" t="s">
        <v>2416</v>
      </c>
      <c r="C1314" t="s">
        <v>110</v>
      </c>
      <c r="E1314">
        <v>50</v>
      </c>
      <c r="F1314">
        <v>1</v>
      </c>
      <c r="G1314">
        <v>133</v>
      </c>
      <c r="H1314">
        <v>244</v>
      </c>
      <c r="I1314">
        <v>188</v>
      </c>
      <c r="J1314">
        <v>203</v>
      </c>
      <c r="K1314">
        <v>1057</v>
      </c>
      <c r="L1314">
        <v>40</v>
      </c>
      <c r="M1314">
        <v>0</v>
      </c>
      <c r="N1314">
        <v>111</v>
      </c>
      <c r="O1314">
        <v>0</v>
      </c>
      <c r="P1314">
        <v>0</v>
      </c>
      <c r="Q1314">
        <v>946</v>
      </c>
      <c r="R1314">
        <v>0</v>
      </c>
      <c r="S1314">
        <v>108</v>
      </c>
      <c r="T1314">
        <v>316</v>
      </c>
      <c r="U1314">
        <v>309</v>
      </c>
      <c r="V1314">
        <v>127</v>
      </c>
      <c r="W1314">
        <v>258</v>
      </c>
      <c r="X1314">
        <v>9</v>
      </c>
      <c r="Y1314">
        <v>78</v>
      </c>
      <c r="Z1314">
        <v>239</v>
      </c>
      <c r="AA1314">
        <v>558</v>
      </c>
      <c r="AB1314">
        <v>414</v>
      </c>
      <c r="AC1314">
        <v>21</v>
      </c>
      <c r="AD1314">
        <v>0</v>
      </c>
      <c r="AE1314">
        <v>2437</v>
      </c>
      <c r="AF1314">
        <v>2712</v>
      </c>
      <c r="AJ1314">
        <v>4.1500000000000004</v>
      </c>
      <c r="AK1314" t="str">
        <f t="shared" si="20"/>
        <v>MW580-6200</v>
      </c>
    </row>
    <row r="1315" spans="1:37">
      <c r="A1315" t="s">
        <v>2418</v>
      </c>
      <c r="B1315" t="s">
        <v>2419</v>
      </c>
      <c r="C1315" t="s">
        <v>110</v>
      </c>
      <c r="D1315" t="s">
        <v>2043</v>
      </c>
      <c r="E1315">
        <v>50</v>
      </c>
      <c r="F1315">
        <v>8.6999999999999993</v>
      </c>
      <c r="G1315">
        <v>0</v>
      </c>
      <c r="H1315">
        <v>17</v>
      </c>
      <c r="I1315">
        <v>25</v>
      </c>
      <c r="J1315">
        <v>25</v>
      </c>
      <c r="K1315">
        <v>590</v>
      </c>
      <c r="L1315">
        <v>28</v>
      </c>
      <c r="M1315">
        <v>0</v>
      </c>
      <c r="N1315">
        <v>0</v>
      </c>
      <c r="O1315">
        <v>0</v>
      </c>
      <c r="P1315">
        <v>0</v>
      </c>
      <c r="Q1315">
        <v>590</v>
      </c>
      <c r="R1315">
        <v>0</v>
      </c>
      <c r="S1315">
        <v>0</v>
      </c>
      <c r="T1315">
        <v>51</v>
      </c>
      <c r="U1315">
        <v>0</v>
      </c>
      <c r="V1315">
        <v>62</v>
      </c>
      <c r="W1315">
        <v>39</v>
      </c>
      <c r="X1315">
        <v>0</v>
      </c>
      <c r="Y1315">
        <v>59</v>
      </c>
      <c r="Z1315">
        <v>8</v>
      </c>
      <c r="AA1315">
        <v>0</v>
      </c>
      <c r="AB1315">
        <v>50</v>
      </c>
      <c r="AC1315">
        <v>5</v>
      </c>
      <c r="AD1315">
        <v>23</v>
      </c>
      <c r="AE1315">
        <v>297</v>
      </c>
      <c r="AF1315">
        <v>192</v>
      </c>
      <c r="AJ1315">
        <v>3.05</v>
      </c>
      <c r="AK1315" t="str">
        <f t="shared" si="20"/>
        <v>MW590-5000</v>
      </c>
    </row>
    <row r="1316" spans="1:37">
      <c r="A1316" t="s">
        <v>2420</v>
      </c>
      <c r="B1316" t="s">
        <v>2419</v>
      </c>
      <c r="C1316" t="s">
        <v>110</v>
      </c>
      <c r="D1316" t="s">
        <v>2043</v>
      </c>
      <c r="E1316">
        <v>50</v>
      </c>
      <c r="F1316">
        <v>1.8</v>
      </c>
      <c r="G1316">
        <v>36</v>
      </c>
      <c r="H1316">
        <v>152</v>
      </c>
      <c r="I1316">
        <v>104</v>
      </c>
      <c r="J1316">
        <v>108</v>
      </c>
      <c r="K1316">
        <v>1124</v>
      </c>
      <c r="L1316">
        <v>146</v>
      </c>
      <c r="M1316">
        <v>0</v>
      </c>
      <c r="N1316">
        <v>30</v>
      </c>
      <c r="O1316">
        <v>0</v>
      </c>
      <c r="P1316">
        <v>0</v>
      </c>
      <c r="Q1316">
        <v>1094</v>
      </c>
      <c r="R1316">
        <v>0</v>
      </c>
      <c r="S1316">
        <v>258</v>
      </c>
      <c r="T1316">
        <v>101</v>
      </c>
      <c r="U1316">
        <v>96</v>
      </c>
      <c r="V1316">
        <v>0</v>
      </c>
      <c r="W1316">
        <v>166</v>
      </c>
      <c r="X1316">
        <v>0</v>
      </c>
      <c r="Y1316">
        <v>100</v>
      </c>
      <c r="Z1316">
        <v>0</v>
      </c>
      <c r="AA1316">
        <v>148</v>
      </c>
      <c r="AB1316">
        <v>153</v>
      </c>
      <c r="AC1316">
        <v>254</v>
      </c>
      <c r="AD1316">
        <v>21</v>
      </c>
      <c r="AE1316">
        <v>1297</v>
      </c>
      <c r="AF1316">
        <v>1048</v>
      </c>
      <c r="AJ1316">
        <v>4.25</v>
      </c>
      <c r="AK1316" t="str">
        <f t="shared" si="20"/>
        <v>MW590-6200</v>
      </c>
    </row>
    <row r="1317" spans="1:37">
      <c r="A1317" t="s">
        <v>2421</v>
      </c>
      <c r="B1317" t="s">
        <v>2422</v>
      </c>
      <c r="C1317" t="s">
        <v>1027</v>
      </c>
      <c r="D1317" t="s">
        <v>2043</v>
      </c>
      <c r="E1317">
        <v>43</v>
      </c>
      <c r="F1317">
        <v>0</v>
      </c>
      <c r="G1317">
        <v>0</v>
      </c>
      <c r="H1317">
        <v>0</v>
      </c>
      <c r="I1317">
        <v>2</v>
      </c>
      <c r="J1317">
        <v>2</v>
      </c>
      <c r="K1317">
        <v>5210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5210</v>
      </c>
      <c r="R1317">
        <v>0</v>
      </c>
      <c r="S1317">
        <v>0</v>
      </c>
      <c r="T1317">
        <v>0</v>
      </c>
      <c r="U1317">
        <v>0</v>
      </c>
      <c r="V1317">
        <v>0</v>
      </c>
      <c r="W1317">
        <v>12</v>
      </c>
      <c r="X1317">
        <v>0</v>
      </c>
      <c r="Y1317">
        <v>5</v>
      </c>
      <c r="Z1317">
        <v>0</v>
      </c>
      <c r="AA1317">
        <v>4</v>
      </c>
      <c r="AB1317">
        <v>0</v>
      </c>
      <c r="AC1317">
        <v>0</v>
      </c>
      <c r="AD1317">
        <v>0</v>
      </c>
      <c r="AE1317">
        <v>21</v>
      </c>
      <c r="AF1317">
        <v>2780</v>
      </c>
      <c r="AJ1317">
        <v>4.6900000000000004</v>
      </c>
      <c r="AK1317" t="str">
        <f t="shared" si="20"/>
        <v>MW600-5000</v>
      </c>
    </row>
    <row r="1318" spans="1:37">
      <c r="A1318" t="s">
        <v>2423</v>
      </c>
      <c r="B1318" t="s">
        <v>2422</v>
      </c>
      <c r="C1318" t="s">
        <v>1027</v>
      </c>
      <c r="D1318" t="s">
        <v>2043</v>
      </c>
      <c r="E1318">
        <v>43</v>
      </c>
      <c r="F1318">
        <v>0</v>
      </c>
      <c r="G1318">
        <v>0</v>
      </c>
      <c r="H1318">
        <v>0</v>
      </c>
      <c r="I1318">
        <v>10</v>
      </c>
      <c r="J1318">
        <v>16</v>
      </c>
      <c r="K1318">
        <v>2657</v>
      </c>
      <c r="L1318">
        <v>31</v>
      </c>
      <c r="M1318">
        <v>0</v>
      </c>
      <c r="N1318">
        <v>0</v>
      </c>
      <c r="O1318">
        <v>0</v>
      </c>
      <c r="P1318">
        <v>0</v>
      </c>
      <c r="Q1318">
        <v>2657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58</v>
      </c>
      <c r="Y1318">
        <v>90</v>
      </c>
      <c r="Z1318">
        <v>0</v>
      </c>
      <c r="AA1318">
        <v>39</v>
      </c>
      <c r="AB1318">
        <v>0</v>
      </c>
      <c r="AC1318">
        <v>0</v>
      </c>
      <c r="AD1318">
        <v>0</v>
      </c>
      <c r="AE1318">
        <v>187</v>
      </c>
      <c r="AF1318">
        <v>285</v>
      </c>
      <c r="AJ1318">
        <v>5.27</v>
      </c>
      <c r="AK1318" t="str">
        <f t="shared" si="20"/>
        <v>MW600-6200</v>
      </c>
    </row>
    <row r="1319" spans="1:37">
      <c r="A1319" t="s">
        <v>2424</v>
      </c>
      <c r="B1319" t="s">
        <v>2425</v>
      </c>
      <c r="C1319" t="s">
        <v>110</v>
      </c>
      <c r="D1319" t="s">
        <v>2426</v>
      </c>
      <c r="E1319">
        <v>50</v>
      </c>
      <c r="F1319">
        <v>-0.1</v>
      </c>
      <c r="G1319">
        <v>12</v>
      </c>
      <c r="H1319">
        <v>22</v>
      </c>
      <c r="I1319">
        <v>17</v>
      </c>
      <c r="J1319">
        <v>28</v>
      </c>
      <c r="K1319">
        <v>0</v>
      </c>
      <c r="L1319">
        <v>17</v>
      </c>
      <c r="M1319">
        <v>0</v>
      </c>
      <c r="N1319">
        <v>10</v>
      </c>
      <c r="O1319">
        <v>0</v>
      </c>
      <c r="P1319">
        <v>0</v>
      </c>
      <c r="Q1319">
        <v>-10</v>
      </c>
      <c r="R1319">
        <v>0</v>
      </c>
      <c r="S1319">
        <v>66</v>
      </c>
      <c r="T1319">
        <v>0</v>
      </c>
      <c r="U1319">
        <v>0</v>
      </c>
      <c r="V1319">
        <v>28</v>
      </c>
      <c r="W1319">
        <v>0</v>
      </c>
      <c r="X1319">
        <v>6</v>
      </c>
      <c r="Y1319">
        <v>54</v>
      </c>
      <c r="Z1319">
        <v>42</v>
      </c>
      <c r="AA1319">
        <v>0</v>
      </c>
      <c r="AB1319">
        <v>59</v>
      </c>
      <c r="AC1319">
        <v>40</v>
      </c>
      <c r="AD1319">
        <v>44</v>
      </c>
      <c r="AE1319">
        <v>339</v>
      </c>
      <c r="AF1319">
        <v>222</v>
      </c>
      <c r="AJ1319">
        <v>4.25</v>
      </c>
      <c r="AK1319" t="str">
        <f t="shared" si="20"/>
        <v>MXT02-5000</v>
      </c>
    </row>
    <row r="1320" spans="1:37">
      <c r="A1320" t="s">
        <v>2427</v>
      </c>
      <c r="B1320" t="s">
        <v>2428</v>
      </c>
      <c r="C1320" t="s">
        <v>110</v>
      </c>
      <c r="D1320" t="s">
        <v>2426</v>
      </c>
      <c r="E1320">
        <v>50</v>
      </c>
      <c r="F1320">
        <v>0</v>
      </c>
      <c r="G1320">
        <v>0</v>
      </c>
      <c r="H1320">
        <v>0</v>
      </c>
      <c r="I1320">
        <v>5</v>
      </c>
      <c r="J1320">
        <v>20</v>
      </c>
      <c r="K1320">
        <v>605</v>
      </c>
      <c r="L1320">
        <v>14</v>
      </c>
      <c r="M1320">
        <v>0</v>
      </c>
      <c r="N1320">
        <v>0</v>
      </c>
      <c r="O1320">
        <v>0</v>
      </c>
      <c r="P1320">
        <v>0</v>
      </c>
      <c r="Q1320">
        <v>605</v>
      </c>
      <c r="R1320">
        <v>0</v>
      </c>
      <c r="S1320">
        <v>0</v>
      </c>
      <c r="T1320">
        <v>0</v>
      </c>
      <c r="U1320">
        <v>0</v>
      </c>
      <c r="V1320">
        <v>20</v>
      </c>
      <c r="W1320">
        <v>9</v>
      </c>
      <c r="X1320">
        <v>0</v>
      </c>
      <c r="Y1320">
        <v>0</v>
      </c>
      <c r="Z1320">
        <v>38</v>
      </c>
      <c r="AA1320">
        <v>0</v>
      </c>
      <c r="AB1320">
        <v>0</v>
      </c>
      <c r="AC1320">
        <v>128</v>
      </c>
      <c r="AD1320">
        <v>43</v>
      </c>
      <c r="AE1320">
        <v>238</v>
      </c>
      <c r="AF1320">
        <v>775</v>
      </c>
      <c r="AJ1320">
        <v>4.25</v>
      </c>
      <c r="AK1320" t="str">
        <f t="shared" si="20"/>
        <v>MXT02-6200</v>
      </c>
    </row>
    <row r="1321" spans="1:37">
      <c r="A1321" t="s">
        <v>2429</v>
      </c>
      <c r="B1321" t="s">
        <v>2430</v>
      </c>
      <c r="C1321" t="s">
        <v>110</v>
      </c>
      <c r="D1321" t="s">
        <v>2431</v>
      </c>
      <c r="E1321">
        <v>50</v>
      </c>
      <c r="F1321">
        <v>-0.2</v>
      </c>
      <c r="G1321">
        <v>147</v>
      </c>
      <c r="H1321">
        <v>135</v>
      </c>
      <c r="I1321">
        <v>240</v>
      </c>
      <c r="J1321">
        <v>255</v>
      </c>
      <c r="K1321">
        <v>0</v>
      </c>
      <c r="L1321">
        <v>308</v>
      </c>
      <c r="M1321">
        <v>0</v>
      </c>
      <c r="N1321">
        <v>123</v>
      </c>
      <c r="O1321">
        <v>0</v>
      </c>
      <c r="P1321">
        <v>0</v>
      </c>
      <c r="Q1321">
        <v>-123</v>
      </c>
      <c r="R1321">
        <v>0</v>
      </c>
      <c r="S1321">
        <v>263</v>
      </c>
      <c r="T1321">
        <v>28</v>
      </c>
      <c r="U1321">
        <v>113</v>
      </c>
      <c r="V1321">
        <v>271</v>
      </c>
      <c r="W1321">
        <v>612</v>
      </c>
      <c r="X1321">
        <v>155</v>
      </c>
      <c r="Y1321">
        <v>225</v>
      </c>
      <c r="Z1321">
        <v>351</v>
      </c>
      <c r="AA1321">
        <v>192</v>
      </c>
      <c r="AB1321">
        <v>382</v>
      </c>
      <c r="AC1321">
        <v>197</v>
      </c>
      <c r="AD1321">
        <v>270</v>
      </c>
      <c r="AE1321">
        <v>3059</v>
      </c>
      <c r="AF1321">
        <v>3090</v>
      </c>
      <c r="AJ1321">
        <v>4.7699999999999996</v>
      </c>
      <c r="AK1321" t="str">
        <f t="shared" si="20"/>
        <v>MXT03-5000</v>
      </c>
    </row>
    <row r="1322" spans="1:37">
      <c r="A1322" t="s">
        <v>2432</v>
      </c>
      <c r="B1322" t="s">
        <v>2433</v>
      </c>
      <c r="C1322" t="s">
        <v>110</v>
      </c>
      <c r="D1322" t="s">
        <v>2431</v>
      </c>
      <c r="E1322">
        <v>50</v>
      </c>
      <c r="F1322">
        <v>1.3</v>
      </c>
      <c r="G1322">
        <v>32</v>
      </c>
      <c r="H1322">
        <v>284</v>
      </c>
      <c r="I1322">
        <v>217</v>
      </c>
      <c r="J1322">
        <v>187</v>
      </c>
      <c r="K1322">
        <v>1507</v>
      </c>
      <c r="L1322">
        <v>360</v>
      </c>
      <c r="M1322">
        <v>0</v>
      </c>
      <c r="N1322">
        <v>27</v>
      </c>
      <c r="O1322">
        <v>0</v>
      </c>
      <c r="P1322">
        <v>0</v>
      </c>
      <c r="Q1322">
        <v>1480</v>
      </c>
      <c r="R1322">
        <v>0</v>
      </c>
      <c r="S1322">
        <v>315</v>
      </c>
      <c r="T1322">
        <v>323</v>
      </c>
      <c r="U1322">
        <v>215</v>
      </c>
      <c r="V1322">
        <v>300</v>
      </c>
      <c r="W1322">
        <v>146</v>
      </c>
      <c r="X1322">
        <v>0</v>
      </c>
      <c r="Y1322">
        <v>231</v>
      </c>
      <c r="Z1322">
        <v>0</v>
      </c>
      <c r="AA1322">
        <v>236</v>
      </c>
      <c r="AB1322">
        <v>260</v>
      </c>
      <c r="AC1322">
        <v>107</v>
      </c>
      <c r="AD1322">
        <v>112</v>
      </c>
      <c r="AE1322">
        <v>2245</v>
      </c>
      <c r="AF1322">
        <v>3439</v>
      </c>
      <c r="AJ1322">
        <v>5.13</v>
      </c>
      <c r="AK1322" t="str">
        <f t="shared" si="20"/>
        <v>MXT03-6200</v>
      </c>
    </row>
    <row r="1323" spans="1:37">
      <c r="A1323" t="s">
        <v>2434</v>
      </c>
      <c r="B1323" t="s">
        <v>2435</v>
      </c>
      <c r="C1323" t="s">
        <v>329</v>
      </c>
      <c r="E1323">
        <v>50</v>
      </c>
      <c r="F1323">
        <v>11.5</v>
      </c>
      <c r="G1323">
        <v>0</v>
      </c>
      <c r="H1323">
        <v>7</v>
      </c>
      <c r="I1323">
        <v>6</v>
      </c>
      <c r="J1323">
        <v>8</v>
      </c>
      <c r="K1323">
        <v>336</v>
      </c>
      <c r="L1323">
        <v>3</v>
      </c>
      <c r="M1323">
        <v>0</v>
      </c>
      <c r="N1323">
        <v>0</v>
      </c>
      <c r="O1323">
        <v>0</v>
      </c>
      <c r="P1323">
        <v>0</v>
      </c>
      <c r="Q1323">
        <v>336</v>
      </c>
      <c r="R1323">
        <v>0</v>
      </c>
      <c r="S1323">
        <v>17</v>
      </c>
      <c r="T1323">
        <v>0</v>
      </c>
      <c r="U1323">
        <v>5</v>
      </c>
      <c r="V1323">
        <v>3</v>
      </c>
      <c r="W1323">
        <v>10</v>
      </c>
      <c r="X1323">
        <v>0</v>
      </c>
      <c r="Y1323">
        <v>36</v>
      </c>
      <c r="Z1323">
        <v>0</v>
      </c>
      <c r="AA1323">
        <v>7</v>
      </c>
      <c r="AB1323">
        <v>3</v>
      </c>
      <c r="AC1323">
        <v>15</v>
      </c>
      <c r="AD1323">
        <v>3</v>
      </c>
      <c r="AE1323">
        <v>99</v>
      </c>
      <c r="AF1323">
        <v>111</v>
      </c>
      <c r="AJ1323">
        <v>4.92</v>
      </c>
      <c r="AK1323" t="str">
        <f t="shared" si="20"/>
        <v>PDG02-5000</v>
      </c>
    </row>
    <row r="1324" spans="1:37">
      <c r="A1324" t="s">
        <v>2436</v>
      </c>
      <c r="B1324" t="s">
        <v>2437</v>
      </c>
      <c r="C1324" t="s">
        <v>329</v>
      </c>
      <c r="E1324">
        <v>50</v>
      </c>
      <c r="F1324">
        <v>22.5</v>
      </c>
      <c r="G1324">
        <v>7</v>
      </c>
      <c r="H1324">
        <v>15</v>
      </c>
      <c r="I1324">
        <v>17</v>
      </c>
      <c r="J1324">
        <v>23</v>
      </c>
      <c r="K1324">
        <v>1386</v>
      </c>
      <c r="L1324">
        <v>18</v>
      </c>
      <c r="M1324">
        <v>0</v>
      </c>
      <c r="N1324">
        <v>6</v>
      </c>
      <c r="O1324">
        <v>0</v>
      </c>
      <c r="P1324">
        <v>0</v>
      </c>
      <c r="Q1324">
        <v>1380</v>
      </c>
      <c r="R1324">
        <v>0</v>
      </c>
      <c r="S1324">
        <v>21</v>
      </c>
      <c r="T1324">
        <v>25</v>
      </c>
      <c r="U1324">
        <v>0</v>
      </c>
      <c r="V1324">
        <v>15</v>
      </c>
      <c r="W1324">
        <v>24</v>
      </c>
      <c r="X1324">
        <v>16</v>
      </c>
      <c r="Y1324">
        <v>74</v>
      </c>
      <c r="Z1324">
        <v>0</v>
      </c>
      <c r="AA1324">
        <v>10</v>
      </c>
      <c r="AB1324">
        <v>22</v>
      </c>
      <c r="AC1324">
        <v>55</v>
      </c>
      <c r="AD1324">
        <v>14</v>
      </c>
      <c r="AE1324">
        <v>276</v>
      </c>
      <c r="AF1324">
        <v>46</v>
      </c>
      <c r="AJ1324">
        <v>4.92</v>
      </c>
      <c r="AK1324" t="str">
        <f t="shared" si="20"/>
        <v>PDG02-6200</v>
      </c>
    </row>
    <row r="1325" spans="1:37">
      <c r="A1325" t="s">
        <v>2438</v>
      </c>
      <c r="B1325" t="s">
        <v>2439</v>
      </c>
      <c r="C1325" t="s">
        <v>329</v>
      </c>
      <c r="D1325" t="s">
        <v>2440</v>
      </c>
      <c r="E1325">
        <v>50</v>
      </c>
      <c r="F1325">
        <v>-0.1</v>
      </c>
      <c r="G1325">
        <v>30</v>
      </c>
      <c r="H1325">
        <v>65</v>
      </c>
      <c r="I1325">
        <v>91</v>
      </c>
      <c r="J1325">
        <v>82</v>
      </c>
      <c r="K1325">
        <v>0</v>
      </c>
      <c r="L1325">
        <v>68</v>
      </c>
      <c r="M1325">
        <v>0</v>
      </c>
      <c r="N1325">
        <v>25</v>
      </c>
      <c r="O1325">
        <v>0</v>
      </c>
      <c r="P1325">
        <v>0</v>
      </c>
      <c r="Q1325">
        <v>-25</v>
      </c>
      <c r="R1325">
        <v>0</v>
      </c>
      <c r="S1325">
        <v>63</v>
      </c>
      <c r="T1325">
        <v>118</v>
      </c>
      <c r="U1325">
        <v>15</v>
      </c>
      <c r="V1325">
        <v>103</v>
      </c>
      <c r="W1325">
        <v>176</v>
      </c>
      <c r="X1325">
        <v>72</v>
      </c>
      <c r="Y1325">
        <v>0</v>
      </c>
      <c r="Z1325">
        <v>0</v>
      </c>
      <c r="AA1325">
        <v>0</v>
      </c>
      <c r="AB1325">
        <v>313</v>
      </c>
      <c r="AC1325">
        <v>73</v>
      </c>
      <c r="AD1325">
        <v>45</v>
      </c>
      <c r="AE1325">
        <v>978</v>
      </c>
      <c r="AF1325">
        <v>1161</v>
      </c>
      <c r="AJ1325">
        <v>4.67</v>
      </c>
      <c r="AK1325" t="str">
        <f t="shared" si="20"/>
        <v>PH701-5000</v>
      </c>
    </row>
    <row r="1326" spans="1:37">
      <c r="A1326" t="s">
        <v>2441</v>
      </c>
      <c r="B1326" t="s">
        <v>2442</v>
      </c>
      <c r="C1326" t="s">
        <v>329</v>
      </c>
      <c r="D1326" t="s">
        <v>2440</v>
      </c>
      <c r="E1326">
        <v>50</v>
      </c>
      <c r="F1326">
        <v>9.9</v>
      </c>
      <c r="G1326">
        <v>1</v>
      </c>
      <c r="H1326">
        <v>71</v>
      </c>
      <c r="I1326">
        <v>111</v>
      </c>
      <c r="J1326">
        <v>85</v>
      </c>
      <c r="K1326">
        <v>2813</v>
      </c>
      <c r="L1326">
        <v>86</v>
      </c>
      <c r="M1326">
        <v>0</v>
      </c>
      <c r="N1326">
        <v>1</v>
      </c>
      <c r="O1326">
        <v>0</v>
      </c>
      <c r="P1326">
        <v>0</v>
      </c>
      <c r="Q1326">
        <v>2812</v>
      </c>
      <c r="R1326">
        <v>0</v>
      </c>
      <c r="S1326">
        <v>0</v>
      </c>
      <c r="T1326">
        <v>154</v>
      </c>
      <c r="U1326">
        <v>58</v>
      </c>
      <c r="V1326">
        <v>352</v>
      </c>
      <c r="W1326">
        <v>60</v>
      </c>
      <c r="X1326">
        <v>42</v>
      </c>
      <c r="Y1326">
        <v>0</v>
      </c>
      <c r="Z1326">
        <v>56</v>
      </c>
      <c r="AA1326">
        <v>77</v>
      </c>
      <c r="AB1326">
        <v>111</v>
      </c>
      <c r="AC1326">
        <v>41</v>
      </c>
      <c r="AD1326">
        <v>72</v>
      </c>
      <c r="AE1326">
        <v>1023</v>
      </c>
      <c r="AF1326">
        <v>881</v>
      </c>
      <c r="AJ1326">
        <v>4.67</v>
      </c>
      <c r="AK1326" t="str">
        <f t="shared" si="20"/>
        <v>PH701-6200</v>
      </c>
    </row>
    <row r="1327" spans="1:37">
      <c r="A1327" t="s">
        <v>2443</v>
      </c>
      <c r="B1327" t="s">
        <v>2444</v>
      </c>
      <c r="C1327" t="s">
        <v>318</v>
      </c>
      <c r="D1327" t="s">
        <v>2445</v>
      </c>
      <c r="E1327">
        <v>50</v>
      </c>
      <c r="F1327">
        <v>65.5</v>
      </c>
      <c r="G1327">
        <v>11</v>
      </c>
      <c r="H1327">
        <v>10</v>
      </c>
      <c r="I1327">
        <v>10</v>
      </c>
      <c r="J1327">
        <v>17</v>
      </c>
      <c r="K1327">
        <v>2631</v>
      </c>
      <c r="L1327">
        <v>10</v>
      </c>
      <c r="M1327">
        <v>0</v>
      </c>
      <c r="N1327">
        <v>9</v>
      </c>
      <c r="O1327">
        <v>0</v>
      </c>
      <c r="P1327">
        <v>0</v>
      </c>
      <c r="Q1327">
        <v>2622</v>
      </c>
      <c r="R1327">
        <v>0</v>
      </c>
      <c r="S1327">
        <v>30</v>
      </c>
      <c r="T1327">
        <v>0</v>
      </c>
      <c r="U1327">
        <v>0</v>
      </c>
      <c r="V1327">
        <v>27</v>
      </c>
      <c r="W1327">
        <v>0</v>
      </c>
      <c r="X1327">
        <v>0</v>
      </c>
      <c r="Y1327">
        <v>34</v>
      </c>
      <c r="Z1327">
        <v>0</v>
      </c>
      <c r="AA1327">
        <v>65</v>
      </c>
      <c r="AB1327">
        <v>51</v>
      </c>
      <c r="AC1327">
        <v>0</v>
      </c>
      <c r="AD1327">
        <v>0</v>
      </c>
      <c r="AE1327">
        <v>207</v>
      </c>
      <c r="AF1327">
        <v>596</v>
      </c>
      <c r="AJ1327">
        <v>5.91</v>
      </c>
      <c r="AK1327" t="str">
        <f t="shared" si="20"/>
        <v>PO701-5000</v>
      </c>
    </row>
    <row r="1328" spans="1:37">
      <c r="A1328" t="s">
        <v>2446</v>
      </c>
      <c r="B1328" t="s">
        <v>2444</v>
      </c>
      <c r="C1328" t="s">
        <v>318</v>
      </c>
      <c r="D1328" t="s">
        <v>2445</v>
      </c>
      <c r="E1328">
        <v>50</v>
      </c>
      <c r="F1328">
        <v>10.8</v>
      </c>
      <c r="G1328">
        <v>0</v>
      </c>
      <c r="H1328">
        <v>51</v>
      </c>
      <c r="I1328">
        <v>42</v>
      </c>
      <c r="J1328">
        <v>42</v>
      </c>
      <c r="K1328">
        <v>2183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2183</v>
      </c>
      <c r="R1328">
        <v>0</v>
      </c>
      <c r="S1328">
        <v>81</v>
      </c>
      <c r="T1328">
        <v>41</v>
      </c>
      <c r="U1328">
        <v>30</v>
      </c>
      <c r="V1328">
        <v>0</v>
      </c>
      <c r="W1328">
        <v>97</v>
      </c>
      <c r="X1328">
        <v>0</v>
      </c>
      <c r="Y1328">
        <v>75</v>
      </c>
      <c r="Z1328">
        <v>111</v>
      </c>
      <c r="AA1328">
        <v>0</v>
      </c>
      <c r="AB1328">
        <v>0</v>
      </c>
      <c r="AC1328">
        <v>43</v>
      </c>
      <c r="AD1328">
        <v>22</v>
      </c>
      <c r="AE1328">
        <v>500</v>
      </c>
      <c r="AF1328">
        <v>268</v>
      </c>
      <c r="AJ1328">
        <v>5.91</v>
      </c>
      <c r="AK1328" t="str">
        <f t="shared" si="20"/>
        <v>PO701-6200</v>
      </c>
    </row>
    <row r="1329" spans="1:37">
      <c r="A1329" t="s">
        <v>2447</v>
      </c>
      <c r="B1329" t="s">
        <v>2448</v>
      </c>
      <c r="C1329" t="s">
        <v>275</v>
      </c>
      <c r="D1329" t="s">
        <v>2449</v>
      </c>
      <c r="E1329">
        <v>50</v>
      </c>
      <c r="F1329">
        <v>8.3000000000000007</v>
      </c>
      <c r="G1329">
        <v>59</v>
      </c>
      <c r="H1329">
        <v>12</v>
      </c>
      <c r="I1329">
        <v>56</v>
      </c>
      <c r="J1329">
        <v>33</v>
      </c>
      <c r="K1329">
        <v>457</v>
      </c>
      <c r="L1329">
        <v>6</v>
      </c>
      <c r="M1329">
        <v>0</v>
      </c>
      <c r="N1329">
        <v>49</v>
      </c>
      <c r="O1329">
        <v>0</v>
      </c>
      <c r="P1329">
        <v>0</v>
      </c>
      <c r="Q1329">
        <v>408</v>
      </c>
      <c r="R1329">
        <v>0</v>
      </c>
      <c r="S1329">
        <v>0</v>
      </c>
      <c r="T1329">
        <v>21</v>
      </c>
      <c r="U1329">
        <v>16</v>
      </c>
      <c r="V1329">
        <v>0</v>
      </c>
      <c r="W1329">
        <v>290</v>
      </c>
      <c r="X1329">
        <v>9</v>
      </c>
      <c r="Y1329">
        <v>9</v>
      </c>
      <c r="Z1329">
        <v>15</v>
      </c>
      <c r="AA1329">
        <v>11</v>
      </c>
      <c r="AB1329">
        <v>0</v>
      </c>
      <c r="AC1329">
        <v>0</v>
      </c>
      <c r="AD1329">
        <v>19</v>
      </c>
      <c r="AE1329">
        <v>390</v>
      </c>
      <c r="AF1329">
        <v>103</v>
      </c>
      <c r="AJ1329">
        <v>5.84</v>
      </c>
      <c r="AK1329" t="str">
        <f t="shared" si="20"/>
        <v>PR202-5000</v>
      </c>
    </row>
    <row r="1330" spans="1:37">
      <c r="A1330" t="s">
        <v>2450</v>
      </c>
      <c r="B1330" t="s">
        <v>2451</v>
      </c>
      <c r="C1330" t="s">
        <v>275</v>
      </c>
      <c r="D1330" t="s">
        <v>2449</v>
      </c>
      <c r="E1330">
        <v>50</v>
      </c>
      <c r="F1330">
        <v>10.9</v>
      </c>
      <c r="G1330">
        <v>0</v>
      </c>
      <c r="H1330">
        <v>21</v>
      </c>
      <c r="I1330">
        <v>12</v>
      </c>
      <c r="J1330">
        <v>10</v>
      </c>
      <c r="K1330">
        <v>900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900</v>
      </c>
      <c r="R1330">
        <v>0</v>
      </c>
      <c r="S1330">
        <v>0</v>
      </c>
      <c r="T1330">
        <v>0</v>
      </c>
      <c r="U1330">
        <v>62</v>
      </c>
      <c r="V1330">
        <v>0</v>
      </c>
      <c r="W1330">
        <v>0</v>
      </c>
      <c r="X1330">
        <v>7</v>
      </c>
      <c r="Y1330">
        <v>9</v>
      </c>
      <c r="Z1330">
        <v>0</v>
      </c>
      <c r="AA1330">
        <v>0</v>
      </c>
      <c r="AB1330">
        <v>26</v>
      </c>
      <c r="AC1330">
        <v>0</v>
      </c>
      <c r="AD1330">
        <v>18</v>
      </c>
      <c r="AE1330">
        <v>122</v>
      </c>
      <c r="AF1330">
        <v>113</v>
      </c>
      <c r="AJ1330">
        <v>5.84</v>
      </c>
      <c r="AK1330" t="str">
        <f t="shared" si="20"/>
        <v>PR202-6200</v>
      </c>
    </row>
    <row r="1331" spans="1:37">
      <c r="A1331" t="s">
        <v>2452</v>
      </c>
      <c r="B1331" t="s">
        <v>2453</v>
      </c>
      <c r="C1331" t="s">
        <v>275</v>
      </c>
      <c r="D1331" t="s">
        <v>2064</v>
      </c>
      <c r="E1331">
        <v>50</v>
      </c>
      <c r="F1331">
        <v>0</v>
      </c>
      <c r="G1331">
        <v>0</v>
      </c>
      <c r="H1331">
        <v>0</v>
      </c>
      <c r="I1331">
        <v>0</v>
      </c>
      <c r="J1331">
        <v>1</v>
      </c>
      <c r="K1331">
        <v>1827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1827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7</v>
      </c>
      <c r="AB1331">
        <v>0</v>
      </c>
      <c r="AC1331">
        <v>0</v>
      </c>
      <c r="AD1331">
        <v>0</v>
      </c>
      <c r="AE1331">
        <v>7</v>
      </c>
      <c r="AF1331">
        <v>7</v>
      </c>
      <c r="AJ1331">
        <v>4.76</v>
      </c>
      <c r="AK1331" t="str">
        <f t="shared" si="20"/>
        <v>PR401-5000</v>
      </c>
    </row>
    <row r="1332" spans="1:37">
      <c r="A1332" t="s">
        <v>2454</v>
      </c>
      <c r="B1332" t="s">
        <v>2455</v>
      </c>
      <c r="C1332" t="s">
        <v>275</v>
      </c>
      <c r="D1332" t="s">
        <v>2064</v>
      </c>
      <c r="E1332">
        <v>50</v>
      </c>
      <c r="F1332">
        <v>0</v>
      </c>
      <c r="G1332">
        <v>0</v>
      </c>
      <c r="H1332">
        <v>0</v>
      </c>
      <c r="I1332">
        <v>0</v>
      </c>
      <c r="J1332">
        <v>1</v>
      </c>
      <c r="K1332">
        <v>1133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1133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12</v>
      </c>
      <c r="AC1332">
        <v>0</v>
      </c>
      <c r="AD1332">
        <v>0</v>
      </c>
      <c r="AE1332">
        <v>12</v>
      </c>
      <c r="AF1332">
        <v>15</v>
      </c>
      <c r="AJ1332">
        <v>4.76</v>
      </c>
      <c r="AK1332" t="str">
        <f t="shared" si="20"/>
        <v>PR401-6200</v>
      </c>
    </row>
    <row r="1333" spans="1:37">
      <c r="A1333" t="s">
        <v>2457</v>
      </c>
      <c r="B1333" t="s">
        <v>2458</v>
      </c>
      <c r="C1333" t="s">
        <v>313</v>
      </c>
      <c r="D1333" t="s">
        <v>2064</v>
      </c>
      <c r="E1333">
        <v>50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1834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1834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J1333">
        <v>3.7</v>
      </c>
      <c r="AK1333" t="str">
        <f t="shared" si="20"/>
        <v>PR501-6200</v>
      </c>
    </row>
    <row r="1334" spans="1:37">
      <c r="A1334" t="s">
        <v>2459</v>
      </c>
      <c r="B1334" t="s">
        <v>2460</v>
      </c>
      <c r="C1334" t="s">
        <v>329</v>
      </c>
      <c r="D1334" t="s">
        <v>2064</v>
      </c>
      <c r="E1334">
        <v>55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600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600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13</v>
      </c>
      <c r="AE1334">
        <v>13</v>
      </c>
      <c r="AF1334">
        <v>0</v>
      </c>
      <c r="AJ1334">
        <v>4.3600000000000003</v>
      </c>
      <c r="AK1334" t="str">
        <f t="shared" si="20"/>
        <v>PZ401-6200</v>
      </c>
    </row>
    <row r="1335" spans="1:37">
      <c r="A1335" t="s">
        <v>2461</v>
      </c>
      <c r="B1335" t="s">
        <v>2462</v>
      </c>
      <c r="C1335" t="s">
        <v>318</v>
      </c>
      <c r="D1335" t="s">
        <v>2463</v>
      </c>
      <c r="E1335">
        <v>50</v>
      </c>
      <c r="F1335">
        <v>0</v>
      </c>
      <c r="G1335">
        <v>0</v>
      </c>
      <c r="H1335">
        <v>0</v>
      </c>
      <c r="I1335">
        <v>0</v>
      </c>
      <c r="J1335">
        <v>1</v>
      </c>
      <c r="K1335">
        <v>782</v>
      </c>
      <c r="L1335">
        <v>5</v>
      </c>
      <c r="M1335">
        <v>0</v>
      </c>
      <c r="N1335">
        <v>0</v>
      </c>
      <c r="O1335">
        <v>0</v>
      </c>
      <c r="P1335">
        <v>0</v>
      </c>
      <c r="Q1335">
        <v>782</v>
      </c>
      <c r="R1335">
        <v>0</v>
      </c>
      <c r="S1335">
        <v>0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7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7</v>
      </c>
      <c r="AF1335">
        <v>0</v>
      </c>
      <c r="AJ1335">
        <v>4.74</v>
      </c>
      <c r="AK1335" t="str">
        <f t="shared" si="20"/>
        <v>RE401-5000</v>
      </c>
    </row>
    <row r="1336" spans="1:37">
      <c r="A1336" t="s">
        <v>2464</v>
      </c>
      <c r="B1336" t="s">
        <v>2465</v>
      </c>
      <c r="C1336" t="s">
        <v>318</v>
      </c>
      <c r="D1336" t="s">
        <v>2366</v>
      </c>
      <c r="E1336">
        <v>50</v>
      </c>
      <c r="F1336">
        <v>0</v>
      </c>
      <c r="G1336">
        <v>0</v>
      </c>
      <c r="H1336">
        <v>0</v>
      </c>
      <c r="I1336">
        <v>0</v>
      </c>
      <c r="J1336">
        <v>1</v>
      </c>
      <c r="K1336">
        <v>292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292</v>
      </c>
      <c r="R1336">
        <v>0</v>
      </c>
      <c r="S1336">
        <v>0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8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8</v>
      </c>
      <c r="AF1336">
        <v>17</v>
      </c>
      <c r="AJ1336">
        <v>5.21</v>
      </c>
      <c r="AK1336" t="str">
        <f t="shared" si="20"/>
        <v>RG601-5000</v>
      </c>
    </row>
    <row r="1337" spans="1:37">
      <c r="A1337" t="s">
        <v>2466</v>
      </c>
      <c r="B1337" t="s">
        <v>2467</v>
      </c>
      <c r="C1337" t="s">
        <v>318</v>
      </c>
      <c r="E1337">
        <v>50</v>
      </c>
      <c r="F1337">
        <v>0</v>
      </c>
      <c r="G1337">
        <v>0</v>
      </c>
      <c r="H1337">
        <v>52</v>
      </c>
      <c r="I1337">
        <v>38</v>
      </c>
      <c r="J1337">
        <v>36</v>
      </c>
      <c r="K1337">
        <v>0</v>
      </c>
      <c r="L1337">
        <v>50</v>
      </c>
      <c r="M1337">
        <v>0</v>
      </c>
      <c r="N1337">
        <v>0</v>
      </c>
      <c r="O1337">
        <v>0</v>
      </c>
      <c r="P1337">
        <v>0</v>
      </c>
      <c r="Q1337">
        <v>0</v>
      </c>
      <c r="R1337">
        <v>0</v>
      </c>
      <c r="S1337">
        <v>85</v>
      </c>
      <c r="T1337">
        <v>56</v>
      </c>
      <c r="U1337">
        <v>16</v>
      </c>
      <c r="V1337">
        <v>52</v>
      </c>
      <c r="W1337">
        <v>17</v>
      </c>
      <c r="X1337">
        <v>0</v>
      </c>
      <c r="Y1337">
        <v>36</v>
      </c>
      <c r="Z1337">
        <v>0</v>
      </c>
      <c r="AA1337">
        <v>37</v>
      </c>
      <c r="AB1337">
        <v>18</v>
      </c>
      <c r="AC1337">
        <v>56</v>
      </c>
      <c r="AD1337">
        <v>56</v>
      </c>
      <c r="AE1337">
        <v>429</v>
      </c>
      <c r="AF1337">
        <v>369</v>
      </c>
      <c r="AJ1337">
        <v>6.92</v>
      </c>
      <c r="AK1337" t="str">
        <f t="shared" si="20"/>
        <v>RK201-5000</v>
      </c>
    </row>
    <row r="1338" spans="1:37">
      <c r="A1338" t="s">
        <v>2468</v>
      </c>
      <c r="B1338" t="s">
        <v>2469</v>
      </c>
      <c r="C1338" t="s">
        <v>318</v>
      </c>
      <c r="E1338">
        <v>50</v>
      </c>
      <c r="F1338">
        <v>4.2</v>
      </c>
      <c r="G1338">
        <v>44</v>
      </c>
      <c r="H1338">
        <v>69</v>
      </c>
      <c r="I1338">
        <v>91</v>
      </c>
      <c r="J1338">
        <v>89</v>
      </c>
      <c r="K1338">
        <v>1204</v>
      </c>
      <c r="L1338">
        <v>132</v>
      </c>
      <c r="M1338">
        <v>0</v>
      </c>
      <c r="N1338">
        <v>37</v>
      </c>
      <c r="O1338">
        <v>0</v>
      </c>
      <c r="P1338">
        <v>0</v>
      </c>
      <c r="Q1338">
        <v>1167</v>
      </c>
      <c r="R1338">
        <v>0</v>
      </c>
      <c r="S1338">
        <v>108</v>
      </c>
      <c r="T1338">
        <v>0</v>
      </c>
      <c r="U1338">
        <v>98</v>
      </c>
      <c r="V1338">
        <v>189</v>
      </c>
      <c r="W1338">
        <v>150</v>
      </c>
      <c r="X1338">
        <v>0</v>
      </c>
      <c r="Y1338">
        <v>171</v>
      </c>
      <c r="Z1338">
        <v>99</v>
      </c>
      <c r="AA1338">
        <v>0</v>
      </c>
      <c r="AB1338">
        <v>240</v>
      </c>
      <c r="AC1338">
        <v>0</v>
      </c>
      <c r="AD1338">
        <v>14</v>
      </c>
      <c r="AE1338">
        <v>1069</v>
      </c>
      <c r="AF1338">
        <v>951</v>
      </c>
      <c r="AJ1338">
        <v>5.91</v>
      </c>
      <c r="AK1338" t="str">
        <f t="shared" si="20"/>
        <v>RK201-6200</v>
      </c>
    </row>
    <row r="1339" spans="1:37">
      <c r="A1339" t="s">
        <v>2470</v>
      </c>
      <c r="B1339" t="s">
        <v>2471</v>
      </c>
      <c r="C1339" t="s">
        <v>318</v>
      </c>
      <c r="E1339">
        <v>50</v>
      </c>
      <c r="F1339">
        <v>7.6</v>
      </c>
      <c r="G1339">
        <v>0</v>
      </c>
      <c r="H1339">
        <v>5</v>
      </c>
      <c r="I1339">
        <v>10</v>
      </c>
      <c r="J1339">
        <v>10</v>
      </c>
      <c r="K1339">
        <v>151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151</v>
      </c>
      <c r="R1339">
        <v>0</v>
      </c>
      <c r="S1339">
        <v>0</v>
      </c>
      <c r="T1339">
        <v>0</v>
      </c>
      <c r="U1339">
        <v>15</v>
      </c>
      <c r="V1339">
        <v>25</v>
      </c>
      <c r="W1339">
        <v>0</v>
      </c>
      <c r="X1339">
        <v>21</v>
      </c>
      <c r="Y1339">
        <v>7</v>
      </c>
      <c r="Z1339">
        <v>18</v>
      </c>
      <c r="AA1339">
        <v>0</v>
      </c>
      <c r="AB1339">
        <v>0</v>
      </c>
      <c r="AC1339">
        <v>5</v>
      </c>
      <c r="AD1339">
        <v>24</v>
      </c>
      <c r="AE1339">
        <v>115</v>
      </c>
      <c r="AF1339">
        <v>26</v>
      </c>
      <c r="AJ1339">
        <v>5.0199999999999996</v>
      </c>
      <c r="AK1339" t="str">
        <f t="shared" si="20"/>
        <v>RK202-5000</v>
      </c>
    </row>
    <row r="1340" spans="1:37">
      <c r="A1340" t="s">
        <v>2472</v>
      </c>
      <c r="B1340" t="s">
        <v>2473</v>
      </c>
      <c r="C1340" t="s">
        <v>318</v>
      </c>
      <c r="E1340">
        <v>50</v>
      </c>
      <c r="F1340">
        <v>0</v>
      </c>
      <c r="G1340">
        <v>0</v>
      </c>
      <c r="H1340">
        <v>0</v>
      </c>
      <c r="I1340">
        <v>0</v>
      </c>
      <c r="J1340">
        <v>5</v>
      </c>
      <c r="K1340">
        <v>723</v>
      </c>
      <c r="L1340">
        <v>0</v>
      </c>
      <c r="M1340">
        <v>0</v>
      </c>
      <c r="N1340">
        <v>0</v>
      </c>
      <c r="O1340">
        <v>0</v>
      </c>
      <c r="P1340">
        <v>0</v>
      </c>
      <c r="Q1340">
        <v>723</v>
      </c>
      <c r="R1340">
        <v>0</v>
      </c>
      <c r="S1340">
        <v>0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8</v>
      </c>
      <c r="AA1340">
        <v>0</v>
      </c>
      <c r="AB1340">
        <v>24</v>
      </c>
      <c r="AC1340">
        <v>0</v>
      </c>
      <c r="AD1340">
        <v>31</v>
      </c>
      <c r="AE1340">
        <v>63</v>
      </c>
      <c r="AF1340">
        <v>84</v>
      </c>
      <c r="AJ1340">
        <v>5.07</v>
      </c>
      <c r="AK1340" t="str">
        <f t="shared" si="20"/>
        <v>RK202-6200</v>
      </c>
    </row>
    <row r="1341" spans="1:37">
      <c r="A1341" t="s">
        <v>2474</v>
      </c>
      <c r="B1341" t="s">
        <v>2475</v>
      </c>
      <c r="C1341" t="s">
        <v>318</v>
      </c>
      <c r="D1341" t="s">
        <v>2476</v>
      </c>
      <c r="E1341">
        <v>50</v>
      </c>
      <c r="F1341">
        <v>0</v>
      </c>
      <c r="G1341">
        <v>0</v>
      </c>
      <c r="H1341">
        <v>0</v>
      </c>
      <c r="I1341">
        <v>0</v>
      </c>
      <c r="J1341">
        <v>4</v>
      </c>
      <c r="K1341">
        <v>1122</v>
      </c>
      <c r="L1341">
        <v>19</v>
      </c>
      <c r="M1341">
        <v>0</v>
      </c>
      <c r="N1341">
        <v>0</v>
      </c>
      <c r="O1341">
        <v>0</v>
      </c>
      <c r="P1341">
        <v>0</v>
      </c>
      <c r="Q1341">
        <v>1122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36</v>
      </c>
      <c r="AD1341">
        <v>7</v>
      </c>
      <c r="AE1341">
        <v>43</v>
      </c>
      <c r="AF1341">
        <v>72</v>
      </c>
      <c r="AJ1341">
        <v>5.85</v>
      </c>
      <c r="AK1341" t="str">
        <f t="shared" si="20"/>
        <v>RK401-5000</v>
      </c>
    </row>
    <row r="1342" spans="1:37">
      <c r="A1342" t="s">
        <v>2477</v>
      </c>
      <c r="B1342" t="s">
        <v>2478</v>
      </c>
      <c r="C1342" t="s">
        <v>318</v>
      </c>
      <c r="D1342" t="s">
        <v>2476</v>
      </c>
      <c r="E1342">
        <v>50</v>
      </c>
      <c r="F1342">
        <v>19.2</v>
      </c>
      <c r="G1342">
        <v>24</v>
      </c>
      <c r="H1342">
        <v>7</v>
      </c>
      <c r="I1342">
        <v>4</v>
      </c>
      <c r="J1342">
        <v>4</v>
      </c>
      <c r="K1342">
        <v>558</v>
      </c>
      <c r="L1342">
        <v>0</v>
      </c>
      <c r="M1342">
        <v>0</v>
      </c>
      <c r="N1342">
        <v>20</v>
      </c>
      <c r="O1342">
        <v>0</v>
      </c>
      <c r="P1342">
        <v>0</v>
      </c>
      <c r="Q1342">
        <v>538</v>
      </c>
      <c r="R1342">
        <v>0</v>
      </c>
      <c r="S1342">
        <v>21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7</v>
      </c>
      <c r="Z1342">
        <v>0</v>
      </c>
      <c r="AA1342">
        <v>0</v>
      </c>
      <c r="AB1342">
        <v>16</v>
      </c>
      <c r="AC1342">
        <v>0</v>
      </c>
      <c r="AD1342">
        <v>0</v>
      </c>
      <c r="AE1342">
        <v>44</v>
      </c>
      <c r="AF1342">
        <v>267</v>
      </c>
      <c r="AJ1342">
        <v>5.91</v>
      </c>
      <c r="AK1342" t="str">
        <f t="shared" si="20"/>
        <v>RK401-6200</v>
      </c>
    </row>
    <row r="1343" spans="1:37">
      <c r="A1343" t="s">
        <v>2480</v>
      </c>
      <c r="B1343" t="s">
        <v>2481</v>
      </c>
      <c r="C1343" t="s">
        <v>110</v>
      </c>
      <c r="E1343">
        <v>50</v>
      </c>
      <c r="F1343">
        <v>16.100000000000001</v>
      </c>
      <c r="G1343">
        <v>0</v>
      </c>
      <c r="H1343">
        <v>3</v>
      </c>
      <c r="I1343">
        <v>8</v>
      </c>
      <c r="J1343">
        <v>44</v>
      </c>
      <c r="K1343">
        <v>215</v>
      </c>
      <c r="L1343">
        <v>2</v>
      </c>
      <c r="M1343">
        <v>0</v>
      </c>
      <c r="N1343">
        <v>0</v>
      </c>
      <c r="O1343">
        <v>0</v>
      </c>
      <c r="P1343">
        <v>0</v>
      </c>
      <c r="Q1343">
        <v>215</v>
      </c>
      <c r="R1343">
        <v>0</v>
      </c>
      <c r="S1343">
        <v>0</v>
      </c>
      <c r="T1343">
        <v>10</v>
      </c>
      <c r="U1343">
        <v>0</v>
      </c>
      <c r="V1343">
        <v>19</v>
      </c>
      <c r="W1343">
        <v>21</v>
      </c>
      <c r="X1343">
        <v>0</v>
      </c>
      <c r="Y1343">
        <v>0</v>
      </c>
      <c r="Z1343">
        <v>454</v>
      </c>
      <c r="AA1343">
        <v>0</v>
      </c>
      <c r="AB1343">
        <v>0</v>
      </c>
      <c r="AC1343">
        <v>0</v>
      </c>
      <c r="AD1343">
        <v>28</v>
      </c>
      <c r="AE1343">
        <v>532</v>
      </c>
      <c r="AF1343">
        <v>378</v>
      </c>
      <c r="AJ1343">
        <v>4.25</v>
      </c>
      <c r="AK1343" t="str">
        <f t="shared" si="20"/>
        <v>RK603-5000</v>
      </c>
    </row>
    <row r="1344" spans="1:37">
      <c r="A1344" t="s">
        <v>2482</v>
      </c>
      <c r="B1344" t="s">
        <v>2481</v>
      </c>
      <c r="C1344" t="s">
        <v>110</v>
      </c>
      <c r="E1344">
        <v>50</v>
      </c>
      <c r="F1344">
        <v>10.199999999999999</v>
      </c>
      <c r="G1344">
        <v>0</v>
      </c>
      <c r="H1344">
        <v>32</v>
      </c>
      <c r="I1344">
        <v>37</v>
      </c>
      <c r="J1344">
        <v>45</v>
      </c>
      <c r="K1344">
        <v>1310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1310</v>
      </c>
      <c r="R1344">
        <v>0</v>
      </c>
      <c r="S1344">
        <v>33</v>
      </c>
      <c r="T1344">
        <v>63</v>
      </c>
      <c r="U1344">
        <v>0</v>
      </c>
      <c r="V1344">
        <v>53</v>
      </c>
      <c r="W1344">
        <v>11</v>
      </c>
      <c r="X1344">
        <v>61</v>
      </c>
      <c r="Y1344">
        <v>90</v>
      </c>
      <c r="Z1344">
        <v>18</v>
      </c>
      <c r="AA1344">
        <v>90</v>
      </c>
      <c r="AB1344">
        <v>99</v>
      </c>
      <c r="AC1344">
        <v>0</v>
      </c>
      <c r="AD1344">
        <v>18</v>
      </c>
      <c r="AE1344">
        <v>536</v>
      </c>
      <c r="AF1344">
        <v>696</v>
      </c>
      <c r="AJ1344">
        <v>4.25</v>
      </c>
      <c r="AK1344" t="str">
        <f t="shared" si="20"/>
        <v>RK603-6200</v>
      </c>
    </row>
    <row r="1345" spans="1:37">
      <c r="A1345" t="s">
        <v>2483</v>
      </c>
      <c r="B1345" t="s">
        <v>2484</v>
      </c>
      <c r="C1345" t="s">
        <v>318</v>
      </c>
      <c r="D1345" t="s">
        <v>2064</v>
      </c>
      <c r="E1345">
        <v>50</v>
      </c>
      <c r="F1345">
        <v>0</v>
      </c>
      <c r="G1345">
        <v>0</v>
      </c>
      <c r="H1345">
        <v>0</v>
      </c>
      <c r="I1345">
        <v>0</v>
      </c>
      <c r="J1345">
        <v>0</v>
      </c>
      <c r="K1345">
        <v>184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184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J1345">
        <v>6.13</v>
      </c>
      <c r="AK1345" t="str">
        <f t="shared" si="20"/>
        <v>RK604-5000</v>
      </c>
    </row>
    <row r="1346" spans="1:37">
      <c r="A1346" t="s">
        <v>2485</v>
      </c>
      <c r="B1346" t="s">
        <v>2484</v>
      </c>
      <c r="C1346" t="s">
        <v>318</v>
      </c>
      <c r="D1346" t="s">
        <v>2064</v>
      </c>
      <c r="E1346">
        <v>50</v>
      </c>
      <c r="F1346">
        <v>0</v>
      </c>
      <c r="G1346">
        <v>0</v>
      </c>
      <c r="H1346">
        <v>0</v>
      </c>
      <c r="I1346">
        <v>0</v>
      </c>
      <c r="J1346">
        <v>1</v>
      </c>
      <c r="K1346">
        <v>642</v>
      </c>
      <c r="L1346">
        <v>0</v>
      </c>
      <c r="M1346">
        <v>0</v>
      </c>
      <c r="N1346">
        <v>0</v>
      </c>
      <c r="O1346">
        <v>0</v>
      </c>
      <c r="P1346">
        <v>0</v>
      </c>
      <c r="Q1346">
        <v>642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11</v>
      </c>
      <c r="AC1346">
        <v>0</v>
      </c>
      <c r="AD1346">
        <v>0</v>
      </c>
      <c r="AE1346">
        <v>11</v>
      </c>
      <c r="AF1346">
        <v>0</v>
      </c>
      <c r="AJ1346">
        <v>6.51</v>
      </c>
      <c r="AK1346" t="str">
        <f t="shared" si="20"/>
        <v>RK604-6200</v>
      </c>
    </row>
    <row r="1347" spans="1:37">
      <c r="A1347" t="s">
        <v>2486</v>
      </c>
      <c r="B1347" t="s">
        <v>2487</v>
      </c>
      <c r="C1347" t="s">
        <v>110</v>
      </c>
      <c r="E1347">
        <v>50</v>
      </c>
      <c r="F1347">
        <v>6.6</v>
      </c>
      <c r="G1347">
        <v>13</v>
      </c>
      <c r="H1347">
        <v>29</v>
      </c>
      <c r="I1347">
        <v>18</v>
      </c>
      <c r="J1347">
        <v>30</v>
      </c>
      <c r="K1347">
        <v>780</v>
      </c>
      <c r="L1347">
        <v>4</v>
      </c>
      <c r="M1347">
        <v>0</v>
      </c>
      <c r="N1347">
        <v>11</v>
      </c>
      <c r="O1347">
        <v>0</v>
      </c>
      <c r="P1347">
        <v>0</v>
      </c>
      <c r="Q1347">
        <v>769</v>
      </c>
      <c r="R1347">
        <v>0</v>
      </c>
      <c r="S1347">
        <v>0</v>
      </c>
      <c r="T1347">
        <v>39</v>
      </c>
      <c r="U1347">
        <v>48</v>
      </c>
      <c r="V1347">
        <v>18</v>
      </c>
      <c r="W1347">
        <v>0</v>
      </c>
      <c r="X1347">
        <v>0</v>
      </c>
      <c r="Y1347">
        <v>0</v>
      </c>
      <c r="Z1347">
        <v>0</v>
      </c>
      <c r="AA1347">
        <v>91</v>
      </c>
      <c r="AB1347">
        <v>0</v>
      </c>
      <c r="AC1347">
        <v>36</v>
      </c>
      <c r="AD1347">
        <v>131</v>
      </c>
      <c r="AE1347">
        <v>363</v>
      </c>
      <c r="AF1347">
        <v>561</v>
      </c>
      <c r="AJ1347">
        <v>4.47</v>
      </c>
      <c r="AK1347" t="str">
        <f t="shared" si="20"/>
        <v>RK702-5000</v>
      </c>
    </row>
    <row r="1348" spans="1:37">
      <c r="A1348" t="s">
        <v>2488</v>
      </c>
      <c r="B1348" t="s">
        <v>2487</v>
      </c>
      <c r="C1348" t="s">
        <v>110</v>
      </c>
      <c r="E1348">
        <v>50</v>
      </c>
      <c r="F1348">
        <v>7.3</v>
      </c>
      <c r="G1348">
        <v>37</v>
      </c>
      <c r="H1348">
        <v>57</v>
      </c>
      <c r="I1348">
        <v>29</v>
      </c>
      <c r="J1348">
        <v>48</v>
      </c>
      <c r="K1348">
        <v>1716</v>
      </c>
      <c r="L1348">
        <v>22</v>
      </c>
      <c r="M1348">
        <v>0</v>
      </c>
      <c r="N1348">
        <v>31</v>
      </c>
      <c r="O1348">
        <v>0</v>
      </c>
      <c r="P1348">
        <v>0</v>
      </c>
      <c r="Q1348">
        <v>1685</v>
      </c>
      <c r="R1348">
        <v>0</v>
      </c>
      <c r="S1348">
        <v>0</v>
      </c>
      <c r="T1348">
        <v>149</v>
      </c>
      <c r="U1348">
        <v>23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277</v>
      </c>
      <c r="AB1348">
        <v>0</v>
      </c>
      <c r="AC1348">
        <v>85</v>
      </c>
      <c r="AD1348">
        <v>45</v>
      </c>
      <c r="AE1348">
        <v>579</v>
      </c>
      <c r="AF1348">
        <v>904</v>
      </c>
      <c r="AJ1348">
        <v>4.47</v>
      </c>
      <c r="AK1348" t="str">
        <f t="shared" si="20"/>
        <v>RK702-6200</v>
      </c>
    </row>
    <row r="1349" spans="1:37">
      <c r="A1349" t="s">
        <v>2489</v>
      </c>
      <c r="B1349" t="s">
        <v>1481</v>
      </c>
      <c r="C1349" t="s">
        <v>68</v>
      </c>
      <c r="D1349" t="s">
        <v>2490</v>
      </c>
      <c r="E1349">
        <v>65</v>
      </c>
      <c r="F1349">
        <v>0</v>
      </c>
      <c r="G1349">
        <v>0</v>
      </c>
      <c r="H1349">
        <v>25</v>
      </c>
      <c r="I1349">
        <v>23</v>
      </c>
      <c r="J1349">
        <v>35</v>
      </c>
      <c r="K1349">
        <v>0</v>
      </c>
      <c r="L1349">
        <v>15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>
        <v>60</v>
      </c>
      <c r="T1349">
        <v>16</v>
      </c>
      <c r="U1349">
        <v>0</v>
      </c>
      <c r="V1349">
        <v>0</v>
      </c>
      <c r="W1349">
        <v>0</v>
      </c>
      <c r="X1349">
        <v>59</v>
      </c>
      <c r="Y1349">
        <v>24</v>
      </c>
      <c r="Z1349">
        <v>104</v>
      </c>
      <c r="AA1349">
        <v>0</v>
      </c>
      <c r="AB1349">
        <v>83</v>
      </c>
      <c r="AC1349">
        <v>36</v>
      </c>
      <c r="AD1349">
        <v>41</v>
      </c>
      <c r="AE1349">
        <v>423</v>
      </c>
      <c r="AF1349">
        <v>222</v>
      </c>
      <c r="AJ1349">
        <v>5.07</v>
      </c>
      <c r="AK1349" t="str">
        <f t="shared" ref="AK1349:AK1412" si="21">MID(A1349,4,10)</f>
        <v>S1015-5000</v>
      </c>
    </row>
    <row r="1350" spans="1:37">
      <c r="A1350" t="s">
        <v>2491</v>
      </c>
      <c r="B1350" t="s">
        <v>1481</v>
      </c>
      <c r="C1350" t="s">
        <v>68</v>
      </c>
      <c r="D1350" t="s">
        <v>2490</v>
      </c>
      <c r="E1350">
        <v>65</v>
      </c>
      <c r="F1350">
        <v>0.3</v>
      </c>
      <c r="G1350">
        <v>94</v>
      </c>
      <c r="H1350">
        <v>194</v>
      </c>
      <c r="I1350">
        <v>234</v>
      </c>
      <c r="J1350">
        <v>131</v>
      </c>
      <c r="K1350">
        <v>305</v>
      </c>
      <c r="L1350">
        <v>150</v>
      </c>
      <c r="M1350">
        <v>0</v>
      </c>
      <c r="N1350">
        <v>78</v>
      </c>
      <c r="O1350">
        <v>0</v>
      </c>
      <c r="P1350">
        <v>0</v>
      </c>
      <c r="Q1350">
        <v>227</v>
      </c>
      <c r="R1350">
        <v>0</v>
      </c>
      <c r="S1350">
        <v>538</v>
      </c>
      <c r="T1350">
        <v>0</v>
      </c>
      <c r="U1350">
        <v>43</v>
      </c>
      <c r="V1350">
        <v>26</v>
      </c>
      <c r="W1350">
        <v>464</v>
      </c>
      <c r="X1350">
        <v>335</v>
      </c>
      <c r="Y1350">
        <v>86</v>
      </c>
      <c r="Z1350">
        <v>0</v>
      </c>
      <c r="AA1350">
        <v>0</v>
      </c>
      <c r="AB1350">
        <v>0</v>
      </c>
      <c r="AC1350">
        <v>36</v>
      </c>
      <c r="AD1350">
        <v>45</v>
      </c>
      <c r="AE1350">
        <v>1573</v>
      </c>
      <c r="AF1350">
        <v>2832</v>
      </c>
      <c r="AJ1350">
        <v>5.2</v>
      </c>
      <c r="AK1350" t="str">
        <f t="shared" si="21"/>
        <v>S1015-6200</v>
      </c>
    </row>
    <row r="1351" spans="1:37">
      <c r="A1351" t="s">
        <v>2495</v>
      </c>
      <c r="B1351" t="s">
        <v>2493</v>
      </c>
      <c r="C1351" t="s">
        <v>68</v>
      </c>
      <c r="D1351" t="s">
        <v>2494</v>
      </c>
      <c r="E1351">
        <v>80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1917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1917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82</v>
      </c>
      <c r="AJ1351">
        <v>4.51</v>
      </c>
      <c r="AK1351" t="str">
        <f t="shared" si="21"/>
        <v>S2003-6200</v>
      </c>
    </row>
    <row r="1352" spans="1:37">
      <c r="A1352" t="s">
        <v>6315</v>
      </c>
      <c r="B1352" t="s">
        <v>1508</v>
      </c>
      <c r="C1352" t="s">
        <v>101</v>
      </c>
      <c r="D1352" t="s">
        <v>2497</v>
      </c>
      <c r="E1352">
        <v>65</v>
      </c>
      <c r="F1352">
        <v>0</v>
      </c>
      <c r="G1352">
        <v>1</v>
      </c>
      <c r="H1352">
        <v>0</v>
      </c>
      <c r="I1352">
        <v>0</v>
      </c>
      <c r="J1352">
        <v>0</v>
      </c>
      <c r="K1352">
        <v>0</v>
      </c>
      <c r="L1352">
        <v>0</v>
      </c>
      <c r="M1352">
        <v>0</v>
      </c>
      <c r="N1352">
        <v>1</v>
      </c>
      <c r="O1352">
        <v>0</v>
      </c>
      <c r="P1352">
        <v>0</v>
      </c>
      <c r="Q1352">
        <v>-1</v>
      </c>
      <c r="R1352">
        <v>0</v>
      </c>
      <c r="S1352">
        <v>0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J1352">
        <v>2.9243999999999999</v>
      </c>
      <c r="AK1352" t="str">
        <f t="shared" si="21"/>
        <v>S2037-3700</v>
      </c>
    </row>
    <row r="1353" spans="1:37">
      <c r="A1353" t="s">
        <v>2496</v>
      </c>
      <c r="B1353" t="s">
        <v>1508</v>
      </c>
      <c r="C1353" t="s">
        <v>101</v>
      </c>
      <c r="D1353" t="s">
        <v>2497</v>
      </c>
      <c r="E1353">
        <v>65</v>
      </c>
      <c r="F1353">
        <v>0</v>
      </c>
      <c r="G1353">
        <v>0</v>
      </c>
      <c r="H1353">
        <v>72</v>
      </c>
      <c r="I1353">
        <v>47</v>
      </c>
      <c r="J1353">
        <v>51</v>
      </c>
      <c r="K1353">
        <v>0</v>
      </c>
      <c r="L1353">
        <v>23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216</v>
      </c>
      <c r="T1353">
        <v>0</v>
      </c>
      <c r="U1353">
        <v>0</v>
      </c>
      <c r="V1353">
        <v>0</v>
      </c>
      <c r="W1353">
        <v>0</v>
      </c>
      <c r="X1353">
        <v>64</v>
      </c>
      <c r="Y1353">
        <v>98</v>
      </c>
      <c r="Z1353">
        <v>0</v>
      </c>
      <c r="AA1353">
        <v>48</v>
      </c>
      <c r="AB1353">
        <v>39</v>
      </c>
      <c r="AC1353">
        <v>73</v>
      </c>
      <c r="AD1353">
        <v>68</v>
      </c>
      <c r="AE1353">
        <v>606</v>
      </c>
      <c r="AF1353">
        <v>111</v>
      </c>
      <c r="AJ1353">
        <v>4.34</v>
      </c>
      <c r="AK1353" t="str">
        <f t="shared" si="21"/>
        <v>S2037-5000</v>
      </c>
    </row>
    <row r="1354" spans="1:37">
      <c r="A1354" t="s">
        <v>2498</v>
      </c>
      <c r="B1354" t="s">
        <v>1508</v>
      </c>
      <c r="C1354" t="s">
        <v>101</v>
      </c>
      <c r="D1354" t="s">
        <v>2497</v>
      </c>
      <c r="E1354">
        <v>65</v>
      </c>
      <c r="F1354">
        <v>8</v>
      </c>
      <c r="G1354">
        <v>0</v>
      </c>
      <c r="H1354">
        <v>62</v>
      </c>
      <c r="I1354">
        <v>31</v>
      </c>
      <c r="J1354">
        <v>47</v>
      </c>
      <c r="K1354">
        <v>1962</v>
      </c>
      <c r="L1354">
        <v>170</v>
      </c>
      <c r="M1354">
        <v>0</v>
      </c>
      <c r="N1354">
        <v>0</v>
      </c>
      <c r="O1354">
        <v>0</v>
      </c>
      <c r="P1354">
        <v>0</v>
      </c>
      <c r="Q1354">
        <v>1962</v>
      </c>
      <c r="R1354">
        <v>0</v>
      </c>
      <c r="S1354">
        <v>185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146</v>
      </c>
      <c r="Z1354">
        <v>81</v>
      </c>
      <c r="AA1354">
        <v>0</v>
      </c>
      <c r="AB1354">
        <v>27</v>
      </c>
      <c r="AC1354">
        <v>119</v>
      </c>
      <c r="AD1354">
        <v>0</v>
      </c>
      <c r="AE1354">
        <v>558</v>
      </c>
      <c r="AF1354">
        <v>1409</v>
      </c>
      <c r="AJ1354">
        <v>4.5999999999999996</v>
      </c>
      <c r="AK1354" t="str">
        <f t="shared" si="21"/>
        <v>S2037-6200</v>
      </c>
    </row>
    <row r="1355" spans="1:37">
      <c r="A1355" t="s">
        <v>2499</v>
      </c>
      <c r="B1355" t="s">
        <v>2500</v>
      </c>
      <c r="C1355" t="s">
        <v>68</v>
      </c>
      <c r="D1355" t="s">
        <v>2501</v>
      </c>
      <c r="E1355">
        <v>65</v>
      </c>
      <c r="F1355">
        <v>-0.5</v>
      </c>
      <c r="G1355">
        <v>34</v>
      </c>
      <c r="H1355">
        <v>14</v>
      </c>
      <c r="I1355">
        <v>28</v>
      </c>
      <c r="J1355">
        <v>21</v>
      </c>
      <c r="K1355">
        <v>0</v>
      </c>
      <c r="L1355">
        <v>16</v>
      </c>
      <c r="M1355">
        <v>0</v>
      </c>
      <c r="N1355">
        <v>28</v>
      </c>
      <c r="O1355">
        <v>0</v>
      </c>
      <c r="P1355">
        <v>0</v>
      </c>
      <c r="Q1355">
        <v>-28</v>
      </c>
      <c r="R1355">
        <v>23</v>
      </c>
      <c r="S1355">
        <v>41</v>
      </c>
      <c r="T1355">
        <v>0</v>
      </c>
      <c r="U1355">
        <v>0</v>
      </c>
      <c r="V1355">
        <v>0</v>
      </c>
      <c r="W1355">
        <v>72</v>
      </c>
      <c r="X1355">
        <v>56</v>
      </c>
      <c r="Y1355">
        <v>10</v>
      </c>
      <c r="Z1355">
        <v>0</v>
      </c>
      <c r="AA1355">
        <v>59</v>
      </c>
      <c r="AB1355">
        <v>0</v>
      </c>
      <c r="AC1355">
        <v>15</v>
      </c>
      <c r="AD1355">
        <v>0</v>
      </c>
      <c r="AE1355">
        <v>253</v>
      </c>
      <c r="AF1355">
        <v>75</v>
      </c>
      <c r="AJ1355">
        <v>4.97</v>
      </c>
      <c r="AK1355" t="str">
        <f t="shared" si="21"/>
        <v>S2063-5000</v>
      </c>
    </row>
    <row r="1356" spans="1:37">
      <c r="A1356" t="s">
        <v>2502</v>
      </c>
      <c r="B1356" t="s">
        <v>2500</v>
      </c>
      <c r="C1356" t="s">
        <v>68</v>
      </c>
      <c r="D1356" t="s">
        <v>2501</v>
      </c>
      <c r="E1356">
        <v>65</v>
      </c>
      <c r="F1356">
        <v>0</v>
      </c>
      <c r="G1356">
        <v>31</v>
      </c>
      <c r="H1356">
        <v>0</v>
      </c>
      <c r="I1356">
        <v>7</v>
      </c>
      <c r="J1356">
        <v>20</v>
      </c>
      <c r="K1356">
        <v>780</v>
      </c>
      <c r="L1356">
        <v>0</v>
      </c>
      <c r="M1356">
        <v>0</v>
      </c>
      <c r="N1356">
        <v>26</v>
      </c>
      <c r="O1356">
        <v>0</v>
      </c>
      <c r="P1356">
        <v>0</v>
      </c>
      <c r="Q1356">
        <v>754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44</v>
      </c>
      <c r="Y1356">
        <v>64</v>
      </c>
      <c r="Z1356">
        <v>0</v>
      </c>
      <c r="AA1356">
        <v>23</v>
      </c>
      <c r="AB1356">
        <v>0</v>
      </c>
      <c r="AC1356">
        <v>57</v>
      </c>
      <c r="AD1356">
        <v>55</v>
      </c>
      <c r="AE1356">
        <v>243</v>
      </c>
      <c r="AF1356">
        <v>342</v>
      </c>
      <c r="AJ1356">
        <v>5.09</v>
      </c>
      <c r="AK1356" t="str">
        <f t="shared" si="21"/>
        <v>S2063-6200</v>
      </c>
    </row>
    <row r="1357" spans="1:37">
      <c r="A1357" t="s">
        <v>2506</v>
      </c>
      <c r="B1357" t="s">
        <v>2504</v>
      </c>
      <c r="C1357" t="s">
        <v>68</v>
      </c>
      <c r="D1357" t="s">
        <v>2505</v>
      </c>
      <c r="E1357">
        <v>80</v>
      </c>
      <c r="F1357">
        <v>0</v>
      </c>
      <c r="G1357">
        <v>0</v>
      </c>
      <c r="H1357">
        <v>0</v>
      </c>
      <c r="I1357">
        <v>0</v>
      </c>
      <c r="J1357">
        <v>9</v>
      </c>
      <c r="K1357">
        <v>2133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2133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105</v>
      </c>
      <c r="AE1357">
        <v>105</v>
      </c>
      <c r="AF1357">
        <v>320</v>
      </c>
      <c r="AJ1357">
        <v>2.9</v>
      </c>
      <c r="AK1357" t="str">
        <f t="shared" si="21"/>
        <v>S2085-6200</v>
      </c>
    </row>
    <row r="1358" spans="1:37">
      <c r="A1358" t="s">
        <v>2507</v>
      </c>
      <c r="B1358" t="s">
        <v>2508</v>
      </c>
      <c r="C1358" t="s">
        <v>68</v>
      </c>
      <c r="E1358">
        <v>50</v>
      </c>
      <c r="F1358">
        <v>0</v>
      </c>
      <c r="G1358">
        <v>0</v>
      </c>
      <c r="H1358">
        <v>0</v>
      </c>
      <c r="I1358">
        <v>0</v>
      </c>
      <c r="J1358">
        <v>0</v>
      </c>
      <c r="K1358">
        <v>1984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1984</v>
      </c>
      <c r="R1358">
        <v>0</v>
      </c>
      <c r="S1358">
        <v>0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579</v>
      </c>
      <c r="AJ1358">
        <v>4.96</v>
      </c>
      <c r="AK1358" t="str">
        <f t="shared" si="21"/>
        <v>S2114-6200</v>
      </c>
    </row>
    <row r="1359" spans="1:37">
      <c r="A1359" t="s">
        <v>2509</v>
      </c>
      <c r="B1359" t="s">
        <v>2510</v>
      </c>
      <c r="C1359" t="s">
        <v>267</v>
      </c>
      <c r="E1359">
        <v>50</v>
      </c>
      <c r="F1359">
        <v>5.3</v>
      </c>
      <c r="G1359">
        <v>3</v>
      </c>
      <c r="H1359">
        <v>43</v>
      </c>
      <c r="I1359">
        <v>26</v>
      </c>
      <c r="J1359">
        <v>16</v>
      </c>
      <c r="K1359">
        <v>926</v>
      </c>
      <c r="L1359">
        <v>28</v>
      </c>
      <c r="M1359">
        <v>0</v>
      </c>
      <c r="N1359">
        <v>2</v>
      </c>
      <c r="O1359">
        <v>0</v>
      </c>
      <c r="P1359">
        <v>0</v>
      </c>
      <c r="Q1359">
        <v>924</v>
      </c>
      <c r="R1359">
        <v>0</v>
      </c>
      <c r="S1359">
        <v>84</v>
      </c>
      <c r="T1359">
        <v>11</v>
      </c>
      <c r="U1359">
        <v>35</v>
      </c>
      <c r="V1359">
        <v>20</v>
      </c>
      <c r="W1359">
        <v>0</v>
      </c>
      <c r="X1359">
        <v>7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40</v>
      </c>
      <c r="AE1359">
        <v>197</v>
      </c>
      <c r="AF1359">
        <v>118</v>
      </c>
      <c r="AJ1359">
        <v>2.52</v>
      </c>
      <c r="AK1359" t="str">
        <f t="shared" si="21"/>
        <v>S2115-5000</v>
      </c>
    </row>
    <row r="1360" spans="1:37">
      <c r="A1360" t="s">
        <v>2511</v>
      </c>
      <c r="B1360" t="s">
        <v>2512</v>
      </c>
      <c r="C1360" t="s">
        <v>267</v>
      </c>
      <c r="E1360">
        <v>50</v>
      </c>
      <c r="F1360">
        <v>8.6</v>
      </c>
      <c r="G1360">
        <v>0</v>
      </c>
      <c r="H1360">
        <v>7</v>
      </c>
      <c r="I1360">
        <v>6</v>
      </c>
      <c r="J1360">
        <v>3</v>
      </c>
      <c r="K1360">
        <v>251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251</v>
      </c>
      <c r="R1360">
        <v>0</v>
      </c>
      <c r="S1360">
        <v>0</v>
      </c>
      <c r="T1360">
        <v>0</v>
      </c>
      <c r="U1360">
        <v>22</v>
      </c>
      <c r="V1360">
        <v>11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33</v>
      </c>
      <c r="AF1360">
        <v>86</v>
      </c>
      <c r="AJ1360">
        <v>2.52</v>
      </c>
      <c r="AK1360" t="str">
        <f t="shared" si="21"/>
        <v>S2115-6200</v>
      </c>
    </row>
    <row r="1361" spans="1:37">
      <c r="A1361" t="s">
        <v>2513</v>
      </c>
      <c r="B1361" t="s">
        <v>2514</v>
      </c>
      <c r="C1361" t="s">
        <v>68</v>
      </c>
      <c r="D1361" t="s">
        <v>2515</v>
      </c>
      <c r="E1361">
        <v>65</v>
      </c>
      <c r="F1361">
        <v>1</v>
      </c>
      <c r="G1361">
        <v>199</v>
      </c>
      <c r="H1361">
        <v>296</v>
      </c>
      <c r="I1361">
        <v>372</v>
      </c>
      <c r="J1361">
        <v>294</v>
      </c>
      <c r="K1361">
        <v>1342</v>
      </c>
      <c r="L1361">
        <v>253</v>
      </c>
      <c r="M1361">
        <v>0</v>
      </c>
      <c r="N1361">
        <v>166</v>
      </c>
      <c r="O1361">
        <v>0</v>
      </c>
      <c r="P1361">
        <v>0</v>
      </c>
      <c r="Q1361">
        <v>1176</v>
      </c>
      <c r="R1361">
        <v>0</v>
      </c>
      <c r="S1361">
        <v>226</v>
      </c>
      <c r="T1361">
        <v>661</v>
      </c>
      <c r="U1361">
        <v>0</v>
      </c>
      <c r="V1361">
        <v>370</v>
      </c>
      <c r="W1361">
        <v>404</v>
      </c>
      <c r="X1361">
        <v>571</v>
      </c>
      <c r="Y1361">
        <v>158</v>
      </c>
      <c r="Z1361">
        <v>0</v>
      </c>
      <c r="AA1361">
        <v>664</v>
      </c>
      <c r="AB1361">
        <v>348</v>
      </c>
      <c r="AC1361">
        <v>131</v>
      </c>
      <c r="AD1361">
        <v>0</v>
      </c>
      <c r="AE1361">
        <v>3533</v>
      </c>
      <c r="AF1361">
        <v>627</v>
      </c>
      <c r="AJ1361">
        <v>5.43</v>
      </c>
      <c r="AK1361" t="str">
        <f t="shared" si="21"/>
        <v>S3023-5000</v>
      </c>
    </row>
    <row r="1362" spans="1:37">
      <c r="A1362" t="s">
        <v>2516</v>
      </c>
      <c r="B1362" t="s">
        <v>2514</v>
      </c>
      <c r="C1362" t="s">
        <v>68</v>
      </c>
      <c r="D1362" t="s">
        <v>2515</v>
      </c>
      <c r="E1362">
        <v>65</v>
      </c>
      <c r="F1362">
        <v>1.3</v>
      </c>
      <c r="G1362">
        <v>40</v>
      </c>
      <c r="H1362">
        <v>122</v>
      </c>
      <c r="I1362">
        <v>140</v>
      </c>
      <c r="J1362">
        <v>116</v>
      </c>
      <c r="K1362">
        <v>642</v>
      </c>
      <c r="L1362">
        <v>88</v>
      </c>
      <c r="M1362">
        <v>0</v>
      </c>
      <c r="N1362">
        <v>33</v>
      </c>
      <c r="O1362">
        <v>0</v>
      </c>
      <c r="P1362">
        <v>0</v>
      </c>
      <c r="Q1362">
        <v>609</v>
      </c>
      <c r="R1362">
        <v>0</v>
      </c>
      <c r="S1362">
        <v>102</v>
      </c>
      <c r="T1362">
        <v>131</v>
      </c>
      <c r="U1362">
        <v>132</v>
      </c>
      <c r="V1362">
        <v>438</v>
      </c>
      <c r="W1362">
        <v>37</v>
      </c>
      <c r="X1362">
        <v>0</v>
      </c>
      <c r="Y1362">
        <v>49</v>
      </c>
      <c r="Z1362">
        <v>58</v>
      </c>
      <c r="AA1362">
        <v>42</v>
      </c>
      <c r="AB1362">
        <v>222</v>
      </c>
      <c r="AC1362">
        <v>127</v>
      </c>
      <c r="AD1362">
        <v>56</v>
      </c>
      <c r="AE1362">
        <v>1394</v>
      </c>
      <c r="AF1362">
        <v>3072</v>
      </c>
      <c r="AJ1362">
        <v>5.43</v>
      </c>
      <c r="AK1362" t="str">
        <f t="shared" si="21"/>
        <v>S3023-6200</v>
      </c>
    </row>
    <row r="1363" spans="1:37">
      <c r="A1363" t="s">
        <v>2517</v>
      </c>
      <c r="B1363" t="s">
        <v>2518</v>
      </c>
      <c r="C1363" t="s">
        <v>267</v>
      </c>
      <c r="E1363">
        <v>62</v>
      </c>
      <c r="F1363">
        <v>-0.1</v>
      </c>
      <c r="G1363">
        <v>50</v>
      </c>
      <c r="H1363">
        <v>145</v>
      </c>
      <c r="I1363">
        <v>98</v>
      </c>
      <c r="J1363">
        <v>94</v>
      </c>
      <c r="K1363">
        <v>0</v>
      </c>
      <c r="L1363">
        <v>63</v>
      </c>
      <c r="M1363">
        <v>0</v>
      </c>
      <c r="N1363">
        <v>42</v>
      </c>
      <c r="O1363">
        <v>0</v>
      </c>
      <c r="P1363">
        <v>0</v>
      </c>
      <c r="Q1363">
        <v>-42</v>
      </c>
      <c r="R1363">
        <v>0</v>
      </c>
      <c r="S1363">
        <v>48</v>
      </c>
      <c r="T1363">
        <v>107</v>
      </c>
      <c r="U1363">
        <v>281</v>
      </c>
      <c r="V1363">
        <v>28</v>
      </c>
      <c r="W1363">
        <v>107</v>
      </c>
      <c r="X1363">
        <v>19</v>
      </c>
      <c r="Y1363">
        <v>124</v>
      </c>
      <c r="Z1363">
        <v>152</v>
      </c>
      <c r="AA1363">
        <v>65</v>
      </c>
      <c r="AB1363">
        <v>199</v>
      </c>
      <c r="AC1363">
        <v>0</v>
      </c>
      <c r="AD1363">
        <v>0</v>
      </c>
      <c r="AE1363">
        <v>1130</v>
      </c>
      <c r="AF1363">
        <v>693</v>
      </c>
      <c r="AJ1363">
        <v>4.99</v>
      </c>
      <c r="AK1363" t="str">
        <f t="shared" si="21"/>
        <v>S3068-5000</v>
      </c>
    </row>
    <row r="1364" spans="1:37">
      <c r="A1364" t="s">
        <v>2519</v>
      </c>
      <c r="B1364" t="s">
        <v>2520</v>
      </c>
      <c r="C1364" t="s">
        <v>267</v>
      </c>
      <c r="E1364">
        <v>62</v>
      </c>
      <c r="F1364">
        <v>7.5</v>
      </c>
      <c r="G1364">
        <v>30</v>
      </c>
      <c r="H1364">
        <v>70</v>
      </c>
      <c r="I1364">
        <v>47</v>
      </c>
      <c r="J1364">
        <v>44</v>
      </c>
      <c r="K1364">
        <v>2128</v>
      </c>
      <c r="L1364">
        <v>98</v>
      </c>
      <c r="M1364">
        <v>0</v>
      </c>
      <c r="N1364">
        <v>25</v>
      </c>
      <c r="O1364">
        <v>0</v>
      </c>
      <c r="P1364">
        <v>0</v>
      </c>
      <c r="Q1364">
        <v>2103</v>
      </c>
      <c r="R1364">
        <v>0</v>
      </c>
      <c r="S1364">
        <v>98</v>
      </c>
      <c r="T1364">
        <v>0</v>
      </c>
      <c r="U1364">
        <v>111</v>
      </c>
      <c r="V1364">
        <v>9</v>
      </c>
      <c r="W1364">
        <v>59</v>
      </c>
      <c r="X1364">
        <v>6</v>
      </c>
      <c r="Y1364">
        <v>0</v>
      </c>
      <c r="Z1364">
        <v>28</v>
      </c>
      <c r="AA1364">
        <v>0</v>
      </c>
      <c r="AB1364">
        <v>215</v>
      </c>
      <c r="AC1364">
        <v>0</v>
      </c>
      <c r="AD1364">
        <v>0</v>
      </c>
      <c r="AE1364">
        <v>526</v>
      </c>
      <c r="AF1364">
        <v>1200</v>
      </c>
      <c r="AJ1364">
        <v>4.99</v>
      </c>
      <c r="AK1364" t="str">
        <f t="shared" si="21"/>
        <v>S3068-6200</v>
      </c>
    </row>
    <row r="1365" spans="1:37">
      <c r="A1365" t="s">
        <v>2521</v>
      </c>
      <c r="B1365" t="s">
        <v>2522</v>
      </c>
      <c r="C1365" t="s">
        <v>267</v>
      </c>
      <c r="D1365" t="s">
        <v>2523</v>
      </c>
      <c r="E1365">
        <v>50</v>
      </c>
      <c r="F1365">
        <v>8.3000000000000007</v>
      </c>
      <c r="G1365">
        <v>29</v>
      </c>
      <c r="H1365">
        <v>34</v>
      </c>
      <c r="I1365">
        <v>64</v>
      </c>
      <c r="J1365">
        <v>83</v>
      </c>
      <c r="K1365">
        <v>1147</v>
      </c>
      <c r="L1365">
        <v>129</v>
      </c>
      <c r="M1365">
        <v>0</v>
      </c>
      <c r="N1365">
        <v>24</v>
      </c>
      <c r="O1365">
        <v>0</v>
      </c>
      <c r="P1365">
        <v>0</v>
      </c>
      <c r="Q1365">
        <v>1123</v>
      </c>
      <c r="R1365">
        <v>0</v>
      </c>
      <c r="S1365">
        <v>0</v>
      </c>
      <c r="T1365">
        <v>0</v>
      </c>
      <c r="U1365">
        <v>102</v>
      </c>
      <c r="V1365">
        <v>0</v>
      </c>
      <c r="W1365">
        <v>102</v>
      </c>
      <c r="X1365">
        <v>182</v>
      </c>
      <c r="Y1365">
        <v>440</v>
      </c>
      <c r="Z1365">
        <v>35</v>
      </c>
      <c r="AA1365">
        <v>0</v>
      </c>
      <c r="AB1365">
        <v>76</v>
      </c>
      <c r="AC1365">
        <v>29</v>
      </c>
      <c r="AD1365">
        <v>34</v>
      </c>
      <c r="AE1365">
        <v>1000</v>
      </c>
      <c r="AF1365">
        <v>1322</v>
      </c>
      <c r="AJ1365">
        <v>5.57</v>
      </c>
      <c r="AK1365" t="str">
        <f t="shared" si="21"/>
        <v>S3069-5000</v>
      </c>
    </row>
    <row r="1366" spans="1:37">
      <c r="A1366" t="s">
        <v>2524</v>
      </c>
      <c r="B1366" t="s">
        <v>2525</v>
      </c>
      <c r="C1366" t="s">
        <v>267</v>
      </c>
      <c r="D1366" t="s">
        <v>2526</v>
      </c>
      <c r="E1366">
        <v>50</v>
      </c>
      <c r="F1366" t="s">
        <v>5949</v>
      </c>
      <c r="G1366">
        <v>3</v>
      </c>
      <c r="H1366">
        <v>0</v>
      </c>
      <c r="I1366">
        <v>38</v>
      </c>
      <c r="J1366">
        <v>30</v>
      </c>
      <c r="K1366">
        <v>2428</v>
      </c>
      <c r="L1366">
        <v>79</v>
      </c>
      <c r="M1366">
        <v>0</v>
      </c>
      <c r="N1366">
        <v>2</v>
      </c>
      <c r="O1366">
        <v>0</v>
      </c>
      <c r="P1366">
        <v>0</v>
      </c>
      <c r="Q1366">
        <v>2426</v>
      </c>
      <c r="R1366">
        <v>0</v>
      </c>
      <c r="S1366">
        <v>0</v>
      </c>
      <c r="T1366">
        <v>0</v>
      </c>
      <c r="U1366">
        <v>1</v>
      </c>
      <c r="V1366">
        <v>0</v>
      </c>
      <c r="W1366">
        <v>86</v>
      </c>
      <c r="X1366">
        <v>143</v>
      </c>
      <c r="Y1366">
        <v>124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354</v>
      </c>
      <c r="AF1366">
        <v>441</v>
      </c>
      <c r="AJ1366">
        <v>5.57</v>
      </c>
      <c r="AK1366" t="str">
        <f t="shared" si="21"/>
        <v>S3069-6200</v>
      </c>
    </row>
    <row r="1367" spans="1:37">
      <c r="A1367" t="s">
        <v>2527</v>
      </c>
      <c r="B1367" t="s">
        <v>2528</v>
      </c>
      <c r="C1367" t="s">
        <v>267</v>
      </c>
      <c r="E1367">
        <v>50</v>
      </c>
      <c r="F1367">
        <v>-0.9</v>
      </c>
      <c r="G1367">
        <v>125</v>
      </c>
      <c r="H1367">
        <v>28</v>
      </c>
      <c r="I1367">
        <v>19</v>
      </c>
      <c r="J1367">
        <v>36</v>
      </c>
      <c r="K1367">
        <v>0</v>
      </c>
      <c r="L1367">
        <v>54</v>
      </c>
      <c r="M1367">
        <v>0</v>
      </c>
      <c r="N1367">
        <v>104</v>
      </c>
      <c r="O1367">
        <v>0</v>
      </c>
      <c r="P1367">
        <v>0</v>
      </c>
      <c r="Q1367">
        <v>-104</v>
      </c>
      <c r="R1367">
        <v>0</v>
      </c>
      <c r="S1367">
        <v>52</v>
      </c>
      <c r="T1367">
        <v>31</v>
      </c>
      <c r="U1367">
        <v>0</v>
      </c>
      <c r="V1367">
        <v>32</v>
      </c>
      <c r="W1367">
        <v>0</v>
      </c>
      <c r="X1367">
        <v>0</v>
      </c>
      <c r="Y1367">
        <v>48</v>
      </c>
      <c r="Z1367">
        <v>40</v>
      </c>
      <c r="AA1367">
        <v>158</v>
      </c>
      <c r="AB1367">
        <v>76</v>
      </c>
      <c r="AC1367">
        <v>0</v>
      </c>
      <c r="AD1367">
        <v>0</v>
      </c>
      <c r="AE1367">
        <v>437</v>
      </c>
      <c r="AF1367">
        <v>207</v>
      </c>
      <c r="AJ1367">
        <v>4.4400000000000004</v>
      </c>
      <c r="AK1367" t="str">
        <f t="shared" si="21"/>
        <v>S3070-5000</v>
      </c>
    </row>
    <row r="1368" spans="1:37">
      <c r="A1368" t="s">
        <v>2529</v>
      </c>
      <c r="B1368" t="s">
        <v>2530</v>
      </c>
      <c r="C1368" t="s">
        <v>267</v>
      </c>
      <c r="E1368">
        <v>50</v>
      </c>
      <c r="F1368">
        <v>2.1</v>
      </c>
      <c r="G1368">
        <v>55</v>
      </c>
      <c r="H1368">
        <v>73</v>
      </c>
      <c r="I1368">
        <v>58</v>
      </c>
      <c r="J1368">
        <v>59</v>
      </c>
      <c r="K1368">
        <v>645</v>
      </c>
      <c r="L1368">
        <v>33</v>
      </c>
      <c r="M1368">
        <v>0</v>
      </c>
      <c r="N1368">
        <v>46</v>
      </c>
      <c r="O1368">
        <v>0</v>
      </c>
      <c r="P1368">
        <v>0</v>
      </c>
      <c r="Q1368">
        <v>599</v>
      </c>
      <c r="R1368">
        <v>28</v>
      </c>
      <c r="S1368">
        <v>65</v>
      </c>
      <c r="T1368">
        <v>0</v>
      </c>
      <c r="U1368">
        <v>153</v>
      </c>
      <c r="V1368">
        <v>72</v>
      </c>
      <c r="W1368">
        <v>44</v>
      </c>
      <c r="X1368">
        <v>16</v>
      </c>
      <c r="Y1368">
        <v>0</v>
      </c>
      <c r="Z1368">
        <v>0</v>
      </c>
      <c r="AA1368">
        <v>190</v>
      </c>
      <c r="AB1368">
        <v>68</v>
      </c>
      <c r="AC1368">
        <v>0</v>
      </c>
      <c r="AD1368">
        <v>104</v>
      </c>
      <c r="AE1368">
        <v>712</v>
      </c>
      <c r="AF1368">
        <v>812</v>
      </c>
      <c r="AJ1368">
        <v>4.71</v>
      </c>
      <c r="AK1368" t="str">
        <f t="shared" si="21"/>
        <v>S3070-6200</v>
      </c>
    </row>
    <row r="1369" spans="1:37">
      <c r="A1369" t="s">
        <v>2531</v>
      </c>
      <c r="B1369" t="s">
        <v>2532</v>
      </c>
      <c r="C1369" t="s">
        <v>267</v>
      </c>
      <c r="E1369">
        <v>62</v>
      </c>
      <c r="F1369">
        <v>3.1</v>
      </c>
      <c r="G1369">
        <v>0</v>
      </c>
      <c r="H1369">
        <v>40</v>
      </c>
      <c r="I1369">
        <v>31</v>
      </c>
      <c r="J1369">
        <v>48</v>
      </c>
      <c r="K1369">
        <v>494</v>
      </c>
      <c r="L1369">
        <v>33</v>
      </c>
      <c r="M1369">
        <v>0</v>
      </c>
      <c r="N1369">
        <v>0</v>
      </c>
      <c r="O1369">
        <v>0</v>
      </c>
      <c r="P1369">
        <v>0</v>
      </c>
      <c r="Q1369">
        <v>494</v>
      </c>
      <c r="R1369">
        <v>0</v>
      </c>
      <c r="S1369">
        <v>0</v>
      </c>
      <c r="T1369">
        <v>74</v>
      </c>
      <c r="U1369">
        <v>45</v>
      </c>
      <c r="V1369">
        <v>11</v>
      </c>
      <c r="W1369">
        <v>0</v>
      </c>
      <c r="X1369">
        <v>58</v>
      </c>
      <c r="Y1369">
        <v>0</v>
      </c>
      <c r="Z1369">
        <v>229</v>
      </c>
      <c r="AA1369">
        <v>16</v>
      </c>
      <c r="AB1369">
        <v>41</v>
      </c>
      <c r="AC1369">
        <v>94</v>
      </c>
      <c r="AD1369">
        <v>8</v>
      </c>
      <c r="AE1369">
        <v>576</v>
      </c>
      <c r="AF1369">
        <v>192</v>
      </c>
      <c r="AJ1369">
        <v>6.58</v>
      </c>
      <c r="AK1369" t="str">
        <f t="shared" si="21"/>
        <v>S4025-5000</v>
      </c>
    </row>
    <row r="1370" spans="1:37">
      <c r="A1370" t="s">
        <v>2533</v>
      </c>
      <c r="B1370" t="s">
        <v>2534</v>
      </c>
      <c r="C1370" t="s">
        <v>267</v>
      </c>
      <c r="E1370">
        <v>62</v>
      </c>
      <c r="F1370">
        <v>2.1</v>
      </c>
      <c r="G1370">
        <v>31</v>
      </c>
      <c r="H1370">
        <v>27</v>
      </c>
      <c r="I1370">
        <v>18</v>
      </c>
      <c r="J1370">
        <v>39</v>
      </c>
      <c r="K1370">
        <v>260</v>
      </c>
      <c r="L1370">
        <v>25</v>
      </c>
      <c r="M1370">
        <v>0</v>
      </c>
      <c r="N1370">
        <v>26</v>
      </c>
      <c r="O1370">
        <v>0</v>
      </c>
      <c r="P1370">
        <v>0</v>
      </c>
      <c r="Q1370">
        <v>234</v>
      </c>
      <c r="R1370">
        <v>0</v>
      </c>
      <c r="S1370">
        <v>31</v>
      </c>
      <c r="T1370">
        <v>0</v>
      </c>
      <c r="U1370">
        <v>51</v>
      </c>
      <c r="V1370">
        <v>0</v>
      </c>
      <c r="W1370">
        <v>0</v>
      </c>
      <c r="X1370">
        <v>26</v>
      </c>
      <c r="Y1370">
        <v>74</v>
      </c>
      <c r="Z1370">
        <v>166</v>
      </c>
      <c r="AA1370">
        <v>81</v>
      </c>
      <c r="AB1370">
        <v>0</v>
      </c>
      <c r="AC1370">
        <v>0</v>
      </c>
      <c r="AD1370">
        <v>33</v>
      </c>
      <c r="AE1370">
        <v>462</v>
      </c>
      <c r="AF1370">
        <v>761</v>
      </c>
      <c r="AJ1370">
        <v>5.68</v>
      </c>
      <c r="AK1370" t="str">
        <f t="shared" si="21"/>
        <v>S4025-6200</v>
      </c>
    </row>
    <row r="1371" spans="1:37">
      <c r="A1371" t="s">
        <v>2535</v>
      </c>
      <c r="B1371" t="s">
        <v>2536</v>
      </c>
      <c r="C1371" t="s">
        <v>267</v>
      </c>
      <c r="E1371">
        <v>62</v>
      </c>
      <c r="F1371">
        <v>-0.2</v>
      </c>
      <c r="G1371">
        <v>43</v>
      </c>
      <c r="H1371">
        <v>57</v>
      </c>
      <c r="I1371">
        <v>37</v>
      </c>
      <c r="J1371">
        <v>50</v>
      </c>
      <c r="K1371">
        <v>0</v>
      </c>
      <c r="L1371">
        <v>78</v>
      </c>
      <c r="M1371">
        <v>0</v>
      </c>
      <c r="N1371">
        <v>36</v>
      </c>
      <c r="O1371">
        <v>0</v>
      </c>
      <c r="P1371">
        <v>0</v>
      </c>
      <c r="Q1371">
        <v>-36</v>
      </c>
      <c r="R1371">
        <v>0</v>
      </c>
      <c r="S1371">
        <v>61</v>
      </c>
      <c r="T1371">
        <v>0</v>
      </c>
      <c r="U1371">
        <v>111</v>
      </c>
      <c r="V1371">
        <v>0</v>
      </c>
      <c r="W1371">
        <v>0</v>
      </c>
      <c r="X1371">
        <v>48</v>
      </c>
      <c r="Y1371">
        <v>166</v>
      </c>
      <c r="Z1371">
        <v>0</v>
      </c>
      <c r="AA1371">
        <v>19</v>
      </c>
      <c r="AB1371">
        <v>0</v>
      </c>
      <c r="AC1371">
        <v>38</v>
      </c>
      <c r="AD1371">
        <v>152</v>
      </c>
      <c r="AE1371">
        <v>595</v>
      </c>
      <c r="AF1371">
        <v>1119</v>
      </c>
      <c r="AJ1371">
        <v>5.59</v>
      </c>
      <c r="AK1371" t="str">
        <f t="shared" si="21"/>
        <v>S5057-5000</v>
      </c>
    </row>
    <row r="1372" spans="1:37">
      <c r="A1372" t="s">
        <v>2537</v>
      </c>
      <c r="B1372" t="s">
        <v>2538</v>
      </c>
      <c r="C1372" t="s">
        <v>267</v>
      </c>
      <c r="E1372">
        <v>62</v>
      </c>
      <c r="F1372">
        <v>0</v>
      </c>
      <c r="G1372">
        <v>0</v>
      </c>
      <c r="H1372">
        <v>0</v>
      </c>
      <c r="I1372">
        <v>0</v>
      </c>
      <c r="J1372">
        <v>11</v>
      </c>
      <c r="K1372">
        <v>2206</v>
      </c>
      <c r="L1372">
        <v>19</v>
      </c>
      <c r="M1372">
        <v>0</v>
      </c>
      <c r="N1372">
        <v>0</v>
      </c>
      <c r="O1372">
        <v>0</v>
      </c>
      <c r="P1372">
        <v>0</v>
      </c>
      <c r="Q1372">
        <v>2206</v>
      </c>
      <c r="R1372">
        <v>0</v>
      </c>
      <c r="S1372">
        <v>0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127</v>
      </c>
      <c r="AB1372">
        <v>0</v>
      </c>
      <c r="AC1372">
        <v>0</v>
      </c>
      <c r="AD1372">
        <v>0</v>
      </c>
      <c r="AE1372">
        <v>127</v>
      </c>
      <c r="AF1372">
        <v>547</v>
      </c>
      <c r="AJ1372">
        <v>5.59</v>
      </c>
      <c r="AK1372" t="str">
        <f t="shared" si="21"/>
        <v>S5057-6200</v>
      </c>
    </row>
    <row r="1373" spans="1:37">
      <c r="A1373" t="s">
        <v>2539</v>
      </c>
      <c r="B1373" t="s">
        <v>2540</v>
      </c>
      <c r="C1373" t="s">
        <v>267</v>
      </c>
      <c r="D1373" t="s">
        <v>2064</v>
      </c>
      <c r="E1373">
        <v>50</v>
      </c>
      <c r="F1373">
        <v>0</v>
      </c>
      <c r="G1373">
        <v>0</v>
      </c>
      <c r="H1373">
        <v>0</v>
      </c>
      <c r="I1373">
        <v>0</v>
      </c>
      <c r="J1373">
        <v>0</v>
      </c>
      <c r="K1373">
        <v>1180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1180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127</v>
      </c>
      <c r="AJ1373">
        <v>2.52</v>
      </c>
      <c r="AK1373" t="str">
        <f t="shared" si="21"/>
        <v>S5058-5000</v>
      </c>
    </row>
    <row r="1374" spans="1:37">
      <c r="A1374" t="s">
        <v>2541</v>
      </c>
      <c r="B1374" t="s">
        <v>2542</v>
      </c>
      <c r="C1374" t="s">
        <v>267</v>
      </c>
      <c r="E1374">
        <v>50</v>
      </c>
      <c r="F1374">
        <v>2.4</v>
      </c>
      <c r="G1374">
        <v>17</v>
      </c>
      <c r="H1374">
        <v>45</v>
      </c>
      <c r="I1374">
        <v>90</v>
      </c>
      <c r="J1374">
        <v>123</v>
      </c>
      <c r="K1374">
        <v>451</v>
      </c>
      <c r="L1374">
        <v>116</v>
      </c>
      <c r="M1374">
        <v>0</v>
      </c>
      <c r="N1374">
        <v>14</v>
      </c>
      <c r="O1374">
        <v>0</v>
      </c>
      <c r="P1374">
        <v>0</v>
      </c>
      <c r="Q1374">
        <v>437</v>
      </c>
      <c r="R1374">
        <v>0</v>
      </c>
      <c r="S1374">
        <v>0</v>
      </c>
      <c r="T1374">
        <v>134</v>
      </c>
      <c r="U1374">
        <v>0</v>
      </c>
      <c r="V1374">
        <v>196</v>
      </c>
      <c r="W1374">
        <v>99</v>
      </c>
      <c r="X1374">
        <v>113</v>
      </c>
      <c r="Y1374">
        <v>149</v>
      </c>
      <c r="Z1374">
        <v>0</v>
      </c>
      <c r="AA1374">
        <v>480</v>
      </c>
      <c r="AB1374">
        <v>0</v>
      </c>
      <c r="AC1374">
        <v>280</v>
      </c>
      <c r="AD1374">
        <v>25</v>
      </c>
      <c r="AE1374">
        <v>1476</v>
      </c>
      <c r="AF1374">
        <v>1489</v>
      </c>
      <c r="AJ1374">
        <v>6.04</v>
      </c>
      <c r="AK1374" t="str">
        <f t="shared" si="21"/>
        <v>S5059-5000</v>
      </c>
    </row>
    <row r="1375" spans="1:37">
      <c r="A1375" t="s">
        <v>2543</v>
      </c>
      <c r="B1375" t="s">
        <v>2544</v>
      </c>
      <c r="C1375" t="s">
        <v>267</v>
      </c>
      <c r="E1375">
        <v>50</v>
      </c>
      <c r="F1375">
        <v>0</v>
      </c>
      <c r="G1375">
        <v>0</v>
      </c>
      <c r="H1375">
        <v>0</v>
      </c>
      <c r="I1375">
        <v>37</v>
      </c>
      <c r="J1375">
        <v>76</v>
      </c>
      <c r="K1375">
        <v>1552</v>
      </c>
      <c r="L1375">
        <v>36</v>
      </c>
      <c r="M1375">
        <v>0</v>
      </c>
      <c r="N1375">
        <v>0</v>
      </c>
      <c r="O1375">
        <v>0</v>
      </c>
      <c r="P1375">
        <v>0</v>
      </c>
      <c r="Q1375">
        <v>1552</v>
      </c>
      <c r="R1375">
        <v>0</v>
      </c>
      <c r="S1375">
        <v>0</v>
      </c>
      <c r="T1375">
        <v>0</v>
      </c>
      <c r="U1375">
        <v>0</v>
      </c>
      <c r="V1375">
        <v>48</v>
      </c>
      <c r="W1375">
        <v>140</v>
      </c>
      <c r="X1375">
        <v>33</v>
      </c>
      <c r="Y1375">
        <v>0</v>
      </c>
      <c r="Z1375">
        <v>398</v>
      </c>
      <c r="AA1375">
        <v>80</v>
      </c>
      <c r="AB1375">
        <v>40</v>
      </c>
      <c r="AC1375">
        <v>145</v>
      </c>
      <c r="AD1375">
        <v>23</v>
      </c>
      <c r="AE1375">
        <v>907</v>
      </c>
      <c r="AF1375">
        <v>1372</v>
      </c>
      <c r="AJ1375">
        <v>6.04</v>
      </c>
      <c r="AK1375" t="str">
        <f t="shared" si="21"/>
        <v>S5059-6200</v>
      </c>
    </row>
    <row r="1376" spans="1:37">
      <c r="A1376" t="s">
        <v>2545</v>
      </c>
      <c r="B1376" t="s">
        <v>2546</v>
      </c>
      <c r="C1376" t="s">
        <v>68</v>
      </c>
      <c r="D1376" t="s">
        <v>2547</v>
      </c>
      <c r="E1376">
        <v>65</v>
      </c>
      <c r="F1376">
        <v>-0.3</v>
      </c>
      <c r="G1376">
        <v>542</v>
      </c>
      <c r="H1376">
        <v>183</v>
      </c>
      <c r="I1376">
        <v>139</v>
      </c>
      <c r="J1376">
        <v>208</v>
      </c>
      <c r="K1376">
        <v>262</v>
      </c>
      <c r="L1376">
        <v>118</v>
      </c>
      <c r="M1376">
        <v>0</v>
      </c>
      <c r="N1376">
        <v>452</v>
      </c>
      <c r="O1376">
        <v>0</v>
      </c>
      <c r="P1376">
        <v>0</v>
      </c>
      <c r="Q1376">
        <v>-190</v>
      </c>
      <c r="R1376">
        <v>0</v>
      </c>
      <c r="S1376">
        <v>216</v>
      </c>
      <c r="T1376">
        <v>133</v>
      </c>
      <c r="U1376">
        <v>199</v>
      </c>
      <c r="V1376">
        <v>74</v>
      </c>
      <c r="W1376">
        <v>36</v>
      </c>
      <c r="X1376">
        <v>173</v>
      </c>
      <c r="Y1376">
        <v>271</v>
      </c>
      <c r="Z1376">
        <v>979</v>
      </c>
      <c r="AA1376">
        <v>35</v>
      </c>
      <c r="AB1376">
        <v>242</v>
      </c>
      <c r="AC1376">
        <v>118</v>
      </c>
      <c r="AD1376">
        <v>17</v>
      </c>
      <c r="AE1376">
        <v>2493</v>
      </c>
      <c r="AF1376">
        <v>1812</v>
      </c>
      <c r="AJ1376">
        <v>3.69</v>
      </c>
      <c r="AK1376" t="str">
        <f t="shared" si="21"/>
        <v>S6037-5000</v>
      </c>
    </row>
    <row r="1377" spans="1:37">
      <c r="A1377" t="s">
        <v>2548</v>
      </c>
      <c r="B1377" t="s">
        <v>2546</v>
      </c>
      <c r="C1377" t="s">
        <v>68</v>
      </c>
      <c r="D1377" t="s">
        <v>2549</v>
      </c>
      <c r="E1377">
        <v>65</v>
      </c>
      <c r="F1377">
        <v>0.4</v>
      </c>
      <c r="G1377">
        <v>224</v>
      </c>
      <c r="H1377">
        <v>155</v>
      </c>
      <c r="I1377">
        <v>98</v>
      </c>
      <c r="J1377">
        <v>110</v>
      </c>
      <c r="K1377">
        <v>443</v>
      </c>
      <c r="L1377">
        <v>170</v>
      </c>
      <c r="M1377">
        <v>0</v>
      </c>
      <c r="N1377">
        <v>187</v>
      </c>
      <c r="O1377">
        <v>0</v>
      </c>
      <c r="P1377">
        <v>0</v>
      </c>
      <c r="Q1377">
        <v>256</v>
      </c>
      <c r="R1377">
        <v>0</v>
      </c>
      <c r="S1377">
        <v>173</v>
      </c>
      <c r="T1377">
        <v>206</v>
      </c>
      <c r="U1377">
        <v>85</v>
      </c>
      <c r="V1377">
        <v>0</v>
      </c>
      <c r="W1377">
        <v>70</v>
      </c>
      <c r="X1377">
        <v>54</v>
      </c>
      <c r="Y1377">
        <v>82</v>
      </c>
      <c r="Z1377">
        <v>0</v>
      </c>
      <c r="AA1377">
        <v>146</v>
      </c>
      <c r="AB1377">
        <v>178</v>
      </c>
      <c r="AC1377">
        <v>82</v>
      </c>
      <c r="AD1377">
        <v>248</v>
      </c>
      <c r="AE1377">
        <v>1324</v>
      </c>
      <c r="AF1377">
        <v>618</v>
      </c>
      <c r="AJ1377">
        <v>4.25</v>
      </c>
      <c r="AK1377" t="str">
        <f t="shared" si="21"/>
        <v>S6037-6200</v>
      </c>
    </row>
    <row r="1378" spans="1:37">
      <c r="A1378" t="s">
        <v>2550</v>
      </c>
      <c r="B1378" t="s">
        <v>2551</v>
      </c>
      <c r="C1378" t="s">
        <v>68</v>
      </c>
      <c r="E1378">
        <v>65</v>
      </c>
      <c r="F1378">
        <v>0.1</v>
      </c>
      <c r="G1378">
        <v>1904</v>
      </c>
      <c r="H1378">
        <v>2250</v>
      </c>
      <c r="I1378">
        <v>2289</v>
      </c>
      <c r="J1378">
        <v>2305</v>
      </c>
      <c r="K1378">
        <v>2865</v>
      </c>
      <c r="L1378">
        <v>1026</v>
      </c>
      <c r="M1378">
        <v>0</v>
      </c>
      <c r="N1378">
        <v>1587</v>
      </c>
      <c r="O1378">
        <v>0</v>
      </c>
      <c r="P1378">
        <v>0</v>
      </c>
      <c r="Q1378">
        <v>1278</v>
      </c>
      <c r="R1378">
        <v>0</v>
      </c>
      <c r="S1378">
        <v>1932</v>
      </c>
      <c r="T1378">
        <v>2010</v>
      </c>
      <c r="U1378">
        <v>2808</v>
      </c>
      <c r="V1378">
        <v>1712</v>
      </c>
      <c r="W1378">
        <v>1957</v>
      </c>
      <c r="X1378">
        <v>3313</v>
      </c>
      <c r="Y1378">
        <v>2926</v>
      </c>
      <c r="Z1378">
        <v>2034</v>
      </c>
      <c r="AA1378">
        <v>1686</v>
      </c>
      <c r="AB1378">
        <v>2428</v>
      </c>
      <c r="AC1378">
        <v>3106</v>
      </c>
      <c r="AD1378">
        <v>1742</v>
      </c>
      <c r="AE1378">
        <v>27654</v>
      </c>
      <c r="AF1378">
        <v>22702</v>
      </c>
      <c r="AJ1378">
        <v>3.29</v>
      </c>
      <c r="AK1378" t="str">
        <f t="shared" si="21"/>
        <v>S6053-5000</v>
      </c>
    </row>
    <row r="1379" spans="1:37">
      <c r="A1379" t="s">
        <v>2552</v>
      </c>
      <c r="B1379" t="s">
        <v>2551</v>
      </c>
      <c r="C1379" t="s">
        <v>68</v>
      </c>
      <c r="D1379" t="s">
        <v>2553</v>
      </c>
      <c r="E1379">
        <v>65</v>
      </c>
      <c r="F1379">
        <v>0</v>
      </c>
      <c r="G1379">
        <v>449</v>
      </c>
      <c r="H1379">
        <v>1174</v>
      </c>
      <c r="I1379">
        <v>1050</v>
      </c>
      <c r="J1379">
        <v>1053</v>
      </c>
      <c r="K1379">
        <v>177</v>
      </c>
      <c r="L1379">
        <v>1452</v>
      </c>
      <c r="M1379">
        <v>0</v>
      </c>
      <c r="N1379">
        <v>374</v>
      </c>
      <c r="O1379">
        <v>0</v>
      </c>
      <c r="P1379">
        <v>0</v>
      </c>
      <c r="Q1379">
        <v>-197</v>
      </c>
      <c r="R1379">
        <v>0</v>
      </c>
      <c r="S1379">
        <v>1439</v>
      </c>
      <c r="T1379">
        <v>1118</v>
      </c>
      <c r="U1379">
        <v>965</v>
      </c>
      <c r="V1379">
        <v>1193</v>
      </c>
      <c r="W1379">
        <v>446</v>
      </c>
      <c r="X1379">
        <v>1136</v>
      </c>
      <c r="Y1379">
        <v>1352</v>
      </c>
      <c r="Z1379">
        <v>792</v>
      </c>
      <c r="AA1379">
        <v>1174</v>
      </c>
      <c r="AB1379">
        <v>713</v>
      </c>
      <c r="AC1379">
        <v>1074</v>
      </c>
      <c r="AD1379">
        <v>1239</v>
      </c>
      <c r="AE1379">
        <v>12641</v>
      </c>
      <c r="AF1379">
        <v>9584</v>
      </c>
      <c r="AJ1379">
        <v>3.48</v>
      </c>
      <c r="AK1379" t="str">
        <f t="shared" si="21"/>
        <v>S6053-6200</v>
      </c>
    </row>
    <row r="1380" spans="1:37">
      <c r="A1380" t="s">
        <v>2554</v>
      </c>
      <c r="B1380" t="s">
        <v>2555</v>
      </c>
      <c r="C1380" t="s">
        <v>68</v>
      </c>
      <c r="D1380" t="s">
        <v>2556</v>
      </c>
      <c r="E1380">
        <v>65</v>
      </c>
      <c r="F1380">
        <v>2.8</v>
      </c>
      <c r="G1380">
        <v>1</v>
      </c>
      <c r="H1380">
        <v>12</v>
      </c>
      <c r="I1380">
        <v>6</v>
      </c>
      <c r="J1380">
        <v>11</v>
      </c>
      <c r="K1380">
        <v>133</v>
      </c>
      <c r="L1380">
        <v>32</v>
      </c>
      <c r="M1380">
        <v>0</v>
      </c>
      <c r="N1380">
        <v>1</v>
      </c>
      <c r="O1380">
        <v>0</v>
      </c>
      <c r="P1380">
        <v>0</v>
      </c>
      <c r="Q1380">
        <v>132</v>
      </c>
      <c r="R1380">
        <v>0</v>
      </c>
      <c r="S1380">
        <v>35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64</v>
      </c>
      <c r="AA1380">
        <v>0</v>
      </c>
      <c r="AB1380">
        <v>0</v>
      </c>
      <c r="AC1380">
        <v>34</v>
      </c>
      <c r="AD1380">
        <v>0</v>
      </c>
      <c r="AE1380">
        <v>133</v>
      </c>
      <c r="AF1380">
        <v>0</v>
      </c>
      <c r="AJ1380">
        <v>4.05</v>
      </c>
      <c r="AK1380" t="str">
        <f t="shared" si="21"/>
        <v>S6055-5000</v>
      </c>
    </row>
    <row r="1381" spans="1:37">
      <c r="A1381" t="s">
        <v>2557</v>
      </c>
      <c r="B1381" t="s">
        <v>2555</v>
      </c>
      <c r="C1381" t="s">
        <v>68</v>
      </c>
      <c r="D1381" t="s">
        <v>2556</v>
      </c>
      <c r="E1381">
        <v>65</v>
      </c>
      <c r="F1381">
        <v>1.2</v>
      </c>
      <c r="G1381">
        <v>37</v>
      </c>
      <c r="H1381">
        <v>225</v>
      </c>
      <c r="I1381">
        <v>251</v>
      </c>
      <c r="J1381">
        <v>145</v>
      </c>
      <c r="K1381">
        <v>1131</v>
      </c>
      <c r="L1381">
        <v>241</v>
      </c>
      <c r="M1381">
        <v>0</v>
      </c>
      <c r="N1381">
        <v>31</v>
      </c>
      <c r="O1381">
        <v>0</v>
      </c>
      <c r="P1381">
        <v>0</v>
      </c>
      <c r="Q1381">
        <v>1100</v>
      </c>
      <c r="R1381">
        <v>0</v>
      </c>
      <c r="S1381">
        <v>156</v>
      </c>
      <c r="T1381">
        <v>0</v>
      </c>
      <c r="U1381">
        <v>520</v>
      </c>
      <c r="V1381">
        <v>0</v>
      </c>
      <c r="W1381">
        <v>357</v>
      </c>
      <c r="X1381">
        <v>475</v>
      </c>
      <c r="Y1381">
        <v>0</v>
      </c>
      <c r="Z1381">
        <v>0</v>
      </c>
      <c r="AA1381">
        <v>0</v>
      </c>
      <c r="AB1381">
        <v>72</v>
      </c>
      <c r="AC1381">
        <v>0</v>
      </c>
      <c r="AD1381">
        <v>158</v>
      </c>
      <c r="AE1381">
        <v>1738</v>
      </c>
      <c r="AF1381">
        <v>1792</v>
      </c>
      <c r="AJ1381">
        <v>4.1500000000000004</v>
      </c>
      <c r="AK1381" t="str">
        <f t="shared" si="21"/>
        <v>S6055-6200</v>
      </c>
    </row>
    <row r="1382" spans="1:37">
      <c r="A1382" t="s">
        <v>2558</v>
      </c>
      <c r="B1382" t="s">
        <v>2559</v>
      </c>
      <c r="C1382" t="s">
        <v>68</v>
      </c>
      <c r="D1382" t="s">
        <v>2560</v>
      </c>
      <c r="E1382">
        <v>92</v>
      </c>
      <c r="F1382">
        <v>5.7</v>
      </c>
      <c r="G1382">
        <v>10</v>
      </c>
      <c r="H1382">
        <v>17</v>
      </c>
      <c r="I1382">
        <v>9</v>
      </c>
      <c r="J1382">
        <v>40</v>
      </c>
      <c r="K1382">
        <v>399</v>
      </c>
      <c r="L1382">
        <v>48</v>
      </c>
      <c r="M1382">
        <v>0</v>
      </c>
      <c r="N1382">
        <v>8</v>
      </c>
      <c r="O1382">
        <v>0</v>
      </c>
      <c r="P1382">
        <v>0</v>
      </c>
      <c r="Q1382">
        <v>391</v>
      </c>
      <c r="R1382">
        <v>0</v>
      </c>
      <c r="S1382">
        <v>0</v>
      </c>
      <c r="T1382">
        <v>0</v>
      </c>
      <c r="U1382">
        <v>51</v>
      </c>
      <c r="V1382">
        <v>0</v>
      </c>
      <c r="W1382">
        <v>0</v>
      </c>
      <c r="X1382">
        <v>0</v>
      </c>
      <c r="Y1382">
        <v>131</v>
      </c>
      <c r="Z1382">
        <v>0</v>
      </c>
      <c r="AA1382">
        <v>66</v>
      </c>
      <c r="AB1382">
        <v>39</v>
      </c>
      <c r="AC1382">
        <v>0</v>
      </c>
      <c r="AD1382">
        <v>192</v>
      </c>
      <c r="AE1382">
        <v>479</v>
      </c>
      <c r="AF1382">
        <v>996</v>
      </c>
      <c r="AJ1382">
        <v>2.17</v>
      </c>
      <c r="AK1382" t="str">
        <f t="shared" si="21"/>
        <v>S7024-3700</v>
      </c>
    </row>
    <row r="1383" spans="1:37">
      <c r="A1383" t="s">
        <v>2561</v>
      </c>
      <c r="B1383" t="s">
        <v>2559</v>
      </c>
      <c r="C1383" t="s">
        <v>68</v>
      </c>
      <c r="D1383" t="s">
        <v>2560</v>
      </c>
      <c r="E1383">
        <v>92</v>
      </c>
      <c r="F1383">
        <v>0.3</v>
      </c>
      <c r="G1383">
        <v>1073</v>
      </c>
      <c r="H1383">
        <v>2791</v>
      </c>
      <c r="I1383">
        <v>2201</v>
      </c>
      <c r="J1383">
        <v>2584</v>
      </c>
      <c r="K1383">
        <v>4312</v>
      </c>
      <c r="L1383">
        <v>1233</v>
      </c>
      <c r="M1383">
        <v>0</v>
      </c>
      <c r="N1383">
        <v>894</v>
      </c>
      <c r="O1383">
        <v>0</v>
      </c>
      <c r="P1383">
        <v>0</v>
      </c>
      <c r="Q1383">
        <v>3418</v>
      </c>
      <c r="R1383">
        <v>0</v>
      </c>
      <c r="S1383">
        <v>2864</v>
      </c>
      <c r="T1383">
        <v>2477</v>
      </c>
      <c r="U1383">
        <v>3033</v>
      </c>
      <c r="V1383">
        <v>1804</v>
      </c>
      <c r="W1383">
        <v>1606</v>
      </c>
      <c r="X1383">
        <v>1423</v>
      </c>
      <c r="Y1383">
        <v>2189</v>
      </c>
      <c r="Z1383">
        <v>3858</v>
      </c>
      <c r="AA1383">
        <v>1955</v>
      </c>
      <c r="AB1383">
        <v>3906</v>
      </c>
      <c r="AC1383">
        <v>3000</v>
      </c>
      <c r="AD1383">
        <v>2897</v>
      </c>
      <c r="AE1383">
        <v>31012</v>
      </c>
      <c r="AF1383">
        <v>35838</v>
      </c>
      <c r="AJ1383">
        <v>2.67</v>
      </c>
      <c r="AK1383" t="str">
        <f t="shared" si="21"/>
        <v>S7024-5000</v>
      </c>
    </row>
    <row r="1384" spans="1:37">
      <c r="A1384" t="s">
        <v>2562</v>
      </c>
      <c r="B1384" t="s">
        <v>2559</v>
      </c>
      <c r="C1384" t="s">
        <v>68</v>
      </c>
      <c r="D1384" t="s">
        <v>2560</v>
      </c>
      <c r="E1384">
        <v>92</v>
      </c>
      <c r="F1384">
        <v>0.3</v>
      </c>
      <c r="G1384">
        <v>320</v>
      </c>
      <c r="H1384">
        <v>1101</v>
      </c>
      <c r="I1384">
        <v>1013</v>
      </c>
      <c r="J1384">
        <v>1135</v>
      </c>
      <c r="K1384">
        <v>1544</v>
      </c>
      <c r="L1384">
        <v>781</v>
      </c>
      <c r="M1384">
        <v>0</v>
      </c>
      <c r="N1384">
        <v>266</v>
      </c>
      <c r="O1384">
        <v>0</v>
      </c>
      <c r="P1384">
        <v>0</v>
      </c>
      <c r="Q1384">
        <v>1278</v>
      </c>
      <c r="R1384">
        <v>0</v>
      </c>
      <c r="S1384">
        <v>1442</v>
      </c>
      <c r="T1384">
        <v>160</v>
      </c>
      <c r="U1384">
        <v>1702</v>
      </c>
      <c r="V1384">
        <v>1260</v>
      </c>
      <c r="W1384">
        <v>1208</v>
      </c>
      <c r="X1384">
        <v>304</v>
      </c>
      <c r="Y1384">
        <v>1506</v>
      </c>
      <c r="Z1384">
        <v>1629</v>
      </c>
      <c r="AA1384">
        <v>423</v>
      </c>
      <c r="AB1384">
        <v>2120</v>
      </c>
      <c r="AC1384">
        <v>1256</v>
      </c>
      <c r="AD1384">
        <v>612</v>
      </c>
      <c r="AE1384">
        <v>13622</v>
      </c>
      <c r="AF1384">
        <v>14143</v>
      </c>
      <c r="AJ1384">
        <v>2.67</v>
      </c>
      <c r="AK1384" t="str">
        <f t="shared" si="21"/>
        <v>S7024-6200</v>
      </c>
    </row>
    <row r="1385" spans="1:37">
      <c r="A1385" t="s">
        <v>2563</v>
      </c>
      <c r="B1385" t="s">
        <v>2564</v>
      </c>
      <c r="C1385" t="s">
        <v>267</v>
      </c>
      <c r="E1385">
        <v>62</v>
      </c>
      <c r="F1385">
        <v>2.8</v>
      </c>
      <c r="G1385">
        <v>286</v>
      </c>
      <c r="H1385">
        <v>40</v>
      </c>
      <c r="I1385">
        <v>89</v>
      </c>
      <c r="J1385">
        <v>98</v>
      </c>
      <c r="K1385">
        <v>687</v>
      </c>
      <c r="L1385">
        <v>67</v>
      </c>
      <c r="M1385">
        <v>0</v>
      </c>
      <c r="N1385">
        <v>238</v>
      </c>
      <c r="O1385">
        <v>0</v>
      </c>
      <c r="P1385">
        <v>0</v>
      </c>
      <c r="Q1385">
        <v>449</v>
      </c>
      <c r="R1385">
        <v>0</v>
      </c>
      <c r="S1385">
        <v>121</v>
      </c>
      <c r="T1385">
        <v>0</v>
      </c>
      <c r="U1385">
        <v>0</v>
      </c>
      <c r="V1385">
        <v>6</v>
      </c>
      <c r="W1385">
        <v>229</v>
      </c>
      <c r="X1385">
        <v>179</v>
      </c>
      <c r="Y1385">
        <v>309</v>
      </c>
      <c r="Z1385">
        <v>77</v>
      </c>
      <c r="AA1385">
        <v>45</v>
      </c>
      <c r="AB1385">
        <v>76</v>
      </c>
      <c r="AC1385">
        <v>136</v>
      </c>
      <c r="AD1385">
        <v>0</v>
      </c>
      <c r="AE1385">
        <v>1178</v>
      </c>
      <c r="AF1385">
        <v>1627</v>
      </c>
      <c r="AJ1385">
        <v>6.32</v>
      </c>
      <c r="AK1385" t="str">
        <f t="shared" si="21"/>
        <v>S8001-5000</v>
      </c>
    </row>
    <row r="1386" spans="1:37">
      <c r="A1386" t="s">
        <v>2565</v>
      </c>
      <c r="B1386" t="s">
        <v>2566</v>
      </c>
      <c r="C1386" t="s">
        <v>267</v>
      </c>
      <c r="E1386">
        <v>62</v>
      </c>
      <c r="F1386">
        <v>13.2</v>
      </c>
      <c r="G1386">
        <v>33</v>
      </c>
      <c r="H1386">
        <v>32</v>
      </c>
      <c r="I1386">
        <v>39</v>
      </c>
      <c r="J1386">
        <v>24</v>
      </c>
      <c r="K1386">
        <v>1730</v>
      </c>
      <c r="L1386">
        <v>92</v>
      </c>
      <c r="M1386">
        <v>0</v>
      </c>
      <c r="N1386">
        <v>28</v>
      </c>
      <c r="O1386">
        <v>0</v>
      </c>
      <c r="P1386">
        <v>0</v>
      </c>
      <c r="Q1386">
        <v>1702</v>
      </c>
      <c r="R1386">
        <v>0</v>
      </c>
      <c r="S1386">
        <v>0</v>
      </c>
      <c r="T1386">
        <v>0</v>
      </c>
      <c r="U1386">
        <v>97</v>
      </c>
      <c r="V1386">
        <v>79</v>
      </c>
      <c r="W1386">
        <v>58</v>
      </c>
      <c r="X1386">
        <v>0</v>
      </c>
      <c r="Y1386">
        <v>54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288</v>
      </c>
      <c r="AF1386">
        <v>1000</v>
      </c>
      <c r="AJ1386">
        <v>6.32</v>
      </c>
      <c r="AK1386" t="str">
        <f t="shared" si="21"/>
        <v>S8001-6200</v>
      </c>
    </row>
    <row r="1387" spans="1:37">
      <c r="A1387" t="s">
        <v>2567</v>
      </c>
      <c r="B1387" t="s">
        <v>7483</v>
      </c>
      <c r="C1387" t="s">
        <v>267</v>
      </c>
      <c r="E1387">
        <v>50</v>
      </c>
      <c r="F1387">
        <v>0</v>
      </c>
      <c r="G1387">
        <v>9</v>
      </c>
      <c r="H1387">
        <v>0</v>
      </c>
      <c r="I1387">
        <v>28</v>
      </c>
      <c r="J1387">
        <v>26</v>
      </c>
      <c r="K1387">
        <v>0</v>
      </c>
      <c r="L1387">
        <v>21</v>
      </c>
      <c r="M1387">
        <v>0</v>
      </c>
      <c r="N1387">
        <v>8</v>
      </c>
      <c r="O1387">
        <v>0</v>
      </c>
      <c r="P1387">
        <v>0</v>
      </c>
      <c r="Q1387">
        <v>-8</v>
      </c>
      <c r="R1387">
        <v>0</v>
      </c>
      <c r="S1387">
        <v>0</v>
      </c>
      <c r="T1387">
        <v>0</v>
      </c>
      <c r="U1387">
        <v>0</v>
      </c>
      <c r="V1387">
        <v>0</v>
      </c>
      <c r="W1387">
        <v>121</v>
      </c>
      <c r="X1387">
        <v>47</v>
      </c>
      <c r="Y1387">
        <v>0</v>
      </c>
      <c r="Z1387">
        <v>0</v>
      </c>
      <c r="AA1387">
        <v>16</v>
      </c>
      <c r="AB1387">
        <v>0</v>
      </c>
      <c r="AC1387">
        <v>123</v>
      </c>
      <c r="AD1387">
        <v>0</v>
      </c>
      <c r="AE1387">
        <v>307</v>
      </c>
      <c r="AF1387">
        <v>233</v>
      </c>
      <c r="AJ1387">
        <v>2.923</v>
      </c>
      <c r="AK1387" t="str">
        <f t="shared" si="21"/>
        <v>S8002-5000</v>
      </c>
    </row>
    <row r="1388" spans="1:37">
      <c r="A1388" t="s">
        <v>2568</v>
      </c>
      <c r="B1388" t="s">
        <v>2569</v>
      </c>
      <c r="C1388" t="s">
        <v>267</v>
      </c>
      <c r="E1388">
        <v>50</v>
      </c>
      <c r="F1388">
        <v>0</v>
      </c>
      <c r="G1388">
        <v>0</v>
      </c>
      <c r="H1388">
        <v>0</v>
      </c>
      <c r="I1388">
        <v>0</v>
      </c>
      <c r="J1388">
        <v>15</v>
      </c>
      <c r="K1388">
        <v>1435</v>
      </c>
      <c r="L1388">
        <v>12</v>
      </c>
      <c r="M1388">
        <v>0</v>
      </c>
      <c r="N1388">
        <v>0</v>
      </c>
      <c r="O1388">
        <v>0</v>
      </c>
      <c r="P1388">
        <v>0</v>
      </c>
      <c r="Q1388">
        <v>1435</v>
      </c>
      <c r="R1388">
        <v>0</v>
      </c>
      <c r="S1388">
        <v>0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175</v>
      </c>
      <c r="AE1388">
        <v>175</v>
      </c>
      <c r="AF1388">
        <v>353</v>
      </c>
      <c r="AJ1388">
        <v>4.71</v>
      </c>
      <c r="AK1388" t="str">
        <f t="shared" si="21"/>
        <v>S8002-6200</v>
      </c>
    </row>
    <row r="1389" spans="1:37">
      <c r="A1389" t="s">
        <v>2570</v>
      </c>
      <c r="B1389" t="s">
        <v>2571</v>
      </c>
      <c r="C1389" t="s">
        <v>267</v>
      </c>
      <c r="E1389">
        <v>60</v>
      </c>
      <c r="F1389">
        <v>-0.5</v>
      </c>
      <c r="G1389">
        <v>10</v>
      </c>
      <c r="H1389">
        <v>4</v>
      </c>
      <c r="I1389">
        <v>43</v>
      </c>
      <c r="J1389">
        <v>44</v>
      </c>
      <c r="K1389">
        <v>0</v>
      </c>
      <c r="L1389">
        <v>47</v>
      </c>
      <c r="M1389">
        <v>0</v>
      </c>
      <c r="N1389">
        <v>9</v>
      </c>
      <c r="O1389">
        <v>0</v>
      </c>
      <c r="P1389">
        <v>0</v>
      </c>
      <c r="Q1389">
        <v>-9</v>
      </c>
      <c r="R1389">
        <v>0</v>
      </c>
      <c r="S1389">
        <v>12</v>
      </c>
      <c r="T1389">
        <v>0</v>
      </c>
      <c r="U1389">
        <v>0</v>
      </c>
      <c r="V1389">
        <v>0</v>
      </c>
      <c r="W1389">
        <v>187</v>
      </c>
      <c r="X1389">
        <v>57</v>
      </c>
      <c r="Y1389">
        <v>86</v>
      </c>
      <c r="Z1389">
        <v>44</v>
      </c>
      <c r="AA1389">
        <v>46</v>
      </c>
      <c r="AB1389">
        <v>49</v>
      </c>
      <c r="AC1389">
        <v>27</v>
      </c>
      <c r="AD1389">
        <v>25</v>
      </c>
      <c r="AE1389">
        <v>533</v>
      </c>
      <c r="AF1389">
        <v>77</v>
      </c>
      <c r="AJ1389">
        <v>2.75</v>
      </c>
      <c r="AK1389" t="str">
        <f t="shared" si="21"/>
        <v>S8003-5000</v>
      </c>
    </row>
    <row r="1390" spans="1:37">
      <c r="A1390" t="s">
        <v>2572</v>
      </c>
      <c r="B1390" t="s">
        <v>2573</v>
      </c>
      <c r="C1390" t="s">
        <v>267</v>
      </c>
      <c r="E1390">
        <v>60</v>
      </c>
      <c r="F1390">
        <v>6.1</v>
      </c>
      <c r="G1390">
        <v>10</v>
      </c>
      <c r="H1390">
        <v>7</v>
      </c>
      <c r="I1390">
        <v>7</v>
      </c>
      <c r="J1390">
        <v>27</v>
      </c>
      <c r="K1390">
        <v>170</v>
      </c>
      <c r="L1390">
        <v>0</v>
      </c>
      <c r="M1390">
        <v>0</v>
      </c>
      <c r="N1390">
        <v>9</v>
      </c>
      <c r="O1390">
        <v>0</v>
      </c>
      <c r="P1390">
        <v>0</v>
      </c>
      <c r="Q1390">
        <v>161</v>
      </c>
      <c r="R1390">
        <v>0</v>
      </c>
      <c r="S1390">
        <v>20</v>
      </c>
      <c r="T1390">
        <v>0</v>
      </c>
      <c r="U1390">
        <v>0</v>
      </c>
      <c r="V1390">
        <v>0</v>
      </c>
      <c r="W1390">
        <v>0</v>
      </c>
      <c r="X1390">
        <v>21</v>
      </c>
      <c r="Y1390">
        <v>26</v>
      </c>
      <c r="Z1390">
        <v>53</v>
      </c>
      <c r="AA1390">
        <v>0</v>
      </c>
      <c r="AB1390">
        <v>0</v>
      </c>
      <c r="AC1390">
        <v>0</v>
      </c>
      <c r="AD1390">
        <v>209</v>
      </c>
      <c r="AE1390">
        <v>329</v>
      </c>
      <c r="AF1390">
        <v>458</v>
      </c>
      <c r="AJ1390">
        <v>4.88</v>
      </c>
      <c r="AK1390" t="str">
        <f t="shared" si="21"/>
        <v>S8003-6200</v>
      </c>
    </row>
    <row r="1391" spans="1:37">
      <c r="A1391" t="s">
        <v>2574</v>
      </c>
      <c r="B1391" t="s">
        <v>2575</v>
      </c>
      <c r="C1391" t="s">
        <v>267</v>
      </c>
      <c r="D1391" t="s">
        <v>2064</v>
      </c>
      <c r="E1391">
        <v>50</v>
      </c>
      <c r="F1391">
        <v>0</v>
      </c>
      <c r="G1391">
        <v>0</v>
      </c>
      <c r="H1391">
        <v>0</v>
      </c>
      <c r="I1391">
        <v>0</v>
      </c>
      <c r="J1391">
        <v>7</v>
      </c>
      <c r="K1391">
        <v>77</v>
      </c>
      <c r="L1391">
        <v>39</v>
      </c>
      <c r="M1391">
        <v>0</v>
      </c>
      <c r="N1391">
        <v>0</v>
      </c>
      <c r="O1391">
        <v>0</v>
      </c>
      <c r="P1391">
        <v>0</v>
      </c>
      <c r="Q1391">
        <v>77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81</v>
      </c>
      <c r="AA1391">
        <v>0</v>
      </c>
      <c r="AB1391">
        <v>0</v>
      </c>
      <c r="AC1391">
        <v>0</v>
      </c>
      <c r="AD1391">
        <v>0</v>
      </c>
      <c r="AE1391">
        <v>81</v>
      </c>
      <c r="AF1391">
        <v>216</v>
      </c>
      <c r="AJ1391">
        <v>2.76</v>
      </c>
      <c r="AK1391" t="str">
        <f t="shared" si="21"/>
        <v>S9001-5000</v>
      </c>
    </row>
    <row r="1392" spans="1:37">
      <c r="A1392" t="s">
        <v>2576</v>
      </c>
      <c r="B1392" t="s">
        <v>2577</v>
      </c>
      <c r="C1392" t="s">
        <v>267</v>
      </c>
      <c r="E1392">
        <v>50</v>
      </c>
      <c r="F1392">
        <v>-0.7</v>
      </c>
      <c r="G1392">
        <v>48</v>
      </c>
      <c r="H1392">
        <v>13</v>
      </c>
      <c r="I1392">
        <v>42</v>
      </c>
      <c r="J1392">
        <v>41</v>
      </c>
      <c r="K1392">
        <v>0</v>
      </c>
      <c r="L1392">
        <v>102</v>
      </c>
      <c r="M1392">
        <v>0</v>
      </c>
      <c r="N1392">
        <v>40</v>
      </c>
      <c r="O1392">
        <v>0</v>
      </c>
      <c r="P1392">
        <v>0</v>
      </c>
      <c r="Q1392">
        <v>-40</v>
      </c>
      <c r="R1392">
        <v>0</v>
      </c>
      <c r="S1392">
        <v>0</v>
      </c>
      <c r="T1392">
        <v>40</v>
      </c>
      <c r="U1392">
        <v>0</v>
      </c>
      <c r="V1392">
        <v>0</v>
      </c>
      <c r="W1392">
        <v>213</v>
      </c>
      <c r="X1392">
        <v>0</v>
      </c>
      <c r="Y1392">
        <v>62</v>
      </c>
      <c r="Z1392">
        <v>50</v>
      </c>
      <c r="AA1392">
        <v>96</v>
      </c>
      <c r="AB1392">
        <v>0</v>
      </c>
      <c r="AC1392">
        <v>29</v>
      </c>
      <c r="AD1392">
        <v>0</v>
      </c>
      <c r="AE1392">
        <v>490</v>
      </c>
      <c r="AF1392">
        <v>745</v>
      </c>
      <c r="AJ1392">
        <v>6.15</v>
      </c>
      <c r="AK1392" t="str">
        <f t="shared" si="21"/>
        <v>SB030-5000</v>
      </c>
    </row>
    <row r="1393" spans="1:37">
      <c r="A1393" t="s">
        <v>2578</v>
      </c>
      <c r="B1393" t="s">
        <v>2577</v>
      </c>
      <c r="C1393" t="s">
        <v>267</v>
      </c>
      <c r="E1393">
        <v>50</v>
      </c>
      <c r="F1393">
        <v>15.7</v>
      </c>
      <c r="G1393">
        <v>0</v>
      </c>
      <c r="H1393">
        <v>38</v>
      </c>
      <c r="I1393">
        <v>21</v>
      </c>
      <c r="J1393">
        <v>33</v>
      </c>
      <c r="K1393">
        <v>2413</v>
      </c>
      <c r="L1393">
        <v>13</v>
      </c>
      <c r="M1393">
        <v>0</v>
      </c>
      <c r="N1393">
        <v>0</v>
      </c>
      <c r="O1393">
        <v>0</v>
      </c>
      <c r="P1393">
        <v>0</v>
      </c>
      <c r="Q1393">
        <v>2413</v>
      </c>
      <c r="R1393">
        <v>0</v>
      </c>
      <c r="S1393">
        <v>0</v>
      </c>
      <c r="T1393">
        <v>0</v>
      </c>
      <c r="U1393">
        <v>115</v>
      </c>
      <c r="V1393">
        <v>11</v>
      </c>
      <c r="W1393">
        <v>0</v>
      </c>
      <c r="X1393">
        <v>0</v>
      </c>
      <c r="Y1393">
        <v>124</v>
      </c>
      <c r="Z1393">
        <v>23</v>
      </c>
      <c r="AA1393">
        <v>55</v>
      </c>
      <c r="AB1393">
        <v>71</v>
      </c>
      <c r="AC1393">
        <v>0</v>
      </c>
      <c r="AD1393">
        <v>0</v>
      </c>
      <c r="AE1393">
        <v>399</v>
      </c>
      <c r="AF1393">
        <v>707</v>
      </c>
      <c r="AJ1393">
        <v>5.04</v>
      </c>
      <c r="AK1393" t="str">
        <f t="shared" si="21"/>
        <v>SB030-6200</v>
      </c>
    </row>
    <row r="1394" spans="1:37">
      <c r="A1394" t="s">
        <v>2579</v>
      </c>
      <c r="B1394" t="s">
        <v>2580</v>
      </c>
      <c r="C1394" t="s">
        <v>68</v>
      </c>
      <c r="D1394" t="s">
        <v>2581</v>
      </c>
      <c r="E1394">
        <v>65</v>
      </c>
      <c r="F1394">
        <v>3.1</v>
      </c>
      <c r="G1394">
        <v>68</v>
      </c>
      <c r="H1394">
        <v>53</v>
      </c>
      <c r="I1394">
        <v>128</v>
      </c>
      <c r="J1394">
        <v>99</v>
      </c>
      <c r="K1394">
        <v>719</v>
      </c>
      <c r="L1394">
        <v>136</v>
      </c>
      <c r="M1394">
        <v>0</v>
      </c>
      <c r="N1394">
        <v>56</v>
      </c>
      <c r="O1394">
        <v>0</v>
      </c>
      <c r="P1394">
        <v>0</v>
      </c>
      <c r="Q1394">
        <v>663</v>
      </c>
      <c r="R1394">
        <v>0</v>
      </c>
      <c r="S1394">
        <v>158</v>
      </c>
      <c r="T1394">
        <v>0</v>
      </c>
      <c r="U1394">
        <v>0</v>
      </c>
      <c r="V1394">
        <v>434</v>
      </c>
      <c r="W1394">
        <v>144</v>
      </c>
      <c r="X1394">
        <v>34</v>
      </c>
      <c r="Y1394">
        <v>85</v>
      </c>
      <c r="Z1394">
        <v>0</v>
      </c>
      <c r="AA1394">
        <v>0</v>
      </c>
      <c r="AB1394">
        <v>123</v>
      </c>
      <c r="AC1394">
        <v>213</v>
      </c>
      <c r="AD1394">
        <v>0</v>
      </c>
      <c r="AE1394">
        <v>1191</v>
      </c>
      <c r="AF1394">
        <v>2075</v>
      </c>
      <c r="AJ1394">
        <v>3.2</v>
      </c>
      <c r="AK1394" t="str">
        <f t="shared" si="21"/>
        <v>SB316-5000</v>
      </c>
    </row>
    <row r="1395" spans="1:37">
      <c r="A1395" t="s">
        <v>2582</v>
      </c>
      <c r="B1395" t="s">
        <v>2583</v>
      </c>
      <c r="C1395" t="s">
        <v>68</v>
      </c>
      <c r="D1395" t="s">
        <v>2581</v>
      </c>
      <c r="E1395">
        <v>65</v>
      </c>
      <c r="F1395">
        <v>1.5</v>
      </c>
      <c r="G1395">
        <v>52</v>
      </c>
      <c r="H1395">
        <v>65</v>
      </c>
      <c r="I1395">
        <v>47</v>
      </c>
      <c r="J1395">
        <v>59</v>
      </c>
      <c r="K1395">
        <v>436</v>
      </c>
      <c r="L1395">
        <v>167</v>
      </c>
      <c r="M1395">
        <v>0</v>
      </c>
      <c r="N1395">
        <v>43</v>
      </c>
      <c r="O1395">
        <v>0</v>
      </c>
      <c r="P1395">
        <v>0</v>
      </c>
      <c r="Q1395">
        <v>393</v>
      </c>
      <c r="R1395">
        <v>133</v>
      </c>
      <c r="S1395">
        <v>0</v>
      </c>
      <c r="T1395">
        <v>0</v>
      </c>
      <c r="U1395">
        <v>194</v>
      </c>
      <c r="V1395">
        <v>87</v>
      </c>
      <c r="W1395">
        <v>0</v>
      </c>
      <c r="X1395">
        <v>0</v>
      </c>
      <c r="Y1395">
        <v>51</v>
      </c>
      <c r="Z1395">
        <v>58</v>
      </c>
      <c r="AA1395">
        <v>45</v>
      </c>
      <c r="AB1395">
        <v>99</v>
      </c>
      <c r="AC1395">
        <v>84</v>
      </c>
      <c r="AD1395">
        <v>87</v>
      </c>
      <c r="AE1395">
        <v>705</v>
      </c>
      <c r="AF1395">
        <v>734</v>
      </c>
      <c r="AJ1395">
        <v>3.2</v>
      </c>
      <c r="AK1395" t="str">
        <f t="shared" si="21"/>
        <v>SB316-6200</v>
      </c>
    </row>
    <row r="1396" spans="1:37">
      <c r="A1396" t="s">
        <v>2584</v>
      </c>
      <c r="B1396" t="s">
        <v>2585</v>
      </c>
      <c r="C1396" t="s">
        <v>68</v>
      </c>
      <c r="D1396" t="s">
        <v>2586</v>
      </c>
      <c r="E1396">
        <v>65</v>
      </c>
      <c r="F1396">
        <v>1.6</v>
      </c>
      <c r="G1396">
        <v>185</v>
      </c>
      <c r="H1396">
        <v>148</v>
      </c>
      <c r="I1396">
        <v>156</v>
      </c>
      <c r="J1396">
        <v>375</v>
      </c>
      <c r="K1396">
        <v>1098</v>
      </c>
      <c r="L1396">
        <v>149</v>
      </c>
      <c r="M1396">
        <v>0</v>
      </c>
      <c r="N1396">
        <v>154</v>
      </c>
      <c r="O1396">
        <v>0</v>
      </c>
      <c r="P1396">
        <v>0</v>
      </c>
      <c r="Q1396">
        <v>944</v>
      </c>
      <c r="R1396">
        <v>0</v>
      </c>
      <c r="S1396">
        <v>234</v>
      </c>
      <c r="T1396">
        <v>56</v>
      </c>
      <c r="U1396">
        <v>154</v>
      </c>
      <c r="V1396">
        <v>307</v>
      </c>
      <c r="W1396">
        <v>156</v>
      </c>
      <c r="X1396">
        <v>30</v>
      </c>
      <c r="Y1396">
        <v>353</v>
      </c>
      <c r="Z1396">
        <v>738</v>
      </c>
      <c r="AA1396">
        <v>201</v>
      </c>
      <c r="AB1396">
        <v>1073</v>
      </c>
      <c r="AC1396">
        <v>808</v>
      </c>
      <c r="AD1396">
        <v>387</v>
      </c>
      <c r="AE1396">
        <v>4497</v>
      </c>
      <c r="AF1396">
        <v>2562</v>
      </c>
      <c r="AJ1396">
        <v>3.65</v>
      </c>
      <c r="AK1396" t="str">
        <f t="shared" si="21"/>
        <v>SB322-5000</v>
      </c>
    </row>
    <row r="1397" spans="1:37">
      <c r="A1397" t="s">
        <v>2587</v>
      </c>
      <c r="B1397" t="s">
        <v>2588</v>
      </c>
      <c r="C1397" t="s">
        <v>68</v>
      </c>
      <c r="D1397" t="s">
        <v>2586</v>
      </c>
      <c r="E1397">
        <v>65</v>
      </c>
      <c r="F1397">
        <v>5.4</v>
      </c>
      <c r="G1397">
        <v>63</v>
      </c>
      <c r="H1397">
        <v>87</v>
      </c>
      <c r="I1397">
        <v>51</v>
      </c>
      <c r="J1397">
        <v>140</v>
      </c>
      <c r="K1397">
        <v>1908</v>
      </c>
      <c r="L1397">
        <v>168</v>
      </c>
      <c r="M1397">
        <v>0</v>
      </c>
      <c r="N1397">
        <v>52</v>
      </c>
      <c r="O1397">
        <v>0</v>
      </c>
      <c r="P1397">
        <v>0</v>
      </c>
      <c r="Q1397">
        <v>1856</v>
      </c>
      <c r="R1397">
        <v>0</v>
      </c>
      <c r="S1397">
        <v>145</v>
      </c>
      <c r="T1397">
        <v>0</v>
      </c>
      <c r="U1397">
        <v>115</v>
      </c>
      <c r="V1397">
        <v>46</v>
      </c>
      <c r="W1397">
        <v>0</v>
      </c>
      <c r="X1397">
        <v>0</v>
      </c>
      <c r="Y1397">
        <v>132</v>
      </c>
      <c r="Z1397">
        <v>138</v>
      </c>
      <c r="AA1397">
        <v>274</v>
      </c>
      <c r="AB1397">
        <v>324</v>
      </c>
      <c r="AC1397">
        <v>191</v>
      </c>
      <c r="AD1397">
        <v>319</v>
      </c>
      <c r="AE1397">
        <v>1684</v>
      </c>
      <c r="AF1397">
        <v>3389</v>
      </c>
      <c r="AJ1397">
        <v>3.92</v>
      </c>
      <c r="AK1397" t="str">
        <f t="shared" si="21"/>
        <v>SB322-6200</v>
      </c>
    </row>
    <row r="1398" spans="1:37">
      <c r="A1398" t="s">
        <v>2589</v>
      </c>
      <c r="B1398" t="s">
        <v>2590</v>
      </c>
      <c r="C1398" t="s">
        <v>68</v>
      </c>
      <c r="D1398" t="s">
        <v>2591</v>
      </c>
      <c r="E1398">
        <v>65</v>
      </c>
      <c r="F1398">
        <v>-0.2</v>
      </c>
      <c r="G1398">
        <v>104</v>
      </c>
      <c r="H1398">
        <v>144</v>
      </c>
      <c r="I1398">
        <v>129</v>
      </c>
      <c r="J1398">
        <v>117</v>
      </c>
      <c r="K1398">
        <v>0</v>
      </c>
      <c r="L1398">
        <v>32</v>
      </c>
      <c r="M1398">
        <v>0</v>
      </c>
      <c r="N1398">
        <v>87</v>
      </c>
      <c r="O1398">
        <v>0</v>
      </c>
      <c r="P1398">
        <v>0</v>
      </c>
      <c r="Q1398">
        <v>-87</v>
      </c>
      <c r="R1398">
        <v>0</v>
      </c>
      <c r="S1398">
        <v>0</v>
      </c>
      <c r="T1398">
        <v>136</v>
      </c>
      <c r="U1398">
        <v>297</v>
      </c>
      <c r="V1398">
        <v>94</v>
      </c>
      <c r="W1398">
        <v>113</v>
      </c>
      <c r="X1398">
        <v>136</v>
      </c>
      <c r="Y1398">
        <v>91</v>
      </c>
      <c r="Z1398">
        <v>0</v>
      </c>
      <c r="AA1398">
        <v>167</v>
      </c>
      <c r="AB1398">
        <v>194</v>
      </c>
      <c r="AC1398">
        <v>0</v>
      </c>
      <c r="AD1398">
        <v>173</v>
      </c>
      <c r="AE1398">
        <v>1401</v>
      </c>
      <c r="AF1398">
        <v>1423</v>
      </c>
      <c r="AJ1398">
        <v>3.99</v>
      </c>
      <c r="AK1398" t="str">
        <f t="shared" si="21"/>
        <v>SB348-5000</v>
      </c>
    </row>
    <row r="1399" spans="1:37">
      <c r="A1399" t="s">
        <v>2592</v>
      </c>
      <c r="B1399" t="s">
        <v>2593</v>
      </c>
      <c r="C1399" t="s">
        <v>68</v>
      </c>
      <c r="D1399" t="s">
        <v>2591</v>
      </c>
      <c r="E1399">
        <v>65</v>
      </c>
      <c r="F1399">
        <v>3.9</v>
      </c>
      <c r="G1399">
        <v>262</v>
      </c>
      <c r="H1399">
        <v>121</v>
      </c>
      <c r="I1399">
        <v>133</v>
      </c>
      <c r="J1399">
        <v>103</v>
      </c>
      <c r="K1399">
        <v>2123</v>
      </c>
      <c r="L1399">
        <v>54</v>
      </c>
      <c r="M1399">
        <v>0</v>
      </c>
      <c r="N1399">
        <v>218</v>
      </c>
      <c r="O1399">
        <v>0</v>
      </c>
      <c r="P1399">
        <v>0</v>
      </c>
      <c r="Q1399">
        <v>1905</v>
      </c>
      <c r="R1399">
        <v>0</v>
      </c>
      <c r="S1399">
        <v>152</v>
      </c>
      <c r="T1399">
        <v>0</v>
      </c>
      <c r="U1399">
        <v>211</v>
      </c>
      <c r="V1399">
        <v>65</v>
      </c>
      <c r="W1399">
        <v>184</v>
      </c>
      <c r="X1399">
        <v>185</v>
      </c>
      <c r="Y1399">
        <v>0</v>
      </c>
      <c r="Z1399">
        <v>0</v>
      </c>
      <c r="AA1399">
        <v>30</v>
      </c>
      <c r="AB1399">
        <v>0</v>
      </c>
      <c r="AC1399">
        <v>139</v>
      </c>
      <c r="AD1399">
        <v>269</v>
      </c>
      <c r="AE1399">
        <v>1235</v>
      </c>
      <c r="AF1399">
        <v>1232</v>
      </c>
      <c r="AJ1399">
        <v>4.2699999999999996</v>
      </c>
      <c r="AK1399" t="str">
        <f t="shared" si="21"/>
        <v>SB348-6200</v>
      </c>
    </row>
    <row r="1400" spans="1:37">
      <c r="A1400" t="s">
        <v>2594</v>
      </c>
      <c r="B1400" t="s">
        <v>2595</v>
      </c>
      <c r="C1400" t="s">
        <v>68</v>
      </c>
      <c r="E1400">
        <v>65</v>
      </c>
      <c r="F1400">
        <v>0</v>
      </c>
      <c r="G1400">
        <v>17</v>
      </c>
      <c r="H1400">
        <v>199</v>
      </c>
      <c r="I1400">
        <v>214</v>
      </c>
      <c r="J1400">
        <v>118</v>
      </c>
      <c r="K1400">
        <v>0</v>
      </c>
      <c r="L1400">
        <v>7</v>
      </c>
      <c r="M1400">
        <v>0</v>
      </c>
      <c r="N1400">
        <v>14</v>
      </c>
      <c r="O1400">
        <v>0</v>
      </c>
      <c r="P1400">
        <v>0</v>
      </c>
      <c r="Q1400">
        <v>-14</v>
      </c>
      <c r="R1400">
        <v>0</v>
      </c>
      <c r="S1400">
        <v>43</v>
      </c>
      <c r="T1400">
        <v>0</v>
      </c>
      <c r="U1400">
        <v>554</v>
      </c>
      <c r="V1400">
        <v>0</v>
      </c>
      <c r="W1400">
        <v>688</v>
      </c>
      <c r="X1400">
        <v>0</v>
      </c>
      <c r="Y1400">
        <v>66</v>
      </c>
      <c r="Z1400">
        <v>20</v>
      </c>
      <c r="AA1400">
        <v>0</v>
      </c>
      <c r="AB1400">
        <v>42</v>
      </c>
      <c r="AC1400">
        <v>0</v>
      </c>
      <c r="AD1400">
        <v>0</v>
      </c>
      <c r="AE1400">
        <v>1413</v>
      </c>
      <c r="AF1400">
        <v>0</v>
      </c>
      <c r="AJ1400">
        <v>2.64</v>
      </c>
      <c r="AK1400" t="str">
        <f t="shared" si="21"/>
        <v>SE601-3700</v>
      </c>
    </row>
    <row r="1401" spans="1:37">
      <c r="A1401" t="s">
        <v>2596</v>
      </c>
      <c r="B1401" t="s">
        <v>2597</v>
      </c>
      <c r="C1401" t="s">
        <v>68</v>
      </c>
      <c r="D1401" t="s">
        <v>2598</v>
      </c>
      <c r="E1401">
        <v>65</v>
      </c>
      <c r="F1401">
        <v>0.2</v>
      </c>
      <c r="G1401">
        <v>480</v>
      </c>
      <c r="H1401">
        <v>737</v>
      </c>
      <c r="I1401">
        <v>458</v>
      </c>
      <c r="J1401">
        <v>578</v>
      </c>
      <c r="K1401">
        <v>887</v>
      </c>
      <c r="L1401">
        <v>264</v>
      </c>
      <c r="M1401">
        <v>0</v>
      </c>
      <c r="N1401">
        <v>400</v>
      </c>
      <c r="O1401">
        <v>0</v>
      </c>
      <c r="P1401">
        <v>0</v>
      </c>
      <c r="Q1401">
        <v>487</v>
      </c>
      <c r="R1401">
        <v>0</v>
      </c>
      <c r="S1401">
        <v>326</v>
      </c>
      <c r="T1401">
        <v>307</v>
      </c>
      <c r="U1401">
        <v>1578</v>
      </c>
      <c r="V1401">
        <v>0</v>
      </c>
      <c r="W1401">
        <v>121</v>
      </c>
      <c r="X1401">
        <v>417</v>
      </c>
      <c r="Y1401">
        <v>1181</v>
      </c>
      <c r="Z1401">
        <v>606</v>
      </c>
      <c r="AA1401">
        <v>470</v>
      </c>
      <c r="AB1401">
        <v>394</v>
      </c>
      <c r="AC1401">
        <v>758</v>
      </c>
      <c r="AD1401">
        <v>781</v>
      </c>
      <c r="AE1401">
        <v>6939</v>
      </c>
      <c r="AF1401">
        <v>6735</v>
      </c>
      <c r="AJ1401">
        <v>3.27</v>
      </c>
      <c r="AK1401" t="str">
        <f t="shared" si="21"/>
        <v>SE601-5000</v>
      </c>
    </row>
    <row r="1402" spans="1:37">
      <c r="A1402" t="s">
        <v>2599</v>
      </c>
      <c r="B1402" t="s">
        <v>2600</v>
      </c>
      <c r="C1402" t="s">
        <v>68</v>
      </c>
      <c r="E1402">
        <v>65</v>
      </c>
      <c r="F1402">
        <v>0.2</v>
      </c>
      <c r="G1402">
        <v>290</v>
      </c>
      <c r="H1402">
        <v>426</v>
      </c>
      <c r="I1402">
        <v>249</v>
      </c>
      <c r="J1402">
        <v>334</v>
      </c>
      <c r="K1402">
        <v>641</v>
      </c>
      <c r="L1402">
        <v>208</v>
      </c>
      <c r="M1402">
        <v>0</v>
      </c>
      <c r="N1402">
        <v>242</v>
      </c>
      <c r="O1402">
        <v>0</v>
      </c>
      <c r="P1402">
        <v>0</v>
      </c>
      <c r="Q1402">
        <v>399</v>
      </c>
      <c r="R1402">
        <v>0</v>
      </c>
      <c r="S1402">
        <v>302</v>
      </c>
      <c r="T1402">
        <v>417</v>
      </c>
      <c r="U1402">
        <v>560</v>
      </c>
      <c r="V1402">
        <v>0</v>
      </c>
      <c r="W1402">
        <v>0</v>
      </c>
      <c r="X1402">
        <v>216</v>
      </c>
      <c r="Y1402">
        <v>368</v>
      </c>
      <c r="Z1402">
        <v>571</v>
      </c>
      <c r="AA1402">
        <v>350</v>
      </c>
      <c r="AB1402">
        <v>602</v>
      </c>
      <c r="AC1402">
        <v>524</v>
      </c>
      <c r="AD1402">
        <v>93</v>
      </c>
      <c r="AE1402">
        <v>4003</v>
      </c>
      <c r="AF1402">
        <v>6951</v>
      </c>
      <c r="AJ1402">
        <v>3.27</v>
      </c>
      <c r="AK1402" t="str">
        <f t="shared" si="21"/>
        <v>SE601-6200</v>
      </c>
    </row>
    <row r="1403" spans="1:37">
      <c r="A1403" t="s">
        <v>2601</v>
      </c>
      <c r="B1403" t="s">
        <v>2602</v>
      </c>
      <c r="C1403" t="s">
        <v>68</v>
      </c>
      <c r="D1403" t="s">
        <v>2603</v>
      </c>
      <c r="E1403">
        <v>65</v>
      </c>
      <c r="F1403">
        <v>-0.4</v>
      </c>
      <c r="G1403">
        <v>198</v>
      </c>
      <c r="H1403">
        <v>115</v>
      </c>
      <c r="I1403">
        <v>61</v>
      </c>
      <c r="J1403">
        <v>46</v>
      </c>
      <c r="K1403">
        <v>0</v>
      </c>
      <c r="L1403">
        <v>41</v>
      </c>
      <c r="M1403">
        <v>0</v>
      </c>
      <c r="N1403">
        <v>165</v>
      </c>
      <c r="O1403">
        <v>0</v>
      </c>
      <c r="P1403">
        <v>0</v>
      </c>
      <c r="Q1403">
        <v>-165</v>
      </c>
      <c r="R1403">
        <v>0</v>
      </c>
      <c r="S1403">
        <v>260</v>
      </c>
      <c r="T1403">
        <v>26</v>
      </c>
      <c r="U1403">
        <v>58</v>
      </c>
      <c r="V1403">
        <v>19</v>
      </c>
      <c r="W1403">
        <v>0</v>
      </c>
      <c r="X1403">
        <v>0</v>
      </c>
      <c r="Y1403">
        <v>34</v>
      </c>
      <c r="Z1403">
        <v>77</v>
      </c>
      <c r="AA1403">
        <v>36</v>
      </c>
      <c r="AB1403">
        <v>20</v>
      </c>
      <c r="AC1403">
        <v>16</v>
      </c>
      <c r="AD1403">
        <v>0</v>
      </c>
      <c r="AE1403">
        <v>546</v>
      </c>
      <c r="AF1403">
        <v>440</v>
      </c>
      <c r="AJ1403">
        <v>5.86</v>
      </c>
      <c r="AK1403" t="str">
        <f t="shared" si="21"/>
        <v>SG004-5000</v>
      </c>
    </row>
    <row r="1404" spans="1:37">
      <c r="A1404" t="s">
        <v>2604</v>
      </c>
      <c r="B1404" t="s">
        <v>2605</v>
      </c>
      <c r="C1404" t="s">
        <v>68</v>
      </c>
      <c r="D1404" t="s">
        <v>2603</v>
      </c>
      <c r="E1404">
        <v>65</v>
      </c>
      <c r="F1404">
        <v>3.5</v>
      </c>
      <c r="G1404">
        <v>92</v>
      </c>
      <c r="H1404">
        <v>76</v>
      </c>
      <c r="I1404">
        <v>38</v>
      </c>
      <c r="J1404">
        <v>55</v>
      </c>
      <c r="K1404">
        <v>1135</v>
      </c>
      <c r="L1404">
        <v>87</v>
      </c>
      <c r="M1404">
        <v>0</v>
      </c>
      <c r="N1404">
        <v>77</v>
      </c>
      <c r="O1404">
        <v>0</v>
      </c>
      <c r="P1404">
        <v>0</v>
      </c>
      <c r="Q1404">
        <v>1058</v>
      </c>
      <c r="R1404">
        <v>0</v>
      </c>
      <c r="S1404">
        <v>104</v>
      </c>
      <c r="T1404">
        <v>125</v>
      </c>
      <c r="U1404">
        <v>0</v>
      </c>
      <c r="V1404">
        <v>0</v>
      </c>
      <c r="W1404">
        <v>0</v>
      </c>
      <c r="X1404">
        <v>0</v>
      </c>
      <c r="Y1404">
        <v>290</v>
      </c>
      <c r="Z1404">
        <v>21</v>
      </c>
      <c r="AA1404">
        <v>0</v>
      </c>
      <c r="AB1404">
        <v>84</v>
      </c>
      <c r="AC1404">
        <v>32</v>
      </c>
      <c r="AD1404">
        <v>0</v>
      </c>
      <c r="AE1404">
        <v>656</v>
      </c>
      <c r="AF1404">
        <v>528</v>
      </c>
      <c r="AJ1404">
        <v>4.97</v>
      </c>
      <c r="AK1404" t="str">
        <f t="shared" si="21"/>
        <v>SG004-6200</v>
      </c>
    </row>
    <row r="1405" spans="1:37">
      <c r="A1405" t="s">
        <v>2606</v>
      </c>
      <c r="B1405" t="s">
        <v>2607</v>
      </c>
      <c r="C1405" t="s">
        <v>68</v>
      </c>
      <c r="D1405" t="s">
        <v>2608</v>
      </c>
      <c r="E1405">
        <v>65</v>
      </c>
      <c r="F1405">
        <v>1.3</v>
      </c>
      <c r="G1405">
        <v>46</v>
      </c>
      <c r="H1405">
        <v>39</v>
      </c>
      <c r="I1405">
        <v>68</v>
      </c>
      <c r="J1405">
        <v>61</v>
      </c>
      <c r="K1405">
        <v>240</v>
      </c>
      <c r="L1405">
        <v>89</v>
      </c>
      <c r="M1405">
        <v>0</v>
      </c>
      <c r="N1405">
        <v>39</v>
      </c>
      <c r="O1405">
        <v>0</v>
      </c>
      <c r="P1405">
        <v>0</v>
      </c>
      <c r="Q1405">
        <v>201</v>
      </c>
      <c r="R1405">
        <v>0</v>
      </c>
      <c r="S1405">
        <v>57</v>
      </c>
      <c r="T1405">
        <v>0</v>
      </c>
      <c r="U1405">
        <v>60</v>
      </c>
      <c r="V1405">
        <v>27</v>
      </c>
      <c r="W1405">
        <v>113</v>
      </c>
      <c r="X1405">
        <v>149</v>
      </c>
      <c r="Y1405">
        <v>130</v>
      </c>
      <c r="Z1405">
        <v>19</v>
      </c>
      <c r="AA1405">
        <v>61</v>
      </c>
      <c r="AB1405">
        <v>0</v>
      </c>
      <c r="AC1405">
        <v>0</v>
      </c>
      <c r="AD1405">
        <v>116</v>
      </c>
      <c r="AE1405">
        <v>732</v>
      </c>
      <c r="AF1405">
        <v>646</v>
      </c>
      <c r="AJ1405">
        <v>4.78</v>
      </c>
      <c r="AK1405" t="str">
        <f t="shared" si="21"/>
        <v>SG552-5000</v>
      </c>
    </row>
    <row r="1406" spans="1:37">
      <c r="A1406" t="s">
        <v>2609</v>
      </c>
      <c r="B1406" t="s">
        <v>2607</v>
      </c>
      <c r="C1406" t="s">
        <v>68</v>
      </c>
      <c r="D1406" t="s">
        <v>2608</v>
      </c>
      <c r="E1406">
        <v>65</v>
      </c>
      <c r="F1406">
        <v>41</v>
      </c>
      <c r="G1406">
        <v>3</v>
      </c>
      <c r="H1406">
        <v>9</v>
      </c>
      <c r="I1406">
        <v>12</v>
      </c>
      <c r="J1406">
        <v>9</v>
      </c>
      <c r="K1406">
        <v>1423</v>
      </c>
      <c r="L1406">
        <v>7</v>
      </c>
      <c r="M1406">
        <v>0</v>
      </c>
      <c r="N1406">
        <v>2</v>
      </c>
      <c r="O1406">
        <v>0</v>
      </c>
      <c r="P1406">
        <v>0</v>
      </c>
      <c r="Q1406">
        <v>1421</v>
      </c>
      <c r="R1406">
        <v>0</v>
      </c>
      <c r="S1406">
        <v>0</v>
      </c>
      <c r="T1406">
        <v>0</v>
      </c>
      <c r="U1406">
        <v>26</v>
      </c>
      <c r="V1406">
        <v>0</v>
      </c>
      <c r="W1406">
        <v>46</v>
      </c>
      <c r="X1406">
        <v>0</v>
      </c>
      <c r="Y1406">
        <v>0</v>
      </c>
      <c r="Z1406">
        <v>39</v>
      </c>
      <c r="AA1406">
        <v>0</v>
      </c>
      <c r="AB1406">
        <v>0</v>
      </c>
      <c r="AC1406">
        <v>0</v>
      </c>
      <c r="AD1406">
        <v>0</v>
      </c>
      <c r="AE1406">
        <v>111</v>
      </c>
      <c r="AF1406">
        <v>521</v>
      </c>
      <c r="AJ1406">
        <v>4.78</v>
      </c>
      <c r="AK1406" t="str">
        <f t="shared" si="21"/>
        <v>SG552-6200</v>
      </c>
    </row>
    <row r="1407" spans="1:37">
      <c r="A1407" t="s">
        <v>2611</v>
      </c>
      <c r="B1407" t="s">
        <v>2612</v>
      </c>
      <c r="C1407" t="s">
        <v>329</v>
      </c>
      <c r="D1407" t="s">
        <v>666</v>
      </c>
      <c r="E1407">
        <v>50</v>
      </c>
      <c r="F1407">
        <v>0</v>
      </c>
      <c r="G1407">
        <v>0</v>
      </c>
      <c r="H1407">
        <v>0</v>
      </c>
      <c r="I1407">
        <v>1</v>
      </c>
      <c r="J1407">
        <v>1</v>
      </c>
      <c r="K1407">
        <v>254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254</v>
      </c>
      <c r="R1407">
        <v>0</v>
      </c>
      <c r="S1407">
        <v>0</v>
      </c>
      <c r="T1407">
        <v>0</v>
      </c>
      <c r="U1407">
        <v>0</v>
      </c>
      <c r="V1407">
        <v>0</v>
      </c>
      <c r="W1407">
        <v>0</v>
      </c>
      <c r="X1407">
        <v>4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11</v>
      </c>
      <c r="AE1407">
        <v>15</v>
      </c>
      <c r="AF1407">
        <v>112</v>
      </c>
      <c r="AJ1407">
        <v>4.75</v>
      </c>
      <c r="AK1407" t="str">
        <f t="shared" si="21"/>
        <v>SH202-6200</v>
      </c>
    </row>
    <row r="1408" spans="1:37">
      <c r="A1408" t="s">
        <v>2613</v>
      </c>
      <c r="B1408" t="s">
        <v>2614</v>
      </c>
      <c r="C1408" t="s">
        <v>313</v>
      </c>
      <c r="D1408" t="s">
        <v>2005</v>
      </c>
      <c r="E1408">
        <v>43</v>
      </c>
      <c r="F1408">
        <v>22.9</v>
      </c>
      <c r="G1408">
        <v>11</v>
      </c>
      <c r="H1408">
        <v>5</v>
      </c>
      <c r="I1408">
        <v>13</v>
      </c>
      <c r="J1408">
        <v>10</v>
      </c>
      <c r="K1408">
        <v>468</v>
      </c>
      <c r="L1408">
        <v>0</v>
      </c>
      <c r="M1408">
        <v>0</v>
      </c>
      <c r="N1408">
        <v>9</v>
      </c>
      <c r="O1408">
        <v>0</v>
      </c>
      <c r="P1408">
        <v>0</v>
      </c>
      <c r="Q1408">
        <v>459</v>
      </c>
      <c r="R1408">
        <v>0</v>
      </c>
      <c r="S1408">
        <v>15</v>
      </c>
      <c r="T1408">
        <v>0</v>
      </c>
      <c r="U1408">
        <v>0</v>
      </c>
      <c r="V1408">
        <v>20</v>
      </c>
      <c r="W1408">
        <v>0</v>
      </c>
      <c r="X1408">
        <v>41</v>
      </c>
      <c r="Y1408">
        <v>0</v>
      </c>
      <c r="Z1408">
        <v>12</v>
      </c>
      <c r="AA1408">
        <v>0</v>
      </c>
      <c r="AB1408">
        <v>13</v>
      </c>
      <c r="AC1408">
        <v>3</v>
      </c>
      <c r="AD1408">
        <v>13</v>
      </c>
      <c r="AE1408">
        <v>117</v>
      </c>
      <c r="AF1408">
        <v>47</v>
      </c>
      <c r="AJ1408">
        <v>4.22</v>
      </c>
      <c r="AK1408" t="str">
        <f t="shared" si="21"/>
        <v>SL201-5000</v>
      </c>
    </row>
    <row r="1409" spans="1:37">
      <c r="A1409" t="s">
        <v>2615</v>
      </c>
      <c r="B1409" t="s">
        <v>2616</v>
      </c>
      <c r="C1409" t="s">
        <v>313</v>
      </c>
      <c r="D1409" t="s">
        <v>2005</v>
      </c>
      <c r="E1409">
        <v>43</v>
      </c>
      <c r="F1409">
        <v>0</v>
      </c>
      <c r="G1409">
        <v>0</v>
      </c>
      <c r="H1409">
        <v>0</v>
      </c>
      <c r="I1409">
        <v>0</v>
      </c>
      <c r="J1409">
        <v>2</v>
      </c>
      <c r="K1409">
        <v>1268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1268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12</v>
      </c>
      <c r="AB1409">
        <v>13</v>
      </c>
      <c r="AC1409">
        <v>0</v>
      </c>
      <c r="AD1409">
        <v>0</v>
      </c>
      <c r="AE1409">
        <v>25</v>
      </c>
      <c r="AF1409">
        <v>154</v>
      </c>
      <c r="AJ1409">
        <v>5.33</v>
      </c>
      <c r="AK1409" t="str">
        <f t="shared" si="21"/>
        <v>SL201-6200</v>
      </c>
    </row>
    <row r="1410" spans="1:37">
      <c r="A1410" t="s">
        <v>2617</v>
      </c>
      <c r="B1410" t="s">
        <v>2618</v>
      </c>
      <c r="C1410" t="s">
        <v>318</v>
      </c>
      <c r="D1410" t="s">
        <v>5298</v>
      </c>
      <c r="E1410">
        <v>50</v>
      </c>
      <c r="F1410">
        <v>0</v>
      </c>
      <c r="G1410">
        <v>0</v>
      </c>
      <c r="H1410">
        <v>0</v>
      </c>
      <c r="I1410">
        <v>2</v>
      </c>
      <c r="J1410">
        <v>7</v>
      </c>
      <c r="K1410">
        <v>416</v>
      </c>
      <c r="L1410">
        <v>5</v>
      </c>
      <c r="M1410">
        <v>0</v>
      </c>
      <c r="N1410">
        <v>0</v>
      </c>
      <c r="O1410">
        <v>0</v>
      </c>
      <c r="P1410">
        <v>0</v>
      </c>
      <c r="Q1410">
        <v>416</v>
      </c>
      <c r="R1410">
        <v>0</v>
      </c>
      <c r="S1410">
        <v>0</v>
      </c>
      <c r="T1410">
        <v>0</v>
      </c>
      <c r="U1410">
        <v>0</v>
      </c>
      <c r="V1410">
        <v>0</v>
      </c>
      <c r="W1410">
        <v>12</v>
      </c>
      <c r="X1410">
        <v>0</v>
      </c>
      <c r="Y1410">
        <v>0</v>
      </c>
      <c r="Z1410">
        <v>40</v>
      </c>
      <c r="AA1410">
        <v>0</v>
      </c>
      <c r="AB1410">
        <v>15</v>
      </c>
      <c r="AC1410">
        <v>11</v>
      </c>
      <c r="AD1410">
        <v>0</v>
      </c>
      <c r="AE1410">
        <v>78</v>
      </c>
      <c r="AF1410">
        <v>124</v>
      </c>
      <c r="AJ1410">
        <v>6.69</v>
      </c>
      <c r="AK1410" t="str">
        <f t="shared" si="21"/>
        <v>SL602-5000</v>
      </c>
    </row>
    <row r="1411" spans="1:37">
      <c r="A1411" t="s">
        <v>2619</v>
      </c>
      <c r="B1411" t="s">
        <v>2620</v>
      </c>
      <c r="C1411" t="s">
        <v>318</v>
      </c>
      <c r="D1411" t="s">
        <v>5299</v>
      </c>
      <c r="E1411">
        <v>50</v>
      </c>
      <c r="F1411">
        <v>398.3</v>
      </c>
      <c r="G1411">
        <v>32</v>
      </c>
      <c r="H1411">
        <v>1</v>
      </c>
      <c r="I1411">
        <v>16</v>
      </c>
      <c r="J1411">
        <v>23</v>
      </c>
      <c r="K1411">
        <v>2151</v>
      </c>
      <c r="L1411">
        <v>38</v>
      </c>
      <c r="M1411">
        <v>0</v>
      </c>
      <c r="N1411">
        <v>27</v>
      </c>
      <c r="O1411">
        <v>0</v>
      </c>
      <c r="P1411">
        <v>0</v>
      </c>
      <c r="Q1411">
        <v>2124</v>
      </c>
      <c r="R1411">
        <v>0</v>
      </c>
      <c r="S1411">
        <v>4</v>
      </c>
      <c r="T1411">
        <v>0</v>
      </c>
      <c r="U1411">
        <v>0</v>
      </c>
      <c r="V1411">
        <v>0</v>
      </c>
      <c r="W1411">
        <v>80</v>
      </c>
      <c r="X1411">
        <v>11</v>
      </c>
      <c r="Y1411">
        <v>0</v>
      </c>
      <c r="Z1411">
        <v>60</v>
      </c>
      <c r="AA1411">
        <v>36</v>
      </c>
      <c r="AB1411">
        <v>29</v>
      </c>
      <c r="AC1411">
        <v>7</v>
      </c>
      <c r="AD1411">
        <v>51</v>
      </c>
      <c r="AE1411">
        <v>278</v>
      </c>
      <c r="AF1411">
        <v>543</v>
      </c>
      <c r="AJ1411">
        <v>6.69</v>
      </c>
      <c r="AK1411" t="str">
        <f t="shared" si="21"/>
        <v>SL602-6200</v>
      </c>
    </row>
    <row r="1412" spans="1:37">
      <c r="A1412" t="s">
        <v>2621</v>
      </c>
      <c r="B1412" t="s">
        <v>2622</v>
      </c>
      <c r="C1412" t="s">
        <v>318</v>
      </c>
      <c r="E1412">
        <v>50</v>
      </c>
      <c r="F1412">
        <v>23.9</v>
      </c>
      <c r="G1412">
        <v>23</v>
      </c>
      <c r="H1412">
        <v>18</v>
      </c>
      <c r="I1412">
        <v>12</v>
      </c>
      <c r="J1412">
        <v>22</v>
      </c>
      <c r="K1412">
        <v>1711</v>
      </c>
      <c r="L1412">
        <v>29</v>
      </c>
      <c r="M1412">
        <v>0</v>
      </c>
      <c r="N1412">
        <v>19</v>
      </c>
      <c r="O1412">
        <v>0</v>
      </c>
      <c r="P1412">
        <v>0</v>
      </c>
      <c r="Q1412">
        <v>1692</v>
      </c>
      <c r="R1412">
        <v>20</v>
      </c>
      <c r="S1412">
        <v>15</v>
      </c>
      <c r="T1412">
        <v>12</v>
      </c>
      <c r="U1412">
        <v>26</v>
      </c>
      <c r="V1412">
        <v>0</v>
      </c>
      <c r="W1412">
        <v>0</v>
      </c>
      <c r="X1412">
        <v>19</v>
      </c>
      <c r="Y1412">
        <v>45</v>
      </c>
      <c r="Z1412">
        <v>19</v>
      </c>
      <c r="AA1412">
        <v>17</v>
      </c>
      <c r="AB1412">
        <v>0</v>
      </c>
      <c r="AC1412">
        <v>10</v>
      </c>
      <c r="AD1412">
        <v>105</v>
      </c>
      <c r="AE1412">
        <v>268</v>
      </c>
      <c r="AF1412">
        <v>224</v>
      </c>
      <c r="AJ1412">
        <v>5.18</v>
      </c>
      <c r="AK1412" t="str">
        <f t="shared" si="21"/>
        <v>SL603-5000</v>
      </c>
    </row>
    <row r="1413" spans="1:37">
      <c r="A1413" t="s">
        <v>2623</v>
      </c>
      <c r="B1413" t="s">
        <v>2624</v>
      </c>
      <c r="C1413" t="s">
        <v>318</v>
      </c>
      <c r="E1413">
        <v>50</v>
      </c>
      <c r="F1413">
        <v>9.9</v>
      </c>
      <c r="G1413">
        <v>57</v>
      </c>
      <c r="H1413">
        <v>49</v>
      </c>
      <c r="I1413">
        <v>50</v>
      </c>
      <c r="J1413">
        <v>53</v>
      </c>
      <c r="K1413">
        <v>1973</v>
      </c>
      <c r="L1413">
        <v>38</v>
      </c>
      <c r="M1413">
        <v>0</v>
      </c>
      <c r="N1413">
        <v>48</v>
      </c>
      <c r="O1413">
        <v>0</v>
      </c>
      <c r="P1413">
        <v>0</v>
      </c>
      <c r="Q1413">
        <v>1925</v>
      </c>
      <c r="R1413">
        <v>0</v>
      </c>
      <c r="S1413">
        <v>65</v>
      </c>
      <c r="T1413">
        <v>57</v>
      </c>
      <c r="U1413">
        <v>24</v>
      </c>
      <c r="V1413">
        <v>35</v>
      </c>
      <c r="W1413">
        <v>1</v>
      </c>
      <c r="X1413">
        <v>120</v>
      </c>
      <c r="Y1413">
        <v>48</v>
      </c>
      <c r="Z1413">
        <v>71</v>
      </c>
      <c r="AA1413">
        <v>70</v>
      </c>
      <c r="AB1413">
        <v>8</v>
      </c>
      <c r="AC1413">
        <v>117</v>
      </c>
      <c r="AD1413">
        <v>16</v>
      </c>
      <c r="AE1413">
        <v>632</v>
      </c>
      <c r="AF1413">
        <v>583</v>
      </c>
      <c r="AJ1413">
        <v>5.18</v>
      </c>
      <c r="AK1413" t="str">
        <f t="shared" ref="AK1413:AK1476" si="22">MID(A1413,4,10)</f>
        <v>SL603-6200</v>
      </c>
    </row>
    <row r="1414" spans="1:37">
      <c r="A1414" t="s">
        <v>2625</v>
      </c>
      <c r="B1414" t="s">
        <v>2626</v>
      </c>
      <c r="C1414" t="s">
        <v>313</v>
      </c>
      <c r="D1414" t="s">
        <v>2627</v>
      </c>
      <c r="E1414">
        <v>43</v>
      </c>
      <c r="F1414">
        <v>111.1</v>
      </c>
      <c r="G1414">
        <v>0</v>
      </c>
      <c r="H1414">
        <v>2</v>
      </c>
      <c r="I1414">
        <v>1</v>
      </c>
      <c r="J1414">
        <v>2</v>
      </c>
      <c r="K1414">
        <v>889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889</v>
      </c>
      <c r="R1414">
        <v>0</v>
      </c>
      <c r="S1414">
        <v>0</v>
      </c>
      <c r="T1414">
        <v>6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18</v>
      </c>
      <c r="AC1414">
        <v>0</v>
      </c>
      <c r="AD1414">
        <v>4</v>
      </c>
      <c r="AE1414">
        <v>28</v>
      </c>
      <c r="AF1414">
        <v>54</v>
      </c>
      <c r="AJ1414">
        <v>4.22</v>
      </c>
      <c r="AK1414" t="str">
        <f t="shared" si="22"/>
        <v>SL604-5000</v>
      </c>
    </row>
    <row r="1415" spans="1:37">
      <c r="A1415" t="s">
        <v>2628</v>
      </c>
      <c r="B1415" t="s">
        <v>2629</v>
      </c>
      <c r="C1415" t="s">
        <v>313</v>
      </c>
      <c r="D1415" t="s">
        <v>2627</v>
      </c>
      <c r="E1415">
        <v>43</v>
      </c>
      <c r="F1415">
        <v>0</v>
      </c>
      <c r="G1415">
        <v>0</v>
      </c>
      <c r="H1415">
        <v>0</v>
      </c>
      <c r="I1415">
        <v>0</v>
      </c>
      <c r="J1415">
        <v>0</v>
      </c>
      <c r="K1415">
        <v>1458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1458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139</v>
      </c>
      <c r="AJ1415">
        <v>5.55</v>
      </c>
      <c r="AK1415" t="str">
        <f t="shared" si="22"/>
        <v>SL604-6200</v>
      </c>
    </row>
    <row r="1416" spans="1:37">
      <c r="A1416" t="s">
        <v>2630</v>
      </c>
      <c r="B1416" t="s">
        <v>2631</v>
      </c>
      <c r="C1416" t="s">
        <v>313</v>
      </c>
      <c r="D1416" t="s">
        <v>2627</v>
      </c>
      <c r="E1416">
        <v>43</v>
      </c>
      <c r="F1416">
        <v>0</v>
      </c>
      <c r="G1416">
        <v>1</v>
      </c>
      <c r="H1416">
        <v>0</v>
      </c>
      <c r="I1416">
        <v>0</v>
      </c>
      <c r="J1416">
        <v>0</v>
      </c>
      <c r="K1416">
        <v>999</v>
      </c>
      <c r="L1416">
        <v>0</v>
      </c>
      <c r="M1416">
        <v>0</v>
      </c>
      <c r="N1416">
        <v>1</v>
      </c>
      <c r="O1416">
        <v>0</v>
      </c>
      <c r="P1416">
        <v>0</v>
      </c>
      <c r="Q1416">
        <v>998</v>
      </c>
      <c r="R1416">
        <v>0</v>
      </c>
      <c r="S1416">
        <v>0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22</v>
      </c>
      <c r="AJ1416">
        <v>4.22</v>
      </c>
      <c r="AK1416" t="str">
        <f t="shared" si="22"/>
        <v>SL701-5000</v>
      </c>
    </row>
    <row r="1417" spans="1:37">
      <c r="A1417" t="s">
        <v>2632</v>
      </c>
      <c r="B1417" t="s">
        <v>2633</v>
      </c>
      <c r="C1417" t="s">
        <v>313</v>
      </c>
      <c r="D1417" t="s">
        <v>2627</v>
      </c>
      <c r="E1417">
        <v>43</v>
      </c>
      <c r="F1417">
        <v>0</v>
      </c>
      <c r="G1417">
        <v>6</v>
      </c>
      <c r="H1417">
        <v>0</v>
      </c>
      <c r="I1417">
        <v>0</v>
      </c>
      <c r="J1417">
        <v>2</v>
      </c>
      <c r="K1417">
        <v>1554</v>
      </c>
      <c r="L1417">
        <v>8</v>
      </c>
      <c r="M1417">
        <v>0</v>
      </c>
      <c r="N1417">
        <v>5</v>
      </c>
      <c r="O1417">
        <v>0</v>
      </c>
      <c r="P1417">
        <v>0</v>
      </c>
      <c r="Q1417">
        <v>1549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21</v>
      </c>
      <c r="AC1417">
        <v>0</v>
      </c>
      <c r="AD1417">
        <v>0</v>
      </c>
      <c r="AE1417">
        <v>21</v>
      </c>
      <c r="AF1417">
        <v>17</v>
      </c>
      <c r="AJ1417">
        <v>5.3</v>
      </c>
      <c r="AK1417" t="str">
        <f t="shared" si="22"/>
        <v>SL701-6200</v>
      </c>
    </row>
    <row r="1418" spans="1:37">
      <c r="A1418" t="s">
        <v>2634</v>
      </c>
      <c r="B1418" t="s">
        <v>2635</v>
      </c>
      <c r="C1418" t="s">
        <v>68</v>
      </c>
      <c r="D1418" t="s">
        <v>2636</v>
      </c>
      <c r="E1418">
        <v>65</v>
      </c>
      <c r="F1418">
        <v>45.4</v>
      </c>
      <c r="G1418">
        <v>28</v>
      </c>
      <c r="H1418">
        <v>15</v>
      </c>
      <c r="I1418">
        <v>12</v>
      </c>
      <c r="J1418">
        <v>26</v>
      </c>
      <c r="K1418">
        <v>2808</v>
      </c>
      <c r="L1418">
        <v>37</v>
      </c>
      <c r="M1418">
        <v>0</v>
      </c>
      <c r="N1418">
        <v>23</v>
      </c>
      <c r="O1418">
        <v>0</v>
      </c>
      <c r="P1418">
        <v>0</v>
      </c>
      <c r="Q1418">
        <v>2785</v>
      </c>
      <c r="R1418">
        <v>27</v>
      </c>
      <c r="S1418">
        <v>0</v>
      </c>
      <c r="T1418">
        <v>0</v>
      </c>
      <c r="U1418">
        <v>46</v>
      </c>
      <c r="V1418">
        <v>0</v>
      </c>
      <c r="W1418">
        <v>0</v>
      </c>
      <c r="X1418">
        <v>26</v>
      </c>
      <c r="Y1418">
        <v>86</v>
      </c>
      <c r="Z1418">
        <v>0</v>
      </c>
      <c r="AA1418">
        <v>0</v>
      </c>
      <c r="AB1418">
        <v>0</v>
      </c>
      <c r="AC1418">
        <v>151</v>
      </c>
      <c r="AD1418">
        <v>0</v>
      </c>
      <c r="AE1418">
        <v>309</v>
      </c>
      <c r="AF1418">
        <v>347</v>
      </c>
      <c r="AJ1418">
        <v>4.5599999999999996</v>
      </c>
      <c r="AK1418" t="str">
        <f t="shared" si="22"/>
        <v>SN210-5000</v>
      </c>
    </row>
    <row r="1419" spans="1:37">
      <c r="A1419" t="s">
        <v>2637</v>
      </c>
      <c r="B1419" t="s">
        <v>2635</v>
      </c>
      <c r="C1419" t="s">
        <v>68</v>
      </c>
      <c r="E1419">
        <v>65</v>
      </c>
      <c r="F1419">
        <v>0</v>
      </c>
      <c r="G1419">
        <v>0</v>
      </c>
      <c r="H1419">
        <v>0</v>
      </c>
      <c r="I1419">
        <v>0</v>
      </c>
      <c r="J1419">
        <v>19</v>
      </c>
      <c r="K1419">
        <v>751</v>
      </c>
      <c r="L1419">
        <v>16</v>
      </c>
      <c r="M1419">
        <v>0</v>
      </c>
      <c r="N1419">
        <v>0</v>
      </c>
      <c r="O1419">
        <v>0</v>
      </c>
      <c r="P1419">
        <v>0</v>
      </c>
      <c r="Q1419">
        <v>751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74</v>
      </c>
      <c r="AA1419">
        <v>0</v>
      </c>
      <c r="AB1419">
        <v>109</v>
      </c>
      <c r="AC1419">
        <v>45</v>
      </c>
      <c r="AD1419">
        <v>0</v>
      </c>
      <c r="AE1419">
        <v>228</v>
      </c>
      <c r="AF1419">
        <v>217</v>
      </c>
      <c r="AJ1419">
        <v>4.5599999999999996</v>
      </c>
      <c r="AK1419" t="str">
        <f t="shared" si="22"/>
        <v>SN210-6200</v>
      </c>
    </row>
    <row r="1420" spans="1:37">
      <c r="A1420" t="s">
        <v>2638</v>
      </c>
      <c r="B1420" t="s">
        <v>2639</v>
      </c>
      <c r="C1420" t="s">
        <v>68</v>
      </c>
      <c r="D1420" t="s">
        <v>2640</v>
      </c>
      <c r="E1420">
        <v>65</v>
      </c>
      <c r="F1420">
        <v>0</v>
      </c>
      <c r="G1420">
        <v>0</v>
      </c>
      <c r="H1420">
        <v>36</v>
      </c>
      <c r="I1420">
        <v>159</v>
      </c>
      <c r="J1420">
        <v>80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>
        <v>0</v>
      </c>
      <c r="T1420">
        <v>0</v>
      </c>
      <c r="U1420">
        <v>109</v>
      </c>
      <c r="V1420">
        <v>0</v>
      </c>
      <c r="W1420">
        <v>847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956</v>
      </c>
      <c r="AF1420">
        <v>0</v>
      </c>
      <c r="AJ1420">
        <v>5.23</v>
      </c>
      <c r="AK1420" t="str">
        <f t="shared" si="22"/>
        <v>SN219-3700</v>
      </c>
    </row>
    <row r="1421" spans="1:37">
      <c r="A1421" t="s">
        <v>2641</v>
      </c>
      <c r="B1421" t="s">
        <v>2642</v>
      </c>
      <c r="C1421" t="s">
        <v>68</v>
      </c>
      <c r="D1421" t="s">
        <v>2643</v>
      </c>
      <c r="E1421">
        <v>65</v>
      </c>
      <c r="F1421">
        <v>1.6</v>
      </c>
      <c r="G1421">
        <v>91</v>
      </c>
      <c r="H1421">
        <v>67</v>
      </c>
      <c r="I1421">
        <v>181</v>
      </c>
      <c r="J1421">
        <v>115</v>
      </c>
      <c r="K1421">
        <v>508</v>
      </c>
      <c r="L1421">
        <v>43</v>
      </c>
      <c r="M1421">
        <v>0</v>
      </c>
      <c r="N1421">
        <v>76</v>
      </c>
      <c r="O1421">
        <v>0</v>
      </c>
      <c r="P1421">
        <v>0</v>
      </c>
      <c r="Q1421">
        <v>432</v>
      </c>
      <c r="R1421">
        <v>0</v>
      </c>
      <c r="S1421">
        <v>165</v>
      </c>
      <c r="T1421">
        <v>35</v>
      </c>
      <c r="U1421">
        <v>0</v>
      </c>
      <c r="V1421">
        <v>0</v>
      </c>
      <c r="W1421">
        <v>888</v>
      </c>
      <c r="X1421">
        <v>0</v>
      </c>
      <c r="Y1421">
        <v>0</v>
      </c>
      <c r="Z1421">
        <v>0</v>
      </c>
      <c r="AA1421">
        <v>0</v>
      </c>
      <c r="AB1421">
        <v>120</v>
      </c>
      <c r="AC1421">
        <v>90</v>
      </c>
      <c r="AD1421">
        <v>76</v>
      </c>
      <c r="AE1421">
        <v>1374</v>
      </c>
      <c r="AF1421">
        <v>795</v>
      </c>
      <c r="AJ1421">
        <v>6.09</v>
      </c>
      <c r="AK1421" t="str">
        <f t="shared" si="22"/>
        <v>SN219-5000</v>
      </c>
    </row>
    <row r="1422" spans="1:37">
      <c r="A1422" t="s">
        <v>2644</v>
      </c>
      <c r="B1422" t="s">
        <v>2645</v>
      </c>
      <c r="C1422" t="s">
        <v>68</v>
      </c>
      <c r="D1422" t="s">
        <v>2643</v>
      </c>
      <c r="E1422">
        <v>65</v>
      </c>
      <c r="F1422">
        <v>7.8</v>
      </c>
      <c r="G1422">
        <v>21</v>
      </c>
      <c r="H1422">
        <v>29</v>
      </c>
      <c r="I1422">
        <v>242</v>
      </c>
      <c r="J1422">
        <v>175</v>
      </c>
      <c r="K1422">
        <v>914</v>
      </c>
      <c r="L1422">
        <v>167</v>
      </c>
      <c r="M1422">
        <v>0</v>
      </c>
      <c r="N1422">
        <v>17</v>
      </c>
      <c r="O1422">
        <v>0</v>
      </c>
      <c r="P1422">
        <v>0</v>
      </c>
      <c r="Q1422">
        <v>897</v>
      </c>
      <c r="R1422">
        <v>0</v>
      </c>
      <c r="S1422">
        <v>0</v>
      </c>
      <c r="T1422">
        <v>32</v>
      </c>
      <c r="U1422">
        <v>54</v>
      </c>
      <c r="V1422">
        <v>0</v>
      </c>
      <c r="W1422">
        <v>943</v>
      </c>
      <c r="X1422">
        <v>425</v>
      </c>
      <c r="Y1422">
        <v>132</v>
      </c>
      <c r="Z1422">
        <v>40</v>
      </c>
      <c r="AA1422">
        <v>0</v>
      </c>
      <c r="AB1422">
        <v>211</v>
      </c>
      <c r="AC1422">
        <v>0</v>
      </c>
      <c r="AD1422">
        <v>257</v>
      </c>
      <c r="AE1422">
        <v>2094</v>
      </c>
      <c r="AF1422">
        <v>535</v>
      </c>
      <c r="AJ1422">
        <v>6.09</v>
      </c>
      <c r="AK1422" t="str">
        <f t="shared" si="22"/>
        <v>SN219-6200</v>
      </c>
    </row>
    <row r="1423" spans="1:37">
      <c r="A1423" t="s">
        <v>2647</v>
      </c>
      <c r="B1423" t="s">
        <v>2648</v>
      </c>
      <c r="C1423" t="s">
        <v>68</v>
      </c>
      <c r="E1423">
        <v>65</v>
      </c>
      <c r="F1423">
        <v>0</v>
      </c>
      <c r="G1423">
        <v>0</v>
      </c>
      <c r="H1423">
        <v>0</v>
      </c>
      <c r="I1423">
        <v>0</v>
      </c>
      <c r="J1423">
        <v>10</v>
      </c>
      <c r="K1423">
        <v>753</v>
      </c>
      <c r="L1423">
        <v>13</v>
      </c>
      <c r="M1423">
        <v>0</v>
      </c>
      <c r="N1423">
        <v>0</v>
      </c>
      <c r="O1423">
        <v>0</v>
      </c>
      <c r="P1423">
        <v>0</v>
      </c>
      <c r="Q1423">
        <v>753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73</v>
      </c>
      <c r="AA1423">
        <v>0</v>
      </c>
      <c r="AB1423">
        <v>0</v>
      </c>
      <c r="AC1423">
        <v>0</v>
      </c>
      <c r="AD1423">
        <v>46</v>
      </c>
      <c r="AE1423">
        <v>119</v>
      </c>
      <c r="AF1423">
        <v>820</v>
      </c>
      <c r="AJ1423">
        <v>3.15</v>
      </c>
      <c r="AK1423" t="str">
        <f t="shared" si="22"/>
        <v>SN250-6200</v>
      </c>
    </row>
    <row r="1424" spans="1:37">
      <c r="A1424" t="s">
        <v>2649</v>
      </c>
      <c r="B1424" t="s">
        <v>2650</v>
      </c>
      <c r="C1424" t="s">
        <v>68</v>
      </c>
      <c r="D1424" t="s">
        <v>2651</v>
      </c>
      <c r="E1424">
        <v>65</v>
      </c>
      <c r="F1424">
        <v>3.3</v>
      </c>
      <c r="G1424">
        <v>75</v>
      </c>
      <c r="H1424">
        <v>85</v>
      </c>
      <c r="I1424">
        <v>60</v>
      </c>
      <c r="J1424">
        <v>154</v>
      </c>
      <c r="K1424">
        <v>1176</v>
      </c>
      <c r="L1424">
        <v>24</v>
      </c>
      <c r="M1424">
        <v>0</v>
      </c>
      <c r="N1424">
        <v>63</v>
      </c>
      <c r="O1424">
        <v>0</v>
      </c>
      <c r="P1424">
        <v>0</v>
      </c>
      <c r="Q1424">
        <v>1113</v>
      </c>
      <c r="R1424">
        <v>0</v>
      </c>
      <c r="S1424">
        <v>202</v>
      </c>
      <c r="T1424">
        <v>0</v>
      </c>
      <c r="U1424">
        <v>52</v>
      </c>
      <c r="V1424">
        <v>22</v>
      </c>
      <c r="W1424">
        <v>81</v>
      </c>
      <c r="X1424">
        <v>0</v>
      </c>
      <c r="Y1424">
        <v>0</v>
      </c>
      <c r="Z1424">
        <v>375</v>
      </c>
      <c r="AA1424">
        <v>191</v>
      </c>
      <c r="AB1424">
        <v>32</v>
      </c>
      <c r="AC1424">
        <v>116</v>
      </c>
      <c r="AD1424">
        <v>772</v>
      </c>
      <c r="AE1424">
        <v>1843</v>
      </c>
      <c r="AF1424">
        <v>456</v>
      </c>
      <c r="AJ1424">
        <v>4.59</v>
      </c>
      <c r="AK1424" t="str">
        <f t="shared" si="22"/>
        <v>SN269-5000</v>
      </c>
    </row>
    <row r="1425" spans="1:37">
      <c r="A1425" t="s">
        <v>2652</v>
      </c>
      <c r="B1425" t="s">
        <v>2653</v>
      </c>
      <c r="C1425" t="s">
        <v>68</v>
      </c>
      <c r="D1425" t="s">
        <v>2651</v>
      </c>
      <c r="E1425">
        <v>65</v>
      </c>
      <c r="F1425">
        <v>5.0999999999999996</v>
      </c>
      <c r="G1425">
        <v>83</v>
      </c>
      <c r="H1425">
        <v>55</v>
      </c>
      <c r="I1425">
        <v>50</v>
      </c>
      <c r="J1425">
        <v>48</v>
      </c>
      <c r="K1425">
        <v>1175</v>
      </c>
      <c r="L1425">
        <v>39</v>
      </c>
      <c r="M1425">
        <v>17</v>
      </c>
      <c r="N1425">
        <v>69</v>
      </c>
      <c r="O1425">
        <v>0</v>
      </c>
      <c r="P1425">
        <v>0</v>
      </c>
      <c r="Q1425">
        <v>1106</v>
      </c>
      <c r="R1425">
        <v>64</v>
      </c>
      <c r="S1425">
        <v>124</v>
      </c>
      <c r="T1425">
        <v>40</v>
      </c>
      <c r="U1425">
        <v>0</v>
      </c>
      <c r="V1425">
        <v>46</v>
      </c>
      <c r="W1425">
        <v>0</v>
      </c>
      <c r="X1425">
        <v>89</v>
      </c>
      <c r="Y1425">
        <v>0</v>
      </c>
      <c r="Z1425">
        <v>0</v>
      </c>
      <c r="AA1425">
        <v>0</v>
      </c>
      <c r="AB1425">
        <v>155</v>
      </c>
      <c r="AC1425">
        <v>41</v>
      </c>
      <c r="AD1425">
        <v>79</v>
      </c>
      <c r="AE1425">
        <v>574</v>
      </c>
      <c r="AF1425">
        <v>1111</v>
      </c>
      <c r="AJ1425">
        <v>4.59</v>
      </c>
      <c r="AK1425" t="str">
        <f t="shared" si="22"/>
        <v>SN269-6200</v>
      </c>
    </row>
    <row r="1426" spans="1:37">
      <c r="A1426" t="s">
        <v>2654</v>
      </c>
      <c r="B1426" t="s">
        <v>2655</v>
      </c>
      <c r="C1426" t="s">
        <v>267</v>
      </c>
      <c r="D1426" t="s">
        <v>2656</v>
      </c>
      <c r="E1426">
        <v>65</v>
      </c>
      <c r="F1426">
        <v>3.3</v>
      </c>
      <c r="G1426">
        <v>272</v>
      </c>
      <c r="H1426">
        <v>109</v>
      </c>
      <c r="I1426">
        <v>170</v>
      </c>
      <c r="J1426">
        <v>161</v>
      </c>
      <c r="K1426">
        <v>1673</v>
      </c>
      <c r="L1426">
        <v>241</v>
      </c>
      <c r="M1426">
        <v>0</v>
      </c>
      <c r="N1426">
        <v>227</v>
      </c>
      <c r="O1426">
        <v>0</v>
      </c>
      <c r="P1426">
        <v>0</v>
      </c>
      <c r="Q1426">
        <v>1446</v>
      </c>
      <c r="R1426">
        <v>22</v>
      </c>
      <c r="S1426">
        <v>220</v>
      </c>
      <c r="T1426">
        <v>106</v>
      </c>
      <c r="U1426">
        <v>0</v>
      </c>
      <c r="V1426">
        <v>482</v>
      </c>
      <c r="W1426">
        <v>162</v>
      </c>
      <c r="X1426">
        <v>48</v>
      </c>
      <c r="Y1426">
        <v>18</v>
      </c>
      <c r="Z1426">
        <v>267</v>
      </c>
      <c r="AA1426">
        <v>0</v>
      </c>
      <c r="AB1426">
        <v>441</v>
      </c>
      <c r="AC1426">
        <v>191</v>
      </c>
      <c r="AD1426">
        <v>0</v>
      </c>
      <c r="AE1426">
        <v>1935</v>
      </c>
      <c r="AF1426">
        <v>4432</v>
      </c>
      <c r="AJ1426">
        <v>2.97</v>
      </c>
      <c r="AK1426" t="str">
        <f t="shared" si="22"/>
        <v>SN284-5000</v>
      </c>
    </row>
    <row r="1427" spans="1:37">
      <c r="A1427" t="s">
        <v>2657</v>
      </c>
      <c r="B1427" t="s">
        <v>2658</v>
      </c>
      <c r="C1427" t="s">
        <v>267</v>
      </c>
      <c r="D1427" t="s">
        <v>2656</v>
      </c>
      <c r="E1427">
        <v>65</v>
      </c>
      <c r="F1427">
        <v>0.1</v>
      </c>
      <c r="G1427">
        <v>146</v>
      </c>
      <c r="H1427">
        <v>147</v>
      </c>
      <c r="I1427">
        <v>106</v>
      </c>
      <c r="J1427">
        <v>128</v>
      </c>
      <c r="K1427">
        <v>194</v>
      </c>
      <c r="L1427">
        <v>91</v>
      </c>
      <c r="M1427">
        <v>0</v>
      </c>
      <c r="N1427">
        <v>122</v>
      </c>
      <c r="O1427">
        <v>0</v>
      </c>
      <c r="P1427">
        <v>0</v>
      </c>
      <c r="Q1427">
        <v>72</v>
      </c>
      <c r="R1427">
        <v>0</v>
      </c>
      <c r="S1427">
        <v>156</v>
      </c>
      <c r="T1427">
        <v>286</v>
      </c>
      <c r="U1427">
        <v>0</v>
      </c>
      <c r="V1427">
        <v>0</v>
      </c>
      <c r="W1427">
        <v>193</v>
      </c>
      <c r="X1427">
        <v>0</v>
      </c>
      <c r="Y1427">
        <v>89</v>
      </c>
      <c r="Z1427">
        <v>49</v>
      </c>
      <c r="AA1427">
        <v>226</v>
      </c>
      <c r="AB1427">
        <v>315</v>
      </c>
      <c r="AC1427">
        <v>0</v>
      </c>
      <c r="AD1427">
        <v>227</v>
      </c>
      <c r="AE1427">
        <v>1541</v>
      </c>
      <c r="AF1427">
        <v>2811</v>
      </c>
      <c r="AJ1427">
        <v>2.97</v>
      </c>
      <c r="AK1427" t="str">
        <f t="shared" si="22"/>
        <v>SN284-6200</v>
      </c>
    </row>
    <row r="1428" spans="1:37">
      <c r="A1428" t="s">
        <v>2659</v>
      </c>
      <c r="B1428" t="s">
        <v>2660</v>
      </c>
      <c r="C1428" t="s">
        <v>68</v>
      </c>
      <c r="D1428" t="s">
        <v>2661</v>
      </c>
      <c r="E1428">
        <v>65</v>
      </c>
      <c r="F1428">
        <v>1.7</v>
      </c>
      <c r="G1428">
        <v>242</v>
      </c>
      <c r="H1428">
        <v>185</v>
      </c>
      <c r="I1428">
        <v>157</v>
      </c>
      <c r="J1428">
        <v>132</v>
      </c>
      <c r="K1428">
        <v>1430</v>
      </c>
      <c r="L1428">
        <v>108</v>
      </c>
      <c r="M1428">
        <v>0</v>
      </c>
      <c r="N1428">
        <v>202</v>
      </c>
      <c r="O1428">
        <v>0</v>
      </c>
      <c r="P1428">
        <v>0</v>
      </c>
      <c r="Q1428">
        <v>1228</v>
      </c>
      <c r="R1428">
        <v>0</v>
      </c>
      <c r="S1428">
        <v>352</v>
      </c>
      <c r="T1428">
        <v>124</v>
      </c>
      <c r="U1428">
        <v>80</v>
      </c>
      <c r="V1428">
        <v>92</v>
      </c>
      <c r="W1428">
        <v>227</v>
      </c>
      <c r="X1428">
        <v>65</v>
      </c>
      <c r="Y1428">
        <v>87</v>
      </c>
      <c r="Z1428">
        <v>0</v>
      </c>
      <c r="AA1428">
        <v>92</v>
      </c>
      <c r="AB1428">
        <v>267</v>
      </c>
      <c r="AC1428">
        <v>0</v>
      </c>
      <c r="AD1428">
        <v>194</v>
      </c>
      <c r="AE1428">
        <v>1580</v>
      </c>
      <c r="AF1428">
        <v>2065</v>
      </c>
      <c r="AJ1428">
        <v>5.56</v>
      </c>
      <c r="AK1428" t="str">
        <f t="shared" si="22"/>
        <v>SN286-5000</v>
      </c>
    </row>
    <row r="1429" spans="1:37">
      <c r="A1429" t="s">
        <v>2662</v>
      </c>
      <c r="B1429" t="s">
        <v>2663</v>
      </c>
      <c r="C1429" t="s">
        <v>68</v>
      </c>
      <c r="D1429" t="s">
        <v>2661</v>
      </c>
      <c r="E1429">
        <v>65</v>
      </c>
      <c r="F1429">
        <v>10.1</v>
      </c>
      <c r="G1429">
        <v>0</v>
      </c>
      <c r="H1429">
        <v>50</v>
      </c>
      <c r="I1429">
        <v>34</v>
      </c>
      <c r="J1429">
        <v>45</v>
      </c>
      <c r="K1429">
        <v>2031</v>
      </c>
      <c r="L1429">
        <v>24</v>
      </c>
      <c r="M1429">
        <v>0</v>
      </c>
      <c r="N1429">
        <v>0</v>
      </c>
      <c r="O1429">
        <v>0</v>
      </c>
      <c r="P1429">
        <v>0</v>
      </c>
      <c r="Q1429">
        <v>2031</v>
      </c>
      <c r="R1429">
        <v>0</v>
      </c>
      <c r="S1429">
        <v>33</v>
      </c>
      <c r="T1429">
        <v>118</v>
      </c>
      <c r="U1429">
        <v>0</v>
      </c>
      <c r="V1429">
        <v>26</v>
      </c>
      <c r="W1429">
        <v>0</v>
      </c>
      <c r="X1429">
        <v>27</v>
      </c>
      <c r="Y1429">
        <v>0</v>
      </c>
      <c r="Z1429">
        <v>0</v>
      </c>
      <c r="AA1429">
        <v>47</v>
      </c>
      <c r="AB1429">
        <v>184</v>
      </c>
      <c r="AC1429">
        <v>0</v>
      </c>
      <c r="AD1429">
        <v>106</v>
      </c>
      <c r="AE1429">
        <v>541</v>
      </c>
      <c r="AF1429">
        <v>382</v>
      </c>
      <c r="AJ1429">
        <v>5.56</v>
      </c>
      <c r="AK1429" t="str">
        <f t="shared" si="22"/>
        <v>SN286-6200</v>
      </c>
    </row>
    <row r="1430" spans="1:37">
      <c r="A1430" t="s">
        <v>2664</v>
      </c>
      <c r="B1430" t="s">
        <v>2665</v>
      </c>
      <c r="C1430" t="s">
        <v>68</v>
      </c>
      <c r="D1430" t="s">
        <v>2666</v>
      </c>
      <c r="E1430">
        <v>65</v>
      </c>
      <c r="F1430">
        <v>7.3</v>
      </c>
      <c r="G1430">
        <v>36</v>
      </c>
      <c r="H1430">
        <v>55</v>
      </c>
      <c r="I1430">
        <v>61</v>
      </c>
      <c r="J1430">
        <v>80</v>
      </c>
      <c r="K1430">
        <v>1627</v>
      </c>
      <c r="L1430">
        <v>147</v>
      </c>
      <c r="M1430">
        <v>0</v>
      </c>
      <c r="N1430">
        <v>30</v>
      </c>
      <c r="O1430">
        <v>0</v>
      </c>
      <c r="P1430">
        <v>0</v>
      </c>
      <c r="Q1430">
        <v>1597</v>
      </c>
      <c r="R1430">
        <v>0</v>
      </c>
      <c r="S1430">
        <v>0</v>
      </c>
      <c r="T1430">
        <v>0</v>
      </c>
      <c r="U1430">
        <v>164</v>
      </c>
      <c r="V1430">
        <v>24</v>
      </c>
      <c r="W1430">
        <v>142</v>
      </c>
      <c r="X1430">
        <v>34</v>
      </c>
      <c r="Y1430">
        <v>100</v>
      </c>
      <c r="Z1430">
        <v>110</v>
      </c>
      <c r="AA1430">
        <v>138</v>
      </c>
      <c r="AB1430">
        <v>199</v>
      </c>
      <c r="AC1430">
        <v>44</v>
      </c>
      <c r="AD1430">
        <v>0</v>
      </c>
      <c r="AE1430">
        <v>955</v>
      </c>
      <c r="AF1430">
        <v>1052</v>
      </c>
      <c r="AJ1430">
        <v>4.22</v>
      </c>
      <c r="AK1430" t="str">
        <f t="shared" si="22"/>
        <v>SN293-5000</v>
      </c>
    </row>
    <row r="1431" spans="1:37">
      <c r="A1431" t="s">
        <v>2667</v>
      </c>
      <c r="B1431" t="s">
        <v>2668</v>
      </c>
      <c r="C1431" t="s">
        <v>68</v>
      </c>
      <c r="D1431" t="s">
        <v>2666</v>
      </c>
      <c r="E1431">
        <v>65</v>
      </c>
      <c r="F1431">
        <v>14.6</v>
      </c>
      <c r="G1431">
        <v>45</v>
      </c>
      <c r="H1431">
        <v>37</v>
      </c>
      <c r="I1431">
        <v>41</v>
      </c>
      <c r="J1431">
        <v>45</v>
      </c>
      <c r="K1431">
        <v>2175</v>
      </c>
      <c r="L1431">
        <v>184</v>
      </c>
      <c r="M1431">
        <v>0</v>
      </c>
      <c r="N1431">
        <v>38</v>
      </c>
      <c r="O1431">
        <v>0</v>
      </c>
      <c r="P1431">
        <v>0</v>
      </c>
      <c r="Q1431">
        <v>2137</v>
      </c>
      <c r="R1431">
        <v>50</v>
      </c>
      <c r="S1431">
        <v>0</v>
      </c>
      <c r="T1431">
        <v>45</v>
      </c>
      <c r="U1431">
        <v>65</v>
      </c>
      <c r="V1431">
        <v>72</v>
      </c>
      <c r="W1431">
        <v>66</v>
      </c>
      <c r="X1431">
        <v>0</v>
      </c>
      <c r="Y1431">
        <v>0</v>
      </c>
      <c r="Z1431">
        <v>96</v>
      </c>
      <c r="AA1431">
        <v>102</v>
      </c>
      <c r="AB1431">
        <v>99</v>
      </c>
      <c r="AC1431">
        <v>0</v>
      </c>
      <c r="AD1431">
        <v>0</v>
      </c>
      <c r="AE1431">
        <v>545</v>
      </c>
      <c r="AF1431">
        <v>769</v>
      </c>
      <c r="AJ1431">
        <v>4.22</v>
      </c>
      <c r="AK1431" t="str">
        <f t="shared" si="22"/>
        <v>SN293-6200</v>
      </c>
    </row>
    <row r="1432" spans="1:37">
      <c r="A1432" t="s">
        <v>2669</v>
      </c>
      <c r="B1432" t="s">
        <v>2670</v>
      </c>
      <c r="C1432" t="s">
        <v>267</v>
      </c>
      <c r="E1432">
        <v>65</v>
      </c>
      <c r="F1432">
        <v>7</v>
      </c>
      <c r="G1432">
        <v>40</v>
      </c>
      <c r="H1432">
        <v>50</v>
      </c>
      <c r="I1432">
        <v>33</v>
      </c>
      <c r="J1432">
        <v>29</v>
      </c>
      <c r="K1432">
        <v>1425</v>
      </c>
      <c r="L1432">
        <v>44</v>
      </c>
      <c r="M1432">
        <v>0</v>
      </c>
      <c r="N1432">
        <v>34</v>
      </c>
      <c r="O1432">
        <v>0</v>
      </c>
      <c r="P1432">
        <v>0</v>
      </c>
      <c r="Q1432">
        <v>1391</v>
      </c>
      <c r="R1432">
        <v>18</v>
      </c>
      <c r="S1432">
        <v>78</v>
      </c>
      <c r="T1432">
        <v>0</v>
      </c>
      <c r="U1432">
        <v>72</v>
      </c>
      <c r="V1432">
        <v>49</v>
      </c>
      <c r="W1432">
        <v>0</v>
      </c>
      <c r="X1432">
        <v>0</v>
      </c>
      <c r="Y1432">
        <v>0</v>
      </c>
      <c r="Z1432">
        <v>0</v>
      </c>
      <c r="AA1432">
        <v>34</v>
      </c>
      <c r="AB1432">
        <v>0</v>
      </c>
      <c r="AC1432">
        <v>120</v>
      </c>
      <c r="AD1432">
        <v>0</v>
      </c>
      <c r="AE1432">
        <v>353</v>
      </c>
      <c r="AF1432">
        <v>1429</v>
      </c>
      <c r="AJ1432">
        <v>6.73</v>
      </c>
      <c r="AK1432" t="str">
        <f t="shared" si="22"/>
        <v>SO330-5000</v>
      </c>
    </row>
    <row r="1433" spans="1:37">
      <c r="A1433" t="s">
        <v>2671</v>
      </c>
      <c r="B1433" t="s">
        <v>2672</v>
      </c>
      <c r="C1433" t="s">
        <v>267</v>
      </c>
      <c r="E1433">
        <v>65</v>
      </c>
      <c r="F1433">
        <v>25.3</v>
      </c>
      <c r="G1433">
        <v>0</v>
      </c>
      <c r="H1433">
        <v>23</v>
      </c>
      <c r="I1433">
        <v>23</v>
      </c>
      <c r="J1433">
        <v>72</v>
      </c>
      <c r="K1433">
        <v>2323</v>
      </c>
      <c r="L1433">
        <v>52</v>
      </c>
      <c r="M1433">
        <v>0</v>
      </c>
      <c r="N1433">
        <v>0</v>
      </c>
      <c r="O1433">
        <v>0</v>
      </c>
      <c r="P1433">
        <v>0</v>
      </c>
      <c r="Q1433">
        <v>2323</v>
      </c>
      <c r="R1433">
        <v>0</v>
      </c>
      <c r="S1433">
        <v>0</v>
      </c>
      <c r="T1433">
        <v>0</v>
      </c>
      <c r="U1433">
        <v>69</v>
      </c>
      <c r="V1433">
        <v>66</v>
      </c>
      <c r="W1433">
        <v>0</v>
      </c>
      <c r="X1433">
        <v>0</v>
      </c>
      <c r="Y1433">
        <v>63</v>
      </c>
      <c r="Z1433">
        <v>26</v>
      </c>
      <c r="AA1433">
        <v>0</v>
      </c>
      <c r="AB1433">
        <v>235</v>
      </c>
      <c r="AC1433">
        <v>410</v>
      </c>
      <c r="AD1433">
        <v>0</v>
      </c>
      <c r="AE1433">
        <v>869</v>
      </c>
      <c r="AF1433">
        <v>738</v>
      </c>
      <c r="AJ1433">
        <v>6.73</v>
      </c>
      <c r="AK1433" t="str">
        <f t="shared" si="22"/>
        <v>SO330-6200</v>
      </c>
    </row>
    <row r="1434" spans="1:37">
      <c r="A1434" t="s">
        <v>2673</v>
      </c>
      <c r="B1434" t="s">
        <v>2674</v>
      </c>
      <c r="C1434" t="s">
        <v>267</v>
      </c>
      <c r="E1434">
        <v>50</v>
      </c>
      <c r="F1434">
        <v>67.400000000000006</v>
      </c>
      <c r="G1434">
        <v>0</v>
      </c>
      <c r="H1434">
        <v>4</v>
      </c>
      <c r="I1434">
        <v>10</v>
      </c>
      <c r="J1434">
        <v>6</v>
      </c>
      <c r="K1434">
        <v>1079</v>
      </c>
      <c r="L1434">
        <v>38</v>
      </c>
      <c r="M1434">
        <v>0</v>
      </c>
      <c r="N1434">
        <v>0</v>
      </c>
      <c r="O1434">
        <v>0</v>
      </c>
      <c r="P1434">
        <v>0</v>
      </c>
      <c r="Q1434">
        <v>1079</v>
      </c>
      <c r="R1434">
        <v>0</v>
      </c>
      <c r="S1434">
        <v>0</v>
      </c>
      <c r="T1434">
        <v>12</v>
      </c>
      <c r="U1434">
        <v>0</v>
      </c>
      <c r="V1434">
        <v>0</v>
      </c>
      <c r="W1434">
        <v>45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18</v>
      </c>
      <c r="AD1434">
        <v>0</v>
      </c>
      <c r="AE1434">
        <v>75</v>
      </c>
      <c r="AF1434">
        <v>113</v>
      </c>
      <c r="AJ1434">
        <v>2.25</v>
      </c>
      <c r="AK1434" t="str">
        <f t="shared" si="22"/>
        <v>SP417-5000</v>
      </c>
    </row>
    <row r="1435" spans="1:37">
      <c r="A1435" t="s">
        <v>2675</v>
      </c>
      <c r="B1435" t="s">
        <v>2674</v>
      </c>
      <c r="C1435" t="s">
        <v>267</v>
      </c>
      <c r="E1435">
        <v>50</v>
      </c>
      <c r="F1435">
        <v>0</v>
      </c>
      <c r="G1435">
        <v>0</v>
      </c>
      <c r="H1435">
        <v>0</v>
      </c>
      <c r="I1435">
        <v>0</v>
      </c>
      <c r="J1435">
        <v>5</v>
      </c>
      <c r="K1435">
        <v>910</v>
      </c>
      <c r="L1435">
        <v>13</v>
      </c>
      <c r="M1435">
        <v>0</v>
      </c>
      <c r="N1435">
        <v>0</v>
      </c>
      <c r="O1435">
        <v>0</v>
      </c>
      <c r="P1435">
        <v>0</v>
      </c>
      <c r="Q1435">
        <v>910</v>
      </c>
      <c r="R1435">
        <v>0</v>
      </c>
      <c r="S1435">
        <v>0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38</v>
      </c>
      <c r="Z1435">
        <v>0</v>
      </c>
      <c r="AA1435">
        <v>0</v>
      </c>
      <c r="AB1435">
        <v>0</v>
      </c>
      <c r="AC1435">
        <v>0</v>
      </c>
      <c r="AD1435">
        <v>23</v>
      </c>
      <c r="AE1435">
        <v>61</v>
      </c>
      <c r="AF1435">
        <v>105</v>
      </c>
      <c r="AJ1435">
        <v>2.25</v>
      </c>
      <c r="AK1435" t="str">
        <f t="shared" si="22"/>
        <v>SP417-6200</v>
      </c>
    </row>
    <row r="1436" spans="1:37">
      <c r="A1436" t="s">
        <v>2676</v>
      </c>
      <c r="B1436" t="s">
        <v>2677</v>
      </c>
      <c r="C1436" t="s">
        <v>68</v>
      </c>
      <c r="D1436" t="s">
        <v>2678</v>
      </c>
      <c r="E1436">
        <v>68</v>
      </c>
      <c r="F1436">
        <v>6.1</v>
      </c>
      <c r="G1436">
        <v>121</v>
      </c>
      <c r="H1436">
        <v>75</v>
      </c>
      <c r="I1436">
        <v>97</v>
      </c>
      <c r="J1436">
        <v>168</v>
      </c>
      <c r="K1436">
        <v>1927</v>
      </c>
      <c r="L1436">
        <v>96</v>
      </c>
      <c r="M1436">
        <v>0</v>
      </c>
      <c r="N1436">
        <v>101</v>
      </c>
      <c r="O1436">
        <v>0</v>
      </c>
      <c r="P1436">
        <v>0</v>
      </c>
      <c r="Q1436">
        <v>1826</v>
      </c>
      <c r="R1436">
        <v>0</v>
      </c>
      <c r="S1436">
        <v>225</v>
      </c>
      <c r="T1436">
        <v>0</v>
      </c>
      <c r="U1436">
        <v>0</v>
      </c>
      <c r="V1436">
        <v>90</v>
      </c>
      <c r="W1436">
        <v>84</v>
      </c>
      <c r="X1436">
        <v>185</v>
      </c>
      <c r="Y1436">
        <v>666</v>
      </c>
      <c r="Z1436">
        <v>47</v>
      </c>
      <c r="AA1436">
        <v>16</v>
      </c>
      <c r="AB1436">
        <v>301</v>
      </c>
      <c r="AC1436">
        <v>402</v>
      </c>
      <c r="AD1436">
        <v>0</v>
      </c>
      <c r="AE1436">
        <v>2016</v>
      </c>
      <c r="AF1436">
        <v>1638</v>
      </c>
      <c r="AJ1436">
        <v>3.64</v>
      </c>
      <c r="AK1436" t="str">
        <f t="shared" si="22"/>
        <v>SR127-5000</v>
      </c>
    </row>
    <row r="1437" spans="1:37">
      <c r="A1437" t="s">
        <v>2679</v>
      </c>
      <c r="B1437" t="s">
        <v>2680</v>
      </c>
      <c r="C1437" t="s">
        <v>68</v>
      </c>
      <c r="D1437" t="s">
        <v>2678</v>
      </c>
      <c r="E1437">
        <v>68</v>
      </c>
      <c r="F1437">
        <v>97.4</v>
      </c>
      <c r="G1437">
        <v>181</v>
      </c>
      <c r="H1437">
        <v>38</v>
      </c>
      <c r="I1437">
        <v>97</v>
      </c>
      <c r="J1437">
        <v>82</v>
      </c>
      <c r="K1437">
        <v>15087</v>
      </c>
      <c r="L1437">
        <v>44</v>
      </c>
      <c r="M1437">
        <v>0</v>
      </c>
      <c r="N1437">
        <v>151</v>
      </c>
      <c r="O1437">
        <v>0</v>
      </c>
      <c r="P1437">
        <v>0</v>
      </c>
      <c r="Q1437">
        <v>14936</v>
      </c>
      <c r="R1437">
        <v>0</v>
      </c>
      <c r="S1437">
        <v>115</v>
      </c>
      <c r="T1437">
        <v>0</v>
      </c>
      <c r="U1437">
        <v>0</v>
      </c>
      <c r="V1437">
        <v>104</v>
      </c>
      <c r="W1437">
        <v>128</v>
      </c>
      <c r="X1437">
        <v>235</v>
      </c>
      <c r="Y1437">
        <v>121</v>
      </c>
      <c r="Z1437">
        <v>65</v>
      </c>
      <c r="AA1437">
        <v>106</v>
      </c>
      <c r="AB1437">
        <v>103</v>
      </c>
      <c r="AC1437">
        <v>0</v>
      </c>
      <c r="AD1437">
        <v>11</v>
      </c>
      <c r="AE1437">
        <v>988</v>
      </c>
      <c r="AF1437">
        <v>3777</v>
      </c>
      <c r="AJ1437">
        <v>3.64</v>
      </c>
      <c r="AK1437" t="str">
        <f t="shared" si="22"/>
        <v>SR127-6200</v>
      </c>
    </row>
    <row r="1438" spans="1:37">
      <c r="A1438" t="s">
        <v>2681</v>
      </c>
      <c r="B1438" t="s">
        <v>2682</v>
      </c>
      <c r="C1438" t="s">
        <v>68</v>
      </c>
      <c r="E1438">
        <v>80</v>
      </c>
      <c r="F1438">
        <v>4.3</v>
      </c>
      <c r="G1438">
        <v>49</v>
      </c>
      <c r="H1438">
        <v>41</v>
      </c>
      <c r="I1438">
        <v>52</v>
      </c>
      <c r="J1438">
        <v>69</v>
      </c>
      <c r="K1438">
        <v>744</v>
      </c>
      <c r="L1438">
        <v>34</v>
      </c>
      <c r="M1438">
        <v>0</v>
      </c>
      <c r="N1438">
        <v>41</v>
      </c>
      <c r="O1438">
        <v>0</v>
      </c>
      <c r="P1438">
        <v>0</v>
      </c>
      <c r="Q1438">
        <v>703</v>
      </c>
      <c r="R1438">
        <v>0</v>
      </c>
      <c r="S1438">
        <v>73</v>
      </c>
      <c r="T1438">
        <v>51</v>
      </c>
      <c r="U1438">
        <v>0</v>
      </c>
      <c r="V1438">
        <v>58</v>
      </c>
      <c r="W1438">
        <v>0</v>
      </c>
      <c r="X1438">
        <v>131</v>
      </c>
      <c r="Y1438">
        <v>0</v>
      </c>
      <c r="Z1438">
        <v>183</v>
      </c>
      <c r="AA1438">
        <v>164</v>
      </c>
      <c r="AB1438">
        <v>44</v>
      </c>
      <c r="AC1438">
        <v>0</v>
      </c>
      <c r="AD1438">
        <v>118</v>
      </c>
      <c r="AE1438">
        <v>822</v>
      </c>
      <c r="AF1438">
        <v>1053</v>
      </c>
      <c r="AJ1438">
        <v>6.39</v>
      </c>
      <c r="AK1438" t="str">
        <f t="shared" si="22"/>
        <v>SR149-5000</v>
      </c>
    </row>
    <row r="1439" spans="1:37">
      <c r="A1439" t="s">
        <v>2683</v>
      </c>
      <c r="B1439" t="s">
        <v>2684</v>
      </c>
      <c r="C1439" t="s">
        <v>68</v>
      </c>
      <c r="E1439">
        <v>80</v>
      </c>
      <c r="F1439">
        <v>2.7</v>
      </c>
      <c r="G1439">
        <v>64</v>
      </c>
      <c r="H1439">
        <v>218</v>
      </c>
      <c r="I1439">
        <v>135</v>
      </c>
      <c r="J1439">
        <v>139</v>
      </c>
      <c r="K1439">
        <v>2435</v>
      </c>
      <c r="L1439">
        <v>194</v>
      </c>
      <c r="M1439">
        <v>0</v>
      </c>
      <c r="N1439">
        <v>53</v>
      </c>
      <c r="O1439">
        <v>0</v>
      </c>
      <c r="P1439">
        <v>0</v>
      </c>
      <c r="Q1439">
        <v>2382</v>
      </c>
      <c r="R1439">
        <v>0</v>
      </c>
      <c r="S1439">
        <v>64</v>
      </c>
      <c r="T1439">
        <v>236</v>
      </c>
      <c r="U1439">
        <v>354</v>
      </c>
      <c r="V1439">
        <v>0</v>
      </c>
      <c r="W1439">
        <v>0</v>
      </c>
      <c r="X1439">
        <v>156</v>
      </c>
      <c r="Y1439">
        <v>0</v>
      </c>
      <c r="Z1439">
        <v>201</v>
      </c>
      <c r="AA1439">
        <v>187</v>
      </c>
      <c r="AB1439">
        <v>43</v>
      </c>
      <c r="AC1439">
        <v>272</v>
      </c>
      <c r="AD1439">
        <v>154</v>
      </c>
      <c r="AE1439">
        <v>1667</v>
      </c>
      <c r="AF1439">
        <v>1590</v>
      </c>
      <c r="AJ1439">
        <v>6.39</v>
      </c>
      <c r="AK1439" t="str">
        <f t="shared" si="22"/>
        <v>SR149-6200</v>
      </c>
    </row>
    <row r="1440" spans="1:37">
      <c r="A1440" t="s">
        <v>2685</v>
      </c>
      <c r="B1440" t="s">
        <v>2686</v>
      </c>
      <c r="C1440" t="s">
        <v>267</v>
      </c>
      <c r="E1440">
        <v>50</v>
      </c>
      <c r="F1440">
        <v>47.5</v>
      </c>
      <c r="G1440">
        <v>0</v>
      </c>
      <c r="H1440">
        <v>5</v>
      </c>
      <c r="I1440">
        <v>14</v>
      </c>
      <c r="J1440">
        <v>8</v>
      </c>
      <c r="K1440">
        <v>887</v>
      </c>
      <c r="L1440">
        <v>4</v>
      </c>
      <c r="M1440">
        <v>0</v>
      </c>
      <c r="N1440">
        <v>0</v>
      </c>
      <c r="O1440">
        <v>0</v>
      </c>
      <c r="P1440">
        <v>0</v>
      </c>
      <c r="Q1440">
        <v>887</v>
      </c>
      <c r="R1440">
        <v>0</v>
      </c>
      <c r="S1440">
        <v>0</v>
      </c>
      <c r="T1440">
        <v>14</v>
      </c>
      <c r="U1440">
        <v>0</v>
      </c>
      <c r="V1440">
        <v>0</v>
      </c>
      <c r="W1440">
        <v>72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6</v>
      </c>
      <c r="AE1440">
        <v>92</v>
      </c>
      <c r="AF1440">
        <v>209</v>
      </c>
      <c r="AJ1440">
        <v>3.44</v>
      </c>
      <c r="AK1440" t="str">
        <f t="shared" si="22"/>
        <v>SR510-5000</v>
      </c>
    </row>
    <row r="1441" spans="1:37">
      <c r="A1441" t="s">
        <v>2687</v>
      </c>
      <c r="B1441" t="s">
        <v>2686</v>
      </c>
      <c r="C1441" t="s">
        <v>267</v>
      </c>
      <c r="E1441">
        <v>50</v>
      </c>
      <c r="F1441">
        <v>49.9</v>
      </c>
      <c r="G1441">
        <v>0</v>
      </c>
      <c r="H1441">
        <v>5</v>
      </c>
      <c r="I1441">
        <v>3</v>
      </c>
      <c r="J1441">
        <v>14</v>
      </c>
      <c r="K1441">
        <v>1064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1064</v>
      </c>
      <c r="R1441">
        <v>0</v>
      </c>
      <c r="S1441">
        <v>0</v>
      </c>
      <c r="T1441">
        <v>0</v>
      </c>
      <c r="U1441">
        <v>16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105</v>
      </c>
      <c r="AD1441">
        <v>43</v>
      </c>
      <c r="AE1441">
        <v>164</v>
      </c>
      <c r="AF1441">
        <v>81</v>
      </c>
      <c r="AJ1441">
        <v>3.44</v>
      </c>
      <c r="AK1441" t="str">
        <f t="shared" si="22"/>
        <v>SR510-6200</v>
      </c>
    </row>
    <row r="1442" spans="1:37">
      <c r="A1442" t="s">
        <v>2688</v>
      </c>
      <c r="B1442" t="s">
        <v>2689</v>
      </c>
      <c r="C1442" t="s">
        <v>267</v>
      </c>
      <c r="D1442" t="s">
        <v>2690</v>
      </c>
      <c r="E1442">
        <v>72</v>
      </c>
      <c r="F1442">
        <v>-0.3</v>
      </c>
      <c r="G1442">
        <v>112</v>
      </c>
      <c r="H1442">
        <v>89</v>
      </c>
      <c r="I1442">
        <v>80</v>
      </c>
      <c r="J1442">
        <v>71</v>
      </c>
      <c r="K1442">
        <v>0</v>
      </c>
      <c r="L1442">
        <v>32</v>
      </c>
      <c r="M1442">
        <v>0</v>
      </c>
      <c r="N1442">
        <v>94</v>
      </c>
      <c r="O1442">
        <v>0</v>
      </c>
      <c r="P1442">
        <v>0</v>
      </c>
      <c r="Q1442">
        <v>-94</v>
      </c>
      <c r="R1442">
        <v>0</v>
      </c>
      <c r="S1442">
        <v>102</v>
      </c>
      <c r="T1442">
        <v>0</v>
      </c>
      <c r="U1442">
        <v>165</v>
      </c>
      <c r="V1442">
        <v>0</v>
      </c>
      <c r="W1442">
        <v>52</v>
      </c>
      <c r="X1442">
        <v>159</v>
      </c>
      <c r="Y1442">
        <v>26</v>
      </c>
      <c r="Z1442">
        <v>48</v>
      </c>
      <c r="AA1442">
        <v>0</v>
      </c>
      <c r="AB1442">
        <v>44</v>
      </c>
      <c r="AC1442">
        <v>15</v>
      </c>
      <c r="AD1442">
        <v>240</v>
      </c>
      <c r="AE1442">
        <v>851</v>
      </c>
      <c r="AF1442">
        <v>128</v>
      </c>
      <c r="AJ1442">
        <v>5.0999999999999996</v>
      </c>
      <c r="AK1442" t="str">
        <f t="shared" si="22"/>
        <v>SR524-5000</v>
      </c>
    </row>
    <row r="1443" spans="1:37">
      <c r="A1443" t="s">
        <v>2691</v>
      </c>
      <c r="B1443" t="s">
        <v>2689</v>
      </c>
      <c r="C1443" t="s">
        <v>267</v>
      </c>
      <c r="D1443" t="s">
        <v>2690</v>
      </c>
      <c r="E1443">
        <v>72</v>
      </c>
      <c r="F1443">
        <v>7.6</v>
      </c>
      <c r="G1443">
        <v>45</v>
      </c>
      <c r="H1443">
        <v>45</v>
      </c>
      <c r="I1443">
        <v>23</v>
      </c>
      <c r="J1443">
        <v>22</v>
      </c>
      <c r="K1443">
        <v>1419</v>
      </c>
      <c r="L1443">
        <v>30</v>
      </c>
      <c r="M1443">
        <v>0</v>
      </c>
      <c r="N1443">
        <v>38</v>
      </c>
      <c r="O1443">
        <v>0</v>
      </c>
      <c r="P1443">
        <v>0</v>
      </c>
      <c r="Q1443">
        <v>1381</v>
      </c>
      <c r="R1443">
        <v>0</v>
      </c>
      <c r="S1443">
        <v>49</v>
      </c>
      <c r="T1443">
        <v>23</v>
      </c>
      <c r="U1443">
        <v>64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58</v>
      </c>
      <c r="AD1443">
        <v>70</v>
      </c>
      <c r="AE1443">
        <v>264</v>
      </c>
      <c r="AF1443">
        <v>891</v>
      </c>
      <c r="AJ1443">
        <v>6.08</v>
      </c>
      <c r="AK1443" t="str">
        <f t="shared" si="22"/>
        <v>SR524-6200</v>
      </c>
    </row>
    <row r="1444" spans="1:37">
      <c r="A1444" t="s">
        <v>2692</v>
      </c>
      <c r="B1444" t="s">
        <v>2693</v>
      </c>
      <c r="C1444" t="s">
        <v>1558</v>
      </c>
      <c r="D1444" t="s">
        <v>2694</v>
      </c>
      <c r="E1444">
        <v>65</v>
      </c>
      <c r="F1444">
        <v>-0.3</v>
      </c>
      <c r="G1444">
        <v>231</v>
      </c>
      <c r="H1444">
        <v>112</v>
      </c>
      <c r="I1444">
        <v>89</v>
      </c>
      <c r="J1444">
        <v>89</v>
      </c>
      <c r="K1444">
        <v>40</v>
      </c>
      <c r="L1444">
        <v>67</v>
      </c>
      <c r="M1444">
        <v>0</v>
      </c>
      <c r="N1444">
        <v>193</v>
      </c>
      <c r="O1444">
        <v>0</v>
      </c>
      <c r="P1444">
        <v>0</v>
      </c>
      <c r="Q1444">
        <v>-153</v>
      </c>
      <c r="R1444">
        <v>88</v>
      </c>
      <c r="S1444">
        <v>186</v>
      </c>
      <c r="T1444">
        <v>97</v>
      </c>
      <c r="U1444">
        <v>53</v>
      </c>
      <c r="V1444">
        <v>20</v>
      </c>
      <c r="W1444">
        <v>116</v>
      </c>
      <c r="X1444">
        <v>59</v>
      </c>
      <c r="Y1444">
        <v>216</v>
      </c>
      <c r="Z1444">
        <v>16</v>
      </c>
      <c r="AA1444">
        <v>17</v>
      </c>
      <c r="AB1444">
        <v>78</v>
      </c>
      <c r="AC1444">
        <v>156</v>
      </c>
      <c r="AD1444">
        <v>59</v>
      </c>
      <c r="AE1444">
        <v>1073</v>
      </c>
      <c r="AF1444">
        <v>1322</v>
      </c>
      <c r="AG1444" t="s">
        <v>7482</v>
      </c>
      <c r="AH1444">
        <v>3</v>
      </c>
      <c r="AI1444">
        <v>174</v>
      </c>
      <c r="AJ1444">
        <v>3.93</v>
      </c>
      <c r="AK1444" t="str">
        <f t="shared" si="22"/>
        <v>ST003-5000</v>
      </c>
    </row>
    <row r="1445" spans="1:37">
      <c r="A1445" t="s">
        <v>2695</v>
      </c>
      <c r="B1445" t="s">
        <v>2693</v>
      </c>
      <c r="C1445" t="s">
        <v>68</v>
      </c>
      <c r="D1445" t="s">
        <v>2694</v>
      </c>
      <c r="E1445">
        <v>65</v>
      </c>
      <c r="F1445">
        <v>39.700000000000003</v>
      </c>
      <c r="G1445">
        <v>0</v>
      </c>
      <c r="H1445">
        <v>18</v>
      </c>
      <c r="I1445">
        <v>9</v>
      </c>
      <c r="J1445">
        <v>30</v>
      </c>
      <c r="K1445">
        <v>2802</v>
      </c>
      <c r="L1445">
        <v>78</v>
      </c>
      <c r="M1445">
        <v>0</v>
      </c>
      <c r="N1445">
        <v>0</v>
      </c>
      <c r="O1445">
        <v>0</v>
      </c>
      <c r="P1445">
        <v>0</v>
      </c>
      <c r="Q1445">
        <v>2802</v>
      </c>
      <c r="R1445">
        <v>530</v>
      </c>
      <c r="S1445">
        <v>53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148</v>
      </c>
      <c r="AB1445">
        <v>86</v>
      </c>
      <c r="AC1445">
        <v>0</v>
      </c>
      <c r="AD1445">
        <v>71</v>
      </c>
      <c r="AE1445">
        <v>358</v>
      </c>
      <c r="AF1445">
        <v>2052</v>
      </c>
      <c r="AJ1445">
        <v>4.09</v>
      </c>
      <c r="AK1445" t="str">
        <f t="shared" si="22"/>
        <v>ST003-6200</v>
      </c>
    </row>
    <row r="1446" spans="1:37">
      <c r="A1446" t="s">
        <v>2696</v>
      </c>
      <c r="B1446" t="s">
        <v>2697</v>
      </c>
      <c r="C1446" t="s">
        <v>68</v>
      </c>
      <c r="E1446">
        <v>65</v>
      </c>
      <c r="F1446">
        <v>3.4</v>
      </c>
      <c r="G1446">
        <v>280</v>
      </c>
      <c r="H1446">
        <v>219</v>
      </c>
      <c r="I1446">
        <v>237</v>
      </c>
      <c r="J1446">
        <v>305</v>
      </c>
      <c r="K1446">
        <v>3174</v>
      </c>
      <c r="L1446">
        <v>312</v>
      </c>
      <c r="M1446">
        <v>0</v>
      </c>
      <c r="N1446">
        <v>234</v>
      </c>
      <c r="O1446">
        <v>0</v>
      </c>
      <c r="P1446">
        <v>0</v>
      </c>
      <c r="Q1446">
        <v>2940</v>
      </c>
      <c r="R1446">
        <v>206</v>
      </c>
      <c r="S1446">
        <v>210</v>
      </c>
      <c r="T1446">
        <v>234</v>
      </c>
      <c r="U1446">
        <v>212</v>
      </c>
      <c r="V1446">
        <v>123</v>
      </c>
      <c r="W1446">
        <v>287</v>
      </c>
      <c r="X1446">
        <v>358</v>
      </c>
      <c r="Y1446">
        <v>276</v>
      </c>
      <c r="Z1446">
        <v>711</v>
      </c>
      <c r="AA1446">
        <v>301</v>
      </c>
      <c r="AB1446">
        <v>254</v>
      </c>
      <c r="AC1446">
        <v>214</v>
      </c>
      <c r="AD1446">
        <v>474</v>
      </c>
      <c r="AE1446">
        <v>3654</v>
      </c>
      <c r="AF1446">
        <v>5082</v>
      </c>
      <c r="AJ1446">
        <v>1.83</v>
      </c>
      <c r="AK1446" t="str">
        <f t="shared" si="22"/>
        <v>ST012-5000</v>
      </c>
    </row>
    <row r="1447" spans="1:37">
      <c r="A1447" t="s">
        <v>2698</v>
      </c>
      <c r="B1447" t="s">
        <v>2699</v>
      </c>
      <c r="C1447" t="s">
        <v>68</v>
      </c>
      <c r="E1447">
        <v>65</v>
      </c>
      <c r="F1447">
        <v>1.6</v>
      </c>
      <c r="G1447">
        <v>987</v>
      </c>
      <c r="H1447">
        <v>750</v>
      </c>
      <c r="I1447">
        <v>613</v>
      </c>
      <c r="J1447">
        <v>717</v>
      </c>
      <c r="K1447">
        <v>5528</v>
      </c>
      <c r="L1447">
        <v>457</v>
      </c>
      <c r="M1447">
        <v>29</v>
      </c>
      <c r="N1447">
        <v>823</v>
      </c>
      <c r="O1447">
        <v>0</v>
      </c>
      <c r="P1447">
        <v>0</v>
      </c>
      <c r="Q1447">
        <v>4705</v>
      </c>
      <c r="R1447">
        <v>0</v>
      </c>
      <c r="S1447">
        <v>678</v>
      </c>
      <c r="T1447">
        <v>470</v>
      </c>
      <c r="U1447">
        <v>1102</v>
      </c>
      <c r="V1447">
        <v>0</v>
      </c>
      <c r="W1447">
        <v>1127</v>
      </c>
      <c r="X1447">
        <v>302</v>
      </c>
      <c r="Y1447">
        <v>947</v>
      </c>
      <c r="Z1447">
        <v>255</v>
      </c>
      <c r="AA1447">
        <v>248</v>
      </c>
      <c r="AB1447">
        <v>477</v>
      </c>
      <c r="AC1447">
        <v>2326</v>
      </c>
      <c r="AD1447">
        <v>666</v>
      </c>
      <c r="AE1447">
        <v>8598</v>
      </c>
      <c r="AF1447">
        <v>11912</v>
      </c>
      <c r="AJ1447">
        <v>1.83</v>
      </c>
      <c r="AK1447" t="str">
        <f t="shared" si="22"/>
        <v>ST012-6200</v>
      </c>
    </row>
    <row r="1448" spans="1:37">
      <c r="A1448" t="s">
        <v>2700</v>
      </c>
      <c r="B1448" t="s">
        <v>2701</v>
      </c>
      <c r="C1448" t="s">
        <v>68</v>
      </c>
      <c r="D1448" t="s">
        <v>2445</v>
      </c>
      <c r="E1448">
        <v>65</v>
      </c>
      <c r="F1448">
        <v>0.8</v>
      </c>
      <c r="G1448">
        <v>147</v>
      </c>
      <c r="H1448">
        <v>112</v>
      </c>
      <c r="I1448">
        <v>104</v>
      </c>
      <c r="J1448">
        <v>102</v>
      </c>
      <c r="K1448">
        <v>475</v>
      </c>
      <c r="L1448">
        <v>125</v>
      </c>
      <c r="M1448">
        <v>0</v>
      </c>
      <c r="N1448">
        <v>122</v>
      </c>
      <c r="O1448">
        <v>0</v>
      </c>
      <c r="P1448">
        <v>0</v>
      </c>
      <c r="Q1448">
        <v>353</v>
      </c>
      <c r="R1448">
        <v>130</v>
      </c>
      <c r="S1448">
        <v>124</v>
      </c>
      <c r="T1448">
        <v>0</v>
      </c>
      <c r="U1448">
        <v>212</v>
      </c>
      <c r="V1448">
        <v>126</v>
      </c>
      <c r="W1448">
        <v>0</v>
      </c>
      <c r="X1448">
        <v>160</v>
      </c>
      <c r="Y1448">
        <v>83</v>
      </c>
      <c r="Z1448">
        <v>187</v>
      </c>
      <c r="AA1448">
        <v>54</v>
      </c>
      <c r="AB1448">
        <v>64</v>
      </c>
      <c r="AC1448">
        <v>126</v>
      </c>
      <c r="AD1448">
        <v>82</v>
      </c>
      <c r="AE1448">
        <v>1218</v>
      </c>
      <c r="AF1448">
        <v>1040</v>
      </c>
      <c r="AJ1448">
        <v>3.78</v>
      </c>
      <c r="AK1448" t="str">
        <f t="shared" si="22"/>
        <v>ST014-5000</v>
      </c>
    </row>
    <row r="1449" spans="1:37">
      <c r="A1449" t="s">
        <v>2702</v>
      </c>
      <c r="B1449" t="s">
        <v>2703</v>
      </c>
      <c r="C1449" t="s">
        <v>68</v>
      </c>
      <c r="D1449" t="s">
        <v>2445</v>
      </c>
      <c r="E1449">
        <v>65</v>
      </c>
      <c r="F1449">
        <v>10.3</v>
      </c>
      <c r="G1449">
        <v>104</v>
      </c>
      <c r="H1449">
        <v>39</v>
      </c>
      <c r="I1449">
        <v>92</v>
      </c>
      <c r="J1449">
        <v>145</v>
      </c>
      <c r="K1449">
        <v>1708</v>
      </c>
      <c r="L1449">
        <v>52</v>
      </c>
      <c r="M1449">
        <v>0</v>
      </c>
      <c r="N1449">
        <v>87</v>
      </c>
      <c r="O1449">
        <v>0</v>
      </c>
      <c r="P1449">
        <v>0</v>
      </c>
      <c r="Q1449">
        <v>1621</v>
      </c>
      <c r="R1449">
        <v>37</v>
      </c>
      <c r="S1449">
        <v>0</v>
      </c>
      <c r="T1449">
        <v>93</v>
      </c>
      <c r="U1449">
        <v>25</v>
      </c>
      <c r="V1449">
        <v>60</v>
      </c>
      <c r="W1449">
        <v>213</v>
      </c>
      <c r="X1449">
        <v>160</v>
      </c>
      <c r="Y1449">
        <v>142</v>
      </c>
      <c r="Z1449">
        <v>479</v>
      </c>
      <c r="AA1449">
        <v>0</v>
      </c>
      <c r="AB1449">
        <v>188</v>
      </c>
      <c r="AC1449">
        <v>221</v>
      </c>
      <c r="AD1449">
        <v>159</v>
      </c>
      <c r="AE1449">
        <v>1740</v>
      </c>
      <c r="AF1449">
        <v>2075</v>
      </c>
      <c r="AJ1449">
        <v>3.78</v>
      </c>
      <c r="AK1449" t="str">
        <f t="shared" si="22"/>
        <v>ST014-6200</v>
      </c>
    </row>
    <row r="1450" spans="1:37">
      <c r="A1450" t="s">
        <v>2704</v>
      </c>
      <c r="B1450" t="s">
        <v>2705</v>
      </c>
      <c r="C1450" t="s">
        <v>101</v>
      </c>
      <c r="D1450" t="s">
        <v>2706</v>
      </c>
      <c r="E1450">
        <v>65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260</v>
      </c>
      <c r="L1450">
        <v>19</v>
      </c>
      <c r="M1450">
        <v>0</v>
      </c>
      <c r="N1450">
        <v>0</v>
      </c>
      <c r="O1450">
        <v>0</v>
      </c>
      <c r="P1450">
        <v>0</v>
      </c>
      <c r="Q1450">
        <v>260</v>
      </c>
      <c r="R1450">
        <v>0</v>
      </c>
      <c r="S1450">
        <v>0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J1450">
        <v>4.07</v>
      </c>
      <c r="AK1450" t="str">
        <f t="shared" si="22"/>
        <v>ST018-6200</v>
      </c>
    </row>
    <row r="1451" spans="1:37">
      <c r="A1451" t="s">
        <v>2707</v>
      </c>
      <c r="B1451" t="s">
        <v>2708</v>
      </c>
      <c r="C1451" t="s">
        <v>101</v>
      </c>
      <c r="D1451" t="s">
        <v>2709</v>
      </c>
      <c r="E1451">
        <v>65</v>
      </c>
      <c r="F1451">
        <v>0.8</v>
      </c>
      <c r="G1451">
        <v>466</v>
      </c>
      <c r="H1451">
        <v>470</v>
      </c>
      <c r="I1451">
        <v>281</v>
      </c>
      <c r="J1451">
        <v>230</v>
      </c>
      <c r="K1451">
        <v>1859</v>
      </c>
      <c r="L1451">
        <v>405</v>
      </c>
      <c r="M1451">
        <v>0</v>
      </c>
      <c r="N1451">
        <v>388</v>
      </c>
      <c r="O1451">
        <v>0</v>
      </c>
      <c r="P1451">
        <v>0</v>
      </c>
      <c r="Q1451">
        <v>1471</v>
      </c>
      <c r="R1451">
        <v>86</v>
      </c>
      <c r="S1451">
        <v>480</v>
      </c>
      <c r="T1451">
        <v>360</v>
      </c>
      <c r="U1451">
        <v>571</v>
      </c>
      <c r="V1451">
        <v>0</v>
      </c>
      <c r="W1451">
        <v>77</v>
      </c>
      <c r="X1451">
        <v>200</v>
      </c>
      <c r="Y1451">
        <v>256</v>
      </c>
      <c r="Z1451">
        <v>172</v>
      </c>
      <c r="AA1451">
        <v>0</v>
      </c>
      <c r="AB1451">
        <v>361</v>
      </c>
      <c r="AC1451">
        <v>193</v>
      </c>
      <c r="AD1451">
        <v>93</v>
      </c>
      <c r="AE1451">
        <v>2763</v>
      </c>
      <c r="AF1451">
        <v>1794</v>
      </c>
      <c r="AJ1451">
        <v>4.3</v>
      </c>
      <c r="AK1451" t="str">
        <f t="shared" si="22"/>
        <v>ST031-5000</v>
      </c>
    </row>
    <row r="1452" spans="1:37">
      <c r="A1452" t="s">
        <v>2710</v>
      </c>
      <c r="B1452" t="s">
        <v>2708</v>
      </c>
      <c r="C1452" t="s">
        <v>101</v>
      </c>
      <c r="D1452" t="s">
        <v>2711</v>
      </c>
      <c r="E1452">
        <v>65</v>
      </c>
      <c r="F1452">
        <v>3.5</v>
      </c>
      <c r="G1452">
        <v>50</v>
      </c>
      <c r="H1452">
        <v>74</v>
      </c>
      <c r="I1452">
        <v>61</v>
      </c>
      <c r="J1452">
        <v>97</v>
      </c>
      <c r="K1452">
        <v>1090</v>
      </c>
      <c r="L1452">
        <v>97</v>
      </c>
      <c r="M1452">
        <v>0</v>
      </c>
      <c r="N1452">
        <v>42</v>
      </c>
      <c r="O1452">
        <v>0</v>
      </c>
      <c r="P1452">
        <v>0</v>
      </c>
      <c r="Q1452">
        <v>1048</v>
      </c>
      <c r="R1452">
        <v>59</v>
      </c>
      <c r="S1452">
        <v>96</v>
      </c>
      <c r="T1452">
        <v>45</v>
      </c>
      <c r="U1452">
        <v>82</v>
      </c>
      <c r="V1452">
        <v>57</v>
      </c>
      <c r="W1452">
        <v>0</v>
      </c>
      <c r="X1452">
        <v>85</v>
      </c>
      <c r="Y1452">
        <v>164</v>
      </c>
      <c r="Z1452">
        <v>0</v>
      </c>
      <c r="AA1452">
        <v>163</v>
      </c>
      <c r="AB1452">
        <v>0</v>
      </c>
      <c r="AC1452">
        <v>317</v>
      </c>
      <c r="AD1452">
        <v>158</v>
      </c>
      <c r="AE1452">
        <v>1167</v>
      </c>
      <c r="AF1452">
        <v>746</v>
      </c>
      <c r="AJ1452">
        <v>4.3</v>
      </c>
      <c r="AK1452" t="str">
        <f t="shared" si="22"/>
        <v>ST031-6200</v>
      </c>
    </row>
    <row r="1453" spans="1:37">
      <c r="A1453" t="s">
        <v>2712</v>
      </c>
      <c r="B1453" t="s">
        <v>2713</v>
      </c>
      <c r="C1453" t="s">
        <v>68</v>
      </c>
      <c r="D1453" t="s">
        <v>2714</v>
      </c>
      <c r="E1453">
        <v>65</v>
      </c>
      <c r="F1453">
        <v>-0.5</v>
      </c>
      <c r="G1453">
        <v>688</v>
      </c>
      <c r="H1453">
        <v>309</v>
      </c>
      <c r="I1453">
        <v>191</v>
      </c>
      <c r="J1453">
        <v>164</v>
      </c>
      <c r="K1453">
        <v>0</v>
      </c>
      <c r="L1453">
        <v>238</v>
      </c>
      <c r="M1453">
        <v>0</v>
      </c>
      <c r="N1453">
        <v>573</v>
      </c>
      <c r="O1453">
        <v>0</v>
      </c>
      <c r="P1453">
        <v>0</v>
      </c>
      <c r="Q1453">
        <v>-573</v>
      </c>
      <c r="R1453">
        <v>131</v>
      </c>
      <c r="S1453">
        <v>514</v>
      </c>
      <c r="T1453">
        <v>255</v>
      </c>
      <c r="U1453">
        <v>157</v>
      </c>
      <c r="V1453">
        <v>154</v>
      </c>
      <c r="W1453">
        <v>0</v>
      </c>
      <c r="X1453">
        <v>64</v>
      </c>
      <c r="Y1453">
        <v>45</v>
      </c>
      <c r="Z1453">
        <v>76</v>
      </c>
      <c r="AA1453">
        <v>267</v>
      </c>
      <c r="AB1453">
        <v>0</v>
      </c>
      <c r="AC1453">
        <v>158</v>
      </c>
      <c r="AD1453">
        <v>278</v>
      </c>
      <c r="AE1453">
        <v>1968</v>
      </c>
      <c r="AF1453">
        <v>2107</v>
      </c>
      <c r="AJ1453">
        <v>3.09</v>
      </c>
      <c r="AK1453" t="str">
        <f t="shared" si="22"/>
        <v>ST033-5000</v>
      </c>
    </row>
    <row r="1454" spans="1:37">
      <c r="A1454" t="s">
        <v>2715</v>
      </c>
      <c r="B1454" t="s">
        <v>2716</v>
      </c>
      <c r="C1454" t="s">
        <v>68</v>
      </c>
      <c r="D1454" t="s">
        <v>2717</v>
      </c>
      <c r="E1454">
        <v>65</v>
      </c>
      <c r="F1454">
        <v>1</v>
      </c>
      <c r="G1454">
        <v>21</v>
      </c>
      <c r="H1454">
        <v>330</v>
      </c>
      <c r="I1454">
        <v>171</v>
      </c>
      <c r="J1454">
        <v>113</v>
      </c>
      <c r="K1454">
        <v>1350</v>
      </c>
      <c r="L1454">
        <v>95</v>
      </c>
      <c r="M1454">
        <v>0</v>
      </c>
      <c r="N1454">
        <v>17</v>
      </c>
      <c r="O1454">
        <v>0</v>
      </c>
      <c r="P1454">
        <v>0</v>
      </c>
      <c r="Q1454">
        <v>1333</v>
      </c>
      <c r="R1454">
        <v>0</v>
      </c>
      <c r="S1454">
        <v>52</v>
      </c>
      <c r="T1454">
        <v>93</v>
      </c>
      <c r="U1454">
        <v>844</v>
      </c>
      <c r="V1454">
        <v>38</v>
      </c>
      <c r="W1454">
        <v>0</v>
      </c>
      <c r="X1454">
        <v>0</v>
      </c>
      <c r="Y1454">
        <v>56</v>
      </c>
      <c r="Z1454">
        <v>0</v>
      </c>
      <c r="AA1454">
        <v>0</v>
      </c>
      <c r="AB1454">
        <v>149</v>
      </c>
      <c r="AC1454">
        <v>118</v>
      </c>
      <c r="AD1454">
        <v>0</v>
      </c>
      <c r="AE1454">
        <v>1350</v>
      </c>
      <c r="AF1454">
        <v>5520</v>
      </c>
      <c r="AJ1454">
        <v>3.31</v>
      </c>
      <c r="AK1454" t="str">
        <f t="shared" si="22"/>
        <v>ST033-6200</v>
      </c>
    </row>
    <row r="1455" spans="1:37">
      <c r="A1455" t="s">
        <v>2718</v>
      </c>
      <c r="B1455" t="s">
        <v>2719</v>
      </c>
      <c r="C1455" t="s">
        <v>68</v>
      </c>
      <c r="E1455">
        <v>65</v>
      </c>
      <c r="F1455">
        <v>0</v>
      </c>
      <c r="G1455">
        <v>28</v>
      </c>
      <c r="H1455">
        <v>0</v>
      </c>
      <c r="I1455">
        <v>28</v>
      </c>
      <c r="J1455">
        <v>59</v>
      </c>
      <c r="K1455">
        <v>83</v>
      </c>
      <c r="L1455">
        <v>196</v>
      </c>
      <c r="M1455">
        <v>0</v>
      </c>
      <c r="N1455">
        <v>23</v>
      </c>
      <c r="O1455">
        <v>0</v>
      </c>
      <c r="P1455">
        <v>0</v>
      </c>
      <c r="Q1455">
        <v>60</v>
      </c>
      <c r="R1455">
        <v>0</v>
      </c>
      <c r="S1455">
        <v>0</v>
      </c>
      <c r="T1455">
        <v>0</v>
      </c>
      <c r="U1455">
        <v>0</v>
      </c>
      <c r="V1455">
        <v>0</v>
      </c>
      <c r="W1455">
        <v>101</v>
      </c>
      <c r="X1455">
        <v>67</v>
      </c>
      <c r="Y1455">
        <v>92</v>
      </c>
      <c r="Z1455">
        <v>0</v>
      </c>
      <c r="AA1455">
        <v>168</v>
      </c>
      <c r="AB1455">
        <v>208</v>
      </c>
      <c r="AC1455">
        <v>22</v>
      </c>
      <c r="AD1455">
        <v>54</v>
      </c>
      <c r="AE1455">
        <v>712</v>
      </c>
      <c r="AF1455">
        <v>406</v>
      </c>
      <c r="AJ1455">
        <v>5.41</v>
      </c>
      <c r="AK1455" t="str">
        <f t="shared" si="22"/>
        <v>ST047-5000</v>
      </c>
    </row>
    <row r="1456" spans="1:37">
      <c r="A1456" t="s">
        <v>2720</v>
      </c>
      <c r="B1456" t="s">
        <v>2721</v>
      </c>
      <c r="C1456" t="s">
        <v>68</v>
      </c>
      <c r="E1456">
        <v>65</v>
      </c>
      <c r="F1456">
        <v>8.1999999999999993</v>
      </c>
      <c r="G1456">
        <v>0</v>
      </c>
      <c r="H1456">
        <v>73</v>
      </c>
      <c r="I1456">
        <v>76</v>
      </c>
      <c r="J1456">
        <v>70</v>
      </c>
      <c r="K1456">
        <v>2391</v>
      </c>
      <c r="L1456">
        <v>234</v>
      </c>
      <c r="M1456">
        <v>0</v>
      </c>
      <c r="N1456">
        <v>0</v>
      </c>
      <c r="O1456">
        <v>0</v>
      </c>
      <c r="P1456">
        <v>0</v>
      </c>
      <c r="Q1456">
        <v>2391</v>
      </c>
      <c r="R1456">
        <v>0</v>
      </c>
      <c r="S1456">
        <v>34</v>
      </c>
      <c r="T1456">
        <v>0</v>
      </c>
      <c r="U1456">
        <v>184</v>
      </c>
      <c r="V1456">
        <v>186</v>
      </c>
      <c r="W1456">
        <v>0</v>
      </c>
      <c r="X1456">
        <v>49</v>
      </c>
      <c r="Y1456">
        <v>120</v>
      </c>
      <c r="Z1456">
        <v>96</v>
      </c>
      <c r="AA1456">
        <v>50</v>
      </c>
      <c r="AB1456">
        <v>90</v>
      </c>
      <c r="AC1456">
        <v>29</v>
      </c>
      <c r="AD1456">
        <v>0</v>
      </c>
      <c r="AE1456">
        <v>838</v>
      </c>
      <c r="AF1456">
        <v>2770</v>
      </c>
      <c r="AJ1456">
        <v>5.41</v>
      </c>
      <c r="AK1456" t="str">
        <f t="shared" si="22"/>
        <v>ST047-6200</v>
      </c>
    </row>
    <row r="1457" spans="1:37">
      <c r="A1457" t="s">
        <v>2722</v>
      </c>
      <c r="B1457" t="s">
        <v>2723</v>
      </c>
      <c r="C1457" t="s">
        <v>68</v>
      </c>
      <c r="E1457">
        <v>65</v>
      </c>
      <c r="F1457">
        <v>0</v>
      </c>
      <c r="G1457">
        <v>68</v>
      </c>
      <c r="H1457">
        <v>0</v>
      </c>
      <c r="I1457">
        <v>132</v>
      </c>
      <c r="J1457">
        <v>118</v>
      </c>
      <c r="K1457">
        <v>0</v>
      </c>
      <c r="L1457">
        <v>40</v>
      </c>
      <c r="M1457">
        <v>0</v>
      </c>
      <c r="N1457">
        <v>56</v>
      </c>
      <c r="O1457">
        <v>0</v>
      </c>
      <c r="P1457">
        <v>0</v>
      </c>
      <c r="Q1457">
        <v>-56</v>
      </c>
      <c r="R1457">
        <v>42</v>
      </c>
      <c r="S1457">
        <v>0</v>
      </c>
      <c r="T1457">
        <v>0</v>
      </c>
      <c r="U1457">
        <v>0</v>
      </c>
      <c r="V1457">
        <v>284</v>
      </c>
      <c r="W1457">
        <v>385</v>
      </c>
      <c r="X1457">
        <v>121</v>
      </c>
      <c r="Y1457">
        <v>341</v>
      </c>
      <c r="Z1457">
        <v>68</v>
      </c>
      <c r="AA1457">
        <v>29</v>
      </c>
      <c r="AB1457">
        <v>78</v>
      </c>
      <c r="AC1457">
        <v>50</v>
      </c>
      <c r="AD1457">
        <v>57</v>
      </c>
      <c r="AE1457">
        <v>1413</v>
      </c>
      <c r="AF1457">
        <v>157</v>
      </c>
      <c r="AJ1457">
        <v>5.0999999999999996</v>
      </c>
      <c r="AK1457" t="str">
        <f t="shared" si="22"/>
        <v>ST052-5000</v>
      </c>
    </row>
    <row r="1458" spans="1:37">
      <c r="A1458" t="s">
        <v>2724</v>
      </c>
      <c r="B1458" t="s">
        <v>2725</v>
      </c>
      <c r="C1458" t="s">
        <v>68</v>
      </c>
      <c r="E1458">
        <v>65</v>
      </c>
      <c r="F1458">
        <v>2.1</v>
      </c>
      <c r="G1458">
        <v>0</v>
      </c>
      <c r="H1458">
        <v>93</v>
      </c>
      <c r="I1458">
        <v>56</v>
      </c>
      <c r="J1458">
        <v>106</v>
      </c>
      <c r="K1458">
        <v>761</v>
      </c>
      <c r="L1458">
        <v>23</v>
      </c>
      <c r="M1458">
        <v>0</v>
      </c>
      <c r="N1458">
        <v>0</v>
      </c>
      <c r="O1458">
        <v>0</v>
      </c>
      <c r="P1458">
        <v>0</v>
      </c>
      <c r="Q1458">
        <v>761</v>
      </c>
      <c r="R1458">
        <v>0</v>
      </c>
      <c r="S1458">
        <v>229</v>
      </c>
      <c r="T1458">
        <v>0</v>
      </c>
      <c r="U1458">
        <v>49</v>
      </c>
      <c r="V1458">
        <v>0</v>
      </c>
      <c r="W1458">
        <v>56</v>
      </c>
      <c r="X1458">
        <v>0</v>
      </c>
      <c r="Y1458">
        <v>0</v>
      </c>
      <c r="Z1458">
        <v>0</v>
      </c>
      <c r="AA1458">
        <v>432</v>
      </c>
      <c r="AB1458">
        <v>79</v>
      </c>
      <c r="AC1458">
        <v>424</v>
      </c>
      <c r="AD1458">
        <v>0</v>
      </c>
      <c r="AE1458">
        <v>1269</v>
      </c>
      <c r="AF1458">
        <v>882</v>
      </c>
      <c r="AJ1458">
        <v>5.23</v>
      </c>
      <c r="AK1458" t="str">
        <f t="shared" si="22"/>
        <v>ST052-6200</v>
      </c>
    </row>
    <row r="1459" spans="1:37">
      <c r="A1459" t="s">
        <v>2726</v>
      </c>
      <c r="B1459" t="s">
        <v>2727</v>
      </c>
      <c r="C1459" t="s">
        <v>68</v>
      </c>
      <c r="D1459" t="s">
        <v>2728</v>
      </c>
      <c r="E1459">
        <v>65</v>
      </c>
      <c r="F1459">
        <v>0.1</v>
      </c>
      <c r="G1459">
        <v>527</v>
      </c>
      <c r="H1459">
        <v>1170</v>
      </c>
      <c r="I1459">
        <v>1084</v>
      </c>
      <c r="J1459">
        <v>1187</v>
      </c>
      <c r="K1459">
        <v>966</v>
      </c>
      <c r="L1459">
        <v>483</v>
      </c>
      <c r="M1459">
        <v>0</v>
      </c>
      <c r="N1459">
        <v>439</v>
      </c>
      <c r="O1459">
        <v>0</v>
      </c>
      <c r="P1459">
        <v>0</v>
      </c>
      <c r="Q1459">
        <v>527</v>
      </c>
      <c r="R1459">
        <v>0</v>
      </c>
      <c r="S1459">
        <v>1387</v>
      </c>
      <c r="T1459">
        <v>544</v>
      </c>
      <c r="U1459">
        <v>1580</v>
      </c>
      <c r="V1459">
        <v>387</v>
      </c>
      <c r="W1459">
        <v>1567</v>
      </c>
      <c r="X1459">
        <v>1039</v>
      </c>
      <c r="Y1459">
        <v>1256</v>
      </c>
      <c r="Z1459">
        <v>1537</v>
      </c>
      <c r="AA1459">
        <v>894</v>
      </c>
      <c r="AB1459">
        <v>1481</v>
      </c>
      <c r="AC1459">
        <v>991</v>
      </c>
      <c r="AD1459">
        <v>1581</v>
      </c>
      <c r="AE1459">
        <v>14244</v>
      </c>
      <c r="AF1459">
        <v>12429</v>
      </c>
      <c r="AJ1459">
        <v>2.59</v>
      </c>
      <c r="AK1459" t="str">
        <f t="shared" si="22"/>
        <v>ST054-5000</v>
      </c>
    </row>
    <row r="1460" spans="1:37">
      <c r="A1460" t="s">
        <v>2729</v>
      </c>
      <c r="B1460" t="s">
        <v>2730</v>
      </c>
      <c r="C1460" t="s">
        <v>68</v>
      </c>
      <c r="D1460" t="s">
        <v>2728</v>
      </c>
      <c r="E1460">
        <v>65</v>
      </c>
      <c r="F1460">
        <v>0.4</v>
      </c>
      <c r="G1460">
        <v>172</v>
      </c>
      <c r="H1460">
        <v>424</v>
      </c>
      <c r="I1460">
        <v>540</v>
      </c>
      <c r="J1460">
        <v>636</v>
      </c>
      <c r="K1460">
        <v>895</v>
      </c>
      <c r="L1460">
        <v>232</v>
      </c>
      <c r="M1460">
        <v>0</v>
      </c>
      <c r="N1460">
        <v>143</v>
      </c>
      <c r="O1460">
        <v>0</v>
      </c>
      <c r="P1460">
        <v>0</v>
      </c>
      <c r="Q1460">
        <v>752</v>
      </c>
      <c r="R1460">
        <v>0</v>
      </c>
      <c r="S1460">
        <v>457</v>
      </c>
      <c r="T1460">
        <v>0</v>
      </c>
      <c r="U1460">
        <v>815</v>
      </c>
      <c r="V1460">
        <v>1060</v>
      </c>
      <c r="W1460">
        <v>559</v>
      </c>
      <c r="X1460">
        <v>351</v>
      </c>
      <c r="Y1460">
        <v>737</v>
      </c>
      <c r="Z1460">
        <v>911</v>
      </c>
      <c r="AA1460">
        <v>695</v>
      </c>
      <c r="AB1460">
        <v>1191</v>
      </c>
      <c r="AC1460">
        <v>372</v>
      </c>
      <c r="AD1460">
        <v>485</v>
      </c>
      <c r="AE1460">
        <v>7633</v>
      </c>
      <c r="AF1460">
        <v>8411</v>
      </c>
      <c r="AJ1460">
        <v>2.59</v>
      </c>
      <c r="AK1460" t="str">
        <f t="shared" si="22"/>
        <v>ST054-6200</v>
      </c>
    </row>
    <row r="1461" spans="1:37">
      <c r="A1461" t="s">
        <v>2731</v>
      </c>
      <c r="B1461" t="s">
        <v>2732</v>
      </c>
      <c r="C1461" t="s">
        <v>329</v>
      </c>
      <c r="D1461" t="s">
        <v>2733</v>
      </c>
      <c r="E1461">
        <v>92</v>
      </c>
      <c r="F1461">
        <v>0</v>
      </c>
      <c r="G1461">
        <v>0</v>
      </c>
      <c r="H1461">
        <v>0</v>
      </c>
      <c r="I1461">
        <v>0</v>
      </c>
      <c r="J1461">
        <v>25</v>
      </c>
      <c r="K1461">
        <v>1085</v>
      </c>
      <c r="L1461">
        <v>196</v>
      </c>
      <c r="M1461">
        <v>0</v>
      </c>
      <c r="N1461">
        <v>0</v>
      </c>
      <c r="O1461">
        <v>0</v>
      </c>
      <c r="P1461">
        <v>0</v>
      </c>
      <c r="Q1461">
        <v>1085</v>
      </c>
      <c r="R1461">
        <v>0</v>
      </c>
      <c r="S1461">
        <v>0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304</v>
      </c>
      <c r="AD1461">
        <v>0</v>
      </c>
      <c r="AE1461">
        <v>304</v>
      </c>
      <c r="AF1461">
        <v>1229</v>
      </c>
      <c r="AJ1461">
        <v>5.98</v>
      </c>
      <c r="AK1461" t="str">
        <f t="shared" si="22"/>
        <v>ST202-5000</v>
      </c>
    </row>
    <row r="1462" spans="1:37">
      <c r="A1462" t="s">
        <v>2734</v>
      </c>
      <c r="B1462" t="s">
        <v>2735</v>
      </c>
      <c r="C1462" t="s">
        <v>110</v>
      </c>
      <c r="E1462">
        <v>50</v>
      </c>
      <c r="F1462">
        <v>0.9</v>
      </c>
      <c r="G1462">
        <v>152</v>
      </c>
      <c r="H1462">
        <v>202</v>
      </c>
      <c r="I1462">
        <v>168</v>
      </c>
      <c r="J1462">
        <v>139</v>
      </c>
      <c r="K1462">
        <v>886</v>
      </c>
      <c r="L1462">
        <v>79</v>
      </c>
      <c r="M1462">
        <v>0</v>
      </c>
      <c r="N1462">
        <v>126</v>
      </c>
      <c r="O1462">
        <v>0</v>
      </c>
      <c r="P1462">
        <v>0</v>
      </c>
      <c r="Q1462">
        <v>760</v>
      </c>
      <c r="R1462">
        <v>0</v>
      </c>
      <c r="S1462">
        <v>405</v>
      </c>
      <c r="T1462">
        <v>0</v>
      </c>
      <c r="U1462">
        <v>200</v>
      </c>
      <c r="V1462">
        <v>183</v>
      </c>
      <c r="W1462">
        <v>0</v>
      </c>
      <c r="X1462">
        <v>219</v>
      </c>
      <c r="Y1462">
        <v>0</v>
      </c>
      <c r="Z1462">
        <v>172</v>
      </c>
      <c r="AA1462">
        <v>0</v>
      </c>
      <c r="AB1462">
        <v>105</v>
      </c>
      <c r="AC1462">
        <v>111</v>
      </c>
      <c r="AD1462">
        <v>274</v>
      </c>
      <c r="AE1462">
        <v>1669</v>
      </c>
      <c r="AF1462">
        <v>827</v>
      </c>
      <c r="AJ1462">
        <v>1.4</v>
      </c>
      <c r="AK1462" t="str">
        <f t="shared" si="22"/>
        <v>ST600-5000</v>
      </c>
    </row>
    <row r="1463" spans="1:37">
      <c r="A1463" t="s">
        <v>2736</v>
      </c>
      <c r="B1463" t="s">
        <v>2737</v>
      </c>
      <c r="C1463" t="s">
        <v>329</v>
      </c>
      <c r="D1463" t="s">
        <v>2738</v>
      </c>
      <c r="E1463">
        <v>92</v>
      </c>
      <c r="F1463">
        <v>0</v>
      </c>
      <c r="G1463">
        <v>165</v>
      </c>
      <c r="H1463">
        <v>0</v>
      </c>
      <c r="I1463">
        <v>142</v>
      </c>
      <c r="J1463">
        <v>219</v>
      </c>
      <c r="K1463">
        <v>4859</v>
      </c>
      <c r="L1463">
        <v>910</v>
      </c>
      <c r="M1463">
        <v>0</v>
      </c>
      <c r="N1463">
        <v>138</v>
      </c>
      <c r="O1463">
        <v>0</v>
      </c>
      <c r="P1463">
        <v>0</v>
      </c>
      <c r="Q1463">
        <v>4721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852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388</v>
      </c>
      <c r="AD1463">
        <v>1391</v>
      </c>
      <c r="AE1463">
        <v>2631</v>
      </c>
      <c r="AF1463">
        <v>30147</v>
      </c>
      <c r="AJ1463">
        <v>3.71</v>
      </c>
      <c r="AK1463" t="str">
        <f t="shared" si="22"/>
        <v>ST601-5000</v>
      </c>
    </row>
    <row r="1464" spans="1:37">
      <c r="A1464" t="s">
        <v>2739</v>
      </c>
      <c r="B1464" t="s">
        <v>2740</v>
      </c>
      <c r="C1464" t="s">
        <v>68</v>
      </c>
      <c r="D1464" t="s">
        <v>2741</v>
      </c>
      <c r="E1464">
        <v>65</v>
      </c>
      <c r="F1464">
        <v>1.8</v>
      </c>
      <c r="G1464">
        <v>240</v>
      </c>
      <c r="H1464">
        <v>190</v>
      </c>
      <c r="I1464">
        <v>234</v>
      </c>
      <c r="J1464">
        <v>217</v>
      </c>
      <c r="K1464">
        <v>1602</v>
      </c>
      <c r="L1464">
        <v>481</v>
      </c>
      <c r="M1464">
        <v>0</v>
      </c>
      <c r="N1464">
        <v>200</v>
      </c>
      <c r="O1464">
        <v>0</v>
      </c>
      <c r="P1464">
        <v>0</v>
      </c>
      <c r="Q1464">
        <v>1402</v>
      </c>
      <c r="R1464">
        <v>120</v>
      </c>
      <c r="S1464">
        <v>205</v>
      </c>
      <c r="T1464">
        <v>215</v>
      </c>
      <c r="U1464">
        <v>149</v>
      </c>
      <c r="V1464">
        <v>109</v>
      </c>
      <c r="W1464">
        <v>475</v>
      </c>
      <c r="X1464">
        <v>253</v>
      </c>
      <c r="Y1464">
        <v>272</v>
      </c>
      <c r="Z1464">
        <v>380</v>
      </c>
      <c r="AA1464">
        <v>0</v>
      </c>
      <c r="AB1464">
        <v>282</v>
      </c>
      <c r="AC1464">
        <v>136</v>
      </c>
      <c r="AD1464">
        <v>126</v>
      </c>
      <c r="AE1464">
        <v>2602</v>
      </c>
      <c r="AF1464">
        <v>4216</v>
      </c>
      <c r="AJ1464">
        <v>5.48</v>
      </c>
      <c r="AK1464" t="str">
        <f t="shared" si="22"/>
        <v>ST620-5000</v>
      </c>
    </row>
    <row r="1465" spans="1:37">
      <c r="A1465" t="s">
        <v>2742</v>
      </c>
      <c r="B1465" t="s">
        <v>2743</v>
      </c>
      <c r="C1465" t="s">
        <v>68</v>
      </c>
      <c r="D1465" t="s">
        <v>2741</v>
      </c>
      <c r="E1465">
        <v>65</v>
      </c>
      <c r="F1465">
        <v>2.2999999999999998</v>
      </c>
      <c r="G1465">
        <v>104</v>
      </c>
      <c r="H1465">
        <v>69</v>
      </c>
      <c r="I1465">
        <v>63</v>
      </c>
      <c r="J1465">
        <v>63</v>
      </c>
      <c r="K1465">
        <v>710</v>
      </c>
      <c r="L1465">
        <v>142</v>
      </c>
      <c r="M1465">
        <v>0</v>
      </c>
      <c r="N1465">
        <v>87</v>
      </c>
      <c r="O1465">
        <v>0</v>
      </c>
      <c r="P1465">
        <v>0</v>
      </c>
      <c r="Q1465">
        <v>623</v>
      </c>
      <c r="R1465">
        <v>0</v>
      </c>
      <c r="S1465">
        <v>0</v>
      </c>
      <c r="T1465">
        <v>71</v>
      </c>
      <c r="U1465">
        <v>136</v>
      </c>
      <c r="V1465">
        <v>17</v>
      </c>
      <c r="W1465">
        <v>0</v>
      </c>
      <c r="X1465">
        <v>156</v>
      </c>
      <c r="Y1465">
        <v>40</v>
      </c>
      <c r="Z1465">
        <v>226</v>
      </c>
      <c r="AA1465">
        <v>42</v>
      </c>
      <c r="AB1465">
        <v>0</v>
      </c>
      <c r="AC1465">
        <v>65</v>
      </c>
      <c r="AD1465">
        <v>0</v>
      </c>
      <c r="AE1465">
        <v>753</v>
      </c>
      <c r="AF1465">
        <v>793</v>
      </c>
      <c r="AJ1465">
        <v>3.63</v>
      </c>
      <c r="AK1465" t="str">
        <f t="shared" si="22"/>
        <v>ST620-6200</v>
      </c>
    </row>
    <row r="1466" spans="1:37">
      <c r="A1466" t="s">
        <v>2744</v>
      </c>
      <c r="B1466" t="s">
        <v>2745</v>
      </c>
      <c r="C1466" t="s">
        <v>68</v>
      </c>
      <c r="D1466" t="s">
        <v>2746</v>
      </c>
      <c r="E1466">
        <v>65</v>
      </c>
      <c r="F1466">
        <v>0.8</v>
      </c>
      <c r="G1466">
        <v>318</v>
      </c>
      <c r="H1466">
        <v>250</v>
      </c>
      <c r="I1466">
        <v>293</v>
      </c>
      <c r="J1466">
        <v>290</v>
      </c>
      <c r="K1466">
        <v>1020</v>
      </c>
      <c r="L1466">
        <v>391</v>
      </c>
      <c r="M1466">
        <v>0</v>
      </c>
      <c r="N1466">
        <v>265</v>
      </c>
      <c r="O1466">
        <v>0</v>
      </c>
      <c r="P1466">
        <v>0</v>
      </c>
      <c r="Q1466">
        <v>755</v>
      </c>
      <c r="R1466">
        <v>120</v>
      </c>
      <c r="S1466">
        <v>0</v>
      </c>
      <c r="T1466">
        <v>329</v>
      </c>
      <c r="U1466">
        <v>420</v>
      </c>
      <c r="V1466">
        <v>434</v>
      </c>
      <c r="W1466">
        <v>193</v>
      </c>
      <c r="X1466">
        <v>382</v>
      </c>
      <c r="Y1466">
        <v>193</v>
      </c>
      <c r="Z1466">
        <v>565</v>
      </c>
      <c r="AA1466">
        <v>123</v>
      </c>
      <c r="AB1466">
        <v>207</v>
      </c>
      <c r="AC1466">
        <v>392</v>
      </c>
      <c r="AD1466">
        <v>245</v>
      </c>
      <c r="AE1466">
        <v>3483</v>
      </c>
      <c r="AF1466">
        <v>3106</v>
      </c>
      <c r="AJ1466">
        <v>4.3600000000000003</v>
      </c>
      <c r="AK1466" t="str">
        <f t="shared" si="22"/>
        <v>ST623-5000</v>
      </c>
    </row>
    <row r="1467" spans="1:37">
      <c r="A1467" t="s">
        <v>2747</v>
      </c>
      <c r="B1467" t="s">
        <v>2748</v>
      </c>
      <c r="C1467" t="s">
        <v>68</v>
      </c>
      <c r="D1467" t="s">
        <v>2749</v>
      </c>
      <c r="E1467">
        <v>65</v>
      </c>
      <c r="F1467">
        <v>2.6</v>
      </c>
      <c r="G1467">
        <v>42</v>
      </c>
      <c r="H1467">
        <v>94</v>
      </c>
      <c r="I1467">
        <v>98</v>
      </c>
      <c r="J1467">
        <v>176</v>
      </c>
      <c r="K1467">
        <v>994</v>
      </c>
      <c r="L1467">
        <v>273</v>
      </c>
      <c r="M1467">
        <v>0</v>
      </c>
      <c r="N1467">
        <v>35</v>
      </c>
      <c r="O1467">
        <v>0</v>
      </c>
      <c r="P1467">
        <v>0</v>
      </c>
      <c r="Q1467">
        <v>959</v>
      </c>
      <c r="R1467">
        <v>0</v>
      </c>
      <c r="S1467">
        <v>0</v>
      </c>
      <c r="T1467">
        <v>0</v>
      </c>
      <c r="U1467">
        <v>282</v>
      </c>
      <c r="V1467">
        <v>205</v>
      </c>
      <c r="W1467">
        <v>0</v>
      </c>
      <c r="X1467">
        <v>100</v>
      </c>
      <c r="Y1467">
        <v>65</v>
      </c>
      <c r="Z1467">
        <v>0</v>
      </c>
      <c r="AA1467">
        <v>96</v>
      </c>
      <c r="AB1467">
        <v>193</v>
      </c>
      <c r="AC1467">
        <v>985</v>
      </c>
      <c r="AD1467">
        <v>190</v>
      </c>
      <c r="AE1467">
        <v>2116</v>
      </c>
      <c r="AF1467">
        <v>1944</v>
      </c>
      <c r="AJ1467">
        <v>3.8</v>
      </c>
      <c r="AK1467" t="str">
        <f t="shared" si="22"/>
        <v>ST623-6200</v>
      </c>
    </row>
    <row r="1468" spans="1:37">
      <c r="A1468" t="s">
        <v>2750</v>
      </c>
      <c r="B1468" t="s">
        <v>2751</v>
      </c>
      <c r="C1468" t="s">
        <v>101</v>
      </c>
      <c r="E1468">
        <v>65</v>
      </c>
      <c r="F1468">
        <v>0</v>
      </c>
      <c r="G1468">
        <v>17</v>
      </c>
      <c r="H1468">
        <v>0</v>
      </c>
      <c r="I1468">
        <v>21</v>
      </c>
      <c r="J1468">
        <v>47</v>
      </c>
      <c r="K1468">
        <v>0</v>
      </c>
      <c r="L1468">
        <v>75</v>
      </c>
      <c r="M1468">
        <v>0</v>
      </c>
      <c r="N1468">
        <v>14</v>
      </c>
      <c r="O1468">
        <v>0</v>
      </c>
      <c r="P1468">
        <v>0</v>
      </c>
      <c r="Q1468">
        <v>-14</v>
      </c>
      <c r="R1468">
        <v>0</v>
      </c>
      <c r="S1468">
        <v>0</v>
      </c>
      <c r="T1468">
        <v>0</v>
      </c>
      <c r="U1468">
        <v>0</v>
      </c>
      <c r="V1468">
        <v>0</v>
      </c>
      <c r="W1468">
        <v>0</v>
      </c>
      <c r="X1468">
        <v>123</v>
      </c>
      <c r="Y1468">
        <v>0</v>
      </c>
      <c r="Z1468">
        <v>155</v>
      </c>
      <c r="AA1468">
        <v>13</v>
      </c>
      <c r="AB1468">
        <v>27</v>
      </c>
      <c r="AC1468">
        <v>194</v>
      </c>
      <c r="AD1468">
        <v>51</v>
      </c>
      <c r="AE1468">
        <v>563</v>
      </c>
      <c r="AF1468">
        <v>555</v>
      </c>
      <c r="AJ1468">
        <v>3.22</v>
      </c>
      <c r="AK1468" t="str">
        <f t="shared" si="22"/>
        <v>ST624-5000</v>
      </c>
    </row>
    <row r="1469" spans="1:37">
      <c r="A1469" t="s">
        <v>2752</v>
      </c>
      <c r="B1469" t="s">
        <v>2751</v>
      </c>
      <c r="C1469" t="s">
        <v>101</v>
      </c>
      <c r="E1469">
        <v>65</v>
      </c>
      <c r="F1469">
        <v>0</v>
      </c>
      <c r="G1469">
        <v>21</v>
      </c>
      <c r="H1469">
        <v>0</v>
      </c>
      <c r="I1469">
        <v>0</v>
      </c>
      <c r="J1469">
        <v>19</v>
      </c>
      <c r="K1469">
        <v>4252</v>
      </c>
      <c r="L1469">
        <v>116</v>
      </c>
      <c r="M1469">
        <v>0</v>
      </c>
      <c r="N1469">
        <v>17</v>
      </c>
      <c r="O1469">
        <v>0</v>
      </c>
      <c r="P1469">
        <v>0</v>
      </c>
      <c r="Q1469">
        <v>4235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149</v>
      </c>
      <c r="AB1469">
        <v>76</v>
      </c>
      <c r="AC1469">
        <v>0</v>
      </c>
      <c r="AD1469">
        <v>0</v>
      </c>
      <c r="AE1469">
        <v>225</v>
      </c>
      <c r="AF1469">
        <v>2386</v>
      </c>
      <c r="AJ1469">
        <v>3.1</v>
      </c>
      <c r="AK1469" t="str">
        <f t="shared" si="22"/>
        <v>ST624-6200</v>
      </c>
    </row>
    <row r="1470" spans="1:37">
      <c r="A1470" t="s">
        <v>2753</v>
      </c>
      <c r="B1470" t="s">
        <v>2754</v>
      </c>
      <c r="C1470" t="s">
        <v>68</v>
      </c>
      <c r="D1470" t="s">
        <v>2755</v>
      </c>
      <c r="E1470">
        <v>65</v>
      </c>
      <c r="F1470">
        <v>0.5</v>
      </c>
      <c r="G1470">
        <v>420</v>
      </c>
      <c r="H1470">
        <v>323</v>
      </c>
      <c r="I1470">
        <v>234</v>
      </c>
      <c r="J1470">
        <v>199</v>
      </c>
      <c r="K1470">
        <v>986</v>
      </c>
      <c r="L1470">
        <v>218</v>
      </c>
      <c r="M1470">
        <v>0</v>
      </c>
      <c r="N1470">
        <v>350</v>
      </c>
      <c r="O1470">
        <v>0</v>
      </c>
      <c r="P1470">
        <v>0</v>
      </c>
      <c r="Q1470">
        <v>636</v>
      </c>
      <c r="R1470">
        <v>0</v>
      </c>
      <c r="S1470">
        <v>257</v>
      </c>
      <c r="T1470">
        <v>441</v>
      </c>
      <c r="U1470">
        <v>272</v>
      </c>
      <c r="V1470">
        <v>276</v>
      </c>
      <c r="W1470">
        <v>0</v>
      </c>
      <c r="X1470">
        <v>160</v>
      </c>
      <c r="Y1470">
        <v>133</v>
      </c>
      <c r="Z1470">
        <v>189</v>
      </c>
      <c r="AA1470">
        <v>63</v>
      </c>
      <c r="AB1470">
        <v>175</v>
      </c>
      <c r="AC1470">
        <v>255</v>
      </c>
      <c r="AD1470">
        <v>168</v>
      </c>
      <c r="AE1470">
        <v>2389</v>
      </c>
      <c r="AF1470">
        <v>2370</v>
      </c>
      <c r="AJ1470">
        <v>4.8099999999999996</v>
      </c>
      <c r="AK1470" t="str">
        <f t="shared" si="22"/>
        <v>ST627-5000</v>
      </c>
    </row>
    <row r="1471" spans="1:37">
      <c r="A1471" t="s">
        <v>2756</v>
      </c>
      <c r="B1471" t="s">
        <v>2757</v>
      </c>
      <c r="C1471" t="s">
        <v>68</v>
      </c>
      <c r="D1471" t="s">
        <v>2755</v>
      </c>
      <c r="E1471">
        <v>65</v>
      </c>
      <c r="F1471">
        <v>0.9</v>
      </c>
      <c r="G1471">
        <v>127</v>
      </c>
      <c r="H1471">
        <v>75</v>
      </c>
      <c r="I1471">
        <v>109</v>
      </c>
      <c r="J1471">
        <v>110</v>
      </c>
      <c r="K1471">
        <v>389</v>
      </c>
      <c r="L1471">
        <v>105</v>
      </c>
      <c r="M1471">
        <v>0</v>
      </c>
      <c r="N1471">
        <v>106</v>
      </c>
      <c r="O1471">
        <v>0</v>
      </c>
      <c r="P1471">
        <v>0</v>
      </c>
      <c r="Q1471">
        <v>283</v>
      </c>
      <c r="R1471">
        <v>0</v>
      </c>
      <c r="S1471">
        <v>134</v>
      </c>
      <c r="T1471">
        <v>0</v>
      </c>
      <c r="U1471">
        <v>90</v>
      </c>
      <c r="V1471">
        <v>219</v>
      </c>
      <c r="W1471">
        <v>0</v>
      </c>
      <c r="X1471">
        <v>210</v>
      </c>
      <c r="Y1471">
        <v>225</v>
      </c>
      <c r="Z1471">
        <v>69</v>
      </c>
      <c r="AA1471">
        <v>170</v>
      </c>
      <c r="AB1471">
        <v>0</v>
      </c>
      <c r="AC1471">
        <v>166</v>
      </c>
      <c r="AD1471">
        <v>33</v>
      </c>
      <c r="AE1471">
        <v>1316</v>
      </c>
      <c r="AF1471">
        <v>1350</v>
      </c>
      <c r="AJ1471">
        <v>4.8099999999999996</v>
      </c>
      <c r="AK1471" t="str">
        <f t="shared" si="22"/>
        <v>ST627-6200</v>
      </c>
    </row>
    <row r="1472" spans="1:37">
      <c r="A1472" t="s">
        <v>2758</v>
      </c>
      <c r="B1472" t="s">
        <v>2759</v>
      </c>
      <c r="C1472" t="s">
        <v>68</v>
      </c>
      <c r="E1472">
        <v>65</v>
      </c>
      <c r="F1472">
        <v>0</v>
      </c>
      <c r="G1472">
        <v>19</v>
      </c>
      <c r="H1472">
        <v>113</v>
      </c>
      <c r="I1472">
        <v>98</v>
      </c>
      <c r="J1472">
        <v>64</v>
      </c>
      <c r="K1472">
        <v>0</v>
      </c>
      <c r="L1472">
        <v>100</v>
      </c>
      <c r="M1472">
        <v>0</v>
      </c>
      <c r="N1472">
        <v>16</v>
      </c>
      <c r="O1472">
        <v>0</v>
      </c>
      <c r="P1472">
        <v>0</v>
      </c>
      <c r="Q1472">
        <v>-16</v>
      </c>
      <c r="R1472">
        <v>0</v>
      </c>
      <c r="S1472">
        <v>169</v>
      </c>
      <c r="T1472">
        <v>0</v>
      </c>
      <c r="U1472">
        <v>169</v>
      </c>
      <c r="V1472">
        <v>105</v>
      </c>
      <c r="W1472">
        <v>0</v>
      </c>
      <c r="X1472">
        <v>144</v>
      </c>
      <c r="Y1472">
        <v>74</v>
      </c>
      <c r="Z1472">
        <v>0</v>
      </c>
      <c r="AA1472">
        <v>0</v>
      </c>
      <c r="AB1472">
        <v>24</v>
      </c>
      <c r="AC1472">
        <v>52</v>
      </c>
      <c r="AD1472">
        <v>28</v>
      </c>
      <c r="AE1472">
        <v>765</v>
      </c>
      <c r="AF1472">
        <v>48</v>
      </c>
      <c r="AJ1472">
        <v>4.3499999999999996</v>
      </c>
      <c r="AK1472" t="str">
        <f t="shared" si="22"/>
        <v>SV355-5000</v>
      </c>
    </row>
    <row r="1473" spans="1:37">
      <c r="A1473" t="s">
        <v>2760</v>
      </c>
      <c r="B1473" t="s">
        <v>2761</v>
      </c>
      <c r="C1473" t="s">
        <v>68</v>
      </c>
      <c r="E1473">
        <v>65</v>
      </c>
      <c r="F1473">
        <v>0.3</v>
      </c>
      <c r="G1473">
        <v>7</v>
      </c>
      <c r="H1473">
        <v>127</v>
      </c>
      <c r="I1473">
        <v>114</v>
      </c>
      <c r="J1473">
        <v>79</v>
      </c>
      <c r="K1473">
        <v>139</v>
      </c>
      <c r="L1473">
        <v>88</v>
      </c>
      <c r="M1473">
        <v>0</v>
      </c>
      <c r="N1473">
        <v>6</v>
      </c>
      <c r="O1473">
        <v>0</v>
      </c>
      <c r="P1473">
        <v>0</v>
      </c>
      <c r="Q1473">
        <v>133</v>
      </c>
      <c r="R1473">
        <v>0</v>
      </c>
      <c r="S1473">
        <v>188</v>
      </c>
      <c r="T1473">
        <v>0</v>
      </c>
      <c r="U1473">
        <v>192</v>
      </c>
      <c r="V1473">
        <v>52</v>
      </c>
      <c r="W1473">
        <v>195</v>
      </c>
      <c r="X1473">
        <v>54</v>
      </c>
      <c r="Y1473">
        <v>58</v>
      </c>
      <c r="Z1473">
        <v>41</v>
      </c>
      <c r="AA1473">
        <v>0</v>
      </c>
      <c r="AB1473">
        <v>33</v>
      </c>
      <c r="AC1473">
        <v>131</v>
      </c>
      <c r="AD1473">
        <v>0</v>
      </c>
      <c r="AE1473">
        <v>944</v>
      </c>
      <c r="AF1473">
        <v>1915</v>
      </c>
      <c r="AJ1473">
        <v>4.99</v>
      </c>
      <c r="AK1473" t="str">
        <f t="shared" si="22"/>
        <v>SV355-6200</v>
      </c>
    </row>
    <row r="1474" spans="1:37">
      <c r="A1474" t="s">
        <v>2762</v>
      </c>
      <c r="B1474" t="s">
        <v>2763</v>
      </c>
      <c r="C1474" t="s">
        <v>267</v>
      </c>
      <c r="E1474">
        <v>50</v>
      </c>
      <c r="F1474">
        <v>147.30000000000001</v>
      </c>
      <c r="G1474">
        <v>13</v>
      </c>
      <c r="H1474">
        <v>2</v>
      </c>
      <c r="I1474">
        <v>13</v>
      </c>
      <c r="J1474">
        <v>25</v>
      </c>
      <c r="K1474">
        <v>993</v>
      </c>
      <c r="L1474">
        <v>35</v>
      </c>
      <c r="M1474">
        <v>0</v>
      </c>
      <c r="N1474">
        <v>11</v>
      </c>
      <c r="O1474">
        <v>0</v>
      </c>
      <c r="P1474">
        <v>0</v>
      </c>
      <c r="Q1474">
        <v>982</v>
      </c>
      <c r="R1474">
        <v>0</v>
      </c>
      <c r="S1474">
        <v>5</v>
      </c>
      <c r="T1474">
        <v>0</v>
      </c>
      <c r="U1474">
        <v>0</v>
      </c>
      <c r="V1474">
        <v>0</v>
      </c>
      <c r="W1474">
        <v>73</v>
      </c>
      <c r="X1474">
        <v>0</v>
      </c>
      <c r="Y1474">
        <v>42</v>
      </c>
      <c r="Z1474">
        <v>92</v>
      </c>
      <c r="AA1474">
        <v>0</v>
      </c>
      <c r="AB1474">
        <v>85</v>
      </c>
      <c r="AC1474">
        <v>0</v>
      </c>
      <c r="AD1474">
        <v>0</v>
      </c>
      <c r="AE1474">
        <v>297</v>
      </c>
      <c r="AF1474">
        <v>231</v>
      </c>
      <c r="AJ1474">
        <v>3.4</v>
      </c>
      <c r="AK1474" t="str">
        <f t="shared" si="22"/>
        <v>SV730-5000</v>
      </c>
    </row>
    <row r="1475" spans="1:37">
      <c r="A1475" t="s">
        <v>2764</v>
      </c>
      <c r="B1475" t="s">
        <v>2763</v>
      </c>
      <c r="C1475" t="s">
        <v>267</v>
      </c>
      <c r="E1475">
        <v>50</v>
      </c>
      <c r="F1475">
        <v>0</v>
      </c>
      <c r="G1475">
        <v>0</v>
      </c>
      <c r="H1475">
        <v>0</v>
      </c>
      <c r="I1475">
        <v>0</v>
      </c>
      <c r="J1475">
        <v>8</v>
      </c>
      <c r="K1475">
        <v>2799</v>
      </c>
      <c r="L1475">
        <v>7</v>
      </c>
      <c r="M1475">
        <v>0</v>
      </c>
      <c r="N1475">
        <v>0</v>
      </c>
      <c r="O1475">
        <v>0</v>
      </c>
      <c r="P1475">
        <v>0</v>
      </c>
      <c r="Q1475">
        <v>2799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57</v>
      </c>
      <c r="AD1475">
        <v>42</v>
      </c>
      <c r="AE1475">
        <v>99</v>
      </c>
      <c r="AF1475">
        <v>298</v>
      </c>
      <c r="AJ1475">
        <v>4.93</v>
      </c>
      <c r="AK1475" t="str">
        <f t="shared" si="22"/>
        <v>SV730-6200</v>
      </c>
    </row>
    <row r="1476" spans="1:37">
      <c r="A1476" t="s">
        <v>2765</v>
      </c>
      <c r="B1476" t="s">
        <v>2766</v>
      </c>
      <c r="C1476" t="s">
        <v>267</v>
      </c>
      <c r="D1476" t="s">
        <v>2690</v>
      </c>
      <c r="E1476">
        <v>50</v>
      </c>
      <c r="F1476">
        <v>2.6</v>
      </c>
      <c r="G1476">
        <v>403</v>
      </c>
      <c r="H1476">
        <v>77</v>
      </c>
      <c r="I1476">
        <v>88</v>
      </c>
      <c r="J1476">
        <v>66</v>
      </c>
      <c r="K1476">
        <v>1155</v>
      </c>
      <c r="L1476">
        <v>96</v>
      </c>
      <c r="M1476">
        <v>0</v>
      </c>
      <c r="N1476">
        <v>336</v>
      </c>
      <c r="O1476">
        <v>0</v>
      </c>
      <c r="P1476">
        <v>0</v>
      </c>
      <c r="Q1476">
        <v>819</v>
      </c>
      <c r="R1476">
        <v>0</v>
      </c>
      <c r="S1476">
        <v>111</v>
      </c>
      <c r="T1476">
        <v>41</v>
      </c>
      <c r="U1476">
        <v>80</v>
      </c>
      <c r="V1476">
        <v>69</v>
      </c>
      <c r="W1476">
        <v>229</v>
      </c>
      <c r="X1476">
        <v>0</v>
      </c>
      <c r="Y1476">
        <v>31</v>
      </c>
      <c r="Z1476">
        <v>16</v>
      </c>
      <c r="AA1476">
        <v>17</v>
      </c>
      <c r="AB1476">
        <v>169</v>
      </c>
      <c r="AC1476">
        <v>31</v>
      </c>
      <c r="AD1476">
        <v>0</v>
      </c>
      <c r="AE1476">
        <v>794</v>
      </c>
      <c r="AF1476">
        <v>716</v>
      </c>
      <c r="AJ1476">
        <v>4.8099999999999996</v>
      </c>
      <c r="AK1476" t="str">
        <f t="shared" si="22"/>
        <v>SV741-5000</v>
      </c>
    </row>
    <row r="1477" spans="1:37">
      <c r="A1477" t="s">
        <v>2767</v>
      </c>
      <c r="B1477" t="s">
        <v>2766</v>
      </c>
      <c r="C1477" t="s">
        <v>267</v>
      </c>
      <c r="D1477" t="s">
        <v>2690</v>
      </c>
      <c r="E1477">
        <v>50</v>
      </c>
      <c r="F1477">
        <v>4.4000000000000004</v>
      </c>
      <c r="G1477">
        <v>132</v>
      </c>
      <c r="H1477">
        <v>38</v>
      </c>
      <c r="I1477">
        <v>60</v>
      </c>
      <c r="J1477">
        <v>61</v>
      </c>
      <c r="K1477">
        <v>776</v>
      </c>
      <c r="L1477">
        <v>110</v>
      </c>
      <c r="M1477">
        <v>0</v>
      </c>
      <c r="N1477">
        <v>110</v>
      </c>
      <c r="O1477">
        <v>0</v>
      </c>
      <c r="P1477">
        <v>0</v>
      </c>
      <c r="Q1477">
        <v>666</v>
      </c>
      <c r="R1477">
        <v>0</v>
      </c>
      <c r="S1477">
        <v>83</v>
      </c>
      <c r="T1477">
        <v>30</v>
      </c>
      <c r="U1477">
        <v>0</v>
      </c>
      <c r="V1477">
        <v>91</v>
      </c>
      <c r="W1477">
        <v>130</v>
      </c>
      <c r="X1477">
        <v>25</v>
      </c>
      <c r="Y1477">
        <v>74</v>
      </c>
      <c r="Z1477">
        <v>0</v>
      </c>
      <c r="AA1477">
        <v>79</v>
      </c>
      <c r="AB1477">
        <v>0</v>
      </c>
      <c r="AC1477">
        <v>107</v>
      </c>
      <c r="AD1477">
        <v>112</v>
      </c>
      <c r="AE1477">
        <v>731</v>
      </c>
      <c r="AF1477">
        <v>1243</v>
      </c>
      <c r="AJ1477">
        <v>4.67</v>
      </c>
      <c r="AK1477" t="str">
        <f t="shared" ref="AK1477:AK1540" si="23">MID(A1477,4,10)</f>
        <v>SV741-6200</v>
      </c>
    </row>
    <row r="1478" spans="1:37">
      <c r="A1478" t="s">
        <v>2768</v>
      </c>
      <c r="B1478" t="s">
        <v>2769</v>
      </c>
      <c r="C1478" t="s">
        <v>68</v>
      </c>
      <c r="D1478" t="s">
        <v>2770</v>
      </c>
      <c r="E1478">
        <v>75</v>
      </c>
      <c r="F1478">
        <v>1.4</v>
      </c>
      <c r="G1478">
        <v>208</v>
      </c>
      <c r="H1478">
        <v>55</v>
      </c>
      <c r="I1478">
        <v>117</v>
      </c>
      <c r="J1478">
        <v>98</v>
      </c>
      <c r="K1478">
        <v>491</v>
      </c>
      <c r="L1478">
        <v>42</v>
      </c>
      <c r="M1478">
        <v>0</v>
      </c>
      <c r="N1478">
        <v>174</v>
      </c>
      <c r="O1478">
        <v>0</v>
      </c>
      <c r="P1478">
        <v>0</v>
      </c>
      <c r="Q1478">
        <v>317</v>
      </c>
      <c r="R1478">
        <v>0</v>
      </c>
      <c r="S1478">
        <v>23</v>
      </c>
      <c r="T1478">
        <v>0</v>
      </c>
      <c r="U1478">
        <v>142</v>
      </c>
      <c r="V1478">
        <v>150</v>
      </c>
      <c r="W1478">
        <v>162</v>
      </c>
      <c r="X1478">
        <v>227</v>
      </c>
      <c r="Y1478">
        <v>122</v>
      </c>
      <c r="Z1478">
        <v>100</v>
      </c>
      <c r="AA1478">
        <v>72</v>
      </c>
      <c r="AB1478">
        <v>0</v>
      </c>
      <c r="AC1478">
        <v>63</v>
      </c>
      <c r="AD1478">
        <v>118</v>
      </c>
      <c r="AE1478">
        <v>1179</v>
      </c>
      <c r="AF1478">
        <v>482</v>
      </c>
      <c r="AJ1478">
        <v>5.24</v>
      </c>
      <c r="AK1478" t="str">
        <f t="shared" si="23"/>
        <v>SW704-5000</v>
      </c>
    </row>
    <row r="1479" spans="1:37">
      <c r="A1479" t="s">
        <v>2771</v>
      </c>
      <c r="B1479" t="s">
        <v>2772</v>
      </c>
      <c r="C1479" t="s">
        <v>68</v>
      </c>
      <c r="D1479" t="s">
        <v>2773</v>
      </c>
      <c r="E1479">
        <v>75</v>
      </c>
      <c r="F1479">
        <v>2.2999999999999998</v>
      </c>
      <c r="G1479">
        <v>80</v>
      </c>
      <c r="H1479">
        <v>86</v>
      </c>
      <c r="I1479">
        <v>96</v>
      </c>
      <c r="J1479">
        <v>69</v>
      </c>
      <c r="K1479">
        <v>857</v>
      </c>
      <c r="L1479">
        <v>140</v>
      </c>
      <c r="M1479">
        <v>0</v>
      </c>
      <c r="N1479">
        <v>67</v>
      </c>
      <c r="O1479">
        <v>0</v>
      </c>
      <c r="P1479">
        <v>0</v>
      </c>
      <c r="Q1479">
        <v>790</v>
      </c>
      <c r="R1479">
        <v>103</v>
      </c>
      <c r="S1479">
        <v>85</v>
      </c>
      <c r="T1479">
        <v>0</v>
      </c>
      <c r="U1479">
        <v>173</v>
      </c>
      <c r="V1479">
        <v>0</v>
      </c>
      <c r="W1479">
        <v>238</v>
      </c>
      <c r="X1479">
        <v>79</v>
      </c>
      <c r="Y1479">
        <v>91</v>
      </c>
      <c r="Z1479">
        <v>0</v>
      </c>
      <c r="AA1479">
        <v>0</v>
      </c>
      <c r="AB1479">
        <v>37</v>
      </c>
      <c r="AC1479">
        <v>0</v>
      </c>
      <c r="AD1479">
        <v>124</v>
      </c>
      <c r="AE1479">
        <v>827</v>
      </c>
      <c r="AF1479">
        <v>1607</v>
      </c>
      <c r="AJ1479">
        <v>4.49</v>
      </c>
      <c r="AK1479" t="str">
        <f t="shared" si="23"/>
        <v>SW704-6200</v>
      </c>
    </row>
    <row r="1480" spans="1:37">
      <c r="A1480" t="s">
        <v>2774</v>
      </c>
      <c r="B1480" t="s">
        <v>2775</v>
      </c>
      <c r="C1480" t="s">
        <v>101</v>
      </c>
      <c r="D1480" t="s">
        <v>2776</v>
      </c>
      <c r="E1480">
        <v>92</v>
      </c>
      <c r="F1480">
        <v>0</v>
      </c>
      <c r="G1480">
        <v>97</v>
      </c>
      <c r="H1480">
        <v>0</v>
      </c>
      <c r="I1480">
        <v>50</v>
      </c>
      <c r="J1480">
        <v>66</v>
      </c>
      <c r="K1480">
        <v>0</v>
      </c>
      <c r="L1480">
        <v>185</v>
      </c>
      <c r="M1480">
        <v>0</v>
      </c>
      <c r="N1480">
        <v>80</v>
      </c>
      <c r="O1480">
        <v>0</v>
      </c>
      <c r="P1480">
        <v>0</v>
      </c>
      <c r="Q1480">
        <v>-80</v>
      </c>
      <c r="R1480">
        <v>0</v>
      </c>
      <c r="S1480">
        <v>0</v>
      </c>
      <c r="T1480">
        <v>0</v>
      </c>
      <c r="U1480">
        <v>0</v>
      </c>
      <c r="V1480">
        <v>0</v>
      </c>
      <c r="W1480">
        <v>297</v>
      </c>
      <c r="X1480">
        <v>0</v>
      </c>
      <c r="Y1480">
        <v>0</v>
      </c>
      <c r="Z1480">
        <v>0</v>
      </c>
      <c r="AA1480">
        <v>0</v>
      </c>
      <c r="AB1480">
        <v>494</v>
      </c>
      <c r="AC1480">
        <v>0</v>
      </c>
      <c r="AD1480">
        <v>0</v>
      </c>
      <c r="AE1480">
        <v>791</v>
      </c>
      <c r="AF1480">
        <v>77</v>
      </c>
      <c r="AJ1480">
        <v>3.21</v>
      </c>
      <c r="AK1480" t="str">
        <f t="shared" si="23"/>
        <v>SW705-3700</v>
      </c>
    </row>
    <row r="1481" spans="1:37">
      <c r="A1481" t="s">
        <v>2777</v>
      </c>
      <c r="B1481" t="s">
        <v>2775</v>
      </c>
      <c r="C1481" t="s">
        <v>101</v>
      </c>
      <c r="D1481" t="s">
        <v>2778</v>
      </c>
      <c r="E1481">
        <v>92</v>
      </c>
      <c r="F1481">
        <v>2.5</v>
      </c>
      <c r="G1481">
        <v>98</v>
      </c>
      <c r="H1481">
        <v>307</v>
      </c>
      <c r="I1481">
        <v>244</v>
      </c>
      <c r="J1481">
        <v>214</v>
      </c>
      <c r="K1481">
        <v>3201</v>
      </c>
      <c r="L1481">
        <v>160</v>
      </c>
      <c r="M1481">
        <v>0</v>
      </c>
      <c r="N1481">
        <v>82</v>
      </c>
      <c r="O1481">
        <v>0</v>
      </c>
      <c r="P1481">
        <v>0</v>
      </c>
      <c r="Q1481">
        <v>3119</v>
      </c>
      <c r="R1481">
        <v>0</v>
      </c>
      <c r="S1481">
        <v>373</v>
      </c>
      <c r="T1481">
        <v>480</v>
      </c>
      <c r="U1481">
        <v>67</v>
      </c>
      <c r="V1481">
        <v>368</v>
      </c>
      <c r="W1481">
        <v>0</v>
      </c>
      <c r="X1481">
        <v>175</v>
      </c>
      <c r="Y1481">
        <v>413</v>
      </c>
      <c r="Z1481">
        <v>131</v>
      </c>
      <c r="AA1481">
        <v>152</v>
      </c>
      <c r="AB1481">
        <v>412</v>
      </c>
      <c r="AC1481">
        <v>0</v>
      </c>
      <c r="AD1481">
        <v>0</v>
      </c>
      <c r="AE1481">
        <v>2571</v>
      </c>
      <c r="AF1481">
        <v>3354</v>
      </c>
      <c r="AJ1481">
        <v>4.26</v>
      </c>
      <c r="AK1481" t="str">
        <f t="shared" si="23"/>
        <v>SW705-5000</v>
      </c>
    </row>
    <row r="1482" spans="1:37">
      <c r="A1482" t="s">
        <v>2779</v>
      </c>
      <c r="B1482" t="s">
        <v>2775</v>
      </c>
      <c r="C1482" t="s">
        <v>101</v>
      </c>
      <c r="D1482" t="s">
        <v>2778</v>
      </c>
      <c r="E1482">
        <v>92</v>
      </c>
      <c r="F1482">
        <v>10.9</v>
      </c>
      <c r="G1482">
        <v>0</v>
      </c>
      <c r="H1482">
        <v>35</v>
      </c>
      <c r="I1482">
        <v>17</v>
      </c>
      <c r="J1482">
        <v>35</v>
      </c>
      <c r="K1482">
        <v>1512</v>
      </c>
      <c r="L1482">
        <v>31</v>
      </c>
      <c r="M1482">
        <v>0</v>
      </c>
      <c r="N1482">
        <v>0</v>
      </c>
      <c r="O1482">
        <v>0</v>
      </c>
      <c r="P1482">
        <v>0</v>
      </c>
      <c r="Q1482">
        <v>1512</v>
      </c>
      <c r="R1482">
        <v>0</v>
      </c>
      <c r="S1482">
        <v>59</v>
      </c>
      <c r="T1482">
        <v>0</v>
      </c>
      <c r="U1482">
        <v>45</v>
      </c>
      <c r="V1482">
        <v>0</v>
      </c>
      <c r="W1482">
        <v>0</v>
      </c>
      <c r="X1482">
        <v>0</v>
      </c>
      <c r="Y1482">
        <v>156</v>
      </c>
      <c r="Z1482">
        <v>0</v>
      </c>
      <c r="AA1482">
        <v>160</v>
      </c>
      <c r="AB1482">
        <v>0</v>
      </c>
      <c r="AC1482">
        <v>0</v>
      </c>
      <c r="AD1482">
        <v>0</v>
      </c>
      <c r="AE1482">
        <v>420</v>
      </c>
      <c r="AF1482">
        <v>670</v>
      </c>
      <c r="AJ1482">
        <v>4.26</v>
      </c>
      <c r="AK1482" t="str">
        <f t="shared" si="23"/>
        <v>SW705-6200</v>
      </c>
    </row>
    <row r="1483" spans="1:37">
      <c r="A1483" t="s">
        <v>2780</v>
      </c>
      <c r="B1483" t="s">
        <v>2781</v>
      </c>
      <c r="C1483" t="s">
        <v>68</v>
      </c>
      <c r="D1483" t="s">
        <v>2782</v>
      </c>
      <c r="E1483">
        <v>65</v>
      </c>
      <c r="F1483">
        <v>16.8</v>
      </c>
      <c r="G1483">
        <v>0</v>
      </c>
      <c r="H1483">
        <v>13</v>
      </c>
      <c r="I1483">
        <v>8</v>
      </c>
      <c r="J1483">
        <v>14</v>
      </c>
      <c r="K1483">
        <v>898</v>
      </c>
      <c r="L1483">
        <v>9</v>
      </c>
      <c r="M1483">
        <v>0</v>
      </c>
      <c r="N1483">
        <v>0</v>
      </c>
      <c r="O1483">
        <v>0</v>
      </c>
      <c r="P1483">
        <v>0</v>
      </c>
      <c r="Q1483">
        <v>898</v>
      </c>
      <c r="R1483">
        <v>0</v>
      </c>
      <c r="S1483">
        <v>0</v>
      </c>
      <c r="T1483">
        <v>0</v>
      </c>
      <c r="U1483">
        <v>40</v>
      </c>
      <c r="V1483">
        <v>8</v>
      </c>
      <c r="W1483">
        <v>0</v>
      </c>
      <c r="X1483">
        <v>0</v>
      </c>
      <c r="Y1483">
        <v>0</v>
      </c>
      <c r="Z1483">
        <v>41</v>
      </c>
      <c r="AA1483">
        <v>0</v>
      </c>
      <c r="AB1483">
        <v>0</v>
      </c>
      <c r="AC1483">
        <v>44</v>
      </c>
      <c r="AD1483">
        <v>34</v>
      </c>
      <c r="AE1483">
        <v>167</v>
      </c>
      <c r="AF1483">
        <v>114</v>
      </c>
      <c r="AJ1483">
        <v>4.97</v>
      </c>
      <c r="AK1483" t="str">
        <f t="shared" si="23"/>
        <v>SW725-5000</v>
      </c>
    </row>
    <row r="1484" spans="1:37">
      <c r="A1484" t="s">
        <v>2783</v>
      </c>
      <c r="B1484" t="s">
        <v>2784</v>
      </c>
      <c r="C1484" t="s">
        <v>68</v>
      </c>
      <c r="D1484" t="s">
        <v>2782</v>
      </c>
      <c r="E1484">
        <v>65</v>
      </c>
      <c r="F1484">
        <v>88.5</v>
      </c>
      <c r="G1484">
        <v>0</v>
      </c>
      <c r="H1484">
        <v>9</v>
      </c>
      <c r="I1484">
        <v>5</v>
      </c>
      <c r="J1484">
        <v>42</v>
      </c>
      <c r="K1484">
        <v>3303</v>
      </c>
      <c r="L1484">
        <v>110</v>
      </c>
      <c r="M1484">
        <v>0</v>
      </c>
      <c r="N1484">
        <v>0</v>
      </c>
      <c r="O1484">
        <v>0</v>
      </c>
      <c r="P1484">
        <v>0</v>
      </c>
      <c r="Q1484">
        <v>3303</v>
      </c>
      <c r="R1484">
        <v>0</v>
      </c>
      <c r="S1484">
        <v>0</v>
      </c>
      <c r="T1484">
        <v>0</v>
      </c>
      <c r="U1484">
        <v>28</v>
      </c>
      <c r="V1484">
        <v>0</v>
      </c>
      <c r="W1484">
        <v>0</v>
      </c>
      <c r="X1484">
        <v>0</v>
      </c>
      <c r="Y1484">
        <v>0</v>
      </c>
      <c r="Z1484">
        <v>139</v>
      </c>
      <c r="AA1484">
        <v>76</v>
      </c>
      <c r="AB1484">
        <v>0</v>
      </c>
      <c r="AC1484">
        <v>264</v>
      </c>
      <c r="AD1484">
        <v>0</v>
      </c>
      <c r="AE1484">
        <v>507</v>
      </c>
      <c r="AF1484">
        <v>686</v>
      </c>
      <c r="AJ1484">
        <v>5.29</v>
      </c>
      <c r="AK1484" t="str">
        <f t="shared" si="23"/>
        <v>SW725-6200</v>
      </c>
    </row>
    <row r="1485" spans="1:37">
      <c r="A1485" t="s">
        <v>5943</v>
      </c>
      <c r="B1485" t="s">
        <v>5944</v>
      </c>
      <c r="C1485" t="s">
        <v>68</v>
      </c>
      <c r="D1485" t="s">
        <v>5945</v>
      </c>
      <c r="E1485">
        <v>80</v>
      </c>
      <c r="F1485">
        <v>-0.2</v>
      </c>
      <c r="G1485">
        <v>13</v>
      </c>
      <c r="H1485">
        <v>11</v>
      </c>
      <c r="I1485">
        <v>6</v>
      </c>
      <c r="J1485">
        <v>54</v>
      </c>
      <c r="K1485">
        <v>0</v>
      </c>
      <c r="L1485">
        <v>20</v>
      </c>
      <c r="M1485">
        <v>0</v>
      </c>
      <c r="N1485">
        <v>11</v>
      </c>
      <c r="O1485">
        <v>0</v>
      </c>
      <c r="P1485">
        <v>0</v>
      </c>
      <c r="Q1485">
        <v>-11</v>
      </c>
      <c r="R1485">
        <v>0</v>
      </c>
      <c r="S1485">
        <v>33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39</v>
      </c>
      <c r="Z1485">
        <v>293</v>
      </c>
      <c r="AA1485">
        <v>0</v>
      </c>
      <c r="AB1485">
        <v>15</v>
      </c>
      <c r="AC1485">
        <v>0</v>
      </c>
      <c r="AD1485">
        <v>273</v>
      </c>
      <c r="AE1485">
        <v>653</v>
      </c>
      <c r="AF1485">
        <v>100</v>
      </c>
      <c r="AJ1485">
        <v>3.46</v>
      </c>
      <c r="AK1485" t="str">
        <f t="shared" si="23"/>
        <v>SW727-3700</v>
      </c>
    </row>
    <row r="1486" spans="1:37">
      <c r="A1486" t="s">
        <v>2785</v>
      </c>
      <c r="B1486" t="s">
        <v>2786</v>
      </c>
      <c r="C1486" t="s">
        <v>68</v>
      </c>
      <c r="D1486" t="s">
        <v>2787</v>
      </c>
      <c r="E1486">
        <v>80</v>
      </c>
      <c r="F1486">
        <v>0.8</v>
      </c>
      <c r="G1486">
        <v>1362</v>
      </c>
      <c r="H1486">
        <v>1628</v>
      </c>
      <c r="I1486">
        <v>1567</v>
      </c>
      <c r="J1486">
        <v>1677</v>
      </c>
      <c r="K1486">
        <v>6274</v>
      </c>
      <c r="L1486">
        <v>585</v>
      </c>
      <c r="M1486">
        <v>0</v>
      </c>
      <c r="N1486">
        <v>1135</v>
      </c>
      <c r="O1486">
        <v>0</v>
      </c>
      <c r="P1486">
        <v>0</v>
      </c>
      <c r="Q1486">
        <v>5139</v>
      </c>
      <c r="R1486">
        <v>0</v>
      </c>
      <c r="S1486">
        <v>612</v>
      </c>
      <c r="T1486">
        <v>2213</v>
      </c>
      <c r="U1486">
        <v>2058</v>
      </c>
      <c r="V1486">
        <v>1772</v>
      </c>
      <c r="W1486">
        <v>1911</v>
      </c>
      <c r="X1486">
        <v>836</v>
      </c>
      <c r="Y1486">
        <v>1626</v>
      </c>
      <c r="Z1486">
        <v>3146</v>
      </c>
      <c r="AA1486">
        <v>966</v>
      </c>
      <c r="AB1486">
        <v>1296</v>
      </c>
      <c r="AC1486">
        <v>1667</v>
      </c>
      <c r="AD1486">
        <v>2022</v>
      </c>
      <c r="AE1486">
        <v>20125</v>
      </c>
      <c r="AF1486">
        <v>16361</v>
      </c>
      <c r="AJ1486">
        <v>3.02</v>
      </c>
      <c r="AK1486" t="str">
        <f t="shared" si="23"/>
        <v>SW727-5000</v>
      </c>
    </row>
    <row r="1487" spans="1:37">
      <c r="A1487" t="s">
        <v>2788</v>
      </c>
      <c r="B1487" t="s">
        <v>2789</v>
      </c>
      <c r="C1487" t="s">
        <v>68</v>
      </c>
      <c r="D1487" t="s">
        <v>2787</v>
      </c>
      <c r="E1487">
        <v>80</v>
      </c>
      <c r="F1487">
        <v>1.1000000000000001</v>
      </c>
      <c r="G1487">
        <v>728</v>
      </c>
      <c r="H1487">
        <v>711</v>
      </c>
      <c r="I1487">
        <v>761</v>
      </c>
      <c r="J1487">
        <v>907</v>
      </c>
      <c r="K1487">
        <v>3869</v>
      </c>
      <c r="L1487">
        <v>624</v>
      </c>
      <c r="M1487">
        <v>46</v>
      </c>
      <c r="N1487">
        <v>606</v>
      </c>
      <c r="O1487">
        <v>0</v>
      </c>
      <c r="P1487">
        <v>0</v>
      </c>
      <c r="Q1487">
        <v>3263</v>
      </c>
      <c r="R1487">
        <v>0</v>
      </c>
      <c r="S1487">
        <v>780</v>
      </c>
      <c r="T1487">
        <v>379</v>
      </c>
      <c r="U1487">
        <v>973</v>
      </c>
      <c r="V1487">
        <v>694</v>
      </c>
      <c r="W1487">
        <v>912</v>
      </c>
      <c r="X1487">
        <v>827</v>
      </c>
      <c r="Y1487">
        <v>1262</v>
      </c>
      <c r="Z1487">
        <v>1287</v>
      </c>
      <c r="AA1487">
        <v>856</v>
      </c>
      <c r="AB1487">
        <v>1178</v>
      </c>
      <c r="AC1487">
        <v>803</v>
      </c>
      <c r="AD1487">
        <v>931</v>
      </c>
      <c r="AE1487">
        <v>10882</v>
      </c>
      <c r="AF1487">
        <v>10266</v>
      </c>
      <c r="AJ1487">
        <v>3.02</v>
      </c>
      <c r="AK1487" t="str">
        <f t="shared" si="23"/>
        <v>SW727-6200</v>
      </c>
    </row>
    <row r="1488" spans="1:37">
      <c r="A1488" t="s">
        <v>2791</v>
      </c>
      <c r="B1488" t="s">
        <v>2792</v>
      </c>
      <c r="C1488" t="s">
        <v>68</v>
      </c>
      <c r="D1488" t="s">
        <v>2790</v>
      </c>
      <c r="E1488">
        <v>75</v>
      </c>
      <c r="F1488">
        <v>1.6</v>
      </c>
      <c r="G1488">
        <v>169</v>
      </c>
      <c r="H1488">
        <v>104</v>
      </c>
      <c r="I1488">
        <v>177</v>
      </c>
      <c r="J1488">
        <v>235</v>
      </c>
      <c r="K1488">
        <v>793</v>
      </c>
      <c r="L1488">
        <v>259</v>
      </c>
      <c r="M1488">
        <v>0</v>
      </c>
      <c r="N1488">
        <v>141</v>
      </c>
      <c r="O1488">
        <v>0</v>
      </c>
      <c r="P1488">
        <v>0</v>
      </c>
      <c r="Q1488">
        <v>652</v>
      </c>
      <c r="R1488">
        <v>0</v>
      </c>
      <c r="S1488">
        <v>0</v>
      </c>
      <c r="T1488">
        <v>182</v>
      </c>
      <c r="U1488">
        <v>130</v>
      </c>
      <c r="V1488">
        <v>394</v>
      </c>
      <c r="W1488">
        <v>296</v>
      </c>
      <c r="X1488">
        <v>62</v>
      </c>
      <c r="Y1488">
        <v>396</v>
      </c>
      <c r="Z1488">
        <v>0</v>
      </c>
      <c r="AA1488">
        <v>453</v>
      </c>
      <c r="AB1488">
        <v>528</v>
      </c>
      <c r="AC1488">
        <v>277</v>
      </c>
      <c r="AD1488">
        <v>98</v>
      </c>
      <c r="AE1488">
        <v>2816</v>
      </c>
      <c r="AF1488">
        <v>2266</v>
      </c>
      <c r="AJ1488">
        <v>5.9</v>
      </c>
      <c r="AK1488" t="str">
        <f t="shared" si="23"/>
        <v>SW732-5000</v>
      </c>
    </row>
    <row r="1489" spans="1:37">
      <c r="A1489" t="s">
        <v>2793</v>
      </c>
      <c r="B1489" t="s">
        <v>2794</v>
      </c>
      <c r="C1489" t="s">
        <v>68</v>
      </c>
      <c r="D1489" t="s">
        <v>2795</v>
      </c>
      <c r="E1489">
        <v>75</v>
      </c>
      <c r="F1489">
        <v>4.0999999999999996</v>
      </c>
      <c r="G1489">
        <v>36</v>
      </c>
      <c r="H1489">
        <v>103</v>
      </c>
      <c r="I1489">
        <v>70</v>
      </c>
      <c r="J1489">
        <v>114</v>
      </c>
      <c r="K1489">
        <v>1731</v>
      </c>
      <c r="L1489">
        <v>208</v>
      </c>
      <c r="M1489">
        <v>0</v>
      </c>
      <c r="N1489">
        <v>30</v>
      </c>
      <c r="O1489">
        <v>0</v>
      </c>
      <c r="P1489">
        <v>0</v>
      </c>
      <c r="Q1489">
        <v>1701</v>
      </c>
      <c r="R1489">
        <v>0</v>
      </c>
      <c r="S1489">
        <v>0</v>
      </c>
      <c r="T1489">
        <v>139</v>
      </c>
      <c r="U1489">
        <v>171</v>
      </c>
      <c r="V1489">
        <v>40</v>
      </c>
      <c r="W1489">
        <v>69</v>
      </c>
      <c r="X1489">
        <v>0</v>
      </c>
      <c r="Y1489">
        <v>0</v>
      </c>
      <c r="Z1489">
        <v>180</v>
      </c>
      <c r="AA1489">
        <v>0</v>
      </c>
      <c r="AB1489">
        <v>592</v>
      </c>
      <c r="AC1489">
        <v>177</v>
      </c>
      <c r="AD1489">
        <v>0</v>
      </c>
      <c r="AE1489">
        <v>1368</v>
      </c>
      <c r="AF1489">
        <v>774</v>
      </c>
      <c r="AJ1489">
        <v>5.9</v>
      </c>
      <c r="AK1489" t="str">
        <f t="shared" si="23"/>
        <v>SW732-6200</v>
      </c>
    </row>
    <row r="1490" spans="1:37">
      <c r="A1490" t="s">
        <v>2796</v>
      </c>
      <c r="B1490" t="s">
        <v>2797</v>
      </c>
      <c r="C1490" t="s">
        <v>1558</v>
      </c>
      <c r="D1490" t="s">
        <v>2798</v>
      </c>
      <c r="E1490">
        <v>92</v>
      </c>
      <c r="F1490">
        <v>1.5</v>
      </c>
      <c r="G1490">
        <v>1025</v>
      </c>
      <c r="H1490">
        <v>1909</v>
      </c>
      <c r="I1490">
        <v>1744</v>
      </c>
      <c r="J1490">
        <v>1501</v>
      </c>
      <c r="K1490">
        <v>12603</v>
      </c>
      <c r="L1490">
        <v>1724</v>
      </c>
      <c r="M1490">
        <v>0</v>
      </c>
      <c r="N1490">
        <v>854</v>
      </c>
      <c r="O1490">
        <v>0</v>
      </c>
      <c r="P1490">
        <v>0</v>
      </c>
      <c r="Q1490">
        <v>11749</v>
      </c>
      <c r="R1490">
        <v>552</v>
      </c>
      <c r="S1490">
        <v>1389</v>
      </c>
      <c r="T1490">
        <v>2249</v>
      </c>
      <c r="U1490">
        <v>2088</v>
      </c>
      <c r="V1490">
        <v>2319</v>
      </c>
      <c r="W1490">
        <v>2165</v>
      </c>
      <c r="X1490">
        <v>251</v>
      </c>
      <c r="Y1490">
        <v>1339</v>
      </c>
      <c r="Z1490">
        <v>1768</v>
      </c>
      <c r="AA1490">
        <v>1272</v>
      </c>
      <c r="AB1490">
        <v>1403</v>
      </c>
      <c r="AC1490">
        <v>279</v>
      </c>
      <c r="AD1490">
        <v>1488</v>
      </c>
      <c r="AE1490">
        <v>18010</v>
      </c>
      <c r="AF1490">
        <v>15964</v>
      </c>
      <c r="AG1490" t="s">
        <v>2799</v>
      </c>
      <c r="AH1490">
        <v>1</v>
      </c>
      <c r="AI1490">
        <v>16</v>
      </c>
      <c r="AJ1490">
        <v>2.78</v>
      </c>
      <c r="AK1490" t="str">
        <f t="shared" si="23"/>
        <v>SW736-5000</v>
      </c>
    </row>
    <row r="1491" spans="1:37">
      <c r="A1491" t="s">
        <v>2800</v>
      </c>
      <c r="B1491" t="s">
        <v>2801</v>
      </c>
      <c r="C1491" t="s">
        <v>267</v>
      </c>
      <c r="D1491" t="s">
        <v>2798</v>
      </c>
      <c r="E1491">
        <v>92</v>
      </c>
      <c r="F1491">
        <v>4</v>
      </c>
      <c r="G1491">
        <v>310</v>
      </c>
      <c r="H1491">
        <v>601</v>
      </c>
      <c r="I1491">
        <v>477</v>
      </c>
      <c r="J1491">
        <v>544</v>
      </c>
      <c r="K1491">
        <v>9878</v>
      </c>
      <c r="L1491">
        <v>984</v>
      </c>
      <c r="M1491">
        <v>0</v>
      </c>
      <c r="N1491">
        <v>258</v>
      </c>
      <c r="O1491">
        <v>0</v>
      </c>
      <c r="P1491">
        <v>0</v>
      </c>
      <c r="Q1491">
        <v>9620</v>
      </c>
      <c r="R1491">
        <v>0</v>
      </c>
      <c r="S1491">
        <v>1266</v>
      </c>
      <c r="T1491">
        <v>86</v>
      </c>
      <c r="U1491">
        <v>450</v>
      </c>
      <c r="V1491">
        <v>591</v>
      </c>
      <c r="W1491">
        <v>82</v>
      </c>
      <c r="X1491">
        <v>388</v>
      </c>
      <c r="Y1491">
        <v>0</v>
      </c>
      <c r="Z1491">
        <v>1301</v>
      </c>
      <c r="AA1491">
        <v>0</v>
      </c>
      <c r="AB1491">
        <v>500</v>
      </c>
      <c r="AC1491">
        <v>0</v>
      </c>
      <c r="AD1491">
        <v>1868</v>
      </c>
      <c r="AE1491">
        <v>6532</v>
      </c>
      <c r="AF1491">
        <v>8796</v>
      </c>
      <c r="AJ1491">
        <v>2.78</v>
      </c>
      <c r="AK1491" t="str">
        <f t="shared" si="23"/>
        <v>SW736-6200</v>
      </c>
    </row>
    <row r="1492" spans="1:37">
      <c r="A1492" t="s">
        <v>2802</v>
      </c>
      <c r="B1492" t="s">
        <v>2803</v>
      </c>
      <c r="C1492" t="s">
        <v>68</v>
      </c>
      <c r="E1492">
        <v>80</v>
      </c>
      <c r="F1492">
        <v>0</v>
      </c>
      <c r="G1492">
        <v>0</v>
      </c>
      <c r="H1492">
        <v>6</v>
      </c>
      <c r="I1492">
        <v>5</v>
      </c>
      <c r="J1492">
        <v>5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>
        <v>0</v>
      </c>
      <c r="T1492">
        <v>0</v>
      </c>
      <c r="U1492">
        <v>18</v>
      </c>
      <c r="V1492">
        <v>0</v>
      </c>
      <c r="W1492">
        <v>0</v>
      </c>
      <c r="X1492">
        <v>13</v>
      </c>
      <c r="Y1492">
        <v>0</v>
      </c>
      <c r="Z1492">
        <v>0</v>
      </c>
      <c r="AA1492">
        <v>0</v>
      </c>
      <c r="AB1492">
        <v>24</v>
      </c>
      <c r="AC1492">
        <v>0</v>
      </c>
      <c r="AD1492">
        <v>0</v>
      </c>
      <c r="AE1492">
        <v>55</v>
      </c>
      <c r="AF1492">
        <v>0</v>
      </c>
      <c r="AJ1492">
        <v>4.9800000000000004</v>
      </c>
      <c r="AK1492" t="str">
        <f t="shared" si="23"/>
        <v>SW738-5000</v>
      </c>
    </row>
    <row r="1493" spans="1:37">
      <c r="A1493" t="s">
        <v>2804</v>
      </c>
      <c r="B1493" t="s">
        <v>2805</v>
      </c>
      <c r="C1493" t="s">
        <v>68</v>
      </c>
      <c r="E1493">
        <v>80</v>
      </c>
      <c r="F1493">
        <v>0</v>
      </c>
      <c r="G1493">
        <v>0</v>
      </c>
      <c r="H1493">
        <v>0</v>
      </c>
      <c r="I1493">
        <v>0</v>
      </c>
      <c r="J1493">
        <v>5</v>
      </c>
      <c r="K1493">
        <v>628</v>
      </c>
      <c r="L1493">
        <v>24</v>
      </c>
      <c r="M1493">
        <v>0</v>
      </c>
      <c r="N1493">
        <v>0</v>
      </c>
      <c r="O1493">
        <v>0</v>
      </c>
      <c r="P1493">
        <v>0</v>
      </c>
      <c r="Q1493">
        <v>628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65</v>
      </c>
      <c r="AA1493">
        <v>0</v>
      </c>
      <c r="AB1493">
        <v>0</v>
      </c>
      <c r="AC1493">
        <v>0</v>
      </c>
      <c r="AD1493">
        <v>0</v>
      </c>
      <c r="AE1493">
        <v>65</v>
      </c>
      <c r="AF1493">
        <v>377</v>
      </c>
      <c r="AJ1493">
        <v>4.9800000000000004</v>
      </c>
      <c r="AK1493" t="str">
        <f t="shared" si="23"/>
        <v>SW738-6200</v>
      </c>
    </row>
    <row r="1494" spans="1:37">
      <c r="A1494" t="s">
        <v>2806</v>
      </c>
      <c r="B1494" t="s">
        <v>2807</v>
      </c>
      <c r="C1494" t="s">
        <v>68</v>
      </c>
      <c r="D1494" t="s">
        <v>2808</v>
      </c>
      <c r="E1494">
        <v>92</v>
      </c>
      <c r="F1494">
        <v>-0.2</v>
      </c>
      <c r="G1494">
        <v>112</v>
      </c>
      <c r="H1494">
        <v>108</v>
      </c>
      <c r="I1494">
        <v>75</v>
      </c>
      <c r="J1494">
        <v>99</v>
      </c>
      <c r="K1494">
        <v>0</v>
      </c>
      <c r="L1494">
        <v>430</v>
      </c>
      <c r="M1494">
        <v>0</v>
      </c>
      <c r="N1494">
        <v>93</v>
      </c>
      <c r="O1494">
        <v>0</v>
      </c>
      <c r="P1494">
        <v>0</v>
      </c>
      <c r="Q1494">
        <v>-93</v>
      </c>
      <c r="R1494">
        <v>0</v>
      </c>
      <c r="S1494">
        <v>133</v>
      </c>
      <c r="T1494">
        <v>79</v>
      </c>
      <c r="U1494">
        <v>112</v>
      </c>
      <c r="V1494">
        <v>0</v>
      </c>
      <c r="W1494">
        <v>112</v>
      </c>
      <c r="X1494">
        <v>11</v>
      </c>
      <c r="Y1494">
        <v>156</v>
      </c>
      <c r="Z1494">
        <v>23</v>
      </c>
      <c r="AA1494">
        <v>0</v>
      </c>
      <c r="AB1494">
        <v>169</v>
      </c>
      <c r="AC1494">
        <v>0</v>
      </c>
      <c r="AD1494">
        <v>388</v>
      </c>
      <c r="AE1494">
        <v>1183</v>
      </c>
      <c r="AF1494">
        <v>2995</v>
      </c>
      <c r="AJ1494">
        <v>4.9800000000000004</v>
      </c>
      <c r="AK1494" t="str">
        <f t="shared" si="23"/>
        <v>SW740-5000</v>
      </c>
    </row>
    <row r="1495" spans="1:37">
      <c r="A1495" t="s">
        <v>2809</v>
      </c>
      <c r="B1495" t="s">
        <v>2810</v>
      </c>
      <c r="C1495" t="s">
        <v>68</v>
      </c>
      <c r="D1495" t="s">
        <v>2811</v>
      </c>
      <c r="E1495">
        <v>92</v>
      </c>
      <c r="F1495">
        <v>7.8</v>
      </c>
      <c r="G1495">
        <v>34</v>
      </c>
      <c r="H1495">
        <v>89</v>
      </c>
      <c r="I1495">
        <v>58</v>
      </c>
      <c r="J1495">
        <v>56</v>
      </c>
      <c r="K1495">
        <v>2789</v>
      </c>
      <c r="L1495">
        <v>135</v>
      </c>
      <c r="M1495">
        <v>0</v>
      </c>
      <c r="N1495">
        <v>29</v>
      </c>
      <c r="O1495">
        <v>0</v>
      </c>
      <c r="P1495">
        <v>0</v>
      </c>
      <c r="Q1495">
        <v>2760</v>
      </c>
      <c r="R1495">
        <v>71</v>
      </c>
      <c r="S1495">
        <v>0</v>
      </c>
      <c r="T1495">
        <v>65</v>
      </c>
      <c r="U1495">
        <v>201</v>
      </c>
      <c r="V1495">
        <v>0</v>
      </c>
      <c r="W1495">
        <v>0</v>
      </c>
      <c r="X1495">
        <v>80</v>
      </c>
      <c r="Y1495">
        <v>0</v>
      </c>
      <c r="Z1495">
        <v>0</v>
      </c>
      <c r="AA1495">
        <v>0</v>
      </c>
      <c r="AB1495">
        <v>258</v>
      </c>
      <c r="AC1495">
        <v>62</v>
      </c>
      <c r="AD1495">
        <v>0</v>
      </c>
      <c r="AE1495">
        <v>666</v>
      </c>
      <c r="AF1495">
        <v>2115</v>
      </c>
      <c r="AJ1495">
        <v>4.9800000000000004</v>
      </c>
      <c r="AK1495" t="str">
        <f t="shared" si="23"/>
        <v>SW740-6200</v>
      </c>
    </row>
    <row r="1496" spans="1:37">
      <c r="A1496" t="s">
        <v>2812</v>
      </c>
      <c r="B1496" t="s">
        <v>2813</v>
      </c>
      <c r="C1496" t="s">
        <v>68</v>
      </c>
      <c r="D1496" t="s">
        <v>2814</v>
      </c>
      <c r="E1496">
        <v>80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146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146</v>
      </c>
      <c r="R1496">
        <v>0</v>
      </c>
      <c r="S1496">
        <v>0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J1496">
        <v>2.81</v>
      </c>
      <c r="AK1496" t="str">
        <f t="shared" si="23"/>
        <v>SW775-6200</v>
      </c>
    </row>
    <row r="1497" spans="1:37">
      <c r="A1497" t="s">
        <v>2815</v>
      </c>
      <c r="B1497" t="s">
        <v>2816</v>
      </c>
      <c r="C1497" t="s">
        <v>68</v>
      </c>
      <c r="E1497">
        <v>82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127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127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318</v>
      </c>
      <c r="AJ1497">
        <v>4.8</v>
      </c>
      <c r="AK1497" t="str">
        <f t="shared" si="23"/>
        <v>SW832-5000</v>
      </c>
    </row>
    <row r="1498" spans="1:37">
      <c r="A1498" t="s">
        <v>2817</v>
      </c>
      <c r="B1498" t="s">
        <v>2816</v>
      </c>
      <c r="C1498" t="s">
        <v>68</v>
      </c>
      <c r="E1498">
        <v>82</v>
      </c>
      <c r="F1498">
        <v>0</v>
      </c>
      <c r="G1498">
        <v>0</v>
      </c>
      <c r="H1498">
        <v>0</v>
      </c>
      <c r="I1498">
        <v>0</v>
      </c>
      <c r="J1498">
        <v>0</v>
      </c>
      <c r="K1498">
        <v>527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527</v>
      </c>
      <c r="R1498">
        <v>0</v>
      </c>
      <c r="S1498">
        <v>0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525</v>
      </c>
      <c r="AJ1498">
        <v>4.8</v>
      </c>
      <c r="AK1498" t="str">
        <f t="shared" si="23"/>
        <v>SW832-6200</v>
      </c>
    </row>
    <row r="1499" spans="1:37">
      <c r="A1499" t="s">
        <v>2818</v>
      </c>
      <c r="B1499" t="s">
        <v>2819</v>
      </c>
      <c r="C1499" t="s">
        <v>68</v>
      </c>
      <c r="D1499" t="s">
        <v>2820</v>
      </c>
      <c r="E1499">
        <v>65</v>
      </c>
      <c r="F1499">
        <v>2</v>
      </c>
      <c r="G1499">
        <v>174</v>
      </c>
      <c r="H1499">
        <v>88</v>
      </c>
      <c r="I1499">
        <v>107</v>
      </c>
      <c r="J1499">
        <v>90</v>
      </c>
      <c r="K1499">
        <v>835</v>
      </c>
      <c r="L1499">
        <v>97</v>
      </c>
      <c r="M1499">
        <v>0</v>
      </c>
      <c r="N1499">
        <v>145</v>
      </c>
      <c r="O1499">
        <v>0</v>
      </c>
      <c r="P1499">
        <v>0</v>
      </c>
      <c r="Q1499">
        <v>690</v>
      </c>
      <c r="R1499">
        <v>0</v>
      </c>
      <c r="S1499">
        <v>0</v>
      </c>
      <c r="T1499">
        <v>120</v>
      </c>
      <c r="U1499">
        <v>145</v>
      </c>
      <c r="V1499">
        <v>22</v>
      </c>
      <c r="W1499">
        <v>115</v>
      </c>
      <c r="X1499">
        <v>239</v>
      </c>
      <c r="Y1499">
        <v>28</v>
      </c>
      <c r="Z1499">
        <v>104</v>
      </c>
      <c r="AA1499">
        <v>27</v>
      </c>
      <c r="AB1499">
        <v>169</v>
      </c>
      <c r="AC1499">
        <v>48</v>
      </c>
      <c r="AD1499">
        <v>67</v>
      </c>
      <c r="AE1499">
        <v>1084</v>
      </c>
      <c r="AF1499">
        <v>1032</v>
      </c>
      <c r="AJ1499">
        <v>6.98</v>
      </c>
      <c r="AK1499" t="str">
        <f t="shared" si="23"/>
        <v>SY422-5000</v>
      </c>
    </row>
    <row r="1500" spans="1:37">
      <c r="A1500" t="s">
        <v>2821</v>
      </c>
      <c r="B1500" t="s">
        <v>2822</v>
      </c>
      <c r="C1500" t="s">
        <v>68</v>
      </c>
      <c r="D1500" t="s">
        <v>2820</v>
      </c>
      <c r="E1500">
        <v>65</v>
      </c>
      <c r="F1500">
        <v>21.4</v>
      </c>
      <c r="G1500">
        <v>14</v>
      </c>
      <c r="H1500">
        <v>26</v>
      </c>
      <c r="I1500">
        <v>58</v>
      </c>
      <c r="J1500">
        <v>61</v>
      </c>
      <c r="K1500">
        <v>2263</v>
      </c>
      <c r="L1500">
        <v>135</v>
      </c>
      <c r="M1500">
        <v>0</v>
      </c>
      <c r="N1500">
        <v>12</v>
      </c>
      <c r="O1500">
        <v>0</v>
      </c>
      <c r="P1500">
        <v>0</v>
      </c>
      <c r="Q1500">
        <v>2251</v>
      </c>
      <c r="R1500">
        <v>0</v>
      </c>
      <c r="S1500">
        <v>0</v>
      </c>
      <c r="T1500">
        <v>0</v>
      </c>
      <c r="U1500">
        <v>79</v>
      </c>
      <c r="V1500">
        <v>24</v>
      </c>
      <c r="W1500">
        <v>148</v>
      </c>
      <c r="X1500">
        <v>95</v>
      </c>
      <c r="Y1500">
        <v>16</v>
      </c>
      <c r="Z1500">
        <v>47</v>
      </c>
      <c r="AA1500">
        <v>110</v>
      </c>
      <c r="AB1500">
        <v>64</v>
      </c>
      <c r="AC1500">
        <v>143</v>
      </c>
      <c r="AD1500">
        <v>0</v>
      </c>
      <c r="AE1500">
        <v>726</v>
      </c>
      <c r="AF1500">
        <v>937</v>
      </c>
      <c r="AJ1500">
        <v>6.98</v>
      </c>
      <c r="AK1500" t="str">
        <f t="shared" si="23"/>
        <v>SY422-6200</v>
      </c>
    </row>
    <row r="1501" spans="1:37">
      <c r="A1501" t="s">
        <v>2823</v>
      </c>
      <c r="B1501" t="s">
        <v>2824</v>
      </c>
      <c r="C1501" t="s">
        <v>267</v>
      </c>
      <c r="E1501">
        <v>50</v>
      </c>
      <c r="F1501">
        <v>0</v>
      </c>
      <c r="G1501">
        <v>0</v>
      </c>
      <c r="H1501">
        <v>0</v>
      </c>
      <c r="I1501">
        <v>59</v>
      </c>
      <c r="J1501">
        <v>50</v>
      </c>
      <c r="K1501">
        <v>3185</v>
      </c>
      <c r="L1501">
        <v>126</v>
      </c>
      <c r="M1501">
        <v>0</v>
      </c>
      <c r="N1501">
        <v>0</v>
      </c>
      <c r="O1501">
        <v>0</v>
      </c>
      <c r="P1501">
        <v>0</v>
      </c>
      <c r="Q1501">
        <v>3185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339</v>
      </c>
      <c r="X1501">
        <v>13</v>
      </c>
      <c r="Y1501">
        <v>45</v>
      </c>
      <c r="Z1501">
        <v>11</v>
      </c>
      <c r="AA1501">
        <v>0</v>
      </c>
      <c r="AB1501">
        <v>148</v>
      </c>
      <c r="AC1501">
        <v>18</v>
      </c>
      <c r="AD1501">
        <v>26</v>
      </c>
      <c r="AE1501">
        <v>600</v>
      </c>
      <c r="AF1501">
        <v>171</v>
      </c>
      <c r="AJ1501">
        <v>5.15</v>
      </c>
      <c r="AK1501" t="str">
        <f t="shared" si="23"/>
        <v>SY925-5000</v>
      </c>
    </row>
    <row r="1502" spans="1:37">
      <c r="A1502" t="s">
        <v>2825</v>
      </c>
      <c r="B1502" t="s">
        <v>2824</v>
      </c>
      <c r="C1502" t="s">
        <v>267</v>
      </c>
      <c r="E1502">
        <v>50</v>
      </c>
      <c r="F1502">
        <v>34.1</v>
      </c>
      <c r="G1502">
        <v>0</v>
      </c>
      <c r="H1502">
        <v>14</v>
      </c>
      <c r="I1502">
        <v>15</v>
      </c>
      <c r="J1502">
        <v>22</v>
      </c>
      <c r="K1502">
        <v>1866</v>
      </c>
      <c r="L1502">
        <v>7</v>
      </c>
      <c r="M1502">
        <v>0</v>
      </c>
      <c r="N1502">
        <v>0</v>
      </c>
      <c r="O1502">
        <v>0</v>
      </c>
      <c r="P1502">
        <v>0</v>
      </c>
      <c r="Q1502">
        <v>1866</v>
      </c>
      <c r="R1502">
        <v>0</v>
      </c>
      <c r="S1502">
        <v>0</v>
      </c>
      <c r="T1502">
        <v>0</v>
      </c>
      <c r="U1502">
        <v>41</v>
      </c>
      <c r="V1502">
        <v>48</v>
      </c>
      <c r="W1502">
        <v>0</v>
      </c>
      <c r="X1502">
        <v>0</v>
      </c>
      <c r="Y1502">
        <v>66</v>
      </c>
      <c r="Z1502">
        <v>0</v>
      </c>
      <c r="AA1502">
        <v>75</v>
      </c>
      <c r="AB1502">
        <v>36</v>
      </c>
      <c r="AC1502">
        <v>0</v>
      </c>
      <c r="AD1502">
        <v>0</v>
      </c>
      <c r="AE1502">
        <v>266</v>
      </c>
      <c r="AF1502">
        <v>110</v>
      </c>
      <c r="AJ1502">
        <v>5.15</v>
      </c>
      <c r="AK1502" t="str">
        <f t="shared" si="23"/>
        <v>SY925-6200</v>
      </c>
    </row>
    <row r="1503" spans="1:37">
      <c r="A1503" t="s">
        <v>2826</v>
      </c>
      <c r="B1503" t="s">
        <v>2827</v>
      </c>
      <c r="C1503" t="s">
        <v>318</v>
      </c>
      <c r="D1503" t="s">
        <v>2828</v>
      </c>
      <c r="E1503">
        <v>50</v>
      </c>
      <c r="F1503">
        <v>-0.3</v>
      </c>
      <c r="G1503">
        <v>35</v>
      </c>
      <c r="H1503">
        <v>24</v>
      </c>
      <c r="I1503">
        <v>33</v>
      </c>
      <c r="J1503">
        <v>31</v>
      </c>
      <c r="K1503">
        <v>0</v>
      </c>
      <c r="L1503">
        <v>22</v>
      </c>
      <c r="M1503">
        <v>0</v>
      </c>
      <c r="N1503">
        <v>29</v>
      </c>
      <c r="O1503">
        <v>0</v>
      </c>
      <c r="P1503">
        <v>0</v>
      </c>
      <c r="Q1503">
        <v>-29</v>
      </c>
      <c r="R1503">
        <v>0</v>
      </c>
      <c r="S1503">
        <v>0</v>
      </c>
      <c r="T1503">
        <v>0</v>
      </c>
      <c r="U1503">
        <v>72</v>
      </c>
      <c r="V1503">
        <v>12</v>
      </c>
      <c r="W1503">
        <v>60</v>
      </c>
      <c r="X1503">
        <v>51</v>
      </c>
      <c r="Y1503">
        <v>22</v>
      </c>
      <c r="Z1503">
        <v>73</v>
      </c>
      <c r="AA1503">
        <v>0</v>
      </c>
      <c r="AB1503">
        <v>18</v>
      </c>
      <c r="AC1503">
        <v>37</v>
      </c>
      <c r="AD1503">
        <v>29</v>
      </c>
      <c r="AE1503">
        <v>374</v>
      </c>
      <c r="AF1503">
        <v>324</v>
      </c>
      <c r="AJ1503">
        <v>5.85</v>
      </c>
      <c r="AK1503" t="str">
        <f t="shared" si="23"/>
        <v>TM201-5000</v>
      </c>
    </row>
    <row r="1504" spans="1:37">
      <c r="A1504" t="s">
        <v>2829</v>
      </c>
      <c r="B1504" t="s">
        <v>2830</v>
      </c>
      <c r="C1504" t="s">
        <v>318</v>
      </c>
      <c r="D1504" t="s">
        <v>2828</v>
      </c>
      <c r="E1504">
        <v>50</v>
      </c>
      <c r="F1504">
        <v>0</v>
      </c>
      <c r="G1504">
        <v>32</v>
      </c>
      <c r="H1504">
        <v>0</v>
      </c>
      <c r="I1504">
        <v>3</v>
      </c>
      <c r="J1504">
        <v>16</v>
      </c>
      <c r="K1504">
        <v>0</v>
      </c>
      <c r="L1504">
        <v>12</v>
      </c>
      <c r="M1504">
        <v>0</v>
      </c>
      <c r="N1504">
        <v>27</v>
      </c>
      <c r="O1504">
        <v>0</v>
      </c>
      <c r="P1504">
        <v>0</v>
      </c>
      <c r="Q1504">
        <v>-27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15</v>
      </c>
      <c r="X1504">
        <v>0</v>
      </c>
      <c r="Y1504">
        <v>8</v>
      </c>
      <c r="Z1504">
        <v>0</v>
      </c>
      <c r="AA1504">
        <v>46</v>
      </c>
      <c r="AB1504">
        <v>0</v>
      </c>
      <c r="AC1504">
        <v>0</v>
      </c>
      <c r="AD1504">
        <v>127</v>
      </c>
      <c r="AE1504">
        <v>196</v>
      </c>
      <c r="AF1504">
        <v>210</v>
      </c>
      <c r="AJ1504">
        <v>7.62</v>
      </c>
      <c r="AK1504" t="str">
        <f t="shared" si="23"/>
        <v>TM201-6200</v>
      </c>
    </row>
    <row r="1505" spans="1:37">
      <c r="A1505" t="s">
        <v>5946</v>
      </c>
      <c r="B1505" t="s">
        <v>5947</v>
      </c>
      <c r="C1505" t="s">
        <v>318</v>
      </c>
      <c r="D1505" t="s">
        <v>5948</v>
      </c>
      <c r="E1505">
        <v>50</v>
      </c>
      <c r="F1505">
        <v>0</v>
      </c>
      <c r="G1505">
        <v>1</v>
      </c>
      <c r="H1505">
        <v>0</v>
      </c>
      <c r="I1505">
        <v>0</v>
      </c>
      <c r="J1505">
        <v>14</v>
      </c>
      <c r="K1505">
        <v>0</v>
      </c>
      <c r="L1505">
        <v>23</v>
      </c>
      <c r="M1505">
        <v>0</v>
      </c>
      <c r="N1505">
        <v>1</v>
      </c>
      <c r="O1505">
        <v>0</v>
      </c>
      <c r="P1505">
        <v>0</v>
      </c>
      <c r="Q1505">
        <v>-1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44</v>
      </c>
      <c r="Z1505">
        <v>64</v>
      </c>
      <c r="AA1505">
        <v>0</v>
      </c>
      <c r="AB1505">
        <v>50</v>
      </c>
      <c r="AC1505">
        <v>11</v>
      </c>
      <c r="AD1505">
        <v>0</v>
      </c>
      <c r="AE1505">
        <v>169</v>
      </c>
      <c r="AF1505">
        <v>55</v>
      </c>
      <c r="AJ1505">
        <v>5.85</v>
      </c>
      <c r="AK1505" t="str">
        <f t="shared" si="23"/>
        <v>TM202-5000</v>
      </c>
    </row>
    <row r="1506" spans="1:37">
      <c r="A1506" t="s">
        <v>2831</v>
      </c>
      <c r="B1506" t="s">
        <v>2832</v>
      </c>
      <c r="C1506" t="s">
        <v>318</v>
      </c>
      <c r="D1506" t="s">
        <v>2833</v>
      </c>
      <c r="E1506">
        <v>50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449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449</v>
      </c>
      <c r="R1506">
        <v>0</v>
      </c>
      <c r="S1506">
        <v>0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253</v>
      </c>
      <c r="AJ1506">
        <v>5.85</v>
      </c>
      <c r="AK1506" t="str">
        <f t="shared" si="23"/>
        <v>TM202-6200</v>
      </c>
    </row>
    <row r="1507" spans="1:37">
      <c r="A1507" t="s">
        <v>2834</v>
      </c>
      <c r="B1507" t="s">
        <v>2835</v>
      </c>
      <c r="C1507" t="s">
        <v>318</v>
      </c>
      <c r="D1507" t="s">
        <v>2836</v>
      </c>
      <c r="E1507">
        <v>50</v>
      </c>
      <c r="F1507">
        <v>0</v>
      </c>
      <c r="G1507">
        <v>0</v>
      </c>
      <c r="H1507">
        <v>0</v>
      </c>
      <c r="I1507">
        <v>0</v>
      </c>
      <c r="J1507">
        <v>4</v>
      </c>
      <c r="K1507">
        <v>350</v>
      </c>
      <c r="L1507">
        <v>28</v>
      </c>
      <c r="M1507">
        <v>0</v>
      </c>
      <c r="N1507">
        <v>0</v>
      </c>
      <c r="O1507">
        <v>0</v>
      </c>
      <c r="P1507">
        <v>0</v>
      </c>
      <c r="Q1507">
        <v>350</v>
      </c>
      <c r="R1507">
        <v>0</v>
      </c>
      <c r="S1507">
        <v>0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49</v>
      </c>
      <c r="AB1507">
        <v>0</v>
      </c>
      <c r="AC1507">
        <v>0</v>
      </c>
      <c r="AD1507">
        <v>0</v>
      </c>
      <c r="AE1507">
        <v>49</v>
      </c>
      <c r="AF1507">
        <v>104</v>
      </c>
      <c r="AJ1507">
        <v>5.91</v>
      </c>
      <c r="AK1507" t="str">
        <f t="shared" si="23"/>
        <v>TQ201-6200</v>
      </c>
    </row>
    <row r="1508" spans="1:37">
      <c r="A1508" t="s">
        <v>2837</v>
      </c>
      <c r="B1508" t="s">
        <v>2838</v>
      </c>
      <c r="C1508" t="s">
        <v>318</v>
      </c>
      <c r="E1508">
        <v>50</v>
      </c>
      <c r="F1508">
        <v>75.5</v>
      </c>
      <c r="G1508">
        <v>7</v>
      </c>
      <c r="H1508">
        <v>2</v>
      </c>
      <c r="I1508">
        <v>9</v>
      </c>
      <c r="J1508">
        <v>7</v>
      </c>
      <c r="K1508">
        <v>610</v>
      </c>
      <c r="L1508">
        <v>21</v>
      </c>
      <c r="M1508">
        <v>0</v>
      </c>
      <c r="N1508">
        <v>6</v>
      </c>
      <c r="O1508">
        <v>0</v>
      </c>
      <c r="P1508">
        <v>0</v>
      </c>
      <c r="Q1508">
        <v>604</v>
      </c>
      <c r="R1508">
        <v>0</v>
      </c>
      <c r="S1508">
        <v>6</v>
      </c>
      <c r="T1508">
        <v>0</v>
      </c>
      <c r="U1508">
        <v>0</v>
      </c>
      <c r="V1508">
        <v>34</v>
      </c>
      <c r="W1508">
        <v>0</v>
      </c>
      <c r="X1508">
        <v>11</v>
      </c>
      <c r="Y1508">
        <v>0</v>
      </c>
      <c r="Z1508">
        <v>16</v>
      </c>
      <c r="AA1508">
        <v>0</v>
      </c>
      <c r="AB1508">
        <v>0</v>
      </c>
      <c r="AC1508">
        <v>14</v>
      </c>
      <c r="AD1508">
        <v>0</v>
      </c>
      <c r="AE1508">
        <v>81</v>
      </c>
      <c r="AF1508">
        <v>125</v>
      </c>
      <c r="AJ1508">
        <v>6</v>
      </c>
      <c r="AK1508" t="str">
        <f t="shared" si="23"/>
        <v>TQ601-5000</v>
      </c>
    </row>
    <row r="1509" spans="1:37">
      <c r="A1509" t="s">
        <v>2839</v>
      </c>
      <c r="B1509" t="s">
        <v>2840</v>
      </c>
      <c r="C1509" t="s">
        <v>318</v>
      </c>
      <c r="E1509">
        <v>50</v>
      </c>
      <c r="F1509">
        <v>0</v>
      </c>
      <c r="G1509">
        <v>32</v>
      </c>
      <c r="H1509">
        <v>0</v>
      </c>
      <c r="I1509">
        <v>23</v>
      </c>
      <c r="J1509">
        <v>27</v>
      </c>
      <c r="K1509">
        <v>936</v>
      </c>
      <c r="L1509">
        <v>8</v>
      </c>
      <c r="M1509">
        <v>0</v>
      </c>
      <c r="N1509">
        <v>27</v>
      </c>
      <c r="O1509">
        <v>0</v>
      </c>
      <c r="P1509">
        <v>0</v>
      </c>
      <c r="Q1509">
        <v>909</v>
      </c>
      <c r="R1509">
        <v>0</v>
      </c>
      <c r="S1509">
        <v>0</v>
      </c>
      <c r="T1509">
        <v>0</v>
      </c>
      <c r="U1509">
        <v>0</v>
      </c>
      <c r="V1509">
        <v>0</v>
      </c>
      <c r="W1509">
        <v>69</v>
      </c>
      <c r="X1509">
        <v>69</v>
      </c>
      <c r="Y1509">
        <v>0</v>
      </c>
      <c r="Z1509">
        <v>63</v>
      </c>
      <c r="AA1509">
        <v>32</v>
      </c>
      <c r="AB1509">
        <v>0</v>
      </c>
      <c r="AC1509">
        <v>66</v>
      </c>
      <c r="AD1509">
        <v>26</v>
      </c>
      <c r="AE1509">
        <v>325</v>
      </c>
      <c r="AF1509">
        <v>498</v>
      </c>
      <c r="AJ1509">
        <v>6</v>
      </c>
      <c r="AK1509" t="str">
        <f t="shared" si="23"/>
        <v>TQ601-6200</v>
      </c>
    </row>
    <row r="1510" spans="1:37">
      <c r="A1510" t="s">
        <v>2841</v>
      </c>
      <c r="B1510" t="s">
        <v>2842</v>
      </c>
      <c r="C1510" t="s">
        <v>329</v>
      </c>
      <c r="E1510">
        <v>50</v>
      </c>
      <c r="F1510">
        <v>-0.7</v>
      </c>
      <c r="G1510">
        <v>65</v>
      </c>
      <c r="H1510">
        <v>20</v>
      </c>
      <c r="I1510">
        <v>21</v>
      </c>
      <c r="J1510">
        <v>43</v>
      </c>
      <c r="K1510">
        <v>0</v>
      </c>
      <c r="L1510">
        <v>7</v>
      </c>
      <c r="M1510">
        <v>0</v>
      </c>
      <c r="N1510">
        <v>54</v>
      </c>
      <c r="O1510">
        <v>0</v>
      </c>
      <c r="P1510">
        <v>0</v>
      </c>
      <c r="Q1510">
        <v>-54</v>
      </c>
      <c r="R1510">
        <v>22</v>
      </c>
      <c r="S1510">
        <v>49</v>
      </c>
      <c r="T1510">
        <v>11</v>
      </c>
      <c r="U1510">
        <v>0</v>
      </c>
      <c r="V1510">
        <v>0</v>
      </c>
      <c r="W1510">
        <v>65</v>
      </c>
      <c r="X1510">
        <v>0</v>
      </c>
      <c r="Y1510">
        <v>61</v>
      </c>
      <c r="Z1510">
        <v>85</v>
      </c>
      <c r="AA1510">
        <v>188</v>
      </c>
      <c r="AB1510">
        <v>30</v>
      </c>
      <c r="AC1510">
        <v>22</v>
      </c>
      <c r="AD1510">
        <v>0</v>
      </c>
      <c r="AE1510">
        <v>511</v>
      </c>
      <c r="AF1510">
        <v>524</v>
      </c>
      <c r="AJ1510">
        <v>4.92</v>
      </c>
      <c r="AK1510" t="str">
        <f t="shared" si="23"/>
        <v>VA201-5000</v>
      </c>
    </row>
    <row r="1511" spans="1:37">
      <c r="A1511" t="s">
        <v>2843</v>
      </c>
      <c r="B1511" t="s">
        <v>2842</v>
      </c>
      <c r="C1511" t="s">
        <v>329</v>
      </c>
      <c r="E1511">
        <v>50</v>
      </c>
      <c r="F1511">
        <v>14</v>
      </c>
      <c r="G1511">
        <v>5</v>
      </c>
      <c r="H1511">
        <v>13</v>
      </c>
      <c r="I1511">
        <v>15</v>
      </c>
      <c r="J1511">
        <v>16</v>
      </c>
      <c r="K1511">
        <v>732</v>
      </c>
      <c r="L1511">
        <v>0</v>
      </c>
      <c r="M1511">
        <v>0</v>
      </c>
      <c r="N1511">
        <v>4</v>
      </c>
      <c r="O1511">
        <v>0</v>
      </c>
      <c r="P1511">
        <v>0</v>
      </c>
      <c r="Q1511">
        <v>728</v>
      </c>
      <c r="R1511">
        <v>0</v>
      </c>
      <c r="S1511">
        <v>39</v>
      </c>
      <c r="T1511">
        <v>0</v>
      </c>
      <c r="U1511">
        <v>0</v>
      </c>
      <c r="V1511">
        <v>0</v>
      </c>
      <c r="W1511">
        <v>0</v>
      </c>
      <c r="X1511">
        <v>52</v>
      </c>
      <c r="Y1511">
        <v>0</v>
      </c>
      <c r="Z1511">
        <v>0</v>
      </c>
      <c r="AA1511">
        <v>0</v>
      </c>
      <c r="AB1511">
        <v>5</v>
      </c>
      <c r="AC1511">
        <v>99</v>
      </c>
      <c r="AD1511">
        <v>0</v>
      </c>
      <c r="AE1511">
        <v>195</v>
      </c>
      <c r="AF1511">
        <v>569</v>
      </c>
      <c r="AJ1511">
        <v>6.14</v>
      </c>
      <c r="AK1511" t="str">
        <f t="shared" si="23"/>
        <v>VA201-6200</v>
      </c>
    </row>
    <row r="1512" spans="1:37">
      <c r="A1512" t="s">
        <v>2844</v>
      </c>
      <c r="B1512" t="s">
        <v>2845</v>
      </c>
      <c r="C1512" t="s">
        <v>329</v>
      </c>
      <c r="E1512">
        <v>50</v>
      </c>
      <c r="F1512">
        <v>2.2000000000000002</v>
      </c>
      <c r="G1512">
        <v>115</v>
      </c>
      <c r="H1512">
        <v>76</v>
      </c>
      <c r="I1512">
        <v>80</v>
      </c>
      <c r="J1512">
        <v>178</v>
      </c>
      <c r="K1512">
        <v>766</v>
      </c>
      <c r="L1512">
        <v>242</v>
      </c>
      <c r="M1512">
        <v>0</v>
      </c>
      <c r="N1512">
        <v>95</v>
      </c>
      <c r="O1512">
        <v>0</v>
      </c>
      <c r="P1512">
        <v>0</v>
      </c>
      <c r="Q1512">
        <v>671</v>
      </c>
      <c r="R1512">
        <v>0</v>
      </c>
      <c r="S1512">
        <v>40</v>
      </c>
      <c r="T1512">
        <v>0</v>
      </c>
      <c r="U1512">
        <v>189</v>
      </c>
      <c r="V1512">
        <v>19</v>
      </c>
      <c r="W1512">
        <v>229</v>
      </c>
      <c r="X1512">
        <v>0</v>
      </c>
      <c r="Y1512">
        <v>402</v>
      </c>
      <c r="Z1512">
        <v>725</v>
      </c>
      <c r="AA1512">
        <v>268</v>
      </c>
      <c r="AB1512">
        <v>180</v>
      </c>
      <c r="AC1512">
        <v>80</v>
      </c>
      <c r="AD1512">
        <v>0</v>
      </c>
      <c r="AE1512">
        <v>2132</v>
      </c>
      <c r="AF1512">
        <v>2874</v>
      </c>
      <c r="AJ1512">
        <v>4.63</v>
      </c>
      <c r="AK1512" t="str">
        <f t="shared" si="23"/>
        <v>VA202-5000</v>
      </c>
    </row>
    <row r="1513" spans="1:37">
      <c r="A1513" t="s">
        <v>2846</v>
      </c>
      <c r="B1513" t="s">
        <v>2845</v>
      </c>
      <c r="C1513" t="s">
        <v>329</v>
      </c>
      <c r="E1513">
        <v>50</v>
      </c>
      <c r="F1513">
        <v>1.5</v>
      </c>
      <c r="G1513">
        <v>0</v>
      </c>
      <c r="H1513">
        <v>80</v>
      </c>
      <c r="I1513">
        <v>40</v>
      </c>
      <c r="J1513">
        <v>116</v>
      </c>
      <c r="K1513">
        <v>490</v>
      </c>
      <c r="L1513">
        <v>61</v>
      </c>
      <c r="M1513">
        <v>0</v>
      </c>
      <c r="N1513">
        <v>0</v>
      </c>
      <c r="O1513">
        <v>0</v>
      </c>
      <c r="P1513">
        <v>0</v>
      </c>
      <c r="Q1513">
        <v>490</v>
      </c>
      <c r="R1513">
        <v>0</v>
      </c>
      <c r="S1513">
        <v>5</v>
      </c>
      <c r="T1513">
        <v>180</v>
      </c>
      <c r="U1513">
        <v>54</v>
      </c>
      <c r="V1513">
        <v>0</v>
      </c>
      <c r="W1513">
        <v>0</v>
      </c>
      <c r="X1513">
        <v>0</v>
      </c>
      <c r="Y1513">
        <v>437</v>
      </c>
      <c r="Z1513">
        <v>186</v>
      </c>
      <c r="AA1513">
        <v>0</v>
      </c>
      <c r="AB1513">
        <v>411</v>
      </c>
      <c r="AC1513">
        <v>12</v>
      </c>
      <c r="AD1513">
        <v>109</v>
      </c>
      <c r="AE1513">
        <v>1394</v>
      </c>
      <c r="AF1513">
        <v>1977</v>
      </c>
      <c r="AJ1513">
        <v>4.92</v>
      </c>
      <c r="AK1513" t="str">
        <f t="shared" si="23"/>
        <v>VA202-6200</v>
      </c>
    </row>
    <row r="1514" spans="1:37">
      <c r="A1514" t="s">
        <v>2847</v>
      </c>
      <c r="B1514" t="s">
        <v>2848</v>
      </c>
      <c r="C1514" t="s">
        <v>110</v>
      </c>
      <c r="E1514">
        <v>43</v>
      </c>
      <c r="F1514">
        <v>3.3</v>
      </c>
      <c r="G1514">
        <v>0</v>
      </c>
      <c r="H1514">
        <v>56</v>
      </c>
      <c r="I1514">
        <v>48</v>
      </c>
      <c r="J1514">
        <v>24</v>
      </c>
      <c r="K1514">
        <v>744</v>
      </c>
      <c r="L1514">
        <v>176</v>
      </c>
      <c r="M1514">
        <v>0</v>
      </c>
      <c r="N1514">
        <v>0</v>
      </c>
      <c r="O1514">
        <v>0</v>
      </c>
      <c r="P1514">
        <v>0</v>
      </c>
      <c r="Q1514">
        <v>744</v>
      </c>
      <c r="R1514">
        <v>0</v>
      </c>
      <c r="S1514">
        <v>89</v>
      </c>
      <c r="T1514">
        <v>78</v>
      </c>
      <c r="U1514">
        <v>0</v>
      </c>
      <c r="V1514">
        <v>32</v>
      </c>
      <c r="W1514">
        <v>87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286</v>
      </c>
      <c r="AF1514">
        <v>647</v>
      </c>
      <c r="AJ1514">
        <v>4.25</v>
      </c>
      <c r="AK1514" t="str">
        <f t="shared" si="23"/>
        <v>VA501-5000</v>
      </c>
    </row>
    <row r="1515" spans="1:37">
      <c r="A1515" t="s">
        <v>2849</v>
      </c>
      <c r="B1515" t="s">
        <v>2848</v>
      </c>
      <c r="C1515" t="s">
        <v>110</v>
      </c>
      <c r="E1515">
        <v>43</v>
      </c>
      <c r="F1515">
        <v>9.9</v>
      </c>
      <c r="G1515">
        <v>41</v>
      </c>
      <c r="H1515">
        <v>15</v>
      </c>
      <c r="I1515">
        <v>17</v>
      </c>
      <c r="J1515">
        <v>12</v>
      </c>
      <c r="K1515">
        <v>615</v>
      </c>
      <c r="L1515">
        <v>0</v>
      </c>
      <c r="M1515">
        <v>0</v>
      </c>
      <c r="N1515">
        <v>34</v>
      </c>
      <c r="O1515">
        <v>0</v>
      </c>
      <c r="P1515">
        <v>0</v>
      </c>
      <c r="Q1515">
        <v>581</v>
      </c>
      <c r="R1515">
        <v>0</v>
      </c>
      <c r="S1515">
        <v>0</v>
      </c>
      <c r="T1515">
        <v>0</v>
      </c>
      <c r="U1515">
        <v>44</v>
      </c>
      <c r="V1515">
        <v>29</v>
      </c>
      <c r="W1515">
        <v>0</v>
      </c>
      <c r="X1515">
        <v>31</v>
      </c>
      <c r="Y1515">
        <v>24</v>
      </c>
      <c r="Z1515">
        <v>0</v>
      </c>
      <c r="AA1515">
        <v>0</v>
      </c>
      <c r="AB1515">
        <v>0</v>
      </c>
      <c r="AC1515">
        <v>12</v>
      </c>
      <c r="AD1515">
        <v>0</v>
      </c>
      <c r="AE1515">
        <v>140</v>
      </c>
      <c r="AF1515">
        <v>629</v>
      </c>
      <c r="AJ1515">
        <v>4.25</v>
      </c>
      <c r="AK1515" t="str">
        <f t="shared" si="23"/>
        <v>VA501-6200</v>
      </c>
    </row>
    <row r="1516" spans="1:37">
      <c r="A1516" t="s">
        <v>2850</v>
      </c>
      <c r="B1516" t="s">
        <v>2851</v>
      </c>
      <c r="C1516" t="s">
        <v>110</v>
      </c>
      <c r="E1516">
        <v>43</v>
      </c>
      <c r="F1516">
        <v>0.7</v>
      </c>
      <c r="G1516">
        <v>104</v>
      </c>
      <c r="H1516">
        <v>138</v>
      </c>
      <c r="I1516">
        <v>189</v>
      </c>
      <c r="J1516">
        <v>171</v>
      </c>
      <c r="K1516">
        <v>471</v>
      </c>
      <c r="L1516">
        <v>235</v>
      </c>
      <c r="M1516">
        <v>0</v>
      </c>
      <c r="N1516">
        <v>86</v>
      </c>
      <c r="O1516">
        <v>0</v>
      </c>
      <c r="P1516">
        <v>0</v>
      </c>
      <c r="Q1516">
        <v>385</v>
      </c>
      <c r="R1516">
        <v>0</v>
      </c>
      <c r="S1516">
        <v>258</v>
      </c>
      <c r="T1516">
        <v>145</v>
      </c>
      <c r="U1516">
        <v>12</v>
      </c>
      <c r="V1516">
        <v>426</v>
      </c>
      <c r="W1516">
        <v>183</v>
      </c>
      <c r="X1516">
        <v>110</v>
      </c>
      <c r="Y1516">
        <v>69</v>
      </c>
      <c r="Z1516">
        <v>388</v>
      </c>
      <c r="AA1516">
        <v>0</v>
      </c>
      <c r="AB1516">
        <v>140</v>
      </c>
      <c r="AC1516">
        <v>113</v>
      </c>
      <c r="AD1516">
        <v>203</v>
      </c>
      <c r="AE1516">
        <v>2047</v>
      </c>
      <c r="AF1516">
        <v>1504</v>
      </c>
      <c r="AJ1516">
        <v>4.6100000000000003</v>
      </c>
      <c r="AK1516" t="str">
        <f t="shared" si="23"/>
        <v>VA502-5000</v>
      </c>
    </row>
    <row r="1517" spans="1:37">
      <c r="A1517" t="s">
        <v>2852</v>
      </c>
      <c r="B1517" t="s">
        <v>2851</v>
      </c>
      <c r="C1517" t="s">
        <v>110</v>
      </c>
      <c r="E1517">
        <v>43</v>
      </c>
      <c r="F1517">
        <v>6.4</v>
      </c>
      <c r="G1517">
        <v>48</v>
      </c>
      <c r="H1517">
        <v>46</v>
      </c>
      <c r="I1517">
        <v>42</v>
      </c>
      <c r="J1517">
        <v>61</v>
      </c>
      <c r="K1517">
        <v>1216</v>
      </c>
      <c r="L1517">
        <v>0</v>
      </c>
      <c r="M1517">
        <v>0</v>
      </c>
      <c r="N1517">
        <v>40</v>
      </c>
      <c r="O1517">
        <v>0</v>
      </c>
      <c r="P1517">
        <v>0</v>
      </c>
      <c r="Q1517">
        <v>1176</v>
      </c>
      <c r="R1517">
        <v>0</v>
      </c>
      <c r="S1517">
        <v>86</v>
      </c>
      <c r="T1517">
        <v>51</v>
      </c>
      <c r="U1517">
        <v>0</v>
      </c>
      <c r="V1517">
        <v>0</v>
      </c>
      <c r="W1517">
        <v>112</v>
      </c>
      <c r="X1517">
        <v>0</v>
      </c>
      <c r="Y1517">
        <v>112</v>
      </c>
      <c r="Z1517">
        <v>119</v>
      </c>
      <c r="AA1517">
        <v>0</v>
      </c>
      <c r="AB1517">
        <v>160</v>
      </c>
      <c r="AC1517">
        <v>96</v>
      </c>
      <c r="AD1517">
        <v>0</v>
      </c>
      <c r="AE1517">
        <v>736</v>
      </c>
      <c r="AF1517">
        <v>870</v>
      </c>
      <c r="AJ1517">
        <v>4.6100000000000003</v>
      </c>
      <c r="AK1517" t="str">
        <f t="shared" si="23"/>
        <v>VA502-6200</v>
      </c>
    </row>
    <row r="1518" spans="1:37">
      <c r="A1518" t="s">
        <v>2853</v>
      </c>
      <c r="B1518" t="s">
        <v>2854</v>
      </c>
      <c r="C1518" t="s">
        <v>110</v>
      </c>
      <c r="E1518">
        <v>43</v>
      </c>
      <c r="F1518">
        <v>22.8</v>
      </c>
      <c r="G1518">
        <v>126</v>
      </c>
      <c r="H1518">
        <v>22</v>
      </c>
      <c r="I1518">
        <v>100</v>
      </c>
      <c r="J1518">
        <v>101</v>
      </c>
      <c r="K1518">
        <v>2143</v>
      </c>
      <c r="L1518">
        <v>132</v>
      </c>
      <c r="M1518">
        <v>0</v>
      </c>
      <c r="N1518">
        <v>105</v>
      </c>
      <c r="O1518">
        <v>0</v>
      </c>
      <c r="P1518">
        <v>0</v>
      </c>
      <c r="Q1518">
        <v>2038</v>
      </c>
      <c r="R1518">
        <v>0</v>
      </c>
      <c r="S1518">
        <v>67</v>
      </c>
      <c r="T1518">
        <v>0</v>
      </c>
      <c r="U1518">
        <v>0</v>
      </c>
      <c r="V1518">
        <v>343</v>
      </c>
      <c r="W1518">
        <v>135</v>
      </c>
      <c r="X1518">
        <v>57</v>
      </c>
      <c r="Y1518">
        <v>70</v>
      </c>
      <c r="Z1518">
        <v>96</v>
      </c>
      <c r="AA1518">
        <v>0</v>
      </c>
      <c r="AB1518">
        <v>143</v>
      </c>
      <c r="AC1518">
        <v>41</v>
      </c>
      <c r="AD1518">
        <v>255</v>
      </c>
      <c r="AE1518">
        <v>1207</v>
      </c>
      <c r="AF1518">
        <v>2255</v>
      </c>
      <c r="AJ1518">
        <v>4.47</v>
      </c>
      <c r="AK1518" t="str">
        <f t="shared" si="23"/>
        <v>VA601-5000</v>
      </c>
    </row>
    <row r="1519" spans="1:37">
      <c r="A1519" t="s">
        <v>2855</v>
      </c>
      <c r="B1519" t="s">
        <v>2854</v>
      </c>
      <c r="C1519" t="s">
        <v>110</v>
      </c>
      <c r="E1519">
        <v>43</v>
      </c>
      <c r="F1519">
        <v>3.5</v>
      </c>
      <c r="G1519">
        <v>91</v>
      </c>
      <c r="H1519">
        <v>61</v>
      </c>
      <c r="I1519">
        <v>88</v>
      </c>
      <c r="J1519">
        <v>96</v>
      </c>
      <c r="K1519">
        <v>939</v>
      </c>
      <c r="L1519">
        <v>49</v>
      </c>
      <c r="M1519">
        <v>0</v>
      </c>
      <c r="N1519">
        <v>76</v>
      </c>
      <c r="O1519">
        <v>0</v>
      </c>
      <c r="P1519">
        <v>0</v>
      </c>
      <c r="Q1519">
        <v>863</v>
      </c>
      <c r="R1519">
        <v>0</v>
      </c>
      <c r="S1519">
        <v>59</v>
      </c>
      <c r="T1519">
        <v>0</v>
      </c>
      <c r="U1519">
        <v>125</v>
      </c>
      <c r="V1519">
        <v>37</v>
      </c>
      <c r="W1519">
        <v>308</v>
      </c>
      <c r="X1519">
        <v>0</v>
      </c>
      <c r="Y1519">
        <v>0</v>
      </c>
      <c r="Z1519">
        <v>121</v>
      </c>
      <c r="AA1519">
        <v>0</v>
      </c>
      <c r="AB1519">
        <v>96</v>
      </c>
      <c r="AC1519">
        <v>245</v>
      </c>
      <c r="AD1519">
        <v>156</v>
      </c>
      <c r="AE1519">
        <v>1147</v>
      </c>
      <c r="AF1519">
        <v>1461</v>
      </c>
      <c r="AJ1519">
        <v>4.47</v>
      </c>
      <c r="AK1519" t="str">
        <f t="shared" si="23"/>
        <v>VA601-6200</v>
      </c>
    </row>
    <row r="1520" spans="1:37">
      <c r="A1520" t="s">
        <v>2856</v>
      </c>
      <c r="B1520" t="s">
        <v>2857</v>
      </c>
      <c r="C1520" t="s">
        <v>110</v>
      </c>
      <c r="E1520">
        <v>43</v>
      </c>
      <c r="F1520">
        <v>0.2</v>
      </c>
      <c r="G1520">
        <v>136</v>
      </c>
      <c r="H1520">
        <v>110</v>
      </c>
      <c r="I1520">
        <v>239</v>
      </c>
      <c r="J1520">
        <v>317</v>
      </c>
      <c r="K1520">
        <v>216</v>
      </c>
      <c r="L1520">
        <v>168</v>
      </c>
      <c r="M1520">
        <v>0</v>
      </c>
      <c r="N1520">
        <v>113</v>
      </c>
      <c r="O1520">
        <v>0</v>
      </c>
      <c r="P1520">
        <v>0</v>
      </c>
      <c r="Q1520">
        <v>103</v>
      </c>
      <c r="R1520">
        <v>0</v>
      </c>
      <c r="S1520">
        <v>146</v>
      </c>
      <c r="T1520">
        <v>90</v>
      </c>
      <c r="U1520">
        <v>93</v>
      </c>
      <c r="V1520">
        <v>502</v>
      </c>
      <c r="W1520">
        <v>327</v>
      </c>
      <c r="X1520">
        <v>275</v>
      </c>
      <c r="Y1520">
        <v>1052</v>
      </c>
      <c r="Z1520">
        <v>199</v>
      </c>
      <c r="AA1520">
        <v>32</v>
      </c>
      <c r="AB1520">
        <v>892</v>
      </c>
      <c r="AC1520">
        <v>69</v>
      </c>
      <c r="AD1520">
        <v>122</v>
      </c>
      <c r="AE1520">
        <v>3799</v>
      </c>
      <c r="AF1520">
        <v>2940</v>
      </c>
      <c r="AJ1520">
        <v>4.6100000000000003</v>
      </c>
      <c r="AK1520" t="str">
        <f t="shared" si="23"/>
        <v>VA702-5000</v>
      </c>
    </row>
    <row r="1521" spans="1:37">
      <c r="A1521" t="s">
        <v>2858</v>
      </c>
      <c r="B1521" t="s">
        <v>2857</v>
      </c>
      <c r="C1521" t="s">
        <v>110</v>
      </c>
      <c r="E1521">
        <v>43</v>
      </c>
      <c r="F1521">
        <v>1</v>
      </c>
      <c r="G1521">
        <v>28</v>
      </c>
      <c r="H1521">
        <v>221</v>
      </c>
      <c r="I1521">
        <v>216</v>
      </c>
      <c r="J1521">
        <v>195</v>
      </c>
      <c r="K1521">
        <v>925</v>
      </c>
      <c r="L1521">
        <v>545</v>
      </c>
      <c r="M1521">
        <v>0</v>
      </c>
      <c r="N1521">
        <v>23</v>
      </c>
      <c r="O1521">
        <v>0</v>
      </c>
      <c r="P1521">
        <v>0</v>
      </c>
      <c r="Q1521">
        <v>902</v>
      </c>
      <c r="R1521">
        <v>0</v>
      </c>
      <c r="S1521">
        <v>280</v>
      </c>
      <c r="T1521">
        <v>176</v>
      </c>
      <c r="U1521">
        <v>208</v>
      </c>
      <c r="V1521">
        <v>207</v>
      </c>
      <c r="W1521">
        <v>390</v>
      </c>
      <c r="X1521">
        <v>36</v>
      </c>
      <c r="Y1521">
        <v>214</v>
      </c>
      <c r="Z1521">
        <v>214</v>
      </c>
      <c r="AA1521">
        <v>190</v>
      </c>
      <c r="AB1521">
        <v>225</v>
      </c>
      <c r="AC1521">
        <v>204</v>
      </c>
      <c r="AD1521">
        <v>0</v>
      </c>
      <c r="AE1521">
        <v>2344</v>
      </c>
      <c r="AF1521">
        <v>3319</v>
      </c>
      <c r="AJ1521">
        <v>4.6100000000000003</v>
      </c>
      <c r="AK1521" t="str">
        <f t="shared" si="23"/>
        <v>VA702-6200</v>
      </c>
    </row>
    <row r="1522" spans="1:37">
      <c r="A1522" t="s">
        <v>2859</v>
      </c>
      <c r="B1522" t="s">
        <v>2860</v>
      </c>
      <c r="C1522" t="s">
        <v>329</v>
      </c>
      <c r="E1522">
        <v>50</v>
      </c>
      <c r="F1522">
        <v>0</v>
      </c>
      <c r="G1522">
        <v>0</v>
      </c>
      <c r="H1522">
        <v>5</v>
      </c>
      <c r="I1522">
        <v>6</v>
      </c>
      <c r="J1522">
        <v>5</v>
      </c>
      <c r="K1522">
        <v>0</v>
      </c>
      <c r="L1522">
        <v>3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15</v>
      </c>
      <c r="U1522">
        <v>0</v>
      </c>
      <c r="V1522">
        <v>11</v>
      </c>
      <c r="W1522">
        <v>8</v>
      </c>
      <c r="X1522">
        <v>0</v>
      </c>
      <c r="Y1522">
        <v>0</v>
      </c>
      <c r="Z1522">
        <v>26</v>
      </c>
      <c r="AA1522">
        <v>0</v>
      </c>
      <c r="AB1522">
        <v>0</v>
      </c>
      <c r="AC1522">
        <v>0</v>
      </c>
      <c r="AD1522">
        <v>0</v>
      </c>
      <c r="AE1522">
        <v>60</v>
      </c>
      <c r="AF1522">
        <v>94</v>
      </c>
      <c r="AJ1522">
        <v>0</v>
      </c>
      <c r="AK1522" t="str">
        <f t="shared" si="23"/>
        <v>VE601-5000</v>
      </c>
    </row>
    <row r="1523" spans="1:37">
      <c r="A1523" t="s">
        <v>2861</v>
      </c>
      <c r="B1523" t="s">
        <v>2860</v>
      </c>
      <c r="C1523" t="s">
        <v>329</v>
      </c>
      <c r="E1523">
        <v>50</v>
      </c>
      <c r="F1523">
        <v>102.6</v>
      </c>
      <c r="G1523">
        <v>0</v>
      </c>
      <c r="H1523">
        <v>4</v>
      </c>
      <c r="I1523">
        <v>2</v>
      </c>
      <c r="J1523">
        <v>9</v>
      </c>
      <c r="K1523">
        <v>1641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1641</v>
      </c>
      <c r="R1523">
        <v>0</v>
      </c>
      <c r="S1523">
        <v>0</v>
      </c>
      <c r="T1523">
        <v>12</v>
      </c>
      <c r="U1523">
        <v>0</v>
      </c>
      <c r="V1523">
        <v>0</v>
      </c>
      <c r="W1523">
        <v>0</v>
      </c>
      <c r="X1523">
        <v>0</v>
      </c>
      <c r="Y1523">
        <v>5</v>
      </c>
      <c r="Z1523">
        <v>14</v>
      </c>
      <c r="AA1523">
        <v>35</v>
      </c>
      <c r="AB1523">
        <v>38</v>
      </c>
      <c r="AC1523">
        <v>0</v>
      </c>
      <c r="AD1523">
        <v>0</v>
      </c>
      <c r="AE1523">
        <v>104</v>
      </c>
      <c r="AF1523">
        <v>119</v>
      </c>
      <c r="AJ1523">
        <v>4.92</v>
      </c>
      <c r="AK1523" t="str">
        <f t="shared" si="23"/>
        <v>VE601-6200</v>
      </c>
    </row>
    <row r="1524" spans="1:37">
      <c r="A1524" t="s">
        <v>2864</v>
      </c>
      <c r="B1524" t="s">
        <v>2863</v>
      </c>
      <c r="C1524" t="s">
        <v>329</v>
      </c>
      <c r="E1524">
        <v>50</v>
      </c>
      <c r="F1524">
        <v>79.099999999999994</v>
      </c>
      <c r="G1524">
        <v>0</v>
      </c>
      <c r="H1524">
        <v>7</v>
      </c>
      <c r="I1524">
        <v>7</v>
      </c>
      <c r="J1524">
        <v>7</v>
      </c>
      <c r="K1524">
        <v>2214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2214</v>
      </c>
      <c r="R1524">
        <v>0</v>
      </c>
      <c r="S1524">
        <v>0</v>
      </c>
      <c r="T1524">
        <v>0</v>
      </c>
      <c r="U1524">
        <v>21</v>
      </c>
      <c r="V1524">
        <v>0</v>
      </c>
      <c r="W1524">
        <v>0</v>
      </c>
      <c r="X1524">
        <v>20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42</v>
      </c>
      <c r="AE1524">
        <v>83</v>
      </c>
      <c r="AF1524">
        <v>194</v>
      </c>
      <c r="AJ1524">
        <v>4.92</v>
      </c>
      <c r="AK1524" t="str">
        <f t="shared" si="23"/>
        <v>VS201-6200</v>
      </c>
    </row>
    <row r="1525" spans="1:37">
      <c r="A1525" t="s">
        <v>2865</v>
      </c>
      <c r="B1525" t="s">
        <v>2866</v>
      </c>
      <c r="C1525" t="s">
        <v>329</v>
      </c>
      <c r="E1525">
        <v>50</v>
      </c>
      <c r="F1525">
        <v>-0.2</v>
      </c>
      <c r="G1525">
        <v>90</v>
      </c>
      <c r="H1525">
        <v>104</v>
      </c>
      <c r="I1525">
        <v>52</v>
      </c>
      <c r="J1525">
        <v>41</v>
      </c>
      <c r="K1525">
        <v>0</v>
      </c>
      <c r="L1525">
        <v>13</v>
      </c>
      <c r="M1525">
        <v>0</v>
      </c>
      <c r="N1525">
        <v>75</v>
      </c>
      <c r="O1525">
        <v>0</v>
      </c>
      <c r="P1525">
        <v>0</v>
      </c>
      <c r="Q1525">
        <v>-75</v>
      </c>
      <c r="R1525">
        <v>0</v>
      </c>
      <c r="S1525">
        <v>0</v>
      </c>
      <c r="T1525">
        <v>311</v>
      </c>
      <c r="U1525">
        <v>0</v>
      </c>
      <c r="V1525">
        <v>0</v>
      </c>
      <c r="W1525">
        <v>1</v>
      </c>
      <c r="X1525">
        <v>0</v>
      </c>
      <c r="Y1525">
        <v>0</v>
      </c>
      <c r="Z1525">
        <v>0</v>
      </c>
      <c r="AA1525">
        <v>46</v>
      </c>
      <c r="AB1525">
        <v>49</v>
      </c>
      <c r="AC1525">
        <v>53</v>
      </c>
      <c r="AD1525">
        <v>28</v>
      </c>
      <c r="AE1525">
        <v>488</v>
      </c>
      <c r="AF1525">
        <v>288</v>
      </c>
      <c r="AJ1525">
        <v>4.05</v>
      </c>
      <c r="AK1525" t="str">
        <f t="shared" si="23"/>
        <v>VS202-5000</v>
      </c>
    </row>
    <row r="1526" spans="1:37">
      <c r="A1526" t="s">
        <v>2867</v>
      </c>
      <c r="B1526" t="s">
        <v>2866</v>
      </c>
      <c r="C1526" t="s">
        <v>329</v>
      </c>
      <c r="E1526">
        <v>50</v>
      </c>
      <c r="F1526">
        <v>2.8</v>
      </c>
      <c r="G1526">
        <v>0</v>
      </c>
      <c r="H1526">
        <v>18</v>
      </c>
      <c r="I1526">
        <v>74</v>
      </c>
      <c r="J1526">
        <v>48</v>
      </c>
      <c r="K1526">
        <v>196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196</v>
      </c>
      <c r="R1526">
        <v>0</v>
      </c>
      <c r="S1526">
        <v>0</v>
      </c>
      <c r="T1526">
        <v>53</v>
      </c>
      <c r="U1526">
        <v>0</v>
      </c>
      <c r="V1526">
        <v>168</v>
      </c>
      <c r="W1526">
        <v>186</v>
      </c>
      <c r="X1526">
        <v>37</v>
      </c>
      <c r="Y1526">
        <v>0</v>
      </c>
      <c r="Z1526">
        <v>69</v>
      </c>
      <c r="AA1526">
        <v>48</v>
      </c>
      <c r="AB1526">
        <v>13</v>
      </c>
      <c r="AC1526">
        <v>0</v>
      </c>
      <c r="AD1526">
        <v>0</v>
      </c>
      <c r="AE1526">
        <v>574</v>
      </c>
      <c r="AF1526">
        <v>257</v>
      </c>
      <c r="AJ1526">
        <v>4.63</v>
      </c>
      <c r="AK1526" t="str">
        <f t="shared" si="23"/>
        <v>VS202-6200</v>
      </c>
    </row>
    <row r="1527" spans="1:37">
      <c r="A1527" t="s">
        <v>7552</v>
      </c>
      <c r="B1527" t="s">
        <v>2869</v>
      </c>
      <c r="C1527" t="s">
        <v>329</v>
      </c>
      <c r="D1527" t="s">
        <v>666</v>
      </c>
      <c r="E1527">
        <v>50</v>
      </c>
      <c r="F1527">
        <v>-0.4</v>
      </c>
      <c r="G1527">
        <v>30</v>
      </c>
      <c r="H1527">
        <v>17</v>
      </c>
      <c r="I1527">
        <v>8</v>
      </c>
      <c r="J1527">
        <v>11</v>
      </c>
      <c r="K1527">
        <v>0</v>
      </c>
      <c r="L1527">
        <v>17</v>
      </c>
      <c r="M1527">
        <v>0</v>
      </c>
      <c r="N1527">
        <v>25</v>
      </c>
      <c r="O1527">
        <v>0</v>
      </c>
      <c r="P1527">
        <v>0</v>
      </c>
      <c r="Q1527">
        <v>-25</v>
      </c>
      <c r="R1527">
        <v>0</v>
      </c>
      <c r="S1527">
        <v>50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59</v>
      </c>
      <c r="AC1527">
        <v>12</v>
      </c>
      <c r="AD1527">
        <v>13</v>
      </c>
      <c r="AE1527">
        <v>134</v>
      </c>
      <c r="AF1527">
        <v>138</v>
      </c>
      <c r="AJ1527">
        <v>4.13</v>
      </c>
      <c r="AK1527" t="str">
        <f t="shared" si="23"/>
        <v>VS203-5000</v>
      </c>
    </row>
    <row r="1528" spans="1:37">
      <c r="A1528" t="s">
        <v>2868</v>
      </c>
      <c r="B1528" t="s">
        <v>2869</v>
      </c>
      <c r="C1528" t="s">
        <v>329</v>
      </c>
      <c r="D1528" t="s">
        <v>666</v>
      </c>
      <c r="E1528">
        <v>50</v>
      </c>
      <c r="F1528">
        <v>0</v>
      </c>
      <c r="G1528">
        <v>0</v>
      </c>
      <c r="H1528">
        <v>0</v>
      </c>
      <c r="I1528">
        <v>0</v>
      </c>
      <c r="J1528">
        <v>12</v>
      </c>
      <c r="K1528">
        <v>165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165</v>
      </c>
      <c r="R1528">
        <v>0</v>
      </c>
      <c r="S1528">
        <v>0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79</v>
      </c>
      <c r="Z1528">
        <v>18</v>
      </c>
      <c r="AA1528">
        <v>46</v>
      </c>
      <c r="AB1528">
        <v>0</v>
      </c>
      <c r="AC1528">
        <v>0</v>
      </c>
      <c r="AD1528">
        <v>0</v>
      </c>
      <c r="AE1528">
        <v>143</v>
      </c>
      <c r="AF1528">
        <v>100</v>
      </c>
      <c r="AJ1528">
        <v>4.75</v>
      </c>
      <c r="AK1528" t="str">
        <f t="shared" si="23"/>
        <v>VS203-6200</v>
      </c>
    </row>
    <row r="1529" spans="1:37">
      <c r="A1529" t="s">
        <v>2873</v>
      </c>
      <c r="B1529" t="s">
        <v>2871</v>
      </c>
      <c r="C1529" t="s">
        <v>329</v>
      </c>
      <c r="D1529" t="s">
        <v>2872</v>
      </c>
      <c r="E1529">
        <v>50</v>
      </c>
      <c r="F1529">
        <v>9.6</v>
      </c>
      <c r="G1529">
        <v>0</v>
      </c>
      <c r="H1529">
        <v>13</v>
      </c>
      <c r="I1529">
        <v>7</v>
      </c>
      <c r="J1529">
        <v>11</v>
      </c>
      <c r="K1529">
        <v>511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511</v>
      </c>
      <c r="R1529">
        <v>0</v>
      </c>
      <c r="S1529">
        <v>25</v>
      </c>
      <c r="T1529">
        <v>15</v>
      </c>
      <c r="U1529">
        <v>0</v>
      </c>
      <c r="V1529">
        <v>0</v>
      </c>
      <c r="W1529">
        <v>0</v>
      </c>
      <c r="X1529">
        <v>0</v>
      </c>
      <c r="Y1529">
        <v>27</v>
      </c>
      <c r="Z1529">
        <v>37</v>
      </c>
      <c r="AA1529">
        <v>0</v>
      </c>
      <c r="AB1529">
        <v>30</v>
      </c>
      <c r="AC1529">
        <v>0</v>
      </c>
      <c r="AD1529">
        <v>0</v>
      </c>
      <c r="AE1529">
        <v>134</v>
      </c>
      <c r="AF1529">
        <v>233</v>
      </c>
      <c r="AJ1529">
        <v>4.92</v>
      </c>
      <c r="AK1529" t="str">
        <f t="shared" si="23"/>
        <v>VS502-6200</v>
      </c>
    </row>
    <row r="1530" spans="1:37">
      <c r="A1530" t="s">
        <v>2874</v>
      </c>
      <c r="B1530" t="s">
        <v>2875</v>
      </c>
      <c r="C1530" t="s">
        <v>329</v>
      </c>
      <c r="E1530">
        <v>50</v>
      </c>
      <c r="F1530">
        <v>-0.3</v>
      </c>
      <c r="G1530">
        <v>17</v>
      </c>
      <c r="H1530">
        <v>14</v>
      </c>
      <c r="I1530">
        <v>25</v>
      </c>
      <c r="J1530">
        <v>33</v>
      </c>
      <c r="K1530">
        <v>0</v>
      </c>
      <c r="L1530">
        <v>29</v>
      </c>
      <c r="M1530">
        <v>0</v>
      </c>
      <c r="N1530">
        <v>14</v>
      </c>
      <c r="O1530">
        <v>0</v>
      </c>
      <c r="P1530">
        <v>0</v>
      </c>
      <c r="Q1530">
        <v>-14</v>
      </c>
      <c r="R1530">
        <v>0</v>
      </c>
      <c r="S1530">
        <v>25</v>
      </c>
      <c r="T1530">
        <v>18</v>
      </c>
      <c r="U1530">
        <v>0</v>
      </c>
      <c r="V1530">
        <v>0</v>
      </c>
      <c r="W1530">
        <v>0</v>
      </c>
      <c r="X1530">
        <v>108</v>
      </c>
      <c r="Y1530">
        <v>74</v>
      </c>
      <c r="Z1530">
        <v>47</v>
      </c>
      <c r="AA1530">
        <v>28</v>
      </c>
      <c r="AB1530">
        <v>14</v>
      </c>
      <c r="AC1530">
        <v>12</v>
      </c>
      <c r="AD1530">
        <v>64</v>
      </c>
      <c r="AE1530">
        <v>390</v>
      </c>
      <c r="AF1530">
        <v>150</v>
      </c>
      <c r="AJ1530">
        <v>4.13</v>
      </c>
      <c r="AK1530" t="str">
        <f t="shared" si="23"/>
        <v>VS601-5000</v>
      </c>
    </row>
    <row r="1531" spans="1:37">
      <c r="A1531" t="s">
        <v>2876</v>
      </c>
      <c r="B1531" t="s">
        <v>2875</v>
      </c>
      <c r="C1531" t="s">
        <v>329</v>
      </c>
      <c r="E1531">
        <v>50</v>
      </c>
      <c r="F1531">
        <v>37.299999999999997</v>
      </c>
      <c r="G1531">
        <v>0</v>
      </c>
      <c r="H1531">
        <v>9</v>
      </c>
      <c r="I1531">
        <v>9</v>
      </c>
      <c r="J1531">
        <v>9</v>
      </c>
      <c r="K1531">
        <v>1294</v>
      </c>
      <c r="L1531">
        <v>26</v>
      </c>
      <c r="M1531">
        <v>0</v>
      </c>
      <c r="N1531">
        <v>0</v>
      </c>
      <c r="O1531">
        <v>0</v>
      </c>
      <c r="P1531">
        <v>0</v>
      </c>
      <c r="Q1531">
        <v>1294</v>
      </c>
      <c r="R1531">
        <v>0</v>
      </c>
      <c r="S1531">
        <v>0</v>
      </c>
      <c r="T1531">
        <v>26</v>
      </c>
      <c r="U1531">
        <v>0</v>
      </c>
      <c r="V1531">
        <v>27</v>
      </c>
      <c r="W1531">
        <v>0</v>
      </c>
      <c r="X1531">
        <v>0</v>
      </c>
      <c r="Y1531">
        <v>8</v>
      </c>
      <c r="Z1531">
        <v>48</v>
      </c>
      <c r="AA1531">
        <v>0</v>
      </c>
      <c r="AB1531">
        <v>0</v>
      </c>
      <c r="AC1531">
        <v>0</v>
      </c>
      <c r="AD1531">
        <v>0</v>
      </c>
      <c r="AE1531">
        <v>109</v>
      </c>
      <c r="AF1531">
        <v>287</v>
      </c>
      <c r="AJ1531">
        <v>4.92</v>
      </c>
      <c r="AK1531" t="str">
        <f t="shared" si="23"/>
        <v>VS601-6200</v>
      </c>
    </row>
    <row r="1532" spans="1:37">
      <c r="A1532" t="s">
        <v>2877</v>
      </c>
      <c r="B1532" t="s">
        <v>2878</v>
      </c>
      <c r="C1532" t="s">
        <v>329</v>
      </c>
      <c r="E1532">
        <v>50</v>
      </c>
      <c r="F1532">
        <v>0</v>
      </c>
      <c r="G1532">
        <v>0</v>
      </c>
      <c r="H1532">
        <v>13</v>
      </c>
      <c r="I1532">
        <v>23</v>
      </c>
      <c r="J1532">
        <v>26</v>
      </c>
      <c r="K1532">
        <v>0</v>
      </c>
      <c r="L1532">
        <v>3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>
        <v>0</v>
      </c>
      <c r="T1532">
        <v>20</v>
      </c>
      <c r="U1532">
        <v>19</v>
      </c>
      <c r="V1532">
        <v>0</v>
      </c>
      <c r="W1532">
        <v>16</v>
      </c>
      <c r="X1532">
        <v>82</v>
      </c>
      <c r="Y1532">
        <v>82</v>
      </c>
      <c r="Z1532">
        <v>0</v>
      </c>
      <c r="AA1532">
        <v>0</v>
      </c>
      <c r="AB1532">
        <v>45</v>
      </c>
      <c r="AC1532">
        <v>23</v>
      </c>
      <c r="AD1532">
        <v>21</v>
      </c>
      <c r="AE1532">
        <v>308</v>
      </c>
      <c r="AF1532">
        <v>438</v>
      </c>
      <c r="AJ1532">
        <v>4.92</v>
      </c>
      <c r="AK1532" t="str">
        <f t="shared" si="23"/>
        <v>VS602-5000</v>
      </c>
    </row>
    <row r="1533" spans="1:37">
      <c r="A1533" t="s">
        <v>2879</v>
      </c>
      <c r="B1533" t="s">
        <v>2878</v>
      </c>
      <c r="C1533" t="s">
        <v>329</v>
      </c>
      <c r="E1533">
        <v>50</v>
      </c>
      <c r="F1533">
        <v>11.3</v>
      </c>
      <c r="G1533">
        <v>0</v>
      </c>
      <c r="H1533">
        <v>23</v>
      </c>
      <c r="I1533">
        <v>15</v>
      </c>
      <c r="J1533">
        <v>21</v>
      </c>
      <c r="K1533">
        <v>1023</v>
      </c>
      <c r="L1533">
        <v>9</v>
      </c>
      <c r="M1533">
        <v>0</v>
      </c>
      <c r="N1533">
        <v>0</v>
      </c>
      <c r="O1533">
        <v>0</v>
      </c>
      <c r="P1533">
        <v>0</v>
      </c>
      <c r="Q1533">
        <v>1023</v>
      </c>
      <c r="R1533">
        <v>0</v>
      </c>
      <c r="S1533">
        <v>68</v>
      </c>
      <c r="T1533">
        <v>0</v>
      </c>
      <c r="U1533">
        <v>0</v>
      </c>
      <c r="V1533">
        <v>0</v>
      </c>
      <c r="W1533">
        <v>22</v>
      </c>
      <c r="X1533">
        <v>0</v>
      </c>
      <c r="Y1533">
        <v>0</v>
      </c>
      <c r="Z1533">
        <v>44</v>
      </c>
      <c r="AA1533">
        <v>28</v>
      </c>
      <c r="AB1533">
        <v>46</v>
      </c>
      <c r="AC1533">
        <v>46</v>
      </c>
      <c r="AD1533">
        <v>0</v>
      </c>
      <c r="AE1533">
        <v>254</v>
      </c>
      <c r="AF1533">
        <v>1064</v>
      </c>
      <c r="AJ1533">
        <v>4.92</v>
      </c>
      <c r="AK1533" t="str">
        <f t="shared" si="23"/>
        <v>VS602-6200</v>
      </c>
    </row>
    <row r="1534" spans="1:37">
      <c r="A1534" t="s">
        <v>2880</v>
      </c>
      <c r="B1534" t="s">
        <v>2881</v>
      </c>
      <c r="C1534" t="s">
        <v>313</v>
      </c>
      <c r="E1534">
        <v>43</v>
      </c>
      <c r="F1534">
        <v>22.2</v>
      </c>
      <c r="G1534">
        <v>42</v>
      </c>
      <c r="H1534">
        <v>11</v>
      </c>
      <c r="I1534">
        <v>7</v>
      </c>
      <c r="J1534">
        <v>14</v>
      </c>
      <c r="K1534">
        <v>983</v>
      </c>
      <c r="L1534">
        <v>40</v>
      </c>
      <c r="M1534">
        <v>0</v>
      </c>
      <c r="N1534">
        <v>35</v>
      </c>
      <c r="O1534">
        <v>0</v>
      </c>
      <c r="P1534">
        <v>0</v>
      </c>
      <c r="Q1534">
        <v>948</v>
      </c>
      <c r="R1534">
        <v>32</v>
      </c>
      <c r="S1534">
        <v>32</v>
      </c>
      <c r="T1534">
        <v>0</v>
      </c>
      <c r="U1534">
        <v>0</v>
      </c>
      <c r="V1534">
        <v>12</v>
      </c>
      <c r="W1534">
        <v>0</v>
      </c>
      <c r="X1534">
        <v>0</v>
      </c>
      <c r="Y1534">
        <v>0</v>
      </c>
      <c r="Z1534">
        <v>53</v>
      </c>
      <c r="AA1534">
        <v>10</v>
      </c>
      <c r="AB1534">
        <v>30</v>
      </c>
      <c r="AC1534">
        <v>0</v>
      </c>
      <c r="AD1534">
        <v>25</v>
      </c>
      <c r="AE1534">
        <v>162</v>
      </c>
      <c r="AF1534">
        <v>201</v>
      </c>
      <c r="AJ1534">
        <v>5.51</v>
      </c>
      <c r="AK1534" t="str">
        <f t="shared" si="23"/>
        <v>VU601-5000</v>
      </c>
    </row>
    <row r="1535" spans="1:37">
      <c r="A1535" t="s">
        <v>2882</v>
      </c>
      <c r="B1535" t="s">
        <v>2881</v>
      </c>
      <c r="C1535" t="s">
        <v>313</v>
      </c>
      <c r="E1535">
        <v>43</v>
      </c>
      <c r="F1535">
        <v>7.4</v>
      </c>
      <c r="G1535">
        <v>0</v>
      </c>
      <c r="H1535">
        <v>29</v>
      </c>
      <c r="I1535">
        <v>15</v>
      </c>
      <c r="J1535">
        <v>14</v>
      </c>
      <c r="K1535">
        <v>873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873</v>
      </c>
      <c r="R1535">
        <v>0</v>
      </c>
      <c r="S1535">
        <v>59</v>
      </c>
      <c r="T1535">
        <v>18</v>
      </c>
      <c r="U1535">
        <v>11</v>
      </c>
      <c r="V1535">
        <v>0</v>
      </c>
      <c r="W1535">
        <v>0</v>
      </c>
      <c r="X1535">
        <v>0</v>
      </c>
      <c r="Y1535">
        <v>10</v>
      </c>
      <c r="Z1535">
        <v>0</v>
      </c>
      <c r="AA1535">
        <v>7</v>
      </c>
      <c r="AB1535">
        <v>28</v>
      </c>
      <c r="AC1535">
        <v>21</v>
      </c>
      <c r="AD1535">
        <v>12</v>
      </c>
      <c r="AE1535">
        <v>166</v>
      </c>
      <c r="AF1535">
        <v>219</v>
      </c>
      <c r="AJ1535">
        <v>5.26</v>
      </c>
      <c r="AK1535" t="str">
        <f t="shared" si="23"/>
        <v>VU601-6200</v>
      </c>
    </row>
    <row r="1536" spans="1:37">
      <c r="A1536" t="s">
        <v>2883</v>
      </c>
      <c r="B1536" t="s">
        <v>2884</v>
      </c>
      <c r="C1536" t="s">
        <v>329</v>
      </c>
      <c r="D1536" t="s">
        <v>2885</v>
      </c>
      <c r="E1536">
        <v>50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557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557</v>
      </c>
      <c r="R1536">
        <v>0</v>
      </c>
      <c r="S1536">
        <v>0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J1536">
        <v>4.22</v>
      </c>
      <c r="AK1536" t="str">
        <f t="shared" si="23"/>
        <v>W4511-6200</v>
      </c>
    </row>
    <row r="1537" spans="1:37">
      <c r="A1537" t="s">
        <v>2886</v>
      </c>
      <c r="B1537" t="s">
        <v>2887</v>
      </c>
      <c r="C1537" t="s">
        <v>329</v>
      </c>
      <c r="D1537" t="s">
        <v>6427</v>
      </c>
      <c r="E1537">
        <v>50</v>
      </c>
      <c r="F1537">
        <v>0</v>
      </c>
      <c r="G1537">
        <v>0</v>
      </c>
      <c r="H1537">
        <v>27</v>
      </c>
      <c r="I1537">
        <v>13</v>
      </c>
      <c r="J1537">
        <v>27</v>
      </c>
      <c r="K1537">
        <v>0</v>
      </c>
      <c r="L1537">
        <v>71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80</v>
      </c>
      <c r="V1537">
        <v>0</v>
      </c>
      <c r="W1537">
        <v>0</v>
      </c>
      <c r="X1537">
        <v>0</v>
      </c>
      <c r="Y1537">
        <v>0</v>
      </c>
      <c r="Z1537">
        <v>147</v>
      </c>
      <c r="AA1537">
        <v>0</v>
      </c>
      <c r="AB1537">
        <v>0</v>
      </c>
      <c r="AC1537">
        <v>95</v>
      </c>
      <c r="AD1537">
        <v>0</v>
      </c>
      <c r="AE1537">
        <v>322</v>
      </c>
      <c r="AF1537">
        <v>584</v>
      </c>
      <c r="AJ1537">
        <v>4.75</v>
      </c>
      <c r="AK1537" t="str">
        <f t="shared" si="23"/>
        <v>W7270-5000</v>
      </c>
    </row>
    <row r="1538" spans="1:37">
      <c r="A1538" t="s">
        <v>2888</v>
      </c>
      <c r="B1538" t="s">
        <v>2887</v>
      </c>
      <c r="C1538" t="s">
        <v>329</v>
      </c>
      <c r="D1538" t="s">
        <v>6427</v>
      </c>
      <c r="E1538">
        <v>50</v>
      </c>
      <c r="F1538">
        <v>0</v>
      </c>
      <c r="G1538">
        <v>0</v>
      </c>
      <c r="H1538">
        <v>46</v>
      </c>
      <c r="I1538">
        <v>31</v>
      </c>
      <c r="J1538">
        <v>15</v>
      </c>
      <c r="K1538">
        <v>0</v>
      </c>
      <c r="L1538">
        <v>7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139</v>
      </c>
      <c r="V1538">
        <v>46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185</v>
      </c>
      <c r="AF1538">
        <v>978</v>
      </c>
      <c r="AJ1538">
        <v>4.92</v>
      </c>
      <c r="AK1538" t="str">
        <f t="shared" si="23"/>
        <v>W7270-6200</v>
      </c>
    </row>
    <row r="1539" spans="1:37">
      <c r="A1539" t="s">
        <v>2889</v>
      </c>
      <c r="B1539" t="s">
        <v>2890</v>
      </c>
      <c r="C1539" t="s">
        <v>318</v>
      </c>
      <c r="D1539" t="s">
        <v>2891</v>
      </c>
      <c r="E1539">
        <v>50</v>
      </c>
      <c r="F1539">
        <v>0</v>
      </c>
      <c r="G1539">
        <v>0</v>
      </c>
      <c r="H1539">
        <v>27</v>
      </c>
      <c r="I1539">
        <v>18</v>
      </c>
      <c r="J1539">
        <v>52</v>
      </c>
      <c r="K1539">
        <v>0</v>
      </c>
      <c r="L1539">
        <v>19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0</v>
      </c>
      <c r="S1539">
        <v>16</v>
      </c>
      <c r="T1539">
        <v>40</v>
      </c>
      <c r="U1539">
        <v>26</v>
      </c>
      <c r="V1539">
        <v>0</v>
      </c>
      <c r="W1539">
        <v>9</v>
      </c>
      <c r="X1539">
        <v>14</v>
      </c>
      <c r="Y1539">
        <v>156</v>
      </c>
      <c r="Z1539">
        <v>41</v>
      </c>
      <c r="AA1539">
        <v>0</v>
      </c>
      <c r="AB1539">
        <v>62</v>
      </c>
      <c r="AC1539">
        <v>114</v>
      </c>
      <c r="AD1539">
        <v>141</v>
      </c>
      <c r="AE1539">
        <v>619</v>
      </c>
      <c r="AF1539">
        <v>587</v>
      </c>
      <c r="AJ1539">
        <v>4.79</v>
      </c>
      <c r="AK1539" t="str">
        <f t="shared" si="23"/>
        <v>W8110-5000</v>
      </c>
    </row>
    <row r="1540" spans="1:37">
      <c r="A1540" t="s">
        <v>2892</v>
      </c>
      <c r="B1540" t="s">
        <v>2890</v>
      </c>
      <c r="C1540" t="s">
        <v>318</v>
      </c>
      <c r="D1540" t="s">
        <v>5300</v>
      </c>
      <c r="E1540">
        <v>50</v>
      </c>
      <c r="F1540">
        <v>91.6</v>
      </c>
      <c r="G1540">
        <v>0</v>
      </c>
      <c r="H1540">
        <v>6</v>
      </c>
      <c r="I1540">
        <v>3</v>
      </c>
      <c r="J1540">
        <v>20</v>
      </c>
      <c r="K1540">
        <v>2321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2321</v>
      </c>
      <c r="R1540">
        <v>0</v>
      </c>
      <c r="S1540">
        <v>0</v>
      </c>
      <c r="T1540">
        <v>0</v>
      </c>
      <c r="U1540">
        <v>19</v>
      </c>
      <c r="V1540">
        <v>0</v>
      </c>
      <c r="W1540">
        <v>0</v>
      </c>
      <c r="X1540">
        <v>0</v>
      </c>
      <c r="Y1540">
        <v>86</v>
      </c>
      <c r="Z1540">
        <v>0</v>
      </c>
      <c r="AA1540">
        <v>39</v>
      </c>
      <c r="AB1540">
        <v>35</v>
      </c>
      <c r="AC1540">
        <v>0</v>
      </c>
      <c r="AD1540">
        <v>64</v>
      </c>
      <c r="AE1540">
        <v>243</v>
      </c>
      <c r="AF1540">
        <v>235</v>
      </c>
      <c r="AJ1540">
        <v>4.79</v>
      </c>
      <c r="AK1540" t="str">
        <f t="shared" si="23"/>
        <v>W8110-6200</v>
      </c>
    </row>
    <row r="1541" spans="1:37">
      <c r="A1541" t="s">
        <v>2893</v>
      </c>
      <c r="B1541" t="s">
        <v>2894</v>
      </c>
      <c r="C1541" t="s">
        <v>1027</v>
      </c>
      <c r="E1541">
        <v>40</v>
      </c>
      <c r="F1541">
        <v>7.4</v>
      </c>
      <c r="G1541">
        <v>107</v>
      </c>
      <c r="H1541">
        <v>68</v>
      </c>
      <c r="I1541">
        <v>160</v>
      </c>
      <c r="J1541">
        <v>201</v>
      </c>
      <c r="K1541">
        <v>2118</v>
      </c>
      <c r="L1541">
        <v>73</v>
      </c>
      <c r="M1541">
        <v>0</v>
      </c>
      <c r="N1541">
        <v>89</v>
      </c>
      <c r="O1541">
        <v>0</v>
      </c>
      <c r="P1541">
        <v>0</v>
      </c>
      <c r="Q1541">
        <v>2029</v>
      </c>
      <c r="R1541">
        <v>0</v>
      </c>
      <c r="S1541">
        <v>6</v>
      </c>
      <c r="T1541">
        <v>0</v>
      </c>
      <c r="U1541">
        <v>199</v>
      </c>
      <c r="V1541">
        <v>0</v>
      </c>
      <c r="W1541">
        <v>144</v>
      </c>
      <c r="X1541">
        <v>610</v>
      </c>
      <c r="Y1541">
        <v>271</v>
      </c>
      <c r="Z1541">
        <v>386</v>
      </c>
      <c r="AA1541">
        <v>225</v>
      </c>
      <c r="AB1541">
        <v>305</v>
      </c>
      <c r="AC1541">
        <v>80</v>
      </c>
      <c r="AD1541">
        <v>190</v>
      </c>
      <c r="AE1541">
        <v>2416</v>
      </c>
      <c r="AF1541">
        <v>1566</v>
      </c>
      <c r="AJ1541">
        <v>4.5999999999999996</v>
      </c>
      <c r="AK1541" t="str">
        <f t="shared" ref="AK1541:AK1604" si="24">MID(A1541,4,10)</f>
        <v>WA300-5000</v>
      </c>
    </row>
    <row r="1542" spans="1:37">
      <c r="A1542" t="s">
        <v>2895</v>
      </c>
      <c r="B1542" t="s">
        <v>2894</v>
      </c>
      <c r="C1542" t="s">
        <v>1027</v>
      </c>
      <c r="E1542">
        <v>40</v>
      </c>
      <c r="F1542">
        <v>10.5</v>
      </c>
      <c r="G1542">
        <v>26</v>
      </c>
      <c r="H1542">
        <v>39</v>
      </c>
      <c r="I1542">
        <v>41</v>
      </c>
      <c r="J1542">
        <v>94</v>
      </c>
      <c r="K1542">
        <v>1650</v>
      </c>
      <c r="L1542">
        <v>56</v>
      </c>
      <c r="M1542">
        <v>0</v>
      </c>
      <c r="N1542">
        <v>21</v>
      </c>
      <c r="O1542">
        <v>0</v>
      </c>
      <c r="P1542">
        <v>0</v>
      </c>
      <c r="Q1542">
        <v>1629</v>
      </c>
      <c r="R1542">
        <v>0</v>
      </c>
      <c r="S1542">
        <v>79</v>
      </c>
      <c r="T1542">
        <v>0</v>
      </c>
      <c r="U1542">
        <v>37</v>
      </c>
      <c r="V1542">
        <v>20</v>
      </c>
      <c r="W1542">
        <v>72</v>
      </c>
      <c r="X1542">
        <v>39</v>
      </c>
      <c r="Y1542">
        <v>411</v>
      </c>
      <c r="Z1542">
        <v>16</v>
      </c>
      <c r="AA1542">
        <v>7</v>
      </c>
      <c r="AB1542">
        <v>443</v>
      </c>
      <c r="AC1542">
        <v>0</v>
      </c>
      <c r="AD1542">
        <v>7</v>
      </c>
      <c r="AE1542">
        <v>1131</v>
      </c>
      <c r="AF1542">
        <v>419</v>
      </c>
      <c r="AJ1542">
        <v>5.69</v>
      </c>
      <c r="AK1542" t="str">
        <f t="shared" si="24"/>
        <v>WA300-6200</v>
      </c>
    </row>
    <row r="1543" spans="1:37">
      <c r="A1543" t="s">
        <v>2896</v>
      </c>
      <c r="B1543" t="s">
        <v>2897</v>
      </c>
      <c r="C1543" t="s">
        <v>329</v>
      </c>
      <c r="D1543" t="s">
        <v>2898</v>
      </c>
      <c r="E1543">
        <v>50</v>
      </c>
      <c r="F1543">
        <v>289.3</v>
      </c>
      <c r="G1543">
        <v>18</v>
      </c>
      <c r="H1543">
        <v>1</v>
      </c>
      <c r="I1543">
        <v>1</v>
      </c>
      <c r="J1543">
        <v>0</v>
      </c>
      <c r="K1543">
        <v>1558</v>
      </c>
      <c r="L1543">
        <v>17</v>
      </c>
      <c r="M1543">
        <v>0</v>
      </c>
      <c r="N1543">
        <v>15</v>
      </c>
      <c r="O1543">
        <v>0</v>
      </c>
      <c r="P1543">
        <v>0</v>
      </c>
      <c r="Q1543">
        <v>1543</v>
      </c>
      <c r="R1543">
        <v>19</v>
      </c>
      <c r="S1543">
        <v>4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4</v>
      </c>
      <c r="AF1543">
        <v>187</v>
      </c>
      <c r="AJ1543">
        <v>3.46</v>
      </c>
      <c r="AK1543" t="str">
        <f t="shared" si="24"/>
        <v>WA301-5000</v>
      </c>
    </row>
    <row r="1544" spans="1:37">
      <c r="A1544" t="s">
        <v>2899</v>
      </c>
      <c r="B1544" t="s">
        <v>2900</v>
      </c>
      <c r="C1544" t="s">
        <v>329</v>
      </c>
      <c r="D1544" t="s">
        <v>2898</v>
      </c>
      <c r="E1544">
        <v>50</v>
      </c>
      <c r="F1544">
        <v>144.6</v>
      </c>
      <c r="G1544">
        <v>0</v>
      </c>
      <c r="H1544">
        <v>4</v>
      </c>
      <c r="I1544">
        <v>2</v>
      </c>
      <c r="J1544">
        <v>1</v>
      </c>
      <c r="K1544">
        <v>2121</v>
      </c>
      <c r="L1544">
        <v>58</v>
      </c>
      <c r="M1544">
        <v>0</v>
      </c>
      <c r="N1544">
        <v>0</v>
      </c>
      <c r="O1544">
        <v>0</v>
      </c>
      <c r="P1544">
        <v>0</v>
      </c>
      <c r="Q1544">
        <v>2121</v>
      </c>
      <c r="R1544">
        <v>0</v>
      </c>
      <c r="S1544">
        <v>11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11</v>
      </c>
      <c r="AF1544">
        <v>169</v>
      </c>
      <c r="AJ1544">
        <v>6.14</v>
      </c>
      <c r="AK1544" t="str">
        <f t="shared" si="24"/>
        <v>WA301-6200</v>
      </c>
    </row>
    <row r="1545" spans="1:37">
      <c r="A1545" t="s">
        <v>5426</v>
      </c>
      <c r="B1545" t="s">
        <v>5427</v>
      </c>
      <c r="C1545" t="s">
        <v>329</v>
      </c>
      <c r="D1545" t="s">
        <v>2901</v>
      </c>
      <c r="E1545">
        <v>50</v>
      </c>
      <c r="F1545">
        <v>0</v>
      </c>
      <c r="G1545">
        <v>4</v>
      </c>
      <c r="H1545">
        <v>44</v>
      </c>
      <c r="I1545">
        <v>22</v>
      </c>
      <c r="J1545">
        <v>12</v>
      </c>
      <c r="K1545">
        <v>0</v>
      </c>
      <c r="L1545">
        <v>0</v>
      </c>
      <c r="M1545">
        <v>0</v>
      </c>
      <c r="N1545">
        <v>4</v>
      </c>
      <c r="O1545">
        <v>0</v>
      </c>
      <c r="P1545">
        <v>0</v>
      </c>
      <c r="Q1545">
        <v>-4</v>
      </c>
      <c r="R1545">
        <v>0</v>
      </c>
      <c r="S1545">
        <v>0</v>
      </c>
      <c r="T1545">
        <v>24</v>
      </c>
      <c r="U1545">
        <v>108</v>
      </c>
      <c r="V1545">
        <v>0</v>
      </c>
      <c r="W1545">
        <v>0</v>
      </c>
      <c r="X1545">
        <v>0</v>
      </c>
      <c r="Y1545">
        <v>7</v>
      </c>
      <c r="Z1545">
        <v>0</v>
      </c>
      <c r="AA1545">
        <v>0</v>
      </c>
      <c r="AB1545">
        <v>0</v>
      </c>
      <c r="AC1545">
        <v>4</v>
      </c>
      <c r="AD1545">
        <v>0</v>
      </c>
      <c r="AE1545">
        <v>143</v>
      </c>
      <c r="AF1545">
        <v>16</v>
      </c>
      <c r="AJ1545">
        <v>0</v>
      </c>
      <c r="AK1545" t="str">
        <f t="shared" si="24"/>
        <v>WA302-3700</v>
      </c>
    </row>
    <row r="1546" spans="1:37">
      <c r="A1546" t="s">
        <v>2902</v>
      </c>
      <c r="B1546" t="s">
        <v>2903</v>
      </c>
      <c r="C1546" t="s">
        <v>329</v>
      </c>
      <c r="D1546" t="s">
        <v>2901</v>
      </c>
      <c r="E1546">
        <v>50</v>
      </c>
      <c r="F1546">
        <v>4.5999999999999996</v>
      </c>
      <c r="G1546">
        <v>0</v>
      </c>
      <c r="H1546">
        <v>59</v>
      </c>
      <c r="I1546">
        <v>102</v>
      </c>
      <c r="J1546">
        <v>108</v>
      </c>
      <c r="K1546">
        <v>1080</v>
      </c>
      <c r="L1546">
        <v>206</v>
      </c>
      <c r="M1546">
        <v>0</v>
      </c>
      <c r="N1546">
        <v>0</v>
      </c>
      <c r="O1546">
        <v>0</v>
      </c>
      <c r="P1546">
        <v>0</v>
      </c>
      <c r="Q1546">
        <v>1080</v>
      </c>
      <c r="R1546">
        <v>36</v>
      </c>
      <c r="S1546">
        <v>109</v>
      </c>
      <c r="T1546">
        <v>67</v>
      </c>
      <c r="U1546">
        <v>0</v>
      </c>
      <c r="V1546">
        <v>195</v>
      </c>
      <c r="W1546">
        <v>91</v>
      </c>
      <c r="X1546">
        <v>148</v>
      </c>
      <c r="Y1546">
        <v>239</v>
      </c>
      <c r="Z1546">
        <v>0</v>
      </c>
      <c r="AA1546">
        <v>180</v>
      </c>
      <c r="AB1546">
        <v>74</v>
      </c>
      <c r="AC1546">
        <v>193</v>
      </c>
      <c r="AD1546">
        <v>0</v>
      </c>
      <c r="AE1546">
        <v>1296</v>
      </c>
      <c r="AF1546">
        <v>1331</v>
      </c>
      <c r="AJ1546">
        <v>4.63</v>
      </c>
      <c r="AK1546" t="str">
        <f t="shared" si="24"/>
        <v>WA302-5000</v>
      </c>
    </row>
    <row r="1547" spans="1:37">
      <c r="A1547" t="s">
        <v>2904</v>
      </c>
      <c r="B1547" t="s">
        <v>2905</v>
      </c>
      <c r="C1547" t="s">
        <v>329</v>
      </c>
      <c r="D1547" t="s">
        <v>2906</v>
      </c>
      <c r="E1547">
        <v>50</v>
      </c>
      <c r="F1547">
        <v>6.5</v>
      </c>
      <c r="G1547">
        <v>0</v>
      </c>
      <c r="H1547">
        <v>73</v>
      </c>
      <c r="I1547">
        <v>73</v>
      </c>
      <c r="J1547">
        <v>98</v>
      </c>
      <c r="K1547">
        <v>1887</v>
      </c>
      <c r="L1547">
        <v>31</v>
      </c>
      <c r="M1547">
        <v>0</v>
      </c>
      <c r="N1547">
        <v>0</v>
      </c>
      <c r="O1547">
        <v>0</v>
      </c>
      <c r="P1547">
        <v>0</v>
      </c>
      <c r="Q1547">
        <v>1887</v>
      </c>
      <c r="R1547">
        <v>0</v>
      </c>
      <c r="S1547">
        <v>112</v>
      </c>
      <c r="T1547">
        <v>19</v>
      </c>
      <c r="U1547">
        <v>87</v>
      </c>
      <c r="V1547">
        <v>111</v>
      </c>
      <c r="W1547">
        <v>24</v>
      </c>
      <c r="X1547">
        <v>82</v>
      </c>
      <c r="Y1547">
        <v>143</v>
      </c>
      <c r="Z1547">
        <v>0</v>
      </c>
      <c r="AA1547">
        <v>375</v>
      </c>
      <c r="AB1547">
        <v>178</v>
      </c>
      <c r="AC1547">
        <v>50</v>
      </c>
      <c r="AD1547">
        <v>0</v>
      </c>
      <c r="AE1547">
        <v>1181</v>
      </c>
      <c r="AF1547">
        <v>276</v>
      </c>
      <c r="AJ1547">
        <v>4.63</v>
      </c>
      <c r="AK1547" t="str">
        <f t="shared" si="24"/>
        <v>WA302-6200</v>
      </c>
    </row>
    <row r="1548" spans="1:37">
      <c r="A1548" t="s">
        <v>2907</v>
      </c>
      <c r="B1548" t="s">
        <v>2908</v>
      </c>
      <c r="C1548" t="s">
        <v>329</v>
      </c>
      <c r="D1548" t="s">
        <v>2909</v>
      </c>
      <c r="E1548">
        <v>50</v>
      </c>
      <c r="F1548">
        <v>-0.3</v>
      </c>
      <c r="G1548">
        <v>341</v>
      </c>
      <c r="H1548">
        <v>279</v>
      </c>
      <c r="I1548">
        <v>218</v>
      </c>
      <c r="J1548">
        <v>226</v>
      </c>
      <c r="K1548">
        <v>0</v>
      </c>
      <c r="L1548">
        <v>17</v>
      </c>
      <c r="M1548">
        <v>0</v>
      </c>
      <c r="N1548">
        <v>284</v>
      </c>
      <c r="O1548">
        <v>0</v>
      </c>
      <c r="P1548">
        <v>0</v>
      </c>
      <c r="Q1548">
        <v>-284</v>
      </c>
      <c r="R1548">
        <v>0</v>
      </c>
      <c r="S1548">
        <v>0</v>
      </c>
      <c r="T1548">
        <v>258</v>
      </c>
      <c r="U1548">
        <v>579</v>
      </c>
      <c r="V1548">
        <v>241</v>
      </c>
      <c r="W1548">
        <v>13</v>
      </c>
      <c r="X1548">
        <v>219</v>
      </c>
      <c r="Y1548">
        <v>574</v>
      </c>
      <c r="Z1548">
        <v>179</v>
      </c>
      <c r="AA1548">
        <v>190</v>
      </c>
      <c r="AB1548">
        <v>10</v>
      </c>
      <c r="AC1548">
        <v>368</v>
      </c>
      <c r="AD1548">
        <v>76</v>
      </c>
      <c r="AE1548">
        <v>2707</v>
      </c>
      <c r="AF1548">
        <v>2905</v>
      </c>
      <c r="AJ1548">
        <v>4.5</v>
      </c>
      <c r="AK1548" t="str">
        <f t="shared" si="24"/>
        <v>WC013-5000</v>
      </c>
    </row>
    <row r="1549" spans="1:37">
      <c r="A1549" t="s">
        <v>2910</v>
      </c>
      <c r="B1549" t="s">
        <v>2908</v>
      </c>
      <c r="C1549" t="s">
        <v>1558</v>
      </c>
      <c r="D1549" t="s">
        <v>2911</v>
      </c>
      <c r="E1549">
        <v>50</v>
      </c>
      <c r="F1549">
        <v>1</v>
      </c>
      <c r="G1549">
        <v>92</v>
      </c>
      <c r="H1549">
        <v>211</v>
      </c>
      <c r="I1549">
        <v>156</v>
      </c>
      <c r="J1549">
        <v>155</v>
      </c>
      <c r="K1549">
        <v>951</v>
      </c>
      <c r="L1549">
        <v>156</v>
      </c>
      <c r="M1549">
        <v>0</v>
      </c>
      <c r="N1549">
        <v>77</v>
      </c>
      <c r="O1549">
        <v>0</v>
      </c>
      <c r="P1549">
        <v>0</v>
      </c>
      <c r="Q1549">
        <v>874</v>
      </c>
      <c r="R1549">
        <v>0</v>
      </c>
      <c r="S1549">
        <v>199</v>
      </c>
      <c r="T1549">
        <v>229</v>
      </c>
      <c r="U1549">
        <v>204</v>
      </c>
      <c r="V1549">
        <v>0</v>
      </c>
      <c r="W1549">
        <v>0</v>
      </c>
      <c r="X1549">
        <v>306</v>
      </c>
      <c r="Y1549">
        <v>136</v>
      </c>
      <c r="Z1549">
        <v>0</v>
      </c>
      <c r="AA1549">
        <v>16</v>
      </c>
      <c r="AB1549">
        <v>0</v>
      </c>
      <c r="AC1549">
        <v>336</v>
      </c>
      <c r="AD1549">
        <v>428</v>
      </c>
      <c r="AE1549">
        <v>1854</v>
      </c>
      <c r="AF1549">
        <v>1505</v>
      </c>
      <c r="AG1549" t="s">
        <v>2912</v>
      </c>
      <c r="AH1549">
        <v>5</v>
      </c>
      <c r="AI1549">
        <v>120</v>
      </c>
      <c r="AJ1549">
        <v>6.14</v>
      </c>
      <c r="AK1549" t="str">
        <f t="shared" si="24"/>
        <v>WC013-6200</v>
      </c>
    </row>
    <row r="1550" spans="1:37">
      <c r="A1550" t="s">
        <v>5301</v>
      </c>
      <c r="B1550" t="s">
        <v>5302</v>
      </c>
      <c r="C1550" t="s">
        <v>329</v>
      </c>
      <c r="D1550" t="s">
        <v>2915</v>
      </c>
      <c r="E1550">
        <v>50</v>
      </c>
      <c r="F1550">
        <v>0</v>
      </c>
      <c r="G1550">
        <v>0</v>
      </c>
      <c r="H1550">
        <v>2</v>
      </c>
      <c r="I1550">
        <v>1</v>
      </c>
      <c r="J1550">
        <v>1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>
        <v>0</v>
      </c>
      <c r="T1550">
        <v>0</v>
      </c>
      <c r="U1550">
        <v>7</v>
      </c>
      <c r="V1550">
        <v>0</v>
      </c>
      <c r="W1550">
        <v>0</v>
      </c>
      <c r="X1550">
        <v>0</v>
      </c>
      <c r="Y1550">
        <v>0</v>
      </c>
      <c r="Z1550">
        <v>5</v>
      </c>
      <c r="AA1550">
        <v>0</v>
      </c>
      <c r="AB1550">
        <v>0</v>
      </c>
      <c r="AC1550">
        <v>1</v>
      </c>
      <c r="AD1550">
        <v>0</v>
      </c>
      <c r="AE1550">
        <v>13</v>
      </c>
      <c r="AF1550">
        <v>141</v>
      </c>
      <c r="AJ1550">
        <v>0</v>
      </c>
      <c r="AK1550" t="str">
        <f t="shared" si="24"/>
        <v>WC022-3700</v>
      </c>
    </row>
    <row r="1551" spans="1:37">
      <c r="A1551" t="s">
        <v>2913</v>
      </c>
      <c r="B1551" t="s">
        <v>2914</v>
      </c>
      <c r="C1551" t="s">
        <v>329</v>
      </c>
      <c r="D1551" t="s">
        <v>2915</v>
      </c>
      <c r="E1551">
        <v>50</v>
      </c>
      <c r="F1551">
        <v>1.9</v>
      </c>
      <c r="G1551">
        <v>30</v>
      </c>
      <c r="H1551">
        <v>75</v>
      </c>
      <c r="I1551">
        <v>113</v>
      </c>
      <c r="J1551">
        <v>125</v>
      </c>
      <c r="K1551">
        <v>597</v>
      </c>
      <c r="L1551">
        <v>224</v>
      </c>
      <c r="M1551">
        <v>0</v>
      </c>
      <c r="N1551">
        <v>25</v>
      </c>
      <c r="O1551">
        <v>0</v>
      </c>
      <c r="P1551">
        <v>0</v>
      </c>
      <c r="Q1551">
        <v>572</v>
      </c>
      <c r="R1551">
        <v>0</v>
      </c>
      <c r="S1551">
        <v>163</v>
      </c>
      <c r="T1551">
        <v>61</v>
      </c>
      <c r="U1551">
        <v>0</v>
      </c>
      <c r="V1551">
        <v>404</v>
      </c>
      <c r="W1551">
        <v>47</v>
      </c>
      <c r="X1551">
        <v>0</v>
      </c>
      <c r="Y1551">
        <v>222</v>
      </c>
      <c r="Z1551">
        <v>418</v>
      </c>
      <c r="AA1551">
        <v>95</v>
      </c>
      <c r="AB1551">
        <v>90</v>
      </c>
      <c r="AC1551">
        <v>0</v>
      </c>
      <c r="AD1551">
        <v>0</v>
      </c>
      <c r="AE1551">
        <v>1500</v>
      </c>
      <c r="AF1551">
        <v>1977</v>
      </c>
      <c r="AJ1551">
        <v>6.14</v>
      </c>
      <c r="AK1551" t="str">
        <f t="shared" si="24"/>
        <v>WC022-5000</v>
      </c>
    </row>
    <row r="1552" spans="1:37">
      <c r="A1552" t="s">
        <v>2916</v>
      </c>
      <c r="B1552" t="s">
        <v>2917</v>
      </c>
      <c r="C1552" t="s">
        <v>329</v>
      </c>
      <c r="D1552" t="s">
        <v>2915</v>
      </c>
      <c r="E1552">
        <v>50</v>
      </c>
      <c r="F1552">
        <v>0.9</v>
      </c>
      <c r="G1552">
        <v>0</v>
      </c>
      <c r="H1552">
        <v>67</v>
      </c>
      <c r="I1552">
        <v>43</v>
      </c>
      <c r="J1552">
        <v>59</v>
      </c>
      <c r="K1552">
        <v>248</v>
      </c>
      <c r="L1552">
        <v>46</v>
      </c>
      <c r="M1552">
        <v>0</v>
      </c>
      <c r="N1552">
        <v>0</v>
      </c>
      <c r="O1552">
        <v>0</v>
      </c>
      <c r="P1552">
        <v>0</v>
      </c>
      <c r="Q1552">
        <v>248</v>
      </c>
      <c r="R1552">
        <v>0</v>
      </c>
      <c r="S1552">
        <v>0</v>
      </c>
      <c r="T1552">
        <v>74</v>
      </c>
      <c r="U1552">
        <v>126</v>
      </c>
      <c r="V1552">
        <v>57</v>
      </c>
      <c r="W1552">
        <v>0</v>
      </c>
      <c r="X1552">
        <v>0</v>
      </c>
      <c r="Y1552">
        <v>16</v>
      </c>
      <c r="Z1552">
        <v>9</v>
      </c>
      <c r="AA1552">
        <v>141</v>
      </c>
      <c r="AB1552">
        <v>237</v>
      </c>
      <c r="AC1552">
        <v>43</v>
      </c>
      <c r="AD1552">
        <v>0</v>
      </c>
      <c r="AE1552">
        <v>703</v>
      </c>
      <c r="AF1552">
        <v>376</v>
      </c>
      <c r="AJ1552">
        <v>4.2</v>
      </c>
      <c r="AK1552" t="str">
        <f t="shared" si="24"/>
        <v>WC022-6200</v>
      </c>
    </row>
    <row r="1553" spans="1:37">
      <c r="A1553" t="s">
        <v>2918</v>
      </c>
      <c r="B1553" t="s">
        <v>2919</v>
      </c>
      <c r="C1553" t="s">
        <v>329</v>
      </c>
      <c r="D1553" t="s">
        <v>2920</v>
      </c>
      <c r="E1553">
        <v>50</v>
      </c>
      <c r="F1553">
        <v>2.2999999999999998</v>
      </c>
      <c r="G1553">
        <v>178</v>
      </c>
      <c r="H1553">
        <v>78</v>
      </c>
      <c r="I1553">
        <v>77</v>
      </c>
      <c r="J1553">
        <v>106</v>
      </c>
      <c r="K1553">
        <v>866</v>
      </c>
      <c r="L1553">
        <v>49</v>
      </c>
      <c r="M1553">
        <v>0</v>
      </c>
      <c r="N1553">
        <v>148</v>
      </c>
      <c r="O1553">
        <v>0</v>
      </c>
      <c r="P1553">
        <v>0</v>
      </c>
      <c r="Q1553">
        <v>718</v>
      </c>
      <c r="R1553">
        <v>0</v>
      </c>
      <c r="S1553">
        <v>60</v>
      </c>
      <c r="T1553">
        <v>0</v>
      </c>
      <c r="U1553">
        <v>173</v>
      </c>
      <c r="V1553">
        <v>96</v>
      </c>
      <c r="W1553">
        <v>135</v>
      </c>
      <c r="X1553">
        <v>0</v>
      </c>
      <c r="Y1553">
        <v>98</v>
      </c>
      <c r="Z1553">
        <v>180</v>
      </c>
      <c r="AA1553">
        <v>92</v>
      </c>
      <c r="AB1553">
        <v>185</v>
      </c>
      <c r="AC1553">
        <v>0</v>
      </c>
      <c r="AD1553">
        <v>247</v>
      </c>
      <c r="AE1553">
        <v>1266</v>
      </c>
      <c r="AF1553">
        <v>1023</v>
      </c>
      <c r="AJ1553">
        <v>6.14</v>
      </c>
      <c r="AK1553" t="str">
        <f t="shared" si="24"/>
        <v>WC038-5000</v>
      </c>
    </row>
    <row r="1554" spans="1:37">
      <c r="A1554" t="s">
        <v>2921</v>
      </c>
      <c r="B1554" t="s">
        <v>2919</v>
      </c>
      <c r="C1554" t="s">
        <v>329</v>
      </c>
      <c r="D1554" t="s">
        <v>2920</v>
      </c>
      <c r="E1554">
        <v>50</v>
      </c>
      <c r="F1554">
        <v>6.1</v>
      </c>
      <c r="G1554">
        <v>23</v>
      </c>
      <c r="H1554">
        <v>20</v>
      </c>
      <c r="I1554">
        <v>38</v>
      </c>
      <c r="J1554">
        <v>45</v>
      </c>
      <c r="K1554">
        <v>518</v>
      </c>
      <c r="L1554">
        <v>45</v>
      </c>
      <c r="M1554">
        <v>0</v>
      </c>
      <c r="N1554">
        <v>19</v>
      </c>
      <c r="O1554">
        <v>0</v>
      </c>
      <c r="P1554">
        <v>0</v>
      </c>
      <c r="Q1554">
        <v>499</v>
      </c>
      <c r="R1554">
        <v>28</v>
      </c>
      <c r="S1554">
        <v>10</v>
      </c>
      <c r="T1554">
        <v>0</v>
      </c>
      <c r="U1554">
        <v>51</v>
      </c>
      <c r="V1554">
        <v>9</v>
      </c>
      <c r="W1554">
        <v>107</v>
      </c>
      <c r="X1554">
        <v>53</v>
      </c>
      <c r="Y1554">
        <v>27</v>
      </c>
      <c r="Z1554">
        <v>25</v>
      </c>
      <c r="AA1554">
        <v>8</v>
      </c>
      <c r="AB1554">
        <v>115</v>
      </c>
      <c r="AC1554">
        <v>50</v>
      </c>
      <c r="AD1554">
        <v>85</v>
      </c>
      <c r="AE1554">
        <v>540</v>
      </c>
      <c r="AF1554">
        <v>309</v>
      </c>
      <c r="AJ1554">
        <v>6.14</v>
      </c>
      <c r="AK1554" t="str">
        <f t="shared" si="24"/>
        <v>WC038-6200</v>
      </c>
    </row>
    <row r="1555" spans="1:37">
      <c r="A1555" t="s">
        <v>2922</v>
      </c>
      <c r="B1555" t="s">
        <v>2923</v>
      </c>
      <c r="C1555" t="s">
        <v>329</v>
      </c>
      <c r="D1555" t="s">
        <v>2924</v>
      </c>
      <c r="E1555">
        <v>50</v>
      </c>
      <c r="F1555">
        <v>0</v>
      </c>
      <c r="G1555">
        <v>0</v>
      </c>
      <c r="H1555">
        <v>0</v>
      </c>
      <c r="I1555">
        <v>0</v>
      </c>
      <c r="J1555">
        <v>0</v>
      </c>
      <c r="K1555">
        <v>3239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3239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236</v>
      </c>
      <c r="AJ1555">
        <v>4.05</v>
      </c>
      <c r="AK1555" t="str">
        <f t="shared" si="24"/>
        <v>WC070-6200</v>
      </c>
    </row>
    <row r="1556" spans="1:37">
      <c r="A1556" t="s">
        <v>2925</v>
      </c>
      <c r="B1556" t="s">
        <v>2926</v>
      </c>
      <c r="C1556" t="s">
        <v>329</v>
      </c>
      <c r="D1556" t="s">
        <v>2927</v>
      </c>
      <c r="E1556">
        <v>50</v>
      </c>
      <c r="F1556">
        <v>0</v>
      </c>
      <c r="G1556">
        <v>0</v>
      </c>
      <c r="H1556">
        <v>0</v>
      </c>
      <c r="I1556">
        <v>0</v>
      </c>
      <c r="J1556">
        <v>0</v>
      </c>
      <c r="K1556">
        <v>2470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2470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J1556">
        <v>4.92</v>
      </c>
      <c r="AK1556" t="str">
        <f t="shared" si="24"/>
        <v>WC160-6200</v>
      </c>
    </row>
    <row r="1557" spans="1:37">
      <c r="A1557" t="s">
        <v>2928</v>
      </c>
      <c r="B1557" t="s">
        <v>2929</v>
      </c>
      <c r="C1557" t="s">
        <v>275</v>
      </c>
      <c r="E1557">
        <v>50</v>
      </c>
      <c r="F1557">
        <v>0</v>
      </c>
      <c r="G1557">
        <v>0</v>
      </c>
      <c r="H1557">
        <v>41</v>
      </c>
      <c r="I1557">
        <v>38</v>
      </c>
      <c r="J1557">
        <v>48</v>
      </c>
      <c r="K1557">
        <v>0</v>
      </c>
      <c r="L1557">
        <v>130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122</v>
      </c>
      <c r="T1557">
        <v>0</v>
      </c>
      <c r="U1557">
        <v>0</v>
      </c>
      <c r="V1557">
        <v>65</v>
      </c>
      <c r="W1557">
        <v>41</v>
      </c>
      <c r="X1557">
        <v>0</v>
      </c>
      <c r="Y1557">
        <v>58</v>
      </c>
      <c r="Z1557">
        <v>76</v>
      </c>
      <c r="AA1557">
        <v>25</v>
      </c>
      <c r="AB1557">
        <v>0</v>
      </c>
      <c r="AC1557">
        <v>0</v>
      </c>
      <c r="AD1557">
        <v>183</v>
      </c>
      <c r="AE1557">
        <v>570</v>
      </c>
      <c r="AF1557">
        <v>746</v>
      </c>
      <c r="AJ1557">
        <v>6.77</v>
      </c>
      <c r="AK1557" t="str">
        <f t="shared" si="24"/>
        <v>WC200-5000</v>
      </c>
    </row>
    <row r="1558" spans="1:37">
      <c r="A1558" t="s">
        <v>2930</v>
      </c>
      <c r="B1558" t="s">
        <v>2931</v>
      </c>
      <c r="C1558" t="s">
        <v>275</v>
      </c>
      <c r="E1558">
        <v>50</v>
      </c>
      <c r="F1558">
        <v>1.3</v>
      </c>
      <c r="G1558">
        <v>24</v>
      </c>
      <c r="H1558">
        <v>31</v>
      </c>
      <c r="I1558">
        <v>83</v>
      </c>
      <c r="J1558">
        <v>57</v>
      </c>
      <c r="K1558">
        <v>179</v>
      </c>
      <c r="L1558">
        <v>45</v>
      </c>
      <c r="M1558">
        <v>0</v>
      </c>
      <c r="N1558">
        <v>20</v>
      </c>
      <c r="O1558">
        <v>0</v>
      </c>
      <c r="P1558">
        <v>0</v>
      </c>
      <c r="Q1558">
        <v>159</v>
      </c>
      <c r="R1558">
        <v>0</v>
      </c>
      <c r="S1558">
        <v>0</v>
      </c>
      <c r="T1558">
        <v>67</v>
      </c>
      <c r="U1558">
        <v>26</v>
      </c>
      <c r="V1558">
        <v>0</v>
      </c>
      <c r="W1558">
        <v>402</v>
      </c>
      <c r="X1558">
        <v>0</v>
      </c>
      <c r="Y1558">
        <v>0</v>
      </c>
      <c r="Z1558">
        <v>63</v>
      </c>
      <c r="AA1558">
        <v>61</v>
      </c>
      <c r="AB1558">
        <v>34</v>
      </c>
      <c r="AC1558">
        <v>36</v>
      </c>
      <c r="AD1558">
        <v>0</v>
      </c>
      <c r="AE1558">
        <v>689</v>
      </c>
      <c r="AF1558">
        <v>272</v>
      </c>
      <c r="AJ1558">
        <v>5.68</v>
      </c>
      <c r="AK1558" t="str">
        <f t="shared" si="24"/>
        <v>WC200-6200</v>
      </c>
    </row>
    <row r="1559" spans="1:37">
      <c r="A1559" t="s">
        <v>2932</v>
      </c>
      <c r="B1559" t="s">
        <v>2933</v>
      </c>
      <c r="C1559" t="s">
        <v>110</v>
      </c>
      <c r="D1559" t="s">
        <v>2934</v>
      </c>
      <c r="E1559">
        <v>50</v>
      </c>
      <c r="F1559">
        <v>0</v>
      </c>
      <c r="G1559">
        <v>0</v>
      </c>
      <c r="H1559">
        <v>0</v>
      </c>
      <c r="I1559">
        <v>0</v>
      </c>
      <c r="J1559">
        <v>0</v>
      </c>
      <c r="K1559">
        <v>753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753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J1559">
        <v>4.28</v>
      </c>
      <c r="AK1559" t="str">
        <f t="shared" si="24"/>
        <v>WC291-5000</v>
      </c>
    </row>
    <row r="1560" spans="1:37">
      <c r="A1560" t="s">
        <v>5303</v>
      </c>
      <c r="B1560" t="s">
        <v>5304</v>
      </c>
      <c r="C1560" t="s">
        <v>329</v>
      </c>
      <c r="D1560" t="s">
        <v>5305</v>
      </c>
      <c r="E1560">
        <v>50</v>
      </c>
      <c r="F1560">
        <v>0</v>
      </c>
      <c r="G1560">
        <v>0</v>
      </c>
      <c r="H1560">
        <v>11</v>
      </c>
      <c r="I1560">
        <v>5</v>
      </c>
      <c r="J1560">
        <v>3</v>
      </c>
      <c r="K1560">
        <v>0</v>
      </c>
      <c r="L1560">
        <v>5</v>
      </c>
      <c r="M1560">
        <v>0</v>
      </c>
      <c r="N1560">
        <v>0</v>
      </c>
      <c r="O1560">
        <v>0</v>
      </c>
      <c r="P1560">
        <v>0</v>
      </c>
      <c r="Q1560">
        <v>0</v>
      </c>
      <c r="R1560">
        <v>0</v>
      </c>
      <c r="S1560">
        <v>0</v>
      </c>
      <c r="T1560">
        <v>12</v>
      </c>
      <c r="U1560">
        <v>20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32</v>
      </c>
      <c r="AF1560">
        <v>0</v>
      </c>
      <c r="AJ1560">
        <v>3.96</v>
      </c>
      <c r="AK1560" t="str">
        <f t="shared" si="24"/>
        <v>WC301-5000</v>
      </c>
    </row>
    <row r="1561" spans="1:37">
      <c r="A1561" t="s">
        <v>2935</v>
      </c>
      <c r="B1561" t="s">
        <v>2936</v>
      </c>
      <c r="C1561" t="s">
        <v>329</v>
      </c>
      <c r="D1561" t="s">
        <v>2937</v>
      </c>
      <c r="E1561">
        <v>50</v>
      </c>
      <c r="F1561">
        <v>10.7</v>
      </c>
      <c r="G1561">
        <v>0</v>
      </c>
      <c r="H1561">
        <v>6</v>
      </c>
      <c r="I1561">
        <v>40</v>
      </c>
      <c r="J1561">
        <v>20</v>
      </c>
      <c r="K1561">
        <v>242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242</v>
      </c>
      <c r="R1561">
        <v>0</v>
      </c>
      <c r="S1561">
        <v>0</v>
      </c>
      <c r="T1561">
        <v>0</v>
      </c>
      <c r="U1561">
        <v>17</v>
      </c>
      <c r="V1561">
        <v>0</v>
      </c>
      <c r="W1561">
        <v>225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242</v>
      </c>
      <c r="AF1561">
        <v>994</v>
      </c>
      <c r="AJ1561">
        <v>4.05</v>
      </c>
      <c r="AK1561" t="str">
        <f t="shared" si="24"/>
        <v>WC301-6200</v>
      </c>
    </row>
    <row r="1562" spans="1:37">
      <c r="A1562" t="s">
        <v>2938</v>
      </c>
      <c r="B1562" t="s">
        <v>2939</v>
      </c>
      <c r="C1562" t="s">
        <v>329</v>
      </c>
      <c r="D1562" t="s">
        <v>2940</v>
      </c>
      <c r="E1562">
        <v>50</v>
      </c>
      <c r="F1562">
        <v>20.5</v>
      </c>
      <c r="G1562">
        <v>0</v>
      </c>
      <c r="H1562">
        <v>18</v>
      </c>
      <c r="I1562">
        <v>9</v>
      </c>
      <c r="J1562">
        <v>24</v>
      </c>
      <c r="K1562">
        <v>1479</v>
      </c>
      <c r="L1562">
        <v>13</v>
      </c>
      <c r="M1562">
        <v>0</v>
      </c>
      <c r="N1562">
        <v>0</v>
      </c>
      <c r="O1562">
        <v>0</v>
      </c>
      <c r="P1562">
        <v>0</v>
      </c>
      <c r="Q1562">
        <v>1479</v>
      </c>
      <c r="R1562">
        <v>0</v>
      </c>
      <c r="S1562">
        <v>0</v>
      </c>
      <c r="T1562">
        <v>29</v>
      </c>
      <c r="U1562">
        <v>25</v>
      </c>
      <c r="V1562">
        <v>0</v>
      </c>
      <c r="W1562">
        <v>0</v>
      </c>
      <c r="X1562">
        <v>0</v>
      </c>
      <c r="Y1562">
        <v>57</v>
      </c>
      <c r="Z1562">
        <v>0</v>
      </c>
      <c r="AA1562">
        <v>61</v>
      </c>
      <c r="AB1562">
        <v>39</v>
      </c>
      <c r="AC1562">
        <v>76</v>
      </c>
      <c r="AD1562">
        <v>0</v>
      </c>
      <c r="AE1562">
        <v>287</v>
      </c>
      <c r="AF1562">
        <v>3244</v>
      </c>
      <c r="AJ1562">
        <v>6.14</v>
      </c>
      <c r="AK1562" t="str">
        <f t="shared" si="24"/>
        <v>WC341-5000</v>
      </c>
    </row>
    <row r="1563" spans="1:37">
      <c r="A1563" t="s">
        <v>2941</v>
      </c>
      <c r="B1563" t="s">
        <v>2942</v>
      </c>
      <c r="C1563" t="s">
        <v>329</v>
      </c>
      <c r="D1563" t="s">
        <v>2940</v>
      </c>
      <c r="E1563">
        <v>50</v>
      </c>
      <c r="F1563">
        <v>0</v>
      </c>
      <c r="G1563">
        <v>0</v>
      </c>
      <c r="H1563">
        <v>0</v>
      </c>
      <c r="I1563">
        <v>0</v>
      </c>
      <c r="J1563">
        <v>10</v>
      </c>
      <c r="K1563">
        <v>2298</v>
      </c>
      <c r="L1563">
        <v>6</v>
      </c>
      <c r="M1563">
        <v>0</v>
      </c>
      <c r="N1563">
        <v>0</v>
      </c>
      <c r="O1563">
        <v>0</v>
      </c>
      <c r="P1563">
        <v>0</v>
      </c>
      <c r="Q1563">
        <v>2298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56</v>
      </c>
      <c r="Z1563">
        <v>0</v>
      </c>
      <c r="AA1563">
        <v>0</v>
      </c>
      <c r="AB1563">
        <v>66</v>
      </c>
      <c r="AC1563">
        <v>0</v>
      </c>
      <c r="AD1563">
        <v>0</v>
      </c>
      <c r="AE1563">
        <v>122</v>
      </c>
      <c r="AF1563">
        <v>283</v>
      </c>
      <c r="AJ1563">
        <v>4.92</v>
      </c>
      <c r="AK1563" t="str">
        <f t="shared" si="24"/>
        <v>WC341-6200</v>
      </c>
    </row>
    <row r="1564" spans="1:37">
      <c r="A1564" t="s">
        <v>2943</v>
      </c>
      <c r="B1564" t="s">
        <v>2944</v>
      </c>
      <c r="C1564" t="s">
        <v>329</v>
      </c>
      <c r="D1564" t="s">
        <v>2945</v>
      </c>
      <c r="E1564">
        <v>50</v>
      </c>
      <c r="F1564">
        <v>0</v>
      </c>
      <c r="G1564">
        <v>0</v>
      </c>
      <c r="H1564">
        <v>0</v>
      </c>
      <c r="I1564">
        <v>0</v>
      </c>
      <c r="J1564">
        <v>11</v>
      </c>
      <c r="K1564">
        <v>7841</v>
      </c>
      <c r="L1564">
        <v>34</v>
      </c>
      <c r="M1564">
        <v>0</v>
      </c>
      <c r="N1564">
        <v>0</v>
      </c>
      <c r="O1564">
        <v>0</v>
      </c>
      <c r="P1564">
        <v>0</v>
      </c>
      <c r="Q1564">
        <v>7841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49</v>
      </c>
      <c r="Z1564">
        <v>88</v>
      </c>
      <c r="AA1564">
        <v>0</v>
      </c>
      <c r="AB1564">
        <v>0</v>
      </c>
      <c r="AC1564">
        <v>0</v>
      </c>
      <c r="AD1564">
        <v>0</v>
      </c>
      <c r="AE1564">
        <v>137</v>
      </c>
      <c r="AF1564">
        <v>145</v>
      </c>
      <c r="AJ1564">
        <v>3.78</v>
      </c>
      <c r="AK1564" t="str">
        <f t="shared" si="24"/>
        <v>WD001-5000</v>
      </c>
    </row>
    <row r="1565" spans="1:37">
      <c r="A1565" t="s">
        <v>2946</v>
      </c>
      <c r="B1565" t="s">
        <v>2947</v>
      </c>
      <c r="C1565" t="s">
        <v>110</v>
      </c>
      <c r="D1565" t="s">
        <v>388</v>
      </c>
      <c r="E1565">
        <v>43</v>
      </c>
      <c r="F1565">
        <v>1.9</v>
      </c>
      <c r="G1565">
        <v>129</v>
      </c>
      <c r="H1565">
        <v>158</v>
      </c>
      <c r="I1565">
        <v>156</v>
      </c>
      <c r="J1565">
        <v>202</v>
      </c>
      <c r="K1565">
        <v>1313</v>
      </c>
      <c r="L1565">
        <v>281</v>
      </c>
      <c r="M1565">
        <v>0</v>
      </c>
      <c r="N1565">
        <v>107</v>
      </c>
      <c r="O1565">
        <v>0</v>
      </c>
      <c r="P1565">
        <v>0</v>
      </c>
      <c r="Q1565">
        <v>1206</v>
      </c>
      <c r="R1565">
        <v>10</v>
      </c>
      <c r="S1565">
        <v>307</v>
      </c>
      <c r="T1565">
        <v>63</v>
      </c>
      <c r="U1565">
        <v>105</v>
      </c>
      <c r="V1565">
        <v>163</v>
      </c>
      <c r="W1565">
        <v>165</v>
      </c>
      <c r="X1565">
        <v>130</v>
      </c>
      <c r="Y1565">
        <v>139</v>
      </c>
      <c r="Z1565">
        <v>58</v>
      </c>
      <c r="AA1565">
        <v>115</v>
      </c>
      <c r="AB1565">
        <v>704</v>
      </c>
      <c r="AC1565">
        <v>93</v>
      </c>
      <c r="AD1565">
        <v>378</v>
      </c>
      <c r="AE1565">
        <v>2420</v>
      </c>
      <c r="AF1565">
        <v>3115</v>
      </c>
      <c r="AJ1565">
        <v>4.47</v>
      </c>
      <c r="AK1565" t="str">
        <f t="shared" si="24"/>
        <v>WE270-5000</v>
      </c>
    </row>
    <row r="1566" spans="1:37">
      <c r="A1566" t="s">
        <v>2948</v>
      </c>
      <c r="B1566" t="s">
        <v>2947</v>
      </c>
      <c r="C1566" t="s">
        <v>110</v>
      </c>
      <c r="D1566" t="s">
        <v>388</v>
      </c>
      <c r="E1566">
        <v>43</v>
      </c>
      <c r="F1566">
        <v>8.5</v>
      </c>
      <c r="G1566">
        <v>48</v>
      </c>
      <c r="H1566">
        <v>30</v>
      </c>
      <c r="I1566">
        <v>48</v>
      </c>
      <c r="J1566">
        <v>52</v>
      </c>
      <c r="K1566">
        <v>1063</v>
      </c>
      <c r="L1566">
        <v>23</v>
      </c>
      <c r="M1566">
        <v>0</v>
      </c>
      <c r="N1566">
        <v>40</v>
      </c>
      <c r="O1566">
        <v>0</v>
      </c>
      <c r="P1566">
        <v>0</v>
      </c>
      <c r="Q1566">
        <v>1023</v>
      </c>
      <c r="R1566">
        <v>101</v>
      </c>
      <c r="S1566">
        <v>12</v>
      </c>
      <c r="T1566">
        <v>20</v>
      </c>
      <c r="U1566">
        <v>58</v>
      </c>
      <c r="V1566">
        <v>0</v>
      </c>
      <c r="W1566">
        <v>195</v>
      </c>
      <c r="X1566">
        <v>0</v>
      </c>
      <c r="Y1566">
        <v>65</v>
      </c>
      <c r="Z1566">
        <v>91</v>
      </c>
      <c r="AA1566">
        <v>0</v>
      </c>
      <c r="AB1566">
        <v>112</v>
      </c>
      <c r="AC1566">
        <v>75</v>
      </c>
      <c r="AD1566">
        <v>0</v>
      </c>
      <c r="AE1566">
        <v>628</v>
      </c>
      <c r="AF1566">
        <v>613</v>
      </c>
      <c r="AJ1566">
        <v>4.47</v>
      </c>
      <c r="AK1566" t="str">
        <f t="shared" si="24"/>
        <v>WE270-6200</v>
      </c>
    </row>
    <row r="1567" spans="1:37">
      <c r="A1567" t="s">
        <v>2949</v>
      </c>
      <c r="B1567" t="s">
        <v>2950</v>
      </c>
      <c r="C1567" t="s">
        <v>1027</v>
      </c>
      <c r="D1567" t="s">
        <v>2951</v>
      </c>
      <c r="E1567">
        <v>50</v>
      </c>
      <c r="F1567">
        <v>32.1</v>
      </c>
      <c r="G1567">
        <v>33</v>
      </c>
      <c r="H1567">
        <v>20</v>
      </c>
      <c r="I1567">
        <v>10</v>
      </c>
      <c r="J1567">
        <v>39</v>
      </c>
      <c r="K1567">
        <v>2552</v>
      </c>
      <c r="L1567">
        <v>37</v>
      </c>
      <c r="M1567">
        <v>0</v>
      </c>
      <c r="N1567">
        <v>28</v>
      </c>
      <c r="O1567">
        <v>0</v>
      </c>
      <c r="P1567">
        <v>0</v>
      </c>
      <c r="Q1567">
        <v>2524</v>
      </c>
      <c r="R1567">
        <v>0</v>
      </c>
      <c r="S1567">
        <v>35</v>
      </c>
      <c r="T1567">
        <v>24</v>
      </c>
      <c r="U1567">
        <v>0</v>
      </c>
      <c r="V1567">
        <v>0</v>
      </c>
      <c r="W1567">
        <v>0</v>
      </c>
      <c r="X1567">
        <v>0</v>
      </c>
      <c r="Y1567">
        <v>61</v>
      </c>
      <c r="Z1567">
        <v>0</v>
      </c>
      <c r="AA1567">
        <v>78</v>
      </c>
      <c r="AB1567">
        <v>64</v>
      </c>
      <c r="AC1567">
        <v>0</v>
      </c>
      <c r="AD1567">
        <v>201</v>
      </c>
      <c r="AE1567">
        <v>463</v>
      </c>
      <c r="AF1567">
        <v>531</v>
      </c>
      <c r="AJ1567">
        <v>5.36</v>
      </c>
      <c r="AK1567" t="str">
        <f t="shared" si="24"/>
        <v>WF001-5000</v>
      </c>
    </row>
    <row r="1568" spans="1:37">
      <c r="A1568" t="s">
        <v>2952</v>
      </c>
      <c r="B1568" t="s">
        <v>2953</v>
      </c>
      <c r="C1568" t="s">
        <v>1027</v>
      </c>
      <c r="D1568" t="s">
        <v>2954</v>
      </c>
      <c r="E1568">
        <v>50</v>
      </c>
      <c r="F1568">
        <v>76.3</v>
      </c>
      <c r="G1568">
        <v>0</v>
      </c>
      <c r="H1568">
        <v>4</v>
      </c>
      <c r="I1568">
        <v>2</v>
      </c>
      <c r="J1568">
        <v>9</v>
      </c>
      <c r="K1568">
        <v>1221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1221</v>
      </c>
      <c r="R1568">
        <v>0</v>
      </c>
      <c r="S1568">
        <v>0</v>
      </c>
      <c r="T1568">
        <v>0</v>
      </c>
      <c r="U1568">
        <v>12</v>
      </c>
      <c r="V1568">
        <v>0</v>
      </c>
      <c r="W1568">
        <v>0</v>
      </c>
      <c r="X1568">
        <v>0</v>
      </c>
      <c r="Y1568">
        <v>35</v>
      </c>
      <c r="Z1568">
        <v>0</v>
      </c>
      <c r="AA1568">
        <v>0</v>
      </c>
      <c r="AB1568">
        <v>63</v>
      </c>
      <c r="AC1568">
        <v>0</v>
      </c>
      <c r="AD1568">
        <v>0</v>
      </c>
      <c r="AE1568">
        <v>110</v>
      </c>
      <c r="AF1568">
        <v>122</v>
      </c>
      <c r="AJ1568">
        <v>4.96</v>
      </c>
      <c r="AK1568" t="str">
        <f t="shared" si="24"/>
        <v>WF001-6200</v>
      </c>
    </row>
    <row r="1569" spans="1:37">
      <c r="A1569" t="s">
        <v>2955</v>
      </c>
      <c r="B1569" t="s">
        <v>2956</v>
      </c>
      <c r="C1569" t="s">
        <v>318</v>
      </c>
      <c r="D1569" t="s">
        <v>2957</v>
      </c>
      <c r="E1569">
        <v>50</v>
      </c>
      <c r="F1569">
        <v>0</v>
      </c>
      <c r="G1569">
        <v>0</v>
      </c>
      <c r="H1569">
        <v>47</v>
      </c>
      <c r="I1569">
        <v>78</v>
      </c>
      <c r="J1569">
        <v>92</v>
      </c>
      <c r="K1569">
        <v>0</v>
      </c>
      <c r="L1569">
        <v>48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  <c r="T1569">
        <v>0</v>
      </c>
      <c r="U1569">
        <v>141</v>
      </c>
      <c r="V1569">
        <v>0</v>
      </c>
      <c r="W1569">
        <v>210</v>
      </c>
      <c r="X1569">
        <v>118</v>
      </c>
      <c r="Y1569">
        <v>364</v>
      </c>
      <c r="Z1569">
        <v>80</v>
      </c>
      <c r="AA1569">
        <v>35</v>
      </c>
      <c r="AB1569">
        <v>19</v>
      </c>
      <c r="AC1569">
        <v>0</v>
      </c>
      <c r="AD1569">
        <v>139</v>
      </c>
      <c r="AE1569">
        <v>1106</v>
      </c>
      <c r="AF1569">
        <v>708</v>
      </c>
      <c r="AJ1569">
        <v>5.17</v>
      </c>
      <c r="AK1569" t="str">
        <f t="shared" si="24"/>
        <v>WF002-5000</v>
      </c>
    </row>
    <row r="1570" spans="1:37">
      <c r="A1570" t="s">
        <v>2958</v>
      </c>
      <c r="B1570" t="s">
        <v>2959</v>
      </c>
      <c r="C1570" t="s">
        <v>318</v>
      </c>
      <c r="D1570" t="s">
        <v>2960</v>
      </c>
      <c r="E1570">
        <v>50</v>
      </c>
      <c r="F1570">
        <v>10.9</v>
      </c>
      <c r="G1570">
        <v>0</v>
      </c>
      <c r="H1570">
        <v>30</v>
      </c>
      <c r="I1570">
        <v>30</v>
      </c>
      <c r="J1570">
        <v>17</v>
      </c>
      <c r="K1570">
        <v>1295</v>
      </c>
      <c r="L1570">
        <v>7</v>
      </c>
      <c r="M1570">
        <v>0</v>
      </c>
      <c r="N1570">
        <v>0</v>
      </c>
      <c r="O1570">
        <v>0</v>
      </c>
      <c r="P1570">
        <v>0</v>
      </c>
      <c r="Q1570">
        <v>1295</v>
      </c>
      <c r="R1570">
        <v>0</v>
      </c>
      <c r="S1570">
        <v>0</v>
      </c>
      <c r="T1570">
        <v>0</v>
      </c>
      <c r="U1570">
        <v>89</v>
      </c>
      <c r="V1570">
        <v>15</v>
      </c>
      <c r="W1570">
        <v>0</v>
      </c>
      <c r="X1570">
        <v>74</v>
      </c>
      <c r="Y1570">
        <v>2</v>
      </c>
      <c r="Z1570">
        <v>0</v>
      </c>
      <c r="AA1570">
        <v>0</v>
      </c>
      <c r="AB1570">
        <v>0</v>
      </c>
      <c r="AC1570">
        <v>27</v>
      </c>
      <c r="AD1570">
        <v>0</v>
      </c>
      <c r="AE1570">
        <v>207</v>
      </c>
      <c r="AF1570">
        <v>246</v>
      </c>
      <c r="AJ1570">
        <v>5.17</v>
      </c>
      <c r="AK1570" t="str">
        <f t="shared" si="24"/>
        <v>WF002-6200</v>
      </c>
    </row>
    <row r="1571" spans="1:37">
      <c r="A1571" t="s">
        <v>2961</v>
      </c>
      <c r="B1571" t="s">
        <v>2962</v>
      </c>
      <c r="C1571" t="s">
        <v>267</v>
      </c>
      <c r="D1571" t="s">
        <v>2174</v>
      </c>
      <c r="E1571">
        <v>48</v>
      </c>
      <c r="F1571">
        <v>0.6</v>
      </c>
      <c r="G1571">
        <v>455</v>
      </c>
      <c r="H1571">
        <v>1144</v>
      </c>
      <c r="I1571">
        <v>1471</v>
      </c>
      <c r="J1571">
        <v>1240</v>
      </c>
      <c r="K1571">
        <v>2915</v>
      </c>
      <c r="L1571">
        <v>1161</v>
      </c>
      <c r="M1571">
        <v>0</v>
      </c>
      <c r="N1571">
        <v>379</v>
      </c>
      <c r="O1571">
        <v>0</v>
      </c>
      <c r="P1571">
        <v>0</v>
      </c>
      <c r="Q1571">
        <v>2536</v>
      </c>
      <c r="R1571">
        <v>258</v>
      </c>
      <c r="S1571">
        <v>352</v>
      </c>
      <c r="T1571">
        <v>1511</v>
      </c>
      <c r="U1571">
        <v>1570</v>
      </c>
      <c r="V1571">
        <v>2160</v>
      </c>
      <c r="W1571">
        <v>2641</v>
      </c>
      <c r="X1571">
        <v>593</v>
      </c>
      <c r="Y1571">
        <v>2566</v>
      </c>
      <c r="Z1571">
        <v>392</v>
      </c>
      <c r="AA1571">
        <v>1398</v>
      </c>
      <c r="AB1571">
        <v>748</v>
      </c>
      <c r="AC1571">
        <v>495</v>
      </c>
      <c r="AD1571">
        <v>449</v>
      </c>
      <c r="AE1571">
        <v>14875</v>
      </c>
      <c r="AF1571">
        <v>19450</v>
      </c>
      <c r="AJ1571">
        <v>4.96</v>
      </c>
      <c r="AK1571" t="str">
        <f t="shared" si="24"/>
        <v>WF011-5000</v>
      </c>
    </row>
    <row r="1572" spans="1:37">
      <c r="A1572" t="s">
        <v>2963</v>
      </c>
      <c r="B1572" t="s">
        <v>2962</v>
      </c>
      <c r="C1572" t="s">
        <v>267</v>
      </c>
      <c r="D1572" t="s">
        <v>2174</v>
      </c>
      <c r="E1572">
        <v>48</v>
      </c>
      <c r="F1572">
        <v>0.1</v>
      </c>
      <c r="G1572">
        <v>127</v>
      </c>
      <c r="H1572">
        <v>186</v>
      </c>
      <c r="I1572">
        <v>375</v>
      </c>
      <c r="J1572">
        <v>465</v>
      </c>
      <c r="K1572">
        <v>182</v>
      </c>
      <c r="L1572">
        <v>275</v>
      </c>
      <c r="M1572">
        <v>0</v>
      </c>
      <c r="N1572">
        <v>106</v>
      </c>
      <c r="O1572">
        <v>0</v>
      </c>
      <c r="P1572">
        <v>0</v>
      </c>
      <c r="Q1572">
        <v>76</v>
      </c>
      <c r="R1572">
        <v>0</v>
      </c>
      <c r="S1572">
        <v>345</v>
      </c>
      <c r="T1572">
        <v>52</v>
      </c>
      <c r="U1572">
        <v>161</v>
      </c>
      <c r="V1572">
        <v>490</v>
      </c>
      <c r="W1572">
        <v>1013</v>
      </c>
      <c r="X1572">
        <v>189</v>
      </c>
      <c r="Y1572">
        <v>60</v>
      </c>
      <c r="Z1572">
        <v>2239</v>
      </c>
      <c r="AA1572">
        <v>55</v>
      </c>
      <c r="AB1572">
        <v>78</v>
      </c>
      <c r="AC1572">
        <v>369</v>
      </c>
      <c r="AD1572">
        <v>529</v>
      </c>
      <c r="AE1572">
        <v>5580</v>
      </c>
      <c r="AF1572">
        <v>5865</v>
      </c>
      <c r="AJ1572">
        <v>5.9</v>
      </c>
      <c r="AK1572" t="str">
        <f t="shared" si="24"/>
        <v>WF011-6200</v>
      </c>
    </row>
    <row r="1573" spans="1:37">
      <c r="A1573" t="s">
        <v>2964</v>
      </c>
      <c r="B1573" t="s">
        <v>2965</v>
      </c>
      <c r="C1573" t="s">
        <v>313</v>
      </c>
      <c r="E1573">
        <v>43</v>
      </c>
      <c r="F1573">
        <v>1</v>
      </c>
      <c r="G1573">
        <v>3</v>
      </c>
      <c r="H1573">
        <v>225</v>
      </c>
      <c r="I1573">
        <v>284</v>
      </c>
      <c r="J1573">
        <v>200</v>
      </c>
      <c r="K1573">
        <v>918</v>
      </c>
      <c r="L1573">
        <v>31</v>
      </c>
      <c r="M1573">
        <v>0</v>
      </c>
      <c r="N1573">
        <v>3</v>
      </c>
      <c r="O1573">
        <v>0</v>
      </c>
      <c r="P1573">
        <v>0</v>
      </c>
      <c r="Q1573">
        <v>915</v>
      </c>
      <c r="R1573">
        <v>0</v>
      </c>
      <c r="S1573">
        <v>318</v>
      </c>
      <c r="T1573">
        <v>0</v>
      </c>
      <c r="U1573">
        <v>357</v>
      </c>
      <c r="V1573">
        <v>827</v>
      </c>
      <c r="W1573">
        <v>64</v>
      </c>
      <c r="X1573">
        <v>135</v>
      </c>
      <c r="Y1573">
        <v>33</v>
      </c>
      <c r="Z1573">
        <v>395</v>
      </c>
      <c r="AA1573">
        <v>0</v>
      </c>
      <c r="AB1573">
        <v>195</v>
      </c>
      <c r="AC1573">
        <v>5</v>
      </c>
      <c r="AD1573">
        <v>67</v>
      </c>
      <c r="AE1573">
        <v>2396</v>
      </c>
      <c r="AF1573">
        <v>1671</v>
      </c>
      <c r="AJ1573">
        <v>5.99</v>
      </c>
      <c r="AK1573" t="str">
        <f t="shared" si="24"/>
        <v>WH005-5000</v>
      </c>
    </row>
    <row r="1574" spans="1:37">
      <c r="A1574" t="s">
        <v>2966</v>
      </c>
      <c r="B1574" t="s">
        <v>2965</v>
      </c>
      <c r="C1574" t="s">
        <v>313</v>
      </c>
      <c r="E1574">
        <v>43</v>
      </c>
      <c r="F1574">
        <v>0.8</v>
      </c>
      <c r="G1574">
        <v>28</v>
      </c>
      <c r="H1574">
        <v>338</v>
      </c>
      <c r="I1574">
        <v>169</v>
      </c>
      <c r="J1574">
        <v>229</v>
      </c>
      <c r="K1574">
        <v>1138</v>
      </c>
      <c r="L1574">
        <v>25</v>
      </c>
      <c r="M1574">
        <v>0</v>
      </c>
      <c r="N1574">
        <v>23</v>
      </c>
      <c r="O1574">
        <v>0</v>
      </c>
      <c r="P1574">
        <v>0</v>
      </c>
      <c r="Q1574">
        <v>1115</v>
      </c>
      <c r="R1574">
        <v>0</v>
      </c>
      <c r="S1574">
        <v>92</v>
      </c>
      <c r="T1574">
        <v>58</v>
      </c>
      <c r="U1574">
        <v>864</v>
      </c>
      <c r="V1574">
        <v>0</v>
      </c>
      <c r="W1574">
        <v>0</v>
      </c>
      <c r="X1574">
        <v>0</v>
      </c>
      <c r="Y1574">
        <v>453</v>
      </c>
      <c r="Z1574">
        <v>1064</v>
      </c>
      <c r="AA1574">
        <v>0</v>
      </c>
      <c r="AB1574">
        <v>0</v>
      </c>
      <c r="AC1574">
        <v>0</v>
      </c>
      <c r="AD1574">
        <v>214</v>
      </c>
      <c r="AE1574">
        <v>2745</v>
      </c>
      <c r="AF1574">
        <v>1149</v>
      </c>
      <c r="AJ1574">
        <v>5.56</v>
      </c>
      <c r="AK1574" t="str">
        <f t="shared" si="24"/>
        <v>WH005-6200</v>
      </c>
    </row>
    <row r="1575" spans="1:37">
      <c r="A1575" t="s">
        <v>2967</v>
      </c>
      <c r="B1575" t="s">
        <v>2968</v>
      </c>
      <c r="C1575" t="s">
        <v>313</v>
      </c>
      <c r="E1575">
        <v>43</v>
      </c>
      <c r="F1575">
        <v>3.3</v>
      </c>
      <c r="G1575">
        <v>601</v>
      </c>
      <c r="H1575">
        <v>388</v>
      </c>
      <c r="I1575">
        <v>356</v>
      </c>
      <c r="J1575">
        <v>515</v>
      </c>
      <c r="K1575">
        <v>5685</v>
      </c>
      <c r="L1575">
        <v>509</v>
      </c>
      <c r="M1575">
        <v>0</v>
      </c>
      <c r="N1575">
        <v>501</v>
      </c>
      <c r="O1575">
        <v>0</v>
      </c>
      <c r="P1575">
        <v>0</v>
      </c>
      <c r="Q1575">
        <v>5184</v>
      </c>
      <c r="R1575">
        <v>2001</v>
      </c>
      <c r="S1575">
        <v>210</v>
      </c>
      <c r="T1575">
        <v>343</v>
      </c>
      <c r="U1575">
        <v>612</v>
      </c>
      <c r="V1575">
        <v>424</v>
      </c>
      <c r="W1575">
        <v>302</v>
      </c>
      <c r="X1575">
        <v>246</v>
      </c>
      <c r="Y1575">
        <v>163</v>
      </c>
      <c r="Z1575">
        <v>1490</v>
      </c>
      <c r="AA1575">
        <v>1070</v>
      </c>
      <c r="AB1575">
        <v>352</v>
      </c>
      <c r="AC1575">
        <v>154</v>
      </c>
      <c r="AD1575">
        <v>810</v>
      </c>
      <c r="AE1575">
        <v>6176</v>
      </c>
      <c r="AF1575">
        <v>7405</v>
      </c>
      <c r="AJ1575">
        <v>4.09</v>
      </c>
      <c r="AK1575" t="str">
        <f t="shared" si="24"/>
        <v>WH100-5000</v>
      </c>
    </row>
    <row r="1576" spans="1:37">
      <c r="A1576" t="s">
        <v>2969</v>
      </c>
      <c r="B1576" t="s">
        <v>2968</v>
      </c>
      <c r="C1576" t="s">
        <v>313</v>
      </c>
      <c r="E1576">
        <v>43</v>
      </c>
      <c r="F1576">
        <v>4</v>
      </c>
      <c r="G1576">
        <v>90</v>
      </c>
      <c r="H1576">
        <v>1396</v>
      </c>
      <c r="I1576">
        <v>863</v>
      </c>
      <c r="J1576">
        <v>1240</v>
      </c>
      <c r="K1576">
        <v>22643</v>
      </c>
      <c r="L1576">
        <v>49</v>
      </c>
      <c r="M1576">
        <v>0</v>
      </c>
      <c r="N1576">
        <v>75</v>
      </c>
      <c r="O1576">
        <v>0</v>
      </c>
      <c r="P1576">
        <v>0</v>
      </c>
      <c r="Q1576">
        <v>22568</v>
      </c>
      <c r="R1576">
        <v>0</v>
      </c>
      <c r="S1576">
        <v>3783</v>
      </c>
      <c r="T1576">
        <v>248</v>
      </c>
      <c r="U1576">
        <v>158</v>
      </c>
      <c r="V1576">
        <v>48</v>
      </c>
      <c r="W1576">
        <v>940</v>
      </c>
      <c r="X1576">
        <v>0</v>
      </c>
      <c r="Y1576">
        <v>1028</v>
      </c>
      <c r="Z1576">
        <v>6300</v>
      </c>
      <c r="AA1576">
        <v>43</v>
      </c>
      <c r="AB1576">
        <v>65</v>
      </c>
      <c r="AC1576">
        <v>0</v>
      </c>
      <c r="AD1576">
        <v>2264</v>
      </c>
      <c r="AE1576">
        <v>14877</v>
      </c>
      <c r="AF1576">
        <v>9634</v>
      </c>
      <c r="AJ1576">
        <v>3.84</v>
      </c>
      <c r="AK1576" t="str">
        <f t="shared" si="24"/>
        <v>WH100-6200</v>
      </c>
    </row>
    <row r="1577" spans="1:37">
      <c r="A1577" t="s">
        <v>2970</v>
      </c>
      <c r="B1577" t="s">
        <v>2971</v>
      </c>
      <c r="C1577" t="s">
        <v>110</v>
      </c>
      <c r="E1577">
        <v>50</v>
      </c>
      <c r="F1577">
        <v>0.1</v>
      </c>
      <c r="G1577">
        <v>160</v>
      </c>
      <c r="H1577">
        <v>347</v>
      </c>
      <c r="I1577">
        <v>192</v>
      </c>
      <c r="J1577">
        <v>213</v>
      </c>
      <c r="K1577">
        <v>319</v>
      </c>
      <c r="L1577">
        <v>297</v>
      </c>
      <c r="M1577">
        <v>0</v>
      </c>
      <c r="N1577">
        <v>133</v>
      </c>
      <c r="O1577">
        <v>0</v>
      </c>
      <c r="P1577">
        <v>0</v>
      </c>
      <c r="Q1577">
        <v>186</v>
      </c>
      <c r="R1577">
        <v>0</v>
      </c>
      <c r="S1577">
        <v>465</v>
      </c>
      <c r="T1577">
        <v>396</v>
      </c>
      <c r="U1577">
        <v>179</v>
      </c>
      <c r="V1577">
        <v>0</v>
      </c>
      <c r="W1577">
        <v>109</v>
      </c>
      <c r="X1577">
        <v>0</v>
      </c>
      <c r="Y1577">
        <v>563</v>
      </c>
      <c r="Z1577">
        <v>152</v>
      </c>
      <c r="AA1577">
        <v>295</v>
      </c>
      <c r="AB1577">
        <v>339</v>
      </c>
      <c r="AC1577">
        <v>12</v>
      </c>
      <c r="AD1577">
        <v>46</v>
      </c>
      <c r="AE1577">
        <v>2556</v>
      </c>
      <c r="AF1577">
        <v>4381</v>
      </c>
      <c r="AJ1577">
        <v>4.6100000000000003</v>
      </c>
      <c r="AK1577" t="str">
        <f t="shared" si="24"/>
        <v>WK017-5000</v>
      </c>
    </row>
    <row r="1578" spans="1:37">
      <c r="A1578" t="s">
        <v>2972</v>
      </c>
      <c r="B1578" t="s">
        <v>2971</v>
      </c>
      <c r="C1578" t="s">
        <v>110</v>
      </c>
      <c r="E1578">
        <v>50</v>
      </c>
      <c r="F1578">
        <v>0.5</v>
      </c>
      <c r="G1578">
        <v>40</v>
      </c>
      <c r="H1578">
        <v>75</v>
      </c>
      <c r="I1578">
        <v>61</v>
      </c>
      <c r="J1578">
        <v>72</v>
      </c>
      <c r="K1578">
        <v>195</v>
      </c>
      <c r="L1578">
        <v>27</v>
      </c>
      <c r="M1578">
        <v>0</v>
      </c>
      <c r="N1578">
        <v>33</v>
      </c>
      <c r="O1578">
        <v>0</v>
      </c>
      <c r="P1578">
        <v>0</v>
      </c>
      <c r="Q1578">
        <v>162</v>
      </c>
      <c r="R1578">
        <v>0</v>
      </c>
      <c r="S1578">
        <v>146</v>
      </c>
      <c r="T1578">
        <v>42</v>
      </c>
      <c r="U1578">
        <v>37</v>
      </c>
      <c r="V1578">
        <v>106</v>
      </c>
      <c r="W1578">
        <v>33</v>
      </c>
      <c r="X1578">
        <v>0</v>
      </c>
      <c r="Y1578">
        <v>140</v>
      </c>
      <c r="Z1578">
        <v>51</v>
      </c>
      <c r="AA1578">
        <v>197</v>
      </c>
      <c r="AB1578">
        <v>0</v>
      </c>
      <c r="AC1578">
        <v>0</v>
      </c>
      <c r="AD1578">
        <v>112</v>
      </c>
      <c r="AE1578">
        <v>864</v>
      </c>
      <c r="AF1578">
        <v>952</v>
      </c>
      <c r="AJ1578">
        <v>4.6100000000000003</v>
      </c>
      <c r="AK1578" t="str">
        <f t="shared" si="24"/>
        <v>WK017-6200</v>
      </c>
    </row>
    <row r="1579" spans="1:37">
      <c r="A1579" t="s">
        <v>2973</v>
      </c>
      <c r="B1579" t="s">
        <v>2974</v>
      </c>
      <c r="C1579" t="s">
        <v>1558</v>
      </c>
      <c r="D1579" t="s">
        <v>2975</v>
      </c>
      <c r="E1579">
        <v>43</v>
      </c>
      <c r="F1579">
        <v>8.8000000000000007</v>
      </c>
      <c r="G1579">
        <v>51</v>
      </c>
      <c r="H1579">
        <v>47</v>
      </c>
      <c r="I1579">
        <v>309</v>
      </c>
      <c r="J1579">
        <v>352</v>
      </c>
      <c r="K1579">
        <v>1694</v>
      </c>
      <c r="L1579">
        <v>221</v>
      </c>
      <c r="M1579">
        <v>0</v>
      </c>
      <c r="N1579">
        <v>43</v>
      </c>
      <c r="O1579">
        <v>0</v>
      </c>
      <c r="P1579">
        <v>0</v>
      </c>
      <c r="Q1579">
        <v>1651</v>
      </c>
      <c r="R1579">
        <v>89</v>
      </c>
      <c r="S1579">
        <v>61</v>
      </c>
      <c r="T1579">
        <v>10</v>
      </c>
      <c r="U1579">
        <v>69</v>
      </c>
      <c r="V1579">
        <v>1333</v>
      </c>
      <c r="W1579">
        <v>383</v>
      </c>
      <c r="X1579">
        <v>0</v>
      </c>
      <c r="Y1579">
        <v>442</v>
      </c>
      <c r="Z1579">
        <v>589</v>
      </c>
      <c r="AA1579">
        <v>765</v>
      </c>
      <c r="AB1579">
        <v>144</v>
      </c>
      <c r="AC1579">
        <v>404</v>
      </c>
      <c r="AD1579">
        <v>29</v>
      </c>
      <c r="AE1579">
        <v>4229</v>
      </c>
      <c r="AF1579">
        <v>2060</v>
      </c>
      <c r="AG1579" t="s">
        <v>2976</v>
      </c>
      <c r="AH1579">
        <v>4</v>
      </c>
      <c r="AI1579">
        <v>139</v>
      </c>
      <c r="AJ1579">
        <v>5.99</v>
      </c>
      <c r="AK1579" t="str">
        <f t="shared" si="24"/>
        <v>WK022-5000</v>
      </c>
    </row>
    <row r="1580" spans="1:37">
      <c r="A1580" t="s">
        <v>2977</v>
      </c>
      <c r="B1580" t="s">
        <v>2974</v>
      </c>
      <c r="C1580" t="s">
        <v>313</v>
      </c>
      <c r="D1580" t="s">
        <v>2975</v>
      </c>
      <c r="E1580">
        <v>43</v>
      </c>
      <c r="F1580">
        <v>3.6</v>
      </c>
      <c r="G1580">
        <v>51</v>
      </c>
      <c r="H1580">
        <v>72</v>
      </c>
      <c r="I1580">
        <v>144</v>
      </c>
      <c r="J1580">
        <v>115</v>
      </c>
      <c r="K1580">
        <v>1093</v>
      </c>
      <c r="L1580">
        <v>28</v>
      </c>
      <c r="M1580">
        <v>0</v>
      </c>
      <c r="N1580">
        <v>43</v>
      </c>
      <c r="O1580">
        <v>0</v>
      </c>
      <c r="P1580">
        <v>0</v>
      </c>
      <c r="Q1580">
        <v>1050</v>
      </c>
      <c r="R1580">
        <v>0</v>
      </c>
      <c r="S1580">
        <v>34</v>
      </c>
      <c r="T1580">
        <v>161</v>
      </c>
      <c r="U1580">
        <v>22</v>
      </c>
      <c r="V1580">
        <v>155</v>
      </c>
      <c r="W1580">
        <v>441</v>
      </c>
      <c r="X1580">
        <v>49</v>
      </c>
      <c r="Y1580">
        <v>56</v>
      </c>
      <c r="Z1580">
        <v>128</v>
      </c>
      <c r="AA1580">
        <v>146</v>
      </c>
      <c r="AB1580">
        <v>111</v>
      </c>
      <c r="AC1580">
        <v>48</v>
      </c>
      <c r="AD1580">
        <v>27</v>
      </c>
      <c r="AE1580">
        <v>1378</v>
      </c>
      <c r="AF1580">
        <v>1105</v>
      </c>
      <c r="AJ1580">
        <v>5.74</v>
      </c>
      <c r="AK1580" t="str">
        <f t="shared" si="24"/>
        <v>WK022-6200</v>
      </c>
    </row>
    <row r="1581" spans="1:37">
      <c r="A1581" t="s">
        <v>2978</v>
      </c>
      <c r="B1581" t="s">
        <v>2979</v>
      </c>
      <c r="C1581" t="s">
        <v>313</v>
      </c>
      <c r="D1581" t="s">
        <v>2975</v>
      </c>
      <c r="E1581">
        <v>43</v>
      </c>
      <c r="F1581">
        <v>0</v>
      </c>
      <c r="G1581">
        <v>21</v>
      </c>
      <c r="H1581">
        <v>0</v>
      </c>
      <c r="I1581">
        <v>3</v>
      </c>
      <c r="J1581">
        <v>14</v>
      </c>
      <c r="K1581">
        <v>0</v>
      </c>
      <c r="L1581">
        <v>26</v>
      </c>
      <c r="M1581">
        <v>0</v>
      </c>
      <c r="N1581">
        <v>18</v>
      </c>
      <c r="O1581">
        <v>0</v>
      </c>
      <c r="P1581">
        <v>0</v>
      </c>
      <c r="Q1581">
        <v>-18</v>
      </c>
      <c r="R1581">
        <v>14</v>
      </c>
      <c r="S1581">
        <v>0</v>
      </c>
      <c r="T1581">
        <v>0</v>
      </c>
      <c r="U1581">
        <v>0</v>
      </c>
      <c r="V1581">
        <v>0</v>
      </c>
      <c r="W1581">
        <v>18</v>
      </c>
      <c r="X1581">
        <v>0</v>
      </c>
      <c r="Y1581">
        <v>37</v>
      </c>
      <c r="Z1581">
        <v>12</v>
      </c>
      <c r="AA1581">
        <v>24</v>
      </c>
      <c r="AB1581">
        <v>33</v>
      </c>
      <c r="AC1581">
        <v>0</v>
      </c>
      <c r="AD1581">
        <v>38</v>
      </c>
      <c r="AE1581">
        <v>162</v>
      </c>
      <c r="AF1581">
        <v>93</v>
      </c>
      <c r="AJ1581">
        <v>5.55</v>
      </c>
      <c r="AK1581" t="str">
        <f t="shared" si="24"/>
        <v>WK023-5000</v>
      </c>
    </row>
    <row r="1582" spans="1:37">
      <c r="A1582" t="s">
        <v>2980</v>
      </c>
      <c r="B1582" t="s">
        <v>2979</v>
      </c>
      <c r="C1582" t="s">
        <v>313</v>
      </c>
      <c r="D1582" t="s">
        <v>2975</v>
      </c>
      <c r="E1582">
        <v>43</v>
      </c>
      <c r="F1582">
        <v>10.199999999999999</v>
      </c>
      <c r="G1582">
        <v>14</v>
      </c>
      <c r="H1582">
        <v>18</v>
      </c>
      <c r="I1582">
        <v>9</v>
      </c>
      <c r="J1582">
        <v>13</v>
      </c>
      <c r="K1582">
        <v>732</v>
      </c>
      <c r="L1582">
        <v>6</v>
      </c>
      <c r="M1582">
        <v>0</v>
      </c>
      <c r="N1582">
        <v>11</v>
      </c>
      <c r="O1582">
        <v>0</v>
      </c>
      <c r="P1582">
        <v>0</v>
      </c>
      <c r="Q1582">
        <v>721</v>
      </c>
      <c r="R1582">
        <v>0</v>
      </c>
      <c r="S1582">
        <v>53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105</v>
      </c>
      <c r="AC1582">
        <v>0</v>
      </c>
      <c r="AD1582">
        <v>0</v>
      </c>
      <c r="AE1582">
        <v>158</v>
      </c>
      <c r="AF1582">
        <v>205</v>
      </c>
      <c r="AJ1582">
        <v>5.3</v>
      </c>
      <c r="AK1582" t="str">
        <f t="shared" si="24"/>
        <v>WK023-6200</v>
      </c>
    </row>
    <row r="1583" spans="1:37">
      <c r="A1583" t="s">
        <v>2981</v>
      </c>
      <c r="B1583" t="s">
        <v>2982</v>
      </c>
      <c r="C1583" t="s">
        <v>313</v>
      </c>
      <c r="D1583" t="s">
        <v>2174</v>
      </c>
      <c r="E1583">
        <v>43</v>
      </c>
      <c r="F1583">
        <v>1.6</v>
      </c>
      <c r="G1583">
        <v>44</v>
      </c>
      <c r="H1583">
        <v>80</v>
      </c>
      <c r="I1583">
        <v>292</v>
      </c>
      <c r="J1583">
        <v>226</v>
      </c>
      <c r="K1583">
        <v>546</v>
      </c>
      <c r="L1583">
        <v>206</v>
      </c>
      <c r="M1583">
        <v>0</v>
      </c>
      <c r="N1583">
        <v>36</v>
      </c>
      <c r="O1583">
        <v>0</v>
      </c>
      <c r="P1583">
        <v>284</v>
      </c>
      <c r="Q1583">
        <v>510</v>
      </c>
      <c r="R1583">
        <v>0</v>
      </c>
      <c r="S1583">
        <v>230</v>
      </c>
      <c r="T1583">
        <v>9</v>
      </c>
      <c r="U1583">
        <v>0</v>
      </c>
      <c r="V1583">
        <v>1250</v>
      </c>
      <c r="W1583">
        <v>90</v>
      </c>
      <c r="X1583">
        <v>172</v>
      </c>
      <c r="Y1583">
        <v>277</v>
      </c>
      <c r="Z1583">
        <v>314</v>
      </c>
      <c r="AA1583">
        <v>0</v>
      </c>
      <c r="AB1583">
        <v>155</v>
      </c>
      <c r="AC1583">
        <v>0</v>
      </c>
      <c r="AD1583">
        <v>220</v>
      </c>
      <c r="AE1583">
        <v>2717</v>
      </c>
      <c r="AF1583">
        <v>1485</v>
      </c>
      <c r="AJ1583">
        <v>5.83</v>
      </c>
      <c r="AK1583" t="str">
        <f t="shared" si="24"/>
        <v>WK024-5000</v>
      </c>
    </row>
    <row r="1584" spans="1:37">
      <c r="A1584" t="s">
        <v>2983</v>
      </c>
      <c r="B1584" t="s">
        <v>2982</v>
      </c>
      <c r="C1584" t="s">
        <v>313</v>
      </c>
      <c r="D1584" t="s">
        <v>2174</v>
      </c>
      <c r="E1584">
        <v>43</v>
      </c>
      <c r="F1584">
        <v>6.5</v>
      </c>
      <c r="G1584">
        <v>0</v>
      </c>
      <c r="H1584">
        <v>50</v>
      </c>
      <c r="I1584">
        <v>25</v>
      </c>
      <c r="J1584">
        <v>33</v>
      </c>
      <c r="K1584">
        <v>1317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1317</v>
      </c>
      <c r="R1584">
        <v>0</v>
      </c>
      <c r="S1584">
        <v>15</v>
      </c>
      <c r="T1584">
        <v>0</v>
      </c>
      <c r="U1584">
        <v>136</v>
      </c>
      <c r="V1584">
        <v>0</v>
      </c>
      <c r="W1584">
        <v>0</v>
      </c>
      <c r="X1584">
        <v>0</v>
      </c>
      <c r="Y1584">
        <v>68</v>
      </c>
      <c r="Z1584">
        <v>13</v>
      </c>
      <c r="AA1584">
        <v>0</v>
      </c>
      <c r="AB1584">
        <v>120</v>
      </c>
      <c r="AC1584">
        <v>24</v>
      </c>
      <c r="AD1584">
        <v>25</v>
      </c>
      <c r="AE1584">
        <v>401</v>
      </c>
      <c r="AF1584">
        <v>526</v>
      </c>
      <c r="AJ1584">
        <v>4.62</v>
      </c>
      <c r="AK1584" t="str">
        <f t="shared" si="24"/>
        <v>WK024-6200</v>
      </c>
    </row>
    <row r="1585" spans="1:37">
      <c r="A1585" t="s">
        <v>2984</v>
      </c>
      <c r="B1585" t="s">
        <v>2985</v>
      </c>
      <c r="C1585" t="s">
        <v>110</v>
      </c>
      <c r="D1585" t="s">
        <v>2174</v>
      </c>
      <c r="E1585">
        <v>50</v>
      </c>
      <c r="F1585">
        <v>1.9</v>
      </c>
      <c r="G1585">
        <v>0</v>
      </c>
      <c r="H1585">
        <v>66</v>
      </c>
      <c r="I1585">
        <v>113</v>
      </c>
      <c r="J1585">
        <v>131</v>
      </c>
      <c r="K1585">
        <v>502</v>
      </c>
      <c r="L1585">
        <v>8</v>
      </c>
      <c r="M1585">
        <v>0</v>
      </c>
      <c r="N1585">
        <v>0</v>
      </c>
      <c r="O1585">
        <v>0</v>
      </c>
      <c r="P1585">
        <v>0</v>
      </c>
      <c r="Q1585">
        <v>502</v>
      </c>
      <c r="R1585">
        <v>0</v>
      </c>
      <c r="S1585">
        <v>0</v>
      </c>
      <c r="T1585">
        <v>66</v>
      </c>
      <c r="U1585">
        <v>132</v>
      </c>
      <c r="V1585">
        <v>358</v>
      </c>
      <c r="W1585">
        <v>84</v>
      </c>
      <c r="X1585">
        <v>40</v>
      </c>
      <c r="Y1585">
        <v>352</v>
      </c>
      <c r="Z1585">
        <v>0</v>
      </c>
      <c r="AA1585">
        <v>119</v>
      </c>
      <c r="AB1585">
        <v>381</v>
      </c>
      <c r="AC1585">
        <v>17</v>
      </c>
      <c r="AD1585">
        <v>18</v>
      </c>
      <c r="AE1585">
        <v>1567</v>
      </c>
      <c r="AF1585">
        <v>995</v>
      </c>
      <c r="AJ1585">
        <v>4.8</v>
      </c>
      <c r="AK1585" t="str">
        <f t="shared" si="24"/>
        <v>WK025-5000</v>
      </c>
    </row>
    <row r="1586" spans="1:37">
      <c r="A1586" t="s">
        <v>2986</v>
      </c>
      <c r="B1586" t="s">
        <v>2985</v>
      </c>
      <c r="C1586" t="s">
        <v>110</v>
      </c>
      <c r="D1586" t="s">
        <v>2174</v>
      </c>
      <c r="E1586">
        <v>50</v>
      </c>
      <c r="F1586">
        <v>18.3</v>
      </c>
      <c r="G1586">
        <v>0</v>
      </c>
      <c r="H1586">
        <v>9</v>
      </c>
      <c r="I1586">
        <v>258</v>
      </c>
      <c r="J1586">
        <v>149</v>
      </c>
      <c r="K1586">
        <v>634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634</v>
      </c>
      <c r="R1586">
        <v>0</v>
      </c>
      <c r="S1586">
        <v>0</v>
      </c>
      <c r="T1586">
        <v>26</v>
      </c>
      <c r="U1586">
        <v>0</v>
      </c>
      <c r="V1586">
        <v>940</v>
      </c>
      <c r="W1586">
        <v>584</v>
      </c>
      <c r="X1586">
        <v>0</v>
      </c>
      <c r="Y1586">
        <v>0</v>
      </c>
      <c r="Z1586">
        <v>0</v>
      </c>
      <c r="AA1586">
        <v>96</v>
      </c>
      <c r="AB1586">
        <v>138</v>
      </c>
      <c r="AC1586">
        <v>9</v>
      </c>
      <c r="AD1586">
        <v>0</v>
      </c>
      <c r="AE1586">
        <v>1793</v>
      </c>
      <c r="AF1586">
        <v>736</v>
      </c>
      <c r="AJ1586">
        <v>4.8</v>
      </c>
      <c r="AK1586" t="str">
        <f t="shared" si="24"/>
        <v>WK025-6200</v>
      </c>
    </row>
    <row r="1587" spans="1:37">
      <c r="A1587" t="s">
        <v>2987</v>
      </c>
      <c r="B1587" t="s">
        <v>2988</v>
      </c>
      <c r="C1587" t="s">
        <v>110</v>
      </c>
      <c r="D1587" t="s">
        <v>2174</v>
      </c>
      <c r="E1587">
        <v>50</v>
      </c>
      <c r="F1587">
        <v>0</v>
      </c>
      <c r="G1587">
        <v>21</v>
      </c>
      <c r="H1587">
        <v>151</v>
      </c>
      <c r="I1587">
        <v>286</v>
      </c>
      <c r="J1587">
        <v>280</v>
      </c>
      <c r="K1587">
        <v>0</v>
      </c>
      <c r="L1587">
        <v>283</v>
      </c>
      <c r="M1587">
        <v>0</v>
      </c>
      <c r="N1587">
        <v>17</v>
      </c>
      <c r="O1587">
        <v>0</v>
      </c>
      <c r="P1587">
        <v>0</v>
      </c>
      <c r="Q1587">
        <v>-17</v>
      </c>
      <c r="R1587">
        <v>0</v>
      </c>
      <c r="S1587">
        <v>286</v>
      </c>
      <c r="T1587">
        <v>152</v>
      </c>
      <c r="U1587">
        <v>15</v>
      </c>
      <c r="V1587">
        <v>31</v>
      </c>
      <c r="W1587">
        <v>1139</v>
      </c>
      <c r="X1587">
        <v>92</v>
      </c>
      <c r="Y1587">
        <v>348</v>
      </c>
      <c r="Z1587">
        <v>129</v>
      </c>
      <c r="AA1587">
        <v>264</v>
      </c>
      <c r="AB1587">
        <v>212</v>
      </c>
      <c r="AC1587">
        <v>337</v>
      </c>
      <c r="AD1587">
        <v>351</v>
      </c>
      <c r="AE1587">
        <v>3356</v>
      </c>
      <c r="AF1587">
        <v>2505</v>
      </c>
      <c r="AJ1587">
        <v>4.37</v>
      </c>
      <c r="AK1587" t="str">
        <f t="shared" si="24"/>
        <v>WK027-5000</v>
      </c>
    </row>
    <row r="1588" spans="1:37">
      <c r="A1588" t="s">
        <v>2989</v>
      </c>
      <c r="B1588" t="s">
        <v>2988</v>
      </c>
      <c r="C1588" t="s">
        <v>110</v>
      </c>
      <c r="D1588" t="s">
        <v>2174</v>
      </c>
      <c r="E1588">
        <v>50</v>
      </c>
      <c r="F1588">
        <v>0.4</v>
      </c>
      <c r="G1588">
        <v>8</v>
      </c>
      <c r="H1588">
        <v>55</v>
      </c>
      <c r="I1588">
        <v>56</v>
      </c>
      <c r="J1588">
        <v>29</v>
      </c>
      <c r="K1588">
        <v>94</v>
      </c>
      <c r="L1588">
        <v>4</v>
      </c>
      <c r="M1588">
        <v>0</v>
      </c>
      <c r="N1588">
        <v>7</v>
      </c>
      <c r="O1588">
        <v>0</v>
      </c>
      <c r="P1588">
        <v>0</v>
      </c>
      <c r="Q1588">
        <v>87</v>
      </c>
      <c r="R1588">
        <v>0</v>
      </c>
      <c r="S1588">
        <v>35</v>
      </c>
      <c r="T1588">
        <v>34</v>
      </c>
      <c r="U1588">
        <v>96</v>
      </c>
      <c r="V1588">
        <v>8</v>
      </c>
      <c r="W1588">
        <v>28</v>
      </c>
      <c r="X1588">
        <v>137</v>
      </c>
      <c r="Y1588">
        <v>0</v>
      </c>
      <c r="Z1588">
        <v>0</v>
      </c>
      <c r="AA1588">
        <v>0</v>
      </c>
      <c r="AB1588">
        <v>0</v>
      </c>
      <c r="AC1588">
        <v>7</v>
      </c>
      <c r="AD1588">
        <v>0</v>
      </c>
      <c r="AE1588">
        <v>345</v>
      </c>
      <c r="AF1588">
        <v>504</v>
      </c>
      <c r="AJ1588">
        <v>4.25</v>
      </c>
      <c r="AK1588" t="str">
        <f t="shared" si="24"/>
        <v>WK027-6200</v>
      </c>
    </row>
    <row r="1589" spans="1:37">
      <c r="A1589" t="s">
        <v>2990</v>
      </c>
      <c r="B1589" t="s">
        <v>2991</v>
      </c>
      <c r="C1589" t="s">
        <v>329</v>
      </c>
      <c r="D1589" t="s">
        <v>2992</v>
      </c>
      <c r="E1589">
        <v>43</v>
      </c>
      <c r="F1589">
        <v>-0.1</v>
      </c>
      <c r="G1589">
        <v>40</v>
      </c>
      <c r="H1589">
        <v>73</v>
      </c>
      <c r="I1589">
        <v>128</v>
      </c>
      <c r="J1589">
        <v>104</v>
      </c>
      <c r="K1589">
        <v>0</v>
      </c>
      <c r="L1589">
        <v>123</v>
      </c>
      <c r="M1589">
        <v>0</v>
      </c>
      <c r="N1589">
        <v>33</v>
      </c>
      <c r="O1589">
        <v>0</v>
      </c>
      <c r="P1589">
        <v>0</v>
      </c>
      <c r="Q1589">
        <v>-33</v>
      </c>
      <c r="R1589">
        <v>0</v>
      </c>
      <c r="S1589">
        <v>134</v>
      </c>
      <c r="T1589">
        <v>85</v>
      </c>
      <c r="U1589">
        <v>0</v>
      </c>
      <c r="V1589">
        <v>55</v>
      </c>
      <c r="W1589">
        <v>65</v>
      </c>
      <c r="X1589">
        <v>431</v>
      </c>
      <c r="Y1589">
        <v>88</v>
      </c>
      <c r="Z1589">
        <v>20</v>
      </c>
      <c r="AA1589">
        <v>114</v>
      </c>
      <c r="AB1589">
        <v>108</v>
      </c>
      <c r="AC1589">
        <v>0</v>
      </c>
      <c r="AD1589">
        <v>148</v>
      </c>
      <c r="AE1589">
        <v>1248</v>
      </c>
      <c r="AF1589">
        <v>1600</v>
      </c>
      <c r="AJ1589">
        <v>5.32</v>
      </c>
      <c r="AK1589" t="str">
        <f t="shared" si="24"/>
        <v>WM005-5000</v>
      </c>
    </row>
    <row r="1590" spans="1:37">
      <c r="A1590" t="s">
        <v>2993</v>
      </c>
      <c r="B1590" t="s">
        <v>2994</v>
      </c>
      <c r="C1590" t="s">
        <v>329</v>
      </c>
      <c r="D1590" t="s">
        <v>2995</v>
      </c>
      <c r="E1590">
        <v>43</v>
      </c>
      <c r="F1590">
        <v>9.5</v>
      </c>
      <c r="G1590">
        <v>21</v>
      </c>
      <c r="H1590">
        <v>10</v>
      </c>
      <c r="I1590">
        <v>93</v>
      </c>
      <c r="J1590">
        <v>59</v>
      </c>
      <c r="K1590">
        <v>385</v>
      </c>
      <c r="L1590">
        <v>8</v>
      </c>
      <c r="M1590">
        <v>0</v>
      </c>
      <c r="N1590">
        <v>17</v>
      </c>
      <c r="O1590">
        <v>0</v>
      </c>
      <c r="P1590">
        <v>0</v>
      </c>
      <c r="Q1590">
        <v>368</v>
      </c>
      <c r="R1590">
        <v>0</v>
      </c>
      <c r="S1590">
        <v>29</v>
      </c>
      <c r="T1590">
        <v>0</v>
      </c>
      <c r="U1590">
        <v>0</v>
      </c>
      <c r="V1590">
        <v>39</v>
      </c>
      <c r="W1590">
        <v>144</v>
      </c>
      <c r="X1590">
        <v>348</v>
      </c>
      <c r="Y1590">
        <v>0</v>
      </c>
      <c r="Z1590">
        <v>49</v>
      </c>
      <c r="AA1590">
        <v>0</v>
      </c>
      <c r="AB1590">
        <v>0</v>
      </c>
      <c r="AC1590">
        <v>49</v>
      </c>
      <c r="AD1590">
        <v>46</v>
      </c>
      <c r="AE1590">
        <v>704</v>
      </c>
      <c r="AF1590">
        <v>380</v>
      </c>
      <c r="AJ1590">
        <v>5.32</v>
      </c>
      <c r="AK1590" t="str">
        <f t="shared" si="24"/>
        <v>WM005-6200</v>
      </c>
    </row>
    <row r="1591" spans="1:37">
      <c r="A1591" t="s">
        <v>2996</v>
      </c>
      <c r="B1591" t="s">
        <v>2997</v>
      </c>
      <c r="E1591">
        <v>43</v>
      </c>
      <c r="F1591">
        <v>0</v>
      </c>
      <c r="G1591">
        <v>0</v>
      </c>
      <c r="H1591">
        <v>0</v>
      </c>
      <c r="I1591">
        <v>0</v>
      </c>
      <c r="J1591">
        <v>0</v>
      </c>
      <c r="K1591">
        <v>70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70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5</v>
      </c>
      <c r="AA1591">
        <v>0</v>
      </c>
      <c r="AB1591">
        <v>0</v>
      </c>
      <c r="AC1591">
        <v>0</v>
      </c>
      <c r="AD1591">
        <v>0</v>
      </c>
      <c r="AE1591">
        <v>5</v>
      </c>
      <c r="AF1591">
        <v>0</v>
      </c>
      <c r="AJ1591">
        <v>0</v>
      </c>
      <c r="AK1591" t="str">
        <f t="shared" si="24"/>
        <v>WM046-450L</v>
      </c>
    </row>
    <row r="1592" spans="1:37">
      <c r="A1592" t="s">
        <v>2998</v>
      </c>
      <c r="B1592" t="s">
        <v>2999</v>
      </c>
      <c r="E1592">
        <v>43</v>
      </c>
      <c r="F1592">
        <v>0</v>
      </c>
      <c r="G1592">
        <v>0</v>
      </c>
      <c r="H1592">
        <v>0</v>
      </c>
      <c r="I1592">
        <v>0</v>
      </c>
      <c r="J1592">
        <v>0</v>
      </c>
      <c r="K1592">
        <v>68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68</v>
      </c>
      <c r="R1592">
        <v>0</v>
      </c>
      <c r="S1592">
        <v>0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5</v>
      </c>
      <c r="AA1592">
        <v>0</v>
      </c>
      <c r="AB1592">
        <v>0</v>
      </c>
      <c r="AC1592">
        <v>0</v>
      </c>
      <c r="AD1592">
        <v>0</v>
      </c>
      <c r="AE1592">
        <v>5</v>
      </c>
      <c r="AF1592">
        <v>0</v>
      </c>
      <c r="AJ1592">
        <v>0</v>
      </c>
      <c r="AK1592" t="str">
        <f t="shared" si="24"/>
        <v>WM046-450R</v>
      </c>
    </row>
    <row r="1593" spans="1:37">
      <c r="A1593" t="s">
        <v>3000</v>
      </c>
      <c r="B1593" t="s">
        <v>3001</v>
      </c>
      <c r="C1593" t="s">
        <v>313</v>
      </c>
      <c r="E1593">
        <v>43</v>
      </c>
      <c r="F1593">
        <v>13.6</v>
      </c>
      <c r="G1593">
        <v>241</v>
      </c>
      <c r="H1593">
        <v>152</v>
      </c>
      <c r="I1593">
        <v>189</v>
      </c>
      <c r="J1593">
        <v>333</v>
      </c>
      <c r="K1593">
        <v>8461</v>
      </c>
      <c r="L1593">
        <v>104</v>
      </c>
      <c r="M1593">
        <v>0</v>
      </c>
      <c r="N1593">
        <v>200</v>
      </c>
      <c r="O1593">
        <v>0</v>
      </c>
      <c r="P1593">
        <v>0</v>
      </c>
      <c r="Q1593">
        <v>8261</v>
      </c>
      <c r="R1593">
        <v>0</v>
      </c>
      <c r="S1593">
        <v>136</v>
      </c>
      <c r="T1593">
        <v>321</v>
      </c>
      <c r="U1593">
        <v>0</v>
      </c>
      <c r="V1593">
        <v>0</v>
      </c>
      <c r="W1593">
        <v>674</v>
      </c>
      <c r="X1593">
        <v>0</v>
      </c>
      <c r="Y1593">
        <v>421</v>
      </c>
      <c r="Z1593">
        <v>304</v>
      </c>
      <c r="AA1593">
        <v>600</v>
      </c>
      <c r="AB1593">
        <v>559</v>
      </c>
      <c r="AC1593">
        <v>982</v>
      </c>
      <c r="AD1593">
        <v>0</v>
      </c>
      <c r="AE1593">
        <v>3997</v>
      </c>
      <c r="AF1593">
        <v>4670</v>
      </c>
      <c r="AJ1593">
        <v>4.7</v>
      </c>
      <c r="AK1593" t="str">
        <f t="shared" si="24"/>
        <v>WM046-5000</v>
      </c>
    </row>
    <row r="1594" spans="1:37">
      <c r="A1594" t="s">
        <v>3002</v>
      </c>
      <c r="B1594" t="s">
        <v>3003</v>
      </c>
      <c r="C1594" t="s">
        <v>313</v>
      </c>
      <c r="E1594">
        <v>43</v>
      </c>
      <c r="F1594">
        <v>31</v>
      </c>
      <c r="G1594">
        <v>6</v>
      </c>
      <c r="H1594">
        <v>25</v>
      </c>
      <c r="I1594">
        <v>13</v>
      </c>
      <c r="J1594">
        <v>30</v>
      </c>
      <c r="K1594">
        <v>3107</v>
      </c>
      <c r="L1594">
        <v>11</v>
      </c>
      <c r="M1594">
        <v>0</v>
      </c>
      <c r="N1594">
        <v>5</v>
      </c>
      <c r="O1594">
        <v>0</v>
      </c>
      <c r="P1594">
        <v>0</v>
      </c>
      <c r="Q1594">
        <v>3102</v>
      </c>
      <c r="R1594">
        <v>0</v>
      </c>
      <c r="S1594">
        <v>19</v>
      </c>
      <c r="T1594">
        <v>10</v>
      </c>
      <c r="U1594">
        <v>46</v>
      </c>
      <c r="V1594">
        <v>5</v>
      </c>
      <c r="W1594">
        <v>0</v>
      </c>
      <c r="X1594">
        <v>0</v>
      </c>
      <c r="Y1594">
        <v>1</v>
      </c>
      <c r="Z1594">
        <v>101</v>
      </c>
      <c r="AA1594">
        <v>0</v>
      </c>
      <c r="AB1594">
        <v>166</v>
      </c>
      <c r="AC1594">
        <v>0</v>
      </c>
      <c r="AD1594">
        <v>15</v>
      </c>
      <c r="AE1594">
        <v>363</v>
      </c>
      <c r="AF1594">
        <v>494</v>
      </c>
      <c r="AJ1594">
        <v>4.45</v>
      </c>
      <c r="AK1594" t="str">
        <f t="shared" si="24"/>
        <v>WM046-6200</v>
      </c>
    </row>
    <row r="1595" spans="1:37">
      <c r="A1595" t="s">
        <v>3004</v>
      </c>
      <c r="B1595" t="s">
        <v>3005</v>
      </c>
      <c r="C1595" t="s">
        <v>313</v>
      </c>
      <c r="E1595">
        <v>43</v>
      </c>
      <c r="F1595">
        <v>0.5</v>
      </c>
      <c r="G1595">
        <v>15</v>
      </c>
      <c r="H1595">
        <v>823</v>
      </c>
      <c r="I1595">
        <v>499</v>
      </c>
      <c r="J1595">
        <v>833</v>
      </c>
      <c r="K1595">
        <v>1564</v>
      </c>
      <c r="L1595">
        <v>195</v>
      </c>
      <c r="M1595">
        <v>0</v>
      </c>
      <c r="N1595">
        <v>12</v>
      </c>
      <c r="O1595">
        <v>0</v>
      </c>
      <c r="P1595">
        <v>0</v>
      </c>
      <c r="Q1595">
        <v>1552</v>
      </c>
      <c r="R1595">
        <v>758</v>
      </c>
      <c r="S1595">
        <v>2469</v>
      </c>
      <c r="T1595">
        <v>0</v>
      </c>
      <c r="U1595">
        <v>0</v>
      </c>
      <c r="V1595">
        <v>86</v>
      </c>
      <c r="W1595">
        <v>177</v>
      </c>
      <c r="X1595">
        <v>260</v>
      </c>
      <c r="Y1595">
        <v>873</v>
      </c>
      <c r="Z1595">
        <v>632</v>
      </c>
      <c r="AA1595">
        <v>25</v>
      </c>
      <c r="AB1595">
        <v>5289</v>
      </c>
      <c r="AC1595">
        <v>0</v>
      </c>
      <c r="AD1595">
        <v>179</v>
      </c>
      <c r="AE1595">
        <v>9990</v>
      </c>
      <c r="AF1595">
        <v>5285</v>
      </c>
      <c r="AJ1595">
        <v>4.22</v>
      </c>
      <c r="AK1595" t="str">
        <f t="shared" si="24"/>
        <v>WM047-5000</v>
      </c>
    </row>
    <row r="1596" spans="1:37">
      <c r="A1596" t="s">
        <v>3006</v>
      </c>
      <c r="B1596" t="s">
        <v>3007</v>
      </c>
      <c r="C1596" t="s">
        <v>313</v>
      </c>
      <c r="E1596">
        <v>43</v>
      </c>
      <c r="F1596">
        <v>9.3000000000000007</v>
      </c>
      <c r="G1596">
        <v>23</v>
      </c>
      <c r="H1596">
        <v>324</v>
      </c>
      <c r="I1596">
        <v>193</v>
      </c>
      <c r="J1596">
        <v>214</v>
      </c>
      <c r="K1596">
        <v>12117</v>
      </c>
      <c r="L1596">
        <v>51</v>
      </c>
      <c r="M1596">
        <v>0</v>
      </c>
      <c r="N1596">
        <v>19</v>
      </c>
      <c r="O1596">
        <v>0</v>
      </c>
      <c r="P1596">
        <v>0</v>
      </c>
      <c r="Q1596">
        <v>12098</v>
      </c>
      <c r="R1596">
        <v>0</v>
      </c>
      <c r="S1596">
        <v>0</v>
      </c>
      <c r="T1596">
        <v>0</v>
      </c>
      <c r="U1596">
        <v>971</v>
      </c>
      <c r="V1596">
        <v>93</v>
      </c>
      <c r="W1596">
        <v>95</v>
      </c>
      <c r="X1596">
        <v>0</v>
      </c>
      <c r="Y1596">
        <v>0</v>
      </c>
      <c r="Z1596">
        <v>180</v>
      </c>
      <c r="AA1596">
        <v>918</v>
      </c>
      <c r="AB1596">
        <v>0</v>
      </c>
      <c r="AC1596">
        <v>185</v>
      </c>
      <c r="AD1596">
        <v>124</v>
      </c>
      <c r="AE1596">
        <v>2566</v>
      </c>
      <c r="AF1596">
        <v>2564</v>
      </c>
      <c r="AJ1596">
        <v>3.46</v>
      </c>
      <c r="AK1596" t="str">
        <f t="shared" si="24"/>
        <v>WM047-6200</v>
      </c>
    </row>
    <row r="1597" spans="1:37">
      <c r="A1597" t="s">
        <v>3009</v>
      </c>
      <c r="B1597" t="s">
        <v>3010</v>
      </c>
      <c r="C1597" t="s">
        <v>318</v>
      </c>
      <c r="D1597" t="s">
        <v>5306</v>
      </c>
      <c r="E1597">
        <v>65</v>
      </c>
      <c r="F1597">
        <v>1.3</v>
      </c>
      <c r="G1597">
        <v>0</v>
      </c>
      <c r="H1597">
        <v>45</v>
      </c>
      <c r="I1597">
        <v>22</v>
      </c>
      <c r="J1597">
        <v>16</v>
      </c>
      <c r="K1597">
        <v>241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241</v>
      </c>
      <c r="R1597">
        <v>0</v>
      </c>
      <c r="S1597">
        <v>0</v>
      </c>
      <c r="T1597">
        <v>0</v>
      </c>
      <c r="U1597">
        <v>134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54</v>
      </c>
      <c r="AD1597">
        <v>0</v>
      </c>
      <c r="AE1597">
        <v>188</v>
      </c>
      <c r="AF1597">
        <v>323</v>
      </c>
      <c r="AJ1597">
        <v>6.62</v>
      </c>
      <c r="AK1597" t="str">
        <f t="shared" si="24"/>
        <v>WM303-6200</v>
      </c>
    </row>
    <row r="1598" spans="1:37">
      <c r="A1598" t="s">
        <v>3011</v>
      </c>
      <c r="B1598" t="s">
        <v>3012</v>
      </c>
      <c r="C1598" t="s">
        <v>110</v>
      </c>
      <c r="D1598" t="s">
        <v>3013</v>
      </c>
      <c r="E1598">
        <v>50</v>
      </c>
      <c r="F1598">
        <v>0.1</v>
      </c>
      <c r="G1598">
        <v>48</v>
      </c>
      <c r="H1598">
        <v>275</v>
      </c>
      <c r="I1598">
        <v>333</v>
      </c>
      <c r="J1598">
        <v>251</v>
      </c>
      <c r="K1598">
        <v>117</v>
      </c>
      <c r="L1598">
        <v>447</v>
      </c>
      <c r="M1598">
        <v>0</v>
      </c>
      <c r="N1598">
        <v>40</v>
      </c>
      <c r="O1598">
        <v>0</v>
      </c>
      <c r="P1598">
        <v>0</v>
      </c>
      <c r="Q1598">
        <v>77</v>
      </c>
      <c r="R1598">
        <v>90</v>
      </c>
      <c r="S1598">
        <v>422</v>
      </c>
      <c r="T1598">
        <v>294</v>
      </c>
      <c r="U1598">
        <v>110</v>
      </c>
      <c r="V1598">
        <v>70</v>
      </c>
      <c r="W1598">
        <v>1040</v>
      </c>
      <c r="X1598">
        <v>61</v>
      </c>
      <c r="Y1598">
        <v>91</v>
      </c>
      <c r="Z1598">
        <v>2</v>
      </c>
      <c r="AA1598">
        <v>290</v>
      </c>
      <c r="AB1598">
        <v>511</v>
      </c>
      <c r="AC1598">
        <v>56</v>
      </c>
      <c r="AD1598">
        <v>68</v>
      </c>
      <c r="AE1598">
        <v>3015</v>
      </c>
      <c r="AF1598">
        <v>3527</v>
      </c>
      <c r="AJ1598">
        <v>4.37</v>
      </c>
      <c r="AK1598" t="str">
        <f t="shared" si="24"/>
        <v>WM528-5000</v>
      </c>
    </row>
    <row r="1599" spans="1:37">
      <c r="A1599" t="s">
        <v>3014</v>
      </c>
      <c r="B1599" t="s">
        <v>3015</v>
      </c>
      <c r="C1599" t="s">
        <v>110</v>
      </c>
      <c r="D1599" t="s">
        <v>3013</v>
      </c>
      <c r="E1599">
        <v>50</v>
      </c>
      <c r="F1599">
        <v>8</v>
      </c>
      <c r="G1599">
        <v>96</v>
      </c>
      <c r="H1599">
        <v>86</v>
      </c>
      <c r="I1599">
        <v>59</v>
      </c>
      <c r="J1599">
        <v>39</v>
      </c>
      <c r="K1599">
        <v>2828</v>
      </c>
      <c r="L1599">
        <v>68</v>
      </c>
      <c r="M1599">
        <v>0</v>
      </c>
      <c r="N1599">
        <v>80</v>
      </c>
      <c r="O1599">
        <v>0</v>
      </c>
      <c r="P1599">
        <v>0</v>
      </c>
      <c r="Q1599">
        <v>2748</v>
      </c>
      <c r="R1599">
        <v>0</v>
      </c>
      <c r="S1599">
        <v>117</v>
      </c>
      <c r="T1599">
        <v>70</v>
      </c>
      <c r="U1599">
        <v>71</v>
      </c>
      <c r="V1599">
        <v>0</v>
      </c>
      <c r="W1599">
        <v>98</v>
      </c>
      <c r="X1599">
        <v>0</v>
      </c>
      <c r="Y1599">
        <v>2</v>
      </c>
      <c r="Z1599">
        <v>25</v>
      </c>
      <c r="AA1599">
        <v>12</v>
      </c>
      <c r="AB1599">
        <v>20</v>
      </c>
      <c r="AC1599">
        <v>49</v>
      </c>
      <c r="AD1599">
        <v>0</v>
      </c>
      <c r="AE1599">
        <v>464</v>
      </c>
      <c r="AF1599">
        <v>371</v>
      </c>
      <c r="AJ1599">
        <v>4.37</v>
      </c>
      <c r="AK1599" t="str">
        <f t="shared" si="24"/>
        <v>WM528-6200</v>
      </c>
    </row>
    <row r="1600" spans="1:37">
      <c r="A1600" t="s">
        <v>3016</v>
      </c>
      <c r="B1600" t="s">
        <v>3017</v>
      </c>
      <c r="C1600" t="s">
        <v>1558</v>
      </c>
      <c r="D1600" t="s">
        <v>3018</v>
      </c>
      <c r="E1600">
        <v>50</v>
      </c>
      <c r="F1600">
        <v>-0.4</v>
      </c>
      <c r="G1600">
        <v>52</v>
      </c>
      <c r="H1600">
        <v>26</v>
      </c>
      <c r="I1600">
        <v>16</v>
      </c>
      <c r="J1600">
        <v>34</v>
      </c>
      <c r="K1600">
        <v>0</v>
      </c>
      <c r="L1600">
        <v>86</v>
      </c>
      <c r="M1600">
        <v>0</v>
      </c>
      <c r="N1600">
        <v>43</v>
      </c>
      <c r="O1600">
        <v>0</v>
      </c>
      <c r="P1600">
        <v>0</v>
      </c>
      <c r="Q1600">
        <v>-43</v>
      </c>
      <c r="R1600">
        <v>0</v>
      </c>
      <c r="S1600">
        <v>77</v>
      </c>
      <c r="T1600">
        <v>0</v>
      </c>
      <c r="U1600">
        <v>0</v>
      </c>
      <c r="V1600">
        <v>8</v>
      </c>
      <c r="W1600">
        <v>0</v>
      </c>
      <c r="X1600">
        <v>8</v>
      </c>
      <c r="Y1600">
        <v>140</v>
      </c>
      <c r="Z1600">
        <v>10</v>
      </c>
      <c r="AA1600">
        <v>164</v>
      </c>
      <c r="AB1600">
        <v>0</v>
      </c>
      <c r="AC1600">
        <v>0</v>
      </c>
      <c r="AD1600">
        <v>0</v>
      </c>
      <c r="AE1600">
        <v>407</v>
      </c>
      <c r="AF1600">
        <v>2633</v>
      </c>
      <c r="AG1600" t="s">
        <v>3019</v>
      </c>
      <c r="AH1600">
        <v>5</v>
      </c>
      <c r="AI1600">
        <v>4</v>
      </c>
      <c r="AJ1600">
        <v>4.25</v>
      </c>
      <c r="AK1600" t="str">
        <f t="shared" si="24"/>
        <v>WM577-5000</v>
      </c>
    </row>
    <row r="1601" spans="1:37">
      <c r="A1601" t="s">
        <v>3020</v>
      </c>
      <c r="B1601" t="s">
        <v>3017</v>
      </c>
      <c r="C1601" t="s">
        <v>110</v>
      </c>
      <c r="D1601" t="s">
        <v>3018</v>
      </c>
      <c r="E1601">
        <v>50</v>
      </c>
      <c r="F1601">
        <v>0</v>
      </c>
      <c r="G1601">
        <v>0</v>
      </c>
      <c r="H1601">
        <v>0</v>
      </c>
      <c r="I1601">
        <v>50</v>
      </c>
      <c r="J1601">
        <v>36</v>
      </c>
      <c r="K1601">
        <v>1132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1132</v>
      </c>
      <c r="R1601">
        <v>0</v>
      </c>
      <c r="S1601">
        <v>0</v>
      </c>
      <c r="T1601">
        <v>0</v>
      </c>
      <c r="U1601">
        <v>0</v>
      </c>
      <c r="V1601">
        <v>75</v>
      </c>
      <c r="W1601">
        <v>153</v>
      </c>
      <c r="X1601">
        <v>69</v>
      </c>
      <c r="Y1601">
        <v>0</v>
      </c>
      <c r="Z1601">
        <v>17</v>
      </c>
      <c r="AA1601">
        <v>0</v>
      </c>
      <c r="AB1601">
        <v>0</v>
      </c>
      <c r="AC1601">
        <v>117</v>
      </c>
      <c r="AD1601">
        <v>0</v>
      </c>
      <c r="AE1601">
        <v>431</v>
      </c>
      <c r="AF1601">
        <v>279</v>
      </c>
      <c r="AJ1601">
        <v>4.25</v>
      </c>
      <c r="AK1601" t="str">
        <f t="shared" si="24"/>
        <v>WM577-6200</v>
      </c>
    </row>
    <row r="1602" spans="1:37">
      <c r="A1602" t="s">
        <v>3021</v>
      </c>
      <c r="B1602" t="s">
        <v>3022</v>
      </c>
      <c r="C1602" t="s">
        <v>275</v>
      </c>
      <c r="D1602" t="s">
        <v>3023</v>
      </c>
      <c r="E1602">
        <v>50</v>
      </c>
      <c r="F1602">
        <v>0</v>
      </c>
      <c r="G1602">
        <v>0</v>
      </c>
      <c r="H1602">
        <v>0</v>
      </c>
      <c r="I1602">
        <v>0</v>
      </c>
      <c r="J1602">
        <v>0</v>
      </c>
      <c r="K1602">
        <v>384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384</v>
      </c>
      <c r="R1602">
        <v>0</v>
      </c>
      <c r="S1602">
        <v>0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293</v>
      </c>
      <c r="AJ1602">
        <v>4.71</v>
      </c>
      <c r="AK1602" t="str">
        <f t="shared" si="24"/>
        <v>WM717-5000</v>
      </c>
    </row>
    <row r="1603" spans="1:37">
      <c r="A1603" t="s">
        <v>3024</v>
      </c>
      <c r="B1603" t="s">
        <v>3025</v>
      </c>
      <c r="C1603" t="s">
        <v>275</v>
      </c>
      <c r="D1603" t="s">
        <v>3026</v>
      </c>
      <c r="E1603">
        <v>50</v>
      </c>
      <c r="F1603">
        <v>0</v>
      </c>
      <c r="G1603">
        <v>0</v>
      </c>
      <c r="H1603">
        <v>0</v>
      </c>
      <c r="I1603">
        <v>0</v>
      </c>
      <c r="J1603">
        <v>0</v>
      </c>
      <c r="K1603">
        <v>1205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1205</v>
      </c>
      <c r="R1603">
        <v>0</v>
      </c>
      <c r="S1603">
        <v>0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731</v>
      </c>
      <c r="AJ1603">
        <v>5.09</v>
      </c>
      <c r="AK1603" t="str">
        <f t="shared" si="24"/>
        <v>WM717-6200</v>
      </c>
    </row>
    <row r="1604" spans="1:37">
      <c r="A1604" t="s">
        <v>3027</v>
      </c>
      <c r="B1604" t="s">
        <v>3028</v>
      </c>
      <c r="C1604" t="s">
        <v>110</v>
      </c>
      <c r="D1604" t="s">
        <v>3029</v>
      </c>
      <c r="E1604">
        <v>50</v>
      </c>
      <c r="F1604">
        <v>1</v>
      </c>
      <c r="G1604">
        <v>668</v>
      </c>
      <c r="H1604">
        <v>163</v>
      </c>
      <c r="I1604">
        <v>373</v>
      </c>
      <c r="J1604">
        <v>269</v>
      </c>
      <c r="K1604">
        <v>1182</v>
      </c>
      <c r="L1604">
        <v>259</v>
      </c>
      <c r="M1604">
        <v>0</v>
      </c>
      <c r="N1604">
        <v>557</v>
      </c>
      <c r="O1604">
        <v>0</v>
      </c>
      <c r="P1604">
        <v>576</v>
      </c>
      <c r="Q1604">
        <v>625</v>
      </c>
      <c r="R1604">
        <v>0</v>
      </c>
      <c r="S1604">
        <v>370</v>
      </c>
      <c r="T1604">
        <v>0</v>
      </c>
      <c r="U1604">
        <v>120</v>
      </c>
      <c r="V1604">
        <v>1106</v>
      </c>
      <c r="W1604">
        <v>108</v>
      </c>
      <c r="X1604">
        <v>531</v>
      </c>
      <c r="Y1604">
        <v>168</v>
      </c>
      <c r="Z1604">
        <v>0</v>
      </c>
      <c r="AA1604">
        <v>0</v>
      </c>
      <c r="AB1604">
        <v>0</v>
      </c>
      <c r="AC1604">
        <v>556</v>
      </c>
      <c r="AD1604">
        <v>265</v>
      </c>
      <c r="AE1604">
        <v>3224</v>
      </c>
      <c r="AF1604">
        <v>2738</v>
      </c>
      <c r="AJ1604">
        <v>5.8</v>
      </c>
      <c r="AK1604" t="str">
        <f t="shared" si="24"/>
        <v>WM741-6200</v>
      </c>
    </row>
    <row r="1605" spans="1:37">
      <c r="A1605" t="s">
        <v>3030</v>
      </c>
      <c r="B1605" t="s">
        <v>6316</v>
      </c>
      <c r="C1605" t="s">
        <v>110</v>
      </c>
      <c r="E1605">
        <v>49</v>
      </c>
      <c r="F1605">
        <v>0</v>
      </c>
      <c r="G1605">
        <v>22</v>
      </c>
      <c r="H1605">
        <v>0</v>
      </c>
      <c r="I1605">
        <v>0</v>
      </c>
      <c r="J1605">
        <v>2</v>
      </c>
      <c r="K1605">
        <v>0</v>
      </c>
      <c r="L1605">
        <v>0</v>
      </c>
      <c r="M1605">
        <v>0</v>
      </c>
      <c r="N1605">
        <v>18</v>
      </c>
      <c r="O1605">
        <v>0</v>
      </c>
      <c r="P1605">
        <v>0</v>
      </c>
      <c r="Q1605">
        <v>-18</v>
      </c>
      <c r="R1605">
        <v>0</v>
      </c>
      <c r="S1605">
        <v>0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29</v>
      </c>
      <c r="AA1605">
        <v>0</v>
      </c>
      <c r="AB1605">
        <v>0</v>
      </c>
      <c r="AC1605">
        <v>0</v>
      </c>
      <c r="AD1605">
        <v>0</v>
      </c>
      <c r="AE1605">
        <v>29</v>
      </c>
      <c r="AF1605">
        <v>0</v>
      </c>
      <c r="AJ1605">
        <v>3.18</v>
      </c>
      <c r="AK1605" t="str">
        <f t="shared" ref="AK1605:AK1668" si="25">MID(A1605,4,10)</f>
        <v>WM742-5000</v>
      </c>
    </row>
    <row r="1606" spans="1:37">
      <c r="A1606" t="s">
        <v>3031</v>
      </c>
      <c r="B1606" t="s">
        <v>3032</v>
      </c>
      <c r="C1606" t="s">
        <v>110</v>
      </c>
      <c r="D1606" t="s">
        <v>3033</v>
      </c>
      <c r="E1606">
        <v>50</v>
      </c>
      <c r="F1606">
        <v>16.100000000000001</v>
      </c>
      <c r="G1606">
        <v>347</v>
      </c>
      <c r="H1606">
        <v>50</v>
      </c>
      <c r="I1606">
        <v>184</v>
      </c>
      <c r="J1606">
        <v>137</v>
      </c>
      <c r="K1606">
        <v>3517</v>
      </c>
      <c r="L1606">
        <v>314</v>
      </c>
      <c r="M1606">
        <v>0</v>
      </c>
      <c r="N1606">
        <v>289</v>
      </c>
      <c r="O1606">
        <v>0</v>
      </c>
      <c r="P1606">
        <v>0</v>
      </c>
      <c r="Q1606">
        <v>3228</v>
      </c>
      <c r="R1606">
        <v>0</v>
      </c>
      <c r="S1606">
        <v>150</v>
      </c>
      <c r="T1606">
        <v>0</v>
      </c>
      <c r="U1606">
        <v>0</v>
      </c>
      <c r="V1606">
        <v>592</v>
      </c>
      <c r="W1606">
        <v>0</v>
      </c>
      <c r="X1606">
        <v>362</v>
      </c>
      <c r="Y1606">
        <v>0</v>
      </c>
      <c r="Z1606">
        <v>0</v>
      </c>
      <c r="AA1606">
        <v>0</v>
      </c>
      <c r="AB1606">
        <v>0</v>
      </c>
      <c r="AC1606">
        <v>541</v>
      </c>
      <c r="AD1606">
        <v>0</v>
      </c>
      <c r="AE1606">
        <v>1645</v>
      </c>
      <c r="AF1606">
        <v>2207</v>
      </c>
      <c r="AJ1606">
        <v>6.85</v>
      </c>
      <c r="AK1606" t="str">
        <f t="shared" si="25"/>
        <v>WM742-6200</v>
      </c>
    </row>
    <row r="1607" spans="1:37">
      <c r="A1607" t="s">
        <v>3034</v>
      </c>
      <c r="B1607" t="s">
        <v>3035</v>
      </c>
      <c r="C1607" t="s">
        <v>110</v>
      </c>
      <c r="D1607" t="s">
        <v>3036</v>
      </c>
      <c r="E1607">
        <v>50</v>
      </c>
      <c r="F1607">
        <v>0</v>
      </c>
      <c r="G1607">
        <v>0</v>
      </c>
      <c r="H1607">
        <v>0</v>
      </c>
      <c r="I1607">
        <v>0</v>
      </c>
      <c r="J1607">
        <v>0</v>
      </c>
      <c r="K1607">
        <v>88</v>
      </c>
      <c r="L1607">
        <v>13</v>
      </c>
      <c r="M1607">
        <v>0</v>
      </c>
      <c r="N1607">
        <v>0</v>
      </c>
      <c r="O1607">
        <v>0</v>
      </c>
      <c r="P1607">
        <v>0</v>
      </c>
      <c r="Q1607">
        <v>88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91</v>
      </c>
      <c r="AJ1607">
        <v>4.3600000000000003</v>
      </c>
      <c r="AK1607" t="str">
        <f t="shared" si="25"/>
        <v>WM818-5000</v>
      </c>
    </row>
    <row r="1608" spans="1:37">
      <c r="A1608" t="s">
        <v>3037</v>
      </c>
      <c r="B1608" t="s">
        <v>3038</v>
      </c>
      <c r="C1608" t="s">
        <v>318</v>
      </c>
      <c r="D1608" t="s">
        <v>3039</v>
      </c>
      <c r="E1608">
        <v>50</v>
      </c>
      <c r="F1608">
        <v>4.5999999999999996</v>
      </c>
      <c r="G1608">
        <v>43</v>
      </c>
      <c r="H1608">
        <v>27</v>
      </c>
      <c r="I1608">
        <v>19</v>
      </c>
      <c r="J1608">
        <v>17</v>
      </c>
      <c r="K1608">
        <v>530</v>
      </c>
      <c r="L1608">
        <v>19</v>
      </c>
      <c r="M1608">
        <v>0</v>
      </c>
      <c r="N1608">
        <v>36</v>
      </c>
      <c r="O1608">
        <v>0</v>
      </c>
      <c r="P1608">
        <v>0</v>
      </c>
      <c r="Q1608">
        <v>494</v>
      </c>
      <c r="R1608">
        <v>0</v>
      </c>
      <c r="S1608">
        <v>0</v>
      </c>
      <c r="T1608">
        <v>80</v>
      </c>
      <c r="U1608">
        <v>0</v>
      </c>
      <c r="V1608">
        <v>0</v>
      </c>
      <c r="W1608">
        <v>35</v>
      </c>
      <c r="X1608">
        <v>0</v>
      </c>
      <c r="Y1608">
        <v>0</v>
      </c>
      <c r="Z1608">
        <v>0</v>
      </c>
      <c r="AA1608">
        <v>0</v>
      </c>
      <c r="AB1608">
        <v>7</v>
      </c>
      <c r="AC1608">
        <v>11</v>
      </c>
      <c r="AD1608">
        <v>75</v>
      </c>
      <c r="AE1608">
        <v>208</v>
      </c>
      <c r="AF1608">
        <v>205</v>
      </c>
      <c r="AJ1608">
        <v>5.17</v>
      </c>
      <c r="AK1608" t="str">
        <f t="shared" si="25"/>
        <v>WM834-5000</v>
      </c>
    </row>
    <row r="1609" spans="1:37">
      <c r="A1609" t="s">
        <v>3040</v>
      </c>
      <c r="B1609" t="s">
        <v>3041</v>
      </c>
      <c r="C1609" t="s">
        <v>318</v>
      </c>
      <c r="D1609" t="s">
        <v>3042</v>
      </c>
      <c r="E1609">
        <v>50</v>
      </c>
      <c r="F1609">
        <v>0</v>
      </c>
      <c r="G1609">
        <v>0</v>
      </c>
      <c r="H1609">
        <v>0</v>
      </c>
      <c r="I1609">
        <v>0</v>
      </c>
      <c r="J1609">
        <v>2</v>
      </c>
      <c r="K1609">
        <v>2190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2190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14</v>
      </c>
      <c r="AA1609">
        <v>0</v>
      </c>
      <c r="AB1609">
        <v>0</v>
      </c>
      <c r="AC1609">
        <v>0</v>
      </c>
      <c r="AD1609">
        <v>10</v>
      </c>
      <c r="AE1609">
        <v>24</v>
      </c>
      <c r="AF1609">
        <v>196</v>
      </c>
      <c r="AJ1609">
        <v>5.17</v>
      </c>
      <c r="AK1609" t="str">
        <f t="shared" si="25"/>
        <v>WM834-6200</v>
      </c>
    </row>
    <row r="1610" spans="1:37">
      <c r="A1610" t="s">
        <v>3043</v>
      </c>
      <c r="B1610" t="s">
        <v>3044</v>
      </c>
      <c r="C1610" t="s">
        <v>318</v>
      </c>
      <c r="E1610">
        <v>50</v>
      </c>
      <c r="F1610">
        <v>0</v>
      </c>
      <c r="G1610">
        <v>4</v>
      </c>
      <c r="H1610">
        <v>0</v>
      </c>
      <c r="I1610">
        <v>9</v>
      </c>
      <c r="J1610">
        <v>12</v>
      </c>
      <c r="K1610">
        <v>0</v>
      </c>
      <c r="L1610">
        <v>0</v>
      </c>
      <c r="M1610">
        <v>0</v>
      </c>
      <c r="N1610">
        <v>3</v>
      </c>
      <c r="O1610">
        <v>0</v>
      </c>
      <c r="P1610">
        <v>0</v>
      </c>
      <c r="Q1610">
        <v>-3</v>
      </c>
      <c r="R1610">
        <v>0</v>
      </c>
      <c r="S1610">
        <v>0</v>
      </c>
      <c r="T1610">
        <v>0</v>
      </c>
      <c r="U1610">
        <v>0</v>
      </c>
      <c r="V1610">
        <v>0</v>
      </c>
      <c r="W1610">
        <v>23</v>
      </c>
      <c r="X1610">
        <v>33</v>
      </c>
      <c r="Y1610">
        <v>0</v>
      </c>
      <c r="Z1610">
        <v>33</v>
      </c>
      <c r="AA1610">
        <v>22</v>
      </c>
      <c r="AB1610">
        <v>0</v>
      </c>
      <c r="AC1610">
        <v>35</v>
      </c>
      <c r="AD1610">
        <v>0</v>
      </c>
      <c r="AE1610">
        <v>146</v>
      </c>
      <c r="AF1610">
        <v>23</v>
      </c>
      <c r="AJ1610">
        <v>0</v>
      </c>
      <c r="AK1610" t="str">
        <f t="shared" si="25"/>
        <v>WM837-3700</v>
      </c>
    </row>
    <row r="1611" spans="1:37">
      <c r="A1611" t="s">
        <v>3045</v>
      </c>
      <c r="B1611" t="s">
        <v>3046</v>
      </c>
      <c r="C1611" t="s">
        <v>318</v>
      </c>
      <c r="D1611" t="s">
        <v>3047</v>
      </c>
      <c r="E1611">
        <v>50</v>
      </c>
      <c r="F1611">
        <v>14.1</v>
      </c>
      <c r="G1611">
        <v>277</v>
      </c>
      <c r="H1611">
        <v>74</v>
      </c>
      <c r="I1611">
        <v>129</v>
      </c>
      <c r="J1611">
        <v>124</v>
      </c>
      <c r="K1611">
        <v>4431</v>
      </c>
      <c r="L1611">
        <v>122</v>
      </c>
      <c r="M1611">
        <v>0</v>
      </c>
      <c r="N1611">
        <v>231</v>
      </c>
      <c r="O1611">
        <v>0</v>
      </c>
      <c r="P1611">
        <v>0</v>
      </c>
      <c r="Q1611">
        <v>4200</v>
      </c>
      <c r="R1611">
        <v>0</v>
      </c>
      <c r="S1611">
        <v>134</v>
      </c>
      <c r="T1611">
        <v>0</v>
      </c>
      <c r="U1611">
        <v>89</v>
      </c>
      <c r="V1611">
        <v>66</v>
      </c>
      <c r="W1611">
        <v>291</v>
      </c>
      <c r="X1611">
        <v>195</v>
      </c>
      <c r="Y1611">
        <v>0</v>
      </c>
      <c r="Z1611">
        <v>12</v>
      </c>
      <c r="AA1611">
        <v>334</v>
      </c>
      <c r="AB1611">
        <v>350</v>
      </c>
      <c r="AC1611">
        <v>0</v>
      </c>
      <c r="AD1611">
        <v>12</v>
      </c>
      <c r="AE1611">
        <v>1483</v>
      </c>
      <c r="AF1611">
        <v>5799</v>
      </c>
      <c r="AJ1611">
        <v>6</v>
      </c>
      <c r="AK1611" t="str">
        <f t="shared" si="25"/>
        <v>WM837-5000</v>
      </c>
    </row>
    <row r="1612" spans="1:37">
      <c r="A1612" t="s">
        <v>3048</v>
      </c>
      <c r="B1612" t="s">
        <v>3049</v>
      </c>
      <c r="C1612" t="s">
        <v>318</v>
      </c>
      <c r="D1612" t="s">
        <v>3047</v>
      </c>
      <c r="E1612">
        <v>50</v>
      </c>
      <c r="F1612">
        <v>17.7</v>
      </c>
      <c r="G1612">
        <v>32</v>
      </c>
      <c r="H1612">
        <v>62</v>
      </c>
      <c r="I1612">
        <v>82</v>
      </c>
      <c r="J1612">
        <v>55</v>
      </c>
      <c r="K1612">
        <v>4425</v>
      </c>
      <c r="L1612">
        <v>64</v>
      </c>
      <c r="M1612">
        <v>0</v>
      </c>
      <c r="N1612">
        <v>27</v>
      </c>
      <c r="O1612">
        <v>0</v>
      </c>
      <c r="P1612">
        <v>0</v>
      </c>
      <c r="Q1612">
        <v>4398</v>
      </c>
      <c r="R1612">
        <v>0</v>
      </c>
      <c r="S1612">
        <v>138</v>
      </c>
      <c r="T1612">
        <v>0</v>
      </c>
      <c r="U1612">
        <v>48</v>
      </c>
      <c r="V1612">
        <v>89</v>
      </c>
      <c r="W1612">
        <v>219</v>
      </c>
      <c r="X1612">
        <v>0</v>
      </c>
      <c r="Y1612">
        <v>0</v>
      </c>
      <c r="Z1612">
        <v>63</v>
      </c>
      <c r="AA1612">
        <v>25</v>
      </c>
      <c r="AB1612">
        <v>53</v>
      </c>
      <c r="AC1612">
        <v>30</v>
      </c>
      <c r="AD1612">
        <v>0</v>
      </c>
      <c r="AE1612">
        <v>665</v>
      </c>
      <c r="AF1612">
        <v>2773</v>
      </c>
      <c r="AJ1612">
        <v>4.37</v>
      </c>
      <c r="AK1612" t="str">
        <f t="shared" si="25"/>
        <v>WM837-6200</v>
      </c>
    </row>
    <row r="1613" spans="1:37">
      <c r="A1613" t="s">
        <v>3050</v>
      </c>
      <c r="B1613" t="s">
        <v>3051</v>
      </c>
      <c r="C1613" t="s">
        <v>318</v>
      </c>
      <c r="E1613">
        <v>50</v>
      </c>
      <c r="F1613">
        <v>-0.6</v>
      </c>
      <c r="G1613">
        <v>162</v>
      </c>
      <c r="H1613">
        <v>58</v>
      </c>
      <c r="I1613">
        <v>29</v>
      </c>
      <c r="J1613">
        <v>42</v>
      </c>
      <c r="K1613">
        <v>0</v>
      </c>
      <c r="L1613">
        <v>22</v>
      </c>
      <c r="M1613">
        <v>0</v>
      </c>
      <c r="N1613">
        <v>135</v>
      </c>
      <c r="O1613">
        <v>0</v>
      </c>
      <c r="P1613">
        <v>0</v>
      </c>
      <c r="Q1613">
        <v>-135</v>
      </c>
      <c r="R1613">
        <v>0</v>
      </c>
      <c r="S1613">
        <v>132</v>
      </c>
      <c r="T1613">
        <v>35</v>
      </c>
      <c r="U1613">
        <v>8</v>
      </c>
      <c r="V1613">
        <v>0</v>
      </c>
      <c r="W1613">
        <v>0</v>
      </c>
      <c r="X1613">
        <v>0</v>
      </c>
      <c r="Y1613">
        <v>50</v>
      </c>
      <c r="Z1613">
        <v>4</v>
      </c>
      <c r="AA1613">
        <v>79</v>
      </c>
      <c r="AB1613">
        <v>128</v>
      </c>
      <c r="AC1613">
        <v>0</v>
      </c>
      <c r="AD1613">
        <v>68</v>
      </c>
      <c r="AE1613">
        <v>504</v>
      </c>
      <c r="AF1613">
        <v>341</v>
      </c>
      <c r="AJ1613">
        <v>0</v>
      </c>
      <c r="AK1613" t="str">
        <f t="shared" si="25"/>
        <v>WM840-3700</v>
      </c>
    </row>
    <row r="1614" spans="1:37">
      <c r="A1614" t="s">
        <v>3052</v>
      </c>
      <c r="B1614" t="s">
        <v>3053</v>
      </c>
      <c r="C1614" t="s">
        <v>318</v>
      </c>
      <c r="D1614" t="s">
        <v>3054</v>
      </c>
      <c r="E1614">
        <v>50</v>
      </c>
      <c r="F1614">
        <v>0.1</v>
      </c>
      <c r="G1614">
        <v>528</v>
      </c>
      <c r="H1614">
        <v>257</v>
      </c>
      <c r="I1614">
        <v>331</v>
      </c>
      <c r="J1614">
        <v>480</v>
      </c>
      <c r="K1614">
        <v>506</v>
      </c>
      <c r="L1614">
        <v>508</v>
      </c>
      <c r="M1614">
        <v>0</v>
      </c>
      <c r="N1614">
        <v>440</v>
      </c>
      <c r="O1614">
        <v>0</v>
      </c>
      <c r="P1614">
        <v>0</v>
      </c>
      <c r="Q1614">
        <v>66</v>
      </c>
      <c r="R1614">
        <v>74</v>
      </c>
      <c r="S1614">
        <v>453</v>
      </c>
      <c r="T1614">
        <v>306</v>
      </c>
      <c r="U1614">
        <v>12</v>
      </c>
      <c r="V1614">
        <v>530</v>
      </c>
      <c r="W1614">
        <v>680</v>
      </c>
      <c r="X1614">
        <v>6</v>
      </c>
      <c r="Y1614">
        <v>576</v>
      </c>
      <c r="Z1614">
        <v>415</v>
      </c>
      <c r="AA1614">
        <v>905</v>
      </c>
      <c r="AB1614">
        <v>773</v>
      </c>
      <c r="AC1614">
        <v>425</v>
      </c>
      <c r="AD1614">
        <v>683</v>
      </c>
      <c r="AE1614">
        <v>5764</v>
      </c>
      <c r="AF1614">
        <v>6785</v>
      </c>
      <c r="AJ1614">
        <v>5.38</v>
      </c>
      <c r="AK1614" t="str">
        <f t="shared" si="25"/>
        <v>WM840-5000</v>
      </c>
    </row>
    <row r="1615" spans="1:37">
      <c r="A1615" t="s">
        <v>3055</v>
      </c>
      <c r="B1615" t="s">
        <v>3056</v>
      </c>
      <c r="C1615" t="s">
        <v>318</v>
      </c>
      <c r="D1615" t="s">
        <v>3054</v>
      </c>
      <c r="E1615">
        <v>50</v>
      </c>
      <c r="F1615">
        <v>1</v>
      </c>
      <c r="G1615">
        <v>50</v>
      </c>
      <c r="H1615">
        <v>262</v>
      </c>
      <c r="I1615">
        <v>178</v>
      </c>
      <c r="J1615">
        <v>196</v>
      </c>
      <c r="K1615">
        <v>1138</v>
      </c>
      <c r="L1615">
        <v>184</v>
      </c>
      <c r="M1615">
        <v>0</v>
      </c>
      <c r="N1615">
        <v>42</v>
      </c>
      <c r="O1615">
        <v>0</v>
      </c>
      <c r="P1615">
        <v>0</v>
      </c>
      <c r="Q1615">
        <v>1096</v>
      </c>
      <c r="R1615">
        <v>0</v>
      </c>
      <c r="S1615">
        <v>276</v>
      </c>
      <c r="T1615">
        <v>320</v>
      </c>
      <c r="U1615">
        <v>189</v>
      </c>
      <c r="V1615">
        <v>176</v>
      </c>
      <c r="W1615">
        <v>106</v>
      </c>
      <c r="X1615">
        <v>0</v>
      </c>
      <c r="Y1615">
        <v>255</v>
      </c>
      <c r="Z1615">
        <v>454</v>
      </c>
      <c r="AA1615">
        <v>0</v>
      </c>
      <c r="AB1615">
        <v>379</v>
      </c>
      <c r="AC1615">
        <v>109</v>
      </c>
      <c r="AD1615">
        <v>86</v>
      </c>
      <c r="AE1615">
        <v>2350</v>
      </c>
      <c r="AF1615">
        <v>3322</v>
      </c>
      <c r="AJ1615">
        <v>5.68</v>
      </c>
      <c r="AK1615" t="str">
        <f t="shared" si="25"/>
        <v>WM840-6200</v>
      </c>
    </row>
    <row r="1616" spans="1:37">
      <c r="A1616" t="s">
        <v>3057</v>
      </c>
      <c r="B1616" t="s">
        <v>3058</v>
      </c>
      <c r="C1616" t="s">
        <v>318</v>
      </c>
      <c r="D1616" t="s">
        <v>3059</v>
      </c>
      <c r="E1616">
        <v>50</v>
      </c>
      <c r="F1616">
        <v>26.4</v>
      </c>
      <c r="G1616">
        <v>0</v>
      </c>
      <c r="H1616">
        <v>24</v>
      </c>
      <c r="I1616">
        <v>16</v>
      </c>
      <c r="J1616">
        <v>8</v>
      </c>
      <c r="K1616">
        <v>2572</v>
      </c>
      <c r="L1616">
        <v>32</v>
      </c>
      <c r="M1616">
        <v>0</v>
      </c>
      <c r="N1616">
        <v>0</v>
      </c>
      <c r="O1616">
        <v>0</v>
      </c>
      <c r="P1616">
        <v>0</v>
      </c>
      <c r="Q1616">
        <v>2572</v>
      </c>
      <c r="R1616">
        <v>0</v>
      </c>
      <c r="S1616">
        <v>0</v>
      </c>
      <c r="T1616">
        <v>53</v>
      </c>
      <c r="U1616">
        <v>20</v>
      </c>
      <c r="V1616">
        <v>0</v>
      </c>
      <c r="W1616">
        <v>21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94</v>
      </c>
      <c r="AF1616">
        <v>392</v>
      </c>
      <c r="AJ1616">
        <v>5.91</v>
      </c>
      <c r="AK1616" t="str">
        <f t="shared" si="25"/>
        <v>WM849-5000</v>
      </c>
    </row>
    <row r="1617" spans="1:37">
      <c r="A1617" t="s">
        <v>3060</v>
      </c>
      <c r="B1617" t="s">
        <v>3061</v>
      </c>
      <c r="C1617" t="s">
        <v>318</v>
      </c>
      <c r="D1617" t="s">
        <v>3059</v>
      </c>
      <c r="E1617">
        <v>50</v>
      </c>
      <c r="F1617">
        <v>0</v>
      </c>
      <c r="G1617">
        <v>0</v>
      </c>
      <c r="H1617">
        <v>0</v>
      </c>
      <c r="I1617">
        <v>0</v>
      </c>
      <c r="J1617">
        <v>0</v>
      </c>
      <c r="K1617">
        <v>601</v>
      </c>
      <c r="L1617">
        <v>13</v>
      </c>
      <c r="M1617">
        <v>0</v>
      </c>
      <c r="N1617">
        <v>0</v>
      </c>
      <c r="O1617">
        <v>0</v>
      </c>
      <c r="P1617">
        <v>0</v>
      </c>
      <c r="Q1617">
        <v>601</v>
      </c>
      <c r="R1617">
        <v>0</v>
      </c>
      <c r="S1617">
        <v>0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185</v>
      </c>
      <c r="AJ1617">
        <v>5.91</v>
      </c>
      <c r="AK1617" t="str">
        <f t="shared" si="25"/>
        <v>WM849-6200</v>
      </c>
    </row>
    <row r="1618" spans="1:37">
      <c r="A1618" t="s">
        <v>3062</v>
      </c>
      <c r="B1618" t="s">
        <v>7484</v>
      </c>
      <c r="C1618" t="s">
        <v>318</v>
      </c>
      <c r="E1618">
        <v>50</v>
      </c>
      <c r="F1618">
        <v>0</v>
      </c>
      <c r="G1618">
        <v>2</v>
      </c>
      <c r="H1618">
        <v>0</v>
      </c>
      <c r="I1618">
        <v>2</v>
      </c>
      <c r="J1618">
        <v>2</v>
      </c>
      <c r="K1618">
        <v>0</v>
      </c>
      <c r="L1618">
        <v>0</v>
      </c>
      <c r="M1618">
        <v>0</v>
      </c>
      <c r="N1618">
        <v>2</v>
      </c>
      <c r="O1618">
        <v>0</v>
      </c>
      <c r="P1618">
        <v>0</v>
      </c>
      <c r="Q1618">
        <v>-2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12</v>
      </c>
      <c r="Y1618">
        <v>0</v>
      </c>
      <c r="Z1618">
        <v>4</v>
      </c>
      <c r="AA1618">
        <v>0</v>
      </c>
      <c r="AB1618">
        <v>9</v>
      </c>
      <c r="AC1618">
        <v>0</v>
      </c>
      <c r="AD1618">
        <v>0</v>
      </c>
      <c r="AE1618">
        <v>25</v>
      </c>
      <c r="AF1618">
        <v>25</v>
      </c>
      <c r="AJ1618">
        <v>0</v>
      </c>
      <c r="AK1618" t="str">
        <f t="shared" si="25"/>
        <v>WM850-3700</v>
      </c>
    </row>
    <row r="1619" spans="1:37">
      <c r="A1619" t="s">
        <v>3063</v>
      </c>
      <c r="B1619" t="s">
        <v>3064</v>
      </c>
      <c r="C1619" t="s">
        <v>318</v>
      </c>
      <c r="D1619" t="s">
        <v>3065</v>
      </c>
      <c r="E1619">
        <v>50</v>
      </c>
      <c r="F1619">
        <v>10.6</v>
      </c>
      <c r="G1619">
        <v>55</v>
      </c>
      <c r="H1619">
        <v>66</v>
      </c>
      <c r="I1619">
        <v>61</v>
      </c>
      <c r="J1619">
        <v>80</v>
      </c>
      <c r="K1619">
        <v>2842</v>
      </c>
      <c r="L1619">
        <v>183</v>
      </c>
      <c r="M1619">
        <v>0</v>
      </c>
      <c r="N1619">
        <v>46</v>
      </c>
      <c r="O1619">
        <v>0</v>
      </c>
      <c r="P1619">
        <v>0</v>
      </c>
      <c r="Q1619">
        <v>2796</v>
      </c>
      <c r="R1619">
        <v>0</v>
      </c>
      <c r="S1619">
        <v>197</v>
      </c>
      <c r="T1619">
        <v>0</v>
      </c>
      <c r="U1619">
        <v>0</v>
      </c>
      <c r="V1619">
        <v>103</v>
      </c>
      <c r="W1619">
        <v>0</v>
      </c>
      <c r="X1619">
        <v>68</v>
      </c>
      <c r="Y1619">
        <v>0</v>
      </c>
      <c r="Z1619">
        <v>123</v>
      </c>
      <c r="AA1619">
        <v>0</v>
      </c>
      <c r="AB1619">
        <v>206</v>
      </c>
      <c r="AC1619">
        <v>61</v>
      </c>
      <c r="AD1619">
        <v>202</v>
      </c>
      <c r="AE1619">
        <v>960</v>
      </c>
      <c r="AF1619">
        <v>859</v>
      </c>
      <c r="AJ1619">
        <v>5.17</v>
      </c>
      <c r="AK1619" t="str">
        <f t="shared" si="25"/>
        <v>WM850-5000</v>
      </c>
    </row>
    <row r="1620" spans="1:37">
      <c r="A1620" t="s">
        <v>3066</v>
      </c>
      <c r="B1620" t="s">
        <v>3067</v>
      </c>
      <c r="C1620" t="s">
        <v>318</v>
      </c>
      <c r="D1620" t="s">
        <v>3065</v>
      </c>
      <c r="E1620">
        <v>50</v>
      </c>
      <c r="F1620">
        <v>37.6</v>
      </c>
      <c r="G1620">
        <v>0</v>
      </c>
      <c r="H1620">
        <v>10</v>
      </c>
      <c r="I1620">
        <v>10</v>
      </c>
      <c r="J1620">
        <v>17</v>
      </c>
      <c r="K1620">
        <v>1452</v>
      </c>
      <c r="L1620">
        <v>11</v>
      </c>
      <c r="M1620">
        <v>0</v>
      </c>
      <c r="N1620">
        <v>0</v>
      </c>
      <c r="O1620">
        <v>0</v>
      </c>
      <c r="P1620">
        <v>0</v>
      </c>
      <c r="Q1620">
        <v>1452</v>
      </c>
      <c r="R1620">
        <v>0</v>
      </c>
      <c r="S1620">
        <v>14</v>
      </c>
      <c r="T1620">
        <v>0</v>
      </c>
      <c r="U1620">
        <v>15</v>
      </c>
      <c r="V1620">
        <v>0</v>
      </c>
      <c r="W1620">
        <v>7</v>
      </c>
      <c r="X1620">
        <v>26</v>
      </c>
      <c r="Y1620">
        <v>79</v>
      </c>
      <c r="Z1620">
        <v>0</v>
      </c>
      <c r="AA1620">
        <v>59</v>
      </c>
      <c r="AB1620">
        <v>0</v>
      </c>
      <c r="AC1620">
        <v>0</v>
      </c>
      <c r="AD1620">
        <v>0</v>
      </c>
      <c r="AE1620">
        <v>200</v>
      </c>
      <c r="AF1620">
        <v>315</v>
      </c>
      <c r="AJ1620">
        <v>5.17</v>
      </c>
      <c r="AK1620" t="str">
        <f t="shared" si="25"/>
        <v>WM850-6200</v>
      </c>
    </row>
    <row r="1621" spans="1:37">
      <c r="A1621" t="s">
        <v>3068</v>
      </c>
      <c r="B1621" t="s">
        <v>3069</v>
      </c>
      <c r="C1621" t="s">
        <v>329</v>
      </c>
      <c r="E1621">
        <v>50</v>
      </c>
      <c r="F1621">
        <v>0</v>
      </c>
      <c r="G1621">
        <v>21</v>
      </c>
      <c r="H1621">
        <v>0</v>
      </c>
      <c r="I1621">
        <v>7</v>
      </c>
      <c r="J1621">
        <v>6</v>
      </c>
      <c r="K1621">
        <v>0</v>
      </c>
      <c r="L1621">
        <v>6</v>
      </c>
      <c r="M1621">
        <v>0</v>
      </c>
      <c r="N1621">
        <v>18</v>
      </c>
      <c r="O1621">
        <v>0</v>
      </c>
      <c r="P1621">
        <v>0</v>
      </c>
      <c r="Q1621">
        <v>-18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42</v>
      </c>
      <c r="X1621">
        <v>0</v>
      </c>
      <c r="Y1621">
        <v>0</v>
      </c>
      <c r="Z1621">
        <v>0</v>
      </c>
      <c r="AA1621">
        <v>0</v>
      </c>
      <c r="AB1621">
        <v>25</v>
      </c>
      <c r="AC1621">
        <v>0</v>
      </c>
      <c r="AD1621">
        <v>0</v>
      </c>
      <c r="AE1621">
        <v>67</v>
      </c>
      <c r="AF1621">
        <v>57</v>
      </c>
      <c r="AJ1621">
        <v>0</v>
      </c>
      <c r="AK1621" t="str">
        <f t="shared" si="25"/>
        <v>WM858-3700</v>
      </c>
    </row>
    <row r="1622" spans="1:37">
      <c r="A1622" t="s">
        <v>3070</v>
      </c>
      <c r="B1622" t="s">
        <v>3071</v>
      </c>
      <c r="C1622" t="s">
        <v>329</v>
      </c>
      <c r="D1622" t="s">
        <v>3072</v>
      </c>
      <c r="E1622">
        <v>50</v>
      </c>
      <c r="F1622">
        <v>0</v>
      </c>
      <c r="G1622">
        <v>0</v>
      </c>
      <c r="H1622">
        <v>56</v>
      </c>
      <c r="I1622">
        <v>85</v>
      </c>
      <c r="J1622">
        <v>54</v>
      </c>
      <c r="K1622">
        <v>0</v>
      </c>
      <c r="L1622">
        <v>120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68</v>
      </c>
      <c r="T1622">
        <v>0</v>
      </c>
      <c r="U1622">
        <v>100</v>
      </c>
      <c r="V1622">
        <v>148</v>
      </c>
      <c r="W1622">
        <v>42</v>
      </c>
      <c r="X1622">
        <v>152</v>
      </c>
      <c r="Y1622">
        <v>0</v>
      </c>
      <c r="Z1622">
        <v>56</v>
      </c>
      <c r="AA1622">
        <v>0</v>
      </c>
      <c r="AB1622">
        <v>9</v>
      </c>
      <c r="AC1622">
        <v>0</v>
      </c>
      <c r="AD1622">
        <v>70</v>
      </c>
      <c r="AE1622">
        <v>645</v>
      </c>
      <c r="AF1622">
        <v>1174</v>
      </c>
      <c r="AJ1622">
        <v>6.26</v>
      </c>
      <c r="AK1622" t="str">
        <f t="shared" si="25"/>
        <v>WM858-5000</v>
      </c>
    </row>
    <row r="1623" spans="1:37">
      <c r="A1623" t="s">
        <v>3073</v>
      </c>
      <c r="B1623" t="s">
        <v>3074</v>
      </c>
      <c r="C1623" t="s">
        <v>329</v>
      </c>
      <c r="D1623" t="s">
        <v>3072</v>
      </c>
      <c r="E1623">
        <v>50</v>
      </c>
      <c r="F1623">
        <v>4.2</v>
      </c>
      <c r="G1623">
        <v>66</v>
      </c>
      <c r="H1623">
        <v>55</v>
      </c>
      <c r="I1623">
        <v>41</v>
      </c>
      <c r="J1623">
        <v>30</v>
      </c>
      <c r="K1623">
        <v>971</v>
      </c>
      <c r="L1623">
        <v>36</v>
      </c>
      <c r="M1623">
        <v>0</v>
      </c>
      <c r="N1623">
        <v>55</v>
      </c>
      <c r="O1623">
        <v>0</v>
      </c>
      <c r="P1623">
        <v>0</v>
      </c>
      <c r="Q1623">
        <v>916</v>
      </c>
      <c r="R1623">
        <v>0</v>
      </c>
      <c r="S1623">
        <v>90</v>
      </c>
      <c r="T1623">
        <v>54</v>
      </c>
      <c r="U1623">
        <v>21</v>
      </c>
      <c r="V1623">
        <v>27</v>
      </c>
      <c r="W1623">
        <v>29</v>
      </c>
      <c r="X1623">
        <v>23</v>
      </c>
      <c r="Y1623">
        <v>50</v>
      </c>
      <c r="Z1623">
        <v>48</v>
      </c>
      <c r="AA1623">
        <v>0</v>
      </c>
      <c r="AB1623">
        <v>0</v>
      </c>
      <c r="AC1623">
        <v>0</v>
      </c>
      <c r="AD1623">
        <v>21</v>
      </c>
      <c r="AE1623">
        <v>363</v>
      </c>
      <c r="AF1623">
        <v>165</v>
      </c>
      <c r="AJ1623">
        <v>4.92</v>
      </c>
      <c r="AK1623" t="str">
        <f t="shared" si="25"/>
        <v>WM858-6200</v>
      </c>
    </row>
    <row r="1624" spans="1:37">
      <c r="A1624" t="s">
        <v>6317</v>
      </c>
      <c r="B1624" t="s">
        <v>3076</v>
      </c>
      <c r="C1624" t="s">
        <v>318</v>
      </c>
      <c r="E1624">
        <v>50</v>
      </c>
      <c r="F1624">
        <v>-0.3</v>
      </c>
      <c r="G1624">
        <v>5</v>
      </c>
      <c r="H1624">
        <v>3</v>
      </c>
      <c r="I1624">
        <v>2</v>
      </c>
      <c r="J1624">
        <v>7</v>
      </c>
      <c r="K1624">
        <v>0</v>
      </c>
      <c r="L1624">
        <v>3</v>
      </c>
      <c r="M1624">
        <v>0</v>
      </c>
      <c r="N1624">
        <v>4</v>
      </c>
      <c r="O1624">
        <v>0</v>
      </c>
      <c r="P1624">
        <v>0</v>
      </c>
      <c r="Q1624">
        <v>-4</v>
      </c>
      <c r="R1624">
        <v>0</v>
      </c>
      <c r="S1624">
        <v>9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73</v>
      </c>
      <c r="AE1624">
        <v>82</v>
      </c>
      <c r="AF1624">
        <v>47</v>
      </c>
      <c r="AJ1624">
        <v>0</v>
      </c>
      <c r="AK1624" t="str">
        <f t="shared" si="25"/>
        <v>WM864-3700</v>
      </c>
    </row>
    <row r="1625" spans="1:37">
      <c r="A1625" t="s">
        <v>3075</v>
      </c>
      <c r="B1625" t="s">
        <v>3076</v>
      </c>
      <c r="C1625" t="s">
        <v>318</v>
      </c>
      <c r="D1625" t="s">
        <v>3077</v>
      </c>
      <c r="E1625">
        <v>50</v>
      </c>
      <c r="F1625">
        <v>14.1</v>
      </c>
      <c r="G1625">
        <v>14</v>
      </c>
      <c r="H1625">
        <v>19</v>
      </c>
      <c r="I1625">
        <v>9</v>
      </c>
      <c r="J1625">
        <v>50</v>
      </c>
      <c r="K1625">
        <v>1065</v>
      </c>
      <c r="L1625">
        <v>20</v>
      </c>
      <c r="M1625">
        <v>0</v>
      </c>
      <c r="N1625">
        <v>12</v>
      </c>
      <c r="O1625">
        <v>0</v>
      </c>
      <c r="P1625">
        <v>0</v>
      </c>
      <c r="Q1625">
        <v>1053</v>
      </c>
      <c r="R1625">
        <v>0</v>
      </c>
      <c r="S1625">
        <v>56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84</v>
      </c>
      <c r="AA1625">
        <v>0</v>
      </c>
      <c r="AB1625">
        <v>118</v>
      </c>
      <c r="AC1625">
        <v>79</v>
      </c>
      <c r="AD1625">
        <v>268</v>
      </c>
      <c r="AE1625">
        <v>605</v>
      </c>
      <c r="AF1625">
        <v>1442</v>
      </c>
      <c r="AJ1625">
        <v>5.17</v>
      </c>
      <c r="AK1625" t="str">
        <f t="shared" si="25"/>
        <v>WM864-5000</v>
      </c>
    </row>
    <row r="1626" spans="1:37">
      <c r="A1626" t="s">
        <v>3078</v>
      </c>
      <c r="B1626" t="s">
        <v>3076</v>
      </c>
      <c r="C1626" t="s">
        <v>318</v>
      </c>
      <c r="E1626">
        <v>50</v>
      </c>
      <c r="F1626">
        <v>10.9</v>
      </c>
      <c r="G1626">
        <v>0</v>
      </c>
      <c r="H1626">
        <v>6</v>
      </c>
      <c r="I1626">
        <v>5</v>
      </c>
      <c r="J1626">
        <v>7</v>
      </c>
      <c r="K1626">
        <v>247</v>
      </c>
      <c r="L1626">
        <v>4</v>
      </c>
      <c r="M1626">
        <v>0</v>
      </c>
      <c r="N1626">
        <v>0</v>
      </c>
      <c r="O1626">
        <v>0</v>
      </c>
      <c r="P1626">
        <v>0</v>
      </c>
      <c r="Q1626">
        <v>247</v>
      </c>
      <c r="R1626">
        <v>0</v>
      </c>
      <c r="S1626">
        <v>0</v>
      </c>
      <c r="T1626">
        <v>17</v>
      </c>
      <c r="U1626">
        <v>0</v>
      </c>
      <c r="V1626">
        <v>15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46</v>
      </c>
      <c r="AD1626">
        <v>0</v>
      </c>
      <c r="AE1626">
        <v>78</v>
      </c>
      <c r="AF1626">
        <v>230</v>
      </c>
      <c r="AJ1626">
        <v>5.17</v>
      </c>
      <c r="AK1626" t="str">
        <f t="shared" si="25"/>
        <v>WM864-6200</v>
      </c>
    </row>
    <row r="1627" spans="1:37">
      <c r="A1627" t="s">
        <v>3079</v>
      </c>
      <c r="B1627" t="s">
        <v>3080</v>
      </c>
      <c r="C1627" t="s">
        <v>329</v>
      </c>
      <c r="D1627" t="s">
        <v>2133</v>
      </c>
      <c r="E1627">
        <v>50</v>
      </c>
      <c r="F1627">
        <v>0</v>
      </c>
      <c r="G1627">
        <v>0</v>
      </c>
      <c r="H1627">
        <v>27</v>
      </c>
      <c r="I1627">
        <v>14</v>
      </c>
      <c r="J1627">
        <v>9</v>
      </c>
      <c r="K1627">
        <v>0</v>
      </c>
      <c r="L1627">
        <v>4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75</v>
      </c>
      <c r="T1627">
        <v>0</v>
      </c>
      <c r="U1627">
        <v>6</v>
      </c>
      <c r="V1627">
        <v>0</v>
      </c>
      <c r="W1627">
        <v>0</v>
      </c>
      <c r="X1627">
        <v>0</v>
      </c>
      <c r="Y1627">
        <v>11</v>
      </c>
      <c r="Z1627">
        <v>0</v>
      </c>
      <c r="AA1627">
        <v>14</v>
      </c>
      <c r="AB1627">
        <v>0</v>
      </c>
      <c r="AC1627">
        <v>0</v>
      </c>
      <c r="AD1627">
        <v>0</v>
      </c>
      <c r="AE1627">
        <v>106</v>
      </c>
      <c r="AF1627">
        <v>69</v>
      </c>
      <c r="AJ1627">
        <v>4.59</v>
      </c>
      <c r="AK1627" t="str">
        <f t="shared" si="25"/>
        <v>WO040-3700</v>
      </c>
    </row>
    <row r="1628" spans="1:37">
      <c r="A1628" t="s">
        <v>3081</v>
      </c>
      <c r="B1628" t="s">
        <v>3082</v>
      </c>
      <c r="C1628" t="s">
        <v>329</v>
      </c>
      <c r="D1628" t="s">
        <v>3083</v>
      </c>
      <c r="E1628">
        <v>50</v>
      </c>
      <c r="F1628">
        <v>10</v>
      </c>
      <c r="G1628">
        <v>1195</v>
      </c>
      <c r="H1628">
        <v>167</v>
      </c>
      <c r="I1628">
        <v>148</v>
      </c>
      <c r="J1628">
        <v>233</v>
      </c>
      <c r="K1628">
        <v>7716</v>
      </c>
      <c r="L1628">
        <v>224</v>
      </c>
      <c r="M1628">
        <v>0</v>
      </c>
      <c r="N1628">
        <v>996</v>
      </c>
      <c r="O1628">
        <v>0</v>
      </c>
      <c r="P1628">
        <v>0</v>
      </c>
      <c r="Q1628">
        <v>6720</v>
      </c>
      <c r="R1628">
        <v>0</v>
      </c>
      <c r="S1628">
        <v>167</v>
      </c>
      <c r="T1628">
        <v>268</v>
      </c>
      <c r="U1628">
        <v>67</v>
      </c>
      <c r="V1628">
        <v>209</v>
      </c>
      <c r="W1628">
        <v>160</v>
      </c>
      <c r="X1628">
        <v>18</v>
      </c>
      <c r="Y1628">
        <v>216</v>
      </c>
      <c r="Z1628">
        <v>142</v>
      </c>
      <c r="AA1628">
        <v>107</v>
      </c>
      <c r="AB1628">
        <v>266</v>
      </c>
      <c r="AC1628">
        <v>1097</v>
      </c>
      <c r="AD1628">
        <v>84</v>
      </c>
      <c r="AE1628">
        <v>2801</v>
      </c>
      <c r="AF1628">
        <v>5131</v>
      </c>
      <c r="AJ1628">
        <v>4.87</v>
      </c>
      <c r="AK1628" t="str">
        <f t="shared" si="25"/>
        <v>WO040-5000</v>
      </c>
    </row>
    <row r="1629" spans="1:37">
      <c r="A1629" t="s">
        <v>3084</v>
      </c>
      <c r="B1629" t="s">
        <v>3085</v>
      </c>
      <c r="C1629" t="s">
        <v>329</v>
      </c>
      <c r="D1629" t="s">
        <v>3086</v>
      </c>
      <c r="E1629">
        <v>50</v>
      </c>
      <c r="F1629">
        <v>32.4</v>
      </c>
      <c r="G1629">
        <v>112</v>
      </c>
      <c r="H1629">
        <v>15</v>
      </c>
      <c r="I1629">
        <v>12</v>
      </c>
      <c r="J1629">
        <v>55</v>
      </c>
      <c r="K1629">
        <v>2039</v>
      </c>
      <c r="L1629">
        <v>8</v>
      </c>
      <c r="M1629">
        <v>0</v>
      </c>
      <c r="N1629">
        <v>94</v>
      </c>
      <c r="O1629">
        <v>0</v>
      </c>
      <c r="P1629">
        <v>0</v>
      </c>
      <c r="Q1629">
        <v>1945</v>
      </c>
      <c r="R1629">
        <v>0</v>
      </c>
      <c r="S1629">
        <v>5</v>
      </c>
      <c r="T1629">
        <v>0</v>
      </c>
      <c r="U1629">
        <v>40</v>
      </c>
      <c r="V1629">
        <v>27</v>
      </c>
      <c r="W1629">
        <v>0</v>
      </c>
      <c r="X1629">
        <v>0</v>
      </c>
      <c r="Y1629">
        <v>0</v>
      </c>
      <c r="Z1629">
        <v>117</v>
      </c>
      <c r="AA1629">
        <v>121</v>
      </c>
      <c r="AB1629">
        <v>118</v>
      </c>
      <c r="AC1629">
        <v>126</v>
      </c>
      <c r="AD1629">
        <v>103</v>
      </c>
      <c r="AE1629">
        <v>657</v>
      </c>
      <c r="AF1629">
        <v>1212</v>
      </c>
      <c r="AJ1629">
        <v>5.2</v>
      </c>
      <c r="AK1629" t="str">
        <f t="shared" si="25"/>
        <v>WO040-6200</v>
      </c>
    </row>
    <row r="1630" spans="1:37">
      <c r="A1630" t="s">
        <v>3087</v>
      </c>
      <c r="B1630" t="s">
        <v>3088</v>
      </c>
      <c r="C1630" t="s">
        <v>338</v>
      </c>
      <c r="D1630" t="s">
        <v>3089</v>
      </c>
      <c r="E1630">
        <v>43</v>
      </c>
      <c r="F1630">
        <v>12.5</v>
      </c>
      <c r="G1630">
        <v>0</v>
      </c>
      <c r="H1630">
        <v>2</v>
      </c>
      <c r="I1630">
        <v>7</v>
      </c>
      <c r="J1630">
        <v>4</v>
      </c>
      <c r="K1630">
        <v>83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83</v>
      </c>
      <c r="R1630">
        <v>0</v>
      </c>
      <c r="S1630">
        <v>5</v>
      </c>
      <c r="T1630">
        <v>0</v>
      </c>
      <c r="U1630">
        <v>0</v>
      </c>
      <c r="V1630">
        <v>0</v>
      </c>
      <c r="W1630">
        <v>36</v>
      </c>
      <c r="X1630">
        <v>0</v>
      </c>
      <c r="Y1630">
        <v>0</v>
      </c>
      <c r="Z1630">
        <v>7</v>
      </c>
      <c r="AA1630">
        <v>0</v>
      </c>
      <c r="AB1630">
        <v>0</v>
      </c>
      <c r="AC1630">
        <v>0</v>
      </c>
      <c r="AD1630">
        <v>0</v>
      </c>
      <c r="AE1630">
        <v>48</v>
      </c>
      <c r="AF1630">
        <v>0</v>
      </c>
      <c r="AJ1630">
        <v>5.49</v>
      </c>
      <c r="AK1630" t="str">
        <f t="shared" si="25"/>
        <v>WO140-5000</v>
      </c>
    </row>
    <row r="1631" spans="1:37">
      <c r="A1631" t="s">
        <v>3090</v>
      </c>
      <c r="B1631" t="s">
        <v>3088</v>
      </c>
      <c r="C1631" t="s">
        <v>338</v>
      </c>
      <c r="D1631" t="s">
        <v>3089</v>
      </c>
      <c r="E1631">
        <v>43</v>
      </c>
      <c r="F1631">
        <v>4.7</v>
      </c>
      <c r="G1631">
        <v>0</v>
      </c>
      <c r="H1631">
        <v>33</v>
      </c>
      <c r="I1631">
        <v>48</v>
      </c>
      <c r="J1631">
        <v>30</v>
      </c>
      <c r="K1631">
        <v>615</v>
      </c>
      <c r="L1631">
        <v>56</v>
      </c>
      <c r="M1631">
        <v>0</v>
      </c>
      <c r="N1631">
        <v>0</v>
      </c>
      <c r="O1631">
        <v>0</v>
      </c>
      <c r="P1631">
        <v>0</v>
      </c>
      <c r="Q1631">
        <v>615</v>
      </c>
      <c r="R1631">
        <v>0</v>
      </c>
      <c r="S1631">
        <v>0</v>
      </c>
      <c r="T1631">
        <v>98</v>
      </c>
      <c r="U1631">
        <v>0</v>
      </c>
      <c r="V1631">
        <v>0</v>
      </c>
      <c r="W1631">
        <v>189</v>
      </c>
      <c r="X1631">
        <v>0</v>
      </c>
      <c r="Y1631">
        <v>67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354</v>
      </c>
      <c r="AF1631">
        <v>149</v>
      </c>
      <c r="AJ1631">
        <v>5.58</v>
      </c>
      <c r="AK1631" t="str">
        <f t="shared" si="25"/>
        <v>WO140-6200</v>
      </c>
    </row>
    <row r="1632" spans="1:37">
      <c r="A1632" t="s">
        <v>3091</v>
      </c>
      <c r="B1632" t="s">
        <v>3092</v>
      </c>
      <c r="C1632" t="s">
        <v>1027</v>
      </c>
      <c r="E1632">
        <v>43</v>
      </c>
      <c r="F1632">
        <v>1.9</v>
      </c>
      <c r="G1632">
        <v>45</v>
      </c>
      <c r="H1632">
        <v>389</v>
      </c>
      <c r="I1632">
        <v>222</v>
      </c>
      <c r="J1632">
        <v>230</v>
      </c>
      <c r="K1632">
        <v>2966</v>
      </c>
      <c r="L1632">
        <v>55</v>
      </c>
      <c r="M1632">
        <v>0</v>
      </c>
      <c r="N1632">
        <v>37</v>
      </c>
      <c r="O1632">
        <v>0</v>
      </c>
      <c r="P1632">
        <v>0</v>
      </c>
      <c r="Q1632">
        <v>2929</v>
      </c>
      <c r="R1632">
        <v>0</v>
      </c>
      <c r="S1632">
        <v>875</v>
      </c>
      <c r="T1632">
        <v>293</v>
      </c>
      <c r="U1632">
        <v>0</v>
      </c>
      <c r="V1632">
        <v>86</v>
      </c>
      <c r="W1632">
        <v>0</v>
      </c>
      <c r="X1632">
        <v>79</v>
      </c>
      <c r="Y1632">
        <v>161</v>
      </c>
      <c r="Z1632">
        <v>820</v>
      </c>
      <c r="AA1632">
        <v>0</v>
      </c>
      <c r="AB1632">
        <v>119</v>
      </c>
      <c r="AC1632">
        <v>68</v>
      </c>
      <c r="AD1632">
        <v>264</v>
      </c>
      <c r="AE1632">
        <v>2765</v>
      </c>
      <c r="AF1632">
        <v>3923</v>
      </c>
      <c r="AJ1632">
        <v>4.8</v>
      </c>
      <c r="AK1632" t="str">
        <f t="shared" si="25"/>
        <v>WO710-5000</v>
      </c>
    </row>
    <row r="1633" spans="1:37">
      <c r="A1633" t="s">
        <v>3093</v>
      </c>
      <c r="B1633" t="s">
        <v>3092</v>
      </c>
      <c r="C1633" t="s">
        <v>1027</v>
      </c>
      <c r="E1633">
        <v>43</v>
      </c>
      <c r="F1633">
        <v>32</v>
      </c>
      <c r="G1633">
        <v>34</v>
      </c>
      <c r="H1633">
        <v>33</v>
      </c>
      <c r="I1633">
        <v>17</v>
      </c>
      <c r="J1633">
        <v>74</v>
      </c>
      <c r="K1633">
        <v>4251</v>
      </c>
      <c r="L1633">
        <v>9</v>
      </c>
      <c r="M1633">
        <v>0</v>
      </c>
      <c r="N1633">
        <v>29</v>
      </c>
      <c r="O1633">
        <v>0</v>
      </c>
      <c r="P1633">
        <v>0</v>
      </c>
      <c r="Q1633">
        <v>4222</v>
      </c>
      <c r="R1633">
        <v>0</v>
      </c>
      <c r="S1633">
        <v>43</v>
      </c>
      <c r="T1633">
        <v>56</v>
      </c>
      <c r="U1633">
        <v>0</v>
      </c>
      <c r="V1633">
        <v>0</v>
      </c>
      <c r="W1633">
        <v>0</v>
      </c>
      <c r="X1633">
        <v>0</v>
      </c>
      <c r="Y1633">
        <v>789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888</v>
      </c>
      <c r="AF1633">
        <v>2586</v>
      </c>
      <c r="AJ1633">
        <v>5.36</v>
      </c>
      <c r="AK1633" t="str">
        <f t="shared" si="25"/>
        <v>WO710-6200</v>
      </c>
    </row>
    <row r="1634" spans="1:37">
      <c r="A1634" t="s">
        <v>3094</v>
      </c>
      <c r="B1634" t="s">
        <v>3095</v>
      </c>
      <c r="C1634" t="s">
        <v>329</v>
      </c>
      <c r="E1634">
        <v>50</v>
      </c>
      <c r="F1634">
        <v>0</v>
      </c>
      <c r="G1634">
        <v>0</v>
      </c>
      <c r="H1634">
        <v>0</v>
      </c>
      <c r="I1634">
        <v>11</v>
      </c>
      <c r="J1634">
        <v>19</v>
      </c>
      <c r="K1634">
        <v>188</v>
      </c>
      <c r="L1634">
        <v>17</v>
      </c>
      <c r="M1634">
        <v>0</v>
      </c>
      <c r="N1634">
        <v>0</v>
      </c>
      <c r="O1634">
        <v>0</v>
      </c>
      <c r="P1634">
        <v>0</v>
      </c>
      <c r="Q1634">
        <v>188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65</v>
      </c>
      <c r="X1634">
        <v>0</v>
      </c>
      <c r="Y1634">
        <v>105</v>
      </c>
      <c r="Z1634">
        <v>59</v>
      </c>
      <c r="AA1634">
        <v>0</v>
      </c>
      <c r="AB1634">
        <v>0</v>
      </c>
      <c r="AC1634">
        <v>0</v>
      </c>
      <c r="AD1634">
        <v>0</v>
      </c>
      <c r="AE1634">
        <v>229</v>
      </c>
      <c r="AF1634">
        <v>303</v>
      </c>
      <c r="AJ1634">
        <v>4.92</v>
      </c>
      <c r="AK1634" t="str">
        <f t="shared" si="25"/>
        <v>WP300-5000</v>
      </c>
    </row>
    <row r="1635" spans="1:37">
      <c r="A1635" t="s">
        <v>3096</v>
      </c>
      <c r="B1635" t="s">
        <v>3095</v>
      </c>
      <c r="C1635" t="s">
        <v>329</v>
      </c>
      <c r="E1635">
        <v>50</v>
      </c>
      <c r="F1635">
        <v>0</v>
      </c>
      <c r="G1635">
        <v>0</v>
      </c>
      <c r="H1635">
        <v>0</v>
      </c>
      <c r="I1635">
        <v>6</v>
      </c>
      <c r="J1635">
        <v>4</v>
      </c>
      <c r="K1635">
        <v>1810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1810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35</v>
      </c>
      <c r="X1635">
        <v>0</v>
      </c>
      <c r="Y1635">
        <v>7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42</v>
      </c>
      <c r="AF1635">
        <v>108</v>
      </c>
      <c r="AJ1635">
        <v>4.92</v>
      </c>
      <c r="AK1635" t="str">
        <f t="shared" si="25"/>
        <v>WP300-6200</v>
      </c>
    </row>
    <row r="1636" spans="1:37">
      <c r="A1636" t="s">
        <v>3097</v>
      </c>
      <c r="B1636" t="s">
        <v>3098</v>
      </c>
      <c r="E1636">
        <v>50</v>
      </c>
      <c r="F1636">
        <v>0</v>
      </c>
      <c r="G1636">
        <v>0</v>
      </c>
      <c r="H1636">
        <v>0</v>
      </c>
      <c r="I1636">
        <v>0</v>
      </c>
      <c r="J1636">
        <v>0</v>
      </c>
      <c r="K1636">
        <v>1931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1931</v>
      </c>
      <c r="R1636">
        <v>0</v>
      </c>
      <c r="S1636">
        <v>0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J1636">
        <v>3.73</v>
      </c>
      <c r="AK1636" t="str">
        <f t="shared" si="25"/>
        <v>WS009-6200</v>
      </c>
    </row>
    <row r="1637" spans="1:37">
      <c r="A1637" t="s">
        <v>3100</v>
      </c>
      <c r="B1637" t="s">
        <v>3101</v>
      </c>
      <c r="C1637" t="s">
        <v>329</v>
      </c>
      <c r="D1637" t="s">
        <v>3102</v>
      </c>
      <c r="E1637">
        <v>50</v>
      </c>
      <c r="F1637">
        <v>2.2000000000000002</v>
      </c>
      <c r="G1637">
        <v>45</v>
      </c>
      <c r="H1637">
        <v>106</v>
      </c>
      <c r="I1637">
        <v>154</v>
      </c>
      <c r="J1637">
        <v>135</v>
      </c>
      <c r="K1637">
        <v>970</v>
      </c>
      <c r="L1637">
        <v>118</v>
      </c>
      <c r="M1637">
        <v>0</v>
      </c>
      <c r="N1637">
        <v>37</v>
      </c>
      <c r="O1637">
        <v>0</v>
      </c>
      <c r="P1637">
        <v>0</v>
      </c>
      <c r="Q1637">
        <v>933</v>
      </c>
      <c r="R1637">
        <v>86</v>
      </c>
      <c r="S1637">
        <v>0</v>
      </c>
      <c r="T1637">
        <v>116</v>
      </c>
      <c r="U1637">
        <v>201</v>
      </c>
      <c r="V1637">
        <v>140</v>
      </c>
      <c r="W1637">
        <v>348</v>
      </c>
      <c r="X1637">
        <v>117</v>
      </c>
      <c r="Y1637">
        <v>125</v>
      </c>
      <c r="Z1637">
        <v>99</v>
      </c>
      <c r="AA1637">
        <v>469</v>
      </c>
      <c r="AB1637">
        <v>0</v>
      </c>
      <c r="AC1637">
        <v>0</v>
      </c>
      <c r="AD1637">
        <v>0</v>
      </c>
      <c r="AE1637">
        <v>1615</v>
      </c>
      <c r="AF1637">
        <v>2086</v>
      </c>
      <c r="AJ1637">
        <v>4.8600000000000003</v>
      </c>
      <c r="AK1637" t="str">
        <f t="shared" si="25"/>
        <v>WS016-5000</v>
      </c>
    </row>
    <row r="1638" spans="1:37">
      <c r="A1638" t="s">
        <v>3103</v>
      </c>
      <c r="B1638" t="s">
        <v>3104</v>
      </c>
      <c r="C1638" t="s">
        <v>329</v>
      </c>
      <c r="D1638" t="s">
        <v>3105</v>
      </c>
      <c r="E1638">
        <v>50</v>
      </c>
      <c r="F1638">
        <v>2.6</v>
      </c>
      <c r="G1638">
        <v>33</v>
      </c>
      <c r="H1638">
        <v>44</v>
      </c>
      <c r="I1638">
        <v>35</v>
      </c>
      <c r="J1638">
        <v>25</v>
      </c>
      <c r="K1638">
        <v>491</v>
      </c>
      <c r="L1638">
        <v>0</v>
      </c>
      <c r="M1638">
        <v>7</v>
      </c>
      <c r="N1638">
        <v>28</v>
      </c>
      <c r="O1638">
        <v>0</v>
      </c>
      <c r="P1638">
        <v>0</v>
      </c>
      <c r="Q1638">
        <v>463</v>
      </c>
      <c r="R1638">
        <v>0</v>
      </c>
      <c r="S1638">
        <v>37</v>
      </c>
      <c r="T1638">
        <v>6</v>
      </c>
      <c r="U1638">
        <v>90</v>
      </c>
      <c r="V1638">
        <v>0</v>
      </c>
      <c r="W1638">
        <v>22</v>
      </c>
      <c r="X1638">
        <v>57</v>
      </c>
      <c r="Y1638">
        <v>86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298</v>
      </c>
      <c r="AF1638">
        <v>637</v>
      </c>
      <c r="AJ1638">
        <v>4.8600000000000003</v>
      </c>
      <c r="AK1638" t="str">
        <f t="shared" si="25"/>
        <v>WS016-6200</v>
      </c>
    </row>
    <row r="1639" spans="1:37">
      <c r="A1639" t="s">
        <v>5359</v>
      </c>
      <c r="B1639" t="s">
        <v>5360</v>
      </c>
      <c r="C1639" t="s">
        <v>318</v>
      </c>
      <c r="E1639">
        <v>50</v>
      </c>
      <c r="F1639">
        <v>0</v>
      </c>
      <c r="G1639">
        <v>0</v>
      </c>
      <c r="H1639">
        <v>19</v>
      </c>
      <c r="I1639">
        <v>9</v>
      </c>
      <c r="J1639">
        <v>5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56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56</v>
      </c>
      <c r="AF1639">
        <v>0</v>
      </c>
      <c r="AJ1639">
        <v>0</v>
      </c>
      <c r="AK1639" t="str">
        <f t="shared" si="25"/>
        <v>WS843-3700</v>
      </c>
    </row>
    <row r="1640" spans="1:37">
      <c r="A1640" t="s">
        <v>3106</v>
      </c>
      <c r="B1640" t="s">
        <v>3107</v>
      </c>
      <c r="C1640" t="s">
        <v>318</v>
      </c>
      <c r="D1640" t="s">
        <v>3108</v>
      </c>
      <c r="E1640">
        <v>50</v>
      </c>
      <c r="F1640">
        <v>1</v>
      </c>
      <c r="G1640">
        <v>17</v>
      </c>
      <c r="H1640">
        <v>59</v>
      </c>
      <c r="I1640">
        <v>51</v>
      </c>
      <c r="J1640">
        <v>48</v>
      </c>
      <c r="K1640">
        <v>249</v>
      </c>
      <c r="L1640">
        <v>18</v>
      </c>
      <c r="M1640">
        <v>0</v>
      </c>
      <c r="N1640">
        <v>14</v>
      </c>
      <c r="O1640">
        <v>0</v>
      </c>
      <c r="P1640">
        <v>0</v>
      </c>
      <c r="Q1640">
        <v>235</v>
      </c>
      <c r="R1640">
        <v>0</v>
      </c>
      <c r="S1640">
        <v>30</v>
      </c>
      <c r="T1640">
        <v>0</v>
      </c>
      <c r="U1640">
        <v>146</v>
      </c>
      <c r="V1640">
        <v>131</v>
      </c>
      <c r="W1640">
        <v>0</v>
      </c>
      <c r="X1640">
        <v>0</v>
      </c>
      <c r="Y1640">
        <v>117</v>
      </c>
      <c r="Z1640">
        <v>43</v>
      </c>
      <c r="AA1640">
        <v>0</v>
      </c>
      <c r="AB1640">
        <v>75</v>
      </c>
      <c r="AC1640">
        <v>4</v>
      </c>
      <c r="AD1640">
        <v>34</v>
      </c>
      <c r="AE1640">
        <v>580</v>
      </c>
      <c r="AF1640">
        <v>689</v>
      </c>
      <c r="AJ1640">
        <v>5.17</v>
      </c>
      <c r="AK1640" t="str">
        <f t="shared" si="25"/>
        <v>WS843-5000</v>
      </c>
    </row>
    <row r="1641" spans="1:37">
      <c r="A1641" t="s">
        <v>3109</v>
      </c>
      <c r="B1641" t="s">
        <v>3110</v>
      </c>
      <c r="C1641" t="s">
        <v>318</v>
      </c>
      <c r="D1641" t="s">
        <v>3111</v>
      </c>
      <c r="E1641">
        <v>50</v>
      </c>
      <c r="F1641">
        <v>0</v>
      </c>
      <c r="G1641">
        <v>0</v>
      </c>
      <c r="H1641">
        <v>0</v>
      </c>
      <c r="I1641">
        <v>0</v>
      </c>
      <c r="J1641">
        <v>17</v>
      </c>
      <c r="K1641">
        <v>1135</v>
      </c>
      <c r="L1641">
        <v>78</v>
      </c>
      <c r="M1641">
        <v>0</v>
      </c>
      <c r="N1641">
        <v>0</v>
      </c>
      <c r="O1641">
        <v>0</v>
      </c>
      <c r="P1641">
        <v>0</v>
      </c>
      <c r="Q1641">
        <v>1135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147</v>
      </c>
      <c r="AB1641">
        <v>0</v>
      </c>
      <c r="AC1641">
        <v>0</v>
      </c>
      <c r="AD1641">
        <v>61</v>
      </c>
      <c r="AE1641">
        <v>208</v>
      </c>
      <c r="AF1641">
        <v>530</v>
      </c>
      <c r="AJ1641">
        <v>5.17</v>
      </c>
      <c r="AK1641" t="str">
        <f t="shared" si="25"/>
        <v>WS843-6200</v>
      </c>
    </row>
    <row r="1642" spans="1:37">
      <c r="A1642" t="s">
        <v>3112</v>
      </c>
      <c r="B1642" t="s">
        <v>3113</v>
      </c>
      <c r="C1642" t="s">
        <v>329</v>
      </c>
      <c r="D1642" t="s">
        <v>3114</v>
      </c>
      <c r="E1642">
        <v>50</v>
      </c>
      <c r="F1642">
        <v>-0.1</v>
      </c>
      <c r="G1642">
        <v>33</v>
      </c>
      <c r="H1642">
        <v>67</v>
      </c>
      <c r="I1642">
        <v>89</v>
      </c>
      <c r="J1642">
        <v>120</v>
      </c>
      <c r="K1642">
        <v>0</v>
      </c>
      <c r="L1642">
        <v>19</v>
      </c>
      <c r="M1642">
        <v>0</v>
      </c>
      <c r="N1642">
        <v>27</v>
      </c>
      <c r="O1642">
        <v>0</v>
      </c>
      <c r="P1642">
        <v>0</v>
      </c>
      <c r="Q1642">
        <v>-27</v>
      </c>
      <c r="R1642">
        <v>0</v>
      </c>
      <c r="S1642">
        <v>75</v>
      </c>
      <c r="T1642">
        <v>0</v>
      </c>
      <c r="U1642">
        <v>126</v>
      </c>
      <c r="V1642">
        <v>129</v>
      </c>
      <c r="W1642">
        <v>99</v>
      </c>
      <c r="X1642">
        <v>107</v>
      </c>
      <c r="Y1642">
        <v>312</v>
      </c>
      <c r="Z1642">
        <v>210</v>
      </c>
      <c r="AA1642">
        <v>129</v>
      </c>
      <c r="AB1642">
        <v>0</v>
      </c>
      <c r="AC1642">
        <v>0</v>
      </c>
      <c r="AD1642">
        <v>248</v>
      </c>
      <c r="AE1642">
        <v>1435</v>
      </c>
      <c r="AF1642">
        <v>1142</v>
      </c>
      <c r="AJ1642">
        <v>4.92</v>
      </c>
      <c r="AK1642" t="str">
        <f t="shared" si="25"/>
        <v>WS950-5000</v>
      </c>
    </row>
    <row r="1643" spans="1:37">
      <c r="A1643" t="s">
        <v>3115</v>
      </c>
      <c r="B1643" t="s">
        <v>3113</v>
      </c>
      <c r="C1643" t="s">
        <v>329</v>
      </c>
      <c r="D1643" t="s">
        <v>3114</v>
      </c>
      <c r="E1643">
        <v>50</v>
      </c>
      <c r="F1643">
        <v>0</v>
      </c>
      <c r="G1643">
        <v>0</v>
      </c>
      <c r="H1643">
        <v>0</v>
      </c>
      <c r="I1643">
        <v>3</v>
      </c>
      <c r="J1643">
        <v>19</v>
      </c>
      <c r="K1643">
        <v>570</v>
      </c>
      <c r="L1643">
        <v>23</v>
      </c>
      <c r="M1643">
        <v>0</v>
      </c>
      <c r="N1643">
        <v>0</v>
      </c>
      <c r="O1643">
        <v>0</v>
      </c>
      <c r="P1643">
        <v>0</v>
      </c>
      <c r="Q1643">
        <v>570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19</v>
      </c>
      <c r="Y1643">
        <v>56</v>
      </c>
      <c r="Z1643">
        <v>111</v>
      </c>
      <c r="AA1643">
        <v>0</v>
      </c>
      <c r="AB1643">
        <v>0</v>
      </c>
      <c r="AC1643">
        <v>44</v>
      </c>
      <c r="AD1643">
        <v>0</v>
      </c>
      <c r="AE1643">
        <v>230</v>
      </c>
      <c r="AF1643">
        <v>1017</v>
      </c>
      <c r="AJ1643">
        <v>6.14</v>
      </c>
      <c r="AK1643" t="str">
        <f t="shared" si="25"/>
        <v>WS950-6200</v>
      </c>
    </row>
    <row r="1644" spans="1:37">
      <c r="A1644" t="s">
        <v>3118</v>
      </c>
      <c r="B1644" t="s">
        <v>3117</v>
      </c>
      <c r="C1644" t="s">
        <v>110</v>
      </c>
      <c r="E1644">
        <v>50</v>
      </c>
      <c r="F1644">
        <v>0.4</v>
      </c>
      <c r="G1644">
        <v>146</v>
      </c>
      <c r="H1644">
        <v>489</v>
      </c>
      <c r="I1644">
        <v>345</v>
      </c>
      <c r="J1644">
        <v>315</v>
      </c>
      <c r="K1644">
        <v>821</v>
      </c>
      <c r="L1644">
        <v>182</v>
      </c>
      <c r="M1644">
        <v>0</v>
      </c>
      <c r="N1644">
        <v>122</v>
      </c>
      <c r="O1644">
        <v>0</v>
      </c>
      <c r="P1644">
        <v>0</v>
      </c>
      <c r="Q1644">
        <v>699</v>
      </c>
      <c r="R1644">
        <v>0</v>
      </c>
      <c r="S1644">
        <v>307</v>
      </c>
      <c r="T1644">
        <v>1059</v>
      </c>
      <c r="U1644">
        <v>101</v>
      </c>
      <c r="V1644">
        <v>0</v>
      </c>
      <c r="W1644">
        <v>601</v>
      </c>
      <c r="X1644">
        <v>0</v>
      </c>
      <c r="Y1644">
        <v>354</v>
      </c>
      <c r="Z1644">
        <v>0</v>
      </c>
      <c r="AA1644">
        <v>240</v>
      </c>
      <c r="AB1644">
        <v>335</v>
      </c>
      <c r="AC1644">
        <v>0</v>
      </c>
      <c r="AD1644">
        <v>778</v>
      </c>
      <c r="AE1644">
        <v>3775</v>
      </c>
      <c r="AF1644">
        <v>2785</v>
      </c>
      <c r="AJ1644">
        <v>4.8</v>
      </c>
      <c r="AK1644" t="str">
        <f t="shared" si="25"/>
        <v>WT003-5000</v>
      </c>
    </row>
    <row r="1645" spans="1:37">
      <c r="A1645" t="s">
        <v>3119</v>
      </c>
      <c r="B1645" t="s">
        <v>3117</v>
      </c>
      <c r="C1645" t="s">
        <v>110</v>
      </c>
      <c r="E1645">
        <v>50</v>
      </c>
      <c r="F1645">
        <v>1.9</v>
      </c>
      <c r="G1645">
        <v>71</v>
      </c>
      <c r="H1645">
        <v>74</v>
      </c>
      <c r="I1645">
        <v>88</v>
      </c>
      <c r="J1645">
        <v>76</v>
      </c>
      <c r="K1645">
        <v>635</v>
      </c>
      <c r="L1645">
        <v>46</v>
      </c>
      <c r="M1645">
        <v>0</v>
      </c>
      <c r="N1645">
        <v>59</v>
      </c>
      <c r="O1645">
        <v>0</v>
      </c>
      <c r="P1645">
        <v>0</v>
      </c>
      <c r="Q1645">
        <v>576</v>
      </c>
      <c r="R1645">
        <v>0</v>
      </c>
      <c r="S1645">
        <v>222</v>
      </c>
      <c r="T1645">
        <v>0</v>
      </c>
      <c r="U1645">
        <v>0</v>
      </c>
      <c r="V1645">
        <v>200</v>
      </c>
      <c r="W1645">
        <v>105</v>
      </c>
      <c r="X1645">
        <v>0</v>
      </c>
      <c r="Y1645">
        <v>104</v>
      </c>
      <c r="Z1645">
        <v>0</v>
      </c>
      <c r="AA1645">
        <v>122</v>
      </c>
      <c r="AB1645">
        <v>0</v>
      </c>
      <c r="AC1645">
        <v>0</v>
      </c>
      <c r="AD1645">
        <v>153</v>
      </c>
      <c r="AE1645">
        <v>906</v>
      </c>
      <c r="AF1645">
        <v>2509</v>
      </c>
      <c r="AJ1645">
        <v>4.2</v>
      </c>
      <c r="AK1645" t="str">
        <f t="shared" si="25"/>
        <v>WT003-6200</v>
      </c>
    </row>
    <row r="1646" spans="1:37">
      <c r="A1646" t="s">
        <v>3120</v>
      </c>
      <c r="B1646" t="s">
        <v>3121</v>
      </c>
      <c r="C1646" t="s">
        <v>110</v>
      </c>
      <c r="E1646">
        <v>43</v>
      </c>
      <c r="F1646">
        <v>3.7</v>
      </c>
      <c r="G1646">
        <v>36</v>
      </c>
      <c r="H1646">
        <v>34</v>
      </c>
      <c r="I1646">
        <v>56</v>
      </c>
      <c r="J1646">
        <v>28</v>
      </c>
      <c r="K1646">
        <v>531</v>
      </c>
      <c r="L1646">
        <v>34</v>
      </c>
      <c r="M1646">
        <v>0</v>
      </c>
      <c r="N1646">
        <v>30</v>
      </c>
      <c r="O1646">
        <v>0</v>
      </c>
      <c r="P1646">
        <v>0</v>
      </c>
      <c r="Q1646">
        <v>501</v>
      </c>
      <c r="R1646">
        <v>0</v>
      </c>
      <c r="S1646">
        <v>43</v>
      </c>
      <c r="T1646">
        <v>0</v>
      </c>
      <c r="U1646">
        <v>58</v>
      </c>
      <c r="V1646">
        <v>1</v>
      </c>
      <c r="W1646">
        <v>109</v>
      </c>
      <c r="X1646">
        <v>124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335</v>
      </c>
      <c r="AF1646">
        <v>814</v>
      </c>
      <c r="AJ1646">
        <v>4.25</v>
      </c>
      <c r="AK1646" t="str">
        <f t="shared" si="25"/>
        <v>WT005-5000</v>
      </c>
    </row>
    <row r="1647" spans="1:37">
      <c r="A1647" t="s">
        <v>3122</v>
      </c>
      <c r="B1647" t="s">
        <v>3121</v>
      </c>
      <c r="C1647" t="s">
        <v>110</v>
      </c>
      <c r="E1647">
        <v>43</v>
      </c>
      <c r="F1647">
        <v>149.19999999999999</v>
      </c>
      <c r="G1647">
        <v>6</v>
      </c>
      <c r="H1647">
        <v>4</v>
      </c>
      <c r="I1647">
        <v>12</v>
      </c>
      <c r="J1647">
        <v>9</v>
      </c>
      <c r="K1647">
        <v>2591</v>
      </c>
      <c r="L1647">
        <v>3</v>
      </c>
      <c r="M1647">
        <v>0</v>
      </c>
      <c r="N1647">
        <v>5</v>
      </c>
      <c r="O1647">
        <v>0</v>
      </c>
      <c r="P1647">
        <v>0</v>
      </c>
      <c r="Q1647">
        <v>2586</v>
      </c>
      <c r="R1647">
        <v>0</v>
      </c>
      <c r="S1647">
        <v>0</v>
      </c>
      <c r="T1647">
        <v>13</v>
      </c>
      <c r="U1647">
        <v>0</v>
      </c>
      <c r="V1647">
        <v>33</v>
      </c>
      <c r="W1647">
        <v>7</v>
      </c>
      <c r="X1647">
        <v>16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41</v>
      </c>
      <c r="AE1647">
        <v>110</v>
      </c>
      <c r="AF1647">
        <v>89</v>
      </c>
      <c r="AJ1647">
        <v>4.2</v>
      </c>
      <c r="AK1647" t="str">
        <f t="shared" si="25"/>
        <v>WT005-6200</v>
      </c>
    </row>
    <row r="1648" spans="1:37">
      <c r="A1648" t="s">
        <v>3123</v>
      </c>
      <c r="B1648" t="s">
        <v>3124</v>
      </c>
      <c r="C1648" t="s">
        <v>110</v>
      </c>
      <c r="D1648" t="s">
        <v>3125</v>
      </c>
      <c r="E1648">
        <v>50</v>
      </c>
      <c r="F1648">
        <v>0</v>
      </c>
      <c r="G1648">
        <v>0</v>
      </c>
      <c r="H1648">
        <v>0</v>
      </c>
      <c r="I1648">
        <v>203</v>
      </c>
      <c r="J1648">
        <v>101</v>
      </c>
      <c r="K1648">
        <v>833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833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1216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1216</v>
      </c>
      <c r="AF1648">
        <v>1655</v>
      </c>
      <c r="AJ1648">
        <v>4.47</v>
      </c>
      <c r="AK1648" t="str">
        <f t="shared" si="25"/>
        <v>WT770-6200</v>
      </c>
    </row>
    <row r="1649" spans="1:37">
      <c r="A1649" t="s">
        <v>3126</v>
      </c>
      <c r="B1649" t="s">
        <v>3127</v>
      </c>
      <c r="C1649" t="s">
        <v>1027</v>
      </c>
      <c r="E1649">
        <v>43</v>
      </c>
      <c r="F1649">
        <v>-0.1</v>
      </c>
      <c r="G1649">
        <v>85</v>
      </c>
      <c r="H1649">
        <v>127</v>
      </c>
      <c r="I1649">
        <v>116</v>
      </c>
      <c r="J1649">
        <v>75</v>
      </c>
      <c r="K1649">
        <v>0</v>
      </c>
      <c r="L1649">
        <v>128</v>
      </c>
      <c r="M1649">
        <v>0</v>
      </c>
      <c r="N1649">
        <v>70</v>
      </c>
      <c r="O1649">
        <v>0</v>
      </c>
      <c r="P1649">
        <v>0</v>
      </c>
      <c r="Q1649">
        <v>-70</v>
      </c>
      <c r="R1649">
        <v>0</v>
      </c>
      <c r="S1649">
        <v>0</v>
      </c>
      <c r="T1649">
        <v>222</v>
      </c>
      <c r="U1649">
        <v>160</v>
      </c>
      <c r="V1649">
        <v>190</v>
      </c>
      <c r="W1649">
        <v>37</v>
      </c>
      <c r="X1649">
        <v>86</v>
      </c>
      <c r="Y1649">
        <v>53</v>
      </c>
      <c r="Z1649">
        <v>148</v>
      </c>
      <c r="AA1649">
        <v>0</v>
      </c>
      <c r="AB1649">
        <v>0</v>
      </c>
      <c r="AC1649">
        <v>0</v>
      </c>
      <c r="AD1649">
        <v>0</v>
      </c>
      <c r="AE1649">
        <v>896</v>
      </c>
      <c r="AF1649">
        <v>961</v>
      </c>
      <c r="AJ1649">
        <v>5.27</v>
      </c>
      <c r="AK1649" t="str">
        <f t="shared" si="25"/>
        <v>WU001-5000</v>
      </c>
    </row>
    <row r="1650" spans="1:37">
      <c r="A1650" t="s">
        <v>3128</v>
      </c>
      <c r="B1650" t="s">
        <v>3127</v>
      </c>
      <c r="C1650" t="s">
        <v>1027</v>
      </c>
      <c r="E1650">
        <v>43</v>
      </c>
      <c r="F1650">
        <v>1.1000000000000001</v>
      </c>
      <c r="G1650">
        <v>90</v>
      </c>
      <c r="H1650">
        <v>454</v>
      </c>
      <c r="I1650">
        <v>232</v>
      </c>
      <c r="J1650">
        <v>184</v>
      </c>
      <c r="K1650">
        <v>2075</v>
      </c>
      <c r="L1650">
        <v>0</v>
      </c>
      <c r="M1650">
        <v>0</v>
      </c>
      <c r="N1650">
        <v>75</v>
      </c>
      <c r="O1650">
        <v>0</v>
      </c>
      <c r="P1650">
        <v>0</v>
      </c>
      <c r="Q1650">
        <v>2000</v>
      </c>
      <c r="R1650">
        <v>0</v>
      </c>
      <c r="S1650">
        <v>730</v>
      </c>
      <c r="T1650">
        <v>56</v>
      </c>
      <c r="U1650">
        <v>575</v>
      </c>
      <c r="V1650">
        <v>23</v>
      </c>
      <c r="W1650">
        <v>0</v>
      </c>
      <c r="X1650">
        <v>10</v>
      </c>
      <c r="Y1650">
        <v>714</v>
      </c>
      <c r="Z1650">
        <v>0</v>
      </c>
      <c r="AA1650">
        <v>33</v>
      </c>
      <c r="AB1650">
        <v>0</v>
      </c>
      <c r="AC1650">
        <v>36</v>
      </c>
      <c r="AD1650">
        <v>29</v>
      </c>
      <c r="AE1650">
        <v>2206</v>
      </c>
      <c r="AF1650">
        <v>1675</v>
      </c>
      <c r="AJ1650">
        <v>5.78</v>
      </c>
      <c r="AK1650" t="str">
        <f t="shared" si="25"/>
        <v>WU001-6200</v>
      </c>
    </row>
    <row r="1651" spans="1:37">
      <c r="A1651" t="s">
        <v>3129</v>
      </c>
      <c r="B1651" t="s">
        <v>3130</v>
      </c>
      <c r="C1651" t="s">
        <v>313</v>
      </c>
      <c r="E1651">
        <v>43</v>
      </c>
      <c r="F1651">
        <v>2.7</v>
      </c>
      <c r="G1651">
        <v>25</v>
      </c>
      <c r="H1651">
        <v>194</v>
      </c>
      <c r="I1651">
        <v>136</v>
      </c>
      <c r="J1651">
        <v>112</v>
      </c>
      <c r="K1651">
        <v>2126</v>
      </c>
      <c r="L1651">
        <v>98</v>
      </c>
      <c r="M1651">
        <v>0</v>
      </c>
      <c r="N1651">
        <v>21</v>
      </c>
      <c r="O1651">
        <v>0</v>
      </c>
      <c r="P1651">
        <v>0</v>
      </c>
      <c r="Q1651">
        <v>2105</v>
      </c>
      <c r="R1651">
        <v>0</v>
      </c>
      <c r="S1651">
        <v>0</v>
      </c>
      <c r="T1651">
        <v>342</v>
      </c>
      <c r="U1651">
        <v>240</v>
      </c>
      <c r="V1651">
        <v>55</v>
      </c>
      <c r="W1651">
        <v>180</v>
      </c>
      <c r="X1651">
        <v>0</v>
      </c>
      <c r="Y1651">
        <v>52</v>
      </c>
      <c r="Z1651">
        <v>146</v>
      </c>
      <c r="AA1651">
        <v>0</v>
      </c>
      <c r="AB1651">
        <v>0</v>
      </c>
      <c r="AC1651">
        <v>0</v>
      </c>
      <c r="AD1651">
        <v>333</v>
      </c>
      <c r="AE1651">
        <v>1348</v>
      </c>
      <c r="AF1651">
        <v>2299</v>
      </c>
      <c r="AJ1651">
        <v>5.66</v>
      </c>
      <c r="AK1651" t="str">
        <f t="shared" si="25"/>
        <v>WU003-5000</v>
      </c>
    </row>
    <row r="1652" spans="1:37">
      <c r="A1652" t="s">
        <v>3131</v>
      </c>
      <c r="B1652" t="s">
        <v>3130</v>
      </c>
      <c r="C1652" t="s">
        <v>313</v>
      </c>
      <c r="E1652">
        <v>43</v>
      </c>
      <c r="F1652">
        <v>2.1</v>
      </c>
      <c r="G1652">
        <v>30</v>
      </c>
      <c r="H1652">
        <v>132</v>
      </c>
      <c r="I1652">
        <v>83</v>
      </c>
      <c r="J1652">
        <v>49</v>
      </c>
      <c r="K1652">
        <v>1121</v>
      </c>
      <c r="L1652">
        <v>76</v>
      </c>
      <c r="M1652">
        <v>0</v>
      </c>
      <c r="N1652">
        <v>25</v>
      </c>
      <c r="O1652">
        <v>0</v>
      </c>
      <c r="P1652">
        <v>0</v>
      </c>
      <c r="Q1652">
        <v>1096</v>
      </c>
      <c r="R1652">
        <v>0</v>
      </c>
      <c r="S1652">
        <v>0</v>
      </c>
      <c r="T1652">
        <v>141</v>
      </c>
      <c r="U1652">
        <v>256</v>
      </c>
      <c r="V1652">
        <v>15</v>
      </c>
      <c r="W1652">
        <v>83</v>
      </c>
      <c r="X1652">
        <v>0</v>
      </c>
      <c r="Y1652">
        <v>11</v>
      </c>
      <c r="Z1652">
        <v>40</v>
      </c>
      <c r="AA1652">
        <v>22</v>
      </c>
      <c r="AB1652">
        <v>24</v>
      </c>
      <c r="AC1652">
        <v>0</v>
      </c>
      <c r="AD1652">
        <v>0</v>
      </c>
      <c r="AE1652">
        <v>592</v>
      </c>
      <c r="AF1652">
        <v>1164</v>
      </c>
      <c r="AJ1652">
        <v>5.26</v>
      </c>
      <c r="AK1652" t="str">
        <f t="shared" si="25"/>
        <v>WU003-6200</v>
      </c>
    </row>
    <row r="1653" spans="1:37">
      <c r="A1653" t="s">
        <v>3132</v>
      </c>
      <c r="B1653" t="s">
        <v>3133</v>
      </c>
      <c r="C1653" t="s">
        <v>313</v>
      </c>
      <c r="E1653">
        <v>43</v>
      </c>
      <c r="F1653">
        <v>0</v>
      </c>
      <c r="G1653">
        <v>0</v>
      </c>
      <c r="H1653">
        <v>0</v>
      </c>
      <c r="I1653">
        <v>16</v>
      </c>
      <c r="J1653">
        <v>32</v>
      </c>
      <c r="K1653">
        <v>626</v>
      </c>
      <c r="L1653">
        <v>4</v>
      </c>
      <c r="M1653">
        <v>0</v>
      </c>
      <c r="N1653">
        <v>0</v>
      </c>
      <c r="O1653">
        <v>0</v>
      </c>
      <c r="P1653">
        <v>0</v>
      </c>
      <c r="Q1653">
        <v>626</v>
      </c>
      <c r="R1653">
        <v>0</v>
      </c>
      <c r="S1653">
        <v>0</v>
      </c>
      <c r="T1653">
        <v>0</v>
      </c>
      <c r="U1653">
        <v>0</v>
      </c>
      <c r="V1653">
        <v>62</v>
      </c>
      <c r="W1653">
        <v>0</v>
      </c>
      <c r="X1653">
        <v>31</v>
      </c>
      <c r="Y1653">
        <v>68</v>
      </c>
      <c r="Z1653">
        <v>19</v>
      </c>
      <c r="AA1653">
        <v>20</v>
      </c>
      <c r="AB1653">
        <v>19</v>
      </c>
      <c r="AC1653">
        <v>166</v>
      </c>
      <c r="AD1653">
        <v>0</v>
      </c>
      <c r="AE1653">
        <v>385</v>
      </c>
      <c r="AF1653">
        <v>658</v>
      </c>
      <c r="AJ1653">
        <v>5.51</v>
      </c>
      <c r="AK1653" t="str">
        <f t="shared" si="25"/>
        <v>WU006-5000</v>
      </c>
    </row>
    <row r="1654" spans="1:37">
      <c r="A1654" t="s">
        <v>3134</v>
      </c>
      <c r="B1654" t="s">
        <v>3133</v>
      </c>
      <c r="C1654" t="s">
        <v>313</v>
      </c>
      <c r="E1654">
        <v>43</v>
      </c>
      <c r="F1654">
        <v>15.6</v>
      </c>
      <c r="G1654">
        <v>0</v>
      </c>
      <c r="H1654">
        <v>36</v>
      </c>
      <c r="I1654">
        <v>55</v>
      </c>
      <c r="J1654">
        <v>68</v>
      </c>
      <c r="K1654">
        <v>2272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2272</v>
      </c>
      <c r="R1654">
        <v>0</v>
      </c>
      <c r="S1654">
        <v>0</v>
      </c>
      <c r="T1654">
        <v>0</v>
      </c>
      <c r="U1654">
        <v>109</v>
      </c>
      <c r="V1654">
        <v>202</v>
      </c>
      <c r="W1654">
        <v>19</v>
      </c>
      <c r="X1654">
        <v>0</v>
      </c>
      <c r="Y1654">
        <v>0</v>
      </c>
      <c r="Z1654">
        <v>32</v>
      </c>
      <c r="AA1654">
        <v>9</v>
      </c>
      <c r="AB1654">
        <v>229</v>
      </c>
      <c r="AC1654">
        <v>18</v>
      </c>
      <c r="AD1654">
        <v>196</v>
      </c>
      <c r="AE1654">
        <v>814</v>
      </c>
      <c r="AF1654">
        <v>71</v>
      </c>
      <c r="AJ1654">
        <v>5.74</v>
      </c>
      <c r="AK1654" t="str">
        <f t="shared" si="25"/>
        <v>WU006-6200</v>
      </c>
    </row>
    <row r="1655" spans="1:37">
      <c r="A1655" t="s">
        <v>3135</v>
      </c>
      <c r="B1655" t="s">
        <v>3136</v>
      </c>
      <c r="C1655" t="s">
        <v>110</v>
      </c>
      <c r="E1655">
        <v>42</v>
      </c>
      <c r="F1655">
        <v>-0.1</v>
      </c>
      <c r="G1655">
        <v>10</v>
      </c>
      <c r="H1655">
        <v>39</v>
      </c>
      <c r="I1655">
        <v>49</v>
      </c>
      <c r="J1655">
        <v>32</v>
      </c>
      <c r="K1655">
        <v>0</v>
      </c>
      <c r="L1655">
        <v>16</v>
      </c>
      <c r="M1655">
        <v>0</v>
      </c>
      <c r="N1655">
        <v>9</v>
      </c>
      <c r="O1655">
        <v>0</v>
      </c>
      <c r="P1655">
        <v>0</v>
      </c>
      <c r="Q1655">
        <v>-9</v>
      </c>
      <c r="R1655">
        <v>0</v>
      </c>
      <c r="S1655">
        <v>20</v>
      </c>
      <c r="T1655">
        <v>22</v>
      </c>
      <c r="U1655">
        <v>76</v>
      </c>
      <c r="V1655">
        <v>11</v>
      </c>
      <c r="W1655">
        <v>97</v>
      </c>
      <c r="X1655">
        <v>67</v>
      </c>
      <c r="Y1655">
        <v>49</v>
      </c>
      <c r="Z1655">
        <v>0</v>
      </c>
      <c r="AA1655">
        <v>0</v>
      </c>
      <c r="AB1655">
        <v>18</v>
      </c>
      <c r="AC1655">
        <v>0</v>
      </c>
      <c r="AD1655">
        <v>29</v>
      </c>
      <c r="AE1655">
        <v>389</v>
      </c>
      <c r="AF1655">
        <v>421</v>
      </c>
      <c r="AJ1655">
        <v>4.25</v>
      </c>
      <c r="AK1655" t="str">
        <f t="shared" si="25"/>
        <v>WW013-5000</v>
      </c>
    </row>
    <row r="1656" spans="1:37">
      <c r="A1656" t="s">
        <v>3137</v>
      </c>
      <c r="B1656" t="s">
        <v>3136</v>
      </c>
      <c r="C1656" t="s">
        <v>110</v>
      </c>
      <c r="E1656">
        <v>42</v>
      </c>
      <c r="F1656">
        <v>31.6</v>
      </c>
      <c r="G1656">
        <v>13</v>
      </c>
      <c r="H1656">
        <v>27</v>
      </c>
      <c r="I1656">
        <v>20</v>
      </c>
      <c r="J1656">
        <v>12</v>
      </c>
      <c r="K1656">
        <v>3382</v>
      </c>
      <c r="L1656">
        <v>0</v>
      </c>
      <c r="M1656">
        <v>0</v>
      </c>
      <c r="N1656">
        <v>11</v>
      </c>
      <c r="O1656">
        <v>0</v>
      </c>
      <c r="P1656">
        <v>0</v>
      </c>
      <c r="Q1656">
        <v>3371</v>
      </c>
      <c r="R1656">
        <v>0</v>
      </c>
      <c r="S1656">
        <v>0</v>
      </c>
      <c r="T1656">
        <v>0</v>
      </c>
      <c r="U1656">
        <v>80</v>
      </c>
      <c r="V1656">
        <v>0</v>
      </c>
      <c r="W1656">
        <v>41</v>
      </c>
      <c r="X1656">
        <v>0</v>
      </c>
      <c r="Y1656">
        <v>0</v>
      </c>
      <c r="Z1656">
        <v>20</v>
      </c>
      <c r="AA1656">
        <v>0</v>
      </c>
      <c r="AB1656">
        <v>0</v>
      </c>
      <c r="AC1656">
        <v>0</v>
      </c>
      <c r="AD1656">
        <v>0</v>
      </c>
      <c r="AE1656">
        <v>141</v>
      </c>
      <c r="AF1656">
        <v>362</v>
      </c>
      <c r="AJ1656">
        <v>4.25</v>
      </c>
      <c r="AK1656" t="str">
        <f t="shared" si="25"/>
        <v>WW013-6200</v>
      </c>
    </row>
    <row r="1657" spans="1:37">
      <c r="A1657" t="s">
        <v>3138</v>
      </c>
      <c r="B1657" t="s">
        <v>3139</v>
      </c>
      <c r="C1657" t="s">
        <v>1027</v>
      </c>
      <c r="E1657">
        <v>43</v>
      </c>
      <c r="F1657">
        <v>366.8</v>
      </c>
      <c r="G1657">
        <v>0</v>
      </c>
      <c r="H1657">
        <v>1</v>
      </c>
      <c r="I1657">
        <v>0</v>
      </c>
      <c r="J1657">
        <v>2</v>
      </c>
      <c r="K1657">
        <v>978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978</v>
      </c>
      <c r="R1657">
        <v>0</v>
      </c>
      <c r="S1657">
        <v>0</v>
      </c>
      <c r="T1657">
        <v>0</v>
      </c>
      <c r="U1657">
        <v>2</v>
      </c>
      <c r="V1657">
        <v>0</v>
      </c>
      <c r="W1657">
        <v>0</v>
      </c>
      <c r="X1657">
        <v>0</v>
      </c>
      <c r="Y1657">
        <v>13</v>
      </c>
      <c r="Z1657">
        <v>0</v>
      </c>
      <c r="AA1657">
        <v>0</v>
      </c>
      <c r="AB1657">
        <v>0</v>
      </c>
      <c r="AC1657">
        <v>11</v>
      </c>
      <c r="AD1657">
        <v>0</v>
      </c>
      <c r="AE1657">
        <v>26</v>
      </c>
      <c r="AF1657">
        <v>25</v>
      </c>
      <c r="AJ1657">
        <v>2.95</v>
      </c>
      <c r="AK1657" t="str">
        <f t="shared" si="25"/>
        <v>WW090-5000</v>
      </c>
    </row>
    <row r="1658" spans="1:37">
      <c r="A1658" t="s">
        <v>3140</v>
      </c>
      <c r="B1658" t="s">
        <v>3139</v>
      </c>
      <c r="C1658" t="s">
        <v>1027</v>
      </c>
      <c r="E1658">
        <v>43</v>
      </c>
      <c r="F1658">
        <v>0</v>
      </c>
      <c r="G1658">
        <v>0</v>
      </c>
      <c r="H1658">
        <v>0</v>
      </c>
      <c r="I1658">
        <v>0</v>
      </c>
      <c r="J1658">
        <v>0</v>
      </c>
      <c r="K1658">
        <v>899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899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17</v>
      </c>
      <c r="AJ1658">
        <v>2.95</v>
      </c>
      <c r="AK1658" t="str">
        <f t="shared" si="25"/>
        <v>WW090-6200</v>
      </c>
    </row>
    <row r="1659" spans="1:37">
      <c r="A1659" t="s">
        <v>3141</v>
      </c>
      <c r="B1659" t="s">
        <v>3142</v>
      </c>
      <c r="C1659" t="s">
        <v>338</v>
      </c>
      <c r="E1659">
        <v>43</v>
      </c>
      <c r="F1659">
        <v>-0.1</v>
      </c>
      <c r="G1659">
        <v>198</v>
      </c>
      <c r="H1659">
        <v>171</v>
      </c>
      <c r="I1659">
        <v>191</v>
      </c>
      <c r="J1659">
        <v>205</v>
      </c>
      <c r="K1659">
        <v>85</v>
      </c>
      <c r="L1659">
        <v>183</v>
      </c>
      <c r="M1659">
        <v>0</v>
      </c>
      <c r="N1659">
        <v>165</v>
      </c>
      <c r="O1659">
        <v>0</v>
      </c>
      <c r="P1659">
        <v>0</v>
      </c>
      <c r="Q1659">
        <v>-80</v>
      </c>
      <c r="R1659">
        <v>125</v>
      </c>
      <c r="S1659">
        <v>100</v>
      </c>
      <c r="T1659">
        <v>60</v>
      </c>
      <c r="U1659">
        <v>352</v>
      </c>
      <c r="V1659">
        <v>143</v>
      </c>
      <c r="W1659">
        <v>433</v>
      </c>
      <c r="X1659">
        <v>57</v>
      </c>
      <c r="Y1659">
        <v>906</v>
      </c>
      <c r="Z1659">
        <v>111</v>
      </c>
      <c r="AA1659">
        <v>52</v>
      </c>
      <c r="AB1659">
        <v>61</v>
      </c>
      <c r="AC1659">
        <v>7</v>
      </c>
      <c r="AD1659">
        <v>177</v>
      </c>
      <c r="AE1659">
        <v>2459</v>
      </c>
      <c r="AF1659">
        <v>2644</v>
      </c>
      <c r="AJ1659">
        <v>5.72</v>
      </c>
      <c r="AK1659" t="str">
        <f t="shared" si="25"/>
        <v>WW310-5000</v>
      </c>
    </row>
    <row r="1660" spans="1:37">
      <c r="A1660" t="s">
        <v>3143</v>
      </c>
      <c r="B1660" t="s">
        <v>3142</v>
      </c>
      <c r="C1660" t="s">
        <v>338</v>
      </c>
      <c r="E1660">
        <v>43</v>
      </c>
      <c r="F1660">
        <v>4.0999999999999996</v>
      </c>
      <c r="G1660">
        <v>14</v>
      </c>
      <c r="H1660">
        <v>266</v>
      </c>
      <c r="I1660">
        <v>152</v>
      </c>
      <c r="J1660">
        <v>229</v>
      </c>
      <c r="K1660">
        <v>4389</v>
      </c>
      <c r="L1660">
        <v>0</v>
      </c>
      <c r="M1660">
        <v>0</v>
      </c>
      <c r="N1660">
        <v>11</v>
      </c>
      <c r="O1660">
        <v>0</v>
      </c>
      <c r="P1660">
        <v>0</v>
      </c>
      <c r="Q1660">
        <v>4378</v>
      </c>
      <c r="R1660">
        <v>0</v>
      </c>
      <c r="S1660">
        <v>22</v>
      </c>
      <c r="T1660">
        <v>0</v>
      </c>
      <c r="U1660">
        <v>776</v>
      </c>
      <c r="V1660">
        <v>101</v>
      </c>
      <c r="W1660">
        <v>11</v>
      </c>
      <c r="X1660">
        <v>0</v>
      </c>
      <c r="Y1660">
        <v>49</v>
      </c>
      <c r="Z1660">
        <v>785</v>
      </c>
      <c r="AA1660">
        <v>0</v>
      </c>
      <c r="AB1660">
        <v>60</v>
      </c>
      <c r="AC1660">
        <v>35</v>
      </c>
      <c r="AD1660">
        <v>904</v>
      </c>
      <c r="AE1660">
        <v>2743</v>
      </c>
      <c r="AF1660">
        <v>1576</v>
      </c>
      <c r="AJ1660">
        <v>6.75</v>
      </c>
      <c r="AK1660" t="str">
        <f t="shared" si="25"/>
        <v>WW310-6200</v>
      </c>
    </row>
    <row r="1661" spans="1:37">
      <c r="A1661" t="s">
        <v>3144</v>
      </c>
      <c r="B1661" t="s">
        <v>3145</v>
      </c>
      <c r="C1661" t="s">
        <v>329</v>
      </c>
      <c r="D1661" t="s">
        <v>3146</v>
      </c>
      <c r="E1661">
        <v>50</v>
      </c>
      <c r="F1661">
        <v>0</v>
      </c>
      <c r="G1661">
        <v>0</v>
      </c>
      <c r="H1661">
        <v>0</v>
      </c>
      <c r="I1661">
        <v>0</v>
      </c>
      <c r="J1661">
        <v>3</v>
      </c>
      <c r="K1661">
        <v>325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325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41</v>
      </c>
      <c r="AD1661">
        <v>0</v>
      </c>
      <c r="AE1661">
        <v>41</v>
      </c>
      <c r="AF1661">
        <v>36</v>
      </c>
      <c r="AJ1661">
        <v>4.57</v>
      </c>
      <c r="AK1661" t="str">
        <f t="shared" si="25"/>
        <v>WW435-6200</v>
      </c>
    </row>
    <row r="1662" spans="1:37">
      <c r="A1662" t="s">
        <v>3147</v>
      </c>
      <c r="B1662" t="s">
        <v>3148</v>
      </c>
      <c r="C1662" t="s">
        <v>1027</v>
      </c>
      <c r="E1662">
        <v>43</v>
      </c>
      <c r="F1662">
        <v>24.3</v>
      </c>
      <c r="G1662">
        <v>0</v>
      </c>
      <c r="H1662">
        <v>21</v>
      </c>
      <c r="I1662">
        <v>113</v>
      </c>
      <c r="J1662">
        <v>58</v>
      </c>
      <c r="K1662">
        <v>2075</v>
      </c>
      <c r="L1662">
        <v>67</v>
      </c>
      <c r="M1662">
        <v>0</v>
      </c>
      <c r="N1662">
        <v>0</v>
      </c>
      <c r="O1662">
        <v>0</v>
      </c>
      <c r="P1662">
        <v>0</v>
      </c>
      <c r="Q1662">
        <v>2075</v>
      </c>
      <c r="R1662">
        <v>0</v>
      </c>
      <c r="S1662">
        <v>7</v>
      </c>
      <c r="T1662">
        <v>0</v>
      </c>
      <c r="U1662">
        <v>57</v>
      </c>
      <c r="V1662">
        <v>103</v>
      </c>
      <c r="W1662">
        <v>490</v>
      </c>
      <c r="X1662">
        <v>20</v>
      </c>
      <c r="Y1662">
        <v>13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690</v>
      </c>
      <c r="AF1662">
        <v>1488</v>
      </c>
      <c r="AJ1662">
        <v>5.36</v>
      </c>
      <c r="AK1662" t="str">
        <f t="shared" si="25"/>
        <v>WW440-5000</v>
      </c>
    </row>
    <row r="1663" spans="1:37">
      <c r="A1663" t="s">
        <v>3149</v>
      </c>
      <c r="B1663" t="s">
        <v>3148</v>
      </c>
      <c r="C1663" t="s">
        <v>1027</v>
      </c>
      <c r="E1663">
        <v>43</v>
      </c>
      <c r="F1663">
        <v>0</v>
      </c>
      <c r="G1663">
        <v>0</v>
      </c>
      <c r="H1663">
        <v>0</v>
      </c>
      <c r="I1663">
        <v>34</v>
      </c>
      <c r="J1663">
        <v>22</v>
      </c>
      <c r="K1663">
        <v>3196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3196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202</v>
      </c>
      <c r="X1663">
        <v>0</v>
      </c>
      <c r="Y1663">
        <v>0</v>
      </c>
      <c r="Z1663">
        <v>0</v>
      </c>
      <c r="AA1663">
        <v>0</v>
      </c>
      <c r="AB1663">
        <v>22</v>
      </c>
      <c r="AC1663">
        <v>37</v>
      </c>
      <c r="AD1663">
        <v>0</v>
      </c>
      <c r="AE1663">
        <v>261</v>
      </c>
      <c r="AF1663">
        <v>8</v>
      </c>
      <c r="AJ1663">
        <v>5.27</v>
      </c>
      <c r="AK1663" t="str">
        <f t="shared" si="25"/>
        <v>WW440-6200</v>
      </c>
    </row>
    <row r="1664" spans="1:37">
      <c r="A1664" t="s">
        <v>3150</v>
      </c>
      <c r="B1664" t="s">
        <v>3151</v>
      </c>
      <c r="C1664" t="s">
        <v>1027</v>
      </c>
      <c r="E1664">
        <v>40</v>
      </c>
      <c r="F1664">
        <v>2.7</v>
      </c>
      <c r="G1664">
        <v>140</v>
      </c>
      <c r="H1664">
        <v>124</v>
      </c>
      <c r="I1664">
        <v>203</v>
      </c>
      <c r="J1664">
        <v>221</v>
      </c>
      <c r="K1664">
        <v>1451</v>
      </c>
      <c r="L1664">
        <v>169</v>
      </c>
      <c r="M1664">
        <v>0</v>
      </c>
      <c r="N1664">
        <v>117</v>
      </c>
      <c r="O1664">
        <v>0</v>
      </c>
      <c r="P1664">
        <v>0</v>
      </c>
      <c r="Q1664">
        <v>1334</v>
      </c>
      <c r="R1664">
        <v>0</v>
      </c>
      <c r="S1664">
        <v>124</v>
      </c>
      <c r="T1664">
        <v>196</v>
      </c>
      <c r="U1664">
        <v>53</v>
      </c>
      <c r="V1664">
        <v>348</v>
      </c>
      <c r="W1664">
        <v>308</v>
      </c>
      <c r="X1664">
        <v>188</v>
      </c>
      <c r="Y1664">
        <v>197</v>
      </c>
      <c r="Z1664">
        <v>491</v>
      </c>
      <c r="AA1664">
        <v>116</v>
      </c>
      <c r="AB1664">
        <v>113</v>
      </c>
      <c r="AC1664">
        <v>177</v>
      </c>
      <c r="AD1664">
        <v>337</v>
      </c>
      <c r="AE1664">
        <v>2648</v>
      </c>
      <c r="AF1664">
        <v>3200</v>
      </c>
      <c r="AJ1664">
        <v>4.28</v>
      </c>
      <c r="AK1664" t="str">
        <f t="shared" si="25"/>
        <v>WW780-5000</v>
      </c>
    </row>
    <row r="1665" spans="1:37">
      <c r="A1665" t="s">
        <v>3152</v>
      </c>
      <c r="B1665" t="s">
        <v>3151</v>
      </c>
      <c r="C1665" t="s">
        <v>1027</v>
      </c>
      <c r="E1665">
        <v>40</v>
      </c>
      <c r="F1665">
        <v>0.7</v>
      </c>
      <c r="G1665">
        <v>27</v>
      </c>
      <c r="H1665">
        <v>283</v>
      </c>
      <c r="I1665">
        <v>185</v>
      </c>
      <c r="J1665">
        <v>213</v>
      </c>
      <c r="K1665">
        <v>823</v>
      </c>
      <c r="L1665">
        <v>79</v>
      </c>
      <c r="M1665">
        <v>0</v>
      </c>
      <c r="N1665">
        <v>22</v>
      </c>
      <c r="O1665">
        <v>0</v>
      </c>
      <c r="P1665">
        <v>0</v>
      </c>
      <c r="Q1665">
        <v>801</v>
      </c>
      <c r="R1665">
        <v>0</v>
      </c>
      <c r="S1665">
        <v>228</v>
      </c>
      <c r="T1665">
        <v>0</v>
      </c>
      <c r="U1665">
        <v>622</v>
      </c>
      <c r="V1665">
        <v>145</v>
      </c>
      <c r="W1665">
        <v>25</v>
      </c>
      <c r="X1665">
        <v>89</v>
      </c>
      <c r="Y1665">
        <v>87</v>
      </c>
      <c r="Z1665">
        <v>232</v>
      </c>
      <c r="AA1665">
        <v>0</v>
      </c>
      <c r="AB1665">
        <v>876</v>
      </c>
      <c r="AC1665">
        <v>196</v>
      </c>
      <c r="AD1665">
        <v>60</v>
      </c>
      <c r="AE1665">
        <v>2560</v>
      </c>
      <c r="AF1665">
        <v>2420</v>
      </c>
      <c r="AJ1665">
        <v>4.28</v>
      </c>
      <c r="AK1665" t="str">
        <f t="shared" si="25"/>
        <v>WW780-6200</v>
      </c>
    </row>
    <row r="1666" spans="1:37">
      <c r="A1666" t="s">
        <v>3153</v>
      </c>
      <c r="B1666" t="s">
        <v>3154</v>
      </c>
      <c r="C1666" t="s">
        <v>1027</v>
      </c>
      <c r="E1666">
        <v>40</v>
      </c>
      <c r="F1666">
        <v>40.4</v>
      </c>
      <c r="G1666">
        <v>56</v>
      </c>
      <c r="H1666">
        <v>50</v>
      </c>
      <c r="I1666">
        <v>25</v>
      </c>
      <c r="J1666">
        <v>233</v>
      </c>
      <c r="K1666">
        <v>8189</v>
      </c>
      <c r="L1666">
        <v>32</v>
      </c>
      <c r="M1666">
        <v>0</v>
      </c>
      <c r="N1666">
        <v>46</v>
      </c>
      <c r="O1666">
        <v>0</v>
      </c>
      <c r="P1666">
        <v>0</v>
      </c>
      <c r="Q1666">
        <v>8143</v>
      </c>
      <c r="R1666">
        <v>0</v>
      </c>
      <c r="S1666">
        <v>7</v>
      </c>
      <c r="T1666">
        <v>107</v>
      </c>
      <c r="U1666">
        <v>37</v>
      </c>
      <c r="V1666">
        <v>0</v>
      </c>
      <c r="W1666">
        <v>0</v>
      </c>
      <c r="X1666">
        <v>0</v>
      </c>
      <c r="Y1666">
        <v>0</v>
      </c>
      <c r="Z1666">
        <v>745</v>
      </c>
      <c r="AA1666">
        <v>159</v>
      </c>
      <c r="AB1666">
        <v>1139</v>
      </c>
      <c r="AC1666">
        <v>0</v>
      </c>
      <c r="AD1666">
        <v>600</v>
      </c>
      <c r="AE1666">
        <v>2794</v>
      </c>
      <c r="AF1666">
        <v>8009</v>
      </c>
      <c r="AJ1666">
        <v>5.47</v>
      </c>
      <c r="AK1666" t="str">
        <f t="shared" si="25"/>
        <v>WW900-5000</v>
      </c>
    </row>
    <row r="1667" spans="1:37">
      <c r="A1667" t="s">
        <v>3155</v>
      </c>
      <c r="B1667" t="s">
        <v>3154</v>
      </c>
      <c r="C1667" t="s">
        <v>1027</v>
      </c>
      <c r="E1667">
        <v>40</v>
      </c>
      <c r="F1667">
        <v>0.5</v>
      </c>
      <c r="G1667">
        <v>0</v>
      </c>
      <c r="H1667">
        <v>424</v>
      </c>
      <c r="I1667">
        <v>229</v>
      </c>
      <c r="J1667">
        <v>334</v>
      </c>
      <c r="K1667">
        <v>913</v>
      </c>
      <c r="L1667">
        <v>32</v>
      </c>
      <c r="M1667">
        <v>0</v>
      </c>
      <c r="N1667">
        <v>0</v>
      </c>
      <c r="O1667">
        <v>0</v>
      </c>
      <c r="P1667">
        <v>0</v>
      </c>
      <c r="Q1667">
        <v>913</v>
      </c>
      <c r="R1667">
        <v>0</v>
      </c>
      <c r="S1667">
        <v>655</v>
      </c>
      <c r="T1667">
        <v>607</v>
      </c>
      <c r="U1667">
        <v>10</v>
      </c>
      <c r="V1667">
        <v>87</v>
      </c>
      <c r="W1667">
        <v>16</v>
      </c>
      <c r="X1667">
        <v>0</v>
      </c>
      <c r="Y1667">
        <v>90</v>
      </c>
      <c r="Z1667">
        <v>945</v>
      </c>
      <c r="AA1667">
        <v>177</v>
      </c>
      <c r="AB1667">
        <v>859</v>
      </c>
      <c r="AC1667">
        <v>42</v>
      </c>
      <c r="AD1667">
        <v>515</v>
      </c>
      <c r="AE1667">
        <v>4003</v>
      </c>
      <c r="AF1667">
        <v>3025</v>
      </c>
      <c r="AJ1667">
        <v>4.8</v>
      </c>
      <c r="AK1667" t="str">
        <f t="shared" si="25"/>
        <v>WW900-6200</v>
      </c>
    </row>
    <row r="1668" spans="1:37">
      <c r="A1668" t="s">
        <v>3156</v>
      </c>
      <c r="B1668" t="s">
        <v>3157</v>
      </c>
      <c r="C1668" t="s">
        <v>313</v>
      </c>
      <c r="D1668" t="s">
        <v>2022</v>
      </c>
      <c r="E1668">
        <v>43</v>
      </c>
      <c r="F1668">
        <v>4.0999999999999996</v>
      </c>
      <c r="G1668">
        <v>19</v>
      </c>
      <c r="H1668">
        <v>35</v>
      </c>
      <c r="I1668">
        <v>86</v>
      </c>
      <c r="J1668">
        <v>146</v>
      </c>
      <c r="K1668">
        <v>582</v>
      </c>
      <c r="L1668">
        <v>42</v>
      </c>
      <c r="M1668">
        <v>0</v>
      </c>
      <c r="N1668">
        <v>16</v>
      </c>
      <c r="O1668">
        <v>0</v>
      </c>
      <c r="P1668">
        <v>0</v>
      </c>
      <c r="Q1668">
        <v>566</v>
      </c>
      <c r="R1668">
        <v>11</v>
      </c>
      <c r="S1668">
        <v>39</v>
      </c>
      <c r="T1668">
        <v>46</v>
      </c>
      <c r="U1668">
        <v>19</v>
      </c>
      <c r="V1668">
        <v>0</v>
      </c>
      <c r="W1668">
        <v>324</v>
      </c>
      <c r="X1668">
        <v>90</v>
      </c>
      <c r="Y1668">
        <v>12</v>
      </c>
      <c r="Z1668">
        <v>16</v>
      </c>
      <c r="AA1668">
        <v>0</v>
      </c>
      <c r="AB1668">
        <v>1165</v>
      </c>
      <c r="AC1668">
        <v>0</v>
      </c>
      <c r="AD1668">
        <v>43</v>
      </c>
      <c r="AE1668">
        <v>1754</v>
      </c>
      <c r="AF1668">
        <v>1056</v>
      </c>
      <c r="AJ1668">
        <v>4.92</v>
      </c>
      <c r="AK1668" t="str">
        <f t="shared" si="25"/>
        <v>WW960-5000</v>
      </c>
    </row>
    <row r="1669" spans="1:37">
      <c r="A1669" t="s">
        <v>3158</v>
      </c>
      <c r="B1669" t="s">
        <v>3157</v>
      </c>
      <c r="C1669" t="s">
        <v>313</v>
      </c>
      <c r="D1669" t="s">
        <v>2022</v>
      </c>
      <c r="E1669">
        <v>43</v>
      </c>
      <c r="F1669">
        <v>3.3</v>
      </c>
      <c r="G1669">
        <v>28</v>
      </c>
      <c r="H1669">
        <v>154</v>
      </c>
      <c r="I1669">
        <v>98</v>
      </c>
      <c r="J1669">
        <v>117</v>
      </c>
      <c r="K1669">
        <v>2024</v>
      </c>
      <c r="L1669">
        <v>92</v>
      </c>
      <c r="M1669">
        <v>0</v>
      </c>
      <c r="N1669">
        <v>23</v>
      </c>
      <c r="O1669">
        <v>0</v>
      </c>
      <c r="P1669">
        <v>0</v>
      </c>
      <c r="Q1669">
        <v>2001</v>
      </c>
      <c r="R1669">
        <v>0</v>
      </c>
      <c r="S1669">
        <v>199</v>
      </c>
      <c r="T1669">
        <v>144</v>
      </c>
      <c r="U1669">
        <v>118</v>
      </c>
      <c r="V1669">
        <v>0</v>
      </c>
      <c r="W1669">
        <v>9</v>
      </c>
      <c r="X1669">
        <v>116</v>
      </c>
      <c r="Y1669">
        <v>255</v>
      </c>
      <c r="Z1669">
        <v>186</v>
      </c>
      <c r="AA1669">
        <v>111</v>
      </c>
      <c r="AB1669">
        <v>117</v>
      </c>
      <c r="AC1669">
        <v>122</v>
      </c>
      <c r="AD1669">
        <v>22</v>
      </c>
      <c r="AE1669">
        <v>1399</v>
      </c>
      <c r="AF1669">
        <v>1810</v>
      </c>
      <c r="AJ1669">
        <v>4.67</v>
      </c>
      <c r="AK1669" t="str">
        <f t="shared" ref="AK1669:AK1732" si="26">MID(A1669,4,10)</f>
        <v>WW960-6200</v>
      </c>
    </row>
    <row r="1670" spans="1:37">
      <c r="A1670" t="s">
        <v>7768</v>
      </c>
      <c r="B1670" t="s">
        <v>7769</v>
      </c>
      <c r="E1670">
        <v>43</v>
      </c>
      <c r="F1670">
        <v>0</v>
      </c>
      <c r="G1670">
        <v>7</v>
      </c>
      <c r="H1670">
        <v>0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6</v>
      </c>
      <c r="O1670">
        <v>0</v>
      </c>
      <c r="P1670">
        <v>0</v>
      </c>
      <c r="Q1670">
        <v>-6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J1670">
        <v>0</v>
      </c>
      <c r="AK1670" t="str">
        <f t="shared" si="26"/>
        <v>WX075-450L</v>
      </c>
    </row>
    <row r="1671" spans="1:37">
      <c r="A1671" t="s">
        <v>7770</v>
      </c>
      <c r="B1671" t="s">
        <v>7771</v>
      </c>
      <c r="E1671">
        <v>43</v>
      </c>
      <c r="F1671">
        <v>0</v>
      </c>
      <c r="G1671">
        <v>6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0</v>
      </c>
      <c r="N1671">
        <v>5</v>
      </c>
      <c r="O1671">
        <v>0</v>
      </c>
      <c r="P1671">
        <v>0</v>
      </c>
      <c r="Q1671">
        <v>-5</v>
      </c>
      <c r="R1671">
        <v>0</v>
      </c>
      <c r="S1671">
        <v>0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J1671">
        <v>0</v>
      </c>
      <c r="AK1671" t="str">
        <f t="shared" si="26"/>
        <v>WX075-450R</v>
      </c>
    </row>
    <row r="1672" spans="1:37">
      <c r="A1672" t="s">
        <v>3159</v>
      </c>
      <c r="B1672" t="s">
        <v>3160</v>
      </c>
      <c r="C1672" t="s">
        <v>267</v>
      </c>
      <c r="D1672" t="s">
        <v>2975</v>
      </c>
      <c r="E1672">
        <v>48</v>
      </c>
      <c r="F1672">
        <v>1.8</v>
      </c>
      <c r="G1672">
        <v>39</v>
      </c>
      <c r="H1672">
        <v>213</v>
      </c>
      <c r="I1672">
        <v>151</v>
      </c>
      <c r="J1672">
        <v>130</v>
      </c>
      <c r="K1672">
        <v>1564</v>
      </c>
      <c r="L1672">
        <v>153</v>
      </c>
      <c r="M1672">
        <v>0</v>
      </c>
      <c r="N1672">
        <v>33</v>
      </c>
      <c r="O1672">
        <v>0</v>
      </c>
      <c r="P1672">
        <v>0</v>
      </c>
      <c r="Q1672">
        <v>1531</v>
      </c>
      <c r="R1672">
        <v>0</v>
      </c>
      <c r="S1672">
        <v>346</v>
      </c>
      <c r="T1672">
        <v>173</v>
      </c>
      <c r="U1672">
        <v>120</v>
      </c>
      <c r="V1672">
        <v>117</v>
      </c>
      <c r="W1672">
        <v>101</v>
      </c>
      <c r="X1672">
        <v>49</v>
      </c>
      <c r="Y1672">
        <v>160</v>
      </c>
      <c r="Z1672">
        <v>131</v>
      </c>
      <c r="AA1672">
        <v>115</v>
      </c>
      <c r="AB1672">
        <v>114</v>
      </c>
      <c r="AC1672">
        <v>0</v>
      </c>
      <c r="AD1672">
        <v>130</v>
      </c>
      <c r="AE1672">
        <v>1556</v>
      </c>
      <c r="AF1672">
        <v>2327</v>
      </c>
      <c r="AJ1672">
        <v>6.12</v>
      </c>
      <c r="AK1672" t="str">
        <f t="shared" si="26"/>
        <v>WX075-5000</v>
      </c>
    </row>
    <row r="1673" spans="1:37">
      <c r="A1673" t="s">
        <v>3161</v>
      </c>
      <c r="B1673" t="s">
        <v>3160</v>
      </c>
      <c r="C1673" t="s">
        <v>267</v>
      </c>
      <c r="D1673" t="s">
        <v>2975</v>
      </c>
      <c r="E1673">
        <v>48</v>
      </c>
      <c r="F1673">
        <v>28.6</v>
      </c>
      <c r="G1673">
        <v>5</v>
      </c>
      <c r="H1673">
        <v>16</v>
      </c>
      <c r="I1673">
        <v>36</v>
      </c>
      <c r="J1673">
        <v>36</v>
      </c>
      <c r="K1673">
        <v>1835</v>
      </c>
      <c r="L1673">
        <v>0</v>
      </c>
      <c r="M1673">
        <v>0</v>
      </c>
      <c r="N1673">
        <v>4</v>
      </c>
      <c r="O1673">
        <v>0</v>
      </c>
      <c r="P1673">
        <v>0</v>
      </c>
      <c r="Q1673">
        <v>1831</v>
      </c>
      <c r="R1673">
        <v>0</v>
      </c>
      <c r="S1673">
        <v>28</v>
      </c>
      <c r="T1673">
        <v>20</v>
      </c>
      <c r="U1673">
        <v>0</v>
      </c>
      <c r="V1673">
        <v>27</v>
      </c>
      <c r="W1673">
        <v>109</v>
      </c>
      <c r="X1673">
        <v>29</v>
      </c>
      <c r="Y1673">
        <v>45</v>
      </c>
      <c r="Z1673">
        <v>0</v>
      </c>
      <c r="AA1673">
        <v>33</v>
      </c>
      <c r="AB1673">
        <v>18</v>
      </c>
      <c r="AC1673">
        <v>22</v>
      </c>
      <c r="AD1673">
        <v>99</v>
      </c>
      <c r="AE1673">
        <v>430</v>
      </c>
      <c r="AF1673">
        <v>840</v>
      </c>
      <c r="AJ1673">
        <v>6.12</v>
      </c>
      <c r="AK1673" t="str">
        <f t="shared" si="26"/>
        <v>WX075-6200</v>
      </c>
    </row>
    <row r="1674" spans="1:37">
      <c r="A1674" t="s">
        <v>3162</v>
      </c>
      <c r="B1674" t="s">
        <v>3163</v>
      </c>
      <c r="C1674" t="s">
        <v>110</v>
      </c>
      <c r="E1674">
        <v>50</v>
      </c>
      <c r="F1674">
        <v>1.7</v>
      </c>
      <c r="G1674">
        <v>67</v>
      </c>
      <c r="H1674">
        <v>82</v>
      </c>
      <c r="I1674">
        <v>329</v>
      </c>
      <c r="J1674">
        <v>236</v>
      </c>
      <c r="K1674">
        <v>609</v>
      </c>
      <c r="L1674">
        <v>662</v>
      </c>
      <c r="M1674">
        <v>0</v>
      </c>
      <c r="N1674">
        <v>56</v>
      </c>
      <c r="O1674">
        <v>0</v>
      </c>
      <c r="P1674">
        <v>0</v>
      </c>
      <c r="Q1674">
        <v>553</v>
      </c>
      <c r="R1674">
        <v>0</v>
      </c>
      <c r="S1674">
        <v>78</v>
      </c>
      <c r="T1674">
        <v>57</v>
      </c>
      <c r="U1674">
        <v>110</v>
      </c>
      <c r="V1674">
        <v>0</v>
      </c>
      <c r="W1674">
        <v>677</v>
      </c>
      <c r="X1674">
        <v>1053</v>
      </c>
      <c r="Y1674">
        <v>61</v>
      </c>
      <c r="Z1674">
        <v>0</v>
      </c>
      <c r="AA1674">
        <v>0</v>
      </c>
      <c r="AB1674">
        <v>615</v>
      </c>
      <c r="AC1674">
        <v>66</v>
      </c>
      <c r="AD1674">
        <v>118</v>
      </c>
      <c r="AE1674">
        <v>2835</v>
      </c>
      <c r="AF1674">
        <v>2739</v>
      </c>
      <c r="AJ1674">
        <v>3.83</v>
      </c>
      <c r="AK1674" t="str">
        <f t="shared" si="26"/>
        <v>WX115-5000</v>
      </c>
    </row>
    <row r="1675" spans="1:37">
      <c r="A1675" t="s">
        <v>3164</v>
      </c>
      <c r="B1675" t="s">
        <v>3163</v>
      </c>
      <c r="C1675" t="s">
        <v>110</v>
      </c>
      <c r="E1675">
        <v>50</v>
      </c>
      <c r="F1675">
        <v>4.3</v>
      </c>
      <c r="G1675">
        <v>91</v>
      </c>
      <c r="H1675">
        <v>70</v>
      </c>
      <c r="I1675">
        <v>75</v>
      </c>
      <c r="J1675">
        <v>73</v>
      </c>
      <c r="K1675">
        <v>1283</v>
      </c>
      <c r="L1675">
        <v>79</v>
      </c>
      <c r="M1675">
        <v>0</v>
      </c>
      <c r="N1675">
        <v>76</v>
      </c>
      <c r="O1675">
        <v>0</v>
      </c>
      <c r="P1675">
        <v>0</v>
      </c>
      <c r="Q1675">
        <v>1207</v>
      </c>
      <c r="R1675">
        <v>0</v>
      </c>
      <c r="S1675">
        <v>75</v>
      </c>
      <c r="T1675">
        <v>95</v>
      </c>
      <c r="U1675">
        <v>41</v>
      </c>
      <c r="V1675">
        <v>44</v>
      </c>
      <c r="W1675">
        <v>100</v>
      </c>
      <c r="X1675">
        <v>93</v>
      </c>
      <c r="Y1675">
        <v>0</v>
      </c>
      <c r="Z1675">
        <v>114</v>
      </c>
      <c r="AA1675">
        <v>0</v>
      </c>
      <c r="AB1675">
        <v>111</v>
      </c>
      <c r="AC1675">
        <v>198</v>
      </c>
      <c r="AD1675">
        <v>0</v>
      </c>
      <c r="AE1675">
        <v>871</v>
      </c>
      <c r="AF1675">
        <v>1719</v>
      </c>
      <c r="AJ1675">
        <v>3.96</v>
      </c>
      <c r="AK1675" t="str">
        <f t="shared" si="26"/>
        <v>WX115-6200</v>
      </c>
    </row>
    <row r="1676" spans="1:37">
      <c r="A1676" t="s">
        <v>3165</v>
      </c>
      <c r="B1676" t="s">
        <v>3166</v>
      </c>
      <c r="C1676" t="s">
        <v>267</v>
      </c>
      <c r="E1676">
        <v>50</v>
      </c>
      <c r="F1676">
        <v>2.7</v>
      </c>
      <c r="G1676">
        <v>117</v>
      </c>
      <c r="H1676">
        <v>104</v>
      </c>
      <c r="I1676">
        <v>65</v>
      </c>
      <c r="J1676">
        <v>207</v>
      </c>
      <c r="K1676">
        <v>1232</v>
      </c>
      <c r="L1676">
        <v>48</v>
      </c>
      <c r="M1676">
        <v>0</v>
      </c>
      <c r="N1676">
        <v>98</v>
      </c>
      <c r="O1676">
        <v>0</v>
      </c>
      <c r="P1676">
        <v>0</v>
      </c>
      <c r="Q1676">
        <v>1134</v>
      </c>
      <c r="R1676">
        <v>95</v>
      </c>
      <c r="S1676">
        <v>89</v>
      </c>
      <c r="T1676">
        <v>96</v>
      </c>
      <c r="U1676">
        <v>127</v>
      </c>
      <c r="V1676">
        <v>78</v>
      </c>
      <c r="W1676">
        <v>0</v>
      </c>
      <c r="X1676">
        <v>0</v>
      </c>
      <c r="Y1676">
        <v>374</v>
      </c>
      <c r="Z1676">
        <v>526</v>
      </c>
      <c r="AA1676">
        <v>721</v>
      </c>
      <c r="AB1676">
        <v>379</v>
      </c>
      <c r="AC1676">
        <v>79</v>
      </c>
      <c r="AD1676">
        <v>19</v>
      </c>
      <c r="AE1676">
        <v>2488</v>
      </c>
      <c r="AF1676">
        <v>3732</v>
      </c>
      <c r="AJ1676">
        <v>3.96</v>
      </c>
      <c r="AK1676" t="str">
        <f t="shared" si="26"/>
        <v>WX460-5000</v>
      </c>
    </row>
    <row r="1677" spans="1:37">
      <c r="A1677" t="s">
        <v>3167</v>
      </c>
      <c r="B1677" t="s">
        <v>3166</v>
      </c>
      <c r="C1677" t="s">
        <v>267</v>
      </c>
      <c r="E1677">
        <v>50</v>
      </c>
      <c r="F1677">
        <v>6.8</v>
      </c>
      <c r="G1677">
        <v>0</v>
      </c>
      <c r="H1677">
        <v>21</v>
      </c>
      <c r="I1677">
        <v>13</v>
      </c>
      <c r="J1677">
        <v>23</v>
      </c>
      <c r="K1677">
        <v>562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562</v>
      </c>
      <c r="R1677">
        <v>0</v>
      </c>
      <c r="S1677">
        <v>0</v>
      </c>
      <c r="T1677">
        <v>0</v>
      </c>
      <c r="U1677">
        <v>62</v>
      </c>
      <c r="V1677">
        <v>0</v>
      </c>
      <c r="W1677">
        <v>1</v>
      </c>
      <c r="X1677">
        <v>12</v>
      </c>
      <c r="Y1677">
        <v>0</v>
      </c>
      <c r="Z1677">
        <v>85</v>
      </c>
      <c r="AA1677">
        <v>25</v>
      </c>
      <c r="AB1677">
        <v>42</v>
      </c>
      <c r="AC1677">
        <v>0</v>
      </c>
      <c r="AD1677">
        <v>45</v>
      </c>
      <c r="AE1677">
        <v>272</v>
      </c>
      <c r="AF1677">
        <v>429</v>
      </c>
      <c r="AJ1677">
        <v>3.96</v>
      </c>
      <c r="AK1677" t="str">
        <f t="shared" si="26"/>
        <v>WX460-6200</v>
      </c>
    </row>
    <row r="1678" spans="1:37">
      <c r="A1678" t="s">
        <v>3168</v>
      </c>
      <c r="B1678" t="s">
        <v>3169</v>
      </c>
      <c r="C1678" t="s">
        <v>267</v>
      </c>
      <c r="E1678">
        <v>50</v>
      </c>
      <c r="F1678">
        <v>0</v>
      </c>
      <c r="G1678">
        <v>0</v>
      </c>
      <c r="H1678">
        <v>0</v>
      </c>
      <c r="I1678">
        <v>0</v>
      </c>
      <c r="J1678">
        <v>5</v>
      </c>
      <c r="K1678">
        <v>797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797</v>
      </c>
      <c r="R1678">
        <v>0</v>
      </c>
      <c r="S1678">
        <v>0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58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58</v>
      </c>
      <c r="AF1678">
        <v>0</v>
      </c>
      <c r="AJ1678">
        <v>3.6</v>
      </c>
      <c r="AK1678" t="str">
        <f t="shared" si="26"/>
        <v>WX850-5000</v>
      </c>
    </row>
    <row r="1679" spans="1:37">
      <c r="A1679" t="s">
        <v>3170</v>
      </c>
      <c r="B1679" t="s">
        <v>3169</v>
      </c>
      <c r="C1679" t="s">
        <v>267</v>
      </c>
      <c r="E1679">
        <v>50</v>
      </c>
      <c r="F1679">
        <v>0</v>
      </c>
      <c r="G1679">
        <v>0</v>
      </c>
      <c r="H1679">
        <v>0</v>
      </c>
      <c r="I1679">
        <v>0</v>
      </c>
      <c r="J1679">
        <v>2</v>
      </c>
      <c r="K1679">
        <v>2412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2412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23</v>
      </c>
      <c r="AD1679">
        <v>0</v>
      </c>
      <c r="AE1679">
        <v>23</v>
      </c>
      <c r="AF1679">
        <v>31</v>
      </c>
      <c r="AJ1679">
        <v>4.82</v>
      </c>
      <c r="AK1679" t="str">
        <f t="shared" si="26"/>
        <v>WX850-6200</v>
      </c>
    </row>
    <row r="1680" spans="1:37">
      <c r="A1680" t="s">
        <v>3171</v>
      </c>
      <c r="B1680" t="s">
        <v>3172</v>
      </c>
      <c r="C1680" t="s">
        <v>110</v>
      </c>
      <c r="E1680">
        <v>43</v>
      </c>
      <c r="F1680">
        <v>-0.1</v>
      </c>
      <c r="G1680">
        <v>29</v>
      </c>
      <c r="H1680">
        <v>61</v>
      </c>
      <c r="I1680">
        <v>43</v>
      </c>
      <c r="J1680">
        <v>97</v>
      </c>
      <c r="K1680">
        <v>0</v>
      </c>
      <c r="L1680">
        <v>186</v>
      </c>
      <c r="M1680">
        <v>0</v>
      </c>
      <c r="N1680">
        <v>24</v>
      </c>
      <c r="O1680">
        <v>0</v>
      </c>
      <c r="P1680">
        <v>0</v>
      </c>
      <c r="Q1680">
        <v>-24</v>
      </c>
      <c r="R1680">
        <v>0</v>
      </c>
      <c r="S1680">
        <v>56</v>
      </c>
      <c r="T1680">
        <v>68</v>
      </c>
      <c r="U1680">
        <v>58</v>
      </c>
      <c r="V1680">
        <v>74</v>
      </c>
      <c r="W1680">
        <v>0</v>
      </c>
      <c r="X1680">
        <v>0</v>
      </c>
      <c r="Y1680">
        <v>122</v>
      </c>
      <c r="Z1680">
        <v>375</v>
      </c>
      <c r="AA1680">
        <v>43</v>
      </c>
      <c r="AB1680">
        <v>304</v>
      </c>
      <c r="AC1680">
        <v>59</v>
      </c>
      <c r="AD1680">
        <v>0</v>
      </c>
      <c r="AE1680">
        <v>1159</v>
      </c>
      <c r="AF1680">
        <v>476</v>
      </c>
      <c r="AJ1680">
        <v>4.47</v>
      </c>
      <c r="AK1680" t="str">
        <f t="shared" si="26"/>
        <v>WY200-5000</v>
      </c>
    </row>
    <row r="1681" spans="1:37">
      <c r="A1681" t="s">
        <v>3173</v>
      </c>
      <c r="B1681" t="s">
        <v>3172</v>
      </c>
      <c r="C1681" t="s">
        <v>110</v>
      </c>
      <c r="E1681">
        <v>43</v>
      </c>
      <c r="F1681">
        <v>82.5</v>
      </c>
      <c r="G1681">
        <v>0</v>
      </c>
      <c r="H1681">
        <v>8</v>
      </c>
      <c r="I1681">
        <v>19</v>
      </c>
      <c r="J1681">
        <v>20</v>
      </c>
      <c r="K1681">
        <v>2641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2641</v>
      </c>
      <c r="R1681">
        <v>0</v>
      </c>
      <c r="S1681">
        <v>24</v>
      </c>
      <c r="T1681">
        <v>0</v>
      </c>
      <c r="U1681">
        <v>0</v>
      </c>
      <c r="V1681">
        <v>0</v>
      </c>
      <c r="W1681">
        <v>33</v>
      </c>
      <c r="X1681">
        <v>59</v>
      </c>
      <c r="Y1681">
        <v>22</v>
      </c>
      <c r="Z1681">
        <v>0</v>
      </c>
      <c r="AA1681">
        <v>98</v>
      </c>
      <c r="AB1681">
        <v>0</v>
      </c>
      <c r="AC1681">
        <v>0</v>
      </c>
      <c r="AD1681">
        <v>0</v>
      </c>
      <c r="AE1681">
        <v>236</v>
      </c>
      <c r="AF1681">
        <v>411</v>
      </c>
      <c r="AJ1681">
        <v>4.47</v>
      </c>
      <c r="AK1681" t="str">
        <f t="shared" si="26"/>
        <v>WY200-6200</v>
      </c>
    </row>
    <row r="1682" spans="1:37">
      <c r="A1682" t="s">
        <v>3174</v>
      </c>
      <c r="B1682" t="s">
        <v>3175</v>
      </c>
      <c r="C1682" t="s">
        <v>318</v>
      </c>
      <c r="D1682" t="s">
        <v>3176</v>
      </c>
      <c r="E1682">
        <v>50</v>
      </c>
      <c r="F1682">
        <v>0</v>
      </c>
      <c r="G1682">
        <v>0</v>
      </c>
      <c r="H1682">
        <v>0</v>
      </c>
      <c r="I1682">
        <v>7</v>
      </c>
      <c r="J1682">
        <v>11</v>
      </c>
      <c r="K1682">
        <v>139</v>
      </c>
      <c r="L1682">
        <v>36</v>
      </c>
      <c r="M1682">
        <v>0</v>
      </c>
      <c r="N1682">
        <v>0</v>
      </c>
      <c r="O1682">
        <v>0</v>
      </c>
      <c r="P1682">
        <v>0</v>
      </c>
      <c r="Q1682">
        <v>139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23</v>
      </c>
      <c r="X1682">
        <v>19</v>
      </c>
      <c r="Y1682">
        <v>51</v>
      </c>
      <c r="Z1682">
        <v>8</v>
      </c>
      <c r="AA1682">
        <v>28</v>
      </c>
      <c r="AB1682">
        <v>0</v>
      </c>
      <c r="AC1682">
        <v>0</v>
      </c>
      <c r="AD1682">
        <v>0</v>
      </c>
      <c r="AE1682">
        <v>129</v>
      </c>
      <c r="AF1682">
        <v>172</v>
      </c>
      <c r="AJ1682">
        <v>6.94</v>
      </c>
      <c r="AK1682" t="str">
        <f t="shared" si="26"/>
        <v>WZ001-5000</v>
      </c>
    </row>
    <row r="1683" spans="1:37">
      <c r="A1683" t="s">
        <v>3177</v>
      </c>
      <c r="B1683" t="s">
        <v>3178</v>
      </c>
      <c r="C1683" t="s">
        <v>318</v>
      </c>
      <c r="D1683" t="s">
        <v>3176</v>
      </c>
      <c r="E1683">
        <v>50</v>
      </c>
      <c r="F1683">
        <v>17.899999999999999</v>
      </c>
      <c r="G1683">
        <v>0</v>
      </c>
      <c r="H1683">
        <v>14</v>
      </c>
      <c r="I1683">
        <v>7</v>
      </c>
      <c r="J1683">
        <v>128</v>
      </c>
      <c r="K1683">
        <v>1026</v>
      </c>
      <c r="L1683">
        <v>34</v>
      </c>
      <c r="M1683">
        <v>0</v>
      </c>
      <c r="N1683">
        <v>0</v>
      </c>
      <c r="O1683">
        <v>0</v>
      </c>
      <c r="P1683">
        <v>0</v>
      </c>
      <c r="Q1683">
        <v>1026</v>
      </c>
      <c r="R1683">
        <v>0</v>
      </c>
      <c r="S1683">
        <v>0</v>
      </c>
      <c r="T1683">
        <v>0</v>
      </c>
      <c r="U1683">
        <v>43</v>
      </c>
      <c r="V1683">
        <v>0</v>
      </c>
      <c r="W1683">
        <v>0</v>
      </c>
      <c r="X1683">
        <v>0</v>
      </c>
      <c r="Y1683">
        <v>505</v>
      </c>
      <c r="Z1683">
        <v>41</v>
      </c>
      <c r="AA1683">
        <v>0</v>
      </c>
      <c r="AB1683">
        <v>952</v>
      </c>
      <c r="AC1683">
        <v>0</v>
      </c>
      <c r="AD1683">
        <v>0</v>
      </c>
      <c r="AE1683">
        <v>1541</v>
      </c>
      <c r="AF1683">
        <v>53</v>
      </c>
      <c r="AJ1683">
        <v>6.94</v>
      </c>
      <c r="AK1683" t="str">
        <f t="shared" si="26"/>
        <v>WZ001-6200</v>
      </c>
    </row>
    <row r="1684" spans="1:37">
      <c r="A1684" t="s">
        <v>3179</v>
      </c>
      <c r="B1684" t="s">
        <v>3180</v>
      </c>
      <c r="C1684" t="s">
        <v>318</v>
      </c>
      <c r="D1684" t="s">
        <v>3181</v>
      </c>
      <c r="E1684">
        <v>50</v>
      </c>
      <c r="F1684">
        <v>0</v>
      </c>
      <c r="G1684">
        <v>0</v>
      </c>
      <c r="H1684">
        <v>0</v>
      </c>
      <c r="I1684">
        <v>5</v>
      </c>
      <c r="J1684">
        <v>12</v>
      </c>
      <c r="K1684">
        <v>460</v>
      </c>
      <c r="L1684">
        <v>17</v>
      </c>
      <c r="M1684">
        <v>0</v>
      </c>
      <c r="N1684">
        <v>0</v>
      </c>
      <c r="O1684">
        <v>0</v>
      </c>
      <c r="P1684">
        <v>0</v>
      </c>
      <c r="Q1684">
        <v>460</v>
      </c>
      <c r="R1684">
        <v>0</v>
      </c>
      <c r="S1684">
        <v>0</v>
      </c>
      <c r="T1684">
        <v>0</v>
      </c>
      <c r="U1684">
        <v>0</v>
      </c>
      <c r="V1684">
        <v>0</v>
      </c>
      <c r="W1684">
        <v>31</v>
      </c>
      <c r="X1684">
        <v>0</v>
      </c>
      <c r="Y1684">
        <v>0</v>
      </c>
      <c r="Z1684">
        <v>9</v>
      </c>
      <c r="AA1684">
        <v>67</v>
      </c>
      <c r="AB1684">
        <v>0</v>
      </c>
      <c r="AC1684">
        <v>0</v>
      </c>
      <c r="AD1684">
        <v>31</v>
      </c>
      <c r="AE1684">
        <v>138</v>
      </c>
      <c r="AF1684">
        <v>150</v>
      </c>
      <c r="AJ1684">
        <v>6.02</v>
      </c>
      <c r="AK1684" t="str">
        <f t="shared" si="26"/>
        <v>WZ002-5000</v>
      </c>
    </row>
    <row r="1685" spans="1:37">
      <c r="A1685" t="s">
        <v>3182</v>
      </c>
      <c r="B1685" t="s">
        <v>3183</v>
      </c>
      <c r="C1685" t="s">
        <v>318</v>
      </c>
      <c r="E1685">
        <v>50</v>
      </c>
      <c r="F1685">
        <v>0</v>
      </c>
      <c r="G1685">
        <v>0</v>
      </c>
      <c r="H1685">
        <v>0</v>
      </c>
      <c r="I1685">
        <v>5</v>
      </c>
      <c r="J1685">
        <v>10</v>
      </c>
      <c r="K1685">
        <v>921</v>
      </c>
      <c r="L1685">
        <v>9</v>
      </c>
      <c r="M1685">
        <v>0</v>
      </c>
      <c r="N1685">
        <v>0</v>
      </c>
      <c r="O1685">
        <v>0</v>
      </c>
      <c r="P1685">
        <v>0</v>
      </c>
      <c r="Q1685">
        <v>921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29</v>
      </c>
      <c r="X1685">
        <v>0</v>
      </c>
      <c r="Y1685">
        <v>0</v>
      </c>
      <c r="Z1685">
        <v>10</v>
      </c>
      <c r="AA1685">
        <v>0</v>
      </c>
      <c r="AB1685">
        <v>61</v>
      </c>
      <c r="AC1685">
        <v>0</v>
      </c>
      <c r="AD1685">
        <v>17</v>
      </c>
      <c r="AE1685">
        <v>117</v>
      </c>
      <c r="AF1685">
        <v>45</v>
      </c>
      <c r="AJ1685">
        <v>6.02</v>
      </c>
      <c r="AK1685" t="str">
        <f t="shared" si="26"/>
        <v>WZ002-6200</v>
      </c>
    </row>
    <row r="1686" spans="1:37">
      <c r="A1686" t="s">
        <v>3184</v>
      </c>
      <c r="B1686" t="s">
        <v>3185</v>
      </c>
      <c r="C1686" t="s">
        <v>318</v>
      </c>
      <c r="E1686">
        <v>50</v>
      </c>
      <c r="F1686">
        <v>30.3</v>
      </c>
      <c r="G1686">
        <v>0</v>
      </c>
      <c r="H1686">
        <v>4</v>
      </c>
      <c r="I1686">
        <v>19</v>
      </c>
      <c r="J1686">
        <v>20</v>
      </c>
      <c r="K1686">
        <v>444</v>
      </c>
      <c r="L1686">
        <v>44</v>
      </c>
      <c r="M1686">
        <v>0</v>
      </c>
      <c r="N1686">
        <v>0</v>
      </c>
      <c r="O1686">
        <v>0</v>
      </c>
      <c r="P1686">
        <v>0</v>
      </c>
      <c r="Q1686">
        <v>444</v>
      </c>
      <c r="R1686">
        <v>0</v>
      </c>
      <c r="S1686">
        <v>0</v>
      </c>
      <c r="T1686">
        <v>0</v>
      </c>
      <c r="U1686">
        <v>11</v>
      </c>
      <c r="V1686">
        <v>8</v>
      </c>
      <c r="W1686">
        <v>27</v>
      </c>
      <c r="X1686">
        <v>67</v>
      </c>
      <c r="Y1686">
        <v>15</v>
      </c>
      <c r="Z1686">
        <v>13</v>
      </c>
      <c r="AA1686">
        <v>88</v>
      </c>
      <c r="AB1686">
        <v>12</v>
      </c>
      <c r="AC1686">
        <v>0</v>
      </c>
      <c r="AD1686">
        <v>0</v>
      </c>
      <c r="AE1686">
        <v>241</v>
      </c>
      <c r="AF1686">
        <v>347</v>
      </c>
      <c r="AJ1686">
        <v>6.08</v>
      </c>
      <c r="AK1686" t="str">
        <f t="shared" si="26"/>
        <v>WZ003-5000</v>
      </c>
    </row>
    <row r="1687" spans="1:37">
      <c r="A1687" t="s">
        <v>3186</v>
      </c>
      <c r="B1687" t="s">
        <v>3187</v>
      </c>
      <c r="C1687" t="s">
        <v>318</v>
      </c>
      <c r="E1687">
        <v>50</v>
      </c>
      <c r="F1687">
        <v>0</v>
      </c>
      <c r="G1687">
        <v>0</v>
      </c>
      <c r="H1687">
        <v>0</v>
      </c>
      <c r="I1687">
        <v>3</v>
      </c>
      <c r="J1687">
        <v>6</v>
      </c>
      <c r="K1687">
        <v>768</v>
      </c>
      <c r="L1687">
        <v>8</v>
      </c>
      <c r="M1687">
        <v>0</v>
      </c>
      <c r="N1687">
        <v>0</v>
      </c>
      <c r="O1687">
        <v>0</v>
      </c>
      <c r="P1687">
        <v>0</v>
      </c>
      <c r="Q1687">
        <v>768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18</v>
      </c>
      <c r="Y1687">
        <v>0</v>
      </c>
      <c r="Z1687">
        <v>30</v>
      </c>
      <c r="AA1687">
        <v>0</v>
      </c>
      <c r="AB1687">
        <v>26</v>
      </c>
      <c r="AC1687">
        <v>0</v>
      </c>
      <c r="AD1687">
        <v>0</v>
      </c>
      <c r="AE1687">
        <v>74</v>
      </c>
      <c r="AF1687">
        <v>51</v>
      </c>
      <c r="AJ1687">
        <v>6.08</v>
      </c>
      <c r="AK1687" t="str">
        <f t="shared" si="26"/>
        <v>WZ003-6200</v>
      </c>
    </row>
    <row r="1688" spans="1:37">
      <c r="A1688" t="s">
        <v>3188</v>
      </c>
      <c r="B1688" t="s">
        <v>3189</v>
      </c>
      <c r="C1688" t="s">
        <v>1558</v>
      </c>
      <c r="D1688" t="s">
        <v>3190</v>
      </c>
      <c r="E1688">
        <v>50</v>
      </c>
      <c r="F1688">
        <v>0.3</v>
      </c>
      <c r="G1688">
        <v>33</v>
      </c>
      <c r="H1688">
        <v>125</v>
      </c>
      <c r="I1688">
        <v>152</v>
      </c>
      <c r="J1688">
        <v>170</v>
      </c>
      <c r="K1688">
        <v>172</v>
      </c>
      <c r="L1688">
        <v>70</v>
      </c>
      <c r="M1688">
        <v>0</v>
      </c>
      <c r="N1688">
        <v>28</v>
      </c>
      <c r="O1688">
        <v>0</v>
      </c>
      <c r="P1688">
        <v>0</v>
      </c>
      <c r="Q1688">
        <v>144</v>
      </c>
      <c r="R1688">
        <v>0</v>
      </c>
      <c r="S1688">
        <v>15</v>
      </c>
      <c r="T1688">
        <v>181</v>
      </c>
      <c r="U1688">
        <v>180</v>
      </c>
      <c r="V1688">
        <v>360</v>
      </c>
      <c r="W1688">
        <v>177</v>
      </c>
      <c r="X1688">
        <v>0</v>
      </c>
      <c r="Y1688">
        <v>196</v>
      </c>
      <c r="Z1688">
        <v>312</v>
      </c>
      <c r="AA1688">
        <v>306</v>
      </c>
      <c r="AB1688">
        <v>167</v>
      </c>
      <c r="AC1688">
        <v>0</v>
      </c>
      <c r="AD1688">
        <v>150</v>
      </c>
      <c r="AE1688">
        <v>2044</v>
      </c>
      <c r="AF1688">
        <v>3077</v>
      </c>
      <c r="AG1688" t="s">
        <v>7482</v>
      </c>
      <c r="AH1688">
        <v>6</v>
      </c>
      <c r="AI1688">
        <v>111</v>
      </c>
      <c r="AJ1688">
        <v>4.92</v>
      </c>
      <c r="AK1688" t="str">
        <f t="shared" si="26"/>
        <v>WZ005-5000</v>
      </c>
    </row>
    <row r="1689" spans="1:37">
      <c r="A1689" t="s">
        <v>3191</v>
      </c>
      <c r="B1689" t="s">
        <v>3189</v>
      </c>
      <c r="C1689" t="s">
        <v>329</v>
      </c>
      <c r="D1689" t="s">
        <v>3192</v>
      </c>
      <c r="E1689">
        <v>50</v>
      </c>
      <c r="F1689">
        <v>7.8</v>
      </c>
      <c r="G1689">
        <v>24</v>
      </c>
      <c r="H1689">
        <v>36</v>
      </c>
      <c r="I1689">
        <v>53</v>
      </c>
      <c r="J1689">
        <v>48</v>
      </c>
      <c r="K1689">
        <v>1138</v>
      </c>
      <c r="L1689">
        <v>64</v>
      </c>
      <c r="M1689">
        <v>0</v>
      </c>
      <c r="N1689">
        <v>20</v>
      </c>
      <c r="O1689">
        <v>0</v>
      </c>
      <c r="P1689">
        <v>0</v>
      </c>
      <c r="Q1689">
        <v>1118</v>
      </c>
      <c r="R1689">
        <v>0</v>
      </c>
      <c r="S1689">
        <v>0</v>
      </c>
      <c r="T1689">
        <v>107</v>
      </c>
      <c r="U1689">
        <v>0</v>
      </c>
      <c r="V1689">
        <v>86</v>
      </c>
      <c r="W1689">
        <v>99</v>
      </c>
      <c r="X1689">
        <v>24</v>
      </c>
      <c r="Y1689">
        <v>18</v>
      </c>
      <c r="Z1689">
        <v>166</v>
      </c>
      <c r="AA1689">
        <v>0</v>
      </c>
      <c r="AB1689">
        <v>71</v>
      </c>
      <c r="AC1689">
        <v>0</v>
      </c>
      <c r="AD1689">
        <v>0</v>
      </c>
      <c r="AE1689">
        <v>571</v>
      </c>
      <c r="AF1689">
        <v>3450</v>
      </c>
      <c r="AJ1689">
        <v>3.56</v>
      </c>
      <c r="AK1689" t="str">
        <f t="shared" si="26"/>
        <v>WZ005-6200</v>
      </c>
    </row>
    <row r="1690" spans="1:37">
      <c r="A1690" t="s">
        <v>3193</v>
      </c>
      <c r="B1690" t="s">
        <v>3194</v>
      </c>
      <c r="C1690" t="s">
        <v>313</v>
      </c>
      <c r="E1690">
        <v>50</v>
      </c>
      <c r="F1690">
        <v>2.6</v>
      </c>
      <c r="G1690">
        <v>318</v>
      </c>
      <c r="H1690">
        <v>71</v>
      </c>
      <c r="I1690">
        <v>85</v>
      </c>
      <c r="J1690">
        <v>126</v>
      </c>
      <c r="K1690">
        <v>1016</v>
      </c>
      <c r="L1690">
        <v>176</v>
      </c>
      <c r="M1690">
        <v>0</v>
      </c>
      <c r="N1690">
        <v>265</v>
      </c>
      <c r="O1690">
        <v>0</v>
      </c>
      <c r="P1690">
        <v>0</v>
      </c>
      <c r="Q1690">
        <v>751</v>
      </c>
      <c r="R1690">
        <v>0</v>
      </c>
      <c r="S1690">
        <v>25</v>
      </c>
      <c r="T1690">
        <v>113</v>
      </c>
      <c r="U1690">
        <v>75</v>
      </c>
      <c r="V1690">
        <v>216</v>
      </c>
      <c r="W1690">
        <v>82</v>
      </c>
      <c r="X1690">
        <v>0</v>
      </c>
      <c r="Y1690">
        <v>218</v>
      </c>
      <c r="Z1690">
        <v>25</v>
      </c>
      <c r="AA1690">
        <v>183</v>
      </c>
      <c r="AB1690">
        <v>254</v>
      </c>
      <c r="AC1690">
        <v>51</v>
      </c>
      <c r="AD1690">
        <v>270</v>
      </c>
      <c r="AE1690">
        <v>1512</v>
      </c>
      <c r="AF1690">
        <v>261</v>
      </c>
      <c r="AJ1690">
        <v>4.26</v>
      </c>
      <c r="AK1690" t="str">
        <f t="shared" si="26"/>
        <v>WZ008-5000</v>
      </c>
    </row>
    <row r="1691" spans="1:37">
      <c r="A1691" t="s">
        <v>3195</v>
      </c>
      <c r="B1691" t="s">
        <v>3194</v>
      </c>
      <c r="C1691" t="s">
        <v>313</v>
      </c>
      <c r="E1691">
        <v>50</v>
      </c>
      <c r="F1691">
        <v>1.2</v>
      </c>
      <c r="G1691">
        <v>220</v>
      </c>
      <c r="H1691">
        <v>69</v>
      </c>
      <c r="I1691">
        <v>43</v>
      </c>
      <c r="J1691">
        <v>60</v>
      </c>
      <c r="K1691">
        <v>507</v>
      </c>
      <c r="L1691">
        <v>0</v>
      </c>
      <c r="M1691">
        <v>0</v>
      </c>
      <c r="N1691">
        <v>183</v>
      </c>
      <c r="O1691">
        <v>0</v>
      </c>
      <c r="P1691">
        <v>0</v>
      </c>
      <c r="Q1691">
        <v>324</v>
      </c>
      <c r="R1691">
        <v>0</v>
      </c>
      <c r="S1691">
        <v>130</v>
      </c>
      <c r="T1691">
        <v>0</v>
      </c>
      <c r="U1691">
        <v>77</v>
      </c>
      <c r="V1691">
        <v>36</v>
      </c>
      <c r="W1691">
        <v>14</v>
      </c>
      <c r="X1691">
        <v>0</v>
      </c>
      <c r="Y1691">
        <v>55</v>
      </c>
      <c r="Z1691">
        <v>11</v>
      </c>
      <c r="AA1691">
        <v>89</v>
      </c>
      <c r="AB1691">
        <v>0</v>
      </c>
      <c r="AC1691">
        <v>24</v>
      </c>
      <c r="AD1691">
        <v>279</v>
      </c>
      <c r="AE1691">
        <v>715</v>
      </c>
      <c r="AF1691">
        <v>519</v>
      </c>
      <c r="AJ1691">
        <v>4.01</v>
      </c>
      <c r="AK1691" t="str">
        <f t="shared" si="26"/>
        <v>WZ008-6200</v>
      </c>
    </row>
    <row r="1692" spans="1:37">
      <c r="A1692" t="s">
        <v>3196</v>
      </c>
      <c r="B1692" t="s">
        <v>3197</v>
      </c>
      <c r="C1692" t="s">
        <v>318</v>
      </c>
      <c r="E1692">
        <v>50</v>
      </c>
      <c r="F1692">
        <v>-0.1</v>
      </c>
      <c r="G1692">
        <v>9</v>
      </c>
      <c r="H1692">
        <v>20</v>
      </c>
      <c r="I1692">
        <v>13</v>
      </c>
      <c r="J1692">
        <v>22</v>
      </c>
      <c r="K1692">
        <v>0</v>
      </c>
      <c r="L1692">
        <v>5</v>
      </c>
      <c r="M1692">
        <v>0</v>
      </c>
      <c r="N1692">
        <v>7</v>
      </c>
      <c r="O1692">
        <v>0</v>
      </c>
      <c r="P1692">
        <v>0</v>
      </c>
      <c r="Q1692">
        <v>-7</v>
      </c>
      <c r="R1692">
        <v>0</v>
      </c>
      <c r="S1692">
        <v>0</v>
      </c>
      <c r="T1692">
        <v>40</v>
      </c>
      <c r="U1692">
        <v>19</v>
      </c>
      <c r="V1692">
        <v>0</v>
      </c>
      <c r="W1692">
        <v>21</v>
      </c>
      <c r="X1692">
        <v>0</v>
      </c>
      <c r="Y1692">
        <v>78</v>
      </c>
      <c r="Z1692">
        <v>18</v>
      </c>
      <c r="AA1692">
        <v>50</v>
      </c>
      <c r="AB1692">
        <v>17</v>
      </c>
      <c r="AC1692">
        <v>22</v>
      </c>
      <c r="AD1692">
        <v>0</v>
      </c>
      <c r="AE1692">
        <v>265</v>
      </c>
      <c r="AF1692">
        <v>36</v>
      </c>
      <c r="AJ1692">
        <v>5.61</v>
      </c>
      <c r="AK1692" t="str">
        <f t="shared" si="26"/>
        <v>WZ017-5000</v>
      </c>
    </row>
    <row r="1693" spans="1:37">
      <c r="A1693" t="s">
        <v>3198</v>
      </c>
      <c r="B1693" t="s">
        <v>3199</v>
      </c>
      <c r="C1693" t="s">
        <v>318</v>
      </c>
      <c r="E1693">
        <v>50</v>
      </c>
      <c r="F1693">
        <v>4.4000000000000004</v>
      </c>
      <c r="G1693">
        <v>16</v>
      </c>
      <c r="H1693">
        <v>10</v>
      </c>
      <c r="I1693">
        <v>5</v>
      </c>
      <c r="J1693">
        <v>10</v>
      </c>
      <c r="K1693">
        <v>183</v>
      </c>
      <c r="L1693">
        <v>18</v>
      </c>
      <c r="M1693">
        <v>0</v>
      </c>
      <c r="N1693">
        <v>13</v>
      </c>
      <c r="O1693">
        <v>0</v>
      </c>
      <c r="P1693">
        <v>0</v>
      </c>
      <c r="Q1693">
        <v>170</v>
      </c>
      <c r="R1693">
        <v>0</v>
      </c>
      <c r="S1693">
        <v>29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56</v>
      </c>
      <c r="AB1693">
        <v>0</v>
      </c>
      <c r="AC1693">
        <v>0</v>
      </c>
      <c r="AD1693">
        <v>37</v>
      </c>
      <c r="AE1693">
        <v>122</v>
      </c>
      <c r="AF1693">
        <v>134</v>
      </c>
      <c r="AJ1693">
        <v>5.69</v>
      </c>
      <c r="AK1693" t="str">
        <f t="shared" si="26"/>
        <v>WZ017-6200</v>
      </c>
    </row>
    <row r="1694" spans="1:37">
      <c r="A1694" t="s">
        <v>3200</v>
      </c>
      <c r="B1694" t="s">
        <v>3201</v>
      </c>
      <c r="C1694" t="s">
        <v>110</v>
      </c>
      <c r="D1694" t="s">
        <v>3202</v>
      </c>
      <c r="E1694">
        <v>50</v>
      </c>
      <c r="F1694">
        <v>0</v>
      </c>
      <c r="G1694">
        <v>0</v>
      </c>
      <c r="H1694">
        <v>0</v>
      </c>
      <c r="I1694">
        <v>24</v>
      </c>
      <c r="J1694">
        <v>22</v>
      </c>
      <c r="K1694">
        <v>74</v>
      </c>
      <c r="L1694">
        <v>38</v>
      </c>
      <c r="M1694">
        <v>0</v>
      </c>
      <c r="N1694">
        <v>0</v>
      </c>
      <c r="O1694">
        <v>0</v>
      </c>
      <c r="P1694">
        <v>0</v>
      </c>
      <c r="Q1694">
        <v>74</v>
      </c>
      <c r="R1694">
        <v>0</v>
      </c>
      <c r="S1694">
        <v>0</v>
      </c>
      <c r="T1694">
        <v>0</v>
      </c>
      <c r="U1694">
        <v>0</v>
      </c>
      <c r="V1694">
        <v>10</v>
      </c>
      <c r="W1694">
        <v>133</v>
      </c>
      <c r="X1694">
        <v>0</v>
      </c>
      <c r="Y1694">
        <v>0</v>
      </c>
      <c r="Z1694">
        <v>71</v>
      </c>
      <c r="AA1694">
        <v>15</v>
      </c>
      <c r="AB1694">
        <v>0</v>
      </c>
      <c r="AC1694">
        <v>0</v>
      </c>
      <c r="AD1694">
        <v>39</v>
      </c>
      <c r="AE1694">
        <v>268</v>
      </c>
      <c r="AF1694">
        <v>511</v>
      </c>
      <c r="AJ1694">
        <v>3.92</v>
      </c>
      <c r="AK1694" t="str">
        <f t="shared" si="26"/>
        <v>WZ018-5000</v>
      </c>
    </row>
    <row r="1695" spans="1:37">
      <c r="A1695" t="s">
        <v>3203</v>
      </c>
      <c r="B1695" t="s">
        <v>3204</v>
      </c>
      <c r="C1695" t="s">
        <v>110</v>
      </c>
      <c r="D1695" t="s">
        <v>3202</v>
      </c>
      <c r="E1695">
        <v>50</v>
      </c>
      <c r="F1695">
        <v>0</v>
      </c>
      <c r="G1695">
        <v>24</v>
      </c>
      <c r="H1695">
        <v>0</v>
      </c>
      <c r="I1695">
        <v>0</v>
      </c>
      <c r="J1695">
        <v>6</v>
      </c>
      <c r="K1695">
        <v>2991</v>
      </c>
      <c r="L1695">
        <v>0</v>
      </c>
      <c r="M1695">
        <v>0</v>
      </c>
      <c r="N1695">
        <v>20</v>
      </c>
      <c r="O1695">
        <v>0</v>
      </c>
      <c r="P1695">
        <v>0</v>
      </c>
      <c r="Q1695">
        <v>2971</v>
      </c>
      <c r="R1695">
        <v>0</v>
      </c>
      <c r="S1695">
        <v>0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70</v>
      </c>
      <c r="AA1695">
        <v>0</v>
      </c>
      <c r="AB1695">
        <v>0</v>
      </c>
      <c r="AC1695">
        <v>0</v>
      </c>
      <c r="AD1695">
        <v>0</v>
      </c>
      <c r="AE1695">
        <v>70</v>
      </c>
      <c r="AF1695">
        <v>439</v>
      </c>
      <c r="AJ1695">
        <v>3.92</v>
      </c>
      <c r="AK1695" t="str">
        <f t="shared" si="26"/>
        <v>WZ018-6200</v>
      </c>
    </row>
    <row r="1696" spans="1:37">
      <c r="A1696" t="s">
        <v>3205</v>
      </c>
      <c r="B1696" t="s">
        <v>3206</v>
      </c>
      <c r="C1696" t="s">
        <v>329</v>
      </c>
      <c r="E1696">
        <v>50</v>
      </c>
      <c r="F1696">
        <v>0.3</v>
      </c>
      <c r="G1696">
        <v>399</v>
      </c>
      <c r="H1696">
        <v>293</v>
      </c>
      <c r="I1696">
        <v>293</v>
      </c>
      <c r="J1696">
        <v>297</v>
      </c>
      <c r="K1696">
        <v>656</v>
      </c>
      <c r="L1696">
        <v>71</v>
      </c>
      <c r="M1696">
        <v>0</v>
      </c>
      <c r="N1696">
        <v>332</v>
      </c>
      <c r="O1696">
        <v>0</v>
      </c>
      <c r="P1696">
        <v>0</v>
      </c>
      <c r="Q1696">
        <v>324</v>
      </c>
      <c r="R1696">
        <v>0</v>
      </c>
      <c r="S1696">
        <v>222</v>
      </c>
      <c r="T1696">
        <v>344</v>
      </c>
      <c r="U1696">
        <v>314</v>
      </c>
      <c r="V1696">
        <v>408</v>
      </c>
      <c r="W1696">
        <v>205</v>
      </c>
      <c r="X1696">
        <v>264</v>
      </c>
      <c r="Y1696">
        <v>423</v>
      </c>
      <c r="Z1696">
        <v>412</v>
      </c>
      <c r="AA1696">
        <v>194</v>
      </c>
      <c r="AB1696">
        <v>378</v>
      </c>
      <c r="AC1696">
        <v>212</v>
      </c>
      <c r="AD1696">
        <v>190</v>
      </c>
      <c r="AE1696">
        <v>3566</v>
      </c>
      <c r="AF1696">
        <v>7754</v>
      </c>
      <c r="AJ1696">
        <v>3.65</v>
      </c>
      <c r="AK1696" t="str">
        <f t="shared" si="26"/>
        <v>WZ028-5000</v>
      </c>
    </row>
    <row r="1697" spans="1:37">
      <c r="A1697" t="s">
        <v>3207</v>
      </c>
      <c r="B1697" t="s">
        <v>3208</v>
      </c>
      <c r="C1697" t="s">
        <v>329</v>
      </c>
      <c r="E1697">
        <v>50</v>
      </c>
      <c r="F1697">
        <v>2.4</v>
      </c>
      <c r="G1697">
        <v>49</v>
      </c>
      <c r="H1697">
        <v>130</v>
      </c>
      <c r="I1697">
        <v>98</v>
      </c>
      <c r="J1697">
        <v>61</v>
      </c>
      <c r="K1697">
        <v>1288</v>
      </c>
      <c r="L1697">
        <v>32</v>
      </c>
      <c r="M1697">
        <v>0</v>
      </c>
      <c r="N1697">
        <v>41</v>
      </c>
      <c r="O1697">
        <v>0</v>
      </c>
      <c r="P1697">
        <v>0</v>
      </c>
      <c r="Q1697">
        <v>1247</v>
      </c>
      <c r="R1697">
        <v>0</v>
      </c>
      <c r="S1697">
        <v>118</v>
      </c>
      <c r="T1697">
        <v>23</v>
      </c>
      <c r="U1697">
        <v>249</v>
      </c>
      <c r="V1697">
        <v>0</v>
      </c>
      <c r="W1697">
        <v>196</v>
      </c>
      <c r="X1697">
        <v>0</v>
      </c>
      <c r="Y1697">
        <v>0</v>
      </c>
      <c r="Z1697">
        <v>0</v>
      </c>
      <c r="AA1697">
        <v>0</v>
      </c>
      <c r="AB1697">
        <v>118</v>
      </c>
      <c r="AC1697">
        <v>0</v>
      </c>
      <c r="AD1697">
        <v>26</v>
      </c>
      <c r="AE1697">
        <v>730</v>
      </c>
      <c r="AF1697">
        <v>611</v>
      </c>
      <c r="AJ1697">
        <v>6.14</v>
      </c>
      <c r="AK1697" t="str">
        <f t="shared" si="26"/>
        <v>WZ028-6200</v>
      </c>
    </row>
    <row r="1698" spans="1:37">
      <c r="A1698" t="s">
        <v>3209</v>
      </c>
      <c r="B1698" t="s">
        <v>3210</v>
      </c>
      <c r="C1698" t="s">
        <v>329</v>
      </c>
      <c r="D1698" t="s">
        <v>3211</v>
      </c>
      <c r="E1698">
        <v>50</v>
      </c>
      <c r="F1698">
        <v>0</v>
      </c>
      <c r="G1698">
        <v>0</v>
      </c>
      <c r="H1698">
        <v>0</v>
      </c>
      <c r="I1698">
        <v>0</v>
      </c>
      <c r="J1698">
        <v>0</v>
      </c>
      <c r="K1698">
        <v>1339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1339</v>
      </c>
      <c r="R1698">
        <v>0</v>
      </c>
      <c r="S1698">
        <v>0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J1698">
        <v>3.56</v>
      </c>
      <c r="AK1698" t="str">
        <f t="shared" si="26"/>
        <v>WZ037-5000</v>
      </c>
    </row>
    <row r="1699" spans="1:37">
      <c r="A1699" t="s">
        <v>3212</v>
      </c>
      <c r="B1699" t="s">
        <v>3210</v>
      </c>
      <c r="C1699" t="s">
        <v>329</v>
      </c>
      <c r="D1699" t="s">
        <v>3213</v>
      </c>
      <c r="E1699">
        <v>50</v>
      </c>
      <c r="F1699">
        <v>0</v>
      </c>
      <c r="G1699">
        <v>0</v>
      </c>
      <c r="H1699">
        <v>0</v>
      </c>
      <c r="I1699">
        <v>0</v>
      </c>
      <c r="J1699">
        <v>0</v>
      </c>
      <c r="K1699">
        <v>68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68</v>
      </c>
      <c r="R1699">
        <v>0</v>
      </c>
      <c r="S1699">
        <v>0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530</v>
      </c>
      <c r="AJ1699">
        <v>4.2</v>
      </c>
      <c r="AK1699" t="str">
        <f t="shared" si="26"/>
        <v>WZ037-6200</v>
      </c>
    </row>
    <row r="1700" spans="1:37">
      <c r="A1700" t="s">
        <v>3214</v>
      </c>
      <c r="B1700" t="s">
        <v>3215</v>
      </c>
      <c r="C1700" t="s">
        <v>110</v>
      </c>
      <c r="D1700" t="s">
        <v>3216</v>
      </c>
      <c r="E1700">
        <v>42</v>
      </c>
      <c r="F1700">
        <v>0</v>
      </c>
      <c r="G1700">
        <v>0</v>
      </c>
      <c r="H1700">
        <v>16</v>
      </c>
      <c r="I1700">
        <v>13</v>
      </c>
      <c r="J1700">
        <v>14</v>
      </c>
      <c r="K1700">
        <v>0</v>
      </c>
      <c r="L1700">
        <v>4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>
        <v>32</v>
      </c>
      <c r="T1700">
        <v>16</v>
      </c>
      <c r="U1700">
        <v>0</v>
      </c>
      <c r="V1700">
        <v>4</v>
      </c>
      <c r="W1700">
        <v>18</v>
      </c>
      <c r="X1700">
        <v>7</v>
      </c>
      <c r="Y1700">
        <v>26</v>
      </c>
      <c r="Z1700">
        <v>7</v>
      </c>
      <c r="AA1700">
        <v>4</v>
      </c>
      <c r="AB1700">
        <v>14</v>
      </c>
      <c r="AC1700">
        <v>32</v>
      </c>
      <c r="AD1700">
        <v>9</v>
      </c>
      <c r="AE1700">
        <v>169</v>
      </c>
      <c r="AF1700">
        <v>217</v>
      </c>
      <c r="AJ1700">
        <v>4.28</v>
      </c>
      <c r="AK1700" t="str">
        <f t="shared" si="26"/>
        <v>WZ045-5000</v>
      </c>
    </row>
    <row r="1701" spans="1:37">
      <c r="A1701" t="s">
        <v>3217</v>
      </c>
      <c r="B1701" t="s">
        <v>3215</v>
      </c>
      <c r="C1701" t="s">
        <v>110</v>
      </c>
      <c r="D1701" t="s">
        <v>3216</v>
      </c>
      <c r="E1701">
        <v>42</v>
      </c>
      <c r="F1701">
        <v>0</v>
      </c>
      <c r="G1701">
        <v>0</v>
      </c>
      <c r="H1701">
        <v>0</v>
      </c>
      <c r="I1701">
        <v>0</v>
      </c>
      <c r="J1701">
        <v>13</v>
      </c>
      <c r="K1701">
        <v>1502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1502</v>
      </c>
      <c r="R1701">
        <v>0</v>
      </c>
      <c r="S1701">
        <v>0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26</v>
      </c>
      <c r="AA1701">
        <v>6</v>
      </c>
      <c r="AB1701">
        <v>17</v>
      </c>
      <c r="AC1701">
        <v>31</v>
      </c>
      <c r="AD1701">
        <v>73</v>
      </c>
      <c r="AE1701">
        <v>153</v>
      </c>
      <c r="AF1701">
        <v>93</v>
      </c>
      <c r="AJ1701">
        <v>4.25</v>
      </c>
      <c r="AK1701" t="str">
        <f t="shared" si="26"/>
        <v>WZ045-6200</v>
      </c>
    </row>
    <row r="1702" spans="1:37">
      <c r="A1702" t="s">
        <v>3218</v>
      </c>
      <c r="B1702" t="s">
        <v>3219</v>
      </c>
      <c r="C1702" t="s">
        <v>329</v>
      </c>
      <c r="D1702" t="s">
        <v>2174</v>
      </c>
      <c r="E1702">
        <v>50</v>
      </c>
      <c r="F1702">
        <v>0.1</v>
      </c>
      <c r="G1702">
        <v>179</v>
      </c>
      <c r="H1702">
        <v>250</v>
      </c>
      <c r="I1702">
        <v>261</v>
      </c>
      <c r="J1702">
        <v>257</v>
      </c>
      <c r="K1702">
        <v>295</v>
      </c>
      <c r="L1702">
        <v>172</v>
      </c>
      <c r="M1702">
        <v>0</v>
      </c>
      <c r="N1702">
        <v>149</v>
      </c>
      <c r="O1702">
        <v>0</v>
      </c>
      <c r="P1702">
        <v>0</v>
      </c>
      <c r="Q1702">
        <v>146</v>
      </c>
      <c r="R1702">
        <v>0</v>
      </c>
      <c r="S1702">
        <v>182</v>
      </c>
      <c r="T1702">
        <v>568</v>
      </c>
      <c r="U1702">
        <v>0</v>
      </c>
      <c r="V1702">
        <v>19</v>
      </c>
      <c r="W1702">
        <v>797</v>
      </c>
      <c r="X1702">
        <v>0</v>
      </c>
      <c r="Y1702">
        <v>0</v>
      </c>
      <c r="Z1702">
        <v>101</v>
      </c>
      <c r="AA1702">
        <v>758</v>
      </c>
      <c r="AB1702">
        <v>253</v>
      </c>
      <c r="AC1702">
        <v>159</v>
      </c>
      <c r="AD1702">
        <v>249</v>
      </c>
      <c r="AE1702">
        <v>3086</v>
      </c>
      <c r="AF1702">
        <v>2260</v>
      </c>
      <c r="AJ1702">
        <v>4.63</v>
      </c>
      <c r="AK1702" t="str">
        <f t="shared" si="26"/>
        <v>WZ049-5000</v>
      </c>
    </row>
    <row r="1703" spans="1:37">
      <c r="A1703" t="s">
        <v>3220</v>
      </c>
      <c r="B1703" t="s">
        <v>3219</v>
      </c>
      <c r="C1703" t="s">
        <v>329</v>
      </c>
      <c r="D1703" t="s">
        <v>2174</v>
      </c>
      <c r="E1703">
        <v>50</v>
      </c>
      <c r="F1703">
        <v>1</v>
      </c>
      <c r="G1703">
        <v>24</v>
      </c>
      <c r="H1703">
        <v>97</v>
      </c>
      <c r="I1703">
        <v>155</v>
      </c>
      <c r="J1703">
        <v>174</v>
      </c>
      <c r="K1703">
        <v>417</v>
      </c>
      <c r="L1703">
        <v>183</v>
      </c>
      <c r="M1703">
        <v>0</v>
      </c>
      <c r="N1703">
        <v>20</v>
      </c>
      <c r="O1703">
        <v>0</v>
      </c>
      <c r="P1703">
        <v>0</v>
      </c>
      <c r="Q1703">
        <v>397</v>
      </c>
      <c r="R1703">
        <v>0</v>
      </c>
      <c r="S1703">
        <v>0</v>
      </c>
      <c r="T1703">
        <v>292</v>
      </c>
      <c r="U1703">
        <v>0</v>
      </c>
      <c r="V1703">
        <v>289</v>
      </c>
      <c r="W1703">
        <v>351</v>
      </c>
      <c r="X1703">
        <v>0</v>
      </c>
      <c r="Y1703">
        <v>0</v>
      </c>
      <c r="Z1703">
        <v>106</v>
      </c>
      <c r="AA1703">
        <v>784</v>
      </c>
      <c r="AB1703">
        <v>260</v>
      </c>
      <c r="AC1703">
        <v>0</v>
      </c>
      <c r="AD1703">
        <v>0</v>
      </c>
      <c r="AE1703">
        <v>2082</v>
      </c>
      <c r="AF1703">
        <v>3355</v>
      </c>
      <c r="AJ1703">
        <v>4.63</v>
      </c>
      <c r="AK1703" t="str">
        <f t="shared" si="26"/>
        <v>WZ049-6200</v>
      </c>
    </row>
    <row r="1704" spans="1:37">
      <c r="A1704" t="s">
        <v>3221</v>
      </c>
      <c r="B1704" t="s">
        <v>3222</v>
      </c>
      <c r="C1704" t="s">
        <v>329</v>
      </c>
      <c r="D1704" t="s">
        <v>2174</v>
      </c>
      <c r="E1704">
        <v>50</v>
      </c>
      <c r="F1704">
        <v>1.4</v>
      </c>
      <c r="G1704">
        <v>0</v>
      </c>
      <c r="H1704">
        <v>68</v>
      </c>
      <c r="I1704">
        <v>48</v>
      </c>
      <c r="J1704">
        <v>69</v>
      </c>
      <c r="K1704">
        <v>388</v>
      </c>
      <c r="L1704">
        <v>120</v>
      </c>
      <c r="M1704">
        <v>0</v>
      </c>
      <c r="N1704">
        <v>0</v>
      </c>
      <c r="O1704">
        <v>0</v>
      </c>
      <c r="P1704">
        <v>0</v>
      </c>
      <c r="Q1704">
        <v>388</v>
      </c>
      <c r="R1704">
        <v>0</v>
      </c>
      <c r="S1704">
        <v>72</v>
      </c>
      <c r="T1704">
        <v>131</v>
      </c>
      <c r="U1704">
        <v>0</v>
      </c>
      <c r="V1704">
        <v>61</v>
      </c>
      <c r="W1704">
        <v>23</v>
      </c>
      <c r="X1704">
        <v>0</v>
      </c>
      <c r="Y1704">
        <v>0</v>
      </c>
      <c r="Z1704">
        <v>125</v>
      </c>
      <c r="AA1704">
        <v>0</v>
      </c>
      <c r="AB1704">
        <v>0</v>
      </c>
      <c r="AC1704">
        <v>410</v>
      </c>
      <c r="AD1704">
        <v>0</v>
      </c>
      <c r="AE1704">
        <v>822</v>
      </c>
      <c r="AF1704">
        <v>403</v>
      </c>
      <c r="AJ1704">
        <v>4.05</v>
      </c>
      <c r="AK1704" t="str">
        <f t="shared" si="26"/>
        <v>WZ052-5000</v>
      </c>
    </row>
    <row r="1705" spans="1:37">
      <c r="A1705" t="s">
        <v>3223</v>
      </c>
      <c r="B1705" t="s">
        <v>3222</v>
      </c>
      <c r="C1705" t="s">
        <v>329</v>
      </c>
      <c r="D1705" t="s">
        <v>2174</v>
      </c>
      <c r="E1705">
        <v>50</v>
      </c>
      <c r="F1705">
        <v>36.799999999999997</v>
      </c>
      <c r="G1705">
        <v>27</v>
      </c>
      <c r="H1705">
        <v>7</v>
      </c>
      <c r="I1705">
        <v>12</v>
      </c>
      <c r="J1705">
        <v>10</v>
      </c>
      <c r="K1705">
        <v>1102</v>
      </c>
      <c r="L1705">
        <v>0</v>
      </c>
      <c r="M1705">
        <v>0</v>
      </c>
      <c r="N1705">
        <v>22</v>
      </c>
      <c r="O1705">
        <v>0</v>
      </c>
      <c r="P1705">
        <v>0</v>
      </c>
      <c r="Q1705">
        <v>1080</v>
      </c>
      <c r="R1705">
        <v>0</v>
      </c>
      <c r="S1705">
        <v>22</v>
      </c>
      <c r="T1705">
        <v>0</v>
      </c>
      <c r="U1705">
        <v>0</v>
      </c>
      <c r="V1705">
        <v>0</v>
      </c>
      <c r="W1705">
        <v>31</v>
      </c>
      <c r="X1705">
        <v>19</v>
      </c>
      <c r="Y1705">
        <v>0</v>
      </c>
      <c r="Z1705">
        <v>0</v>
      </c>
      <c r="AA1705">
        <v>0</v>
      </c>
      <c r="AB1705">
        <v>27</v>
      </c>
      <c r="AC1705">
        <v>0</v>
      </c>
      <c r="AD1705">
        <v>20</v>
      </c>
      <c r="AE1705">
        <v>119</v>
      </c>
      <c r="AF1705">
        <v>154</v>
      </c>
      <c r="AJ1705">
        <v>4.92</v>
      </c>
      <c r="AK1705" t="str">
        <f t="shared" si="26"/>
        <v>WZ052-6200</v>
      </c>
    </row>
    <row r="1706" spans="1:37">
      <c r="A1706" t="s">
        <v>3224</v>
      </c>
      <c r="B1706" t="s">
        <v>3225</v>
      </c>
      <c r="C1706" t="s">
        <v>110</v>
      </c>
      <c r="D1706" t="s">
        <v>2174</v>
      </c>
      <c r="E1706">
        <v>50</v>
      </c>
      <c r="F1706">
        <v>18.600000000000001</v>
      </c>
      <c r="G1706">
        <v>0</v>
      </c>
      <c r="H1706">
        <v>2</v>
      </c>
      <c r="I1706">
        <v>1</v>
      </c>
      <c r="J1706">
        <v>3</v>
      </c>
      <c r="K1706">
        <v>174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174</v>
      </c>
      <c r="R1706">
        <v>0</v>
      </c>
      <c r="S1706">
        <v>0</v>
      </c>
      <c r="T1706">
        <v>7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16</v>
      </c>
      <c r="AA1706">
        <v>0</v>
      </c>
      <c r="AB1706">
        <v>10</v>
      </c>
      <c r="AC1706">
        <v>0</v>
      </c>
      <c r="AD1706">
        <v>0</v>
      </c>
      <c r="AE1706">
        <v>33</v>
      </c>
      <c r="AF1706">
        <v>87</v>
      </c>
      <c r="AJ1706">
        <v>5.0199999999999996</v>
      </c>
      <c r="AK1706" t="str">
        <f t="shared" si="26"/>
        <v>WZ053-5000</v>
      </c>
    </row>
    <row r="1707" spans="1:37">
      <c r="A1707" t="s">
        <v>3226</v>
      </c>
      <c r="B1707" t="s">
        <v>3225</v>
      </c>
      <c r="C1707" t="s">
        <v>110</v>
      </c>
      <c r="D1707" t="s">
        <v>2174</v>
      </c>
      <c r="E1707">
        <v>50</v>
      </c>
      <c r="F1707">
        <v>0</v>
      </c>
      <c r="G1707">
        <v>0</v>
      </c>
      <c r="H1707">
        <v>0</v>
      </c>
      <c r="I1707">
        <v>0</v>
      </c>
      <c r="J1707">
        <v>3</v>
      </c>
      <c r="K1707">
        <v>835</v>
      </c>
      <c r="L1707">
        <v>33</v>
      </c>
      <c r="M1707">
        <v>0</v>
      </c>
      <c r="N1707">
        <v>0</v>
      </c>
      <c r="O1707">
        <v>0</v>
      </c>
      <c r="P1707">
        <v>0</v>
      </c>
      <c r="Q1707">
        <v>835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32</v>
      </c>
      <c r="AC1707">
        <v>0</v>
      </c>
      <c r="AD1707">
        <v>0</v>
      </c>
      <c r="AE1707">
        <v>32</v>
      </c>
      <c r="AF1707">
        <v>108</v>
      </c>
      <c r="AJ1707">
        <v>2.95</v>
      </c>
      <c r="AK1707" t="str">
        <f t="shared" si="26"/>
        <v>WZ053-6200</v>
      </c>
    </row>
    <row r="1708" spans="1:37">
      <c r="A1708" t="s">
        <v>3227</v>
      </c>
      <c r="B1708" t="s">
        <v>3228</v>
      </c>
      <c r="C1708" t="s">
        <v>267</v>
      </c>
      <c r="D1708" t="s">
        <v>2174</v>
      </c>
      <c r="E1708">
        <v>50</v>
      </c>
      <c r="F1708">
        <v>28.1</v>
      </c>
      <c r="G1708">
        <v>17</v>
      </c>
      <c r="H1708">
        <v>18</v>
      </c>
      <c r="I1708">
        <v>76</v>
      </c>
      <c r="J1708">
        <v>102</v>
      </c>
      <c r="K1708">
        <v>2003</v>
      </c>
      <c r="L1708">
        <v>0</v>
      </c>
      <c r="M1708">
        <v>0</v>
      </c>
      <c r="N1708">
        <v>14</v>
      </c>
      <c r="O1708">
        <v>0</v>
      </c>
      <c r="P1708">
        <v>0</v>
      </c>
      <c r="Q1708">
        <v>1989</v>
      </c>
      <c r="R1708">
        <v>0</v>
      </c>
      <c r="S1708">
        <v>53</v>
      </c>
      <c r="T1708">
        <v>0</v>
      </c>
      <c r="U1708">
        <v>0</v>
      </c>
      <c r="V1708">
        <v>372</v>
      </c>
      <c r="W1708">
        <v>22</v>
      </c>
      <c r="X1708">
        <v>8</v>
      </c>
      <c r="Y1708">
        <v>56</v>
      </c>
      <c r="Z1708">
        <v>0</v>
      </c>
      <c r="AA1708">
        <v>267</v>
      </c>
      <c r="AB1708">
        <v>61</v>
      </c>
      <c r="AC1708">
        <v>62</v>
      </c>
      <c r="AD1708">
        <v>320</v>
      </c>
      <c r="AE1708">
        <v>1221</v>
      </c>
      <c r="AF1708">
        <v>1226</v>
      </c>
      <c r="AJ1708">
        <v>5.92</v>
      </c>
      <c r="AK1708" t="str">
        <f t="shared" si="26"/>
        <v>WZ054-5000</v>
      </c>
    </row>
    <row r="1709" spans="1:37">
      <c r="A1709" t="s">
        <v>3229</v>
      </c>
      <c r="B1709" t="s">
        <v>3228</v>
      </c>
      <c r="C1709" t="s">
        <v>267</v>
      </c>
      <c r="D1709" t="s">
        <v>2174</v>
      </c>
      <c r="E1709">
        <v>50</v>
      </c>
      <c r="F1709">
        <v>0.5</v>
      </c>
      <c r="G1709">
        <v>60</v>
      </c>
      <c r="H1709">
        <v>100</v>
      </c>
      <c r="I1709">
        <v>61</v>
      </c>
      <c r="J1709">
        <v>39</v>
      </c>
      <c r="K1709">
        <v>269</v>
      </c>
      <c r="L1709">
        <v>90</v>
      </c>
      <c r="M1709">
        <v>0</v>
      </c>
      <c r="N1709">
        <v>50</v>
      </c>
      <c r="O1709">
        <v>0</v>
      </c>
      <c r="P1709">
        <v>0</v>
      </c>
      <c r="Q1709">
        <v>219</v>
      </c>
      <c r="R1709">
        <v>0</v>
      </c>
      <c r="S1709">
        <v>132</v>
      </c>
      <c r="T1709">
        <v>169</v>
      </c>
      <c r="U1709">
        <v>0</v>
      </c>
      <c r="V1709">
        <v>64</v>
      </c>
      <c r="W1709">
        <v>0</v>
      </c>
      <c r="X1709">
        <v>2</v>
      </c>
      <c r="Y1709">
        <v>0</v>
      </c>
      <c r="Z1709">
        <v>10</v>
      </c>
      <c r="AA1709">
        <v>0</v>
      </c>
      <c r="AB1709">
        <v>0</v>
      </c>
      <c r="AC1709">
        <v>0</v>
      </c>
      <c r="AD1709">
        <v>86</v>
      </c>
      <c r="AE1709">
        <v>463</v>
      </c>
      <c r="AF1709">
        <v>174</v>
      </c>
      <c r="AJ1709">
        <v>5.62</v>
      </c>
      <c r="AK1709" t="str">
        <f t="shared" si="26"/>
        <v>WZ054-6200</v>
      </c>
    </row>
    <row r="1710" spans="1:37">
      <c r="A1710" t="s">
        <v>3230</v>
      </c>
      <c r="B1710" t="s">
        <v>3231</v>
      </c>
      <c r="C1710" t="s">
        <v>267</v>
      </c>
      <c r="D1710" t="s">
        <v>2174</v>
      </c>
      <c r="E1710">
        <v>43</v>
      </c>
      <c r="F1710">
        <v>0.4</v>
      </c>
      <c r="G1710">
        <v>20</v>
      </c>
      <c r="H1710">
        <v>410</v>
      </c>
      <c r="I1710">
        <v>289</v>
      </c>
      <c r="J1710">
        <v>257</v>
      </c>
      <c r="K1710">
        <v>682</v>
      </c>
      <c r="L1710">
        <v>507</v>
      </c>
      <c r="M1710">
        <v>0</v>
      </c>
      <c r="N1710">
        <v>17</v>
      </c>
      <c r="O1710">
        <v>0</v>
      </c>
      <c r="P1710">
        <v>0</v>
      </c>
      <c r="Q1710">
        <v>665</v>
      </c>
      <c r="R1710">
        <v>0</v>
      </c>
      <c r="S1710">
        <v>0</v>
      </c>
      <c r="T1710">
        <v>954</v>
      </c>
      <c r="U1710">
        <v>276</v>
      </c>
      <c r="V1710">
        <v>0</v>
      </c>
      <c r="W1710">
        <v>465</v>
      </c>
      <c r="X1710">
        <v>41</v>
      </c>
      <c r="Y1710">
        <v>715</v>
      </c>
      <c r="Z1710">
        <v>0</v>
      </c>
      <c r="AA1710">
        <v>289</v>
      </c>
      <c r="AB1710">
        <v>54</v>
      </c>
      <c r="AC1710">
        <v>0</v>
      </c>
      <c r="AD1710">
        <v>295</v>
      </c>
      <c r="AE1710">
        <v>3089</v>
      </c>
      <c r="AF1710">
        <v>4210</v>
      </c>
      <c r="AJ1710">
        <v>5.78</v>
      </c>
      <c r="AK1710" t="str">
        <f t="shared" si="26"/>
        <v>WZ055-5000</v>
      </c>
    </row>
    <row r="1711" spans="1:37">
      <c r="A1711" t="s">
        <v>3232</v>
      </c>
      <c r="B1711" t="s">
        <v>3231</v>
      </c>
      <c r="C1711" t="s">
        <v>267</v>
      </c>
      <c r="D1711" t="s">
        <v>2174</v>
      </c>
      <c r="E1711">
        <v>43</v>
      </c>
      <c r="F1711">
        <v>24.1</v>
      </c>
      <c r="G1711">
        <v>57</v>
      </c>
      <c r="H1711">
        <v>15</v>
      </c>
      <c r="I1711">
        <v>22</v>
      </c>
      <c r="J1711">
        <v>29</v>
      </c>
      <c r="K1711">
        <v>1492</v>
      </c>
      <c r="L1711">
        <v>0</v>
      </c>
      <c r="M1711">
        <v>0</v>
      </c>
      <c r="N1711">
        <v>48</v>
      </c>
      <c r="O1711">
        <v>0</v>
      </c>
      <c r="P1711">
        <v>0</v>
      </c>
      <c r="Q1711">
        <v>1444</v>
      </c>
      <c r="R1711">
        <v>0</v>
      </c>
      <c r="S1711">
        <v>12</v>
      </c>
      <c r="T1711">
        <v>19</v>
      </c>
      <c r="U1711">
        <v>14</v>
      </c>
      <c r="V1711">
        <v>87</v>
      </c>
      <c r="W1711">
        <v>0</v>
      </c>
      <c r="X1711">
        <v>0</v>
      </c>
      <c r="Y1711">
        <v>78</v>
      </c>
      <c r="Z1711">
        <v>0</v>
      </c>
      <c r="AA1711">
        <v>100</v>
      </c>
      <c r="AB1711">
        <v>0</v>
      </c>
      <c r="AC1711">
        <v>41</v>
      </c>
      <c r="AD1711">
        <v>0</v>
      </c>
      <c r="AE1711">
        <v>351</v>
      </c>
      <c r="AF1711">
        <v>1146</v>
      </c>
      <c r="AJ1711">
        <v>5.9</v>
      </c>
      <c r="AK1711" t="str">
        <f t="shared" si="26"/>
        <v>WZ055-6200</v>
      </c>
    </row>
    <row r="1712" spans="1:37">
      <c r="A1712" t="s">
        <v>3233</v>
      </c>
      <c r="B1712" t="s">
        <v>3234</v>
      </c>
      <c r="C1712" t="s">
        <v>329</v>
      </c>
      <c r="D1712" t="s">
        <v>2174</v>
      </c>
      <c r="E1712">
        <v>50</v>
      </c>
      <c r="F1712">
        <v>0</v>
      </c>
      <c r="G1712">
        <v>0</v>
      </c>
      <c r="H1712">
        <v>28</v>
      </c>
      <c r="I1712">
        <v>25</v>
      </c>
      <c r="J1712">
        <v>48</v>
      </c>
      <c r="K1712">
        <v>0</v>
      </c>
      <c r="L1712">
        <v>20</v>
      </c>
      <c r="M1712">
        <v>0</v>
      </c>
      <c r="N1712">
        <v>0</v>
      </c>
      <c r="O1712">
        <v>0</v>
      </c>
      <c r="P1712">
        <v>0</v>
      </c>
      <c r="Q1712">
        <v>0</v>
      </c>
      <c r="R1712">
        <v>0</v>
      </c>
      <c r="S1712">
        <v>84</v>
      </c>
      <c r="T1712">
        <v>0</v>
      </c>
      <c r="U1712">
        <v>0</v>
      </c>
      <c r="V1712">
        <v>0</v>
      </c>
      <c r="W1712">
        <v>0</v>
      </c>
      <c r="X1712">
        <v>66</v>
      </c>
      <c r="Y1712">
        <v>119</v>
      </c>
      <c r="Z1712">
        <v>0</v>
      </c>
      <c r="AA1712">
        <v>0</v>
      </c>
      <c r="AB1712">
        <v>86</v>
      </c>
      <c r="AC1712">
        <v>137</v>
      </c>
      <c r="AD1712">
        <v>81</v>
      </c>
      <c r="AE1712">
        <v>573</v>
      </c>
      <c r="AF1712">
        <v>315</v>
      </c>
      <c r="AJ1712">
        <v>4.92</v>
      </c>
      <c r="AK1712" t="str">
        <f t="shared" si="26"/>
        <v>WZ056-5000</v>
      </c>
    </row>
    <row r="1713" spans="1:37">
      <c r="A1713" t="s">
        <v>3235</v>
      </c>
      <c r="B1713" t="s">
        <v>3234</v>
      </c>
      <c r="C1713" t="s">
        <v>329</v>
      </c>
      <c r="D1713" t="s">
        <v>2174</v>
      </c>
      <c r="E1713">
        <v>50</v>
      </c>
      <c r="F1713">
        <v>3</v>
      </c>
      <c r="G1713">
        <v>33</v>
      </c>
      <c r="H1713">
        <v>51</v>
      </c>
      <c r="I1713">
        <v>33</v>
      </c>
      <c r="J1713">
        <v>32</v>
      </c>
      <c r="K1713">
        <v>641</v>
      </c>
      <c r="L1713">
        <v>111</v>
      </c>
      <c r="M1713">
        <v>0</v>
      </c>
      <c r="N1713">
        <v>28</v>
      </c>
      <c r="O1713">
        <v>0</v>
      </c>
      <c r="P1713">
        <v>0</v>
      </c>
      <c r="Q1713">
        <v>613</v>
      </c>
      <c r="R1713">
        <v>0</v>
      </c>
      <c r="S1713">
        <v>94</v>
      </c>
      <c r="T1713">
        <v>39</v>
      </c>
      <c r="U1713">
        <v>19</v>
      </c>
      <c r="V1713">
        <v>0</v>
      </c>
      <c r="W1713">
        <v>7</v>
      </c>
      <c r="X1713">
        <v>39</v>
      </c>
      <c r="Y1713">
        <v>69</v>
      </c>
      <c r="Z1713">
        <v>58</v>
      </c>
      <c r="AA1713">
        <v>0</v>
      </c>
      <c r="AB1713">
        <v>60</v>
      </c>
      <c r="AC1713">
        <v>0</v>
      </c>
      <c r="AD1713">
        <v>0</v>
      </c>
      <c r="AE1713">
        <v>385</v>
      </c>
      <c r="AF1713">
        <v>711</v>
      </c>
      <c r="AJ1713">
        <v>4.92</v>
      </c>
      <c r="AK1713" t="str">
        <f t="shared" si="26"/>
        <v>WZ056-6200</v>
      </c>
    </row>
    <row r="1714" spans="1:37">
      <c r="A1714" t="s">
        <v>3236</v>
      </c>
      <c r="B1714" t="s">
        <v>3237</v>
      </c>
      <c r="C1714" t="s">
        <v>329</v>
      </c>
      <c r="D1714" t="s">
        <v>2174</v>
      </c>
      <c r="E1714">
        <v>50</v>
      </c>
      <c r="F1714">
        <v>1.6</v>
      </c>
      <c r="G1714">
        <v>17</v>
      </c>
      <c r="H1714">
        <v>125</v>
      </c>
      <c r="I1714">
        <v>102</v>
      </c>
      <c r="J1714">
        <v>99</v>
      </c>
      <c r="K1714">
        <v>793</v>
      </c>
      <c r="L1714">
        <v>23</v>
      </c>
      <c r="M1714">
        <v>0</v>
      </c>
      <c r="N1714">
        <v>14</v>
      </c>
      <c r="O1714">
        <v>0</v>
      </c>
      <c r="P1714">
        <v>0</v>
      </c>
      <c r="Q1714">
        <v>779</v>
      </c>
      <c r="R1714">
        <v>0</v>
      </c>
      <c r="S1714">
        <v>19</v>
      </c>
      <c r="T1714">
        <v>47</v>
      </c>
      <c r="U1714">
        <v>308</v>
      </c>
      <c r="V1714">
        <v>0</v>
      </c>
      <c r="W1714">
        <v>236</v>
      </c>
      <c r="X1714">
        <v>0</v>
      </c>
      <c r="Y1714">
        <v>191</v>
      </c>
      <c r="Z1714">
        <v>57</v>
      </c>
      <c r="AA1714">
        <v>0</v>
      </c>
      <c r="AB1714">
        <v>55</v>
      </c>
      <c r="AC1714">
        <v>24</v>
      </c>
      <c r="AD1714">
        <v>245</v>
      </c>
      <c r="AE1714">
        <v>1182</v>
      </c>
      <c r="AF1714">
        <v>1362</v>
      </c>
      <c r="AJ1714">
        <v>4.84</v>
      </c>
      <c r="AK1714" t="str">
        <f t="shared" si="26"/>
        <v>WZ057-5000</v>
      </c>
    </row>
    <row r="1715" spans="1:37">
      <c r="A1715" t="s">
        <v>3238</v>
      </c>
      <c r="B1715" t="s">
        <v>3237</v>
      </c>
      <c r="C1715" t="s">
        <v>329</v>
      </c>
      <c r="D1715" t="s">
        <v>2174</v>
      </c>
      <c r="E1715">
        <v>50</v>
      </c>
      <c r="F1715">
        <v>2.7</v>
      </c>
      <c r="G1715">
        <v>51</v>
      </c>
      <c r="H1715">
        <v>53</v>
      </c>
      <c r="I1715">
        <v>40</v>
      </c>
      <c r="J1715">
        <v>38</v>
      </c>
      <c r="K1715">
        <v>608</v>
      </c>
      <c r="L1715">
        <v>8</v>
      </c>
      <c r="M1715">
        <v>0</v>
      </c>
      <c r="N1715">
        <v>42</v>
      </c>
      <c r="O1715">
        <v>0</v>
      </c>
      <c r="P1715">
        <v>0</v>
      </c>
      <c r="Q1715">
        <v>566</v>
      </c>
      <c r="R1715">
        <v>0</v>
      </c>
      <c r="S1715">
        <v>93</v>
      </c>
      <c r="T1715">
        <v>67</v>
      </c>
      <c r="U1715">
        <v>0</v>
      </c>
      <c r="V1715">
        <v>15</v>
      </c>
      <c r="W1715">
        <v>65</v>
      </c>
      <c r="X1715">
        <v>0</v>
      </c>
      <c r="Y1715">
        <v>0</v>
      </c>
      <c r="Z1715">
        <v>100</v>
      </c>
      <c r="AA1715">
        <v>82</v>
      </c>
      <c r="AB1715">
        <v>0</v>
      </c>
      <c r="AC1715">
        <v>36</v>
      </c>
      <c r="AD1715">
        <v>0</v>
      </c>
      <c r="AE1715">
        <v>458</v>
      </c>
      <c r="AF1715">
        <v>1155</v>
      </c>
      <c r="AJ1715">
        <v>4.84</v>
      </c>
      <c r="AK1715" t="str">
        <f t="shared" si="26"/>
        <v>WZ057-6200</v>
      </c>
    </row>
    <row r="1716" spans="1:37">
      <c r="A1716" t="s">
        <v>3239</v>
      </c>
      <c r="B1716" t="s">
        <v>3240</v>
      </c>
      <c r="C1716" t="s">
        <v>275</v>
      </c>
      <c r="D1716" t="s">
        <v>2174</v>
      </c>
      <c r="E1716">
        <v>43</v>
      </c>
      <c r="F1716">
        <v>-0.2</v>
      </c>
      <c r="G1716">
        <v>434</v>
      </c>
      <c r="H1716">
        <v>372</v>
      </c>
      <c r="I1716">
        <v>349</v>
      </c>
      <c r="J1716">
        <v>285</v>
      </c>
      <c r="K1716">
        <v>0</v>
      </c>
      <c r="L1716">
        <v>36</v>
      </c>
      <c r="M1716">
        <v>0</v>
      </c>
      <c r="N1716">
        <v>361</v>
      </c>
      <c r="O1716">
        <v>0</v>
      </c>
      <c r="P1716">
        <v>0</v>
      </c>
      <c r="Q1716">
        <v>-361</v>
      </c>
      <c r="R1716">
        <v>0</v>
      </c>
      <c r="S1716">
        <v>246</v>
      </c>
      <c r="T1716">
        <v>833</v>
      </c>
      <c r="U1716">
        <v>37</v>
      </c>
      <c r="V1716">
        <v>0</v>
      </c>
      <c r="W1716">
        <v>772</v>
      </c>
      <c r="X1716">
        <v>204</v>
      </c>
      <c r="Y1716">
        <v>492</v>
      </c>
      <c r="Z1716">
        <v>0</v>
      </c>
      <c r="AA1716">
        <v>488</v>
      </c>
      <c r="AB1716">
        <v>142</v>
      </c>
      <c r="AC1716">
        <v>53</v>
      </c>
      <c r="AD1716">
        <v>150</v>
      </c>
      <c r="AE1716">
        <v>3417</v>
      </c>
      <c r="AF1716">
        <v>1959</v>
      </c>
      <c r="AJ1716">
        <v>6.34</v>
      </c>
      <c r="AK1716" t="str">
        <f t="shared" si="26"/>
        <v>WZ062-5000</v>
      </c>
    </row>
    <row r="1717" spans="1:37">
      <c r="A1717" t="s">
        <v>3241</v>
      </c>
      <c r="B1717" t="s">
        <v>3240</v>
      </c>
      <c r="C1717" t="s">
        <v>275</v>
      </c>
      <c r="D1717" t="s">
        <v>2174</v>
      </c>
      <c r="E1717">
        <v>43</v>
      </c>
      <c r="F1717">
        <v>15.5</v>
      </c>
      <c r="G1717">
        <v>28</v>
      </c>
      <c r="H1717">
        <v>35</v>
      </c>
      <c r="I1717">
        <v>30</v>
      </c>
      <c r="J1717">
        <v>25</v>
      </c>
      <c r="K1717">
        <v>2220</v>
      </c>
      <c r="L1717">
        <v>4</v>
      </c>
      <c r="M1717">
        <v>0</v>
      </c>
      <c r="N1717">
        <v>23</v>
      </c>
      <c r="O1717">
        <v>0</v>
      </c>
      <c r="P1717">
        <v>0</v>
      </c>
      <c r="Q1717">
        <v>2197</v>
      </c>
      <c r="R1717">
        <v>0</v>
      </c>
      <c r="S1717">
        <v>57</v>
      </c>
      <c r="T1717">
        <v>23</v>
      </c>
      <c r="U1717">
        <v>26</v>
      </c>
      <c r="V1717">
        <v>25</v>
      </c>
      <c r="W1717">
        <v>16</v>
      </c>
      <c r="X1717">
        <v>32</v>
      </c>
      <c r="Y1717">
        <v>0</v>
      </c>
      <c r="Z1717">
        <v>45</v>
      </c>
      <c r="AA1717">
        <v>0</v>
      </c>
      <c r="AB1717">
        <v>75</v>
      </c>
      <c r="AC1717">
        <v>0</v>
      </c>
      <c r="AD1717">
        <v>0</v>
      </c>
      <c r="AE1717">
        <v>299</v>
      </c>
      <c r="AF1717">
        <v>367</v>
      </c>
      <c r="AJ1717">
        <v>6.13</v>
      </c>
      <c r="AK1717" t="str">
        <f t="shared" si="26"/>
        <v>WZ062-6200</v>
      </c>
    </row>
    <row r="1718" spans="1:37">
      <c r="A1718" t="s">
        <v>3242</v>
      </c>
      <c r="B1718" t="s">
        <v>3243</v>
      </c>
      <c r="C1718" t="s">
        <v>1558</v>
      </c>
      <c r="D1718" t="s">
        <v>2174</v>
      </c>
      <c r="E1718">
        <v>50</v>
      </c>
      <c r="F1718">
        <v>-1.3</v>
      </c>
      <c r="G1718">
        <v>77</v>
      </c>
      <c r="H1718">
        <v>13</v>
      </c>
      <c r="I1718">
        <v>49</v>
      </c>
      <c r="J1718">
        <v>61</v>
      </c>
      <c r="K1718">
        <v>0</v>
      </c>
      <c r="L1718">
        <v>72</v>
      </c>
      <c r="M1718">
        <v>0</v>
      </c>
      <c r="N1718">
        <v>64</v>
      </c>
      <c r="O1718">
        <v>0</v>
      </c>
      <c r="P1718">
        <v>0</v>
      </c>
      <c r="Q1718">
        <v>-64</v>
      </c>
      <c r="R1718">
        <v>35</v>
      </c>
      <c r="S1718">
        <v>0</v>
      </c>
      <c r="T1718">
        <v>38</v>
      </c>
      <c r="U1718">
        <v>0</v>
      </c>
      <c r="V1718">
        <v>0</v>
      </c>
      <c r="W1718">
        <v>219</v>
      </c>
      <c r="X1718">
        <v>37</v>
      </c>
      <c r="Y1718">
        <v>0</v>
      </c>
      <c r="Z1718">
        <v>60</v>
      </c>
      <c r="AA1718">
        <v>122</v>
      </c>
      <c r="AB1718">
        <v>0</v>
      </c>
      <c r="AC1718">
        <v>192</v>
      </c>
      <c r="AD1718">
        <v>63</v>
      </c>
      <c r="AE1718">
        <v>731</v>
      </c>
      <c r="AF1718">
        <v>308</v>
      </c>
      <c r="AG1718" t="s">
        <v>2912</v>
      </c>
      <c r="AH1718">
        <v>4</v>
      </c>
      <c r="AI1718">
        <v>172</v>
      </c>
      <c r="AJ1718">
        <v>6.43</v>
      </c>
      <c r="AK1718" t="str">
        <f t="shared" si="26"/>
        <v>WZ063-5000</v>
      </c>
    </row>
    <row r="1719" spans="1:37">
      <c r="A1719" t="s">
        <v>3244</v>
      </c>
      <c r="B1719" t="s">
        <v>3243</v>
      </c>
      <c r="C1719" t="s">
        <v>275</v>
      </c>
      <c r="D1719" t="s">
        <v>2174</v>
      </c>
      <c r="E1719">
        <v>50</v>
      </c>
      <c r="F1719">
        <v>9.1</v>
      </c>
      <c r="G1719">
        <v>0</v>
      </c>
      <c r="H1719">
        <v>44</v>
      </c>
      <c r="I1719">
        <v>34</v>
      </c>
      <c r="J1719">
        <v>19</v>
      </c>
      <c r="K1719">
        <v>1606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1606</v>
      </c>
      <c r="R1719">
        <v>0</v>
      </c>
      <c r="S1719">
        <v>0</v>
      </c>
      <c r="T1719">
        <v>40</v>
      </c>
      <c r="U1719">
        <v>93</v>
      </c>
      <c r="V1719">
        <v>25</v>
      </c>
      <c r="W1719">
        <v>47</v>
      </c>
      <c r="X1719">
        <v>0</v>
      </c>
      <c r="Y1719">
        <v>27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232</v>
      </c>
      <c r="AF1719">
        <v>293</v>
      </c>
      <c r="AJ1719">
        <v>5.84</v>
      </c>
      <c r="AK1719" t="str">
        <f t="shared" si="26"/>
        <v>WZ063-6200</v>
      </c>
    </row>
    <row r="1720" spans="1:37">
      <c r="A1720" t="s">
        <v>3245</v>
      </c>
      <c r="B1720" t="s">
        <v>3246</v>
      </c>
      <c r="C1720" t="s">
        <v>110</v>
      </c>
      <c r="D1720" t="s">
        <v>3247</v>
      </c>
      <c r="E1720">
        <v>50</v>
      </c>
      <c r="F1720">
        <v>0</v>
      </c>
      <c r="G1720">
        <v>0</v>
      </c>
      <c r="H1720">
        <v>0</v>
      </c>
      <c r="I1720">
        <v>4</v>
      </c>
      <c r="J1720">
        <v>5</v>
      </c>
      <c r="K1720">
        <v>150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150</v>
      </c>
      <c r="R1720">
        <v>0</v>
      </c>
      <c r="S1720">
        <v>0</v>
      </c>
      <c r="T1720">
        <v>0</v>
      </c>
      <c r="U1720">
        <v>0</v>
      </c>
      <c r="V1720">
        <v>0</v>
      </c>
      <c r="W1720">
        <v>23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37</v>
      </c>
      <c r="AD1720">
        <v>0</v>
      </c>
      <c r="AE1720">
        <v>60</v>
      </c>
      <c r="AF1720">
        <v>86</v>
      </c>
      <c r="AJ1720">
        <v>4.1500000000000004</v>
      </c>
      <c r="AK1720" t="str">
        <f t="shared" si="26"/>
        <v>WZ101-5000</v>
      </c>
    </row>
    <row r="1721" spans="1:37">
      <c r="A1721" t="s">
        <v>3248</v>
      </c>
      <c r="B1721" t="s">
        <v>3249</v>
      </c>
      <c r="C1721" t="s">
        <v>110</v>
      </c>
      <c r="D1721" t="s">
        <v>3250</v>
      </c>
      <c r="E1721">
        <v>50</v>
      </c>
      <c r="F1721">
        <v>10.9</v>
      </c>
      <c r="G1721">
        <v>1</v>
      </c>
      <c r="H1721">
        <v>5</v>
      </c>
      <c r="I1721">
        <v>3</v>
      </c>
      <c r="J1721">
        <v>2</v>
      </c>
      <c r="K1721">
        <v>204</v>
      </c>
      <c r="L1721">
        <v>1</v>
      </c>
      <c r="M1721">
        <v>0</v>
      </c>
      <c r="N1721">
        <v>1</v>
      </c>
      <c r="O1721">
        <v>0</v>
      </c>
      <c r="P1721">
        <v>0</v>
      </c>
      <c r="Q1721">
        <v>203</v>
      </c>
      <c r="R1721">
        <v>0</v>
      </c>
      <c r="S1721">
        <v>14</v>
      </c>
      <c r="T1721">
        <v>0</v>
      </c>
      <c r="U1721">
        <v>0</v>
      </c>
      <c r="V1721">
        <v>0</v>
      </c>
      <c r="W1721">
        <v>0</v>
      </c>
      <c r="X1721">
        <v>4</v>
      </c>
      <c r="Y1721">
        <v>0</v>
      </c>
      <c r="Z1721">
        <v>0</v>
      </c>
      <c r="AA1721">
        <v>0</v>
      </c>
      <c r="AB1721">
        <v>0</v>
      </c>
      <c r="AC1721">
        <v>4</v>
      </c>
      <c r="AD1721">
        <v>0</v>
      </c>
      <c r="AE1721">
        <v>22</v>
      </c>
      <c r="AF1721">
        <v>120</v>
      </c>
      <c r="AJ1721">
        <v>4.1500000000000004</v>
      </c>
      <c r="AK1721" t="str">
        <f t="shared" si="26"/>
        <v>WZ101-6200</v>
      </c>
    </row>
    <row r="1722" spans="1:37">
      <c r="A1722" t="s">
        <v>3251</v>
      </c>
      <c r="B1722" t="s">
        <v>3252</v>
      </c>
      <c r="C1722" t="s">
        <v>329</v>
      </c>
      <c r="D1722" t="s">
        <v>388</v>
      </c>
      <c r="E1722">
        <v>50</v>
      </c>
      <c r="F1722">
        <v>6.4</v>
      </c>
      <c r="G1722">
        <v>219</v>
      </c>
      <c r="H1722">
        <v>28</v>
      </c>
      <c r="I1722">
        <v>16</v>
      </c>
      <c r="J1722">
        <v>32</v>
      </c>
      <c r="K1722">
        <v>907</v>
      </c>
      <c r="L1722">
        <v>11</v>
      </c>
      <c r="M1722">
        <v>0</v>
      </c>
      <c r="N1722">
        <v>183</v>
      </c>
      <c r="O1722">
        <v>0</v>
      </c>
      <c r="P1722">
        <v>0</v>
      </c>
      <c r="Q1722">
        <v>724</v>
      </c>
      <c r="R1722">
        <v>0</v>
      </c>
      <c r="S1722">
        <v>85</v>
      </c>
      <c r="T1722">
        <v>0</v>
      </c>
      <c r="U1722">
        <v>0</v>
      </c>
      <c r="V1722">
        <v>0</v>
      </c>
      <c r="W1722">
        <v>8</v>
      </c>
      <c r="X1722">
        <v>0</v>
      </c>
      <c r="Y1722">
        <v>81</v>
      </c>
      <c r="Z1722">
        <v>26</v>
      </c>
      <c r="AA1722">
        <v>75</v>
      </c>
      <c r="AB1722">
        <v>0</v>
      </c>
      <c r="AC1722">
        <v>108</v>
      </c>
      <c r="AD1722">
        <v>0</v>
      </c>
      <c r="AE1722">
        <v>383</v>
      </c>
      <c r="AF1722">
        <v>738</v>
      </c>
      <c r="AJ1722">
        <v>6.14</v>
      </c>
      <c r="AK1722" t="str">
        <f t="shared" si="26"/>
        <v>WZ200-5000</v>
      </c>
    </row>
    <row r="1723" spans="1:37">
      <c r="A1723" t="s">
        <v>3253</v>
      </c>
      <c r="B1723" t="s">
        <v>3252</v>
      </c>
      <c r="C1723" t="s">
        <v>329</v>
      </c>
      <c r="D1723" t="s">
        <v>388</v>
      </c>
      <c r="E1723">
        <v>50</v>
      </c>
      <c r="F1723">
        <v>40.299999999999997</v>
      </c>
      <c r="G1723">
        <v>1</v>
      </c>
      <c r="H1723">
        <v>7</v>
      </c>
      <c r="I1723">
        <v>7</v>
      </c>
      <c r="J1723">
        <v>8</v>
      </c>
      <c r="K1723">
        <v>1184</v>
      </c>
      <c r="L1723">
        <v>1</v>
      </c>
      <c r="M1723">
        <v>0</v>
      </c>
      <c r="N1723">
        <v>1</v>
      </c>
      <c r="O1723">
        <v>0</v>
      </c>
      <c r="P1723">
        <v>0</v>
      </c>
      <c r="Q1723">
        <v>1183</v>
      </c>
      <c r="R1723">
        <v>0</v>
      </c>
      <c r="S1723">
        <v>22</v>
      </c>
      <c r="T1723">
        <v>0</v>
      </c>
      <c r="U1723">
        <v>0</v>
      </c>
      <c r="V1723">
        <v>0</v>
      </c>
      <c r="W1723">
        <v>0</v>
      </c>
      <c r="X1723">
        <v>21</v>
      </c>
      <c r="Y1723">
        <v>0</v>
      </c>
      <c r="Z1723">
        <v>0</v>
      </c>
      <c r="AA1723">
        <v>0</v>
      </c>
      <c r="AB1723">
        <v>0</v>
      </c>
      <c r="AC1723">
        <v>57</v>
      </c>
      <c r="AD1723">
        <v>0</v>
      </c>
      <c r="AE1723">
        <v>100</v>
      </c>
      <c r="AF1723">
        <v>178</v>
      </c>
      <c r="AJ1723">
        <v>6.14</v>
      </c>
      <c r="AK1723" t="str">
        <f t="shared" si="26"/>
        <v>WZ200-6200</v>
      </c>
    </row>
    <row r="1724" spans="1:37">
      <c r="A1724" t="s">
        <v>3254</v>
      </c>
      <c r="B1724" t="s">
        <v>3255</v>
      </c>
      <c r="C1724" t="s">
        <v>275</v>
      </c>
      <c r="D1724" t="s">
        <v>3256</v>
      </c>
      <c r="E1724">
        <v>50</v>
      </c>
      <c r="F1724">
        <v>0.4</v>
      </c>
      <c r="G1724">
        <v>446</v>
      </c>
      <c r="H1724">
        <v>524</v>
      </c>
      <c r="I1724">
        <v>709</v>
      </c>
      <c r="J1724">
        <v>672</v>
      </c>
      <c r="K1724">
        <v>1299</v>
      </c>
      <c r="L1724">
        <v>803</v>
      </c>
      <c r="M1724">
        <v>0</v>
      </c>
      <c r="N1724">
        <v>372</v>
      </c>
      <c r="O1724">
        <v>0</v>
      </c>
      <c r="P1724">
        <v>0</v>
      </c>
      <c r="Q1724">
        <v>927</v>
      </c>
      <c r="R1724">
        <v>0</v>
      </c>
      <c r="S1724">
        <v>907</v>
      </c>
      <c r="T1724">
        <v>639</v>
      </c>
      <c r="U1724">
        <v>25</v>
      </c>
      <c r="V1724">
        <v>1272</v>
      </c>
      <c r="W1724">
        <v>1266</v>
      </c>
      <c r="X1724">
        <v>142</v>
      </c>
      <c r="Y1724">
        <v>748</v>
      </c>
      <c r="Z1724">
        <v>574</v>
      </c>
      <c r="AA1724">
        <v>322</v>
      </c>
      <c r="AB1724">
        <v>1126</v>
      </c>
      <c r="AC1724">
        <v>16</v>
      </c>
      <c r="AD1724">
        <v>1023</v>
      </c>
      <c r="AE1724">
        <v>8060</v>
      </c>
      <c r="AF1724">
        <v>6255</v>
      </c>
      <c r="AJ1724">
        <v>4.18</v>
      </c>
      <c r="AK1724" t="str">
        <f t="shared" si="26"/>
        <v>WZ201-5000</v>
      </c>
    </row>
    <row r="1725" spans="1:37">
      <c r="A1725" t="s">
        <v>3257</v>
      </c>
      <c r="B1725" t="s">
        <v>3255</v>
      </c>
      <c r="C1725" t="s">
        <v>1558</v>
      </c>
      <c r="D1725" t="s">
        <v>3258</v>
      </c>
      <c r="E1725">
        <v>50</v>
      </c>
      <c r="F1725">
        <v>3.2</v>
      </c>
      <c r="G1725">
        <v>0</v>
      </c>
      <c r="H1725">
        <v>213</v>
      </c>
      <c r="I1725">
        <v>273</v>
      </c>
      <c r="J1725">
        <v>247</v>
      </c>
      <c r="K1725">
        <v>2765</v>
      </c>
      <c r="L1725">
        <v>521</v>
      </c>
      <c r="M1725">
        <v>0</v>
      </c>
      <c r="N1725">
        <v>0</v>
      </c>
      <c r="O1725">
        <v>0</v>
      </c>
      <c r="P1725">
        <v>0</v>
      </c>
      <c r="Q1725">
        <v>2765</v>
      </c>
      <c r="R1725">
        <v>0</v>
      </c>
      <c r="S1725">
        <v>508</v>
      </c>
      <c r="T1725">
        <v>131</v>
      </c>
      <c r="U1725">
        <v>0</v>
      </c>
      <c r="V1725">
        <v>868</v>
      </c>
      <c r="W1725">
        <v>0</v>
      </c>
      <c r="X1725">
        <v>131</v>
      </c>
      <c r="Y1725">
        <v>0</v>
      </c>
      <c r="Z1725">
        <v>0</v>
      </c>
      <c r="AA1725">
        <v>729</v>
      </c>
      <c r="AB1725">
        <v>94</v>
      </c>
      <c r="AC1725">
        <v>244</v>
      </c>
      <c r="AD1725">
        <v>254</v>
      </c>
      <c r="AE1725">
        <v>2959</v>
      </c>
      <c r="AF1725">
        <v>2407</v>
      </c>
      <c r="AG1725" t="s">
        <v>3259</v>
      </c>
      <c r="AH1725">
        <v>1</v>
      </c>
      <c r="AI1725">
        <v>340</v>
      </c>
      <c r="AJ1725">
        <v>4.51</v>
      </c>
      <c r="AK1725" t="str">
        <f t="shared" si="26"/>
        <v>WZ201-6200</v>
      </c>
    </row>
    <row r="1726" spans="1:37">
      <c r="A1726" t="s">
        <v>3260</v>
      </c>
      <c r="B1726" t="s">
        <v>3261</v>
      </c>
      <c r="C1726" t="s">
        <v>318</v>
      </c>
      <c r="D1726" t="s">
        <v>3262</v>
      </c>
      <c r="E1726">
        <v>50</v>
      </c>
      <c r="F1726">
        <v>-0.1</v>
      </c>
      <c r="G1726">
        <v>17</v>
      </c>
      <c r="H1726">
        <v>33</v>
      </c>
      <c r="I1726">
        <v>36</v>
      </c>
      <c r="J1726">
        <v>28</v>
      </c>
      <c r="K1726">
        <v>0</v>
      </c>
      <c r="L1726">
        <v>68</v>
      </c>
      <c r="M1726">
        <v>0</v>
      </c>
      <c r="N1726">
        <v>14</v>
      </c>
      <c r="O1726">
        <v>0</v>
      </c>
      <c r="P1726">
        <v>0</v>
      </c>
      <c r="Q1726">
        <v>-14</v>
      </c>
      <c r="R1726">
        <v>0</v>
      </c>
      <c r="S1726">
        <v>0</v>
      </c>
      <c r="T1726">
        <v>60</v>
      </c>
      <c r="U1726">
        <v>38</v>
      </c>
      <c r="V1726">
        <v>0</v>
      </c>
      <c r="W1726">
        <v>116</v>
      </c>
      <c r="X1726">
        <v>0</v>
      </c>
      <c r="Y1726">
        <v>0</v>
      </c>
      <c r="Z1726">
        <v>52</v>
      </c>
      <c r="AA1726">
        <v>14</v>
      </c>
      <c r="AB1726">
        <v>53</v>
      </c>
      <c r="AC1726">
        <v>0</v>
      </c>
      <c r="AD1726">
        <v>0</v>
      </c>
      <c r="AE1726">
        <v>333</v>
      </c>
      <c r="AF1726">
        <v>573</v>
      </c>
      <c r="AJ1726">
        <v>5.0199999999999996</v>
      </c>
      <c r="AK1726" t="str">
        <f t="shared" si="26"/>
        <v>WZ204-5000</v>
      </c>
    </row>
    <row r="1727" spans="1:37">
      <c r="A1727" t="s">
        <v>3263</v>
      </c>
      <c r="B1727" t="s">
        <v>3261</v>
      </c>
      <c r="C1727" t="s">
        <v>318</v>
      </c>
      <c r="D1727" t="s">
        <v>3264</v>
      </c>
      <c r="E1727">
        <v>50</v>
      </c>
      <c r="F1727">
        <v>10.199999999999999</v>
      </c>
      <c r="G1727">
        <v>24</v>
      </c>
      <c r="H1727">
        <v>7</v>
      </c>
      <c r="I1727">
        <v>4</v>
      </c>
      <c r="J1727">
        <v>8</v>
      </c>
      <c r="K1727">
        <v>306</v>
      </c>
      <c r="L1727">
        <v>24</v>
      </c>
      <c r="M1727">
        <v>0</v>
      </c>
      <c r="N1727">
        <v>20</v>
      </c>
      <c r="O1727">
        <v>0</v>
      </c>
      <c r="P1727">
        <v>0</v>
      </c>
      <c r="Q1727">
        <v>286</v>
      </c>
      <c r="R1727">
        <v>23</v>
      </c>
      <c r="S1727">
        <v>0</v>
      </c>
      <c r="T1727">
        <v>21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58</v>
      </c>
      <c r="AA1727">
        <v>21</v>
      </c>
      <c r="AB1727">
        <v>0</v>
      </c>
      <c r="AC1727">
        <v>0</v>
      </c>
      <c r="AD1727">
        <v>0</v>
      </c>
      <c r="AE1727">
        <v>100</v>
      </c>
      <c r="AF1727">
        <v>126</v>
      </c>
      <c r="AJ1727">
        <v>5.07</v>
      </c>
      <c r="AK1727" t="str">
        <f t="shared" si="26"/>
        <v>WZ204-6200</v>
      </c>
    </row>
    <row r="1728" spans="1:37">
      <c r="A1728" t="s">
        <v>3265</v>
      </c>
      <c r="B1728" t="s">
        <v>3266</v>
      </c>
      <c r="C1728" t="s">
        <v>318</v>
      </c>
      <c r="E1728">
        <v>50</v>
      </c>
      <c r="F1728">
        <v>3.4</v>
      </c>
      <c r="G1728">
        <v>49</v>
      </c>
      <c r="H1728">
        <v>160</v>
      </c>
      <c r="I1728">
        <v>160</v>
      </c>
      <c r="J1728">
        <v>158</v>
      </c>
      <c r="K1728">
        <v>2192</v>
      </c>
      <c r="L1728">
        <v>17</v>
      </c>
      <c r="M1728">
        <v>0</v>
      </c>
      <c r="N1728">
        <v>41</v>
      </c>
      <c r="O1728">
        <v>0</v>
      </c>
      <c r="P1728">
        <v>0</v>
      </c>
      <c r="Q1728">
        <v>2151</v>
      </c>
      <c r="R1728">
        <v>0</v>
      </c>
      <c r="S1728">
        <v>5</v>
      </c>
      <c r="T1728">
        <v>161</v>
      </c>
      <c r="U1728">
        <v>315</v>
      </c>
      <c r="V1728">
        <v>121</v>
      </c>
      <c r="W1728">
        <v>246</v>
      </c>
      <c r="X1728">
        <v>109</v>
      </c>
      <c r="Y1728">
        <v>38</v>
      </c>
      <c r="Z1728">
        <v>0</v>
      </c>
      <c r="AA1728">
        <v>229</v>
      </c>
      <c r="AB1728">
        <v>442</v>
      </c>
      <c r="AC1728">
        <v>226</v>
      </c>
      <c r="AD1728">
        <v>0</v>
      </c>
      <c r="AE1728">
        <v>1892</v>
      </c>
      <c r="AF1728">
        <v>2563</v>
      </c>
      <c r="AJ1728">
        <v>5.18</v>
      </c>
      <c r="AK1728" t="str">
        <f t="shared" si="26"/>
        <v>WZ207-5000</v>
      </c>
    </row>
    <row r="1729" spans="1:37">
      <c r="A1729" t="s">
        <v>3267</v>
      </c>
      <c r="B1729" t="s">
        <v>3268</v>
      </c>
      <c r="C1729" t="s">
        <v>318</v>
      </c>
      <c r="E1729">
        <v>50</v>
      </c>
      <c r="F1729">
        <v>0.6</v>
      </c>
      <c r="G1729">
        <v>0</v>
      </c>
      <c r="H1729">
        <v>91</v>
      </c>
      <c r="I1729">
        <v>50</v>
      </c>
      <c r="J1729">
        <v>29</v>
      </c>
      <c r="K1729">
        <v>226</v>
      </c>
      <c r="L1729">
        <v>29</v>
      </c>
      <c r="M1729">
        <v>0</v>
      </c>
      <c r="N1729">
        <v>0</v>
      </c>
      <c r="O1729">
        <v>0</v>
      </c>
      <c r="P1729">
        <v>0</v>
      </c>
      <c r="Q1729">
        <v>226</v>
      </c>
      <c r="R1729">
        <v>0</v>
      </c>
      <c r="S1729">
        <v>68</v>
      </c>
      <c r="T1729">
        <v>66</v>
      </c>
      <c r="U1729">
        <v>138</v>
      </c>
      <c r="V1729">
        <v>15</v>
      </c>
      <c r="W1729">
        <v>15</v>
      </c>
      <c r="X1729">
        <v>0</v>
      </c>
      <c r="Y1729">
        <v>0</v>
      </c>
      <c r="Z1729">
        <v>0</v>
      </c>
      <c r="AA1729">
        <v>0</v>
      </c>
      <c r="AB1729">
        <v>2</v>
      </c>
      <c r="AC1729">
        <v>41</v>
      </c>
      <c r="AD1729">
        <v>0</v>
      </c>
      <c r="AE1729">
        <v>345</v>
      </c>
      <c r="AF1729">
        <v>451</v>
      </c>
      <c r="AJ1729">
        <v>5.18</v>
      </c>
      <c r="AK1729" t="str">
        <f t="shared" si="26"/>
        <v>WZ207-6200</v>
      </c>
    </row>
    <row r="1730" spans="1:37">
      <c r="A1730" t="s">
        <v>3269</v>
      </c>
      <c r="B1730" t="s">
        <v>3270</v>
      </c>
      <c r="C1730" t="s">
        <v>313</v>
      </c>
      <c r="E1730">
        <v>43</v>
      </c>
      <c r="F1730">
        <v>0</v>
      </c>
      <c r="G1730">
        <v>0</v>
      </c>
      <c r="H1730">
        <v>0</v>
      </c>
      <c r="I1730">
        <v>3</v>
      </c>
      <c r="J1730">
        <v>8</v>
      </c>
      <c r="K1730">
        <v>1415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1415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20</v>
      </c>
      <c r="X1730">
        <v>0</v>
      </c>
      <c r="Y1730">
        <v>41</v>
      </c>
      <c r="Z1730">
        <v>0</v>
      </c>
      <c r="AA1730">
        <v>0</v>
      </c>
      <c r="AB1730">
        <v>17</v>
      </c>
      <c r="AC1730">
        <v>0</v>
      </c>
      <c r="AD1730">
        <v>16</v>
      </c>
      <c r="AE1730">
        <v>94</v>
      </c>
      <c r="AF1730">
        <v>83</v>
      </c>
      <c r="AJ1730">
        <v>5.58</v>
      </c>
      <c r="AK1730" t="str">
        <f t="shared" si="26"/>
        <v>WZ209-5000</v>
      </c>
    </row>
    <row r="1731" spans="1:37">
      <c r="A1731" t="s">
        <v>3271</v>
      </c>
      <c r="B1731" t="s">
        <v>3270</v>
      </c>
      <c r="C1731" t="s">
        <v>313</v>
      </c>
      <c r="E1731">
        <v>43</v>
      </c>
      <c r="F1731">
        <v>8.3000000000000007</v>
      </c>
      <c r="G1731">
        <v>56</v>
      </c>
      <c r="H1731">
        <v>44</v>
      </c>
      <c r="I1731">
        <v>37</v>
      </c>
      <c r="J1731">
        <v>38</v>
      </c>
      <c r="K1731">
        <v>1503</v>
      </c>
      <c r="L1731">
        <v>0</v>
      </c>
      <c r="M1731">
        <v>0</v>
      </c>
      <c r="N1731">
        <v>46</v>
      </c>
      <c r="O1731">
        <v>0</v>
      </c>
      <c r="P1731">
        <v>0</v>
      </c>
      <c r="Q1731">
        <v>1457</v>
      </c>
      <c r="R1731">
        <v>0</v>
      </c>
      <c r="S1731">
        <v>0</v>
      </c>
      <c r="T1731">
        <v>132</v>
      </c>
      <c r="U1731">
        <v>0</v>
      </c>
      <c r="V1731">
        <v>75</v>
      </c>
      <c r="W1731">
        <v>12</v>
      </c>
      <c r="X1731">
        <v>0</v>
      </c>
      <c r="Y1731">
        <v>136</v>
      </c>
      <c r="Z1731">
        <v>40</v>
      </c>
      <c r="AA1731">
        <v>0</v>
      </c>
      <c r="AB1731">
        <v>20</v>
      </c>
      <c r="AC1731">
        <v>9</v>
      </c>
      <c r="AD1731">
        <v>26</v>
      </c>
      <c r="AE1731">
        <v>450</v>
      </c>
      <c r="AF1731">
        <v>116</v>
      </c>
      <c r="AJ1731">
        <v>5.33</v>
      </c>
      <c r="AK1731" t="str">
        <f t="shared" si="26"/>
        <v>WZ209-6200</v>
      </c>
    </row>
    <row r="1732" spans="1:37">
      <c r="A1732" t="s">
        <v>3272</v>
      </c>
      <c r="B1732" t="s">
        <v>3273</v>
      </c>
      <c r="C1732" t="s">
        <v>110</v>
      </c>
      <c r="E1732">
        <v>50</v>
      </c>
      <c r="F1732">
        <v>0</v>
      </c>
      <c r="G1732">
        <v>43</v>
      </c>
      <c r="H1732">
        <v>0</v>
      </c>
      <c r="I1732">
        <v>12</v>
      </c>
      <c r="J1732">
        <v>16</v>
      </c>
      <c r="K1732">
        <v>219</v>
      </c>
      <c r="L1732">
        <v>20</v>
      </c>
      <c r="M1732">
        <v>0</v>
      </c>
      <c r="N1732">
        <v>36</v>
      </c>
      <c r="O1732">
        <v>0</v>
      </c>
      <c r="P1732">
        <v>0</v>
      </c>
      <c r="Q1732">
        <v>183</v>
      </c>
      <c r="R1732">
        <v>0</v>
      </c>
      <c r="S1732">
        <v>0</v>
      </c>
      <c r="T1732">
        <v>0</v>
      </c>
      <c r="U1732">
        <v>0</v>
      </c>
      <c r="V1732">
        <v>0</v>
      </c>
      <c r="W1732">
        <v>72</v>
      </c>
      <c r="X1732">
        <v>1</v>
      </c>
      <c r="Y1732">
        <v>22</v>
      </c>
      <c r="Z1732">
        <v>12</v>
      </c>
      <c r="AA1732">
        <v>6</v>
      </c>
      <c r="AB1732">
        <v>25</v>
      </c>
      <c r="AC1732">
        <v>52</v>
      </c>
      <c r="AD1732">
        <v>0</v>
      </c>
      <c r="AE1732">
        <v>190</v>
      </c>
      <c r="AF1732">
        <v>184</v>
      </c>
      <c r="AJ1732">
        <v>4.25</v>
      </c>
      <c r="AK1732" t="str">
        <f t="shared" si="26"/>
        <v>WZ301-5000</v>
      </c>
    </row>
    <row r="1733" spans="1:37">
      <c r="A1733" t="s">
        <v>3274</v>
      </c>
      <c r="B1733" t="s">
        <v>3275</v>
      </c>
      <c r="C1733" t="s">
        <v>110</v>
      </c>
      <c r="D1733" t="s">
        <v>3276</v>
      </c>
      <c r="E1733">
        <v>50</v>
      </c>
      <c r="F1733">
        <v>11.9</v>
      </c>
      <c r="G1733">
        <v>24</v>
      </c>
      <c r="H1733">
        <v>37</v>
      </c>
      <c r="I1733">
        <v>31</v>
      </c>
      <c r="J1733">
        <v>24</v>
      </c>
      <c r="K1733">
        <v>1793</v>
      </c>
      <c r="L1733">
        <v>0</v>
      </c>
      <c r="M1733">
        <v>0</v>
      </c>
      <c r="N1733">
        <v>20</v>
      </c>
      <c r="O1733">
        <v>0</v>
      </c>
      <c r="P1733">
        <v>0</v>
      </c>
      <c r="Q1733">
        <v>1773</v>
      </c>
      <c r="R1733">
        <v>0</v>
      </c>
      <c r="S1733">
        <v>95</v>
      </c>
      <c r="T1733">
        <v>17</v>
      </c>
      <c r="U1733">
        <v>0</v>
      </c>
      <c r="V1733">
        <v>53</v>
      </c>
      <c r="W1733">
        <v>0</v>
      </c>
      <c r="X1733">
        <v>18</v>
      </c>
      <c r="Y1733">
        <v>0</v>
      </c>
      <c r="Z1733">
        <v>10</v>
      </c>
      <c r="AA1733">
        <v>29</v>
      </c>
      <c r="AB1733">
        <v>60</v>
      </c>
      <c r="AC1733">
        <v>0</v>
      </c>
      <c r="AD1733">
        <v>0</v>
      </c>
      <c r="AE1733">
        <v>282</v>
      </c>
      <c r="AF1733">
        <v>245</v>
      </c>
      <c r="AJ1733">
        <v>4.25</v>
      </c>
      <c r="AK1733" t="str">
        <f t="shared" ref="AK1733:AK1796" si="27">MID(A1733,4,10)</f>
        <v>WZ301-6200</v>
      </c>
    </row>
    <row r="1734" spans="1:37">
      <c r="A1734" t="s">
        <v>3277</v>
      </c>
      <c r="B1734" t="s">
        <v>3278</v>
      </c>
      <c r="C1734" t="s">
        <v>329</v>
      </c>
      <c r="D1734" t="s">
        <v>3279</v>
      </c>
      <c r="E1734">
        <v>50</v>
      </c>
      <c r="F1734">
        <v>0</v>
      </c>
      <c r="G1734">
        <v>0</v>
      </c>
      <c r="H1734">
        <v>0</v>
      </c>
      <c r="I1734">
        <v>0</v>
      </c>
      <c r="J1734">
        <v>0</v>
      </c>
      <c r="K1734">
        <v>226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226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J1734">
        <v>4.75</v>
      </c>
      <c r="AK1734" t="str">
        <f t="shared" si="27"/>
        <v>WZ484-6200</v>
      </c>
    </row>
    <row r="1735" spans="1:37">
      <c r="A1735" t="s">
        <v>3280</v>
      </c>
      <c r="B1735" t="s">
        <v>3281</v>
      </c>
      <c r="C1735" t="s">
        <v>110</v>
      </c>
      <c r="D1735" t="s">
        <v>3282</v>
      </c>
      <c r="E1735">
        <v>50</v>
      </c>
      <c r="F1735">
        <v>0</v>
      </c>
      <c r="G1735">
        <v>0</v>
      </c>
      <c r="H1735">
        <v>0</v>
      </c>
      <c r="I1735">
        <v>1</v>
      </c>
      <c r="J1735">
        <v>5</v>
      </c>
      <c r="K1735">
        <v>802</v>
      </c>
      <c r="L1735">
        <v>42</v>
      </c>
      <c r="M1735">
        <v>0</v>
      </c>
      <c r="N1735">
        <v>0</v>
      </c>
      <c r="O1735">
        <v>0</v>
      </c>
      <c r="P1735">
        <v>0</v>
      </c>
      <c r="Q1735">
        <v>802</v>
      </c>
      <c r="R1735">
        <v>0</v>
      </c>
      <c r="S1735">
        <v>0</v>
      </c>
      <c r="T1735">
        <v>0</v>
      </c>
      <c r="U1735">
        <v>0</v>
      </c>
      <c r="V1735">
        <v>6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57</v>
      </c>
      <c r="AD1735">
        <v>0</v>
      </c>
      <c r="AE1735">
        <v>63</v>
      </c>
      <c r="AF1735">
        <v>317</v>
      </c>
      <c r="AJ1735">
        <v>4.25</v>
      </c>
      <c r="AK1735" t="str">
        <f t="shared" si="27"/>
        <v>WZ501-5000</v>
      </c>
    </row>
    <row r="1736" spans="1:37">
      <c r="A1736" t="s">
        <v>3283</v>
      </c>
      <c r="B1736" t="s">
        <v>3281</v>
      </c>
      <c r="C1736" t="s">
        <v>110</v>
      </c>
      <c r="D1736" t="s">
        <v>3282</v>
      </c>
      <c r="E1736">
        <v>50</v>
      </c>
      <c r="F1736">
        <v>0</v>
      </c>
      <c r="G1736">
        <v>0</v>
      </c>
      <c r="H1736">
        <v>0</v>
      </c>
      <c r="I1736">
        <v>0</v>
      </c>
      <c r="J1736">
        <v>0</v>
      </c>
      <c r="K1736">
        <v>878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878</v>
      </c>
      <c r="R1736">
        <v>0</v>
      </c>
      <c r="S1736">
        <v>0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55</v>
      </c>
      <c r="AJ1736">
        <v>4.25</v>
      </c>
      <c r="AK1736" t="str">
        <f t="shared" si="27"/>
        <v>WZ501-6200</v>
      </c>
    </row>
    <row r="1737" spans="1:37">
      <c r="A1737" t="s">
        <v>3284</v>
      </c>
      <c r="B1737" t="s">
        <v>3285</v>
      </c>
      <c r="C1737" t="s">
        <v>110</v>
      </c>
      <c r="D1737" t="s">
        <v>3286</v>
      </c>
      <c r="E1737">
        <v>65</v>
      </c>
      <c r="F1737">
        <v>-0.1</v>
      </c>
      <c r="G1737">
        <v>45</v>
      </c>
      <c r="H1737">
        <v>117</v>
      </c>
      <c r="I1737">
        <v>66</v>
      </c>
      <c r="J1737">
        <v>49</v>
      </c>
      <c r="K1737">
        <v>0</v>
      </c>
      <c r="L1737">
        <v>21</v>
      </c>
      <c r="M1737">
        <v>0</v>
      </c>
      <c r="N1737">
        <v>38</v>
      </c>
      <c r="O1737">
        <v>0</v>
      </c>
      <c r="P1737">
        <v>0</v>
      </c>
      <c r="Q1737">
        <v>-38</v>
      </c>
      <c r="R1737">
        <v>0</v>
      </c>
      <c r="S1737">
        <v>0</v>
      </c>
      <c r="T1737">
        <v>72</v>
      </c>
      <c r="U1737">
        <v>278</v>
      </c>
      <c r="V1737">
        <v>44</v>
      </c>
      <c r="W1737">
        <v>0</v>
      </c>
      <c r="X1737">
        <v>0</v>
      </c>
      <c r="Y1737">
        <v>39</v>
      </c>
      <c r="Z1737">
        <v>23</v>
      </c>
      <c r="AA1737">
        <v>0</v>
      </c>
      <c r="AB1737">
        <v>0</v>
      </c>
      <c r="AC1737">
        <v>101</v>
      </c>
      <c r="AD1737">
        <v>28</v>
      </c>
      <c r="AE1737">
        <v>585</v>
      </c>
      <c r="AF1737">
        <v>207</v>
      </c>
      <c r="AJ1737">
        <v>4.25</v>
      </c>
      <c r="AK1737" t="str">
        <f t="shared" si="27"/>
        <v>WZ513-5000</v>
      </c>
    </row>
    <row r="1738" spans="1:37">
      <c r="A1738" t="s">
        <v>3287</v>
      </c>
      <c r="B1738" t="s">
        <v>3288</v>
      </c>
      <c r="C1738" t="s">
        <v>110</v>
      </c>
      <c r="D1738" t="s">
        <v>3286</v>
      </c>
      <c r="E1738">
        <v>65</v>
      </c>
      <c r="F1738">
        <v>38.5</v>
      </c>
      <c r="G1738">
        <v>0</v>
      </c>
      <c r="H1738">
        <v>19</v>
      </c>
      <c r="I1738">
        <v>10</v>
      </c>
      <c r="J1738">
        <v>22</v>
      </c>
      <c r="K1738">
        <v>2979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2979</v>
      </c>
      <c r="R1738">
        <v>0</v>
      </c>
      <c r="S1738">
        <v>0</v>
      </c>
      <c r="T1738">
        <v>58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153</v>
      </c>
      <c r="AD1738">
        <v>54</v>
      </c>
      <c r="AE1738">
        <v>265</v>
      </c>
      <c r="AF1738">
        <v>582</v>
      </c>
      <c r="AJ1738">
        <v>4.25</v>
      </c>
      <c r="AK1738" t="str">
        <f t="shared" si="27"/>
        <v>WZ513-6200</v>
      </c>
    </row>
    <row r="1739" spans="1:37">
      <c r="A1739" t="s">
        <v>3289</v>
      </c>
      <c r="B1739" t="s">
        <v>3290</v>
      </c>
      <c r="C1739" t="s">
        <v>318</v>
      </c>
      <c r="D1739" t="s">
        <v>3291</v>
      </c>
      <c r="E1739">
        <v>50</v>
      </c>
      <c r="F1739">
        <v>1.1000000000000001</v>
      </c>
      <c r="G1739">
        <v>173</v>
      </c>
      <c r="H1739">
        <v>119</v>
      </c>
      <c r="I1739">
        <v>185</v>
      </c>
      <c r="J1739">
        <v>222</v>
      </c>
      <c r="K1739">
        <v>681</v>
      </c>
      <c r="L1739">
        <v>205</v>
      </c>
      <c r="M1739">
        <v>0</v>
      </c>
      <c r="N1739">
        <v>145</v>
      </c>
      <c r="O1739">
        <v>0</v>
      </c>
      <c r="P1739">
        <v>0</v>
      </c>
      <c r="Q1739">
        <v>536</v>
      </c>
      <c r="R1739">
        <v>0</v>
      </c>
      <c r="S1739">
        <v>137</v>
      </c>
      <c r="T1739">
        <v>0</v>
      </c>
      <c r="U1739">
        <v>221</v>
      </c>
      <c r="V1739">
        <v>270</v>
      </c>
      <c r="W1739">
        <v>382</v>
      </c>
      <c r="X1739">
        <v>101</v>
      </c>
      <c r="Y1739">
        <v>104</v>
      </c>
      <c r="Z1739">
        <v>141</v>
      </c>
      <c r="AA1739">
        <v>338</v>
      </c>
      <c r="AB1739">
        <v>91</v>
      </c>
      <c r="AC1739">
        <v>288</v>
      </c>
      <c r="AD1739">
        <v>587</v>
      </c>
      <c r="AE1739">
        <v>2660</v>
      </c>
      <c r="AF1739">
        <v>3125</v>
      </c>
      <c r="AJ1739">
        <v>6.68</v>
      </c>
      <c r="AK1739" t="str">
        <f t="shared" si="27"/>
        <v>WZ588-5000</v>
      </c>
    </row>
    <row r="1740" spans="1:37">
      <c r="A1740" t="s">
        <v>3292</v>
      </c>
      <c r="B1740" t="s">
        <v>3293</v>
      </c>
      <c r="C1740" t="s">
        <v>318</v>
      </c>
      <c r="D1740" t="s">
        <v>3294</v>
      </c>
      <c r="E1740">
        <v>50</v>
      </c>
      <c r="F1740">
        <v>5.8</v>
      </c>
      <c r="G1740">
        <v>24</v>
      </c>
      <c r="H1740">
        <v>19</v>
      </c>
      <c r="I1740">
        <v>27</v>
      </c>
      <c r="J1740">
        <v>38</v>
      </c>
      <c r="K1740">
        <v>467</v>
      </c>
      <c r="L1740">
        <v>39</v>
      </c>
      <c r="M1740">
        <v>0</v>
      </c>
      <c r="N1740">
        <v>20</v>
      </c>
      <c r="O1740">
        <v>0</v>
      </c>
      <c r="P1740">
        <v>0</v>
      </c>
      <c r="Q1740">
        <v>447</v>
      </c>
      <c r="R1740">
        <v>0</v>
      </c>
      <c r="S1740">
        <v>58</v>
      </c>
      <c r="T1740">
        <v>0</v>
      </c>
      <c r="U1740">
        <v>0</v>
      </c>
      <c r="V1740">
        <v>0</v>
      </c>
      <c r="W1740">
        <v>8</v>
      </c>
      <c r="X1740">
        <v>98</v>
      </c>
      <c r="Y1740">
        <v>42</v>
      </c>
      <c r="Z1740">
        <v>63</v>
      </c>
      <c r="AA1740">
        <v>82</v>
      </c>
      <c r="AB1740">
        <v>0</v>
      </c>
      <c r="AC1740">
        <v>104</v>
      </c>
      <c r="AD1740">
        <v>0</v>
      </c>
      <c r="AE1740">
        <v>455</v>
      </c>
      <c r="AF1740">
        <v>977</v>
      </c>
      <c r="AJ1740">
        <v>7.55</v>
      </c>
      <c r="AK1740" t="str">
        <f t="shared" si="27"/>
        <v>WZ588-6200</v>
      </c>
    </row>
    <row r="1741" spans="1:37">
      <c r="A1741" t="s">
        <v>3295</v>
      </c>
      <c r="B1741" t="s">
        <v>3296</v>
      </c>
      <c r="C1741" t="s">
        <v>275</v>
      </c>
      <c r="D1741" t="s">
        <v>3297</v>
      </c>
      <c r="E1741">
        <v>50</v>
      </c>
      <c r="F1741">
        <v>1</v>
      </c>
      <c r="G1741">
        <v>190</v>
      </c>
      <c r="H1741">
        <v>500</v>
      </c>
      <c r="I1741">
        <v>526</v>
      </c>
      <c r="J1741">
        <v>584</v>
      </c>
      <c r="K1741">
        <v>2165</v>
      </c>
      <c r="L1741">
        <v>908</v>
      </c>
      <c r="M1741">
        <v>0</v>
      </c>
      <c r="N1741">
        <v>158</v>
      </c>
      <c r="O1741">
        <v>0</v>
      </c>
      <c r="P1741">
        <v>0</v>
      </c>
      <c r="Q1741">
        <v>2007</v>
      </c>
      <c r="R1741">
        <v>0</v>
      </c>
      <c r="S1741">
        <v>1080</v>
      </c>
      <c r="T1741">
        <v>404</v>
      </c>
      <c r="U1741">
        <v>15</v>
      </c>
      <c r="V1741">
        <v>583</v>
      </c>
      <c r="W1741">
        <v>198</v>
      </c>
      <c r="X1741">
        <v>874</v>
      </c>
      <c r="Y1741">
        <v>202</v>
      </c>
      <c r="Z1741">
        <v>1507</v>
      </c>
      <c r="AA1741">
        <v>350</v>
      </c>
      <c r="AB1741">
        <v>947</v>
      </c>
      <c r="AC1741">
        <v>290</v>
      </c>
      <c r="AD1741">
        <v>555</v>
      </c>
      <c r="AE1741">
        <v>7005</v>
      </c>
      <c r="AF1741">
        <v>5003</v>
      </c>
      <c r="AJ1741">
        <v>4.08</v>
      </c>
      <c r="AK1741" t="str">
        <f t="shared" si="27"/>
        <v>WZ601-5000</v>
      </c>
    </row>
    <row r="1742" spans="1:37">
      <c r="A1742" t="s">
        <v>3298</v>
      </c>
      <c r="B1742" t="s">
        <v>3296</v>
      </c>
      <c r="C1742" t="s">
        <v>275</v>
      </c>
      <c r="E1742">
        <v>50</v>
      </c>
      <c r="F1742">
        <v>3</v>
      </c>
      <c r="G1742">
        <v>98</v>
      </c>
      <c r="H1742">
        <v>205</v>
      </c>
      <c r="I1742">
        <v>160</v>
      </c>
      <c r="J1742">
        <v>306</v>
      </c>
      <c r="K1742">
        <v>2552</v>
      </c>
      <c r="L1742">
        <v>85</v>
      </c>
      <c r="M1742">
        <v>0</v>
      </c>
      <c r="N1742">
        <v>81</v>
      </c>
      <c r="O1742">
        <v>0</v>
      </c>
      <c r="P1742">
        <v>0</v>
      </c>
      <c r="Q1742">
        <v>2471</v>
      </c>
      <c r="R1742">
        <v>0</v>
      </c>
      <c r="S1742">
        <v>52</v>
      </c>
      <c r="T1742">
        <v>229</v>
      </c>
      <c r="U1742">
        <v>333</v>
      </c>
      <c r="V1742">
        <v>150</v>
      </c>
      <c r="W1742">
        <v>193</v>
      </c>
      <c r="X1742">
        <v>0</v>
      </c>
      <c r="Y1742">
        <v>467</v>
      </c>
      <c r="Z1742">
        <v>936</v>
      </c>
      <c r="AA1742">
        <v>425</v>
      </c>
      <c r="AB1742">
        <v>550</v>
      </c>
      <c r="AC1742">
        <v>234</v>
      </c>
      <c r="AD1742">
        <v>98</v>
      </c>
      <c r="AE1742">
        <v>3667</v>
      </c>
      <c r="AF1742">
        <v>2696</v>
      </c>
      <c r="AJ1742">
        <v>4.08</v>
      </c>
      <c r="AK1742" t="str">
        <f t="shared" si="27"/>
        <v>WZ601-6200</v>
      </c>
    </row>
    <row r="1743" spans="1:37">
      <c r="A1743" t="s">
        <v>3300</v>
      </c>
      <c r="B1743" t="s">
        <v>3299</v>
      </c>
      <c r="C1743" t="s">
        <v>313</v>
      </c>
      <c r="E1743">
        <v>43</v>
      </c>
      <c r="F1743">
        <v>60.3</v>
      </c>
      <c r="G1743">
        <v>0</v>
      </c>
      <c r="H1743">
        <v>12</v>
      </c>
      <c r="I1743">
        <v>12</v>
      </c>
      <c r="J1743">
        <v>12</v>
      </c>
      <c r="K1743">
        <v>2816</v>
      </c>
      <c r="L1743">
        <v>3</v>
      </c>
      <c r="M1743">
        <v>0</v>
      </c>
      <c r="N1743">
        <v>0</v>
      </c>
      <c r="O1743">
        <v>0</v>
      </c>
      <c r="P1743">
        <v>0</v>
      </c>
      <c r="Q1743">
        <v>2816</v>
      </c>
      <c r="R1743">
        <v>0</v>
      </c>
      <c r="S1743">
        <v>0</v>
      </c>
      <c r="T1743">
        <v>24</v>
      </c>
      <c r="U1743">
        <v>11</v>
      </c>
      <c r="V1743">
        <v>16</v>
      </c>
      <c r="W1743">
        <v>0</v>
      </c>
      <c r="X1743">
        <v>18</v>
      </c>
      <c r="Y1743">
        <v>10</v>
      </c>
      <c r="Z1743">
        <v>31</v>
      </c>
      <c r="AA1743">
        <v>10</v>
      </c>
      <c r="AB1743">
        <v>0</v>
      </c>
      <c r="AC1743">
        <v>23</v>
      </c>
      <c r="AD1743">
        <v>0</v>
      </c>
      <c r="AE1743">
        <v>143</v>
      </c>
      <c r="AF1743">
        <v>267</v>
      </c>
      <c r="AJ1743">
        <v>5.56</v>
      </c>
      <c r="AK1743" t="str">
        <f t="shared" si="27"/>
        <v>WZ604-6200</v>
      </c>
    </row>
    <row r="1744" spans="1:37">
      <c r="A1744" t="s">
        <v>3301</v>
      </c>
      <c r="B1744" t="s">
        <v>3302</v>
      </c>
      <c r="C1744" t="s">
        <v>318</v>
      </c>
      <c r="D1744" t="s">
        <v>3303</v>
      </c>
      <c r="E1744">
        <v>50</v>
      </c>
      <c r="F1744">
        <v>1</v>
      </c>
      <c r="G1744">
        <v>0</v>
      </c>
      <c r="H1744">
        <v>89</v>
      </c>
      <c r="I1744">
        <v>82</v>
      </c>
      <c r="J1744">
        <v>69</v>
      </c>
      <c r="K1744">
        <v>366</v>
      </c>
      <c r="L1744">
        <v>29</v>
      </c>
      <c r="M1744">
        <v>0</v>
      </c>
      <c r="N1744">
        <v>0</v>
      </c>
      <c r="O1744">
        <v>0</v>
      </c>
      <c r="P1744">
        <v>0</v>
      </c>
      <c r="Q1744">
        <v>366</v>
      </c>
      <c r="R1744">
        <v>0</v>
      </c>
      <c r="S1744">
        <v>0</v>
      </c>
      <c r="T1744">
        <v>268</v>
      </c>
      <c r="U1744">
        <v>0</v>
      </c>
      <c r="V1744">
        <v>89</v>
      </c>
      <c r="W1744">
        <v>132</v>
      </c>
      <c r="X1744">
        <v>0</v>
      </c>
      <c r="Y1744">
        <v>0</v>
      </c>
      <c r="Z1744">
        <v>0</v>
      </c>
      <c r="AA1744">
        <v>223</v>
      </c>
      <c r="AB1744">
        <v>0</v>
      </c>
      <c r="AC1744">
        <v>49</v>
      </c>
      <c r="AD1744">
        <v>68</v>
      </c>
      <c r="AE1744">
        <v>829</v>
      </c>
      <c r="AF1744">
        <v>780</v>
      </c>
      <c r="AJ1744">
        <v>5.17</v>
      </c>
      <c r="AK1744" t="str">
        <f t="shared" si="27"/>
        <v>WZ848-5000</v>
      </c>
    </row>
    <row r="1745" spans="1:37">
      <c r="A1745" t="s">
        <v>3304</v>
      </c>
      <c r="B1745" t="s">
        <v>3305</v>
      </c>
      <c r="C1745" t="s">
        <v>318</v>
      </c>
      <c r="D1745" t="s">
        <v>3306</v>
      </c>
      <c r="E1745">
        <v>50</v>
      </c>
      <c r="F1745">
        <v>0</v>
      </c>
      <c r="G1745">
        <v>16</v>
      </c>
      <c r="H1745">
        <v>0</v>
      </c>
      <c r="I1745">
        <v>2</v>
      </c>
      <c r="J1745">
        <v>1</v>
      </c>
      <c r="K1745">
        <v>697</v>
      </c>
      <c r="L1745">
        <v>0</v>
      </c>
      <c r="M1745">
        <v>0</v>
      </c>
      <c r="N1745">
        <v>13</v>
      </c>
      <c r="O1745">
        <v>0</v>
      </c>
      <c r="P1745">
        <v>0</v>
      </c>
      <c r="Q1745">
        <v>684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9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9</v>
      </c>
      <c r="AF1745">
        <v>154</v>
      </c>
      <c r="AJ1745">
        <v>5.17</v>
      </c>
      <c r="AK1745" t="str">
        <f t="shared" si="27"/>
        <v>WZ848-6200</v>
      </c>
    </row>
    <row r="1746" spans="1:37">
      <c r="A1746" t="s">
        <v>3307</v>
      </c>
      <c r="B1746" t="s">
        <v>3308</v>
      </c>
      <c r="C1746" t="s">
        <v>318</v>
      </c>
      <c r="D1746" t="s">
        <v>3309</v>
      </c>
      <c r="E1746">
        <v>50</v>
      </c>
      <c r="F1746">
        <v>4.0999999999999996</v>
      </c>
      <c r="G1746">
        <v>0</v>
      </c>
      <c r="H1746">
        <v>29</v>
      </c>
      <c r="I1746">
        <v>18</v>
      </c>
      <c r="J1746">
        <v>25</v>
      </c>
      <c r="K1746">
        <v>473</v>
      </c>
      <c r="L1746">
        <v>96</v>
      </c>
      <c r="M1746">
        <v>0</v>
      </c>
      <c r="N1746">
        <v>0</v>
      </c>
      <c r="O1746">
        <v>0</v>
      </c>
      <c r="P1746">
        <v>0</v>
      </c>
      <c r="Q1746">
        <v>473</v>
      </c>
      <c r="R1746">
        <v>0</v>
      </c>
      <c r="S1746">
        <v>87</v>
      </c>
      <c r="T1746">
        <v>0</v>
      </c>
      <c r="U1746">
        <v>0</v>
      </c>
      <c r="V1746">
        <v>9</v>
      </c>
      <c r="W1746">
        <v>14</v>
      </c>
      <c r="X1746">
        <v>0</v>
      </c>
      <c r="Y1746">
        <v>0</v>
      </c>
      <c r="Z1746">
        <v>8</v>
      </c>
      <c r="AA1746">
        <v>0</v>
      </c>
      <c r="AB1746">
        <v>9</v>
      </c>
      <c r="AC1746">
        <v>176</v>
      </c>
      <c r="AD1746">
        <v>0</v>
      </c>
      <c r="AE1746">
        <v>303</v>
      </c>
      <c r="AF1746">
        <v>154</v>
      </c>
      <c r="AJ1746">
        <v>5.46</v>
      </c>
      <c r="AK1746" t="str">
        <f t="shared" si="27"/>
        <v>YSN01-5000</v>
      </c>
    </row>
    <row r="1747" spans="1:37">
      <c r="A1747" t="s">
        <v>3310</v>
      </c>
      <c r="B1747" t="s">
        <v>3308</v>
      </c>
      <c r="C1747" t="s">
        <v>318</v>
      </c>
      <c r="E1747">
        <v>50</v>
      </c>
      <c r="F1747">
        <v>28.9</v>
      </c>
      <c r="G1747">
        <v>24</v>
      </c>
      <c r="H1747">
        <v>15</v>
      </c>
      <c r="I1747">
        <v>8</v>
      </c>
      <c r="J1747">
        <v>5</v>
      </c>
      <c r="K1747">
        <v>1752</v>
      </c>
      <c r="L1747">
        <v>0</v>
      </c>
      <c r="M1747">
        <v>0</v>
      </c>
      <c r="N1747">
        <v>20</v>
      </c>
      <c r="O1747">
        <v>0</v>
      </c>
      <c r="P1747">
        <v>0</v>
      </c>
      <c r="Q1747">
        <v>1732</v>
      </c>
      <c r="R1747">
        <v>0</v>
      </c>
      <c r="S1747">
        <v>27</v>
      </c>
      <c r="T1747">
        <v>18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13</v>
      </c>
      <c r="AC1747">
        <v>0</v>
      </c>
      <c r="AD1747">
        <v>0</v>
      </c>
      <c r="AE1747">
        <v>58</v>
      </c>
      <c r="AF1747">
        <v>41</v>
      </c>
      <c r="AJ1747">
        <v>4.1399999999999997</v>
      </c>
      <c r="AK1747" t="str">
        <f t="shared" si="27"/>
        <v>YSN01-6200</v>
      </c>
    </row>
    <row r="1748" spans="1:37">
      <c r="A1748" t="s">
        <v>3311</v>
      </c>
      <c r="B1748" t="s">
        <v>3312</v>
      </c>
      <c r="C1748" t="s">
        <v>318</v>
      </c>
      <c r="D1748" t="s">
        <v>3313</v>
      </c>
      <c r="E1748">
        <v>50</v>
      </c>
      <c r="F1748">
        <v>0</v>
      </c>
      <c r="G1748">
        <v>9</v>
      </c>
      <c r="H1748">
        <v>106</v>
      </c>
      <c r="I1748">
        <v>93</v>
      </c>
      <c r="J1748">
        <v>62</v>
      </c>
      <c r="K1748">
        <v>0</v>
      </c>
      <c r="L1748">
        <v>29</v>
      </c>
      <c r="M1748">
        <v>0</v>
      </c>
      <c r="N1748">
        <v>7</v>
      </c>
      <c r="O1748">
        <v>0</v>
      </c>
      <c r="P1748">
        <v>0</v>
      </c>
      <c r="Q1748">
        <v>-7</v>
      </c>
      <c r="R1748">
        <v>0</v>
      </c>
      <c r="S1748">
        <v>197</v>
      </c>
      <c r="T1748">
        <v>0</v>
      </c>
      <c r="U1748">
        <v>120</v>
      </c>
      <c r="V1748">
        <v>25</v>
      </c>
      <c r="W1748">
        <v>0</v>
      </c>
      <c r="X1748">
        <v>217</v>
      </c>
      <c r="Y1748">
        <v>0</v>
      </c>
      <c r="Z1748">
        <v>73</v>
      </c>
      <c r="AA1748">
        <v>0</v>
      </c>
      <c r="AB1748">
        <v>14</v>
      </c>
      <c r="AC1748">
        <v>39</v>
      </c>
      <c r="AD1748">
        <v>55</v>
      </c>
      <c r="AE1748">
        <v>740</v>
      </c>
      <c r="AF1748">
        <v>901</v>
      </c>
      <c r="AJ1748">
        <v>5.46</v>
      </c>
      <c r="AK1748" t="str">
        <f t="shared" si="27"/>
        <v>YSN02-5000</v>
      </c>
    </row>
    <row r="1749" spans="1:37">
      <c r="A1749" t="s">
        <v>3314</v>
      </c>
      <c r="B1749" t="s">
        <v>3315</v>
      </c>
      <c r="C1749" t="s">
        <v>318</v>
      </c>
      <c r="D1749" t="s">
        <v>3316</v>
      </c>
      <c r="E1749">
        <v>50</v>
      </c>
      <c r="F1749">
        <v>0</v>
      </c>
      <c r="G1749">
        <v>0</v>
      </c>
      <c r="H1749">
        <v>0</v>
      </c>
      <c r="I1749">
        <v>35</v>
      </c>
      <c r="J1749">
        <v>32</v>
      </c>
      <c r="K1749">
        <v>416</v>
      </c>
      <c r="L1749">
        <v>36</v>
      </c>
      <c r="M1749">
        <v>0</v>
      </c>
      <c r="N1749">
        <v>0</v>
      </c>
      <c r="O1749">
        <v>0</v>
      </c>
      <c r="P1749">
        <v>0</v>
      </c>
      <c r="Q1749">
        <v>416</v>
      </c>
      <c r="R1749">
        <v>0</v>
      </c>
      <c r="S1749">
        <v>0</v>
      </c>
      <c r="T1749">
        <v>0</v>
      </c>
      <c r="U1749">
        <v>0</v>
      </c>
      <c r="V1749">
        <v>0</v>
      </c>
      <c r="W1749">
        <v>209</v>
      </c>
      <c r="X1749">
        <v>0</v>
      </c>
      <c r="Y1749">
        <v>66</v>
      </c>
      <c r="Z1749">
        <v>91</v>
      </c>
      <c r="AA1749">
        <v>0</v>
      </c>
      <c r="AB1749">
        <v>0</v>
      </c>
      <c r="AC1749">
        <v>21</v>
      </c>
      <c r="AD1749">
        <v>0</v>
      </c>
      <c r="AE1749">
        <v>387</v>
      </c>
      <c r="AF1749">
        <v>378</v>
      </c>
      <c r="AJ1749">
        <v>5.46</v>
      </c>
      <c r="AK1749" t="str">
        <f t="shared" si="27"/>
        <v>YSN02-6200</v>
      </c>
    </row>
    <row r="1750" spans="1:37">
      <c r="A1750" t="s">
        <v>5558</v>
      </c>
      <c r="B1750" t="s">
        <v>3318</v>
      </c>
      <c r="E1750">
        <v>50</v>
      </c>
      <c r="F1750">
        <v>0</v>
      </c>
      <c r="G1750">
        <v>0</v>
      </c>
      <c r="H1750">
        <v>8</v>
      </c>
      <c r="I1750">
        <v>4</v>
      </c>
      <c r="J1750">
        <v>2</v>
      </c>
      <c r="K1750">
        <v>0</v>
      </c>
      <c r="L1750">
        <v>13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>
        <v>0</v>
      </c>
      <c r="T1750">
        <v>25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25</v>
      </c>
      <c r="AF1750">
        <v>13</v>
      </c>
      <c r="AJ1750">
        <v>0</v>
      </c>
      <c r="AK1750" t="str">
        <f t="shared" si="27"/>
        <v>AB201-5000</v>
      </c>
    </row>
    <row r="1751" spans="1:37">
      <c r="A1751" t="s">
        <v>3317</v>
      </c>
      <c r="B1751" t="s">
        <v>3318</v>
      </c>
      <c r="C1751" t="s">
        <v>110</v>
      </c>
      <c r="E1751">
        <v>50</v>
      </c>
      <c r="F1751">
        <v>4.4000000000000004</v>
      </c>
      <c r="G1751">
        <v>0</v>
      </c>
      <c r="H1751">
        <v>11</v>
      </c>
      <c r="I1751">
        <v>7</v>
      </c>
      <c r="J1751">
        <v>6</v>
      </c>
      <c r="K1751">
        <v>188</v>
      </c>
      <c r="L1751">
        <v>2</v>
      </c>
      <c r="M1751">
        <v>0</v>
      </c>
      <c r="N1751">
        <v>0</v>
      </c>
      <c r="O1751">
        <v>0</v>
      </c>
      <c r="P1751">
        <v>0</v>
      </c>
      <c r="Q1751">
        <v>188</v>
      </c>
      <c r="R1751">
        <v>0</v>
      </c>
      <c r="S1751">
        <v>15</v>
      </c>
      <c r="T1751">
        <v>6</v>
      </c>
      <c r="U1751">
        <v>11</v>
      </c>
      <c r="V1751">
        <v>0</v>
      </c>
      <c r="W1751">
        <v>11</v>
      </c>
      <c r="X1751">
        <v>0</v>
      </c>
      <c r="Y1751">
        <v>1</v>
      </c>
      <c r="Z1751">
        <v>16</v>
      </c>
      <c r="AA1751">
        <v>0</v>
      </c>
      <c r="AB1751">
        <v>10</v>
      </c>
      <c r="AC1751">
        <v>0</v>
      </c>
      <c r="AD1751">
        <v>0</v>
      </c>
      <c r="AE1751">
        <v>70</v>
      </c>
      <c r="AF1751">
        <v>147</v>
      </c>
      <c r="AJ1751">
        <v>0</v>
      </c>
      <c r="AK1751" t="str">
        <f t="shared" si="27"/>
        <v>AB201-6200</v>
      </c>
    </row>
    <row r="1752" spans="1:37">
      <c r="A1752" t="s">
        <v>3319</v>
      </c>
      <c r="B1752" t="s">
        <v>3320</v>
      </c>
      <c r="E1752">
        <v>50</v>
      </c>
      <c r="F1752">
        <v>0</v>
      </c>
      <c r="G1752">
        <v>0</v>
      </c>
      <c r="H1752">
        <v>0</v>
      </c>
      <c r="I1752">
        <v>0</v>
      </c>
      <c r="J1752">
        <v>0</v>
      </c>
      <c r="K1752">
        <v>1790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1790</v>
      </c>
      <c r="R1752">
        <v>0</v>
      </c>
      <c r="S1752">
        <v>0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30</v>
      </c>
      <c r="AJ1752">
        <v>0</v>
      </c>
      <c r="AK1752" t="str">
        <f t="shared" si="27"/>
        <v>AB291-5000</v>
      </c>
    </row>
    <row r="1753" spans="1:37">
      <c r="A1753" t="s">
        <v>3321</v>
      </c>
      <c r="B1753" t="s">
        <v>3322</v>
      </c>
      <c r="E1753">
        <v>50</v>
      </c>
      <c r="F1753">
        <v>6.7</v>
      </c>
      <c r="G1753">
        <v>0</v>
      </c>
      <c r="H1753">
        <v>101</v>
      </c>
      <c r="I1753">
        <v>50</v>
      </c>
      <c r="J1753">
        <v>31</v>
      </c>
      <c r="K1753">
        <v>2687</v>
      </c>
      <c r="L1753">
        <v>9</v>
      </c>
      <c r="M1753">
        <v>0</v>
      </c>
      <c r="N1753">
        <v>0</v>
      </c>
      <c r="O1753">
        <v>0</v>
      </c>
      <c r="P1753">
        <v>0</v>
      </c>
      <c r="Q1753">
        <v>2687</v>
      </c>
      <c r="R1753">
        <v>0</v>
      </c>
      <c r="S1753">
        <v>0</v>
      </c>
      <c r="T1753">
        <v>0</v>
      </c>
      <c r="U1753">
        <v>302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55</v>
      </c>
      <c r="AD1753">
        <v>20</v>
      </c>
      <c r="AE1753">
        <v>377</v>
      </c>
      <c r="AF1753">
        <v>0</v>
      </c>
      <c r="AJ1753">
        <v>0</v>
      </c>
      <c r="AK1753" t="str">
        <f t="shared" si="27"/>
        <v>AG200-6200</v>
      </c>
    </row>
    <row r="1754" spans="1:37">
      <c r="A1754" t="s">
        <v>5950</v>
      </c>
      <c r="B1754" t="s">
        <v>3324</v>
      </c>
      <c r="E1754">
        <v>50</v>
      </c>
      <c r="F1754">
        <v>0</v>
      </c>
      <c r="G1754">
        <v>0</v>
      </c>
      <c r="H1754">
        <v>2</v>
      </c>
      <c r="I1754">
        <v>1</v>
      </c>
      <c r="J1754">
        <v>4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>
        <v>0</v>
      </c>
      <c r="T1754">
        <v>5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7</v>
      </c>
      <c r="AC1754">
        <v>8</v>
      </c>
      <c r="AD1754">
        <v>33</v>
      </c>
      <c r="AE1754">
        <v>53</v>
      </c>
      <c r="AF1754">
        <v>61</v>
      </c>
      <c r="AJ1754">
        <v>0</v>
      </c>
      <c r="AK1754" t="str">
        <f t="shared" si="27"/>
        <v>AG345-5000</v>
      </c>
    </row>
    <row r="1755" spans="1:37">
      <c r="A1755" t="s">
        <v>3323</v>
      </c>
      <c r="B1755" t="s">
        <v>3324</v>
      </c>
      <c r="E1755">
        <v>50</v>
      </c>
      <c r="F1755">
        <v>3.4</v>
      </c>
      <c r="G1755">
        <v>13</v>
      </c>
      <c r="H1755">
        <v>48</v>
      </c>
      <c r="I1755">
        <v>24</v>
      </c>
      <c r="J1755">
        <v>17</v>
      </c>
      <c r="K1755">
        <v>668</v>
      </c>
      <c r="L1755">
        <v>0</v>
      </c>
      <c r="M1755">
        <v>0</v>
      </c>
      <c r="N1755">
        <v>11</v>
      </c>
      <c r="O1755">
        <v>0</v>
      </c>
      <c r="P1755">
        <v>0</v>
      </c>
      <c r="Q1755">
        <v>657</v>
      </c>
      <c r="R1755">
        <v>0</v>
      </c>
      <c r="S1755">
        <v>20</v>
      </c>
      <c r="T1755">
        <v>12</v>
      </c>
      <c r="U1755">
        <v>113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14</v>
      </c>
      <c r="AB1755">
        <v>0</v>
      </c>
      <c r="AC1755">
        <v>13</v>
      </c>
      <c r="AD1755">
        <v>26</v>
      </c>
      <c r="AE1755">
        <v>198</v>
      </c>
      <c r="AF1755">
        <v>231</v>
      </c>
      <c r="AJ1755">
        <v>0</v>
      </c>
      <c r="AK1755" t="str">
        <f t="shared" si="27"/>
        <v>AG345-6200</v>
      </c>
    </row>
    <row r="1756" spans="1:37">
      <c r="A1756" t="s">
        <v>3325</v>
      </c>
      <c r="B1756" t="s">
        <v>3326</v>
      </c>
      <c r="E1756">
        <v>43</v>
      </c>
      <c r="F1756">
        <v>0</v>
      </c>
      <c r="G1756">
        <v>0</v>
      </c>
      <c r="H1756">
        <v>0</v>
      </c>
      <c r="I1756">
        <v>8</v>
      </c>
      <c r="J1756">
        <v>13</v>
      </c>
      <c r="K1756">
        <v>452</v>
      </c>
      <c r="L1756">
        <v>0</v>
      </c>
      <c r="M1756">
        <v>0</v>
      </c>
      <c r="N1756">
        <v>0</v>
      </c>
      <c r="O1756">
        <v>0</v>
      </c>
      <c r="P1756">
        <v>0</v>
      </c>
      <c r="Q1756">
        <v>452</v>
      </c>
      <c r="R1756">
        <v>0</v>
      </c>
      <c r="S1756">
        <v>0</v>
      </c>
      <c r="T1756">
        <v>0</v>
      </c>
      <c r="U1756">
        <v>0</v>
      </c>
      <c r="V1756">
        <v>14</v>
      </c>
      <c r="W1756">
        <v>0</v>
      </c>
      <c r="X1756">
        <v>36</v>
      </c>
      <c r="Y1756">
        <v>0</v>
      </c>
      <c r="Z1756">
        <v>25</v>
      </c>
      <c r="AA1756">
        <v>31</v>
      </c>
      <c r="AB1756">
        <v>29</v>
      </c>
      <c r="AC1756">
        <v>12</v>
      </c>
      <c r="AD1756">
        <v>9</v>
      </c>
      <c r="AE1756">
        <v>156</v>
      </c>
      <c r="AF1756">
        <v>101</v>
      </c>
      <c r="AJ1756">
        <v>0</v>
      </c>
      <c r="AK1756" t="str">
        <f t="shared" si="27"/>
        <v>AT311-6200</v>
      </c>
    </row>
    <row r="1757" spans="1:37">
      <c r="A1757" t="s">
        <v>3327</v>
      </c>
      <c r="B1757" t="s">
        <v>3328</v>
      </c>
      <c r="E1757">
        <v>50</v>
      </c>
      <c r="F1757">
        <v>8.1999999999999993</v>
      </c>
      <c r="G1757">
        <v>10</v>
      </c>
      <c r="H1757">
        <v>2</v>
      </c>
      <c r="I1757">
        <v>13</v>
      </c>
      <c r="J1757">
        <v>11</v>
      </c>
      <c r="K1757">
        <v>74</v>
      </c>
      <c r="L1757">
        <v>6</v>
      </c>
      <c r="M1757">
        <v>0</v>
      </c>
      <c r="N1757">
        <v>8</v>
      </c>
      <c r="O1757">
        <v>0</v>
      </c>
      <c r="P1757">
        <v>0</v>
      </c>
      <c r="Q1757">
        <v>66</v>
      </c>
      <c r="R1757">
        <v>0</v>
      </c>
      <c r="S1757">
        <v>0</v>
      </c>
      <c r="T1757">
        <v>0</v>
      </c>
      <c r="U1757">
        <v>6</v>
      </c>
      <c r="V1757">
        <v>26</v>
      </c>
      <c r="W1757">
        <v>46</v>
      </c>
      <c r="X1757">
        <v>0</v>
      </c>
      <c r="Y1757">
        <v>7</v>
      </c>
      <c r="Z1757">
        <v>23</v>
      </c>
      <c r="AA1757">
        <v>16</v>
      </c>
      <c r="AB1757">
        <v>0</v>
      </c>
      <c r="AC1757">
        <v>0</v>
      </c>
      <c r="AD1757">
        <v>8</v>
      </c>
      <c r="AE1757">
        <v>132</v>
      </c>
      <c r="AF1757">
        <v>174</v>
      </c>
      <c r="AJ1757">
        <v>0</v>
      </c>
      <c r="AK1757" t="str">
        <f t="shared" si="27"/>
        <v>AT321-6200</v>
      </c>
    </row>
    <row r="1758" spans="1:37">
      <c r="A1758" t="s">
        <v>3331</v>
      </c>
      <c r="B1758" t="s">
        <v>3332</v>
      </c>
      <c r="C1758" t="s">
        <v>110</v>
      </c>
      <c r="E1758">
        <v>50</v>
      </c>
      <c r="F1758">
        <v>98.7</v>
      </c>
      <c r="G1758">
        <v>0</v>
      </c>
      <c r="H1758">
        <v>5</v>
      </c>
      <c r="I1758">
        <v>2</v>
      </c>
      <c r="J1758">
        <v>3</v>
      </c>
      <c r="K1758">
        <v>1843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1843</v>
      </c>
      <c r="R1758">
        <v>0</v>
      </c>
      <c r="S1758">
        <v>14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18</v>
      </c>
      <c r="AE1758">
        <v>32</v>
      </c>
      <c r="AF1758">
        <v>127</v>
      </c>
      <c r="AJ1758">
        <v>0</v>
      </c>
      <c r="AK1758" t="str">
        <f t="shared" si="27"/>
        <v>AV941-6200</v>
      </c>
    </row>
    <row r="1759" spans="1:37">
      <c r="A1759" t="s">
        <v>3333</v>
      </c>
      <c r="B1759" t="s">
        <v>3334</v>
      </c>
      <c r="E1759">
        <v>50</v>
      </c>
      <c r="F1759">
        <v>0</v>
      </c>
      <c r="G1759">
        <v>0</v>
      </c>
      <c r="H1759">
        <v>0</v>
      </c>
      <c r="I1759">
        <v>0</v>
      </c>
      <c r="J1759">
        <v>0</v>
      </c>
      <c r="K1759">
        <v>32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32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J1759">
        <v>0</v>
      </c>
      <c r="AK1759" t="str">
        <f t="shared" si="27"/>
        <v>HP191-6200</v>
      </c>
    </row>
    <row r="1760" spans="1:37">
      <c r="A1760" t="s">
        <v>3335</v>
      </c>
      <c r="B1760" t="s">
        <v>3336</v>
      </c>
      <c r="E1760">
        <v>50</v>
      </c>
      <c r="F1760">
        <v>0</v>
      </c>
      <c r="G1760">
        <v>0</v>
      </c>
      <c r="H1760">
        <v>0</v>
      </c>
      <c r="I1760">
        <v>0</v>
      </c>
      <c r="J1760">
        <v>0</v>
      </c>
      <c r="K1760">
        <v>158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158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J1760">
        <v>0</v>
      </c>
      <c r="AK1760" t="str">
        <f t="shared" si="27"/>
        <v>HP355-5000</v>
      </c>
    </row>
    <row r="1761" spans="1:37">
      <c r="A1761" t="s">
        <v>3337</v>
      </c>
      <c r="B1761" t="s">
        <v>3338</v>
      </c>
      <c r="E1761">
        <v>50</v>
      </c>
      <c r="F1761">
        <v>0</v>
      </c>
      <c r="G1761">
        <v>0</v>
      </c>
      <c r="H1761">
        <v>0</v>
      </c>
      <c r="I1761">
        <v>0</v>
      </c>
      <c r="J1761">
        <v>0</v>
      </c>
      <c r="K1761">
        <v>750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750</v>
      </c>
      <c r="R1761">
        <v>0</v>
      </c>
      <c r="S1761">
        <v>0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J1761">
        <v>0</v>
      </c>
      <c r="AK1761" t="str">
        <f t="shared" si="27"/>
        <v>HP820-6200</v>
      </c>
    </row>
    <row r="1762" spans="1:37">
      <c r="A1762" t="s">
        <v>3339</v>
      </c>
      <c r="B1762" t="s">
        <v>3340</v>
      </c>
      <c r="E1762">
        <v>50</v>
      </c>
      <c r="F1762">
        <v>0</v>
      </c>
      <c r="G1762">
        <v>0</v>
      </c>
      <c r="H1762">
        <v>0</v>
      </c>
      <c r="I1762">
        <v>0</v>
      </c>
      <c r="J1762">
        <v>0</v>
      </c>
      <c r="K1762">
        <v>51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51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J1762">
        <v>0</v>
      </c>
      <c r="AK1762" t="str">
        <f t="shared" si="27"/>
        <v>HP822-6200</v>
      </c>
    </row>
    <row r="1763" spans="1:37">
      <c r="A1763" t="s">
        <v>5951</v>
      </c>
      <c r="B1763" t="s">
        <v>3342</v>
      </c>
      <c r="E1763">
        <v>50</v>
      </c>
      <c r="F1763">
        <v>0</v>
      </c>
      <c r="G1763">
        <v>0</v>
      </c>
      <c r="H1763">
        <v>7</v>
      </c>
      <c r="I1763">
        <v>4</v>
      </c>
      <c r="J1763">
        <v>2</v>
      </c>
      <c r="K1763">
        <v>0</v>
      </c>
      <c r="L1763">
        <v>2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6</v>
      </c>
      <c r="T1763">
        <v>16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4</v>
      </c>
      <c r="AE1763">
        <v>26</v>
      </c>
      <c r="AF1763">
        <v>3</v>
      </c>
      <c r="AJ1763">
        <v>0</v>
      </c>
      <c r="AK1763" t="str">
        <f t="shared" si="27"/>
        <v>K2016-5000</v>
      </c>
    </row>
    <row r="1764" spans="1:37">
      <c r="A1764" t="s">
        <v>3341</v>
      </c>
      <c r="B1764" t="s">
        <v>3342</v>
      </c>
      <c r="E1764">
        <v>50</v>
      </c>
      <c r="F1764">
        <v>59.5</v>
      </c>
      <c r="G1764">
        <v>0</v>
      </c>
      <c r="H1764">
        <v>2</v>
      </c>
      <c r="I1764">
        <v>2</v>
      </c>
      <c r="J1764">
        <v>2</v>
      </c>
      <c r="K1764">
        <v>555</v>
      </c>
      <c r="L1764">
        <v>0</v>
      </c>
      <c r="M1764">
        <v>0</v>
      </c>
      <c r="N1764">
        <v>0</v>
      </c>
      <c r="O1764">
        <v>0</v>
      </c>
      <c r="P1764">
        <v>0</v>
      </c>
      <c r="Q1764">
        <v>555</v>
      </c>
      <c r="R1764">
        <v>0</v>
      </c>
      <c r="S1764">
        <v>0</v>
      </c>
      <c r="T1764">
        <v>6</v>
      </c>
      <c r="U1764">
        <v>1</v>
      </c>
      <c r="V1764">
        <v>0</v>
      </c>
      <c r="W1764">
        <v>6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10</v>
      </c>
      <c r="AE1764">
        <v>23</v>
      </c>
      <c r="AF1764">
        <v>67</v>
      </c>
      <c r="AJ1764">
        <v>0</v>
      </c>
      <c r="AK1764" t="str">
        <f t="shared" si="27"/>
        <v>K2016-6200</v>
      </c>
    </row>
    <row r="1765" spans="1:37">
      <c r="A1765" t="s">
        <v>3343</v>
      </c>
      <c r="B1765" t="s">
        <v>3344</v>
      </c>
      <c r="E1765">
        <v>43</v>
      </c>
      <c r="F1765">
        <v>4.3</v>
      </c>
      <c r="G1765">
        <v>0</v>
      </c>
      <c r="H1765">
        <v>94</v>
      </c>
      <c r="I1765">
        <v>47</v>
      </c>
      <c r="J1765">
        <v>32</v>
      </c>
      <c r="K1765">
        <v>1604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1604</v>
      </c>
      <c r="R1765">
        <v>0</v>
      </c>
      <c r="S1765">
        <v>7</v>
      </c>
      <c r="T1765">
        <v>275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104</v>
      </c>
      <c r="AD1765">
        <v>0</v>
      </c>
      <c r="AE1765">
        <v>386</v>
      </c>
      <c r="AF1765">
        <v>454</v>
      </c>
      <c r="AJ1765">
        <v>0</v>
      </c>
      <c r="AK1765" t="str">
        <f t="shared" si="27"/>
        <v>KM001-5000</v>
      </c>
    </row>
    <row r="1766" spans="1:37">
      <c r="A1766" t="s">
        <v>3345</v>
      </c>
      <c r="B1766" t="s">
        <v>3346</v>
      </c>
      <c r="E1766">
        <v>43</v>
      </c>
      <c r="F1766">
        <v>4.8</v>
      </c>
      <c r="G1766">
        <v>0</v>
      </c>
      <c r="H1766">
        <v>92</v>
      </c>
      <c r="I1766">
        <v>46</v>
      </c>
      <c r="J1766">
        <v>37</v>
      </c>
      <c r="K1766">
        <v>1759</v>
      </c>
      <c r="L1766">
        <v>66</v>
      </c>
      <c r="M1766">
        <v>0</v>
      </c>
      <c r="N1766">
        <v>0</v>
      </c>
      <c r="O1766">
        <v>0</v>
      </c>
      <c r="P1766">
        <v>0</v>
      </c>
      <c r="Q1766">
        <v>1759</v>
      </c>
      <c r="R1766">
        <v>0</v>
      </c>
      <c r="S1766">
        <v>116</v>
      </c>
      <c r="T1766">
        <v>62</v>
      </c>
      <c r="U1766">
        <v>99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73</v>
      </c>
      <c r="AB1766">
        <v>13</v>
      </c>
      <c r="AC1766">
        <v>79</v>
      </c>
      <c r="AD1766">
        <v>0</v>
      </c>
      <c r="AE1766">
        <v>442</v>
      </c>
      <c r="AF1766">
        <v>299</v>
      </c>
      <c r="AJ1766">
        <v>0</v>
      </c>
      <c r="AK1766" t="str">
        <f t="shared" si="27"/>
        <v>KM002-5000</v>
      </c>
    </row>
    <row r="1767" spans="1:37">
      <c r="A1767" t="s">
        <v>3347</v>
      </c>
      <c r="B1767" t="s">
        <v>3348</v>
      </c>
      <c r="E1767">
        <v>43</v>
      </c>
      <c r="F1767">
        <v>7.3</v>
      </c>
      <c r="G1767">
        <v>0</v>
      </c>
      <c r="H1767">
        <v>83</v>
      </c>
      <c r="I1767">
        <v>42</v>
      </c>
      <c r="J1767">
        <v>21</v>
      </c>
      <c r="K1767">
        <v>2420</v>
      </c>
      <c r="L1767">
        <v>0</v>
      </c>
      <c r="M1767">
        <v>0</v>
      </c>
      <c r="N1767">
        <v>0</v>
      </c>
      <c r="O1767">
        <v>0</v>
      </c>
      <c r="P1767">
        <v>0</v>
      </c>
      <c r="Q1767">
        <v>2420</v>
      </c>
      <c r="R1767">
        <v>0</v>
      </c>
      <c r="S1767">
        <v>0</v>
      </c>
      <c r="T1767">
        <v>0</v>
      </c>
      <c r="U1767">
        <v>250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250</v>
      </c>
      <c r="AF1767">
        <v>146</v>
      </c>
      <c r="AJ1767">
        <v>0</v>
      </c>
      <c r="AK1767" t="str">
        <f t="shared" si="27"/>
        <v>KM003-5000</v>
      </c>
    </row>
    <row r="1768" spans="1:37">
      <c r="A1768" t="s">
        <v>3349</v>
      </c>
      <c r="B1768" t="s">
        <v>3350</v>
      </c>
      <c r="E1768">
        <v>43</v>
      </c>
      <c r="F1768">
        <v>10</v>
      </c>
      <c r="G1768">
        <v>0</v>
      </c>
      <c r="H1768">
        <v>56</v>
      </c>
      <c r="I1768">
        <v>28</v>
      </c>
      <c r="J1768">
        <v>30</v>
      </c>
      <c r="K1768">
        <v>2227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2227</v>
      </c>
      <c r="R1768">
        <v>0</v>
      </c>
      <c r="S1768">
        <v>0</v>
      </c>
      <c r="T1768">
        <v>167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89</v>
      </c>
      <c r="AD1768">
        <v>105</v>
      </c>
      <c r="AE1768">
        <v>361</v>
      </c>
      <c r="AF1768">
        <v>0</v>
      </c>
      <c r="AJ1768">
        <v>0</v>
      </c>
      <c r="AK1768" t="str">
        <f t="shared" si="27"/>
        <v>KM004-5000</v>
      </c>
    </row>
    <row r="1769" spans="1:37">
      <c r="A1769" t="s">
        <v>3351</v>
      </c>
      <c r="B1769" t="s">
        <v>3352</v>
      </c>
      <c r="E1769">
        <v>43</v>
      </c>
      <c r="F1769">
        <v>0</v>
      </c>
      <c r="G1769">
        <v>0</v>
      </c>
      <c r="H1769">
        <v>0</v>
      </c>
      <c r="I1769">
        <v>0</v>
      </c>
      <c r="J1769">
        <v>2</v>
      </c>
      <c r="K1769">
        <v>1850</v>
      </c>
      <c r="L1769">
        <v>15</v>
      </c>
      <c r="M1769">
        <v>0</v>
      </c>
      <c r="N1769">
        <v>0</v>
      </c>
      <c r="O1769">
        <v>0</v>
      </c>
      <c r="P1769">
        <v>0</v>
      </c>
      <c r="Q1769">
        <v>1850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22</v>
      </c>
      <c r="AB1769">
        <v>0</v>
      </c>
      <c r="AC1769">
        <v>0</v>
      </c>
      <c r="AD1769">
        <v>0</v>
      </c>
      <c r="AE1769">
        <v>22</v>
      </c>
      <c r="AF1769">
        <v>0</v>
      </c>
      <c r="AJ1769">
        <v>0</v>
      </c>
      <c r="AK1769" t="str">
        <f t="shared" si="27"/>
        <v>KM005-5000</v>
      </c>
    </row>
    <row r="1770" spans="1:37">
      <c r="A1770" t="s">
        <v>3353</v>
      </c>
      <c r="B1770" t="s">
        <v>3352</v>
      </c>
      <c r="E1770">
        <v>43</v>
      </c>
      <c r="F1770">
        <v>0</v>
      </c>
      <c r="G1770">
        <v>0</v>
      </c>
      <c r="H1770">
        <v>0</v>
      </c>
      <c r="I1770">
        <v>0</v>
      </c>
      <c r="J1770">
        <v>0</v>
      </c>
      <c r="K1770">
        <v>190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190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126</v>
      </c>
      <c r="AJ1770">
        <v>0</v>
      </c>
      <c r="AK1770" t="str">
        <f t="shared" si="27"/>
        <v>KM005-6200</v>
      </c>
    </row>
    <row r="1771" spans="1:37">
      <c r="A1771" t="s">
        <v>3354</v>
      </c>
      <c r="B1771" t="s">
        <v>3355</v>
      </c>
      <c r="E1771">
        <v>43</v>
      </c>
      <c r="F1771">
        <v>0</v>
      </c>
      <c r="G1771">
        <v>0</v>
      </c>
      <c r="H1771">
        <v>0</v>
      </c>
      <c r="I1771">
        <v>0</v>
      </c>
      <c r="J1771">
        <v>19</v>
      </c>
      <c r="K1771">
        <v>2300</v>
      </c>
      <c r="L1771">
        <v>11</v>
      </c>
      <c r="M1771">
        <v>0</v>
      </c>
      <c r="N1771">
        <v>0</v>
      </c>
      <c r="O1771">
        <v>0</v>
      </c>
      <c r="P1771">
        <v>0</v>
      </c>
      <c r="Q1771">
        <v>2300</v>
      </c>
      <c r="R1771">
        <v>0</v>
      </c>
      <c r="S1771">
        <v>0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104</v>
      </c>
      <c r="AD1771">
        <v>126</v>
      </c>
      <c r="AE1771">
        <v>230</v>
      </c>
      <c r="AF1771">
        <v>0</v>
      </c>
      <c r="AJ1771">
        <v>0</v>
      </c>
      <c r="AK1771" t="str">
        <f t="shared" si="27"/>
        <v>KM006-5000</v>
      </c>
    </row>
    <row r="1772" spans="1:37">
      <c r="A1772" t="s">
        <v>3356</v>
      </c>
      <c r="B1772" t="s">
        <v>3357</v>
      </c>
      <c r="E1772">
        <v>43</v>
      </c>
      <c r="F1772">
        <v>0</v>
      </c>
      <c r="G1772">
        <v>0</v>
      </c>
      <c r="H1772">
        <v>99</v>
      </c>
      <c r="I1772">
        <v>50</v>
      </c>
      <c r="J1772">
        <v>25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>
        <v>285</v>
      </c>
      <c r="T1772">
        <v>13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298</v>
      </c>
      <c r="AF1772">
        <v>5</v>
      </c>
      <c r="AJ1772">
        <v>0</v>
      </c>
      <c r="AK1772" t="str">
        <f t="shared" si="27"/>
        <v>KM018-5000</v>
      </c>
    </row>
    <row r="1773" spans="1:37">
      <c r="A1773" t="s">
        <v>3358</v>
      </c>
      <c r="B1773" t="s">
        <v>3359</v>
      </c>
      <c r="E1773">
        <v>43</v>
      </c>
      <c r="F1773">
        <v>0</v>
      </c>
      <c r="G1773">
        <v>0</v>
      </c>
      <c r="H1773">
        <v>94</v>
      </c>
      <c r="I1773">
        <v>47</v>
      </c>
      <c r="J1773">
        <v>24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>
        <v>260</v>
      </c>
      <c r="T1773">
        <v>20</v>
      </c>
      <c r="U1773">
        <v>3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283</v>
      </c>
      <c r="AF1773">
        <v>0</v>
      </c>
      <c r="AJ1773">
        <v>0</v>
      </c>
      <c r="AK1773" t="str">
        <f t="shared" si="27"/>
        <v>KM019-5000</v>
      </c>
    </row>
    <row r="1774" spans="1:37">
      <c r="A1774" t="s">
        <v>3360</v>
      </c>
      <c r="B1774" t="s">
        <v>3361</v>
      </c>
      <c r="E1774">
        <v>43</v>
      </c>
      <c r="F1774">
        <v>0</v>
      </c>
      <c r="G1774">
        <v>0</v>
      </c>
      <c r="H1774">
        <v>57</v>
      </c>
      <c r="I1774">
        <v>29</v>
      </c>
      <c r="J1774">
        <v>14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>
        <v>168</v>
      </c>
      <c r="T1774">
        <v>4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172</v>
      </c>
      <c r="AF1774">
        <v>0</v>
      </c>
      <c r="AJ1774">
        <v>0</v>
      </c>
      <c r="AK1774" t="str">
        <f t="shared" si="27"/>
        <v>KM020-5000</v>
      </c>
    </row>
    <row r="1775" spans="1:37">
      <c r="A1775" t="s">
        <v>3362</v>
      </c>
      <c r="B1775" t="s">
        <v>3363</v>
      </c>
      <c r="E1775">
        <v>43</v>
      </c>
      <c r="F1775">
        <v>0</v>
      </c>
      <c r="G1775">
        <v>0</v>
      </c>
      <c r="H1775">
        <v>101</v>
      </c>
      <c r="I1775">
        <v>51</v>
      </c>
      <c r="J1775">
        <v>25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296</v>
      </c>
      <c r="T1775">
        <v>7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303</v>
      </c>
      <c r="AF1775">
        <v>0</v>
      </c>
      <c r="AJ1775">
        <v>0</v>
      </c>
      <c r="AK1775" t="str">
        <f t="shared" si="27"/>
        <v>KM021-5000</v>
      </c>
    </row>
    <row r="1776" spans="1:37">
      <c r="A1776" t="s">
        <v>3364</v>
      </c>
      <c r="B1776" t="s">
        <v>3365</v>
      </c>
      <c r="E1776">
        <v>43</v>
      </c>
      <c r="F1776">
        <v>0</v>
      </c>
      <c r="G1776">
        <v>0</v>
      </c>
      <c r="H1776">
        <v>96</v>
      </c>
      <c r="I1776">
        <v>48</v>
      </c>
      <c r="J1776">
        <v>26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>
        <v>284</v>
      </c>
      <c r="T1776">
        <v>4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11</v>
      </c>
      <c r="AB1776">
        <v>10</v>
      </c>
      <c r="AC1776">
        <v>0</v>
      </c>
      <c r="AD1776">
        <v>0</v>
      </c>
      <c r="AE1776">
        <v>309</v>
      </c>
      <c r="AF1776">
        <v>0</v>
      </c>
      <c r="AJ1776">
        <v>0</v>
      </c>
      <c r="AK1776" t="str">
        <f t="shared" si="27"/>
        <v>KM022-5000</v>
      </c>
    </row>
    <row r="1777" spans="1:37">
      <c r="A1777" t="s">
        <v>3366</v>
      </c>
      <c r="B1777" t="s">
        <v>3367</v>
      </c>
      <c r="E1777">
        <v>43</v>
      </c>
      <c r="F1777">
        <v>0</v>
      </c>
      <c r="G1777">
        <v>0</v>
      </c>
      <c r="H1777">
        <v>98</v>
      </c>
      <c r="I1777">
        <v>49</v>
      </c>
      <c r="J1777">
        <v>24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>
        <v>286</v>
      </c>
      <c r="T1777">
        <v>7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293</v>
      </c>
      <c r="AF1777">
        <v>0</v>
      </c>
      <c r="AJ1777">
        <v>0</v>
      </c>
      <c r="AK1777" t="str">
        <f t="shared" si="27"/>
        <v>KM023-5000</v>
      </c>
    </row>
    <row r="1778" spans="1:37">
      <c r="A1778" t="s">
        <v>3368</v>
      </c>
      <c r="B1778" t="s">
        <v>3369</v>
      </c>
      <c r="E1778">
        <v>43</v>
      </c>
      <c r="F1778">
        <v>0</v>
      </c>
      <c r="G1778">
        <v>0</v>
      </c>
      <c r="H1778">
        <v>108</v>
      </c>
      <c r="I1778">
        <v>54</v>
      </c>
      <c r="J1778">
        <v>27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>
        <v>318</v>
      </c>
      <c r="T1778">
        <v>5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323</v>
      </c>
      <c r="AF1778">
        <v>0</v>
      </c>
      <c r="AJ1778">
        <v>0</v>
      </c>
      <c r="AK1778" t="str">
        <f t="shared" si="27"/>
        <v>KM024-5000</v>
      </c>
    </row>
    <row r="1779" spans="1:37">
      <c r="A1779" t="s">
        <v>3370</v>
      </c>
      <c r="B1779" t="s">
        <v>3371</v>
      </c>
      <c r="E1779">
        <v>43</v>
      </c>
      <c r="F1779">
        <v>0</v>
      </c>
      <c r="G1779">
        <v>0</v>
      </c>
      <c r="H1779">
        <v>99</v>
      </c>
      <c r="I1779">
        <v>50</v>
      </c>
      <c r="J1779">
        <v>25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>
        <v>290</v>
      </c>
      <c r="T1779">
        <v>8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298</v>
      </c>
      <c r="AF1779">
        <v>0</v>
      </c>
      <c r="AJ1779">
        <v>0</v>
      </c>
      <c r="AK1779" t="str">
        <f t="shared" si="27"/>
        <v>KM025-5000</v>
      </c>
    </row>
    <row r="1780" spans="1:37">
      <c r="A1780" t="s">
        <v>3372</v>
      </c>
      <c r="B1780" t="s">
        <v>3373</v>
      </c>
      <c r="E1780">
        <v>43</v>
      </c>
      <c r="F1780">
        <v>0</v>
      </c>
      <c r="G1780">
        <v>0</v>
      </c>
      <c r="H1780">
        <v>96</v>
      </c>
      <c r="I1780">
        <v>49</v>
      </c>
      <c r="J1780">
        <v>24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>
        <v>280</v>
      </c>
      <c r="T1780">
        <v>7</v>
      </c>
      <c r="U1780">
        <v>0</v>
      </c>
      <c r="V1780">
        <v>0</v>
      </c>
      <c r="W1780">
        <v>4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291</v>
      </c>
      <c r="AF1780">
        <v>21</v>
      </c>
      <c r="AJ1780">
        <v>0</v>
      </c>
      <c r="AK1780" t="str">
        <f t="shared" si="27"/>
        <v>KM026-5000</v>
      </c>
    </row>
    <row r="1781" spans="1:37">
      <c r="A1781" t="s">
        <v>3374</v>
      </c>
      <c r="B1781" t="s">
        <v>3375</v>
      </c>
      <c r="E1781">
        <v>62</v>
      </c>
      <c r="F1781">
        <v>0</v>
      </c>
      <c r="G1781">
        <v>0</v>
      </c>
      <c r="H1781">
        <v>0</v>
      </c>
      <c r="I1781">
        <v>35</v>
      </c>
      <c r="J1781">
        <v>42</v>
      </c>
      <c r="K1781">
        <v>858</v>
      </c>
      <c r="L1781">
        <v>90</v>
      </c>
      <c r="M1781">
        <v>0</v>
      </c>
      <c r="N1781">
        <v>0</v>
      </c>
      <c r="O1781">
        <v>0</v>
      </c>
      <c r="P1781">
        <v>0</v>
      </c>
      <c r="Q1781">
        <v>858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210</v>
      </c>
      <c r="Y1781">
        <v>0</v>
      </c>
      <c r="Z1781">
        <v>252</v>
      </c>
      <c r="AA1781">
        <v>0</v>
      </c>
      <c r="AB1781">
        <v>36</v>
      </c>
      <c r="AC1781">
        <v>0</v>
      </c>
      <c r="AD1781">
        <v>0</v>
      </c>
      <c r="AE1781">
        <v>498</v>
      </c>
      <c r="AF1781">
        <v>0</v>
      </c>
      <c r="AJ1781">
        <v>0</v>
      </c>
      <c r="AK1781" t="str">
        <f t="shared" si="27"/>
        <v>KM031-5000</v>
      </c>
    </row>
    <row r="1782" spans="1:37">
      <c r="A1782" t="s">
        <v>3376</v>
      </c>
      <c r="B1782" t="s">
        <v>3377</v>
      </c>
      <c r="C1782" t="s">
        <v>110</v>
      </c>
      <c r="D1782" t="s">
        <v>3378</v>
      </c>
      <c r="E1782">
        <v>43</v>
      </c>
      <c r="F1782">
        <v>20.2</v>
      </c>
      <c r="G1782">
        <v>0</v>
      </c>
      <c r="H1782">
        <v>3</v>
      </c>
      <c r="I1782">
        <v>28</v>
      </c>
      <c r="J1782">
        <v>14</v>
      </c>
      <c r="K1782">
        <v>269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269</v>
      </c>
      <c r="R1782">
        <v>0</v>
      </c>
      <c r="S1782">
        <v>0</v>
      </c>
      <c r="T1782">
        <v>0</v>
      </c>
      <c r="U1782">
        <v>10</v>
      </c>
      <c r="V1782">
        <v>156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166</v>
      </c>
      <c r="AF1782">
        <v>0</v>
      </c>
      <c r="AJ1782">
        <v>0</v>
      </c>
      <c r="AK1782" t="str">
        <f t="shared" si="27"/>
        <v>KM039-6200</v>
      </c>
    </row>
    <row r="1783" spans="1:37">
      <c r="A1783" t="s">
        <v>3379</v>
      </c>
      <c r="B1783" t="s">
        <v>3380</v>
      </c>
      <c r="C1783" t="s">
        <v>3381</v>
      </c>
      <c r="E1783">
        <v>43</v>
      </c>
      <c r="F1783">
        <v>0</v>
      </c>
      <c r="G1783">
        <v>0</v>
      </c>
      <c r="H1783">
        <v>0</v>
      </c>
      <c r="I1783">
        <v>23</v>
      </c>
      <c r="J1783">
        <v>11</v>
      </c>
      <c r="K1783">
        <v>199</v>
      </c>
      <c r="L1783">
        <v>4</v>
      </c>
      <c r="M1783">
        <v>0</v>
      </c>
      <c r="N1783">
        <v>0</v>
      </c>
      <c r="O1783">
        <v>0</v>
      </c>
      <c r="P1783">
        <v>0</v>
      </c>
      <c r="Q1783">
        <v>199</v>
      </c>
      <c r="R1783">
        <v>0</v>
      </c>
      <c r="S1783">
        <v>0</v>
      </c>
      <c r="T1783">
        <v>0</v>
      </c>
      <c r="U1783">
        <v>0</v>
      </c>
      <c r="V1783">
        <v>135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135</v>
      </c>
      <c r="AF1783">
        <v>0</v>
      </c>
      <c r="AJ1783">
        <v>0</v>
      </c>
      <c r="AK1783" t="str">
        <f t="shared" si="27"/>
        <v>KM040-6200</v>
      </c>
    </row>
    <row r="1784" spans="1:37">
      <c r="A1784" t="s">
        <v>3382</v>
      </c>
      <c r="B1784" t="s">
        <v>1108</v>
      </c>
      <c r="E1784">
        <v>50</v>
      </c>
      <c r="F1784">
        <v>17.3</v>
      </c>
      <c r="G1784">
        <v>42</v>
      </c>
      <c r="H1784">
        <v>24</v>
      </c>
      <c r="I1784">
        <v>30</v>
      </c>
      <c r="J1784">
        <v>15</v>
      </c>
      <c r="K1784">
        <v>1692</v>
      </c>
      <c r="L1784">
        <v>7</v>
      </c>
      <c r="M1784">
        <v>0</v>
      </c>
      <c r="N1784">
        <v>35</v>
      </c>
      <c r="O1784">
        <v>0</v>
      </c>
      <c r="P1784">
        <v>0</v>
      </c>
      <c r="Q1784">
        <v>1657</v>
      </c>
      <c r="R1784">
        <v>0</v>
      </c>
      <c r="S1784">
        <v>42</v>
      </c>
      <c r="T1784">
        <v>0</v>
      </c>
      <c r="U1784">
        <v>30</v>
      </c>
      <c r="V1784">
        <v>0</v>
      </c>
      <c r="W1784">
        <v>105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177</v>
      </c>
      <c r="AF1784">
        <v>0</v>
      </c>
      <c r="AJ1784">
        <v>0</v>
      </c>
      <c r="AK1784" t="str">
        <f t="shared" si="27"/>
        <v>KM041-5000</v>
      </c>
    </row>
    <row r="1785" spans="1:37">
      <c r="A1785" t="s">
        <v>3383</v>
      </c>
      <c r="B1785" t="s">
        <v>3384</v>
      </c>
      <c r="C1785" t="s">
        <v>1126</v>
      </c>
      <c r="E1785">
        <v>50</v>
      </c>
      <c r="F1785">
        <v>0</v>
      </c>
      <c r="G1785">
        <v>0</v>
      </c>
      <c r="H1785">
        <v>0</v>
      </c>
      <c r="I1785">
        <v>0</v>
      </c>
      <c r="J1785">
        <v>5</v>
      </c>
      <c r="K1785">
        <v>120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120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61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61</v>
      </c>
      <c r="AF1785">
        <v>0</v>
      </c>
      <c r="AJ1785">
        <v>0</v>
      </c>
      <c r="AK1785" t="str">
        <f t="shared" si="27"/>
        <v>KM070-5000</v>
      </c>
    </row>
    <row r="1786" spans="1:37">
      <c r="A1786" t="s">
        <v>3385</v>
      </c>
      <c r="B1786" t="s">
        <v>3386</v>
      </c>
      <c r="D1786" t="s">
        <v>3387</v>
      </c>
      <c r="E1786">
        <v>50</v>
      </c>
      <c r="F1786">
        <v>0</v>
      </c>
      <c r="G1786">
        <v>0</v>
      </c>
      <c r="H1786">
        <v>0</v>
      </c>
      <c r="I1786">
        <v>50</v>
      </c>
      <c r="J1786">
        <v>45</v>
      </c>
      <c r="K1786">
        <v>534</v>
      </c>
      <c r="L1786">
        <v>35</v>
      </c>
      <c r="M1786">
        <v>0</v>
      </c>
      <c r="N1786">
        <v>0</v>
      </c>
      <c r="O1786">
        <v>0</v>
      </c>
      <c r="P1786">
        <v>0</v>
      </c>
      <c r="Q1786">
        <v>534</v>
      </c>
      <c r="R1786">
        <v>0</v>
      </c>
      <c r="S1786">
        <v>0</v>
      </c>
      <c r="T1786">
        <v>0</v>
      </c>
      <c r="U1786">
        <v>0</v>
      </c>
      <c r="V1786">
        <v>0</v>
      </c>
      <c r="W1786">
        <v>299</v>
      </c>
      <c r="X1786">
        <v>0</v>
      </c>
      <c r="Y1786">
        <v>245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544</v>
      </c>
      <c r="AF1786">
        <v>0</v>
      </c>
      <c r="AJ1786">
        <v>0</v>
      </c>
      <c r="AK1786" t="str">
        <f t="shared" si="27"/>
        <v>PDN03-5000</v>
      </c>
    </row>
    <row r="1787" spans="1:37">
      <c r="A1787" t="s">
        <v>3388</v>
      </c>
      <c r="B1787" t="s">
        <v>3389</v>
      </c>
      <c r="E1787">
        <v>43</v>
      </c>
      <c r="F1787">
        <v>0</v>
      </c>
      <c r="G1787">
        <v>0</v>
      </c>
      <c r="H1787">
        <v>0</v>
      </c>
      <c r="I1787">
        <v>0</v>
      </c>
      <c r="J1787">
        <v>5</v>
      </c>
      <c r="K1787">
        <v>717</v>
      </c>
      <c r="L1787">
        <v>8</v>
      </c>
      <c r="M1787">
        <v>0</v>
      </c>
      <c r="N1787">
        <v>0</v>
      </c>
      <c r="O1787">
        <v>0</v>
      </c>
      <c r="P1787">
        <v>0</v>
      </c>
      <c r="Q1787">
        <v>717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12</v>
      </c>
      <c r="Z1787">
        <v>47</v>
      </c>
      <c r="AA1787">
        <v>0</v>
      </c>
      <c r="AB1787">
        <v>0</v>
      </c>
      <c r="AC1787">
        <v>0</v>
      </c>
      <c r="AD1787">
        <v>0</v>
      </c>
      <c r="AE1787">
        <v>59</v>
      </c>
      <c r="AF1787">
        <v>33</v>
      </c>
      <c r="AJ1787">
        <v>0</v>
      </c>
      <c r="AK1787" t="str">
        <f t="shared" si="27"/>
        <v>QW120-5000</v>
      </c>
    </row>
    <row r="1788" spans="1:37">
      <c r="A1788" t="s">
        <v>3390</v>
      </c>
      <c r="B1788" t="s">
        <v>3389</v>
      </c>
      <c r="E1788">
        <v>43</v>
      </c>
      <c r="F1788">
        <v>0</v>
      </c>
      <c r="G1788">
        <v>0</v>
      </c>
      <c r="H1788">
        <v>0</v>
      </c>
      <c r="I1788">
        <v>0</v>
      </c>
      <c r="J1788">
        <v>0</v>
      </c>
      <c r="K1788">
        <v>2240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2240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20</v>
      </c>
      <c r="AJ1788">
        <v>0</v>
      </c>
      <c r="AK1788" t="str">
        <f t="shared" si="27"/>
        <v>QW120-6200</v>
      </c>
    </row>
    <row r="1789" spans="1:37">
      <c r="A1789" t="s">
        <v>3391</v>
      </c>
      <c r="B1789" t="s">
        <v>3392</v>
      </c>
      <c r="C1789" t="s">
        <v>68</v>
      </c>
      <c r="D1789" t="s">
        <v>3393</v>
      </c>
      <c r="E1789">
        <v>92</v>
      </c>
      <c r="F1789">
        <v>1.1000000000000001</v>
      </c>
      <c r="G1789">
        <v>74</v>
      </c>
      <c r="H1789">
        <v>60</v>
      </c>
      <c r="I1789">
        <v>40</v>
      </c>
      <c r="J1789">
        <v>65</v>
      </c>
      <c r="K1789">
        <v>314</v>
      </c>
      <c r="L1789">
        <v>53</v>
      </c>
      <c r="M1789">
        <v>0</v>
      </c>
      <c r="N1789">
        <v>61</v>
      </c>
      <c r="O1789">
        <v>0</v>
      </c>
      <c r="P1789">
        <v>0</v>
      </c>
      <c r="Q1789">
        <v>253</v>
      </c>
      <c r="R1789">
        <v>0</v>
      </c>
      <c r="S1789">
        <v>0</v>
      </c>
      <c r="T1789">
        <v>0</v>
      </c>
      <c r="U1789">
        <v>180</v>
      </c>
      <c r="V1789">
        <v>62</v>
      </c>
      <c r="W1789">
        <v>0</v>
      </c>
      <c r="X1789">
        <v>0</v>
      </c>
      <c r="Y1789">
        <v>199</v>
      </c>
      <c r="Z1789">
        <v>129</v>
      </c>
      <c r="AA1789">
        <v>0</v>
      </c>
      <c r="AB1789">
        <v>147</v>
      </c>
      <c r="AC1789">
        <v>0</v>
      </c>
      <c r="AD1789">
        <v>59</v>
      </c>
      <c r="AE1789">
        <v>776</v>
      </c>
      <c r="AF1789">
        <v>0</v>
      </c>
      <c r="AJ1789">
        <v>0</v>
      </c>
      <c r="AK1789" t="str">
        <f t="shared" si="27"/>
        <v>S9043-6200</v>
      </c>
    </row>
    <row r="1790" spans="1:37">
      <c r="A1790" t="s">
        <v>3394</v>
      </c>
      <c r="B1790" t="s">
        <v>3395</v>
      </c>
      <c r="C1790" t="s">
        <v>68</v>
      </c>
      <c r="D1790" t="s">
        <v>3396</v>
      </c>
      <c r="E1790">
        <v>65</v>
      </c>
      <c r="F1790">
        <v>6.6</v>
      </c>
      <c r="G1790">
        <v>26</v>
      </c>
      <c r="H1790">
        <v>196</v>
      </c>
      <c r="I1790">
        <v>110</v>
      </c>
      <c r="J1790">
        <v>86</v>
      </c>
      <c r="K1790">
        <v>5237</v>
      </c>
      <c r="L1790">
        <v>215</v>
      </c>
      <c r="M1790">
        <v>0</v>
      </c>
      <c r="N1790">
        <v>22</v>
      </c>
      <c r="O1790">
        <v>0</v>
      </c>
      <c r="P1790">
        <v>0</v>
      </c>
      <c r="Q1790">
        <v>5215</v>
      </c>
      <c r="R1790">
        <v>0</v>
      </c>
      <c r="S1790">
        <v>440</v>
      </c>
      <c r="T1790">
        <v>0</v>
      </c>
      <c r="U1790">
        <v>149</v>
      </c>
      <c r="V1790">
        <v>70</v>
      </c>
      <c r="W1790">
        <v>0</v>
      </c>
      <c r="X1790">
        <v>0</v>
      </c>
      <c r="Y1790">
        <v>0</v>
      </c>
      <c r="Z1790">
        <v>49</v>
      </c>
      <c r="AA1790">
        <v>31</v>
      </c>
      <c r="AB1790">
        <v>287</v>
      </c>
      <c r="AC1790">
        <v>0</v>
      </c>
      <c r="AD1790">
        <v>0</v>
      </c>
      <c r="AE1790">
        <v>1026</v>
      </c>
      <c r="AF1790">
        <v>495</v>
      </c>
      <c r="AJ1790">
        <v>0</v>
      </c>
      <c r="AK1790" t="str">
        <f t="shared" si="27"/>
        <v>S9177-5000</v>
      </c>
    </row>
    <row r="1791" spans="1:37">
      <c r="A1791" t="s">
        <v>3397</v>
      </c>
      <c r="B1791" t="s">
        <v>3398</v>
      </c>
      <c r="E1791">
        <v>65</v>
      </c>
      <c r="F1791">
        <v>0</v>
      </c>
      <c r="G1791">
        <v>0</v>
      </c>
      <c r="H1791">
        <v>0</v>
      </c>
      <c r="I1791">
        <v>0</v>
      </c>
      <c r="J1791">
        <v>0</v>
      </c>
      <c r="K1791">
        <v>3519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3519</v>
      </c>
      <c r="R1791">
        <v>0</v>
      </c>
      <c r="S1791">
        <v>0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J1791">
        <v>0</v>
      </c>
      <c r="AK1791" t="str">
        <f t="shared" si="27"/>
        <v>SB028-5000</v>
      </c>
    </row>
    <row r="1792" spans="1:37">
      <c r="A1792" t="s">
        <v>3399</v>
      </c>
      <c r="B1792" t="s">
        <v>3400</v>
      </c>
      <c r="D1792" t="s">
        <v>3401</v>
      </c>
      <c r="E1792">
        <v>65</v>
      </c>
      <c r="F1792">
        <v>4.3</v>
      </c>
      <c r="G1792">
        <v>52</v>
      </c>
      <c r="H1792">
        <v>39</v>
      </c>
      <c r="I1792">
        <v>19</v>
      </c>
      <c r="J1792">
        <v>14</v>
      </c>
      <c r="K1792">
        <v>715</v>
      </c>
      <c r="L1792">
        <v>5</v>
      </c>
      <c r="M1792">
        <v>0</v>
      </c>
      <c r="N1792">
        <v>43</v>
      </c>
      <c r="O1792">
        <v>0</v>
      </c>
      <c r="P1792">
        <v>0</v>
      </c>
      <c r="Q1792">
        <v>672</v>
      </c>
      <c r="R1792">
        <v>0</v>
      </c>
      <c r="S1792">
        <v>116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55</v>
      </c>
      <c r="AB1792">
        <v>0</v>
      </c>
      <c r="AC1792">
        <v>0</v>
      </c>
      <c r="AD1792">
        <v>0</v>
      </c>
      <c r="AE1792">
        <v>171</v>
      </c>
      <c r="AF1792">
        <v>89</v>
      </c>
      <c r="AJ1792">
        <v>0</v>
      </c>
      <c r="AK1792" t="str">
        <f t="shared" si="27"/>
        <v>SG212-5000</v>
      </c>
    </row>
    <row r="1793" spans="1:37">
      <c r="A1793" t="s">
        <v>3402</v>
      </c>
      <c r="B1793" t="s">
        <v>3400</v>
      </c>
      <c r="D1793" t="s">
        <v>3401</v>
      </c>
      <c r="E1793">
        <v>65</v>
      </c>
      <c r="F1793">
        <v>27.1</v>
      </c>
      <c r="G1793">
        <v>0</v>
      </c>
      <c r="H1793">
        <v>14</v>
      </c>
      <c r="I1793">
        <v>7</v>
      </c>
      <c r="J1793">
        <v>10</v>
      </c>
      <c r="K1793">
        <v>1520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1520</v>
      </c>
      <c r="R1793">
        <v>0</v>
      </c>
      <c r="S1793">
        <v>0</v>
      </c>
      <c r="T1793">
        <v>42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83</v>
      </c>
      <c r="AB1793">
        <v>0</v>
      </c>
      <c r="AC1793">
        <v>0</v>
      </c>
      <c r="AD1793">
        <v>0</v>
      </c>
      <c r="AE1793">
        <v>125</v>
      </c>
      <c r="AF1793">
        <v>74</v>
      </c>
      <c r="AJ1793">
        <v>0</v>
      </c>
      <c r="AK1793" t="str">
        <f t="shared" si="27"/>
        <v>SG212-6200</v>
      </c>
    </row>
    <row r="1794" spans="1:37">
      <c r="A1794" t="s">
        <v>3403</v>
      </c>
      <c r="B1794" t="s">
        <v>3404</v>
      </c>
      <c r="D1794" t="s">
        <v>3401</v>
      </c>
      <c r="E1794">
        <v>65</v>
      </c>
      <c r="F1794">
        <v>0</v>
      </c>
      <c r="G1794">
        <v>0</v>
      </c>
      <c r="H1794">
        <v>0</v>
      </c>
      <c r="I1794">
        <v>9</v>
      </c>
      <c r="J1794">
        <v>4</v>
      </c>
      <c r="K1794">
        <v>881</v>
      </c>
      <c r="L1794">
        <v>12</v>
      </c>
      <c r="M1794">
        <v>0</v>
      </c>
      <c r="N1794">
        <v>0</v>
      </c>
      <c r="O1794">
        <v>0</v>
      </c>
      <c r="P1794">
        <v>0</v>
      </c>
      <c r="Q1794">
        <v>881</v>
      </c>
      <c r="R1794">
        <v>0</v>
      </c>
      <c r="S1794">
        <v>0</v>
      </c>
      <c r="T1794">
        <v>0</v>
      </c>
      <c r="U1794">
        <v>0</v>
      </c>
      <c r="V1794">
        <v>0</v>
      </c>
      <c r="W1794">
        <v>0</v>
      </c>
      <c r="X1794">
        <v>53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53</v>
      </c>
      <c r="AF1794">
        <v>63</v>
      </c>
      <c r="AJ1794">
        <v>0</v>
      </c>
      <c r="AK1794" t="str">
        <f t="shared" si="27"/>
        <v>SG215-5000</v>
      </c>
    </row>
    <row r="1795" spans="1:37">
      <c r="A1795" t="s">
        <v>3405</v>
      </c>
      <c r="B1795" t="s">
        <v>3404</v>
      </c>
      <c r="D1795" t="s">
        <v>3401</v>
      </c>
      <c r="E1795">
        <v>65</v>
      </c>
      <c r="F1795">
        <v>0</v>
      </c>
      <c r="G1795">
        <v>0</v>
      </c>
      <c r="H1795">
        <v>0</v>
      </c>
      <c r="I1795">
        <v>0</v>
      </c>
      <c r="J1795">
        <v>0</v>
      </c>
      <c r="K1795">
        <v>1247</v>
      </c>
      <c r="L1795">
        <v>11</v>
      </c>
      <c r="M1795">
        <v>0</v>
      </c>
      <c r="N1795">
        <v>0</v>
      </c>
      <c r="O1795">
        <v>0</v>
      </c>
      <c r="P1795">
        <v>0</v>
      </c>
      <c r="Q1795">
        <v>1247</v>
      </c>
      <c r="R1795">
        <v>0</v>
      </c>
      <c r="S1795">
        <v>0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120</v>
      </c>
      <c r="AJ1795">
        <v>0</v>
      </c>
      <c r="AK1795" t="str">
        <f t="shared" si="27"/>
        <v>SG215-6200</v>
      </c>
    </row>
    <row r="1796" spans="1:37">
      <c r="A1796" t="s">
        <v>5307</v>
      </c>
      <c r="B1796" t="s">
        <v>1506</v>
      </c>
      <c r="E1796">
        <v>65</v>
      </c>
      <c r="F1796">
        <v>0</v>
      </c>
      <c r="G1796">
        <v>0</v>
      </c>
      <c r="H1796">
        <v>0</v>
      </c>
      <c r="I1796">
        <v>0</v>
      </c>
      <c r="J1796">
        <v>0</v>
      </c>
      <c r="K1796">
        <v>1281</v>
      </c>
      <c r="L1796">
        <v>200</v>
      </c>
      <c r="M1796">
        <v>0</v>
      </c>
      <c r="N1796">
        <v>0</v>
      </c>
      <c r="O1796">
        <v>0</v>
      </c>
      <c r="P1796">
        <v>0</v>
      </c>
      <c r="Q1796">
        <v>1281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J1796">
        <v>0</v>
      </c>
      <c r="AK1796" t="str">
        <f t="shared" si="27"/>
        <v>ST628-5000</v>
      </c>
    </row>
    <row r="1797" spans="1:37">
      <c r="A1797" t="s">
        <v>3407</v>
      </c>
      <c r="B1797" t="s">
        <v>3408</v>
      </c>
      <c r="E1797">
        <v>62</v>
      </c>
      <c r="F1797">
        <v>0</v>
      </c>
      <c r="G1797">
        <v>0</v>
      </c>
      <c r="H1797">
        <v>0</v>
      </c>
      <c r="I1797">
        <v>0</v>
      </c>
      <c r="J1797">
        <v>0</v>
      </c>
      <c r="K1797">
        <v>440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440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J1797">
        <v>0</v>
      </c>
      <c r="AK1797" t="str">
        <f t="shared" ref="AK1797:AK1836" si="28">MID(A1797,4,10)</f>
        <v>SW780-5000</v>
      </c>
    </row>
    <row r="1798" spans="1:37">
      <c r="A1798" t="s">
        <v>3409</v>
      </c>
      <c r="B1798" t="s">
        <v>3408</v>
      </c>
      <c r="E1798">
        <v>62</v>
      </c>
      <c r="F1798">
        <v>0</v>
      </c>
      <c r="G1798">
        <v>0</v>
      </c>
      <c r="H1798">
        <v>0</v>
      </c>
      <c r="I1798">
        <v>0</v>
      </c>
      <c r="J1798">
        <v>0</v>
      </c>
      <c r="K1798">
        <v>51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51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J1798">
        <v>0</v>
      </c>
      <c r="AK1798" t="str">
        <f t="shared" si="28"/>
        <v>SW780-6200</v>
      </c>
    </row>
    <row r="1799" spans="1:37">
      <c r="A1799" t="s">
        <v>3410</v>
      </c>
      <c r="B1799" t="s">
        <v>3411</v>
      </c>
      <c r="C1799" t="s">
        <v>329</v>
      </c>
      <c r="D1799" t="s">
        <v>3412</v>
      </c>
      <c r="E1799">
        <v>50</v>
      </c>
      <c r="F1799">
        <v>0</v>
      </c>
      <c r="G1799">
        <v>0</v>
      </c>
      <c r="H1799">
        <v>0</v>
      </c>
      <c r="I1799">
        <v>0</v>
      </c>
      <c r="J1799">
        <v>0</v>
      </c>
      <c r="K1799">
        <v>952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952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J1799">
        <v>0</v>
      </c>
      <c r="AK1799" t="str">
        <f t="shared" si="28"/>
        <v>W5514-6200</v>
      </c>
    </row>
    <row r="1800" spans="1:37">
      <c r="A1800" t="s">
        <v>3413</v>
      </c>
      <c r="B1800" t="s">
        <v>3414</v>
      </c>
      <c r="C1800" t="s">
        <v>329</v>
      </c>
      <c r="D1800" t="s">
        <v>3415</v>
      </c>
      <c r="E1800">
        <v>50</v>
      </c>
      <c r="F1800">
        <v>0</v>
      </c>
      <c r="G1800">
        <v>0</v>
      </c>
      <c r="H1800">
        <v>0</v>
      </c>
      <c r="I1800">
        <v>0</v>
      </c>
      <c r="J1800">
        <v>0</v>
      </c>
      <c r="K1800">
        <v>718</v>
      </c>
      <c r="L1800">
        <v>0</v>
      </c>
      <c r="M1800">
        <v>0</v>
      </c>
      <c r="N1800">
        <v>0</v>
      </c>
      <c r="O1800">
        <v>0</v>
      </c>
      <c r="P1800">
        <v>0</v>
      </c>
      <c r="Q1800">
        <v>718</v>
      </c>
      <c r="R1800">
        <v>0</v>
      </c>
      <c r="S1800">
        <v>0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25</v>
      </c>
      <c r="AJ1800">
        <v>0</v>
      </c>
      <c r="AK1800" t="str">
        <f t="shared" si="28"/>
        <v>W7178-6200</v>
      </c>
    </row>
    <row r="1801" spans="1:37">
      <c r="A1801" t="s">
        <v>3416</v>
      </c>
      <c r="B1801" t="s">
        <v>3417</v>
      </c>
      <c r="C1801" t="s">
        <v>110</v>
      </c>
      <c r="D1801" t="s">
        <v>3418</v>
      </c>
      <c r="E1801">
        <v>50</v>
      </c>
      <c r="F1801">
        <v>0.9</v>
      </c>
      <c r="G1801">
        <v>7</v>
      </c>
      <c r="H1801">
        <v>17</v>
      </c>
      <c r="I1801">
        <v>23</v>
      </c>
      <c r="J1801">
        <v>16</v>
      </c>
      <c r="K1801">
        <v>68</v>
      </c>
      <c r="L1801">
        <v>14</v>
      </c>
      <c r="M1801">
        <v>0</v>
      </c>
      <c r="N1801">
        <v>6</v>
      </c>
      <c r="O1801">
        <v>0</v>
      </c>
      <c r="P1801">
        <v>0</v>
      </c>
      <c r="Q1801">
        <v>62</v>
      </c>
      <c r="R1801">
        <v>0</v>
      </c>
      <c r="S1801">
        <v>50</v>
      </c>
      <c r="T1801">
        <v>0</v>
      </c>
      <c r="U1801">
        <v>0</v>
      </c>
      <c r="V1801">
        <v>68</v>
      </c>
      <c r="W1801">
        <v>19</v>
      </c>
      <c r="X1801">
        <v>0</v>
      </c>
      <c r="Y1801">
        <v>13</v>
      </c>
      <c r="Z1801">
        <v>0</v>
      </c>
      <c r="AA1801">
        <v>0</v>
      </c>
      <c r="AB1801">
        <v>38</v>
      </c>
      <c r="AC1801">
        <v>0</v>
      </c>
      <c r="AD1801">
        <v>0</v>
      </c>
      <c r="AE1801">
        <v>188</v>
      </c>
      <c r="AF1801">
        <v>175</v>
      </c>
      <c r="AJ1801">
        <v>0</v>
      </c>
      <c r="AK1801" t="str">
        <f t="shared" si="28"/>
        <v>W8374-6200</v>
      </c>
    </row>
    <row r="1802" spans="1:37">
      <c r="A1802" t="s">
        <v>3424</v>
      </c>
      <c r="B1802" t="s">
        <v>3425</v>
      </c>
      <c r="C1802" t="s">
        <v>110</v>
      </c>
      <c r="D1802" t="s">
        <v>3426</v>
      </c>
      <c r="E1802">
        <v>42</v>
      </c>
      <c r="F1802">
        <v>0</v>
      </c>
      <c r="G1802">
        <v>0</v>
      </c>
      <c r="H1802">
        <v>0</v>
      </c>
      <c r="I1802">
        <v>0</v>
      </c>
      <c r="J1802">
        <v>0</v>
      </c>
      <c r="K1802">
        <v>1547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1547</v>
      </c>
      <c r="R1802">
        <v>0</v>
      </c>
      <c r="S1802">
        <v>0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J1802">
        <v>0</v>
      </c>
      <c r="AK1802" t="str">
        <f t="shared" si="28"/>
        <v>WF009-3700</v>
      </c>
    </row>
    <row r="1803" spans="1:37">
      <c r="A1803" t="s">
        <v>3430</v>
      </c>
      <c r="B1803" t="s">
        <v>3431</v>
      </c>
      <c r="E1803">
        <v>50</v>
      </c>
      <c r="F1803">
        <v>0</v>
      </c>
      <c r="G1803">
        <v>0</v>
      </c>
      <c r="H1803">
        <v>0</v>
      </c>
      <c r="I1803">
        <v>0</v>
      </c>
      <c r="J1803">
        <v>0</v>
      </c>
      <c r="K1803">
        <v>1527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1527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J1803">
        <v>1E-3</v>
      </c>
      <c r="AK1803" t="str">
        <f t="shared" si="28"/>
        <v>WM225-6200</v>
      </c>
    </row>
    <row r="1804" spans="1:37">
      <c r="A1804" t="s">
        <v>3432</v>
      </c>
      <c r="B1804" t="s">
        <v>3433</v>
      </c>
      <c r="D1804" t="s">
        <v>1956</v>
      </c>
      <c r="E1804">
        <v>43</v>
      </c>
      <c r="F1804">
        <v>0</v>
      </c>
      <c r="G1804">
        <v>0</v>
      </c>
      <c r="H1804">
        <v>0</v>
      </c>
      <c r="I1804">
        <v>0</v>
      </c>
      <c r="J1804">
        <v>0</v>
      </c>
      <c r="K1804">
        <v>490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490</v>
      </c>
      <c r="R1804">
        <v>0</v>
      </c>
      <c r="S1804">
        <v>0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J1804">
        <v>0</v>
      </c>
      <c r="AK1804" t="str">
        <f t="shared" si="28"/>
        <v>WM228-5000</v>
      </c>
    </row>
    <row r="1805" spans="1:37">
      <c r="A1805" t="s">
        <v>3435</v>
      </c>
      <c r="B1805" t="s">
        <v>3436</v>
      </c>
      <c r="C1805" t="s">
        <v>329</v>
      </c>
      <c r="E1805">
        <v>65</v>
      </c>
      <c r="F1805">
        <v>7.6</v>
      </c>
      <c r="G1805">
        <v>1</v>
      </c>
      <c r="H1805">
        <v>19</v>
      </c>
      <c r="I1805">
        <v>10</v>
      </c>
      <c r="J1805">
        <v>8</v>
      </c>
      <c r="K1805">
        <v>575</v>
      </c>
      <c r="L1805">
        <v>6</v>
      </c>
      <c r="M1805">
        <v>0</v>
      </c>
      <c r="N1805">
        <v>1</v>
      </c>
      <c r="O1805">
        <v>0</v>
      </c>
      <c r="P1805">
        <v>0</v>
      </c>
      <c r="Q1805">
        <v>574</v>
      </c>
      <c r="R1805">
        <v>0</v>
      </c>
      <c r="S1805">
        <v>57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42</v>
      </c>
      <c r="AC1805">
        <v>0</v>
      </c>
      <c r="AD1805">
        <v>0</v>
      </c>
      <c r="AE1805">
        <v>99</v>
      </c>
      <c r="AF1805">
        <v>125</v>
      </c>
      <c r="AJ1805">
        <v>0</v>
      </c>
      <c r="AK1805" t="str">
        <f t="shared" si="28"/>
        <v>WP013-6200</v>
      </c>
    </row>
    <row r="1806" spans="1:37">
      <c r="A1806" t="s">
        <v>3437</v>
      </c>
      <c r="B1806" t="s">
        <v>3438</v>
      </c>
      <c r="E1806">
        <v>42</v>
      </c>
      <c r="F1806">
        <v>0</v>
      </c>
      <c r="G1806">
        <v>0</v>
      </c>
      <c r="H1806">
        <v>0</v>
      </c>
      <c r="I1806">
        <v>49</v>
      </c>
      <c r="J1806">
        <v>32</v>
      </c>
      <c r="K1806">
        <v>321</v>
      </c>
      <c r="L1806">
        <v>35</v>
      </c>
      <c r="M1806">
        <v>0</v>
      </c>
      <c r="N1806">
        <v>0</v>
      </c>
      <c r="O1806">
        <v>0</v>
      </c>
      <c r="P1806">
        <v>0</v>
      </c>
      <c r="Q1806">
        <v>321</v>
      </c>
      <c r="R1806">
        <v>0</v>
      </c>
      <c r="S1806">
        <v>0</v>
      </c>
      <c r="T1806">
        <v>0</v>
      </c>
      <c r="U1806">
        <v>0</v>
      </c>
      <c r="V1806">
        <v>158</v>
      </c>
      <c r="W1806">
        <v>129</v>
      </c>
      <c r="X1806">
        <v>8</v>
      </c>
      <c r="Y1806">
        <v>83</v>
      </c>
      <c r="Z1806">
        <v>0</v>
      </c>
      <c r="AA1806">
        <v>4</v>
      </c>
      <c r="AB1806">
        <v>1</v>
      </c>
      <c r="AC1806">
        <v>0</v>
      </c>
      <c r="AD1806">
        <v>0</v>
      </c>
      <c r="AE1806">
        <v>383</v>
      </c>
      <c r="AF1806">
        <v>509</v>
      </c>
      <c r="AJ1806">
        <v>0</v>
      </c>
      <c r="AK1806" t="str">
        <f t="shared" si="28"/>
        <v>WR002-5000</v>
      </c>
    </row>
    <row r="1807" spans="1:37">
      <c r="A1807" t="s">
        <v>3439</v>
      </c>
      <c r="B1807" t="s">
        <v>3440</v>
      </c>
      <c r="C1807" t="s">
        <v>313</v>
      </c>
      <c r="D1807" t="s">
        <v>3441</v>
      </c>
      <c r="E1807">
        <v>43</v>
      </c>
      <c r="F1807">
        <v>0</v>
      </c>
      <c r="G1807">
        <v>0</v>
      </c>
      <c r="H1807">
        <v>0</v>
      </c>
      <c r="I1807">
        <v>0</v>
      </c>
      <c r="J1807">
        <v>0</v>
      </c>
      <c r="K1807">
        <v>1746</v>
      </c>
      <c r="L1807">
        <v>66</v>
      </c>
      <c r="M1807">
        <v>0</v>
      </c>
      <c r="N1807">
        <v>0</v>
      </c>
      <c r="O1807">
        <v>0</v>
      </c>
      <c r="P1807">
        <v>0</v>
      </c>
      <c r="Q1807">
        <v>1746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203</v>
      </c>
      <c r="AJ1807">
        <v>0</v>
      </c>
      <c r="AK1807" t="str">
        <f t="shared" si="28"/>
        <v>WS020-6200</v>
      </c>
    </row>
    <row r="1808" spans="1:37">
      <c r="A1808" t="s">
        <v>3444</v>
      </c>
      <c r="B1808" t="s">
        <v>3445</v>
      </c>
      <c r="E1808">
        <v>50</v>
      </c>
      <c r="F1808">
        <v>7.3</v>
      </c>
      <c r="G1808">
        <v>0</v>
      </c>
      <c r="H1808">
        <v>65</v>
      </c>
      <c r="I1808">
        <v>39</v>
      </c>
      <c r="J1808">
        <v>20</v>
      </c>
      <c r="K1808">
        <v>1901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1901</v>
      </c>
      <c r="R1808">
        <v>0</v>
      </c>
      <c r="S1808">
        <v>45</v>
      </c>
      <c r="T1808">
        <v>151</v>
      </c>
      <c r="U1808">
        <v>0</v>
      </c>
      <c r="V1808">
        <v>0</v>
      </c>
      <c r="W1808">
        <v>39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235</v>
      </c>
      <c r="AF1808">
        <v>0</v>
      </c>
      <c r="AJ1808">
        <v>0</v>
      </c>
      <c r="AK1808" t="str">
        <f t="shared" si="28"/>
        <v>WW060-5000</v>
      </c>
    </row>
    <row r="1809" spans="1:37">
      <c r="A1809" t="s">
        <v>3446</v>
      </c>
      <c r="B1809" t="s">
        <v>3447</v>
      </c>
      <c r="E1809">
        <v>43</v>
      </c>
      <c r="F1809">
        <v>0</v>
      </c>
      <c r="G1809">
        <v>5</v>
      </c>
      <c r="H1809">
        <v>0</v>
      </c>
      <c r="I1809">
        <v>0</v>
      </c>
      <c r="J1809">
        <v>7</v>
      </c>
      <c r="K1809">
        <v>1747</v>
      </c>
      <c r="L1809">
        <v>23</v>
      </c>
      <c r="M1809">
        <v>0</v>
      </c>
      <c r="N1809">
        <v>4</v>
      </c>
      <c r="O1809">
        <v>0</v>
      </c>
      <c r="P1809">
        <v>0</v>
      </c>
      <c r="Q1809">
        <v>1743</v>
      </c>
      <c r="R1809">
        <v>0</v>
      </c>
      <c r="S1809">
        <v>0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80</v>
      </c>
      <c r="AD1809">
        <v>0</v>
      </c>
      <c r="AE1809">
        <v>80</v>
      </c>
      <c r="AF1809">
        <v>19</v>
      </c>
      <c r="AJ1809">
        <v>0</v>
      </c>
      <c r="AK1809" t="str">
        <f t="shared" si="28"/>
        <v>WW080-5000</v>
      </c>
    </row>
    <row r="1810" spans="1:37">
      <c r="A1810" t="s">
        <v>5308</v>
      </c>
      <c r="B1810" t="s">
        <v>1961</v>
      </c>
      <c r="E1810">
        <v>50</v>
      </c>
      <c r="F1810">
        <v>0</v>
      </c>
      <c r="G1810">
        <v>0</v>
      </c>
      <c r="H1810">
        <v>0</v>
      </c>
      <c r="I1810">
        <v>0</v>
      </c>
      <c r="J1810">
        <v>0</v>
      </c>
      <c r="K1810">
        <v>581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581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J1810">
        <v>0</v>
      </c>
      <c r="AK1810" t="str">
        <f t="shared" si="28"/>
        <v>WX341-6200</v>
      </c>
    </row>
    <row r="1811" spans="1:37">
      <c r="A1811" t="s">
        <v>3448</v>
      </c>
      <c r="B1811" t="s">
        <v>3449</v>
      </c>
      <c r="C1811" t="s">
        <v>3450</v>
      </c>
      <c r="E1811">
        <v>0</v>
      </c>
      <c r="F1811">
        <v>3.1</v>
      </c>
      <c r="G1811">
        <v>235</v>
      </c>
      <c r="H1811">
        <v>255</v>
      </c>
      <c r="I1811">
        <v>247</v>
      </c>
      <c r="J1811">
        <v>173</v>
      </c>
      <c r="K1811">
        <v>3317</v>
      </c>
      <c r="L1811">
        <v>0</v>
      </c>
      <c r="M1811">
        <v>0</v>
      </c>
      <c r="N1811">
        <v>196</v>
      </c>
      <c r="O1811">
        <v>0</v>
      </c>
      <c r="P1811">
        <v>0</v>
      </c>
      <c r="Q1811">
        <v>3121</v>
      </c>
      <c r="R1811">
        <v>10</v>
      </c>
      <c r="S1811">
        <v>264</v>
      </c>
      <c r="T1811">
        <v>223</v>
      </c>
      <c r="U1811">
        <v>279</v>
      </c>
      <c r="V1811">
        <v>252</v>
      </c>
      <c r="W1811">
        <v>305</v>
      </c>
      <c r="X1811">
        <v>158</v>
      </c>
      <c r="Y1811">
        <v>169</v>
      </c>
      <c r="Z1811">
        <v>100</v>
      </c>
      <c r="AA1811">
        <v>67</v>
      </c>
      <c r="AB1811">
        <v>87</v>
      </c>
      <c r="AC1811">
        <v>103</v>
      </c>
      <c r="AD1811">
        <v>75</v>
      </c>
      <c r="AE1811">
        <v>2082</v>
      </c>
      <c r="AF1811">
        <v>441</v>
      </c>
      <c r="AJ1811">
        <v>2.61</v>
      </c>
      <c r="AK1811" t="str">
        <f t="shared" si="28"/>
        <v>AB-6ANTIBL</v>
      </c>
    </row>
    <row r="1812" spans="1:37">
      <c r="A1812" t="s">
        <v>3451</v>
      </c>
      <c r="B1812" t="s">
        <v>3452</v>
      </c>
      <c r="C1812" t="s">
        <v>3453</v>
      </c>
      <c r="E1812">
        <v>0</v>
      </c>
      <c r="F1812">
        <v>11.7</v>
      </c>
      <c r="G1812">
        <v>18</v>
      </c>
      <c r="H1812">
        <v>42</v>
      </c>
      <c r="I1812">
        <v>36</v>
      </c>
      <c r="J1812">
        <v>39</v>
      </c>
      <c r="K1812">
        <v>1981</v>
      </c>
      <c r="L1812">
        <v>0</v>
      </c>
      <c r="M1812">
        <v>0</v>
      </c>
      <c r="N1812">
        <v>15</v>
      </c>
      <c r="O1812">
        <v>0</v>
      </c>
      <c r="P1812">
        <v>0</v>
      </c>
      <c r="Q1812">
        <v>1966</v>
      </c>
      <c r="R1812">
        <v>2</v>
      </c>
      <c r="S1812">
        <v>36</v>
      </c>
      <c r="T1812">
        <v>41</v>
      </c>
      <c r="U1812">
        <v>49</v>
      </c>
      <c r="V1812">
        <v>28</v>
      </c>
      <c r="W1812">
        <v>53</v>
      </c>
      <c r="X1812">
        <v>9</v>
      </c>
      <c r="Y1812">
        <v>42</v>
      </c>
      <c r="Z1812">
        <v>50</v>
      </c>
      <c r="AA1812">
        <v>34</v>
      </c>
      <c r="AB1812">
        <v>44</v>
      </c>
      <c r="AC1812">
        <v>51</v>
      </c>
      <c r="AD1812">
        <v>37</v>
      </c>
      <c r="AE1812">
        <v>472</v>
      </c>
      <c r="AF1812">
        <v>315</v>
      </c>
      <c r="AG1812" t="s">
        <v>7485</v>
      </c>
      <c r="AH1812">
        <v>1</v>
      </c>
      <c r="AI1812">
        <v>880</v>
      </c>
      <c r="AJ1812">
        <v>24.28</v>
      </c>
      <c r="AK1812" t="str">
        <f t="shared" si="28"/>
        <v>BYK348</v>
      </c>
    </row>
    <row r="1813" spans="1:37">
      <c r="A1813" t="s">
        <v>3454</v>
      </c>
      <c r="B1813" t="s">
        <v>3455</v>
      </c>
      <c r="C1813" t="s">
        <v>620</v>
      </c>
      <c r="D1813" t="s">
        <v>3456</v>
      </c>
      <c r="E1813">
        <v>147</v>
      </c>
      <c r="F1813">
        <v>0</v>
      </c>
      <c r="G1813">
        <v>0</v>
      </c>
      <c r="H1813">
        <v>0</v>
      </c>
      <c r="I1813">
        <v>0</v>
      </c>
      <c r="J1813">
        <v>0</v>
      </c>
      <c r="K1813">
        <v>10366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10366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22347</v>
      </c>
      <c r="AJ1813">
        <v>0.39400000000000002</v>
      </c>
      <c r="AK1813" t="str">
        <f t="shared" si="28"/>
        <v>DR148-4934</v>
      </c>
    </row>
    <row r="1814" spans="1:37">
      <c r="A1814" t="s">
        <v>3457</v>
      </c>
      <c r="B1814" t="s">
        <v>3458</v>
      </c>
      <c r="C1814" t="s">
        <v>622</v>
      </c>
      <c r="E1814">
        <v>175</v>
      </c>
      <c r="F1814">
        <v>0</v>
      </c>
      <c r="G1814">
        <v>0</v>
      </c>
      <c r="H1814">
        <v>0</v>
      </c>
      <c r="I1814">
        <v>0</v>
      </c>
      <c r="J1814">
        <v>144</v>
      </c>
      <c r="K1814">
        <v>157555</v>
      </c>
      <c r="L1814">
        <v>604</v>
      </c>
      <c r="M1814">
        <v>0</v>
      </c>
      <c r="N1814">
        <v>0</v>
      </c>
      <c r="O1814">
        <v>0</v>
      </c>
      <c r="P1814">
        <v>0</v>
      </c>
      <c r="Q1814">
        <v>157555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992</v>
      </c>
      <c r="AA1814">
        <v>0</v>
      </c>
      <c r="AB1814">
        <v>0</v>
      </c>
      <c r="AC1814">
        <v>735</v>
      </c>
      <c r="AD1814">
        <v>0</v>
      </c>
      <c r="AE1814">
        <v>1727</v>
      </c>
      <c r="AF1814">
        <v>17003</v>
      </c>
      <c r="AJ1814">
        <v>0.36</v>
      </c>
      <c r="AK1814" t="str">
        <f t="shared" si="28"/>
        <v>DR175-4912</v>
      </c>
    </row>
    <row r="1815" spans="1:37">
      <c r="A1815" t="s">
        <v>3459</v>
      </c>
      <c r="B1815" t="s">
        <v>3458</v>
      </c>
      <c r="C1815" t="s">
        <v>622</v>
      </c>
      <c r="E1815">
        <v>175</v>
      </c>
      <c r="F1815">
        <v>49.6</v>
      </c>
      <c r="G1815">
        <v>388</v>
      </c>
      <c r="H1815">
        <v>155</v>
      </c>
      <c r="I1815">
        <v>78</v>
      </c>
      <c r="J1815">
        <v>213</v>
      </c>
      <c r="K1815">
        <v>31131</v>
      </c>
      <c r="L1815">
        <v>2509</v>
      </c>
      <c r="M1815">
        <v>0</v>
      </c>
      <c r="N1815">
        <v>324</v>
      </c>
      <c r="O1815">
        <v>0</v>
      </c>
      <c r="P1815">
        <v>0</v>
      </c>
      <c r="Q1815">
        <v>30807</v>
      </c>
      <c r="R1815">
        <v>0</v>
      </c>
      <c r="S1815">
        <v>0</v>
      </c>
      <c r="T1815">
        <v>0</v>
      </c>
      <c r="U1815">
        <v>466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1270</v>
      </c>
      <c r="AC1815">
        <v>0</v>
      </c>
      <c r="AD1815">
        <v>821</v>
      </c>
      <c r="AE1815">
        <v>2557</v>
      </c>
      <c r="AF1815">
        <v>12736</v>
      </c>
      <c r="AJ1815">
        <v>0.36</v>
      </c>
      <c r="AK1815" t="str">
        <f t="shared" si="28"/>
        <v>DR175-6234</v>
      </c>
    </row>
    <row r="1816" spans="1:37">
      <c r="A1816" t="s">
        <v>3460</v>
      </c>
      <c r="B1816" t="s">
        <v>3461</v>
      </c>
      <c r="C1816" t="s">
        <v>3462</v>
      </c>
      <c r="E1816">
        <v>0</v>
      </c>
      <c r="F1816">
        <v>1</v>
      </c>
      <c r="G1816">
        <v>4992</v>
      </c>
      <c r="H1816">
        <v>4060</v>
      </c>
      <c r="I1816">
        <v>3838</v>
      </c>
      <c r="J1816">
        <v>4117</v>
      </c>
      <c r="K1816">
        <v>20000</v>
      </c>
      <c r="L1816">
        <v>0</v>
      </c>
      <c r="M1816">
        <v>0</v>
      </c>
      <c r="N1816">
        <v>4160</v>
      </c>
      <c r="O1816">
        <v>0</v>
      </c>
      <c r="P1816">
        <v>0</v>
      </c>
      <c r="Q1816">
        <v>15840</v>
      </c>
      <c r="R1816">
        <v>653</v>
      </c>
      <c r="S1816">
        <v>4213</v>
      </c>
      <c r="T1816">
        <v>3249</v>
      </c>
      <c r="U1816">
        <v>4717</v>
      </c>
      <c r="V1816">
        <v>1629</v>
      </c>
      <c r="W1816">
        <v>7649</v>
      </c>
      <c r="X1816">
        <v>1570</v>
      </c>
      <c r="Y1816">
        <v>4334</v>
      </c>
      <c r="Z1816">
        <v>3779</v>
      </c>
      <c r="AA1816">
        <v>5039</v>
      </c>
      <c r="AB1816">
        <v>4252</v>
      </c>
      <c r="AC1816">
        <v>4856</v>
      </c>
      <c r="AD1816">
        <v>4119</v>
      </c>
      <c r="AE1816">
        <v>49406</v>
      </c>
      <c r="AF1816">
        <v>53660</v>
      </c>
      <c r="AG1816" t="s">
        <v>3463</v>
      </c>
      <c r="AH1816">
        <v>3</v>
      </c>
      <c r="AI1816">
        <v>6615</v>
      </c>
      <c r="AJ1816">
        <v>2.19</v>
      </c>
      <c r="AK1816" t="str">
        <f t="shared" si="28"/>
        <v>FENT140</v>
      </c>
    </row>
    <row r="1817" spans="1:37">
      <c r="A1817" t="s">
        <v>3460</v>
      </c>
      <c r="B1817" t="s">
        <v>3461</v>
      </c>
      <c r="C1817" t="s">
        <v>3462</v>
      </c>
      <c r="E1817">
        <v>0</v>
      </c>
      <c r="AG1817" t="s">
        <v>3463</v>
      </c>
      <c r="AH1817">
        <v>4</v>
      </c>
      <c r="AI1817">
        <v>6615</v>
      </c>
      <c r="AK1817" t="str">
        <f t="shared" si="28"/>
        <v>FENT140</v>
      </c>
    </row>
    <row r="1818" spans="1:37">
      <c r="A1818" t="s">
        <v>3464</v>
      </c>
      <c r="B1818" t="s">
        <v>3465</v>
      </c>
      <c r="C1818" t="s">
        <v>3466</v>
      </c>
      <c r="E1818">
        <v>0</v>
      </c>
      <c r="F1818">
        <v>4.0999999999999996</v>
      </c>
      <c r="G1818">
        <v>68</v>
      </c>
      <c r="H1818">
        <v>157</v>
      </c>
      <c r="I1818">
        <v>135</v>
      </c>
      <c r="J1818">
        <v>148</v>
      </c>
      <c r="K1818">
        <v>2657</v>
      </c>
      <c r="L1818">
        <v>0</v>
      </c>
      <c r="M1818">
        <v>0</v>
      </c>
      <c r="N1818">
        <v>57</v>
      </c>
      <c r="O1818">
        <v>0</v>
      </c>
      <c r="P1818">
        <v>0</v>
      </c>
      <c r="Q1818">
        <v>2600</v>
      </c>
      <c r="R1818">
        <v>8</v>
      </c>
      <c r="S1818">
        <v>134</v>
      </c>
      <c r="T1818">
        <v>152</v>
      </c>
      <c r="U1818">
        <v>186</v>
      </c>
      <c r="V1818">
        <v>104</v>
      </c>
      <c r="W1818">
        <v>199</v>
      </c>
      <c r="X1818">
        <v>35</v>
      </c>
      <c r="Y1818">
        <v>158</v>
      </c>
      <c r="Z1818">
        <v>187</v>
      </c>
      <c r="AA1818">
        <v>126</v>
      </c>
      <c r="AB1818">
        <v>164</v>
      </c>
      <c r="AC1818">
        <v>192</v>
      </c>
      <c r="AD1818">
        <v>139</v>
      </c>
      <c r="AE1818">
        <v>1776</v>
      </c>
      <c r="AF1818">
        <v>1007</v>
      </c>
      <c r="AJ1818">
        <v>3.15</v>
      </c>
      <c r="AK1818" t="str">
        <f t="shared" si="28"/>
        <v>FENT301</v>
      </c>
    </row>
    <row r="1819" spans="1:37">
      <c r="A1819" t="s">
        <v>3467</v>
      </c>
      <c r="B1819" t="s">
        <v>3468</v>
      </c>
      <c r="C1819" t="s">
        <v>3466</v>
      </c>
      <c r="E1819">
        <v>0</v>
      </c>
      <c r="F1819">
        <v>4.2</v>
      </c>
      <c r="G1819">
        <v>387</v>
      </c>
      <c r="H1819">
        <v>433</v>
      </c>
      <c r="I1819">
        <v>484</v>
      </c>
      <c r="J1819">
        <v>508</v>
      </c>
      <c r="K1819">
        <v>7664</v>
      </c>
      <c r="L1819">
        <v>0</v>
      </c>
      <c r="M1819">
        <v>0</v>
      </c>
      <c r="N1819">
        <v>322</v>
      </c>
      <c r="O1819">
        <v>0</v>
      </c>
      <c r="P1819">
        <v>0</v>
      </c>
      <c r="Q1819">
        <v>7342</v>
      </c>
      <c r="R1819">
        <v>21</v>
      </c>
      <c r="S1819">
        <v>501</v>
      </c>
      <c r="T1819">
        <v>314</v>
      </c>
      <c r="U1819">
        <v>483</v>
      </c>
      <c r="V1819">
        <v>527</v>
      </c>
      <c r="W1819">
        <v>597</v>
      </c>
      <c r="X1819">
        <v>483</v>
      </c>
      <c r="Y1819">
        <v>577</v>
      </c>
      <c r="Z1819">
        <v>534</v>
      </c>
      <c r="AA1819">
        <v>487</v>
      </c>
      <c r="AB1819">
        <v>611</v>
      </c>
      <c r="AC1819">
        <v>483</v>
      </c>
      <c r="AD1819">
        <v>501</v>
      </c>
      <c r="AE1819">
        <v>6097</v>
      </c>
      <c r="AF1819">
        <v>5711</v>
      </c>
      <c r="AJ1819">
        <v>2.5499999999999998</v>
      </c>
      <c r="AK1819" t="str">
        <f t="shared" si="28"/>
        <v>FENT310</v>
      </c>
    </row>
    <row r="1820" spans="1:37">
      <c r="A1820" t="s">
        <v>3469</v>
      </c>
      <c r="B1820" t="s">
        <v>3470</v>
      </c>
      <c r="C1820" t="s">
        <v>3462</v>
      </c>
      <c r="E1820">
        <v>0</v>
      </c>
      <c r="F1820">
        <v>0.2</v>
      </c>
      <c r="G1820">
        <v>395</v>
      </c>
      <c r="H1820">
        <v>886</v>
      </c>
      <c r="I1820">
        <v>765</v>
      </c>
      <c r="J1820">
        <v>839</v>
      </c>
      <c r="K1820">
        <v>953</v>
      </c>
      <c r="L1820">
        <v>0</v>
      </c>
      <c r="M1820">
        <v>0</v>
      </c>
      <c r="N1820">
        <v>329</v>
      </c>
      <c r="O1820">
        <v>0</v>
      </c>
      <c r="P1820">
        <v>0</v>
      </c>
      <c r="Q1820">
        <v>623</v>
      </c>
      <c r="R1820">
        <v>46</v>
      </c>
      <c r="S1820">
        <v>743</v>
      </c>
      <c r="T1820">
        <v>879</v>
      </c>
      <c r="U1820">
        <v>1037</v>
      </c>
      <c r="V1820">
        <v>591</v>
      </c>
      <c r="W1820">
        <v>1134</v>
      </c>
      <c r="X1820">
        <v>204</v>
      </c>
      <c r="Y1820">
        <v>891</v>
      </c>
      <c r="Z1820">
        <v>1045</v>
      </c>
      <c r="AA1820">
        <v>732</v>
      </c>
      <c r="AB1820">
        <v>941</v>
      </c>
      <c r="AC1820">
        <v>1090</v>
      </c>
      <c r="AD1820">
        <v>786</v>
      </c>
      <c r="AE1820">
        <v>10073</v>
      </c>
      <c r="AF1820">
        <v>6713</v>
      </c>
      <c r="AG1820" t="s">
        <v>3471</v>
      </c>
      <c r="AH1820">
        <v>1</v>
      </c>
      <c r="AI1820">
        <v>5</v>
      </c>
      <c r="AJ1820">
        <v>1.32</v>
      </c>
      <c r="AK1820" t="str">
        <f t="shared" si="28"/>
        <v>FENT6045</v>
      </c>
    </row>
    <row r="1821" spans="1:37">
      <c r="A1821" t="s">
        <v>3469</v>
      </c>
      <c r="B1821" t="s">
        <v>3470</v>
      </c>
      <c r="C1821" t="s">
        <v>3462</v>
      </c>
      <c r="E1821">
        <v>0</v>
      </c>
      <c r="AG1821" t="s">
        <v>7486</v>
      </c>
      <c r="AH1821">
        <v>1</v>
      </c>
      <c r="AI1821">
        <v>6615</v>
      </c>
      <c r="AK1821" t="str">
        <f t="shared" si="28"/>
        <v>FENT6045</v>
      </c>
    </row>
    <row r="1822" spans="1:37">
      <c r="A1822" t="s">
        <v>3472</v>
      </c>
      <c r="B1822" t="s">
        <v>3473</v>
      </c>
      <c r="C1822" t="s">
        <v>3466</v>
      </c>
      <c r="E1822">
        <v>0</v>
      </c>
      <c r="F1822">
        <v>3.5</v>
      </c>
      <c r="G1822">
        <v>304</v>
      </c>
      <c r="H1822">
        <v>489</v>
      </c>
      <c r="I1822">
        <v>542</v>
      </c>
      <c r="J1822">
        <v>422</v>
      </c>
      <c r="K1822">
        <v>7142</v>
      </c>
      <c r="L1822">
        <v>0</v>
      </c>
      <c r="M1822">
        <v>0</v>
      </c>
      <c r="N1822">
        <v>253</v>
      </c>
      <c r="O1822">
        <v>0</v>
      </c>
      <c r="P1822">
        <v>0</v>
      </c>
      <c r="Q1822">
        <v>6889</v>
      </c>
      <c r="R1822">
        <v>19</v>
      </c>
      <c r="S1822">
        <v>577</v>
      </c>
      <c r="T1822">
        <v>336</v>
      </c>
      <c r="U1822">
        <v>555</v>
      </c>
      <c r="V1822">
        <v>585</v>
      </c>
      <c r="W1822">
        <v>683</v>
      </c>
      <c r="X1822">
        <v>517</v>
      </c>
      <c r="Y1822">
        <v>547</v>
      </c>
      <c r="Z1822">
        <v>457</v>
      </c>
      <c r="AA1822">
        <v>315</v>
      </c>
      <c r="AB1822">
        <v>246</v>
      </c>
      <c r="AC1822">
        <v>140</v>
      </c>
      <c r="AD1822">
        <v>102</v>
      </c>
      <c r="AE1822">
        <v>5061</v>
      </c>
      <c r="AF1822">
        <v>865</v>
      </c>
      <c r="AJ1822">
        <v>2.5</v>
      </c>
      <c r="AK1822" t="str">
        <f t="shared" si="28"/>
        <v>FENT777</v>
      </c>
    </row>
    <row r="1823" spans="1:37">
      <c r="A1823" t="s">
        <v>3474</v>
      </c>
      <c r="B1823" t="s">
        <v>3475</v>
      </c>
      <c r="C1823" t="s">
        <v>3462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2205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2205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J1823">
        <v>2.5499999999999998</v>
      </c>
      <c r="AK1823" t="str">
        <f t="shared" si="28"/>
        <v>FENT81277</v>
      </c>
    </row>
    <row r="1824" spans="1:37">
      <c r="A1824" t="s">
        <v>3476</v>
      </c>
      <c r="B1824" t="s">
        <v>3477</v>
      </c>
      <c r="C1824" t="s">
        <v>3478</v>
      </c>
      <c r="E1824">
        <v>0</v>
      </c>
      <c r="F1824">
        <v>28.1</v>
      </c>
      <c r="G1824">
        <v>8</v>
      </c>
      <c r="H1824">
        <v>11</v>
      </c>
      <c r="I1824">
        <v>10</v>
      </c>
      <c r="J1824">
        <v>11</v>
      </c>
      <c r="K1824">
        <v>1290</v>
      </c>
      <c r="L1824">
        <v>0</v>
      </c>
      <c r="M1824">
        <v>0</v>
      </c>
      <c r="N1824">
        <v>6</v>
      </c>
      <c r="O1824">
        <v>0</v>
      </c>
      <c r="P1824">
        <v>0</v>
      </c>
      <c r="Q1824">
        <v>1283</v>
      </c>
      <c r="R1824">
        <v>0</v>
      </c>
      <c r="S1824">
        <v>12</v>
      </c>
      <c r="T1824">
        <v>10</v>
      </c>
      <c r="U1824">
        <v>13</v>
      </c>
      <c r="V1824">
        <v>8</v>
      </c>
      <c r="W1824">
        <v>13</v>
      </c>
      <c r="X1824">
        <v>6</v>
      </c>
      <c r="Y1824">
        <v>14</v>
      </c>
      <c r="Z1824">
        <v>12</v>
      </c>
      <c r="AA1824">
        <v>10</v>
      </c>
      <c r="AB1824">
        <v>14</v>
      </c>
      <c r="AC1824">
        <v>13</v>
      </c>
      <c r="AD1824">
        <v>11</v>
      </c>
      <c r="AE1824">
        <v>137</v>
      </c>
      <c r="AF1824">
        <v>115</v>
      </c>
      <c r="AG1824" t="s">
        <v>3479</v>
      </c>
      <c r="AH1824">
        <v>1</v>
      </c>
      <c r="AI1824">
        <v>2</v>
      </c>
      <c r="AJ1824">
        <v>4.3899999999999997</v>
      </c>
      <c r="AK1824" t="str">
        <f t="shared" si="28"/>
        <v>FMDFL</v>
      </c>
    </row>
    <row r="1825" spans="1:37">
      <c r="A1825" t="s">
        <v>3480</v>
      </c>
      <c r="B1825" t="s">
        <v>3481</v>
      </c>
      <c r="C1825" t="s">
        <v>5952</v>
      </c>
      <c r="E1825">
        <v>0</v>
      </c>
      <c r="F1825">
        <v>0.1</v>
      </c>
      <c r="G1825">
        <v>9060</v>
      </c>
      <c r="H1825">
        <v>4027</v>
      </c>
      <c r="I1825">
        <v>3202</v>
      </c>
      <c r="J1825">
        <v>3454</v>
      </c>
      <c r="K1825">
        <v>8991</v>
      </c>
      <c r="L1825">
        <v>0</v>
      </c>
      <c r="M1825">
        <v>0</v>
      </c>
      <c r="N1825">
        <v>7550</v>
      </c>
      <c r="O1825">
        <v>0</v>
      </c>
      <c r="P1825">
        <v>0</v>
      </c>
      <c r="Q1825">
        <v>1441</v>
      </c>
      <c r="R1825">
        <v>751</v>
      </c>
      <c r="S1825">
        <v>1738</v>
      </c>
      <c r="T1825">
        <v>5931</v>
      </c>
      <c r="U1825">
        <v>4411</v>
      </c>
      <c r="V1825">
        <v>4626</v>
      </c>
      <c r="W1825">
        <v>2503</v>
      </c>
      <c r="X1825">
        <v>0</v>
      </c>
      <c r="Y1825">
        <v>2102</v>
      </c>
      <c r="Z1825">
        <v>3512</v>
      </c>
      <c r="AA1825">
        <v>2511</v>
      </c>
      <c r="AB1825">
        <v>6111</v>
      </c>
      <c r="AC1825">
        <v>3778</v>
      </c>
      <c r="AD1825">
        <v>4225</v>
      </c>
      <c r="AE1825">
        <v>41448</v>
      </c>
      <c r="AF1825">
        <v>36710</v>
      </c>
      <c r="AJ1825">
        <v>1.9194</v>
      </c>
      <c r="AK1825" t="str">
        <f t="shared" si="28"/>
        <v>GP4169</v>
      </c>
    </row>
    <row r="1826" spans="1:37">
      <c r="A1826" t="s">
        <v>3482</v>
      </c>
      <c r="B1826" t="s">
        <v>3483</v>
      </c>
      <c r="C1826" t="s">
        <v>3484</v>
      </c>
      <c r="D1826" t="s">
        <v>635</v>
      </c>
      <c r="E1826">
        <v>0</v>
      </c>
      <c r="F1826">
        <v>6</v>
      </c>
      <c r="G1826">
        <v>0</v>
      </c>
      <c r="H1826">
        <v>299</v>
      </c>
      <c r="I1826">
        <v>419</v>
      </c>
      <c r="J1826">
        <v>303</v>
      </c>
      <c r="K1826">
        <v>7202</v>
      </c>
      <c r="L1826">
        <v>0</v>
      </c>
      <c r="M1826">
        <v>0</v>
      </c>
      <c r="N1826">
        <v>0</v>
      </c>
      <c r="O1826">
        <v>0</v>
      </c>
      <c r="P1826">
        <v>0</v>
      </c>
      <c r="Q1826">
        <v>7201</v>
      </c>
      <c r="R1826">
        <v>18</v>
      </c>
      <c r="S1826">
        <v>359</v>
      </c>
      <c r="T1826">
        <v>199</v>
      </c>
      <c r="U1826">
        <v>340</v>
      </c>
      <c r="V1826">
        <v>733</v>
      </c>
      <c r="W1826">
        <v>534</v>
      </c>
      <c r="X1826">
        <v>349</v>
      </c>
      <c r="Y1826">
        <v>180</v>
      </c>
      <c r="Z1826">
        <v>190</v>
      </c>
      <c r="AA1826">
        <v>171</v>
      </c>
      <c r="AB1826">
        <v>209</v>
      </c>
      <c r="AC1826">
        <v>211</v>
      </c>
      <c r="AD1826">
        <v>166</v>
      </c>
      <c r="AE1826">
        <v>3641</v>
      </c>
      <c r="AF1826">
        <v>1364</v>
      </c>
      <c r="AJ1826">
        <v>1.3149999999999999</v>
      </c>
      <c r="AK1826" t="str">
        <f t="shared" si="28"/>
        <v>HARPF7</v>
      </c>
    </row>
    <row r="1827" spans="1:37">
      <c r="A1827" t="s">
        <v>3485</v>
      </c>
      <c r="B1827" t="s">
        <v>3486</v>
      </c>
      <c r="C1827" t="s">
        <v>3450</v>
      </c>
      <c r="E1827">
        <v>0</v>
      </c>
      <c r="F1827">
        <v>3</v>
      </c>
      <c r="G1827">
        <v>128</v>
      </c>
      <c r="H1827">
        <v>65</v>
      </c>
      <c r="I1827">
        <v>56</v>
      </c>
      <c r="J1827">
        <v>66</v>
      </c>
      <c r="K1827">
        <v>893</v>
      </c>
      <c r="L1827">
        <v>0</v>
      </c>
      <c r="M1827">
        <v>0</v>
      </c>
      <c r="N1827">
        <v>107</v>
      </c>
      <c r="O1827">
        <v>0</v>
      </c>
      <c r="P1827">
        <v>0</v>
      </c>
      <c r="Q1827">
        <v>786</v>
      </c>
      <c r="R1827">
        <v>0</v>
      </c>
      <c r="S1827">
        <v>125</v>
      </c>
      <c r="T1827">
        <v>26</v>
      </c>
      <c r="U1827">
        <v>44</v>
      </c>
      <c r="V1827">
        <v>33</v>
      </c>
      <c r="W1827">
        <v>81</v>
      </c>
      <c r="X1827">
        <v>27</v>
      </c>
      <c r="Y1827">
        <v>49</v>
      </c>
      <c r="Z1827">
        <v>73</v>
      </c>
      <c r="AA1827">
        <v>85</v>
      </c>
      <c r="AB1827">
        <v>89</v>
      </c>
      <c r="AC1827">
        <v>124</v>
      </c>
      <c r="AD1827">
        <v>36</v>
      </c>
      <c r="AE1827">
        <v>791</v>
      </c>
      <c r="AF1827">
        <v>638</v>
      </c>
      <c r="AJ1827">
        <v>4.42</v>
      </c>
      <c r="AK1827" t="str">
        <f t="shared" si="28"/>
        <v>INT2E</v>
      </c>
    </row>
    <row r="1828" spans="1:37">
      <c r="A1828" t="s">
        <v>3487</v>
      </c>
      <c r="B1828" t="s">
        <v>3488</v>
      </c>
      <c r="C1828" t="s">
        <v>3489</v>
      </c>
      <c r="E1828">
        <v>0</v>
      </c>
      <c r="F1828">
        <v>62.3</v>
      </c>
      <c r="G1828">
        <v>9</v>
      </c>
      <c r="H1828">
        <v>7</v>
      </c>
      <c r="I1828">
        <v>9</v>
      </c>
      <c r="J1828">
        <v>43</v>
      </c>
      <c r="K1828">
        <v>1685</v>
      </c>
      <c r="L1828">
        <v>0</v>
      </c>
      <c r="M1828">
        <v>0</v>
      </c>
      <c r="N1828">
        <v>7</v>
      </c>
      <c r="O1828">
        <v>0</v>
      </c>
      <c r="P1828">
        <v>0</v>
      </c>
      <c r="Q1828">
        <v>1677</v>
      </c>
      <c r="R1828">
        <v>3</v>
      </c>
      <c r="S1828">
        <v>8</v>
      </c>
      <c r="T1828">
        <v>4</v>
      </c>
      <c r="U1828">
        <v>8</v>
      </c>
      <c r="V1828">
        <v>11</v>
      </c>
      <c r="W1828">
        <v>11</v>
      </c>
      <c r="X1828">
        <v>9</v>
      </c>
      <c r="Y1828">
        <v>15</v>
      </c>
      <c r="Z1828">
        <v>13</v>
      </c>
      <c r="AA1828">
        <v>29</v>
      </c>
      <c r="AB1828">
        <v>129</v>
      </c>
      <c r="AC1828">
        <v>138</v>
      </c>
      <c r="AD1828">
        <v>140</v>
      </c>
      <c r="AE1828">
        <v>515</v>
      </c>
      <c r="AF1828">
        <v>1320</v>
      </c>
      <c r="AJ1828">
        <v>2.85</v>
      </c>
      <c r="AK1828" t="str">
        <f t="shared" si="28"/>
        <v>PAT658D</v>
      </c>
    </row>
    <row r="1829" spans="1:37">
      <c r="A1829" t="s">
        <v>3490</v>
      </c>
      <c r="B1829" t="s">
        <v>3491</v>
      </c>
      <c r="C1829" t="s">
        <v>5309</v>
      </c>
      <c r="E1829">
        <v>0</v>
      </c>
      <c r="F1829">
        <v>2.8</v>
      </c>
      <c r="G1829">
        <v>67</v>
      </c>
      <c r="H1829">
        <v>27</v>
      </c>
      <c r="I1829">
        <v>21</v>
      </c>
      <c r="J1829">
        <v>18</v>
      </c>
      <c r="K1829">
        <v>357</v>
      </c>
      <c r="L1829">
        <v>0</v>
      </c>
      <c r="M1829">
        <v>0</v>
      </c>
      <c r="N1829">
        <v>56</v>
      </c>
      <c r="O1829">
        <v>0</v>
      </c>
      <c r="P1829">
        <v>0</v>
      </c>
      <c r="Q1829">
        <v>301</v>
      </c>
      <c r="R1829">
        <v>0</v>
      </c>
      <c r="S1829">
        <v>38</v>
      </c>
      <c r="T1829">
        <v>17</v>
      </c>
      <c r="U1829">
        <v>26</v>
      </c>
      <c r="V1829">
        <v>21</v>
      </c>
      <c r="W1829">
        <v>11</v>
      </c>
      <c r="X1829">
        <v>14</v>
      </c>
      <c r="Y1829">
        <v>26</v>
      </c>
      <c r="Z1829">
        <v>22</v>
      </c>
      <c r="AA1829">
        <v>9</v>
      </c>
      <c r="AB1829">
        <v>12</v>
      </c>
      <c r="AC1829">
        <v>7</v>
      </c>
      <c r="AD1829">
        <v>17</v>
      </c>
      <c r="AE1829">
        <v>220</v>
      </c>
      <c r="AF1829">
        <v>169</v>
      </c>
      <c r="AJ1829">
        <v>8.76</v>
      </c>
      <c r="AK1829" t="str">
        <f t="shared" si="28"/>
        <v>SURFY</v>
      </c>
    </row>
    <row r="1830" spans="1:37">
      <c r="A1830" t="s">
        <v>3492</v>
      </c>
      <c r="B1830">
        <v>7055681.5</v>
      </c>
      <c r="AK1830" t="str">
        <f t="shared" si="28"/>
        <v xml:space="preserve">al for HP </v>
      </c>
    </row>
    <row r="1831" spans="1:37">
      <c r="A1831" t="s">
        <v>3493</v>
      </c>
      <c r="B1831">
        <v>437567.01</v>
      </c>
      <c r="AK1831" t="str">
        <f t="shared" si="28"/>
        <v xml:space="preserve">al For LP </v>
      </c>
    </row>
    <row r="1832" spans="1:37">
      <c r="A1832" t="s">
        <v>3494</v>
      </c>
      <c r="B1832">
        <v>112233.4</v>
      </c>
      <c r="AK1832" t="str">
        <f t="shared" si="28"/>
        <v>al For all</v>
      </c>
    </row>
    <row r="1833" spans="1:37">
      <c r="A1833" t="s">
        <v>3495</v>
      </c>
      <c r="B1833">
        <v>187829.66</v>
      </c>
      <c r="AK1833" t="str">
        <f t="shared" si="28"/>
        <v>al For all</v>
      </c>
    </row>
    <row r="1834" spans="1:37">
      <c r="A1834" t="s">
        <v>3496</v>
      </c>
      <c r="B1834">
        <v>0</v>
      </c>
      <c r="AK1834" t="str">
        <f t="shared" si="28"/>
        <v>al for all</v>
      </c>
    </row>
    <row r="1835" spans="1:37">
      <c r="A1835" t="s">
        <v>3497</v>
      </c>
      <c r="B1835">
        <v>2996006.67</v>
      </c>
      <c r="AK1835" t="str">
        <f t="shared" si="28"/>
        <v>al for all</v>
      </c>
    </row>
    <row r="1836" spans="1:37">
      <c r="A1836" t="s">
        <v>3498</v>
      </c>
      <c r="B1836">
        <v>10789318.26</v>
      </c>
      <c r="AK1836" t="str">
        <f t="shared" si="28"/>
        <v>nd Total f</v>
      </c>
    </row>
  </sheetData>
  <pageMargins left="0.25" right="0.25" top="0.75" bottom="0.75" header="0.3" footer="0.3"/>
  <pageSetup paperSize="3" scale="39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E1129-BC0C-4723-AFA6-A218D7AB85F6}">
  <sheetPr codeName="Sheet6">
    <tabColor theme="4" tint="0.39997558519241921"/>
    <pageSetUpPr fitToPage="1"/>
  </sheetPr>
  <dimension ref="A1:AK2062"/>
  <sheetViews>
    <sheetView topLeftCell="Z1" zoomScale="106" zoomScaleNormal="106" workbookViewId="0">
      <pane ySplit="3" topLeftCell="A4" activePane="bottomLeft" state="frozen"/>
      <selection pane="bottomLeft" activeCell="AK4" sqref="AK4"/>
    </sheetView>
  </sheetViews>
  <sheetFormatPr defaultRowHeight="15.75" customHeight="1"/>
  <sheetData>
    <row r="1" spans="1:37" ht="15">
      <c r="K1" t="s">
        <v>5</v>
      </c>
      <c r="AF1" t="s">
        <v>6</v>
      </c>
      <c r="AI1" t="s">
        <v>7</v>
      </c>
      <c r="AJ1" t="s">
        <v>8</v>
      </c>
    </row>
    <row r="2" spans="1:37" ht="15"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  <c r="K2" t="s">
        <v>15</v>
      </c>
      <c r="L2" t="s">
        <v>16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30</v>
      </c>
      <c r="T2" t="s">
        <v>31</v>
      </c>
      <c r="U2" t="s">
        <v>32</v>
      </c>
      <c r="V2" t="s">
        <v>33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34</v>
      </c>
      <c r="AF2" t="s">
        <v>35</v>
      </c>
      <c r="AI2" t="s">
        <v>36</v>
      </c>
      <c r="AJ2" t="s">
        <v>37</v>
      </c>
      <c r="AK2" t="s">
        <v>4628</v>
      </c>
    </row>
    <row r="3" spans="1:37" ht="15">
      <c r="A3" t="s">
        <v>38</v>
      </c>
      <c r="B3" t="s">
        <v>39</v>
      </c>
      <c r="C3" t="s">
        <v>40</v>
      </c>
      <c r="D3" t="s">
        <v>41</v>
      </c>
      <c r="E3" t="s">
        <v>42</v>
      </c>
      <c r="F3" t="s">
        <v>43</v>
      </c>
      <c r="G3" t="s">
        <v>44</v>
      </c>
      <c r="H3" t="s">
        <v>45</v>
      </c>
      <c r="I3" t="s">
        <v>45</v>
      </c>
      <c r="J3" t="s">
        <v>45</v>
      </c>
      <c r="K3" t="s">
        <v>46</v>
      </c>
      <c r="L3" t="s">
        <v>44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45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45</v>
      </c>
      <c r="AG3" t="s">
        <v>53</v>
      </c>
      <c r="AI3" t="s">
        <v>54</v>
      </c>
      <c r="AJ3" t="s">
        <v>55</v>
      </c>
      <c r="AK3" t="s">
        <v>6109</v>
      </c>
    </row>
    <row r="4" spans="1:37" ht="15">
      <c r="A4" t="s">
        <v>85</v>
      </c>
      <c r="B4" t="s">
        <v>82</v>
      </c>
      <c r="C4" t="s">
        <v>68</v>
      </c>
      <c r="D4" t="s">
        <v>86</v>
      </c>
      <c r="E4">
        <v>22</v>
      </c>
      <c r="F4">
        <v>1.5</v>
      </c>
      <c r="G4">
        <v>49</v>
      </c>
      <c r="H4">
        <v>61</v>
      </c>
      <c r="I4">
        <v>43</v>
      </c>
      <c r="J4">
        <v>24</v>
      </c>
      <c r="K4">
        <v>416</v>
      </c>
      <c r="L4">
        <v>94</v>
      </c>
      <c r="M4">
        <v>0</v>
      </c>
      <c r="N4">
        <v>41</v>
      </c>
      <c r="O4">
        <v>0</v>
      </c>
      <c r="P4">
        <v>0</v>
      </c>
      <c r="Q4">
        <v>375</v>
      </c>
      <c r="R4">
        <v>105</v>
      </c>
      <c r="S4">
        <v>0</v>
      </c>
      <c r="T4">
        <v>0</v>
      </c>
      <c r="U4">
        <v>182</v>
      </c>
      <c r="V4">
        <v>76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35</v>
      </c>
      <c r="AE4">
        <v>293</v>
      </c>
      <c r="AF4">
        <v>96</v>
      </c>
      <c r="AG4">
        <v>5.4625000000000004</v>
      </c>
      <c r="AK4" t="str">
        <f>MID(A4,4,10)</f>
        <v>00010-5000</v>
      </c>
    </row>
    <row r="5" spans="1:37" ht="15">
      <c r="A5" t="s">
        <v>87</v>
      </c>
      <c r="B5" t="s">
        <v>82</v>
      </c>
      <c r="C5" t="s">
        <v>68</v>
      </c>
      <c r="D5" t="s">
        <v>86</v>
      </c>
      <c r="E5">
        <v>22</v>
      </c>
      <c r="F5">
        <v>0.4</v>
      </c>
      <c r="G5">
        <v>27</v>
      </c>
      <c r="H5">
        <v>283</v>
      </c>
      <c r="I5">
        <v>215</v>
      </c>
      <c r="J5">
        <v>180</v>
      </c>
      <c r="K5">
        <v>493</v>
      </c>
      <c r="L5">
        <v>119</v>
      </c>
      <c r="M5">
        <v>0</v>
      </c>
      <c r="N5">
        <v>22</v>
      </c>
      <c r="O5">
        <v>0</v>
      </c>
      <c r="P5">
        <v>0</v>
      </c>
      <c r="Q5">
        <v>471</v>
      </c>
      <c r="R5">
        <v>0</v>
      </c>
      <c r="S5">
        <v>304</v>
      </c>
      <c r="T5">
        <v>194</v>
      </c>
      <c r="U5">
        <v>352</v>
      </c>
      <c r="V5">
        <v>194</v>
      </c>
      <c r="W5">
        <v>248</v>
      </c>
      <c r="X5">
        <v>0</v>
      </c>
      <c r="Y5">
        <v>0</v>
      </c>
      <c r="Z5">
        <v>200</v>
      </c>
      <c r="AA5">
        <v>516</v>
      </c>
      <c r="AB5">
        <v>0</v>
      </c>
      <c r="AC5">
        <v>0</v>
      </c>
      <c r="AD5">
        <v>155</v>
      </c>
      <c r="AE5">
        <v>2163</v>
      </c>
      <c r="AF5">
        <v>109</v>
      </c>
      <c r="AG5">
        <v>5.4625000000000004</v>
      </c>
      <c r="AK5" t="str">
        <f t="shared" ref="AK5:AK68" si="0">MID(A5,4,10)</f>
        <v>00010-6200</v>
      </c>
    </row>
    <row r="6" spans="1:37" ht="15">
      <c r="A6" t="s">
        <v>251</v>
      </c>
      <c r="B6" t="s">
        <v>250</v>
      </c>
      <c r="C6" t="s">
        <v>183</v>
      </c>
      <c r="E6">
        <v>91</v>
      </c>
      <c r="F6">
        <v>0</v>
      </c>
      <c r="G6">
        <v>0</v>
      </c>
      <c r="H6">
        <v>0</v>
      </c>
      <c r="I6">
        <v>0</v>
      </c>
      <c r="J6">
        <v>0</v>
      </c>
      <c r="K6">
        <v>1132</v>
      </c>
      <c r="L6">
        <v>0</v>
      </c>
      <c r="M6">
        <v>0</v>
      </c>
      <c r="N6">
        <v>0</v>
      </c>
      <c r="O6">
        <v>0</v>
      </c>
      <c r="P6">
        <v>0</v>
      </c>
      <c r="Q6">
        <v>1132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1132</v>
      </c>
      <c r="AJ6">
        <v>0</v>
      </c>
      <c r="AK6" t="str">
        <f t="shared" si="0"/>
        <v>00338-6200</v>
      </c>
    </row>
    <row r="7" spans="1:37" ht="15">
      <c r="A7" t="s">
        <v>254</v>
      </c>
      <c r="B7" t="s">
        <v>253</v>
      </c>
      <c r="C7" t="s">
        <v>183</v>
      </c>
      <c r="E7">
        <v>147</v>
      </c>
      <c r="F7">
        <v>2.2999999999999998</v>
      </c>
      <c r="G7">
        <v>0</v>
      </c>
      <c r="H7">
        <v>25</v>
      </c>
      <c r="I7">
        <v>25</v>
      </c>
      <c r="J7">
        <v>13</v>
      </c>
      <c r="K7">
        <v>228</v>
      </c>
      <c r="L7">
        <v>0</v>
      </c>
      <c r="M7">
        <v>0</v>
      </c>
      <c r="N7">
        <v>0</v>
      </c>
      <c r="O7">
        <v>0</v>
      </c>
      <c r="P7">
        <v>0</v>
      </c>
      <c r="Q7">
        <v>228</v>
      </c>
      <c r="R7">
        <v>0</v>
      </c>
      <c r="S7">
        <v>0</v>
      </c>
      <c r="T7">
        <v>0</v>
      </c>
      <c r="U7">
        <v>75</v>
      </c>
      <c r="V7">
        <v>0</v>
      </c>
      <c r="W7">
        <v>0</v>
      </c>
      <c r="X7">
        <v>77</v>
      </c>
      <c r="Y7">
        <v>0</v>
      </c>
      <c r="Z7">
        <v>0</v>
      </c>
      <c r="AA7">
        <v>0</v>
      </c>
      <c r="AB7">
        <v>8</v>
      </c>
      <c r="AC7">
        <v>0</v>
      </c>
      <c r="AD7">
        <v>0</v>
      </c>
      <c r="AE7">
        <v>160</v>
      </c>
      <c r="AF7">
        <v>20</v>
      </c>
      <c r="AG7">
        <v>6.9558999999999997</v>
      </c>
      <c r="AK7" t="str">
        <f t="shared" si="0"/>
        <v>00339-6200</v>
      </c>
    </row>
    <row r="8" spans="1:37" ht="15">
      <c r="A8" t="s">
        <v>6183</v>
      </c>
      <c r="B8" t="s">
        <v>4463</v>
      </c>
      <c r="C8" t="s">
        <v>329</v>
      </c>
      <c r="D8" t="s">
        <v>280</v>
      </c>
      <c r="E8">
        <v>50</v>
      </c>
      <c r="F8">
        <v>0</v>
      </c>
      <c r="G8">
        <v>0</v>
      </c>
      <c r="H8">
        <v>0</v>
      </c>
      <c r="I8">
        <v>0</v>
      </c>
      <c r="J8">
        <v>0</v>
      </c>
      <c r="K8">
        <v>97</v>
      </c>
      <c r="L8">
        <v>58</v>
      </c>
      <c r="M8">
        <v>0</v>
      </c>
      <c r="N8">
        <v>0</v>
      </c>
      <c r="O8">
        <v>0</v>
      </c>
      <c r="P8">
        <v>0</v>
      </c>
      <c r="Q8">
        <v>97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133</v>
      </c>
      <c r="AG8">
        <v>5.6289999999999996</v>
      </c>
      <c r="AK8" t="str">
        <f t="shared" si="0"/>
        <v>AB121-5000</v>
      </c>
    </row>
    <row r="9" spans="1:37" ht="15">
      <c r="A9" t="s">
        <v>277</v>
      </c>
      <c r="B9" t="s">
        <v>274</v>
      </c>
      <c r="C9" t="s">
        <v>275</v>
      </c>
      <c r="D9" t="s">
        <v>276</v>
      </c>
      <c r="E9">
        <v>50</v>
      </c>
      <c r="F9">
        <v>0</v>
      </c>
      <c r="G9">
        <v>0</v>
      </c>
      <c r="H9">
        <v>0</v>
      </c>
      <c r="I9">
        <v>0</v>
      </c>
      <c r="J9">
        <v>50</v>
      </c>
      <c r="K9">
        <v>144</v>
      </c>
      <c r="L9">
        <v>21</v>
      </c>
      <c r="M9">
        <v>0</v>
      </c>
      <c r="N9">
        <v>0</v>
      </c>
      <c r="O9">
        <v>0</v>
      </c>
      <c r="P9">
        <v>0</v>
      </c>
      <c r="Q9">
        <v>144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604</v>
      </c>
      <c r="AB9">
        <v>0</v>
      </c>
      <c r="AC9">
        <v>0</v>
      </c>
      <c r="AD9">
        <v>0</v>
      </c>
      <c r="AE9">
        <v>604</v>
      </c>
      <c r="AF9">
        <v>321</v>
      </c>
      <c r="AG9">
        <v>7.8750999999999998</v>
      </c>
      <c r="AK9" t="str">
        <f t="shared" si="0"/>
        <v>AB221-6200</v>
      </c>
    </row>
    <row r="10" spans="1:37" ht="15">
      <c r="A10" t="s">
        <v>287</v>
      </c>
      <c r="B10" t="s">
        <v>288</v>
      </c>
      <c r="C10" t="s">
        <v>267</v>
      </c>
      <c r="D10" t="s">
        <v>284</v>
      </c>
      <c r="E10">
        <v>43</v>
      </c>
      <c r="F10">
        <v>0</v>
      </c>
      <c r="G10">
        <v>0</v>
      </c>
      <c r="H10">
        <v>0</v>
      </c>
      <c r="I10">
        <v>0</v>
      </c>
      <c r="J10">
        <v>0</v>
      </c>
      <c r="K10">
        <v>171</v>
      </c>
      <c r="L10">
        <v>0</v>
      </c>
      <c r="M10">
        <v>0</v>
      </c>
      <c r="N10">
        <v>0</v>
      </c>
      <c r="O10">
        <v>0</v>
      </c>
      <c r="P10">
        <v>0</v>
      </c>
      <c r="Q10">
        <v>171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J10">
        <v>6.6150000000000002</v>
      </c>
      <c r="AK10" t="str">
        <f t="shared" si="0"/>
        <v>AB400-5000</v>
      </c>
    </row>
    <row r="11" spans="1:37" ht="15">
      <c r="A11" t="s">
        <v>295</v>
      </c>
      <c r="B11" t="s">
        <v>296</v>
      </c>
      <c r="C11" t="s">
        <v>110</v>
      </c>
      <c r="D11" t="s">
        <v>292</v>
      </c>
      <c r="E11">
        <v>50</v>
      </c>
      <c r="F11">
        <v>0</v>
      </c>
      <c r="G11">
        <v>58</v>
      </c>
      <c r="H11">
        <v>0</v>
      </c>
      <c r="I11">
        <v>0</v>
      </c>
      <c r="J11">
        <v>12</v>
      </c>
      <c r="K11">
        <v>0</v>
      </c>
      <c r="L11">
        <v>2</v>
      </c>
      <c r="M11">
        <v>0</v>
      </c>
      <c r="N11">
        <v>49</v>
      </c>
      <c r="O11">
        <v>0</v>
      </c>
      <c r="P11">
        <v>0</v>
      </c>
      <c r="Q11">
        <v>-49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149</v>
      </c>
      <c r="AB11">
        <v>0</v>
      </c>
      <c r="AC11">
        <v>0</v>
      </c>
      <c r="AD11">
        <v>0</v>
      </c>
      <c r="AE11">
        <v>149</v>
      </c>
      <c r="AF11">
        <v>416</v>
      </c>
      <c r="AJ11">
        <v>5.3494000000000002</v>
      </c>
      <c r="AK11" t="str">
        <f t="shared" si="0"/>
        <v>AE021-5000</v>
      </c>
    </row>
    <row r="12" spans="1:37" ht="15">
      <c r="A12" t="s">
        <v>297</v>
      </c>
      <c r="B12" t="s">
        <v>296</v>
      </c>
      <c r="C12" t="s">
        <v>110</v>
      </c>
      <c r="D12" t="s">
        <v>292</v>
      </c>
      <c r="E12">
        <v>50</v>
      </c>
      <c r="F12">
        <v>0.4</v>
      </c>
      <c r="G12">
        <v>0</v>
      </c>
      <c r="H12">
        <v>114</v>
      </c>
      <c r="I12">
        <v>57</v>
      </c>
      <c r="J12">
        <v>28</v>
      </c>
      <c r="K12">
        <v>174</v>
      </c>
      <c r="L12">
        <v>169</v>
      </c>
      <c r="M12">
        <v>0</v>
      </c>
      <c r="N12">
        <v>0</v>
      </c>
      <c r="O12">
        <v>0</v>
      </c>
      <c r="P12">
        <v>0</v>
      </c>
      <c r="Q12">
        <v>174</v>
      </c>
      <c r="R12">
        <v>0</v>
      </c>
      <c r="S12">
        <v>0</v>
      </c>
      <c r="T12">
        <v>0</v>
      </c>
      <c r="U12">
        <v>341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341</v>
      </c>
      <c r="AF12">
        <v>425</v>
      </c>
      <c r="AG12">
        <v>5.4874999999999998</v>
      </c>
      <c r="AK12" t="str">
        <f t="shared" si="0"/>
        <v>AE021-6200</v>
      </c>
    </row>
    <row r="13" spans="1:37" ht="15">
      <c r="A13" t="s">
        <v>298</v>
      </c>
      <c r="B13" t="s">
        <v>299</v>
      </c>
      <c r="C13" t="s">
        <v>110</v>
      </c>
      <c r="D13" t="s">
        <v>284</v>
      </c>
      <c r="E13">
        <v>50</v>
      </c>
      <c r="F13">
        <v>0</v>
      </c>
      <c r="G13">
        <v>0</v>
      </c>
      <c r="H13">
        <v>0</v>
      </c>
      <c r="I13">
        <v>0</v>
      </c>
      <c r="J13">
        <v>8</v>
      </c>
      <c r="K13">
        <v>220</v>
      </c>
      <c r="L13">
        <v>15</v>
      </c>
      <c r="M13">
        <v>0</v>
      </c>
      <c r="N13">
        <v>0</v>
      </c>
      <c r="O13">
        <v>0</v>
      </c>
      <c r="P13">
        <v>0</v>
      </c>
      <c r="Q13">
        <v>220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97</v>
      </c>
      <c r="AE13">
        <v>97</v>
      </c>
      <c r="AF13">
        <v>0</v>
      </c>
      <c r="AG13">
        <v>6.7164999999999999</v>
      </c>
      <c r="AK13" t="str">
        <f t="shared" si="0"/>
        <v>AE060-5000</v>
      </c>
    </row>
    <row r="14" spans="1:37" ht="15">
      <c r="A14" t="s">
        <v>301</v>
      </c>
      <c r="B14" t="s">
        <v>302</v>
      </c>
      <c r="C14" t="s">
        <v>110</v>
      </c>
      <c r="D14" t="s">
        <v>284</v>
      </c>
      <c r="E14">
        <v>50</v>
      </c>
      <c r="F14">
        <v>0.3</v>
      </c>
      <c r="G14">
        <v>0</v>
      </c>
      <c r="H14">
        <v>162</v>
      </c>
      <c r="I14">
        <v>298</v>
      </c>
      <c r="J14">
        <v>273</v>
      </c>
      <c r="K14">
        <v>182</v>
      </c>
      <c r="L14">
        <v>154</v>
      </c>
      <c r="M14">
        <v>0</v>
      </c>
      <c r="N14">
        <v>0</v>
      </c>
      <c r="O14">
        <v>0</v>
      </c>
      <c r="P14">
        <v>0</v>
      </c>
      <c r="Q14">
        <v>182</v>
      </c>
      <c r="R14">
        <v>0</v>
      </c>
      <c r="S14">
        <v>0</v>
      </c>
      <c r="T14">
        <v>0</v>
      </c>
      <c r="U14">
        <v>487</v>
      </c>
      <c r="V14">
        <v>394</v>
      </c>
      <c r="W14">
        <v>718</v>
      </c>
      <c r="X14">
        <v>190</v>
      </c>
      <c r="Y14">
        <v>918</v>
      </c>
      <c r="Z14">
        <v>320</v>
      </c>
      <c r="AA14">
        <v>0</v>
      </c>
      <c r="AB14">
        <v>108</v>
      </c>
      <c r="AC14">
        <v>0</v>
      </c>
      <c r="AD14">
        <v>145</v>
      </c>
      <c r="AE14">
        <v>3280</v>
      </c>
      <c r="AF14">
        <v>2408</v>
      </c>
      <c r="AG14">
        <v>6.7443999999999997</v>
      </c>
      <c r="AK14" t="str">
        <f t="shared" si="0"/>
        <v>AE100-5000</v>
      </c>
    </row>
    <row r="15" spans="1:37" ht="15">
      <c r="A15" t="s">
        <v>303</v>
      </c>
      <c r="B15" t="s">
        <v>302</v>
      </c>
      <c r="C15" t="s">
        <v>1076</v>
      </c>
      <c r="D15" t="s">
        <v>284</v>
      </c>
      <c r="E15">
        <v>50</v>
      </c>
      <c r="F15">
        <v>0</v>
      </c>
      <c r="G15">
        <v>57</v>
      </c>
      <c r="H15">
        <v>0</v>
      </c>
      <c r="I15">
        <v>204</v>
      </c>
      <c r="J15">
        <v>216</v>
      </c>
      <c r="K15">
        <v>644</v>
      </c>
      <c r="L15">
        <v>0</v>
      </c>
      <c r="M15">
        <v>0</v>
      </c>
      <c r="N15">
        <v>48</v>
      </c>
      <c r="O15">
        <v>0</v>
      </c>
      <c r="P15">
        <v>0</v>
      </c>
      <c r="Q15">
        <v>596</v>
      </c>
      <c r="R15">
        <v>0</v>
      </c>
      <c r="S15">
        <v>0</v>
      </c>
      <c r="T15">
        <v>0</v>
      </c>
      <c r="U15">
        <v>0</v>
      </c>
      <c r="V15">
        <v>742</v>
      </c>
      <c r="W15">
        <v>484</v>
      </c>
      <c r="X15">
        <v>0</v>
      </c>
      <c r="Y15">
        <v>442</v>
      </c>
      <c r="Z15">
        <v>175</v>
      </c>
      <c r="AA15">
        <v>589</v>
      </c>
      <c r="AB15">
        <v>0</v>
      </c>
      <c r="AC15">
        <v>0</v>
      </c>
      <c r="AD15">
        <v>160</v>
      </c>
      <c r="AE15">
        <v>2592</v>
      </c>
      <c r="AF15">
        <v>2014</v>
      </c>
      <c r="AG15" t="s">
        <v>4464</v>
      </c>
      <c r="AH15">
        <v>1</v>
      </c>
      <c r="AI15">
        <v>242</v>
      </c>
      <c r="AJ15">
        <v>6.7443999999999997</v>
      </c>
      <c r="AK15" t="str">
        <f t="shared" si="0"/>
        <v>AE100-6200</v>
      </c>
    </row>
    <row r="16" spans="1:37" ht="15">
      <c r="A16" t="s">
        <v>308</v>
      </c>
      <c r="B16" t="s">
        <v>309</v>
      </c>
      <c r="C16" t="s">
        <v>110</v>
      </c>
      <c r="D16" t="s">
        <v>306</v>
      </c>
      <c r="E16">
        <v>43</v>
      </c>
      <c r="F16">
        <v>0.8</v>
      </c>
      <c r="G16">
        <v>0</v>
      </c>
      <c r="H16">
        <v>93</v>
      </c>
      <c r="I16">
        <v>47</v>
      </c>
      <c r="J16">
        <v>23</v>
      </c>
      <c r="K16">
        <v>290</v>
      </c>
      <c r="L16">
        <v>34</v>
      </c>
      <c r="M16">
        <v>0</v>
      </c>
      <c r="N16">
        <v>0</v>
      </c>
      <c r="O16">
        <v>0</v>
      </c>
      <c r="P16">
        <v>0</v>
      </c>
      <c r="Q16">
        <v>290</v>
      </c>
      <c r="R16">
        <v>0</v>
      </c>
      <c r="S16">
        <v>0</v>
      </c>
      <c r="T16">
        <v>0</v>
      </c>
      <c r="U16">
        <v>280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280</v>
      </c>
      <c r="AF16">
        <v>0</v>
      </c>
      <c r="AJ16">
        <v>5.0094000000000003</v>
      </c>
      <c r="AK16" t="str">
        <f t="shared" si="0"/>
        <v>AG021-5000</v>
      </c>
    </row>
    <row r="17" spans="1:37" ht="15">
      <c r="A17" t="s">
        <v>323</v>
      </c>
      <c r="B17" t="s">
        <v>324</v>
      </c>
      <c r="C17" t="s">
        <v>1076</v>
      </c>
      <c r="E17">
        <v>43</v>
      </c>
      <c r="F17">
        <v>0</v>
      </c>
      <c r="G17">
        <v>0</v>
      </c>
      <c r="H17">
        <v>65</v>
      </c>
      <c r="I17">
        <v>33</v>
      </c>
      <c r="J17">
        <v>38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195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265</v>
      </c>
      <c r="AC17">
        <v>0</v>
      </c>
      <c r="AD17">
        <v>0</v>
      </c>
      <c r="AE17">
        <v>460</v>
      </c>
      <c r="AF17">
        <v>149</v>
      </c>
      <c r="AG17" t="s">
        <v>7487</v>
      </c>
      <c r="AH17">
        <v>1</v>
      </c>
      <c r="AI17">
        <v>15</v>
      </c>
      <c r="AJ17">
        <v>7.0625</v>
      </c>
      <c r="AK17" t="str">
        <f t="shared" si="0"/>
        <v>AG081-5000</v>
      </c>
    </row>
    <row r="18" spans="1:37" ht="15">
      <c r="A18" t="s">
        <v>323</v>
      </c>
      <c r="B18" t="s">
        <v>324</v>
      </c>
      <c r="C18" t="s">
        <v>1076</v>
      </c>
      <c r="E18">
        <v>43</v>
      </c>
      <c r="AG18" t="s">
        <v>7554</v>
      </c>
      <c r="AH18">
        <v>7</v>
      </c>
      <c r="AI18">
        <v>100</v>
      </c>
      <c r="AK18" t="str">
        <f t="shared" si="0"/>
        <v>AG081-5000</v>
      </c>
    </row>
    <row r="19" spans="1:37" ht="15">
      <c r="A19" t="s">
        <v>326</v>
      </c>
      <c r="B19" t="s">
        <v>324</v>
      </c>
      <c r="C19" t="s">
        <v>325</v>
      </c>
      <c r="E19">
        <v>43</v>
      </c>
      <c r="F19">
        <v>0</v>
      </c>
      <c r="G19">
        <v>0</v>
      </c>
      <c r="H19">
        <v>0</v>
      </c>
      <c r="I19">
        <v>0</v>
      </c>
      <c r="J19">
        <v>16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75</v>
      </c>
      <c r="AC19">
        <v>0</v>
      </c>
      <c r="AD19">
        <v>118</v>
      </c>
      <c r="AE19">
        <v>193</v>
      </c>
      <c r="AF19">
        <v>0</v>
      </c>
      <c r="AG19">
        <v>6.0514999999999999</v>
      </c>
      <c r="AK19" t="str">
        <f t="shared" si="0"/>
        <v>AG081-6200</v>
      </c>
    </row>
    <row r="20" spans="1:37" ht="15">
      <c r="A20" t="s">
        <v>333</v>
      </c>
      <c r="B20" t="s">
        <v>334</v>
      </c>
      <c r="C20" t="s">
        <v>325</v>
      </c>
      <c r="E20">
        <v>50</v>
      </c>
      <c r="F20">
        <v>0</v>
      </c>
      <c r="G20">
        <v>0</v>
      </c>
      <c r="H20">
        <v>0</v>
      </c>
      <c r="I20">
        <v>149</v>
      </c>
      <c r="J20">
        <v>109</v>
      </c>
      <c r="K20">
        <v>63</v>
      </c>
      <c r="L20">
        <v>21</v>
      </c>
      <c r="M20">
        <v>0</v>
      </c>
      <c r="N20">
        <v>0</v>
      </c>
      <c r="O20">
        <v>0</v>
      </c>
      <c r="P20">
        <v>0</v>
      </c>
      <c r="Q20">
        <v>63</v>
      </c>
      <c r="R20">
        <v>0</v>
      </c>
      <c r="S20">
        <v>0</v>
      </c>
      <c r="T20">
        <v>0</v>
      </c>
      <c r="U20">
        <v>0</v>
      </c>
      <c r="V20">
        <v>0</v>
      </c>
      <c r="W20">
        <v>344</v>
      </c>
      <c r="X20">
        <v>547</v>
      </c>
      <c r="Y20">
        <v>191</v>
      </c>
      <c r="Z20">
        <v>222</v>
      </c>
      <c r="AA20">
        <v>0</v>
      </c>
      <c r="AB20">
        <v>0</v>
      </c>
      <c r="AC20">
        <v>0</v>
      </c>
      <c r="AD20">
        <v>0</v>
      </c>
      <c r="AE20">
        <v>1304</v>
      </c>
      <c r="AF20">
        <v>972</v>
      </c>
      <c r="AG20">
        <v>5.3741000000000003</v>
      </c>
      <c r="AK20" t="str">
        <f t="shared" si="0"/>
        <v>AG130-5000</v>
      </c>
    </row>
    <row r="21" spans="1:37" ht="15">
      <c r="A21" t="s">
        <v>347</v>
      </c>
      <c r="B21" t="s">
        <v>345</v>
      </c>
      <c r="C21" t="s">
        <v>110</v>
      </c>
      <c r="E21">
        <v>50</v>
      </c>
      <c r="F21">
        <v>0</v>
      </c>
      <c r="G21">
        <v>0</v>
      </c>
      <c r="H21">
        <v>225</v>
      </c>
      <c r="I21">
        <v>153</v>
      </c>
      <c r="J21">
        <v>120</v>
      </c>
      <c r="K21">
        <v>0</v>
      </c>
      <c r="L21">
        <v>186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426</v>
      </c>
      <c r="U21">
        <v>248</v>
      </c>
      <c r="V21">
        <v>0</v>
      </c>
      <c r="W21">
        <v>0</v>
      </c>
      <c r="X21">
        <v>246</v>
      </c>
      <c r="Y21">
        <v>0</v>
      </c>
      <c r="Z21">
        <v>0</v>
      </c>
      <c r="AA21">
        <v>0</v>
      </c>
      <c r="AB21">
        <v>207</v>
      </c>
      <c r="AC21">
        <v>317</v>
      </c>
      <c r="AD21">
        <v>0</v>
      </c>
      <c r="AE21">
        <v>1444</v>
      </c>
      <c r="AF21">
        <v>1432</v>
      </c>
      <c r="AG21">
        <v>4.7285000000000004</v>
      </c>
      <c r="AK21" t="str">
        <f t="shared" si="0"/>
        <v>AG251-6200</v>
      </c>
    </row>
    <row r="22" spans="1:37" ht="15">
      <c r="A22" t="s">
        <v>356</v>
      </c>
      <c r="B22" t="s">
        <v>357</v>
      </c>
      <c r="C22" t="s">
        <v>329</v>
      </c>
      <c r="D22" t="s">
        <v>292</v>
      </c>
      <c r="E22">
        <v>50</v>
      </c>
      <c r="F22">
        <v>0.6</v>
      </c>
      <c r="G22">
        <v>0</v>
      </c>
      <c r="H22">
        <v>105</v>
      </c>
      <c r="I22">
        <v>99</v>
      </c>
      <c r="J22">
        <v>119</v>
      </c>
      <c r="K22">
        <v>240</v>
      </c>
      <c r="L22">
        <v>0</v>
      </c>
      <c r="M22">
        <v>0</v>
      </c>
      <c r="N22">
        <v>0</v>
      </c>
      <c r="O22">
        <v>0</v>
      </c>
      <c r="P22">
        <v>0</v>
      </c>
      <c r="Q22">
        <v>240</v>
      </c>
      <c r="R22">
        <v>0</v>
      </c>
      <c r="S22">
        <v>0</v>
      </c>
      <c r="T22">
        <v>0</v>
      </c>
      <c r="U22">
        <v>315</v>
      </c>
      <c r="V22">
        <v>0</v>
      </c>
      <c r="W22">
        <v>0</v>
      </c>
      <c r="X22">
        <v>280</v>
      </c>
      <c r="Y22">
        <v>490</v>
      </c>
      <c r="Z22">
        <v>0</v>
      </c>
      <c r="AA22">
        <v>0</v>
      </c>
      <c r="AB22">
        <v>0</v>
      </c>
      <c r="AC22">
        <v>0</v>
      </c>
      <c r="AD22">
        <v>345</v>
      </c>
      <c r="AE22">
        <v>1430</v>
      </c>
      <c r="AF22">
        <v>1752</v>
      </c>
      <c r="AG22">
        <v>6.3375000000000004</v>
      </c>
      <c r="AK22" t="str">
        <f t="shared" si="0"/>
        <v>AG381-5000</v>
      </c>
    </row>
    <row r="23" spans="1:37" ht="15">
      <c r="A23" t="s">
        <v>358</v>
      </c>
      <c r="B23" t="s">
        <v>357</v>
      </c>
      <c r="C23" t="s">
        <v>1076</v>
      </c>
      <c r="D23" t="s">
        <v>292</v>
      </c>
      <c r="E23">
        <v>50</v>
      </c>
      <c r="F23">
        <v>0</v>
      </c>
      <c r="G23">
        <v>0</v>
      </c>
      <c r="H23">
        <v>139</v>
      </c>
      <c r="I23">
        <v>70</v>
      </c>
      <c r="J23">
        <v>67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418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385</v>
      </c>
      <c r="AE23">
        <v>803</v>
      </c>
      <c r="AF23">
        <v>388</v>
      </c>
      <c r="AG23" t="s">
        <v>4465</v>
      </c>
      <c r="AH23">
        <v>8</v>
      </c>
      <c r="AI23">
        <v>13</v>
      </c>
      <c r="AJ23">
        <v>6.3375000000000004</v>
      </c>
      <c r="AK23" t="str">
        <f t="shared" si="0"/>
        <v>AG381-6200</v>
      </c>
    </row>
    <row r="24" spans="1:37" ht="15">
      <c r="A24" t="s">
        <v>362</v>
      </c>
      <c r="B24" t="s">
        <v>363</v>
      </c>
      <c r="C24" t="s">
        <v>267</v>
      </c>
      <c r="E24">
        <v>62</v>
      </c>
      <c r="F24">
        <v>2.8</v>
      </c>
      <c r="G24">
        <v>0</v>
      </c>
      <c r="H24">
        <v>493</v>
      </c>
      <c r="I24">
        <v>246</v>
      </c>
      <c r="J24">
        <v>243</v>
      </c>
      <c r="K24">
        <v>5524</v>
      </c>
      <c r="L24">
        <v>164</v>
      </c>
      <c r="M24">
        <v>0</v>
      </c>
      <c r="N24">
        <v>0</v>
      </c>
      <c r="O24">
        <v>0</v>
      </c>
      <c r="P24">
        <v>0</v>
      </c>
      <c r="Q24">
        <v>5524</v>
      </c>
      <c r="R24">
        <v>0</v>
      </c>
      <c r="S24">
        <v>725</v>
      </c>
      <c r="T24">
        <v>573</v>
      </c>
      <c r="U24">
        <v>180</v>
      </c>
      <c r="V24">
        <v>0</v>
      </c>
      <c r="W24">
        <v>0</v>
      </c>
      <c r="X24">
        <v>0</v>
      </c>
      <c r="Y24">
        <v>794</v>
      </c>
      <c r="Z24">
        <v>0</v>
      </c>
      <c r="AA24">
        <v>0</v>
      </c>
      <c r="AB24">
        <v>0</v>
      </c>
      <c r="AC24">
        <v>648</v>
      </c>
      <c r="AD24">
        <v>0</v>
      </c>
      <c r="AE24">
        <v>2920</v>
      </c>
      <c r="AF24">
        <v>0</v>
      </c>
      <c r="AG24">
        <v>8.8073999999999995</v>
      </c>
      <c r="AK24" t="str">
        <f t="shared" si="0"/>
        <v>AG460-6200</v>
      </c>
    </row>
    <row r="25" spans="1:37" ht="15">
      <c r="A25" t="s">
        <v>370</v>
      </c>
      <c r="B25" t="s">
        <v>371</v>
      </c>
      <c r="C25" t="s">
        <v>325</v>
      </c>
      <c r="E25">
        <v>43</v>
      </c>
      <c r="F25">
        <v>0</v>
      </c>
      <c r="G25">
        <v>0</v>
      </c>
      <c r="H25">
        <v>0</v>
      </c>
      <c r="I25">
        <v>0</v>
      </c>
      <c r="J25">
        <v>0</v>
      </c>
      <c r="K25">
        <v>70</v>
      </c>
      <c r="L25">
        <v>0</v>
      </c>
      <c r="M25">
        <v>0</v>
      </c>
      <c r="N25">
        <v>0</v>
      </c>
      <c r="O25">
        <v>0</v>
      </c>
      <c r="P25">
        <v>0</v>
      </c>
      <c r="Q25">
        <v>70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J25">
        <v>4.9450000000000003</v>
      </c>
      <c r="AK25" t="str">
        <f t="shared" si="0"/>
        <v>AG500-5000</v>
      </c>
    </row>
    <row r="26" spans="1:37" ht="15">
      <c r="A26" t="s">
        <v>382</v>
      </c>
      <c r="B26" t="s">
        <v>383</v>
      </c>
      <c r="C26" t="s">
        <v>1076</v>
      </c>
      <c r="D26" t="s">
        <v>380</v>
      </c>
      <c r="E26">
        <v>45</v>
      </c>
      <c r="F26">
        <v>0</v>
      </c>
      <c r="G26">
        <v>0</v>
      </c>
      <c r="H26">
        <v>0</v>
      </c>
      <c r="I26">
        <v>111</v>
      </c>
      <c r="J26">
        <v>219</v>
      </c>
      <c r="K26">
        <v>705</v>
      </c>
      <c r="L26">
        <v>61</v>
      </c>
      <c r="M26">
        <v>0</v>
      </c>
      <c r="N26">
        <v>0</v>
      </c>
      <c r="O26">
        <v>0</v>
      </c>
      <c r="P26">
        <v>0</v>
      </c>
      <c r="Q26">
        <v>705</v>
      </c>
      <c r="R26">
        <v>0</v>
      </c>
      <c r="S26">
        <v>0</v>
      </c>
      <c r="T26">
        <v>0</v>
      </c>
      <c r="U26">
        <v>0</v>
      </c>
      <c r="V26">
        <v>0</v>
      </c>
      <c r="W26">
        <v>256</v>
      </c>
      <c r="X26">
        <v>408</v>
      </c>
      <c r="Y26">
        <v>1082</v>
      </c>
      <c r="Z26">
        <v>316</v>
      </c>
      <c r="AA26">
        <v>405</v>
      </c>
      <c r="AB26">
        <v>166</v>
      </c>
      <c r="AC26">
        <v>0</v>
      </c>
      <c r="AD26">
        <v>0</v>
      </c>
      <c r="AE26">
        <v>2633</v>
      </c>
      <c r="AF26">
        <v>6399</v>
      </c>
      <c r="AG26" t="s">
        <v>4466</v>
      </c>
      <c r="AH26">
        <v>2</v>
      </c>
      <c r="AI26">
        <v>60</v>
      </c>
      <c r="AJ26">
        <v>5.2374999999999998</v>
      </c>
      <c r="AK26" t="str">
        <f t="shared" si="0"/>
        <v>AG611-5000</v>
      </c>
    </row>
    <row r="27" spans="1:37" ht="15">
      <c r="A27" t="s">
        <v>382</v>
      </c>
      <c r="B27" t="s">
        <v>383</v>
      </c>
      <c r="C27" t="s">
        <v>1076</v>
      </c>
      <c r="D27" t="s">
        <v>380</v>
      </c>
      <c r="E27">
        <v>45</v>
      </c>
      <c r="AG27" t="s">
        <v>4467</v>
      </c>
      <c r="AH27">
        <v>1</v>
      </c>
      <c r="AI27">
        <v>27</v>
      </c>
      <c r="AK27" t="str">
        <f t="shared" si="0"/>
        <v>AG611-5000</v>
      </c>
    </row>
    <row r="28" spans="1:37" ht="15">
      <c r="A28" t="s">
        <v>382</v>
      </c>
      <c r="B28" t="s">
        <v>383</v>
      </c>
      <c r="C28" t="s">
        <v>1076</v>
      </c>
      <c r="D28" t="s">
        <v>380</v>
      </c>
      <c r="E28">
        <v>45</v>
      </c>
      <c r="AG28" t="s">
        <v>4468</v>
      </c>
      <c r="AH28">
        <v>1</v>
      </c>
      <c r="AI28">
        <v>29</v>
      </c>
      <c r="AK28" t="str">
        <f t="shared" si="0"/>
        <v>AG611-5000</v>
      </c>
    </row>
    <row r="29" spans="1:37" ht="15">
      <c r="A29" t="s">
        <v>382</v>
      </c>
      <c r="B29" t="s">
        <v>383</v>
      </c>
      <c r="C29" t="s">
        <v>1076</v>
      </c>
      <c r="D29" t="s">
        <v>380</v>
      </c>
      <c r="E29">
        <v>45</v>
      </c>
      <c r="AG29" t="s">
        <v>4469</v>
      </c>
      <c r="AH29">
        <v>1</v>
      </c>
      <c r="AI29">
        <v>29</v>
      </c>
      <c r="AK29" t="str">
        <f t="shared" si="0"/>
        <v>AG611-5000</v>
      </c>
    </row>
    <row r="30" spans="1:37" ht="15">
      <c r="A30" t="s">
        <v>384</v>
      </c>
      <c r="B30" t="s">
        <v>383</v>
      </c>
      <c r="C30" t="s">
        <v>275</v>
      </c>
      <c r="D30" t="s">
        <v>385</v>
      </c>
      <c r="E30">
        <v>45</v>
      </c>
      <c r="F30">
        <v>0</v>
      </c>
      <c r="G30">
        <v>0</v>
      </c>
      <c r="H30">
        <v>0</v>
      </c>
      <c r="I30">
        <v>274</v>
      </c>
      <c r="J30">
        <v>604</v>
      </c>
      <c r="K30">
        <v>1706</v>
      </c>
      <c r="L30">
        <v>62</v>
      </c>
      <c r="M30">
        <v>0</v>
      </c>
      <c r="N30">
        <v>0</v>
      </c>
      <c r="O30">
        <v>0</v>
      </c>
      <c r="P30">
        <v>0</v>
      </c>
      <c r="Q30">
        <v>1706</v>
      </c>
      <c r="R30">
        <v>0</v>
      </c>
      <c r="S30">
        <v>0</v>
      </c>
      <c r="T30">
        <v>0</v>
      </c>
      <c r="U30">
        <v>0</v>
      </c>
      <c r="V30">
        <v>196</v>
      </c>
      <c r="W30">
        <v>0</v>
      </c>
      <c r="X30">
        <v>1448</v>
      </c>
      <c r="Y30">
        <v>1417</v>
      </c>
      <c r="Z30">
        <v>1449</v>
      </c>
      <c r="AA30">
        <v>1522</v>
      </c>
      <c r="AB30">
        <v>1031</v>
      </c>
      <c r="AC30">
        <v>0</v>
      </c>
      <c r="AD30">
        <v>185</v>
      </c>
      <c r="AE30">
        <v>7248</v>
      </c>
      <c r="AF30">
        <v>6550</v>
      </c>
      <c r="AG30">
        <v>4.9970999999999997</v>
      </c>
      <c r="AK30" t="str">
        <f t="shared" si="0"/>
        <v>AG611-6200</v>
      </c>
    </row>
    <row r="31" spans="1:37" ht="15">
      <c r="A31" t="s">
        <v>386</v>
      </c>
      <c r="B31" t="s">
        <v>387</v>
      </c>
      <c r="C31" t="s">
        <v>313</v>
      </c>
      <c r="D31" t="s">
        <v>388</v>
      </c>
      <c r="E31">
        <v>43</v>
      </c>
      <c r="F31">
        <v>0</v>
      </c>
      <c r="G31">
        <v>0</v>
      </c>
      <c r="H31">
        <v>0</v>
      </c>
      <c r="I31">
        <v>0</v>
      </c>
      <c r="J31">
        <v>0</v>
      </c>
      <c r="K31">
        <v>108</v>
      </c>
      <c r="L31">
        <v>0</v>
      </c>
      <c r="M31">
        <v>0</v>
      </c>
      <c r="N31">
        <v>0</v>
      </c>
      <c r="O31">
        <v>0</v>
      </c>
      <c r="P31">
        <v>0</v>
      </c>
      <c r="Q31">
        <v>108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7.4112999999999998</v>
      </c>
      <c r="AK31" t="str">
        <f t="shared" si="0"/>
        <v>AG640-5000</v>
      </c>
    </row>
    <row r="32" spans="1:37" ht="15">
      <c r="A32" t="s">
        <v>390</v>
      </c>
      <c r="B32" t="s">
        <v>391</v>
      </c>
      <c r="C32" t="s">
        <v>313</v>
      </c>
      <c r="E32">
        <v>43</v>
      </c>
      <c r="F32">
        <v>0</v>
      </c>
      <c r="G32">
        <v>0</v>
      </c>
      <c r="H32">
        <v>0</v>
      </c>
      <c r="I32">
        <v>0</v>
      </c>
      <c r="J32">
        <v>0</v>
      </c>
      <c r="K32">
        <v>204</v>
      </c>
      <c r="L32">
        <v>0</v>
      </c>
      <c r="M32">
        <v>0</v>
      </c>
      <c r="N32">
        <v>0</v>
      </c>
      <c r="O32">
        <v>0</v>
      </c>
      <c r="P32">
        <v>0</v>
      </c>
      <c r="Q32">
        <v>204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6.9249999999999998</v>
      </c>
      <c r="AK32" t="str">
        <f t="shared" si="0"/>
        <v>AG730-5000</v>
      </c>
    </row>
    <row r="33" spans="1:37" ht="15">
      <c r="A33" t="s">
        <v>392</v>
      </c>
      <c r="B33" t="s">
        <v>391</v>
      </c>
      <c r="C33" t="s">
        <v>313</v>
      </c>
      <c r="E33">
        <v>43</v>
      </c>
      <c r="F33">
        <v>0.5</v>
      </c>
      <c r="G33">
        <v>0</v>
      </c>
      <c r="H33">
        <v>106</v>
      </c>
      <c r="I33">
        <v>70</v>
      </c>
      <c r="J33">
        <v>89</v>
      </c>
      <c r="K33">
        <v>198</v>
      </c>
      <c r="L33">
        <v>61</v>
      </c>
      <c r="M33">
        <v>0</v>
      </c>
      <c r="N33">
        <v>0</v>
      </c>
      <c r="O33">
        <v>0</v>
      </c>
      <c r="P33">
        <v>0</v>
      </c>
      <c r="Q33">
        <v>198</v>
      </c>
      <c r="R33">
        <v>0</v>
      </c>
      <c r="S33">
        <v>106</v>
      </c>
      <c r="T33">
        <v>0</v>
      </c>
      <c r="U33">
        <v>212</v>
      </c>
      <c r="V33">
        <v>104</v>
      </c>
      <c r="W33">
        <v>0</v>
      </c>
      <c r="X33">
        <v>0</v>
      </c>
      <c r="Y33">
        <v>180</v>
      </c>
      <c r="Z33">
        <v>230</v>
      </c>
      <c r="AA33">
        <v>0</v>
      </c>
      <c r="AB33">
        <v>0</v>
      </c>
      <c r="AC33">
        <v>231</v>
      </c>
      <c r="AD33">
        <v>0</v>
      </c>
      <c r="AE33">
        <v>1063</v>
      </c>
      <c r="AF33">
        <v>100</v>
      </c>
      <c r="AG33">
        <v>6.9249999999999998</v>
      </c>
      <c r="AK33" t="str">
        <f t="shared" si="0"/>
        <v>AG730-6200</v>
      </c>
    </row>
    <row r="34" spans="1:37" ht="15">
      <c r="A34" t="s">
        <v>402</v>
      </c>
      <c r="B34" t="s">
        <v>403</v>
      </c>
      <c r="C34" t="s">
        <v>267</v>
      </c>
      <c r="D34" t="s">
        <v>284</v>
      </c>
      <c r="E34">
        <v>43</v>
      </c>
      <c r="F34">
        <v>0</v>
      </c>
      <c r="G34">
        <v>0</v>
      </c>
      <c r="H34">
        <v>0</v>
      </c>
      <c r="I34">
        <v>0</v>
      </c>
      <c r="J34">
        <v>0</v>
      </c>
      <c r="K34">
        <v>134</v>
      </c>
      <c r="L34">
        <v>21</v>
      </c>
      <c r="M34">
        <v>0</v>
      </c>
      <c r="N34">
        <v>0</v>
      </c>
      <c r="O34">
        <v>0</v>
      </c>
      <c r="P34">
        <v>0</v>
      </c>
      <c r="Q34">
        <v>134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85</v>
      </c>
      <c r="AG34">
        <v>8.9817</v>
      </c>
      <c r="AK34" t="str">
        <f t="shared" si="0"/>
        <v>AG801-5000</v>
      </c>
    </row>
    <row r="35" spans="1:37" ht="15">
      <c r="A35" t="s">
        <v>432</v>
      </c>
      <c r="B35" t="s">
        <v>433</v>
      </c>
      <c r="C35" t="s">
        <v>110</v>
      </c>
      <c r="D35" t="s">
        <v>268</v>
      </c>
      <c r="E35">
        <v>43</v>
      </c>
      <c r="F35">
        <v>0</v>
      </c>
      <c r="G35">
        <v>0</v>
      </c>
      <c r="H35">
        <v>0</v>
      </c>
      <c r="I35">
        <v>0</v>
      </c>
      <c r="J35">
        <v>0</v>
      </c>
      <c r="K35">
        <v>262</v>
      </c>
      <c r="L35">
        <v>0</v>
      </c>
      <c r="M35">
        <v>0</v>
      </c>
      <c r="N35">
        <v>0</v>
      </c>
      <c r="O35">
        <v>0</v>
      </c>
      <c r="P35">
        <v>0</v>
      </c>
      <c r="Q35">
        <v>262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J35">
        <v>5.6178999999999997</v>
      </c>
      <c r="AK35" t="str">
        <f t="shared" si="0"/>
        <v>AT121-6200</v>
      </c>
    </row>
    <row r="36" spans="1:37" ht="15">
      <c r="A36" t="s">
        <v>450</v>
      </c>
      <c r="B36" t="s">
        <v>449</v>
      </c>
      <c r="C36" t="s">
        <v>275</v>
      </c>
      <c r="D36" t="s">
        <v>451</v>
      </c>
      <c r="E36">
        <v>45</v>
      </c>
      <c r="F36">
        <v>0</v>
      </c>
      <c r="G36">
        <v>0</v>
      </c>
      <c r="H36">
        <v>0</v>
      </c>
      <c r="I36">
        <v>0</v>
      </c>
      <c r="J36">
        <v>0</v>
      </c>
      <c r="K36">
        <v>134</v>
      </c>
      <c r="L36">
        <v>0</v>
      </c>
      <c r="M36">
        <v>0</v>
      </c>
      <c r="N36">
        <v>0</v>
      </c>
      <c r="O36">
        <v>0</v>
      </c>
      <c r="P36">
        <v>0</v>
      </c>
      <c r="Q36">
        <v>134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J36">
        <v>6.4383999999999997</v>
      </c>
      <c r="AK36" t="str">
        <f t="shared" si="0"/>
        <v>AT291-6200</v>
      </c>
    </row>
    <row r="37" spans="1:37" ht="15">
      <c r="A37" t="s">
        <v>466</v>
      </c>
      <c r="B37" t="s">
        <v>464</v>
      </c>
      <c r="C37" t="s">
        <v>275</v>
      </c>
      <c r="D37" t="s">
        <v>465</v>
      </c>
      <c r="E37">
        <v>43</v>
      </c>
      <c r="F37">
        <v>0</v>
      </c>
      <c r="G37">
        <v>0</v>
      </c>
      <c r="H37">
        <v>0</v>
      </c>
      <c r="I37">
        <v>0</v>
      </c>
      <c r="J37">
        <v>0</v>
      </c>
      <c r="K37">
        <v>234</v>
      </c>
      <c r="L37">
        <v>0</v>
      </c>
      <c r="M37">
        <v>0</v>
      </c>
      <c r="N37">
        <v>0</v>
      </c>
      <c r="O37">
        <v>0</v>
      </c>
      <c r="P37">
        <v>0</v>
      </c>
      <c r="Q37">
        <v>234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6.2750000000000004</v>
      </c>
      <c r="AK37" t="str">
        <f t="shared" si="0"/>
        <v>AT391-6200</v>
      </c>
    </row>
    <row r="38" spans="1:37" ht="15">
      <c r="A38" t="s">
        <v>485</v>
      </c>
      <c r="B38" t="s">
        <v>486</v>
      </c>
      <c r="C38" t="s">
        <v>275</v>
      </c>
      <c r="E38">
        <v>50</v>
      </c>
      <c r="F38">
        <v>0</v>
      </c>
      <c r="G38">
        <v>0</v>
      </c>
      <c r="H38">
        <v>0</v>
      </c>
      <c r="I38">
        <v>0</v>
      </c>
      <c r="J38">
        <v>83</v>
      </c>
      <c r="K38">
        <v>200</v>
      </c>
      <c r="L38">
        <v>38</v>
      </c>
      <c r="M38">
        <v>0</v>
      </c>
      <c r="N38">
        <v>0</v>
      </c>
      <c r="O38">
        <v>0</v>
      </c>
      <c r="P38">
        <v>0</v>
      </c>
      <c r="Q38">
        <v>200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547</v>
      </c>
      <c r="AA38">
        <v>323</v>
      </c>
      <c r="AB38">
        <v>131</v>
      </c>
      <c r="AC38">
        <v>0</v>
      </c>
      <c r="AD38">
        <v>0</v>
      </c>
      <c r="AE38">
        <v>1001</v>
      </c>
      <c r="AF38">
        <v>349</v>
      </c>
      <c r="AG38">
        <v>8.625</v>
      </c>
      <c r="AK38" t="str">
        <f t="shared" si="0"/>
        <v>AT650-5000</v>
      </c>
    </row>
    <row r="39" spans="1:37" ht="15">
      <c r="A39" t="s">
        <v>487</v>
      </c>
      <c r="B39" t="s">
        <v>486</v>
      </c>
      <c r="C39" t="s">
        <v>275</v>
      </c>
      <c r="E39">
        <v>50</v>
      </c>
      <c r="F39">
        <v>0.6</v>
      </c>
      <c r="G39">
        <v>0</v>
      </c>
      <c r="H39">
        <v>133</v>
      </c>
      <c r="I39">
        <v>66</v>
      </c>
      <c r="J39">
        <v>172</v>
      </c>
      <c r="K39">
        <v>336</v>
      </c>
      <c r="L39">
        <v>53</v>
      </c>
      <c r="M39">
        <v>0</v>
      </c>
      <c r="N39">
        <v>0</v>
      </c>
      <c r="O39">
        <v>0</v>
      </c>
      <c r="P39">
        <v>0</v>
      </c>
      <c r="Q39">
        <v>336</v>
      </c>
      <c r="R39">
        <v>0</v>
      </c>
      <c r="S39">
        <v>0</v>
      </c>
      <c r="T39">
        <v>194</v>
      </c>
      <c r="U39">
        <v>204</v>
      </c>
      <c r="V39">
        <v>0</v>
      </c>
      <c r="W39">
        <v>0</v>
      </c>
      <c r="X39">
        <v>0</v>
      </c>
      <c r="Y39">
        <v>246</v>
      </c>
      <c r="Z39">
        <v>0</v>
      </c>
      <c r="AA39">
        <v>1275</v>
      </c>
      <c r="AB39">
        <v>140</v>
      </c>
      <c r="AC39">
        <v>0</v>
      </c>
      <c r="AD39">
        <v>0</v>
      </c>
      <c r="AE39">
        <v>2059</v>
      </c>
      <c r="AF39">
        <v>1766</v>
      </c>
      <c r="AG39">
        <v>6.5609999999999999</v>
      </c>
      <c r="AK39" t="str">
        <f t="shared" si="0"/>
        <v>AT650-6200</v>
      </c>
    </row>
    <row r="40" spans="1:37" ht="15">
      <c r="A40" t="s">
        <v>488</v>
      </c>
      <c r="B40" t="s">
        <v>489</v>
      </c>
      <c r="C40" t="s">
        <v>313</v>
      </c>
      <c r="D40" t="s">
        <v>314</v>
      </c>
      <c r="E40">
        <v>43</v>
      </c>
      <c r="F40">
        <v>0</v>
      </c>
      <c r="G40">
        <v>0</v>
      </c>
      <c r="H40">
        <v>0</v>
      </c>
      <c r="I40">
        <v>0</v>
      </c>
      <c r="J40">
        <v>0</v>
      </c>
      <c r="K40">
        <v>100</v>
      </c>
      <c r="L40">
        <v>0</v>
      </c>
      <c r="M40">
        <v>0</v>
      </c>
      <c r="N40">
        <v>0</v>
      </c>
      <c r="O40">
        <v>0</v>
      </c>
      <c r="P40">
        <v>0</v>
      </c>
      <c r="Q40">
        <v>100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J40">
        <v>3.95</v>
      </c>
      <c r="AK40" t="str">
        <f t="shared" si="0"/>
        <v>AT660-5000</v>
      </c>
    </row>
    <row r="41" spans="1:37" ht="15">
      <c r="A41" t="s">
        <v>519</v>
      </c>
      <c r="B41" t="s">
        <v>520</v>
      </c>
      <c r="C41" t="s">
        <v>1076</v>
      </c>
      <c r="D41" t="s">
        <v>521</v>
      </c>
      <c r="E41">
        <v>50</v>
      </c>
      <c r="F41">
        <v>0</v>
      </c>
      <c r="G41">
        <v>0</v>
      </c>
      <c r="H41">
        <v>32</v>
      </c>
      <c r="I41">
        <v>16</v>
      </c>
      <c r="J41">
        <v>17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96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106</v>
      </c>
      <c r="AD41">
        <v>0</v>
      </c>
      <c r="AE41">
        <v>202</v>
      </c>
      <c r="AF41">
        <v>92</v>
      </c>
      <c r="AG41" t="s">
        <v>5310</v>
      </c>
      <c r="AH41">
        <v>3</v>
      </c>
      <c r="AI41">
        <v>16</v>
      </c>
      <c r="AJ41">
        <v>9.15</v>
      </c>
      <c r="AK41" t="str">
        <f t="shared" si="0"/>
        <v>AT988-5000</v>
      </c>
    </row>
    <row r="42" spans="1:37" ht="15">
      <c r="A42" t="s">
        <v>529</v>
      </c>
      <c r="B42" t="s">
        <v>530</v>
      </c>
      <c r="C42" t="s">
        <v>313</v>
      </c>
      <c r="D42" t="s">
        <v>388</v>
      </c>
      <c r="E42">
        <v>43</v>
      </c>
      <c r="F42">
        <v>0</v>
      </c>
      <c r="G42">
        <v>0</v>
      </c>
      <c r="H42">
        <v>0</v>
      </c>
      <c r="I42">
        <v>0</v>
      </c>
      <c r="J42">
        <v>0</v>
      </c>
      <c r="K42">
        <v>108</v>
      </c>
      <c r="L42">
        <v>0</v>
      </c>
      <c r="M42">
        <v>0</v>
      </c>
      <c r="N42">
        <v>0</v>
      </c>
      <c r="O42">
        <v>0</v>
      </c>
      <c r="P42">
        <v>0</v>
      </c>
      <c r="Q42">
        <v>108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7.4112999999999998</v>
      </c>
      <c r="AK42" t="str">
        <f t="shared" si="0"/>
        <v>AV208-5000</v>
      </c>
    </row>
    <row r="43" spans="1:37" ht="15">
      <c r="A43" t="s">
        <v>540</v>
      </c>
      <c r="B43" t="s">
        <v>539</v>
      </c>
      <c r="C43" t="s">
        <v>275</v>
      </c>
      <c r="D43" t="s">
        <v>447</v>
      </c>
      <c r="E43">
        <v>45</v>
      </c>
      <c r="F43">
        <v>0</v>
      </c>
      <c r="G43">
        <v>0</v>
      </c>
      <c r="H43">
        <v>0</v>
      </c>
      <c r="I43">
        <v>0</v>
      </c>
      <c r="J43">
        <v>0</v>
      </c>
      <c r="K43">
        <v>794</v>
      </c>
      <c r="L43">
        <v>0</v>
      </c>
      <c r="M43">
        <v>0</v>
      </c>
      <c r="N43">
        <v>0</v>
      </c>
      <c r="O43">
        <v>0</v>
      </c>
      <c r="P43">
        <v>0</v>
      </c>
      <c r="Q43">
        <v>794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363</v>
      </c>
      <c r="AG43">
        <v>6.6234000000000002</v>
      </c>
      <c r="AK43" t="str">
        <f t="shared" si="0"/>
        <v>AV751-6200</v>
      </c>
    </row>
    <row r="44" spans="1:37" ht="15">
      <c r="A44" t="s">
        <v>6184</v>
      </c>
      <c r="B44" t="s">
        <v>549</v>
      </c>
      <c r="C44" t="s">
        <v>318</v>
      </c>
      <c r="D44" t="s">
        <v>268</v>
      </c>
      <c r="E44">
        <v>50</v>
      </c>
      <c r="F44">
        <v>0</v>
      </c>
      <c r="G44">
        <v>0</v>
      </c>
      <c r="H44">
        <v>0</v>
      </c>
      <c r="I44">
        <v>0</v>
      </c>
      <c r="J44">
        <v>0</v>
      </c>
      <c r="K44">
        <v>165</v>
      </c>
      <c r="L44">
        <v>0</v>
      </c>
      <c r="M44">
        <v>0</v>
      </c>
      <c r="N44">
        <v>0</v>
      </c>
      <c r="O44">
        <v>0</v>
      </c>
      <c r="P44">
        <v>0</v>
      </c>
      <c r="Q44">
        <v>165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J44">
        <v>7.2220000000000004</v>
      </c>
      <c r="AK44" t="str">
        <f t="shared" si="0"/>
        <v>AV801-6200</v>
      </c>
    </row>
    <row r="45" spans="1:37" ht="15">
      <c r="A45" t="s">
        <v>550</v>
      </c>
      <c r="B45" t="s">
        <v>551</v>
      </c>
      <c r="C45" t="s">
        <v>325</v>
      </c>
      <c r="E45">
        <v>43</v>
      </c>
      <c r="F45">
        <v>0</v>
      </c>
      <c r="G45">
        <v>0</v>
      </c>
      <c r="H45">
        <v>0</v>
      </c>
      <c r="I45">
        <v>10</v>
      </c>
      <c r="J45">
        <v>5</v>
      </c>
      <c r="K45">
        <v>46</v>
      </c>
      <c r="L45">
        <v>49</v>
      </c>
      <c r="M45">
        <v>0</v>
      </c>
      <c r="N45">
        <v>0</v>
      </c>
      <c r="O45">
        <v>0</v>
      </c>
      <c r="P45">
        <v>0</v>
      </c>
      <c r="Q45">
        <v>46</v>
      </c>
      <c r="R45">
        <v>0</v>
      </c>
      <c r="S45">
        <v>0</v>
      </c>
      <c r="T45">
        <v>0</v>
      </c>
      <c r="U45">
        <v>0</v>
      </c>
      <c r="V45">
        <v>0</v>
      </c>
      <c r="W45">
        <v>61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61</v>
      </c>
      <c r="AF45">
        <v>0</v>
      </c>
      <c r="AG45">
        <v>7.6475</v>
      </c>
      <c r="AK45" t="str">
        <f t="shared" si="0"/>
        <v>AV830-5000</v>
      </c>
    </row>
    <row r="46" spans="1:37" ht="15">
      <c r="A46" t="s">
        <v>552</v>
      </c>
      <c r="B46" t="s">
        <v>551</v>
      </c>
      <c r="C46" t="s">
        <v>325</v>
      </c>
      <c r="E46">
        <v>43</v>
      </c>
      <c r="F46">
        <v>0</v>
      </c>
      <c r="G46">
        <v>0</v>
      </c>
      <c r="H46">
        <v>0</v>
      </c>
      <c r="I46">
        <v>77</v>
      </c>
      <c r="J46">
        <v>39</v>
      </c>
      <c r="K46">
        <v>218</v>
      </c>
      <c r="L46">
        <v>32</v>
      </c>
      <c r="M46">
        <v>0</v>
      </c>
      <c r="N46">
        <v>0</v>
      </c>
      <c r="O46">
        <v>0</v>
      </c>
      <c r="P46">
        <v>0</v>
      </c>
      <c r="Q46">
        <v>218</v>
      </c>
      <c r="R46">
        <v>0</v>
      </c>
      <c r="S46">
        <v>0</v>
      </c>
      <c r="T46">
        <v>0</v>
      </c>
      <c r="U46">
        <v>0</v>
      </c>
      <c r="V46">
        <v>0</v>
      </c>
      <c r="W46">
        <v>462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462</v>
      </c>
      <c r="AF46">
        <v>0</v>
      </c>
      <c r="AG46">
        <v>7.0625</v>
      </c>
      <c r="AK46" t="str">
        <f t="shared" si="0"/>
        <v>AV830-6200</v>
      </c>
    </row>
    <row r="47" spans="1:37" ht="15">
      <c r="A47" t="s">
        <v>574</v>
      </c>
      <c r="B47" t="s">
        <v>575</v>
      </c>
      <c r="C47" t="s">
        <v>110</v>
      </c>
      <c r="D47" t="s">
        <v>284</v>
      </c>
      <c r="E47">
        <v>43</v>
      </c>
      <c r="F47">
        <v>-0.8</v>
      </c>
      <c r="G47">
        <v>558</v>
      </c>
      <c r="H47">
        <v>145</v>
      </c>
      <c r="I47">
        <v>133</v>
      </c>
      <c r="J47">
        <v>75</v>
      </c>
      <c r="K47">
        <v>0</v>
      </c>
      <c r="L47">
        <v>298</v>
      </c>
      <c r="M47">
        <v>0</v>
      </c>
      <c r="N47">
        <v>465</v>
      </c>
      <c r="O47">
        <v>0</v>
      </c>
      <c r="P47">
        <v>0</v>
      </c>
      <c r="Q47">
        <v>-465</v>
      </c>
      <c r="R47">
        <v>350</v>
      </c>
      <c r="S47">
        <v>434</v>
      </c>
      <c r="T47">
        <v>0</v>
      </c>
      <c r="U47">
        <v>0</v>
      </c>
      <c r="V47">
        <v>0</v>
      </c>
      <c r="W47">
        <v>0</v>
      </c>
      <c r="X47">
        <v>365</v>
      </c>
      <c r="Y47">
        <v>101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900</v>
      </c>
      <c r="AF47">
        <v>128</v>
      </c>
      <c r="AJ47">
        <v>5.5109000000000004</v>
      </c>
      <c r="AK47" t="str">
        <f t="shared" si="0"/>
        <v>AW300-5000</v>
      </c>
    </row>
    <row r="48" spans="1:37" ht="15">
      <c r="A48" t="s">
        <v>576</v>
      </c>
      <c r="B48" t="s">
        <v>575</v>
      </c>
      <c r="C48" t="s">
        <v>110</v>
      </c>
      <c r="D48" t="s">
        <v>284</v>
      </c>
      <c r="E48">
        <v>43</v>
      </c>
      <c r="F48">
        <v>0.3</v>
      </c>
      <c r="G48">
        <v>439</v>
      </c>
      <c r="H48">
        <v>126</v>
      </c>
      <c r="I48">
        <v>570</v>
      </c>
      <c r="J48">
        <v>294</v>
      </c>
      <c r="K48">
        <v>500</v>
      </c>
      <c r="L48">
        <v>598</v>
      </c>
      <c r="M48">
        <v>0</v>
      </c>
      <c r="N48">
        <v>365</v>
      </c>
      <c r="O48">
        <v>0</v>
      </c>
      <c r="P48">
        <v>0</v>
      </c>
      <c r="Q48">
        <v>135</v>
      </c>
      <c r="R48">
        <v>540</v>
      </c>
      <c r="S48">
        <v>378</v>
      </c>
      <c r="T48">
        <v>0</v>
      </c>
      <c r="U48">
        <v>0</v>
      </c>
      <c r="V48">
        <v>615</v>
      </c>
      <c r="W48">
        <v>2428</v>
      </c>
      <c r="X48">
        <v>0</v>
      </c>
      <c r="Y48">
        <v>102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3523</v>
      </c>
      <c r="AF48">
        <v>243</v>
      </c>
      <c r="AG48">
        <v>5.3826000000000001</v>
      </c>
      <c r="AK48" t="str">
        <f t="shared" si="0"/>
        <v>AW300-6200</v>
      </c>
    </row>
    <row r="49" spans="1:37" ht="15">
      <c r="A49" t="s">
        <v>580</v>
      </c>
      <c r="B49" t="s">
        <v>581</v>
      </c>
      <c r="C49" t="s">
        <v>110</v>
      </c>
      <c r="D49" t="s">
        <v>582</v>
      </c>
      <c r="E49">
        <v>50</v>
      </c>
      <c r="F49">
        <v>1.2</v>
      </c>
      <c r="G49">
        <v>58</v>
      </c>
      <c r="H49">
        <v>110</v>
      </c>
      <c r="I49">
        <v>108</v>
      </c>
      <c r="J49">
        <v>125</v>
      </c>
      <c r="K49">
        <v>578</v>
      </c>
      <c r="L49">
        <v>221</v>
      </c>
      <c r="M49">
        <v>0</v>
      </c>
      <c r="N49">
        <v>49</v>
      </c>
      <c r="O49">
        <v>0</v>
      </c>
      <c r="P49">
        <v>0</v>
      </c>
      <c r="Q49">
        <v>529</v>
      </c>
      <c r="R49">
        <v>200</v>
      </c>
      <c r="S49">
        <v>141</v>
      </c>
      <c r="T49">
        <v>190</v>
      </c>
      <c r="U49">
        <v>0</v>
      </c>
      <c r="V49">
        <v>0</v>
      </c>
      <c r="W49">
        <v>190</v>
      </c>
      <c r="X49">
        <v>128</v>
      </c>
      <c r="Y49">
        <v>0</v>
      </c>
      <c r="Z49">
        <v>0</v>
      </c>
      <c r="AA49">
        <v>0</v>
      </c>
      <c r="AB49">
        <v>0</v>
      </c>
      <c r="AC49">
        <v>845</v>
      </c>
      <c r="AD49">
        <v>0</v>
      </c>
      <c r="AE49">
        <v>1494</v>
      </c>
      <c r="AF49">
        <v>1554</v>
      </c>
      <c r="AG49">
        <v>5.1162999999999998</v>
      </c>
      <c r="AK49" t="str">
        <f t="shared" si="0"/>
        <v>AW785-5000</v>
      </c>
    </row>
    <row r="50" spans="1:37" ht="15">
      <c r="A50" t="s">
        <v>583</v>
      </c>
      <c r="B50" t="s">
        <v>581</v>
      </c>
      <c r="C50" t="s">
        <v>1076</v>
      </c>
      <c r="D50" t="s">
        <v>584</v>
      </c>
      <c r="E50">
        <v>50</v>
      </c>
      <c r="F50">
        <v>0.8</v>
      </c>
      <c r="G50">
        <v>47</v>
      </c>
      <c r="H50">
        <v>217</v>
      </c>
      <c r="I50">
        <v>693</v>
      </c>
      <c r="J50">
        <v>618</v>
      </c>
      <c r="K50">
        <v>745</v>
      </c>
      <c r="L50">
        <v>338</v>
      </c>
      <c r="M50">
        <v>0</v>
      </c>
      <c r="N50">
        <v>39</v>
      </c>
      <c r="O50">
        <v>0</v>
      </c>
      <c r="P50">
        <v>0</v>
      </c>
      <c r="Q50">
        <v>706</v>
      </c>
      <c r="R50">
        <v>0</v>
      </c>
      <c r="S50">
        <v>368</v>
      </c>
      <c r="T50">
        <v>0</v>
      </c>
      <c r="U50">
        <v>282</v>
      </c>
      <c r="V50">
        <v>546</v>
      </c>
      <c r="W50">
        <v>2962</v>
      </c>
      <c r="X50">
        <v>0</v>
      </c>
      <c r="Y50">
        <v>290</v>
      </c>
      <c r="Z50">
        <v>290</v>
      </c>
      <c r="AA50">
        <v>734</v>
      </c>
      <c r="AB50">
        <v>900</v>
      </c>
      <c r="AC50">
        <v>1049</v>
      </c>
      <c r="AD50">
        <v>0</v>
      </c>
      <c r="AE50">
        <v>7421</v>
      </c>
      <c r="AF50">
        <v>5844</v>
      </c>
      <c r="AG50" t="s">
        <v>4470</v>
      </c>
      <c r="AH50">
        <v>1</v>
      </c>
      <c r="AI50">
        <v>32</v>
      </c>
      <c r="AJ50">
        <v>5.1162999999999998</v>
      </c>
      <c r="AK50" t="str">
        <f t="shared" si="0"/>
        <v>AW785-6200</v>
      </c>
    </row>
    <row r="51" spans="1:37" ht="15">
      <c r="A51" t="s">
        <v>593</v>
      </c>
      <c r="B51" t="s">
        <v>592</v>
      </c>
      <c r="C51" t="s">
        <v>313</v>
      </c>
      <c r="E51">
        <v>43</v>
      </c>
      <c r="F51">
        <v>0</v>
      </c>
      <c r="G51">
        <v>0</v>
      </c>
      <c r="H51">
        <v>0</v>
      </c>
      <c r="I51">
        <v>0</v>
      </c>
      <c r="J51">
        <v>0</v>
      </c>
      <c r="K51">
        <v>514</v>
      </c>
      <c r="L51">
        <v>0</v>
      </c>
      <c r="M51">
        <v>0</v>
      </c>
      <c r="N51">
        <v>0</v>
      </c>
      <c r="O51">
        <v>0</v>
      </c>
      <c r="P51">
        <v>0</v>
      </c>
      <c r="Q51">
        <v>514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7.5810000000000004</v>
      </c>
      <c r="AK51" t="str">
        <f t="shared" si="0"/>
        <v>AY120-6200</v>
      </c>
    </row>
    <row r="52" spans="1:37" ht="15">
      <c r="A52" t="s">
        <v>594</v>
      </c>
      <c r="B52" t="s">
        <v>595</v>
      </c>
      <c r="C52" t="s">
        <v>325</v>
      </c>
      <c r="E52">
        <v>43</v>
      </c>
      <c r="F52">
        <v>0</v>
      </c>
      <c r="G52">
        <v>0</v>
      </c>
      <c r="H52">
        <v>0</v>
      </c>
      <c r="I52">
        <v>9</v>
      </c>
      <c r="J52">
        <v>4</v>
      </c>
      <c r="K52">
        <v>54</v>
      </c>
      <c r="L52">
        <v>31</v>
      </c>
      <c r="M52">
        <v>0</v>
      </c>
      <c r="N52">
        <v>0</v>
      </c>
      <c r="O52">
        <v>0</v>
      </c>
      <c r="P52">
        <v>0</v>
      </c>
      <c r="Q52">
        <v>54</v>
      </c>
      <c r="R52">
        <v>0</v>
      </c>
      <c r="S52">
        <v>0</v>
      </c>
      <c r="T52">
        <v>0</v>
      </c>
      <c r="U52">
        <v>0</v>
      </c>
      <c r="V52">
        <v>0</v>
      </c>
      <c r="W52">
        <v>52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52</v>
      </c>
      <c r="AF52">
        <v>0</v>
      </c>
      <c r="AG52">
        <v>6.8494999999999999</v>
      </c>
      <c r="AK52" t="str">
        <f t="shared" si="0"/>
        <v>AY135-5000</v>
      </c>
    </row>
    <row r="53" spans="1:37" ht="15">
      <c r="A53" t="s">
        <v>3901</v>
      </c>
      <c r="B53" t="s">
        <v>4471</v>
      </c>
      <c r="C53" t="s">
        <v>101</v>
      </c>
      <c r="D53" t="s">
        <v>4472</v>
      </c>
      <c r="E53">
        <v>50</v>
      </c>
      <c r="F53">
        <v>1.4</v>
      </c>
      <c r="G53">
        <v>1148</v>
      </c>
      <c r="H53">
        <v>2057</v>
      </c>
      <c r="I53">
        <v>4244</v>
      </c>
      <c r="J53">
        <v>5211</v>
      </c>
      <c r="K53">
        <v>12394</v>
      </c>
      <c r="L53">
        <v>2949</v>
      </c>
      <c r="M53">
        <v>0</v>
      </c>
      <c r="N53">
        <v>957</v>
      </c>
      <c r="O53">
        <v>0</v>
      </c>
      <c r="P53">
        <v>0</v>
      </c>
      <c r="Q53">
        <v>11437</v>
      </c>
      <c r="R53">
        <v>3018</v>
      </c>
      <c r="S53">
        <v>4584</v>
      </c>
      <c r="T53">
        <v>277</v>
      </c>
      <c r="U53">
        <v>1310</v>
      </c>
      <c r="V53">
        <v>2021</v>
      </c>
      <c r="W53">
        <v>2004</v>
      </c>
      <c r="X53">
        <v>15265</v>
      </c>
      <c r="Y53">
        <v>6199</v>
      </c>
      <c r="Z53">
        <v>4234</v>
      </c>
      <c r="AA53">
        <v>5103</v>
      </c>
      <c r="AB53">
        <v>6116</v>
      </c>
      <c r="AC53">
        <v>6498</v>
      </c>
      <c r="AD53">
        <v>8925</v>
      </c>
      <c r="AE53">
        <v>62536</v>
      </c>
      <c r="AF53">
        <v>92012</v>
      </c>
      <c r="AG53">
        <v>2.2187999999999999</v>
      </c>
      <c r="AK53" t="str">
        <f t="shared" si="0"/>
        <v>BP006-5000</v>
      </c>
    </row>
    <row r="54" spans="1:37" ht="15">
      <c r="A54" t="s">
        <v>4473</v>
      </c>
      <c r="B54" t="s">
        <v>4471</v>
      </c>
      <c r="C54" t="s">
        <v>101</v>
      </c>
      <c r="D54" t="s">
        <v>4472</v>
      </c>
      <c r="E54">
        <v>50</v>
      </c>
      <c r="F54">
        <v>0.2</v>
      </c>
      <c r="G54">
        <v>42</v>
      </c>
      <c r="H54">
        <v>4570</v>
      </c>
      <c r="I54">
        <v>4206</v>
      </c>
      <c r="J54">
        <v>3269</v>
      </c>
      <c r="K54">
        <v>2985</v>
      </c>
      <c r="L54">
        <v>3642</v>
      </c>
      <c r="M54">
        <v>0</v>
      </c>
      <c r="N54">
        <v>35</v>
      </c>
      <c r="O54">
        <v>0</v>
      </c>
      <c r="P54">
        <v>0</v>
      </c>
      <c r="Q54">
        <v>2950</v>
      </c>
      <c r="R54">
        <v>0</v>
      </c>
      <c r="S54">
        <v>5007</v>
      </c>
      <c r="T54">
        <v>4014</v>
      </c>
      <c r="U54">
        <v>4688</v>
      </c>
      <c r="V54">
        <v>1572</v>
      </c>
      <c r="W54">
        <v>5618</v>
      </c>
      <c r="X54">
        <v>4337</v>
      </c>
      <c r="Y54">
        <v>3152</v>
      </c>
      <c r="Z54">
        <v>2683</v>
      </c>
      <c r="AA54">
        <v>2701</v>
      </c>
      <c r="AB54">
        <v>2829</v>
      </c>
      <c r="AC54">
        <v>2631</v>
      </c>
      <c r="AD54">
        <v>0</v>
      </c>
      <c r="AE54">
        <v>39232</v>
      </c>
      <c r="AF54">
        <v>27684</v>
      </c>
      <c r="AG54">
        <v>2.4020999999999999</v>
      </c>
      <c r="AK54" t="str">
        <f t="shared" si="0"/>
        <v>BP006-6200</v>
      </c>
    </row>
    <row r="55" spans="1:37" ht="15">
      <c r="A55" t="s">
        <v>3655</v>
      </c>
      <c r="B55" t="s">
        <v>3656</v>
      </c>
      <c r="C55" t="s">
        <v>991</v>
      </c>
      <c r="D55" t="s">
        <v>4474</v>
      </c>
      <c r="E55">
        <v>43</v>
      </c>
      <c r="F55">
        <v>0.8</v>
      </c>
      <c r="G55">
        <v>550</v>
      </c>
      <c r="H55">
        <v>23335</v>
      </c>
      <c r="I55">
        <v>33984</v>
      </c>
      <c r="J55">
        <v>46442</v>
      </c>
      <c r="K55">
        <v>70732</v>
      </c>
      <c r="L55">
        <v>16802</v>
      </c>
      <c r="M55">
        <v>0</v>
      </c>
      <c r="N55">
        <v>458</v>
      </c>
      <c r="O55">
        <v>0</v>
      </c>
      <c r="P55">
        <v>0</v>
      </c>
      <c r="Q55">
        <v>70274</v>
      </c>
      <c r="R55">
        <v>0</v>
      </c>
      <c r="S55">
        <v>23706</v>
      </c>
      <c r="T55">
        <v>16118</v>
      </c>
      <c r="U55">
        <v>30181</v>
      </c>
      <c r="V55">
        <v>37887</v>
      </c>
      <c r="W55">
        <v>41973</v>
      </c>
      <c r="X55">
        <v>54037</v>
      </c>
      <c r="Y55">
        <v>60880</v>
      </c>
      <c r="Z55">
        <v>53073</v>
      </c>
      <c r="AA55">
        <v>57443</v>
      </c>
      <c r="AB55">
        <v>66577</v>
      </c>
      <c r="AC55">
        <v>57979</v>
      </c>
      <c r="AD55">
        <v>57451</v>
      </c>
      <c r="AE55">
        <v>557305</v>
      </c>
      <c r="AF55">
        <v>866905</v>
      </c>
      <c r="AJ55">
        <v>2.3199999999999998</v>
      </c>
      <c r="AK55" t="str">
        <f t="shared" si="0"/>
        <v>BP007-5000</v>
      </c>
    </row>
    <row r="56" spans="1:37" ht="15">
      <c r="A56" t="s">
        <v>3659</v>
      </c>
      <c r="B56" t="s">
        <v>3656</v>
      </c>
      <c r="C56" t="s">
        <v>991</v>
      </c>
      <c r="D56" t="s">
        <v>4474</v>
      </c>
      <c r="E56">
        <v>43</v>
      </c>
      <c r="F56">
        <v>0.8</v>
      </c>
      <c r="G56">
        <v>3340</v>
      </c>
      <c r="H56">
        <v>5359</v>
      </c>
      <c r="I56">
        <v>7166</v>
      </c>
      <c r="J56">
        <v>14326</v>
      </c>
      <c r="K56">
        <v>20374</v>
      </c>
      <c r="L56">
        <v>3993</v>
      </c>
      <c r="M56">
        <v>0</v>
      </c>
      <c r="N56">
        <v>2783</v>
      </c>
      <c r="O56">
        <v>0</v>
      </c>
      <c r="P56">
        <v>0</v>
      </c>
      <c r="Q56">
        <v>17591</v>
      </c>
      <c r="R56">
        <v>0</v>
      </c>
      <c r="S56">
        <v>4313</v>
      </c>
      <c r="T56">
        <v>7226</v>
      </c>
      <c r="U56">
        <v>4537</v>
      </c>
      <c r="V56">
        <v>9852</v>
      </c>
      <c r="W56">
        <v>9796</v>
      </c>
      <c r="X56">
        <v>7270</v>
      </c>
      <c r="Y56">
        <v>17098</v>
      </c>
      <c r="Z56">
        <v>22189</v>
      </c>
      <c r="AA56">
        <v>23271</v>
      </c>
      <c r="AB56">
        <v>26470</v>
      </c>
      <c r="AC56">
        <v>23475</v>
      </c>
      <c r="AD56">
        <v>16415</v>
      </c>
      <c r="AE56">
        <v>171912</v>
      </c>
      <c r="AF56">
        <v>199806</v>
      </c>
      <c r="AJ56">
        <v>1.7242999999999999</v>
      </c>
      <c r="AK56" t="str">
        <f t="shared" si="0"/>
        <v>BP007-6200</v>
      </c>
    </row>
    <row r="57" spans="1:37" ht="15">
      <c r="A57" t="s">
        <v>3903</v>
      </c>
      <c r="B57" t="s">
        <v>4475</v>
      </c>
      <c r="C57" t="s">
        <v>101</v>
      </c>
      <c r="D57" t="s">
        <v>4472</v>
      </c>
      <c r="E57">
        <v>50</v>
      </c>
      <c r="F57">
        <v>0.9</v>
      </c>
      <c r="G57">
        <v>569</v>
      </c>
      <c r="H57">
        <v>3195</v>
      </c>
      <c r="I57">
        <v>3288</v>
      </c>
      <c r="J57">
        <v>4474</v>
      </c>
      <c r="K57">
        <v>11938</v>
      </c>
      <c r="L57">
        <v>3067</v>
      </c>
      <c r="M57">
        <v>0</v>
      </c>
      <c r="N57">
        <v>474</v>
      </c>
      <c r="O57">
        <v>0</v>
      </c>
      <c r="P57">
        <v>0</v>
      </c>
      <c r="Q57">
        <v>11464</v>
      </c>
      <c r="R57">
        <v>0</v>
      </c>
      <c r="S57">
        <v>3057</v>
      </c>
      <c r="T57">
        <v>5041</v>
      </c>
      <c r="U57">
        <v>1487</v>
      </c>
      <c r="V57">
        <v>3443</v>
      </c>
      <c r="W57">
        <v>4399</v>
      </c>
      <c r="X57">
        <v>2300</v>
      </c>
      <c r="Y57">
        <v>1916</v>
      </c>
      <c r="Z57">
        <v>1826</v>
      </c>
      <c r="AA57">
        <v>11537</v>
      </c>
      <c r="AB57">
        <v>4302</v>
      </c>
      <c r="AC57">
        <v>6486</v>
      </c>
      <c r="AD57">
        <v>7889</v>
      </c>
      <c r="AE57">
        <v>53683</v>
      </c>
      <c r="AF57">
        <v>76453</v>
      </c>
      <c r="AG57">
        <v>1.9813000000000001</v>
      </c>
      <c r="AK57" t="str">
        <f t="shared" si="0"/>
        <v>BP049-5000</v>
      </c>
    </row>
    <row r="58" spans="1:37" ht="15">
      <c r="A58" t="s">
        <v>4476</v>
      </c>
      <c r="B58" t="s">
        <v>4475</v>
      </c>
      <c r="C58" t="s">
        <v>101</v>
      </c>
      <c r="D58" t="s">
        <v>4472</v>
      </c>
      <c r="E58">
        <v>50</v>
      </c>
      <c r="F58">
        <v>0.3</v>
      </c>
      <c r="G58">
        <v>930</v>
      </c>
      <c r="H58">
        <v>3630</v>
      </c>
      <c r="I58">
        <v>3811</v>
      </c>
      <c r="J58">
        <v>3833</v>
      </c>
      <c r="K58">
        <v>4530</v>
      </c>
      <c r="L58">
        <v>4774</v>
      </c>
      <c r="M58">
        <v>0</v>
      </c>
      <c r="N58">
        <v>775</v>
      </c>
      <c r="O58">
        <v>0</v>
      </c>
      <c r="P58">
        <v>0</v>
      </c>
      <c r="Q58">
        <v>3755</v>
      </c>
      <c r="R58">
        <v>1486</v>
      </c>
      <c r="S58">
        <v>3020</v>
      </c>
      <c r="T58">
        <v>2692</v>
      </c>
      <c r="U58">
        <v>5177</v>
      </c>
      <c r="V58">
        <v>3484</v>
      </c>
      <c r="W58">
        <v>4612</v>
      </c>
      <c r="X58">
        <v>3880</v>
      </c>
      <c r="Y58">
        <v>1343</v>
      </c>
      <c r="Z58">
        <v>4111</v>
      </c>
      <c r="AA58">
        <v>6955</v>
      </c>
      <c r="AB58">
        <v>2603</v>
      </c>
      <c r="AC58">
        <v>4499</v>
      </c>
      <c r="AD58">
        <v>3622</v>
      </c>
      <c r="AE58">
        <v>45998</v>
      </c>
      <c r="AF58">
        <v>49393</v>
      </c>
      <c r="AG58">
        <v>1.9813000000000001</v>
      </c>
      <c r="AK58" t="str">
        <f t="shared" si="0"/>
        <v>BP049-6200</v>
      </c>
    </row>
    <row r="59" spans="1:37" ht="15">
      <c r="A59" t="s">
        <v>610</v>
      </c>
      <c r="B59" t="s">
        <v>608</v>
      </c>
      <c r="C59" t="s">
        <v>1076</v>
      </c>
      <c r="D59" t="s">
        <v>609</v>
      </c>
      <c r="E59">
        <v>50</v>
      </c>
      <c r="F59">
        <v>0.1</v>
      </c>
      <c r="G59">
        <v>87</v>
      </c>
      <c r="H59">
        <v>1521</v>
      </c>
      <c r="I59">
        <v>3153</v>
      </c>
      <c r="J59">
        <v>2265</v>
      </c>
      <c r="K59">
        <v>968</v>
      </c>
      <c r="L59">
        <v>335</v>
      </c>
      <c r="M59">
        <v>0</v>
      </c>
      <c r="N59">
        <v>73</v>
      </c>
      <c r="O59">
        <v>0</v>
      </c>
      <c r="P59">
        <v>0</v>
      </c>
      <c r="Q59">
        <v>895</v>
      </c>
      <c r="R59">
        <v>360</v>
      </c>
      <c r="S59">
        <v>1164</v>
      </c>
      <c r="T59">
        <v>1023</v>
      </c>
      <c r="U59">
        <v>2376</v>
      </c>
      <c r="V59">
        <v>1951</v>
      </c>
      <c r="W59">
        <v>9878</v>
      </c>
      <c r="X59">
        <v>2526</v>
      </c>
      <c r="Y59">
        <v>658</v>
      </c>
      <c r="Z59">
        <v>1994</v>
      </c>
      <c r="AA59">
        <v>896</v>
      </c>
      <c r="AB59">
        <v>1091</v>
      </c>
      <c r="AC59">
        <v>3066</v>
      </c>
      <c r="AD59">
        <v>560</v>
      </c>
      <c r="AE59">
        <v>27183</v>
      </c>
      <c r="AF59">
        <v>21175</v>
      </c>
      <c r="AG59" t="s">
        <v>7772</v>
      </c>
      <c r="AH59">
        <v>1</v>
      </c>
      <c r="AI59">
        <v>3230</v>
      </c>
      <c r="AJ59">
        <v>1.1625000000000001</v>
      </c>
      <c r="AK59" t="str">
        <f t="shared" si="0"/>
        <v>DB010-5000</v>
      </c>
    </row>
    <row r="60" spans="1:37" ht="15">
      <c r="A60" t="s">
        <v>611</v>
      </c>
      <c r="B60" t="s">
        <v>608</v>
      </c>
      <c r="C60" t="s">
        <v>101</v>
      </c>
      <c r="D60" t="s">
        <v>609</v>
      </c>
      <c r="E60">
        <v>50</v>
      </c>
      <c r="F60">
        <v>1.7</v>
      </c>
      <c r="G60">
        <v>252</v>
      </c>
      <c r="H60">
        <v>2001</v>
      </c>
      <c r="I60">
        <v>2272</v>
      </c>
      <c r="J60">
        <v>1764</v>
      </c>
      <c r="K60">
        <v>14193</v>
      </c>
      <c r="L60">
        <v>1950</v>
      </c>
      <c r="M60">
        <v>0</v>
      </c>
      <c r="N60">
        <v>210</v>
      </c>
      <c r="O60">
        <v>0</v>
      </c>
      <c r="P60">
        <v>0</v>
      </c>
      <c r="Q60">
        <v>13983</v>
      </c>
      <c r="R60">
        <v>356</v>
      </c>
      <c r="S60">
        <v>2206</v>
      </c>
      <c r="T60">
        <v>760</v>
      </c>
      <c r="U60">
        <v>3038</v>
      </c>
      <c r="V60">
        <v>2527</v>
      </c>
      <c r="W60">
        <v>1419</v>
      </c>
      <c r="X60">
        <v>3683</v>
      </c>
      <c r="Y60">
        <v>474</v>
      </c>
      <c r="Z60">
        <v>1218</v>
      </c>
      <c r="AA60">
        <v>1405</v>
      </c>
      <c r="AB60">
        <v>1279</v>
      </c>
      <c r="AC60">
        <v>2742</v>
      </c>
      <c r="AD60">
        <v>416</v>
      </c>
      <c r="AE60">
        <v>21167</v>
      </c>
      <c r="AF60">
        <v>30008</v>
      </c>
      <c r="AJ60">
        <v>0.92800000000000005</v>
      </c>
      <c r="AK60" t="str">
        <f t="shared" si="0"/>
        <v>DB010-6200</v>
      </c>
    </row>
    <row r="61" spans="1:37" ht="15">
      <c r="A61" t="s">
        <v>3818</v>
      </c>
      <c r="B61" t="s">
        <v>4477</v>
      </c>
      <c r="C61" t="s">
        <v>68</v>
      </c>
      <c r="D61" t="s">
        <v>4478</v>
      </c>
      <c r="E61">
        <v>75</v>
      </c>
      <c r="F61">
        <v>0</v>
      </c>
      <c r="G61">
        <v>39</v>
      </c>
      <c r="H61">
        <v>0</v>
      </c>
      <c r="I61">
        <v>93</v>
      </c>
      <c r="J61">
        <v>153</v>
      </c>
      <c r="K61">
        <v>1281</v>
      </c>
      <c r="L61">
        <v>148</v>
      </c>
      <c r="M61">
        <v>0</v>
      </c>
      <c r="N61">
        <v>32</v>
      </c>
      <c r="O61">
        <v>0</v>
      </c>
      <c r="P61">
        <v>0</v>
      </c>
      <c r="Q61">
        <v>1249</v>
      </c>
      <c r="R61">
        <v>156</v>
      </c>
      <c r="S61">
        <v>0</v>
      </c>
      <c r="T61">
        <v>0</v>
      </c>
      <c r="U61">
        <v>0</v>
      </c>
      <c r="V61">
        <v>0</v>
      </c>
      <c r="W61">
        <v>555</v>
      </c>
      <c r="X61">
        <v>0</v>
      </c>
      <c r="Y61">
        <v>194</v>
      </c>
      <c r="Z61">
        <v>331</v>
      </c>
      <c r="AA61">
        <v>0</v>
      </c>
      <c r="AB61">
        <v>0</v>
      </c>
      <c r="AC61">
        <v>390</v>
      </c>
      <c r="AD61">
        <v>369</v>
      </c>
      <c r="AE61">
        <v>1839</v>
      </c>
      <c r="AF61">
        <v>2484</v>
      </c>
      <c r="AG61">
        <v>2.3132000000000001</v>
      </c>
      <c r="AK61" t="str">
        <f t="shared" si="0"/>
        <v>DB030-5000</v>
      </c>
    </row>
    <row r="62" spans="1:37" ht="15">
      <c r="A62" t="s">
        <v>3822</v>
      </c>
      <c r="B62" t="s">
        <v>4477</v>
      </c>
      <c r="C62" t="s">
        <v>68</v>
      </c>
      <c r="D62" t="s">
        <v>4478</v>
      </c>
      <c r="E62">
        <v>75</v>
      </c>
      <c r="F62">
        <v>0</v>
      </c>
      <c r="G62">
        <v>79</v>
      </c>
      <c r="H62">
        <v>439</v>
      </c>
      <c r="I62">
        <v>362</v>
      </c>
      <c r="J62">
        <v>348</v>
      </c>
      <c r="K62">
        <v>128</v>
      </c>
      <c r="L62">
        <v>697</v>
      </c>
      <c r="M62">
        <v>0</v>
      </c>
      <c r="N62">
        <v>66</v>
      </c>
      <c r="O62">
        <v>0</v>
      </c>
      <c r="P62">
        <v>0</v>
      </c>
      <c r="Q62">
        <v>62</v>
      </c>
      <c r="R62">
        <v>0</v>
      </c>
      <c r="S62">
        <v>726</v>
      </c>
      <c r="T62">
        <v>0</v>
      </c>
      <c r="U62">
        <v>592</v>
      </c>
      <c r="V62">
        <v>0</v>
      </c>
      <c r="W62">
        <v>733</v>
      </c>
      <c r="X62">
        <v>122</v>
      </c>
      <c r="Y62">
        <v>223</v>
      </c>
      <c r="Z62">
        <v>301</v>
      </c>
      <c r="AA62">
        <v>0</v>
      </c>
      <c r="AB62">
        <v>0</v>
      </c>
      <c r="AC62">
        <v>715</v>
      </c>
      <c r="AD62">
        <v>769</v>
      </c>
      <c r="AE62">
        <v>4181</v>
      </c>
      <c r="AF62">
        <v>2170</v>
      </c>
      <c r="AG62">
        <v>1.9770000000000001</v>
      </c>
      <c r="AK62" t="str">
        <f t="shared" si="0"/>
        <v>DB030-6200</v>
      </c>
    </row>
    <row r="63" spans="1:37" ht="15">
      <c r="A63" t="s">
        <v>646</v>
      </c>
      <c r="B63" t="s">
        <v>647</v>
      </c>
      <c r="C63" t="s">
        <v>68</v>
      </c>
      <c r="D63" t="s">
        <v>648</v>
      </c>
      <c r="E63">
        <v>50</v>
      </c>
      <c r="F63">
        <v>1.7</v>
      </c>
      <c r="G63">
        <v>0</v>
      </c>
      <c r="H63">
        <v>73</v>
      </c>
      <c r="I63">
        <v>499</v>
      </c>
      <c r="J63">
        <v>381</v>
      </c>
      <c r="K63">
        <v>502</v>
      </c>
      <c r="L63">
        <v>119</v>
      </c>
      <c r="M63">
        <v>0</v>
      </c>
      <c r="N63">
        <v>0</v>
      </c>
      <c r="O63">
        <v>0</v>
      </c>
      <c r="P63">
        <v>0</v>
      </c>
      <c r="Q63">
        <v>502</v>
      </c>
      <c r="R63">
        <v>0</v>
      </c>
      <c r="S63">
        <v>0</v>
      </c>
      <c r="T63">
        <v>0</v>
      </c>
      <c r="U63">
        <v>219</v>
      </c>
      <c r="V63">
        <v>1449</v>
      </c>
      <c r="W63">
        <v>943</v>
      </c>
      <c r="X63">
        <v>385</v>
      </c>
      <c r="Y63">
        <v>380</v>
      </c>
      <c r="Z63">
        <v>0</v>
      </c>
      <c r="AA63">
        <v>307</v>
      </c>
      <c r="AB63">
        <v>0</v>
      </c>
      <c r="AC63">
        <v>368</v>
      </c>
      <c r="AD63">
        <v>526</v>
      </c>
      <c r="AE63">
        <v>4577</v>
      </c>
      <c r="AF63">
        <v>2771</v>
      </c>
      <c r="AG63">
        <v>6.0031999999999996</v>
      </c>
      <c r="AK63" t="str">
        <f t="shared" si="0"/>
        <v>DS059-5000</v>
      </c>
    </row>
    <row r="64" spans="1:37" ht="15">
      <c r="A64" t="s">
        <v>649</v>
      </c>
      <c r="B64" t="s">
        <v>647</v>
      </c>
      <c r="C64" t="s">
        <v>68</v>
      </c>
      <c r="D64" t="s">
        <v>650</v>
      </c>
      <c r="E64">
        <v>50</v>
      </c>
      <c r="F64">
        <v>0</v>
      </c>
      <c r="G64">
        <v>0</v>
      </c>
      <c r="H64">
        <v>0</v>
      </c>
      <c r="I64">
        <v>111</v>
      </c>
      <c r="J64">
        <v>162</v>
      </c>
      <c r="K64">
        <v>939</v>
      </c>
      <c r="L64">
        <v>111</v>
      </c>
      <c r="M64">
        <v>0</v>
      </c>
      <c r="N64">
        <v>0</v>
      </c>
      <c r="O64">
        <v>0</v>
      </c>
      <c r="P64">
        <v>0</v>
      </c>
      <c r="Q64">
        <v>939</v>
      </c>
      <c r="R64">
        <v>0</v>
      </c>
      <c r="S64">
        <v>0</v>
      </c>
      <c r="T64">
        <v>0</v>
      </c>
      <c r="U64">
        <v>0</v>
      </c>
      <c r="V64">
        <v>260</v>
      </c>
      <c r="W64">
        <v>247</v>
      </c>
      <c r="X64">
        <v>156</v>
      </c>
      <c r="Y64">
        <v>0</v>
      </c>
      <c r="Z64">
        <v>215</v>
      </c>
      <c r="AA64">
        <v>302</v>
      </c>
      <c r="AB64">
        <v>0</v>
      </c>
      <c r="AC64">
        <v>462</v>
      </c>
      <c r="AD64">
        <v>301</v>
      </c>
      <c r="AE64">
        <v>1943</v>
      </c>
      <c r="AF64">
        <v>2245</v>
      </c>
      <c r="AG64">
        <v>6.0031999999999996</v>
      </c>
      <c r="AK64" t="str">
        <f t="shared" si="0"/>
        <v>DS059-6200</v>
      </c>
    </row>
    <row r="65" spans="1:37" ht="15">
      <c r="A65" t="s">
        <v>6185</v>
      </c>
      <c r="B65" t="s">
        <v>1416</v>
      </c>
      <c r="C65" t="s">
        <v>68</v>
      </c>
      <c r="D65" t="s">
        <v>4479</v>
      </c>
      <c r="E65">
        <v>50</v>
      </c>
      <c r="F65">
        <v>0</v>
      </c>
      <c r="G65">
        <v>0</v>
      </c>
      <c r="H65">
        <v>0</v>
      </c>
      <c r="I65">
        <v>0</v>
      </c>
      <c r="J65">
        <v>0</v>
      </c>
      <c r="K65">
        <v>1296</v>
      </c>
      <c r="L65">
        <v>73</v>
      </c>
      <c r="M65">
        <v>0</v>
      </c>
      <c r="N65">
        <v>0</v>
      </c>
      <c r="O65">
        <v>0</v>
      </c>
      <c r="P65">
        <v>0</v>
      </c>
      <c r="Q65">
        <v>1296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150</v>
      </c>
      <c r="AJ65">
        <v>5.5145</v>
      </c>
      <c r="AK65" t="str">
        <f t="shared" si="0"/>
        <v>DS060-5000</v>
      </c>
    </row>
    <row r="66" spans="1:37" ht="15">
      <c r="A66" t="s">
        <v>6186</v>
      </c>
      <c r="B66" t="s">
        <v>1416</v>
      </c>
      <c r="C66" t="s">
        <v>68</v>
      </c>
      <c r="D66" t="s">
        <v>4479</v>
      </c>
      <c r="E66">
        <v>50</v>
      </c>
      <c r="F66">
        <v>0</v>
      </c>
      <c r="G66">
        <v>0</v>
      </c>
      <c r="H66">
        <v>0</v>
      </c>
      <c r="I66">
        <v>0</v>
      </c>
      <c r="J66">
        <v>0</v>
      </c>
      <c r="K66">
        <v>1683</v>
      </c>
      <c r="L66">
        <v>81</v>
      </c>
      <c r="M66">
        <v>0</v>
      </c>
      <c r="N66">
        <v>0</v>
      </c>
      <c r="O66">
        <v>0</v>
      </c>
      <c r="P66">
        <v>0</v>
      </c>
      <c r="Q66">
        <v>1683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174</v>
      </c>
      <c r="AJ66">
        <v>5.5145</v>
      </c>
      <c r="AK66" t="str">
        <f t="shared" si="0"/>
        <v>DS060-6200</v>
      </c>
    </row>
    <row r="67" spans="1:37" ht="15">
      <c r="A67" t="s">
        <v>654</v>
      </c>
      <c r="B67" t="s">
        <v>655</v>
      </c>
      <c r="C67" t="s">
        <v>68</v>
      </c>
      <c r="D67" t="s">
        <v>656</v>
      </c>
      <c r="E67">
        <v>50</v>
      </c>
      <c r="F67">
        <v>1.4</v>
      </c>
      <c r="G67">
        <v>243</v>
      </c>
      <c r="H67">
        <v>3176</v>
      </c>
      <c r="I67">
        <v>4634</v>
      </c>
      <c r="J67">
        <v>6059</v>
      </c>
      <c r="K67">
        <v>17736</v>
      </c>
      <c r="L67">
        <v>410</v>
      </c>
      <c r="M67">
        <v>0</v>
      </c>
      <c r="N67">
        <v>203</v>
      </c>
      <c r="O67">
        <v>0</v>
      </c>
      <c r="P67">
        <v>0</v>
      </c>
      <c r="Q67">
        <v>17533</v>
      </c>
      <c r="R67">
        <v>0</v>
      </c>
      <c r="S67">
        <v>2757</v>
      </c>
      <c r="T67">
        <v>4109</v>
      </c>
      <c r="U67">
        <v>2663</v>
      </c>
      <c r="V67">
        <v>3470</v>
      </c>
      <c r="W67">
        <v>6305</v>
      </c>
      <c r="X67">
        <v>8498</v>
      </c>
      <c r="Y67">
        <v>9416</v>
      </c>
      <c r="Z67">
        <v>9325</v>
      </c>
      <c r="AA67">
        <v>6335</v>
      </c>
      <c r="AB67">
        <v>6398</v>
      </c>
      <c r="AC67">
        <v>8296</v>
      </c>
      <c r="AD67">
        <v>5134</v>
      </c>
      <c r="AE67">
        <v>72706</v>
      </c>
      <c r="AF67">
        <v>69201</v>
      </c>
      <c r="AG67">
        <v>2.2292000000000001</v>
      </c>
      <c r="AK67" t="str">
        <f t="shared" si="0"/>
        <v>DS064-4914</v>
      </c>
    </row>
    <row r="68" spans="1:37" ht="15">
      <c r="A68" t="s">
        <v>659</v>
      </c>
      <c r="B68" t="s">
        <v>652</v>
      </c>
      <c r="C68" t="s">
        <v>1076</v>
      </c>
      <c r="D68" t="s">
        <v>658</v>
      </c>
      <c r="E68">
        <v>50</v>
      </c>
      <c r="F68">
        <v>0.3</v>
      </c>
      <c r="G68">
        <v>215</v>
      </c>
      <c r="H68">
        <v>2135</v>
      </c>
      <c r="I68">
        <v>2391</v>
      </c>
      <c r="J68">
        <v>2631</v>
      </c>
      <c r="K68">
        <v>2982</v>
      </c>
      <c r="L68">
        <v>770</v>
      </c>
      <c r="M68">
        <v>0</v>
      </c>
      <c r="N68">
        <v>179</v>
      </c>
      <c r="O68">
        <v>0</v>
      </c>
      <c r="P68">
        <v>0</v>
      </c>
      <c r="Q68">
        <v>2803</v>
      </c>
      <c r="R68">
        <v>0</v>
      </c>
      <c r="S68">
        <v>3357</v>
      </c>
      <c r="T68">
        <v>818</v>
      </c>
      <c r="U68">
        <v>2231</v>
      </c>
      <c r="V68">
        <v>1892</v>
      </c>
      <c r="W68">
        <v>4260</v>
      </c>
      <c r="X68">
        <v>1786</v>
      </c>
      <c r="Y68">
        <v>2180</v>
      </c>
      <c r="Z68">
        <v>2097</v>
      </c>
      <c r="AA68">
        <v>2910</v>
      </c>
      <c r="AB68">
        <v>5875</v>
      </c>
      <c r="AC68">
        <v>1274</v>
      </c>
      <c r="AD68">
        <v>2895</v>
      </c>
      <c r="AE68">
        <v>31575</v>
      </c>
      <c r="AF68">
        <v>37465</v>
      </c>
      <c r="AG68" t="s">
        <v>4480</v>
      </c>
      <c r="AH68">
        <v>2</v>
      </c>
      <c r="AI68">
        <v>26</v>
      </c>
      <c r="AJ68">
        <v>2.1755</v>
      </c>
      <c r="AK68" t="str">
        <f t="shared" si="0"/>
        <v>DS064-6200</v>
      </c>
    </row>
    <row r="69" spans="1:37" ht="15">
      <c r="A69" t="s">
        <v>659</v>
      </c>
      <c r="B69" t="s">
        <v>652</v>
      </c>
      <c r="C69" t="s">
        <v>1076</v>
      </c>
      <c r="D69" t="s">
        <v>658</v>
      </c>
      <c r="E69">
        <v>50</v>
      </c>
      <c r="AG69" t="s">
        <v>4481</v>
      </c>
      <c r="AH69">
        <v>4</v>
      </c>
      <c r="AI69">
        <v>148</v>
      </c>
      <c r="AK69" t="str">
        <f t="shared" ref="AK69:AK132" si="1">MID(A69,4,10)</f>
        <v>DS064-6200</v>
      </c>
    </row>
    <row r="70" spans="1:37" ht="15">
      <c r="A70" t="s">
        <v>6187</v>
      </c>
      <c r="B70" t="s">
        <v>1393</v>
      </c>
      <c r="C70" t="s">
        <v>68</v>
      </c>
      <c r="D70" t="s">
        <v>4482</v>
      </c>
      <c r="E70">
        <v>50</v>
      </c>
      <c r="F70">
        <v>0</v>
      </c>
      <c r="G70">
        <v>0</v>
      </c>
      <c r="H70">
        <v>0</v>
      </c>
      <c r="I70">
        <v>80</v>
      </c>
      <c r="J70">
        <v>40</v>
      </c>
      <c r="K70">
        <v>675</v>
      </c>
      <c r="L70">
        <v>168</v>
      </c>
      <c r="M70">
        <v>0</v>
      </c>
      <c r="N70">
        <v>0</v>
      </c>
      <c r="O70">
        <v>0</v>
      </c>
      <c r="P70">
        <v>0</v>
      </c>
      <c r="Q70">
        <v>675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481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481</v>
      </c>
      <c r="AF70">
        <v>480</v>
      </c>
      <c r="AJ70">
        <v>5.1961000000000004</v>
      </c>
      <c r="AK70" t="str">
        <f t="shared" si="1"/>
        <v>DS079-6200</v>
      </c>
    </row>
    <row r="71" spans="1:37" ht="15">
      <c r="A71" t="s">
        <v>660</v>
      </c>
      <c r="B71" t="s">
        <v>661</v>
      </c>
      <c r="C71" t="s">
        <v>68</v>
      </c>
      <c r="D71" t="s">
        <v>662</v>
      </c>
      <c r="E71">
        <v>50</v>
      </c>
      <c r="F71">
        <v>0</v>
      </c>
      <c r="G71">
        <v>0</v>
      </c>
      <c r="H71">
        <v>0</v>
      </c>
      <c r="I71">
        <v>0</v>
      </c>
      <c r="J71">
        <v>0</v>
      </c>
      <c r="K71">
        <v>2129</v>
      </c>
      <c r="L71">
        <v>51</v>
      </c>
      <c r="M71">
        <v>0</v>
      </c>
      <c r="N71">
        <v>0</v>
      </c>
      <c r="O71">
        <v>0</v>
      </c>
      <c r="P71">
        <v>0</v>
      </c>
      <c r="Q71">
        <v>2129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365</v>
      </c>
      <c r="AJ71">
        <v>5.6311999999999998</v>
      </c>
      <c r="AK71" t="str">
        <f t="shared" si="1"/>
        <v>DS080-6200</v>
      </c>
    </row>
    <row r="72" spans="1:37" ht="15">
      <c r="A72" t="s">
        <v>6188</v>
      </c>
      <c r="B72" t="s">
        <v>4483</v>
      </c>
      <c r="C72" t="s">
        <v>110</v>
      </c>
      <c r="D72" t="s">
        <v>4484</v>
      </c>
      <c r="E72">
        <v>50</v>
      </c>
      <c r="F72">
        <v>0</v>
      </c>
      <c r="G72">
        <v>0</v>
      </c>
      <c r="H72">
        <v>0</v>
      </c>
      <c r="I72">
        <v>0</v>
      </c>
      <c r="J72">
        <v>0</v>
      </c>
      <c r="K72">
        <v>1193</v>
      </c>
      <c r="L72">
        <v>60</v>
      </c>
      <c r="M72">
        <v>0</v>
      </c>
      <c r="N72">
        <v>0</v>
      </c>
      <c r="O72">
        <v>0</v>
      </c>
      <c r="P72">
        <v>0</v>
      </c>
      <c r="Q72">
        <v>1193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118</v>
      </c>
      <c r="AJ72">
        <v>3.8188</v>
      </c>
      <c r="AK72" t="str">
        <f t="shared" si="1"/>
        <v>DW257-5000</v>
      </c>
    </row>
    <row r="73" spans="1:37" ht="15">
      <c r="A73" t="s">
        <v>6189</v>
      </c>
      <c r="B73" t="s">
        <v>4483</v>
      </c>
      <c r="C73" t="s">
        <v>110</v>
      </c>
      <c r="D73" t="s">
        <v>4485</v>
      </c>
      <c r="E73">
        <v>50</v>
      </c>
      <c r="F73">
        <v>0</v>
      </c>
      <c r="G73">
        <v>0</v>
      </c>
      <c r="H73">
        <v>0</v>
      </c>
      <c r="I73">
        <v>0</v>
      </c>
      <c r="J73">
        <v>0</v>
      </c>
      <c r="K73">
        <v>2467</v>
      </c>
      <c r="L73">
        <v>99</v>
      </c>
      <c r="M73">
        <v>0</v>
      </c>
      <c r="N73">
        <v>0</v>
      </c>
      <c r="O73">
        <v>0</v>
      </c>
      <c r="P73">
        <v>0</v>
      </c>
      <c r="Q73">
        <v>2467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3.8188</v>
      </c>
      <c r="AK73" t="str">
        <f t="shared" si="1"/>
        <v>DW257-6200</v>
      </c>
    </row>
    <row r="74" spans="1:37" ht="15">
      <c r="A74" t="s">
        <v>827</v>
      </c>
      <c r="B74" t="s">
        <v>828</v>
      </c>
      <c r="C74" t="s">
        <v>101</v>
      </c>
      <c r="D74" t="s">
        <v>829</v>
      </c>
      <c r="E74">
        <v>50</v>
      </c>
      <c r="F74">
        <v>3.6</v>
      </c>
      <c r="G74">
        <v>0</v>
      </c>
      <c r="H74">
        <v>573</v>
      </c>
      <c r="I74">
        <v>796</v>
      </c>
      <c r="J74">
        <v>1035</v>
      </c>
      <c r="K74">
        <v>8158</v>
      </c>
      <c r="L74">
        <v>90</v>
      </c>
      <c r="M74">
        <v>0</v>
      </c>
      <c r="N74">
        <v>0</v>
      </c>
      <c r="O74">
        <v>0</v>
      </c>
      <c r="P74">
        <v>0</v>
      </c>
      <c r="Q74">
        <v>8158</v>
      </c>
      <c r="R74">
        <v>0</v>
      </c>
      <c r="S74">
        <v>462</v>
      </c>
      <c r="T74">
        <v>360</v>
      </c>
      <c r="U74">
        <v>898</v>
      </c>
      <c r="V74">
        <v>1933</v>
      </c>
      <c r="W74">
        <v>681</v>
      </c>
      <c r="X74">
        <v>440</v>
      </c>
      <c r="Y74">
        <v>1808</v>
      </c>
      <c r="Z74">
        <v>1503</v>
      </c>
      <c r="AA74">
        <v>577</v>
      </c>
      <c r="AB74">
        <v>820</v>
      </c>
      <c r="AC74">
        <v>1740</v>
      </c>
      <c r="AD74">
        <v>1192</v>
      </c>
      <c r="AE74">
        <v>12414</v>
      </c>
      <c r="AF74">
        <v>13467</v>
      </c>
      <c r="AG74">
        <v>2.3595000000000002</v>
      </c>
      <c r="AK74" t="str">
        <f t="shared" si="1"/>
        <v>HP020-5000</v>
      </c>
    </row>
    <row r="75" spans="1:37" ht="15">
      <c r="A75" t="s">
        <v>830</v>
      </c>
      <c r="B75" t="s">
        <v>828</v>
      </c>
      <c r="C75" t="s">
        <v>101</v>
      </c>
      <c r="D75" t="s">
        <v>829</v>
      </c>
      <c r="E75">
        <v>50</v>
      </c>
      <c r="F75">
        <v>0</v>
      </c>
      <c r="G75">
        <v>0</v>
      </c>
      <c r="H75">
        <v>0</v>
      </c>
      <c r="I75">
        <v>335</v>
      </c>
      <c r="J75">
        <v>531</v>
      </c>
      <c r="K75">
        <v>5729</v>
      </c>
      <c r="L75">
        <v>93</v>
      </c>
      <c r="M75">
        <v>0</v>
      </c>
      <c r="N75">
        <v>0</v>
      </c>
      <c r="O75">
        <v>0</v>
      </c>
      <c r="P75">
        <v>0</v>
      </c>
      <c r="Q75">
        <v>5729</v>
      </c>
      <c r="R75">
        <v>0</v>
      </c>
      <c r="S75">
        <v>0</v>
      </c>
      <c r="T75">
        <v>0</v>
      </c>
      <c r="U75">
        <v>0</v>
      </c>
      <c r="V75">
        <v>284</v>
      </c>
      <c r="W75">
        <v>669</v>
      </c>
      <c r="X75">
        <v>1057</v>
      </c>
      <c r="Y75">
        <v>1596</v>
      </c>
      <c r="Z75">
        <v>374</v>
      </c>
      <c r="AA75">
        <v>1386</v>
      </c>
      <c r="AB75">
        <v>0</v>
      </c>
      <c r="AC75">
        <v>718</v>
      </c>
      <c r="AD75">
        <v>287</v>
      </c>
      <c r="AE75">
        <v>6371</v>
      </c>
      <c r="AF75">
        <v>15898</v>
      </c>
      <c r="AG75">
        <v>2.3595000000000002</v>
      </c>
      <c r="AK75" t="str">
        <f t="shared" si="1"/>
        <v>HP020-6200</v>
      </c>
    </row>
    <row r="76" spans="1:37" ht="15">
      <c r="A76" t="s">
        <v>6190</v>
      </c>
      <c r="B76" t="s">
        <v>4486</v>
      </c>
      <c r="C76" t="s">
        <v>110</v>
      </c>
      <c r="D76" t="s">
        <v>4487</v>
      </c>
      <c r="E76">
        <v>50</v>
      </c>
      <c r="F76">
        <v>0</v>
      </c>
      <c r="G76">
        <v>0</v>
      </c>
      <c r="H76">
        <v>0</v>
      </c>
      <c r="I76">
        <v>0</v>
      </c>
      <c r="J76">
        <v>0</v>
      </c>
      <c r="K76">
        <v>639</v>
      </c>
      <c r="L76">
        <v>0</v>
      </c>
      <c r="M76">
        <v>0</v>
      </c>
      <c r="N76">
        <v>0</v>
      </c>
      <c r="O76">
        <v>0</v>
      </c>
      <c r="P76">
        <v>0</v>
      </c>
      <c r="Q76">
        <v>639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J76">
        <v>5.5357000000000003</v>
      </c>
      <c r="AK76" t="str">
        <f t="shared" si="1"/>
        <v>HP113-5000</v>
      </c>
    </row>
    <row r="77" spans="1:37" ht="15">
      <c r="A77" t="s">
        <v>6191</v>
      </c>
      <c r="B77" t="s">
        <v>4486</v>
      </c>
      <c r="C77" t="s">
        <v>110</v>
      </c>
      <c r="D77" t="s">
        <v>4488</v>
      </c>
      <c r="E77">
        <v>50</v>
      </c>
      <c r="F77">
        <v>0</v>
      </c>
      <c r="G77">
        <v>0</v>
      </c>
      <c r="H77">
        <v>0</v>
      </c>
      <c r="I77">
        <v>0</v>
      </c>
      <c r="J77">
        <v>0</v>
      </c>
      <c r="K77">
        <v>697</v>
      </c>
      <c r="L77">
        <v>0</v>
      </c>
      <c r="M77">
        <v>0</v>
      </c>
      <c r="N77">
        <v>0</v>
      </c>
      <c r="O77">
        <v>0</v>
      </c>
      <c r="P77">
        <v>0</v>
      </c>
      <c r="Q77">
        <v>697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J77">
        <v>4.7632000000000003</v>
      </c>
      <c r="AK77" t="str">
        <f t="shared" si="1"/>
        <v>HP113-6200</v>
      </c>
    </row>
    <row r="78" spans="1:37" ht="15">
      <c r="A78" t="s">
        <v>831</v>
      </c>
      <c r="B78" t="s">
        <v>832</v>
      </c>
      <c r="C78" t="s">
        <v>275</v>
      </c>
      <c r="D78" t="s">
        <v>833</v>
      </c>
      <c r="E78">
        <v>43</v>
      </c>
      <c r="F78">
        <v>0</v>
      </c>
      <c r="G78">
        <v>0</v>
      </c>
      <c r="H78">
        <v>0</v>
      </c>
      <c r="I78">
        <v>31</v>
      </c>
      <c r="J78">
        <v>15</v>
      </c>
      <c r="K78">
        <v>1280</v>
      </c>
      <c r="L78">
        <v>76</v>
      </c>
      <c r="M78">
        <v>0</v>
      </c>
      <c r="N78">
        <v>0</v>
      </c>
      <c r="O78">
        <v>0</v>
      </c>
      <c r="P78">
        <v>0</v>
      </c>
      <c r="Q78">
        <v>1280</v>
      </c>
      <c r="R78">
        <v>0</v>
      </c>
      <c r="S78">
        <v>0</v>
      </c>
      <c r="T78">
        <v>0</v>
      </c>
      <c r="U78">
        <v>0</v>
      </c>
      <c r="V78">
        <v>0</v>
      </c>
      <c r="W78">
        <v>183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183</v>
      </c>
      <c r="AF78">
        <v>1076</v>
      </c>
      <c r="AG78">
        <v>7.4215999999999998</v>
      </c>
      <c r="AK78" t="str">
        <f t="shared" si="1"/>
        <v>HP119-5000</v>
      </c>
    </row>
    <row r="79" spans="1:37" ht="15">
      <c r="A79" t="s">
        <v>834</v>
      </c>
      <c r="B79" t="s">
        <v>832</v>
      </c>
      <c r="C79" t="s">
        <v>275</v>
      </c>
      <c r="D79" t="s">
        <v>833</v>
      </c>
      <c r="E79">
        <v>43</v>
      </c>
      <c r="F79">
        <v>0</v>
      </c>
      <c r="G79">
        <v>0</v>
      </c>
      <c r="H79">
        <v>0</v>
      </c>
      <c r="I79">
        <v>0</v>
      </c>
      <c r="J79">
        <v>0</v>
      </c>
      <c r="K79">
        <v>2049</v>
      </c>
      <c r="L79">
        <v>0</v>
      </c>
      <c r="M79">
        <v>0</v>
      </c>
      <c r="N79">
        <v>0</v>
      </c>
      <c r="O79">
        <v>0</v>
      </c>
      <c r="P79">
        <v>0</v>
      </c>
      <c r="Q79">
        <v>2049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449</v>
      </c>
      <c r="AG79">
        <v>7.4215999999999998</v>
      </c>
      <c r="AK79" t="str">
        <f t="shared" si="1"/>
        <v>HP119-6200</v>
      </c>
    </row>
    <row r="80" spans="1:37" ht="15">
      <c r="A80" t="s">
        <v>835</v>
      </c>
      <c r="B80" t="s">
        <v>836</v>
      </c>
      <c r="C80" t="s">
        <v>110</v>
      </c>
      <c r="D80" t="s">
        <v>609</v>
      </c>
      <c r="E80">
        <v>50</v>
      </c>
      <c r="F80">
        <v>0.5</v>
      </c>
      <c r="G80">
        <v>0</v>
      </c>
      <c r="H80">
        <v>111</v>
      </c>
      <c r="I80">
        <v>66</v>
      </c>
      <c r="J80">
        <v>105</v>
      </c>
      <c r="K80">
        <v>218</v>
      </c>
      <c r="L80">
        <v>112</v>
      </c>
      <c r="M80">
        <v>0</v>
      </c>
      <c r="N80">
        <v>0</v>
      </c>
      <c r="O80">
        <v>0</v>
      </c>
      <c r="P80">
        <v>0</v>
      </c>
      <c r="Q80">
        <v>218</v>
      </c>
      <c r="R80">
        <v>0</v>
      </c>
      <c r="S80">
        <v>0</v>
      </c>
      <c r="T80">
        <v>0</v>
      </c>
      <c r="U80">
        <v>332</v>
      </c>
      <c r="V80">
        <v>66</v>
      </c>
      <c r="W80">
        <v>0</v>
      </c>
      <c r="X80">
        <v>0</v>
      </c>
      <c r="Y80">
        <v>399</v>
      </c>
      <c r="Z80">
        <v>0</v>
      </c>
      <c r="AA80">
        <v>101</v>
      </c>
      <c r="AB80">
        <v>255</v>
      </c>
      <c r="AC80">
        <v>0</v>
      </c>
      <c r="AD80">
        <v>105</v>
      </c>
      <c r="AE80">
        <v>1258</v>
      </c>
      <c r="AF80">
        <v>837</v>
      </c>
      <c r="AJ80">
        <v>4.8289999999999997</v>
      </c>
      <c r="AK80" t="str">
        <f t="shared" si="1"/>
        <v>HP140-5000</v>
      </c>
    </row>
    <row r="81" spans="1:37" ht="15">
      <c r="A81" t="s">
        <v>837</v>
      </c>
      <c r="B81" t="s">
        <v>836</v>
      </c>
      <c r="C81" t="s">
        <v>1076</v>
      </c>
      <c r="D81" t="s">
        <v>609</v>
      </c>
      <c r="E81">
        <v>50</v>
      </c>
      <c r="F81">
        <v>1.2</v>
      </c>
      <c r="G81">
        <v>0</v>
      </c>
      <c r="H81">
        <v>802</v>
      </c>
      <c r="I81">
        <v>720</v>
      </c>
      <c r="J81">
        <v>760</v>
      </c>
      <c r="K81">
        <v>3812</v>
      </c>
      <c r="L81">
        <v>191</v>
      </c>
      <c r="M81">
        <v>0</v>
      </c>
      <c r="N81">
        <v>0</v>
      </c>
      <c r="O81">
        <v>0</v>
      </c>
      <c r="P81">
        <v>0</v>
      </c>
      <c r="Q81">
        <v>3812</v>
      </c>
      <c r="R81">
        <v>0</v>
      </c>
      <c r="S81">
        <v>652</v>
      </c>
      <c r="T81">
        <v>639</v>
      </c>
      <c r="U81">
        <v>1114</v>
      </c>
      <c r="V81">
        <v>1324</v>
      </c>
      <c r="W81">
        <v>591</v>
      </c>
      <c r="X81">
        <v>0</v>
      </c>
      <c r="Y81">
        <v>526</v>
      </c>
      <c r="Z81">
        <v>1124</v>
      </c>
      <c r="AA81">
        <v>460</v>
      </c>
      <c r="AB81">
        <v>892</v>
      </c>
      <c r="AC81">
        <v>324</v>
      </c>
      <c r="AD81">
        <v>1468</v>
      </c>
      <c r="AE81">
        <v>9114</v>
      </c>
      <c r="AF81">
        <v>11318</v>
      </c>
      <c r="AG81" t="s">
        <v>4489</v>
      </c>
      <c r="AH81">
        <v>4</v>
      </c>
      <c r="AI81">
        <v>289</v>
      </c>
      <c r="AJ81">
        <v>5.5486000000000004</v>
      </c>
      <c r="AK81" t="str">
        <f t="shared" si="1"/>
        <v>HP140-6200</v>
      </c>
    </row>
    <row r="82" spans="1:37" ht="15">
      <c r="A82" t="s">
        <v>838</v>
      </c>
      <c r="B82" t="s">
        <v>839</v>
      </c>
      <c r="C82" t="s">
        <v>267</v>
      </c>
      <c r="D82" t="s">
        <v>609</v>
      </c>
      <c r="E82">
        <v>45</v>
      </c>
      <c r="F82">
        <v>30.4</v>
      </c>
      <c r="G82">
        <v>0</v>
      </c>
      <c r="H82">
        <v>55</v>
      </c>
      <c r="I82">
        <v>27</v>
      </c>
      <c r="J82">
        <v>37</v>
      </c>
      <c r="K82">
        <v>6658</v>
      </c>
      <c r="L82">
        <v>73</v>
      </c>
      <c r="M82">
        <v>0</v>
      </c>
      <c r="N82">
        <v>0</v>
      </c>
      <c r="O82">
        <v>0</v>
      </c>
      <c r="P82">
        <v>0</v>
      </c>
      <c r="Q82">
        <v>6658</v>
      </c>
      <c r="R82">
        <v>0</v>
      </c>
      <c r="S82">
        <v>0</v>
      </c>
      <c r="T82">
        <v>0</v>
      </c>
      <c r="U82">
        <v>164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284</v>
      </c>
      <c r="AD82">
        <v>0</v>
      </c>
      <c r="AE82">
        <v>448</v>
      </c>
      <c r="AF82">
        <v>263</v>
      </c>
      <c r="AJ82">
        <v>5.0119999999999996</v>
      </c>
      <c r="AK82" t="str">
        <f t="shared" si="1"/>
        <v>HP144-5000</v>
      </c>
    </row>
    <row r="83" spans="1:37" ht="15">
      <c r="A83" t="s">
        <v>840</v>
      </c>
      <c r="B83" t="s">
        <v>839</v>
      </c>
      <c r="C83" t="s">
        <v>267</v>
      </c>
      <c r="D83" t="s">
        <v>609</v>
      </c>
      <c r="E83">
        <v>45</v>
      </c>
      <c r="F83">
        <v>0</v>
      </c>
      <c r="G83">
        <v>82</v>
      </c>
      <c r="H83">
        <v>0</v>
      </c>
      <c r="I83">
        <v>128</v>
      </c>
      <c r="J83">
        <v>154</v>
      </c>
      <c r="K83">
        <v>1722</v>
      </c>
      <c r="L83">
        <v>228</v>
      </c>
      <c r="M83">
        <v>0</v>
      </c>
      <c r="N83">
        <v>68</v>
      </c>
      <c r="O83">
        <v>0</v>
      </c>
      <c r="P83">
        <v>0</v>
      </c>
      <c r="Q83">
        <v>1654</v>
      </c>
      <c r="R83">
        <v>0</v>
      </c>
      <c r="S83">
        <v>0</v>
      </c>
      <c r="T83">
        <v>0</v>
      </c>
      <c r="U83">
        <v>0</v>
      </c>
      <c r="V83">
        <v>0</v>
      </c>
      <c r="W83">
        <v>668</v>
      </c>
      <c r="X83">
        <v>99</v>
      </c>
      <c r="Y83">
        <v>0</v>
      </c>
      <c r="Z83">
        <v>0</v>
      </c>
      <c r="AA83">
        <v>0</v>
      </c>
      <c r="AB83">
        <v>0</v>
      </c>
      <c r="AC83">
        <v>948</v>
      </c>
      <c r="AD83">
        <v>136</v>
      </c>
      <c r="AE83">
        <v>1851</v>
      </c>
      <c r="AF83">
        <v>1249</v>
      </c>
      <c r="AG83">
        <v>6.2108999999999996</v>
      </c>
      <c r="AK83" t="str">
        <f t="shared" si="1"/>
        <v>HP144-6200</v>
      </c>
    </row>
    <row r="84" spans="1:37" ht="15">
      <c r="A84" t="s">
        <v>841</v>
      </c>
      <c r="B84" t="s">
        <v>842</v>
      </c>
      <c r="C84" t="s">
        <v>110</v>
      </c>
      <c r="D84" t="s">
        <v>843</v>
      </c>
      <c r="E84">
        <v>43</v>
      </c>
      <c r="F84">
        <v>0.9</v>
      </c>
      <c r="G84">
        <v>0</v>
      </c>
      <c r="H84">
        <v>174</v>
      </c>
      <c r="I84">
        <v>101</v>
      </c>
      <c r="J84">
        <v>228</v>
      </c>
      <c r="K84">
        <v>620</v>
      </c>
      <c r="L84">
        <v>43</v>
      </c>
      <c r="M84">
        <v>0</v>
      </c>
      <c r="N84">
        <v>0</v>
      </c>
      <c r="O84">
        <v>0</v>
      </c>
      <c r="P84">
        <v>0</v>
      </c>
      <c r="Q84">
        <v>620</v>
      </c>
      <c r="R84">
        <v>0</v>
      </c>
      <c r="S84">
        <v>168</v>
      </c>
      <c r="T84">
        <v>354</v>
      </c>
      <c r="U84">
        <v>0</v>
      </c>
      <c r="V84">
        <v>0</v>
      </c>
      <c r="W84">
        <v>82</v>
      </c>
      <c r="X84">
        <v>0</v>
      </c>
      <c r="Y84">
        <v>474</v>
      </c>
      <c r="Z84">
        <v>158</v>
      </c>
      <c r="AA84">
        <v>617</v>
      </c>
      <c r="AB84">
        <v>150</v>
      </c>
      <c r="AC84">
        <v>275</v>
      </c>
      <c r="AD84">
        <v>460</v>
      </c>
      <c r="AE84">
        <v>2738</v>
      </c>
      <c r="AF84">
        <v>3434</v>
      </c>
      <c r="AG84">
        <v>5.4679000000000002</v>
      </c>
      <c r="AK84" t="str">
        <f t="shared" si="1"/>
        <v>HP156-5000</v>
      </c>
    </row>
    <row r="85" spans="1:37" ht="15">
      <c r="A85" t="s">
        <v>844</v>
      </c>
      <c r="B85" t="s">
        <v>842</v>
      </c>
      <c r="C85" t="s">
        <v>110</v>
      </c>
      <c r="D85" t="s">
        <v>843</v>
      </c>
      <c r="E85">
        <v>43</v>
      </c>
      <c r="F85">
        <v>0</v>
      </c>
      <c r="G85">
        <v>0</v>
      </c>
      <c r="H85">
        <v>0</v>
      </c>
      <c r="I85">
        <v>228</v>
      </c>
      <c r="J85">
        <v>317</v>
      </c>
      <c r="K85">
        <v>829</v>
      </c>
      <c r="L85">
        <v>200</v>
      </c>
      <c r="M85">
        <v>0</v>
      </c>
      <c r="N85">
        <v>0</v>
      </c>
      <c r="O85">
        <v>0</v>
      </c>
      <c r="P85">
        <v>0</v>
      </c>
      <c r="Q85">
        <v>829</v>
      </c>
      <c r="R85">
        <v>0</v>
      </c>
      <c r="S85">
        <v>0</v>
      </c>
      <c r="T85">
        <v>0</v>
      </c>
      <c r="U85">
        <v>0</v>
      </c>
      <c r="V85">
        <v>169</v>
      </c>
      <c r="W85">
        <v>1200</v>
      </c>
      <c r="X85">
        <v>0</v>
      </c>
      <c r="Y85">
        <v>94</v>
      </c>
      <c r="Z85">
        <v>451</v>
      </c>
      <c r="AA85">
        <v>63</v>
      </c>
      <c r="AB85">
        <v>829</v>
      </c>
      <c r="AC85">
        <v>602</v>
      </c>
      <c r="AD85">
        <v>398</v>
      </c>
      <c r="AE85">
        <v>3806</v>
      </c>
      <c r="AF85">
        <v>4441</v>
      </c>
      <c r="AG85">
        <v>5.8284000000000002</v>
      </c>
      <c r="AK85" t="str">
        <f t="shared" si="1"/>
        <v>HP156-6200</v>
      </c>
    </row>
    <row r="86" spans="1:37" ht="15">
      <c r="A86" t="s">
        <v>845</v>
      </c>
      <c r="B86" t="s">
        <v>846</v>
      </c>
      <c r="C86" t="s">
        <v>329</v>
      </c>
      <c r="D86" t="s">
        <v>609</v>
      </c>
      <c r="E86">
        <v>50</v>
      </c>
      <c r="F86">
        <v>2.1</v>
      </c>
      <c r="G86">
        <v>0</v>
      </c>
      <c r="H86">
        <v>97</v>
      </c>
      <c r="I86">
        <v>128</v>
      </c>
      <c r="J86">
        <v>114</v>
      </c>
      <c r="K86">
        <v>813</v>
      </c>
      <c r="L86">
        <v>62</v>
      </c>
      <c r="M86">
        <v>0</v>
      </c>
      <c r="N86">
        <v>0</v>
      </c>
      <c r="O86">
        <v>0</v>
      </c>
      <c r="P86">
        <v>0</v>
      </c>
      <c r="Q86">
        <v>813</v>
      </c>
      <c r="R86">
        <v>0</v>
      </c>
      <c r="S86">
        <v>290</v>
      </c>
      <c r="T86">
        <v>0</v>
      </c>
      <c r="U86">
        <v>0</v>
      </c>
      <c r="V86">
        <v>130</v>
      </c>
      <c r="W86">
        <v>112</v>
      </c>
      <c r="X86">
        <v>234</v>
      </c>
      <c r="Y86">
        <v>411</v>
      </c>
      <c r="Z86">
        <v>109</v>
      </c>
      <c r="AA86">
        <v>0</v>
      </c>
      <c r="AB86">
        <v>78</v>
      </c>
      <c r="AC86">
        <v>0</v>
      </c>
      <c r="AD86">
        <v>0</v>
      </c>
      <c r="AE86">
        <v>1364</v>
      </c>
      <c r="AF86">
        <v>1643</v>
      </c>
      <c r="AG86">
        <v>5.8388999999999998</v>
      </c>
      <c r="AK86" t="str">
        <f t="shared" si="1"/>
        <v>HP158-5000</v>
      </c>
    </row>
    <row r="87" spans="1:37" ht="15">
      <c r="A87" t="s">
        <v>7553</v>
      </c>
      <c r="B87" t="s">
        <v>846</v>
      </c>
      <c r="C87" t="s">
        <v>329</v>
      </c>
      <c r="D87" t="s">
        <v>609</v>
      </c>
      <c r="E87">
        <v>50</v>
      </c>
      <c r="F87">
        <v>0</v>
      </c>
      <c r="G87">
        <v>0</v>
      </c>
      <c r="H87">
        <v>0</v>
      </c>
      <c r="I87">
        <v>0</v>
      </c>
      <c r="J87">
        <v>0</v>
      </c>
      <c r="K87">
        <v>1387</v>
      </c>
      <c r="L87">
        <v>0</v>
      </c>
      <c r="M87">
        <v>0</v>
      </c>
      <c r="N87">
        <v>0</v>
      </c>
      <c r="O87">
        <v>0</v>
      </c>
      <c r="P87">
        <v>0</v>
      </c>
      <c r="Q87">
        <v>1387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5.8388999999999998</v>
      </c>
      <c r="AK87" t="str">
        <f t="shared" si="1"/>
        <v>HP158-6200</v>
      </c>
    </row>
    <row r="88" spans="1:37" ht="15">
      <c r="A88" t="s">
        <v>6192</v>
      </c>
      <c r="B88" t="s">
        <v>4490</v>
      </c>
      <c r="C88" t="s">
        <v>318</v>
      </c>
      <c r="D88" t="s">
        <v>4491</v>
      </c>
      <c r="E88">
        <v>50</v>
      </c>
      <c r="F88">
        <v>0</v>
      </c>
      <c r="G88">
        <v>0</v>
      </c>
      <c r="H88">
        <v>0</v>
      </c>
      <c r="I88">
        <v>0</v>
      </c>
      <c r="J88">
        <v>0</v>
      </c>
      <c r="K88">
        <v>1317</v>
      </c>
      <c r="L88">
        <v>20</v>
      </c>
      <c r="M88">
        <v>0</v>
      </c>
      <c r="N88">
        <v>0</v>
      </c>
      <c r="O88">
        <v>0</v>
      </c>
      <c r="P88">
        <v>0</v>
      </c>
      <c r="Q88">
        <v>1317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J88">
        <v>7.7339000000000002</v>
      </c>
      <c r="AK88" t="str">
        <f t="shared" si="1"/>
        <v>HP166-5000</v>
      </c>
    </row>
    <row r="89" spans="1:37" ht="15">
      <c r="A89" t="s">
        <v>847</v>
      </c>
      <c r="B89" t="s">
        <v>848</v>
      </c>
      <c r="C89" t="s">
        <v>110</v>
      </c>
      <c r="D89" t="s">
        <v>849</v>
      </c>
      <c r="E89">
        <v>43</v>
      </c>
      <c r="F89">
        <v>0</v>
      </c>
      <c r="G89">
        <v>0</v>
      </c>
      <c r="H89">
        <v>0</v>
      </c>
      <c r="I89">
        <v>0</v>
      </c>
      <c r="J89">
        <v>0</v>
      </c>
      <c r="K89">
        <v>1592</v>
      </c>
      <c r="L89">
        <v>14</v>
      </c>
      <c r="M89">
        <v>0</v>
      </c>
      <c r="N89">
        <v>0</v>
      </c>
      <c r="O89">
        <v>0</v>
      </c>
      <c r="P89">
        <v>0</v>
      </c>
      <c r="Q89">
        <v>1592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359</v>
      </c>
      <c r="AJ89">
        <v>4.7735000000000003</v>
      </c>
      <c r="AK89" t="str">
        <f t="shared" si="1"/>
        <v>HP168-5000</v>
      </c>
    </row>
    <row r="90" spans="1:37" ht="15">
      <c r="A90" t="s">
        <v>6193</v>
      </c>
      <c r="B90" t="s">
        <v>4492</v>
      </c>
      <c r="C90" t="s">
        <v>110</v>
      </c>
      <c r="D90" t="s">
        <v>609</v>
      </c>
      <c r="E90">
        <v>43</v>
      </c>
      <c r="F90">
        <v>0</v>
      </c>
      <c r="G90">
        <v>0</v>
      </c>
      <c r="H90">
        <v>0</v>
      </c>
      <c r="I90">
        <v>0</v>
      </c>
      <c r="J90">
        <v>0</v>
      </c>
      <c r="K90">
        <v>1266</v>
      </c>
      <c r="L90">
        <v>0</v>
      </c>
      <c r="M90">
        <v>0</v>
      </c>
      <c r="N90">
        <v>0</v>
      </c>
      <c r="O90">
        <v>0</v>
      </c>
      <c r="P90">
        <v>0</v>
      </c>
      <c r="Q90">
        <v>1266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85</v>
      </c>
      <c r="AJ90">
        <v>5.8822000000000001</v>
      </c>
      <c r="AK90" t="str">
        <f t="shared" si="1"/>
        <v>HP181-5000</v>
      </c>
    </row>
    <row r="91" spans="1:37" ht="15">
      <c r="A91" t="s">
        <v>6194</v>
      </c>
      <c r="B91" t="s">
        <v>4492</v>
      </c>
      <c r="C91" t="s">
        <v>110</v>
      </c>
      <c r="D91" t="s">
        <v>609</v>
      </c>
      <c r="E91">
        <v>43</v>
      </c>
      <c r="F91">
        <v>0</v>
      </c>
      <c r="G91">
        <v>0</v>
      </c>
      <c r="H91">
        <v>0</v>
      </c>
      <c r="I91">
        <v>0</v>
      </c>
      <c r="J91">
        <v>0</v>
      </c>
      <c r="K91">
        <v>614</v>
      </c>
      <c r="L91">
        <v>0</v>
      </c>
      <c r="M91">
        <v>0</v>
      </c>
      <c r="N91">
        <v>0</v>
      </c>
      <c r="O91">
        <v>0</v>
      </c>
      <c r="P91">
        <v>0</v>
      </c>
      <c r="Q91">
        <v>614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J91">
        <v>5.8822000000000001</v>
      </c>
      <c r="AK91" t="str">
        <f t="shared" si="1"/>
        <v>HP181-6200</v>
      </c>
    </row>
    <row r="92" spans="1:37" ht="15">
      <c r="A92" t="s">
        <v>850</v>
      </c>
      <c r="B92" t="s">
        <v>851</v>
      </c>
      <c r="C92" t="s">
        <v>267</v>
      </c>
      <c r="D92" t="s">
        <v>609</v>
      </c>
      <c r="E92">
        <v>45</v>
      </c>
      <c r="F92">
        <v>0</v>
      </c>
      <c r="G92">
        <v>0</v>
      </c>
      <c r="H92">
        <v>219</v>
      </c>
      <c r="I92">
        <v>223</v>
      </c>
      <c r="J92">
        <v>292</v>
      </c>
      <c r="K92">
        <v>0</v>
      </c>
      <c r="L92">
        <v>44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350</v>
      </c>
      <c r="T92">
        <v>0</v>
      </c>
      <c r="U92">
        <v>308</v>
      </c>
      <c r="V92">
        <v>248</v>
      </c>
      <c r="W92">
        <v>431</v>
      </c>
      <c r="X92">
        <v>0</v>
      </c>
      <c r="Y92">
        <v>66</v>
      </c>
      <c r="Z92">
        <v>1009</v>
      </c>
      <c r="AA92">
        <v>174</v>
      </c>
      <c r="AB92">
        <v>725</v>
      </c>
      <c r="AC92">
        <v>0</v>
      </c>
      <c r="AD92">
        <v>190</v>
      </c>
      <c r="AE92">
        <v>3501</v>
      </c>
      <c r="AF92">
        <v>4030</v>
      </c>
      <c r="AJ92">
        <v>5.6154999999999999</v>
      </c>
      <c r="AK92" t="str">
        <f t="shared" si="1"/>
        <v>HP190-5000</v>
      </c>
    </row>
    <row r="93" spans="1:37" ht="15">
      <c r="A93" t="s">
        <v>852</v>
      </c>
      <c r="B93" t="s">
        <v>851</v>
      </c>
      <c r="C93" t="s">
        <v>267</v>
      </c>
      <c r="D93" t="s">
        <v>609</v>
      </c>
      <c r="E93">
        <v>45</v>
      </c>
      <c r="F93">
        <v>0</v>
      </c>
      <c r="G93">
        <v>0</v>
      </c>
      <c r="H93">
        <v>0</v>
      </c>
      <c r="I93">
        <v>132</v>
      </c>
      <c r="J93">
        <v>244</v>
      </c>
      <c r="K93">
        <v>3712</v>
      </c>
      <c r="L93">
        <v>55</v>
      </c>
      <c r="M93">
        <v>0</v>
      </c>
      <c r="N93">
        <v>0</v>
      </c>
      <c r="O93">
        <v>0</v>
      </c>
      <c r="P93">
        <v>0</v>
      </c>
      <c r="Q93">
        <v>3712</v>
      </c>
      <c r="R93">
        <v>0</v>
      </c>
      <c r="S93">
        <v>0</v>
      </c>
      <c r="T93">
        <v>0</v>
      </c>
      <c r="U93">
        <v>0</v>
      </c>
      <c r="V93">
        <v>0</v>
      </c>
      <c r="W93">
        <v>789</v>
      </c>
      <c r="X93">
        <v>0</v>
      </c>
      <c r="Y93">
        <v>0</v>
      </c>
      <c r="Z93">
        <v>600</v>
      </c>
      <c r="AA93">
        <v>895</v>
      </c>
      <c r="AB93">
        <v>136</v>
      </c>
      <c r="AC93">
        <v>242</v>
      </c>
      <c r="AD93">
        <v>268</v>
      </c>
      <c r="AE93">
        <v>2930</v>
      </c>
      <c r="AF93">
        <v>4747</v>
      </c>
      <c r="AG93">
        <v>4.6352000000000002</v>
      </c>
      <c r="AK93" t="str">
        <f t="shared" si="1"/>
        <v>HP190-6200</v>
      </c>
    </row>
    <row r="94" spans="1:37" ht="15">
      <c r="A94" t="s">
        <v>853</v>
      </c>
      <c r="B94" t="s">
        <v>854</v>
      </c>
      <c r="C94" t="s">
        <v>110</v>
      </c>
      <c r="D94" t="s">
        <v>609</v>
      </c>
      <c r="E94">
        <v>50</v>
      </c>
      <c r="F94">
        <v>3.5</v>
      </c>
      <c r="G94">
        <v>0</v>
      </c>
      <c r="H94">
        <v>67</v>
      </c>
      <c r="I94">
        <v>140</v>
      </c>
      <c r="J94">
        <v>169</v>
      </c>
      <c r="K94">
        <v>949</v>
      </c>
      <c r="L94">
        <v>75</v>
      </c>
      <c r="M94">
        <v>0</v>
      </c>
      <c r="N94">
        <v>0</v>
      </c>
      <c r="O94">
        <v>0</v>
      </c>
      <c r="P94">
        <v>0</v>
      </c>
      <c r="Q94">
        <v>949</v>
      </c>
      <c r="R94">
        <v>0</v>
      </c>
      <c r="S94">
        <v>201</v>
      </c>
      <c r="T94">
        <v>0</v>
      </c>
      <c r="U94">
        <v>0</v>
      </c>
      <c r="V94">
        <v>132</v>
      </c>
      <c r="W94">
        <v>505</v>
      </c>
      <c r="X94">
        <v>0</v>
      </c>
      <c r="Y94">
        <v>469</v>
      </c>
      <c r="Z94">
        <v>0</v>
      </c>
      <c r="AA94">
        <v>0</v>
      </c>
      <c r="AB94">
        <v>422</v>
      </c>
      <c r="AC94">
        <v>0</v>
      </c>
      <c r="AD94">
        <v>300</v>
      </c>
      <c r="AE94">
        <v>2029</v>
      </c>
      <c r="AF94">
        <v>3263</v>
      </c>
      <c r="AG94">
        <v>6.4749999999999996</v>
      </c>
      <c r="AK94" t="str">
        <f t="shared" si="1"/>
        <v>HP194-5000</v>
      </c>
    </row>
    <row r="95" spans="1:37" ht="15">
      <c r="A95" t="s">
        <v>855</v>
      </c>
      <c r="B95" t="s">
        <v>854</v>
      </c>
      <c r="C95" t="s">
        <v>1076</v>
      </c>
      <c r="D95" t="s">
        <v>609</v>
      </c>
      <c r="E95">
        <v>50</v>
      </c>
      <c r="F95">
        <v>-1</v>
      </c>
      <c r="G95">
        <v>900</v>
      </c>
      <c r="H95">
        <v>197</v>
      </c>
      <c r="I95">
        <v>99</v>
      </c>
      <c r="J95">
        <v>74</v>
      </c>
      <c r="K95">
        <v>0</v>
      </c>
      <c r="L95">
        <v>428</v>
      </c>
      <c r="M95">
        <v>0</v>
      </c>
      <c r="N95">
        <v>750</v>
      </c>
      <c r="O95">
        <v>0</v>
      </c>
      <c r="P95">
        <v>0</v>
      </c>
      <c r="Q95">
        <v>-750</v>
      </c>
      <c r="R95">
        <v>0</v>
      </c>
      <c r="S95">
        <v>591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118</v>
      </c>
      <c r="AA95">
        <v>180</v>
      </c>
      <c r="AB95">
        <v>0</v>
      </c>
      <c r="AC95">
        <v>0</v>
      </c>
      <c r="AD95">
        <v>0</v>
      </c>
      <c r="AE95">
        <v>889</v>
      </c>
      <c r="AF95">
        <v>1249</v>
      </c>
      <c r="AG95" t="s">
        <v>7554</v>
      </c>
      <c r="AH95">
        <v>2</v>
      </c>
      <c r="AI95">
        <v>706</v>
      </c>
      <c r="AJ95">
        <v>6.4749999999999996</v>
      </c>
      <c r="AK95" t="str">
        <f t="shared" si="1"/>
        <v>HP194-6200</v>
      </c>
    </row>
    <row r="96" spans="1:37" ht="15">
      <c r="A96" t="s">
        <v>7488</v>
      </c>
      <c r="B96" t="s">
        <v>7489</v>
      </c>
      <c r="C96" t="s">
        <v>110</v>
      </c>
      <c r="D96" t="s">
        <v>1034</v>
      </c>
      <c r="E96">
        <v>43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6.4638</v>
      </c>
      <c r="AK96" t="str">
        <f t="shared" si="1"/>
        <v>HP230-5000</v>
      </c>
    </row>
    <row r="97" spans="1:37" ht="15">
      <c r="A97" t="s">
        <v>6195</v>
      </c>
      <c r="B97" t="s">
        <v>4493</v>
      </c>
      <c r="C97" t="s">
        <v>329</v>
      </c>
      <c r="D97" t="s">
        <v>4494</v>
      </c>
      <c r="E97">
        <v>50</v>
      </c>
      <c r="F97">
        <v>0</v>
      </c>
      <c r="G97">
        <v>0</v>
      </c>
      <c r="H97">
        <v>53</v>
      </c>
      <c r="I97">
        <v>26</v>
      </c>
      <c r="J97">
        <v>13</v>
      </c>
      <c r="K97">
        <v>0</v>
      </c>
      <c r="L97">
        <v>59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158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158</v>
      </c>
      <c r="AF97">
        <v>1218</v>
      </c>
      <c r="AJ97">
        <v>6.3070000000000004</v>
      </c>
      <c r="AK97" t="str">
        <f t="shared" si="1"/>
        <v>HP235-5000</v>
      </c>
    </row>
    <row r="98" spans="1:37" ht="15">
      <c r="A98" t="s">
        <v>3915</v>
      </c>
      <c r="B98" t="s">
        <v>4493</v>
      </c>
      <c r="C98" t="s">
        <v>329</v>
      </c>
      <c r="D98" t="s">
        <v>4494</v>
      </c>
      <c r="E98">
        <v>50</v>
      </c>
      <c r="F98">
        <v>4.0999999999999996</v>
      </c>
      <c r="G98">
        <v>0</v>
      </c>
      <c r="H98">
        <v>26</v>
      </c>
      <c r="I98">
        <v>51</v>
      </c>
      <c r="J98">
        <v>38</v>
      </c>
      <c r="K98">
        <v>422</v>
      </c>
      <c r="L98">
        <v>59</v>
      </c>
      <c r="M98">
        <v>0</v>
      </c>
      <c r="N98">
        <v>0</v>
      </c>
      <c r="O98">
        <v>0</v>
      </c>
      <c r="P98">
        <v>0</v>
      </c>
      <c r="Q98">
        <v>422</v>
      </c>
      <c r="R98">
        <v>0</v>
      </c>
      <c r="S98">
        <v>0</v>
      </c>
      <c r="T98">
        <v>78</v>
      </c>
      <c r="U98">
        <v>0</v>
      </c>
      <c r="V98">
        <v>0</v>
      </c>
      <c r="W98">
        <v>0</v>
      </c>
      <c r="X98">
        <v>227</v>
      </c>
      <c r="Y98">
        <v>0</v>
      </c>
      <c r="Z98">
        <v>0</v>
      </c>
      <c r="AA98">
        <v>0</v>
      </c>
      <c r="AB98">
        <v>150</v>
      </c>
      <c r="AC98">
        <v>0</v>
      </c>
      <c r="AD98">
        <v>0</v>
      </c>
      <c r="AE98">
        <v>455</v>
      </c>
      <c r="AF98">
        <v>893</v>
      </c>
      <c r="AJ98">
        <v>6.3070000000000004</v>
      </c>
      <c r="AK98" t="str">
        <f t="shared" si="1"/>
        <v>HP235-6200</v>
      </c>
    </row>
    <row r="99" spans="1:37" ht="15">
      <c r="A99" t="s">
        <v>867</v>
      </c>
      <c r="B99" t="s">
        <v>868</v>
      </c>
      <c r="C99" t="s">
        <v>110</v>
      </c>
      <c r="D99" t="s">
        <v>869</v>
      </c>
      <c r="E99">
        <v>50</v>
      </c>
      <c r="F99">
        <v>0</v>
      </c>
      <c r="G99">
        <v>76</v>
      </c>
      <c r="H99">
        <v>9959</v>
      </c>
      <c r="I99">
        <v>11155</v>
      </c>
      <c r="J99">
        <v>10826</v>
      </c>
      <c r="K99">
        <v>1539</v>
      </c>
      <c r="L99">
        <v>2593</v>
      </c>
      <c r="M99">
        <v>0</v>
      </c>
      <c r="N99">
        <v>63</v>
      </c>
      <c r="O99">
        <v>0</v>
      </c>
      <c r="P99">
        <v>0</v>
      </c>
      <c r="Q99">
        <v>1476</v>
      </c>
      <c r="R99">
        <v>949</v>
      </c>
      <c r="S99">
        <v>13785</v>
      </c>
      <c r="T99">
        <v>7269</v>
      </c>
      <c r="U99">
        <v>8822</v>
      </c>
      <c r="V99">
        <v>11570</v>
      </c>
      <c r="W99">
        <v>8680</v>
      </c>
      <c r="X99">
        <v>16805</v>
      </c>
      <c r="Y99">
        <v>13702</v>
      </c>
      <c r="Z99">
        <v>9937</v>
      </c>
      <c r="AA99">
        <v>9100</v>
      </c>
      <c r="AB99">
        <v>15024</v>
      </c>
      <c r="AC99">
        <v>5753</v>
      </c>
      <c r="AD99">
        <v>9464</v>
      </c>
      <c r="AE99">
        <v>129911</v>
      </c>
      <c r="AF99">
        <v>140849</v>
      </c>
      <c r="AJ99">
        <v>4.109</v>
      </c>
      <c r="AK99" t="str">
        <f t="shared" si="1"/>
        <v>HP256-5000</v>
      </c>
    </row>
    <row r="100" spans="1:37" ht="15">
      <c r="A100" t="s">
        <v>870</v>
      </c>
      <c r="B100" t="s">
        <v>868</v>
      </c>
      <c r="C100" t="s">
        <v>110</v>
      </c>
      <c r="D100" t="s">
        <v>869</v>
      </c>
      <c r="E100">
        <v>50</v>
      </c>
      <c r="F100">
        <v>2.7</v>
      </c>
      <c r="G100">
        <v>0</v>
      </c>
      <c r="H100">
        <v>530</v>
      </c>
      <c r="I100">
        <v>952</v>
      </c>
      <c r="J100">
        <v>1219</v>
      </c>
      <c r="K100">
        <v>5818</v>
      </c>
      <c r="L100">
        <v>548</v>
      </c>
      <c r="M100">
        <v>0</v>
      </c>
      <c r="N100">
        <v>0</v>
      </c>
      <c r="O100">
        <v>0</v>
      </c>
      <c r="P100">
        <v>0</v>
      </c>
      <c r="Q100">
        <v>5818</v>
      </c>
      <c r="R100">
        <v>305</v>
      </c>
      <c r="S100">
        <v>763</v>
      </c>
      <c r="T100">
        <v>404</v>
      </c>
      <c r="U100">
        <v>422</v>
      </c>
      <c r="V100">
        <v>1237</v>
      </c>
      <c r="W100">
        <v>1026</v>
      </c>
      <c r="X100">
        <v>1858</v>
      </c>
      <c r="Y100">
        <v>3591</v>
      </c>
      <c r="Z100">
        <v>230</v>
      </c>
      <c r="AA100">
        <v>1264</v>
      </c>
      <c r="AB100">
        <v>2101</v>
      </c>
      <c r="AC100">
        <v>112</v>
      </c>
      <c r="AD100">
        <v>1616</v>
      </c>
      <c r="AE100">
        <v>14624</v>
      </c>
      <c r="AF100">
        <v>12784</v>
      </c>
      <c r="AG100">
        <v>3.8980999999999999</v>
      </c>
      <c r="AK100" t="str">
        <f t="shared" si="1"/>
        <v>HP256-6200</v>
      </c>
    </row>
    <row r="101" spans="1:37" ht="15">
      <c r="A101" t="s">
        <v>871</v>
      </c>
      <c r="B101" t="s">
        <v>872</v>
      </c>
      <c r="C101" t="s">
        <v>329</v>
      </c>
      <c r="D101" t="s">
        <v>873</v>
      </c>
      <c r="E101">
        <v>50</v>
      </c>
      <c r="F101">
        <v>6.4</v>
      </c>
      <c r="G101">
        <v>62</v>
      </c>
      <c r="H101">
        <v>424</v>
      </c>
      <c r="I101">
        <v>815</v>
      </c>
      <c r="J101">
        <v>1245</v>
      </c>
      <c r="K101">
        <v>10886</v>
      </c>
      <c r="L101">
        <v>30</v>
      </c>
      <c r="M101">
        <v>0</v>
      </c>
      <c r="N101">
        <v>52</v>
      </c>
      <c r="O101">
        <v>0</v>
      </c>
      <c r="P101">
        <v>0</v>
      </c>
      <c r="Q101">
        <v>10834</v>
      </c>
      <c r="R101">
        <v>0</v>
      </c>
      <c r="S101">
        <v>558</v>
      </c>
      <c r="T101">
        <v>0</v>
      </c>
      <c r="U101">
        <v>715</v>
      </c>
      <c r="V101">
        <v>0</v>
      </c>
      <c r="W101">
        <v>2040</v>
      </c>
      <c r="X101">
        <v>1574</v>
      </c>
      <c r="Y101">
        <v>3615</v>
      </c>
      <c r="Z101">
        <v>3653</v>
      </c>
      <c r="AA101">
        <v>695</v>
      </c>
      <c r="AB101">
        <v>1424</v>
      </c>
      <c r="AC101">
        <v>667</v>
      </c>
      <c r="AD101">
        <v>0</v>
      </c>
      <c r="AE101">
        <v>14941</v>
      </c>
      <c r="AF101">
        <v>21350</v>
      </c>
      <c r="AG101">
        <v>4.4099000000000004</v>
      </c>
      <c r="AK101" t="str">
        <f t="shared" si="1"/>
        <v>HP268-5000</v>
      </c>
    </row>
    <row r="102" spans="1:37" ht="15">
      <c r="A102" t="s">
        <v>874</v>
      </c>
      <c r="B102" t="s">
        <v>872</v>
      </c>
      <c r="C102" t="s">
        <v>1076</v>
      </c>
      <c r="D102" t="s">
        <v>873</v>
      </c>
      <c r="E102">
        <v>50</v>
      </c>
      <c r="F102">
        <v>19.5</v>
      </c>
      <c r="G102">
        <v>67</v>
      </c>
      <c r="H102">
        <v>120</v>
      </c>
      <c r="I102">
        <v>578</v>
      </c>
      <c r="J102">
        <v>918</v>
      </c>
      <c r="K102">
        <v>9420</v>
      </c>
      <c r="L102">
        <v>184</v>
      </c>
      <c r="M102">
        <v>0</v>
      </c>
      <c r="N102">
        <v>56</v>
      </c>
      <c r="O102">
        <v>0</v>
      </c>
      <c r="P102">
        <v>0</v>
      </c>
      <c r="Q102">
        <v>9364</v>
      </c>
      <c r="R102">
        <v>0</v>
      </c>
      <c r="S102">
        <v>0</v>
      </c>
      <c r="T102">
        <v>0</v>
      </c>
      <c r="U102">
        <v>360</v>
      </c>
      <c r="V102">
        <v>0</v>
      </c>
      <c r="W102">
        <v>520</v>
      </c>
      <c r="X102">
        <v>2586</v>
      </c>
      <c r="Y102">
        <v>2717</v>
      </c>
      <c r="Z102">
        <v>1426</v>
      </c>
      <c r="AA102">
        <v>2320</v>
      </c>
      <c r="AB102">
        <v>997</v>
      </c>
      <c r="AC102">
        <v>87</v>
      </c>
      <c r="AD102">
        <v>0</v>
      </c>
      <c r="AE102">
        <v>11013</v>
      </c>
      <c r="AF102">
        <v>12226</v>
      </c>
      <c r="AG102" t="s">
        <v>4495</v>
      </c>
      <c r="AH102">
        <v>4</v>
      </c>
      <c r="AI102">
        <v>198</v>
      </c>
      <c r="AJ102">
        <v>4.4099000000000004</v>
      </c>
      <c r="AK102" t="str">
        <f t="shared" si="1"/>
        <v>HP268-6200</v>
      </c>
    </row>
    <row r="103" spans="1:37" ht="15">
      <c r="A103" t="s">
        <v>6196</v>
      </c>
      <c r="B103" t="s">
        <v>4496</v>
      </c>
      <c r="C103" t="s">
        <v>110</v>
      </c>
      <c r="D103" t="s">
        <v>4497</v>
      </c>
      <c r="E103">
        <v>50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662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662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J103">
        <v>5.1933999999999996</v>
      </c>
      <c r="AK103" t="str">
        <f t="shared" si="1"/>
        <v>HP270-6200</v>
      </c>
    </row>
    <row r="104" spans="1:37" ht="15">
      <c r="A104" t="s">
        <v>875</v>
      </c>
      <c r="B104" t="s">
        <v>876</v>
      </c>
      <c r="C104" t="s">
        <v>1076</v>
      </c>
      <c r="D104" t="s">
        <v>877</v>
      </c>
      <c r="E104">
        <v>50</v>
      </c>
      <c r="F104">
        <v>5.3</v>
      </c>
      <c r="G104">
        <v>0</v>
      </c>
      <c r="H104">
        <v>97</v>
      </c>
      <c r="I104">
        <v>77</v>
      </c>
      <c r="J104">
        <v>165</v>
      </c>
      <c r="K104">
        <v>2064</v>
      </c>
      <c r="L104">
        <v>106</v>
      </c>
      <c r="M104">
        <v>0</v>
      </c>
      <c r="N104">
        <v>0</v>
      </c>
      <c r="O104">
        <v>0</v>
      </c>
      <c r="P104">
        <v>0</v>
      </c>
      <c r="Q104">
        <v>2064</v>
      </c>
      <c r="R104">
        <v>0</v>
      </c>
      <c r="S104">
        <v>150</v>
      </c>
      <c r="T104">
        <v>142</v>
      </c>
      <c r="U104">
        <v>0</v>
      </c>
      <c r="V104">
        <v>0</v>
      </c>
      <c r="W104">
        <v>170</v>
      </c>
      <c r="X104">
        <v>0</v>
      </c>
      <c r="Y104">
        <v>871</v>
      </c>
      <c r="Z104">
        <v>190</v>
      </c>
      <c r="AA104">
        <v>159</v>
      </c>
      <c r="AB104">
        <v>135</v>
      </c>
      <c r="AC104">
        <v>160</v>
      </c>
      <c r="AD104">
        <v>0</v>
      </c>
      <c r="AE104">
        <v>1977</v>
      </c>
      <c r="AF104">
        <v>2172</v>
      </c>
      <c r="AG104" t="s">
        <v>4498</v>
      </c>
      <c r="AH104">
        <v>1</v>
      </c>
      <c r="AI104">
        <v>109</v>
      </c>
      <c r="AJ104">
        <v>5.7481999999999998</v>
      </c>
      <c r="AK104" t="str">
        <f t="shared" si="1"/>
        <v>HP272-5000</v>
      </c>
    </row>
    <row r="105" spans="1:37" ht="15">
      <c r="A105" t="s">
        <v>878</v>
      </c>
      <c r="B105" t="s">
        <v>876</v>
      </c>
      <c r="C105" t="s">
        <v>1076</v>
      </c>
      <c r="D105" t="s">
        <v>877</v>
      </c>
      <c r="E105">
        <v>50</v>
      </c>
      <c r="F105">
        <v>0</v>
      </c>
      <c r="G105">
        <v>0</v>
      </c>
      <c r="H105">
        <v>0</v>
      </c>
      <c r="I105">
        <v>39</v>
      </c>
      <c r="J105">
        <v>20</v>
      </c>
      <c r="K105">
        <v>3570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3570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236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236</v>
      </c>
      <c r="AF105">
        <v>1702</v>
      </c>
      <c r="AG105" t="s">
        <v>4495</v>
      </c>
      <c r="AH105">
        <v>5</v>
      </c>
      <c r="AI105">
        <v>339</v>
      </c>
      <c r="AJ105">
        <v>5.5486000000000004</v>
      </c>
      <c r="AK105" t="str">
        <f t="shared" si="1"/>
        <v>HP272-6200</v>
      </c>
    </row>
    <row r="106" spans="1:37" ht="15">
      <c r="A106" t="s">
        <v>880</v>
      </c>
      <c r="B106" t="s">
        <v>879</v>
      </c>
      <c r="C106" t="s">
        <v>110</v>
      </c>
      <c r="D106" t="s">
        <v>877</v>
      </c>
      <c r="E106">
        <v>50</v>
      </c>
      <c r="F106">
        <v>0</v>
      </c>
      <c r="G106">
        <v>0</v>
      </c>
      <c r="H106">
        <v>0</v>
      </c>
      <c r="I106">
        <v>0</v>
      </c>
      <c r="J106">
        <v>38</v>
      </c>
      <c r="K106">
        <v>328</v>
      </c>
      <c r="L106">
        <v>224</v>
      </c>
      <c r="M106">
        <v>0</v>
      </c>
      <c r="N106">
        <v>0</v>
      </c>
      <c r="O106">
        <v>0</v>
      </c>
      <c r="P106">
        <v>0</v>
      </c>
      <c r="Q106">
        <v>328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252</v>
      </c>
      <c r="AB106">
        <v>0</v>
      </c>
      <c r="AC106">
        <v>0</v>
      </c>
      <c r="AD106">
        <v>206</v>
      </c>
      <c r="AE106">
        <v>458</v>
      </c>
      <c r="AF106">
        <v>1224</v>
      </c>
      <c r="AG106">
        <v>5.6287000000000003</v>
      </c>
      <c r="AK106" t="str">
        <f t="shared" si="1"/>
        <v>HP273-6200</v>
      </c>
    </row>
    <row r="107" spans="1:37" ht="15">
      <c r="A107" t="s">
        <v>884</v>
      </c>
      <c r="B107" t="s">
        <v>882</v>
      </c>
      <c r="C107" t="s">
        <v>275</v>
      </c>
      <c r="D107" t="s">
        <v>883</v>
      </c>
      <c r="E107">
        <v>43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2345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2345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536</v>
      </c>
      <c r="AJ107">
        <v>7.8776000000000002</v>
      </c>
      <c r="AK107" t="str">
        <f t="shared" si="1"/>
        <v>HP288-6200</v>
      </c>
    </row>
    <row r="108" spans="1:37" ht="15">
      <c r="A108" t="s">
        <v>885</v>
      </c>
      <c r="B108" t="s">
        <v>886</v>
      </c>
      <c r="C108" t="s">
        <v>275</v>
      </c>
      <c r="D108" t="s">
        <v>883</v>
      </c>
      <c r="E108">
        <v>43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1293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1293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J108">
        <v>7.7531999999999996</v>
      </c>
      <c r="AK108" t="str">
        <f t="shared" si="1"/>
        <v>HP289-6200</v>
      </c>
    </row>
    <row r="109" spans="1:37" ht="15">
      <c r="A109" t="s">
        <v>887</v>
      </c>
      <c r="B109" t="s">
        <v>888</v>
      </c>
      <c r="C109" t="s">
        <v>110</v>
      </c>
      <c r="D109" t="s">
        <v>889</v>
      </c>
      <c r="E109">
        <v>45</v>
      </c>
      <c r="F109">
        <v>0.9</v>
      </c>
      <c r="G109">
        <v>73</v>
      </c>
      <c r="H109">
        <v>427</v>
      </c>
      <c r="I109">
        <v>623</v>
      </c>
      <c r="J109">
        <v>615</v>
      </c>
      <c r="K109">
        <v>1590</v>
      </c>
      <c r="L109">
        <v>342</v>
      </c>
      <c r="M109">
        <v>0</v>
      </c>
      <c r="N109">
        <v>61</v>
      </c>
      <c r="O109">
        <v>0</v>
      </c>
      <c r="P109">
        <v>0</v>
      </c>
      <c r="Q109">
        <v>1529</v>
      </c>
      <c r="R109">
        <v>0</v>
      </c>
      <c r="S109">
        <v>654</v>
      </c>
      <c r="T109">
        <v>0</v>
      </c>
      <c r="U109">
        <v>628</v>
      </c>
      <c r="V109">
        <v>577</v>
      </c>
      <c r="W109">
        <v>1390</v>
      </c>
      <c r="X109">
        <v>486</v>
      </c>
      <c r="Y109">
        <v>553</v>
      </c>
      <c r="Z109">
        <v>290</v>
      </c>
      <c r="AA109">
        <v>969</v>
      </c>
      <c r="AB109">
        <v>700</v>
      </c>
      <c r="AC109">
        <v>538</v>
      </c>
      <c r="AD109">
        <v>600</v>
      </c>
      <c r="AE109">
        <v>7385</v>
      </c>
      <c r="AF109">
        <v>8572</v>
      </c>
      <c r="AG109">
        <v>5.3712</v>
      </c>
      <c r="AK109" t="str">
        <f t="shared" si="1"/>
        <v>HP290-5000</v>
      </c>
    </row>
    <row r="110" spans="1:37" ht="15">
      <c r="A110" t="s">
        <v>890</v>
      </c>
      <c r="B110" t="s">
        <v>888</v>
      </c>
      <c r="C110" t="s">
        <v>1076</v>
      </c>
      <c r="D110" t="s">
        <v>889</v>
      </c>
      <c r="E110">
        <v>45</v>
      </c>
      <c r="F110">
        <v>0</v>
      </c>
      <c r="G110">
        <v>60</v>
      </c>
      <c r="H110">
        <v>0</v>
      </c>
      <c r="I110">
        <v>162</v>
      </c>
      <c r="J110">
        <v>94</v>
      </c>
      <c r="K110">
        <v>1574</v>
      </c>
      <c r="L110">
        <v>53</v>
      </c>
      <c r="M110">
        <v>0</v>
      </c>
      <c r="N110">
        <v>50</v>
      </c>
      <c r="O110">
        <v>0</v>
      </c>
      <c r="P110">
        <v>0</v>
      </c>
      <c r="Q110">
        <v>1524</v>
      </c>
      <c r="R110">
        <v>0</v>
      </c>
      <c r="S110">
        <v>0</v>
      </c>
      <c r="T110">
        <v>0</v>
      </c>
      <c r="U110">
        <v>0</v>
      </c>
      <c r="V110">
        <v>275</v>
      </c>
      <c r="W110">
        <v>698</v>
      </c>
      <c r="X110">
        <v>0</v>
      </c>
      <c r="Y110">
        <v>149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1122</v>
      </c>
      <c r="AF110">
        <v>1527</v>
      </c>
      <c r="AG110" t="s">
        <v>4499</v>
      </c>
      <c r="AH110">
        <v>2</v>
      </c>
      <c r="AI110">
        <v>45</v>
      </c>
      <c r="AJ110">
        <v>6.2381000000000002</v>
      </c>
      <c r="AK110" t="str">
        <f t="shared" si="1"/>
        <v>HP290-6200</v>
      </c>
    </row>
    <row r="111" spans="1:37" ht="15">
      <c r="A111" t="s">
        <v>891</v>
      </c>
      <c r="B111" t="s">
        <v>892</v>
      </c>
      <c r="C111" t="s">
        <v>110</v>
      </c>
      <c r="D111" t="s">
        <v>893</v>
      </c>
      <c r="E111">
        <v>50</v>
      </c>
      <c r="F111">
        <v>0</v>
      </c>
      <c r="G111">
        <v>0</v>
      </c>
      <c r="H111">
        <v>0</v>
      </c>
      <c r="I111">
        <v>36</v>
      </c>
      <c r="J111">
        <v>41</v>
      </c>
      <c r="K111">
        <v>374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374</v>
      </c>
      <c r="R111">
        <v>0</v>
      </c>
      <c r="S111">
        <v>0</v>
      </c>
      <c r="T111">
        <v>0</v>
      </c>
      <c r="U111">
        <v>0</v>
      </c>
      <c r="V111">
        <v>218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269</v>
      </c>
      <c r="AE111">
        <v>487</v>
      </c>
      <c r="AF111">
        <v>399</v>
      </c>
      <c r="AG111">
        <v>6.3250000000000002</v>
      </c>
      <c r="AK111" t="str">
        <f t="shared" si="1"/>
        <v>HP295-5000</v>
      </c>
    </row>
    <row r="112" spans="1:37" ht="15">
      <c r="A112" t="s">
        <v>896</v>
      </c>
      <c r="B112" t="s">
        <v>897</v>
      </c>
      <c r="C112" t="s">
        <v>110</v>
      </c>
      <c r="E112">
        <v>43</v>
      </c>
      <c r="F112">
        <v>0</v>
      </c>
      <c r="G112">
        <v>0</v>
      </c>
      <c r="H112">
        <v>0</v>
      </c>
      <c r="I112">
        <v>30</v>
      </c>
      <c r="J112">
        <v>15</v>
      </c>
      <c r="K112">
        <v>663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663</v>
      </c>
      <c r="R112">
        <v>0</v>
      </c>
      <c r="S112">
        <v>0</v>
      </c>
      <c r="T112">
        <v>0</v>
      </c>
      <c r="U112">
        <v>0</v>
      </c>
      <c r="V112">
        <v>177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177</v>
      </c>
      <c r="AF112">
        <v>0</v>
      </c>
      <c r="AJ112">
        <v>5.6912000000000003</v>
      </c>
      <c r="AK112" t="str">
        <f t="shared" si="1"/>
        <v>HP302-5000</v>
      </c>
    </row>
    <row r="113" spans="1:37" ht="15">
      <c r="A113" t="s">
        <v>3732</v>
      </c>
      <c r="B113" t="s">
        <v>897</v>
      </c>
      <c r="C113" t="s">
        <v>110</v>
      </c>
      <c r="E113">
        <v>43</v>
      </c>
      <c r="F113">
        <v>0</v>
      </c>
      <c r="G113">
        <v>71</v>
      </c>
      <c r="H113">
        <v>0</v>
      </c>
      <c r="I113">
        <v>69</v>
      </c>
      <c r="J113">
        <v>196</v>
      </c>
      <c r="K113">
        <v>886</v>
      </c>
      <c r="L113">
        <v>60</v>
      </c>
      <c r="M113">
        <v>0</v>
      </c>
      <c r="N113">
        <v>59</v>
      </c>
      <c r="O113">
        <v>0</v>
      </c>
      <c r="P113">
        <v>0</v>
      </c>
      <c r="Q113">
        <v>827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108</v>
      </c>
      <c r="X113">
        <v>306</v>
      </c>
      <c r="Y113">
        <v>968</v>
      </c>
      <c r="Z113">
        <v>0</v>
      </c>
      <c r="AA113">
        <v>0</v>
      </c>
      <c r="AB113">
        <v>0</v>
      </c>
      <c r="AC113">
        <v>584</v>
      </c>
      <c r="AD113">
        <v>386</v>
      </c>
      <c r="AE113">
        <v>2352</v>
      </c>
      <c r="AF113">
        <v>2589</v>
      </c>
      <c r="AJ113">
        <v>5.6626000000000003</v>
      </c>
      <c r="AK113" t="str">
        <f t="shared" si="1"/>
        <v>HP302-6200</v>
      </c>
    </row>
    <row r="114" spans="1:37" ht="15">
      <c r="A114" t="s">
        <v>898</v>
      </c>
      <c r="B114" t="s">
        <v>899</v>
      </c>
      <c r="C114" t="s">
        <v>110</v>
      </c>
      <c r="D114" t="s">
        <v>900</v>
      </c>
      <c r="E114">
        <v>50</v>
      </c>
      <c r="F114">
        <v>3</v>
      </c>
      <c r="G114">
        <v>44</v>
      </c>
      <c r="H114">
        <v>38</v>
      </c>
      <c r="I114">
        <v>36</v>
      </c>
      <c r="J114">
        <v>70</v>
      </c>
      <c r="K114">
        <v>500</v>
      </c>
      <c r="L114">
        <v>79</v>
      </c>
      <c r="M114">
        <v>0</v>
      </c>
      <c r="N114">
        <v>37</v>
      </c>
      <c r="O114">
        <v>0</v>
      </c>
      <c r="P114">
        <v>0</v>
      </c>
      <c r="Q114">
        <v>463</v>
      </c>
      <c r="R114">
        <v>0</v>
      </c>
      <c r="S114">
        <v>0</v>
      </c>
      <c r="T114">
        <v>114</v>
      </c>
      <c r="U114">
        <v>0</v>
      </c>
      <c r="V114">
        <v>100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180</v>
      </c>
      <c r="AC114">
        <v>264</v>
      </c>
      <c r="AD114">
        <v>180</v>
      </c>
      <c r="AE114">
        <v>838</v>
      </c>
      <c r="AF114">
        <v>1191</v>
      </c>
      <c r="AJ114">
        <v>5.2503000000000002</v>
      </c>
      <c r="AK114" t="str">
        <f t="shared" si="1"/>
        <v>HP313-5000</v>
      </c>
    </row>
    <row r="115" spans="1:37" ht="15">
      <c r="A115" t="s">
        <v>901</v>
      </c>
      <c r="B115" t="s">
        <v>899</v>
      </c>
      <c r="C115" t="s">
        <v>110</v>
      </c>
      <c r="D115" t="s">
        <v>900</v>
      </c>
      <c r="E115">
        <v>50</v>
      </c>
      <c r="F115">
        <v>2.6</v>
      </c>
      <c r="G115">
        <v>71</v>
      </c>
      <c r="H115">
        <v>121</v>
      </c>
      <c r="I115">
        <v>586</v>
      </c>
      <c r="J115">
        <v>531</v>
      </c>
      <c r="K115">
        <v>1322</v>
      </c>
      <c r="L115">
        <v>114</v>
      </c>
      <c r="M115">
        <v>0</v>
      </c>
      <c r="N115">
        <v>60</v>
      </c>
      <c r="O115">
        <v>0</v>
      </c>
      <c r="P115">
        <v>0</v>
      </c>
      <c r="Q115">
        <v>1262</v>
      </c>
      <c r="R115">
        <v>0</v>
      </c>
      <c r="S115">
        <v>0</v>
      </c>
      <c r="T115">
        <v>364</v>
      </c>
      <c r="U115">
        <v>0</v>
      </c>
      <c r="V115">
        <v>105</v>
      </c>
      <c r="W115">
        <v>852</v>
      </c>
      <c r="X115">
        <v>2195</v>
      </c>
      <c r="Y115">
        <v>530</v>
      </c>
      <c r="Z115">
        <v>0</v>
      </c>
      <c r="AA115">
        <v>416</v>
      </c>
      <c r="AB115">
        <v>408</v>
      </c>
      <c r="AC115">
        <v>558</v>
      </c>
      <c r="AD115">
        <v>949</v>
      </c>
      <c r="AE115">
        <v>6377</v>
      </c>
      <c r="AF115">
        <v>10707</v>
      </c>
      <c r="AG115">
        <v>6.4749999999999996</v>
      </c>
      <c r="AK115" t="str">
        <f t="shared" si="1"/>
        <v>HP313-6200</v>
      </c>
    </row>
    <row r="116" spans="1:37" ht="15">
      <c r="A116" t="s">
        <v>902</v>
      </c>
      <c r="B116" t="s">
        <v>903</v>
      </c>
      <c r="C116" t="s">
        <v>275</v>
      </c>
      <c r="D116" t="s">
        <v>904</v>
      </c>
      <c r="E116">
        <v>43</v>
      </c>
      <c r="F116">
        <v>-14.2</v>
      </c>
      <c r="G116">
        <v>0</v>
      </c>
      <c r="H116">
        <v>-22</v>
      </c>
      <c r="I116">
        <v>84</v>
      </c>
      <c r="J116">
        <v>162</v>
      </c>
      <c r="K116">
        <v>1267</v>
      </c>
      <c r="L116">
        <v>183</v>
      </c>
      <c r="M116">
        <v>0</v>
      </c>
      <c r="N116">
        <v>0</v>
      </c>
      <c r="O116">
        <v>0</v>
      </c>
      <c r="P116">
        <v>0</v>
      </c>
      <c r="Q116">
        <v>1267</v>
      </c>
      <c r="R116">
        <v>0</v>
      </c>
      <c r="S116">
        <v>0</v>
      </c>
      <c r="T116">
        <v>0</v>
      </c>
      <c r="U116">
        <v>-67</v>
      </c>
      <c r="V116">
        <v>440</v>
      </c>
      <c r="W116">
        <v>0</v>
      </c>
      <c r="X116">
        <v>132</v>
      </c>
      <c r="Y116">
        <v>212</v>
      </c>
      <c r="Z116">
        <v>268</v>
      </c>
      <c r="AA116">
        <v>193</v>
      </c>
      <c r="AB116">
        <v>276</v>
      </c>
      <c r="AC116">
        <v>319</v>
      </c>
      <c r="AD116">
        <v>173</v>
      </c>
      <c r="AE116">
        <v>1946</v>
      </c>
      <c r="AF116">
        <v>4616</v>
      </c>
      <c r="AJ116">
        <v>5.6402999999999999</v>
      </c>
      <c r="AK116" t="str">
        <f t="shared" si="1"/>
        <v>HP336-5000</v>
      </c>
    </row>
    <row r="117" spans="1:37" ht="15">
      <c r="A117" t="s">
        <v>905</v>
      </c>
      <c r="B117" t="s">
        <v>903</v>
      </c>
      <c r="C117" t="s">
        <v>275</v>
      </c>
      <c r="D117" t="s">
        <v>904</v>
      </c>
      <c r="E117">
        <v>43</v>
      </c>
      <c r="F117">
        <v>0</v>
      </c>
      <c r="G117">
        <v>0</v>
      </c>
      <c r="H117">
        <v>235</v>
      </c>
      <c r="I117">
        <v>584</v>
      </c>
      <c r="J117">
        <v>482</v>
      </c>
      <c r="K117">
        <v>0</v>
      </c>
      <c r="L117">
        <v>358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428</v>
      </c>
      <c r="T117">
        <v>276</v>
      </c>
      <c r="U117">
        <v>0</v>
      </c>
      <c r="V117">
        <v>1144</v>
      </c>
      <c r="W117">
        <v>1276</v>
      </c>
      <c r="X117">
        <v>378</v>
      </c>
      <c r="Y117">
        <v>0</v>
      </c>
      <c r="Z117">
        <v>86</v>
      </c>
      <c r="AA117">
        <v>589</v>
      </c>
      <c r="AB117">
        <v>137</v>
      </c>
      <c r="AC117">
        <v>565</v>
      </c>
      <c r="AD117">
        <v>904</v>
      </c>
      <c r="AE117">
        <v>5783</v>
      </c>
      <c r="AF117">
        <v>5490</v>
      </c>
      <c r="AJ117">
        <v>5.6402999999999999</v>
      </c>
      <c r="AK117" t="str">
        <f t="shared" si="1"/>
        <v>HP336-6200</v>
      </c>
    </row>
    <row r="118" spans="1:37" ht="15">
      <c r="A118" t="s">
        <v>909</v>
      </c>
      <c r="B118" t="s">
        <v>907</v>
      </c>
      <c r="C118" t="s">
        <v>313</v>
      </c>
      <c r="D118" t="s">
        <v>895</v>
      </c>
      <c r="E118">
        <v>43</v>
      </c>
      <c r="F118">
        <v>0</v>
      </c>
      <c r="G118">
        <v>0</v>
      </c>
      <c r="H118">
        <v>0</v>
      </c>
      <c r="I118">
        <v>0</v>
      </c>
      <c r="J118">
        <v>36</v>
      </c>
      <c r="K118">
        <v>552</v>
      </c>
      <c r="L118">
        <v>45</v>
      </c>
      <c r="M118">
        <v>0</v>
      </c>
      <c r="N118">
        <v>0</v>
      </c>
      <c r="O118">
        <v>0</v>
      </c>
      <c r="P118">
        <v>0</v>
      </c>
      <c r="Q118">
        <v>552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286</v>
      </c>
      <c r="AC118">
        <v>146</v>
      </c>
      <c r="AD118">
        <v>0</v>
      </c>
      <c r="AE118">
        <v>432</v>
      </c>
      <c r="AF118">
        <v>493</v>
      </c>
      <c r="AJ118">
        <v>6.7068000000000003</v>
      </c>
      <c r="AK118" t="str">
        <f t="shared" si="1"/>
        <v>HP338-6200</v>
      </c>
    </row>
    <row r="119" spans="1:37" ht="15">
      <c r="A119" t="s">
        <v>910</v>
      </c>
      <c r="B119" t="s">
        <v>911</v>
      </c>
      <c r="C119" t="s">
        <v>110</v>
      </c>
      <c r="D119" t="s">
        <v>912</v>
      </c>
      <c r="E119">
        <v>50</v>
      </c>
      <c r="F119">
        <v>5.7</v>
      </c>
      <c r="G119">
        <v>0</v>
      </c>
      <c r="H119">
        <v>70</v>
      </c>
      <c r="I119">
        <v>216</v>
      </c>
      <c r="J119">
        <v>275</v>
      </c>
      <c r="K119">
        <v>1586</v>
      </c>
      <c r="L119">
        <v>170</v>
      </c>
      <c r="M119">
        <v>0</v>
      </c>
      <c r="N119">
        <v>0</v>
      </c>
      <c r="O119">
        <v>0</v>
      </c>
      <c r="P119">
        <v>0</v>
      </c>
      <c r="Q119">
        <v>1586</v>
      </c>
      <c r="R119">
        <v>0</v>
      </c>
      <c r="S119">
        <v>210</v>
      </c>
      <c r="T119">
        <v>0</v>
      </c>
      <c r="U119">
        <v>0</v>
      </c>
      <c r="V119">
        <v>243</v>
      </c>
      <c r="W119">
        <v>716</v>
      </c>
      <c r="X119">
        <v>128</v>
      </c>
      <c r="Y119">
        <v>227</v>
      </c>
      <c r="Z119">
        <v>188</v>
      </c>
      <c r="AA119">
        <v>214</v>
      </c>
      <c r="AB119">
        <v>270</v>
      </c>
      <c r="AC119">
        <v>196</v>
      </c>
      <c r="AD119">
        <v>911</v>
      </c>
      <c r="AE119">
        <v>3303</v>
      </c>
      <c r="AF119">
        <v>4426</v>
      </c>
      <c r="AJ119">
        <v>5.6809000000000003</v>
      </c>
      <c r="AK119" t="str">
        <f t="shared" si="1"/>
        <v>HP340-5000</v>
      </c>
    </row>
    <row r="120" spans="1:37" ht="15">
      <c r="A120" t="s">
        <v>913</v>
      </c>
      <c r="B120" t="s">
        <v>911</v>
      </c>
      <c r="C120" t="s">
        <v>110</v>
      </c>
      <c r="D120" t="s">
        <v>912</v>
      </c>
      <c r="E120">
        <v>50</v>
      </c>
      <c r="F120">
        <v>1.1000000000000001</v>
      </c>
      <c r="G120">
        <v>0</v>
      </c>
      <c r="H120">
        <v>115</v>
      </c>
      <c r="I120">
        <v>332</v>
      </c>
      <c r="J120">
        <v>253</v>
      </c>
      <c r="K120">
        <v>505</v>
      </c>
      <c r="L120">
        <v>131</v>
      </c>
      <c r="M120">
        <v>0</v>
      </c>
      <c r="N120">
        <v>0</v>
      </c>
      <c r="O120">
        <v>0</v>
      </c>
      <c r="P120">
        <v>0</v>
      </c>
      <c r="Q120">
        <v>505</v>
      </c>
      <c r="R120">
        <v>0</v>
      </c>
      <c r="S120">
        <v>0</v>
      </c>
      <c r="T120">
        <v>160</v>
      </c>
      <c r="U120">
        <v>184</v>
      </c>
      <c r="V120">
        <v>578</v>
      </c>
      <c r="W120">
        <v>676</v>
      </c>
      <c r="X120">
        <v>391</v>
      </c>
      <c r="Y120">
        <v>269</v>
      </c>
      <c r="Z120">
        <v>0</v>
      </c>
      <c r="AA120">
        <v>200</v>
      </c>
      <c r="AB120">
        <v>577</v>
      </c>
      <c r="AC120">
        <v>0</v>
      </c>
      <c r="AD120">
        <v>0</v>
      </c>
      <c r="AE120">
        <v>3035</v>
      </c>
      <c r="AF120">
        <v>3343</v>
      </c>
      <c r="AG120">
        <v>6.7874999999999996</v>
      </c>
      <c r="AK120" t="str">
        <f t="shared" si="1"/>
        <v>HP340-6200</v>
      </c>
    </row>
    <row r="121" spans="1:37" ht="15">
      <c r="A121" t="s">
        <v>914</v>
      </c>
      <c r="B121" t="s">
        <v>915</v>
      </c>
      <c r="C121" t="s">
        <v>275</v>
      </c>
      <c r="D121" t="s">
        <v>883</v>
      </c>
      <c r="E121">
        <v>43</v>
      </c>
      <c r="F121">
        <v>3.4</v>
      </c>
      <c r="G121">
        <v>0</v>
      </c>
      <c r="H121">
        <v>92</v>
      </c>
      <c r="I121">
        <v>88</v>
      </c>
      <c r="J121">
        <v>106</v>
      </c>
      <c r="K121">
        <v>1255</v>
      </c>
      <c r="L121">
        <v>41</v>
      </c>
      <c r="M121">
        <v>0</v>
      </c>
      <c r="N121">
        <v>0</v>
      </c>
      <c r="O121">
        <v>0</v>
      </c>
      <c r="P121">
        <v>0</v>
      </c>
      <c r="Q121">
        <v>1255</v>
      </c>
      <c r="R121">
        <v>0</v>
      </c>
      <c r="S121">
        <v>0</v>
      </c>
      <c r="T121">
        <v>0</v>
      </c>
      <c r="U121">
        <v>276</v>
      </c>
      <c r="V121">
        <v>0</v>
      </c>
      <c r="W121">
        <v>252</v>
      </c>
      <c r="X121">
        <v>0</v>
      </c>
      <c r="Y121">
        <v>0</v>
      </c>
      <c r="Z121">
        <v>105</v>
      </c>
      <c r="AA121">
        <v>0</v>
      </c>
      <c r="AB121">
        <v>375</v>
      </c>
      <c r="AC121">
        <v>0</v>
      </c>
      <c r="AD121">
        <v>263</v>
      </c>
      <c r="AE121">
        <v>1271</v>
      </c>
      <c r="AF121">
        <v>1847</v>
      </c>
      <c r="AG121">
        <v>5.6127000000000002</v>
      </c>
      <c r="AK121" t="str">
        <f t="shared" si="1"/>
        <v>HP341-5000</v>
      </c>
    </row>
    <row r="122" spans="1:37" ht="15">
      <c r="A122" t="s">
        <v>916</v>
      </c>
      <c r="B122" t="s">
        <v>915</v>
      </c>
      <c r="C122" t="s">
        <v>275</v>
      </c>
      <c r="D122" t="s">
        <v>883</v>
      </c>
      <c r="E122">
        <v>43</v>
      </c>
      <c r="F122">
        <v>6.7</v>
      </c>
      <c r="G122">
        <v>0</v>
      </c>
      <c r="H122">
        <v>66</v>
      </c>
      <c r="I122">
        <v>80</v>
      </c>
      <c r="J122">
        <v>74</v>
      </c>
      <c r="K122">
        <v>1766</v>
      </c>
      <c r="L122">
        <v>71</v>
      </c>
      <c r="M122">
        <v>0</v>
      </c>
      <c r="N122">
        <v>0</v>
      </c>
      <c r="O122">
        <v>0</v>
      </c>
      <c r="P122">
        <v>0</v>
      </c>
      <c r="Q122">
        <v>1766</v>
      </c>
      <c r="R122">
        <v>0</v>
      </c>
      <c r="S122">
        <v>0</v>
      </c>
      <c r="T122">
        <v>0</v>
      </c>
      <c r="U122">
        <v>198</v>
      </c>
      <c r="V122">
        <v>100</v>
      </c>
      <c r="W122">
        <v>0</v>
      </c>
      <c r="X122">
        <v>183</v>
      </c>
      <c r="Y122">
        <v>76</v>
      </c>
      <c r="Z122">
        <v>0</v>
      </c>
      <c r="AA122">
        <v>0</v>
      </c>
      <c r="AB122">
        <v>148</v>
      </c>
      <c r="AC122">
        <v>90</v>
      </c>
      <c r="AD122">
        <v>97</v>
      </c>
      <c r="AE122">
        <v>892</v>
      </c>
      <c r="AF122">
        <v>1099</v>
      </c>
      <c r="AG122">
        <v>8.0777999999999999</v>
      </c>
      <c r="AK122" t="str">
        <f t="shared" si="1"/>
        <v>HP341-6200</v>
      </c>
    </row>
    <row r="123" spans="1:37" ht="15">
      <c r="A123" t="s">
        <v>917</v>
      </c>
      <c r="B123" t="s">
        <v>918</v>
      </c>
      <c r="C123" t="s">
        <v>110</v>
      </c>
      <c r="D123" t="s">
        <v>900</v>
      </c>
      <c r="E123">
        <v>50</v>
      </c>
      <c r="F123">
        <v>3.9</v>
      </c>
      <c r="G123">
        <v>0</v>
      </c>
      <c r="H123">
        <v>38</v>
      </c>
      <c r="I123">
        <v>50</v>
      </c>
      <c r="J123">
        <v>25</v>
      </c>
      <c r="K123">
        <v>590</v>
      </c>
      <c r="L123">
        <v>36</v>
      </c>
      <c r="M123">
        <v>0</v>
      </c>
      <c r="N123">
        <v>0</v>
      </c>
      <c r="O123">
        <v>0</v>
      </c>
      <c r="P123">
        <v>0</v>
      </c>
      <c r="Q123">
        <v>590</v>
      </c>
      <c r="R123">
        <v>0</v>
      </c>
      <c r="S123">
        <v>0</v>
      </c>
      <c r="T123">
        <v>114</v>
      </c>
      <c r="U123">
        <v>0</v>
      </c>
      <c r="V123">
        <v>91</v>
      </c>
      <c r="W123">
        <v>0</v>
      </c>
      <c r="X123">
        <v>95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300</v>
      </c>
      <c r="AF123">
        <v>977</v>
      </c>
      <c r="AJ123">
        <v>5.0235000000000003</v>
      </c>
      <c r="AK123" t="str">
        <f t="shared" si="1"/>
        <v>HP356-5000</v>
      </c>
    </row>
    <row r="124" spans="1:37" ht="15">
      <c r="A124" t="s">
        <v>919</v>
      </c>
      <c r="B124" t="s">
        <v>918</v>
      </c>
      <c r="C124" t="s">
        <v>110</v>
      </c>
      <c r="D124" t="s">
        <v>900</v>
      </c>
      <c r="E124">
        <v>50</v>
      </c>
      <c r="F124">
        <v>4.3</v>
      </c>
      <c r="G124">
        <v>375</v>
      </c>
      <c r="H124">
        <v>375</v>
      </c>
      <c r="I124">
        <v>435</v>
      </c>
      <c r="J124">
        <v>350</v>
      </c>
      <c r="K124">
        <v>6737</v>
      </c>
      <c r="L124">
        <v>205</v>
      </c>
      <c r="M124">
        <v>0</v>
      </c>
      <c r="N124">
        <v>313</v>
      </c>
      <c r="O124">
        <v>0</v>
      </c>
      <c r="P124">
        <v>0</v>
      </c>
      <c r="Q124">
        <v>6424</v>
      </c>
      <c r="R124">
        <v>518</v>
      </c>
      <c r="S124">
        <v>0</v>
      </c>
      <c r="T124">
        <v>945</v>
      </c>
      <c r="U124">
        <v>181</v>
      </c>
      <c r="V124">
        <v>181</v>
      </c>
      <c r="W124">
        <v>800</v>
      </c>
      <c r="X124">
        <v>503</v>
      </c>
      <c r="Y124">
        <v>91</v>
      </c>
      <c r="Z124">
        <v>971</v>
      </c>
      <c r="AA124">
        <v>350</v>
      </c>
      <c r="AB124">
        <v>175</v>
      </c>
      <c r="AC124">
        <v>0</v>
      </c>
      <c r="AD124">
        <v>0</v>
      </c>
      <c r="AE124">
        <v>4197</v>
      </c>
      <c r="AF124">
        <v>7323</v>
      </c>
      <c r="AG124">
        <v>4.7176999999999998</v>
      </c>
      <c r="AK124" t="str">
        <f t="shared" si="1"/>
        <v>HP356-6200</v>
      </c>
    </row>
    <row r="125" spans="1:37" ht="15">
      <c r="A125" t="s">
        <v>920</v>
      </c>
      <c r="B125" t="s">
        <v>921</v>
      </c>
      <c r="C125" t="s">
        <v>110</v>
      </c>
      <c r="D125" t="s">
        <v>900</v>
      </c>
      <c r="E125">
        <v>50</v>
      </c>
      <c r="F125">
        <v>0</v>
      </c>
      <c r="G125">
        <v>0</v>
      </c>
      <c r="H125">
        <v>0</v>
      </c>
      <c r="I125">
        <v>38</v>
      </c>
      <c r="J125">
        <v>35</v>
      </c>
      <c r="K125">
        <v>603</v>
      </c>
      <c r="L125">
        <v>69</v>
      </c>
      <c r="M125">
        <v>0</v>
      </c>
      <c r="N125">
        <v>0</v>
      </c>
      <c r="O125">
        <v>0</v>
      </c>
      <c r="P125">
        <v>0</v>
      </c>
      <c r="Q125">
        <v>603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230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184</v>
      </c>
      <c r="AE125">
        <v>414</v>
      </c>
      <c r="AF125">
        <v>616</v>
      </c>
      <c r="AJ125">
        <v>5.1870000000000003</v>
      </c>
      <c r="AK125" t="str">
        <f t="shared" si="1"/>
        <v>HP357-5000</v>
      </c>
    </row>
    <row r="126" spans="1:37" ht="15">
      <c r="A126" t="s">
        <v>922</v>
      </c>
      <c r="B126" t="s">
        <v>921</v>
      </c>
      <c r="C126" t="s">
        <v>110</v>
      </c>
      <c r="D126" t="s">
        <v>900</v>
      </c>
      <c r="E126">
        <v>50</v>
      </c>
      <c r="F126">
        <v>1.9</v>
      </c>
      <c r="G126">
        <v>0</v>
      </c>
      <c r="H126">
        <v>550</v>
      </c>
      <c r="I126">
        <v>411</v>
      </c>
      <c r="J126">
        <v>302</v>
      </c>
      <c r="K126">
        <v>4074</v>
      </c>
      <c r="L126">
        <v>417</v>
      </c>
      <c r="M126">
        <v>0</v>
      </c>
      <c r="N126">
        <v>0</v>
      </c>
      <c r="O126">
        <v>0</v>
      </c>
      <c r="P126">
        <v>0</v>
      </c>
      <c r="Q126">
        <v>4074</v>
      </c>
      <c r="R126">
        <v>0</v>
      </c>
      <c r="S126">
        <v>708</v>
      </c>
      <c r="T126">
        <v>599</v>
      </c>
      <c r="U126">
        <v>344</v>
      </c>
      <c r="V126">
        <v>276</v>
      </c>
      <c r="W126">
        <v>290</v>
      </c>
      <c r="X126">
        <v>250</v>
      </c>
      <c r="Y126">
        <v>100</v>
      </c>
      <c r="Z126">
        <v>229</v>
      </c>
      <c r="AA126">
        <v>585</v>
      </c>
      <c r="AB126">
        <v>245</v>
      </c>
      <c r="AC126">
        <v>0</v>
      </c>
      <c r="AD126">
        <v>0</v>
      </c>
      <c r="AE126">
        <v>3626</v>
      </c>
      <c r="AF126">
        <v>5786</v>
      </c>
      <c r="AG126">
        <v>5.1870000000000003</v>
      </c>
      <c r="AK126" t="str">
        <f t="shared" si="1"/>
        <v>HP357-6200</v>
      </c>
    </row>
    <row r="127" spans="1:37" ht="15">
      <c r="A127" t="s">
        <v>926</v>
      </c>
      <c r="B127" t="s">
        <v>927</v>
      </c>
      <c r="C127" t="s">
        <v>110</v>
      </c>
      <c r="D127" t="s">
        <v>895</v>
      </c>
      <c r="E127">
        <v>43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1237</v>
      </c>
      <c r="L127">
        <v>47</v>
      </c>
      <c r="M127">
        <v>0</v>
      </c>
      <c r="N127">
        <v>0</v>
      </c>
      <c r="O127">
        <v>0</v>
      </c>
      <c r="P127">
        <v>0</v>
      </c>
      <c r="Q127">
        <v>1237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707</v>
      </c>
      <c r="AJ127">
        <v>5.6287000000000003</v>
      </c>
      <c r="AK127" t="str">
        <f t="shared" si="1"/>
        <v>HP359-5000</v>
      </c>
    </row>
    <row r="128" spans="1:37" ht="15">
      <c r="A128" t="s">
        <v>928</v>
      </c>
      <c r="B128" t="s">
        <v>927</v>
      </c>
      <c r="C128" t="s">
        <v>110</v>
      </c>
      <c r="D128" t="s">
        <v>895</v>
      </c>
      <c r="E128">
        <v>43</v>
      </c>
      <c r="F128">
        <v>0</v>
      </c>
      <c r="G128">
        <v>0</v>
      </c>
      <c r="H128">
        <v>0</v>
      </c>
      <c r="I128">
        <v>77</v>
      </c>
      <c r="J128">
        <v>67</v>
      </c>
      <c r="K128">
        <v>714</v>
      </c>
      <c r="L128">
        <v>94</v>
      </c>
      <c r="M128">
        <v>0</v>
      </c>
      <c r="N128">
        <v>0</v>
      </c>
      <c r="O128">
        <v>0</v>
      </c>
      <c r="P128">
        <v>0</v>
      </c>
      <c r="Q128">
        <v>714</v>
      </c>
      <c r="R128">
        <v>0</v>
      </c>
      <c r="S128">
        <v>0</v>
      </c>
      <c r="T128">
        <v>0</v>
      </c>
      <c r="U128">
        <v>0</v>
      </c>
      <c r="V128">
        <v>146</v>
      </c>
      <c r="W128">
        <v>314</v>
      </c>
      <c r="X128">
        <v>0</v>
      </c>
      <c r="Y128">
        <v>0</v>
      </c>
      <c r="Z128">
        <v>0</v>
      </c>
      <c r="AA128">
        <v>187</v>
      </c>
      <c r="AB128">
        <v>0</v>
      </c>
      <c r="AC128">
        <v>158</v>
      </c>
      <c r="AD128">
        <v>0</v>
      </c>
      <c r="AE128">
        <v>805</v>
      </c>
      <c r="AF128">
        <v>475</v>
      </c>
      <c r="AJ128">
        <v>5.4774000000000003</v>
      </c>
      <c r="AK128" t="str">
        <f t="shared" si="1"/>
        <v>HP359-6200</v>
      </c>
    </row>
    <row r="129" spans="1:37" ht="15">
      <c r="A129" t="s">
        <v>929</v>
      </c>
      <c r="B129" t="s">
        <v>930</v>
      </c>
      <c r="C129" t="s">
        <v>275</v>
      </c>
      <c r="D129" t="s">
        <v>895</v>
      </c>
      <c r="E129">
        <v>43</v>
      </c>
      <c r="F129">
        <v>0</v>
      </c>
      <c r="G129">
        <v>0</v>
      </c>
      <c r="H129">
        <v>0</v>
      </c>
      <c r="I129">
        <v>99</v>
      </c>
      <c r="J129">
        <v>49</v>
      </c>
      <c r="K129">
        <v>1396</v>
      </c>
      <c r="L129">
        <v>77</v>
      </c>
      <c r="M129">
        <v>0</v>
      </c>
      <c r="N129">
        <v>0</v>
      </c>
      <c r="O129">
        <v>0</v>
      </c>
      <c r="P129">
        <v>0</v>
      </c>
      <c r="Q129">
        <v>1396</v>
      </c>
      <c r="R129">
        <v>0</v>
      </c>
      <c r="S129">
        <v>0</v>
      </c>
      <c r="T129">
        <v>0</v>
      </c>
      <c r="U129">
        <v>0</v>
      </c>
      <c r="V129">
        <v>593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593</v>
      </c>
      <c r="AF129">
        <v>715</v>
      </c>
      <c r="AJ129">
        <v>7.2393000000000001</v>
      </c>
      <c r="AK129" t="str">
        <f t="shared" si="1"/>
        <v>HP360-5000</v>
      </c>
    </row>
    <row r="130" spans="1:37" ht="15">
      <c r="A130" t="s">
        <v>931</v>
      </c>
      <c r="B130" t="s">
        <v>930</v>
      </c>
      <c r="C130" t="s">
        <v>275</v>
      </c>
      <c r="D130" t="s">
        <v>895</v>
      </c>
      <c r="E130">
        <v>43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535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535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237</v>
      </c>
      <c r="AG130">
        <v>7.2393000000000001</v>
      </c>
      <c r="AK130" t="str">
        <f t="shared" si="1"/>
        <v>HP360-6200</v>
      </c>
    </row>
    <row r="131" spans="1:37" ht="15">
      <c r="A131" t="s">
        <v>932</v>
      </c>
      <c r="B131" t="s">
        <v>933</v>
      </c>
      <c r="C131" t="s">
        <v>110</v>
      </c>
      <c r="D131" t="s">
        <v>609</v>
      </c>
      <c r="E131">
        <v>50</v>
      </c>
      <c r="F131">
        <v>0</v>
      </c>
      <c r="G131">
        <v>0</v>
      </c>
      <c r="H131">
        <v>0</v>
      </c>
      <c r="I131">
        <v>67</v>
      </c>
      <c r="J131">
        <v>85</v>
      </c>
      <c r="K131">
        <v>222</v>
      </c>
      <c r="L131">
        <v>3</v>
      </c>
      <c r="M131">
        <v>0</v>
      </c>
      <c r="N131">
        <v>0</v>
      </c>
      <c r="O131">
        <v>0</v>
      </c>
      <c r="P131">
        <v>0</v>
      </c>
      <c r="Q131">
        <v>222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402</v>
      </c>
      <c r="X131">
        <v>0</v>
      </c>
      <c r="Y131">
        <v>0</v>
      </c>
      <c r="Z131">
        <v>0</v>
      </c>
      <c r="AA131">
        <v>0</v>
      </c>
      <c r="AB131">
        <v>392</v>
      </c>
      <c r="AC131">
        <v>0</v>
      </c>
      <c r="AD131">
        <v>220</v>
      </c>
      <c r="AE131">
        <v>1014</v>
      </c>
      <c r="AF131">
        <v>1708</v>
      </c>
      <c r="AJ131">
        <v>5.359</v>
      </c>
      <c r="AK131" t="str">
        <f t="shared" si="1"/>
        <v>HP365-5000</v>
      </c>
    </row>
    <row r="132" spans="1:37" ht="15">
      <c r="A132" t="s">
        <v>934</v>
      </c>
      <c r="B132" t="s">
        <v>933</v>
      </c>
      <c r="C132" t="s">
        <v>110</v>
      </c>
      <c r="D132" t="s">
        <v>609</v>
      </c>
      <c r="E132">
        <v>50</v>
      </c>
      <c r="F132">
        <v>4.9000000000000004</v>
      </c>
      <c r="G132">
        <v>0</v>
      </c>
      <c r="H132">
        <v>123</v>
      </c>
      <c r="I132">
        <v>147</v>
      </c>
      <c r="J132">
        <v>163</v>
      </c>
      <c r="K132">
        <v>2416</v>
      </c>
      <c r="L132">
        <v>121</v>
      </c>
      <c r="M132">
        <v>0</v>
      </c>
      <c r="N132">
        <v>0</v>
      </c>
      <c r="O132">
        <v>0</v>
      </c>
      <c r="P132">
        <v>0</v>
      </c>
      <c r="Q132">
        <v>2416</v>
      </c>
      <c r="R132">
        <v>0</v>
      </c>
      <c r="S132">
        <v>370</v>
      </c>
      <c r="T132">
        <v>0</v>
      </c>
      <c r="U132">
        <v>0</v>
      </c>
      <c r="V132">
        <v>0</v>
      </c>
      <c r="W132">
        <v>230</v>
      </c>
      <c r="X132">
        <v>279</v>
      </c>
      <c r="Y132">
        <v>130</v>
      </c>
      <c r="Z132">
        <v>0</v>
      </c>
      <c r="AA132">
        <v>0</v>
      </c>
      <c r="AB132">
        <v>274</v>
      </c>
      <c r="AC132">
        <v>326</v>
      </c>
      <c r="AD132">
        <v>349</v>
      </c>
      <c r="AE132">
        <v>1958</v>
      </c>
      <c r="AF132">
        <v>3620</v>
      </c>
      <c r="AJ132">
        <v>5.4145000000000003</v>
      </c>
      <c r="AK132" t="str">
        <f t="shared" si="1"/>
        <v>HP365-6200</v>
      </c>
    </row>
    <row r="133" spans="1:37" ht="15">
      <c r="A133" t="s">
        <v>937</v>
      </c>
      <c r="B133" t="s">
        <v>936</v>
      </c>
      <c r="C133" t="s">
        <v>110</v>
      </c>
      <c r="D133" t="s">
        <v>609</v>
      </c>
      <c r="E133">
        <v>50</v>
      </c>
      <c r="F133">
        <v>3</v>
      </c>
      <c r="G133">
        <v>141</v>
      </c>
      <c r="H133">
        <v>47</v>
      </c>
      <c r="I133">
        <v>97</v>
      </c>
      <c r="J133">
        <v>130</v>
      </c>
      <c r="K133">
        <v>670</v>
      </c>
      <c r="L133">
        <v>67</v>
      </c>
      <c r="M133">
        <v>0</v>
      </c>
      <c r="N133">
        <v>118</v>
      </c>
      <c r="O133">
        <v>0</v>
      </c>
      <c r="P133">
        <v>0</v>
      </c>
      <c r="Q133">
        <v>552</v>
      </c>
      <c r="R133">
        <v>0</v>
      </c>
      <c r="S133">
        <v>0</v>
      </c>
      <c r="T133">
        <v>140</v>
      </c>
      <c r="U133">
        <v>0</v>
      </c>
      <c r="V133">
        <v>0</v>
      </c>
      <c r="W133">
        <v>443</v>
      </c>
      <c r="X133">
        <v>0</v>
      </c>
      <c r="Y133">
        <v>0</v>
      </c>
      <c r="Z133">
        <v>578</v>
      </c>
      <c r="AA133">
        <v>0</v>
      </c>
      <c r="AB133">
        <v>166</v>
      </c>
      <c r="AC133">
        <v>0</v>
      </c>
      <c r="AD133">
        <v>236</v>
      </c>
      <c r="AE133">
        <v>1563</v>
      </c>
      <c r="AF133">
        <v>2836</v>
      </c>
      <c r="AG133">
        <v>5.4774000000000003</v>
      </c>
      <c r="AK133" t="str">
        <f t="shared" ref="AK133:AK196" si="2">MID(A133,4,10)</f>
        <v>HP370-6200</v>
      </c>
    </row>
    <row r="134" spans="1:37" ht="15">
      <c r="A134" t="s">
        <v>938</v>
      </c>
      <c r="B134" t="s">
        <v>939</v>
      </c>
      <c r="C134" t="s">
        <v>318</v>
      </c>
      <c r="D134" t="s">
        <v>940</v>
      </c>
      <c r="E134">
        <v>50</v>
      </c>
      <c r="F134">
        <v>2.2000000000000002</v>
      </c>
      <c r="G134">
        <v>175</v>
      </c>
      <c r="H134">
        <v>417</v>
      </c>
      <c r="I134">
        <v>353</v>
      </c>
      <c r="J134">
        <v>487</v>
      </c>
      <c r="K134">
        <v>3774</v>
      </c>
      <c r="L134">
        <v>26</v>
      </c>
      <c r="M134">
        <v>0</v>
      </c>
      <c r="N134">
        <v>146</v>
      </c>
      <c r="O134">
        <v>0</v>
      </c>
      <c r="P134">
        <v>0</v>
      </c>
      <c r="Q134">
        <v>3628</v>
      </c>
      <c r="R134">
        <v>0</v>
      </c>
      <c r="S134">
        <v>916</v>
      </c>
      <c r="T134">
        <v>84</v>
      </c>
      <c r="U134">
        <v>250</v>
      </c>
      <c r="V134">
        <v>360</v>
      </c>
      <c r="W134">
        <v>336</v>
      </c>
      <c r="X134">
        <v>170</v>
      </c>
      <c r="Y134">
        <v>500</v>
      </c>
      <c r="Z134">
        <v>500</v>
      </c>
      <c r="AA134">
        <v>521</v>
      </c>
      <c r="AB134">
        <v>710</v>
      </c>
      <c r="AC134">
        <v>1000</v>
      </c>
      <c r="AD134">
        <v>500</v>
      </c>
      <c r="AE134">
        <v>5847</v>
      </c>
      <c r="AF134">
        <v>7455</v>
      </c>
      <c r="AG134">
        <v>6.4621000000000004</v>
      </c>
      <c r="AK134" t="str">
        <f t="shared" si="2"/>
        <v>HP372-5000</v>
      </c>
    </row>
    <row r="135" spans="1:37" ht="15">
      <c r="A135" t="s">
        <v>941</v>
      </c>
      <c r="B135" t="s">
        <v>939</v>
      </c>
      <c r="C135" t="s">
        <v>318</v>
      </c>
      <c r="D135" t="s">
        <v>940</v>
      </c>
      <c r="E135">
        <v>50</v>
      </c>
      <c r="F135">
        <v>1.1000000000000001</v>
      </c>
      <c r="G135">
        <v>698</v>
      </c>
      <c r="H135">
        <v>273</v>
      </c>
      <c r="I135">
        <v>137</v>
      </c>
      <c r="J135">
        <v>238</v>
      </c>
      <c r="K135">
        <v>1740</v>
      </c>
      <c r="L135">
        <v>418</v>
      </c>
      <c r="M135">
        <v>0</v>
      </c>
      <c r="N135">
        <v>582</v>
      </c>
      <c r="O135">
        <v>0</v>
      </c>
      <c r="P135">
        <v>0</v>
      </c>
      <c r="Q135">
        <v>1158</v>
      </c>
      <c r="R135">
        <v>0</v>
      </c>
      <c r="S135">
        <v>820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1452</v>
      </c>
      <c r="AB135">
        <v>588</v>
      </c>
      <c r="AC135">
        <v>0</v>
      </c>
      <c r="AD135">
        <v>0</v>
      </c>
      <c r="AE135">
        <v>2860</v>
      </c>
      <c r="AF135">
        <v>1020</v>
      </c>
      <c r="AJ135">
        <v>6.8894000000000002</v>
      </c>
      <c r="AK135" t="str">
        <f t="shared" si="2"/>
        <v>HP372-6200</v>
      </c>
    </row>
    <row r="136" spans="1:37" ht="15">
      <c r="A136" t="s">
        <v>942</v>
      </c>
      <c r="B136" t="s">
        <v>943</v>
      </c>
      <c r="C136" t="s">
        <v>1076</v>
      </c>
      <c r="E136">
        <v>50</v>
      </c>
      <c r="F136">
        <v>1.1000000000000001</v>
      </c>
      <c r="G136">
        <v>0</v>
      </c>
      <c r="H136">
        <v>254</v>
      </c>
      <c r="I136">
        <v>433</v>
      </c>
      <c r="J136">
        <v>366</v>
      </c>
      <c r="K136">
        <v>1093</v>
      </c>
      <c r="L136">
        <v>13</v>
      </c>
      <c r="M136">
        <v>0</v>
      </c>
      <c r="N136">
        <v>0</v>
      </c>
      <c r="O136">
        <v>0</v>
      </c>
      <c r="P136">
        <v>0</v>
      </c>
      <c r="Q136">
        <v>1093</v>
      </c>
      <c r="R136">
        <v>0</v>
      </c>
      <c r="S136">
        <v>304</v>
      </c>
      <c r="T136">
        <v>305</v>
      </c>
      <c r="U136">
        <v>154</v>
      </c>
      <c r="V136">
        <v>1144</v>
      </c>
      <c r="W136">
        <v>691</v>
      </c>
      <c r="X136">
        <v>0</v>
      </c>
      <c r="Y136">
        <v>154</v>
      </c>
      <c r="Z136">
        <v>1052</v>
      </c>
      <c r="AA136">
        <v>0</v>
      </c>
      <c r="AB136">
        <v>99</v>
      </c>
      <c r="AC136">
        <v>487</v>
      </c>
      <c r="AD136">
        <v>0</v>
      </c>
      <c r="AE136">
        <v>4390</v>
      </c>
      <c r="AF136">
        <v>4332</v>
      </c>
      <c r="AG136" t="s">
        <v>4500</v>
      </c>
      <c r="AH136">
        <v>4</v>
      </c>
      <c r="AI136">
        <v>196</v>
      </c>
      <c r="AJ136">
        <v>7.6970000000000001</v>
      </c>
      <c r="AK136" t="str">
        <f t="shared" si="2"/>
        <v>HP375-5000</v>
      </c>
    </row>
    <row r="137" spans="1:37" ht="15">
      <c r="A137" t="s">
        <v>3665</v>
      </c>
      <c r="B137" t="s">
        <v>943</v>
      </c>
      <c r="C137" t="s">
        <v>318</v>
      </c>
      <c r="E137">
        <v>50</v>
      </c>
      <c r="F137">
        <v>0.8</v>
      </c>
      <c r="G137">
        <v>0</v>
      </c>
      <c r="H137">
        <v>166</v>
      </c>
      <c r="I137">
        <v>174</v>
      </c>
      <c r="J137">
        <v>125</v>
      </c>
      <c r="K137">
        <v>499</v>
      </c>
      <c r="L137">
        <v>362</v>
      </c>
      <c r="M137">
        <v>0</v>
      </c>
      <c r="N137">
        <v>0</v>
      </c>
      <c r="O137">
        <v>0</v>
      </c>
      <c r="P137">
        <v>0</v>
      </c>
      <c r="Q137">
        <v>499</v>
      </c>
      <c r="R137">
        <v>0</v>
      </c>
      <c r="S137">
        <v>0</v>
      </c>
      <c r="T137">
        <v>499</v>
      </c>
      <c r="U137">
        <v>0</v>
      </c>
      <c r="V137">
        <v>0</v>
      </c>
      <c r="W137">
        <v>0</v>
      </c>
      <c r="X137">
        <v>543</v>
      </c>
      <c r="Y137">
        <v>0</v>
      </c>
      <c r="Z137">
        <v>0</v>
      </c>
      <c r="AA137">
        <v>0</v>
      </c>
      <c r="AB137">
        <v>180</v>
      </c>
      <c r="AC137">
        <v>0</v>
      </c>
      <c r="AD137">
        <v>283</v>
      </c>
      <c r="AE137">
        <v>1505</v>
      </c>
      <c r="AF137">
        <v>775</v>
      </c>
      <c r="AG137">
        <v>8.7737999999999996</v>
      </c>
      <c r="AK137" t="str">
        <f t="shared" si="2"/>
        <v>HP375-6200</v>
      </c>
    </row>
    <row r="138" spans="1:37" ht="15">
      <c r="A138" t="s">
        <v>947</v>
      </c>
      <c r="B138" t="s">
        <v>948</v>
      </c>
      <c r="C138" t="s">
        <v>329</v>
      </c>
      <c r="D138" t="s">
        <v>949</v>
      </c>
      <c r="E138">
        <v>50</v>
      </c>
      <c r="F138">
        <v>-0.7</v>
      </c>
      <c r="G138">
        <v>818</v>
      </c>
      <c r="H138">
        <v>55</v>
      </c>
      <c r="I138">
        <v>47</v>
      </c>
      <c r="J138">
        <v>95</v>
      </c>
      <c r="K138">
        <v>518</v>
      </c>
      <c r="L138">
        <v>189</v>
      </c>
      <c r="M138">
        <v>0</v>
      </c>
      <c r="N138">
        <v>682</v>
      </c>
      <c r="O138">
        <v>0</v>
      </c>
      <c r="P138">
        <v>0</v>
      </c>
      <c r="Q138">
        <v>-164</v>
      </c>
      <c r="R138">
        <v>134</v>
      </c>
      <c r="S138">
        <v>0</v>
      </c>
      <c r="T138">
        <v>166</v>
      </c>
      <c r="U138">
        <v>0</v>
      </c>
      <c r="V138">
        <v>0</v>
      </c>
      <c r="W138">
        <v>116</v>
      </c>
      <c r="X138">
        <v>0</v>
      </c>
      <c r="Y138">
        <v>305</v>
      </c>
      <c r="Z138">
        <v>140</v>
      </c>
      <c r="AA138">
        <v>166</v>
      </c>
      <c r="AB138">
        <v>104</v>
      </c>
      <c r="AC138">
        <v>0</v>
      </c>
      <c r="AD138">
        <v>140</v>
      </c>
      <c r="AE138">
        <v>1137</v>
      </c>
      <c r="AF138">
        <v>951</v>
      </c>
      <c r="AG138" t="s">
        <v>4501</v>
      </c>
      <c r="AH138">
        <v>1</v>
      </c>
      <c r="AI138">
        <v>98</v>
      </c>
      <c r="AJ138">
        <v>4.9249999999999998</v>
      </c>
      <c r="AK138" t="str">
        <f t="shared" si="2"/>
        <v>HP391-5000</v>
      </c>
    </row>
    <row r="139" spans="1:37" ht="15">
      <c r="A139" t="s">
        <v>950</v>
      </c>
      <c r="B139" t="s">
        <v>948</v>
      </c>
      <c r="C139" t="s">
        <v>329</v>
      </c>
      <c r="D139" t="s">
        <v>949</v>
      </c>
      <c r="E139">
        <v>50</v>
      </c>
      <c r="F139">
        <v>0</v>
      </c>
      <c r="G139">
        <v>0</v>
      </c>
      <c r="H139">
        <v>0</v>
      </c>
      <c r="I139">
        <v>96</v>
      </c>
      <c r="J139">
        <v>48</v>
      </c>
      <c r="K139">
        <v>730</v>
      </c>
      <c r="L139">
        <v>121</v>
      </c>
      <c r="M139">
        <v>0</v>
      </c>
      <c r="N139">
        <v>0</v>
      </c>
      <c r="O139">
        <v>0</v>
      </c>
      <c r="P139">
        <v>0</v>
      </c>
      <c r="Q139">
        <v>730</v>
      </c>
      <c r="R139">
        <v>0</v>
      </c>
      <c r="S139">
        <v>0</v>
      </c>
      <c r="T139">
        <v>0</v>
      </c>
      <c r="U139">
        <v>0</v>
      </c>
      <c r="V139">
        <v>169</v>
      </c>
      <c r="W139">
        <v>0</v>
      </c>
      <c r="X139">
        <v>408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577</v>
      </c>
      <c r="AF139">
        <v>130</v>
      </c>
      <c r="AG139" t="s">
        <v>4502</v>
      </c>
      <c r="AH139">
        <v>1</v>
      </c>
      <c r="AI139">
        <v>35</v>
      </c>
      <c r="AJ139">
        <v>4.9249999999999998</v>
      </c>
      <c r="AK139" t="str">
        <f t="shared" si="2"/>
        <v>HP391-6200</v>
      </c>
    </row>
    <row r="140" spans="1:37" ht="15">
      <c r="A140" t="s">
        <v>951</v>
      </c>
      <c r="B140" t="s">
        <v>952</v>
      </c>
      <c r="C140" t="s">
        <v>110</v>
      </c>
      <c r="D140" t="s">
        <v>609</v>
      </c>
      <c r="E140">
        <v>50</v>
      </c>
      <c r="F140">
        <v>3.7</v>
      </c>
      <c r="G140">
        <v>82</v>
      </c>
      <c r="H140">
        <v>107</v>
      </c>
      <c r="I140">
        <v>138</v>
      </c>
      <c r="J140">
        <v>195</v>
      </c>
      <c r="K140">
        <v>1640</v>
      </c>
      <c r="L140">
        <v>69</v>
      </c>
      <c r="M140">
        <v>0</v>
      </c>
      <c r="N140">
        <v>68</v>
      </c>
      <c r="O140">
        <v>0</v>
      </c>
      <c r="P140">
        <v>0</v>
      </c>
      <c r="Q140">
        <v>1572</v>
      </c>
      <c r="R140">
        <v>114</v>
      </c>
      <c r="S140">
        <v>0</v>
      </c>
      <c r="T140">
        <v>322</v>
      </c>
      <c r="U140">
        <v>0</v>
      </c>
      <c r="V140">
        <v>0</v>
      </c>
      <c r="W140">
        <v>507</v>
      </c>
      <c r="X140">
        <v>0</v>
      </c>
      <c r="Y140">
        <v>252</v>
      </c>
      <c r="Z140">
        <v>0</v>
      </c>
      <c r="AA140">
        <v>230</v>
      </c>
      <c r="AB140">
        <v>250</v>
      </c>
      <c r="AC140">
        <v>160</v>
      </c>
      <c r="AD140">
        <v>620</v>
      </c>
      <c r="AE140">
        <v>2341</v>
      </c>
      <c r="AF140">
        <v>4130</v>
      </c>
      <c r="AG140">
        <v>5.4679000000000002</v>
      </c>
      <c r="AK140" t="str">
        <f t="shared" si="2"/>
        <v>HP393-5000</v>
      </c>
    </row>
    <row r="141" spans="1:37" ht="15">
      <c r="A141" t="s">
        <v>953</v>
      </c>
      <c r="B141" t="s">
        <v>952</v>
      </c>
      <c r="C141" t="s">
        <v>110</v>
      </c>
      <c r="D141" t="s">
        <v>609</v>
      </c>
      <c r="E141">
        <v>50</v>
      </c>
      <c r="F141">
        <v>1.9</v>
      </c>
      <c r="G141">
        <v>141</v>
      </c>
      <c r="H141">
        <v>224</v>
      </c>
      <c r="I141">
        <v>294</v>
      </c>
      <c r="J141">
        <v>480</v>
      </c>
      <c r="K141">
        <v>1834</v>
      </c>
      <c r="L141">
        <v>397</v>
      </c>
      <c r="M141">
        <v>0</v>
      </c>
      <c r="N141">
        <v>117</v>
      </c>
      <c r="O141">
        <v>0</v>
      </c>
      <c r="P141">
        <v>0</v>
      </c>
      <c r="Q141">
        <v>1717</v>
      </c>
      <c r="R141">
        <v>249</v>
      </c>
      <c r="S141">
        <v>342</v>
      </c>
      <c r="T141">
        <v>0</v>
      </c>
      <c r="U141">
        <v>330</v>
      </c>
      <c r="V141">
        <v>910</v>
      </c>
      <c r="W141">
        <v>181</v>
      </c>
      <c r="X141">
        <v>0</v>
      </c>
      <c r="Y141">
        <v>0</v>
      </c>
      <c r="Z141">
        <v>185</v>
      </c>
      <c r="AA141">
        <v>938</v>
      </c>
      <c r="AB141">
        <v>922</v>
      </c>
      <c r="AC141">
        <v>1356</v>
      </c>
      <c r="AD141">
        <v>600</v>
      </c>
      <c r="AE141">
        <v>5764</v>
      </c>
      <c r="AF141">
        <v>9125</v>
      </c>
      <c r="AG141">
        <v>5.4679000000000002</v>
      </c>
      <c r="AK141" t="str">
        <f t="shared" si="2"/>
        <v>HP393-6200</v>
      </c>
    </row>
    <row r="142" spans="1:37" ht="15">
      <c r="A142" t="s">
        <v>6197</v>
      </c>
      <c r="B142" t="s">
        <v>4503</v>
      </c>
      <c r="C142" t="s">
        <v>68</v>
      </c>
      <c r="D142" t="s">
        <v>4504</v>
      </c>
      <c r="E142">
        <v>50</v>
      </c>
      <c r="F142">
        <v>0</v>
      </c>
      <c r="G142">
        <v>0</v>
      </c>
      <c r="H142">
        <v>0</v>
      </c>
      <c r="I142">
        <v>43</v>
      </c>
      <c r="J142">
        <v>53</v>
      </c>
      <c r="K142">
        <v>382</v>
      </c>
      <c r="L142">
        <v>74</v>
      </c>
      <c r="M142">
        <v>0</v>
      </c>
      <c r="N142">
        <v>0</v>
      </c>
      <c r="O142">
        <v>0</v>
      </c>
      <c r="P142">
        <v>0</v>
      </c>
      <c r="Q142">
        <v>382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158</v>
      </c>
      <c r="X142">
        <v>99</v>
      </c>
      <c r="Y142">
        <v>188</v>
      </c>
      <c r="Z142">
        <v>0</v>
      </c>
      <c r="AA142">
        <v>0</v>
      </c>
      <c r="AB142">
        <v>0</v>
      </c>
      <c r="AC142">
        <v>0</v>
      </c>
      <c r="AD142">
        <v>186</v>
      </c>
      <c r="AE142">
        <v>631</v>
      </c>
      <c r="AF142">
        <v>1305</v>
      </c>
      <c r="AJ142">
        <v>6.2563000000000004</v>
      </c>
      <c r="AK142" t="str">
        <f t="shared" si="2"/>
        <v>HP406-5000</v>
      </c>
    </row>
    <row r="143" spans="1:37" ht="15">
      <c r="A143" t="s">
        <v>6198</v>
      </c>
      <c r="B143" t="s">
        <v>4503</v>
      </c>
      <c r="C143" t="s">
        <v>68</v>
      </c>
      <c r="D143" t="s">
        <v>4504</v>
      </c>
      <c r="E143">
        <v>50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3412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3412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2880</v>
      </c>
      <c r="AG143">
        <v>6.3746999999999998</v>
      </c>
      <c r="AK143" t="str">
        <f t="shared" si="2"/>
        <v>HP406-6200</v>
      </c>
    </row>
    <row r="144" spans="1:37" ht="15">
      <c r="A144" t="s">
        <v>6199</v>
      </c>
      <c r="B144" t="s">
        <v>2792</v>
      </c>
      <c r="C144" t="s">
        <v>68</v>
      </c>
      <c r="D144" t="s">
        <v>4505</v>
      </c>
      <c r="E144">
        <v>74</v>
      </c>
      <c r="F144">
        <v>0</v>
      </c>
      <c r="G144">
        <v>0</v>
      </c>
      <c r="H144">
        <v>0</v>
      </c>
      <c r="I144">
        <v>42</v>
      </c>
      <c r="J144">
        <v>46</v>
      </c>
      <c r="K144">
        <v>530</v>
      </c>
      <c r="L144">
        <v>60</v>
      </c>
      <c r="M144">
        <v>0</v>
      </c>
      <c r="N144">
        <v>0</v>
      </c>
      <c r="O144">
        <v>0</v>
      </c>
      <c r="P144">
        <v>0</v>
      </c>
      <c r="Q144">
        <v>530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251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300</v>
      </c>
      <c r="AD144">
        <v>0</v>
      </c>
      <c r="AE144">
        <v>551</v>
      </c>
      <c r="AF144">
        <v>1147</v>
      </c>
      <c r="AJ144">
        <v>6.6375000000000002</v>
      </c>
      <c r="AK144" t="str">
        <f t="shared" si="2"/>
        <v>HP407-5000</v>
      </c>
    </row>
    <row r="145" spans="1:37" ht="15">
      <c r="A145" t="s">
        <v>6200</v>
      </c>
      <c r="B145" t="s">
        <v>2792</v>
      </c>
      <c r="C145" t="s">
        <v>68</v>
      </c>
      <c r="D145" t="s">
        <v>4506</v>
      </c>
      <c r="E145">
        <v>74</v>
      </c>
      <c r="F145">
        <v>0</v>
      </c>
      <c r="G145">
        <v>0</v>
      </c>
      <c r="H145">
        <v>0</v>
      </c>
      <c r="I145">
        <v>92</v>
      </c>
      <c r="J145">
        <v>66</v>
      </c>
      <c r="K145">
        <v>3432</v>
      </c>
      <c r="L145">
        <v>37</v>
      </c>
      <c r="M145">
        <v>0</v>
      </c>
      <c r="N145">
        <v>0</v>
      </c>
      <c r="O145">
        <v>0</v>
      </c>
      <c r="P145">
        <v>0</v>
      </c>
      <c r="Q145">
        <v>3432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251</v>
      </c>
      <c r="X145">
        <v>299</v>
      </c>
      <c r="Y145">
        <v>0</v>
      </c>
      <c r="Z145">
        <v>0</v>
      </c>
      <c r="AA145">
        <v>0</v>
      </c>
      <c r="AB145">
        <v>237</v>
      </c>
      <c r="AC145">
        <v>0</v>
      </c>
      <c r="AD145">
        <v>0</v>
      </c>
      <c r="AE145">
        <v>787</v>
      </c>
      <c r="AF145">
        <v>2805</v>
      </c>
      <c r="AJ145">
        <v>6.3864999999999998</v>
      </c>
      <c r="AK145" t="str">
        <f t="shared" si="2"/>
        <v>HP407-6200</v>
      </c>
    </row>
    <row r="146" spans="1:37" ht="15">
      <c r="A146" t="s">
        <v>954</v>
      </c>
      <c r="B146" t="s">
        <v>955</v>
      </c>
      <c r="C146" t="s">
        <v>101</v>
      </c>
      <c r="D146" t="s">
        <v>956</v>
      </c>
      <c r="E146">
        <v>50</v>
      </c>
      <c r="F146">
        <v>0</v>
      </c>
      <c r="G146">
        <v>0</v>
      </c>
      <c r="H146">
        <v>37</v>
      </c>
      <c r="I146">
        <v>63</v>
      </c>
      <c r="J146">
        <v>79</v>
      </c>
      <c r="K146">
        <v>0</v>
      </c>
      <c r="L146">
        <v>46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112</v>
      </c>
      <c r="V146">
        <v>0</v>
      </c>
      <c r="W146">
        <v>268</v>
      </c>
      <c r="X146">
        <v>0</v>
      </c>
      <c r="Y146">
        <v>0</v>
      </c>
      <c r="Z146">
        <v>0</v>
      </c>
      <c r="AA146">
        <v>563</v>
      </c>
      <c r="AB146">
        <v>0</v>
      </c>
      <c r="AC146">
        <v>0</v>
      </c>
      <c r="AD146">
        <v>0</v>
      </c>
      <c r="AE146">
        <v>943</v>
      </c>
      <c r="AF146">
        <v>300</v>
      </c>
      <c r="AJ146">
        <v>3.9687999999999999</v>
      </c>
      <c r="AK146" t="str">
        <f t="shared" si="2"/>
        <v>HP409-5000</v>
      </c>
    </row>
    <row r="147" spans="1:37" ht="15">
      <c r="A147" t="s">
        <v>957</v>
      </c>
      <c r="B147" t="s">
        <v>955</v>
      </c>
      <c r="C147" t="s">
        <v>101</v>
      </c>
      <c r="D147" t="s">
        <v>956</v>
      </c>
      <c r="E147">
        <v>50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708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708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J147">
        <v>3.9687999999999999</v>
      </c>
      <c r="AK147" t="str">
        <f t="shared" si="2"/>
        <v>HP409-6200</v>
      </c>
    </row>
    <row r="148" spans="1:37" ht="15">
      <c r="A148" t="s">
        <v>958</v>
      </c>
      <c r="B148" t="s">
        <v>959</v>
      </c>
      <c r="C148" t="s">
        <v>68</v>
      </c>
      <c r="D148" t="s">
        <v>609</v>
      </c>
      <c r="E148">
        <v>85</v>
      </c>
      <c r="F148">
        <v>0</v>
      </c>
      <c r="G148">
        <v>0</v>
      </c>
      <c r="H148">
        <v>0</v>
      </c>
      <c r="I148">
        <v>33</v>
      </c>
      <c r="J148">
        <v>83</v>
      </c>
      <c r="K148">
        <v>760</v>
      </c>
      <c r="L148">
        <v>184</v>
      </c>
      <c r="M148">
        <v>0</v>
      </c>
      <c r="N148">
        <v>0</v>
      </c>
      <c r="O148">
        <v>0</v>
      </c>
      <c r="P148">
        <v>0</v>
      </c>
      <c r="Q148">
        <v>760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200</v>
      </c>
      <c r="X148">
        <v>0</v>
      </c>
      <c r="Y148">
        <v>634</v>
      </c>
      <c r="Z148">
        <v>0</v>
      </c>
      <c r="AA148">
        <v>0</v>
      </c>
      <c r="AB148">
        <v>0</v>
      </c>
      <c r="AC148">
        <v>0</v>
      </c>
      <c r="AD148">
        <v>156</v>
      </c>
      <c r="AE148">
        <v>990</v>
      </c>
      <c r="AF148">
        <v>357</v>
      </c>
      <c r="AJ148">
        <v>4.7488000000000001</v>
      </c>
      <c r="AK148" t="str">
        <f t="shared" si="2"/>
        <v>HP417-5000</v>
      </c>
    </row>
    <row r="149" spans="1:37" ht="15">
      <c r="A149" t="s">
        <v>960</v>
      </c>
      <c r="B149" t="s">
        <v>959</v>
      </c>
      <c r="C149" t="s">
        <v>68</v>
      </c>
      <c r="D149" t="s">
        <v>609</v>
      </c>
      <c r="E149">
        <v>85</v>
      </c>
      <c r="F149">
        <v>0</v>
      </c>
      <c r="G149">
        <v>0</v>
      </c>
      <c r="H149">
        <v>0</v>
      </c>
      <c r="I149">
        <v>0</v>
      </c>
      <c r="J149">
        <v>19</v>
      </c>
      <c r="K149">
        <v>1145</v>
      </c>
      <c r="L149">
        <v>68</v>
      </c>
      <c r="M149">
        <v>0</v>
      </c>
      <c r="N149">
        <v>0</v>
      </c>
      <c r="O149">
        <v>0</v>
      </c>
      <c r="P149">
        <v>0</v>
      </c>
      <c r="Q149">
        <v>1145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229</v>
      </c>
      <c r="AD149">
        <v>0</v>
      </c>
      <c r="AE149">
        <v>229</v>
      </c>
      <c r="AF149">
        <v>0</v>
      </c>
      <c r="AJ149">
        <v>5.3567999999999998</v>
      </c>
      <c r="AK149" t="str">
        <f t="shared" si="2"/>
        <v>HP417-6200</v>
      </c>
    </row>
    <row r="150" spans="1:37" ht="15">
      <c r="A150" t="s">
        <v>6201</v>
      </c>
      <c r="B150" t="s">
        <v>4507</v>
      </c>
      <c r="C150" t="s">
        <v>68</v>
      </c>
      <c r="E150">
        <v>50</v>
      </c>
      <c r="F150">
        <v>3.6</v>
      </c>
      <c r="G150">
        <v>0</v>
      </c>
      <c r="H150">
        <v>31</v>
      </c>
      <c r="I150">
        <v>15</v>
      </c>
      <c r="J150">
        <v>8</v>
      </c>
      <c r="K150">
        <v>440</v>
      </c>
      <c r="L150">
        <v>43</v>
      </c>
      <c r="M150">
        <v>0</v>
      </c>
      <c r="N150">
        <v>0</v>
      </c>
      <c r="O150">
        <v>0</v>
      </c>
      <c r="P150">
        <v>0</v>
      </c>
      <c r="Q150">
        <v>440</v>
      </c>
      <c r="R150">
        <v>0</v>
      </c>
      <c r="S150">
        <v>0</v>
      </c>
      <c r="T150">
        <v>0</v>
      </c>
      <c r="U150">
        <v>92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92</v>
      </c>
      <c r="AF150">
        <v>173</v>
      </c>
      <c r="AJ150">
        <v>5.9850000000000003</v>
      </c>
      <c r="AK150" t="str">
        <f t="shared" si="2"/>
        <v>HP427-5000</v>
      </c>
    </row>
    <row r="151" spans="1:37" ht="15">
      <c r="A151" t="s">
        <v>961</v>
      </c>
      <c r="B151" t="s">
        <v>962</v>
      </c>
      <c r="C151" t="s">
        <v>1076</v>
      </c>
      <c r="D151" t="s">
        <v>900</v>
      </c>
      <c r="E151">
        <v>50</v>
      </c>
      <c r="F151">
        <v>1.9</v>
      </c>
      <c r="G151">
        <v>0</v>
      </c>
      <c r="H151">
        <v>218</v>
      </c>
      <c r="I151">
        <v>185</v>
      </c>
      <c r="J151">
        <v>263</v>
      </c>
      <c r="K151">
        <v>1677</v>
      </c>
      <c r="L151">
        <v>372</v>
      </c>
      <c r="M151">
        <v>0</v>
      </c>
      <c r="N151">
        <v>0</v>
      </c>
      <c r="O151">
        <v>0</v>
      </c>
      <c r="P151">
        <v>0</v>
      </c>
      <c r="Q151">
        <v>1677</v>
      </c>
      <c r="R151">
        <v>0</v>
      </c>
      <c r="S151">
        <v>0</v>
      </c>
      <c r="T151">
        <v>0</v>
      </c>
      <c r="U151">
        <v>654</v>
      </c>
      <c r="V151">
        <v>229</v>
      </c>
      <c r="W151">
        <v>228</v>
      </c>
      <c r="X151">
        <v>0</v>
      </c>
      <c r="Y151">
        <v>0</v>
      </c>
      <c r="Z151">
        <v>108</v>
      </c>
      <c r="AA151">
        <v>1519</v>
      </c>
      <c r="AB151">
        <v>191</v>
      </c>
      <c r="AC151">
        <v>80</v>
      </c>
      <c r="AD151">
        <v>144</v>
      </c>
      <c r="AE151">
        <v>3153</v>
      </c>
      <c r="AF151">
        <v>3100</v>
      </c>
      <c r="AG151" t="s">
        <v>4508</v>
      </c>
      <c r="AH151">
        <v>11</v>
      </c>
      <c r="AI151">
        <v>159</v>
      </c>
      <c r="AJ151">
        <v>5.6380999999999997</v>
      </c>
      <c r="AK151" t="str">
        <f t="shared" si="2"/>
        <v>HP427-6200</v>
      </c>
    </row>
    <row r="152" spans="1:37" ht="15">
      <c r="A152" t="s">
        <v>963</v>
      </c>
      <c r="B152" t="s">
        <v>964</v>
      </c>
      <c r="C152" t="s">
        <v>101</v>
      </c>
      <c r="D152" t="s">
        <v>965</v>
      </c>
      <c r="E152">
        <v>50</v>
      </c>
      <c r="F152">
        <v>4.4000000000000004</v>
      </c>
      <c r="G152">
        <v>0</v>
      </c>
      <c r="H152">
        <v>291</v>
      </c>
      <c r="I152">
        <v>424</v>
      </c>
      <c r="J152">
        <v>386</v>
      </c>
      <c r="K152">
        <v>5122</v>
      </c>
      <c r="L152">
        <v>151</v>
      </c>
      <c r="M152">
        <v>0</v>
      </c>
      <c r="N152">
        <v>0</v>
      </c>
      <c r="O152">
        <v>0</v>
      </c>
      <c r="P152">
        <v>0</v>
      </c>
      <c r="Q152">
        <v>5122</v>
      </c>
      <c r="R152">
        <v>0</v>
      </c>
      <c r="S152">
        <v>150</v>
      </c>
      <c r="T152">
        <v>318</v>
      </c>
      <c r="U152">
        <v>405</v>
      </c>
      <c r="V152">
        <v>476</v>
      </c>
      <c r="W152">
        <v>428</v>
      </c>
      <c r="X152">
        <v>769</v>
      </c>
      <c r="Y152">
        <v>389</v>
      </c>
      <c r="Z152">
        <v>408</v>
      </c>
      <c r="AA152">
        <v>123</v>
      </c>
      <c r="AB152">
        <v>275</v>
      </c>
      <c r="AC152">
        <v>668</v>
      </c>
      <c r="AD152">
        <v>225</v>
      </c>
      <c r="AE152">
        <v>4634</v>
      </c>
      <c r="AF152">
        <v>2591</v>
      </c>
      <c r="AJ152">
        <v>5.9858000000000002</v>
      </c>
      <c r="AK152" t="str">
        <f t="shared" si="2"/>
        <v>HP431-5000</v>
      </c>
    </row>
    <row r="153" spans="1:37" ht="15">
      <c r="A153" t="s">
        <v>966</v>
      </c>
      <c r="B153" t="s">
        <v>964</v>
      </c>
      <c r="C153" t="s">
        <v>68</v>
      </c>
      <c r="D153" t="s">
        <v>967</v>
      </c>
      <c r="E153">
        <v>50</v>
      </c>
      <c r="F153">
        <v>1.6</v>
      </c>
      <c r="G153">
        <v>0</v>
      </c>
      <c r="H153">
        <v>168</v>
      </c>
      <c r="I153">
        <v>226</v>
      </c>
      <c r="J153">
        <v>207</v>
      </c>
      <c r="K153">
        <v>1045</v>
      </c>
      <c r="L153">
        <v>70</v>
      </c>
      <c r="M153">
        <v>0</v>
      </c>
      <c r="N153">
        <v>0</v>
      </c>
      <c r="O153">
        <v>0</v>
      </c>
      <c r="P153">
        <v>0</v>
      </c>
      <c r="Q153">
        <v>1045</v>
      </c>
      <c r="R153">
        <v>0</v>
      </c>
      <c r="S153">
        <v>0</v>
      </c>
      <c r="T153">
        <v>0</v>
      </c>
      <c r="U153">
        <v>505</v>
      </c>
      <c r="V153">
        <v>414</v>
      </c>
      <c r="W153">
        <v>0</v>
      </c>
      <c r="X153">
        <v>438</v>
      </c>
      <c r="Y153">
        <v>585</v>
      </c>
      <c r="Z153">
        <v>0</v>
      </c>
      <c r="AA153">
        <v>0</v>
      </c>
      <c r="AB153">
        <v>0</v>
      </c>
      <c r="AC153">
        <v>341</v>
      </c>
      <c r="AD153">
        <v>206</v>
      </c>
      <c r="AE153">
        <v>2489</v>
      </c>
      <c r="AF153">
        <v>2977</v>
      </c>
      <c r="AG153">
        <v>5.7549999999999999</v>
      </c>
      <c r="AK153" t="str">
        <f t="shared" si="2"/>
        <v>HP431-6200</v>
      </c>
    </row>
    <row r="154" spans="1:37" ht="15">
      <c r="A154" t="s">
        <v>968</v>
      </c>
      <c r="B154" t="s">
        <v>969</v>
      </c>
      <c r="C154" t="s">
        <v>101</v>
      </c>
      <c r="D154" t="s">
        <v>609</v>
      </c>
      <c r="E154">
        <v>65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2507</v>
      </c>
      <c r="L154">
        <v>30</v>
      </c>
      <c r="M154">
        <v>0</v>
      </c>
      <c r="N154">
        <v>0</v>
      </c>
      <c r="O154">
        <v>0</v>
      </c>
      <c r="P154">
        <v>0</v>
      </c>
      <c r="Q154">
        <v>2507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J154">
        <v>3.8016000000000001</v>
      </c>
      <c r="AK154" t="str">
        <f t="shared" si="2"/>
        <v>HP445-5000</v>
      </c>
    </row>
    <row r="155" spans="1:37" ht="15">
      <c r="A155" t="s">
        <v>970</v>
      </c>
      <c r="B155" t="s">
        <v>969</v>
      </c>
      <c r="C155" t="s">
        <v>101</v>
      </c>
      <c r="D155" t="s">
        <v>609</v>
      </c>
      <c r="E155">
        <v>65</v>
      </c>
      <c r="F155">
        <v>0</v>
      </c>
      <c r="G155">
        <v>0</v>
      </c>
      <c r="H155">
        <v>0</v>
      </c>
      <c r="I155">
        <v>0</v>
      </c>
      <c r="J155">
        <v>20</v>
      </c>
      <c r="K155">
        <v>1414</v>
      </c>
      <c r="L155">
        <v>161</v>
      </c>
      <c r="M155">
        <v>0</v>
      </c>
      <c r="N155">
        <v>0</v>
      </c>
      <c r="O155">
        <v>0</v>
      </c>
      <c r="P155">
        <v>0</v>
      </c>
      <c r="Q155">
        <v>1414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243</v>
      </c>
      <c r="AD155">
        <v>0</v>
      </c>
      <c r="AE155">
        <v>243</v>
      </c>
      <c r="AF155">
        <v>164</v>
      </c>
      <c r="AJ155">
        <v>4.3673999999999999</v>
      </c>
      <c r="AK155" t="str">
        <f t="shared" si="2"/>
        <v>HP445-6200</v>
      </c>
    </row>
    <row r="156" spans="1:37" ht="15">
      <c r="A156" t="s">
        <v>971</v>
      </c>
      <c r="B156" t="s">
        <v>972</v>
      </c>
      <c r="C156" t="s">
        <v>267</v>
      </c>
      <c r="D156" t="s">
        <v>609</v>
      </c>
      <c r="E156">
        <v>55</v>
      </c>
      <c r="F156">
        <v>3.9</v>
      </c>
      <c r="G156">
        <v>0</v>
      </c>
      <c r="H156">
        <v>118</v>
      </c>
      <c r="I156">
        <v>107</v>
      </c>
      <c r="J156">
        <v>110</v>
      </c>
      <c r="K156">
        <v>1862</v>
      </c>
      <c r="L156">
        <v>49</v>
      </c>
      <c r="M156">
        <v>0</v>
      </c>
      <c r="N156">
        <v>0</v>
      </c>
      <c r="O156">
        <v>0</v>
      </c>
      <c r="P156">
        <v>0</v>
      </c>
      <c r="Q156">
        <v>1862</v>
      </c>
      <c r="R156">
        <v>0</v>
      </c>
      <c r="S156">
        <v>0</v>
      </c>
      <c r="T156">
        <v>0</v>
      </c>
      <c r="U156">
        <v>355</v>
      </c>
      <c r="V156">
        <v>0</v>
      </c>
      <c r="W156">
        <v>0</v>
      </c>
      <c r="X156">
        <v>285</v>
      </c>
      <c r="Y156">
        <v>0</v>
      </c>
      <c r="Z156">
        <v>0</v>
      </c>
      <c r="AA156">
        <v>314</v>
      </c>
      <c r="AB156">
        <v>0</v>
      </c>
      <c r="AC156">
        <v>366</v>
      </c>
      <c r="AD156">
        <v>0</v>
      </c>
      <c r="AE156">
        <v>1320</v>
      </c>
      <c r="AF156">
        <v>2380</v>
      </c>
      <c r="AJ156">
        <v>6.9250999999999996</v>
      </c>
      <c r="AK156" t="str">
        <f t="shared" si="2"/>
        <v>HP451-5000</v>
      </c>
    </row>
    <row r="157" spans="1:37" ht="15">
      <c r="A157" t="s">
        <v>974</v>
      </c>
      <c r="B157" t="s">
        <v>975</v>
      </c>
      <c r="C157" t="s">
        <v>68</v>
      </c>
      <c r="D157" t="s">
        <v>976</v>
      </c>
      <c r="E157">
        <v>70</v>
      </c>
      <c r="F157">
        <v>4.2</v>
      </c>
      <c r="G157">
        <v>0</v>
      </c>
      <c r="H157">
        <v>63</v>
      </c>
      <c r="I157">
        <v>337</v>
      </c>
      <c r="J157">
        <v>453</v>
      </c>
      <c r="K157">
        <v>1063</v>
      </c>
      <c r="L157">
        <v>45</v>
      </c>
      <c r="M157">
        <v>0</v>
      </c>
      <c r="N157">
        <v>0</v>
      </c>
      <c r="O157">
        <v>0</v>
      </c>
      <c r="P157">
        <v>0</v>
      </c>
      <c r="Q157">
        <v>1063</v>
      </c>
      <c r="R157">
        <v>0</v>
      </c>
      <c r="S157">
        <v>0</v>
      </c>
      <c r="T157">
        <v>190</v>
      </c>
      <c r="U157">
        <v>0</v>
      </c>
      <c r="V157">
        <v>414</v>
      </c>
      <c r="W157">
        <v>1129</v>
      </c>
      <c r="X157">
        <v>287</v>
      </c>
      <c r="Y157">
        <v>526</v>
      </c>
      <c r="Z157">
        <v>220</v>
      </c>
      <c r="AA157">
        <v>712</v>
      </c>
      <c r="AB157">
        <v>375</v>
      </c>
      <c r="AC157">
        <v>703</v>
      </c>
      <c r="AD157">
        <v>885</v>
      </c>
      <c r="AE157">
        <v>5441</v>
      </c>
      <c r="AF157">
        <v>8869</v>
      </c>
      <c r="AG157">
        <v>5.4302000000000001</v>
      </c>
      <c r="AK157" t="str">
        <f t="shared" si="2"/>
        <v>HP463-5000</v>
      </c>
    </row>
    <row r="158" spans="1:37" ht="15">
      <c r="A158" t="s">
        <v>977</v>
      </c>
      <c r="B158" t="s">
        <v>975</v>
      </c>
      <c r="C158" t="s">
        <v>68</v>
      </c>
      <c r="D158" t="s">
        <v>978</v>
      </c>
      <c r="E158">
        <v>70</v>
      </c>
      <c r="F158">
        <v>1.9</v>
      </c>
      <c r="G158">
        <v>0</v>
      </c>
      <c r="H158">
        <v>109</v>
      </c>
      <c r="I158">
        <v>97</v>
      </c>
      <c r="J158">
        <v>48</v>
      </c>
      <c r="K158">
        <v>837</v>
      </c>
      <c r="L158">
        <v>381</v>
      </c>
      <c r="M158">
        <v>0</v>
      </c>
      <c r="N158">
        <v>0</v>
      </c>
      <c r="O158">
        <v>0</v>
      </c>
      <c r="P158">
        <v>0</v>
      </c>
      <c r="Q158">
        <v>837</v>
      </c>
      <c r="R158">
        <v>0</v>
      </c>
      <c r="S158">
        <v>326</v>
      </c>
      <c r="T158">
        <v>0</v>
      </c>
      <c r="U158">
        <v>0</v>
      </c>
      <c r="V158">
        <v>0</v>
      </c>
      <c r="W158">
        <v>255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581</v>
      </c>
      <c r="AF158">
        <v>430</v>
      </c>
      <c r="AJ158">
        <v>2.4935999999999998</v>
      </c>
      <c r="AK158" t="str">
        <f t="shared" si="2"/>
        <v>HP463-6200</v>
      </c>
    </row>
    <row r="159" spans="1:37" ht="15">
      <c r="A159" t="s">
        <v>4509</v>
      </c>
      <c r="B159" t="s">
        <v>980</v>
      </c>
      <c r="C159" t="s">
        <v>68</v>
      </c>
      <c r="D159" t="s">
        <v>981</v>
      </c>
      <c r="E159">
        <v>50</v>
      </c>
      <c r="F159">
        <v>0</v>
      </c>
      <c r="G159">
        <v>0</v>
      </c>
      <c r="H159">
        <v>31</v>
      </c>
      <c r="I159">
        <v>16</v>
      </c>
      <c r="J159">
        <v>51</v>
      </c>
      <c r="K159">
        <v>0</v>
      </c>
      <c r="L159">
        <v>40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93</v>
      </c>
      <c r="V159">
        <v>0</v>
      </c>
      <c r="W159">
        <v>0</v>
      </c>
      <c r="X159">
        <v>0</v>
      </c>
      <c r="Y159">
        <v>285</v>
      </c>
      <c r="Z159">
        <v>0</v>
      </c>
      <c r="AA159">
        <v>0</v>
      </c>
      <c r="AB159">
        <v>0</v>
      </c>
      <c r="AC159">
        <v>0</v>
      </c>
      <c r="AD159">
        <v>229</v>
      </c>
      <c r="AE159">
        <v>607</v>
      </c>
      <c r="AF159">
        <v>877</v>
      </c>
      <c r="AJ159">
        <v>6.4965000000000002</v>
      </c>
      <c r="AK159" t="str">
        <f t="shared" si="2"/>
        <v>HP473-5000</v>
      </c>
    </row>
    <row r="160" spans="1:37" ht="15">
      <c r="A160" t="s">
        <v>6202</v>
      </c>
      <c r="B160" t="s">
        <v>4510</v>
      </c>
      <c r="C160" t="s">
        <v>68</v>
      </c>
      <c r="D160" t="s">
        <v>4511</v>
      </c>
      <c r="E160">
        <v>50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4814</v>
      </c>
      <c r="L160">
        <v>20</v>
      </c>
      <c r="M160">
        <v>0</v>
      </c>
      <c r="N160">
        <v>0</v>
      </c>
      <c r="O160">
        <v>0</v>
      </c>
      <c r="P160">
        <v>0</v>
      </c>
      <c r="Q160">
        <v>4814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J160">
        <v>6.6662999999999997</v>
      </c>
      <c r="AK160" t="str">
        <f t="shared" si="2"/>
        <v>HP477-5000</v>
      </c>
    </row>
    <row r="161" spans="1:37" ht="15">
      <c r="A161" t="s">
        <v>6203</v>
      </c>
      <c r="B161" t="s">
        <v>4510</v>
      </c>
      <c r="C161" t="s">
        <v>68</v>
      </c>
      <c r="D161" t="s">
        <v>4511</v>
      </c>
      <c r="E161">
        <v>50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2797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2797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J161">
        <v>6.6661999999999999</v>
      </c>
      <c r="AK161" t="str">
        <f t="shared" si="2"/>
        <v>HP477-6200</v>
      </c>
    </row>
    <row r="162" spans="1:37" ht="15">
      <c r="A162" t="s">
        <v>982</v>
      </c>
      <c r="B162" t="s">
        <v>983</v>
      </c>
      <c r="C162" t="s">
        <v>101</v>
      </c>
      <c r="D162" t="s">
        <v>984</v>
      </c>
      <c r="E162">
        <v>50</v>
      </c>
      <c r="F162">
        <v>2.9</v>
      </c>
      <c r="G162">
        <v>0</v>
      </c>
      <c r="H162">
        <v>79</v>
      </c>
      <c r="I162">
        <v>199</v>
      </c>
      <c r="J162">
        <v>118</v>
      </c>
      <c r="K162">
        <v>928</v>
      </c>
      <c r="L162">
        <v>17</v>
      </c>
      <c r="M162">
        <v>0</v>
      </c>
      <c r="N162">
        <v>0</v>
      </c>
      <c r="O162">
        <v>0</v>
      </c>
      <c r="P162">
        <v>0</v>
      </c>
      <c r="Q162">
        <v>928</v>
      </c>
      <c r="R162">
        <v>0</v>
      </c>
      <c r="S162">
        <v>0</v>
      </c>
      <c r="T162">
        <v>0</v>
      </c>
      <c r="U162">
        <v>236</v>
      </c>
      <c r="V162">
        <v>0</v>
      </c>
      <c r="W162">
        <v>746</v>
      </c>
      <c r="X162">
        <v>212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226</v>
      </c>
      <c r="AE162">
        <v>1420</v>
      </c>
      <c r="AF162">
        <v>875</v>
      </c>
      <c r="AJ162">
        <v>3.9171999999999998</v>
      </c>
      <c r="AK162" t="str">
        <f t="shared" si="2"/>
        <v>HP491-5000</v>
      </c>
    </row>
    <row r="163" spans="1:37" ht="15">
      <c r="A163" t="s">
        <v>6204</v>
      </c>
      <c r="B163" t="s">
        <v>983</v>
      </c>
      <c r="C163" t="s">
        <v>101</v>
      </c>
      <c r="D163" t="s">
        <v>984</v>
      </c>
      <c r="E163">
        <v>50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1860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1860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J163">
        <v>4.4774000000000003</v>
      </c>
      <c r="AK163" t="str">
        <f t="shared" si="2"/>
        <v>HP491-6200</v>
      </c>
    </row>
    <row r="164" spans="1:37" ht="15">
      <c r="A164" t="s">
        <v>985</v>
      </c>
      <c r="B164" t="s">
        <v>986</v>
      </c>
      <c r="C164" t="s">
        <v>68</v>
      </c>
      <c r="D164" t="s">
        <v>987</v>
      </c>
      <c r="E164">
        <v>50</v>
      </c>
      <c r="F164">
        <v>0</v>
      </c>
      <c r="G164">
        <v>0</v>
      </c>
      <c r="H164">
        <v>76</v>
      </c>
      <c r="I164">
        <v>38</v>
      </c>
      <c r="J164">
        <v>30</v>
      </c>
      <c r="K164">
        <v>0</v>
      </c>
      <c r="L164">
        <v>58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228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132</v>
      </c>
      <c r="AD164">
        <v>0</v>
      </c>
      <c r="AE164">
        <v>360</v>
      </c>
      <c r="AF164">
        <v>140</v>
      </c>
      <c r="AJ164">
        <v>7.1383000000000001</v>
      </c>
      <c r="AK164" t="str">
        <f t="shared" si="2"/>
        <v>HP495-5000</v>
      </c>
    </row>
    <row r="165" spans="1:37" ht="15">
      <c r="A165" t="s">
        <v>988</v>
      </c>
      <c r="B165" t="s">
        <v>986</v>
      </c>
      <c r="C165" t="s">
        <v>68</v>
      </c>
      <c r="D165" t="s">
        <v>987</v>
      </c>
      <c r="E165">
        <v>50</v>
      </c>
      <c r="F165">
        <v>0</v>
      </c>
      <c r="G165">
        <v>0</v>
      </c>
      <c r="H165">
        <v>0</v>
      </c>
      <c r="I165">
        <v>43</v>
      </c>
      <c r="J165">
        <v>52</v>
      </c>
      <c r="K165">
        <v>466</v>
      </c>
      <c r="L165">
        <v>82</v>
      </c>
      <c r="M165">
        <v>0</v>
      </c>
      <c r="N165">
        <v>0</v>
      </c>
      <c r="O165">
        <v>0</v>
      </c>
      <c r="P165">
        <v>0</v>
      </c>
      <c r="Q165">
        <v>466</v>
      </c>
      <c r="R165">
        <v>0</v>
      </c>
      <c r="S165">
        <v>0</v>
      </c>
      <c r="T165">
        <v>0</v>
      </c>
      <c r="U165">
        <v>0</v>
      </c>
      <c r="V165">
        <v>145</v>
      </c>
      <c r="W165">
        <v>110</v>
      </c>
      <c r="X165">
        <v>0</v>
      </c>
      <c r="Y165">
        <v>212</v>
      </c>
      <c r="Z165">
        <v>0</v>
      </c>
      <c r="AA165">
        <v>0</v>
      </c>
      <c r="AB165">
        <v>0</v>
      </c>
      <c r="AC165">
        <v>158</v>
      </c>
      <c r="AD165">
        <v>0</v>
      </c>
      <c r="AE165">
        <v>625</v>
      </c>
      <c r="AF165">
        <v>701</v>
      </c>
      <c r="AJ165">
        <v>2.5777000000000001</v>
      </c>
      <c r="AK165" t="str">
        <f t="shared" si="2"/>
        <v>HP495-6200</v>
      </c>
    </row>
    <row r="166" spans="1:37" ht="15">
      <c r="A166" t="s">
        <v>989</v>
      </c>
      <c r="B166" t="s">
        <v>990</v>
      </c>
      <c r="C166" t="s">
        <v>991</v>
      </c>
      <c r="D166" t="s">
        <v>992</v>
      </c>
      <c r="E166">
        <v>50</v>
      </c>
      <c r="F166">
        <v>1.1000000000000001</v>
      </c>
      <c r="G166">
        <v>89</v>
      </c>
      <c r="H166">
        <v>1324</v>
      </c>
      <c r="I166">
        <v>2019</v>
      </c>
      <c r="J166">
        <v>2159</v>
      </c>
      <c r="K166">
        <v>6085</v>
      </c>
      <c r="L166">
        <v>127</v>
      </c>
      <c r="M166">
        <v>0</v>
      </c>
      <c r="N166">
        <v>74</v>
      </c>
      <c r="O166">
        <v>0</v>
      </c>
      <c r="P166">
        <v>0</v>
      </c>
      <c r="Q166">
        <v>6011</v>
      </c>
      <c r="R166">
        <v>0</v>
      </c>
      <c r="S166">
        <v>1080</v>
      </c>
      <c r="T166">
        <v>1070</v>
      </c>
      <c r="U166">
        <v>1822</v>
      </c>
      <c r="V166">
        <v>5159</v>
      </c>
      <c r="W166">
        <v>1512</v>
      </c>
      <c r="X166">
        <v>1469</v>
      </c>
      <c r="Y166">
        <v>973</v>
      </c>
      <c r="Z166">
        <v>4339</v>
      </c>
      <c r="AA166">
        <v>2048</v>
      </c>
      <c r="AB166">
        <v>2960</v>
      </c>
      <c r="AC166">
        <v>2235</v>
      </c>
      <c r="AD166">
        <v>1241</v>
      </c>
      <c r="AE166">
        <v>25908</v>
      </c>
      <c r="AF166">
        <v>28481</v>
      </c>
      <c r="AJ166">
        <v>3.3664999999999998</v>
      </c>
      <c r="AK166" t="str">
        <f t="shared" si="2"/>
        <v>HP548-5000</v>
      </c>
    </row>
    <row r="167" spans="1:37" ht="15">
      <c r="A167" t="s">
        <v>993</v>
      </c>
      <c r="B167" t="s">
        <v>990</v>
      </c>
      <c r="C167" t="s">
        <v>1076</v>
      </c>
      <c r="D167" t="s">
        <v>992</v>
      </c>
      <c r="E167">
        <v>50</v>
      </c>
      <c r="F167">
        <v>1.1000000000000001</v>
      </c>
      <c r="G167">
        <v>0</v>
      </c>
      <c r="H167">
        <v>982</v>
      </c>
      <c r="I167">
        <v>1040</v>
      </c>
      <c r="J167">
        <v>1604</v>
      </c>
      <c r="K167">
        <v>4202</v>
      </c>
      <c r="L167">
        <v>633</v>
      </c>
      <c r="M167">
        <v>0</v>
      </c>
      <c r="N167">
        <v>0</v>
      </c>
      <c r="O167">
        <v>0</v>
      </c>
      <c r="P167">
        <v>0</v>
      </c>
      <c r="Q167">
        <v>4202</v>
      </c>
      <c r="R167">
        <v>0</v>
      </c>
      <c r="S167">
        <v>850</v>
      </c>
      <c r="T167">
        <v>320</v>
      </c>
      <c r="U167">
        <v>1777</v>
      </c>
      <c r="V167">
        <v>1627</v>
      </c>
      <c r="W167">
        <v>409</v>
      </c>
      <c r="X167">
        <v>1256</v>
      </c>
      <c r="Y167">
        <v>969</v>
      </c>
      <c r="Z167">
        <v>3736</v>
      </c>
      <c r="AA167">
        <v>2727</v>
      </c>
      <c r="AB167">
        <v>1312</v>
      </c>
      <c r="AC167">
        <v>3140</v>
      </c>
      <c r="AD167">
        <v>1129</v>
      </c>
      <c r="AE167">
        <v>19252</v>
      </c>
      <c r="AF167">
        <v>15560</v>
      </c>
      <c r="AG167" t="s">
        <v>4512</v>
      </c>
      <c r="AH167">
        <v>3</v>
      </c>
      <c r="AI167">
        <v>801</v>
      </c>
      <c r="AJ167">
        <v>3.3664999999999998</v>
      </c>
      <c r="AK167" t="str">
        <f t="shared" si="2"/>
        <v>HP548-6200</v>
      </c>
    </row>
    <row r="168" spans="1:37" ht="15">
      <c r="A168" t="s">
        <v>994</v>
      </c>
      <c r="B168" t="s">
        <v>995</v>
      </c>
      <c r="C168" t="s">
        <v>267</v>
      </c>
      <c r="D168" t="s">
        <v>996</v>
      </c>
      <c r="E168">
        <v>50</v>
      </c>
      <c r="F168">
        <v>1.8</v>
      </c>
      <c r="G168">
        <v>102</v>
      </c>
      <c r="H168">
        <v>1092</v>
      </c>
      <c r="I168">
        <v>1341</v>
      </c>
      <c r="J168">
        <v>1998</v>
      </c>
      <c r="K168">
        <v>7862</v>
      </c>
      <c r="L168">
        <v>393</v>
      </c>
      <c r="M168">
        <v>0</v>
      </c>
      <c r="N168">
        <v>85</v>
      </c>
      <c r="O168">
        <v>0</v>
      </c>
      <c r="P168">
        <v>0</v>
      </c>
      <c r="Q168">
        <v>7777</v>
      </c>
      <c r="R168">
        <v>0</v>
      </c>
      <c r="S168">
        <v>1461</v>
      </c>
      <c r="T168">
        <v>408</v>
      </c>
      <c r="U168">
        <v>1408</v>
      </c>
      <c r="V168">
        <v>1748</v>
      </c>
      <c r="W168">
        <v>1338</v>
      </c>
      <c r="X168">
        <v>1684</v>
      </c>
      <c r="Y168">
        <v>3100</v>
      </c>
      <c r="Z168">
        <v>1808</v>
      </c>
      <c r="AA168">
        <v>2318</v>
      </c>
      <c r="AB168">
        <v>4427</v>
      </c>
      <c r="AC168">
        <v>2361</v>
      </c>
      <c r="AD168">
        <v>1914</v>
      </c>
      <c r="AE168">
        <v>23975</v>
      </c>
      <c r="AF168">
        <v>31702</v>
      </c>
      <c r="AG168">
        <v>4.9968000000000004</v>
      </c>
      <c r="AK168" t="str">
        <f t="shared" si="2"/>
        <v>HP551-5000</v>
      </c>
    </row>
    <row r="169" spans="1:37" ht="15">
      <c r="A169" t="s">
        <v>997</v>
      </c>
      <c r="B169" t="s">
        <v>995</v>
      </c>
      <c r="C169" t="s">
        <v>1076</v>
      </c>
      <c r="D169" t="s">
        <v>998</v>
      </c>
      <c r="E169">
        <v>50</v>
      </c>
      <c r="F169">
        <v>2.2000000000000002</v>
      </c>
      <c r="G169">
        <v>0</v>
      </c>
      <c r="H169">
        <v>228</v>
      </c>
      <c r="I169">
        <v>568</v>
      </c>
      <c r="J169">
        <v>534</v>
      </c>
      <c r="K169">
        <v>1969</v>
      </c>
      <c r="L169">
        <v>258</v>
      </c>
      <c r="M169">
        <v>0</v>
      </c>
      <c r="N169">
        <v>0</v>
      </c>
      <c r="O169">
        <v>0</v>
      </c>
      <c r="P169">
        <v>0</v>
      </c>
      <c r="Q169">
        <v>1969</v>
      </c>
      <c r="R169">
        <v>0</v>
      </c>
      <c r="S169">
        <v>685</v>
      </c>
      <c r="T169">
        <v>0</v>
      </c>
      <c r="U169">
        <v>0</v>
      </c>
      <c r="V169">
        <v>352</v>
      </c>
      <c r="W169">
        <v>632</v>
      </c>
      <c r="X169">
        <v>1737</v>
      </c>
      <c r="Y169">
        <v>1340</v>
      </c>
      <c r="Z169">
        <v>1056</v>
      </c>
      <c r="AA169">
        <v>0</v>
      </c>
      <c r="AB169">
        <v>0</v>
      </c>
      <c r="AC169">
        <v>0</v>
      </c>
      <c r="AD169">
        <v>611</v>
      </c>
      <c r="AE169">
        <v>6413</v>
      </c>
      <c r="AF169">
        <v>4744</v>
      </c>
      <c r="AG169" t="s">
        <v>4513</v>
      </c>
      <c r="AH169">
        <v>2</v>
      </c>
      <c r="AI169">
        <v>1</v>
      </c>
      <c r="AJ169">
        <v>4.1077000000000004</v>
      </c>
      <c r="AK169" t="str">
        <f t="shared" si="2"/>
        <v>HP551-6200</v>
      </c>
    </row>
    <row r="170" spans="1:37" ht="15">
      <c r="A170" t="s">
        <v>997</v>
      </c>
      <c r="B170" t="s">
        <v>995</v>
      </c>
      <c r="C170" t="s">
        <v>1076</v>
      </c>
      <c r="D170" t="s">
        <v>998</v>
      </c>
      <c r="E170">
        <v>50</v>
      </c>
      <c r="AG170" t="s">
        <v>4514</v>
      </c>
      <c r="AH170">
        <v>5</v>
      </c>
      <c r="AI170">
        <v>316</v>
      </c>
      <c r="AK170" t="str">
        <f t="shared" si="2"/>
        <v>HP551-6200</v>
      </c>
    </row>
    <row r="171" spans="1:37" ht="15">
      <c r="A171" t="s">
        <v>6205</v>
      </c>
      <c r="B171" t="s">
        <v>4515</v>
      </c>
      <c r="C171" t="s">
        <v>68</v>
      </c>
      <c r="D171" t="s">
        <v>4516</v>
      </c>
      <c r="E171">
        <v>65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221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221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J171">
        <v>1.9053</v>
      </c>
      <c r="AK171" t="str">
        <f t="shared" si="2"/>
        <v>HP556-5000</v>
      </c>
    </row>
    <row r="172" spans="1:37" ht="15">
      <c r="A172" t="s">
        <v>6206</v>
      </c>
      <c r="B172" t="s">
        <v>4517</v>
      </c>
      <c r="C172" t="s">
        <v>68</v>
      </c>
      <c r="D172" t="s">
        <v>4516</v>
      </c>
      <c r="E172">
        <v>65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1246</v>
      </c>
      <c r="L172">
        <v>35</v>
      </c>
      <c r="M172">
        <v>0</v>
      </c>
      <c r="N172">
        <v>0</v>
      </c>
      <c r="O172">
        <v>0</v>
      </c>
      <c r="P172">
        <v>0</v>
      </c>
      <c r="Q172">
        <v>1246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215</v>
      </c>
      <c r="AJ172">
        <v>5.3895999999999997</v>
      </c>
      <c r="AK172" t="str">
        <f t="shared" si="2"/>
        <v>HP556-6200</v>
      </c>
    </row>
    <row r="173" spans="1:37" ht="15">
      <c r="A173" t="s">
        <v>999</v>
      </c>
      <c r="B173" t="s">
        <v>1000</v>
      </c>
      <c r="C173" t="s">
        <v>267</v>
      </c>
      <c r="D173" t="s">
        <v>609</v>
      </c>
      <c r="E173">
        <v>70</v>
      </c>
      <c r="F173">
        <v>9.4</v>
      </c>
      <c r="G173">
        <v>201</v>
      </c>
      <c r="H173">
        <v>232</v>
      </c>
      <c r="I173">
        <v>518</v>
      </c>
      <c r="J173">
        <v>419</v>
      </c>
      <c r="K173">
        <v>8895</v>
      </c>
      <c r="L173">
        <v>105</v>
      </c>
      <c r="M173">
        <v>0</v>
      </c>
      <c r="N173">
        <v>167</v>
      </c>
      <c r="O173">
        <v>0</v>
      </c>
      <c r="P173">
        <v>0</v>
      </c>
      <c r="Q173">
        <v>8728</v>
      </c>
      <c r="R173">
        <v>0</v>
      </c>
      <c r="S173">
        <v>697</v>
      </c>
      <c r="T173">
        <v>0</v>
      </c>
      <c r="U173">
        <v>0</v>
      </c>
      <c r="V173">
        <v>1552</v>
      </c>
      <c r="W173">
        <v>164</v>
      </c>
      <c r="X173">
        <v>694</v>
      </c>
      <c r="Y173">
        <v>827</v>
      </c>
      <c r="Z173">
        <v>202</v>
      </c>
      <c r="AA173">
        <v>196</v>
      </c>
      <c r="AB173">
        <v>478</v>
      </c>
      <c r="AC173">
        <v>212</v>
      </c>
      <c r="AD173">
        <v>0</v>
      </c>
      <c r="AE173">
        <v>5022</v>
      </c>
      <c r="AF173">
        <v>10385</v>
      </c>
      <c r="AG173">
        <v>4.5061</v>
      </c>
      <c r="AK173" t="str">
        <f t="shared" si="2"/>
        <v>HP557-5000</v>
      </c>
    </row>
    <row r="174" spans="1:37" ht="15">
      <c r="A174" t="s">
        <v>1001</v>
      </c>
      <c r="B174" t="s">
        <v>1000</v>
      </c>
      <c r="C174" t="s">
        <v>267</v>
      </c>
      <c r="D174" t="s">
        <v>609</v>
      </c>
      <c r="E174">
        <v>70</v>
      </c>
      <c r="F174">
        <v>6.5</v>
      </c>
      <c r="G174">
        <v>0</v>
      </c>
      <c r="H174">
        <v>109</v>
      </c>
      <c r="I174">
        <v>176</v>
      </c>
      <c r="J174">
        <v>207</v>
      </c>
      <c r="K174">
        <v>2827</v>
      </c>
      <c r="L174">
        <v>121</v>
      </c>
      <c r="M174">
        <v>0</v>
      </c>
      <c r="N174">
        <v>0</v>
      </c>
      <c r="O174">
        <v>0</v>
      </c>
      <c r="P174">
        <v>0</v>
      </c>
      <c r="Q174">
        <v>2827</v>
      </c>
      <c r="R174">
        <v>0</v>
      </c>
      <c r="S174">
        <v>0</v>
      </c>
      <c r="T174">
        <v>0</v>
      </c>
      <c r="U174">
        <v>326</v>
      </c>
      <c r="V174">
        <v>222</v>
      </c>
      <c r="W174">
        <v>193</v>
      </c>
      <c r="X174">
        <v>317</v>
      </c>
      <c r="Y174">
        <v>0</v>
      </c>
      <c r="Z174">
        <v>350</v>
      </c>
      <c r="AA174">
        <v>470</v>
      </c>
      <c r="AB174">
        <v>0</v>
      </c>
      <c r="AC174">
        <v>0</v>
      </c>
      <c r="AD174">
        <v>608</v>
      </c>
      <c r="AE174">
        <v>2486</v>
      </c>
      <c r="AF174">
        <v>2344</v>
      </c>
      <c r="AJ174">
        <v>4.5061</v>
      </c>
      <c r="AK174" t="str">
        <f t="shared" si="2"/>
        <v>HP557-6200</v>
      </c>
    </row>
    <row r="175" spans="1:37" ht="15">
      <c r="A175" t="s">
        <v>1002</v>
      </c>
      <c r="B175" t="s">
        <v>1003</v>
      </c>
      <c r="C175" t="s">
        <v>101</v>
      </c>
      <c r="D175" t="s">
        <v>1004</v>
      </c>
      <c r="E175">
        <v>50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1421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1421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J175">
        <v>0</v>
      </c>
      <c r="AK175" t="str">
        <f t="shared" si="2"/>
        <v>HP563-5000</v>
      </c>
    </row>
    <row r="176" spans="1:37" ht="15">
      <c r="A176" t="s">
        <v>1005</v>
      </c>
      <c r="B176" t="s">
        <v>1003</v>
      </c>
      <c r="C176" t="s">
        <v>101</v>
      </c>
      <c r="D176" t="s">
        <v>1004</v>
      </c>
      <c r="E176">
        <v>50</v>
      </c>
      <c r="F176">
        <v>0.2</v>
      </c>
      <c r="G176">
        <v>0</v>
      </c>
      <c r="H176">
        <v>405</v>
      </c>
      <c r="I176">
        <v>450</v>
      </c>
      <c r="J176">
        <v>537</v>
      </c>
      <c r="K176">
        <v>300</v>
      </c>
      <c r="L176">
        <v>186</v>
      </c>
      <c r="M176">
        <v>0</v>
      </c>
      <c r="N176">
        <v>0</v>
      </c>
      <c r="O176">
        <v>0</v>
      </c>
      <c r="P176">
        <v>0</v>
      </c>
      <c r="Q176">
        <v>300</v>
      </c>
      <c r="R176">
        <v>0</v>
      </c>
      <c r="S176">
        <v>522</v>
      </c>
      <c r="T176">
        <v>693</v>
      </c>
      <c r="U176">
        <v>0</v>
      </c>
      <c r="V176">
        <v>1093</v>
      </c>
      <c r="W176">
        <v>200</v>
      </c>
      <c r="X176">
        <v>194</v>
      </c>
      <c r="Y176">
        <v>986</v>
      </c>
      <c r="Z176">
        <v>0</v>
      </c>
      <c r="AA176">
        <v>1049</v>
      </c>
      <c r="AB176">
        <v>0</v>
      </c>
      <c r="AC176">
        <v>962</v>
      </c>
      <c r="AD176">
        <v>747</v>
      </c>
      <c r="AE176">
        <v>6446</v>
      </c>
      <c r="AF176">
        <v>5462</v>
      </c>
      <c r="AG176">
        <v>3.0409000000000002</v>
      </c>
      <c r="AK176" t="str">
        <f t="shared" si="2"/>
        <v>HP563-6200</v>
      </c>
    </row>
    <row r="177" spans="1:37" ht="15">
      <c r="A177" t="s">
        <v>1006</v>
      </c>
      <c r="B177" t="s">
        <v>1007</v>
      </c>
      <c r="C177" t="s">
        <v>991</v>
      </c>
      <c r="D177" t="s">
        <v>1008</v>
      </c>
      <c r="E177">
        <v>50</v>
      </c>
      <c r="F177">
        <v>6.4</v>
      </c>
      <c r="G177">
        <v>61</v>
      </c>
      <c r="H177">
        <v>1650</v>
      </c>
      <c r="I177">
        <v>1563</v>
      </c>
      <c r="J177">
        <v>2042</v>
      </c>
      <c r="K177">
        <v>42603</v>
      </c>
      <c r="L177">
        <v>114</v>
      </c>
      <c r="M177">
        <v>127</v>
      </c>
      <c r="N177">
        <v>51</v>
      </c>
      <c r="O177">
        <v>0</v>
      </c>
      <c r="P177">
        <v>0</v>
      </c>
      <c r="Q177">
        <v>42552</v>
      </c>
      <c r="R177">
        <v>0</v>
      </c>
      <c r="S177">
        <v>2339</v>
      </c>
      <c r="T177">
        <v>855</v>
      </c>
      <c r="U177">
        <v>1757</v>
      </c>
      <c r="V177">
        <v>1955</v>
      </c>
      <c r="W177">
        <v>1276</v>
      </c>
      <c r="X177">
        <v>1193</v>
      </c>
      <c r="Y177">
        <v>3585</v>
      </c>
      <c r="Z177">
        <v>2373</v>
      </c>
      <c r="AA177">
        <v>3291</v>
      </c>
      <c r="AB177">
        <v>1576</v>
      </c>
      <c r="AC177">
        <v>2119</v>
      </c>
      <c r="AD177">
        <v>2190</v>
      </c>
      <c r="AE177">
        <v>24509</v>
      </c>
      <c r="AF177">
        <v>32097</v>
      </c>
      <c r="AJ177">
        <v>2.8087</v>
      </c>
      <c r="AK177" t="str">
        <f t="shared" si="2"/>
        <v>HP565-5000</v>
      </c>
    </row>
    <row r="178" spans="1:37" ht="15">
      <c r="A178" t="s">
        <v>1009</v>
      </c>
      <c r="B178" t="s">
        <v>1007</v>
      </c>
      <c r="C178" t="s">
        <v>991</v>
      </c>
      <c r="D178" t="s">
        <v>1008</v>
      </c>
      <c r="E178">
        <v>50</v>
      </c>
      <c r="F178">
        <v>1</v>
      </c>
      <c r="G178">
        <v>65</v>
      </c>
      <c r="H178">
        <v>1310</v>
      </c>
      <c r="I178">
        <v>1321</v>
      </c>
      <c r="J178">
        <v>1328</v>
      </c>
      <c r="K178">
        <v>5051</v>
      </c>
      <c r="L178">
        <v>364</v>
      </c>
      <c r="M178">
        <v>0</v>
      </c>
      <c r="N178">
        <v>54</v>
      </c>
      <c r="O178">
        <v>0</v>
      </c>
      <c r="P178">
        <v>0</v>
      </c>
      <c r="Q178">
        <v>4997</v>
      </c>
      <c r="R178">
        <v>0</v>
      </c>
      <c r="S178">
        <v>2086</v>
      </c>
      <c r="T178">
        <v>262</v>
      </c>
      <c r="U178">
        <v>1581</v>
      </c>
      <c r="V178">
        <v>1825</v>
      </c>
      <c r="W178">
        <v>960</v>
      </c>
      <c r="X178">
        <v>1213</v>
      </c>
      <c r="Y178">
        <v>1248</v>
      </c>
      <c r="Z178">
        <v>988</v>
      </c>
      <c r="AA178">
        <v>1085</v>
      </c>
      <c r="AB178">
        <v>1506</v>
      </c>
      <c r="AC178">
        <v>842</v>
      </c>
      <c r="AD178">
        <v>2345</v>
      </c>
      <c r="AE178">
        <v>15941</v>
      </c>
      <c r="AF178">
        <v>16505</v>
      </c>
      <c r="AG178">
        <v>2.8087</v>
      </c>
      <c r="AK178" t="str">
        <f t="shared" si="2"/>
        <v>HP565-6200</v>
      </c>
    </row>
    <row r="179" spans="1:37" ht="15">
      <c r="A179" t="s">
        <v>3908</v>
      </c>
      <c r="B179" t="s">
        <v>1011</v>
      </c>
      <c r="C179" t="s">
        <v>101</v>
      </c>
      <c r="D179" t="s">
        <v>609</v>
      </c>
      <c r="E179">
        <v>75</v>
      </c>
      <c r="F179">
        <v>0</v>
      </c>
      <c r="G179">
        <v>80</v>
      </c>
      <c r="H179">
        <v>383</v>
      </c>
      <c r="I179">
        <v>309</v>
      </c>
      <c r="J179">
        <v>199</v>
      </c>
      <c r="K179">
        <v>0</v>
      </c>
      <c r="L179">
        <v>167</v>
      </c>
      <c r="M179">
        <v>0</v>
      </c>
      <c r="N179">
        <v>67</v>
      </c>
      <c r="O179">
        <v>0</v>
      </c>
      <c r="P179">
        <v>0</v>
      </c>
      <c r="Q179">
        <v>-67</v>
      </c>
      <c r="R179">
        <v>208</v>
      </c>
      <c r="S179">
        <v>278</v>
      </c>
      <c r="T179">
        <v>227</v>
      </c>
      <c r="U179">
        <v>643</v>
      </c>
      <c r="V179">
        <v>474</v>
      </c>
      <c r="W179">
        <v>232</v>
      </c>
      <c r="X179">
        <v>0</v>
      </c>
      <c r="Y179">
        <v>440</v>
      </c>
      <c r="Z179">
        <v>0</v>
      </c>
      <c r="AA179">
        <v>0</v>
      </c>
      <c r="AB179">
        <v>0</v>
      </c>
      <c r="AC179">
        <v>0</v>
      </c>
      <c r="AD179">
        <v>97</v>
      </c>
      <c r="AE179">
        <v>2391</v>
      </c>
      <c r="AF179">
        <v>1906</v>
      </c>
      <c r="AJ179">
        <v>3.8007</v>
      </c>
      <c r="AK179" t="str">
        <f t="shared" si="2"/>
        <v>HP568-5000</v>
      </c>
    </row>
    <row r="180" spans="1:37" ht="15">
      <c r="A180" t="s">
        <v>1010</v>
      </c>
      <c r="B180" t="s">
        <v>1011</v>
      </c>
      <c r="C180" t="s">
        <v>101</v>
      </c>
      <c r="D180" t="s">
        <v>609</v>
      </c>
      <c r="E180">
        <v>75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416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416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369</v>
      </c>
      <c r="AG180">
        <v>5.7168999999999999</v>
      </c>
      <c r="AK180" t="str">
        <f t="shared" si="2"/>
        <v>HP568-6200</v>
      </c>
    </row>
    <row r="181" spans="1:37" ht="15">
      <c r="A181" t="s">
        <v>1012</v>
      </c>
      <c r="B181" t="s">
        <v>1013</v>
      </c>
      <c r="C181" t="s">
        <v>68</v>
      </c>
      <c r="D181" t="s">
        <v>609</v>
      </c>
      <c r="E181">
        <v>65</v>
      </c>
      <c r="F181">
        <v>0.7</v>
      </c>
      <c r="G181">
        <v>0</v>
      </c>
      <c r="H181">
        <v>83</v>
      </c>
      <c r="I181">
        <v>86</v>
      </c>
      <c r="J181">
        <v>70</v>
      </c>
      <c r="K181">
        <v>236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236</v>
      </c>
      <c r="R181">
        <v>0</v>
      </c>
      <c r="S181">
        <v>0</v>
      </c>
      <c r="T181">
        <v>0</v>
      </c>
      <c r="U181">
        <v>248</v>
      </c>
      <c r="V181">
        <v>0</v>
      </c>
      <c r="W181">
        <v>0</v>
      </c>
      <c r="X181">
        <v>265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325</v>
      </c>
      <c r="AE181">
        <v>838</v>
      </c>
      <c r="AF181">
        <v>644</v>
      </c>
      <c r="AJ181">
        <v>6.7283999999999997</v>
      </c>
      <c r="AK181" t="str">
        <f t="shared" si="2"/>
        <v>HP569-5000</v>
      </c>
    </row>
    <row r="182" spans="1:37" ht="15">
      <c r="A182" t="s">
        <v>6207</v>
      </c>
      <c r="B182" t="s">
        <v>1013</v>
      </c>
      <c r="C182" t="s">
        <v>68</v>
      </c>
      <c r="D182" t="s">
        <v>609</v>
      </c>
      <c r="E182">
        <v>65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840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840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207</v>
      </c>
      <c r="AJ182">
        <v>6.7283999999999997</v>
      </c>
      <c r="AK182" t="str">
        <f t="shared" si="2"/>
        <v>HP569-6200</v>
      </c>
    </row>
    <row r="183" spans="1:37" ht="15">
      <c r="A183" t="s">
        <v>1014</v>
      </c>
      <c r="B183" t="s">
        <v>1015</v>
      </c>
      <c r="C183" t="s">
        <v>68</v>
      </c>
      <c r="D183" t="s">
        <v>1016</v>
      </c>
      <c r="E183">
        <v>65</v>
      </c>
      <c r="F183">
        <v>2.6</v>
      </c>
      <c r="G183">
        <v>0</v>
      </c>
      <c r="H183">
        <v>97</v>
      </c>
      <c r="I183">
        <v>143</v>
      </c>
      <c r="J183">
        <v>231</v>
      </c>
      <c r="K183">
        <v>1021</v>
      </c>
      <c r="L183">
        <v>60</v>
      </c>
      <c r="M183">
        <v>0</v>
      </c>
      <c r="N183">
        <v>0</v>
      </c>
      <c r="O183">
        <v>0</v>
      </c>
      <c r="P183">
        <v>0</v>
      </c>
      <c r="Q183">
        <v>1021</v>
      </c>
      <c r="R183">
        <v>0</v>
      </c>
      <c r="S183">
        <v>0</v>
      </c>
      <c r="T183">
        <v>146</v>
      </c>
      <c r="U183">
        <v>146</v>
      </c>
      <c r="V183">
        <v>566</v>
      </c>
      <c r="W183">
        <v>0</v>
      </c>
      <c r="X183">
        <v>0</v>
      </c>
      <c r="Y183">
        <v>148</v>
      </c>
      <c r="Z183">
        <v>445</v>
      </c>
      <c r="AA183">
        <v>0</v>
      </c>
      <c r="AB183">
        <v>0</v>
      </c>
      <c r="AC183">
        <v>1317</v>
      </c>
      <c r="AD183">
        <v>0</v>
      </c>
      <c r="AE183">
        <v>2768</v>
      </c>
      <c r="AF183">
        <v>1958</v>
      </c>
      <c r="AG183">
        <v>6.6468999999999996</v>
      </c>
      <c r="AK183" t="str">
        <f t="shared" si="2"/>
        <v>HP596-5000</v>
      </c>
    </row>
    <row r="184" spans="1:37" ht="15">
      <c r="A184" t="s">
        <v>6208</v>
      </c>
      <c r="B184" t="s">
        <v>1015</v>
      </c>
      <c r="C184" t="s">
        <v>68</v>
      </c>
      <c r="D184" t="s">
        <v>1016</v>
      </c>
      <c r="E184">
        <v>65</v>
      </c>
      <c r="F184">
        <v>0</v>
      </c>
      <c r="G184">
        <v>0</v>
      </c>
      <c r="H184">
        <v>0</v>
      </c>
      <c r="I184">
        <v>59</v>
      </c>
      <c r="J184">
        <v>30</v>
      </c>
      <c r="K184">
        <v>1255</v>
      </c>
      <c r="L184">
        <v>75</v>
      </c>
      <c r="M184">
        <v>0</v>
      </c>
      <c r="N184">
        <v>0</v>
      </c>
      <c r="O184">
        <v>0</v>
      </c>
      <c r="P184">
        <v>0</v>
      </c>
      <c r="Q184">
        <v>1255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354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354</v>
      </c>
      <c r="AF184">
        <v>164</v>
      </c>
      <c r="AJ184">
        <v>6.6468999999999996</v>
      </c>
      <c r="AK184" t="str">
        <f t="shared" si="2"/>
        <v>HP596-6200</v>
      </c>
    </row>
    <row r="185" spans="1:37" ht="15">
      <c r="A185" t="s">
        <v>3555</v>
      </c>
      <c r="B185" t="s">
        <v>1018</v>
      </c>
      <c r="C185" t="s">
        <v>267</v>
      </c>
      <c r="D185" t="s">
        <v>1019</v>
      </c>
      <c r="E185">
        <v>65</v>
      </c>
      <c r="F185">
        <v>4.5999999999999996</v>
      </c>
      <c r="G185">
        <v>0</v>
      </c>
      <c r="H185">
        <v>104</v>
      </c>
      <c r="I185">
        <v>164</v>
      </c>
      <c r="J185">
        <v>132</v>
      </c>
      <c r="K185">
        <v>1894</v>
      </c>
      <c r="L185">
        <v>57</v>
      </c>
      <c r="M185">
        <v>0</v>
      </c>
      <c r="N185">
        <v>0</v>
      </c>
      <c r="O185">
        <v>0</v>
      </c>
      <c r="P185">
        <v>0</v>
      </c>
      <c r="Q185">
        <v>1894</v>
      </c>
      <c r="R185">
        <v>0</v>
      </c>
      <c r="S185">
        <v>0</v>
      </c>
      <c r="T185">
        <v>0</v>
      </c>
      <c r="U185">
        <v>312</v>
      </c>
      <c r="V185">
        <v>0</v>
      </c>
      <c r="W185">
        <v>355</v>
      </c>
      <c r="X185">
        <v>315</v>
      </c>
      <c r="Y185">
        <v>0</v>
      </c>
      <c r="Z185">
        <v>136</v>
      </c>
      <c r="AA185">
        <v>258</v>
      </c>
      <c r="AB185">
        <v>0</v>
      </c>
      <c r="AC185">
        <v>212</v>
      </c>
      <c r="AD185">
        <v>0</v>
      </c>
      <c r="AE185">
        <v>1588</v>
      </c>
      <c r="AF185">
        <v>1526</v>
      </c>
      <c r="AG185">
        <v>5.2249999999999996</v>
      </c>
      <c r="AK185" t="str">
        <f t="shared" si="2"/>
        <v>HP597-5000</v>
      </c>
    </row>
    <row r="186" spans="1:37" ht="15">
      <c r="A186" t="s">
        <v>1017</v>
      </c>
      <c r="B186" t="s">
        <v>1018</v>
      </c>
      <c r="C186" t="s">
        <v>267</v>
      </c>
      <c r="D186" t="s">
        <v>1019</v>
      </c>
      <c r="E186">
        <v>65</v>
      </c>
      <c r="F186">
        <v>2.2999999999999998</v>
      </c>
      <c r="G186">
        <v>0</v>
      </c>
      <c r="H186">
        <v>85</v>
      </c>
      <c r="I186">
        <v>43</v>
      </c>
      <c r="J186">
        <v>21</v>
      </c>
      <c r="K186">
        <v>778</v>
      </c>
      <c r="L186">
        <v>163</v>
      </c>
      <c r="M186">
        <v>0</v>
      </c>
      <c r="N186">
        <v>0</v>
      </c>
      <c r="O186">
        <v>0</v>
      </c>
      <c r="P186">
        <v>0</v>
      </c>
      <c r="Q186">
        <v>778</v>
      </c>
      <c r="R186">
        <v>0</v>
      </c>
      <c r="S186">
        <v>0</v>
      </c>
      <c r="T186">
        <v>0</v>
      </c>
      <c r="U186">
        <v>256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256</v>
      </c>
      <c r="AF186">
        <v>0</v>
      </c>
      <c r="AJ186">
        <v>3.1297000000000001</v>
      </c>
      <c r="AK186" t="str">
        <f t="shared" si="2"/>
        <v>HP597-6200</v>
      </c>
    </row>
    <row r="187" spans="1:37" ht="15">
      <c r="A187" t="s">
        <v>1020</v>
      </c>
      <c r="B187" t="s">
        <v>1021</v>
      </c>
      <c r="C187" t="s">
        <v>68</v>
      </c>
      <c r="D187" t="s">
        <v>1022</v>
      </c>
      <c r="E187">
        <v>65</v>
      </c>
      <c r="F187">
        <v>0.4</v>
      </c>
      <c r="G187">
        <v>0</v>
      </c>
      <c r="H187">
        <v>222</v>
      </c>
      <c r="I187">
        <v>136</v>
      </c>
      <c r="J187">
        <v>204</v>
      </c>
      <c r="K187">
        <v>362</v>
      </c>
      <c r="L187">
        <v>149</v>
      </c>
      <c r="M187">
        <v>0</v>
      </c>
      <c r="N187">
        <v>0</v>
      </c>
      <c r="O187">
        <v>0</v>
      </c>
      <c r="P187">
        <v>0</v>
      </c>
      <c r="Q187">
        <v>362</v>
      </c>
      <c r="R187">
        <v>0</v>
      </c>
      <c r="S187">
        <v>187</v>
      </c>
      <c r="T187">
        <v>0</v>
      </c>
      <c r="U187">
        <v>478</v>
      </c>
      <c r="V187">
        <v>150</v>
      </c>
      <c r="W187">
        <v>0</v>
      </c>
      <c r="X187">
        <v>0</v>
      </c>
      <c r="Y187">
        <v>439</v>
      </c>
      <c r="Z187">
        <v>237</v>
      </c>
      <c r="AA187">
        <v>45</v>
      </c>
      <c r="AB187">
        <v>513</v>
      </c>
      <c r="AC187">
        <v>0</v>
      </c>
      <c r="AD187">
        <v>399</v>
      </c>
      <c r="AE187">
        <v>2448</v>
      </c>
      <c r="AF187">
        <v>1610</v>
      </c>
      <c r="AJ187">
        <v>6.9523000000000001</v>
      </c>
      <c r="AK187" t="str">
        <f t="shared" si="2"/>
        <v>HP599-5000</v>
      </c>
    </row>
    <row r="188" spans="1:37" ht="15">
      <c r="A188" t="s">
        <v>1023</v>
      </c>
      <c r="B188" t="s">
        <v>1021</v>
      </c>
      <c r="C188" t="s">
        <v>68</v>
      </c>
      <c r="D188" t="s">
        <v>1024</v>
      </c>
      <c r="E188">
        <v>65</v>
      </c>
      <c r="F188">
        <v>2.1</v>
      </c>
      <c r="G188">
        <v>0</v>
      </c>
      <c r="H188">
        <v>430</v>
      </c>
      <c r="I188">
        <v>336</v>
      </c>
      <c r="J188">
        <v>613</v>
      </c>
      <c r="K188">
        <v>3559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3559</v>
      </c>
      <c r="R188">
        <v>0</v>
      </c>
      <c r="S188">
        <v>255</v>
      </c>
      <c r="T188">
        <v>0</v>
      </c>
      <c r="U188">
        <v>1036</v>
      </c>
      <c r="V188">
        <v>0</v>
      </c>
      <c r="W188">
        <v>723</v>
      </c>
      <c r="X188">
        <v>0</v>
      </c>
      <c r="Y188">
        <v>361</v>
      </c>
      <c r="Z188">
        <v>2393</v>
      </c>
      <c r="AA188">
        <v>0</v>
      </c>
      <c r="AB188">
        <v>485</v>
      </c>
      <c r="AC188">
        <v>1734</v>
      </c>
      <c r="AD188">
        <v>370</v>
      </c>
      <c r="AE188">
        <v>7357</v>
      </c>
      <c r="AF188">
        <v>1001</v>
      </c>
      <c r="AG188">
        <v>6.9523000000000001</v>
      </c>
      <c r="AK188" t="str">
        <f t="shared" si="2"/>
        <v>HP599-6200</v>
      </c>
    </row>
    <row r="189" spans="1:37" ht="15">
      <c r="A189" t="s">
        <v>1025</v>
      </c>
      <c r="B189" t="s">
        <v>1026</v>
      </c>
      <c r="C189" t="s">
        <v>1027</v>
      </c>
      <c r="D189" t="s">
        <v>1028</v>
      </c>
      <c r="E189">
        <v>43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3210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3210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J189">
        <v>4.8846999999999996</v>
      </c>
      <c r="AK189" t="str">
        <f t="shared" si="2"/>
        <v>HP681-5000</v>
      </c>
    </row>
    <row r="190" spans="1:37" ht="15">
      <c r="A190" t="s">
        <v>1029</v>
      </c>
      <c r="B190" t="s">
        <v>1026</v>
      </c>
      <c r="C190" t="s">
        <v>1027</v>
      </c>
      <c r="D190" t="s">
        <v>609</v>
      </c>
      <c r="E190">
        <v>43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2769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2769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J190">
        <v>6.8293999999999997</v>
      </c>
      <c r="AK190" t="str">
        <f t="shared" si="2"/>
        <v>HP681-6200</v>
      </c>
    </row>
    <row r="191" spans="1:37" ht="15">
      <c r="A191" t="s">
        <v>1030</v>
      </c>
      <c r="B191" t="s">
        <v>1031</v>
      </c>
      <c r="C191" t="s">
        <v>1027</v>
      </c>
      <c r="D191" t="s">
        <v>1032</v>
      </c>
      <c r="E191">
        <v>40</v>
      </c>
      <c r="F191">
        <v>2.7</v>
      </c>
      <c r="G191">
        <v>0</v>
      </c>
      <c r="H191">
        <v>35</v>
      </c>
      <c r="I191">
        <v>41</v>
      </c>
      <c r="J191">
        <v>35</v>
      </c>
      <c r="K191">
        <v>376</v>
      </c>
      <c r="L191">
        <v>87</v>
      </c>
      <c r="M191">
        <v>0</v>
      </c>
      <c r="N191">
        <v>0</v>
      </c>
      <c r="O191">
        <v>0</v>
      </c>
      <c r="P191">
        <v>0</v>
      </c>
      <c r="Q191">
        <v>376</v>
      </c>
      <c r="R191">
        <v>0</v>
      </c>
      <c r="S191">
        <v>104</v>
      </c>
      <c r="T191">
        <v>0</v>
      </c>
      <c r="U191">
        <v>0</v>
      </c>
      <c r="V191">
        <v>0</v>
      </c>
      <c r="W191">
        <v>0</v>
      </c>
      <c r="X191">
        <v>143</v>
      </c>
      <c r="Y191">
        <v>0</v>
      </c>
      <c r="Z191">
        <v>178</v>
      </c>
      <c r="AA191">
        <v>0</v>
      </c>
      <c r="AB191">
        <v>0</v>
      </c>
      <c r="AC191">
        <v>0</v>
      </c>
      <c r="AD191">
        <v>0</v>
      </c>
      <c r="AE191">
        <v>425</v>
      </c>
      <c r="AF191">
        <v>0</v>
      </c>
      <c r="AJ191">
        <v>5.4295999999999998</v>
      </c>
      <c r="AK191" t="str">
        <f t="shared" si="2"/>
        <v>HP682-5000</v>
      </c>
    </row>
    <row r="192" spans="1:37" ht="15">
      <c r="A192" t="s">
        <v>1033</v>
      </c>
      <c r="B192" t="s">
        <v>1031</v>
      </c>
      <c r="C192" t="s">
        <v>1027</v>
      </c>
      <c r="D192" t="s">
        <v>1034</v>
      </c>
      <c r="E192">
        <v>40</v>
      </c>
      <c r="F192">
        <v>0</v>
      </c>
      <c r="G192">
        <v>0</v>
      </c>
      <c r="H192">
        <v>0</v>
      </c>
      <c r="I192">
        <v>32</v>
      </c>
      <c r="J192">
        <v>16</v>
      </c>
      <c r="K192">
        <v>2995</v>
      </c>
      <c r="L192">
        <v>86</v>
      </c>
      <c r="M192">
        <v>0</v>
      </c>
      <c r="N192">
        <v>0</v>
      </c>
      <c r="O192">
        <v>0</v>
      </c>
      <c r="P192">
        <v>0</v>
      </c>
      <c r="Q192">
        <v>2995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189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189</v>
      </c>
      <c r="AF192">
        <v>251</v>
      </c>
      <c r="AJ192">
        <v>5.4295999999999998</v>
      </c>
      <c r="AK192" t="str">
        <f t="shared" si="2"/>
        <v>HP682-6200</v>
      </c>
    </row>
    <row r="193" spans="1:37" ht="15">
      <c r="A193" t="s">
        <v>1035</v>
      </c>
      <c r="B193" t="s">
        <v>1036</v>
      </c>
      <c r="C193" t="s">
        <v>313</v>
      </c>
      <c r="D193" t="s">
        <v>1037</v>
      </c>
      <c r="E193">
        <v>50</v>
      </c>
      <c r="F193">
        <v>0</v>
      </c>
      <c r="G193">
        <v>0</v>
      </c>
      <c r="H193">
        <v>31</v>
      </c>
      <c r="I193">
        <v>15</v>
      </c>
      <c r="J193">
        <v>8</v>
      </c>
      <c r="K193">
        <v>0</v>
      </c>
      <c r="L193">
        <v>47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92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92</v>
      </c>
      <c r="AF193">
        <v>204</v>
      </c>
      <c r="AJ193">
        <v>6.5942999999999996</v>
      </c>
      <c r="AK193" t="str">
        <f t="shared" si="2"/>
        <v>HP683-5000</v>
      </c>
    </row>
    <row r="194" spans="1:37" ht="15">
      <c r="A194" t="s">
        <v>1038</v>
      </c>
      <c r="B194" t="s">
        <v>1036</v>
      </c>
      <c r="C194" t="s">
        <v>313</v>
      </c>
      <c r="D194" t="s">
        <v>609</v>
      </c>
      <c r="E194">
        <v>50</v>
      </c>
      <c r="F194">
        <v>0.5</v>
      </c>
      <c r="G194">
        <v>0</v>
      </c>
      <c r="H194">
        <v>132</v>
      </c>
      <c r="I194">
        <v>66</v>
      </c>
      <c r="J194">
        <v>33</v>
      </c>
      <c r="K194">
        <v>289</v>
      </c>
      <c r="L194">
        <v>266</v>
      </c>
      <c r="M194">
        <v>0</v>
      </c>
      <c r="N194">
        <v>0</v>
      </c>
      <c r="O194">
        <v>0</v>
      </c>
      <c r="P194">
        <v>0</v>
      </c>
      <c r="Q194">
        <v>289</v>
      </c>
      <c r="R194">
        <v>0</v>
      </c>
      <c r="S194">
        <v>0</v>
      </c>
      <c r="T194">
        <v>396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396</v>
      </c>
      <c r="AF194">
        <v>299</v>
      </c>
      <c r="AJ194">
        <v>6.6555</v>
      </c>
      <c r="AK194" t="str">
        <f t="shared" si="2"/>
        <v>HP683-6200</v>
      </c>
    </row>
    <row r="195" spans="1:37" ht="15">
      <c r="A195" t="s">
        <v>1039</v>
      </c>
      <c r="B195" t="s">
        <v>1040</v>
      </c>
      <c r="C195" t="s">
        <v>313</v>
      </c>
      <c r="D195" t="s">
        <v>1037</v>
      </c>
      <c r="E195">
        <v>45</v>
      </c>
      <c r="F195">
        <v>0</v>
      </c>
      <c r="G195">
        <v>0</v>
      </c>
      <c r="H195">
        <v>0</v>
      </c>
      <c r="I195">
        <v>0</v>
      </c>
      <c r="J195">
        <v>89</v>
      </c>
      <c r="K195">
        <v>646</v>
      </c>
      <c r="L195">
        <v>45</v>
      </c>
      <c r="M195">
        <v>0</v>
      </c>
      <c r="N195">
        <v>0</v>
      </c>
      <c r="O195">
        <v>0</v>
      </c>
      <c r="P195">
        <v>0</v>
      </c>
      <c r="Q195">
        <v>646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302</v>
      </c>
      <c r="Z195">
        <v>141</v>
      </c>
      <c r="AA195">
        <v>238</v>
      </c>
      <c r="AB195">
        <v>186</v>
      </c>
      <c r="AC195">
        <v>0</v>
      </c>
      <c r="AD195">
        <v>206</v>
      </c>
      <c r="AE195">
        <v>1073</v>
      </c>
      <c r="AF195">
        <v>320</v>
      </c>
      <c r="AG195">
        <v>7.0250000000000004</v>
      </c>
      <c r="AK195" t="str">
        <f t="shared" si="2"/>
        <v>HP684-5000</v>
      </c>
    </row>
    <row r="196" spans="1:37" ht="15">
      <c r="A196" t="s">
        <v>6209</v>
      </c>
      <c r="B196" t="s">
        <v>4518</v>
      </c>
      <c r="C196" t="s">
        <v>313</v>
      </c>
      <c r="D196" t="s">
        <v>4519</v>
      </c>
      <c r="E196">
        <v>45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1211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1211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J196">
        <v>6.0209999999999999</v>
      </c>
      <c r="AK196" t="str">
        <f t="shared" si="2"/>
        <v>HP685-6200</v>
      </c>
    </row>
    <row r="197" spans="1:37" ht="15">
      <c r="A197" t="s">
        <v>6210</v>
      </c>
      <c r="B197" t="s">
        <v>1043</v>
      </c>
      <c r="C197" t="s">
        <v>313</v>
      </c>
      <c r="D197" t="s">
        <v>609</v>
      </c>
      <c r="E197">
        <v>45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350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350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J197">
        <v>5.2515000000000001</v>
      </c>
      <c r="AK197" t="str">
        <f t="shared" ref="AK197:AK260" si="3">MID(A197,4,10)</f>
        <v>HP686-6200</v>
      </c>
    </row>
    <row r="198" spans="1:37" ht="15">
      <c r="A198" t="s">
        <v>1044</v>
      </c>
      <c r="B198" t="s">
        <v>1045</v>
      </c>
      <c r="C198" t="s">
        <v>275</v>
      </c>
      <c r="D198" t="s">
        <v>1046</v>
      </c>
      <c r="E198">
        <v>43</v>
      </c>
      <c r="F198">
        <v>0.2</v>
      </c>
      <c r="G198">
        <v>1765</v>
      </c>
      <c r="H198">
        <v>525</v>
      </c>
      <c r="I198">
        <v>285</v>
      </c>
      <c r="J198">
        <v>211</v>
      </c>
      <c r="K198">
        <v>1901</v>
      </c>
      <c r="L198">
        <v>575</v>
      </c>
      <c r="M198">
        <v>0</v>
      </c>
      <c r="N198">
        <v>1470</v>
      </c>
      <c r="O198">
        <v>0</v>
      </c>
      <c r="P198">
        <v>0</v>
      </c>
      <c r="Q198">
        <v>431</v>
      </c>
      <c r="R198">
        <v>0</v>
      </c>
      <c r="S198">
        <v>0</v>
      </c>
      <c r="T198">
        <v>1575</v>
      </c>
      <c r="U198">
        <v>0</v>
      </c>
      <c r="V198">
        <v>0</v>
      </c>
      <c r="W198">
        <v>132</v>
      </c>
      <c r="X198">
        <v>0</v>
      </c>
      <c r="Y198">
        <v>0</v>
      </c>
      <c r="Z198">
        <v>0</v>
      </c>
      <c r="AA198">
        <v>293</v>
      </c>
      <c r="AB198">
        <v>134</v>
      </c>
      <c r="AC198">
        <v>0</v>
      </c>
      <c r="AD198">
        <v>398</v>
      </c>
      <c r="AE198">
        <v>2532</v>
      </c>
      <c r="AF198">
        <v>525</v>
      </c>
      <c r="AJ198">
        <v>6.4547999999999996</v>
      </c>
      <c r="AK198" t="str">
        <f t="shared" si="3"/>
        <v>HP687-5000</v>
      </c>
    </row>
    <row r="199" spans="1:37" ht="15">
      <c r="A199" t="s">
        <v>1047</v>
      </c>
      <c r="B199" t="s">
        <v>1045</v>
      </c>
      <c r="C199" t="s">
        <v>275</v>
      </c>
      <c r="D199" t="s">
        <v>1048</v>
      </c>
      <c r="E199">
        <v>43</v>
      </c>
      <c r="F199">
        <v>0</v>
      </c>
      <c r="G199">
        <v>0</v>
      </c>
      <c r="H199">
        <v>0</v>
      </c>
      <c r="I199">
        <v>124</v>
      </c>
      <c r="J199">
        <v>106</v>
      </c>
      <c r="K199">
        <v>574</v>
      </c>
      <c r="L199">
        <v>93</v>
      </c>
      <c r="M199">
        <v>0</v>
      </c>
      <c r="N199">
        <v>0</v>
      </c>
      <c r="O199">
        <v>0</v>
      </c>
      <c r="P199">
        <v>0</v>
      </c>
      <c r="Q199">
        <v>574</v>
      </c>
      <c r="R199">
        <v>0</v>
      </c>
      <c r="S199">
        <v>0</v>
      </c>
      <c r="T199">
        <v>0</v>
      </c>
      <c r="U199">
        <v>0</v>
      </c>
      <c r="V199">
        <v>90</v>
      </c>
      <c r="W199">
        <v>380</v>
      </c>
      <c r="X199">
        <v>275</v>
      </c>
      <c r="Y199">
        <v>0</v>
      </c>
      <c r="Z199">
        <v>100</v>
      </c>
      <c r="AA199">
        <v>150</v>
      </c>
      <c r="AB199">
        <v>106</v>
      </c>
      <c r="AC199">
        <v>0</v>
      </c>
      <c r="AD199">
        <v>170</v>
      </c>
      <c r="AE199">
        <v>1271</v>
      </c>
      <c r="AF199">
        <v>1246</v>
      </c>
      <c r="AJ199">
        <v>7.6753999999999998</v>
      </c>
      <c r="AK199" t="str">
        <f t="shared" si="3"/>
        <v>HP687-6200</v>
      </c>
    </row>
    <row r="200" spans="1:37" ht="15">
      <c r="A200" t="s">
        <v>1049</v>
      </c>
      <c r="B200" t="s">
        <v>1050</v>
      </c>
      <c r="C200" t="s">
        <v>275</v>
      </c>
      <c r="D200" t="s">
        <v>1051</v>
      </c>
      <c r="E200">
        <v>45</v>
      </c>
      <c r="F200">
        <v>0</v>
      </c>
      <c r="G200">
        <v>0</v>
      </c>
      <c r="H200">
        <v>0</v>
      </c>
      <c r="I200">
        <v>0</v>
      </c>
      <c r="J200">
        <v>60</v>
      </c>
      <c r="K200">
        <v>1250</v>
      </c>
      <c r="L200">
        <v>14</v>
      </c>
      <c r="M200">
        <v>0</v>
      </c>
      <c r="N200">
        <v>0</v>
      </c>
      <c r="O200">
        <v>0</v>
      </c>
      <c r="P200">
        <v>0</v>
      </c>
      <c r="Q200">
        <v>1250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280</v>
      </c>
      <c r="AD200">
        <v>439</v>
      </c>
      <c r="AE200">
        <v>719</v>
      </c>
      <c r="AF200">
        <v>2063</v>
      </c>
      <c r="AJ200">
        <v>7.4215999999999998</v>
      </c>
      <c r="AK200" t="str">
        <f t="shared" si="3"/>
        <v>HP688-5000</v>
      </c>
    </row>
    <row r="201" spans="1:37" ht="15">
      <c r="A201" t="s">
        <v>1052</v>
      </c>
      <c r="B201" t="s">
        <v>1050</v>
      </c>
      <c r="C201" t="s">
        <v>275</v>
      </c>
      <c r="D201" t="s">
        <v>1051</v>
      </c>
      <c r="E201">
        <v>45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163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163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926</v>
      </c>
      <c r="AJ201">
        <v>7.7374000000000001</v>
      </c>
      <c r="AK201" t="str">
        <f t="shared" si="3"/>
        <v>HP688-6200</v>
      </c>
    </row>
    <row r="202" spans="1:37" ht="15">
      <c r="A202" t="s">
        <v>1053</v>
      </c>
      <c r="B202" t="s">
        <v>1054</v>
      </c>
      <c r="C202" t="s">
        <v>275</v>
      </c>
      <c r="D202" t="s">
        <v>609</v>
      </c>
      <c r="E202">
        <v>43</v>
      </c>
      <c r="F202">
        <v>0</v>
      </c>
      <c r="G202">
        <v>0</v>
      </c>
      <c r="H202">
        <v>0</v>
      </c>
      <c r="I202">
        <v>0</v>
      </c>
      <c r="J202">
        <v>57</v>
      </c>
      <c r="K202">
        <v>1990</v>
      </c>
      <c r="L202">
        <v>56</v>
      </c>
      <c r="M202">
        <v>0</v>
      </c>
      <c r="N202">
        <v>0</v>
      </c>
      <c r="O202">
        <v>0</v>
      </c>
      <c r="P202">
        <v>0</v>
      </c>
      <c r="Q202">
        <v>1990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219</v>
      </c>
      <c r="Z202">
        <v>0</v>
      </c>
      <c r="AA202">
        <v>464</v>
      </c>
      <c r="AB202">
        <v>0</v>
      </c>
      <c r="AC202">
        <v>0</v>
      </c>
      <c r="AD202">
        <v>0</v>
      </c>
      <c r="AE202">
        <v>683</v>
      </c>
      <c r="AF202">
        <v>1283</v>
      </c>
      <c r="AJ202">
        <v>7.8750999999999998</v>
      </c>
      <c r="AK202" t="str">
        <f t="shared" si="3"/>
        <v>HP689-5000</v>
      </c>
    </row>
    <row r="203" spans="1:37" ht="15">
      <c r="A203" t="s">
        <v>1056</v>
      </c>
      <c r="B203" t="s">
        <v>1057</v>
      </c>
      <c r="C203" t="s">
        <v>275</v>
      </c>
      <c r="D203" t="s">
        <v>609</v>
      </c>
      <c r="E203">
        <v>50</v>
      </c>
      <c r="F203">
        <v>0</v>
      </c>
      <c r="G203">
        <v>0</v>
      </c>
      <c r="H203">
        <v>87</v>
      </c>
      <c r="I203">
        <v>114</v>
      </c>
      <c r="J203">
        <v>105</v>
      </c>
      <c r="K203">
        <v>0</v>
      </c>
      <c r="L203">
        <v>140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260</v>
      </c>
      <c r="T203">
        <v>0</v>
      </c>
      <c r="U203">
        <v>0</v>
      </c>
      <c r="V203">
        <v>249</v>
      </c>
      <c r="W203">
        <v>0</v>
      </c>
      <c r="X203">
        <v>172</v>
      </c>
      <c r="Y203">
        <v>0</v>
      </c>
      <c r="Z203">
        <v>0</v>
      </c>
      <c r="AA203">
        <v>103</v>
      </c>
      <c r="AB203">
        <v>205</v>
      </c>
      <c r="AC203">
        <v>136</v>
      </c>
      <c r="AD203">
        <v>136</v>
      </c>
      <c r="AE203">
        <v>1261</v>
      </c>
      <c r="AF203">
        <v>926</v>
      </c>
      <c r="AG203">
        <v>8.3257999999999992</v>
      </c>
      <c r="AK203" t="str">
        <f t="shared" si="3"/>
        <v>HP690-5000</v>
      </c>
    </row>
    <row r="204" spans="1:37" ht="15">
      <c r="A204" t="s">
        <v>4520</v>
      </c>
      <c r="B204" t="s">
        <v>1057</v>
      </c>
      <c r="C204" t="s">
        <v>275</v>
      </c>
      <c r="D204" t="s">
        <v>609</v>
      </c>
      <c r="E204">
        <v>50</v>
      </c>
      <c r="F204">
        <v>0</v>
      </c>
      <c r="G204">
        <v>0</v>
      </c>
      <c r="H204">
        <v>0</v>
      </c>
      <c r="I204">
        <v>32</v>
      </c>
      <c r="J204">
        <v>16</v>
      </c>
      <c r="K204">
        <v>274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274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190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190</v>
      </c>
      <c r="AF204">
        <v>0</v>
      </c>
      <c r="AG204">
        <v>8.8463999999999992</v>
      </c>
      <c r="AK204" t="str">
        <f t="shared" si="3"/>
        <v>HP690-6200</v>
      </c>
    </row>
    <row r="205" spans="1:37" ht="15">
      <c r="A205" t="s">
        <v>1061</v>
      </c>
      <c r="B205" t="s">
        <v>1062</v>
      </c>
      <c r="C205" t="s">
        <v>110</v>
      </c>
      <c r="D205" t="s">
        <v>1063</v>
      </c>
      <c r="E205">
        <v>45</v>
      </c>
      <c r="F205">
        <v>7</v>
      </c>
      <c r="G205">
        <v>0</v>
      </c>
      <c r="H205">
        <v>47</v>
      </c>
      <c r="I205">
        <v>41</v>
      </c>
      <c r="J205">
        <v>43</v>
      </c>
      <c r="K205">
        <v>1320</v>
      </c>
      <c r="L205">
        <v>12</v>
      </c>
      <c r="M205">
        <v>0</v>
      </c>
      <c r="N205">
        <v>0</v>
      </c>
      <c r="O205">
        <v>0</v>
      </c>
      <c r="P205">
        <v>0</v>
      </c>
      <c r="Q205">
        <v>1320</v>
      </c>
      <c r="R205">
        <v>0</v>
      </c>
      <c r="S205">
        <v>0</v>
      </c>
      <c r="T205">
        <v>0</v>
      </c>
      <c r="U205">
        <v>142</v>
      </c>
      <c r="V205">
        <v>0</v>
      </c>
      <c r="W205">
        <v>102</v>
      </c>
      <c r="X205">
        <v>0</v>
      </c>
      <c r="Y205">
        <v>0</v>
      </c>
      <c r="Z205">
        <v>0</v>
      </c>
      <c r="AA205">
        <v>168</v>
      </c>
      <c r="AB205">
        <v>0</v>
      </c>
      <c r="AC205">
        <v>98</v>
      </c>
      <c r="AD205">
        <v>0</v>
      </c>
      <c r="AE205">
        <v>510</v>
      </c>
      <c r="AF205">
        <v>2045</v>
      </c>
      <c r="AJ205">
        <v>5.3137999999999996</v>
      </c>
      <c r="AK205" t="str">
        <f t="shared" si="3"/>
        <v>HP767-5000</v>
      </c>
    </row>
    <row r="206" spans="1:37" ht="15">
      <c r="A206" t="s">
        <v>1064</v>
      </c>
      <c r="B206" t="s">
        <v>1062</v>
      </c>
      <c r="C206" t="s">
        <v>110</v>
      </c>
      <c r="D206" t="s">
        <v>1063</v>
      </c>
      <c r="E206">
        <v>45</v>
      </c>
      <c r="F206">
        <v>2.6</v>
      </c>
      <c r="G206">
        <v>0</v>
      </c>
      <c r="H206">
        <v>497</v>
      </c>
      <c r="I206">
        <v>441</v>
      </c>
      <c r="J206">
        <v>456</v>
      </c>
      <c r="K206">
        <v>5085</v>
      </c>
      <c r="L206">
        <v>868</v>
      </c>
      <c r="M206">
        <v>0</v>
      </c>
      <c r="N206">
        <v>0</v>
      </c>
      <c r="O206">
        <v>0</v>
      </c>
      <c r="P206">
        <v>0</v>
      </c>
      <c r="Q206">
        <v>5085</v>
      </c>
      <c r="R206">
        <v>0</v>
      </c>
      <c r="S206">
        <v>1182</v>
      </c>
      <c r="T206">
        <v>94</v>
      </c>
      <c r="U206">
        <v>214</v>
      </c>
      <c r="V206">
        <v>441</v>
      </c>
      <c r="W206">
        <v>535</v>
      </c>
      <c r="X206">
        <v>178</v>
      </c>
      <c r="Y206">
        <v>0</v>
      </c>
      <c r="Z206">
        <v>810</v>
      </c>
      <c r="AA206">
        <v>1121</v>
      </c>
      <c r="AB206">
        <v>398</v>
      </c>
      <c r="AC206">
        <v>280</v>
      </c>
      <c r="AD206">
        <v>221</v>
      </c>
      <c r="AE206">
        <v>5474</v>
      </c>
      <c r="AF206">
        <v>8726</v>
      </c>
      <c r="AG206">
        <v>5.3137999999999996</v>
      </c>
      <c r="AK206" t="str">
        <f t="shared" si="3"/>
        <v>HP767-6200</v>
      </c>
    </row>
    <row r="207" spans="1:37" ht="15">
      <c r="A207" t="s">
        <v>1067</v>
      </c>
      <c r="B207" t="s">
        <v>1066</v>
      </c>
      <c r="C207" t="s">
        <v>110</v>
      </c>
      <c r="D207" t="s">
        <v>1068</v>
      </c>
      <c r="E207">
        <v>50</v>
      </c>
      <c r="F207">
        <v>0</v>
      </c>
      <c r="G207">
        <v>0</v>
      </c>
      <c r="H207">
        <v>0</v>
      </c>
      <c r="I207">
        <v>263</v>
      </c>
      <c r="J207">
        <v>264</v>
      </c>
      <c r="K207">
        <v>203</v>
      </c>
      <c r="L207">
        <v>72</v>
      </c>
      <c r="M207">
        <v>0</v>
      </c>
      <c r="N207">
        <v>0</v>
      </c>
      <c r="O207">
        <v>0</v>
      </c>
      <c r="P207">
        <v>0</v>
      </c>
      <c r="Q207">
        <v>203</v>
      </c>
      <c r="R207">
        <v>0</v>
      </c>
      <c r="S207">
        <v>0</v>
      </c>
      <c r="T207">
        <v>0</v>
      </c>
      <c r="U207">
        <v>0</v>
      </c>
      <c r="V207">
        <v>300</v>
      </c>
      <c r="W207">
        <v>554</v>
      </c>
      <c r="X207">
        <v>721</v>
      </c>
      <c r="Y207">
        <v>164</v>
      </c>
      <c r="Z207">
        <v>326</v>
      </c>
      <c r="AA207">
        <v>270</v>
      </c>
      <c r="AB207">
        <v>420</v>
      </c>
      <c r="AC207">
        <v>0</v>
      </c>
      <c r="AD207">
        <v>412</v>
      </c>
      <c r="AE207">
        <v>3167</v>
      </c>
      <c r="AF207">
        <v>5464</v>
      </c>
      <c r="AG207">
        <v>5.7046000000000001</v>
      </c>
      <c r="AK207" t="str">
        <f t="shared" si="3"/>
        <v>HP819-6200</v>
      </c>
    </row>
    <row r="208" spans="1:37" ht="15">
      <c r="A208" t="s">
        <v>6211</v>
      </c>
      <c r="B208" t="s">
        <v>1070</v>
      </c>
      <c r="C208" t="s">
        <v>110</v>
      </c>
      <c r="D208" t="s">
        <v>4521</v>
      </c>
      <c r="E208">
        <v>50</v>
      </c>
      <c r="F208">
        <v>0</v>
      </c>
      <c r="G208">
        <v>0</v>
      </c>
      <c r="H208">
        <v>0</v>
      </c>
      <c r="I208">
        <v>0</v>
      </c>
      <c r="J208">
        <v>24</v>
      </c>
      <c r="K208">
        <v>508</v>
      </c>
      <c r="L208">
        <v>44</v>
      </c>
      <c r="M208">
        <v>0</v>
      </c>
      <c r="N208">
        <v>0</v>
      </c>
      <c r="O208">
        <v>0</v>
      </c>
      <c r="P208">
        <v>0</v>
      </c>
      <c r="Q208">
        <v>508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78</v>
      </c>
      <c r="AD208">
        <v>212</v>
      </c>
      <c r="AE208">
        <v>290</v>
      </c>
      <c r="AF208">
        <v>190</v>
      </c>
      <c r="AJ208">
        <v>6.0050999999999997</v>
      </c>
      <c r="AK208" t="str">
        <f t="shared" si="3"/>
        <v>HP821-5000</v>
      </c>
    </row>
    <row r="209" spans="1:37" ht="15">
      <c r="A209" t="s">
        <v>1069</v>
      </c>
      <c r="B209" t="s">
        <v>1070</v>
      </c>
      <c r="C209" t="s">
        <v>110</v>
      </c>
      <c r="D209" t="s">
        <v>1071</v>
      </c>
      <c r="E209">
        <v>50</v>
      </c>
      <c r="F209">
        <v>0</v>
      </c>
      <c r="G209">
        <v>67</v>
      </c>
      <c r="H209">
        <v>588</v>
      </c>
      <c r="I209">
        <v>507</v>
      </c>
      <c r="J209">
        <v>504</v>
      </c>
      <c r="K209">
        <v>0</v>
      </c>
      <c r="L209">
        <v>561</v>
      </c>
      <c r="M209">
        <v>0</v>
      </c>
      <c r="N209">
        <v>56</v>
      </c>
      <c r="O209">
        <v>0</v>
      </c>
      <c r="P209">
        <v>0</v>
      </c>
      <c r="Q209">
        <v>-56</v>
      </c>
      <c r="R209">
        <v>0</v>
      </c>
      <c r="S209">
        <v>562</v>
      </c>
      <c r="T209">
        <v>0</v>
      </c>
      <c r="U209">
        <v>1202</v>
      </c>
      <c r="V209">
        <v>304</v>
      </c>
      <c r="W209">
        <v>181</v>
      </c>
      <c r="X209">
        <v>791</v>
      </c>
      <c r="Y209">
        <v>0</v>
      </c>
      <c r="Z209">
        <v>783</v>
      </c>
      <c r="AA209">
        <v>665</v>
      </c>
      <c r="AB209">
        <v>816</v>
      </c>
      <c r="AC209">
        <v>321</v>
      </c>
      <c r="AD209">
        <v>424</v>
      </c>
      <c r="AE209">
        <v>6049</v>
      </c>
      <c r="AF209">
        <v>3721</v>
      </c>
      <c r="AJ209">
        <v>6.0050999999999997</v>
      </c>
      <c r="AK209" t="str">
        <f t="shared" si="3"/>
        <v>HP821-6200</v>
      </c>
    </row>
    <row r="210" spans="1:37" ht="15">
      <c r="A210" t="s">
        <v>1074</v>
      </c>
      <c r="B210" t="s">
        <v>1073</v>
      </c>
      <c r="C210" t="s">
        <v>110</v>
      </c>
      <c r="D210" t="s">
        <v>609</v>
      </c>
      <c r="E210">
        <v>50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473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473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J210">
        <v>5.6021000000000001</v>
      </c>
      <c r="AK210" t="str">
        <f t="shared" si="3"/>
        <v>HP898-6200</v>
      </c>
    </row>
    <row r="211" spans="1:37" ht="15">
      <c r="A211" t="s">
        <v>6212</v>
      </c>
      <c r="B211" t="s">
        <v>1086</v>
      </c>
      <c r="E211">
        <v>43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89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89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J211">
        <v>2.0000000000000001E-4</v>
      </c>
      <c r="AK211" t="str">
        <f t="shared" si="3"/>
        <v>K2033-6200</v>
      </c>
    </row>
    <row r="212" spans="1:37" ht="15">
      <c r="A212" t="s">
        <v>6213</v>
      </c>
      <c r="B212" t="s">
        <v>1092</v>
      </c>
      <c r="C212" t="s">
        <v>110</v>
      </c>
      <c r="E212">
        <v>43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182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182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J212">
        <v>0</v>
      </c>
      <c r="AK212" t="str">
        <f t="shared" si="3"/>
        <v>K8019-5000</v>
      </c>
    </row>
    <row r="213" spans="1:37" ht="15">
      <c r="A213" t="s">
        <v>6214</v>
      </c>
      <c r="B213" t="s">
        <v>4522</v>
      </c>
      <c r="C213" t="s">
        <v>275</v>
      </c>
      <c r="E213">
        <v>43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1002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1002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J213">
        <v>0</v>
      </c>
      <c r="AK213" t="str">
        <f t="shared" si="3"/>
        <v>K8021-6200</v>
      </c>
    </row>
    <row r="214" spans="1:37" ht="15">
      <c r="A214" t="s">
        <v>6215</v>
      </c>
      <c r="B214" t="s">
        <v>4523</v>
      </c>
      <c r="C214" t="s">
        <v>110</v>
      </c>
      <c r="E214">
        <v>43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321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321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 t="str">
        <f t="shared" si="3"/>
        <v>K8022-5000</v>
      </c>
    </row>
    <row r="215" spans="1:37" ht="15">
      <c r="A215" t="s">
        <v>6216</v>
      </c>
      <c r="B215" t="s">
        <v>4523</v>
      </c>
      <c r="C215" t="s">
        <v>110</v>
      </c>
      <c r="E215">
        <v>43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1303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1303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J215">
        <v>0</v>
      </c>
      <c r="AK215" t="str">
        <f t="shared" si="3"/>
        <v>K8022-6200</v>
      </c>
    </row>
    <row r="216" spans="1:37" ht="15">
      <c r="A216" t="s">
        <v>6217</v>
      </c>
      <c r="B216" t="s">
        <v>4524</v>
      </c>
      <c r="C216" t="s">
        <v>68</v>
      </c>
      <c r="E216">
        <v>55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3700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3700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158</v>
      </c>
      <c r="AJ216">
        <v>0</v>
      </c>
      <c r="AK216" t="str">
        <f t="shared" si="3"/>
        <v>K8030-6200</v>
      </c>
    </row>
    <row r="217" spans="1:37" ht="15">
      <c r="A217" t="s">
        <v>6218</v>
      </c>
      <c r="B217" t="s">
        <v>4525</v>
      </c>
      <c r="C217" t="s">
        <v>110</v>
      </c>
      <c r="E217">
        <v>43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548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548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J217">
        <v>0</v>
      </c>
      <c r="AK217" t="str">
        <f t="shared" si="3"/>
        <v>K8032-5000</v>
      </c>
    </row>
    <row r="218" spans="1:37" ht="15">
      <c r="A218" t="s">
        <v>6219</v>
      </c>
      <c r="B218" t="s">
        <v>4526</v>
      </c>
      <c r="E218">
        <v>50</v>
      </c>
      <c r="F218">
        <v>0</v>
      </c>
      <c r="G218">
        <v>2721</v>
      </c>
      <c r="H218">
        <v>0</v>
      </c>
      <c r="I218">
        <v>0</v>
      </c>
      <c r="J218">
        <v>0</v>
      </c>
      <c r="K218">
        <v>0</v>
      </c>
      <c r="L218">
        <v>2608</v>
      </c>
      <c r="M218">
        <v>0</v>
      </c>
      <c r="N218">
        <v>2268</v>
      </c>
      <c r="O218">
        <v>0</v>
      </c>
      <c r="P218">
        <v>0</v>
      </c>
      <c r="Q218">
        <v>-2268</v>
      </c>
      <c r="R218">
        <v>1447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J218">
        <v>0</v>
      </c>
      <c r="AK218" t="str">
        <f t="shared" si="3"/>
        <v>K8033-5000</v>
      </c>
    </row>
    <row r="219" spans="1:37" ht="15">
      <c r="A219" t="s">
        <v>6220</v>
      </c>
      <c r="B219" t="s">
        <v>4527</v>
      </c>
      <c r="E219">
        <v>50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1526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1526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J219">
        <v>0</v>
      </c>
      <c r="AK219" t="str">
        <f t="shared" si="3"/>
        <v>K8033-6200</v>
      </c>
    </row>
    <row r="220" spans="1:37" ht="15">
      <c r="A220" t="s">
        <v>6221</v>
      </c>
      <c r="B220" t="s">
        <v>4528</v>
      </c>
      <c r="E220">
        <v>50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2192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2192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J220">
        <v>0</v>
      </c>
      <c r="AK220" t="str">
        <f t="shared" si="3"/>
        <v>K8034-6200</v>
      </c>
    </row>
    <row r="221" spans="1:37" ht="15">
      <c r="A221" t="s">
        <v>6222</v>
      </c>
      <c r="B221" t="s">
        <v>4529</v>
      </c>
      <c r="E221">
        <v>50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140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140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J221">
        <v>0</v>
      </c>
      <c r="AK221" t="str">
        <f t="shared" si="3"/>
        <v>K8035-5000</v>
      </c>
    </row>
    <row r="222" spans="1:37" ht="15">
      <c r="A222" t="s">
        <v>6223</v>
      </c>
      <c r="B222" t="s">
        <v>4530</v>
      </c>
      <c r="E222">
        <v>68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1339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1339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J222">
        <v>0</v>
      </c>
      <c r="AK222" t="str">
        <f t="shared" si="3"/>
        <v>K8036-6200</v>
      </c>
    </row>
    <row r="223" spans="1:37" ht="15">
      <c r="A223" t="s">
        <v>6224</v>
      </c>
      <c r="B223" t="s">
        <v>4531</v>
      </c>
      <c r="E223">
        <v>43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2878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2878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J223">
        <v>0</v>
      </c>
      <c r="AK223" t="str">
        <f t="shared" si="3"/>
        <v>K8037-6200</v>
      </c>
    </row>
    <row r="224" spans="1:37" ht="15">
      <c r="A224" t="s">
        <v>6225</v>
      </c>
      <c r="B224" t="s">
        <v>4532</v>
      </c>
      <c r="E224">
        <v>65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440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440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J224">
        <v>0</v>
      </c>
      <c r="AK224" t="str">
        <f t="shared" si="3"/>
        <v>K8042-5000</v>
      </c>
    </row>
    <row r="225" spans="1:37" ht="15">
      <c r="A225" t="s">
        <v>6226</v>
      </c>
      <c r="B225" t="s">
        <v>4532</v>
      </c>
      <c r="E225">
        <v>65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1154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1154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J225">
        <v>0</v>
      </c>
      <c r="AK225" t="str">
        <f t="shared" si="3"/>
        <v>K8042-6200</v>
      </c>
    </row>
    <row r="226" spans="1:37" ht="15">
      <c r="A226" t="s">
        <v>6227</v>
      </c>
      <c r="B226" t="s">
        <v>4533</v>
      </c>
      <c r="E226">
        <v>50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1301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1301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J226">
        <v>0</v>
      </c>
      <c r="AK226" t="str">
        <f t="shared" si="3"/>
        <v>K9034-5000</v>
      </c>
    </row>
    <row r="227" spans="1:37" ht="15">
      <c r="A227" t="s">
        <v>6228</v>
      </c>
      <c r="B227" t="s">
        <v>4534</v>
      </c>
      <c r="E227">
        <v>43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1075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1075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J227">
        <v>0</v>
      </c>
      <c r="AK227" t="str">
        <f t="shared" si="3"/>
        <v>K9040-5000</v>
      </c>
    </row>
    <row r="228" spans="1:37" ht="15">
      <c r="A228" t="s">
        <v>6229</v>
      </c>
      <c r="B228" t="s">
        <v>4534</v>
      </c>
      <c r="E228">
        <v>43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3940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3940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J228">
        <v>0</v>
      </c>
      <c r="AK228" t="str">
        <f t="shared" si="3"/>
        <v>K9040-6200</v>
      </c>
    </row>
    <row r="229" spans="1:37" ht="15">
      <c r="A229" t="s">
        <v>6230</v>
      </c>
      <c r="B229" t="s">
        <v>4535</v>
      </c>
      <c r="C229" t="s">
        <v>68</v>
      </c>
      <c r="E229">
        <v>55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1537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1537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J229">
        <v>0</v>
      </c>
      <c r="AK229" t="str">
        <f t="shared" si="3"/>
        <v>K9045-6200</v>
      </c>
    </row>
    <row r="230" spans="1:37" ht="15">
      <c r="A230" t="s">
        <v>6231</v>
      </c>
      <c r="B230" t="s">
        <v>1094</v>
      </c>
      <c r="C230" t="s">
        <v>110</v>
      </c>
      <c r="E230">
        <v>65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1498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1498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J230">
        <v>0</v>
      </c>
      <c r="AK230" t="str">
        <f t="shared" si="3"/>
        <v>K9052-5000</v>
      </c>
    </row>
    <row r="231" spans="1:37" ht="15">
      <c r="A231" t="s">
        <v>6232</v>
      </c>
      <c r="B231" t="s">
        <v>1094</v>
      </c>
      <c r="C231" t="s">
        <v>110</v>
      </c>
      <c r="E231">
        <v>65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2671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2671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J231">
        <v>0</v>
      </c>
      <c r="AK231" t="str">
        <f t="shared" si="3"/>
        <v>K9052-6200</v>
      </c>
    </row>
    <row r="232" spans="1:37" ht="15">
      <c r="A232" t="s">
        <v>6233</v>
      </c>
      <c r="B232" t="s">
        <v>4536</v>
      </c>
      <c r="C232" t="s">
        <v>318</v>
      </c>
      <c r="D232" t="s">
        <v>1706</v>
      </c>
      <c r="E232">
        <v>50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772</v>
      </c>
      <c r="L232">
        <v>34</v>
      </c>
      <c r="M232">
        <v>0</v>
      </c>
      <c r="N232">
        <v>0</v>
      </c>
      <c r="O232">
        <v>0</v>
      </c>
      <c r="P232">
        <v>0</v>
      </c>
      <c r="Q232">
        <v>772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716</v>
      </c>
      <c r="AJ232">
        <v>7.9039000000000001</v>
      </c>
      <c r="AK232" t="str">
        <f t="shared" si="3"/>
        <v>KM008-5000</v>
      </c>
    </row>
    <row r="233" spans="1:37" ht="15">
      <c r="A233" t="s">
        <v>6234</v>
      </c>
      <c r="B233" t="s">
        <v>4536</v>
      </c>
      <c r="C233" t="s">
        <v>318</v>
      </c>
      <c r="D233" t="s">
        <v>1706</v>
      </c>
      <c r="E233">
        <v>50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938</v>
      </c>
      <c r="L233">
        <v>100</v>
      </c>
      <c r="M233">
        <v>0</v>
      </c>
      <c r="N233">
        <v>0</v>
      </c>
      <c r="O233">
        <v>0</v>
      </c>
      <c r="P233">
        <v>0</v>
      </c>
      <c r="Q233">
        <v>938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728</v>
      </c>
      <c r="AJ233">
        <v>7.9039000000000001</v>
      </c>
      <c r="AK233" t="str">
        <f t="shared" si="3"/>
        <v>KM008-6200</v>
      </c>
    </row>
    <row r="234" spans="1:37" ht="15">
      <c r="A234" t="s">
        <v>6235</v>
      </c>
      <c r="B234" t="s">
        <v>4537</v>
      </c>
      <c r="C234" t="s">
        <v>313</v>
      </c>
      <c r="E234">
        <v>43</v>
      </c>
      <c r="F234">
        <v>-0.4</v>
      </c>
      <c r="G234">
        <v>201</v>
      </c>
      <c r="H234">
        <v>105</v>
      </c>
      <c r="I234">
        <v>169</v>
      </c>
      <c r="J234">
        <v>126</v>
      </c>
      <c r="K234">
        <v>0</v>
      </c>
      <c r="L234">
        <v>199</v>
      </c>
      <c r="M234">
        <v>0</v>
      </c>
      <c r="N234">
        <v>167</v>
      </c>
      <c r="O234">
        <v>0</v>
      </c>
      <c r="P234">
        <v>0</v>
      </c>
      <c r="Q234">
        <v>-167</v>
      </c>
      <c r="R234">
        <v>380</v>
      </c>
      <c r="S234">
        <v>188</v>
      </c>
      <c r="T234">
        <v>0</v>
      </c>
      <c r="U234">
        <v>128</v>
      </c>
      <c r="V234">
        <v>384</v>
      </c>
      <c r="W234">
        <v>312</v>
      </c>
      <c r="X234">
        <v>0</v>
      </c>
      <c r="Y234">
        <v>0</v>
      </c>
      <c r="Z234">
        <v>384</v>
      </c>
      <c r="AA234">
        <v>0</v>
      </c>
      <c r="AB234">
        <v>0</v>
      </c>
      <c r="AC234">
        <v>111</v>
      </c>
      <c r="AD234">
        <v>0</v>
      </c>
      <c r="AE234">
        <v>1507</v>
      </c>
      <c r="AF234">
        <v>1533</v>
      </c>
      <c r="AJ234">
        <v>6.3548</v>
      </c>
      <c r="AK234" t="str">
        <f t="shared" si="3"/>
        <v>KM033-5000</v>
      </c>
    </row>
    <row r="235" spans="1:37" ht="15">
      <c r="A235" t="s">
        <v>6236</v>
      </c>
      <c r="B235" t="s">
        <v>4537</v>
      </c>
      <c r="C235" t="s">
        <v>313</v>
      </c>
      <c r="E235">
        <v>43</v>
      </c>
      <c r="F235">
        <v>4.5</v>
      </c>
      <c r="G235">
        <v>68</v>
      </c>
      <c r="H235">
        <v>64</v>
      </c>
      <c r="I235">
        <v>129</v>
      </c>
      <c r="J235">
        <v>65</v>
      </c>
      <c r="K235">
        <v>1198</v>
      </c>
      <c r="L235">
        <v>156</v>
      </c>
      <c r="M235">
        <v>0</v>
      </c>
      <c r="N235">
        <v>57</v>
      </c>
      <c r="O235">
        <v>0</v>
      </c>
      <c r="P235">
        <v>0</v>
      </c>
      <c r="Q235">
        <v>1141</v>
      </c>
      <c r="R235">
        <v>202</v>
      </c>
      <c r="S235">
        <v>0</v>
      </c>
      <c r="T235">
        <v>192</v>
      </c>
      <c r="U235">
        <v>0</v>
      </c>
      <c r="V235">
        <v>178</v>
      </c>
      <c r="W235">
        <v>129</v>
      </c>
      <c r="X235">
        <v>277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776</v>
      </c>
      <c r="AF235">
        <v>1584</v>
      </c>
      <c r="AJ235">
        <v>6.0382999999999996</v>
      </c>
      <c r="AK235" t="str">
        <f t="shared" si="3"/>
        <v>KM033-6200</v>
      </c>
    </row>
    <row r="236" spans="1:37" ht="15">
      <c r="A236" t="s">
        <v>3987</v>
      </c>
      <c r="B236" t="s">
        <v>4538</v>
      </c>
      <c r="C236" t="s">
        <v>329</v>
      </c>
      <c r="E236">
        <v>50</v>
      </c>
      <c r="F236">
        <v>-0.1</v>
      </c>
      <c r="G236">
        <v>162</v>
      </c>
      <c r="H236">
        <v>314</v>
      </c>
      <c r="I236">
        <v>357</v>
      </c>
      <c r="J236">
        <v>273</v>
      </c>
      <c r="K236">
        <v>0</v>
      </c>
      <c r="L236">
        <v>449</v>
      </c>
      <c r="M236">
        <v>0</v>
      </c>
      <c r="N236">
        <v>135</v>
      </c>
      <c r="O236">
        <v>0</v>
      </c>
      <c r="P236">
        <v>0</v>
      </c>
      <c r="Q236">
        <v>-135</v>
      </c>
      <c r="R236">
        <v>0</v>
      </c>
      <c r="S236">
        <v>697</v>
      </c>
      <c r="T236">
        <v>0</v>
      </c>
      <c r="U236">
        <v>244</v>
      </c>
      <c r="V236">
        <v>412</v>
      </c>
      <c r="W236">
        <v>148</v>
      </c>
      <c r="X236">
        <v>642</v>
      </c>
      <c r="Y236">
        <v>156</v>
      </c>
      <c r="Z236">
        <v>165</v>
      </c>
      <c r="AA236">
        <v>0</v>
      </c>
      <c r="AB236">
        <v>229</v>
      </c>
      <c r="AC236">
        <v>578</v>
      </c>
      <c r="AD236">
        <v>0</v>
      </c>
      <c r="AE236">
        <v>3271</v>
      </c>
      <c r="AF236">
        <v>2648</v>
      </c>
      <c r="AJ236">
        <v>5.5808999999999997</v>
      </c>
      <c r="AK236" t="str">
        <f t="shared" si="3"/>
        <v>KM034-6200</v>
      </c>
    </row>
    <row r="237" spans="1:37" ht="15">
      <c r="A237" t="s">
        <v>6237</v>
      </c>
      <c r="B237" t="s">
        <v>4539</v>
      </c>
      <c r="C237" t="s">
        <v>68</v>
      </c>
      <c r="E237">
        <v>80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6528</v>
      </c>
      <c r="L237">
        <v>160</v>
      </c>
      <c r="M237">
        <v>0</v>
      </c>
      <c r="N237">
        <v>0</v>
      </c>
      <c r="O237">
        <v>0</v>
      </c>
      <c r="P237">
        <v>0</v>
      </c>
      <c r="Q237">
        <v>6528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13261</v>
      </c>
      <c r="AJ237">
        <v>2.9902000000000002</v>
      </c>
      <c r="AK237" t="str">
        <f t="shared" si="3"/>
        <v>KM035-6200</v>
      </c>
    </row>
    <row r="238" spans="1:37" ht="15">
      <c r="A238" t="s">
        <v>1101</v>
      </c>
      <c r="B238" t="s">
        <v>1102</v>
      </c>
      <c r="C238" t="s">
        <v>313</v>
      </c>
      <c r="E238">
        <v>43</v>
      </c>
      <c r="F238">
        <v>0.1</v>
      </c>
      <c r="G238">
        <v>180</v>
      </c>
      <c r="H238">
        <v>183</v>
      </c>
      <c r="I238">
        <v>172</v>
      </c>
      <c r="J238">
        <v>160</v>
      </c>
      <c r="K238">
        <v>256</v>
      </c>
      <c r="L238">
        <v>419</v>
      </c>
      <c r="M238">
        <v>0</v>
      </c>
      <c r="N238">
        <v>150</v>
      </c>
      <c r="O238">
        <v>0</v>
      </c>
      <c r="P238">
        <v>0</v>
      </c>
      <c r="Q238">
        <v>106</v>
      </c>
      <c r="R238">
        <v>220</v>
      </c>
      <c r="S238">
        <v>208</v>
      </c>
      <c r="T238">
        <v>0</v>
      </c>
      <c r="U238">
        <v>342</v>
      </c>
      <c r="V238">
        <v>152</v>
      </c>
      <c r="W238">
        <v>148</v>
      </c>
      <c r="X238">
        <v>182</v>
      </c>
      <c r="Y238">
        <v>170</v>
      </c>
      <c r="Z238">
        <v>0</v>
      </c>
      <c r="AA238">
        <v>400</v>
      </c>
      <c r="AB238">
        <v>0</v>
      </c>
      <c r="AC238">
        <v>141</v>
      </c>
      <c r="AD238">
        <v>182</v>
      </c>
      <c r="AE238">
        <v>1925</v>
      </c>
      <c r="AF238">
        <v>2264</v>
      </c>
      <c r="AG238">
        <v>8.2375000000000007</v>
      </c>
      <c r="AK238" t="str">
        <f t="shared" si="3"/>
        <v>KM036-6200</v>
      </c>
    </row>
    <row r="239" spans="1:37" ht="15">
      <c r="A239" t="s">
        <v>1110</v>
      </c>
      <c r="B239" t="s">
        <v>1111</v>
      </c>
      <c r="C239" t="s">
        <v>313</v>
      </c>
      <c r="D239" t="s">
        <v>1112</v>
      </c>
      <c r="E239">
        <v>43</v>
      </c>
      <c r="F239">
        <v>3.4</v>
      </c>
      <c r="G239">
        <v>0</v>
      </c>
      <c r="H239">
        <v>148</v>
      </c>
      <c r="I239">
        <v>103</v>
      </c>
      <c r="J239">
        <v>116</v>
      </c>
      <c r="K239">
        <v>2004</v>
      </c>
      <c r="L239">
        <v>80</v>
      </c>
      <c r="M239">
        <v>0</v>
      </c>
      <c r="N239">
        <v>0</v>
      </c>
      <c r="O239">
        <v>0</v>
      </c>
      <c r="P239">
        <v>0</v>
      </c>
      <c r="Q239">
        <v>2004</v>
      </c>
      <c r="R239">
        <v>0</v>
      </c>
      <c r="S239">
        <v>168</v>
      </c>
      <c r="T239">
        <v>0</v>
      </c>
      <c r="U239">
        <v>277</v>
      </c>
      <c r="V239">
        <v>0</v>
      </c>
      <c r="W239">
        <v>171</v>
      </c>
      <c r="X239">
        <v>0</v>
      </c>
      <c r="Y239">
        <v>140</v>
      </c>
      <c r="Z239">
        <v>188</v>
      </c>
      <c r="AA239">
        <v>0</v>
      </c>
      <c r="AB239">
        <v>0</v>
      </c>
      <c r="AC239">
        <v>449</v>
      </c>
      <c r="AD239">
        <v>0</v>
      </c>
      <c r="AE239">
        <v>1393</v>
      </c>
      <c r="AF239">
        <v>1148</v>
      </c>
      <c r="AJ239">
        <v>4.8445</v>
      </c>
      <c r="AK239" t="str">
        <f t="shared" si="3"/>
        <v>KM042-5000</v>
      </c>
    </row>
    <row r="240" spans="1:37" ht="15">
      <c r="A240" t="s">
        <v>1113</v>
      </c>
      <c r="B240" t="s">
        <v>1111</v>
      </c>
      <c r="C240" t="s">
        <v>313</v>
      </c>
      <c r="D240" t="s">
        <v>1112</v>
      </c>
      <c r="E240">
        <v>43</v>
      </c>
      <c r="F240">
        <v>1.4</v>
      </c>
      <c r="G240">
        <v>57</v>
      </c>
      <c r="H240">
        <v>812</v>
      </c>
      <c r="I240">
        <v>917</v>
      </c>
      <c r="J240">
        <v>1131</v>
      </c>
      <c r="K240">
        <v>4759</v>
      </c>
      <c r="L240">
        <v>955</v>
      </c>
      <c r="M240">
        <v>0</v>
      </c>
      <c r="N240">
        <v>48</v>
      </c>
      <c r="O240">
        <v>0</v>
      </c>
      <c r="P240">
        <v>0</v>
      </c>
      <c r="Q240">
        <v>4711</v>
      </c>
      <c r="R240">
        <v>0</v>
      </c>
      <c r="S240">
        <v>1251</v>
      </c>
      <c r="T240">
        <v>348</v>
      </c>
      <c r="U240">
        <v>838</v>
      </c>
      <c r="V240">
        <v>1444</v>
      </c>
      <c r="W240">
        <v>708</v>
      </c>
      <c r="X240">
        <v>913</v>
      </c>
      <c r="Y240">
        <v>713</v>
      </c>
      <c r="Z240">
        <v>1555</v>
      </c>
      <c r="AA240">
        <v>1497</v>
      </c>
      <c r="AB240">
        <v>1543</v>
      </c>
      <c r="AC240">
        <v>2174</v>
      </c>
      <c r="AD240">
        <v>592</v>
      </c>
      <c r="AE240">
        <v>13576</v>
      </c>
      <c r="AF240">
        <v>8989</v>
      </c>
      <c r="AJ240">
        <v>7.2401999999999997</v>
      </c>
      <c r="AK240" t="str">
        <f t="shared" si="3"/>
        <v>KM042-6200</v>
      </c>
    </row>
    <row r="241" spans="1:37" ht="15">
      <c r="A241" t="s">
        <v>1114</v>
      </c>
      <c r="B241" t="s">
        <v>1115</v>
      </c>
      <c r="C241" t="s">
        <v>313</v>
      </c>
      <c r="D241" t="s">
        <v>1112</v>
      </c>
      <c r="E241">
        <v>43</v>
      </c>
      <c r="F241">
        <v>0.6</v>
      </c>
      <c r="G241">
        <v>0</v>
      </c>
      <c r="H241">
        <v>128</v>
      </c>
      <c r="I241">
        <v>94</v>
      </c>
      <c r="J241">
        <v>122</v>
      </c>
      <c r="K241">
        <v>290</v>
      </c>
      <c r="L241">
        <v>99</v>
      </c>
      <c r="M241">
        <v>0</v>
      </c>
      <c r="N241">
        <v>0</v>
      </c>
      <c r="O241">
        <v>0</v>
      </c>
      <c r="P241">
        <v>0</v>
      </c>
      <c r="Q241">
        <v>290</v>
      </c>
      <c r="R241">
        <v>0</v>
      </c>
      <c r="S241">
        <v>288</v>
      </c>
      <c r="T241">
        <v>0</v>
      </c>
      <c r="U241">
        <v>96</v>
      </c>
      <c r="V241">
        <v>80</v>
      </c>
      <c r="W241">
        <v>102</v>
      </c>
      <c r="X241">
        <v>0</v>
      </c>
      <c r="Y241">
        <v>0</v>
      </c>
      <c r="Z241">
        <v>100</v>
      </c>
      <c r="AA241">
        <v>174</v>
      </c>
      <c r="AB241">
        <v>100</v>
      </c>
      <c r="AC241">
        <v>427</v>
      </c>
      <c r="AD241">
        <v>94</v>
      </c>
      <c r="AE241">
        <v>1461</v>
      </c>
      <c r="AF241">
        <v>386</v>
      </c>
      <c r="AJ241">
        <v>6.0021000000000004</v>
      </c>
      <c r="AK241" t="str">
        <f t="shared" si="3"/>
        <v>KM043-5000</v>
      </c>
    </row>
    <row r="242" spans="1:37" ht="15">
      <c r="A242" t="s">
        <v>1116</v>
      </c>
      <c r="B242" t="s">
        <v>1115</v>
      </c>
      <c r="C242" t="s">
        <v>313</v>
      </c>
      <c r="D242" t="s">
        <v>1112</v>
      </c>
      <c r="E242">
        <v>43</v>
      </c>
      <c r="F242">
        <v>4.7</v>
      </c>
      <c r="G242">
        <v>0</v>
      </c>
      <c r="H242">
        <v>298</v>
      </c>
      <c r="I242">
        <v>471</v>
      </c>
      <c r="J242">
        <v>786</v>
      </c>
      <c r="K242">
        <v>5651</v>
      </c>
      <c r="L242">
        <v>215</v>
      </c>
      <c r="M242">
        <v>0</v>
      </c>
      <c r="N242">
        <v>0</v>
      </c>
      <c r="O242">
        <v>0</v>
      </c>
      <c r="P242">
        <v>0</v>
      </c>
      <c r="Q242">
        <v>5651</v>
      </c>
      <c r="R242">
        <v>0</v>
      </c>
      <c r="S242">
        <v>453</v>
      </c>
      <c r="T242">
        <v>0</v>
      </c>
      <c r="U242">
        <v>441</v>
      </c>
      <c r="V242">
        <v>726</v>
      </c>
      <c r="W242">
        <v>1076</v>
      </c>
      <c r="X242">
        <v>128</v>
      </c>
      <c r="Y242">
        <v>406</v>
      </c>
      <c r="Z242">
        <v>1108</v>
      </c>
      <c r="AA242">
        <v>1180</v>
      </c>
      <c r="AB242">
        <v>1890</v>
      </c>
      <c r="AC242">
        <v>1454</v>
      </c>
      <c r="AD242">
        <v>575</v>
      </c>
      <c r="AE242">
        <v>9437</v>
      </c>
      <c r="AF242">
        <v>5337</v>
      </c>
      <c r="AG242">
        <v>6.3026999999999997</v>
      </c>
      <c r="AK242" t="str">
        <f t="shared" si="3"/>
        <v>KM043-6200</v>
      </c>
    </row>
    <row r="243" spans="1:37" ht="15">
      <c r="A243" t="s">
        <v>1117</v>
      </c>
      <c r="B243" t="s">
        <v>1118</v>
      </c>
      <c r="C243" t="s">
        <v>313</v>
      </c>
      <c r="D243" t="s">
        <v>1112</v>
      </c>
      <c r="E243">
        <v>43</v>
      </c>
      <c r="F243">
        <v>16.3</v>
      </c>
      <c r="G243">
        <v>0</v>
      </c>
      <c r="H243">
        <v>18</v>
      </c>
      <c r="I243">
        <v>67</v>
      </c>
      <c r="J243">
        <v>125</v>
      </c>
      <c r="K243">
        <v>1192</v>
      </c>
      <c r="L243">
        <v>17</v>
      </c>
      <c r="M243">
        <v>0</v>
      </c>
      <c r="N243">
        <v>0</v>
      </c>
      <c r="O243">
        <v>0</v>
      </c>
      <c r="P243">
        <v>0</v>
      </c>
      <c r="Q243">
        <v>1192</v>
      </c>
      <c r="R243">
        <v>0</v>
      </c>
      <c r="S243">
        <v>0</v>
      </c>
      <c r="T243">
        <v>0</v>
      </c>
      <c r="U243">
        <v>55</v>
      </c>
      <c r="V243">
        <v>207</v>
      </c>
      <c r="W243">
        <v>0</v>
      </c>
      <c r="X243">
        <v>137</v>
      </c>
      <c r="Y243">
        <v>500</v>
      </c>
      <c r="Z243">
        <v>100</v>
      </c>
      <c r="AA243">
        <v>0</v>
      </c>
      <c r="AB243">
        <v>0</v>
      </c>
      <c r="AC243">
        <v>505</v>
      </c>
      <c r="AD243">
        <v>0</v>
      </c>
      <c r="AE243">
        <v>1504</v>
      </c>
      <c r="AF243">
        <v>563</v>
      </c>
      <c r="AJ243">
        <v>6.6311999999999998</v>
      </c>
      <c r="AK243" t="str">
        <f t="shared" si="3"/>
        <v>KM044-5000</v>
      </c>
    </row>
    <row r="244" spans="1:37" ht="15">
      <c r="A244" t="s">
        <v>1119</v>
      </c>
      <c r="B244" t="s">
        <v>1118</v>
      </c>
      <c r="C244" t="s">
        <v>313</v>
      </c>
      <c r="D244" t="s">
        <v>1112</v>
      </c>
      <c r="E244">
        <v>43</v>
      </c>
      <c r="F244">
        <v>1.5</v>
      </c>
      <c r="G244">
        <v>0</v>
      </c>
      <c r="H244">
        <v>273</v>
      </c>
      <c r="I244">
        <v>502</v>
      </c>
      <c r="J244">
        <v>599</v>
      </c>
      <c r="K244">
        <v>1637</v>
      </c>
      <c r="L244">
        <v>367</v>
      </c>
      <c r="M244">
        <v>0</v>
      </c>
      <c r="N244">
        <v>0</v>
      </c>
      <c r="O244">
        <v>0</v>
      </c>
      <c r="P244">
        <v>0</v>
      </c>
      <c r="Q244">
        <v>1637</v>
      </c>
      <c r="R244">
        <v>0</v>
      </c>
      <c r="S244">
        <v>509</v>
      </c>
      <c r="T244">
        <v>0</v>
      </c>
      <c r="U244">
        <v>310</v>
      </c>
      <c r="V244">
        <v>299</v>
      </c>
      <c r="W244">
        <v>1228</v>
      </c>
      <c r="X244">
        <v>664</v>
      </c>
      <c r="Y244">
        <v>622</v>
      </c>
      <c r="Z244">
        <v>608</v>
      </c>
      <c r="AA244">
        <v>315</v>
      </c>
      <c r="AB244">
        <v>811</v>
      </c>
      <c r="AC244">
        <v>743</v>
      </c>
      <c r="AD244">
        <v>1075</v>
      </c>
      <c r="AE244">
        <v>7184</v>
      </c>
      <c r="AF244">
        <v>4796</v>
      </c>
      <c r="AJ244">
        <v>7.2401999999999997</v>
      </c>
      <c r="AK244" t="str">
        <f t="shared" si="3"/>
        <v>KM044-6200</v>
      </c>
    </row>
    <row r="245" spans="1:37" ht="15">
      <c r="A245" t="s">
        <v>1120</v>
      </c>
      <c r="B245" t="s">
        <v>1121</v>
      </c>
      <c r="C245" t="s">
        <v>313</v>
      </c>
      <c r="D245" t="s">
        <v>1122</v>
      </c>
      <c r="E245">
        <v>43</v>
      </c>
      <c r="F245">
        <v>2.2999999999999998</v>
      </c>
      <c r="G245">
        <v>0</v>
      </c>
      <c r="H245">
        <v>69</v>
      </c>
      <c r="I245">
        <v>53</v>
      </c>
      <c r="J245">
        <v>65</v>
      </c>
      <c r="K245">
        <v>648</v>
      </c>
      <c r="L245">
        <v>96</v>
      </c>
      <c r="M245">
        <v>0</v>
      </c>
      <c r="N245">
        <v>0</v>
      </c>
      <c r="O245">
        <v>0</v>
      </c>
      <c r="P245">
        <v>0</v>
      </c>
      <c r="Q245">
        <v>648</v>
      </c>
      <c r="R245">
        <v>0</v>
      </c>
      <c r="S245">
        <v>112</v>
      </c>
      <c r="T245">
        <v>96</v>
      </c>
      <c r="U245">
        <v>0</v>
      </c>
      <c r="V245">
        <v>0</v>
      </c>
      <c r="W245">
        <v>112</v>
      </c>
      <c r="X245">
        <v>0</v>
      </c>
      <c r="Y245">
        <v>0</v>
      </c>
      <c r="Z245">
        <v>189</v>
      </c>
      <c r="AA245">
        <v>0</v>
      </c>
      <c r="AB245">
        <v>0</v>
      </c>
      <c r="AC245">
        <v>266</v>
      </c>
      <c r="AD245">
        <v>0</v>
      </c>
      <c r="AE245">
        <v>775</v>
      </c>
      <c r="AF245">
        <v>485</v>
      </c>
      <c r="AJ245">
        <v>7.2477999999999998</v>
      </c>
      <c r="AK245" t="str">
        <f t="shared" si="3"/>
        <v>KM045-5000</v>
      </c>
    </row>
    <row r="246" spans="1:37" ht="15">
      <c r="A246" t="s">
        <v>1123</v>
      </c>
      <c r="B246" t="s">
        <v>1121</v>
      </c>
      <c r="C246" t="s">
        <v>313</v>
      </c>
      <c r="D246" t="s">
        <v>1122</v>
      </c>
      <c r="E246">
        <v>43</v>
      </c>
      <c r="F246">
        <v>1.2</v>
      </c>
      <c r="G246">
        <v>0</v>
      </c>
      <c r="H246">
        <v>151</v>
      </c>
      <c r="I246">
        <v>454</v>
      </c>
      <c r="J246">
        <v>390</v>
      </c>
      <c r="K246">
        <v>718</v>
      </c>
      <c r="L246">
        <v>379</v>
      </c>
      <c r="M246">
        <v>0</v>
      </c>
      <c r="N246">
        <v>0</v>
      </c>
      <c r="O246">
        <v>0</v>
      </c>
      <c r="P246">
        <v>0</v>
      </c>
      <c r="Q246">
        <v>718</v>
      </c>
      <c r="R246">
        <v>0</v>
      </c>
      <c r="S246">
        <v>454</v>
      </c>
      <c r="T246">
        <v>0</v>
      </c>
      <c r="U246">
        <v>0</v>
      </c>
      <c r="V246">
        <v>751</v>
      </c>
      <c r="W246">
        <v>1119</v>
      </c>
      <c r="X246">
        <v>400</v>
      </c>
      <c r="Y246">
        <v>500</v>
      </c>
      <c r="Z246">
        <v>447</v>
      </c>
      <c r="AA246">
        <v>413</v>
      </c>
      <c r="AB246">
        <v>0</v>
      </c>
      <c r="AC246">
        <v>477</v>
      </c>
      <c r="AD246">
        <v>124</v>
      </c>
      <c r="AE246">
        <v>4685</v>
      </c>
      <c r="AF246">
        <v>4359</v>
      </c>
      <c r="AJ246">
        <v>6.9332000000000003</v>
      </c>
      <c r="AK246" t="str">
        <f t="shared" si="3"/>
        <v>KM045-6200</v>
      </c>
    </row>
    <row r="247" spans="1:37" ht="15">
      <c r="A247" t="s">
        <v>1127</v>
      </c>
      <c r="B247" t="s">
        <v>1128</v>
      </c>
      <c r="C247" t="s">
        <v>313</v>
      </c>
      <c r="E247">
        <v>43</v>
      </c>
      <c r="F247">
        <v>0</v>
      </c>
      <c r="G247">
        <v>0</v>
      </c>
      <c r="H247">
        <v>67</v>
      </c>
      <c r="I247">
        <v>92</v>
      </c>
      <c r="J247">
        <v>46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200</v>
      </c>
      <c r="V247">
        <v>0</v>
      </c>
      <c r="W247">
        <v>0</v>
      </c>
      <c r="X247">
        <v>352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552</v>
      </c>
      <c r="AF247">
        <v>204</v>
      </c>
      <c r="AG247">
        <v>5.1870000000000003</v>
      </c>
      <c r="AK247" t="str">
        <f t="shared" si="3"/>
        <v>KM047-6200</v>
      </c>
    </row>
    <row r="248" spans="1:37" ht="15">
      <c r="A248" t="s">
        <v>1129</v>
      </c>
      <c r="B248" t="s">
        <v>1130</v>
      </c>
      <c r="C248" t="s">
        <v>313</v>
      </c>
      <c r="E248">
        <v>43</v>
      </c>
      <c r="F248">
        <v>1</v>
      </c>
      <c r="G248">
        <v>0</v>
      </c>
      <c r="H248">
        <v>72</v>
      </c>
      <c r="I248">
        <v>36</v>
      </c>
      <c r="J248">
        <v>18</v>
      </c>
      <c r="K248">
        <v>282</v>
      </c>
      <c r="L248">
        <v>118</v>
      </c>
      <c r="M248">
        <v>0</v>
      </c>
      <c r="N248">
        <v>0</v>
      </c>
      <c r="O248">
        <v>0</v>
      </c>
      <c r="P248">
        <v>0</v>
      </c>
      <c r="Q248">
        <v>282</v>
      </c>
      <c r="R248">
        <v>0</v>
      </c>
      <c r="S248">
        <v>0</v>
      </c>
      <c r="T248">
        <v>0</v>
      </c>
      <c r="U248">
        <v>215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215</v>
      </c>
      <c r="AF248">
        <v>216</v>
      </c>
      <c r="AG248">
        <v>5.1870000000000003</v>
      </c>
      <c r="AK248" t="str">
        <f t="shared" si="3"/>
        <v>KM048-6200</v>
      </c>
    </row>
    <row r="249" spans="1:37" ht="15">
      <c r="A249" t="s">
        <v>1131</v>
      </c>
      <c r="B249" t="s">
        <v>1132</v>
      </c>
      <c r="C249" t="s">
        <v>313</v>
      </c>
      <c r="E249">
        <v>43</v>
      </c>
      <c r="F249">
        <v>0</v>
      </c>
      <c r="G249">
        <v>0</v>
      </c>
      <c r="H249">
        <v>47</v>
      </c>
      <c r="I249">
        <v>23</v>
      </c>
      <c r="J249">
        <v>44</v>
      </c>
      <c r="K249">
        <v>0</v>
      </c>
      <c r="L249">
        <v>80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140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209</v>
      </c>
      <c r="AC249">
        <v>181</v>
      </c>
      <c r="AD249">
        <v>0</v>
      </c>
      <c r="AE249">
        <v>530</v>
      </c>
      <c r="AF249">
        <v>210</v>
      </c>
      <c r="AG249">
        <v>5.1870000000000003</v>
      </c>
      <c r="AK249" t="str">
        <f t="shared" si="3"/>
        <v>KM049-6200</v>
      </c>
    </row>
    <row r="250" spans="1:37" ht="15">
      <c r="A250" t="s">
        <v>3831</v>
      </c>
      <c r="B250" t="s">
        <v>3832</v>
      </c>
      <c r="C250" t="s">
        <v>68</v>
      </c>
      <c r="E250">
        <v>86</v>
      </c>
      <c r="F250">
        <v>-0.1</v>
      </c>
      <c r="G250">
        <v>71</v>
      </c>
      <c r="H250">
        <v>143</v>
      </c>
      <c r="I250">
        <v>72</v>
      </c>
      <c r="J250">
        <v>155</v>
      </c>
      <c r="K250">
        <v>0</v>
      </c>
      <c r="L250">
        <v>5</v>
      </c>
      <c r="M250">
        <v>0</v>
      </c>
      <c r="N250">
        <v>59</v>
      </c>
      <c r="O250">
        <v>0</v>
      </c>
      <c r="P250">
        <v>0</v>
      </c>
      <c r="Q250">
        <v>-59</v>
      </c>
      <c r="R250">
        <v>0</v>
      </c>
      <c r="S250">
        <v>0</v>
      </c>
      <c r="T250">
        <v>0</v>
      </c>
      <c r="U250">
        <v>430</v>
      </c>
      <c r="V250">
        <v>0</v>
      </c>
      <c r="W250">
        <v>0</v>
      </c>
      <c r="X250">
        <v>0</v>
      </c>
      <c r="Y250">
        <v>541</v>
      </c>
      <c r="Z250">
        <v>883</v>
      </c>
      <c r="AA250">
        <v>0</v>
      </c>
      <c r="AB250">
        <v>0</v>
      </c>
      <c r="AC250">
        <v>0</v>
      </c>
      <c r="AD250">
        <v>0</v>
      </c>
      <c r="AE250">
        <v>1854</v>
      </c>
      <c r="AF250">
        <v>0</v>
      </c>
      <c r="AJ250">
        <v>4.5640000000000001</v>
      </c>
      <c r="AK250" t="str">
        <f t="shared" si="3"/>
        <v>KM067-5000</v>
      </c>
    </row>
    <row r="251" spans="1:37" ht="15">
      <c r="A251" t="s">
        <v>3833</v>
      </c>
      <c r="B251" t="s">
        <v>3832</v>
      </c>
      <c r="C251" t="s">
        <v>68</v>
      </c>
      <c r="E251">
        <v>86</v>
      </c>
      <c r="F251">
        <v>0</v>
      </c>
      <c r="G251">
        <v>361</v>
      </c>
      <c r="H251">
        <v>0</v>
      </c>
      <c r="I251">
        <v>391</v>
      </c>
      <c r="J251">
        <v>520</v>
      </c>
      <c r="K251">
        <v>0</v>
      </c>
      <c r="L251">
        <v>504</v>
      </c>
      <c r="M251">
        <v>0</v>
      </c>
      <c r="N251">
        <v>301</v>
      </c>
      <c r="O251">
        <v>0</v>
      </c>
      <c r="P251">
        <v>0</v>
      </c>
      <c r="Q251">
        <v>-301</v>
      </c>
      <c r="R251">
        <v>170</v>
      </c>
      <c r="S251">
        <v>0</v>
      </c>
      <c r="T251">
        <v>0</v>
      </c>
      <c r="U251">
        <v>0</v>
      </c>
      <c r="V251">
        <v>0</v>
      </c>
      <c r="W251">
        <v>915</v>
      </c>
      <c r="X251">
        <v>1430</v>
      </c>
      <c r="Y251">
        <v>632</v>
      </c>
      <c r="Z251">
        <v>1346</v>
      </c>
      <c r="AA251">
        <v>1921</v>
      </c>
      <c r="AB251">
        <v>0</v>
      </c>
      <c r="AC251">
        <v>0</v>
      </c>
      <c r="AD251">
        <v>0</v>
      </c>
      <c r="AE251">
        <v>6244</v>
      </c>
      <c r="AF251">
        <v>0</v>
      </c>
      <c r="AJ251">
        <v>6.3903999999999996</v>
      </c>
      <c r="AK251" t="str">
        <f t="shared" si="3"/>
        <v>KM067-6200</v>
      </c>
    </row>
    <row r="252" spans="1:37" ht="15">
      <c r="A252" t="s">
        <v>1161</v>
      </c>
      <c r="B252" t="s">
        <v>1162</v>
      </c>
      <c r="C252" t="s">
        <v>318</v>
      </c>
      <c r="D252" t="s">
        <v>292</v>
      </c>
      <c r="E252">
        <v>50</v>
      </c>
      <c r="F252">
        <v>0</v>
      </c>
      <c r="G252">
        <v>0</v>
      </c>
      <c r="H252">
        <v>0</v>
      </c>
      <c r="I252">
        <v>28</v>
      </c>
      <c r="J252">
        <v>14</v>
      </c>
      <c r="K252">
        <v>84</v>
      </c>
      <c r="L252">
        <v>34</v>
      </c>
      <c r="M252">
        <v>0</v>
      </c>
      <c r="N252">
        <v>0</v>
      </c>
      <c r="O252">
        <v>0</v>
      </c>
      <c r="P252">
        <v>0</v>
      </c>
      <c r="Q252">
        <v>84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170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170</v>
      </c>
      <c r="AF252">
        <v>177</v>
      </c>
      <c r="AG252">
        <v>7.9124999999999996</v>
      </c>
      <c r="AK252" t="str">
        <f t="shared" si="3"/>
        <v>ME011-5000</v>
      </c>
    </row>
    <row r="253" spans="1:37" ht="15">
      <c r="A253" t="s">
        <v>1270</v>
      </c>
      <c r="B253" t="s">
        <v>1271</v>
      </c>
      <c r="C253" t="s">
        <v>318</v>
      </c>
      <c r="D253" t="s">
        <v>1272</v>
      </c>
      <c r="E253">
        <v>50</v>
      </c>
      <c r="F253">
        <v>0</v>
      </c>
      <c r="G253">
        <v>44</v>
      </c>
      <c r="H253">
        <v>0</v>
      </c>
      <c r="I253">
        <v>0</v>
      </c>
      <c r="J253">
        <v>12</v>
      </c>
      <c r="K253">
        <v>260</v>
      </c>
      <c r="L253">
        <v>0</v>
      </c>
      <c r="M253">
        <v>0</v>
      </c>
      <c r="N253">
        <v>37</v>
      </c>
      <c r="O253">
        <v>0</v>
      </c>
      <c r="P253">
        <v>0</v>
      </c>
      <c r="Q253">
        <v>223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145</v>
      </c>
      <c r="AD253">
        <v>0</v>
      </c>
      <c r="AE253">
        <v>145</v>
      </c>
      <c r="AF253">
        <v>100</v>
      </c>
      <c r="AG253">
        <v>8.1661999999999999</v>
      </c>
      <c r="AK253" t="str">
        <f t="shared" si="3"/>
        <v>PFA39-5000</v>
      </c>
    </row>
    <row r="254" spans="1:37" ht="15">
      <c r="A254" t="s">
        <v>1273</v>
      </c>
      <c r="B254" t="s">
        <v>1271</v>
      </c>
      <c r="C254" t="s">
        <v>318</v>
      </c>
      <c r="D254" t="s">
        <v>1274</v>
      </c>
      <c r="E254">
        <v>50</v>
      </c>
      <c r="F254">
        <v>0</v>
      </c>
      <c r="G254">
        <v>0</v>
      </c>
      <c r="H254">
        <v>44</v>
      </c>
      <c r="I254">
        <v>22</v>
      </c>
      <c r="J254">
        <v>19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133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100</v>
      </c>
      <c r="AB254">
        <v>0</v>
      </c>
      <c r="AC254">
        <v>0</v>
      </c>
      <c r="AD254">
        <v>0</v>
      </c>
      <c r="AE254">
        <v>233</v>
      </c>
      <c r="AF254">
        <v>394</v>
      </c>
      <c r="AG254">
        <v>9.1875</v>
      </c>
      <c r="AK254" t="str">
        <f t="shared" si="3"/>
        <v>PFA39-6200</v>
      </c>
    </row>
    <row r="255" spans="1:37" ht="15">
      <c r="A255" t="s">
        <v>1280</v>
      </c>
      <c r="B255" t="s">
        <v>1281</v>
      </c>
      <c r="C255" t="s">
        <v>318</v>
      </c>
      <c r="D255" t="s">
        <v>1277</v>
      </c>
      <c r="E255">
        <v>50</v>
      </c>
      <c r="F255">
        <v>0</v>
      </c>
      <c r="G255">
        <v>0</v>
      </c>
      <c r="H255">
        <v>148</v>
      </c>
      <c r="I255">
        <v>74</v>
      </c>
      <c r="J255">
        <v>54</v>
      </c>
      <c r="K255">
        <v>0</v>
      </c>
      <c r="L255">
        <v>53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443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208</v>
      </c>
      <c r="AE255">
        <v>651</v>
      </c>
      <c r="AF255">
        <v>614</v>
      </c>
      <c r="AG255">
        <v>8.0997000000000003</v>
      </c>
      <c r="AK255" t="str">
        <f t="shared" si="3"/>
        <v>PFA48-5000</v>
      </c>
    </row>
    <row r="256" spans="1:37" ht="15">
      <c r="A256" t="s">
        <v>1283</v>
      </c>
      <c r="B256" t="s">
        <v>1284</v>
      </c>
      <c r="C256" t="s">
        <v>318</v>
      </c>
      <c r="D256" t="s">
        <v>1277</v>
      </c>
      <c r="E256">
        <v>50</v>
      </c>
      <c r="F256">
        <v>0</v>
      </c>
      <c r="G256">
        <v>0</v>
      </c>
      <c r="H256">
        <v>0</v>
      </c>
      <c r="I256">
        <v>0</v>
      </c>
      <c r="J256">
        <v>10</v>
      </c>
      <c r="K256">
        <v>92</v>
      </c>
      <c r="L256">
        <v>51</v>
      </c>
      <c r="M256">
        <v>0</v>
      </c>
      <c r="N256">
        <v>0</v>
      </c>
      <c r="O256">
        <v>0</v>
      </c>
      <c r="P256">
        <v>0</v>
      </c>
      <c r="Q256">
        <v>92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116</v>
      </c>
      <c r="AC256">
        <v>0</v>
      </c>
      <c r="AD256">
        <v>0</v>
      </c>
      <c r="AE256">
        <v>116</v>
      </c>
      <c r="AF256">
        <v>0</v>
      </c>
      <c r="AJ256">
        <v>6.4242999999999997</v>
      </c>
      <c r="AK256" t="str">
        <f t="shared" si="3"/>
        <v>PFA51-5000</v>
      </c>
    </row>
    <row r="257" spans="1:37" ht="15">
      <c r="A257" t="s">
        <v>1285</v>
      </c>
      <c r="B257" t="s">
        <v>1284</v>
      </c>
      <c r="C257" t="s">
        <v>1076</v>
      </c>
      <c r="D257" t="s">
        <v>1279</v>
      </c>
      <c r="E257">
        <v>50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279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279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 t="s">
        <v>4464</v>
      </c>
      <c r="AH257">
        <v>4</v>
      </c>
      <c r="AI257">
        <v>117</v>
      </c>
      <c r="AJ257">
        <v>6.8795999999999999</v>
      </c>
      <c r="AK257" t="str">
        <f t="shared" si="3"/>
        <v>PFA51-6200</v>
      </c>
    </row>
    <row r="258" spans="1:37" ht="15">
      <c r="A258" t="s">
        <v>1291</v>
      </c>
      <c r="B258" t="s">
        <v>1292</v>
      </c>
      <c r="C258" t="s">
        <v>1076</v>
      </c>
      <c r="D258" t="s">
        <v>1277</v>
      </c>
      <c r="E258">
        <v>55</v>
      </c>
      <c r="F258">
        <v>1</v>
      </c>
      <c r="G258">
        <v>0</v>
      </c>
      <c r="H258">
        <v>279</v>
      </c>
      <c r="I258">
        <v>1071</v>
      </c>
      <c r="J258">
        <v>1148</v>
      </c>
      <c r="K258">
        <v>1093</v>
      </c>
      <c r="L258">
        <v>123</v>
      </c>
      <c r="M258">
        <v>0</v>
      </c>
      <c r="N258">
        <v>0</v>
      </c>
      <c r="O258">
        <v>0</v>
      </c>
      <c r="P258">
        <v>0</v>
      </c>
      <c r="Q258">
        <v>1093</v>
      </c>
      <c r="R258">
        <v>0</v>
      </c>
      <c r="S258">
        <v>0</v>
      </c>
      <c r="T258">
        <v>0</v>
      </c>
      <c r="U258">
        <v>838</v>
      </c>
      <c r="V258">
        <v>1873</v>
      </c>
      <c r="W258">
        <v>3217</v>
      </c>
      <c r="X258">
        <v>499</v>
      </c>
      <c r="Y258">
        <v>2709</v>
      </c>
      <c r="Z258">
        <v>1568</v>
      </c>
      <c r="AA258">
        <v>130</v>
      </c>
      <c r="AB258">
        <v>991</v>
      </c>
      <c r="AC258">
        <v>603</v>
      </c>
      <c r="AD258">
        <v>1345</v>
      </c>
      <c r="AE258">
        <v>13773</v>
      </c>
      <c r="AF258">
        <v>12188</v>
      </c>
      <c r="AG258" t="s">
        <v>4540</v>
      </c>
      <c r="AH258">
        <v>2</v>
      </c>
      <c r="AI258">
        <v>141</v>
      </c>
      <c r="AJ258">
        <v>5.7385999999999999</v>
      </c>
      <c r="AK258" t="str">
        <f t="shared" si="3"/>
        <v>PFA60-5000</v>
      </c>
    </row>
    <row r="259" spans="1:37" ht="15">
      <c r="A259" t="s">
        <v>1293</v>
      </c>
      <c r="B259" t="s">
        <v>1292</v>
      </c>
      <c r="C259" t="s">
        <v>110</v>
      </c>
      <c r="D259" t="s">
        <v>1279</v>
      </c>
      <c r="E259">
        <v>55</v>
      </c>
      <c r="F259">
        <v>1.3</v>
      </c>
      <c r="G259">
        <v>0</v>
      </c>
      <c r="H259">
        <v>443</v>
      </c>
      <c r="I259">
        <v>283</v>
      </c>
      <c r="J259">
        <v>278</v>
      </c>
      <c r="K259">
        <v>2239</v>
      </c>
      <c r="L259">
        <v>550</v>
      </c>
      <c r="M259">
        <v>0</v>
      </c>
      <c r="N259">
        <v>0</v>
      </c>
      <c r="O259">
        <v>0</v>
      </c>
      <c r="P259">
        <v>0</v>
      </c>
      <c r="Q259">
        <v>2239</v>
      </c>
      <c r="R259">
        <v>0</v>
      </c>
      <c r="S259">
        <v>512</v>
      </c>
      <c r="T259">
        <v>460</v>
      </c>
      <c r="U259">
        <v>356</v>
      </c>
      <c r="V259">
        <v>0</v>
      </c>
      <c r="W259">
        <v>187</v>
      </c>
      <c r="X259">
        <v>182</v>
      </c>
      <c r="Y259">
        <v>410</v>
      </c>
      <c r="Z259">
        <v>0</v>
      </c>
      <c r="AA259">
        <v>0</v>
      </c>
      <c r="AB259">
        <v>232</v>
      </c>
      <c r="AC259">
        <v>192</v>
      </c>
      <c r="AD259">
        <v>799</v>
      </c>
      <c r="AE259">
        <v>3330</v>
      </c>
      <c r="AF259">
        <v>4769</v>
      </c>
      <c r="AG259">
        <v>5.7385999999999999</v>
      </c>
      <c r="AK259" t="str">
        <f t="shared" si="3"/>
        <v>PFA60-6200</v>
      </c>
    </row>
    <row r="260" spans="1:37" ht="15">
      <c r="A260" t="s">
        <v>1294</v>
      </c>
      <c r="B260" t="s">
        <v>1295</v>
      </c>
      <c r="C260" t="s">
        <v>318</v>
      </c>
      <c r="D260" t="s">
        <v>609</v>
      </c>
      <c r="E260">
        <v>50</v>
      </c>
      <c r="F260">
        <v>0.6</v>
      </c>
      <c r="G260">
        <v>0</v>
      </c>
      <c r="H260">
        <v>96</v>
      </c>
      <c r="I260">
        <v>48</v>
      </c>
      <c r="J260">
        <v>76</v>
      </c>
      <c r="K260">
        <v>212</v>
      </c>
      <c r="L260">
        <v>107</v>
      </c>
      <c r="M260">
        <v>0</v>
      </c>
      <c r="N260">
        <v>0</v>
      </c>
      <c r="O260">
        <v>0</v>
      </c>
      <c r="P260">
        <v>0</v>
      </c>
      <c r="Q260">
        <v>212</v>
      </c>
      <c r="R260">
        <v>0</v>
      </c>
      <c r="S260">
        <v>0</v>
      </c>
      <c r="T260">
        <v>289</v>
      </c>
      <c r="U260">
        <v>0</v>
      </c>
      <c r="V260">
        <v>0</v>
      </c>
      <c r="W260">
        <v>0</v>
      </c>
      <c r="X260">
        <v>0</v>
      </c>
      <c r="Y260">
        <v>500</v>
      </c>
      <c r="Z260">
        <v>0</v>
      </c>
      <c r="AA260">
        <v>0</v>
      </c>
      <c r="AB260">
        <v>120</v>
      </c>
      <c r="AC260">
        <v>0</v>
      </c>
      <c r="AD260">
        <v>0</v>
      </c>
      <c r="AE260">
        <v>909</v>
      </c>
      <c r="AF260">
        <v>558</v>
      </c>
      <c r="AG260">
        <v>9.7750000000000004</v>
      </c>
      <c r="AK260" t="str">
        <f t="shared" si="3"/>
        <v>PFA66-6200</v>
      </c>
    </row>
    <row r="261" spans="1:37" ht="15">
      <c r="A261" t="s">
        <v>6238</v>
      </c>
      <c r="B261" t="s">
        <v>4541</v>
      </c>
      <c r="C261" t="s">
        <v>101</v>
      </c>
      <c r="E261">
        <v>65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520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520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J261">
        <v>0</v>
      </c>
      <c r="AK261" t="str">
        <f t="shared" ref="AK261:AK324" si="4">MID(A261,4,10)</f>
        <v>QU837-6200</v>
      </c>
    </row>
    <row r="262" spans="1:37" ht="15">
      <c r="A262" t="s">
        <v>6239</v>
      </c>
      <c r="B262" t="s">
        <v>4542</v>
      </c>
      <c r="C262" t="s">
        <v>101</v>
      </c>
      <c r="E262">
        <v>50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290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290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J262">
        <v>0</v>
      </c>
      <c r="AK262" t="str">
        <f t="shared" si="4"/>
        <v>QU862-5000</v>
      </c>
    </row>
    <row r="263" spans="1:37" ht="15">
      <c r="A263" t="s">
        <v>6240</v>
      </c>
      <c r="B263" t="s">
        <v>4543</v>
      </c>
      <c r="C263" t="s">
        <v>101</v>
      </c>
      <c r="E263">
        <v>50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209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209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J263">
        <v>0</v>
      </c>
      <c r="AK263" t="str">
        <f t="shared" si="4"/>
        <v>QU893-5000</v>
      </c>
    </row>
    <row r="264" spans="1:37" ht="15">
      <c r="A264" t="s">
        <v>6241</v>
      </c>
      <c r="B264" t="s">
        <v>4543</v>
      </c>
      <c r="E264">
        <v>50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635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635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J264">
        <v>0</v>
      </c>
      <c r="AK264" t="str">
        <f t="shared" si="4"/>
        <v>QU893-6200</v>
      </c>
    </row>
    <row r="265" spans="1:37" ht="15">
      <c r="A265" t="s">
        <v>1372</v>
      </c>
      <c r="B265" t="s">
        <v>1373</v>
      </c>
      <c r="C265" t="s">
        <v>68</v>
      </c>
      <c r="D265" t="s">
        <v>292</v>
      </c>
      <c r="E265">
        <v>60</v>
      </c>
      <c r="F265">
        <v>0.5</v>
      </c>
      <c r="G265">
        <v>0</v>
      </c>
      <c r="H265">
        <v>89</v>
      </c>
      <c r="I265">
        <v>44</v>
      </c>
      <c r="J265">
        <v>22</v>
      </c>
      <c r="K265">
        <v>168</v>
      </c>
      <c r="L265">
        <v>88</v>
      </c>
      <c r="M265">
        <v>0</v>
      </c>
      <c r="N265">
        <v>0</v>
      </c>
      <c r="O265">
        <v>0</v>
      </c>
      <c r="P265">
        <v>0</v>
      </c>
      <c r="Q265">
        <v>168</v>
      </c>
      <c r="R265">
        <v>0</v>
      </c>
      <c r="S265">
        <v>0</v>
      </c>
      <c r="T265">
        <v>266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266</v>
      </c>
      <c r="AF265">
        <v>465</v>
      </c>
      <c r="AG265">
        <v>7.4249999999999998</v>
      </c>
      <c r="AK265" t="str">
        <f t="shared" si="4"/>
        <v>SB006-5000</v>
      </c>
    </row>
    <row r="266" spans="1:37" ht="15">
      <c r="A266" t="s">
        <v>1374</v>
      </c>
      <c r="B266" t="s">
        <v>1373</v>
      </c>
      <c r="C266" t="s">
        <v>68</v>
      </c>
      <c r="D266" t="s">
        <v>292</v>
      </c>
      <c r="E266">
        <v>60</v>
      </c>
      <c r="F266">
        <v>0</v>
      </c>
      <c r="G266">
        <v>0</v>
      </c>
      <c r="H266">
        <v>85</v>
      </c>
      <c r="I266">
        <v>43</v>
      </c>
      <c r="J266">
        <v>21</v>
      </c>
      <c r="K266">
        <v>0</v>
      </c>
      <c r="L266">
        <v>127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255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255</v>
      </c>
      <c r="AF266">
        <v>0</v>
      </c>
      <c r="AG266">
        <v>7.4249999999999998</v>
      </c>
      <c r="AK266" t="str">
        <f t="shared" si="4"/>
        <v>SB006-6200</v>
      </c>
    </row>
    <row r="267" spans="1:37" ht="15">
      <c r="A267" t="s">
        <v>1378</v>
      </c>
      <c r="B267" t="s">
        <v>1376</v>
      </c>
      <c r="C267" t="s">
        <v>68</v>
      </c>
      <c r="D267" t="s">
        <v>292</v>
      </c>
      <c r="E267">
        <v>65</v>
      </c>
      <c r="F267">
        <v>0</v>
      </c>
      <c r="G267">
        <v>0</v>
      </c>
      <c r="H267">
        <v>0</v>
      </c>
      <c r="I267">
        <v>98</v>
      </c>
      <c r="J267">
        <v>49</v>
      </c>
      <c r="K267">
        <v>364</v>
      </c>
      <c r="L267">
        <v>99</v>
      </c>
      <c r="M267">
        <v>0</v>
      </c>
      <c r="N267">
        <v>0</v>
      </c>
      <c r="O267">
        <v>0</v>
      </c>
      <c r="P267">
        <v>0</v>
      </c>
      <c r="Q267">
        <v>364</v>
      </c>
      <c r="R267">
        <v>0</v>
      </c>
      <c r="S267">
        <v>0</v>
      </c>
      <c r="T267">
        <v>0</v>
      </c>
      <c r="U267">
        <v>0</v>
      </c>
      <c r="V267">
        <v>168</v>
      </c>
      <c r="W267">
        <v>420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588</v>
      </c>
      <c r="AF267">
        <v>0</v>
      </c>
      <c r="AG267">
        <v>6.8014999999999999</v>
      </c>
      <c r="AK267" t="str">
        <f t="shared" si="4"/>
        <v>SB007-6200</v>
      </c>
    </row>
    <row r="268" spans="1:37" ht="15">
      <c r="A268" t="s">
        <v>1385</v>
      </c>
      <c r="B268" t="s">
        <v>1384</v>
      </c>
      <c r="C268" t="s">
        <v>1076</v>
      </c>
      <c r="D268" t="s">
        <v>284</v>
      </c>
      <c r="E268">
        <v>62</v>
      </c>
      <c r="F268">
        <v>0</v>
      </c>
      <c r="G268">
        <v>0</v>
      </c>
      <c r="H268">
        <v>0</v>
      </c>
      <c r="I268">
        <v>43</v>
      </c>
      <c r="J268">
        <v>33</v>
      </c>
      <c r="K268">
        <v>188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188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260</v>
      </c>
      <c r="X268">
        <v>0</v>
      </c>
      <c r="Y268">
        <v>0</v>
      </c>
      <c r="Z268">
        <v>0</v>
      </c>
      <c r="AA268">
        <v>138</v>
      </c>
      <c r="AB268">
        <v>0</v>
      </c>
      <c r="AC268">
        <v>0</v>
      </c>
      <c r="AD268">
        <v>0</v>
      </c>
      <c r="AE268">
        <v>398</v>
      </c>
      <c r="AF268">
        <v>1051</v>
      </c>
      <c r="AG268" t="s">
        <v>4544</v>
      </c>
      <c r="AH268">
        <v>3</v>
      </c>
      <c r="AI268">
        <v>220</v>
      </c>
      <c r="AJ268">
        <v>3.9302000000000001</v>
      </c>
      <c r="AK268" t="str">
        <f t="shared" si="4"/>
        <v>SB027-6200</v>
      </c>
    </row>
    <row r="269" spans="1:37" ht="15">
      <c r="A269" t="s">
        <v>1411</v>
      </c>
      <c r="B269" t="s">
        <v>1412</v>
      </c>
      <c r="C269" t="s">
        <v>68</v>
      </c>
      <c r="D269" t="s">
        <v>1413</v>
      </c>
      <c r="E269">
        <v>65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288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288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256</v>
      </c>
      <c r="AG269">
        <v>6.0664999999999996</v>
      </c>
      <c r="AK269" t="str">
        <f t="shared" si="4"/>
        <v>SG208-5000</v>
      </c>
    </row>
    <row r="270" spans="1:37" ht="15">
      <c r="A270" t="s">
        <v>1414</v>
      </c>
      <c r="B270" t="s">
        <v>1412</v>
      </c>
      <c r="C270" t="s">
        <v>68</v>
      </c>
      <c r="D270" t="s">
        <v>1413</v>
      </c>
      <c r="E270">
        <v>65</v>
      </c>
      <c r="F270">
        <v>0</v>
      </c>
      <c r="G270">
        <v>0</v>
      </c>
      <c r="H270">
        <v>672</v>
      </c>
      <c r="I270">
        <v>336</v>
      </c>
      <c r="J270">
        <v>168</v>
      </c>
      <c r="K270">
        <v>0</v>
      </c>
      <c r="L270">
        <v>40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2015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2015</v>
      </c>
      <c r="AF270">
        <v>0</v>
      </c>
      <c r="AJ270">
        <v>6.0664999999999996</v>
      </c>
      <c r="AK270" t="str">
        <f t="shared" si="4"/>
        <v>SG208-6200</v>
      </c>
    </row>
    <row r="271" spans="1:37" ht="15">
      <c r="A271" t="s">
        <v>1419</v>
      </c>
      <c r="B271" t="s">
        <v>1420</v>
      </c>
      <c r="C271" t="s">
        <v>1076</v>
      </c>
      <c r="D271" t="s">
        <v>292</v>
      </c>
      <c r="E271">
        <v>65</v>
      </c>
      <c r="F271">
        <v>0.3</v>
      </c>
      <c r="G271">
        <v>0</v>
      </c>
      <c r="H271">
        <v>125</v>
      </c>
      <c r="I271">
        <v>89</v>
      </c>
      <c r="J271">
        <v>61</v>
      </c>
      <c r="K271">
        <v>160</v>
      </c>
      <c r="L271">
        <v>85</v>
      </c>
      <c r="M271">
        <v>0</v>
      </c>
      <c r="N271">
        <v>0</v>
      </c>
      <c r="O271">
        <v>0</v>
      </c>
      <c r="P271">
        <v>0</v>
      </c>
      <c r="Q271">
        <v>160</v>
      </c>
      <c r="R271">
        <v>0</v>
      </c>
      <c r="S271">
        <v>0</v>
      </c>
      <c r="T271">
        <v>0</v>
      </c>
      <c r="U271">
        <v>376</v>
      </c>
      <c r="V271">
        <v>156</v>
      </c>
      <c r="W271">
        <v>0</v>
      </c>
      <c r="X271">
        <v>0</v>
      </c>
      <c r="Y271">
        <v>0</v>
      </c>
      <c r="Z271">
        <v>200</v>
      </c>
      <c r="AA271">
        <v>0</v>
      </c>
      <c r="AB271">
        <v>0</v>
      </c>
      <c r="AC271">
        <v>0</v>
      </c>
      <c r="AD271">
        <v>0</v>
      </c>
      <c r="AE271">
        <v>732</v>
      </c>
      <c r="AF271">
        <v>934</v>
      </c>
      <c r="AG271" t="s">
        <v>4545</v>
      </c>
      <c r="AH271">
        <v>7</v>
      </c>
      <c r="AI271">
        <v>192</v>
      </c>
      <c r="AJ271">
        <v>7.0167999999999999</v>
      </c>
      <c r="AK271" t="str">
        <f t="shared" si="4"/>
        <v>SG211-5000</v>
      </c>
    </row>
    <row r="272" spans="1:37" ht="15">
      <c r="A272" t="s">
        <v>1426</v>
      </c>
      <c r="B272" t="s">
        <v>1424</v>
      </c>
      <c r="C272" t="s">
        <v>68</v>
      </c>
      <c r="D272" t="s">
        <v>1425</v>
      </c>
      <c r="E272">
        <v>65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81</v>
      </c>
      <c r="L272">
        <v>38</v>
      </c>
      <c r="M272">
        <v>0</v>
      </c>
      <c r="N272">
        <v>0</v>
      </c>
      <c r="O272">
        <v>0</v>
      </c>
      <c r="P272">
        <v>0</v>
      </c>
      <c r="Q272">
        <v>81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7.2125000000000004</v>
      </c>
      <c r="AK272" t="str">
        <f t="shared" si="4"/>
        <v>SG213-5000</v>
      </c>
    </row>
    <row r="273" spans="1:37" ht="15">
      <c r="A273" t="s">
        <v>1428</v>
      </c>
      <c r="B273" t="s">
        <v>1429</v>
      </c>
      <c r="C273" t="s">
        <v>1076</v>
      </c>
      <c r="D273" t="s">
        <v>1430</v>
      </c>
      <c r="E273">
        <v>65</v>
      </c>
      <c r="F273">
        <v>-0.1</v>
      </c>
      <c r="G273">
        <v>242</v>
      </c>
      <c r="H273">
        <v>990</v>
      </c>
      <c r="I273">
        <v>693</v>
      </c>
      <c r="J273">
        <v>683</v>
      </c>
      <c r="K273">
        <v>0</v>
      </c>
      <c r="L273">
        <v>148</v>
      </c>
      <c r="M273">
        <v>0</v>
      </c>
      <c r="N273">
        <v>201</v>
      </c>
      <c r="O273">
        <v>0</v>
      </c>
      <c r="P273">
        <v>0</v>
      </c>
      <c r="Q273">
        <v>-201</v>
      </c>
      <c r="R273">
        <v>0</v>
      </c>
      <c r="S273">
        <v>494</v>
      </c>
      <c r="T273">
        <v>0</v>
      </c>
      <c r="U273">
        <v>2475</v>
      </c>
      <c r="V273">
        <v>190</v>
      </c>
      <c r="W273">
        <v>1000</v>
      </c>
      <c r="X273">
        <v>0</v>
      </c>
      <c r="Y273">
        <v>140</v>
      </c>
      <c r="Z273">
        <v>666</v>
      </c>
      <c r="AA273">
        <v>1383</v>
      </c>
      <c r="AB273">
        <v>343</v>
      </c>
      <c r="AC273">
        <v>1246</v>
      </c>
      <c r="AD273">
        <v>259</v>
      </c>
      <c r="AE273">
        <v>8196</v>
      </c>
      <c r="AF273">
        <v>15927</v>
      </c>
      <c r="AG273" t="s">
        <v>4546</v>
      </c>
      <c r="AH273">
        <v>4</v>
      </c>
      <c r="AI273">
        <v>141</v>
      </c>
      <c r="AJ273">
        <v>3.3875000000000002</v>
      </c>
      <c r="AK273" t="str">
        <f t="shared" si="4"/>
        <v>SG214-5000</v>
      </c>
    </row>
    <row r="274" spans="1:37" ht="15">
      <c r="A274" t="s">
        <v>1431</v>
      </c>
      <c r="B274" t="s">
        <v>1429</v>
      </c>
      <c r="C274" t="s">
        <v>1076</v>
      </c>
      <c r="D274" t="s">
        <v>1432</v>
      </c>
      <c r="E274">
        <v>65</v>
      </c>
      <c r="F274">
        <v>0</v>
      </c>
      <c r="G274">
        <v>0</v>
      </c>
      <c r="H274">
        <v>0</v>
      </c>
      <c r="I274">
        <v>63</v>
      </c>
      <c r="J274">
        <v>31</v>
      </c>
      <c r="K274">
        <v>112</v>
      </c>
      <c r="L274">
        <v>156</v>
      </c>
      <c r="M274">
        <v>0</v>
      </c>
      <c r="N274">
        <v>0</v>
      </c>
      <c r="O274">
        <v>0</v>
      </c>
      <c r="P274">
        <v>0</v>
      </c>
      <c r="Q274">
        <v>112</v>
      </c>
      <c r="R274">
        <v>0</v>
      </c>
      <c r="S274">
        <v>0</v>
      </c>
      <c r="T274">
        <v>0</v>
      </c>
      <c r="U274">
        <v>0</v>
      </c>
      <c r="V274">
        <v>166</v>
      </c>
      <c r="W274">
        <v>210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376</v>
      </c>
      <c r="AF274">
        <v>6074</v>
      </c>
      <c r="AG274" t="s">
        <v>4546</v>
      </c>
      <c r="AH274">
        <v>5</v>
      </c>
      <c r="AI274">
        <v>2</v>
      </c>
      <c r="AJ274">
        <v>3.3875000000000002</v>
      </c>
      <c r="AK274" t="str">
        <f t="shared" si="4"/>
        <v>SG214-6200</v>
      </c>
    </row>
    <row r="275" spans="1:37" ht="15">
      <c r="A275" t="s">
        <v>1431</v>
      </c>
      <c r="B275" t="s">
        <v>1429</v>
      </c>
      <c r="C275" t="s">
        <v>1076</v>
      </c>
      <c r="D275" t="s">
        <v>1432</v>
      </c>
      <c r="E275">
        <v>65</v>
      </c>
      <c r="AG275" t="s">
        <v>7772</v>
      </c>
      <c r="AH275">
        <v>2</v>
      </c>
      <c r="AI275">
        <v>2296</v>
      </c>
      <c r="AK275" t="str">
        <f t="shared" si="4"/>
        <v>SG214-6200</v>
      </c>
    </row>
    <row r="276" spans="1:37" ht="15">
      <c r="A276" t="s">
        <v>1433</v>
      </c>
      <c r="B276" t="s">
        <v>1434</v>
      </c>
      <c r="C276" t="s">
        <v>267</v>
      </c>
      <c r="D276" t="s">
        <v>292</v>
      </c>
      <c r="E276">
        <v>65</v>
      </c>
      <c r="F276">
        <v>-0.1</v>
      </c>
      <c r="G276">
        <v>48</v>
      </c>
      <c r="H276">
        <v>143</v>
      </c>
      <c r="I276">
        <v>143</v>
      </c>
      <c r="J276">
        <v>72</v>
      </c>
      <c r="K276">
        <v>0</v>
      </c>
      <c r="L276">
        <v>109</v>
      </c>
      <c r="M276">
        <v>0</v>
      </c>
      <c r="N276">
        <v>40</v>
      </c>
      <c r="O276">
        <v>0</v>
      </c>
      <c r="P276">
        <v>0</v>
      </c>
      <c r="Q276">
        <v>-40</v>
      </c>
      <c r="R276">
        <v>160</v>
      </c>
      <c r="S276">
        <v>430</v>
      </c>
      <c r="T276">
        <v>0</v>
      </c>
      <c r="U276">
        <v>0</v>
      </c>
      <c r="V276">
        <v>0</v>
      </c>
      <c r="W276">
        <v>258</v>
      </c>
      <c r="X276">
        <v>172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860</v>
      </c>
      <c r="AF276">
        <v>1223</v>
      </c>
      <c r="AG276">
        <v>4.3624000000000001</v>
      </c>
      <c r="AK276" t="str">
        <f t="shared" si="4"/>
        <v>SG224-5000</v>
      </c>
    </row>
    <row r="277" spans="1:37" ht="15">
      <c r="A277" t="s">
        <v>1435</v>
      </c>
      <c r="B277" t="s">
        <v>1434</v>
      </c>
      <c r="C277" t="s">
        <v>267</v>
      </c>
      <c r="D277" t="s">
        <v>1422</v>
      </c>
      <c r="E277">
        <v>65</v>
      </c>
      <c r="F277">
        <v>0.3</v>
      </c>
      <c r="G277">
        <v>0</v>
      </c>
      <c r="H277">
        <v>207</v>
      </c>
      <c r="I277">
        <v>104</v>
      </c>
      <c r="J277">
        <v>52</v>
      </c>
      <c r="K277">
        <v>244</v>
      </c>
      <c r="L277">
        <v>310</v>
      </c>
      <c r="M277">
        <v>0</v>
      </c>
      <c r="N277">
        <v>0</v>
      </c>
      <c r="O277">
        <v>0</v>
      </c>
      <c r="P277">
        <v>0</v>
      </c>
      <c r="Q277">
        <v>244</v>
      </c>
      <c r="R277">
        <v>0</v>
      </c>
      <c r="S277">
        <v>502</v>
      </c>
      <c r="T277">
        <v>0</v>
      </c>
      <c r="U277">
        <v>119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621</v>
      </c>
      <c r="AF277">
        <v>388</v>
      </c>
      <c r="AG277">
        <v>8.6274999999999995</v>
      </c>
      <c r="AK277" t="str">
        <f t="shared" si="4"/>
        <v>SG224-6200</v>
      </c>
    </row>
    <row r="278" spans="1:37" ht="15">
      <c r="A278" t="s">
        <v>1451</v>
      </c>
      <c r="B278" t="s">
        <v>1452</v>
      </c>
      <c r="C278" t="s">
        <v>68</v>
      </c>
      <c r="D278" t="s">
        <v>292</v>
      </c>
      <c r="E278">
        <v>65</v>
      </c>
      <c r="F278">
        <v>0</v>
      </c>
      <c r="G278">
        <v>0</v>
      </c>
      <c r="H278">
        <v>0</v>
      </c>
      <c r="I278">
        <v>0</v>
      </c>
      <c r="J278">
        <v>207</v>
      </c>
      <c r="K278">
        <v>773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773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434</v>
      </c>
      <c r="AB278">
        <v>0</v>
      </c>
      <c r="AC278">
        <v>0</v>
      </c>
      <c r="AD278">
        <v>2055</v>
      </c>
      <c r="AE278">
        <v>2489</v>
      </c>
      <c r="AF278">
        <v>592</v>
      </c>
      <c r="AJ278">
        <v>5.0572999999999997</v>
      </c>
      <c r="AK278" t="str">
        <f t="shared" si="4"/>
        <v>SG246-5000</v>
      </c>
    </row>
    <row r="279" spans="1:37" ht="15">
      <c r="A279" t="s">
        <v>1454</v>
      </c>
      <c r="B279" t="s">
        <v>1455</v>
      </c>
      <c r="C279" t="s">
        <v>68</v>
      </c>
      <c r="D279" t="s">
        <v>292</v>
      </c>
      <c r="E279">
        <v>75</v>
      </c>
      <c r="F279">
        <v>0</v>
      </c>
      <c r="G279">
        <v>0</v>
      </c>
      <c r="H279">
        <v>347</v>
      </c>
      <c r="I279">
        <v>435</v>
      </c>
      <c r="J279">
        <v>218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250</v>
      </c>
      <c r="U279">
        <v>791</v>
      </c>
      <c r="V279">
        <v>0</v>
      </c>
      <c r="W279">
        <v>494</v>
      </c>
      <c r="X279">
        <v>1075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2610</v>
      </c>
      <c r="AF279">
        <v>833</v>
      </c>
      <c r="AG279">
        <v>7.1</v>
      </c>
      <c r="AK279" t="str">
        <f t="shared" si="4"/>
        <v>SG254-5000</v>
      </c>
    </row>
    <row r="280" spans="1:37" ht="15">
      <c r="A280" t="s">
        <v>6242</v>
      </c>
      <c r="B280" t="s">
        <v>4547</v>
      </c>
      <c r="C280" t="s">
        <v>68</v>
      </c>
      <c r="D280" t="s">
        <v>4548</v>
      </c>
      <c r="E280">
        <v>50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472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472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J280">
        <v>5.8654000000000002</v>
      </c>
      <c r="AK280" t="str">
        <f t="shared" si="4"/>
        <v>SG268-6200</v>
      </c>
    </row>
    <row r="281" spans="1:37" ht="15">
      <c r="A281" t="s">
        <v>6243</v>
      </c>
      <c r="B281" t="s">
        <v>4549</v>
      </c>
      <c r="C281" t="s">
        <v>68</v>
      </c>
      <c r="D281" t="s">
        <v>666</v>
      </c>
      <c r="E281">
        <v>50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1669</v>
      </c>
      <c r="L281">
        <v>63</v>
      </c>
      <c r="M281">
        <v>0</v>
      </c>
      <c r="N281">
        <v>0</v>
      </c>
      <c r="O281">
        <v>0</v>
      </c>
      <c r="P281">
        <v>0</v>
      </c>
      <c r="Q281">
        <v>1669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92</v>
      </c>
      <c r="AJ281">
        <v>0</v>
      </c>
      <c r="AK281" t="str">
        <f t="shared" si="4"/>
        <v>SG275-5000</v>
      </c>
    </row>
    <row r="282" spans="1:37" ht="15">
      <c r="A282" t="s">
        <v>1470</v>
      </c>
      <c r="B282" t="s">
        <v>1471</v>
      </c>
      <c r="C282" t="s">
        <v>267</v>
      </c>
      <c r="D282" t="s">
        <v>1390</v>
      </c>
      <c r="E282">
        <v>62</v>
      </c>
      <c r="F282">
        <v>0</v>
      </c>
      <c r="G282">
        <v>0</v>
      </c>
      <c r="H282">
        <v>67</v>
      </c>
      <c r="I282">
        <v>33</v>
      </c>
      <c r="J282">
        <v>31</v>
      </c>
      <c r="K282">
        <v>0</v>
      </c>
      <c r="L282">
        <v>120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200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170</v>
      </c>
      <c r="AA282">
        <v>0</v>
      </c>
      <c r="AB282">
        <v>0</v>
      </c>
      <c r="AC282">
        <v>0</v>
      </c>
      <c r="AD282">
        <v>0</v>
      </c>
      <c r="AE282">
        <v>370</v>
      </c>
      <c r="AF282">
        <v>0</v>
      </c>
      <c r="AG282">
        <v>4.875</v>
      </c>
      <c r="AK282" t="str">
        <f t="shared" si="4"/>
        <v>SP414-5000</v>
      </c>
    </row>
    <row r="283" spans="1:37" ht="15">
      <c r="A283" t="s">
        <v>1483</v>
      </c>
      <c r="B283" t="s">
        <v>1481</v>
      </c>
      <c r="C283" t="s">
        <v>68</v>
      </c>
      <c r="D283" t="s">
        <v>1484</v>
      </c>
      <c r="E283">
        <v>80</v>
      </c>
      <c r="F283">
        <v>0</v>
      </c>
      <c r="G283">
        <v>0</v>
      </c>
      <c r="H283">
        <v>16</v>
      </c>
      <c r="I283">
        <v>8</v>
      </c>
      <c r="J283">
        <v>4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48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48</v>
      </c>
      <c r="AF283">
        <v>0</v>
      </c>
      <c r="AJ283">
        <v>7.2629999999999999</v>
      </c>
      <c r="AK283" t="str">
        <f t="shared" si="4"/>
        <v>SR521-6200</v>
      </c>
    </row>
    <row r="284" spans="1:37" ht="15">
      <c r="A284" t="s">
        <v>1488</v>
      </c>
      <c r="B284" t="s">
        <v>1489</v>
      </c>
      <c r="C284" t="s">
        <v>267</v>
      </c>
      <c r="D284" t="s">
        <v>284</v>
      </c>
      <c r="E284">
        <v>62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112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112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J284">
        <v>4.8600000000000003</v>
      </c>
      <c r="AK284" t="str">
        <f t="shared" si="4"/>
        <v>SR537-5000</v>
      </c>
    </row>
    <row r="285" spans="1:37" ht="15">
      <c r="A285" t="s">
        <v>1494</v>
      </c>
      <c r="B285" t="s">
        <v>1495</v>
      </c>
      <c r="C285" t="s">
        <v>267</v>
      </c>
      <c r="D285" t="s">
        <v>1422</v>
      </c>
      <c r="E285">
        <v>60</v>
      </c>
      <c r="F285">
        <v>0</v>
      </c>
      <c r="G285">
        <v>0</v>
      </c>
      <c r="H285">
        <v>0</v>
      </c>
      <c r="I285">
        <v>44</v>
      </c>
      <c r="J285">
        <v>22</v>
      </c>
      <c r="K285">
        <v>497</v>
      </c>
      <c r="L285">
        <v>54</v>
      </c>
      <c r="M285">
        <v>0</v>
      </c>
      <c r="N285">
        <v>0</v>
      </c>
      <c r="O285">
        <v>0</v>
      </c>
      <c r="P285">
        <v>0</v>
      </c>
      <c r="Q285">
        <v>497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264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264</v>
      </c>
      <c r="AF285">
        <v>123</v>
      </c>
      <c r="AG285">
        <v>7.4805999999999999</v>
      </c>
      <c r="AK285" t="str">
        <f t="shared" si="4"/>
        <v>ST606-5000</v>
      </c>
    </row>
    <row r="286" spans="1:37" ht="15">
      <c r="A286" t="s">
        <v>1496</v>
      </c>
      <c r="B286" t="s">
        <v>1495</v>
      </c>
      <c r="C286" t="s">
        <v>267</v>
      </c>
      <c r="D286" t="s">
        <v>292</v>
      </c>
      <c r="E286">
        <v>60</v>
      </c>
      <c r="F286">
        <v>0.7</v>
      </c>
      <c r="G286">
        <v>0</v>
      </c>
      <c r="H286">
        <v>158</v>
      </c>
      <c r="I286">
        <v>266</v>
      </c>
      <c r="J286">
        <v>133</v>
      </c>
      <c r="K286">
        <v>448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448</v>
      </c>
      <c r="R286">
        <v>0</v>
      </c>
      <c r="S286">
        <v>0</v>
      </c>
      <c r="T286">
        <v>475</v>
      </c>
      <c r="U286">
        <v>0</v>
      </c>
      <c r="V286">
        <v>0</v>
      </c>
      <c r="W286">
        <v>0</v>
      </c>
      <c r="X286">
        <v>1118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1593</v>
      </c>
      <c r="AF286">
        <v>757</v>
      </c>
      <c r="AG286">
        <v>8.5</v>
      </c>
      <c r="AK286" t="str">
        <f t="shared" si="4"/>
        <v>ST606-6200</v>
      </c>
    </row>
    <row r="287" spans="1:37" ht="15">
      <c r="A287" t="s">
        <v>1521</v>
      </c>
      <c r="B287" t="s">
        <v>1519</v>
      </c>
      <c r="C287" t="s">
        <v>68</v>
      </c>
      <c r="D287" t="s">
        <v>1520</v>
      </c>
      <c r="E287">
        <v>65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256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256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335</v>
      </c>
      <c r="AJ287">
        <v>6.2016</v>
      </c>
      <c r="AK287" t="str">
        <f t="shared" si="4"/>
        <v>SV709-6200</v>
      </c>
    </row>
    <row r="288" spans="1:37" ht="15">
      <c r="A288" t="s">
        <v>1524</v>
      </c>
      <c r="B288" t="s">
        <v>1523</v>
      </c>
      <c r="C288" t="s">
        <v>68</v>
      </c>
      <c r="D288" t="s">
        <v>1390</v>
      </c>
      <c r="E288">
        <v>65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211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211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J288">
        <v>4.8414999999999999</v>
      </c>
      <c r="AK288" t="str">
        <f t="shared" si="4"/>
        <v>SV713-6200</v>
      </c>
    </row>
    <row r="289" spans="1:37" ht="15">
      <c r="A289" t="s">
        <v>6244</v>
      </c>
      <c r="B289" t="s">
        <v>4550</v>
      </c>
      <c r="C289" t="s">
        <v>68</v>
      </c>
      <c r="D289" t="s">
        <v>280</v>
      </c>
      <c r="E289">
        <v>65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200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200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J289">
        <v>5.4625000000000004</v>
      </c>
      <c r="AK289" t="str">
        <f t="shared" si="4"/>
        <v>SV720-6200</v>
      </c>
    </row>
    <row r="290" spans="1:37" ht="15">
      <c r="A290" t="s">
        <v>1527</v>
      </c>
      <c r="B290" t="s">
        <v>1526</v>
      </c>
      <c r="C290" t="s">
        <v>267</v>
      </c>
      <c r="D290" t="s">
        <v>284</v>
      </c>
      <c r="E290">
        <v>50</v>
      </c>
      <c r="F290">
        <v>2.6</v>
      </c>
      <c r="G290">
        <v>0</v>
      </c>
      <c r="H290">
        <v>29</v>
      </c>
      <c r="I290">
        <v>15</v>
      </c>
      <c r="J290">
        <v>7</v>
      </c>
      <c r="K290">
        <v>303</v>
      </c>
      <c r="L290">
        <v>67</v>
      </c>
      <c r="M290">
        <v>0</v>
      </c>
      <c r="N290">
        <v>0</v>
      </c>
      <c r="O290">
        <v>0</v>
      </c>
      <c r="P290">
        <v>0</v>
      </c>
      <c r="Q290">
        <v>303</v>
      </c>
      <c r="R290">
        <v>0</v>
      </c>
      <c r="S290">
        <v>0</v>
      </c>
      <c r="T290">
        <v>0</v>
      </c>
      <c r="U290">
        <v>88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88</v>
      </c>
      <c r="AF290">
        <v>0</v>
      </c>
      <c r="AG290">
        <v>3.99</v>
      </c>
      <c r="AK290" t="str">
        <f t="shared" si="4"/>
        <v>SV750-6200</v>
      </c>
    </row>
    <row r="291" spans="1:37" ht="15">
      <c r="A291" t="s">
        <v>1560</v>
      </c>
      <c r="B291" t="s">
        <v>1556</v>
      </c>
      <c r="C291" t="s">
        <v>68</v>
      </c>
      <c r="D291" t="s">
        <v>292</v>
      </c>
      <c r="E291">
        <v>75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153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153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2502</v>
      </c>
      <c r="AG291">
        <v>2.7557</v>
      </c>
      <c r="AK291" t="str">
        <f t="shared" si="4"/>
        <v>SW826-6200</v>
      </c>
    </row>
    <row r="292" spans="1:37" ht="15">
      <c r="A292" t="s">
        <v>1561</v>
      </c>
      <c r="B292" t="s">
        <v>1562</v>
      </c>
      <c r="C292" t="s">
        <v>1076</v>
      </c>
      <c r="D292" t="s">
        <v>1422</v>
      </c>
      <c r="E292">
        <v>65</v>
      </c>
      <c r="F292">
        <v>0</v>
      </c>
      <c r="G292">
        <v>0</v>
      </c>
      <c r="H292">
        <v>0</v>
      </c>
      <c r="I292">
        <v>381</v>
      </c>
      <c r="J292">
        <v>432</v>
      </c>
      <c r="K292">
        <v>2017</v>
      </c>
      <c r="L292">
        <v>86</v>
      </c>
      <c r="M292">
        <v>0</v>
      </c>
      <c r="N292">
        <v>0</v>
      </c>
      <c r="O292">
        <v>0</v>
      </c>
      <c r="P292">
        <v>0</v>
      </c>
      <c r="Q292">
        <v>2017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729</v>
      </c>
      <c r="X292">
        <v>1554</v>
      </c>
      <c r="Y292">
        <v>2421</v>
      </c>
      <c r="Z292">
        <v>0</v>
      </c>
      <c r="AA292">
        <v>227</v>
      </c>
      <c r="AB292">
        <v>0</v>
      </c>
      <c r="AC292">
        <v>252</v>
      </c>
      <c r="AD292">
        <v>0</v>
      </c>
      <c r="AE292">
        <v>5183</v>
      </c>
      <c r="AF292">
        <v>564</v>
      </c>
      <c r="AG292" t="s">
        <v>4551</v>
      </c>
      <c r="AH292">
        <v>2</v>
      </c>
      <c r="AI292">
        <v>200</v>
      </c>
      <c r="AJ292">
        <v>3.7191999999999998</v>
      </c>
      <c r="AK292" t="str">
        <f t="shared" si="4"/>
        <v>SW836-5000</v>
      </c>
    </row>
    <row r="293" spans="1:37" ht="15">
      <c r="A293" t="s">
        <v>1564</v>
      </c>
      <c r="B293" t="s">
        <v>1565</v>
      </c>
      <c r="C293" t="s">
        <v>68</v>
      </c>
      <c r="D293" t="s">
        <v>1566</v>
      </c>
      <c r="E293">
        <v>65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392</v>
      </c>
      <c r="L293">
        <v>25</v>
      </c>
      <c r="M293">
        <v>0</v>
      </c>
      <c r="N293">
        <v>0</v>
      </c>
      <c r="O293">
        <v>0</v>
      </c>
      <c r="P293">
        <v>0</v>
      </c>
      <c r="Q293">
        <v>392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J293">
        <v>6.3308</v>
      </c>
      <c r="AK293" t="str">
        <f t="shared" si="4"/>
        <v>SW888-5000</v>
      </c>
    </row>
    <row r="294" spans="1:37" ht="15">
      <c r="A294" t="s">
        <v>1567</v>
      </c>
      <c r="B294" t="s">
        <v>1565</v>
      </c>
      <c r="C294" t="s">
        <v>68</v>
      </c>
      <c r="D294" t="s">
        <v>1566</v>
      </c>
      <c r="E294">
        <v>65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1517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1517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1034</v>
      </c>
      <c r="AJ294">
        <v>6.3308</v>
      </c>
      <c r="AK294" t="str">
        <f t="shared" si="4"/>
        <v>SW888-6200</v>
      </c>
    </row>
    <row r="295" spans="1:37" ht="15">
      <c r="A295" t="s">
        <v>1576</v>
      </c>
      <c r="B295" t="s">
        <v>1575</v>
      </c>
      <c r="C295" t="s">
        <v>68</v>
      </c>
      <c r="D295" t="s">
        <v>292</v>
      </c>
      <c r="E295">
        <v>65</v>
      </c>
      <c r="F295">
        <v>0</v>
      </c>
      <c r="G295">
        <v>0</v>
      </c>
      <c r="H295">
        <v>104</v>
      </c>
      <c r="I295">
        <v>52</v>
      </c>
      <c r="J295">
        <v>26</v>
      </c>
      <c r="K295">
        <v>0</v>
      </c>
      <c r="L295">
        <v>55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311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311</v>
      </c>
      <c r="AF295">
        <v>678</v>
      </c>
      <c r="AG295">
        <v>7.6874000000000002</v>
      </c>
      <c r="AK295" t="str">
        <f t="shared" si="4"/>
        <v>SY914-5000</v>
      </c>
    </row>
    <row r="296" spans="1:37" ht="15">
      <c r="A296" t="s">
        <v>1577</v>
      </c>
      <c r="B296" t="s">
        <v>1575</v>
      </c>
      <c r="C296" t="s">
        <v>68</v>
      </c>
      <c r="D296" t="s">
        <v>292</v>
      </c>
      <c r="E296">
        <v>65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275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275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3654</v>
      </c>
      <c r="AG296">
        <v>7.9749999999999996</v>
      </c>
      <c r="AK296" t="str">
        <f t="shared" si="4"/>
        <v>SY914-6200</v>
      </c>
    </row>
    <row r="297" spans="1:37" ht="15">
      <c r="A297" t="s">
        <v>1578</v>
      </c>
      <c r="B297" t="s">
        <v>1579</v>
      </c>
      <c r="C297" t="s">
        <v>110</v>
      </c>
      <c r="D297" t="s">
        <v>1580</v>
      </c>
      <c r="E297">
        <v>50</v>
      </c>
      <c r="F297">
        <v>0</v>
      </c>
      <c r="G297">
        <v>0</v>
      </c>
      <c r="H297">
        <v>183</v>
      </c>
      <c r="I297">
        <v>91</v>
      </c>
      <c r="J297">
        <v>62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548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198</v>
      </c>
      <c r="AC297">
        <v>0</v>
      </c>
      <c r="AD297">
        <v>0</v>
      </c>
      <c r="AE297">
        <v>746</v>
      </c>
      <c r="AF297">
        <v>0</v>
      </c>
      <c r="AJ297">
        <v>5.3094999999999999</v>
      </c>
      <c r="AK297" t="str">
        <f t="shared" si="4"/>
        <v>WA001-5000</v>
      </c>
    </row>
    <row r="298" spans="1:37" ht="15">
      <c r="A298" t="s">
        <v>1581</v>
      </c>
      <c r="B298" t="s">
        <v>1579</v>
      </c>
      <c r="C298" t="s">
        <v>110</v>
      </c>
      <c r="D298" t="s">
        <v>1582</v>
      </c>
      <c r="E298">
        <v>50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507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507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5.6124999999999998</v>
      </c>
      <c r="AK298" t="str">
        <f t="shared" si="4"/>
        <v>WA001-6200</v>
      </c>
    </row>
    <row r="299" spans="1:37" ht="15">
      <c r="A299" t="s">
        <v>1586</v>
      </c>
      <c r="B299" t="s">
        <v>1587</v>
      </c>
      <c r="C299" t="s">
        <v>338</v>
      </c>
      <c r="D299" t="s">
        <v>284</v>
      </c>
      <c r="E299">
        <v>43</v>
      </c>
      <c r="F299">
        <v>0.1</v>
      </c>
      <c r="G299">
        <v>0</v>
      </c>
      <c r="H299">
        <v>199</v>
      </c>
      <c r="I299">
        <v>367</v>
      </c>
      <c r="J299">
        <v>218</v>
      </c>
      <c r="K299">
        <v>92</v>
      </c>
      <c r="L299">
        <v>125</v>
      </c>
      <c r="M299">
        <v>0</v>
      </c>
      <c r="N299">
        <v>0</v>
      </c>
      <c r="O299">
        <v>0</v>
      </c>
      <c r="P299">
        <v>0</v>
      </c>
      <c r="Q299">
        <v>92</v>
      </c>
      <c r="R299">
        <v>0</v>
      </c>
      <c r="S299">
        <v>437</v>
      </c>
      <c r="T299">
        <v>160</v>
      </c>
      <c r="U299">
        <v>0</v>
      </c>
      <c r="V299">
        <v>1039</v>
      </c>
      <c r="W299">
        <v>564</v>
      </c>
      <c r="X299">
        <v>0</v>
      </c>
      <c r="Y299">
        <v>412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2612</v>
      </c>
      <c r="AF299">
        <v>820</v>
      </c>
      <c r="AG299">
        <v>8.0500000000000007</v>
      </c>
      <c r="AK299" t="str">
        <f t="shared" si="4"/>
        <v>WA030-5000</v>
      </c>
    </row>
    <row r="300" spans="1:37" ht="15">
      <c r="A300" t="s">
        <v>1588</v>
      </c>
      <c r="B300" t="s">
        <v>1587</v>
      </c>
      <c r="C300" t="s">
        <v>338</v>
      </c>
      <c r="D300" t="s">
        <v>284</v>
      </c>
      <c r="E300">
        <v>43</v>
      </c>
      <c r="F300">
        <v>0</v>
      </c>
      <c r="G300">
        <v>0</v>
      </c>
      <c r="H300">
        <v>0</v>
      </c>
      <c r="I300">
        <v>164</v>
      </c>
      <c r="J300">
        <v>222</v>
      </c>
      <c r="K300">
        <v>476</v>
      </c>
      <c r="L300">
        <v>176</v>
      </c>
      <c r="M300">
        <v>0</v>
      </c>
      <c r="N300">
        <v>0</v>
      </c>
      <c r="O300">
        <v>0</v>
      </c>
      <c r="P300">
        <v>0</v>
      </c>
      <c r="Q300">
        <v>476</v>
      </c>
      <c r="R300">
        <v>0</v>
      </c>
      <c r="S300">
        <v>0</v>
      </c>
      <c r="T300">
        <v>0</v>
      </c>
      <c r="U300">
        <v>0</v>
      </c>
      <c r="V300">
        <v>877</v>
      </c>
      <c r="W300">
        <v>0</v>
      </c>
      <c r="X300">
        <v>104</v>
      </c>
      <c r="Y300">
        <v>538</v>
      </c>
      <c r="Z300">
        <v>411</v>
      </c>
      <c r="AA300">
        <v>0</v>
      </c>
      <c r="AB300">
        <v>356</v>
      </c>
      <c r="AC300">
        <v>0</v>
      </c>
      <c r="AD300">
        <v>378</v>
      </c>
      <c r="AE300">
        <v>2664</v>
      </c>
      <c r="AF300">
        <v>2527</v>
      </c>
      <c r="AG300">
        <v>8.0500000000000007</v>
      </c>
      <c r="AK300" t="str">
        <f t="shared" si="4"/>
        <v>WA030-6200</v>
      </c>
    </row>
    <row r="301" spans="1:37" ht="15">
      <c r="A301" t="s">
        <v>1589</v>
      </c>
      <c r="B301" t="s">
        <v>1590</v>
      </c>
      <c r="C301" t="s">
        <v>338</v>
      </c>
      <c r="D301" t="s">
        <v>284</v>
      </c>
      <c r="E301">
        <v>43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129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129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9.6158999999999999</v>
      </c>
      <c r="AK301" t="str">
        <f t="shared" si="4"/>
        <v>WA090-5000</v>
      </c>
    </row>
    <row r="302" spans="1:37" ht="15">
      <c r="A302" t="s">
        <v>1594</v>
      </c>
      <c r="B302" t="s">
        <v>1595</v>
      </c>
      <c r="C302" t="s">
        <v>338</v>
      </c>
      <c r="D302" t="s">
        <v>284</v>
      </c>
      <c r="E302">
        <v>43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269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269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1056</v>
      </c>
      <c r="AG302">
        <v>6.15</v>
      </c>
      <c r="AK302" t="str">
        <f t="shared" si="4"/>
        <v>WA110-5000</v>
      </c>
    </row>
    <row r="303" spans="1:37" ht="15">
      <c r="A303" t="s">
        <v>1596</v>
      </c>
      <c r="B303" t="s">
        <v>1595</v>
      </c>
      <c r="C303" t="s">
        <v>338</v>
      </c>
      <c r="D303" t="s">
        <v>284</v>
      </c>
      <c r="E303">
        <v>43</v>
      </c>
      <c r="F303">
        <v>0.1</v>
      </c>
      <c r="G303">
        <v>0</v>
      </c>
      <c r="H303">
        <v>79</v>
      </c>
      <c r="I303">
        <v>355</v>
      </c>
      <c r="J303">
        <v>593</v>
      </c>
      <c r="K303">
        <v>40</v>
      </c>
      <c r="L303">
        <v>139</v>
      </c>
      <c r="M303">
        <v>0</v>
      </c>
      <c r="N303">
        <v>0</v>
      </c>
      <c r="O303">
        <v>0</v>
      </c>
      <c r="P303">
        <v>0</v>
      </c>
      <c r="Q303">
        <v>40</v>
      </c>
      <c r="R303">
        <v>0</v>
      </c>
      <c r="S303">
        <v>0</v>
      </c>
      <c r="T303">
        <v>236</v>
      </c>
      <c r="U303">
        <v>0</v>
      </c>
      <c r="V303">
        <v>258</v>
      </c>
      <c r="W303">
        <v>657</v>
      </c>
      <c r="X303">
        <v>979</v>
      </c>
      <c r="Y303">
        <v>2788</v>
      </c>
      <c r="Z303">
        <v>446</v>
      </c>
      <c r="AA303">
        <v>780</v>
      </c>
      <c r="AB303">
        <v>618</v>
      </c>
      <c r="AC303">
        <v>251</v>
      </c>
      <c r="AD303">
        <v>100</v>
      </c>
      <c r="AE303">
        <v>7113</v>
      </c>
      <c r="AF303">
        <v>6098</v>
      </c>
      <c r="AG303">
        <v>6.15</v>
      </c>
      <c r="AK303" t="str">
        <f t="shared" si="4"/>
        <v>WA110-6200</v>
      </c>
    </row>
    <row r="304" spans="1:37" ht="15">
      <c r="A304" t="s">
        <v>1597</v>
      </c>
      <c r="B304" t="s">
        <v>1598</v>
      </c>
      <c r="C304" t="s">
        <v>338</v>
      </c>
      <c r="D304" t="s">
        <v>284</v>
      </c>
      <c r="E304">
        <v>43</v>
      </c>
      <c r="F304">
        <v>0</v>
      </c>
      <c r="G304">
        <v>0</v>
      </c>
      <c r="H304">
        <v>0</v>
      </c>
      <c r="I304">
        <v>13</v>
      </c>
      <c r="J304">
        <v>7</v>
      </c>
      <c r="K304">
        <v>322</v>
      </c>
      <c r="L304">
        <v>43</v>
      </c>
      <c r="M304">
        <v>0</v>
      </c>
      <c r="N304">
        <v>0</v>
      </c>
      <c r="O304">
        <v>0</v>
      </c>
      <c r="P304">
        <v>0</v>
      </c>
      <c r="Q304">
        <v>322</v>
      </c>
      <c r="R304">
        <v>0</v>
      </c>
      <c r="S304">
        <v>0</v>
      </c>
      <c r="T304">
        <v>0</v>
      </c>
      <c r="U304">
        <v>0</v>
      </c>
      <c r="V304">
        <v>80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80</v>
      </c>
      <c r="AF304">
        <v>511</v>
      </c>
      <c r="AG304">
        <v>8.2460000000000004</v>
      </c>
      <c r="AK304" t="str">
        <f t="shared" si="4"/>
        <v>WA120-5000</v>
      </c>
    </row>
    <row r="305" spans="1:37" ht="15">
      <c r="A305" t="s">
        <v>1599</v>
      </c>
      <c r="B305" t="s">
        <v>1598</v>
      </c>
      <c r="C305" t="s">
        <v>1076</v>
      </c>
      <c r="D305" t="s">
        <v>284</v>
      </c>
      <c r="E305">
        <v>43</v>
      </c>
      <c r="F305">
        <v>3.3</v>
      </c>
      <c r="G305">
        <v>0</v>
      </c>
      <c r="H305">
        <v>61</v>
      </c>
      <c r="I305">
        <v>141</v>
      </c>
      <c r="J305">
        <v>176</v>
      </c>
      <c r="K305">
        <v>796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796</v>
      </c>
      <c r="R305">
        <v>0</v>
      </c>
      <c r="S305">
        <v>0</v>
      </c>
      <c r="T305">
        <v>0</v>
      </c>
      <c r="U305">
        <v>183</v>
      </c>
      <c r="V305">
        <v>0</v>
      </c>
      <c r="W305">
        <v>0</v>
      </c>
      <c r="X305">
        <v>664</v>
      </c>
      <c r="Y305">
        <v>0</v>
      </c>
      <c r="Z305">
        <v>106</v>
      </c>
      <c r="AA305">
        <v>0</v>
      </c>
      <c r="AB305">
        <v>562</v>
      </c>
      <c r="AC305">
        <v>140</v>
      </c>
      <c r="AD305">
        <v>459</v>
      </c>
      <c r="AE305">
        <v>2114</v>
      </c>
      <c r="AF305">
        <v>1126</v>
      </c>
      <c r="AG305" t="s">
        <v>4552</v>
      </c>
      <c r="AH305">
        <v>6</v>
      </c>
      <c r="AI305">
        <v>150</v>
      </c>
      <c r="AJ305">
        <v>9.0374999999999996</v>
      </c>
      <c r="AK305" t="str">
        <f t="shared" si="4"/>
        <v>WA120-6200</v>
      </c>
    </row>
    <row r="306" spans="1:37" ht="15">
      <c r="A306" t="s">
        <v>1600</v>
      </c>
      <c r="B306" t="s">
        <v>1601</v>
      </c>
      <c r="C306" t="s">
        <v>110</v>
      </c>
      <c r="D306" t="s">
        <v>900</v>
      </c>
      <c r="E306">
        <v>50</v>
      </c>
      <c r="F306">
        <v>1.9</v>
      </c>
      <c r="G306">
        <v>35</v>
      </c>
      <c r="H306">
        <v>47</v>
      </c>
      <c r="I306">
        <v>69</v>
      </c>
      <c r="J306">
        <v>136</v>
      </c>
      <c r="K306">
        <v>386</v>
      </c>
      <c r="L306">
        <v>13</v>
      </c>
      <c r="M306">
        <v>0</v>
      </c>
      <c r="N306">
        <v>29</v>
      </c>
      <c r="O306">
        <v>0</v>
      </c>
      <c r="P306">
        <v>0</v>
      </c>
      <c r="Q306">
        <v>357</v>
      </c>
      <c r="R306">
        <v>0</v>
      </c>
      <c r="S306">
        <v>0</v>
      </c>
      <c r="T306">
        <v>142</v>
      </c>
      <c r="U306">
        <v>0</v>
      </c>
      <c r="V306">
        <v>0</v>
      </c>
      <c r="W306">
        <v>272</v>
      </c>
      <c r="X306">
        <v>0</v>
      </c>
      <c r="Y306">
        <v>208</v>
      </c>
      <c r="Z306">
        <v>242</v>
      </c>
      <c r="AA306">
        <v>274</v>
      </c>
      <c r="AB306">
        <v>0</v>
      </c>
      <c r="AC306">
        <v>496</v>
      </c>
      <c r="AD306">
        <v>0</v>
      </c>
      <c r="AE306">
        <v>1634</v>
      </c>
      <c r="AF306">
        <v>2077</v>
      </c>
      <c r="AG306">
        <v>5.2031999999999998</v>
      </c>
      <c r="AK306" t="str">
        <f t="shared" si="4"/>
        <v>WC090-5000</v>
      </c>
    </row>
    <row r="307" spans="1:37" ht="15">
      <c r="A307" t="s">
        <v>1602</v>
      </c>
      <c r="B307" t="s">
        <v>1601</v>
      </c>
      <c r="C307" t="s">
        <v>110</v>
      </c>
      <c r="D307" t="s">
        <v>900</v>
      </c>
      <c r="E307">
        <v>50</v>
      </c>
      <c r="F307">
        <v>0.6</v>
      </c>
      <c r="G307">
        <v>259</v>
      </c>
      <c r="H307">
        <v>488</v>
      </c>
      <c r="I307">
        <v>960</v>
      </c>
      <c r="J307">
        <v>1111</v>
      </c>
      <c r="K307">
        <v>1312</v>
      </c>
      <c r="L307">
        <v>175</v>
      </c>
      <c r="M307">
        <v>0</v>
      </c>
      <c r="N307">
        <v>216</v>
      </c>
      <c r="O307">
        <v>0</v>
      </c>
      <c r="P307">
        <v>0</v>
      </c>
      <c r="Q307">
        <v>1096</v>
      </c>
      <c r="R307">
        <v>0</v>
      </c>
      <c r="S307">
        <v>0</v>
      </c>
      <c r="T307">
        <v>1077</v>
      </c>
      <c r="U307">
        <v>386</v>
      </c>
      <c r="V307">
        <v>644</v>
      </c>
      <c r="W307">
        <v>3125</v>
      </c>
      <c r="X307">
        <v>529</v>
      </c>
      <c r="Y307">
        <v>1510</v>
      </c>
      <c r="Z307">
        <v>1354</v>
      </c>
      <c r="AA307">
        <v>1389</v>
      </c>
      <c r="AB307">
        <v>1149</v>
      </c>
      <c r="AC307">
        <v>1743</v>
      </c>
      <c r="AD307">
        <v>420</v>
      </c>
      <c r="AE307">
        <v>13326</v>
      </c>
      <c r="AF307">
        <v>13856</v>
      </c>
      <c r="AG307">
        <v>5.5937000000000001</v>
      </c>
      <c r="AK307" t="str">
        <f t="shared" si="4"/>
        <v>WC090-6200</v>
      </c>
    </row>
    <row r="308" spans="1:37" ht="15">
      <c r="A308" t="s">
        <v>1603</v>
      </c>
      <c r="B308" t="s">
        <v>1604</v>
      </c>
      <c r="C308" t="s">
        <v>313</v>
      </c>
      <c r="D308" t="s">
        <v>1605</v>
      </c>
      <c r="E308">
        <v>43</v>
      </c>
      <c r="F308">
        <v>0.5</v>
      </c>
      <c r="G308">
        <v>369</v>
      </c>
      <c r="H308">
        <v>1140</v>
      </c>
      <c r="I308">
        <v>2830</v>
      </c>
      <c r="J308">
        <v>2243</v>
      </c>
      <c r="K308">
        <v>2705</v>
      </c>
      <c r="L308">
        <v>397</v>
      </c>
      <c r="M308">
        <v>0</v>
      </c>
      <c r="N308">
        <v>307</v>
      </c>
      <c r="O308">
        <v>0</v>
      </c>
      <c r="P308">
        <v>0</v>
      </c>
      <c r="Q308">
        <v>2398</v>
      </c>
      <c r="R308">
        <v>658</v>
      </c>
      <c r="S308">
        <v>821</v>
      </c>
      <c r="T308">
        <v>713</v>
      </c>
      <c r="U308">
        <v>1886</v>
      </c>
      <c r="V308">
        <v>3403</v>
      </c>
      <c r="W308">
        <v>5691</v>
      </c>
      <c r="X308">
        <v>4468</v>
      </c>
      <c r="Y308">
        <v>422</v>
      </c>
      <c r="Z308">
        <v>2687</v>
      </c>
      <c r="AA308">
        <v>818</v>
      </c>
      <c r="AB308">
        <v>1922</v>
      </c>
      <c r="AC308">
        <v>1662</v>
      </c>
      <c r="AD308">
        <v>2423</v>
      </c>
      <c r="AE308">
        <v>26916</v>
      </c>
      <c r="AF308">
        <v>31589</v>
      </c>
      <c r="AG308">
        <v>5.2495000000000003</v>
      </c>
      <c r="AK308" t="str">
        <f t="shared" si="4"/>
        <v>WC105-5000</v>
      </c>
    </row>
    <row r="309" spans="1:37" ht="15">
      <c r="A309" t="s">
        <v>1606</v>
      </c>
      <c r="B309" t="s">
        <v>1604</v>
      </c>
      <c r="C309" t="s">
        <v>313</v>
      </c>
      <c r="D309" t="s">
        <v>1605</v>
      </c>
      <c r="E309">
        <v>43</v>
      </c>
      <c r="F309">
        <v>2.6</v>
      </c>
      <c r="G309">
        <v>699</v>
      </c>
      <c r="H309">
        <v>2210</v>
      </c>
      <c r="I309">
        <v>2506</v>
      </c>
      <c r="J309">
        <v>2584</v>
      </c>
      <c r="K309">
        <v>23598</v>
      </c>
      <c r="L309">
        <v>1414</v>
      </c>
      <c r="M309">
        <v>0</v>
      </c>
      <c r="N309">
        <v>583</v>
      </c>
      <c r="O309">
        <v>0</v>
      </c>
      <c r="P309">
        <v>0</v>
      </c>
      <c r="Q309">
        <v>23015</v>
      </c>
      <c r="R309">
        <v>612</v>
      </c>
      <c r="S309">
        <v>3101</v>
      </c>
      <c r="T309">
        <v>1119</v>
      </c>
      <c r="U309">
        <v>2410</v>
      </c>
      <c r="V309">
        <v>3316</v>
      </c>
      <c r="W309">
        <v>1803</v>
      </c>
      <c r="X309">
        <v>3284</v>
      </c>
      <c r="Y309">
        <v>1876</v>
      </c>
      <c r="Z309">
        <v>3044</v>
      </c>
      <c r="AA309">
        <v>1045</v>
      </c>
      <c r="AB309">
        <v>3118</v>
      </c>
      <c r="AC309">
        <v>2687</v>
      </c>
      <c r="AD309">
        <v>4202</v>
      </c>
      <c r="AE309">
        <v>31005</v>
      </c>
      <c r="AF309">
        <v>41460</v>
      </c>
      <c r="AG309">
        <v>5.0029000000000003</v>
      </c>
      <c r="AK309" t="str">
        <f t="shared" si="4"/>
        <v>WC105-6200</v>
      </c>
    </row>
    <row r="310" spans="1:37" ht="15">
      <c r="A310" t="s">
        <v>1607</v>
      </c>
      <c r="B310" t="s">
        <v>1608</v>
      </c>
      <c r="C310" t="s">
        <v>313</v>
      </c>
      <c r="E310">
        <v>40</v>
      </c>
      <c r="F310">
        <v>9.1</v>
      </c>
      <c r="G310">
        <v>182</v>
      </c>
      <c r="H310">
        <v>220</v>
      </c>
      <c r="I310">
        <v>390</v>
      </c>
      <c r="J310">
        <v>518</v>
      </c>
      <c r="K310">
        <v>8105</v>
      </c>
      <c r="L310">
        <v>129</v>
      </c>
      <c r="M310">
        <v>0</v>
      </c>
      <c r="N310">
        <v>152</v>
      </c>
      <c r="O310">
        <v>0</v>
      </c>
      <c r="P310">
        <v>0</v>
      </c>
      <c r="Q310">
        <v>7953</v>
      </c>
      <c r="R310">
        <v>179</v>
      </c>
      <c r="S310">
        <v>381</v>
      </c>
      <c r="T310">
        <v>0</v>
      </c>
      <c r="U310">
        <v>278</v>
      </c>
      <c r="V310">
        <v>502</v>
      </c>
      <c r="W310">
        <v>842</v>
      </c>
      <c r="X310">
        <v>336</v>
      </c>
      <c r="Y310">
        <v>0</v>
      </c>
      <c r="Z310">
        <v>0</v>
      </c>
      <c r="AA310">
        <v>1032</v>
      </c>
      <c r="AB310">
        <v>1159</v>
      </c>
      <c r="AC310">
        <v>1072</v>
      </c>
      <c r="AD310">
        <v>613</v>
      </c>
      <c r="AE310">
        <v>6215</v>
      </c>
      <c r="AF310">
        <v>8770</v>
      </c>
      <c r="AG310">
        <v>5.5960999999999999</v>
      </c>
      <c r="AK310" t="str">
        <f t="shared" si="4"/>
        <v>WC115-5000</v>
      </c>
    </row>
    <row r="311" spans="1:37" ht="15">
      <c r="A311" t="s">
        <v>1609</v>
      </c>
      <c r="B311" t="s">
        <v>1608</v>
      </c>
      <c r="C311" t="s">
        <v>313</v>
      </c>
      <c r="E311">
        <v>40</v>
      </c>
      <c r="F311">
        <v>3.1</v>
      </c>
      <c r="G311">
        <v>719</v>
      </c>
      <c r="H311">
        <v>1239</v>
      </c>
      <c r="I311">
        <v>1756</v>
      </c>
      <c r="J311">
        <v>1865</v>
      </c>
      <c r="K311">
        <v>15833</v>
      </c>
      <c r="L311">
        <v>1085</v>
      </c>
      <c r="M311">
        <v>0</v>
      </c>
      <c r="N311">
        <v>599</v>
      </c>
      <c r="O311">
        <v>0</v>
      </c>
      <c r="P311">
        <v>0</v>
      </c>
      <c r="Q311">
        <v>15234</v>
      </c>
      <c r="R311">
        <v>737</v>
      </c>
      <c r="S311">
        <v>974</v>
      </c>
      <c r="T311">
        <v>1674</v>
      </c>
      <c r="U311">
        <v>1068</v>
      </c>
      <c r="V311">
        <v>1886</v>
      </c>
      <c r="W311">
        <v>2438</v>
      </c>
      <c r="X311">
        <v>2494</v>
      </c>
      <c r="Y311">
        <v>906</v>
      </c>
      <c r="Z311">
        <v>1440</v>
      </c>
      <c r="AA311">
        <v>1910</v>
      </c>
      <c r="AB311">
        <v>3464</v>
      </c>
      <c r="AC311">
        <v>1958</v>
      </c>
      <c r="AD311">
        <v>2164</v>
      </c>
      <c r="AE311">
        <v>22376</v>
      </c>
      <c r="AF311">
        <v>29068</v>
      </c>
      <c r="AG311">
        <v>5.2751999999999999</v>
      </c>
      <c r="AK311" t="str">
        <f t="shared" si="4"/>
        <v>WC115-6200</v>
      </c>
    </row>
    <row r="312" spans="1:37" ht="15">
      <c r="A312" t="s">
        <v>1610</v>
      </c>
      <c r="B312" t="s">
        <v>1611</v>
      </c>
      <c r="C312" t="s">
        <v>313</v>
      </c>
      <c r="D312" t="s">
        <v>1612</v>
      </c>
      <c r="E312">
        <v>43</v>
      </c>
      <c r="F312">
        <v>0</v>
      </c>
      <c r="G312">
        <v>0</v>
      </c>
      <c r="H312">
        <v>0</v>
      </c>
      <c r="I312">
        <v>139</v>
      </c>
      <c r="J312">
        <v>85</v>
      </c>
      <c r="K312">
        <v>1226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1226</v>
      </c>
      <c r="R312">
        <v>0</v>
      </c>
      <c r="S312">
        <v>0</v>
      </c>
      <c r="T312">
        <v>0</v>
      </c>
      <c r="U312">
        <v>0</v>
      </c>
      <c r="V312">
        <v>575</v>
      </c>
      <c r="W312">
        <v>256</v>
      </c>
      <c r="X312">
        <v>0</v>
      </c>
      <c r="Y312">
        <v>0</v>
      </c>
      <c r="Z312">
        <v>0</v>
      </c>
      <c r="AA312">
        <v>187</v>
      </c>
      <c r="AB312">
        <v>0</v>
      </c>
      <c r="AC312">
        <v>0</v>
      </c>
      <c r="AD312">
        <v>0</v>
      </c>
      <c r="AE312">
        <v>1018</v>
      </c>
      <c r="AF312">
        <v>819</v>
      </c>
      <c r="AJ312">
        <v>6.9524999999999997</v>
      </c>
      <c r="AK312" t="str">
        <f t="shared" si="4"/>
        <v>WC125-5000</v>
      </c>
    </row>
    <row r="313" spans="1:37" ht="15">
      <c r="A313" t="s">
        <v>1613</v>
      </c>
      <c r="B313" t="s">
        <v>1611</v>
      </c>
      <c r="C313" t="s">
        <v>313</v>
      </c>
      <c r="D313" t="s">
        <v>1612</v>
      </c>
      <c r="E313">
        <v>43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266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266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J313">
        <v>6.0490000000000004</v>
      </c>
      <c r="AK313" t="str">
        <f t="shared" si="4"/>
        <v>WC125-6200</v>
      </c>
    </row>
    <row r="314" spans="1:37" ht="15">
      <c r="A314" t="s">
        <v>1614</v>
      </c>
      <c r="B314" t="s">
        <v>1615</v>
      </c>
      <c r="C314" t="s">
        <v>1076</v>
      </c>
      <c r="D314" t="s">
        <v>1616</v>
      </c>
      <c r="E314">
        <v>43</v>
      </c>
      <c r="F314">
        <v>0</v>
      </c>
      <c r="G314">
        <v>280</v>
      </c>
      <c r="H314">
        <v>0</v>
      </c>
      <c r="I314">
        <v>466</v>
      </c>
      <c r="J314">
        <v>419</v>
      </c>
      <c r="K314">
        <v>0</v>
      </c>
      <c r="L314">
        <v>164</v>
      </c>
      <c r="M314">
        <v>0</v>
      </c>
      <c r="N314">
        <v>233</v>
      </c>
      <c r="O314">
        <v>0</v>
      </c>
      <c r="P314">
        <v>0</v>
      </c>
      <c r="Q314">
        <v>-233</v>
      </c>
      <c r="R314">
        <v>0</v>
      </c>
      <c r="S314">
        <v>0</v>
      </c>
      <c r="T314">
        <v>0</v>
      </c>
      <c r="U314">
        <v>0</v>
      </c>
      <c r="V314">
        <v>812</v>
      </c>
      <c r="W314">
        <v>227</v>
      </c>
      <c r="X314">
        <v>1755</v>
      </c>
      <c r="Y314">
        <v>234</v>
      </c>
      <c r="Z314">
        <v>1439</v>
      </c>
      <c r="AA314">
        <v>150</v>
      </c>
      <c r="AB314">
        <v>355</v>
      </c>
      <c r="AC314">
        <v>0</v>
      </c>
      <c r="AD314">
        <v>56</v>
      </c>
      <c r="AE314">
        <v>5028</v>
      </c>
      <c r="AF314">
        <v>2057</v>
      </c>
      <c r="AG314" t="s">
        <v>4553</v>
      </c>
      <c r="AH314">
        <v>3</v>
      </c>
      <c r="AI314">
        <v>490</v>
      </c>
      <c r="AJ314">
        <v>5.2497999999999996</v>
      </c>
      <c r="AK314" t="str">
        <f t="shared" si="4"/>
        <v>WC135-5000</v>
      </c>
    </row>
    <row r="315" spans="1:37" ht="15">
      <c r="A315" t="s">
        <v>1617</v>
      </c>
      <c r="B315" t="s">
        <v>1615</v>
      </c>
      <c r="C315" t="s">
        <v>110</v>
      </c>
      <c r="D315" t="s">
        <v>1616</v>
      </c>
      <c r="E315">
        <v>43</v>
      </c>
      <c r="F315">
        <v>0</v>
      </c>
      <c r="G315">
        <v>103</v>
      </c>
      <c r="H315">
        <v>0</v>
      </c>
      <c r="I315">
        <v>176</v>
      </c>
      <c r="J315">
        <v>164</v>
      </c>
      <c r="K315">
        <v>600</v>
      </c>
      <c r="L315">
        <v>261</v>
      </c>
      <c r="M315">
        <v>0</v>
      </c>
      <c r="N315">
        <v>86</v>
      </c>
      <c r="O315">
        <v>0</v>
      </c>
      <c r="P315">
        <v>0</v>
      </c>
      <c r="Q315">
        <v>514</v>
      </c>
      <c r="R315">
        <v>0</v>
      </c>
      <c r="S315">
        <v>0</v>
      </c>
      <c r="T315">
        <v>0</v>
      </c>
      <c r="U315">
        <v>0</v>
      </c>
      <c r="V315">
        <v>418</v>
      </c>
      <c r="W315">
        <v>174</v>
      </c>
      <c r="X315">
        <v>466</v>
      </c>
      <c r="Y315">
        <v>354</v>
      </c>
      <c r="Z315">
        <v>0</v>
      </c>
      <c r="AA315">
        <v>142</v>
      </c>
      <c r="AB315">
        <v>417</v>
      </c>
      <c r="AC315">
        <v>0</v>
      </c>
      <c r="AD315">
        <v>0</v>
      </c>
      <c r="AE315">
        <v>1971</v>
      </c>
      <c r="AF315">
        <v>856</v>
      </c>
      <c r="AG315">
        <v>5.5407000000000002</v>
      </c>
      <c r="AK315" t="str">
        <f t="shared" si="4"/>
        <v>WC135-6200</v>
      </c>
    </row>
    <row r="316" spans="1:37" ht="15">
      <c r="A316" t="s">
        <v>1621</v>
      </c>
      <c r="B316" t="s">
        <v>1622</v>
      </c>
      <c r="C316" t="s">
        <v>313</v>
      </c>
      <c r="D316" t="s">
        <v>1623</v>
      </c>
      <c r="E316">
        <v>43</v>
      </c>
      <c r="F316">
        <v>0</v>
      </c>
      <c r="G316">
        <v>0</v>
      </c>
      <c r="H316">
        <v>126</v>
      </c>
      <c r="I316">
        <v>120</v>
      </c>
      <c r="J316">
        <v>92</v>
      </c>
      <c r="K316">
        <v>0</v>
      </c>
      <c r="L316">
        <v>82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172</v>
      </c>
      <c r="T316">
        <v>0</v>
      </c>
      <c r="U316">
        <v>207</v>
      </c>
      <c r="V316">
        <v>238</v>
      </c>
      <c r="W316">
        <v>0</v>
      </c>
      <c r="X316">
        <v>105</v>
      </c>
      <c r="Y316">
        <v>0</v>
      </c>
      <c r="Z316">
        <v>216</v>
      </c>
      <c r="AA316">
        <v>0</v>
      </c>
      <c r="AB316">
        <v>0</v>
      </c>
      <c r="AC316">
        <v>0</v>
      </c>
      <c r="AD316">
        <v>163</v>
      </c>
      <c r="AE316">
        <v>1101</v>
      </c>
      <c r="AF316">
        <v>410</v>
      </c>
      <c r="AG316">
        <v>5.7874999999999996</v>
      </c>
      <c r="AK316" t="str">
        <f t="shared" si="4"/>
        <v>WC210-5000</v>
      </c>
    </row>
    <row r="317" spans="1:37" ht="15">
      <c r="A317" t="s">
        <v>1624</v>
      </c>
      <c r="B317" t="s">
        <v>1622</v>
      </c>
      <c r="C317" t="s">
        <v>313</v>
      </c>
      <c r="D317" t="s">
        <v>1623</v>
      </c>
      <c r="E317">
        <v>43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340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340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380</v>
      </c>
      <c r="AG317">
        <v>7.5544000000000002</v>
      </c>
      <c r="AK317" t="str">
        <f t="shared" si="4"/>
        <v>WC210-6200</v>
      </c>
    </row>
    <row r="318" spans="1:37" ht="15">
      <c r="A318" t="s">
        <v>1635</v>
      </c>
      <c r="B318" t="s">
        <v>1634</v>
      </c>
      <c r="C318" t="s">
        <v>329</v>
      </c>
      <c r="D318" t="s">
        <v>1636</v>
      </c>
      <c r="E318">
        <v>50</v>
      </c>
      <c r="F318">
        <v>0</v>
      </c>
      <c r="G318">
        <v>0</v>
      </c>
      <c r="H318">
        <v>75</v>
      </c>
      <c r="I318">
        <v>37</v>
      </c>
      <c r="J318">
        <v>19</v>
      </c>
      <c r="K318">
        <v>0</v>
      </c>
      <c r="L318">
        <v>40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224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224</v>
      </c>
      <c r="AF318">
        <v>130</v>
      </c>
      <c r="AJ318">
        <v>3.7532999999999999</v>
      </c>
      <c r="AK318" t="str">
        <f t="shared" si="4"/>
        <v>WC411-5000</v>
      </c>
    </row>
    <row r="319" spans="1:37" ht="15">
      <c r="A319" t="s">
        <v>1637</v>
      </c>
      <c r="B319" t="s">
        <v>1634</v>
      </c>
      <c r="C319" t="s">
        <v>329</v>
      </c>
      <c r="D319" t="s">
        <v>1636</v>
      </c>
      <c r="E319">
        <v>50</v>
      </c>
      <c r="F319">
        <v>1.4</v>
      </c>
      <c r="G319">
        <v>0</v>
      </c>
      <c r="H319">
        <v>69</v>
      </c>
      <c r="I319">
        <v>34</v>
      </c>
      <c r="J319">
        <v>17</v>
      </c>
      <c r="K319">
        <v>372</v>
      </c>
      <c r="L319">
        <v>133</v>
      </c>
      <c r="M319">
        <v>0</v>
      </c>
      <c r="N319">
        <v>0</v>
      </c>
      <c r="O319">
        <v>0</v>
      </c>
      <c r="P319">
        <v>0</v>
      </c>
      <c r="Q319">
        <v>372</v>
      </c>
      <c r="R319">
        <v>0</v>
      </c>
      <c r="S319">
        <v>0</v>
      </c>
      <c r="T319">
        <v>0</v>
      </c>
      <c r="U319">
        <v>206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206</v>
      </c>
      <c r="AF319">
        <v>192</v>
      </c>
      <c r="AG319">
        <v>6.1180000000000003</v>
      </c>
      <c r="AK319" t="str">
        <f t="shared" si="4"/>
        <v>WC411-6200</v>
      </c>
    </row>
    <row r="320" spans="1:37" ht="15">
      <c r="A320" t="s">
        <v>1643</v>
      </c>
      <c r="B320" t="s">
        <v>1638</v>
      </c>
      <c r="C320" t="s">
        <v>275</v>
      </c>
      <c r="D320" t="s">
        <v>1422</v>
      </c>
      <c r="E320">
        <v>43</v>
      </c>
      <c r="F320">
        <v>0.8</v>
      </c>
      <c r="G320">
        <v>0</v>
      </c>
      <c r="H320">
        <v>177</v>
      </c>
      <c r="I320">
        <v>104</v>
      </c>
      <c r="J320">
        <v>99</v>
      </c>
      <c r="K320">
        <v>540</v>
      </c>
      <c r="L320">
        <v>165</v>
      </c>
      <c r="M320">
        <v>0</v>
      </c>
      <c r="N320">
        <v>0</v>
      </c>
      <c r="O320">
        <v>0</v>
      </c>
      <c r="P320">
        <v>0</v>
      </c>
      <c r="Q320">
        <v>540</v>
      </c>
      <c r="R320">
        <v>0</v>
      </c>
      <c r="S320">
        <v>111</v>
      </c>
      <c r="T320">
        <v>294</v>
      </c>
      <c r="U320">
        <v>125</v>
      </c>
      <c r="V320">
        <v>0</v>
      </c>
      <c r="W320">
        <v>91</v>
      </c>
      <c r="X320">
        <v>0</v>
      </c>
      <c r="Y320">
        <v>0</v>
      </c>
      <c r="Z320">
        <v>114</v>
      </c>
      <c r="AA320">
        <v>0</v>
      </c>
      <c r="AB320">
        <v>100</v>
      </c>
      <c r="AC320">
        <v>101</v>
      </c>
      <c r="AD320">
        <v>250</v>
      </c>
      <c r="AE320">
        <v>1186</v>
      </c>
      <c r="AF320">
        <v>1130</v>
      </c>
      <c r="AJ320">
        <v>8.2669999999999995</v>
      </c>
      <c r="AK320" t="str">
        <f t="shared" si="4"/>
        <v>WC421-5000</v>
      </c>
    </row>
    <row r="321" spans="1:37" ht="15">
      <c r="A321" t="s">
        <v>1644</v>
      </c>
      <c r="B321" t="s">
        <v>1638</v>
      </c>
      <c r="C321" t="s">
        <v>275</v>
      </c>
      <c r="D321" t="s">
        <v>1645</v>
      </c>
      <c r="E321">
        <v>43</v>
      </c>
      <c r="F321">
        <v>0.2</v>
      </c>
      <c r="G321">
        <v>0</v>
      </c>
      <c r="H321">
        <v>189</v>
      </c>
      <c r="I321">
        <v>177</v>
      </c>
      <c r="J321">
        <v>133</v>
      </c>
      <c r="K321">
        <v>170</v>
      </c>
      <c r="L321">
        <v>127</v>
      </c>
      <c r="M321">
        <v>0</v>
      </c>
      <c r="N321">
        <v>0</v>
      </c>
      <c r="O321">
        <v>0</v>
      </c>
      <c r="P321">
        <v>0</v>
      </c>
      <c r="Q321">
        <v>170</v>
      </c>
      <c r="R321">
        <v>0</v>
      </c>
      <c r="S321">
        <v>0</v>
      </c>
      <c r="T321">
        <v>463</v>
      </c>
      <c r="U321">
        <v>104</v>
      </c>
      <c r="V321">
        <v>266</v>
      </c>
      <c r="W321">
        <v>230</v>
      </c>
      <c r="X321">
        <v>0</v>
      </c>
      <c r="Y321">
        <v>205</v>
      </c>
      <c r="Z321">
        <v>192</v>
      </c>
      <c r="AA321">
        <v>0</v>
      </c>
      <c r="AB321">
        <v>0</v>
      </c>
      <c r="AC321">
        <v>0</v>
      </c>
      <c r="AD321">
        <v>140</v>
      </c>
      <c r="AE321">
        <v>1600</v>
      </c>
      <c r="AF321">
        <v>1846</v>
      </c>
      <c r="AG321">
        <v>8.2669999999999995</v>
      </c>
      <c r="AK321" t="str">
        <f t="shared" si="4"/>
        <v>WC421-6200</v>
      </c>
    </row>
    <row r="322" spans="1:37" ht="15">
      <c r="A322" t="s">
        <v>1648</v>
      </c>
      <c r="B322" t="s">
        <v>1647</v>
      </c>
      <c r="C322" t="s">
        <v>1076</v>
      </c>
      <c r="D322" t="s">
        <v>1422</v>
      </c>
      <c r="E322">
        <v>43</v>
      </c>
      <c r="F322">
        <v>0</v>
      </c>
      <c r="G322">
        <v>0</v>
      </c>
      <c r="H322">
        <v>0</v>
      </c>
      <c r="I322">
        <v>144</v>
      </c>
      <c r="J322">
        <v>191</v>
      </c>
      <c r="K322">
        <v>686</v>
      </c>
      <c r="L322">
        <v>38</v>
      </c>
      <c r="M322">
        <v>0</v>
      </c>
      <c r="N322">
        <v>0</v>
      </c>
      <c r="O322">
        <v>0</v>
      </c>
      <c r="P322">
        <v>0</v>
      </c>
      <c r="Q322">
        <v>686</v>
      </c>
      <c r="R322">
        <v>0</v>
      </c>
      <c r="S322">
        <v>0</v>
      </c>
      <c r="T322">
        <v>0</v>
      </c>
      <c r="U322">
        <v>0</v>
      </c>
      <c r="V322">
        <v>82</v>
      </c>
      <c r="W322">
        <v>260</v>
      </c>
      <c r="X322">
        <v>522</v>
      </c>
      <c r="Y322">
        <v>0</v>
      </c>
      <c r="Z322">
        <v>0</v>
      </c>
      <c r="AA322">
        <v>0</v>
      </c>
      <c r="AB322">
        <v>172</v>
      </c>
      <c r="AC322">
        <v>0</v>
      </c>
      <c r="AD322">
        <v>1261</v>
      </c>
      <c r="AE322">
        <v>2297</v>
      </c>
      <c r="AF322">
        <v>3575</v>
      </c>
      <c r="AG322" t="s">
        <v>4554</v>
      </c>
      <c r="AH322">
        <v>5</v>
      </c>
      <c r="AI322">
        <v>50</v>
      </c>
      <c r="AJ322">
        <v>5.4717000000000002</v>
      </c>
      <c r="AK322" t="str">
        <f t="shared" si="4"/>
        <v>WC431-5000</v>
      </c>
    </row>
    <row r="323" spans="1:37" ht="15">
      <c r="A323" t="s">
        <v>1649</v>
      </c>
      <c r="B323" t="s">
        <v>1647</v>
      </c>
      <c r="C323" t="s">
        <v>275</v>
      </c>
      <c r="D323" t="s">
        <v>292</v>
      </c>
      <c r="E323">
        <v>43</v>
      </c>
      <c r="F323">
        <v>0</v>
      </c>
      <c r="G323">
        <v>0</v>
      </c>
      <c r="H323">
        <v>0</v>
      </c>
      <c r="I323">
        <v>64</v>
      </c>
      <c r="J323">
        <v>32</v>
      </c>
      <c r="K323">
        <v>1427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1427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384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384</v>
      </c>
      <c r="AF323">
        <v>770</v>
      </c>
      <c r="AG323">
        <v>6.4215999999999998</v>
      </c>
      <c r="AK323" t="str">
        <f t="shared" si="4"/>
        <v>WC431-6200</v>
      </c>
    </row>
    <row r="324" spans="1:37" ht="15">
      <c r="A324" t="s">
        <v>1650</v>
      </c>
      <c r="B324" t="s">
        <v>1651</v>
      </c>
      <c r="C324" t="s">
        <v>329</v>
      </c>
      <c r="D324" t="s">
        <v>1652</v>
      </c>
      <c r="E324">
        <v>50</v>
      </c>
      <c r="F324">
        <v>0</v>
      </c>
      <c r="G324">
        <v>73</v>
      </c>
      <c r="H324">
        <v>0</v>
      </c>
      <c r="I324">
        <v>0</v>
      </c>
      <c r="J324">
        <v>82</v>
      </c>
      <c r="K324">
        <v>0</v>
      </c>
      <c r="L324">
        <v>55</v>
      </c>
      <c r="M324">
        <v>0</v>
      </c>
      <c r="N324">
        <v>61</v>
      </c>
      <c r="O324">
        <v>0</v>
      </c>
      <c r="P324">
        <v>0</v>
      </c>
      <c r="Q324">
        <v>-61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313</v>
      </c>
      <c r="Z324">
        <v>0</v>
      </c>
      <c r="AA324">
        <v>0</v>
      </c>
      <c r="AB324">
        <v>0</v>
      </c>
      <c r="AC324">
        <v>302</v>
      </c>
      <c r="AD324">
        <v>371</v>
      </c>
      <c r="AE324">
        <v>986</v>
      </c>
      <c r="AF324">
        <v>551</v>
      </c>
      <c r="AJ324">
        <v>6.2496</v>
      </c>
      <c r="AK324" t="str">
        <f t="shared" si="4"/>
        <v>WC471-5000</v>
      </c>
    </row>
    <row r="325" spans="1:37" ht="15">
      <c r="A325" t="s">
        <v>3923</v>
      </c>
      <c r="B325" t="s">
        <v>1651</v>
      </c>
      <c r="C325" t="s">
        <v>329</v>
      </c>
      <c r="D325" t="s">
        <v>4555</v>
      </c>
      <c r="E325">
        <v>50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580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580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5.9375</v>
      </c>
      <c r="AK325" t="str">
        <f t="shared" ref="AK325:AK388" si="5">MID(A325,4,10)</f>
        <v>WC471-6200</v>
      </c>
    </row>
    <row r="326" spans="1:37" ht="15">
      <c r="A326" t="s">
        <v>1653</v>
      </c>
      <c r="B326" t="s">
        <v>1654</v>
      </c>
      <c r="C326" t="s">
        <v>329</v>
      </c>
      <c r="D326" t="s">
        <v>292</v>
      </c>
      <c r="E326">
        <v>50</v>
      </c>
      <c r="F326">
        <v>0</v>
      </c>
      <c r="G326">
        <v>0</v>
      </c>
      <c r="H326">
        <v>45</v>
      </c>
      <c r="I326">
        <v>22</v>
      </c>
      <c r="J326">
        <v>11</v>
      </c>
      <c r="K326">
        <v>0</v>
      </c>
      <c r="L326">
        <v>31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134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134</v>
      </c>
      <c r="AF326">
        <v>94</v>
      </c>
      <c r="AJ326">
        <v>5.4945000000000004</v>
      </c>
      <c r="AK326" t="str">
        <f t="shared" si="5"/>
        <v>WC521-5000</v>
      </c>
    </row>
    <row r="327" spans="1:37" ht="15">
      <c r="A327" t="s">
        <v>1655</v>
      </c>
      <c r="B327" t="s">
        <v>1654</v>
      </c>
      <c r="C327" t="s">
        <v>329</v>
      </c>
      <c r="D327" t="s">
        <v>292</v>
      </c>
      <c r="E327">
        <v>50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168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168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6.5259</v>
      </c>
      <c r="AK327" t="str">
        <f t="shared" si="5"/>
        <v>WC521-6200</v>
      </c>
    </row>
    <row r="328" spans="1:37" ht="15">
      <c r="A328" t="s">
        <v>6245</v>
      </c>
      <c r="B328" t="s">
        <v>4556</v>
      </c>
      <c r="C328" t="s">
        <v>275</v>
      </c>
      <c r="D328" t="s">
        <v>4557</v>
      </c>
      <c r="E328">
        <v>43</v>
      </c>
      <c r="F328">
        <v>1.3</v>
      </c>
      <c r="G328">
        <v>398</v>
      </c>
      <c r="H328">
        <v>163</v>
      </c>
      <c r="I328">
        <v>278</v>
      </c>
      <c r="J328">
        <v>288</v>
      </c>
      <c r="K328">
        <v>1175</v>
      </c>
      <c r="L328">
        <v>352</v>
      </c>
      <c r="M328">
        <v>132</v>
      </c>
      <c r="N328">
        <v>332</v>
      </c>
      <c r="O328">
        <v>0</v>
      </c>
      <c r="P328">
        <v>0</v>
      </c>
      <c r="Q328">
        <v>843</v>
      </c>
      <c r="R328">
        <v>303</v>
      </c>
      <c r="S328">
        <v>0</v>
      </c>
      <c r="T328">
        <v>154</v>
      </c>
      <c r="U328">
        <v>334</v>
      </c>
      <c r="V328">
        <v>356</v>
      </c>
      <c r="W328">
        <v>646</v>
      </c>
      <c r="X328">
        <v>175</v>
      </c>
      <c r="Y328">
        <v>0</v>
      </c>
      <c r="Z328">
        <v>264</v>
      </c>
      <c r="AA328">
        <v>0</v>
      </c>
      <c r="AB328">
        <v>380</v>
      </c>
      <c r="AC328">
        <v>1142</v>
      </c>
      <c r="AD328">
        <v>0</v>
      </c>
      <c r="AE328">
        <v>3451</v>
      </c>
      <c r="AF328">
        <v>2580</v>
      </c>
      <c r="AJ328">
        <v>5.2907999999999999</v>
      </c>
      <c r="AK328" t="str">
        <f t="shared" si="5"/>
        <v>WC530-5000</v>
      </c>
    </row>
    <row r="329" spans="1:37" ht="15">
      <c r="A329" t="s">
        <v>6246</v>
      </c>
      <c r="B329" t="s">
        <v>4556</v>
      </c>
      <c r="C329" t="s">
        <v>275</v>
      </c>
      <c r="D329" t="s">
        <v>1706</v>
      </c>
      <c r="E329">
        <v>43</v>
      </c>
      <c r="F329">
        <v>3.7</v>
      </c>
      <c r="G329">
        <v>230</v>
      </c>
      <c r="H329">
        <v>274</v>
      </c>
      <c r="I329">
        <v>236</v>
      </c>
      <c r="J329">
        <v>201</v>
      </c>
      <c r="K329">
        <v>4283</v>
      </c>
      <c r="L329">
        <v>495</v>
      </c>
      <c r="M329">
        <v>283</v>
      </c>
      <c r="N329">
        <v>191</v>
      </c>
      <c r="O329">
        <v>0</v>
      </c>
      <c r="P329">
        <v>0</v>
      </c>
      <c r="Q329">
        <v>4092</v>
      </c>
      <c r="R329">
        <v>264</v>
      </c>
      <c r="S329">
        <v>0</v>
      </c>
      <c r="T329">
        <v>254</v>
      </c>
      <c r="U329">
        <v>568</v>
      </c>
      <c r="V329">
        <v>0</v>
      </c>
      <c r="W329">
        <v>324</v>
      </c>
      <c r="X329">
        <v>267</v>
      </c>
      <c r="Y329">
        <v>0</v>
      </c>
      <c r="Z329">
        <v>0</v>
      </c>
      <c r="AA329">
        <v>0</v>
      </c>
      <c r="AB329">
        <v>704</v>
      </c>
      <c r="AC329">
        <v>293</v>
      </c>
      <c r="AD329">
        <v>0</v>
      </c>
      <c r="AE329">
        <v>2410</v>
      </c>
      <c r="AF329">
        <v>2985</v>
      </c>
      <c r="AJ329">
        <v>5.2907999999999999</v>
      </c>
      <c r="AK329" t="str">
        <f t="shared" si="5"/>
        <v>WC530-6200</v>
      </c>
    </row>
    <row r="330" spans="1:37" ht="15">
      <c r="A330" t="s">
        <v>6247</v>
      </c>
      <c r="B330" t="s">
        <v>4558</v>
      </c>
      <c r="C330" t="s">
        <v>275</v>
      </c>
      <c r="D330" t="s">
        <v>1706</v>
      </c>
      <c r="E330">
        <v>43</v>
      </c>
      <c r="F330">
        <v>0</v>
      </c>
      <c r="G330">
        <v>440</v>
      </c>
      <c r="H330">
        <v>0</v>
      </c>
      <c r="I330">
        <v>0</v>
      </c>
      <c r="J330">
        <v>0</v>
      </c>
      <c r="K330">
        <v>1582</v>
      </c>
      <c r="L330">
        <v>211</v>
      </c>
      <c r="M330">
        <v>0</v>
      </c>
      <c r="N330">
        <v>367</v>
      </c>
      <c r="O330">
        <v>0</v>
      </c>
      <c r="P330">
        <v>0</v>
      </c>
      <c r="Q330">
        <v>1215</v>
      </c>
      <c r="R330">
        <v>459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238</v>
      </c>
      <c r="AJ330">
        <v>5.8742999999999999</v>
      </c>
      <c r="AK330" t="str">
        <f t="shared" si="5"/>
        <v>WC642-6200</v>
      </c>
    </row>
    <row r="331" spans="1:37" ht="15">
      <c r="A331" t="s">
        <v>1656</v>
      </c>
      <c r="B331" t="s">
        <v>1657</v>
      </c>
      <c r="C331" t="s">
        <v>1076</v>
      </c>
      <c r="D331" t="s">
        <v>284</v>
      </c>
      <c r="E331">
        <v>50</v>
      </c>
      <c r="F331">
        <v>0</v>
      </c>
      <c r="G331">
        <v>0</v>
      </c>
      <c r="H331">
        <v>0</v>
      </c>
      <c r="I331">
        <v>57</v>
      </c>
      <c r="J331">
        <v>29</v>
      </c>
      <c r="K331">
        <v>302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302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342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342</v>
      </c>
      <c r="AF331">
        <v>426</v>
      </c>
      <c r="AG331" t="s">
        <v>4559</v>
      </c>
      <c r="AH331">
        <v>4</v>
      </c>
      <c r="AI331">
        <v>1</v>
      </c>
      <c r="AJ331">
        <v>7.3688000000000002</v>
      </c>
      <c r="AK331" t="str">
        <f t="shared" si="5"/>
        <v>WC652-5000</v>
      </c>
    </row>
    <row r="332" spans="1:37" ht="15">
      <c r="A332" t="s">
        <v>1658</v>
      </c>
      <c r="B332" t="s">
        <v>1657</v>
      </c>
      <c r="C332" t="s">
        <v>1027</v>
      </c>
      <c r="D332" t="s">
        <v>284</v>
      </c>
      <c r="E332">
        <v>50</v>
      </c>
      <c r="F332">
        <v>0</v>
      </c>
      <c r="G332">
        <v>0</v>
      </c>
      <c r="H332">
        <v>0</v>
      </c>
      <c r="I332">
        <v>29</v>
      </c>
      <c r="J332">
        <v>15</v>
      </c>
      <c r="K332">
        <v>784</v>
      </c>
      <c r="L332">
        <v>107</v>
      </c>
      <c r="M332">
        <v>0</v>
      </c>
      <c r="N332">
        <v>0</v>
      </c>
      <c r="O332">
        <v>0</v>
      </c>
      <c r="P332">
        <v>0</v>
      </c>
      <c r="Q332">
        <v>784</v>
      </c>
      <c r="R332">
        <v>0</v>
      </c>
      <c r="S332">
        <v>0</v>
      </c>
      <c r="T332">
        <v>0</v>
      </c>
      <c r="U332">
        <v>0</v>
      </c>
      <c r="V332">
        <v>176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176</v>
      </c>
      <c r="AF332">
        <v>1121</v>
      </c>
      <c r="AG332">
        <v>4.7481</v>
      </c>
      <c r="AK332" t="str">
        <f t="shared" si="5"/>
        <v>WC652-6200</v>
      </c>
    </row>
    <row r="333" spans="1:37" ht="15">
      <c r="A333" t="s">
        <v>1666</v>
      </c>
      <c r="B333" t="s">
        <v>1667</v>
      </c>
      <c r="C333" t="s">
        <v>318</v>
      </c>
      <c r="D333" t="s">
        <v>292</v>
      </c>
      <c r="E333">
        <v>50</v>
      </c>
      <c r="F333">
        <v>0</v>
      </c>
      <c r="G333">
        <v>0</v>
      </c>
      <c r="H333">
        <v>45</v>
      </c>
      <c r="I333">
        <v>23</v>
      </c>
      <c r="J333">
        <v>11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135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135</v>
      </c>
      <c r="AF333">
        <v>0</v>
      </c>
      <c r="AG333">
        <v>9.4640000000000004</v>
      </c>
      <c r="AK333" t="str">
        <f t="shared" si="5"/>
        <v>WE261-5000</v>
      </c>
    </row>
    <row r="334" spans="1:37" ht="15">
      <c r="A334" t="s">
        <v>1672</v>
      </c>
      <c r="B334" t="s">
        <v>1673</v>
      </c>
      <c r="C334" t="s">
        <v>1076</v>
      </c>
      <c r="D334" t="s">
        <v>1674</v>
      </c>
      <c r="E334">
        <v>43</v>
      </c>
      <c r="F334">
        <v>1.7</v>
      </c>
      <c r="G334">
        <v>0</v>
      </c>
      <c r="H334">
        <v>87</v>
      </c>
      <c r="I334">
        <v>84</v>
      </c>
      <c r="J334">
        <v>109</v>
      </c>
      <c r="K334">
        <v>576</v>
      </c>
      <c r="L334">
        <v>23</v>
      </c>
      <c r="M334">
        <v>0</v>
      </c>
      <c r="N334">
        <v>0</v>
      </c>
      <c r="O334">
        <v>0</v>
      </c>
      <c r="P334">
        <v>0</v>
      </c>
      <c r="Q334">
        <v>576</v>
      </c>
      <c r="R334">
        <v>0</v>
      </c>
      <c r="S334">
        <v>112</v>
      </c>
      <c r="T334">
        <v>148</v>
      </c>
      <c r="U334">
        <v>0</v>
      </c>
      <c r="V334">
        <v>135</v>
      </c>
      <c r="W334">
        <v>108</v>
      </c>
      <c r="X334">
        <v>0</v>
      </c>
      <c r="Y334">
        <v>77</v>
      </c>
      <c r="Z334">
        <v>128</v>
      </c>
      <c r="AA334">
        <v>0</v>
      </c>
      <c r="AB334">
        <v>215</v>
      </c>
      <c r="AC334">
        <v>182</v>
      </c>
      <c r="AD334">
        <v>200</v>
      </c>
      <c r="AE334">
        <v>1305</v>
      </c>
      <c r="AF334">
        <v>1797</v>
      </c>
      <c r="AG334" t="s">
        <v>4560</v>
      </c>
      <c r="AH334">
        <v>2</v>
      </c>
      <c r="AI334">
        <v>22</v>
      </c>
      <c r="AJ334">
        <v>7.7125000000000004</v>
      </c>
      <c r="AK334" t="str">
        <f t="shared" si="5"/>
        <v>WE300-5000</v>
      </c>
    </row>
    <row r="335" spans="1:37" ht="15">
      <c r="A335" t="s">
        <v>1675</v>
      </c>
      <c r="B335" t="s">
        <v>1673</v>
      </c>
      <c r="C335" t="s">
        <v>313</v>
      </c>
      <c r="D335" t="s">
        <v>1674</v>
      </c>
      <c r="E335">
        <v>43</v>
      </c>
      <c r="F335">
        <v>0.8</v>
      </c>
      <c r="G335">
        <v>0</v>
      </c>
      <c r="H335">
        <v>146</v>
      </c>
      <c r="I335">
        <v>73</v>
      </c>
      <c r="J335">
        <v>78</v>
      </c>
      <c r="K335">
        <v>450</v>
      </c>
      <c r="L335">
        <v>61</v>
      </c>
      <c r="M335">
        <v>0</v>
      </c>
      <c r="N335">
        <v>0</v>
      </c>
      <c r="O335">
        <v>0</v>
      </c>
      <c r="P335">
        <v>0</v>
      </c>
      <c r="Q335">
        <v>450</v>
      </c>
      <c r="R335">
        <v>0</v>
      </c>
      <c r="S335">
        <v>0</v>
      </c>
      <c r="T335">
        <v>253</v>
      </c>
      <c r="U335">
        <v>184</v>
      </c>
      <c r="V335">
        <v>0</v>
      </c>
      <c r="W335">
        <v>0</v>
      </c>
      <c r="X335">
        <v>0</v>
      </c>
      <c r="Y335">
        <v>0</v>
      </c>
      <c r="Z335">
        <v>280</v>
      </c>
      <c r="AA335">
        <v>0</v>
      </c>
      <c r="AB335">
        <v>0</v>
      </c>
      <c r="AC335">
        <v>0</v>
      </c>
      <c r="AD335">
        <v>213</v>
      </c>
      <c r="AE335">
        <v>930</v>
      </c>
      <c r="AF335">
        <v>718</v>
      </c>
      <c r="AG335">
        <v>7.7125000000000004</v>
      </c>
      <c r="AK335" t="str">
        <f t="shared" si="5"/>
        <v>WE300-6200</v>
      </c>
    </row>
    <row r="336" spans="1:37" ht="15">
      <c r="A336" t="s">
        <v>1676</v>
      </c>
      <c r="B336" t="s">
        <v>1677</v>
      </c>
      <c r="C336" t="s">
        <v>1076</v>
      </c>
      <c r="D336" t="s">
        <v>1678</v>
      </c>
      <c r="E336">
        <v>43</v>
      </c>
      <c r="F336">
        <v>-0.7</v>
      </c>
      <c r="G336">
        <v>228</v>
      </c>
      <c r="H336">
        <v>67</v>
      </c>
      <c r="I336">
        <v>114</v>
      </c>
      <c r="J336">
        <v>189</v>
      </c>
      <c r="K336">
        <v>0</v>
      </c>
      <c r="L336">
        <v>62</v>
      </c>
      <c r="M336">
        <v>0</v>
      </c>
      <c r="N336">
        <v>190</v>
      </c>
      <c r="O336">
        <v>0</v>
      </c>
      <c r="P336">
        <v>0</v>
      </c>
      <c r="Q336">
        <v>-190</v>
      </c>
      <c r="R336">
        <v>0</v>
      </c>
      <c r="S336">
        <v>201</v>
      </c>
      <c r="T336">
        <v>0</v>
      </c>
      <c r="U336">
        <v>0</v>
      </c>
      <c r="V336">
        <v>0</v>
      </c>
      <c r="W336">
        <v>400</v>
      </c>
      <c r="X336">
        <v>80</v>
      </c>
      <c r="Y336">
        <v>0</v>
      </c>
      <c r="Z336">
        <v>200</v>
      </c>
      <c r="AA336">
        <v>210</v>
      </c>
      <c r="AB336">
        <v>325</v>
      </c>
      <c r="AC336">
        <v>857</v>
      </c>
      <c r="AD336">
        <v>0</v>
      </c>
      <c r="AE336">
        <v>2273</v>
      </c>
      <c r="AF336">
        <v>2303</v>
      </c>
      <c r="AG336" t="s">
        <v>4495</v>
      </c>
      <c r="AH336">
        <v>8</v>
      </c>
      <c r="AI336">
        <v>5</v>
      </c>
      <c r="AJ336">
        <v>6.8875000000000002</v>
      </c>
      <c r="AK336" t="str">
        <f t="shared" si="5"/>
        <v>WE350-5000</v>
      </c>
    </row>
    <row r="337" spans="1:37" ht="15">
      <c r="A337" t="s">
        <v>1676</v>
      </c>
      <c r="B337" t="s">
        <v>1677</v>
      </c>
      <c r="C337" t="s">
        <v>1076</v>
      </c>
      <c r="D337" t="s">
        <v>1678</v>
      </c>
      <c r="E337">
        <v>43</v>
      </c>
      <c r="AG337" t="s">
        <v>7554</v>
      </c>
      <c r="AH337">
        <v>5</v>
      </c>
      <c r="AI337">
        <v>658</v>
      </c>
      <c r="AK337" t="str">
        <f t="shared" si="5"/>
        <v>WE350-5000</v>
      </c>
    </row>
    <row r="338" spans="1:37" ht="15">
      <c r="A338" t="s">
        <v>1679</v>
      </c>
      <c r="B338" t="s">
        <v>1677</v>
      </c>
      <c r="C338" t="s">
        <v>313</v>
      </c>
      <c r="D338" t="s">
        <v>1678</v>
      </c>
      <c r="E338">
        <v>43</v>
      </c>
      <c r="F338">
        <v>0</v>
      </c>
      <c r="G338">
        <v>0</v>
      </c>
      <c r="H338">
        <v>40</v>
      </c>
      <c r="I338">
        <v>20</v>
      </c>
      <c r="J338">
        <v>23</v>
      </c>
      <c r="K338">
        <v>0</v>
      </c>
      <c r="L338">
        <v>49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121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159</v>
      </c>
      <c r="AE338">
        <v>280</v>
      </c>
      <c r="AF338">
        <v>896</v>
      </c>
      <c r="AG338">
        <v>6.8875000000000002</v>
      </c>
      <c r="AK338" t="str">
        <f t="shared" si="5"/>
        <v>WE350-6200</v>
      </c>
    </row>
    <row r="339" spans="1:37" ht="15">
      <c r="A339" t="s">
        <v>1680</v>
      </c>
      <c r="B339" t="s">
        <v>1681</v>
      </c>
      <c r="C339" t="s">
        <v>338</v>
      </c>
      <c r="D339" t="s">
        <v>284</v>
      </c>
      <c r="E339">
        <v>43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71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71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J339">
        <v>4.5090000000000003</v>
      </c>
      <c r="AK339" t="str">
        <f t="shared" si="5"/>
        <v>WE360-5000</v>
      </c>
    </row>
    <row r="340" spans="1:37" ht="15">
      <c r="A340" t="s">
        <v>1686</v>
      </c>
      <c r="B340" t="s">
        <v>1687</v>
      </c>
      <c r="C340" t="s">
        <v>318</v>
      </c>
      <c r="E340">
        <v>50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89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89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J340">
        <v>7.4980000000000002</v>
      </c>
      <c r="AK340" t="str">
        <f t="shared" si="5"/>
        <v>WF181-5000</v>
      </c>
    </row>
    <row r="341" spans="1:37" ht="15">
      <c r="A341" t="s">
        <v>1701</v>
      </c>
      <c r="B341" t="s">
        <v>1702</v>
      </c>
      <c r="C341" t="s">
        <v>275</v>
      </c>
      <c r="E341">
        <v>45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169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169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1587</v>
      </c>
      <c r="AG341">
        <v>5.3598999999999997</v>
      </c>
      <c r="AK341" t="str">
        <f t="shared" si="5"/>
        <v>WM115-5000</v>
      </c>
    </row>
    <row r="342" spans="1:37" ht="15">
      <c r="A342" t="s">
        <v>1703</v>
      </c>
      <c r="B342" t="s">
        <v>1702</v>
      </c>
      <c r="C342" t="s">
        <v>275</v>
      </c>
      <c r="E342">
        <v>45</v>
      </c>
      <c r="F342">
        <v>0.9</v>
      </c>
      <c r="G342">
        <v>0</v>
      </c>
      <c r="H342">
        <v>299</v>
      </c>
      <c r="I342">
        <v>193</v>
      </c>
      <c r="J342">
        <v>190</v>
      </c>
      <c r="K342">
        <v>1119</v>
      </c>
      <c r="L342">
        <v>230</v>
      </c>
      <c r="M342">
        <v>0</v>
      </c>
      <c r="N342">
        <v>0</v>
      </c>
      <c r="O342">
        <v>0</v>
      </c>
      <c r="P342">
        <v>0</v>
      </c>
      <c r="Q342">
        <v>1119</v>
      </c>
      <c r="R342">
        <v>0</v>
      </c>
      <c r="S342">
        <v>307</v>
      </c>
      <c r="T342">
        <v>589</v>
      </c>
      <c r="U342">
        <v>0</v>
      </c>
      <c r="V342">
        <v>76</v>
      </c>
      <c r="W342">
        <v>183</v>
      </c>
      <c r="X342">
        <v>0</v>
      </c>
      <c r="Y342">
        <v>0</v>
      </c>
      <c r="Z342">
        <v>263</v>
      </c>
      <c r="AA342">
        <v>0</v>
      </c>
      <c r="AB342">
        <v>691</v>
      </c>
      <c r="AC342">
        <v>0</v>
      </c>
      <c r="AD342">
        <v>176</v>
      </c>
      <c r="AE342">
        <v>2285</v>
      </c>
      <c r="AF342">
        <v>4388</v>
      </c>
      <c r="AG342">
        <v>6.0923999999999996</v>
      </c>
      <c r="AK342" t="str">
        <f t="shared" si="5"/>
        <v>WM115-6200</v>
      </c>
    </row>
    <row r="343" spans="1:37" ht="15">
      <c r="A343" t="s">
        <v>1704</v>
      </c>
      <c r="B343" t="s">
        <v>1705</v>
      </c>
      <c r="C343" t="s">
        <v>329</v>
      </c>
      <c r="D343" t="s">
        <v>1706</v>
      </c>
      <c r="E343">
        <v>43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934</v>
      </c>
      <c r="L343">
        <v>115</v>
      </c>
      <c r="M343">
        <v>0</v>
      </c>
      <c r="N343">
        <v>0</v>
      </c>
      <c r="O343">
        <v>0</v>
      </c>
      <c r="P343">
        <v>0</v>
      </c>
      <c r="Q343">
        <v>934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1502</v>
      </c>
      <c r="AG343">
        <v>5.8520000000000003</v>
      </c>
      <c r="AK343" t="str">
        <f t="shared" si="5"/>
        <v>WM215-6200</v>
      </c>
    </row>
    <row r="344" spans="1:37" ht="15">
      <c r="A344" t="s">
        <v>1731</v>
      </c>
      <c r="B344" t="s">
        <v>1732</v>
      </c>
      <c r="C344" t="s">
        <v>338</v>
      </c>
      <c r="D344" t="s">
        <v>1397</v>
      </c>
      <c r="E344">
        <v>50</v>
      </c>
      <c r="F344">
        <v>0.4</v>
      </c>
      <c r="G344">
        <v>0</v>
      </c>
      <c r="H344">
        <v>107</v>
      </c>
      <c r="I344">
        <v>211</v>
      </c>
      <c r="J344">
        <v>165</v>
      </c>
      <c r="K344">
        <v>186</v>
      </c>
      <c r="L344">
        <v>202</v>
      </c>
      <c r="M344">
        <v>0</v>
      </c>
      <c r="N344">
        <v>0</v>
      </c>
      <c r="O344">
        <v>0</v>
      </c>
      <c r="P344">
        <v>0</v>
      </c>
      <c r="Q344">
        <v>186</v>
      </c>
      <c r="R344">
        <v>0</v>
      </c>
      <c r="S344">
        <v>322</v>
      </c>
      <c r="T344">
        <v>0</v>
      </c>
      <c r="U344">
        <v>0</v>
      </c>
      <c r="V344">
        <v>350</v>
      </c>
      <c r="W344">
        <v>0</v>
      </c>
      <c r="X344">
        <v>591</v>
      </c>
      <c r="Y344">
        <v>0</v>
      </c>
      <c r="Z344">
        <v>714</v>
      </c>
      <c r="AA344">
        <v>0</v>
      </c>
      <c r="AB344">
        <v>0</v>
      </c>
      <c r="AC344">
        <v>0</v>
      </c>
      <c r="AD344">
        <v>0</v>
      </c>
      <c r="AE344">
        <v>1977</v>
      </c>
      <c r="AF344">
        <v>734</v>
      </c>
      <c r="AG344">
        <v>2.5874999999999999</v>
      </c>
      <c r="AK344" t="str">
        <f t="shared" si="5"/>
        <v>WM345-5000</v>
      </c>
    </row>
    <row r="345" spans="1:37" ht="15">
      <c r="A345" t="s">
        <v>1733</v>
      </c>
      <c r="B345" t="s">
        <v>1732</v>
      </c>
      <c r="C345" t="s">
        <v>338</v>
      </c>
      <c r="D345" t="s">
        <v>1397</v>
      </c>
      <c r="E345">
        <v>50</v>
      </c>
      <c r="F345">
        <v>0</v>
      </c>
      <c r="G345">
        <v>0</v>
      </c>
      <c r="H345">
        <v>78</v>
      </c>
      <c r="I345">
        <v>39</v>
      </c>
      <c r="J345">
        <v>45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233</v>
      </c>
      <c r="V345">
        <v>0</v>
      </c>
      <c r="W345">
        <v>0</v>
      </c>
      <c r="X345">
        <v>0</v>
      </c>
      <c r="Y345">
        <v>189</v>
      </c>
      <c r="Z345">
        <v>116</v>
      </c>
      <c r="AA345">
        <v>0</v>
      </c>
      <c r="AB345">
        <v>0</v>
      </c>
      <c r="AC345">
        <v>0</v>
      </c>
      <c r="AD345">
        <v>0</v>
      </c>
      <c r="AE345">
        <v>538</v>
      </c>
      <c r="AF345">
        <v>173</v>
      </c>
      <c r="AG345">
        <v>2.5874999999999999</v>
      </c>
      <c r="AK345" t="str">
        <f t="shared" si="5"/>
        <v>WM345-6200</v>
      </c>
    </row>
    <row r="346" spans="1:37" ht="15">
      <c r="A346" t="s">
        <v>1751</v>
      </c>
      <c r="B346" t="s">
        <v>1748</v>
      </c>
      <c r="C346" t="s">
        <v>1076</v>
      </c>
      <c r="D346" t="s">
        <v>1580</v>
      </c>
      <c r="E346">
        <v>50</v>
      </c>
      <c r="F346">
        <v>0.7</v>
      </c>
      <c r="G346">
        <v>58</v>
      </c>
      <c r="H346">
        <v>502</v>
      </c>
      <c r="I346">
        <v>722</v>
      </c>
      <c r="J346">
        <v>867</v>
      </c>
      <c r="K346">
        <v>1407</v>
      </c>
      <c r="L346">
        <v>67</v>
      </c>
      <c r="M346">
        <v>0</v>
      </c>
      <c r="N346">
        <v>49</v>
      </c>
      <c r="O346">
        <v>0</v>
      </c>
      <c r="P346">
        <v>0</v>
      </c>
      <c r="Q346">
        <v>1358</v>
      </c>
      <c r="R346">
        <v>0</v>
      </c>
      <c r="S346">
        <v>975</v>
      </c>
      <c r="T346">
        <v>0</v>
      </c>
      <c r="U346">
        <v>530</v>
      </c>
      <c r="V346">
        <v>261</v>
      </c>
      <c r="W346">
        <v>2095</v>
      </c>
      <c r="X346">
        <v>470</v>
      </c>
      <c r="Y346">
        <v>0</v>
      </c>
      <c r="Z346">
        <v>2254</v>
      </c>
      <c r="AA346">
        <v>937</v>
      </c>
      <c r="AB346">
        <v>658</v>
      </c>
      <c r="AC346">
        <v>220</v>
      </c>
      <c r="AD346">
        <v>2004</v>
      </c>
      <c r="AE346">
        <v>10404</v>
      </c>
      <c r="AF346">
        <v>18115</v>
      </c>
      <c r="AG346" t="s">
        <v>4562</v>
      </c>
      <c r="AH346">
        <v>1</v>
      </c>
      <c r="AI346">
        <v>43</v>
      </c>
      <c r="AJ346">
        <v>4.1006999999999998</v>
      </c>
      <c r="AK346" t="str">
        <f t="shared" si="5"/>
        <v>WM791-5000</v>
      </c>
    </row>
    <row r="347" spans="1:37" ht="15">
      <c r="A347" t="s">
        <v>1751</v>
      </c>
      <c r="B347" t="s">
        <v>1748</v>
      </c>
      <c r="C347" t="s">
        <v>1076</v>
      </c>
      <c r="D347" t="s">
        <v>1580</v>
      </c>
      <c r="E347">
        <v>50</v>
      </c>
      <c r="AG347" t="s">
        <v>4563</v>
      </c>
      <c r="AH347">
        <v>3</v>
      </c>
      <c r="AI347">
        <v>70</v>
      </c>
      <c r="AK347" t="str">
        <f t="shared" si="5"/>
        <v>WM791-5000</v>
      </c>
    </row>
    <row r="348" spans="1:37" ht="15">
      <c r="A348" t="s">
        <v>1752</v>
      </c>
      <c r="B348" t="s">
        <v>1748</v>
      </c>
      <c r="C348" t="s">
        <v>329</v>
      </c>
      <c r="D348" t="s">
        <v>1753</v>
      </c>
      <c r="E348">
        <v>50</v>
      </c>
      <c r="F348">
        <v>1.7</v>
      </c>
      <c r="G348">
        <v>0</v>
      </c>
      <c r="H348">
        <v>59</v>
      </c>
      <c r="I348">
        <v>74</v>
      </c>
      <c r="J348">
        <v>388</v>
      </c>
      <c r="K348">
        <v>400</v>
      </c>
      <c r="L348">
        <v>258</v>
      </c>
      <c r="M348">
        <v>0</v>
      </c>
      <c r="N348">
        <v>0</v>
      </c>
      <c r="O348">
        <v>0</v>
      </c>
      <c r="P348">
        <v>0</v>
      </c>
      <c r="Q348">
        <v>400</v>
      </c>
      <c r="R348">
        <v>0</v>
      </c>
      <c r="S348">
        <v>0</v>
      </c>
      <c r="T348">
        <v>0</v>
      </c>
      <c r="U348">
        <v>178</v>
      </c>
      <c r="V348">
        <v>0</v>
      </c>
      <c r="W348">
        <v>264</v>
      </c>
      <c r="X348">
        <v>0</v>
      </c>
      <c r="Y348">
        <v>500</v>
      </c>
      <c r="Z348">
        <v>0</v>
      </c>
      <c r="AA348">
        <v>747</v>
      </c>
      <c r="AB348">
        <v>0</v>
      </c>
      <c r="AC348">
        <v>2303</v>
      </c>
      <c r="AD348">
        <v>668</v>
      </c>
      <c r="AE348">
        <v>4660</v>
      </c>
      <c r="AF348">
        <v>7045</v>
      </c>
      <c r="AG348">
        <v>4.1006999999999998</v>
      </c>
      <c r="AK348" t="str">
        <f t="shared" si="5"/>
        <v>WM791-6200</v>
      </c>
    </row>
    <row r="349" spans="1:37" ht="15">
      <c r="A349" t="s">
        <v>1754</v>
      </c>
      <c r="B349" t="s">
        <v>1755</v>
      </c>
      <c r="C349" t="s">
        <v>1076</v>
      </c>
      <c r="D349" t="s">
        <v>1756</v>
      </c>
      <c r="E349">
        <v>50</v>
      </c>
      <c r="F349">
        <v>0</v>
      </c>
      <c r="G349">
        <v>175</v>
      </c>
      <c r="H349">
        <v>0</v>
      </c>
      <c r="I349">
        <v>0</v>
      </c>
      <c r="J349">
        <v>0</v>
      </c>
      <c r="K349">
        <v>0</v>
      </c>
      <c r="L349">
        <v>60</v>
      </c>
      <c r="M349">
        <v>0</v>
      </c>
      <c r="N349">
        <v>146</v>
      </c>
      <c r="O349">
        <v>0</v>
      </c>
      <c r="P349">
        <v>0</v>
      </c>
      <c r="Q349">
        <v>-146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 t="s">
        <v>7554</v>
      </c>
      <c r="AH349">
        <v>1</v>
      </c>
      <c r="AI349">
        <v>750</v>
      </c>
      <c r="AJ349">
        <v>4.8490000000000002</v>
      </c>
      <c r="AK349" t="str">
        <f t="shared" si="5"/>
        <v>WM851-5000</v>
      </c>
    </row>
    <row r="350" spans="1:37" ht="15">
      <c r="A350" t="s">
        <v>1757</v>
      </c>
      <c r="B350" t="s">
        <v>1755</v>
      </c>
      <c r="C350" t="s">
        <v>329</v>
      </c>
      <c r="D350" t="s">
        <v>1756</v>
      </c>
      <c r="E350">
        <v>50</v>
      </c>
      <c r="F350">
        <v>0</v>
      </c>
      <c r="G350">
        <v>60</v>
      </c>
      <c r="H350">
        <v>0</v>
      </c>
      <c r="I350">
        <v>0</v>
      </c>
      <c r="J350">
        <v>0</v>
      </c>
      <c r="K350">
        <v>218</v>
      </c>
      <c r="L350">
        <v>0</v>
      </c>
      <c r="M350">
        <v>0</v>
      </c>
      <c r="N350">
        <v>50</v>
      </c>
      <c r="O350">
        <v>0</v>
      </c>
      <c r="P350">
        <v>0</v>
      </c>
      <c r="Q350">
        <v>168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J350">
        <v>4.6079999999999997</v>
      </c>
      <c r="AK350" t="str">
        <f t="shared" si="5"/>
        <v>WM851-6200</v>
      </c>
    </row>
    <row r="351" spans="1:37" ht="15">
      <c r="A351" t="s">
        <v>1759</v>
      </c>
      <c r="B351" t="s">
        <v>1758</v>
      </c>
      <c r="C351" t="s">
        <v>329</v>
      </c>
      <c r="D351" t="s">
        <v>1760</v>
      </c>
      <c r="E351">
        <v>50</v>
      </c>
      <c r="F351">
        <v>2.2000000000000002</v>
      </c>
      <c r="G351">
        <v>0</v>
      </c>
      <c r="H351">
        <v>182</v>
      </c>
      <c r="I351">
        <v>175</v>
      </c>
      <c r="J351">
        <v>194</v>
      </c>
      <c r="K351">
        <v>1592</v>
      </c>
      <c r="L351">
        <v>77</v>
      </c>
      <c r="M351">
        <v>0</v>
      </c>
      <c r="N351">
        <v>0</v>
      </c>
      <c r="O351">
        <v>0</v>
      </c>
      <c r="P351">
        <v>0</v>
      </c>
      <c r="Q351">
        <v>1592</v>
      </c>
      <c r="R351">
        <v>0</v>
      </c>
      <c r="S351">
        <v>0</v>
      </c>
      <c r="T351">
        <v>546</v>
      </c>
      <c r="U351">
        <v>0</v>
      </c>
      <c r="V351">
        <v>309</v>
      </c>
      <c r="W351">
        <v>0</v>
      </c>
      <c r="X351">
        <v>193</v>
      </c>
      <c r="Y351">
        <v>172</v>
      </c>
      <c r="Z351">
        <v>421</v>
      </c>
      <c r="AA351">
        <v>441</v>
      </c>
      <c r="AB351">
        <v>0</v>
      </c>
      <c r="AC351">
        <v>114</v>
      </c>
      <c r="AD351">
        <v>126</v>
      </c>
      <c r="AE351">
        <v>2322</v>
      </c>
      <c r="AF351">
        <v>3279</v>
      </c>
      <c r="AG351">
        <v>4.8930999999999996</v>
      </c>
      <c r="AK351" t="str">
        <f t="shared" si="5"/>
        <v>WM951-5000</v>
      </c>
    </row>
    <row r="352" spans="1:37" ht="15">
      <c r="A352" t="s">
        <v>1761</v>
      </c>
      <c r="B352" t="s">
        <v>1758</v>
      </c>
      <c r="C352" t="s">
        <v>329</v>
      </c>
      <c r="D352" t="s">
        <v>1760</v>
      </c>
      <c r="E352">
        <v>50</v>
      </c>
      <c r="F352">
        <v>0.4</v>
      </c>
      <c r="G352">
        <v>0</v>
      </c>
      <c r="H352">
        <v>257</v>
      </c>
      <c r="I352">
        <v>246</v>
      </c>
      <c r="J352">
        <v>273</v>
      </c>
      <c r="K352">
        <v>370</v>
      </c>
      <c r="L352">
        <v>493</v>
      </c>
      <c r="M352">
        <v>0</v>
      </c>
      <c r="N352">
        <v>0</v>
      </c>
      <c r="O352">
        <v>0</v>
      </c>
      <c r="P352">
        <v>0</v>
      </c>
      <c r="Q352">
        <v>370</v>
      </c>
      <c r="R352">
        <v>0</v>
      </c>
      <c r="S352">
        <v>0</v>
      </c>
      <c r="T352">
        <v>772</v>
      </c>
      <c r="U352">
        <v>0</v>
      </c>
      <c r="V352">
        <v>704</v>
      </c>
      <c r="W352">
        <v>0</v>
      </c>
      <c r="X352">
        <v>0</v>
      </c>
      <c r="Y352">
        <v>0</v>
      </c>
      <c r="Z352">
        <v>0</v>
      </c>
      <c r="AA352">
        <v>1067</v>
      </c>
      <c r="AB352">
        <v>222</v>
      </c>
      <c r="AC352">
        <v>0</v>
      </c>
      <c r="AD352">
        <v>508</v>
      </c>
      <c r="AE352">
        <v>3273</v>
      </c>
      <c r="AF352">
        <v>3257</v>
      </c>
      <c r="AG352">
        <v>4.8930999999999996</v>
      </c>
      <c r="AK352" t="str">
        <f t="shared" si="5"/>
        <v>WM951-6200</v>
      </c>
    </row>
    <row r="353" spans="1:37" ht="15">
      <c r="A353" t="s">
        <v>1771</v>
      </c>
      <c r="B353" t="s">
        <v>1772</v>
      </c>
      <c r="C353" t="s">
        <v>329</v>
      </c>
      <c r="D353" t="s">
        <v>1773</v>
      </c>
      <c r="E353">
        <v>50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315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315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J353">
        <v>6.7328000000000001</v>
      </c>
      <c r="AK353" t="str">
        <f t="shared" si="5"/>
        <v>WO241-6200</v>
      </c>
    </row>
    <row r="354" spans="1:37" ht="15">
      <c r="A354" t="s">
        <v>6248</v>
      </c>
      <c r="B354" t="s">
        <v>4564</v>
      </c>
      <c r="C354" t="s">
        <v>110</v>
      </c>
      <c r="D354" t="s">
        <v>4565</v>
      </c>
      <c r="E354">
        <v>43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1320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1320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J354">
        <v>5.7535999999999996</v>
      </c>
      <c r="AK354" t="str">
        <f t="shared" si="5"/>
        <v>WO450-5000</v>
      </c>
    </row>
    <row r="355" spans="1:37" ht="15">
      <c r="A355" t="s">
        <v>6249</v>
      </c>
      <c r="B355" t="s">
        <v>4564</v>
      </c>
      <c r="C355" t="s">
        <v>110</v>
      </c>
      <c r="D355" t="s">
        <v>4565</v>
      </c>
      <c r="E355">
        <v>43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346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346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J355">
        <v>5.4347000000000003</v>
      </c>
      <c r="AK355" t="str">
        <f t="shared" si="5"/>
        <v>WO450-6200</v>
      </c>
    </row>
    <row r="356" spans="1:37" ht="15">
      <c r="A356" t="s">
        <v>1780</v>
      </c>
      <c r="B356" t="s">
        <v>1781</v>
      </c>
      <c r="C356" t="s">
        <v>1027</v>
      </c>
      <c r="D356" t="s">
        <v>1782</v>
      </c>
      <c r="E356">
        <v>43</v>
      </c>
      <c r="F356">
        <v>0</v>
      </c>
      <c r="G356">
        <v>38</v>
      </c>
      <c r="H356">
        <v>0</v>
      </c>
      <c r="I356">
        <v>67</v>
      </c>
      <c r="J356">
        <v>65</v>
      </c>
      <c r="K356">
        <v>368</v>
      </c>
      <c r="L356">
        <v>27</v>
      </c>
      <c r="M356">
        <v>0</v>
      </c>
      <c r="N356">
        <v>32</v>
      </c>
      <c r="O356">
        <v>0</v>
      </c>
      <c r="P356">
        <v>0</v>
      </c>
      <c r="Q356">
        <v>336</v>
      </c>
      <c r="R356">
        <v>0</v>
      </c>
      <c r="S356">
        <v>0</v>
      </c>
      <c r="T356">
        <v>0</v>
      </c>
      <c r="U356">
        <v>0</v>
      </c>
      <c r="V356">
        <v>147</v>
      </c>
      <c r="W356">
        <v>256</v>
      </c>
      <c r="X356">
        <v>0</v>
      </c>
      <c r="Y356">
        <v>0</v>
      </c>
      <c r="Z356">
        <v>0</v>
      </c>
      <c r="AA356">
        <v>0</v>
      </c>
      <c r="AB356">
        <v>229</v>
      </c>
      <c r="AC356">
        <v>143</v>
      </c>
      <c r="AD356">
        <v>0</v>
      </c>
      <c r="AE356">
        <v>775</v>
      </c>
      <c r="AF356">
        <v>1005</v>
      </c>
      <c r="AG356">
        <v>7.0625</v>
      </c>
      <c r="AK356" t="str">
        <f t="shared" si="5"/>
        <v>WO680-5000</v>
      </c>
    </row>
    <row r="357" spans="1:37" ht="15">
      <c r="A357" t="s">
        <v>1783</v>
      </c>
      <c r="B357" t="s">
        <v>1781</v>
      </c>
      <c r="C357" t="s">
        <v>1027</v>
      </c>
      <c r="D357" t="s">
        <v>1782</v>
      </c>
      <c r="E357">
        <v>43</v>
      </c>
      <c r="F357">
        <v>0.4</v>
      </c>
      <c r="G357">
        <v>51</v>
      </c>
      <c r="H357">
        <v>87</v>
      </c>
      <c r="I357">
        <v>77</v>
      </c>
      <c r="J357">
        <v>69</v>
      </c>
      <c r="K357">
        <v>190</v>
      </c>
      <c r="L357">
        <v>62</v>
      </c>
      <c r="M357">
        <v>0</v>
      </c>
      <c r="N357">
        <v>43</v>
      </c>
      <c r="O357">
        <v>0</v>
      </c>
      <c r="P357">
        <v>0</v>
      </c>
      <c r="Q357">
        <v>147</v>
      </c>
      <c r="R357">
        <v>0</v>
      </c>
      <c r="S357">
        <v>130</v>
      </c>
      <c r="T357">
        <v>0</v>
      </c>
      <c r="U357">
        <v>130</v>
      </c>
      <c r="V357">
        <v>0</v>
      </c>
      <c r="W357">
        <v>0</v>
      </c>
      <c r="X357">
        <v>200</v>
      </c>
      <c r="Y357">
        <v>0</v>
      </c>
      <c r="Z357">
        <v>0</v>
      </c>
      <c r="AA357">
        <v>100</v>
      </c>
      <c r="AB357">
        <v>0</v>
      </c>
      <c r="AC357">
        <v>0</v>
      </c>
      <c r="AD357">
        <v>266</v>
      </c>
      <c r="AE357">
        <v>826</v>
      </c>
      <c r="AF357">
        <v>799</v>
      </c>
      <c r="AG357">
        <v>7.3648999999999996</v>
      </c>
      <c r="AK357" t="str">
        <f t="shared" si="5"/>
        <v>WO680-6200</v>
      </c>
    </row>
    <row r="358" spans="1:37" ht="15">
      <c r="A358" t="s">
        <v>1784</v>
      </c>
      <c r="B358" t="s">
        <v>1785</v>
      </c>
      <c r="C358" t="s">
        <v>329</v>
      </c>
      <c r="E358">
        <v>50</v>
      </c>
      <c r="F358">
        <v>0</v>
      </c>
      <c r="G358">
        <v>0</v>
      </c>
      <c r="H358">
        <v>69</v>
      </c>
      <c r="I358">
        <v>35</v>
      </c>
      <c r="J358">
        <v>17</v>
      </c>
      <c r="K358">
        <v>0</v>
      </c>
      <c r="L358">
        <v>32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72</v>
      </c>
      <c r="U358">
        <v>135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207</v>
      </c>
      <c r="AF358">
        <v>0</v>
      </c>
      <c r="AG358">
        <v>5.55</v>
      </c>
      <c r="AK358" t="str">
        <f t="shared" si="5"/>
        <v>WO700-5000</v>
      </c>
    </row>
    <row r="359" spans="1:37" ht="15">
      <c r="A359" t="s">
        <v>1792</v>
      </c>
      <c r="B359" t="s">
        <v>1793</v>
      </c>
      <c r="C359" t="s">
        <v>275</v>
      </c>
      <c r="D359" t="s">
        <v>1794</v>
      </c>
      <c r="E359">
        <v>50</v>
      </c>
      <c r="F359">
        <v>0</v>
      </c>
      <c r="G359">
        <v>0</v>
      </c>
      <c r="H359">
        <v>0</v>
      </c>
      <c r="I359">
        <v>24</v>
      </c>
      <c r="J359">
        <v>35</v>
      </c>
      <c r="K359">
        <v>360</v>
      </c>
      <c r="L359">
        <v>40</v>
      </c>
      <c r="M359">
        <v>0</v>
      </c>
      <c r="N359">
        <v>0</v>
      </c>
      <c r="O359">
        <v>0</v>
      </c>
      <c r="P359">
        <v>0</v>
      </c>
      <c r="Q359">
        <v>360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142</v>
      </c>
      <c r="Y359">
        <v>200</v>
      </c>
      <c r="Z359">
        <v>0</v>
      </c>
      <c r="AA359">
        <v>0</v>
      </c>
      <c r="AB359">
        <v>0</v>
      </c>
      <c r="AC359">
        <v>76</v>
      </c>
      <c r="AD359">
        <v>0</v>
      </c>
      <c r="AE359">
        <v>418</v>
      </c>
      <c r="AF359">
        <v>1638</v>
      </c>
      <c r="AG359">
        <v>5.4874999999999998</v>
      </c>
      <c r="AK359" t="str">
        <f t="shared" si="5"/>
        <v>WO891-5000</v>
      </c>
    </row>
    <row r="360" spans="1:37" ht="15">
      <c r="A360" t="s">
        <v>1795</v>
      </c>
      <c r="B360" t="s">
        <v>1793</v>
      </c>
      <c r="C360" t="s">
        <v>1076</v>
      </c>
      <c r="D360" t="s">
        <v>1796</v>
      </c>
      <c r="E360">
        <v>50</v>
      </c>
      <c r="F360">
        <v>0</v>
      </c>
      <c r="G360">
        <v>0</v>
      </c>
      <c r="H360">
        <v>0</v>
      </c>
      <c r="I360">
        <v>52</v>
      </c>
      <c r="J360">
        <v>90</v>
      </c>
      <c r="K360">
        <v>0</v>
      </c>
      <c r="L360">
        <v>276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236</v>
      </c>
      <c r="S360">
        <v>0</v>
      </c>
      <c r="T360">
        <v>0</v>
      </c>
      <c r="U360">
        <v>0</v>
      </c>
      <c r="V360">
        <v>309</v>
      </c>
      <c r="W360">
        <v>0</v>
      </c>
      <c r="X360">
        <v>0</v>
      </c>
      <c r="Y360">
        <v>301</v>
      </c>
      <c r="Z360">
        <v>0</v>
      </c>
      <c r="AA360">
        <v>131</v>
      </c>
      <c r="AB360">
        <v>0</v>
      </c>
      <c r="AC360">
        <v>336</v>
      </c>
      <c r="AD360">
        <v>0</v>
      </c>
      <c r="AE360">
        <v>1077</v>
      </c>
      <c r="AF360">
        <v>1201</v>
      </c>
      <c r="AG360" t="s">
        <v>4566</v>
      </c>
      <c r="AH360">
        <v>3</v>
      </c>
      <c r="AI360">
        <v>9</v>
      </c>
      <c r="AJ360">
        <v>4.9032999999999998</v>
      </c>
      <c r="AK360" t="str">
        <f t="shared" si="5"/>
        <v>WO891-6200</v>
      </c>
    </row>
    <row r="361" spans="1:37" ht="15">
      <c r="A361" t="s">
        <v>1802</v>
      </c>
      <c r="B361" t="s">
        <v>1803</v>
      </c>
      <c r="C361" t="s">
        <v>110</v>
      </c>
      <c r="E361">
        <v>50</v>
      </c>
      <c r="F361">
        <v>0</v>
      </c>
      <c r="G361">
        <v>0</v>
      </c>
      <c r="H361">
        <v>0</v>
      </c>
      <c r="I361">
        <v>0</v>
      </c>
      <c r="J361">
        <v>35</v>
      </c>
      <c r="K361">
        <v>491</v>
      </c>
      <c r="L361">
        <v>81</v>
      </c>
      <c r="M361">
        <v>0</v>
      </c>
      <c r="N361">
        <v>0</v>
      </c>
      <c r="O361">
        <v>0</v>
      </c>
      <c r="P361">
        <v>0</v>
      </c>
      <c r="Q361">
        <v>491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219</v>
      </c>
      <c r="Z361">
        <v>0</v>
      </c>
      <c r="AA361">
        <v>0</v>
      </c>
      <c r="AB361">
        <v>198</v>
      </c>
      <c r="AC361">
        <v>0</v>
      </c>
      <c r="AD361">
        <v>0</v>
      </c>
      <c r="AE361">
        <v>417</v>
      </c>
      <c r="AF361">
        <v>178</v>
      </c>
      <c r="AJ361">
        <v>5.1791999999999998</v>
      </c>
      <c r="AK361" t="str">
        <f t="shared" si="5"/>
        <v>WP101-5000</v>
      </c>
    </row>
    <row r="362" spans="1:37" ht="15">
      <c r="A362" t="s">
        <v>6250</v>
      </c>
      <c r="B362" t="s">
        <v>1803</v>
      </c>
      <c r="C362" t="s">
        <v>110</v>
      </c>
      <c r="E362">
        <v>50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3829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3829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J362">
        <v>5.6159999999999997</v>
      </c>
      <c r="AK362" t="str">
        <f t="shared" si="5"/>
        <v>WP101-6200</v>
      </c>
    </row>
    <row r="363" spans="1:37" ht="15">
      <c r="A363" t="s">
        <v>1804</v>
      </c>
      <c r="B363" t="s">
        <v>1805</v>
      </c>
      <c r="C363" t="s">
        <v>313</v>
      </c>
      <c r="D363" t="s">
        <v>1806</v>
      </c>
      <c r="E363">
        <v>50</v>
      </c>
      <c r="F363">
        <v>0.4</v>
      </c>
      <c r="G363">
        <v>553</v>
      </c>
      <c r="H363">
        <v>1543</v>
      </c>
      <c r="I363">
        <v>1477</v>
      </c>
      <c r="J363">
        <v>1795</v>
      </c>
      <c r="K363">
        <v>3180</v>
      </c>
      <c r="L363">
        <v>489</v>
      </c>
      <c r="M363">
        <v>0</v>
      </c>
      <c r="N363">
        <v>461</v>
      </c>
      <c r="O363">
        <v>0</v>
      </c>
      <c r="P363">
        <v>0</v>
      </c>
      <c r="Q363">
        <v>2719</v>
      </c>
      <c r="R363">
        <v>425</v>
      </c>
      <c r="S363">
        <v>1833</v>
      </c>
      <c r="T363">
        <v>554</v>
      </c>
      <c r="U363">
        <v>2241</v>
      </c>
      <c r="V363">
        <v>514</v>
      </c>
      <c r="W363">
        <v>2024</v>
      </c>
      <c r="X363">
        <v>1698</v>
      </c>
      <c r="Y363">
        <v>2573</v>
      </c>
      <c r="Z363">
        <v>5209</v>
      </c>
      <c r="AA363">
        <v>928</v>
      </c>
      <c r="AB363">
        <v>670</v>
      </c>
      <c r="AC363">
        <v>1541</v>
      </c>
      <c r="AD363">
        <v>1754</v>
      </c>
      <c r="AE363">
        <v>21539</v>
      </c>
      <c r="AF363">
        <v>22223</v>
      </c>
      <c r="AG363">
        <v>5.0098000000000003</v>
      </c>
      <c r="AK363" t="str">
        <f t="shared" si="5"/>
        <v>WP110-5000</v>
      </c>
    </row>
    <row r="364" spans="1:37" ht="15">
      <c r="A364" t="s">
        <v>1807</v>
      </c>
      <c r="B364" t="s">
        <v>1805</v>
      </c>
      <c r="C364" t="s">
        <v>313</v>
      </c>
      <c r="D364" t="s">
        <v>1806</v>
      </c>
      <c r="E364">
        <v>50</v>
      </c>
      <c r="F364">
        <v>2.2999999999999998</v>
      </c>
      <c r="G364">
        <v>682</v>
      </c>
      <c r="H364">
        <v>1172</v>
      </c>
      <c r="I364">
        <v>1377</v>
      </c>
      <c r="J364">
        <v>1800</v>
      </c>
      <c r="K364">
        <v>11360</v>
      </c>
      <c r="L364">
        <v>1212</v>
      </c>
      <c r="M364">
        <v>0</v>
      </c>
      <c r="N364">
        <v>569</v>
      </c>
      <c r="O364">
        <v>0</v>
      </c>
      <c r="P364">
        <v>0</v>
      </c>
      <c r="Q364">
        <v>10791</v>
      </c>
      <c r="R364">
        <v>337</v>
      </c>
      <c r="S364">
        <v>1285</v>
      </c>
      <c r="T364">
        <v>660</v>
      </c>
      <c r="U364">
        <v>1572</v>
      </c>
      <c r="V364">
        <v>2104</v>
      </c>
      <c r="W364">
        <v>1938</v>
      </c>
      <c r="X364">
        <v>704</v>
      </c>
      <c r="Y364">
        <v>1271</v>
      </c>
      <c r="Z364">
        <v>725</v>
      </c>
      <c r="AA364">
        <v>2253</v>
      </c>
      <c r="AB364">
        <v>2360</v>
      </c>
      <c r="AC364">
        <v>2979</v>
      </c>
      <c r="AD364">
        <v>3745</v>
      </c>
      <c r="AE364">
        <v>21596</v>
      </c>
      <c r="AF364">
        <v>35245</v>
      </c>
      <c r="AG364">
        <v>4.7583000000000002</v>
      </c>
      <c r="AK364" t="str">
        <f t="shared" si="5"/>
        <v>WP110-6200</v>
      </c>
    </row>
    <row r="365" spans="1:37" ht="15">
      <c r="A365" t="s">
        <v>1808</v>
      </c>
      <c r="B365" t="s">
        <v>1809</v>
      </c>
      <c r="C365" t="s">
        <v>313</v>
      </c>
      <c r="D365" t="s">
        <v>1806</v>
      </c>
      <c r="E365">
        <v>43</v>
      </c>
      <c r="F365">
        <v>1.6</v>
      </c>
      <c r="G365">
        <v>38</v>
      </c>
      <c r="H365">
        <v>90</v>
      </c>
      <c r="I365">
        <v>45</v>
      </c>
      <c r="J365">
        <v>81</v>
      </c>
      <c r="K365">
        <v>608</v>
      </c>
      <c r="L365">
        <v>91</v>
      </c>
      <c r="M365">
        <v>0</v>
      </c>
      <c r="N365">
        <v>32</v>
      </c>
      <c r="O365">
        <v>0</v>
      </c>
      <c r="P365">
        <v>0</v>
      </c>
      <c r="Q365">
        <v>576</v>
      </c>
      <c r="R365">
        <v>0</v>
      </c>
      <c r="S365">
        <v>0</v>
      </c>
      <c r="T365">
        <v>0</v>
      </c>
      <c r="U365">
        <v>270</v>
      </c>
      <c r="V365">
        <v>0</v>
      </c>
      <c r="W365">
        <v>0</v>
      </c>
      <c r="X365">
        <v>0</v>
      </c>
      <c r="Y365">
        <v>158</v>
      </c>
      <c r="Z365">
        <v>0</v>
      </c>
      <c r="AA365">
        <v>0</v>
      </c>
      <c r="AB365">
        <v>282</v>
      </c>
      <c r="AC365">
        <v>0</v>
      </c>
      <c r="AD365">
        <v>260</v>
      </c>
      <c r="AE365">
        <v>970</v>
      </c>
      <c r="AF365">
        <v>3007</v>
      </c>
      <c r="AG365">
        <v>7.05</v>
      </c>
      <c r="AK365" t="str">
        <f t="shared" si="5"/>
        <v>WP115-5000</v>
      </c>
    </row>
    <row r="366" spans="1:37" ht="15">
      <c r="A366" t="s">
        <v>1810</v>
      </c>
      <c r="B366" t="s">
        <v>1809</v>
      </c>
      <c r="C366" t="s">
        <v>313</v>
      </c>
      <c r="D366" t="s">
        <v>1806</v>
      </c>
      <c r="E366">
        <v>43</v>
      </c>
      <c r="F366">
        <v>0</v>
      </c>
      <c r="G366">
        <v>52</v>
      </c>
      <c r="H366">
        <v>0</v>
      </c>
      <c r="I366">
        <v>42</v>
      </c>
      <c r="J366">
        <v>42</v>
      </c>
      <c r="K366">
        <v>130</v>
      </c>
      <c r="L366">
        <v>161</v>
      </c>
      <c r="M366">
        <v>0</v>
      </c>
      <c r="N366">
        <v>43</v>
      </c>
      <c r="O366">
        <v>0</v>
      </c>
      <c r="P366">
        <v>0</v>
      </c>
      <c r="Q366">
        <v>87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249</v>
      </c>
      <c r="Y366">
        <v>0</v>
      </c>
      <c r="Z366">
        <v>0</v>
      </c>
      <c r="AA366">
        <v>0</v>
      </c>
      <c r="AB366">
        <v>256</v>
      </c>
      <c r="AC366">
        <v>0</v>
      </c>
      <c r="AD366">
        <v>0</v>
      </c>
      <c r="AE366">
        <v>505</v>
      </c>
      <c r="AF366">
        <v>3030</v>
      </c>
      <c r="AG366">
        <v>7.05</v>
      </c>
      <c r="AK366" t="str">
        <f t="shared" si="5"/>
        <v>WP115-6200</v>
      </c>
    </row>
    <row r="367" spans="1:37" ht="15">
      <c r="A367" t="s">
        <v>1811</v>
      </c>
      <c r="B367" t="s">
        <v>1812</v>
      </c>
      <c r="C367" t="s">
        <v>313</v>
      </c>
      <c r="D367" t="s">
        <v>1806</v>
      </c>
      <c r="E367">
        <v>43</v>
      </c>
      <c r="F367">
        <v>5.9</v>
      </c>
      <c r="G367">
        <v>0</v>
      </c>
      <c r="H367">
        <v>56</v>
      </c>
      <c r="I367">
        <v>285</v>
      </c>
      <c r="J367">
        <v>232</v>
      </c>
      <c r="K367">
        <v>1318</v>
      </c>
      <c r="L367">
        <v>59</v>
      </c>
      <c r="M367">
        <v>0</v>
      </c>
      <c r="N367">
        <v>0</v>
      </c>
      <c r="O367">
        <v>0</v>
      </c>
      <c r="P367">
        <v>0</v>
      </c>
      <c r="Q367">
        <v>1318</v>
      </c>
      <c r="R367">
        <v>0</v>
      </c>
      <c r="S367">
        <v>168</v>
      </c>
      <c r="T367">
        <v>0</v>
      </c>
      <c r="U367">
        <v>0</v>
      </c>
      <c r="V367">
        <v>128</v>
      </c>
      <c r="W367">
        <v>1140</v>
      </c>
      <c r="X367">
        <v>272</v>
      </c>
      <c r="Y367">
        <v>0</v>
      </c>
      <c r="Z367">
        <v>0</v>
      </c>
      <c r="AA367">
        <v>0</v>
      </c>
      <c r="AB367">
        <v>492</v>
      </c>
      <c r="AC367">
        <v>0</v>
      </c>
      <c r="AD367">
        <v>583</v>
      </c>
      <c r="AE367">
        <v>2783</v>
      </c>
      <c r="AF367">
        <v>3713</v>
      </c>
      <c r="AG367">
        <v>4.7819000000000003</v>
      </c>
      <c r="AK367" t="str">
        <f t="shared" si="5"/>
        <v>WP120-5000</v>
      </c>
    </row>
    <row r="368" spans="1:37" ht="15">
      <c r="A368" t="s">
        <v>1813</v>
      </c>
      <c r="B368" t="s">
        <v>1812</v>
      </c>
      <c r="C368" t="s">
        <v>1076</v>
      </c>
      <c r="D368" t="s">
        <v>1806</v>
      </c>
      <c r="E368">
        <v>43</v>
      </c>
      <c r="F368">
        <v>11.1</v>
      </c>
      <c r="G368">
        <v>0</v>
      </c>
      <c r="H368">
        <v>51</v>
      </c>
      <c r="I368">
        <v>169</v>
      </c>
      <c r="J368">
        <v>223</v>
      </c>
      <c r="K368">
        <v>2246</v>
      </c>
      <c r="L368">
        <v>108</v>
      </c>
      <c r="M368">
        <v>0</v>
      </c>
      <c r="N368">
        <v>0</v>
      </c>
      <c r="O368">
        <v>0</v>
      </c>
      <c r="P368">
        <v>0</v>
      </c>
      <c r="Q368">
        <v>2246</v>
      </c>
      <c r="R368">
        <v>0</v>
      </c>
      <c r="S368">
        <v>0</v>
      </c>
      <c r="T368">
        <v>152</v>
      </c>
      <c r="U368">
        <v>0</v>
      </c>
      <c r="V368">
        <v>422</v>
      </c>
      <c r="W368">
        <v>438</v>
      </c>
      <c r="X368">
        <v>0</v>
      </c>
      <c r="Y368">
        <v>154</v>
      </c>
      <c r="Z368">
        <v>0</v>
      </c>
      <c r="AA368">
        <v>202</v>
      </c>
      <c r="AB368">
        <v>492</v>
      </c>
      <c r="AC368">
        <v>252</v>
      </c>
      <c r="AD368">
        <v>561</v>
      </c>
      <c r="AE368">
        <v>2673</v>
      </c>
      <c r="AF368">
        <v>3873</v>
      </c>
      <c r="AG368" t="s">
        <v>4567</v>
      </c>
      <c r="AH368">
        <v>4</v>
      </c>
      <c r="AI368">
        <v>645</v>
      </c>
      <c r="AJ368">
        <v>4.4791999999999996</v>
      </c>
      <c r="AK368" t="str">
        <f t="shared" si="5"/>
        <v>WP120-6200</v>
      </c>
    </row>
    <row r="369" spans="1:37" ht="15">
      <c r="A369" t="s">
        <v>1814</v>
      </c>
      <c r="B369" t="s">
        <v>1815</v>
      </c>
      <c r="C369" t="s">
        <v>313</v>
      </c>
      <c r="D369" t="s">
        <v>1806</v>
      </c>
      <c r="E369">
        <v>43</v>
      </c>
      <c r="F369">
        <v>0</v>
      </c>
      <c r="G369">
        <v>0</v>
      </c>
      <c r="H369">
        <v>0</v>
      </c>
      <c r="I369">
        <v>0</v>
      </c>
      <c r="J369">
        <v>17</v>
      </c>
      <c r="K369">
        <v>976</v>
      </c>
      <c r="L369">
        <v>49</v>
      </c>
      <c r="M369">
        <v>0</v>
      </c>
      <c r="N369">
        <v>0</v>
      </c>
      <c r="O369">
        <v>0</v>
      </c>
      <c r="P369">
        <v>0</v>
      </c>
      <c r="Q369">
        <v>976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206</v>
      </c>
      <c r="AC369">
        <v>0</v>
      </c>
      <c r="AD369">
        <v>0</v>
      </c>
      <c r="AE369">
        <v>206</v>
      </c>
      <c r="AF369">
        <v>114</v>
      </c>
      <c r="AG369">
        <v>6.1273</v>
      </c>
      <c r="AK369" t="str">
        <f t="shared" si="5"/>
        <v>WP125-5000</v>
      </c>
    </row>
    <row r="370" spans="1:37" ht="15">
      <c r="A370" t="s">
        <v>1816</v>
      </c>
      <c r="B370" t="s">
        <v>1815</v>
      </c>
      <c r="C370" t="s">
        <v>313</v>
      </c>
      <c r="D370" t="s">
        <v>1806</v>
      </c>
      <c r="E370">
        <v>43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1103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1103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J370">
        <v>7.0326000000000004</v>
      </c>
      <c r="AK370" t="str">
        <f t="shared" si="5"/>
        <v>WP125-6200</v>
      </c>
    </row>
    <row r="371" spans="1:37" ht="15">
      <c r="A371" t="s">
        <v>1820</v>
      </c>
      <c r="B371" t="s">
        <v>1821</v>
      </c>
      <c r="C371" t="s">
        <v>313</v>
      </c>
      <c r="D371" t="s">
        <v>1782</v>
      </c>
      <c r="E371">
        <v>43</v>
      </c>
      <c r="F371">
        <v>1.3</v>
      </c>
      <c r="G371">
        <v>0</v>
      </c>
      <c r="H371">
        <v>33</v>
      </c>
      <c r="I371">
        <v>33</v>
      </c>
      <c r="J371">
        <v>26</v>
      </c>
      <c r="K371">
        <v>178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178</v>
      </c>
      <c r="R371">
        <v>0</v>
      </c>
      <c r="S371">
        <v>0</v>
      </c>
      <c r="T371">
        <v>0</v>
      </c>
      <c r="U371">
        <v>100</v>
      </c>
      <c r="V371">
        <v>100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109</v>
      </c>
      <c r="AC371">
        <v>0</v>
      </c>
      <c r="AD371">
        <v>0</v>
      </c>
      <c r="AE371">
        <v>309</v>
      </c>
      <c r="AF371">
        <v>476</v>
      </c>
      <c r="AG371">
        <v>7.2625000000000002</v>
      </c>
      <c r="AK371" t="str">
        <f t="shared" si="5"/>
        <v>WP140-5000</v>
      </c>
    </row>
    <row r="372" spans="1:37" ht="15">
      <c r="A372" t="s">
        <v>1823</v>
      </c>
      <c r="B372" t="s">
        <v>1824</v>
      </c>
      <c r="C372" t="s">
        <v>1027</v>
      </c>
      <c r="D372" t="s">
        <v>1782</v>
      </c>
      <c r="E372">
        <v>43</v>
      </c>
      <c r="F372">
        <v>0</v>
      </c>
      <c r="G372">
        <v>64</v>
      </c>
      <c r="H372">
        <v>0</v>
      </c>
      <c r="I372">
        <v>52</v>
      </c>
      <c r="J372">
        <v>43</v>
      </c>
      <c r="K372">
        <v>0</v>
      </c>
      <c r="L372">
        <v>74</v>
      </c>
      <c r="M372">
        <v>0</v>
      </c>
      <c r="N372">
        <v>53</v>
      </c>
      <c r="O372">
        <v>0</v>
      </c>
      <c r="P372">
        <v>0</v>
      </c>
      <c r="Q372">
        <v>-53</v>
      </c>
      <c r="R372">
        <v>0</v>
      </c>
      <c r="S372">
        <v>0</v>
      </c>
      <c r="T372">
        <v>0</v>
      </c>
      <c r="U372">
        <v>0</v>
      </c>
      <c r="V372">
        <v>258</v>
      </c>
      <c r="W372">
        <v>0</v>
      </c>
      <c r="X372">
        <v>56</v>
      </c>
      <c r="Y372">
        <v>0</v>
      </c>
      <c r="Z372">
        <v>0</v>
      </c>
      <c r="AA372">
        <v>196</v>
      </c>
      <c r="AB372">
        <v>0</v>
      </c>
      <c r="AC372">
        <v>0</v>
      </c>
      <c r="AD372">
        <v>0</v>
      </c>
      <c r="AE372">
        <v>510</v>
      </c>
      <c r="AF372">
        <v>129</v>
      </c>
      <c r="AG372">
        <v>5.45</v>
      </c>
      <c r="AK372" t="str">
        <f t="shared" si="5"/>
        <v>WP500-5000</v>
      </c>
    </row>
    <row r="373" spans="1:37" ht="15">
      <c r="A373" t="s">
        <v>1825</v>
      </c>
      <c r="B373" t="s">
        <v>1824</v>
      </c>
      <c r="C373" t="s">
        <v>1027</v>
      </c>
      <c r="D373" t="s">
        <v>1782</v>
      </c>
      <c r="E373">
        <v>43</v>
      </c>
      <c r="F373">
        <v>0</v>
      </c>
      <c r="G373">
        <v>0</v>
      </c>
      <c r="H373">
        <v>0</v>
      </c>
      <c r="I373">
        <v>80</v>
      </c>
      <c r="J373">
        <v>48</v>
      </c>
      <c r="K373">
        <v>262</v>
      </c>
      <c r="L373">
        <v>159</v>
      </c>
      <c r="M373">
        <v>0</v>
      </c>
      <c r="N373">
        <v>0</v>
      </c>
      <c r="O373">
        <v>0</v>
      </c>
      <c r="P373">
        <v>0</v>
      </c>
      <c r="Q373">
        <v>262</v>
      </c>
      <c r="R373">
        <v>0</v>
      </c>
      <c r="S373">
        <v>0</v>
      </c>
      <c r="T373">
        <v>0</v>
      </c>
      <c r="U373">
        <v>0</v>
      </c>
      <c r="V373">
        <v>166</v>
      </c>
      <c r="W373">
        <v>311</v>
      </c>
      <c r="X373">
        <v>0</v>
      </c>
      <c r="Y373">
        <v>100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577</v>
      </c>
      <c r="AF373">
        <v>2350</v>
      </c>
      <c r="AG373">
        <v>5.45</v>
      </c>
      <c r="AK373" t="str">
        <f t="shared" si="5"/>
        <v>WP500-6200</v>
      </c>
    </row>
    <row r="374" spans="1:37" ht="15">
      <c r="A374" t="s">
        <v>1830</v>
      </c>
      <c r="B374" t="s">
        <v>1831</v>
      </c>
      <c r="C374" t="s">
        <v>1076</v>
      </c>
      <c r="D374" t="s">
        <v>1782</v>
      </c>
      <c r="E374">
        <v>43</v>
      </c>
      <c r="F374">
        <v>-0.4</v>
      </c>
      <c r="G374">
        <v>113</v>
      </c>
      <c r="H374">
        <v>52</v>
      </c>
      <c r="I374">
        <v>406</v>
      </c>
      <c r="J374">
        <v>351</v>
      </c>
      <c r="K374">
        <v>0</v>
      </c>
      <c r="L374">
        <v>210</v>
      </c>
      <c r="M374">
        <v>0</v>
      </c>
      <c r="N374">
        <v>94</v>
      </c>
      <c r="O374">
        <v>0</v>
      </c>
      <c r="P374">
        <v>0</v>
      </c>
      <c r="Q374">
        <v>-94</v>
      </c>
      <c r="R374">
        <v>270</v>
      </c>
      <c r="S374">
        <v>0</v>
      </c>
      <c r="T374">
        <v>0</v>
      </c>
      <c r="U374">
        <v>157</v>
      </c>
      <c r="V374">
        <v>1101</v>
      </c>
      <c r="W374">
        <v>690</v>
      </c>
      <c r="X374">
        <v>486</v>
      </c>
      <c r="Y374">
        <v>746</v>
      </c>
      <c r="Z374">
        <v>0</v>
      </c>
      <c r="AA374">
        <v>790</v>
      </c>
      <c r="AB374">
        <v>149</v>
      </c>
      <c r="AC374">
        <v>97</v>
      </c>
      <c r="AD374">
        <v>0</v>
      </c>
      <c r="AE374">
        <v>4216</v>
      </c>
      <c r="AF374">
        <v>3928</v>
      </c>
      <c r="AG374" t="s">
        <v>4568</v>
      </c>
      <c r="AH374">
        <v>2</v>
      </c>
      <c r="AI374">
        <v>10</v>
      </c>
      <c r="AJ374">
        <v>8.0625</v>
      </c>
      <c r="AK374" t="str">
        <f t="shared" si="5"/>
        <v>WT790-5000</v>
      </c>
    </row>
    <row r="375" spans="1:37" ht="15">
      <c r="A375" t="s">
        <v>1830</v>
      </c>
      <c r="B375" t="s">
        <v>1831</v>
      </c>
      <c r="C375" t="s">
        <v>1076</v>
      </c>
      <c r="D375" t="s">
        <v>1782</v>
      </c>
      <c r="E375">
        <v>43</v>
      </c>
      <c r="AG375" t="s">
        <v>4569</v>
      </c>
      <c r="AH375">
        <v>7</v>
      </c>
      <c r="AI375">
        <v>26</v>
      </c>
      <c r="AK375" t="str">
        <f t="shared" si="5"/>
        <v>WT790-5000</v>
      </c>
    </row>
    <row r="376" spans="1:37" ht="15">
      <c r="A376" t="s">
        <v>1832</v>
      </c>
      <c r="B376" t="s">
        <v>1831</v>
      </c>
      <c r="C376" t="s">
        <v>1076</v>
      </c>
      <c r="D376" t="s">
        <v>1782</v>
      </c>
      <c r="E376">
        <v>43</v>
      </c>
      <c r="F376">
        <v>0.8</v>
      </c>
      <c r="G376">
        <v>120</v>
      </c>
      <c r="H376">
        <v>253</v>
      </c>
      <c r="I376">
        <v>309</v>
      </c>
      <c r="J376">
        <v>377</v>
      </c>
      <c r="K376">
        <v>918</v>
      </c>
      <c r="L376">
        <v>446</v>
      </c>
      <c r="M376">
        <v>0</v>
      </c>
      <c r="N376">
        <v>100</v>
      </c>
      <c r="O376">
        <v>0</v>
      </c>
      <c r="P376">
        <v>0</v>
      </c>
      <c r="Q376">
        <v>818</v>
      </c>
      <c r="R376">
        <v>0</v>
      </c>
      <c r="S376">
        <v>236</v>
      </c>
      <c r="T376">
        <v>522</v>
      </c>
      <c r="U376">
        <v>0</v>
      </c>
      <c r="V376">
        <v>336</v>
      </c>
      <c r="W376">
        <v>584</v>
      </c>
      <c r="X376">
        <v>178</v>
      </c>
      <c r="Y376">
        <v>338</v>
      </c>
      <c r="Z376">
        <v>240</v>
      </c>
      <c r="AA376">
        <v>300</v>
      </c>
      <c r="AB376">
        <v>869</v>
      </c>
      <c r="AC376">
        <v>237</v>
      </c>
      <c r="AD376">
        <v>678</v>
      </c>
      <c r="AE376">
        <v>4518</v>
      </c>
      <c r="AF376">
        <v>2896</v>
      </c>
      <c r="AG376" t="s">
        <v>4464</v>
      </c>
      <c r="AH376">
        <v>5</v>
      </c>
      <c r="AI376">
        <v>85</v>
      </c>
      <c r="AJ376">
        <v>6.7331000000000003</v>
      </c>
      <c r="AK376" t="str">
        <f t="shared" si="5"/>
        <v>WT790-6200</v>
      </c>
    </row>
    <row r="377" spans="1:37" ht="15">
      <c r="A377" t="s">
        <v>1832</v>
      </c>
      <c r="B377" t="s">
        <v>1831</v>
      </c>
      <c r="C377" t="s">
        <v>1076</v>
      </c>
      <c r="D377" t="s">
        <v>1782</v>
      </c>
      <c r="E377">
        <v>43</v>
      </c>
      <c r="AG377" t="s">
        <v>4570</v>
      </c>
      <c r="AH377">
        <v>7</v>
      </c>
      <c r="AI377">
        <v>7</v>
      </c>
      <c r="AK377" t="str">
        <f t="shared" si="5"/>
        <v>WT790-6200</v>
      </c>
    </row>
    <row r="378" spans="1:37" ht="15">
      <c r="A378" t="s">
        <v>6251</v>
      </c>
      <c r="B378" t="s">
        <v>1834</v>
      </c>
      <c r="C378" t="s">
        <v>329</v>
      </c>
      <c r="D378" t="s">
        <v>1835</v>
      </c>
      <c r="E378">
        <v>50</v>
      </c>
      <c r="F378">
        <v>0</v>
      </c>
      <c r="G378">
        <v>0</v>
      </c>
      <c r="H378">
        <v>80</v>
      </c>
      <c r="I378">
        <v>40</v>
      </c>
      <c r="J378">
        <v>20</v>
      </c>
      <c r="K378">
        <v>0</v>
      </c>
      <c r="L378">
        <v>102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240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240</v>
      </c>
      <c r="AF378">
        <v>280</v>
      </c>
      <c r="AJ378">
        <v>4.09</v>
      </c>
      <c r="AK378" t="str">
        <f t="shared" si="5"/>
        <v>WT840-5000</v>
      </c>
    </row>
    <row r="379" spans="1:37" ht="15">
      <c r="A379" t="s">
        <v>1833</v>
      </c>
      <c r="B379" t="s">
        <v>1834</v>
      </c>
      <c r="C379" t="s">
        <v>1076</v>
      </c>
      <c r="D379" t="s">
        <v>1835</v>
      </c>
      <c r="E379">
        <v>50</v>
      </c>
      <c r="F379">
        <v>2.4</v>
      </c>
      <c r="G379">
        <v>0</v>
      </c>
      <c r="H379">
        <v>53</v>
      </c>
      <c r="I379">
        <v>27</v>
      </c>
      <c r="J379">
        <v>13</v>
      </c>
      <c r="K379">
        <v>511</v>
      </c>
      <c r="L379">
        <v>167</v>
      </c>
      <c r="M379">
        <v>0</v>
      </c>
      <c r="N379">
        <v>0</v>
      </c>
      <c r="O379">
        <v>0</v>
      </c>
      <c r="P379">
        <v>0</v>
      </c>
      <c r="Q379">
        <v>511</v>
      </c>
      <c r="R379">
        <v>0</v>
      </c>
      <c r="S379">
        <v>0</v>
      </c>
      <c r="T379">
        <v>0</v>
      </c>
      <c r="U379">
        <v>160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160</v>
      </c>
      <c r="AF379">
        <v>1122</v>
      </c>
      <c r="AG379" t="s">
        <v>4464</v>
      </c>
      <c r="AH379">
        <v>6</v>
      </c>
      <c r="AI379">
        <v>44</v>
      </c>
      <c r="AJ379">
        <v>6.1603000000000003</v>
      </c>
      <c r="AK379" t="str">
        <f t="shared" si="5"/>
        <v>WT840-6200</v>
      </c>
    </row>
    <row r="380" spans="1:37" ht="15">
      <c r="A380" t="s">
        <v>1836</v>
      </c>
      <c r="B380" t="s">
        <v>1837</v>
      </c>
      <c r="C380" t="s">
        <v>267</v>
      </c>
      <c r="E380">
        <v>43</v>
      </c>
      <c r="F380">
        <v>-0.4</v>
      </c>
      <c r="G380">
        <v>176</v>
      </c>
      <c r="H380">
        <v>94</v>
      </c>
      <c r="I380">
        <v>1047</v>
      </c>
      <c r="J380">
        <v>524</v>
      </c>
      <c r="K380">
        <v>0</v>
      </c>
      <c r="L380">
        <v>203</v>
      </c>
      <c r="M380">
        <v>0</v>
      </c>
      <c r="N380">
        <v>147</v>
      </c>
      <c r="O380">
        <v>0</v>
      </c>
      <c r="P380">
        <v>0</v>
      </c>
      <c r="Q380">
        <v>-147</v>
      </c>
      <c r="R380">
        <v>0</v>
      </c>
      <c r="S380">
        <v>281</v>
      </c>
      <c r="T380">
        <v>0</v>
      </c>
      <c r="U380">
        <v>0</v>
      </c>
      <c r="V380">
        <v>4502</v>
      </c>
      <c r="W380">
        <v>1500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6283</v>
      </c>
      <c r="AF380">
        <v>0</v>
      </c>
      <c r="AG380">
        <v>7.6586999999999996</v>
      </c>
      <c r="AK380" t="str">
        <f t="shared" si="5"/>
        <v>WT850-5000</v>
      </c>
    </row>
    <row r="381" spans="1:37" ht="15">
      <c r="A381" t="s">
        <v>1838</v>
      </c>
      <c r="B381" t="s">
        <v>1837</v>
      </c>
      <c r="C381" t="s">
        <v>267</v>
      </c>
      <c r="E381">
        <v>43</v>
      </c>
      <c r="F381">
        <v>0</v>
      </c>
      <c r="G381">
        <v>0</v>
      </c>
      <c r="H381">
        <v>0</v>
      </c>
      <c r="I381">
        <v>66</v>
      </c>
      <c r="J381">
        <v>126</v>
      </c>
      <c r="K381">
        <v>723</v>
      </c>
      <c r="L381">
        <v>113</v>
      </c>
      <c r="M381">
        <v>0</v>
      </c>
      <c r="N381">
        <v>0</v>
      </c>
      <c r="O381">
        <v>0</v>
      </c>
      <c r="P381">
        <v>0</v>
      </c>
      <c r="Q381">
        <v>723</v>
      </c>
      <c r="R381">
        <v>0</v>
      </c>
      <c r="S381">
        <v>0</v>
      </c>
      <c r="T381">
        <v>0</v>
      </c>
      <c r="U381">
        <v>0</v>
      </c>
      <c r="V381">
        <v>180</v>
      </c>
      <c r="W381">
        <v>0</v>
      </c>
      <c r="X381">
        <v>218</v>
      </c>
      <c r="Y381">
        <v>85</v>
      </c>
      <c r="Z381">
        <v>0</v>
      </c>
      <c r="AA381">
        <v>0</v>
      </c>
      <c r="AB381">
        <v>612</v>
      </c>
      <c r="AC381">
        <v>319</v>
      </c>
      <c r="AD381">
        <v>102</v>
      </c>
      <c r="AE381">
        <v>1516</v>
      </c>
      <c r="AF381">
        <v>3027</v>
      </c>
      <c r="AG381">
        <v>7.6586999999999996</v>
      </c>
      <c r="AK381" t="str">
        <f t="shared" si="5"/>
        <v>WT850-6200</v>
      </c>
    </row>
    <row r="382" spans="1:37" ht="15">
      <c r="A382" t="s">
        <v>1839</v>
      </c>
      <c r="B382" t="s">
        <v>1840</v>
      </c>
      <c r="C382" t="s">
        <v>338</v>
      </c>
      <c r="D382" t="s">
        <v>284</v>
      </c>
      <c r="E382">
        <v>43</v>
      </c>
      <c r="F382">
        <v>0.8</v>
      </c>
      <c r="G382">
        <v>0</v>
      </c>
      <c r="H382">
        <v>45</v>
      </c>
      <c r="I382">
        <v>76</v>
      </c>
      <c r="J382">
        <v>177</v>
      </c>
      <c r="K382">
        <v>134</v>
      </c>
      <c r="L382">
        <v>141</v>
      </c>
      <c r="M382">
        <v>0</v>
      </c>
      <c r="N382">
        <v>0</v>
      </c>
      <c r="O382">
        <v>0</v>
      </c>
      <c r="P382">
        <v>0</v>
      </c>
      <c r="Q382">
        <v>134</v>
      </c>
      <c r="R382">
        <v>0</v>
      </c>
      <c r="S382">
        <v>0</v>
      </c>
      <c r="T382">
        <v>134</v>
      </c>
      <c r="U382">
        <v>0</v>
      </c>
      <c r="V382">
        <v>324</v>
      </c>
      <c r="W382">
        <v>0</v>
      </c>
      <c r="X382">
        <v>0</v>
      </c>
      <c r="Y382">
        <v>0</v>
      </c>
      <c r="Z382">
        <v>0</v>
      </c>
      <c r="AA382">
        <v>642</v>
      </c>
      <c r="AB382">
        <v>468</v>
      </c>
      <c r="AC382">
        <v>234</v>
      </c>
      <c r="AD382">
        <v>326</v>
      </c>
      <c r="AE382">
        <v>2128</v>
      </c>
      <c r="AF382">
        <v>520</v>
      </c>
      <c r="AG382">
        <v>7.1818999999999997</v>
      </c>
      <c r="AK382" t="str">
        <f t="shared" si="5"/>
        <v>WT860-5000</v>
      </c>
    </row>
    <row r="383" spans="1:37" ht="15">
      <c r="A383" t="s">
        <v>1841</v>
      </c>
      <c r="B383" t="s">
        <v>1840</v>
      </c>
      <c r="C383" t="s">
        <v>338</v>
      </c>
      <c r="D383" t="s">
        <v>284</v>
      </c>
      <c r="E383">
        <v>43</v>
      </c>
      <c r="F383">
        <v>0</v>
      </c>
      <c r="G383">
        <v>0</v>
      </c>
      <c r="H383">
        <v>0</v>
      </c>
      <c r="I383">
        <v>0</v>
      </c>
      <c r="J383">
        <v>69</v>
      </c>
      <c r="K383">
        <v>56</v>
      </c>
      <c r="L383">
        <v>29</v>
      </c>
      <c r="M383">
        <v>0</v>
      </c>
      <c r="N383">
        <v>0</v>
      </c>
      <c r="O383">
        <v>0</v>
      </c>
      <c r="P383">
        <v>0</v>
      </c>
      <c r="Q383">
        <v>56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573</v>
      </c>
      <c r="Z383">
        <v>0</v>
      </c>
      <c r="AA383">
        <v>0</v>
      </c>
      <c r="AB383">
        <v>0</v>
      </c>
      <c r="AC383">
        <v>0</v>
      </c>
      <c r="AD383">
        <v>260</v>
      </c>
      <c r="AE383">
        <v>833</v>
      </c>
      <c r="AF383">
        <v>0</v>
      </c>
      <c r="AG383">
        <v>8.7125000000000004</v>
      </c>
      <c r="AK383" t="str">
        <f t="shared" si="5"/>
        <v>WT860-6200</v>
      </c>
    </row>
    <row r="384" spans="1:37" ht="15">
      <c r="A384" t="s">
        <v>1842</v>
      </c>
      <c r="B384" t="s">
        <v>1843</v>
      </c>
      <c r="C384" t="s">
        <v>338</v>
      </c>
      <c r="D384" t="s">
        <v>284</v>
      </c>
      <c r="E384">
        <v>43</v>
      </c>
      <c r="F384">
        <v>0</v>
      </c>
      <c r="G384">
        <v>0</v>
      </c>
      <c r="H384">
        <v>0</v>
      </c>
      <c r="I384">
        <v>120</v>
      </c>
      <c r="J384">
        <v>180</v>
      </c>
      <c r="K384">
        <v>530</v>
      </c>
      <c r="L384">
        <v>80</v>
      </c>
      <c r="M384">
        <v>0</v>
      </c>
      <c r="N384">
        <v>0</v>
      </c>
      <c r="O384">
        <v>0</v>
      </c>
      <c r="P384">
        <v>0</v>
      </c>
      <c r="Q384">
        <v>530</v>
      </c>
      <c r="R384">
        <v>0</v>
      </c>
      <c r="S384">
        <v>0</v>
      </c>
      <c r="T384">
        <v>0</v>
      </c>
      <c r="U384">
        <v>0</v>
      </c>
      <c r="V384">
        <v>78</v>
      </c>
      <c r="W384">
        <v>642</v>
      </c>
      <c r="X384">
        <v>0</v>
      </c>
      <c r="Y384">
        <v>597</v>
      </c>
      <c r="Z384">
        <v>186</v>
      </c>
      <c r="AA384">
        <v>0</v>
      </c>
      <c r="AB384">
        <v>221</v>
      </c>
      <c r="AC384">
        <v>114</v>
      </c>
      <c r="AD384">
        <v>320</v>
      </c>
      <c r="AE384">
        <v>2158</v>
      </c>
      <c r="AF384">
        <v>4982</v>
      </c>
      <c r="AG384">
        <v>6.6875</v>
      </c>
      <c r="AK384" t="str">
        <f t="shared" si="5"/>
        <v>WT870-5000</v>
      </c>
    </row>
    <row r="385" spans="1:37" ht="15">
      <c r="A385" t="s">
        <v>1844</v>
      </c>
      <c r="B385" t="s">
        <v>1843</v>
      </c>
      <c r="C385" t="s">
        <v>338</v>
      </c>
      <c r="D385" t="s">
        <v>284</v>
      </c>
      <c r="E385">
        <v>43</v>
      </c>
      <c r="F385">
        <v>4.9000000000000004</v>
      </c>
      <c r="G385">
        <v>0</v>
      </c>
      <c r="H385">
        <v>51</v>
      </c>
      <c r="I385">
        <v>141</v>
      </c>
      <c r="J385">
        <v>282</v>
      </c>
      <c r="K385">
        <v>992</v>
      </c>
      <c r="L385">
        <v>119</v>
      </c>
      <c r="M385">
        <v>0</v>
      </c>
      <c r="N385">
        <v>0</v>
      </c>
      <c r="O385">
        <v>0</v>
      </c>
      <c r="P385">
        <v>0</v>
      </c>
      <c r="Q385">
        <v>992</v>
      </c>
      <c r="R385">
        <v>0</v>
      </c>
      <c r="S385">
        <v>152</v>
      </c>
      <c r="T385">
        <v>0</v>
      </c>
      <c r="U385">
        <v>0</v>
      </c>
      <c r="V385">
        <v>182</v>
      </c>
      <c r="W385">
        <v>222</v>
      </c>
      <c r="X385">
        <v>291</v>
      </c>
      <c r="Y385">
        <v>720</v>
      </c>
      <c r="Z385">
        <v>703</v>
      </c>
      <c r="AA385">
        <v>155</v>
      </c>
      <c r="AB385">
        <v>300</v>
      </c>
      <c r="AC385">
        <v>403</v>
      </c>
      <c r="AD385">
        <v>254</v>
      </c>
      <c r="AE385">
        <v>3382</v>
      </c>
      <c r="AF385">
        <v>2974</v>
      </c>
      <c r="AG385">
        <v>6.6875</v>
      </c>
      <c r="AK385" t="str">
        <f t="shared" si="5"/>
        <v>WT870-6200</v>
      </c>
    </row>
    <row r="386" spans="1:37" ht="15">
      <c r="A386" t="s">
        <v>1848</v>
      </c>
      <c r="B386" t="s">
        <v>1849</v>
      </c>
      <c r="C386" t="s">
        <v>1076</v>
      </c>
      <c r="D386" t="s">
        <v>1850</v>
      </c>
      <c r="E386">
        <v>43</v>
      </c>
      <c r="F386">
        <v>0</v>
      </c>
      <c r="G386">
        <v>0</v>
      </c>
      <c r="H386">
        <v>484</v>
      </c>
      <c r="I386">
        <v>378</v>
      </c>
      <c r="J386">
        <v>420</v>
      </c>
      <c r="K386">
        <v>0</v>
      </c>
      <c r="L386">
        <v>98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694</v>
      </c>
      <c r="T386">
        <v>204</v>
      </c>
      <c r="U386">
        <v>554</v>
      </c>
      <c r="V386">
        <v>438</v>
      </c>
      <c r="W386">
        <v>380</v>
      </c>
      <c r="X386">
        <v>0</v>
      </c>
      <c r="Y386">
        <v>250</v>
      </c>
      <c r="Z386">
        <v>202</v>
      </c>
      <c r="AA386">
        <v>538</v>
      </c>
      <c r="AB386">
        <v>821</v>
      </c>
      <c r="AC386">
        <v>265</v>
      </c>
      <c r="AD386">
        <v>695</v>
      </c>
      <c r="AE386">
        <v>5041</v>
      </c>
      <c r="AF386">
        <v>2906</v>
      </c>
      <c r="AG386" t="s">
        <v>7772</v>
      </c>
      <c r="AH386">
        <v>3</v>
      </c>
      <c r="AI386">
        <v>675</v>
      </c>
      <c r="AJ386">
        <v>5.9423000000000004</v>
      </c>
      <c r="AK386" t="str">
        <f t="shared" si="5"/>
        <v>WT890-6200</v>
      </c>
    </row>
    <row r="387" spans="1:37" ht="15">
      <c r="A387" t="s">
        <v>1851</v>
      </c>
      <c r="B387" t="s">
        <v>1852</v>
      </c>
      <c r="C387" t="s">
        <v>275</v>
      </c>
      <c r="D387" t="s">
        <v>306</v>
      </c>
      <c r="E387">
        <v>43</v>
      </c>
      <c r="F387">
        <v>0</v>
      </c>
      <c r="G387">
        <v>0</v>
      </c>
      <c r="H387">
        <v>0</v>
      </c>
      <c r="I387">
        <v>0</v>
      </c>
      <c r="J387">
        <v>9</v>
      </c>
      <c r="K387">
        <v>350</v>
      </c>
      <c r="L387">
        <v>37</v>
      </c>
      <c r="M387">
        <v>0</v>
      </c>
      <c r="N387">
        <v>0</v>
      </c>
      <c r="O387">
        <v>0</v>
      </c>
      <c r="P387">
        <v>0</v>
      </c>
      <c r="Q387">
        <v>350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110</v>
      </c>
      <c r="AB387">
        <v>0</v>
      </c>
      <c r="AC387">
        <v>0</v>
      </c>
      <c r="AD387">
        <v>0</v>
      </c>
      <c r="AE387">
        <v>110</v>
      </c>
      <c r="AF387">
        <v>2497</v>
      </c>
      <c r="AJ387">
        <v>4.4770000000000003</v>
      </c>
      <c r="AK387" t="str">
        <f t="shared" si="5"/>
        <v>WW011-5000</v>
      </c>
    </row>
    <row r="388" spans="1:37" ht="15">
      <c r="A388" t="s">
        <v>1853</v>
      </c>
      <c r="B388" t="s">
        <v>1852</v>
      </c>
      <c r="C388" t="s">
        <v>275</v>
      </c>
      <c r="D388" t="s">
        <v>306</v>
      </c>
      <c r="E388">
        <v>43</v>
      </c>
      <c r="F388">
        <v>0.7</v>
      </c>
      <c r="G388">
        <v>0</v>
      </c>
      <c r="H388">
        <v>165</v>
      </c>
      <c r="I388">
        <v>229</v>
      </c>
      <c r="J388">
        <v>258</v>
      </c>
      <c r="K388">
        <v>483</v>
      </c>
      <c r="L388">
        <v>81</v>
      </c>
      <c r="M388">
        <v>0</v>
      </c>
      <c r="N388">
        <v>0</v>
      </c>
      <c r="O388">
        <v>0</v>
      </c>
      <c r="P388">
        <v>0</v>
      </c>
      <c r="Q388">
        <v>483</v>
      </c>
      <c r="R388">
        <v>0</v>
      </c>
      <c r="S388">
        <v>0</v>
      </c>
      <c r="T388">
        <v>0</v>
      </c>
      <c r="U388">
        <v>494</v>
      </c>
      <c r="V388">
        <v>0</v>
      </c>
      <c r="W388">
        <v>346</v>
      </c>
      <c r="X388">
        <v>534</v>
      </c>
      <c r="Y388">
        <v>0</v>
      </c>
      <c r="Z388">
        <v>612</v>
      </c>
      <c r="AA388">
        <v>0</v>
      </c>
      <c r="AB388">
        <v>0</v>
      </c>
      <c r="AC388">
        <v>969</v>
      </c>
      <c r="AD388">
        <v>141</v>
      </c>
      <c r="AE388">
        <v>3096</v>
      </c>
      <c r="AF388">
        <v>902</v>
      </c>
      <c r="AG388">
        <v>4.8</v>
      </c>
      <c r="AK388" t="str">
        <f t="shared" si="5"/>
        <v>WW011-6200</v>
      </c>
    </row>
    <row r="389" spans="1:37" ht="15">
      <c r="A389" t="s">
        <v>1856</v>
      </c>
      <c r="B389" t="s">
        <v>1855</v>
      </c>
      <c r="C389" t="s">
        <v>110</v>
      </c>
      <c r="D389" t="s">
        <v>666</v>
      </c>
      <c r="E389">
        <v>43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80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80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5.98</v>
      </c>
      <c r="AK389" t="str">
        <f t="shared" ref="AK389:AK452" si="6">MID(A389,4,10)</f>
        <v>WW020-6200</v>
      </c>
    </row>
    <row r="390" spans="1:37" ht="15">
      <c r="A390" t="s">
        <v>1857</v>
      </c>
      <c r="B390" t="s">
        <v>1858</v>
      </c>
      <c r="C390" t="s">
        <v>1027</v>
      </c>
      <c r="D390" t="s">
        <v>284</v>
      </c>
      <c r="E390">
        <v>40</v>
      </c>
      <c r="F390">
        <v>1.5</v>
      </c>
      <c r="G390">
        <v>0</v>
      </c>
      <c r="H390">
        <v>18</v>
      </c>
      <c r="I390">
        <v>51</v>
      </c>
      <c r="J390">
        <v>69</v>
      </c>
      <c r="K390">
        <v>111</v>
      </c>
      <c r="L390">
        <v>103</v>
      </c>
      <c r="M390">
        <v>0</v>
      </c>
      <c r="N390">
        <v>0</v>
      </c>
      <c r="O390">
        <v>0</v>
      </c>
      <c r="P390">
        <v>0</v>
      </c>
      <c r="Q390">
        <v>111</v>
      </c>
      <c r="R390">
        <v>0</v>
      </c>
      <c r="S390">
        <v>0</v>
      </c>
      <c r="T390">
        <v>0</v>
      </c>
      <c r="U390">
        <v>55</v>
      </c>
      <c r="V390">
        <v>46</v>
      </c>
      <c r="W390">
        <v>0</v>
      </c>
      <c r="X390">
        <v>206</v>
      </c>
      <c r="Y390">
        <v>333</v>
      </c>
      <c r="Z390">
        <v>0</v>
      </c>
      <c r="AA390">
        <v>187</v>
      </c>
      <c r="AB390">
        <v>0</v>
      </c>
      <c r="AC390">
        <v>0</v>
      </c>
      <c r="AD390">
        <v>0</v>
      </c>
      <c r="AE390">
        <v>827</v>
      </c>
      <c r="AF390">
        <v>609</v>
      </c>
      <c r="AG390">
        <v>6.9375999999999998</v>
      </c>
      <c r="AK390" t="str">
        <f t="shared" si="6"/>
        <v>WW050-5000</v>
      </c>
    </row>
    <row r="391" spans="1:37" ht="15">
      <c r="A391" t="s">
        <v>1865</v>
      </c>
      <c r="B391" t="s">
        <v>1866</v>
      </c>
      <c r="C391" t="s">
        <v>1027</v>
      </c>
      <c r="D391" t="s">
        <v>1867</v>
      </c>
      <c r="E391">
        <v>40</v>
      </c>
      <c r="F391">
        <v>0</v>
      </c>
      <c r="G391">
        <v>0</v>
      </c>
      <c r="H391">
        <v>536</v>
      </c>
      <c r="I391">
        <v>606</v>
      </c>
      <c r="J391">
        <v>468</v>
      </c>
      <c r="K391">
        <v>0</v>
      </c>
      <c r="L391">
        <v>83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1152</v>
      </c>
      <c r="T391">
        <v>318</v>
      </c>
      <c r="U391">
        <v>137</v>
      </c>
      <c r="V391">
        <v>393</v>
      </c>
      <c r="W391">
        <v>536</v>
      </c>
      <c r="X391">
        <v>1100</v>
      </c>
      <c r="Y391">
        <v>134</v>
      </c>
      <c r="Z391">
        <v>0</v>
      </c>
      <c r="AA391">
        <v>1615</v>
      </c>
      <c r="AB391">
        <v>235</v>
      </c>
      <c r="AC391">
        <v>0</v>
      </c>
      <c r="AD391">
        <v>0</v>
      </c>
      <c r="AE391">
        <v>5620</v>
      </c>
      <c r="AF391">
        <v>1468</v>
      </c>
      <c r="AG391">
        <v>5.9749999999999996</v>
      </c>
      <c r="AK391" t="str">
        <f t="shared" si="6"/>
        <v>WW120-5000</v>
      </c>
    </row>
    <row r="392" spans="1:37" ht="15">
      <c r="A392" t="s">
        <v>1868</v>
      </c>
      <c r="B392" t="s">
        <v>1866</v>
      </c>
      <c r="C392" t="s">
        <v>1076</v>
      </c>
      <c r="D392" t="s">
        <v>1867</v>
      </c>
      <c r="E392">
        <v>40</v>
      </c>
      <c r="F392">
        <v>0.1</v>
      </c>
      <c r="G392">
        <v>84</v>
      </c>
      <c r="H392">
        <v>958</v>
      </c>
      <c r="I392">
        <v>1427</v>
      </c>
      <c r="J392">
        <v>1152</v>
      </c>
      <c r="K392">
        <v>350</v>
      </c>
      <c r="L392">
        <v>446</v>
      </c>
      <c r="M392">
        <v>0</v>
      </c>
      <c r="N392">
        <v>70</v>
      </c>
      <c r="O392">
        <v>0</v>
      </c>
      <c r="P392">
        <v>0</v>
      </c>
      <c r="Q392">
        <v>280</v>
      </c>
      <c r="R392">
        <v>0</v>
      </c>
      <c r="S392">
        <v>823</v>
      </c>
      <c r="T392">
        <v>736</v>
      </c>
      <c r="U392">
        <v>1316</v>
      </c>
      <c r="V392">
        <v>2187</v>
      </c>
      <c r="W392">
        <v>1315</v>
      </c>
      <c r="X392">
        <v>2187</v>
      </c>
      <c r="Y392">
        <v>907</v>
      </c>
      <c r="Z392">
        <v>1640</v>
      </c>
      <c r="AA392">
        <v>1478</v>
      </c>
      <c r="AB392">
        <v>344</v>
      </c>
      <c r="AC392">
        <v>355</v>
      </c>
      <c r="AD392">
        <v>535</v>
      </c>
      <c r="AE392">
        <v>13823</v>
      </c>
      <c r="AF392">
        <v>11084</v>
      </c>
      <c r="AG392" t="s">
        <v>7554</v>
      </c>
      <c r="AH392">
        <v>8</v>
      </c>
      <c r="AI392">
        <v>1306</v>
      </c>
      <c r="AJ392">
        <v>5.9749999999999996</v>
      </c>
      <c r="AK392" t="str">
        <f t="shared" si="6"/>
        <v>WW120-6200</v>
      </c>
    </row>
    <row r="393" spans="1:37" ht="15">
      <c r="A393" t="s">
        <v>1869</v>
      </c>
      <c r="B393" t="s">
        <v>1870</v>
      </c>
      <c r="C393" t="s">
        <v>1027</v>
      </c>
      <c r="D393" t="s">
        <v>1782</v>
      </c>
      <c r="E393">
        <v>43</v>
      </c>
      <c r="F393">
        <v>0</v>
      </c>
      <c r="G393">
        <v>0</v>
      </c>
      <c r="H393">
        <v>0</v>
      </c>
      <c r="I393">
        <v>25</v>
      </c>
      <c r="J393">
        <v>65</v>
      </c>
      <c r="K393">
        <v>516</v>
      </c>
      <c r="L393">
        <v>80</v>
      </c>
      <c r="M393">
        <v>0</v>
      </c>
      <c r="N393">
        <v>0</v>
      </c>
      <c r="O393">
        <v>0</v>
      </c>
      <c r="P393">
        <v>0</v>
      </c>
      <c r="Q393">
        <v>516</v>
      </c>
      <c r="R393">
        <v>0</v>
      </c>
      <c r="S393">
        <v>0</v>
      </c>
      <c r="T393">
        <v>0</v>
      </c>
      <c r="U393">
        <v>0</v>
      </c>
      <c r="V393">
        <v>147</v>
      </c>
      <c r="W393">
        <v>0</v>
      </c>
      <c r="X393">
        <v>0</v>
      </c>
      <c r="Y393">
        <v>0</v>
      </c>
      <c r="Z393">
        <v>107</v>
      </c>
      <c r="AA393">
        <v>0</v>
      </c>
      <c r="AB393">
        <v>0</v>
      </c>
      <c r="AC393">
        <v>318</v>
      </c>
      <c r="AD393">
        <v>208</v>
      </c>
      <c r="AE393">
        <v>780</v>
      </c>
      <c r="AF393">
        <v>823</v>
      </c>
      <c r="AG393">
        <v>7.4749999999999996</v>
      </c>
      <c r="AK393" t="str">
        <f t="shared" si="6"/>
        <v>WW160-5000</v>
      </c>
    </row>
    <row r="394" spans="1:37" ht="15">
      <c r="A394" t="s">
        <v>1872</v>
      </c>
      <c r="B394" t="s">
        <v>1873</v>
      </c>
      <c r="C394" t="s">
        <v>1027</v>
      </c>
      <c r="D394" t="s">
        <v>1782</v>
      </c>
      <c r="E394">
        <v>43</v>
      </c>
      <c r="F394">
        <v>2</v>
      </c>
      <c r="G394">
        <v>0</v>
      </c>
      <c r="H394">
        <v>16</v>
      </c>
      <c r="I394">
        <v>33</v>
      </c>
      <c r="J394">
        <v>16</v>
      </c>
      <c r="K394">
        <v>128</v>
      </c>
      <c r="L394">
        <v>16</v>
      </c>
      <c r="M394">
        <v>0</v>
      </c>
      <c r="N394">
        <v>0</v>
      </c>
      <c r="O394">
        <v>0</v>
      </c>
      <c r="P394">
        <v>0</v>
      </c>
      <c r="Q394">
        <v>128</v>
      </c>
      <c r="R394">
        <v>0</v>
      </c>
      <c r="S394">
        <v>0</v>
      </c>
      <c r="T394">
        <v>0</v>
      </c>
      <c r="U394">
        <v>47</v>
      </c>
      <c r="V394">
        <v>0</v>
      </c>
      <c r="W394">
        <v>150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197</v>
      </c>
      <c r="AF394">
        <v>977</v>
      </c>
      <c r="AG394">
        <v>7.3017000000000003</v>
      </c>
      <c r="AK394" t="str">
        <f t="shared" si="6"/>
        <v>WW185-5000</v>
      </c>
    </row>
    <row r="395" spans="1:37" ht="15">
      <c r="A395" t="s">
        <v>1891</v>
      </c>
      <c r="B395" t="s">
        <v>1892</v>
      </c>
      <c r="C395" t="s">
        <v>329</v>
      </c>
      <c r="D395" t="s">
        <v>1422</v>
      </c>
      <c r="E395">
        <v>50</v>
      </c>
      <c r="F395">
        <v>0</v>
      </c>
      <c r="G395">
        <v>0</v>
      </c>
      <c r="H395">
        <v>0</v>
      </c>
      <c r="I395">
        <v>0</v>
      </c>
      <c r="J395">
        <v>35</v>
      </c>
      <c r="K395">
        <v>220</v>
      </c>
      <c r="L395">
        <v>82</v>
      </c>
      <c r="M395">
        <v>0</v>
      </c>
      <c r="N395">
        <v>0</v>
      </c>
      <c r="O395">
        <v>0</v>
      </c>
      <c r="P395">
        <v>0</v>
      </c>
      <c r="Q395">
        <v>220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48</v>
      </c>
      <c r="AC395">
        <v>234</v>
      </c>
      <c r="AD395">
        <v>139</v>
      </c>
      <c r="AE395">
        <v>421</v>
      </c>
      <c r="AF395">
        <v>287</v>
      </c>
      <c r="AG395">
        <v>5.0673000000000004</v>
      </c>
      <c r="AK395" t="str">
        <f t="shared" si="6"/>
        <v>WW561-5000</v>
      </c>
    </row>
    <row r="396" spans="1:37" ht="15">
      <c r="A396" t="s">
        <v>1896</v>
      </c>
      <c r="B396" t="s">
        <v>1895</v>
      </c>
      <c r="C396" t="s">
        <v>110</v>
      </c>
      <c r="D396" t="s">
        <v>292</v>
      </c>
      <c r="E396">
        <v>50</v>
      </c>
      <c r="F396">
        <v>0</v>
      </c>
      <c r="G396">
        <v>0</v>
      </c>
      <c r="H396">
        <v>0</v>
      </c>
      <c r="I396">
        <v>151</v>
      </c>
      <c r="J396">
        <v>99</v>
      </c>
      <c r="K396">
        <v>250</v>
      </c>
      <c r="L396">
        <v>149</v>
      </c>
      <c r="M396">
        <v>0</v>
      </c>
      <c r="N396">
        <v>0</v>
      </c>
      <c r="O396">
        <v>0</v>
      </c>
      <c r="P396">
        <v>0</v>
      </c>
      <c r="Q396">
        <v>250</v>
      </c>
      <c r="R396">
        <v>0</v>
      </c>
      <c r="S396">
        <v>0</v>
      </c>
      <c r="T396">
        <v>0</v>
      </c>
      <c r="U396">
        <v>0</v>
      </c>
      <c r="V396">
        <v>197</v>
      </c>
      <c r="W396">
        <v>709</v>
      </c>
      <c r="X396">
        <v>0</v>
      </c>
      <c r="Y396">
        <v>277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1183</v>
      </c>
      <c r="AF396">
        <v>0</v>
      </c>
      <c r="AG396">
        <v>5.9791999999999996</v>
      </c>
      <c r="AK396" t="str">
        <f t="shared" si="6"/>
        <v>WW601-6200</v>
      </c>
    </row>
    <row r="397" spans="1:37" ht="15">
      <c r="A397" t="s">
        <v>6252</v>
      </c>
      <c r="B397" t="s">
        <v>4571</v>
      </c>
      <c r="C397" t="s">
        <v>275</v>
      </c>
      <c r="D397" t="s">
        <v>1706</v>
      </c>
      <c r="E397">
        <v>43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2502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2502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J397">
        <v>7.7648999999999999</v>
      </c>
      <c r="AK397" t="str">
        <f t="shared" si="6"/>
        <v>WW800-6200</v>
      </c>
    </row>
    <row r="398" spans="1:37" ht="15">
      <c r="A398" t="s">
        <v>1909</v>
      </c>
      <c r="B398" t="s">
        <v>1910</v>
      </c>
      <c r="C398" t="s">
        <v>1076</v>
      </c>
      <c r="D398" t="s">
        <v>1911</v>
      </c>
      <c r="E398">
        <v>50</v>
      </c>
      <c r="F398">
        <v>0</v>
      </c>
      <c r="G398">
        <v>117</v>
      </c>
      <c r="H398">
        <v>0</v>
      </c>
      <c r="I398">
        <v>23</v>
      </c>
      <c r="J398">
        <v>175</v>
      </c>
      <c r="K398">
        <v>322</v>
      </c>
      <c r="L398">
        <v>30</v>
      </c>
      <c r="M398">
        <v>0</v>
      </c>
      <c r="N398">
        <v>97</v>
      </c>
      <c r="O398">
        <v>0</v>
      </c>
      <c r="P398">
        <v>0</v>
      </c>
      <c r="Q398">
        <v>225</v>
      </c>
      <c r="R398">
        <v>122</v>
      </c>
      <c r="S398">
        <v>0</v>
      </c>
      <c r="T398">
        <v>0</v>
      </c>
      <c r="U398">
        <v>0</v>
      </c>
      <c r="V398">
        <v>136</v>
      </c>
      <c r="W398">
        <v>0</v>
      </c>
      <c r="X398">
        <v>0</v>
      </c>
      <c r="Y398">
        <v>225</v>
      </c>
      <c r="Z398">
        <v>1391</v>
      </c>
      <c r="AA398">
        <v>0</v>
      </c>
      <c r="AB398">
        <v>0</v>
      </c>
      <c r="AC398">
        <v>350</v>
      </c>
      <c r="AD398">
        <v>0</v>
      </c>
      <c r="AE398">
        <v>2102</v>
      </c>
      <c r="AF398">
        <v>2159</v>
      </c>
      <c r="AG398" t="s">
        <v>4464</v>
      </c>
      <c r="AH398">
        <v>7</v>
      </c>
      <c r="AI398">
        <v>49</v>
      </c>
      <c r="AJ398">
        <v>5.0603999999999996</v>
      </c>
      <c r="AK398" t="str">
        <f t="shared" si="6"/>
        <v>WX031-5000</v>
      </c>
    </row>
    <row r="399" spans="1:37" ht="15">
      <c r="A399" t="s">
        <v>1912</v>
      </c>
      <c r="B399" t="s">
        <v>1910</v>
      </c>
      <c r="C399" t="s">
        <v>329</v>
      </c>
      <c r="D399" t="s">
        <v>1911</v>
      </c>
      <c r="E399">
        <v>50</v>
      </c>
      <c r="F399">
        <v>0</v>
      </c>
      <c r="G399">
        <v>0</v>
      </c>
      <c r="H399">
        <v>0</v>
      </c>
      <c r="I399">
        <v>31</v>
      </c>
      <c r="J399">
        <v>15</v>
      </c>
      <c r="K399">
        <v>148</v>
      </c>
      <c r="L399">
        <v>54</v>
      </c>
      <c r="M399">
        <v>0</v>
      </c>
      <c r="N399">
        <v>0</v>
      </c>
      <c r="O399">
        <v>0</v>
      </c>
      <c r="P399">
        <v>0</v>
      </c>
      <c r="Q399">
        <v>148</v>
      </c>
      <c r="R399">
        <v>0</v>
      </c>
      <c r="S399">
        <v>0</v>
      </c>
      <c r="T399">
        <v>0</v>
      </c>
      <c r="U399">
        <v>0</v>
      </c>
      <c r="V399">
        <v>183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183</v>
      </c>
      <c r="AF399">
        <v>661</v>
      </c>
      <c r="AG399">
        <v>6.7</v>
      </c>
      <c r="AK399" t="str">
        <f t="shared" si="6"/>
        <v>WX031-6200</v>
      </c>
    </row>
    <row r="400" spans="1:37" ht="15">
      <c r="A400" t="s">
        <v>1916</v>
      </c>
      <c r="B400" t="s">
        <v>1917</v>
      </c>
      <c r="C400" t="s">
        <v>110</v>
      </c>
      <c r="D400" t="s">
        <v>1918</v>
      </c>
      <c r="E400">
        <v>50</v>
      </c>
      <c r="F400">
        <v>3.7</v>
      </c>
      <c r="G400">
        <v>0</v>
      </c>
      <c r="H400">
        <v>40</v>
      </c>
      <c r="I400">
        <v>66</v>
      </c>
      <c r="J400">
        <v>88</v>
      </c>
      <c r="K400">
        <v>580</v>
      </c>
      <c r="L400">
        <v>13</v>
      </c>
      <c r="M400">
        <v>0</v>
      </c>
      <c r="N400">
        <v>0</v>
      </c>
      <c r="O400">
        <v>0</v>
      </c>
      <c r="P400">
        <v>0</v>
      </c>
      <c r="Q400">
        <v>580</v>
      </c>
      <c r="R400">
        <v>0</v>
      </c>
      <c r="S400">
        <v>0</v>
      </c>
      <c r="T400">
        <v>119</v>
      </c>
      <c r="U400">
        <v>0</v>
      </c>
      <c r="V400">
        <v>0</v>
      </c>
      <c r="W400">
        <v>0</v>
      </c>
      <c r="X400">
        <v>275</v>
      </c>
      <c r="Y400">
        <v>0</v>
      </c>
      <c r="Z400">
        <v>145</v>
      </c>
      <c r="AA400">
        <v>0</v>
      </c>
      <c r="AB400">
        <v>0</v>
      </c>
      <c r="AC400">
        <v>334</v>
      </c>
      <c r="AD400">
        <v>178</v>
      </c>
      <c r="AE400">
        <v>1051</v>
      </c>
      <c r="AF400">
        <v>578</v>
      </c>
      <c r="AJ400">
        <v>5.8874000000000004</v>
      </c>
      <c r="AK400" t="str">
        <f t="shared" si="6"/>
        <v>WX081-5000</v>
      </c>
    </row>
    <row r="401" spans="1:37" ht="15">
      <c r="A401" t="s">
        <v>1919</v>
      </c>
      <c r="B401" t="s">
        <v>1917</v>
      </c>
      <c r="C401" t="s">
        <v>110</v>
      </c>
      <c r="D401" t="s">
        <v>900</v>
      </c>
      <c r="E401">
        <v>50</v>
      </c>
      <c r="F401">
        <v>0.3</v>
      </c>
      <c r="G401">
        <v>0</v>
      </c>
      <c r="H401">
        <v>519</v>
      </c>
      <c r="I401">
        <v>880</v>
      </c>
      <c r="J401">
        <v>780</v>
      </c>
      <c r="K401">
        <v>560</v>
      </c>
      <c r="L401">
        <v>484</v>
      </c>
      <c r="M401">
        <v>0</v>
      </c>
      <c r="N401">
        <v>0</v>
      </c>
      <c r="O401">
        <v>0</v>
      </c>
      <c r="P401">
        <v>0</v>
      </c>
      <c r="Q401">
        <v>560</v>
      </c>
      <c r="R401">
        <v>0</v>
      </c>
      <c r="S401">
        <v>0</v>
      </c>
      <c r="T401">
        <v>0</v>
      </c>
      <c r="U401">
        <v>1556</v>
      </c>
      <c r="V401">
        <v>1579</v>
      </c>
      <c r="W401">
        <v>759</v>
      </c>
      <c r="X401">
        <v>1388</v>
      </c>
      <c r="Y401">
        <v>605</v>
      </c>
      <c r="Z401">
        <v>0</v>
      </c>
      <c r="AA401">
        <v>495</v>
      </c>
      <c r="AB401">
        <v>1445</v>
      </c>
      <c r="AC401">
        <v>968</v>
      </c>
      <c r="AD401">
        <v>567</v>
      </c>
      <c r="AE401">
        <v>9362</v>
      </c>
      <c r="AF401">
        <v>4809</v>
      </c>
      <c r="AJ401">
        <v>5.8874000000000004</v>
      </c>
      <c r="AK401" t="str">
        <f t="shared" si="6"/>
        <v>WX081-6200</v>
      </c>
    </row>
    <row r="402" spans="1:37" ht="15">
      <c r="A402" t="s">
        <v>1920</v>
      </c>
      <c r="B402" t="s">
        <v>1921</v>
      </c>
      <c r="C402" t="s">
        <v>275</v>
      </c>
      <c r="E402">
        <v>50</v>
      </c>
      <c r="F402">
        <v>0</v>
      </c>
      <c r="G402">
        <v>0</v>
      </c>
      <c r="H402">
        <v>0</v>
      </c>
      <c r="I402">
        <v>43</v>
      </c>
      <c r="J402">
        <v>30</v>
      </c>
      <c r="K402">
        <v>195</v>
      </c>
      <c r="L402">
        <v>33</v>
      </c>
      <c r="M402">
        <v>0</v>
      </c>
      <c r="N402">
        <v>0</v>
      </c>
      <c r="O402">
        <v>0</v>
      </c>
      <c r="P402">
        <v>0</v>
      </c>
      <c r="Q402">
        <v>195</v>
      </c>
      <c r="R402">
        <v>0</v>
      </c>
      <c r="S402">
        <v>0</v>
      </c>
      <c r="T402">
        <v>0</v>
      </c>
      <c r="U402">
        <v>0</v>
      </c>
      <c r="V402">
        <v>260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95</v>
      </c>
      <c r="AC402">
        <v>0</v>
      </c>
      <c r="AD402">
        <v>0</v>
      </c>
      <c r="AE402">
        <v>355</v>
      </c>
      <c r="AF402">
        <v>0</v>
      </c>
      <c r="AJ402">
        <v>7.8750999999999998</v>
      </c>
      <c r="AK402" t="str">
        <f t="shared" si="6"/>
        <v>WX110-5000</v>
      </c>
    </row>
    <row r="403" spans="1:37" ht="15">
      <c r="A403" t="s">
        <v>3887</v>
      </c>
      <c r="B403" t="s">
        <v>1924</v>
      </c>
      <c r="C403" t="s">
        <v>275</v>
      </c>
      <c r="D403" t="s">
        <v>1706</v>
      </c>
      <c r="E403">
        <v>43</v>
      </c>
      <c r="F403">
        <v>0.8</v>
      </c>
      <c r="G403">
        <v>352</v>
      </c>
      <c r="H403">
        <v>401</v>
      </c>
      <c r="I403">
        <v>596</v>
      </c>
      <c r="J403">
        <v>559</v>
      </c>
      <c r="K403">
        <v>1553</v>
      </c>
      <c r="L403">
        <v>379</v>
      </c>
      <c r="M403">
        <v>0</v>
      </c>
      <c r="N403">
        <v>294</v>
      </c>
      <c r="O403">
        <v>0</v>
      </c>
      <c r="P403">
        <v>0</v>
      </c>
      <c r="Q403">
        <v>1259</v>
      </c>
      <c r="R403">
        <v>249</v>
      </c>
      <c r="S403">
        <v>316</v>
      </c>
      <c r="T403">
        <v>456</v>
      </c>
      <c r="U403">
        <v>432</v>
      </c>
      <c r="V403">
        <v>778</v>
      </c>
      <c r="W403">
        <v>1165</v>
      </c>
      <c r="X403">
        <v>428</v>
      </c>
      <c r="Y403">
        <v>315</v>
      </c>
      <c r="Z403">
        <v>625</v>
      </c>
      <c r="AA403">
        <v>432</v>
      </c>
      <c r="AB403">
        <v>355</v>
      </c>
      <c r="AC403">
        <v>1403</v>
      </c>
      <c r="AD403">
        <v>0</v>
      </c>
      <c r="AE403">
        <v>6705</v>
      </c>
      <c r="AF403">
        <v>5651</v>
      </c>
      <c r="AJ403">
        <v>6.9481999999999999</v>
      </c>
      <c r="AK403" t="str">
        <f t="shared" si="6"/>
        <v>WX125-5000</v>
      </c>
    </row>
    <row r="404" spans="1:37" ht="15">
      <c r="A404" t="s">
        <v>1923</v>
      </c>
      <c r="B404" t="s">
        <v>1924</v>
      </c>
      <c r="C404" t="s">
        <v>275</v>
      </c>
      <c r="D404" t="s">
        <v>1706</v>
      </c>
      <c r="E404">
        <v>43</v>
      </c>
      <c r="F404">
        <v>2.5</v>
      </c>
      <c r="G404">
        <v>0</v>
      </c>
      <c r="H404">
        <v>217</v>
      </c>
      <c r="I404">
        <v>612</v>
      </c>
      <c r="J404">
        <v>438</v>
      </c>
      <c r="K404">
        <v>2197</v>
      </c>
      <c r="L404">
        <v>84</v>
      </c>
      <c r="M404">
        <v>0</v>
      </c>
      <c r="N404">
        <v>0</v>
      </c>
      <c r="O404">
        <v>0</v>
      </c>
      <c r="P404">
        <v>0</v>
      </c>
      <c r="Q404">
        <v>2197</v>
      </c>
      <c r="R404">
        <v>0</v>
      </c>
      <c r="S404">
        <v>0</v>
      </c>
      <c r="T404">
        <v>258</v>
      </c>
      <c r="U404">
        <v>392</v>
      </c>
      <c r="V404">
        <v>899</v>
      </c>
      <c r="W404">
        <v>1222</v>
      </c>
      <c r="X404">
        <v>899</v>
      </c>
      <c r="Y404">
        <v>0</v>
      </c>
      <c r="Z404">
        <v>228</v>
      </c>
      <c r="AA404">
        <v>880</v>
      </c>
      <c r="AB404">
        <v>0</v>
      </c>
      <c r="AC404">
        <v>472</v>
      </c>
      <c r="AD404">
        <v>0</v>
      </c>
      <c r="AE404">
        <v>5250</v>
      </c>
      <c r="AF404">
        <v>7044</v>
      </c>
      <c r="AJ404">
        <v>6.9481999999999999</v>
      </c>
      <c r="AK404" t="str">
        <f t="shared" si="6"/>
        <v>WX125-6200</v>
      </c>
    </row>
    <row r="405" spans="1:37" ht="15">
      <c r="A405" t="s">
        <v>1929</v>
      </c>
      <c r="B405" t="s">
        <v>1930</v>
      </c>
      <c r="C405" t="s">
        <v>329</v>
      </c>
      <c r="D405" t="s">
        <v>1782</v>
      </c>
      <c r="E405">
        <v>50</v>
      </c>
      <c r="F405">
        <v>0</v>
      </c>
      <c r="G405">
        <v>0</v>
      </c>
      <c r="H405">
        <v>0</v>
      </c>
      <c r="I405">
        <v>160</v>
      </c>
      <c r="J405">
        <v>103</v>
      </c>
      <c r="K405">
        <v>656</v>
      </c>
      <c r="L405">
        <v>12</v>
      </c>
      <c r="M405">
        <v>0</v>
      </c>
      <c r="N405">
        <v>0</v>
      </c>
      <c r="O405">
        <v>0</v>
      </c>
      <c r="P405">
        <v>0</v>
      </c>
      <c r="Q405">
        <v>656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958</v>
      </c>
      <c r="Y405">
        <v>0</v>
      </c>
      <c r="Z405">
        <v>0</v>
      </c>
      <c r="AA405">
        <v>0</v>
      </c>
      <c r="AB405">
        <v>0</v>
      </c>
      <c r="AC405">
        <v>273</v>
      </c>
      <c r="AD405">
        <v>0</v>
      </c>
      <c r="AE405">
        <v>1231</v>
      </c>
      <c r="AF405">
        <v>816</v>
      </c>
      <c r="AG405">
        <v>5.8856999999999999</v>
      </c>
      <c r="AK405" t="str">
        <f t="shared" si="6"/>
        <v>WX170-5000</v>
      </c>
    </row>
    <row r="406" spans="1:37" ht="15">
      <c r="A406" t="s">
        <v>1940</v>
      </c>
      <c r="B406" t="s">
        <v>1941</v>
      </c>
      <c r="C406" t="s">
        <v>110</v>
      </c>
      <c r="E406">
        <v>43</v>
      </c>
      <c r="F406">
        <v>0</v>
      </c>
      <c r="G406">
        <v>0</v>
      </c>
      <c r="H406">
        <v>0</v>
      </c>
      <c r="I406">
        <v>57</v>
      </c>
      <c r="J406">
        <v>53</v>
      </c>
      <c r="K406">
        <v>100</v>
      </c>
      <c r="L406">
        <v>66</v>
      </c>
      <c r="M406">
        <v>0</v>
      </c>
      <c r="N406">
        <v>0</v>
      </c>
      <c r="O406">
        <v>0</v>
      </c>
      <c r="P406">
        <v>0</v>
      </c>
      <c r="Q406">
        <v>100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339</v>
      </c>
      <c r="X406">
        <v>0</v>
      </c>
      <c r="Y406">
        <v>0</v>
      </c>
      <c r="Z406">
        <v>0</v>
      </c>
      <c r="AA406">
        <v>0</v>
      </c>
      <c r="AB406">
        <v>298</v>
      </c>
      <c r="AC406">
        <v>0</v>
      </c>
      <c r="AD406">
        <v>0</v>
      </c>
      <c r="AE406">
        <v>637</v>
      </c>
      <c r="AF406">
        <v>855</v>
      </c>
      <c r="AG406">
        <v>6.2125000000000004</v>
      </c>
      <c r="AK406" t="str">
        <f t="shared" si="6"/>
        <v>WX230-5000</v>
      </c>
    </row>
    <row r="407" spans="1:37" ht="15">
      <c r="A407" t="s">
        <v>1942</v>
      </c>
      <c r="B407" t="s">
        <v>1941</v>
      </c>
      <c r="C407" t="s">
        <v>110</v>
      </c>
      <c r="E407">
        <v>43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61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61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J407">
        <v>5.6249000000000002</v>
      </c>
      <c r="AK407" t="str">
        <f t="shared" si="6"/>
        <v>WX230-6200</v>
      </c>
    </row>
    <row r="408" spans="1:37" ht="15">
      <c r="A408" t="s">
        <v>1943</v>
      </c>
      <c r="B408" t="s">
        <v>1944</v>
      </c>
      <c r="C408" t="s">
        <v>110</v>
      </c>
      <c r="E408">
        <v>50</v>
      </c>
      <c r="F408">
        <v>1.7</v>
      </c>
      <c r="G408">
        <v>0</v>
      </c>
      <c r="H408">
        <v>103</v>
      </c>
      <c r="I408">
        <v>69</v>
      </c>
      <c r="J408">
        <v>92</v>
      </c>
      <c r="K408">
        <v>708</v>
      </c>
      <c r="L408">
        <v>28</v>
      </c>
      <c r="M408">
        <v>0</v>
      </c>
      <c r="N408">
        <v>0</v>
      </c>
      <c r="O408">
        <v>0</v>
      </c>
      <c r="P408">
        <v>0</v>
      </c>
      <c r="Q408">
        <v>708</v>
      </c>
      <c r="R408">
        <v>0</v>
      </c>
      <c r="S408">
        <v>98</v>
      </c>
      <c r="T408">
        <v>0</v>
      </c>
      <c r="U408">
        <v>210</v>
      </c>
      <c r="V408">
        <v>0</v>
      </c>
      <c r="W408">
        <v>0</v>
      </c>
      <c r="X408">
        <v>105</v>
      </c>
      <c r="Y408">
        <v>170</v>
      </c>
      <c r="Z408">
        <v>0</v>
      </c>
      <c r="AA408">
        <v>0</v>
      </c>
      <c r="AB408">
        <v>127</v>
      </c>
      <c r="AC408">
        <v>397</v>
      </c>
      <c r="AD408">
        <v>0</v>
      </c>
      <c r="AE408">
        <v>1107</v>
      </c>
      <c r="AF408">
        <v>709</v>
      </c>
      <c r="AG408">
        <v>6.2125000000000004</v>
      </c>
      <c r="AK408" t="str">
        <f t="shared" si="6"/>
        <v>WX240-5000</v>
      </c>
    </row>
    <row r="409" spans="1:37" ht="15">
      <c r="A409" t="s">
        <v>1945</v>
      </c>
      <c r="B409" t="s">
        <v>1944</v>
      </c>
      <c r="C409" t="s">
        <v>110</v>
      </c>
      <c r="E409">
        <v>50</v>
      </c>
      <c r="F409">
        <v>0</v>
      </c>
      <c r="G409">
        <v>0</v>
      </c>
      <c r="H409">
        <v>0</v>
      </c>
      <c r="I409">
        <v>25</v>
      </c>
      <c r="J409">
        <v>13</v>
      </c>
      <c r="K409">
        <v>126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126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152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152</v>
      </c>
      <c r="AF409">
        <v>0</v>
      </c>
      <c r="AJ409">
        <v>5.5106000000000002</v>
      </c>
      <c r="AK409" t="str">
        <f t="shared" si="6"/>
        <v>WX240-6200</v>
      </c>
    </row>
    <row r="410" spans="1:37" ht="15">
      <c r="A410" t="s">
        <v>6253</v>
      </c>
      <c r="B410" t="s">
        <v>4572</v>
      </c>
      <c r="C410" t="s">
        <v>110</v>
      </c>
      <c r="D410" t="s">
        <v>4573</v>
      </c>
      <c r="E410">
        <v>43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1305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1305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J410">
        <v>5.4527000000000001</v>
      </c>
      <c r="AK410" t="str">
        <f t="shared" si="6"/>
        <v>WX250-6200</v>
      </c>
    </row>
    <row r="411" spans="1:37" ht="15">
      <c r="A411" t="s">
        <v>1954</v>
      </c>
      <c r="B411" t="s">
        <v>1955</v>
      </c>
      <c r="C411" t="s">
        <v>1076</v>
      </c>
      <c r="D411" t="s">
        <v>1956</v>
      </c>
      <c r="E411">
        <v>50</v>
      </c>
      <c r="F411">
        <v>0</v>
      </c>
      <c r="G411">
        <v>0</v>
      </c>
      <c r="H411">
        <v>0</v>
      </c>
      <c r="I411">
        <v>221</v>
      </c>
      <c r="J411">
        <v>264</v>
      </c>
      <c r="K411">
        <v>755</v>
      </c>
      <c r="L411">
        <v>26</v>
      </c>
      <c r="M411">
        <v>0</v>
      </c>
      <c r="N411">
        <v>0</v>
      </c>
      <c r="O411">
        <v>0</v>
      </c>
      <c r="P411">
        <v>0</v>
      </c>
      <c r="Q411">
        <v>755</v>
      </c>
      <c r="R411">
        <v>0</v>
      </c>
      <c r="S411">
        <v>0</v>
      </c>
      <c r="T411">
        <v>0</v>
      </c>
      <c r="U411">
        <v>0</v>
      </c>
      <c r="V411">
        <v>430</v>
      </c>
      <c r="W411">
        <v>895</v>
      </c>
      <c r="X411">
        <v>0</v>
      </c>
      <c r="Y411">
        <v>211</v>
      </c>
      <c r="Z411">
        <v>1214</v>
      </c>
      <c r="AA411">
        <v>0</v>
      </c>
      <c r="AB411">
        <v>0</v>
      </c>
      <c r="AC411">
        <v>185</v>
      </c>
      <c r="AD411">
        <v>230</v>
      </c>
      <c r="AE411">
        <v>3165</v>
      </c>
      <c r="AF411">
        <v>2772</v>
      </c>
      <c r="AG411" t="s">
        <v>4553</v>
      </c>
      <c r="AH411">
        <v>4</v>
      </c>
      <c r="AI411">
        <v>100</v>
      </c>
      <c r="AJ411">
        <v>6.7</v>
      </c>
      <c r="AK411" t="str">
        <f t="shared" si="6"/>
        <v>WX310-5000</v>
      </c>
    </row>
    <row r="412" spans="1:37" ht="15">
      <c r="A412" t="s">
        <v>3975</v>
      </c>
      <c r="B412" t="s">
        <v>1955</v>
      </c>
      <c r="C412" t="s">
        <v>329</v>
      </c>
      <c r="D412" t="s">
        <v>1956</v>
      </c>
      <c r="E412">
        <v>50</v>
      </c>
      <c r="F412">
        <v>1.2</v>
      </c>
      <c r="G412">
        <v>0</v>
      </c>
      <c r="H412">
        <v>292</v>
      </c>
      <c r="I412">
        <v>374</v>
      </c>
      <c r="J412">
        <v>523</v>
      </c>
      <c r="K412">
        <v>1348</v>
      </c>
      <c r="L412">
        <v>73</v>
      </c>
      <c r="M412">
        <v>0</v>
      </c>
      <c r="N412">
        <v>0</v>
      </c>
      <c r="O412">
        <v>0</v>
      </c>
      <c r="P412">
        <v>0</v>
      </c>
      <c r="Q412">
        <v>1348</v>
      </c>
      <c r="R412">
        <v>0</v>
      </c>
      <c r="S412">
        <v>458</v>
      </c>
      <c r="T412">
        <v>0</v>
      </c>
      <c r="U412">
        <v>419</v>
      </c>
      <c r="V412">
        <v>538</v>
      </c>
      <c r="W412">
        <v>160</v>
      </c>
      <c r="X412">
        <v>670</v>
      </c>
      <c r="Y412">
        <v>73</v>
      </c>
      <c r="Z412">
        <v>2858</v>
      </c>
      <c r="AA412">
        <v>0</v>
      </c>
      <c r="AB412">
        <v>0</v>
      </c>
      <c r="AC412">
        <v>135</v>
      </c>
      <c r="AD412">
        <v>959</v>
      </c>
      <c r="AE412">
        <v>6270</v>
      </c>
      <c r="AF412">
        <v>11024</v>
      </c>
      <c r="AJ412">
        <v>4.5742000000000003</v>
      </c>
      <c r="AK412" t="str">
        <f t="shared" si="6"/>
        <v>WX310-6200</v>
      </c>
    </row>
    <row r="413" spans="1:37" ht="15">
      <c r="A413" t="s">
        <v>6254</v>
      </c>
      <c r="B413" t="s">
        <v>4574</v>
      </c>
      <c r="C413" t="s">
        <v>110</v>
      </c>
      <c r="D413" t="s">
        <v>4506</v>
      </c>
      <c r="E413">
        <v>50</v>
      </c>
      <c r="F413">
        <v>2.6</v>
      </c>
      <c r="G413">
        <v>0</v>
      </c>
      <c r="H413">
        <v>31</v>
      </c>
      <c r="I413">
        <v>15</v>
      </c>
      <c r="J413">
        <v>8</v>
      </c>
      <c r="K413">
        <v>318</v>
      </c>
      <c r="L413">
        <v>35</v>
      </c>
      <c r="M413">
        <v>0</v>
      </c>
      <c r="N413">
        <v>0</v>
      </c>
      <c r="O413">
        <v>0</v>
      </c>
      <c r="P413">
        <v>0</v>
      </c>
      <c r="Q413">
        <v>318</v>
      </c>
      <c r="R413">
        <v>0</v>
      </c>
      <c r="S413">
        <v>92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92</v>
      </c>
      <c r="AF413">
        <v>365</v>
      </c>
      <c r="AJ413">
        <v>4.7629000000000001</v>
      </c>
      <c r="AK413" t="str">
        <f t="shared" si="6"/>
        <v>WX412-5000</v>
      </c>
    </row>
    <row r="414" spans="1:37" ht="15">
      <c r="A414" t="s">
        <v>6255</v>
      </c>
      <c r="B414" t="s">
        <v>4574</v>
      </c>
      <c r="C414" t="s">
        <v>110</v>
      </c>
      <c r="D414" t="s">
        <v>4506</v>
      </c>
      <c r="E414">
        <v>50</v>
      </c>
      <c r="F414">
        <v>0</v>
      </c>
      <c r="G414">
        <v>0</v>
      </c>
      <c r="H414">
        <v>0</v>
      </c>
      <c r="I414">
        <v>0</v>
      </c>
      <c r="J414">
        <v>14</v>
      </c>
      <c r="K414">
        <v>1692</v>
      </c>
      <c r="L414">
        <v>79</v>
      </c>
      <c r="M414">
        <v>0</v>
      </c>
      <c r="N414">
        <v>0</v>
      </c>
      <c r="O414">
        <v>0</v>
      </c>
      <c r="P414">
        <v>0</v>
      </c>
      <c r="Q414">
        <v>1692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163</v>
      </c>
      <c r="AC414">
        <v>0</v>
      </c>
      <c r="AD414">
        <v>0</v>
      </c>
      <c r="AE414">
        <v>163</v>
      </c>
      <c r="AF414">
        <v>660</v>
      </c>
      <c r="AJ414">
        <v>4.7629000000000001</v>
      </c>
      <c r="AK414" t="str">
        <f t="shared" si="6"/>
        <v>WX412-6200</v>
      </c>
    </row>
    <row r="415" spans="1:37" ht="15">
      <c r="A415" t="s">
        <v>1968</v>
      </c>
      <c r="B415" t="s">
        <v>1969</v>
      </c>
      <c r="C415" t="s">
        <v>1076</v>
      </c>
      <c r="D415" t="s">
        <v>1970</v>
      </c>
      <c r="E415">
        <v>50</v>
      </c>
      <c r="F415">
        <v>0.9</v>
      </c>
      <c r="G415">
        <v>67</v>
      </c>
      <c r="H415">
        <v>285</v>
      </c>
      <c r="I415">
        <v>625</v>
      </c>
      <c r="J415">
        <v>582</v>
      </c>
      <c r="K415">
        <v>1103</v>
      </c>
      <c r="L415">
        <v>52</v>
      </c>
      <c r="M415">
        <v>0</v>
      </c>
      <c r="N415">
        <v>56</v>
      </c>
      <c r="O415">
        <v>0</v>
      </c>
      <c r="P415">
        <v>0</v>
      </c>
      <c r="Q415">
        <v>1047</v>
      </c>
      <c r="R415">
        <v>0</v>
      </c>
      <c r="S415">
        <v>613</v>
      </c>
      <c r="T415">
        <v>242</v>
      </c>
      <c r="U415">
        <v>0</v>
      </c>
      <c r="V415">
        <v>1472</v>
      </c>
      <c r="W415">
        <v>466</v>
      </c>
      <c r="X415">
        <v>959</v>
      </c>
      <c r="Y415">
        <v>401</v>
      </c>
      <c r="Z415">
        <v>0</v>
      </c>
      <c r="AA415">
        <v>865</v>
      </c>
      <c r="AB415">
        <v>1045</v>
      </c>
      <c r="AC415">
        <v>472</v>
      </c>
      <c r="AD415">
        <v>443</v>
      </c>
      <c r="AE415">
        <v>6978</v>
      </c>
      <c r="AF415">
        <v>8273</v>
      </c>
      <c r="AG415" t="s">
        <v>4567</v>
      </c>
      <c r="AH415">
        <v>7</v>
      </c>
      <c r="AI415">
        <v>66</v>
      </c>
      <c r="AJ415">
        <v>5.2062999999999997</v>
      </c>
      <c r="AK415" t="str">
        <f t="shared" si="6"/>
        <v>WX421-5000</v>
      </c>
    </row>
    <row r="416" spans="1:37" ht="15">
      <c r="A416" t="s">
        <v>1971</v>
      </c>
      <c r="B416" t="s">
        <v>1969</v>
      </c>
      <c r="C416" t="s">
        <v>1076</v>
      </c>
      <c r="D416" t="s">
        <v>1970</v>
      </c>
      <c r="E416">
        <v>50</v>
      </c>
      <c r="F416">
        <v>0.9</v>
      </c>
      <c r="G416">
        <v>0</v>
      </c>
      <c r="H416">
        <v>342</v>
      </c>
      <c r="I416">
        <v>552</v>
      </c>
      <c r="J416">
        <v>627</v>
      </c>
      <c r="K416">
        <v>1252</v>
      </c>
      <c r="L416">
        <v>380</v>
      </c>
      <c r="M416">
        <v>0</v>
      </c>
      <c r="N416">
        <v>0</v>
      </c>
      <c r="O416">
        <v>0</v>
      </c>
      <c r="P416">
        <v>0</v>
      </c>
      <c r="Q416">
        <v>1252</v>
      </c>
      <c r="R416">
        <v>0</v>
      </c>
      <c r="S416">
        <v>352</v>
      </c>
      <c r="T416">
        <v>226</v>
      </c>
      <c r="U416">
        <v>447</v>
      </c>
      <c r="V416">
        <v>1029</v>
      </c>
      <c r="W416">
        <v>665</v>
      </c>
      <c r="X416">
        <v>592</v>
      </c>
      <c r="Y416">
        <v>0</v>
      </c>
      <c r="Z416">
        <v>903</v>
      </c>
      <c r="AA416">
        <v>213</v>
      </c>
      <c r="AB416">
        <v>480</v>
      </c>
      <c r="AC416">
        <v>873</v>
      </c>
      <c r="AD416">
        <v>1739</v>
      </c>
      <c r="AE416">
        <v>7519</v>
      </c>
      <c r="AF416">
        <v>14711</v>
      </c>
      <c r="AG416" t="s">
        <v>4575</v>
      </c>
      <c r="AH416">
        <v>7</v>
      </c>
      <c r="AI416">
        <v>7</v>
      </c>
      <c r="AJ416">
        <v>5.2742000000000004</v>
      </c>
      <c r="AK416" t="str">
        <f t="shared" si="6"/>
        <v>WX421-6200</v>
      </c>
    </row>
    <row r="417" spans="1:37" ht="15">
      <c r="A417" t="s">
        <v>1971</v>
      </c>
      <c r="B417" t="s">
        <v>1969</v>
      </c>
      <c r="C417" t="s">
        <v>1076</v>
      </c>
      <c r="D417" t="s">
        <v>1970</v>
      </c>
      <c r="E417">
        <v>50</v>
      </c>
      <c r="AG417" t="s">
        <v>4468</v>
      </c>
      <c r="AH417">
        <v>4</v>
      </c>
      <c r="AI417">
        <v>71</v>
      </c>
      <c r="AK417" t="str">
        <f t="shared" si="6"/>
        <v>WX421-6200</v>
      </c>
    </row>
    <row r="418" spans="1:37" ht="15">
      <c r="A418" t="s">
        <v>1972</v>
      </c>
      <c r="B418" t="s">
        <v>1973</v>
      </c>
      <c r="C418" t="s">
        <v>267</v>
      </c>
      <c r="E418">
        <v>50</v>
      </c>
      <c r="F418">
        <v>0</v>
      </c>
      <c r="G418">
        <v>0</v>
      </c>
      <c r="H418">
        <v>0</v>
      </c>
      <c r="I418">
        <v>53</v>
      </c>
      <c r="J418">
        <v>37</v>
      </c>
      <c r="K418">
        <v>104</v>
      </c>
      <c r="L418">
        <v>17</v>
      </c>
      <c r="M418">
        <v>0</v>
      </c>
      <c r="N418">
        <v>0</v>
      </c>
      <c r="O418">
        <v>0</v>
      </c>
      <c r="P418">
        <v>0</v>
      </c>
      <c r="Q418">
        <v>104</v>
      </c>
      <c r="R418">
        <v>0</v>
      </c>
      <c r="S418">
        <v>0</v>
      </c>
      <c r="T418">
        <v>0</v>
      </c>
      <c r="U418">
        <v>0</v>
      </c>
      <c r="V418">
        <v>166</v>
      </c>
      <c r="W418">
        <v>0</v>
      </c>
      <c r="X418">
        <v>154</v>
      </c>
      <c r="Y418">
        <v>28</v>
      </c>
      <c r="Z418">
        <v>0</v>
      </c>
      <c r="AA418">
        <v>0</v>
      </c>
      <c r="AB418">
        <v>0</v>
      </c>
      <c r="AC418">
        <v>0</v>
      </c>
      <c r="AD418">
        <v>100</v>
      </c>
      <c r="AE418">
        <v>448</v>
      </c>
      <c r="AF418">
        <v>490</v>
      </c>
      <c r="AG418">
        <v>7.05</v>
      </c>
      <c r="AK418" t="str">
        <f t="shared" si="6"/>
        <v>WX440-5000</v>
      </c>
    </row>
    <row r="419" spans="1:37" ht="15">
      <c r="A419" t="s">
        <v>1974</v>
      </c>
      <c r="B419" t="s">
        <v>1973</v>
      </c>
      <c r="C419" t="s">
        <v>267</v>
      </c>
      <c r="E419">
        <v>50</v>
      </c>
      <c r="F419">
        <v>0</v>
      </c>
      <c r="G419">
        <v>55</v>
      </c>
      <c r="H419">
        <v>0</v>
      </c>
      <c r="I419">
        <v>47</v>
      </c>
      <c r="J419">
        <v>39</v>
      </c>
      <c r="K419">
        <v>210</v>
      </c>
      <c r="L419">
        <v>144</v>
      </c>
      <c r="M419">
        <v>0</v>
      </c>
      <c r="N419">
        <v>46</v>
      </c>
      <c r="O419">
        <v>0</v>
      </c>
      <c r="P419">
        <v>0</v>
      </c>
      <c r="Q419">
        <v>164</v>
      </c>
      <c r="R419">
        <v>0</v>
      </c>
      <c r="S419">
        <v>0</v>
      </c>
      <c r="T419">
        <v>0</v>
      </c>
      <c r="U419">
        <v>0</v>
      </c>
      <c r="V419">
        <v>279</v>
      </c>
      <c r="W419">
        <v>0</v>
      </c>
      <c r="X419">
        <v>0</v>
      </c>
      <c r="Y419">
        <v>185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464</v>
      </c>
      <c r="AF419">
        <v>687</v>
      </c>
      <c r="AG419">
        <v>7.5</v>
      </c>
      <c r="AK419" t="str">
        <f t="shared" si="6"/>
        <v>WX440-6200</v>
      </c>
    </row>
    <row r="420" spans="1:37" ht="15">
      <c r="A420" t="s">
        <v>1975</v>
      </c>
      <c r="B420" t="s">
        <v>1976</v>
      </c>
      <c r="C420" t="s">
        <v>267</v>
      </c>
      <c r="D420" t="s">
        <v>1977</v>
      </c>
      <c r="E420">
        <v>50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45</v>
      </c>
      <c r="L420">
        <v>23</v>
      </c>
      <c r="M420">
        <v>0</v>
      </c>
      <c r="N420">
        <v>0</v>
      </c>
      <c r="O420">
        <v>0</v>
      </c>
      <c r="P420">
        <v>0</v>
      </c>
      <c r="Q420">
        <v>45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J420">
        <v>5.1749999999999998</v>
      </c>
      <c r="AK420" t="str">
        <f t="shared" si="6"/>
        <v>WX600-5000</v>
      </c>
    </row>
    <row r="421" spans="1:37" ht="15">
      <c r="A421" t="s">
        <v>6256</v>
      </c>
      <c r="B421" t="s">
        <v>4576</v>
      </c>
      <c r="C421" t="s">
        <v>110</v>
      </c>
      <c r="D421" t="s">
        <v>4577</v>
      </c>
      <c r="E421">
        <v>50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227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227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J421">
        <v>4.6078000000000001</v>
      </c>
      <c r="AK421" t="str">
        <f t="shared" si="6"/>
        <v>WX765-5000</v>
      </c>
    </row>
    <row r="422" spans="1:37" ht="15">
      <c r="A422" t="s">
        <v>1979</v>
      </c>
      <c r="B422" t="s">
        <v>1980</v>
      </c>
      <c r="C422" t="s">
        <v>1981</v>
      </c>
      <c r="D422" t="s">
        <v>1982</v>
      </c>
      <c r="E422">
        <v>50</v>
      </c>
      <c r="F422">
        <v>0</v>
      </c>
      <c r="G422">
        <v>0</v>
      </c>
      <c r="H422">
        <v>0</v>
      </c>
      <c r="I422">
        <v>19</v>
      </c>
      <c r="J422">
        <v>15</v>
      </c>
      <c r="K422">
        <v>281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281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116</v>
      </c>
      <c r="Y422">
        <v>60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176</v>
      </c>
      <c r="AF422">
        <v>901</v>
      </c>
      <c r="AG422">
        <v>6</v>
      </c>
      <c r="AK422" t="str">
        <f t="shared" si="6"/>
        <v>WX800-5000</v>
      </c>
    </row>
    <row r="423" spans="1:37" ht="15">
      <c r="A423" t="s">
        <v>6257</v>
      </c>
      <c r="B423" t="s">
        <v>4578</v>
      </c>
      <c r="C423" t="s">
        <v>329</v>
      </c>
      <c r="D423" t="s">
        <v>1706</v>
      </c>
      <c r="E423">
        <v>50</v>
      </c>
      <c r="F423">
        <v>0</v>
      </c>
      <c r="G423">
        <v>174</v>
      </c>
      <c r="H423">
        <v>0</v>
      </c>
      <c r="I423">
        <v>23</v>
      </c>
      <c r="J423">
        <v>12</v>
      </c>
      <c r="K423">
        <v>1713</v>
      </c>
      <c r="L423">
        <v>195</v>
      </c>
      <c r="M423">
        <v>0</v>
      </c>
      <c r="N423">
        <v>145</v>
      </c>
      <c r="O423">
        <v>0</v>
      </c>
      <c r="P423">
        <v>0</v>
      </c>
      <c r="Q423">
        <v>1568</v>
      </c>
      <c r="R423">
        <v>199</v>
      </c>
      <c r="S423">
        <v>0</v>
      </c>
      <c r="T423">
        <v>0</v>
      </c>
      <c r="U423">
        <v>0</v>
      </c>
      <c r="V423">
        <v>0</v>
      </c>
      <c r="W423">
        <v>140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140</v>
      </c>
      <c r="AF423">
        <v>1748</v>
      </c>
      <c r="AJ423">
        <v>4.2958999999999996</v>
      </c>
      <c r="AK423" t="str">
        <f t="shared" si="6"/>
        <v>WX970-5000</v>
      </c>
    </row>
    <row r="424" spans="1:37" ht="15">
      <c r="A424" t="s">
        <v>6258</v>
      </c>
      <c r="B424" t="s">
        <v>4578</v>
      </c>
      <c r="C424" t="s">
        <v>329</v>
      </c>
      <c r="D424" t="s">
        <v>1706</v>
      </c>
      <c r="E424">
        <v>50</v>
      </c>
      <c r="F424">
        <v>17.3</v>
      </c>
      <c r="G424">
        <v>0</v>
      </c>
      <c r="H424">
        <v>55</v>
      </c>
      <c r="I424">
        <v>65</v>
      </c>
      <c r="J424">
        <v>33</v>
      </c>
      <c r="K424">
        <v>3793</v>
      </c>
      <c r="L424">
        <v>100</v>
      </c>
      <c r="M424">
        <v>0</v>
      </c>
      <c r="N424">
        <v>0</v>
      </c>
      <c r="O424">
        <v>0</v>
      </c>
      <c r="P424">
        <v>0</v>
      </c>
      <c r="Q424">
        <v>3793</v>
      </c>
      <c r="R424">
        <v>0</v>
      </c>
      <c r="S424">
        <v>164</v>
      </c>
      <c r="T424">
        <v>0</v>
      </c>
      <c r="U424">
        <v>0</v>
      </c>
      <c r="V424">
        <v>0</v>
      </c>
      <c r="W424">
        <v>226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390</v>
      </c>
      <c r="AF424">
        <v>1923</v>
      </c>
      <c r="AJ424">
        <v>4.2958999999999996</v>
      </c>
      <c r="AK424" t="str">
        <f t="shared" si="6"/>
        <v>WX970-6200</v>
      </c>
    </row>
    <row r="425" spans="1:37" ht="15">
      <c r="A425" t="s">
        <v>6259</v>
      </c>
      <c r="B425" t="s">
        <v>4579</v>
      </c>
      <c r="C425" t="s">
        <v>329</v>
      </c>
      <c r="D425" t="s">
        <v>4580</v>
      </c>
      <c r="E425">
        <v>50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4508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4508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J425">
        <v>0</v>
      </c>
      <c r="AK425" t="str">
        <f t="shared" si="6"/>
        <v>WX975-6200</v>
      </c>
    </row>
    <row r="426" spans="1:37" ht="15">
      <c r="A426" t="s">
        <v>1984</v>
      </c>
      <c r="B426" t="s">
        <v>1985</v>
      </c>
      <c r="C426" t="s">
        <v>110</v>
      </c>
      <c r="D426" t="s">
        <v>1986</v>
      </c>
      <c r="E426">
        <v>50</v>
      </c>
      <c r="F426">
        <v>0</v>
      </c>
      <c r="G426">
        <v>0</v>
      </c>
      <c r="H426">
        <v>0</v>
      </c>
      <c r="I426">
        <v>0</v>
      </c>
      <c r="J426">
        <v>12</v>
      </c>
      <c r="K426">
        <v>119</v>
      </c>
      <c r="L426">
        <v>59</v>
      </c>
      <c r="M426">
        <v>0</v>
      </c>
      <c r="N426">
        <v>0</v>
      </c>
      <c r="O426">
        <v>0</v>
      </c>
      <c r="P426">
        <v>0</v>
      </c>
      <c r="Q426">
        <v>119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140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140</v>
      </c>
      <c r="AF426">
        <v>688</v>
      </c>
      <c r="AG426">
        <v>5.9850000000000003</v>
      </c>
      <c r="AK426" t="str">
        <f t="shared" si="6"/>
        <v>WY031-5000</v>
      </c>
    </row>
    <row r="427" spans="1:37" ht="15">
      <c r="A427" t="s">
        <v>1987</v>
      </c>
      <c r="B427" t="s">
        <v>1985</v>
      </c>
      <c r="C427" t="s">
        <v>110</v>
      </c>
      <c r="D427" t="s">
        <v>1988</v>
      </c>
      <c r="E427">
        <v>50</v>
      </c>
      <c r="F427">
        <v>2.4</v>
      </c>
      <c r="G427">
        <v>0</v>
      </c>
      <c r="H427">
        <v>197</v>
      </c>
      <c r="I427">
        <v>132</v>
      </c>
      <c r="J427">
        <v>145</v>
      </c>
      <c r="K427">
        <v>1896</v>
      </c>
      <c r="L427">
        <v>116</v>
      </c>
      <c r="M427">
        <v>0</v>
      </c>
      <c r="N427">
        <v>0</v>
      </c>
      <c r="O427">
        <v>0</v>
      </c>
      <c r="P427">
        <v>0</v>
      </c>
      <c r="Q427">
        <v>1896</v>
      </c>
      <c r="R427">
        <v>0</v>
      </c>
      <c r="S427">
        <v>167</v>
      </c>
      <c r="T427">
        <v>0</v>
      </c>
      <c r="U427">
        <v>425</v>
      </c>
      <c r="V427">
        <v>0</v>
      </c>
      <c r="W427">
        <v>201</v>
      </c>
      <c r="X427">
        <v>0</v>
      </c>
      <c r="Y427">
        <v>0</v>
      </c>
      <c r="Z427">
        <v>0</v>
      </c>
      <c r="AA427">
        <v>0</v>
      </c>
      <c r="AB427">
        <v>343</v>
      </c>
      <c r="AC427">
        <v>609</v>
      </c>
      <c r="AD427">
        <v>0</v>
      </c>
      <c r="AE427">
        <v>1745</v>
      </c>
      <c r="AF427">
        <v>328</v>
      </c>
      <c r="AG427">
        <v>5.8399000000000001</v>
      </c>
      <c r="AK427" t="str">
        <f t="shared" si="6"/>
        <v>WY031-6200</v>
      </c>
    </row>
    <row r="428" spans="1:37" ht="15">
      <c r="A428" t="s">
        <v>1996</v>
      </c>
      <c r="B428" t="s">
        <v>1994</v>
      </c>
      <c r="C428" t="s">
        <v>318</v>
      </c>
      <c r="D428" t="s">
        <v>1995</v>
      </c>
      <c r="E428">
        <v>65</v>
      </c>
      <c r="F428">
        <v>0.8</v>
      </c>
      <c r="G428">
        <v>354</v>
      </c>
      <c r="H428">
        <v>405</v>
      </c>
      <c r="I428">
        <v>203</v>
      </c>
      <c r="J428">
        <v>101</v>
      </c>
      <c r="K428">
        <v>1574</v>
      </c>
      <c r="L428">
        <v>209</v>
      </c>
      <c r="M428">
        <v>0</v>
      </c>
      <c r="N428">
        <v>295</v>
      </c>
      <c r="O428">
        <v>0</v>
      </c>
      <c r="P428">
        <v>0</v>
      </c>
      <c r="Q428">
        <v>1279</v>
      </c>
      <c r="R428">
        <v>0</v>
      </c>
      <c r="S428">
        <v>1216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1216</v>
      </c>
      <c r="AF428">
        <v>2248</v>
      </c>
      <c r="AG428">
        <v>7.5278</v>
      </c>
      <c r="AK428" t="str">
        <f t="shared" si="6"/>
        <v>WY081-6200</v>
      </c>
    </row>
    <row r="429" spans="1:37" ht="15">
      <c r="A429" t="s">
        <v>2000</v>
      </c>
      <c r="B429" t="s">
        <v>2001</v>
      </c>
      <c r="C429" t="s">
        <v>329</v>
      </c>
      <c r="D429" t="s">
        <v>342</v>
      </c>
      <c r="E429">
        <v>43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695</v>
      </c>
      <c r="L429">
        <v>66</v>
      </c>
      <c r="M429">
        <v>0</v>
      </c>
      <c r="N429">
        <v>0</v>
      </c>
      <c r="O429">
        <v>0</v>
      </c>
      <c r="P429">
        <v>0</v>
      </c>
      <c r="Q429">
        <v>695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J429">
        <v>5.5339</v>
      </c>
      <c r="AK429" t="str">
        <f t="shared" si="6"/>
        <v>WY150-5000</v>
      </c>
    </row>
    <row r="430" spans="1:37" ht="15">
      <c r="A430" t="s">
        <v>2002</v>
      </c>
      <c r="B430" t="s">
        <v>2001</v>
      </c>
      <c r="C430" t="s">
        <v>329</v>
      </c>
      <c r="D430" t="s">
        <v>342</v>
      </c>
      <c r="E430">
        <v>43</v>
      </c>
      <c r="F430">
        <v>0</v>
      </c>
      <c r="G430">
        <v>0</v>
      </c>
      <c r="H430">
        <v>0</v>
      </c>
      <c r="I430">
        <v>31</v>
      </c>
      <c r="J430">
        <v>15</v>
      </c>
      <c r="K430">
        <v>115</v>
      </c>
      <c r="L430">
        <v>200</v>
      </c>
      <c r="M430">
        <v>0</v>
      </c>
      <c r="N430">
        <v>0</v>
      </c>
      <c r="O430">
        <v>0</v>
      </c>
      <c r="P430">
        <v>0</v>
      </c>
      <c r="Q430">
        <v>115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185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185</v>
      </c>
      <c r="AF430">
        <v>370</v>
      </c>
      <c r="AG430">
        <v>6.6624999999999996</v>
      </c>
      <c r="AK430" t="str">
        <f t="shared" si="6"/>
        <v>WY150-6200</v>
      </c>
    </row>
    <row r="431" spans="1:37" ht="15">
      <c r="A431" t="s">
        <v>2003</v>
      </c>
      <c r="B431" t="s">
        <v>2004</v>
      </c>
      <c r="C431" t="s">
        <v>329</v>
      </c>
      <c r="D431" t="s">
        <v>2005</v>
      </c>
      <c r="E431">
        <v>50</v>
      </c>
      <c r="F431">
        <v>0.5</v>
      </c>
      <c r="G431">
        <v>330</v>
      </c>
      <c r="H431">
        <v>2324</v>
      </c>
      <c r="I431">
        <v>2964</v>
      </c>
      <c r="J431">
        <v>2859</v>
      </c>
      <c r="K431">
        <v>5361</v>
      </c>
      <c r="L431">
        <v>756</v>
      </c>
      <c r="M431">
        <v>0</v>
      </c>
      <c r="N431">
        <v>275</v>
      </c>
      <c r="O431">
        <v>0</v>
      </c>
      <c r="P431">
        <v>0</v>
      </c>
      <c r="Q431">
        <v>5086</v>
      </c>
      <c r="R431">
        <v>310</v>
      </c>
      <c r="S431">
        <v>3823</v>
      </c>
      <c r="T431">
        <v>2851</v>
      </c>
      <c r="U431">
        <v>298</v>
      </c>
      <c r="V431">
        <v>3887</v>
      </c>
      <c r="W431">
        <v>4639</v>
      </c>
      <c r="X431">
        <v>2283</v>
      </c>
      <c r="Y431">
        <v>2343</v>
      </c>
      <c r="Z431">
        <v>2391</v>
      </c>
      <c r="AA431">
        <v>1613</v>
      </c>
      <c r="AB431">
        <v>3190</v>
      </c>
      <c r="AC431">
        <v>2841</v>
      </c>
      <c r="AD431">
        <v>4148</v>
      </c>
      <c r="AE431">
        <v>34307</v>
      </c>
      <c r="AF431">
        <v>32968</v>
      </c>
      <c r="AG431">
        <v>4.6464999999999996</v>
      </c>
      <c r="AK431" t="str">
        <f t="shared" si="6"/>
        <v>WY160-5000</v>
      </c>
    </row>
    <row r="432" spans="1:37" ht="15">
      <c r="A432" t="s">
        <v>2006</v>
      </c>
      <c r="B432" t="s">
        <v>2004</v>
      </c>
      <c r="C432" t="s">
        <v>329</v>
      </c>
      <c r="D432" t="s">
        <v>2005</v>
      </c>
      <c r="E432">
        <v>50</v>
      </c>
      <c r="F432">
        <v>0</v>
      </c>
      <c r="G432">
        <v>2100</v>
      </c>
      <c r="H432">
        <v>10130</v>
      </c>
      <c r="I432">
        <v>10323</v>
      </c>
      <c r="J432">
        <v>10827</v>
      </c>
      <c r="K432">
        <v>0</v>
      </c>
      <c r="L432">
        <v>5011</v>
      </c>
      <c r="M432">
        <v>0</v>
      </c>
      <c r="N432">
        <v>1750</v>
      </c>
      <c r="O432">
        <v>0</v>
      </c>
      <c r="P432">
        <v>0</v>
      </c>
      <c r="Q432">
        <v>-1750</v>
      </c>
      <c r="R432">
        <v>1999</v>
      </c>
      <c r="S432">
        <v>11966</v>
      </c>
      <c r="T432">
        <v>7743</v>
      </c>
      <c r="U432">
        <v>10682</v>
      </c>
      <c r="V432">
        <v>12595</v>
      </c>
      <c r="W432">
        <v>9905</v>
      </c>
      <c r="X432">
        <v>9048</v>
      </c>
      <c r="Y432">
        <v>16070</v>
      </c>
      <c r="Z432">
        <v>9501</v>
      </c>
      <c r="AA432">
        <v>6416</v>
      </c>
      <c r="AB432">
        <v>12067</v>
      </c>
      <c r="AC432">
        <v>10968</v>
      </c>
      <c r="AD432">
        <v>12962</v>
      </c>
      <c r="AE432">
        <v>129923</v>
      </c>
      <c r="AF432">
        <v>118618</v>
      </c>
      <c r="AG432">
        <v>5.0284000000000004</v>
      </c>
      <c r="AK432" t="str">
        <f t="shared" si="6"/>
        <v>WY160-6200</v>
      </c>
    </row>
    <row r="433" spans="1:37" ht="15">
      <c r="A433" t="s">
        <v>2013</v>
      </c>
      <c r="B433" t="s">
        <v>2012</v>
      </c>
      <c r="C433" t="s">
        <v>338</v>
      </c>
      <c r="D433" t="s">
        <v>1782</v>
      </c>
      <c r="E433">
        <v>43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154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154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J433">
        <v>3.3925000000000001</v>
      </c>
      <c r="AK433" t="str">
        <f t="shared" si="6"/>
        <v>WZ150-6200</v>
      </c>
    </row>
    <row r="434" spans="1:37" ht="15">
      <c r="A434" t="s">
        <v>2016</v>
      </c>
      <c r="B434" t="s">
        <v>2015</v>
      </c>
      <c r="C434" t="s">
        <v>1076</v>
      </c>
      <c r="E434">
        <v>43</v>
      </c>
      <c r="F434">
        <v>0.1</v>
      </c>
      <c r="G434">
        <v>0</v>
      </c>
      <c r="H434">
        <v>437</v>
      </c>
      <c r="I434">
        <v>327</v>
      </c>
      <c r="J434">
        <v>306</v>
      </c>
      <c r="K434">
        <v>160</v>
      </c>
      <c r="L434">
        <v>224</v>
      </c>
      <c r="M434">
        <v>0</v>
      </c>
      <c r="N434">
        <v>0</v>
      </c>
      <c r="O434">
        <v>0</v>
      </c>
      <c r="P434">
        <v>0</v>
      </c>
      <c r="Q434">
        <v>160</v>
      </c>
      <c r="R434">
        <v>0</v>
      </c>
      <c r="S434">
        <v>296</v>
      </c>
      <c r="T434">
        <v>661</v>
      </c>
      <c r="U434">
        <v>354</v>
      </c>
      <c r="V434">
        <v>0</v>
      </c>
      <c r="W434">
        <v>268</v>
      </c>
      <c r="X434">
        <v>385</v>
      </c>
      <c r="Y434">
        <v>119</v>
      </c>
      <c r="Z434">
        <v>200</v>
      </c>
      <c r="AA434">
        <v>325</v>
      </c>
      <c r="AB434">
        <v>611</v>
      </c>
      <c r="AC434">
        <v>265</v>
      </c>
      <c r="AD434">
        <v>190</v>
      </c>
      <c r="AE434">
        <v>3674</v>
      </c>
      <c r="AF434">
        <v>4176</v>
      </c>
      <c r="AG434" t="s">
        <v>4568</v>
      </c>
      <c r="AH434">
        <v>4</v>
      </c>
      <c r="AI434">
        <v>356</v>
      </c>
      <c r="AJ434">
        <v>7.75</v>
      </c>
      <c r="AK434" t="str">
        <f t="shared" si="6"/>
        <v>WZ160-6200</v>
      </c>
    </row>
    <row r="435" spans="1:37" ht="15">
      <c r="A435" t="s">
        <v>2017</v>
      </c>
      <c r="B435" t="s">
        <v>2018</v>
      </c>
      <c r="C435" t="s">
        <v>338</v>
      </c>
      <c r="D435" t="s">
        <v>1782</v>
      </c>
      <c r="E435">
        <v>43</v>
      </c>
      <c r="F435">
        <v>0</v>
      </c>
      <c r="G435">
        <v>0</v>
      </c>
      <c r="H435">
        <v>0</v>
      </c>
      <c r="I435">
        <v>44</v>
      </c>
      <c r="J435">
        <v>22</v>
      </c>
      <c r="K435">
        <v>902</v>
      </c>
      <c r="L435">
        <v>9</v>
      </c>
      <c r="M435">
        <v>0</v>
      </c>
      <c r="N435">
        <v>0</v>
      </c>
      <c r="O435">
        <v>0</v>
      </c>
      <c r="P435">
        <v>0</v>
      </c>
      <c r="Q435">
        <v>902</v>
      </c>
      <c r="R435">
        <v>0</v>
      </c>
      <c r="S435">
        <v>0</v>
      </c>
      <c r="T435">
        <v>0</v>
      </c>
      <c r="U435">
        <v>0</v>
      </c>
      <c r="V435">
        <v>263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263</v>
      </c>
      <c r="AF435">
        <v>71</v>
      </c>
      <c r="AG435">
        <v>9.6158999999999999</v>
      </c>
      <c r="AK435" t="str">
        <f t="shared" si="6"/>
        <v>WZ460-5000</v>
      </c>
    </row>
    <row r="436" spans="1:37" ht="15">
      <c r="A436" t="s">
        <v>2020</v>
      </c>
      <c r="B436" t="s">
        <v>2021</v>
      </c>
      <c r="C436" t="s">
        <v>313</v>
      </c>
      <c r="D436" t="s">
        <v>2022</v>
      </c>
      <c r="E436">
        <v>43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106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106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7.5659999999999998</v>
      </c>
      <c r="AK436" t="str">
        <f t="shared" si="6"/>
        <v>AB240-5000</v>
      </c>
    </row>
    <row r="437" spans="1:37" ht="15">
      <c r="A437" t="s">
        <v>2024</v>
      </c>
      <c r="B437" t="s">
        <v>2025</v>
      </c>
      <c r="C437" t="s">
        <v>110</v>
      </c>
      <c r="E437">
        <v>43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256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256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5.85</v>
      </c>
      <c r="AK437" t="str">
        <f t="shared" si="6"/>
        <v>AB444-5000</v>
      </c>
    </row>
    <row r="438" spans="1:37" ht="15">
      <c r="A438" t="s">
        <v>2027</v>
      </c>
      <c r="B438" t="s">
        <v>2028</v>
      </c>
      <c r="C438" t="s">
        <v>338</v>
      </c>
      <c r="E438">
        <v>50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172</v>
      </c>
      <c r="L438">
        <v>20</v>
      </c>
      <c r="M438">
        <v>0</v>
      </c>
      <c r="N438">
        <v>0</v>
      </c>
      <c r="O438">
        <v>0</v>
      </c>
      <c r="P438">
        <v>0</v>
      </c>
      <c r="Q438">
        <v>172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J438">
        <v>3.8410000000000002</v>
      </c>
      <c r="AK438" t="str">
        <f t="shared" si="6"/>
        <v>AE050-5000</v>
      </c>
    </row>
    <row r="439" spans="1:37" ht="15">
      <c r="A439" t="s">
        <v>2029</v>
      </c>
      <c r="B439" t="s">
        <v>2028</v>
      </c>
      <c r="C439" t="s">
        <v>338</v>
      </c>
      <c r="E439">
        <v>50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221</v>
      </c>
      <c r="L439">
        <v>34</v>
      </c>
      <c r="M439">
        <v>0</v>
      </c>
      <c r="N439">
        <v>0</v>
      </c>
      <c r="O439">
        <v>0</v>
      </c>
      <c r="P439">
        <v>0</v>
      </c>
      <c r="Q439">
        <v>221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9.6158999999999999</v>
      </c>
      <c r="AK439" t="str">
        <f t="shared" si="6"/>
        <v>AE050-6200</v>
      </c>
    </row>
    <row r="440" spans="1:37" ht="15">
      <c r="A440" t="s">
        <v>2035</v>
      </c>
      <c r="B440" t="s">
        <v>2034</v>
      </c>
      <c r="C440" t="s">
        <v>110</v>
      </c>
      <c r="E440">
        <v>50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675</v>
      </c>
      <c r="L440">
        <v>86</v>
      </c>
      <c r="M440">
        <v>0</v>
      </c>
      <c r="N440">
        <v>0</v>
      </c>
      <c r="O440">
        <v>0</v>
      </c>
      <c r="P440">
        <v>0</v>
      </c>
      <c r="Q440">
        <v>675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1693</v>
      </c>
      <c r="AG440">
        <v>5.4192</v>
      </c>
      <c r="AK440" t="str">
        <f t="shared" si="6"/>
        <v>AG190-6200</v>
      </c>
    </row>
    <row r="441" spans="1:37" ht="15">
      <c r="A441" t="s">
        <v>2039</v>
      </c>
      <c r="B441" t="s">
        <v>2040</v>
      </c>
      <c r="C441" t="s">
        <v>110</v>
      </c>
      <c r="D441" t="s">
        <v>1835</v>
      </c>
      <c r="E441">
        <v>50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200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200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J441">
        <v>6.0938999999999997</v>
      </c>
      <c r="AK441" t="str">
        <f t="shared" si="6"/>
        <v>AG700-5000</v>
      </c>
    </row>
    <row r="442" spans="1:37" ht="15">
      <c r="A442" t="s">
        <v>6260</v>
      </c>
      <c r="B442" t="s">
        <v>4581</v>
      </c>
      <c r="C442" t="s">
        <v>110</v>
      </c>
      <c r="D442" t="s">
        <v>2064</v>
      </c>
      <c r="E442">
        <v>50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112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112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J442">
        <v>5.94</v>
      </c>
      <c r="AK442" t="str">
        <f t="shared" si="6"/>
        <v>AL205-6200</v>
      </c>
    </row>
    <row r="443" spans="1:37" ht="15">
      <c r="A443" t="s">
        <v>2088</v>
      </c>
      <c r="B443" t="s">
        <v>2089</v>
      </c>
      <c r="C443" t="s">
        <v>313</v>
      </c>
      <c r="D443" t="s">
        <v>2022</v>
      </c>
      <c r="E443">
        <v>43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102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102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7.5659999999999998</v>
      </c>
      <c r="AK443" t="str">
        <f t="shared" si="6"/>
        <v>AO320-5000</v>
      </c>
    </row>
    <row r="444" spans="1:37" ht="15">
      <c r="A444" t="s">
        <v>2091</v>
      </c>
      <c r="B444" t="s">
        <v>2092</v>
      </c>
      <c r="C444" t="s">
        <v>110</v>
      </c>
      <c r="E444">
        <v>43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176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176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5.85</v>
      </c>
      <c r="AK444" t="str">
        <f t="shared" si="6"/>
        <v>AR283-5000</v>
      </c>
    </row>
    <row r="445" spans="1:37" ht="15">
      <c r="A445" t="s">
        <v>2094</v>
      </c>
      <c r="B445" t="s">
        <v>2095</v>
      </c>
      <c r="C445" t="s">
        <v>338</v>
      </c>
      <c r="E445">
        <v>43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98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98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941</v>
      </c>
      <c r="AG445">
        <v>9.6158999999999999</v>
      </c>
      <c r="AK445" t="str">
        <f t="shared" si="6"/>
        <v>AT510-5000</v>
      </c>
    </row>
    <row r="446" spans="1:37" ht="15">
      <c r="A446" t="s">
        <v>2100</v>
      </c>
      <c r="B446" t="s">
        <v>2101</v>
      </c>
      <c r="C446" t="s">
        <v>110</v>
      </c>
      <c r="D446" t="s">
        <v>2102</v>
      </c>
      <c r="E446">
        <v>43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107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107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5.8564999999999996</v>
      </c>
      <c r="AK446" t="str">
        <f t="shared" si="6"/>
        <v>AT770-5000</v>
      </c>
    </row>
    <row r="447" spans="1:37" ht="15">
      <c r="A447" t="s">
        <v>2110</v>
      </c>
      <c r="B447" t="s">
        <v>2111</v>
      </c>
      <c r="C447" t="s">
        <v>110</v>
      </c>
      <c r="D447" t="s">
        <v>2102</v>
      </c>
      <c r="E447">
        <v>43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108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108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5.8564999999999996</v>
      </c>
      <c r="AK447" t="str">
        <f t="shared" si="6"/>
        <v>AV400-5000</v>
      </c>
    </row>
    <row r="448" spans="1:37" ht="15">
      <c r="A448" t="s">
        <v>2122</v>
      </c>
      <c r="B448" t="s">
        <v>2123</v>
      </c>
      <c r="C448" t="s">
        <v>313</v>
      </c>
      <c r="D448" t="s">
        <v>2022</v>
      </c>
      <c r="E448">
        <v>43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103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103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7.5659999999999998</v>
      </c>
      <c r="AK448" t="str">
        <f t="shared" si="6"/>
        <v>AY150-5000</v>
      </c>
    </row>
    <row r="449" spans="1:37" ht="15">
      <c r="A449" t="s">
        <v>2172</v>
      </c>
      <c r="B449" t="s">
        <v>2173</v>
      </c>
      <c r="C449" t="s">
        <v>329</v>
      </c>
      <c r="D449" t="s">
        <v>2174</v>
      </c>
      <c r="E449">
        <v>50</v>
      </c>
      <c r="F449">
        <v>0</v>
      </c>
      <c r="G449">
        <v>0</v>
      </c>
      <c r="H449">
        <v>165</v>
      </c>
      <c r="I449">
        <v>83</v>
      </c>
      <c r="J449">
        <v>41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495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495</v>
      </c>
      <c r="AF449">
        <v>420</v>
      </c>
      <c r="AJ449">
        <v>5.1528</v>
      </c>
      <c r="AK449" t="str">
        <f t="shared" si="6"/>
        <v>FS601-5000</v>
      </c>
    </row>
    <row r="450" spans="1:37" ht="15">
      <c r="A450" t="s">
        <v>2210</v>
      </c>
      <c r="B450" t="s">
        <v>2211</v>
      </c>
      <c r="C450" t="s">
        <v>267</v>
      </c>
      <c r="D450" t="s">
        <v>2212</v>
      </c>
      <c r="E450">
        <v>50</v>
      </c>
      <c r="F450">
        <v>0.7</v>
      </c>
      <c r="G450">
        <v>0</v>
      </c>
      <c r="H450">
        <v>83</v>
      </c>
      <c r="I450">
        <v>110</v>
      </c>
      <c r="J450">
        <v>55</v>
      </c>
      <c r="K450">
        <v>246</v>
      </c>
      <c r="L450">
        <v>79</v>
      </c>
      <c r="M450">
        <v>0</v>
      </c>
      <c r="N450">
        <v>0</v>
      </c>
      <c r="O450">
        <v>0</v>
      </c>
      <c r="P450">
        <v>0</v>
      </c>
      <c r="Q450">
        <v>246</v>
      </c>
      <c r="R450">
        <v>0</v>
      </c>
      <c r="S450">
        <v>250</v>
      </c>
      <c r="T450">
        <v>0</v>
      </c>
      <c r="U450">
        <v>0</v>
      </c>
      <c r="V450">
        <v>0</v>
      </c>
      <c r="W450">
        <v>0</v>
      </c>
      <c r="X450">
        <v>408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658</v>
      </c>
      <c r="AF450">
        <v>154</v>
      </c>
      <c r="AG450">
        <v>6.0324999999999998</v>
      </c>
      <c r="AK450" t="str">
        <f t="shared" si="6"/>
        <v>HLT01-5000</v>
      </c>
    </row>
    <row r="451" spans="1:37" ht="15">
      <c r="A451" t="s">
        <v>2375</v>
      </c>
      <c r="B451" t="s">
        <v>2376</v>
      </c>
      <c r="C451" t="s">
        <v>1076</v>
      </c>
      <c r="D451" t="s">
        <v>2377</v>
      </c>
      <c r="E451">
        <v>50</v>
      </c>
      <c r="F451">
        <v>0</v>
      </c>
      <c r="G451">
        <v>0</v>
      </c>
      <c r="H451">
        <v>248</v>
      </c>
      <c r="I451">
        <v>284</v>
      </c>
      <c r="J451">
        <v>171</v>
      </c>
      <c r="K451">
        <v>0</v>
      </c>
      <c r="L451">
        <v>546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472</v>
      </c>
      <c r="T451">
        <v>0</v>
      </c>
      <c r="U451">
        <v>272</v>
      </c>
      <c r="V451">
        <v>0</v>
      </c>
      <c r="W451">
        <v>961</v>
      </c>
      <c r="X451">
        <v>0</v>
      </c>
      <c r="Y451">
        <v>112</v>
      </c>
      <c r="Z451">
        <v>234</v>
      </c>
      <c r="AA451">
        <v>0</v>
      </c>
      <c r="AB451">
        <v>0</v>
      </c>
      <c r="AC451">
        <v>0</v>
      </c>
      <c r="AD451">
        <v>0</v>
      </c>
      <c r="AE451">
        <v>2051</v>
      </c>
      <c r="AF451">
        <v>2114</v>
      </c>
      <c r="AG451" t="s">
        <v>4582</v>
      </c>
      <c r="AH451">
        <v>12</v>
      </c>
      <c r="AI451">
        <v>22</v>
      </c>
      <c r="AJ451">
        <v>5.0164999999999997</v>
      </c>
      <c r="AK451" t="str">
        <f t="shared" si="6"/>
        <v>MR601-6200</v>
      </c>
    </row>
    <row r="452" spans="1:37" ht="15">
      <c r="A452" t="s">
        <v>2375</v>
      </c>
      <c r="B452" t="s">
        <v>2376</v>
      </c>
      <c r="C452" t="s">
        <v>1076</v>
      </c>
      <c r="D452" t="s">
        <v>2377</v>
      </c>
      <c r="E452">
        <v>50</v>
      </c>
      <c r="AG452" t="s">
        <v>4568</v>
      </c>
      <c r="AH452">
        <v>5</v>
      </c>
      <c r="AI452">
        <v>520</v>
      </c>
      <c r="AK452" t="str">
        <f t="shared" si="6"/>
        <v>MR601-6200</v>
      </c>
    </row>
    <row r="453" spans="1:37" ht="15">
      <c r="A453" t="s">
        <v>2381</v>
      </c>
      <c r="B453" t="s">
        <v>2382</v>
      </c>
      <c r="C453" t="s">
        <v>110</v>
      </c>
      <c r="D453" t="s">
        <v>2380</v>
      </c>
      <c r="E453">
        <v>50</v>
      </c>
      <c r="F453">
        <v>5.2</v>
      </c>
      <c r="G453">
        <v>0</v>
      </c>
      <c r="H453">
        <v>35</v>
      </c>
      <c r="I453">
        <v>52</v>
      </c>
      <c r="J453">
        <v>26</v>
      </c>
      <c r="K453">
        <v>724</v>
      </c>
      <c r="L453">
        <v>123</v>
      </c>
      <c r="M453">
        <v>0</v>
      </c>
      <c r="N453">
        <v>0</v>
      </c>
      <c r="O453">
        <v>0</v>
      </c>
      <c r="P453">
        <v>0</v>
      </c>
      <c r="Q453">
        <v>724</v>
      </c>
      <c r="R453">
        <v>0</v>
      </c>
      <c r="S453">
        <v>0</v>
      </c>
      <c r="T453">
        <v>0</v>
      </c>
      <c r="U453">
        <v>105</v>
      </c>
      <c r="V453">
        <v>0</v>
      </c>
      <c r="W453">
        <v>204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309</v>
      </c>
      <c r="AF453">
        <v>761</v>
      </c>
      <c r="AG453">
        <v>5.3144</v>
      </c>
      <c r="AK453" t="str">
        <f t="shared" ref="AK453:AK516" si="7">MID(A453,4,10)</f>
        <v>MR602-6200</v>
      </c>
    </row>
    <row r="454" spans="1:37" ht="15">
      <c r="A454" t="s">
        <v>2397</v>
      </c>
      <c r="B454" t="s">
        <v>2398</v>
      </c>
      <c r="C454" t="s">
        <v>110</v>
      </c>
      <c r="D454" t="s">
        <v>2399</v>
      </c>
      <c r="E454">
        <v>50</v>
      </c>
      <c r="F454">
        <v>1.8</v>
      </c>
      <c r="G454">
        <v>0</v>
      </c>
      <c r="H454">
        <v>47</v>
      </c>
      <c r="I454">
        <v>24</v>
      </c>
      <c r="J454">
        <v>12</v>
      </c>
      <c r="K454">
        <v>348</v>
      </c>
      <c r="L454">
        <v>43</v>
      </c>
      <c r="M454">
        <v>0</v>
      </c>
      <c r="N454">
        <v>0</v>
      </c>
      <c r="O454">
        <v>0</v>
      </c>
      <c r="P454">
        <v>0</v>
      </c>
      <c r="Q454">
        <v>348</v>
      </c>
      <c r="R454">
        <v>0</v>
      </c>
      <c r="S454">
        <v>142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142</v>
      </c>
      <c r="AF454">
        <v>169</v>
      </c>
      <c r="AG454">
        <v>6.1</v>
      </c>
      <c r="AK454" t="str">
        <f t="shared" si="7"/>
        <v>MR608-5000</v>
      </c>
    </row>
    <row r="455" spans="1:37" ht="15">
      <c r="A455" t="s">
        <v>2405</v>
      </c>
      <c r="B455" t="s">
        <v>2403</v>
      </c>
      <c r="C455" t="s">
        <v>110</v>
      </c>
      <c r="D455" t="s">
        <v>2404</v>
      </c>
      <c r="E455">
        <v>50</v>
      </c>
      <c r="F455">
        <v>0.9</v>
      </c>
      <c r="G455">
        <v>0</v>
      </c>
      <c r="H455">
        <v>87</v>
      </c>
      <c r="I455">
        <v>121</v>
      </c>
      <c r="J455">
        <v>76</v>
      </c>
      <c r="K455">
        <v>326</v>
      </c>
      <c r="L455">
        <v>80</v>
      </c>
      <c r="M455">
        <v>0</v>
      </c>
      <c r="N455">
        <v>0</v>
      </c>
      <c r="O455">
        <v>0</v>
      </c>
      <c r="P455">
        <v>0</v>
      </c>
      <c r="Q455">
        <v>326</v>
      </c>
      <c r="R455">
        <v>0</v>
      </c>
      <c r="S455">
        <v>0</v>
      </c>
      <c r="T455">
        <v>0</v>
      </c>
      <c r="U455">
        <v>260</v>
      </c>
      <c r="V455">
        <v>0</v>
      </c>
      <c r="W455">
        <v>173</v>
      </c>
      <c r="X455">
        <v>295</v>
      </c>
      <c r="Y455">
        <v>0</v>
      </c>
      <c r="Z455">
        <v>182</v>
      </c>
      <c r="AA455">
        <v>0</v>
      </c>
      <c r="AB455">
        <v>0</v>
      </c>
      <c r="AC455">
        <v>0</v>
      </c>
      <c r="AD455">
        <v>0</v>
      </c>
      <c r="AE455">
        <v>910</v>
      </c>
      <c r="AF455">
        <v>601</v>
      </c>
      <c r="AG455">
        <v>6.1</v>
      </c>
      <c r="AK455" t="str">
        <f t="shared" si="7"/>
        <v>MR701-6200</v>
      </c>
    </row>
    <row r="456" spans="1:37" ht="15">
      <c r="A456" t="s">
        <v>2409</v>
      </c>
      <c r="B456" t="s">
        <v>2407</v>
      </c>
      <c r="C456" t="s">
        <v>1076</v>
      </c>
      <c r="D456" t="s">
        <v>2408</v>
      </c>
      <c r="E456">
        <v>50</v>
      </c>
      <c r="F456">
        <v>0</v>
      </c>
      <c r="G456">
        <v>0</v>
      </c>
      <c r="H456">
        <v>0</v>
      </c>
      <c r="I456">
        <v>50</v>
      </c>
      <c r="J456">
        <v>36</v>
      </c>
      <c r="K456">
        <v>520</v>
      </c>
      <c r="L456">
        <v>91</v>
      </c>
      <c r="M456">
        <v>0</v>
      </c>
      <c r="N456">
        <v>0</v>
      </c>
      <c r="O456">
        <v>0</v>
      </c>
      <c r="P456">
        <v>0</v>
      </c>
      <c r="Q456">
        <v>520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298</v>
      </c>
      <c r="X456">
        <v>0</v>
      </c>
      <c r="Y456">
        <v>0</v>
      </c>
      <c r="Z456">
        <v>134</v>
      </c>
      <c r="AA456">
        <v>0</v>
      </c>
      <c r="AB456">
        <v>0</v>
      </c>
      <c r="AC456">
        <v>0</v>
      </c>
      <c r="AD456">
        <v>0</v>
      </c>
      <c r="AE456">
        <v>432</v>
      </c>
      <c r="AF456">
        <v>1098</v>
      </c>
      <c r="AG456" t="s">
        <v>4583</v>
      </c>
      <c r="AH456">
        <v>5</v>
      </c>
      <c r="AI456">
        <v>66</v>
      </c>
      <c r="AJ456">
        <v>5.4774000000000003</v>
      </c>
      <c r="AK456" t="str">
        <f t="shared" si="7"/>
        <v>MR702-6200</v>
      </c>
    </row>
    <row r="457" spans="1:37" ht="15">
      <c r="A457" t="s">
        <v>2415</v>
      </c>
      <c r="B457" t="s">
        <v>2416</v>
      </c>
      <c r="C457" t="s">
        <v>1076</v>
      </c>
      <c r="E457">
        <v>50</v>
      </c>
      <c r="F457">
        <v>1.7</v>
      </c>
      <c r="G457">
        <v>0</v>
      </c>
      <c r="H457">
        <v>97</v>
      </c>
      <c r="I457">
        <v>1128</v>
      </c>
      <c r="J457">
        <v>564</v>
      </c>
      <c r="K457">
        <v>656</v>
      </c>
      <c r="L457">
        <v>86</v>
      </c>
      <c r="M457">
        <v>0</v>
      </c>
      <c r="N457">
        <v>0</v>
      </c>
      <c r="O457">
        <v>0</v>
      </c>
      <c r="P457">
        <v>0</v>
      </c>
      <c r="Q457">
        <v>656</v>
      </c>
      <c r="R457">
        <v>0</v>
      </c>
      <c r="S457">
        <v>290</v>
      </c>
      <c r="T457">
        <v>0</v>
      </c>
      <c r="U457">
        <v>0</v>
      </c>
      <c r="V457">
        <v>858</v>
      </c>
      <c r="W457">
        <v>4135</v>
      </c>
      <c r="X457">
        <v>1486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6769</v>
      </c>
      <c r="AF457">
        <v>62</v>
      </c>
      <c r="AG457" t="s">
        <v>4584</v>
      </c>
      <c r="AH457">
        <v>3</v>
      </c>
      <c r="AI457">
        <v>2</v>
      </c>
      <c r="AJ457">
        <v>5.2004000000000001</v>
      </c>
      <c r="AK457" t="str">
        <f t="shared" si="7"/>
        <v>MW580-5000</v>
      </c>
    </row>
    <row r="458" spans="1:37" ht="15">
      <c r="A458" t="s">
        <v>2417</v>
      </c>
      <c r="B458" t="s">
        <v>2416</v>
      </c>
      <c r="C458" t="s">
        <v>110</v>
      </c>
      <c r="E458">
        <v>50</v>
      </c>
      <c r="F458">
        <v>0</v>
      </c>
      <c r="G458">
        <v>0</v>
      </c>
      <c r="H458">
        <v>67</v>
      </c>
      <c r="I458">
        <v>34</v>
      </c>
      <c r="J458">
        <v>17</v>
      </c>
      <c r="K458">
        <v>0</v>
      </c>
      <c r="L458">
        <v>17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202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202</v>
      </c>
      <c r="AF458">
        <v>0</v>
      </c>
      <c r="AG458">
        <v>6.1</v>
      </c>
      <c r="AK458" t="str">
        <f t="shared" si="7"/>
        <v>MW580-6200</v>
      </c>
    </row>
    <row r="459" spans="1:37" ht="15">
      <c r="A459" t="s">
        <v>2432</v>
      </c>
      <c r="B459" t="s">
        <v>2433</v>
      </c>
      <c r="C459" t="s">
        <v>110</v>
      </c>
      <c r="D459" t="s">
        <v>2431</v>
      </c>
      <c r="E459">
        <v>50</v>
      </c>
      <c r="F459">
        <v>0</v>
      </c>
      <c r="G459">
        <v>0</v>
      </c>
      <c r="H459">
        <v>94</v>
      </c>
      <c r="I459">
        <v>47</v>
      </c>
      <c r="J459">
        <v>189</v>
      </c>
      <c r="K459">
        <v>0</v>
      </c>
      <c r="L459">
        <v>102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282</v>
      </c>
      <c r="V459">
        <v>0</v>
      </c>
      <c r="W459">
        <v>0</v>
      </c>
      <c r="X459">
        <v>0</v>
      </c>
      <c r="Y459">
        <v>717</v>
      </c>
      <c r="Z459">
        <v>210</v>
      </c>
      <c r="AA459">
        <v>308</v>
      </c>
      <c r="AB459">
        <v>127</v>
      </c>
      <c r="AC459">
        <v>334</v>
      </c>
      <c r="AD459">
        <v>288</v>
      </c>
      <c r="AE459">
        <v>2266</v>
      </c>
      <c r="AF459">
        <v>1249</v>
      </c>
      <c r="AG459">
        <v>6.3342999999999998</v>
      </c>
      <c r="AK459" t="str">
        <f t="shared" si="7"/>
        <v>MXT03-6200</v>
      </c>
    </row>
    <row r="460" spans="1:37" ht="15">
      <c r="A460" t="s">
        <v>2443</v>
      </c>
      <c r="B460" t="s">
        <v>2444</v>
      </c>
      <c r="C460" t="s">
        <v>318</v>
      </c>
      <c r="D460" t="s">
        <v>2445</v>
      </c>
      <c r="E460">
        <v>50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291</v>
      </c>
      <c r="L460">
        <v>23</v>
      </c>
      <c r="M460">
        <v>0</v>
      </c>
      <c r="N460">
        <v>0</v>
      </c>
      <c r="O460">
        <v>0</v>
      </c>
      <c r="P460">
        <v>0</v>
      </c>
      <c r="Q460">
        <v>291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287</v>
      </c>
      <c r="AG460">
        <v>8.2992000000000008</v>
      </c>
      <c r="AK460" t="str">
        <f t="shared" si="7"/>
        <v>PO701-5000</v>
      </c>
    </row>
    <row r="461" spans="1:37" ht="15">
      <c r="A461" t="s">
        <v>2446</v>
      </c>
      <c r="B461" t="s">
        <v>2444</v>
      </c>
      <c r="C461" t="s">
        <v>318</v>
      </c>
      <c r="D461" t="s">
        <v>2445</v>
      </c>
      <c r="E461">
        <v>50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176</v>
      </c>
      <c r="L461">
        <v>53</v>
      </c>
      <c r="M461">
        <v>0</v>
      </c>
      <c r="N461">
        <v>0</v>
      </c>
      <c r="O461">
        <v>0</v>
      </c>
      <c r="P461">
        <v>0</v>
      </c>
      <c r="Q461">
        <v>176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120</v>
      </c>
      <c r="AG461">
        <v>8.2992000000000008</v>
      </c>
      <c r="AK461" t="str">
        <f t="shared" si="7"/>
        <v>PO701-6200</v>
      </c>
    </row>
    <row r="462" spans="1:37" ht="15">
      <c r="A462" t="s">
        <v>2459</v>
      </c>
      <c r="B462" t="s">
        <v>2460</v>
      </c>
      <c r="C462" t="s">
        <v>329</v>
      </c>
      <c r="D462" t="s">
        <v>2064</v>
      </c>
      <c r="E462">
        <v>55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350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350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J462">
        <v>6.1289999999999996</v>
      </c>
      <c r="AK462" t="str">
        <f t="shared" si="7"/>
        <v>PZ401-6200</v>
      </c>
    </row>
    <row r="463" spans="1:37" ht="15">
      <c r="A463" t="s">
        <v>2491</v>
      </c>
      <c r="B463" t="s">
        <v>1481</v>
      </c>
      <c r="C463" t="s">
        <v>68</v>
      </c>
      <c r="D463" t="s">
        <v>2490</v>
      </c>
      <c r="E463">
        <v>65</v>
      </c>
      <c r="F463">
        <v>0.4</v>
      </c>
      <c r="G463">
        <v>0</v>
      </c>
      <c r="H463">
        <v>151</v>
      </c>
      <c r="I463">
        <v>213</v>
      </c>
      <c r="J463">
        <v>124</v>
      </c>
      <c r="K463">
        <v>254</v>
      </c>
      <c r="L463">
        <v>55</v>
      </c>
      <c r="M463">
        <v>0</v>
      </c>
      <c r="N463">
        <v>0</v>
      </c>
      <c r="O463">
        <v>0</v>
      </c>
      <c r="P463">
        <v>0</v>
      </c>
      <c r="Q463">
        <v>254</v>
      </c>
      <c r="R463">
        <v>0</v>
      </c>
      <c r="S463">
        <v>453</v>
      </c>
      <c r="T463">
        <v>0</v>
      </c>
      <c r="U463">
        <v>0</v>
      </c>
      <c r="V463">
        <v>292</v>
      </c>
      <c r="W463">
        <v>530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207</v>
      </c>
      <c r="AE463">
        <v>1482</v>
      </c>
      <c r="AF463">
        <v>1760</v>
      </c>
      <c r="AG463">
        <v>7.5875000000000004</v>
      </c>
      <c r="AK463" t="str">
        <f t="shared" si="7"/>
        <v>S1015-6200</v>
      </c>
    </row>
    <row r="464" spans="1:37" ht="15">
      <c r="A464" t="s">
        <v>2506</v>
      </c>
      <c r="B464" t="s">
        <v>2504</v>
      </c>
      <c r="C464" t="s">
        <v>68</v>
      </c>
      <c r="D464" t="s">
        <v>2505</v>
      </c>
      <c r="E464">
        <v>80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179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179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J464">
        <v>3.8744999999999998</v>
      </c>
      <c r="AK464" t="str">
        <f t="shared" si="7"/>
        <v>S2085-6200</v>
      </c>
    </row>
    <row r="465" spans="1:37" ht="15">
      <c r="A465" t="s">
        <v>2511</v>
      </c>
      <c r="B465" t="s">
        <v>2512</v>
      </c>
      <c r="C465" t="s">
        <v>267</v>
      </c>
      <c r="E465">
        <v>50</v>
      </c>
      <c r="F465">
        <v>0</v>
      </c>
      <c r="G465">
        <v>0</v>
      </c>
      <c r="H465">
        <v>0</v>
      </c>
      <c r="I465">
        <v>0</v>
      </c>
      <c r="J465">
        <v>18</v>
      </c>
      <c r="K465">
        <v>160</v>
      </c>
      <c r="L465">
        <v>90</v>
      </c>
      <c r="M465">
        <v>0</v>
      </c>
      <c r="N465">
        <v>0</v>
      </c>
      <c r="O465">
        <v>0</v>
      </c>
      <c r="P465">
        <v>0</v>
      </c>
      <c r="Q465">
        <v>160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212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212</v>
      </c>
      <c r="AF465">
        <v>78</v>
      </c>
      <c r="AJ465">
        <v>3.456</v>
      </c>
      <c r="AK465" t="str">
        <f t="shared" si="7"/>
        <v>S2115-6200</v>
      </c>
    </row>
    <row r="466" spans="1:37" ht="15">
      <c r="A466" t="s">
        <v>2521</v>
      </c>
      <c r="B466" t="s">
        <v>2522</v>
      </c>
      <c r="C466" t="s">
        <v>267</v>
      </c>
      <c r="D466" t="s">
        <v>2523</v>
      </c>
      <c r="E466">
        <v>50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102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102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3.3279999999999998</v>
      </c>
      <c r="AK466" t="str">
        <f t="shared" si="7"/>
        <v>S3069-5000</v>
      </c>
    </row>
    <row r="467" spans="1:37" ht="15">
      <c r="A467" t="s">
        <v>2529</v>
      </c>
      <c r="B467" t="s">
        <v>2530</v>
      </c>
      <c r="C467" t="s">
        <v>267</v>
      </c>
      <c r="E467">
        <v>50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74</v>
      </c>
      <c r="L467">
        <v>30</v>
      </c>
      <c r="M467">
        <v>0</v>
      </c>
      <c r="N467">
        <v>0</v>
      </c>
      <c r="O467">
        <v>0</v>
      </c>
      <c r="P467">
        <v>0</v>
      </c>
      <c r="Q467">
        <v>74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52</v>
      </c>
      <c r="AG467">
        <v>6.6066000000000003</v>
      </c>
      <c r="AK467" t="str">
        <f t="shared" si="7"/>
        <v>S3070-6200</v>
      </c>
    </row>
    <row r="468" spans="1:37" ht="15">
      <c r="A468" t="s">
        <v>2543</v>
      </c>
      <c r="B468" t="s">
        <v>2544</v>
      </c>
      <c r="C468" t="s">
        <v>267</v>
      </c>
      <c r="E468">
        <v>50</v>
      </c>
      <c r="F468">
        <v>0</v>
      </c>
      <c r="G468">
        <v>0</v>
      </c>
      <c r="H468">
        <v>0</v>
      </c>
      <c r="I468">
        <v>24</v>
      </c>
      <c r="J468">
        <v>28</v>
      </c>
      <c r="K468">
        <v>102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102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144</v>
      </c>
      <c r="Y468">
        <v>96</v>
      </c>
      <c r="Z468">
        <v>0</v>
      </c>
      <c r="AA468">
        <v>100</v>
      </c>
      <c r="AB468">
        <v>0</v>
      </c>
      <c r="AC468">
        <v>0</v>
      </c>
      <c r="AD468">
        <v>0</v>
      </c>
      <c r="AE468">
        <v>340</v>
      </c>
      <c r="AF468">
        <v>721</v>
      </c>
      <c r="AG468">
        <v>8.0500000000000007</v>
      </c>
      <c r="AK468" t="str">
        <f t="shared" si="7"/>
        <v>S5059-6200</v>
      </c>
    </row>
    <row r="469" spans="1:37" ht="15">
      <c r="A469" t="s">
        <v>6261</v>
      </c>
      <c r="B469" t="s">
        <v>4585</v>
      </c>
      <c r="C469" t="s">
        <v>101</v>
      </c>
      <c r="E469">
        <v>74</v>
      </c>
      <c r="F469">
        <v>0</v>
      </c>
      <c r="G469">
        <v>0</v>
      </c>
      <c r="H469">
        <v>0</v>
      </c>
      <c r="I469">
        <v>65</v>
      </c>
      <c r="J469">
        <v>96</v>
      </c>
      <c r="K469">
        <v>3039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3039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391</v>
      </c>
      <c r="X469">
        <v>0</v>
      </c>
      <c r="Y469">
        <v>0</v>
      </c>
      <c r="Z469">
        <v>0</v>
      </c>
      <c r="AA469">
        <v>0</v>
      </c>
      <c r="AB469">
        <v>761</v>
      </c>
      <c r="AC469">
        <v>0</v>
      </c>
      <c r="AD469">
        <v>0</v>
      </c>
      <c r="AE469">
        <v>1152</v>
      </c>
      <c r="AF469">
        <v>0</v>
      </c>
      <c r="AJ469">
        <v>3.0169999999999999</v>
      </c>
      <c r="AK469" t="str">
        <f t="shared" si="7"/>
        <v>S7049-5000</v>
      </c>
    </row>
    <row r="470" spans="1:37" ht="15">
      <c r="A470" t="s">
        <v>6262</v>
      </c>
      <c r="B470" t="s">
        <v>4585</v>
      </c>
      <c r="C470" t="s">
        <v>101</v>
      </c>
      <c r="E470">
        <v>74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10948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10948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3.9767000000000001</v>
      </c>
      <c r="AK470" t="str">
        <f t="shared" si="7"/>
        <v>S7049-6200</v>
      </c>
    </row>
    <row r="471" spans="1:37" ht="15">
      <c r="A471" t="s">
        <v>2578</v>
      </c>
      <c r="B471" t="s">
        <v>2577</v>
      </c>
      <c r="C471" t="s">
        <v>267</v>
      </c>
      <c r="E471">
        <v>50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230</v>
      </c>
      <c r="L471">
        <v>81</v>
      </c>
      <c r="M471">
        <v>0</v>
      </c>
      <c r="N471">
        <v>0</v>
      </c>
      <c r="O471">
        <v>0</v>
      </c>
      <c r="P471">
        <v>0</v>
      </c>
      <c r="Q471">
        <v>230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7.1687000000000003</v>
      </c>
      <c r="AK471" t="str">
        <f t="shared" si="7"/>
        <v>SB030-6200</v>
      </c>
    </row>
    <row r="472" spans="1:37" ht="15">
      <c r="A472" t="s">
        <v>2584</v>
      </c>
      <c r="B472" t="s">
        <v>2585</v>
      </c>
      <c r="C472" t="s">
        <v>68</v>
      </c>
      <c r="D472" t="s">
        <v>2586</v>
      </c>
      <c r="E472">
        <v>65</v>
      </c>
      <c r="F472">
        <v>0</v>
      </c>
      <c r="G472">
        <v>0</v>
      </c>
      <c r="H472">
        <v>0</v>
      </c>
      <c r="I472">
        <v>18</v>
      </c>
      <c r="J472">
        <v>9</v>
      </c>
      <c r="K472">
        <v>58</v>
      </c>
      <c r="L472">
        <v>48</v>
      </c>
      <c r="M472">
        <v>0</v>
      </c>
      <c r="N472">
        <v>0</v>
      </c>
      <c r="O472">
        <v>0</v>
      </c>
      <c r="P472">
        <v>0</v>
      </c>
      <c r="Q472">
        <v>58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106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106</v>
      </c>
      <c r="AF472">
        <v>0</v>
      </c>
      <c r="AG472">
        <v>4.9000000000000004</v>
      </c>
      <c r="AK472" t="str">
        <f t="shared" si="7"/>
        <v>SB322-5000</v>
      </c>
    </row>
    <row r="473" spans="1:37" ht="15">
      <c r="A473" t="s">
        <v>2647</v>
      </c>
      <c r="B473" t="s">
        <v>2648</v>
      </c>
      <c r="C473" t="s">
        <v>68</v>
      </c>
      <c r="E473">
        <v>65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152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152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180</v>
      </c>
      <c r="AG473">
        <v>4.4554999999999998</v>
      </c>
      <c r="AK473" t="str">
        <f t="shared" si="7"/>
        <v>SN250-6200</v>
      </c>
    </row>
    <row r="474" spans="1:37" ht="15">
      <c r="A474" t="s">
        <v>2657</v>
      </c>
      <c r="B474" t="s">
        <v>2658</v>
      </c>
      <c r="C474" t="s">
        <v>267</v>
      </c>
      <c r="D474" t="s">
        <v>2656</v>
      </c>
      <c r="E474">
        <v>65</v>
      </c>
      <c r="F474">
        <v>0</v>
      </c>
      <c r="G474">
        <v>0</v>
      </c>
      <c r="H474">
        <v>65</v>
      </c>
      <c r="I474">
        <v>102</v>
      </c>
      <c r="J474">
        <v>63</v>
      </c>
      <c r="K474">
        <v>0</v>
      </c>
      <c r="L474">
        <v>108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195</v>
      </c>
      <c r="T474">
        <v>0</v>
      </c>
      <c r="U474">
        <v>0</v>
      </c>
      <c r="V474">
        <v>0</v>
      </c>
      <c r="W474">
        <v>0</v>
      </c>
      <c r="X474">
        <v>417</v>
      </c>
      <c r="Y474">
        <v>0</v>
      </c>
      <c r="Z474">
        <v>0</v>
      </c>
      <c r="AA474">
        <v>146</v>
      </c>
      <c r="AB474">
        <v>0</v>
      </c>
      <c r="AC474">
        <v>0</v>
      </c>
      <c r="AD474">
        <v>0</v>
      </c>
      <c r="AE474">
        <v>758</v>
      </c>
      <c r="AF474">
        <v>2340</v>
      </c>
      <c r="AG474">
        <v>3.7187000000000001</v>
      </c>
      <c r="AK474" t="str">
        <f t="shared" si="7"/>
        <v>SN284-6200</v>
      </c>
    </row>
    <row r="475" spans="1:37" ht="15">
      <c r="A475" t="s">
        <v>2671</v>
      </c>
      <c r="B475" t="s">
        <v>2672</v>
      </c>
      <c r="C475" t="s">
        <v>267</v>
      </c>
      <c r="E475">
        <v>65</v>
      </c>
      <c r="F475">
        <v>0</v>
      </c>
      <c r="G475">
        <v>0</v>
      </c>
      <c r="H475">
        <v>0</v>
      </c>
      <c r="I475">
        <v>0</v>
      </c>
      <c r="J475">
        <v>10</v>
      </c>
      <c r="K475">
        <v>295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295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115</v>
      </c>
      <c r="AC475">
        <v>0</v>
      </c>
      <c r="AD475">
        <v>0</v>
      </c>
      <c r="AE475">
        <v>115</v>
      </c>
      <c r="AF475">
        <v>427</v>
      </c>
      <c r="AG475">
        <v>8.9499999999999993</v>
      </c>
      <c r="AK475" t="str">
        <f t="shared" si="7"/>
        <v>SO330-6200</v>
      </c>
    </row>
    <row r="476" spans="1:37" ht="15">
      <c r="A476" t="s">
        <v>2673</v>
      </c>
      <c r="B476" t="s">
        <v>2674</v>
      </c>
      <c r="C476" t="s">
        <v>267</v>
      </c>
      <c r="E476">
        <v>50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215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215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J476">
        <v>2.5874999999999999</v>
      </c>
      <c r="AK476" t="str">
        <f t="shared" si="7"/>
        <v>SP417-5000</v>
      </c>
    </row>
    <row r="477" spans="1:37" ht="15">
      <c r="A477" t="s">
        <v>2676</v>
      </c>
      <c r="B477" t="s">
        <v>2677</v>
      </c>
      <c r="C477" t="s">
        <v>1076</v>
      </c>
      <c r="D477" t="s">
        <v>2678</v>
      </c>
      <c r="E477">
        <v>68</v>
      </c>
      <c r="F477">
        <v>0</v>
      </c>
      <c r="G477">
        <v>0</v>
      </c>
      <c r="H477">
        <v>0</v>
      </c>
      <c r="I477">
        <v>31</v>
      </c>
      <c r="J477">
        <v>85</v>
      </c>
      <c r="K477">
        <v>934</v>
      </c>
      <c r="L477">
        <v>78</v>
      </c>
      <c r="M477">
        <v>0</v>
      </c>
      <c r="N477">
        <v>0</v>
      </c>
      <c r="O477">
        <v>0</v>
      </c>
      <c r="P477">
        <v>0</v>
      </c>
      <c r="Q477">
        <v>934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186</v>
      </c>
      <c r="X477">
        <v>0</v>
      </c>
      <c r="Y477">
        <v>0</v>
      </c>
      <c r="Z477">
        <v>0</v>
      </c>
      <c r="AA477">
        <v>829</v>
      </c>
      <c r="AB477">
        <v>0</v>
      </c>
      <c r="AC477">
        <v>0</v>
      </c>
      <c r="AD477">
        <v>0</v>
      </c>
      <c r="AE477">
        <v>1015</v>
      </c>
      <c r="AF477">
        <v>5519</v>
      </c>
      <c r="AG477" t="s">
        <v>4586</v>
      </c>
      <c r="AH477">
        <v>3</v>
      </c>
      <c r="AI477">
        <v>17</v>
      </c>
      <c r="AJ477">
        <v>4.6363000000000003</v>
      </c>
      <c r="AK477" t="str">
        <f t="shared" si="7"/>
        <v>SR127-5000</v>
      </c>
    </row>
    <row r="478" spans="1:37" ht="15">
      <c r="A478" t="s">
        <v>2676</v>
      </c>
      <c r="B478" t="s">
        <v>2677</v>
      </c>
      <c r="C478" t="s">
        <v>1076</v>
      </c>
      <c r="D478" t="s">
        <v>2678</v>
      </c>
      <c r="E478">
        <v>68</v>
      </c>
      <c r="AG478" t="s">
        <v>4587</v>
      </c>
      <c r="AH478">
        <v>2</v>
      </c>
      <c r="AI478">
        <v>373</v>
      </c>
      <c r="AK478" t="str">
        <f t="shared" si="7"/>
        <v>SR127-5000</v>
      </c>
    </row>
    <row r="479" spans="1:37" ht="15">
      <c r="A479" t="s">
        <v>2679</v>
      </c>
      <c r="B479" t="s">
        <v>2680</v>
      </c>
      <c r="C479" t="s">
        <v>1076</v>
      </c>
      <c r="D479" t="s">
        <v>2678</v>
      </c>
      <c r="E479">
        <v>68</v>
      </c>
      <c r="F479">
        <v>2.4</v>
      </c>
      <c r="G479">
        <v>0</v>
      </c>
      <c r="H479">
        <v>235</v>
      </c>
      <c r="I479">
        <v>117</v>
      </c>
      <c r="J479">
        <v>83</v>
      </c>
      <c r="K479">
        <v>2292</v>
      </c>
      <c r="L479">
        <v>260</v>
      </c>
      <c r="M479">
        <v>0</v>
      </c>
      <c r="N479">
        <v>0</v>
      </c>
      <c r="O479">
        <v>0</v>
      </c>
      <c r="P479">
        <v>0</v>
      </c>
      <c r="Q479">
        <v>2292</v>
      </c>
      <c r="R479">
        <v>0</v>
      </c>
      <c r="S479">
        <v>704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292</v>
      </c>
      <c r="AA479">
        <v>0</v>
      </c>
      <c r="AB479">
        <v>0</v>
      </c>
      <c r="AC479">
        <v>0</v>
      </c>
      <c r="AD479">
        <v>0</v>
      </c>
      <c r="AE479">
        <v>996</v>
      </c>
      <c r="AF479">
        <v>2967</v>
      </c>
      <c r="AG479" t="s">
        <v>4588</v>
      </c>
      <c r="AH479">
        <v>3</v>
      </c>
      <c r="AI479">
        <v>57</v>
      </c>
      <c r="AJ479">
        <v>4.3249000000000004</v>
      </c>
      <c r="AK479" t="str">
        <f t="shared" si="7"/>
        <v>SR127-6200</v>
      </c>
    </row>
    <row r="480" spans="1:37" ht="15">
      <c r="A480" t="s">
        <v>2685</v>
      </c>
      <c r="B480" t="s">
        <v>2686</v>
      </c>
      <c r="C480" t="s">
        <v>267</v>
      </c>
      <c r="E480">
        <v>50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108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108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6.2009999999999996</v>
      </c>
      <c r="AK480" t="str">
        <f t="shared" si="7"/>
        <v>SR510-5000</v>
      </c>
    </row>
    <row r="481" spans="1:37" ht="15">
      <c r="A481" t="s">
        <v>2692</v>
      </c>
      <c r="B481" t="s">
        <v>2693</v>
      </c>
      <c r="C481" t="s">
        <v>68</v>
      </c>
      <c r="D481" t="s">
        <v>2694</v>
      </c>
      <c r="E481">
        <v>65</v>
      </c>
      <c r="F481">
        <v>-0.3</v>
      </c>
      <c r="G481">
        <v>230</v>
      </c>
      <c r="H481">
        <v>139</v>
      </c>
      <c r="I481">
        <v>69</v>
      </c>
      <c r="J481">
        <v>53</v>
      </c>
      <c r="K481">
        <v>0</v>
      </c>
      <c r="L481">
        <v>0</v>
      </c>
      <c r="M481">
        <v>0</v>
      </c>
      <c r="N481">
        <v>192</v>
      </c>
      <c r="O481">
        <v>0</v>
      </c>
      <c r="P481">
        <v>0</v>
      </c>
      <c r="Q481">
        <v>-192</v>
      </c>
      <c r="R481">
        <v>0</v>
      </c>
      <c r="S481">
        <v>416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8</v>
      </c>
      <c r="AA481">
        <v>0</v>
      </c>
      <c r="AB481">
        <v>0</v>
      </c>
      <c r="AC481">
        <v>213</v>
      </c>
      <c r="AD481">
        <v>0</v>
      </c>
      <c r="AE481">
        <v>637</v>
      </c>
      <c r="AF481">
        <v>358</v>
      </c>
      <c r="AG481">
        <v>5.0076000000000001</v>
      </c>
      <c r="AK481" t="str">
        <f t="shared" si="7"/>
        <v>ST003-5000</v>
      </c>
    </row>
    <row r="482" spans="1:37" ht="15">
      <c r="A482" t="s">
        <v>2696</v>
      </c>
      <c r="B482" t="s">
        <v>2697</v>
      </c>
      <c r="C482" t="s">
        <v>1076</v>
      </c>
      <c r="E482">
        <v>65</v>
      </c>
      <c r="F482">
        <v>-0.4</v>
      </c>
      <c r="G482">
        <v>228</v>
      </c>
      <c r="H482">
        <v>120</v>
      </c>
      <c r="I482">
        <v>115</v>
      </c>
      <c r="J482">
        <v>176</v>
      </c>
      <c r="K482">
        <v>0</v>
      </c>
      <c r="L482">
        <v>54</v>
      </c>
      <c r="M482">
        <v>0</v>
      </c>
      <c r="N482">
        <v>190</v>
      </c>
      <c r="O482">
        <v>0</v>
      </c>
      <c r="P482">
        <v>0</v>
      </c>
      <c r="Q482">
        <v>-190</v>
      </c>
      <c r="R482">
        <v>0</v>
      </c>
      <c r="S482">
        <v>0</v>
      </c>
      <c r="T482">
        <v>360</v>
      </c>
      <c r="U482">
        <v>0</v>
      </c>
      <c r="V482">
        <v>135</v>
      </c>
      <c r="W482">
        <v>0</v>
      </c>
      <c r="X482">
        <v>195</v>
      </c>
      <c r="Y482">
        <v>0</v>
      </c>
      <c r="Z482">
        <v>0</v>
      </c>
      <c r="AA482">
        <v>297</v>
      </c>
      <c r="AB482">
        <v>460</v>
      </c>
      <c r="AC482">
        <v>663</v>
      </c>
      <c r="AD482">
        <v>0</v>
      </c>
      <c r="AE482">
        <v>2110</v>
      </c>
      <c r="AF482">
        <v>1458</v>
      </c>
      <c r="AG482" t="s">
        <v>7554</v>
      </c>
      <c r="AH482">
        <v>6</v>
      </c>
      <c r="AI482">
        <v>206</v>
      </c>
      <c r="AJ482">
        <v>4.1654</v>
      </c>
      <c r="AK482" t="str">
        <f t="shared" si="7"/>
        <v>ST012-5000</v>
      </c>
    </row>
    <row r="483" spans="1:37" ht="15">
      <c r="A483" t="s">
        <v>2698</v>
      </c>
      <c r="B483" t="s">
        <v>2699</v>
      </c>
      <c r="C483" t="s">
        <v>68</v>
      </c>
      <c r="E483">
        <v>65</v>
      </c>
      <c r="F483">
        <v>3.3</v>
      </c>
      <c r="G483">
        <v>0</v>
      </c>
      <c r="H483">
        <v>99</v>
      </c>
      <c r="I483">
        <v>49</v>
      </c>
      <c r="J483">
        <v>25</v>
      </c>
      <c r="K483">
        <v>1284</v>
      </c>
      <c r="L483">
        <v>96</v>
      </c>
      <c r="M483">
        <v>0</v>
      </c>
      <c r="N483">
        <v>0</v>
      </c>
      <c r="O483">
        <v>0</v>
      </c>
      <c r="P483">
        <v>0</v>
      </c>
      <c r="Q483">
        <v>1284</v>
      </c>
      <c r="R483">
        <v>251</v>
      </c>
      <c r="S483">
        <v>0</v>
      </c>
      <c r="T483">
        <v>221</v>
      </c>
      <c r="U483">
        <v>75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296</v>
      </c>
      <c r="AF483">
        <v>462</v>
      </c>
      <c r="AG483">
        <v>2.3007</v>
      </c>
      <c r="AK483" t="str">
        <f t="shared" si="7"/>
        <v>ST012-6200</v>
      </c>
    </row>
    <row r="484" spans="1:37" ht="15">
      <c r="A484" t="s">
        <v>2702</v>
      </c>
      <c r="B484" t="s">
        <v>2703</v>
      </c>
      <c r="C484" t="s">
        <v>1076</v>
      </c>
      <c r="D484" t="s">
        <v>2445</v>
      </c>
      <c r="E484">
        <v>65</v>
      </c>
      <c r="F484">
        <v>0.5</v>
      </c>
      <c r="G484">
        <v>0</v>
      </c>
      <c r="H484">
        <v>120</v>
      </c>
      <c r="I484">
        <v>136</v>
      </c>
      <c r="J484">
        <v>100</v>
      </c>
      <c r="K484">
        <v>248</v>
      </c>
      <c r="L484">
        <v>121</v>
      </c>
      <c r="M484">
        <v>0</v>
      </c>
      <c r="N484">
        <v>0</v>
      </c>
      <c r="O484">
        <v>0</v>
      </c>
      <c r="P484">
        <v>0</v>
      </c>
      <c r="Q484">
        <v>248</v>
      </c>
      <c r="R484">
        <v>0</v>
      </c>
      <c r="S484">
        <v>360</v>
      </c>
      <c r="T484">
        <v>0</v>
      </c>
      <c r="U484">
        <v>0</v>
      </c>
      <c r="V484">
        <v>0</v>
      </c>
      <c r="W484">
        <v>454</v>
      </c>
      <c r="X484">
        <v>0</v>
      </c>
      <c r="Y484">
        <v>0</v>
      </c>
      <c r="Z484">
        <v>0</v>
      </c>
      <c r="AA484">
        <v>178</v>
      </c>
      <c r="AB484">
        <v>0</v>
      </c>
      <c r="AC484">
        <v>206</v>
      </c>
      <c r="AD484">
        <v>0</v>
      </c>
      <c r="AE484">
        <v>1198</v>
      </c>
      <c r="AF484">
        <v>505</v>
      </c>
      <c r="AG484" t="s">
        <v>4589</v>
      </c>
      <c r="AH484">
        <v>7</v>
      </c>
      <c r="AI484">
        <v>628</v>
      </c>
      <c r="AJ484">
        <v>4.9116999999999997</v>
      </c>
      <c r="AK484" t="str">
        <f t="shared" si="7"/>
        <v>ST014-6200</v>
      </c>
    </row>
    <row r="485" spans="1:37" ht="15">
      <c r="A485" t="s">
        <v>2712</v>
      </c>
      <c r="B485" t="s">
        <v>2713</v>
      </c>
      <c r="C485" t="s">
        <v>68</v>
      </c>
      <c r="D485" t="s">
        <v>2714</v>
      </c>
      <c r="E485">
        <v>65</v>
      </c>
      <c r="F485">
        <v>0</v>
      </c>
      <c r="G485">
        <v>0</v>
      </c>
      <c r="H485">
        <v>0</v>
      </c>
      <c r="I485">
        <v>0</v>
      </c>
      <c r="J485">
        <v>25</v>
      </c>
      <c r="K485">
        <v>155</v>
      </c>
      <c r="L485">
        <v>78</v>
      </c>
      <c r="M485">
        <v>0</v>
      </c>
      <c r="N485">
        <v>0</v>
      </c>
      <c r="O485">
        <v>0</v>
      </c>
      <c r="P485">
        <v>0</v>
      </c>
      <c r="Q485">
        <v>155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81</v>
      </c>
      <c r="AA485">
        <v>0</v>
      </c>
      <c r="AB485">
        <v>0</v>
      </c>
      <c r="AC485">
        <v>94</v>
      </c>
      <c r="AD485">
        <v>124</v>
      </c>
      <c r="AE485">
        <v>299</v>
      </c>
      <c r="AF485">
        <v>358</v>
      </c>
      <c r="AG485">
        <v>4.0602999999999998</v>
      </c>
      <c r="AK485" t="str">
        <f t="shared" si="7"/>
        <v>ST033-5000</v>
      </c>
    </row>
    <row r="486" spans="1:37" ht="15">
      <c r="A486" t="s">
        <v>2715</v>
      </c>
      <c r="B486" t="s">
        <v>2716</v>
      </c>
      <c r="C486" t="s">
        <v>68</v>
      </c>
      <c r="D486" t="s">
        <v>2717</v>
      </c>
      <c r="E486">
        <v>65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309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309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1167</v>
      </c>
      <c r="AG486">
        <v>4.3624000000000001</v>
      </c>
      <c r="AK486" t="str">
        <f t="shared" si="7"/>
        <v>ST033-6200</v>
      </c>
    </row>
    <row r="487" spans="1:37" ht="15">
      <c r="A487" t="s">
        <v>2724</v>
      </c>
      <c r="B487" t="s">
        <v>2725</v>
      </c>
      <c r="C487" t="s">
        <v>68</v>
      </c>
      <c r="E487">
        <v>65</v>
      </c>
      <c r="F487">
        <v>-0.2</v>
      </c>
      <c r="G487">
        <v>270</v>
      </c>
      <c r="H487">
        <v>283</v>
      </c>
      <c r="I487">
        <v>142</v>
      </c>
      <c r="J487">
        <v>120</v>
      </c>
      <c r="K487">
        <v>0</v>
      </c>
      <c r="L487">
        <v>63</v>
      </c>
      <c r="M487">
        <v>0</v>
      </c>
      <c r="N487">
        <v>225</v>
      </c>
      <c r="O487">
        <v>0</v>
      </c>
      <c r="P487">
        <v>0</v>
      </c>
      <c r="Q487">
        <v>-225</v>
      </c>
      <c r="R487">
        <v>150</v>
      </c>
      <c r="S487">
        <v>666</v>
      </c>
      <c r="T487">
        <v>0</v>
      </c>
      <c r="U487">
        <v>183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257</v>
      </c>
      <c r="AB487">
        <v>0</v>
      </c>
      <c r="AC487">
        <v>337</v>
      </c>
      <c r="AD487">
        <v>0</v>
      </c>
      <c r="AE487">
        <v>1443</v>
      </c>
      <c r="AF487">
        <v>112</v>
      </c>
      <c r="AG487">
        <v>3.6082999999999998</v>
      </c>
      <c r="AK487" t="str">
        <f t="shared" si="7"/>
        <v>ST052-6200</v>
      </c>
    </row>
    <row r="488" spans="1:37" ht="15">
      <c r="A488" t="s">
        <v>2726</v>
      </c>
      <c r="B488" t="s">
        <v>2727</v>
      </c>
      <c r="C488" t="s">
        <v>1076</v>
      </c>
      <c r="D488" t="s">
        <v>2728</v>
      </c>
      <c r="E488">
        <v>65</v>
      </c>
      <c r="F488">
        <v>2.1</v>
      </c>
      <c r="G488">
        <v>0</v>
      </c>
      <c r="H488">
        <v>60</v>
      </c>
      <c r="I488">
        <v>134</v>
      </c>
      <c r="J488">
        <v>197</v>
      </c>
      <c r="K488">
        <v>511</v>
      </c>
      <c r="L488">
        <v>22</v>
      </c>
      <c r="M488">
        <v>0</v>
      </c>
      <c r="N488">
        <v>0</v>
      </c>
      <c r="O488">
        <v>0</v>
      </c>
      <c r="P488">
        <v>0</v>
      </c>
      <c r="Q488">
        <v>511</v>
      </c>
      <c r="R488">
        <v>0</v>
      </c>
      <c r="S488">
        <v>180</v>
      </c>
      <c r="T488">
        <v>0</v>
      </c>
      <c r="U488">
        <v>0</v>
      </c>
      <c r="V488">
        <v>0</v>
      </c>
      <c r="W488">
        <v>288</v>
      </c>
      <c r="X488">
        <v>336</v>
      </c>
      <c r="Y488">
        <v>489</v>
      </c>
      <c r="Z488">
        <v>192</v>
      </c>
      <c r="AA488">
        <v>540</v>
      </c>
      <c r="AB488">
        <v>134</v>
      </c>
      <c r="AC488">
        <v>210</v>
      </c>
      <c r="AD488">
        <v>0</v>
      </c>
      <c r="AE488">
        <v>2369</v>
      </c>
      <c r="AF488">
        <v>5344</v>
      </c>
      <c r="AG488" t="s">
        <v>4561</v>
      </c>
      <c r="AH488">
        <v>7</v>
      </c>
      <c r="AI488">
        <v>7</v>
      </c>
      <c r="AJ488">
        <v>3.9047000000000001</v>
      </c>
      <c r="AK488" t="str">
        <f t="shared" si="7"/>
        <v>ST054-5000</v>
      </c>
    </row>
    <row r="489" spans="1:37" ht="15">
      <c r="A489" t="s">
        <v>2729</v>
      </c>
      <c r="B489" t="s">
        <v>2730</v>
      </c>
      <c r="C489" t="s">
        <v>1076</v>
      </c>
      <c r="D489" t="s">
        <v>2728</v>
      </c>
      <c r="E489">
        <v>65</v>
      </c>
      <c r="F489">
        <v>-0.1</v>
      </c>
      <c r="G489">
        <v>665</v>
      </c>
      <c r="H489">
        <v>159</v>
      </c>
      <c r="I489">
        <v>327</v>
      </c>
      <c r="J489">
        <v>365</v>
      </c>
      <c r="K489">
        <v>490</v>
      </c>
      <c r="L489">
        <v>27</v>
      </c>
      <c r="M489">
        <v>0</v>
      </c>
      <c r="N489">
        <v>554</v>
      </c>
      <c r="O489">
        <v>0</v>
      </c>
      <c r="P489">
        <v>0</v>
      </c>
      <c r="Q489">
        <v>-64</v>
      </c>
      <c r="R489">
        <v>0</v>
      </c>
      <c r="S489">
        <v>0</v>
      </c>
      <c r="T489">
        <v>202</v>
      </c>
      <c r="U489">
        <v>274</v>
      </c>
      <c r="V489">
        <v>392</v>
      </c>
      <c r="W489">
        <v>328</v>
      </c>
      <c r="X489">
        <v>765</v>
      </c>
      <c r="Y489">
        <v>212</v>
      </c>
      <c r="Z489">
        <v>432</v>
      </c>
      <c r="AA489">
        <v>1038</v>
      </c>
      <c r="AB489">
        <v>0</v>
      </c>
      <c r="AC489">
        <v>89</v>
      </c>
      <c r="AD489">
        <v>644</v>
      </c>
      <c r="AE489">
        <v>4376</v>
      </c>
      <c r="AF489">
        <v>5977</v>
      </c>
      <c r="AG489" t="s">
        <v>4590</v>
      </c>
      <c r="AH489">
        <v>4</v>
      </c>
      <c r="AI489">
        <v>19</v>
      </c>
      <c r="AJ489">
        <v>3.3</v>
      </c>
      <c r="AK489" t="str">
        <f t="shared" si="7"/>
        <v>ST054-6200</v>
      </c>
    </row>
    <row r="490" spans="1:37" ht="15">
      <c r="A490" t="s">
        <v>2739</v>
      </c>
      <c r="B490" t="s">
        <v>2740</v>
      </c>
      <c r="C490" t="s">
        <v>68</v>
      </c>
      <c r="D490" t="s">
        <v>2741</v>
      </c>
      <c r="E490">
        <v>65</v>
      </c>
      <c r="F490">
        <v>0</v>
      </c>
      <c r="G490">
        <v>0</v>
      </c>
      <c r="H490">
        <v>0</v>
      </c>
      <c r="I490">
        <v>0</v>
      </c>
      <c r="J490">
        <v>8</v>
      </c>
      <c r="K490">
        <v>60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60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101</v>
      </c>
      <c r="AD490">
        <v>0</v>
      </c>
      <c r="AE490">
        <v>101</v>
      </c>
      <c r="AF490">
        <v>98</v>
      </c>
      <c r="AG490">
        <v>6.7298</v>
      </c>
      <c r="AK490" t="str">
        <f t="shared" si="7"/>
        <v>ST620-5000</v>
      </c>
    </row>
    <row r="491" spans="1:37" ht="15">
      <c r="A491" t="s">
        <v>2742</v>
      </c>
      <c r="B491" t="s">
        <v>2743</v>
      </c>
      <c r="C491" t="s">
        <v>68</v>
      </c>
      <c r="D491" t="s">
        <v>2741</v>
      </c>
      <c r="E491">
        <v>65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138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138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4.7637</v>
      </c>
      <c r="AK491" t="str">
        <f t="shared" si="7"/>
        <v>ST620-6200</v>
      </c>
    </row>
    <row r="492" spans="1:37" ht="15">
      <c r="A492" t="s">
        <v>2747</v>
      </c>
      <c r="B492" t="s">
        <v>2748</v>
      </c>
      <c r="C492" t="s">
        <v>68</v>
      </c>
      <c r="D492" t="s">
        <v>2749</v>
      </c>
      <c r="E492">
        <v>65</v>
      </c>
      <c r="F492">
        <v>0</v>
      </c>
      <c r="G492">
        <v>0</v>
      </c>
      <c r="H492">
        <v>0</v>
      </c>
      <c r="I492">
        <v>0</v>
      </c>
      <c r="J492">
        <v>26</v>
      </c>
      <c r="K492">
        <v>421</v>
      </c>
      <c r="L492">
        <v>112</v>
      </c>
      <c r="M492">
        <v>0</v>
      </c>
      <c r="N492">
        <v>0</v>
      </c>
      <c r="O492">
        <v>0</v>
      </c>
      <c r="P492">
        <v>0</v>
      </c>
      <c r="Q492">
        <v>421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317</v>
      </c>
      <c r="AB492">
        <v>0</v>
      </c>
      <c r="AC492">
        <v>0</v>
      </c>
      <c r="AD492">
        <v>0</v>
      </c>
      <c r="AE492">
        <v>317</v>
      </c>
      <c r="AF492">
        <v>1507</v>
      </c>
      <c r="AG492">
        <v>5.55</v>
      </c>
      <c r="AK492" t="str">
        <f t="shared" si="7"/>
        <v>ST623-6200</v>
      </c>
    </row>
    <row r="493" spans="1:37" ht="15">
      <c r="A493" t="s">
        <v>2752</v>
      </c>
      <c r="B493" t="s">
        <v>2751</v>
      </c>
      <c r="C493" t="s">
        <v>101</v>
      </c>
      <c r="E493">
        <v>65</v>
      </c>
      <c r="F493">
        <v>1.8</v>
      </c>
      <c r="G493">
        <v>0</v>
      </c>
      <c r="H493">
        <v>136</v>
      </c>
      <c r="I493">
        <v>68</v>
      </c>
      <c r="J493">
        <v>34</v>
      </c>
      <c r="K493">
        <v>958</v>
      </c>
      <c r="L493">
        <v>76</v>
      </c>
      <c r="M493">
        <v>0</v>
      </c>
      <c r="N493">
        <v>0</v>
      </c>
      <c r="O493">
        <v>0</v>
      </c>
      <c r="P493">
        <v>0</v>
      </c>
      <c r="Q493">
        <v>958</v>
      </c>
      <c r="R493">
        <v>0</v>
      </c>
      <c r="S493">
        <v>408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408</v>
      </c>
      <c r="AF493">
        <v>1135</v>
      </c>
      <c r="AG493">
        <v>4.3757000000000001</v>
      </c>
      <c r="AK493" t="str">
        <f t="shared" si="7"/>
        <v>ST624-6200</v>
      </c>
    </row>
    <row r="494" spans="1:37" ht="15">
      <c r="A494" t="s">
        <v>2760</v>
      </c>
      <c r="B494" t="s">
        <v>2761</v>
      </c>
      <c r="C494" t="s">
        <v>68</v>
      </c>
      <c r="E494">
        <v>65</v>
      </c>
      <c r="F494">
        <v>0.2</v>
      </c>
      <c r="G494">
        <v>0</v>
      </c>
      <c r="H494">
        <v>559</v>
      </c>
      <c r="I494">
        <v>340</v>
      </c>
      <c r="J494">
        <v>170</v>
      </c>
      <c r="K494">
        <v>354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354</v>
      </c>
      <c r="R494">
        <v>0</v>
      </c>
      <c r="S494">
        <v>739</v>
      </c>
      <c r="T494">
        <v>939</v>
      </c>
      <c r="U494">
        <v>0</v>
      </c>
      <c r="V494">
        <v>0</v>
      </c>
      <c r="W494">
        <v>360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2038</v>
      </c>
      <c r="AF494">
        <v>181</v>
      </c>
      <c r="AG494">
        <v>6.5473999999999997</v>
      </c>
      <c r="AK494" t="str">
        <f t="shared" si="7"/>
        <v>SV355-6200</v>
      </c>
    </row>
    <row r="495" spans="1:37" ht="15">
      <c r="A495" t="s">
        <v>2762</v>
      </c>
      <c r="B495" t="s">
        <v>2763</v>
      </c>
      <c r="C495" t="s">
        <v>267</v>
      </c>
      <c r="E495">
        <v>50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50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50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42</v>
      </c>
      <c r="AG495">
        <v>6.1360000000000001</v>
      </c>
      <c r="AK495" t="str">
        <f t="shared" si="7"/>
        <v>SV730-5000</v>
      </c>
    </row>
    <row r="496" spans="1:37" ht="15">
      <c r="A496" t="s">
        <v>2796</v>
      </c>
      <c r="B496" t="s">
        <v>2797</v>
      </c>
      <c r="C496" t="s">
        <v>267</v>
      </c>
      <c r="D496" t="s">
        <v>2798</v>
      </c>
      <c r="E496">
        <v>92</v>
      </c>
      <c r="F496">
        <v>0</v>
      </c>
      <c r="G496">
        <v>0</v>
      </c>
      <c r="H496">
        <v>0</v>
      </c>
      <c r="I496">
        <v>0</v>
      </c>
      <c r="J496">
        <v>111</v>
      </c>
      <c r="K496">
        <v>893</v>
      </c>
      <c r="L496">
        <v>143</v>
      </c>
      <c r="M496">
        <v>0</v>
      </c>
      <c r="N496">
        <v>0</v>
      </c>
      <c r="O496">
        <v>0</v>
      </c>
      <c r="P496">
        <v>0</v>
      </c>
      <c r="Q496">
        <v>893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334</v>
      </c>
      <c r="AB496">
        <v>325</v>
      </c>
      <c r="AC496">
        <v>389</v>
      </c>
      <c r="AD496">
        <v>279</v>
      </c>
      <c r="AE496">
        <v>1327</v>
      </c>
      <c r="AF496">
        <v>2052</v>
      </c>
      <c r="AG496">
        <v>2.2662</v>
      </c>
      <c r="AK496" t="str">
        <f t="shared" si="7"/>
        <v>SW736-5000</v>
      </c>
    </row>
    <row r="497" spans="1:37" ht="15">
      <c r="A497" t="s">
        <v>2812</v>
      </c>
      <c r="B497" t="s">
        <v>2813</v>
      </c>
      <c r="C497" t="s">
        <v>68</v>
      </c>
      <c r="D497" t="s">
        <v>2814</v>
      </c>
      <c r="E497">
        <v>80</v>
      </c>
      <c r="F497">
        <v>0.5</v>
      </c>
      <c r="G497">
        <v>6500</v>
      </c>
      <c r="H497">
        <v>3764</v>
      </c>
      <c r="I497">
        <v>6005</v>
      </c>
      <c r="J497">
        <v>5326</v>
      </c>
      <c r="K497">
        <v>12685</v>
      </c>
      <c r="L497">
        <v>4546</v>
      </c>
      <c r="M497">
        <v>0</v>
      </c>
      <c r="N497">
        <v>5417</v>
      </c>
      <c r="O497">
        <v>0</v>
      </c>
      <c r="P497">
        <v>0</v>
      </c>
      <c r="Q497">
        <v>7268</v>
      </c>
      <c r="R497">
        <v>1989</v>
      </c>
      <c r="S497">
        <v>2656</v>
      </c>
      <c r="T497">
        <v>1123</v>
      </c>
      <c r="U497">
        <v>7512</v>
      </c>
      <c r="V497">
        <v>6451</v>
      </c>
      <c r="W497">
        <v>10565</v>
      </c>
      <c r="X497">
        <v>7722</v>
      </c>
      <c r="Y497">
        <v>6657</v>
      </c>
      <c r="Z497">
        <v>5210</v>
      </c>
      <c r="AA497">
        <v>5055</v>
      </c>
      <c r="AB497">
        <v>5336</v>
      </c>
      <c r="AC497">
        <v>2864</v>
      </c>
      <c r="AD497">
        <v>2756</v>
      </c>
      <c r="AE497">
        <v>63907</v>
      </c>
      <c r="AF497">
        <v>69576</v>
      </c>
      <c r="AJ497">
        <v>4.3594999999999997</v>
      </c>
      <c r="AK497" t="str">
        <f t="shared" si="7"/>
        <v>SW775-6200</v>
      </c>
    </row>
    <row r="498" spans="1:37" ht="15">
      <c r="A498" t="s">
        <v>2815</v>
      </c>
      <c r="B498" t="s">
        <v>2816</v>
      </c>
      <c r="C498" t="s">
        <v>68</v>
      </c>
      <c r="E498">
        <v>82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1401</v>
      </c>
      <c r="L498">
        <v>26</v>
      </c>
      <c r="M498">
        <v>0</v>
      </c>
      <c r="N498">
        <v>0</v>
      </c>
      <c r="O498">
        <v>0</v>
      </c>
      <c r="P498">
        <v>0</v>
      </c>
      <c r="Q498">
        <v>1401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1359</v>
      </c>
      <c r="AG498">
        <v>6.0556999999999999</v>
      </c>
      <c r="AK498" t="str">
        <f t="shared" si="7"/>
        <v>SW832-5000</v>
      </c>
    </row>
    <row r="499" spans="1:37" ht="15">
      <c r="A499" t="s">
        <v>2817</v>
      </c>
      <c r="B499" t="s">
        <v>2816</v>
      </c>
      <c r="C499" t="s">
        <v>68</v>
      </c>
      <c r="E499">
        <v>82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1281</v>
      </c>
      <c r="L499">
        <v>94</v>
      </c>
      <c r="M499">
        <v>0</v>
      </c>
      <c r="N499">
        <v>0</v>
      </c>
      <c r="O499">
        <v>0</v>
      </c>
      <c r="P499">
        <v>0</v>
      </c>
      <c r="Q499">
        <v>1281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2250</v>
      </c>
      <c r="AG499">
        <v>6.0556999999999999</v>
      </c>
      <c r="AK499" t="str">
        <f t="shared" si="7"/>
        <v>SW832-6200</v>
      </c>
    </row>
    <row r="500" spans="1:37" ht="15">
      <c r="A500" t="s">
        <v>2846</v>
      </c>
      <c r="B500" t="s">
        <v>2845</v>
      </c>
      <c r="C500" t="s">
        <v>1076</v>
      </c>
      <c r="E500">
        <v>50</v>
      </c>
      <c r="F500">
        <v>0</v>
      </c>
      <c r="G500">
        <v>0</v>
      </c>
      <c r="H500">
        <v>183</v>
      </c>
      <c r="I500">
        <v>155</v>
      </c>
      <c r="J500">
        <v>78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550</v>
      </c>
      <c r="V500">
        <v>0</v>
      </c>
      <c r="W500">
        <v>380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930</v>
      </c>
      <c r="AF500">
        <v>1972</v>
      </c>
      <c r="AG500" t="s">
        <v>4586</v>
      </c>
      <c r="AH500">
        <v>5</v>
      </c>
      <c r="AI500">
        <v>6</v>
      </c>
      <c r="AJ500">
        <v>6.1028000000000002</v>
      </c>
      <c r="AK500" t="str">
        <f t="shared" si="7"/>
        <v>VA202-6200</v>
      </c>
    </row>
    <row r="501" spans="1:37" ht="15">
      <c r="A501" t="s">
        <v>2846</v>
      </c>
      <c r="B501" t="s">
        <v>2845</v>
      </c>
      <c r="C501" t="s">
        <v>1076</v>
      </c>
      <c r="E501">
        <v>50</v>
      </c>
      <c r="AG501" t="s">
        <v>4591</v>
      </c>
      <c r="AH501">
        <v>5</v>
      </c>
      <c r="AI501">
        <v>13</v>
      </c>
      <c r="AK501" t="str">
        <f t="shared" si="7"/>
        <v>VA202-6200</v>
      </c>
    </row>
    <row r="502" spans="1:37" ht="15">
      <c r="A502" t="s">
        <v>2846</v>
      </c>
      <c r="B502" t="s">
        <v>2845</v>
      </c>
      <c r="C502" t="s">
        <v>1076</v>
      </c>
      <c r="E502">
        <v>50</v>
      </c>
      <c r="AG502" t="s">
        <v>4592</v>
      </c>
      <c r="AH502">
        <v>2</v>
      </c>
      <c r="AI502">
        <v>3</v>
      </c>
      <c r="AK502" t="str">
        <f t="shared" si="7"/>
        <v>VA202-6200</v>
      </c>
    </row>
    <row r="503" spans="1:37" ht="15">
      <c r="A503" t="s">
        <v>2856</v>
      </c>
      <c r="B503" t="s">
        <v>2857</v>
      </c>
      <c r="C503" t="s">
        <v>110</v>
      </c>
      <c r="E503">
        <v>43</v>
      </c>
      <c r="F503">
        <v>0</v>
      </c>
      <c r="G503">
        <v>0</v>
      </c>
      <c r="H503">
        <v>0</v>
      </c>
      <c r="I503">
        <v>19</v>
      </c>
      <c r="J503">
        <v>70</v>
      </c>
      <c r="K503">
        <v>92</v>
      </c>
      <c r="L503">
        <v>51</v>
      </c>
      <c r="M503">
        <v>0</v>
      </c>
      <c r="N503">
        <v>0</v>
      </c>
      <c r="O503">
        <v>0</v>
      </c>
      <c r="P503">
        <v>0</v>
      </c>
      <c r="Q503">
        <v>92</v>
      </c>
      <c r="R503">
        <v>0</v>
      </c>
      <c r="S503">
        <v>0</v>
      </c>
      <c r="T503">
        <v>0</v>
      </c>
      <c r="U503">
        <v>0</v>
      </c>
      <c r="V503">
        <v>114</v>
      </c>
      <c r="W503">
        <v>0</v>
      </c>
      <c r="X503">
        <v>0</v>
      </c>
      <c r="Y503">
        <v>0</v>
      </c>
      <c r="Z503">
        <v>190</v>
      </c>
      <c r="AA503">
        <v>538</v>
      </c>
      <c r="AB503">
        <v>0</v>
      </c>
      <c r="AC503">
        <v>0</v>
      </c>
      <c r="AD503">
        <v>0</v>
      </c>
      <c r="AE503">
        <v>842</v>
      </c>
      <c r="AF503">
        <v>367</v>
      </c>
      <c r="AG503">
        <v>6.1</v>
      </c>
      <c r="AK503" t="str">
        <f t="shared" si="7"/>
        <v>VA702-5000</v>
      </c>
    </row>
    <row r="504" spans="1:37" ht="15">
      <c r="A504" t="s">
        <v>2882</v>
      </c>
      <c r="B504" t="s">
        <v>2881</v>
      </c>
      <c r="C504" t="s">
        <v>313</v>
      </c>
      <c r="E504">
        <v>43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101</v>
      </c>
      <c r="L504">
        <v>34</v>
      </c>
      <c r="M504">
        <v>0</v>
      </c>
      <c r="N504">
        <v>0</v>
      </c>
      <c r="O504">
        <v>0</v>
      </c>
      <c r="P504">
        <v>0</v>
      </c>
      <c r="Q504">
        <v>101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J504">
        <v>7.4854000000000003</v>
      </c>
      <c r="AK504" t="str">
        <f t="shared" si="7"/>
        <v>VU601-6200</v>
      </c>
    </row>
    <row r="505" spans="1:37" ht="15">
      <c r="A505" t="s">
        <v>2893</v>
      </c>
      <c r="B505" t="s">
        <v>2894</v>
      </c>
      <c r="C505" t="s">
        <v>1027</v>
      </c>
      <c r="E505">
        <v>40</v>
      </c>
      <c r="F505">
        <v>1.8</v>
      </c>
      <c r="G505">
        <v>0</v>
      </c>
      <c r="H505">
        <v>32</v>
      </c>
      <c r="I505">
        <v>34</v>
      </c>
      <c r="J505">
        <v>17</v>
      </c>
      <c r="K505">
        <v>234</v>
      </c>
      <c r="L505">
        <v>42</v>
      </c>
      <c r="M505">
        <v>0</v>
      </c>
      <c r="N505">
        <v>0</v>
      </c>
      <c r="O505">
        <v>0</v>
      </c>
      <c r="P505">
        <v>0</v>
      </c>
      <c r="Q505">
        <v>234</v>
      </c>
      <c r="R505">
        <v>0</v>
      </c>
      <c r="S505">
        <v>96</v>
      </c>
      <c r="T505">
        <v>0</v>
      </c>
      <c r="U505">
        <v>0</v>
      </c>
      <c r="V505">
        <v>110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206</v>
      </c>
      <c r="AF505">
        <v>104</v>
      </c>
      <c r="AG505">
        <v>7.0374999999999996</v>
      </c>
      <c r="AK505" t="str">
        <f t="shared" si="7"/>
        <v>WA300-5000</v>
      </c>
    </row>
    <row r="506" spans="1:37" ht="15">
      <c r="A506" t="s">
        <v>2895</v>
      </c>
      <c r="B506" t="s">
        <v>2894</v>
      </c>
      <c r="C506" t="s">
        <v>1027</v>
      </c>
      <c r="E506">
        <v>40</v>
      </c>
      <c r="F506">
        <v>1.7</v>
      </c>
      <c r="G506">
        <v>0</v>
      </c>
      <c r="H506">
        <v>70</v>
      </c>
      <c r="I506">
        <v>104</v>
      </c>
      <c r="J506">
        <v>102</v>
      </c>
      <c r="K506">
        <v>490</v>
      </c>
      <c r="L506">
        <v>16</v>
      </c>
      <c r="M506">
        <v>0</v>
      </c>
      <c r="N506">
        <v>0</v>
      </c>
      <c r="O506">
        <v>0</v>
      </c>
      <c r="P506">
        <v>0</v>
      </c>
      <c r="Q506">
        <v>490</v>
      </c>
      <c r="R506">
        <v>0</v>
      </c>
      <c r="S506">
        <v>0</v>
      </c>
      <c r="T506">
        <v>211</v>
      </c>
      <c r="U506">
        <v>0</v>
      </c>
      <c r="V506">
        <v>411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432</v>
      </c>
      <c r="AC506">
        <v>172</v>
      </c>
      <c r="AD506">
        <v>0</v>
      </c>
      <c r="AE506">
        <v>1226</v>
      </c>
      <c r="AF506">
        <v>404</v>
      </c>
      <c r="AG506">
        <v>7.1380999999999997</v>
      </c>
      <c r="AK506" t="str">
        <f t="shared" si="7"/>
        <v>WA300-6200</v>
      </c>
    </row>
    <row r="507" spans="1:37" ht="15">
      <c r="A507" t="s">
        <v>2896</v>
      </c>
      <c r="B507" t="s">
        <v>2897</v>
      </c>
      <c r="C507" t="s">
        <v>329</v>
      </c>
      <c r="D507" t="s">
        <v>2898</v>
      </c>
      <c r="E507">
        <v>50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332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332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J507">
        <v>5.3760000000000003</v>
      </c>
      <c r="AK507" t="str">
        <f t="shared" si="7"/>
        <v>WA301-5000</v>
      </c>
    </row>
    <row r="508" spans="1:37" ht="15">
      <c r="A508" t="s">
        <v>2910</v>
      </c>
      <c r="B508" t="s">
        <v>2908</v>
      </c>
      <c r="C508" t="s">
        <v>329</v>
      </c>
      <c r="D508" t="s">
        <v>2911</v>
      </c>
      <c r="E508">
        <v>50</v>
      </c>
      <c r="F508">
        <v>0</v>
      </c>
      <c r="G508">
        <v>0</v>
      </c>
      <c r="H508">
        <v>0</v>
      </c>
      <c r="I508">
        <v>0</v>
      </c>
      <c r="J508">
        <v>17</v>
      </c>
      <c r="K508">
        <v>120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120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200</v>
      </c>
      <c r="AD508">
        <v>0</v>
      </c>
      <c r="AE508">
        <v>200</v>
      </c>
      <c r="AF508">
        <v>0</v>
      </c>
      <c r="AG508">
        <v>7.1288</v>
      </c>
      <c r="AK508" t="str">
        <f t="shared" si="7"/>
        <v>WC013-6200</v>
      </c>
    </row>
    <row r="509" spans="1:37" ht="15">
      <c r="A509" t="s">
        <v>2913</v>
      </c>
      <c r="B509" t="s">
        <v>2914</v>
      </c>
      <c r="C509" t="s">
        <v>1076</v>
      </c>
      <c r="D509" t="s">
        <v>2915</v>
      </c>
      <c r="E509">
        <v>50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192</v>
      </c>
      <c r="L509">
        <v>31</v>
      </c>
      <c r="M509">
        <v>0</v>
      </c>
      <c r="N509">
        <v>0</v>
      </c>
      <c r="O509">
        <v>0</v>
      </c>
      <c r="P509">
        <v>0</v>
      </c>
      <c r="Q509">
        <v>192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 t="s">
        <v>4593</v>
      </c>
      <c r="AH509">
        <v>5</v>
      </c>
      <c r="AI509">
        <v>2</v>
      </c>
      <c r="AJ509">
        <v>8.5500000000000007</v>
      </c>
      <c r="AK509" t="str">
        <f t="shared" si="7"/>
        <v>WC022-5000</v>
      </c>
    </row>
    <row r="510" spans="1:37" ht="15">
      <c r="A510" t="s">
        <v>2916</v>
      </c>
      <c r="B510" t="s">
        <v>2917</v>
      </c>
      <c r="C510" t="s">
        <v>329</v>
      </c>
      <c r="D510" t="s">
        <v>2915</v>
      </c>
      <c r="E510">
        <v>50</v>
      </c>
      <c r="F510">
        <v>0</v>
      </c>
      <c r="G510">
        <v>0</v>
      </c>
      <c r="H510">
        <v>0</v>
      </c>
      <c r="I510">
        <v>0</v>
      </c>
      <c r="J510">
        <v>19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229</v>
      </c>
      <c r="AA510">
        <v>0</v>
      </c>
      <c r="AB510">
        <v>0</v>
      </c>
      <c r="AC510">
        <v>0</v>
      </c>
      <c r="AD510">
        <v>0</v>
      </c>
      <c r="AE510">
        <v>229</v>
      </c>
      <c r="AF510">
        <v>448</v>
      </c>
      <c r="AG510">
        <v>8.5500000000000007</v>
      </c>
      <c r="AK510" t="str">
        <f t="shared" si="7"/>
        <v>WC022-6200</v>
      </c>
    </row>
    <row r="511" spans="1:37" ht="15">
      <c r="A511" t="s">
        <v>6263</v>
      </c>
      <c r="B511" t="s">
        <v>3421</v>
      </c>
      <c r="C511" t="s">
        <v>329</v>
      </c>
      <c r="D511" t="s">
        <v>4594</v>
      </c>
      <c r="E511">
        <v>50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108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108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J511">
        <v>5.8185000000000002</v>
      </c>
      <c r="AK511" t="str">
        <f t="shared" si="7"/>
        <v>WC059-6200</v>
      </c>
    </row>
    <row r="512" spans="1:37" ht="15">
      <c r="A512" t="s">
        <v>2932</v>
      </c>
      <c r="B512" t="s">
        <v>2933</v>
      </c>
      <c r="C512" t="s">
        <v>110</v>
      </c>
      <c r="D512" t="s">
        <v>2934</v>
      </c>
      <c r="E512">
        <v>50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311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311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J512">
        <v>5.8319999999999999</v>
      </c>
      <c r="AK512" t="str">
        <f t="shared" si="7"/>
        <v>WC291-5000</v>
      </c>
    </row>
    <row r="513" spans="1:37" ht="15">
      <c r="A513" t="s">
        <v>2938</v>
      </c>
      <c r="B513" t="s">
        <v>2939</v>
      </c>
      <c r="C513" t="s">
        <v>1076</v>
      </c>
      <c r="D513" t="s">
        <v>2940</v>
      </c>
      <c r="E513">
        <v>50</v>
      </c>
      <c r="F513">
        <v>0</v>
      </c>
      <c r="G513">
        <v>0</v>
      </c>
      <c r="H513">
        <v>0</v>
      </c>
      <c r="I513">
        <v>35</v>
      </c>
      <c r="J513">
        <v>38</v>
      </c>
      <c r="K513">
        <v>539</v>
      </c>
      <c r="L513">
        <v>212</v>
      </c>
      <c r="M513">
        <v>0</v>
      </c>
      <c r="N513">
        <v>0</v>
      </c>
      <c r="O513">
        <v>0</v>
      </c>
      <c r="P513">
        <v>0</v>
      </c>
      <c r="Q513">
        <v>539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210</v>
      </c>
      <c r="X513">
        <v>0</v>
      </c>
      <c r="Y513">
        <v>0</v>
      </c>
      <c r="Z513">
        <v>136</v>
      </c>
      <c r="AA513">
        <v>0</v>
      </c>
      <c r="AB513">
        <v>0</v>
      </c>
      <c r="AC513">
        <v>0</v>
      </c>
      <c r="AD513">
        <v>110</v>
      </c>
      <c r="AE513">
        <v>456</v>
      </c>
      <c r="AF513">
        <v>2140</v>
      </c>
      <c r="AG513" t="s">
        <v>4595</v>
      </c>
      <c r="AH513">
        <v>11</v>
      </c>
      <c r="AI513">
        <v>12</v>
      </c>
      <c r="AJ513">
        <v>6.6765999999999996</v>
      </c>
      <c r="AK513" t="str">
        <f t="shared" si="7"/>
        <v>WC341-5000</v>
      </c>
    </row>
    <row r="514" spans="1:37" ht="15">
      <c r="A514" t="s">
        <v>2941</v>
      </c>
      <c r="B514" t="s">
        <v>2942</v>
      </c>
      <c r="C514" t="s">
        <v>329</v>
      </c>
      <c r="D514" t="s">
        <v>2940</v>
      </c>
      <c r="E514">
        <v>50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702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702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7.1288</v>
      </c>
      <c r="AK514" t="str">
        <f t="shared" si="7"/>
        <v>WC341-6200</v>
      </c>
    </row>
    <row r="515" spans="1:37" ht="15">
      <c r="A515" t="s">
        <v>2946</v>
      </c>
      <c r="B515" t="s">
        <v>2947</v>
      </c>
      <c r="C515" t="s">
        <v>110</v>
      </c>
      <c r="D515" t="s">
        <v>388</v>
      </c>
      <c r="E515">
        <v>43</v>
      </c>
      <c r="F515">
        <v>0</v>
      </c>
      <c r="G515">
        <v>0</v>
      </c>
      <c r="H515">
        <v>0</v>
      </c>
      <c r="I515">
        <v>67</v>
      </c>
      <c r="J515">
        <v>34</v>
      </c>
      <c r="K515">
        <v>99</v>
      </c>
      <c r="L515">
        <v>24</v>
      </c>
      <c r="M515">
        <v>0</v>
      </c>
      <c r="N515">
        <v>0</v>
      </c>
      <c r="O515">
        <v>0</v>
      </c>
      <c r="P515">
        <v>0</v>
      </c>
      <c r="Q515">
        <v>99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53</v>
      </c>
      <c r="X515">
        <v>349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402</v>
      </c>
      <c r="AF515">
        <v>233</v>
      </c>
      <c r="AG515">
        <v>5.6741999999999999</v>
      </c>
      <c r="AK515" t="str">
        <f t="shared" si="7"/>
        <v>WE270-5000</v>
      </c>
    </row>
    <row r="516" spans="1:37" ht="15">
      <c r="A516" t="s">
        <v>2948</v>
      </c>
      <c r="B516" t="s">
        <v>2947</v>
      </c>
      <c r="C516" t="s">
        <v>1076</v>
      </c>
      <c r="D516" t="s">
        <v>388</v>
      </c>
      <c r="E516">
        <v>43</v>
      </c>
      <c r="F516">
        <v>0</v>
      </c>
      <c r="G516">
        <v>99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83</v>
      </c>
      <c r="O516">
        <v>0</v>
      </c>
      <c r="P516">
        <v>0</v>
      </c>
      <c r="Q516">
        <v>-83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 t="s">
        <v>7554</v>
      </c>
      <c r="AH516">
        <v>3</v>
      </c>
      <c r="AI516">
        <v>100</v>
      </c>
      <c r="AJ516">
        <v>0</v>
      </c>
      <c r="AK516" t="str">
        <f t="shared" si="7"/>
        <v>WE270-6200</v>
      </c>
    </row>
    <row r="517" spans="1:37" ht="15">
      <c r="A517" t="s">
        <v>2961</v>
      </c>
      <c r="B517" t="s">
        <v>2962</v>
      </c>
      <c r="C517" t="s">
        <v>1076</v>
      </c>
      <c r="D517" t="s">
        <v>2174</v>
      </c>
      <c r="E517">
        <v>48</v>
      </c>
      <c r="F517">
        <v>0.4</v>
      </c>
      <c r="G517">
        <v>0</v>
      </c>
      <c r="H517">
        <v>495</v>
      </c>
      <c r="I517">
        <v>577</v>
      </c>
      <c r="J517">
        <v>459</v>
      </c>
      <c r="K517">
        <v>725</v>
      </c>
      <c r="L517">
        <v>157</v>
      </c>
      <c r="M517">
        <v>0</v>
      </c>
      <c r="N517">
        <v>0</v>
      </c>
      <c r="O517">
        <v>0</v>
      </c>
      <c r="P517">
        <v>0</v>
      </c>
      <c r="Q517">
        <v>725</v>
      </c>
      <c r="R517">
        <v>0</v>
      </c>
      <c r="S517">
        <v>0</v>
      </c>
      <c r="T517">
        <v>0</v>
      </c>
      <c r="U517">
        <v>1486</v>
      </c>
      <c r="V517">
        <v>558</v>
      </c>
      <c r="W517">
        <v>1178</v>
      </c>
      <c r="X517">
        <v>242</v>
      </c>
      <c r="Y517">
        <v>570</v>
      </c>
      <c r="Z517">
        <v>801</v>
      </c>
      <c r="AA517">
        <v>0</v>
      </c>
      <c r="AB517">
        <v>0</v>
      </c>
      <c r="AC517">
        <v>393</v>
      </c>
      <c r="AD517">
        <v>276</v>
      </c>
      <c r="AE517">
        <v>5504</v>
      </c>
      <c r="AF517">
        <v>4646</v>
      </c>
      <c r="AG517" t="s">
        <v>4568</v>
      </c>
      <c r="AH517">
        <v>9</v>
      </c>
      <c r="AI517">
        <v>7</v>
      </c>
      <c r="AJ517">
        <v>7.5</v>
      </c>
      <c r="AK517" t="str">
        <f t="shared" ref="AK517:AK580" si="8">MID(A517,4,10)</f>
        <v>WF011-5000</v>
      </c>
    </row>
    <row r="518" spans="1:37" ht="15">
      <c r="A518" t="s">
        <v>2963</v>
      </c>
      <c r="B518" t="s">
        <v>2962</v>
      </c>
      <c r="C518" t="s">
        <v>1076</v>
      </c>
      <c r="D518" t="s">
        <v>2174</v>
      </c>
      <c r="E518">
        <v>48</v>
      </c>
      <c r="F518">
        <v>0.4</v>
      </c>
      <c r="G518">
        <v>0</v>
      </c>
      <c r="H518">
        <v>306</v>
      </c>
      <c r="I518">
        <v>253</v>
      </c>
      <c r="J518">
        <v>305</v>
      </c>
      <c r="K518">
        <v>478</v>
      </c>
      <c r="L518">
        <v>241</v>
      </c>
      <c r="M518">
        <v>0</v>
      </c>
      <c r="N518">
        <v>0</v>
      </c>
      <c r="O518">
        <v>0</v>
      </c>
      <c r="P518">
        <v>0</v>
      </c>
      <c r="Q518">
        <v>478</v>
      </c>
      <c r="R518">
        <v>0</v>
      </c>
      <c r="S518">
        <v>0</v>
      </c>
      <c r="T518">
        <v>478</v>
      </c>
      <c r="U518">
        <v>440</v>
      </c>
      <c r="V518">
        <v>320</v>
      </c>
      <c r="W518">
        <v>0</v>
      </c>
      <c r="X518">
        <v>280</v>
      </c>
      <c r="Y518">
        <v>1221</v>
      </c>
      <c r="Z518">
        <v>368</v>
      </c>
      <c r="AA518">
        <v>0</v>
      </c>
      <c r="AB518">
        <v>114</v>
      </c>
      <c r="AC518">
        <v>0</v>
      </c>
      <c r="AD518">
        <v>435</v>
      </c>
      <c r="AE518">
        <v>3656</v>
      </c>
      <c r="AF518">
        <v>1590</v>
      </c>
      <c r="AG518" t="s">
        <v>4596</v>
      </c>
      <c r="AH518">
        <v>4</v>
      </c>
      <c r="AI518">
        <v>19</v>
      </c>
      <c r="AJ518">
        <v>7.4741</v>
      </c>
      <c r="AK518" t="str">
        <f t="shared" si="8"/>
        <v>WF011-6200</v>
      </c>
    </row>
    <row r="519" spans="1:37" ht="15">
      <c r="A519" t="s">
        <v>6264</v>
      </c>
      <c r="B519" t="s">
        <v>4597</v>
      </c>
      <c r="C519" t="s">
        <v>110</v>
      </c>
      <c r="D519" t="s">
        <v>4598</v>
      </c>
      <c r="E519">
        <v>50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386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386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J519">
        <v>5.6178999999999997</v>
      </c>
      <c r="AK519" t="str">
        <f t="shared" si="8"/>
        <v>WF203-6200</v>
      </c>
    </row>
    <row r="520" spans="1:37" ht="15">
      <c r="A520" t="s">
        <v>2964</v>
      </c>
      <c r="B520" t="s">
        <v>2965</v>
      </c>
      <c r="C520" t="s">
        <v>1076</v>
      </c>
      <c r="E520">
        <v>43</v>
      </c>
      <c r="F520">
        <v>0</v>
      </c>
      <c r="G520">
        <v>0</v>
      </c>
      <c r="H520">
        <v>0</v>
      </c>
      <c r="I520">
        <v>119</v>
      </c>
      <c r="J520">
        <v>79</v>
      </c>
      <c r="K520">
        <v>480</v>
      </c>
      <c r="L520">
        <v>10</v>
      </c>
      <c r="M520">
        <v>0</v>
      </c>
      <c r="N520">
        <v>0</v>
      </c>
      <c r="O520">
        <v>0</v>
      </c>
      <c r="P520">
        <v>0</v>
      </c>
      <c r="Q520">
        <v>480</v>
      </c>
      <c r="R520">
        <v>0</v>
      </c>
      <c r="S520">
        <v>0</v>
      </c>
      <c r="T520">
        <v>0</v>
      </c>
      <c r="U520">
        <v>0</v>
      </c>
      <c r="V520">
        <v>194</v>
      </c>
      <c r="W520">
        <v>0</v>
      </c>
      <c r="X520">
        <v>521</v>
      </c>
      <c r="Y520">
        <v>110</v>
      </c>
      <c r="Z520">
        <v>0</v>
      </c>
      <c r="AA520">
        <v>0</v>
      </c>
      <c r="AB520">
        <v>0</v>
      </c>
      <c r="AC520">
        <v>124</v>
      </c>
      <c r="AD520">
        <v>0</v>
      </c>
      <c r="AE520">
        <v>949</v>
      </c>
      <c r="AF520">
        <v>277</v>
      </c>
      <c r="AG520" t="s">
        <v>4480</v>
      </c>
      <c r="AH520">
        <v>4</v>
      </c>
      <c r="AI520">
        <v>24</v>
      </c>
      <c r="AJ520">
        <v>7.1132999999999997</v>
      </c>
      <c r="AK520" t="str">
        <f t="shared" si="8"/>
        <v>WH005-5000</v>
      </c>
    </row>
    <row r="521" spans="1:37" ht="15">
      <c r="A521" t="s">
        <v>2966</v>
      </c>
      <c r="B521" t="s">
        <v>2965</v>
      </c>
      <c r="C521" t="s">
        <v>313</v>
      </c>
      <c r="E521">
        <v>43</v>
      </c>
      <c r="F521">
        <v>1</v>
      </c>
      <c r="G521">
        <v>0</v>
      </c>
      <c r="H521">
        <v>114</v>
      </c>
      <c r="I521">
        <v>178</v>
      </c>
      <c r="J521">
        <v>158</v>
      </c>
      <c r="K521">
        <v>468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468</v>
      </c>
      <c r="R521">
        <v>0</v>
      </c>
      <c r="S521">
        <v>0</v>
      </c>
      <c r="T521">
        <v>0</v>
      </c>
      <c r="U521">
        <v>343</v>
      </c>
      <c r="V521">
        <v>0</v>
      </c>
      <c r="W521">
        <v>0</v>
      </c>
      <c r="X521">
        <v>724</v>
      </c>
      <c r="Y521">
        <v>828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1895</v>
      </c>
      <c r="AF521">
        <v>527</v>
      </c>
      <c r="AG521">
        <v>7.7125000000000004</v>
      </c>
      <c r="AK521" t="str">
        <f t="shared" si="8"/>
        <v>WH005-6200</v>
      </c>
    </row>
    <row r="522" spans="1:37" ht="15">
      <c r="A522" t="s">
        <v>2967</v>
      </c>
      <c r="B522" t="s">
        <v>2968</v>
      </c>
      <c r="C522" t="s">
        <v>1076</v>
      </c>
      <c r="E522">
        <v>43</v>
      </c>
      <c r="F522">
        <v>-0.7</v>
      </c>
      <c r="G522">
        <v>1395</v>
      </c>
      <c r="H522">
        <v>403</v>
      </c>
      <c r="I522">
        <v>248</v>
      </c>
      <c r="J522">
        <v>231</v>
      </c>
      <c r="K522">
        <v>0</v>
      </c>
      <c r="L522">
        <v>35</v>
      </c>
      <c r="M522">
        <v>0</v>
      </c>
      <c r="N522">
        <v>1162</v>
      </c>
      <c r="O522">
        <v>0</v>
      </c>
      <c r="P522">
        <v>0</v>
      </c>
      <c r="Q522">
        <v>-1162</v>
      </c>
      <c r="R522">
        <v>0</v>
      </c>
      <c r="S522">
        <v>0</v>
      </c>
      <c r="T522">
        <v>1210</v>
      </c>
      <c r="U522">
        <v>0</v>
      </c>
      <c r="V522">
        <v>84</v>
      </c>
      <c r="W522">
        <v>0</v>
      </c>
      <c r="X522">
        <v>196</v>
      </c>
      <c r="Y522">
        <v>0</v>
      </c>
      <c r="Z522">
        <v>1282</v>
      </c>
      <c r="AA522">
        <v>0</v>
      </c>
      <c r="AB522">
        <v>0</v>
      </c>
      <c r="AC522">
        <v>0</v>
      </c>
      <c r="AD522">
        <v>0</v>
      </c>
      <c r="AE522">
        <v>2772</v>
      </c>
      <c r="AF522">
        <v>6164</v>
      </c>
      <c r="AG522" t="s">
        <v>7554</v>
      </c>
      <c r="AH522">
        <v>4</v>
      </c>
      <c r="AI522">
        <v>1887</v>
      </c>
      <c r="AJ522">
        <v>6.7125000000000004</v>
      </c>
      <c r="AK522" t="str">
        <f t="shared" si="8"/>
        <v>WH100-5000</v>
      </c>
    </row>
    <row r="523" spans="1:37" ht="15">
      <c r="A523" t="s">
        <v>2969</v>
      </c>
      <c r="B523" t="s">
        <v>2968</v>
      </c>
      <c r="C523" t="s">
        <v>1076</v>
      </c>
      <c r="E523">
        <v>43</v>
      </c>
      <c r="F523">
        <v>0.3</v>
      </c>
      <c r="G523">
        <v>461</v>
      </c>
      <c r="H523">
        <v>941</v>
      </c>
      <c r="I523">
        <v>732</v>
      </c>
      <c r="J523">
        <v>1234</v>
      </c>
      <c r="K523">
        <v>1693</v>
      </c>
      <c r="L523">
        <v>105</v>
      </c>
      <c r="M523">
        <v>0</v>
      </c>
      <c r="N523">
        <v>384</v>
      </c>
      <c r="O523">
        <v>0</v>
      </c>
      <c r="P523">
        <v>0</v>
      </c>
      <c r="Q523">
        <v>1309</v>
      </c>
      <c r="R523">
        <v>345</v>
      </c>
      <c r="S523">
        <v>2334</v>
      </c>
      <c r="T523">
        <v>0</v>
      </c>
      <c r="U523">
        <v>490</v>
      </c>
      <c r="V523">
        <v>0</v>
      </c>
      <c r="W523">
        <v>948</v>
      </c>
      <c r="X523">
        <v>620</v>
      </c>
      <c r="Y523">
        <v>5244</v>
      </c>
      <c r="Z523">
        <v>0</v>
      </c>
      <c r="AA523">
        <v>0</v>
      </c>
      <c r="AB523">
        <v>1957</v>
      </c>
      <c r="AC523">
        <v>1054</v>
      </c>
      <c r="AD523">
        <v>2159</v>
      </c>
      <c r="AE523">
        <v>14806</v>
      </c>
      <c r="AF523">
        <v>3945</v>
      </c>
      <c r="AG523" t="s">
        <v>4599</v>
      </c>
      <c r="AH523">
        <v>2</v>
      </c>
      <c r="AI523">
        <v>65</v>
      </c>
      <c r="AJ523">
        <v>6.7125000000000004</v>
      </c>
      <c r="AK523" t="str">
        <f t="shared" si="8"/>
        <v>WH100-6200</v>
      </c>
    </row>
    <row r="524" spans="1:37" ht="15">
      <c r="A524" t="s">
        <v>2969</v>
      </c>
      <c r="B524" t="s">
        <v>2968</v>
      </c>
      <c r="C524" t="s">
        <v>1076</v>
      </c>
      <c r="E524">
        <v>43</v>
      </c>
      <c r="AG524" t="s">
        <v>4489</v>
      </c>
      <c r="AH524">
        <v>9</v>
      </c>
      <c r="AI524">
        <v>219</v>
      </c>
      <c r="AK524" t="str">
        <f t="shared" si="8"/>
        <v>WH100-6200</v>
      </c>
    </row>
    <row r="525" spans="1:37" ht="15">
      <c r="A525" t="s">
        <v>2969</v>
      </c>
      <c r="B525" t="s">
        <v>2968</v>
      </c>
      <c r="C525" t="s">
        <v>1076</v>
      </c>
      <c r="E525">
        <v>43</v>
      </c>
      <c r="AG525" t="s">
        <v>4600</v>
      </c>
      <c r="AH525">
        <v>5</v>
      </c>
      <c r="AI525">
        <v>173</v>
      </c>
      <c r="AK525" t="str">
        <f t="shared" si="8"/>
        <v>WH100-6200</v>
      </c>
    </row>
    <row r="526" spans="1:37" ht="15">
      <c r="A526" t="s">
        <v>2969</v>
      </c>
      <c r="B526" t="s">
        <v>2968</v>
      </c>
      <c r="C526" t="s">
        <v>1076</v>
      </c>
      <c r="E526">
        <v>43</v>
      </c>
      <c r="AG526" t="s">
        <v>4593</v>
      </c>
      <c r="AH526">
        <v>8</v>
      </c>
      <c r="AI526">
        <v>158</v>
      </c>
      <c r="AK526" t="str">
        <f t="shared" si="8"/>
        <v>WH100-6200</v>
      </c>
    </row>
    <row r="527" spans="1:37" ht="15">
      <c r="A527" t="s">
        <v>2969</v>
      </c>
      <c r="B527" t="s">
        <v>2968</v>
      </c>
      <c r="C527" t="s">
        <v>1076</v>
      </c>
      <c r="E527">
        <v>43</v>
      </c>
      <c r="AG527" t="s">
        <v>4569</v>
      </c>
      <c r="AH527">
        <v>12</v>
      </c>
      <c r="AI527">
        <v>36</v>
      </c>
      <c r="AK527" t="str">
        <f t="shared" si="8"/>
        <v>WH100-6200</v>
      </c>
    </row>
    <row r="528" spans="1:37" ht="15">
      <c r="A528" t="s">
        <v>2972</v>
      </c>
      <c r="B528" t="s">
        <v>2971</v>
      </c>
      <c r="C528" t="s">
        <v>110</v>
      </c>
      <c r="E528">
        <v>50</v>
      </c>
      <c r="F528">
        <v>0</v>
      </c>
      <c r="G528">
        <v>0</v>
      </c>
      <c r="H528">
        <v>0</v>
      </c>
      <c r="I528">
        <v>35</v>
      </c>
      <c r="J528">
        <v>55</v>
      </c>
      <c r="K528">
        <v>882</v>
      </c>
      <c r="L528">
        <v>22</v>
      </c>
      <c r="M528">
        <v>0</v>
      </c>
      <c r="N528">
        <v>0</v>
      </c>
      <c r="O528">
        <v>0</v>
      </c>
      <c r="P528">
        <v>0</v>
      </c>
      <c r="Q528">
        <v>882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210</v>
      </c>
      <c r="X528">
        <v>0</v>
      </c>
      <c r="Y528">
        <v>157</v>
      </c>
      <c r="Z528">
        <v>292</v>
      </c>
      <c r="AA528">
        <v>0</v>
      </c>
      <c r="AB528">
        <v>0</v>
      </c>
      <c r="AC528">
        <v>0</v>
      </c>
      <c r="AD528">
        <v>0</v>
      </c>
      <c r="AE528">
        <v>659</v>
      </c>
      <c r="AF528">
        <v>1182</v>
      </c>
      <c r="AG528">
        <v>5.7481999999999998</v>
      </c>
      <c r="AK528" t="str">
        <f t="shared" si="8"/>
        <v>WK017-6200</v>
      </c>
    </row>
    <row r="529" spans="1:37" ht="15">
      <c r="A529" t="s">
        <v>2973</v>
      </c>
      <c r="B529" t="s">
        <v>2974</v>
      </c>
      <c r="C529" t="s">
        <v>313</v>
      </c>
      <c r="D529" t="s">
        <v>2975</v>
      </c>
      <c r="E529">
        <v>43</v>
      </c>
      <c r="F529">
        <v>0.2</v>
      </c>
      <c r="G529">
        <v>0</v>
      </c>
      <c r="H529">
        <v>71</v>
      </c>
      <c r="I529">
        <v>93</v>
      </c>
      <c r="J529">
        <v>67</v>
      </c>
      <c r="K529">
        <v>66</v>
      </c>
      <c r="L529">
        <v>84</v>
      </c>
      <c r="M529">
        <v>0</v>
      </c>
      <c r="N529">
        <v>0</v>
      </c>
      <c r="O529">
        <v>0</v>
      </c>
      <c r="P529">
        <v>0</v>
      </c>
      <c r="Q529">
        <v>66</v>
      </c>
      <c r="R529">
        <v>0</v>
      </c>
      <c r="S529">
        <v>0</v>
      </c>
      <c r="T529">
        <v>102</v>
      </c>
      <c r="U529">
        <v>112</v>
      </c>
      <c r="V529">
        <v>120</v>
      </c>
      <c r="W529">
        <v>222</v>
      </c>
      <c r="X529">
        <v>0</v>
      </c>
      <c r="Y529">
        <v>0</v>
      </c>
      <c r="Z529">
        <v>0</v>
      </c>
      <c r="AA529">
        <v>45</v>
      </c>
      <c r="AB529">
        <v>0</v>
      </c>
      <c r="AC529">
        <v>200</v>
      </c>
      <c r="AD529">
        <v>0</v>
      </c>
      <c r="AE529">
        <v>801</v>
      </c>
      <c r="AF529">
        <v>296</v>
      </c>
      <c r="AG529">
        <v>7.0869</v>
      </c>
      <c r="AK529" t="str">
        <f t="shared" si="8"/>
        <v>WK022-5000</v>
      </c>
    </row>
    <row r="530" spans="1:37" ht="15">
      <c r="A530" t="s">
        <v>2978</v>
      </c>
      <c r="B530" t="s">
        <v>2979</v>
      </c>
      <c r="C530" t="s">
        <v>313</v>
      </c>
      <c r="D530" t="s">
        <v>2975</v>
      </c>
      <c r="E530">
        <v>43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220</v>
      </c>
      <c r="L530">
        <v>30</v>
      </c>
      <c r="M530">
        <v>0</v>
      </c>
      <c r="N530">
        <v>0</v>
      </c>
      <c r="O530">
        <v>0</v>
      </c>
      <c r="P530">
        <v>0</v>
      </c>
      <c r="Q530">
        <v>220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107</v>
      </c>
      <c r="AG530">
        <v>7.5810000000000004</v>
      </c>
      <c r="AK530" t="str">
        <f t="shared" si="8"/>
        <v>WK023-5000</v>
      </c>
    </row>
    <row r="531" spans="1:37" ht="15">
      <c r="A531" t="s">
        <v>2981</v>
      </c>
      <c r="B531" t="s">
        <v>2982</v>
      </c>
      <c r="C531" t="s">
        <v>313</v>
      </c>
      <c r="D531" t="s">
        <v>2174</v>
      </c>
      <c r="E531">
        <v>43</v>
      </c>
      <c r="F531">
        <v>0</v>
      </c>
      <c r="G531">
        <v>0</v>
      </c>
      <c r="H531">
        <v>0</v>
      </c>
      <c r="I531">
        <v>127</v>
      </c>
      <c r="J531">
        <v>69</v>
      </c>
      <c r="K531">
        <v>913</v>
      </c>
      <c r="L531">
        <v>39</v>
      </c>
      <c r="M531">
        <v>0</v>
      </c>
      <c r="N531">
        <v>0</v>
      </c>
      <c r="O531">
        <v>0</v>
      </c>
      <c r="P531">
        <v>0</v>
      </c>
      <c r="Q531">
        <v>913</v>
      </c>
      <c r="R531">
        <v>0</v>
      </c>
      <c r="S531">
        <v>0</v>
      </c>
      <c r="T531">
        <v>0</v>
      </c>
      <c r="U531">
        <v>0</v>
      </c>
      <c r="V531">
        <v>275</v>
      </c>
      <c r="W531">
        <v>0</v>
      </c>
      <c r="X531">
        <v>488</v>
      </c>
      <c r="Y531">
        <v>0</v>
      </c>
      <c r="Z531">
        <v>67</v>
      </c>
      <c r="AA531">
        <v>0</v>
      </c>
      <c r="AB531">
        <v>0</v>
      </c>
      <c r="AC531">
        <v>0</v>
      </c>
      <c r="AD531">
        <v>0</v>
      </c>
      <c r="AE531">
        <v>830</v>
      </c>
      <c r="AF531">
        <v>457</v>
      </c>
      <c r="AG531">
        <v>6.1624999999999996</v>
      </c>
      <c r="AK531" t="str">
        <f t="shared" si="8"/>
        <v>WK024-5000</v>
      </c>
    </row>
    <row r="532" spans="1:37" ht="15">
      <c r="A532" t="s">
        <v>2983</v>
      </c>
      <c r="B532" t="s">
        <v>2982</v>
      </c>
      <c r="C532" t="s">
        <v>313</v>
      </c>
      <c r="D532" t="s">
        <v>2174</v>
      </c>
      <c r="E532">
        <v>43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161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161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225</v>
      </c>
      <c r="AG532">
        <v>7.0755999999999997</v>
      </c>
      <c r="AK532" t="str">
        <f t="shared" si="8"/>
        <v>WK024-6200</v>
      </c>
    </row>
    <row r="533" spans="1:37" ht="15">
      <c r="A533" t="s">
        <v>2989</v>
      </c>
      <c r="B533" t="s">
        <v>2988</v>
      </c>
      <c r="C533" t="s">
        <v>110</v>
      </c>
      <c r="D533" t="s">
        <v>2174</v>
      </c>
      <c r="E533">
        <v>50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60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60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5.98</v>
      </c>
      <c r="AK533" t="str">
        <f t="shared" si="8"/>
        <v>WK027-6200</v>
      </c>
    </row>
    <row r="534" spans="1:37" ht="15">
      <c r="A534" t="s">
        <v>3004</v>
      </c>
      <c r="B534" t="s">
        <v>3005</v>
      </c>
      <c r="C534" t="s">
        <v>1076</v>
      </c>
      <c r="E534">
        <v>43</v>
      </c>
      <c r="F534">
        <v>0</v>
      </c>
      <c r="G534">
        <v>3568</v>
      </c>
      <c r="H534">
        <v>0</v>
      </c>
      <c r="I534">
        <v>60</v>
      </c>
      <c r="J534">
        <v>30</v>
      </c>
      <c r="K534">
        <v>2791</v>
      </c>
      <c r="L534">
        <v>143</v>
      </c>
      <c r="M534">
        <v>0</v>
      </c>
      <c r="N534">
        <v>2974</v>
      </c>
      <c r="O534">
        <v>0</v>
      </c>
      <c r="P534">
        <v>0</v>
      </c>
      <c r="Q534">
        <v>-183</v>
      </c>
      <c r="R534">
        <v>120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361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361</v>
      </c>
      <c r="AF534">
        <v>795</v>
      </c>
      <c r="AG534" t="s">
        <v>4601</v>
      </c>
      <c r="AH534">
        <v>5</v>
      </c>
      <c r="AI534">
        <v>20</v>
      </c>
      <c r="AJ534">
        <v>5.0374999999999996</v>
      </c>
      <c r="AK534" t="str">
        <f t="shared" si="8"/>
        <v>WM047-5000</v>
      </c>
    </row>
    <row r="535" spans="1:37" ht="15">
      <c r="A535" t="s">
        <v>3004</v>
      </c>
      <c r="B535" t="s">
        <v>3005</v>
      </c>
      <c r="C535" t="s">
        <v>1076</v>
      </c>
      <c r="E535">
        <v>43</v>
      </c>
      <c r="AG535" t="s">
        <v>7554</v>
      </c>
      <c r="AH535">
        <v>9</v>
      </c>
      <c r="AI535">
        <v>758</v>
      </c>
      <c r="AK535" t="str">
        <f t="shared" si="8"/>
        <v>WM047-5000</v>
      </c>
    </row>
    <row r="536" spans="1:37" ht="15">
      <c r="A536" t="s">
        <v>3006</v>
      </c>
      <c r="B536" t="s">
        <v>3007</v>
      </c>
      <c r="C536" t="s">
        <v>1076</v>
      </c>
      <c r="E536">
        <v>43</v>
      </c>
      <c r="F536">
        <v>3.6</v>
      </c>
      <c r="G536">
        <v>0</v>
      </c>
      <c r="H536">
        <v>74</v>
      </c>
      <c r="I536">
        <v>73</v>
      </c>
      <c r="J536">
        <v>86</v>
      </c>
      <c r="K536">
        <v>1057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1057</v>
      </c>
      <c r="R536">
        <v>0</v>
      </c>
      <c r="S536">
        <v>0</v>
      </c>
      <c r="T536">
        <v>0</v>
      </c>
      <c r="U536">
        <v>222</v>
      </c>
      <c r="V536">
        <v>0</v>
      </c>
      <c r="W536">
        <v>215</v>
      </c>
      <c r="X536">
        <v>0</v>
      </c>
      <c r="Y536">
        <v>0</v>
      </c>
      <c r="Z536">
        <v>336</v>
      </c>
      <c r="AA536">
        <v>1</v>
      </c>
      <c r="AB536">
        <v>260</v>
      </c>
      <c r="AC536">
        <v>0</v>
      </c>
      <c r="AD536">
        <v>0</v>
      </c>
      <c r="AE536">
        <v>1034</v>
      </c>
      <c r="AF536">
        <v>1272</v>
      </c>
      <c r="AG536" t="s">
        <v>4602</v>
      </c>
      <c r="AH536">
        <v>6</v>
      </c>
      <c r="AI536">
        <v>32</v>
      </c>
      <c r="AJ536">
        <v>5.0374999999999996</v>
      </c>
      <c r="AK536" t="str">
        <f t="shared" si="8"/>
        <v>WM047-6200</v>
      </c>
    </row>
    <row r="537" spans="1:37" ht="15">
      <c r="A537" t="s">
        <v>3006</v>
      </c>
      <c r="B537" t="s">
        <v>3007</v>
      </c>
      <c r="C537" t="s">
        <v>1076</v>
      </c>
      <c r="E537">
        <v>43</v>
      </c>
      <c r="AG537" t="s">
        <v>4603</v>
      </c>
      <c r="AH537">
        <v>5</v>
      </c>
      <c r="AI537">
        <v>13</v>
      </c>
      <c r="AK537" t="str">
        <f t="shared" si="8"/>
        <v>WM047-6200</v>
      </c>
    </row>
    <row r="538" spans="1:37" ht="15">
      <c r="A538" t="s">
        <v>6265</v>
      </c>
      <c r="B538" t="s">
        <v>3429</v>
      </c>
      <c r="C538" t="s">
        <v>329</v>
      </c>
      <c r="D538" t="s">
        <v>4604</v>
      </c>
      <c r="E538">
        <v>55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58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58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J538">
        <v>5.4625000000000004</v>
      </c>
      <c r="AK538" t="str">
        <f t="shared" si="8"/>
        <v>WM127-5000</v>
      </c>
    </row>
    <row r="539" spans="1:37" ht="15">
      <c r="A539" t="s">
        <v>3021</v>
      </c>
      <c r="B539" t="s">
        <v>3022</v>
      </c>
      <c r="C539" t="s">
        <v>275</v>
      </c>
      <c r="D539" t="s">
        <v>3023</v>
      </c>
      <c r="E539">
        <v>50</v>
      </c>
      <c r="F539">
        <v>1.4</v>
      </c>
      <c r="G539">
        <v>0</v>
      </c>
      <c r="H539">
        <v>37</v>
      </c>
      <c r="I539">
        <v>19</v>
      </c>
      <c r="J539">
        <v>127</v>
      </c>
      <c r="K539">
        <v>204</v>
      </c>
      <c r="L539">
        <v>187</v>
      </c>
      <c r="M539">
        <v>0</v>
      </c>
      <c r="N539">
        <v>0</v>
      </c>
      <c r="O539">
        <v>0</v>
      </c>
      <c r="P539">
        <v>0</v>
      </c>
      <c r="Q539">
        <v>204</v>
      </c>
      <c r="R539">
        <v>124</v>
      </c>
      <c r="S539">
        <v>0</v>
      </c>
      <c r="T539">
        <v>112</v>
      </c>
      <c r="U539">
        <v>0</v>
      </c>
      <c r="V539">
        <v>0</v>
      </c>
      <c r="W539">
        <v>0</v>
      </c>
      <c r="X539">
        <v>0</v>
      </c>
      <c r="Y539">
        <v>113</v>
      </c>
      <c r="Z539">
        <v>410</v>
      </c>
      <c r="AA539">
        <v>356</v>
      </c>
      <c r="AB539">
        <v>300</v>
      </c>
      <c r="AC539">
        <v>228</v>
      </c>
      <c r="AD539">
        <v>0</v>
      </c>
      <c r="AE539">
        <v>1519</v>
      </c>
      <c r="AF539">
        <v>1703</v>
      </c>
      <c r="AG539">
        <v>6.3929999999999998</v>
      </c>
      <c r="AK539" t="str">
        <f t="shared" si="8"/>
        <v>WM717-5000</v>
      </c>
    </row>
    <row r="540" spans="1:37" ht="15">
      <c r="A540" t="s">
        <v>3024</v>
      </c>
      <c r="B540" t="s">
        <v>3025</v>
      </c>
      <c r="C540" t="s">
        <v>275</v>
      </c>
      <c r="D540" t="s">
        <v>3026</v>
      </c>
      <c r="E540">
        <v>50</v>
      </c>
      <c r="F540">
        <v>0.6</v>
      </c>
      <c r="G540">
        <v>0</v>
      </c>
      <c r="H540">
        <v>170</v>
      </c>
      <c r="I540">
        <v>207</v>
      </c>
      <c r="J540">
        <v>301</v>
      </c>
      <c r="K540">
        <v>396</v>
      </c>
      <c r="L540">
        <v>230</v>
      </c>
      <c r="M540">
        <v>0</v>
      </c>
      <c r="N540">
        <v>0</v>
      </c>
      <c r="O540">
        <v>0</v>
      </c>
      <c r="P540">
        <v>0</v>
      </c>
      <c r="Q540">
        <v>396</v>
      </c>
      <c r="R540">
        <v>192</v>
      </c>
      <c r="S540">
        <v>0</v>
      </c>
      <c r="T540">
        <v>334</v>
      </c>
      <c r="U540">
        <v>175</v>
      </c>
      <c r="V540">
        <v>500</v>
      </c>
      <c r="W540">
        <v>233</v>
      </c>
      <c r="X540">
        <v>0</v>
      </c>
      <c r="Y540">
        <v>280</v>
      </c>
      <c r="Z540">
        <v>245</v>
      </c>
      <c r="AA540">
        <v>1212</v>
      </c>
      <c r="AB540">
        <v>0</v>
      </c>
      <c r="AC540">
        <v>627</v>
      </c>
      <c r="AD540">
        <v>0</v>
      </c>
      <c r="AE540">
        <v>3606</v>
      </c>
      <c r="AF540">
        <v>3164</v>
      </c>
      <c r="AG540">
        <v>5.2619999999999996</v>
      </c>
      <c r="AK540" t="str">
        <f t="shared" si="8"/>
        <v>WM717-6200</v>
      </c>
    </row>
    <row r="541" spans="1:37" ht="15">
      <c r="A541" t="s">
        <v>3052</v>
      </c>
      <c r="B541" t="s">
        <v>3053</v>
      </c>
      <c r="C541" t="s">
        <v>318</v>
      </c>
      <c r="D541" t="s">
        <v>3054</v>
      </c>
      <c r="E541">
        <v>50</v>
      </c>
      <c r="F541">
        <v>0.1</v>
      </c>
      <c r="G541">
        <v>146</v>
      </c>
      <c r="H541">
        <v>274</v>
      </c>
      <c r="I541">
        <v>247</v>
      </c>
      <c r="J541">
        <v>232</v>
      </c>
      <c r="K541">
        <v>268</v>
      </c>
      <c r="L541">
        <v>176</v>
      </c>
      <c r="M541">
        <v>0</v>
      </c>
      <c r="N541">
        <v>122</v>
      </c>
      <c r="O541">
        <v>0</v>
      </c>
      <c r="P541">
        <v>0</v>
      </c>
      <c r="Q541">
        <v>146</v>
      </c>
      <c r="R541">
        <v>0</v>
      </c>
      <c r="S541">
        <v>232</v>
      </c>
      <c r="T541">
        <v>245</v>
      </c>
      <c r="U541">
        <v>345</v>
      </c>
      <c r="V541">
        <v>159</v>
      </c>
      <c r="W541">
        <v>0</v>
      </c>
      <c r="X541">
        <v>500</v>
      </c>
      <c r="Y541">
        <v>706</v>
      </c>
      <c r="Z541">
        <v>0</v>
      </c>
      <c r="AA541">
        <v>0</v>
      </c>
      <c r="AB541">
        <v>420</v>
      </c>
      <c r="AC541">
        <v>0</v>
      </c>
      <c r="AD541">
        <v>180</v>
      </c>
      <c r="AE541">
        <v>2787</v>
      </c>
      <c r="AF541">
        <v>1580</v>
      </c>
      <c r="AG541">
        <v>6.782</v>
      </c>
      <c r="AK541" t="str">
        <f t="shared" si="8"/>
        <v>WM840-5000</v>
      </c>
    </row>
    <row r="542" spans="1:37" ht="15">
      <c r="A542" t="s">
        <v>3055</v>
      </c>
      <c r="B542" t="s">
        <v>3056</v>
      </c>
      <c r="C542" t="s">
        <v>318</v>
      </c>
      <c r="D542" t="s">
        <v>3054</v>
      </c>
      <c r="E542">
        <v>50</v>
      </c>
      <c r="F542">
        <v>0.1</v>
      </c>
      <c r="G542">
        <v>1904</v>
      </c>
      <c r="H542">
        <v>1811</v>
      </c>
      <c r="I542">
        <v>1622</v>
      </c>
      <c r="J542">
        <v>1582</v>
      </c>
      <c r="K542">
        <v>2344</v>
      </c>
      <c r="L542">
        <v>626</v>
      </c>
      <c r="M542">
        <v>0</v>
      </c>
      <c r="N542">
        <v>1587</v>
      </c>
      <c r="O542">
        <v>0</v>
      </c>
      <c r="P542">
        <v>0</v>
      </c>
      <c r="Q542">
        <v>757</v>
      </c>
      <c r="R542">
        <v>0</v>
      </c>
      <c r="S542">
        <v>1656</v>
      </c>
      <c r="T542">
        <v>1932</v>
      </c>
      <c r="U542">
        <v>1844</v>
      </c>
      <c r="V542">
        <v>1729</v>
      </c>
      <c r="W542">
        <v>929</v>
      </c>
      <c r="X542">
        <v>1640</v>
      </c>
      <c r="Y542">
        <v>1311</v>
      </c>
      <c r="Z542">
        <v>1614</v>
      </c>
      <c r="AA542">
        <v>1406</v>
      </c>
      <c r="AB542">
        <v>1856</v>
      </c>
      <c r="AC542">
        <v>1351</v>
      </c>
      <c r="AD542">
        <v>1714</v>
      </c>
      <c r="AE542">
        <v>18982</v>
      </c>
      <c r="AF542">
        <v>16421</v>
      </c>
      <c r="AG542">
        <v>7.0846999999999998</v>
      </c>
      <c r="AK542" t="str">
        <f t="shared" si="8"/>
        <v>WM840-6200</v>
      </c>
    </row>
    <row r="543" spans="1:37" ht="15">
      <c r="A543" t="s">
        <v>3063</v>
      </c>
      <c r="B543" t="s">
        <v>3064</v>
      </c>
      <c r="C543" t="s">
        <v>318</v>
      </c>
      <c r="D543" t="s">
        <v>3065</v>
      </c>
      <c r="E543">
        <v>50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502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502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7.1798999999999999</v>
      </c>
      <c r="AK543" t="str">
        <f t="shared" si="8"/>
        <v>WM850-5000</v>
      </c>
    </row>
    <row r="544" spans="1:37" ht="15">
      <c r="A544" t="s">
        <v>3081</v>
      </c>
      <c r="B544" t="s">
        <v>3082</v>
      </c>
      <c r="C544" t="s">
        <v>329</v>
      </c>
      <c r="D544" t="s">
        <v>3083</v>
      </c>
      <c r="E544">
        <v>50</v>
      </c>
      <c r="F544">
        <v>0</v>
      </c>
      <c r="G544">
        <v>0</v>
      </c>
      <c r="H544">
        <v>0</v>
      </c>
      <c r="I544">
        <v>61</v>
      </c>
      <c r="J544">
        <v>332</v>
      </c>
      <c r="K544">
        <v>458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458</v>
      </c>
      <c r="R544">
        <v>0</v>
      </c>
      <c r="S544">
        <v>0</v>
      </c>
      <c r="T544">
        <v>0</v>
      </c>
      <c r="U544">
        <v>0</v>
      </c>
      <c r="V544">
        <v>172</v>
      </c>
      <c r="W544">
        <v>0</v>
      </c>
      <c r="X544">
        <v>192</v>
      </c>
      <c r="Y544">
        <v>1506</v>
      </c>
      <c r="Z544">
        <v>813</v>
      </c>
      <c r="AA544">
        <v>0</v>
      </c>
      <c r="AB544">
        <v>0</v>
      </c>
      <c r="AC544">
        <v>1301</v>
      </c>
      <c r="AD544">
        <v>0</v>
      </c>
      <c r="AE544">
        <v>3984</v>
      </c>
      <c r="AF544">
        <v>1350</v>
      </c>
      <c r="AG544">
        <v>6.1878000000000002</v>
      </c>
      <c r="AK544" t="str">
        <f t="shared" si="8"/>
        <v>WO040-5000</v>
      </c>
    </row>
    <row r="545" spans="1:37" ht="15">
      <c r="A545" t="s">
        <v>3084</v>
      </c>
      <c r="B545" t="s">
        <v>3085</v>
      </c>
      <c r="C545" t="s">
        <v>329</v>
      </c>
      <c r="D545" t="s">
        <v>3086</v>
      </c>
      <c r="E545">
        <v>50</v>
      </c>
      <c r="F545">
        <v>0</v>
      </c>
      <c r="G545">
        <v>0</v>
      </c>
      <c r="H545">
        <v>0</v>
      </c>
      <c r="I545">
        <v>29</v>
      </c>
      <c r="J545">
        <v>19</v>
      </c>
      <c r="K545">
        <v>638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638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176</v>
      </c>
      <c r="Y545">
        <v>50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226</v>
      </c>
      <c r="AF545">
        <v>481</v>
      </c>
      <c r="AG545">
        <v>6.2717000000000001</v>
      </c>
      <c r="AK545" t="str">
        <f t="shared" si="8"/>
        <v>WO040-6200</v>
      </c>
    </row>
    <row r="546" spans="1:37" ht="15">
      <c r="A546" t="s">
        <v>3090</v>
      </c>
      <c r="B546" t="s">
        <v>3088</v>
      </c>
      <c r="C546" t="s">
        <v>338</v>
      </c>
      <c r="D546" t="s">
        <v>3089</v>
      </c>
      <c r="E546">
        <v>43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160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160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J546">
        <v>3.8410000000000002</v>
      </c>
      <c r="AK546" t="str">
        <f t="shared" si="8"/>
        <v>WO140-6200</v>
      </c>
    </row>
    <row r="547" spans="1:37" ht="15">
      <c r="A547" t="s">
        <v>3091</v>
      </c>
      <c r="B547" t="s">
        <v>3092</v>
      </c>
      <c r="C547" t="s">
        <v>1027</v>
      </c>
      <c r="E547">
        <v>43</v>
      </c>
      <c r="F547">
        <v>0</v>
      </c>
      <c r="G547">
        <v>0</v>
      </c>
      <c r="H547">
        <v>51</v>
      </c>
      <c r="I547">
        <v>75</v>
      </c>
      <c r="J547">
        <v>119</v>
      </c>
      <c r="K547">
        <v>0</v>
      </c>
      <c r="L547">
        <v>86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154</v>
      </c>
      <c r="U547">
        <v>0</v>
      </c>
      <c r="V547">
        <v>258</v>
      </c>
      <c r="W547">
        <v>38</v>
      </c>
      <c r="X547">
        <v>0</v>
      </c>
      <c r="Y547">
        <v>693</v>
      </c>
      <c r="Z547">
        <v>0</v>
      </c>
      <c r="AA547">
        <v>0</v>
      </c>
      <c r="AB547">
        <v>69</v>
      </c>
      <c r="AC547">
        <v>211</v>
      </c>
      <c r="AD547">
        <v>0</v>
      </c>
      <c r="AE547">
        <v>1423</v>
      </c>
      <c r="AF547">
        <v>703</v>
      </c>
      <c r="AG547">
        <v>6.55</v>
      </c>
      <c r="AK547" t="str">
        <f t="shared" si="8"/>
        <v>WO710-5000</v>
      </c>
    </row>
    <row r="548" spans="1:37" ht="15">
      <c r="A548" t="s">
        <v>3093</v>
      </c>
      <c r="B548" t="s">
        <v>3092</v>
      </c>
      <c r="C548" t="s">
        <v>1076</v>
      </c>
      <c r="E548">
        <v>43</v>
      </c>
      <c r="F548">
        <v>0.4</v>
      </c>
      <c r="G548">
        <v>0</v>
      </c>
      <c r="H548">
        <v>118</v>
      </c>
      <c r="I548">
        <v>132</v>
      </c>
      <c r="J548">
        <v>100</v>
      </c>
      <c r="K548">
        <v>208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208</v>
      </c>
      <c r="R548">
        <v>0</v>
      </c>
      <c r="S548">
        <v>0</v>
      </c>
      <c r="T548">
        <v>0</v>
      </c>
      <c r="U548">
        <v>354</v>
      </c>
      <c r="V548">
        <v>0</v>
      </c>
      <c r="W548">
        <v>435</v>
      </c>
      <c r="X548">
        <v>0</v>
      </c>
      <c r="Y548">
        <v>0</v>
      </c>
      <c r="Z548">
        <v>409</v>
      </c>
      <c r="AA548">
        <v>0</v>
      </c>
      <c r="AB548">
        <v>0</v>
      </c>
      <c r="AC548">
        <v>0</v>
      </c>
      <c r="AD548">
        <v>0</v>
      </c>
      <c r="AE548">
        <v>1198</v>
      </c>
      <c r="AF548">
        <v>2419</v>
      </c>
      <c r="AG548" t="s">
        <v>4605</v>
      </c>
      <c r="AH548">
        <v>10</v>
      </c>
      <c r="AI548">
        <v>284</v>
      </c>
      <c r="AJ548">
        <v>6.55</v>
      </c>
      <c r="AK548" t="str">
        <f t="shared" si="8"/>
        <v>WO710-6200</v>
      </c>
    </row>
    <row r="549" spans="1:37" ht="15">
      <c r="A549" t="s">
        <v>3096</v>
      </c>
      <c r="B549" t="s">
        <v>3095</v>
      </c>
      <c r="C549" t="s">
        <v>329</v>
      </c>
      <c r="E549">
        <v>50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145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145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269</v>
      </c>
      <c r="AG549">
        <v>6.5259</v>
      </c>
      <c r="AK549" t="str">
        <f t="shared" si="8"/>
        <v>WP300-6200</v>
      </c>
    </row>
    <row r="550" spans="1:37" ht="15">
      <c r="A550" t="s">
        <v>3123</v>
      </c>
      <c r="B550" t="s">
        <v>3124</v>
      </c>
      <c r="C550" t="s">
        <v>110</v>
      </c>
      <c r="D550" t="s">
        <v>3125</v>
      </c>
      <c r="E550">
        <v>50</v>
      </c>
      <c r="F550">
        <v>0.5</v>
      </c>
      <c r="G550">
        <v>411</v>
      </c>
      <c r="H550">
        <v>472</v>
      </c>
      <c r="I550">
        <v>590</v>
      </c>
      <c r="J550">
        <v>495</v>
      </c>
      <c r="K550">
        <v>1321</v>
      </c>
      <c r="L550">
        <v>374</v>
      </c>
      <c r="M550">
        <v>0</v>
      </c>
      <c r="N550">
        <v>342</v>
      </c>
      <c r="O550">
        <v>0</v>
      </c>
      <c r="P550">
        <v>0</v>
      </c>
      <c r="Q550">
        <v>979</v>
      </c>
      <c r="R550">
        <v>0</v>
      </c>
      <c r="S550">
        <v>628</v>
      </c>
      <c r="T550">
        <v>575</v>
      </c>
      <c r="U550">
        <v>212</v>
      </c>
      <c r="V550">
        <v>703</v>
      </c>
      <c r="W550">
        <v>721</v>
      </c>
      <c r="X550">
        <v>699</v>
      </c>
      <c r="Y550">
        <v>503</v>
      </c>
      <c r="Z550">
        <v>619</v>
      </c>
      <c r="AA550">
        <v>804</v>
      </c>
      <c r="AB550">
        <v>175</v>
      </c>
      <c r="AC550">
        <v>301</v>
      </c>
      <c r="AD550">
        <v>0</v>
      </c>
      <c r="AE550">
        <v>5940</v>
      </c>
      <c r="AF550">
        <v>7710</v>
      </c>
      <c r="AG550">
        <v>5.9446000000000003</v>
      </c>
      <c r="AK550" t="str">
        <f t="shared" si="8"/>
        <v>WT770-6200</v>
      </c>
    </row>
    <row r="551" spans="1:37" ht="15">
      <c r="A551" t="s">
        <v>3126</v>
      </c>
      <c r="B551" t="s">
        <v>3127</v>
      </c>
      <c r="C551" t="s">
        <v>1027</v>
      </c>
      <c r="E551">
        <v>43</v>
      </c>
      <c r="F551">
        <v>0</v>
      </c>
      <c r="G551">
        <v>0</v>
      </c>
      <c r="H551">
        <v>0</v>
      </c>
      <c r="I551">
        <v>15</v>
      </c>
      <c r="J551">
        <v>8</v>
      </c>
      <c r="K551">
        <v>109</v>
      </c>
      <c r="L551">
        <v>53</v>
      </c>
      <c r="M551">
        <v>0</v>
      </c>
      <c r="N551">
        <v>0</v>
      </c>
      <c r="O551">
        <v>0</v>
      </c>
      <c r="P551">
        <v>0</v>
      </c>
      <c r="Q551">
        <v>109</v>
      </c>
      <c r="R551">
        <v>0</v>
      </c>
      <c r="S551">
        <v>0</v>
      </c>
      <c r="T551">
        <v>0</v>
      </c>
      <c r="U551">
        <v>0</v>
      </c>
      <c r="V551">
        <v>90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90</v>
      </c>
      <c r="AF551">
        <v>147</v>
      </c>
      <c r="AG551">
        <v>7.0033000000000003</v>
      </c>
      <c r="AK551" t="str">
        <f t="shared" si="8"/>
        <v>WU001-5000</v>
      </c>
    </row>
    <row r="552" spans="1:37" ht="15">
      <c r="A552" t="s">
        <v>3128</v>
      </c>
      <c r="B552" t="s">
        <v>3127</v>
      </c>
      <c r="C552" t="s">
        <v>1027</v>
      </c>
      <c r="E552">
        <v>43</v>
      </c>
      <c r="F552">
        <v>0.5</v>
      </c>
      <c r="G552">
        <v>242</v>
      </c>
      <c r="H552">
        <v>264</v>
      </c>
      <c r="I552">
        <v>252</v>
      </c>
      <c r="J552">
        <v>156</v>
      </c>
      <c r="K552">
        <v>730</v>
      </c>
      <c r="L552">
        <v>228</v>
      </c>
      <c r="M552">
        <v>0</v>
      </c>
      <c r="N552">
        <v>202</v>
      </c>
      <c r="O552">
        <v>0</v>
      </c>
      <c r="P552">
        <v>0</v>
      </c>
      <c r="Q552">
        <v>528</v>
      </c>
      <c r="R552">
        <v>0</v>
      </c>
      <c r="S552">
        <v>0</v>
      </c>
      <c r="T552">
        <v>791</v>
      </c>
      <c r="U552">
        <v>0</v>
      </c>
      <c r="V552">
        <v>377</v>
      </c>
      <c r="W552">
        <v>346</v>
      </c>
      <c r="X552">
        <v>0</v>
      </c>
      <c r="Y552">
        <v>208</v>
      </c>
      <c r="Z552">
        <v>150</v>
      </c>
      <c r="AA552">
        <v>0</v>
      </c>
      <c r="AB552">
        <v>0</v>
      </c>
      <c r="AC552">
        <v>0</v>
      </c>
      <c r="AD552">
        <v>0</v>
      </c>
      <c r="AE552">
        <v>1872</v>
      </c>
      <c r="AF552">
        <v>1003</v>
      </c>
      <c r="AG552">
        <v>7.0374999999999996</v>
      </c>
      <c r="AK552" t="str">
        <f t="shared" si="8"/>
        <v>WU001-6200</v>
      </c>
    </row>
    <row r="553" spans="1:37" ht="15">
      <c r="A553" t="s">
        <v>3131</v>
      </c>
      <c r="B553" t="s">
        <v>3130</v>
      </c>
      <c r="C553" t="s">
        <v>313</v>
      </c>
      <c r="E553">
        <v>43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376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376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271</v>
      </c>
      <c r="AG553">
        <v>7.5810000000000004</v>
      </c>
      <c r="AK553" t="str">
        <f t="shared" si="8"/>
        <v>WU003-6200</v>
      </c>
    </row>
    <row r="554" spans="1:37" ht="15">
      <c r="A554" t="s">
        <v>3134</v>
      </c>
      <c r="B554" t="s">
        <v>3133</v>
      </c>
      <c r="C554" t="s">
        <v>313</v>
      </c>
      <c r="E554">
        <v>43</v>
      </c>
      <c r="F554">
        <v>0</v>
      </c>
      <c r="G554">
        <v>0</v>
      </c>
      <c r="H554">
        <v>104</v>
      </c>
      <c r="I554">
        <v>52</v>
      </c>
      <c r="J554">
        <v>59</v>
      </c>
      <c r="K554">
        <v>0</v>
      </c>
      <c r="L554">
        <v>79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311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401</v>
      </c>
      <c r="AC554">
        <v>0</v>
      </c>
      <c r="AD554">
        <v>0</v>
      </c>
      <c r="AE554">
        <v>712</v>
      </c>
      <c r="AF554">
        <v>0</v>
      </c>
      <c r="AG554">
        <v>7.1250999999999998</v>
      </c>
      <c r="AK554" t="str">
        <f t="shared" si="8"/>
        <v>WU006-6200</v>
      </c>
    </row>
    <row r="555" spans="1:37" ht="15">
      <c r="A555" t="s">
        <v>3138</v>
      </c>
      <c r="B555" t="s">
        <v>3139</v>
      </c>
      <c r="C555" t="s">
        <v>1027</v>
      </c>
      <c r="E555">
        <v>43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143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143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J555">
        <v>3.3925000000000001</v>
      </c>
      <c r="AK555" t="str">
        <f t="shared" si="8"/>
        <v>WW090-5000</v>
      </c>
    </row>
    <row r="556" spans="1:37" ht="15">
      <c r="A556" t="s">
        <v>3141</v>
      </c>
      <c r="B556" t="s">
        <v>3142</v>
      </c>
      <c r="C556" t="s">
        <v>338</v>
      </c>
      <c r="E556">
        <v>43</v>
      </c>
      <c r="F556">
        <v>0</v>
      </c>
      <c r="G556">
        <v>0</v>
      </c>
      <c r="H556">
        <v>111</v>
      </c>
      <c r="I556">
        <v>176</v>
      </c>
      <c r="J556">
        <v>104</v>
      </c>
      <c r="K556">
        <v>0</v>
      </c>
      <c r="L556">
        <v>52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240</v>
      </c>
      <c r="U556">
        <v>94</v>
      </c>
      <c r="V556">
        <v>140</v>
      </c>
      <c r="W556">
        <v>0</v>
      </c>
      <c r="X556">
        <v>584</v>
      </c>
      <c r="Y556">
        <v>0</v>
      </c>
      <c r="Z556">
        <v>0</v>
      </c>
      <c r="AA556">
        <v>132</v>
      </c>
      <c r="AB556">
        <v>0</v>
      </c>
      <c r="AC556">
        <v>55</v>
      </c>
      <c r="AD556">
        <v>0</v>
      </c>
      <c r="AE556">
        <v>1245</v>
      </c>
      <c r="AF556">
        <v>817</v>
      </c>
      <c r="AG556">
        <v>7.75</v>
      </c>
      <c r="AK556" t="str">
        <f t="shared" si="8"/>
        <v>WW310-5000</v>
      </c>
    </row>
    <row r="557" spans="1:37" ht="15">
      <c r="A557" t="s">
        <v>3143</v>
      </c>
      <c r="B557" t="s">
        <v>3142</v>
      </c>
      <c r="C557" t="s">
        <v>338</v>
      </c>
      <c r="E557">
        <v>43</v>
      </c>
      <c r="F557">
        <v>0.3</v>
      </c>
      <c r="G557">
        <v>0</v>
      </c>
      <c r="H557">
        <v>220</v>
      </c>
      <c r="I557">
        <v>143</v>
      </c>
      <c r="J557">
        <v>226</v>
      </c>
      <c r="K557">
        <v>300</v>
      </c>
      <c r="L557">
        <v>226</v>
      </c>
      <c r="M557">
        <v>0</v>
      </c>
      <c r="N557">
        <v>0</v>
      </c>
      <c r="O557">
        <v>0</v>
      </c>
      <c r="P557">
        <v>0</v>
      </c>
      <c r="Q557">
        <v>300</v>
      </c>
      <c r="R557">
        <v>0</v>
      </c>
      <c r="S557">
        <v>0</v>
      </c>
      <c r="T557">
        <v>450</v>
      </c>
      <c r="U557">
        <v>210</v>
      </c>
      <c r="V557">
        <v>196</v>
      </c>
      <c r="W557">
        <v>0</v>
      </c>
      <c r="X557">
        <v>0</v>
      </c>
      <c r="Y557">
        <v>756</v>
      </c>
      <c r="Z557">
        <v>94</v>
      </c>
      <c r="AA557">
        <v>327</v>
      </c>
      <c r="AB557">
        <v>0</v>
      </c>
      <c r="AC557">
        <v>561</v>
      </c>
      <c r="AD557">
        <v>120</v>
      </c>
      <c r="AE557">
        <v>2714</v>
      </c>
      <c r="AF557">
        <v>666</v>
      </c>
      <c r="AG557">
        <v>7.7625000000000002</v>
      </c>
      <c r="AK557" t="str">
        <f t="shared" si="8"/>
        <v>WW310-6200</v>
      </c>
    </row>
    <row r="558" spans="1:37" ht="15">
      <c r="A558" t="s">
        <v>3147</v>
      </c>
      <c r="B558" t="s">
        <v>3148</v>
      </c>
      <c r="C558" t="s">
        <v>1076</v>
      </c>
      <c r="E558">
        <v>43</v>
      </c>
      <c r="F558">
        <v>0</v>
      </c>
      <c r="G558">
        <v>0</v>
      </c>
      <c r="H558">
        <v>0</v>
      </c>
      <c r="I558">
        <v>63</v>
      </c>
      <c r="J558">
        <v>31</v>
      </c>
      <c r="K558">
        <v>340</v>
      </c>
      <c r="L558">
        <v>36</v>
      </c>
      <c r="M558">
        <v>0</v>
      </c>
      <c r="N558">
        <v>0</v>
      </c>
      <c r="O558">
        <v>0</v>
      </c>
      <c r="P558">
        <v>0</v>
      </c>
      <c r="Q558">
        <v>340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375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375</v>
      </c>
      <c r="AF558">
        <v>996</v>
      </c>
      <c r="AG558" t="s">
        <v>4499</v>
      </c>
      <c r="AH558">
        <v>8</v>
      </c>
      <c r="AI558">
        <v>2</v>
      </c>
      <c r="AJ558">
        <v>7.05</v>
      </c>
      <c r="AK558" t="str">
        <f t="shared" si="8"/>
        <v>WW440-5000</v>
      </c>
    </row>
    <row r="559" spans="1:37" ht="15">
      <c r="A559" t="s">
        <v>3149</v>
      </c>
      <c r="B559" t="s">
        <v>3148</v>
      </c>
      <c r="C559" t="s">
        <v>1027</v>
      </c>
      <c r="E559">
        <v>43</v>
      </c>
      <c r="F559">
        <v>0</v>
      </c>
      <c r="G559">
        <v>0</v>
      </c>
      <c r="H559">
        <v>0</v>
      </c>
      <c r="I559">
        <v>34</v>
      </c>
      <c r="J559">
        <v>17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202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202</v>
      </c>
      <c r="AF559">
        <v>0</v>
      </c>
      <c r="AG559">
        <v>7.05</v>
      </c>
      <c r="AK559" t="str">
        <f t="shared" si="8"/>
        <v>WW440-6200</v>
      </c>
    </row>
    <row r="560" spans="1:37" ht="15">
      <c r="A560" t="s">
        <v>3150</v>
      </c>
      <c r="B560" t="s">
        <v>3151</v>
      </c>
      <c r="C560" t="s">
        <v>1027</v>
      </c>
      <c r="E560">
        <v>40</v>
      </c>
      <c r="F560">
        <v>0</v>
      </c>
      <c r="G560">
        <v>0</v>
      </c>
      <c r="H560">
        <v>0</v>
      </c>
      <c r="I560">
        <v>0</v>
      </c>
      <c r="J560">
        <v>26</v>
      </c>
      <c r="K560">
        <v>1218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1218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76</v>
      </c>
      <c r="AA560">
        <v>0</v>
      </c>
      <c r="AB560">
        <v>0</v>
      </c>
      <c r="AC560">
        <v>237</v>
      </c>
      <c r="AD560">
        <v>0</v>
      </c>
      <c r="AE560">
        <v>313</v>
      </c>
      <c r="AF560">
        <v>462</v>
      </c>
      <c r="AJ560">
        <v>5.4283000000000001</v>
      </c>
      <c r="AK560" t="str">
        <f t="shared" si="8"/>
        <v>WW780-5000</v>
      </c>
    </row>
    <row r="561" spans="1:37" ht="15">
      <c r="A561" t="s">
        <v>3152</v>
      </c>
      <c r="B561" t="s">
        <v>3151</v>
      </c>
      <c r="C561" t="s">
        <v>1027</v>
      </c>
      <c r="E561">
        <v>40</v>
      </c>
      <c r="F561">
        <v>0</v>
      </c>
      <c r="G561">
        <v>0</v>
      </c>
      <c r="H561">
        <v>340</v>
      </c>
      <c r="I561">
        <v>259</v>
      </c>
      <c r="J561">
        <v>365</v>
      </c>
      <c r="K561">
        <v>0</v>
      </c>
      <c r="L561">
        <v>157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322</v>
      </c>
      <c r="T561">
        <v>300</v>
      </c>
      <c r="U561">
        <v>398</v>
      </c>
      <c r="V561">
        <v>366</v>
      </c>
      <c r="W561">
        <v>0</v>
      </c>
      <c r="X561">
        <v>170</v>
      </c>
      <c r="Y561">
        <v>881</v>
      </c>
      <c r="Z561">
        <v>0</v>
      </c>
      <c r="AA561">
        <v>977</v>
      </c>
      <c r="AB561">
        <v>170</v>
      </c>
      <c r="AC561">
        <v>328</v>
      </c>
      <c r="AD561">
        <v>464</v>
      </c>
      <c r="AE561">
        <v>4376</v>
      </c>
      <c r="AF561">
        <v>2180</v>
      </c>
      <c r="AG561">
        <v>6.75</v>
      </c>
      <c r="AK561" t="str">
        <f t="shared" si="8"/>
        <v>WW780-6200</v>
      </c>
    </row>
    <row r="562" spans="1:37" ht="15">
      <c r="A562" t="s">
        <v>3153</v>
      </c>
      <c r="B562" t="s">
        <v>3154</v>
      </c>
      <c r="C562" t="s">
        <v>1076</v>
      </c>
      <c r="E562">
        <v>40</v>
      </c>
      <c r="F562">
        <v>0</v>
      </c>
      <c r="G562">
        <v>0</v>
      </c>
      <c r="H562">
        <v>47</v>
      </c>
      <c r="I562">
        <v>160</v>
      </c>
      <c r="J562">
        <v>196</v>
      </c>
      <c r="K562">
        <v>0</v>
      </c>
      <c r="L562">
        <v>17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142</v>
      </c>
      <c r="U562">
        <v>0</v>
      </c>
      <c r="V562">
        <v>96</v>
      </c>
      <c r="W562">
        <v>288</v>
      </c>
      <c r="X562">
        <v>436</v>
      </c>
      <c r="Y562">
        <v>0</v>
      </c>
      <c r="Z562">
        <v>531</v>
      </c>
      <c r="AA562">
        <v>216</v>
      </c>
      <c r="AB562">
        <v>460</v>
      </c>
      <c r="AC562">
        <v>181</v>
      </c>
      <c r="AD562">
        <v>0</v>
      </c>
      <c r="AE562">
        <v>2350</v>
      </c>
      <c r="AF562">
        <v>1872</v>
      </c>
      <c r="AG562" t="s">
        <v>4606</v>
      </c>
      <c r="AH562">
        <v>3</v>
      </c>
      <c r="AI562">
        <v>6</v>
      </c>
      <c r="AJ562">
        <v>5.9749999999999996</v>
      </c>
      <c r="AK562" t="str">
        <f t="shared" si="8"/>
        <v>WW900-5000</v>
      </c>
    </row>
    <row r="563" spans="1:37" ht="15">
      <c r="A563" t="s">
        <v>3155</v>
      </c>
      <c r="B563" t="s">
        <v>3154</v>
      </c>
      <c r="C563" t="s">
        <v>1027</v>
      </c>
      <c r="E563">
        <v>40</v>
      </c>
      <c r="F563">
        <v>0.2</v>
      </c>
      <c r="G563">
        <v>0</v>
      </c>
      <c r="H563">
        <v>397</v>
      </c>
      <c r="I563">
        <v>591</v>
      </c>
      <c r="J563">
        <v>599</v>
      </c>
      <c r="K563">
        <v>242</v>
      </c>
      <c r="L563">
        <v>88</v>
      </c>
      <c r="M563">
        <v>0</v>
      </c>
      <c r="N563">
        <v>0</v>
      </c>
      <c r="O563">
        <v>0</v>
      </c>
      <c r="P563">
        <v>0</v>
      </c>
      <c r="Q563">
        <v>242</v>
      </c>
      <c r="R563">
        <v>0</v>
      </c>
      <c r="S563">
        <v>686</v>
      </c>
      <c r="T563">
        <v>90</v>
      </c>
      <c r="U563">
        <v>414</v>
      </c>
      <c r="V563">
        <v>486</v>
      </c>
      <c r="W563">
        <v>648</v>
      </c>
      <c r="X563">
        <v>1220</v>
      </c>
      <c r="Y563">
        <v>1044</v>
      </c>
      <c r="Z563">
        <v>274</v>
      </c>
      <c r="AA563">
        <v>963</v>
      </c>
      <c r="AB563">
        <v>558</v>
      </c>
      <c r="AC563">
        <v>367</v>
      </c>
      <c r="AD563">
        <v>436</v>
      </c>
      <c r="AE563">
        <v>7186</v>
      </c>
      <c r="AF563">
        <v>2920</v>
      </c>
      <c r="AG563">
        <v>5.9749999999999996</v>
      </c>
      <c r="AK563" t="str">
        <f t="shared" si="8"/>
        <v>WW900-6200</v>
      </c>
    </row>
    <row r="564" spans="1:37" ht="15">
      <c r="A564" t="s">
        <v>3156</v>
      </c>
      <c r="B564" t="s">
        <v>3157</v>
      </c>
      <c r="C564" t="s">
        <v>313</v>
      </c>
      <c r="D564" t="s">
        <v>2022</v>
      </c>
      <c r="E564">
        <v>43</v>
      </c>
      <c r="F564">
        <v>0</v>
      </c>
      <c r="G564">
        <v>0</v>
      </c>
      <c r="H564">
        <v>0</v>
      </c>
      <c r="I564">
        <v>0</v>
      </c>
      <c r="J564">
        <v>62</v>
      </c>
      <c r="K564">
        <v>400</v>
      </c>
      <c r="L564">
        <v>60</v>
      </c>
      <c r="M564">
        <v>0</v>
      </c>
      <c r="N564">
        <v>0</v>
      </c>
      <c r="O564">
        <v>0</v>
      </c>
      <c r="P564">
        <v>0</v>
      </c>
      <c r="Q564">
        <v>400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58</v>
      </c>
      <c r="Z564">
        <v>682</v>
      </c>
      <c r="AA564">
        <v>0</v>
      </c>
      <c r="AB564">
        <v>0</v>
      </c>
      <c r="AC564">
        <v>0</v>
      </c>
      <c r="AD564">
        <v>0</v>
      </c>
      <c r="AE564">
        <v>740</v>
      </c>
      <c r="AF564">
        <v>0</v>
      </c>
      <c r="AG564">
        <v>7.7125000000000004</v>
      </c>
      <c r="AK564" t="str">
        <f t="shared" si="8"/>
        <v>WW960-5000</v>
      </c>
    </row>
    <row r="565" spans="1:37" ht="15">
      <c r="A565" t="s">
        <v>3158</v>
      </c>
      <c r="B565" t="s">
        <v>3157</v>
      </c>
      <c r="C565" t="s">
        <v>313</v>
      </c>
      <c r="D565" t="s">
        <v>2022</v>
      </c>
      <c r="E565">
        <v>43</v>
      </c>
      <c r="F565">
        <v>4.5</v>
      </c>
      <c r="G565">
        <v>0</v>
      </c>
      <c r="H565">
        <v>37</v>
      </c>
      <c r="I565">
        <v>19</v>
      </c>
      <c r="J565">
        <v>9</v>
      </c>
      <c r="K565">
        <v>664</v>
      </c>
      <c r="L565">
        <v>73</v>
      </c>
      <c r="M565">
        <v>0</v>
      </c>
      <c r="N565">
        <v>0</v>
      </c>
      <c r="O565">
        <v>0</v>
      </c>
      <c r="P565">
        <v>0</v>
      </c>
      <c r="Q565">
        <v>664</v>
      </c>
      <c r="R565">
        <v>0</v>
      </c>
      <c r="S565">
        <v>0</v>
      </c>
      <c r="T565">
        <v>111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111</v>
      </c>
      <c r="AF565">
        <v>663</v>
      </c>
      <c r="AG565">
        <v>7.5810000000000004</v>
      </c>
      <c r="AK565" t="str">
        <f t="shared" si="8"/>
        <v>WW960-6200</v>
      </c>
    </row>
    <row r="566" spans="1:37" ht="15">
      <c r="A566" t="s">
        <v>3159</v>
      </c>
      <c r="B566" t="s">
        <v>3160</v>
      </c>
      <c r="C566" t="s">
        <v>1076</v>
      </c>
      <c r="D566" t="s">
        <v>2975</v>
      </c>
      <c r="E566">
        <v>48</v>
      </c>
      <c r="F566">
        <v>0</v>
      </c>
      <c r="G566">
        <v>0</v>
      </c>
      <c r="H566">
        <v>67</v>
      </c>
      <c r="I566">
        <v>33</v>
      </c>
      <c r="J566">
        <v>41</v>
      </c>
      <c r="K566">
        <v>0</v>
      </c>
      <c r="L566">
        <v>26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200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292</v>
      </c>
      <c r="AD566">
        <v>0</v>
      </c>
      <c r="AE566">
        <v>492</v>
      </c>
      <c r="AF566">
        <v>415</v>
      </c>
      <c r="AG566" t="s">
        <v>6428</v>
      </c>
      <c r="AH566">
        <v>4</v>
      </c>
      <c r="AI566">
        <v>122</v>
      </c>
      <c r="AJ566">
        <v>8.7249999999999996</v>
      </c>
      <c r="AK566" t="str">
        <f t="shared" si="8"/>
        <v>WX075-5000</v>
      </c>
    </row>
    <row r="567" spans="1:37" ht="15">
      <c r="A567" t="s">
        <v>3161</v>
      </c>
      <c r="B567" t="s">
        <v>3160</v>
      </c>
      <c r="C567" t="s">
        <v>267</v>
      </c>
      <c r="D567" t="s">
        <v>2975</v>
      </c>
      <c r="E567">
        <v>48</v>
      </c>
      <c r="F567">
        <v>0</v>
      </c>
      <c r="G567">
        <v>0</v>
      </c>
      <c r="H567">
        <v>59</v>
      </c>
      <c r="I567">
        <v>29</v>
      </c>
      <c r="J567">
        <v>15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176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176</v>
      </c>
      <c r="AF567">
        <v>162</v>
      </c>
      <c r="AG567">
        <v>8.0465</v>
      </c>
      <c r="AK567" t="str">
        <f t="shared" si="8"/>
        <v>WX075-6200</v>
      </c>
    </row>
    <row r="568" spans="1:37" ht="15">
      <c r="A568" t="s">
        <v>3162</v>
      </c>
      <c r="B568" t="s">
        <v>3163</v>
      </c>
      <c r="C568" t="s">
        <v>110</v>
      </c>
      <c r="E568">
        <v>50</v>
      </c>
      <c r="F568">
        <v>2</v>
      </c>
      <c r="G568">
        <v>0</v>
      </c>
      <c r="H568">
        <v>247</v>
      </c>
      <c r="I568">
        <v>491</v>
      </c>
      <c r="J568">
        <v>418</v>
      </c>
      <c r="K568">
        <v>1978</v>
      </c>
      <c r="L568">
        <v>124</v>
      </c>
      <c r="M568">
        <v>0</v>
      </c>
      <c r="N568">
        <v>0</v>
      </c>
      <c r="O568">
        <v>0</v>
      </c>
      <c r="P568">
        <v>0</v>
      </c>
      <c r="Q568">
        <v>1978</v>
      </c>
      <c r="R568">
        <v>0</v>
      </c>
      <c r="S568">
        <v>355</v>
      </c>
      <c r="T568">
        <v>74</v>
      </c>
      <c r="U568">
        <v>312</v>
      </c>
      <c r="V568">
        <v>434</v>
      </c>
      <c r="W568">
        <v>548</v>
      </c>
      <c r="X568">
        <v>1225</v>
      </c>
      <c r="Y568">
        <v>126</v>
      </c>
      <c r="Z568">
        <v>0</v>
      </c>
      <c r="AA568">
        <v>270</v>
      </c>
      <c r="AB568">
        <v>686</v>
      </c>
      <c r="AC568">
        <v>431</v>
      </c>
      <c r="AD568">
        <v>550</v>
      </c>
      <c r="AE568">
        <v>5011</v>
      </c>
      <c r="AF568">
        <v>5560</v>
      </c>
      <c r="AG568">
        <v>4.9675000000000002</v>
      </c>
      <c r="AK568" t="str">
        <f t="shared" si="8"/>
        <v>WX115-5000</v>
      </c>
    </row>
    <row r="569" spans="1:37" ht="15">
      <c r="A569" t="s">
        <v>3164</v>
      </c>
      <c r="B569" t="s">
        <v>3163</v>
      </c>
      <c r="C569" t="s">
        <v>110</v>
      </c>
      <c r="E569">
        <v>50</v>
      </c>
      <c r="F569">
        <v>0.2</v>
      </c>
      <c r="G569">
        <v>653</v>
      </c>
      <c r="H569">
        <v>3182</v>
      </c>
      <c r="I569">
        <v>3235</v>
      </c>
      <c r="J569">
        <v>3103</v>
      </c>
      <c r="K569">
        <v>2780</v>
      </c>
      <c r="L569">
        <v>1824</v>
      </c>
      <c r="M569">
        <v>0</v>
      </c>
      <c r="N569">
        <v>544</v>
      </c>
      <c r="O569">
        <v>0</v>
      </c>
      <c r="P569">
        <v>0</v>
      </c>
      <c r="Q569">
        <v>2236</v>
      </c>
      <c r="R569">
        <v>546</v>
      </c>
      <c r="S569">
        <v>2984</v>
      </c>
      <c r="T569">
        <v>2459</v>
      </c>
      <c r="U569">
        <v>4102</v>
      </c>
      <c r="V569">
        <v>3966</v>
      </c>
      <c r="W569">
        <v>3382</v>
      </c>
      <c r="X569">
        <v>2516</v>
      </c>
      <c r="Y569">
        <v>3095</v>
      </c>
      <c r="Z569">
        <v>3278</v>
      </c>
      <c r="AA569">
        <v>3457</v>
      </c>
      <c r="AB569">
        <v>3800</v>
      </c>
      <c r="AC569">
        <v>2381</v>
      </c>
      <c r="AD569">
        <v>1819</v>
      </c>
      <c r="AE569">
        <v>37239</v>
      </c>
      <c r="AF569">
        <v>31030</v>
      </c>
      <c r="AG569">
        <v>4.9675000000000002</v>
      </c>
      <c r="AK569" t="str">
        <f t="shared" si="8"/>
        <v>WX115-6200</v>
      </c>
    </row>
    <row r="570" spans="1:37" ht="15">
      <c r="A570" t="s">
        <v>3165</v>
      </c>
      <c r="B570" t="s">
        <v>3166</v>
      </c>
      <c r="C570" t="s">
        <v>267</v>
      </c>
      <c r="E570">
        <v>50</v>
      </c>
      <c r="F570">
        <v>0</v>
      </c>
      <c r="G570">
        <v>0</v>
      </c>
      <c r="H570">
        <v>0</v>
      </c>
      <c r="I570">
        <v>23</v>
      </c>
      <c r="J570">
        <v>92</v>
      </c>
      <c r="K570">
        <v>272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272</v>
      </c>
      <c r="R570">
        <v>0</v>
      </c>
      <c r="S570">
        <v>0</v>
      </c>
      <c r="T570">
        <v>0</v>
      </c>
      <c r="U570">
        <v>0</v>
      </c>
      <c r="V570">
        <v>140</v>
      </c>
      <c r="W570">
        <v>0</v>
      </c>
      <c r="X570">
        <v>0</v>
      </c>
      <c r="Y570">
        <v>330</v>
      </c>
      <c r="Z570">
        <v>383</v>
      </c>
      <c r="AA570">
        <v>0</v>
      </c>
      <c r="AB570">
        <v>256</v>
      </c>
      <c r="AC570">
        <v>0</v>
      </c>
      <c r="AD570">
        <v>0</v>
      </c>
      <c r="AE570">
        <v>1109</v>
      </c>
      <c r="AF570">
        <v>1612</v>
      </c>
      <c r="AG570">
        <v>7.5250000000000004</v>
      </c>
      <c r="AK570" t="str">
        <f t="shared" si="8"/>
        <v>WX460-5000</v>
      </c>
    </row>
    <row r="571" spans="1:37" ht="15">
      <c r="A571" t="s">
        <v>3168</v>
      </c>
      <c r="B571" t="s">
        <v>3169</v>
      </c>
      <c r="C571" t="s">
        <v>267</v>
      </c>
      <c r="E571">
        <v>50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233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233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J571">
        <v>4.1399999999999997</v>
      </c>
      <c r="AK571" t="str">
        <f t="shared" si="8"/>
        <v>WX850-5000</v>
      </c>
    </row>
    <row r="572" spans="1:37" ht="15">
      <c r="A572" t="s">
        <v>3177</v>
      </c>
      <c r="B572" t="s">
        <v>3178</v>
      </c>
      <c r="C572" t="s">
        <v>318</v>
      </c>
      <c r="D572" t="s">
        <v>3176</v>
      </c>
      <c r="E572">
        <v>50</v>
      </c>
      <c r="F572">
        <v>0</v>
      </c>
      <c r="G572">
        <v>0</v>
      </c>
      <c r="H572">
        <v>0</v>
      </c>
      <c r="I572">
        <v>0</v>
      </c>
      <c r="J572">
        <v>55</v>
      </c>
      <c r="K572">
        <v>799</v>
      </c>
      <c r="L572">
        <v>76</v>
      </c>
      <c r="M572">
        <v>0</v>
      </c>
      <c r="N572">
        <v>0</v>
      </c>
      <c r="O572">
        <v>0</v>
      </c>
      <c r="P572">
        <v>0</v>
      </c>
      <c r="Q572">
        <v>799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658</v>
      </c>
      <c r="AA572">
        <v>0</v>
      </c>
      <c r="AB572">
        <v>0</v>
      </c>
      <c r="AC572">
        <v>0</v>
      </c>
      <c r="AD572">
        <v>0</v>
      </c>
      <c r="AE572">
        <v>658</v>
      </c>
      <c r="AF572">
        <v>632</v>
      </c>
      <c r="AG572">
        <v>9.1624999999999996</v>
      </c>
      <c r="AK572" t="str">
        <f t="shared" si="8"/>
        <v>WZ001-6200</v>
      </c>
    </row>
    <row r="573" spans="1:37" ht="15">
      <c r="A573" t="s">
        <v>3188</v>
      </c>
      <c r="B573" t="s">
        <v>3189</v>
      </c>
      <c r="C573" t="s">
        <v>329</v>
      </c>
      <c r="D573" t="s">
        <v>3190</v>
      </c>
      <c r="E573">
        <v>50</v>
      </c>
      <c r="F573">
        <v>0</v>
      </c>
      <c r="G573">
        <v>0</v>
      </c>
      <c r="H573">
        <v>37</v>
      </c>
      <c r="I573">
        <v>19</v>
      </c>
      <c r="J573">
        <v>9</v>
      </c>
      <c r="K573">
        <v>0</v>
      </c>
      <c r="L573">
        <v>55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111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111</v>
      </c>
      <c r="AF573">
        <v>1813</v>
      </c>
      <c r="AG573">
        <v>5.2401999999999997</v>
      </c>
      <c r="AK573" t="str">
        <f t="shared" si="8"/>
        <v>WZ005-5000</v>
      </c>
    </row>
    <row r="574" spans="1:37" ht="15">
      <c r="A574" t="s">
        <v>3191</v>
      </c>
      <c r="B574" t="s">
        <v>3189</v>
      </c>
      <c r="C574" t="s">
        <v>1076</v>
      </c>
      <c r="D574" t="s">
        <v>3192</v>
      </c>
      <c r="E574">
        <v>50</v>
      </c>
      <c r="F574">
        <v>0</v>
      </c>
      <c r="G574">
        <v>0</v>
      </c>
      <c r="H574">
        <v>0</v>
      </c>
      <c r="I574">
        <v>0</v>
      </c>
      <c r="J574">
        <v>15</v>
      </c>
      <c r="K574">
        <v>340</v>
      </c>
      <c r="L574">
        <v>54</v>
      </c>
      <c r="M574">
        <v>0</v>
      </c>
      <c r="N574">
        <v>0</v>
      </c>
      <c r="O574">
        <v>0</v>
      </c>
      <c r="P574">
        <v>0</v>
      </c>
      <c r="Q574">
        <v>340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180</v>
      </c>
      <c r="AB574">
        <v>0</v>
      </c>
      <c r="AC574">
        <v>0</v>
      </c>
      <c r="AD574">
        <v>0</v>
      </c>
      <c r="AE574">
        <v>180</v>
      </c>
      <c r="AF574">
        <v>2590</v>
      </c>
      <c r="AG574" t="s">
        <v>4607</v>
      </c>
      <c r="AH574">
        <v>8</v>
      </c>
      <c r="AI574">
        <v>33</v>
      </c>
      <c r="AJ574">
        <v>5.2401999999999997</v>
      </c>
      <c r="AK574" t="str">
        <f t="shared" si="8"/>
        <v>WZ005-6200</v>
      </c>
    </row>
    <row r="575" spans="1:37" ht="15">
      <c r="A575" t="s">
        <v>3191</v>
      </c>
      <c r="B575" t="s">
        <v>3189</v>
      </c>
      <c r="C575" t="s">
        <v>1076</v>
      </c>
      <c r="D575" t="s">
        <v>3192</v>
      </c>
      <c r="E575">
        <v>50</v>
      </c>
      <c r="AG575" t="s">
        <v>4603</v>
      </c>
      <c r="AH575">
        <v>7</v>
      </c>
      <c r="AI575">
        <v>3</v>
      </c>
      <c r="AK575" t="str">
        <f t="shared" si="8"/>
        <v>WZ005-6200</v>
      </c>
    </row>
    <row r="576" spans="1:37" ht="15">
      <c r="A576" t="s">
        <v>3195</v>
      </c>
      <c r="B576" t="s">
        <v>3194</v>
      </c>
      <c r="C576" t="s">
        <v>313</v>
      </c>
      <c r="E576">
        <v>50</v>
      </c>
      <c r="F576">
        <v>1</v>
      </c>
      <c r="G576">
        <v>0</v>
      </c>
      <c r="H576">
        <v>372</v>
      </c>
      <c r="I576">
        <v>186</v>
      </c>
      <c r="J576">
        <v>217</v>
      </c>
      <c r="K576">
        <v>1454</v>
      </c>
      <c r="L576">
        <v>277</v>
      </c>
      <c r="M576">
        <v>0</v>
      </c>
      <c r="N576">
        <v>0</v>
      </c>
      <c r="O576">
        <v>0</v>
      </c>
      <c r="P576">
        <v>0</v>
      </c>
      <c r="Q576">
        <v>1454</v>
      </c>
      <c r="R576">
        <v>0</v>
      </c>
      <c r="S576">
        <v>897</v>
      </c>
      <c r="T576">
        <v>218</v>
      </c>
      <c r="U576">
        <v>0</v>
      </c>
      <c r="V576">
        <v>0</v>
      </c>
      <c r="W576">
        <v>0</v>
      </c>
      <c r="X576">
        <v>0</v>
      </c>
      <c r="Y576">
        <v>721</v>
      </c>
      <c r="Z576">
        <v>506</v>
      </c>
      <c r="AA576">
        <v>0</v>
      </c>
      <c r="AB576">
        <v>0</v>
      </c>
      <c r="AC576">
        <v>257</v>
      </c>
      <c r="AD576">
        <v>0</v>
      </c>
      <c r="AE576">
        <v>2599</v>
      </c>
      <c r="AF576">
        <v>1171</v>
      </c>
      <c r="AG576">
        <v>7.4028999999999998</v>
      </c>
      <c r="AK576" t="str">
        <f t="shared" si="8"/>
        <v>WZ008-6200</v>
      </c>
    </row>
    <row r="577" spans="1:37" ht="15">
      <c r="A577" t="s">
        <v>3212</v>
      </c>
      <c r="B577" t="s">
        <v>3210</v>
      </c>
      <c r="C577" t="s">
        <v>329</v>
      </c>
      <c r="D577" t="s">
        <v>3213</v>
      </c>
      <c r="E577">
        <v>50</v>
      </c>
      <c r="F577">
        <v>1.3</v>
      </c>
      <c r="G577">
        <v>0</v>
      </c>
      <c r="H577">
        <v>104</v>
      </c>
      <c r="I577">
        <v>52</v>
      </c>
      <c r="J577">
        <v>133</v>
      </c>
      <c r="K577">
        <v>527</v>
      </c>
      <c r="L577">
        <v>127</v>
      </c>
      <c r="M577">
        <v>0</v>
      </c>
      <c r="N577">
        <v>0</v>
      </c>
      <c r="O577">
        <v>0</v>
      </c>
      <c r="P577">
        <v>0</v>
      </c>
      <c r="Q577">
        <v>527</v>
      </c>
      <c r="R577">
        <v>0</v>
      </c>
      <c r="S577">
        <v>0</v>
      </c>
      <c r="T577">
        <v>0</v>
      </c>
      <c r="U577">
        <v>312</v>
      </c>
      <c r="V577">
        <v>0</v>
      </c>
      <c r="W577">
        <v>0</v>
      </c>
      <c r="X577">
        <v>0</v>
      </c>
      <c r="Y577">
        <v>183</v>
      </c>
      <c r="Z577">
        <v>643</v>
      </c>
      <c r="AA577">
        <v>0</v>
      </c>
      <c r="AB577">
        <v>264</v>
      </c>
      <c r="AC577">
        <v>192</v>
      </c>
      <c r="AD577">
        <v>0</v>
      </c>
      <c r="AE577">
        <v>1594</v>
      </c>
      <c r="AF577">
        <v>1928</v>
      </c>
      <c r="AG577">
        <v>7.5945999999999998</v>
      </c>
      <c r="AK577" t="str">
        <f t="shared" si="8"/>
        <v>WZ037-6200</v>
      </c>
    </row>
    <row r="578" spans="1:37" ht="15">
      <c r="A578" t="s">
        <v>3218</v>
      </c>
      <c r="B578" t="s">
        <v>3219</v>
      </c>
      <c r="C578" t="s">
        <v>329</v>
      </c>
      <c r="D578" t="s">
        <v>2174</v>
      </c>
      <c r="E578">
        <v>50</v>
      </c>
      <c r="F578">
        <v>0.7</v>
      </c>
      <c r="G578">
        <v>0</v>
      </c>
      <c r="H578">
        <v>175</v>
      </c>
      <c r="I578">
        <v>88</v>
      </c>
      <c r="J578">
        <v>44</v>
      </c>
      <c r="K578">
        <v>508</v>
      </c>
      <c r="L578">
        <v>136</v>
      </c>
      <c r="M578">
        <v>0</v>
      </c>
      <c r="N578">
        <v>0</v>
      </c>
      <c r="O578">
        <v>0</v>
      </c>
      <c r="P578">
        <v>0</v>
      </c>
      <c r="Q578">
        <v>508</v>
      </c>
      <c r="R578">
        <v>0</v>
      </c>
      <c r="S578">
        <v>0</v>
      </c>
      <c r="T578">
        <v>525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525</v>
      </c>
      <c r="AF578">
        <v>436</v>
      </c>
      <c r="AJ578">
        <v>5.9703999999999997</v>
      </c>
      <c r="AK578" t="str">
        <f t="shared" si="8"/>
        <v>WZ049-5000</v>
      </c>
    </row>
    <row r="579" spans="1:37" ht="15">
      <c r="A579" t="s">
        <v>3220</v>
      </c>
      <c r="B579" t="s">
        <v>3219</v>
      </c>
      <c r="C579" t="s">
        <v>329</v>
      </c>
      <c r="D579" t="s">
        <v>2174</v>
      </c>
      <c r="E579">
        <v>50</v>
      </c>
      <c r="F579">
        <v>0</v>
      </c>
      <c r="G579">
        <v>0</v>
      </c>
      <c r="H579">
        <v>0</v>
      </c>
      <c r="I579">
        <v>0</v>
      </c>
      <c r="J579">
        <v>95</v>
      </c>
      <c r="K579">
        <v>615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615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485</v>
      </c>
      <c r="Z579">
        <v>0</v>
      </c>
      <c r="AA579">
        <v>170</v>
      </c>
      <c r="AB579">
        <v>0</v>
      </c>
      <c r="AC579">
        <v>136</v>
      </c>
      <c r="AD579">
        <v>345</v>
      </c>
      <c r="AE579">
        <v>1136</v>
      </c>
      <c r="AF579">
        <v>726</v>
      </c>
      <c r="AG579">
        <v>5.9703999999999997</v>
      </c>
      <c r="AK579" t="str">
        <f t="shared" si="8"/>
        <v>WZ049-6200</v>
      </c>
    </row>
    <row r="580" spans="1:37" ht="15">
      <c r="A580" t="s">
        <v>3221</v>
      </c>
      <c r="B580" t="s">
        <v>3222</v>
      </c>
      <c r="C580" t="s">
        <v>329</v>
      </c>
      <c r="D580" t="s">
        <v>2174</v>
      </c>
      <c r="E580">
        <v>50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129</v>
      </c>
      <c r="L580">
        <v>24</v>
      </c>
      <c r="M580">
        <v>0</v>
      </c>
      <c r="N580">
        <v>0</v>
      </c>
      <c r="O580">
        <v>0</v>
      </c>
      <c r="P580">
        <v>0</v>
      </c>
      <c r="Q580">
        <v>129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J580">
        <v>5.3120000000000003</v>
      </c>
      <c r="AK580" t="str">
        <f t="shared" si="8"/>
        <v>WZ052-5000</v>
      </c>
    </row>
    <row r="581" spans="1:37" ht="15">
      <c r="A581" t="s">
        <v>3223</v>
      </c>
      <c r="B581" t="s">
        <v>3222</v>
      </c>
      <c r="C581" t="s">
        <v>329</v>
      </c>
      <c r="D581" t="s">
        <v>2174</v>
      </c>
      <c r="E581">
        <v>50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230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230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99</v>
      </c>
      <c r="AG581">
        <v>6.5303000000000004</v>
      </c>
      <c r="AK581" t="str">
        <f t="shared" ref="AK581:AK626" si="9">MID(A581,4,10)</f>
        <v>WZ052-6200</v>
      </c>
    </row>
    <row r="582" spans="1:37" ht="15">
      <c r="A582" t="s">
        <v>3227</v>
      </c>
      <c r="B582" t="s">
        <v>3228</v>
      </c>
      <c r="C582" t="s">
        <v>267</v>
      </c>
      <c r="D582" t="s">
        <v>2174</v>
      </c>
      <c r="E582">
        <v>50</v>
      </c>
      <c r="F582">
        <v>0</v>
      </c>
      <c r="G582">
        <v>0</v>
      </c>
      <c r="H582">
        <v>62</v>
      </c>
      <c r="I582">
        <v>85</v>
      </c>
      <c r="J582">
        <v>76</v>
      </c>
      <c r="K582">
        <v>0</v>
      </c>
      <c r="L582">
        <v>41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186</v>
      </c>
      <c r="T582">
        <v>0</v>
      </c>
      <c r="U582">
        <v>0</v>
      </c>
      <c r="V582">
        <v>158</v>
      </c>
      <c r="W582">
        <v>168</v>
      </c>
      <c r="X582">
        <v>0</v>
      </c>
      <c r="Y582">
        <v>99</v>
      </c>
      <c r="Z582">
        <v>0</v>
      </c>
      <c r="AA582">
        <v>142</v>
      </c>
      <c r="AB582">
        <v>158</v>
      </c>
      <c r="AC582">
        <v>0</v>
      </c>
      <c r="AD582">
        <v>0</v>
      </c>
      <c r="AE582">
        <v>911</v>
      </c>
      <c r="AF582">
        <v>685</v>
      </c>
      <c r="AG582">
        <v>7.5</v>
      </c>
      <c r="AK582" t="str">
        <f t="shared" si="9"/>
        <v>WZ054-5000</v>
      </c>
    </row>
    <row r="583" spans="1:37" ht="15">
      <c r="A583" t="s">
        <v>3232</v>
      </c>
      <c r="B583" t="s">
        <v>3231</v>
      </c>
      <c r="C583" t="s">
        <v>267</v>
      </c>
      <c r="D583" t="s">
        <v>2174</v>
      </c>
      <c r="E583">
        <v>43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276</v>
      </c>
      <c r="L583">
        <v>80</v>
      </c>
      <c r="M583">
        <v>0</v>
      </c>
      <c r="N583">
        <v>0</v>
      </c>
      <c r="O583">
        <v>0</v>
      </c>
      <c r="P583">
        <v>0</v>
      </c>
      <c r="Q583">
        <v>276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608</v>
      </c>
      <c r="AG583">
        <v>7.5414000000000003</v>
      </c>
      <c r="AK583" t="str">
        <f t="shared" si="9"/>
        <v>WZ055-6200</v>
      </c>
    </row>
    <row r="584" spans="1:37" ht="15">
      <c r="A584" t="s">
        <v>3236</v>
      </c>
      <c r="B584" t="s">
        <v>3237</v>
      </c>
      <c r="C584" t="s">
        <v>1076</v>
      </c>
      <c r="D584" t="s">
        <v>2174</v>
      </c>
      <c r="E584">
        <v>50</v>
      </c>
      <c r="F584">
        <v>0.3</v>
      </c>
      <c r="G584">
        <v>0</v>
      </c>
      <c r="H584">
        <v>594</v>
      </c>
      <c r="I584">
        <v>504</v>
      </c>
      <c r="J584">
        <v>285</v>
      </c>
      <c r="K584">
        <v>732</v>
      </c>
      <c r="L584">
        <v>59</v>
      </c>
      <c r="M584">
        <v>0</v>
      </c>
      <c r="N584">
        <v>0</v>
      </c>
      <c r="O584">
        <v>0</v>
      </c>
      <c r="P584">
        <v>0</v>
      </c>
      <c r="Q584">
        <v>732</v>
      </c>
      <c r="R584">
        <v>0</v>
      </c>
      <c r="S584">
        <v>1476</v>
      </c>
      <c r="T584">
        <v>0</v>
      </c>
      <c r="U584">
        <v>306</v>
      </c>
      <c r="V584">
        <v>0</v>
      </c>
      <c r="W584">
        <v>1242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391</v>
      </c>
      <c r="AD584">
        <v>0</v>
      </c>
      <c r="AE584">
        <v>3415</v>
      </c>
      <c r="AF584">
        <v>793</v>
      </c>
      <c r="AG584" t="s">
        <v>5495</v>
      </c>
      <c r="AH584">
        <v>10</v>
      </c>
      <c r="AI584">
        <v>219</v>
      </c>
      <c r="AJ584">
        <v>6.3186</v>
      </c>
      <c r="AK584" t="str">
        <f t="shared" si="9"/>
        <v>WZ057-5000</v>
      </c>
    </row>
    <row r="585" spans="1:37" ht="15">
      <c r="A585" t="s">
        <v>3239</v>
      </c>
      <c r="B585" t="s">
        <v>3240</v>
      </c>
      <c r="C585" t="s">
        <v>275</v>
      </c>
      <c r="D585" t="s">
        <v>2174</v>
      </c>
      <c r="E585">
        <v>43</v>
      </c>
      <c r="F585">
        <v>0</v>
      </c>
      <c r="G585">
        <v>0</v>
      </c>
      <c r="H585">
        <v>159</v>
      </c>
      <c r="I585">
        <v>87</v>
      </c>
      <c r="J585">
        <v>44</v>
      </c>
      <c r="K585">
        <v>0</v>
      </c>
      <c r="L585">
        <v>41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477</v>
      </c>
      <c r="U585">
        <v>0</v>
      </c>
      <c r="V585">
        <v>45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522</v>
      </c>
      <c r="AF585">
        <v>160</v>
      </c>
      <c r="AG585">
        <v>8.625</v>
      </c>
      <c r="AK585" t="str">
        <f t="shared" si="9"/>
        <v>WZ062-5000</v>
      </c>
    </row>
    <row r="586" spans="1:37" ht="15">
      <c r="A586" t="s">
        <v>3242</v>
      </c>
      <c r="B586" t="s">
        <v>3243</v>
      </c>
      <c r="C586" t="s">
        <v>275</v>
      </c>
      <c r="D586" t="s">
        <v>2174</v>
      </c>
      <c r="E586">
        <v>50</v>
      </c>
      <c r="F586">
        <v>0</v>
      </c>
      <c r="G586">
        <v>0</v>
      </c>
      <c r="H586">
        <v>0</v>
      </c>
      <c r="I586">
        <v>0</v>
      </c>
      <c r="J586">
        <v>19</v>
      </c>
      <c r="K586">
        <v>172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172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232</v>
      </c>
      <c r="AD586">
        <v>0</v>
      </c>
      <c r="AE586">
        <v>232</v>
      </c>
      <c r="AF586">
        <v>0</v>
      </c>
      <c r="AJ586">
        <v>6.5880000000000001</v>
      </c>
      <c r="AK586" t="str">
        <f t="shared" si="9"/>
        <v>WZ063-5000</v>
      </c>
    </row>
    <row r="587" spans="1:37" ht="15">
      <c r="A587" t="s">
        <v>3257</v>
      </c>
      <c r="B587" t="s">
        <v>3255</v>
      </c>
      <c r="C587" t="s">
        <v>275</v>
      </c>
      <c r="D587" t="s">
        <v>3258</v>
      </c>
      <c r="E587">
        <v>50</v>
      </c>
      <c r="F587">
        <v>0.8</v>
      </c>
      <c r="G587">
        <v>0</v>
      </c>
      <c r="H587">
        <v>73</v>
      </c>
      <c r="I587">
        <v>37</v>
      </c>
      <c r="J587">
        <v>45</v>
      </c>
      <c r="K587">
        <v>234</v>
      </c>
      <c r="L587">
        <v>207</v>
      </c>
      <c r="M587">
        <v>0</v>
      </c>
      <c r="N587">
        <v>0</v>
      </c>
      <c r="O587">
        <v>0</v>
      </c>
      <c r="P587">
        <v>0</v>
      </c>
      <c r="Q587">
        <v>234</v>
      </c>
      <c r="R587">
        <v>0</v>
      </c>
      <c r="S587">
        <v>0</v>
      </c>
      <c r="T587">
        <v>0</v>
      </c>
      <c r="U587">
        <v>220</v>
      </c>
      <c r="V587">
        <v>0</v>
      </c>
      <c r="W587">
        <v>0</v>
      </c>
      <c r="X587">
        <v>0</v>
      </c>
      <c r="Y587">
        <v>0</v>
      </c>
      <c r="Z587">
        <v>321</v>
      </c>
      <c r="AA587">
        <v>0</v>
      </c>
      <c r="AB587">
        <v>0</v>
      </c>
      <c r="AC587">
        <v>0</v>
      </c>
      <c r="AD587">
        <v>0</v>
      </c>
      <c r="AE587">
        <v>541</v>
      </c>
      <c r="AF587">
        <v>1318</v>
      </c>
      <c r="AG587">
        <v>5.3875000000000002</v>
      </c>
      <c r="AK587" t="str">
        <f t="shared" si="9"/>
        <v>WZ201-6200</v>
      </c>
    </row>
    <row r="588" spans="1:37" ht="15">
      <c r="A588" t="s">
        <v>6266</v>
      </c>
      <c r="B588" t="s">
        <v>3299</v>
      </c>
      <c r="C588" t="s">
        <v>313</v>
      </c>
      <c r="E588">
        <v>43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155</v>
      </c>
      <c r="L588">
        <v>45</v>
      </c>
      <c r="M588">
        <v>0</v>
      </c>
      <c r="N588">
        <v>0</v>
      </c>
      <c r="O588">
        <v>0</v>
      </c>
      <c r="P588">
        <v>0</v>
      </c>
      <c r="Q588">
        <v>155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J588">
        <v>6.6555</v>
      </c>
      <c r="AK588" t="str">
        <f t="shared" si="9"/>
        <v>WZ604-5000</v>
      </c>
    </row>
    <row r="589" spans="1:37" ht="15">
      <c r="A589" t="s">
        <v>3300</v>
      </c>
      <c r="B589" t="s">
        <v>3299</v>
      </c>
      <c r="C589" t="s">
        <v>313</v>
      </c>
      <c r="E589">
        <v>43</v>
      </c>
      <c r="F589">
        <v>0</v>
      </c>
      <c r="G589">
        <v>0</v>
      </c>
      <c r="H589">
        <v>0</v>
      </c>
      <c r="I589">
        <v>0</v>
      </c>
      <c r="J589">
        <v>12</v>
      </c>
      <c r="K589">
        <v>84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84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140</v>
      </c>
      <c r="AE589">
        <v>140</v>
      </c>
      <c r="AF589">
        <v>0</v>
      </c>
      <c r="AG589">
        <v>7.5810000000000004</v>
      </c>
      <c r="AK589" t="str">
        <f t="shared" si="9"/>
        <v>WZ604-6200</v>
      </c>
    </row>
    <row r="590" spans="1:37" ht="15">
      <c r="A590" t="s">
        <v>6267</v>
      </c>
      <c r="B590" t="s">
        <v>4608</v>
      </c>
      <c r="C590" t="s">
        <v>4609</v>
      </c>
      <c r="D590" t="s">
        <v>4610</v>
      </c>
      <c r="E590">
        <v>50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276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276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J590">
        <v>4.8734999999999999</v>
      </c>
      <c r="AK590" t="str">
        <f t="shared" si="9"/>
        <v>WZ701-6200</v>
      </c>
    </row>
    <row r="591" spans="1:37" ht="15">
      <c r="A591" t="s">
        <v>3321</v>
      </c>
      <c r="B591" t="s">
        <v>3322</v>
      </c>
      <c r="E591">
        <v>50</v>
      </c>
      <c r="F591">
        <v>1.2</v>
      </c>
      <c r="G591">
        <v>0</v>
      </c>
      <c r="H591">
        <v>38</v>
      </c>
      <c r="I591">
        <v>19</v>
      </c>
      <c r="J591">
        <v>9</v>
      </c>
      <c r="K591">
        <v>188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188</v>
      </c>
      <c r="R591">
        <v>0</v>
      </c>
      <c r="S591">
        <v>0</v>
      </c>
      <c r="T591">
        <v>0</v>
      </c>
      <c r="U591">
        <v>113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113</v>
      </c>
      <c r="AF591">
        <v>0</v>
      </c>
      <c r="AG591">
        <v>1.2500000000000001E-2</v>
      </c>
      <c r="AK591" t="str">
        <f t="shared" si="9"/>
        <v>AG200-6200</v>
      </c>
    </row>
    <row r="592" spans="1:37" ht="15">
      <c r="A592" t="s">
        <v>3323</v>
      </c>
      <c r="B592" t="s">
        <v>3324</v>
      </c>
      <c r="E592">
        <v>50</v>
      </c>
      <c r="F592">
        <v>0</v>
      </c>
      <c r="G592">
        <v>0</v>
      </c>
      <c r="H592">
        <v>38</v>
      </c>
      <c r="I592">
        <v>19</v>
      </c>
      <c r="J592">
        <v>9</v>
      </c>
      <c r="K592">
        <v>0</v>
      </c>
      <c r="L592">
        <v>53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113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113</v>
      </c>
      <c r="AF592">
        <v>157</v>
      </c>
      <c r="AG592">
        <v>1.2500000000000001E-2</v>
      </c>
      <c r="AK592" t="str">
        <f t="shared" si="9"/>
        <v>AG345-6200</v>
      </c>
    </row>
    <row r="593" spans="1:37" ht="15">
      <c r="A593" t="s">
        <v>3329</v>
      </c>
      <c r="B593" t="s">
        <v>3330</v>
      </c>
      <c r="C593" t="s">
        <v>338</v>
      </c>
      <c r="D593">
        <v>42920</v>
      </c>
      <c r="E593">
        <v>43</v>
      </c>
      <c r="F593">
        <v>0</v>
      </c>
      <c r="G593">
        <v>0</v>
      </c>
      <c r="H593">
        <v>0</v>
      </c>
      <c r="I593">
        <v>72</v>
      </c>
      <c r="J593">
        <v>46</v>
      </c>
      <c r="K593">
        <v>710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710</v>
      </c>
      <c r="R593">
        <v>0</v>
      </c>
      <c r="S593">
        <v>0</v>
      </c>
      <c r="T593">
        <v>0</v>
      </c>
      <c r="U593">
        <v>0</v>
      </c>
      <c r="V593">
        <v>324</v>
      </c>
      <c r="W593">
        <v>0</v>
      </c>
      <c r="X593">
        <v>108</v>
      </c>
      <c r="Y593">
        <v>114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546</v>
      </c>
      <c r="AF593">
        <v>825</v>
      </c>
      <c r="AG593">
        <v>1E-4</v>
      </c>
      <c r="AK593" t="str">
        <f t="shared" si="9"/>
        <v>AT938-6200</v>
      </c>
    </row>
    <row r="594" spans="1:37" ht="15">
      <c r="A594" t="s">
        <v>6268</v>
      </c>
      <c r="B594" t="s">
        <v>4611</v>
      </c>
      <c r="E594">
        <v>50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5174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5174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J594">
        <v>0</v>
      </c>
      <c r="AK594" t="str">
        <f t="shared" si="9"/>
        <v>DS078-6200</v>
      </c>
    </row>
    <row r="595" spans="1:37" ht="15">
      <c r="A595" t="s">
        <v>3333</v>
      </c>
      <c r="B595" t="s">
        <v>3334</v>
      </c>
      <c r="E595">
        <v>50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756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756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J595">
        <v>0</v>
      </c>
      <c r="AK595" t="str">
        <f t="shared" si="9"/>
        <v>HP191-6200</v>
      </c>
    </row>
    <row r="596" spans="1:37" ht="15">
      <c r="A596" t="s">
        <v>6269</v>
      </c>
      <c r="B596" t="s">
        <v>3338</v>
      </c>
      <c r="E596">
        <v>50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127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127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J596">
        <v>0</v>
      </c>
      <c r="AK596" t="str">
        <f t="shared" si="9"/>
        <v>HP820-5000</v>
      </c>
    </row>
    <row r="597" spans="1:37" ht="15">
      <c r="A597" t="s">
        <v>3337</v>
      </c>
      <c r="B597" t="s">
        <v>3338</v>
      </c>
      <c r="E597">
        <v>50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2813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2813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J597">
        <v>0</v>
      </c>
      <c r="AK597" t="str">
        <f t="shared" si="9"/>
        <v>HP820-6200</v>
      </c>
    </row>
    <row r="598" spans="1:37" ht="15">
      <c r="A598" t="s">
        <v>6270</v>
      </c>
      <c r="B598" t="s">
        <v>4612</v>
      </c>
      <c r="E598">
        <v>50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472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472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J598">
        <v>0</v>
      </c>
      <c r="AK598" t="str">
        <f t="shared" si="9"/>
        <v>HP822-5000</v>
      </c>
    </row>
    <row r="599" spans="1:37" ht="15">
      <c r="A599" t="s">
        <v>3339</v>
      </c>
      <c r="B599" t="s">
        <v>3340</v>
      </c>
      <c r="E599">
        <v>50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2768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2768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J599">
        <v>0</v>
      </c>
      <c r="AK599" t="str">
        <f t="shared" si="9"/>
        <v>HP822-6200</v>
      </c>
    </row>
    <row r="600" spans="1:37" ht="15">
      <c r="A600" t="s">
        <v>6271</v>
      </c>
      <c r="B600" t="s">
        <v>4613</v>
      </c>
      <c r="E600">
        <v>43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1235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1235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275</v>
      </c>
      <c r="AJ600">
        <v>0</v>
      </c>
      <c r="AK600" t="str">
        <f t="shared" si="9"/>
        <v>KM015-6200</v>
      </c>
    </row>
    <row r="601" spans="1:37" ht="15">
      <c r="A601" t="s">
        <v>6272</v>
      </c>
      <c r="B601" t="s">
        <v>4614</v>
      </c>
      <c r="E601">
        <v>50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871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871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J601">
        <v>0</v>
      </c>
      <c r="AK601" t="str">
        <f t="shared" si="9"/>
        <v>KM016-6200</v>
      </c>
    </row>
    <row r="602" spans="1:37" ht="15">
      <c r="A602" t="s">
        <v>6273</v>
      </c>
      <c r="B602" t="s">
        <v>4558</v>
      </c>
      <c r="C602" t="s">
        <v>275</v>
      </c>
      <c r="D602" t="s">
        <v>1706</v>
      </c>
      <c r="E602">
        <v>43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807</v>
      </c>
      <c r="L602">
        <v>62</v>
      </c>
      <c r="M602">
        <v>0</v>
      </c>
      <c r="N602">
        <v>0</v>
      </c>
      <c r="O602">
        <v>0</v>
      </c>
      <c r="P602">
        <v>0</v>
      </c>
      <c r="Q602">
        <v>807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2171</v>
      </c>
      <c r="AJ602">
        <v>0</v>
      </c>
      <c r="AK602" t="str">
        <f t="shared" si="9"/>
        <v>KM029-6200</v>
      </c>
    </row>
    <row r="603" spans="1:37" ht="15">
      <c r="A603" t="s">
        <v>6274</v>
      </c>
      <c r="B603" t="s">
        <v>4615</v>
      </c>
      <c r="E603">
        <v>50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367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367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J603">
        <v>0</v>
      </c>
      <c r="AK603" t="str">
        <f t="shared" si="9"/>
        <v>SG220-6200</v>
      </c>
    </row>
    <row r="604" spans="1:37" ht="15">
      <c r="A604" t="s">
        <v>6275</v>
      </c>
      <c r="B604" t="s">
        <v>4616</v>
      </c>
      <c r="E604">
        <v>50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2363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2363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J604">
        <v>0</v>
      </c>
      <c r="AK604" t="str">
        <f t="shared" si="9"/>
        <v>SG285-6200</v>
      </c>
    </row>
    <row r="605" spans="1:37" ht="15">
      <c r="A605" t="s">
        <v>6276</v>
      </c>
      <c r="B605" t="s">
        <v>4617</v>
      </c>
      <c r="C605" t="s">
        <v>68</v>
      </c>
      <c r="E605">
        <v>65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63</v>
      </c>
      <c r="L605">
        <v>57</v>
      </c>
      <c r="M605">
        <v>0</v>
      </c>
      <c r="N605">
        <v>0</v>
      </c>
      <c r="O605">
        <v>0</v>
      </c>
      <c r="P605">
        <v>0</v>
      </c>
      <c r="Q605">
        <v>63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267</v>
      </c>
      <c r="AG605">
        <v>6.9999999999999999E-4</v>
      </c>
      <c r="AK605" t="str">
        <f t="shared" si="9"/>
        <v>SV001-5000</v>
      </c>
    </row>
    <row r="606" spans="1:37" ht="15">
      <c r="A606" t="s">
        <v>6277</v>
      </c>
      <c r="B606" t="s">
        <v>4618</v>
      </c>
      <c r="E606">
        <v>65</v>
      </c>
      <c r="F606">
        <v>2.4</v>
      </c>
      <c r="G606">
        <v>0</v>
      </c>
      <c r="H606">
        <v>149</v>
      </c>
      <c r="I606">
        <v>161</v>
      </c>
      <c r="J606">
        <v>158</v>
      </c>
      <c r="K606">
        <v>1434</v>
      </c>
      <c r="L606">
        <v>257</v>
      </c>
      <c r="M606">
        <v>0</v>
      </c>
      <c r="N606">
        <v>0</v>
      </c>
      <c r="O606">
        <v>0</v>
      </c>
      <c r="P606">
        <v>0</v>
      </c>
      <c r="Q606">
        <v>1434</v>
      </c>
      <c r="R606">
        <v>0</v>
      </c>
      <c r="S606">
        <v>270</v>
      </c>
      <c r="T606">
        <v>178</v>
      </c>
      <c r="U606">
        <v>0</v>
      </c>
      <c r="V606">
        <v>224</v>
      </c>
      <c r="W606">
        <v>0</v>
      </c>
      <c r="X606">
        <v>295</v>
      </c>
      <c r="Y606">
        <v>0</v>
      </c>
      <c r="Z606">
        <v>0</v>
      </c>
      <c r="AA606">
        <v>288</v>
      </c>
      <c r="AB606">
        <v>507</v>
      </c>
      <c r="AC606">
        <v>137</v>
      </c>
      <c r="AD606">
        <v>0</v>
      </c>
      <c r="AE606">
        <v>1899</v>
      </c>
      <c r="AF606">
        <v>260</v>
      </c>
      <c r="AJ606">
        <v>0</v>
      </c>
      <c r="AK606" t="str">
        <f t="shared" si="9"/>
        <v>SW852-6200</v>
      </c>
    </row>
    <row r="607" spans="1:37" ht="15">
      <c r="A607" t="s">
        <v>6278</v>
      </c>
      <c r="B607" t="s">
        <v>4619</v>
      </c>
      <c r="C607" t="s">
        <v>313</v>
      </c>
      <c r="E607">
        <v>50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103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103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J607">
        <v>0</v>
      </c>
      <c r="AK607" t="str">
        <f t="shared" si="9"/>
        <v>WA009-6200</v>
      </c>
    </row>
    <row r="608" spans="1:37" ht="15">
      <c r="A608" t="s">
        <v>6279</v>
      </c>
      <c r="B608" t="s">
        <v>4620</v>
      </c>
      <c r="E608">
        <v>43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1134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1134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J608">
        <v>0</v>
      </c>
      <c r="AK608" t="str">
        <f t="shared" si="9"/>
        <v>WC122-5000</v>
      </c>
    </row>
    <row r="609" spans="1:37" ht="15">
      <c r="A609" t="s">
        <v>6280</v>
      </c>
      <c r="B609" t="s">
        <v>4620</v>
      </c>
      <c r="E609">
        <v>43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2621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2621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J609">
        <v>0</v>
      </c>
      <c r="AK609" t="str">
        <f t="shared" si="9"/>
        <v>WC122-6200</v>
      </c>
    </row>
    <row r="610" spans="1:37" ht="15">
      <c r="A610" t="s">
        <v>6281</v>
      </c>
      <c r="B610" t="s">
        <v>4621</v>
      </c>
      <c r="E610">
        <v>43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102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102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J610">
        <v>0</v>
      </c>
      <c r="AK610" t="str">
        <f t="shared" si="9"/>
        <v>WG110-5000</v>
      </c>
    </row>
    <row r="611" spans="1:37" ht="15">
      <c r="A611" t="s">
        <v>6282</v>
      </c>
      <c r="B611" t="s">
        <v>4621</v>
      </c>
      <c r="E611">
        <v>43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2556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2556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J611">
        <v>0</v>
      </c>
      <c r="AK611" t="str">
        <f t="shared" si="9"/>
        <v>WG110-6200</v>
      </c>
    </row>
    <row r="612" spans="1:37" ht="15">
      <c r="A612" t="s">
        <v>6283</v>
      </c>
      <c r="B612" t="s">
        <v>5496</v>
      </c>
      <c r="E612">
        <v>43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2122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2122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J612">
        <v>0</v>
      </c>
      <c r="AK612" t="str">
        <f t="shared" si="9"/>
        <v>WM200-6200</v>
      </c>
    </row>
    <row r="613" spans="1:37" ht="15">
      <c r="A613" t="s">
        <v>3430</v>
      </c>
      <c r="B613" t="s">
        <v>3431</v>
      </c>
      <c r="E613">
        <v>50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186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186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196</v>
      </c>
      <c r="AJ613">
        <v>0</v>
      </c>
      <c r="AK613" t="str">
        <f t="shared" si="9"/>
        <v>WM225-6200</v>
      </c>
    </row>
    <row r="614" spans="1:37" ht="15">
      <c r="A614" t="s">
        <v>3432</v>
      </c>
      <c r="B614" t="s">
        <v>3433</v>
      </c>
      <c r="D614" t="s">
        <v>1956</v>
      </c>
      <c r="E614">
        <v>43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1139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1139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J614">
        <v>0</v>
      </c>
      <c r="AK614" t="str">
        <f t="shared" si="9"/>
        <v>WM228-5000</v>
      </c>
    </row>
    <row r="615" spans="1:37" ht="15">
      <c r="A615" t="s">
        <v>6284</v>
      </c>
      <c r="B615" t="s">
        <v>3433</v>
      </c>
      <c r="D615" t="s">
        <v>1956</v>
      </c>
      <c r="E615">
        <v>43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2006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2006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J615">
        <v>0</v>
      </c>
      <c r="AK615" t="str">
        <f t="shared" si="9"/>
        <v>WM228-6200</v>
      </c>
    </row>
    <row r="616" spans="1:37" ht="15">
      <c r="A616" t="s">
        <v>6285</v>
      </c>
      <c r="B616" t="s">
        <v>4622</v>
      </c>
      <c r="E616">
        <v>50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1378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1378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J616">
        <v>0</v>
      </c>
      <c r="AK616" t="str">
        <f t="shared" si="9"/>
        <v>WM944-5000</v>
      </c>
    </row>
    <row r="617" spans="1:37" ht="15">
      <c r="A617" t="s">
        <v>6286</v>
      </c>
      <c r="B617" t="s">
        <v>4623</v>
      </c>
      <c r="E617">
        <v>43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378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378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J617">
        <v>0</v>
      </c>
      <c r="AK617" t="str">
        <f t="shared" si="9"/>
        <v>WO030-5000</v>
      </c>
    </row>
    <row r="618" spans="1:37" ht="15">
      <c r="A618" t="s">
        <v>6287</v>
      </c>
      <c r="B618" t="s">
        <v>4623</v>
      </c>
      <c r="E618">
        <v>43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411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411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J618">
        <v>0</v>
      </c>
      <c r="AK618" t="str">
        <f t="shared" si="9"/>
        <v>WO030-6200</v>
      </c>
    </row>
    <row r="619" spans="1:37" ht="15">
      <c r="A619" t="s">
        <v>3442</v>
      </c>
      <c r="B619" t="s">
        <v>3443</v>
      </c>
      <c r="E619">
        <v>43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187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187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282</v>
      </c>
      <c r="AG619">
        <v>1E-4</v>
      </c>
      <c r="AK619" t="str">
        <f t="shared" si="9"/>
        <v>WW012-5000</v>
      </c>
    </row>
    <row r="620" spans="1:37" ht="15">
      <c r="A620" t="s">
        <v>3492</v>
      </c>
      <c r="B620">
        <v>2776002.95</v>
      </c>
      <c r="AK620" t="str">
        <f t="shared" si="9"/>
        <v xml:space="preserve">al for HP </v>
      </c>
    </row>
    <row r="621" spans="1:37" ht="15">
      <c r="A621" t="s">
        <v>3493</v>
      </c>
      <c r="B621">
        <v>118959.87</v>
      </c>
      <c r="AK621" t="str">
        <f t="shared" si="9"/>
        <v xml:space="preserve">al For LP </v>
      </c>
    </row>
    <row r="622" spans="1:37" ht="15">
      <c r="A622" t="s">
        <v>3494</v>
      </c>
      <c r="B622">
        <v>0.16</v>
      </c>
      <c r="AK622" t="str">
        <f t="shared" si="9"/>
        <v>al For all</v>
      </c>
    </row>
    <row r="623" spans="1:37" ht="15">
      <c r="A623" t="s">
        <v>3495</v>
      </c>
      <c r="B623">
        <v>166002.79</v>
      </c>
      <c r="AK623" t="str">
        <f t="shared" si="9"/>
        <v>al For all</v>
      </c>
    </row>
    <row r="624" spans="1:37" ht="15">
      <c r="A624" t="s">
        <v>3496</v>
      </c>
      <c r="B624">
        <v>0</v>
      </c>
      <c r="AK624" t="str">
        <f t="shared" si="9"/>
        <v>al for all</v>
      </c>
    </row>
    <row r="625" spans="1:37" ht="15">
      <c r="A625" t="s">
        <v>3497</v>
      </c>
      <c r="B625">
        <v>0</v>
      </c>
      <c r="AK625" t="str">
        <f t="shared" si="9"/>
        <v>al for all</v>
      </c>
    </row>
    <row r="626" spans="1:37" ht="15">
      <c r="A626" t="s">
        <v>3498</v>
      </c>
      <c r="B626">
        <v>3060965.79</v>
      </c>
      <c r="AK626" t="str">
        <f t="shared" si="9"/>
        <v>nd Total f</v>
      </c>
    </row>
    <row r="627" spans="1:37" ht="15"/>
    <row r="628" spans="1:37" ht="15"/>
    <row r="629" spans="1:37" ht="15"/>
    <row r="630" spans="1:37" ht="15"/>
    <row r="631" spans="1:37" ht="15"/>
    <row r="632" spans="1:37" ht="15"/>
    <row r="633" spans="1:37" ht="15"/>
    <row r="634" spans="1:37" ht="15"/>
    <row r="635" spans="1:37" ht="15"/>
    <row r="636" spans="1:37" ht="15"/>
    <row r="637" spans="1:37" ht="15"/>
    <row r="638" spans="1:37" ht="15"/>
    <row r="639" spans="1:37" ht="15"/>
    <row r="640" spans="1:37" ht="15"/>
    <row r="641" ht="15"/>
    <row r="642" ht="15"/>
    <row r="643" ht="15"/>
    <row r="644" ht="15"/>
    <row r="645" ht="15"/>
    <row r="646" ht="15"/>
    <row r="647" ht="15"/>
    <row r="648" ht="15"/>
    <row r="649" ht="15"/>
    <row r="650" ht="15"/>
    <row r="651" ht="15"/>
    <row r="652" ht="15"/>
    <row r="653" ht="15"/>
    <row r="654" ht="15"/>
    <row r="655" ht="15"/>
    <row r="656" ht="15"/>
    <row r="657" ht="15"/>
    <row r="658" ht="15"/>
    <row r="659" ht="15"/>
    <row r="660" ht="15"/>
    <row r="661" ht="15"/>
    <row r="662" ht="15"/>
    <row r="663" ht="15"/>
    <row r="664" ht="15"/>
    <row r="665" ht="15"/>
    <row r="666" ht="15"/>
    <row r="667" ht="15"/>
    <row r="668" ht="15"/>
    <row r="669" ht="15"/>
    <row r="670" ht="15"/>
    <row r="671" ht="15"/>
    <row r="672" ht="15"/>
    <row r="673" ht="15"/>
    <row r="674" ht="15"/>
    <row r="675" ht="15"/>
    <row r="676" ht="15"/>
    <row r="677" ht="15"/>
    <row r="678" ht="15"/>
    <row r="679" ht="15"/>
    <row r="680" ht="15"/>
    <row r="681" ht="15"/>
    <row r="682" ht="15"/>
    <row r="683" ht="15"/>
    <row r="684" ht="15"/>
    <row r="685" ht="15"/>
    <row r="686" ht="15"/>
    <row r="687" ht="15"/>
    <row r="688" ht="15"/>
    <row r="689" ht="15"/>
    <row r="690" ht="15"/>
    <row r="691" ht="15"/>
    <row r="692" ht="15"/>
    <row r="693" ht="15"/>
    <row r="694" ht="15"/>
    <row r="695" ht="15"/>
    <row r="696" ht="15"/>
    <row r="697" ht="15"/>
    <row r="698" ht="15"/>
    <row r="699" ht="15"/>
    <row r="700" ht="15"/>
    <row r="701" ht="15"/>
    <row r="702" ht="15"/>
    <row r="703" ht="15"/>
    <row r="704" ht="15"/>
    <row r="705" ht="15"/>
    <row r="706" ht="15"/>
    <row r="707" ht="15"/>
    <row r="708" ht="15"/>
    <row r="709" ht="15"/>
    <row r="710" ht="15"/>
    <row r="711" ht="15"/>
    <row r="712" ht="15"/>
    <row r="713" ht="15"/>
    <row r="714" ht="15"/>
    <row r="715" ht="15"/>
    <row r="716" ht="15"/>
    <row r="717" ht="15"/>
    <row r="718" ht="15"/>
    <row r="719" ht="15"/>
    <row r="720" ht="15"/>
    <row r="721" ht="15"/>
    <row r="722" ht="15"/>
    <row r="723" ht="15"/>
    <row r="724" ht="15"/>
    <row r="725" ht="15"/>
    <row r="726" ht="15"/>
    <row r="727" ht="15"/>
    <row r="728" ht="15"/>
    <row r="729" ht="15"/>
    <row r="730" ht="15"/>
    <row r="731" ht="15"/>
    <row r="732" ht="15"/>
    <row r="733" ht="15"/>
    <row r="734" ht="15"/>
    <row r="735" ht="15"/>
    <row r="736" ht="15"/>
    <row r="737" ht="15"/>
    <row r="738" ht="15"/>
    <row r="739" ht="15"/>
    <row r="740" ht="15"/>
    <row r="741" ht="15"/>
    <row r="742" ht="15"/>
    <row r="743" ht="15"/>
    <row r="744" ht="15"/>
    <row r="745" ht="15"/>
    <row r="746" ht="15"/>
    <row r="747" ht="15"/>
    <row r="748" ht="15"/>
    <row r="749" ht="15"/>
    <row r="750" ht="15"/>
    <row r="751" ht="15"/>
    <row r="752" ht="15"/>
    <row r="753" ht="15"/>
    <row r="754" ht="15"/>
    <row r="755" ht="15"/>
    <row r="756" ht="15"/>
    <row r="757" ht="15"/>
    <row r="758" ht="15"/>
    <row r="759" ht="15"/>
    <row r="760" ht="15"/>
    <row r="761" ht="15"/>
    <row r="762" ht="15"/>
    <row r="763" ht="15"/>
    <row r="764" ht="15"/>
    <row r="765" ht="15"/>
    <row r="766" ht="15"/>
    <row r="767" ht="15"/>
    <row r="768" ht="15"/>
    <row r="769" ht="15"/>
    <row r="770" ht="15"/>
    <row r="771" ht="15"/>
    <row r="772" ht="15"/>
    <row r="773" ht="15"/>
    <row r="774" ht="15"/>
    <row r="775" ht="15"/>
    <row r="776" ht="15"/>
    <row r="777" ht="15"/>
    <row r="778" ht="15"/>
    <row r="779" ht="15"/>
    <row r="780" ht="15"/>
    <row r="781" ht="15"/>
    <row r="782" ht="15"/>
    <row r="783" ht="15"/>
    <row r="784" ht="15"/>
    <row r="785" ht="15"/>
    <row r="786" ht="15"/>
    <row r="787" ht="15"/>
    <row r="788" ht="15"/>
    <row r="789" ht="15"/>
    <row r="790" ht="15"/>
    <row r="791" ht="15"/>
    <row r="792" ht="15"/>
    <row r="793" ht="15"/>
    <row r="794" ht="15"/>
    <row r="795" ht="15"/>
    <row r="796" ht="15"/>
    <row r="797" ht="15"/>
    <row r="798" ht="15"/>
    <row r="799" ht="15"/>
    <row r="800" ht="15"/>
    <row r="801" ht="15"/>
    <row r="802" ht="15"/>
    <row r="803" ht="15"/>
    <row r="804" ht="15"/>
    <row r="805" ht="15"/>
    <row r="806" ht="15"/>
    <row r="807" ht="15"/>
    <row r="808" ht="15"/>
    <row r="809" ht="15"/>
    <row r="810" ht="15"/>
    <row r="811" ht="15"/>
    <row r="812" ht="15"/>
    <row r="813" ht="15"/>
    <row r="814" ht="15"/>
    <row r="815" ht="15"/>
    <row r="816" ht="15"/>
    <row r="817" ht="15"/>
    <row r="818" ht="15"/>
    <row r="819" ht="15"/>
    <row r="820" ht="15"/>
    <row r="821" ht="15"/>
    <row r="822" ht="15"/>
    <row r="823" ht="15"/>
    <row r="824" ht="15"/>
    <row r="825" ht="15"/>
    <row r="826" ht="15"/>
    <row r="827" ht="15"/>
    <row r="828" ht="15"/>
    <row r="829" ht="15"/>
    <row r="830" ht="15"/>
    <row r="831" ht="15"/>
    <row r="832" ht="15"/>
    <row r="833" ht="15"/>
    <row r="834" ht="15"/>
    <row r="835" ht="15"/>
    <row r="836" ht="15"/>
    <row r="837" ht="15"/>
    <row r="838" ht="15"/>
    <row r="839" ht="15"/>
    <row r="840" ht="15"/>
    <row r="841" ht="15"/>
    <row r="842" ht="15"/>
    <row r="843" ht="15"/>
    <row r="844" ht="15"/>
    <row r="845" ht="15"/>
    <row r="846" ht="15"/>
    <row r="847" ht="15"/>
    <row r="848" ht="15"/>
    <row r="849" ht="15"/>
    <row r="850" ht="15"/>
    <row r="851" ht="15"/>
    <row r="852" ht="15"/>
    <row r="853" ht="15"/>
    <row r="854" ht="15"/>
    <row r="855" ht="15"/>
    <row r="856" ht="15"/>
    <row r="857" ht="15"/>
    <row r="858" ht="15"/>
    <row r="859" ht="15"/>
    <row r="860" ht="15"/>
    <row r="861" ht="15"/>
    <row r="862" ht="15"/>
    <row r="863" ht="15"/>
    <row r="864" ht="15"/>
    <row r="865" ht="15"/>
    <row r="866" ht="15"/>
    <row r="867" ht="15"/>
    <row r="868" ht="15"/>
    <row r="869" ht="15"/>
    <row r="870" ht="15"/>
    <row r="871" ht="15"/>
    <row r="872" ht="15"/>
    <row r="873" ht="15"/>
    <row r="874" ht="15"/>
    <row r="875" ht="15"/>
    <row r="876" ht="15"/>
    <row r="877" ht="15"/>
    <row r="878" ht="15"/>
    <row r="879" ht="15"/>
    <row r="880" ht="15"/>
    <row r="881" ht="15"/>
    <row r="882" ht="15"/>
    <row r="883" ht="15"/>
    <row r="884" ht="15"/>
    <row r="885" ht="15"/>
    <row r="886" ht="15"/>
    <row r="887" ht="15"/>
    <row r="888" ht="15"/>
    <row r="889" ht="15"/>
    <row r="890" ht="15"/>
    <row r="891" ht="15"/>
    <row r="892" ht="15"/>
    <row r="893" ht="15"/>
    <row r="894" ht="15"/>
    <row r="895" ht="15"/>
    <row r="896" ht="15"/>
    <row r="897" ht="15"/>
    <row r="898" ht="15"/>
    <row r="899" ht="15"/>
    <row r="900" ht="15"/>
    <row r="901" ht="15"/>
    <row r="902" ht="15"/>
    <row r="903" ht="15"/>
    <row r="904" ht="15"/>
    <row r="905" ht="15"/>
    <row r="906" ht="15"/>
    <row r="907" ht="15"/>
    <row r="908" ht="15"/>
    <row r="909" ht="15"/>
    <row r="910" ht="15"/>
    <row r="911" ht="15"/>
    <row r="912" ht="15"/>
    <row r="913" ht="15"/>
    <row r="914" ht="15"/>
    <row r="915" ht="15"/>
    <row r="916" ht="15"/>
    <row r="917" ht="15"/>
    <row r="918" ht="15"/>
    <row r="919" ht="15"/>
    <row r="920" ht="15"/>
    <row r="921" ht="15"/>
    <row r="922" ht="15"/>
    <row r="923" ht="15"/>
    <row r="924" ht="15"/>
    <row r="925" ht="15"/>
    <row r="926" ht="15"/>
    <row r="927" ht="15"/>
    <row r="928" ht="15"/>
    <row r="929" ht="15"/>
    <row r="930" ht="15"/>
    <row r="931" ht="15"/>
    <row r="932" ht="15"/>
    <row r="933" ht="15"/>
    <row r="934" ht="15"/>
    <row r="935" ht="15"/>
    <row r="936" ht="15"/>
    <row r="937" ht="15"/>
    <row r="938" ht="15"/>
    <row r="939" ht="15"/>
    <row r="940" ht="15"/>
    <row r="941" ht="15"/>
    <row r="942" ht="15"/>
    <row r="943" ht="15"/>
    <row r="944" ht="15"/>
    <row r="945" ht="15"/>
    <row r="946" ht="15"/>
    <row r="947" ht="15"/>
    <row r="948" ht="15"/>
    <row r="949" ht="15"/>
    <row r="950" ht="15"/>
    <row r="951" ht="15"/>
    <row r="952" ht="15"/>
    <row r="953" ht="15"/>
    <row r="954" ht="15"/>
    <row r="955" ht="15"/>
    <row r="956" ht="15"/>
    <row r="957" ht="15"/>
    <row r="958" ht="15"/>
    <row r="959" ht="15"/>
    <row r="960" ht="15"/>
    <row r="961" ht="15"/>
    <row r="962" ht="15"/>
    <row r="963" ht="15"/>
    <row r="964" ht="15"/>
    <row r="965" ht="15"/>
    <row r="966" ht="15"/>
    <row r="967" ht="15"/>
    <row r="968" ht="15"/>
    <row r="969" ht="15"/>
    <row r="970" ht="15"/>
    <row r="971" ht="15"/>
    <row r="972" ht="15"/>
    <row r="973" ht="15"/>
    <row r="974" ht="15"/>
    <row r="975" ht="15"/>
    <row r="976" ht="15"/>
    <row r="977" ht="15"/>
    <row r="978" ht="15"/>
    <row r="979" ht="15"/>
    <row r="980" ht="15"/>
    <row r="981" ht="15"/>
    <row r="982" ht="15"/>
    <row r="983" ht="15"/>
    <row r="984" ht="15"/>
    <row r="985" ht="15"/>
    <row r="986" ht="15"/>
    <row r="987" ht="15"/>
    <row r="988" ht="15"/>
    <row r="989" ht="15"/>
    <row r="990" ht="15"/>
    <row r="991" ht="15"/>
    <row r="992" ht="15"/>
    <row r="993" ht="15"/>
    <row r="994" ht="15"/>
    <row r="995" ht="15"/>
    <row r="996" ht="15"/>
    <row r="997" ht="15"/>
    <row r="998" ht="15"/>
    <row r="999" ht="15"/>
    <row r="1000" ht="15"/>
    <row r="1001" ht="15"/>
    <row r="1002" ht="15"/>
    <row r="1003" ht="15"/>
    <row r="1004" ht="15"/>
    <row r="1005" ht="15"/>
    <row r="1006" ht="15"/>
    <row r="1007" ht="15"/>
    <row r="1008" ht="15"/>
    <row r="1009" ht="15"/>
    <row r="1010" ht="15"/>
    <row r="1011" ht="15"/>
    <row r="1012" ht="15"/>
    <row r="1013" ht="15"/>
    <row r="1014" ht="15"/>
    <row r="1015" ht="15"/>
    <row r="1016" ht="15"/>
    <row r="1017" ht="15"/>
    <row r="1018" ht="15"/>
    <row r="1019" ht="15"/>
    <row r="1020" ht="15"/>
    <row r="1021" ht="15"/>
    <row r="1022" ht="15"/>
    <row r="1023" ht="15"/>
    <row r="1024" ht="15"/>
    <row r="1025" ht="15"/>
    <row r="1026" ht="15"/>
    <row r="1027" ht="15"/>
    <row r="1028" ht="15"/>
    <row r="1029" ht="15"/>
    <row r="1030" ht="15"/>
    <row r="1031" ht="15"/>
    <row r="1032" ht="15"/>
    <row r="1033" ht="15"/>
    <row r="1034" ht="15"/>
    <row r="1035" ht="15"/>
    <row r="1036" ht="15"/>
    <row r="1037" ht="15"/>
    <row r="1038" ht="15"/>
    <row r="1039" ht="15"/>
    <row r="1040" ht="15"/>
    <row r="1041" ht="15"/>
    <row r="1042" ht="15"/>
    <row r="1043" ht="15"/>
    <row r="1044" ht="15"/>
    <row r="1045" ht="15"/>
    <row r="1046" ht="15"/>
    <row r="1047" ht="15"/>
    <row r="1048" ht="15"/>
    <row r="1049" ht="15"/>
    <row r="1050" ht="15"/>
    <row r="1051" ht="15"/>
    <row r="1052" ht="15"/>
    <row r="1053" ht="15"/>
    <row r="1054" ht="15"/>
    <row r="1055" ht="15"/>
    <row r="1056" ht="15"/>
    <row r="1057" ht="15"/>
    <row r="1058" ht="15"/>
    <row r="1059" ht="15"/>
    <row r="1060" ht="15"/>
    <row r="1061" ht="15"/>
    <row r="1062" ht="15"/>
    <row r="1063" ht="15"/>
    <row r="1064" ht="15"/>
    <row r="1065" ht="15"/>
    <row r="1066" ht="15"/>
    <row r="1067" ht="15"/>
    <row r="1068" ht="15"/>
    <row r="1069" ht="15"/>
    <row r="1070" ht="15"/>
    <row r="1071" ht="15"/>
    <row r="1072" ht="15"/>
    <row r="1073" ht="15"/>
    <row r="1074" ht="15"/>
    <row r="1075" ht="15"/>
    <row r="1076" ht="15"/>
    <row r="1077" ht="15"/>
    <row r="1078" ht="15"/>
    <row r="1079" ht="15"/>
    <row r="1080" ht="15"/>
    <row r="1081" ht="15"/>
    <row r="1082" ht="15"/>
    <row r="1083" ht="15"/>
    <row r="1084" ht="15"/>
    <row r="1085" ht="15"/>
    <row r="1086" ht="15"/>
    <row r="1087" ht="15"/>
    <row r="1088" ht="15"/>
    <row r="1089" ht="15"/>
    <row r="1090" ht="15"/>
    <row r="1091" ht="15"/>
    <row r="1092" ht="15"/>
    <row r="1093" ht="15"/>
    <row r="1094" ht="15"/>
    <row r="1095" ht="15"/>
    <row r="1096" ht="15"/>
    <row r="1097" ht="15"/>
    <row r="1098" ht="15"/>
    <row r="1099" ht="15"/>
    <row r="1100" ht="15"/>
    <row r="1101" ht="15"/>
    <row r="1102" ht="15"/>
    <row r="1103" ht="15"/>
    <row r="1104" ht="15"/>
    <row r="1105" ht="15"/>
    <row r="1106" ht="15"/>
    <row r="1107" ht="15"/>
    <row r="1108" ht="15"/>
    <row r="1109" ht="15"/>
    <row r="1110" ht="15"/>
    <row r="1111" ht="15"/>
    <row r="1112" ht="15"/>
    <row r="1113" ht="15"/>
    <row r="1114" ht="15"/>
    <row r="1115" ht="15"/>
    <row r="1116" ht="15"/>
    <row r="1117" ht="15"/>
    <row r="1118" ht="15"/>
    <row r="1119" ht="15"/>
    <row r="1120" ht="15"/>
    <row r="1121" ht="15"/>
    <row r="1122" ht="15"/>
    <row r="1123" ht="15"/>
    <row r="1124" ht="15"/>
    <row r="1125" ht="15"/>
    <row r="1126" ht="15"/>
    <row r="1127" ht="15"/>
    <row r="1128" ht="15"/>
    <row r="1129" ht="15"/>
    <row r="1130" ht="15"/>
    <row r="1131" ht="15"/>
    <row r="1132" ht="15"/>
    <row r="1133" ht="15"/>
    <row r="1134" ht="15"/>
    <row r="1135" ht="15"/>
    <row r="1136" ht="15"/>
    <row r="1137" ht="15"/>
    <row r="1138" ht="15"/>
    <row r="1139" ht="15"/>
    <row r="1140" ht="15"/>
    <row r="1141" ht="15"/>
    <row r="1142" ht="15"/>
    <row r="1143" ht="15"/>
    <row r="1144" ht="15"/>
    <row r="1145" ht="15"/>
    <row r="1146" ht="15"/>
    <row r="1147" ht="15"/>
    <row r="1148" ht="15"/>
    <row r="1149" ht="15"/>
    <row r="1150" ht="15"/>
    <row r="1151" ht="15"/>
    <row r="1152" ht="15"/>
    <row r="1153" ht="15"/>
    <row r="1154" ht="15"/>
    <row r="1155" ht="15"/>
    <row r="1156" ht="15"/>
    <row r="1157" ht="15"/>
    <row r="1158" ht="15"/>
    <row r="1159" ht="15"/>
    <row r="1160" ht="15"/>
    <row r="1161" ht="15"/>
    <row r="1162" ht="15"/>
    <row r="1163" ht="15"/>
    <row r="1164" ht="15"/>
    <row r="1165" ht="15"/>
    <row r="1166" ht="15"/>
    <row r="1167" ht="15"/>
    <row r="1168" ht="15"/>
    <row r="1169" ht="15"/>
    <row r="1170" ht="15"/>
    <row r="1171" ht="15"/>
    <row r="1172" ht="15"/>
    <row r="1173" ht="15"/>
    <row r="1174" ht="15"/>
    <row r="1175" ht="15"/>
    <row r="1176" ht="15"/>
    <row r="1177" ht="15"/>
    <row r="1178" ht="15"/>
    <row r="1179" ht="15"/>
    <row r="1180" ht="15"/>
    <row r="1181" ht="15"/>
    <row r="1182" ht="15"/>
    <row r="1183" ht="15"/>
    <row r="1184" ht="15"/>
    <row r="1185" ht="15"/>
    <row r="1186" ht="15"/>
    <row r="1187" ht="15"/>
    <row r="1188" ht="15"/>
    <row r="1189" ht="15"/>
    <row r="1190" ht="15"/>
    <row r="1191" ht="15"/>
    <row r="1192" ht="15"/>
    <row r="1193" ht="15"/>
    <row r="1194" ht="15"/>
    <row r="1195" ht="15"/>
    <row r="1196" ht="15"/>
    <row r="1197" ht="15"/>
    <row r="1198" ht="15"/>
    <row r="1199" ht="15"/>
    <row r="1200" ht="15"/>
    <row r="1201" ht="15"/>
    <row r="1202" ht="15"/>
    <row r="1203" ht="15"/>
    <row r="1204" ht="15"/>
    <row r="1205" ht="15"/>
    <row r="1206" ht="15"/>
    <row r="1207" ht="15"/>
    <row r="1208" ht="15"/>
    <row r="1209" ht="15"/>
    <row r="1210" ht="15"/>
    <row r="1211" ht="15"/>
    <row r="1212" ht="15"/>
    <row r="1213" ht="15"/>
    <row r="1214" ht="15"/>
    <row r="1215" ht="15"/>
    <row r="1216" ht="15"/>
    <row r="1217" ht="15"/>
    <row r="1218" ht="15"/>
    <row r="1219" ht="15"/>
    <row r="1220" ht="15"/>
    <row r="1221" ht="15"/>
    <row r="1222" ht="15"/>
    <row r="1223" ht="15"/>
    <row r="1224" ht="15"/>
    <row r="1225" ht="15"/>
    <row r="1226" ht="15"/>
    <row r="1227" ht="15"/>
    <row r="1228" ht="15"/>
    <row r="1229" ht="15"/>
    <row r="1230" ht="15"/>
    <row r="1231" ht="15"/>
    <row r="1232" ht="15"/>
    <row r="1233" ht="15"/>
    <row r="1234" ht="15"/>
    <row r="1235" ht="15"/>
    <row r="1236" ht="15"/>
    <row r="1237" ht="15"/>
    <row r="1238" ht="15"/>
    <row r="1239" ht="15"/>
    <row r="1240" ht="15"/>
    <row r="1241" ht="15"/>
    <row r="1242" ht="15"/>
    <row r="1243" ht="15"/>
    <row r="1244" ht="15"/>
    <row r="1245" ht="15"/>
    <row r="1246" ht="15"/>
    <row r="1247" ht="15"/>
    <row r="1248" ht="15"/>
    <row r="1249" ht="15"/>
    <row r="1250" ht="15"/>
    <row r="1251" ht="15"/>
    <row r="1252" ht="15"/>
    <row r="1253" ht="15"/>
    <row r="1254" ht="15"/>
    <row r="1255" ht="15"/>
    <row r="1256" ht="15"/>
    <row r="1257" ht="15"/>
    <row r="1258" ht="15"/>
    <row r="1259" ht="15"/>
    <row r="1260" ht="15"/>
    <row r="1261" ht="15"/>
    <row r="1262" ht="15"/>
    <row r="1263" ht="15"/>
    <row r="1264" ht="15"/>
    <row r="1265" ht="15"/>
    <row r="1266" ht="15"/>
    <row r="1267" ht="15"/>
    <row r="1268" ht="15"/>
    <row r="1269" ht="15"/>
    <row r="1270" ht="15"/>
    <row r="1271" ht="15"/>
    <row r="1272" ht="15"/>
    <row r="1273" ht="15"/>
    <row r="1274" ht="15"/>
    <row r="1275" ht="15"/>
    <row r="1276" ht="15"/>
    <row r="1277" ht="15"/>
    <row r="1278" ht="15"/>
    <row r="1279" ht="15"/>
    <row r="1280" ht="15"/>
    <row r="1281" ht="15"/>
    <row r="1282" ht="15"/>
    <row r="1283" ht="15"/>
    <row r="1284" ht="15"/>
    <row r="1285" ht="15"/>
    <row r="1286" ht="15"/>
    <row r="1287" ht="15"/>
    <row r="1288" ht="15"/>
    <row r="1289" ht="15"/>
    <row r="1290" ht="15"/>
    <row r="1291" ht="15"/>
    <row r="1292" ht="15"/>
    <row r="1293" ht="15"/>
    <row r="1294" ht="15"/>
    <row r="1295" ht="15"/>
    <row r="1296" ht="15"/>
    <row r="1297" ht="15"/>
    <row r="1298" ht="15"/>
    <row r="1299" ht="15"/>
    <row r="1300" ht="15"/>
    <row r="1301" ht="15"/>
    <row r="1302" ht="15"/>
    <row r="1303" ht="15"/>
    <row r="1304" ht="15"/>
    <row r="1305" ht="15"/>
    <row r="1306" ht="15"/>
    <row r="1307" ht="15"/>
    <row r="1308" ht="15"/>
    <row r="1309" ht="15"/>
    <row r="1310" ht="15"/>
    <row r="1311" ht="15"/>
    <row r="1312" ht="15"/>
    <row r="1313" ht="15"/>
    <row r="1314" ht="15"/>
    <row r="1315" ht="15"/>
    <row r="1316" ht="15"/>
    <row r="1317" ht="15"/>
    <row r="1318" ht="15"/>
    <row r="1319" ht="15"/>
    <row r="1320" ht="15"/>
    <row r="1321" ht="15"/>
    <row r="1322" ht="15"/>
    <row r="1323" ht="15"/>
    <row r="1324" ht="15"/>
    <row r="1325" ht="15"/>
    <row r="1326" ht="15"/>
    <row r="1327" ht="15"/>
    <row r="1328" ht="15"/>
    <row r="1329" ht="15"/>
    <row r="1330" ht="15"/>
    <row r="1331" ht="15"/>
    <row r="1332" ht="15"/>
    <row r="1333" ht="15"/>
    <row r="1334" ht="15"/>
    <row r="1335" ht="15"/>
    <row r="1336" ht="15"/>
    <row r="1337" ht="15"/>
    <row r="1338" ht="15"/>
    <row r="1339" ht="15"/>
    <row r="1340" ht="15"/>
    <row r="1341" ht="15"/>
    <row r="1342" ht="15"/>
    <row r="1343" ht="15"/>
    <row r="1344" ht="15"/>
    <row r="1345" ht="15"/>
    <row r="1346" ht="15"/>
    <row r="1347" ht="15"/>
    <row r="1348" ht="15"/>
    <row r="1349" ht="15"/>
    <row r="1350" ht="15"/>
    <row r="1351" ht="15"/>
    <row r="1352" ht="15"/>
    <row r="1353" ht="15"/>
    <row r="1354" ht="15"/>
    <row r="1355" ht="15"/>
    <row r="1356" ht="15"/>
    <row r="1357" ht="15"/>
    <row r="1358" ht="15"/>
    <row r="1359" ht="15"/>
    <row r="1360" ht="15"/>
    <row r="1361" ht="15"/>
    <row r="1362" ht="15"/>
    <row r="1363" ht="15"/>
    <row r="1364" ht="15"/>
    <row r="1365" ht="15"/>
    <row r="1366" ht="15"/>
    <row r="1367" ht="15"/>
    <row r="1368" ht="15"/>
    <row r="1369" ht="15"/>
    <row r="1370" ht="15"/>
    <row r="1371" ht="15"/>
    <row r="1372" ht="15"/>
    <row r="1373" ht="15"/>
    <row r="1374" ht="15"/>
    <row r="1375" ht="15"/>
    <row r="1376" ht="15"/>
    <row r="1377" ht="15"/>
    <row r="1378" ht="15"/>
    <row r="1379" ht="15"/>
    <row r="1380" ht="15"/>
    <row r="1381" ht="15"/>
    <row r="1382" ht="15"/>
    <row r="1383" ht="15"/>
    <row r="1384" ht="15"/>
    <row r="1385" ht="15"/>
    <row r="1386" ht="15"/>
    <row r="1387" ht="15"/>
    <row r="1388" ht="15"/>
    <row r="1389" ht="15"/>
    <row r="1390" ht="15"/>
    <row r="1391" ht="15"/>
    <row r="1392" ht="15"/>
    <row r="1393" ht="15"/>
    <row r="1394" ht="15"/>
    <row r="1395" ht="15"/>
    <row r="1396" ht="15"/>
    <row r="1397" ht="15"/>
    <row r="1398" ht="15"/>
    <row r="1399" ht="15"/>
    <row r="1400" ht="15"/>
    <row r="1401" ht="15"/>
    <row r="1402" ht="15"/>
    <row r="1403" ht="15"/>
    <row r="1404" ht="15"/>
    <row r="1405" ht="15"/>
    <row r="1406" ht="15"/>
    <row r="1407" ht="15"/>
    <row r="1408" ht="15"/>
    <row r="1409" ht="15"/>
    <row r="1410" ht="15"/>
    <row r="1411" ht="15"/>
    <row r="1412" ht="15"/>
    <row r="1413" ht="15"/>
    <row r="1414" ht="15"/>
    <row r="1415" ht="15"/>
    <row r="1416" ht="15"/>
    <row r="1417" ht="15"/>
    <row r="1418" ht="15"/>
    <row r="1419" ht="15"/>
    <row r="1420" ht="15"/>
    <row r="1421" ht="15"/>
    <row r="1422" ht="15"/>
    <row r="1423" ht="15"/>
    <row r="1424" ht="15"/>
    <row r="1425" ht="15"/>
    <row r="1426" ht="15"/>
    <row r="1427" ht="15"/>
    <row r="1428" ht="15"/>
    <row r="1429" ht="15"/>
    <row r="1430" ht="15"/>
    <row r="1431" ht="15"/>
    <row r="1432" ht="15"/>
    <row r="1433" ht="15"/>
    <row r="1434" ht="15"/>
    <row r="1435" ht="15"/>
    <row r="1436" ht="15"/>
    <row r="1437" ht="15"/>
    <row r="1438" ht="15"/>
    <row r="1439" ht="15"/>
    <row r="1440" ht="15"/>
    <row r="1441" ht="15"/>
    <row r="1442" ht="15"/>
    <row r="1443" ht="15"/>
    <row r="1444" ht="15"/>
    <row r="1445" ht="15"/>
    <row r="1446" ht="15"/>
    <row r="1447" ht="15"/>
    <row r="1448" ht="15"/>
    <row r="1449" ht="15"/>
    <row r="1450" ht="15"/>
    <row r="1451" ht="15"/>
    <row r="1452" ht="15"/>
    <row r="1453" ht="15"/>
    <row r="1454" ht="15"/>
    <row r="1455" ht="15"/>
    <row r="1456" ht="15"/>
    <row r="1457" ht="15"/>
    <row r="1458" ht="15"/>
    <row r="1459" ht="15"/>
    <row r="1460" ht="15"/>
    <row r="1461" ht="15"/>
    <row r="1462" ht="15"/>
    <row r="1463" ht="15"/>
    <row r="1464" ht="15"/>
    <row r="1465" ht="15"/>
    <row r="1466" ht="15"/>
    <row r="1467" ht="15"/>
    <row r="1468" ht="15"/>
    <row r="1469" ht="15"/>
    <row r="1470" ht="15"/>
    <row r="1471" ht="15"/>
    <row r="1472" ht="15"/>
    <row r="1473" ht="15"/>
    <row r="1474" ht="15"/>
    <row r="1475" ht="15"/>
    <row r="1476" ht="15"/>
    <row r="1477" ht="15"/>
    <row r="1478" ht="15"/>
    <row r="1479" ht="15"/>
    <row r="1480" ht="15"/>
    <row r="1481" ht="15"/>
    <row r="1482" ht="15"/>
    <row r="1483" ht="15"/>
    <row r="1484" ht="15"/>
    <row r="1485" ht="15"/>
    <row r="1486" ht="15"/>
    <row r="1487" ht="15"/>
    <row r="1488" ht="15"/>
    <row r="1489" ht="15"/>
    <row r="1490" ht="15"/>
    <row r="1491" ht="15"/>
    <row r="1492" ht="15"/>
    <row r="1493" ht="15"/>
    <row r="1494" ht="15"/>
    <row r="1495" ht="15"/>
    <row r="1496" ht="15"/>
    <row r="1497" ht="15"/>
    <row r="1498" ht="15"/>
    <row r="1499" ht="15"/>
    <row r="1500" ht="15"/>
    <row r="1501" ht="15"/>
    <row r="1502" ht="15"/>
    <row r="1503" ht="15"/>
    <row r="1504" ht="15"/>
    <row r="1505" ht="15"/>
    <row r="1506" ht="15"/>
    <row r="1507" ht="15"/>
    <row r="1508" ht="15"/>
    <row r="1509" ht="15"/>
    <row r="1510" ht="15"/>
    <row r="1511" ht="15"/>
    <row r="1512" ht="15"/>
    <row r="1513" ht="15"/>
    <row r="1514" ht="15"/>
    <row r="1515" ht="15"/>
    <row r="1516" ht="15"/>
    <row r="1517" ht="15"/>
    <row r="1518" ht="15"/>
    <row r="1519" ht="15"/>
    <row r="1520" ht="15"/>
    <row r="1521" ht="15"/>
    <row r="1522" ht="15"/>
    <row r="1523" ht="15"/>
    <row r="1524" ht="15"/>
    <row r="1525" ht="15"/>
    <row r="1526" ht="15"/>
    <row r="1527" ht="15"/>
    <row r="1528" ht="15"/>
    <row r="1529" ht="15"/>
    <row r="1530" ht="15"/>
    <row r="1531" ht="15"/>
    <row r="1532" ht="15"/>
    <row r="1533" ht="15"/>
    <row r="1534" ht="15"/>
    <row r="1535" ht="15"/>
    <row r="1536" ht="15"/>
    <row r="1537" ht="15"/>
    <row r="1538" ht="15"/>
    <row r="1539" ht="15"/>
    <row r="1540" ht="15"/>
    <row r="1541" ht="15"/>
    <row r="1542" ht="15"/>
    <row r="1543" ht="15"/>
    <row r="1544" ht="15"/>
    <row r="1545" ht="15"/>
    <row r="1546" ht="15"/>
    <row r="1547" ht="15"/>
    <row r="1548" ht="15"/>
    <row r="1549" ht="15"/>
    <row r="1550" ht="15"/>
    <row r="1551" ht="15"/>
    <row r="1552" ht="15"/>
    <row r="1553" ht="15"/>
    <row r="1554" ht="15"/>
    <row r="1555" ht="15"/>
    <row r="1556" ht="15"/>
    <row r="1557" ht="15"/>
    <row r="1558" ht="15"/>
    <row r="1559" ht="15"/>
    <row r="1560" ht="15"/>
    <row r="1561" ht="15"/>
    <row r="1562" ht="15"/>
    <row r="1563" ht="15"/>
    <row r="1564" ht="15"/>
    <row r="1565" ht="15"/>
    <row r="1566" ht="15"/>
    <row r="1567" ht="15"/>
    <row r="1568" ht="15"/>
    <row r="1569" ht="15"/>
    <row r="1570" ht="15"/>
    <row r="1571" ht="15"/>
    <row r="1572" ht="15"/>
    <row r="1573" ht="15"/>
    <row r="1574" ht="15"/>
    <row r="1575" ht="15"/>
    <row r="1576" ht="15"/>
    <row r="1577" ht="15"/>
    <row r="1578" ht="15"/>
    <row r="1579" ht="15"/>
    <row r="1580" ht="15"/>
    <row r="1581" ht="15"/>
    <row r="1582" ht="15"/>
    <row r="1583" ht="15"/>
    <row r="1584" ht="15"/>
    <row r="1585" ht="15"/>
    <row r="1586" ht="15"/>
    <row r="1587" ht="15"/>
    <row r="1588" ht="15"/>
    <row r="1589" ht="15"/>
    <row r="1590" ht="15"/>
    <row r="1591" ht="15"/>
    <row r="1592" ht="15"/>
    <row r="1593" ht="15"/>
    <row r="1594" ht="15"/>
    <row r="1595" ht="15"/>
    <row r="1596" ht="15"/>
    <row r="1597" ht="15"/>
    <row r="1598" ht="15"/>
    <row r="1599" ht="15"/>
    <row r="1600" ht="15"/>
    <row r="1601" ht="15"/>
    <row r="1602" ht="15"/>
    <row r="1603" ht="15"/>
    <row r="1604" ht="15"/>
    <row r="1605" ht="15"/>
    <row r="1606" ht="15"/>
    <row r="1607" ht="15"/>
    <row r="1608" ht="15"/>
    <row r="1609" ht="15"/>
    <row r="1610" ht="15"/>
    <row r="1611" ht="15"/>
    <row r="1612" ht="15"/>
    <row r="1613" ht="15"/>
    <row r="1614" ht="15"/>
    <row r="1615" ht="15"/>
    <row r="1616" ht="15"/>
    <row r="1617" ht="15"/>
    <row r="1618" ht="15"/>
    <row r="1619" ht="15"/>
    <row r="1620" ht="15"/>
    <row r="1621" ht="15"/>
    <row r="1622" ht="15"/>
    <row r="1623" ht="15"/>
    <row r="1624" ht="15"/>
    <row r="1625" ht="15"/>
    <row r="1626" ht="15"/>
    <row r="1627" ht="15"/>
    <row r="1628" ht="15"/>
    <row r="1629" ht="15"/>
    <row r="1630" ht="15"/>
    <row r="1631" ht="15"/>
    <row r="1632" ht="15"/>
    <row r="1633" ht="15"/>
    <row r="1634" ht="15"/>
    <row r="1635" ht="15"/>
    <row r="1636" ht="15"/>
    <row r="1637" ht="15"/>
    <row r="1638" ht="15"/>
    <row r="1639" ht="15"/>
    <row r="1640" ht="15"/>
    <row r="1641" ht="15"/>
    <row r="1642" ht="15"/>
    <row r="1643" ht="15"/>
    <row r="1644" ht="15"/>
    <row r="1645" ht="15"/>
    <row r="1646" ht="15"/>
    <row r="1647" ht="15"/>
    <row r="1648" ht="15"/>
    <row r="1649" ht="15"/>
    <row r="1650" ht="15"/>
    <row r="1651" ht="15"/>
    <row r="1652" ht="15"/>
    <row r="1653" ht="15"/>
    <row r="1654" ht="15"/>
    <row r="1655" ht="15"/>
    <row r="1656" ht="15"/>
    <row r="1657" ht="15"/>
    <row r="1658" ht="15"/>
    <row r="1659" ht="15"/>
    <row r="1660" ht="15"/>
    <row r="1661" ht="15"/>
    <row r="1662" ht="15"/>
    <row r="1663" ht="15"/>
    <row r="1664" ht="15"/>
    <row r="1665" ht="15"/>
    <row r="1666" ht="15"/>
    <row r="1667" ht="15"/>
    <row r="1668" ht="15"/>
    <row r="1669" ht="15"/>
    <row r="1670" ht="15"/>
    <row r="1671" ht="15"/>
    <row r="1672" ht="15"/>
    <row r="1673" ht="15"/>
    <row r="1674" ht="15"/>
    <row r="1675" ht="15"/>
    <row r="1676" ht="15"/>
    <row r="1677" ht="15"/>
    <row r="1678" ht="15"/>
    <row r="1679" ht="15"/>
    <row r="1680" ht="15"/>
    <row r="1681" ht="15"/>
    <row r="1682" ht="15"/>
    <row r="1683" ht="15"/>
    <row r="1684" ht="15"/>
    <row r="1685" ht="15"/>
    <row r="1686" ht="15"/>
    <row r="1687" ht="15"/>
    <row r="1688" ht="15"/>
    <row r="1689" ht="15"/>
    <row r="1690" ht="15"/>
    <row r="1691" ht="15"/>
    <row r="1692" ht="15"/>
    <row r="1693" ht="15"/>
    <row r="1694" ht="15"/>
    <row r="1695" ht="15"/>
    <row r="1696" ht="15"/>
    <row r="1697" ht="15"/>
    <row r="1698" ht="15"/>
    <row r="1699" ht="15"/>
    <row r="1700" ht="15"/>
    <row r="1701" ht="15"/>
    <row r="1702" ht="15"/>
    <row r="1703" ht="15"/>
    <row r="1704" ht="15"/>
    <row r="1705" ht="15"/>
    <row r="1706" ht="15"/>
    <row r="1707" ht="15"/>
    <row r="1708" ht="15"/>
    <row r="1709" ht="15"/>
    <row r="1710" ht="15"/>
    <row r="1711" ht="15"/>
    <row r="1712" ht="15"/>
    <row r="1713" ht="15"/>
    <row r="1714" ht="15"/>
    <row r="1715" ht="15"/>
    <row r="1716" ht="15"/>
    <row r="1717" ht="15"/>
    <row r="1718" ht="15"/>
    <row r="1719" ht="15"/>
    <row r="1720" ht="15"/>
    <row r="1721" ht="15"/>
    <row r="1722" ht="15"/>
    <row r="1723" ht="15"/>
    <row r="1724" ht="15"/>
    <row r="1725" ht="15"/>
    <row r="1726" ht="15"/>
    <row r="1727" ht="15"/>
    <row r="1728" ht="15"/>
    <row r="1729" ht="15"/>
    <row r="1730" ht="15"/>
    <row r="1731" ht="15"/>
    <row r="1732" ht="15"/>
    <row r="1733" ht="15"/>
    <row r="1734" ht="15"/>
    <row r="1735" ht="15"/>
    <row r="1736" ht="15"/>
    <row r="1737" ht="15"/>
    <row r="1738" ht="15"/>
    <row r="1739" ht="15"/>
    <row r="1740" ht="15"/>
    <row r="1741" ht="15"/>
    <row r="1742" ht="15"/>
    <row r="1743" ht="15"/>
    <row r="1744" ht="15"/>
    <row r="1745" ht="15"/>
    <row r="1746" ht="15"/>
    <row r="1747" ht="15"/>
    <row r="1748" ht="15"/>
    <row r="1749" ht="15"/>
    <row r="1750" ht="15"/>
    <row r="1751" ht="15"/>
    <row r="1752" ht="15"/>
    <row r="1753" ht="15"/>
    <row r="1754" ht="15"/>
    <row r="1755" ht="15"/>
    <row r="1756" ht="15"/>
    <row r="1757" ht="15"/>
    <row r="1758" ht="15"/>
    <row r="1759" ht="15"/>
    <row r="1760" ht="15"/>
    <row r="1761" ht="15"/>
    <row r="1762" ht="15"/>
    <row r="1763" ht="15"/>
    <row r="1764" ht="15"/>
    <row r="1765" ht="15"/>
    <row r="1766" ht="15"/>
    <row r="1767" ht="15"/>
    <row r="1768" ht="15"/>
    <row r="1769" ht="15"/>
    <row r="1770" ht="15"/>
    <row r="1771" ht="15"/>
    <row r="1772" ht="15"/>
    <row r="1773" ht="15"/>
    <row r="1774" ht="15"/>
    <row r="1775" ht="15"/>
    <row r="1776" ht="15"/>
    <row r="1777" ht="15"/>
    <row r="1778" ht="15"/>
    <row r="1779" ht="15"/>
    <row r="1780" ht="15"/>
    <row r="1781" ht="15"/>
    <row r="1782" ht="15"/>
    <row r="1783" ht="15"/>
    <row r="1784" ht="15"/>
    <row r="1785" ht="15"/>
    <row r="1786" ht="15"/>
    <row r="1787" ht="15"/>
    <row r="1788" ht="15"/>
    <row r="1789" ht="15"/>
    <row r="1790" ht="15"/>
    <row r="1791" ht="15"/>
    <row r="1792" ht="15"/>
    <row r="1793" ht="15"/>
    <row r="1794" ht="15"/>
    <row r="1795" ht="15"/>
    <row r="1796" ht="15"/>
    <row r="1797" ht="15"/>
    <row r="1798" ht="15"/>
    <row r="1799" ht="15"/>
    <row r="1800" ht="15"/>
    <row r="1801" ht="15"/>
    <row r="1802" ht="15"/>
    <row r="1803" ht="15"/>
    <row r="1804" ht="15"/>
    <row r="1805" ht="15"/>
    <row r="1806" ht="15"/>
    <row r="1807" ht="15"/>
    <row r="1808" ht="15"/>
    <row r="1809" ht="15"/>
    <row r="1810" ht="15"/>
    <row r="1811" ht="15"/>
    <row r="1812" ht="15"/>
    <row r="1813" ht="15"/>
    <row r="1814" ht="15"/>
    <row r="1815" ht="15"/>
    <row r="1816" ht="15"/>
    <row r="1817" ht="15"/>
    <row r="1818" ht="15"/>
    <row r="1819" ht="15"/>
    <row r="1820" ht="15"/>
    <row r="1821" ht="15"/>
    <row r="1822" ht="15"/>
    <row r="1823" ht="15"/>
    <row r="1824" ht="15"/>
    <row r="1825" ht="15"/>
    <row r="1826" ht="15"/>
    <row r="1827" ht="15"/>
    <row r="1828" ht="15"/>
    <row r="1829" ht="15"/>
    <row r="1830" ht="15"/>
    <row r="1831" ht="15"/>
    <row r="1832" ht="15"/>
    <row r="1833" ht="15"/>
    <row r="1834" ht="15"/>
    <row r="1835" ht="15"/>
    <row r="1836" ht="15"/>
    <row r="1837" ht="15"/>
    <row r="1838" ht="15"/>
    <row r="1839" ht="15"/>
    <row r="1840" ht="15"/>
    <row r="1841" ht="15"/>
    <row r="1842" ht="15"/>
    <row r="1843" ht="15"/>
    <row r="1844" ht="15"/>
    <row r="1845" ht="15"/>
    <row r="1846" ht="15"/>
    <row r="1847" ht="15"/>
    <row r="1848" ht="15"/>
    <row r="1849" ht="15"/>
    <row r="1850" ht="15"/>
    <row r="1851" ht="15"/>
    <row r="1852" ht="15"/>
    <row r="1853" ht="15"/>
    <row r="1854" ht="15"/>
    <row r="1855" ht="15"/>
    <row r="1856" ht="15"/>
    <row r="1857" ht="15"/>
    <row r="1858" ht="15"/>
    <row r="1859" ht="15"/>
    <row r="1860" ht="15"/>
    <row r="1861" ht="15"/>
    <row r="1862" ht="15"/>
    <row r="1863" ht="15"/>
    <row r="1864" ht="15"/>
    <row r="1865" ht="15"/>
    <row r="1866" ht="15"/>
    <row r="1867" ht="15"/>
    <row r="1868" ht="15"/>
    <row r="1869" ht="15"/>
    <row r="1870" ht="15"/>
    <row r="1871" ht="15"/>
    <row r="1872" ht="15"/>
    <row r="1873" ht="15"/>
    <row r="1874" ht="15"/>
    <row r="1875" ht="15"/>
    <row r="1876" ht="15"/>
    <row r="1877" ht="15"/>
    <row r="1878" ht="15"/>
    <row r="1879" ht="15"/>
    <row r="1880" ht="15"/>
    <row r="1881" ht="15"/>
    <row r="1882" ht="15"/>
    <row r="1883" ht="15"/>
    <row r="1884" ht="15"/>
    <row r="1885" ht="15"/>
    <row r="1886" ht="15"/>
    <row r="1887" ht="15"/>
    <row r="1888" ht="15"/>
    <row r="1889" ht="15"/>
    <row r="1890" ht="15"/>
    <row r="1891" ht="15"/>
    <row r="1892" ht="15"/>
    <row r="1893" ht="15"/>
    <row r="1894" ht="15"/>
    <row r="1895" ht="15"/>
    <row r="1896" ht="15"/>
    <row r="1897" ht="15"/>
    <row r="1898" ht="15"/>
    <row r="1899" ht="15"/>
    <row r="1900" ht="15"/>
    <row r="1901" ht="15"/>
    <row r="1902" ht="15"/>
    <row r="1903" ht="15"/>
    <row r="1904" ht="15"/>
    <row r="1905" ht="15"/>
    <row r="1906" ht="15"/>
    <row r="1907" ht="15"/>
    <row r="1908" ht="15"/>
    <row r="1909" ht="15"/>
    <row r="1910" ht="15"/>
    <row r="1911" ht="15"/>
    <row r="1912" ht="15"/>
    <row r="1913" ht="15"/>
    <row r="1914" ht="15"/>
    <row r="1915" ht="15"/>
    <row r="1916" ht="15"/>
    <row r="1917" ht="15"/>
    <row r="1918" ht="15"/>
    <row r="1919" ht="15"/>
    <row r="1920" ht="15"/>
    <row r="1921" ht="15"/>
    <row r="1922" ht="15"/>
    <row r="1923" ht="15"/>
    <row r="1924" ht="15"/>
    <row r="1925" ht="15"/>
    <row r="1926" ht="15"/>
    <row r="1927" ht="15"/>
    <row r="1928" ht="15"/>
    <row r="1929" ht="15"/>
    <row r="1930" ht="15"/>
    <row r="1931" ht="15"/>
    <row r="1932" ht="15"/>
    <row r="1933" ht="15"/>
    <row r="1934" ht="15"/>
    <row r="1935" ht="15"/>
    <row r="1936" ht="15"/>
    <row r="1937" ht="15"/>
    <row r="1938" ht="15"/>
    <row r="1939" ht="15"/>
    <row r="1940" ht="15"/>
    <row r="1941" ht="15"/>
    <row r="1942" ht="15"/>
    <row r="1943" ht="15"/>
    <row r="1944" ht="15"/>
    <row r="1945" ht="15"/>
    <row r="1946" ht="15"/>
    <row r="1947" ht="15"/>
    <row r="1948" ht="15"/>
    <row r="1949" ht="15"/>
    <row r="1950" ht="15"/>
    <row r="1951" ht="15"/>
    <row r="1952" ht="15"/>
    <row r="1953" ht="15"/>
    <row r="1954" ht="15"/>
    <row r="1955" ht="15"/>
    <row r="1956" ht="15"/>
    <row r="1957" ht="15"/>
    <row r="1958" ht="15"/>
    <row r="1959" ht="15"/>
    <row r="1960" ht="15"/>
    <row r="1961" ht="15"/>
    <row r="1962" ht="15"/>
    <row r="1963" ht="15"/>
    <row r="1964" ht="15"/>
    <row r="1965" ht="15"/>
    <row r="1966" ht="15"/>
    <row r="1967" ht="15"/>
    <row r="1968" ht="15"/>
    <row r="1969" ht="15"/>
    <row r="1970" ht="15"/>
    <row r="1971" ht="15"/>
    <row r="1972" ht="15"/>
    <row r="1973" ht="15"/>
    <row r="1974" ht="15"/>
    <row r="1975" ht="15"/>
    <row r="1976" ht="15"/>
    <row r="1977" ht="15"/>
    <row r="1978" ht="15"/>
    <row r="1979" ht="15"/>
    <row r="1980" ht="15"/>
    <row r="1981" ht="15"/>
    <row r="1982" ht="15"/>
    <row r="1983" ht="15"/>
    <row r="1984" ht="15"/>
    <row r="1985" ht="15"/>
    <row r="1986" ht="15"/>
    <row r="1987" ht="15"/>
    <row r="1988" ht="15"/>
    <row r="1989" ht="15"/>
    <row r="1990" ht="15"/>
    <row r="1991" ht="15"/>
    <row r="1992" ht="15"/>
    <row r="1993" ht="15"/>
    <row r="1994" ht="15"/>
    <row r="1995" ht="15"/>
    <row r="1996" ht="15"/>
    <row r="1997" ht="15"/>
    <row r="1998" ht="15"/>
    <row r="1999" ht="15"/>
    <row r="2000" ht="15"/>
    <row r="2001" ht="15"/>
    <row r="2002" ht="15"/>
    <row r="2003" ht="15"/>
    <row r="2004" ht="15"/>
    <row r="2005" ht="15"/>
    <row r="2006" ht="15"/>
    <row r="2007" ht="15"/>
    <row r="2008" ht="15"/>
    <row r="2009" ht="15"/>
    <row r="2010" ht="15"/>
    <row r="2011" ht="15"/>
    <row r="2012" ht="15"/>
    <row r="2013" ht="15"/>
    <row r="2014" ht="15"/>
    <row r="2015" ht="15"/>
    <row r="2016" ht="15"/>
    <row r="2017" ht="15"/>
    <row r="2018" ht="15"/>
    <row r="2019" ht="15"/>
    <row r="2020" ht="15"/>
    <row r="2021" ht="15"/>
    <row r="2022" ht="15"/>
    <row r="2023" ht="15"/>
    <row r="2024" ht="15"/>
    <row r="2025" ht="15"/>
    <row r="2026" ht="15"/>
    <row r="2027" ht="15"/>
    <row r="2028" ht="15"/>
    <row r="2029" ht="15"/>
    <row r="2030" ht="15"/>
    <row r="2031" ht="15"/>
    <row r="2032" ht="15"/>
    <row r="2033" ht="15"/>
    <row r="2034" ht="15"/>
    <row r="2035" ht="15"/>
    <row r="2036" ht="15"/>
    <row r="2037" ht="15"/>
    <row r="2038" ht="15"/>
    <row r="2039" ht="15"/>
    <row r="2040" ht="15"/>
    <row r="2041" ht="15"/>
    <row r="2042" ht="15"/>
    <row r="2043" ht="15"/>
    <row r="2044" ht="15"/>
    <row r="2045" ht="15"/>
    <row r="2046" ht="15"/>
    <row r="2047" ht="15"/>
    <row r="2048" ht="15"/>
    <row r="2049" ht="15"/>
    <row r="2050" ht="15"/>
    <row r="2051" ht="15"/>
    <row r="2052" ht="15"/>
    <row r="2053" ht="15"/>
    <row r="2054" ht="15"/>
    <row r="2055" ht="15"/>
    <row r="2056" ht="15"/>
    <row r="2057" ht="15"/>
    <row r="2058" ht="15"/>
    <row r="2059" ht="15"/>
    <row r="2060" ht="15"/>
    <row r="2061" ht="15"/>
    <row r="2062" ht="15"/>
  </sheetData>
  <pageMargins left="0.25" right="0.25" top="0.75" bottom="0.75" header="0.3" footer="0.3"/>
  <pageSetup paperSize="3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A5479-AD66-450A-9F61-6BF60C77BF72}">
  <sheetPr codeName="Sheet63">
    <tabColor theme="6" tint="0.39997558519241921"/>
    <pageSetUpPr fitToPage="1"/>
  </sheetPr>
  <dimension ref="A1:AK599"/>
  <sheetViews>
    <sheetView topLeftCell="I1" workbookViewId="0">
      <pane ySplit="1" topLeftCell="A2" activePane="bottomLeft" state="frozen"/>
      <selection activeCell="A2" sqref="A2"/>
      <selection pane="bottomLeft" activeCell="AB15" sqref="AB15"/>
    </sheetView>
  </sheetViews>
  <sheetFormatPr defaultColWidth="14.28515625" defaultRowHeight="12"/>
  <cols>
    <col min="1" max="1" width="14.140625" style="32" bestFit="1" customWidth="1"/>
    <col min="2" max="2" width="12.7109375" style="32" bestFit="1" customWidth="1"/>
    <col min="3" max="3" width="38" style="32" bestFit="1" customWidth="1"/>
    <col min="4" max="4" width="11.7109375" style="32" bestFit="1" customWidth="1"/>
    <col min="5" max="5" width="10.42578125" style="34" bestFit="1" customWidth="1"/>
    <col min="6" max="6" width="16.5703125" style="32" bestFit="1" customWidth="1"/>
    <col min="7" max="7" width="10.42578125" style="34" bestFit="1" customWidth="1"/>
    <col min="8" max="8" width="9.28515625" style="7" bestFit="1" customWidth="1"/>
    <col min="9" max="9" width="12.140625" style="32" bestFit="1" customWidth="1"/>
    <col min="10" max="10" width="12.85546875" style="34" bestFit="1" customWidth="1"/>
    <col min="11" max="11" width="9.28515625" style="7" bestFit="1" customWidth="1"/>
    <col min="12" max="12" width="13.140625" style="7" bestFit="1" customWidth="1"/>
    <col min="13" max="13" width="9.85546875" style="34" bestFit="1" customWidth="1"/>
    <col min="14" max="14" width="8" style="32" bestFit="1" customWidth="1"/>
    <col min="15" max="15" width="10.42578125" style="36" bestFit="1" customWidth="1"/>
    <col min="16" max="16" width="17.7109375" style="32" customWidth="1"/>
    <col min="17" max="17" width="15.28515625" style="5" bestFit="1" customWidth="1"/>
    <col min="18" max="18" width="7.85546875" style="5" bestFit="1" customWidth="1"/>
    <col min="19" max="19" width="11" style="6" bestFit="1" customWidth="1"/>
    <col min="20" max="20" width="12.28515625" style="6" bestFit="1" customWidth="1"/>
    <col min="21" max="21" width="13.5703125" style="6" bestFit="1" customWidth="1"/>
    <col min="22" max="22" width="11.28515625" style="7" bestFit="1" customWidth="1"/>
    <col min="23" max="23" width="13.140625" style="7" bestFit="1" customWidth="1"/>
    <col min="24" max="24" width="12" style="7" bestFit="1" customWidth="1"/>
    <col min="25" max="25" width="13.28515625" style="5" bestFit="1" customWidth="1"/>
    <col min="26" max="26" width="20.28515625" style="5" bestFit="1" customWidth="1"/>
    <col min="27" max="27" width="12.7109375" style="6" bestFit="1" customWidth="1"/>
    <col min="28" max="28" width="13.5703125" style="7" bestFit="1" customWidth="1"/>
    <col min="29" max="29" width="14.28515625" style="7"/>
    <col min="30" max="30" width="14" style="7" customWidth="1"/>
    <col min="31" max="31" width="23.5703125" style="7" bestFit="1" customWidth="1"/>
    <col min="32" max="32" width="10" style="7" bestFit="1" customWidth="1"/>
    <col min="33" max="35" width="11" style="5" bestFit="1" customWidth="1"/>
    <col min="36" max="16384" width="14.28515625" style="5"/>
  </cols>
  <sheetData>
    <row r="1" spans="1:37" s="2" customFormat="1" ht="36">
      <c r="A1" s="31" t="s">
        <v>3513</v>
      </c>
      <c r="B1" s="31" t="s">
        <v>3514</v>
      </c>
      <c r="C1" s="31" t="s">
        <v>3515</v>
      </c>
      <c r="D1" s="31" t="s">
        <v>3996</v>
      </c>
      <c r="E1" s="33" t="s">
        <v>3516</v>
      </c>
      <c r="F1" s="31" t="s">
        <v>3517</v>
      </c>
      <c r="G1" s="33" t="s">
        <v>3518</v>
      </c>
      <c r="H1" s="4" t="s">
        <v>3650</v>
      </c>
      <c r="I1" s="31" t="s">
        <v>3519</v>
      </c>
      <c r="J1" s="33" t="s">
        <v>3997</v>
      </c>
      <c r="K1" s="4" t="s">
        <v>3651</v>
      </c>
      <c r="L1" s="4" t="s">
        <v>3520</v>
      </c>
      <c r="M1" s="33" t="s">
        <v>3704</v>
      </c>
      <c r="N1" s="31" t="s">
        <v>3521</v>
      </c>
      <c r="O1" s="35" t="s">
        <v>3522</v>
      </c>
      <c r="P1" s="31" t="s">
        <v>3523</v>
      </c>
      <c r="Q1" s="2" t="s">
        <v>0</v>
      </c>
      <c r="R1" s="2" t="s">
        <v>3998</v>
      </c>
      <c r="S1" s="3" t="s">
        <v>3999</v>
      </c>
      <c r="T1" s="3" t="s">
        <v>4000</v>
      </c>
      <c r="U1" s="3" t="s">
        <v>4001</v>
      </c>
      <c r="V1" s="4" t="s">
        <v>4002</v>
      </c>
      <c r="W1" s="4" t="s">
        <v>4003</v>
      </c>
      <c r="X1" s="4" t="s">
        <v>4004</v>
      </c>
      <c r="Y1" s="2" t="s">
        <v>4005</v>
      </c>
      <c r="Z1" s="2" t="s">
        <v>4006</v>
      </c>
      <c r="AA1" s="3" t="s">
        <v>4007</v>
      </c>
      <c r="AB1" s="4" t="s">
        <v>4008</v>
      </c>
      <c r="AC1" s="4" t="s">
        <v>4009</v>
      </c>
      <c r="AD1" s="4" t="s">
        <v>4010</v>
      </c>
      <c r="AE1" s="4" t="s">
        <v>4011</v>
      </c>
      <c r="AF1" s="4" t="s">
        <v>4012</v>
      </c>
      <c r="AG1" s="2" t="s">
        <v>4013</v>
      </c>
      <c r="AH1" s="2" t="s">
        <v>4014</v>
      </c>
      <c r="AI1" s="2" t="s">
        <v>4015</v>
      </c>
      <c r="AJ1" s="2" t="s">
        <v>4016</v>
      </c>
      <c r="AK1" s="2" t="s">
        <v>4017</v>
      </c>
    </row>
    <row r="2" spans="1:37">
      <c r="A2" s="32" t="s">
        <v>56</v>
      </c>
      <c r="B2" s="32">
        <v>6637</v>
      </c>
      <c r="C2" s="32" t="s">
        <v>3691</v>
      </c>
      <c r="E2" s="34">
        <v>9338</v>
      </c>
      <c r="I2" s="32" t="s">
        <v>3692</v>
      </c>
      <c r="N2" s="32">
        <v>3</v>
      </c>
      <c r="O2" s="36">
        <v>1.89</v>
      </c>
      <c r="Q2" s="5" t="s">
        <v>3693</v>
      </c>
      <c r="R2" s="5" t="s">
        <v>4019</v>
      </c>
      <c r="S2" s="6">
        <v>9338</v>
      </c>
      <c r="T2" s="6">
        <v>9338</v>
      </c>
      <c r="U2" s="6">
        <v>0</v>
      </c>
      <c r="V2" s="7" t="s">
        <v>3790</v>
      </c>
      <c r="W2" s="7" t="s">
        <v>3790</v>
      </c>
      <c r="X2" s="7" t="s">
        <v>3790</v>
      </c>
      <c r="Y2" s="5" t="s">
        <v>4018</v>
      </c>
      <c r="Z2" s="5" t="s">
        <v>3790</v>
      </c>
      <c r="AA2" s="6">
        <v>9338</v>
      </c>
      <c r="AB2" s="7" t="s">
        <v>4020</v>
      </c>
      <c r="AC2" s="7" t="str">
        <f>A2&amp;COUNTIF($A$2:A2,A2)</f>
        <v>10000002-37001</v>
      </c>
      <c r="AD2" s="7">
        <v>44274</v>
      </c>
      <c r="AE2" s="7" t="s">
        <v>3790</v>
      </c>
      <c r="AF2" s="7" t="s">
        <v>3790</v>
      </c>
      <c r="AG2" s="5">
        <v>84</v>
      </c>
      <c r="AH2" s="5">
        <v>49</v>
      </c>
      <c r="AI2" s="5">
        <v>14</v>
      </c>
      <c r="AJ2" s="5">
        <v>0</v>
      </c>
      <c r="AK2" s="5" t="str">
        <f t="shared" ref="AK2:AK65" ca="1" si="0">IFERROR(IF(OR(U2&lt;&gt;0,W2&lt;&gt;"",Y2="releasable",I2&lt;&gt;"",SUM(S2:T2)&gt;0),"run complete",IF(AND(Y2="not releasable",I2="",U2=0,V2&lt;TODAY()),"Past Due","within range")),"missing supplier data")</f>
        <v>run complete</v>
      </c>
    </row>
    <row r="3" spans="1:37">
      <c r="A3" s="32" t="s">
        <v>64</v>
      </c>
      <c r="B3" s="32">
        <v>6962</v>
      </c>
      <c r="C3" s="32" t="s">
        <v>3694</v>
      </c>
      <c r="E3" s="34">
        <v>5734</v>
      </c>
      <c r="I3" s="32" t="s">
        <v>3692</v>
      </c>
      <c r="N3" s="32">
        <v>3</v>
      </c>
      <c r="O3" s="36">
        <v>1.89</v>
      </c>
      <c r="Q3" s="5" t="s">
        <v>3693</v>
      </c>
      <c r="R3" s="5" t="s">
        <v>4021</v>
      </c>
      <c r="S3" s="6">
        <v>5734</v>
      </c>
      <c r="T3" s="6">
        <v>5734</v>
      </c>
      <c r="U3" s="6">
        <v>0</v>
      </c>
      <c r="V3" s="7" t="s">
        <v>3790</v>
      </c>
      <c r="W3" s="7" t="s">
        <v>3790</v>
      </c>
      <c r="X3" s="7" t="s">
        <v>3790</v>
      </c>
      <c r="Y3" s="5" t="s">
        <v>4018</v>
      </c>
      <c r="Z3" s="5" t="s">
        <v>3790</v>
      </c>
      <c r="AA3" s="6">
        <v>5734</v>
      </c>
      <c r="AB3" s="7" t="s">
        <v>4026</v>
      </c>
      <c r="AC3" s="7" t="str">
        <f>A3&amp;COUNTIF($A$2:A3,A3)</f>
        <v>10000002-50001</v>
      </c>
      <c r="AD3" s="7">
        <v>44642</v>
      </c>
      <c r="AE3" s="7" t="s">
        <v>3790</v>
      </c>
      <c r="AF3" s="7" t="s">
        <v>3790</v>
      </c>
      <c r="AG3" s="5">
        <v>84</v>
      </c>
      <c r="AH3" s="5">
        <v>49</v>
      </c>
      <c r="AI3" s="5">
        <v>14</v>
      </c>
      <c r="AJ3" s="5">
        <v>0</v>
      </c>
      <c r="AK3" s="5" t="str">
        <f t="shared" ca="1" si="0"/>
        <v>run complete</v>
      </c>
    </row>
    <row r="4" spans="1:37">
      <c r="A4" s="32" t="s">
        <v>65</v>
      </c>
      <c r="B4" s="32">
        <v>6962</v>
      </c>
      <c r="C4" s="32" t="s">
        <v>3695</v>
      </c>
      <c r="E4" s="34">
        <v>27641</v>
      </c>
      <c r="I4" s="32" t="s">
        <v>3692</v>
      </c>
      <c r="N4" s="32">
        <v>3</v>
      </c>
      <c r="O4" s="36">
        <v>1.89</v>
      </c>
      <c r="Q4" s="5" t="s">
        <v>3693</v>
      </c>
      <c r="R4" s="5" t="s">
        <v>4021</v>
      </c>
      <c r="S4" s="6">
        <v>27641</v>
      </c>
      <c r="T4" s="6">
        <v>27641</v>
      </c>
      <c r="U4" s="6">
        <v>0</v>
      </c>
      <c r="V4" s="7" t="s">
        <v>3790</v>
      </c>
      <c r="W4" s="7" t="s">
        <v>3790</v>
      </c>
      <c r="X4" s="7" t="s">
        <v>3790</v>
      </c>
      <c r="Y4" s="5" t="s">
        <v>4018</v>
      </c>
      <c r="Z4" s="5" t="s">
        <v>3790</v>
      </c>
      <c r="AA4" s="6">
        <v>27641</v>
      </c>
      <c r="AB4" s="7" t="s">
        <v>4027</v>
      </c>
      <c r="AC4" s="7" t="str">
        <f>A4&amp;COUNTIF($A$2:A4,A4)</f>
        <v>10000002-62001</v>
      </c>
      <c r="AD4" s="7">
        <v>44642</v>
      </c>
      <c r="AE4" s="7" t="s">
        <v>3790</v>
      </c>
      <c r="AF4" s="7" t="s">
        <v>3790</v>
      </c>
      <c r="AG4" s="5">
        <v>84</v>
      </c>
      <c r="AH4" s="5">
        <v>49</v>
      </c>
      <c r="AI4" s="5">
        <v>14</v>
      </c>
      <c r="AJ4" s="5">
        <v>0</v>
      </c>
      <c r="AK4" s="5" t="str">
        <f t="shared" ca="1" si="0"/>
        <v>run complete</v>
      </c>
    </row>
    <row r="5" spans="1:37">
      <c r="A5" s="32" t="s">
        <v>66</v>
      </c>
      <c r="B5" s="32" t="s">
        <v>3793</v>
      </c>
      <c r="C5" s="32" t="s">
        <v>3789</v>
      </c>
      <c r="D5" s="32" t="s">
        <v>3790</v>
      </c>
      <c r="E5" s="34" t="s">
        <v>5953</v>
      </c>
      <c r="F5" s="32" t="s">
        <v>3790</v>
      </c>
      <c r="G5" s="34" t="s">
        <v>3582</v>
      </c>
      <c r="H5" s="7" t="s">
        <v>3794</v>
      </c>
      <c r="I5" s="32" t="s">
        <v>3658</v>
      </c>
      <c r="J5" s="34" t="s">
        <v>3790</v>
      </c>
      <c r="K5" s="7" t="s">
        <v>3790</v>
      </c>
      <c r="L5" s="7" t="s">
        <v>3795</v>
      </c>
      <c r="M5" s="34" t="s">
        <v>5954</v>
      </c>
      <c r="N5" s="32" t="s">
        <v>3528</v>
      </c>
      <c r="O5" s="36">
        <v>4.1500000000000004</v>
      </c>
      <c r="P5" s="32" t="s">
        <v>3790</v>
      </c>
      <c r="Q5" s="5" t="s">
        <v>3792</v>
      </c>
      <c r="R5" s="5" t="s">
        <v>3793</v>
      </c>
      <c r="S5" s="6">
        <v>512</v>
      </c>
      <c r="T5" s="6">
        <v>498</v>
      </c>
      <c r="U5" s="6">
        <v>0</v>
      </c>
      <c r="V5" s="7">
        <v>44865</v>
      </c>
      <c r="W5" s="7" t="s">
        <v>3790</v>
      </c>
      <c r="X5" s="7">
        <v>45003</v>
      </c>
      <c r="Y5" s="5" t="s">
        <v>4018</v>
      </c>
      <c r="Z5" s="5" t="s">
        <v>3790</v>
      </c>
      <c r="AA5" s="6">
        <v>498</v>
      </c>
      <c r="AB5" s="7" t="s">
        <v>4029</v>
      </c>
      <c r="AC5" s="7" t="str">
        <f>A5&amp;COUNTIF($A$2:A5,A5)</f>
        <v>10000007-37001</v>
      </c>
      <c r="AD5" s="7">
        <v>44795</v>
      </c>
      <c r="AE5" s="7" t="s">
        <v>3790</v>
      </c>
      <c r="AF5" s="7" t="s">
        <v>3790</v>
      </c>
      <c r="AG5" s="5">
        <v>70</v>
      </c>
      <c r="AH5" s="5">
        <v>7</v>
      </c>
      <c r="AI5" s="5">
        <v>14</v>
      </c>
      <c r="AJ5" s="5">
        <v>500</v>
      </c>
      <c r="AK5" s="5" t="str">
        <f t="shared" ca="1" si="0"/>
        <v>run complete</v>
      </c>
    </row>
    <row r="6" spans="1:37">
      <c r="A6" s="32" t="s">
        <v>69</v>
      </c>
      <c r="B6" s="32" t="s">
        <v>3793</v>
      </c>
      <c r="C6" s="32" t="s">
        <v>3789</v>
      </c>
      <c r="D6" s="32" t="s">
        <v>3790</v>
      </c>
      <c r="E6" s="34" t="s">
        <v>7490</v>
      </c>
      <c r="F6" s="32" t="s">
        <v>3790</v>
      </c>
      <c r="G6" s="34" t="s">
        <v>3796</v>
      </c>
      <c r="H6" s="7" t="s">
        <v>3794</v>
      </c>
      <c r="I6" s="32" t="s">
        <v>3658</v>
      </c>
      <c r="J6" s="34" t="s">
        <v>3790</v>
      </c>
      <c r="K6" s="7" t="s">
        <v>3790</v>
      </c>
      <c r="L6" s="7" t="s">
        <v>3795</v>
      </c>
      <c r="M6" s="34" t="s">
        <v>5955</v>
      </c>
      <c r="N6" s="32" t="s">
        <v>3528</v>
      </c>
      <c r="O6" s="36">
        <v>4.1500000000000004</v>
      </c>
      <c r="P6" s="32" t="s">
        <v>3790</v>
      </c>
      <c r="Q6" s="5" t="s">
        <v>3792</v>
      </c>
      <c r="R6" s="5" t="s">
        <v>3793</v>
      </c>
      <c r="S6" s="6">
        <v>11992</v>
      </c>
      <c r="T6" s="6">
        <v>10560</v>
      </c>
      <c r="U6" s="6">
        <v>0</v>
      </c>
      <c r="V6" s="7">
        <v>44865</v>
      </c>
      <c r="W6" s="7" t="s">
        <v>3790</v>
      </c>
      <c r="X6" s="7">
        <v>45003</v>
      </c>
      <c r="Y6" s="5" t="s">
        <v>4018</v>
      </c>
      <c r="Z6" s="5" t="s">
        <v>3790</v>
      </c>
      <c r="AA6" s="6">
        <v>10560</v>
      </c>
      <c r="AB6" s="7" t="s">
        <v>4030</v>
      </c>
      <c r="AC6" s="7" t="str">
        <f>A6&amp;COUNTIF($A$2:A6,A6)</f>
        <v>10000007-50001</v>
      </c>
      <c r="AD6" s="7">
        <v>44795</v>
      </c>
      <c r="AE6" s="7" t="s">
        <v>3790</v>
      </c>
      <c r="AF6" s="7" t="s">
        <v>3790</v>
      </c>
      <c r="AG6" s="5">
        <v>70</v>
      </c>
      <c r="AH6" s="5">
        <v>7</v>
      </c>
      <c r="AI6" s="5">
        <v>14</v>
      </c>
      <c r="AJ6" s="5">
        <v>19000</v>
      </c>
      <c r="AK6" s="5" t="str">
        <f t="shared" ca="1" si="0"/>
        <v>run complete</v>
      </c>
    </row>
    <row r="7" spans="1:37">
      <c r="A7" s="32" t="s">
        <v>70</v>
      </c>
      <c r="B7" s="32" t="s">
        <v>3793</v>
      </c>
      <c r="C7" s="32" t="s">
        <v>3789</v>
      </c>
      <c r="D7" s="32" t="s">
        <v>3790</v>
      </c>
      <c r="E7" s="34" t="s">
        <v>5956</v>
      </c>
      <c r="F7" s="32" t="s">
        <v>3790</v>
      </c>
      <c r="G7" s="34" t="s">
        <v>3798</v>
      </c>
      <c r="H7" s="7" t="s">
        <v>3794</v>
      </c>
      <c r="I7" s="32" t="s">
        <v>3658</v>
      </c>
      <c r="J7" s="34" t="s">
        <v>3790</v>
      </c>
      <c r="K7" s="7" t="s">
        <v>3790</v>
      </c>
      <c r="L7" s="7" t="s">
        <v>3795</v>
      </c>
      <c r="M7" s="34" t="s">
        <v>5957</v>
      </c>
      <c r="N7" s="32" t="s">
        <v>3528</v>
      </c>
      <c r="O7" s="36">
        <v>4.1500000000000004</v>
      </c>
      <c r="P7" s="32" t="s">
        <v>3790</v>
      </c>
      <c r="Q7" s="5" t="s">
        <v>3792</v>
      </c>
      <c r="R7" s="5" t="s">
        <v>3793</v>
      </c>
      <c r="S7" s="6">
        <v>10757</v>
      </c>
      <c r="T7" s="6">
        <v>10428</v>
      </c>
      <c r="U7" s="6">
        <v>0</v>
      </c>
      <c r="V7" s="7">
        <v>44865</v>
      </c>
      <c r="W7" s="7" t="s">
        <v>3790</v>
      </c>
      <c r="X7" s="7">
        <v>45003</v>
      </c>
      <c r="Y7" s="5" t="s">
        <v>4018</v>
      </c>
      <c r="Z7" s="5" t="s">
        <v>3790</v>
      </c>
      <c r="AA7" s="6">
        <v>10428</v>
      </c>
      <c r="AB7" s="7" t="s">
        <v>4031</v>
      </c>
      <c r="AC7" s="7" t="str">
        <f>A7&amp;COUNTIF($A$2:A7,A7)</f>
        <v>10000007-62001</v>
      </c>
      <c r="AD7" s="7">
        <v>44795</v>
      </c>
      <c r="AE7" s="7" t="s">
        <v>3790</v>
      </c>
      <c r="AF7" s="7" t="s">
        <v>3790</v>
      </c>
      <c r="AG7" s="5">
        <v>70</v>
      </c>
      <c r="AH7" s="5">
        <v>7</v>
      </c>
      <c r="AI7" s="5">
        <v>14</v>
      </c>
      <c r="AJ7" s="5">
        <v>10500</v>
      </c>
      <c r="AK7" s="5" t="str">
        <f t="shared" ca="1" si="0"/>
        <v>run complete</v>
      </c>
    </row>
    <row r="8" spans="1:37">
      <c r="A8" s="32" t="s">
        <v>74</v>
      </c>
      <c r="B8" s="32">
        <v>6980</v>
      </c>
      <c r="C8" s="32" t="s">
        <v>3697</v>
      </c>
      <c r="E8" s="34">
        <v>9179</v>
      </c>
      <c r="I8" s="32" t="s">
        <v>3692</v>
      </c>
      <c r="N8" s="32">
        <v>3</v>
      </c>
      <c r="O8" s="36">
        <v>1.89</v>
      </c>
      <c r="Q8" s="5" t="s">
        <v>3693</v>
      </c>
      <c r="R8" s="5" t="s">
        <v>4032</v>
      </c>
      <c r="S8" s="6">
        <v>9179</v>
      </c>
      <c r="T8" s="6">
        <v>9179</v>
      </c>
      <c r="U8" s="6">
        <v>0</v>
      </c>
      <c r="V8" s="7" t="s">
        <v>3790</v>
      </c>
      <c r="W8" s="7" t="s">
        <v>3790</v>
      </c>
      <c r="X8" s="7" t="s">
        <v>3790</v>
      </c>
      <c r="Y8" s="5" t="s">
        <v>4018</v>
      </c>
      <c r="Z8" s="5" t="s">
        <v>3790</v>
      </c>
      <c r="AA8" s="6">
        <v>9179</v>
      </c>
      <c r="AB8" s="7" t="s">
        <v>4033</v>
      </c>
      <c r="AC8" s="7" t="str">
        <f>A8&amp;COUNTIF($A$2:A8,A8)</f>
        <v>10000008-50001</v>
      </c>
      <c r="AD8" s="7">
        <v>44658</v>
      </c>
      <c r="AE8" s="7" t="s">
        <v>3790</v>
      </c>
      <c r="AF8" s="7" t="s">
        <v>3790</v>
      </c>
      <c r="AG8" s="5">
        <v>84</v>
      </c>
      <c r="AH8" s="5">
        <v>49</v>
      </c>
      <c r="AI8" s="5">
        <v>14</v>
      </c>
      <c r="AJ8" s="5">
        <v>0</v>
      </c>
      <c r="AK8" s="5" t="str">
        <f t="shared" ca="1" si="0"/>
        <v>run complete</v>
      </c>
    </row>
    <row r="9" spans="1:37">
      <c r="A9" s="32" t="s">
        <v>74</v>
      </c>
      <c r="B9" s="32">
        <v>7096</v>
      </c>
      <c r="C9" s="32" t="s">
        <v>3697</v>
      </c>
      <c r="E9" s="34">
        <v>24277</v>
      </c>
      <c r="I9" s="32" t="s">
        <v>3692</v>
      </c>
      <c r="N9" s="32">
        <v>3</v>
      </c>
      <c r="O9" s="36">
        <v>1.89</v>
      </c>
      <c r="P9" s="32" t="s">
        <v>7555</v>
      </c>
      <c r="Q9" s="5" t="s">
        <v>3693</v>
      </c>
      <c r="R9" s="5" t="s">
        <v>4023</v>
      </c>
      <c r="S9" s="6">
        <v>24277</v>
      </c>
      <c r="T9" s="6">
        <v>24277</v>
      </c>
      <c r="U9" s="6">
        <v>0</v>
      </c>
      <c r="V9" s="7" t="s">
        <v>3790</v>
      </c>
      <c r="W9" s="7" t="s">
        <v>3790</v>
      </c>
      <c r="X9" s="7" t="s">
        <v>3790</v>
      </c>
      <c r="Y9" s="5" t="s">
        <v>4018</v>
      </c>
      <c r="Z9" s="5" t="s">
        <v>3790</v>
      </c>
      <c r="AA9" s="6">
        <v>24277</v>
      </c>
      <c r="AB9" s="7" t="s">
        <v>4034</v>
      </c>
      <c r="AC9" s="7" t="str">
        <f>A9&amp;COUNTIF($A$2:A9,A9)</f>
        <v>10000008-50002</v>
      </c>
      <c r="AD9" s="7">
        <v>44778</v>
      </c>
      <c r="AE9" s="7" t="s">
        <v>3790</v>
      </c>
      <c r="AF9" s="7" t="s">
        <v>3790</v>
      </c>
      <c r="AG9" s="5">
        <v>84</v>
      </c>
      <c r="AH9" s="5">
        <v>49</v>
      </c>
      <c r="AI9" s="5">
        <v>14</v>
      </c>
      <c r="AJ9" s="5">
        <v>0</v>
      </c>
      <c r="AK9" s="5" t="str">
        <f t="shared" ca="1" si="0"/>
        <v>run complete</v>
      </c>
    </row>
    <row r="10" spans="1:37">
      <c r="A10" s="32" t="s">
        <v>75</v>
      </c>
      <c r="B10" s="32">
        <v>6980</v>
      </c>
      <c r="C10" s="32" t="s">
        <v>3698</v>
      </c>
      <c r="E10" s="34">
        <v>600</v>
      </c>
      <c r="I10" s="32" t="s">
        <v>3692</v>
      </c>
      <c r="N10" s="32">
        <v>3</v>
      </c>
      <c r="O10" s="36">
        <v>1.89</v>
      </c>
      <c r="Q10" s="5" t="s">
        <v>3693</v>
      </c>
      <c r="R10" s="5" t="s">
        <v>4032</v>
      </c>
      <c r="S10" s="6">
        <v>600</v>
      </c>
      <c r="T10" s="6">
        <v>600</v>
      </c>
      <c r="U10" s="6">
        <v>0</v>
      </c>
      <c r="V10" s="7" t="s">
        <v>3790</v>
      </c>
      <c r="W10" s="7" t="s">
        <v>3790</v>
      </c>
      <c r="X10" s="7" t="s">
        <v>3790</v>
      </c>
      <c r="Y10" s="5" t="s">
        <v>4018</v>
      </c>
      <c r="Z10" s="5" t="s">
        <v>3790</v>
      </c>
      <c r="AA10" s="6">
        <v>600</v>
      </c>
      <c r="AB10" s="7" t="s">
        <v>4035</v>
      </c>
      <c r="AC10" s="7" t="str">
        <f>A10&amp;COUNTIF($A$2:A10,A10)</f>
        <v>10000008-62001</v>
      </c>
      <c r="AD10" s="7">
        <v>44658</v>
      </c>
      <c r="AE10" s="7" t="s">
        <v>3790</v>
      </c>
      <c r="AF10" s="7" t="s">
        <v>3790</v>
      </c>
      <c r="AG10" s="5">
        <v>84</v>
      </c>
      <c r="AH10" s="5">
        <v>49</v>
      </c>
      <c r="AI10" s="5">
        <v>14</v>
      </c>
      <c r="AJ10" s="5">
        <v>0</v>
      </c>
      <c r="AK10" s="5" t="str">
        <f t="shared" ca="1" si="0"/>
        <v>run complete</v>
      </c>
    </row>
    <row r="11" spans="1:37">
      <c r="A11" s="32" t="s">
        <v>75</v>
      </c>
      <c r="B11" s="32">
        <v>7096</v>
      </c>
      <c r="C11" s="32" t="s">
        <v>3698</v>
      </c>
      <c r="E11" s="34">
        <v>8719</v>
      </c>
      <c r="I11" s="32" t="s">
        <v>3692</v>
      </c>
      <c r="N11" s="32">
        <v>3</v>
      </c>
      <c r="O11" s="36">
        <v>1.89</v>
      </c>
      <c r="Q11" s="5" t="s">
        <v>3693</v>
      </c>
      <c r="R11" s="5" t="s">
        <v>4023</v>
      </c>
      <c r="S11" s="6">
        <v>8719</v>
      </c>
      <c r="T11" s="6">
        <v>8719</v>
      </c>
      <c r="U11" s="6">
        <v>0</v>
      </c>
      <c r="V11" s="7" t="s">
        <v>3790</v>
      </c>
      <c r="W11" s="7" t="s">
        <v>3790</v>
      </c>
      <c r="X11" s="7" t="s">
        <v>3790</v>
      </c>
      <c r="Y11" s="5" t="s">
        <v>4018</v>
      </c>
      <c r="Z11" s="5" t="s">
        <v>3790</v>
      </c>
      <c r="AA11" s="6">
        <v>8719</v>
      </c>
      <c r="AB11" s="7" t="s">
        <v>4036</v>
      </c>
      <c r="AC11" s="7" t="str">
        <f>A11&amp;COUNTIF($A$2:A11,A11)</f>
        <v>10000008-62002</v>
      </c>
      <c r="AD11" s="7">
        <v>44778</v>
      </c>
      <c r="AE11" s="7" t="s">
        <v>3790</v>
      </c>
      <c r="AF11" s="7" t="s">
        <v>3790</v>
      </c>
      <c r="AG11" s="5">
        <v>84</v>
      </c>
      <c r="AH11" s="5">
        <v>49</v>
      </c>
      <c r="AI11" s="5">
        <v>14</v>
      </c>
      <c r="AJ11" s="5">
        <v>0</v>
      </c>
      <c r="AK11" s="5" t="str">
        <f t="shared" ca="1" si="0"/>
        <v>run complete</v>
      </c>
    </row>
    <row r="12" spans="1:37">
      <c r="A12" s="32" t="s">
        <v>76</v>
      </c>
      <c r="B12" s="32" t="s">
        <v>3799</v>
      </c>
      <c r="C12" s="32" t="s">
        <v>3800</v>
      </c>
      <c r="D12" s="32" t="s">
        <v>3790</v>
      </c>
      <c r="E12" s="34" t="s">
        <v>6322</v>
      </c>
      <c r="F12" s="32" t="s">
        <v>3790</v>
      </c>
      <c r="G12" s="34" t="s">
        <v>3547</v>
      </c>
      <c r="H12" s="7" t="s">
        <v>3649</v>
      </c>
      <c r="I12" s="32" t="s">
        <v>3658</v>
      </c>
      <c r="J12" s="34" t="s">
        <v>3790</v>
      </c>
      <c r="K12" s="7" t="s">
        <v>3790</v>
      </c>
      <c r="L12" s="7" t="s">
        <v>3801</v>
      </c>
      <c r="M12" s="34" t="s">
        <v>6134</v>
      </c>
      <c r="N12" s="32" t="s">
        <v>3528</v>
      </c>
      <c r="O12" s="36">
        <v>3.94</v>
      </c>
      <c r="P12" s="32" t="s">
        <v>3790</v>
      </c>
      <c r="Q12" s="5" t="s">
        <v>3792</v>
      </c>
      <c r="R12" s="5" t="s">
        <v>3799</v>
      </c>
      <c r="S12" s="6">
        <v>14180</v>
      </c>
      <c r="T12" s="6">
        <v>13908</v>
      </c>
      <c r="U12" s="6">
        <v>0</v>
      </c>
      <c r="V12" s="7">
        <v>44879</v>
      </c>
      <c r="W12" s="7" t="s">
        <v>3790</v>
      </c>
      <c r="X12" s="7">
        <v>45017</v>
      </c>
      <c r="Y12" s="5" t="s">
        <v>4018</v>
      </c>
      <c r="Z12" s="5" t="s">
        <v>3790</v>
      </c>
      <c r="AA12" s="6">
        <v>13908</v>
      </c>
      <c r="AB12" s="7" t="s">
        <v>4037</v>
      </c>
      <c r="AC12" s="7" t="str">
        <f>A12&amp;COUNTIF($A$2:A12,A12)</f>
        <v>10000009-43001</v>
      </c>
      <c r="AD12" s="7">
        <v>44795</v>
      </c>
      <c r="AE12" s="7" t="s">
        <v>3790</v>
      </c>
      <c r="AF12" s="7" t="s">
        <v>3790</v>
      </c>
      <c r="AG12" s="5">
        <v>70</v>
      </c>
      <c r="AH12" s="5">
        <v>7</v>
      </c>
      <c r="AI12" s="5">
        <v>14</v>
      </c>
      <c r="AJ12" s="5">
        <v>15000</v>
      </c>
      <c r="AK12" s="5" t="str">
        <f t="shared" ca="1" si="0"/>
        <v>run complete</v>
      </c>
    </row>
    <row r="13" spans="1:37">
      <c r="A13" s="32" t="s">
        <v>79</v>
      </c>
      <c r="B13" s="32" t="s">
        <v>3799</v>
      </c>
      <c r="C13" s="32" t="s">
        <v>3800</v>
      </c>
      <c r="D13" s="32" t="s">
        <v>3790</v>
      </c>
      <c r="E13" s="34" t="s">
        <v>6135</v>
      </c>
      <c r="F13" s="32" t="s">
        <v>3790</v>
      </c>
      <c r="G13" s="34" t="s">
        <v>3802</v>
      </c>
      <c r="H13" s="7" t="s">
        <v>3649</v>
      </c>
      <c r="I13" s="32" t="s">
        <v>3658</v>
      </c>
      <c r="J13" s="34" t="s">
        <v>3790</v>
      </c>
      <c r="K13" s="7" t="s">
        <v>3790</v>
      </c>
      <c r="L13" s="7" t="s">
        <v>3801</v>
      </c>
      <c r="M13" s="34" t="s">
        <v>6132</v>
      </c>
      <c r="N13" s="32" t="s">
        <v>3528</v>
      </c>
      <c r="O13" s="36">
        <v>3.94</v>
      </c>
      <c r="P13" s="32" t="s">
        <v>3790</v>
      </c>
      <c r="Q13" s="5" t="s">
        <v>3792</v>
      </c>
      <c r="R13" s="5" t="s">
        <v>3799</v>
      </c>
      <c r="S13" s="6">
        <v>1105</v>
      </c>
      <c r="T13" s="6">
        <v>991</v>
      </c>
      <c r="U13" s="6">
        <v>0</v>
      </c>
      <c r="V13" s="7">
        <v>44879</v>
      </c>
      <c r="W13" s="7" t="s">
        <v>3790</v>
      </c>
      <c r="X13" s="7">
        <v>45017</v>
      </c>
      <c r="Y13" s="5" t="s">
        <v>4018</v>
      </c>
      <c r="Z13" s="5" t="s">
        <v>3790</v>
      </c>
      <c r="AA13" s="6">
        <v>991</v>
      </c>
      <c r="AB13" s="7" t="s">
        <v>5497</v>
      </c>
      <c r="AC13" s="7" t="str">
        <f>A13&amp;COUNTIF($A$2:A13,A13)</f>
        <v>10000009-50001</v>
      </c>
      <c r="AD13" s="7">
        <v>44795</v>
      </c>
      <c r="AE13" s="7" t="s">
        <v>3790</v>
      </c>
      <c r="AF13" s="7" t="s">
        <v>3790</v>
      </c>
      <c r="AG13" s="5">
        <v>70</v>
      </c>
      <c r="AH13" s="5">
        <v>7</v>
      </c>
      <c r="AI13" s="5">
        <v>14</v>
      </c>
      <c r="AJ13" s="5">
        <v>1000</v>
      </c>
      <c r="AK13" s="5" t="str">
        <f t="shared" ca="1" si="0"/>
        <v>run complete</v>
      </c>
    </row>
    <row r="14" spans="1:37">
      <c r="A14" s="32" t="s">
        <v>80</v>
      </c>
      <c r="B14" s="32" t="s">
        <v>3799</v>
      </c>
      <c r="C14" s="32" t="s">
        <v>3800</v>
      </c>
      <c r="D14" s="32" t="s">
        <v>3790</v>
      </c>
      <c r="E14" s="34" t="s">
        <v>6323</v>
      </c>
      <c r="F14" s="32" t="s">
        <v>3790</v>
      </c>
      <c r="G14" s="34" t="s">
        <v>3547</v>
      </c>
      <c r="H14" s="7" t="s">
        <v>3649</v>
      </c>
      <c r="I14" s="32" t="s">
        <v>3658</v>
      </c>
      <c r="J14" s="34" t="s">
        <v>3790</v>
      </c>
      <c r="K14" s="7" t="s">
        <v>3790</v>
      </c>
      <c r="L14" s="7" t="s">
        <v>3801</v>
      </c>
      <c r="M14" s="34" t="s">
        <v>6136</v>
      </c>
      <c r="N14" s="32" t="s">
        <v>3528</v>
      </c>
      <c r="O14" s="36">
        <v>3.94</v>
      </c>
      <c r="P14" s="32" t="s">
        <v>3790</v>
      </c>
      <c r="Q14" s="5" t="s">
        <v>3792</v>
      </c>
      <c r="R14" s="5" t="s">
        <v>3799</v>
      </c>
      <c r="S14" s="6">
        <v>14194</v>
      </c>
      <c r="T14" s="6">
        <v>12883</v>
      </c>
      <c r="U14" s="6">
        <v>0</v>
      </c>
      <c r="V14" s="7">
        <v>44879</v>
      </c>
      <c r="W14" s="7" t="s">
        <v>3790</v>
      </c>
      <c r="X14" s="7">
        <v>45017</v>
      </c>
      <c r="Y14" s="5" t="s">
        <v>4018</v>
      </c>
      <c r="Z14" s="5" t="s">
        <v>3790</v>
      </c>
      <c r="AA14" s="6">
        <v>12883</v>
      </c>
      <c r="AB14" s="7" t="s">
        <v>4038</v>
      </c>
      <c r="AC14" s="7" t="str">
        <f>A14&amp;COUNTIF($A$2:A14,A14)</f>
        <v>10000009-62001</v>
      </c>
      <c r="AD14" s="7">
        <v>44795</v>
      </c>
      <c r="AE14" s="7" t="s">
        <v>3790</v>
      </c>
      <c r="AF14" s="7" t="s">
        <v>3790</v>
      </c>
      <c r="AG14" s="5">
        <v>70</v>
      </c>
      <c r="AH14" s="5">
        <v>7</v>
      </c>
      <c r="AI14" s="5">
        <v>14</v>
      </c>
      <c r="AJ14" s="5">
        <v>15000</v>
      </c>
      <c r="AK14" s="5" t="str">
        <f t="shared" ca="1" si="0"/>
        <v>run complete</v>
      </c>
    </row>
    <row r="15" spans="1:37">
      <c r="A15" s="32" t="s">
        <v>87</v>
      </c>
      <c r="B15" s="32" t="s">
        <v>3806</v>
      </c>
      <c r="C15" s="32" t="s">
        <v>82</v>
      </c>
      <c r="D15" s="32" t="s">
        <v>3790</v>
      </c>
      <c r="E15" s="34" t="s">
        <v>7671</v>
      </c>
      <c r="F15" s="32" t="s">
        <v>3790</v>
      </c>
      <c r="G15" s="34" t="s">
        <v>3807</v>
      </c>
      <c r="H15" s="7" t="s">
        <v>3794</v>
      </c>
      <c r="I15" s="32" t="s">
        <v>3658</v>
      </c>
      <c r="J15" s="34" t="s">
        <v>3790</v>
      </c>
      <c r="K15" s="7" t="s">
        <v>3790</v>
      </c>
      <c r="L15" s="7" t="s">
        <v>3808</v>
      </c>
      <c r="M15" s="34" t="s">
        <v>5958</v>
      </c>
      <c r="N15" s="32" t="s">
        <v>3528</v>
      </c>
      <c r="O15" s="36">
        <v>4.45</v>
      </c>
      <c r="P15" s="32" t="s">
        <v>3790</v>
      </c>
      <c r="Q15" s="5" t="s">
        <v>3792</v>
      </c>
      <c r="R15" s="5" t="s">
        <v>3806</v>
      </c>
      <c r="S15" s="6">
        <v>2194</v>
      </c>
      <c r="T15" s="6">
        <v>1987</v>
      </c>
      <c r="U15" s="6">
        <v>0</v>
      </c>
      <c r="V15" s="7">
        <v>44865</v>
      </c>
      <c r="W15" s="7" t="s">
        <v>3790</v>
      </c>
      <c r="X15" s="7">
        <v>44999</v>
      </c>
      <c r="Y15" s="5" t="s">
        <v>4018</v>
      </c>
      <c r="Z15" s="5" t="s">
        <v>3790</v>
      </c>
      <c r="AA15" s="6">
        <v>1987</v>
      </c>
      <c r="AB15" s="7" t="s">
        <v>4039</v>
      </c>
      <c r="AC15" s="7" t="str">
        <f>A15&amp;COUNTIF($A$2:A15,A15)</f>
        <v>10000010-62001</v>
      </c>
      <c r="AD15" s="7">
        <v>44810</v>
      </c>
      <c r="AE15" s="7" t="s">
        <v>3790</v>
      </c>
      <c r="AF15" s="7" t="s">
        <v>3790</v>
      </c>
      <c r="AG15" s="5">
        <v>70</v>
      </c>
      <c r="AH15" s="5">
        <v>7</v>
      </c>
      <c r="AI15" s="5">
        <v>14</v>
      </c>
      <c r="AJ15" s="5">
        <v>3500</v>
      </c>
      <c r="AK15" s="5" t="str">
        <f t="shared" ca="1" si="0"/>
        <v>run complete</v>
      </c>
    </row>
    <row r="16" spans="1:37">
      <c r="A16" s="32" t="s">
        <v>94</v>
      </c>
      <c r="B16" s="32" t="s">
        <v>5272</v>
      </c>
      <c r="C16" s="32" t="s">
        <v>93</v>
      </c>
      <c r="D16" s="32" t="s">
        <v>3790</v>
      </c>
      <c r="E16" s="34" t="s">
        <v>5959</v>
      </c>
      <c r="F16" s="32" t="s">
        <v>3790</v>
      </c>
      <c r="G16" s="34" t="s">
        <v>3574</v>
      </c>
      <c r="H16" s="7" t="s">
        <v>3794</v>
      </c>
      <c r="I16" s="32" t="s">
        <v>3658</v>
      </c>
      <c r="J16" s="34" t="s">
        <v>3790</v>
      </c>
      <c r="K16" s="7" t="s">
        <v>3790</v>
      </c>
      <c r="L16" s="7" t="s">
        <v>3808</v>
      </c>
      <c r="M16" s="34" t="s">
        <v>5960</v>
      </c>
      <c r="N16" s="32" t="s">
        <v>3528</v>
      </c>
      <c r="O16" s="36">
        <v>5.28</v>
      </c>
      <c r="P16" s="32" t="s">
        <v>3790</v>
      </c>
      <c r="Q16" s="5" t="s">
        <v>3792</v>
      </c>
      <c r="R16" s="5" t="s">
        <v>5272</v>
      </c>
      <c r="S16" s="6">
        <v>1640</v>
      </c>
      <c r="T16" s="6">
        <v>1559</v>
      </c>
      <c r="U16" s="6">
        <v>0</v>
      </c>
      <c r="V16" s="7">
        <v>44865</v>
      </c>
      <c r="W16" s="7" t="s">
        <v>3790</v>
      </c>
      <c r="X16" s="7">
        <v>44999</v>
      </c>
      <c r="Y16" s="5" t="s">
        <v>4018</v>
      </c>
      <c r="Z16" s="5" t="s">
        <v>3790</v>
      </c>
      <c r="AA16" s="6">
        <v>1559</v>
      </c>
      <c r="AB16" s="7" t="s">
        <v>5311</v>
      </c>
      <c r="AC16" s="7" t="str">
        <f>A16&amp;COUNTIF($A$2:A16,A16)</f>
        <v>10000013-50001</v>
      </c>
      <c r="AD16" s="7">
        <v>44830</v>
      </c>
      <c r="AE16" s="7" t="s">
        <v>3790</v>
      </c>
      <c r="AF16" s="7" t="s">
        <v>3790</v>
      </c>
      <c r="AG16" s="5">
        <v>70</v>
      </c>
      <c r="AH16" s="5">
        <v>7</v>
      </c>
      <c r="AI16" s="5">
        <v>14</v>
      </c>
      <c r="AJ16" s="5">
        <v>2500</v>
      </c>
      <c r="AK16" s="5" t="str">
        <f t="shared" ca="1" si="0"/>
        <v>run complete</v>
      </c>
    </row>
    <row r="17" spans="1:37">
      <c r="A17" s="32" t="s">
        <v>95</v>
      </c>
      <c r="B17" s="32" t="s">
        <v>5272</v>
      </c>
      <c r="C17" s="32" t="s">
        <v>93</v>
      </c>
      <c r="D17" s="32" t="s">
        <v>3790</v>
      </c>
      <c r="E17" s="34" t="s">
        <v>5961</v>
      </c>
      <c r="F17" s="32" t="s">
        <v>3790</v>
      </c>
      <c r="G17" s="34" t="s">
        <v>3569</v>
      </c>
      <c r="H17" s="7" t="s">
        <v>3794</v>
      </c>
      <c r="I17" s="32" t="s">
        <v>3658</v>
      </c>
      <c r="J17" s="34" t="s">
        <v>3790</v>
      </c>
      <c r="K17" s="7" t="s">
        <v>3790</v>
      </c>
      <c r="L17" s="7" t="s">
        <v>3808</v>
      </c>
      <c r="M17" s="34" t="s">
        <v>5962</v>
      </c>
      <c r="N17" s="32" t="s">
        <v>3528</v>
      </c>
      <c r="O17" s="36">
        <v>5.28</v>
      </c>
      <c r="P17" s="32" t="s">
        <v>3790</v>
      </c>
      <c r="Q17" s="5" t="s">
        <v>3792</v>
      </c>
      <c r="R17" s="5" t="s">
        <v>5272</v>
      </c>
      <c r="S17" s="6">
        <v>1339</v>
      </c>
      <c r="T17" s="6">
        <v>1339</v>
      </c>
      <c r="U17" s="6">
        <v>0</v>
      </c>
      <c r="V17" s="7">
        <v>44865</v>
      </c>
      <c r="W17" s="7" t="s">
        <v>3790</v>
      </c>
      <c r="X17" s="7">
        <v>44999</v>
      </c>
      <c r="Y17" s="5" t="s">
        <v>4018</v>
      </c>
      <c r="Z17" s="5" t="s">
        <v>3790</v>
      </c>
      <c r="AA17" s="6">
        <v>1339</v>
      </c>
      <c r="AB17" s="7" t="s">
        <v>5312</v>
      </c>
      <c r="AC17" s="7" t="str">
        <f>A17&amp;COUNTIF($A$2:A17,A17)</f>
        <v>10000013-62001</v>
      </c>
      <c r="AD17" s="7">
        <v>44830</v>
      </c>
      <c r="AE17" s="7" t="s">
        <v>3790</v>
      </c>
      <c r="AF17" s="7" t="s">
        <v>3790</v>
      </c>
      <c r="AG17" s="5">
        <v>70</v>
      </c>
      <c r="AH17" s="5">
        <v>7</v>
      </c>
      <c r="AI17" s="5">
        <v>14</v>
      </c>
      <c r="AJ17" s="5">
        <v>2000</v>
      </c>
      <c r="AK17" s="5" t="str">
        <f t="shared" ca="1" si="0"/>
        <v>run complete</v>
      </c>
    </row>
    <row r="18" spans="1:37">
      <c r="A18" s="32" t="s">
        <v>139</v>
      </c>
      <c r="B18" s="32">
        <v>108901</v>
      </c>
      <c r="C18" s="32" t="s">
        <v>3993</v>
      </c>
      <c r="E18" s="34">
        <v>2400</v>
      </c>
      <c r="G18" s="34">
        <v>3000</v>
      </c>
      <c r="I18" s="32" t="s">
        <v>3692</v>
      </c>
      <c r="N18" s="32">
        <v>3</v>
      </c>
      <c r="O18" s="36">
        <v>4.59</v>
      </c>
      <c r="Q18" s="5" t="s">
        <v>3991</v>
      </c>
      <c r="R18" s="5" t="s">
        <v>4041</v>
      </c>
      <c r="S18" s="6">
        <v>2400</v>
      </c>
      <c r="T18" s="6">
        <v>2400</v>
      </c>
      <c r="U18" s="6">
        <v>0</v>
      </c>
      <c r="V18" s="7" t="s">
        <v>3790</v>
      </c>
      <c r="W18" s="7" t="s">
        <v>3790</v>
      </c>
      <c r="X18" s="7" t="s">
        <v>3790</v>
      </c>
      <c r="Y18" s="5" t="s">
        <v>4018</v>
      </c>
      <c r="Z18" s="5" t="s">
        <v>3790</v>
      </c>
      <c r="AA18" s="6">
        <v>2400</v>
      </c>
      <c r="AB18" s="7" t="s">
        <v>4042</v>
      </c>
      <c r="AC18" s="7" t="str">
        <f>A18&amp;COUNTIF($A$2:A18,A18)</f>
        <v>10000115-50001</v>
      </c>
      <c r="AD18" s="7">
        <v>44607</v>
      </c>
      <c r="AE18" s="7" t="s">
        <v>3790</v>
      </c>
      <c r="AF18" s="7" t="s">
        <v>3790</v>
      </c>
      <c r="AG18" s="5">
        <v>70</v>
      </c>
      <c r="AH18" s="5">
        <v>14</v>
      </c>
      <c r="AI18" s="5">
        <v>14</v>
      </c>
      <c r="AJ18" s="5">
        <v>3000</v>
      </c>
      <c r="AK18" s="5" t="str">
        <f t="shared" ca="1" si="0"/>
        <v>run complete</v>
      </c>
    </row>
    <row r="19" spans="1:37">
      <c r="A19" s="32" t="s">
        <v>143</v>
      </c>
      <c r="B19" s="32">
        <v>108901</v>
      </c>
      <c r="C19" s="32" t="s">
        <v>3993</v>
      </c>
      <c r="E19" s="34">
        <v>2000</v>
      </c>
      <c r="G19" s="34">
        <v>2000</v>
      </c>
      <c r="I19" s="32" t="s">
        <v>3692</v>
      </c>
      <c r="N19" s="32">
        <v>3</v>
      </c>
      <c r="O19" s="36">
        <v>4.59</v>
      </c>
      <c r="Q19" s="5" t="s">
        <v>3991</v>
      </c>
      <c r="R19" s="5" t="s">
        <v>4041</v>
      </c>
      <c r="S19" s="6">
        <v>2000</v>
      </c>
      <c r="T19" s="6">
        <v>2000</v>
      </c>
      <c r="U19" s="6">
        <v>0</v>
      </c>
      <c r="V19" s="7" t="s">
        <v>3790</v>
      </c>
      <c r="W19" s="7" t="s">
        <v>3790</v>
      </c>
      <c r="X19" s="7" t="s">
        <v>3790</v>
      </c>
      <c r="Y19" s="5" t="s">
        <v>4018</v>
      </c>
      <c r="Z19" s="5" t="s">
        <v>3790</v>
      </c>
      <c r="AA19" s="6">
        <v>2000</v>
      </c>
      <c r="AB19" s="7" t="s">
        <v>4043</v>
      </c>
      <c r="AC19" s="7" t="str">
        <f>A19&amp;COUNTIF($A$2:A19,A19)</f>
        <v>10000115-62001</v>
      </c>
      <c r="AD19" s="7">
        <v>44607</v>
      </c>
      <c r="AE19" s="7" t="s">
        <v>3790</v>
      </c>
      <c r="AF19" s="7" t="s">
        <v>3790</v>
      </c>
      <c r="AG19" s="5">
        <v>70</v>
      </c>
      <c r="AH19" s="5">
        <v>14</v>
      </c>
      <c r="AI19" s="5">
        <v>14</v>
      </c>
      <c r="AJ19" s="5">
        <v>2000</v>
      </c>
      <c r="AK19" s="5" t="str">
        <f t="shared" ca="1" si="0"/>
        <v>run complete</v>
      </c>
    </row>
    <row r="20" spans="1:37">
      <c r="A20" s="32" t="s">
        <v>168</v>
      </c>
      <c r="B20" s="32">
        <v>110773</v>
      </c>
      <c r="C20" s="32" t="s">
        <v>3994</v>
      </c>
      <c r="E20" s="34">
        <v>1800</v>
      </c>
      <c r="G20" s="34">
        <v>5000</v>
      </c>
      <c r="I20" s="32" t="s">
        <v>3692</v>
      </c>
      <c r="N20" s="32">
        <v>3</v>
      </c>
      <c r="O20" s="36">
        <v>4.1500000000000004</v>
      </c>
      <c r="P20" s="32" t="s">
        <v>7674</v>
      </c>
      <c r="Q20" s="5" t="s">
        <v>3991</v>
      </c>
      <c r="R20" s="5" t="s">
        <v>5964</v>
      </c>
      <c r="S20" s="6">
        <v>1800</v>
      </c>
      <c r="T20" s="6">
        <v>1800</v>
      </c>
      <c r="U20" s="6">
        <v>0</v>
      </c>
      <c r="V20" s="7" t="s">
        <v>3790</v>
      </c>
      <c r="W20" s="7" t="s">
        <v>3790</v>
      </c>
      <c r="X20" s="7" t="s">
        <v>3790</v>
      </c>
      <c r="Y20" s="5" t="s">
        <v>4018</v>
      </c>
      <c r="Z20" s="5" t="s">
        <v>3790</v>
      </c>
      <c r="AA20" s="6">
        <v>1800</v>
      </c>
      <c r="AB20" s="7" t="s">
        <v>7491</v>
      </c>
      <c r="AC20" s="7" t="str">
        <f>A20&amp;COUNTIF($A$2:A20,A20)</f>
        <v>10000302-50001</v>
      </c>
      <c r="AD20" s="7">
        <v>44833</v>
      </c>
      <c r="AE20" s="7" t="s">
        <v>3790</v>
      </c>
      <c r="AF20" s="7" t="s">
        <v>3790</v>
      </c>
      <c r="AG20" s="5">
        <v>70</v>
      </c>
      <c r="AH20" s="5">
        <v>14</v>
      </c>
      <c r="AI20" s="5">
        <v>14</v>
      </c>
      <c r="AJ20" s="5">
        <v>5000</v>
      </c>
      <c r="AK20" s="5" t="str">
        <f t="shared" ca="1" si="0"/>
        <v>run complete</v>
      </c>
    </row>
    <row r="21" spans="1:37">
      <c r="A21" s="32" t="s">
        <v>173</v>
      </c>
      <c r="B21" s="32">
        <v>109506</v>
      </c>
      <c r="C21" s="32" t="s">
        <v>3994</v>
      </c>
      <c r="E21" s="34">
        <v>2000</v>
      </c>
      <c r="G21" s="34">
        <v>5000</v>
      </c>
      <c r="I21" s="32" t="s">
        <v>3692</v>
      </c>
      <c r="N21" s="32">
        <v>3</v>
      </c>
      <c r="O21" s="36">
        <v>4.1500000000000004</v>
      </c>
      <c r="Q21" s="5" t="s">
        <v>3991</v>
      </c>
      <c r="R21" s="5" t="s">
        <v>4046</v>
      </c>
      <c r="S21" s="6">
        <v>2000</v>
      </c>
      <c r="T21" s="6">
        <v>2000</v>
      </c>
      <c r="U21" s="6">
        <v>0</v>
      </c>
      <c r="V21" s="7" t="s">
        <v>3790</v>
      </c>
      <c r="W21" s="7" t="s">
        <v>3790</v>
      </c>
      <c r="X21" s="7" t="s">
        <v>3790</v>
      </c>
      <c r="Y21" s="5" t="s">
        <v>4018</v>
      </c>
      <c r="Z21" s="5" t="s">
        <v>3790</v>
      </c>
      <c r="AA21" s="6">
        <v>2000</v>
      </c>
      <c r="AB21" s="7" t="s">
        <v>4047</v>
      </c>
      <c r="AC21" s="7" t="str">
        <f>A21&amp;COUNTIF($A$2:A21,A21)</f>
        <v>10000302-62001</v>
      </c>
      <c r="AD21" s="7">
        <v>44676</v>
      </c>
      <c r="AE21" s="7" t="s">
        <v>3790</v>
      </c>
      <c r="AF21" s="7" t="s">
        <v>3790</v>
      </c>
      <c r="AG21" s="5">
        <v>70</v>
      </c>
      <c r="AH21" s="5">
        <v>14</v>
      </c>
      <c r="AI21" s="5">
        <v>14</v>
      </c>
      <c r="AJ21" s="5">
        <v>5000</v>
      </c>
      <c r="AK21" s="5" t="str">
        <f t="shared" ca="1" si="0"/>
        <v>run complete</v>
      </c>
    </row>
    <row r="22" spans="1:37">
      <c r="A22" s="32" t="s">
        <v>176</v>
      </c>
      <c r="B22" s="32">
        <v>107029</v>
      </c>
      <c r="C22" s="32" t="s">
        <v>3995</v>
      </c>
      <c r="E22" s="34">
        <v>4500</v>
      </c>
      <c r="G22" s="34">
        <v>4000</v>
      </c>
      <c r="I22" s="32" t="s">
        <v>3692</v>
      </c>
      <c r="L22" s="7">
        <v>44923</v>
      </c>
      <c r="N22" s="32">
        <v>3</v>
      </c>
      <c r="O22" s="36">
        <v>3.58</v>
      </c>
      <c r="P22" s="32" t="s">
        <v>6334</v>
      </c>
      <c r="Q22" s="5" t="s">
        <v>3991</v>
      </c>
      <c r="R22" s="5" t="s">
        <v>4048</v>
      </c>
      <c r="S22" s="6">
        <v>4500</v>
      </c>
      <c r="T22" s="6">
        <v>4500</v>
      </c>
      <c r="U22" s="6">
        <v>0</v>
      </c>
      <c r="V22" s="7" t="s">
        <v>3790</v>
      </c>
      <c r="W22" s="7" t="s">
        <v>3790</v>
      </c>
      <c r="X22" s="7">
        <v>44923</v>
      </c>
      <c r="Y22" s="5" t="s">
        <v>4018</v>
      </c>
      <c r="Z22" s="5" t="s">
        <v>5554</v>
      </c>
      <c r="AA22" s="6">
        <v>4500</v>
      </c>
      <c r="AB22" s="7" t="s">
        <v>4049</v>
      </c>
      <c r="AC22" s="7" t="str">
        <f>A22&amp;COUNTIF($A$2:A22,A22)</f>
        <v>10000305-37001</v>
      </c>
      <c r="AD22" s="7">
        <v>44379</v>
      </c>
      <c r="AE22" s="7" t="s">
        <v>3790</v>
      </c>
      <c r="AF22" s="7" t="s">
        <v>3790</v>
      </c>
      <c r="AG22" s="5">
        <v>70</v>
      </c>
      <c r="AH22" s="5">
        <v>14</v>
      </c>
      <c r="AI22" s="5">
        <v>14</v>
      </c>
      <c r="AJ22" s="5">
        <v>4000</v>
      </c>
      <c r="AK22" s="5" t="str">
        <f t="shared" ca="1" si="0"/>
        <v>run complete</v>
      </c>
    </row>
    <row r="23" spans="1:37">
      <c r="A23" s="32" t="s">
        <v>181</v>
      </c>
      <c r="B23" s="32">
        <v>110772</v>
      </c>
      <c r="C23" s="32" t="s">
        <v>3875</v>
      </c>
      <c r="E23" s="34">
        <v>1017</v>
      </c>
      <c r="G23" s="34">
        <v>1030</v>
      </c>
      <c r="I23" s="32" t="s">
        <v>3692</v>
      </c>
      <c r="L23" s="7">
        <v>45014</v>
      </c>
      <c r="O23" s="36">
        <v>4.5971000000000002</v>
      </c>
      <c r="P23" s="32" t="s">
        <v>6137</v>
      </c>
      <c r="Q23" s="5" t="s">
        <v>3873</v>
      </c>
      <c r="R23" s="5" t="s">
        <v>5370</v>
      </c>
      <c r="S23" s="6">
        <v>1017</v>
      </c>
      <c r="T23" s="6">
        <v>1017</v>
      </c>
      <c r="U23" s="6">
        <v>0</v>
      </c>
      <c r="V23" s="7" t="s">
        <v>3790</v>
      </c>
      <c r="W23" s="7" t="s">
        <v>3790</v>
      </c>
      <c r="X23" s="7">
        <v>45014</v>
      </c>
      <c r="Y23" s="5" t="s">
        <v>4018</v>
      </c>
      <c r="Z23" s="5" t="s">
        <v>3790</v>
      </c>
      <c r="AA23" s="6">
        <v>1017</v>
      </c>
      <c r="AB23" s="7" t="s">
        <v>5389</v>
      </c>
      <c r="AC23" s="7" t="str">
        <f>A23&amp;COUNTIF($A$2:A23,A23)</f>
        <v>10000306-50001</v>
      </c>
      <c r="AD23" s="7">
        <v>44833</v>
      </c>
      <c r="AE23" s="7" t="s">
        <v>3790</v>
      </c>
      <c r="AF23" s="7" t="s">
        <v>3790</v>
      </c>
      <c r="AG23" s="5">
        <v>91</v>
      </c>
      <c r="AH23" s="5">
        <v>0</v>
      </c>
      <c r="AI23" s="5">
        <v>14</v>
      </c>
      <c r="AJ23" s="5">
        <v>1030</v>
      </c>
      <c r="AK23" s="5" t="str">
        <f t="shared" ca="1" si="0"/>
        <v>run complete</v>
      </c>
    </row>
    <row r="24" spans="1:37">
      <c r="A24" s="32" t="s">
        <v>185</v>
      </c>
      <c r="B24" s="32">
        <v>110772</v>
      </c>
      <c r="C24" s="32" t="s">
        <v>3875</v>
      </c>
      <c r="E24" s="34">
        <v>1248</v>
      </c>
      <c r="G24" s="34">
        <v>1281</v>
      </c>
      <c r="I24" s="32" t="s">
        <v>3692</v>
      </c>
      <c r="L24" s="7">
        <v>45014</v>
      </c>
      <c r="O24" s="36">
        <v>4.5971000000000002</v>
      </c>
      <c r="P24" s="32" t="s">
        <v>6137</v>
      </c>
      <c r="Q24" s="5" t="s">
        <v>3873</v>
      </c>
      <c r="R24" s="5" t="s">
        <v>5370</v>
      </c>
      <c r="S24" s="6">
        <v>1248</v>
      </c>
      <c r="T24" s="6">
        <v>1248</v>
      </c>
      <c r="U24" s="6">
        <v>0</v>
      </c>
      <c r="V24" s="7" t="s">
        <v>3790</v>
      </c>
      <c r="W24" s="7" t="s">
        <v>3790</v>
      </c>
      <c r="X24" s="7">
        <v>45014</v>
      </c>
      <c r="Y24" s="5" t="s">
        <v>4018</v>
      </c>
      <c r="Z24" s="5" t="s">
        <v>3790</v>
      </c>
      <c r="AA24" s="6">
        <v>1248</v>
      </c>
      <c r="AB24" s="7" t="s">
        <v>5390</v>
      </c>
      <c r="AC24" s="7" t="str">
        <f>A24&amp;COUNTIF($A$2:A24,A24)</f>
        <v>10000306-62001</v>
      </c>
      <c r="AD24" s="7">
        <v>44833</v>
      </c>
      <c r="AE24" s="7" t="s">
        <v>3790</v>
      </c>
      <c r="AF24" s="7" t="s">
        <v>3790</v>
      </c>
      <c r="AG24" s="5">
        <v>91</v>
      </c>
      <c r="AH24" s="5">
        <v>0</v>
      </c>
      <c r="AI24" s="5">
        <v>14</v>
      </c>
      <c r="AJ24" s="5">
        <v>1281</v>
      </c>
      <c r="AK24" s="5" t="str">
        <f t="shared" ca="1" si="0"/>
        <v>run complete</v>
      </c>
    </row>
    <row r="25" spans="1:37">
      <c r="A25" s="32" t="s">
        <v>186</v>
      </c>
      <c r="B25" s="32">
        <v>110594</v>
      </c>
      <c r="C25" s="32" t="s">
        <v>3874</v>
      </c>
      <c r="E25" s="34">
        <v>994</v>
      </c>
      <c r="G25" s="34">
        <v>800</v>
      </c>
      <c r="I25" s="32" t="s">
        <v>3692</v>
      </c>
      <c r="L25" s="7">
        <v>45000</v>
      </c>
      <c r="O25" s="36">
        <v>4.5130999999999997</v>
      </c>
      <c r="P25" s="32" t="s">
        <v>6138</v>
      </c>
      <c r="Q25" s="5" t="s">
        <v>3873</v>
      </c>
      <c r="R25" s="5" t="s">
        <v>5288</v>
      </c>
      <c r="S25" s="6">
        <v>994</v>
      </c>
      <c r="T25" s="6">
        <v>994</v>
      </c>
      <c r="U25" s="6">
        <v>0</v>
      </c>
      <c r="V25" s="7" t="s">
        <v>3790</v>
      </c>
      <c r="W25" s="7" t="s">
        <v>3790</v>
      </c>
      <c r="X25" s="7">
        <v>45000</v>
      </c>
      <c r="Y25" s="5" t="s">
        <v>4018</v>
      </c>
      <c r="Z25" s="5" t="s">
        <v>3790</v>
      </c>
      <c r="AA25" s="6">
        <v>994</v>
      </c>
      <c r="AB25" s="7" t="s">
        <v>5315</v>
      </c>
      <c r="AC25" s="7" t="str">
        <f>A25&amp;COUNTIF($A$2:A25,A25)</f>
        <v>10000311-50001</v>
      </c>
      <c r="AD25" s="7">
        <v>44812</v>
      </c>
      <c r="AE25" s="7" t="s">
        <v>3790</v>
      </c>
      <c r="AF25" s="7" t="s">
        <v>3790</v>
      </c>
      <c r="AG25" s="5">
        <v>91</v>
      </c>
      <c r="AH25" s="5">
        <v>0</v>
      </c>
      <c r="AI25" s="5">
        <v>14</v>
      </c>
      <c r="AJ25" s="5">
        <v>800</v>
      </c>
      <c r="AK25" s="5" t="str">
        <f t="shared" ca="1" si="0"/>
        <v>run complete</v>
      </c>
    </row>
    <row r="26" spans="1:37">
      <c r="A26" s="32" t="s">
        <v>189</v>
      </c>
      <c r="B26" s="32">
        <v>110594</v>
      </c>
      <c r="C26" s="32" t="s">
        <v>3874</v>
      </c>
      <c r="E26" s="34">
        <v>1227</v>
      </c>
      <c r="G26" s="34">
        <v>1200</v>
      </c>
      <c r="I26" s="32" t="s">
        <v>3692</v>
      </c>
      <c r="L26" s="7">
        <v>45000</v>
      </c>
      <c r="O26" s="36">
        <v>4.5130999999999997</v>
      </c>
      <c r="P26" s="32" t="s">
        <v>6138</v>
      </c>
      <c r="Q26" s="5" t="s">
        <v>3873</v>
      </c>
      <c r="R26" s="5" t="s">
        <v>5288</v>
      </c>
      <c r="S26" s="6">
        <v>1227</v>
      </c>
      <c r="T26" s="6">
        <v>1227</v>
      </c>
      <c r="U26" s="6">
        <v>0</v>
      </c>
      <c r="V26" s="7" t="s">
        <v>3790</v>
      </c>
      <c r="W26" s="7" t="s">
        <v>3790</v>
      </c>
      <c r="X26" s="7">
        <v>45000</v>
      </c>
      <c r="Y26" s="5" t="s">
        <v>4018</v>
      </c>
      <c r="Z26" s="5" t="s">
        <v>3790</v>
      </c>
      <c r="AA26" s="6">
        <v>1227</v>
      </c>
      <c r="AB26" s="7" t="s">
        <v>5316</v>
      </c>
      <c r="AC26" s="7" t="str">
        <f>A26&amp;COUNTIF($A$2:A26,A26)</f>
        <v>10000311-62001</v>
      </c>
      <c r="AD26" s="7">
        <v>44812</v>
      </c>
      <c r="AE26" s="7" t="s">
        <v>3790</v>
      </c>
      <c r="AF26" s="7" t="s">
        <v>3790</v>
      </c>
      <c r="AG26" s="5">
        <v>91</v>
      </c>
      <c r="AH26" s="5">
        <v>0</v>
      </c>
      <c r="AI26" s="5">
        <v>14</v>
      </c>
      <c r="AJ26" s="5">
        <v>1200</v>
      </c>
      <c r="AK26" s="5" t="str">
        <f t="shared" ca="1" si="0"/>
        <v>run complete</v>
      </c>
    </row>
    <row r="27" spans="1:37">
      <c r="A27" s="32" t="s">
        <v>191</v>
      </c>
      <c r="B27" s="32">
        <v>110772</v>
      </c>
      <c r="C27" s="32" t="s">
        <v>5369</v>
      </c>
      <c r="E27" s="34">
        <v>1939</v>
      </c>
      <c r="G27" s="34">
        <v>2000</v>
      </c>
      <c r="I27" s="32" t="s">
        <v>3692</v>
      </c>
      <c r="L27" s="7">
        <v>45014</v>
      </c>
      <c r="O27" s="36">
        <v>4.6142000000000003</v>
      </c>
      <c r="P27" s="32" t="s">
        <v>6137</v>
      </c>
      <c r="Q27" s="5" t="s">
        <v>3873</v>
      </c>
      <c r="R27" s="5" t="s">
        <v>5370</v>
      </c>
      <c r="S27" s="6">
        <v>1939</v>
      </c>
      <c r="T27" s="6">
        <v>1939</v>
      </c>
      <c r="U27" s="6">
        <v>0</v>
      </c>
      <c r="V27" s="7" t="s">
        <v>3790</v>
      </c>
      <c r="W27" s="7" t="s">
        <v>3790</v>
      </c>
      <c r="X27" s="7">
        <v>45014</v>
      </c>
      <c r="Y27" s="5" t="s">
        <v>4018</v>
      </c>
      <c r="Z27" s="5" t="s">
        <v>3790</v>
      </c>
      <c r="AA27" s="6">
        <v>1939</v>
      </c>
      <c r="AB27" s="7" t="s">
        <v>5391</v>
      </c>
      <c r="AC27" s="7" t="str">
        <f>A27&amp;COUNTIF($A$2:A27,A27)</f>
        <v>10000312-50001</v>
      </c>
      <c r="AD27" s="7">
        <v>44833</v>
      </c>
      <c r="AE27" s="7" t="s">
        <v>3790</v>
      </c>
      <c r="AF27" s="7" t="s">
        <v>3790</v>
      </c>
      <c r="AG27" s="5">
        <v>91</v>
      </c>
      <c r="AH27" s="5">
        <v>0</v>
      </c>
      <c r="AI27" s="5">
        <v>14</v>
      </c>
      <c r="AJ27" s="5">
        <v>2000</v>
      </c>
      <c r="AK27" s="5" t="str">
        <f t="shared" ca="1" si="0"/>
        <v>run complete</v>
      </c>
    </row>
    <row r="28" spans="1:37">
      <c r="A28" s="32" t="s">
        <v>200</v>
      </c>
      <c r="B28" s="32">
        <v>109851</v>
      </c>
      <c r="C28" s="32" t="s">
        <v>3877</v>
      </c>
      <c r="E28" s="34">
        <v>6551</v>
      </c>
      <c r="G28" s="34">
        <v>15000</v>
      </c>
      <c r="I28" s="32" t="s">
        <v>3692</v>
      </c>
      <c r="L28" s="7">
        <v>44931</v>
      </c>
      <c r="O28" s="36">
        <v>4.9644000000000004</v>
      </c>
      <c r="P28" s="32" t="s">
        <v>6139</v>
      </c>
      <c r="Q28" s="5" t="s">
        <v>3873</v>
      </c>
      <c r="R28" s="5" t="s">
        <v>4051</v>
      </c>
      <c r="S28" s="6">
        <v>6551</v>
      </c>
      <c r="T28" s="6">
        <v>6551</v>
      </c>
      <c r="U28" s="6">
        <v>0</v>
      </c>
      <c r="V28" s="7" t="s">
        <v>3790</v>
      </c>
      <c r="W28" s="7" t="s">
        <v>3790</v>
      </c>
      <c r="X28" s="7">
        <v>44931</v>
      </c>
      <c r="Y28" s="5" t="s">
        <v>4018</v>
      </c>
      <c r="Z28" s="5" t="s">
        <v>5553</v>
      </c>
      <c r="AA28" s="6">
        <v>6551</v>
      </c>
      <c r="AB28" s="7" t="s">
        <v>4052</v>
      </c>
      <c r="AC28" s="7" t="str">
        <f>A28&amp;COUNTIF($A$2:A28,A28)</f>
        <v>10000325-50001</v>
      </c>
      <c r="AD28" s="7">
        <v>44719</v>
      </c>
      <c r="AE28" s="7" t="s">
        <v>3790</v>
      </c>
      <c r="AF28" s="7" t="s">
        <v>3790</v>
      </c>
      <c r="AG28" s="5">
        <v>91</v>
      </c>
      <c r="AH28" s="5">
        <v>0</v>
      </c>
      <c r="AI28" s="5">
        <v>14</v>
      </c>
      <c r="AJ28" s="5">
        <v>15000</v>
      </c>
      <c r="AK28" s="5" t="str">
        <f t="shared" ca="1" si="0"/>
        <v>run complete</v>
      </c>
    </row>
    <row r="29" spans="1:37">
      <c r="A29" s="32" t="s">
        <v>200</v>
      </c>
      <c r="B29" s="32">
        <v>111332</v>
      </c>
      <c r="C29" s="32" t="s">
        <v>3877</v>
      </c>
      <c r="E29" s="34">
        <v>941</v>
      </c>
      <c r="G29" s="34">
        <v>5000</v>
      </c>
      <c r="I29" s="32" t="s">
        <v>3692</v>
      </c>
      <c r="L29" s="7">
        <v>45062</v>
      </c>
      <c r="O29" s="36">
        <v>4.9644000000000004</v>
      </c>
      <c r="P29" s="32" t="s">
        <v>6335</v>
      </c>
      <c r="Q29" s="5" t="s">
        <v>3873</v>
      </c>
      <c r="R29" s="5" t="s">
        <v>7492</v>
      </c>
      <c r="S29" s="6">
        <v>941</v>
      </c>
      <c r="T29" s="6">
        <v>941</v>
      </c>
      <c r="U29" s="6">
        <v>0</v>
      </c>
      <c r="V29" s="7" t="s">
        <v>3790</v>
      </c>
      <c r="W29" s="7" t="s">
        <v>3790</v>
      </c>
      <c r="X29" s="7">
        <v>45062</v>
      </c>
      <c r="Y29" s="5" t="s">
        <v>4018</v>
      </c>
      <c r="Z29" s="5" t="s">
        <v>3790</v>
      </c>
      <c r="AA29" s="6">
        <v>941</v>
      </c>
      <c r="AB29" s="7" t="s">
        <v>7494</v>
      </c>
      <c r="AC29" s="7" t="str">
        <f>A29&amp;COUNTIF($A$2:A29,A29)</f>
        <v>10000325-50002</v>
      </c>
      <c r="AD29" s="7">
        <v>44908</v>
      </c>
      <c r="AE29" s="7" t="s">
        <v>3790</v>
      </c>
      <c r="AF29" s="7" t="s">
        <v>3790</v>
      </c>
      <c r="AG29" s="5">
        <v>91</v>
      </c>
      <c r="AH29" s="5">
        <v>0</v>
      </c>
      <c r="AI29" s="5">
        <v>14</v>
      </c>
      <c r="AJ29" s="5">
        <v>5000</v>
      </c>
      <c r="AK29" s="5" t="str">
        <f t="shared" ca="1" si="0"/>
        <v>run complete</v>
      </c>
    </row>
    <row r="30" spans="1:37">
      <c r="A30" s="32" t="s">
        <v>204</v>
      </c>
      <c r="B30" s="32">
        <v>109851</v>
      </c>
      <c r="C30" s="32" t="s">
        <v>3877</v>
      </c>
      <c r="E30" s="34">
        <v>3550</v>
      </c>
      <c r="G30" s="34">
        <v>3600</v>
      </c>
      <c r="I30" s="32" t="s">
        <v>3692</v>
      </c>
      <c r="L30" s="7">
        <v>44931</v>
      </c>
      <c r="O30" s="36">
        <v>4.9644000000000004</v>
      </c>
      <c r="P30" s="32" t="s">
        <v>6139</v>
      </c>
      <c r="Q30" s="5" t="s">
        <v>3873</v>
      </c>
      <c r="R30" s="5" t="s">
        <v>4051</v>
      </c>
      <c r="S30" s="6">
        <v>3550</v>
      </c>
      <c r="T30" s="6">
        <v>3550</v>
      </c>
      <c r="U30" s="6">
        <v>0</v>
      </c>
      <c r="V30" s="7" t="s">
        <v>3790</v>
      </c>
      <c r="W30" s="7" t="s">
        <v>3790</v>
      </c>
      <c r="X30" s="7">
        <v>44931</v>
      </c>
      <c r="Y30" s="5" t="s">
        <v>4018</v>
      </c>
      <c r="Z30" s="5" t="s">
        <v>5553</v>
      </c>
      <c r="AA30" s="6">
        <v>3550</v>
      </c>
      <c r="AB30" s="7" t="s">
        <v>4053</v>
      </c>
      <c r="AC30" s="7" t="str">
        <f>A30&amp;COUNTIF($A$2:A30,A30)</f>
        <v>10000325-62001</v>
      </c>
      <c r="AD30" s="7">
        <v>44719</v>
      </c>
      <c r="AE30" s="7" t="s">
        <v>3790</v>
      </c>
      <c r="AF30" s="7" t="s">
        <v>3790</v>
      </c>
      <c r="AG30" s="5">
        <v>91</v>
      </c>
      <c r="AH30" s="5">
        <v>0</v>
      </c>
      <c r="AI30" s="5">
        <v>14</v>
      </c>
      <c r="AJ30" s="5">
        <v>3600</v>
      </c>
      <c r="AK30" s="5" t="str">
        <f t="shared" ca="1" si="0"/>
        <v>run complete</v>
      </c>
    </row>
    <row r="31" spans="1:37">
      <c r="A31" s="32" t="s">
        <v>207</v>
      </c>
      <c r="B31" s="32">
        <v>109847</v>
      </c>
      <c r="C31" s="32" t="s">
        <v>3880</v>
      </c>
      <c r="E31" s="34">
        <v>8710</v>
      </c>
      <c r="G31" s="34">
        <v>8000</v>
      </c>
      <c r="I31" s="32" t="s">
        <v>3692</v>
      </c>
      <c r="L31" s="7">
        <v>44931</v>
      </c>
      <c r="O31" s="36">
        <v>4.3349000000000002</v>
      </c>
      <c r="P31" s="32" t="s">
        <v>6139</v>
      </c>
      <c r="Q31" s="5" t="s">
        <v>3873</v>
      </c>
      <c r="R31" s="5" t="s">
        <v>4050</v>
      </c>
      <c r="S31" s="6">
        <v>8710</v>
      </c>
      <c r="T31" s="6">
        <v>8710</v>
      </c>
      <c r="U31" s="6">
        <v>0</v>
      </c>
      <c r="V31" s="7" t="s">
        <v>3790</v>
      </c>
      <c r="W31" s="7" t="s">
        <v>3790</v>
      </c>
      <c r="X31" s="7">
        <v>44931</v>
      </c>
      <c r="Y31" s="5" t="s">
        <v>4018</v>
      </c>
      <c r="Z31" s="5" t="s">
        <v>5553</v>
      </c>
      <c r="AA31" s="6">
        <v>8710</v>
      </c>
      <c r="AB31" s="7" t="s">
        <v>4054</v>
      </c>
      <c r="AC31" s="7" t="str">
        <f>A31&amp;COUNTIF($A$2:A31,A31)</f>
        <v>10000326-50001</v>
      </c>
      <c r="AD31" s="7">
        <v>44718</v>
      </c>
      <c r="AE31" s="7" t="s">
        <v>3790</v>
      </c>
      <c r="AF31" s="7" t="s">
        <v>3790</v>
      </c>
      <c r="AG31" s="5">
        <v>91</v>
      </c>
      <c r="AH31" s="5">
        <v>0</v>
      </c>
      <c r="AI31" s="5">
        <v>14</v>
      </c>
      <c r="AJ31" s="5">
        <v>8000</v>
      </c>
      <c r="AK31" s="5" t="str">
        <f t="shared" ca="1" si="0"/>
        <v>run complete</v>
      </c>
    </row>
    <row r="32" spans="1:37">
      <c r="A32" s="32" t="s">
        <v>207</v>
      </c>
      <c r="B32" s="32">
        <v>110772</v>
      </c>
      <c r="C32" s="32" t="s">
        <v>3880</v>
      </c>
      <c r="E32" s="34">
        <v>7487</v>
      </c>
      <c r="G32" s="34">
        <v>8000</v>
      </c>
      <c r="I32" s="32" t="s">
        <v>3692</v>
      </c>
      <c r="L32" s="7">
        <v>44930</v>
      </c>
      <c r="O32" s="36">
        <v>4.3349000000000002</v>
      </c>
      <c r="P32" s="32" t="s">
        <v>6140</v>
      </c>
      <c r="Q32" s="5" t="s">
        <v>3873</v>
      </c>
      <c r="R32" s="5" t="s">
        <v>5370</v>
      </c>
      <c r="S32" s="6">
        <v>7487</v>
      </c>
      <c r="T32" s="6">
        <v>7487</v>
      </c>
      <c r="U32" s="6">
        <v>0</v>
      </c>
      <c r="V32" s="7" t="s">
        <v>3790</v>
      </c>
      <c r="W32" s="7" t="s">
        <v>3790</v>
      </c>
      <c r="X32" s="7">
        <v>44930</v>
      </c>
      <c r="Y32" s="5" t="s">
        <v>4018</v>
      </c>
      <c r="Z32" s="5" t="s">
        <v>5553</v>
      </c>
      <c r="AA32" s="6">
        <v>7487</v>
      </c>
      <c r="AB32" s="7" t="s">
        <v>5392</v>
      </c>
      <c r="AC32" s="7" t="str">
        <f>A32&amp;COUNTIF($A$2:A32,A32)</f>
        <v>10000326-50002</v>
      </c>
      <c r="AD32" s="7">
        <v>44833</v>
      </c>
      <c r="AE32" s="7" t="s">
        <v>3790</v>
      </c>
      <c r="AF32" s="7" t="s">
        <v>3790</v>
      </c>
      <c r="AG32" s="5">
        <v>91</v>
      </c>
      <c r="AH32" s="5">
        <v>0</v>
      </c>
      <c r="AI32" s="5">
        <v>14</v>
      </c>
      <c r="AJ32" s="5">
        <v>8000</v>
      </c>
      <c r="AK32" s="5" t="str">
        <f t="shared" ca="1" si="0"/>
        <v>run complete</v>
      </c>
    </row>
    <row r="33" spans="1:37">
      <c r="A33" s="32" t="s">
        <v>210</v>
      </c>
      <c r="B33" s="32">
        <v>109847</v>
      </c>
      <c r="C33" s="32" t="s">
        <v>3880</v>
      </c>
      <c r="E33" s="34">
        <v>7707</v>
      </c>
      <c r="G33" s="34">
        <v>7000</v>
      </c>
      <c r="I33" s="32" t="s">
        <v>3692</v>
      </c>
      <c r="L33" s="7">
        <v>44931</v>
      </c>
      <c r="O33" s="36">
        <v>4.3349000000000002</v>
      </c>
      <c r="P33" s="32" t="s">
        <v>6139</v>
      </c>
      <c r="Q33" s="5" t="s">
        <v>3873</v>
      </c>
      <c r="R33" s="5" t="s">
        <v>4050</v>
      </c>
      <c r="S33" s="6">
        <v>7707</v>
      </c>
      <c r="T33" s="6">
        <v>7707</v>
      </c>
      <c r="U33" s="6">
        <v>0</v>
      </c>
      <c r="V33" s="7" t="s">
        <v>3790</v>
      </c>
      <c r="W33" s="7" t="s">
        <v>3790</v>
      </c>
      <c r="X33" s="7">
        <v>44931</v>
      </c>
      <c r="Y33" s="5" t="s">
        <v>4018</v>
      </c>
      <c r="Z33" s="5" t="s">
        <v>5553</v>
      </c>
      <c r="AA33" s="6">
        <v>7707</v>
      </c>
      <c r="AB33" s="7" t="s">
        <v>4055</v>
      </c>
      <c r="AC33" s="7" t="str">
        <f>A33&amp;COUNTIF($A$2:A33,A33)</f>
        <v>10000326-62001</v>
      </c>
      <c r="AD33" s="7">
        <v>44718</v>
      </c>
      <c r="AE33" s="7" t="s">
        <v>3790</v>
      </c>
      <c r="AF33" s="7" t="s">
        <v>3790</v>
      </c>
      <c r="AG33" s="5">
        <v>91</v>
      </c>
      <c r="AH33" s="5">
        <v>0</v>
      </c>
      <c r="AI33" s="5">
        <v>14</v>
      </c>
      <c r="AJ33" s="5">
        <v>7000</v>
      </c>
      <c r="AK33" s="5" t="str">
        <f t="shared" ca="1" si="0"/>
        <v>run complete</v>
      </c>
    </row>
    <row r="34" spans="1:37">
      <c r="A34" s="32" t="s">
        <v>214</v>
      </c>
      <c r="B34" s="32">
        <v>109847</v>
      </c>
      <c r="C34" s="32" t="s">
        <v>3878</v>
      </c>
      <c r="E34" s="34">
        <v>3849</v>
      </c>
      <c r="G34" s="34">
        <v>4000</v>
      </c>
      <c r="I34" s="32" t="s">
        <v>3692</v>
      </c>
      <c r="L34" s="7">
        <v>44931</v>
      </c>
      <c r="O34" s="36">
        <v>4.9644000000000004</v>
      </c>
      <c r="P34" s="32" t="s">
        <v>6139</v>
      </c>
      <c r="Q34" s="5" t="s">
        <v>3873</v>
      </c>
      <c r="R34" s="5" t="s">
        <v>4050</v>
      </c>
      <c r="S34" s="6">
        <v>3849</v>
      </c>
      <c r="T34" s="6">
        <v>3849</v>
      </c>
      <c r="U34" s="6">
        <v>0</v>
      </c>
      <c r="V34" s="7" t="s">
        <v>3790</v>
      </c>
      <c r="W34" s="7" t="s">
        <v>3790</v>
      </c>
      <c r="X34" s="7">
        <v>44931</v>
      </c>
      <c r="Y34" s="5" t="s">
        <v>4018</v>
      </c>
      <c r="Z34" s="5" t="s">
        <v>5553</v>
      </c>
      <c r="AA34" s="6">
        <v>3849</v>
      </c>
      <c r="AB34" s="7" t="s">
        <v>4056</v>
      </c>
      <c r="AC34" s="7" t="str">
        <f>A34&amp;COUNTIF($A$2:A34,A34)</f>
        <v>10000328-50001</v>
      </c>
      <c r="AD34" s="7">
        <v>44718</v>
      </c>
      <c r="AE34" s="7" t="s">
        <v>3790</v>
      </c>
      <c r="AF34" s="7" t="s">
        <v>3790</v>
      </c>
      <c r="AG34" s="5">
        <v>91</v>
      </c>
      <c r="AH34" s="5">
        <v>0</v>
      </c>
      <c r="AI34" s="5">
        <v>14</v>
      </c>
      <c r="AJ34" s="5">
        <v>4000</v>
      </c>
      <c r="AK34" s="5" t="str">
        <f t="shared" ca="1" si="0"/>
        <v>run complete</v>
      </c>
    </row>
    <row r="35" spans="1:37">
      <c r="A35" s="32" t="s">
        <v>214</v>
      </c>
      <c r="B35" s="32">
        <v>110772</v>
      </c>
      <c r="C35" s="32" t="s">
        <v>3878</v>
      </c>
      <c r="E35" s="34">
        <v>2949</v>
      </c>
      <c r="G35" s="34">
        <v>3000</v>
      </c>
      <c r="I35" s="32" t="s">
        <v>3692</v>
      </c>
      <c r="L35" s="7">
        <v>45014</v>
      </c>
      <c r="O35" s="36">
        <v>4.9644000000000004</v>
      </c>
      <c r="P35" s="32" t="s">
        <v>6137</v>
      </c>
      <c r="Q35" s="5" t="s">
        <v>3873</v>
      </c>
      <c r="R35" s="5" t="s">
        <v>5370</v>
      </c>
      <c r="S35" s="6">
        <v>2949</v>
      </c>
      <c r="T35" s="6">
        <v>2949</v>
      </c>
      <c r="U35" s="6">
        <v>0</v>
      </c>
      <c r="V35" s="7" t="s">
        <v>3790</v>
      </c>
      <c r="W35" s="7" t="s">
        <v>3790</v>
      </c>
      <c r="X35" s="7">
        <v>45014</v>
      </c>
      <c r="Y35" s="5" t="s">
        <v>4018</v>
      </c>
      <c r="Z35" s="5" t="s">
        <v>3790</v>
      </c>
      <c r="AA35" s="6">
        <v>2949</v>
      </c>
      <c r="AB35" s="7" t="s">
        <v>5393</v>
      </c>
      <c r="AC35" s="7" t="str">
        <f>A35&amp;COUNTIF($A$2:A35,A35)</f>
        <v>10000328-50002</v>
      </c>
      <c r="AD35" s="7">
        <v>44833</v>
      </c>
      <c r="AE35" s="7" t="s">
        <v>3790</v>
      </c>
      <c r="AF35" s="7" t="s">
        <v>3790</v>
      </c>
      <c r="AG35" s="5">
        <v>91</v>
      </c>
      <c r="AH35" s="5">
        <v>0</v>
      </c>
      <c r="AI35" s="5">
        <v>14</v>
      </c>
      <c r="AJ35" s="5">
        <v>3000</v>
      </c>
      <c r="AK35" s="5" t="str">
        <f t="shared" ca="1" si="0"/>
        <v>run complete</v>
      </c>
    </row>
    <row r="36" spans="1:37">
      <c r="A36" s="32" t="s">
        <v>217</v>
      </c>
      <c r="B36" s="32">
        <v>110449</v>
      </c>
      <c r="C36" s="32" t="s">
        <v>3878</v>
      </c>
      <c r="E36" s="34">
        <v>1173</v>
      </c>
      <c r="G36" s="34">
        <v>1000</v>
      </c>
      <c r="I36" s="32" t="s">
        <v>3692</v>
      </c>
      <c r="L36" s="7">
        <v>44930</v>
      </c>
      <c r="O36" s="36">
        <v>4.9644000000000004</v>
      </c>
      <c r="P36" s="32" t="s">
        <v>6140</v>
      </c>
      <c r="Q36" s="5" t="s">
        <v>3873</v>
      </c>
      <c r="R36" s="5" t="s">
        <v>4057</v>
      </c>
      <c r="S36" s="6">
        <v>1173</v>
      </c>
      <c r="T36" s="6">
        <v>1173</v>
      </c>
      <c r="U36" s="6">
        <v>0</v>
      </c>
      <c r="V36" s="7" t="s">
        <v>3790</v>
      </c>
      <c r="W36" s="7" t="s">
        <v>3790</v>
      </c>
      <c r="X36" s="7">
        <v>44930</v>
      </c>
      <c r="Y36" s="5" t="s">
        <v>4018</v>
      </c>
      <c r="Z36" s="5" t="s">
        <v>5553</v>
      </c>
      <c r="AA36" s="6">
        <v>1173</v>
      </c>
      <c r="AB36" s="7" t="s">
        <v>4058</v>
      </c>
      <c r="AC36" s="7" t="str">
        <f>A36&amp;COUNTIF($A$2:A36,A36)</f>
        <v>10000328-62001</v>
      </c>
      <c r="AD36" s="7">
        <v>44796</v>
      </c>
      <c r="AE36" s="7" t="s">
        <v>3790</v>
      </c>
      <c r="AF36" s="7" t="s">
        <v>3790</v>
      </c>
      <c r="AG36" s="5">
        <v>91</v>
      </c>
      <c r="AH36" s="5">
        <v>0</v>
      </c>
      <c r="AI36" s="5">
        <v>14</v>
      </c>
      <c r="AJ36" s="5">
        <v>1000</v>
      </c>
      <c r="AK36" s="5" t="str">
        <f t="shared" ca="1" si="0"/>
        <v>run complete</v>
      </c>
    </row>
    <row r="37" spans="1:37">
      <c r="A37" s="32" t="s">
        <v>217</v>
      </c>
      <c r="B37" s="32">
        <v>110772</v>
      </c>
      <c r="C37" s="32" t="s">
        <v>3878</v>
      </c>
      <c r="E37" s="34">
        <v>2447</v>
      </c>
      <c r="G37" s="34">
        <v>2000</v>
      </c>
      <c r="I37" s="32" t="s">
        <v>3692</v>
      </c>
      <c r="L37" s="7">
        <v>45014</v>
      </c>
      <c r="O37" s="36">
        <v>4.9644000000000004</v>
      </c>
      <c r="P37" s="32" t="s">
        <v>6137</v>
      </c>
      <c r="Q37" s="5" t="s">
        <v>3873</v>
      </c>
      <c r="R37" s="5" t="s">
        <v>5370</v>
      </c>
      <c r="S37" s="6">
        <v>2447</v>
      </c>
      <c r="T37" s="6">
        <v>2447</v>
      </c>
      <c r="U37" s="6">
        <v>0</v>
      </c>
      <c r="V37" s="7" t="s">
        <v>3790</v>
      </c>
      <c r="W37" s="7" t="s">
        <v>3790</v>
      </c>
      <c r="X37" s="7">
        <v>45014</v>
      </c>
      <c r="Y37" s="5" t="s">
        <v>4018</v>
      </c>
      <c r="Z37" s="5" t="s">
        <v>3790</v>
      </c>
      <c r="AA37" s="6">
        <v>2447</v>
      </c>
      <c r="AB37" s="7" t="s">
        <v>5394</v>
      </c>
      <c r="AC37" s="7" t="str">
        <f>A37&amp;COUNTIF($A$2:A37,A37)</f>
        <v>10000328-62002</v>
      </c>
      <c r="AD37" s="7">
        <v>44833</v>
      </c>
      <c r="AE37" s="7" t="s">
        <v>3790</v>
      </c>
      <c r="AF37" s="7" t="s">
        <v>3790</v>
      </c>
      <c r="AG37" s="5">
        <v>91</v>
      </c>
      <c r="AH37" s="5">
        <v>0</v>
      </c>
      <c r="AI37" s="5">
        <v>14</v>
      </c>
      <c r="AJ37" s="5">
        <v>2000</v>
      </c>
      <c r="AK37" s="5" t="str">
        <f t="shared" ca="1" si="0"/>
        <v>run complete</v>
      </c>
    </row>
    <row r="38" spans="1:37">
      <c r="A38" s="32" t="s">
        <v>233</v>
      </c>
      <c r="B38" s="32">
        <v>110449</v>
      </c>
      <c r="C38" s="32" t="s">
        <v>3879</v>
      </c>
      <c r="E38" s="34">
        <v>11908</v>
      </c>
      <c r="G38" s="34">
        <v>10000</v>
      </c>
      <c r="I38" s="32" t="s">
        <v>3692</v>
      </c>
      <c r="L38" s="7">
        <v>44939</v>
      </c>
      <c r="O38" s="36">
        <v>3.8260000000000001</v>
      </c>
      <c r="P38" s="32" t="s">
        <v>6141</v>
      </c>
      <c r="Q38" s="5" t="s">
        <v>3873</v>
      </c>
      <c r="R38" s="5" t="s">
        <v>4057</v>
      </c>
      <c r="S38" s="6">
        <v>11908</v>
      </c>
      <c r="T38" s="6">
        <v>11908</v>
      </c>
      <c r="U38" s="6">
        <v>0</v>
      </c>
      <c r="V38" s="7" t="s">
        <v>3790</v>
      </c>
      <c r="W38" s="7" t="s">
        <v>3790</v>
      </c>
      <c r="X38" s="7">
        <v>44939</v>
      </c>
      <c r="Y38" s="5" t="s">
        <v>4018</v>
      </c>
      <c r="Z38" s="5" t="s">
        <v>5553</v>
      </c>
      <c r="AA38" s="6">
        <v>11908</v>
      </c>
      <c r="AB38" s="7" t="s">
        <v>4059</v>
      </c>
      <c r="AC38" s="7" t="str">
        <f>A38&amp;COUNTIF($A$2:A38,A38)</f>
        <v>10000333-62001</v>
      </c>
      <c r="AD38" s="7">
        <v>44796</v>
      </c>
      <c r="AE38" s="7" t="s">
        <v>3790</v>
      </c>
      <c r="AF38" s="7" t="s">
        <v>3790</v>
      </c>
      <c r="AG38" s="5">
        <v>91</v>
      </c>
      <c r="AH38" s="5">
        <v>0</v>
      </c>
      <c r="AI38" s="5">
        <v>14</v>
      </c>
      <c r="AJ38" s="5">
        <v>10000</v>
      </c>
      <c r="AK38" s="5" t="str">
        <f t="shared" ca="1" si="0"/>
        <v>run complete</v>
      </c>
    </row>
    <row r="39" spans="1:37">
      <c r="A39" s="32" t="s">
        <v>233</v>
      </c>
      <c r="B39" s="32">
        <v>110594</v>
      </c>
      <c r="C39" s="32" t="s">
        <v>3879</v>
      </c>
      <c r="E39" s="34">
        <v>7215</v>
      </c>
      <c r="G39" s="34">
        <v>7566</v>
      </c>
      <c r="I39" s="32" t="s">
        <v>3692</v>
      </c>
      <c r="L39" s="7">
        <v>44985</v>
      </c>
      <c r="O39" s="36">
        <v>3.8260000000000001</v>
      </c>
      <c r="P39" s="32" t="s">
        <v>7495</v>
      </c>
      <c r="Q39" s="5" t="s">
        <v>3873</v>
      </c>
      <c r="R39" s="5" t="s">
        <v>5288</v>
      </c>
      <c r="S39" s="6">
        <v>7215</v>
      </c>
      <c r="T39" s="6">
        <v>7215</v>
      </c>
      <c r="U39" s="6">
        <v>0</v>
      </c>
      <c r="V39" s="7" t="s">
        <v>3790</v>
      </c>
      <c r="W39" s="7" t="s">
        <v>3790</v>
      </c>
      <c r="X39" s="7">
        <v>44985</v>
      </c>
      <c r="Y39" s="5" t="s">
        <v>4018</v>
      </c>
      <c r="Z39" s="5" t="s">
        <v>3790</v>
      </c>
      <c r="AA39" s="6">
        <v>7215</v>
      </c>
      <c r="AB39" s="7" t="s">
        <v>5860</v>
      </c>
      <c r="AC39" s="7" t="str">
        <f>A39&amp;COUNTIF($A$2:A39,A39)</f>
        <v>10000333-62002</v>
      </c>
      <c r="AD39" s="7">
        <v>44812</v>
      </c>
      <c r="AE39" s="7" t="s">
        <v>3790</v>
      </c>
      <c r="AF39" s="7" t="s">
        <v>3790</v>
      </c>
      <c r="AG39" s="5">
        <v>91</v>
      </c>
      <c r="AH39" s="5">
        <v>0</v>
      </c>
      <c r="AI39" s="5">
        <v>14</v>
      </c>
      <c r="AJ39" s="5">
        <v>7566</v>
      </c>
      <c r="AK39" s="5" t="str">
        <f t="shared" ca="1" si="0"/>
        <v>run complete</v>
      </c>
    </row>
    <row r="40" spans="1:37">
      <c r="A40" s="32" t="s">
        <v>235</v>
      </c>
      <c r="B40" s="32">
        <v>110772</v>
      </c>
      <c r="C40" s="32" t="s">
        <v>5371</v>
      </c>
      <c r="E40" s="34">
        <v>923</v>
      </c>
      <c r="G40" s="34">
        <v>1000</v>
      </c>
      <c r="I40" s="32" t="s">
        <v>3692</v>
      </c>
      <c r="L40" s="7">
        <v>45014</v>
      </c>
      <c r="O40" s="36">
        <v>4.9657999999999998</v>
      </c>
      <c r="P40" s="32" t="s">
        <v>6137</v>
      </c>
      <c r="Q40" s="5" t="s">
        <v>3873</v>
      </c>
      <c r="R40" s="5" t="s">
        <v>5370</v>
      </c>
      <c r="S40" s="6">
        <v>923</v>
      </c>
      <c r="T40" s="6">
        <v>923</v>
      </c>
      <c r="U40" s="6">
        <v>0</v>
      </c>
      <c r="V40" s="7" t="s">
        <v>3790</v>
      </c>
      <c r="W40" s="7" t="s">
        <v>3790</v>
      </c>
      <c r="X40" s="7">
        <v>45014</v>
      </c>
      <c r="Y40" s="5" t="s">
        <v>4018</v>
      </c>
      <c r="Z40" s="5" t="s">
        <v>3790</v>
      </c>
      <c r="AA40" s="6">
        <v>923</v>
      </c>
      <c r="AB40" s="7" t="s">
        <v>5395</v>
      </c>
      <c r="AC40" s="7" t="str">
        <f>A40&amp;COUNTIF($A$2:A40,A40)</f>
        <v>10000334-50001</v>
      </c>
      <c r="AD40" s="7">
        <v>44833</v>
      </c>
      <c r="AE40" s="7" t="s">
        <v>3790</v>
      </c>
      <c r="AF40" s="7" t="s">
        <v>3790</v>
      </c>
      <c r="AG40" s="5">
        <v>91</v>
      </c>
      <c r="AH40" s="5">
        <v>0</v>
      </c>
      <c r="AI40" s="5">
        <v>14</v>
      </c>
      <c r="AJ40" s="5">
        <v>1000</v>
      </c>
      <c r="AK40" s="5" t="str">
        <f t="shared" ca="1" si="0"/>
        <v>run complete</v>
      </c>
    </row>
    <row r="41" spans="1:37">
      <c r="A41" s="32" t="s">
        <v>239</v>
      </c>
      <c r="B41" s="32">
        <v>109847</v>
      </c>
      <c r="C41" s="32" t="s">
        <v>3876</v>
      </c>
      <c r="E41" s="34">
        <v>14549</v>
      </c>
      <c r="G41" s="34">
        <v>16000</v>
      </c>
      <c r="I41" s="32" t="s">
        <v>3692</v>
      </c>
      <c r="L41" s="7">
        <v>44931</v>
      </c>
      <c r="O41" s="36">
        <v>4.84</v>
      </c>
      <c r="P41" s="32" t="s">
        <v>6139</v>
      </c>
      <c r="Q41" s="5" t="s">
        <v>3873</v>
      </c>
      <c r="R41" s="5" t="s">
        <v>4050</v>
      </c>
      <c r="S41" s="6">
        <v>14549</v>
      </c>
      <c r="T41" s="6">
        <v>14549</v>
      </c>
      <c r="U41" s="6">
        <v>0</v>
      </c>
      <c r="V41" s="7" t="s">
        <v>3790</v>
      </c>
      <c r="W41" s="7" t="s">
        <v>3790</v>
      </c>
      <c r="X41" s="7">
        <v>44931</v>
      </c>
      <c r="Y41" s="5" t="s">
        <v>4018</v>
      </c>
      <c r="Z41" s="5" t="s">
        <v>5553</v>
      </c>
      <c r="AA41" s="6">
        <v>14549</v>
      </c>
      <c r="AB41" s="7" t="s">
        <v>4060</v>
      </c>
      <c r="AC41" s="7" t="str">
        <f>A41&amp;COUNTIF($A$2:A41,A41)</f>
        <v>10000335-50001</v>
      </c>
      <c r="AD41" s="7">
        <v>44718</v>
      </c>
      <c r="AE41" s="7" t="s">
        <v>3790</v>
      </c>
      <c r="AF41" s="7" t="s">
        <v>3790</v>
      </c>
      <c r="AG41" s="5">
        <v>91</v>
      </c>
      <c r="AH41" s="5">
        <v>0</v>
      </c>
      <c r="AI41" s="5">
        <v>14</v>
      </c>
      <c r="AJ41" s="5">
        <v>16000</v>
      </c>
      <c r="AK41" s="5" t="str">
        <f t="shared" ca="1" si="0"/>
        <v>run complete</v>
      </c>
    </row>
    <row r="42" spans="1:37">
      <c r="A42" s="32" t="s">
        <v>241</v>
      </c>
      <c r="B42" s="32">
        <v>110449</v>
      </c>
      <c r="C42" s="32" t="s">
        <v>3876</v>
      </c>
      <c r="E42" s="34">
        <v>1170</v>
      </c>
      <c r="G42" s="34">
        <v>1000</v>
      </c>
      <c r="I42" s="32" t="s">
        <v>3692</v>
      </c>
      <c r="L42" s="7">
        <v>44939</v>
      </c>
      <c r="O42" s="36">
        <v>4.84</v>
      </c>
      <c r="P42" s="32" t="s">
        <v>6141</v>
      </c>
      <c r="Q42" s="5" t="s">
        <v>3873</v>
      </c>
      <c r="R42" s="5" t="s">
        <v>4057</v>
      </c>
      <c r="S42" s="6">
        <v>1170</v>
      </c>
      <c r="T42" s="6">
        <v>1170</v>
      </c>
      <c r="U42" s="6">
        <v>0</v>
      </c>
      <c r="V42" s="7" t="s">
        <v>3790</v>
      </c>
      <c r="W42" s="7" t="s">
        <v>3790</v>
      </c>
      <c r="X42" s="7">
        <v>44939</v>
      </c>
      <c r="Y42" s="5" t="s">
        <v>4018</v>
      </c>
      <c r="Z42" s="5" t="s">
        <v>5553</v>
      </c>
      <c r="AA42" s="6">
        <v>1170</v>
      </c>
      <c r="AB42" s="7" t="s">
        <v>4061</v>
      </c>
      <c r="AC42" s="7" t="str">
        <f>A42&amp;COUNTIF($A$2:A42,A42)</f>
        <v>10000335-62001</v>
      </c>
      <c r="AD42" s="7">
        <v>44796</v>
      </c>
      <c r="AE42" s="7" t="s">
        <v>3790</v>
      </c>
      <c r="AF42" s="7" t="s">
        <v>3790</v>
      </c>
      <c r="AG42" s="5">
        <v>91</v>
      </c>
      <c r="AH42" s="5">
        <v>0</v>
      </c>
      <c r="AI42" s="5">
        <v>14</v>
      </c>
      <c r="AJ42" s="5">
        <v>1000</v>
      </c>
      <c r="AK42" s="5" t="str">
        <f t="shared" ca="1" si="0"/>
        <v>run complete</v>
      </c>
    </row>
    <row r="43" spans="1:37">
      <c r="A43" s="32" t="s">
        <v>301</v>
      </c>
      <c r="B43" s="32">
        <v>7075</v>
      </c>
      <c r="C43" s="32" t="s">
        <v>302</v>
      </c>
      <c r="E43" s="34">
        <v>3075</v>
      </c>
      <c r="G43" s="34">
        <v>3000</v>
      </c>
      <c r="H43" s="7">
        <v>44840</v>
      </c>
      <c r="I43" s="32" t="s">
        <v>3658</v>
      </c>
      <c r="L43" s="7">
        <v>45019</v>
      </c>
      <c r="N43" s="32" t="s">
        <v>7675</v>
      </c>
      <c r="O43" s="36">
        <v>5.2</v>
      </c>
      <c r="P43" s="32" t="s">
        <v>3705</v>
      </c>
      <c r="Q43" s="5" t="s">
        <v>893</v>
      </c>
      <c r="R43" s="5" t="s">
        <v>4063</v>
      </c>
      <c r="S43" s="6">
        <v>3075</v>
      </c>
      <c r="T43" s="6">
        <v>3075</v>
      </c>
      <c r="U43" s="6">
        <v>0</v>
      </c>
      <c r="V43" s="7">
        <v>44840</v>
      </c>
      <c r="W43" s="7" t="s">
        <v>3790</v>
      </c>
      <c r="X43" s="7">
        <v>45019</v>
      </c>
      <c r="Y43" s="5" t="s">
        <v>4018</v>
      </c>
      <c r="Z43" s="5" t="s">
        <v>3790</v>
      </c>
      <c r="AA43" s="6">
        <v>3075</v>
      </c>
      <c r="AB43" s="7" t="s">
        <v>4064</v>
      </c>
      <c r="AC43" s="7" t="str">
        <f>A43&amp;COUNTIF($A$2:A43,A43)</f>
        <v>100AE100-50001</v>
      </c>
      <c r="AD43" s="7">
        <v>44750</v>
      </c>
      <c r="AE43" s="7" t="s">
        <v>3790</v>
      </c>
      <c r="AF43" s="7" t="s">
        <v>3790</v>
      </c>
      <c r="AG43" s="5">
        <v>140</v>
      </c>
      <c r="AH43" s="5">
        <v>14</v>
      </c>
      <c r="AI43" s="5">
        <v>14</v>
      </c>
      <c r="AJ43" s="5">
        <v>3000</v>
      </c>
      <c r="AK43" s="5" t="str">
        <f t="shared" ca="1" si="0"/>
        <v>run complete</v>
      </c>
    </row>
    <row r="44" spans="1:37">
      <c r="A44" s="32" t="s">
        <v>303</v>
      </c>
      <c r="B44" s="32">
        <v>7075</v>
      </c>
      <c r="C44" s="32" t="s">
        <v>302</v>
      </c>
      <c r="E44" s="34">
        <v>1311</v>
      </c>
      <c r="G44" s="34">
        <v>2000</v>
      </c>
      <c r="H44" s="7">
        <v>44840</v>
      </c>
      <c r="I44" s="32" t="s">
        <v>3658</v>
      </c>
      <c r="L44" s="7">
        <v>45019</v>
      </c>
      <c r="N44" s="32" t="s">
        <v>7675</v>
      </c>
      <c r="O44" s="36">
        <v>5.2</v>
      </c>
      <c r="P44" s="32" t="s">
        <v>5500</v>
      </c>
      <c r="Q44" s="5" t="s">
        <v>893</v>
      </c>
      <c r="R44" s="5" t="s">
        <v>4063</v>
      </c>
      <c r="S44" s="6">
        <v>1311</v>
      </c>
      <c r="T44" s="6">
        <v>1311</v>
      </c>
      <c r="U44" s="6">
        <v>0</v>
      </c>
      <c r="V44" s="7">
        <v>44840</v>
      </c>
      <c r="W44" s="7" t="s">
        <v>3790</v>
      </c>
      <c r="X44" s="7">
        <v>45019</v>
      </c>
      <c r="Y44" s="5" t="s">
        <v>4018</v>
      </c>
      <c r="Z44" s="5" t="s">
        <v>3790</v>
      </c>
      <c r="AA44" s="6">
        <v>1311</v>
      </c>
      <c r="AB44" s="7" t="s">
        <v>4065</v>
      </c>
      <c r="AC44" s="7" t="str">
        <f>A44&amp;COUNTIF($A$2:A44,A44)</f>
        <v>100AE100-62001</v>
      </c>
      <c r="AD44" s="7">
        <v>44750</v>
      </c>
      <c r="AE44" s="7" t="s">
        <v>3790</v>
      </c>
      <c r="AF44" s="7" t="s">
        <v>3790</v>
      </c>
      <c r="AG44" s="5">
        <v>140</v>
      </c>
      <c r="AH44" s="5">
        <v>14</v>
      </c>
      <c r="AI44" s="5">
        <v>14</v>
      </c>
      <c r="AJ44" s="5">
        <v>2000</v>
      </c>
      <c r="AK44" s="5" t="str">
        <f t="shared" ca="1" si="0"/>
        <v>run complete</v>
      </c>
    </row>
    <row r="45" spans="1:37">
      <c r="A45" s="32" t="s">
        <v>304</v>
      </c>
      <c r="B45" s="32">
        <v>5221</v>
      </c>
      <c r="C45" s="32" t="s">
        <v>305</v>
      </c>
      <c r="E45" s="34">
        <v>372</v>
      </c>
      <c r="G45" s="34">
        <v>1500</v>
      </c>
      <c r="H45" s="7">
        <v>43067</v>
      </c>
      <c r="I45" s="32" t="s">
        <v>3658</v>
      </c>
      <c r="L45" s="7">
        <v>2958465</v>
      </c>
      <c r="M45" s="34">
        <v>372</v>
      </c>
      <c r="N45" s="32">
        <v>3</v>
      </c>
      <c r="O45" s="36">
        <v>4.25</v>
      </c>
      <c r="P45" s="32" t="s">
        <v>3706</v>
      </c>
      <c r="Q45" s="5" t="s">
        <v>893</v>
      </c>
      <c r="R45" s="5" t="s">
        <v>4066</v>
      </c>
      <c r="S45" s="6">
        <v>372</v>
      </c>
      <c r="T45" s="6">
        <v>0</v>
      </c>
      <c r="U45" s="6">
        <v>0</v>
      </c>
      <c r="V45" s="7">
        <v>43067</v>
      </c>
      <c r="W45" s="7" t="s">
        <v>3790</v>
      </c>
      <c r="X45" s="7">
        <v>2958465</v>
      </c>
      <c r="Y45" s="5" t="s">
        <v>4018</v>
      </c>
      <c r="Z45" s="5" t="s">
        <v>3790</v>
      </c>
      <c r="AA45" s="6">
        <v>0</v>
      </c>
      <c r="AB45" s="7" t="s">
        <v>4067</v>
      </c>
      <c r="AC45" s="7" t="str">
        <f>A45&amp;COUNTIF($A$2:A45,A45)</f>
        <v>100AG011-50001</v>
      </c>
      <c r="AD45" s="7" t="s">
        <v>4068</v>
      </c>
      <c r="AE45" s="7" t="s">
        <v>3790</v>
      </c>
      <c r="AF45" s="7" t="s">
        <v>3790</v>
      </c>
      <c r="AG45" s="5">
        <v>140</v>
      </c>
      <c r="AH45" s="5">
        <v>14</v>
      </c>
      <c r="AI45" s="5">
        <v>14</v>
      </c>
      <c r="AJ45" s="5">
        <v>1500</v>
      </c>
      <c r="AK45" s="5" t="str">
        <f t="shared" ca="1" si="0"/>
        <v>run complete</v>
      </c>
    </row>
    <row r="46" spans="1:37">
      <c r="A46" s="32" t="s">
        <v>308</v>
      </c>
      <c r="B46" s="32">
        <v>7026</v>
      </c>
      <c r="C46" s="32" t="s">
        <v>309</v>
      </c>
      <c r="E46" s="34">
        <v>4166</v>
      </c>
      <c r="G46" s="34">
        <v>8000</v>
      </c>
      <c r="H46" s="7">
        <v>44763</v>
      </c>
      <c r="I46" s="32" t="s">
        <v>3658</v>
      </c>
      <c r="L46" s="7">
        <v>44944</v>
      </c>
      <c r="N46" s="32">
        <v>6</v>
      </c>
      <c r="O46" s="36">
        <v>3.96</v>
      </c>
      <c r="P46" s="32" t="s">
        <v>3707</v>
      </c>
      <c r="Q46" s="5" t="s">
        <v>893</v>
      </c>
      <c r="R46" s="5" t="s">
        <v>4071</v>
      </c>
      <c r="S46" s="6">
        <v>4166</v>
      </c>
      <c r="T46" s="6">
        <v>4166</v>
      </c>
      <c r="U46" s="6">
        <v>0</v>
      </c>
      <c r="V46" s="7">
        <v>44763</v>
      </c>
      <c r="W46" s="7" t="s">
        <v>3790</v>
      </c>
      <c r="X46" s="7">
        <v>44944</v>
      </c>
      <c r="Y46" s="5" t="s">
        <v>4018</v>
      </c>
      <c r="Z46" s="5" t="s">
        <v>5553</v>
      </c>
      <c r="AA46" s="6">
        <v>4166</v>
      </c>
      <c r="AB46" s="7" t="s">
        <v>4072</v>
      </c>
      <c r="AC46" s="7" t="str">
        <f>A46&amp;COUNTIF($A$2:A46,A46)</f>
        <v>100AG021-50001</v>
      </c>
      <c r="AD46" s="7">
        <v>44713</v>
      </c>
      <c r="AE46" s="7" t="s">
        <v>3790</v>
      </c>
      <c r="AF46" s="7" t="s">
        <v>3790</v>
      </c>
      <c r="AG46" s="5">
        <v>140</v>
      </c>
      <c r="AH46" s="5">
        <v>14</v>
      </c>
      <c r="AI46" s="5">
        <v>14</v>
      </c>
      <c r="AJ46" s="5">
        <v>8000</v>
      </c>
      <c r="AK46" s="5" t="str">
        <f t="shared" ca="1" si="0"/>
        <v>run complete</v>
      </c>
    </row>
    <row r="47" spans="1:37">
      <c r="A47" s="32" t="s">
        <v>310</v>
      </c>
      <c r="B47" s="32">
        <v>7026</v>
      </c>
      <c r="C47" s="32" t="s">
        <v>309</v>
      </c>
      <c r="E47" s="34">
        <v>1971</v>
      </c>
      <c r="G47" s="34">
        <v>2000</v>
      </c>
      <c r="H47" s="7">
        <v>44763</v>
      </c>
      <c r="I47" s="32" t="s">
        <v>3658</v>
      </c>
      <c r="L47" s="7">
        <v>44944</v>
      </c>
      <c r="N47" s="32">
        <v>6</v>
      </c>
      <c r="O47" s="36">
        <v>3.96</v>
      </c>
      <c r="P47" s="32" t="s">
        <v>3708</v>
      </c>
      <c r="Q47" s="5" t="s">
        <v>893</v>
      </c>
      <c r="R47" s="5" t="s">
        <v>4071</v>
      </c>
      <c r="S47" s="6">
        <v>1971</v>
      </c>
      <c r="T47" s="6">
        <v>1971</v>
      </c>
      <c r="U47" s="6">
        <v>0</v>
      </c>
      <c r="V47" s="7">
        <v>44763</v>
      </c>
      <c r="W47" s="7" t="s">
        <v>3790</v>
      </c>
      <c r="X47" s="7">
        <v>44944</v>
      </c>
      <c r="Y47" s="5" t="s">
        <v>4018</v>
      </c>
      <c r="Z47" s="5" t="s">
        <v>5553</v>
      </c>
      <c r="AA47" s="6">
        <v>1971</v>
      </c>
      <c r="AB47" s="7" t="s">
        <v>4074</v>
      </c>
      <c r="AC47" s="7" t="str">
        <f>A47&amp;COUNTIF($A$2:A47,A47)</f>
        <v>100AG021-62001</v>
      </c>
      <c r="AD47" s="7">
        <v>44713</v>
      </c>
      <c r="AE47" s="7" t="s">
        <v>3790</v>
      </c>
      <c r="AF47" s="7" t="s">
        <v>3790</v>
      </c>
      <c r="AG47" s="5">
        <v>140</v>
      </c>
      <c r="AH47" s="5">
        <v>14</v>
      </c>
      <c r="AI47" s="5">
        <v>14</v>
      </c>
      <c r="AJ47" s="5">
        <v>2000</v>
      </c>
      <c r="AK47" s="5" t="str">
        <f t="shared" ca="1" si="0"/>
        <v>run complete</v>
      </c>
    </row>
    <row r="48" spans="1:37">
      <c r="A48" s="32" t="s">
        <v>332</v>
      </c>
      <c r="B48" s="32">
        <v>7196</v>
      </c>
      <c r="C48" s="32" t="s">
        <v>331</v>
      </c>
      <c r="E48" s="34">
        <v>584</v>
      </c>
      <c r="G48" s="34">
        <v>500</v>
      </c>
      <c r="H48" s="7">
        <v>44872</v>
      </c>
      <c r="I48" s="32" t="s">
        <v>3658</v>
      </c>
      <c r="L48" s="7">
        <v>45052</v>
      </c>
      <c r="N48" s="32">
        <v>6</v>
      </c>
      <c r="O48" s="36">
        <v>4.8</v>
      </c>
      <c r="P48" s="32" t="s">
        <v>5967</v>
      </c>
      <c r="Q48" s="5" t="s">
        <v>893</v>
      </c>
      <c r="R48" s="5" t="s">
        <v>5968</v>
      </c>
      <c r="S48" s="6">
        <v>584</v>
      </c>
      <c r="T48" s="6">
        <v>584</v>
      </c>
      <c r="U48" s="6">
        <v>0</v>
      </c>
      <c r="V48" s="7">
        <v>44872</v>
      </c>
      <c r="W48" s="7" t="s">
        <v>3790</v>
      </c>
      <c r="X48" s="7">
        <v>45052</v>
      </c>
      <c r="Y48" s="5" t="s">
        <v>4018</v>
      </c>
      <c r="Z48" s="5" t="s">
        <v>3790</v>
      </c>
      <c r="AA48" s="6">
        <v>584</v>
      </c>
      <c r="AB48" s="7" t="s">
        <v>5969</v>
      </c>
      <c r="AC48" s="7" t="str">
        <f>A48&amp;COUNTIF($A$2:A48,A48)</f>
        <v>100AG115-62001</v>
      </c>
      <c r="AD48" s="7">
        <v>44869</v>
      </c>
      <c r="AE48" s="7" t="s">
        <v>3790</v>
      </c>
      <c r="AF48" s="7" t="s">
        <v>3790</v>
      </c>
      <c r="AG48" s="5">
        <v>140</v>
      </c>
      <c r="AH48" s="5">
        <v>14</v>
      </c>
      <c r="AI48" s="5">
        <v>14</v>
      </c>
      <c r="AJ48" s="5">
        <v>500</v>
      </c>
      <c r="AK48" s="5" t="str">
        <f t="shared" ca="1" si="0"/>
        <v>run complete</v>
      </c>
    </row>
    <row r="49" spans="1:37">
      <c r="A49" s="32" t="s">
        <v>344</v>
      </c>
      <c r="B49" s="32">
        <v>6986</v>
      </c>
      <c r="C49" s="32" t="s">
        <v>345</v>
      </c>
      <c r="E49" s="34">
        <v>769</v>
      </c>
      <c r="G49" s="34">
        <v>2000</v>
      </c>
      <c r="H49" s="7">
        <v>44791</v>
      </c>
      <c r="I49" s="32" t="s">
        <v>3658</v>
      </c>
      <c r="L49" s="7">
        <v>44975</v>
      </c>
      <c r="N49" s="32">
        <v>6</v>
      </c>
      <c r="O49" s="36">
        <v>4.68</v>
      </c>
      <c r="P49" s="32" t="s">
        <v>3711</v>
      </c>
      <c r="Q49" s="5" t="s">
        <v>893</v>
      </c>
      <c r="R49" s="5" t="s">
        <v>4078</v>
      </c>
      <c r="S49" s="6">
        <v>769</v>
      </c>
      <c r="T49" s="6">
        <v>769</v>
      </c>
      <c r="U49" s="6">
        <v>0</v>
      </c>
      <c r="V49" s="7">
        <v>44791</v>
      </c>
      <c r="W49" s="7" t="s">
        <v>3790</v>
      </c>
      <c r="X49" s="7">
        <v>44975</v>
      </c>
      <c r="Y49" s="5" t="s">
        <v>4018</v>
      </c>
      <c r="Z49" s="5" t="s">
        <v>3790</v>
      </c>
      <c r="AA49" s="6">
        <v>769</v>
      </c>
      <c r="AB49" s="7" t="s">
        <v>4079</v>
      </c>
      <c r="AC49" s="7" t="str">
        <f>A49&amp;COUNTIF($A$2:A49,A49)</f>
        <v>100AG251-37001</v>
      </c>
      <c r="AD49" s="7">
        <v>44664</v>
      </c>
      <c r="AE49" s="7" t="s">
        <v>3790</v>
      </c>
      <c r="AF49" s="7" t="s">
        <v>3790</v>
      </c>
      <c r="AG49" s="5">
        <v>140</v>
      </c>
      <c r="AH49" s="5">
        <v>14</v>
      </c>
      <c r="AI49" s="5">
        <v>14</v>
      </c>
      <c r="AJ49" s="5">
        <v>2000</v>
      </c>
      <c r="AK49" s="5" t="str">
        <f t="shared" ca="1" si="0"/>
        <v>run complete</v>
      </c>
    </row>
    <row r="50" spans="1:37">
      <c r="A50" s="32" t="s">
        <v>346</v>
      </c>
      <c r="B50" s="32">
        <v>6986</v>
      </c>
      <c r="C50" s="32" t="s">
        <v>345</v>
      </c>
      <c r="E50" s="34">
        <v>2866</v>
      </c>
      <c r="G50" s="34">
        <v>4500</v>
      </c>
      <c r="H50" s="7">
        <v>44791</v>
      </c>
      <c r="I50" s="32" t="s">
        <v>3658</v>
      </c>
      <c r="L50" s="7">
        <v>44975</v>
      </c>
      <c r="N50" s="32">
        <v>6</v>
      </c>
      <c r="O50" s="36">
        <v>3.74</v>
      </c>
      <c r="P50" s="32" t="s">
        <v>3712</v>
      </c>
      <c r="Q50" s="5" t="s">
        <v>893</v>
      </c>
      <c r="R50" s="5" t="s">
        <v>4078</v>
      </c>
      <c r="S50" s="6">
        <v>2866</v>
      </c>
      <c r="T50" s="6">
        <v>2866</v>
      </c>
      <c r="U50" s="6">
        <v>0</v>
      </c>
      <c r="V50" s="7">
        <v>44791</v>
      </c>
      <c r="W50" s="7" t="s">
        <v>3790</v>
      </c>
      <c r="X50" s="7">
        <v>44975</v>
      </c>
      <c r="Y50" s="5" t="s">
        <v>4018</v>
      </c>
      <c r="Z50" s="5" t="s">
        <v>3790</v>
      </c>
      <c r="AA50" s="6">
        <v>2866</v>
      </c>
      <c r="AB50" s="7" t="s">
        <v>4081</v>
      </c>
      <c r="AC50" s="7" t="str">
        <f>A50&amp;COUNTIF($A$2:A50,A50)</f>
        <v>100AG251-50001</v>
      </c>
      <c r="AD50" s="7">
        <v>44664</v>
      </c>
      <c r="AE50" s="7" t="s">
        <v>3790</v>
      </c>
      <c r="AF50" s="7" t="s">
        <v>3790</v>
      </c>
      <c r="AG50" s="5">
        <v>140</v>
      </c>
      <c r="AH50" s="5">
        <v>14</v>
      </c>
      <c r="AI50" s="5">
        <v>14</v>
      </c>
      <c r="AJ50" s="5">
        <v>4500</v>
      </c>
      <c r="AK50" s="5" t="str">
        <f t="shared" ca="1" si="0"/>
        <v>run complete</v>
      </c>
    </row>
    <row r="51" spans="1:37">
      <c r="A51" s="32" t="s">
        <v>347</v>
      </c>
      <c r="B51" s="32">
        <v>6986</v>
      </c>
      <c r="C51" s="32" t="s">
        <v>345</v>
      </c>
      <c r="E51" s="34">
        <v>5289</v>
      </c>
      <c r="G51" s="34">
        <v>9500</v>
      </c>
      <c r="H51" s="7">
        <v>44791</v>
      </c>
      <c r="I51" s="32" t="s">
        <v>3658</v>
      </c>
      <c r="L51" s="7">
        <v>44975</v>
      </c>
      <c r="N51" s="32">
        <v>6</v>
      </c>
      <c r="O51" s="36">
        <v>3.74</v>
      </c>
      <c r="P51" s="32" t="s">
        <v>3713</v>
      </c>
      <c r="Q51" s="5" t="s">
        <v>893</v>
      </c>
      <c r="R51" s="5" t="s">
        <v>4078</v>
      </c>
      <c r="S51" s="6">
        <v>5289</v>
      </c>
      <c r="T51" s="6">
        <v>5289</v>
      </c>
      <c r="U51" s="6">
        <v>0</v>
      </c>
      <c r="V51" s="7">
        <v>44791</v>
      </c>
      <c r="W51" s="7" t="s">
        <v>3790</v>
      </c>
      <c r="X51" s="7">
        <v>44975</v>
      </c>
      <c r="Y51" s="5" t="s">
        <v>4018</v>
      </c>
      <c r="Z51" s="5" t="s">
        <v>3790</v>
      </c>
      <c r="AA51" s="6">
        <v>5289</v>
      </c>
      <c r="AB51" s="7" t="s">
        <v>4083</v>
      </c>
      <c r="AC51" s="7" t="str">
        <f>A51&amp;COUNTIF($A$2:A51,A51)</f>
        <v>100AG251-62001</v>
      </c>
      <c r="AD51" s="7">
        <v>44664</v>
      </c>
      <c r="AE51" s="7" t="s">
        <v>3790</v>
      </c>
      <c r="AF51" s="7" t="s">
        <v>3790</v>
      </c>
      <c r="AG51" s="5">
        <v>140</v>
      </c>
      <c r="AH51" s="5">
        <v>14</v>
      </c>
      <c r="AI51" s="5">
        <v>14</v>
      </c>
      <c r="AJ51" s="5">
        <v>9500</v>
      </c>
      <c r="AK51" s="5" t="str">
        <f t="shared" ca="1" si="0"/>
        <v>run complete</v>
      </c>
    </row>
    <row r="52" spans="1:37">
      <c r="A52" s="32" t="s">
        <v>352</v>
      </c>
      <c r="B52" s="32" t="s">
        <v>3956</v>
      </c>
      <c r="C52" s="32" t="s">
        <v>3957</v>
      </c>
      <c r="D52" s="32" t="s">
        <v>3701</v>
      </c>
      <c r="E52" s="34">
        <v>3001</v>
      </c>
      <c r="F52" s="32" t="s">
        <v>3914</v>
      </c>
      <c r="G52" s="34">
        <v>3000</v>
      </c>
      <c r="H52" s="7">
        <v>44868</v>
      </c>
      <c r="I52" s="32" t="s">
        <v>3526</v>
      </c>
      <c r="J52" s="34">
        <v>0</v>
      </c>
      <c r="L52" s="7">
        <v>44985</v>
      </c>
      <c r="M52" s="34">
        <v>1</v>
      </c>
      <c r="N52" s="32" t="s">
        <v>3528</v>
      </c>
      <c r="O52" s="36">
        <v>4.63</v>
      </c>
      <c r="P52" s="32" t="s">
        <v>3701</v>
      </c>
      <c r="Q52" s="5" t="s">
        <v>3911</v>
      </c>
      <c r="R52" s="5" t="s">
        <v>3956</v>
      </c>
      <c r="S52" s="6">
        <v>3001</v>
      </c>
      <c r="T52" s="6">
        <v>3000</v>
      </c>
      <c r="U52" s="6">
        <v>0</v>
      </c>
      <c r="V52" s="7">
        <v>44868</v>
      </c>
      <c r="W52" s="7" t="s">
        <v>3790</v>
      </c>
      <c r="X52" s="7">
        <v>44985</v>
      </c>
      <c r="Y52" s="5" t="s">
        <v>4018</v>
      </c>
      <c r="Z52" s="5" t="s">
        <v>3790</v>
      </c>
      <c r="AA52" s="6">
        <v>3000</v>
      </c>
      <c r="AB52" s="7" t="s">
        <v>4084</v>
      </c>
      <c r="AC52" s="7" t="str">
        <f>A52&amp;COUNTIF($A$2:A52,A52)</f>
        <v>100AG361-62001</v>
      </c>
      <c r="AD52" s="7">
        <v>44761</v>
      </c>
      <c r="AE52" s="7" t="s">
        <v>3790</v>
      </c>
      <c r="AF52" s="7" t="s">
        <v>3790</v>
      </c>
      <c r="AG52" s="5">
        <v>196</v>
      </c>
      <c r="AH52" s="5">
        <v>14</v>
      </c>
      <c r="AI52" s="5">
        <v>14</v>
      </c>
      <c r="AJ52" s="5">
        <v>3000</v>
      </c>
      <c r="AK52" s="5" t="str">
        <f t="shared" ca="1" si="0"/>
        <v>run complete</v>
      </c>
    </row>
    <row r="53" spans="1:37">
      <c r="A53" s="32" t="s">
        <v>366</v>
      </c>
      <c r="B53" s="32">
        <v>7056</v>
      </c>
      <c r="C53" s="32" t="s">
        <v>365</v>
      </c>
      <c r="E53" s="34">
        <v>1734</v>
      </c>
      <c r="G53" s="34">
        <v>2500</v>
      </c>
      <c r="H53" s="7">
        <v>44763</v>
      </c>
      <c r="I53" s="32" t="s">
        <v>3658</v>
      </c>
      <c r="L53" s="7">
        <v>44941</v>
      </c>
      <c r="N53" s="32">
        <v>6</v>
      </c>
      <c r="O53" s="36">
        <v>4.6100000000000003</v>
      </c>
      <c r="P53" s="32" t="s">
        <v>3717</v>
      </c>
      <c r="Q53" s="5" t="s">
        <v>893</v>
      </c>
      <c r="R53" s="5" t="s">
        <v>4087</v>
      </c>
      <c r="S53" s="6">
        <v>1734</v>
      </c>
      <c r="T53" s="6">
        <v>1734</v>
      </c>
      <c r="U53" s="6">
        <v>0</v>
      </c>
      <c r="V53" s="7">
        <v>44763</v>
      </c>
      <c r="W53" s="7" t="s">
        <v>3790</v>
      </c>
      <c r="X53" s="7">
        <v>44941</v>
      </c>
      <c r="Y53" s="5" t="s">
        <v>4018</v>
      </c>
      <c r="Z53" s="5" t="s">
        <v>5553</v>
      </c>
      <c r="AA53" s="6">
        <v>1734</v>
      </c>
      <c r="AB53" s="7" t="s">
        <v>4088</v>
      </c>
      <c r="AC53" s="7" t="str">
        <f>A53&amp;COUNTIF($A$2:A53,A53)</f>
        <v>100AG471-62001</v>
      </c>
      <c r="AD53" s="7">
        <v>44734</v>
      </c>
      <c r="AE53" s="7" t="s">
        <v>3790</v>
      </c>
      <c r="AF53" s="7" t="s">
        <v>3790</v>
      </c>
      <c r="AG53" s="5">
        <v>140</v>
      </c>
      <c r="AH53" s="5">
        <v>14</v>
      </c>
      <c r="AI53" s="5">
        <v>14</v>
      </c>
      <c r="AJ53" s="5">
        <v>2500</v>
      </c>
      <c r="AK53" s="5" t="str">
        <f t="shared" ca="1" si="0"/>
        <v>run complete</v>
      </c>
    </row>
    <row r="54" spans="1:37">
      <c r="A54" s="32" t="s">
        <v>382</v>
      </c>
      <c r="B54" s="32">
        <v>7019</v>
      </c>
      <c r="C54" s="32" t="s">
        <v>3883</v>
      </c>
      <c r="E54" s="34">
        <v>7492</v>
      </c>
      <c r="F54" s="32" t="s">
        <v>3881</v>
      </c>
      <c r="G54" s="34">
        <v>7500</v>
      </c>
      <c r="H54" s="7">
        <v>44788</v>
      </c>
      <c r="I54" s="32" t="s">
        <v>3658</v>
      </c>
      <c r="L54" s="7">
        <v>44972</v>
      </c>
      <c r="N54" s="32">
        <v>6</v>
      </c>
      <c r="O54" s="36">
        <v>3.76</v>
      </c>
      <c r="Q54" s="5" t="s">
        <v>3882</v>
      </c>
      <c r="R54" s="5" t="s">
        <v>4091</v>
      </c>
      <c r="S54" s="6">
        <v>7492</v>
      </c>
      <c r="T54" s="6">
        <v>7492</v>
      </c>
      <c r="U54" s="6">
        <v>0</v>
      </c>
      <c r="V54" s="7">
        <v>44788</v>
      </c>
      <c r="W54" s="7" t="s">
        <v>3790</v>
      </c>
      <c r="X54" s="7">
        <v>44972</v>
      </c>
      <c r="Y54" s="5" t="s">
        <v>4018</v>
      </c>
      <c r="Z54" s="5" t="s">
        <v>3790</v>
      </c>
      <c r="AA54" s="6">
        <v>7492</v>
      </c>
      <c r="AB54" s="7" t="s">
        <v>4092</v>
      </c>
      <c r="AC54" s="7" t="str">
        <f>A54&amp;COUNTIF($A$2:A54,A54)</f>
        <v>100AG611-50001</v>
      </c>
      <c r="AD54" s="7">
        <v>44701</v>
      </c>
      <c r="AE54" s="7" t="s">
        <v>3790</v>
      </c>
      <c r="AF54" s="7" t="s">
        <v>3790</v>
      </c>
      <c r="AG54" s="5">
        <v>84</v>
      </c>
      <c r="AH54" s="5">
        <v>14</v>
      </c>
      <c r="AI54" s="5">
        <v>14</v>
      </c>
      <c r="AJ54" s="5">
        <v>7500</v>
      </c>
      <c r="AK54" s="5" t="str">
        <f t="shared" ca="1" si="0"/>
        <v>run complete</v>
      </c>
    </row>
    <row r="55" spans="1:37">
      <c r="A55" s="32" t="s">
        <v>384</v>
      </c>
      <c r="B55" s="32">
        <v>7019</v>
      </c>
      <c r="C55" s="32" t="s">
        <v>3883</v>
      </c>
      <c r="E55" s="34">
        <v>7959</v>
      </c>
      <c r="F55" s="32" t="s">
        <v>3881</v>
      </c>
      <c r="G55" s="34">
        <v>7500</v>
      </c>
      <c r="H55" s="7">
        <v>44788</v>
      </c>
      <c r="I55" s="32" t="s">
        <v>3658</v>
      </c>
      <c r="L55" s="7">
        <v>44972</v>
      </c>
      <c r="N55" s="32">
        <v>6</v>
      </c>
      <c r="O55" s="36">
        <v>3.76</v>
      </c>
      <c r="Q55" s="5" t="s">
        <v>3882</v>
      </c>
      <c r="R55" s="5" t="s">
        <v>4091</v>
      </c>
      <c r="S55" s="6">
        <v>7959</v>
      </c>
      <c r="T55" s="6">
        <v>7959</v>
      </c>
      <c r="U55" s="6">
        <v>0</v>
      </c>
      <c r="V55" s="7">
        <v>44788</v>
      </c>
      <c r="W55" s="7" t="s">
        <v>3790</v>
      </c>
      <c r="X55" s="7">
        <v>44972</v>
      </c>
      <c r="Y55" s="5" t="s">
        <v>4018</v>
      </c>
      <c r="Z55" s="5" t="s">
        <v>3790</v>
      </c>
      <c r="AA55" s="6">
        <v>7959</v>
      </c>
      <c r="AB55" s="7" t="s">
        <v>4094</v>
      </c>
      <c r="AC55" s="7" t="str">
        <f>A55&amp;COUNTIF($A$2:A55,A55)</f>
        <v>100AG611-62001</v>
      </c>
      <c r="AD55" s="7">
        <v>44701</v>
      </c>
      <c r="AE55" s="7" t="s">
        <v>3790</v>
      </c>
      <c r="AF55" s="7" t="s">
        <v>3790</v>
      </c>
      <c r="AG55" s="5">
        <v>84</v>
      </c>
      <c r="AH55" s="5">
        <v>14</v>
      </c>
      <c r="AI55" s="5">
        <v>14</v>
      </c>
      <c r="AJ55" s="5">
        <v>7500</v>
      </c>
      <c r="AK55" s="5" t="str">
        <f t="shared" ca="1" si="0"/>
        <v>run complete</v>
      </c>
    </row>
    <row r="56" spans="1:37">
      <c r="A56" s="32" t="s">
        <v>472</v>
      </c>
      <c r="B56" s="32">
        <v>7023</v>
      </c>
      <c r="C56" s="32" t="s">
        <v>3718</v>
      </c>
      <c r="E56" s="34">
        <v>602</v>
      </c>
      <c r="G56" s="34">
        <v>1000</v>
      </c>
      <c r="H56" s="7">
        <v>44755</v>
      </c>
      <c r="I56" s="32" t="s">
        <v>3658</v>
      </c>
      <c r="L56" s="7">
        <v>44935</v>
      </c>
      <c r="N56" s="32">
        <v>6</v>
      </c>
      <c r="O56" s="36">
        <v>10.41</v>
      </c>
      <c r="P56" s="32" t="s">
        <v>3719</v>
      </c>
      <c r="Q56" s="5" t="s">
        <v>893</v>
      </c>
      <c r="R56" s="5" t="s">
        <v>4099</v>
      </c>
      <c r="S56" s="6">
        <v>602</v>
      </c>
      <c r="T56" s="6">
        <v>602</v>
      </c>
      <c r="U56" s="6">
        <v>0</v>
      </c>
      <c r="V56" s="7">
        <v>44755</v>
      </c>
      <c r="W56" s="7" t="s">
        <v>3790</v>
      </c>
      <c r="X56" s="7">
        <v>44935</v>
      </c>
      <c r="Y56" s="5" t="s">
        <v>4018</v>
      </c>
      <c r="Z56" s="5" t="s">
        <v>5553</v>
      </c>
      <c r="AA56" s="6">
        <v>602</v>
      </c>
      <c r="AB56" s="7" t="s">
        <v>4100</v>
      </c>
      <c r="AC56" s="7" t="str">
        <f>A56&amp;COUNTIF($A$2:A56,A56)</f>
        <v>100AT401-62001</v>
      </c>
      <c r="AD56" s="7">
        <v>44707</v>
      </c>
      <c r="AE56" s="7" t="s">
        <v>3790</v>
      </c>
      <c r="AF56" s="7" t="s">
        <v>3790</v>
      </c>
      <c r="AG56" s="5">
        <v>140</v>
      </c>
      <c r="AH56" s="5">
        <v>14</v>
      </c>
      <c r="AI56" s="5">
        <v>14</v>
      </c>
      <c r="AJ56" s="5">
        <v>1000</v>
      </c>
      <c r="AK56" s="5" t="str">
        <f t="shared" ca="1" si="0"/>
        <v>run complete</v>
      </c>
    </row>
    <row r="57" spans="1:37">
      <c r="A57" s="32" t="s">
        <v>547</v>
      </c>
      <c r="B57" s="32">
        <v>6335</v>
      </c>
      <c r="C57" s="32" t="s">
        <v>546</v>
      </c>
      <c r="E57" s="34">
        <v>1344</v>
      </c>
      <c r="G57" s="34">
        <v>2000</v>
      </c>
      <c r="H57" s="7">
        <v>44105</v>
      </c>
      <c r="I57" s="32" t="s">
        <v>3658</v>
      </c>
      <c r="L57" s="7">
        <v>2958465</v>
      </c>
      <c r="M57" s="34">
        <v>1344</v>
      </c>
      <c r="N57" s="32">
        <v>6</v>
      </c>
      <c r="O57" s="36">
        <v>4.25</v>
      </c>
      <c r="P57" s="32" t="s">
        <v>4104</v>
      </c>
      <c r="Q57" s="5" t="s">
        <v>893</v>
      </c>
      <c r="R57" s="5" t="s">
        <v>4105</v>
      </c>
      <c r="S57" s="6">
        <v>1344</v>
      </c>
      <c r="T57" s="6">
        <v>0</v>
      </c>
      <c r="U57" s="6">
        <v>0</v>
      </c>
      <c r="V57" s="7">
        <v>44105</v>
      </c>
      <c r="W57" s="7" t="s">
        <v>3790</v>
      </c>
      <c r="X57" s="7">
        <v>2958465</v>
      </c>
      <c r="Y57" s="5" t="s">
        <v>4018</v>
      </c>
      <c r="Z57" s="5" t="s">
        <v>3790</v>
      </c>
      <c r="AA57" s="6">
        <v>0</v>
      </c>
      <c r="AB57" s="7" t="s">
        <v>4106</v>
      </c>
      <c r="AC57" s="7" t="str">
        <f>A57&amp;COUNTIF($A$2:A57,A57)</f>
        <v>100AV781-62001</v>
      </c>
      <c r="AD57" s="7" t="s">
        <v>4068</v>
      </c>
      <c r="AE57" s="7" t="s">
        <v>3790</v>
      </c>
      <c r="AF57" s="7" t="s">
        <v>3790</v>
      </c>
      <c r="AG57" s="5">
        <v>140</v>
      </c>
      <c r="AH57" s="5">
        <v>14</v>
      </c>
      <c r="AI57" s="5">
        <v>14</v>
      </c>
      <c r="AJ57" s="5">
        <v>2000</v>
      </c>
      <c r="AK57" s="5" t="str">
        <f t="shared" ca="1" si="0"/>
        <v>run complete</v>
      </c>
    </row>
    <row r="58" spans="1:37">
      <c r="A58" s="32" t="s">
        <v>558</v>
      </c>
      <c r="B58" s="32">
        <v>7057</v>
      </c>
      <c r="C58" s="32" t="s">
        <v>556</v>
      </c>
      <c r="E58" s="34">
        <v>3848</v>
      </c>
      <c r="G58" s="34">
        <v>2500</v>
      </c>
      <c r="H58" s="7">
        <v>44841</v>
      </c>
      <c r="I58" s="32" t="s">
        <v>3658</v>
      </c>
      <c r="L58" s="7">
        <v>45022</v>
      </c>
      <c r="M58" s="34">
        <v>1680</v>
      </c>
      <c r="N58" s="32">
        <v>6</v>
      </c>
      <c r="O58" s="36">
        <v>4.8</v>
      </c>
      <c r="P58" s="32" t="s">
        <v>5560</v>
      </c>
      <c r="Q58" s="5" t="s">
        <v>893</v>
      </c>
      <c r="R58" s="5" t="s">
        <v>4107</v>
      </c>
      <c r="S58" s="6">
        <v>3848</v>
      </c>
      <c r="T58" s="6">
        <v>2168</v>
      </c>
      <c r="U58" s="6">
        <v>0</v>
      </c>
      <c r="V58" s="7">
        <v>44841</v>
      </c>
      <c r="W58" s="7" t="s">
        <v>3790</v>
      </c>
      <c r="X58" s="7">
        <v>45022</v>
      </c>
      <c r="Y58" s="5" t="s">
        <v>4018</v>
      </c>
      <c r="Z58" s="5" t="s">
        <v>3790</v>
      </c>
      <c r="AA58" s="6">
        <v>2168</v>
      </c>
      <c r="AB58" s="7" t="s">
        <v>4108</v>
      </c>
      <c r="AC58" s="7" t="str">
        <f>A58&amp;COUNTIF($A$2:A58,A58)</f>
        <v>100AV971-62001</v>
      </c>
      <c r="AD58" s="7">
        <v>44734</v>
      </c>
      <c r="AE58" s="7" t="s">
        <v>3790</v>
      </c>
      <c r="AF58" s="7" t="s">
        <v>3790</v>
      </c>
      <c r="AG58" s="5">
        <v>140</v>
      </c>
      <c r="AH58" s="5">
        <v>14</v>
      </c>
      <c r="AI58" s="5">
        <v>14</v>
      </c>
      <c r="AJ58" s="5">
        <v>2500</v>
      </c>
      <c r="AK58" s="5" t="str">
        <f t="shared" ca="1" si="0"/>
        <v>run complete</v>
      </c>
    </row>
    <row r="59" spans="1:37">
      <c r="A59" s="32" t="s">
        <v>574</v>
      </c>
      <c r="B59" s="32">
        <v>7078</v>
      </c>
      <c r="C59" s="32" t="s">
        <v>575</v>
      </c>
      <c r="E59" s="34">
        <v>6007</v>
      </c>
      <c r="G59" s="34">
        <v>6000</v>
      </c>
      <c r="H59" s="7">
        <v>44867</v>
      </c>
      <c r="I59" s="32" t="s">
        <v>3658</v>
      </c>
      <c r="L59" s="7">
        <v>45047</v>
      </c>
      <c r="N59" s="32">
        <v>6</v>
      </c>
      <c r="O59" s="36">
        <v>4.1500000000000004</v>
      </c>
      <c r="P59" s="32" t="s">
        <v>3722</v>
      </c>
      <c r="Q59" s="5" t="s">
        <v>893</v>
      </c>
      <c r="R59" s="5" t="s">
        <v>4113</v>
      </c>
      <c r="S59" s="6">
        <v>6007</v>
      </c>
      <c r="T59" s="6">
        <v>6007</v>
      </c>
      <c r="U59" s="6">
        <v>0</v>
      </c>
      <c r="V59" s="7">
        <v>44867</v>
      </c>
      <c r="W59" s="7" t="s">
        <v>3790</v>
      </c>
      <c r="X59" s="7">
        <v>45047</v>
      </c>
      <c r="Y59" s="5" t="s">
        <v>4018</v>
      </c>
      <c r="Z59" s="5" t="s">
        <v>3790</v>
      </c>
      <c r="AA59" s="6">
        <v>6007</v>
      </c>
      <c r="AB59" s="7" t="s">
        <v>4114</v>
      </c>
      <c r="AC59" s="7" t="str">
        <f>A59&amp;COUNTIF($A$2:A59,A59)</f>
        <v>100AW300-50001</v>
      </c>
      <c r="AD59" s="7">
        <v>44750</v>
      </c>
      <c r="AE59" s="7" t="s">
        <v>3790</v>
      </c>
      <c r="AF59" s="7" t="s">
        <v>3790</v>
      </c>
      <c r="AG59" s="5">
        <v>140</v>
      </c>
      <c r="AH59" s="5">
        <v>14</v>
      </c>
      <c r="AI59" s="5">
        <v>14</v>
      </c>
      <c r="AJ59" s="5">
        <v>6000</v>
      </c>
      <c r="AK59" s="5" t="str">
        <f t="shared" ca="1" si="0"/>
        <v>run complete</v>
      </c>
    </row>
    <row r="60" spans="1:37">
      <c r="A60" s="32" t="s">
        <v>576</v>
      </c>
      <c r="B60" s="32">
        <v>7078</v>
      </c>
      <c r="C60" s="32" t="s">
        <v>575</v>
      </c>
      <c r="E60" s="34">
        <v>2317</v>
      </c>
      <c r="G60" s="34">
        <v>4000</v>
      </c>
      <c r="H60" s="7">
        <v>44867</v>
      </c>
      <c r="I60" s="32" t="s">
        <v>3658</v>
      </c>
      <c r="L60" s="7">
        <v>45047</v>
      </c>
      <c r="N60" s="32">
        <v>6</v>
      </c>
      <c r="O60" s="36">
        <v>4.1500000000000004</v>
      </c>
      <c r="P60" s="32" t="s">
        <v>3723</v>
      </c>
      <c r="Q60" s="5" t="s">
        <v>893</v>
      </c>
      <c r="R60" s="5" t="s">
        <v>4113</v>
      </c>
      <c r="S60" s="6">
        <v>2317</v>
      </c>
      <c r="T60" s="6">
        <v>2317</v>
      </c>
      <c r="U60" s="6">
        <v>0</v>
      </c>
      <c r="V60" s="7">
        <v>44867</v>
      </c>
      <c r="W60" s="7" t="s">
        <v>3790</v>
      </c>
      <c r="X60" s="7">
        <v>45047</v>
      </c>
      <c r="Y60" s="5" t="s">
        <v>4018</v>
      </c>
      <c r="Z60" s="5" t="s">
        <v>3790</v>
      </c>
      <c r="AA60" s="6">
        <v>2317</v>
      </c>
      <c r="AB60" s="7" t="s">
        <v>4115</v>
      </c>
      <c r="AC60" s="7" t="str">
        <f>A60&amp;COUNTIF($A$2:A60,A60)</f>
        <v>100AW300-62001</v>
      </c>
      <c r="AD60" s="7">
        <v>44750</v>
      </c>
      <c r="AE60" s="7" t="s">
        <v>3790</v>
      </c>
      <c r="AF60" s="7" t="s">
        <v>3790</v>
      </c>
      <c r="AG60" s="5">
        <v>140</v>
      </c>
      <c r="AH60" s="5">
        <v>14</v>
      </c>
      <c r="AI60" s="5">
        <v>14</v>
      </c>
      <c r="AJ60" s="5">
        <v>4000</v>
      </c>
      <c r="AK60" s="5" t="str">
        <f t="shared" ca="1" si="0"/>
        <v>run complete</v>
      </c>
    </row>
    <row r="61" spans="1:37">
      <c r="A61" s="32" t="s">
        <v>583</v>
      </c>
      <c r="B61" s="32">
        <v>7056</v>
      </c>
      <c r="C61" s="32" t="s">
        <v>581</v>
      </c>
      <c r="E61" s="34">
        <v>4659</v>
      </c>
      <c r="G61" s="34">
        <v>8500</v>
      </c>
      <c r="H61" s="7">
        <v>44805</v>
      </c>
      <c r="I61" s="32" t="s">
        <v>3658</v>
      </c>
      <c r="L61" s="7">
        <v>44982</v>
      </c>
      <c r="N61" s="32">
        <v>6</v>
      </c>
      <c r="O61" s="36">
        <v>3.96</v>
      </c>
      <c r="P61" s="32" t="s">
        <v>3724</v>
      </c>
      <c r="Q61" s="5" t="s">
        <v>893</v>
      </c>
      <c r="R61" s="5" t="s">
        <v>4087</v>
      </c>
      <c r="S61" s="6">
        <v>4659</v>
      </c>
      <c r="T61" s="6">
        <v>4659</v>
      </c>
      <c r="U61" s="6">
        <v>0</v>
      </c>
      <c r="V61" s="7">
        <v>44805</v>
      </c>
      <c r="W61" s="7" t="s">
        <v>3790</v>
      </c>
      <c r="X61" s="7">
        <v>44982</v>
      </c>
      <c r="Y61" s="5" t="s">
        <v>4018</v>
      </c>
      <c r="Z61" s="5" t="s">
        <v>3790</v>
      </c>
      <c r="AA61" s="6">
        <v>4659</v>
      </c>
      <c r="AB61" s="7" t="s">
        <v>4116</v>
      </c>
      <c r="AC61" s="7" t="str">
        <f>A61&amp;COUNTIF($A$2:A61,A61)</f>
        <v>100AW785-62001</v>
      </c>
      <c r="AD61" s="7">
        <v>44734</v>
      </c>
      <c r="AE61" s="7" t="s">
        <v>3790</v>
      </c>
      <c r="AF61" s="7" t="s">
        <v>3790</v>
      </c>
      <c r="AG61" s="5">
        <v>140</v>
      </c>
      <c r="AH61" s="5">
        <v>14</v>
      </c>
      <c r="AI61" s="5">
        <v>14</v>
      </c>
      <c r="AJ61" s="5">
        <v>8500</v>
      </c>
      <c r="AK61" s="5" t="str">
        <f t="shared" ca="1" si="0"/>
        <v>run complete</v>
      </c>
    </row>
    <row r="62" spans="1:37">
      <c r="A62" s="32" t="s">
        <v>3901</v>
      </c>
      <c r="B62" s="32" t="s">
        <v>5290</v>
      </c>
      <c r="C62" s="32" t="s">
        <v>5377</v>
      </c>
      <c r="D62" s="32" t="s">
        <v>3790</v>
      </c>
      <c r="E62" s="34">
        <v>21722.14667486</v>
      </c>
      <c r="F62" s="32" t="s">
        <v>3899</v>
      </c>
      <c r="G62" s="34">
        <v>20000</v>
      </c>
      <c r="H62" s="7" t="s">
        <v>5866</v>
      </c>
      <c r="I62" s="32" t="s">
        <v>3526</v>
      </c>
      <c r="J62" s="34" t="s">
        <v>3790</v>
      </c>
      <c r="K62" s="7" t="s">
        <v>3790</v>
      </c>
      <c r="L62" s="7" t="s">
        <v>5867</v>
      </c>
      <c r="M62" s="34" t="s">
        <v>3790</v>
      </c>
      <c r="N62" s="32" t="s">
        <v>3532</v>
      </c>
      <c r="O62" s="36">
        <v>1.91</v>
      </c>
      <c r="Q62" s="5" t="s">
        <v>3900</v>
      </c>
      <c r="R62" s="5" t="s">
        <v>5290</v>
      </c>
      <c r="S62" s="6">
        <v>21722</v>
      </c>
      <c r="T62" s="6">
        <v>0</v>
      </c>
      <c r="U62" s="6">
        <v>0</v>
      </c>
      <c r="V62" s="7">
        <v>44857</v>
      </c>
      <c r="W62" s="7" t="s">
        <v>3790</v>
      </c>
      <c r="X62" s="7">
        <v>44951</v>
      </c>
      <c r="Y62" s="5" t="s">
        <v>4018</v>
      </c>
      <c r="Z62" s="5" t="s">
        <v>5553</v>
      </c>
      <c r="AA62" s="6">
        <v>21722</v>
      </c>
      <c r="AB62" s="7" t="s">
        <v>5319</v>
      </c>
      <c r="AC62" s="7" t="str">
        <f>A62&amp;COUNTIF($A$2:A62,A62)</f>
        <v>100BP006-50001</v>
      </c>
      <c r="AD62" s="7">
        <v>44796</v>
      </c>
      <c r="AE62" s="7" t="s">
        <v>3790</v>
      </c>
      <c r="AF62" s="7" t="s">
        <v>3790</v>
      </c>
      <c r="AG62" s="5">
        <v>42</v>
      </c>
      <c r="AH62" s="5">
        <v>7</v>
      </c>
      <c r="AI62" s="5">
        <v>14</v>
      </c>
      <c r="AJ62" s="5">
        <v>20000</v>
      </c>
      <c r="AK62" s="5" t="str">
        <f t="shared" ca="1" si="0"/>
        <v>run complete</v>
      </c>
    </row>
    <row r="63" spans="1:37">
      <c r="A63" s="32" t="s">
        <v>4473</v>
      </c>
      <c r="B63" s="32" t="s">
        <v>5290</v>
      </c>
      <c r="C63" s="32" t="s">
        <v>5377</v>
      </c>
      <c r="D63" s="32" t="s">
        <v>3790</v>
      </c>
      <c r="E63" s="34">
        <v>9224.1410420800003</v>
      </c>
      <c r="F63" s="32" t="s">
        <v>3899</v>
      </c>
      <c r="G63" s="34">
        <v>24000</v>
      </c>
      <c r="H63" s="7" t="s">
        <v>5866</v>
      </c>
      <c r="I63" s="32" t="s">
        <v>3526</v>
      </c>
      <c r="J63" s="34" t="s">
        <v>3790</v>
      </c>
      <c r="K63" s="7" t="s">
        <v>3790</v>
      </c>
      <c r="L63" s="7" t="s">
        <v>5867</v>
      </c>
      <c r="M63" s="34" t="s">
        <v>3790</v>
      </c>
      <c r="N63" s="32" t="s">
        <v>3532</v>
      </c>
      <c r="O63" s="36">
        <v>1.91</v>
      </c>
      <c r="Q63" s="5" t="s">
        <v>3900</v>
      </c>
      <c r="R63" s="5" t="s">
        <v>5290</v>
      </c>
      <c r="S63" s="6">
        <v>9224</v>
      </c>
      <c r="T63" s="6">
        <v>0</v>
      </c>
      <c r="U63" s="6">
        <v>0</v>
      </c>
      <c r="V63" s="7">
        <v>44857</v>
      </c>
      <c r="W63" s="7" t="s">
        <v>3790</v>
      </c>
      <c r="X63" s="7">
        <v>44951</v>
      </c>
      <c r="Y63" s="5" t="s">
        <v>4018</v>
      </c>
      <c r="Z63" s="5" t="s">
        <v>5553</v>
      </c>
      <c r="AA63" s="6">
        <v>9224</v>
      </c>
      <c r="AB63" s="7" t="s">
        <v>5320</v>
      </c>
      <c r="AC63" s="7" t="str">
        <f>A63&amp;COUNTIF($A$2:A63,A63)</f>
        <v>100BP006-62001</v>
      </c>
      <c r="AD63" s="7">
        <v>44796</v>
      </c>
      <c r="AE63" s="7" t="s">
        <v>3790</v>
      </c>
      <c r="AF63" s="7" t="s">
        <v>3790</v>
      </c>
      <c r="AG63" s="5">
        <v>42</v>
      </c>
      <c r="AH63" s="5">
        <v>7</v>
      </c>
      <c r="AI63" s="5">
        <v>14</v>
      </c>
      <c r="AJ63" s="5">
        <v>24000</v>
      </c>
      <c r="AK63" s="5" t="str">
        <f t="shared" ca="1" si="0"/>
        <v>run complete</v>
      </c>
    </row>
    <row r="64" spans="1:37">
      <c r="A64" s="32" t="s">
        <v>3655</v>
      </c>
      <c r="B64" s="32">
        <v>6814</v>
      </c>
      <c r="C64" s="32" t="s">
        <v>3656</v>
      </c>
      <c r="E64" s="34">
        <v>190401</v>
      </c>
      <c r="F64" s="32" t="s">
        <v>3657</v>
      </c>
      <c r="G64" s="34">
        <v>150000</v>
      </c>
      <c r="I64" s="32" t="s">
        <v>3658</v>
      </c>
      <c r="L64" s="7">
        <v>44961</v>
      </c>
      <c r="N64" s="32">
        <v>3</v>
      </c>
      <c r="O64" s="36">
        <v>1.95</v>
      </c>
      <c r="Q64" s="5" t="s">
        <v>3653</v>
      </c>
      <c r="R64" s="5" t="s">
        <v>4123</v>
      </c>
      <c r="S64" s="6">
        <v>190401</v>
      </c>
      <c r="T64" s="6">
        <v>190401</v>
      </c>
      <c r="U64" s="6">
        <v>0</v>
      </c>
      <c r="V64" s="7" t="s">
        <v>3790</v>
      </c>
      <c r="W64" s="7" t="s">
        <v>3790</v>
      </c>
      <c r="X64" s="7">
        <v>44961</v>
      </c>
      <c r="Y64" s="5" t="s">
        <v>4018</v>
      </c>
      <c r="Z64" s="5" t="s">
        <v>3790</v>
      </c>
      <c r="AA64" s="6">
        <v>190401</v>
      </c>
      <c r="AB64" s="7" t="s">
        <v>4124</v>
      </c>
      <c r="AC64" s="7" t="str">
        <f>A64&amp;COUNTIF($A$2:A64,A64)</f>
        <v>100BP007-50001</v>
      </c>
      <c r="AD64" s="7">
        <v>44413</v>
      </c>
      <c r="AE64" s="7" t="s">
        <v>3790</v>
      </c>
      <c r="AF64" s="7" t="s">
        <v>3790</v>
      </c>
      <c r="AG64" s="5">
        <v>42</v>
      </c>
      <c r="AH64" s="5">
        <v>7</v>
      </c>
      <c r="AI64" s="5">
        <v>14</v>
      </c>
      <c r="AJ64" s="5">
        <v>150000</v>
      </c>
      <c r="AK64" s="5" t="str">
        <f t="shared" ca="1" si="0"/>
        <v>run complete</v>
      </c>
    </row>
    <row r="65" spans="1:37">
      <c r="A65" s="32" t="s">
        <v>3655</v>
      </c>
      <c r="B65" s="32">
        <v>6998</v>
      </c>
      <c r="C65" s="32" t="s">
        <v>3656</v>
      </c>
      <c r="E65" s="34">
        <v>166182</v>
      </c>
      <c r="F65" s="32" t="s">
        <v>3657</v>
      </c>
      <c r="G65" s="34">
        <v>175000</v>
      </c>
      <c r="I65" s="32" t="s">
        <v>3658</v>
      </c>
      <c r="L65" s="7">
        <v>45077</v>
      </c>
      <c r="N65" s="32">
        <v>3</v>
      </c>
      <c r="O65" s="36">
        <v>2</v>
      </c>
      <c r="Q65" s="5" t="s">
        <v>3653</v>
      </c>
      <c r="R65" s="5" t="s">
        <v>4117</v>
      </c>
      <c r="S65" s="6">
        <v>166182</v>
      </c>
      <c r="T65" s="6">
        <v>166182</v>
      </c>
      <c r="U65" s="6">
        <v>0</v>
      </c>
      <c r="V65" s="7" t="s">
        <v>3790</v>
      </c>
      <c r="W65" s="7" t="s">
        <v>3790</v>
      </c>
      <c r="X65" s="7">
        <v>45077</v>
      </c>
      <c r="Y65" s="5" t="s">
        <v>4018</v>
      </c>
      <c r="Z65" s="5" t="s">
        <v>3790</v>
      </c>
      <c r="AA65" s="6">
        <v>166182</v>
      </c>
      <c r="AB65" s="7" t="s">
        <v>4118</v>
      </c>
      <c r="AC65" s="7" t="str">
        <f>A65&amp;COUNTIF($A$2:A65,A65)</f>
        <v>100BP007-50002</v>
      </c>
      <c r="AD65" s="7">
        <v>44678</v>
      </c>
      <c r="AE65" s="7" t="s">
        <v>3790</v>
      </c>
      <c r="AF65" s="7" t="s">
        <v>3790</v>
      </c>
      <c r="AG65" s="5">
        <v>42</v>
      </c>
      <c r="AH65" s="5">
        <v>7</v>
      </c>
      <c r="AI65" s="5">
        <v>14</v>
      </c>
      <c r="AJ65" s="5">
        <v>175000</v>
      </c>
      <c r="AK65" s="5" t="str">
        <f t="shared" ca="1" si="0"/>
        <v>run complete</v>
      </c>
    </row>
    <row r="66" spans="1:37">
      <c r="A66" s="32" t="s">
        <v>3659</v>
      </c>
      <c r="B66" s="32">
        <v>6814</v>
      </c>
      <c r="C66" s="32" t="s">
        <v>3656</v>
      </c>
      <c r="E66" s="34">
        <v>71507</v>
      </c>
      <c r="F66" s="32" t="s">
        <v>3657</v>
      </c>
      <c r="G66" s="34">
        <v>70000</v>
      </c>
      <c r="I66" s="32" t="s">
        <v>3658</v>
      </c>
      <c r="L66" s="7">
        <v>44961</v>
      </c>
      <c r="N66" s="32">
        <v>3</v>
      </c>
      <c r="O66" s="36">
        <v>1.95</v>
      </c>
      <c r="Q66" s="5" t="s">
        <v>3653</v>
      </c>
      <c r="R66" s="5" t="s">
        <v>4123</v>
      </c>
      <c r="S66" s="6">
        <v>71507</v>
      </c>
      <c r="T66" s="6">
        <v>71507</v>
      </c>
      <c r="U66" s="6">
        <v>0</v>
      </c>
      <c r="V66" s="7" t="s">
        <v>3790</v>
      </c>
      <c r="W66" s="7" t="s">
        <v>3790</v>
      </c>
      <c r="X66" s="7">
        <v>44961</v>
      </c>
      <c r="Y66" s="5" t="s">
        <v>4018</v>
      </c>
      <c r="Z66" s="5" t="s">
        <v>3790</v>
      </c>
      <c r="AA66" s="6">
        <v>71507</v>
      </c>
      <c r="AB66" s="7" t="s">
        <v>4128</v>
      </c>
      <c r="AC66" s="7" t="str">
        <f>A66&amp;COUNTIF($A$2:A66,A66)</f>
        <v>100BP007-62001</v>
      </c>
      <c r="AD66" s="7">
        <v>44413</v>
      </c>
      <c r="AE66" s="7" t="s">
        <v>3790</v>
      </c>
      <c r="AF66" s="7" t="s">
        <v>3790</v>
      </c>
      <c r="AG66" s="5">
        <v>42</v>
      </c>
      <c r="AH66" s="5">
        <v>7</v>
      </c>
      <c r="AI66" s="5">
        <v>14</v>
      </c>
      <c r="AJ66" s="5">
        <v>70000</v>
      </c>
      <c r="AK66" s="5" t="str">
        <f t="shared" ref="AK66:AK129" ca="1" si="1">IFERROR(IF(OR(U66&lt;&gt;0,W66&lt;&gt;"",Y66="releasable",I66&lt;&gt;"",SUM(S66:T66)&gt;0),"run complete",IF(AND(Y66="not releasable",I66="",U66=0,V66&lt;TODAY()),"Past Due","within range")),"missing supplier data")</f>
        <v>run complete</v>
      </c>
    </row>
    <row r="67" spans="1:37">
      <c r="A67" s="32" t="s">
        <v>3659</v>
      </c>
      <c r="B67" s="32">
        <v>6998</v>
      </c>
      <c r="C67" s="32" t="s">
        <v>3656</v>
      </c>
      <c r="E67" s="34">
        <v>23501</v>
      </c>
      <c r="F67" s="32" t="s">
        <v>3657</v>
      </c>
      <c r="G67" s="34">
        <v>25000</v>
      </c>
      <c r="I67" s="32" t="s">
        <v>3658</v>
      </c>
      <c r="L67" s="7">
        <v>45077</v>
      </c>
      <c r="N67" s="32">
        <v>3</v>
      </c>
      <c r="O67" s="36">
        <v>2</v>
      </c>
      <c r="Q67" s="5" t="s">
        <v>3653</v>
      </c>
      <c r="R67" s="5" t="s">
        <v>4117</v>
      </c>
      <c r="S67" s="6">
        <v>23501</v>
      </c>
      <c r="T67" s="6">
        <v>23501</v>
      </c>
      <c r="U67" s="6">
        <v>0</v>
      </c>
      <c r="V67" s="7" t="s">
        <v>3790</v>
      </c>
      <c r="W67" s="7" t="s">
        <v>3790</v>
      </c>
      <c r="X67" s="7">
        <v>45077</v>
      </c>
      <c r="Y67" s="5" t="s">
        <v>4018</v>
      </c>
      <c r="Z67" s="5" t="s">
        <v>3790</v>
      </c>
      <c r="AA67" s="6">
        <v>23501</v>
      </c>
      <c r="AB67" s="7" t="s">
        <v>4125</v>
      </c>
      <c r="AC67" s="7" t="str">
        <f>A67&amp;COUNTIF($A$2:A67,A67)</f>
        <v>100BP007-62002</v>
      </c>
      <c r="AD67" s="7">
        <v>44678</v>
      </c>
      <c r="AE67" s="7" t="s">
        <v>3790</v>
      </c>
      <c r="AF67" s="7" t="s">
        <v>3790</v>
      </c>
      <c r="AG67" s="5">
        <v>42</v>
      </c>
      <c r="AH67" s="5">
        <v>7</v>
      </c>
      <c r="AI67" s="5">
        <v>14</v>
      </c>
      <c r="AJ67" s="5">
        <v>25000</v>
      </c>
      <c r="AK67" s="5" t="str">
        <f t="shared" ca="1" si="1"/>
        <v>run complete</v>
      </c>
    </row>
    <row r="68" spans="1:37">
      <c r="A68" s="32" t="s">
        <v>3903</v>
      </c>
      <c r="B68" s="32" t="s">
        <v>5869</v>
      </c>
      <c r="C68" s="32" t="s">
        <v>5868</v>
      </c>
      <c r="D68" s="32" t="s">
        <v>3790</v>
      </c>
      <c r="E68" s="34">
        <v>22471.718365659999</v>
      </c>
      <c r="F68" s="32" t="s">
        <v>3899</v>
      </c>
      <c r="G68" s="34">
        <v>22000</v>
      </c>
      <c r="H68" s="7" t="s">
        <v>6384</v>
      </c>
      <c r="I68" s="32" t="s">
        <v>3526</v>
      </c>
      <c r="J68" s="34" t="s">
        <v>3790</v>
      </c>
      <c r="K68" s="7" t="s">
        <v>3790</v>
      </c>
      <c r="L68" s="7" t="s">
        <v>6338</v>
      </c>
      <c r="M68" s="34" t="s">
        <v>3790</v>
      </c>
      <c r="N68" s="32" t="s">
        <v>3532</v>
      </c>
      <c r="O68" s="36">
        <v>1.86</v>
      </c>
      <c r="Q68" s="5" t="s">
        <v>3900</v>
      </c>
      <c r="R68" s="5" t="s">
        <v>5869</v>
      </c>
      <c r="S68" s="6">
        <v>22472</v>
      </c>
      <c r="T68" s="6">
        <v>0</v>
      </c>
      <c r="U68" s="6">
        <v>0</v>
      </c>
      <c r="V68" s="7">
        <v>44906</v>
      </c>
      <c r="W68" s="7" t="s">
        <v>3790</v>
      </c>
      <c r="X68" s="7">
        <v>45000</v>
      </c>
      <c r="Y68" s="5" t="s">
        <v>4018</v>
      </c>
      <c r="Z68" s="5" t="s">
        <v>3790</v>
      </c>
      <c r="AA68" s="6">
        <v>22472</v>
      </c>
      <c r="AB68" s="7" t="s">
        <v>5870</v>
      </c>
      <c r="AC68" s="7" t="str">
        <f>A68&amp;COUNTIF($A$2:A68,A68)</f>
        <v>100BP049-50001</v>
      </c>
      <c r="AD68" s="7">
        <v>44847</v>
      </c>
      <c r="AE68" s="7" t="s">
        <v>3790</v>
      </c>
      <c r="AF68" s="7" t="s">
        <v>3790</v>
      </c>
      <c r="AG68" s="5">
        <v>42</v>
      </c>
      <c r="AH68" s="5">
        <v>7</v>
      </c>
      <c r="AI68" s="5">
        <v>14</v>
      </c>
      <c r="AJ68" s="5">
        <v>22000</v>
      </c>
      <c r="AK68" s="5" t="str">
        <f t="shared" ca="1" si="1"/>
        <v>run complete</v>
      </c>
    </row>
    <row r="69" spans="1:37">
      <c r="A69" s="32" t="s">
        <v>4476</v>
      </c>
      <c r="B69" s="32" t="s">
        <v>5869</v>
      </c>
      <c r="C69" s="32" t="s">
        <v>5868</v>
      </c>
      <c r="D69" s="32" t="s">
        <v>3790</v>
      </c>
      <c r="E69" s="34">
        <v>21874.26563564</v>
      </c>
      <c r="F69" s="32" t="s">
        <v>3899</v>
      </c>
      <c r="G69" s="34">
        <v>22000</v>
      </c>
      <c r="H69" s="7" t="s">
        <v>6384</v>
      </c>
      <c r="I69" s="32" t="s">
        <v>3526</v>
      </c>
      <c r="J69" s="34" t="s">
        <v>3790</v>
      </c>
      <c r="K69" s="7" t="s">
        <v>3790</v>
      </c>
      <c r="L69" s="7" t="s">
        <v>6338</v>
      </c>
      <c r="M69" s="34" t="s">
        <v>3790</v>
      </c>
      <c r="N69" s="32" t="s">
        <v>3532</v>
      </c>
      <c r="O69" s="36">
        <v>1.86</v>
      </c>
      <c r="Q69" s="5" t="s">
        <v>3900</v>
      </c>
      <c r="R69" s="5" t="s">
        <v>5869</v>
      </c>
      <c r="S69" s="6">
        <v>21874</v>
      </c>
      <c r="T69" s="6">
        <v>0</v>
      </c>
      <c r="U69" s="6">
        <v>0</v>
      </c>
      <c r="V69" s="7">
        <v>44906</v>
      </c>
      <c r="W69" s="7" t="s">
        <v>3790</v>
      </c>
      <c r="X69" s="7">
        <v>45000</v>
      </c>
      <c r="Y69" s="5" t="s">
        <v>4018</v>
      </c>
      <c r="Z69" s="5" t="s">
        <v>3790</v>
      </c>
      <c r="AA69" s="6">
        <v>21874</v>
      </c>
      <c r="AB69" s="7" t="s">
        <v>5871</v>
      </c>
      <c r="AC69" s="7" t="str">
        <f>A69&amp;COUNTIF($A$2:A69,A69)</f>
        <v>100BP049-62001</v>
      </c>
      <c r="AD69" s="7">
        <v>44847</v>
      </c>
      <c r="AE69" s="7" t="s">
        <v>3790</v>
      </c>
      <c r="AF69" s="7" t="s">
        <v>3790</v>
      </c>
      <c r="AG69" s="5">
        <v>42</v>
      </c>
      <c r="AH69" s="5">
        <v>7</v>
      </c>
      <c r="AI69" s="5">
        <v>14</v>
      </c>
      <c r="AJ69" s="5">
        <v>22000</v>
      </c>
      <c r="AK69" s="5" t="str">
        <f t="shared" ca="1" si="1"/>
        <v>run complete</v>
      </c>
    </row>
    <row r="70" spans="1:37">
      <c r="A70" s="32" t="s">
        <v>3818</v>
      </c>
      <c r="B70" s="32" t="s">
        <v>3806</v>
      </c>
      <c r="C70" s="32" t="s">
        <v>3819</v>
      </c>
      <c r="D70" s="32" t="s">
        <v>3790</v>
      </c>
      <c r="E70" s="34" t="s">
        <v>5970</v>
      </c>
      <c r="F70" s="32" t="s">
        <v>3790</v>
      </c>
      <c r="G70" s="34" t="s">
        <v>3544</v>
      </c>
      <c r="H70" s="7" t="s">
        <v>3820</v>
      </c>
      <c r="I70" s="32" t="s">
        <v>3658</v>
      </c>
      <c r="J70" s="34" t="s">
        <v>3790</v>
      </c>
      <c r="K70" s="7" t="s">
        <v>3790</v>
      </c>
      <c r="L70" s="7" t="s">
        <v>3821</v>
      </c>
      <c r="M70" s="34" t="s">
        <v>5872</v>
      </c>
      <c r="N70" s="32" t="s">
        <v>3528</v>
      </c>
      <c r="O70" s="36">
        <v>1.76</v>
      </c>
      <c r="P70" s="32" t="s">
        <v>3790</v>
      </c>
      <c r="Q70" s="5" t="s">
        <v>3792</v>
      </c>
      <c r="R70" s="5" t="s">
        <v>3806</v>
      </c>
      <c r="S70" s="6">
        <v>1523</v>
      </c>
      <c r="T70" s="6">
        <v>1523</v>
      </c>
      <c r="U70" s="6">
        <v>0</v>
      </c>
      <c r="V70" s="7">
        <v>44851</v>
      </c>
      <c r="W70" s="7" t="s">
        <v>3790</v>
      </c>
      <c r="X70" s="7">
        <v>44986</v>
      </c>
      <c r="Y70" s="5" t="s">
        <v>4018</v>
      </c>
      <c r="Z70" s="5" t="s">
        <v>3790</v>
      </c>
      <c r="AA70" s="6">
        <v>1523</v>
      </c>
      <c r="AB70" s="7" t="s">
        <v>4129</v>
      </c>
      <c r="AC70" s="7" t="str">
        <f>A70&amp;COUNTIF($A$2:A70,A70)</f>
        <v>100DB030-50001</v>
      </c>
      <c r="AD70" s="7">
        <v>44810</v>
      </c>
      <c r="AE70" s="7" t="s">
        <v>3790</v>
      </c>
      <c r="AF70" s="7" t="s">
        <v>3790</v>
      </c>
      <c r="AG70" s="5">
        <v>70</v>
      </c>
      <c r="AH70" s="5">
        <v>7</v>
      </c>
      <c r="AI70" s="5">
        <v>14</v>
      </c>
      <c r="AJ70" s="5">
        <v>3000</v>
      </c>
      <c r="AK70" s="5" t="str">
        <f t="shared" ca="1" si="1"/>
        <v>run complete</v>
      </c>
    </row>
    <row r="71" spans="1:37">
      <c r="A71" s="32" t="s">
        <v>3822</v>
      </c>
      <c r="B71" s="32" t="s">
        <v>3806</v>
      </c>
      <c r="C71" s="32" t="s">
        <v>3819</v>
      </c>
      <c r="D71" s="32" t="s">
        <v>3790</v>
      </c>
      <c r="E71" s="34" t="s">
        <v>5971</v>
      </c>
      <c r="F71" s="32" t="s">
        <v>3790</v>
      </c>
      <c r="G71" s="34" t="s">
        <v>3823</v>
      </c>
      <c r="H71" s="7" t="s">
        <v>3820</v>
      </c>
      <c r="I71" s="32" t="s">
        <v>3658</v>
      </c>
      <c r="J71" s="34" t="s">
        <v>3790</v>
      </c>
      <c r="K71" s="7" t="s">
        <v>3790</v>
      </c>
      <c r="L71" s="7" t="s">
        <v>3821</v>
      </c>
      <c r="M71" s="34" t="s">
        <v>5873</v>
      </c>
      <c r="N71" s="32" t="s">
        <v>3528</v>
      </c>
      <c r="O71" s="36">
        <v>1.76</v>
      </c>
      <c r="P71" s="32" t="s">
        <v>3790</v>
      </c>
      <c r="Q71" s="5" t="s">
        <v>3792</v>
      </c>
      <c r="R71" s="5" t="s">
        <v>3806</v>
      </c>
      <c r="S71" s="6">
        <v>6433</v>
      </c>
      <c r="T71" s="6">
        <v>6433</v>
      </c>
      <c r="U71" s="6">
        <v>0</v>
      </c>
      <c r="V71" s="7">
        <v>44851</v>
      </c>
      <c r="W71" s="7" t="s">
        <v>3790</v>
      </c>
      <c r="X71" s="7">
        <v>44986</v>
      </c>
      <c r="Y71" s="5" t="s">
        <v>4018</v>
      </c>
      <c r="Z71" s="5" t="s">
        <v>3790</v>
      </c>
      <c r="AA71" s="6">
        <v>6433</v>
      </c>
      <c r="AB71" s="7" t="s">
        <v>4130</v>
      </c>
      <c r="AC71" s="7" t="str">
        <f>A71&amp;COUNTIF($A$2:A71,A71)</f>
        <v>100DB030-62001</v>
      </c>
      <c r="AD71" s="7">
        <v>44810</v>
      </c>
      <c r="AE71" s="7" t="s">
        <v>3790</v>
      </c>
      <c r="AF71" s="7" t="s">
        <v>3790</v>
      </c>
      <c r="AG71" s="5">
        <v>70</v>
      </c>
      <c r="AH71" s="5">
        <v>7</v>
      </c>
      <c r="AI71" s="5">
        <v>14</v>
      </c>
      <c r="AJ71" s="5">
        <v>7000</v>
      </c>
      <c r="AK71" s="5" t="str">
        <f t="shared" ca="1" si="1"/>
        <v>run complete</v>
      </c>
    </row>
    <row r="72" spans="1:37">
      <c r="A72" s="32" t="s">
        <v>646</v>
      </c>
      <c r="B72" s="32" t="s">
        <v>3824</v>
      </c>
      <c r="C72" s="32" t="s">
        <v>647</v>
      </c>
      <c r="D72" s="32" t="s">
        <v>3790</v>
      </c>
      <c r="E72" s="34" t="s">
        <v>3601</v>
      </c>
      <c r="F72" s="32" t="s">
        <v>3790</v>
      </c>
      <c r="G72" s="34" t="s">
        <v>3569</v>
      </c>
      <c r="H72" s="7" t="s">
        <v>3820</v>
      </c>
      <c r="I72" s="32" t="s">
        <v>3658</v>
      </c>
      <c r="J72" s="34" t="s">
        <v>3790</v>
      </c>
      <c r="K72" s="7" t="s">
        <v>3790</v>
      </c>
      <c r="L72" s="7" t="s">
        <v>5273</v>
      </c>
      <c r="M72" s="34" t="s">
        <v>5874</v>
      </c>
      <c r="N72" s="32" t="s">
        <v>3528</v>
      </c>
      <c r="O72" s="36">
        <v>4.6399999999999997</v>
      </c>
      <c r="P72" s="32" t="s">
        <v>3790</v>
      </c>
      <c r="Q72" s="5" t="s">
        <v>3792</v>
      </c>
      <c r="R72" s="5" t="s">
        <v>3824</v>
      </c>
      <c r="S72" s="6">
        <v>1001</v>
      </c>
      <c r="T72" s="6">
        <v>939</v>
      </c>
      <c r="U72" s="6">
        <v>0</v>
      </c>
      <c r="V72" s="7">
        <v>44851</v>
      </c>
      <c r="W72" s="7" t="s">
        <v>3790</v>
      </c>
      <c r="X72" s="7">
        <v>44985</v>
      </c>
      <c r="Y72" s="5" t="s">
        <v>4018</v>
      </c>
      <c r="Z72" s="5" t="s">
        <v>3790</v>
      </c>
      <c r="AA72" s="6">
        <v>939</v>
      </c>
      <c r="AB72" s="7" t="s">
        <v>4133</v>
      </c>
      <c r="AC72" s="7" t="str">
        <f>A72&amp;COUNTIF($A$2:A72,A72)</f>
        <v>100DS059-50001</v>
      </c>
      <c r="AD72" s="7">
        <v>44781</v>
      </c>
      <c r="AE72" s="7" t="s">
        <v>3790</v>
      </c>
      <c r="AF72" s="7" t="s">
        <v>3790</v>
      </c>
      <c r="AG72" s="5">
        <v>70</v>
      </c>
      <c r="AH72" s="5">
        <v>7</v>
      </c>
      <c r="AI72" s="5">
        <v>14</v>
      </c>
      <c r="AJ72" s="5">
        <v>2000</v>
      </c>
      <c r="AK72" s="5" t="str">
        <f t="shared" ca="1" si="1"/>
        <v>run complete</v>
      </c>
    </row>
    <row r="73" spans="1:37">
      <c r="A73" s="32" t="s">
        <v>654</v>
      </c>
      <c r="B73" s="32" t="s">
        <v>3806</v>
      </c>
      <c r="C73" s="32" t="s">
        <v>3825</v>
      </c>
      <c r="D73" s="32" t="s">
        <v>3790</v>
      </c>
      <c r="E73" s="34" t="s">
        <v>6432</v>
      </c>
      <c r="F73" s="32" t="s">
        <v>3790</v>
      </c>
      <c r="G73" s="34" t="s">
        <v>6143</v>
      </c>
      <c r="H73" s="7" t="s">
        <v>5573</v>
      </c>
      <c r="I73" s="32" t="s">
        <v>3658</v>
      </c>
      <c r="J73" s="34" t="s">
        <v>3790</v>
      </c>
      <c r="K73" s="7" t="s">
        <v>3790</v>
      </c>
      <c r="L73" s="7" t="s">
        <v>5891</v>
      </c>
      <c r="M73" s="34" t="s">
        <v>6385</v>
      </c>
      <c r="N73" s="32" t="s">
        <v>3528</v>
      </c>
      <c r="O73" s="36">
        <v>1.71</v>
      </c>
      <c r="P73" s="32" t="s">
        <v>3790</v>
      </c>
      <c r="Q73" s="5" t="s">
        <v>3792</v>
      </c>
      <c r="R73" s="5" t="s">
        <v>3806</v>
      </c>
      <c r="S73" s="6">
        <v>20222</v>
      </c>
      <c r="T73" s="6">
        <v>20222</v>
      </c>
      <c r="U73" s="6">
        <v>0</v>
      </c>
      <c r="V73" s="7">
        <v>44900</v>
      </c>
      <c r="W73" s="7" t="s">
        <v>3790</v>
      </c>
      <c r="X73" s="7">
        <v>45045</v>
      </c>
      <c r="Y73" s="5" t="s">
        <v>4018</v>
      </c>
      <c r="Z73" s="5" t="s">
        <v>3790</v>
      </c>
      <c r="AA73" s="6">
        <v>20222</v>
      </c>
      <c r="AB73" s="7" t="s">
        <v>4134</v>
      </c>
      <c r="AC73" s="7" t="str">
        <f>A73&amp;COUNTIF($A$2:A73,A73)</f>
        <v>100DS064-49141</v>
      </c>
      <c r="AD73" s="7">
        <v>44810</v>
      </c>
      <c r="AE73" s="7" t="s">
        <v>3790</v>
      </c>
      <c r="AF73" s="7" t="s">
        <v>3790</v>
      </c>
      <c r="AG73" s="5">
        <v>70</v>
      </c>
      <c r="AH73" s="5">
        <v>7</v>
      </c>
      <c r="AI73" s="5">
        <v>14</v>
      </c>
      <c r="AJ73" s="5">
        <v>21000</v>
      </c>
      <c r="AK73" s="5" t="str">
        <f t="shared" ca="1" si="1"/>
        <v>run complete</v>
      </c>
    </row>
    <row r="74" spans="1:37">
      <c r="A74" s="32" t="s">
        <v>657</v>
      </c>
      <c r="B74" s="32" t="s">
        <v>3806</v>
      </c>
      <c r="C74" s="32" t="s">
        <v>3825</v>
      </c>
      <c r="D74" s="32" t="s">
        <v>3790</v>
      </c>
      <c r="E74" s="34" t="s">
        <v>6088</v>
      </c>
      <c r="F74" s="32" t="s">
        <v>3790</v>
      </c>
      <c r="G74" s="34" t="s">
        <v>3569</v>
      </c>
      <c r="H74" s="7" t="s">
        <v>5573</v>
      </c>
      <c r="I74" s="32" t="s">
        <v>3658</v>
      </c>
      <c r="J74" s="34" t="s">
        <v>3790</v>
      </c>
      <c r="K74" s="7" t="s">
        <v>3790</v>
      </c>
      <c r="L74" s="7" t="s">
        <v>5891</v>
      </c>
      <c r="M74" s="34" t="s">
        <v>6386</v>
      </c>
      <c r="N74" s="32" t="s">
        <v>3528</v>
      </c>
      <c r="O74" s="36">
        <v>1.71</v>
      </c>
      <c r="P74" s="32" t="s">
        <v>3790</v>
      </c>
      <c r="Q74" s="5" t="s">
        <v>3792</v>
      </c>
      <c r="R74" s="5" t="s">
        <v>3806</v>
      </c>
      <c r="S74" s="6">
        <v>2535</v>
      </c>
      <c r="T74" s="6">
        <v>1968</v>
      </c>
      <c r="U74" s="6">
        <v>0</v>
      </c>
      <c r="V74" s="7">
        <v>44900</v>
      </c>
      <c r="W74" s="7" t="s">
        <v>3790</v>
      </c>
      <c r="X74" s="7">
        <v>45045</v>
      </c>
      <c r="Y74" s="5" t="s">
        <v>4018</v>
      </c>
      <c r="Z74" s="5" t="s">
        <v>3790</v>
      </c>
      <c r="AA74" s="6">
        <v>1968</v>
      </c>
      <c r="AB74" s="7" t="s">
        <v>4135</v>
      </c>
      <c r="AC74" s="7" t="str">
        <f>A74&amp;COUNTIF($A$2:A74,A74)</f>
        <v>100DS064-50001</v>
      </c>
      <c r="AD74" s="7">
        <v>44810</v>
      </c>
      <c r="AE74" s="7" t="s">
        <v>3790</v>
      </c>
      <c r="AF74" s="7" t="s">
        <v>3790</v>
      </c>
      <c r="AG74" s="5">
        <v>70</v>
      </c>
      <c r="AH74" s="5">
        <v>7</v>
      </c>
      <c r="AI74" s="5">
        <v>14</v>
      </c>
      <c r="AJ74" s="5">
        <v>2000</v>
      </c>
      <c r="AK74" s="5" t="str">
        <f t="shared" ca="1" si="1"/>
        <v>run complete</v>
      </c>
    </row>
    <row r="75" spans="1:37">
      <c r="A75" s="32" t="s">
        <v>659</v>
      </c>
      <c r="B75" s="32" t="s">
        <v>3806</v>
      </c>
      <c r="C75" s="32" t="s">
        <v>3825</v>
      </c>
      <c r="D75" s="32" t="s">
        <v>3790</v>
      </c>
      <c r="E75" s="34" t="s">
        <v>6433</v>
      </c>
      <c r="F75" s="32" t="s">
        <v>3790</v>
      </c>
      <c r="G75" s="34" t="s">
        <v>6144</v>
      </c>
      <c r="H75" s="7" t="s">
        <v>5573</v>
      </c>
      <c r="I75" s="32" t="s">
        <v>3658</v>
      </c>
      <c r="J75" s="34" t="s">
        <v>3790</v>
      </c>
      <c r="K75" s="7" t="s">
        <v>3790</v>
      </c>
      <c r="L75" s="7" t="s">
        <v>5891</v>
      </c>
      <c r="M75" s="34" t="s">
        <v>6387</v>
      </c>
      <c r="N75" s="32" t="s">
        <v>3528</v>
      </c>
      <c r="O75" s="36">
        <v>1.71</v>
      </c>
      <c r="P75" s="32" t="s">
        <v>3790</v>
      </c>
      <c r="Q75" s="5" t="s">
        <v>3792</v>
      </c>
      <c r="R75" s="5" t="s">
        <v>3806</v>
      </c>
      <c r="S75" s="6">
        <v>18857</v>
      </c>
      <c r="T75" s="6">
        <v>16724</v>
      </c>
      <c r="U75" s="6">
        <v>0</v>
      </c>
      <c r="V75" s="7">
        <v>44900</v>
      </c>
      <c r="W75" s="7" t="s">
        <v>3790</v>
      </c>
      <c r="X75" s="7">
        <v>45045</v>
      </c>
      <c r="Y75" s="5" t="s">
        <v>4018</v>
      </c>
      <c r="Z75" s="5" t="s">
        <v>3790</v>
      </c>
      <c r="AA75" s="6">
        <v>16724</v>
      </c>
      <c r="AB75" s="7" t="s">
        <v>4136</v>
      </c>
      <c r="AC75" s="7" t="str">
        <f>A75&amp;COUNTIF($A$2:A75,A75)</f>
        <v>100DS064-62001</v>
      </c>
      <c r="AD75" s="7">
        <v>44810</v>
      </c>
      <c r="AE75" s="7" t="s">
        <v>3790</v>
      </c>
      <c r="AF75" s="7" t="s">
        <v>3790</v>
      </c>
      <c r="AG75" s="5">
        <v>70</v>
      </c>
      <c r="AH75" s="5">
        <v>7</v>
      </c>
      <c r="AI75" s="5">
        <v>14</v>
      </c>
      <c r="AJ75" s="5">
        <v>17000</v>
      </c>
      <c r="AK75" s="5" t="str">
        <f t="shared" ca="1" si="1"/>
        <v>run complete</v>
      </c>
    </row>
    <row r="76" spans="1:37">
      <c r="A76" s="32" t="s">
        <v>795</v>
      </c>
      <c r="B76" s="32" t="s">
        <v>5290</v>
      </c>
      <c r="C76" s="32" t="s">
        <v>5379</v>
      </c>
      <c r="D76" s="32" t="s">
        <v>3790</v>
      </c>
      <c r="E76" s="34">
        <v>65781.529735560005</v>
      </c>
      <c r="F76" s="32" t="s">
        <v>3899</v>
      </c>
      <c r="G76" s="34">
        <v>120434</v>
      </c>
      <c r="H76" s="7" t="s">
        <v>3649</v>
      </c>
      <c r="I76" s="32" t="s">
        <v>3526</v>
      </c>
      <c r="J76" s="34" t="s">
        <v>3790</v>
      </c>
      <c r="K76" s="7" t="s">
        <v>3790</v>
      </c>
      <c r="L76" s="7" t="s">
        <v>6069</v>
      </c>
      <c r="M76" s="34" t="s">
        <v>3790</v>
      </c>
      <c r="N76" s="32" t="s">
        <v>3532</v>
      </c>
      <c r="O76" s="36">
        <v>1.1100000000000001</v>
      </c>
      <c r="Q76" s="5" t="s">
        <v>3900</v>
      </c>
      <c r="R76" s="5" t="s">
        <v>5290</v>
      </c>
      <c r="S76" s="6">
        <v>65782</v>
      </c>
      <c r="T76" s="6">
        <v>0</v>
      </c>
      <c r="U76" s="6">
        <v>0</v>
      </c>
      <c r="V76" s="7">
        <v>44879</v>
      </c>
      <c r="W76" s="7" t="s">
        <v>3790</v>
      </c>
      <c r="X76" s="7">
        <v>44973</v>
      </c>
      <c r="Y76" s="5" t="s">
        <v>4018</v>
      </c>
      <c r="Z76" s="5" t="s">
        <v>3790</v>
      </c>
      <c r="AA76" s="6">
        <v>65782</v>
      </c>
      <c r="AB76" s="7" t="s">
        <v>5321</v>
      </c>
      <c r="AC76" s="7" t="str">
        <f>A76&amp;COUNTIF($A$2:A76,A76)</f>
        <v>100FR115-50141</v>
      </c>
      <c r="AD76" s="7">
        <v>44796</v>
      </c>
      <c r="AE76" s="7" t="s">
        <v>3790</v>
      </c>
      <c r="AF76" s="7" t="s">
        <v>3790</v>
      </c>
      <c r="AG76" s="5">
        <v>42</v>
      </c>
      <c r="AH76" s="5">
        <v>7</v>
      </c>
      <c r="AI76" s="5">
        <v>14</v>
      </c>
      <c r="AJ76" s="5">
        <v>120434</v>
      </c>
      <c r="AK76" s="5" t="str">
        <f t="shared" ca="1" si="1"/>
        <v>run complete</v>
      </c>
    </row>
    <row r="77" spans="1:37">
      <c r="A77" s="32" t="s">
        <v>796</v>
      </c>
      <c r="B77" s="32" t="s">
        <v>5290</v>
      </c>
      <c r="C77" s="32" t="s">
        <v>5379</v>
      </c>
      <c r="D77" s="32" t="s">
        <v>3790</v>
      </c>
      <c r="E77" s="34">
        <v>17304.082944379999</v>
      </c>
      <c r="F77" s="32" t="s">
        <v>3899</v>
      </c>
      <c r="G77" s="34">
        <v>34284</v>
      </c>
      <c r="H77" s="7" t="s">
        <v>3649</v>
      </c>
      <c r="I77" s="32" t="s">
        <v>3526</v>
      </c>
      <c r="J77" s="34" t="s">
        <v>3790</v>
      </c>
      <c r="K77" s="7" t="s">
        <v>3790</v>
      </c>
      <c r="L77" s="7" t="s">
        <v>6069</v>
      </c>
      <c r="M77" s="34" t="s">
        <v>3790</v>
      </c>
      <c r="N77" s="32" t="s">
        <v>3532</v>
      </c>
      <c r="O77" s="36">
        <v>1.1100000000000001</v>
      </c>
      <c r="Q77" s="5" t="s">
        <v>3900</v>
      </c>
      <c r="R77" s="5" t="s">
        <v>5290</v>
      </c>
      <c r="S77" s="6">
        <v>17304</v>
      </c>
      <c r="T77" s="6">
        <v>0</v>
      </c>
      <c r="U77" s="6">
        <v>0</v>
      </c>
      <c r="V77" s="7">
        <v>44879</v>
      </c>
      <c r="W77" s="7" t="s">
        <v>3790</v>
      </c>
      <c r="X77" s="7">
        <v>44973</v>
      </c>
      <c r="Y77" s="5" t="s">
        <v>4018</v>
      </c>
      <c r="Z77" s="5" t="s">
        <v>3790</v>
      </c>
      <c r="AA77" s="6">
        <v>17304</v>
      </c>
      <c r="AB77" s="7" t="s">
        <v>5322</v>
      </c>
      <c r="AC77" s="7" t="str">
        <f>A77&amp;COUNTIF($A$2:A77,A77)</f>
        <v>100FR115-62121</v>
      </c>
      <c r="AD77" s="7">
        <v>44796</v>
      </c>
      <c r="AE77" s="7" t="s">
        <v>3790</v>
      </c>
      <c r="AF77" s="7" t="s">
        <v>3790</v>
      </c>
      <c r="AG77" s="5">
        <v>42</v>
      </c>
      <c r="AH77" s="5">
        <v>7</v>
      </c>
      <c r="AI77" s="5">
        <v>14</v>
      </c>
      <c r="AJ77" s="5">
        <v>34284</v>
      </c>
      <c r="AK77" s="5" t="str">
        <f t="shared" ca="1" si="1"/>
        <v>run complete</v>
      </c>
    </row>
    <row r="78" spans="1:37">
      <c r="A78" s="32" t="s">
        <v>827</v>
      </c>
      <c r="B78" s="32" t="s">
        <v>3898</v>
      </c>
      <c r="C78" s="32" t="s">
        <v>5380</v>
      </c>
      <c r="D78" s="32" t="s">
        <v>3790</v>
      </c>
      <c r="E78" s="34">
        <v>23521.11873278</v>
      </c>
      <c r="F78" s="32" t="s">
        <v>3899</v>
      </c>
      <c r="G78" s="34">
        <v>30000</v>
      </c>
      <c r="H78" s="7" t="s">
        <v>3609</v>
      </c>
      <c r="I78" s="32" t="s">
        <v>3526</v>
      </c>
      <c r="J78" s="34" t="s">
        <v>3790</v>
      </c>
      <c r="K78" s="7" t="s">
        <v>3790</v>
      </c>
      <c r="L78" s="7" t="s">
        <v>5381</v>
      </c>
      <c r="M78" s="34" t="s">
        <v>3790</v>
      </c>
      <c r="N78" s="32" t="s">
        <v>3532</v>
      </c>
      <c r="O78" s="36">
        <v>1.9</v>
      </c>
      <c r="Q78" s="5" t="s">
        <v>3900</v>
      </c>
      <c r="R78" s="5" t="s">
        <v>3898</v>
      </c>
      <c r="S78" s="6">
        <v>23521</v>
      </c>
      <c r="T78" s="6">
        <v>0</v>
      </c>
      <c r="U78" s="6">
        <v>0</v>
      </c>
      <c r="V78" s="7">
        <v>44816</v>
      </c>
      <c r="W78" s="7" t="s">
        <v>3790</v>
      </c>
      <c r="X78" s="7">
        <v>44937</v>
      </c>
      <c r="Y78" s="5" t="s">
        <v>4018</v>
      </c>
      <c r="Z78" s="5" t="s">
        <v>5553</v>
      </c>
      <c r="AA78" s="6">
        <v>23521</v>
      </c>
      <c r="AB78" s="7" t="s">
        <v>4137</v>
      </c>
      <c r="AC78" s="7" t="str">
        <f>A78&amp;COUNTIF($A$2:A78,A78)</f>
        <v>100HP020-50001</v>
      </c>
      <c r="AD78" s="7">
        <v>44732</v>
      </c>
      <c r="AE78" s="7" t="s">
        <v>3790</v>
      </c>
      <c r="AF78" s="7" t="s">
        <v>3790</v>
      </c>
      <c r="AG78" s="5">
        <v>42</v>
      </c>
      <c r="AH78" s="5">
        <v>7</v>
      </c>
      <c r="AI78" s="5">
        <v>14</v>
      </c>
      <c r="AJ78" s="5">
        <v>30000</v>
      </c>
      <c r="AK78" s="5" t="str">
        <f t="shared" ca="1" si="1"/>
        <v>run complete</v>
      </c>
    </row>
    <row r="79" spans="1:37">
      <c r="A79" s="32" t="s">
        <v>830</v>
      </c>
      <c r="B79" s="32" t="s">
        <v>3898</v>
      </c>
      <c r="C79" s="32" t="s">
        <v>5380</v>
      </c>
      <c r="D79" s="32" t="s">
        <v>3790</v>
      </c>
      <c r="E79" s="34">
        <v>8913.2892526600008</v>
      </c>
      <c r="F79" s="32" t="s">
        <v>3899</v>
      </c>
      <c r="G79" s="34">
        <v>14000</v>
      </c>
      <c r="H79" s="7" t="s">
        <v>3609</v>
      </c>
      <c r="I79" s="32" t="s">
        <v>3526</v>
      </c>
      <c r="J79" s="34" t="s">
        <v>3790</v>
      </c>
      <c r="K79" s="7" t="s">
        <v>3790</v>
      </c>
      <c r="L79" s="7" t="s">
        <v>5381</v>
      </c>
      <c r="M79" s="34" t="s">
        <v>3790</v>
      </c>
      <c r="N79" s="32" t="s">
        <v>3532</v>
      </c>
      <c r="O79" s="36">
        <v>1.9</v>
      </c>
      <c r="Q79" s="5" t="s">
        <v>3900</v>
      </c>
      <c r="R79" s="5" t="s">
        <v>3898</v>
      </c>
      <c r="S79" s="6">
        <v>8913</v>
      </c>
      <c r="T79" s="6">
        <v>0</v>
      </c>
      <c r="U79" s="6">
        <v>0</v>
      </c>
      <c r="V79" s="7">
        <v>44816</v>
      </c>
      <c r="W79" s="7" t="s">
        <v>3790</v>
      </c>
      <c r="X79" s="7">
        <v>44937</v>
      </c>
      <c r="Y79" s="5" t="s">
        <v>4018</v>
      </c>
      <c r="Z79" s="5" t="s">
        <v>5553</v>
      </c>
      <c r="AA79" s="6">
        <v>8913</v>
      </c>
      <c r="AB79" s="7" t="s">
        <v>4138</v>
      </c>
      <c r="AC79" s="7" t="str">
        <f>A79&amp;COUNTIF($A$2:A79,A79)</f>
        <v>100HP020-62001</v>
      </c>
      <c r="AD79" s="7">
        <v>44732</v>
      </c>
      <c r="AE79" s="7" t="s">
        <v>3790</v>
      </c>
      <c r="AF79" s="7" t="s">
        <v>3790</v>
      </c>
      <c r="AG79" s="5">
        <v>42</v>
      </c>
      <c r="AH79" s="5">
        <v>7</v>
      </c>
      <c r="AI79" s="5">
        <v>14</v>
      </c>
      <c r="AJ79" s="5">
        <v>14000</v>
      </c>
      <c r="AK79" s="5" t="str">
        <f t="shared" ca="1" si="1"/>
        <v>run complete</v>
      </c>
    </row>
    <row r="80" spans="1:37">
      <c r="A80" s="32" t="s">
        <v>841</v>
      </c>
      <c r="B80" s="32">
        <v>6986</v>
      </c>
      <c r="C80" s="32" t="s">
        <v>842</v>
      </c>
      <c r="E80" s="34">
        <v>1538</v>
      </c>
      <c r="G80" s="34">
        <v>1500</v>
      </c>
      <c r="H80" s="7">
        <v>44777</v>
      </c>
      <c r="I80" s="32" t="s">
        <v>3658</v>
      </c>
      <c r="L80" s="7">
        <v>44957</v>
      </c>
      <c r="N80" s="32">
        <v>3</v>
      </c>
      <c r="O80" s="36">
        <v>4.6100000000000003</v>
      </c>
      <c r="P80" s="32" t="s">
        <v>3725</v>
      </c>
      <c r="Q80" s="5" t="s">
        <v>893</v>
      </c>
      <c r="R80" s="5" t="s">
        <v>4078</v>
      </c>
      <c r="S80" s="6">
        <v>1538</v>
      </c>
      <c r="T80" s="6">
        <v>1538</v>
      </c>
      <c r="U80" s="6">
        <v>0</v>
      </c>
      <c r="V80" s="7">
        <v>44777</v>
      </c>
      <c r="W80" s="7" t="s">
        <v>3790</v>
      </c>
      <c r="X80" s="7">
        <v>44957</v>
      </c>
      <c r="Y80" s="5" t="s">
        <v>4018</v>
      </c>
      <c r="Z80" s="5" t="s">
        <v>5553</v>
      </c>
      <c r="AA80" s="6">
        <v>1538</v>
      </c>
      <c r="AB80" s="7" t="s">
        <v>4139</v>
      </c>
      <c r="AC80" s="7" t="str">
        <f>A80&amp;COUNTIF($A$2:A80,A80)</f>
        <v>100HP156-50001</v>
      </c>
      <c r="AD80" s="7">
        <v>44664</v>
      </c>
      <c r="AE80" s="7" t="s">
        <v>3790</v>
      </c>
      <c r="AF80" s="7" t="s">
        <v>3790</v>
      </c>
      <c r="AG80" s="5">
        <v>140</v>
      </c>
      <c r="AH80" s="5">
        <v>14</v>
      </c>
      <c r="AI80" s="5">
        <v>14</v>
      </c>
      <c r="AJ80" s="5">
        <v>1500</v>
      </c>
      <c r="AK80" s="5" t="str">
        <f t="shared" ca="1" si="1"/>
        <v>run complete</v>
      </c>
    </row>
    <row r="81" spans="1:37">
      <c r="A81" s="32" t="s">
        <v>844</v>
      </c>
      <c r="B81" s="32">
        <v>6986</v>
      </c>
      <c r="C81" s="32" t="s">
        <v>842</v>
      </c>
      <c r="E81" s="34">
        <v>1817</v>
      </c>
      <c r="G81" s="34">
        <v>2500</v>
      </c>
      <c r="H81" s="7">
        <v>44777</v>
      </c>
      <c r="I81" s="32" t="s">
        <v>3658</v>
      </c>
      <c r="L81" s="7">
        <v>44957</v>
      </c>
      <c r="N81" s="32">
        <v>3</v>
      </c>
      <c r="O81" s="36">
        <v>4.6100000000000003</v>
      </c>
      <c r="P81" s="32" t="s">
        <v>3726</v>
      </c>
      <c r="Q81" s="5" t="s">
        <v>893</v>
      </c>
      <c r="R81" s="5" t="s">
        <v>4078</v>
      </c>
      <c r="S81" s="6">
        <v>1817</v>
      </c>
      <c r="T81" s="6">
        <v>1817</v>
      </c>
      <c r="U81" s="6">
        <v>0</v>
      </c>
      <c r="V81" s="7">
        <v>44777</v>
      </c>
      <c r="W81" s="7" t="s">
        <v>3790</v>
      </c>
      <c r="X81" s="7">
        <v>44957</v>
      </c>
      <c r="Y81" s="5" t="s">
        <v>4018</v>
      </c>
      <c r="Z81" s="5" t="s">
        <v>5553</v>
      </c>
      <c r="AA81" s="6">
        <v>1817</v>
      </c>
      <c r="AB81" s="7" t="s">
        <v>4142</v>
      </c>
      <c r="AC81" s="7" t="str">
        <f>A81&amp;COUNTIF($A$2:A81,A81)</f>
        <v>100HP156-62001</v>
      </c>
      <c r="AD81" s="7">
        <v>44664</v>
      </c>
      <c r="AE81" s="7" t="s">
        <v>3790</v>
      </c>
      <c r="AF81" s="7" t="s">
        <v>3790</v>
      </c>
      <c r="AG81" s="5">
        <v>140</v>
      </c>
      <c r="AH81" s="5">
        <v>14</v>
      </c>
      <c r="AI81" s="5">
        <v>14</v>
      </c>
      <c r="AJ81" s="5">
        <v>2500</v>
      </c>
      <c r="AK81" s="5" t="str">
        <f t="shared" ca="1" si="1"/>
        <v>run complete</v>
      </c>
    </row>
    <row r="82" spans="1:37">
      <c r="A82" s="32" t="s">
        <v>850</v>
      </c>
      <c r="B82" s="32" t="s">
        <v>3537</v>
      </c>
      <c r="C82" s="32" t="s">
        <v>3534</v>
      </c>
      <c r="E82" s="34" t="s">
        <v>5972</v>
      </c>
      <c r="F82" s="32" t="s">
        <v>3524</v>
      </c>
      <c r="G82" s="34" t="s">
        <v>3538</v>
      </c>
      <c r="H82" s="7" t="s">
        <v>3820</v>
      </c>
      <c r="I82" s="32" t="s">
        <v>3526</v>
      </c>
      <c r="J82" s="34" t="s">
        <v>3527</v>
      </c>
      <c r="L82" s="7" t="s">
        <v>7509</v>
      </c>
      <c r="N82" s="32" t="s">
        <v>3528</v>
      </c>
      <c r="O82" s="36" t="s">
        <v>5234</v>
      </c>
      <c r="Q82" s="5" t="s">
        <v>5428</v>
      </c>
      <c r="R82" s="5" t="s">
        <v>3537</v>
      </c>
      <c r="S82" s="6">
        <v>3521</v>
      </c>
      <c r="T82" s="6">
        <v>3521</v>
      </c>
      <c r="U82" s="6">
        <v>0</v>
      </c>
      <c r="V82" s="7">
        <v>44851</v>
      </c>
      <c r="W82" s="7" t="s">
        <v>3790</v>
      </c>
      <c r="X82" s="7">
        <v>45030</v>
      </c>
      <c r="Y82" s="5" t="s">
        <v>4018</v>
      </c>
      <c r="Z82" s="5" t="s">
        <v>3790</v>
      </c>
      <c r="AA82" s="6">
        <v>3521</v>
      </c>
      <c r="AB82" s="7" t="s">
        <v>4143</v>
      </c>
      <c r="AC82" s="7" t="str">
        <f>A82&amp;COUNTIF($A$2:A82,A82)</f>
        <v>100HP190-50001</v>
      </c>
      <c r="AD82" s="7">
        <v>44712</v>
      </c>
      <c r="AE82" s="7" t="s">
        <v>3790</v>
      </c>
      <c r="AF82" s="7" t="s">
        <v>3790</v>
      </c>
      <c r="AG82" s="5">
        <v>84</v>
      </c>
      <c r="AH82" s="5">
        <v>56</v>
      </c>
      <c r="AI82" s="5">
        <v>14</v>
      </c>
      <c r="AJ82" s="5">
        <v>3999</v>
      </c>
      <c r="AK82" s="5" t="str">
        <f t="shared" ca="1" si="1"/>
        <v>run complete</v>
      </c>
    </row>
    <row r="83" spans="1:37">
      <c r="A83" s="32" t="s">
        <v>852</v>
      </c>
      <c r="B83" s="32" t="s">
        <v>3537</v>
      </c>
      <c r="C83" s="32" t="s">
        <v>3534</v>
      </c>
      <c r="E83" s="34" t="s">
        <v>5973</v>
      </c>
      <c r="F83" s="32" t="s">
        <v>3524</v>
      </c>
      <c r="G83" s="34" t="s">
        <v>3539</v>
      </c>
      <c r="H83" s="7" t="s">
        <v>3820</v>
      </c>
      <c r="I83" s="32" t="s">
        <v>3526</v>
      </c>
      <c r="J83" s="34" t="s">
        <v>3527</v>
      </c>
      <c r="L83" s="7" t="s">
        <v>7509</v>
      </c>
      <c r="N83" s="32" t="s">
        <v>3528</v>
      </c>
      <c r="O83" s="36" t="s">
        <v>5234</v>
      </c>
      <c r="Q83" s="5" t="s">
        <v>5428</v>
      </c>
      <c r="R83" s="5" t="s">
        <v>3537</v>
      </c>
      <c r="S83" s="6">
        <v>2359</v>
      </c>
      <c r="T83" s="6">
        <v>2359</v>
      </c>
      <c r="U83" s="6">
        <v>0</v>
      </c>
      <c r="V83" s="7">
        <v>44851</v>
      </c>
      <c r="W83" s="7" t="s">
        <v>3790</v>
      </c>
      <c r="X83" s="7">
        <v>45030</v>
      </c>
      <c r="Y83" s="5" t="s">
        <v>4018</v>
      </c>
      <c r="Z83" s="5" t="s">
        <v>3790</v>
      </c>
      <c r="AA83" s="6">
        <v>2359</v>
      </c>
      <c r="AB83" s="7" t="s">
        <v>4145</v>
      </c>
      <c r="AC83" s="7" t="str">
        <f>A83&amp;COUNTIF($A$2:A83,A83)</f>
        <v>100HP190-62001</v>
      </c>
      <c r="AD83" s="7">
        <v>44712</v>
      </c>
      <c r="AE83" s="7" t="s">
        <v>3790</v>
      </c>
      <c r="AF83" s="7" t="s">
        <v>3790</v>
      </c>
      <c r="AG83" s="5">
        <v>84</v>
      </c>
      <c r="AH83" s="5">
        <v>56</v>
      </c>
      <c r="AI83" s="5">
        <v>14</v>
      </c>
      <c r="AJ83" s="5">
        <v>2599</v>
      </c>
      <c r="AK83" s="5" t="str">
        <f t="shared" ca="1" si="1"/>
        <v>run complete</v>
      </c>
    </row>
    <row r="84" spans="1:37">
      <c r="A84" s="32" t="s">
        <v>867</v>
      </c>
      <c r="B84" s="32">
        <v>6987</v>
      </c>
      <c r="C84" s="32" t="s">
        <v>868</v>
      </c>
      <c r="E84" s="34">
        <v>14884</v>
      </c>
      <c r="G84" s="34">
        <v>42500</v>
      </c>
      <c r="H84" s="7">
        <v>44770</v>
      </c>
      <c r="I84" s="32" t="s">
        <v>3658</v>
      </c>
      <c r="L84" s="7">
        <v>44950</v>
      </c>
      <c r="N84" s="32">
        <v>3</v>
      </c>
      <c r="O84" s="36">
        <v>3.25</v>
      </c>
      <c r="P84" s="32" t="s">
        <v>3728</v>
      </c>
      <c r="Q84" s="5" t="s">
        <v>893</v>
      </c>
      <c r="R84" s="5" t="s">
        <v>4149</v>
      </c>
      <c r="S84" s="6">
        <v>14884</v>
      </c>
      <c r="T84" s="6">
        <v>14884</v>
      </c>
      <c r="U84" s="6">
        <v>0</v>
      </c>
      <c r="V84" s="7">
        <v>44770</v>
      </c>
      <c r="W84" s="7" t="s">
        <v>3790</v>
      </c>
      <c r="X84" s="7">
        <v>44950</v>
      </c>
      <c r="Y84" s="5" t="s">
        <v>4018</v>
      </c>
      <c r="Z84" s="5" t="s">
        <v>5553</v>
      </c>
      <c r="AA84" s="6">
        <v>14884</v>
      </c>
      <c r="AB84" s="7" t="s">
        <v>4150</v>
      </c>
      <c r="AC84" s="7" t="str">
        <f>A84&amp;COUNTIF($A$2:A84,A84)</f>
        <v>100HP256-50001</v>
      </c>
      <c r="AD84" s="7">
        <v>44664</v>
      </c>
      <c r="AE84" s="7" t="s">
        <v>3790</v>
      </c>
      <c r="AF84" s="7" t="s">
        <v>3790</v>
      </c>
      <c r="AG84" s="5">
        <v>140</v>
      </c>
      <c r="AH84" s="5">
        <v>14</v>
      </c>
      <c r="AI84" s="5">
        <v>14</v>
      </c>
      <c r="AJ84" s="5">
        <v>42500</v>
      </c>
      <c r="AK84" s="5" t="str">
        <f t="shared" ca="1" si="1"/>
        <v>run complete</v>
      </c>
    </row>
    <row r="85" spans="1:37">
      <c r="A85" s="32" t="s">
        <v>890</v>
      </c>
      <c r="B85" s="32">
        <v>7111</v>
      </c>
      <c r="C85" s="32" t="s">
        <v>3731</v>
      </c>
      <c r="E85" s="34">
        <v>1514</v>
      </c>
      <c r="G85" s="34">
        <v>3000</v>
      </c>
      <c r="H85" s="7">
        <v>44819</v>
      </c>
      <c r="I85" s="32" t="s">
        <v>3658</v>
      </c>
      <c r="L85" s="7">
        <v>44999</v>
      </c>
      <c r="N85" s="32">
        <v>3</v>
      </c>
      <c r="O85" s="36">
        <v>4.8</v>
      </c>
      <c r="P85" s="32" t="s">
        <v>5367</v>
      </c>
      <c r="Q85" s="5" t="s">
        <v>893</v>
      </c>
      <c r="R85" s="5" t="s">
        <v>4154</v>
      </c>
      <c r="S85" s="6">
        <v>1514</v>
      </c>
      <c r="T85" s="6">
        <v>1514</v>
      </c>
      <c r="U85" s="6">
        <v>0</v>
      </c>
      <c r="V85" s="7">
        <v>44819</v>
      </c>
      <c r="W85" s="7" t="s">
        <v>3790</v>
      </c>
      <c r="X85" s="7">
        <v>44999</v>
      </c>
      <c r="Y85" s="5" t="s">
        <v>4018</v>
      </c>
      <c r="Z85" s="5" t="s">
        <v>3790</v>
      </c>
      <c r="AA85" s="6">
        <v>1514</v>
      </c>
      <c r="AB85" s="7" t="s">
        <v>4155</v>
      </c>
      <c r="AC85" s="7" t="str">
        <f>A85&amp;COUNTIF($A$2:A85,A85)</f>
        <v>100HP290-62001</v>
      </c>
      <c r="AD85" s="7">
        <v>44795</v>
      </c>
      <c r="AE85" s="7" t="s">
        <v>3790</v>
      </c>
      <c r="AF85" s="7" t="s">
        <v>3790</v>
      </c>
      <c r="AG85" s="5">
        <v>140</v>
      </c>
      <c r="AH85" s="5">
        <v>14</v>
      </c>
      <c r="AI85" s="5">
        <v>14</v>
      </c>
      <c r="AJ85" s="5">
        <v>3000</v>
      </c>
      <c r="AK85" s="5" t="str">
        <f t="shared" ca="1" si="1"/>
        <v>run complete</v>
      </c>
    </row>
    <row r="86" spans="1:37">
      <c r="A86" s="32" t="s">
        <v>3732</v>
      </c>
      <c r="B86" s="32">
        <v>7058</v>
      </c>
      <c r="C86" s="32" t="s">
        <v>897</v>
      </c>
      <c r="E86" s="34">
        <v>3537</v>
      </c>
      <c r="G86" s="34">
        <v>3000</v>
      </c>
      <c r="H86" s="7">
        <v>44838</v>
      </c>
      <c r="I86" s="32" t="s">
        <v>3658</v>
      </c>
      <c r="L86" s="7">
        <v>45019</v>
      </c>
      <c r="N86" s="32">
        <v>3</v>
      </c>
      <c r="O86" s="36">
        <v>4.8</v>
      </c>
      <c r="P86" s="32" t="s">
        <v>3733</v>
      </c>
      <c r="Q86" s="5" t="s">
        <v>893</v>
      </c>
      <c r="R86" s="5" t="s">
        <v>4109</v>
      </c>
      <c r="S86" s="6">
        <v>3537</v>
      </c>
      <c r="T86" s="6">
        <v>3537</v>
      </c>
      <c r="U86" s="6">
        <v>0</v>
      </c>
      <c r="V86" s="7">
        <v>44838</v>
      </c>
      <c r="W86" s="7" t="s">
        <v>3790</v>
      </c>
      <c r="X86" s="7">
        <v>45019</v>
      </c>
      <c r="Y86" s="5" t="s">
        <v>4018</v>
      </c>
      <c r="Z86" s="5" t="s">
        <v>3790</v>
      </c>
      <c r="AA86" s="6">
        <v>3537</v>
      </c>
      <c r="AB86" s="7" t="s">
        <v>4156</v>
      </c>
      <c r="AC86" s="7" t="str">
        <f>A86&amp;COUNTIF($A$2:A86,A86)</f>
        <v>100HP302-62001</v>
      </c>
      <c r="AD86" s="7">
        <v>44734</v>
      </c>
      <c r="AE86" s="7" t="s">
        <v>3790</v>
      </c>
      <c r="AF86" s="7" t="s">
        <v>3790</v>
      </c>
      <c r="AG86" s="5">
        <v>140</v>
      </c>
      <c r="AH86" s="5">
        <v>14</v>
      </c>
      <c r="AI86" s="5">
        <v>14</v>
      </c>
      <c r="AJ86" s="5">
        <v>3000</v>
      </c>
      <c r="AK86" s="5" t="str">
        <f t="shared" ca="1" si="1"/>
        <v>run complete</v>
      </c>
    </row>
    <row r="87" spans="1:37">
      <c r="A87" s="32" t="s">
        <v>902</v>
      </c>
      <c r="B87" s="32">
        <v>6982</v>
      </c>
      <c r="C87" s="32" t="s">
        <v>3884</v>
      </c>
      <c r="E87" s="34">
        <v>804</v>
      </c>
      <c r="F87" s="32" t="s">
        <v>3881</v>
      </c>
      <c r="G87" s="34">
        <v>700</v>
      </c>
      <c r="H87" s="7">
        <v>44757</v>
      </c>
      <c r="I87" s="32" t="s">
        <v>3658</v>
      </c>
      <c r="L87" s="7">
        <v>44941</v>
      </c>
      <c r="N87" s="32">
        <v>3</v>
      </c>
      <c r="O87" s="36">
        <v>6.41</v>
      </c>
      <c r="Q87" s="5" t="s">
        <v>3882</v>
      </c>
      <c r="R87" s="5" t="s">
        <v>4102</v>
      </c>
      <c r="S87" s="6">
        <v>804</v>
      </c>
      <c r="T87" s="6">
        <v>804</v>
      </c>
      <c r="U87" s="6">
        <v>0</v>
      </c>
      <c r="V87" s="7">
        <v>44757</v>
      </c>
      <c r="W87" s="7" t="s">
        <v>3790</v>
      </c>
      <c r="X87" s="7">
        <v>44941</v>
      </c>
      <c r="Y87" s="5" t="s">
        <v>4018</v>
      </c>
      <c r="Z87" s="5" t="s">
        <v>5553</v>
      </c>
      <c r="AA87" s="6">
        <v>804</v>
      </c>
      <c r="AB87" s="7" t="s">
        <v>4157</v>
      </c>
      <c r="AC87" s="7" t="str">
        <f>A87&amp;COUNTIF($A$2:A87,A87)</f>
        <v>100HP336-50001</v>
      </c>
      <c r="AD87" s="7">
        <v>44658</v>
      </c>
      <c r="AE87" s="7" t="s">
        <v>3790</v>
      </c>
      <c r="AF87" s="7" t="s">
        <v>3790</v>
      </c>
      <c r="AG87" s="5">
        <v>84</v>
      </c>
      <c r="AH87" s="5">
        <v>14</v>
      </c>
      <c r="AI87" s="5">
        <v>14</v>
      </c>
      <c r="AJ87" s="5">
        <v>700</v>
      </c>
      <c r="AK87" s="5" t="str">
        <f t="shared" ca="1" si="1"/>
        <v>run complete</v>
      </c>
    </row>
    <row r="88" spans="1:37">
      <c r="A88" s="32" t="s">
        <v>935</v>
      </c>
      <c r="B88" s="32">
        <v>7059</v>
      </c>
      <c r="C88" s="32" t="s">
        <v>936</v>
      </c>
      <c r="E88" s="34">
        <v>1251</v>
      </c>
      <c r="G88" s="34">
        <v>1200</v>
      </c>
      <c r="H88" s="7">
        <v>44820</v>
      </c>
      <c r="I88" s="32" t="s">
        <v>3658</v>
      </c>
      <c r="L88" s="7">
        <v>45003</v>
      </c>
      <c r="N88" s="32">
        <v>3</v>
      </c>
      <c r="O88" s="36">
        <v>4.8</v>
      </c>
      <c r="P88" s="32" t="s">
        <v>3736</v>
      </c>
      <c r="Q88" s="5" t="s">
        <v>893</v>
      </c>
      <c r="R88" s="5" t="s">
        <v>4160</v>
      </c>
      <c r="S88" s="6">
        <v>1251</v>
      </c>
      <c r="T88" s="6">
        <v>1251</v>
      </c>
      <c r="U88" s="6">
        <v>0</v>
      </c>
      <c r="V88" s="7">
        <v>44820</v>
      </c>
      <c r="W88" s="7" t="s">
        <v>3790</v>
      </c>
      <c r="X88" s="7">
        <v>45003</v>
      </c>
      <c r="Y88" s="5" t="s">
        <v>4018</v>
      </c>
      <c r="Z88" s="5" t="s">
        <v>3790</v>
      </c>
      <c r="AA88" s="6">
        <v>1251</v>
      </c>
      <c r="AB88" s="7" t="s">
        <v>4161</v>
      </c>
      <c r="AC88" s="7" t="str">
        <f>A88&amp;COUNTIF($A$2:A88,A88)</f>
        <v>100HP370-50001</v>
      </c>
      <c r="AD88" s="7">
        <v>44734</v>
      </c>
      <c r="AE88" s="7" t="s">
        <v>3790</v>
      </c>
      <c r="AF88" s="7" t="s">
        <v>3790</v>
      </c>
      <c r="AG88" s="5">
        <v>140</v>
      </c>
      <c r="AH88" s="5">
        <v>14</v>
      </c>
      <c r="AI88" s="5">
        <v>14</v>
      </c>
      <c r="AJ88" s="5">
        <v>1200</v>
      </c>
      <c r="AK88" s="5" t="str">
        <f t="shared" ca="1" si="1"/>
        <v>run complete</v>
      </c>
    </row>
    <row r="89" spans="1:37">
      <c r="A89" s="32" t="s">
        <v>937</v>
      </c>
      <c r="B89" s="32">
        <v>7059</v>
      </c>
      <c r="C89" s="32" t="s">
        <v>936</v>
      </c>
      <c r="E89" s="34">
        <v>1691</v>
      </c>
      <c r="G89" s="34">
        <v>1800</v>
      </c>
      <c r="H89" s="7">
        <v>44820</v>
      </c>
      <c r="I89" s="32" t="s">
        <v>3658</v>
      </c>
      <c r="L89" s="7">
        <v>45003</v>
      </c>
      <c r="N89" s="32">
        <v>3</v>
      </c>
      <c r="O89" s="36">
        <v>4.8</v>
      </c>
      <c r="P89" s="32" t="s">
        <v>5262</v>
      </c>
      <c r="Q89" s="5" t="s">
        <v>893</v>
      </c>
      <c r="R89" s="5" t="s">
        <v>4160</v>
      </c>
      <c r="S89" s="6">
        <v>1691</v>
      </c>
      <c r="T89" s="6">
        <v>1691</v>
      </c>
      <c r="U89" s="6">
        <v>0</v>
      </c>
      <c r="V89" s="7">
        <v>44820</v>
      </c>
      <c r="W89" s="7" t="s">
        <v>3790</v>
      </c>
      <c r="X89" s="7">
        <v>45003</v>
      </c>
      <c r="Y89" s="5" t="s">
        <v>4018</v>
      </c>
      <c r="Z89" s="5" t="s">
        <v>3790</v>
      </c>
      <c r="AA89" s="6">
        <v>1691</v>
      </c>
      <c r="AB89" s="7" t="s">
        <v>4162</v>
      </c>
      <c r="AC89" s="7" t="str">
        <f>A89&amp;COUNTIF($A$2:A89,A89)</f>
        <v>100HP370-62001</v>
      </c>
      <c r="AD89" s="7">
        <v>44734</v>
      </c>
      <c r="AE89" s="7" t="s">
        <v>3790</v>
      </c>
      <c r="AF89" s="7" t="s">
        <v>3790</v>
      </c>
      <c r="AG89" s="5">
        <v>140</v>
      </c>
      <c r="AH89" s="5">
        <v>14</v>
      </c>
      <c r="AI89" s="5">
        <v>14</v>
      </c>
      <c r="AJ89" s="5">
        <v>1800</v>
      </c>
      <c r="AK89" s="5" t="str">
        <f t="shared" ca="1" si="1"/>
        <v>run complete</v>
      </c>
    </row>
    <row r="90" spans="1:37">
      <c r="A90" s="32" t="s">
        <v>938</v>
      </c>
      <c r="B90" s="32">
        <v>6876</v>
      </c>
      <c r="C90" s="32" t="s">
        <v>3660</v>
      </c>
      <c r="E90" s="34">
        <v>10448</v>
      </c>
      <c r="F90" s="32" t="s">
        <v>3661</v>
      </c>
      <c r="G90" s="34">
        <v>10000</v>
      </c>
      <c r="H90" s="7">
        <v>44780</v>
      </c>
      <c r="I90" s="32" t="s">
        <v>3658</v>
      </c>
      <c r="L90" s="7">
        <v>45041</v>
      </c>
      <c r="M90" s="34">
        <v>448</v>
      </c>
      <c r="N90" s="32">
        <v>3</v>
      </c>
      <c r="O90" s="36">
        <v>4.6399999999999997</v>
      </c>
      <c r="Q90" s="5" t="s">
        <v>3662</v>
      </c>
      <c r="R90" s="5" t="s">
        <v>4163</v>
      </c>
      <c r="S90" s="6">
        <v>10448</v>
      </c>
      <c r="T90" s="6">
        <v>10000</v>
      </c>
      <c r="U90" s="6">
        <v>0</v>
      </c>
      <c r="V90" s="7">
        <v>44780</v>
      </c>
      <c r="W90" s="7" t="s">
        <v>3790</v>
      </c>
      <c r="X90" s="7">
        <v>45041</v>
      </c>
      <c r="Y90" s="5" t="s">
        <v>4018</v>
      </c>
      <c r="Z90" s="5" t="s">
        <v>3790</v>
      </c>
      <c r="AA90" s="6">
        <v>10000</v>
      </c>
      <c r="AB90" s="7" t="s">
        <v>4164</v>
      </c>
      <c r="AC90" s="7" t="str">
        <f>A90&amp;COUNTIF($A$2:A90,A90)</f>
        <v>100HP372-50001</v>
      </c>
      <c r="AD90" s="7">
        <v>44498</v>
      </c>
      <c r="AE90" s="7" t="s">
        <v>3790</v>
      </c>
      <c r="AF90" s="7" t="s">
        <v>3790</v>
      </c>
      <c r="AG90" s="5">
        <v>154</v>
      </c>
      <c r="AH90" s="5">
        <v>70</v>
      </c>
      <c r="AI90" s="5">
        <v>14</v>
      </c>
      <c r="AJ90" s="5">
        <v>10000</v>
      </c>
      <c r="AK90" s="5" t="str">
        <f t="shared" ca="1" si="1"/>
        <v>run complete</v>
      </c>
    </row>
    <row r="91" spans="1:37">
      <c r="A91" s="32" t="s">
        <v>942</v>
      </c>
      <c r="B91" s="32">
        <v>6885</v>
      </c>
      <c r="C91" s="32" t="s">
        <v>3664</v>
      </c>
      <c r="E91" s="34">
        <v>1021</v>
      </c>
      <c r="F91" s="32" t="s">
        <v>3661</v>
      </c>
      <c r="G91" s="34">
        <v>4000</v>
      </c>
      <c r="H91" s="7">
        <v>44651</v>
      </c>
      <c r="I91" s="32" t="s">
        <v>3658</v>
      </c>
      <c r="L91" s="7">
        <v>44930</v>
      </c>
      <c r="M91" s="34">
        <v>21</v>
      </c>
      <c r="N91" s="32">
        <v>3</v>
      </c>
      <c r="O91" s="36">
        <v>6.01</v>
      </c>
      <c r="Q91" s="5" t="s">
        <v>3662</v>
      </c>
      <c r="R91" s="5" t="s">
        <v>4167</v>
      </c>
      <c r="S91" s="6">
        <v>1021</v>
      </c>
      <c r="T91" s="6">
        <v>1000</v>
      </c>
      <c r="U91" s="6">
        <v>0</v>
      </c>
      <c r="V91" s="7">
        <v>44651</v>
      </c>
      <c r="W91" s="7" t="s">
        <v>3790</v>
      </c>
      <c r="X91" s="7">
        <v>44930</v>
      </c>
      <c r="Y91" s="5" t="s">
        <v>4018</v>
      </c>
      <c r="Z91" s="5" t="s">
        <v>5553</v>
      </c>
      <c r="AA91" s="6">
        <v>1000</v>
      </c>
      <c r="AB91" s="7" t="s">
        <v>4168</v>
      </c>
      <c r="AC91" s="7" t="str">
        <f>A91&amp;COUNTIF($A$2:A91,A91)</f>
        <v>100HP375-50001</v>
      </c>
      <c r="AD91" s="7">
        <v>44533</v>
      </c>
      <c r="AE91" s="7" t="s">
        <v>3790</v>
      </c>
      <c r="AF91" s="7" t="s">
        <v>3790</v>
      </c>
      <c r="AG91" s="5">
        <v>154</v>
      </c>
      <c r="AH91" s="5">
        <v>70</v>
      </c>
      <c r="AI91" s="5">
        <v>14</v>
      </c>
      <c r="AJ91" s="5">
        <v>4000</v>
      </c>
      <c r="AK91" s="5" t="str">
        <f t="shared" ca="1" si="1"/>
        <v>run complete</v>
      </c>
    </row>
    <row r="92" spans="1:37">
      <c r="A92" s="32" t="s">
        <v>3665</v>
      </c>
      <c r="B92" s="32">
        <v>6885</v>
      </c>
      <c r="C92" s="32" t="s">
        <v>3664</v>
      </c>
      <c r="D92" s="32" t="s">
        <v>3663</v>
      </c>
      <c r="E92" s="34">
        <v>499</v>
      </c>
      <c r="F92" s="32" t="s">
        <v>3661</v>
      </c>
      <c r="G92" s="34">
        <v>1000</v>
      </c>
      <c r="H92" s="7">
        <v>44651</v>
      </c>
      <c r="I92" s="32" t="s">
        <v>3658</v>
      </c>
      <c r="L92" s="7">
        <v>45041</v>
      </c>
      <c r="M92" s="34">
        <v>21</v>
      </c>
      <c r="N92" s="32">
        <v>3</v>
      </c>
      <c r="O92" s="36">
        <v>6.01</v>
      </c>
      <c r="Q92" s="5" t="s">
        <v>3662</v>
      </c>
      <c r="R92" s="5" t="s">
        <v>4167</v>
      </c>
      <c r="S92" s="6">
        <v>499</v>
      </c>
      <c r="T92" s="6">
        <v>478</v>
      </c>
      <c r="U92" s="6">
        <v>0</v>
      </c>
      <c r="V92" s="7">
        <v>44651</v>
      </c>
      <c r="W92" s="7" t="s">
        <v>3790</v>
      </c>
      <c r="X92" s="7">
        <v>45041</v>
      </c>
      <c r="Y92" s="5" t="s">
        <v>4018</v>
      </c>
      <c r="Z92" s="5" t="s">
        <v>3790</v>
      </c>
      <c r="AA92" s="6">
        <v>478</v>
      </c>
      <c r="AB92" s="7" t="s">
        <v>6145</v>
      </c>
      <c r="AC92" s="7" t="str">
        <f>A92&amp;COUNTIF($A$2:A92,A92)</f>
        <v>100HP375-62001</v>
      </c>
      <c r="AD92" s="7">
        <v>44533</v>
      </c>
      <c r="AE92" s="7" t="s">
        <v>3790</v>
      </c>
      <c r="AF92" s="7" t="s">
        <v>3790</v>
      </c>
      <c r="AG92" s="5">
        <v>154</v>
      </c>
      <c r="AH92" s="5">
        <v>70</v>
      </c>
      <c r="AI92" s="5">
        <v>14</v>
      </c>
      <c r="AJ92" s="5">
        <v>1000</v>
      </c>
      <c r="AK92" s="5" t="str">
        <f t="shared" ca="1" si="1"/>
        <v>run complete</v>
      </c>
    </row>
    <row r="93" spans="1:37">
      <c r="A93" s="32" t="s">
        <v>3665</v>
      </c>
      <c r="B93" s="32">
        <v>6961</v>
      </c>
      <c r="C93" s="32" t="s">
        <v>3664</v>
      </c>
      <c r="D93" s="32" t="s">
        <v>3663</v>
      </c>
      <c r="E93" s="34">
        <v>1201</v>
      </c>
      <c r="F93" s="32" t="s">
        <v>3661</v>
      </c>
      <c r="G93" s="34">
        <v>2500</v>
      </c>
      <c r="H93" s="7">
        <v>44781</v>
      </c>
      <c r="I93" s="32" t="s">
        <v>3658</v>
      </c>
      <c r="L93" s="7">
        <v>45041</v>
      </c>
      <c r="N93" s="32">
        <v>3</v>
      </c>
      <c r="O93" s="36">
        <v>6.96</v>
      </c>
      <c r="Q93" s="5" t="s">
        <v>3662</v>
      </c>
      <c r="R93" s="5" t="s">
        <v>4169</v>
      </c>
      <c r="S93" s="6">
        <v>1201</v>
      </c>
      <c r="T93" s="6">
        <v>1201</v>
      </c>
      <c r="U93" s="6">
        <v>0</v>
      </c>
      <c r="V93" s="7">
        <v>44781</v>
      </c>
      <c r="W93" s="7" t="s">
        <v>3790</v>
      </c>
      <c r="X93" s="7">
        <v>45041</v>
      </c>
      <c r="Y93" s="5" t="s">
        <v>4018</v>
      </c>
      <c r="Z93" s="5" t="s">
        <v>3790</v>
      </c>
      <c r="AA93" s="6">
        <v>1201</v>
      </c>
      <c r="AB93" s="7" t="s">
        <v>4170</v>
      </c>
      <c r="AC93" s="7" t="str">
        <f>A93&amp;COUNTIF($A$2:A93,A93)</f>
        <v>100HP375-62002</v>
      </c>
      <c r="AD93" s="7">
        <v>44641</v>
      </c>
      <c r="AE93" s="7" t="s">
        <v>3790</v>
      </c>
      <c r="AF93" s="7" t="s">
        <v>3790</v>
      </c>
      <c r="AG93" s="5">
        <v>154</v>
      </c>
      <c r="AH93" s="5">
        <v>70</v>
      </c>
      <c r="AI93" s="5">
        <v>14</v>
      </c>
      <c r="AJ93" s="5">
        <v>2500</v>
      </c>
      <c r="AK93" s="5" t="str">
        <f t="shared" ca="1" si="1"/>
        <v>run complete</v>
      </c>
    </row>
    <row r="94" spans="1:37">
      <c r="A94" s="32" t="s">
        <v>951</v>
      </c>
      <c r="B94" s="32">
        <v>6889</v>
      </c>
      <c r="C94" s="32" t="s">
        <v>952</v>
      </c>
      <c r="E94" s="34">
        <v>673</v>
      </c>
      <c r="G94" s="34">
        <v>2000</v>
      </c>
      <c r="H94" s="7">
        <v>44634</v>
      </c>
      <c r="I94" s="32" t="s">
        <v>3658</v>
      </c>
      <c r="L94" s="7">
        <v>2958465</v>
      </c>
      <c r="M94" s="34">
        <v>673</v>
      </c>
      <c r="N94" s="32">
        <v>3</v>
      </c>
      <c r="O94" s="36">
        <v>4.24</v>
      </c>
      <c r="P94" s="32" t="s">
        <v>4171</v>
      </c>
      <c r="Q94" s="5" t="s">
        <v>893</v>
      </c>
      <c r="R94" s="5" t="s">
        <v>4172</v>
      </c>
      <c r="S94" s="6">
        <v>673</v>
      </c>
      <c r="T94" s="6">
        <v>0</v>
      </c>
      <c r="U94" s="6">
        <v>0</v>
      </c>
      <c r="V94" s="7">
        <v>44634</v>
      </c>
      <c r="W94" s="7" t="s">
        <v>3790</v>
      </c>
      <c r="X94" s="7">
        <v>2958465</v>
      </c>
      <c r="Y94" s="5" t="s">
        <v>4018</v>
      </c>
      <c r="Z94" s="5" t="s">
        <v>3790</v>
      </c>
      <c r="AA94" s="6">
        <v>0</v>
      </c>
      <c r="AB94" s="7" t="s">
        <v>4173</v>
      </c>
      <c r="AC94" s="7" t="str">
        <f>A94&amp;COUNTIF($A$2:A94,A94)</f>
        <v>100HP393-50001</v>
      </c>
      <c r="AD94" s="7">
        <v>44550</v>
      </c>
      <c r="AE94" s="7" t="s">
        <v>3790</v>
      </c>
      <c r="AF94" s="7" t="s">
        <v>3790</v>
      </c>
      <c r="AG94" s="5">
        <v>140</v>
      </c>
      <c r="AH94" s="5">
        <v>14</v>
      </c>
      <c r="AI94" s="5">
        <v>14</v>
      </c>
      <c r="AJ94" s="5">
        <v>2000</v>
      </c>
      <c r="AK94" s="5" t="str">
        <f t="shared" ca="1" si="1"/>
        <v>run complete</v>
      </c>
    </row>
    <row r="95" spans="1:37">
      <c r="A95" s="32" t="s">
        <v>971</v>
      </c>
      <c r="B95" s="32">
        <v>7177</v>
      </c>
      <c r="C95" s="32" t="s">
        <v>3540</v>
      </c>
      <c r="E95" s="34" t="s">
        <v>5235</v>
      </c>
      <c r="F95" s="32" t="s">
        <v>5502</v>
      </c>
      <c r="G95" s="34" t="s">
        <v>3525</v>
      </c>
      <c r="H95" s="7" t="s">
        <v>3541</v>
      </c>
      <c r="I95" s="32" t="s">
        <v>3526</v>
      </c>
      <c r="J95" s="34" t="s">
        <v>3527</v>
      </c>
      <c r="L95" s="7" t="s">
        <v>5236</v>
      </c>
      <c r="N95" s="32" t="s">
        <v>3528</v>
      </c>
      <c r="O95" s="36" t="s">
        <v>3542</v>
      </c>
      <c r="Q95" s="5" t="s">
        <v>5429</v>
      </c>
      <c r="R95" s="5" t="s">
        <v>5975</v>
      </c>
      <c r="S95" s="6">
        <v>4068</v>
      </c>
      <c r="T95" s="6">
        <v>4068</v>
      </c>
      <c r="U95" s="6">
        <v>0</v>
      </c>
      <c r="V95" s="7">
        <v>44746</v>
      </c>
      <c r="W95" s="7" t="s">
        <v>3790</v>
      </c>
      <c r="X95" s="7">
        <v>44938</v>
      </c>
      <c r="Y95" s="5" t="s">
        <v>4018</v>
      </c>
      <c r="Z95" s="5" t="s">
        <v>5553</v>
      </c>
      <c r="AA95" s="6">
        <v>4068</v>
      </c>
      <c r="AB95" s="7" t="s">
        <v>5976</v>
      </c>
      <c r="AC95" s="7" t="str">
        <f>A95&amp;COUNTIF($A$2:A95,A95)</f>
        <v>100HP451-50001</v>
      </c>
      <c r="AD95" s="7">
        <v>44844</v>
      </c>
      <c r="AE95" s="7" t="s">
        <v>3790</v>
      </c>
      <c r="AF95" s="7" t="s">
        <v>3790</v>
      </c>
      <c r="AG95" s="5">
        <v>91</v>
      </c>
      <c r="AH95" s="5">
        <v>56</v>
      </c>
      <c r="AI95" s="5">
        <v>14</v>
      </c>
      <c r="AJ95" s="5">
        <v>4400</v>
      </c>
      <c r="AK95" s="5" t="str">
        <f t="shared" ca="1" si="1"/>
        <v>run complete</v>
      </c>
    </row>
    <row r="96" spans="1:37">
      <c r="A96" s="32" t="s">
        <v>989</v>
      </c>
      <c r="B96" s="32">
        <v>7024</v>
      </c>
      <c r="C96" s="32" t="s">
        <v>990</v>
      </c>
      <c r="E96" s="34">
        <v>2757</v>
      </c>
      <c r="F96" s="32" t="s">
        <v>3657</v>
      </c>
      <c r="G96" s="34">
        <v>2500</v>
      </c>
      <c r="I96" s="32" t="s">
        <v>3658</v>
      </c>
      <c r="L96" s="7">
        <v>45082</v>
      </c>
      <c r="N96" s="32">
        <v>3</v>
      </c>
      <c r="O96" s="36">
        <v>3.68</v>
      </c>
      <c r="Q96" s="5" t="s">
        <v>3653</v>
      </c>
      <c r="R96" s="5" t="s">
        <v>4176</v>
      </c>
      <c r="S96" s="6">
        <v>2757</v>
      </c>
      <c r="T96" s="6">
        <v>2757</v>
      </c>
      <c r="U96" s="6">
        <v>0</v>
      </c>
      <c r="V96" s="7" t="s">
        <v>3790</v>
      </c>
      <c r="W96" s="7" t="s">
        <v>3790</v>
      </c>
      <c r="X96" s="7">
        <v>45082</v>
      </c>
      <c r="Y96" s="5" t="s">
        <v>4018</v>
      </c>
      <c r="Z96" s="5" t="s">
        <v>3790</v>
      </c>
      <c r="AA96" s="6">
        <v>2757</v>
      </c>
      <c r="AB96" s="7" t="s">
        <v>4177</v>
      </c>
      <c r="AC96" s="7" t="str">
        <f>A96&amp;COUNTIF($A$2:A96,A96)</f>
        <v>100HP548-50001</v>
      </c>
      <c r="AD96" s="7">
        <v>44712</v>
      </c>
      <c r="AE96" s="7" t="s">
        <v>3790</v>
      </c>
      <c r="AF96" s="7" t="s">
        <v>3790</v>
      </c>
      <c r="AG96" s="5">
        <v>105</v>
      </c>
      <c r="AH96" s="5">
        <v>42</v>
      </c>
      <c r="AI96" s="5">
        <v>14</v>
      </c>
      <c r="AJ96" s="5">
        <v>2500</v>
      </c>
      <c r="AK96" s="5" t="str">
        <f t="shared" ca="1" si="1"/>
        <v>run complete</v>
      </c>
    </row>
    <row r="97" spans="1:37">
      <c r="A97" s="32" t="s">
        <v>993</v>
      </c>
      <c r="B97" s="32">
        <v>7024</v>
      </c>
      <c r="C97" s="32" t="s">
        <v>990</v>
      </c>
      <c r="E97" s="34">
        <v>11265</v>
      </c>
      <c r="F97" s="32" t="s">
        <v>3657</v>
      </c>
      <c r="G97" s="34">
        <v>7500</v>
      </c>
      <c r="I97" s="32" t="s">
        <v>3658</v>
      </c>
      <c r="L97" s="7">
        <v>45082</v>
      </c>
      <c r="N97" s="32">
        <v>3</v>
      </c>
      <c r="O97" s="36">
        <v>3.68</v>
      </c>
      <c r="Q97" s="5" t="s">
        <v>3653</v>
      </c>
      <c r="R97" s="5" t="s">
        <v>4176</v>
      </c>
      <c r="S97" s="6">
        <v>11265</v>
      </c>
      <c r="T97" s="6">
        <v>11265</v>
      </c>
      <c r="U97" s="6">
        <v>0</v>
      </c>
      <c r="V97" s="7" t="s">
        <v>3790</v>
      </c>
      <c r="W97" s="7" t="s">
        <v>3790</v>
      </c>
      <c r="X97" s="7">
        <v>45082</v>
      </c>
      <c r="Y97" s="5" t="s">
        <v>4018</v>
      </c>
      <c r="Z97" s="5" t="s">
        <v>3790</v>
      </c>
      <c r="AA97" s="6">
        <v>11265</v>
      </c>
      <c r="AB97" s="7" t="s">
        <v>4180</v>
      </c>
      <c r="AC97" s="7" t="str">
        <f>A97&amp;COUNTIF($A$2:A97,A97)</f>
        <v>100HP548-62001</v>
      </c>
      <c r="AD97" s="7">
        <v>44712</v>
      </c>
      <c r="AE97" s="7" t="s">
        <v>3790</v>
      </c>
      <c r="AF97" s="7" t="s">
        <v>3790</v>
      </c>
      <c r="AG97" s="5">
        <v>105</v>
      </c>
      <c r="AH97" s="5">
        <v>42</v>
      </c>
      <c r="AI97" s="5">
        <v>14</v>
      </c>
      <c r="AJ97" s="5">
        <v>7500</v>
      </c>
      <c r="AK97" s="5" t="str">
        <f t="shared" ca="1" si="1"/>
        <v>run complete</v>
      </c>
    </row>
    <row r="98" spans="1:37">
      <c r="A98" s="32" t="s">
        <v>994</v>
      </c>
      <c r="B98" s="32">
        <v>7159</v>
      </c>
      <c r="C98" s="32" t="s">
        <v>3543</v>
      </c>
      <c r="E98" s="34" t="s">
        <v>5361</v>
      </c>
      <c r="F98" s="32" t="s">
        <v>5502</v>
      </c>
      <c r="G98" s="34" t="s">
        <v>3547</v>
      </c>
      <c r="H98" s="7" t="s">
        <v>3548</v>
      </c>
      <c r="I98" s="32" t="s">
        <v>3526</v>
      </c>
      <c r="J98" s="34" t="s">
        <v>3527</v>
      </c>
      <c r="M98" s="34" t="s">
        <v>3549</v>
      </c>
      <c r="N98" s="32" t="s">
        <v>3528</v>
      </c>
      <c r="O98" s="36" t="s">
        <v>3550</v>
      </c>
      <c r="Q98" s="5" t="s">
        <v>5429</v>
      </c>
      <c r="R98" s="5" t="s">
        <v>5977</v>
      </c>
      <c r="S98" s="6">
        <v>16224</v>
      </c>
      <c r="T98" s="6">
        <v>15000</v>
      </c>
      <c r="U98" s="6">
        <v>0</v>
      </c>
      <c r="V98" s="7">
        <v>44808</v>
      </c>
      <c r="W98" s="7" t="s">
        <v>3790</v>
      </c>
      <c r="X98" s="7" t="s">
        <v>3790</v>
      </c>
      <c r="Y98" s="5" t="s">
        <v>4018</v>
      </c>
      <c r="Z98" s="5" t="s">
        <v>3790</v>
      </c>
      <c r="AA98" s="6">
        <v>15000</v>
      </c>
      <c r="AB98" s="7" t="s">
        <v>5978</v>
      </c>
      <c r="AC98" s="7" t="str">
        <f>A98&amp;COUNTIF($A$2:A98,A98)</f>
        <v>100HP551-50001</v>
      </c>
      <c r="AD98" s="7">
        <v>44844</v>
      </c>
      <c r="AE98" s="7" t="s">
        <v>3790</v>
      </c>
      <c r="AF98" s="7" t="s">
        <v>3790</v>
      </c>
      <c r="AG98" s="5">
        <v>91</v>
      </c>
      <c r="AH98" s="5">
        <v>56</v>
      </c>
      <c r="AI98" s="5">
        <v>14</v>
      </c>
      <c r="AJ98" s="5">
        <v>15000</v>
      </c>
      <c r="AK98" s="5" t="str">
        <f t="shared" ca="1" si="1"/>
        <v>run complete</v>
      </c>
    </row>
    <row r="99" spans="1:37">
      <c r="A99" s="32" t="s">
        <v>997</v>
      </c>
      <c r="B99" s="32">
        <v>7159</v>
      </c>
      <c r="C99" s="32" t="s">
        <v>3543</v>
      </c>
      <c r="E99" s="34" t="s">
        <v>7576</v>
      </c>
      <c r="F99" s="32" t="s">
        <v>5502</v>
      </c>
      <c r="G99" s="34" t="s">
        <v>3551</v>
      </c>
      <c r="H99" s="7" t="s">
        <v>3548</v>
      </c>
      <c r="I99" s="32" t="s">
        <v>3526</v>
      </c>
      <c r="J99" s="34" t="s">
        <v>3527</v>
      </c>
      <c r="M99" s="34" t="s">
        <v>3552</v>
      </c>
      <c r="N99" s="32" t="s">
        <v>3528</v>
      </c>
      <c r="O99" s="36" t="s">
        <v>3550</v>
      </c>
      <c r="Q99" s="5" t="s">
        <v>5429</v>
      </c>
      <c r="R99" s="5" t="s">
        <v>5977</v>
      </c>
      <c r="S99" s="6">
        <v>2654</v>
      </c>
      <c r="T99" s="6">
        <v>2634</v>
      </c>
      <c r="U99" s="6">
        <v>0</v>
      </c>
      <c r="V99" s="7">
        <v>44808</v>
      </c>
      <c r="W99" s="7" t="s">
        <v>3790</v>
      </c>
      <c r="X99" s="7" t="s">
        <v>3790</v>
      </c>
      <c r="Y99" s="5" t="s">
        <v>4018</v>
      </c>
      <c r="Z99" s="5" t="s">
        <v>3790</v>
      </c>
      <c r="AA99" s="6">
        <v>2634</v>
      </c>
      <c r="AB99" s="7" t="s">
        <v>5981</v>
      </c>
      <c r="AC99" s="7" t="str">
        <f>A99&amp;COUNTIF($A$2:A99,A99)</f>
        <v>100HP551-62001</v>
      </c>
      <c r="AD99" s="7">
        <v>44844</v>
      </c>
      <c r="AE99" s="7" t="s">
        <v>3790</v>
      </c>
      <c r="AF99" s="7" t="s">
        <v>3790</v>
      </c>
      <c r="AG99" s="5">
        <v>91</v>
      </c>
      <c r="AH99" s="5">
        <v>56</v>
      </c>
      <c r="AI99" s="5">
        <v>14</v>
      </c>
      <c r="AJ99" s="5">
        <v>6601</v>
      </c>
      <c r="AK99" s="5" t="str">
        <f t="shared" ca="1" si="1"/>
        <v>run complete</v>
      </c>
    </row>
    <row r="100" spans="1:37">
      <c r="A100" s="32" t="s">
        <v>1044</v>
      </c>
      <c r="B100" s="32">
        <v>7141</v>
      </c>
      <c r="C100" s="32" t="s">
        <v>1045</v>
      </c>
      <c r="E100" s="34">
        <v>887</v>
      </c>
      <c r="F100" s="32" t="s">
        <v>3881</v>
      </c>
      <c r="G100" s="34">
        <v>3300</v>
      </c>
      <c r="H100" s="7">
        <v>44909</v>
      </c>
      <c r="I100" s="32" t="s">
        <v>3658</v>
      </c>
      <c r="L100" s="7">
        <v>45091</v>
      </c>
      <c r="N100" s="32">
        <v>3</v>
      </c>
      <c r="O100" s="36">
        <v>4.75</v>
      </c>
      <c r="Q100" s="5" t="s">
        <v>3882</v>
      </c>
      <c r="R100" s="5" t="s">
        <v>5289</v>
      </c>
      <c r="S100" s="6">
        <v>887</v>
      </c>
      <c r="T100" s="6">
        <v>887</v>
      </c>
      <c r="U100" s="6">
        <v>0</v>
      </c>
      <c r="V100" s="7">
        <v>44909</v>
      </c>
      <c r="W100" s="7" t="s">
        <v>3790</v>
      </c>
      <c r="X100" s="7">
        <v>45091</v>
      </c>
      <c r="Y100" s="5" t="s">
        <v>4018</v>
      </c>
      <c r="Z100" s="5" t="s">
        <v>3790</v>
      </c>
      <c r="AA100" s="6">
        <v>887</v>
      </c>
      <c r="AB100" s="7" t="s">
        <v>6392</v>
      </c>
      <c r="AC100" s="7" t="str">
        <f>A100&amp;COUNTIF($A$2:A100,A100)</f>
        <v>100HP687-50001</v>
      </c>
      <c r="AD100" s="7">
        <v>44830</v>
      </c>
      <c r="AE100" s="7" t="s">
        <v>3790</v>
      </c>
      <c r="AF100" s="7" t="s">
        <v>3790</v>
      </c>
      <c r="AG100" s="5">
        <v>84</v>
      </c>
      <c r="AH100" s="5">
        <v>14</v>
      </c>
      <c r="AI100" s="5">
        <v>14</v>
      </c>
      <c r="AJ100" s="5">
        <v>3300</v>
      </c>
      <c r="AK100" s="5" t="str">
        <f t="shared" ca="1" si="1"/>
        <v>run complete</v>
      </c>
    </row>
    <row r="101" spans="1:37">
      <c r="A101" s="32" t="s">
        <v>1047</v>
      </c>
      <c r="B101" s="32">
        <v>7141</v>
      </c>
      <c r="C101" s="32" t="s">
        <v>1045</v>
      </c>
      <c r="E101" s="34">
        <v>1145</v>
      </c>
      <c r="F101" s="32" t="s">
        <v>3881</v>
      </c>
      <c r="G101" s="34">
        <v>1100</v>
      </c>
      <c r="H101" s="7">
        <v>44909</v>
      </c>
      <c r="I101" s="32" t="s">
        <v>3658</v>
      </c>
      <c r="L101" s="7">
        <v>45091</v>
      </c>
      <c r="N101" s="32">
        <v>3</v>
      </c>
      <c r="O101" s="36">
        <v>4.75</v>
      </c>
      <c r="Q101" s="5" t="s">
        <v>3882</v>
      </c>
      <c r="R101" s="5" t="s">
        <v>5289</v>
      </c>
      <c r="S101" s="6">
        <v>1145</v>
      </c>
      <c r="T101" s="6">
        <v>1145</v>
      </c>
      <c r="U101" s="6">
        <v>0</v>
      </c>
      <c r="V101" s="7">
        <v>44909</v>
      </c>
      <c r="W101" s="7" t="s">
        <v>3790</v>
      </c>
      <c r="X101" s="7">
        <v>45091</v>
      </c>
      <c r="Y101" s="5" t="s">
        <v>4018</v>
      </c>
      <c r="Z101" s="5" t="s">
        <v>3790</v>
      </c>
      <c r="AA101" s="6">
        <v>1145</v>
      </c>
      <c r="AB101" s="7" t="s">
        <v>5327</v>
      </c>
      <c r="AC101" s="7" t="str">
        <f>A101&amp;COUNTIF($A$2:A101,A101)</f>
        <v>100HP687-62001</v>
      </c>
      <c r="AD101" s="7">
        <v>44830</v>
      </c>
      <c r="AE101" s="7" t="s">
        <v>3790</v>
      </c>
      <c r="AF101" s="7" t="s">
        <v>3790</v>
      </c>
      <c r="AG101" s="5">
        <v>84</v>
      </c>
      <c r="AH101" s="5">
        <v>14</v>
      </c>
      <c r="AI101" s="5">
        <v>14</v>
      </c>
      <c r="AJ101" s="5">
        <v>1100</v>
      </c>
      <c r="AK101" s="5" t="str">
        <f t="shared" ca="1" si="1"/>
        <v>run complete</v>
      </c>
    </row>
    <row r="102" spans="1:37">
      <c r="A102" s="32" t="s">
        <v>1055</v>
      </c>
      <c r="B102" s="32">
        <v>7133</v>
      </c>
      <c r="C102" s="32" t="s">
        <v>1054</v>
      </c>
      <c r="E102" s="34">
        <v>1599</v>
      </c>
      <c r="F102" s="32" t="s">
        <v>3881</v>
      </c>
      <c r="G102" s="34">
        <v>2200</v>
      </c>
      <c r="H102" s="7">
        <v>44874</v>
      </c>
      <c r="I102" s="32" t="s">
        <v>3658</v>
      </c>
      <c r="L102" s="7">
        <v>45055</v>
      </c>
      <c r="N102" s="32">
        <v>3</v>
      </c>
      <c r="O102" s="36">
        <v>6.51</v>
      </c>
      <c r="Q102" s="5" t="s">
        <v>3882</v>
      </c>
      <c r="R102" s="5" t="s">
        <v>4185</v>
      </c>
      <c r="S102" s="6">
        <v>1599</v>
      </c>
      <c r="T102" s="6">
        <v>1599</v>
      </c>
      <c r="U102" s="6">
        <v>0</v>
      </c>
      <c r="V102" s="7">
        <v>44874</v>
      </c>
      <c r="W102" s="7" t="s">
        <v>3790</v>
      </c>
      <c r="X102" s="7">
        <v>45055</v>
      </c>
      <c r="Y102" s="5" t="s">
        <v>4018</v>
      </c>
      <c r="Z102" s="5" t="s">
        <v>3790</v>
      </c>
      <c r="AA102" s="6">
        <v>1599</v>
      </c>
      <c r="AB102" s="7" t="s">
        <v>4186</v>
      </c>
      <c r="AC102" s="7" t="str">
        <f>A102&amp;COUNTIF($A$2:A102,A102)</f>
        <v>100HP689-62001</v>
      </c>
      <c r="AD102" s="7">
        <v>44812</v>
      </c>
      <c r="AE102" s="7" t="s">
        <v>3790</v>
      </c>
      <c r="AF102" s="7" t="s">
        <v>3790</v>
      </c>
      <c r="AG102" s="5">
        <v>84</v>
      </c>
      <c r="AH102" s="5">
        <v>14</v>
      </c>
      <c r="AI102" s="5">
        <v>14</v>
      </c>
      <c r="AJ102" s="5">
        <v>2200</v>
      </c>
      <c r="AK102" s="5" t="str">
        <f t="shared" ca="1" si="1"/>
        <v>run complete</v>
      </c>
    </row>
    <row r="103" spans="1:37">
      <c r="A103" s="32" t="s">
        <v>4520</v>
      </c>
      <c r="B103" s="32">
        <v>7141</v>
      </c>
      <c r="C103" s="32" t="s">
        <v>1057</v>
      </c>
      <c r="E103" s="34">
        <v>1998</v>
      </c>
      <c r="F103" s="32" t="s">
        <v>3881</v>
      </c>
      <c r="G103" s="34">
        <v>2200</v>
      </c>
      <c r="H103" s="7">
        <v>44838</v>
      </c>
      <c r="I103" s="32" t="s">
        <v>3658</v>
      </c>
      <c r="L103" s="7">
        <v>45020</v>
      </c>
      <c r="N103" s="32">
        <v>3</v>
      </c>
      <c r="O103" s="36">
        <v>6.51</v>
      </c>
      <c r="Q103" s="5" t="s">
        <v>3882</v>
      </c>
      <c r="R103" s="5" t="s">
        <v>5289</v>
      </c>
      <c r="S103" s="6">
        <v>1998</v>
      </c>
      <c r="T103" s="6">
        <v>1998</v>
      </c>
      <c r="U103" s="6">
        <v>0</v>
      </c>
      <c r="V103" s="7">
        <v>44838</v>
      </c>
      <c r="W103" s="7" t="s">
        <v>3790</v>
      </c>
      <c r="X103" s="7">
        <v>45020</v>
      </c>
      <c r="Y103" s="5" t="s">
        <v>4018</v>
      </c>
      <c r="Z103" s="5" t="s">
        <v>3790</v>
      </c>
      <c r="AA103" s="6">
        <v>1998</v>
      </c>
      <c r="AB103" s="7" t="s">
        <v>5328</v>
      </c>
      <c r="AC103" s="7" t="str">
        <f>A103&amp;COUNTIF($A$2:A103,A103)</f>
        <v>100HP690-62001</v>
      </c>
      <c r="AD103" s="7">
        <v>44830</v>
      </c>
      <c r="AE103" s="7" t="s">
        <v>3790</v>
      </c>
      <c r="AF103" s="7" t="s">
        <v>3790</v>
      </c>
      <c r="AG103" s="5">
        <v>84</v>
      </c>
      <c r="AH103" s="5">
        <v>14</v>
      </c>
      <c r="AI103" s="5">
        <v>14</v>
      </c>
      <c r="AJ103" s="5">
        <v>2200</v>
      </c>
      <c r="AK103" s="5" t="str">
        <f t="shared" ca="1" si="1"/>
        <v>run complete</v>
      </c>
    </row>
    <row r="104" spans="1:37">
      <c r="A104" s="32" t="s">
        <v>1095</v>
      </c>
      <c r="B104" s="32">
        <v>7180</v>
      </c>
      <c r="C104" s="32" t="s">
        <v>5561</v>
      </c>
      <c r="E104" s="34">
        <v>1411</v>
      </c>
      <c r="G104" s="34">
        <v>2000</v>
      </c>
      <c r="H104" s="7">
        <v>44868</v>
      </c>
      <c r="I104" s="32" t="s">
        <v>3658</v>
      </c>
      <c r="L104" s="7">
        <v>45049</v>
      </c>
      <c r="N104" s="32">
        <v>3</v>
      </c>
      <c r="O104" s="36">
        <v>6.67</v>
      </c>
      <c r="P104" s="32" t="s">
        <v>6393</v>
      </c>
      <c r="Q104" s="5" t="s">
        <v>893</v>
      </c>
      <c r="R104" s="5" t="s">
        <v>5562</v>
      </c>
      <c r="S104" s="6">
        <v>1411</v>
      </c>
      <c r="T104" s="6">
        <v>1411</v>
      </c>
      <c r="U104" s="6">
        <v>0</v>
      </c>
      <c r="V104" s="7">
        <v>44868</v>
      </c>
      <c r="W104" s="7" t="s">
        <v>3790</v>
      </c>
      <c r="X104" s="7">
        <v>45049</v>
      </c>
      <c r="Y104" s="5" t="s">
        <v>4018</v>
      </c>
      <c r="Z104" s="5" t="s">
        <v>3790</v>
      </c>
      <c r="AA104" s="6">
        <v>1411</v>
      </c>
      <c r="AB104" s="7" t="s">
        <v>5986</v>
      </c>
      <c r="AC104" s="7" t="str">
        <f>A104&amp;COUNTIF($A$2:A104,A104)</f>
        <v>100KM009-62001</v>
      </c>
      <c r="AD104" s="7">
        <v>44846</v>
      </c>
      <c r="AE104" s="7" t="s">
        <v>3790</v>
      </c>
      <c r="AF104" s="7" t="s">
        <v>3790</v>
      </c>
      <c r="AG104" s="5">
        <v>140</v>
      </c>
      <c r="AH104" s="5">
        <v>14</v>
      </c>
      <c r="AI104" s="5">
        <v>14</v>
      </c>
      <c r="AJ104" s="5">
        <v>2000</v>
      </c>
      <c r="AK104" s="5" t="str">
        <f t="shared" ca="1" si="1"/>
        <v>run complete</v>
      </c>
    </row>
    <row r="105" spans="1:37">
      <c r="A105" s="32" t="s">
        <v>3987</v>
      </c>
      <c r="B105" s="32" t="s">
        <v>3988</v>
      </c>
      <c r="C105" s="32" t="s">
        <v>3989</v>
      </c>
      <c r="D105" s="32" t="s">
        <v>3701</v>
      </c>
      <c r="E105" s="34">
        <v>2733</v>
      </c>
      <c r="F105" s="32" t="s">
        <v>3914</v>
      </c>
      <c r="G105" s="34">
        <v>3000</v>
      </c>
      <c r="H105" s="7">
        <v>44867</v>
      </c>
      <c r="I105" s="32" t="s">
        <v>3526</v>
      </c>
      <c r="J105" s="34">
        <v>0</v>
      </c>
      <c r="L105" s="7">
        <v>45048</v>
      </c>
      <c r="M105" s="34">
        <v>0</v>
      </c>
      <c r="N105" s="32" t="s">
        <v>3528</v>
      </c>
      <c r="O105" s="36">
        <v>4.63</v>
      </c>
      <c r="P105" s="32" t="s">
        <v>3701</v>
      </c>
      <c r="Q105" s="5" t="s">
        <v>3911</v>
      </c>
      <c r="R105" s="5" t="s">
        <v>3988</v>
      </c>
      <c r="S105" s="6">
        <v>2733</v>
      </c>
      <c r="T105" s="6">
        <v>2733</v>
      </c>
      <c r="U105" s="6">
        <v>0</v>
      </c>
      <c r="V105" s="7">
        <v>44867</v>
      </c>
      <c r="W105" s="7" t="s">
        <v>3790</v>
      </c>
      <c r="X105" s="7">
        <v>45048</v>
      </c>
      <c r="Y105" s="5" t="s">
        <v>4018</v>
      </c>
      <c r="Z105" s="5" t="s">
        <v>3790</v>
      </c>
      <c r="AA105" s="6">
        <v>2733</v>
      </c>
      <c r="AB105" s="7" t="s">
        <v>4187</v>
      </c>
      <c r="AC105" s="7" t="str">
        <f>A105&amp;COUNTIF($A$2:A105,A105)</f>
        <v>100KM034-62001</v>
      </c>
      <c r="AD105" s="7">
        <v>44802</v>
      </c>
      <c r="AE105" s="7" t="s">
        <v>3790</v>
      </c>
      <c r="AF105" s="7" t="s">
        <v>3790</v>
      </c>
      <c r="AG105" s="5">
        <v>196</v>
      </c>
      <c r="AH105" s="5">
        <v>14</v>
      </c>
      <c r="AI105" s="5">
        <v>14</v>
      </c>
      <c r="AJ105" s="5">
        <v>3000</v>
      </c>
      <c r="AK105" s="5" t="str">
        <f t="shared" ca="1" si="1"/>
        <v>run complete</v>
      </c>
    </row>
    <row r="106" spans="1:37">
      <c r="A106" s="32" t="s">
        <v>3831</v>
      </c>
      <c r="B106" s="32" t="s">
        <v>3810</v>
      </c>
      <c r="C106" s="32" t="s">
        <v>3832</v>
      </c>
      <c r="D106" s="32" t="s">
        <v>3790</v>
      </c>
      <c r="E106" s="34" t="s">
        <v>5503</v>
      </c>
      <c r="F106" s="32" t="s">
        <v>3790</v>
      </c>
      <c r="G106" s="34" t="s">
        <v>3582</v>
      </c>
      <c r="H106" s="7" t="s">
        <v>3812</v>
      </c>
      <c r="I106" s="32" t="s">
        <v>3658</v>
      </c>
      <c r="J106" s="34" t="s">
        <v>3790</v>
      </c>
      <c r="K106" s="7" t="s">
        <v>3790</v>
      </c>
      <c r="L106" s="7" t="s">
        <v>3813</v>
      </c>
      <c r="M106" s="34" t="s">
        <v>3554</v>
      </c>
      <c r="N106" s="32" t="s">
        <v>3528</v>
      </c>
      <c r="O106" s="36">
        <v>5.25</v>
      </c>
      <c r="P106" s="32" t="s">
        <v>3790</v>
      </c>
      <c r="Q106" s="5" t="s">
        <v>3792</v>
      </c>
      <c r="R106" s="5" t="s">
        <v>3810</v>
      </c>
      <c r="S106" s="6">
        <v>552</v>
      </c>
      <c r="T106" s="6">
        <v>486</v>
      </c>
      <c r="U106" s="6">
        <v>0</v>
      </c>
      <c r="V106" s="7">
        <v>44837</v>
      </c>
      <c r="W106" s="7" t="s">
        <v>3790</v>
      </c>
      <c r="X106" s="7">
        <v>44970</v>
      </c>
      <c r="Y106" s="5" t="s">
        <v>4018</v>
      </c>
      <c r="Z106" s="5" t="s">
        <v>3790</v>
      </c>
      <c r="AA106" s="6">
        <v>486</v>
      </c>
      <c r="AB106" s="7" t="s">
        <v>4189</v>
      </c>
      <c r="AC106" s="7" t="str">
        <f>A106&amp;COUNTIF($A$2:A106,A106)</f>
        <v>100KM067-50001</v>
      </c>
      <c r="AD106" s="7">
        <v>44776</v>
      </c>
      <c r="AE106" s="7" t="s">
        <v>3790</v>
      </c>
      <c r="AF106" s="7" t="s">
        <v>3790</v>
      </c>
      <c r="AG106" s="5">
        <v>70</v>
      </c>
      <c r="AH106" s="5">
        <v>7</v>
      </c>
      <c r="AI106" s="5">
        <v>14</v>
      </c>
      <c r="AJ106" s="5">
        <v>500</v>
      </c>
      <c r="AK106" s="5" t="str">
        <f t="shared" ca="1" si="1"/>
        <v>run complete</v>
      </c>
    </row>
    <row r="107" spans="1:37">
      <c r="A107" s="32" t="s">
        <v>3833</v>
      </c>
      <c r="B107" s="32" t="s">
        <v>3810</v>
      </c>
      <c r="C107" s="32" t="s">
        <v>3832</v>
      </c>
      <c r="D107" s="32" t="s">
        <v>3790</v>
      </c>
      <c r="E107" s="34" t="s">
        <v>5504</v>
      </c>
      <c r="F107" s="32" t="s">
        <v>3790</v>
      </c>
      <c r="G107" s="34" t="s">
        <v>3807</v>
      </c>
      <c r="H107" s="7" t="s">
        <v>3812</v>
      </c>
      <c r="I107" s="32" t="s">
        <v>3658</v>
      </c>
      <c r="J107" s="34" t="s">
        <v>3790</v>
      </c>
      <c r="K107" s="7" t="s">
        <v>3790</v>
      </c>
      <c r="L107" s="7" t="s">
        <v>3813</v>
      </c>
      <c r="M107" s="34" t="s">
        <v>5505</v>
      </c>
      <c r="N107" s="32" t="s">
        <v>3528</v>
      </c>
      <c r="O107" s="36">
        <v>5.25</v>
      </c>
      <c r="P107" s="32" t="s">
        <v>3790</v>
      </c>
      <c r="Q107" s="5" t="s">
        <v>3792</v>
      </c>
      <c r="R107" s="5" t="s">
        <v>3810</v>
      </c>
      <c r="S107" s="6">
        <v>2882</v>
      </c>
      <c r="T107" s="6">
        <v>2882</v>
      </c>
      <c r="U107" s="6">
        <v>0</v>
      </c>
      <c r="V107" s="7">
        <v>44837</v>
      </c>
      <c r="W107" s="7" t="s">
        <v>3790</v>
      </c>
      <c r="X107" s="7">
        <v>44970</v>
      </c>
      <c r="Y107" s="5" t="s">
        <v>4018</v>
      </c>
      <c r="Z107" s="5" t="s">
        <v>3790</v>
      </c>
      <c r="AA107" s="6">
        <v>2882</v>
      </c>
      <c r="AB107" s="7" t="s">
        <v>4190</v>
      </c>
      <c r="AC107" s="7" t="str">
        <f>A107&amp;COUNTIF($A$2:A107,A107)</f>
        <v>100KM067-62001</v>
      </c>
      <c r="AD107" s="7">
        <v>44776</v>
      </c>
      <c r="AE107" s="7" t="s">
        <v>3790</v>
      </c>
      <c r="AF107" s="7" t="s">
        <v>3790</v>
      </c>
      <c r="AG107" s="5">
        <v>70</v>
      </c>
      <c r="AH107" s="5">
        <v>7</v>
      </c>
      <c r="AI107" s="5">
        <v>14</v>
      </c>
      <c r="AJ107" s="5">
        <v>3500</v>
      </c>
      <c r="AK107" s="5" t="str">
        <f t="shared" ca="1" si="1"/>
        <v>run complete</v>
      </c>
    </row>
    <row r="108" spans="1:37">
      <c r="A108" s="32" t="s">
        <v>3739</v>
      </c>
      <c r="B108" s="32">
        <v>7010</v>
      </c>
      <c r="C108" s="32" t="s">
        <v>3740</v>
      </c>
      <c r="E108" s="34">
        <v>2533</v>
      </c>
      <c r="G108" s="34">
        <v>3000</v>
      </c>
      <c r="H108" s="7">
        <v>44812</v>
      </c>
      <c r="I108" s="32" t="s">
        <v>3658</v>
      </c>
      <c r="L108" s="7">
        <v>44992</v>
      </c>
      <c r="N108" s="32">
        <v>6</v>
      </c>
      <c r="O108" s="36">
        <v>3.59</v>
      </c>
      <c r="P108" s="32" t="s">
        <v>3741</v>
      </c>
      <c r="Q108" s="5" t="s">
        <v>893</v>
      </c>
      <c r="R108" s="5" t="s">
        <v>4191</v>
      </c>
      <c r="S108" s="6">
        <v>2533</v>
      </c>
      <c r="T108" s="6">
        <v>2533</v>
      </c>
      <c r="U108" s="6">
        <v>0</v>
      </c>
      <c r="V108" s="7">
        <v>44812</v>
      </c>
      <c r="W108" s="7" t="s">
        <v>3790</v>
      </c>
      <c r="X108" s="7">
        <v>44992</v>
      </c>
      <c r="Y108" s="5" t="s">
        <v>4018</v>
      </c>
      <c r="Z108" s="5" t="s">
        <v>3790</v>
      </c>
      <c r="AA108" s="6">
        <v>2533</v>
      </c>
      <c r="AB108" s="7" t="s">
        <v>4192</v>
      </c>
      <c r="AC108" s="7" t="str">
        <f>A108&amp;COUNTIF($A$2:A108,A108)</f>
        <v>100ME060-62001</v>
      </c>
      <c r="AD108" s="7">
        <v>44690</v>
      </c>
      <c r="AE108" s="7" t="s">
        <v>3790</v>
      </c>
      <c r="AF108" s="7" t="s">
        <v>3790</v>
      </c>
      <c r="AG108" s="5">
        <v>140</v>
      </c>
      <c r="AH108" s="5">
        <v>14</v>
      </c>
      <c r="AI108" s="5">
        <v>14</v>
      </c>
      <c r="AJ108" s="5">
        <v>3000</v>
      </c>
      <c r="AK108" s="5" t="str">
        <f t="shared" ca="1" si="1"/>
        <v>run complete</v>
      </c>
    </row>
    <row r="109" spans="1:37">
      <c r="A109" s="32" t="s">
        <v>1190</v>
      </c>
      <c r="B109" s="32" t="s">
        <v>3942</v>
      </c>
      <c r="C109" s="32" t="s">
        <v>3943</v>
      </c>
      <c r="D109" s="32" t="s">
        <v>3663</v>
      </c>
      <c r="E109" s="34">
        <v>2509</v>
      </c>
      <c r="F109" s="32" t="s">
        <v>3914</v>
      </c>
      <c r="G109" s="34">
        <v>3000</v>
      </c>
      <c r="H109" s="7">
        <v>44861</v>
      </c>
      <c r="I109" s="32" t="s">
        <v>3526</v>
      </c>
      <c r="J109" s="34">
        <v>0</v>
      </c>
      <c r="L109" s="7">
        <v>44959</v>
      </c>
      <c r="M109" s="34">
        <v>30</v>
      </c>
      <c r="N109" s="32" t="s">
        <v>3528</v>
      </c>
      <c r="O109" s="36">
        <v>4.63</v>
      </c>
      <c r="P109" s="32" t="s">
        <v>3701</v>
      </c>
      <c r="Q109" s="5" t="s">
        <v>3911</v>
      </c>
      <c r="R109" s="5" t="s">
        <v>3942</v>
      </c>
      <c r="S109" s="6">
        <v>2509</v>
      </c>
      <c r="T109" s="6">
        <v>2479</v>
      </c>
      <c r="U109" s="6">
        <v>0</v>
      </c>
      <c r="V109" s="7">
        <v>44861</v>
      </c>
      <c r="W109" s="7" t="s">
        <v>3790</v>
      </c>
      <c r="X109" s="7">
        <v>44959</v>
      </c>
      <c r="Y109" s="5" t="s">
        <v>4018</v>
      </c>
      <c r="Z109" s="5" t="s">
        <v>3790</v>
      </c>
      <c r="AA109" s="6">
        <v>2479</v>
      </c>
      <c r="AB109" s="7" t="s">
        <v>4193</v>
      </c>
      <c r="AC109" s="7" t="str">
        <f>A109&amp;COUNTIF($A$2:A109,A109)</f>
        <v>100MG130-62001</v>
      </c>
      <c r="AD109" s="7">
        <v>44649</v>
      </c>
      <c r="AE109" s="7" t="s">
        <v>3790</v>
      </c>
      <c r="AF109" s="7" t="s">
        <v>3790</v>
      </c>
      <c r="AG109" s="5">
        <v>196</v>
      </c>
      <c r="AH109" s="5">
        <v>14</v>
      </c>
      <c r="AI109" s="5">
        <v>14</v>
      </c>
      <c r="AJ109" s="5">
        <v>3000</v>
      </c>
      <c r="AK109" s="5" t="str">
        <f t="shared" ca="1" si="1"/>
        <v>run complete</v>
      </c>
    </row>
    <row r="110" spans="1:37">
      <c r="A110" s="32" t="s">
        <v>1193</v>
      </c>
      <c r="B110" s="32">
        <v>7104</v>
      </c>
      <c r="C110" s="32" t="s">
        <v>1192</v>
      </c>
      <c r="E110" s="34">
        <v>3168</v>
      </c>
      <c r="G110" s="34">
        <v>2200</v>
      </c>
      <c r="H110" s="7">
        <v>44859</v>
      </c>
      <c r="I110" s="32" t="s">
        <v>3692</v>
      </c>
      <c r="L110" s="7">
        <v>45141</v>
      </c>
      <c r="O110" s="36">
        <v>6.75</v>
      </c>
      <c r="P110" s="32" t="s">
        <v>3701</v>
      </c>
      <c r="Q110" s="5" t="s">
        <v>3702</v>
      </c>
      <c r="R110" s="5" t="s">
        <v>4194</v>
      </c>
      <c r="S110" s="6">
        <v>3168</v>
      </c>
      <c r="T110" s="6">
        <v>3168</v>
      </c>
      <c r="U110" s="6">
        <v>0</v>
      </c>
      <c r="V110" s="7">
        <v>44859</v>
      </c>
      <c r="W110" s="7" t="s">
        <v>3790</v>
      </c>
      <c r="X110" s="7">
        <v>45141</v>
      </c>
      <c r="Y110" s="5" t="s">
        <v>4018</v>
      </c>
      <c r="Z110" s="5" t="s">
        <v>3790</v>
      </c>
      <c r="AA110" s="6">
        <v>3168</v>
      </c>
      <c r="AB110" s="7" t="s">
        <v>4195</v>
      </c>
      <c r="AC110" s="7" t="str">
        <f>A110&amp;COUNTIF($A$2:A110,A110)</f>
        <v>100MG135-62001</v>
      </c>
      <c r="AD110" s="7">
        <v>44788</v>
      </c>
      <c r="AE110" s="7" t="s">
        <v>3790</v>
      </c>
      <c r="AF110" s="7" t="s">
        <v>3790</v>
      </c>
      <c r="AG110" s="5">
        <v>98</v>
      </c>
      <c r="AH110" s="5">
        <v>49</v>
      </c>
      <c r="AI110" s="5">
        <v>14</v>
      </c>
      <c r="AJ110" s="5">
        <v>2200</v>
      </c>
      <c r="AK110" s="5" t="str">
        <f t="shared" ca="1" si="1"/>
        <v>run complete</v>
      </c>
    </row>
    <row r="111" spans="1:37">
      <c r="A111" s="32" t="s">
        <v>1205</v>
      </c>
      <c r="B111" s="32">
        <v>7133</v>
      </c>
      <c r="C111" s="32" t="s">
        <v>1206</v>
      </c>
      <c r="E111" s="34">
        <v>2470</v>
      </c>
      <c r="F111" s="32" t="s">
        <v>3881</v>
      </c>
      <c r="G111" s="34">
        <v>2200</v>
      </c>
      <c r="H111" s="7">
        <v>44874</v>
      </c>
      <c r="I111" s="32" t="s">
        <v>3658</v>
      </c>
      <c r="L111" s="7">
        <v>45055</v>
      </c>
      <c r="N111" s="32">
        <v>6</v>
      </c>
      <c r="O111" s="36">
        <v>6.51</v>
      </c>
      <c r="Q111" s="5" t="s">
        <v>3882</v>
      </c>
      <c r="R111" s="5" t="s">
        <v>4185</v>
      </c>
      <c r="S111" s="6">
        <v>2470</v>
      </c>
      <c r="T111" s="6">
        <v>2470</v>
      </c>
      <c r="U111" s="6">
        <v>0</v>
      </c>
      <c r="V111" s="7">
        <v>44874</v>
      </c>
      <c r="W111" s="7" t="s">
        <v>3790</v>
      </c>
      <c r="X111" s="7">
        <v>45055</v>
      </c>
      <c r="Y111" s="5" t="s">
        <v>4018</v>
      </c>
      <c r="Z111" s="5" t="s">
        <v>3790</v>
      </c>
      <c r="AA111" s="6">
        <v>2470</v>
      </c>
      <c r="AB111" s="7" t="s">
        <v>4198</v>
      </c>
      <c r="AC111" s="7" t="str">
        <f>A111&amp;COUNTIF($A$2:A111,A111)</f>
        <v>100MG180-62001</v>
      </c>
      <c r="AD111" s="7">
        <v>44812</v>
      </c>
      <c r="AE111" s="7" t="s">
        <v>3790</v>
      </c>
      <c r="AF111" s="7" t="s">
        <v>3790</v>
      </c>
      <c r="AG111" s="5">
        <v>84</v>
      </c>
      <c r="AH111" s="5">
        <v>14</v>
      </c>
      <c r="AI111" s="5">
        <v>14</v>
      </c>
      <c r="AJ111" s="5">
        <v>2200</v>
      </c>
      <c r="AK111" s="5" t="str">
        <f t="shared" ca="1" si="1"/>
        <v>run complete</v>
      </c>
    </row>
    <row r="112" spans="1:37">
      <c r="A112" s="32" t="s">
        <v>1218</v>
      </c>
      <c r="B112" s="32">
        <v>6885</v>
      </c>
      <c r="C112" s="32" t="s">
        <v>3683</v>
      </c>
      <c r="E112" s="34">
        <v>788</v>
      </c>
      <c r="F112" s="32" t="s">
        <v>3661</v>
      </c>
      <c r="G112" s="34">
        <v>750</v>
      </c>
      <c r="H112" s="7">
        <v>44751</v>
      </c>
      <c r="I112" s="32" t="s">
        <v>3658</v>
      </c>
      <c r="L112" s="7">
        <v>45014</v>
      </c>
      <c r="M112" s="34">
        <v>38</v>
      </c>
      <c r="N112" s="32">
        <v>3</v>
      </c>
      <c r="O112" s="36">
        <v>7.48</v>
      </c>
      <c r="P112" s="32" t="s">
        <v>3684</v>
      </c>
      <c r="Q112" s="5" t="s">
        <v>3662</v>
      </c>
      <c r="R112" s="5" t="s">
        <v>4167</v>
      </c>
      <c r="S112" s="6">
        <v>788</v>
      </c>
      <c r="T112" s="6">
        <v>750</v>
      </c>
      <c r="U112" s="6">
        <v>0</v>
      </c>
      <c r="V112" s="7">
        <v>44751</v>
      </c>
      <c r="W112" s="7" t="s">
        <v>3790</v>
      </c>
      <c r="X112" s="7">
        <v>45014</v>
      </c>
      <c r="Y112" s="5" t="s">
        <v>4018</v>
      </c>
      <c r="Z112" s="5" t="s">
        <v>3790</v>
      </c>
      <c r="AA112" s="6">
        <v>750</v>
      </c>
      <c r="AB112" s="7" t="s">
        <v>4201</v>
      </c>
      <c r="AC112" s="7" t="str">
        <f>A112&amp;COUNTIF($A$2:A112,A112)</f>
        <v>100MR130-50001</v>
      </c>
      <c r="AD112" s="7">
        <v>44533</v>
      </c>
      <c r="AE112" s="7" t="s">
        <v>3790</v>
      </c>
      <c r="AF112" s="7" t="s">
        <v>3790</v>
      </c>
      <c r="AG112" s="5">
        <v>154</v>
      </c>
      <c r="AH112" s="5">
        <v>70</v>
      </c>
      <c r="AI112" s="5">
        <v>14</v>
      </c>
      <c r="AJ112" s="5">
        <v>750</v>
      </c>
      <c r="AK112" s="5" t="str">
        <f t="shared" ca="1" si="1"/>
        <v>run complete</v>
      </c>
    </row>
    <row r="113" spans="1:37">
      <c r="A113" s="32" t="s">
        <v>1220</v>
      </c>
      <c r="B113" s="32">
        <v>6885</v>
      </c>
      <c r="C113" s="32" t="s">
        <v>3683</v>
      </c>
      <c r="D113" s="32" t="s">
        <v>3663</v>
      </c>
      <c r="E113" s="34">
        <v>383</v>
      </c>
      <c r="F113" s="32" t="s">
        <v>3661</v>
      </c>
      <c r="G113" s="34">
        <v>1000</v>
      </c>
      <c r="H113" s="7">
        <v>44751</v>
      </c>
      <c r="I113" s="32" t="s">
        <v>3658</v>
      </c>
      <c r="L113" s="7">
        <v>45014</v>
      </c>
      <c r="N113" s="32">
        <v>3</v>
      </c>
      <c r="O113" s="36">
        <v>7.48</v>
      </c>
      <c r="P113" s="32" t="s">
        <v>3685</v>
      </c>
      <c r="Q113" s="5" t="s">
        <v>3662</v>
      </c>
      <c r="R113" s="5" t="s">
        <v>4167</v>
      </c>
      <c r="S113" s="6">
        <v>383</v>
      </c>
      <c r="T113" s="6">
        <v>383</v>
      </c>
      <c r="U113" s="6">
        <v>0</v>
      </c>
      <c r="V113" s="7">
        <v>44751</v>
      </c>
      <c r="W113" s="7" t="s">
        <v>3790</v>
      </c>
      <c r="X113" s="7">
        <v>45014</v>
      </c>
      <c r="Y113" s="5" t="s">
        <v>4018</v>
      </c>
      <c r="Z113" s="5" t="s">
        <v>3790</v>
      </c>
      <c r="AA113" s="6">
        <v>383</v>
      </c>
      <c r="AB113" s="7" t="s">
        <v>4202</v>
      </c>
      <c r="AC113" s="7" t="str">
        <f>A113&amp;COUNTIF($A$2:A113,A113)</f>
        <v>100MR130-62001</v>
      </c>
      <c r="AD113" s="7">
        <v>44533</v>
      </c>
      <c r="AE113" s="7" t="s">
        <v>3790</v>
      </c>
      <c r="AF113" s="7" t="s">
        <v>3790</v>
      </c>
      <c r="AG113" s="5">
        <v>154</v>
      </c>
      <c r="AH113" s="5">
        <v>70</v>
      </c>
      <c r="AI113" s="5">
        <v>14</v>
      </c>
      <c r="AJ113" s="5">
        <v>1000</v>
      </c>
      <c r="AK113" s="5" t="str">
        <f t="shared" ca="1" si="1"/>
        <v>run complete</v>
      </c>
    </row>
    <row r="114" spans="1:37">
      <c r="A114" s="32" t="s">
        <v>1257</v>
      </c>
      <c r="B114" s="32">
        <v>6944</v>
      </c>
      <c r="C114" s="32" t="s">
        <v>1256</v>
      </c>
      <c r="E114" s="34">
        <v>2408</v>
      </c>
      <c r="F114" s="32" t="s">
        <v>3881</v>
      </c>
      <c r="G114" s="34">
        <v>2200</v>
      </c>
      <c r="H114" s="7">
        <v>44775</v>
      </c>
      <c r="I114" s="32" t="s">
        <v>3658</v>
      </c>
      <c r="L114" s="7">
        <v>44959</v>
      </c>
      <c r="N114" s="32">
        <v>6</v>
      </c>
      <c r="O114" s="36">
        <v>6.51</v>
      </c>
      <c r="Q114" s="5" t="s">
        <v>3882</v>
      </c>
      <c r="R114" s="5" t="s">
        <v>4062</v>
      </c>
      <c r="S114" s="6">
        <v>2408</v>
      </c>
      <c r="T114" s="6">
        <v>2408</v>
      </c>
      <c r="U114" s="6">
        <v>0</v>
      </c>
      <c r="V114" s="7">
        <v>44775</v>
      </c>
      <c r="W114" s="7" t="s">
        <v>3790</v>
      </c>
      <c r="X114" s="7">
        <v>44959</v>
      </c>
      <c r="Y114" s="5" t="s">
        <v>4018</v>
      </c>
      <c r="Z114" s="5" t="s">
        <v>3790</v>
      </c>
      <c r="AA114" s="6">
        <v>2408</v>
      </c>
      <c r="AB114" s="7" t="s">
        <v>4204</v>
      </c>
      <c r="AC114" s="7" t="str">
        <f>A114&amp;COUNTIF($A$2:A114,A114)</f>
        <v>100MW550-62001</v>
      </c>
      <c r="AD114" s="7">
        <v>44617</v>
      </c>
      <c r="AE114" s="7" t="s">
        <v>3790</v>
      </c>
      <c r="AF114" s="7" t="s">
        <v>3790</v>
      </c>
      <c r="AG114" s="5">
        <v>84</v>
      </c>
      <c r="AH114" s="5">
        <v>14</v>
      </c>
      <c r="AI114" s="5">
        <v>14</v>
      </c>
      <c r="AJ114" s="5">
        <v>2200</v>
      </c>
      <c r="AK114" s="5" t="str">
        <f t="shared" ca="1" si="1"/>
        <v>run complete</v>
      </c>
    </row>
    <row r="115" spans="1:37">
      <c r="A115" s="32" t="s">
        <v>1273</v>
      </c>
      <c r="B115" s="32">
        <v>6876</v>
      </c>
      <c r="C115" s="32" t="s">
        <v>3686</v>
      </c>
      <c r="D115" s="32" t="s">
        <v>3663</v>
      </c>
      <c r="E115" s="34">
        <v>546</v>
      </c>
      <c r="F115" s="32" t="s">
        <v>3661</v>
      </c>
      <c r="G115" s="34">
        <v>1000</v>
      </c>
      <c r="H115" s="7">
        <v>44585</v>
      </c>
      <c r="I115" s="32" t="s">
        <v>3658</v>
      </c>
      <c r="L115" s="7">
        <v>44930</v>
      </c>
      <c r="M115" s="34">
        <v>46</v>
      </c>
      <c r="N115" s="32">
        <v>3</v>
      </c>
      <c r="O115" s="36">
        <v>5.82</v>
      </c>
      <c r="Q115" s="5" t="s">
        <v>3662</v>
      </c>
      <c r="R115" s="5" t="s">
        <v>4163</v>
      </c>
      <c r="S115" s="6">
        <v>546</v>
      </c>
      <c r="T115" s="6">
        <v>500</v>
      </c>
      <c r="U115" s="6">
        <v>0</v>
      </c>
      <c r="V115" s="7">
        <v>44585</v>
      </c>
      <c r="W115" s="7" t="s">
        <v>3790</v>
      </c>
      <c r="X115" s="7">
        <v>44930</v>
      </c>
      <c r="Y115" s="5" t="s">
        <v>4018</v>
      </c>
      <c r="Z115" s="5" t="s">
        <v>5553</v>
      </c>
      <c r="AA115" s="6">
        <v>500</v>
      </c>
      <c r="AB115" s="7" t="s">
        <v>4208</v>
      </c>
      <c r="AC115" s="7" t="str">
        <f>A115&amp;COUNTIF($A$2:A115,A115)</f>
        <v>100PFA39-62001</v>
      </c>
      <c r="AD115" s="7">
        <v>44498</v>
      </c>
      <c r="AE115" s="7" t="s">
        <v>3790</v>
      </c>
      <c r="AF115" s="7" t="s">
        <v>3790</v>
      </c>
      <c r="AG115" s="5">
        <v>154</v>
      </c>
      <c r="AH115" s="5">
        <v>70</v>
      </c>
      <c r="AI115" s="5">
        <v>14</v>
      </c>
      <c r="AJ115" s="5">
        <v>1000</v>
      </c>
      <c r="AK115" s="5" t="str">
        <f t="shared" ca="1" si="1"/>
        <v>run complete</v>
      </c>
    </row>
    <row r="116" spans="1:37">
      <c r="A116" s="32" t="s">
        <v>1291</v>
      </c>
      <c r="B116" s="32">
        <v>7075</v>
      </c>
      <c r="C116" s="32" t="s">
        <v>3742</v>
      </c>
      <c r="E116" s="34">
        <v>10655</v>
      </c>
      <c r="G116" s="34">
        <v>13000</v>
      </c>
      <c r="H116" s="7">
        <v>44902</v>
      </c>
      <c r="I116" s="32" t="s">
        <v>3658</v>
      </c>
      <c r="L116" s="7">
        <v>45082</v>
      </c>
      <c r="N116" s="32">
        <v>6</v>
      </c>
      <c r="O116" s="36">
        <v>4.51</v>
      </c>
      <c r="P116" s="32" t="s">
        <v>7697</v>
      </c>
      <c r="Q116" s="5" t="s">
        <v>893</v>
      </c>
      <c r="R116" s="5" t="s">
        <v>4063</v>
      </c>
      <c r="S116" s="6">
        <v>10655</v>
      </c>
      <c r="T116" s="6">
        <v>10655</v>
      </c>
      <c r="U116" s="6">
        <v>0</v>
      </c>
      <c r="V116" s="7">
        <v>44902</v>
      </c>
      <c r="W116" s="7" t="s">
        <v>3790</v>
      </c>
      <c r="X116" s="7">
        <v>45082</v>
      </c>
      <c r="Y116" s="5" t="s">
        <v>4018</v>
      </c>
      <c r="Z116" s="5" t="s">
        <v>3790</v>
      </c>
      <c r="AA116" s="6">
        <v>10655</v>
      </c>
      <c r="AB116" s="7" t="s">
        <v>4213</v>
      </c>
      <c r="AC116" s="7" t="str">
        <f>A116&amp;COUNTIF($A$2:A116,A116)</f>
        <v>100PFA60-50001</v>
      </c>
      <c r="AD116" s="7">
        <v>44750</v>
      </c>
      <c r="AE116" s="7" t="s">
        <v>3790</v>
      </c>
      <c r="AF116" s="7" t="s">
        <v>3790</v>
      </c>
      <c r="AG116" s="5">
        <v>140</v>
      </c>
      <c r="AH116" s="5">
        <v>14</v>
      </c>
      <c r="AI116" s="5">
        <v>14</v>
      </c>
      <c r="AJ116" s="5">
        <v>13000</v>
      </c>
      <c r="AK116" s="5" t="str">
        <f t="shared" ca="1" si="1"/>
        <v>run complete</v>
      </c>
    </row>
    <row r="117" spans="1:37">
      <c r="A117" s="32" t="s">
        <v>1293</v>
      </c>
      <c r="B117" s="32">
        <v>7075</v>
      </c>
      <c r="C117" s="32" t="s">
        <v>3742</v>
      </c>
      <c r="E117" s="34">
        <v>2304</v>
      </c>
      <c r="G117" s="34">
        <v>2000</v>
      </c>
      <c r="H117" s="7">
        <v>44902</v>
      </c>
      <c r="I117" s="32" t="s">
        <v>3658</v>
      </c>
      <c r="L117" s="7">
        <v>45082</v>
      </c>
      <c r="N117" s="32">
        <v>6</v>
      </c>
      <c r="O117" s="36">
        <v>4.51</v>
      </c>
      <c r="P117" s="32" t="s">
        <v>3743</v>
      </c>
      <c r="Q117" s="5" t="s">
        <v>893</v>
      </c>
      <c r="R117" s="5" t="s">
        <v>4063</v>
      </c>
      <c r="S117" s="6">
        <v>2304</v>
      </c>
      <c r="T117" s="6">
        <v>2304</v>
      </c>
      <c r="U117" s="6">
        <v>0</v>
      </c>
      <c r="V117" s="7">
        <v>44902</v>
      </c>
      <c r="W117" s="7" t="s">
        <v>3790</v>
      </c>
      <c r="X117" s="7">
        <v>45082</v>
      </c>
      <c r="Y117" s="5" t="s">
        <v>4018</v>
      </c>
      <c r="Z117" s="5" t="s">
        <v>3790</v>
      </c>
      <c r="AA117" s="6">
        <v>2304</v>
      </c>
      <c r="AB117" s="7" t="s">
        <v>4214</v>
      </c>
      <c r="AC117" s="7" t="str">
        <f>A117&amp;COUNTIF($A$2:A117,A117)</f>
        <v>100PFA60-62001</v>
      </c>
      <c r="AD117" s="7">
        <v>44750</v>
      </c>
      <c r="AE117" s="7" t="s">
        <v>3790</v>
      </c>
      <c r="AF117" s="7" t="s">
        <v>3790</v>
      </c>
      <c r="AG117" s="5">
        <v>140</v>
      </c>
      <c r="AH117" s="5">
        <v>14</v>
      </c>
      <c r="AI117" s="5">
        <v>14</v>
      </c>
      <c r="AJ117" s="5">
        <v>2000</v>
      </c>
      <c r="AK117" s="5" t="str">
        <f t="shared" ca="1" si="1"/>
        <v>run complete</v>
      </c>
    </row>
    <row r="118" spans="1:37">
      <c r="A118" s="32" t="s">
        <v>1377</v>
      </c>
      <c r="B118" s="32" t="s">
        <v>3834</v>
      </c>
      <c r="C118" s="32" t="s">
        <v>1376</v>
      </c>
      <c r="D118" s="32" t="s">
        <v>3790</v>
      </c>
      <c r="E118" s="34" t="s">
        <v>6434</v>
      </c>
      <c r="F118" s="32" t="s">
        <v>3790</v>
      </c>
      <c r="G118" s="34" t="s">
        <v>3835</v>
      </c>
      <c r="H118" s="7" t="s">
        <v>6167</v>
      </c>
      <c r="I118" s="32" t="s">
        <v>3658</v>
      </c>
      <c r="J118" s="34" t="s">
        <v>3790</v>
      </c>
      <c r="K118" s="7" t="s">
        <v>3790</v>
      </c>
      <c r="L118" s="7" t="s">
        <v>5891</v>
      </c>
      <c r="M118" s="34" t="s">
        <v>6394</v>
      </c>
      <c r="N118" s="32" t="s">
        <v>3528</v>
      </c>
      <c r="O118" s="36">
        <v>5.41</v>
      </c>
      <c r="P118" s="32" t="s">
        <v>3790</v>
      </c>
      <c r="Q118" s="5" t="s">
        <v>3792</v>
      </c>
      <c r="R118" s="5" t="s">
        <v>3834</v>
      </c>
      <c r="S118" s="6">
        <v>1870</v>
      </c>
      <c r="T118" s="6">
        <v>1739</v>
      </c>
      <c r="U118" s="6">
        <v>0</v>
      </c>
      <c r="V118" s="7">
        <v>44893</v>
      </c>
      <c r="W118" s="7" t="s">
        <v>3790</v>
      </c>
      <c r="X118" s="7">
        <v>45045</v>
      </c>
      <c r="Y118" s="5" t="s">
        <v>4018</v>
      </c>
      <c r="Z118" s="5" t="s">
        <v>3790</v>
      </c>
      <c r="AA118" s="6">
        <v>1739</v>
      </c>
      <c r="AB118" s="7" t="s">
        <v>4215</v>
      </c>
      <c r="AC118" s="7" t="str">
        <f>A118&amp;COUNTIF($A$2:A118,A118)</f>
        <v>100SB007-50001</v>
      </c>
      <c r="AD118" s="7">
        <v>44812</v>
      </c>
      <c r="AE118" s="7" t="s">
        <v>3790</v>
      </c>
      <c r="AF118" s="7" t="s">
        <v>3790</v>
      </c>
      <c r="AG118" s="5">
        <v>70</v>
      </c>
      <c r="AH118" s="5">
        <v>7</v>
      </c>
      <c r="AI118" s="5">
        <v>14</v>
      </c>
      <c r="AJ118" s="5">
        <v>1750</v>
      </c>
      <c r="AK118" s="5" t="str">
        <f t="shared" ca="1" si="1"/>
        <v>run complete</v>
      </c>
    </row>
    <row r="119" spans="1:37">
      <c r="A119" s="32" t="s">
        <v>1378</v>
      </c>
      <c r="B119" s="32" t="s">
        <v>3834</v>
      </c>
      <c r="C119" s="32" t="s">
        <v>1376</v>
      </c>
      <c r="D119" s="32" t="s">
        <v>3790</v>
      </c>
      <c r="E119" s="34" t="s">
        <v>6435</v>
      </c>
      <c r="F119" s="32" t="s">
        <v>3790</v>
      </c>
      <c r="G119" s="34" t="s">
        <v>3835</v>
      </c>
      <c r="H119" s="7" t="s">
        <v>6167</v>
      </c>
      <c r="I119" s="32" t="s">
        <v>3658</v>
      </c>
      <c r="J119" s="34" t="s">
        <v>3790</v>
      </c>
      <c r="K119" s="7" t="s">
        <v>3790</v>
      </c>
      <c r="L119" s="7" t="s">
        <v>5891</v>
      </c>
      <c r="M119" s="34" t="s">
        <v>6395</v>
      </c>
      <c r="N119" s="32" t="s">
        <v>3528</v>
      </c>
      <c r="O119" s="36">
        <v>5.41</v>
      </c>
      <c r="P119" s="32" t="s">
        <v>3790</v>
      </c>
      <c r="Q119" s="5" t="s">
        <v>3792</v>
      </c>
      <c r="R119" s="5" t="s">
        <v>3834</v>
      </c>
      <c r="S119" s="6">
        <v>1996</v>
      </c>
      <c r="T119" s="6">
        <v>1731</v>
      </c>
      <c r="U119" s="6">
        <v>0</v>
      </c>
      <c r="V119" s="7">
        <v>44893</v>
      </c>
      <c r="W119" s="7" t="s">
        <v>3790</v>
      </c>
      <c r="X119" s="7">
        <v>45045</v>
      </c>
      <c r="Y119" s="5" t="s">
        <v>4018</v>
      </c>
      <c r="Z119" s="5" t="s">
        <v>3790</v>
      </c>
      <c r="AA119" s="6">
        <v>1731</v>
      </c>
      <c r="AB119" s="7" t="s">
        <v>4216</v>
      </c>
      <c r="AC119" s="7" t="str">
        <f>A119&amp;COUNTIF($A$2:A119,A119)</f>
        <v>100SB007-62001</v>
      </c>
      <c r="AD119" s="7">
        <v>44812</v>
      </c>
      <c r="AE119" s="7" t="s">
        <v>3790</v>
      </c>
      <c r="AF119" s="7" t="s">
        <v>3790</v>
      </c>
      <c r="AG119" s="5">
        <v>70</v>
      </c>
      <c r="AH119" s="5">
        <v>7</v>
      </c>
      <c r="AI119" s="5">
        <v>14</v>
      </c>
      <c r="AJ119" s="5">
        <v>1750</v>
      </c>
      <c r="AK119" s="5" t="str">
        <f t="shared" ca="1" si="1"/>
        <v>run complete</v>
      </c>
    </row>
    <row r="120" spans="1:37">
      <c r="A120" s="32" t="s">
        <v>1394</v>
      </c>
      <c r="B120" s="32" t="s">
        <v>3838</v>
      </c>
      <c r="C120" s="32" t="s">
        <v>1393</v>
      </c>
      <c r="D120" s="32" t="s">
        <v>3790</v>
      </c>
      <c r="E120" s="34" t="s">
        <v>5990</v>
      </c>
      <c r="F120" s="32" t="s">
        <v>3790</v>
      </c>
      <c r="G120" s="34" t="s">
        <v>3544</v>
      </c>
      <c r="H120" s="7" t="s">
        <v>3816</v>
      </c>
      <c r="I120" s="32" t="s">
        <v>3658</v>
      </c>
      <c r="J120" s="34" t="s">
        <v>3790</v>
      </c>
      <c r="K120" s="7" t="s">
        <v>3790</v>
      </c>
      <c r="L120" s="7" t="s">
        <v>3839</v>
      </c>
      <c r="M120" s="34" t="s">
        <v>3840</v>
      </c>
      <c r="N120" s="32" t="s">
        <v>3528</v>
      </c>
      <c r="O120" s="36">
        <v>5.21</v>
      </c>
      <c r="P120" s="32" t="s">
        <v>3790</v>
      </c>
      <c r="Q120" s="5" t="s">
        <v>3792</v>
      </c>
      <c r="R120" s="5" t="s">
        <v>3838</v>
      </c>
      <c r="S120" s="6">
        <v>965</v>
      </c>
      <c r="T120" s="6">
        <v>965</v>
      </c>
      <c r="U120" s="6">
        <v>0</v>
      </c>
      <c r="V120" s="7">
        <v>44816</v>
      </c>
      <c r="W120" s="7" t="s">
        <v>3790</v>
      </c>
      <c r="X120" s="7">
        <v>44946</v>
      </c>
      <c r="Y120" s="5" t="s">
        <v>4018</v>
      </c>
      <c r="Z120" s="5" t="s">
        <v>5553</v>
      </c>
      <c r="AA120" s="6">
        <v>965</v>
      </c>
      <c r="AB120" s="7" t="s">
        <v>4217</v>
      </c>
      <c r="AC120" s="7" t="str">
        <f>A120&amp;COUNTIF($A$2:A120,A120)</f>
        <v>100SE105-62001</v>
      </c>
      <c r="AD120" s="7">
        <v>44732</v>
      </c>
      <c r="AE120" s="7" t="s">
        <v>3790</v>
      </c>
      <c r="AF120" s="7" t="s">
        <v>3790</v>
      </c>
      <c r="AG120" s="5">
        <v>70</v>
      </c>
      <c r="AH120" s="5">
        <v>7</v>
      </c>
      <c r="AI120" s="5">
        <v>14</v>
      </c>
      <c r="AJ120" s="5">
        <v>3000</v>
      </c>
      <c r="AK120" s="5" t="str">
        <f t="shared" ca="1" si="1"/>
        <v>run complete</v>
      </c>
    </row>
    <row r="121" spans="1:37">
      <c r="A121" s="32" t="s">
        <v>1414</v>
      </c>
      <c r="B121" s="32" t="s">
        <v>3810</v>
      </c>
      <c r="C121" s="32" t="s">
        <v>1412</v>
      </c>
      <c r="D121" s="32" t="s">
        <v>3790</v>
      </c>
      <c r="E121" s="34" t="s">
        <v>5564</v>
      </c>
      <c r="F121" s="32" t="s">
        <v>3790</v>
      </c>
      <c r="G121" s="34" t="s">
        <v>3569</v>
      </c>
      <c r="H121" s="7" t="s">
        <v>3812</v>
      </c>
      <c r="I121" s="32" t="s">
        <v>3658</v>
      </c>
      <c r="J121" s="34" t="s">
        <v>3790</v>
      </c>
      <c r="K121" s="7" t="s">
        <v>3790</v>
      </c>
      <c r="L121" s="7" t="s">
        <v>3813</v>
      </c>
      <c r="M121" s="34" t="s">
        <v>5509</v>
      </c>
      <c r="N121" s="32" t="s">
        <v>3528</v>
      </c>
      <c r="O121" s="36">
        <v>4.71</v>
      </c>
      <c r="P121" s="32" t="s">
        <v>3790</v>
      </c>
      <c r="Q121" s="5" t="s">
        <v>3792</v>
      </c>
      <c r="R121" s="5" t="s">
        <v>3810</v>
      </c>
      <c r="S121" s="6">
        <v>436</v>
      </c>
      <c r="T121" s="6">
        <v>166</v>
      </c>
      <c r="U121" s="6">
        <v>0</v>
      </c>
      <c r="V121" s="7">
        <v>44837</v>
      </c>
      <c r="W121" s="7" t="s">
        <v>3790</v>
      </c>
      <c r="X121" s="7">
        <v>44970</v>
      </c>
      <c r="Y121" s="5" t="s">
        <v>4018</v>
      </c>
      <c r="Z121" s="5" t="s">
        <v>3790</v>
      </c>
      <c r="AA121" s="6">
        <v>166</v>
      </c>
      <c r="AB121" s="7" t="s">
        <v>4218</v>
      </c>
      <c r="AC121" s="7" t="str">
        <f>A121&amp;COUNTIF($A$2:A121,A121)</f>
        <v>100SG208-62001</v>
      </c>
      <c r="AD121" s="7">
        <v>44776</v>
      </c>
      <c r="AE121" s="7" t="s">
        <v>3790</v>
      </c>
      <c r="AF121" s="7" t="s">
        <v>3790</v>
      </c>
      <c r="AG121" s="5">
        <v>70</v>
      </c>
      <c r="AH121" s="5">
        <v>7</v>
      </c>
      <c r="AI121" s="5">
        <v>14</v>
      </c>
      <c r="AJ121" s="5">
        <v>2000</v>
      </c>
      <c r="AK121" s="5" t="str">
        <f t="shared" ca="1" si="1"/>
        <v>run complete</v>
      </c>
    </row>
    <row r="122" spans="1:37">
      <c r="A122" s="32" t="s">
        <v>1419</v>
      </c>
      <c r="B122" s="32" t="s">
        <v>3841</v>
      </c>
      <c r="C122" s="32" t="s">
        <v>1420</v>
      </c>
      <c r="D122" s="32" t="s">
        <v>3790</v>
      </c>
      <c r="E122" s="34" t="s">
        <v>5565</v>
      </c>
      <c r="F122" s="32" t="s">
        <v>3790</v>
      </c>
      <c r="G122" s="34" t="s">
        <v>3842</v>
      </c>
      <c r="H122" s="7" t="s">
        <v>3816</v>
      </c>
      <c r="I122" s="32" t="s">
        <v>3658</v>
      </c>
      <c r="J122" s="34" t="s">
        <v>3790</v>
      </c>
      <c r="K122" s="7" t="s">
        <v>3790</v>
      </c>
      <c r="L122" s="7" t="s">
        <v>3843</v>
      </c>
      <c r="M122" s="34" t="s">
        <v>5275</v>
      </c>
      <c r="N122" s="32" t="s">
        <v>3528</v>
      </c>
      <c r="O122" s="36">
        <v>5.41</v>
      </c>
      <c r="P122" s="32" t="s">
        <v>3790</v>
      </c>
      <c r="Q122" s="5" t="s">
        <v>3792</v>
      </c>
      <c r="R122" s="5" t="s">
        <v>3841</v>
      </c>
      <c r="S122" s="6">
        <v>2187</v>
      </c>
      <c r="T122" s="6">
        <v>2187</v>
      </c>
      <c r="U122" s="6">
        <v>0</v>
      </c>
      <c r="V122" s="7">
        <v>44816</v>
      </c>
      <c r="W122" s="7" t="s">
        <v>3790</v>
      </c>
      <c r="X122" s="7">
        <v>44941</v>
      </c>
      <c r="Y122" s="5" t="s">
        <v>4018</v>
      </c>
      <c r="Z122" s="5" t="s">
        <v>5553</v>
      </c>
      <c r="AA122" s="6">
        <v>2187</v>
      </c>
      <c r="AB122" s="7" t="s">
        <v>4221</v>
      </c>
      <c r="AC122" s="7" t="str">
        <f>A122&amp;COUNTIF($A$2:A122,A122)</f>
        <v>100SG211-50001</v>
      </c>
      <c r="AD122" s="7">
        <v>44750</v>
      </c>
      <c r="AE122" s="7" t="s">
        <v>3790</v>
      </c>
      <c r="AF122" s="7" t="s">
        <v>3790</v>
      </c>
      <c r="AG122" s="5">
        <v>70</v>
      </c>
      <c r="AH122" s="5">
        <v>7</v>
      </c>
      <c r="AI122" s="5">
        <v>14</v>
      </c>
      <c r="AJ122" s="5">
        <v>2800</v>
      </c>
      <c r="AK122" s="5" t="str">
        <f t="shared" ca="1" si="1"/>
        <v>run complete</v>
      </c>
    </row>
    <row r="123" spans="1:37">
      <c r="A123" s="32" t="s">
        <v>1421</v>
      </c>
      <c r="B123" s="32" t="s">
        <v>3841</v>
      </c>
      <c r="C123" s="32" t="s">
        <v>1420</v>
      </c>
      <c r="D123" s="32" t="s">
        <v>3790</v>
      </c>
      <c r="E123" s="34" t="s">
        <v>5276</v>
      </c>
      <c r="F123" s="32" t="s">
        <v>3790</v>
      </c>
      <c r="G123" s="34" t="s">
        <v>3791</v>
      </c>
      <c r="H123" s="7" t="s">
        <v>3816</v>
      </c>
      <c r="I123" s="32" t="s">
        <v>3658</v>
      </c>
      <c r="J123" s="34" t="s">
        <v>3790</v>
      </c>
      <c r="K123" s="7" t="s">
        <v>3790</v>
      </c>
      <c r="L123" s="7" t="s">
        <v>3843</v>
      </c>
      <c r="M123" s="34" t="s">
        <v>5277</v>
      </c>
      <c r="N123" s="32" t="s">
        <v>3528</v>
      </c>
      <c r="O123" s="36">
        <v>5.41</v>
      </c>
      <c r="P123" s="32" t="s">
        <v>3790</v>
      </c>
      <c r="Q123" s="5" t="s">
        <v>3792</v>
      </c>
      <c r="R123" s="5" t="s">
        <v>3841</v>
      </c>
      <c r="S123" s="6">
        <v>788</v>
      </c>
      <c r="T123" s="6">
        <v>697</v>
      </c>
      <c r="U123" s="6">
        <v>0</v>
      </c>
      <c r="V123" s="7">
        <v>44816</v>
      </c>
      <c r="W123" s="7" t="s">
        <v>3790</v>
      </c>
      <c r="X123" s="7">
        <v>44941</v>
      </c>
      <c r="Y123" s="5" t="s">
        <v>4018</v>
      </c>
      <c r="Z123" s="5" t="s">
        <v>5553</v>
      </c>
      <c r="AA123" s="6">
        <v>697</v>
      </c>
      <c r="AB123" s="7" t="s">
        <v>4222</v>
      </c>
      <c r="AC123" s="7" t="str">
        <f>A123&amp;COUNTIF($A$2:A123,A123)</f>
        <v>100SG211-62001</v>
      </c>
      <c r="AD123" s="7">
        <v>44750</v>
      </c>
      <c r="AE123" s="7" t="s">
        <v>3790</v>
      </c>
      <c r="AF123" s="7" t="s">
        <v>3790</v>
      </c>
      <c r="AG123" s="5">
        <v>70</v>
      </c>
      <c r="AH123" s="5">
        <v>7</v>
      </c>
      <c r="AI123" s="5">
        <v>14</v>
      </c>
      <c r="AJ123" s="5">
        <v>700</v>
      </c>
      <c r="AK123" s="5" t="str">
        <f t="shared" ca="1" si="1"/>
        <v>run complete</v>
      </c>
    </row>
    <row r="124" spans="1:37">
      <c r="A124" s="32" t="s">
        <v>1433</v>
      </c>
      <c r="B124" s="32" t="s">
        <v>3562</v>
      </c>
      <c r="C124" s="32" t="s">
        <v>3563</v>
      </c>
      <c r="E124" s="34" t="s">
        <v>5363</v>
      </c>
      <c r="F124" s="32" t="s">
        <v>5502</v>
      </c>
      <c r="G124" s="34" t="s">
        <v>3564</v>
      </c>
      <c r="H124" s="7" t="s">
        <v>5239</v>
      </c>
      <c r="I124" s="32" t="s">
        <v>3526</v>
      </c>
      <c r="J124" s="34" t="s">
        <v>3527</v>
      </c>
      <c r="M124" s="34" t="s">
        <v>5240</v>
      </c>
      <c r="N124" s="32" t="s">
        <v>3528</v>
      </c>
      <c r="O124" s="36" t="s">
        <v>3565</v>
      </c>
      <c r="Q124" s="5" t="s">
        <v>5429</v>
      </c>
      <c r="R124" s="5" t="s">
        <v>3630</v>
      </c>
      <c r="S124" s="6">
        <v>1554</v>
      </c>
      <c r="T124" s="6">
        <v>1199</v>
      </c>
      <c r="U124" s="6">
        <v>0</v>
      </c>
      <c r="V124" s="7">
        <v>44826</v>
      </c>
      <c r="W124" s="7" t="s">
        <v>3790</v>
      </c>
      <c r="X124" s="7" t="s">
        <v>3790</v>
      </c>
      <c r="Y124" s="5" t="s">
        <v>4018</v>
      </c>
      <c r="Z124" s="5" t="s">
        <v>3790</v>
      </c>
      <c r="AA124" s="6">
        <v>1199</v>
      </c>
      <c r="AB124" s="7" t="s">
        <v>4223</v>
      </c>
      <c r="AC124" s="7" t="str">
        <f>A124&amp;COUNTIF($A$2:A124,A124)</f>
        <v>100SG224-50001</v>
      </c>
      <c r="AD124" s="7" t="s">
        <v>4068</v>
      </c>
      <c r="AE124" s="7" t="s">
        <v>3790</v>
      </c>
      <c r="AF124" s="7" t="s">
        <v>3790</v>
      </c>
      <c r="AG124" s="5">
        <v>91</v>
      </c>
      <c r="AH124" s="5">
        <v>56</v>
      </c>
      <c r="AI124" s="5">
        <v>14</v>
      </c>
      <c r="AJ124" s="5">
        <v>1199</v>
      </c>
      <c r="AK124" s="5" t="str">
        <f t="shared" ca="1" si="1"/>
        <v>run complete</v>
      </c>
    </row>
    <row r="125" spans="1:37">
      <c r="A125" s="32" t="s">
        <v>1456</v>
      </c>
      <c r="B125" s="32" t="s">
        <v>3834</v>
      </c>
      <c r="C125" s="32" t="s">
        <v>1455</v>
      </c>
      <c r="D125" s="32" t="s">
        <v>3790</v>
      </c>
      <c r="E125" s="34" t="s">
        <v>7516</v>
      </c>
      <c r="F125" s="32" t="s">
        <v>3790</v>
      </c>
      <c r="G125" s="34" t="s">
        <v>7709</v>
      </c>
      <c r="H125" s="7" t="s">
        <v>3649</v>
      </c>
      <c r="I125" s="32" t="s">
        <v>3658</v>
      </c>
      <c r="J125" s="34" t="s">
        <v>3790</v>
      </c>
      <c r="K125" s="7" t="s">
        <v>3790</v>
      </c>
      <c r="L125" s="7" t="s">
        <v>3836</v>
      </c>
      <c r="M125" s="34" t="s">
        <v>7710</v>
      </c>
      <c r="N125" s="32" t="s">
        <v>3528</v>
      </c>
      <c r="O125" s="36">
        <v>5.57</v>
      </c>
      <c r="P125" s="32" t="s">
        <v>3790</v>
      </c>
      <c r="Q125" s="5" t="s">
        <v>3792</v>
      </c>
      <c r="R125" s="5" t="s">
        <v>3834</v>
      </c>
      <c r="S125" s="6">
        <v>2071</v>
      </c>
      <c r="T125" s="6">
        <v>1992</v>
      </c>
      <c r="U125" s="6">
        <v>0</v>
      </c>
      <c r="V125" s="7">
        <v>44879</v>
      </c>
      <c r="W125" s="7" t="s">
        <v>3790</v>
      </c>
      <c r="X125" s="7">
        <v>45014</v>
      </c>
      <c r="Y125" s="5" t="s">
        <v>4018</v>
      </c>
      <c r="Z125" s="5" t="s">
        <v>3790</v>
      </c>
      <c r="AA125" s="6">
        <v>1992</v>
      </c>
      <c r="AB125" s="7" t="s">
        <v>4224</v>
      </c>
      <c r="AC125" s="7" t="str">
        <f>A125&amp;COUNTIF($A$2:A125,A125)</f>
        <v>100SG254-62001</v>
      </c>
      <c r="AD125" s="7">
        <v>44812</v>
      </c>
      <c r="AE125" s="7" t="s">
        <v>3790</v>
      </c>
      <c r="AF125" s="7" t="s">
        <v>3790</v>
      </c>
      <c r="AG125" s="5">
        <v>70</v>
      </c>
      <c r="AH125" s="5">
        <v>7</v>
      </c>
      <c r="AI125" s="5">
        <v>14</v>
      </c>
      <c r="AJ125" s="5">
        <v>2571</v>
      </c>
      <c r="AK125" s="5" t="str">
        <f t="shared" ca="1" si="1"/>
        <v>run complete</v>
      </c>
    </row>
    <row r="126" spans="1:37">
      <c r="A126" s="32" t="s">
        <v>1477</v>
      </c>
      <c r="B126" s="32" t="s">
        <v>3841</v>
      </c>
      <c r="C126" s="32" t="s">
        <v>1478</v>
      </c>
      <c r="D126" s="32" t="s">
        <v>3790</v>
      </c>
      <c r="E126" s="34" t="s">
        <v>5278</v>
      </c>
      <c r="F126" s="32" t="s">
        <v>3790</v>
      </c>
      <c r="G126" s="34" t="s">
        <v>3802</v>
      </c>
      <c r="H126" s="7" t="s">
        <v>3816</v>
      </c>
      <c r="I126" s="32" t="s">
        <v>3658</v>
      </c>
      <c r="J126" s="34" t="s">
        <v>3790</v>
      </c>
      <c r="K126" s="7" t="s">
        <v>3790</v>
      </c>
      <c r="L126" s="7" t="s">
        <v>3843</v>
      </c>
      <c r="M126" s="34" t="s">
        <v>5279</v>
      </c>
      <c r="N126" s="32" t="s">
        <v>3528</v>
      </c>
      <c r="O126" s="36">
        <v>6.77</v>
      </c>
      <c r="P126" s="32" t="s">
        <v>3790</v>
      </c>
      <c r="Q126" s="5" t="s">
        <v>3792</v>
      </c>
      <c r="R126" s="5" t="s">
        <v>3841</v>
      </c>
      <c r="S126" s="6">
        <v>542</v>
      </c>
      <c r="T126" s="6">
        <v>429</v>
      </c>
      <c r="U126" s="6">
        <v>0</v>
      </c>
      <c r="V126" s="7">
        <v>44816</v>
      </c>
      <c r="W126" s="7" t="s">
        <v>3790</v>
      </c>
      <c r="X126" s="7">
        <v>44941</v>
      </c>
      <c r="Y126" s="5" t="s">
        <v>4018</v>
      </c>
      <c r="Z126" s="5" t="s">
        <v>5553</v>
      </c>
      <c r="AA126" s="6">
        <v>429</v>
      </c>
      <c r="AB126" s="7" t="s">
        <v>4225</v>
      </c>
      <c r="AC126" s="7" t="str">
        <f>A126&amp;COUNTIF($A$2:A126,A126)</f>
        <v>100SR520-50001</v>
      </c>
      <c r="AD126" s="7">
        <v>44750</v>
      </c>
      <c r="AE126" s="7" t="s">
        <v>3790</v>
      </c>
      <c r="AF126" s="7" t="s">
        <v>3790</v>
      </c>
      <c r="AG126" s="5">
        <v>70</v>
      </c>
      <c r="AH126" s="5">
        <v>7</v>
      </c>
      <c r="AI126" s="5">
        <v>14</v>
      </c>
      <c r="AJ126" s="5">
        <v>1000</v>
      </c>
      <c r="AK126" s="5" t="str">
        <f t="shared" ca="1" si="1"/>
        <v>run complete</v>
      </c>
    </row>
    <row r="127" spans="1:37">
      <c r="A127" s="32" t="s">
        <v>1479</v>
      </c>
      <c r="B127" s="32" t="s">
        <v>3841</v>
      </c>
      <c r="C127" s="32" t="s">
        <v>1478</v>
      </c>
      <c r="D127" s="32" t="s">
        <v>3790</v>
      </c>
      <c r="E127" s="34" t="s">
        <v>5566</v>
      </c>
      <c r="F127" s="32" t="s">
        <v>3790</v>
      </c>
      <c r="G127" s="34" t="s">
        <v>3574</v>
      </c>
      <c r="H127" s="7" t="s">
        <v>3816</v>
      </c>
      <c r="I127" s="32" t="s">
        <v>3658</v>
      </c>
      <c r="J127" s="34" t="s">
        <v>3790</v>
      </c>
      <c r="K127" s="7" t="s">
        <v>3790</v>
      </c>
      <c r="L127" s="7" t="s">
        <v>3843</v>
      </c>
      <c r="M127" s="34" t="s">
        <v>5280</v>
      </c>
      <c r="N127" s="32" t="s">
        <v>3528</v>
      </c>
      <c r="O127" s="36">
        <v>6.77</v>
      </c>
      <c r="P127" s="32" t="s">
        <v>3790</v>
      </c>
      <c r="Q127" s="5" t="s">
        <v>3792</v>
      </c>
      <c r="R127" s="5" t="s">
        <v>3841</v>
      </c>
      <c r="S127" s="6">
        <v>1083</v>
      </c>
      <c r="T127" s="6">
        <v>959</v>
      </c>
      <c r="U127" s="6">
        <v>0</v>
      </c>
      <c r="V127" s="7">
        <v>44816</v>
      </c>
      <c r="W127" s="7" t="s">
        <v>3790</v>
      </c>
      <c r="X127" s="7">
        <v>44941</v>
      </c>
      <c r="Y127" s="5" t="s">
        <v>4018</v>
      </c>
      <c r="Z127" s="5" t="s">
        <v>5553</v>
      </c>
      <c r="AA127" s="6">
        <v>959</v>
      </c>
      <c r="AB127" s="7" t="s">
        <v>4226</v>
      </c>
      <c r="AC127" s="7" t="str">
        <f>A127&amp;COUNTIF($A$2:A127,A127)</f>
        <v>100SR520-62001</v>
      </c>
      <c r="AD127" s="7">
        <v>44750</v>
      </c>
      <c r="AE127" s="7" t="s">
        <v>3790</v>
      </c>
      <c r="AF127" s="7" t="s">
        <v>3790</v>
      </c>
      <c r="AG127" s="5">
        <v>70</v>
      </c>
      <c r="AH127" s="5">
        <v>7</v>
      </c>
      <c r="AI127" s="5">
        <v>14</v>
      </c>
      <c r="AJ127" s="5">
        <v>2500</v>
      </c>
      <c r="AK127" s="5" t="str">
        <f t="shared" ca="1" si="1"/>
        <v>run complete</v>
      </c>
    </row>
    <row r="128" spans="1:37">
      <c r="A128" s="32" t="s">
        <v>1493</v>
      </c>
      <c r="B128" s="32" t="s">
        <v>5274</v>
      </c>
      <c r="C128" s="32" t="s">
        <v>1492</v>
      </c>
      <c r="D128" s="32" t="s">
        <v>3790</v>
      </c>
      <c r="E128" s="34" t="s">
        <v>5366</v>
      </c>
      <c r="F128" s="32" t="s">
        <v>3790</v>
      </c>
      <c r="G128" s="34" t="s">
        <v>3807</v>
      </c>
      <c r="H128" s="7" t="s">
        <v>3828</v>
      </c>
      <c r="I128" s="32" t="s">
        <v>3658</v>
      </c>
      <c r="J128" s="34" t="s">
        <v>3790</v>
      </c>
      <c r="K128" s="7" t="s">
        <v>3790</v>
      </c>
      <c r="L128" s="7" t="s">
        <v>3836</v>
      </c>
      <c r="M128" s="34" t="s">
        <v>6154</v>
      </c>
      <c r="N128" s="32" t="s">
        <v>3528</v>
      </c>
      <c r="O128" s="36">
        <v>5.28</v>
      </c>
      <c r="P128" s="32" t="s">
        <v>3790</v>
      </c>
      <c r="Q128" s="5" t="s">
        <v>3792</v>
      </c>
      <c r="R128" s="5" t="s">
        <v>5274</v>
      </c>
      <c r="S128" s="6">
        <v>2412</v>
      </c>
      <c r="T128" s="6">
        <v>2412</v>
      </c>
      <c r="U128" s="6">
        <v>0</v>
      </c>
      <c r="V128" s="7">
        <v>44872</v>
      </c>
      <c r="W128" s="7" t="s">
        <v>3790</v>
      </c>
      <c r="X128" s="7">
        <v>45014</v>
      </c>
      <c r="Y128" s="5" t="s">
        <v>4018</v>
      </c>
      <c r="Z128" s="5" t="s">
        <v>3790</v>
      </c>
      <c r="AA128" s="6">
        <v>2412</v>
      </c>
      <c r="AB128" s="7" t="s">
        <v>5329</v>
      </c>
      <c r="AC128" s="7" t="str">
        <f>A128&amp;COUNTIF($A$2:A128,A128)</f>
        <v>100ST604-62001</v>
      </c>
      <c r="AD128" s="7">
        <v>44830</v>
      </c>
      <c r="AE128" s="7" t="s">
        <v>3790</v>
      </c>
      <c r="AF128" s="7" t="s">
        <v>3790</v>
      </c>
      <c r="AG128" s="5">
        <v>70</v>
      </c>
      <c r="AH128" s="5">
        <v>7</v>
      </c>
      <c r="AI128" s="5">
        <v>14</v>
      </c>
      <c r="AJ128" s="5">
        <v>3500</v>
      </c>
      <c r="AK128" s="5" t="str">
        <f t="shared" ca="1" si="1"/>
        <v>run complete</v>
      </c>
    </row>
    <row r="129" spans="1:37">
      <c r="A129" s="32" t="s">
        <v>1500</v>
      </c>
      <c r="B129" s="32" t="s">
        <v>3848</v>
      </c>
      <c r="C129" s="32" t="s">
        <v>1498</v>
      </c>
      <c r="D129" s="32" t="s">
        <v>3790</v>
      </c>
      <c r="E129" s="34" t="s">
        <v>5281</v>
      </c>
      <c r="F129" s="32" t="s">
        <v>3790</v>
      </c>
      <c r="G129" s="34" t="s">
        <v>3807</v>
      </c>
      <c r="H129" s="7" t="s">
        <v>3816</v>
      </c>
      <c r="I129" s="32" t="s">
        <v>3658</v>
      </c>
      <c r="J129" s="34" t="s">
        <v>3790</v>
      </c>
      <c r="K129" s="7" t="s">
        <v>3790</v>
      </c>
      <c r="L129" s="7" t="s">
        <v>3849</v>
      </c>
      <c r="M129" s="34" t="s">
        <v>5282</v>
      </c>
      <c r="N129" s="32" t="s">
        <v>3528</v>
      </c>
      <c r="O129" s="36">
        <v>5.67</v>
      </c>
      <c r="P129" s="32" t="s">
        <v>3790</v>
      </c>
      <c r="Q129" s="5" t="s">
        <v>3792</v>
      </c>
      <c r="R129" s="5" t="s">
        <v>3848</v>
      </c>
      <c r="S129" s="6">
        <v>3660</v>
      </c>
      <c r="T129" s="6">
        <v>3471</v>
      </c>
      <c r="U129" s="6">
        <v>0</v>
      </c>
      <c r="V129" s="7">
        <v>44816</v>
      </c>
      <c r="W129" s="7" t="s">
        <v>3790</v>
      </c>
      <c r="X129" s="7">
        <v>44948</v>
      </c>
      <c r="Y129" s="5" t="s">
        <v>4018</v>
      </c>
      <c r="Z129" s="5" t="s">
        <v>5553</v>
      </c>
      <c r="AA129" s="6">
        <v>3471</v>
      </c>
      <c r="AB129" s="7" t="s">
        <v>4227</v>
      </c>
      <c r="AC129" s="7" t="str">
        <f>A129&amp;COUNTIF($A$2:A129,A129)</f>
        <v>100ST610-62001</v>
      </c>
      <c r="AD129" s="7">
        <v>44410</v>
      </c>
      <c r="AE129" s="7" t="s">
        <v>3790</v>
      </c>
      <c r="AF129" s="7" t="s">
        <v>3790</v>
      </c>
      <c r="AG129" s="5">
        <v>70</v>
      </c>
      <c r="AH129" s="5">
        <v>7</v>
      </c>
      <c r="AI129" s="5">
        <v>14</v>
      </c>
      <c r="AJ129" s="5">
        <v>3500</v>
      </c>
      <c r="AK129" s="5" t="str">
        <f t="shared" ca="1" si="1"/>
        <v>run complete</v>
      </c>
    </row>
    <row r="130" spans="1:37">
      <c r="A130" s="32" t="s">
        <v>1528</v>
      </c>
      <c r="B130" s="32" t="s">
        <v>5513</v>
      </c>
      <c r="C130" s="32" t="s">
        <v>5514</v>
      </c>
      <c r="D130" s="32" t="s">
        <v>3790</v>
      </c>
      <c r="E130" s="34">
        <v>9557.0390576999998</v>
      </c>
      <c r="F130" s="32" t="s">
        <v>3899</v>
      </c>
      <c r="G130" s="34">
        <v>9000</v>
      </c>
      <c r="H130" s="7" t="s">
        <v>3794</v>
      </c>
      <c r="I130" s="32" t="s">
        <v>3526</v>
      </c>
      <c r="J130" s="34" t="s">
        <v>3790</v>
      </c>
      <c r="K130" s="7" t="s">
        <v>3790</v>
      </c>
      <c r="L130" s="7" t="s">
        <v>5997</v>
      </c>
      <c r="M130" s="34" t="s">
        <v>3790</v>
      </c>
      <c r="N130" s="32" t="s">
        <v>3532</v>
      </c>
      <c r="O130" s="36">
        <v>1.98</v>
      </c>
      <c r="Q130" s="5" t="s">
        <v>3900</v>
      </c>
      <c r="R130" s="5" t="s">
        <v>5513</v>
      </c>
      <c r="S130" s="6">
        <v>9557</v>
      </c>
      <c r="T130" s="6">
        <v>0</v>
      </c>
      <c r="U130" s="6">
        <v>0</v>
      </c>
      <c r="V130" s="7">
        <v>44865</v>
      </c>
      <c r="W130" s="7" t="s">
        <v>3790</v>
      </c>
      <c r="X130" s="7">
        <v>45052</v>
      </c>
      <c r="Y130" s="5" t="s">
        <v>4018</v>
      </c>
      <c r="Z130" s="5" t="s">
        <v>3790</v>
      </c>
      <c r="AA130" s="6">
        <v>9557</v>
      </c>
      <c r="AB130" s="7" t="s">
        <v>5515</v>
      </c>
      <c r="AC130" s="7" t="str">
        <f>A130&amp;COUNTIF($A$2:A130,A130)</f>
        <v>100SW350-50001</v>
      </c>
      <c r="AD130" s="7">
        <v>44837</v>
      </c>
      <c r="AE130" s="7" t="s">
        <v>3790</v>
      </c>
      <c r="AF130" s="7" t="s">
        <v>3790</v>
      </c>
      <c r="AG130" s="5">
        <v>42</v>
      </c>
      <c r="AH130" s="5">
        <v>7</v>
      </c>
      <c r="AI130" s="5">
        <v>14</v>
      </c>
      <c r="AJ130" s="5">
        <v>9000</v>
      </c>
      <c r="AK130" s="5" t="str">
        <f t="shared" ref="AK130:AK193" ca="1" si="2">IFERROR(IF(OR(U130&lt;&gt;0,W130&lt;&gt;"",Y130="releasable",I130&lt;&gt;"",SUM(S130:T130)&gt;0),"run complete",IF(AND(Y130="not releasable",I130="",U130=0,V130&lt;TODAY()),"Past Due","within range")),"missing supplier data")</f>
        <v>run complete</v>
      </c>
    </row>
    <row r="131" spans="1:37">
      <c r="A131" s="32" t="s">
        <v>1530</v>
      </c>
      <c r="B131" s="32" t="s">
        <v>5513</v>
      </c>
      <c r="C131" s="32" t="s">
        <v>5514</v>
      </c>
      <c r="D131" s="32" t="s">
        <v>3790</v>
      </c>
      <c r="E131" s="34">
        <v>2519.88365466</v>
      </c>
      <c r="F131" s="32" t="s">
        <v>3899</v>
      </c>
      <c r="G131" s="34">
        <v>2000</v>
      </c>
      <c r="H131" s="7" t="s">
        <v>6070</v>
      </c>
      <c r="I131" s="32" t="s">
        <v>3526</v>
      </c>
      <c r="J131" s="34" t="s">
        <v>3790</v>
      </c>
      <c r="K131" s="7" t="s">
        <v>3790</v>
      </c>
      <c r="L131" s="7" t="s">
        <v>6071</v>
      </c>
      <c r="M131" s="34" t="s">
        <v>3790</v>
      </c>
      <c r="N131" s="32" t="s">
        <v>3532</v>
      </c>
      <c r="O131" s="36">
        <v>1.98</v>
      </c>
      <c r="Q131" s="5" t="s">
        <v>3900</v>
      </c>
      <c r="R131" s="5" t="s">
        <v>5513</v>
      </c>
      <c r="S131" s="6">
        <v>2520</v>
      </c>
      <c r="T131" s="6">
        <v>0</v>
      </c>
      <c r="U131" s="6">
        <v>0</v>
      </c>
      <c r="V131" s="7">
        <v>44870</v>
      </c>
      <c r="W131" s="7" t="s">
        <v>3790</v>
      </c>
      <c r="X131" s="7">
        <v>45057</v>
      </c>
      <c r="Y131" s="5" t="s">
        <v>4018</v>
      </c>
      <c r="Z131" s="5" t="s">
        <v>3790</v>
      </c>
      <c r="AA131" s="6">
        <v>2520</v>
      </c>
      <c r="AB131" s="7" t="s">
        <v>5516</v>
      </c>
      <c r="AC131" s="7" t="str">
        <f>A131&amp;COUNTIF($A$2:A131,A131)</f>
        <v>100SW350-62001</v>
      </c>
      <c r="AD131" s="7">
        <v>44837</v>
      </c>
      <c r="AE131" s="7" t="s">
        <v>3790</v>
      </c>
      <c r="AF131" s="7" t="s">
        <v>3790</v>
      </c>
      <c r="AG131" s="5">
        <v>42</v>
      </c>
      <c r="AH131" s="5">
        <v>7</v>
      </c>
      <c r="AI131" s="5">
        <v>14</v>
      </c>
      <c r="AJ131" s="5">
        <v>2000</v>
      </c>
      <c r="AK131" s="5" t="str">
        <f t="shared" ca="1" si="2"/>
        <v>run complete</v>
      </c>
    </row>
    <row r="132" spans="1:37">
      <c r="A132" s="32" t="s">
        <v>1538</v>
      </c>
      <c r="B132" s="32" t="s">
        <v>3844</v>
      </c>
      <c r="C132" s="32" t="s">
        <v>1535</v>
      </c>
      <c r="D132" s="32" t="s">
        <v>3790</v>
      </c>
      <c r="E132" s="34" t="s">
        <v>7517</v>
      </c>
      <c r="F132" s="32" t="s">
        <v>3790</v>
      </c>
      <c r="G132" s="34" t="s">
        <v>3807</v>
      </c>
      <c r="H132" s="7" t="s">
        <v>3837</v>
      </c>
      <c r="I132" s="32" t="s">
        <v>3658</v>
      </c>
      <c r="J132" s="34" t="s">
        <v>3790</v>
      </c>
      <c r="K132" s="7" t="s">
        <v>3790</v>
      </c>
      <c r="L132" s="7" t="s">
        <v>3851</v>
      </c>
      <c r="M132" s="34" t="s">
        <v>3852</v>
      </c>
      <c r="N132" s="32" t="s">
        <v>3528</v>
      </c>
      <c r="O132" s="36">
        <v>5.63</v>
      </c>
      <c r="P132" s="32" t="s">
        <v>3790</v>
      </c>
      <c r="Q132" s="5" t="s">
        <v>3792</v>
      </c>
      <c r="R132" s="5" t="s">
        <v>3844</v>
      </c>
      <c r="S132" s="6">
        <v>505</v>
      </c>
      <c r="T132" s="6">
        <v>-73</v>
      </c>
      <c r="U132" s="6">
        <v>0</v>
      </c>
      <c r="V132" s="7">
        <v>44774</v>
      </c>
      <c r="W132" s="7" t="s">
        <v>3790</v>
      </c>
      <c r="X132" s="7">
        <v>44897</v>
      </c>
      <c r="Y132" s="5" t="s">
        <v>4018</v>
      </c>
      <c r="Z132" s="5" t="s">
        <v>5554</v>
      </c>
      <c r="AA132" s="6">
        <v>-73</v>
      </c>
      <c r="AB132" s="7" t="s">
        <v>4228</v>
      </c>
      <c r="AC132" s="7" t="str">
        <f>A132&amp;COUNTIF($A$2:A132,A132)</f>
        <v>100SW803-62001</v>
      </c>
      <c r="AD132" s="7">
        <v>44693</v>
      </c>
      <c r="AE132" s="7" t="s">
        <v>3790</v>
      </c>
      <c r="AF132" s="7" t="s">
        <v>3790</v>
      </c>
      <c r="AG132" s="5">
        <v>70</v>
      </c>
      <c r="AH132" s="5">
        <v>7</v>
      </c>
      <c r="AI132" s="5">
        <v>14</v>
      </c>
      <c r="AJ132" s="5">
        <v>3500</v>
      </c>
      <c r="AK132" s="5" t="str">
        <f t="shared" ca="1" si="2"/>
        <v>run complete</v>
      </c>
    </row>
    <row r="133" spans="1:37">
      <c r="A133" s="32" t="s">
        <v>1539</v>
      </c>
      <c r="B133" s="32">
        <v>7166</v>
      </c>
      <c r="C133" s="32" t="s">
        <v>3570</v>
      </c>
      <c r="E133" s="34" t="s">
        <v>5241</v>
      </c>
      <c r="F133" s="32" t="s">
        <v>5502</v>
      </c>
      <c r="G133" s="34" t="s">
        <v>3571</v>
      </c>
      <c r="H133" s="7" t="s">
        <v>3572</v>
      </c>
      <c r="I133" s="32" t="s">
        <v>3526</v>
      </c>
      <c r="J133" s="34" t="s">
        <v>3527</v>
      </c>
      <c r="N133" s="32" t="s">
        <v>3528</v>
      </c>
      <c r="O133" s="36" t="s">
        <v>3573</v>
      </c>
      <c r="Q133" s="5" t="s">
        <v>5429</v>
      </c>
      <c r="R133" s="5" t="s">
        <v>5998</v>
      </c>
      <c r="S133" s="6">
        <v>1356</v>
      </c>
      <c r="T133" s="6">
        <v>1356</v>
      </c>
      <c r="U133" s="6">
        <v>0</v>
      </c>
      <c r="V133" s="7">
        <v>44797</v>
      </c>
      <c r="W133" s="7" t="s">
        <v>3790</v>
      </c>
      <c r="X133" s="7" t="s">
        <v>3790</v>
      </c>
      <c r="Y133" s="5" t="s">
        <v>4018</v>
      </c>
      <c r="Z133" s="5" t="s">
        <v>3790</v>
      </c>
      <c r="AA133" s="6">
        <v>1356</v>
      </c>
      <c r="AB133" s="7" t="s">
        <v>5999</v>
      </c>
      <c r="AC133" s="7" t="str">
        <f>A133&amp;COUNTIF($A$2:A133,A133)</f>
        <v>100SW806-50001</v>
      </c>
      <c r="AD133" s="7">
        <v>44844</v>
      </c>
      <c r="AE133" s="7" t="s">
        <v>3790</v>
      </c>
      <c r="AF133" s="7" t="s">
        <v>3790</v>
      </c>
      <c r="AG133" s="5">
        <v>91</v>
      </c>
      <c r="AH133" s="5">
        <v>56</v>
      </c>
      <c r="AI133" s="5">
        <v>14</v>
      </c>
      <c r="AJ133" s="5">
        <v>1900</v>
      </c>
      <c r="AK133" s="5" t="str">
        <f t="shared" ca="1" si="2"/>
        <v>run complete</v>
      </c>
    </row>
    <row r="134" spans="1:37">
      <c r="A134" s="32" t="s">
        <v>1545</v>
      </c>
      <c r="B134" s="32" t="s">
        <v>3827</v>
      </c>
      <c r="C134" s="32" t="s">
        <v>1544</v>
      </c>
      <c r="D134" s="32" t="s">
        <v>3790</v>
      </c>
      <c r="E134" s="34" t="s">
        <v>6350</v>
      </c>
      <c r="F134" s="32" t="s">
        <v>3790</v>
      </c>
      <c r="G134" s="34" t="s">
        <v>3815</v>
      </c>
      <c r="H134" s="7" t="s">
        <v>3828</v>
      </c>
      <c r="I134" s="32" t="s">
        <v>3658</v>
      </c>
      <c r="J134" s="34" t="s">
        <v>3790</v>
      </c>
      <c r="K134" s="7" t="s">
        <v>3790</v>
      </c>
      <c r="L134" s="7" t="s">
        <v>3829</v>
      </c>
      <c r="M134" s="34" t="s">
        <v>5279</v>
      </c>
      <c r="N134" s="32" t="s">
        <v>3528</v>
      </c>
      <c r="O134" s="36">
        <v>3.02</v>
      </c>
      <c r="P134" s="32" t="s">
        <v>3790</v>
      </c>
      <c r="Q134" s="5" t="s">
        <v>3792</v>
      </c>
      <c r="R134" s="5" t="s">
        <v>3827</v>
      </c>
      <c r="S134" s="6">
        <v>4015</v>
      </c>
      <c r="T134" s="6">
        <v>3902</v>
      </c>
      <c r="U134" s="6">
        <v>0</v>
      </c>
      <c r="V134" s="7">
        <v>44872</v>
      </c>
      <c r="W134" s="7" t="s">
        <v>3790</v>
      </c>
      <c r="X134" s="7">
        <v>45007</v>
      </c>
      <c r="Y134" s="5" t="s">
        <v>4018</v>
      </c>
      <c r="Z134" s="5" t="s">
        <v>3790</v>
      </c>
      <c r="AA134" s="6">
        <v>3902</v>
      </c>
      <c r="AB134" s="7" t="s">
        <v>4229</v>
      </c>
      <c r="AC134" s="7" t="str">
        <f>A134&amp;COUNTIF($A$2:A134,A134)</f>
        <v>100SW811-50001</v>
      </c>
      <c r="AD134" s="7">
        <v>44795</v>
      </c>
      <c r="AE134" s="7" t="s">
        <v>3790</v>
      </c>
      <c r="AF134" s="7" t="s">
        <v>3790</v>
      </c>
      <c r="AG134" s="5">
        <v>70</v>
      </c>
      <c r="AH134" s="5">
        <v>7</v>
      </c>
      <c r="AI134" s="5">
        <v>14</v>
      </c>
      <c r="AJ134" s="5">
        <v>4000</v>
      </c>
      <c r="AK134" s="5" t="str">
        <f t="shared" ca="1" si="2"/>
        <v>run complete</v>
      </c>
    </row>
    <row r="135" spans="1:37">
      <c r="A135" s="32" t="s">
        <v>1547</v>
      </c>
      <c r="B135" s="32" t="s">
        <v>3827</v>
      </c>
      <c r="C135" s="32" t="s">
        <v>1544</v>
      </c>
      <c r="D135" s="32" t="s">
        <v>3790</v>
      </c>
      <c r="E135" s="34" t="s">
        <v>6351</v>
      </c>
      <c r="F135" s="32" t="s">
        <v>3790</v>
      </c>
      <c r="G135" s="34" t="s">
        <v>3817</v>
      </c>
      <c r="H135" s="7" t="s">
        <v>3828</v>
      </c>
      <c r="I135" s="32" t="s">
        <v>3658</v>
      </c>
      <c r="J135" s="34" t="s">
        <v>3790</v>
      </c>
      <c r="K135" s="7" t="s">
        <v>3790</v>
      </c>
      <c r="L135" s="7" t="s">
        <v>3829</v>
      </c>
      <c r="M135" s="34" t="s">
        <v>6156</v>
      </c>
      <c r="N135" s="32" t="s">
        <v>3528</v>
      </c>
      <c r="O135" s="36">
        <v>3.02</v>
      </c>
      <c r="P135" s="32" t="s">
        <v>3790</v>
      </c>
      <c r="Q135" s="5" t="s">
        <v>3792</v>
      </c>
      <c r="R135" s="5" t="s">
        <v>3827</v>
      </c>
      <c r="S135" s="6">
        <v>6323</v>
      </c>
      <c r="T135" s="6">
        <v>5868</v>
      </c>
      <c r="U135" s="6">
        <v>0</v>
      </c>
      <c r="V135" s="7">
        <v>44872</v>
      </c>
      <c r="W135" s="7" t="s">
        <v>3790</v>
      </c>
      <c r="X135" s="7">
        <v>45007</v>
      </c>
      <c r="Y135" s="5" t="s">
        <v>4018</v>
      </c>
      <c r="Z135" s="5" t="s">
        <v>3790</v>
      </c>
      <c r="AA135" s="6">
        <v>5868</v>
      </c>
      <c r="AB135" s="7" t="s">
        <v>4230</v>
      </c>
      <c r="AC135" s="7" t="str">
        <f>A135&amp;COUNTIF($A$2:A135,A135)</f>
        <v>100SW811-62001</v>
      </c>
      <c r="AD135" s="7">
        <v>44795</v>
      </c>
      <c r="AE135" s="7" t="s">
        <v>3790</v>
      </c>
      <c r="AF135" s="7" t="s">
        <v>3790</v>
      </c>
      <c r="AG135" s="5">
        <v>70</v>
      </c>
      <c r="AH135" s="5">
        <v>7</v>
      </c>
      <c r="AI135" s="5">
        <v>14</v>
      </c>
      <c r="AJ135" s="5">
        <v>6000</v>
      </c>
      <c r="AK135" s="5" t="str">
        <f t="shared" ca="1" si="2"/>
        <v>run complete</v>
      </c>
    </row>
    <row r="136" spans="1:37">
      <c r="A136" s="32" t="s">
        <v>1550</v>
      </c>
      <c r="B136" s="32" t="s">
        <v>3834</v>
      </c>
      <c r="C136" s="32" t="s">
        <v>1549</v>
      </c>
      <c r="D136" s="32" t="s">
        <v>3790</v>
      </c>
      <c r="E136" s="34" t="s">
        <v>7518</v>
      </c>
      <c r="F136" s="32" t="s">
        <v>3790</v>
      </c>
      <c r="G136" s="34" t="s">
        <v>3815</v>
      </c>
      <c r="H136" s="7" t="s">
        <v>3617</v>
      </c>
      <c r="I136" s="32" t="s">
        <v>3658</v>
      </c>
      <c r="J136" s="34" t="s">
        <v>3790</v>
      </c>
      <c r="K136" s="7" t="s">
        <v>3790</v>
      </c>
      <c r="L136" s="7" t="s">
        <v>3858</v>
      </c>
      <c r="M136" s="34" t="s">
        <v>6352</v>
      </c>
      <c r="N136" s="32" t="s">
        <v>3528</v>
      </c>
      <c r="O136" s="36">
        <v>3.98</v>
      </c>
      <c r="P136" s="32" t="s">
        <v>3790</v>
      </c>
      <c r="Q136" s="5" t="s">
        <v>3792</v>
      </c>
      <c r="R136" s="5" t="s">
        <v>3834</v>
      </c>
      <c r="S136" s="6">
        <v>1626</v>
      </c>
      <c r="T136" s="6">
        <v>1626</v>
      </c>
      <c r="U136" s="6">
        <v>0</v>
      </c>
      <c r="V136" s="7">
        <v>44886</v>
      </c>
      <c r="W136" s="7" t="s">
        <v>3790</v>
      </c>
      <c r="X136" s="7">
        <v>45016</v>
      </c>
      <c r="Y136" s="5" t="s">
        <v>4018</v>
      </c>
      <c r="Z136" s="5" t="s">
        <v>3790</v>
      </c>
      <c r="AA136" s="6">
        <v>1626</v>
      </c>
      <c r="AB136" s="7" t="s">
        <v>4231</v>
      </c>
      <c r="AC136" s="7" t="str">
        <f>A136&amp;COUNTIF($A$2:A136,A136)</f>
        <v>100SW813-50001</v>
      </c>
      <c r="AD136" s="7">
        <v>44812</v>
      </c>
      <c r="AE136" s="7" t="s">
        <v>3790</v>
      </c>
      <c r="AF136" s="7" t="s">
        <v>3790</v>
      </c>
      <c r="AG136" s="5">
        <v>70</v>
      </c>
      <c r="AH136" s="5">
        <v>7</v>
      </c>
      <c r="AI136" s="5">
        <v>14</v>
      </c>
      <c r="AJ136" s="5">
        <v>4000</v>
      </c>
      <c r="AK136" s="5" t="str">
        <f t="shared" ca="1" si="2"/>
        <v>run complete</v>
      </c>
    </row>
    <row r="137" spans="1:37">
      <c r="A137" s="32" t="s">
        <v>1551</v>
      </c>
      <c r="B137" s="32" t="s">
        <v>3834</v>
      </c>
      <c r="C137" s="32" t="s">
        <v>1549</v>
      </c>
      <c r="D137" s="32" t="s">
        <v>3790</v>
      </c>
      <c r="E137" s="34" t="s">
        <v>6353</v>
      </c>
      <c r="F137" s="32" t="s">
        <v>3790</v>
      </c>
      <c r="G137" s="34" t="s">
        <v>3569</v>
      </c>
      <c r="H137" s="7" t="s">
        <v>3617</v>
      </c>
      <c r="I137" s="32" t="s">
        <v>3658</v>
      </c>
      <c r="J137" s="34" t="s">
        <v>3790</v>
      </c>
      <c r="K137" s="7" t="s">
        <v>3790</v>
      </c>
      <c r="L137" s="7" t="s">
        <v>3858</v>
      </c>
      <c r="M137" s="34" t="s">
        <v>6318</v>
      </c>
      <c r="N137" s="32" t="s">
        <v>3528</v>
      </c>
      <c r="O137" s="36">
        <v>3.98</v>
      </c>
      <c r="P137" s="32" t="s">
        <v>3790</v>
      </c>
      <c r="Q137" s="5" t="s">
        <v>3792</v>
      </c>
      <c r="R137" s="5" t="s">
        <v>3834</v>
      </c>
      <c r="S137" s="6">
        <v>1981</v>
      </c>
      <c r="T137" s="6">
        <v>1958</v>
      </c>
      <c r="U137" s="6">
        <v>0</v>
      </c>
      <c r="V137" s="7">
        <v>44886</v>
      </c>
      <c r="W137" s="7" t="s">
        <v>3790</v>
      </c>
      <c r="X137" s="7">
        <v>45016</v>
      </c>
      <c r="Y137" s="5" t="s">
        <v>4018</v>
      </c>
      <c r="Z137" s="5" t="s">
        <v>3790</v>
      </c>
      <c r="AA137" s="6">
        <v>1958</v>
      </c>
      <c r="AB137" s="7" t="s">
        <v>4232</v>
      </c>
      <c r="AC137" s="7" t="str">
        <f>A137&amp;COUNTIF($A$2:A137,A137)</f>
        <v>100SW813-62001</v>
      </c>
      <c r="AD137" s="7">
        <v>44812</v>
      </c>
      <c r="AE137" s="7" t="s">
        <v>3790</v>
      </c>
      <c r="AF137" s="7" t="s">
        <v>3790</v>
      </c>
      <c r="AG137" s="5">
        <v>70</v>
      </c>
      <c r="AH137" s="5">
        <v>7</v>
      </c>
      <c r="AI137" s="5">
        <v>14</v>
      </c>
      <c r="AJ137" s="5">
        <v>2000</v>
      </c>
      <c r="AK137" s="5" t="str">
        <f t="shared" ca="1" si="2"/>
        <v>run complete</v>
      </c>
    </row>
    <row r="138" spans="1:37">
      <c r="A138" s="32" t="s">
        <v>1557</v>
      </c>
      <c r="B138" s="32" t="s">
        <v>3845</v>
      </c>
      <c r="C138" s="32" t="s">
        <v>1556</v>
      </c>
      <c r="D138" s="32" t="s">
        <v>3790</v>
      </c>
      <c r="E138" s="34" t="s">
        <v>7519</v>
      </c>
      <c r="F138" s="32" t="s">
        <v>3790</v>
      </c>
      <c r="G138" s="34" t="s">
        <v>3804</v>
      </c>
      <c r="H138" s="7" t="s">
        <v>3847</v>
      </c>
      <c r="I138" s="32" t="s">
        <v>3658</v>
      </c>
      <c r="J138" s="34" t="s">
        <v>3790</v>
      </c>
      <c r="K138" s="7" t="s">
        <v>3790</v>
      </c>
      <c r="L138" s="7" t="s">
        <v>3853</v>
      </c>
      <c r="M138" s="34" t="s">
        <v>5283</v>
      </c>
      <c r="N138" s="32" t="s">
        <v>3528</v>
      </c>
      <c r="O138" s="36">
        <v>3.23</v>
      </c>
      <c r="P138" s="32" t="s">
        <v>3790</v>
      </c>
      <c r="Q138" s="5" t="s">
        <v>3792</v>
      </c>
      <c r="R138" s="5" t="s">
        <v>3845</v>
      </c>
      <c r="S138" s="6">
        <v>3441</v>
      </c>
      <c r="T138" s="6">
        <v>3417</v>
      </c>
      <c r="U138" s="6">
        <v>0</v>
      </c>
      <c r="V138" s="7">
        <v>44823</v>
      </c>
      <c r="W138" s="7" t="s">
        <v>3790</v>
      </c>
      <c r="X138" s="7">
        <v>44952</v>
      </c>
      <c r="Y138" s="5" t="s">
        <v>4018</v>
      </c>
      <c r="Z138" s="5" t="s">
        <v>5553</v>
      </c>
      <c r="AA138" s="6">
        <v>3417</v>
      </c>
      <c r="AB138" s="7" t="s">
        <v>4233</v>
      </c>
      <c r="AC138" s="7" t="str">
        <f>A138&amp;COUNTIF($A$2:A138,A138)</f>
        <v>100SW826-50001</v>
      </c>
      <c r="AD138" s="7">
        <v>44747</v>
      </c>
      <c r="AE138" s="7" t="s">
        <v>3790</v>
      </c>
      <c r="AF138" s="7" t="s">
        <v>3790</v>
      </c>
      <c r="AG138" s="5">
        <v>70</v>
      </c>
      <c r="AH138" s="5">
        <v>7</v>
      </c>
      <c r="AI138" s="5">
        <v>14</v>
      </c>
      <c r="AJ138" s="5">
        <v>5500</v>
      </c>
      <c r="AK138" s="5" t="str">
        <f t="shared" ca="1" si="2"/>
        <v>run complete</v>
      </c>
    </row>
    <row r="139" spans="1:37">
      <c r="A139" s="32" t="s">
        <v>1586</v>
      </c>
      <c r="B139" s="32">
        <v>7074</v>
      </c>
      <c r="C139" s="32" t="s">
        <v>1587</v>
      </c>
      <c r="E139" s="34">
        <v>2090</v>
      </c>
      <c r="G139" s="34">
        <v>2200</v>
      </c>
      <c r="H139" s="7">
        <v>44830</v>
      </c>
      <c r="I139" s="32" t="s">
        <v>3692</v>
      </c>
      <c r="L139" s="7">
        <v>45141</v>
      </c>
      <c r="O139" s="36">
        <v>5.77</v>
      </c>
      <c r="P139" s="32" t="s">
        <v>3701</v>
      </c>
      <c r="Q139" s="5" t="s">
        <v>3702</v>
      </c>
      <c r="R139" s="5" t="s">
        <v>4236</v>
      </c>
      <c r="S139" s="6">
        <v>2090</v>
      </c>
      <c r="T139" s="6">
        <v>2090</v>
      </c>
      <c r="U139" s="6">
        <v>0</v>
      </c>
      <c r="V139" s="7">
        <v>44830</v>
      </c>
      <c r="W139" s="7" t="s">
        <v>3790</v>
      </c>
      <c r="X139" s="7">
        <v>45141</v>
      </c>
      <c r="Y139" s="5" t="s">
        <v>4018</v>
      </c>
      <c r="Z139" s="5" t="s">
        <v>3790</v>
      </c>
      <c r="AA139" s="6">
        <v>2090</v>
      </c>
      <c r="AB139" s="7" t="s">
        <v>4237</v>
      </c>
      <c r="AC139" s="7" t="str">
        <f>A139&amp;COUNTIF($A$2:A139,A139)</f>
        <v>100WA030-50001</v>
      </c>
      <c r="AD139" s="7">
        <v>44750</v>
      </c>
      <c r="AE139" s="7" t="s">
        <v>3790</v>
      </c>
      <c r="AF139" s="7" t="s">
        <v>3790</v>
      </c>
      <c r="AG139" s="5">
        <v>98</v>
      </c>
      <c r="AH139" s="5">
        <v>49</v>
      </c>
      <c r="AI139" s="5">
        <v>14</v>
      </c>
      <c r="AJ139" s="5">
        <v>2200</v>
      </c>
      <c r="AK139" s="5" t="str">
        <f t="shared" ca="1" si="2"/>
        <v>run complete</v>
      </c>
    </row>
    <row r="140" spans="1:37">
      <c r="A140" s="32" t="s">
        <v>1588</v>
      </c>
      <c r="B140" s="32">
        <v>7074</v>
      </c>
      <c r="C140" s="32" t="s">
        <v>1587</v>
      </c>
      <c r="E140" s="34">
        <v>2235</v>
      </c>
      <c r="G140" s="34">
        <v>2200</v>
      </c>
      <c r="H140" s="7">
        <v>44830</v>
      </c>
      <c r="I140" s="32" t="s">
        <v>3692</v>
      </c>
      <c r="L140" s="7">
        <v>45141</v>
      </c>
      <c r="O140" s="36">
        <v>5.77</v>
      </c>
      <c r="P140" s="32" t="s">
        <v>3701</v>
      </c>
      <c r="Q140" s="5" t="s">
        <v>3702</v>
      </c>
      <c r="R140" s="5" t="s">
        <v>4236</v>
      </c>
      <c r="S140" s="6">
        <v>2235</v>
      </c>
      <c r="T140" s="6">
        <v>2235</v>
      </c>
      <c r="U140" s="6">
        <v>0</v>
      </c>
      <c r="V140" s="7">
        <v>44830</v>
      </c>
      <c r="W140" s="7" t="s">
        <v>3790</v>
      </c>
      <c r="X140" s="7">
        <v>45141</v>
      </c>
      <c r="Y140" s="5" t="s">
        <v>4018</v>
      </c>
      <c r="Z140" s="5" t="s">
        <v>3790</v>
      </c>
      <c r="AA140" s="6">
        <v>2235</v>
      </c>
      <c r="AB140" s="7" t="s">
        <v>4238</v>
      </c>
      <c r="AC140" s="7" t="str">
        <f>A140&amp;COUNTIF($A$2:A140,A140)</f>
        <v>100WA030-62001</v>
      </c>
      <c r="AD140" s="7">
        <v>44750</v>
      </c>
      <c r="AE140" s="7" t="s">
        <v>3790</v>
      </c>
      <c r="AF140" s="7" t="s">
        <v>3790</v>
      </c>
      <c r="AG140" s="5">
        <v>98</v>
      </c>
      <c r="AH140" s="5">
        <v>49</v>
      </c>
      <c r="AI140" s="5">
        <v>14</v>
      </c>
      <c r="AJ140" s="5">
        <v>2200</v>
      </c>
      <c r="AK140" s="5" t="str">
        <f t="shared" ca="1" si="2"/>
        <v>run complete</v>
      </c>
    </row>
    <row r="141" spans="1:37">
      <c r="A141" s="32" t="s">
        <v>1596</v>
      </c>
      <c r="B141" s="32">
        <v>7094</v>
      </c>
      <c r="C141" s="32" t="s">
        <v>1595</v>
      </c>
      <c r="E141" s="34">
        <v>6380</v>
      </c>
      <c r="G141" s="34">
        <v>6600</v>
      </c>
      <c r="H141" s="7">
        <v>44830</v>
      </c>
      <c r="I141" s="32" t="s">
        <v>3692</v>
      </c>
      <c r="L141" s="7">
        <v>45141</v>
      </c>
      <c r="O141" s="36">
        <v>5.14</v>
      </c>
      <c r="P141" s="32" t="s">
        <v>3701</v>
      </c>
      <c r="Q141" s="5" t="s">
        <v>3702</v>
      </c>
      <c r="R141" s="5" t="s">
        <v>4239</v>
      </c>
      <c r="S141" s="6">
        <v>6380</v>
      </c>
      <c r="T141" s="6">
        <v>6380</v>
      </c>
      <c r="U141" s="6">
        <v>0</v>
      </c>
      <c r="V141" s="7">
        <v>44830</v>
      </c>
      <c r="W141" s="7" t="s">
        <v>3790</v>
      </c>
      <c r="X141" s="7">
        <v>45141</v>
      </c>
      <c r="Y141" s="5" t="s">
        <v>4018</v>
      </c>
      <c r="Z141" s="5" t="s">
        <v>3790</v>
      </c>
      <c r="AA141" s="6">
        <v>6380</v>
      </c>
      <c r="AB141" s="7" t="s">
        <v>4240</v>
      </c>
      <c r="AC141" s="7" t="str">
        <f>A141&amp;COUNTIF($A$2:A141,A141)</f>
        <v>100WA110-62001</v>
      </c>
      <c r="AD141" s="7">
        <v>44771</v>
      </c>
      <c r="AE141" s="7" t="s">
        <v>3790</v>
      </c>
      <c r="AF141" s="7" t="s">
        <v>3790</v>
      </c>
      <c r="AG141" s="5">
        <v>98</v>
      </c>
      <c r="AH141" s="5">
        <v>49</v>
      </c>
      <c r="AI141" s="5">
        <v>14</v>
      </c>
      <c r="AJ141" s="5">
        <v>6600</v>
      </c>
      <c r="AK141" s="5" t="str">
        <f t="shared" ca="1" si="2"/>
        <v>run complete</v>
      </c>
    </row>
    <row r="142" spans="1:37">
      <c r="A142" s="32" t="s">
        <v>1600</v>
      </c>
      <c r="B142" s="32">
        <v>7021</v>
      </c>
      <c r="C142" s="32" t="s">
        <v>3745</v>
      </c>
      <c r="E142" s="34">
        <v>456</v>
      </c>
      <c r="G142" s="34">
        <v>500</v>
      </c>
      <c r="H142" s="7">
        <v>44776</v>
      </c>
      <c r="I142" s="32" t="s">
        <v>3658</v>
      </c>
      <c r="L142" s="7">
        <v>44957</v>
      </c>
      <c r="N142" s="32">
        <v>3</v>
      </c>
      <c r="O142" s="36">
        <v>4.38</v>
      </c>
      <c r="P142" s="32" t="s">
        <v>3746</v>
      </c>
      <c r="Q142" s="5" t="s">
        <v>893</v>
      </c>
      <c r="R142" s="5" t="s">
        <v>4241</v>
      </c>
      <c r="S142" s="6">
        <v>456</v>
      </c>
      <c r="T142" s="6">
        <v>456</v>
      </c>
      <c r="U142" s="6">
        <v>0</v>
      </c>
      <c r="V142" s="7">
        <v>44776</v>
      </c>
      <c r="W142" s="7" t="s">
        <v>3790</v>
      </c>
      <c r="X142" s="7">
        <v>44957</v>
      </c>
      <c r="Y142" s="5" t="s">
        <v>4018</v>
      </c>
      <c r="Z142" s="5" t="s">
        <v>5553</v>
      </c>
      <c r="AA142" s="6">
        <v>456</v>
      </c>
      <c r="AB142" s="7" t="s">
        <v>4242</v>
      </c>
      <c r="AC142" s="7" t="str">
        <f>A142&amp;COUNTIF($A$2:A142,A142)</f>
        <v>100WC090-50001</v>
      </c>
      <c r="AD142" s="7">
        <v>44705</v>
      </c>
      <c r="AE142" s="7" t="s">
        <v>3790</v>
      </c>
      <c r="AF142" s="7" t="s">
        <v>3790</v>
      </c>
      <c r="AG142" s="5">
        <v>140</v>
      </c>
      <c r="AH142" s="5">
        <v>14</v>
      </c>
      <c r="AI142" s="5">
        <v>14</v>
      </c>
      <c r="AJ142" s="5">
        <v>500</v>
      </c>
      <c r="AK142" s="5" t="str">
        <f t="shared" ca="1" si="2"/>
        <v>run complete</v>
      </c>
    </row>
    <row r="143" spans="1:37">
      <c r="A143" s="32" t="s">
        <v>1602</v>
      </c>
      <c r="B143" s="32">
        <v>7021</v>
      </c>
      <c r="C143" s="32" t="s">
        <v>3745</v>
      </c>
      <c r="E143" s="34">
        <v>1610</v>
      </c>
      <c r="G143" s="34">
        <v>7000</v>
      </c>
      <c r="H143" s="7">
        <v>44776</v>
      </c>
      <c r="I143" s="32" t="s">
        <v>3658</v>
      </c>
      <c r="L143" s="7">
        <v>44957</v>
      </c>
      <c r="N143" s="32">
        <v>3</v>
      </c>
      <c r="O143" s="36">
        <v>4.38</v>
      </c>
      <c r="P143" s="32" t="s">
        <v>3747</v>
      </c>
      <c r="Q143" s="5" t="s">
        <v>893</v>
      </c>
      <c r="R143" s="5" t="s">
        <v>4241</v>
      </c>
      <c r="S143" s="6">
        <v>1610</v>
      </c>
      <c r="T143" s="6">
        <v>1610</v>
      </c>
      <c r="U143" s="6">
        <v>0</v>
      </c>
      <c r="V143" s="7">
        <v>44776</v>
      </c>
      <c r="W143" s="7" t="s">
        <v>3790</v>
      </c>
      <c r="X143" s="7">
        <v>44957</v>
      </c>
      <c r="Y143" s="5" t="s">
        <v>4018</v>
      </c>
      <c r="Z143" s="5" t="s">
        <v>5553</v>
      </c>
      <c r="AA143" s="6">
        <v>1610</v>
      </c>
      <c r="AB143" s="7" t="s">
        <v>4243</v>
      </c>
      <c r="AC143" s="7" t="str">
        <f>A143&amp;COUNTIF($A$2:A143,A143)</f>
        <v>100WC090-62001</v>
      </c>
      <c r="AD143" s="7">
        <v>44705</v>
      </c>
      <c r="AE143" s="7" t="s">
        <v>3790</v>
      </c>
      <c r="AF143" s="7" t="s">
        <v>3790</v>
      </c>
      <c r="AG143" s="5">
        <v>140</v>
      </c>
      <c r="AH143" s="5">
        <v>14</v>
      </c>
      <c r="AI143" s="5">
        <v>14</v>
      </c>
      <c r="AJ143" s="5">
        <v>7000</v>
      </c>
      <c r="AK143" s="5" t="str">
        <f t="shared" ca="1" si="2"/>
        <v>run complete</v>
      </c>
    </row>
    <row r="144" spans="1:37">
      <c r="A144" s="32" t="s">
        <v>1643</v>
      </c>
      <c r="B144" s="32">
        <v>7019</v>
      </c>
      <c r="C144" s="32" t="s">
        <v>1638</v>
      </c>
      <c r="E144" s="34">
        <v>1459</v>
      </c>
      <c r="F144" s="32" t="s">
        <v>3881</v>
      </c>
      <c r="G144" s="34">
        <v>1300</v>
      </c>
      <c r="H144" s="7">
        <v>44783</v>
      </c>
      <c r="I144" s="32" t="s">
        <v>3658</v>
      </c>
      <c r="L144" s="7">
        <v>44967</v>
      </c>
      <c r="N144" s="32">
        <v>6</v>
      </c>
      <c r="O144" s="36">
        <v>6.51</v>
      </c>
      <c r="Q144" s="5" t="s">
        <v>3882</v>
      </c>
      <c r="R144" s="5" t="s">
        <v>4091</v>
      </c>
      <c r="S144" s="6">
        <v>1459</v>
      </c>
      <c r="T144" s="6">
        <v>1459</v>
      </c>
      <c r="U144" s="6">
        <v>0</v>
      </c>
      <c r="V144" s="7">
        <v>44783</v>
      </c>
      <c r="W144" s="7" t="s">
        <v>3790</v>
      </c>
      <c r="X144" s="7">
        <v>44967</v>
      </c>
      <c r="Y144" s="5" t="s">
        <v>4018</v>
      </c>
      <c r="Z144" s="5" t="s">
        <v>3790</v>
      </c>
      <c r="AA144" s="6">
        <v>1459</v>
      </c>
      <c r="AB144" s="7" t="s">
        <v>4247</v>
      </c>
      <c r="AC144" s="7" t="str">
        <f>A144&amp;COUNTIF($A$2:A144,A144)</f>
        <v>100WC421-50001</v>
      </c>
      <c r="AD144" s="7">
        <v>44701</v>
      </c>
      <c r="AE144" s="7" t="s">
        <v>3790</v>
      </c>
      <c r="AF144" s="7" t="s">
        <v>3790</v>
      </c>
      <c r="AG144" s="5">
        <v>84</v>
      </c>
      <c r="AH144" s="5">
        <v>14</v>
      </c>
      <c r="AI144" s="5">
        <v>14</v>
      </c>
      <c r="AJ144" s="5">
        <v>1300</v>
      </c>
      <c r="AK144" s="5" t="str">
        <f t="shared" ca="1" si="2"/>
        <v>run complete</v>
      </c>
    </row>
    <row r="145" spans="1:37">
      <c r="A145" s="32" t="s">
        <v>1644</v>
      </c>
      <c r="B145" s="32">
        <v>7019</v>
      </c>
      <c r="C145" s="32" t="s">
        <v>1638</v>
      </c>
      <c r="E145" s="34">
        <v>993</v>
      </c>
      <c r="F145" s="32" t="s">
        <v>3881</v>
      </c>
      <c r="G145" s="34">
        <v>900</v>
      </c>
      <c r="H145" s="7">
        <v>44783</v>
      </c>
      <c r="I145" s="32" t="s">
        <v>3658</v>
      </c>
      <c r="L145" s="7">
        <v>44967</v>
      </c>
      <c r="N145" s="32">
        <v>6</v>
      </c>
      <c r="O145" s="36">
        <v>6.51</v>
      </c>
      <c r="Q145" s="5" t="s">
        <v>3882</v>
      </c>
      <c r="R145" s="5" t="s">
        <v>4091</v>
      </c>
      <c r="S145" s="6">
        <v>993</v>
      </c>
      <c r="T145" s="6">
        <v>993</v>
      </c>
      <c r="U145" s="6">
        <v>0</v>
      </c>
      <c r="V145" s="7">
        <v>44783</v>
      </c>
      <c r="W145" s="7" t="s">
        <v>3790</v>
      </c>
      <c r="X145" s="7">
        <v>44967</v>
      </c>
      <c r="Y145" s="5" t="s">
        <v>4018</v>
      </c>
      <c r="Z145" s="5" t="s">
        <v>3790</v>
      </c>
      <c r="AA145" s="6">
        <v>993</v>
      </c>
      <c r="AB145" s="7" t="s">
        <v>4248</v>
      </c>
      <c r="AC145" s="7" t="str">
        <f>A145&amp;COUNTIF($A$2:A145,A145)</f>
        <v>100WC421-62001</v>
      </c>
      <c r="AD145" s="7">
        <v>44701</v>
      </c>
      <c r="AE145" s="7" t="s">
        <v>3790</v>
      </c>
      <c r="AF145" s="7" t="s">
        <v>3790</v>
      </c>
      <c r="AG145" s="5">
        <v>84</v>
      </c>
      <c r="AH145" s="5">
        <v>14</v>
      </c>
      <c r="AI145" s="5">
        <v>14</v>
      </c>
      <c r="AJ145" s="5">
        <v>900</v>
      </c>
      <c r="AK145" s="5" t="str">
        <f t="shared" ca="1" si="2"/>
        <v>run complete</v>
      </c>
    </row>
    <row r="146" spans="1:37">
      <c r="A146" s="32" t="s">
        <v>1703</v>
      </c>
      <c r="B146" s="32">
        <v>7020</v>
      </c>
      <c r="C146" s="32" t="s">
        <v>3885</v>
      </c>
      <c r="E146" s="34">
        <v>2870</v>
      </c>
      <c r="F146" s="32" t="s">
        <v>3881</v>
      </c>
      <c r="G146" s="34">
        <v>4400</v>
      </c>
      <c r="H146" s="7">
        <v>44799</v>
      </c>
      <c r="I146" s="32" t="s">
        <v>3658</v>
      </c>
      <c r="L146" s="7">
        <v>44983</v>
      </c>
      <c r="N146" s="32">
        <v>6</v>
      </c>
      <c r="O146" s="36">
        <v>4.75</v>
      </c>
      <c r="Q146" s="5" t="s">
        <v>3882</v>
      </c>
      <c r="R146" s="5" t="s">
        <v>4255</v>
      </c>
      <c r="S146" s="6">
        <v>2870</v>
      </c>
      <c r="T146" s="6">
        <v>2870</v>
      </c>
      <c r="U146" s="6">
        <v>0</v>
      </c>
      <c r="V146" s="7">
        <v>44799</v>
      </c>
      <c r="W146" s="7" t="s">
        <v>3790</v>
      </c>
      <c r="X146" s="7">
        <v>44983</v>
      </c>
      <c r="Y146" s="5" t="s">
        <v>4018</v>
      </c>
      <c r="Z146" s="5" t="s">
        <v>3790</v>
      </c>
      <c r="AA146" s="6">
        <v>2870</v>
      </c>
      <c r="AB146" s="7" t="s">
        <v>6157</v>
      </c>
      <c r="AC146" s="7" t="str">
        <f>A146&amp;COUNTIF($A$2:A146,A146)</f>
        <v>100WM115-62001</v>
      </c>
      <c r="AD146" s="7">
        <v>44701</v>
      </c>
      <c r="AE146" s="7" t="s">
        <v>3790</v>
      </c>
      <c r="AF146" s="7" t="s">
        <v>3790</v>
      </c>
      <c r="AG146" s="5">
        <v>84</v>
      </c>
      <c r="AH146" s="5">
        <v>14</v>
      </c>
      <c r="AI146" s="5">
        <v>14</v>
      </c>
      <c r="AJ146" s="5">
        <v>4400</v>
      </c>
      <c r="AK146" s="5" t="str">
        <f t="shared" ca="1" si="2"/>
        <v>run complete</v>
      </c>
    </row>
    <row r="147" spans="1:37">
      <c r="A147" s="32" t="s">
        <v>1714</v>
      </c>
      <c r="B147" s="32">
        <v>7106</v>
      </c>
      <c r="C147" s="32" t="s">
        <v>3749</v>
      </c>
      <c r="E147" s="34">
        <v>2193</v>
      </c>
      <c r="G147" s="34">
        <v>2200</v>
      </c>
      <c r="H147" s="7">
        <v>44861</v>
      </c>
      <c r="I147" s="32" t="s">
        <v>3658</v>
      </c>
      <c r="L147" s="7">
        <v>45045</v>
      </c>
      <c r="N147" s="32">
        <v>3</v>
      </c>
      <c r="O147" s="36">
        <v>6.18</v>
      </c>
      <c r="P147" s="32" t="s">
        <v>6011</v>
      </c>
      <c r="Q147" s="5" t="s">
        <v>893</v>
      </c>
      <c r="R147" s="5" t="s">
        <v>4257</v>
      </c>
      <c r="S147" s="6">
        <v>2193</v>
      </c>
      <c r="T147" s="6">
        <v>2193</v>
      </c>
      <c r="U147" s="6">
        <v>0</v>
      </c>
      <c r="V147" s="7">
        <v>44861</v>
      </c>
      <c r="W147" s="7" t="s">
        <v>3790</v>
      </c>
      <c r="X147" s="7">
        <v>45045</v>
      </c>
      <c r="Y147" s="5" t="s">
        <v>4018</v>
      </c>
      <c r="Z147" s="5" t="s">
        <v>3790</v>
      </c>
      <c r="AA147" s="6">
        <v>2193</v>
      </c>
      <c r="AB147" s="7" t="s">
        <v>4258</v>
      </c>
      <c r="AC147" s="7" t="str">
        <f>A147&amp;COUNTIF($A$2:A147,A147)</f>
        <v>100WM301-62001</v>
      </c>
      <c r="AD147" s="7">
        <v>44791</v>
      </c>
      <c r="AE147" s="7" t="s">
        <v>3790</v>
      </c>
      <c r="AF147" s="7" t="s">
        <v>3790</v>
      </c>
      <c r="AG147" s="5">
        <v>140</v>
      </c>
      <c r="AH147" s="5">
        <v>14</v>
      </c>
      <c r="AI147" s="5">
        <v>14</v>
      </c>
      <c r="AJ147" s="5">
        <v>2200</v>
      </c>
      <c r="AK147" s="5" t="str">
        <f t="shared" ca="1" si="2"/>
        <v>run complete</v>
      </c>
    </row>
    <row r="148" spans="1:37">
      <c r="A148" s="32" t="s">
        <v>1721</v>
      </c>
      <c r="B148" s="32">
        <v>7147</v>
      </c>
      <c r="C148" s="32" t="s">
        <v>1722</v>
      </c>
      <c r="E148" s="34">
        <v>1163</v>
      </c>
      <c r="F148" s="32" t="s">
        <v>3881</v>
      </c>
      <c r="G148" s="34">
        <v>1700</v>
      </c>
      <c r="H148" s="7">
        <v>44848</v>
      </c>
      <c r="I148" s="32" t="s">
        <v>3658</v>
      </c>
      <c r="L148" s="7">
        <v>45030</v>
      </c>
      <c r="N148" s="32">
        <v>3</v>
      </c>
      <c r="O148" s="36">
        <v>6.51</v>
      </c>
      <c r="Q148" s="5" t="s">
        <v>3882</v>
      </c>
      <c r="R148" s="5" t="s">
        <v>5372</v>
      </c>
      <c r="S148" s="6">
        <v>1163</v>
      </c>
      <c r="T148" s="6">
        <v>1163</v>
      </c>
      <c r="U148" s="6">
        <v>0</v>
      </c>
      <c r="V148" s="7">
        <v>44848</v>
      </c>
      <c r="W148" s="7" t="s">
        <v>3790</v>
      </c>
      <c r="X148" s="7">
        <v>45030</v>
      </c>
      <c r="Y148" s="5" t="s">
        <v>4018</v>
      </c>
      <c r="Z148" s="5" t="s">
        <v>3790</v>
      </c>
      <c r="AA148" s="6">
        <v>1163</v>
      </c>
      <c r="AB148" s="7" t="s">
        <v>5396</v>
      </c>
      <c r="AC148" s="7" t="str">
        <f>A148&amp;COUNTIF($A$2:A148,A148)</f>
        <v>100WM331-32501</v>
      </c>
      <c r="AD148" s="7">
        <v>44833</v>
      </c>
      <c r="AE148" s="7" t="s">
        <v>3790</v>
      </c>
      <c r="AF148" s="7" t="s">
        <v>3790</v>
      </c>
      <c r="AG148" s="5">
        <v>84</v>
      </c>
      <c r="AH148" s="5">
        <v>14</v>
      </c>
      <c r="AI148" s="5">
        <v>14</v>
      </c>
      <c r="AJ148" s="5">
        <v>1700</v>
      </c>
      <c r="AK148" s="5" t="str">
        <f t="shared" ca="1" si="2"/>
        <v>run complete</v>
      </c>
    </row>
    <row r="149" spans="1:37">
      <c r="A149" s="32" t="s">
        <v>1733</v>
      </c>
      <c r="B149" s="32">
        <v>7061</v>
      </c>
      <c r="C149" s="32" t="s">
        <v>1732</v>
      </c>
      <c r="E149" s="34">
        <v>1610</v>
      </c>
      <c r="G149" s="34">
        <v>2200</v>
      </c>
      <c r="H149" s="7">
        <v>44818</v>
      </c>
      <c r="I149" s="32" t="s">
        <v>3692</v>
      </c>
      <c r="L149" s="7">
        <v>44993</v>
      </c>
      <c r="O149" s="36">
        <v>6.75</v>
      </c>
      <c r="Q149" s="5" t="s">
        <v>3702</v>
      </c>
      <c r="R149" s="5" t="s">
        <v>4259</v>
      </c>
      <c r="S149" s="6">
        <v>1610</v>
      </c>
      <c r="T149" s="6">
        <v>1610</v>
      </c>
      <c r="U149" s="6">
        <v>0</v>
      </c>
      <c r="V149" s="7">
        <v>44818</v>
      </c>
      <c r="W149" s="7" t="s">
        <v>3790</v>
      </c>
      <c r="X149" s="7">
        <v>44993</v>
      </c>
      <c r="Y149" s="5" t="s">
        <v>4018</v>
      </c>
      <c r="Z149" s="5" t="s">
        <v>3790</v>
      </c>
      <c r="AA149" s="6">
        <v>1610</v>
      </c>
      <c r="AB149" s="7" t="s">
        <v>4260</v>
      </c>
      <c r="AC149" s="7" t="str">
        <f>A149&amp;COUNTIF($A$2:A149,A149)</f>
        <v>100WM345-62001</v>
      </c>
      <c r="AD149" s="7">
        <v>44736</v>
      </c>
      <c r="AE149" s="7" t="s">
        <v>3790</v>
      </c>
      <c r="AF149" s="7" t="s">
        <v>3790</v>
      </c>
      <c r="AG149" s="5">
        <v>98</v>
      </c>
      <c r="AH149" s="5">
        <v>49</v>
      </c>
      <c r="AI149" s="5">
        <v>14</v>
      </c>
      <c r="AJ149" s="5">
        <v>2200</v>
      </c>
      <c r="AK149" s="5" t="str">
        <f t="shared" ca="1" si="2"/>
        <v>run complete</v>
      </c>
    </row>
    <row r="150" spans="1:37">
      <c r="A150" s="32" t="s">
        <v>1762</v>
      </c>
      <c r="B150" s="32">
        <v>7147</v>
      </c>
      <c r="C150" s="32" t="s">
        <v>3886</v>
      </c>
      <c r="E150" s="34">
        <v>2003</v>
      </c>
      <c r="F150" s="32" t="s">
        <v>3881</v>
      </c>
      <c r="G150" s="34">
        <v>2200</v>
      </c>
      <c r="H150" s="7">
        <v>44848</v>
      </c>
      <c r="I150" s="32" t="s">
        <v>3658</v>
      </c>
      <c r="L150" s="7">
        <v>45030</v>
      </c>
      <c r="N150" s="32">
        <v>3</v>
      </c>
      <c r="O150" s="36">
        <v>6.51</v>
      </c>
      <c r="Q150" s="5" t="s">
        <v>3882</v>
      </c>
      <c r="R150" s="5" t="s">
        <v>5372</v>
      </c>
      <c r="S150" s="6">
        <v>2003</v>
      </c>
      <c r="T150" s="6">
        <v>2003</v>
      </c>
      <c r="U150" s="6">
        <v>0</v>
      </c>
      <c r="V150" s="7">
        <v>44848</v>
      </c>
      <c r="W150" s="7" t="s">
        <v>3790</v>
      </c>
      <c r="X150" s="7">
        <v>45030</v>
      </c>
      <c r="Y150" s="5" t="s">
        <v>4018</v>
      </c>
      <c r="Z150" s="5" t="s">
        <v>3790</v>
      </c>
      <c r="AA150" s="6">
        <v>2003</v>
      </c>
      <c r="AB150" s="7" t="s">
        <v>5397</v>
      </c>
      <c r="AC150" s="7" t="str">
        <f>A150&amp;COUNTIF($A$2:A150,A150)</f>
        <v>100WM981-62001</v>
      </c>
      <c r="AD150" s="7">
        <v>44833</v>
      </c>
      <c r="AE150" s="7" t="s">
        <v>3790</v>
      </c>
      <c r="AF150" s="7" t="s">
        <v>3790</v>
      </c>
      <c r="AG150" s="5">
        <v>84</v>
      </c>
      <c r="AH150" s="5">
        <v>14</v>
      </c>
      <c r="AI150" s="5">
        <v>14</v>
      </c>
      <c r="AJ150" s="5">
        <v>2200</v>
      </c>
      <c r="AK150" s="5" t="str">
        <f t="shared" ca="1" si="2"/>
        <v>run complete</v>
      </c>
    </row>
    <row r="151" spans="1:37">
      <c r="A151" s="32" t="s">
        <v>1778</v>
      </c>
      <c r="B151" s="32">
        <v>6872</v>
      </c>
      <c r="C151" s="32" t="s">
        <v>1777</v>
      </c>
      <c r="E151" s="34">
        <v>500</v>
      </c>
      <c r="G151" s="34">
        <v>1000</v>
      </c>
      <c r="H151" s="7">
        <v>44784</v>
      </c>
      <c r="I151" s="32" t="s">
        <v>3658</v>
      </c>
      <c r="L151" s="7">
        <v>44965</v>
      </c>
      <c r="N151" s="32">
        <v>6</v>
      </c>
      <c r="O151" s="36">
        <v>4.6100000000000003</v>
      </c>
      <c r="P151" s="32" t="s">
        <v>3750</v>
      </c>
      <c r="Q151" s="5" t="s">
        <v>893</v>
      </c>
      <c r="R151" s="5" t="s">
        <v>4266</v>
      </c>
      <c r="S151" s="6">
        <v>500</v>
      </c>
      <c r="T151" s="6">
        <v>500</v>
      </c>
      <c r="U151" s="6">
        <v>0</v>
      </c>
      <c r="V151" s="7">
        <v>44784</v>
      </c>
      <c r="W151" s="7" t="s">
        <v>3790</v>
      </c>
      <c r="X151" s="7">
        <v>44965</v>
      </c>
      <c r="Y151" s="5" t="s">
        <v>4018</v>
      </c>
      <c r="Z151" s="5" t="s">
        <v>3790</v>
      </c>
      <c r="AA151" s="6">
        <v>500</v>
      </c>
      <c r="AB151" s="7" t="s">
        <v>4267</v>
      </c>
      <c r="AC151" s="7" t="str">
        <f>A151&amp;COUNTIF($A$2:A151,A151)</f>
        <v>100WO581-50001</v>
      </c>
      <c r="AD151" s="7">
        <v>44489</v>
      </c>
      <c r="AE151" s="7" t="s">
        <v>3790</v>
      </c>
      <c r="AF151" s="7" t="s">
        <v>3790</v>
      </c>
      <c r="AG151" s="5">
        <v>140</v>
      </c>
      <c r="AH151" s="5">
        <v>14</v>
      </c>
      <c r="AI151" s="5">
        <v>14</v>
      </c>
      <c r="AJ151" s="5">
        <v>1000</v>
      </c>
      <c r="AK151" s="5" t="str">
        <f t="shared" ca="1" si="2"/>
        <v>run complete</v>
      </c>
    </row>
    <row r="152" spans="1:37">
      <c r="A152" s="32" t="s">
        <v>1779</v>
      </c>
      <c r="B152" s="32">
        <v>6872</v>
      </c>
      <c r="C152" s="32" t="s">
        <v>1777</v>
      </c>
      <c r="E152" s="34">
        <v>2167</v>
      </c>
      <c r="G152" s="34">
        <v>2000</v>
      </c>
      <c r="H152" s="7">
        <v>44784</v>
      </c>
      <c r="I152" s="32" t="s">
        <v>3658</v>
      </c>
      <c r="L152" s="7">
        <v>44965</v>
      </c>
      <c r="N152" s="32">
        <v>6</v>
      </c>
      <c r="O152" s="36">
        <v>4.6100000000000003</v>
      </c>
      <c r="P152" s="32" t="s">
        <v>3751</v>
      </c>
      <c r="Q152" s="5" t="s">
        <v>893</v>
      </c>
      <c r="R152" s="5" t="s">
        <v>4266</v>
      </c>
      <c r="S152" s="6">
        <v>2167</v>
      </c>
      <c r="T152" s="6">
        <v>2167</v>
      </c>
      <c r="U152" s="6">
        <v>0</v>
      </c>
      <c r="V152" s="7">
        <v>44784</v>
      </c>
      <c r="W152" s="7" t="s">
        <v>3790</v>
      </c>
      <c r="X152" s="7">
        <v>44965</v>
      </c>
      <c r="Y152" s="5" t="s">
        <v>4018</v>
      </c>
      <c r="Z152" s="5" t="s">
        <v>3790</v>
      </c>
      <c r="AA152" s="6">
        <v>2167</v>
      </c>
      <c r="AB152" s="7" t="s">
        <v>4268</v>
      </c>
      <c r="AC152" s="7" t="str">
        <f>A152&amp;COUNTIF($A$2:A152,A152)</f>
        <v>100WO581-62001</v>
      </c>
      <c r="AD152" s="7">
        <v>44489</v>
      </c>
      <c r="AE152" s="7" t="s">
        <v>3790</v>
      </c>
      <c r="AF152" s="7" t="s">
        <v>3790</v>
      </c>
      <c r="AG152" s="5">
        <v>140</v>
      </c>
      <c r="AH152" s="5">
        <v>14</v>
      </c>
      <c r="AI152" s="5">
        <v>14</v>
      </c>
      <c r="AJ152" s="5">
        <v>2000</v>
      </c>
      <c r="AK152" s="5" t="str">
        <f t="shared" ca="1" si="2"/>
        <v>run complete</v>
      </c>
    </row>
    <row r="153" spans="1:37">
      <c r="A153" s="32" t="s">
        <v>1801</v>
      </c>
      <c r="B153" s="32">
        <v>6987</v>
      </c>
      <c r="C153" s="32" t="s">
        <v>1798</v>
      </c>
      <c r="E153" s="34">
        <v>168</v>
      </c>
      <c r="G153" s="34">
        <v>1500</v>
      </c>
      <c r="H153" s="7">
        <v>44777</v>
      </c>
      <c r="I153" s="32" t="s">
        <v>3658</v>
      </c>
      <c r="L153" s="7">
        <v>44956</v>
      </c>
      <c r="N153" s="32">
        <v>6</v>
      </c>
      <c r="O153" s="36">
        <v>4.6100000000000003</v>
      </c>
      <c r="P153" s="32" t="s">
        <v>3752</v>
      </c>
      <c r="Q153" s="5" t="s">
        <v>893</v>
      </c>
      <c r="R153" s="5" t="s">
        <v>4149</v>
      </c>
      <c r="S153" s="6">
        <v>168</v>
      </c>
      <c r="T153" s="6">
        <v>168</v>
      </c>
      <c r="U153" s="6">
        <v>0</v>
      </c>
      <c r="V153" s="7">
        <v>44777</v>
      </c>
      <c r="W153" s="7" t="s">
        <v>3790</v>
      </c>
      <c r="X153" s="7">
        <v>44956</v>
      </c>
      <c r="Y153" s="5" t="s">
        <v>4018</v>
      </c>
      <c r="Z153" s="5" t="s">
        <v>5553</v>
      </c>
      <c r="AA153" s="6">
        <v>168</v>
      </c>
      <c r="AB153" s="7" t="s">
        <v>4271</v>
      </c>
      <c r="AC153" s="7" t="str">
        <f>A153&amp;COUNTIF($A$2:A153,A153)</f>
        <v>100WO951-62001</v>
      </c>
      <c r="AD153" s="7">
        <v>44664</v>
      </c>
      <c r="AE153" s="7" t="s">
        <v>3790</v>
      </c>
      <c r="AF153" s="7" t="s">
        <v>3790</v>
      </c>
      <c r="AG153" s="5">
        <v>140</v>
      </c>
      <c r="AH153" s="5">
        <v>14</v>
      </c>
      <c r="AI153" s="5">
        <v>14</v>
      </c>
      <c r="AJ153" s="5">
        <v>1500</v>
      </c>
      <c r="AK153" s="5" t="str">
        <f t="shared" ca="1" si="2"/>
        <v>run complete</v>
      </c>
    </row>
    <row r="154" spans="1:37">
      <c r="A154" s="32" t="s">
        <v>1804</v>
      </c>
      <c r="B154" s="32">
        <v>7063</v>
      </c>
      <c r="C154" s="32" t="s">
        <v>1805</v>
      </c>
      <c r="E154" s="34">
        <v>3033</v>
      </c>
      <c r="F154" s="32" t="s">
        <v>3895</v>
      </c>
      <c r="G154" s="34">
        <v>12000</v>
      </c>
      <c r="H154" s="7">
        <v>44799</v>
      </c>
      <c r="I154" s="32" t="s">
        <v>3526</v>
      </c>
      <c r="L154" s="7">
        <v>44910</v>
      </c>
      <c r="M154" s="34">
        <v>381</v>
      </c>
      <c r="N154" s="32">
        <v>3</v>
      </c>
      <c r="O154" s="36">
        <v>3.94</v>
      </c>
      <c r="P154" s="32" t="s">
        <v>3896</v>
      </c>
      <c r="Q154" s="5" t="s">
        <v>3893</v>
      </c>
      <c r="R154" s="5" t="s">
        <v>4272</v>
      </c>
      <c r="S154" s="6">
        <v>3033</v>
      </c>
      <c r="T154" s="6">
        <v>2652</v>
      </c>
      <c r="U154" s="6">
        <v>0</v>
      </c>
      <c r="V154" s="7">
        <v>44799</v>
      </c>
      <c r="W154" s="7" t="s">
        <v>3790</v>
      </c>
      <c r="X154" s="7">
        <v>44910</v>
      </c>
      <c r="Y154" s="5" t="s">
        <v>4018</v>
      </c>
      <c r="Z154" s="5" t="s">
        <v>5554</v>
      </c>
      <c r="AA154" s="6">
        <v>2652</v>
      </c>
      <c r="AB154" s="7" t="s">
        <v>4273</v>
      </c>
      <c r="AC154" s="7" t="str">
        <f>A154&amp;COUNTIF($A$2:A154,A154)</f>
        <v>100WP110-50001</v>
      </c>
      <c r="AD154" s="7">
        <v>44739</v>
      </c>
      <c r="AE154" s="7" t="s">
        <v>3790</v>
      </c>
      <c r="AF154" s="7" t="s">
        <v>3790</v>
      </c>
      <c r="AG154" s="5">
        <v>42</v>
      </c>
      <c r="AH154" s="5">
        <v>7</v>
      </c>
      <c r="AI154" s="5">
        <v>14</v>
      </c>
      <c r="AJ154" s="5">
        <v>12000</v>
      </c>
      <c r="AK154" s="5" t="str">
        <f t="shared" ca="1" si="2"/>
        <v>run complete</v>
      </c>
    </row>
    <row r="155" spans="1:37">
      <c r="A155" s="32" t="s">
        <v>1808</v>
      </c>
      <c r="B155" s="32">
        <v>7007</v>
      </c>
      <c r="C155" s="32" t="s">
        <v>1809</v>
      </c>
      <c r="E155" s="34">
        <v>2015</v>
      </c>
      <c r="F155" s="32" t="s">
        <v>3895</v>
      </c>
      <c r="G155" s="34">
        <v>2000</v>
      </c>
      <c r="H155" s="7">
        <v>44925</v>
      </c>
      <c r="I155" s="32" t="s">
        <v>3526</v>
      </c>
      <c r="L155" s="7">
        <v>45005</v>
      </c>
      <c r="M155" s="34">
        <v>15</v>
      </c>
      <c r="N155" s="32">
        <v>3</v>
      </c>
      <c r="O155" s="36">
        <v>4.7</v>
      </c>
      <c r="P155" s="32" t="s">
        <v>3897</v>
      </c>
      <c r="Q155" s="5" t="s">
        <v>3893</v>
      </c>
      <c r="R155" s="5" t="s">
        <v>4274</v>
      </c>
      <c r="S155" s="6">
        <v>2015</v>
      </c>
      <c r="T155" s="6">
        <v>2000</v>
      </c>
      <c r="U155" s="6">
        <v>0</v>
      </c>
      <c r="V155" s="7">
        <v>44925</v>
      </c>
      <c r="W155" s="7" t="s">
        <v>3790</v>
      </c>
      <c r="X155" s="7">
        <v>45005</v>
      </c>
      <c r="Y155" s="5" t="s">
        <v>4018</v>
      </c>
      <c r="Z155" s="5" t="s">
        <v>3790</v>
      </c>
      <c r="AA155" s="6">
        <v>2000</v>
      </c>
      <c r="AB155" s="7" t="s">
        <v>4275</v>
      </c>
      <c r="AC155" s="7" t="str">
        <f>A155&amp;COUNTIF($A$2:A155,A155)</f>
        <v>100WP115-50001</v>
      </c>
      <c r="AD155" s="7">
        <v>44690</v>
      </c>
      <c r="AE155" s="7" t="s">
        <v>3790</v>
      </c>
      <c r="AF155" s="7" t="s">
        <v>3790</v>
      </c>
      <c r="AG155" s="5">
        <v>42</v>
      </c>
      <c r="AH155" s="5">
        <v>7</v>
      </c>
      <c r="AI155" s="5">
        <v>14</v>
      </c>
      <c r="AJ155" s="5">
        <v>2000</v>
      </c>
      <c r="AK155" s="5" t="str">
        <f t="shared" ca="1" si="2"/>
        <v>run complete</v>
      </c>
    </row>
    <row r="156" spans="1:37">
      <c r="A156" s="32" t="s">
        <v>1810</v>
      </c>
      <c r="B156" s="32">
        <v>7007</v>
      </c>
      <c r="C156" s="32" t="s">
        <v>1809</v>
      </c>
      <c r="D156" s="32" t="s">
        <v>3663</v>
      </c>
      <c r="E156" s="34">
        <v>1093</v>
      </c>
      <c r="F156" s="32" t="s">
        <v>3895</v>
      </c>
      <c r="G156" s="34">
        <v>1000</v>
      </c>
      <c r="H156" s="7">
        <v>44925</v>
      </c>
      <c r="I156" s="32" t="s">
        <v>3526</v>
      </c>
      <c r="L156" s="7">
        <v>45005</v>
      </c>
      <c r="M156" s="34">
        <v>93</v>
      </c>
      <c r="N156" s="32">
        <v>3</v>
      </c>
      <c r="O156" s="36">
        <v>4.45</v>
      </c>
      <c r="P156" s="32" t="s">
        <v>3897</v>
      </c>
      <c r="Q156" s="5" t="s">
        <v>3893</v>
      </c>
      <c r="R156" s="5" t="s">
        <v>4274</v>
      </c>
      <c r="S156" s="6">
        <v>1093</v>
      </c>
      <c r="T156" s="6">
        <v>1000</v>
      </c>
      <c r="U156" s="6">
        <v>0</v>
      </c>
      <c r="V156" s="7">
        <v>44925</v>
      </c>
      <c r="W156" s="7" t="s">
        <v>3790</v>
      </c>
      <c r="X156" s="7">
        <v>45005</v>
      </c>
      <c r="Y156" s="5" t="s">
        <v>4018</v>
      </c>
      <c r="Z156" s="5" t="s">
        <v>3790</v>
      </c>
      <c r="AA156" s="6">
        <v>1000</v>
      </c>
      <c r="AB156" s="7" t="s">
        <v>4276</v>
      </c>
      <c r="AC156" s="7" t="str">
        <f>A156&amp;COUNTIF($A$2:A156,A156)</f>
        <v>100WP115-62001</v>
      </c>
      <c r="AD156" s="7">
        <v>44690</v>
      </c>
      <c r="AE156" s="7" t="s">
        <v>3790</v>
      </c>
      <c r="AF156" s="7" t="s">
        <v>3790</v>
      </c>
      <c r="AG156" s="5">
        <v>42</v>
      </c>
      <c r="AH156" s="5">
        <v>7</v>
      </c>
      <c r="AI156" s="5">
        <v>14</v>
      </c>
      <c r="AJ156" s="5">
        <v>1000</v>
      </c>
      <c r="AK156" s="5" t="str">
        <f t="shared" ca="1" si="2"/>
        <v>run complete</v>
      </c>
    </row>
    <row r="157" spans="1:37">
      <c r="A157" s="32" t="s">
        <v>1828</v>
      </c>
      <c r="B157" s="32">
        <v>6972</v>
      </c>
      <c r="C157" s="32" t="s">
        <v>3690</v>
      </c>
      <c r="E157" s="34">
        <v>1726</v>
      </c>
      <c r="F157" s="32" t="s">
        <v>3661</v>
      </c>
      <c r="G157" s="34">
        <v>2000</v>
      </c>
      <c r="H157" s="7">
        <v>44782</v>
      </c>
      <c r="I157" s="32" t="s">
        <v>3658</v>
      </c>
      <c r="L157" s="7">
        <v>45039</v>
      </c>
      <c r="M157" s="34">
        <v>226</v>
      </c>
      <c r="N157" s="32">
        <v>3</v>
      </c>
      <c r="O157" s="36">
        <v>6.67</v>
      </c>
      <c r="Q157" s="5" t="s">
        <v>3662</v>
      </c>
      <c r="R157" s="5" t="s">
        <v>4280</v>
      </c>
      <c r="S157" s="6">
        <v>1726</v>
      </c>
      <c r="T157" s="6">
        <v>1500</v>
      </c>
      <c r="U157" s="6">
        <v>0</v>
      </c>
      <c r="V157" s="7">
        <v>44782</v>
      </c>
      <c r="W157" s="7" t="s">
        <v>3790</v>
      </c>
      <c r="X157" s="7">
        <v>45039</v>
      </c>
      <c r="Y157" s="5" t="s">
        <v>4018</v>
      </c>
      <c r="Z157" s="5" t="s">
        <v>3790</v>
      </c>
      <c r="AA157" s="6">
        <v>1500</v>
      </c>
      <c r="AB157" s="7" t="s">
        <v>4281</v>
      </c>
      <c r="AC157" s="7" t="str">
        <f>A157&amp;COUNTIF($A$2:A157,A157)</f>
        <v>100WT741-50001</v>
      </c>
      <c r="AD157" s="7">
        <v>44655</v>
      </c>
      <c r="AE157" s="7" t="s">
        <v>3790</v>
      </c>
      <c r="AF157" s="7" t="s">
        <v>3790</v>
      </c>
      <c r="AG157" s="5">
        <v>154</v>
      </c>
      <c r="AH157" s="5">
        <v>70</v>
      </c>
      <c r="AI157" s="5">
        <v>14</v>
      </c>
      <c r="AJ157" s="5">
        <v>2000</v>
      </c>
      <c r="AK157" s="5" t="str">
        <f t="shared" ca="1" si="2"/>
        <v>run complete</v>
      </c>
    </row>
    <row r="158" spans="1:37">
      <c r="A158" s="32" t="s">
        <v>1829</v>
      </c>
      <c r="B158" s="32">
        <v>6972</v>
      </c>
      <c r="C158" s="32" t="s">
        <v>3690</v>
      </c>
      <c r="D158" s="32" t="s">
        <v>3663</v>
      </c>
      <c r="E158" s="34">
        <v>518</v>
      </c>
      <c r="F158" s="32" t="s">
        <v>3661</v>
      </c>
      <c r="G158" s="34">
        <v>500</v>
      </c>
      <c r="H158" s="7">
        <v>44782</v>
      </c>
      <c r="I158" s="32" t="s">
        <v>3658</v>
      </c>
      <c r="L158" s="7">
        <v>45039</v>
      </c>
      <c r="M158" s="34">
        <v>18</v>
      </c>
      <c r="N158" s="32">
        <v>3</v>
      </c>
      <c r="O158" s="36">
        <v>6.67</v>
      </c>
      <c r="Q158" s="5" t="s">
        <v>3662</v>
      </c>
      <c r="R158" s="5" t="s">
        <v>4280</v>
      </c>
      <c r="S158" s="6">
        <v>518</v>
      </c>
      <c r="T158" s="6">
        <v>500</v>
      </c>
      <c r="U158" s="6">
        <v>0</v>
      </c>
      <c r="V158" s="7">
        <v>44782</v>
      </c>
      <c r="W158" s="7" t="s">
        <v>3790</v>
      </c>
      <c r="X158" s="7">
        <v>45039</v>
      </c>
      <c r="Y158" s="5" t="s">
        <v>4018</v>
      </c>
      <c r="Z158" s="5" t="s">
        <v>3790</v>
      </c>
      <c r="AA158" s="6">
        <v>500</v>
      </c>
      <c r="AB158" s="7" t="s">
        <v>4282</v>
      </c>
      <c r="AC158" s="7" t="str">
        <f>A158&amp;COUNTIF($A$2:A158,A158)</f>
        <v>100WT741-62001</v>
      </c>
      <c r="AD158" s="7">
        <v>44655</v>
      </c>
      <c r="AE158" s="7" t="s">
        <v>3790</v>
      </c>
      <c r="AF158" s="7" t="s">
        <v>3790</v>
      </c>
      <c r="AG158" s="5">
        <v>154</v>
      </c>
      <c r="AH158" s="5">
        <v>70</v>
      </c>
      <c r="AI158" s="5">
        <v>14</v>
      </c>
      <c r="AJ158" s="5">
        <v>500</v>
      </c>
      <c r="AK158" s="5" t="str">
        <f t="shared" ca="1" si="2"/>
        <v>run complete</v>
      </c>
    </row>
    <row r="159" spans="1:37">
      <c r="A159" s="32" t="s">
        <v>1832</v>
      </c>
      <c r="B159" s="32" t="s">
        <v>3578</v>
      </c>
      <c r="C159" s="32" t="s">
        <v>3576</v>
      </c>
      <c r="E159" s="34" t="s">
        <v>7589</v>
      </c>
      <c r="F159" s="32" t="s">
        <v>3524</v>
      </c>
      <c r="G159" s="34" t="s">
        <v>3525</v>
      </c>
      <c r="H159" s="7" t="s">
        <v>3579</v>
      </c>
      <c r="I159" s="32" t="s">
        <v>3526</v>
      </c>
      <c r="J159" s="34" t="s">
        <v>3527</v>
      </c>
      <c r="L159" s="7" t="s">
        <v>5244</v>
      </c>
      <c r="M159" s="34" t="s">
        <v>3580</v>
      </c>
      <c r="N159" s="32" t="s">
        <v>3532</v>
      </c>
      <c r="O159" s="36" t="s">
        <v>3581</v>
      </c>
      <c r="Q159" s="5" t="s">
        <v>5428</v>
      </c>
      <c r="R159" s="5" t="s">
        <v>3589</v>
      </c>
      <c r="S159" s="6">
        <v>2452</v>
      </c>
      <c r="T159" s="6">
        <v>2121</v>
      </c>
      <c r="U159" s="6">
        <v>0</v>
      </c>
      <c r="V159" s="7">
        <v>44753</v>
      </c>
      <c r="W159" s="7" t="s">
        <v>3790</v>
      </c>
      <c r="X159" s="7">
        <v>44943</v>
      </c>
      <c r="Y159" s="5" t="s">
        <v>4018</v>
      </c>
      <c r="Z159" s="5" t="s">
        <v>5553</v>
      </c>
      <c r="AA159" s="6">
        <v>2121</v>
      </c>
      <c r="AB159" s="7" t="s">
        <v>4284</v>
      </c>
      <c r="AC159" s="7" t="str">
        <f>A159&amp;COUNTIF($A$2:A159,A159)</f>
        <v>100WT790-62001</v>
      </c>
      <c r="AD159" s="7">
        <v>44572</v>
      </c>
      <c r="AE159" s="7" t="s">
        <v>3790</v>
      </c>
      <c r="AF159" s="7" t="s">
        <v>3790</v>
      </c>
      <c r="AG159" s="5">
        <v>84</v>
      </c>
      <c r="AH159" s="5">
        <v>56</v>
      </c>
      <c r="AI159" s="5">
        <v>14</v>
      </c>
      <c r="AJ159" s="5">
        <v>4400</v>
      </c>
      <c r="AK159" s="5" t="str">
        <f t="shared" ca="1" si="2"/>
        <v>run complete</v>
      </c>
    </row>
    <row r="160" spans="1:37">
      <c r="A160" s="32" t="s">
        <v>1832</v>
      </c>
      <c r="B160" s="32" t="s">
        <v>3583</v>
      </c>
      <c r="C160" s="32" t="s">
        <v>3576</v>
      </c>
      <c r="E160" s="34" t="s">
        <v>5245</v>
      </c>
      <c r="F160" s="32" t="s">
        <v>3524</v>
      </c>
      <c r="G160" s="34" t="s">
        <v>3531</v>
      </c>
      <c r="H160" s="7" t="s">
        <v>3584</v>
      </c>
      <c r="I160" s="32" t="s">
        <v>3526</v>
      </c>
      <c r="J160" s="34" t="s">
        <v>3527</v>
      </c>
      <c r="L160" s="7" t="s">
        <v>6086</v>
      </c>
      <c r="M160" s="34" t="s">
        <v>3585</v>
      </c>
      <c r="N160" s="32" t="s">
        <v>3532</v>
      </c>
      <c r="O160" s="36" t="s">
        <v>3586</v>
      </c>
      <c r="Q160" s="5" t="s">
        <v>5428</v>
      </c>
      <c r="R160" s="5" t="s">
        <v>3546</v>
      </c>
      <c r="S160" s="6">
        <v>2577</v>
      </c>
      <c r="T160" s="6">
        <v>2207</v>
      </c>
      <c r="U160" s="6">
        <v>0</v>
      </c>
      <c r="V160" s="7">
        <v>44796</v>
      </c>
      <c r="W160" s="7" t="s">
        <v>3790</v>
      </c>
      <c r="X160" s="7">
        <v>44989</v>
      </c>
      <c r="Y160" s="5" t="s">
        <v>4018</v>
      </c>
      <c r="Z160" s="5" t="s">
        <v>3790</v>
      </c>
      <c r="AA160" s="6">
        <v>2207</v>
      </c>
      <c r="AB160" s="7" t="s">
        <v>4285</v>
      </c>
      <c r="AC160" s="7" t="str">
        <f>A160&amp;COUNTIF($A$2:A160,A160)</f>
        <v>100WT790-62002</v>
      </c>
      <c r="AD160" s="7">
        <v>44657</v>
      </c>
      <c r="AE160" s="7" t="s">
        <v>3790</v>
      </c>
      <c r="AF160" s="7" t="s">
        <v>3790</v>
      </c>
      <c r="AG160" s="5">
        <v>84</v>
      </c>
      <c r="AH160" s="5">
        <v>56</v>
      </c>
      <c r="AI160" s="5">
        <v>14</v>
      </c>
      <c r="AJ160" s="5">
        <v>2200</v>
      </c>
      <c r="AK160" s="5" t="str">
        <f t="shared" ca="1" si="2"/>
        <v>run complete</v>
      </c>
    </row>
    <row r="161" spans="1:37">
      <c r="A161" s="32" t="s">
        <v>1844</v>
      </c>
      <c r="B161" s="32">
        <v>7034</v>
      </c>
      <c r="C161" s="32" t="s">
        <v>1843</v>
      </c>
      <c r="E161" s="34">
        <v>2136</v>
      </c>
      <c r="G161" s="34">
        <v>4400</v>
      </c>
      <c r="H161" s="7">
        <v>44803</v>
      </c>
      <c r="I161" s="32" t="s">
        <v>3692</v>
      </c>
      <c r="L161" s="7">
        <v>44939</v>
      </c>
      <c r="O161" s="36">
        <v>5.77</v>
      </c>
      <c r="P161" s="32" t="s">
        <v>5569</v>
      </c>
      <c r="Q161" s="5" t="s">
        <v>3702</v>
      </c>
      <c r="R161" s="5" t="s">
        <v>4196</v>
      </c>
      <c r="S161" s="6">
        <v>2136</v>
      </c>
      <c r="T161" s="6">
        <v>2136</v>
      </c>
      <c r="U161" s="6">
        <v>0</v>
      </c>
      <c r="V161" s="7">
        <v>44803</v>
      </c>
      <c r="W161" s="7" t="s">
        <v>3790</v>
      </c>
      <c r="X161" s="7">
        <v>44939</v>
      </c>
      <c r="Y161" s="5" t="s">
        <v>4018</v>
      </c>
      <c r="Z161" s="5" t="s">
        <v>5553</v>
      </c>
      <c r="AA161" s="6">
        <v>2136</v>
      </c>
      <c r="AB161" s="7" t="s">
        <v>4288</v>
      </c>
      <c r="AC161" s="7" t="str">
        <f>A161&amp;COUNTIF($A$2:A161,A161)</f>
        <v>100WT870-62001</v>
      </c>
      <c r="AD161" s="7">
        <v>44718</v>
      </c>
      <c r="AE161" s="7" t="s">
        <v>3790</v>
      </c>
      <c r="AF161" s="7" t="s">
        <v>3790</v>
      </c>
      <c r="AG161" s="5">
        <v>98</v>
      </c>
      <c r="AH161" s="5">
        <v>49</v>
      </c>
      <c r="AI161" s="5">
        <v>14</v>
      </c>
      <c r="AJ161" s="5">
        <v>4400</v>
      </c>
      <c r="AK161" s="5" t="str">
        <f t="shared" ca="1" si="2"/>
        <v>run complete</v>
      </c>
    </row>
    <row r="162" spans="1:37">
      <c r="A162" s="32" t="s">
        <v>1844</v>
      </c>
      <c r="B162" s="32">
        <v>7094</v>
      </c>
      <c r="C162" s="32" t="s">
        <v>1843</v>
      </c>
      <c r="E162" s="34">
        <v>3589</v>
      </c>
      <c r="G162" s="34">
        <v>3300</v>
      </c>
      <c r="H162" s="7">
        <v>44846</v>
      </c>
      <c r="I162" s="32" t="s">
        <v>3692</v>
      </c>
      <c r="L162" s="7">
        <v>45141</v>
      </c>
      <c r="O162" s="36">
        <v>5.77</v>
      </c>
      <c r="P162" s="32" t="s">
        <v>3701</v>
      </c>
      <c r="Q162" s="5" t="s">
        <v>3702</v>
      </c>
      <c r="R162" s="5" t="s">
        <v>4239</v>
      </c>
      <c r="S162" s="6">
        <v>3589</v>
      </c>
      <c r="T162" s="6">
        <v>3589</v>
      </c>
      <c r="U162" s="6">
        <v>0</v>
      </c>
      <c r="V162" s="7">
        <v>44846</v>
      </c>
      <c r="W162" s="7" t="s">
        <v>3790</v>
      </c>
      <c r="X162" s="7">
        <v>45141</v>
      </c>
      <c r="Y162" s="5" t="s">
        <v>4018</v>
      </c>
      <c r="Z162" s="5" t="s">
        <v>3790</v>
      </c>
      <c r="AA162" s="6">
        <v>3589</v>
      </c>
      <c r="AB162" s="7" t="s">
        <v>4289</v>
      </c>
      <c r="AC162" s="7" t="str">
        <f>A162&amp;COUNTIF($A$2:A162,A162)</f>
        <v>100WT870-62002</v>
      </c>
      <c r="AD162" s="7">
        <v>44771</v>
      </c>
      <c r="AE162" s="7" t="s">
        <v>3790</v>
      </c>
      <c r="AF162" s="7" t="s">
        <v>3790</v>
      </c>
      <c r="AG162" s="5">
        <v>98</v>
      </c>
      <c r="AH162" s="5">
        <v>49</v>
      </c>
      <c r="AI162" s="5">
        <v>14</v>
      </c>
      <c r="AJ162" s="5">
        <v>3300</v>
      </c>
      <c r="AK162" s="5" t="str">
        <f t="shared" ca="1" si="2"/>
        <v>run complete</v>
      </c>
    </row>
    <row r="163" spans="1:37">
      <c r="A163" s="32" t="s">
        <v>1853</v>
      </c>
      <c r="B163" s="32">
        <v>7154</v>
      </c>
      <c r="C163" s="32" t="s">
        <v>1852</v>
      </c>
      <c r="E163" s="34">
        <v>2579</v>
      </c>
      <c r="F163" s="32" t="s">
        <v>3881</v>
      </c>
      <c r="G163" s="34">
        <v>2200</v>
      </c>
      <c r="H163" s="7">
        <v>44897</v>
      </c>
      <c r="I163" s="32" t="s">
        <v>3658</v>
      </c>
      <c r="N163" s="32">
        <v>6</v>
      </c>
      <c r="O163" s="36">
        <v>6.51</v>
      </c>
      <c r="Q163" s="5" t="s">
        <v>3882</v>
      </c>
      <c r="R163" s="5" t="s">
        <v>5517</v>
      </c>
      <c r="S163" s="6">
        <v>2579</v>
      </c>
      <c r="T163" s="6">
        <v>2579</v>
      </c>
      <c r="U163" s="6">
        <v>0</v>
      </c>
      <c r="V163" s="7">
        <v>44897</v>
      </c>
      <c r="W163" s="7" t="s">
        <v>3790</v>
      </c>
      <c r="X163" s="7" t="s">
        <v>3790</v>
      </c>
      <c r="Y163" s="5" t="s">
        <v>4018</v>
      </c>
      <c r="Z163" s="5" t="s">
        <v>3790</v>
      </c>
      <c r="AA163" s="6">
        <v>2579</v>
      </c>
      <c r="AB163" s="7" t="s">
        <v>5518</v>
      </c>
      <c r="AC163" s="7" t="str">
        <f>A163&amp;COUNTIF($A$2:A163,A163)</f>
        <v>100WW011-62001</v>
      </c>
      <c r="AD163" s="7">
        <v>44838</v>
      </c>
      <c r="AE163" s="7" t="s">
        <v>3790</v>
      </c>
      <c r="AF163" s="7" t="s">
        <v>3790</v>
      </c>
      <c r="AG163" s="5">
        <v>84</v>
      </c>
      <c r="AH163" s="5">
        <v>14</v>
      </c>
      <c r="AI163" s="5">
        <v>14</v>
      </c>
      <c r="AJ163" s="5">
        <v>2200</v>
      </c>
      <c r="AK163" s="5" t="str">
        <f t="shared" ca="1" si="2"/>
        <v>run complete</v>
      </c>
    </row>
    <row r="164" spans="1:37">
      <c r="A164" s="32" t="s">
        <v>1864</v>
      </c>
      <c r="B164" s="32">
        <v>6781</v>
      </c>
      <c r="C164" s="32" t="s">
        <v>1863</v>
      </c>
      <c r="E164" s="34">
        <v>504</v>
      </c>
      <c r="G164" s="34">
        <v>500</v>
      </c>
      <c r="H164" s="7">
        <v>44552</v>
      </c>
      <c r="I164" s="32" t="s">
        <v>3658</v>
      </c>
      <c r="L164" s="7">
        <v>2958465</v>
      </c>
      <c r="M164" s="34">
        <v>504</v>
      </c>
      <c r="N164" s="32">
        <v>6</v>
      </c>
      <c r="O164" s="36">
        <v>4.37</v>
      </c>
      <c r="P164" s="32" t="s">
        <v>3755</v>
      </c>
      <c r="Q164" s="5" t="s">
        <v>893</v>
      </c>
      <c r="R164" s="5" t="s">
        <v>4290</v>
      </c>
      <c r="S164" s="6">
        <v>504</v>
      </c>
      <c r="T164" s="6">
        <v>0</v>
      </c>
      <c r="U164" s="6">
        <v>0</v>
      </c>
      <c r="V164" s="7">
        <v>44552</v>
      </c>
      <c r="W164" s="7" t="s">
        <v>3790</v>
      </c>
      <c r="X164" s="7">
        <v>2958465</v>
      </c>
      <c r="Y164" s="5" t="s">
        <v>4018</v>
      </c>
      <c r="Z164" s="5" t="s">
        <v>3790</v>
      </c>
      <c r="AA164" s="6">
        <v>0</v>
      </c>
      <c r="AB164" s="7" t="s">
        <v>4291</v>
      </c>
      <c r="AC164" s="7" t="str">
        <f>A164&amp;COUNTIF($A$2:A164,A164)</f>
        <v>100WW075-62001</v>
      </c>
      <c r="AD164" s="7">
        <v>44386</v>
      </c>
      <c r="AE164" s="7" t="s">
        <v>3790</v>
      </c>
      <c r="AF164" s="7" t="s">
        <v>3790</v>
      </c>
      <c r="AG164" s="5">
        <v>140</v>
      </c>
      <c r="AH164" s="5">
        <v>14</v>
      </c>
      <c r="AI164" s="5">
        <v>14</v>
      </c>
      <c r="AJ164" s="5">
        <v>500</v>
      </c>
      <c r="AK164" s="5" t="str">
        <f t="shared" ca="1" si="2"/>
        <v>run complete</v>
      </c>
    </row>
    <row r="165" spans="1:37">
      <c r="A165" s="32" t="s">
        <v>1869</v>
      </c>
      <c r="B165" s="32">
        <v>7090</v>
      </c>
      <c r="C165" s="32" t="s">
        <v>1870</v>
      </c>
      <c r="E165" s="34">
        <v>1316</v>
      </c>
      <c r="F165" s="32" t="s">
        <v>3657</v>
      </c>
      <c r="G165" s="34">
        <v>1500</v>
      </c>
      <c r="H165" s="7">
        <v>44841</v>
      </c>
      <c r="I165" s="32" t="s">
        <v>3526</v>
      </c>
      <c r="K165" s="7">
        <v>44893</v>
      </c>
      <c r="L165" s="7">
        <v>44620</v>
      </c>
      <c r="N165" s="32">
        <v>3</v>
      </c>
      <c r="O165" s="36">
        <v>6.05</v>
      </c>
      <c r="Q165" s="5" t="s">
        <v>3787</v>
      </c>
      <c r="R165" s="5" t="s">
        <v>5271</v>
      </c>
      <c r="S165" s="6">
        <v>1316</v>
      </c>
      <c r="T165" s="6">
        <v>1316</v>
      </c>
      <c r="U165" s="6">
        <v>0</v>
      </c>
      <c r="V165" s="7">
        <v>44841</v>
      </c>
      <c r="W165" s="7">
        <v>44893</v>
      </c>
      <c r="X165" s="7">
        <v>44620</v>
      </c>
      <c r="Y165" s="5" t="s">
        <v>4018</v>
      </c>
      <c r="Z165" s="5" t="s">
        <v>5554</v>
      </c>
      <c r="AA165" s="6">
        <v>1316</v>
      </c>
      <c r="AB165" s="7" t="s">
        <v>5334</v>
      </c>
      <c r="AC165" s="7" t="str">
        <f>A165&amp;COUNTIF($A$2:A165,A165)</f>
        <v>100WW160-50001</v>
      </c>
      <c r="AD165" s="7">
        <v>44761</v>
      </c>
      <c r="AE165" s="7" t="s">
        <v>3790</v>
      </c>
      <c r="AF165" s="7" t="s">
        <v>3790</v>
      </c>
      <c r="AG165" s="5">
        <v>168</v>
      </c>
      <c r="AH165" s="5">
        <v>42</v>
      </c>
      <c r="AI165" s="5">
        <v>14</v>
      </c>
      <c r="AJ165" s="5">
        <v>1500</v>
      </c>
      <c r="AK165" s="5" t="str">
        <f t="shared" ca="1" si="2"/>
        <v>run complete</v>
      </c>
    </row>
    <row r="166" spans="1:37">
      <c r="A166" s="32" t="s">
        <v>1871</v>
      </c>
      <c r="B166" s="32">
        <v>7090</v>
      </c>
      <c r="C166" s="32" t="s">
        <v>1870</v>
      </c>
      <c r="D166" s="32" t="s">
        <v>3663</v>
      </c>
      <c r="E166" s="34">
        <v>728</v>
      </c>
      <c r="F166" s="32" t="s">
        <v>3657</v>
      </c>
      <c r="G166" s="34">
        <v>700</v>
      </c>
      <c r="H166" s="7">
        <v>44841</v>
      </c>
      <c r="I166" s="32" t="s">
        <v>3526</v>
      </c>
      <c r="K166" s="7">
        <v>44893</v>
      </c>
      <c r="L166" s="7">
        <v>44620</v>
      </c>
      <c r="M166" s="34">
        <v>28</v>
      </c>
      <c r="N166" s="32">
        <v>3</v>
      </c>
      <c r="O166" s="36">
        <v>6.05</v>
      </c>
      <c r="Q166" s="5" t="s">
        <v>3787</v>
      </c>
      <c r="R166" s="5" t="s">
        <v>5271</v>
      </c>
      <c r="S166" s="6">
        <v>728</v>
      </c>
      <c r="T166" s="6">
        <v>700</v>
      </c>
      <c r="U166" s="6">
        <v>0</v>
      </c>
      <c r="V166" s="7">
        <v>44841</v>
      </c>
      <c r="W166" s="7">
        <v>44893</v>
      </c>
      <c r="X166" s="7">
        <v>44620</v>
      </c>
      <c r="Y166" s="5" t="s">
        <v>4018</v>
      </c>
      <c r="Z166" s="5" t="s">
        <v>5554</v>
      </c>
      <c r="AA166" s="6">
        <v>700</v>
      </c>
      <c r="AB166" s="7" t="s">
        <v>5335</v>
      </c>
      <c r="AC166" s="7" t="str">
        <f>A166&amp;COUNTIF($A$2:A166,A166)</f>
        <v>100WW160-62001</v>
      </c>
      <c r="AD166" s="7">
        <v>44761</v>
      </c>
      <c r="AE166" s="7" t="s">
        <v>3790</v>
      </c>
      <c r="AF166" s="7" t="s">
        <v>3790</v>
      </c>
      <c r="AG166" s="5">
        <v>168</v>
      </c>
      <c r="AH166" s="5">
        <v>42</v>
      </c>
      <c r="AI166" s="5">
        <v>14</v>
      </c>
      <c r="AJ166" s="5">
        <v>700</v>
      </c>
      <c r="AK166" s="5" t="str">
        <f t="shared" ca="1" si="2"/>
        <v>run complete</v>
      </c>
    </row>
    <row r="167" spans="1:37">
      <c r="A167" s="32" t="s">
        <v>1872</v>
      </c>
      <c r="B167" s="32">
        <v>6804</v>
      </c>
      <c r="C167" s="32" t="s">
        <v>1873</v>
      </c>
      <c r="E167" s="34">
        <v>1422</v>
      </c>
      <c r="F167" s="32" t="s">
        <v>3657</v>
      </c>
      <c r="G167" s="34">
        <v>1600</v>
      </c>
      <c r="H167" s="7">
        <v>44820</v>
      </c>
      <c r="I167" s="32" t="s">
        <v>3526</v>
      </c>
      <c r="K167" s="7">
        <v>44893</v>
      </c>
      <c r="L167" s="7">
        <v>44620</v>
      </c>
      <c r="N167" s="32">
        <v>3</v>
      </c>
      <c r="O167" s="36">
        <v>4.67</v>
      </c>
      <c r="Q167" s="5" t="s">
        <v>3787</v>
      </c>
      <c r="R167" s="5" t="s">
        <v>4294</v>
      </c>
      <c r="S167" s="6">
        <v>1422</v>
      </c>
      <c r="T167" s="6">
        <v>1422</v>
      </c>
      <c r="U167" s="6">
        <v>0</v>
      </c>
      <c r="V167" s="7">
        <v>44820</v>
      </c>
      <c r="W167" s="7">
        <v>44893</v>
      </c>
      <c r="X167" s="7">
        <v>44620</v>
      </c>
      <c r="Y167" s="5" t="s">
        <v>4018</v>
      </c>
      <c r="Z167" s="5" t="s">
        <v>5554</v>
      </c>
      <c r="AA167" s="6">
        <v>1422</v>
      </c>
      <c r="AB167" s="7" t="s">
        <v>4295</v>
      </c>
      <c r="AC167" s="7" t="str">
        <f>A167&amp;COUNTIF($A$2:A167,A167)</f>
        <v>100WW185-50001</v>
      </c>
      <c r="AD167" s="7">
        <v>44408</v>
      </c>
      <c r="AE167" s="7" t="s">
        <v>3790</v>
      </c>
      <c r="AF167" s="7" t="s">
        <v>3790</v>
      </c>
      <c r="AG167" s="5">
        <v>168</v>
      </c>
      <c r="AH167" s="5">
        <v>42</v>
      </c>
      <c r="AI167" s="5">
        <v>14</v>
      </c>
      <c r="AJ167" s="5">
        <v>1600</v>
      </c>
      <c r="AK167" s="5" t="str">
        <f t="shared" ca="1" si="2"/>
        <v>run complete</v>
      </c>
    </row>
    <row r="168" spans="1:37">
      <c r="A168" s="32" t="s">
        <v>1874</v>
      </c>
      <c r="B168" s="32">
        <v>7060</v>
      </c>
      <c r="C168" s="32" t="s">
        <v>1873</v>
      </c>
      <c r="D168" s="32" t="s">
        <v>3663</v>
      </c>
      <c r="E168" s="34">
        <v>2727</v>
      </c>
      <c r="F168" s="32" t="s">
        <v>3657</v>
      </c>
      <c r="G168" s="34">
        <v>2200</v>
      </c>
      <c r="H168" s="7">
        <v>44841</v>
      </c>
      <c r="I168" s="32" t="s">
        <v>3526</v>
      </c>
      <c r="K168" s="7">
        <v>44893</v>
      </c>
      <c r="L168" s="7">
        <v>44620</v>
      </c>
      <c r="M168" s="34">
        <v>527</v>
      </c>
      <c r="N168" s="32">
        <v>3</v>
      </c>
      <c r="O168" s="36">
        <v>5.55</v>
      </c>
      <c r="P168" s="32" t="s">
        <v>7729</v>
      </c>
      <c r="Q168" s="5" t="s">
        <v>3787</v>
      </c>
      <c r="R168" s="5" t="s">
        <v>4277</v>
      </c>
      <c r="S168" s="6">
        <v>2727</v>
      </c>
      <c r="T168" s="6">
        <v>2200</v>
      </c>
      <c r="U168" s="6">
        <v>0</v>
      </c>
      <c r="V168" s="7">
        <v>44841</v>
      </c>
      <c r="W168" s="7">
        <v>44893</v>
      </c>
      <c r="X168" s="7">
        <v>44620</v>
      </c>
      <c r="Y168" s="5" t="s">
        <v>4018</v>
      </c>
      <c r="Z168" s="5" t="s">
        <v>5554</v>
      </c>
      <c r="AA168" s="6">
        <v>2200</v>
      </c>
      <c r="AB168" s="7" t="s">
        <v>4296</v>
      </c>
      <c r="AC168" s="7" t="str">
        <f>A168&amp;COUNTIF($A$2:A168,A168)</f>
        <v>100WW185-62001</v>
      </c>
      <c r="AD168" s="7">
        <v>44736</v>
      </c>
      <c r="AE168" s="7" t="s">
        <v>3790</v>
      </c>
      <c r="AF168" s="7" t="s">
        <v>3790</v>
      </c>
      <c r="AG168" s="5">
        <v>168</v>
      </c>
      <c r="AH168" s="5">
        <v>42</v>
      </c>
      <c r="AI168" s="5">
        <v>14</v>
      </c>
      <c r="AJ168" s="5">
        <v>2200</v>
      </c>
      <c r="AK168" s="5" t="str">
        <f t="shared" ca="1" si="2"/>
        <v>run complete</v>
      </c>
    </row>
    <row r="169" spans="1:37">
      <c r="A169" s="32" t="s">
        <v>1893</v>
      </c>
      <c r="B169" s="32" t="s">
        <v>3942</v>
      </c>
      <c r="C169" s="32" t="s">
        <v>3944</v>
      </c>
      <c r="D169" s="32" t="s">
        <v>3663</v>
      </c>
      <c r="E169" s="34">
        <v>2320</v>
      </c>
      <c r="F169" s="32" t="s">
        <v>3914</v>
      </c>
      <c r="G169" s="34">
        <v>3000</v>
      </c>
      <c r="H169" s="7">
        <v>44854</v>
      </c>
      <c r="I169" s="32" t="s">
        <v>3526</v>
      </c>
      <c r="J169" s="34">
        <v>0</v>
      </c>
      <c r="L169" s="7">
        <v>44952</v>
      </c>
      <c r="M169" s="34">
        <v>0</v>
      </c>
      <c r="N169" s="32" t="s">
        <v>3528</v>
      </c>
      <c r="O169" s="36">
        <v>4.63</v>
      </c>
      <c r="P169" s="32" t="s">
        <v>3701</v>
      </c>
      <c r="Q169" s="5" t="s">
        <v>3911</v>
      </c>
      <c r="R169" s="5" t="s">
        <v>3942</v>
      </c>
      <c r="S169" s="6">
        <v>2320</v>
      </c>
      <c r="T169" s="6">
        <v>2320</v>
      </c>
      <c r="U169" s="6">
        <v>0</v>
      </c>
      <c r="V169" s="7">
        <v>44854</v>
      </c>
      <c r="W169" s="7" t="s">
        <v>3790</v>
      </c>
      <c r="X169" s="7">
        <v>44952</v>
      </c>
      <c r="Y169" s="5" t="s">
        <v>4018</v>
      </c>
      <c r="Z169" s="5" t="s">
        <v>5553</v>
      </c>
      <c r="AA169" s="6">
        <v>2320</v>
      </c>
      <c r="AB169" s="7" t="s">
        <v>4297</v>
      </c>
      <c r="AC169" s="7" t="str">
        <f>A169&amp;COUNTIF($A$2:A169,A169)</f>
        <v>100WW561-62001</v>
      </c>
      <c r="AD169" s="7">
        <v>44649</v>
      </c>
      <c r="AE169" s="7" t="s">
        <v>3790</v>
      </c>
      <c r="AF169" s="7" t="s">
        <v>3790</v>
      </c>
      <c r="AG169" s="5">
        <v>196</v>
      </c>
      <c r="AH169" s="5">
        <v>14</v>
      </c>
      <c r="AI169" s="5">
        <v>14</v>
      </c>
      <c r="AJ169" s="5">
        <v>3000</v>
      </c>
      <c r="AK169" s="5" t="str">
        <f t="shared" ca="1" si="2"/>
        <v>run complete</v>
      </c>
    </row>
    <row r="170" spans="1:37">
      <c r="A170" s="32" t="s">
        <v>1894</v>
      </c>
      <c r="B170" s="32">
        <v>7076</v>
      </c>
      <c r="C170" s="32" t="s">
        <v>1895</v>
      </c>
      <c r="E170" s="34">
        <v>1331</v>
      </c>
      <c r="G170" s="34">
        <v>1500</v>
      </c>
      <c r="H170" s="7">
        <v>44798</v>
      </c>
      <c r="I170" s="32" t="s">
        <v>3658</v>
      </c>
      <c r="L170" s="7">
        <v>44979</v>
      </c>
      <c r="N170" s="32">
        <v>6</v>
      </c>
      <c r="O170" s="36">
        <v>4.6100000000000003</v>
      </c>
      <c r="P170" s="32" t="s">
        <v>3757</v>
      </c>
      <c r="Q170" s="5" t="s">
        <v>893</v>
      </c>
      <c r="R170" s="5" t="s">
        <v>4234</v>
      </c>
      <c r="S170" s="6">
        <v>1331</v>
      </c>
      <c r="T170" s="6">
        <v>1331</v>
      </c>
      <c r="U170" s="6">
        <v>0</v>
      </c>
      <c r="V170" s="7">
        <v>44798</v>
      </c>
      <c r="W170" s="7" t="s">
        <v>3790</v>
      </c>
      <c r="X170" s="7">
        <v>44979</v>
      </c>
      <c r="Y170" s="5" t="s">
        <v>4018</v>
      </c>
      <c r="Z170" s="5" t="s">
        <v>3790</v>
      </c>
      <c r="AA170" s="6">
        <v>1331</v>
      </c>
      <c r="AB170" s="7" t="s">
        <v>4298</v>
      </c>
      <c r="AC170" s="7" t="str">
        <f>A170&amp;COUNTIF($A$2:A170,A170)</f>
        <v>100WW601-50001</v>
      </c>
      <c r="AD170" s="7">
        <v>44750</v>
      </c>
      <c r="AE170" s="7" t="s">
        <v>3790</v>
      </c>
      <c r="AF170" s="7" t="s">
        <v>3790</v>
      </c>
      <c r="AG170" s="5">
        <v>140</v>
      </c>
      <c r="AH170" s="5">
        <v>14</v>
      </c>
      <c r="AI170" s="5">
        <v>14</v>
      </c>
      <c r="AJ170" s="5">
        <v>1500</v>
      </c>
      <c r="AK170" s="5" t="str">
        <f t="shared" ca="1" si="2"/>
        <v>run complete</v>
      </c>
    </row>
    <row r="171" spans="1:37">
      <c r="A171" s="32" t="s">
        <v>1896</v>
      </c>
      <c r="B171" s="32">
        <v>7076</v>
      </c>
      <c r="C171" s="32" t="s">
        <v>1895</v>
      </c>
      <c r="E171" s="34">
        <v>823</v>
      </c>
      <c r="G171" s="34">
        <v>1500</v>
      </c>
      <c r="H171" s="7">
        <v>44798</v>
      </c>
      <c r="I171" s="32" t="s">
        <v>3658</v>
      </c>
      <c r="L171" s="7">
        <v>44979</v>
      </c>
      <c r="N171" s="32">
        <v>6</v>
      </c>
      <c r="O171" s="36">
        <v>4.6100000000000003</v>
      </c>
      <c r="P171" s="32" t="s">
        <v>3758</v>
      </c>
      <c r="Q171" s="5" t="s">
        <v>893</v>
      </c>
      <c r="R171" s="5" t="s">
        <v>4234</v>
      </c>
      <c r="S171" s="6">
        <v>823</v>
      </c>
      <c r="T171" s="6">
        <v>823</v>
      </c>
      <c r="U171" s="6">
        <v>0</v>
      </c>
      <c r="V171" s="7">
        <v>44798</v>
      </c>
      <c r="W171" s="7" t="s">
        <v>3790</v>
      </c>
      <c r="X171" s="7">
        <v>44979</v>
      </c>
      <c r="Y171" s="5" t="s">
        <v>4018</v>
      </c>
      <c r="Z171" s="5" t="s">
        <v>3790</v>
      </c>
      <c r="AA171" s="6">
        <v>823</v>
      </c>
      <c r="AB171" s="7" t="s">
        <v>4299</v>
      </c>
      <c r="AC171" s="7" t="str">
        <f>A171&amp;COUNTIF($A$2:A171,A171)</f>
        <v>100WW601-62001</v>
      </c>
      <c r="AD171" s="7">
        <v>44750</v>
      </c>
      <c r="AE171" s="7" t="s">
        <v>3790</v>
      </c>
      <c r="AF171" s="7" t="s">
        <v>3790</v>
      </c>
      <c r="AG171" s="5">
        <v>140</v>
      </c>
      <c r="AH171" s="5">
        <v>14</v>
      </c>
      <c r="AI171" s="5">
        <v>14</v>
      </c>
      <c r="AJ171" s="5">
        <v>1500</v>
      </c>
      <c r="AK171" s="5" t="str">
        <f t="shared" ca="1" si="2"/>
        <v>run complete</v>
      </c>
    </row>
    <row r="172" spans="1:37">
      <c r="A172" s="32" t="s">
        <v>1968</v>
      </c>
      <c r="B172" s="32">
        <v>6937</v>
      </c>
      <c r="C172" s="32" t="s">
        <v>1969</v>
      </c>
      <c r="E172" s="34">
        <v>6231</v>
      </c>
      <c r="G172" s="34">
        <v>6500</v>
      </c>
      <c r="H172" s="7">
        <v>44869</v>
      </c>
      <c r="I172" s="32" t="s">
        <v>3658</v>
      </c>
      <c r="L172" s="7">
        <v>45052</v>
      </c>
      <c r="N172" s="32">
        <v>6</v>
      </c>
      <c r="O172" s="36">
        <v>4.1500000000000004</v>
      </c>
      <c r="P172" s="32" t="s">
        <v>6165</v>
      </c>
      <c r="Q172" s="5" t="s">
        <v>893</v>
      </c>
      <c r="R172" s="5" t="s">
        <v>4303</v>
      </c>
      <c r="S172" s="6">
        <v>6231</v>
      </c>
      <c r="T172" s="6">
        <v>6231</v>
      </c>
      <c r="U172" s="6">
        <v>0</v>
      </c>
      <c r="V172" s="7">
        <v>44869</v>
      </c>
      <c r="W172" s="7" t="s">
        <v>3790</v>
      </c>
      <c r="X172" s="7">
        <v>45052</v>
      </c>
      <c r="Y172" s="5" t="s">
        <v>4018</v>
      </c>
      <c r="Z172" s="5" t="s">
        <v>3790</v>
      </c>
      <c r="AA172" s="6">
        <v>6231</v>
      </c>
      <c r="AB172" s="7" t="s">
        <v>4304</v>
      </c>
      <c r="AC172" s="7" t="str">
        <f>A172&amp;COUNTIF($A$2:A172,A172)</f>
        <v>100WX421-50001</v>
      </c>
      <c r="AD172" s="7">
        <v>44610</v>
      </c>
      <c r="AE172" s="7" t="s">
        <v>3790</v>
      </c>
      <c r="AF172" s="7" t="s">
        <v>3790</v>
      </c>
      <c r="AG172" s="5">
        <v>140</v>
      </c>
      <c r="AH172" s="5">
        <v>14</v>
      </c>
      <c r="AI172" s="5">
        <v>14</v>
      </c>
      <c r="AJ172" s="5">
        <v>6500</v>
      </c>
      <c r="AK172" s="5" t="str">
        <f t="shared" ca="1" si="2"/>
        <v>run complete</v>
      </c>
    </row>
    <row r="173" spans="1:37">
      <c r="A173" s="32" t="s">
        <v>1971</v>
      </c>
      <c r="B173" s="32">
        <v>6937</v>
      </c>
      <c r="C173" s="32" t="s">
        <v>1969</v>
      </c>
      <c r="E173" s="34">
        <v>2528</v>
      </c>
      <c r="G173" s="34">
        <v>3500</v>
      </c>
      <c r="H173" s="7">
        <v>44869</v>
      </c>
      <c r="I173" s="32" t="s">
        <v>3658</v>
      </c>
      <c r="L173" s="7">
        <v>45052</v>
      </c>
      <c r="N173" s="32">
        <v>6</v>
      </c>
      <c r="O173" s="36">
        <v>4.1500000000000004</v>
      </c>
      <c r="P173" s="32" t="s">
        <v>6166</v>
      </c>
      <c r="Q173" s="5" t="s">
        <v>893</v>
      </c>
      <c r="R173" s="5" t="s">
        <v>4303</v>
      </c>
      <c r="S173" s="6">
        <v>2528</v>
      </c>
      <c r="T173" s="6">
        <v>2528</v>
      </c>
      <c r="U173" s="6">
        <v>0</v>
      </c>
      <c r="V173" s="7">
        <v>44869</v>
      </c>
      <c r="W173" s="7" t="s">
        <v>3790</v>
      </c>
      <c r="X173" s="7">
        <v>45052</v>
      </c>
      <c r="Y173" s="5" t="s">
        <v>4018</v>
      </c>
      <c r="Z173" s="5" t="s">
        <v>3790</v>
      </c>
      <c r="AA173" s="6">
        <v>2528</v>
      </c>
      <c r="AB173" s="7" t="s">
        <v>4305</v>
      </c>
      <c r="AC173" s="7" t="str">
        <f>A173&amp;COUNTIF($A$2:A173,A173)</f>
        <v>100WX421-62001</v>
      </c>
      <c r="AD173" s="7">
        <v>44610</v>
      </c>
      <c r="AE173" s="7" t="s">
        <v>3790</v>
      </c>
      <c r="AF173" s="7" t="s">
        <v>3790</v>
      </c>
      <c r="AG173" s="5">
        <v>140</v>
      </c>
      <c r="AH173" s="5">
        <v>14</v>
      </c>
      <c r="AI173" s="5">
        <v>14</v>
      </c>
      <c r="AJ173" s="5">
        <v>3500</v>
      </c>
      <c r="AK173" s="5" t="str">
        <f t="shared" ca="1" si="2"/>
        <v>run complete</v>
      </c>
    </row>
    <row r="174" spans="1:37">
      <c r="A174" s="32" t="s">
        <v>1974</v>
      </c>
      <c r="B174" s="32" t="s">
        <v>3590</v>
      </c>
      <c r="C174" s="32" t="s">
        <v>3591</v>
      </c>
      <c r="E174" s="34" t="s">
        <v>6017</v>
      </c>
      <c r="F174" s="32" t="s">
        <v>3524</v>
      </c>
      <c r="G174" s="34" t="s">
        <v>3531</v>
      </c>
      <c r="H174" s="7" t="s">
        <v>3820</v>
      </c>
      <c r="I174" s="32" t="s">
        <v>3526</v>
      </c>
      <c r="J174" s="34" t="s">
        <v>3527</v>
      </c>
      <c r="L174" s="7" t="s">
        <v>7509</v>
      </c>
      <c r="M174" s="34" t="s">
        <v>6018</v>
      </c>
      <c r="N174" s="32" t="s">
        <v>3532</v>
      </c>
      <c r="O174" s="36" t="s">
        <v>5243</v>
      </c>
      <c r="Q174" s="5" t="s">
        <v>5428</v>
      </c>
      <c r="R174" s="5" t="s">
        <v>3590</v>
      </c>
      <c r="S174" s="6">
        <v>2511</v>
      </c>
      <c r="T174" s="6">
        <v>2205</v>
      </c>
      <c r="U174" s="6">
        <v>0</v>
      </c>
      <c r="V174" s="7">
        <v>44851</v>
      </c>
      <c r="W174" s="7" t="s">
        <v>3790</v>
      </c>
      <c r="X174" s="7">
        <v>45030</v>
      </c>
      <c r="Y174" s="5" t="s">
        <v>4018</v>
      </c>
      <c r="Z174" s="5" t="s">
        <v>3790</v>
      </c>
      <c r="AA174" s="6">
        <v>2205</v>
      </c>
      <c r="AB174" s="7" t="s">
        <v>4306</v>
      </c>
      <c r="AC174" s="7" t="str">
        <f>A174&amp;COUNTIF($A$2:A174,A174)</f>
        <v>100WX440-62001</v>
      </c>
      <c r="AD174" s="7">
        <v>44690</v>
      </c>
      <c r="AE174" s="7" t="s">
        <v>3790</v>
      </c>
      <c r="AF174" s="7" t="s">
        <v>3790</v>
      </c>
      <c r="AG174" s="5">
        <v>84</v>
      </c>
      <c r="AH174" s="5">
        <v>56</v>
      </c>
      <c r="AI174" s="5">
        <v>14</v>
      </c>
      <c r="AJ174" s="5">
        <v>2200</v>
      </c>
      <c r="AK174" s="5" t="str">
        <f t="shared" ca="1" si="2"/>
        <v>run complete</v>
      </c>
    </row>
    <row r="175" spans="1:37">
      <c r="A175" s="32" t="s">
        <v>2003</v>
      </c>
      <c r="B175" s="32" t="s">
        <v>3950</v>
      </c>
      <c r="C175" s="32" t="s">
        <v>3934</v>
      </c>
      <c r="D175" s="32" t="s">
        <v>3701</v>
      </c>
      <c r="E175" s="34">
        <v>10637</v>
      </c>
      <c r="F175" s="32" t="s">
        <v>5523</v>
      </c>
      <c r="G175" s="34">
        <v>10000</v>
      </c>
      <c r="H175" s="7">
        <v>44895</v>
      </c>
      <c r="I175" s="32" t="s">
        <v>3526</v>
      </c>
      <c r="J175" s="34">
        <v>0</v>
      </c>
      <c r="L175" s="7">
        <v>44992</v>
      </c>
      <c r="M175" s="34">
        <v>637</v>
      </c>
      <c r="N175" s="32" t="s">
        <v>3528</v>
      </c>
      <c r="O175" s="36">
        <v>0</v>
      </c>
      <c r="P175" s="32" t="s">
        <v>3701</v>
      </c>
      <c r="Q175" s="5" t="s">
        <v>3911</v>
      </c>
      <c r="R175" s="5" t="s">
        <v>3950</v>
      </c>
      <c r="S175" s="6">
        <v>10637</v>
      </c>
      <c r="T175" s="6">
        <v>10000</v>
      </c>
      <c r="U175" s="6">
        <v>0</v>
      </c>
      <c r="V175" s="7">
        <v>44895</v>
      </c>
      <c r="W175" s="7" t="s">
        <v>3790</v>
      </c>
      <c r="X175" s="7">
        <v>44992</v>
      </c>
      <c r="Y175" s="5" t="s">
        <v>4018</v>
      </c>
      <c r="Z175" s="5" t="s">
        <v>3790</v>
      </c>
      <c r="AA175" s="6">
        <v>10000</v>
      </c>
      <c r="AB175" s="7" t="s">
        <v>4308</v>
      </c>
      <c r="AC175" s="7" t="str">
        <f>A175&amp;COUNTIF($A$2:A175,A175)</f>
        <v>100WY160-50001</v>
      </c>
      <c r="AD175" s="7">
        <v>44739</v>
      </c>
      <c r="AE175" s="7" t="s">
        <v>3790</v>
      </c>
      <c r="AF175" s="7" t="s">
        <v>3790</v>
      </c>
      <c r="AG175" s="5">
        <v>196</v>
      </c>
      <c r="AH175" s="5">
        <v>14</v>
      </c>
      <c r="AI175" s="5">
        <v>14</v>
      </c>
      <c r="AJ175" s="5">
        <v>10000</v>
      </c>
      <c r="AK175" s="5" t="str">
        <f t="shared" ca="1" si="2"/>
        <v>run complete</v>
      </c>
    </row>
    <row r="176" spans="1:37">
      <c r="A176" s="32" t="s">
        <v>2006</v>
      </c>
      <c r="B176" s="32" t="s">
        <v>3950</v>
      </c>
      <c r="C176" s="32" t="s">
        <v>3935</v>
      </c>
      <c r="D176" s="32" t="s">
        <v>3701</v>
      </c>
      <c r="E176" s="34">
        <v>49705</v>
      </c>
      <c r="F176" s="32" t="s">
        <v>5523</v>
      </c>
      <c r="G176" s="34">
        <v>45000</v>
      </c>
      <c r="H176" s="7">
        <v>44893</v>
      </c>
      <c r="I176" s="32" t="s">
        <v>3526</v>
      </c>
      <c r="J176" s="34">
        <v>0</v>
      </c>
      <c r="L176" s="7">
        <v>44992</v>
      </c>
      <c r="M176" s="34">
        <v>4705</v>
      </c>
      <c r="N176" s="32" t="s">
        <v>3528</v>
      </c>
      <c r="O176" s="36">
        <v>0</v>
      </c>
      <c r="P176" s="32" t="s">
        <v>3701</v>
      </c>
      <c r="Q176" s="5" t="s">
        <v>3911</v>
      </c>
      <c r="R176" s="5" t="s">
        <v>3950</v>
      </c>
      <c r="S176" s="6">
        <v>49705</v>
      </c>
      <c r="T176" s="6">
        <v>45000</v>
      </c>
      <c r="U176" s="6">
        <v>0</v>
      </c>
      <c r="V176" s="7">
        <v>44893</v>
      </c>
      <c r="W176" s="7" t="s">
        <v>3790</v>
      </c>
      <c r="X176" s="7">
        <v>44992</v>
      </c>
      <c r="Y176" s="5" t="s">
        <v>4018</v>
      </c>
      <c r="Z176" s="5" t="s">
        <v>3790</v>
      </c>
      <c r="AA176" s="6">
        <v>45000</v>
      </c>
      <c r="AB176" s="7" t="s">
        <v>4310</v>
      </c>
      <c r="AC176" s="7" t="str">
        <f>A176&amp;COUNTIF($A$2:A176,A176)</f>
        <v>100WY160-62001</v>
      </c>
      <c r="AD176" s="7">
        <v>44739</v>
      </c>
      <c r="AE176" s="7" t="s">
        <v>3790</v>
      </c>
      <c r="AF176" s="7" t="s">
        <v>3790</v>
      </c>
      <c r="AG176" s="5">
        <v>196</v>
      </c>
      <c r="AH176" s="5">
        <v>14</v>
      </c>
      <c r="AI176" s="5">
        <v>14</v>
      </c>
      <c r="AJ176" s="5">
        <v>45000</v>
      </c>
      <c r="AK176" s="5" t="str">
        <f t="shared" ca="1" si="2"/>
        <v>run complete</v>
      </c>
    </row>
    <row r="177" spans="1:37">
      <c r="A177" s="32" t="s">
        <v>2016</v>
      </c>
      <c r="B177" s="32">
        <v>7034</v>
      </c>
      <c r="C177" s="32" t="s">
        <v>2015</v>
      </c>
      <c r="E177" s="34">
        <v>1440</v>
      </c>
      <c r="G177" s="34">
        <v>2200</v>
      </c>
      <c r="H177" s="7">
        <v>44792</v>
      </c>
      <c r="I177" s="32" t="s">
        <v>3692</v>
      </c>
      <c r="L177" s="7">
        <v>44939</v>
      </c>
      <c r="O177" s="36">
        <v>6.75</v>
      </c>
      <c r="P177" s="32" t="s">
        <v>3701</v>
      </c>
      <c r="Q177" s="5" t="s">
        <v>3702</v>
      </c>
      <c r="R177" s="5" t="s">
        <v>4196</v>
      </c>
      <c r="S177" s="6">
        <v>1440</v>
      </c>
      <c r="T177" s="6">
        <v>1440</v>
      </c>
      <c r="U177" s="6">
        <v>0</v>
      </c>
      <c r="V177" s="7">
        <v>44792</v>
      </c>
      <c r="W177" s="7" t="s">
        <v>3790</v>
      </c>
      <c r="X177" s="7">
        <v>44939</v>
      </c>
      <c r="Y177" s="5" t="s">
        <v>4018</v>
      </c>
      <c r="Z177" s="5" t="s">
        <v>5553</v>
      </c>
      <c r="AA177" s="6">
        <v>1440</v>
      </c>
      <c r="AB177" s="7" t="s">
        <v>4313</v>
      </c>
      <c r="AC177" s="7" t="str">
        <f>A177&amp;COUNTIF($A$2:A177,A177)</f>
        <v>100WZ160-62001</v>
      </c>
      <c r="AD177" s="7">
        <v>44718</v>
      </c>
      <c r="AE177" s="7" t="s">
        <v>3790</v>
      </c>
      <c r="AF177" s="7" t="s">
        <v>3790</v>
      </c>
      <c r="AG177" s="5">
        <v>98</v>
      </c>
      <c r="AH177" s="5">
        <v>49</v>
      </c>
      <c r="AI177" s="5">
        <v>14</v>
      </c>
      <c r="AJ177" s="5">
        <v>2200</v>
      </c>
      <c r="AK177" s="5" t="str">
        <f t="shared" ca="1" si="2"/>
        <v>run complete</v>
      </c>
    </row>
    <row r="178" spans="1:37">
      <c r="A178" s="32" t="s">
        <v>2016</v>
      </c>
      <c r="B178" s="32">
        <v>7061</v>
      </c>
      <c r="C178" s="32" t="s">
        <v>2015</v>
      </c>
      <c r="E178" s="34">
        <v>2273</v>
      </c>
      <c r="G178" s="34">
        <v>2200</v>
      </c>
      <c r="H178" s="7">
        <v>44806</v>
      </c>
      <c r="I178" s="32" t="s">
        <v>3692</v>
      </c>
      <c r="L178" s="7">
        <v>45141</v>
      </c>
      <c r="O178" s="36">
        <v>6.75</v>
      </c>
      <c r="P178" s="32" t="s">
        <v>3701</v>
      </c>
      <c r="Q178" s="5" t="s">
        <v>3702</v>
      </c>
      <c r="R178" s="5" t="s">
        <v>4259</v>
      </c>
      <c r="S178" s="6">
        <v>2273</v>
      </c>
      <c r="T178" s="6">
        <v>2273</v>
      </c>
      <c r="U178" s="6">
        <v>0</v>
      </c>
      <c r="V178" s="7">
        <v>44806</v>
      </c>
      <c r="W178" s="7" t="s">
        <v>3790</v>
      </c>
      <c r="X178" s="7">
        <v>45141</v>
      </c>
      <c r="Y178" s="5" t="s">
        <v>4018</v>
      </c>
      <c r="Z178" s="5" t="s">
        <v>3790</v>
      </c>
      <c r="AA178" s="6">
        <v>2273</v>
      </c>
      <c r="AB178" s="7" t="s">
        <v>4314</v>
      </c>
      <c r="AC178" s="7" t="str">
        <f>A178&amp;COUNTIF($A$2:A178,A178)</f>
        <v>100WZ160-62002</v>
      </c>
      <c r="AD178" s="7">
        <v>44736</v>
      </c>
      <c r="AE178" s="7" t="s">
        <v>3790</v>
      </c>
      <c r="AF178" s="7" t="s">
        <v>3790</v>
      </c>
      <c r="AG178" s="5">
        <v>98</v>
      </c>
      <c r="AH178" s="5">
        <v>49</v>
      </c>
      <c r="AI178" s="5">
        <v>14</v>
      </c>
      <c r="AJ178" s="5">
        <v>2200</v>
      </c>
      <c r="AK178" s="5" t="str">
        <f t="shared" ca="1" si="2"/>
        <v>run complete</v>
      </c>
    </row>
    <row r="179" spans="1:37">
      <c r="A179" s="32" t="s">
        <v>2051</v>
      </c>
      <c r="B179" s="32" t="s">
        <v>3593</v>
      </c>
      <c r="C179" s="32" t="s">
        <v>3594</v>
      </c>
      <c r="E179" s="34" t="s">
        <v>6019</v>
      </c>
      <c r="F179" s="32" t="s">
        <v>3524</v>
      </c>
      <c r="G179" s="34" t="s">
        <v>3577</v>
      </c>
      <c r="H179" s="7" t="s">
        <v>3595</v>
      </c>
      <c r="I179" s="32" t="s">
        <v>3526</v>
      </c>
      <c r="J179" s="34" t="s">
        <v>3527</v>
      </c>
      <c r="L179" s="7" t="s">
        <v>7509</v>
      </c>
      <c r="M179" s="34" t="s">
        <v>6020</v>
      </c>
      <c r="N179" s="32" t="s">
        <v>3528</v>
      </c>
      <c r="O179" s="36" t="s">
        <v>3529</v>
      </c>
      <c r="Q179" s="5" t="s">
        <v>5428</v>
      </c>
      <c r="R179" s="5" t="s">
        <v>3593</v>
      </c>
      <c r="S179" s="6">
        <v>1856</v>
      </c>
      <c r="T179" s="6">
        <v>1699</v>
      </c>
      <c r="U179" s="6">
        <v>0</v>
      </c>
      <c r="V179" s="7">
        <v>44858</v>
      </c>
      <c r="W179" s="7" t="s">
        <v>3790</v>
      </c>
      <c r="X179" s="7">
        <v>45030</v>
      </c>
      <c r="Y179" s="5" t="s">
        <v>4018</v>
      </c>
      <c r="Z179" s="5" t="s">
        <v>3790</v>
      </c>
      <c r="AA179" s="6">
        <v>1699</v>
      </c>
      <c r="AB179" s="7" t="s">
        <v>4315</v>
      </c>
      <c r="AC179" s="7" t="str">
        <f>A179&amp;COUNTIF($A$2:A179,A179)</f>
        <v>110AG872-50001</v>
      </c>
      <c r="AD179" s="7">
        <v>44713</v>
      </c>
      <c r="AE179" s="7" t="s">
        <v>3790</v>
      </c>
      <c r="AF179" s="7" t="s">
        <v>3790</v>
      </c>
      <c r="AG179" s="5">
        <v>84</v>
      </c>
      <c r="AH179" s="5">
        <v>56</v>
      </c>
      <c r="AI179" s="5">
        <v>14</v>
      </c>
      <c r="AJ179" s="5">
        <v>1700</v>
      </c>
      <c r="AK179" s="5" t="str">
        <f t="shared" ca="1" si="2"/>
        <v>run complete</v>
      </c>
    </row>
    <row r="180" spans="1:37">
      <c r="A180" s="32" t="s">
        <v>2053</v>
      </c>
      <c r="B180" s="32" t="s">
        <v>3593</v>
      </c>
      <c r="C180" s="32" t="s">
        <v>3594</v>
      </c>
      <c r="E180" s="34" t="s">
        <v>6021</v>
      </c>
      <c r="F180" s="32" t="s">
        <v>3524</v>
      </c>
      <c r="G180" s="34" t="s">
        <v>3582</v>
      </c>
      <c r="H180" s="7" t="s">
        <v>3595</v>
      </c>
      <c r="I180" s="32" t="s">
        <v>3526</v>
      </c>
      <c r="J180" s="34" t="s">
        <v>3527</v>
      </c>
      <c r="L180" s="7" t="s">
        <v>7509</v>
      </c>
      <c r="M180" s="34" t="s">
        <v>3866</v>
      </c>
      <c r="N180" s="32" t="s">
        <v>3528</v>
      </c>
      <c r="O180" s="36" t="s">
        <v>3529</v>
      </c>
      <c r="Q180" s="5" t="s">
        <v>5428</v>
      </c>
      <c r="R180" s="5" t="s">
        <v>3593</v>
      </c>
      <c r="S180" s="6">
        <v>538</v>
      </c>
      <c r="T180" s="6">
        <v>501</v>
      </c>
      <c r="U180" s="6">
        <v>0</v>
      </c>
      <c r="V180" s="7">
        <v>44858</v>
      </c>
      <c r="W180" s="7" t="s">
        <v>3790</v>
      </c>
      <c r="X180" s="7">
        <v>45030</v>
      </c>
      <c r="Y180" s="5" t="s">
        <v>4018</v>
      </c>
      <c r="Z180" s="5" t="s">
        <v>3790</v>
      </c>
      <c r="AA180" s="6">
        <v>501</v>
      </c>
      <c r="AB180" s="7" t="s">
        <v>4316</v>
      </c>
      <c r="AC180" s="7" t="str">
        <f>A180&amp;COUNTIF($A$2:A180,A180)</f>
        <v>110AG872-62001</v>
      </c>
      <c r="AD180" s="7">
        <v>44713</v>
      </c>
      <c r="AE180" s="7" t="s">
        <v>3790</v>
      </c>
      <c r="AF180" s="7" t="s">
        <v>3790</v>
      </c>
      <c r="AG180" s="5">
        <v>84</v>
      </c>
      <c r="AH180" s="5">
        <v>56</v>
      </c>
      <c r="AI180" s="5">
        <v>14</v>
      </c>
      <c r="AJ180" s="5">
        <v>500</v>
      </c>
      <c r="AK180" s="5" t="str">
        <f t="shared" ca="1" si="2"/>
        <v>run complete</v>
      </c>
    </row>
    <row r="181" spans="1:37">
      <c r="A181" s="32" t="s">
        <v>2150</v>
      </c>
      <c r="B181" s="32">
        <v>6287</v>
      </c>
      <c r="C181" s="32" t="s">
        <v>3762</v>
      </c>
      <c r="E181" s="34">
        <v>1344</v>
      </c>
      <c r="G181" s="34">
        <v>2000</v>
      </c>
      <c r="H181" s="7">
        <v>44217</v>
      </c>
      <c r="I181" s="32" t="s">
        <v>3658</v>
      </c>
      <c r="L181" s="7">
        <v>2958465</v>
      </c>
      <c r="M181" s="34">
        <v>1344</v>
      </c>
      <c r="N181" s="32">
        <v>6</v>
      </c>
      <c r="O181" s="36">
        <v>4.25</v>
      </c>
      <c r="P181" s="32" t="s">
        <v>3763</v>
      </c>
      <c r="Q181" s="5" t="s">
        <v>893</v>
      </c>
      <c r="R181" s="5" t="s">
        <v>4319</v>
      </c>
      <c r="S181" s="6">
        <v>1344</v>
      </c>
      <c r="T181" s="6">
        <v>0</v>
      </c>
      <c r="U181" s="6">
        <v>0</v>
      </c>
      <c r="V181" s="7">
        <v>44217</v>
      </c>
      <c r="W181" s="7" t="s">
        <v>3790</v>
      </c>
      <c r="X181" s="7">
        <v>2958465</v>
      </c>
      <c r="Y181" s="5" t="s">
        <v>4018</v>
      </c>
      <c r="Z181" s="5" t="s">
        <v>3790</v>
      </c>
      <c r="AA181" s="6">
        <v>0</v>
      </c>
      <c r="AB181" s="7" t="s">
        <v>4320</v>
      </c>
      <c r="AC181" s="7" t="str">
        <f>A181&amp;COUNTIF($A$2:A181,A181)</f>
        <v>110ES602-62001</v>
      </c>
      <c r="AD181" s="7">
        <v>43893</v>
      </c>
      <c r="AE181" s="7" t="s">
        <v>3790</v>
      </c>
      <c r="AF181" s="7" t="s">
        <v>3790</v>
      </c>
      <c r="AG181" s="5">
        <v>140</v>
      </c>
      <c r="AH181" s="5">
        <v>14</v>
      </c>
      <c r="AI181" s="5">
        <v>14</v>
      </c>
      <c r="AJ181" s="5">
        <v>2000</v>
      </c>
      <c r="AK181" s="5" t="str">
        <f t="shared" ca="1" si="2"/>
        <v>run complete</v>
      </c>
    </row>
    <row r="182" spans="1:37">
      <c r="A182" s="32" t="s">
        <v>2187</v>
      </c>
      <c r="B182" s="32">
        <v>7020</v>
      </c>
      <c r="C182" s="32" t="s">
        <v>3888</v>
      </c>
      <c r="E182" s="34">
        <v>2585</v>
      </c>
      <c r="F182" s="32" t="s">
        <v>3881</v>
      </c>
      <c r="G182" s="34">
        <v>2200</v>
      </c>
      <c r="H182" s="7">
        <v>44784</v>
      </c>
      <c r="I182" s="32" t="s">
        <v>3658</v>
      </c>
      <c r="L182" s="7">
        <v>44968</v>
      </c>
      <c r="N182" s="32">
        <v>6</v>
      </c>
      <c r="O182" s="36">
        <v>6.51</v>
      </c>
      <c r="Q182" s="5" t="s">
        <v>3882</v>
      </c>
      <c r="R182" s="5" t="s">
        <v>4255</v>
      </c>
      <c r="S182" s="6">
        <v>2585</v>
      </c>
      <c r="T182" s="6">
        <v>2585</v>
      </c>
      <c r="U182" s="6">
        <v>0</v>
      </c>
      <c r="V182" s="7">
        <v>44784</v>
      </c>
      <c r="W182" s="7" t="s">
        <v>3790</v>
      </c>
      <c r="X182" s="7">
        <v>44968</v>
      </c>
      <c r="Y182" s="5" t="s">
        <v>4018</v>
      </c>
      <c r="Z182" s="5" t="s">
        <v>3790</v>
      </c>
      <c r="AA182" s="6">
        <v>2585</v>
      </c>
      <c r="AB182" s="7" t="s">
        <v>4323</v>
      </c>
      <c r="AC182" s="7" t="str">
        <f>A182&amp;COUNTIF($A$2:A182,A182)</f>
        <v>110GR204-62001</v>
      </c>
      <c r="AD182" s="7">
        <v>44701</v>
      </c>
      <c r="AE182" s="7" t="s">
        <v>3790</v>
      </c>
      <c r="AF182" s="7" t="s">
        <v>3790</v>
      </c>
      <c r="AG182" s="5">
        <v>84</v>
      </c>
      <c r="AH182" s="5">
        <v>14</v>
      </c>
      <c r="AI182" s="5">
        <v>14</v>
      </c>
      <c r="AJ182" s="5">
        <v>2200</v>
      </c>
      <c r="AK182" s="5" t="str">
        <f t="shared" ca="1" si="2"/>
        <v>run complete</v>
      </c>
    </row>
    <row r="183" spans="1:37">
      <c r="A183" s="32" t="s">
        <v>2201</v>
      </c>
      <c r="B183" s="32">
        <v>6974</v>
      </c>
      <c r="C183" s="32" t="s">
        <v>2202</v>
      </c>
      <c r="E183" s="34">
        <v>1972</v>
      </c>
      <c r="G183" s="34">
        <v>5000</v>
      </c>
      <c r="H183" s="7">
        <v>44805</v>
      </c>
      <c r="I183" s="32" t="s">
        <v>3658</v>
      </c>
      <c r="L183" s="7">
        <v>44985</v>
      </c>
      <c r="N183" s="32">
        <v>6</v>
      </c>
      <c r="O183" s="36">
        <v>4.99</v>
      </c>
      <c r="P183" s="32" t="s">
        <v>3767</v>
      </c>
      <c r="Q183" s="5" t="s">
        <v>893</v>
      </c>
      <c r="R183" s="5" t="s">
        <v>4328</v>
      </c>
      <c r="S183" s="6">
        <v>1972</v>
      </c>
      <c r="T183" s="6">
        <v>1972</v>
      </c>
      <c r="U183" s="6">
        <v>0</v>
      </c>
      <c r="V183" s="7">
        <v>44805</v>
      </c>
      <c r="W183" s="7" t="s">
        <v>3790</v>
      </c>
      <c r="X183" s="7">
        <v>44985</v>
      </c>
      <c r="Y183" s="5" t="s">
        <v>4018</v>
      </c>
      <c r="Z183" s="5" t="s">
        <v>3790</v>
      </c>
      <c r="AA183" s="6">
        <v>1972</v>
      </c>
      <c r="AB183" s="7" t="s">
        <v>4329</v>
      </c>
      <c r="AC183" s="7" t="str">
        <f>A183&amp;COUNTIF($A$2:A183,A183)</f>
        <v>110HA009-43001</v>
      </c>
      <c r="AD183" s="7">
        <v>44655</v>
      </c>
      <c r="AE183" s="7" t="s">
        <v>3790</v>
      </c>
      <c r="AF183" s="7" t="s">
        <v>3790</v>
      </c>
      <c r="AG183" s="5">
        <v>140</v>
      </c>
      <c r="AH183" s="5">
        <v>14</v>
      </c>
      <c r="AI183" s="5">
        <v>14</v>
      </c>
      <c r="AJ183" s="5">
        <v>5000</v>
      </c>
      <c r="AK183" s="5" t="str">
        <f t="shared" ca="1" si="2"/>
        <v>run complete</v>
      </c>
    </row>
    <row r="184" spans="1:37">
      <c r="A184" s="32" t="s">
        <v>2210</v>
      </c>
      <c r="B184" s="32" t="s">
        <v>3596</v>
      </c>
      <c r="C184" s="32" t="s">
        <v>3597</v>
      </c>
      <c r="E184" s="34" t="s">
        <v>7593</v>
      </c>
      <c r="F184" s="32" t="s">
        <v>3524</v>
      </c>
      <c r="G184" s="34" t="s">
        <v>3598</v>
      </c>
      <c r="H184" s="7" t="s">
        <v>3572</v>
      </c>
      <c r="I184" s="32" t="s">
        <v>3526</v>
      </c>
      <c r="J184" s="34" t="s">
        <v>3527</v>
      </c>
      <c r="L184" s="7" t="s">
        <v>6086</v>
      </c>
      <c r="M184" s="34" t="s">
        <v>3599</v>
      </c>
      <c r="N184" s="32" t="s">
        <v>3528</v>
      </c>
      <c r="O184" s="36" t="s">
        <v>3600</v>
      </c>
      <c r="Q184" s="5" t="s">
        <v>5428</v>
      </c>
      <c r="R184" s="5" t="s">
        <v>3596</v>
      </c>
      <c r="S184" s="6">
        <v>1490</v>
      </c>
      <c r="T184" s="6">
        <v>1380</v>
      </c>
      <c r="U184" s="6">
        <v>0</v>
      </c>
      <c r="V184" s="7">
        <v>44797</v>
      </c>
      <c r="W184" s="7" t="s">
        <v>3790</v>
      </c>
      <c r="X184" s="7">
        <v>44989</v>
      </c>
      <c r="Y184" s="5" t="s">
        <v>4018</v>
      </c>
      <c r="Z184" s="5" t="s">
        <v>3790</v>
      </c>
      <c r="AA184" s="6">
        <v>1380</v>
      </c>
      <c r="AB184" s="7" t="s">
        <v>4330</v>
      </c>
      <c r="AC184" s="7" t="str">
        <f>A184&amp;COUNTIF($A$2:A184,A184)</f>
        <v>110HLT01-50001</v>
      </c>
      <c r="AD184" s="7">
        <v>44722</v>
      </c>
      <c r="AE184" s="7" t="s">
        <v>3790</v>
      </c>
      <c r="AF184" s="7" t="s">
        <v>3790</v>
      </c>
      <c r="AG184" s="5">
        <v>84</v>
      </c>
      <c r="AH184" s="5">
        <v>56</v>
      </c>
      <c r="AI184" s="5">
        <v>14</v>
      </c>
      <c r="AJ184" s="5">
        <v>2299</v>
      </c>
      <c r="AK184" s="5" t="str">
        <f t="shared" ca="1" si="2"/>
        <v>run complete</v>
      </c>
    </row>
    <row r="185" spans="1:37">
      <c r="A185" s="32" t="s">
        <v>2213</v>
      </c>
      <c r="B185" s="32" t="s">
        <v>3596</v>
      </c>
      <c r="C185" s="32" t="s">
        <v>3597</v>
      </c>
      <c r="E185" s="34" t="s">
        <v>5246</v>
      </c>
      <c r="F185" s="32" t="s">
        <v>3524</v>
      </c>
      <c r="G185" s="34" t="s">
        <v>3601</v>
      </c>
      <c r="H185" s="7" t="s">
        <v>3572</v>
      </c>
      <c r="I185" s="32" t="s">
        <v>3526</v>
      </c>
      <c r="J185" s="34" t="s">
        <v>3527</v>
      </c>
      <c r="L185" s="7" t="s">
        <v>6086</v>
      </c>
      <c r="M185" s="34" t="s">
        <v>3602</v>
      </c>
      <c r="N185" s="32" t="s">
        <v>3528</v>
      </c>
      <c r="O185" s="36" t="s">
        <v>3600</v>
      </c>
      <c r="Q185" s="5" t="s">
        <v>5428</v>
      </c>
      <c r="R185" s="5" t="s">
        <v>3596</v>
      </c>
      <c r="S185" s="6">
        <v>1175</v>
      </c>
      <c r="T185" s="6">
        <v>1102</v>
      </c>
      <c r="U185" s="6">
        <v>0</v>
      </c>
      <c r="V185" s="7">
        <v>44797</v>
      </c>
      <c r="W185" s="7" t="s">
        <v>3790</v>
      </c>
      <c r="X185" s="7">
        <v>44989</v>
      </c>
      <c r="Y185" s="5" t="s">
        <v>4018</v>
      </c>
      <c r="Z185" s="5" t="s">
        <v>3790</v>
      </c>
      <c r="AA185" s="6">
        <v>1102</v>
      </c>
      <c r="AB185" s="7" t="s">
        <v>4331</v>
      </c>
      <c r="AC185" s="7" t="str">
        <f>A185&amp;COUNTIF($A$2:A185,A185)</f>
        <v>110HLT01-62001</v>
      </c>
      <c r="AD185" s="7">
        <v>44722</v>
      </c>
      <c r="AE185" s="7" t="s">
        <v>3790</v>
      </c>
      <c r="AF185" s="7" t="s">
        <v>3790</v>
      </c>
      <c r="AG185" s="5">
        <v>84</v>
      </c>
      <c r="AH185" s="5">
        <v>56</v>
      </c>
      <c r="AI185" s="5">
        <v>14</v>
      </c>
      <c r="AJ185" s="5">
        <v>1001</v>
      </c>
      <c r="AK185" s="5" t="str">
        <f t="shared" ca="1" si="2"/>
        <v>run complete</v>
      </c>
    </row>
    <row r="186" spans="1:37">
      <c r="A186" s="32" t="s">
        <v>2226</v>
      </c>
      <c r="B186" s="32">
        <v>7108</v>
      </c>
      <c r="C186" s="32" t="s">
        <v>7735</v>
      </c>
      <c r="E186" s="34">
        <v>1439</v>
      </c>
      <c r="G186" s="34">
        <v>3000</v>
      </c>
      <c r="H186" s="7">
        <v>44821</v>
      </c>
      <c r="I186" s="32" t="s">
        <v>3658</v>
      </c>
      <c r="N186" s="32">
        <v>6</v>
      </c>
      <c r="O186" s="36">
        <v>8.0500000000000007</v>
      </c>
      <c r="P186" s="32" t="s">
        <v>5368</v>
      </c>
      <c r="Q186" s="5" t="s">
        <v>893</v>
      </c>
      <c r="R186" s="5" t="s">
        <v>4335</v>
      </c>
      <c r="S186" s="6">
        <v>1439</v>
      </c>
      <c r="T186" s="6">
        <v>1439</v>
      </c>
      <c r="U186" s="6">
        <v>0</v>
      </c>
      <c r="V186" s="7">
        <v>44821</v>
      </c>
      <c r="W186" s="7" t="s">
        <v>3790</v>
      </c>
      <c r="X186" s="7" t="s">
        <v>3790</v>
      </c>
      <c r="Y186" s="5" t="s">
        <v>4018</v>
      </c>
      <c r="Z186" s="5" t="s">
        <v>3790</v>
      </c>
      <c r="AA186" s="6">
        <v>1439</v>
      </c>
      <c r="AB186" s="7" t="s">
        <v>4336</v>
      </c>
      <c r="AC186" s="7" t="str">
        <f>A186&amp;COUNTIF($A$2:A186,A186)</f>
        <v>110KM007-62001</v>
      </c>
      <c r="AD186" s="7">
        <v>44792</v>
      </c>
      <c r="AE186" s="7" t="s">
        <v>3790</v>
      </c>
      <c r="AF186" s="7" t="s">
        <v>3790</v>
      </c>
      <c r="AG186" s="5">
        <v>140</v>
      </c>
      <c r="AH186" s="5">
        <v>14</v>
      </c>
      <c r="AI186" s="5">
        <v>14</v>
      </c>
      <c r="AJ186" s="5">
        <v>3000</v>
      </c>
      <c r="AK186" s="5" t="str">
        <f t="shared" ca="1" si="2"/>
        <v>run complete</v>
      </c>
    </row>
    <row r="187" spans="1:37">
      <c r="A187" s="32" t="s">
        <v>2255</v>
      </c>
      <c r="B187" s="32">
        <v>7018</v>
      </c>
      <c r="C187" s="32" t="s">
        <v>3696</v>
      </c>
      <c r="E187" s="34">
        <v>3586</v>
      </c>
      <c r="I187" s="32" t="s">
        <v>3692</v>
      </c>
      <c r="N187" s="32">
        <v>3</v>
      </c>
      <c r="O187" s="36">
        <v>2.35</v>
      </c>
      <c r="Q187" s="5" t="s">
        <v>3693</v>
      </c>
      <c r="R187" s="5" t="s">
        <v>4337</v>
      </c>
      <c r="S187" s="6">
        <v>3586</v>
      </c>
      <c r="T187" s="6">
        <v>3586</v>
      </c>
      <c r="U187" s="6">
        <v>0</v>
      </c>
      <c r="V187" s="7" t="s">
        <v>3790</v>
      </c>
      <c r="W187" s="7" t="s">
        <v>3790</v>
      </c>
      <c r="X187" s="7" t="s">
        <v>3790</v>
      </c>
      <c r="Y187" s="5" t="s">
        <v>4018</v>
      </c>
      <c r="Z187" s="5" t="s">
        <v>3790</v>
      </c>
      <c r="AA187" s="6">
        <v>3586</v>
      </c>
      <c r="AB187" s="7" t="s">
        <v>4338</v>
      </c>
      <c r="AC187" s="7" t="str">
        <f>A187&amp;COUNTIF($A$2:A187,A187)</f>
        <v>110M0740-50001</v>
      </c>
      <c r="AD187" s="7">
        <v>44700</v>
      </c>
      <c r="AE187" s="7" t="s">
        <v>3790</v>
      </c>
      <c r="AF187" s="7" t="s">
        <v>3790</v>
      </c>
      <c r="AG187" s="5">
        <v>84</v>
      </c>
      <c r="AH187" s="5">
        <v>49</v>
      </c>
      <c r="AI187" s="5">
        <v>14</v>
      </c>
      <c r="AJ187" s="5">
        <v>0</v>
      </c>
      <c r="AK187" s="5" t="str">
        <f t="shared" ca="1" si="2"/>
        <v>run complete</v>
      </c>
    </row>
    <row r="188" spans="1:37">
      <c r="A188" s="32" t="s">
        <v>2259</v>
      </c>
      <c r="B188" s="32" t="s">
        <v>5284</v>
      </c>
      <c r="C188" s="32" t="s">
        <v>104</v>
      </c>
      <c r="D188" s="32" t="s">
        <v>3790</v>
      </c>
      <c r="E188" s="34" t="s">
        <v>6026</v>
      </c>
      <c r="F188" s="32" t="s">
        <v>3790</v>
      </c>
      <c r="G188" s="34" t="s">
        <v>3809</v>
      </c>
      <c r="H188" s="7" t="s">
        <v>3794</v>
      </c>
      <c r="I188" s="32" t="s">
        <v>3658</v>
      </c>
      <c r="J188" s="34" t="s">
        <v>3790</v>
      </c>
      <c r="K188" s="7" t="s">
        <v>3790</v>
      </c>
      <c r="L188" s="7" t="s">
        <v>5285</v>
      </c>
      <c r="M188" s="34" t="s">
        <v>6027</v>
      </c>
      <c r="N188" s="32" t="s">
        <v>3528</v>
      </c>
      <c r="O188" s="36">
        <v>4.32</v>
      </c>
      <c r="P188" s="32" t="s">
        <v>3790</v>
      </c>
      <c r="Q188" s="5" t="s">
        <v>3792</v>
      </c>
      <c r="R188" s="5" t="s">
        <v>5284</v>
      </c>
      <c r="S188" s="6">
        <v>4545</v>
      </c>
      <c r="T188" s="6">
        <v>4475</v>
      </c>
      <c r="U188" s="6">
        <v>0</v>
      </c>
      <c r="V188" s="7">
        <v>44865</v>
      </c>
      <c r="W188" s="7" t="s">
        <v>3790</v>
      </c>
      <c r="X188" s="7">
        <v>44992</v>
      </c>
      <c r="Y188" s="5" t="s">
        <v>4018</v>
      </c>
      <c r="Z188" s="5" t="s">
        <v>3790</v>
      </c>
      <c r="AA188" s="6">
        <v>4475</v>
      </c>
      <c r="AB188" s="7" t="s">
        <v>5340</v>
      </c>
      <c r="AC188" s="7" t="str">
        <f>A188&amp;COUNTIF($A$2:A188,A188)</f>
        <v>110M0791-50001</v>
      </c>
      <c r="AD188" s="7">
        <v>44825</v>
      </c>
      <c r="AE188" s="7" t="s">
        <v>3790</v>
      </c>
      <c r="AF188" s="7" t="s">
        <v>3790</v>
      </c>
      <c r="AG188" s="5">
        <v>70</v>
      </c>
      <c r="AH188" s="5">
        <v>7</v>
      </c>
      <c r="AI188" s="5">
        <v>14</v>
      </c>
      <c r="AJ188" s="5">
        <v>4500</v>
      </c>
      <c r="AK188" s="5" t="str">
        <f t="shared" ca="1" si="2"/>
        <v>run complete</v>
      </c>
    </row>
    <row r="189" spans="1:37">
      <c r="A189" s="32" t="s">
        <v>2260</v>
      </c>
      <c r="B189" s="32" t="s">
        <v>5284</v>
      </c>
      <c r="C189" s="32" t="s">
        <v>104</v>
      </c>
      <c r="D189" s="32" t="s">
        <v>3790</v>
      </c>
      <c r="E189" s="34" t="s">
        <v>6028</v>
      </c>
      <c r="F189" s="32" t="s">
        <v>3790</v>
      </c>
      <c r="G189" s="34" t="s">
        <v>3803</v>
      </c>
      <c r="H189" s="7" t="s">
        <v>3794</v>
      </c>
      <c r="I189" s="32" t="s">
        <v>3658</v>
      </c>
      <c r="J189" s="34" t="s">
        <v>3790</v>
      </c>
      <c r="K189" s="7" t="s">
        <v>3790</v>
      </c>
      <c r="L189" s="7" t="s">
        <v>5285</v>
      </c>
      <c r="M189" s="34" t="s">
        <v>6029</v>
      </c>
      <c r="N189" s="32" t="s">
        <v>3528</v>
      </c>
      <c r="O189" s="36">
        <v>4.32</v>
      </c>
      <c r="P189" s="32" t="s">
        <v>3790</v>
      </c>
      <c r="Q189" s="5" t="s">
        <v>3792</v>
      </c>
      <c r="R189" s="5" t="s">
        <v>5284</v>
      </c>
      <c r="S189" s="6">
        <v>1298</v>
      </c>
      <c r="T189" s="6">
        <v>1298</v>
      </c>
      <c r="U189" s="6">
        <v>0</v>
      </c>
      <c r="V189" s="7">
        <v>44865</v>
      </c>
      <c r="W189" s="7" t="s">
        <v>3790</v>
      </c>
      <c r="X189" s="7">
        <v>44992</v>
      </c>
      <c r="Y189" s="5" t="s">
        <v>4018</v>
      </c>
      <c r="Z189" s="5" t="s">
        <v>3790</v>
      </c>
      <c r="AA189" s="6">
        <v>1298</v>
      </c>
      <c r="AB189" s="7" t="s">
        <v>5341</v>
      </c>
      <c r="AC189" s="7" t="str">
        <f>A189&amp;COUNTIF($A$2:A189,A189)</f>
        <v>110M0791-62001</v>
      </c>
      <c r="AD189" s="7">
        <v>44825</v>
      </c>
      <c r="AE189" s="7" t="s">
        <v>3790</v>
      </c>
      <c r="AF189" s="7" t="s">
        <v>3790</v>
      </c>
      <c r="AG189" s="5">
        <v>70</v>
      </c>
      <c r="AH189" s="5">
        <v>7</v>
      </c>
      <c r="AI189" s="5">
        <v>14</v>
      </c>
      <c r="AJ189" s="5">
        <v>1500</v>
      </c>
      <c r="AK189" s="5" t="str">
        <f t="shared" ca="1" si="2"/>
        <v>run complete</v>
      </c>
    </row>
    <row r="190" spans="1:37">
      <c r="A190" s="32" t="s">
        <v>2304</v>
      </c>
      <c r="B190" s="32">
        <v>109995</v>
      </c>
      <c r="C190" s="32" t="s">
        <v>3992</v>
      </c>
      <c r="E190" s="34">
        <v>2000</v>
      </c>
      <c r="G190" s="34">
        <v>5000</v>
      </c>
      <c r="I190" s="32" t="s">
        <v>3692</v>
      </c>
      <c r="N190" s="32">
        <v>3</v>
      </c>
      <c r="O190" s="36">
        <v>3.59</v>
      </c>
      <c r="P190" s="32" t="s">
        <v>6359</v>
      </c>
      <c r="Q190" s="5" t="s">
        <v>3991</v>
      </c>
      <c r="R190" s="5" t="s">
        <v>4044</v>
      </c>
      <c r="S190" s="6">
        <v>2000</v>
      </c>
      <c r="T190" s="6">
        <v>2000</v>
      </c>
      <c r="U190" s="6">
        <v>0</v>
      </c>
      <c r="V190" s="7" t="s">
        <v>3790</v>
      </c>
      <c r="W190" s="7" t="s">
        <v>3790</v>
      </c>
      <c r="X190" s="7" t="s">
        <v>3790</v>
      </c>
      <c r="Y190" s="5" t="s">
        <v>4018</v>
      </c>
      <c r="Z190" s="5" t="s">
        <v>3790</v>
      </c>
      <c r="AA190" s="6">
        <v>2000</v>
      </c>
      <c r="AB190" s="7" t="s">
        <v>4339</v>
      </c>
      <c r="AC190" s="7" t="str">
        <f>A190&amp;COUNTIF($A$2:A190,A190)</f>
        <v>110M5208-50001</v>
      </c>
      <c r="AD190" s="7">
        <v>44734</v>
      </c>
      <c r="AE190" s="7" t="s">
        <v>3790</v>
      </c>
      <c r="AF190" s="7" t="s">
        <v>3790</v>
      </c>
      <c r="AG190" s="5">
        <v>70</v>
      </c>
      <c r="AH190" s="5">
        <v>14</v>
      </c>
      <c r="AI190" s="5">
        <v>14</v>
      </c>
      <c r="AJ190" s="5">
        <v>5000</v>
      </c>
      <c r="AK190" s="5" t="str">
        <f t="shared" ca="1" si="2"/>
        <v>run complete</v>
      </c>
    </row>
    <row r="191" spans="1:37">
      <c r="A191" s="32" t="s">
        <v>2306</v>
      </c>
      <c r="B191" s="32">
        <v>110772</v>
      </c>
      <c r="C191" s="32" t="s">
        <v>3872</v>
      </c>
      <c r="E191" s="34">
        <v>2620</v>
      </c>
      <c r="G191" s="34">
        <v>5000</v>
      </c>
      <c r="I191" s="32" t="s">
        <v>3692</v>
      </c>
      <c r="L191" s="7">
        <v>44944</v>
      </c>
      <c r="O191" s="36">
        <v>4.1207000000000003</v>
      </c>
      <c r="P191" s="32" t="s">
        <v>6168</v>
      </c>
      <c r="Q191" s="5" t="s">
        <v>3873</v>
      </c>
      <c r="R191" s="5" t="s">
        <v>5370</v>
      </c>
      <c r="S191" s="6">
        <v>2620</v>
      </c>
      <c r="T191" s="6">
        <v>2620</v>
      </c>
      <c r="U191" s="6">
        <v>0</v>
      </c>
      <c r="V191" s="7" t="s">
        <v>3790</v>
      </c>
      <c r="W191" s="7" t="s">
        <v>3790</v>
      </c>
      <c r="X191" s="7">
        <v>44944</v>
      </c>
      <c r="Y191" s="5" t="s">
        <v>4018</v>
      </c>
      <c r="Z191" s="5" t="s">
        <v>5553</v>
      </c>
      <c r="AA191" s="6">
        <v>2620</v>
      </c>
      <c r="AB191" s="7" t="s">
        <v>5400</v>
      </c>
      <c r="AC191" s="7" t="str">
        <f>A191&amp;COUNTIF($A$2:A191,A191)</f>
        <v>110M5211-62001</v>
      </c>
      <c r="AD191" s="7">
        <v>44833</v>
      </c>
      <c r="AE191" s="7" t="s">
        <v>3790</v>
      </c>
      <c r="AF191" s="7" t="s">
        <v>3790</v>
      </c>
      <c r="AG191" s="5">
        <v>91</v>
      </c>
      <c r="AH191" s="5">
        <v>0</v>
      </c>
      <c r="AI191" s="5">
        <v>14</v>
      </c>
      <c r="AJ191" s="5">
        <v>5000</v>
      </c>
      <c r="AK191" s="5" t="str">
        <f t="shared" ca="1" si="2"/>
        <v>run complete</v>
      </c>
    </row>
    <row r="192" spans="1:37">
      <c r="A192" s="32" t="s">
        <v>2318</v>
      </c>
      <c r="B192" s="32">
        <v>7034</v>
      </c>
      <c r="C192" s="32" t="s">
        <v>3703</v>
      </c>
      <c r="E192" s="34">
        <v>1759</v>
      </c>
      <c r="G192" s="34">
        <v>2200</v>
      </c>
      <c r="H192" s="7">
        <v>44848</v>
      </c>
      <c r="I192" s="32" t="s">
        <v>3692</v>
      </c>
      <c r="L192" s="7">
        <v>45141</v>
      </c>
      <c r="O192" s="36">
        <v>6.75</v>
      </c>
      <c r="P192" s="32" t="s">
        <v>3701</v>
      </c>
      <c r="Q192" s="5" t="s">
        <v>3702</v>
      </c>
      <c r="R192" s="5" t="s">
        <v>4196</v>
      </c>
      <c r="S192" s="6">
        <v>1759</v>
      </c>
      <c r="T192" s="6">
        <v>1759</v>
      </c>
      <c r="U192" s="6">
        <v>0</v>
      </c>
      <c r="V192" s="7">
        <v>44848</v>
      </c>
      <c r="W192" s="7" t="s">
        <v>3790</v>
      </c>
      <c r="X192" s="7">
        <v>45141</v>
      </c>
      <c r="Y192" s="5" t="s">
        <v>4018</v>
      </c>
      <c r="Z192" s="5" t="s">
        <v>3790</v>
      </c>
      <c r="AA192" s="6">
        <v>1759</v>
      </c>
      <c r="AB192" s="7" t="s">
        <v>4340</v>
      </c>
      <c r="AC192" s="7" t="str">
        <f>A192&amp;COUNTIF($A$2:A192,A192)</f>
        <v>110MG093-62001</v>
      </c>
      <c r="AD192" s="7">
        <v>44718</v>
      </c>
      <c r="AE192" s="7" t="s">
        <v>3790</v>
      </c>
      <c r="AF192" s="7" t="s">
        <v>3790</v>
      </c>
      <c r="AG192" s="5">
        <v>98</v>
      </c>
      <c r="AH192" s="5">
        <v>49</v>
      </c>
      <c r="AI192" s="5">
        <v>14</v>
      </c>
      <c r="AJ192" s="5">
        <v>2200</v>
      </c>
      <c r="AK192" s="5" t="str">
        <f t="shared" ca="1" si="2"/>
        <v>run complete</v>
      </c>
    </row>
    <row r="193" spans="1:37">
      <c r="A193" s="32" t="s">
        <v>2348</v>
      </c>
      <c r="B193" s="32">
        <v>6972</v>
      </c>
      <c r="C193" s="32" t="s">
        <v>3666</v>
      </c>
      <c r="D193" s="32" t="s">
        <v>3663</v>
      </c>
      <c r="E193" s="34">
        <v>2083</v>
      </c>
      <c r="F193" s="32" t="s">
        <v>3661</v>
      </c>
      <c r="G193" s="34">
        <v>2500</v>
      </c>
      <c r="H193" s="7">
        <v>44805</v>
      </c>
      <c r="I193" s="32" t="s">
        <v>3658</v>
      </c>
      <c r="L193" s="7">
        <v>45041</v>
      </c>
      <c r="N193" s="32">
        <v>3</v>
      </c>
      <c r="O193" s="36">
        <v>7.55</v>
      </c>
      <c r="Q193" s="5" t="s">
        <v>3662</v>
      </c>
      <c r="R193" s="5" t="s">
        <v>4280</v>
      </c>
      <c r="S193" s="6">
        <v>2083</v>
      </c>
      <c r="T193" s="6">
        <v>2083</v>
      </c>
      <c r="U193" s="6">
        <v>0</v>
      </c>
      <c r="V193" s="7">
        <v>44805</v>
      </c>
      <c r="W193" s="7" t="s">
        <v>3790</v>
      </c>
      <c r="X193" s="7">
        <v>45041</v>
      </c>
      <c r="Y193" s="5" t="s">
        <v>4018</v>
      </c>
      <c r="Z193" s="5" t="s">
        <v>3790</v>
      </c>
      <c r="AA193" s="6">
        <v>2083</v>
      </c>
      <c r="AB193" s="7" t="s">
        <v>4341</v>
      </c>
      <c r="AC193" s="7" t="str">
        <f>A193&amp;COUNTIF($A$2:A193,A193)</f>
        <v>110MR206-62001</v>
      </c>
      <c r="AD193" s="7">
        <v>44655</v>
      </c>
      <c r="AE193" s="7" t="s">
        <v>3790</v>
      </c>
      <c r="AF193" s="7" t="s">
        <v>3790</v>
      </c>
      <c r="AG193" s="5">
        <v>154</v>
      </c>
      <c r="AH193" s="5">
        <v>70</v>
      </c>
      <c r="AI193" s="5">
        <v>14</v>
      </c>
      <c r="AJ193" s="5">
        <v>2500</v>
      </c>
      <c r="AK193" s="5" t="str">
        <f t="shared" ca="1" si="2"/>
        <v>run complete</v>
      </c>
    </row>
    <row r="194" spans="1:37">
      <c r="A194" s="32" t="s">
        <v>2386</v>
      </c>
      <c r="B194" s="32">
        <v>6336</v>
      </c>
      <c r="C194" s="32" t="s">
        <v>3772</v>
      </c>
      <c r="E194" s="34">
        <v>993</v>
      </c>
      <c r="G194" s="34">
        <v>3000</v>
      </c>
      <c r="H194" s="7">
        <v>44128</v>
      </c>
      <c r="I194" s="32" t="s">
        <v>3658</v>
      </c>
      <c r="L194" s="7">
        <v>2958465</v>
      </c>
      <c r="M194" s="34">
        <v>993</v>
      </c>
      <c r="N194" s="32">
        <v>6</v>
      </c>
      <c r="O194" s="36">
        <v>4.25</v>
      </c>
      <c r="P194" s="32" t="s">
        <v>3773</v>
      </c>
      <c r="Q194" s="5" t="s">
        <v>893</v>
      </c>
      <c r="R194" s="5" t="s">
        <v>4345</v>
      </c>
      <c r="S194" s="6">
        <v>993</v>
      </c>
      <c r="T194" s="6">
        <v>0</v>
      </c>
      <c r="U194" s="6">
        <v>0</v>
      </c>
      <c r="V194" s="7">
        <v>44128</v>
      </c>
      <c r="W194" s="7" t="s">
        <v>3790</v>
      </c>
      <c r="X194" s="7">
        <v>2958465</v>
      </c>
      <c r="Y194" s="5" t="s">
        <v>4018</v>
      </c>
      <c r="Z194" s="5" t="s">
        <v>3790</v>
      </c>
      <c r="AA194" s="6">
        <v>0</v>
      </c>
      <c r="AB194" s="7" t="s">
        <v>4346</v>
      </c>
      <c r="AC194" s="7" t="str">
        <f>A194&amp;COUNTIF($A$2:A194,A194)</f>
        <v>110MR604-62001</v>
      </c>
      <c r="AD194" s="7">
        <v>43980</v>
      </c>
      <c r="AE194" s="7" t="s">
        <v>3790</v>
      </c>
      <c r="AF194" s="7" t="s">
        <v>3790</v>
      </c>
      <c r="AG194" s="5">
        <v>140</v>
      </c>
      <c r="AH194" s="5">
        <v>14</v>
      </c>
      <c r="AI194" s="5">
        <v>14</v>
      </c>
      <c r="AJ194" s="5">
        <v>3000</v>
      </c>
      <c r="AK194" s="5" t="str">
        <f t="shared" ref="AK194:AK257" ca="1" si="3">IFERROR(IF(OR(U194&lt;&gt;0,W194&lt;&gt;"",Y194="releasable",I194&lt;&gt;"",SUM(S194:T194)&gt;0),"run complete",IF(AND(Y194="not releasable",I194="",U194=0,V194&lt;TODAY()),"Past Due","within range")),"missing supplier data")</f>
        <v>run complete</v>
      </c>
    </row>
    <row r="195" spans="1:37">
      <c r="A195" s="32" t="s">
        <v>2391</v>
      </c>
      <c r="B195" s="32">
        <v>7075</v>
      </c>
      <c r="C195" s="32" t="s">
        <v>3774</v>
      </c>
      <c r="E195" s="34">
        <v>2893</v>
      </c>
      <c r="G195" s="34">
        <v>2500</v>
      </c>
      <c r="H195" s="7">
        <v>44895</v>
      </c>
      <c r="I195" s="32" t="s">
        <v>3658</v>
      </c>
      <c r="L195" s="7">
        <v>45075</v>
      </c>
      <c r="N195" s="32">
        <v>6</v>
      </c>
      <c r="O195" s="36">
        <v>4.57</v>
      </c>
      <c r="P195" s="32" t="s">
        <v>7739</v>
      </c>
      <c r="Q195" s="5" t="s">
        <v>893</v>
      </c>
      <c r="R195" s="5" t="s">
        <v>4063</v>
      </c>
      <c r="S195" s="6">
        <v>2893</v>
      </c>
      <c r="T195" s="6">
        <v>2893</v>
      </c>
      <c r="U195" s="6">
        <v>0</v>
      </c>
      <c r="V195" s="7">
        <v>44895</v>
      </c>
      <c r="W195" s="7" t="s">
        <v>3790</v>
      </c>
      <c r="X195" s="7">
        <v>45075</v>
      </c>
      <c r="Y195" s="5" t="s">
        <v>4018</v>
      </c>
      <c r="Z195" s="5" t="s">
        <v>3790</v>
      </c>
      <c r="AA195" s="6">
        <v>2893</v>
      </c>
      <c r="AB195" s="7" t="s">
        <v>4347</v>
      </c>
      <c r="AC195" s="7" t="str">
        <f>A195&amp;COUNTIF($A$2:A195,A195)</f>
        <v>110MR605-62001</v>
      </c>
      <c r="AD195" s="7">
        <v>44750</v>
      </c>
      <c r="AE195" s="7" t="s">
        <v>3790</v>
      </c>
      <c r="AF195" s="7" t="s">
        <v>3790</v>
      </c>
      <c r="AG195" s="5">
        <v>140</v>
      </c>
      <c r="AH195" s="5">
        <v>14</v>
      </c>
      <c r="AI195" s="5">
        <v>14</v>
      </c>
      <c r="AJ195" s="5">
        <v>2500</v>
      </c>
      <c r="AK195" s="5" t="str">
        <f t="shared" ca="1" si="3"/>
        <v>run complete</v>
      </c>
    </row>
    <row r="196" spans="1:37">
      <c r="A196" s="32" t="s">
        <v>2415</v>
      </c>
      <c r="B196" s="32">
        <v>7038</v>
      </c>
      <c r="C196" s="32" t="s">
        <v>2416</v>
      </c>
      <c r="E196" s="34">
        <v>4085</v>
      </c>
      <c r="G196" s="34">
        <v>4000</v>
      </c>
      <c r="H196" s="7">
        <v>44881</v>
      </c>
      <c r="I196" s="32" t="s">
        <v>3658</v>
      </c>
      <c r="L196" s="7">
        <v>45062</v>
      </c>
      <c r="N196" s="32">
        <v>6</v>
      </c>
      <c r="O196" s="36">
        <v>4.38</v>
      </c>
      <c r="P196" s="32" t="s">
        <v>6361</v>
      </c>
      <c r="Q196" s="5" t="s">
        <v>893</v>
      </c>
      <c r="R196" s="5" t="s">
        <v>4352</v>
      </c>
      <c r="S196" s="6">
        <v>4085</v>
      </c>
      <c r="T196" s="6">
        <v>4085</v>
      </c>
      <c r="U196" s="6">
        <v>0</v>
      </c>
      <c r="V196" s="7">
        <v>44881</v>
      </c>
      <c r="W196" s="7" t="s">
        <v>3790</v>
      </c>
      <c r="X196" s="7">
        <v>45062</v>
      </c>
      <c r="Y196" s="5" t="s">
        <v>4018</v>
      </c>
      <c r="Z196" s="5" t="s">
        <v>3790</v>
      </c>
      <c r="AA196" s="6">
        <v>4085</v>
      </c>
      <c r="AB196" s="7" t="s">
        <v>4353</v>
      </c>
      <c r="AC196" s="7" t="str">
        <f>A196&amp;COUNTIF($A$2:A196,A196)</f>
        <v>110MW580-50001</v>
      </c>
      <c r="AD196" s="7">
        <v>44720</v>
      </c>
      <c r="AE196" s="7" t="s">
        <v>3790</v>
      </c>
      <c r="AF196" s="7" t="s">
        <v>3790</v>
      </c>
      <c r="AG196" s="5">
        <v>140</v>
      </c>
      <c r="AH196" s="5">
        <v>14</v>
      </c>
      <c r="AI196" s="5">
        <v>14</v>
      </c>
      <c r="AJ196" s="5">
        <v>4000</v>
      </c>
      <c r="AK196" s="5" t="str">
        <f t="shared" ca="1" si="3"/>
        <v>run complete</v>
      </c>
    </row>
    <row r="197" spans="1:37">
      <c r="A197" s="32" t="s">
        <v>2472</v>
      </c>
      <c r="B197" s="32">
        <v>7030</v>
      </c>
      <c r="C197" s="32" t="s">
        <v>3667</v>
      </c>
      <c r="D197" s="32" t="s">
        <v>3663</v>
      </c>
      <c r="E197" s="34">
        <v>2568</v>
      </c>
      <c r="F197" s="32" t="s">
        <v>3661</v>
      </c>
      <c r="G197" s="34">
        <v>2500</v>
      </c>
      <c r="H197" s="7">
        <v>44839</v>
      </c>
      <c r="I197" s="32" t="s">
        <v>3658</v>
      </c>
      <c r="L197" s="7">
        <v>45088</v>
      </c>
      <c r="M197" s="34">
        <v>68</v>
      </c>
      <c r="N197" s="32">
        <v>3</v>
      </c>
      <c r="O197" s="36">
        <v>5.88</v>
      </c>
      <c r="Q197" s="5" t="s">
        <v>3662</v>
      </c>
      <c r="R197" s="5" t="s">
        <v>4165</v>
      </c>
      <c r="S197" s="6">
        <v>2568</v>
      </c>
      <c r="T197" s="6">
        <v>2500</v>
      </c>
      <c r="U197" s="6">
        <v>0</v>
      </c>
      <c r="V197" s="7">
        <v>44839</v>
      </c>
      <c r="W197" s="7" t="s">
        <v>3790</v>
      </c>
      <c r="X197" s="7">
        <v>45088</v>
      </c>
      <c r="Y197" s="5" t="s">
        <v>4018</v>
      </c>
      <c r="Z197" s="5" t="s">
        <v>3790</v>
      </c>
      <c r="AA197" s="6">
        <v>2500</v>
      </c>
      <c r="AB197" s="7" t="s">
        <v>4357</v>
      </c>
      <c r="AC197" s="7" t="str">
        <f>A197&amp;COUNTIF($A$2:A197,A197)</f>
        <v>110RK202-62001</v>
      </c>
      <c r="AD197" s="7">
        <v>44713</v>
      </c>
      <c r="AE197" s="7" t="s">
        <v>3790</v>
      </c>
      <c r="AF197" s="7" t="s">
        <v>3790</v>
      </c>
      <c r="AG197" s="5">
        <v>154</v>
      </c>
      <c r="AH197" s="5">
        <v>70</v>
      </c>
      <c r="AI197" s="5">
        <v>14</v>
      </c>
      <c r="AJ197" s="5">
        <v>2500</v>
      </c>
      <c r="AK197" s="5" t="str">
        <f t="shared" ca="1" si="3"/>
        <v>run complete</v>
      </c>
    </row>
    <row r="198" spans="1:37">
      <c r="A198" s="32" t="s">
        <v>2527</v>
      </c>
      <c r="B198" s="32">
        <v>7169</v>
      </c>
      <c r="C198" s="32" t="s">
        <v>3608</v>
      </c>
      <c r="E198" s="34" t="s">
        <v>5364</v>
      </c>
      <c r="F198" s="32" t="s">
        <v>5502</v>
      </c>
      <c r="G198" s="34" t="s">
        <v>3582</v>
      </c>
      <c r="H198" s="7" t="s">
        <v>3609</v>
      </c>
      <c r="I198" s="32" t="s">
        <v>3526</v>
      </c>
      <c r="J198" s="34" t="s">
        <v>3527</v>
      </c>
      <c r="M198" s="34" t="s">
        <v>5248</v>
      </c>
      <c r="N198" s="32" t="s">
        <v>3528</v>
      </c>
      <c r="O198" s="36" t="s">
        <v>3606</v>
      </c>
      <c r="Q198" s="5" t="s">
        <v>5429</v>
      </c>
      <c r="R198" s="5" t="s">
        <v>6034</v>
      </c>
      <c r="S198" s="6">
        <v>2114</v>
      </c>
      <c r="T198" s="6">
        <v>500</v>
      </c>
      <c r="U198" s="6">
        <v>0</v>
      </c>
      <c r="V198" s="7">
        <v>44816</v>
      </c>
      <c r="W198" s="7" t="s">
        <v>3790</v>
      </c>
      <c r="X198" s="7" t="s">
        <v>3790</v>
      </c>
      <c r="Y198" s="5" t="s">
        <v>4018</v>
      </c>
      <c r="Z198" s="5" t="s">
        <v>3790</v>
      </c>
      <c r="AA198" s="6">
        <v>500</v>
      </c>
      <c r="AB198" s="7" t="s">
        <v>6035</v>
      </c>
      <c r="AC198" s="7" t="str">
        <f>A198&amp;COUNTIF($A$2:A198,A198)</f>
        <v>110S3070-50001</v>
      </c>
      <c r="AD198" s="7">
        <v>44844</v>
      </c>
      <c r="AE198" s="7" t="s">
        <v>3790</v>
      </c>
      <c r="AF198" s="7" t="s">
        <v>3790</v>
      </c>
      <c r="AG198" s="5">
        <v>91</v>
      </c>
      <c r="AH198" s="5">
        <v>56</v>
      </c>
      <c r="AI198" s="5">
        <v>14</v>
      </c>
      <c r="AJ198" s="5">
        <v>500</v>
      </c>
      <c r="AK198" s="5" t="str">
        <f t="shared" ca="1" si="3"/>
        <v>run complete</v>
      </c>
    </row>
    <row r="199" spans="1:37">
      <c r="A199" s="32" t="s">
        <v>2529</v>
      </c>
      <c r="B199" s="32">
        <v>7169</v>
      </c>
      <c r="C199" s="32" t="s">
        <v>3608</v>
      </c>
      <c r="E199" s="34" t="s">
        <v>5365</v>
      </c>
      <c r="F199" s="32" t="s">
        <v>5502</v>
      </c>
      <c r="G199" s="34" t="s">
        <v>3577</v>
      </c>
      <c r="H199" s="7" t="s">
        <v>3609</v>
      </c>
      <c r="I199" s="32" t="s">
        <v>3526</v>
      </c>
      <c r="J199" s="34" t="s">
        <v>3527</v>
      </c>
      <c r="M199" s="34" t="s">
        <v>3619</v>
      </c>
      <c r="N199" s="32" t="s">
        <v>3528</v>
      </c>
      <c r="O199" s="36" t="s">
        <v>3606</v>
      </c>
      <c r="Q199" s="5" t="s">
        <v>5429</v>
      </c>
      <c r="R199" s="5" t="s">
        <v>6034</v>
      </c>
      <c r="S199" s="6">
        <v>1709</v>
      </c>
      <c r="T199" s="6">
        <v>1700</v>
      </c>
      <c r="U199" s="6">
        <v>0</v>
      </c>
      <c r="V199" s="7">
        <v>44816</v>
      </c>
      <c r="W199" s="7" t="s">
        <v>3790</v>
      </c>
      <c r="X199" s="7" t="s">
        <v>3790</v>
      </c>
      <c r="Y199" s="5" t="s">
        <v>4018</v>
      </c>
      <c r="Z199" s="5" t="s">
        <v>3790</v>
      </c>
      <c r="AA199" s="6">
        <v>1700</v>
      </c>
      <c r="AB199" s="7" t="s">
        <v>6036</v>
      </c>
      <c r="AC199" s="7" t="str">
        <f>A199&amp;COUNTIF($A$2:A199,A199)</f>
        <v>110S3070-62001</v>
      </c>
      <c r="AD199" s="7">
        <v>44844</v>
      </c>
      <c r="AE199" s="7" t="s">
        <v>3790</v>
      </c>
      <c r="AF199" s="7" t="s">
        <v>3790</v>
      </c>
      <c r="AG199" s="5">
        <v>91</v>
      </c>
      <c r="AH199" s="5">
        <v>56</v>
      </c>
      <c r="AI199" s="5">
        <v>14</v>
      </c>
      <c r="AJ199" s="5">
        <v>1700</v>
      </c>
      <c r="AK199" s="5" t="str">
        <f t="shared" ca="1" si="3"/>
        <v>run complete</v>
      </c>
    </row>
    <row r="200" spans="1:37">
      <c r="A200" s="32" t="s">
        <v>2531</v>
      </c>
      <c r="B200" s="32">
        <v>7170</v>
      </c>
      <c r="C200" s="32" t="s">
        <v>3610</v>
      </c>
      <c r="E200" s="34" t="s">
        <v>6362</v>
      </c>
      <c r="F200" s="32" t="s">
        <v>5502</v>
      </c>
      <c r="G200" s="34" t="s">
        <v>3582</v>
      </c>
      <c r="H200" s="7" t="s">
        <v>3611</v>
      </c>
      <c r="I200" s="32" t="s">
        <v>3526</v>
      </c>
      <c r="J200" s="34" t="s">
        <v>3527</v>
      </c>
      <c r="M200" s="34" t="s">
        <v>3612</v>
      </c>
      <c r="N200" s="32" t="s">
        <v>3528</v>
      </c>
      <c r="O200" s="36" t="s">
        <v>3613</v>
      </c>
      <c r="Q200" s="5" t="s">
        <v>5429</v>
      </c>
      <c r="R200" s="5" t="s">
        <v>6037</v>
      </c>
      <c r="S200" s="6">
        <v>994</v>
      </c>
      <c r="T200" s="6">
        <v>6</v>
      </c>
      <c r="U200" s="6">
        <v>0</v>
      </c>
      <c r="V200" s="7">
        <v>44798</v>
      </c>
      <c r="W200" s="7" t="s">
        <v>3790</v>
      </c>
      <c r="X200" s="7" t="s">
        <v>3790</v>
      </c>
      <c r="Y200" s="5" t="s">
        <v>4018</v>
      </c>
      <c r="Z200" s="5" t="s">
        <v>3790</v>
      </c>
      <c r="AA200" s="6">
        <v>6</v>
      </c>
      <c r="AB200" s="7" t="s">
        <v>6038</v>
      </c>
      <c r="AC200" s="7" t="str">
        <f>A200&amp;COUNTIF($A$2:A200,A200)</f>
        <v>110S4025-50001</v>
      </c>
      <c r="AD200" s="7">
        <v>44844</v>
      </c>
      <c r="AE200" s="7" t="s">
        <v>3790</v>
      </c>
      <c r="AF200" s="7" t="s">
        <v>3790</v>
      </c>
      <c r="AG200" s="5">
        <v>91</v>
      </c>
      <c r="AH200" s="5">
        <v>56</v>
      </c>
      <c r="AI200" s="5">
        <v>14</v>
      </c>
      <c r="AJ200" s="5">
        <v>500</v>
      </c>
      <c r="AK200" s="5" t="str">
        <f t="shared" ca="1" si="3"/>
        <v>run complete</v>
      </c>
    </row>
    <row r="201" spans="1:37">
      <c r="A201" s="32" t="s">
        <v>2533</v>
      </c>
      <c r="B201" s="32">
        <v>7170</v>
      </c>
      <c r="C201" s="32" t="s">
        <v>3610</v>
      </c>
      <c r="E201" s="34" t="s">
        <v>5249</v>
      </c>
      <c r="F201" s="32" t="s">
        <v>5502</v>
      </c>
      <c r="G201" s="34" t="s">
        <v>3577</v>
      </c>
      <c r="H201" s="7" t="s">
        <v>3611</v>
      </c>
      <c r="I201" s="32" t="s">
        <v>3526</v>
      </c>
      <c r="J201" s="34" t="s">
        <v>3527</v>
      </c>
      <c r="M201" s="34" t="s">
        <v>3614</v>
      </c>
      <c r="N201" s="32" t="s">
        <v>3528</v>
      </c>
      <c r="O201" s="36" t="s">
        <v>3613</v>
      </c>
      <c r="Q201" s="5" t="s">
        <v>5429</v>
      </c>
      <c r="R201" s="5" t="s">
        <v>6037</v>
      </c>
      <c r="S201" s="6">
        <v>2538</v>
      </c>
      <c r="T201" s="6">
        <v>1700</v>
      </c>
      <c r="U201" s="6">
        <v>0</v>
      </c>
      <c r="V201" s="7">
        <v>44798</v>
      </c>
      <c r="W201" s="7" t="s">
        <v>3790</v>
      </c>
      <c r="X201" s="7" t="s">
        <v>3790</v>
      </c>
      <c r="Y201" s="5" t="s">
        <v>4018</v>
      </c>
      <c r="Z201" s="5" t="s">
        <v>3790</v>
      </c>
      <c r="AA201" s="6">
        <v>1700</v>
      </c>
      <c r="AB201" s="7" t="s">
        <v>6039</v>
      </c>
      <c r="AC201" s="7" t="str">
        <f>A201&amp;COUNTIF($A$2:A201,A201)</f>
        <v>110S4025-62001</v>
      </c>
      <c r="AD201" s="7">
        <v>44844</v>
      </c>
      <c r="AE201" s="7" t="s">
        <v>3790</v>
      </c>
      <c r="AF201" s="7" t="s">
        <v>3790</v>
      </c>
      <c r="AG201" s="5">
        <v>91</v>
      </c>
      <c r="AH201" s="5">
        <v>56</v>
      </c>
      <c r="AI201" s="5">
        <v>14</v>
      </c>
      <c r="AJ201" s="5">
        <v>1700</v>
      </c>
      <c r="AK201" s="5" t="str">
        <f t="shared" ca="1" si="3"/>
        <v>run complete</v>
      </c>
    </row>
    <row r="202" spans="1:37">
      <c r="A202" s="32" t="s">
        <v>2545</v>
      </c>
      <c r="B202" s="32" t="s">
        <v>3810</v>
      </c>
      <c r="C202" s="32" t="s">
        <v>2546</v>
      </c>
      <c r="D202" s="32" t="s">
        <v>3790</v>
      </c>
      <c r="E202" s="34" t="s">
        <v>5570</v>
      </c>
      <c r="F202" s="32" t="s">
        <v>3790</v>
      </c>
      <c r="G202" s="34" t="s">
        <v>3803</v>
      </c>
      <c r="H202" s="7" t="s">
        <v>3812</v>
      </c>
      <c r="I202" s="32" t="s">
        <v>3658</v>
      </c>
      <c r="J202" s="34" t="s">
        <v>3790</v>
      </c>
      <c r="K202" s="7" t="s">
        <v>3790</v>
      </c>
      <c r="L202" s="7" t="s">
        <v>3813</v>
      </c>
      <c r="M202" s="34" t="s">
        <v>5531</v>
      </c>
      <c r="N202" s="32" t="s">
        <v>3528</v>
      </c>
      <c r="O202" s="36">
        <v>4.25</v>
      </c>
      <c r="P202" s="32" t="s">
        <v>3790</v>
      </c>
      <c r="Q202" s="5" t="s">
        <v>3792</v>
      </c>
      <c r="R202" s="5" t="s">
        <v>3810</v>
      </c>
      <c r="S202" s="6">
        <v>1441</v>
      </c>
      <c r="T202" s="6">
        <v>1422</v>
      </c>
      <c r="U202" s="6">
        <v>0</v>
      </c>
      <c r="V202" s="7">
        <v>44837</v>
      </c>
      <c r="W202" s="7" t="s">
        <v>3790</v>
      </c>
      <c r="X202" s="7">
        <v>44970</v>
      </c>
      <c r="Y202" s="5" t="s">
        <v>4018</v>
      </c>
      <c r="Z202" s="5" t="s">
        <v>3790</v>
      </c>
      <c r="AA202" s="6">
        <v>1422</v>
      </c>
      <c r="AB202" s="7" t="s">
        <v>4361</v>
      </c>
      <c r="AC202" s="7" t="str">
        <f>A202&amp;COUNTIF($A$2:A202,A202)</f>
        <v>110S6037-50001</v>
      </c>
      <c r="AD202" s="7">
        <v>44776</v>
      </c>
      <c r="AE202" s="7" t="s">
        <v>3790</v>
      </c>
      <c r="AF202" s="7" t="s">
        <v>3790</v>
      </c>
      <c r="AG202" s="5">
        <v>70</v>
      </c>
      <c r="AH202" s="5">
        <v>7</v>
      </c>
      <c r="AI202" s="5">
        <v>14</v>
      </c>
      <c r="AJ202" s="5">
        <v>1500</v>
      </c>
      <c r="AK202" s="5" t="str">
        <f t="shared" ca="1" si="3"/>
        <v>run complete</v>
      </c>
    </row>
    <row r="203" spans="1:37">
      <c r="A203" s="32" t="s">
        <v>2548</v>
      </c>
      <c r="B203" s="32" t="s">
        <v>3810</v>
      </c>
      <c r="C203" s="32" t="s">
        <v>2546</v>
      </c>
      <c r="D203" s="32" t="s">
        <v>3790</v>
      </c>
      <c r="E203" s="34" t="s">
        <v>6365</v>
      </c>
      <c r="F203" s="32" t="s">
        <v>3790</v>
      </c>
      <c r="G203" s="34" t="s">
        <v>3574</v>
      </c>
      <c r="H203" s="7" t="s">
        <v>3812</v>
      </c>
      <c r="I203" s="32" t="s">
        <v>3658</v>
      </c>
      <c r="J203" s="34" t="s">
        <v>3790</v>
      </c>
      <c r="K203" s="7" t="s">
        <v>3790</v>
      </c>
      <c r="L203" s="7" t="s">
        <v>3813</v>
      </c>
      <c r="M203" s="34" t="s">
        <v>5532</v>
      </c>
      <c r="N203" s="32" t="s">
        <v>3528</v>
      </c>
      <c r="O203" s="36">
        <v>4.25</v>
      </c>
      <c r="P203" s="32" t="s">
        <v>3790</v>
      </c>
      <c r="Q203" s="5" t="s">
        <v>3792</v>
      </c>
      <c r="R203" s="5" t="s">
        <v>3810</v>
      </c>
      <c r="S203" s="6">
        <v>1603</v>
      </c>
      <c r="T203" s="6">
        <v>1603</v>
      </c>
      <c r="U203" s="6">
        <v>0</v>
      </c>
      <c r="V203" s="7">
        <v>44837</v>
      </c>
      <c r="W203" s="7" t="s">
        <v>3790</v>
      </c>
      <c r="X203" s="7">
        <v>44970</v>
      </c>
      <c r="Y203" s="5" t="s">
        <v>4018</v>
      </c>
      <c r="Z203" s="5" t="s">
        <v>3790</v>
      </c>
      <c r="AA203" s="6">
        <v>1603</v>
      </c>
      <c r="AB203" s="7" t="s">
        <v>4362</v>
      </c>
      <c r="AC203" s="7" t="str">
        <f>A203&amp;COUNTIF($A$2:A203,A203)</f>
        <v>110S6037-62001</v>
      </c>
      <c r="AD203" s="7">
        <v>44776</v>
      </c>
      <c r="AE203" s="7" t="s">
        <v>3790</v>
      </c>
      <c r="AF203" s="7" t="s">
        <v>3790</v>
      </c>
      <c r="AG203" s="5">
        <v>70</v>
      </c>
      <c r="AH203" s="5">
        <v>7</v>
      </c>
      <c r="AI203" s="5">
        <v>14</v>
      </c>
      <c r="AJ203" s="5">
        <v>2500</v>
      </c>
      <c r="AK203" s="5" t="str">
        <f t="shared" ca="1" si="3"/>
        <v>run complete</v>
      </c>
    </row>
    <row r="204" spans="1:37">
      <c r="A204" s="32" t="s">
        <v>2550</v>
      </c>
      <c r="B204" s="32" t="s">
        <v>3854</v>
      </c>
      <c r="C204" s="32" t="s">
        <v>2551</v>
      </c>
      <c r="D204" s="32" t="s">
        <v>3790</v>
      </c>
      <c r="E204" s="34" t="s">
        <v>7529</v>
      </c>
      <c r="F204" s="32" t="s">
        <v>3790</v>
      </c>
      <c r="G204" s="34" t="s">
        <v>3855</v>
      </c>
      <c r="H204" s="7" t="s">
        <v>3592</v>
      </c>
      <c r="I204" s="32" t="s">
        <v>3658</v>
      </c>
      <c r="J204" s="34" t="s">
        <v>3790</v>
      </c>
      <c r="K204" s="7" t="s">
        <v>3790</v>
      </c>
      <c r="L204" s="7" t="s">
        <v>3856</v>
      </c>
      <c r="M204" s="34" t="s">
        <v>6040</v>
      </c>
      <c r="N204" s="32" t="s">
        <v>3528</v>
      </c>
      <c r="O204" s="36">
        <v>3.29</v>
      </c>
      <c r="P204" s="32" t="s">
        <v>3790</v>
      </c>
      <c r="Q204" s="5" t="s">
        <v>3792</v>
      </c>
      <c r="R204" s="5" t="s">
        <v>3854</v>
      </c>
      <c r="S204" s="6">
        <v>7668</v>
      </c>
      <c r="T204" s="6">
        <v>7668</v>
      </c>
      <c r="U204" s="6">
        <v>0</v>
      </c>
      <c r="V204" s="7">
        <v>44844</v>
      </c>
      <c r="W204" s="7" t="s">
        <v>3790</v>
      </c>
      <c r="X204" s="7">
        <v>44996</v>
      </c>
      <c r="Y204" s="5" t="s">
        <v>4018</v>
      </c>
      <c r="Z204" s="5" t="s">
        <v>3790</v>
      </c>
      <c r="AA204" s="6">
        <v>7668</v>
      </c>
      <c r="AB204" s="7" t="s">
        <v>4363</v>
      </c>
      <c r="AC204" s="7" t="str">
        <f>A204&amp;COUNTIF($A$2:A204,A204)</f>
        <v>110S6053-50001</v>
      </c>
      <c r="AD204" s="7">
        <v>44803</v>
      </c>
      <c r="AE204" s="7" t="s">
        <v>3790</v>
      </c>
      <c r="AF204" s="7" t="s">
        <v>3790</v>
      </c>
      <c r="AG204" s="5">
        <v>70</v>
      </c>
      <c r="AH204" s="5">
        <v>7</v>
      </c>
      <c r="AI204" s="5">
        <v>14</v>
      </c>
      <c r="AJ204" s="5">
        <v>11500</v>
      </c>
      <c r="AK204" s="5" t="str">
        <f t="shared" ca="1" si="3"/>
        <v>run complete</v>
      </c>
    </row>
    <row r="205" spans="1:37">
      <c r="A205" s="32" t="s">
        <v>2552</v>
      </c>
      <c r="B205" s="32" t="s">
        <v>3857</v>
      </c>
      <c r="C205" s="32" t="s">
        <v>2551</v>
      </c>
      <c r="D205" s="32" t="s">
        <v>3790</v>
      </c>
      <c r="E205" s="34" t="s">
        <v>6437</v>
      </c>
      <c r="F205" s="32" t="s">
        <v>3790</v>
      </c>
      <c r="G205" s="34" t="s">
        <v>6401</v>
      </c>
      <c r="H205" s="7" t="s">
        <v>3826</v>
      </c>
      <c r="I205" s="32" t="s">
        <v>3658</v>
      </c>
      <c r="J205" s="34" t="s">
        <v>3790</v>
      </c>
      <c r="K205" s="7" t="s">
        <v>3790</v>
      </c>
      <c r="L205" s="7" t="s">
        <v>3846</v>
      </c>
      <c r="M205" s="34" t="s">
        <v>6402</v>
      </c>
      <c r="N205" s="32" t="s">
        <v>3528</v>
      </c>
      <c r="O205" s="36">
        <v>3.48</v>
      </c>
      <c r="P205" s="32" t="s">
        <v>3790</v>
      </c>
      <c r="Q205" s="5" t="s">
        <v>3792</v>
      </c>
      <c r="R205" s="5" t="s">
        <v>3857</v>
      </c>
      <c r="S205" s="6">
        <v>449</v>
      </c>
      <c r="T205" s="6">
        <v>92</v>
      </c>
      <c r="U205" s="6">
        <v>0</v>
      </c>
      <c r="V205" s="7">
        <v>44795</v>
      </c>
      <c r="W205" s="7" t="s">
        <v>3790</v>
      </c>
      <c r="X205" s="7">
        <v>44925</v>
      </c>
      <c r="Y205" s="5" t="s">
        <v>4018</v>
      </c>
      <c r="Z205" s="5" t="s">
        <v>5554</v>
      </c>
      <c r="AA205" s="6">
        <v>92</v>
      </c>
      <c r="AB205" s="7" t="s">
        <v>4365</v>
      </c>
      <c r="AC205" s="7" t="str">
        <f>A205&amp;COUNTIF($A$2:A205,A205)</f>
        <v>110S6053-62001</v>
      </c>
      <c r="AD205" s="7">
        <v>44747</v>
      </c>
      <c r="AE205" s="7" t="s">
        <v>3790</v>
      </c>
      <c r="AF205" s="7" t="s">
        <v>3790</v>
      </c>
      <c r="AG205" s="5">
        <v>70</v>
      </c>
      <c r="AH205" s="5">
        <v>7</v>
      </c>
      <c r="AI205" s="5">
        <v>14</v>
      </c>
      <c r="AJ205" s="5">
        <v>2001</v>
      </c>
      <c r="AK205" s="5" t="str">
        <f t="shared" ca="1" si="3"/>
        <v>run complete</v>
      </c>
    </row>
    <row r="206" spans="1:37">
      <c r="A206" s="32" t="s">
        <v>2552</v>
      </c>
      <c r="B206" s="32" t="s">
        <v>3854</v>
      </c>
      <c r="C206" s="32" t="s">
        <v>2551</v>
      </c>
      <c r="D206" s="32" t="s">
        <v>3790</v>
      </c>
      <c r="E206" s="34" t="s">
        <v>5909</v>
      </c>
      <c r="F206" s="32" t="s">
        <v>3790</v>
      </c>
      <c r="G206" s="34" t="s">
        <v>3807</v>
      </c>
      <c r="H206" s="7" t="s">
        <v>3592</v>
      </c>
      <c r="I206" s="32" t="s">
        <v>3658</v>
      </c>
      <c r="J206" s="34" t="s">
        <v>3790</v>
      </c>
      <c r="K206" s="7" t="s">
        <v>3790</v>
      </c>
      <c r="L206" s="7" t="s">
        <v>3856</v>
      </c>
      <c r="M206" s="34" t="s">
        <v>5571</v>
      </c>
      <c r="N206" s="32" t="s">
        <v>3528</v>
      </c>
      <c r="O206" s="36">
        <v>3.29</v>
      </c>
      <c r="P206" s="32" t="s">
        <v>3790</v>
      </c>
      <c r="Q206" s="5" t="s">
        <v>3792</v>
      </c>
      <c r="R206" s="5" t="s">
        <v>3854</v>
      </c>
      <c r="S206" s="6">
        <v>1930</v>
      </c>
      <c r="T206" s="6">
        <v>1930</v>
      </c>
      <c r="U206" s="6">
        <v>0</v>
      </c>
      <c r="V206" s="7">
        <v>44844</v>
      </c>
      <c r="W206" s="7" t="s">
        <v>3790</v>
      </c>
      <c r="X206" s="7">
        <v>44996</v>
      </c>
      <c r="Y206" s="5" t="s">
        <v>4018</v>
      </c>
      <c r="Z206" s="5" t="s">
        <v>3790</v>
      </c>
      <c r="AA206" s="6">
        <v>1930</v>
      </c>
      <c r="AB206" s="7" t="s">
        <v>4364</v>
      </c>
      <c r="AC206" s="7" t="str">
        <f>A206&amp;COUNTIF($A$2:A206,A206)</f>
        <v>110S6053-62002</v>
      </c>
      <c r="AD206" s="7">
        <v>44803</v>
      </c>
      <c r="AE206" s="7" t="s">
        <v>3790</v>
      </c>
      <c r="AF206" s="7" t="s">
        <v>3790</v>
      </c>
      <c r="AG206" s="5">
        <v>70</v>
      </c>
      <c r="AH206" s="5">
        <v>7</v>
      </c>
      <c r="AI206" s="5">
        <v>14</v>
      </c>
      <c r="AJ206" s="5">
        <v>3500</v>
      </c>
      <c r="AK206" s="5" t="str">
        <f t="shared" ca="1" si="3"/>
        <v>run complete</v>
      </c>
    </row>
    <row r="207" spans="1:37">
      <c r="A207" s="32" t="s">
        <v>2561</v>
      </c>
      <c r="B207" s="32" t="s">
        <v>3841</v>
      </c>
      <c r="C207" s="32" t="s">
        <v>2559</v>
      </c>
      <c r="D207" s="32" t="s">
        <v>3790</v>
      </c>
      <c r="E207" s="34" t="s">
        <v>6366</v>
      </c>
      <c r="F207" s="32" t="s">
        <v>3790</v>
      </c>
      <c r="G207" s="34" t="s">
        <v>3640</v>
      </c>
      <c r="H207" s="7" t="s">
        <v>3617</v>
      </c>
      <c r="I207" s="32" t="s">
        <v>3658</v>
      </c>
      <c r="J207" s="34" t="s">
        <v>3790</v>
      </c>
      <c r="K207" s="7" t="s">
        <v>3790</v>
      </c>
      <c r="L207" s="7" t="s">
        <v>3858</v>
      </c>
      <c r="M207" s="34" t="s">
        <v>6367</v>
      </c>
      <c r="N207" s="32" t="s">
        <v>3528</v>
      </c>
      <c r="O207" s="36">
        <v>3.18</v>
      </c>
      <c r="P207" s="32" t="s">
        <v>3790</v>
      </c>
      <c r="Q207" s="5" t="s">
        <v>3792</v>
      </c>
      <c r="R207" s="5" t="s">
        <v>3841</v>
      </c>
      <c r="S207" s="6">
        <v>4778</v>
      </c>
      <c r="T207" s="6">
        <v>4778</v>
      </c>
      <c r="U207" s="6">
        <v>0</v>
      </c>
      <c r="V207" s="7">
        <v>44886</v>
      </c>
      <c r="W207" s="7" t="s">
        <v>3790</v>
      </c>
      <c r="X207" s="7">
        <v>45016</v>
      </c>
      <c r="Y207" s="5" t="s">
        <v>4018</v>
      </c>
      <c r="Z207" s="5" t="s">
        <v>3790</v>
      </c>
      <c r="AA207" s="6">
        <v>4778</v>
      </c>
      <c r="AB207" s="7" t="s">
        <v>4366</v>
      </c>
      <c r="AC207" s="7" t="str">
        <f>A207&amp;COUNTIF($A$2:A207,A207)</f>
        <v>110S7024-50001</v>
      </c>
      <c r="AD207" s="7">
        <v>44750</v>
      </c>
      <c r="AE207" s="7" t="s">
        <v>3790</v>
      </c>
      <c r="AF207" s="7" t="s">
        <v>3790</v>
      </c>
      <c r="AG207" s="5">
        <v>70</v>
      </c>
      <c r="AH207" s="5">
        <v>7</v>
      </c>
      <c r="AI207" s="5">
        <v>14</v>
      </c>
      <c r="AJ207" s="5">
        <v>5000</v>
      </c>
      <c r="AK207" s="5" t="str">
        <f t="shared" ca="1" si="3"/>
        <v>run complete</v>
      </c>
    </row>
    <row r="208" spans="1:37">
      <c r="A208" s="32" t="s">
        <v>2562</v>
      </c>
      <c r="B208" s="32" t="s">
        <v>3841</v>
      </c>
      <c r="C208" s="32" t="s">
        <v>2559</v>
      </c>
      <c r="D208" s="32" t="s">
        <v>3790</v>
      </c>
      <c r="E208" s="34" t="s">
        <v>6368</v>
      </c>
      <c r="F208" s="32" t="s">
        <v>3790</v>
      </c>
      <c r="G208" s="34" t="s">
        <v>3640</v>
      </c>
      <c r="H208" s="7" t="s">
        <v>3617</v>
      </c>
      <c r="I208" s="32" t="s">
        <v>3658</v>
      </c>
      <c r="J208" s="34" t="s">
        <v>3790</v>
      </c>
      <c r="K208" s="7" t="s">
        <v>3790</v>
      </c>
      <c r="L208" s="7" t="s">
        <v>3858</v>
      </c>
      <c r="M208" s="34" t="s">
        <v>6369</v>
      </c>
      <c r="N208" s="32" t="s">
        <v>3528</v>
      </c>
      <c r="O208" s="36">
        <v>3.18</v>
      </c>
      <c r="P208" s="32" t="s">
        <v>3790</v>
      </c>
      <c r="Q208" s="5" t="s">
        <v>3792</v>
      </c>
      <c r="R208" s="5" t="s">
        <v>3841</v>
      </c>
      <c r="S208" s="6">
        <v>4111</v>
      </c>
      <c r="T208" s="6">
        <v>4111</v>
      </c>
      <c r="U208" s="6">
        <v>0</v>
      </c>
      <c r="V208" s="7">
        <v>44886</v>
      </c>
      <c r="W208" s="7" t="s">
        <v>3790</v>
      </c>
      <c r="X208" s="7">
        <v>45016</v>
      </c>
      <c r="Y208" s="5" t="s">
        <v>4018</v>
      </c>
      <c r="Z208" s="5" t="s">
        <v>3790</v>
      </c>
      <c r="AA208" s="6">
        <v>4111</v>
      </c>
      <c r="AB208" s="7" t="s">
        <v>4367</v>
      </c>
      <c r="AC208" s="7" t="str">
        <f>A208&amp;COUNTIF($A$2:A208,A208)</f>
        <v>110S7024-62001</v>
      </c>
      <c r="AD208" s="7">
        <v>44750</v>
      </c>
      <c r="AE208" s="7" t="s">
        <v>3790</v>
      </c>
      <c r="AF208" s="7" t="s">
        <v>3790</v>
      </c>
      <c r="AG208" s="5">
        <v>70</v>
      </c>
      <c r="AH208" s="5">
        <v>7</v>
      </c>
      <c r="AI208" s="5">
        <v>14</v>
      </c>
      <c r="AJ208" s="5">
        <v>5000</v>
      </c>
      <c r="AK208" s="5" t="str">
        <f t="shared" ca="1" si="3"/>
        <v>run complete</v>
      </c>
    </row>
    <row r="209" spans="1:37">
      <c r="A209" s="32" t="s">
        <v>2572</v>
      </c>
      <c r="B209" s="32">
        <v>7173</v>
      </c>
      <c r="C209" s="32" t="s">
        <v>3620</v>
      </c>
      <c r="E209" s="34" t="s">
        <v>6088</v>
      </c>
      <c r="F209" s="32" t="s">
        <v>5502</v>
      </c>
      <c r="G209" s="34" t="s">
        <v>3531</v>
      </c>
      <c r="H209" s="7" t="s">
        <v>6087</v>
      </c>
      <c r="I209" s="32" t="s">
        <v>3526</v>
      </c>
      <c r="J209" s="34" t="s">
        <v>3527</v>
      </c>
      <c r="M209" s="34" t="s">
        <v>6089</v>
      </c>
      <c r="N209" s="32" t="s">
        <v>3528</v>
      </c>
      <c r="O209" s="36" t="s">
        <v>3621</v>
      </c>
      <c r="Q209" s="5" t="s">
        <v>5429</v>
      </c>
      <c r="R209" s="5" t="s">
        <v>6041</v>
      </c>
      <c r="S209" s="6">
        <v>2535</v>
      </c>
      <c r="T209" s="6">
        <v>2200</v>
      </c>
      <c r="U209" s="6">
        <v>0</v>
      </c>
      <c r="V209" s="7">
        <v>44819</v>
      </c>
      <c r="W209" s="7" t="s">
        <v>3790</v>
      </c>
      <c r="X209" s="7" t="s">
        <v>3790</v>
      </c>
      <c r="Y209" s="5" t="s">
        <v>4018</v>
      </c>
      <c r="Z209" s="5" t="s">
        <v>3790</v>
      </c>
      <c r="AA209" s="6">
        <v>2200</v>
      </c>
      <c r="AB209" s="7" t="s">
        <v>6042</v>
      </c>
      <c r="AC209" s="7" t="str">
        <f>A209&amp;COUNTIF($A$2:A209,A209)</f>
        <v>110S8003-62001</v>
      </c>
      <c r="AD209" s="7">
        <v>44844</v>
      </c>
      <c r="AE209" s="7" t="s">
        <v>3790</v>
      </c>
      <c r="AF209" s="7" t="s">
        <v>3790</v>
      </c>
      <c r="AG209" s="5">
        <v>91</v>
      </c>
      <c r="AH209" s="5">
        <v>56</v>
      </c>
      <c r="AI209" s="5">
        <v>14</v>
      </c>
      <c r="AJ209" s="5">
        <v>2200</v>
      </c>
      <c r="AK209" s="5" t="str">
        <f t="shared" ca="1" si="3"/>
        <v>run complete</v>
      </c>
    </row>
    <row r="210" spans="1:37">
      <c r="A210" s="32" t="s">
        <v>2599</v>
      </c>
      <c r="B210" s="32" t="s">
        <v>3844</v>
      </c>
      <c r="C210" s="32" t="s">
        <v>652</v>
      </c>
      <c r="D210" s="32" t="s">
        <v>3790</v>
      </c>
      <c r="E210" s="34" t="s">
        <v>7749</v>
      </c>
      <c r="F210" s="32" t="s">
        <v>3790</v>
      </c>
      <c r="G210" s="34" t="s">
        <v>7750</v>
      </c>
      <c r="H210" s="7" t="s">
        <v>3847</v>
      </c>
      <c r="I210" s="32" t="s">
        <v>3658</v>
      </c>
      <c r="J210" s="34" t="s">
        <v>3790</v>
      </c>
      <c r="K210" s="7" t="s">
        <v>3790</v>
      </c>
      <c r="L210" s="7" t="s">
        <v>5533</v>
      </c>
      <c r="M210" s="34" t="s">
        <v>7751</v>
      </c>
      <c r="N210" s="32" t="s">
        <v>3528</v>
      </c>
      <c r="O210" s="36">
        <v>3.27</v>
      </c>
      <c r="P210" s="32" t="s">
        <v>3790</v>
      </c>
      <c r="Q210" s="5" t="s">
        <v>3792</v>
      </c>
      <c r="R210" s="5" t="s">
        <v>3844</v>
      </c>
      <c r="S210" s="6">
        <v>522</v>
      </c>
      <c r="T210" s="6">
        <v>426</v>
      </c>
      <c r="U210" s="6">
        <v>0</v>
      </c>
      <c r="V210" s="7">
        <v>44823</v>
      </c>
      <c r="W210" s="7" t="s">
        <v>3790</v>
      </c>
      <c r="X210" s="7">
        <v>44956</v>
      </c>
      <c r="Y210" s="5" t="s">
        <v>4018</v>
      </c>
      <c r="Z210" s="5" t="s">
        <v>5553</v>
      </c>
      <c r="AA210" s="6">
        <v>426</v>
      </c>
      <c r="AB210" s="7" t="s">
        <v>5534</v>
      </c>
      <c r="AC210" s="7" t="str">
        <f>A210&amp;COUNTIF($A$2:A210,A210)</f>
        <v>110SE601-62001</v>
      </c>
      <c r="AD210" s="7">
        <v>44693</v>
      </c>
      <c r="AE210" s="7" t="s">
        <v>3790</v>
      </c>
      <c r="AF210" s="7" t="s">
        <v>3790</v>
      </c>
      <c r="AG210" s="5">
        <v>70</v>
      </c>
      <c r="AH210" s="5">
        <v>7</v>
      </c>
      <c r="AI210" s="5">
        <v>14</v>
      </c>
      <c r="AJ210" s="5">
        <v>2999</v>
      </c>
      <c r="AK210" s="5" t="str">
        <f t="shared" ca="1" si="3"/>
        <v>run complete</v>
      </c>
    </row>
    <row r="211" spans="1:37">
      <c r="A211" s="32" t="s">
        <v>2638</v>
      </c>
      <c r="B211" s="32" t="s">
        <v>3859</v>
      </c>
      <c r="C211" s="32" t="s">
        <v>2639</v>
      </c>
      <c r="D211" s="32" t="s">
        <v>3790</v>
      </c>
      <c r="E211" s="34" t="s">
        <v>6373</v>
      </c>
      <c r="F211" s="32" t="s">
        <v>3790</v>
      </c>
      <c r="G211" s="34" t="s">
        <v>3629</v>
      </c>
      <c r="H211" s="7" t="s">
        <v>3617</v>
      </c>
      <c r="I211" s="32" t="s">
        <v>3658</v>
      </c>
      <c r="J211" s="34" t="s">
        <v>3790</v>
      </c>
      <c r="K211" s="7" t="s">
        <v>3790</v>
      </c>
      <c r="L211" s="7" t="s">
        <v>3801</v>
      </c>
      <c r="M211" s="34" t="s">
        <v>6374</v>
      </c>
      <c r="N211" s="32" t="s">
        <v>3528</v>
      </c>
      <c r="O211" s="36">
        <v>6.09</v>
      </c>
      <c r="P211" s="32" t="s">
        <v>3790</v>
      </c>
      <c r="Q211" s="5" t="s">
        <v>3792</v>
      </c>
      <c r="R211" s="5" t="s">
        <v>3859</v>
      </c>
      <c r="S211" s="6">
        <v>698</v>
      </c>
      <c r="T211" s="6">
        <v>698</v>
      </c>
      <c r="U211" s="6">
        <v>0</v>
      </c>
      <c r="V211" s="7">
        <v>44886</v>
      </c>
      <c r="W211" s="7" t="s">
        <v>3790</v>
      </c>
      <c r="X211" s="7">
        <v>45017</v>
      </c>
      <c r="Y211" s="5" t="s">
        <v>4018</v>
      </c>
      <c r="Z211" s="5" t="s">
        <v>3790</v>
      </c>
      <c r="AA211" s="6">
        <v>698</v>
      </c>
      <c r="AB211" s="7" t="s">
        <v>4368</v>
      </c>
      <c r="AC211" s="7" t="str">
        <f>A211&amp;COUNTIF($A$2:A211,A211)</f>
        <v>110SN219-37001</v>
      </c>
      <c r="AD211" s="7">
        <v>44812</v>
      </c>
      <c r="AE211" s="7" t="s">
        <v>3790</v>
      </c>
      <c r="AF211" s="7" t="s">
        <v>3790</v>
      </c>
      <c r="AG211" s="5">
        <v>70</v>
      </c>
      <c r="AH211" s="5">
        <v>7</v>
      </c>
      <c r="AI211" s="5">
        <v>14</v>
      </c>
      <c r="AJ211" s="5">
        <v>800</v>
      </c>
      <c r="AK211" s="5" t="str">
        <f t="shared" ca="1" si="3"/>
        <v>run complete</v>
      </c>
    </row>
    <row r="212" spans="1:37">
      <c r="A212" s="32" t="s">
        <v>2641</v>
      </c>
      <c r="B212" s="32" t="s">
        <v>3859</v>
      </c>
      <c r="C212" s="32" t="s">
        <v>2639</v>
      </c>
      <c r="D212" s="32" t="s">
        <v>3790</v>
      </c>
      <c r="E212" s="34" t="s">
        <v>7531</v>
      </c>
      <c r="F212" s="32" t="s">
        <v>3790</v>
      </c>
      <c r="G212" s="34" t="s">
        <v>3802</v>
      </c>
      <c r="H212" s="7" t="s">
        <v>3617</v>
      </c>
      <c r="I212" s="32" t="s">
        <v>3658</v>
      </c>
      <c r="J212" s="34" t="s">
        <v>3790</v>
      </c>
      <c r="K212" s="7" t="s">
        <v>3790</v>
      </c>
      <c r="L212" s="7" t="s">
        <v>3801</v>
      </c>
      <c r="M212" s="34" t="s">
        <v>6375</v>
      </c>
      <c r="N212" s="32" t="s">
        <v>3528</v>
      </c>
      <c r="O212" s="36">
        <v>6.09</v>
      </c>
      <c r="P212" s="32" t="s">
        <v>3790</v>
      </c>
      <c r="Q212" s="5" t="s">
        <v>3792</v>
      </c>
      <c r="R212" s="5" t="s">
        <v>3859</v>
      </c>
      <c r="S212" s="6">
        <v>475</v>
      </c>
      <c r="T212" s="6">
        <v>475</v>
      </c>
      <c r="U212" s="6">
        <v>0</v>
      </c>
      <c r="V212" s="7">
        <v>44886</v>
      </c>
      <c r="W212" s="7" t="s">
        <v>3790</v>
      </c>
      <c r="X212" s="7">
        <v>45017</v>
      </c>
      <c r="Y212" s="5" t="s">
        <v>4018</v>
      </c>
      <c r="Z212" s="5" t="s">
        <v>3790</v>
      </c>
      <c r="AA212" s="6">
        <v>475</v>
      </c>
      <c r="AB212" s="7" t="s">
        <v>4369</v>
      </c>
      <c r="AC212" s="7" t="str">
        <f>A212&amp;COUNTIF($A$2:A212,A212)</f>
        <v>110SN219-50001</v>
      </c>
      <c r="AD212" s="7">
        <v>44812</v>
      </c>
      <c r="AE212" s="7" t="s">
        <v>3790</v>
      </c>
      <c r="AF212" s="7" t="s">
        <v>3790</v>
      </c>
      <c r="AG212" s="5">
        <v>70</v>
      </c>
      <c r="AH212" s="5">
        <v>7</v>
      </c>
      <c r="AI212" s="5">
        <v>14</v>
      </c>
      <c r="AJ212" s="5">
        <v>1000</v>
      </c>
      <c r="AK212" s="5" t="str">
        <f t="shared" ca="1" si="3"/>
        <v>run complete</v>
      </c>
    </row>
    <row r="213" spans="1:37">
      <c r="A213" s="32" t="s">
        <v>2644</v>
      </c>
      <c r="B213" s="32" t="s">
        <v>3859</v>
      </c>
      <c r="C213" s="32" t="s">
        <v>2639</v>
      </c>
      <c r="D213" s="32" t="s">
        <v>3790</v>
      </c>
      <c r="E213" s="34" t="s">
        <v>6376</v>
      </c>
      <c r="F213" s="32" t="s">
        <v>3790</v>
      </c>
      <c r="G213" s="34" t="s">
        <v>3577</v>
      </c>
      <c r="H213" s="7" t="s">
        <v>3617</v>
      </c>
      <c r="I213" s="32" t="s">
        <v>3658</v>
      </c>
      <c r="J213" s="34" t="s">
        <v>3790</v>
      </c>
      <c r="K213" s="7" t="s">
        <v>3790</v>
      </c>
      <c r="L213" s="7" t="s">
        <v>3801</v>
      </c>
      <c r="M213" s="34" t="s">
        <v>6377</v>
      </c>
      <c r="N213" s="32" t="s">
        <v>3528</v>
      </c>
      <c r="O213" s="36">
        <v>6.09</v>
      </c>
      <c r="P213" s="32" t="s">
        <v>3790</v>
      </c>
      <c r="Q213" s="5" t="s">
        <v>3792</v>
      </c>
      <c r="R213" s="5" t="s">
        <v>3859</v>
      </c>
      <c r="S213" s="6">
        <v>860</v>
      </c>
      <c r="T213" s="6">
        <v>860</v>
      </c>
      <c r="U213" s="6">
        <v>0</v>
      </c>
      <c r="V213" s="7">
        <v>44886</v>
      </c>
      <c r="W213" s="7" t="s">
        <v>3790</v>
      </c>
      <c r="X213" s="7">
        <v>45017</v>
      </c>
      <c r="Y213" s="5" t="s">
        <v>4018</v>
      </c>
      <c r="Z213" s="5" t="s">
        <v>3790</v>
      </c>
      <c r="AA213" s="6">
        <v>860</v>
      </c>
      <c r="AB213" s="7" t="s">
        <v>4370</v>
      </c>
      <c r="AC213" s="7" t="str">
        <f>A213&amp;COUNTIF($A$2:A213,A213)</f>
        <v>110SN219-62001</v>
      </c>
      <c r="AD213" s="7">
        <v>44812</v>
      </c>
      <c r="AE213" s="7" t="s">
        <v>3790</v>
      </c>
      <c r="AF213" s="7" t="s">
        <v>3790</v>
      </c>
      <c r="AG213" s="5">
        <v>70</v>
      </c>
      <c r="AH213" s="5">
        <v>7</v>
      </c>
      <c r="AI213" s="5">
        <v>14</v>
      </c>
      <c r="AJ213" s="5">
        <v>1700</v>
      </c>
      <c r="AK213" s="5" t="str">
        <f t="shared" ca="1" si="3"/>
        <v>run complete</v>
      </c>
    </row>
    <row r="214" spans="1:37">
      <c r="A214" s="32" t="s">
        <v>2654</v>
      </c>
      <c r="B214" s="32">
        <v>7174</v>
      </c>
      <c r="C214" s="32" t="s">
        <v>3622</v>
      </c>
      <c r="E214" s="34" t="s">
        <v>3624</v>
      </c>
      <c r="F214" s="32" t="s">
        <v>5502</v>
      </c>
      <c r="G214" s="34" t="s">
        <v>3582</v>
      </c>
      <c r="H214" s="7" t="s">
        <v>3623</v>
      </c>
      <c r="I214" s="32" t="s">
        <v>3526</v>
      </c>
      <c r="J214" s="34" t="s">
        <v>3527</v>
      </c>
      <c r="L214" s="7" t="s">
        <v>5251</v>
      </c>
      <c r="M214" s="34" t="s">
        <v>3625</v>
      </c>
      <c r="N214" s="32" t="s">
        <v>3528</v>
      </c>
      <c r="O214" s="36" t="s">
        <v>3626</v>
      </c>
      <c r="Q214" s="5" t="s">
        <v>5429</v>
      </c>
      <c r="R214" s="5" t="s">
        <v>6043</v>
      </c>
      <c r="S214" s="6">
        <v>644</v>
      </c>
      <c r="T214" s="6">
        <v>501</v>
      </c>
      <c r="U214" s="6">
        <v>0</v>
      </c>
      <c r="V214" s="7">
        <v>44757</v>
      </c>
      <c r="W214" s="7" t="s">
        <v>3790</v>
      </c>
      <c r="X214" s="7">
        <v>44940</v>
      </c>
      <c r="Y214" s="5" t="s">
        <v>4018</v>
      </c>
      <c r="Z214" s="5" t="s">
        <v>5553</v>
      </c>
      <c r="AA214" s="6">
        <v>501</v>
      </c>
      <c r="AB214" s="7" t="s">
        <v>6044</v>
      </c>
      <c r="AC214" s="7" t="str">
        <f>A214&amp;COUNTIF($A$2:A214,A214)</f>
        <v>110SN284-50001</v>
      </c>
      <c r="AD214" s="7">
        <v>44844</v>
      </c>
      <c r="AE214" s="7" t="s">
        <v>3790</v>
      </c>
      <c r="AF214" s="7" t="s">
        <v>3790</v>
      </c>
      <c r="AG214" s="5">
        <v>91</v>
      </c>
      <c r="AH214" s="5">
        <v>56</v>
      </c>
      <c r="AI214" s="5">
        <v>14</v>
      </c>
      <c r="AJ214" s="5">
        <v>500</v>
      </c>
      <c r="AK214" s="5" t="str">
        <f t="shared" ca="1" si="3"/>
        <v>run complete</v>
      </c>
    </row>
    <row r="215" spans="1:37">
      <c r="A215" s="32" t="s">
        <v>2657</v>
      </c>
      <c r="B215" s="32">
        <v>7174</v>
      </c>
      <c r="C215" s="32" t="s">
        <v>3622</v>
      </c>
      <c r="E215" s="34" t="s">
        <v>3628</v>
      </c>
      <c r="F215" s="32" t="s">
        <v>5502</v>
      </c>
      <c r="G215" s="34" t="s">
        <v>3627</v>
      </c>
      <c r="H215" s="7" t="s">
        <v>3623</v>
      </c>
      <c r="I215" s="32" t="s">
        <v>3526</v>
      </c>
      <c r="J215" s="34" t="s">
        <v>3527</v>
      </c>
      <c r="L215" s="7" t="s">
        <v>5251</v>
      </c>
      <c r="N215" s="32" t="s">
        <v>3528</v>
      </c>
      <c r="O215" s="36" t="s">
        <v>3626</v>
      </c>
      <c r="Q215" s="5" t="s">
        <v>5429</v>
      </c>
      <c r="R215" s="5" t="s">
        <v>6043</v>
      </c>
      <c r="S215" s="6">
        <v>3699</v>
      </c>
      <c r="T215" s="6">
        <v>3699</v>
      </c>
      <c r="U215" s="6">
        <v>0</v>
      </c>
      <c r="V215" s="7">
        <v>44757</v>
      </c>
      <c r="W215" s="7" t="s">
        <v>3790</v>
      </c>
      <c r="X215" s="7">
        <v>44940</v>
      </c>
      <c r="Y215" s="5" t="s">
        <v>4018</v>
      </c>
      <c r="Z215" s="5" t="s">
        <v>5553</v>
      </c>
      <c r="AA215" s="6">
        <v>3699</v>
      </c>
      <c r="AB215" s="7" t="s">
        <v>6045</v>
      </c>
      <c r="AC215" s="7" t="str">
        <f>A215&amp;COUNTIF($A$2:A215,A215)</f>
        <v>110SN284-62001</v>
      </c>
      <c r="AD215" s="7">
        <v>44844</v>
      </c>
      <c r="AE215" s="7" t="s">
        <v>3790</v>
      </c>
      <c r="AF215" s="7" t="s">
        <v>3790</v>
      </c>
      <c r="AG215" s="5">
        <v>91</v>
      </c>
      <c r="AH215" s="5">
        <v>56</v>
      </c>
      <c r="AI215" s="5">
        <v>14</v>
      </c>
      <c r="AJ215" s="5">
        <v>3900</v>
      </c>
      <c r="AK215" s="5" t="str">
        <f t="shared" ca="1" si="3"/>
        <v>run complete</v>
      </c>
    </row>
    <row r="216" spans="1:37">
      <c r="A216" s="32" t="s">
        <v>2722</v>
      </c>
      <c r="B216" s="32" t="s">
        <v>3859</v>
      </c>
      <c r="C216" s="32" t="s">
        <v>3861</v>
      </c>
      <c r="D216" s="32" t="s">
        <v>3790</v>
      </c>
      <c r="E216" s="34" t="s">
        <v>6403</v>
      </c>
      <c r="F216" s="32" t="s">
        <v>3790</v>
      </c>
      <c r="G216" s="34" t="s">
        <v>3803</v>
      </c>
      <c r="H216" s="7" t="s">
        <v>6167</v>
      </c>
      <c r="I216" s="32" t="s">
        <v>3658</v>
      </c>
      <c r="J216" s="34" t="s">
        <v>3790</v>
      </c>
      <c r="K216" s="7" t="s">
        <v>3790</v>
      </c>
      <c r="L216" s="7" t="s">
        <v>5574</v>
      </c>
      <c r="M216" s="34" t="s">
        <v>6379</v>
      </c>
      <c r="N216" s="32" t="s">
        <v>3528</v>
      </c>
      <c r="O216" s="36">
        <v>5.99</v>
      </c>
      <c r="P216" s="32" t="s">
        <v>3790</v>
      </c>
      <c r="Q216" s="5" t="s">
        <v>3792</v>
      </c>
      <c r="R216" s="5" t="s">
        <v>3859</v>
      </c>
      <c r="S216" s="6">
        <v>1484</v>
      </c>
      <c r="T216" s="6">
        <v>1484</v>
      </c>
      <c r="U216" s="6">
        <v>0</v>
      </c>
      <c r="V216" s="7">
        <v>44893</v>
      </c>
      <c r="W216" s="7" t="s">
        <v>3790</v>
      </c>
      <c r="X216" s="7">
        <v>45038</v>
      </c>
      <c r="Y216" s="5" t="s">
        <v>4018</v>
      </c>
      <c r="Z216" s="5" t="s">
        <v>3790</v>
      </c>
      <c r="AA216" s="6">
        <v>1484</v>
      </c>
      <c r="AB216" s="7" t="s">
        <v>4371</v>
      </c>
      <c r="AC216" s="7" t="str">
        <f>A216&amp;COUNTIF($A$2:A216,A216)</f>
        <v>110ST052-50001</v>
      </c>
      <c r="AD216" s="7">
        <v>44812</v>
      </c>
      <c r="AE216" s="7" t="s">
        <v>3790</v>
      </c>
      <c r="AF216" s="7" t="s">
        <v>3790</v>
      </c>
      <c r="AG216" s="5">
        <v>70</v>
      </c>
      <c r="AH216" s="5">
        <v>7</v>
      </c>
      <c r="AI216" s="5">
        <v>14</v>
      </c>
      <c r="AJ216" s="5">
        <v>1500</v>
      </c>
      <c r="AK216" s="5" t="str">
        <f t="shared" ca="1" si="3"/>
        <v>run complete</v>
      </c>
    </row>
    <row r="217" spans="1:37">
      <c r="A217" s="32" t="s">
        <v>2724</v>
      </c>
      <c r="B217" s="32" t="s">
        <v>3859</v>
      </c>
      <c r="C217" s="32" t="s">
        <v>3861</v>
      </c>
      <c r="D217" s="32" t="s">
        <v>3790</v>
      </c>
      <c r="E217" s="34" t="s">
        <v>7596</v>
      </c>
      <c r="F217" s="32" t="s">
        <v>3790</v>
      </c>
      <c r="G217" s="34" t="s">
        <v>3569</v>
      </c>
      <c r="H217" s="7" t="s">
        <v>6167</v>
      </c>
      <c r="I217" s="32" t="s">
        <v>3658</v>
      </c>
      <c r="J217" s="34" t="s">
        <v>3790</v>
      </c>
      <c r="K217" s="7" t="s">
        <v>3790</v>
      </c>
      <c r="L217" s="7" t="s">
        <v>5574</v>
      </c>
      <c r="M217" s="34" t="s">
        <v>6404</v>
      </c>
      <c r="N217" s="32" t="s">
        <v>3528</v>
      </c>
      <c r="O217" s="36">
        <v>5.99</v>
      </c>
      <c r="P217" s="32" t="s">
        <v>3790</v>
      </c>
      <c r="Q217" s="5" t="s">
        <v>3792</v>
      </c>
      <c r="R217" s="5" t="s">
        <v>3859</v>
      </c>
      <c r="S217" s="6">
        <v>1692</v>
      </c>
      <c r="T217" s="6">
        <v>1510</v>
      </c>
      <c r="U217" s="6">
        <v>0</v>
      </c>
      <c r="V217" s="7">
        <v>44893</v>
      </c>
      <c r="W217" s="7" t="s">
        <v>3790</v>
      </c>
      <c r="X217" s="7">
        <v>45038</v>
      </c>
      <c r="Y217" s="5" t="s">
        <v>4018</v>
      </c>
      <c r="Z217" s="5" t="s">
        <v>3790</v>
      </c>
      <c r="AA217" s="6">
        <v>1510</v>
      </c>
      <c r="AB217" s="7" t="s">
        <v>4372</v>
      </c>
      <c r="AC217" s="7" t="str">
        <f>A217&amp;COUNTIF($A$2:A217,A217)</f>
        <v>110ST052-62001</v>
      </c>
      <c r="AD217" s="7">
        <v>44812</v>
      </c>
      <c r="AE217" s="7" t="s">
        <v>3790</v>
      </c>
      <c r="AF217" s="7" t="s">
        <v>3790</v>
      </c>
      <c r="AG217" s="5">
        <v>70</v>
      </c>
      <c r="AH217" s="5">
        <v>7</v>
      </c>
      <c r="AI217" s="5">
        <v>14</v>
      </c>
      <c r="AJ217" s="5">
        <v>2000</v>
      </c>
      <c r="AK217" s="5" t="str">
        <f t="shared" ca="1" si="3"/>
        <v>run complete</v>
      </c>
    </row>
    <row r="218" spans="1:37">
      <c r="A218" s="32" t="s">
        <v>2726</v>
      </c>
      <c r="B218" s="32" t="s">
        <v>3824</v>
      </c>
      <c r="C218" s="32" t="s">
        <v>3862</v>
      </c>
      <c r="D218" s="32" t="s">
        <v>3790</v>
      </c>
      <c r="E218" s="34" t="s">
        <v>5535</v>
      </c>
      <c r="F218" s="32" t="s">
        <v>3790</v>
      </c>
      <c r="G218" s="34" t="s">
        <v>3640</v>
      </c>
      <c r="H218" s="7" t="s">
        <v>3812</v>
      </c>
      <c r="I218" s="32" t="s">
        <v>3658</v>
      </c>
      <c r="J218" s="34" t="s">
        <v>3790</v>
      </c>
      <c r="K218" s="7" t="s">
        <v>3790</v>
      </c>
      <c r="L218" s="7" t="s">
        <v>3863</v>
      </c>
      <c r="M218" s="34" t="s">
        <v>5536</v>
      </c>
      <c r="N218" s="32" t="s">
        <v>3528</v>
      </c>
      <c r="O218" s="36">
        <v>2.59</v>
      </c>
      <c r="P218" s="32" t="s">
        <v>3790</v>
      </c>
      <c r="Q218" s="5" t="s">
        <v>3792</v>
      </c>
      <c r="R218" s="5" t="s">
        <v>3824</v>
      </c>
      <c r="S218" s="6">
        <v>5032</v>
      </c>
      <c r="T218" s="6">
        <v>4960</v>
      </c>
      <c r="U218" s="6">
        <v>0</v>
      </c>
      <c r="V218" s="7">
        <v>44837</v>
      </c>
      <c r="W218" s="7" t="s">
        <v>3790</v>
      </c>
      <c r="X218" s="7">
        <v>44974</v>
      </c>
      <c r="Y218" s="5" t="s">
        <v>4018</v>
      </c>
      <c r="Z218" s="5" t="s">
        <v>3790</v>
      </c>
      <c r="AA218" s="6">
        <v>4960</v>
      </c>
      <c r="AB218" s="7" t="s">
        <v>4373</v>
      </c>
      <c r="AC218" s="7" t="str">
        <f>A218&amp;COUNTIF($A$2:A218,A218)</f>
        <v>110ST054-50001</v>
      </c>
      <c r="AD218" s="7">
        <v>44781</v>
      </c>
      <c r="AE218" s="7" t="s">
        <v>3790</v>
      </c>
      <c r="AF218" s="7" t="s">
        <v>3790</v>
      </c>
      <c r="AG218" s="5">
        <v>70</v>
      </c>
      <c r="AH218" s="5">
        <v>7</v>
      </c>
      <c r="AI218" s="5">
        <v>14</v>
      </c>
      <c r="AJ218" s="5">
        <v>5000</v>
      </c>
      <c r="AK218" s="5" t="str">
        <f t="shared" ca="1" si="3"/>
        <v>run complete</v>
      </c>
    </row>
    <row r="219" spans="1:37">
      <c r="A219" s="32" t="s">
        <v>2729</v>
      </c>
      <c r="B219" s="32" t="s">
        <v>3824</v>
      </c>
      <c r="C219" s="32" t="s">
        <v>3862</v>
      </c>
      <c r="D219" s="32" t="s">
        <v>3790</v>
      </c>
      <c r="E219" s="34" t="s">
        <v>5537</v>
      </c>
      <c r="F219" s="32" t="s">
        <v>3790</v>
      </c>
      <c r="G219" s="34" t="s">
        <v>3640</v>
      </c>
      <c r="H219" s="7" t="s">
        <v>3812</v>
      </c>
      <c r="I219" s="32" t="s">
        <v>3658</v>
      </c>
      <c r="J219" s="34" t="s">
        <v>3790</v>
      </c>
      <c r="K219" s="7" t="s">
        <v>3790</v>
      </c>
      <c r="L219" s="7" t="s">
        <v>3863</v>
      </c>
      <c r="M219" s="34" t="s">
        <v>5538</v>
      </c>
      <c r="N219" s="32" t="s">
        <v>3528</v>
      </c>
      <c r="O219" s="36">
        <v>2.59</v>
      </c>
      <c r="P219" s="32" t="s">
        <v>3790</v>
      </c>
      <c r="Q219" s="5" t="s">
        <v>3792</v>
      </c>
      <c r="R219" s="5" t="s">
        <v>3824</v>
      </c>
      <c r="S219" s="6">
        <v>5280</v>
      </c>
      <c r="T219" s="6">
        <v>4963</v>
      </c>
      <c r="U219" s="6">
        <v>0</v>
      </c>
      <c r="V219" s="7">
        <v>44837</v>
      </c>
      <c r="W219" s="7" t="s">
        <v>3790</v>
      </c>
      <c r="X219" s="7">
        <v>44974</v>
      </c>
      <c r="Y219" s="5" t="s">
        <v>4018</v>
      </c>
      <c r="Z219" s="5" t="s">
        <v>3790</v>
      </c>
      <c r="AA219" s="6">
        <v>4963</v>
      </c>
      <c r="AB219" s="7" t="s">
        <v>4374</v>
      </c>
      <c r="AC219" s="7" t="str">
        <f>A219&amp;COUNTIF($A$2:A219,A219)</f>
        <v>110ST054-62001</v>
      </c>
      <c r="AD219" s="7">
        <v>44781</v>
      </c>
      <c r="AE219" s="7" t="s">
        <v>3790</v>
      </c>
      <c r="AF219" s="7" t="s">
        <v>3790</v>
      </c>
      <c r="AG219" s="5">
        <v>70</v>
      </c>
      <c r="AH219" s="5">
        <v>7</v>
      </c>
      <c r="AI219" s="5">
        <v>14</v>
      </c>
      <c r="AJ219" s="5">
        <v>5000</v>
      </c>
      <c r="AK219" s="5" t="str">
        <f t="shared" ca="1" si="3"/>
        <v>run complete</v>
      </c>
    </row>
    <row r="220" spans="1:37">
      <c r="A220" s="32" t="s">
        <v>2756</v>
      </c>
      <c r="B220" s="32" t="s">
        <v>3857</v>
      </c>
      <c r="C220" s="32" t="s">
        <v>3864</v>
      </c>
      <c r="D220" s="32" t="s">
        <v>3790</v>
      </c>
      <c r="E220" s="34" t="s">
        <v>5287</v>
      </c>
      <c r="F220" s="32" t="s">
        <v>3790</v>
      </c>
      <c r="G220" s="34" t="s">
        <v>3807</v>
      </c>
      <c r="H220" s="7" t="s">
        <v>3826</v>
      </c>
      <c r="I220" s="32" t="s">
        <v>3658</v>
      </c>
      <c r="J220" s="34" t="s">
        <v>3790</v>
      </c>
      <c r="K220" s="7" t="s">
        <v>3790</v>
      </c>
      <c r="L220" s="7" t="s">
        <v>3865</v>
      </c>
      <c r="M220" s="34" t="s">
        <v>3866</v>
      </c>
      <c r="N220" s="32" t="s">
        <v>3528</v>
      </c>
      <c r="O220" s="36">
        <v>4.8099999999999996</v>
      </c>
      <c r="P220" s="32" t="s">
        <v>3790</v>
      </c>
      <c r="Q220" s="5" t="s">
        <v>3792</v>
      </c>
      <c r="R220" s="5" t="s">
        <v>3857</v>
      </c>
      <c r="S220" s="6">
        <v>2988</v>
      </c>
      <c r="T220" s="6">
        <v>2951</v>
      </c>
      <c r="U220" s="6">
        <v>0</v>
      </c>
      <c r="V220" s="7">
        <v>44795</v>
      </c>
      <c r="W220" s="7" t="s">
        <v>3790</v>
      </c>
      <c r="X220" s="7">
        <v>44932</v>
      </c>
      <c r="Y220" s="5" t="s">
        <v>4018</v>
      </c>
      <c r="Z220" s="5" t="s">
        <v>5553</v>
      </c>
      <c r="AA220" s="6">
        <v>2951</v>
      </c>
      <c r="AB220" s="7" t="s">
        <v>4375</v>
      </c>
      <c r="AC220" s="7" t="str">
        <f>A220&amp;COUNTIF($A$2:A220,A220)</f>
        <v>110ST627-62001</v>
      </c>
      <c r="AD220" s="7">
        <v>44747</v>
      </c>
      <c r="AE220" s="7" t="s">
        <v>3790</v>
      </c>
      <c r="AF220" s="7" t="s">
        <v>3790</v>
      </c>
      <c r="AG220" s="5">
        <v>70</v>
      </c>
      <c r="AH220" s="5">
        <v>7</v>
      </c>
      <c r="AI220" s="5">
        <v>14</v>
      </c>
      <c r="AJ220" s="5">
        <v>3500</v>
      </c>
      <c r="AK220" s="5" t="str">
        <f t="shared" ca="1" si="3"/>
        <v>run complete</v>
      </c>
    </row>
    <row r="221" spans="1:37">
      <c r="A221" s="32" t="s">
        <v>2760</v>
      </c>
      <c r="B221" s="32" t="s">
        <v>3834</v>
      </c>
      <c r="C221" s="32" t="s">
        <v>3867</v>
      </c>
      <c r="D221" s="32" t="s">
        <v>3790</v>
      </c>
      <c r="E221" s="34" t="s">
        <v>6438</v>
      </c>
      <c r="F221" s="32" t="s">
        <v>3790</v>
      </c>
      <c r="G221" s="34" t="s">
        <v>3807</v>
      </c>
      <c r="H221" s="7" t="s">
        <v>3828</v>
      </c>
      <c r="I221" s="32" t="s">
        <v>3658</v>
      </c>
      <c r="J221" s="34" t="s">
        <v>3790</v>
      </c>
      <c r="K221" s="7" t="s">
        <v>3790</v>
      </c>
      <c r="L221" s="7" t="s">
        <v>3836</v>
      </c>
      <c r="M221" s="34" t="s">
        <v>5280</v>
      </c>
      <c r="N221" s="32" t="s">
        <v>3528</v>
      </c>
      <c r="O221" s="36">
        <v>4.99</v>
      </c>
      <c r="P221" s="32" t="s">
        <v>3790</v>
      </c>
      <c r="Q221" s="5" t="s">
        <v>3792</v>
      </c>
      <c r="R221" s="5" t="s">
        <v>3834</v>
      </c>
      <c r="S221" s="6">
        <v>1010</v>
      </c>
      <c r="T221" s="6">
        <v>886</v>
      </c>
      <c r="U221" s="6">
        <v>0</v>
      </c>
      <c r="V221" s="7">
        <v>44872</v>
      </c>
      <c r="W221" s="7" t="s">
        <v>3790</v>
      </c>
      <c r="X221" s="7">
        <v>45014</v>
      </c>
      <c r="Y221" s="5" t="s">
        <v>4018</v>
      </c>
      <c r="Z221" s="5" t="s">
        <v>3790</v>
      </c>
      <c r="AA221" s="6">
        <v>886</v>
      </c>
      <c r="AB221" s="7" t="s">
        <v>4376</v>
      </c>
      <c r="AC221" s="7" t="str">
        <f>A221&amp;COUNTIF($A$2:A221,A221)</f>
        <v>110SV355-62001</v>
      </c>
      <c r="AD221" s="7">
        <v>44812</v>
      </c>
      <c r="AE221" s="7" t="s">
        <v>3790</v>
      </c>
      <c r="AF221" s="7" t="s">
        <v>3790</v>
      </c>
      <c r="AG221" s="5">
        <v>70</v>
      </c>
      <c r="AH221" s="5">
        <v>7</v>
      </c>
      <c r="AI221" s="5">
        <v>14</v>
      </c>
      <c r="AJ221" s="5">
        <v>3500</v>
      </c>
      <c r="AK221" s="5" t="str">
        <f t="shared" ca="1" si="3"/>
        <v>run complete</v>
      </c>
    </row>
    <row r="222" spans="1:37">
      <c r="A222" s="32" t="s">
        <v>2768</v>
      </c>
      <c r="B222" s="32" t="s">
        <v>3799</v>
      </c>
      <c r="C222" s="32" t="s">
        <v>3868</v>
      </c>
      <c r="D222" s="32" t="s">
        <v>3790</v>
      </c>
      <c r="E222" s="34" t="s">
        <v>6053</v>
      </c>
      <c r="F222" s="32" t="s">
        <v>3790</v>
      </c>
      <c r="G222" s="34" t="s">
        <v>3544</v>
      </c>
      <c r="H222" s="7" t="s">
        <v>3820</v>
      </c>
      <c r="I222" s="32" t="s">
        <v>3658</v>
      </c>
      <c r="J222" s="34" t="s">
        <v>3790</v>
      </c>
      <c r="K222" s="7" t="s">
        <v>3790</v>
      </c>
      <c r="L222" s="7" t="s">
        <v>3869</v>
      </c>
      <c r="M222" s="34" t="s">
        <v>5910</v>
      </c>
      <c r="N222" s="32" t="s">
        <v>3528</v>
      </c>
      <c r="O222" s="36">
        <v>5.24</v>
      </c>
      <c r="P222" s="32" t="s">
        <v>3790</v>
      </c>
      <c r="Q222" s="5" t="s">
        <v>3792</v>
      </c>
      <c r="R222" s="5" t="s">
        <v>3799</v>
      </c>
      <c r="S222" s="6">
        <v>2836</v>
      </c>
      <c r="T222" s="6">
        <v>2458</v>
      </c>
      <c r="U222" s="6">
        <v>0</v>
      </c>
      <c r="V222" s="7">
        <v>44851</v>
      </c>
      <c r="W222" s="7" t="s">
        <v>3790</v>
      </c>
      <c r="X222" s="7">
        <v>44997</v>
      </c>
      <c r="Y222" s="5" t="s">
        <v>4018</v>
      </c>
      <c r="Z222" s="5" t="s">
        <v>3790</v>
      </c>
      <c r="AA222" s="6">
        <v>2458</v>
      </c>
      <c r="AB222" s="7" t="s">
        <v>4377</v>
      </c>
      <c r="AC222" s="7" t="str">
        <f>A222&amp;COUNTIF($A$2:A222,A222)</f>
        <v>110SW704-50001</v>
      </c>
      <c r="AD222" s="7">
        <v>44795</v>
      </c>
      <c r="AE222" s="7" t="s">
        <v>3790</v>
      </c>
      <c r="AF222" s="7" t="s">
        <v>3790</v>
      </c>
      <c r="AG222" s="5">
        <v>70</v>
      </c>
      <c r="AH222" s="5">
        <v>7</v>
      </c>
      <c r="AI222" s="5">
        <v>14</v>
      </c>
      <c r="AJ222" s="5">
        <v>3000</v>
      </c>
      <c r="AK222" s="5" t="str">
        <f t="shared" ca="1" si="3"/>
        <v>run complete</v>
      </c>
    </row>
    <row r="223" spans="1:37">
      <c r="A223" s="32" t="s">
        <v>2771</v>
      </c>
      <c r="B223" s="32" t="s">
        <v>3799</v>
      </c>
      <c r="C223" s="32" t="s">
        <v>3868</v>
      </c>
      <c r="D223" s="32" t="s">
        <v>3790</v>
      </c>
      <c r="E223" s="34" t="s">
        <v>6054</v>
      </c>
      <c r="F223" s="32" t="s">
        <v>3790</v>
      </c>
      <c r="G223" s="34" t="s">
        <v>3582</v>
      </c>
      <c r="H223" s="7" t="s">
        <v>3820</v>
      </c>
      <c r="I223" s="32" t="s">
        <v>3658</v>
      </c>
      <c r="J223" s="34" t="s">
        <v>3790</v>
      </c>
      <c r="K223" s="7" t="s">
        <v>3790</v>
      </c>
      <c r="L223" s="7" t="s">
        <v>3869</v>
      </c>
      <c r="M223" s="34" t="s">
        <v>5911</v>
      </c>
      <c r="N223" s="32" t="s">
        <v>3528</v>
      </c>
      <c r="O223" s="36">
        <v>5.24</v>
      </c>
      <c r="P223" s="32" t="s">
        <v>3790</v>
      </c>
      <c r="Q223" s="5" t="s">
        <v>3792</v>
      </c>
      <c r="R223" s="5" t="s">
        <v>3799</v>
      </c>
      <c r="S223" s="6">
        <v>543</v>
      </c>
      <c r="T223" s="6">
        <v>494</v>
      </c>
      <c r="U223" s="6">
        <v>0</v>
      </c>
      <c r="V223" s="7">
        <v>44851</v>
      </c>
      <c r="W223" s="7" t="s">
        <v>3790</v>
      </c>
      <c r="X223" s="7">
        <v>44997</v>
      </c>
      <c r="Y223" s="5" t="s">
        <v>4018</v>
      </c>
      <c r="Z223" s="5" t="s">
        <v>3790</v>
      </c>
      <c r="AA223" s="6">
        <v>494</v>
      </c>
      <c r="AB223" s="7" t="s">
        <v>4378</v>
      </c>
      <c r="AC223" s="7" t="str">
        <f>A223&amp;COUNTIF($A$2:A223,A223)</f>
        <v>110SW704-62001</v>
      </c>
      <c r="AD223" s="7">
        <v>44795</v>
      </c>
      <c r="AE223" s="7" t="s">
        <v>3790</v>
      </c>
      <c r="AF223" s="7" t="s">
        <v>3790</v>
      </c>
      <c r="AG223" s="5">
        <v>70</v>
      </c>
      <c r="AH223" s="5">
        <v>7</v>
      </c>
      <c r="AI223" s="5">
        <v>14</v>
      </c>
      <c r="AJ223" s="5">
        <v>500</v>
      </c>
      <c r="AK223" s="5" t="str">
        <f t="shared" ca="1" si="3"/>
        <v>run complete</v>
      </c>
    </row>
    <row r="224" spans="1:37">
      <c r="A224" s="32" t="s">
        <v>2812</v>
      </c>
      <c r="B224" s="32" t="s">
        <v>5572</v>
      </c>
      <c r="C224" s="32" t="s">
        <v>2813</v>
      </c>
      <c r="D224" s="32" t="s">
        <v>3790</v>
      </c>
      <c r="E224" s="34" t="s">
        <v>7539</v>
      </c>
      <c r="F224" s="32" t="s">
        <v>3790</v>
      </c>
      <c r="G224" s="34" t="s">
        <v>3797</v>
      </c>
      <c r="H224" s="7" t="s">
        <v>5573</v>
      </c>
      <c r="I224" s="32" t="s">
        <v>3658</v>
      </c>
      <c r="J224" s="34" t="s">
        <v>3790</v>
      </c>
      <c r="K224" s="7" t="s">
        <v>3790</v>
      </c>
      <c r="L224" s="7" t="s">
        <v>5574</v>
      </c>
      <c r="M224" s="34" t="s">
        <v>3582</v>
      </c>
      <c r="N224" s="32" t="s">
        <v>3528</v>
      </c>
      <c r="O224" s="36">
        <v>3.17</v>
      </c>
      <c r="P224" s="32" t="s">
        <v>3790</v>
      </c>
      <c r="Q224" s="5" t="s">
        <v>3792</v>
      </c>
      <c r="R224" s="5" t="s">
        <v>5572</v>
      </c>
      <c r="S224" s="6">
        <v>18198</v>
      </c>
      <c r="T224" s="6">
        <v>17698</v>
      </c>
      <c r="U224" s="6">
        <v>0</v>
      </c>
      <c r="V224" s="7">
        <v>44900</v>
      </c>
      <c r="W224" s="7" t="s">
        <v>3790</v>
      </c>
      <c r="X224" s="7">
        <v>45038</v>
      </c>
      <c r="Y224" s="5" t="s">
        <v>4018</v>
      </c>
      <c r="Z224" s="5" t="s">
        <v>3790</v>
      </c>
      <c r="AA224" s="6">
        <v>17698</v>
      </c>
      <c r="AB224" s="7" t="s">
        <v>5575</v>
      </c>
      <c r="AC224" s="7" t="str">
        <f>A224&amp;COUNTIF($A$2:A224,A224)</f>
        <v>110SW775-62001</v>
      </c>
      <c r="AD224" s="7">
        <v>44847</v>
      </c>
      <c r="AE224" s="7" t="s">
        <v>3790</v>
      </c>
      <c r="AF224" s="7" t="s">
        <v>3790</v>
      </c>
      <c r="AG224" s="5">
        <v>70</v>
      </c>
      <c r="AH224" s="5">
        <v>7</v>
      </c>
      <c r="AI224" s="5">
        <v>14</v>
      </c>
      <c r="AJ224" s="5">
        <v>20000</v>
      </c>
      <c r="AK224" s="5" t="str">
        <f t="shared" ca="1" si="3"/>
        <v>run complete</v>
      </c>
    </row>
    <row r="225" spans="1:37">
      <c r="A225" s="32" t="s">
        <v>2844</v>
      </c>
      <c r="B225" s="32" t="s">
        <v>3953</v>
      </c>
      <c r="C225" s="32" t="s">
        <v>3954</v>
      </c>
      <c r="D225" s="32" t="s">
        <v>3701</v>
      </c>
      <c r="E225" s="34">
        <v>1329</v>
      </c>
      <c r="F225" s="32" t="s">
        <v>3914</v>
      </c>
      <c r="G225" s="34">
        <v>2000</v>
      </c>
      <c r="H225" s="7">
        <v>44866</v>
      </c>
      <c r="I225" s="32" t="s">
        <v>3526</v>
      </c>
      <c r="J225" s="34">
        <v>0</v>
      </c>
      <c r="L225" s="7">
        <v>44962</v>
      </c>
      <c r="M225" s="34">
        <v>95</v>
      </c>
      <c r="N225" s="32" t="s">
        <v>3528</v>
      </c>
      <c r="O225" s="36">
        <v>4.63</v>
      </c>
      <c r="P225" s="32" t="s">
        <v>3701</v>
      </c>
      <c r="Q225" s="5" t="s">
        <v>3911</v>
      </c>
      <c r="R225" s="5" t="s">
        <v>3953</v>
      </c>
      <c r="S225" s="6">
        <v>1329</v>
      </c>
      <c r="T225" s="6">
        <v>1234</v>
      </c>
      <c r="U225" s="6">
        <v>0</v>
      </c>
      <c r="V225" s="7">
        <v>44866</v>
      </c>
      <c r="W225" s="7" t="s">
        <v>3790</v>
      </c>
      <c r="X225" s="7">
        <v>44962</v>
      </c>
      <c r="Y225" s="5" t="s">
        <v>4018</v>
      </c>
      <c r="Z225" s="5" t="s">
        <v>3790</v>
      </c>
      <c r="AA225" s="6">
        <v>1234</v>
      </c>
      <c r="AB225" s="7" t="s">
        <v>4385</v>
      </c>
      <c r="AC225" s="7" t="str">
        <f>A225&amp;COUNTIF($A$2:A225,A225)</f>
        <v>110VA202-50001</v>
      </c>
      <c r="AD225" s="7">
        <v>44739</v>
      </c>
      <c r="AE225" s="7" t="s">
        <v>3790</v>
      </c>
      <c r="AF225" s="7" t="s">
        <v>3790</v>
      </c>
      <c r="AG225" s="5">
        <v>196</v>
      </c>
      <c r="AH225" s="5">
        <v>14</v>
      </c>
      <c r="AI225" s="5">
        <v>14</v>
      </c>
      <c r="AJ225" s="5">
        <v>2000</v>
      </c>
      <c r="AK225" s="5" t="str">
        <f t="shared" ca="1" si="3"/>
        <v>run complete</v>
      </c>
    </row>
    <row r="226" spans="1:37">
      <c r="A226" s="32" t="s">
        <v>2846</v>
      </c>
      <c r="B226" s="32" t="s">
        <v>3953</v>
      </c>
      <c r="C226" s="32" t="s">
        <v>3955</v>
      </c>
      <c r="D226" s="32" t="s">
        <v>3701</v>
      </c>
      <c r="E226" s="34">
        <v>1464</v>
      </c>
      <c r="F226" s="32" t="s">
        <v>3914</v>
      </c>
      <c r="G226" s="34">
        <v>1000</v>
      </c>
      <c r="H226" s="7">
        <v>44866</v>
      </c>
      <c r="I226" s="32" t="s">
        <v>3526</v>
      </c>
      <c r="J226" s="34">
        <v>0</v>
      </c>
      <c r="L226" s="7">
        <v>44962</v>
      </c>
      <c r="M226" s="34">
        <v>464</v>
      </c>
      <c r="N226" s="32" t="s">
        <v>3528</v>
      </c>
      <c r="O226" s="36">
        <v>4.63</v>
      </c>
      <c r="P226" s="32" t="s">
        <v>3701</v>
      </c>
      <c r="Q226" s="5" t="s">
        <v>3911</v>
      </c>
      <c r="R226" s="5" t="s">
        <v>3953</v>
      </c>
      <c r="S226" s="6">
        <v>1464</v>
      </c>
      <c r="T226" s="6">
        <v>1000</v>
      </c>
      <c r="U226" s="6">
        <v>0</v>
      </c>
      <c r="V226" s="7">
        <v>44866</v>
      </c>
      <c r="W226" s="7" t="s">
        <v>3790</v>
      </c>
      <c r="X226" s="7">
        <v>44962</v>
      </c>
      <c r="Y226" s="5" t="s">
        <v>4018</v>
      </c>
      <c r="Z226" s="5" t="s">
        <v>3790</v>
      </c>
      <c r="AA226" s="6">
        <v>1000</v>
      </c>
      <c r="AB226" s="7" t="s">
        <v>4386</v>
      </c>
      <c r="AC226" s="7" t="str">
        <f>A226&amp;COUNTIF($A$2:A226,A226)</f>
        <v>110VA202-62001</v>
      </c>
      <c r="AD226" s="7">
        <v>44739</v>
      </c>
      <c r="AE226" s="7" t="s">
        <v>3790</v>
      </c>
      <c r="AF226" s="7" t="s">
        <v>3790</v>
      </c>
      <c r="AG226" s="5">
        <v>196</v>
      </c>
      <c r="AH226" s="5">
        <v>14</v>
      </c>
      <c r="AI226" s="5">
        <v>14</v>
      </c>
      <c r="AJ226" s="5">
        <v>1000</v>
      </c>
      <c r="AK226" s="5" t="str">
        <f t="shared" ca="1" si="3"/>
        <v>run complete</v>
      </c>
    </row>
    <row r="227" spans="1:37">
      <c r="A227" s="32" t="s">
        <v>2856</v>
      </c>
      <c r="B227" s="32">
        <v>7076</v>
      </c>
      <c r="C227" s="32" t="s">
        <v>3781</v>
      </c>
      <c r="E227" s="34">
        <v>2213</v>
      </c>
      <c r="G227" s="34">
        <v>2000</v>
      </c>
      <c r="H227" s="7">
        <v>44896</v>
      </c>
      <c r="I227" s="32" t="s">
        <v>3658</v>
      </c>
      <c r="N227" s="32">
        <v>6</v>
      </c>
      <c r="O227" s="36">
        <v>4.8</v>
      </c>
      <c r="P227" s="32" t="s">
        <v>7758</v>
      </c>
      <c r="Q227" s="5" t="s">
        <v>893</v>
      </c>
      <c r="R227" s="5" t="s">
        <v>4234</v>
      </c>
      <c r="S227" s="6">
        <v>2213</v>
      </c>
      <c r="T227" s="6">
        <v>2213</v>
      </c>
      <c r="U227" s="6">
        <v>0</v>
      </c>
      <c r="V227" s="7">
        <v>44896</v>
      </c>
      <c r="W227" s="7" t="s">
        <v>3790</v>
      </c>
      <c r="X227" s="7" t="s">
        <v>3790</v>
      </c>
      <c r="Y227" s="5" t="s">
        <v>4018</v>
      </c>
      <c r="Z227" s="5" t="s">
        <v>3790</v>
      </c>
      <c r="AA227" s="6">
        <v>2213</v>
      </c>
      <c r="AB227" s="7" t="s">
        <v>4387</v>
      </c>
      <c r="AC227" s="7" t="str">
        <f>A227&amp;COUNTIF($A$2:A227,A227)</f>
        <v>110VA702-50001</v>
      </c>
      <c r="AD227" s="7">
        <v>44750</v>
      </c>
      <c r="AE227" s="7" t="s">
        <v>3790</v>
      </c>
      <c r="AF227" s="7" t="s">
        <v>3790</v>
      </c>
      <c r="AG227" s="5">
        <v>140</v>
      </c>
      <c r="AH227" s="5">
        <v>14</v>
      </c>
      <c r="AI227" s="5">
        <v>14</v>
      </c>
      <c r="AJ227" s="5">
        <v>2000</v>
      </c>
      <c r="AK227" s="5" t="str">
        <f t="shared" ca="1" si="3"/>
        <v>run complete</v>
      </c>
    </row>
    <row r="228" spans="1:37">
      <c r="A228" s="32" t="s">
        <v>2858</v>
      </c>
      <c r="B228" s="32">
        <v>7076</v>
      </c>
      <c r="C228" s="32" t="s">
        <v>3781</v>
      </c>
      <c r="E228" s="34">
        <v>1057</v>
      </c>
      <c r="G228" s="34">
        <v>1000</v>
      </c>
      <c r="H228" s="7">
        <v>44896</v>
      </c>
      <c r="I228" s="32" t="s">
        <v>3658</v>
      </c>
      <c r="N228" s="32">
        <v>6</v>
      </c>
      <c r="O228" s="36">
        <v>4.8</v>
      </c>
      <c r="P228" s="32" t="s">
        <v>7761</v>
      </c>
      <c r="Q228" s="5" t="s">
        <v>893</v>
      </c>
      <c r="R228" s="5" t="s">
        <v>4234</v>
      </c>
      <c r="S228" s="6">
        <v>1057</v>
      </c>
      <c r="T228" s="6">
        <v>1057</v>
      </c>
      <c r="U228" s="6">
        <v>0</v>
      </c>
      <c r="V228" s="7">
        <v>44896</v>
      </c>
      <c r="W228" s="7" t="s">
        <v>3790</v>
      </c>
      <c r="X228" s="7" t="s">
        <v>3790</v>
      </c>
      <c r="Y228" s="5" t="s">
        <v>4018</v>
      </c>
      <c r="Z228" s="5" t="s">
        <v>3790</v>
      </c>
      <c r="AA228" s="6">
        <v>1057</v>
      </c>
      <c r="AB228" s="7" t="s">
        <v>4388</v>
      </c>
      <c r="AC228" s="7" t="str">
        <f>A228&amp;COUNTIF($A$2:A228,A228)</f>
        <v>110VA702-62001</v>
      </c>
      <c r="AD228" s="7">
        <v>44750</v>
      </c>
      <c r="AE228" s="7" t="s">
        <v>3790</v>
      </c>
      <c r="AF228" s="7" t="s">
        <v>3790</v>
      </c>
      <c r="AG228" s="5">
        <v>140</v>
      </c>
      <c r="AH228" s="5">
        <v>14</v>
      </c>
      <c r="AI228" s="5">
        <v>14</v>
      </c>
      <c r="AJ228" s="5">
        <v>1000</v>
      </c>
      <c r="AK228" s="5" t="str">
        <f t="shared" ca="1" si="3"/>
        <v>run complete</v>
      </c>
    </row>
    <row r="229" spans="1:37">
      <c r="A229" s="32" t="s">
        <v>2867</v>
      </c>
      <c r="B229" s="32" t="s">
        <v>3962</v>
      </c>
      <c r="C229" s="32" t="s">
        <v>3965</v>
      </c>
      <c r="D229" s="32" t="s">
        <v>3701</v>
      </c>
      <c r="E229" s="34">
        <v>3128</v>
      </c>
      <c r="F229" s="32" t="s">
        <v>3914</v>
      </c>
      <c r="G229" s="34">
        <v>3000</v>
      </c>
      <c r="H229" s="7">
        <v>44854</v>
      </c>
      <c r="I229" s="32" t="s">
        <v>3526</v>
      </c>
      <c r="J229" s="34">
        <v>0</v>
      </c>
      <c r="L229" s="7">
        <v>45062</v>
      </c>
      <c r="M229" s="34">
        <v>768</v>
      </c>
      <c r="N229" s="32" t="s">
        <v>3528</v>
      </c>
      <c r="O229" s="36">
        <v>4.63</v>
      </c>
      <c r="P229" s="32" t="s">
        <v>3701</v>
      </c>
      <c r="Q229" s="5" t="s">
        <v>3911</v>
      </c>
      <c r="R229" s="5" t="s">
        <v>3962</v>
      </c>
      <c r="S229" s="6">
        <v>3128</v>
      </c>
      <c r="T229" s="6">
        <v>2360</v>
      </c>
      <c r="U229" s="6">
        <v>0</v>
      </c>
      <c r="V229" s="7">
        <v>44854</v>
      </c>
      <c r="W229" s="7" t="s">
        <v>3790</v>
      </c>
      <c r="X229" s="7">
        <v>45062</v>
      </c>
      <c r="Y229" s="5" t="s">
        <v>4018</v>
      </c>
      <c r="Z229" s="5" t="s">
        <v>3790</v>
      </c>
      <c r="AA229" s="6">
        <v>2360</v>
      </c>
      <c r="AB229" s="7" t="s">
        <v>4389</v>
      </c>
      <c r="AC229" s="7" t="str">
        <f>A229&amp;COUNTIF($A$2:A229,A229)</f>
        <v>110VS202-62001</v>
      </c>
      <c r="AD229" s="7">
        <v>44761</v>
      </c>
      <c r="AE229" s="7" t="s">
        <v>3790</v>
      </c>
      <c r="AF229" s="7" t="s">
        <v>3790</v>
      </c>
      <c r="AG229" s="5">
        <v>196</v>
      </c>
      <c r="AH229" s="5">
        <v>14</v>
      </c>
      <c r="AI229" s="5">
        <v>14</v>
      </c>
      <c r="AJ229" s="5">
        <v>3000</v>
      </c>
      <c r="AK229" s="5" t="str">
        <f t="shared" ca="1" si="3"/>
        <v>run complete</v>
      </c>
    </row>
    <row r="230" spans="1:37">
      <c r="A230" s="32" t="s">
        <v>2895</v>
      </c>
      <c r="B230" s="32">
        <v>6981</v>
      </c>
      <c r="C230" s="32" t="s">
        <v>2894</v>
      </c>
      <c r="D230" s="32" t="s">
        <v>3663</v>
      </c>
      <c r="E230" s="34">
        <v>703</v>
      </c>
      <c r="F230" s="32" t="s">
        <v>3657</v>
      </c>
      <c r="G230" s="34">
        <v>2200</v>
      </c>
      <c r="H230" s="7">
        <v>44750</v>
      </c>
      <c r="I230" s="32" t="s">
        <v>3526</v>
      </c>
      <c r="K230" s="7">
        <v>44803</v>
      </c>
      <c r="L230" s="7">
        <v>44895</v>
      </c>
      <c r="M230" s="34">
        <v>895</v>
      </c>
      <c r="N230" s="32">
        <v>3</v>
      </c>
      <c r="O230" s="36">
        <v>5.69</v>
      </c>
      <c r="Q230" s="5" t="s">
        <v>3787</v>
      </c>
      <c r="R230" s="5" t="s">
        <v>4392</v>
      </c>
      <c r="S230" s="6">
        <v>703</v>
      </c>
      <c r="T230" s="6">
        <v>-192</v>
      </c>
      <c r="U230" s="6">
        <v>0</v>
      </c>
      <c r="V230" s="7">
        <v>44750</v>
      </c>
      <c r="W230" s="7">
        <v>44803</v>
      </c>
      <c r="X230" s="7">
        <v>44895</v>
      </c>
      <c r="Y230" s="5" t="s">
        <v>4018</v>
      </c>
      <c r="Z230" s="5" t="s">
        <v>5554</v>
      </c>
      <c r="AA230" s="6">
        <v>-192</v>
      </c>
      <c r="AB230" s="7" t="s">
        <v>4393</v>
      </c>
      <c r="AC230" s="7" t="str">
        <f>A230&amp;COUNTIF($A$2:A230,A230)</f>
        <v>110WA300-62001</v>
      </c>
      <c r="AD230" s="7" t="s">
        <v>4068</v>
      </c>
      <c r="AE230" s="7" t="s">
        <v>3790</v>
      </c>
      <c r="AF230" s="7" t="s">
        <v>3790</v>
      </c>
      <c r="AG230" s="5">
        <v>168</v>
      </c>
      <c r="AH230" s="5">
        <v>42</v>
      </c>
      <c r="AI230" s="5">
        <v>14</v>
      </c>
      <c r="AJ230" s="5">
        <v>2200</v>
      </c>
      <c r="AK230" s="5" t="str">
        <f t="shared" ca="1" si="3"/>
        <v>run complete</v>
      </c>
    </row>
    <row r="231" spans="1:37">
      <c r="A231" s="32" t="s">
        <v>2930</v>
      </c>
      <c r="B231" s="32">
        <v>7011</v>
      </c>
      <c r="C231" s="32" t="s">
        <v>3889</v>
      </c>
      <c r="E231" s="34">
        <v>2421</v>
      </c>
      <c r="F231" s="32" t="s">
        <v>3881</v>
      </c>
      <c r="G231" s="34">
        <v>2200</v>
      </c>
      <c r="H231" s="7">
        <v>44903</v>
      </c>
      <c r="I231" s="32" t="s">
        <v>3658</v>
      </c>
      <c r="L231" s="7">
        <v>45054</v>
      </c>
      <c r="N231" s="32">
        <v>6</v>
      </c>
      <c r="O231" s="36">
        <v>6.51</v>
      </c>
      <c r="Q231" s="5" t="s">
        <v>3882</v>
      </c>
      <c r="R231" s="5" t="s">
        <v>4095</v>
      </c>
      <c r="S231" s="6">
        <v>2421</v>
      </c>
      <c r="T231" s="6">
        <v>2421</v>
      </c>
      <c r="U231" s="6">
        <v>0</v>
      </c>
      <c r="V231" s="7">
        <v>44903</v>
      </c>
      <c r="W231" s="7" t="s">
        <v>3790</v>
      </c>
      <c r="X231" s="7">
        <v>45054</v>
      </c>
      <c r="Y231" s="5" t="s">
        <v>4018</v>
      </c>
      <c r="Z231" s="5" t="s">
        <v>3790</v>
      </c>
      <c r="AA231" s="6">
        <v>2421</v>
      </c>
      <c r="AB231" s="7" t="s">
        <v>4397</v>
      </c>
      <c r="AC231" s="7" t="str">
        <f>A231&amp;COUNTIF($A$2:A231,A231)</f>
        <v>110WC200-62001</v>
      </c>
      <c r="AD231" s="7">
        <v>44690</v>
      </c>
      <c r="AE231" s="7" t="s">
        <v>3790</v>
      </c>
      <c r="AF231" s="7" t="s">
        <v>3790</v>
      </c>
      <c r="AG231" s="5">
        <v>84</v>
      </c>
      <c r="AH231" s="5">
        <v>14</v>
      </c>
      <c r="AI231" s="5">
        <v>14</v>
      </c>
      <c r="AJ231" s="5">
        <v>2200</v>
      </c>
      <c r="AK231" s="5" t="str">
        <f t="shared" ca="1" si="3"/>
        <v>run complete</v>
      </c>
    </row>
    <row r="232" spans="1:37">
      <c r="A232" s="32" t="s">
        <v>2961</v>
      </c>
      <c r="B232" s="32" t="s">
        <v>3634</v>
      </c>
      <c r="C232" s="32" t="s">
        <v>3635</v>
      </c>
      <c r="E232" s="34" t="s">
        <v>5252</v>
      </c>
      <c r="F232" s="32" t="s">
        <v>3524</v>
      </c>
      <c r="G232" s="34" t="s">
        <v>3618</v>
      </c>
      <c r="H232" s="7" t="s">
        <v>3584</v>
      </c>
      <c r="I232" s="32" t="s">
        <v>3526</v>
      </c>
      <c r="J232" s="34" t="s">
        <v>3527</v>
      </c>
      <c r="L232" s="7" t="s">
        <v>6086</v>
      </c>
      <c r="M232" s="34" t="s">
        <v>3567</v>
      </c>
      <c r="N232" s="32" t="s">
        <v>3532</v>
      </c>
      <c r="O232" s="36" t="s">
        <v>3636</v>
      </c>
      <c r="Q232" s="5" t="s">
        <v>5428</v>
      </c>
      <c r="R232" s="5" t="s">
        <v>3530</v>
      </c>
      <c r="S232" s="6">
        <v>1642</v>
      </c>
      <c r="T232" s="6">
        <v>1609</v>
      </c>
      <c r="U232" s="6">
        <v>0</v>
      </c>
      <c r="V232" s="7">
        <v>44796</v>
      </c>
      <c r="W232" s="7" t="s">
        <v>3790</v>
      </c>
      <c r="X232" s="7">
        <v>44989</v>
      </c>
      <c r="Y232" s="5" t="s">
        <v>4018</v>
      </c>
      <c r="Z232" s="5" t="s">
        <v>3790</v>
      </c>
      <c r="AA232" s="6">
        <v>1609</v>
      </c>
      <c r="AB232" s="7" t="s">
        <v>4401</v>
      </c>
      <c r="AC232" s="7" t="str">
        <f>A232&amp;COUNTIF($A$2:A232,A232)</f>
        <v>110WF011-50001</v>
      </c>
      <c r="AD232" s="7">
        <v>44588</v>
      </c>
      <c r="AE232" s="7" t="s">
        <v>3790</v>
      </c>
      <c r="AF232" s="7" t="s">
        <v>3790</v>
      </c>
      <c r="AG232" s="5">
        <v>84</v>
      </c>
      <c r="AH232" s="5">
        <v>56</v>
      </c>
      <c r="AI232" s="5">
        <v>14</v>
      </c>
      <c r="AJ232" s="5">
        <v>1601</v>
      </c>
      <c r="AK232" s="5" t="str">
        <f t="shared" ca="1" si="3"/>
        <v>run complete</v>
      </c>
    </row>
    <row r="233" spans="1:37">
      <c r="A233" s="32" t="s">
        <v>2963</v>
      </c>
      <c r="B233" s="32" t="s">
        <v>3634</v>
      </c>
      <c r="C233" s="32" t="s">
        <v>3635</v>
      </c>
      <c r="E233" s="34" t="s">
        <v>7542</v>
      </c>
      <c r="F233" s="32" t="s">
        <v>3524</v>
      </c>
      <c r="G233" s="34" t="s">
        <v>3640</v>
      </c>
      <c r="H233" s="7" t="s">
        <v>3584</v>
      </c>
      <c r="I233" s="32" t="s">
        <v>3526</v>
      </c>
      <c r="J233" s="34" t="s">
        <v>3527</v>
      </c>
      <c r="L233" s="7" t="s">
        <v>5875</v>
      </c>
      <c r="M233" s="34" t="s">
        <v>3641</v>
      </c>
      <c r="N233" s="32" t="s">
        <v>3532</v>
      </c>
      <c r="O233" s="36" t="s">
        <v>3636</v>
      </c>
      <c r="Q233" s="5" t="s">
        <v>5428</v>
      </c>
      <c r="R233" s="5" t="s">
        <v>3530</v>
      </c>
      <c r="S233" s="6">
        <v>4273</v>
      </c>
      <c r="T233" s="6">
        <v>3638</v>
      </c>
      <c r="U233" s="6">
        <v>0</v>
      </c>
      <c r="V233" s="7">
        <v>44796</v>
      </c>
      <c r="W233" s="7" t="s">
        <v>3790</v>
      </c>
      <c r="X233" s="7">
        <v>45029</v>
      </c>
      <c r="Y233" s="5" t="s">
        <v>4018</v>
      </c>
      <c r="Z233" s="5" t="s">
        <v>3790</v>
      </c>
      <c r="AA233" s="6">
        <v>3638</v>
      </c>
      <c r="AB233" s="7" t="s">
        <v>4402</v>
      </c>
      <c r="AC233" s="7" t="str">
        <f>A233&amp;COUNTIF($A$2:A233,A233)</f>
        <v>110WF011-62001</v>
      </c>
      <c r="AD233" s="7">
        <v>44588</v>
      </c>
      <c r="AE233" s="7" t="s">
        <v>3790</v>
      </c>
      <c r="AF233" s="7" t="s">
        <v>3790</v>
      </c>
      <c r="AG233" s="5">
        <v>84</v>
      </c>
      <c r="AH233" s="5">
        <v>56</v>
      </c>
      <c r="AI233" s="5">
        <v>14</v>
      </c>
      <c r="AJ233" s="5">
        <v>5000</v>
      </c>
      <c r="AK233" s="5" t="str">
        <f t="shared" ca="1" si="3"/>
        <v>run complete</v>
      </c>
    </row>
    <row r="234" spans="1:37">
      <c r="A234" s="32" t="s">
        <v>2963</v>
      </c>
      <c r="B234" s="32" t="s">
        <v>3637</v>
      </c>
      <c r="C234" s="32" t="s">
        <v>3635</v>
      </c>
      <c r="E234" s="34" t="s">
        <v>5366</v>
      </c>
      <c r="F234" s="32" t="s">
        <v>3524</v>
      </c>
      <c r="G234" s="34" t="s">
        <v>3531</v>
      </c>
      <c r="H234" s="7" t="s">
        <v>3638</v>
      </c>
      <c r="I234" s="32" t="s">
        <v>3526</v>
      </c>
      <c r="J234" s="34" t="s">
        <v>3527</v>
      </c>
      <c r="L234" s="7" t="s">
        <v>5875</v>
      </c>
      <c r="M234" s="34" t="s">
        <v>5253</v>
      </c>
      <c r="N234" s="32" t="s">
        <v>3532</v>
      </c>
      <c r="O234" s="36" t="s">
        <v>3639</v>
      </c>
      <c r="Q234" s="5" t="s">
        <v>5428</v>
      </c>
      <c r="R234" s="5" t="s">
        <v>3637</v>
      </c>
      <c r="S234" s="6">
        <v>2412</v>
      </c>
      <c r="T234" s="6">
        <v>2200</v>
      </c>
      <c r="U234" s="6">
        <v>0</v>
      </c>
      <c r="V234" s="7">
        <v>44823</v>
      </c>
      <c r="W234" s="7" t="s">
        <v>3790</v>
      </c>
      <c r="X234" s="7">
        <v>45029</v>
      </c>
      <c r="Y234" s="5" t="s">
        <v>4018</v>
      </c>
      <c r="Z234" s="5" t="s">
        <v>3790</v>
      </c>
      <c r="AA234" s="6">
        <v>2200</v>
      </c>
      <c r="AB234" s="7" t="s">
        <v>4403</v>
      </c>
      <c r="AC234" s="7" t="str">
        <f>A234&amp;COUNTIF($A$2:A234,A234)</f>
        <v>110WF011-62002</v>
      </c>
      <c r="AD234" s="7">
        <v>44727</v>
      </c>
      <c r="AE234" s="7" t="s">
        <v>3790</v>
      </c>
      <c r="AF234" s="7" t="s">
        <v>3790</v>
      </c>
      <c r="AG234" s="5">
        <v>84</v>
      </c>
      <c r="AH234" s="5">
        <v>56</v>
      </c>
      <c r="AI234" s="5">
        <v>14</v>
      </c>
      <c r="AJ234" s="5">
        <v>2200</v>
      </c>
      <c r="AK234" s="5" t="str">
        <f t="shared" ca="1" si="3"/>
        <v>run complete</v>
      </c>
    </row>
    <row r="235" spans="1:37">
      <c r="A235" s="32" t="s">
        <v>2970</v>
      </c>
      <c r="B235" s="32">
        <v>6865</v>
      </c>
      <c r="C235" s="32" t="s">
        <v>2971</v>
      </c>
      <c r="E235" s="34">
        <v>466</v>
      </c>
      <c r="G235" s="34">
        <v>1000</v>
      </c>
      <c r="H235" s="7">
        <v>44762</v>
      </c>
      <c r="I235" s="32" t="s">
        <v>3658</v>
      </c>
      <c r="L235" s="7">
        <v>44942</v>
      </c>
      <c r="N235" s="32">
        <v>6</v>
      </c>
      <c r="O235" s="36">
        <v>4.6100000000000003</v>
      </c>
      <c r="P235" s="32" t="s">
        <v>5269</v>
      </c>
      <c r="Q235" s="5" t="s">
        <v>893</v>
      </c>
      <c r="R235" s="5" t="s">
        <v>4351</v>
      </c>
      <c r="S235" s="6">
        <v>466</v>
      </c>
      <c r="T235" s="6">
        <v>466</v>
      </c>
      <c r="U235" s="6">
        <v>0</v>
      </c>
      <c r="V235" s="7">
        <v>44762</v>
      </c>
      <c r="W235" s="7" t="s">
        <v>3790</v>
      </c>
      <c r="X235" s="7">
        <v>44942</v>
      </c>
      <c r="Y235" s="5" t="s">
        <v>4018</v>
      </c>
      <c r="Z235" s="5" t="s">
        <v>5553</v>
      </c>
      <c r="AA235" s="6">
        <v>466</v>
      </c>
      <c r="AB235" s="7" t="s">
        <v>4404</v>
      </c>
      <c r="AC235" s="7" t="str">
        <f>A235&amp;COUNTIF($A$2:A235,A235)</f>
        <v>110WK017-50001</v>
      </c>
      <c r="AD235" s="7">
        <v>44482</v>
      </c>
      <c r="AE235" s="7" t="s">
        <v>3790</v>
      </c>
      <c r="AF235" s="7" t="s">
        <v>3790</v>
      </c>
      <c r="AG235" s="5">
        <v>140</v>
      </c>
      <c r="AH235" s="5">
        <v>14</v>
      </c>
      <c r="AI235" s="5">
        <v>14</v>
      </c>
      <c r="AJ235" s="5">
        <v>1000</v>
      </c>
      <c r="AK235" s="5" t="str">
        <f t="shared" ca="1" si="3"/>
        <v>run complete</v>
      </c>
    </row>
    <row r="236" spans="1:37">
      <c r="A236" s="32" t="s">
        <v>2972</v>
      </c>
      <c r="B236" s="32">
        <v>6865</v>
      </c>
      <c r="C236" s="32" t="s">
        <v>2971</v>
      </c>
      <c r="E236" s="34">
        <v>776</v>
      </c>
      <c r="G236" s="34">
        <v>2000</v>
      </c>
      <c r="H236" s="7">
        <v>44762</v>
      </c>
      <c r="I236" s="32" t="s">
        <v>3658</v>
      </c>
      <c r="L236" s="7">
        <v>44942</v>
      </c>
      <c r="N236" s="32">
        <v>6</v>
      </c>
      <c r="O236" s="36">
        <v>4.6100000000000003</v>
      </c>
      <c r="P236" s="32" t="s">
        <v>5270</v>
      </c>
      <c r="Q236" s="5" t="s">
        <v>893</v>
      </c>
      <c r="R236" s="5" t="s">
        <v>4351</v>
      </c>
      <c r="S236" s="6">
        <v>776</v>
      </c>
      <c r="T236" s="6">
        <v>776</v>
      </c>
      <c r="U236" s="6">
        <v>0</v>
      </c>
      <c r="V236" s="7">
        <v>44762</v>
      </c>
      <c r="W236" s="7" t="s">
        <v>3790</v>
      </c>
      <c r="X236" s="7">
        <v>44942</v>
      </c>
      <c r="Y236" s="5" t="s">
        <v>4018</v>
      </c>
      <c r="Z236" s="5" t="s">
        <v>5553</v>
      </c>
      <c r="AA236" s="6">
        <v>776</v>
      </c>
      <c r="AB236" s="7" t="s">
        <v>4405</v>
      </c>
      <c r="AC236" s="7" t="str">
        <f>A236&amp;COUNTIF($A$2:A236,A236)</f>
        <v>110WK017-62001</v>
      </c>
      <c r="AD236" s="7">
        <v>44482</v>
      </c>
      <c r="AE236" s="7" t="s">
        <v>3790</v>
      </c>
      <c r="AF236" s="7" t="s">
        <v>3790</v>
      </c>
      <c r="AG236" s="5">
        <v>140</v>
      </c>
      <c r="AH236" s="5">
        <v>14</v>
      </c>
      <c r="AI236" s="5">
        <v>14</v>
      </c>
      <c r="AJ236" s="5">
        <v>2000</v>
      </c>
      <c r="AK236" s="5" t="str">
        <f t="shared" ca="1" si="3"/>
        <v>run complete</v>
      </c>
    </row>
    <row r="237" spans="1:37">
      <c r="A237" s="32" t="s">
        <v>2984</v>
      </c>
      <c r="B237" s="32">
        <v>7125</v>
      </c>
      <c r="C237" s="32" t="s">
        <v>2985</v>
      </c>
      <c r="E237" s="34">
        <v>706</v>
      </c>
      <c r="G237" s="34">
        <v>1000</v>
      </c>
      <c r="H237" s="7">
        <v>44840</v>
      </c>
      <c r="I237" s="32" t="s">
        <v>3658</v>
      </c>
      <c r="L237" s="7">
        <v>45022</v>
      </c>
      <c r="N237" s="32">
        <v>6</v>
      </c>
      <c r="O237" s="36">
        <v>4.8</v>
      </c>
      <c r="P237" s="32" t="s">
        <v>5576</v>
      </c>
      <c r="Q237" s="5" t="s">
        <v>893</v>
      </c>
      <c r="R237" s="5" t="s">
        <v>4406</v>
      </c>
      <c r="S237" s="6">
        <v>706</v>
      </c>
      <c r="T237" s="6">
        <v>706</v>
      </c>
      <c r="U237" s="6">
        <v>0</v>
      </c>
      <c r="V237" s="7">
        <v>44840</v>
      </c>
      <c r="W237" s="7" t="s">
        <v>3790</v>
      </c>
      <c r="X237" s="7">
        <v>45022</v>
      </c>
      <c r="Y237" s="5" t="s">
        <v>4018</v>
      </c>
      <c r="Z237" s="5" t="s">
        <v>3790</v>
      </c>
      <c r="AA237" s="6">
        <v>706</v>
      </c>
      <c r="AB237" s="7" t="s">
        <v>4407</v>
      </c>
      <c r="AC237" s="7" t="str">
        <f>A237&amp;COUNTIF($A$2:A237,A237)</f>
        <v>110WK025-50001</v>
      </c>
      <c r="AD237" s="7">
        <v>44804</v>
      </c>
      <c r="AE237" s="7" t="s">
        <v>3790</v>
      </c>
      <c r="AF237" s="7" t="s">
        <v>3790</v>
      </c>
      <c r="AG237" s="5">
        <v>140</v>
      </c>
      <c r="AH237" s="5">
        <v>14</v>
      </c>
      <c r="AI237" s="5">
        <v>14</v>
      </c>
      <c r="AJ237" s="5">
        <v>1000</v>
      </c>
      <c r="AK237" s="5" t="str">
        <f t="shared" ca="1" si="3"/>
        <v>run complete</v>
      </c>
    </row>
    <row r="238" spans="1:37">
      <c r="A238" s="32" t="s">
        <v>2986</v>
      </c>
      <c r="B238" s="32">
        <v>7125</v>
      </c>
      <c r="C238" s="32" t="s">
        <v>2985</v>
      </c>
      <c r="E238" s="34">
        <v>1706</v>
      </c>
      <c r="G238" s="34">
        <v>2000</v>
      </c>
      <c r="H238" s="7">
        <v>44840</v>
      </c>
      <c r="I238" s="32" t="s">
        <v>3658</v>
      </c>
      <c r="L238" s="7">
        <v>45022</v>
      </c>
      <c r="N238" s="32">
        <v>6</v>
      </c>
      <c r="O238" s="36">
        <v>4.8</v>
      </c>
      <c r="P238" s="32" t="s">
        <v>5577</v>
      </c>
      <c r="Q238" s="5" t="s">
        <v>893</v>
      </c>
      <c r="R238" s="5" t="s">
        <v>4406</v>
      </c>
      <c r="S238" s="6">
        <v>1706</v>
      </c>
      <c r="T238" s="6">
        <v>1706</v>
      </c>
      <c r="U238" s="6">
        <v>0</v>
      </c>
      <c r="V238" s="7">
        <v>44840</v>
      </c>
      <c r="W238" s="7" t="s">
        <v>3790</v>
      </c>
      <c r="X238" s="7">
        <v>45022</v>
      </c>
      <c r="Y238" s="5" t="s">
        <v>4018</v>
      </c>
      <c r="Z238" s="5" t="s">
        <v>3790</v>
      </c>
      <c r="AA238" s="6">
        <v>1706</v>
      </c>
      <c r="AB238" s="7" t="s">
        <v>4408</v>
      </c>
      <c r="AC238" s="7" t="str">
        <f>A238&amp;COUNTIF($A$2:A238,A238)</f>
        <v>110WK025-62001</v>
      </c>
      <c r="AD238" s="7">
        <v>44804</v>
      </c>
      <c r="AE238" s="7" t="s">
        <v>3790</v>
      </c>
      <c r="AF238" s="7" t="s">
        <v>3790</v>
      </c>
      <c r="AG238" s="5">
        <v>140</v>
      </c>
      <c r="AH238" s="5">
        <v>14</v>
      </c>
      <c r="AI238" s="5">
        <v>14</v>
      </c>
      <c r="AJ238" s="5">
        <v>2000</v>
      </c>
      <c r="AK238" s="5" t="str">
        <f t="shared" ca="1" si="3"/>
        <v>run complete</v>
      </c>
    </row>
    <row r="239" spans="1:37">
      <c r="A239" s="32" t="s">
        <v>3009</v>
      </c>
      <c r="B239" s="32">
        <v>6779</v>
      </c>
      <c r="C239" s="32" t="s">
        <v>3672</v>
      </c>
      <c r="D239" s="32" t="s">
        <v>3663</v>
      </c>
      <c r="E239" s="34">
        <v>1148</v>
      </c>
      <c r="F239" s="32" t="s">
        <v>3661</v>
      </c>
      <c r="G239" s="34">
        <v>1000</v>
      </c>
      <c r="H239" s="7">
        <v>44582</v>
      </c>
      <c r="I239" s="32" t="s">
        <v>3658</v>
      </c>
      <c r="L239" s="7">
        <v>44930</v>
      </c>
      <c r="M239" s="34">
        <v>148</v>
      </c>
      <c r="N239" s="32">
        <v>3</v>
      </c>
      <c r="O239" s="36">
        <v>5.58</v>
      </c>
      <c r="Q239" s="5" t="s">
        <v>3662</v>
      </c>
      <c r="R239" s="5" t="s">
        <v>4307</v>
      </c>
      <c r="S239" s="6">
        <v>1148</v>
      </c>
      <c r="T239" s="6">
        <v>1000</v>
      </c>
      <c r="U239" s="6">
        <v>0</v>
      </c>
      <c r="V239" s="7">
        <v>44582</v>
      </c>
      <c r="W239" s="7" t="s">
        <v>3790</v>
      </c>
      <c r="X239" s="7">
        <v>44930</v>
      </c>
      <c r="Y239" s="5" t="s">
        <v>4018</v>
      </c>
      <c r="Z239" s="5" t="s">
        <v>5553</v>
      </c>
      <c r="AA239" s="6">
        <v>1000</v>
      </c>
      <c r="AB239" s="7" t="s">
        <v>4416</v>
      </c>
      <c r="AC239" s="7" t="str">
        <f>A239&amp;COUNTIF($A$2:A239,A239)</f>
        <v>110WM303-62001</v>
      </c>
      <c r="AD239" s="7">
        <v>44385</v>
      </c>
      <c r="AE239" s="7" t="s">
        <v>3790</v>
      </c>
      <c r="AF239" s="7" t="s">
        <v>3790</v>
      </c>
      <c r="AG239" s="5">
        <v>154</v>
      </c>
      <c r="AH239" s="5">
        <v>70</v>
      </c>
      <c r="AI239" s="5">
        <v>0</v>
      </c>
      <c r="AJ239" s="5">
        <v>1000</v>
      </c>
      <c r="AK239" s="5" t="str">
        <f t="shared" ca="1" si="3"/>
        <v>run complete</v>
      </c>
    </row>
    <row r="240" spans="1:37">
      <c r="A240" s="32" t="s">
        <v>3021</v>
      </c>
      <c r="B240" s="32">
        <v>7012</v>
      </c>
      <c r="C240" s="32" t="s">
        <v>872</v>
      </c>
      <c r="E240" s="34">
        <v>2090</v>
      </c>
      <c r="F240" s="32" t="s">
        <v>3881</v>
      </c>
      <c r="G240" s="34">
        <v>2200</v>
      </c>
      <c r="H240" s="7">
        <v>44741</v>
      </c>
      <c r="I240" s="32" t="s">
        <v>3658</v>
      </c>
      <c r="L240" s="7">
        <v>44924</v>
      </c>
      <c r="N240" s="32">
        <v>6</v>
      </c>
      <c r="O240" s="36">
        <v>4.08</v>
      </c>
      <c r="Q240" s="5" t="s">
        <v>3882</v>
      </c>
      <c r="R240" s="5" t="s">
        <v>4300</v>
      </c>
      <c r="S240" s="6">
        <v>2090</v>
      </c>
      <c r="T240" s="6">
        <v>2090</v>
      </c>
      <c r="U240" s="6">
        <v>0</v>
      </c>
      <c r="V240" s="7">
        <v>44741</v>
      </c>
      <c r="W240" s="7" t="s">
        <v>3790</v>
      </c>
      <c r="X240" s="7">
        <v>44924</v>
      </c>
      <c r="Y240" s="5" t="s">
        <v>4018</v>
      </c>
      <c r="Z240" s="5" t="s">
        <v>5554</v>
      </c>
      <c r="AA240" s="6">
        <v>2090</v>
      </c>
      <c r="AB240" s="7" t="s">
        <v>4418</v>
      </c>
      <c r="AC240" s="7" t="str">
        <f>A240&amp;COUNTIF($A$2:A240,A240)</f>
        <v>110WM717-50001</v>
      </c>
      <c r="AD240" s="7">
        <v>44690</v>
      </c>
      <c r="AE240" s="7" t="s">
        <v>3790</v>
      </c>
      <c r="AF240" s="7" t="s">
        <v>3790</v>
      </c>
      <c r="AG240" s="5">
        <v>84</v>
      </c>
      <c r="AH240" s="5">
        <v>14</v>
      </c>
      <c r="AI240" s="5">
        <v>14</v>
      </c>
      <c r="AJ240" s="5">
        <v>2200</v>
      </c>
      <c r="AK240" s="5" t="str">
        <f t="shared" ca="1" si="3"/>
        <v>run complete</v>
      </c>
    </row>
    <row r="241" spans="1:37">
      <c r="A241" s="32" t="s">
        <v>3024</v>
      </c>
      <c r="B241" s="32">
        <v>7012</v>
      </c>
      <c r="C241" s="32" t="s">
        <v>872</v>
      </c>
      <c r="E241" s="34">
        <v>3825</v>
      </c>
      <c r="F241" s="32" t="s">
        <v>3881</v>
      </c>
      <c r="G241" s="34">
        <v>4400</v>
      </c>
      <c r="H241" s="7">
        <v>44741</v>
      </c>
      <c r="I241" s="32" t="s">
        <v>3658</v>
      </c>
      <c r="L241" s="7">
        <v>44924</v>
      </c>
      <c r="N241" s="32">
        <v>6</v>
      </c>
      <c r="O241" s="36">
        <v>4.08</v>
      </c>
      <c r="Q241" s="5" t="s">
        <v>3882</v>
      </c>
      <c r="R241" s="5" t="s">
        <v>4300</v>
      </c>
      <c r="S241" s="6">
        <v>3825</v>
      </c>
      <c r="T241" s="6">
        <v>3825</v>
      </c>
      <c r="U241" s="6">
        <v>0</v>
      </c>
      <c r="V241" s="7">
        <v>44741</v>
      </c>
      <c r="W241" s="7" t="s">
        <v>3790</v>
      </c>
      <c r="X241" s="7">
        <v>44924</v>
      </c>
      <c r="Y241" s="5" t="s">
        <v>4018</v>
      </c>
      <c r="Z241" s="5" t="s">
        <v>5554</v>
      </c>
      <c r="AA241" s="6">
        <v>3825</v>
      </c>
      <c r="AB241" s="7" t="s">
        <v>4419</v>
      </c>
      <c r="AC241" s="7" t="str">
        <f>A241&amp;COUNTIF($A$2:A241,A241)</f>
        <v>110WM717-62001</v>
      </c>
      <c r="AD241" s="7">
        <v>44690</v>
      </c>
      <c r="AE241" s="7" t="s">
        <v>3790</v>
      </c>
      <c r="AF241" s="7" t="s">
        <v>3790</v>
      </c>
      <c r="AG241" s="5">
        <v>84</v>
      </c>
      <c r="AH241" s="5">
        <v>14</v>
      </c>
      <c r="AI241" s="5">
        <v>14</v>
      </c>
      <c r="AJ241" s="5">
        <v>4400</v>
      </c>
      <c r="AK241" s="5" t="str">
        <f t="shared" ca="1" si="3"/>
        <v>run complete</v>
      </c>
    </row>
    <row r="242" spans="1:37">
      <c r="A242" s="32" t="s">
        <v>3052</v>
      </c>
      <c r="B242" s="32">
        <v>6961</v>
      </c>
      <c r="C242" s="32" t="s">
        <v>3673</v>
      </c>
      <c r="E242" s="34">
        <v>2156</v>
      </c>
      <c r="F242" s="32" t="s">
        <v>3661</v>
      </c>
      <c r="G242" s="34">
        <v>4500</v>
      </c>
      <c r="H242" s="7">
        <v>44739</v>
      </c>
      <c r="I242" s="32" t="s">
        <v>3658</v>
      </c>
      <c r="L242" s="7">
        <v>45000</v>
      </c>
      <c r="M242" s="34">
        <v>156</v>
      </c>
      <c r="N242" s="32">
        <v>3</v>
      </c>
      <c r="O242" s="36">
        <v>5.38</v>
      </c>
      <c r="Q242" s="5" t="s">
        <v>3662</v>
      </c>
      <c r="R242" s="5" t="s">
        <v>4169</v>
      </c>
      <c r="S242" s="6">
        <v>2156</v>
      </c>
      <c r="T242" s="6">
        <v>2000</v>
      </c>
      <c r="U242" s="6">
        <v>0</v>
      </c>
      <c r="V242" s="7">
        <v>44739</v>
      </c>
      <c r="W242" s="7" t="s">
        <v>3790</v>
      </c>
      <c r="X242" s="7">
        <v>45000</v>
      </c>
      <c r="Y242" s="5" t="s">
        <v>4018</v>
      </c>
      <c r="Z242" s="5" t="s">
        <v>3790</v>
      </c>
      <c r="AA242" s="6">
        <v>2000</v>
      </c>
      <c r="AB242" s="7" t="s">
        <v>4421</v>
      </c>
      <c r="AC242" s="7" t="str">
        <f>A242&amp;COUNTIF($A$2:A242,A242)</f>
        <v>110WM840-50001</v>
      </c>
      <c r="AD242" s="7">
        <v>44641</v>
      </c>
      <c r="AE242" s="7" t="s">
        <v>3790</v>
      </c>
      <c r="AF242" s="7" t="s">
        <v>3790</v>
      </c>
      <c r="AG242" s="5">
        <v>154</v>
      </c>
      <c r="AH242" s="5">
        <v>70</v>
      </c>
      <c r="AI242" s="5">
        <v>14</v>
      </c>
      <c r="AJ242" s="5">
        <v>4500</v>
      </c>
      <c r="AK242" s="5" t="str">
        <f t="shared" ca="1" si="3"/>
        <v>run complete</v>
      </c>
    </row>
    <row r="243" spans="1:37">
      <c r="A243" s="32" t="s">
        <v>3055</v>
      </c>
      <c r="B243" s="32">
        <v>6961</v>
      </c>
      <c r="C243" s="32" t="s">
        <v>3673</v>
      </c>
      <c r="D243" s="32" t="s">
        <v>3663</v>
      </c>
      <c r="E243" s="34">
        <v>3238</v>
      </c>
      <c r="F243" s="32" t="s">
        <v>3661</v>
      </c>
      <c r="G243" s="34">
        <v>3000</v>
      </c>
      <c r="H243" s="7">
        <v>44739</v>
      </c>
      <c r="I243" s="32" t="s">
        <v>3658</v>
      </c>
      <c r="L243" s="7">
        <v>45000</v>
      </c>
      <c r="M243" s="34">
        <v>238</v>
      </c>
      <c r="N243" s="32">
        <v>3</v>
      </c>
      <c r="O243" s="36">
        <v>5.38</v>
      </c>
      <c r="Q243" s="5" t="s">
        <v>3662</v>
      </c>
      <c r="R243" s="5" t="s">
        <v>4169</v>
      </c>
      <c r="S243" s="6">
        <v>3238</v>
      </c>
      <c r="T243" s="6">
        <v>3000</v>
      </c>
      <c r="U243" s="6">
        <v>0</v>
      </c>
      <c r="V243" s="7">
        <v>44739</v>
      </c>
      <c r="W243" s="7" t="s">
        <v>3790</v>
      </c>
      <c r="X243" s="7">
        <v>45000</v>
      </c>
      <c r="Y243" s="5" t="s">
        <v>4018</v>
      </c>
      <c r="Z243" s="5" t="s">
        <v>3790</v>
      </c>
      <c r="AA243" s="6">
        <v>3000</v>
      </c>
      <c r="AB243" s="7" t="s">
        <v>4423</v>
      </c>
      <c r="AC243" s="7" t="str">
        <f>A243&amp;COUNTIF($A$2:A243,A243)</f>
        <v>110WM840-62001</v>
      </c>
      <c r="AD243" s="7">
        <v>44641</v>
      </c>
      <c r="AE243" s="7" t="s">
        <v>3790</v>
      </c>
      <c r="AF243" s="7" t="s">
        <v>3790</v>
      </c>
      <c r="AG243" s="5">
        <v>154</v>
      </c>
      <c r="AH243" s="5">
        <v>70</v>
      </c>
      <c r="AI243" s="5">
        <v>14</v>
      </c>
      <c r="AJ243" s="5">
        <v>3000</v>
      </c>
      <c r="AK243" s="5" t="str">
        <f t="shared" ca="1" si="3"/>
        <v>run complete</v>
      </c>
    </row>
    <row r="244" spans="1:37">
      <c r="A244" s="32" t="s">
        <v>3075</v>
      </c>
      <c r="B244" s="32">
        <v>6972</v>
      </c>
      <c r="C244" s="32" t="s">
        <v>3674</v>
      </c>
      <c r="E244" s="34">
        <v>1078</v>
      </c>
      <c r="F244" s="32" t="s">
        <v>3661</v>
      </c>
      <c r="G244" s="34">
        <v>1000</v>
      </c>
      <c r="H244" s="7">
        <v>44782</v>
      </c>
      <c r="I244" s="32" t="s">
        <v>3658</v>
      </c>
      <c r="L244" s="7">
        <v>45041</v>
      </c>
      <c r="M244" s="34">
        <v>78</v>
      </c>
      <c r="N244" s="32">
        <v>3</v>
      </c>
      <c r="O244" s="36">
        <v>6</v>
      </c>
      <c r="Q244" s="5" t="s">
        <v>3662</v>
      </c>
      <c r="R244" s="5" t="s">
        <v>4280</v>
      </c>
      <c r="S244" s="6">
        <v>1078</v>
      </c>
      <c r="T244" s="6">
        <v>1000</v>
      </c>
      <c r="U244" s="6">
        <v>0</v>
      </c>
      <c r="V244" s="7">
        <v>44782</v>
      </c>
      <c r="W244" s="7" t="s">
        <v>3790</v>
      </c>
      <c r="X244" s="7">
        <v>45041</v>
      </c>
      <c r="Y244" s="5" t="s">
        <v>4018</v>
      </c>
      <c r="Z244" s="5" t="s">
        <v>3790</v>
      </c>
      <c r="AA244" s="6">
        <v>1000</v>
      </c>
      <c r="AB244" s="7" t="s">
        <v>4425</v>
      </c>
      <c r="AC244" s="7" t="str">
        <f>A244&amp;COUNTIF($A$2:A244,A244)</f>
        <v>110WM864-50001</v>
      </c>
      <c r="AD244" s="7">
        <v>44655</v>
      </c>
      <c r="AE244" s="7" t="s">
        <v>3790</v>
      </c>
      <c r="AF244" s="7" t="s">
        <v>3790</v>
      </c>
      <c r="AG244" s="5">
        <v>154</v>
      </c>
      <c r="AH244" s="5">
        <v>70</v>
      </c>
      <c r="AI244" s="5">
        <v>14</v>
      </c>
      <c r="AJ244" s="5">
        <v>1000</v>
      </c>
      <c r="AK244" s="5" t="str">
        <f t="shared" ca="1" si="3"/>
        <v>run complete</v>
      </c>
    </row>
    <row r="245" spans="1:37">
      <c r="A245" s="32" t="s">
        <v>3078</v>
      </c>
      <c r="B245" s="32">
        <v>6972</v>
      </c>
      <c r="C245" s="32" t="s">
        <v>3674</v>
      </c>
      <c r="D245" s="32" t="s">
        <v>3663</v>
      </c>
      <c r="E245" s="34">
        <v>1547</v>
      </c>
      <c r="F245" s="32" t="s">
        <v>3661</v>
      </c>
      <c r="G245" s="34">
        <v>1500</v>
      </c>
      <c r="H245" s="7">
        <v>44782</v>
      </c>
      <c r="I245" s="32" t="s">
        <v>3658</v>
      </c>
      <c r="L245" s="7">
        <v>45041</v>
      </c>
      <c r="M245" s="34">
        <v>47</v>
      </c>
      <c r="N245" s="32">
        <v>3</v>
      </c>
      <c r="O245" s="36">
        <v>6</v>
      </c>
      <c r="Q245" s="5" t="s">
        <v>3662</v>
      </c>
      <c r="R245" s="5" t="s">
        <v>4280</v>
      </c>
      <c r="S245" s="6">
        <v>1547</v>
      </c>
      <c r="T245" s="6">
        <v>1500</v>
      </c>
      <c r="U245" s="6">
        <v>0</v>
      </c>
      <c r="V245" s="7">
        <v>44782</v>
      </c>
      <c r="W245" s="7" t="s">
        <v>3790</v>
      </c>
      <c r="X245" s="7">
        <v>45041</v>
      </c>
      <c r="Y245" s="5" t="s">
        <v>4018</v>
      </c>
      <c r="Z245" s="5" t="s">
        <v>3790</v>
      </c>
      <c r="AA245" s="6">
        <v>1500</v>
      </c>
      <c r="AB245" s="7" t="s">
        <v>4426</v>
      </c>
      <c r="AC245" s="7" t="str">
        <f>A245&amp;COUNTIF($A$2:A245,A245)</f>
        <v>110WM864-62001</v>
      </c>
      <c r="AD245" s="7">
        <v>44655</v>
      </c>
      <c r="AE245" s="7" t="s">
        <v>3790</v>
      </c>
      <c r="AF245" s="7" t="s">
        <v>3790</v>
      </c>
      <c r="AG245" s="5">
        <v>154</v>
      </c>
      <c r="AH245" s="5">
        <v>70</v>
      </c>
      <c r="AI245" s="5">
        <v>14</v>
      </c>
      <c r="AJ245" s="5">
        <v>1500</v>
      </c>
      <c r="AK245" s="5" t="str">
        <f t="shared" ca="1" si="3"/>
        <v>run complete</v>
      </c>
    </row>
    <row r="246" spans="1:37">
      <c r="A246" s="32" t="s">
        <v>3081</v>
      </c>
      <c r="B246" s="32" t="s">
        <v>3968</v>
      </c>
      <c r="C246" s="32" t="s">
        <v>3940</v>
      </c>
      <c r="D246" s="32" t="s">
        <v>3701</v>
      </c>
      <c r="E246" s="34">
        <v>6983</v>
      </c>
      <c r="F246" s="32" t="s">
        <v>3941</v>
      </c>
      <c r="G246" s="34">
        <v>6500</v>
      </c>
      <c r="H246" s="7">
        <v>44846</v>
      </c>
      <c r="I246" s="32" t="s">
        <v>3526</v>
      </c>
      <c r="J246" s="34">
        <v>0</v>
      </c>
      <c r="L246" s="7">
        <v>45031</v>
      </c>
      <c r="M246" s="34">
        <v>483</v>
      </c>
      <c r="N246" s="32" t="s">
        <v>3528</v>
      </c>
      <c r="O246" s="36">
        <v>4.9000000000000004</v>
      </c>
      <c r="P246" s="32" t="s">
        <v>3701</v>
      </c>
      <c r="Q246" s="5" t="s">
        <v>3911</v>
      </c>
      <c r="R246" s="5" t="s">
        <v>3968</v>
      </c>
      <c r="S246" s="6">
        <v>6983</v>
      </c>
      <c r="T246" s="6">
        <v>6500</v>
      </c>
      <c r="U246" s="6">
        <v>0</v>
      </c>
      <c r="V246" s="7">
        <v>44846</v>
      </c>
      <c r="W246" s="7" t="s">
        <v>3790</v>
      </c>
      <c r="X246" s="7">
        <v>45031</v>
      </c>
      <c r="Y246" s="5" t="s">
        <v>4018</v>
      </c>
      <c r="Z246" s="5" t="s">
        <v>3790</v>
      </c>
      <c r="AA246" s="6">
        <v>6500</v>
      </c>
      <c r="AB246" s="7" t="s">
        <v>4427</v>
      </c>
      <c r="AC246" s="7" t="str">
        <f>A246&amp;COUNTIF($A$2:A246,A246)</f>
        <v>110WO040-50001</v>
      </c>
      <c r="AD246" s="7">
        <v>44761</v>
      </c>
      <c r="AE246" s="7" t="s">
        <v>3790</v>
      </c>
      <c r="AF246" s="7" t="s">
        <v>3790</v>
      </c>
      <c r="AG246" s="5">
        <v>154</v>
      </c>
      <c r="AH246" s="5">
        <v>56</v>
      </c>
      <c r="AI246" s="5">
        <v>14</v>
      </c>
      <c r="AJ246" s="5">
        <v>6500</v>
      </c>
      <c r="AK246" s="5" t="str">
        <f t="shared" ca="1" si="3"/>
        <v>run complete</v>
      </c>
    </row>
    <row r="247" spans="1:37">
      <c r="A247" s="32" t="s">
        <v>3084</v>
      </c>
      <c r="B247" s="32" t="s">
        <v>3968</v>
      </c>
      <c r="C247" s="32" t="s">
        <v>3969</v>
      </c>
      <c r="D247" s="32" t="s">
        <v>3701</v>
      </c>
      <c r="E247" s="34">
        <v>1031</v>
      </c>
      <c r="F247" s="32" t="s">
        <v>3941</v>
      </c>
      <c r="G247" s="34">
        <v>1200</v>
      </c>
      <c r="H247" s="7">
        <v>44846</v>
      </c>
      <c r="I247" s="32" t="s">
        <v>3526</v>
      </c>
      <c r="J247" s="34">
        <v>0</v>
      </c>
      <c r="L247" s="7">
        <v>45031</v>
      </c>
      <c r="M247" s="34">
        <v>0</v>
      </c>
      <c r="N247" s="32" t="s">
        <v>3528</v>
      </c>
      <c r="O247" s="36">
        <v>4.9000000000000004</v>
      </c>
      <c r="P247" s="32" t="s">
        <v>3701</v>
      </c>
      <c r="Q247" s="5" t="s">
        <v>3911</v>
      </c>
      <c r="R247" s="5" t="s">
        <v>3968</v>
      </c>
      <c r="S247" s="6">
        <v>1031</v>
      </c>
      <c r="T247" s="6">
        <v>1031</v>
      </c>
      <c r="U247" s="6">
        <v>0</v>
      </c>
      <c r="V247" s="7">
        <v>44846</v>
      </c>
      <c r="W247" s="7" t="s">
        <v>3790</v>
      </c>
      <c r="X247" s="7">
        <v>45031</v>
      </c>
      <c r="Y247" s="5" t="s">
        <v>4018</v>
      </c>
      <c r="Z247" s="5" t="s">
        <v>3790</v>
      </c>
      <c r="AA247" s="6">
        <v>1031</v>
      </c>
      <c r="AB247" s="7" t="s">
        <v>4428</v>
      </c>
      <c r="AC247" s="7" t="str">
        <f>A247&amp;COUNTIF($A$2:A247,A247)</f>
        <v>110WO040-62001</v>
      </c>
      <c r="AD247" s="7">
        <v>44761</v>
      </c>
      <c r="AE247" s="7" t="s">
        <v>3790</v>
      </c>
      <c r="AF247" s="7" t="s">
        <v>3790</v>
      </c>
      <c r="AG247" s="5">
        <v>154</v>
      </c>
      <c r="AH247" s="5">
        <v>56</v>
      </c>
      <c r="AI247" s="5">
        <v>14</v>
      </c>
      <c r="AJ247" s="5">
        <v>1200</v>
      </c>
      <c r="AK247" s="5" t="str">
        <f t="shared" ca="1" si="3"/>
        <v>run complete</v>
      </c>
    </row>
    <row r="248" spans="1:37">
      <c r="A248" s="32" t="s">
        <v>3106</v>
      </c>
      <c r="B248" s="32">
        <v>6876</v>
      </c>
      <c r="C248" s="32" t="s">
        <v>3675</v>
      </c>
      <c r="E248" s="34">
        <v>576</v>
      </c>
      <c r="F248" s="32" t="s">
        <v>3661</v>
      </c>
      <c r="G248" s="34">
        <v>1000</v>
      </c>
      <c r="H248" s="7">
        <v>44656</v>
      </c>
      <c r="I248" s="32" t="s">
        <v>3658</v>
      </c>
      <c r="L248" s="7">
        <v>44930</v>
      </c>
      <c r="M248" s="34">
        <v>76</v>
      </c>
      <c r="N248" s="32">
        <v>3</v>
      </c>
      <c r="O248" s="36">
        <v>5.17</v>
      </c>
      <c r="Q248" s="5" t="s">
        <v>3662</v>
      </c>
      <c r="R248" s="5" t="s">
        <v>4163</v>
      </c>
      <c r="S248" s="6">
        <v>576</v>
      </c>
      <c r="T248" s="6">
        <v>500</v>
      </c>
      <c r="U248" s="6">
        <v>0</v>
      </c>
      <c r="V248" s="7">
        <v>44656</v>
      </c>
      <c r="W248" s="7" t="s">
        <v>3790</v>
      </c>
      <c r="X248" s="7">
        <v>44930</v>
      </c>
      <c r="Y248" s="5" t="s">
        <v>4018</v>
      </c>
      <c r="Z248" s="5" t="s">
        <v>5553</v>
      </c>
      <c r="AA248" s="6">
        <v>500</v>
      </c>
      <c r="AB248" s="7" t="s">
        <v>4431</v>
      </c>
      <c r="AC248" s="7" t="str">
        <f>A248&amp;COUNTIF($A$2:A248,A248)</f>
        <v>110WS843-50001</v>
      </c>
      <c r="AD248" s="7">
        <v>44498</v>
      </c>
      <c r="AE248" s="7" t="s">
        <v>3790</v>
      </c>
      <c r="AF248" s="7" t="s">
        <v>3790</v>
      </c>
      <c r="AG248" s="5">
        <v>154</v>
      </c>
      <c r="AH248" s="5">
        <v>70</v>
      </c>
      <c r="AI248" s="5">
        <v>14</v>
      </c>
      <c r="AJ248" s="5">
        <v>1000</v>
      </c>
      <c r="AK248" s="5" t="str">
        <f t="shared" ca="1" si="3"/>
        <v>run complete</v>
      </c>
    </row>
    <row r="249" spans="1:37">
      <c r="A249" s="32" t="s">
        <v>3119</v>
      </c>
      <c r="B249" s="32">
        <v>6889</v>
      </c>
      <c r="C249" s="32" t="s">
        <v>3117</v>
      </c>
      <c r="E249" s="34">
        <v>1596</v>
      </c>
      <c r="G249" s="34">
        <v>1700</v>
      </c>
      <c r="H249" s="7">
        <v>44882</v>
      </c>
      <c r="I249" s="32" t="s">
        <v>3658</v>
      </c>
      <c r="L249" s="7">
        <v>45062</v>
      </c>
      <c r="N249" s="32">
        <v>6</v>
      </c>
      <c r="O249" s="36">
        <v>4.8</v>
      </c>
      <c r="P249" s="32" t="s">
        <v>3784</v>
      </c>
      <c r="Q249" s="5" t="s">
        <v>893</v>
      </c>
      <c r="R249" s="5" t="s">
        <v>4172</v>
      </c>
      <c r="S249" s="6">
        <v>1596</v>
      </c>
      <c r="T249" s="6">
        <v>1596</v>
      </c>
      <c r="U249" s="6">
        <v>0</v>
      </c>
      <c r="V249" s="7">
        <v>44882</v>
      </c>
      <c r="W249" s="7" t="s">
        <v>3790</v>
      </c>
      <c r="X249" s="7">
        <v>45062</v>
      </c>
      <c r="Y249" s="5" t="s">
        <v>4018</v>
      </c>
      <c r="Z249" s="5" t="s">
        <v>3790</v>
      </c>
      <c r="AA249" s="6">
        <v>1596</v>
      </c>
      <c r="AB249" s="7" t="s">
        <v>4434</v>
      </c>
      <c r="AC249" s="7" t="str">
        <f>A249&amp;COUNTIF($A$2:A249,A249)</f>
        <v>110WT003-62001</v>
      </c>
      <c r="AD249" s="7">
        <v>44550</v>
      </c>
      <c r="AE249" s="7" t="s">
        <v>3790</v>
      </c>
      <c r="AF249" s="7" t="s">
        <v>3790</v>
      </c>
      <c r="AG249" s="5">
        <v>140</v>
      </c>
      <c r="AH249" s="5">
        <v>14</v>
      </c>
      <c r="AI249" s="5">
        <v>14</v>
      </c>
      <c r="AJ249" s="5">
        <v>1700</v>
      </c>
      <c r="AK249" s="5" t="str">
        <f t="shared" ca="1" si="3"/>
        <v>run complete</v>
      </c>
    </row>
    <row r="250" spans="1:37">
      <c r="A250" s="32" t="s">
        <v>3123</v>
      </c>
      <c r="B250" s="32">
        <v>7062</v>
      </c>
      <c r="C250" s="32" t="s">
        <v>3785</v>
      </c>
      <c r="E250" s="34">
        <v>662</v>
      </c>
      <c r="G250" s="34">
        <v>3000</v>
      </c>
      <c r="H250" s="7">
        <v>44798</v>
      </c>
      <c r="I250" s="32" t="s">
        <v>3658</v>
      </c>
      <c r="L250" s="7">
        <v>44979</v>
      </c>
      <c r="N250" s="32">
        <v>6</v>
      </c>
      <c r="O250" s="36">
        <v>4.6100000000000003</v>
      </c>
      <c r="P250" s="32" t="s">
        <v>3786</v>
      </c>
      <c r="Q250" s="5" t="s">
        <v>893</v>
      </c>
      <c r="R250" s="5" t="s">
        <v>4435</v>
      </c>
      <c r="S250" s="6">
        <v>662</v>
      </c>
      <c r="T250" s="6">
        <v>662</v>
      </c>
      <c r="U250" s="6">
        <v>0</v>
      </c>
      <c r="V250" s="7">
        <v>44798</v>
      </c>
      <c r="W250" s="7" t="s">
        <v>3790</v>
      </c>
      <c r="X250" s="7">
        <v>44979</v>
      </c>
      <c r="Y250" s="5" t="s">
        <v>4018</v>
      </c>
      <c r="Z250" s="5" t="s">
        <v>3790</v>
      </c>
      <c r="AA250" s="6">
        <v>662</v>
      </c>
      <c r="AB250" s="7" t="s">
        <v>4436</v>
      </c>
      <c r="AC250" s="7" t="str">
        <f>A250&amp;COUNTIF($A$2:A250,A250)</f>
        <v>110WT770-62001</v>
      </c>
      <c r="AD250" s="7">
        <v>44739</v>
      </c>
      <c r="AE250" s="7" t="s">
        <v>3790</v>
      </c>
      <c r="AF250" s="7" t="s">
        <v>3790</v>
      </c>
      <c r="AG250" s="5">
        <v>140</v>
      </c>
      <c r="AH250" s="5">
        <v>14</v>
      </c>
      <c r="AI250" s="5">
        <v>14</v>
      </c>
      <c r="AJ250" s="5">
        <v>3000</v>
      </c>
      <c r="AK250" s="5" t="str">
        <f t="shared" ca="1" si="3"/>
        <v>run complete</v>
      </c>
    </row>
    <row r="251" spans="1:37">
      <c r="A251" s="32" t="s">
        <v>3152</v>
      </c>
      <c r="B251" s="32">
        <v>7060</v>
      </c>
      <c r="C251" s="32" t="s">
        <v>3151</v>
      </c>
      <c r="D251" s="32" t="s">
        <v>3663</v>
      </c>
      <c r="E251" s="34">
        <v>2978</v>
      </c>
      <c r="F251" s="32" t="s">
        <v>3657</v>
      </c>
      <c r="G251" s="34">
        <v>4400</v>
      </c>
      <c r="H251" s="7">
        <v>44841</v>
      </c>
      <c r="I251" s="32" t="s">
        <v>3526</v>
      </c>
      <c r="K251" s="7">
        <v>44893</v>
      </c>
      <c r="L251" s="7">
        <v>44620</v>
      </c>
      <c r="N251" s="32">
        <v>3</v>
      </c>
      <c r="O251" s="36">
        <v>5.0199999999999996</v>
      </c>
      <c r="P251" s="32" t="s">
        <v>7764</v>
      </c>
      <c r="Q251" s="5" t="s">
        <v>3787</v>
      </c>
      <c r="R251" s="5" t="s">
        <v>4277</v>
      </c>
      <c r="S251" s="6">
        <v>2978</v>
      </c>
      <c r="T251" s="6">
        <v>2978</v>
      </c>
      <c r="U251" s="6">
        <v>0</v>
      </c>
      <c r="V251" s="7">
        <v>44841</v>
      </c>
      <c r="W251" s="7">
        <v>44893</v>
      </c>
      <c r="X251" s="7">
        <v>44620</v>
      </c>
      <c r="Y251" s="5" t="s">
        <v>4018</v>
      </c>
      <c r="Z251" s="5" t="s">
        <v>5554</v>
      </c>
      <c r="AA251" s="6">
        <v>2978</v>
      </c>
      <c r="AB251" s="7" t="s">
        <v>4440</v>
      </c>
      <c r="AC251" s="7" t="str">
        <f>A251&amp;COUNTIF($A$2:A251,A251)</f>
        <v>110WW780-62001</v>
      </c>
      <c r="AD251" s="7">
        <v>44736</v>
      </c>
      <c r="AE251" s="7" t="s">
        <v>3790</v>
      </c>
      <c r="AF251" s="7" t="s">
        <v>3790</v>
      </c>
      <c r="AG251" s="5">
        <v>168</v>
      </c>
      <c r="AH251" s="5">
        <v>42</v>
      </c>
      <c r="AI251" s="5">
        <v>14</v>
      </c>
      <c r="AJ251" s="5">
        <v>4400</v>
      </c>
      <c r="AK251" s="5" t="str">
        <f t="shared" ca="1" si="3"/>
        <v>run complete</v>
      </c>
    </row>
    <row r="252" spans="1:37">
      <c r="A252" s="32" t="s">
        <v>3162</v>
      </c>
      <c r="B252" s="32">
        <v>7077</v>
      </c>
      <c r="C252" s="32" t="s">
        <v>3163</v>
      </c>
      <c r="E252" s="34">
        <v>709</v>
      </c>
      <c r="G252" s="34">
        <v>4000</v>
      </c>
      <c r="H252" s="7">
        <v>44841</v>
      </c>
      <c r="I252" s="32" t="s">
        <v>3658</v>
      </c>
      <c r="L252" s="7">
        <v>45022</v>
      </c>
      <c r="N252" s="32">
        <v>6</v>
      </c>
      <c r="O252" s="36">
        <v>3.83</v>
      </c>
      <c r="P252" s="32" t="s">
        <v>5578</v>
      </c>
      <c r="Q252" s="5" t="s">
        <v>893</v>
      </c>
      <c r="R252" s="5" t="s">
        <v>4344</v>
      </c>
      <c r="S252" s="6">
        <v>709</v>
      </c>
      <c r="T252" s="6">
        <v>709</v>
      </c>
      <c r="U252" s="6">
        <v>0</v>
      </c>
      <c r="V252" s="7">
        <v>44841</v>
      </c>
      <c r="W252" s="7" t="s">
        <v>3790</v>
      </c>
      <c r="X252" s="7">
        <v>45022</v>
      </c>
      <c r="Y252" s="5" t="s">
        <v>4018</v>
      </c>
      <c r="Z252" s="5" t="s">
        <v>3790</v>
      </c>
      <c r="AA252" s="6">
        <v>709</v>
      </c>
      <c r="AB252" s="7" t="s">
        <v>4442</v>
      </c>
      <c r="AC252" s="7" t="str">
        <f>A252&amp;COUNTIF($A$2:A252,A252)</f>
        <v>110WX115-50001</v>
      </c>
      <c r="AD252" s="7">
        <v>44750</v>
      </c>
      <c r="AE252" s="7" t="s">
        <v>3790</v>
      </c>
      <c r="AF252" s="7" t="s">
        <v>3790</v>
      </c>
      <c r="AG252" s="5">
        <v>140</v>
      </c>
      <c r="AH252" s="5">
        <v>14</v>
      </c>
      <c r="AI252" s="5">
        <v>14</v>
      </c>
      <c r="AJ252" s="5">
        <v>4000</v>
      </c>
      <c r="AK252" s="5" t="str">
        <f t="shared" ca="1" si="3"/>
        <v>run complete</v>
      </c>
    </row>
    <row r="253" spans="1:37">
      <c r="A253" s="32" t="s">
        <v>3164</v>
      </c>
      <c r="B253" s="32">
        <v>7077</v>
      </c>
      <c r="C253" s="32" t="s">
        <v>3163</v>
      </c>
      <c r="E253" s="34">
        <v>5693</v>
      </c>
      <c r="G253" s="34">
        <v>16000</v>
      </c>
      <c r="H253" s="7">
        <v>44841</v>
      </c>
      <c r="I253" s="32" t="s">
        <v>3658</v>
      </c>
      <c r="L253" s="7">
        <v>45022</v>
      </c>
      <c r="N253" s="32">
        <v>6</v>
      </c>
      <c r="O253" s="36">
        <v>3.83</v>
      </c>
      <c r="P253" s="32" t="s">
        <v>5579</v>
      </c>
      <c r="Q253" s="5" t="s">
        <v>893</v>
      </c>
      <c r="R253" s="5" t="s">
        <v>4344</v>
      </c>
      <c r="S253" s="6">
        <v>5693</v>
      </c>
      <c r="T253" s="6">
        <v>5693</v>
      </c>
      <c r="U253" s="6">
        <v>0</v>
      </c>
      <c r="V253" s="7">
        <v>44841</v>
      </c>
      <c r="W253" s="7" t="s">
        <v>3790</v>
      </c>
      <c r="X253" s="7">
        <v>45022</v>
      </c>
      <c r="Y253" s="5" t="s">
        <v>4018</v>
      </c>
      <c r="Z253" s="5" t="s">
        <v>3790</v>
      </c>
      <c r="AA253" s="6">
        <v>5693</v>
      </c>
      <c r="AB253" s="7" t="s">
        <v>4443</v>
      </c>
      <c r="AC253" s="7" t="str">
        <f>A253&amp;COUNTIF($A$2:A253,A253)</f>
        <v>110WX115-62001</v>
      </c>
      <c r="AD253" s="7">
        <v>44750</v>
      </c>
      <c r="AE253" s="7" t="s">
        <v>3790</v>
      </c>
      <c r="AF253" s="7" t="s">
        <v>3790</v>
      </c>
      <c r="AG253" s="5">
        <v>140</v>
      </c>
      <c r="AH253" s="5">
        <v>14</v>
      </c>
      <c r="AI253" s="5">
        <v>14</v>
      </c>
      <c r="AJ253" s="5">
        <v>16000</v>
      </c>
      <c r="AK253" s="5" t="str">
        <f t="shared" ca="1" si="3"/>
        <v>run complete</v>
      </c>
    </row>
    <row r="254" spans="1:37">
      <c r="A254" s="32" t="s">
        <v>3165</v>
      </c>
      <c r="B254" s="32" t="s">
        <v>3642</v>
      </c>
      <c r="C254" s="32" t="s">
        <v>3643</v>
      </c>
      <c r="E254" s="34" t="s">
        <v>3531</v>
      </c>
      <c r="F254" s="32" t="s">
        <v>3524</v>
      </c>
      <c r="G254" s="34" t="s">
        <v>3531</v>
      </c>
      <c r="H254" s="7" t="s">
        <v>3644</v>
      </c>
      <c r="I254" s="32" t="s">
        <v>3526</v>
      </c>
      <c r="J254" s="34" t="s">
        <v>3527</v>
      </c>
      <c r="L254" s="7" t="s">
        <v>5244</v>
      </c>
      <c r="N254" s="32" t="s">
        <v>3528</v>
      </c>
      <c r="O254" s="36" t="s">
        <v>3645</v>
      </c>
      <c r="Q254" s="5" t="s">
        <v>5428</v>
      </c>
      <c r="R254" s="5" t="s">
        <v>3642</v>
      </c>
      <c r="S254" s="6">
        <v>2200</v>
      </c>
      <c r="T254" s="6">
        <v>2200</v>
      </c>
      <c r="U254" s="6">
        <v>0</v>
      </c>
      <c r="V254" s="7">
        <v>44750</v>
      </c>
      <c r="W254" s="7" t="s">
        <v>3790</v>
      </c>
      <c r="X254" s="7">
        <v>44943</v>
      </c>
      <c r="Y254" s="5" t="s">
        <v>4018</v>
      </c>
      <c r="Z254" s="5" t="s">
        <v>5553</v>
      </c>
      <c r="AA254" s="6">
        <v>2200</v>
      </c>
      <c r="AB254" s="7" t="s">
        <v>4444</v>
      </c>
      <c r="AC254" s="7" t="str">
        <f>A254&amp;COUNTIF($A$2:A254,A254)</f>
        <v>110WX460-50001</v>
      </c>
      <c r="AD254" s="7">
        <v>44690</v>
      </c>
      <c r="AE254" s="7" t="s">
        <v>3790</v>
      </c>
      <c r="AF254" s="7" t="s">
        <v>3790</v>
      </c>
      <c r="AG254" s="5">
        <v>84</v>
      </c>
      <c r="AH254" s="5">
        <v>56</v>
      </c>
      <c r="AI254" s="5">
        <v>14</v>
      </c>
      <c r="AJ254" s="5">
        <v>2200</v>
      </c>
      <c r="AK254" s="5" t="str">
        <f t="shared" ca="1" si="3"/>
        <v>run complete</v>
      </c>
    </row>
    <row r="255" spans="1:37">
      <c r="A255" s="32" t="s">
        <v>3165</v>
      </c>
      <c r="B255" s="32" t="s">
        <v>3646</v>
      </c>
      <c r="C255" s="32" t="s">
        <v>3643</v>
      </c>
      <c r="E255" s="34" t="s">
        <v>6067</v>
      </c>
      <c r="F255" s="32" t="s">
        <v>3524</v>
      </c>
      <c r="G255" s="34" t="s">
        <v>3577</v>
      </c>
      <c r="H255" s="7" t="s">
        <v>5522</v>
      </c>
      <c r="I255" s="32" t="s">
        <v>3526</v>
      </c>
      <c r="J255" s="34" t="s">
        <v>3527</v>
      </c>
      <c r="L255" s="7" t="s">
        <v>7509</v>
      </c>
      <c r="M255" s="34" t="s">
        <v>5925</v>
      </c>
      <c r="N255" s="32" t="s">
        <v>3528</v>
      </c>
      <c r="O255" s="36" t="s">
        <v>5254</v>
      </c>
      <c r="Q255" s="5" t="s">
        <v>5428</v>
      </c>
      <c r="R255" s="5" t="s">
        <v>3637</v>
      </c>
      <c r="S255" s="6">
        <v>1737</v>
      </c>
      <c r="T255" s="6">
        <v>1719</v>
      </c>
      <c r="U255" s="6">
        <v>0</v>
      </c>
      <c r="V255" s="7">
        <v>44847</v>
      </c>
      <c r="W255" s="7" t="s">
        <v>3790</v>
      </c>
      <c r="X255" s="7">
        <v>45030</v>
      </c>
      <c r="Y255" s="5" t="s">
        <v>4018</v>
      </c>
      <c r="Z255" s="5" t="s">
        <v>3790</v>
      </c>
      <c r="AA255" s="6">
        <v>1719</v>
      </c>
      <c r="AB255" s="7" t="s">
        <v>4445</v>
      </c>
      <c r="AC255" s="7" t="str">
        <f>A255&amp;COUNTIF($A$2:A255,A255)</f>
        <v>110WX460-50002</v>
      </c>
      <c r="AD255" s="7">
        <v>44727</v>
      </c>
      <c r="AE255" s="7" t="s">
        <v>3790</v>
      </c>
      <c r="AF255" s="7" t="s">
        <v>3790</v>
      </c>
      <c r="AG255" s="5">
        <v>84</v>
      </c>
      <c r="AH255" s="5">
        <v>56</v>
      </c>
      <c r="AI255" s="5">
        <v>14</v>
      </c>
      <c r="AJ255" s="5">
        <v>1700</v>
      </c>
      <c r="AK255" s="5" t="str">
        <f t="shared" ca="1" si="3"/>
        <v>run complete</v>
      </c>
    </row>
    <row r="256" spans="1:37">
      <c r="A256" s="32" t="s">
        <v>3167</v>
      </c>
      <c r="B256" s="32" t="s">
        <v>3646</v>
      </c>
      <c r="C256" s="32" t="s">
        <v>3643</v>
      </c>
      <c r="E256" s="34" t="s">
        <v>6068</v>
      </c>
      <c r="F256" s="32" t="s">
        <v>3524</v>
      </c>
      <c r="G256" s="34" t="s">
        <v>3582</v>
      </c>
      <c r="H256" s="7" t="s">
        <v>5522</v>
      </c>
      <c r="I256" s="32" t="s">
        <v>3526</v>
      </c>
      <c r="J256" s="34" t="s">
        <v>3527</v>
      </c>
      <c r="L256" s="7" t="s">
        <v>7509</v>
      </c>
      <c r="N256" s="32" t="s">
        <v>3528</v>
      </c>
      <c r="O256" s="36" t="s">
        <v>5254</v>
      </c>
      <c r="Q256" s="5" t="s">
        <v>5428</v>
      </c>
      <c r="R256" s="5" t="s">
        <v>3637</v>
      </c>
      <c r="S256" s="6">
        <v>448</v>
      </c>
      <c r="T256" s="6">
        <v>448</v>
      </c>
      <c r="U256" s="6">
        <v>0</v>
      </c>
      <c r="V256" s="7">
        <v>44847</v>
      </c>
      <c r="W256" s="7" t="s">
        <v>3790</v>
      </c>
      <c r="X256" s="7">
        <v>45030</v>
      </c>
      <c r="Y256" s="5" t="s">
        <v>4018</v>
      </c>
      <c r="Z256" s="5" t="s">
        <v>3790</v>
      </c>
      <c r="AA256" s="6">
        <v>448</v>
      </c>
      <c r="AB256" s="7" t="s">
        <v>4446</v>
      </c>
      <c r="AC256" s="7" t="str">
        <f>A256&amp;COUNTIF($A$2:A256,A256)</f>
        <v>110WX460-62001</v>
      </c>
      <c r="AD256" s="7">
        <v>44727</v>
      </c>
      <c r="AE256" s="7" t="s">
        <v>3790</v>
      </c>
      <c r="AF256" s="7" t="s">
        <v>3790</v>
      </c>
      <c r="AG256" s="5">
        <v>84</v>
      </c>
      <c r="AH256" s="5">
        <v>56</v>
      </c>
      <c r="AI256" s="5">
        <v>14</v>
      </c>
      <c r="AJ256" s="5">
        <v>500</v>
      </c>
      <c r="AK256" s="5" t="str">
        <f t="shared" ca="1" si="3"/>
        <v>run complete</v>
      </c>
    </row>
    <row r="257" spans="1:37">
      <c r="A257" s="32" t="s">
        <v>3177</v>
      </c>
      <c r="B257" s="32">
        <v>7036</v>
      </c>
      <c r="C257" s="32" t="s">
        <v>3677</v>
      </c>
      <c r="D257" s="32" t="s">
        <v>3663</v>
      </c>
      <c r="E257" s="34">
        <v>2651</v>
      </c>
      <c r="F257" s="32" t="s">
        <v>3661</v>
      </c>
      <c r="G257" s="34">
        <v>2500</v>
      </c>
      <c r="H257" s="7">
        <v>44839</v>
      </c>
      <c r="I257" s="32" t="s">
        <v>3658</v>
      </c>
      <c r="L257" s="7">
        <v>45088</v>
      </c>
      <c r="M257" s="34">
        <v>151</v>
      </c>
      <c r="N257" s="32">
        <v>3</v>
      </c>
      <c r="O257" s="36">
        <v>8.0500000000000007</v>
      </c>
      <c r="Q257" s="5" t="s">
        <v>3662</v>
      </c>
      <c r="R257" s="5" t="s">
        <v>4381</v>
      </c>
      <c r="S257" s="6">
        <v>2651</v>
      </c>
      <c r="T257" s="6">
        <v>2500</v>
      </c>
      <c r="U257" s="6">
        <v>0</v>
      </c>
      <c r="V257" s="7">
        <v>44839</v>
      </c>
      <c r="W257" s="7" t="s">
        <v>3790</v>
      </c>
      <c r="X257" s="7">
        <v>45088</v>
      </c>
      <c r="Y257" s="5" t="s">
        <v>4018</v>
      </c>
      <c r="Z257" s="5" t="s">
        <v>3790</v>
      </c>
      <c r="AA257" s="6">
        <v>2500</v>
      </c>
      <c r="AB257" s="7" t="s">
        <v>4447</v>
      </c>
      <c r="AC257" s="7" t="str">
        <f>A257&amp;COUNTIF($A$2:A257,A257)</f>
        <v>110WZ001-62001</v>
      </c>
      <c r="AD257" s="7">
        <v>44718</v>
      </c>
      <c r="AE257" s="7" t="s">
        <v>3790</v>
      </c>
      <c r="AF257" s="7" t="s">
        <v>3790</v>
      </c>
      <c r="AG257" s="5">
        <v>154</v>
      </c>
      <c r="AH257" s="5">
        <v>70</v>
      </c>
      <c r="AI257" s="5">
        <v>14</v>
      </c>
      <c r="AJ257" s="5">
        <v>2500</v>
      </c>
      <c r="AK257" s="5" t="str">
        <f t="shared" ca="1" si="3"/>
        <v>run complete</v>
      </c>
    </row>
    <row r="258" spans="1:37">
      <c r="A258" s="32" t="s">
        <v>3238</v>
      </c>
      <c r="B258" s="32" t="s">
        <v>3978</v>
      </c>
      <c r="C258" s="32" t="s">
        <v>3986</v>
      </c>
      <c r="D258" s="32" t="s">
        <v>3701</v>
      </c>
      <c r="E258" s="34">
        <v>1372</v>
      </c>
      <c r="F258" s="32" t="s">
        <v>3914</v>
      </c>
      <c r="G258" s="34">
        <v>2000</v>
      </c>
      <c r="H258" s="7">
        <v>44876</v>
      </c>
      <c r="I258" s="32" t="s">
        <v>3526</v>
      </c>
      <c r="J258" s="34">
        <v>0</v>
      </c>
      <c r="L258" s="7">
        <v>44977</v>
      </c>
      <c r="M258" s="34">
        <v>19</v>
      </c>
      <c r="N258" s="32" t="s">
        <v>3528</v>
      </c>
      <c r="O258" s="36">
        <v>4.84</v>
      </c>
      <c r="P258" s="32" t="s">
        <v>3701</v>
      </c>
      <c r="Q258" s="5" t="s">
        <v>3911</v>
      </c>
      <c r="R258" s="5" t="s">
        <v>3978</v>
      </c>
      <c r="S258" s="6">
        <v>1372</v>
      </c>
      <c r="T258" s="6">
        <v>1353</v>
      </c>
      <c r="U258" s="6">
        <v>0</v>
      </c>
      <c r="V258" s="7">
        <v>44876</v>
      </c>
      <c r="W258" s="7" t="s">
        <v>3790</v>
      </c>
      <c r="X258" s="7">
        <v>44977</v>
      </c>
      <c r="Y258" s="5" t="s">
        <v>4018</v>
      </c>
      <c r="Z258" s="5" t="s">
        <v>3790</v>
      </c>
      <c r="AA258" s="6">
        <v>1353</v>
      </c>
      <c r="AB258" s="7" t="s">
        <v>4455</v>
      </c>
      <c r="AC258" s="7" t="str">
        <f>A258&amp;COUNTIF($A$2:A258,A258)</f>
        <v>110WZ057-62001</v>
      </c>
      <c r="AD258" s="7">
        <v>44796</v>
      </c>
      <c r="AE258" s="7" t="s">
        <v>3790</v>
      </c>
      <c r="AF258" s="7" t="s">
        <v>3790</v>
      </c>
      <c r="AG258" s="5">
        <v>196</v>
      </c>
      <c r="AH258" s="5">
        <v>14</v>
      </c>
      <c r="AI258" s="5">
        <v>14</v>
      </c>
      <c r="AJ258" s="5">
        <v>2000</v>
      </c>
      <c r="AK258" s="5" t="str">
        <f t="shared" ref="AK258:AK321" ca="1" si="4">IFERROR(IF(OR(U258&lt;&gt;0,W258&lt;&gt;"",Y258="releasable",I258&lt;&gt;"",SUM(S258:T258)&gt;0),"run complete",IF(AND(Y258="not releasable",I258="",U258=0,V258&lt;TODAY()),"Past Due","within range")),"missing supplier data")</f>
        <v>run complete</v>
      </c>
    </row>
    <row r="259" spans="1:37">
      <c r="A259" s="32" t="s">
        <v>3254</v>
      </c>
      <c r="B259" s="32">
        <v>7146</v>
      </c>
      <c r="C259" s="32" t="s">
        <v>3255</v>
      </c>
      <c r="E259" s="34">
        <v>5031</v>
      </c>
      <c r="F259" s="32" t="s">
        <v>3881</v>
      </c>
      <c r="G259" s="34">
        <v>5600</v>
      </c>
      <c r="H259" s="7">
        <v>44883</v>
      </c>
      <c r="I259" s="32" t="s">
        <v>3658</v>
      </c>
      <c r="L259" s="7">
        <v>45064</v>
      </c>
      <c r="N259" s="32">
        <v>6</v>
      </c>
      <c r="O259" s="36">
        <v>4.18</v>
      </c>
      <c r="Q259" s="5" t="s">
        <v>3882</v>
      </c>
      <c r="R259" s="5" t="s">
        <v>5373</v>
      </c>
      <c r="S259" s="6">
        <v>5031</v>
      </c>
      <c r="T259" s="6">
        <v>5031</v>
      </c>
      <c r="U259" s="6">
        <v>0</v>
      </c>
      <c r="V259" s="7">
        <v>44883</v>
      </c>
      <c r="W259" s="7" t="s">
        <v>3790</v>
      </c>
      <c r="X259" s="7">
        <v>45064</v>
      </c>
      <c r="Y259" s="5" t="s">
        <v>4018</v>
      </c>
      <c r="Z259" s="5" t="s">
        <v>3790</v>
      </c>
      <c r="AA259" s="6">
        <v>5031</v>
      </c>
      <c r="AB259" s="7" t="s">
        <v>5406</v>
      </c>
      <c r="AC259" s="7" t="str">
        <f>A259&amp;COUNTIF($A$2:A259,A259)</f>
        <v>110WZ201-50001</v>
      </c>
      <c r="AD259" s="7">
        <v>44833</v>
      </c>
      <c r="AE259" s="7" t="s">
        <v>3790</v>
      </c>
      <c r="AF259" s="7" t="s">
        <v>3790</v>
      </c>
      <c r="AG259" s="5">
        <v>84</v>
      </c>
      <c r="AH259" s="5">
        <v>14</v>
      </c>
      <c r="AI259" s="5">
        <v>14</v>
      </c>
      <c r="AJ259" s="5">
        <v>5600</v>
      </c>
      <c r="AK259" s="5" t="str">
        <f t="shared" ca="1" si="4"/>
        <v>run complete</v>
      </c>
    </row>
    <row r="260" spans="1:37">
      <c r="A260" s="32" t="s">
        <v>3257</v>
      </c>
      <c r="B260" s="32">
        <v>7146</v>
      </c>
      <c r="C260" s="32" t="s">
        <v>3255</v>
      </c>
      <c r="E260" s="34">
        <v>984</v>
      </c>
      <c r="F260" s="32" t="s">
        <v>3881</v>
      </c>
      <c r="G260" s="34">
        <v>1000</v>
      </c>
      <c r="H260" s="7">
        <v>44883</v>
      </c>
      <c r="I260" s="32" t="s">
        <v>3658</v>
      </c>
      <c r="L260" s="7">
        <v>45064</v>
      </c>
      <c r="N260" s="32">
        <v>6</v>
      </c>
      <c r="O260" s="36">
        <v>4.18</v>
      </c>
      <c r="Q260" s="5" t="s">
        <v>3882</v>
      </c>
      <c r="R260" s="5" t="s">
        <v>5373</v>
      </c>
      <c r="S260" s="6">
        <v>984</v>
      </c>
      <c r="T260" s="6">
        <v>984</v>
      </c>
      <c r="U260" s="6">
        <v>0</v>
      </c>
      <c r="V260" s="7">
        <v>44883</v>
      </c>
      <c r="W260" s="7" t="s">
        <v>3790</v>
      </c>
      <c r="X260" s="7">
        <v>45064</v>
      </c>
      <c r="Y260" s="5" t="s">
        <v>4018</v>
      </c>
      <c r="Z260" s="5" t="s">
        <v>3790</v>
      </c>
      <c r="AA260" s="6">
        <v>984</v>
      </c>
      <c r="AB260" s="7" t="s">
        <v>5407</v>
      </c>
      <c r="AC260" s="7" t="str">
        <f>A260&amp;COUNTIF($A$2:A260,A260)</f>
        <v>110WZ201-62001</v>
      </c>
      <c r="AD260" s="7">
        <v>44833</v>
      </c>
      <c r="AE260" s="7" t="s">
        <v>3790</v>
      </c>
      <c r="AF260" s="7" t="s">
        <v>3790</v>
      </c>
      <c r="AG260" s="5">
        <v>84</v>
      </c>
      <c r="AH260" s="5">
        <v>14</v>
      </c>
      <c r="AI260" s="5">
        <v>14</v>
      </c>
      <c r="AJ260" s="5">
        <v>1000</v>
      </c>
      <c r="AK260" s="5" t="str">
        <f t="shared" ca="1" si="4"/>
        <v>run complete</v>
      </c>
    </row>
    <row r="261" spans="1:37">
      <c r="A261" s="32" t="s">
        <v>3260</v>
      </c>
      <c r="B261" s="32">
        <v>7036</v>
      </c>
      <c r="C261" s="32" t="s">
        <v>3679</v>
      </c>
      <c r="E261" s="34">
        <v>993</v>
      </c>
      <c r="F261" s="32" t="s">
        <v>3661</v>
      </c>
      <c r="G261" s="34">
        <v>1000</v>
      </c>
      <c r="H261" s="7">
        <v>44839</v>
      </c>
      <c r="I261" s="32" t="s">
        <v>3658</v>
      </c>
      <c r="J261" s="34">
        <v>993</v>
      </c>
      <c r="L261" s="7">
        <v>45088</v>
      </c>
      <c r="N261" s="32">
        <v>3</v>
      </c>
      <c r="O261" s="36">
        <v>5.88</v>
      </c>
      <c r="Q261" s="5" t="s">
        <v>3662</v>
      </c>
      <c r="R261" s="5" t="s">
        <v>4381</v>
      </c>
      <c r="S261" s="6">
        <v>993</v>
      </c>
      <c r="T261" s="6">
        <v>993</v>
      </c>
      <c r="U261" s="6">
        <v>993</v>
      </c>
      <c r="V261" s="7">
        <v>44839</v>
      </c>
      <c r="W261" s="7" t="s">
        <v>3790</v>
      </c>
      <c r="X261" s="7">
        <v>45088</v>
      </c>
      <c r="Y261" s="5" t="s">
        <v>4018</v>
      </c>
      <c r="Z261" s="5" t="s">
        <v>3790</v>
      </c>
      <c r="AA261" s="6">
        <v>993</v>
      </c>
      <c r="AB261" s="7" t="s">
        <v>4456</v>
      </c>
      <c r="AC261" s="7" t="str">
        <f>A261&amp;COUNTIF($A$2:A261,A261)</f>
        <v>110WZ204-50001</v>
      </c>
      <c r="AD261" s="7">
        <v>44718</v>
      </c>
      <c r="AE261" s="7" t="s">
        <v>3790</v>
      </c>
      <c r="AF261" s="7" t="s">
        <v>3790</v>
      </c>
      <c r="AG261" s="5">
        <v>154</v>
      </c>
      <c r="AH261" s="5">
        <v>70</v>
      </c>
      <c r="AI261" s="5">
        <v>14</v>
      </c>
      <c r="AJ261" s="5">
        <v>1000</v>
      </c>
      <c r="AK261" s="5" t="str">
        <f t="shared" ca="1" si="4"/>
        <v>run complete</v>
      </c>
    </row>
    <row r="262" spans="1:37">
      <c r="A262" s="32" t="s">
        <v>3263</v>
      </c>
      <c r="B262" s="32">
        <v>7036</v>
      </c>
      <c r="C262" s="32" t="s">
        <v>3679</v>
      </c>
      <c r="D262" s="32" t="s">
        <v>3663</v>
      </c>
      <c r="E262" s="34">
        <v>1462</v>
      </c>
      <c r="F262" s="32" t="s">
        <v>3661</v>
      </c>
      <c r="G262" s="34">
        <v>1500</v>
      </c>
      <c r="H262" s="7">
        <v>44839</v>
      </c>
      <c r="I262" s="32" t="s">
        <v>3658</v>
      </c>
      <c r="J262" s="34">
        <v>1462</v>
      </c>
      <c r="L262" s="7">
        <v>45088</v>
      </c>
      <c r="N262" s="32">
        <v>3</v>
      </c>
      <c r="O262" s="36">
        <v>5.88</v>
      </c>
      <c r="Q262" s="5" t="s">
        <v>3662</v>
      </c>
      <c r="R262" s="5" t="s">
        <v>4381</v>
      </c>
      <c r="S262" s="6">
        <v>1462</v>
      </c>
      <c r="T262" s="6">
        <v>1462</v>
      </c>
      <c r="U262" s="6">
        <v>1462</v>
      </c>
      <c r="V262" s="7">
        <v>44839</v>
      </c>
      <c r="W262" s="7" t="s">
        <v>3790</v>
      </c>
      <c r="X262" s="7">
        <v>45088</v>
      </c>
      <c r="Y262" s="5" t="s">
        <v>4018</v>
      </c>
      <c r="Z262" s="5" t="s">
        <v>3790</v>
      </c>
      <c r="AA262" s="6">
        <v>1462</v>
      </c>
      <c r="AB262" s="7" t="s">
        <v>4457</v>
      </c>
      <c r="AC262" s="7" t="str">
        <f>A262&amp;COUNTIF($A$2:A262,A262)</f>
        <v>110WZ204-62001</v>
      </c>
      <c r="AD262" s="7">
        <v>44718</v>
      </c>
      <c r="AE262" s="7" t="s">
        <v>3790</v>
      </c>
      <c r="AF262" s="7" t="s">
        <v>3790</v>
      </c>
      <c r="AG262" s="5">
        <v>154</v>
      </c>
      <c r="AH262" s="5">
        <v>70</v>
      </c>
      <c r="AI262" s="5">
        <v>14</v>
      </c>
      <c r="AJ262" s="5">
        <v>1500</v>
      </c>
      <c r="AK262" s="5" t="str">
        <f t="shared" ca="1" si="4"/>
        <v>run complete</v>
      </c>
    </row>
    <row r="263" spans="1:37">
      <c r="A263" s="32" t="s">
        <v>3289</v>
      </c>
      <c r="B263" s="32">
        <v>6862</v>
      </c>
      <c r="C263" s="32" t="s">
        <v>3681</v>
      </c>
      <c r="E263" s="34">
        <v>3321</v>
      </c>
      <c r="F263" s="32" t="s">
        <v>3661</v>
      </c>
      <c r="G263" s="34">
        <v>5000</v>
      </c>
      <c r="H263" s="7">
        <v>44722</v>
      </c>
      <c r="I263" s="32" t="s">
        <v>3658</v>
      </c>
      <c r="L263" s="7">
        <v>44961</v>
      </c>
      <c r="N263" s="32">
        <v>3</v>
      </c>
      <c r="O263" s="36">
        <v>6.68</v>
      </c>
      <c r="P263" s="32" t="s">
        <v>3682</v>
      </c>
      <c r="Q263" s="5" t="s">
        <v>3662</v>
      </c>
      <c r="R263" s="5" t="s">
        <v>4420</v>
      </c>
      <c r="S263" s="6">
        <v>3321</v>
      </c>
      <c r="T263" s="6">
        <v>3321</v>
      </c>
      <c r="U263" s="6">
        <v>0</v>
      </c>
      <c r="V263" s="7">
        <v>44722</v>
      </c>
      <c r="W263" s="7" t="s">
        <v>3790</v>
      </c>
      <c r="X263" s="7">
        <v>44961</v>
      </c>
      <c r="Y263" s="5" t="s">
        <v>4018</v>
      </c>
      <c r="Z263" s="5" t="s">
        <v>3790</v>
      </c>
      <c r="AA263" s="6">
        <v>3321</v>
      </c>
      <c r="AB263" s="7" t="s">
        <v>4459</v>
      </c>
      <c r="AC263" s="7" t="str">
        <f>A263&amp;COUNTIF($A$2:A263,A263)</f>
        <v>110WZ588-50001</v>
      </c>
      <c r="AD263" s="7">
        <v>44480</v>
      </c>
      <c r="AE263" s="7" t="s">
        <v>3790</v>
      </c>
      <c r="AF263" s="7" t="s">
        <v>3790</v>
      </c>
      <c r="AG263" s="5">
        <v>154</v>
      </c>
      <c r="AH263" s="5">
        <v>70</v>
      </c>
      <c r="AI263" s="5">
        <v>14</v>
      </c>
      <c r="AJ263" s="5">
        <v>5000</v>
      </c>
      <c r="AK263" s="5" t="str">
        <f t="shared" ca="1" si="4"/>
        <v>run complete</v>
      </c>
    </row>
    <row r="264" spans="1:37">
      <c r="A264" s="32" t="s">
        <v>60</v>
      </c>
      <c r="B264" s="32">
        <v>7096</v>
      </c>
      <c r="C264" s="32" t="s">
        <v>3700</v>
      </c>
      <c r="G264" s="34">
        <v>5000</v>
      </c>
      <c r="H264" s="7">
        <v>44917</v>
      </c>
      <c r="N264" s="32">
        <v>3</v>
      </c>
      <c r="O264" s="36">
        <v>1.89</v>
      </c>
      <c r="Q264" s="5" t="s">
        <v>3693</v>
      </c>
      <c r="R264" s="5" t="s">
        <v>4023</v>
      </c>
      <c r="S264" s="6">
        <v>0</v>
      </c>
      <c r="T264" s="6">
        <v>0</v>
      </c>
      <c r="U264" s="6">
        <v>0</v>
      </c>
      <c r="V264" s="7">
        <v>44917</v>
      </c>
      <c r="W264" s="7" t="s">
        <v>3790</v>
      </c>
      <c r="X264" s="7" t="s">
        <v>3790</v>
      </c>
      <c r="Y264" s="5" t="s">
        <v>4022</v>
      </c>
      <c r="Z264" s="5" t="s">
        <v>3790</v>
      </c>
      <c r="AA264" s="6">
        <v>0</v>
      </c>
      <c r="AB264" s="7" t="s">
        <v>4024</v>
      </c>
      <c r="AC264" s="7" t="str">
        <f>A264&amp;COUNTIF($A$2:A264,A264)</f>
        <v>10000002-43001</v>
      </c>
      <c r="AD264" s="7">
        <v>44778</v>
      </c>
      <c r="AE264" s="7">
        <v>44917</v>
      </c>
      <c r="AF264" s="7">
        <v>44966</v>
      </c>
      <c r="AG264" s="5">
        <v>84</v>
      </c>
      <c r="AH264" s="5">
        <v>49</v>
      </c>
      <c r="AI264" s="5">
        <v>14</v>
      </c>
      <c r="AJ264" s="5">
        <v>5000</v>
      </c>
      <c r="AK264" s="5" t="str">
        <f t="shared" ca="1" si="4"/>
        <v>Past Due</v>
      </c>
    </row>
    <row r="265" spans="1:37">
      <c r="A265" s="32" t="s">
        <v>61</v>
      </c>
      <c r="B265" s="32">
        <v>7096</v>
      </c>
      <c r="C265" s="32" t="s">
        <v>3699</v>
      </c>
      <c r="G265" s="34">
        <v>50000</v>
      </c>
      <c r="H265" s="7">
        <v>44917</v>
      </c>
      <c r="N265" s="32">
        <v>3</v>
      </c>
      <c r="O265" s="36">
        <v>1.89</v>
      </c>
      <c r="Q265" s="5" t="s">
        <v>3693</v>
      </c>
      <c r="R265" s="5" t="s">
        <v>4023</v>
      </c>
      <c r="S265" s="6">
        <v>0</v>
      </c>
      <c r="T265" s="6">
        <v>0</v>
      </c>
      <c r="U265" s="6">
        <v>0</v>
      </c>
      <c r="V265" s="7">
        <v>44917</v>
      </c>
      <c r="W265" s="7" t="s">
        <v>3790</v>
      </c>
      <c r="X265" s="7" t="s">
        <v>3790</v>
      </c>
      <c r="Y265" s="5" t="s">
        <v>4022</v>
      </c>
      <c r="Z265" s="5" t="s">
        <v>3790</v>
      </c>
      <c r="AA265" s="6">
        <v>0</v>
      </c>
      <c r="AB265" s="7" t="s">
        <v>4025</v>
      </c>
      <c r="AC265" s="7" t="str">
        <f>A265&amp;COUNTIF($A$2:A265,A265)</f>
        <v>10000002-49751</v>
      </c>
      <c r="AD265" s="7">
        <v>44778</v>
      </c>
      <c r="AE265" s="7">
        <v>44917</v>
      </c>
      <c r="AF265" s="7">
        <v>44966</v>
      </c>
      <c r="AG265" s="5">
        <v>84</v>
      </c>
      <c r="AH265" s="5">
        <v>49</v>
      </c>
      <c r="AI265" s="5">
        <v>14</v>
      </c>
      <c r="AJ265" s="5">
        <v>50000</v>
      </c>
      <c r="AK265" s="5" t="str">
        <f t="shared" ca="1" si="4"/>
        <v>Past Due</v>
      </c>
    </row>
    <row r="266" spans="1:37">
      <c r="A266" s="32" t="s">
        <v>64</v>
      </c>
      <c r="B266" s="32">
        <v>7096</v>
      </c>
      <c r="C266" s="32" t="s">
        <v>3694</v>
      </c>
      <c r="G266" s="34">
        <v>40000</v>
      </c>
      <c r="H266" s="7">
        <v>44917</v>
      </c>
      <c r="N266" s="32">
        <v>3</v>
      </c>
      <c r="O266" s="36">
        <v>1.89</v>
      </c>
      <c r="Q266" s="5" t="s">
        <v>3693</v>
      </c>
      <c r="R266" s="5" t="s">
        <v>4023</v>
      </c>
      <c r="S266" s="6">
        <v>0</v>
      </c>
      <c r="T266" s="6">
        <v>0</v>
      </c>
      <c r="U266" s="6">
        <v>0</v>
      </c>
      <c r="V266" s="7">
        <v>44917</v>
      </c>
      <c r="W266" s="7" t="s">
        <v>3790</v>
      </c>
      <c r="X266" s="7" t="s">
        <v>3790</v>
      </c>
      <c r="Y266" s="5" t="s">
        <v>4022</v>
      </c>
      <c r="Z266" s="5" t="s">
        <v>3790</v>
      </c>
      <c r="AA266" s="6">
        <v>0</v>
      </c>
      <c r="AB266" s="7" t="s">
        <v>5858</v>
      </c>
      <c r="AC266" s="7" t="str">
        <f>A266&amp;COUNTIF($A$2:A266,A266)</f>
        <v>10000002-50002</v>
      </c>
      <c r="AD266" s="7">
        <v>44778</v>
      </c>
      <c r="AE266" s="7">
        <v>44917</v>
      </c>
      <c r="AF266" s="7">
        <v>44966</v>
      </c>
      <c r="AG266" s="5">
        <v>84</v>
      </c>
      <c r="AH266" s="5">
        <v>49</v>
      </c>
      <c r="AI266" s="5">
        <v>14</v>
      </c>
      <c r="AJ266" s="5">
        <v>40000</v>
      </c>
      <c r="AK266" s="5" t="str">
        <f t="shared" ca="1" si="4"/>
        <v>Past Due</v>
      </c>
    </row>
    <row r="267" spans="1:37">
      <c r="A267" s="32" t="s">
        <v>65</v>
      </c>
      <c r="B267" s="32">
        <v>7096</v>
      </c>
      <c r="C267" s="32" t="s">
        <v>3695</v>
      </c>
      <c r="G267" s="34">
        <v>55000</v>
      </c>
      <c r="H267" s="7">
        <v>44917</v>
      </c>
      <c r="N267" s="32">
        <v>3</v>
      </c>
      <c r="O267" s="36">
        <v>1.89</v>
      </c>
      <c r="Q267" s="5" t="s">
        <v>3693</v>
      </c>
      <c r="R267" s="5" t="s">
        <v>4023</v>
      </c>
      <c r="S267" s="6">
        <v>0</v>
      </c>
      <c r="T267" s="6">
        <v>0</v>
      </c>
      <c r="U267" s="6">
        <v>0</v>
      </c>
      <c r="V267" s="7">
        <v>44917</v>
      </c>
      <c r="W267" s="7" t="s">
        <v>3790</v>
      </c>
      <c r="X267" s="7" t="s">
        <v>3790</v>
      </c>
      <c r="Y267" s="5" t="s">
        <v>4022</v>
      </c>
      <c r="Z267" s="5" t="s">
        <v>3790</v>
      </c>
      <c r="AA267" s="6">
        <v>0</v>
      </c>
      <c r="AB267" s="7" t="s">
        <v>4028</v>
      </c>
      <c r="AC267" s="7" t="str">
        <f>A267&amp;COUNTIF($A$2:A267,A267)</f>
        <v>10000002-62002</v>
      </c>
      <c r="AD267" s="7">
        <v>44778</v>
      </c>
      <c r="AE267" s="7">
        <v>44917</v>
      </c>
      <c r="AF267" s="7">
        <v>44966</v>
      </c>
      <c r="AG267" s="5">
        <v>84</v>
      </c>
      <c r="AH267" s="5">
        <v>49</v>
      </c>
      <c r="AI267" s="5">
        <v>14</v>
      </c>
      <c r="AJ267" s="5">
        <v>55000</v>
      </c>
      <c r="AK267" s="5" t="str">
        <f t="shared" ca="1" si="4"/>
        <v>Past Due</v>
      </c>
    </row>
    <row r="268" spans="1:37">
      <c r="A268" s="32" t="s">
        <v>83</v>
      </c>
      <c r="B268" s="32" t="s">
        <v>6324</v>
      </c>
      <c r="C268" s="32" t="s">
        <v>82</v>
      </c>
      <c r="D268" s="32" t="s">
        <v>3790</v>
      </c>
      <c r="E268" s="34" t="s">
        <v>3527</v>
      </c>
      <c r="F268" s="32" t="s">
        <v>3790</v>
      </c>
      <c r="G268" s="34" t="s">
        <v>3803</v>
      </c>
      <c r="H268" s="7" t="s">
        <v>6005</v>
      </c>
      <c r="I268" s="32" t="s">
        <v>3790</v>
      </c>
      <c r="J268" s="34" t="s">
        <v>3790</v>
      </c>
      <c r="K268" s="7" t="s">
        <v>3790</v>
      </c>
      <c r="L268" s="7" t="s">
        <v>6325</v>
      </c>
      <c r="M268" s="34" t="s">
        <v>3527</v>
      </c>
      <c r="N268" s="32" t="s">
        <v>3528</v>
      </c>
      <c r="O268" s="36">
        <v>4.45</v>
      </c>
      <c r="P268" s="32" t="s">
        <v>3790</v>
      </c>
      <c r="Q268" s="5" t="s">
        <v>3792</v>
      </c>
      <c r="R268" s="5" t="s">
        <v>6324</v>
      </c>
      <c r="S268" s="6">
        <v>0</v>
      </c>
      <c r="T268" s="6">
        <v>0</v>
      </c>
      <c r="U268" s="6">
        <v>0</v>
      </c>
      <c r="V268" s="7">
        <v>44949</v>
      </c>
      <c r="W268" s="7" t="s">
        <v>3790</v>
      </c>
      <c r="X268" s="7">
        <v>45085</v>
      </c>
      <c r="Y268" s="5" t="s">
        <v>4022</v>
      </c>
      <c r="Z268" s="5" t="s">
        <v>3790</v>
      </c>
      <c r="AA268" s="6">
        <v>0</v>
      </c>
      <c r="AB268" s="7" t="s">
        <v>6326</v>
      </c>
      <c r="AC268" s="7" t="str">
        <f>A268&amp;COUNTIF($A$2:A268,A268)</f>
        <v>10000010-43001</v>
      </c>
      <c r="AD268" s="7">
        <v>44881</v>
      </c>
      <c r="AE268" s="7">
        <v>44949</v>
      </c>
      <c r="AF268" s="7">
        <v>44956</v>
      </c>
      <c r="AG268" s="5">
        <v>70</v>
      </c>
      <c r="AH268" s="5">
        <v>7</v>
      </c>
      <c r="AI268" s="5">
        <v>14</v>
      </c>
      <c r="AJ268" s="5">
        <v>1500</v>
      </c>
      <c r="AK268" s="5" t="str">
        <f t="shared" ca="1" si="4"/>
        <v>within range</v>
      </c>
    </row>
    <row r="269" spans="1:37">
      <c r="A269" s="32" t="s">
        <v>87</v>
      </c>
      <c r="B269" s="32" t="s">
        <v>6324</v>
      </c>
      <c r="C269" s="32" t="s">
        <v>82</v>
      </c>
      <c r="D269" s="32" t="s">
        <v>3790</v>
      </c>
      <c r="E269" s="34" t="s">
        <v>3527</v>
      </c>
      <c r="F269" s="32" t="s">
        <v>3790</v>
      </c>
      <c r="G269" s="34" t="s">
        <v>3569</v>
      </c>
      <c r="H269" s="7" t="s">
        <v>6005</v>
      </c>
      <c r="I269" s="32" t="s">
        <v>3790</v>
      </c>
      <c r="J269" s="34" t="s">
        <v>3790</v>
      </c>
      <c r="K269" s="7" t="s">
        <v>3790</v>
      </c>
      <c r="L269" s="7" t="s">
        <v>6325</v>
      </c>
      <c r="M269" s="34" t="s">
        <v>3527</v>
      </c>
      <c r="N269" s="32" t="s">
        <v>3528</v>
      </c>
      <c r="O269" s="36">
        <v>4.45</v>
      </c>
      <c r="P269" s="32" t="s">
        <v>3790</v>
      </c>
      <c r="Q269" s="5" t="s">
        <v>3792</v>
      </c>
      <c r="R269" s="5" t="s">
        <v>6324</v>
      </c>
      <c r="S269" s="6">
        <v>0</v>
      </c>
      <c r="T269" s="6">
        <v>0</v>
      </c>
      <c r="U269" s="6">
        <v>0</v>
      </c>
      <c r="V269" s="7">
        <v>44949</v>
      </c>
      <c r="W269" s="7" t="s">
        <v>3790</v>
      </c>
      <c r="X269" s="7">
        <v>45085</v>
      </c>
      <c r="Y269" s="5" t="s">
        <v>4022</v>
      </c>
      <c r="Z269" s="5" t="s">
        <v>3790</v>
      </c>
      <c r="AA269" s="6">
        <v>0</v>
      </c>
      <c r="AB269" s="7" t="s">
        <v>6327</v>
      </c>
      <c r="AC269" s="7" t="str">
        <f>A269&amp;COUNTIF($A$2:A269,A269)</f>
        <v>10000010-62002</v>
      </c>
      <c r="AD269" s="7">
        <v>44881</v>
      </c>
      <c r="AE269" s="7">
        <v>44949</v>
      </c>
      <c r="AF269" s="7">
        <v>44956</v>
      </c>
      <c r="AG269" s="5">
        <v>70</v>
      </c>
      <c r="AH269" s="5">
        <v>7</v>
      </c>
      <c r="AI269" s="5">
        <v>14</v>
      </c>
      <c r="AJ269" s="5">
        <v>2000</v>
      </c>
      <c r="AK269" s="5" t="str">
        <f t="shared" ca="1" si="4"/>
        <v>within range</v>
      </c>
    </row>
    <row r="270" spans="1:37">
      <c r="A270" s="32" t="s">
        <v>92</v>
      </c>
      <c r="B270" s="32" t="s">
        <v>6324</v>
      </c>
      <c r="C270" s="32" t="s">
        <v>93</v>
      </c>
      <c r="D270" s="32" t="s">
        <v>3790</v>
      </c>
      <c r="E270" s="34" t="s">
        <v>3527</v>
      </c>
      <c r="F270" s="32" t="s">
        <v>3790</v>
      </c>
      <c r="G270" s="34" t="s">
        <v>6328</v>
      </c>
      <c r="H270" s="7" t="s">
        <v>6005</v>
      </c>
      <c r="I270" s="32" t="s">
        <v>3790</v>
      </c>
      <c r="J270" s="34" t="s">
        <v>3790</v>
      </c>
      <c r="K270" s="7" t="s">
        <v>3790</v>
      </c>
      <c r="L270" s="7" t="s">
        <v>6325</v>
      </c>
      <c r="M270" s="34" t="s">
        <v>3527</v>
      </c>
      <c r="N270" s="32" t="s">
        <v>3528</v>
      </c>
      <c r="O270" s="36">
        <v>5.62</v>
      </c>
      <c r="P270" s="32" t="s">
        <v>3790</v>
      </c>
      <c r="Q270" s="5" t="s">
        <v>3792</v>
      </c>
      <c r="R270" s="5" t="s">
        <v>6324</v>
      </c>
      <c r="S270" s="6">
        <v>0</v>
      </c>
      <c r="T270" s="6">
        <v>0</v>
      </c>
      <c r="U270" s="6">
        <v>0</v>
      </c>
      <c r="V270" s="7">
        <v>44949</v>
      </c>
      <c r="W270" s="7" t="s">
        <v>3790</v>
      </c>
      <c r="X270" s="7">
        <v>45085</v>
      </c>
      <c r="Y270" s="5" t="s">
        <v>4022</v>
      </c>
      <c r="Z270" s="5" t="s">
        <v>3790</v>
      </c>
      <c r="AA270" s="6">
        <v>0</v>
      </c>
      <c r="AB270" s="7" t="s">
        <v>6329</v>
      </c>
      <c r="AC270" s="7" t="str">
        <f>A270&amp;COUNTIF($A$2:A270,A270)</f>
        <v>10000013-37001</v>
      </c>
      <c r="AD270" s="7">
        <v>44881</v>
      </c>
      <c r="AE270" s="7">
        <v>44949</v>
      </c>
      <c r="AF270" s="7">
        <v>44956</v>
      </c>
      <c r="AG270" s="5">
        <v>70</v>
      </c>
      <c r="AH270" s="5">
        <v>7</v>
      </c>
      <c r="AI270" s="5">
        <v>14</v>
      </c>
      <c r="AJ270" s="5">
        <v>1300</v>
      </c>
      <c r="AK270" s="5" t="str">
        <f t="shared" ca="1" si="4"/>
        <v>within range</v>
      </c>
    </row>
    <row r="271" spans="1:37">
      <c r="A271" s="32" t="s">
        <v>94</v>
      </c>
      <c r="B271" s="32" t="s">
        <v>6324</v>
      </c>
      <c r="C271" s="32" t="s">
        <v>93</v>
      </c>
      <c r="D271" s="32" t="s">
        <v>3790</v>
      </c>
      <c r="E271" s="34" t="s">
        <v>3527</v>
      </c>
      <c r="F271" s="32" t="s">
        <v>3790</v>
      </c>
      <c r="G271" s="34" t="s">
        <v>6008</v>
      </c>
      <c r="H271" s="7" t="s">
        <v>6005</v>
      </c>
      <c r="I271" s="32" t="s">
        <v>3790</v>
      </c>
      <c r="J271" s="34" t="s">
        <v>3790</v>
      </c>
      <c r="K271" s="7" t="s">
        <v>3790</v>
      </c>
      <c r="L271" s="7" t="s">
        <v>6325</v>
      </c>
      <c r="M271" s="34" t="s">
        <v>3527</v>
      </c>
      <c r="N271" s="32" t="s">
        <v>3528</v>
      </c>
      <c r="O271" s="36">
        <v>5.62</v>
      </c>
      <c r="P271" s="32" t="s">
        <v>3790</v>
      </c>
      <c r="Q271" s="5" t="s">
        <v>3792</v>
      </c>
      <c r="R271" s="5" t="s">
        <v>6324</v>
      </c>
      <c r="S271" s="6">
        <v>0</v>
      </c>
      <c r="T271" s="6">
        <v>0</v>
      </c>
      <c r="U271" s="6">
        <v>0</v>
      </c>
      <c r="V271" s="7">
        <v>44949</v>
      </c>
      <c r="W271" s="7" t="s">
        <v>3790</v>
      </c>
      <c r="X271" s="7">
        <v>45085</v>
      </c>
      <c r="Y271" s="5" t="s">
        <v>4022</v>
      </c>
      <c r="Z271" s="5" t="s">
        <v>3790</v>
      </c>
      <c r="AA271" s="6">
        <v>0</v>
      </c>
      <c r="AB271" s="7" t="s">
        <v>6330</v>
      </c>
      <c r="AC271" s="7" t="str">
        <f>A271&amp;COUNTIF($A$2:A271,A271)</f>
        <v>10000013-50002</v>
      </c>
      <c r="AD271" s="7">
        <v>44881</v>
      </c>
      <c r="AE271" s="7">
        <v>44949</v>
      </c>
      <c r="AF271" s="7">
        <v>44956</v>
      </c>
      <c r="AG271" s="5">
        <v>70</v>
      </c>
      <c r="AH271" s="5">
        <v>7</v>
      </c>
      <c r="AI271" s="5">
        <v>14</v>
      </c>
      <c r="AJ271" s="5">
        <v>1200</v>
      </c>
      <c r="AK271" s="5" t="str">
        <f t="shared" ca="1" si="4"/>
        <v>within range</v>
      </c>
    </row>
    <row r="272" spans="1:37">
      <c r="A272" s="32" t="s">
        <v>95</v>
      </c>
      <c r="B272" s="32" t="s">
        <v>6324</v>
      </c>
      <c r="C272" s="32" t="s">
        <v>93</v>
      </c>
      <c r="D272" s="32" t="s">
        <v>3790</v>
      </c>
      <c r="E272" s="34" t="s">
        <v>3527</v>
      </c>
      <c r="F272" s="32" t="s">
        <v>3790</v>
      </c>
      <c r="G272" s="34" t="s">
        <v>3802</v>
      </c>
      <c r="H272" s="7" t="s">
        <v>6005</v>
      </c>
      <c r="I272" s="32" t="s">
        <v>3790</v>
      </c>
      <c r="J272" s="34" t="s">
        <v>3790</v>
      </c>
      <c r="K272" s="7" t="s">
        <v>3790</v>
      </c>
      <c r="L272" s="7" t="s">
        <v>6325</v>
      </c>
      <c r="M272" s="34" t="s">
        <v>3527</v>
      </c>
      <c r="N272" s="32" t="s">
        <v>3528</v>
      </c>
      <c r="O272" s="36">
        <v>5.62</v>
      </c>
      <c r="P272" s="32" t="s">
        <v>3790</v>
      </c>
      <c r="Q272" s="5" t="s">
        <v>3792</v>
      </c>
      <c r="R272" s="5" t="s">
        <v>6324</v>
      </c>
      <c r="S272" s="6">
        <v>0</v>
      </c>
      <c r="T272" s="6">
        <v>0</v>
      </c>
      <c r="U272" s="6">
        <v>0</v>
      </c>
      <c r="V272" s="7">
        <v>44949</v>
      </c>
      <c r="W272" s="7" t="s">
        <v>3790</v>
      </c>
      <c r="X272" s="7">
        <v>45085</v>
      </c>
      <c r="Y272" s="5" t="s">
        <v>4022</v>
      </c>
      <c r="Z272" s="5" t="s">
        <v>3790</v>
      </c>
      <c r="AA272" s="6">
        <v>0</v>
      </c>
      <c r="AB272" s="7" t="s">
        <v>6331</v>
      </c>
      <c r="AC272" s="7" t="str">
        <f>A272&amp;COUNTIF($A$2:A272,A272)</f>
        <v>10000013-62002</v>
      </c>
      <c r="AD272" s="7">
        <v>44881</v>
      </c>
      <c r="AE272" s="7">
        <v>44949</v>
      </c>
      <c r="AF272" s="7">
        <v>44956</v>
      </c>
      <c r="AG272" s="5">
        <v>70</v>
      </c>
      <c r="AH272" s="5">
        <v>7</v>
      </c>
      <c r="AI272" s="5">
        <v>14</v>
      </c>
      <c r="AJ272" s="5">
        <v>1000</v>
      </c>
      <c r="AK272" s="5" t="str">
        <f t="shared" ca="1" si="4"/>
        <v>within range</v>
      </c>
    </row>
    <row r="273" spans="1:37">
      <c r="A273" s="32" t="s">
        <v>102</v>
      </c>
      <c r="B273" s="32" t="s">
        <v>7556</v>
      </c>
      <c r="C273" s="32" t="s">
        <v>7557</v>
      </c>
      <c r="D273" s="32" t="s">
        <v>3790</v>
      </c>
      <c r="E273" s="34" t="s">
        <v>3790</v>
      </c>
      <c r="F273" s="32" t="s">
        <v>3790</v>
      </c>
      <c r="G273" s="34">
        <v>2500</v>
      </c>
      <c r="H273" s="7" t="s">
        <v>3830</v>
      </c>
      <c r="I273" s="32" t="s">
        <v>3790</v>
      </c>
      <c r="J273" s="34" t="s">
        <v>3790</v>
      </c>
      <c r="K273" s="7" t="s">
        <v>3790</v>
      </c>
      <c r="L273" s="7" t="s">
        <v>6086</v>
      </c>
      <c r="M273" s="34" t="s">
        <v>3790</v>
      </c>
      <c r="N273" s="32" t="s">
        <v>3532</v>
      </c>
      <c r="O273" s="36">
        <v>3.89</v>
      </c>
      <c r="Q273" s="5" t="s">
        <v>3900</v>
      </c>
      <c r="R273" s="5" t="s">
        <v>7556</v>
      </c>
      <c r="S273" s="6">
        <v>0</v>
      </c>
      <c r="T273" s="6">
        <v>0</v>
      </c>
      <c r="U273" s="6">
        <v>0</v>
      </c>
      <c r="V273" s="7">
        <v>44914</v>
      </c>
      <c r="W273" s="7" t="s">
        <v>3790</v>
      </c>
      <c r="X273" s="7">
        <v>44989</v>
      </c>
      <c r="Y273" s="5" t="s">
        <v>4022</v>
      </c>
      <c r="Z273" s="5" t="s">
        <v>3790</v>
      </c>
      <c r="AA273" s="6">
        <v>0</v>
      </c>
      <c r="AB273" s="7" t="s">
        <v>7558</v>
      </c>
      <c r="AC273" s="7" t="str">
        <f>A273&amp;COUNTIF($A$2:A273,A273)</f>
        <v>10000020-62001</v>
      </c>
      <c r="AD273" s="7">
        <v>44908</v>
      </c>
      <c r="AE273" s="7">
        <v>44914</v>
      </c>
      <c r="AF273" s="7">
        <v>44921</v>
      </c>
      <c r="AG273" s="5">
        <v>42</v>
      </c>
      <c r="AH273" s="5">
        <v>7</v>
      </c>
      <c r="AI273" s="5">
        <v>14</v>
      </c>
      <c r="AJ273" s="5">
        <v>2500</v>
      </c>
      <c r="AK273" s="5" t="str">
        <f t="shared" ca="1" si="4"/>
        <v>Past Due</v>
      </c>
    </row>
    <row r="274" spans="1:37">
      <c r="A274" s="32" t="s">
        <v>116</v>
      </c>
      <c r="B274" s="32" t="s">
        <v>5290</v>
      </c>
      <c r="C274" s="32" t="s">
        <v>5374</v>
      </c>
      <c r="D274" s="32" t="s">
        <v>3790</v>
      </c>
      <c r="E274" s="34" t="s">
        <v>3790</v>
      </c>
      <c r="F274" s="32" t="s">
        <v>3906</v>
      </c>
      <c r="G274" s="34">
        <v>8000</v>
      </c>
      <c r="H274" s="7" t="s">
        <v>5498</v>
      </c>
      <c r="I274" s="32" t="s">
        <v>3526</v>
      </c>
      <c r="J274" s="34">
        <v>7641.22200092</v>
      </c>
      <c r="K274" s="7" t="s">
        <v>3790</v>
      </c>
      <c r="L274" s="7" t="s">
        <v>5499</v>
      </c>
      <c r="M274" s="34" t="s">
        <v>3790</v>
      </c>
      <c r="N274" s="32" t="s">
        <v>3532</v>
      </c>
      <c r="O274" s="36">
        <v>2.67</v>
      </c>
      <c r="Q274" s="5" t="s">
        <v>3900</v>
      </c>
      <c r="R274" s="5" t="s">
        <v>5290</v>
      </c>
      <c r="S274" s="6">
        <v>0</v>
      </c>
      <c r="T274" s="6">
        <v>0</v>
      </c>
      <c r="U274" s="6">
        <v>7641</v>
      </c>
      <c r="V274" s="7">
        <v>44830</v>
      </c>
      <c r="W274" s="7" t="s">
        <v>3790</v>
      </c>
      <c r="X274" s="7">
        <v>44923</v>
      </c>
      <c r="Y274" s="5" t="s">
        <v>4022</v>
      </c>
      <c r="Z274" s="5" t="s">
        <v>3790</v>
      </c>
      <c r="AA274" s="6">
        <v>0</v>
      </c>
      <c r="AB274" s="7" t="s">
        <v>5313</v>
      </c>
      <c r="AC274" s="7" t="str">
        <f>A274&amp;COUNTIF($A$2:A274,A274)</f>
        <v>10000098-50001</v>
      </c>
      <c r="AD274" s="7">
        <v>44796</v>
      </c>
      <c r="AE274" s="7">
        <v>44830</v>
      </c>
      <c r="AF274" s="7">
        <v>44837</v>
      </c>
      <c r="AG274" s="5">
        <v>42</v>
      </c>
      <c r="AH274" s="5">
        <v>7</v>
      </c>
      <c r="AI274" s="5">
        <v>14</v>
      </c>
      <c r="AJ274" s="5">
        <v>8000</v>
      </c>
      <c r="AK274" s="5" t="str">
        <f t="shared" ca="1" si="4"/>
        <v>run complete</v>
      </c>
    </row>
    <row r="275" spans="1:37">
      <c r="A275" s="32" t="s">
        <v>116</v>
      </c>
      <c r="B275" s="32" t="s">
        <v>3902</v>
      </c>
      <c r="C275" s="32" t="s">
        <v>5374</v>
      </c>
      <c r="D275" s="32" t="s">
        <v>3790</v>
      </c>
      <c r="E275" s="34" t="s">
        <v>3790</v>
      </c>
      <c r="F275" s="32" t="s">
        <v>3790</v>
      </c>
      <c r="G275" s="34">
        <v>44000</v>
      </c>
      <c r="H275" s="7" t="s">
        <v>7672</v>
      </c>
      <c r="I275" s="32" t="s">
        <v>3790</v>
      </c>
      <c r="J275" s="34" t="s">
        <v>3790</v>
      </c>
      <c r="K275" s="7" t="s">
        <v>3790</v>
      </c>
      <c r="L275" s="7" t="s">
        <v>7673</v>
      </c>
      <c r="M275" s="34" t="s">
        <v>3790</v>
      </c>
      <c r="N275" s="32" t="s">
        <v>3532</v>
      </c>
      <c r="O275" s="36" t="s">
        <v>3790</v>
      </c>
      <c r="Q275" s="5" t="s">
        <v>3900</v>
      </c>
      <c r="R275" s="5" t="s">
        <v>3902</v>
      </c>
      <c r="S275" s="6">
        <v>0</v>
      </c>
      <c r="T275" s="6">
        <v>0</v>
      </c>
      <c r="U275" s="6">
        <v>0</v>
      </c>
      <c r="V275" s="7">
        <v>44971</v>
      </c>
      <c r="W275" s="7" t="s">
        <v>3790</v>
      </c>
      <c r="X275" s="7">
        <v>45064</v>
      </c>
      <c r="Y275" s="5" t="s">
        <v>4022</v>
      </c>
      <c r="Z275" s="5" t="s">
        <v>3790</v>
      </c>
      <c r="AA275" s="6">
        <v>0</v>
      </c>
      <c r="AB275" s="7" t="s">
        <v>5859</v>
      </c>
      <c r="AC275" s="7" t="str">
        <f>A275&amp;COUNTIF($A$2:A275,A275)</f>
        <v>10000098-50002</v>
      </c>
      <c r="AD275" s="7" t="s">
        <v>4068</v>
      </c>
      <c r="AE275" s="7">
        <v>44971</v>
      </c>
      <c r="AF275" s="7">
        <v>44978</v>
      </c>
      <c r="AG275" s="5">
        <v>42</v>
      </c>
      <c r="AH275" s="5">
        <v>7</v>
      </c>
      <c r="AI275" s="5">
        <v>14</v>
      </c>
      <c r="AJ275" s="5">
        <v>44000</v>
      </c>
      <c r="AK275" s="5" t="str">
        <f t="shared" ca="1" si="4"/>
        <v>within range</v>
      </c>
    </row>
    <row r="276" spans="1:37">
      <c r="A276" s="32" t="s">
        <v>117</v>
      </c>
      <c r="B276" s="32" t="s">
        <v>5290</v>
      </c>
      <c r="C276" s="32" t="s">
        <v>5374</v>
      </c>
      <c r="D276" s="32" t="s">
        <v>3790</v>
      </c>
      <c r="E276" s="34" t="s">
        <v>3790</v>
      </c>
      <c r="F276" s="32" t="s">
        <v>3906</v>
      </c>
      <c r="G276" s="34">
        <v>3000</v>
      </c>
      <c r="H276" s="7" t="s">
        <v>5375</v>
      </c>
      <c r="I276" s="32" t="s">
        <v>3526</v>
      </c>
      <c r="J276" s="34">
        <v>3079.8578001400001</v>
      </c>
      <c r="K276" s="7" t="s">
        <v>3790</v>
      </c>
      <c r="L276" s="7" t="s">
        <v>5376</v>
      </c>
      <c r="M276" s="34" t="s">
        <v>3790</v>
      </c>
      <c r="N276" s="32" t="s">
        <v>3532</v>
      </c>
      <c r="O276" s="36">
        <v>2.67</v>
      </c>
      <c r="Q276" s="5" t="s">
        <v>3900</v>
      </c>
      <c r="R276" s="5" t="s">
        <v>5290</v>
      </c>
      <c r="S276" s="6">
        <v>0</v>
      </c>
      <c r="T276" s="6">
        <v>0</v>
      </c>
      <c r="U276" s="6">
        <v>3080</v>
      </c>
      <c r="V276" s="7">
        <v>44859</v>
      </c>
      <c r="W276" s="7" t="s">
        <v>3790</v>
      </c>
      <c r="X276" s="7">
        <v>44952</v>
      </c>
      <c r="Y276" s="5" t="s">
        <v>4022</v>
      </c>
      <c r="Z276" s="5" t="s">
        <v>3790</v>
      </c>
      <c r="AA276" s="6">
        <v>0</v>
      </c>
      <c r="AB276" s="7" t="s">
        <v>5314</v>
      </c>
      <c r="AC276" s="7" t="str">
        <f>A276&amp;COUNTIF($A$2:A276,A276)</f>
        <v>10000098-62001</v>
      </c>
      <c r="AD276" s="7">
        <v>44796</v>
      </c>
      <c r="AE276" s="7">
        <v>44859</v>
      </c>
      <c r="AF276" s="7">
        <v>44866</v>
      </c>
      <c r="AG276" s="5">
        <v>42</v>
      </c>
      <c r="AH276" s="5">
        <v>7</v>
      </c>
      <c r="AI276" s="5">
        <v>14</v>
      </c>
      <c r="AJ276" s="5">
        <v>3000</v>
      </c>
      <c r="AK276" s="5" t="str">
        <f t="shared" ca="1" si="4"/>
        <v>run complete</v>
      </c>
    </row>
    <row r="277" spans="1:37">
      <c r="A277" s="32" t="s">
        <v>124</v>
      </c>
      <c r="B277" s="32" t="s">
        <v>3810</v>
      </c>
      <c r="C277" s="32" t="s">
        <v>3811</v>
      </c>
      <c r="D277" s="32" t="s">
        <v>3790</v>
      </c>
      <c r="E277" s="34" t="s">
        <v>3527</v>
      </c>
      <c r="F277" s="32" t="s">
        <v>3790</v>
      </c>
      <c r="G277" s="34" t="s">
        <v>3807</v>
      </c>
      <c r="H277" s="7" t="s">
        <v>6332</v>
      </c>
      <c r="I277" s="32" t="s">
        <v>3790</v>
      </c>
      <c r="J277" s="34" t="s">
        <v>3790</v>
      </c>
      <c r="K277" s="7" t="s">
        <v>3790</v>
      </c>
      <c r="L277" s="7" t="s">
        <v>6333</v>
      </c>
      <c r="M277" s="34" t="s">
        <v>3527</v>
      </c>
      <c r="N277" s="32" t="s">
        <v>3528</v>
      </c>
      <c r="O277" s="36">
        <v>4.68</v>
      </c>
      <c r="P277" s="32" t="s">
        <v>3790</v>
      </c>
      <c r="Q277" s="5" t="s">
        <v>3792</v>
      </c>
      <c r="R277" s="5" t="s">
        <v>3810</v>
      </c>
      <c r="S277" s="6">
        <v>0</v>
      </c>
      <c r="T277" s="6">
        <v>0</v>
      </c>
      <c r="U277" s="6">
        <v>0</v>
      </c>
      <c r="V277" s="7">
        <v>44977</v>
      </c>
      <c r="W277" s="7" t="s">
        <v>3790</v>
      </c>
      <c r="X277" s="7">
        <v>45112</v>
      </c>
      <c r="Y277" s="5" t="s">
        <v>4022</v>
      </c>
      <c r="Z277" s="5" t="s">
        <v>3790</v>
      </c>
      <c r="AA277" s="6">
        <v>0</v>
      </c>
      <c r="AB277" s="7" t="s">
        <v>4040</v>
      </c>
      <c r="AC277" s="7" t="str">
        <f>A277&amp;COUNTIF($A$2:A277,A277)</f>
        <v>100000C4-50001</v>
      </c>
      <c r="AD277" s="7">
        <v>44776</v>
      </c>
      <c r="AE277" s="7">
        <v>44977</v>
      </c>
      <c r="AF277" s="7">
        <v>44984</v>
      </c>
      <c r="AG277" s="5">
        <v>70</v>
      </c>
      <c r="AH277" s="5">
        <v>7</v>
      </c>
      <c r="AI277" s="5">
        <v>14</v>
      </c>
      <c r="AJ277" s="5">
        <v>3500</v>
      </c>
      <c r="AK277" s="5" t="str">
        <f t="shared" ca="1" si="4"/>
        <v>within range</v>
      </c>
    </row>
    <row r="278" spans="1:37">
      <c r="A278" s="32" t="s">
        <v>163</v>
      </c>
      <c r="B278" s="32">
        <v>109995</v>
      </c>
      <c r="C278" s="32" t="s">
        <v>3990</v>
      </c>
      <c r="G278" s="34">
        <v>5000</v>
      </c>
      <c r="N278" s="32">
        <v>3</v>
      </c>
      <c r="O278" s="36">
        <v>2.74</v>
      </c>
      <c r="P278" s="32" t="s">
        <v>6429</v>
      </c>
      <c r="Q278" s="5" t="s">
        <v>3991</v>
      </c>
      <c r="R278" s="5" t="s">
        <v>4044</v>
      </c>
      <c r="S278" s="6">
        <v>0</v>
      </c>
      <c r="T278" s="6">
        <v>0</v>
      </c>
      <c r="U278" s="6">
        <v>0</v>
      </c>
      <c r="V278" s="7" t="s">
        <v>3790</v>
      </c>
      <c r="W278" s="7" t="s">
        <v>3790</v>
      </c>
      <c r="X278" s="7" t="s">
        <v>3790</v>
      </c>
      <c r="Y278" s="5" t="s">
        <v>4022</v>
      </c>
      <c r="Z278" s="5" t="s">
        <v>3790</v>
      </c>
      <c r="AA278" s="6">
        <v>0</v>
      </c>
      <c r="AB278" s="7" t="s">
        <v>4045</v>
      </c>
      <c r="AC278" s="7" t="str">
        <f>A278&amp;COUNTIF($A$2:A278,A278)</f>
        <v>10000301-62001</v>
      </c>
      <c r="AD278" s="7">
        <v>44734</v>
      </c>
      <c r="AE278" s="7">
        <v>44734</v>
      </c>
      <c r="AF278" s="7">
        <v>44804</v>
      </c>
      <c r="AG278" s="5">
        <v>70</v>
      </c>
      <c r="AH278" s="5">
        <v>14</v>
      </c>
      <c r="AI278" s="5">
        <v>14</v>
      </c>
      <c r="AJ278" s="5">
        <v>5000</v>
      </c>
      <c r="AK278" s="5" t="str">
        <f t="shared" ca="1" si="4"/>
        <v>within range</v>
      </c>
    </row>
    <row r="279" spans="1:37">
      <c r="A279" s="32" t="s">
        <v>178</v>
      </c>
      <c r="B279" s="32">
        <v>109506</v>
      </c>
      <c r="C279" s="32" t="s">
        <v>3995</v>
      </c>
      <c r="G279" s="34">
        <v>8000</v>
      </c>
      <c r="N279" s="32">
        <v>3</v>
      </c>
      <c r="O279" s="36">
        <v>3.58</v>
      </c>
      <c r="P279" s="32" t="s">
        <v>6430</v>
      </c>
      <c r="Q279" s="5" t="s">
        <v>3991</v>
      </c>
      <c r="R279" s="5" t="s">
        <v>4046</v>
      </c>
      <c r="S279" s="6">
        <v>0</v>
      </c>
      <c r="T279" s="6">
        <v>0</v>
      </c>
      <c r="U279" s="6">
        <v>0</v>
      </c>
      <c r="V279" s="7" t="s">
        <v>3790</v>
      </c>
      <c r="W279" s="7" t="s">
        <v>3790</v>
      </c>
      <c r="X279" s="7" t="s">
        <v>3790</v>
      </c>
      <c r="Y279" s="5" t="s">
        <v>4022</v>
      </c>
      <c r="Z279" s="5" t="s">
        <v>3790</v>
      </c>
      <c r="AA279" s="6">
        <v>0</v>
      </c>
      <c r="AB279" s="7" t="s">
        <v>5559</v>
      </c>
      <c r="AC279" s="7" t="str">
        <f>A279&amp;COUNTIF($A$2:A279,A279)</f>
        <v>10000305-50001</v>
      </c>
      <c r="AD279" s="7">
        <v>44676</v>
      </c>
      <c r="AE279" s="7">
        <v>44676</v>
      </c>
      <c r="AF279" s="7">
        <v>44746</v>
      </c>
      <c r="AG279" s="5">
        <v>70</v>
      </c>
      <c r="AH279" s="5">
        <v>14</v>
      </c>
      <c r="AI279" s="5">
        <v>14</v>
      </c>
      <c r="AJ279" s="5">
        <v>8000</v>
      </c>
      <c r="AK279" s="5" t="str">
        <f t="shared" ca="1" si="4"/>
        <v>within range</v>
      </c>
    </row>
    <row r="280" spans="1:37">
      <c r="A280" s="32" t="s">
        <v>181</v>
      </c>
      <c r="B280" s="32">
        <v>111332</v>
      </c>
      <c r="C280" s="32" t="s">
        <v>3875</v>
      </c>
      <c r="E280" s="34">
        <v>0</v>
      </c>
      <c r="G280" s="34">
        <v>2000</v>
      </c>
      <c r="H280" s="7">
        <v>44971</v>
      </c>
      <c r="O280" s="36">
        <v>4.5971000000000002</v>
      </c>
      <c r="P280" s="32" t="s">
        <v>6335</v>
      </c>
      <c r="Q280" s="5" t="s">
        <v>3873</v>
      </c>
      <c r="R280" s="5" t="s">
        <v>7492</v>
      </c>
      <c r="S280" s="6">
        <v>0</v>
      </c>
      <c r="T280" s="6">
        <v>0</v>
      </c>
      <c r="U280" s="6">
        <v>0</v>
      </c>
      <c r="V280" s="7">
        <v>44971</v>
      </c>
      <c r="W280" s="7" t="s">
        <v>3790</v>
      </c>
      <c r="X280" s="7" t="s">
        <v>3790</v>
      </c>
      <c r="Y280" s="5" t="s">
        <v>4022</v>
      </c>
      <c r="Z280" s="5" t="s">
        <v>3790</v>
      </c>
      <c r="AA280" s="6">
        <v>0</v>
      </c>
      <c r="AB280" s="7" t="s">
        <v>7493</v>
      </c>
      <c r="AC280" s="7" t="str">
        <f>A280&amp;COUNTIF($A$2:A280,A280)</f>
        <v>10000306-50002</v>
      </c>
      <c r="AD280" s="7">
        <v>44908</v>
      </c>
      <c r="AE280" s="7">
        <v>44971</v>
      </c>
      <c r="AF280" s="7">
        <v>44971</v>
      </c>
      <c r="AG280" s="5">
        <v>91</v>
      </c>
      <c r="AH280" s="5">
        <v>0</v>
      </c>
      <c r="AI280" s="5">
        <v>14</v>
      </c>
      <c r="AJ280" s="5">
        <v>2000</v>
      </c>
      <c r="AK280" s="5" t="str">
        <f t="shared" ca="1" si="4"/>
        <v>within range</v>
      </c>
    </row>
    <row r="281" spans="1:37">
      <c r="A281" s="32" t="s">
        <v>210</v>
      </c>
      <c r="B281" s="32">
        <v>111122</v>
      </c>
      <c r="C281" s="32" t="s">
        <v>3880</v>
      </c>
      <c r="E281" s="34">
        <v>0</v>
      </c>
      <c r="G281" s="34">
        <v>3000</v>
      </c>
      <c r="H281" s="7">
        <v>44957</v>
      </c>
      <c r="O281" s="36">
        <v>4.3349000000000002</v>
      </c>
      <c r="P281" s="32" t="s">
        <v>6335</v>
      </c>
      <c r="Q281" s="5" t="s">
        <v>3873</v>
      </c>
      <c r="R281" s="5" t="s">
        <v>6336</v>
      </c>
      <c r="S281" s="6">
        <v>0</v>
      </c>
      <c r="T281" s="6">
        <v>0</v>
      </c>
      <c r="U281" s="6">
        <v>0</v>
      </c>
      <c r="V281" s="7">
        <v>44957</v>
      </c>
      <c r="W281" s="7" t="s">
        <v>3790</v>
      </c>
      <c r="X281" s="7" t="s">
        <v>3790</v>
      </c>
      <c r="Y281" s="5" t="s">
        <v>4022</v>
      </c>
      <c r="Z281" s="5" t="s">
        <v>3790</v>
      </c>
      <c r="AA281" s="6">
        <v>0</v>
      </c>
      <c r="AB281" s="7" t="s">
        <v>6337</v>
      </c>
      <c r="AC281" s="7" t="str">
        <f>A281&amp;COUNTIF($A$2:A281,A281)</f>
        <v>10000326-62002</v>
      </c>
      <c r="AD281" s="7">
        <v>44875</v>
      </c>
      <c r="AE281" s="7">
        <v>44957</v>
      </c>
      <c r="AF281" s="7">
        <v>44957</v>
      </c>
      <c r="AG281" s="5">
        <v>91</v>
      </c>
      <c r="AH281" s="5">
        <v>0</v>
      </c>
      <c r="AI281" s="5">
        <v>14</v>
      </c>
      <c r="AJ281" s="5">
        <v>3000</v>
      </c>
      <c r="AK281" s="5" t="str">
        <f t="shared" ca="1" si="4"/>
        <v>within range</v>
      </c>
    </row>
    <row r="282" spans="1:37">
      <c r="A282" s="32" t="s">
        <v>224</v>
      </c>
      <c r="B282" s="32">
        <v>111373</v>
      </c>
      <c r="C282" s="32" t="s">
        <v>7559</v>
      </c>
      <c r="E282" s="34">
        <v>0</v>
      </c>
      <c r="G282" s="34">
        <v>1000</v>
      </c>
      <c r="H282" s="7">
        <v>44984</v>
      </c>
      <c r="O282" s="36">
        <v>4.9644000000000004</v>
      </c>
      <c r="P282" s="32" t="s">
        <v>7560</v>
      </c>
      <c r="Q282" s="5" t="s">
        <v>3873</v>
      </c>
      <c r="R282" s="5" t="s">
        <v>7561</v>
      </c>
      <c r="S282" s="6">
        <v>0</v>
      </c>
      <c r="T282" s="6">
        <v>0</v>
      </c>
      <c r="U282" s="6">
        <v>0</v>
      </c>
      <c r="V282" s="7">
        <v>44984</v>
      </c>
      <c r="W282" s="7" t="s">
        <v>3790</v>
      </c>
      <c r="X282" s="7" t="s">
        <v>3790</v>
      </c>
      <c r="Y282" s="5" t="s">
        <v>4022</v>
      </c>
      <c r="Z282" s="5" t="s">
        <v>3790</v>
      </c>
      <c r="AA282" s="6">
        <v>0</v>
      </c>
      <c r="AB282" s="7" t="s">
        <v>7562</v>
      </c>
      <c r="AC282" s="7" t="str">
        <f>A282&amp;COUNTIF($A$2:A282,A282)</f>
        <v>10000330-62001</v>
      </c>
      <c r="AD282" s="7">
        <v>44914</v>
      </c>
      <c r="AE282" s="7">
        <v>44984</v>
      </c>
      <c r="AF282" s="7">
        <v>44984</v>
      </c>
      <c r="AG282" s="5">
        <v>91</v>
      </c>
      <c r="AH282" s="5">
        <v>0</v>
      </c>
      <c r="AI282" s="5">
        <v>14</v>
      </c>
      <c r="AJ282" s="5">
        <v>1000</v>
      </c>
      <c r="AK282" s="5" t="str">
        <f t="shared" ca="1" si="4"/>
        <v>within range</v>
      </c>
    </row>
    <row r="283" spans="1:37">
      <c r="A283" s="32" t="s">
        <v>239</v>
      </c>
      <c r="B283" s="32">
        <v>110962</v>
      </c>
      <c r="C283" s="32" t="s">
        <v>3876</v>
      </c>
      <c r="E283" s="34">
        <v>0</v>
      </c>
      <c r="G283" s="34">
        <v>10000</v>
      </c>
      <c r="H283" s="7">
        <v>44953</v>
      </c>
      <c r="O283" s="36">
        <v>4.84</v>
      </c>
      <c r="P283" s="32" t="s">
        <v>6142</v>
      </c>
      <c r="Q283" s="5" t="s">
        <v>3873</v>
      </c>
      <c r="R283" s="5" t="s">
        <v>5965</v>
      </c>
      <c r="S283" s="6">
        <v>0</v>
      </c>
      <c r="T283" s="6">
        <v>0</v>
      </c>
      <c r="U283" s="6">
        <v>0</v>
      </c>
      <c r="V283" s="7">
        <v>44953</v>
      </c>
      <c r="W283" s="7" t="s">
        <v>3790</v>
      </c>
      <c r="X283" s="7" t="s">
        <v>3790</v>
      </c>
      <c r="Y283" s="5" t="s">
        <v>4022</v>
      </c>
      <c r="Z283" s="5" t="s">
        <v>3790</v>
      </c>
      <c r="AA283" s="6">
        <v>0</v>
      </c>
      <c r="AB283" s="7" t="s">
        <v>7496</v>
      </c>
      <c r="AC283" s="7" t="str">
        <f>A283&amp;COUNTIF($A$2:A283,A283)</f>
        <v>10000335-50002</v>
      </c>
      <c r="AD283" s="7">
        <v>44858</v>
      </c>
      <c r="AE283" s="7">
        <v>44953</v>
      </c>
      <c r="AF283" s="7">
        <v>44953</v>
      </c>
      <c r="AG283" s="5">
        <v>91</v>
      </c>
      <c r="AH283" s="5">
        <v>0</v>
      </c>
      <c r="AI283" s="5">
        <v>14</v>
      </c>
      <c r="AJ283" s="5">
        <v>10000</v>
      </c>
      <c r="AK283" s="5" t="str">
        <f t="shared" ca="1" si="4"/>
        <v>within range</v>
      </c>
    </row>
    <row r="284" spans="1:37">
      <c r="A284" s="32" t="s">
        <v>241</v>
      </c>
      <c r="B284" s="32">
        <v>110962</v>
      </c>
      <c r="C284" s="32" t="s">
        <v>3876</v>
      </c>
      <c r="E284" s="34">
        <v>0</v>
      </c>
      <c r="G284" s="34">
        <v>1000</v>
      </c>
      <c r="H284" s="7">
        <v>44953</v>
      </c>
      <c r="O284" s="36">
        <v>4.84</v>
      </c>
      <c r="P284" s="32" t="s">
        <v>6142</v>
      </c>
      <c r="Q284" s="5" t="s">
        <v>3873</v>
      </c>
      <c r="R284" s="5" t="s">
        <v>5965</v>
      </c>
      <c r="S284" s="6">
        <v>0</v>
      </c>
      <c r="T284" s="6">
        <v>0</v>
      </c>
      <c r="U284" s="6">
        <v>0</v>
      </c>
      <c r="V284" s="7">
        <v>44953</v>
      </c>
      <c r="W284" s="7" t="s">
        <v>3790</v>
      </c>
      <c r="X284" s="7" t="s">
        <v>3790</v>
      </c>
      <c r="Y284" s="5" t="s">
        <v>4022</v>
      </c>
      <c r="Z284" s="5" t="s">
        <v>3790</v>
      </c>
      <c r="AA284" s="6">
        <v>0</v>
      </c>
      <c r="AB284" s="7" t="s">
        <v>5966</v>
      </c>
      <c r="AC284" s="7" t="str">
        <f>A284&amp;COUNTIF($A$2:A284,A284)</f>
        <v>10000335-62002</v>
      </c>
      <c r="AD284" s="7">
        <v>44858</v>
      </c>
      <c r="AE284" s="7">
        <v>44953</v>
      </c>
      <c r="AF284" s="7">
        <v>44953</v>
      </c>
      <c r="AG284" s="5">
        <v>91</v>
      </c>
      <c r="AH284" s="5">
        <v>0</v>
      </c>
      <c r="AI284" s="5">
        <v>14</v>
      </c>
      <c r="AJ284" s="5">
        <v>1000</v>
      </c>
      <c r="AK284" s="5" t="str">
        <f t="shared" ca="1" si="4"/>
        <v>within range</v>
      </c>
    </row>
    <row r="285" spans="1:37">
      <c r="A285" s="32" t="s">
        <v>301</v>
      </c>
      <c r="B285" s="32">
        <v>7184</v>
      </c>
      <c r="C285" s="32" t="s">
        <v>302</v>
      </c>
      <c r="G285" s="34">
        <v>2000</v>
      </c>
      <c r="H285" s="7">
        <v>44973</v>
      </c>
      <c r="N285" s="32" t="s">
        <v>7675</v>
      </c>
      <c r="O285" s="36">
        <v>5.2</v>
      </c>
      <c r="P285" s="32" t="s">
        <v>5861</v>
      </c>
      <c r="Q285" s="5" t="s">
        <v>893</v>
      </c>
      <c r="R285" s="5" t="s">
        <v>5862</v>
      </c>
      <c r="S285" s="6">
        <v>0</v>
      </c>
      <c r="T285" s="6">
        <v>0</v>
      </c>
      <c r="U285" s="6">
        <v>0</v>
      </c>
      <c r="V285" s="7">
        <v>44973</v>
      </c>
      <c r="W285" s="7" t="s">
        <v>3790</v>
      </c>
      <c r="X285" s="7" t="s">
        <v>3790</v>
      </c>
      <c r="Y285" s="5" t="s">
        <v>4022</v>
      </c>
      <c r="Z285" s="5" t="s">
        <v>3790</v>
      </c>
      <c r="AA285" s="6">
        <v>0</v>
      </c>
      <c r="AB285" s="7" t="s">
        <v>5863</v>
      </c>
      <c r="AC285" s="7" t="str">
        <f>A285&amp;COUNTIF($A$2:A285,A285)</f>
        <v>100AE100-50002</v>
      </c>
      <c r="AD285" s="7">
        <v>44854</v>
      </c>
      <c r="AE285" s="7">
        <v>44973</v>
      </c>
      <c r="AF285" s="7">
        <v>44987</v>
      </c>
      <c r="AG285" s="5">
        <v>140</v>
      </c>
      <c r="AH285" s="5">
        <v>14</v>
      </c>
      <c r="AI285" s="5">
        <v>14</v>
      </c>
      <c r="AJ285" s="5">
        <v>2000</v>
      </c>
      <c r="AK285" s="5" t="str">
        <f t="shared" ca="1" si="4"/>
        <v>within range</v>
      </c>
    </row>
    <row r="286" spans="1:37">
      <c r="A286" s="32" t="s">
        <v>303</v>
      </c>
      <c r="B286" s="32">
        <v>7184</v>
      </c>
      <c r="C286" s="32" t="s">
        <v>302</v>
      </c>
      <c r="G286" s="34">
        <v>3000</v>
      </c>
      <c r="H286" s="7">
        <v>44973</v>
      </c>
      <c r="N286" s="32" t="s">
        <v>7675</v>
      </c>
      <c r="O286" s="36">
        <v>5.2</v>
      </c>
      <c r="P286" s="32" t="s">
        <v>5864</v>
      </c>
      <c r="Q286" s="5" t="s">
        <v>893</v>
      </c>
      <c r="R286" s="5" t="s">
        <v>5862</v>
      </c>
      <c r="S286" s="6">
        <v>0</v>
      </c>
      <c r="T286" s="6">
        <v>0</v>
      </c>
      <c r="U286" s="6">
        <v>0</v>
      </c>
      <c r="V286" s="7">
        <v>44973</v>
      </c>
      <c r="W286" s="7" t="s">
        <v>3790</v>
      </c>
      <c r="X286" s="7" t="s">
        <v>3790</v>
      </c>
      <c r="Y286" s="5" t="s">
        <v>4022</v>
      </c>
      <c r="Z286" s="5" t="s">
        <v>3790</v>
      </c>
      <c r="AA286" s="6">
        <v>0</v>
      </c>
      <c r="AB286" s="7" t="s">
        <v>5865</v>
      </c>
      <c r="AC286" s="7" t="str">
        <f>A286&amp;COUNTIF($A$2:A286,A286)</f>
        <v>100AE100-62002</v>
      </c>
      <c r="AD286" s="7">
        <v>44854</v>
      </c>
      <c r="AE286" s="7">
        <v>44973</v>
      </c>
      <c r="AF286" s="7">
        <v>44987</v>
      </c>
      <c r="AG286" s="5">
        <v>140</v>
      </c>
      <c r="AH286" s="5">
        <v>14</v>
      </c>
      <c r="AI286" s="5">
        <v>14</v>
      </c>
      <c r="AJ286" s="5">
        <v>3000</v>
      </c>
      <c r="AK286" s="5" t="str">
        <f t="shared" ca="1" si="4"/>
        <v>within range</v>
      </c>
    </row>
    <row r="287" spans="1:37">
      <c r="A287" s="32" t="s">
        <v>308</v>
      </c>
      <c r="B287" s="32">
        <v>7112</v>
      </c>
      <c r="C287" s="32" t="s">
        <v>309</v>
      </c>
      <c r="G287" s="34">
        <v>7500</v>
      </c>
      <c r="H287" s="7">
        <v>44973</v>
      </c>
      <c r="N287" s="32">
        <v>6</v>
      </c>
      <c r="O287" s="36">
        <v>4.1500000000000004</v>
      </c>
      <c r="P287" s="32" t="s">
        <v>3709</v>
      </c>
      <c r="Q287" s="5" t="s">
        <v>893</v>
      </c>
      <c r="R287" s="5" t="s">
        <v>4069</v>
      </c>
      <c r="S287" s="6">
        <v>0</v>
      </c>
      <c r="T287" s="6">
        <v>0</v>
      </c>
      <c r="U287" s="6">
        <v>0</v>
      </c>
      <c r="V287" s="7">
        <v>44973</v>
      </c>
      <c r="W287" s="7" t="s">
        <v>3790</v>
      </c>
      <c r="X287" s="7" t="s">
        <v>3790</v>
      </c>
      <c r="Y287" s="5" t="s">
        <v>4022</v>
      </c>
      <c r="Z287" s="5" t="s">
        <v>3790</v>
      </c>
      <c r="AA287" s="6">
        <v>0</v>
      </c>
      <c r="AB287" s="7" t="s">
        <v>4070</v>
      </c>
      <c r="AC287" s="7" t="str">
        <f>A287&amp;COUNTIF($A$2:A287,A287)</f>
        <v>100AG021-50002</v>
      </c>
      <c r="AD287" s="7">
        <v>44795</v>
      </c>
      <c r="AE287" s="7">
        <v>44973</v>
      </c>
      <c r="AF287" s="7">
        <v>44987</v>
      </c>
      <c r="AG287" s="5">
        <v>140</v>
      </c>
      <c r="AH287" s="5">
        <v>14</v>
      </c>
      <c r="AI287" s="5">
        <v>14</v>
      </c>
      <c r="AJ287" s="5">
        <v>7500</v>
      </c>
      <c r="AK287" s="5" t="str">
        <f t="shared" ca="1" si="4"/>
        <v>within range</v>
      </c>
    </row>
    <row r="288" spans="1:37">
      <c r="A288" s="32" t="s">
        <v>310</v>
      </c>
      <c r="B288" s="32">
        <v>7112</v>
      </c>
      <c r="C288" s="32" t="s">
        <v>309</v>
      </c>
      <c r="G288" s="34">
        <v>2500</v>
      </c>
      <c r="H288" s="7">
        <v>44973</v>
      </c>
      <c r="N288" s="32">
        <v>6</v>
      </c>
      <c r="O288" s="36">
        <v>4.1500000000000004</v>
      </c>
      <c r="P288" s="32" t="s">
        <v>3710</v>
      </c>
      <c r="Q288" s="5" t="s">
        <v>893</v>
      </c>
      <c r="R288" s="5" t="s">
        <v>4069</v>
      </c>
      <c r="S288" s="6">
        <v>0</v>
      </c>
      <c r="T288" s="6">
        <v>0</v>
      </c>
      <c r="U288" s="6">
        <v>0</v>
      </c>
      <c r="V288" s="7">
        <v>44973</v>
      </c>
      <c r="W288" s="7" t="s">
        <v>3790</v>
      </c>
      <c r="X288" s="7" t="s">
        <v>3790</v>
      </c>
      <c r="Y288" s="5" t="s">
        <v>4022</v>
      </c>
      <c r="Z288" s="5" t="s">
        <v>3790</v>
      </c>
      <c r="AA288" s="6">
        <v>0</v>
      </c>
      <c r="AB288" s="7" t="s">
        <v>4073</v>
      </c>
      <c r="AC288" s="7" t="str">
        <f>A288&amp;COUNTIF($A$2:A288,A288)</f>
        <v>100AG021-62002</v>
      </c>
      <c r="AD288" s="7">
        <v>44795</v>
      </c>
      <c r="AE288" s="7">
        <v>44973</v>
      </c>
      <c r="AF288" s="7">
        <v>44987</v>
      </c>
      <c r="AG288" s="5">
        <v>140</v>
      </c>
      <c r="AH288" s="5">
        <v>14</v>
      </c>
      <c r="AI288" s="5">
        <v>14</v>
      </c>
      <c r="AJ288" s="5">
        <v>2500</v>
      </c>
      <c r="AK288" s="5" t="str">
        <f t="shared" ca="1" si="4"/>
        <v>within range</v>
      </c>
    </row>
    <row r="289" spans="1:37">
      <c r="A289" s="32" t="s">
        <v>343</v>
      </c>
      <c r="B289" s="32" t="s">
        <v>3936</v>
      </c>
      <c r="C289" s="32" t="s">
        <v>3937</v>
      </c>
      <c r="D289" s="32" t="s">
        <v>3701</v>
      </c>
      <c r="E289" s="34">
        <v>0</v>
      </c>
      <c r="F289" s="32" t="s">
        <v>3701</v>
      </c>
      <c r="G289" s="34">
        <v>3000</v>
      </c>
      <c r="H289" s="7">
        <v>44984</v>
      </c>
      <c r="I289" s="32" t="s">
        <v>3790</v>
      </c>
      <c r="J289" s="34">
        <v>0</v>
      </c>
      <c r="M289" s="34">
        <v>0</v>
      </c>
      <c r="N289" s="32" t="s">
        <v>3528</v>
      </c>
      <c r="O289" s="36">
        <v>4.63</v>
      </c>
      <c r="P289" s="32" t="s">
        <v>3701</v>
      </c>
      <c r="Q289" s="5" t="s">
        <v>3911</v>
      </c>
      <c r="R289" s="5" t="s">
        <v>3936</v>
      </c>
      <c r="S289" s="6">
        <v>0</v>
      </c>
      <c r="T289" s="6">
        <v>0</v>
      </c>
      <c r="U289" s="6">
        <v>0</v>
      </c>
      <c r="V289" s="7">
        <v>44984</v>
      </c>
      <c r="W289" s="7" t="s">
        <v>3790</v>
      </c>
      <c r="X289" s="7" t="s">
        <v>3790</v>
      </c>
      <c r="Y289" s="5" t="s">
        <v>4022</v>
      </c>
      <c r="Z289" s="5" t="s">
        <v>3790</v>
      </c>
      <c r="AA289" s="6">
        <v>0</v>
      </c>
      <c r="AB289" s="7" t="s">
        <v>4075</v>
      </c>
      <c r="AC289" s="7" t="str">
        <f>A289&amp;COUNTIF($A$2:A289,A289)</f>
        <v>100AG180-62001</v>
      </c>
      <c r="AD289" s="7">
        <v>44641</v>
      </c>
      <c r="AE289" s="7">
        <v>44984</v>
      </c>
      <c r="AF289" s="7">
        <v>44998</v>
      </c>
      <c r="AG289" s="5">
        <v>196</v>
      </c>
      <c r="AH289" s="5">
        <v>14</v>
      </c>
      <c r="AI289" s="5">
        <v>14</v>
      </c>
      <c r="AJ289" s="5">
        <v>3000</v>
      </c>
      <c r="AK289" s="5" t="str">
        <f t="shared" ca="1" si="4"/>
        <v>within range</v>
      </c>
    </row>
    <row r="290" spans="1:37">
      <c r="A290" s="32" t="s">
        <v>344</v>
      </c>
      <c r="B290" s="32">
        <v>7110</v>
      </c>
      <c r="C290" s="32" t="s">
        <v>345</v>
      </c>
      <c r="G290" s="34">
        <v>1500</v>
      </c>
      <c r="H290" s="7">
        <v>45064</v>
      </c>
      <c r="N290" s="32">
        <v>6</v>
      </c>
      <c r="O290" s="36">
        <v>5.19</v>
      </c>
      <c r="P290" s="32" t="s">
        <v>3714</v>
      </c>
      <c r="Q290" s="5" t="s">
        <v>893</v>
      </c>
      <c r="R290" s="5" t="s">
        <v>4076</v>
      </c>
      <c r="S290" s="6">
        <v>0</v>
      </c>
      <c r="T290" s="6">
        <v>0</v>
      </c>
      <c r="U290" s="6">
        <v>0</v>
      </c>
      <c r="V290" s="7">
        <v>45064</v>
      </c>
      <c r="W290" s="7" t="s">
        <v>3790</v>
      </c>
      <c r="X290" s="7" t="s">
        <v>3790</v>
      </c>
      <c r="Y290" s="5" t="s">
        <v>4022</v>
      </c>
      <c r="Z290" s="5" t="s">
        <v>3790</v>
      </c>
      <c r="AA290" s="6">
        <v>0</v>
      </c>
      <c r="AB290" s="7" t="s">
        <v>4077</v>
      </c>
      <c r="AC290" s="7" t="str">
        <f>A290&amp;COUNTIF($A$2:A290,A290)</f>
        <v>100AG251-37002</v>
      </c>
      <c r="AD290" s="7">
        <v>44795</v>
      </c>
      <c r="AE290" s="7">
        <v>45064</v>
      </c>
      <c r="AF290" s="7">
        <v>45078</v>
      </c>
      <c r="AG290" s="5">
        <v>140</v>
      </c>
      <c r="AH290" s="5">
        <v>14</v>
      </c>
      <c r="AI290" s="5">
        <v>14</v>
      </c>
      <c r="AJ290" s="5">
        <v>1500</v>
      </c>
      <c r="AK290" s="5" t="str">
        <f t="shared" ca="1" si="4"/>
        <v>within range</v>
      </c>
    </row>
    <row r="291" spans="1:37">
      <c r="A291" s="32" t="s">
        <v>346</v>
      </c>
      <c r="B291" s="32">
        <v>7110</v>
      </c>
      <c r="C291" s="32" t="s">
        <v>345</v>
      </c>
      <c r="G291" s="34">
        <v>3000</v>
      </c>
      <c r="H291" s="7">
        <v>45064</v>
      </c>
      <c r="N291" s="32">
        <v>6</v>
      </c>
      <c r="O291" s="36">
        <v>4.1500000000000004</v>
      </c>
      <c r="P291" s="32" t="s">
        <v>3715</v>
      </c>
      <c r="Q291" s="5" t="s">
        <v>893</v>
      </c>
      <c r="R291" s="5" t="s">
        <v>4076</v>
      </c>
      <c r="S291" s="6">
        <v>0</v>
      </c>
      <c r="T291" s="6">
        <v>0</v>
      </c>
      <c r="U291" s="6">
        <v>0</v>
      </c>
      <c r="V291" s="7">
        <v>45064</v>
      </c>
      <c r="W291" s="7" t="s">
        <v>3790</v>
      </c>
      <c r="X291" s="7" t="s">
        <v>3790</v>
      </c>
      <c r="Y291" s="5" t="s">
        <v>4022</v>
      </c>
      <c r="Z291" s="5" t="s">
        <v>3790</v>
      </c>
      <c r="AA291" s="6">
        <v>0</v>
      </c>
      <c r="AB291" s="7" t="s">
        <v>4080</v>
      </c>
      <c r="AC291" s="7" t="str">
        <f>A291&amp;COUNTIF($A$2:A291,A291)</f>
        <v>100AG251-50002</v>
      </c>
      <c r="AD291" s="7">
        <v>44795</v>
      </c>
      <c r="AE291" s="7">
        <v>45064</v>
      </c>
      <c r="AF291" s="7">
        <v>45078</v>
      </c>
      <c r="AG291" s="5">
        <v>140</v>
      </c>
      <c r="AH291" s="5">
        <v>14</v>
      </c>
      <c r="AI291" s="5">
        <v>14</v>
      </c>
      <c r="AJ291" s="5">
        <v>3000</v>
      </c>
      <c r="AK291" s="5" t="str">
        <f t="shared" ca="1" si="4"/>
        <v>within range</v>
      </c>
    </row>
    <row r="292" spans="1:37">
      <c r="A292" s="32" t="s">
        <v>347</v>
      </c>
      <c r="B292" s="32">
        <v>7110</v>
      </c>
      <c r="C292" s="32" t="s">
        <v>345</v>
      </c>
      <c r="G292" s="34">
        <v>5500</v>
      </c>
      <c r="H292" s="7">
        <v>45064</v>
      </c>
      <c r="N292" s="32">
        <v>6</v>
      </c>
      <c r="O292" s="36">
        <v>4.1500000000000004</v>
      </c>
      <c r="P292" s="32" t="s">
        <v>3716</v>
      </c>
      <c r="Q292" s="5" t="s">
        <v>893</v>
      </c>
      <c r="R292" s="5" t="s">
        <v>4076</v>
      </c>
      <c r="S292" s="6">
        <v>0</v>
      </c>
      <c r="T292" s="6">
        <v>0</v>
      </c>
      <c r="U292" s="6">
        <v>0</v>
      </c>
      <c r="V292" s="7">
        <v>45064</v>
      </c>
      <c r="W292" s="7" t="s">
        <v>3790</v>
      </c>
      <c r="X292" s="7" t="s">
        <v>3790</v>
      </c>
      <c r="Y292" s="5" t="s">
        <v>4022</v>
      </c>
      <c r="Z292" s="5" t="s">
        <v>3790</v>
      </c>
      <c r="AA292" s="6">
        <v>0</v>
      </c>
      <c r="AB292" s="7" t="s">
        <v>4082</v>
      </c>
      <c r="AC292" s="7" t="str">
        <f>A292&amp;COUNTIF($A$2:A292,A292)</f>
        <v>100AG251-62002</v>
      </c>
      <c r="AD292" s="7">
        <v>44795</v>
      </c>
      <c r="AE292" s="7">
        <v>45064</v>
      </c>
      <c r="AF292" s="7">
        <v>45078</v>
      </c>
      <c r="AG292" s="5">
        <v>140</v>
      </c>
      <c r="AH292" s="5">
        <v>14</v>
      </c>
      <c r="AI292" s="5">
        <v>14</v>
      </c>
      <c r="AJ292" s="5">
        <v>5500</v>
      </c>
      <c r="AK292" s="5" t="str">
        <f t="shared" ca="1" si="4"/>
        <v>within range</v>
      </c>
    </row>
    <row r="293" spans="1:37">
      <c r="A293" s="32" t="s">
        <v>356</v>
      </c>
      <c r="B293" s="32" t="s">
        <v>3956</v>
      </c>
      <c r="C293" s="32" t="s">
        <v>3925</v>
      </c>
      <c r="D293" s="32" t="s">
        <v>3701</v>
      </c>
      <c r="E293" s="34">
        <v>0</v>
      </c>
      <c r="F293" s="32" t="s">
        <v>3701</v>
      </c>
      <c r="G293" s="34">
        <v>2200</v>
      </c>
      <c r="H293" s="7">
        <v>44985</v>
      </c>
      <c r="I293" s="32" t="s">
        <v>3790</v>
      </c>
      <c r="J293" s="34">
        <v>0</v>
      </c>
      <c r="M293" s="34">
        <v>0</v>
      </c>
      <c r="N293" s="32" t="s">
        <v>3528</v>
      </c>
      <c r="O293" s="36">
        <v>4.63</v>
      </c>
      <c r="P293" s="32" t="s">
        <v>3701</v>
      </c>
      <c r="Q293" s="5" t="s">
        <v>3911</v>
      </c>
      <c r="R293" s="5" t="s">
        <v>3956</v>
      </c>
      <c r="S293" s="6">
        <v>0</v>
      </c>
      <c r="T293" s="6">
        <v>0</v>
      </c>
      <c r="U293" s="6">
        <v>0</v>
      </c>
      <c r="V293" s="7">
        <v>44985</v>
      </c>
      <c r="W293" s="7" t="s">
        <v>3790</v>
      </c>
      <c r="X293" s="7" t="s">
        <v>3790</v>
      </c>
      <c r="Y293" s="5" t="s">
        <v>4022</v>
      </c>
      <c r="Z293" s="5" t="s">
        <v>3790</v>
      </c>
      <c r="AA293" s="6">
        <v>0</v>
      </c>
      <c r="AB293" s="7" t="s">
        <v>4085</v>
      </c>
      <c r="AC293" s="7" t="str">
        <f>A293&amp;COUNTIF($A$2:A293,A293)</f>
        <v>100AG381-50001</v>
      </c>
      <c r="AD293" s="7">
        <v>44761</v>
      </c>
      <c r="AE293" s="7">
        <v>44985</v>
      </c>
      <c r="AF293" s="7">
        <v>44999</v>
      </c>
      <c r="AG293" s="5">
        <v>196</v>
      </c>
      <c r="AH293" s="5">
        <v>14</v>
      </c>
      <c r="AI293" s="5">
        <v>14</v>
      </c>
      <c r="AJ293" s="5">
        <v>2200</v>
      </c>
      <c r="AK293" s="5" t="str">
        <f t="shared" ca="1" si="4"/>
        <v>within range</v>
      </c>
    </row>
    <row r="294" spans="1:37">
      <c r="A294" s="32" t="s">
        <v>358</v>
      </c>
      <c r="B294" s="32" t="s">
        <v>3956</v>
      </c>
      <c r="C294" s="32" t="s">
        <v>3926</v>
      </c>
      <c r="D294" s="32" t="s">
        <v>3701</v>
      </c>
      <c r="E294" s="34">
        <v>0</v>
      </c>
      <c r="F294" s="32" t="s">
        <v>3701</v>
      </c>
      <c r="G294" s="34">
        <v>800</v>
      </c>
      <c r="H294" s="7">
        <v>44985</v>
      </c>
      <c r="I294" s="32" t="s">
        <v>3790</v>
      </c>
      <c r="J294" s="34">
        <v>0</v>
      </c>
      <c r="M294" s="34">
        <v>0</v>
      </c>
      <c r="N294" s="32" t="s">
        <v>3528</v>
      </c>
      <c r="O294" s="36">
        <v>4.63</v>
      </c>
      <c r="P294" s="32" t="s">
        <v>3701</v>
      </c>
      <c r="Q294" s="5" t="s">
        <v>3911</v>
      </c>
      <c r="R294" s="5" t="s">
        <v>3956</v>
      </c>
      <c r="S294" s="6">
        <v>0</v>
      </c>
      <c r="T294" s="6">
        <v>0</v>
      </c>
      <c r="U294" s="6">
        <v>0</v>
      </c>
      <c r="V294" s="7">
        <v>44985</v>
      </c>
      <c r="W294" s="7" t="s">
        <v>3790</v>
      </c>
      <c r="X294" s="7" t="s">
        <v>3790</v>
      </c>
      <c r="Y294" s="5" t="s">
        <v>4022</v>
      </c>
      <c r="Z294" s="5" t="s">
        <v>3790</v>
      </c>
      <c r="AA294" s="6">
        <v>0</v>
      </c>
      <c r="AB294" s="7" t="s">
        <v>4086</v>
      </c>
      <c r="AC294" s="7" t="str">
        <f>A294&amp;COUNTIF($A$2:A294,A294)</f>
        <v>100AG381-62001</v>
      </c>
      <c r="AD294" s="7">
        <v>44761</v>
      </c>
      <c r="AE294" s="7">
        <v>44985</v>
      </c>
      <c r="AF294" s="7">
        <v>44999</v>
      </c>
      <c r="AG294" s="5">
        <v>196</v>
      </c>
      <c r="AH294" s="5">
        <v>14</v>
      </c>
      <c r="AI294" s="5">
        <v>14</v>
      </c>
      <c r="AJ294" s="5">
        <v>800</v>
      </c>
      <c r="AK294" s="5" t="str">
        <f t="shared" ca="1" si="4"/>
        <v>within range</v>
      </c>
    </row>
    <row r="295" spans="1:37">
      <c r="A295" s="32" t="s">
        <v>359</v>
      </c>
      <c r="B295" s="32">
        <v>7221</v>
      </c>
      <c r="C295" s="32" t="s">
        <v>360</v>
      </c>
      <c r="G295" s="34">
        <v>2000</v>
      </c>
      <c r="H295" s="7">
        <v>45015</v>
      </c>
      <c r="N295" s="32">
        <v>6</v>
      </c>
      <c r="O295" s="36">
        <v>4.8</v>
      </c>
      <c r="P295" s="32" t="s">
        <v>7676</v>
      </c>
      <c r="Q295" s="5" t="s">
        <v>893</v>
      </c>
      <c r="R295" s="5" t="s">
        <v>7677</v>
      </c>
      <c r="S295" s="6">
        <v>0</v>
      </c>
      <c r="T295" s="6">
        <v>0</v>
      </c>
      <c r="U295" s="6">
        <v>0</v>
      </c>
      <c r="V295" s="7">
        <v>45015</v>
      </c>
      <c r="W295" s="7" t="s">
        <v>3790</v>
      </c>
      <c r="X295" s="7" t="s">
        <v>3790</v>
      </c>
      <c r="Y295" s="5" t="s">
        <v>4022</v>
      </c>
      <c r="Z295" s="5" t="s">
        <v>3790</v>
      </c>
      <c r="AA295" s="6">
        <v>0</v>
      </c>
      <c r="AB295" s="7" t="s">
        <v>7678</v>
      </c>
      <c r="AC295" s="7" t="str">
        <f>A295&amp;COUNTIF($A$2:A295,A295)</f>
        <v>100AG415-50001</v>
      </c>
      <c r="AD295" s="7">
        <v>44908</v>
      </c>
      <c r="AE295" s="7">
        <v>45015</v>
      </c>
      <c r="AF295" s="7">
        <v>45029</v>
      </c>
      <c r="AG295" s="5">
        <v>140</v>
      </c>
      <c r="AH295" s="5">
        <v>14</v>
      </c>
      <c r="AI295" s="5">
        <v>14</v>
      </c>
      <c r="AJ295" s="5">
        <v>2000</v>
      </c>
      <c r="AK295" s="5" t="str">
        <f t="shared" ca="1" si="4"/>
        <v>within range</v>
      </c>
    </row>
    <row r="296" spans="1:37">
      <c r="A296" s="32" t="s">
        <v>361</v>
      </c>
      <c r="B296" s="32">
        <v>7221</v>
      </c>
      <c r="C296" s="32" t="s">
        <v>360</v>
      </c>
      <c r="G296" s="34">
        <v>1000</v>
      </c>
      <c r="H296" s="7">
        <v>45015</v>
      </c>
      <c r="N296" s="32">
        <v>6</v>
      </c>
      <c r="O296" s="36">
        <v>4.8</v>
      </c>
      <c r="P296" s="32" t="s">
        <v>7679</v>
      </c>
      <c r="Q296" s="5" t="s">
        <v>893</v>
      </c>
      <c r="R296" s="5" t="s">
        <v>7677</v>
      </c>
      <c r="S296" s="6">
        <v>0</v>
      </c>
      <c r="T296" s="6">
        <v>0</v>
      </c>
      <c r="U296" s="6">
        <v>0</v>
      </c>
      <c r="V296" s="7">
        <v>45015</v>
      </c>
      <c r="W296" s="7" t="s">
        <v>3790</v>
      </c>
      <c r="X296" s="7" t="s">
        <v>3790</v>
      </c>
      <c r="Y296" s="5" t="s">
        <v>4022</v>
      </c>
      <c r="Z296" s="5" t="s">
        <v>3790</v>
      </c>
      <c r="AA296" s="6">
        <v>0</v>
      </c>
      <c r="AB296" s="7" t="s">
        <v>7680</v>
      </c>
      <c r="AC296" s="7" t="str">
        <f>A296&amp;COUNTIF($A$2:A296,A296)</f>
        <v>100AG415-62001</v>
      </c>
      <c r="AD296" s="7">
        <v>44908</v>
      </c>
      <c r="AE296" s="7">
        <v>45015</v>
      </c>
      <c r="AF296" s="7">
        <v>45029</v>
      </c>
      <c r="AG296" s="5">
        <v>140</v>
      </c>
      <c r="AH296" s="5">
        <v>14</v>
      </c>
      <c r="AI296" s="5">
        <v>14</v>
      </c>
      <c r="AJ296" s="5">
        <v>1000</v>
      </c>
      <c r="AK296" s="5" t="str">
        <f t="shared" ca="1" si="4"/>
        <v>within range</v>
      </c>
    </row>
    <row r="297" spans="1:37">
      <c r="A297" s="32" t="s">
        <v>382</v>
      </c>
      <c r="B297" s="32">
        <v>7066</v>
      </c>
      <c r="C297" s="32" t="s">
        <v>3883</v>
      </c>
      <c r="E297" s="34">
        <v>0</v>
      </c>
      <c r="F297" s="32" t="s">
        <v>3881</v>
      </c>
      <c r="G297" s="34">
        <v>3500</v>
      </c>
      <c r="H297" s="7">
        <v>45000</v>
      </c>
      <c r="N297" s="32">
        <v>6</v>
      </c>
      <c r="O297" s="36">
        <v>4</v>
      </c>
      <c r="Q297" s="5" t="s">
        <v>3882</v>
      </c>
      <c r="R297" s="5" t="s">
        <v>4089</v>
      </c>
      <c r="S297" s="6">
        <v>0</v>
      </c>
      <c r="T297" s="6">
        <v>0</v>
      </c>
      <c r="U297" s="6">
        <v>0</v>
      </c>
      <c r="V297" s="7">
        <v>45000</v>
      </c>
      <c r="W297" s="7" t="s">
        <v>3790</v>
      </c>
      <c r="X297" s="7" t="s">
        <v>3790</v>
      </c>
      <c r="Y297" s="5" t="s">
        <v>4022</v>
      </c>
      <c r="Z297" s="5" t="s">
        <v>3790</v>
      </c>
      <c r="AA297" s="6">
        <v>0</v>
      </c>
      <c r="AB297" s="7" t="s">
        <v>4090</v>
      </c>
      <c r="AC297" s="7" t="str">
        <f>A297&amp;COUNTIF($A$2:A297,A297)</f>
        <v>100AG611-50002</v>
      </c>
      <c r="AD297" s="7">
        <v>44740</v>
      </c>
      <c r="AE297" s="7">
        <v>45000</v>
      </c>
      <c r="AF297" s="7">
        <v>45014</v>
      </c>
      <c r="AG297" s="5">
        <v>84</v>
      </c>
      <c r="AH297" s="5">
        <v>14</v>
      </c>
      <c r="AI297" s="5">
        <v>14</v>
      </c>
      <c r="AJ297" s="5">
        <v>3500</v>
      </c>
      <c r="AK297" s="5" t="str">
        <f t="shared" ca="1" si="4"/>
        <v>within range</v>
      </c>
    </row>
    <row r="298" spans="1:37">
      <c r="A298" s="32" t="s">
        <v>384</v>
      </c>
      <c r="B298" s="32">
        <v>7066</v>
      </c>
      <c r="C298" s="32" t="s">
        <v>3883</v>
      </c>
      <c r="E298" s="34">
        <v>0</v>
      </c>
      <c r="F298" s="32" t="s">
        <v>3881</v>
      </c>
      <c r="G298" s="34">
        <v>7500</v>
      </c>
      <c r="H298" s="7">
        <v>45000</v>
      </c>
      <c r="N298" s="32">
        <v>6</v>
      </c>
      <c r="O298" s="36">
        <v>4</v>
      </c>
      <c r="Q298" s="5" t="s">
        <v>3882</v>
      </c>
      <c r="R298" s="5" t="s">
        <v>4089</v>
      </c>
      <c r="S298" s="6">
        <v>0</v>
      </c>
      <c r="T298" s="6">
        <v>0</v>
      </c>
      <c r="U298" s="6">
        <v>0</v>
      </c>
      <c r="V298" s="7">
        <v>45000</v>
      </c>
      <c r="W298" s="7" t="s">
        <v>3790</v>
      </c>
      <c r="X298" s="7" t="s">
        <v>3790</v>
      </c>
      <c r="Y298" s="5" t="s">
        <v>4022</v>
      </c>
      <c r="Z298" s="5" t="s">
        <v>3790</v>
      </c>
      <c r="AA298" s="6">
        <v>0</v>
      </c>
      <c r="AB298" s="7" t="s">
        <v>4093</v>
      </c>
      <c r="AC298" s="7" t="str">
        <f>A298&amp;COUNTIF($A$2:A298,A298)</f>
        <v>100AG611-62002</v>
      </c>
      <c r="AD298" s="7">
        <v>44740</v>
      </c>
      <c r="AE298" s="7">
        <v>45000</v>
      </c>
      <c r="AF298" s="7">
        <v>45014</v>
      </c>
      <c r="AG298" s="5">
        <v>84</v>
      </c>
      <c r="AH298" s="5">
        <v>14</v>
      </c>
      <c r="AI298" s="5">
        <v>14</v>
      </c>
      <c r="AJ298" s="5">
        <v>7500</v>
      </c>
      <c r="AK298" s="5" t="str">
        <f t="shared" ca="1" si="4"/>
        <v>within range</v>
      </c>
    </row>
    <row r="299" spans="1:37">
      <c r="A299" s="32" t="s">
        <v>421</v>
      </c>
      <c r="B299" s="32">
        <v>7212</v>
      </c>
      <c r="C299" s="32" t="s">
        <v>7681</v>
      </c>
      <c r="G299" s="34">
        <v>4000</v>
      </c>
      <c r="H299" s="7">
        <v>45029</v>
      </c>
      <c r="N299" s="32">
        <v>6</v>
      </c>
      <c r="O299" s="36">
        <v>4.8</v>
      </c>
      <c r="P299" s="32" t="s">
        <v>7682</v>
      </c>
      <c r="Q299" s="5" t="s">
        <v>893</v>
      </c>
      <c r="R299" s="5" t="s">
        <v>7683</v>
      </c>
      <c r="S299" s="6">
        <v>0</v>
      </c>
      <c r="T299" s="6">
        <v>0</v>
      </c>
      <c r="U299" s="6">
        <v>0</v>
      </c>
      <c r="V299" s="7">
        <v>45029</v>
      </c>
      <c r="W299" s="7" t="s">
        <v>3790</v>
      </c>
      <c r="X299" s="7" t="s">
        <v>3790</v>
      </c>
      <c r="Y299" s="5" t="s">
        <v>4022</v>
      </c>
      <c r="Z299" s="5" t="s">
        <v>3790</v>
      </c>
      <c r="AA299" s="6">
        <v>0</v>
      </c>
      <c r="AB299" s="7" t="s">
        <v>7684</v>
      </c>
      <c r="AC299" s="7" t="str">
        <f>A299&amp;COUNTIF($A$2:A299,A299)</f>
        <v>100AR321-62001</v>
      </c>
      <c r="AD299" s="7">
        <v>44902</v>
      </c>
      <c r="AE299" s="7">
        <v>45029</v>
      </c>
      <c r="AF299" s="7">
        <v>45043</v>
      </c>
      <c r="AG299" s="5">
        <v>140</v>
      </c>
      <c r="AH299" s="5">
        <v>14</v>
      </c>
      <c r="AI299" s="5">
        <v>14</v>
      </c>
      <c r="AJ299" s="5">
        <v>4000</v>
      </c>
      <c r="AK299" s="5" t="str">
        <f t="shared" ca="1" si="4"/>
        <v>within range</v>
      </c>
    </row>
    <row r="300" spans="1:37">
      <c r="A300" s="32" t="s">
        <v>426</v>
      </c>
      <c r="B300" s="32" t="s">
        <v>3978</v>
      </c>
      <c r="C300" s="32" t="s">
        <v>3979</v>
      </c>
      <c r="D300" s="32" t="s">
        <v>3701</v>
      </c>
      <c r="E300" s="34">
        <v>0</v>
      </c>
      <c r="F300" s="32" t="s">
        <v>3701</v>
      </c>
      <c r="G300" s="34">
        <v>3000</v>
      </c>
      <c r="H300" s="7">
        <v>44970</v>
      </c>
      <c r="I300" s="32" t="s">
        <v>3790</v>
      </c>
      <c r="J300" s="34">
        <v>0</v>
      </c>
      <c r="M300" s="34">
        <v>0</v>
      </c>
      <c r="N300" s="32" t="s">
        <v>3528</v>
      </c>
      <c r="O300" s="36">
        <v>4.63</v>
      </c>
      <c r="P300" s="32" t="s">
        <v>3701</v>
      </c>
      <c r="Q300" s="5" t="s">
        <v>3911</v>
      </c>
      <c r="R300" s="5" t="s">
        <v>3978</v>
      </c>
      <c r="S300" s="6">
        <v>0</v>
      </c>
      <c r="T300" s="6">
        <v>0</v>
      </c>
      <c r="U300" s="6">
        <v>0</v>
      </c>
      <c r="V300" s="7">
        <v>44970</v>
      </c>
      <c r="W300" s="7" t="s">
        <v>3790</v>
      </c>
      <c r="X300" s="7" t="s">
        <v>3790</v>
      </c>
      <c r="Y300" s="5" t="s">
        <v>4022</v>
      </c>
      <c r="Z300" s="5" t="s">
        <v>3790</v>
      </c>
      <c r="AA300" s="6">
        <v>0</v>
      </c>
      <c r="AB300" s="7" t="s">
        <v>4096</v>
      </c>
      <c r="AC300" s="7" t="str">
        <f>A300&amp;COUNTIF($A$2:A300,A300)</f>
        <v>100AT106-62001</v>
      </c>
      <c r="AD300" s="7">
        <v>44796</v>
      </c>
      <c r="AE300" s="7">
        <v>44970</v>
      </c>
      <c r="AF300" s="7">
        <v>44984</v>
      </c>
      <c r="AG300" s="5">
        <v>70</v>
      </c>
      <c r="AH300" s="5">
        <v>14</v>
      </c>
      <c r="AI300" s="5">
        <v>14</v>
      </c>
      <c r="AJ300" s="5">
        <v>3000</v>
      </c>
      <c r="AK300" s="5" t="str">
        <f t="shared" ca="1" si="4"/>
        <v>within range</v>
      </c>
    </row>
    <row r="301" spans="1:37">
      <c r="A301" s="32" t="s">
        <v>454</v>
      </c>
      <c r="B301" s="32" t="s">
        <v>3919</v>
      </c>
      <c r="C301" s="32" t="s">
        <v>3920</v>
      </c>
      <c r="D301" s="32" t="s">
        <v>3701</v>
      </c>
      <c r="E301" s="34">
        <v>0</v>
      </c>
      <c r="F301" s="32" t="s">
        <v>3701</v>
      </c>
      <c r="G301" s="34">
        <v>700</v>
      </c>
      <c r="H301" s="7">
        <v>44978</v>
      </c>
      <c r="I301" s="32" t="s">
        <v>3790</v>
      </c>
      <c r="J301" s="34">
        <v>0</v>
      </c>
      <c r="M301" s="34">
        <v>0</v>
      </c>
      <c r="N301" s="32" t="s">
        <v>3528</v>
      </c>
      <c r="O301" s="36">
        <v>6.1400000000000006</v>
      </c>
      <c r="P301" s="32" t="s">
        <v>3701</v>
      </c>
      <c r="Q301" s="5" t="s">
        <v>3911</v>
      </c>
      <c r="R301" s="5" t="s">
        <v>3919</v>
      </c>
      <c r="S301" s="6">
        <v>0</v>
      </c>
      <c r="T301" s="6">
        <v>0</v>
      </c>
      <c r="U301" s="6">
        <v>0</v>
      </c>
      <c r="V301" s="7">
        <v>44978</v>
      </c>
      <c r="W301" s="7" t="s">
        <v>3790</v>
      </c>
      <c r="X301" s="7" t="s">
        <v>3790</v>
      </c>
      <c r="Y301" s="5" t="s">
        <v>4022</v>
      </c>
      <c r="Z301" s="5" t="s">
        <v>3790</v>
      </c>
      <c r="AA301" s="6">
        <v>0</v>
      </c>
      <c r="AB301" s="7" t="s">
        <v>4097</v>
      </c>
      <c r="AC301" s="7" t="str">
        <f>A301&amp;COUNTIF($A$2:A301,A301)</f>
        <v>100AT301-50001</v>
      </c>
      <c r="AD301" s="7">
        <v>44599</v>
      </c>
      <c r="AE301" s="7">
        <v>44978</v>
      </c>
      <c r="AF301" s="7">
        <v>44992</v>
      </c>
      <c r="AG301" s="5">
        <v>196</v>
      </c>
      <c r="AH301" s="5">
        <v>14</v>
      </c>
      <c r="AI301" s="5">
        <v>14</v>
      </c>
      <c r="AJ301" s="5">
        <v>700</v>
      </c>
      <c r="AK301" s="5" t="str">
        <f t="shared" ca="1" si="4"/>
        <v>within range</v>
      </c>
    </row>
    <row r="302" spans="1:37">
      <c r="A302" s="32" t="s">
        <v>455</v>
      </c>
      <c r="B302" s="32" t="s">
        <v>3919</v>
      </c>
      <c r="C302" s="32" t="s">
        <v>3921</v>
      </c>
      <c r="D302" s="32" t="s">
        <v>3663</v>
      </c>
      <c r="E302" s="34">
        <v>0</v>
      </c>
      <c r="F302" s="32" t="s">
        <v>3701</v>
      </c>
      <c r="G302" s="34">
        <v>1000</v>
      </c>
      <c r="H302" s="7">
        <v>44978</v>
      </c>
      <c r="I302" s="32" t="s">
        <v>3790</v>
      </c>
      <c r="J302" s="34">
        <v>0</v>
      </c>
      <c r="M302" s="34">
        <v>0</v>
      </c>
      <c r="N302" s="32" t="s">
        <v>3528</v>
      </c>
      <c r="O302" s="36">
        <v>6.1400000000000006</v>
      </c>
      <c r="P302" s="32" t="s">
        <v>3701</v>
      </c>
      <c r="Q302" s="5" t="s">
        <v>3911</v>
      </c>
      <c r="R302" s="5" t="s">
        <v>3919</v>
      </c>
      <c r="S302" s="6">
        <v>0</v>
      </c>
      <c r="T302" s="6">
        <v>0</v>
      </c>
      <c r="U302" s="6">
        <v>0</v>
      </c>
      <c r="V302" s="7">
        <v>44978</v>
      </c>
      <c r="W302" s="7" t="s">
        <v>3790</v>
      </c>
      <c r="X302" s="7" t="s">
        <v>3790</v>
      </c>
      <c r="Y302" s="5" t="s">
        <v>4022</v>
      </c>
      <c r="Z302" s="5" t="s">
        <v>3790</v>
      </c>
      <c r="AA302" s="6">
        <v>0</v>
      </c>
      <c r="AB302" s="7" t="s">
        <v>4098</v>
      </c>
      <c r="AC302" s="7" t="str">
        <f>A302&amp;COUNTIF($A$2:A302,A302)</f>
        <v>100AT301-62001</v>
      </c>
      <c r="AD302" s="7">
        <v>44599</v>
      </c>
      <c r="AE302" s="7">
        <v>44978</v>
      </c>
      <c r="AF302" s="7">
        <v>44992</v>
      </c>
      <c r="AG302" s="5">
        <v>196</v>
      </c>
      <c r="AH302" s="5">
        <v>14</v>
      </c>
      <c r="AI302" s="5">
        <v>14</v>
      </c>
      <c r="AJ302" s="5">
        <v>1000</v>
      </c>
      <c r="AK302" s="5" t="str">
        <f t="shared" ca="1" si="4"/>
        <v>within range</v>
      </c>
    </row>
    <row r="303" spans="1:37">
      <c r="A303" s="32" t="s">
        <v>485</v>
      </c>
      <c r="B303" s="32">
        <v>7066</v>
      </c>
      <c r="C303" s="32" t="s">
        <v>486</v>
      </c>
      <c r="E303" s="34">
        <v>0</v>
      </c>
      <c r="F303" s="32" t="s">
        <v>3881</v>
      </c>
      <c r="G303" s="34">
        <v>1300</v>
      </c>
      <c r="H303" s="7">
        <v>45075</v>
      </c>
      <c r="N303" s="32">
        <v>6</v>
      </c>
      <c r="O303" s="36">
        <v>5.33</v>
      </c>
      <c r="Q303" s="5" t="s">
        <v>3882</v>
      </c>
      <c r="R303" s="5" t="s">
        <v>4089</v>
      </c>
      <c r="S303" s="6">
        <v>0</v>
      </c>
      <c r="T303" s="6">
        <v>0</v>
      </c>
      <c r="U303" s="6">
        <v>0</v>
      </c>
      <c r="V303" s="7">
        <v>45075</v>
      </c>
      <c r="W303" s="7" t="s">
        <v>3790</v>
      </c>
      <c r="X303" s="7" t="s">
        <v>3790</v>
      </c>
      <c r="Y303" s="5" t="s">
        <v>4022</v>
      </c>
      <c r="Z303" s="5" t="s">
        <v>3790</v>
      </c>
      <c r="AA303" s="6">
        <v>0</v>
      </c>
      <c r="AB303" s="7" t="s">
        <v>4101</v>
      </c>
      <c r="AC303" s="7" t="str">
        <f>A303&amp;COUNTIF($A$2:A303,A303)</f>
        <v>100AT650-50001</v>
      </c>
      <c r="AD303" s="7">
        <v>44740</v>
      </c>
      <c r="AE303" s="7">
        <v>45075</v>
      </c>
      <c r="AF303" s="7">
        <v>45089</v>
      </c>
      <c r="AG303" s="5">
        <v>84</v>
      </c>
      <c r="AH303" s="5">
        <v>14</v>
      </c>
      <c r="AI303" s="5">
        <v>14</v>
      </c>
      <c r="AJ303" s="5">
        <v>1300</v>
      </c>
      <c r="AK303" s="5" t="str">
        <f t="shared" ca="1" si="4"/>
        <v>within range</v>
      </c>
    </row>
    <row r="304" spans="1:37">
      <c r="A304" s="32" t="s">
        <v>487</v>
      </c>
      <c r="B304" s="32">
        <v>7066</v>
      </c>
      <c r="C304" s="32" t="s">
        <v>486</v>
      </c>
      <c r="E304" s="34">
        <v>0</v>
      </c>
      <c r="F304" s="32" t="s">
        <v>3881</v>
      </c>
      <c r="G304" s="34">
        <v>2000</v>
      </c>
      <c r="H304" s="7">
        <v>45075</v>
      </c>
      <c r="N304" s="32">
        <v>6</v>
      </c>
      <c r="O304" s="36">
        <v>5.33</v>
      </c>
      <c r="Q304" s="5" t="s">
        <v>3882</v>
      </c>
      <c r="R304" s="5" t="s">
        <v>4089</v>
      </c>
      <c r="S304" s="6">
        <v>0</v>
      </c>
      <c r="T304" s="6">
        <v>0</v>
      </c>
      <c r="U304" s="6">
        <v>0</v>
      </c>
      <c r="V304" s="7">
        <v>45075</v>
      </c>
      <c r="W304" s="7" t="s">
        <v>3790</v>
      </c>
      <c r="X304" s="7" t="s">
        <v>3790</v>
      </c>
      <c r="Y304" s="5" t="s">
        <v>4022</v>
      </c>
      <c r="Z304" s="5" t="s">
        <v>3790</v>
      </c>
      <c r="AA304" s="6">
        <v>0</v>
      </c>
      <c r="AB304" s="7" t="s">
        <v>4103</v>
      </c>
      <c r="AC304" s="7" t="str">
        <f>A304&amp;COUNTIF($A$2:A304,A304)</f>
        <v>100AT650-62001</v>
      </c>
      <c r="AD304" s="7">
        <v>44740</v>
      </c>
      <c r="AE304" s="7">
        <v>45075</v>
      </c>
      <c r="AF304" s="7">
        <v>45089</v>
      </c>
      <c r="AG304" s="5">
        <v>84</v>
      </c>
      <c r="AH304" s="5">
        <v>14</v>
      </c>
      <c r="AI304" s="5">
        <v>14</v>
      </c>
      <c r="AJ304" s="5">
        <v>2000</v>
      </c>
      <c r="AK304" s="5" t="str">
        <f t="shared" ca="1" si="4"/>
        <v>within range</v>
      </c>
    </row>
    <row r="305" spans="1:37">
      <c r="A305" s="32" t="s">
        <v>562</v>
      </c>
      <c r="B305" s="32">
        <v>7058</v>
      </c>
      <c r="C305" s="32" t="s">
        <v>3720</v>
      </c>
      <c r="G305" s="34">
        <v>3000</v>
      </c>
      <c r="H305" s="7">
        <v>44987</v>
      </c>
      <c r="N305" s="32">
        <v>6</v>
      </c>
      <c r="O305" s="36">
        <v>4.8</v>
      </c>
      <c r="P305" s="32" t="s">
        <v>3721</v>
      </c>
      <c r="Q305" s="5" t="s">
        <v>893</v>
      </c>
      <c r="R305" s="5" t="s">
        <v>4109</v>
      </c>
      <c r="S305" s="6">
        <v>0</v>
      </c>
      <c r="T305" s="6">
        <v>0</v>
      </c>
      <c r="U305" s="6">
        <v>0</v>
      </c>
      <c r="V305" s="7">
        <v>44987</v>
      </c>
      <c r="W305" s="7" t="s">
        <v>3790</v>
      </c>
      <c r="X305" s="7" t="s">
        <v>3790</v>
      </c>
      <c r="Y305" s="5" t="s">
        <v>4022</v>
      </c>
      <c r="Z305" s="5" t="s">
        <v>3790</v>
      </c>
      <c r="AA305" s="6">
        <v>0</v>
      </c>
      <c r="AB305" s="7" t="s">
        <v>4110</v>
      </c>
      <c r="AC305" s="7" t="str">
        <f>A305&amp;COUNTIF($A$2:A305,A305)</f>
        <v>100AV981-62001</v>
      </c>
      <c r="AD305" s="7">
        <v>44734</v>
      </c>
      <c r="AE305" s="7">
        <v>44987</v>
      </c>
      <c r="AF305" s="7">
        <v>45001</v>
      </c>
      <c r="AG305" s="5">
        <v>140</v>
      </c>
      <c r="AH305" s="5">
        <v>14</v>
      </c>
      <c r="AI305" s="5">
        <v>14</v>
      </c>
      <c r="AJ305" s="5">
        <v>3000</v>
      </c>
      <c r="AK305" s="5" t="str">
        <f t="shared" ca="1" si="4"/>
        <v>within range</v>
      </c>
    </row>
    <row r="306" spans="1:37">
      <c r="A306" s="32" t="s">
        <v>566</v>
      </c>
      <c r="B306" s="32" t="s">
        <v>3956</v>
      </c>
      <c r="C306" s="32" t="s">
        <v>3938</v>
      </c>
      <c r="D306" s="32" t="s">
        <v>3701</v>
      </c>
      <c r="E306" s="34">
        <v>0</v>
      </c>
      <c r="F306" s="32" t="s">
        <v>3701</v>
      </c>
      <c r="G306" s="34">
        <v>500</v>
      </c>
      <c r="H306" s="7">
        <v>45078</v>
      </c>
      <c r="I306" s="32" t="s">
        <v>3790</v>
      </c>
      <c r="J306" s="34">
        <v>0</v>
      </c>
      <c r="M306" s="34">
        <v>0</v>
      </c>
      <c r="N306" s="32" t="s">
        <v>3528</v>
      </c>
      <c r="O306" s="36">
        <v>4.63</v>
      </c>
      <c r="P306" s="32" t="s">
        <v>3701</v>
      </c>
      <c r="Q306" s="5" t="s">
        <v>3911</v>
      </c>
      <c r="R306" s="5" t="s">
        <v>3956</v>
      </c>
      <c r="S306" s="6">
        <v>0</v>
      </c>
      <c r="T306" s="6">
        <v>0</v>
      </c>
      <c r="U306" s="6">
        <v>0</v>
      </c>
      <c r="V306" s="7">
        <v>45078</v>
      </c>
      <c r="W306" s="7" t="s">
        <v>3790</v>
      </c>
      <c r="X306" s="7" t="s">
        <v>3790</v>
      </c>
      <c r="Y306" s="5" t="s">
        <v>4022</v>
      </c>
      <c r="Z306" s="5" t="s">
        <v>3790</v>
      </c>
      <c r="AA306" s="6">
        <v>0</v>
      </c>
      <c r="AB306" s="7" t="s">
        <v>4111</v>
      </c>
      <c r="AC306" s="7" t="str">
        <f>A306&amp;COUNTIF($A$2:A306,A306)</f>
        <v>100AW141-50001</v>
      </c>
      <c r="AD306" s="7">
        <v>44761</v>
      </c>
      <c r="AE306" s="7">
        <v>45078</v>
      </c>
      <c r="AF306" s="7">
        <v>45092</v>
      </c>
      <c r="AG306" s="5">
        <v>196</v>
      </c>
      <c r="AH306" s="5">
        <v>14</v>
      </c>
      <c r="AI306" s="5">
        <v>14</v>
      </c>
      <c r="AJ306" s="5">
        <v>500</v>
      </c>
      <c r="AK306" s="5" t="str">
        <f t="shared" ca="1" si="4"/>
        <v>within range</v>
      </c>
    </row>
    <row r="307" spans="1:37">
      <c r="A307" s="32" t="s">
        <v>568</v>
      </c>
      <c r="B307" s="32" t="s">
        <v>3956</v>
      </c>
      <c r="C307" s="32" t="s">
        <v>3939</v>
      </c>
      <c r="D307" s="32" t="s">
        <v>3701</v>
      </c>
      <c r="E307" s="34">
        <v>0</v>
      </c>
      <c r="F307" s="32" t="s">
        <v>3701</v>
      </c>
      <c r="G307" s="34">
        <v>2500</v>
      </c>
      <c r="H307" s="7">
        <v>45078</v>
      </c>
      <c r="I307" s="32" t="s">
        <v>3790</v>
      </c>
      <c r="J307" s="34">
        <v>0</v>
      </c>
      <c r="M307" s="34">
        <v>0</v>
      </c>
      <c r="N307" s="32" t="s">
        <v>3528</v>
      </c>
      <c r="O307" s="36">
        <v>4.63</v>
      </c>
      <c r="P307" s="32" t="s">
        <v>3701</v>
      </c>
      <c r="Q307" s="5" t="s">
        <v>3911</v>
      </c>
      <c r="R307" s="5" t="s">
        <v>3956</v>
      </c>
      <c r="S307" s="6">
        <v>0</v>
      </c>
      <c r="T307" s="6">
        <v>0</v>
      </c>
      <c r="U307" s="6">
        <v>0</v>
      </c>
      <c r="V307" s="7">
        <v>45078</v>
      </c>
      <c r="W307" s="7" t="s">
        <v>3790</v>
      </c>
      <c r="X307" s="7" t="s">
        <v>3790</v>
      </c>
      <c r="Y307" s="5" t="s">
        <v>4022</v>
      </c>
      <c r="Z307" s="5" t="s">
        <v>3790</v>
      </c>
      <c r="AA307" s="6">
        <v>0</v>
      </c>
      <c r="AB307" s="7" t="s">
        <v>4112</v>
      </c>
      <c r="AC307" s="7" t="str">
        <f>A307&amp;COUNTIF($A$2:A307,A307)</f>
        <v>100AW141-62001</v>
      </c>
      <c r="AD307" s="7">
        <v>44761</v>
      </c>
      <c r="AE307" s="7">
        <v>45078</v>
      </c>
      <c r="AF307" s="7">
        <v>45092</v>
      </c>
      <c r="AG307" s="5">
        <v>196</v>
      </c>
      <c r="AH307" s="5">
        <v>14</v>
      </c>
      <c r="AI307" s="5">
        <v>14</v>
      </c>
      <c r="AJ307" s="5">
        <v>2500</v>
      </c>
      <c r="AK307" s="5" t="str">
        <f t="shared" ca="1" si="4"/>
        <v>within range</v>
      </c>
    </row>
    <row r="308" spans="1:37">
      <c r="A308" s="32" t="s">
        <v>580</v>
      </c>
      <c r="B308" s="32">
        <v>7130</v>
      </c>
      <c r="C308" s="32" t="s">
        <v>581</v>
      </c>
      <c r="G308" s="34">
        <v>2000</v>
      </c>
      <c r="H308" s="7">
        <v>44973</v>
      </c>
      <c r="N308" s="32">
        <v>6</v>
      </c>
      <c r="O308" s="36">
        <v>4.1500000000000004</v>
      </c>
      <c r="P308" s="32" t="s">
        <v>5257</v>
      </c>
      <c r="Q308" s="5" t="s">
        <v>893</v>
      </c>
      <c r="R308" s="5" t="s">
        <v>5258</v>
      </c>
      <c r="S308" s="6">
        <v>0</v>
      </c>
      <c r="T308" s="6">
        <v>0</v>
      </c>
      <c r="U308" s="6">
        <v>0</v>
      </c>
      <c r="V308" s="7">
        <v>44973</v>
      </c>
      <c r="W308" s="7" t="s">
        <v>3790</v>
      </c>
      <c r="X308" s="7" t="s">
        <v>3790</v>
      </c>
      <c r="Y308" s="5" t="s">
        <v>4022</v>
      </c>
      <c r="Z308" s="5" t="s">
        <v>3790</v>
      </c>
      <c r="AA308" s="6">
        <v>0</v>
      </c>
      <c r="AB308" s="7" t="s">
        <v>5317</v>
      </c>
      <c r="AC308" s="7" t="str">
        <f>A308&amp;COUNTIF($A$2:A308,A308)</f>
        <v>100AW785-50001</v>
      </c>
      <c r="AD308" s="7">
        <v>44812</v>
      </c>
      <c r="AE308" s="7">
        <v>44973</v>
      </c>
      <c r="AF308" s="7">
        <v>44987</v>
      </c>
      <c r="AG308" s="5">
        <v>140</v>
      </c>
      <c r="AH308" s="5">
        <v>14</v>
      </c>
      <c r="AI308" s="5">
        <v>14</v>
      </c>
      <c r="AJ308" s="5">
        <v>2000</v>
      </c>
      <c r="AK308" s="5" t="str">
        <f t="shared" ca="1" si="4"/>
        <v>within range</v>
      </c>
    </row>
    <row r="309" spans="1:37">
      <c r="A309" s="32" t="s">
        <v>583</v>
      </c>
      <c r="B309" s="32">
        <v>7130</v>
      </c>
      <c r="C309" s="32" t="s">
        <v>581</v>
      </c>
      <c r="G309" s="34">
        <v>8000</v>
      </c>
      <c r="H309" s="7">
        <v>44973</v>
      </c>
      <c r="N309" s="32">
        <v>6</v>
      </c>
      <c r="O309" s="36">
        <v>4.1500000000000004</v>
      </c>
      <c r="P309" s="32" t="s">
        <v>5259</v>
      </c>
      <c r="Q309" s="5" t="s">
        <v>893</v>
      </c>
      <c r="R309" s="5" t="s">
        <v>5258</v>
      </c>
      <c r="S309" s="6">
        <v>0</v>
      </c>
      <c r="T309" s="6">
        <v>0</v>
      </c>
      <c r="U309" s="6">
        <v>0</v>
      </c>
      <c r="V309" s="7">
        <v>44973</v>
      </c>
      <c r="W309" s="7" t="s">
        <v>3790</v>
      </c>
      <c r="X309" s="7" t="s">
        <v>3790</v>
      </c>
      <c r="Y309" s="5" t="s">
        <v>4022</v>
      </c>
      <c r="Z309" s="5" t="s">
        <v>3790</v>
      </c>
      <c r="AA309" s="6">
        <v>0</v>
      </c>
      <c r="AB309" s="7" t="s">
        <v>5318</v>
      </c>
      <c r="AC309" s="7" t="str">
        <f>A309&amp;COUNTIF($A$2:A309,A309)</f>
        <v>100AW785-62002</v>
      </c>
      <c r="AD309" s="7">
        <v>44812</v>
      </c>
      <c r="AE309" s="7">
        <v>44973</v>
      </c>
      <c r="AF309" s="7">
        <v>44987</v>
      </c>
      <c r="AG309" s="5">
        <v>140</v>
      </c>
      <c r="AH309" s="5">
        <v>14</v>
      </c>
      <c r="AI309" s="5">
        <v>14</v>
      </c>
      <c r="AJ309" s="5">
        <v>8000</v>
      </c>
      <c r="AK309" s="5" t="str">
        <f t="shared" ca="1" si="4"/>
        <v>within range</v>
      </c>
    </row>
    <row r="310" spans="1:37">
      <c r="A310" s="32" t="s">
        <v>3655</v>
      </c>
      <c r="B310" s="32">
        <v>7093</v>
      </c>
      <c r="C310" s="32" t="s">
        <v>3656</v>
      </c>
      <c r="G310" s="34">
        <v>155000</v>
      </c>
      <c r="H310" s="7">
        <v>45026</v>
      </c>
      <c r="N310" s="32">
        <v>3</v>
      </c>
      <c r="P310" s="32" t="s">
        <v>5983</v>
      </c>
      <c r="Q310" s="5" t="s">
        <v>3653</v>
      </c>
      <c r="R310" s="5" t="s">
        <v>4119</v>
      </c>
      <c r="S310" s="6">
        <v>0</v>
      </c>
      <c r="T310" s="6">
        <v>0</v>
      </c>
      <c r="U310" s="6">
        <v>0</v>
      </c>
      <c r="V310" s="7">
        <v>45026</v>
      </c>
      <c r="W310" s="7" t="s">
        <v>3790</v>
      </c>
      <c r="X310" s="7" t="s">
        <v>3790</v>
      </c>
      <c r="Y310" s="5" t="s">
        <v>4022</v>
      </c>
      <c r="Z310" s="5" t="s">
        <v>3790</v>
      </c>
      <c r="AA310" s="6">
        <v>0</v>
      </c>
      <c r="AB310" s="7" t="s">
        <v>4120</v>
      </c>
      <c r="AC310" s="7" t="str">
        <f>A310&amp;COUNTIF($A$2:A310,A310)</f>
        <v>100BP007-50003</v>
      </c>
      <c r="AD310" s="7">
        <v>44771</v>
      </c>
      <c r="AE310" s="7">
        <v>45026</v>
      </c>
      <c r="AF310" s="7">
        <v>45033</v>
      </c>
      <c r="AG310" s="5">
        <v>42</v>
      </c>
      <c r="AH310" s="5">
        <v>7</v>
      </c>
      <c r="AI310" s="5">
        <v>14</v>
      </c>
      <c r="AJ310" s="5">
        <v>155000</v>
      </c>
      <c r="AK310" s="5" t="str">
        <f t="shared" ca="1" si="4"/>
        <v>within range</v>
      </c>
    </row>
    <row r="311" spans="1:37">
      <c r="A311" s="32" t="s">
        <v>3655</v>
      </c>
      <c r="B311" s="32">
        <v>7098</v>
      </c>
      <c r="C311" s="32" t="s">
        <v>3656</v>
      </c>
      <c r="G311" s="34">
        <v>155000</v>
      </c>
      <c r="H311" s="7">
        <v>45000</v>
      </c>
      <c r="N311" s="32">
        <v>3</v>
      </c>
      <c r="P311" s="32" t="s">
        <v>3654</v>
      </c>
      <c r="Q311" s="5" t="s">
        <v>3653</v>
      </c>
      <c r="R311" s="5" t="s">
        <v>4121</v>
      </c>
      <c r="S311" s="6">
        <v>0</v>
      </c>
      <c r="T311" s="6">
        <v>0</v>
      </c>
      <c r="U311" s="6">
        <v>0</v>
      </c>
      <c r="V311" s="7">
        <v>45000</v>
      </c>
      <c r="W311" s="7" t="s">
        <v>3790</v>
      </c>
      <c r="X311" s="7" t="s">
        <v>3790</v>
      </c>
      <c r="Y311" s="5" t="s">
        <v>4022</v>
      </c>
      <c r="Z311" s="5" t="s">
        <v>3790</v>
      </c>
      <c r="AA311" s="6">
        <v>0</v>
      </c>
      <c r="AB311" s="7" t="s">
        <v>4122</v>
      </c>
      <c r="AC311" s="7" t="str">
        <f>A311&amp;COUNTIF($A$2:A311,A311)</f>
        <v>100BP007-50004</v>
      </c>
      <c r="AD311" s="7">
        <v>44785</v>
      </c>
      <c r="AE311" s="7">
        <v>45000</v>
      </c>
      <c r="AF311" s="7">
        <v>45007</v>
      </c>
      <c r="AG311" s="5">
        <v>42</v>
      </c>
      <c r="AH311" s="5">
        <v>7</v>
      </c>
      <c r="AI311" s="5">
        <v>14</v>
      </c>
      <c r="AJ311" s="5">
        <v>155000</v>
      </c>
      <c r="AK311" s="5" t="str">
        <f t="shared" ca="1" si="4"/>
        <v>within range</v>
      </c>
    </row>
    <row r="312" spans="1:37">
      <c r="A312" s="32" t="s">
        <v>3659</v>
      </c>
      <c r="B312" s="32">
        <v>7093</v>
      </c>
      <c r="C312" s="32" t="s">
        <v>3656</v>
      </c>
      <c r="G312" s="34">
        <v>45000</v>
      </c>
      <c r="H312" s="7">
        <v>45026</v>
      </c>
      <c r="N312" s="32">
        <v>3</v>
      </c>
      <c r="P312" s="32" t="s">
        <v>5983</v>
      </c>
      <c r="Q312" s="5" t="s">
        <v>3653</v>
      </c>
      <c r="R312" s="5" t="s">
        <v>4119</v>
      </c>
      <c r="S312" s="6">
        <v>0</v>
      </c>
      <c r="T312" s="6">
        <v>0</v>
      </c>
      <c r="U312" s="6">
        <v>0</v>
      </c>
      <c r="V312" s="7">
        <v>45026</v>
      </c>
      <c r="W312" s="7" t="s">
        <v>3790</v>
      </c>
      <c r="X312" s="7" t="s">
        <v>3790</v>
      </c>
      <c r="Y312" s="5" t="s">
        <v>4022</v>
      </c>
      <c r="Z312" s="5" t="s">
        <v>3790</v>
      </c>
      <c r="AA312" s="6">
        <v>0</v>
      </c>
      <c r="AB312" s="7" t="s">
        <v>4126</v>
      </c>
      <c r="AC312" s="7" t="str">
        <f>A312&amp;COUNTIF($A$2:A312,A312)</f>
        <v>100BP007-62003</v>
      </c>
      <c r="AD312" s="7">
        <v>44771</v>
      </c>
      <c r="AE312" s="7">
        <v>45026</v>
      </c>
      <c r="AF312" s="7">
        <v>45033</v>
      </c>
      <c r="AG312" s="5">
        <v>42</v>
      </c>
      <c r="AH312" s="5">
        <v>7</v>
      </c>
      <c r="AI312" s="5">
        <v>14</v>
      </c>
      <c r="AJ312" s="5">
        <v>45000</v>
      </c>
      <c r="AK312" s="5" t="str">
        <f t="shared" ca="1" si="4"/>
        <v>within range</v>
      </c>
    </row>
    <row r="313" spans="1:37">
      <c r="A313" s="32" t="s">
        <v>3659</v>
      </c>
      <c r="B313" s="32">
        <v>7098</v>
      </c>
      <c r="C313" s="32" t="s">
        <v>3656</v>
      </c>
      <c r="G313" s="34">
        <v>45000</v>
      </c>
      <c r="H313" s="7">
        <v>45000</v>
      </c>
      <c r="N313" s="32">
        <v>3</v>
      </c>
      <c r="P313" s="32" t="s">
        <v>3654</v>
      </c>
      <c r="Q313" s="5" t="s">
        <v>3653</v>
      </c>
      <c r="R313" s="5" t="s">
        <v>4121</v>
      </c>
      <c r="S313" s="6">
        <v>0</v>
      </c>
      <c r="T313" s="6">
        <v>0</v>
      </c>
      <c r="U313" s="6">
        <v>0</v>
      </c>
      <c r="V313" s="7">
        <v>45000</v>
      </c>
      <c r="W313" s="7" t="s">
        <v>3790</v>
      </c>
      <c r="X313" s="7" t="s">
        <v>3790</v>
      </c>
      <c r="Y313" s="5" t="s">
        <v>4022</v>
      </c>
      <c r="Z313" s="5" t="s">
        <v>3790</v>
      </c>
      <c r="AA313" s="6">
        <v>0</v>
      </c>
      <c r="AB313" s="7" t="s">
        <v>4127</v>
      </c>
      <c r="AC313" s="7" t="str">
        <f>A313&amp;COUNTIF($A$2:A313,A313)</f>
        <v>100BP007-62004</v>
      </c>
      <c r="AD313" s="7">
        <v>44785</v>
      </c>
      <c r="AE313" s="7">
        <v>45000</v>
      </c>
      <c r="AF313" s="7">
        <v>45007</v>
      </c>
      <c r="AG313" s="5">
        <v>42</v>
      </c>
      <c r="AH313" s="5">
        <v>7</v>
      </c>
      <c r="AI313" s="5">
        <v>14</v>
      </c>
      <c r="AJ313" s="5">
        <v>45000</v>
      </c>
      <c r="AK313" s="5" t="str">
        <f t="shared" ca="1" si="4"/>
        <v>within range</v>
      </c>
    </row>
    <row r="314" spans="1:37">
      <c r="A314" s="32" t="s">
        <v>601</v>
      </c>
      <c r="B314" s="32" t="s">
        <v>6339</v>
      </c>
      <c r="C314" s="32" t="s">
        <v>3814</v>
      </c>
      <c r="D314" s="32" t="s">
        <v>3790</v>
      </c>
      <c r="E314" s="34" t="s">
        <v>3527</v>
      </c>
      <c r="F314" s="32" t="s">
        <v>3790</v>
      </c>
      <c r="G314" s="34" t="s">
        <v>3804</v>
      </c>
      <c r="H314" s="7" t="s">
        <v>3830</v>
      </c>
      <c r="I314" s="32" t="s">
        <v>3790</v>
      </c>
      <c r="J314" s="34" t="s">
        <v>3790</v>
      </c>
      <c r="K314" s="7" t="s">
        <v>3790</v>
      </c>
      <c r="L314" s="7" t="s">
        <v>5963</v>
      </c>
      <c r="M314" s="34" t="s">
        <v>7563</v>
      </c>
      <c r="N314" s="32" t="s">
        <v>3528</v>
      </c>
      <c r="O314" s="36">
        <v>2.88</v>
      </c>
      <c r="P314" s="32" t="s">
        <v>3790</v>
      </c>
      <c r="Q314" s="5" t="s">
        <v>3792</v>
      </c>
      <c r="R314" s="5" t="s">
        <v>6339</v>
      </c>
      <c r="S314" s="6">
        <v>0</v>
      </c>
      <c r="T314" s="6">
        <v>-151</v>
      </c>
      <c r="U314" s="6">
        <v>0</v>
      </c>
      <c r="V314" s="7">
        <v>44914</v>
      </c>
      <c r="W314" s="7" t="s">
        <v>3790</v>
      </c>
      <c r="X314" s="7">
        <v>45069</v>
      </c>
      <c r="Y314" s="5" t="s">
        <v>4022</v>
      </c>
      <c r="Z314" s="5" t="s">
        <v>3790</v>
      </c>
      <c r="AA314" s="6">
        <v>-151</v>
      </c>
      <c r="AB314" s="7" t="s">
        <v>6340</v>
      </c>
      <c r="AC314" s="7" t="str">
        <f>A314&amp;COUNTIF($A$2:A314,A314)</f>
        <v>100CC130-50001</v>
      </c>
      <c r="AD314" s="7">
        <v>44881</v>
      </c>
      <c r="AE314" s="7">
        <v>44914</v>
      </c>
      <c r="AF314" s="7">
        <v>44921</v>
      </c>
      <c r="AG314" s="5">
        <v>70</v>
      </c>
      <c r="AH314" s="5">
        <v>7</v>
      </c>
      <c r="AI314" s="5">
        <v>14</v>
      </c>
      <c r="AJ314" s="5">
        <v>5500</v>
      </c>
      <c r="AK314" s="5" t="str">
        <f t="shared" ca="1" si="4"/>
        <v>Past Due</v>
      </c>
    </row>
    <row r="315" spans="1:37">
      <c r="A315" s="32" t="s">
        <v>602</v>
      </c>
      <c r="B315" s="32" t="s">
        <v>6339</v>
      </c>
      <c r="C315" s="32" t="s">
        <v>3814</v>
      </c>
      <c r="D315" s="32" t="s">
        <v>3790</v>
      </c>
      <c r="E315" s="34" t="s">
        <v>3527</v>
      </c>
      <c r="F315" s="32" t="s">
        <v>3790</v>
      </c>
      <c r="G315" s="34" t="s">
        <v>3809</v>
      </c>
      <c r="H315" s="7" t="s">
        <v>3830</v>
      </c>
      <c r="I315" s="32" t="s">
        <v>3790</v>
      </c>
      <c r="J315" s="34" t="s">
        <v>3790</v>
      </c>
      <c r="K315" s="7" t="s">
        <v>3790</v>
      </c>
      <c r="L315" s="7" t="s">
        <v>5963</v>
      </c>
      <c r="M315" s="34" t="s">
        <v>6379</v>
      </c>
      <c r="N315" s="32" t="s">
        <v>3528</v>
      </c>
      <c r="O315" s="36">
        <v>2.88</v>
      </c>
      <c r="P315" s="32" t="s">
        <v>3790</v>
      </c>
      <c r="Q315" s="5" t="s">
        <v>3792</v>
      </c>
      <c r="R315" s="5" t="s">
        <v>6339</v>
      </c>
      <c r="S315" s="6">
        <v>0</v>
      </c>
      <c r="T315" s="6">
        <v>0</v>
      </c>
      <c r="U315" s="6">
        <v>0</v>
      </c>
      <c r="V315" s="7">
        <v>44914</v>
      </c>
      <c r="W315" s="7" t="s">
        <v>3790</v>
      </c>
      <c r="X315" s="7">
        <v>45069</v>
      </c>
      <c r="Y315" s="5" t="s">
        <v>4022</v>
      </c>
      <c r="Z315" s="5" t="s">
        <v>3790</v>
      </c>
      <c r="AA315" s="6">
        <v>0</v>
      </c>
      <c r="AB315" s="7" t="s">
        <v>6341</v>
      </c>
      <c r="AC315" s="7" t="str">
        <f>A315&amp;COUNTIF($A$2:A315,A315)</f>
        <v>100CC130-62001</v>
      </c>
      <c r="AD315" s="7">
        <v>44881</v>
      </c>
      <c r="AE315" s="7">
        <v>44914</v>
      </c>
      <c r="AF315" s="7">
        <v>44921</v>
      </c>
      <c r="AG315" s="5">
        <v>70</v>
      </c>
      <c r="AH315" s="5">
        <v>7</v>
      </c>
      <c r="AI315" s="5">
        <v>14</v>
      </c>
      <c r="AJ315" s="5">
        <v>4500</v>
      </c>
      <c r="AK315" s="5" t="str">
        <f t="shared" ca="1" si="4"/>
        <v>Past Due</v>
      </c>
    </row>
    <row r="316" spans="1:37">
      <c r="A316" s="32" t="s">
        <v>607</v>
      </c>
      <c r="B316" s="32" t="s">
        <v>6431</v>
      </c>
      <c r="C316" s="32" t="s">
        <v>7564</v>
      </c>
      <c r="D316" s="32" t="s">
        <v>3790</v>
      </c>
      <c r="E316" s="34" t="s">
        <v>3790</v>
      </c>
      <c r="F316" s="32" t="s">
        <v>3790</v>
      </c>
      <c r="G316" s="34">
        <v>11000</v>
      </c>
      <c r="H316" s="7" t="s">
        <v>7685</v>
      </c>
      <c r="I316" s="32" t="s">
        <v>3790</v>
      </c>
      <c r="J316" s="34" t="s">
        <v>3790</v>
      </c>
      <c r="K316" s="7" t="s">
        <v>3790</v>
      </c>
      <c r="L316" s="7" t="s">
        <v>7686</v>
      </c>
      <c r="M316" s="34" t="s">
        <v>3790</v>
      </c>
      <c r="N316" s="32" t="s">
        <v>3532</v>
      </c>
      <c r="O316" s="36">
        <v>0.9</v>
      </c>
      <c r="Q316" s="5" t="s">
        <v>3900</v>
      </c>
      <c r="R316" s="5" t="s">
        <v>6431</v>
      </c>
      <c r="S316" s="6">
        <v>0</v>
      </c>
      <c r="T316" s="6">
        <v>0</v>
      </c>
      <c r="U316" s="6">
        <v>0</v>
      </c>
      <c r="V316" s="7">
        <v>44941</v>
      </c>
      <c r="W316" s="7" t="s">
        <v>3790</v>
      </c>
      <c r="X316" s="7">
        <v>45061</v>
      </c>
      <c r="Y316" s="5" t="s">
        <v>4022</v>
      </c>
      <c r="Z316" s="5" t="s">
        <v>3790</v>
      </c>
      <c r="AA316" s="6">
        <v>0</v>
      </c>
      <c r="AB316" s="7" t="s">
        <v>7497</v>
      </c>
      <c r="AC316" s="7" t="str">
        <f>A316&amp;COUNTIF($A$2:A316,A316)</f>
        <v>100DB010-43001</v>
      </c>
      <c r="AD316" s="7">
        <v>44903</v>
      </c>
      <c r="AE316" s="7">
        <v>44941</v>
      </c>
      <c r="AF316" s="7">
        <v>44948</v>
      </c>
      <c r="AG316" s="5">
        <v>42</v>
      </c>
      <c r="AH316" s="5">
        <v>7</v>
      </c>
      <c r="AI316" s="5">
        <v>14</v>
      </c>
      <c r="AJ316" s="5">
        <v>11000</v>
      </c>
      <c r="AK316" s="5" t="str">
        <f t="shared" ca="1" si="4"/>
        <v>within range</v>
      </c>
    </row>
    <row r="317" spans="1:37">
      <c r="A317" s="32" t="s">
        <v>610</v>
      </c>
      <c r="B317" s="32" t="s">
        <v>6431</v>
      </c>
      <c r="C317" s="32" t="s">
        <v>7564</v>
      </c>
      <c r="D317" s="32" t="s">
        <v>3790</v>
      </c>
      <c r="E317" s="34" t="s">
        <v>3790</v>
      </c>
      <c r="F317" s="32" t="s">
        <v>3790</v>
      </c>
      <c r="G317" s="34">
        <v>11000</v>
      </c>
      <c r="H317" s="7" t="s">
        <v>7685</v>
      </c>
      <c r="I317" s="32" t="s">
        <v>3790</v>
      </c>
      <c r="J317" s="34" t="s">
        <v>3790</v>
      </c>
      <c r="K317" s="7" t="s">
        <v>3790</v>
      </c>
      <c r="L317" s="7" t="s">
        <v>7686</v>
      </c>
      <c r="M317" s="34" t="s">
        <v>3790</v>
      </c>
      <c r="N317" s="32" t="s">
        <v>3532</v>
      </c>
      <c r="O317" s="36">
        <v>0.9</v>
      </c>
      <c r="Q317" s="5" t="s">
        <v>3900</v>
      </c>
      <c r="R317" s="5" t="s">
        <v>6431</v>
      </c>
      <c r="S317" s="6">
        <v>0</v>
      </c>
      <c r="T317" s="6">
        <v>0</v>
      </c>
      <c r="U317" s="6">
        <v>0</v>
      </c>
      <c r="V317" s="7">
        <v>44941</v>
      </c>
      <c r="W317" s="7" t="s">
        <v>3790</v>
      </c>
      <c r="X317" s="7">
        <v>45061</v>
      </c>
      <c r="Y317" s="5" t="s">
        <v>4022</v>
      </c>
      <c r="Z317" s="5" t="s">
        <v>3790</v>
      </c>
      <c r="AA317" s="6">
        <v>0</v>
      </c>
      <c r="AB317" s="7" t="s">
        <v>7498</v>
      </c>
      <c r="AC317" s="7" t="str">
        <f>A317&amp;COUNTIF($A$2:A317,A317)</f>
        <v>100DB010-50001</v>
      </c>
      <c r="AD317" s="7">
        <v>44903</v>
      </c>
      <c r="AE317" s="7">
        <v>44941</v>
      </c>
      <c r="AF317" s="7">
        <v>44948</v>
      </c>
      <c r="AG317" s="5">
        <v>42</v>
      </c>
      <c r="AH317" s="5">
        <v>7</v>
      </c>
      <c r="AI317" s="5">
        <v>14</v>
      </c>
      <c r="AJ317" s="5">
        <v>11000</v>
      </c>
      <c r="AK317" s="5" t="str">
        <f t="shared" ca="1" si="4"/>
        <v>within range</v>
      </c>
    </row>
    <row r="318" spans="1:37">
      <c r="A318" s="32" t="s">
        <v>611</v>
      </c>
      <c r="B318" s="32" t="s">
        <v>6431</v>
      </c>
      <c r="C318" s="32" t="s">
        <v>7564</v>
      </c>
      <c r="D318" s="32" t="s">
        <v>3790</v>
      </c>
      <c r="E318" s="34" t="s">
        <v>3790</v>
      </c>
      <c r="F318" s="32" t="s">
        <v>3790</v>
      </c>
      <c r="G318" s="34">
        <v>11000</v>
      </c>
      <c r="H318" s="7" t="s">
        <v>7685</v>
      </c>
      <c r="I318" s="32" t="s">
        <v>3790</v>
      </c>
      <c r="J318" s="34" t="s">
        <v>3790</v>
      </c>
      <c r="K318" s="7" t="s">
        <v>3790</v>
      </c>
      <c r="L318" s="7" t="s">
        <v>7686</v>
      </c>
      <c r="M318" s="34" t="s">
        <v>3790</v>
      </c>
      <c r="N318" s="32" t="s">
        <v>3532</v>
      </c>
      <c r="O318" s="36">
        <v>0.9</v>
      </c>
      <c r="Q318" s="5" t="s">
        <v>3900</v>
      </c>
      <c r="R318" s="5" t="s">
        <v>6431</v>
      </c>
      <c r="S318" s="6">
        <v>0</v>
      </c>
      <c r="T318" s="6">
        <v>0</v>
      </c>
      <c r="U318" s="6">
        <v>0</v>
      </c>
      <c r="V318" s="7">
        <v>44941</v>
      </c>
      <c r="W318" s="7" t="s">
        <v>3790</v>
      </c>
      <c r="X318" s="7">
        <v>45061</v>
      </c>
      <c r="Y318" s="5" t="s">
        <v>4022</v>
      </c>
      <c r="Z318" s="5" t="s">
        <v>3790</v>
      </c>
      <c r="AA318" s="6">
        <v>0</v>
      </c>
      <c r="AB318" s="7" t="s">
        <v>7499</v>
      </c>
      <c r="AC318" s="7" t="str">
        <f>A318&amp;COUNTIF($A$2:A318,A318)</f>
        <v>100DB010-62001</v>
      </c>
      <c r="AD318" s="7">
        <v>44903</v>
      </c>
      <c r="AE318" s="7">
        <v>44941</v>
      </c>
      <c r="AF318" s="7">
        <v>44948</v>
      </c>
      <c r="AG318" s="5">
        <v>42</v>
      </c>
      <c r="AH318" s="5">
        <v>7</v>
      </c>
      <c r="AI318" s="5">
        <v>14</v>
      </c>
      <c r="AJ318" s="5">
        <v>11000</v>
      </c>
      <c r="AK318" s="5" t="str">
        <f t="shared" ca="1" si="4"/>
        <v>within range</v>
      </c>
    </row>
    <row r="319" spans="1:37">
      <c r="A319" s="32" t="s">
        <v>612</v>
      </c>
      <c r="B319" s="32" t="s">
        <v>6431</v>
      </c>
      <c r="C319" s="32" t="s">
        <v>7564</v>
      </c>
      <c r="D319" s="32" t="s">
        <v>3790</v>
      </c>
      <c r="E319" s="34" t="s">
        <v>3790</v>
      </c>
      <c r="F319" s="32" t="s">
        <v>3790</v>
      </c>
      <c r="G319" s="34">
        <v>11000</v>
      </c>
      <c r="H319" s="7" t="s">
        <v>7685</v>
      </c>
      <c r="I319" s="32" t="s">
        <v>3790</v>
      </c>
      <c r="J319" s="34" t="s">
        <v>3790</v>
      </c>
      <c r="K319" s="7" t="s">
        <v>3790</v>
      </c>
      <c r="L319" s="7" t="s">
        <v>7686</v>
      </c>
      <c r="M319" s="34" t="s">
        <v>3790</v>
      </c>
      <c r="N319" s="32" t="s">
        <v>3532</v>
      </c>
      <c r="O319" s="36">
        <v>0.9</v>
      </c>
      <c r="Q319" s="5" t="s">
        <v>3900</v>
      </c>
      <c r="R319" s="5" t="s">
        <v>6431</v>
      </c>
      <c r="S319" s="6">
        <v>0</v>
      </c>
      <c r="T319" s="6">
        <v>0</v>
      </c>
      <c r="U319" s="6">
        <v>0</v>
      </c>
      <c r="V319" s="7">
        <v>44941</v>
      </c>
      <c r="W319" s="7" t="s">
        <v>3790</v>
      </c>
      <c r="X319" s="7">
        <v>45061</v>
      </c>
      <c r="Y319" s="5" t="s">
        <v>4022</v>
      </c>
      <c r="Z319" s="5" t="s">
        <v>3790</v>
      </c>
      <c r="AA319" s="6">
        <v>0</v>
      </c>
      <c r="AB319" s="7" t="s">
        <v>7500</v>
      </c>
      <c r="AC319" s="7" t="str">
        <f>A319&amp;COUNTIF($A$2:A319,A319)</f>
        <v>100DB010-62121</v>
      </c>
      <c r="AD319" s="7">
        <v>44903</v>
      </c>
      <c r="AE319" s="7">
        <v>44941</v>
      </c>
      <c r="AF319" s="7">
        <v>44948</v>
      </c>
      <c r="AG319" s="5">
        <v>42</v>
      </c>
      <c r="AH319" s="5">
        <v>7</v>
      </c>
      <c r="AI319" s="5">
        <v>14</v>
      </c>
      <c r="AJ319" s="5">
        <v>11000</v>
      </c>
      <c r="AK319" s="5" t="str">
        <f t="shared" ca="1" si="4"/>
        <v>within range</v>
      </c>
    </row>
    <row r="320" spans="1:37">
      <c r="A320" s="32" t="s">
        <v>638</v>
      </c>
      <c r="B320" s="32" t="s">
        <v>3907</v>
      </c>
      <c r="C320" s="32" t="s">
        <v>5378</v>
      </c>
      <c r="D320" s="32" t="s">
        <v>3790</v>
      </c>
      <c r="E320" s="34" t="s">
        <v>3790</v>
      </c>
      <c r="F320" s="32" t="s">
        <v>3906</v>
      </c>
      <c r="G320" s="34">
        <v>4400</v>
      </c>
      <c r="H320" s="7" t="s">
        <v>5501</v>
      </c>
      <c r="I320" s="32" t="s">
        <v>3526</v>
      </c>
      <c r="J320" s="34">
        <v>4944.9685366599997</v>
      </c>
      <c r="K320" s="7" t="s">
        <v>3790</v>
      </c>
      <c r="L320" s="7" t="s">
        <v>3871</v>
      </c>
      <c r="M320" s="34" t="s">
        <v>3790</v>
      </c>
      <c r="N320" s="32" t="s">
        <v>3532</v>
      </c>
      <c r="O320" s="36">
        <v>3.03</v>
      </c>
      <c r="Q320" s="5" t="s">
        <v>3900</v>
      </c>
      <c r="R320" s="5" t="s">
        <v>3907</v>
      </c>
      <c r="S320" s="6">
        <v>0</v>
      </c>
      <c r="T320" s="6">
        <v>0</v>
      </c>
      <c r="U320" s="6">
        <v>4945</v>
      </c>
      <c r="V320" s="7">
        <v>44849</v>
      </c>
      <c r="W320" s="7" t="s">
        <v>3790</v>
      </c>
      <c r="X320" s="7">
        <v>44924</v>
      </c>
      <c r="Y320" s="5" t="s">
        <v>4022</v>
      </c>
      <c r="Z320" s="5" t="s">
        <v>3790</v>
      </c>
      <c r="AA320" s="6">
        <v>0</v>
      </c>
      <c r="AB320" s="7" t="s">
        <v>4131</v>
      </c>
      <c r="AC320" s="7" t="str">
        <f>A320&amp;COUNTIF($A$2:A320,A320)</f>
        <v>100DS009-50001</v>
      </c>
      <c r="AD320" s="7">
        <v>44733</v>
      </c>
      <c r="AE320" s="7">
        <v>44849</v>
      </c>
      <c r="AF320" s="7">
        <v>44912</v>
      </c>
      <c r="AG320" s="5">
        <v>147</v>
      </c>
      <c r="AH320" s="5">
        <v>63</v>
      </c>
      <c r="AI320" s="5">
        <v>14</v>
      </c>
      <c r="AJ320" s="5">
        <v>4400</v>
      </c>
      <c r="AK320" s="5" t="str">
        <f t="shared" ca="1" si="4"/>
        <v>run complete</v>
      </c>
    </row>
    <row r="321" spans="1:37">
      <c r="A321" s="32" t="s">
        <v>641</v>
      </c>
      <c r="B321" s="32" t="s">
        <v>3907</v>
      </c>
      <c r="C321" s="32" t="s">
        <v>5378</v>
      </c>
      <c r="D321" s="32" t="s">
        <v>3790</v>
      </c>
      <c r="E321" s="34" t="s">
        <v>3790</v>
      </c>
      <c r="F321" s="32" t="s">
        <v>3906</v>
      </c>
      <c r="G321" s="34">
        <v>2200</v>
      </c>
      <c r="H321" s="7" t="s">
        <v>5501</v>
      </c>
      <c r="I321" s="32" t="s">
        <v>3526</v>
      </c>
      <c r="J321" s="34">
        <v>2290.60290218</v>
      </c>
      <c r="K321" s="7" t="s">
        <v>3790</v>
      </c>
      <c r="L321" s="7" t="s">
        <v>3871</v>
      </c>
      <c r="M321" s="34" t="s">
        <v>3790</v>
      </c>
      <c r="N321" s="32" t="s">
        <v>3532</v>
      </c>
      <c r="O321" s="36">
        <v>3.03</v>
      </c>
      <c r="Q321" s="5" t="s">
        <v>3900</v>
      </c>
      <c r="R321" s="5" t="s">
        <v>3907</v>
      </c>
      <c r="S321" s="6">
        <v>0</v>
      </c>
      <c r="T321" s="6">
        <v>0</v>
      </c>
      <c r="U321" s="6">
        <v>2291</v>
      </c>
      <c r="V321" s="7">
        <v>44849</v>
      </c>
      <c r="W321" s="7" t="s">
        <v>3790</v>
      </c>
      <c r="X321" s="7">
        <v>44924</v>
      </c>
      <c r="Y321" s="5" t="s">
        <v>4022</v>
      </c>
      <c r="Z321" s="5" t="s">
        <v>3790</v>
      </c>
      <c r="AA321" s="6">
        <v>0</v>
      </c>
      <c r="AB321" s="7" t="s">
        <v>4132</v>
      </c>
      <c r="AC321" s="7" t="str">
        <f>A321&amp;COUNTIF($A$2:A321,A321)</f>
        <v>100DS009-62001</v>
      </c>
      <c r="AD321" s="7">
        <v>44733</v>
      </c>
      <c r="AE321" s="7">
        <v>44849</v>
      </c>
      <c r="AF321" s="7">
        <v>44912</v>
      </c>
      <c r="AG321" s="5">
        <v>147</v>
      </c>
      <c r="AH321" s="5">
        <v>63</v>
      </c>
      <c r="AI321" s="5">
        <v>14</v>
      </c>
      <c r="AJ321" s="5">
        <v>2200</v>
      </c>
      <c r="AK321" s="5" t="str">
        <f t="shared" ca="1" si="4"/>
        <v>run complete</v>
      </c>
    </row>
    <row r="322" spans="1:37">
      <c r="A322" s="32" t="s">
        <v>646</v>
      </c>
      <c r="B322" s="32" t="s">
        <v>7501</v>
      </c>
      <c r="C322" s="32" t="s">
        <v>647</v>
      </c>
      <c r="D322" s="32" t="s">
        <v>3790</v>
      </c>
      <c r="E322" s="34" t="s">
        <v>3527</v>
      </c>
      <c r="F322" s="32" t="s">
        <v>3790</v>
      </c>
      <c r="G322" s="34" t="s">
        <v>3574</v>
      </c>
      <c r="H322" s="7" t="s">
        <v>7502</v>
      </c>
      <c r="I322" s="32" t="s">
        <v>3790</v>
      </c>
      <c r="J322" s="34" t="s">
        <v>3790</v>
      </c>
      <c r="K322" s="7" t="s">
        <v>3790</v>
      </c>
      <c r="L322" s="7" t="s">
        <v>7503</v>
      </c>
      <c r="M322" s="34" t="s">
        <v>3527</v>
      </c>
      <c r="N322" s="32" t="s">
        <v>3528</v>
      </c>
      <c r="O322" s="36">
        <v>4.6399999999999997</v>
      </c>
      <c r="P322" s="32" t="s">
        <v>3790</v>
      </c>
      <c r="Q322" s="5" t="s">
        <v>3792</v>
      </c>
      <c r="R322" s="5" t="s">
        <v>7501</v>
      </c>
      <c r="S322" s="6">
        <v>0</v>
      </c>
      <c r="T322" s="6">
        <v>0</v>
      </c>
      <c r="U322" s="6">
        <v>0</v>
      </c>
      <c r="V322" s="7">
        <v>44963</v>
      </c>
      <c r="W322" s="7" t="s">
        <v>3790</v>
      </c>
      <c r="X322" s="7">
        <v>45099</v>
      </c>
      <c r="Y322" s="5" t="s">
        <v>4022</v>
      </c>
      <c r="Z322" s="5" t="s">
        <v>3790</v>
      </c>
      <c r="AA322" s="6">
        <v>0</v>
      </c>
      <c r="AB322" s="7" t="s">
        <v>7504</v>
      </c>
      <c r="AC322" s="7" t="str">
        <f>A322&amp;COUNTIF($A$2:A322,A322)</f>
        <v>100DS059-50002</v>
      </c>
      <c r="AD322" s="7">
        <v>44908</v>
      </c>
      <c r="AE322" s="7">
        <v>44963</v>
      </c>
      <c r="AF322" s="7">
        <v>44970</v>
      </c>
      <c r="AG322" s="5">
        <v>70</v>
      </c>
      <c r="AH322" s="5">
        <v>7</v>
      </c>
      <c r="AI322" s="5">
        <v>14</v>
      </c>
      <c r="AJ322" s="5">
        <v>2500</v>
      </c>
      <c r="AK322" s="5" t="str">
        <f t="shared" ref="AK322:AK385" ca="1" si="5">IFERROR(IF(OR(U322&lt;&gt;0,W322&lt;&gt;"",Y322="releasable",I322&lt;&gt;"",SUM(S322:T322)&gt;0),"run complete",IF(AND(Y322="not releasable",I322="",U322=0,V322&lt;TODAY()),"Past Due","within range")),"missing supplier data")</f>
        <v>within range</v>
      </c>
    </row>
    <row r="323" spans="1:37">
      <c r="A323" s="32" t="s">
        <v>649</v>
      </c>
      <c r="B323" s="32" t="s">
        <v>7501</v>
      </c>
      <c r="C323" s="32" t="s">
        <v>647</v>
      </c>
      <c r="D323" s="32" t="s">
        <v>3790</v>
      </c>
      <c r="E323" s="34" t="s">
        <v>3527</v>
      </c>
      <c r="F323" s="32" t="s">
        <v>3790</v>
      </c>
      <c r="G323" s="34" t="s">
        <v>3802</v>
      </c>
      <c r="H323" s="7" t="s">
        <v>7502</v>
      </c>
      <c r="I323" s="32" t="s">
        <v>3790</v>
      </c>
      <c r="J323" s="34" t="s">
        <v>3790</v>
      </c>
      <c r="K323" s="7" t="s">
        <v>3790</v>
      </c>
      <c r="L323" s="7" t="s">
        <v>7503</v>
      </c>
      <c r="M323" s="34" t="s">
        <v>3527</v>
      </c>
      <c r="N323" s="32" t="s">
        <v>3528</v>
      </c>
      <c r="O323" s="36">
        <v>4.6399999999999997</v>
      </c>
      <c r="P323" s="32" t="s">
        <v>3790</v>
      </c>
      <c r="Q323" s="5" t="s">
        <v>3792</v>
      </c>
      <c r="R323" s="5" t="s">
        <v>7501</v>
      </c>
      <c r="S323" s="6">
        <v>0</v>
      </c>
      <c r="T323" s="6">
        <v>0</v>
      </c>
      <c r="U323" s="6">
        <v>0</v>
      </c>
      <c r="V323" s="7">
        <v>44963</v>
      </c>
      <c r="W323" s="7" t="s">
        <v>3790</v>
      </c>
      <c r="X323" s="7">
        <v>45099</v>
      </c>
      <c r="Y323" s="5" t="s">
        <v>4022</v>
      </c>
      <c r="Z323" s="5" t="s">
        <v>3790</v>
      </c>
      <c r="AA323" s="6">
        <v>0</v>
      </c>
      <c r="AB323" s="7" t="s">
        <v>7505</v>
      </c>
      <c r="AC323" s="7" t="str">
        <f>A323&amp;COUNTIF($A$2:A323,A323)</f>
        <v>100DS059-62001</v>
      </c>
      <c r="AD323" s="7">
        <v>44908</v>
      </c>
      <c r="AE323" s="7">
        <v>44963</v>
      </c>
      <c r="AF323" s="7">
        <v>44970</v>
      </c>
      <c r="AG323" s="5">
        <v>70</v>
      </c>
      <c r="AH323" s="5">
        <v>7</v>
      </c>
      <c r="AI323" s="5">
        <v>14</v>
      </c>
      <c r="AJ323" s="5">
        <v>1000</v>
      </c>
      <c r="AK323" s="5" t="str">
        <f t="shared" ca="1" si="5"/>
        <v>within range</v>
      </c>
    </row>
    <row r="324" spans="1:37">
      <c r="A324" s="32" t="s">
        <v>795</v>
      </c>
      <c r="B324" s="32" t="s">
        <v>6388</v>
      </c>
      <c r="C324" s="32" t="s">
        <v>5379</v>
      </c>
      <c r="D324" s="32" t="s">
        <v>3790</v>
      </c>
      <c r="E324" s="34" t="s">
        <v>3790</v>
      </c>
      <c r="F324" s="32" t="s">
        <v>3790</v>
      </c>
      <c r="G324" s="34">
        <v>166000</v>
      </c>
      <c r="H324" s="7" t="s">
        <v>7565</v>
      </c>
      <c r="I324" s="32" t="s">
        <v>3790</v>
      </c>
      <c r="J324" s="34" t="s">
        <v>3790</v>
      </c>
      <c r="K324" s="7" t="s">
        <v>3790</v>
      </c>
      <c r="L324" s="7" t="s">
        <v>7566</v>
      </c>
      <c r="M324" s="34" t="s">
        <v>3790</v>
      </c>
      <c r="N324" s="32" t="s">
        <v>3532</v>
      </c>
      <c r="O324" s="36">
        <v>1.1100000000000001</v>
      </c>
      <c r="Q324" s="5" t="s">
        <v>3900</v>
      </c>
      <c r="R324" s="5" t="s">
        <v>6388</v>
      </c>
      <c r="S324" s="6">
        <v>0</v>
      </c>
      <c r="T324" s="6">
        <v>0</v>
      </c>
      <c r="U324" s="6">
        <v>0</v>
      </c>
      <c r="V324" s="7">
        <v>44936</v>
      </c>
      <c r="W324" s="7" t="s">
        <v>3790</v>
      </c>
      <c r="X324" s="7">
        <v>45056</v>
      </c>
      <c r="Y324" s="5" t="s">
        <v>4022</v>
      </c>
      <c r="Z324" s="5" t="s">
        <v>3790</v>
      </c>
      <c r="AA324" s="6">
        <v>0</v>
      </c>
      <c r="AB324" s="7" t="s">
        <v>6389</v>
      </c>
      <c r="AC324" s="7" t="str">
        <f>A324&amp;COUNTIF($A$2:A324,A324)</f>
        <v>100FR115-50142</v>
      </c>
      <c r="AD324" s="7">
        <v>44882</v>
      </c>
      <c r="AE324" s="7">
        <v>44936</v>
      </c>
      <c r="AF324" s="7">
        <v>44943</v>
      </c>
      <c r="AG324" s="5">
        <v>42</v>
      </c>
      <c r="AH324" s="5">
        <v>7</v>
      </c>
      <c r="AI324" s="5">
        <v>14</v>
      </c>
      <c r="AJ324" s="5">
        <v>166000</v>
      </c>
      <c r="AK324" s="5" t="str">
        <f t="shared" ca="1" si="5"/>
        <v>within range</v>
      </c>
    </row>
    <row r="325" spans="1:37">
      <c r="A325" s="32" t="s">
        <v>795</v>
      </c>
      <c r="B325" s="32" t="s">
        <v>3902</v>
      </c>
      <c r="C325" s="32" t="s">
        <v>5379</v>
      </c>
      <c r="D325" s="32" t="s">
        <v>3790</v>
      </c>
      <c r="E325" s="34" t="s">
        <v>3790</v>
      </c>
      <c r="F325" s="32" t="s">
        <v>3790</v>
      </c>
      <c r="G325" s="34">
        <v>88000</v>
      </c>
      <c r="H325" s="7" t="s">
        <v>7506</v>
      </c>
      <c r="I325" s="32" t="s">
        <v>3790</v>
      </c>
      <c r="J325" s="34" t="s">
        <v>3790</v>
      </c>
      <c r="K325" s="7" t="s">
        <v>3790</v>
      </c>
      <c r="L325" s="7" t="s">
        <v>7507</v>
      </c>
      <c r="M325" s="34" t="s">
        <v>3790</v>
      </c>
      <c r="N325" s="32" t="s">
        <v>3532</v>
      </c>
      <c r="O325" s="36" t="s">
        <v>3790</v>
      </c>
      <c r="Q325" s="5" t="s">
        <v>3900</v>
      </c>
      <c r="R325" s="5" t="s">
        <v>3902</v>
      </c>
      <c r="S325" s="6">
        <v>0</v>
      </c>
      <c r="T325" s="6">
        <v>0</v>
      </c>
      <c r="U325" s="6">
        <v>0</v>
      </c>
      <c r="V325" s="7">
        <v>44992</v>
      </c>
      <c r="W325" s="7" t="s">
        <v>3790</v>
      </c>
      <c r="X325" s="7">
        <v>45085</v>
      </c>
      <c r="Y325" s="5" t="s">
        <v>4022</v>
      </c>
      <c r="Z325" s="5" t="s">
        <v>3790</v>
      </c>
      <c r="AA325" s="6">
        <v>0</v>
      </c>
      <c r="AB325" s="7" t="s">
        <v>5876</v>
      </c>
      <c r="AC325" s="7" t="str">
        <f>A325&amp;COUNTIF($A$2:A325,A325)</f>
        <v>100FR115-50143</v>
      </c>
      <c r="AD325" s="7" t="s">
        <v>4068</v>
      </c>
      <c r="AE325" s="7">
        <v>44992</v>
      </c>
      <c r="AF325" s="7">
        <v>44999</v>
      </c>
      <c r="AG325" s="5">
        <v>42</v>
      </c>
      <c r="AH325" s="5">
        <v>7</v>
      </c>
      <c r="AI325" s="5">
        <v>14</v>
      </c>
      <c r="AJ325" s="5">
        <v>88000</v>
      </c>
      <c r="AK325" s="5" t="str">
        <f t="shared" ca="1" si="5"/>
        <v>within range</v>
      </c>
    </row>
    <row r="326" spans="1:37">
      <c r="A326" s="32" t="s">
        <v>796</v>
      </c>
      <c r="B326" s="32" t="s">
        <v>6388</v>
      </c>
      <c r="C326" s="32" t="s">
        <v>5379</v>
      </c>
      <c r="D326" s="32" t="s">
        <v>3790</v>
      </c>
      <c r="E326" s="34" t="s">
        <v>3790</v>
      </c>
      <c r="F326" s="32" t="s">
        <v>3790</v>
      </c>
      <c r="G326" s="34">
        <v>20000</v>
      </c>
      <c r="H326" s="7" t="s">
        <v>7687</v>
      </c>
      <c r="I326" s="32" t="s">
        <v>3790</v>
      </c>
      <c r="J326" s="34" t="s">
        <v>3790</v>
      </c>
      <c r="K326" s="7" t="s">
        <v>3790</v>
      </c>
      <c r="L326" s="7" t="s">
        <v>7688</v>
      </c>
      <c r="M326" s="34" t="s">
        <v>3790</v>
      </c>
      <c r="N326" s="32" t="s">
        <v>3532</v>
      </c>
      <c r="O326" s="36">
        <v>1.1100000000000001</v>
      </c>
      <c r="Q326" s="5" t="s">
        <v>3900</v>
      </c>
      <c r="R326" s="5" t="s">
        <v>6388</v>
      </c>
      <c r="S326" s="6">
        <v>0</v>
      </c>
      <c r="T326" s="6">
        <v>0</v>
      </c>
      <c r="U326" s="6">
        <v>0</v>
      </c>
      <c r="V326" s="7">
        <v>44935</v>
      </c>
      <c r="W326" s="7" t="s">
        <v>3790</v>
      </c>
      <c r="X326" s="7">
        <v>45055</v>
      </c>
      <c r="Y326" s="5" t="s">
        <v>4022</v>
      </c>
      <c r="Z326" s="5" t="s">
        <v>3790</v>
      </c>
      <c r="AA326" s="6">
        <v>0</v>
      </c>
      <c r="AB326" s="7" t="s">
        <v>6390</v>
      </c>
      <c r="AC326" s="7" t="str">
        <f>A326&amp;COUNTIF($A$2:A326,A326)</f>
        <v>100FR115-62122</v>
      </c>
      <c r="AD326" s="7">
        <v>44882</v>
      </c>
      <c r="AE326" s="7">
        <v>44935</v>
      </c>
      <c r="AF326" s="7">
        <v>44942</v>
      </c>
      <c r="AG326" s="5">
        <v>42</v>
      </c>
      <c r="AH326" s="5">
        <v>7</v>
      </c>
      <c r="AI326" s="5">
        <v>14</v>
      </c>
      <c r="AJ326" s="5">
        <v>20000</v>
      </c>
      <c r="AK326" s="5" t="str">
        <f t="shared" ca="1" si="5"/>
        <v>within range</v>
      </c>
    </row>
    <row r="327" spans="1:37">
      <c r="A327" s="32" t="s">
        <v>835</v>
      </c>
      <c r="B327" s="32">
        <v>7184</v>
      </c>
      <c r="C327" s="32" t="s">
        <v>836</v>
      </c>
      <c r="G327" s="34">
        <v>600</v>
      </c>
      <c r="H327" s="7">
        <v>44973</v>
      </c>
      <c r="N327" s="32">
        <v>3</v>
      </c>
      <c r="O327" s="36">
        <v>4.57</v>
      </c>
      <c r="P327" s="32" t="s">
        <v>5877</v>
      </c>
      <c r="Q327" s="5" t="s">
        <v>893</v>
      </c>
      <c r="R327" s="5" t="s">
        <v>5862</v>
      </c>
      <c r="S327" s="6">
        <v>0</v>
      </c>
      <c r="T327" s="6">
        <v>0</v>
      </c>
      <c r="U327" s="6">
        <v>0</v>
      </c>
      <c r="V327" s="7">
        <v>44973</v>
      </c>
      <c r="W327" s="7" t="s">
        <v>3790</v>
      </c>
      <c r="X327" s="7" t="s">
        <v>3790</v>
      </c>
      <c r="Y327" s="5" t="s">
        <v>4022</v>
      </c>
      <c r="Z327" s="5" t="s">
        <v>3790</v>
      </c>
      <c r="AA327" s="6">
        <v>0</v>
      </c>
      <c r="AB327" s="7" t="s">
        <v>5878</v>
      </c>
      <c r="AC327" s="7" t="str">
        <f>A327&amp;COUNTIF($A$2:A327,A327)</f>
        <v>100HP140-50001</v>
      </c>
      <c r="AD327" s="7">
        <v>44854</v>
      </c>
      <c r="AE327" s="7">
        <v>44973</v>
      </c>
      <c r="AF327" s="7">
        <v>44987</v>
      </c>
      <c r="AG327" s="5">
        <v>140</v>
      </c>
      <c r="AH327" s="5">
        <v>14</v>
      </c>
      <c r="AI327" s="5">
        <v>14</v>
      </c>
      <c r="AJ327" s="5">
        <v>600</v>
      </c>
      <c r="AK327" s="5" t="str">
        <f t="shared" ca="1" si="5"/>
        <v>within range</v>
      </c>
    </row>
    <row r="328" spans="1:37">
      <c r="A328" s="32" t="s">
        <v>837</v>
      </c>
      <c r="B328" s="32">
        <v>7184</v>
      </c>
      <c r="C328" s="32" t="s">
        <v>836</v>
      </c>
      <c r="G328" s="34">
        <v>4400</v>
      </c>
      <c r="H328" s="7">
        <v>44973</v>
      </c>
      <c r="N328" s="32">
        <v>3</v>
      </c>
      <c r="O328" s="36">
        <v>4.57</v>
      </c>
      <c r="P328" s="32" t="s">
        <v>5879</v>
      </c>
      <c r="Q328" s="5" t="s">
        <v>893</v>
      </c>
      <c r="R328" s="5" t="s">
        <v>5862</v>
      </c>
      <c r="S328" s="6">
        <v>0</v>
      </c>
      <c r="T328" s="6">
        <v>0</v>
      </c>
      <c r="U328" s="6">
        <v>0</v>
      </c>
      <c r="V328" s="7">
        <v>44973</v>
      </c>
      <c r="W328" s="7" t="s">
        <v>3790</v>
      </c>
      <c r="X328" s="7" t="s">
        <v>3790</v>
      </c>
      <c r="Y328" s="5" t="s">
        <v>4022</v>
      </c>
      <c r="Z328" s="5" t="s">
        <v>3790</v>
      </c>
      <c r="AA328" s="6">
        <v>0</v>
      </c>
      <c r="AB328" s="7" t="s">
        <v>5880</v>
      </c>
      <c r="AC328" s="7" t="str">
        <f>A328&amp;COUNTIF($A$2:A328,A328)</f>
        <v>100HP140-62001</v>
      </c>
      <c r="AD328" s="7">
        <v>44854</v>
      </c>
      <c r="AE328" s="7">
        <v>44973</v>
      </c>
      <c r="AF328" s="7">
        <v>44987</v>
      </c>
      <c r="AG328" s="5">
        <v>140</v>
      </c>
      <c r="AH328" s="5">
        <v>14</v>
      </c>
      <c r="AI328" s="5">
        <v>14</v>
      </c>
      <c r="AJ328" s="5">
        <v>4400</v>
      </c>
      <c r="AK328" s="5" t="str">
        <f t="shared" ca="1" si="5"/>
        <v>within range</v>
      </c>
    </row>
    <row r="329" spans="1:37">
      <c r="A329" s="32" t="s">
        <v>844</v>
      </c>
      <c r="B329" s="32">
        <v>7128</v>
      </c>
      <c r="C329" s="32" t="s">
        <v>842</v>
      </c>
      <c r="G329" s="34">
        <v>3000</v>
      </c>
      <c r="H329" s="7">
        <v>44987</v>
      </c>
      <c r="N329" s="32">
        <v>3</v>
      </c>
      <c r="O329" s="36">
        <v>4.8</v>
      </c>
      <c r="P329" s="32" t="s">
        <v>3727</v>
      </c>
      <c r="Q329" s="5" t="s">
        <v>893</v>
      </c>
      <c r="R329" s="5" t="s">
        <v>4140</v>
      </c>
      <c r="S329" s="6">
        <v>0</v>
      </c>
      <c r="T329" s="6">
        <v>0</v>
      </c>
      <c r="U329" s="6">
        <v>0</v>
      </c>
      <c r="V329" s="7">
        <v>44987</v>
      </c>
      <c r="W329" s="7" t="s">
        <v>3790</v>
      </c>
      <c r="X329" s="7" t="s">
        <v>3790</v>
      </c>
      <c r="Y329" s="5" t="s">
        <v>4022</v>
      </c>
      <c r="Z329" s="5" t="s">
        <v>3790</v>
      </c>
      <c r="AA329" s="6">
        <v>0</v>
      </c>
      <c r="AB329" s="7" t="s">
        <v>4141</v>
      </c>
      <c r="AC329" s="7" t="str">
        <f>A329&amp;COUNTIF($A$2:A329,A329)</f>
        <v>100HP156-62002</v>
      </c>
      <c r="AD329" s="7">
        <v>44805</v>
      </c>
      <c r="AE329" s="7">
        <v>44987</v>
      </c>
      <c r="AF329" s="7">
        <v>45001</v>
      </c>
      <c r="AG329" s="5">
        <v>140</v>
      </c>
      <c r="AH329" s="5">
        <v>14</v>
      </c>
      <c r="AI329" s="5">
        <v>14</v>
      </c>
      <c r="AJ329" s="5">
        <v>3000</v>
      </c>
      <c r="AK329" s="5" t="str">
        <f t="shared" ca="1" si="5"/>
        <v>within range</v>
      </c>
    </row>
    <row r="330" spans="1:37">
      <c r="A330" s="32" t="s">
        <v>845</v>
      </c>
      <c r="B330" s="32" t="s">
        <v>7567</v>
      </c>
      <c r="C330" s="32" t="s">
        <v>7568</v>
      </c>
      <c r="D330" s="32" t="s">
        <v>3701</v>
      </c>
      <c r="E330" s="34">
        <v>0</v>
      </c>
      <c r="F330" s="32" t="s">
        <v>3701</v>
      </c>
      <c r="G330" s="34">
        <v>1500</v>
      </c>
      <c r="H330" s="7">
        <v>45078</v>
      </c>
      <c r="I330" s="32" t="s">
        <v>3790</v>
      </c>
      <c r="J330" s="34">
        <v>0</v>
      </c>
      <c r="M330" s="34">
        <v>0</v>
      </c>
      <c r="N330" s="32" t="s">
        <v>3528</v>
      </c>
      <c r="O330" s="36">
        <v>4.63</v>
      </c>
      <c r="P330" s="32" t="s">
        <v>3701</v>
      </c>
      <c r="Q330" s="5" t="s">
        <v>3911</v>
      </c>
      <c r="R330" s="5" t="s">
        <v>7567</v>
      </c>
      <c r="S330" s="6">
        <v>0</v>
      </c>
      <c r="T330" s="6">
        <v>0</v>
      </c>
      <c r="U330" s="6">
        <v>0</v>
      </c>
      <c r="V330" s="7">
        <v>45078</v>
      </c>
      <c r="W330" s="7" t="s">
        <v>3790</v>
      </c>
      <c r="X330" s="7" t="s">
        <v>3790</v>
      </c>
      <c r="Y330" s="5" t="s">
        <v>4022</v>
      </c>
      <c r="Z330" s="5" t="s">
        <v>3790</v>
      </c>
      <c r="AA330" s="6">
        <v>0</v>
      </c>
      <c r="AB330" s="7" t="s">
        <v>7569</v>
      </c>
      <c r="AC330" s="7" t="str">
        <f>A330&amp;COUNTIF($A$2:A330,A330)</f>
        <v>100HP158-50001</v>
      </c>
      <c r="AD330" s="7">
        <v>44910</v>
      </c>
      <c r="AE330" s="7">
        <v>45078</v>
      </c>
      <c r="AF330" s="7">
        <v>45092</v>
      </c>
      <c r="AG330" s="5">
        <v>196</v>
      </c>
      <c r="AH330" s="5">
        <v>14</v>
      </c>
      <c r="AI330" s="5">
        <v>14</v>
      </c>
      <c r="AJ330" s="5">
        <v>1500</v>
      </c>
      <c r="AK330" s="5" t="str">
        <f t="shared" ca="1" si="5"/>
        <v>within range</v>
      </c>
    </row>
    <row r="331" spans="1:37">
      <c r="A331" s="32" t="s">
        <v>7553</v>
      </c>
      <c r="B331" s="32" t="s">
        <v>7567</v>
      </c>
      <c r="C331" s="32" t="s">
        <v>7570</v>
      </c>
      <c r="D331" s="32" t="s">
        <v>3701</v>
      </c>
      <c r="E331" s="34">
        <v>0</v>
      </c>
      <c r="F331" s="32" t="s">
        <v>3701</v>
      </c>
      <c r="G331" s="34">
        <v>1500</v>
      </c>
      <c r="H331" s="7">
        <v>45078</v>
      </c>
      <c r="I331" s="32" t="s">
        <v>3790</v>
      </c>
      <c r="J331" s="34">
        <v>0</v>
      </c>
      <c r="M331" s="34">
        <v>0</v>
      </c>
      <c r="N331" s="32" t="s">
        <v>3528</v>
      </c>
      <c r="O331" s="36">
        <v>4.63</v>
      </c>
      <c r="P331" s="32" t="s">
        <v>3701</v>
      </c>
      <c r="Q331" s="5" t="s">
        <v>3911</v>
      </c>
      <c r="R331" s="5" t="s">
        <v>7567</v>
      </c>
      <c r="S331" s="6">
        <v>0</v>
      </c>
      <c r="T331" s="6">
        <v>0</v>
      </c>
      <c r="U331" s="6">
        <v>0</v>
      </c>
      <c r="V331" s="7">
        <v>45078</v>
      </c>
      <c r="W331" s="7" t="s">
        <v>3790</v>
      </c>
      <c r="X331" s="7" t="s">
        <v>3790</v>
      </c>
      <c r="Y331" s="5" t="s">
        <v>4022</v>
      </c>
      <c r="Z331" s="5" t="s">
        <v>3790</v>
      </c>
      <c r="AA331" s="6">
        <v>0</v>
      </c>
      <c r="AB331" s="7" t="s">
        <v>7571</v>
      </c>
      <c r="AC331" s="7" t="str">
        <f>A331&amp;COUNTIF($A$2:A331,A331)</f>
        <v>100HP158-62001</v>
      </c>
      <c r="AD331" s="7">
        <v>44910</v>
      </c>
      <c r="AE331" s="7">
        <v>45078</v>
      </c>
      <c r="AF331" s="7">
        <v>45092</v>
      </c>
      <c r="AG331" s="5">
        <v>196</v>
      </c>
      <c r="AH331" s="5">
        <v>14</v>
      </c>
      <c r="AI331" s="5">
        <v>14</v>
      </c>
      <c r="AJ331" s="5">
        <v>1500</v>
      </c>
      <c r="AK331" s="5" t="str">
        <f t="shared" ca="1" si="5"/>
        <v>within range</v>
      </c>
    </row>
    <row r="332" spans="1:37">
      <c r="A332" s="32" t="s">
        <v>850</v>
      </c>
      <c r="B332" s="32" t="s">
        <v>3533</v>
      </c>
      <c r="C332" s="32" t="s">
        <v>3534</v>
      </c>
      <c r="E332" s="34" t="s">
        <v>3527</v>
      </c>
      <c r="G332" s="34" t="s">
        <v>3535</v>
      </c>
      <c r="H332" s="7" t="s">
        <v>7508</v>
      </c>
      <c r="J332" s="34" t="s">
        <v>3527</v>
      </c>
      <c r="N332" s="32" t="s">
        <v>3528</v>
      </c>
      <c r="O332" s="36" t="s">
        <v>3536</v>
      </c>
      <c r="Q332" s="5" t="s">
        <v>5428</v>
      </c>
      <c r="R332" s="5" t="s">
        <v>3533</v>
      </c>
      <c r="S332" s="6">
        <v>0</v>
      </c>
      <c r="T332" s="6">
        <v>0</v>
      </c>
      <c r="U332" s="6">
        <v>0</v>
      </c>
      <c r="V332" s="7">
        <v>45021</v>
      </c>
      <c r="W332" s="7" t="s">
        <v>3790</v>
      </c>
      <c r="X332" s="7" t="s">
        <v>3790</v>
      </c>
      <c r="Y332" s="5" t="s">
        <v>4022</v>
      </c>
      <c r="Z332" s="5" t="s">
        <v>3790</v>
      </c>
      <c r="AA332" s="6">
        <v>0</v>
      </c>
      <c r="AB332" s="7" t="s">
        <v>4144</v>
      </c>
      <c r="AC332" s="7" t="str">
        <f>A332&amp;COUNTIF($A$2:A332,A332)</f>
        <v>100HP190-50002</v>
      </c>
      <c r="AD332" s="7">
        <v>44726</v>
      </c>
      <c r="AE332" s="7">
        <v>45021</v>
      </c>
      <c r="AF332" s="7">
        <v>45077</v>
      </c>
      <c r="AG332" s="5">
        <v>84</v>
      </c>
      <c r="AH332" s="5">
        <v>56</v>
      </c>
      <c r="AI332" s="5">
        <v>14</v>
      </c>
      <c r="AJ332" s="5">
        <v>3300</v>
      </c>
      <c r="AK332" s="5" t="str">
        <f t="shared" ca="1" si="5"/>
        <v>within range</v>
      </c>
    </row>
    <row r="333" spans="1:37">
      <c r="A333" s="32" t="s">
        <v>852</v>
      </c>
      <c r="B333" s="32" t="s">
        <v>3533</v>
      </c>
      <c r="C333" s="32" t="s">
        <v>3534</v>
      </c>
      <c r="E333" s="34" t="s">
        <v>3527</v>
      </c>
      <c r="G333" s="34" t="s">
        <v>3535</v>
      </c>
      <c r="H333" s="7" t="s">
        <v>7508</v>
      </c>
      <c r="J333" s="34" t="s">
        <v>3527</v>
      </c>
      <c r="N333" s="32" t="s">
        <v>3528</v>
      </c>
      <c r="O333" s="36" t="s">
        <v>3536</v>
      </c>
      <c r="Q333" s="5" t="s">
        <v>5428</v>
      </c>
      <c r="R333" s="5" t="s">
        <v>3533</v>
      </c>
      <c r="S333" s="6">
        <v>0</v>
      </c>
      <c r="T333" s="6">
        <v>0</v>
      </c>
      <c r="U333" s="6">
        <v>0</v>
      </c>
      <c r="V333" s="7">
        <v>45021</v>
      </c>
      <c r="W333" s="7" t="s">
        <v>3790</v>
      </c>
      <c r="X333" s="7" t="s">
        <v>3790</v>
      </c>
      <c r="Y333" s="5" t="s">
        <v>4022</v>
      </c>
      <c r="Z333" s="5" t="s">
        <v>3790</v>
      </c>
      <c r="AA333" s="6">
        <v>0</v>
      </c>
      <c r="AB333" s="7" t="s">
        <v>4146</v>
      </c>
      <c r="AC333" s="7" t="str">
        <f>A333&amp;COUNTIF($A$2:A333,A333)</f>
        <v>100HP190-62002</v>
      </c>
      <c r="AD333" s="7">
        <v>44726</v>
      </c>
      <c r="AE333" s="7">
        <v>45021</v>
      </c>
      <c r="AF333" s="7">
        <v>45077</v>
      </c>
      <c r="AG333" s="5">
        <v>84</v>
      </c>
      <c r="AH333" s="5">
        <v>56</v>
      </c>
      <c r="AI333" s="5">
        <v>14</v>
      </c>
      <c r="AJ333" s="5">
        <v>3300</v>
      </c>
      <c r="AK333" s="5" t="str">
        <f t="shared" ca="1" si="5"/>
        <v>within range</v>
      </c>
    </row>
    <row r="334" spans="1:37">
      <c r="A334" s="32" t="s">
        <v>3915</v>
      </c>
      <c r="B334" s="32" t="s">
        <v>3913</v>
      </c>
      <c r="C334" s="32" t="s">
        <v>3916</v>
      </c>
      <c r="D334" s="32" t="s">
        <v>3701</v>
      </c>
      <c r="E334" s="34">
        <v>0</v>
      </c>
      <c r="F334" s="32" t="s">
        <v>3701</v>
      </c>
      <c r="G334" s="34">
        <v>2200</v>
      </c>
      <c r="H334" s="7">
        <v>45022</v>
      </c>
      <c r="I334" s="32" t="s">
        <v>3790</v>
      </c>
      <c r="J334" s="34">
        <v>0</v>
      </c>
      <c r="M334" s="34">
        <v>0</v>
      </c>
      <c r="N334" s="32" t="s">
        <v>3528</v>
      </c>
      <c r="O334" s="36">
        <v>6.1400000000000006</v>
      </c>
      <c r="P334" s="32" t="s">
        <v>3701</v>
      </c>
      <c r="Q334" s="5" t="s">
        <v>3911</v>
      </c>
      <c r="R334" s="5" t="s">
        <v>3913</v>
      </c>
      <c r="S334" s="6">
        <v>0</v>
      </c>
      <c r="T334" s="6">
        <v>0</v>
      </c>
      <c r="U334" s="6">
        <v>0</v>
      </c>
      <c r="V334" s="7">
        <v>45022</v>
      </c>
      <c r="W334" s="7" t="s">
        <v>3790</v>
      </c>
      <c r="X334" s="7" t="s">
        <v>3790</v>
      </c>
      <c r="Y334" s="5" t="s">
        <v>4022</v>
      </c>
      <c r="Z334" s="5" t="s">
        <v>3790</v>
      </c>
      <c r="AA334" s="6">
        <v>0</v>
      </c>
      <c r="AB334" s="7" t="s">
        <v>4147</v>
      </c>
      <c r="AC334" s="7" t="str">
        <f>A334&amp;COUNTIF($A$2:A334,A334)</f>
        <v>100HP235-62001</v>
      </c>
      <c r="AD334" s="7">
        <v>44484</v>
      </c>
      <c r="AE334" s="7">
        <v>45022</v>
      </c>
      <c r="AF334" s="7">
        <v>45036</v>
      </c>
      <c r="AG334" s="5">
        <v>196</v>
      </c>
      <c r="AH334" s="5">
        <v>14</v>
      </c>
      <c r="AI334" s="5">
        <v>14</v>
      </c>
      <c r="AJ334" s="5">
        <v>2200</v>
      </c>
      <c r="AK334" s="5" t="str">
        <f t="shared" ca="1" si="5"/>
        <v>within range</v>
      </c>
    </row>
    <row r="335" spans="1:37">
      <c r="A335" s="32" t="s">
        <v>867</v>
      </c>
      <c r="B335" s="32">
        <v>7075</v>
      </c>
      <c r="C335" s="32" t="s">
        <v>868</v>
      </c>
      <c r="G335" s="34">
        <v>56000</v>
      </c>
      <c r="H335" s="7">
        <v>44945</v>
      </c>
      <c r="N335" s="32">
        <v>3</v>
      </c>
      <c r="O335" s="36">
        <v>3.43</v>
      </c>
      <c r="P335" s="32" t="s">
        <v>3729</v>
      </c>
      <c r="Q335" s="5" t="s">
        <v>893</v>
      </c>
      <c r="R335" s="5" t="s">
        <v>4063</v>
      </c>
      <c r="S335" s="6">
        <v>0</v>
      </c>
      <c r="T335" s="6">
        <v>0</v>
      </c>
      <c r="U335" s="6">
        <v>0</v>
      </c>
      <c r="V335" s="7">
        <v>44945</v>
      </c>
      <c r="W335" s="7" t="s">
        <v>3790</v>
      </c>
      <c r="X335" s="7" t="s">
        <v>3790</v>
      </c>
      <c r="Y335" s="5" t="s">
        <v>4022</v>
      </c>
      <c r="Z335" s="5" t="s">
        <v>3790</v>
      </c>
      <c r="AA335" s="6">
        <v>0</v>
      </c>
      <c r="AB335" s="7" t="s">
        <v>4148</v>
      </c>
      <c r="AC335" s="7" t="str">
        <f>A335&amp;COUNTIF($A$2:A335,A335)</f>
        <v>100HP256-50002</v>
      </c>
      <c r="AD335" s="7">
        <v>44750</v>
      </c>
      <c r="AE335" s="7">
        <v>44945</v>
      </c>
      <c r="AF335" s="7">
        <v>44959</v>
      </c>
      <c r="AG335" s="5">
        <v>140</v>
      </c>
      <c r="AH335" s="5">
        <v>14</v>
      </c>
      <c r="AI335" s="5">
        <v>14</v>
      </c>
      <c r="AJ335" s="5">
        <v>56000</v>
      </c>
      <c r="AK335" s="5" t="str">
        <f t="shared" ca="1" si="5"/>
        <v>within range</v>
      </c>
    </row>
    <row r="336" spans="1:37">
      <c r="A336" s="32" t="s">
        <v>870</v>
      </c>
      <c r="B336" s="32">
        <v>7075</v>
      </c>
      <c r="C336" s="32" t="s">
        <v>868</v>
      </c>
      <c r="G336" s="34">
        <v>4000</v>
      </c>
      <c r="H336" s="7">
        <v>44945</v>
      </c>
      <c r="N336" s="32">
        <v>3</v>
      </c>
      <c r="O336" s="36">
        <v>3.43</v>
      </c>
      <c r="P336" s="32" t="s">
        <v>3730</v>
      </c>
      <c r="Q336" s="5" t="s">
        <v>893</v>
      </c>
      <c r="R336" s="5" t="s">
        <v>4063</v>
      </c>
      <c r="S336" s="6">
        <v>0</v>
      </c>
      <c r="T336" s="6">
        <v>0</v>
      </c>
      <c r="U336" s="6">
        <v>0</v>
      </c>
      <c r="V336" s="7">
        <v>44945</v>
      </c>
      <c r="W336" s="7" t="s">
        <v>3790</v>
      </c>
      <c r="X336" s="7" t="s">
        <v>3790</v>
      </c>
      <c r="Y336" s="5" t="s">
        <v>4022</v>
      </c>
      <c r="Z336" s="5" t="s">
        <v>3790</v>
      </c>
      <c r="AA336" s="6">
        <v>0</v>
      </c>
      <c r="AB336" s="7" t="s">
        <v>4151</v>
      </c>
      <c r="AC336" s="7" t="str">
        <f>A336&amp;COUNTIF($A$2:A336,A336)</f>
        <v>100HP256-62001</v>
      </c>
      <c r="AD336" s="7">
        <v>44750</v>
      </c>
      <c r="AE336" s="7">
        <v>44945</v>
      </c>
      <c r="AF336" s="7">
        <v>44959</v>
      </c>
      <c r="AG336" s="5">
        <v>140</v>
      </c>
      <c r="AH336" s="5">
        <v>14</v>
      </c>
      <c r="AI336" s="5">
        <v>14</v>
      </c>
      <c r="AJ336" s="5">
        <v>4000</v>
      </c>
      <c r="AK336" s="5" t="str">
        <f t="shared" ca="1" si="5"/>
        <v>within range</v>
      </c>
    </row>
    <row r="337" spans="1:37">
      <c r="A337" s="32" t="s">
        <v>871</v>
      </c>
      <c r="B337" s="32" t="s">
        <v>3950</v>
      </c>
      <c r="C337" s="32" t="s">
        <v>3948</v>
      </c>
      <c r="D337" s="32" t="s">
        <v>3701</v>
      </c>
      <c r="E337" s="34">
        <v>0</v>
      </c>
      <c r="F337" s="32" t="s">
        <v>3701</v>
      </c>
      <c r="G337" s="34">
        <v>9000</v>
      </c>
      <c r="H337" s="7">
        <v>44978</v>
      </c>
      <c r="I337" s="32" t="s">
        <v>3790</v>
      </c>
      <c r="J337" s="34">
        <v>0</v>
      </c>
      <c r="M337" s="34">
        <v>0</v>
      </c>
      <c r="N337" s="32" t="s">
        <v>3528</v>
      </c>
      <c r="O337" s="36">
        <v>3.5300000000000002</v>
      </c>
      <c r="P337" s="32" t="s">
        <v>3701</v>
      </c>
      <c r="Q337" s="5" t="s">
        <v>3911</v>
      </c>
      <c r="R337" s="5" t="s">
        <v>3950</v>
      </c>
      <c r="S337" s="6">
        <v>0</v>
      </c>
      <c r="T337" s="6">
        <v>0</v>
      </c>
      <c r="U337" s="6">
        <v>0</v>
      </c>
      <c r="V337" s="7">
        <v>44978</v>
      </c>
      <c r="W337" s="7" t="s">
        <v>3790</v>
      </c>
      <c r="X337" s="7" t="s">
        <v>3790</v>
      </c>
      <c r="Y337" s="5" t="s">
        <v>4022</v>
      </c>
      <c r="Z337" s="5" t="s">
        <v>3790</v>
      </c>
      <c r="AA337" s="6">
        <v>0</v>
      </c>
      <c r="AB337" s="7" t="s">
        <v>4152</v>
      </c>
      <c r="AC337" s="7" t="str">
        <f>A337&amp;COUNTIF($A$2:A337,A337)</f>
        <v>100HP268-50001</v>
      </c>
      <c r="AD337" s="7">
        <v>44739</v>
      </c>
      <c r="AE337" s="7">
        <v>44978</v>
      </c>
      <c r="AF337" s="7">
        <v>44992</v>
      </c>
      <c r="AG337" s="5">
        <v>196</v>
      </c>
      <c r="AH337" s="5">
        <v>14</v>
      </c>
      <c r="AI337" s="5">
        <v>14</v>
      </c>
      <c r="AJ337" s="5">
        <v>9000</v>
      </c>
      <c r="AK337" s="5" t="str">
        <f t="shared" ca="1" si="5"/>
        <v>within range</v>
      </c>
    </row>
    <row r="338" spans="1:37">
      <c r="A338" s="32" t="s">
        <v>874</v>
      </c>
      <c r="B338" s="32" t="s">
        <v>3950</v>
      </c>
      <c r="C338" s="32" t="s">
        <v>3949</v>
      </c>
      <c r="D338" s="32" t="s">
        <v>3663</v>
      </c>
      <c r="E338" s="34">
        <v>0</v>
      </c>
      <c r="F338" s="32" t="s">
        <v>3701</v>
      </c>
      <c r="G338" s="34">
        <v>6000</v>
      </c>
      <c r="H338" s="7">
        <v>44977</v>
      </c>
      <c r="I338" s="32" t="s">
        <v>3790</v>
      </c>
      <c r="J338" s="34">
        <v>0</v>
      </c>
      <c r="M338" s="34">
        <v>0</v>
      </c>
      <c r="N338" s="32" t="s">
        <v>3528</v>
      </c>
      <c r="O338" s="36">
        <v>3.5300000000000002</v>
      </c>
      <c r="P338" s="32" t="s">
        <v>3701</v>
      </c>
      <c r="Q338" s="5" t="s">
        <v>3911</v>
      </c>
      <c r="R338" s="5" t="s">
        <v>3950</v>
      </c>
      <c r="S338" s="6">
        <v>0</v>
      </c>
      <c r="T338" s="6">
        <v>0</v>
      </c>
      <c r="U338" s="6">
        <v>0</v>
      </c>
      <c r="V338" s="7">
        <v>44977</v>
      </c>
      <c r="W338" s="7" t="s">
        <v>3790</v>
      </c>
      <c r="X338" s="7" t="s">
        <v>3790</v>
      </c>
      <c r="Y338" s="5" t="s">
        <v>4022</v>
      </c>
      <c r="Z338" s="5" t="s">
        <v>3790</v>
      </c>
      <c r="AA338" s="6">
        <v>0</v>
      </c>
      <c r="AB338" s="7" t="s">
        <v>4153</v>
      </c>
      <c r="AC338" s="7" t="str">
        <f>A338&amp;COUNTIF($A$2:A338,A338)</f>
        <v>100HP268-62001</v>
      </c>
      <c r="AD338" s="7">
        <v>44739</v>
      </c>
      <c r="AE338" s="7">
        <v>44977</v>
      </c>
      <c r="AF338" s="7">
        <v>44991</v>
      </c>
      <c r="AG338" s="5">
        <v>196</v>
      </c>
      <c r="AH338" s="5">
        <v>14</v>
      </c>
      <c r="AI338" s="5">
        <v>14</v>
      </c>
      <c r="AJ338" s="5">
        <v>6000</v>
      </c>
      <c r="AK338" s="5" t="str">
        <f t="shared" ca="1" si="5"/>
        <v>within range</v>
      </c>
    </row>
    <row r="339" spans="1:37">
      <c r="A339" s="32" t="s">
        <v>887</v>
      </c>
      <c r="B339" s="32">
        <v>7130</v>
      </c>
      <c r="C339" s="32" t="s">
        <v>3731</v>
      </c>
      <c r="G339" s="34">
        <v>2000</v>
      </c>
      <c r="H339" s="7">
        <v>44994</v>
      </c>
      <c r="N339" s="32">
        <v>3</v>
      </c>
      <c r="O339" s="36">
        <v>4.8</v>
      </c>
      <c r="P339" s="32" t="s">
        <v>5260</v>
      </c>
      <c r="Q339" s="5" t="s">
        <v>893</v>
      </c>
      <c r="R339" s="5" t="s">
        <v>5258</v>
      </c>
      <c r="S339" s="6">
        <v>0</v>
      </c>
      <c r="T339" s="6">
        <v>0</v>
      </c>
      <c r="U339" s="6">
        <v>0</v>
      </c>
      <c r="V339" s="7">
        <v>44994</v>
      </c>
      <c r="W339" s="7" t="s">
        <v>3790</v>
      </c>
      <c r="X339" s="7" t="s">
        <v>3790</v>
      </c>
      <c r="Y339" s="5" t="s">
        <v>4022</v>
      </c>
      <c r="Z339" s="5" t="s">
        <v>3790</v>
      </c>
      <c r="AA339" s="6">
        <v>0</v>
      </c>
      <c r="AB339" s="7" t="s">
        <v>5323</v>
      </c>
      <c r="AC339" s="7" t="str">
        <f>A339&amp;COUNTIF($A$2:A339,A339)</f>
        <v>100HP290-50001</v>
      </c>
      <c r="AD339" s="7">
        <v>44812</v>
      </c>
      <c r="AE339" s="7">
        <v>44994</v>
      </c>
      <c r="AF339" s="7">
        <v>45008</v>
      </c>
      <c r="AG339" s="5">
        <v>140</v>
      </c>
      <c r="AH339" s="5">
        <v>14</v>
      </c>
      <c r="AI339" s="5">
        <v>14</v>
      </c>
      <c r="AJ339" s="5">
        <v>2000</v>
      </c>
      <c r="AK339" s="5" t="str">
        <f t="shared" ca="1" si="5"/>
        <v>within range</v>
      </c>
    </row>
    <row r="340" spans="1:37">
      <c r="A340" s="32" t="s">
        <v>890</v>
      </c>
      <c r="B340" s="32">
        <v>7130</v>
      </c>
      <c r="C340" s="32" t="s">
        <v>3731</v>
      </c>
      <c r="G340" s="34">
        <v>1000</v>
      </c>
      <c r="H340" s="7">
        <v>44994</v>
      </c>
      <c r="N340" s="32">
        <v>3</v>
      </c>
      <c r="O340" s="36">
        <v>4.8</v>
      </c>
      <c r="P340" s="32" t="s">
        <v>5261</v>
      </c>
      <c r="Q340" s="5" t="s">
        <v>893</v>
      </c>
      <c r="R340" s="5" t="s">
        <v>5258</v>
      </c>
      <c r="S340" s="6">
        <v>0</v>
      </c>
      <c r="T340" s="6">
        <v>0</v>
      </c>
      <c r="U340" s="6">
        <v>0</v>
      </c>
      <c r="V340" s="7">
        <v>44994</v>
      </c>
      <c r="W340" s="7" t="s">
        <v>3790</v>
      </c>
      <c r="X340" s="7" t="s">
        <v>3790</v>
      </c>
      <c r="Y340" s="5" t="s">
        <v>4022</v>
      </c>
      <c r="Z340" s="5" t="s">
        <v>3790</v>
      </c>
      <c r="AA340" s="6">
        <v>0</v>
      </c>
      <c r="AB340" s="7" t="s">
        <v>5324</v>
      </c>
      <c r="AC340" s="7" t="str">
        <f>A340&amp;COUNTIF($A$2:A340,A340)</f>
        <v>100HP290-62002</v>
      </c>
      <c r="AD340" s="7">
        <v>44812</v>
      </c>
      <c r="AE340" s="7">
        <v>44994</v>
      </c>
      <c r="AF340" s="7">
        <v>45008</v>
      </c>
      <c r="AG340" s="5">
        <v>140</v>
      </c>
      <c r="AH340" s="5">
        <v>14</v>
      </c>
      <c r="AI340" s="5">
        <v>14</v>
      </c>
      <c r="AJ340" s="5">
        <v>1000</v>
      </c>
      <c r="AK340" s="5" t="str">
        <f t="shared" ca="1" si="5"/>
        <v>within range</v>
      </c>
    </row>
    <row r="341" spans="1:37">
      <c r="A341" s="32" t="s">
        <v>891</v>
      </c>
      <c r="B341" s="32">
        <v>7144</v>
      </c>
      <c r="C341" s="32" t="s">
        <v>892</v>
      </c>
      <c r="G341" s="34">
        <v>1000</v>
      </c>
      <c r="H341" s="7">
        <v>44959</v>
      </c>
      <c r="N341" s="32">
        <v>3</v>
      </c>
      <c r="O341" s="36">
        <v>4.8</v>
      </c>
      <c r="P341" s="32" t="s">
        <v>5881</v>
      </c>
      <c r="Q341" s="5" t="s">
        <v>893</v>
      </c>
      <c r="R341" s="5" t="s">
        <v>5882</v>
      </c>
      <c r="S341" s="6">
        <v>0</v>
      </c>
      <c r="T341" s="6">
        <v>0</v>
      </c>
      <c r="U341" s="6">
        <v>0</v>
      </c>
      <c r="V341" s="7">
        <v>44959</v>
      </c>
      <c r="W341" s="7" t="s">
        <v>3790</v>
      </c>
      <c r="X341" s="7" t="s">
        <v>3790</v>
      </c>
      <c r="Y341" s="5" t="s">
        <v>4022</v>
      </c>
      <c r="Z341" s="5" t="s">
        <v>3790</v>
      </c>
      <c r="AA341" s="6">
        <v>0</v>
      </c>
      <c r="AB341" s="7" t="s">
        <v>5883</v>
      </c>
      <c r="AC341" s="7" t="str">
        <f>A341&amp;COUNTIF($A$2:A341,A341)</f>
        <v>100HP295-50001</v>
      </c>
      <c r="AD341" s="7">
        <v>44833</v>
      </c>
      <c r="AE341" s="7">
        <v>44959</v>
      </c>
      <c r="AF341" s="7">
        <v>44973</v>
      </c>
      <c r="AG341" s="5">
        <v>140</v>
      </c>
      <c r="AH341" s="5">
        <v>14</v>
      </c>
      <c r="AI341" s="5">
        <v>14</v>
      </c>
      <c r="AJ341" s="5">
        <v>1000</v>
      </c>
      <c r="AK341" s="5" t="str">
        <f t="shared" ca="1" si="5"/>
        <v>within range</v>
      </c>
    </row>
    <row r="342" spans="1:37">
      <c r="A342" s="32" t="s">
        <v>894</v>
      </c>
      <c r="B342" s="32">
        <v>7144</v>
      </c>
      <c r="C342" s="32" t="s">
        <v>892</v>
      </c>
      <c r="G342" s="34">
        <v>2000</v>
      </c>
      <c r="H342" s="7">
        <v>44959</v>
      </c>
      <c r="N342" s="32">
        <v>3</v>
      </c>
      <c r="O342" s="36">
        <v>4.8</v>
      </c>
      <c r="P342" s="32" t="s">
        <v>5884</v>
      </c>
      <c r="Q342" s="5" t="s">
        <v>893</v>
      </c>
      <c r="R342" s="5" t="s">
        <v>5882</v>
      </c>
      <c r="S342" s="6">
        <v>0</v>
      </c>
      <c r="T342" s="6">
        <v>0</v>
      </c>
      <c r="U342" s="6">
        <v>0</v>
      </c>
      <c r="V342" s="7">
        <v>44959</v>
      </c>
      <c r="W342" s="7" t="s">
        <v>3790</v>
      </c>
      <c r="X342" s="7" t="s">
        <v>3790</v>
      </c>
      <c r="Y342" s="5" t="s">
        <v>4022</v>
      </c>
      <c r="Z342" s="5" t="s">
        <v>3790</v>
      </c>
      <c r="AA342" s="6">
        <v>0</v>
      </c>
      <c r="AB342" s="7" t="s">
        <v>5885</v>
      </c>
      <c r="AC342" s="7" t="str">
        <f>A342&amp;COUNTIF($A$2:A342,A342)</f>
        <v>100HP295-62001</v>
      </c>
      <c r="AD342" s="7">
        <v>44833</v>
      </c>
      <c r="AE342" s="7">
        <v>44959</v>
      </c>
      <c r="AF342" s="7">
        <v>44973</v>
      </c>
      <c r="AG342" s="5">
        <v>140</v>
      </c>
      <c r="AH342" s="5">
        <v>14</v>
      </c>
      <c r="AI342" s="5">
        <v>14</v>
      </c>
      <c r="AJ342" s="5">
        <v>2000</v>
      </c>
      <c r="AK342" s="5" t="str">
        <f t="shared" ca="1" si="5"/>
        <v>within range</v>
      </c>
    </row>
    <row r="343" spans="1:37">
      <c r="A343" s="32" t="s">
        <v>905</v>
      </c>
      <c r="B343" s="32">
        <v>7234</v>
      </c>
      <c r="C343" s="32" t="s">
        <v>3884</v>
      </c>
      <c r="E343" s="34">
        <v>0</v>
      </c>
      <c r="F343" s="32" t="s">
        <v>3881</v>
      </c>
      <c r="G343" s="34">
        <v>2200</v>
      </c>
      <c r="H343" s="7">
        <v>44998</v>
      </c>
      <c r="N343" s="32">
        <v>3</v>
      </c>
      <c r="O343" s="36">
        <v>6.51</v>
      </c>
      <c r="Q343" s="5" t="s">
        <v>3882</v>
      </c>
      <c r="R343" s="5" t="s">
        <v>7689</v>
      </c>
      <c r="S343" s="6">
        <v>0</v>
      </c>
      <c r="T343" s="6">
        <v>0</v>
      </c>
      <c r="U343" s="6">
        <v>0</v>
      </c>
      <c r="V343" s="7">
        <v>44998</v>
      </c>
      <c r="W343" s="7" t="s">
        <v>3790</v>
      </c>
      <c r="X343" s="7" t="s">
        <v>3790</v>
      </c>
      <c r="Y343" s="5" t="s">
        <v>4022</v>
      </c>
      <c r="Z343" s="5" t="s">
        <v>3790</v>
      </c>
      <c r="AA343" s="6">
        <v>0</v>
      </c>
      <c r="AB343" s="7" t="s">
        <v>7690</v>
      </c>
      <c r="AC343" s="7" t="str">
        <f>A343&amp;COUNTIF($A$2:A343,A343)</f>
        <v>100HP336-62001</v>
      </c>
      <c r="AD343" s="7">
        <v>44924</v>
      </c>
      <c r="AE343" s="7">
        <v>44998</v>
      </c>
      <c r="AF343" s="7">
        <v>45012</v>
      </c>
      <c r="AG343" s="5">
        <v>84</v>
      </c>
      <c r="AH343" s="5">
        <v>14</v>
      </c>
      <c r="AI343" s="5">
        <v>14</v>
      </c>
      <c r="AJ343" s="5">
        <v>2200</v>
      </c>
      <c r="AK343" s="5" t="str">
        <f t="shared" ca="1" si="5"/>
        <v>within range</v>
      </c>
    </row>
    <row r="344" spans="1:37">
      <c r="A344" s="32" t="s">
        <v>910</v>
      </c>
      <c r="B344" s="32">
        <v>7057</v>
      </c>
      <c r="C344" s="32" t="s">
        <v>911</v>
      </c>
      <c r="G344" s="34">
        <v>500</v>
      </c>
      <c r="H344" s="7">
        <v>44945</v>
      </c>
      <c r="N344" s="32">
        <v>3</v>
      </c>
      <c r="O344" s="36">
        <v>4.8</v>
      </c>
      <c r="P344" s="32" t="s">
        <v>3734</v>
      </c>
      <c r="Q344" s="5" t="s">
        <v>893</v>
      </c>
      <c r="R344" s="5" t="s">
        <v>4107</v>
      </c>
      <c r="S344" s="6">
        <v>0</v>
      </c>
      <c r="T344" s="6">
        <v>0</v>
      </c>
      <c r="U344" s="6">
        <v>0</v>
      </c>
      <c r="V344" s="7">
        <v>44945</v>
      </c>
      <c r="W344" s="7" t="s">
        <v>3790</v>
      </c>
      <c r="X344" s="7" t="s">
        <v>3790</v>
      </c>
      <c r="Y344" s="5" t="s">
        <v>4022</v>
      </c>
      <c r="Z344" s="5" t="s">
        <v>3790</v>
      </c>
      <c r="AA344" s="6">
        <v>0</v>
      </c>
      <c r="AB344" s="7" t="s">
        <v>4158</v>
      </c>
      <c r="AC344" s="7" t="str">
        <f>A344&amp;COUNTIF($A$2:A344,A344)</f>
        <v>100HP340-50001</v>
      </c>
      <c r="AD344" s="7">
        <v>44734</v>
      </c>
      <c r="AE344" s="7">
        <v>44945</v>
      </c>
      <c r="AF344" s="7">
        <v>44959</v>
      </c>
      <c r="AG344" s="5">
        <v>140</v>
      </c>
      <c r="AH344" s="5">
        <v>14</v>
      </c>
      <c r="AI344" s="5">
        <v>14</v>
      </c>
      <c r="AJ344" s="5">
        <v>500</v>
      </c>
      <c r="AK344" s="5" t="str">
        <f t="shared" ca="1" si="5"/>
        <v>within range</v>
      </c>
    </row>
    <row r="345" spans="1:37">
      <c r="A345" s="32" t="s">
        <v>913</v>
      </c>
      <c r="B345" s="32">
        <v>7057</v>
      </c>
      <c r="C345" s="32" t="s">
        <v>911</v>
      </c>
      <c r="G345" s="34">
        <v>2500</v>
      </c>
      <c r="H345" s="7">
        <v>44945</v>
      </c>
      <c r="N345" s="32">
        <v>3</v>
      </c>
      <c r="O345" s="36">
        <v>4.8</v>
      </c>
      <c r="P345" s="32" t="s">
        <v>3735</v>
      </c>
      <c r="Q345" s="5" t="s">
        <v>893</v>
      </c>
      <c r="R345" s="5" t="s">
        <v>4107</v>
      </c>
      <c r="S345" s="6">
        <v>0</v>
      </c>
      <c r="T345" s="6">
        <v>0</v>
      </c>
      <c r="U345" s="6">
        <v>0</v>
      </c>
      <c r="V345" s="7">
        <v>44945</v>
      </c>
      <c r="W345" s="7" t="s">
        <v>3790</v>
      </c>
      <c r="X345" s="7" t="s">
        <v>3790</v>
      </c>
      <c r="Y345" s="5" t="s">
        <v>4022</v>
      </c>
      <c r="Z345" s="5" t="s">
        <v>3790</v>
      </c>
      <c r="AA345" s="6">
        <v>0</v>
      </c>
      <c r="AB345" s="7" t="s">
        <v>4159</v>
      </c>
      <c r="AC345" s="7" t="str">
        <f>A345&amp;COUNTIF($A$2:A345,A345)</f>
        <v>100HP340-62001</v>
      </c>
      <c r="AD345" s="7">
        <v>44734</v>
      </c>
      <c r="AE345" s="7">
        <v>44945</v>
      </c>
      <c r="AF345" s="7">
        <v>44959</v>
      </c>
      <c r="AG345" s="5">
        <v>140</v>
      </c>
      <c r="AH345" s="5">
        <v>14</v>
      </c>
      <c r="AI345" s="5">
        <v>14</v>
      </c>
      <c r="AJ345" s="5">
        <v>2500</v>
      </c>
      <c r="AK345" s="5" t="str">
        <f t="shared" ca="1" si="5"/>
        <v>within range</v>
      </c>
    </row>
    <row r="346" spans="1:37">
      <c r="A346" s="32" t="s">
        <v>941</v>
      </c>
      <c r="B346" s="32">
        <v>7030</v>
      </c>
      <c r="C346" s="32" t="s">
        <v>3660</v>
      </c>
      <c r="D346" s="32" t="s">
        <v>3663</v>
      </c>
      <c r="F346" s="32" t="s">
        <v>3661</v>
      </c>
      <c r="G346" s="34">
        <v>2500</v>
      </c>
      <c r="H346" s="7">
        <v>44862</v>
      </c>
      <c r="I346" s="32" t="s">
        <v>3658</v>
      </c>
      <c r="J346" s="34">
        <v>2500</v>
      </c>
      <c r="N346" s="32">
        <v>3</v>
      </c>
      <c r="O346" s="36">
        <v>6.96</v>
      </c>
      <c r="Q346" s="5" t="s">
        <v>3662</v>
      </c>
      <c r="R346" s="5" t="s">
        <v>4165</v>
      </c>
      <c r="S346" s="6">
        <v>0</v>
      </c>
      <c r="T346" s="6">
        <v>0</v>
      </c>
      <c r="U346" s="6">
        <v>2500</v>
      </c>
      <c r="V346" s="7">
        <v>44862</v>
      </c>
      <c r="W346" s="7" t="s">
        <v>3790</v>
      </c>
      <c r="X346" s="7" t="s">
        <v>3790</v>
      </c>
      <c r="Y346" s="5" t="s">
        <v>4022</v>
      </c>
      <c r="Z346" s="5" t="s">
        <v>3790</v>
      </c>
      <c r="AA346" s="6">
        <v>0</v>
      </c>
      <c r="AB346" s="7" t="s">
        <v>4166</v>
      </c>
      <c r="AC346" s="7" t="str">
        <f>A346&amp;COUNTIF($A$2:A346,A346)</f>
        <v>100HP372-62001</v>
      </c>
      <c r="AD346" s="7">
        <v>44713</v>
      </c>
      <c r="AE346" s="7">
        <v>44862</v>
      </c>
      <c r="AF346" s="7">
        <v>44932</v>
      </c>
      <c r="AG346" s="5">
        <v>154</v>
      </c>
      <c r="AH346" s="5">
        <v>70</v>
      </c>
      <c r="AI346" s="5">
        <v>14</v>
      </c>
      <c r="AJ346" s="5">
        <v>2500</v>
      </c>
      <c r="AK346" s="5" t="str">
        <f t="shared" ca="1" si="5"/>
        <v>run complete</v>
      </c>
    </row>
    <row r="347" spans="1:37">
      <c r="A347" s="32" t="s">
        <v>942</v>
      </c>
      <c r="B347" s="32">
        <v>7189</v>
      </c>
      <c r="C347" s="32" t="s">
        <v>3664</v>
      </c>
      <c r="F347" s="32" t="s">
        <v>3661</v>
      </c>
      <c r="G347" s="34">
        <v>2500</v>
      </c>
      <c r="H347" s="7">
        <v>44947</v>
      </c>
      <c r="N347" s="32">
        <v>3</v>
      </c>
      <c r="O347" s="36">
        <v>6.96</v>
      </c>
      <c r="Q347" s="5" t="s">
        <v>3662</v>
      </c>
      <c r="R347" s="5" t="s">
        <v>5886</v>
      </c>
      <c r="S347" s="6">
        <v>0</v>
      </c>
      <c r="T347" s="6">
        <v>0</v>
      </c>
      <c r="U347" s="6">
        <v>0</v>
      </c>
      <c r="V347" s="7">
        <v>44947</v>
      </c>
      <c r="W347" s="7" t="s">
        <v>3790</v>
      </c>
      <c r="X347" s="7" t="s">
        <v>3790</v>
      </c>
      <c r="Y347" s="5" t="s">
        <v>4022</v>
      </c>
      <c r="Z347" s="5" t="s">
        <v>3790</v>
      </c>
      <c r="AA347" s="6">
        <v>0</v>
      </c>
      <c r="AB347" s="7" t="s">
        <v>5887</v>
      </c>
      <c r="AC347" s="7" t="str">
        <f>A347&amp;COUNTIF($A$2:A347,A347)</f>
        <v>100HP375-50002</v>
      </c>
      <c r="AD347" s="7">
        <v>44855</v>
      </c>
      <c r="AE347" s="7">
        <v>44947</v>
      </c>
      <c r="AF347" s="7">
        <v>45017</v>
      </c>
      <c r="AG347" s="5">
        <v>154</v>
      </c>
      <c r="AH347" s="5">
        <v>70</v>
      </c>
      <c r="AI347" s="5">
        <v>14</v>
      </c>
      <c r="AJ347" s="5">
        <v>2500</v>
      </c>
      <c r="AK347" s="5" t="str">
        <f t="shared" ca="1" si="5"/>
        <v>within range</v>
      </c>
    </row>
    <row r="348" spans="1:37">
      <c r="A348" s="32" t="s">
        <v>953</v>
      </c>
      <c r="B348" s="32">
        <v>6987</v>
      </c>
      <c r="C348" s="32" t="s">
        <v>952</v>
      </c>
      <c r="G348" s="34">
        <v>3000</v>
      </c>
      <c r="H348" s="7">
        <v>44987</v>
      </c>
      <c r="N348" s="32">
        <v>3</v>
      </c>
      <c r="O348" s="36">
        <v>4.8</v>
      </c>
      <c r="P348" s="32" t="s">
        <v>3737</v>
      </c>
      <c r="Q348" s="5" t="s">
        <v>893</v>
      </c>
      <c r="R348" s="5" t="s">
        <v>4149</v>
      </c>
      <c r="S348" s="6">
        <v>0</v>
      </c>
      <c r="T348" s="6">
        <v>0</v>
      </c>
      <c r="U348" s="6">
        <v>0</v>
      </c>
      <c r="V348" s="7">
        <v>44987</v>
      </c>
      <c r="W348" s="7" t="s">
        <v>3790</v>
      </c>
      <c r="X348" s="7" t="s">
        <v>3790</v>
      </c>
      <c r="Y348" s="5" t="s">
        <v>4022</v>
      </c>
      <c r="Z348" s="5" t="s">
        <v>3790</v>
      </c>
      <c r="AA348" s="6">
        <v>0</v>
      </c>
      <c r="AB348" s="7" t="s">
        <v>4174</v>
      </c>
      <c r="AC348" s="7" t="str">
        <f>A348&amp;COUNTIF($A$2:A348,A348)</f>
        <v>100HP393-62001</v>
      </c>
      <c r="AD348" s="7">
        <v>44664</v>
      </c>
      <c r="AE348" s="7">
        <v>44987</v>
      </c>
      <c r="AF348" s="7">
        <v>45001</v>
      </c>
      <c r="AG348" s="5">
        <v>140</v>
      </c>
      <c r="AH348" s="5">
        <v>14</v>
      </c>
      <c r="AI348" s="5">
        <v>14</v>
      </c>
      <c r="AJ348" s="5">
        <v>3000</v>
      </c>
      <c r="AK348" s="5" t="str">
        <f t="shared" ca="1" si="5"/>
        <v>within range</v>
      </c>
    </row>
    <row r="349" spans="1:37">
      <c r="A349" s="32" t="s">
        <v>954</v>
      </c>
      <c r="B349" s="32" t="s">
        <v>5889</v>
      </c>
      <c r="C349" s="32" t="s">
        <v>5888</v>
      </c>
      <c r="D349" s="32" t="s">
        <v>3790</v>
      </c>
      <c r="E349" s="34" t="s">
        <v>3790</v>
      </c>
      <c r="F349" s="32" t="s">
        <v>3906</v>
      </c>
      <c r="G349" s="34">
        <v>2200</v>
      </c>
      <c r="H349" s="7" t="s">
        <v>7572</v>
      </c>
      <c r="I349" s="32" t="s">
        <v>3526</v>
      </c>
      <c r="J349" s="34">
        <v>2429.4941272400001</v>
      </c>
      <c r="K349" s="7" t="s">
        <v>3790</v>
      </c>
      <c r="L349" s="7" t="s">
        <v>7573</v>
      </c>
      <c r="M349" s="34" t="s">
        <v>3790</v>
      </c>
      <c r="N349" s="32" t="s">
        <v>3532</v>
      </c>
      <c r="O349" s="36">
        <v>4.0999999999999996</v>
      </c>
      <c r="Q349" s="5" t="s">
        <v>3900</v>
      </c>
      <c r="R349" s="5" t="s">
        <v>5889</v>
      </c>
      <c r="S349" s="6">
        <v>0</v>
      </c>
      <c r="T349" s="6">
        <v>0</v>
      </c>
      <c r="U349" s="6">
        <v>2429</v>
      </c>
      <c r="V349" s="7">
        <v>44897</v>
      </c>
      <c r="W349" s="7" t="s">
        <v>3790</v>
      </c>
      <c r="X349" s="7">
        <v>44990</v>
      </c>
      <c r="Y349" s="5" t="s">
        <v>4022</v>
      </c>
      <c r="Z349" s="5" t="s">
        <v>3790</v>
      </c>
      <c r="AA349" s="6">
        <v>0</v>
      </c>
      <c r="AB349" s="7" t="s">
        <v>5890</v>
      </c>
      <c r="AC349" s="7" t="str">
        <f>A349&amp;COUNTIF($A$2:A349,A349)</f>
        <v>100HP409-50001</v>
      </c>
      <c r="AD349" s="7">
        <v>44834</v>
      </c>
      <c r="AE349" s="7">
        <v>44897</v>
      </c>
      <c r="AF349" s="7">
        <v>44960</v>
      </c>
      <c r="AG349" s="5">
        <v>147</v>
      </c>
      <c r="AH349" s="5">
        <v>63</v>
      </c>
      <c r="AI349" s="5">
        <v>14</v>
      </c>
      <c r="AJ349" s="5">
        <v>2200</v>
      </c>
      <c r="AK349" s="5" t="str">
        <f t="shared" ca="1" si="5"/>
        <v>run complete</v>
      </c>
    </row>
    <row r="350" spans="1:37">
      <c r="A350" s="32" t="s">
        <v>966</v>
      </c>
      <c r="B350" s="32" t="s">
        <v>3827</v>
      </c>
      <c r="C350" s="32" t="s">
        <v>964</v>
      </c>
      <c r="D350" s="32" t="s">
        <v>3790</v>
      </c>
      <c r="E350" s="34" t="s">
        <v>3527</v>
      </c>
      <c r="F350" s="32" t="s">
        <v>3790</v>
      </c>
      <c r="G350" s="34" t="s">
        <v>3807</v>
      </c>
      <c r="H350" s="7" t="s">
        <v>6146</v>
      </c>
      <c r="I350" s="32" t="s">
        <v>3790</v>
      </c>
      <c r="J350" s="34" t="s">
        <v>3790</v>
      </c>
      <c r="K350" s="7" t="s">
        <v>3790</v>
      </c>
      <c r="L350" s="7" t="s">
        <v>6147</v>
      </c>
      <c r="M350" s="34" t="s">
        <v>3527</v>
      </c>
      <c r="N350" s="32" t="s">
        <v>3528</v>
      </c>
      <c r="O350" s="36">
        <v>5.23</v>
      </c>
      <c r="P350" s="32" t="s">
        <v>3790</v>
      </c>
      <c r="Q350" s="5" t="s">
        <v>3792</v>
      </c>
      <c r="R350" s="5" t="s">
        <v>3827</v>
      </c>
      <c r="S350" s="6">
        <v>0</v>
      </c>
      <c r="T350" s="6">
        <v>0</v>
      </c>
      <c r="U350" s="6">
        <v>0</v>
      </c>
      <c r="V350" s="7">
        <v>44991</v>
      </c>
      <c r="W350" s="7" t="s">
        <v>3790</v>
      </c>
      <c r="X350" s="7">
        <v>45129</v>
      </c>
      <c r="Y350" s="5" t="s">
        <v>4022</v>
      </c>
      <c r="Z350" s="5" t="s">
        <v>3790</v>
      </c>
      <c r="AA350" s="6">
        <v>0</v>
      </c>
      <c r="AB350" s="7" t="s">
        <v>4175</v>
      </c>
      <c r="AC350" s="7" t="str">
        <f>A350&amp;COUNTIF($A$2:A350,A350)</f>
        <v>100HP431-62001</v>
      </c>
      <c r="AD350" s="7">
        <v>44795</v>
      </c>
      <c r="AE350" s="7">
        <v>44991</v>
      </c>
      <c r="AF350" s="7">
        <v>44998</v>
      </c>
      <c r="AG350" s="5">
        <v>70</v>
      </c>
      <c r="AH350" s="5">
        <v>7</v>
      </c>
      <c r="AI350" s="5">
        <v>14</v>
      </c>
      <c r="AJ350" s="5">
        <v>3500</v>
      </c>
      <c r="AK350" s="5" t="str">
        <f t="shared" ca="1" si="5"/>
        <v>within range</v>
      </c>
    </row>
    <row r="351" spans="1:37">
      <c r="A351" s="32" t="s">
        <v>4509</v>
      </c>
      <c r="B351" s="32" t="s">
        <v>5274</v>
      </c>
      <c r="C351" s="32" t="s">
        <v>1492</v>
      </c>
      <c r="D351" s="32" t="s">
        <v>3790</v>
      </c>
      <c r="E351" s="34" t="s">
        <v>3527</v>
      </c>
      <c r="F351" s="32" t="s">
        <v>3790</v>
      </c>
      <c r="G351" s="34" t="s">
        <v>3574</v>
      </c>
      <c r="H351" s="7" t="s">
        <v>3830</v>
      </c>
      <c r="I351" s="32" t="s">
        <v>3790</v>
      </c>
      <c r="J351" s="34" t="s">
        <v>3790</v>
      </c>
      <c r="K351" s="7" t="s">
        <v>3790</v>
      </c>
      <c r="L351" s="7" t="s">
        <v>5891</v>
      </c>
      <c r="M351" s="34" t="s">
        <v>7574</v>
      </c>
      <c r="N351" s="32" t="s">
        <v>3528</v>
      </c>
      <c r="O351" s="36">
        <v>5.81</v>
      </c>
      <c r="P351" s="32" t="s">
        <v>3790</v>
      </c>
      <c r="Q351" s="5" t="s">
        <v>3792</v>
      </c>
      <c r="R351" s="5" t="s">
        <v>5274</v>
      </c>
      <c r="S351" s="6">
        <v>0</v>
      </c>
      <c r="T351" s="6">
        <v>0</v>
      </c>
      <c r="U351" s="6">
        <v>0</v>
      </c>
      <c r="V351" s="7">
        <v>44914</v>
      </c>
      <c r="W351" s="7" t="s">
        <v>3790</v>
      </c>
      <c r="X351" s="7">
        <v>45045</v>
      </c>
      <c r="Y351" s="5" t="s">
        <v>4022</v>
      </c>
      <c r="Z351" s="5" t="s">
        <v>3790</v>
      </c>
      <c r="AA351" s="6">
        <v>0</v>
      </c>
      <c r="AB351" s="7" t="s">
        <v>5325</v>
      </c>
      <c r="AC351" s="7" t="str">
        <f>A351&amp;COUNTIF($A$2:A351,A351)</f>
        <v>100HP473-50001</v>
      </c>
      <c r="AD351" s="7">
        <v>44830</v>
      </c>
      <c r="AE351" s="7">
        <v>44914</v>
      </c>
      <c r="AF351" s="7">
        <v>44921</v>
      </c>
      <c r="AG351" s="5">
        <v>70</v>
      </c>
      <c r="AH351" s="5">
        <v>7</v>
      </c>
      <c r="AI351" s="5">
        <v>14</v>
      </c>
      <c r="AJ351" s="5">
        <v>2500</v>
      </c>
      <c r="AK351" s="5" t="str">
        <f t="shared" ca="1" si="5"/>
        <v>Past Due</v>
      </c>
    </row>
    <row r="352" spans="1:37">
      <c r="A352" s="32" t="s">
        <v>979</v>
      </c>
      <c r="B352" s="32" t="s">
        <v>5274</v>
      </c>
      <c r="C352" s="32" t="s">
        <v>1492</v>
      </c>
      <c r="D352" s="32" t="s">
        <v>3790</v>
      </c>
      <c r="E352" s="34" t="s">
        <v>3527</v>
      </c>
      <c r="F352" s="32" t="s">
        <v>3790</v>
      </c>
      <c r="G352" s="34" t="s">
        <v>3802</v>
      </c>
      <c r="H352" s="7" t="s">
        <v>3830</v>
      </c>
      <c r="I352" s="32" t="s">
        <v>3790</v>
      </c>
      <c r="J352" s="34" t="s">
        <v>3790</v>
      </c>
      <c r="K352" s="7" t="s">
        <v>3790</v>
      </c>
      <c r="L352" s="7" t="s">
        <v>5891</v>
      </c>
      <c r="M352" s="34" t="s">
        <v>7575</v>
      </c>
      <c r="N352" s="32" t="s">
        <v>3528</v>
      </c>
      <c r="O352" s="36">
        <v>5.81</v>
      </c>
      <c r="P352" s="32" t="s">
        <v>3790</v>
      </c>
      <c r="Q352" s="5" t="s">
        <v>3792</v>
      </c>
      <c r="R352" s="5" t="s">
        <v>5274</v>
      </c>
      <c r="S352" s="6">
        <v>0</v>
      </c>
      <c r="T352" s="6">
        <v>-191</v>
      </c>
      <c r="U352" s="6">
        <v>0</v>
      </c>
      <c r="V352" s="7">
        <v>44914</v>
      </c>
      <c r="W352" s="7" t="s">
        <v>3790</v>
      </c>
      <c r="X352" s="7">
        <v>45045</v>
      </c>
      <c r="Y352" s="5" t="s">
        <v>4022</v>
      </c>
      <c r="Z352" s="5" t="s">
        <v>3790</v>
      </c>
      <c r="AA352" s="6">
        <v>-191</v>
      </c>
      <c r="AB352" s="7" t="s">
        <v>5326</v>
      </c>
      <c r="AC352" s="7" t="str">
        <f>A352&amp;COUNTIF($A$2:A352,A352)</f>
        <v>100HP473-62001</v>
      </c>
      <c r="AD352" s="7">
        <v>44830</v>
      </c>
      <c r="AE352" s="7">
        <v>44914</v>
      </c>
      <c r="AF352" s="7">
        <v>44921</v>
      </c>
      <c r="AG352" s="5">
        <v>70</v>
      </c>
      <c r="AH352" s="5">
        <v>7</v>
      </c>
      <c r="AI352" s="5">
        <v>14</v>
      </c>
      <c r="AJ352" s="5">
        <v>1000</v>
      </c>
      <c r="AK352" s="5" t="str">
        <f t="shared" ca="1" si="5"/>
        <v>Past Due</v>
      </c>
    </row>
    <row r="353" spans="1:37">
      <c r="A353" s="32" t="s">
        <v>989</v>
      </c>
      <c r="B353" s="32">
        <v>7072</v>
      </c>
      <c r="C353" s="32" t="s">
        <v>990</v>
      </c>
      <c r="G353" s="34">
        <v>6500</v>
      </c>
      <c r="H353" s="7">
        <v>44963</v>
      </c>
      <c r="N353" s="32">
        <v>3</v>
      </c>
      <c r="P353" s="32" t="s">
        <v>3654</v>
      </c>
      <c r="Q353" s="5" t="s">
        <v>3653</v>
      </c>
      <c r="R353" s="5" t="s">
        <v>4178</v>
      </c>
      <c r="S353" s="6">
        <v>0</v>
      </c>
      <c r="T353" s="6">
        <v>0</v>
      </c>
      <c r="U353" s="6">
        <v>0</v>
      </c>
      <c r="V353" s="7">
        <v>44963</v>
      </c>
      <c r="W353" s="7" t="s">
        <v>3790</v>
      </c>
      <c r="X353" s="7" t="s">
        <v>3790</v>
      </c>
      <c r="Y353" s="5" t="s">
        <v>4022</v>
      </c>
      <c r="Z353" s="5" t="s">
        <v>3790</v>
      </c>
      <c r="AA353" s="6">
        <v>0</v>
      </c>
      <c r="AB353" s="7" t="s">
        <v>4179</v>
      </c>
      <c r="AC353" s="7" t="str">
        <f>A353&amp;COUNTIF($A$2:A353,A353)</f>
        <v>100HP548-50002</v>
      </c>
      <c r="AD353" s="7">
        <v>44750</v>
      </c>
      <c r="AE353" s="7">
        <v>44963</v>
      </c>
      <c r="AF353" s="7">
        <v>45005</v>
      </c>
      <c r="AG353" s="5">
        <v>105</v>
      </c>
      <c r="AH353" s="5">
        <v>42</v>
      </c>
      <c r="AI353" s="5">
        <v>14</v>
      </c>
      <c r="AJ353" s="5">
        <v>6500</v>
      </c>
      <c r="AK353" s="5" t="str">
        <f t="shared" ca="1" si="5"/>
        <v>within range</v>
      </c>
    </row>
    <row r="354" spans="1:37">
      <c r="A354" s="32" t="s">
        <v>993</v>
      </c>
      <c r="B354" s="32">
        <v>7072</v>
      </c>
      <c r="C354" s="32" t="s">
        <v>990</v>
      </c>
      <c r="G354" s="34">
        <v>3500</v>
      </c>
      <c r="H354" s="7">
        <v>44963</v>
      </c>
      <c r="N354" s="32">
        <v>3</v>
      </c>
      <c r="P354" s="32" t="s">
        <v>3654</v>
      </c>
      <c r="Q354" s="5" t="s">
        <v>3653</v>
      </c>
      <c r="R354" s="5" t="s">
        <v>4178</v>
      </c>
      <c r="S354" s="6">
        <v>0</v>
      </c>
      <c r="T354" s="6">
        <v>0</v>
      </c>
      <c r="U354" s="6">
        <v>0</v>
      </c>
      <c r="V354" s="7">
        <v>44963</v>
      </c>
      <c r="W354" s="7" t="s">
        <v>3790</v>
      </c>
      <c r="X354" s="7" t="s">
        <v>3790</v>
      </c>
      <c r="Y354" s="5" t="s">
        <v>4022</v>
      </c>
      <c r="Z354" s="5" t="s">
        <v>3790</v>
      </c>
      <c r="AA354" s="6">
        <v>0</v>
      </c>
      <c r="AB354" s="7" t="s">
        <v>4181</v>
      </c>
      <c r="AC354" s="7" t="str">
        <f>A354&amp;COUNTIF($A$2:A354,A354)</f>
        <v>100HP548-62002</v>
      </c>
      <c r="AD354" s="7">
        <v>44750</v>
      </c>
      <c r="AE354" s="7">
        <v>44963</v>
      </c>
      <c r="AF354" s="7">
        <v>45005</v>
      </c>
      <c r="AG354" s="5">
        <v>105</v>
      </c>
      <c r="AH354" s="5">
        <v>42</v>
      </c>
      <c r="AI354" s="5">
        <v>14</v>
      </c>
      <c r="AJ354" s="5">
        <v>3500</v>
      </c>
      <c r="AK354" s="5" t="str">
        <f t="shared" ca="1" si="5"/>
        <v>within range</v>
      </c>
    </row>
    <row r="355" spans="1:37">
      <c r="A355" s="32" t="s">
        <v>994</v>
      </c>
      <c r="B355" s="32">
        <v>7158</v>
      </c>
      <c r="C355" s="32" t="s">
        <v>3543</v>
      </c>
      <c r="E355" s="34" t="s">
        <v>3527</v>
      </c>
      <c r="G355" s="34" t="s">
        <v>3544</v>
      </c>
      <c r="H355" s="7" t="s">
        <v>6342</v>
      </c>
      <c r="J355" s="34" t="s">
        <v>3527</v>
      </c>
      <c r="N355" s="32" t="s">
        <v>3528</v>
      </c>
      <c r="O355" s="36" t="s">
        <v>3545</v>
      </c>
      <c r="Q355" s="5" t="s">
        <v>5429</v>
      </c>
      <c r="R355" s="5" t="s">
        <v>5979</v>
      </c>
      <c r="S355" s="6">
        <v>0</v>
      </c>
      <c r="T355" s="6">
        <v>0</v>
      </c>
      <c r="U355" s="6">
        <v>0</v>
      </c>
      <c r="V355" s="7">
        <v>45066</v>
      </c>
      <c r="W355" s="7" t="s">
        <v>3790</v>
      </c>
      <c r="X355" s="7" t="s">
        <v>3790</v>
      </c>
      <c r="Y355" s="5" t="s">
        <v>4022</v>
      </c>
      <c r="Z355" s="5" t="s">
        <v>3790</v>
      </c>
      <c r="AA355" s="6">
        <v>0</v>
      </c>
      <c r="AB355" s="7" t="s">
        <v>5980</v>
      </c>
      <c r="AC355" s="7" t="str">
        <f>A355&amp;COUNTIF($A$2:A355,A355)</f>
        <v>100HP551-50002</v>
      </c>
      <c r="AD355" s="7">
        <v>44844</v>
      </c>
      <c r="AE355" s="7">
        <v>45066</v>
      </c>
      <c r="AF355" s="7">
        <v>45122</v>
      </c>
      <c r="AG355" s="5">
        <v>91</v>
      </c>
      <c r="AH355" s="5">
        <v>56</v>
      </c>
      <c r="AI355" s="5">
        <v>14</v>
      </c>
      <c r="AJ355" s="5">
        <v>3000</v>
      </c>
      <c r="AK355" s="5" t="str">
        <f t="shared" ca="1" si="5"/>
        <v>within range</v>
      </c>
    </row>
    <row r="356" spans="1:37">
      <c r="A356" s="32" t="s">
        <v>997</v>
      </c>
      <c r="B356" s="32">
        <v>7158</v>
      </c>
      <c r="C356" s="32" t="s">
        <v>3543</v>
      </c>
      <c r="E356" s="34" t="s">
        <v>3527</v>
      </c>
      <c r="G356" s="34" t="s">
        <v>3553</v>
      </c>
      <c r="H356" s="7" t="s">
        <v>6342</v>
      </c>
      <c r="J356" s="34" t="s">
        <v>3527</v>
      </c>
      <c r="N356" s="32" t="s">
        <v>3528</v>
      </c>
      <c r="O356" s="36" t="s">
        <v>3545</v>
      </c>
      <c r="Q356" s="5" t="s">
        <v>5429</v>
      </c>
      <c r="R356" s="5" t="s">
        <v>5979</v>
      </c>
      <c r="S356" s="6">
        <v>0</v>
      </c>
      <c r="T356" s="6">
        <v>0</v>
      </c>
      <c r="U356" s="6">
        <v>0</v>
      </c>
      <c r="V356" s="7">
        <v>45066</v>
      </c>
      <c r="W356" s="7" t="s">
        <v>3790</v>
      </c>
      <c r="X356" s="7" t="s">
        <v>3790</v>
      </c>
      <c r="Y356" s="5" t="s">
        <v>4022</v>
      </c>
      <c r="Z356" s="5" t="s">
        <v>3790</v>
      </c>
      <c r="AA356" s="6">
        <v>0</v>
      </c>
      <c r="AB356" s="7" t="s">
        <v>5982</v>
      </c>
      <c r="AC356" s="7" t="str">
        <f>A356&amp;COUNTIF($A$2:A356,A356)</f>
        <v>100HP551-62002</v>
      </c>
      <c r="AD356" s="7">
        <v>44844</v>
      </c>
      <c r="AE356" s="7">
        <v>45066</v>
      </c>
      <c r="AF356" s="7">
        <v>45122</v>
      </c>
      <c r="AG356" s="5">
        <v>91</v>
      </c>
      <c r="AH356" s="5">
        <v>56</v>
      </c>
      <c r="AI356" s="5">
        <v>14</v>
      </c>
      <c r="AJ356" s="5">
        <v>1400</v>
      </c>
      <c r="AK356" s="5" t="str">
        <f t="shared" ca="1" si="5"/>
        <v>within range</v>
      </c>
    </row>
    <row r="357" spans="1:37">
      <c r="A357" s="32" t="s">
        <v>1005</v>
      </c>
      <c r="B357" s="32" t="s">
        <v>7577</v>
      </c>
      <c r="C357" s="32" t="s">
        <v>7578</v>
      </c>
      <c r="D357" s="32" t="s">
        <v>3790</v>
      </c>
      <c r="E357" s="34" t="s">
        <v>3790</v>
      </c>
      <c r="F357" s="32" t="s">
        <v>3790</v>
      </c>
      <c r="G357" s="34">
        <v>11000</v>
      </c>
      <c r="H357" s="7" t="s">
        <v>7691</v>
      </c>
      <c r="I357" s="32" t="s">
        <v>3790</v>
      </c>
      <c r="J357" s="34" t="s">
        <v>3790</v>
      </c>
      <c r="K357" s="7" t="s">
        <v>3790</v>
      </c>
      <c r="L357" s="7" t="s">
        <v>7508</v>
      </c>
      <c r="M357" s="34" t="s">
        <v>3790</v>
      </c>
      <c r="N357" s="32" t="s">
        <v>3532</v>
      </c>
      <c r="O357" s="36">
        <v>3.14</v>
      </c>
      <c r="Q357" s="5" t="s">
        <v>3900</v>
      </c>
      <c r="R357" s="5" t="s">
        <v>7577</v>
      </c>
      <c r="S357" s="6">
        <v>0</v>
      </c>
      <c r="T357" s="6">
        <v>0</v>
      </c>
      <c r="U357" s="6">
        <v>0</v>
      </c>
      <c r="V357" s="7">
        <v>44946</v>
      </c>
      <c r="W357" s="7" t="s">
        <v>3790</v>
      </c>
      <c r="X357" s="7">
        <v>45021</v>
      </c>
      <c r="Y357" s="5" t="s">
        <v>4022</v>
      </c>
      <c r="Z357" s="5" t="s">
        <v>3790</v>
      </c>
      <c r="AA357" s="6">
        <v>0</v>
      </c>
      <c r="AB357" s="7" t="s">
        <v>7579</v>
      </c>
      <c r="AC357" s="7" t="str">
        <f>A357&amp;COUNTIF($A$2:A357,A357)</f>
        <v>100HP563-62001</v>
      </c>
      <c r="AD357" s="7">
        <v>44908</v>
      </c>
      <c r="AE357" s="7">
        <v>44946</v>
      </c>
      <c r="AF357" s="7">
        <v>45009</v>
      </c>
      <c r="AG357" s="5">
        <v>147</v>
      </c>
      <c r="AH357" s="5">
        <v>63</v>
      </c>
      <c r="AI357" s="5">
        <v>14</v>
      </c>
      <c r="AJ357" s="5">
        <v>11000</v>
      </c>
      <c r="AK357" s="5" t="str">
        <f t="shared" ca="1" si="5"/>
        <v>within range</v>
      </c>
    </row>
    <row r="358" spans="1:37">
      <c r="A358" s="32" t="s">
        <v>1006</v>
      </c>
      <c r="B358" s="32">
        <v>7072</v>
      </c>
      <c r="C358" s="32" t="s">
        <v>3652</v>
      </c>
      <c r="G358" s="34">
        <v>2000</v>
      </c>
      <c r="H358" s="7">
        <v>45026</v>
      </c>
      <c r="N358" s="32">
        <v>3</v>
      </c>
      <c r="P358" s="32" t="s">
        <v>5983</v>
      </c>
      <c r="Q358" s="5" t="s">
        <v>3653</v>
      </c>
      <c r="R358" s="5" t="s">
        <v>4178</v>
      </c>
      <c r="S358" s="6">
        <v>0</v>
      </c>
      <c r="T358" s="6">
        <v>0</v>
      </c>
      <c r="U358" s="6">
        <v>0</v>
      </c>
      <c r="V358" s="7">
        <v>45026</v>
      </c>
      <c r="W358" s="7" t="s">
        <v>3790</v>
      </c>
      <c r="X358" s="7" t="s">
        <v>3790</v>
      </c>
      <c r="Y358" s="5" t="s">
        <v>4022</v>
      </c>
      <c r="Z358" s="5" t="s">
        <v>3790</v>
      </c>
      <c r="AA358" s="6">
        <v>0</v>
      </c>
      <c r="AB358" s="7" t="s">
        <v>4182</v>
      </c>
      <c r="AC358" s="7" t="str">
        <f>A358&amp;COUNTIF($A$2:A358,A358)</f>
        <v>100HP565-50001</v>
      </c>
      <c r="AD358" s="7">
        <v>44750</v>
      </c>
      <c r="AE358" s="7">
        <v>45026</v>
      </c>
      <c r="AF358" s="7">
        <v>45068</v>
      </c>
      <c r="AG358" s="5">
        <v>105</v>
      </c>
      <c r="AH358" s="5">
        <v>42</v>
      </c>
      <c r="AI358" s="5">
        <v>14</v>
      </c>
      <c r="AJ358" s="5">
        <v>2000</v>
      </c>
      <c r="AK358" s="5" t="str">
        <f t="shared" ca="1" si="5"/>
        <v>within range</v>
      </c>
    </row>
    <row r="359" spans="1:37">
      <c r="A359" s="32" t="s">
        <v>1009</v>
      </c>
      <c r="B359" s="32">
        <v>7024</v>
      </c>
      <c r="C359" s="32" t="s">
        <v>3652</v>
      </c>
      <c r="G359" s="34">
        <v>10000</v>
      </c>
      <c r="H359" s="7">
        <v>44963</v>
      </c>
      <c r="N359" s="32">
        <v>3</v>
      </c>
      <c r="P359" s="32" t="s">
        <v>3654</v>
      </c>
      <c r="Q359" s="5" t="s">
        <v>3653</v>
      </c>
      <c r="R359" s="5" t="s">
        <v>4176</v>
      </c>
      <c r="S359" s="6">
        <v>0</v>
      </c>
      <c r="T359" s="6">
        <v>0</v>
      </c>
      <c r="U359" s="6">
        <v>0</v>
      </c>
      <c r="V359" s="7">
        <v>44963</v>
      </c>
      <c r="W359" s="7" t="s">
        <v>3790</v>
      </c>
      <c r="X359" s="7" t="s">
        <v>3790</v>
      </c>
      <c r="Y359" s="5" t="s">
        <v>4022</v>
      </c>
      <c r="Z359" s="5" t="s">
        <v>3790</v>
      </c>
      <c r="AA359" s="6">
        <v>0</v>
      </c>
      <c r="AB359" s="7" t="s">
        <v>4183</v>
      </c>
      <c r="AC359" s="7" t="str">
        <f>A359&amp;COUNTIF($A$2:A359,A359)</f>
        <v>100HP565-62001</v>
      </c>
      <c r="AD359" s="7">
        <v>44712</v>
      </c>
      <c r="AE359" s="7">
        <v>44963</v>
      </c>
      <c r="AF359" s="7">
        <v>45005</v>
      </c>
      <c r="AG359" s="5">
        <v>105</v>
      </c>
      <c r="AH359" s="5">
        <v>42</v>
      </c>
      <c r="AI359" s="5">
        <v>14</v>
      </c>
      <c r="AJ359" s="5">
        <v>10000</v>
      </c>
      <c r="AK359" s="5" t="str">
        <f t="shared" ca="1" si="5"/>
        <v>within range</v>
      </c>
    </row>
    <row r="360" spans="1:37">
      <c r="A360" s="32" t="s">
        <v>1009</v>
      </c>
      <c r="B360" s="32">
        <v>7072</v>
      </c>
      <c r="C360" s="32" t="s">
        <v>3652</v>
      </c>
      <c r="G360" s="34">
        <v>8000</v>
      </c>
      <c r="H360" s="7">
        <v>45026</v>
      </c>
      <c r="N360" s="32">
        <v>3</v>
      </c>
      <c r="P360" s="32" t="s">
        <v>5983</v>
      </c>
      <c r="Q360" s="5" t="s">
        <v>3653</v>
      </c>
      <c r="R360" s="5" t="s">
        <v>4178</v>
      </c>
      <c r="S360" s="6">
        <v>0</v>
      </c>
      <c r="T360" s="6">
        <v>0</v>
      </c>
      <c r="U360" s="6">
        <v>0</v>
      </c>
      <c r="V360" s="7">
        <v>45026</v>
      </c>
      <c r="W360" s="7" t="s">
        <v>3790</v>
      </c>
      <c r="X360" s="7" t="s">
        <v>3790</v>
      </c>
      <c r="Y360" s="5" t="s">
        <v>4022</v>
      </c>
      <c r="Z360" s="5" t="s">
        <v>3790</v>
      </c>
      <c r="AA360" s="6">
        <v>0</v>
      </c>
      <c r="AB360" s="7" t="s">
        <v>4184</v>
      </c>
      <c r="AC360" s="7" t="str">
        <f>A360&amp;COUNTIF($A$2:A360,A360)</f>
        <v>100HP565-62002</v>
      </c>
      <c r="AD360" s="7">
        <v>44750</v>
      </c>
      <c r="AE360" s="7">
        <v>45026</v>
      </c>
      <c r="AF360" s="7">
        <v>45068</v>
      </c>
      <c r="AG360" s="5">
        <v>105</v>
      </c>
      <c r="AH360" s="5">
        <v>42</v>
      </c>
      <c r="AI360" s="5">
        <v>14</v>
      </c>
      <c r="AJ360" s="5">
        <v>8000</v>
      </c>
      <c r="AK360" s="5" t="str">
        <f t="shared" ca="1" si="5"/>
        <v>within range</v>
      </c>
    </row>
    <row r="361" spans="1:37">
      <c r="A361" s="32" t="s">
        <v>3555</v>
      </c>
      <c r="B361" s="32">
        <v>7178</v>
      </c>
      <c r="C361" s="32" t="s">
        <v>3556</v>
      </c>
      <c r="E361" s="34" t="s">
        <v>3527</v>
      </c>
      <c r="G361" s="34" t="s">
        <v>3531</v>
      </c>
      <c r="H361" s="7" t="s">
        <v>7546</v>
      </c>
      <c r="J361" s="34" t="s">
        <v>3527</v>
      </c>
      <c r="N361" s="32" t="s">
        <v>3528</v>
      </c>
      <c r="O361" s="36" t="s">
        <v>3557</v>
      </c>
      <c r="Q361" s="5" t="s">
        <v>5429</v>
      </c>
      <c r="R361" s="5" t="s">
        <v>5984</v>
      </c>
      <c r="S361" s="6">
        <v>0</v>
      </c>
      <c r="T361" s="6">
        <v>0</v>
      </c>
      <c r="U361" s="6">
        <v>0</v>
      </c>
      <c r="V361" s="7">
        <v>44995</v>
      </c>
      <c r="W361" s="7" t="s">
        <v>3790</v>
      </c>
      <c r="X361" s="7" t="s">
        <v>3790</v>
      </c>
      <c r="Y361" s="5" t="s">
        <v>4022</v>
      </c>
      <c r="Z361" s="5" t="s">
        <v>3790</v>
      </c>
      <c r="AA361" s="6">
        <v>0</v>
      </c>
      <c r="AB361" s="7" t="s">
        <v>5985</v>
      </c>
      <c r="AC361" s="7" t="str">
        <f>A361&amp;COUNTIF($A$2:A361,A361)</f>
        <v>100HP597-50001</v>
      </c>
      <c r="AD361" s="7">
        <v>44844</v>
      </c>
      <c r="AE361" s="7">
        <v>44995</v>
      </c>
      <c r="AF361" s="7">
        <v>45051</v>
      </c>
      <c r="AG361" s="5">
        <v>91</v>
      </c>
      <c r="AH361" s="5">
        <v>56</v>
      </c>
      <c r="AI361" s="5">
        <v>14</v>
      </c>
      <c r="AJ361" s="5">
        <v>2200</v>
      </c>
      <c r="AK361" s="5" t="str">
        <f t="shared" ca="1" si="5"/>
        <v>within range</v>
      </c>
    </row>
    <row r="362" spans="1:37">
      <c r="A362" s="32" t="s">
        <v>1020</v>
      </c>
      <c r="B362" s="32" t="s">
        <v>7501</v>
      </c>
      <c r="C362" s="32" t="s">
        <v>1021</v>
      </c>
      <c r="D362" s="32" t="s">
        <v>3790</v>
      </c>
      <c r="E362" s="34" t="s">
        <v>3527</v>
      </c>
      <c r="F362" s="32" t="s">
        <v>3790</v>
      </c>
      <c r="G362" s="34" t="s">
        <v>3791</v>
      </c>
      <c r="H362" s="7" t="s">
        <v>6005</v>
      </c>
      <c r="I362" s="32" t="s">
        <v>3790</v>
      </c>
      <c r="J362" s="34" t="s">
        <v>3790</v>
      </c>
      <c r="K362" s="7" t="s">
        <v>3790</v>
      </c>
      <c r="L362" s="7" t="s">
        <v>6325</v>
      </c>
      <c r="M362" s="34" t="s">
        <v>3527</v>
      </c>
      <c r="N362" s="32" t="s">
        <v>3528</v>
      </c>
      <c r="O362" s="36">
        <v>5.78</v>
      </c>
      <c r="P362" s="32" t="s">
        <v>3790</v>
      </c>
      <c r="Q362" s="5" t="s">
        <v>3792</v>
      </c>
      <c r="R362" s="5" t="s">
        <v>7501</v>
      </c>
      <c r="S362" s="6">
        <v>0</v>
      </c>
      <c r="T362" s="6">
        <v>0</v>
      </c>
      <c r="U362" s="6">
        <v>0</v>
      </c>
      <c r="V362" s="7">
        <v>44949</v>
      </c>
      <c r="W362" s="7" t="s">
        <v>3790</v>
      </c>
      <c r="X362" s="7">
        <v>45085</v>
      </c>
      <c r="Y362" s="5" t="s">
        <v>4022</v>
      </c>
      <c r="Z362" s="5" t="s">
        <v>3790</v>
      </c>
      <c r="AA362" s="6">
        <v>0</v>
      </c>
      <c r="AB362" s="7" t="s">
        <v>7510</v>
      </c>
      <c r="AC362" s="7" t="str">
        <f>A362&amp;COUNTIF($A$2:A362,A362)</f>
        <v>100HP599-50001</v>
      </c>
      <c r="AD362" s="7">
        <v>44908</v>
      </c>
      <c r="AE362" s="7">
        <v>44949</v>
      </c>
      <c r="AF362" s="7">
        <v>44956</v>
      </c>
      <c r="AG362" s="5">
        <v>70</v>
      </c>
      <c r="AH362" s="5">
        <v>7</v>
      </c>
      <c r="AI362" s="5">
        <v>14</v>
      </c>
      <c r="AJ362" s="5">
        <v>700</v>
      </c>
      <c r="AK362" s="5" t="str">
        <f t="shared" ca="1" si="5"/>
        <v>within range</v>
      </c>
    </row>
    <row r="363" spans="1:37">
      <c r="A363" s="32" t="s">
        <v>1023</v>
      </c>
      <c r="B363" s="32" t="s">
        <v>7501</v>
      </c>
      <c r="C363" s="32" t="s">
        <v>1021</v>
      </c>
      <c r="D363" s="32" t="s">
        <v>3790</v>
      </c>
      <c r="E363" s="34" t="s">
        <v>3527</v>
      </c>
      <c r="F363" s="32" t="s">
        <v>3790</v>
      </c>
      <c r="G363" s="34" t="s">
        <v>3842</v>
      </c>
      <c r="H363" s="7" t="s">
        <v>6005</v>
      </c>
      <c r="I363" s="32" t="s">
        <v>3790</v>
      </c>
      <c r="J363" s="34" t="s">
        <v>3790</v>
      </c>
      <c r="K363" s="7" t="s">
        <v>3790</v>
      </c>
      <c r="L363" s="7" t="s">
        <v>6325</v>
      </c>
      <c r="M363" s="34" t="s">
        <v>3527</v>
      </c>
      <c r="N363" s="32" t="s">
        <v>3528</v>
      </c>
      <c r="O363" s="36">
        <v>5.78</v>
      </c>
      <c r="P363" s="32" t="s">
        <v>3790</v>
      </c>
      <c r="Q363" s="5" t="s">
        <v>3792</v>
      </c>
      <c r="R363" s="5" t="s">
        <v>7501</v>
      </c>
      <c r="S363" s="6">
        <v>0</v>
      </c>
      <c r="T363" s="6">
        <v>0</v>
      </c>
      <c r="U363" s="6">
        <v>0</v>
      </c>
      <c r="V363" s="7">
        <v>44949</v>
      </c>
      <c r="W363" s="7" t="s">
        <v>3790</v>
      </c>
      <c r="X363" s="7">
        <v>45085</v>
      </c>
      <c r="Y363" s="5" t="s">
        <v>4022</v>
      </c>
      <c r="Z363" s="5" t="s">
        <v>3790</v>
      </c>
      <c r="AA363" s="6">
        <v>0</v>
      </c>
      <c r="AB363" s="7" t="s">
        <v>7511</v>
      </c>
      <c r="AC363" s="7" t="str">
        <f>A363&amp;COUNTIF($A$2:A363,A363)</f>
        <v>100HP599-62001</v>
      </c>
      <c r="AD363" s="7">
        <v>44908</v>
      </c>
      <c r="AE363" s="7">
        <v>44949</v>
      </c>
      <c r="AF363" s="7">
        <v>44956</v>
      </c>
      <c r="AG363" s="5">
        <v>70</v>
      </c>
      <c r="AH363" s="5">
        <v>7</v>
      </c>
      <c r="AI363" s="5">
        <v>14</v>
      </c>
      <c r="AJ363" s="5">
        <v>2800</v>
      </c>
      <c r="AK363" s="5" t="str">
        <f t="shared" ca="1" si="5"/>
        <v>within range</v>
      </c>
    </row>
    <row r="364" spans="1:37">
      <c r="A364" s="32" t="s">
        <v>1106</v>
      </c>
      <c r="B364" s="32">
        <v>6987</v>
      </c>
      <c r="C364" s="32" t="s">
        <v>1104</v>
      </c>
      <c r="G364" s="34">
        <v>5000</v>
      </c>
      <c r="H364" s="7">
        <v>44931</v>
      </c>
      <c r="N364" s="32">
        <v>3</v>
      </c>
      <c r="O364" s="36">
        <v>4.57</v>
      </c>
      <c r="P364" s="32" t="s">
        <v>3738</v>
      </c>
      <c r="Q364" s="5" t="s">
        <v>893</v>
      </c>
      <c r="R364" s="5" t="s">
        <v>4149</v>
      </c>
      <c r="S364" s="6">
        <v>0</v>
      </c>
      <c r="T364" s="6">
        <v>0</v>
      </c>
      <c r="U364" s="6">
        <v>0</v>
      </c>
      <c r="V364" s="7">
        <v>44931</v>
      </c>
      <c r="W364" s="7" t="s">
        <v>3790</v>
      </c>
      <c r="X364" s="7" t="s">
        <v>3790</v>
      </c>
      <c r="Y364" s="5" t="s">
        <v>4022</v>
      </c>
      <c r="Z364" s="5" t="s">
        <v>3790</v>
      </c>
      <c r="AA364" s="6">
        <v>0</v>
      </c>
      <c r="AB364" s="7" t="s">
        <v>4188</v>
      </c>
      <c r="AC364" s="7" t="str">
        <f>A364&amp;COUNTIF($A$2:A364,A364)</f>
        <v>100KM038-62001</v>
      </c>
      <c r="AD364" s="7">
        <v>44664</v>
      </c>
      <c r="AE364" s="7">
        <v>44931</v>
      </c>
      <c r="AF364" s="7">
        <v>44945</v>
      </c>
      <c r="AG364" s="5">
        <v>140</v>
      </c>
      <c r="AH364" s="5">
        <v>14</v>
      </c>
      <c r="AI364" s="5">
        <v>14</v>
      </c>
      <c r="AJ364" s="5">
        <v>5000</v>
      </c>
      <c r="AK364" s="5" t="str">
        <f t="shared" ca="1" si="5"/>
        <v>Past Due</v>
      </c>
    </row>
    <row r="365" spans="1:37">
      <c r="A365" s="32" t="s">
        <v>3831</v>
      </c>
      <c r="B365" s="32" t="s">
        <v>6148</v>
      </c>
      <c r="C365" s="32" t="s">
        <v>3832</v>
      </c>
      <c r="D365" s="32" t="s">
        <v>3790</v>
      </c>
      <c r="E365" s="34" t="s">
        <v>3527</v>
      </c>
      <c r="F365" s="32" t="s">
        <v>3790</v>
      </c>
      <c r="G365" s="34" t="s">
        <v>3802</v>
      </c>
      <c r="H365" s="7" t="s">
        <v>6397</v>
      </c>
      <c r="I365" s="32" t="s">
        <v>3790</v>
      </c>
      <c r="J365" s="34" t="s">
        <v>3790</v>
      </c>
      <c r="K365" s="7" t="s">
        <v>3790</v>
      </c>
      <c r="L365" s="7" t="s">
        <v>6149</v>
      </c>
      <c r="M365" s="34" t="s">
        <v>7692</v>
      </c>
      <c r="N365" s="32" t="s">
        <v>3528</v>
      </c>
      <c r="O365" s="36">
        <v>5.25</v>
      </c>
      <c r="P365" s="32" t="s">
        <v>3790</v>
      </c>
      <c r="Q365" s="5" t="s">
        <v>3792</v>
      </c>
      <c r="R365" s="5" t="s">
        <v>6148</v>
      </c>
      <c r="S365" s="6">
        <v>0</v>
      </c>
      <c r="T365" s="6">
        <v>-17</v>
      </c>
      <c r="U365" s="6">
        <v>0</v>
      </c>
      <c r="V365" s="7">
        <v>44921</v>
      </c>
      <c r="W365" s="7" t="s">
        <v>3790</v>
      </c>
      <c r="X365" s="7">
        <v>45068</v>
      </c>
      <c r="Y365" s="5" t="s">
        <v>4022</v>
      </c>
      <c r="Z365" s="5" t="s">
        <v>3790</v>
      </c>
      <c r="AA365" s="6">
        <v>-17</v>
      </c>
      <c r="AB365" s="7" t="s">
        <v>6150</v>
      </c>
      <c r="AC365" s="7" t="str">
        <f>A365&amp;COUNTIF($A$2:A365,A365)</f>
        <v>100KM067-50002</v>
      </c>
      <c r="AD365" s="7">
        <v>44879</v>
      </c>
      <c r="AE365" s="7">
        <v>44921</v>
      </c>
      <c r="AF365" s="7">
        <v>44928</v>
      </c>
      <c r="AG365" s="5">
        <v>70</v>
      </c>
      <c r="AH365" s="5">
        <v>7</v>
      </c>
      <c r="AI365" s="5">
        <v>14</v>
      </c>
      <c r="AJ365" s="5">
        <v>1000</v>
      </c>
      <c r="AK365" s="5" t="str">
        <f t="shared" ca="1" si="5"/>
        <v>Past Due</v>
      </c>
    </row>
    <row r="366" spans="1:37">
      <c r="A366" s="32" t="s">
        <v>3833</v>
      </c>
      <c r="B366" s="32" t="s">
        <v>6148</v>
      </c>
      <c r="C366" s="32" t="s">
        <v>3832</v>
      </c>
      <c r="D366" s="32" t="s">
        <v>3790</v>
      </c>
      <c r="E366" s="34" t="s">
        <v>3527</v>
      </c>
      <c r="F366" s="32" t="s">
        <v>3790</v>
      </c>
      <c r="G366" s="34" t="s">
        <v>3574</v>
      </c>
      <c r="H366" s="7" t="s">
        <v>6397</v>
      </c>
      <c r="I366" s="32" t="s">
        <v>3790</v>
      </c>
      <c r="J366" s="34" t="s">
        <v>3790</v>
      </c>
      <c r="K366" s="7" t="s">
        <v>3790</v>
      </c>
      <c r="L366" s="7" t="s">
        <v>6149</v>
      </c>
      <c r="M366" s="34" t="s">
        <v>7693</v>
      </c>
      <c r="N366" s="32" t="s">
        <v>3528</v>
      </c>
      <c r="O366" s="36">
        <v>5.25</v>
      </c>
      <c r="P366" s="32" t="s">
        <v>3790</v>
      </c>
      <c r="Q366" s="5" t="s">
        <v>3792</v>
      </c>
      <c r="R366" s="5" t="s">
        <v>6148</v>
      </c>
      <c r="S366" s="6">
        <v>0</v>
      </c>
      <c r="T366" s="6">
        <v>0</v>
      </c>
      <c r="U366" s="6">
        <v>0</v>
      </c>
      <c r="V366" s="7">
        <v>44921</v>
      </c>
      <c r="W366" s="7" t="s">
        <v>3790</v>
      </c>
      <c r="X366" s="7">
        <v>45068</v>
      </c>
      <c r="Y366" s="5" t="s">
        <v>4022</v>
      </c>
      <c r="Z366" s="5" t="s">
        <v>3790</v>
      </c>
      <c r="AA366" s="6">
        <v>0</v>
      </c>
      <c r="AB366" s="7" t="s">
        <v>6151</v>
      </c>
      <c r="AC366" s="7" t="str">
        <f>A366&amp;COUNTIF($A$2:A366,A366)</f>
        <v>100KM067-62002</v>
      </c>
      <c r="AD366" s="7">
        <v>44879</v>
      </c>
      <c r="AE366" s="7">
        <v>44921</v>
      </c>
      <c r="AF366" s="7">
        <v>44928</v>
      </c>
      <c r="AG366" s="5">
        <v>70</v>
      </c>
      <c r="AH366" s="5">
        <v>7</v>
      </c>
      <c r="AI366" s="5">
        <v>14</v>
      </c>
      <c r="AJ366" s="5">
        <v>2500</v>
      </c>
      <c r="AK366" s="5" t="str">
        <f t="shared" ca="1" si="5"/>
        <v>Past Due</v>
      </c>
    </row>
    <row r="367" spans="1:37">
      <c r="A367" s="32" t="s">
        <v>1201</v>
      </c>
      <c r="B367" s="32" t="s">
        <v>3558</v>
      </c>
      <c r="C367" s="32" t="s">
        <v>3559</v>
      </c>
      <c r="E367" s="34" t="s">
        <v>3527</v>
      </c>
      <c r="F367" s="32" t="s">
        <v>3524</v>
      </c>
      <c r="G367" s="34" t="s">
        <v>3531</v>
      </c>
      <c r="H367" s="7" t="s">
        <v>5563</v>
      </c>
      <c r="I367" s="32" t="s">
        <v>3526</v>
      </c>
      <c r="J367" s="34" t="s">
        <v>6343</v>
      </c>
      <c r="K367" s="7" t="s">
        <v>5499</v>
      </c>
      <c r="M367" s="34" t="s">
        <v>6133</v>
      </c>
      <c r="N367" s="32" t="s">
        <v>3532</v>
      </c>
      <c r="O367" s="36" t="s">
        <v>5237</v>
      </c>
      <c r="Q367" s="5" t="s">
        <v>5428</v>
      </c>
      <c r="R367" s="5" t="s">
        <v>3558</v>
      </c>
      <c r="S367" s="6">
        <v>0</v>
      </c>
      <c r="T367" s="6">
        <v>-218</v>
      </c>
      <c r="U367" s="6">
        <v>2418</v>
      </c>
      <c r="V367" s="7">
        <v>44875</v>
      </c>
      <c r="W367" s="7">
        <v>44923</v>
      </c>
      <c r="X367" s="7" t="s">
        <v>3790</v>
      </c>
      <c r="Y367" s="5" t="s">
        <v>4022</v>
      </c>
      <c r="Z367" s="5" t="s">
        <v>3790</v>
      </c>
      <c r="AA367" s="6">
        <v>-218</v>
      </c>
      <c r="AB367" s="7" t="s">
        <v>4197</v>
      </c>
      <c r="AC367" s="7" t="str">
        <f>A367&amp;COUNTIF($A$2:A367,A367)</f>
        <v>100MG160-62001</v>
      </c>
      <c r="AD367" s="7">
        <v>44713</v>
      </c>
      <c r="AE367" s="7">
        <v>44923</v>
      </c>
      <c r="AF367" s="7">
        <v>44937</v>
      </c>
      <c r="AG367" s="5">
        <v>84</v>
      </c>
      <c r="AH367" s="5">
        <v>56</v>
      </c>
      <c r="AI367" s="5">
        <v>14</v>
      </c>
      <c r="AJ367" s="5">
        <v>2200</v>
      </c>
      <c r="AK367" s="5" t="str">
        <f t="shared" ca="1" si="5"/>
        <v>run complete</v>
      </c>
    </row>
    <row r="368" spans="1:37">
      <c r="A368" s="32" t="s">
        <v>1215</v>
      </c>
      <c r="B368" s="32" t="s">
        <v>3950</v>
      </c>
      <c r="C368" s="32" t="s">
        <v>3951</v>
      </c>
      <c r="D368" s="32" t="s">
        <v>3701</v>
      </c>
      <c r="E368" s="34">
        <v>0</v>
      </c>
      <c r="F368" s="32" t="s">
        <v>3701</v>
      </c>
      <c r="G368" s="34">
        <v>1500</v>
      </c>
      <c r="H368" s="7">
        <v>45022</v>
      </c>
      <c r="I368" s="32" t="s">
        <v>3790</v>
      </c>
      <c r="J368" s="34">
        <v>0</v>
      </c>
      <c r="M368" s="34">
        <v>0</v>
      </c>
      <c r="N368" s="32" t="s">
        <v>3528</v>
      </c>
      <c r="O368" s="36">
        <v>4.63</v>
      </c>
      <c r="P368" s="32" t="s">
        <v>3701</v>
      </c>
      <c r="Q368" s="5" t="s">
        <v>3911</v>
      </c>
      <c r="R368" s="5" t="s">
        <v>3950</v>
      </c>
      <c r="S368" s="6">
        <v>0</v>
      </c>
      <c r="T368" s="6">
        <v>0</v>
      </c>
      <c r="U368" s="6">
        <v>0</v>
      </c>
      <c r="V368" s="7">
        <v>45022</v>
      </c>
      <c r="W368" s="7" t="s">
        <v>3790</v>
      </c>
      <c r="X368" s="7" t="s">
        <v>3790</v>
      </c>
      <c r="Y368" s="5" t="s">
        <v>4022</v>
      </c>
      <c r="Z368" s="5" t="s">
        <v>3790</v>
      </c>
      <c r="AA368" s="6">
        <v>0</v>
      </c>
      <c r="AB368" s="7" t="s">
        <v>4199</v>
      </c>
      <c r="AC368" s="7" t="str">
        <f>A368&amp;COUNTIF($A$2:A368,A368)</f>
        <v>100MR125-50001</v>
      </c>
      <c r="AD368" s="7">
        <v>44739</v>
      </c>
      <c r="AE368" s="7">
        <v>45022</v>
      </c>
      <c r="AF368" s="7">
        <v>45036</v>
      </c>
      <c r="AG368" s="5">
        <v>196</v>
      </c>
      <c r="AH368" s="5">
        <v>14</v>
      </c>
      <c r="AI368" s="5">
        <v>14</v>
      </c>
      <c r="AJ368" s="5">
        <v>1500</v>
      </c>
      <c r="AK368" s="5" t="str">
        <f t="shared" ca="1" si="5"/>
        <v>within range</v>
      </c>
    </row>
    <row r="369" spans="1:37">
      <c r="A369" s="32" t="s">
        <v>1217</v>
      </c>
      <c r="B369" s="32" t="s">
        <v>3950</v>
      </c>
      <c r="C369" s="32" t="s">
        <v>3952</v>
      </c>
      <c r="D369" s="32" t="s">
        <v>3701</v>
      </c>
      <c r="E369" s="34">
        <v>0</v>
      </c>
      <c r="F369" s="32" t="s">
        <v>3701</v>
      </c>
      <c r="G369" s="34">
        <v>1500</v>
      </c>
      <c r="H369" s="7">
        <v>45022</v>
      </c>
      <c r="I369" s="32" t="s">
        <v>3790</v>
      </c>
      <c r="J369" s="34">
        <v>0</v>
      </c>
      <c r="M369" s="34">
        <v>0</v>
      </c>
      <c r="N369" s="32" t="s">
        <v>3528</v>
      </c>
      <c r="O369" s="36">
        <v>4.63</v>
      </c>
      <c r="P369" s="32" t="s">
        <v>3701</v>
      </c>
      <c r="Q369" s="5" t="s">
        <v>3911</v>
      </c>
      <c r="R369" s="5" t="s">
        <v>3950</v>
      </c>
      <c r="S369" s="6">
        <v>0</v>
      </c>
      <c r="T369" s="6">
        <v>0</v>
      </c>
      <c r="U369" s="6">
        <v>0</v>
      </c>
      <c r="V369" s="7">
        <v>45022</v>
      </c>
      <c r="W369" s="7" t="s">
        <v>3790</v>
      </c>
      <c r="X369" s="7" t="s">
        <v>3790</v>
      </c>
      <c r="Y369" s="5" t="s">
        <v>4022</v>
      </c>
      <c r="Z369" s="5" t="s">
        <v>3790</v>
      </c>
      <c r="AA369" s="6">
        <v>0</v>
      </c>
      <c r="AB369" s="7" t="s">
        <v>4200</v>
      </c>
      <c r="AC369" s="7" t="str">
        <f>A369&amp;COUNTIF($A$2:A369,A369)</f>
        <v>100MR125-62001</v>
      </c>
      <c r="AD369" s="7">
        <v>44739</v>
      </c>
      <c r="AE369" s="7">
        <v>45022</v>
      </c>
      <c r="AF369" s="7">
        <v>45036</v>
      </c>
      <c r="AG369" s="5">
        <v>196</v>
      </c>
      <c r="AH369" s="5">
        <v>14</v>
      </c>
      <c r="AI369" s="5">
        <v>14</v>
      </c>
      <c r="AJ369" s="5">
        <v>1500</v>
      </c>
      <c r="AK369" s="5" t="str">
        <f t="shared" ca="1" si="5"/>
        <v>within range</v>
      </c>
    </row>
    <row r="370" spans="1:37">
      <c r="A370" s="32" t="s">
        <v>1220</v>
      </c>
      <c r="B370" s="32">
        <v>7205</v>
      </c>
      <c r="C370" s="32" t="s">
        <v>3683</v>
      </c>
      <c r="D370" s="32" t="s">
        <v>3663</v>
      </c>
      <c r="F370" s="32" t="s">
        <v>3661</v>
      </c>
      <c r="G370" s="34">
        <v>2500</v>
      </c>
      <c r="H370" s="7">
        <v>44975</v>
      </c>
      <c r="N370" s="32">
        <v>3</v>
      </c>
      <c r="O370" s="36">
        <v>7.48</v>
      </c>
      <c r="P370" s="32" t="s">
        <v>7512</v>
      </c>
      <c r="Q370" s="5" t="s">
        <v>3662</v>
      </c>
      <c r="R370" s="5" t="s">
        <v>6152</v>
      </c>
      <c r="S370" s="6">
        <v>0</v>
      </c>
      <c r="T370" s="6">
        <v>0</v>
      </c>
      <c r="U370" s="6">
        <v>0</v>
      </c>
      <c r="V370" s="7">
        <v>44975</v>
      </c>
      <c r="W370" s="7" t="s">
        <v>3790</v>
      </c>
      <c r="X370" s="7" t="s">
        <v>3790</v>
      </c>
      <c r="Y370" s="5" t="s">
        <v>4022</v>
      </c>
      <c r="Z370" s="5" t="s">
        <v>3790</v>
      </c>
      <c r="AA370" s="6">
        <v>0</v>
      </c>
      <c r="AB370" s="7" t="s">
        <v>6153</v>
      </c>
      <c r="AC370" s="7" t="str">
        <f>A370&amp;COUNTIF($A$2:A370,A370)</f>
        <v>100MR130-62002</v>
      </c>
      <c r="AD370" s="7">
        <v>44880</v>
      </c>
      <c r="AE370" s="7">
        <v>44975</v>
      </c>
      <c r="AF370" s="7">
        <v>45045</v>
      </c>
      <c r="AG370" s="5">
        <v>154</v>
      </c>
      <c r="AH370" s="5">
        <v>70</v>
      </c>
      <c r="AI370" s="5">
        <v>14</v>
      </c>
      <c r="AJ370" s="5">
        <v>2500</v>
      </c>
      <c r="AK370" s="5" t="str">
        <f t="shared" ca="1" si="5"/>
        <v>within range</v>
      </c>
    </row>
    <row r="371" spans="1:37">
      <c r="A371" s="32" t="s">
        <v>1249</v>
      </c>
      <c r="B371" s="32" t="s">
        <v>3958</v>
      </c>
      <c r="C371" s="32" t="s">
        <v>3959</v>
      </c>
      <c r="D371" s="32" t="s">
        <v>3701</v>
      </c>
      <c r="E371" s="34">
        <v>0</v>
      </c>
      <c r="F371" s="32" t="s">
        <v>3701</v>
      </c>
      <c r="G371" s="34">
        <v>3000</v>
      </c>
      <c r="H371" s="7">
        <v>44980</v>
      </c>
      <c r="I371" s="32" t="s">
        <v>3790</v>
      </c>
      <c r="J371" s="34">
        <v>0</v>
      </c>
      <c r="M371" s="34">
        <v>0</v>
      </c>
      <c r="N371" s="32" t="s">
        <v>3528</v>
      </c>
      <c r="O371" s="36">
        <v>4.63</v>
      </c>
      <c r="P371" s="32" t="s">
        <v>3701</v>
      </c>
      <c r="Q371" s="5" t="s">
        <v>3911</v>
      </c>
      <c r="R371" s="5" t="s">
        <v>3958</v>
      </c>
      <c r="S371" s="6">
        <v>0</v>
      </c>
      <c r="T371" s="6">
        <v>0</v>
      </c>
      <c r="U371" s="6">
        <v>0</v>
      </c>
      <c r="V371" s="7">
        <v>44980</v>
      </c>
      <c r="W371" s="7" t="s">
        <v>3790</v>
      </c>
      <c r="X371" s="7" t="s">
        <v>3790</v>
      </c>
      <c r="Y371" s="5" t="s">
        <v>4022</v>
      </c>
      <c r="Z371" s="5" t="s">
        <v>3790</v>
      </c>
      <c r="AA371" s="6">
        <v>0</v>
      </c>
      <c r="AB371" s="7" t="s">
        <v>4203</v>
      </c>
      <c r="AC371" s="7" t="str">
        <f>A371&amp;COUNTIF($A$2:A371,A371)</f>
        <v>100MT500-62001</v>
      </c>
      <c r="AD371" s="7">
        <v>44761</v>
      </c>
      <c r="AE371" s="7">
        <v>44980</v>
      </c>
      <c r="AF371" s="7">
        <v>44994</v>
      </c>
      <c r="AG371" s="5">
        <v>196</v>
      </c>
      <c r="AH371" s="5">
        <v>14</v>
      </c>
      <c r="AI371" s="5">
        <v>14</v>
      </c>
      <c r="AJ371" s="5">
        <v>3000</v>
      </c>
      <c r="AK371" s="5" t="str">
        <f t="shared" ca="1" si="5"/>
        <v>within range</v>
      </c>
    </row>
    <row r="372" spans="1:37">
      <c r="A372" s="32" t="s">
        <v>1270</v>
      </c>
      <c r="B372" s="32">
        <v>7013</v>
      </c>
      <c r="C372" s="32" t="s">
        <v>3686</v>
      </c>
      <c r="F372" s="32" t="s">
        <v>3661</v>
      </c>
      <c r="G372" s="34">
        <v>500</v>
      </c>
      <c r="H372" s="7">
        <v>44962</v>
      </c>
      <c r="N372" s="32">
        <v>3</v>
      </c>
      <c r="O372" s="36">
        <v>7.48</v>
      </c>
      <c r="P372" s="32" t="s">
        <v>7513</v>
      </c>
      <c r="Q372" s="5" t="s">
        <v>3662</v>
      </c>
      <c r="R372" s="5" t="s">
        <v>4205</v>
      </c>
      <c r="S372" s="6">
        <v>0</v>
      </c>
      <c r="T372" s="6">
        <v>0</v>
      </c>
      <c r="U372" s="6">
        <v>0</v>
      </c>
      <c r="V372" s="7">
        <v>44962</v>
      </c>
      <c r="W372" s="7" t="s">
        <v>3790</v>
      </c>
      <c r="X372" s="7" t="s">
        <v>3790</v>
      </c>
      <c r="Y372" s="5" t="s">
        <v>4022</v>
      </c>
      <c r="Z372" s="5" t="s">
        <v>3790</v>
      </c>
      <c r="AA372" s="6">
        <v>0</v>
      </c>
      <c r="AB372" s="7" t="s">
        <v>4206</v>
      </c>
      <c r="AC372" s="7" t="str">
        <f>A372&amp;COUNTIF($A$2:A372,A372)</f>
        <v>100PFA39-50001</v>
      </c>
      <c r="AD372" s="7">
        <v>44691</v>
      </c>
      <c r="AE372" s="7">
        <v>44962</v>
      </c>
      <c r="AF372" s="7">
        <v>45032</v>
      </c>
      <c r="AG372" s="5">
        <v>154</v>
      </c>
      <c r="AH372" s="5">
        <v>70</v>
      </c>
      <c r="AI372" s="5">
        <v>14</v>
      </c>
      <c r="AJ372" s="5">
        <v>500</v>
      </c>
      <c r="AK372" s="5" t="str">
        <f t="shared" ca="1" si="5"/>
        <v>within range</v>
      </c>
    </row>
    <row r="373" spans="1:37">
      <c r="A373" s="32" t="s">
        <v>1273</v>
      </c>
      <c r="B373" s="32">
        <v>7013</v>
      </c>
      <c r="C373" s="32" t="s">
        <v>3686</v>
      </c>
      <c r="D373" s="32" t="s">
        <v>3663</v>
      </c>
      <c r="F373" s="32" t="s">
        <v>3661</v>
      </c>
      <c r="G373" s="34">
        <v>2500</v>
      </c>
      <c r="H373" s="7">
        <v>44962</v>
      </c>
      <c r="N373" s="32">
        <v>3</v>
      </c>
      <c r="O373" s="36">
        <v>7.48</v>
      </c>
      <c r="P373" s="32" t="s">
        <v>7513</v>
      </c>
      <c r="Q373" s="5" t="s">
        <v>3662</v>
      </c>
      <c r="R373" s="5" t="s">
        <v>4205</v>
      </c>
      <c r="S373" s="6">
        <v>0</v>
      </c>
      <c r="T373" s="6">
        <v>0</v>
      </c>
      <c r="U373" s="6">
        <v>0</v>
      </c>
      <c r="V373" s="7">
        <v>44962</v>
      </c>
      <c r="W373" s="7" t="s">
        <v>3790</v>
      </c>
      <c r="X373" s="7" t="s">
        <v>3790</v>
      </c>
      <c r="Y373" s="5" t="s">
        <v>4022</v>
      </c>
      <c r="Z373" s="5" t="s">
        <v>3790</v>
      </c>
      <c r="AA373" s="6">
        <v>0</v>
      </c>
      <c r="AB373" s="7" t="s">
        <v>4207</v>
      </c>
      <c r="AC373" s="7" t="str">
        <f>A373&amp;COUNTIF($A$2:A373,A373)</f>
        <v>100PFA39-62002</v>
      </c>
      <c r="AD373" s="7">
        <v>44691</v>
      </c>
      <c r="AE373" s="7">
        <v>44962</v>
      </c>
      <c r="AF373" s="7">
        <v>45032</v>
      </c>
      <c r="AG373" s="5">
        <v>154</v>
      </c>
      <c r="AH373" s="5">
        <v>70</v>
      </c>
      <c r="AI373" s="5">
        <v>14</v>
      </c>
      <c r="AJ373" s="5">
        <v>2500</v>
      </c>
      <c r="AK373" s="5" t="str">
        <f t="shared" ca="1" si="5"/>
        <v>within range</v>
      </c>
    </row>
    <row r="374" spans="1:37">
      <c r="A374" s="32" t="s">
        <v>1275</v>
      </c>
      <c r="B374" s="32">
        <v>7031</v>
      </c>
      <c r="C374" s="32" t="s">
        <v>3687</v>
      </c>
      <c r="F374" s="32" t="s">
        <v>3661</v>
      </c>
      <c r="G374" s="34">
        <v>1200</v>
      </c>
      <c r="H374" s="7">
        <v>44946</v>
      </c>
      <c r="N374" s="32">
        <v>3</v>
      </c>
      <c r="O374" s="36">
        <v>6.75</v>
      </c>
      <c r="P374" s="32" t="s">
        <v>7514</v>
      </c>
      <c r="Q374" s="5" t="s">
        <v>3662</v>
      </c>
      <c r="R374" s="5" t="s">
        <v>4209</v>
      </c>
      <c r="S374" s="6">
        <v>0</v>
      </c>
      <c r="T374" s="6">
        <v>0</v>
      </c>
      <c r="U374" s="6">
        <v>0</v>
      </c>
      <c r="V374" s="7">
        <v>44946</v>
      </c>
      <c r="W374" s="7" t="s">
        <v>3790</v>
      </c>
      <c r="X374" s="7" t="s">
        <v>3790</v>
      </c>
      <c r="Y374" s="5" t="s">
        <v>4022</v>
      </c>
      <c r="Z374" s="5" t="s">
        <v>3790</v>
      </c>
      <c r="AA374" s="6">
        <v>0</v>
      </c>
      <c r="AB374" s="7" t="s">
        <v>4210</v>
      </c>
      <c r="AC374" s="7" t="str">
        <f>A374&amp;COUNTIF($A$2:A374,A374)</f>
        <v>100PFA42-50001</v>
      </c>
      <c r="AD374" s="7">
        <v>44713</v>
      </c>
      <c r="AE374" s="7">
        <v>44946</v>
      </c>
      <c r="AF374" s="7">
        <v>45016</v>
      </c>
      <c r="AG374" s="5">
        <v>154</v>
      </c>
      <c r="AH374" s="5">
        <v>70</v>
      </c>
      <c r="AI374" s="5">
        <v>14</v>
      </c>
      <c r="AJ374" s="5">
        <v>1200</v>
      </c>
      <c r="AK374" s="5" t="str">
        <f t="shared" ca="1" si="5"/>
        <v>within range</v>
      </c>
    </row>
    <row r="375" spans="1:37">
      <c r="A375" s="32" t="s">
        <v>1278</v>
      </c>
      <c r="B375" s="32">
        <v>7031</v>
      </c>
      <c r="C375" s="32" t="s">
        <v>3687</v>
      </c>
      <c r="D375" s="32" t="s">
        <v>3663</v>
      </c>
      <c r="F375" s="32" t="s">
        <v>3661</v>
      </c>
      <c r="G375" s="34">
        <v>1300</v>
      </c>
      <c r="H375" s="7">
        <v>44946</v>
      </c>
      <c r="N375" s="32">
        <v>3</v>
      </c>
      <c r="O375" s="36">
        <v>6.75</v>
      </c>
      <c r="P375" s="32" t="s">
        <v>7514</v>
      </c>
      <c r="Q375" s="5" t="s">
        <v>3662</v>
      </c>
      <c r="R375" s="5" t="s">
        <v>4209</v>
      </c>
      <c r="S375" s="6">
        <v>0</v>
      </c>
      <c r="T375" s="6">
        <v>0</v>
      </c>
      <c r="U375" s="6">
        <v>0</v>
      </c>
      <c r="V375" s="7">
        <v>44946</v>
      </c>
      <c r="W375" s="7" t="s">
        <v>3790</v>
      </c>
      <c r="X375" s="7" t="s">
        <v>3790</v>
      </c>
      <c r="Y375" s="5" t="s">
        <v>4022</v>
      </c>
      <c r="Z375" s="5" t="s">
        <v>3790</v>
      </c>
      <c r="AA375" s="6">
        <v>0</v>
      </c>
      <c r="AB375" s="7" t="s">
        <v>4211</v>
      </c>
      <c r="AC375" s="7" t="str">
        <f>A375&amp;COUNTIF($A$2:A375,A375)</f>
        <v>100PFA42-62001</v>
      </c>
      <c r="AD375" s="7">
        <v>44713</v>
      </c>
      <c r="AE375" s="7">
        <v>44946</v>
      </c>
      <c r="AF375" s="7">
        <v>45016</v>
      </c>
      <c r="AG375" s="5">
        <v>154</v>
      </c>
      <c r="AH375" s="5">
        <v>70</v>
      </c>
      <c r="AI375" s="5">
        <v>14</v>
      </c>
      <c r="AJ375" s="5">
        <v>1300</v>
      </c>
      <c r="AK375" s="5" t="str">
        <f t="shared" ca="1" si="5"/>
        <v>within range</v>
      </c>
    </row>
    <row r="376" spans="1:37">
      <c r="A376" s="32" t="s">
        <v>1285</v>
      </c>
      <c r="B376" s="32">
        <v>7031</v>
      </c>
      <c r="C376" s="32" t="s">
        <v>3688</v>
      </c>
      <c r="D376" s="32" t="s">
        <v>3663</v>
      </c>
      <c r="F376" s="32" t="s">
        <v>3661</v>
      </c>
      <c r="G376" s="34">
        <v>2500</v>
      </c>
      <c r="H376" s="7">
        <v>44946</v>
      </c>
      <c r="N376" s="32">
        <v>3</v>
      </c>
      <c r="O376" s="36">
        <v>5.86</v>
      </c>
      <c r="Q376" s="5" t="s">
        <v>3662</v>
      </c>
      <c r="R376" s="5" t="s">
        <v>4209</v>
      </c>
      <c r="S376" s="6">
        <v>0</v>
      </c>
      <c r="T376" s="6">
        <v>0</v>
      </c>
      <c r="U376" s="6">
        <v>0</v>
      </c>
      <c r="V376" s="7">
        <v>44946</v>
      </c>
      <c r="W376" s="7" t="s">
        <v>3790</v>
      </c>
      <c r="X376" s="7" t="s">
        <v>3790</v>
      </c>
      <c r="Y376" s="5" t="s">
        <v>4022</v>
      </c>
      <c r="Z376" s="5" t="s">
        <v>3790</v>
      </c>
      <c r="AA376" s="6">
        <v>0</v>
      </c>
      <c r="AB376" s="7" t="s">
        <v>4212</v>
      </c>
      <c r="AC376" s="7" t="str">
        <f>A376&amp;COUNTIF($A$2:A376,A376)</f>
        <v>100PFA51-62001</v>
      </c>
      <c r="AD376" s="7">
        <v>44713</v>
      </c>
      <c r="AE376" s="7">
        <v>44946</v>
      </c>
      <c r="AF376" s="7">
        <v>45016</v>
      </c>
      <c r="AG376" s="5">
        <v>154</v>
      </c>
      <c r="AH376" s="5">
        <v>70</v>
      </c>
      <c r="AI376" s="5">
        <v>14</v>
      </c>
      <c r="AJ376" s="5">
        <v>2500</v>
      </c>
      <c r="AK376" s="5" t="str">
        <f t="shared" ca="1" si="5"/>
        <v>within range</v>
      </c>
    </row>
    <row r="377" spans="1:37">
      <c r="A377" s="32" t="s">
        <v>1291</v>
      </c>
      <c r="B377" s="32">
        <v>7230</v>
      </c>
      <c r="C377" s="32" t="s">
        <v>3742</v>
      </c>
      <c r="G377" s="34">
        <v>13000</v>
      </c>
      <c r="H377" s="7">
        <v>45022</v>
      </c>
      <c r="N377" s="32">
        <v>6</v>
      </c>
      <c r="O377" s="36">
        <v>4.51</v>
      </c>
      <c r="P377" s="32" t="s">
        <v>7694</v>
      </c>
      <c r="Q377" s="5" t="s">
        <v>893</v>
      </c>
      <c r="R377" s="5" t="s">
        <v>7695</v>
      </c>
      <c r="S377" s="6">
        <v>0</v>
      </c>
      <c r="T377" s="6">
        <v>0</v>
      </c>
      <c r="U377" s="6">
        <v>0</v>
      </c>
      <c r="V377" s="7">
        <v>45022</v>
      </c>
      <c r="W377" s="7" t="s">
        <v>3790</v>
      </c>
      <c r="X377" s="7" t="s">
        <v>3790</v>
      </c>
      <c r="Y377" s="5" t="s">
        <v>4022</v>
      </c>
      <c r="Z377" s="5" t="s">
        <v>3790</v>
      </c>
      <c r="AA377" s="6">
        <v>0</v>
      </c>
      <c r="AB377" s="7" t="s">
        <v>7696</v>
      </c>
      <c r="AC377" s="7" t="str">
        <f>A377&amp;COUNTIF($A$2:A377,A377)</f>
        <v>100PFA60-50002</v>
      </c>
      <c r="AD377" s="7">
        <v>44922</v>
      </c>
      <c r="AE377" s="7">
        <v>45022</v>
      </c>
      <c r="AF377" s="7">
        <v>45036</v>
      </c>
      <c r="AG377" s="5">
        <v>140</v>
      </c>
      <c r="AH377" s="5">
        <v>14</v>
      </c>
      <c r="AI377" s="5">
        <v>14</v>
      </c>
      <c r="AJ377" s="5">
        <v>13000</v>
      </c>
      <c r="AK377" s="5" t="str">
        <f t="shared" ca="1" si="5"/>
        <v>within range</v>
      </c>
    </row>
    <row r="378" spans="1:37">
      <c r="A378" s="32" t="s">
        <v>1293</v>
      </c>
      <c r="B378" s="32">
        <v>7230</v>
      </c>
      <c r="C378" s="32" t="s">
        <v>3742</v>
      </c>
      <c r="G378" s="34">
        <v>2000</v>
      </c>
      <c r="H378" s="7">
        <v>45022</v>
      </c>
      <c r="N378" s="32">
        <v>6</v>
      </c>
      <c r="O378" s="36">
        <v>4.51</v>
      </c>
      <c r="P378" s="32" t="s">
        <v>7698</v>
      </c>
      <c r="Q378" s="5" t="s">
        <v>893</v>
      </c>
      <c r="R378" s="5" t="s">
        <v>7695</v>
      </c>
      <c r="S378" s="6">
        <v>0</v>
      </c>
      <c r="T378" s="6">
        <v>0</v>
      </c>
      <c r="U378" s="6">
        <v>0</v>
      </c>
      <c r="V378" s="7">
        <v>45022</v>
      </c>
      <c r="W378" s="7" t="s">
        <v>3790</v>
      </c>
      <c r="X378" s="7" t="s">
        <v>3790</v>
      </c>
      <c r="Y378" s="5" t="s">
        <v>4022</v>
      </c>
      <c r="Z378" s="5" t="s">
        <v>3790</v>
      </c>
      <c r="AA378" s="6">
        <v>0</v>
      </c>
      <c r="AB378" s="7" t="s">
        <v>7699</v>
      </c>
      <c r="AC378" s="7" t="str">
        <f>A378&amp;COUNTIF($A$2:A378,A378)</f>
        <v>100PFA60-62002</v>
      </c>
      <c r="AD378" s="7">
        <v>44922</v>
      </c>
      <c r="AE378" s="7">
        <v>45022</v>
      </c>
      <c r="AF378" s="7">
        <v>45036</v>
      </c>
      <c r="AG378" s="5">
        <v>140</v>
      </c>
      <c r="AH378" s="5">
        <v>14</v>
      </c>
      <c r="AI378" s="5">
        <v>14</v>
      </c>
      <c r="AJ378" s="5">
        <v>2000</v>
      </c>
      <c r="AK378" s="5" t="str">
        <f t="shared" ca="1" si="5"/>
        <v>within range</v>
      </c>
    </row>
    <row r="379" spans="1:37">
      <c r="A379" s="32" t="s">
        <v>1383</v>
      </c>
      <c r="B379" s="32">
        <v>7161</v>
      </c>
      <c r="C379" s="32" t="s">
        <v>3560</v>
      </c>
      <c r="E379" s="34" t="s">
        <v>3527</v>
      </c>
      <c r="F379" s="32" t="s">
        <v>5502</v>
      </c>
      <c r="G379" s="34" t="s">
        <v>3561</v>
      </c>
      <c r="H379" s="7" t="s">
        <v>6344</v>
      </c>
      <c r="I379" s="32" t="s">
        <v>3526</v>
      </c>
      <c r="J379" s="34" t="s">
        <v>6345</v>
      </c>
      <c r="K379" s="7" t="s">
        <v>6397</v>
      </c>
      <c r="N379" s="32" t="s">
        <v>3528</v>
      </c>
      <c r="O379" s="36" t="s">
        <v>5238</v>
      </c>
      <c r="Q379" s="5" t="s">
        <v>5429</v>
      </c>
      <c r="R379" s="5" t="s">
        <v>5987</v>
      </c>
      <c r="S379" s="6">
        <v>0</v>
      </c>
      <c r="T379" s="6">
        <v>0</v>
      </c>
      <c r="U379" s="6">
        <v>1501</v>
      </c>
      <c r="V379" s="7">
        <v>44882</v>
      </c>
      <c r="W379" s="7">
        <v>44921</v>
      </c>
      <c r="X379" s="7" t="s">
        <v>3790</v>
      </c>
      <c r="Y379" s="5" t="s">
        <v>4022</v>
      </c>
      <c r="Z379" s="5" t="s">
        <v>3790</v>
      </c>
      <c r="AA379" s="6">
        <v>0</v>
      </c>
      <c r="AB379" s="7" t="s">
        <v>5988</v>
      </c>
      <c r="AC379" s="7" t="str">
        <f>A379&amp;COUNTIF($A$2:A379,A379)</f>
        <v>100SB027-50001</v>
      </c>
      <c r="AD379" s="7">
        <v>44844</v>
      </c>
      <c r="AE379" s="7">
        <v>44921</v>
      </c>
      <c r="AF379" s="7">
        <v>44935</v>
      </c>
      <c r="AG379" s="5">
        <v>91</v>
      </c>
      <c r="AH379" s="5">
        <v>56</v>
      </c>
      <c r="AI379" s="5">
        <v>14</v>
      </c>
      <c r="AJ379" s="5">
        <v>1649</v>
      </c>
      <c r="AK379" s="5" t="str">
        <f t="shared" ca="1" si="5"/>
        <v>run complete</v>
      </c>
    </row>
    <row r="380" spans="1:37">
      <c r="A380" s="32" t="s">
        <v>1385</v>
      </c>
      <c r="B380" s="32">
        <v>7161</v>
      </c>
      <c r="C380" s="32" t="s">
        <v>3560</v>
      </c>
      <c r="E380" s="34" t="s">
        <v>3527</v>
      </c>
      <c r="F380" s="32" t="s">
        <v>5502</v>
      </c>
      <c r="G380" s="34" t="s">
        <v>3561</v>
      </c>
      <c r="H380" s="7" t="s">
        <v>6344</v>
      </c>
      <c r="I380" s="32" t="s">
        <v>3526</v>
      </c>
      <c r="J380" s="34" t="s">
        <v>6346</v>
      </c>
      <c r="K380" s="7" t="s">
        <v>6397</v>
      </c>
      <c r="M380" s="34" t="s">
        <v>6320</v>
      </c>
      <c r="N380" s="32" t="s">
        <v>3528</v>
      </c>
      <c r="O380" s="36" t="s">
        <v>5238</v>
      </c>
      <c r="Q380" s="5" t="s">
        <v>5429</v>
      </c>
      <c r="R380" s="5" t="s">
        <v>5987</v>
      </c>
      <c r="S380" s="6">
        <v>0</v>
      </c>
      <c r="T380" s="6">
        <v>-46</v>
      </c>
      <c r="U380" s="6">
        <v>1695</v>
      </c>
      <c r="V380" s="7">
        <v>44882</v>
      </c>
      <c r="W380" s="7">
        <v>44921</v>
      </c>
      <c r="X380" s="7" t="s">
        <v>3790</v>
      </c>
      <c r="Y380" s="5" t="s">
        <v>4022</v>
      </c>
      <c r="Z380" s="5" t="s">
        <v>3790</v>
      </c>
      <c r="AA380" s="6">
        <v>-46</v>
      </c>
      <c r="AB380" s="7" t="s">
        <v>5989</v>
      </c>
      <c r="AC380" s="7" t="str">
        <f>A380&amp;COUNTIF($A$2:A380,A380)</f>
        <v>100SB027-62001</v>
      </c>
      <c r="AD380" s="7">
        <v>44844</v>
      </c>
      <c r="AE380" s="7">
        <v>44921</v>
      </c>
      <c r="AF380" s="7">
        <v>44935</v>
      </c>
      <c r="AG380" s="5">
        <v>91</v>
      </c>
      <c r="AH380" s="5">
        <v>56</v>
      </c>
      <c r="AI380" s="5">
        <v>14</v>
      </c>
      <c r="AJ380" s="5">
        <v>1649</v>
      </c>
      <c r="AK380" s="5" t="str">
        <f t="shared" ca="1" si="5"/>
        <v>run complete</v>
      </c>
    </row>
    <row r="381" spans="1:37">
      <c r="A381" s="32" t="s">
        <v>1388</v>
      </c>
      <c r="B381" s="32" t="s">
        <v>7700</v>
      </c>
      <c r="C381" s="32" t="s">
        <v>1389</v>
      </c>
      <c r="D381" s="32" t="s">
        <v>3790</v>
      </c>
      <c r="E381" s="34" t="s">
        <v>3527</v>
      </c>
      <c r="F381" s="32" t="s">
        <v>3790</v>
      </c>
      <c r="G381" s="34" t="s">
        <v>6328</v>
      </c>
      <c r="H381" s="7" t="s">
        <v>7701</v>
      </c>
      <c r="I381" s="32" t="s">
        <v>3790</v>
      </c>
      <c r="J381" s="34" t="s">
        <v>3790</v>
      </c>
      <c r="K381" s="7" t="s">
        <v>3790</v>
      </c>
      <c r="L381" s="7" t="s">
        <v>7702</v>
      </c>
      <c r="M381" s="34" t="s">
        <v>3527</v>
      </c>
      <c r="N381" s="32" t="s">
        <v>3528</v>
      </c>
      <c r="O381" s="36">
        <v>6.17</v>
      </c>
      <c r="P381" s="32" t="s">
        <v>3790</v>
      </c>
      <c r="Q381" s="5" t="s">
        <v>3792</v>
      </c>
      <c r="R381" s="5" t="s">
        <v>7700</v>
      </c>
      <c r="S381" s="6">
        <v>0</v>
      </c>
      <c r="T381" s="6">
        <v>0</v>
      </c>
      <c r="U381" s="6">
        <v>0</v>
      </c>
      <c r="V381" s="7">
        <v>44998</v>
      </c>
      <c r="W381" s="7" t="s">
        <v>3790</v>
      </c>
      <c r="X381" s="7">
        <v>45122</v>
      </c>
      <c r="Y381" s="5" t="s">
        <v>4022</v>
      </c>
      <c r="Z381" s="5" t="s">
        <v>3790</v>
      </c>
      <c r="AA381" s="6">
        <v>0</v>
      </c>
      <c r="AB381" s="7" t="s">
        <v>7703</v>
      </c>
      <c r="AC381" s="7" t="str">
        <f>A381&amp;COUNTIF($A$2:A381,A381)</f>
        <v>100SB040-50001</v>
      </c>
      <c r="AD381" s="7">
        <v>44924</v>
      </c>
      <c r="AE381" s="7">
        <v>44998</v>
      </c>
      <c r="AF381" s="7">
        <v>45005</v>
      </c>
      <c r="AG381" s="5">
        <v>70</v>
      </c>
      <c r="AH381" s="5">
        <v>7</v>
      </c>
      <c r="AI381" s="5">
        <v>14</v>
      </c>
      <c r="AJ381" s="5">
        <v>1300</v>
      </c>
      <c r="AK381" s="5" t="str">
        <f t="shared" ca="1" si="5"/>
        <v>within range</v>
      </c>
    </row>
    <row r="382" spans="1:37">
      <c r="A382" s="32" t="s">
        <v>1391</v>
      </c>
      <c r="B382" s="32" t="s">
        <v>7700</v>
      </c>
      <c r="C382" s="32" t="s">
        <v>1389</v>
      </c>
      <c r="D382" s="32" t="s">
        <v>3790</v>
      </c>
      <c r="E382" s="34" t="s">
        <v>3527</v>
      </c>
      <c r="F382" s="32" t="s">
        <v>3790</v>
      </c>
      <c r="G382" s="34" t="s">
        <v>3531</v>
      </c>
      <c r="H382" s="7" t="s">
        <v>7701</v>
      </c>
      <c r="I382" s="32" t="s">
        <v>3790</v>
      </c>
      <c r="J382" s="34" t="s">
        <v>3790</v>
      </c>
      <c r="K382" s="7" t="s">
        <v>3790</v>
      </c>
      <c r="L382" s="7" t="s">
        <v>7702</v>
      </c>
      <c r="M382" s="34" t="s">
        <v>3527</v>
      </c>
      <c r="N382" s="32" t="s">
        <v>3528</v>
      </c>
      <c r="O382" s="36">
        <v>6.17</v>
      </c>
      <c r="P382" s="32" t="s">
        <v>3790</v>
      </c>
      <c r="Q382" s="5" t="s">
        <v>3792</v>
      </c>
      <c r="R382" s="5" t="s">
        <v>7700</v>
      </c>
      <c r="S382" s="6">
        <v>0</v>
      </c>
      <c r="T382" s="6">
        <v>0</v>
      </c>
      <c r="U382" s="6">
        <v>0</v>
      </c>
      <c r="V382" s="7">
        <v>44998</v>
      </c>
      <c r="W382" s="7" t="s">
        <v>3790</v>
      </c>
      <c r="X382" s="7">
        <v>45122</v>
      </c>
      <c r="Y382" s="5" t="s">
        <v>4022</v>
      </c>
      <c r="Z382" s="5" t="s">
        <v>3790</v>
      </c>
      <c r="AA382" s="6">
        <v>0</v>
      </c>
      <c r="AB382" s="7" t="s">
        <v>7704</v>
      </c>
      <c r="AC382" s="7" t="str">
        <f>A382&amp;COUNTIF($A$2:A382,A382)</f>
        <v>100SB040-62001</v>
      </c>
      <c r="AD382" s="7">
        <v>44924</v>
      </c>
      <c r="AE382" s="7">
        <v>44998</v>
      </c>
      <c r="AF382" s="7">
        <v>45005</v>
      </c>
      <c r="AG382" s="5">
        <v>70</v>
      </c>
      <c r="AH382" s="5">
        <v>7</v>
      </c>
      <c r="AI382" s="5">
        <v>14</v>
      </c>
      <c r="AJ382" s="5">
        <v>2200</v>
      </c>
      <c r="AK382" s="5" t="str">
        <f t="shared" ca="1" si="5"/>
        <v>within range</v>
      </c>
    </row>
    <row r="383" spans="1:37">
      <c r="A383" s="32" t="s">
        <v>1404</v>
      </c>
      <c r="B383" s="32" t="s">
        <v>5506</v>
      </c>
      <c r="C383" s="32" t="s">
        <v>1402</v>
      </c>
      <c r="D383" s="32" t="s">
        <v>3790</v>
      </c>
      <c r="E383" s="34" t="s">
        <v>3527</v>
      </c>
      <c r="F383" s="32" t="s">
        <v>3790</v>
      </c>
      <c r="G383" s="34" t="s">
        <v>3574</v>
      </c>
      <c r="H383" s="7" t="s">
        <v>7580</v>
      </c>
      <c r="I383" s="32" t="s">
        <v>3790</v>
      </c>
      <c r="J383" s="34" t="s">
        <v>3790</v>
      </c>
      <c r="K383" s="7" t="s">
        <v>3790</v>
      </c>
      <c r="L383" s="7" t="s">
        <v>7581</v>
      </c>
      <c r="M383" s="34" t="s">
        <v>3527</v>
      </c>
      <c r="N383" s="32" t="s">
        <v>3528</v>
      </c>
      <c r="O383" s="36">
        <v>4.2699999999999996</v>
      </c>
      <c r="P383" s="32" t="s">
        <v>3790</v>
      </c>
      <c r="Q383" s="5" t="s">
        <v>3792</v>
      </c>
      <c r="R383" s="5" t="s">
        <v>5506</v>
      </c>
      <c r="S383" s="6">
        <v>0</v>
      </c>
      <c r="T383" s="6">
        <v>0</v>
      </c>
      <c r="U383" s="6">
        <v>0</v>
      </c>
      <c r="V383" s="7">
        <v>44942</v>
      </c>
      <c r="W383" s="7" t="s">
        <v>3790</v>
      </c>
      <c r="X383" s="7">
        <v>45078</v>
      </c>
      <c r="Y383" s="5" t="s">
        <v>4022</v>
      </c>
      <c r="Z383" s="5" t="s">
        <v>3790</v>
      </c>
      <c r="AA383" s="6">
        <v>0</v>
      </c>
      <c r="AB383" s="7" t="s">
        <v>5507</v>
      </c>
      <c r="AC383" s="7" t="str">
        <f>A383&amp;COUNTIF($A$2:A383,A383)</f>
        <v>100SG203-50001</v>
      </c>
      <c r="AD383" s="7">
        <v>44844</v>
      </c>
      <c r="AE383" s="7">
        <v>44942</v>
      </c>
      <c r="AF383" s="7">
        <v>44949</v>
      </c>
      <c r="AG383" s="5">
        <v>70</v>
      </c>
      <c r="AH383" s="5">
        <v>7</v>
      </c>
      <c r="AI383" s="5">
        <v>14</v>
      </c>
      <c r="AJ383" s="5">
        <v>2500</v>
      </c>
      <c r="AK383" s="5" t="str">
        <f t="shared" ca="1" si="5"/>
        <v>within range</v>
      </c>
    </row>
    <row r="384" spans="1:37">
      <c r="A384" s="32" t="s">
        <v>1405</v>
      </c>
      <c r="B384" s="32" t="s">
        <v>5506</v>
      </c>
      <c r="C384" s="32" t="s">
        <v>1402</v>
      </c>
      <c r="D384" s="32" t="s">
        <v>3790</v>
      </c>
      <c r="E384" s="34" t="s">
        <v>3527</v>
      </c>
      <c r="F384" s="32" t="s">
        <v>3790</v>
      </c>
      <c r="G384" s="34" t="s">
        <v>3802</v>
      </c>
      <c r="H384" s="7" t="s">
        <v>7580</v>
      </c>
      <c r="I384" s="32" t="s">
        <v>3790</v>
      </c>
      <c r="J384" s="34" t="s">
        <v>3790</v>
      </c>
      <c r="K384" s="7" t="s">
        <v>3790</v>
      </c>
      <c r="L384" s="7" t="s">
        <v>7581</v>
      </c>
      <c r="M384" s="34" t="s">
        <v>3527</v>
      </c>
      <c r="N384" s="32" t="s">
        <v>3528</v>
      </c>
      <c r="O384" s="36">
        <v>4.2699999999999996</v>
      </c>
      <c r="P384" s="32" t="s">
        <v>3790</v>
      </c>
      <c r="Q384" s="5" t="s">
        <v>3792</v>
      </c>
      <c r="R384" s="5" t="s">
        <v>5506</v>
      </c>
      <c r="S384" s="6">
        <v>0</v>
      </c>
      <c r="T384" s="6">
        <v>0</v>
      </c>
      <c r="U384" s="6">
        <v>0</v>
      </c>
      <c r="V384" s="7">
        <v>44942</v>
      </c>
      <c r="W384" s="7" t="s">
        <v>3790</v>
      </c>
      <c r="X384" s="7">
        <v>45078</v>
      </c>
      <c r="Y384" s="5" t="s">
        <v>4022</v>
      </c>
      <c r="Z384" s="5" t="s">
        <v>3790</v>
      </c>
      <c r="AA384" s="6">
        <v>0</v>
      </c>
      <c r="AB384" s="7" t="s">
        <v>5508</v>
      </c>
      <c r="AC384" s="7" t="str">
        <f>A384&amp;COUNTIF($A$2:A384,A384)</f>
        <v>100SG203-62001</v>
      </c>
      <c r="AD384" s="7">
        <v>44844</v>
      </c>
      <c r="AE384" s="7">
        <v>44942</v>
      </c>
      <c r="AF384" s="7">
        <v>44949</v>
      </c>
      <c r="AG384" s="5">
        <v>70</v>
      </c>
      <c r="AH384" s="5">
        <v>7</v>
      </c>
      <c r="AI384" s="5">
        <v>14</v>
      </c>
      <c r="AJ384" s="5">
        <v>1000</v>
      </c>
      <c r="AK384" s="5" t="str">
        <f t="shared" ca="1" si="5"/>
        <v>within range</v>
      </c>
    </row>
    <row r="385" spans="1:37">
      <c r="A385" s="32" t="s">
        <v>1411</v>
      </c>
      <c r="B385" s="32" t="s">
        <v>5991</v>
      </c>
      <c r="C385" s="32" t="s">
        <v>1412</v>
      </c>
      <c r="D385" s="32" t="s">
        <v>3790</v>
      </c>
      <c r="E385" s="34" t="s">
        <v>3527</v>
      </c>
      <c r="F385" s="32" t="s">
        <v>3790</v>
      </c>
      <c r="G385" s="34" t="s">
        <v>3835</v>
      </c>
      <c r="H385" s="7" t="s">
        <v>6397</v>
      </c>
      <c r="I385" s="32" t="s">
        <v>3790</v>
      </c>
      <c r="J385" s="34" t="s">
        <v>3790</v>
      </c>
      <c r="K385" s="7" t="s">
        <v>3790</v>
      </c>
      <c r="L385" s="7" t="s">
        <v>5963</v>
      </c>
      <c r="M385" s="34" t="s">
        <v>5275</v>
      </c>
      <c r="N385" s="32" t="s">
        <v>3528</v>
      </c>
      <c r="O385" s="36">
        <v>4.71</v>
      </c>
      <c r="P385" s="32" t="s">
        <v>3790</v>
      </c>
      <c r="Q385" s="5" t="s">
        <v>3792</v>
      </c>
      <c r="R385" s="5" t="s">
        <v>5991</v>
      </c>
      <c r="S385" s="6">
        <v>0</v>
      </c>
      <c r="T385" s="6">
        <v>0</v>
      </c>
      <c r="U385" s="6">
        <v>0</v>
      </c>
      <c r="V385" s="7">
        <v>44921</v>
      </c>
      <c r="W385" s="7" t="s">
        <v>3790</v>
      </c>
      <c r="X385" s="7">
        <v>45069</v>
      </c>
      <c r="Y385" s="5" t="s">
        <v>4022</v>
      </c>
      <c r="Z385" s="5" t="s">
        <v>3790</v>
      </c>
      <c r="AA385" s="6">
        <v>0</v>
      </c>
      <c r="AB385" s="7" t="s">
        <v>5992</v>
      </c>
      <c r="AC385" s="7" t="str">
        <f>A385&amp;COUNTIF($A$2:A385,A385)</f>
        <v>100SG208-50001</v>
      </c>
      <c r="AD385" s="7">
        <v>44869</v>
      </c>
      <c r="AE385" s="7">
        <v>44921</v>
      </c>
      <c r="AF385" s="7">
        <v>44928</v>
      </c>
      <c r="AG385" s="5">
        <v>70</v>
      </c>
      <c r="AH385" s="5">
        <v>7</v>
      </c>
      <c r="AI385" s="5">
        <v>14</v>
      </c>
      <c r="AJ385" s="5">
        <v>1750</v>
      </c>
      <c r="AK385" s="5" t="str">
        <f t="shared" ca="1" si="5"/>
        <v>Past Due</v>
      </c>
    </row>
    <row r="386" spans="1:37">
      <c r="A386" s="32" t="s">
        <v>1414</v>
      </c>
      <c r="B386" s="32" t="s">
        <v>5991</v>
      </c>
      <c r="C386" s="32" t="s">
        <v>1412</v>
      </c>
      <c r="D386" s="32" t="s">
        <v>3790</v>
      </c>
      <c r="E386" s="34" t="s">
        <v>3527</v>
      </c>
      <c r="F386" s="32" t="s">
        <v>3790</v>
      </c>
      <c r="G386" s="34" t="s">
        <v>3835</v>
      </c>
      <c r="H386" s="7" t="s">
        <v>6397</v>
      </c>
      <c r="I386" s="32" t="s">
        <v>3790</v>
      </c>
      <c r="J386" s="34" t="s">
        <v>3790</v>
      </c>
      <c r="K386" s="7" t="s">
        <v>3790</v>
      </c>
      <c r="L386" s="7" t="s">
        <v>5963</v>
      </c>
      <c r="M386" s="34" t="s">
        <v>7705</v>
      </c>
      <c r="N386" s="32" t="s">
        <v>3528</v>
      </c>
      <c r="O386" s="36">
        <v>4.71</v>
      </c>
      <c r="P386" s="32" t="s">
        <v>3790</v>
      </c>
      <c r="Q386" s="5" t="s">
        <v>3792</v>
      </c>
      <c r="R386" s="5" t="s">
        <v>5991</v>
      </c>
      <c r="S386" s="6">
        <v>0</v>
      </c>
      <c r="T386" s="6">
        <v>0</v>
      </c>
      <c r="U386" s="6">
        <v>0</v>
      </c>
      <c r="V386" s="7">
        <v>44921</v>
      </c>
      <c r="W386" s="7" t="s">
        <v>3790</v>
      </c>
      <c r="X386" s="7">
        <v>45069</v>
      </c>
      <c r="Y386" s="5" t="s">
        <v>4022</v>
      </c>
      <c r="Z386" s="5" t="s">
        <v>3790</v>
      </c>
      <c r="AA386" s="6">
        <v>0</v>
      </c>
      <c r="AB386" s="7" t="s">
        <v>5993</v>
      </c>
      <c r="AC386" s="7" t="str">
        <f>A386&amp;COUNTIF($A$2:A386,A386)</f>
        <v>100SG208-62002</v>
      </c>
      <c r="AD386" s="7">
        <v>44869</v>
      </c>
      <c r="AE386" s="7">
        <v>44921</v>
      </c>
      <c r="AF386" s="7">
        <v>44928</v>
      </c>
      <c r="AG386" s="5">
        <v>70</v>
      </c>
      <c r="AH386" s="5">
        <v>7</v>
      </c>
      <c r="AI386" s="5">
        <v>14</v>
      </c>
      <c r="AJ386" s="5">
        <v>1750</v>
      </c>
      <c r="AK386" s="5" t="str">
        <f t="shared" ref="AK386:AK449" ca="1" si="6">IFERROR(IF(OR(U386&lt;&gt;0,W386&lt;&gt;"",Y386="releasable",I386&lt;&gt;"",SUM(S386:T386)&gt;0),"run complete",IF(AND(Y386="not releasable",I386="",U386=0,V386&lt;TODAY()),"Past Due","within range")),"missing supplier data")</f>
        <v>Past Due</v>
      </c>
    </row>
    <row r="387" spans="1:37">
      <c r="A387" s="32" t="s">
        <v>1415</v>
      </c>
      <c r="B387" s="32" t="s">
        <v>3905</v>
      </c>
      <c r="C387" s="32" t="s">
        <v>5892</v>
      </c>
      <c r="D387" s="32" t="s">
        <v>3790</v>
      </c>
      <c r="E387" s="34" t="s">
        <v>3790</v>
      </c>
      <c r="F387" s="32" t="s">
        <v>3906</v>
      </c>
      <c r="G387" s="34">
        <v>1400</v>
      </c>
      <c r="H387" s="7" t="s">
        <v>7515</v>
      </c>
      <c r="I387" s="32" t="s">
        <v>3526</v>
      </c>
      <c r="J387" s="34">
        <v>1111.1298004800001</v>
      </c>
      <c r="K387" s="7" t="s">
        <v>3790</v>
      </c>
      <c r="L387" s="7" t="s">
        <v>5255</v>
      </c>
      <c r="M387" s="34" t="s">
        <v>3790</v>
      </c>
      <c r="N387" s="32" t="s">
        <v>3532</v>
      </c>
      <c r="O387" s="36">
        <v>4.71</v>
      </c>
      <c r="Q387" s="5" t="s">
        <v>3900</v>
      </c>
      <c r="R387" s="5" t="s">
        <v>3905</v>
      </c>
      <c r="S387" s="6">
        <v>0</v>
      </c>
      <c r="T387" s="6">
        <v>0</v>
      </c>
      <c r="U387" s="6">
        <v>1111</v>
      </c>
      <c r="V387" s="7">
        <v>44805</v>
      </c>
      <c r="W387" s="7" t="s">
        <v>3790</v>
      </c>
      <c r="X387" s="7">
        <v>44880</v>
      </c>
      <c r="Y387" s="5" t="s">
        <v>4022</v>
      </c>
      <c r="Z387" s="5" t="s">
        <v>3790</v>
      </c>
      <c r="AA387" s="6">
        <v>0</v>
      </c>
      <c r="AB387" s="7" t="s">
        <v>4219</v>
      </c>
      <c r="AC387" s="7" t="str">
        <f>A387&amp;COUNTIF($A$2:A387,A387)</f>
        <v>100SG210-50001</v>
      </c>
      <c r="AD387" s="7">
        <v>44733</v>
      </c>
      <c r="AE387" s="7">
        <v>44805</v>
      </c>
      <c r="AF387" s="7">
        <v>44868</v>
      </c>
      <c r="AG387" s="5">
        <v>147</v>
      </c>
      <c r="AH387" s="5">
        <v>63</v>
      </c>
      <c r="AI387" s="5">
        <v>14</v>
      </c>
      <c r="AJ387" s="5">
        <v>1400</v>
      </c>
      <c r="AK387" s="5" t="str">
        <f t="shared" ca="1" si="6"/>
        <v>run complete</v>
      </c>
    </row>
    <row r="388" spans="1:37">
      <c r="A388" s="32" t="s">
        <v>1418</v>
      </c>
      <c r="B388" s="32" t="s">
        <v>3905</v>
      </c>
      <c r="C388" s="32" t="s">
        <v>5892</v>
      </c>
      <c r="D388" s="32" t="s">
        <v>3790</v>
      </c>
      <c r="E388" s="34" t="s">
        <v>3790</v>
      </c>
      <c r="F388" s="32" t="s">
        <v>3906</v>
      </c>
      <c r="G388" s="34">
        <v>800</v>
      </c>
      <c r="H388" s="7" t="s">
        <v>7515</v>
      </c>
      <c r="I388" s="32" t="s">
        <v>3526</v>
      </c>
      <c r="J388" s="34">
        <v>950.19234921999998</v>
      </c>
      <c r="K388" s="7" t="s">
        <v>3790</v>
      </c>
      <c r="L388" s="7" t="s">
        <v>5255</v>
      </c>
      <c r="M388" s="34" t="s">
        <v>3790</v>
      </c>
      <c r="N388" s="32" t="s">
        <v>3532</v>
      </c>
      <c r="O388" s="36">
        <v>4.71</v>
      </c>
      <c r="Q388" s="5" t="s">
        <v>3900</v>
      </c>
      <c r="R388" s="5" t="s">
        <v>3905</v>
      </c>
      <c r="S388" s="6">
        <v>0</v>
      </c>
      <c r="T388" s="6">
        <v>0</v>
      </c>
      <c r="U388" s="6">
        <v>950</v>
      </c>
      <c r="V388" s="7">
        <v>44805</v>
      </c>
      <c r="W388" s="7" t="s">
        <v>3790</v>
      </c>
      <c r="X388" s="7">
        <v>44880</v>
      </c>
      <c r="Y388" s="5" t="s">
        <v>4022</v>
      </c>
      <c r="Z388" s="5" t="s">
        <v>3790</v>
      </c>
      <c r="AA388" s="6">
        <v>0</v>
      </c>
      <c r="AB388" s="7" t="s">
        <v>4220</v>
      </c>
      <c r="AC388" s="7" t="str">
        <f>A388&amp;COUNTIF($A$2:A388,A388)</f>
        <v>100SG210-62001</v>
      </c>
      <c r="AD388" s="7">
        <v>44733</v>
      </c>
      <c r="AE388" s="7">
        <v>44805</v>
      </c>
      <c r="AF388" s="7">
        <v>44868</v>
      </c>
      <c r="AG388" s="5">
        <v>147</v>
      </c>
      <c r="AH388" s="5">
        <v>63</v>
      </c>
      <c r="AI388" s="5">
        <v>14</v>
      </c>
      <c r="AJ388" s="5">
        <v>800</v>
      </c>
      <c r="AK388" s="5" t="str">
        <f t="shared" ca="1" si="6"/>
        <v>run complete</v>
      </c>
    </row>
    <row r="389" spans="1:37">
      <c r="A389" s="32" t="s">
        <v>1426</v>
      </c>
      <c r="B389" s="32" t="s">
        <v>5510</v>
      </c>
      <c r="C389" s="32" t="s">
        <v>1424</v>
      </c>
      <c r="D389" s="32" t="s">
        <v>3790</v>
      </c>
      <c r="E389" s="34" t="s">
        <v>3527</v>
      </c>
      <c r="F389" s="32" t="s">
        <v>3790</v>
      </c>
      <c r="G389" s="34" t="s">
        <v>3569</v>
      </c>
      <c r="H389" s="7" t="s">
        <v>6332</v>
      </c>
      <c r="I389" s="32" t="s">
        <v>3790</v>
      </c>
      <c r="J389" s="34" t="s">
        <v>3790</v>
      </c>
      <c r="K389" s="7" t="s">
        <v>3790</v>
      </c>
      <c r="L389" s="7" t="s">
        <v>7582</v>
      </c>
      <c r="M389" s="34" t="s">
        <v>3527</v>
      </c>
      <c r="N389" s="32" t="s">
        <v>3528</v>
      </c>
      <c r="O389" s="36">
        <v>5.66</v>
      </c>
      <c r="P389" s="32" t="s">
        <v>3790</v>
      </c>
      <c r="Q389" s="5" t="s">
        <v>3792</v>
      </c>
      <c r="R389" s="5" t="s">
        <v>5510</v>
      </c>
      <c r="S389" s="6">
        <v>0</v>
      </c>
      <c r="T389" s="6">
        <v>0</v>
      </c>
      <c r="U389" s="6">
        <v>0</v>
      </c>
      <c r="V389" s="7">
        <v>44977</v>
      </c>
      <c r="W389" s="7" t="s">
        <v>3790</v>
      </c>
      <c r="X389" s="7">
        <v>45111</v>
      </c>
      <c r="Y389" s="5" t="s">
        <v>4022</v>
      </c>
      <c r="Z389" s="5" t="s">
        <v>3790</v>
      </c>
      <c r="AA389" s="6">
        <v>0</v>
      </c>
      <c r="AB389" s="7" t="s">
        <v>5511</v>
      </c>
      <c r="AC389" s="7" t="str">
        <f>A389&amp;COUNTIF($A$2:A389,A389)</f>
        <v>100SG213-50001</v>
      </c>
      <c r="AD389" s="7">
        <v>44838</v>
      </c>
      <c r="AE389" s="7">
        <v>44977</v>
      </c>
      <c r="AF389" s="7">
        <v>44984</v>
      </c>
      <c r="AG389" s="5">
        <v>70</v>
      </c>
      <c r="AH389" s="5">
        <v>7</v>
      </c>
      <c r="AI389" s="5">
        <v>14</v>
      </c>
      <c r="AJ389" s="5">
        <v>2000</v>
      </c>
      <c r="AK389" s="5" t="str">
        <f t="shared" ca="1" si="6"/>
        <v>within range</v>
      </c>
    </row>
    <row r="390" spans="1:37">
      <c r="A390" s="32" t="s">
        <v>1427</v>
      </c>
      <c r="B390" s="32" t="s">
        <v>5510</v>
      </c>
      <c r="C390" s="32" t="s">
        <v>1424</v>
      </c>
      <c r="D390" s="32" t="s">
        <v>3790</v>
      </c>
      <c r="E390" s="34" t="s">
        <v>3527</v>
      </c>
      <c r="F390" s="32" t="s">
        <v>3790</v>
      </c>
      <c r="G390" s="34" t="s">
        <v>3803</v>
      </c>
      <c r="H390" s="7" t="s">
        <v>6332</v>
      </c>
      <c r="I390" s="32" t="s">
        <v>3790</v>
      </c>
      <c r="J390" s="34" t="s">
        <v>3790</v>
      </c>
      <c r="K390" s="7" t="s">
        <v>3790</v>
      </c>
      <c r="L390" s="7" t="s">
        <v>7582</v>
      </c>
      <c r="M390" s="34" t="s">
        <v>3527</v>
      </c>
      <c r="N390" s="32" t="s">
        <v>3528</v>
      </c>
      <c r="O390" s="36">
        <v>5.66</v>
      </c>
      <c r="P390" s="32" t="s">
        <v>3790</v>
      </c>
      <c r="Q390" s="5" t="s">
        <v>3792</v>
      </c>
      <c r="R390" s="5" t="s">
        <v>5510</v>
      </c>
      <c r="S390" s="6">
        <v>0</v>
      </c>
      <c r="T390" s="6">
        <v>0</v>
      </c>
      <c r="U390" s="6">
        <v>0</v>
      </c>
      <c r="V390" s="7">
        <v>44977</v>
      </c>
      <c r="W390" s="7" t="s">
        <v>3790</v>
      </c>
      <c r="X390" s="7">
        <v>45111</v>
      </c>
      <c r="Y390" s="5" t="s">
        <v>4022</v>
      </c>
      <c r="Z390" s="5" t="s">
        <v>3790</v>
      </c>
      <c r="AA390" s="6">
        <v>0</v>
      </c>
      <c r="AB390" s="7" t="s">
        <v>5512</v>
      </c>
      <c r="AC390" s="7" t="str">
        <f>A390&amp;COUNTIF($A$2:A390,A390)</f>
        <v>100SG213-62001</v>
      </c>
      <c r="AD390" s="7">
        <v>44838</v>
      </c>
      <c r="AE390" s="7">
        <v>44977</v>
      </c>
      <c r="AF390" s="7">
        <v>44984</v>
      </c>
      <c r="AG390" s="5">
        <v>70</v>
      </c>
      <c r="AH390" s="5">
        <v>7</v>
      </c>
      <c r="AI390" s="5">
        <v>14</v>
      </c>
      <c r="AJ390" s="5">
        <v>1500</v>
      </c>
      <c r="AK390" s="5" t="str">
        <f t="shared" ca="1" si="6"/>
        <v>within range</v>
      </c>
    </row>
    <row r="391" spans="1:37">
      <c r="A391" s="32" t="s">
        <v>1428</v>
      </c>
      <c r="B391" s="32" t="s">
        <v>5513</v>
      </c>
      <c r="C391" s="32" t="s">
        <v>5893</v>
      </c>
      <c r="D391" s="32" t="s">
        <v>3790</v>
      </c>
      <c r="E391" s="34" t="s">
        <v>3790</v>
      </c>
      <c r="F391" s="32" t="s">
        <v>3790</v>
      </c>
      <c r="G391" s="34">
        <v>5500</v>
      </c>
      <c r="H391" s="7" t="s">
        <v>5867</v>
      </c>
      <c r="I391" s="32" t="s">
        <v>3790</v>
      </c>
      <c r="J391" s="34" t="s">
        <v>3790</v>
      </c>
      <c r="K391" s="7" t="s">
        <v>3790</v>
      </c>
      <c r="L391" s="7" t="s">
        <v>6391</v>
      </c>
      <c r="M391" s="34" t="s">
        <v>3790</v>
      </c>
      <c r="N391" s="32" t="s">
        <v>3532</v>
      </c>
      <c r="O391" s="36">
        <v>3.03</v>
      </c>
      <c r="Q391" s="5" t="s">
        <v>3900</v>
      </c>
      <c r="R391" s="5" t="s">
        <v>5513</v>
      </c>
      <c r="S391" s="6">
        <v>0</v>
      </c>
      <c r="T391" s="6">
        <v>0</v>
      </c>
      <c r="U391" s="6">
        <v>0</v>
      </c>
      <c r="V391" s="7">
        <v>44951</v>
      </c>
      <c r="W391" s="7" t="s">
        <v>3790</v>
      </c>
      <c r="X391" s="7">
        <v>45026</v>
      </c>
      <c r="Y391" s="5" t="s">
        <v>4022</v>
      </c>
      <c r="Z391" s="5" t="s">
        <v>3790</v>
      </c>
      <c r="AA391" s="6">
        <v>0</v>
      </c>
      <c r="AB391" s="7" t="s">
        <v>5894</v>
      </c>
      <c r="AC391" s="7" t="str">
        <f>A391&amp;COUNTIF($A$2:A391,A391)</f>
        <v>100SG214-50001</v>
      </c>
      <c r="AD391" s="7">
        <v>44837</v>
      </c>
      <c r="AE391" s="7">
        <v>44951</v>
      </c>
      <c r="AF391" s="7">
        <v>45014</v>
      </c>
      <c r="AG391" s="5">
        <v>147</v>
      </c>
      <c r="AH391" s="5">
        <v>63</v>
      </c>
      <c r="AI391" s="5">
        <v>14</v>
      </c>
      <c r="AJ391" s="5">
        <v>5500</v>
      </c>
      <c r="AK391" s="5" t="str">
        <f t="shared" ca="1" si="6"/>
        <v>within range</v>
      </c>
    </row>
    <row r="392" spans="1:37">
      <c r="A392" s="32" t="s">
        <v>1431</v>
      </c>
      <c r="B392" s="32" t="s">
        <v>5513</v>
      </c>
      <c r="C392" s="32" t="s">
        <v>5893</v>
      </c>
      <c r="D392" s="32" t="s">
        <v>3790</v>
      </c>
      <c r="E392" s="34" t="s">
        <v>3790</v>
      </c>
      <c r="F392" s="32" t="s">
        <v>3790</v>
      </c>
      <c r="G392" s="34">
        <v>1100</v>
      </c>
      <c r="H392" s="7" t="s">
        <v>5867</v>
      </c>
      <c r="I392" s="32" t="s">
        <v>3790</v>
      </c>
      <c r="J392" s="34" t="s">
        <v>3790</v>
      </c>
      <c r="K392" s="7" t="s">
        <v>3790</v>
      </c>
      <c r="L392" s="7" t="s">
        <v>6391</v>
      </c>
      <c r="M392" s="34" t="s">
        <v>3790</v>
      </c>
      <c r="N392" s="32" t="s">
        <v>3532</v>
      </c>
      <c r="O392" s="36">
        <v>3.03</v>
      </c>
      <c r="Q392" s="5" t="s">
        <v>3900</v>
      </c>
      <c r="R392" s="5" t="s">
        <v>5513</v>
      </c>
      <c r="S392" s="6">
        <v>0</v>
      </c>
      <c r="T392" s="6">
        <v>0</v>
      </c>
      <c r="U392" s="6">
        <v>0</v>
      </c>
      <c r="V392" s="7">
        <v>44951</v>
      </c>
      <c r="W392" s="7" t="s">
        <v>3790</v>
      </c>
      <c r="X392" s="7">
        <v>45026</v>
      </c>
      <c r="Y392" s="5" t="s">
        <v>4022</v>
      </c>
      <c r="Z392" s="5" t="s">
        <v>3790</v>
      </c>
      <c r="AA392" s="6">
        <v>0</v>
      </c>
      <c r="AB392" s="7" t="s">
        <v>5895</v>
      </c>
      <c r="AC392" s="7" t="str">
        <f>A392&amp;COUNTIF($A$2:A392,A392)</f>
        <v>100SG214-62001</v>
      </c>
      <c r="AD392" s="7">
        <v>44837</v>
      </c>
      <c r="AE392" s="7">
        <v>44951</v>
      </c>
      <c r="AF392" s="7">
        <v>45014</v>
      </c>
      <c r="AG392" s="5">
        <v>147</v>
      </c>
      <c r="AH392" s="5">
        <v>63</v>
      </c>
      <c r="AI392" s="5">
        <v>14</v>
      </c>
      <c r="AJ392" s="5">
        <v>1100</v>
      </c>
      <c r="AK392" s="5" t="str">
        <f t="shared" ca="1" si="6"/>
        <v>within range</v>
      </c>
    </row>
    <row r="393" spans="1:37">
      <c r="A393" s="32" t="s">
        <v>1454</v>
      </c>
      <c r="B393" s="32" t="s">
        <v>7700</v>
      </c>
      <c r="C393" s="32" t="s">
        <v>1455</v>
      </c>
      <c r="D393" s="32" t="s">
        <v>3790</v>
      </c>
      <c r="E393" s="34" t="s">
        <v>3527</v>
      </c>
      <c r="F393" s="32" t="s">
        <v>3790</v>
      </c>
      <c r="G393" s="34" t="s">
        <v>3574</v>
      </c>
      <c r="H393" s="7" t="s">
        <v>5533</v>
      </c>
      <c r="I393" s="32" t="s">
        <v>3790</v>
      </c>
      <c r="J393" s="34" t="s">
        <v>3790</v>
      </c>
      <c r="K393" s="7" t="s">
        <v>3790</v>
      </c>
      <c r="L393" s="7" t="s">
        <v>7706</v>
      </c>
      <c r="M393" s="34" t="s">
        <v>3527</v>
      </c>
      <c r="N393" s="32" t="s">
        <v>3528</v>
      </c>
      <c r="O393" s="36">
        <v>5.57</v>
      </c>
      <c r="P393" s="32" t="s">
        <v>3790</v>
      </c>
      <c r="Q393" s="5" t="s">
        <v>3792</v>
      </c>
      <c r="R393" s="5" t="s">
        <v>7700</v>
      </c>
      <c r="S393" s="6">
        <v>0</v>
      </c>
      <c r="T393" s="6">
        <v>0</v>
      </c>
      <c r="U393" s="6">
        <v>0</v>
      </c>
      <c r="V393" s="7">
        <v>44956</v>
      </c>
      <c r="W393" s="7" t="s">
        <v>3790</v>
      </c>
      <c r="X393" s="7">
        <v>45076</v>
      </c>
      <c r="Y393" s="5" t="s">
        <v>4022</v>
      </c>
      <c r="Z393" s="5" t="s">
        <v>3790</v>
      </c>
      <c r="AA393" s="6">
        <v>0</v>
      </c>
      <c r="AB393" s="7" t="s">
        <v>7707</v>
      </c>
      <c r="AC393" s="7" t="str">
        <f>A393&amp;COUNTIF($A$2:A393,A393)</f>
        <v>100SG254-50001</v>
      </c>
      <c r="AD393" s="7">
        <v>44924</v>
      </c>
      <c r="AE393" s="7">
        <v>44956</v>
      </c>
      <c r="AF393" s="7">
        <v>44963</v>
      </c>
      <c r="AG393" s="5">
        <v>70</v>
      </c>
      <c r="AH393" s="5">
        <v>7</v>
      </c>
      <c r="AI393" s="5">
        <v>14</v>
      </c>
      <c r="AJ393" s="5">
        <v>2500</v>
      </c>
      <c r="AK393" s="5" t="str">
        <f t="shared" ca="1" si="6"/>
        <v>within range</v>
      </c>
    </row>
    <row r="394" spans="1:37">
      <c r="A394" s="32" t="s">
        <v>1456</v>
      </c>
      <c r="B394" s="32" t="s">
        <v>7700</v>
      </c>
      <c r="C394" s="32" t="s">
        <v>1455</v>
      </c>
      <c r="D394" s="32" t="s">
        <v>3790</v>
      </c>
      <c r="E394" s="34" t="s">
        <v>3527</v>
      </c>
      <c r="F394" s="32" t="s">
        <v>3790</v>
      </c>
      <c r="G394" s="34" t="s">
        <v>3802</v>
      </c>
      <c r="H394" s="7" t="s">
        <v>5533</v>
      </c>
      <c r="I394" s="32" t="s">
        <v>3790</v>
      </c>
      <c r="J394" s="34" t="s">
        <v>3790</v>
      </c>
      <c r="K394" s="7" t="s">
        <v>3790</v>
      </c>
      <c r="L394" s="7" t="s">
        <v>7706</v>
      </c>
      <c r="M394" s="34" t="s">
        <v>3527</v>
      </c>
      <c r="N394" s="32" t="s">
        <v>3528</v>
      </c>
      <c r="O394" s="36">
        <v>5.57</v>
      </c>
      <c r="P394" s="32" t="s">
        <v>3790</v>
      </c>
      <c r="Q394" s="5" t="s">
        <v>3792</v>
      </c>
      <c r="R394" s="5" t="s">
        <v>7700</v>
      </c>
      <c r="S394" s="6">
        <v>0</v>
      </c>
      <c r="T394" s="6">
        <v>0</v>
      </c>
      <c r="U394" s="6">
        <v>0</v>
      </c>
      <c r="V394" s="7">
        <v>44956</v>
      </c>
      <c r="W394" s="7" t="s">
        <v>3790</v>
      </c>
      <c r="X394" s="7">
        <v>45076</v>
      </c>
      <c r="Y394" s="5" t="s">
        <v>4022</v>
      </c>
      <c r="Z394" s="5" t="s">
        <v>3790</v>
      </c>
      <c r="AA394" s="6">
        <v>0</v>
      </c>
      <c r="AB394" s="7" t="s">
        <v>7708</v>
      </c>
      <c r="AC394" s="7" t="str">
        <f>A394&amp;COUNTIF($A$2:A394,A394)</f>
        <v>100SG254-62002</v>
      </c>
      <c r="AD394" s="7">
        <v>44924</v>
      </c>
      <c r="AE394" s="7">
        <v>44956</v>
      </c>
      <c r="AF394" s="7">
        <v>44963</v>
      </c>
      <c r="AG394" s="5">
        <v>70</v>
      </c>
      <c r="AH394" s="5">
        <v>7</v>
      </c>
      <c r="AI394" s="5">
        <v>14</v>
      </c>
      <c r="AJ394" s="5">
        <v>1000</v>
      </c>
      <c r="AK394" s="5" t="str">
        <f t="shared" ca="1" si="6"/>
        <v>within range</v>
      </c>
    </row>
    <row r="395" spans="1:37">
      <c r="A395" s="32" t="s">
        <v>1494</v>
      </c>
      <c r="B395" s="32">
        <v>7164</v>
      </c>
      <c r="C395" s="32" t="s">
        <v>3568</v>
      </c>
      <c r="E395" s="34" t="s">
        <v>3527</v>
      </c>
      <c r="G395" s="34" t="s">
        <v>3582</v>
      </c>
      <c r="H395" s="7" t="s">
        <v>3805</v>
      </c>
      <c r="I395" s="32" t="s">
        <v>3526</v>
      </c>
      <c r="J395" s="34" t="s">
        <v>7547</v>
      </c>
      <c r="M395" s="34" t="s">
        <v>7548</v>
      </c>
      <c r="N395" s="32" t="s">
        <v>3528</v>
      </c>
      <c r="O395" s="36" t="s">
        <v>6347</v>
      </c>
      <c r="Q395" s="5" t="s">
        <v>5429</v>
      </c>
      <c r="R395" s="5" t="s">
        <v>5994</v>
      </c>
      <c r="S395" s="6">
        <v>0</v>
      </c>
      <c r="T395" s="6">
        <v>-71</v>
      </c>
      <c r="U395" s="6">
        <v>511</v>
      </c>
      <c r="V395" s="7">
        <v>44908</v>
      </c>
      <c r="W395" s="7" t="s">
        <v>3790</v>
      </c>
      <c r="X395" s="7" t="s">
        <v>3790</v>
      </c>
      <c r="Y395" s="5" t="s">
        <v>4022</v>
      </c>
      <c r="Z395" s="5" t="s">
        <v>3790</v>
      </c>
      <c r="AA395" s="6">
        <v>-71</v>
      </c>
      <c r="AB395" s="7" t="s">
        <v>5995</v>
      </c>
      <c r="AC395" s="7" t="str">
        <f>A395&amp;COUNTIF($A$2:A395,A395)</f>
        <v>100ST606-50001</v>
      </c>
      <c r="AD395" s="7">
        <v>44844</v>
      </c>
      <c r="AE395" s="7">
        <v>44908</v>
      </c>
      <c r="AF395" s="7">
        <v>44964</v>
      </c>
      <c r="AG395" s="5">
        <v>91</v>
      </c>
      <c r="AH395" s="5">
        <v>56</v>
      </c>
      <c r="AI395" s="5">
        <v>14</v>
      </c>
      <c r="AJ395" s="5">
        <v>500</v>
      </c>
      <c r="AK395" s="5" t="str">
        <f t="shared" ca="1" si="6"/>
        <v>run complete</v>
      </c>
    </row>
    <row r="396" spans="1:37">
      <c r="A396" s="32" t="s">
        <v>1496</v>
      </c>
      <c r="B396" s="32">
        <v>7164</v>
      </c>
      <c r="C396" s="32" t="s">
        <v>3568</v>
      </c>
      <c r="E396" s="34" t="s">
        <v>3527</v>
      </c>
      <c r="G396" s="34" t="s">
        <v>3842</v>
      </c>
      <c r="H396" s="7" t="s">
        <v>3805</v>
      </c>
      <c r="I396" s="32" t="s">
        <v>3526</v>
      </c>
      <c r="J396" s="34" t="s">
        <v>7549</v>
      </c>
      <c r="N396" s="32" t="s">
        <v>3528</v>
      </c>
      <c r="O396" s="36" t="s">
        <v>6347</v>
      </c>
      <c r="Q396" s="5" t="s">
        <v>5429</v>
      </c>
      <c r="R396" s="5" t="s">
        <v>5994</v>
      </c>
      <c r="S396" s="6">
        <v>0</v>
      </c>
      <c r="T396" s="6">
        <v>0</v>
      </c>
      <c r="U396" s="6">
        <v>2381</v>
      </c>
      <c r="V396" s="7">
        <v>44908</v>
      </c>
      <c r="W396" s="7" t="s">
        <v>3790</v>
      </c>
      <c r="X396" s="7" t="s">
        <v>3790</v>
      </c>
      <c r="Y396" s="5" t="s">
        <v>4022</v>
      </c>
      <c r="Z396" s="5" t="s">
        <v>3790</v>
      </c>
      <c r="AA396" s="6">
        <v>0</v>
      </c>
      <c r="AB396" s="7" t="s">
        <v>5996</v>
      </c>
      <c r="AC396" s="7" t="str">
        <f>A396&amp;COUNTIF($A$2:A396,A396)</f>
        <v>100ST606-62001</v>
      </c>
      <c r="AD396" s="7">
        <v>44844</v>
      </c>
      <c r="AE396" s="7">
        <v>44908</v>
      </c>
      <c r="AF396" s="7">
        <v>44964</v>
      </c>
      <c r="AG396" s="5">
        <v>91</v>
      </c>
      <c r="AH396" s="5">
        <v>56</v>
      </c>
      <c r="AI396" s="5">
        <v>14</v>
      </c>
      <c r="AJ396" s="5">
        <v>2800</v>
      </c>
      <c r="AK396" s="5" t="str">
        <f t="shared" ca="1" si="6"/>
        <v>run complete</v>
      </c>
    </row>
    <row r="397" spans="1:37">
      <c r="A397" s="32" t="s">
        <v>1539</v>
      </c>
      <c r="B397" s="32">
        <v>7165</v>
      </c>
      <c r="C397" s="32" t="s">
        <v>3570</v>
      </c>
      <c r="E397" s="34" t="s">
        <v>3527</v>
      </c>
      <c r="F397" s="32" t="s">
        <v>5502</v>
      </c>
      <c r="G397" s="34" t="s">
        <v>3531</v>
      </c>
      <c r="H397" s="7" t="s">
        <v>6155</v>
      </c>
      <c r="I397" s="32" t="s">
        <v>3526</v>
      </c>
      <c r="J397" s="34" t="s">
        <v>6348</v>
      </c>
      <c r="K397" s="7" t="s">
        <v>5499</v>
      </c>
      <c r="N397" s="32" t="s">
        <v>3528</v>
      </c>
      <c r="O397" s="36" t="s">
        <v>5242</v>
      </c>
      <c r="Q397" s="5" t="s">
        <v>5429</v>
      </c>
      <c r="R397" s="5" t="s">
        <v>6001</v>
      </c>
      <c r="S397" s="6">
        <v>0</v>
      </c>
      <c r="T397" s="6">
        <v>0</v>
      </c>
      <c r="U397" s="6">
        <v>1955</v>
      </c>
      <c r="V397" s="7">
        <v>44877</v>
      </c>
      <c r="W397" s="7">
        <v>44923</v>
      </c>
      <c r="X397" s="7" t="s">
        <v>3790</v>
      </c>
      <c r="Y397" s="5" t="s">
        <v>4022</v>
      </c>
      <c r="Z397" s="5" t="s">
        <v>3790</v>
      </c>
      <c r="AA397" s="6">
        <v>0</v>
      </c>
      <c r="AB397" s="7" t="s">
        <v>6002</v>
      </c>
      <c r="AC397" s="7" t="str">
        <f>A397&amp;COUNTIF($A$2:A397,A397)</f>
        <v>100SW806-50002</v>
      </c>
      <c r="AD397" s="7">
        <v>44844</v>
      </c>
      <c r="AE397" s="7">
        <v>44923</v>
      </c>
      <c r="AF397" s="7">
        <v>44937</v>
      </c>
      <c r="AG397" s="5">
        <v>91</v>
      </c>
      <c r="AH397" s="5">
        <v>56</v>
      </c>
      <c r="AI397" s="5">
        <v>14</v>
      </c>
      <c r="AJ397" s="5">
        <v>2200</v>
      </c>
      <c r="AK397" s="5" t="str">
        <f t="shared" ca="1" si="6"/>
        <v>run complete</v>
      </c>
    </row>
    <row r="398" spans="1:37">
      <c r="A398" s="32" t="s">
        <v>1542</v>
      </c>
      <c r="B398" s="32">
        <v>7165</v>
      </c>
      <c r="C398" s="32" t="s">
        <v>3570</v>
      </c>
      <c r="E398" s="34" t="s">
        <v>3527</v>
      </c>
      <c r="F398" s="32" t="s">
        <v>5502</v>
      </c>
      <c r="G398" s="34" t="s">
        <v>3531</v>
      </c>
      <c r="H398" s="7" t="s">
        <v>6155</v>
      </c>
      <c r="I398" s="32" t="s">
        <v>3526</v>
      </c>
      <c r="J398" s="34" t="s">
        <v>6349</v>
      </c>
      <c r="K398" s="7" t="s">
        <v>5499</v>
      </c>
      <c r="N398" s="32" t="s">
        <v>3528</v>
      </c>
      <c r="O398" s="36" t="s">
        <v>5242</v>
      </c>
      <c r="Q398" s="5" t="s">
        <v>5429</v>
      </c>
      <c r="R398" s="5" t="s">
        <v>6001</v>
      </c>
      <c r="S398" s="6">
        <v>0</v>
      </c>
      <c r="T398" s="6">
        <v>0</v>
      </c>
      <c r="U398" s="6">
        <v>2141</v>
      </c>
      <c r="V398" s="7">
        <v>44877</v>
      </c>
      <c r="W398" s="7">
        <v>44923</v>
      </c>
      <c r="X398" s="7" t="s">
        <v>3790</v>
      </c>
      <c r="Y398" s="5" t="s">
        <v>4022</v>
      </c>
      <c r="Z398" s="5" t="s">
        <v>3790</v>
      </c>
      <c r="AA398" s="6">
        <v>0</v>
      </c>
      <c r="AB398" s="7" t="s">
        <v>6003</v>
      </c>
      <c r="AC398" s="7" t="str">
        <f>A398&amp;COUNTIF($A$2:A398,A398)</f>
        <v>100SW806-62001</v>
      </c>
      <c r="AD398" s="7">
        <v>44844</v>
      </c>
      <c r="AE398" s="7">
        <v>44923</v>
      </c>
      <c r="AF398" s="7">
        <v>44937</v>
      </c>
      <c r="AG398" s="5">
        <v>91</v>
      </c>
      <c r="AH398" s="5">
        <v>56</v>
      </c>
      <c r="AI398" s="5">
        <v>14</v>
      </c>
      <c r="AJ398" s="5">
        <v>2200</v>
      </c>
      <c r="AK398" s="5" t="str">
        <f t="shared" ca="1" si="6"/>
        <v>run complete</v>
      </c>
    </row>
    <row r="399" spans="1:37">
      <c r="A399" s="32" t="s">
        <v>1557</v>
      </c>
      <c r="B399" s="32" t="s">
        <v>5896</v>
      </c>
      <c r="C399" s="32" t="s">
        <v>1556</v>
      </c>
      <c r="D399" s="32" t="s">
        <v>3790</v>
      </c>
      <c r="E399" s="34" t="s">
        <v>3527</v>
      </c>
      <c r="F399" s="32" t="s">
        <v>3790</v>
      </c>
      <c r="G399" s="34" t="s">
        <v>3807</v>
      </c>
      <c r="H399" s="7" t="s">
        <v>7711</v>
      </c>
      <c r="I399" s="32" t="s">
        <v>3790</v>
      </c>
      <c r="J399" s="34" t="s">
        <v>3790</v>
      </c>
      <c r="K399" s="7" t="s">
        <v>3790</v>
      </c>
      <c r="L399" s="7" t="s">
        <v>6325</v>
      </c>
      <c r="M399" s="34" t="s">
        <v>3527</v>
      </c>
      <c r="N399" s="32" t="s">
        <v>3528</v>
      </c>
      <c r="O399" s="36">
        <v>3.23</v>
      </c>
      <c r="P399" s="32" t="s">
        <v>3790</v>
      </c>
      <c r="Q399" s="5" t="s">
        <v>3792</v>
      </c>
      <c r="R399" s="5" t="s">
        <v>5896</v>
      </c>
      <c r="S399" s="6">
        <v>0</v>
      </c>
      <c r="T399" s="6">
        <v>0</v>
      </c>
      <c r="U399" s="6">
        <v>0</v>
      </c>
      <c r="V399" s="7">
        <v>44935</v>
      </c>
      <c r="W399" s="7" t="s">
        <v>3790</v>
      </c>
      <c r="X399" s="7">
        <v>45085</v>
      </c>
      <c r="Y399" s="5" t="s">
        <v>4022</v>
      </c>
      <c r="Z399" s="5" t="s">
        <v>3790</v>
      </c>
      <c r="AA399" s="6">
        <v>0</v>
      </c>
      <c r="AB399" s="7" t="s">
        <v>5897</v>
      </c>
      <c r="AC399" s="7" t="str">
        <f>A399&amp;COUNTIF($A$2:A399,A399)</f>
        <v>100SW826-50002</v>
      </c>
      <c r="AD399" s="7">
        <v>44858</v>
      </c>
      <c r="AE399" s="7">
        <v>44935</v>
      </c>
      <c r="AF399" s="7">
        <v>44942</v>
      </c>
      <c r="AG399" s="5">
        <v>70</v>
      </c>
      <c r="AH399" s="5">
        <v>7</v>
      </c>
      <c r="AI399" s="5">
        <v>14</v>
      </c>
      <c r="AJ399" s="5">
        <v>3500</v>
      </c>
      <c r="AK399" s="5" t="str">
        <f t="shared" ca="1" si="6"/>
        <v>within range</v>
      </c>
    </row>
    <row r="400" spans="1:37">
      <c r="A400" s="32" t="s">
        <v>1560</v>
      </c>
      <c r="B400" s="32" t="s">
        <v>5896</v>
      </c>
      <c r="C400" s="32" t="s">
        <v>1556</v>
      </c>
      <c r="D400" s="32" t="s">
        <v>3790</v>
      </c>
      <c r="E400" s="34" t="s">
        <v>3527</v>
      </c>
      <c r="F400" s="32" t="s">
        <v>3790</v>
      </c>
      <c r="G400" s="34" t="s">
        <v>3574</v>
      </c>
      <c r="H400" s="7" t="s">
        <v>7711</v>
      </c>
      <c r="I400" s="32" t="s">
        <v>3790</v>
      </c>
      <c r="J400" s="34" t="s">
        <v>3790</v>
      </c>
      <c r="K400" s="7" t="s">
        <v>3790</v>
      </c>
      <c r="L400" s="7" t="s">
        <v>6325</v>
      </c>
      <c r="M400" s="34" t="s">
        <v>3527</v>
      </c>
      <c r="N400" s="32" t="s">
        <v>3528</v>
      </c>
      <c r="O400" s="36">
        <v>3.23</v>
      </c>
      <c r="P400" s="32" t="s">
        <v>3790</v>
      </c>
      <c r="Q400" s="5" t="s">
        <v>3792</v>
      </c>
      <c r="R400" s="5" t="s">
        <v>5896</v>
      </c>
      <c r="S400" s="6">
        <v>0</v>
      </c>
      <c r="T400" s="6">
        <v>0</v>
      </c>
      <c r="U400" s="6">
        <v>0</v>
      </c>
      <c r="V400" s="7">
        <v>44935</v>
      </c>
      <c r="W400" s="7" t="s">
        <v>3790</v>
      </c>
      <c r="X400" s="7">
        <v>45085</v>
      </c>
      <c r="Y400" s="5" t="s">
        <v>4022</v>
      </c>
      <c r="Z400" s="5" t="s">
        <v>3790</v>
      </c>
      <c r="AA400" s="6">
        <v>0</v>
      </c>
      <c r="AB400" s="7" t="s">
        <v>5898</v>
      </c>
      <c r="AC400" s="7" t="str">
        <f>A400&amp;COUNTIF($A$2:A400,A400)</f>
        <v>100SW826-62001</v>
      </c>
      <c r="AD400" s="7">
        <v>44858</v>
      </c>
      <c r="AE400" s="7">
        <v>44935</v>
      </c>
      <c r="AF400" s="7">
        <v>44942</v>
      </c>
      <c r="AG400" s="5">
        <v>70</v>
      </c>
      <c r="AH400" s="5">
        <v>7</v>
      </c>
      <c r="AI400" s="5">
        <v>14</v>
      </c>
      <c r="AJ400" s="5">
        <v>2500</v>
      </c>
      <c r="AK400" s="5" t="str">
        <f t="shared" ca="1" si="6"/>
        <v>within range</v>
      </c>
    </row>
    <row r="401" spans="1:37">
      <c r="A401" s="32" t="s">
        <v>1561</v>
      </c>
      <c r="B401" s="32" t="s">
        <v>7583</v>
      </c>
      <c r="C401" s="32" t="s">
        <v>7584</v>
      </c>
      <c r="D401" s="32" t="s">
        <v>3790</v>
      </c>
      <c r="E401" s="34" t="s">
        <v>3790</v>
      </c>
      <c r="F401" s="32" t="s">
        <v>3790</v>
      </c>
      <c r="G401" s="34">
        <v>3900</v>
      </c>
      <c r="H401" s="7" t="s">
        <v>5381</v>
      </c>
      <c r="I401" s="32" t="s">
        <v>3790</v>
      </c>
      <c r="J401" s="34" t="s">
        <v>3790</v>
      </c>
      <c r="K401" s="7" t="s">
        <v>3790</v>
      </c>
      <c r="L401" s="7" t="s">
        <v>7712</v>
      </c>
      <c r="M401" s="34" t="s">
        <v>3790</v>
      </c>
      <c r="N401" s="32" t="s">
        <v>3532</v>
      </c>
      <c r="O401" s="36">
        <v>3.73</v>
      </c>
      <c r="Q401" s="5" t="s">
        <v>3900</v>
      </c>
      <c r="R401" s="5" t="s">
        <v>7583</v>
      </c>
      <c r="S401" s="6">
        <v>0</v>
      </c>
      <c r="T401" s="6">
        <v>0</v>
      </c>
      <c r="U401" s="6">
        <v>0</v>
      </c>
      <c r="V401" s="7">
        <v>44937</v>
      </c>
      <c r="W401" s="7" t="s">
        <v>3790</v>
      </c>
      <c r="X401" s="7">
        <v>45012</v>
      </c>
      <c r="Y401" s="5" t="s">
        <v>4022</v>
      </c>
      <c r="Z401" s="5" t="s">
        <v>3790</v>
      </c>
      <c r="AA401" s="6">
        <v>0</v>
      </c>
      <c r="AB401" s="7" t="s">
        <v>7586</v>
      </c>
      <c r="AC401" s="7" t="str">
        <f>A401&amp;COUNTIF($A$2:A401,A401)</f>
        <v>100SW836-50001</v>
      </c>
      <c r="AD401" s="7">
        <v>44900</v>
      </c>
      <c r="AE401" s="7">
        <v>44937</v>
      </c>
      <c r="AF401" s="7">
        <v>45000</v>
      </c>
      <c r="AG401" s="5">
        <v>147</v>
      </c>
      <c r="AH401" s="5">
        <v>63</v>
      </c>
      <c r="AI401" s="5">
        <v>14</v>
      </c>
      <c r="AJ401" s="5">
        <v>3900</v>
      </c>
      <c r="AK401" s="5" t="str">
        <f t="shared" ca="1" si="6"/>
        <v>within range</v>
      </c>
    </row>
    <row r="402" spans="1:37">
      <c r="A402" s="32" t="s">
        <v>1563</v>
      </c>
      <c r="B402" s="32" t="s">
        <v>7583</v>
      </c>
      <c r="C402" s="32" t="s">
        <v>7584</v>
      </c>
      <c r="D402" s="32" t="s">
        <v>3790</v>
      </c>
      <c r="E402" s="34" t="s">
        <v>3790</v>
      </c>
      <c r="F402" s="32" t="s">
        <v>3790</v>
      </c>
      <c r="G402" s="34">
        <v>500</v>
      </c>
      <c r="H402" s="7" t="s">
        <v>5381</v>
      </c>
      <c r="I402" s="32" t="s">
        <v>3790</v>
      </c>
      <c r="J402" s="34" t="s">
        <v>3790</v>
      </c>
      <c r="K402" s="7" t="s">
        <v>3790</v>
      </c>
      <c r="L402" s="7" t="s">
        <v>7712</v>
      </c>
      <c r="M402" s="34" t="s">
        <v>3790</v>
      </c>
      <c r="N402" s="32" t="s">
        <v>3532</v>
      </c>
      <c r="O402" s="36">
        <v>3.73</v>
      </c>
      <c r="Q402" s="5" t="s">
        <v>3900</v>
      </c>
      <c r="R402" s="5" t="s">
        <v>7583</v>
      </c>
      <c r="S402" s="6">
        <v>0</v>
      </c>
      <c r="T402" s="6">
        <v>0</v>
      </c>
      <c r="U402" s="6">
        <v>0</v>
      </c>
      <c r="V402" s="7">
        <v>44937</v>
      </c>
      <c r="W402" s="7" t="s">
        <v>3790</v>
      </c>
      <c r="X402" s="7">
        <v>45012</v>
      </c>
      <c r="Y402" s="5" t="s">
        <v>4022</v>
      </c>
      <c r="Z402" s="5" t="s">
        <v>3790</v>
      </c>
      <c r="AA402" s="6">
        <v>0</v>
      </c>
      <c r="AB402" s="7" t="s">
        <v>7587</v>
      </c>
      <c r="AC402" s="7" t="str">
        <f>A402&amp;COUNTIF($A$2:A402,A402)</f>
        <v>100SW836-62001</v>
      </c>
      <c r="AD402" s="7">
        <v>44900</v>
      </c>
      <c r="AE402" s="7">
        <v>44937</v>
      </c>
      <c r="AF402" s="7">
        <v>45000</v>
      </c>
      <c r="AG402" s="5">
        <v>147</v>
      </c>
      <c r="AH402" s="5">
        <v>63</v>
      </c>
      <c r="AI402" s="5">
        <v>14</v>
      </c>
      <c r="AJ402" s="5">
        <v>500</v>
      </c>
      <c r="AK402" s="5" t="str">
        <f t="shared" ca="1" si="6"/>
        <v>within range</v>
      </c>
    </row>
    <row r="403" spans="1:37">
      <c r="A403" s="32" t="s">
        <v>1563</v>
      </c>
      <c r="B403" s="32" t="s">
        <v>7583</v>
      </c>
      <c r="C403" s="32" t="s">
        <v>7584</v>
      </c>
      <c r="D403" s="32" t="s">
        <v>3790</v>
      </c>
      <c r="E403" s="34" t="s">
        <v>3790</v>
      </c>
      <c r="F403" s="32" t="s">
        <v>3790</v>
      </c>
      <c r="G403" s="34">
        <v>500</v>
      </c>
      <c r="H403" s="7" t="s">
        <v>5236</v>
      </c>
      <c r="I403" s="32" t="s">
        <v>3790</v>
      </c>
      <c r="J403" s="34" t="s">
        <v>3790</v>
      </c>
      <c r="K403" s="7" t="s">
        <v>3790</v>
      </c>
      <c r="L403" s="7" t="s">
        <v>7585</v>
      </c>
      <c r="M403" s="34" t="s">
        <v>3790</v>
      </c>
      <c r="N403" s="32" t="s">
        <v>3532</v>
      </c>
      <c r="O403" s="36">
        <v>3.73</v>
      </c>
      <c r="Q403" s="5" t="s">
        <v>3900</v>
      </c>
      <c r="R403" s="5" t="s">
        <v>7583</v>
      </c>
      <c r="S403" s="6">
        <v>0</v>
      </c>
      <c r="T403" s="6">
        <v>0</v>
      </c>
      <c r="U403" s="6">
        <v>0</v>
      </c>
      <c r="V403" s="7">
        <v>44938</v>
      </c>
      <c r="W403" s="7" t="s">
        <v>3790</v>
      </c>
      <c r="X403" s="7">
        <v>45013</v>
      </c>
      <c r="Y403" s="5" t="s">
        <v>4022</v>
      </c>
      <c r="Z403" s="5" t="s">
        <v>3790</v>
      </c>
      <c r="AA403" s="6">
        <v>0</v>
      </c>
      <c r="AB403" s="7" t="s">
        <v>7587</v>
      </c>
      <c r="AC403" s="7" t="str">
        <f>A403&amp;COUNTIF($A$2:A403,A403)</f>
        <v>100SW836-62002</v>
      </c>
      <c r="AD403" s="7">
        <v>44900</v>
      </c>
      <c r="AE403" s="7">
        <v>44938</v>
      </c>
      <c r="AF403" s="7">
        <v>45001</v>
      </c>
      <c r="AG403" s="5">
        <v>147</v>
      </c>
      <c r="AH403" s="5">
        <v>63</v>
      </c>
      <c r="AI403" s="5">
        <v>14</v>
      </c>
      <c r="AJ403" s="5">
        <v>500</v>
      </c>
      <c r="AK403" s="5" t="str">
        <f t="shared" ca="1" si="6"/>
        <v>within range</v>
      </c>
    </row>
    <row r="404" spans="1:37">
      <c r="A404" s="32" t="s">
        <v>1576</v>
      </c>
      <c r="B404" s="32" t="s">
        <v>5991</v>
      </c>
      <c r="C404" s="32" t="s">
        <v>1575</v>
      </c>
      <c r="D404" s="32" t="s">
        <v>3790</v>
      </c>
      <c r="E404" s="34" t="s">
        <v>3527</v>
      </c>
      <c r="F404" s="32" t="s">
        <v>3790</v>
      </c>
      <c r="G404" s="34" t="s">
        <v>6004</v>
      </c>
      <c r="H404" s="7" t="s">
        <v>7580</v>
      </c>
      <c r="I404" s="32" t="s">
        <v>3790</v>
      </c>
      <c r="J404" s="34" t="s">
        <v>3790</v>
      </c>
      <c r="K404" s="7" t="s">
        <v>3790</v>
      </c>
      <c r="L404" s="7" t="s">
        <v>6006</v>
      </c>
      <c r="M404" s="34" t="s">
        <v>3527</v>
      </c>
      <c r="N404" s="32" t="s">
        <v>3528</v>
      </c>
      <c r="O404" s="36">
        <v>6.26</v>
      </c>
      <c r="P404" s="32" t="s">
        <v>3790</v>
      </c>
      <c r="Q404" s="5" t="s">
        <v>3792</v>
      </c>
      <c r="R404" s="5" t="s">
        <v>5991</v>
      </c>
      <c r="S404" s="6">
        <v>0</v>
      </c>
      <c r="T404" s="6">
        <v>0</v>
      </c>
      <c r="U404" s="6">
        <v>0</v>
      </c>
      <c r="V404" s="7">
        <v>44942</v>
      </c>
      <c r="W404" s="7" t="s">
        <v>3790</v>
      </c>
      <c r="X404" s="7">
        <v>45083</v>
      </c>
      <c r="Y404" s="5" t="s">
        <v>4022</v>
      </c>
      <c r="Z404" s="5" t="s">
        <v>3790</v>
      </c>
      <c r="AA404" s="6">
        <v>0</v>
      </c>
      <c r="AB404" s="7" t="s">
        <v>6007</v>
      </c>
      <c r="AC404" s="7" t="str">
        <f>A404&amp;COUNTIF($A$2:A404,A404)</f>
        <v>100SY914-50001</v>
      </c>
      <c r="AD404" s="7">
        <v>44869</v>
      </c>
      <c r="AE404" s="7">
        <v>44942</v>
      </c>
      <c r="AF404" s="7">
        <v>44949</v>
      </c>
      <c r="AG404" s="5">
        <v>70</v>
      </c>
      <c r="AH404" s="5">
        <v>7</v>
      </c>
      <c r="AI404" s="5">
        <v>14</v>
      </c>
      <c r="AJ404" s="5">
        <v>2300</v>
      </c>
      <c r="AK404" s="5" t="str">
        <f t="shared" ca="1" si="6"/>
        <v>within range</v>
      </c>
    </row>
    <row r="405" spans="1:37">
      <c r="A405" s="32" t="s">
        <v>1577</v>
      </c>
      <c r="B405" s="32" t="s">
        <v>5991</v>
      </c>
      <c r="C405" s="32" t="s">
        <v>1575</v>
      </c>
      <c r="D405" s="32" t="s">
        <v>3790</v>
      </c>
      <c r="E405" s="34" t="s">
        <v>3527</v>
      </c>
      <c r="F405" s="32" t="s">
        <v>3790</v>
      </c>
      <c r="G405" s="34" t="s">
        <v>6008</v>
      </c>
      <c r="H405" s="7" t="s">
        <v>7580</v>
      </c>
      <c r="I405" s="32" t="s">
        <v>3790</v>
      </c>
      <c r="J405" s="34" t="s">
        <v>3790</v>
      </c>
      <c r="K405" s="7" t="s">
        <v>3790</v>
      </c>
      <c r="L405" s="7" t="s">
        <v>6006</v>
      </c>
      <c r="M405" s="34" t="s">
        <v>3527</v>
      </c>
      <c r="N405" s="32" t="s">
        <v>3528</v>
      </c>
      <c r="O405" s="36">
        <v>6.26</v>
      </c>
      <c r="P405" s="32" t="s">
        <v>3790</v>
      </c>
      <c r="Q405" s="5" t="s">
        <v>3792</v>
      </c>
      <c r="R405" s="5" t="s">
        <v>5991</v>
      </c>
      <c r="S405" s="6">
        <v>0</v>
      </c>
      <c r="T405" s="6">
        <v>0</v>
      </c>
      <c r="U405" s="6">
        <v>0</v>
      </c>
      <c r="V405" s="7">
        <v>44942</v>
      </c>
      <c r="W405" s="7" t="s">
        <v>3790</v>
      </c>
      <c r="X405" s="7">
        <v>45083</v>
      </c>
      <c r="Y405" s="5" t="s">
        <v>4022</v>
      </c>
      <c r="Z405" s="5" t="s">
        <v>3790</v>
      </c>
      <c r="AA405" s="6">
        <v>0</v>
      </c>
      <c r="AB405" s="7" t="s">
        <v>6009</v>
      </c>
      <c r="AC405" s="7" t="str">
        <f>A405&amp;COUNTIF($A$2:A405,A405)</f>
        <v>100SY914-62001</v>
      </c>
      <c r="AD405" s="7">
        <v>44869</v>
      </c>
      <c r="AE405" s="7">
        <v>44942</v>
      </c>
      <c r="AF405" s="7">
        <v>44949</v>
      </c>
      <c r="AG405" s="5">
        <v>70</v>
      </c>
      <c r="AH405" s="5">
        <v>7</v>
      </c>
      <c r="AI405" s="5">
        <v>14</v>
      </c>
      <c r="AJ405" s="5">
        <v>1200</v>
      </c>
      <c r="AK405" s="5" t="str">
        <f t="shared" ca="1" si="6"/>
        <v>within range</v>
      </c>
    </row>
    <row r="406" spans="1:37">
      <c r="A406" s="32" t="s">
        <v>1578</v>
      </c>
      <c r="B406" s="32">
        <v>7076</v>
      </c>
      <c r="C406" s="32" t="s">
        <v>1579</v>
      </c>
      <c r="G406" s="34">
        <v>3000</v>
      </c>
      <c r="H406" s="7">
        <v>44945</v>
      </c>
      <c r="N406" s="32">
        <v>6</v>
      </c>
      <c r="O406" s="36">
        <v>4.8</v>
      </c>
      <c r="P406" s="32" t="s">
        <v>3744</v>
      </c>
      <c r="Q406" s="5" t="s">
        <v>893</v>
      </c>
      <c r="R406" s="5" t="s">
        <v>4234</v>
      </c>
      <c r="S406" s="6">
        <v>0</v>
      </c>
      <c r="T406" s="6">
        <v>0</v>
      </c>
      <c r="U406" s="6">
        <v>0</v>
      </c>
      <c r="V406" s="7">
        <v>44945</v>
      </c>
      <c r="W406" s="7" t="s">
        <v>3790</v>
      </c>
      <c r="X406" s="7" t="s">
        <v>3790</v>
      </c>
      <c r="Y406" s="5" t="s">
        <v>4022</v>
      </c>
      <c r="Z406" s="5" t="s">
        <v>3790</v>
      </c>
      <c r="AA406" s="6">
        <v>0</v>
      </c>
      <c r="AB406" s="7" t="s">
        <v>4235</v>
      </c>
      <c r="AC406" s="7" t="str">
        <f>A406&amp;COUNTIF($A$2:A406,A406)</f>
        <v>100WA001-50001</v>
      </c>
      <c r="AD406" s="7">
        <v>44750</v>
      </c>
      <c r="AE406" s="7">
        <v>44945</v>
      </c>
      <c r="AF406" s="7">
        <v>44959</v>
      </c>
      <c r="AG406" s="5">
        <v>140</v>
      </c>
      <c r="AH406" s="5">
        <v>14</v>
      </c>
      <c r="AI406" s="5">
        <v>14</v>
      </c>
      <c r="AJ406" s="5">
        <v>3000</v>
      </c>
      <c r="AK406" s="5" t="str">
        <f t="shared" ca="1" si="6"/>
        <v>within range</v>
      </c>
    </row>
    <row r="407" spans="1:37">
      <c r="A407" s="32" t="s">
        <v>1586</v>
      </c>
      <c r="B407" s="32">
        <v>7223</v>
      </c>
      <c r="C407" s="32" t="s">
        <v>1587</v>
      </c>
      <c r="G407" s="34">
        <v>3300</v>
      </c>
      <c r="H407" s="7">
        <v>44952</v>
      </c>
      <c r="O407" s="36">
        <v>5.14</v>
      </c>
      <c r="P407" s="32" t="s">
        <v>3701</v>
      </c>
      <c r="Q407" s="5" t="s">
        <v>3702</v>
      </c>
      <c r="R407" s="5" t="s">
        <v>7520</v>
      </c>
      <c r="S407" s="6">
        <v>0</v>
      </c>
      <c r="T407" s="6">
        <v>0</v>
      </c>
      <c r="U407" s="6">
        <v>0</v>
      </c>
      <c r="V407" s="7">
        <v>44952</v>
      </c>
      <c r="W407" s="7" t="s">
        <v>3790</v>
      </c>
      <c r="X407" s="7" t="s">
        <v>3790</v>
      </c>
      <c r="Y407" s="5" t="s">
        <v>4022</v>
      </c>
      <c r="Z407" s="5" t="s">
        <v>3790</v>
      </c>
      <c r="AA407" s="6">
        <v>0</v>
      </c>
      <c r="AB407" s="7" t="s">
        <v>7521</v>
      </c>
      <c r="AC407" s="7" t="str">
        <f>A407&amp;COUNTIF($A$2:A407,A407)</f>
        <v>100WA030-50002</v>
      </c>
      <c r="AD407" s="7">
        <v>44909</v>
      </c>
      <c r="AE407" s="7">
        <v>44952</v>
      </c>
      <c r="AF407" s="7">
        <v>45001</v>
      </c>
      <c r="AG407" s="5">
        <v>98</v>
      </c>
      <c r="AH407" s="5">
        <v>49</v>
      </c>
      <c r="AI407" s="5">
        <v>14</v>
      </c>
      <c r="AJ407" s="5">
        <v>3300</v>
      </c>
      <c r="AK407" s="5" t="str">
        <f t="shared" ca="1" si="6"/>
        <v>within range</v>
      </c>
    </row>
    <row r="408" spans="1:37">
      <c r="A408" s="32" t="s">
        <v>1588</v>
      </c>
      <c r="B408" s="32">
        <v>7223</v>
      </c>
      <c r="C408" s="32" t="s">
        <v>1587</v>
      </c>
      <c r="G408" s="34">
        <v>3300</v>
      </c>
      <c r="H408" s="7">
        <v>44952</v>
      </c>
      <c r="O408" s="36">
        <v>5.14</v>
      </c>
      <c r="P408" s="32" t="s">
        <v>3701</v>
      </c>
      <c r="Q408" s="5" t="s">
        <v>3702</v>
      </c>
      <c r="R408" s="5" t="s">
        <v>7520</v>
      </c>
      <c r="S408" s="6">
        <v>0</v>
      </c>
      <c r="T408" s="6">
        <v>0</v>
      </c>
      <c r="U408" s="6">
        <v>0</v>
      </c>
      <c r="V408" s="7">
        <v>44952</v>
      </c>
      <c r="W408" s="7" t="s">
        <v>3790</v>
      </c>
      <c r="X408" s="7" t="s">
        <v>3790</v>
      </c>
      <c r="Y408" s="5" t="s">
        <v>4022</v>
      </c>
      <c r="Z408" s="5" t="s">
        <v>3790</v>
      </c>
      <c r="AA408" s="6">
        <v>0</v>
      </c>
      <c r="AB408" s="7" t="s">
        <v>7522</v>
      </c>
      <c r="AC408" s="7" t="str">
        <f>A408&amp;COUNTIF($A$2:A408,A408)</f>
        <v>100WA030-62002</v>
      </c>
      <c r="AD408" s="7">
        <v>44909</v>
      </c>
      <c r="AE408" s="7">
        <v>44952</v>
      </c>
      <c r="AF408" s="7">
        <v>45001</v>
      </c>
      <c r="AG408" s="5">
        <v>98</v>
      </c>
      <c r="AH408" s="5">
        <v>49</v>
      </c>
      <c r="AI408" s="5">
        <v>14</v>
      </c>
      <c r="AJ408" s="5">
        <v>3300</v>
      </c>
      <c r="AK408" s="5" t="str">
        <f t="shared" ca="1" si="6"/>
        <v>within range</v>
      </c>
    </row>
    <row r="409" spans="1:37">
      <c r="A409" s="32" t="s">
        <v>1600</v>
      </c>
      <c r="B409" s="32">
        <v>7130</v>
      </c>
      <c r="C409" s="32" t="s">
        <v>3745</v>
      </c>
      <c r="G409" s="34">
        <v>500</v>
      </c>
      <c r="H409" s="7">
        <v>44938</v>
      </c>
      <c r="N409" s="32">
        <v>3</v>
      </c>
      <c r="O409" s="36">
        <v>4.57</v>
      </c>
      <c r="P409" s="32" t="s">
        <v>5263</v>
      </c>
      <c r="Q409" s="5" t="s">
        <v>893</v>
      </c>
      <c r="R409" s="5" t="s">
        <v>5258</v>
      </c>
      <c r="S409" s="6">
        <v>0</v>
      </c>
      <c r="T409" s="6">
        <v>0</v>
      </c>
      <c r="U409" s="6">
        <v>0</v>
      </c>
      <c r="V409" s="7">
        <v>44938</v>
      </c>
      <c r="W409" s="7" t="s">
        <v>3790</v>
      </c>
      <c r="X409" s="7" t="s">
        <v>3790</v>
      </c>
      <c r="Y409" s="5" t="s">
        <v>4022</v>
      </c>
      <c r="Z409" s="5" t="s">
        <v>3790</v>
      </c>
      <c r="AA409" s="6">
        <v>0</v>
      </c>
      <c r="AB409" s="7" t="s">
        <v>5330</v>
      </c>
      <c r="AC409" s="7" t="str">
        <f>A409&amp;COUNTIF($A$2:A409,A409)</f>
        <v>100WC090-50002</v>
      </c>
      <c r="AD409" s="7">
        <v>44812</v>
      </c>
      <c r="AE409" s="7">
        <v>44938</v>
      </c>
      <c r="AF409" s="7">
        <v>44952</v>
      </c>
      <c r="AG409" s="5">
        <v>140</v>
      </c>
      <c r="AH409" s="5">
        <v>14</v>
      </c>
      <c r="AI409" s="5">
        <v>14</v>
      </c>
      <c r="AJ409" s="5">
        <v>500</v>
      </c>
      <c r="AK409" s="5" t="str">
        <f t="shared" ca="1" si="6"/>
        <v>within range</v>
      </c>
    </row>
    <row r="410" spans="1:37">
      <c r="A410" s="32" t="s">
        <v>1602</v>
      </c>
      <c r="B410" s="32">
        <v>7130</v>
      </c>
      <c r="C410" s="32" t="s">
        <v>3745</v>
      </c>
      <c r="G410" s="34">
        <v>8000</v>
      </c>
      <c r="H410" s="7">
        <v>44938</v>
      </c>
      <c r="N410" s="32">
        <v>3</v>
      </c>
      <c r="O410" s="36">
        <v>4.57</v>
      </c>
      <c r="P410" s="32" t="s">
        <v>5264</v>
      </c>
      <c r="Q410" s="5" t="s">
        <v>893</v>
      </c>
      <c r="R410" s="5" t="s">
        <v>5258</v>
      </c>
      <c r="S410" s="6">
        <v>0</v>
      </c>
      <c r="T410" s="6">
        <v>0</v>
      </c>
      <c r="U410" s="6">
        <v>0</v>
      </c>
      <c r="V410" s="7">
        <v>44938</v>
      </c>
      <c r="W410" s="7" t="s">
        <v>3790</v>
      </c>
      <c r="X410" s="7" t="s">
        <v>3790</v>
      </c>
      <c r="Y410" s="5" t="s">
        <v>4022</v>
      </c>
      <c r="Z410" s="5" t="s">
        <v>3790</v>
      </c>
      <c r="AA410" s="6">
        <v>0</v>
      </c>
      <c r="AB410" s="7" t="s">
        <v>5331</v>
      </c>
      <c r="AC410" s="7" t="str">
        <f>A410&amp;COUNTIF($A$2:A410,A410)</f>
        <v>100WC090-62002</v>
      </c>
      <c r="AD410" s="7">
        <v>44812</v>
      </c>
      <c r="AE410" s="7">
        <v>44938</v>
      </c>
      <c r="AF410" s="7">
        <v>44952</v>
      </c>
      <c r="AG410" s="5">
        <v>140</v>
      </c>
      <c r="AH410" s="5">
        <v>14</v>
      </c>
      <c r="AI410" s="5">
        <v>14</v>
      </c>
      <c r="AJ410" s="5">
        <v>8000</v>
      </c>
      <c r="AK410" s="5" t="str">
        <f t="shared" ca="1" si="6"/>
        <v>within range</v>
      </c>
    </row>
    <row r="411" spans="1:37">
      <c r="A411" s="32" t="s">
        <v>1614</v>
      </c>
      <c r="B411" s="32">
        <v>7120</v>
      </c>
      <c r="C411" s="32" t="s">
        <v>3748</v>
      </c>
      <c r="E411" s="34">
        <v>4456</v>
      </c>
      <c r="G411" s="34">
        <v>5000</v>
      </c>
      <c r="H411" s="7">
        <v>44852</v>
      </c>
      <c r="I411" s="32" t="s">
        <v>3756</v>
      </c>
      <c r="L411" s="7">
        <v>45032</v>
      </c>
      <c r="N411" s="32">
        <v>6</v>
      </c>
      <c r="O411" s="36">
        <v>4.57</v>
      </c>
      <c r="P411" s="32" t="s">
        <v>6396</v>
      </c>
      <c r="Q411" s="5" t="s">
        <v>893</v>
      </c>
      <c r="R411" s="5" t="s">
        <v>4244</v>
      </c>
      <c r="S411" s="6">
        <v>4456</v>
      </c>
      <c r="T411" s="6">
        <v>4456</v>
      </c>
      <c r="U411" s="6">
        <v>0</v>
      </c>
      <c r="V411" s="7">
        <v>44852</v>
      </c>
      <c r="W411" s="7" t="s">
        <v>3790</v>
      </c>
      <c r="X411" s="7">
        <v>45032</v>
      </c>
      <c r="Y411" s="5" t="s">
        <v>4022</v>
      </c>
      <c r="Z411" s="5" t="s">
        <v>3790</v>
      </c>
      <c r="AA411" s="6">
        <v>4456</v>
      </c>
      <c r="AB411" s="7" t="s">
        <v>4245</v>
      </c>
      <c r="AC411" s="7" t="str">
        <f>A411&amp;COUNTIF($A$2:A411,A411)</f>
        <v>100WC135-50001</v>
      </c>
      <c r="AD411" s="7">
        <v>44799</v>
      </c>
      <c r="AE411" s="7">
        <v>44852</v>
      </c>
      <c r="AF411" s="7">
        <v>44866</v>
      </c>
      <c r="AG411" s="5">
        <v>140</v>
      </c>
      <c r="AH411" s="5">
        <v>14</v>
      </c>
      <c r="AI411" s="5">
        <v>14</v>
      </c>
      <c r="AJ411" s="5">
        <v>5000</v>
      </c>
      <c r="AK411" s="5" t="str">
        <f t="shared" ca="1" si="6"/>
        <v>run complete</v>
      </c>
    </row>
    <row r="412" spans="1:37">
      <c r="A412" s="32" t="s">
        <v>1617</v>
      </c>
      <c r="B412" s="32">
        <v>7120</v>
      </c>
      <c r="C412" s="32" t="s">
        <v>3748</v>
      </c>
      <c r="E412" s="34">
        <v>3765</v>
      </c>
      <c r="G412" s="34">
        <v>2500</v>
      </c>
      <c r="H412" s="7">
        <v>44852</v>
      </c>
      <c r="I412" s="32" t="s">
        <v>3756</v>
      </c>
      <c r="L412" s="7">
        <v>45032</v>
      </c>
      <c r="N412" s="32">
        <v>6</v>
      </c>
      <c r="O412" s="36">
        <v>4.57</v>
      </c>
      <c r="P412" s="32" t="s">
        <v>6010</v>
      </c>
      <c r="Q412" s="5" t="s">
        <v>893</v>
      </c>
      <c r="R412" s="5" t="s">
        <v>4244</v>
      </c>
      <c r="S412" s="6">
        <v>3765</v>
      </c>
      <c r="T412" s="6">
        <v>3765</v>
      </c>
      <c r="U412" s="6">
        <v>0</v>
      </c>
      <c r="V412" s="7">
        <v>44852</v>
      </c>
      <c r="W412" s="7" t="s">
        <v>3790</v>
      </c>
      <c r="X412" s="7">
        <v>45032</v>
      </c>
      <c r="Y412" s="5" t="s">
        <v>4022</v>
      </c>
      <c r="Z412" s="5" t="s">
        <v>3790</v>
      </c>
      <c r="AA412" s="6">
        <v>3765</v>
      </c>
      <c r="AB412" s="7" t="s">
        <v>4246</v>
      </c>
      <c r="AC412" s="7" t="str">
        <f>A412&amp;COUNTIF($A$2:A412,A412)</f>
        <v>100WC135-62001</v>
      </c>
      <c r="AD412" s="7">
        <v>44799</v>
      </c>
      <c r="AE412" s="7">
        <v>44852</v>
      </c>
      <c r="AF412" s="7">
        <v>44866</v>
      </c>
      <c r="AG412" s="5">
        <v>140</v>
      </c>
      <c r="AH412" s="5">
        <v>14</v>
      </c>
      <c r="AI412" s="5">
        <v>14</v>
      </c>
      <c r="AJ412" s="5">
        <v>2500</v>
      </c>
      <c r="AK412" s="5" t="str">
        <f t="shared" ca="1" si="6"/>
        <v>run complete</v>
      </c>
    </row>
    <row r="413" spans="1:37">
      <c r="A413" s="32" t="s">
        <v>1650</v>
      </c>
      <c r="B413" s="32" t="s">
        <v>3919</v>
      </c>
      <c r="C413" s="32" t="s">
        <v>3922</v>
      </c>
      <c r="D413" s="32" t="s">
        <v>3701</v>
      </c>
      <c r="E413" s="34">
        <v>0</v>
      </c>
      <c r="F413" s="32" t="s">
        <v>3701</v>
      </c>
      <c r="G413" s="34">
        <v>1200</v>
      </c>
      <c r="H413" s="7">
        <v>44979</v>
      </c>
      <c r="I413" s="32" t="s">
        <v>3790</v>
      </c>
      <c r="J413" s="34">
        <v>0</v>
      </c>
      <c r="M413" s="34">
        <v>0</v>
      </c>
      <c r="N413" s="32" t="s">
        <v>3528</v>
      </c>
      <c r="O413" s="36">
        <v>6.1400000000000006</v>
      </c>
      <c r="P413" s="32" t="s">
        <v>3701</v>
      </c>
      <c r="Q413" s="5" t="s">
        <v>3911</v>
      </c>
      <c r="R413" s="5" t="s">
        <v>3919</v>
      </c>
      <c r="S413" s="6">
        <v>0</v>
      </c>
      <c r="T413" s="6">
        <v>0</v>
      </c>
      <c r="U413" s="6">
        <v>0</v>
      </c>
      <c r="V413" s="7">
        <v>44979</v>
      </c>
      <c r="W413" s="7" t="s">
        <v>3790</v>
      </c>
      <c r="X413" s="7" t="s">
        <v>3790</v>
      </c>
      <c r="Y413" s="5" t="s">
        <v>4022</v>
      </c>
      <c r="Z413" s="5" t="s">
        <v>3790</v>
      </c>
      <c r="AA413" s="6">
        <v>0</v>
      </c>
      <c r="AB413" s="7" t="s">
        <v>4249</v>
      </c>
      <c r="AC413" s="7" t="str">
        <f>A413&amp;COUNTIF($A$2:A413,A413)</f>
        <v>100WC471-50001</v>
      </c>
      <c r="AD413" s="7">
        <v>44599</v>
      </c>
      <c r="AE413" s="7">
        <v>44979</v>
      </c>
      <c r="AF413" s="7">
        <v>44993</v>
      </c>
      <c r="AG413" s="5">
        <v>196</v>
      </c>
      <c r="AH413" s="5">
        <v>14</v>
      </c>
      <c r="AI413" s="5">
        <v>14</v>
      </c>
      <c r="AJ413" s="5">
        <v>1200</v>
      </c>
      <c r="AK413" s="5" t="str">
        <f t="shared" ca="1" si="6"/>
        <v>within range</v>
      </c>
    </row>
    <row r="414" spans="1:37">
      <c r="A414" s="32" t="s">
        <v>3923</v>
      </c>
      <c r="B414" s="32" t="s">
        <v>3919</v>
      </c>
      <c r="C414" s="32" t="s">
        <v>3924</v>
      </c>
      <c r="D414" s="32" t="s">
        <v>3663</v>
      </c>
      <c r="E414" s="34">
        <v>0</v>
      </c>
      <c r="F414" s="32" t="s">
        <v>3701</v>
      </c>
      <c r="G414" s="34">
        <v>500</v>
      </c>
      <c r="H414" s="7">
        <v>44979</v>
      </c>
      <c r="I414" s="32" t="s">
        <v>3790</v>
      </c>
      <c r="J414" s="34">
        <v>0</v>
      </c>
      <c r="M414" s="34">
        <v>0</v>
      </c>
      <c r="N414" s="32" t="s">
        <v>3528</v>
      </c>
      <c r="O414" s="36">
        <v>6.1400000000000006</v>
      </c>
      <c r="P414" s="32" t="s">
        <v>3701</v>
      </c>
      <c r="Q414" s="5" t="s">
        <v>3911</v>
      </c>
      <c r="R414" s="5" t="s">
        <v>3919</v>
      </c>
      <c r="S414" s="6">
        <v>0</v>
      </c>
      <c r="T414" s="6">
        <v>0</v>
      </c>
      <c r="U414" s="6">
        <v>0</v>
      </c>
      <c r="V414" s="7">
        <v>44979</v>
      </c>
      <c r="W414" s="7" t="s">
        <v>3790</v>
      </c>
      <c r="X414" s="7" t="s">
        <v>3790</v>
      </c>
      <c r="Y414" s="5" t="s">
        <v>4022</v>
      </c>
      <c r="Z414" s="5" t="s">
        <v>3790</v>
      </c>
      <c r="AA414" s="6">
        <v>0</v>
      </c>
      <c r="AB414" s="7" t="s">
        <v>4250</v>
      </c>
      <c r="AC414" s="7" t="str">
        <f>A414&amp;COUNTIF($A$2:A414,A414)</f>
        <v>100WC471-62001</v>
      </c>
      <c r="AD414" s="7">
        <v>44599</v>
      </c>
      <c r="AE414" s="7">
        <v>44979</v>
      </c>
      <c r="AF414" s="7">
        <v>44993</v>
      </c>
      <c r="AG414" s="5">
        <v>196</v>
      </c>
      <c r="AH414" s="5">
        <v>14</v>
      </c>
      <c r="AI414" s="5">
        <v>14</v>
      </c>
      <c r="AJ414" s="5">
        <v>500</v>
      </c>
      <c r="AK414" s="5" t="str">
        <f t="shared" ca="1" si="6"/>
        <v>within range</v>
      </c>
    </row>
    <row r="415" spans="1:37">
      <c r="A415" s="32" t="s">
        <v>1666</v>
      </c>
      <c r="B415" s="32">
        <v>7031</v>
      </c>
      <c r="C415" s="32" t="s">
        <v>3689</v>
      </c>
      <c r="F415" s="32" t="s">
        <v>3661</v>
      </c>
      <c r="G415" s="34">
        <v>4000</v>
      </c>
      <c r="H415" s="7">
        <v>44872</v>
      </c>
      <c r="I415" s="32" t="s">
        <v>3658</v>
      </c>
      <c r="J415" s="34">
        <v>4130</v>
      </c>
      <c r="K415" s="7">
        <v>37636</v>
      </c>
      <c r="M415" s="34">
        <v>130</v>
      </c>
      <c r="N415" s="32">
        <v>3</v>
      </c>
      <c r="O415" s="36">
        <v>6.64</v>
      </c>
      <c r="Q415" s="5" t="s">
        <v>3662</v>
      </c>
      <c r="R415" s="5" t="s">
        <v>4209</v>
      </c>
      <c r="S415" s="6">
        <v>0</v>
      </c>
      <c r="T415" s="6">
        <v>-130</v>
      </c>
      <c r="U415" s="6">
        <v>4130</v>
      </c>
      <c r="V415" s="7">
        <v>44872</v>
      </c>
      <c r="W415" s="7">
        <v>37636</v>
      </c>
      <c r="X415" s="7" t="s">
        <v>3790</v>
      </c>
      <c r="Y415" s="5" t="s">
        <v>4022</v>
      </c>
      <c r="Z415" s="5" t="s">
        <v>3790</v>
      </c>
      <c r="AA415" s="6">
        <v>-130</v>
      </c>
      <c r="AB415" s="7" t="s">
        <v>4251</v>
      </c>
      <c r="AC415" s="7" t="str">
        <f>A415&amp;COUNTIF($A$2:A415,A415)</f>
        <v>100WE261-50001</v>
      </c>
      <c r="AD415" s="7">
        <v>44713</v>
      </c>
      <c r="AE415" s="7">
        <v>37636</v>
      </c>
      <c r="AF415" s="7">
        <v>37650</v>
      </c>
      <c r="AG415" s="5">
        <v>154</v>
      </c>
      <c r="AH415" s="5">
        <v>70</v>
      </c>
      <c r="AI415" s="5">
        <v>14</v>
      </c>
      <c r="AJ415" s="5">
        <v>4000</v>
      </c>
      <c r="AK415" s="5" t="str">
        <f t="shared" ca="1" si="6"/>
        <v>run complete</v>
      </c>
    </row>
    <row r="416" spans="1:37">
      <c r="A416" s="32" t="s">
        <v>1668</v>
      </c>
      <c r="B416" s="32">
        <v>7031</v>
      </c>
      <c r="C416" s="32" t="s">
        <v>3689</v>
      </c>
      <c r="D416" s="32" t="s">
        <v>3663</v>
      </c>
      <c r="F416" s="32" t="s">
        <v>3661</v>
      </c>
      <c r="G416" s="34">
        <v>1000</v>
      </c>
      <c r="H416" s="7">
        <v>44872</v>
      </c>
      <c r="I416" s="32" t="s">
        <v>3658</v>
      </c>
      <c r="J416" s="34">
        <v>1000</v>
      </c>
      <c r="K416" s="7">
        <v>44941</v>
      </c>
      <c r="N416" s="32">
        <v>3</v>
      </c>
      <c r="O416" s="36">
        <v>6.64</v>
      </c>
      <c r="Q416" s="5" t="s">
        <v>3662</v>
      </c>
      <c r="R416" s="5" t="s">
        <v>4209</v>
      </c>
      <c r="S416" s="6">
        <v>0</v>
      </c>
      <c r="T416" s="6">
        <v>0</v>
      </c>
      <c r="U416" s="6">
        <v>1000</v>
      </c>
      <c r="V416" s="7">
        <v>44872</v>
      </c>
      <c r="W416" s="7">
        <v>44941</v>
      </c>
      <c r="X416" s="7" t="s">
        <v>3790</v>
      </c>
      <c r="Y416" s="5" t="s">
        <v>4022</v>
      </c>
      <c r="Z416" s="5" t="s">
        <v>3790</v>
      </c>
      <c r="AA416" s="6">
        <v>0</v>
      </c>
      <c r="AB416" s="7" t="s">
        <v>4252</v>
      </c>
      <c r="AC416" s="7" t="str">
        <f>A416&amp;COUNTIF($A$2:A416,A416)</f>
        <v>100WE261-62001</v>
      </c>
      <c r="AD416" s="7">
        <v>44713</v>
      </c>
      <c r="AE416" s="7">
        <v>44941</v>
      </c>
      <c r="AF416" s="7">
        <v>44955</v>
      </c>
      <c r="AG416" s="5">
        <v>154</v>
      </c>
      <c r="AH416" s="5">
        <v>70</v>
      </c>
      <c r="AI416" s="5">
        <v>14</v>
      </c>
      <c r="AJ416" s="5">
        <v>1000</v>
      </c>
      <c r="AK416" s="5" t="str">
        <f t="shared" ca="1" si="6"/>
        <v>run complete</v>
      </c>
    </row>
    <row r="417" spans="1:37">
      <c r="A417" s="32" t="s">
        <v>1701</v>
      </c>
      <c r="B417" s="32">
        <v>7099</v>
      </c>
      <c r="C417" s="32" t="s">
        <v>3885</v>
      </c>
      <c r="E417" s="34">
        <v>0</v>
      </c>
      <c r="F417" s="32" t="s">
        <v>3881</v>
      </c>
      <c r="G417" s="34">
        <v>5500</v>
      </c>
      <c r="H417" s="7">
        <v>44970</v>
      </c>
      <c r="N417" s="32">
        <v>6</v>
      </c>
      <c r="O417" s="36">
        <v>4</v>
      </c>
      <c r="Q417" s="5" t="s">
        <v>3882</v>
      </c>
      <c r="R417" s="5" t="s">
        <v>4253</v>
      </c>
      <c r="S417" s="6">
        <v>0</v>
      </c>
      <c r="T417" s="6">
        <v>0</v>
      </c>
      <c r="U417" s="6">
        <v>0</v>
      </c>
      <c r="V417" s="7">
        <v>44970</v>
      </c>
      <c r="W417" s="7" t="s">
        <v>3790</v>
      </c>
      <c r="X417" s="7" t="s">
        <v>3790</v>
      </c>
      <c r="Y417" s="5" t="s">
        <v>4022</v>
      </c>
      <c r="Z417" s="5" t="s">
        <v>3790</v>
      </c>
      <c r="AA417" s="6">
        <v>0</v>
      </c>
      <c r="AB417" s="7" t="s">
        <v>4254</v>
      </c>
      <c r="AC417" s="7" t="str">
        <f>A417&amp;COUNTIF($A$2:A417,A417)</f>
        <v>100WM115-50001</v>
      </c>
      <c r="AD417" s="7">
        <v>44785</v>
      </c>
      <c r="AE417" s="7">
        <v>44970</v>
      </c>
      <c r="AF417" s="7">
        <v>44984</v>
      </c>
      <c r="AG417" s="5">
        <v>84</v>
      </c>
      <c r="AH417" s="5">
        <v>14</v>
      </c>
      <c r="AI417" s="5">
        <v>14</v>
      </c>
      <c r="AJ417" s="5">
        <v>5500</v>
      </c>
      <c r="AK417" s="5" t="str">
        <f t="shared" ca="1" si="6"/>
        <v>within range</v>
      </c>
    </row>
    <row r="418" spans="1:37">
      <c r="A418" s="32" t="s">
        <v>1703</v>
      </c>
      <c r="B418" s="32">
        <v>7099</v>
      </c>
      <c r="C418" s="32" t="s">
        <v>3885</v>
      </c>
      <c r="E418" s="34">
        <v>0</v>
      </c>
      <c r="F418" s="32" t="s">
        <v>3881</v>
      </c>
      <c r="G418" s="34">
        <v>5500</v>
      </c>
      <c r="H418" s="7">
        <v>44970</v>
      </c>
      <c r="N418" s="32">
        <v>6</v>
      </c>
      <c r="O418" s="36">
        <v>4</v>
      </c>
      <c r="Q418" s="5" t="s">
        <v>3882</v>
      </c>
      <c r="R418" s="5" t="s">
        <v>4253</v>
      </c>
      <c r="S418" s="6">
        <v>0</v>
      </c>
      <c r="T418" s="6">
        <v>0</v>
      </c>
      <c r="U418" s="6">
        <v>0</v>
      </c>
      <c r="V418" s="7">
        <v>44970</v>
      </c>
      <c r="W418" s="7" t="s">
        <v>3790</v>
      </c>
      <c r="X418" s="7" t="s">
        <v>3790</v>
      </c>
      <c r="Y418" s="5" t="s">
        <v>4022</v>
      </c>
      <c r="Z418" s="5" t="s">
        <v>3790</v>
      </c>
      <c r="AA418" s="6">
        <v>0</v>
      </c>
      <c r="AB418" s="7" t="s">
        <v>4256</v>
      </c>
      <c r="AC418" s="7" t="str">
        <f>A418&amp;COUNTIF($A$2:A418,A418)</f>
        <v>100WM115-62002</v>
      </c>
      <c r="AD418" s="7">
        <v>44785</v>
      </c>
      <c r="AE418" s="7">
        <v>44970</v>
      </c>
      <c r="AF418" s="7">
        <v>44984</v>
      </c>
      <c r="AG418" s="5">
        <v>84</v>
      </c>
      <c r="AH418" s="5">
        <v>14</v>
      </c>
      <c r="AI418" s="5">
        <v>14</v>
      </c>
      <c r="AJ418" s="5">
        <v>5500</v>
      </c>
      <c r="AK418" s="5" t="str">
        <f t="shared" ca="1" si="6"/>
        <v>within range</v>
      </c>
    </row>
    <row r="419" spans="1:37">
      <c r="A419" s="32" t="s">
        <v>1713</v>
      </c>
      <c r="B419" s="32">
        <v>7201</v>
      </c>
      <c r="C419" s="32" t="s">
        <v>6158</v>
      </c>
      <c r="G419" s="34">
        <v>400</v>
      </c>
      <c r="H419" s="7">
        <v>44945</v>
      </c>
      <c r="N419" s="32">
        <v>6</v>
      </c>
      <c r="O419" s="36">
        <v>4.8</v>
      </c>
      <c r="P419" s="32" t="s">
        <v>6159</v>
      </c>
      <c r="Q419" s="5" t="s">
        <v>893</v>
      </c>
      <c r="R419" s="5" t="s">
        <v>6160</v>
      </c>
      <c r="S419" s="6">
        <v>0</v>
      </c>
      <c r="T419" s="6">
        <v>0</v>
      </c>
      <c r="U419" s="6">
        <v>0</v>
      </c>
      <c r="V419" s="7">
        <v>44945</v>
      </c>
      <c r="W419" s="7" t="s">
        <v>3790</v>
      </c>
      <c r="X419" s="7" t="s">
        <v>3790</v>
      </c>
      <c r="Y419" s="5" t="s">
        <v>4022</v>
      </c>
      <c r="Z419" s="5" t="s">
        <v>3790</v>
      </c>
      <c r="AA419" s="6">
        <v>0</v>
      </c>
      <c r="AB419" s="7" t="s">
        <v>6161</v>
      </c>
      <c r="AC419" s="7" t="str">
        <f>A419&amp;COUNTIF($A$2:A419,A419)</f>
        <v>100WM255-62001</v>
      </c>
      <c r="AD419" s="7">
        <v>44873</v>
      </c>
      <c r="AE419" s="7">
        <v>44945</v>
      </c>
      <c r="AF419" s="7">
        <v>44959</v>
      </c>
      <c r="AG419" s="5">
        <v>140</v>
      </c>
      <c r="AH419" s="5">
        <v>14</v>
      </c>
      <c r="AI419" s="5">
        <v>14</v>
      </c>
      <c r="AJ419" s="5">
        <v>400</v>
      </c>
      <c r="AK419" s="5" t="str">
        <f t="shared" ca="1" si="6"/>
        <v>within range</v>
      </c>
    </row>
    <row r="420" spans="1:37">
      <c r="A420" s="32" t="s">
        <v>1723</v>
      </c>
      <c r="B420" s="32">
        <v>7228</v>
      </c>
      <c r="C420" s="32" t="s">
        <v>1722</v>
      </c>
      <c r="E420" s="34">
        <v>0</v>
      </c>
      <c r="F420" s="32" t="s">
        <v>3881</v>
      </c>
      <c r="G420" s="34">
        <v>600</v>
      </c>
      <c r="H420" s="7">
        <v>44977</v>
      </c>
      <c r="N420" s="32">
        <v>3</v>
      </c>
      <c r="O420" s="36">
        <v>6.51</v>
      </c>
      <c r="Q420" s="5" t="s">
        <v>3882</v>
      </c>
      <c r="R420" s="5" t="s">
        <v>7713</v>
      </c>
      <c r="S420" s="6">
        <v>0</v>
      </c>
      <c r="T420" s="6">
        <v>0</v>
      </c>
      <c r="U420" s="6">
        <v>0</v>
      </c>
      <c r="V420" s="7">
        <v>44977</v>
      </c>
      <c r="W420" s="7" t="s">
        <v>3790</v>
      </c>
      <c r="X420" s="7" t="s">
        <v>3790</v>
      </c>
      <c r="Y420" s="5" t="s">
        <v>4022</v>
      </c>
      <c r="Z420" s="5" t="s">
        <v>3790</v>
      </c>
      <c r="AA420" s="6">
        <v>0</v>
      </c>
      <c r="AB420" s="7" t="s">
        <v>7714</v>
      </c>
      <c r="AC420" s="7" t="str">
        <f>A420&amp;COUNTIF($A$2:A420,A420)</f>
        <v>100WM331-43001</v>
      </c>
      <c r="AD420" s="7">
        <v>44916</v>
      </c>
      <c r="AE420" s="7">
        <v>44977</v>
      </c>
      <c r="AF420" s="7">
        <v>44991</v>
      </c>
      <c r="AG420" s="5">
        <v>84</v>
      </c>
      <c r="AH420" s="5">
        <v>14</v>
      </c>
      <c r="AI420" s="5">
        <v>14</v>
      </c>
      <c r="AJ420" s="5">
        <v>600</v>
      </c>
      <c r="AK420" s="5" t="str">
        <f t="shared" ca="1" si="6"/>
        <v>within range</v>
      </c>
    </row>
    <row r="421" spans="1:37">
      <c r="A421" s="32" t="s">
        <v>1725</v>
      </c>
      <c r="B421" s="32">
        <v>7228</v>
      </c>
      <c r="C421" s="32" t="s">
        <v>1722</v>
      </c>
      <c r="E421" s="34">
        <v>0</v>
      </c>
      <c r="F421" s="32" t="s">
        <v>3881</v>
      </c>
      <c r="G421" s="34">
        <v>1100</v>
      </c>
      <c r="H421" s="7">
        <v>44977</v>
      </c>
      <c r="N421" s="32">
        <v>3</v>
      </c>
      <c r="O421" s="36">
        <v>6.51</v>
      </c>
      <c r="Q421" s="5" t="s">
        <v>3882</v>
      </c>
      <c r="R421" s="5" t="s">
        <v>7713</v>
      </c>
      <c r="S421" s="6">
        <v>0</v>
      </c>
      <c r="T421" s="6">
        <v>0</v>
      </c>
      <c r="U421" s="6">
        <v>0</v>
      </c>
      <c r="V421" s="7">
        <v>44977</v>
      </c>
      <c r="W421" s="7" t="s">
        <v>3790</v>
      </c>
      <c r="X421" s="7" t="s">
        <v>3790</v>
      </c>
      <c r="Y421" s="5" t="s">
        <v>4022</v>
      </c>
      <c r="Z421" s="5" t="s">
        <v>3790</v>
      </c>
      <c r="AA421" s="6">
        <v>0</v>
      </c>
      <c r="AB421" s="7" t="s">
        <v>7715</v>
      </c>
      <c r="AC421" s="7" t="str">
        <f>A421&amp;COUNTIF($A$2:A421,A421)</f>
        <v>100WM332-62001</v>
      </c>
      <c r="AD421" s="7">
        <v>44916</v>
      </c>
      <c r="AE421" s="7">
        <v>44977</v>
      </c>
      <c r="AF421" s="7">
        <v>44991</v>
      </c>
      <c r="AG421" s="5">
        <v>84</v>
      </c>
      <c r="AH421" s="5">
        <v>14</v>
      </c>
      <c r="AI421" s="5">
        <v>14</v>
      </c>
      <c r="AJ421" s="5">
        <v>1100</v>
      </c>
      <c r="AK421" s="5" t="str">
        <f t="shared" ca="1" si="6"/>
        <v>within range</v>
      </c>
    </row>
    <row r="422" spans="1:37">
      <c r="A422" s="32" t="s">
        <v>1728</v>
      </c>
      <c r="B422" s="32">
        <v>7228</v>
      </c>
      <c r="C422" s="32" t="s">
        <v>1722</v>
      </c>
      <c r="E422" s="34">
        <v>0</v>
      </c>
      <c r="F422" s="32" t="s">
        <v>3881</v>
      </c>
      <c r="G422" s="34">
        <v>500</v>
      </c>
      <c r="H422" s="7">
        <v>44977</v>
      </c>
      <c r="N422" s="32">
        <v>3</v>
      </c>
      <c r="O422" s="36">
        <v>6.51</v>
      </c>
      <c r="Q422" s="5" t="s">
        <v>3882</v>
      </c>
      <c r="R422" s="5" t="s">
        <v>7713</v>
      </c>
      <c r="S422" s="6">
        <v>0</v>
      </c>
      <c r="T422" s="6">
        <v>0</v>
      </c>
      <c r="U422" s="6">
        <v>0</v>
      </c>
      <c r="V422" s="7">
        <v>44977</v>
      </c>
      <c r="W422" s="7" t="s">
        <v>3790</v>
      </c>
      <c r="X422" s="7" t="s">
        <v>3790</v>
      </c>
      <c r="Y422" s="5" t="s">
        <v>4022</v>
      </c>
      <c r="Z422" s="5" t="s">
        <v>3790</v>
      </c>
      <c r="AA422" s="6">
        <v>0</v>
      </c>
      <c r="AB422" s="7" t="s">
        <v>7716</v>
      </c>
      <c r="AC422" s="7" t="str">
        <f>A422&amp;COUNTIF($A$2:A422,A422)</f>
        <v>100WM333-62001</v>
      </c>
      <c r="AD422" s="7">
        <v>44916</v>
      </c>
      <c r="AE422" s="7">
        <v>44977</v>
      </c>
      <c r="AF422" s="7">
        <v>44991</v>
      </c>
      <c r="AG422" s="5">
        <v>84</v>
      </c>
      <c r="AH422" s="5">
        <v>14</v>
      </c>
      <c r="AI422" s="5">
        <v>14</v>
      </c>
      <c r="AJ422" s="5">
        <v>500</v>
      </c>
      <c r="AK422" s="5" t="str">
        <f t="shared" ca="1" si="6"/>
        <v>within range</v>
      </c>
    </row>
    <row r="423" spans="1:37">
      <c r="A423" s="32" t="s">
        <v>1731</v>
      </c>
      <c r="B423" s="32">
        <v>7137</v>
      </c>
      <c r="C423" s="32" t="s">
        <v>1732</v>
      </c>
      <c r="G423" s="34">
        <v>3300</v>
      </c>
      <c r="H423" s="7">
        <v>44895</v>
      </c>
      <c r="I423" s="32" t="s">
        <v>3692</v>
      </c>
      <c r="J423" s="34">
        <v>4039</v>
      </c>
      <c r="K423" s="7">
        <v>44950</v>
      </c>
      <c r="O423" s="36">
        <v>5.77</v>
      </c>
      <c r="P423" s="32" t="s">
        <v>7588</v>
      </c>
      <c r="Q423" s="5" t="s">
        <v>3702</v>
      </c>
      <c r="R423" s="5" t="s">
        <v>5256</v>
      </c>
      <c r="S423" s="6">
        <v>0</v>
      </c>
      <c r="T423" s="6">
        <v>0</v>
      </c>
      <c r="U423" s="6">
        <v>4039</v>
      </c>
      <c r="V423" s="7">
        <v>44895</v>
      </c>
      <c r="W423" s="7">
        <v>44950</v>
      </c>
      <c r="X423" s="7" t="s">
        <v>3790</v>
      </c>
      <c r="Y423" s="5" t="s">
        <v>4022</v>
      </c>
      <c r="Z423" s="5" t="s">
        <v>3790</v>
      </c>
      <c r="AA423" s="6">
        <v>0</v>
      </c>
      <c r="AB423" s="7" t="s">
        <v>5332</v>
      </c>
      <c r="AC423" s="7" t="str">
        <f>A423&amp;COUNTIF($A$2:A423,A423)</f>
        <v>100WM345-50001</v>
      </c>
      <c r="AD423" s="7">
        <v>44825</v>
      </c>
      <c r="AE423" s="7">
        <v>44950</v>
      </c>
      <c r="AF423" s="7">
        <v>44964</v>
      </c>
      <c r="AG423" s="5">
        <v>98</v>
      </c>
      <c r="AH423" s="5">
        <v>49</v>
      </c>
      <c r="AI423" s="5">
        <v>14</v>
      </c>
      <c r="AJ423" s="5">
        <v>3300</v>
      </c>
      <c r="AK423" s="5" t="str">
        <f t="shared" ca="1" si="6"/>
        <v>run complete</v>
      </c>
    </row>
    <row r="424" spans="1:37">
      <c r="A424" s="32" t="s">
        <v>1751</v>
      </c>
      <c r="B424" s="32" t="s">
        <v>3909</v>
      </c>
      <c r="C424" s="32" t="s">
        <v>3910</v>
      </c>
      <c r="D424" s="32" t="s">
        <v>3701</v>
      </c>
      <c r="E424" s="34">
        <v>0</v>
      </c>
      <c r="F424" s="32" t="s">
        <v>3701</v>
      </c>
      <c r="G424" s="34">
        <v>13500</v>
      </c>
      <c r="H424" s="7">
        <v>44936</v>
      </c>
      <c r="I424" s="32" t="s">
        <v>3790</v>
      </c>
      <c r="J424" s="34">
        <v>0</v>
      </c>
      <c r="M424" s="34">
        <v>0</v>
      </c>
      <c r="N424" s="32" t="s">
        <v>3528</v>
      </c>
      <c r="O424" s="36">
        <v>3.38</v>
      </c>
      <c r="P424" s="32" t="s">
        <v>3701</v>
      </c>
      <c r="Q424" s="5" t="s">
        <v>3911</v>
      </c>
      <c r="R424" s="5" t="s">
        <v>3909</v>
      </c>
      <c r="S424" s="6">
        <v>0</v>
      </c>
      <c r="T424" s="6">
        <v>0</v>
      </c>
      <c r="U424" s="6">
        <v>0</v>
      </c>
      <c r="V424" s="7">
        <v>44936</v>
      </c>
      <c r="W424" s="7" t="s">
        <v>3790</v>
      </c>
      <c r="X424" s="7" t="s">
        <v>3790</v>
      </c>
      <c r="Y424" s="5" t="s">
        <v>4022</v>
      </c>
      <c r="Z424" s="5" t="s">
        <v>3790</v>
      </c>
      <c r="AA424" s="6">
        <v>0</v>
      </c>
      <c r="AB424" s="7" t="s">
        <v>4261</v>
      </c>
      <c r="AC424" s="7" t="str">
        <f>A424&amp;COUNTIF($A$2:A424,A424)</f>
        <v>100WM791-50001</v>
      </c>
      <c r="AD424" s="7">
        <v>44337</v>
      </c>
      <c r="AE424" s="7">
        <v>44936</v>
      </c>
      <c r="AF424" s="7">
        <v>44950</v>
      </c>
      <c r="AG424" s="5">
        <v>196</v>
      </c>
      <c r="AH424" s="5">
        <v>14</v>
      </c>
      <c r="AI424" s="5">
        <v>14</v>
      </c>
      <c r="AJ424" s="5">
        <v>13500</v>
      </c>
      <c r="AK424" s="5" t="str">
        <f t="shared" ca="1" si="6"/>
        <v>within range</v>
      </c>
    </row>
    <row r="425" spans="1:37">
      <c r="A425" s="32" t="s">
        <v>1751</v>
      </c>
      <c r="B425" s="32" t="s">
        <v>3958</v>
      </c>
      <c r="C425" s="32" t="s">
        <v>3910</v>
      </c>
      <c r="D425" s="32" t="s">
        <v>3701</v>
      </c>
      <c r="E425" s="34">
        <v>0</v>
      </c>
      <c r="F425" s="32" t="s">
        <v>3701</v>
      </c>
      <c r="G425" s="34">
        <v>10000</v>
      </c>
      <c r="H425" s="7">
        <v>44971</v>
      </c>
      <c r="I425" s="32" t="s">
        <v>3790</v>
      </c>
      <c r="J425" s="34">
        <v>0</v>
      </c>
      <c r="M425" s="34">
        <v>0</v>
      </c>
      <c r="N425" s="32" t="s">
        <v>3528</v>
      </c>
      <c r="O425" s="36">
        <v>3.38</v>
      </c>
      <c r="P425" s="32" t="s">
        <v>3701</v>
      </c>
      <c r="Q425" s="5" t="s">
        <v>3911</v>
      </c>
      <c r="R425" s="5" t="s">
        <v>3958</v>
      </c>
      <c r="S425" s="6">
        <v>0</v>
      </c>
      <c r="T425" s="6">
        <v>0</v>
      </c>
      <c r="U425" s="6">
        <v>0</v>
      </c>
      <c r="V425" s="7">
        <v>44971</v>
      </c>
      <c r="W425" s="7" t="s">
        <v>3790</v>
      </c>
      <c r="X425" s="7" t="s">
        <v>3790</v>
      </c>
      <c r="Y425" s="5" t="s">
        <v>4022</v>
      </c>
      <c r="Z425" s="5" t="s">
        <v>3790</v>
      </c>
      <c r="AA425" s="6">
        <v>0</v>
      </c>
      <c r="AB425" s="7" t="s">
        <v>4262</v>
      </c>
      <c r="AC425" s="7" t="str">
        <f>A425&amp;COUNTIF($A$2:A425,A425)</f>
        <v>100WM791-50002</v>
      </c>
      <c r="AD425" s="7">
        <v>44761</v>
      </c>
      <c r="AE425" s="7">
        <v>44971</v>
      </c>
      <c r="AF425" s="7">
        <v>44985</v>
      </c>
      <c r="AG425" s="5">
        <v>196</v>
      </c>
      <c r="AH425" s="5">
        <v>14</v>
      </c>
      <c r="AI425" s="5">
        <v>14</v>
      </c>
      <c r="AJ425" s="5">
        <v>10000</v>
      </c>
      <c r="AK425" s="5" t="str">
        <f t="shared" ca="1" si="6"/>
        <v>within range</v>
      </c>
    </row>
    <row r="426" spans="1:37">
      <c r="A426" s="32" t="s">
        <v>1752</v>
      </c>
      <c r="B426" s="32" t="s">
        <v>3958</v>
      </c>
      <c r="C426" s="32" t="s">
        <v>3912</v>
      </c>
      <c r="D426" s="32" t="s">
        <v>3663</v>
      </c>
      <c r="E426" s="34">
        <v>0</v>
      </c>
      <c r="F426" s="32" t="s">
        <v>3701</v>
      </c>
      <c r="G426" s="34">
        <v>10000</v>
      </c>
      <c r="H426" s="7">
        <v>44971</v>
      </c>
      <c r="I426" s="32" t="s">
        <v>3790</v>
      </c>
      <c r="J426" s="34">
        <v>0</v>
      </c>
      <c r="M426" s="34">
        <v>0</v>
      </c>
      <c r="N426" s="32" t="s">
        <v>3528</v>
      </c>
      <c r="O426" s="36">
        <v>3.38</v>
      </c>
      <c r="P426" s="32" t="s">
        <v>3701</v>
      </c>
      <c r="Q426" s="5" t="s">
        <v>3911</v>
      </c>
      <c r="R426" s="5" t="s">
        <v>3958</v>
      </c>
      <c r="S426" s="6">
        <v>0</v>
      </c>
      <c r="T426" s="6">
        <v>0</v>
      </c>
      <c r="U426" s="6">
        <v>0</v>
      </c>
      <c r="V426" s="7">
        <v>44971</v>
      </c>
      <c r="W426" s="7" t="s">
        <v>3790</v>
      </c>
      <c r="X426" s="7" t="s">
        <v>3790</v>
      </c>
      <c r="Y426" s="5" t="s">
        <v>4022</v>
      </c>
      <c r="Z426" s="5" t="s">
        <v>3790</v>
      </c>
      <c r="AA426" s="6">
        <v>0</v>
      </c>
      <c r="AB426" s="7" t="s">
        <v>4263</v>
      </c>
      <c r="AC426" s="7" t="str">
        <f>A426&amp;COUNTIF($A$2:A426,A426)</f>
        <v>100WM791-62001</v>
      </c>
      <c r="AD426" s="7">
        <v>44761</v>
      </c>
      <c r="AE426" s="7">
        <v>44971</v>
      </c>
      <c r="AF426" s="7">
        <v>44985</v>
      </c>
      <c r="AG426" s="5">
        <v>196</v>
      </c>
      <c r="AH426" s="5">
        <v>14</v>
      </c>
      <c r="AI426" s="5">
        <v>14</v>
      </c>
      <c r="AJ426" s="5">
        <v>10000</v>
      </c>
      <c r="AK426" s="5" t="str">
        <f t="shared" ca="1" si="6"/>
        <v>within range</v>
      </c>
    </row>
    <row r="427" spans="1:37">
      <c r="A427" s="32" t="s">
        <v>1759</v>
      </c>
      <c r="B427" s="32" t="s">
        <v>3958</v>
      </c>
      <c r="C427" s="32" t="s">
        <v>3917</v>
      </c>
      <c r="D427" s="32" t="s">
        <v>3701</v>
      </c>
      <c r="E427" s="34">
        <v>0</v>
      </c>
      <c r="F427" s="32" t="s">
        <v>3701</v>
      </c>
      <c r="G427" s="34">
        <v>2500</v>
      </c>
      <c r="H427" s="7">
        <v>44991</v>
      </c>
      <c r="I427" s="32" t="s">
        <v>3790</v>
      </c>
      <c r="J427" s="34">
        <v>0</v>
      </c>
      <c r="M427" s="34">
        <v>0</v>
      </c>
      <c r="N427" s="32" t="s">
        <v>3528</v>
      </c>
      <c r="O427" s="36">
        <v>4.13</v>
      </c>
      <c r="P427" s="32" t="s">
        <v>3701</v>
      </c>
      <c r="Q427" s="5" t="s">
        <v>3911</v>
      </c>
      <c r="R427" s="5" t="s">
        <v>3958</v>
      </c>
      <c r="S427" s="6">
        <v>0</v>
      </c>
      <c r="T427" s="6">
        <v>0</v>
      </c>
      <c r="U427" s="6">
        <v>0</v>
      </c>
      <c r="V427" s="7">
        <v>44991</v>
      </c>
      <c r="W427" s="7" t="s">
        <v>3790</v>
      </c>
      <c r="X427" s="7" t="s">
        <v>3790</v>
      </c>
      <c r="Y427" s="5" t="s">
        <v>4022</v>
      </c>
      <c r="Z427" s="5" t="s">
        <v>3790</v>
      </c>
      <c r="AA427" s="6">
        <v>0</v>
      </c>
      <c r="AB427" s="7" t="s">
        <v>4264</v>
      </c>
      <c r="AC427" s="7" t="str">
        <f>A427&amp;COUNTIF($A$2:A427,A427)</f>
        <v>100WM951-50001</v>
      </c>
      <c r="AD427" s="7">
        <v>44761</v>
      </c>
      <c r="AE427" s="7">
        <v>44991</v>
      </c>
      <c r="AF427" s="7">
        <v>45005</v>
      </c>
      <c r="AG427" s="5">
        <v>196</v>
      </c>
      <c r="AH427" s="5">
        <v>14</v>
      </c>
      <c r="AI427" s="5">
        <v>14</v>
      </c>
      <c r="AJ427" s="5">
        <v>2500</v>
      </c>
      <c r="AK427" s="5" t="str">
        <f t="shared" ca="1" si="6"/>
        <v>within range</v>
      </c>
    </row>
    <row r="428" spans="1:37">
      <c r="A428" s="32" t="s">
        <v>1761</v>
      </c>
      <c r="B428" s="32" t="s">
        <v>3958</v>
      </c>
      <c r="C428" s="32" t="s">
        <v>3918</v>
      </c>
      <c r="D428" s="32" t="s">
        <v>3701</v>
      </c>
      <c r="E428" s="34">
        <v>0</v>
      </c>
      <c r="F428" s="32" t="s">
        <v>3701</v>
      </c>
      <c r="G428" s="34">
        <v>2500</v>
      </c>
      <c r="H428" s="7">
        <v>44991</v>
      </c>
      <c r="I428" s="32" t="s">
        <v>3790</v>
      </c>
      <c r="J428" s="34">
        <v>0</v>
      </c>
      <c r="M428" s="34">
        <v>0</v>
      </c>
      <c r="N428" s="32" t="s">
        <v>3528</v>
      </c>
      <c r="O428" s="36">
        <v>4.13</v>
      </c>
      <c r="P428" s="32" t="s">
        <v>3701</v>
      </c>
      <c r="Q428" s="5" t="s">
        <v>3911</v>
      </c>
      <c r="R428" s="5" t="s">
        <v>3958</v>
      </c>
      <c r="S428" s="6">
        <v>0</v>
      </c>
      <c r="T428" s="6">
        <v>0</v>
      </c>
      <c r="U428" s="6">
        <v>0</v>
      </c>
      <c r="V428" s="7">
        <v>44991</v>
      </c>
      <c r="W428" s="7" t="s">
        <v>3790</v>
      </c>
      <c r="X428" s="7" t="s">
        <v>3790</v>
      </c>
      <c r="Y428" s="5" t="s">
        <v>4022</v>
      </c>
      <c r="Z428" s="5" t="s">
        <v>3790</v>
      </c>
      <c r="AA428" s="6">
        <v>0</v>
      </c>
      <c r="AB428" s="7" t="s">
        <v>4265</v>
      </c>
      <c r="AC428" s="7" t="str">
        <f>A428&amp;COUNTIF($A$2:A428,A428)</f>
        <v>100WM951-62001</v>
      </c>
      <c r="AD428" s="7">
        <v>44761</v>
      </c>
      <c r="AE428" s="7">
        <v>44991</v>
      </c>
      <c r="AF428" s="7">
        <v>45005</v>
      </c>
      <c r="AG428" s="5">
        <v>196</v>
      </c>
      <c r="AH428" s="5">
        <v>14</v>
      </c>
      <c r="AI428" s="5">
        <v>14</v>
      </c>
      <c r="AJ428" s="5">
        <v>2500</v>
      </c>
      <c r="AK428" s="5" t="str">
        <f t="shared" ca="1" si="6"/>
        <v>within range</v>
      </c>
    </row>
    <row r="429" spans="1:37">
      <c r="A429" s="32" t="s">
        <v>1786</v>
      </c>
      <c r="B429" s="32">
        <v>7215</v>
      </c>
      <c r="C429" s="32" t="s">
        <v>7717</v>
      </c>
      <c r="G429" s="34">
        <v>5000</v>
      </c>
      <c r="H429" s="7" t="s">
        <v>7718</v>
      </c>
      <c r="N429" s="32">
        <v>6</v>
      </c>
      <c r="O429" s="36">
        <v>4.57</v>
      </c>
      <c r="P429" s="32" t="s">
        <v>7719</v>
      </c>
      <c r="Q429" s="5" t="s">
        <v>893</v>
      </c>
      <c r="R429" s="5" t="s">
        <v>7720</v>
      </c>
      <c r="S429" s="6">
        <v>0</v>
      </c>
      <c r="T429" s="6">
        <v>0</v>
      </c>
      <c r="U429" s="6">
        <v>0</v>
      </c>
      <c r="V429" s="7" t="e">
        <v>#VALUE!</v>
      </c>
      <c r="W429" s="7" t="s">
        <v>3790</v>
      </c>
      <c r="X429" s="7" t="s">
        <v>3790</v>
      </c>
      <c r="Y429" s="5" t="s">
        <v>4022</v>
      </c>
      <c r="Z429" s="5" t="s">
        <v>3790</v>
      </c>
      <c r="AA429" s="6">
        <v>0</v>
      </c>
      <c r="AB429" s="7" t="s">
        <v>7721</v>
      </c>
      <c r="AC429" s="7" t="str">
        <f>A429&amp;COUNTIF($A$2:A429,A429)</f>
        <v>100WO740-50001</v>
      </c>
      <c r="AD429" s="7">
        <v>44904</v>
      </c>
      <c r="AE429" s="7" t="e">
        <v>#VALUE!</v>
      </c>
      <c r="AF429" s="7" t="e">
        <v>#VALUE!</v>
      </c>
      <c r="AG429" s="5">
        <v>140</v>
      </c>
      <c r="AH429" s="5">
        <v>14</v>
      </c>
      <c r="AI429" s="5">
        <v>14</v>
      </c>
      <c r="AJ429" s="5">
        <v>5000</v>
      </c>
      <c r="AK429" s="5" t="str">
        <f t="shared" ca="1" si="6"/>
        <v>missing supplier data</v>
      </c>
    </row>
    <row r="430" spans="1:37">
      <c r="A430" s="32" t="s">
        <v>1801</v>
      </c>
      <c r="B430" s="32">
        <v>7119</v>
      </c>
      <c r="C430" s="32" t="s">
        <v>1798</v>
      </c>
      <c r="E430" s="34">
        <v>3111</v>
      </c>
      <c r="G430" s="34">
        <v>3000</v>
      </c>
      <c r="H430" s="7">
        <v>44910</v>
      </c>
      <c r="I430" s="32" t="s">
        <v>3756</v>
      </c>
      <c r="L430" s="7">
        <v>45093</v>
      </c>
      <c r="N430" s="32">
        <v>6</v>
      </c>
      <c r="O430" s="36">
        <v>4.8</v>
      </c>
      <c r="P430" s="32" t="s">
        <v>3753</v>
      </c>
      <c r="Q430" s="5" t="s">
        <v>893</v>
      </c>
      <c r="R430" s="5" t="s">
        <v>4269</v>
      </c>
      <c r="S430" s="6">
        <v>3111</v>
      </c>
      <c r="T430" s="6">
        <v>3111</v>
      </c>
      <c r="U430" s="6">
        <v>0</v>
      </c>
      <c r="V430" s="7">
        <v>44910</v>
      </c>
      <c r="W430" s="7" t="s">
        <v>3790</v>
      </c>
      <c r="X430" s="7">
        <v>45093</v>
      </c>
      <c r="Y430" s="5" t="s">
        <v>4022</v>
      </c>
      <c r="Z430" s="5" t="s">
        <v>3790</v>
      </c>
      <c r="AA430" s="6">
        <v>3111</v>
      </c>
      <c r="AB430" s="7" t="s">
        <v>4270</v>
      </c>
      <c r="AC430" s="7" t="str">
        <f>A430&amp;COUNTIF($A$2:A430,A430)</f>
        <v>100WO951-62002</v>
      </c>
      <c r="AD430" s="7">
        <v>44797</v>
      </c>
      <c r="AE430" s="7">
        <v>44910</v>
      </c>
      <c r="AF430" s="7">
        <v>44924</v>
      </c>
      <c r="AG430" s="5">
        <v>140</v>
      </c>
      <c r="AH430" s="5">
        <v>14</v>
      </c>
      <c r="AI430" s="5">
        <v>14</v>
      </c>
      <c r="AJ430" s="5">
        <v>3000</v>
      </c>
      <c r="AK430" s="5" t="str">
        <f t="shared" ca="1" si="6"/>
        <v>run complete</v>
      </c>
    </row>
    <row r="431" spans="1:37">
      <c r="A431" s="32" t="s">
        <v>1823</v>
      </c>
      <c r="B431" s="32">
        <v>7060</v>
      </c>
      <c r="C431" s="32" t="s">
        <v>1824</v>
      </c>
      <c r="G431" s="34">
        <v>2400</v>
      </c>
      <c r="H431" s="7">
        <v>44956</v>
      </c>
      <c r="N431" s="32">
        <v>3</v>
      </c>
      <c r="O431" s="36">
        <v>5.0199999999999996</v>
      </c>
      <c r="Q431" s="5" t="s">
        <v>3787</v>
      </c>
      <c r="R431" s="5" t="s">
        <v>4277</v>
      </c>
      <c r="S431" s="6">
        <v>0</v>
      </c>
      <c r="T431" s="6">
        <v>0</v>
      </c>
      <c r="U431" s="6">
        <v>0</v>
      </c>
      <c r="V431" s="7">
        <v>44956</v>
      </c>
      <c r="W431" s="7" t="s">
        <v>3790</v>
      </c>
      <c r="X431" s="7" t="s">
        <v>3790</v>
      </c>
      <c r="Y431" s="5" t="s">
        <v>4022</v>
      </c>
      <c r="Z431" s="5" t="s">
        <v>3790</v>
      </c>
      <c r="AA431" s="6">
        <v>0</v>
      </c>
      <c r="AB431" s="7" t="s">
        <v>4278</v>
      </c>
      <c r="AC431" s="7" t="str">
        <f>A431&amp;COUNTIF($A$2:A431,A431)</f>
        <v>100WP500-50001</v>
      </c>
      <c r="AD431" s="7">
        <v>44736</v>
      </c>
      <c r="AE431" s="7">
        <v>44956</v>
      </c>
      <c r="AF431" s="7">
        <v>44998</v>
      </c>
      <c r="AG431" s="5">
        <v>168</v>
      </c>
      <c r="AH431" s="5">
        <v>42</v>
      </c>
      <c r="AI431" s="5">
        <v>14</v>
      </c>
      <c r="AJ431" s="5">
        <v>2400</v>
      </c>
      <c r="AK431" s="5" t="str">
        <f t="shared" ca="1" si="6"/>
        <v>within range</v>
      </c>
    </row>
    <row r="432" spans="1:37">
      <c r="A432" s="32" t="s">
        <v>1825</v>
      </c>
      <c r="B432" s="32">
        <v>7060</v>
      </c>
      <c r="C432" s="32" t="s">
        <v>1824</v>
      </c>
      <c r="D432" s="32" t="s">
        <v>3663</v>
      </c>
      <c r="G432" s="34">
        <v>2000</v>
      </c>
      <c r="H432" s="7">
        <v>44956</v>
      </c>
      <c r="N432" s="32">
        <v>3</v>
      </c>
      <c r="O432" s="36">
        <v>5.0199999999999996</v>
      </c>
      <c r="Q432" s="5" t="s">
        <v>3787</v>
      </c>
      <c r="R432" s="5" t="s">
        <v>4277</v>
      </c>
      <c r="S432" s="6">
        <v>0</v>
      </c>
      <c r="T432" s="6">
        <v>0</v>
      </c>
      <c r="U432" s="6">
        <v>0</v>
      </c>
      <c r="V432" s="7">
        <v>44956</v>
      </c>
      <c r="W432" s="7" t="s">
        <v>3790</v>
      </c>
      <c r="X432" s="7" t="s">
        <v>3790</v>
      </c>
      <c r="Y432" s="5" t="s">
        <v>4022</v>
      </c>
      <c r="Z432" s="5" t="s">
        <v>3790</v>
      </c>
      <c r="AA432" s="6">
        <v>0</v>
      </c>
      <c r="AB432" s="7" t="s">
        <v>4279</v>
      </c>
      <c r="AC432" s="7" t="str">
        <f>A432&amp;COUNTIF($A$2:A432,A432)</f>
        <v>100WP500-62001</v>
      </c>
      <c r="AD432" s="7">
        <v>44736</v>
      </c>
      <c r="AE432" s="7">
        <v>44956</v>
      </c>
      <c r="AF432" s="7">
        <v>44998</v>
      </c>
      <c r="AG432" s="5">
        <v>168</v>
      </c>
      <c r="AH432" s="5">
        <v>42</v>
      </c>
      <c r="AI432" s="5">
        <v>14</v>
      </c>
      <c r="AJ432" s="5">
        <v>2000</v>
      </c>
      <c r="AK432" s="5" t="str">
        <f t="shared" ca="1" si="6"/>
        <v>within range</v>
      </c>
    </row>
    <row r="433" spans="1:37">
      <c r="A433" s="32" t="s">
        <v>1830</v>
      </c>
      <c r="B433" s="32" t="s">
        <v>3575</v>
      </c>
      <c r="C433" s="32" t="s">
        <v>3576</v>
      </c>
      <c r="E433" s="34" t="s">
        <v>3527</v>
      </c>
      <c r="F433" s="32" t="s">
        <v>3524</v>
      </c>
      <c r="G433" s="34" t="s">
        <v>3531</v>
      </c>
      <c r="H433" s="7" t="s">
        <v>6354</v>
      </c>
      <c r="I433" s="32" t="s">
        <v>3526</v>
      </c>
      <c r="J433" s="34" t="s">
        <v>5973</v>
      </c>
      <c r="K433" s="7" t="s">
        <v>6397</v>
      </c>
      <c r="N433" s="32" t="s">
        <v>3532</v>
      </c>
      <c r="O433" s="36" t="s">
        <v>5243</v>
      </c>
      <c r="Q433" s="5" t="s">
        <v>5428</v>
      </c>
      <c r="R433" s="5" t="s">
        <v>3575</v>
      </c>
      <c r="S433" s="6">
        <v>0</v>
      </c>
      <c r="T433" s="6">
        <v>0</v>
      </c>
      <c r="U433" s="6">
        <v>2359</v>
      </c>
      <c r="V433" s="7">
        <v>44889</v>
      </c>
      <c r="W433" s="7">
        <v>44921</v>
      </c>
      <c r="X433" s="7" t="s">
        <v>3790</v>
      </c>
      <c r="Y433" s="5" t="s">
        <v>4022</v>
      </c>
      <c r="Z433" s="5" t="s">
        <v>3790</v>
      </c>
      <c r="AA433" s="6">
        <v>0</v>
      </c>
      <c r="AB433" s="7" t="s">
        <v>4283</v>
      </c>
      <c r="AC433" s="7" t="str">
        <f>A433&amp;COUNTIF($A$2:A433,A433)</f>
        <v>100WT790-50001</v>
      </c>
      <c r="AD433" s="7">
        <v>44726</v>
      </c>
      <c r="AE433" s="7">
        <v>44921</v>
      </c>
      <c r="AF433" s="7">
        <v>44935</v>
      </c>
      <c r="AG433" s="5">
        <v>84</v>
      </c>
      <c r="AH433" s="5">
        <v>56</v>
      </c>
      <c r="AI433" s="5">
        <v>14</v>
      </c>
      <c r="AJ433" s="5">
        <v>2200</v>
      </c>
      <c r="AK433" s="5" t="str">
        <f t="shared" ca="1" si="6"/>
        <v>run complete</v>
      </c>
    </row>
    <row r="434" spans="1:37">
      <c r="A434" s="32" t="s">
        <v>1836</v>
      </c>
      <c r="B434" s="32" t="s">
        <v>3587</v>
      </c>
      <c r="C434" s="32" t="s">
        <v>3588</v>
      </c>
      <c r="E434" s="34" t="s">
        <v>3527</v>
      </c>
      <c r="F434" s="32" t="s">
        <v>3524</v>
      </c>
      <c r="G434" s="34" t="s">
        <v>3551</v>
      </c>
      <c r="H434" s="7" t="s">
        <v>5563</v>
      </c>
      <c r="I434" s="32" t="s">
        <v>3526</v>
      </c>
      <c r="J434" s="34" t="s">
        <v>5290</v>
      </c>
      <c r="K434" s="7" t="s">
        <v>5499</v>
      </c>
      <c r="M434" s="34" t="s">
        <v>6355</v>
      </c>
      <c r="N434" s="32" t="s">
        <v>3532</v>
      </c>
      <c r="O434" s="36" t="s">
        <v>5568</v>
      </c>
      <c r="Q434" s="5" t="s">
        <v>5428</v>
      </c>
      <c r="R434" s="5" t="s">
        <v>3587</v>
      </c>
      <c r="S434" s="6">
        <v>0</v>
      </c>
      <c r="T434" s="6">
        <v>-525</v>
      </c>
      <c r="U434" s="6">
        <v>7117</v>
      </c>
      <c r="V434" s="7">
        <v>44875</v>
      </c>
      <c r="W434" s="7">
        <v>44923</v>
      </c>
      <c r="X434" s="7" t="s">
        <v>3790</v>
      </c>
      <c r="Y434" s="5" t="s">
        <v>4022</v>
      </c>
      <c r="Z434" s="5" t="s">
        <v>3790</v>
      </c>
      <c r="AA434" s="6">
        <v>-525</v>
      </c>
      <c r="AB434" s="7" t="s">
        <v>4286</v>
      </c>
      <c r="AC434" s="7" t="str">
        <f>A434&amp;COUNTIF($A$2:A434,A434)</f>
        <v>100WT850-50001</v>
      </c>
      <c r="AD434" s="7">
        <v>44726</v>
      </c>
      <c r="AE434" s="7">
        <v>44923</v>
      </c>
      <c r="AF434" s="7">
        <v>44937</v>
      </c>
      <c r="AG434" s="5">
        <v>84</v>
      </c>
      <c r="AH434" s="5">
        <v>56</v>
      </c>
      <c r="AI434" s="5">
        <v>14</v>
      </c>
      <c r="AJ434" s="5">
        <v>6601</v>
      </c>
      <c r="AK434" s="5" t="str">
        <f t="shared" ca="1" si="6"/>
        <v>run complete</v>
      </c>
    </row>
    <row r="435" spans="1:37">
      <c r="A435" s="32" t="s">
        <v>1838</v>
      </c>
      <c r="B435" s="32" t="s">
        <v>3587</v>
      </c>
      <c r="C435" s="32" t="s">
        <v>3588</v>
      </c>
      <c r="E435" s="34" t="s">
        <v>3527</v>
      </c>
      <c r="F435" s="32" t="s">
        <v>3524</v>
      </c>
      <c r="G435" s="34" t="s">
        <v>3531</v>
      </c>
      <c r="H435" s="7" t="s">
        <v>5567</v>
      </c>
      <c r="I435" s="32" t="s">
        <v>3526</v>
      </c>
      <c r="J435" s="34" t="s">
        <v>6356</v>
      </c>
      <c r="K435" s="7" t="s">
        <v>5499</v>
      </c>
      <c r="M435" s="34" t="s">
        <v>6321</v>
      </c>
      <c r="N435" s="32" t="s">
        <v>3532</v>
      </c>
      <c r="O435" s="36" t="s">
        <v>5568</v>
      </c>
      <c r="Q435" s="5" t="s">
        <v>5428</v>
      </c>
      <c r="R435" s="5" t="s">
        <v>3587</v>
      </c>
      <c r="S435" s="6">
        <v>0</v>
      </c>
      <c r="T435" s="6">
        <v>-146</v>
      </c>
      <c r="U435" s="6">
        <v>2346</v>
      </c>
      <c r="V435" s="7">
        <v>44872</v>
      </c>
      <c r="W435" s="7">
        <v>44923</v>
      </c>
      <c r="X435" s="7" t="s">
        <v>3790</v>
      </c>
      <c r="Y435" s="5" t="s">
        <v>4022</v>
      </c>
      <c r="Z435" s="5" t="s">
        <v>3790</v>
      </c>
      <c r="AA435" s="6">
        <v>-146</v>
      </c>
      <c r="AB435" s="7" t="s">
        <v>4287</v>
      </c>
      <c r="AC435" s="7" t="str">
        <f>A435&amp;COUNTIF($A$2:A435,A435)</f>
        <v>100WT850-62001</v>
      </c>
      <c r="AD435" s="7">
        <v>44726</v>
      </c>
      <c r="AE435" s="7">
        <v>44923</v>
      </c>
      <c r="AF435" s="7">
        <v>44937</v>
      </c>
      <c r="AG435" s="5">
        <v>84</v>
      </c>
      <c r="AH435" s="5">
        <v>56</v>
      </c>
      <c r="AI435" s="5">
        <v>14</v>
      </c>
      <c r="AJ435" s="5">
        <v>2200</v>
      </c>
      <c r="AK435" s="5" t="str">
        <f t="shared" ca="1" si="6"/>
        <v>run complete</v>
      </c>
    </row>
    <row r="436" spans="1:37">
      <c r="A436" s="32" t="s">
        <v>1848</v>
      </c>
      <c r="B436" s="32">
        <v>7130</v>
      </c>
      <c r="C436" s="32" t="s">
        <v>3754</v>
      </c>
      <c r="G436" s="34">
        <v>3000</v>
      </c>
      <c r="H436" s="7">
        <v>44945</v>
      </c>
      <c r="N436" s="32">
        <v>3</v>
      </c>
      <c r="O436" s="36">
        <v>4.8</v>
      </c>
      <c r="P436" s="32" t="s">
        <v>5265</v>
      </c>
      <c r="Q436" s="5" t="s">
        <v>893</v>
      </c>
      <c r="R436" s="5" t="s">
        <v>5258</v>
      </c>
      <c r="S436" s="6">
        <v>0</v>
      </c>
      <c r="T436" s="6">
        <v>0</v>
      </c>
      <c r="U436" s="6">
        <v>0</v>
      </c>
      <c r="V436" s="7">
        <v>44945</v>
      </c>
      <c r="W436" s="7" t="s">
        <v>3790</v>
      </c>
      <c r="X436" s="7" t="s">
        <v>3790</v>
      </c>
      <c r="Y436" s="5" t="s">
        <v>4022</v>
      </c>
      <c r="Z436" s="5" t="s">
        <v>3790</v>
      </c>
      <c r="AA436" s="6">
        <v>0</v>
      </c>
      <c r="AB436" s="7" t="s">
        <v>5333</v>
      </c>
      <c r="AC436" s="7" t="str">
        <f>A436&amp;COUNTIF($A$2:A436,A436)</f>
        <v>100WT890-62001</v>
      </c>
      <c r="AD436" s="7">
        <v>44812</v>
      </c>
      <c r="AE436" s="7">
        <v>44945</v>
      </c>
      <c r="AF436" s="7">
        <v>44959</v>
      </c>
      <c r="AG436" s="5">
        <v>140</v>
      </c>
      <c r="AH436" s="5">
        <v>14</v>
      </c>
      <c r="AI436" s="5">
        <v>14</v>
      </c>
      <c r="AJ436" s="5">
        <v>3000</v>
      </c>
      <c r="AK436" s="5" t="str">
        <f t="shared" ca="1" si="6"/>
        <v>within range</v>
      </c>
    </row>
    <row r="437" spans="1:37">
      <c r="A437" s="32" t="s">
        <v>1860</v>
      </c>
      <c r="B437" s="32">
        <v>7206</v>
      </c>
      <c r="C437" s="32" t="s">
        <v>7590</v>
      </c>
      <c r="E437" s="34">
        <v>501</v>
      </c>
      <c r="G437" s="34">
        <v>1000</v>
      </c>
      <c r="H437" s="7">
        <v>44904</v>
      </c>
      <c r="I437" s="32" t="s">
        <v>3756</v>
      </c>
      <c r="L437" s="7">
        <v>45086</v>
      </c>
      <c r="N437" s="32">
        <v>3</v>
      </c>
      <c r="O437" s="36">
        <v>8.5500000000000007</v>
      </c>
      <c r="P437" s="32" t="s">
        <v>7722</v>
      </c>
      <c r="Q437" s="5" t="s">
        <v>893</v>
      </c>
      <c r="R437" s="5" t="s">
        <v>7591</v>
      </c>
      <c r="S437" s="6">
        <v>501</v>
      </c>
      <c r="T437" s="6">
        <v>501</v>
      </c>
      <c r="U437" s="6">
        <v>0</v>
      </c>
      <c r="V437" s="7">
        <v>44904</v>
      </c>
      <c r="W437" s="7" t="s">
        <v>3790</v>
      </c>
      <c r="X437" s="7">
        <v>45086</v>
      </c>
      <c r="Y437" s="5" t="s">
        <v>4022</v>
      </c>
      <c r="Z437" s="5" t="s">
        <v>3790</v>
      </c>
      <c r="AA437" s="6">
        <v>501</v>
      </c>
      <c r="AB437" s="7" t="s">
        <v>7592</v>
      </c>
      <c r="AC437" s="7" t="str">
        <f>A437&amp;COUNTIF($A$2:A437,A437)</f>
        <v>100WW070-62001</v>
      </c>
      <c r="AD437" s="7" t="s">
        <v>4068</v>
      </c>
      <c r="AE437" s="7">
        <v>44904</v>
      </c>
      <c r="AF437" s="7">
        <v>44918</v>
      </c>
      <c r="AG437" s="5">
        <v>140</v>
      </c>
      <c r="AH437" s="5">
        <v>14</v>
      </c>
      <c r="AI437" s="5">
        <v>14</v>
      </c>
      <c r="AJ437" s="5">
        <v>1000</v>
      </c>
      <c r="AK437" s="5" t="str">
        <f t="shared" ca="1" si="6"/>
        <v>run complete</v>
      </c>
    </row>
    <row r="438" spans="1:37">
      <c r="A438" s="32" t="s">
        <v>1862</v>
      </c>
      <c r="B438" s="32">
        <v>7197</v>
      </c>
      <c r="C438" s="32" t="s">
        <v>1863</v>
      </c>
      <c r="G438" s="34">
        <v>2500</v>
      </c>
      <c r="H438" s="7">
        <v>45008</v>
      </c>
      <c r="N438" s="32">
        <v>6</v>
      </c>
      <c r="O438" s="36">
        <v>4.8</v>
      </c>
      <c r="P438" s="32" t="s">
        <v>6012</v>
      </c>
      <c r="Q438" s="5" t="s">
        <v>893</v>
      </c>
      <c r="R438" s="5" t="s">
        <v>6013</v>
      </c>
      <c r="S438" s="6">
        <v>0</v>
      </c>
      <c r="T438" s="6">
        <v>0</v>
      </c>
      <c r="U438" s="6">
        <v>0</v>
      </c>
      <c r="V438" s="7">
        <v>45008</v>
      </c>
      <c r="W438" s="7" t="s">
        <v>3790</v>
      </c>
      <c r="X438" s="7" t="s">
        <v>3790</v>
      </c>
      <c r="Y438" s="5" t="s">
        <v>4022</v>
      </c>
      <c r="Z438" s="5" t="s">
        <v>3790</v>
      </c>
      <c r="AA438" s="6">
        <v>0</v>
      </c>
      <c r="AB438" s="7" t="s">
        <v>6014</v>
      </c>
      <c r="AC438" s="7" t="str">
        <f>A438&amp;COUNTIF($A$2:A438,A438)</f>
        <v>100WW075-50001</v>
      </c>
      <c r="AD438" s="7">
        <v>44869</v>
      </c>
      <c r="AE438" s="7">
        <v>45008</v>
      </c>
      <c r="AF438" s="7">
        <v>45022</v>
      </c>
      <c r="AG438" s="5">
        <v>140</v>
      </c>
      <c r="AH438" s="5">
        <v>14</v>
      </c>
      <c r="AI438" s="5">
        <v>14</v>
      </c>
      <c r="AJ438" s="5">
        <v>2500</v>
      </c>
      <c r="AK438" s="5" t="str">
        <f t="shared" ca="1" si="6"/>
        <v>within range</v>
      </c>
    </row>
    <row r="439" spans="1:37">
      <c r="A439" s="32" t="s">
        <v>1864</v>
      </c>
      <c r="B439" s="32">
        <v>7197</v>
      </c>
      <c r="C439" s="32" t="s">
        <v>1863</v>
      </c>
      <c r="G439" s="34">
        <v>500</v>
      </c>
      <c r="H439" s="7">
        <v>45008</v>
      </c>
      <c r="N439" s="32">
        <v>6</v>
      </c>
      <c r="O439" s="36">
        <v>4.8</v>
      </c>
      <c r="P439" s="32" t="s">
        <v>6015</v>
      </c>
      <c r="Q439" s="5" t="s">
        <v>893</v>
      </c>
      <c r="R439" s="5" t="s">
        <v>6013</v>
      </c>
      <c r="S439" s="6">
        <v>0</v>
      </c>
      <c r="T439" s="6">
        <v>0</v>
      </c>
      <c r="U439" s="6">
        <v>0</v>
      </c>
      <c r="V439" s="7">
        <v>45008</v>
      </c>
      <c r="W439" s="7" t="s">
        <v>3790</v>
      </c>
      <c r="X439" s="7" t="s">
        <v>3790</v>
      </c>
      <c r="Y439" s="5" t="s">
        <v>4022</v>
      </c>
      <c r="Z439" s="5" t="s">
        <v>3790</v>
      </c>
      <c r="AA439" s="6">
        <v>0</v>
      </c>
      <c r="AB439" s="7" t="s">
        <v>6016</v>
      </c>
      <c r="AC439" s="7" t="str">
        <f>A439&amp;COUNTIF($A$2:A439,A439)</f>
        <v>100WW075-62002</v>
      </c>
      <c r="AD439" s="7">
        <v>44869</v>
      </c>
      <c r="AE439" s="7">
        <v>45008</v>
      </c>
      <c r="AF439" s="7">
        <v>45022</v>
      </c>
      <c r="AG439" s="5">
        <v>140</v>
      </c>
      <c r="AH439" s="5">
        <v>14</v>
      </c>
      <c r="AI439" s="5">
        <v>14</v>
      </c>
      <c r="AJ439" s="5">
        <v>500</v>
      </c>
      <c r="AK439" s="5" t="str">
        <f t="shared" ca="1" si="6"/>
        <v>within range</v>
      </c>
    </row>
    <row r="440" spans="1:37">
      <c r="A440" s="32" t="s">
        <v>1865</v>
      </c>
      <c r="B440" s="32">
        <v>7060</v>
      </c>
      <c r="C440" s="32" t="s">
        <v>1866</v>
      </c>
      <c r="G440" s="34">
        <v>2200</v>
      </c>
      <c r="H440" s="7">
        <v>44855</v>
      </c>
      <c r="I440" s="32" t="s">
        <v>3526</v>
      </c>
      <c r="J440" s="34">
        <v>2632</v>
      </c>
      <c r="K440" s="7">
        <v>44956</v>
      </c>
      <c r="L440" s="7">
        <v>45046</v>
      </c>
      <c r="M440" s="34">
        <v>432</v>
      </c>
      <c r="N440" s="32">
        <v>3</v>
      </c>
      <c r="O440" s="36">
        <v>4.1100000000000003</v>
      </c>
      <c r="P440" s="32" t="s">
        <v>7723</v>
      </c>
      <c r="Q440" s="5" t="s">
        <v>3787</v>
      </c>
      <c r="R440" s="5" t="s">
        <v>4277</v>
      </c>
      <c r="S440" s="6">
        <v>0</v>
      </c>
      <c r="T440" s="6">
        <v>-432</v>
      </c>
      <c r="U440" s="6">
        <v>2632</v>
      </c>
      <c r="V440" s="7">
        <v>44855</v>
      </c>
      <c r="W440" s="7">
        <v>44956</v>
      </c>
      <c r="X440" s="7">
        <v>45046</v>
      </c>
      <c r="Y440" s="5" t="s">
        <v>4022</v>
      </c>
      <c r="Z440" s="5" t="s">
        <v>3790</v>
      </c>
      <c r="AA440" s="6">
        <v>-432</v>
      </c>
      <c r="AB440" s="7" t="s">
        <v>4292</v>
      </c>
      <c r="AC440" s="7" t="str">
        <f>A440&amp;COUNTIF($A$2:A440,A440)</f>
        <v>100WW120-50001</v>
      </c>
      <c r="AD440" s="7">
        <v>44736</v>
      </c>
      <c r="AE440" s="7">
        <v>44956</v>
      </c>
      <c r="AF440" s="7">
        <v>44970</v>
      </c>
      <c r="AG440" s="5">
        <v>168</v>
      </c>
      <c r="AH440" s="5">
        <v>42</v>
      </c>
      <c r="AI440" s="5">
        <v>14</v>
      </c>
      <c r="AJ440" s="5">
        <v>2200</v>
      </c>
      <c r="AK440" s="5" t="str">
        <f t="shared" ca="1" si="6"/>
        <v>run complete</v>
      </c>
    </row>
    <row r="441" spans="1:37">
      <c r="A441" s="32" t="s">
        <v>1868</v>
      </c>
      <c r="B441" s="32">
        <v>7060</v>
      </c>
      <c r="C441" s="32" t="s">
        <v>1866</v>
      </c>
      <c r="D441" s="32" t="s">
        <v>3663</v>
      </c>
      <c r="G441" s="34">
        <v>8800</v>
      </c>
      <c r="H441" s="7">
        <v>44855</v>
      </c>
      <c r="I441" s="32" t="s">
        <v>3526</v>
      </c>
      <c r="J441" s="34">
        <v>9592</v>
      </c>
      <c r="K441" s="7">
        <v>44956</v>
      </c>
      <c r="L441" s="7">
        <v>45046</v>
      </c>
      <c r="M441" s="34">
        <v>792</v>
      </c>
      <c r="N441" s="32">
        <v>3</v>
      </c>
      <c r="O441" s="36">
        <v>4.1100000000000003</v>
      </c>
      <c r="P441" s="32" t="s">
        <v>7724</v>
      </c>
      <c r="Q441" s="5" t="s">
        <v>3787</v>
      </c>
      <c r="R441" s="5" t="s">
        <v>4277</v>
      </c>
      <c r="S441" s="6">
        <v>0</v>
      </c>
      <c r="T441" s="6">
        <v>-792</v>
      </c>
      <c r="U441" s="6">
        <v>9592</v>
      </c>
      <c r="V441" s="7">
        <v>44855</v>
      </c>
      <c r="W441" s="7">
        <v>44956</v>
      </c>
      <c r="X441" s="7">
        <v>45046</v>
      </c>
      <c r="Y441" s="5" t="s">
        <v>4022</v>
      </c>
      <c r="Z441" s="5" t="s">
        <v>3790</v>
      </c>
      <c r="AA441" s="6">
        <v>-792</v>
      </c>
      <c r="AB441" s="7" t="s">
        <v>4293</v>
      </c>
      <c r="AC441" s="7" t="str">
        <f>A441&amp;COUNTIF($A$2:A441,A441)</f>
        <v>100WW120-62001</v>
      </c>
      <c r="AD441" s="7">
        <v>44736</v>
      </c>
      <c r="AE441" s="7">
        <v>44956</v>
      </c>
      <c r="AF441" s="7">
        <v>44970</v>
      </c>
      <c r="AG441" s="5">
        <v>168</v>
      </c>
      <c r="AH441" s="5">
        <v>42</v>
      </c>
      <c r="AI441" s="5">
        <v>14</v>
      </c>
      <c r="AJ441" s="5">
        <v>8800</v>
      </c>
      <c r="AK441" s="5" t="str">
        <f t="shared" ca="1" si="6"/>
        <v>run complete</v>
      </c>
    </row>
    <row r="442" spans="1:37">
      <c r="A442" s="32" t="s">
        <v>1869</v>
      </c>
      <c r="B442" s="32">
        <v>7232</v>
      </c>
      <c r="C442" s="32" t="s">
        <v>1870</v>
      </c>
      <c r="G442" s="34">
        <v>4400</v>
      </c>
      <c r="H442" s="7">
        <v>44988</v>
      </c>
      <c r="N442" s="32">
        <v>3</v>
      </c>
      <c r="O442" s="36">
        <v>5.59</v>
      </c>
      <c r="Q442" s="5" t="s">
        <v>3787</v>
      </c>
      <c r="R442" s="5" t="s">
        <v>7725</v>
      </c>
      <c r="S442" s="6">
        <v>0</v>
      </c>
      <c r="T442" s="6">
        <v>0</v>
      </c>
      <c r="U442" s="6">
        <v>0</v>
      </c>
      <c r="V442" s="7">
        <v>44988</v>
      </c>
      <c r="W442" s="7" t="s">
        <v>3790</v>
      </c>
      <c r="X442" s="7" t="s">
        <v>3790</v>
      </c>
      <c r="Y442" s="5" t="s">
        <v>4022</v>
      </c>
      <c r="Z442" s="5" t="s">
        <v>3790</v>
      </c>
      <c r="AA442" s="6">
        <v>0</v>
      </c>
      <c r="AB442" s="7" t="s">
        <v>7726</v>
      </c>
      <c r="AC442" s="7" t="str">
        <f>A442&amp;COUNTIF($A$2:A442,A442)</f>
        <v>100WW160-50002</v>
      </c>
      <c r="AD442" s="7">
        <v>44924</v>
      </c>
      <c r="AE442" s="7">
        <v>44988</v>
      </c>
      <c r="AF442" s="7">
        <v>45030</v>
      </c>
      <c r="AG442" s="5">
        <v>168</v>
      </c>
      <c r="AH442" s="5">
        <v>42</v>
      </c>
      <c r="AI442" s="5">
        <v>14</v>
      </c>
      <c r="AJ442" s="5">
        <v>4400</v>
      </c>
      <c r="AK442" s="5" t="str">
        <f t="shared" ca="1" si="6"/>
        <v>within range</v>
      </c>
    </row>
    <row r="443" spans="1:37">
      <c r="A443" s="32" t="s">
        <v>1871</v>
      </c>
      <c r="B443" s="32">
        <v>7232</v>
      </c>
      <c r="C443" s="32" t="s">
        <v>1870</v>
      </c>
      <c r="D443" s="32" t="s">
        <v>3663</v>
      </c>
      <c r="G443" s="34">
        <v>1100</v>
      </c>
      <c r="H443" s="7">
        <v>44988</v>
      </c>
      <c r="N443" s="32">
        <v>3</v>
      </c>
      <c r="O443" s="36">
        <v>5.59</v>
      </c>
      <c r="Q443" s="5" t="s">
        <v>3787</v>
      </c>
      <c r="R443" s="5" t="s">
        <v>7725</v>
      </c>
      <c r="S443" s="6">
        <v>0</v>
      </c>
      <c r="T443" s="6">
        <v>0</v>
      </c>
      <c r="U443" s="6">
        <v>0</v>
      </c>
      <c r="V443" s="7">
        <v>44988</v>
      </c>
      <c r="W443" s="7" t="s">
        <v>3790</v>
      </c>
      <c r="X443" s="7" t="s">
        <v>3790</v>
      </c>
      <c r="Y443" s="5" t="s">
        <v>4022</v>
      </c>
      <c r="Z443" s="5" t="s">
        <v>3790</v>
      </c>
      <c r="AA443" s="6">
        <v>0</v>
      </c>
      <c r="AB443" s="7" t="s">
        <v>7727</v>
      </c>
      <c r="AC443" s="7" t="str">
        <f>A443&amp;COUNTIF($A$2:A443,A443)</f>
        <v>100WW160-62002</v>
      </c>
      <c r="AD443" s="7">
        <v>44924</v>
      </c>
      <c r="AE443" s="7">
        <v>44988</v>
      </c>
      <c r="AF443" s="7">
        <v>45030</v>
      </c>
      <c r="AG443" s="5">
        <v>168</v>
      </c>
      <c r="AH443" s="5">
        <v>42</v>
      </c>
      <c r="AI443" s="5">
        <v>14</v>
      </c>
      <c r="AJ443" s="5">
        <v>1100</v>
      </c>
      <c r="AK443" s="5" t="str">
        <f t="shared" ca="1" si="6"/>
        <v>within range</v>
      </c>
    </row>
    <row r="444" spans="1:37">
      <c r="A444" s="32" t="s">
        <v>1874</v>
      </c>
      <c r="B444" s="32">
        <v>7232</v>
      </c>
      <c r="C444" s="32" t="s">
        <v>1873</v>
      </c>
      <c r="D444" s="32" t="s">
        <v>3663</v>
      </c>
      <c r="G444" s="34">
        <v>2200</v>
      </c>
      <c r="H444" s="7">
        <v>44988</v>
      </c>
      <c r="N444" s="32">
        <v>3</v>
      </c>
      <c r="O444" s="36">
        <v>5.64</v>
      </c>
      <c r="Q444" s="5" t="s">
        <v>3787</v>
      </c>
      <c r="R444" s="5" t="s">
        <v>7725</v>
      </c>
      <c r="S444" s="6">
        <v>0</v>
      </c>
      <c r="T444" s="6">
        <v>0</v>
      </c>
      <c r="U444" s="6">
        <v>0</v>
      </c>
      <c r="V444" s="7">
        <v>44988</v>
      </c>
      <c r="W444" s="7" t="s">
        <v>3790</v>
      </c>
      <c r="X444" s="7" t="s">
        <v>3790</v>
      </c>
      <c r="Y444" s="5" t="s">
        <v>4022</v>
      </c>
      <c r="Z444" s="5" t="s">
        <v>3790</v>
      </c>
      <c r="AA444" s="6">
        <v>0</v>
      </c>
      <c r="AB444" s="7" t="s">
        <v>7728</v>
      </c>
      <c r="AC444" s="7" t="str">
        <f>A444&amp;COUNTIF($A$2:A444,A444)</f>
        <v>100WW185-62002</v>
      </c>
      <c r="AD444" s="7">
        <v>44924</v>
      </c>
      <c r="AE444" s="7">
        <v>44988</v>
      </c>
      <c r="AF444" s="7">
        <v>45030</v>
      </c>
      <c r="AG444" s="5">
        <v>168</v>
      </c>
      <c r="AH444" s="5">
        <v>42</v>
      </c>
      <c r="AI444" s="5">
        <v>14</v>
      </c>
      <c r="AJ444" s="5">
        <v>2200</v>
      </c>
      <c r="AK444" s="5" t="str">
        <f t="shared" ca="1" si="6"/>
        <v>within range</v>
      </c>
    </row>
    <row r="445" spans="1:37">
      <c r="A445" s="32" t="s">
        <v>1896</v>
      </c>
      <c r="B445" s="32">
        <v>7155</v>
      </c>
      <c r="C445" s="32" t="s">
        <v>1895</v>
      </c>
      <c r="G445" s="34">
        <v>3000</v>
      </c>
      <c r="H445" s="7">
        <v>44959</v>
      </c>
      <c r="N445" s="32">
        <v>6</v>
      </c>
      <c r="O445" s="36">
        <v>4.8</v>
      </c>
      <c r="P445" s="32" t="s">
        <v>5519</v>
      </c>
      <c r="Q445" s="5" t="s">
        <v>893</v>
      </c>
      <c r="R445" s="5" t="s">
        <v>5520</v>
      </c>
      <c r="S445" s="6">
        <v>0</v>
      </c>
      <c r="T445" s="6">
        <v>0</v>
      </c>
      <c r="U445" s="6">
        <v>0</v>
      </c>
      <c r="V445" s="7">
        <v>44959</v>
      </c>
      <c r="W445" s="7" t="s">
        <v>3790</v>
      </c>
      <c r="X445" s="7" t="s">
        <v>3790</v>
      </c>
      <c r="Y445" s="5" t="s">
        <v>4022</v>
      </c>
      <c r="Z445" s="5" t="s">
        <v>3790</v>
      </c>
      <c r="AA445" s="6">
        <v>0</v>
      </c>
      <c r="AB445" s="7" t="s">
        <v>5521</v>
      </c>
      <c r="AC445" s="7" t="str">
        <f>A445&amp;COUNTIF($A$2:A445,A445)</f>
        <v>100WW601-62002</v>
      </c>
      <c r="AD445" s="7">
        <v>44838</v>
      </c>
      <c r="AE445" s="7">
        <v>44959</v>
      </c>
      <c r="AF445" s="7">
        <v>44973</v>
      </c>
      <c r="AG445" s="5">
        <v>140</v>
      </c>
      <c r="AH445" s="5">
        <v>14</v>
      </c>
      <c r="AI445" s="5">
        <v>14</v>
      </c>
      <c r="AJ445" s="5">
        <v>3000</v>
      </c>
      <c r="AK445" s="5" t="str">
        <f t="shared" ca="1" si="6"/>
        <v>within range</v>
      </c>
    </row>
    <row r="446" spans="1:37">
      <c r="A446" s="32" t="s">
        <v>1897</v>
      </c>
      <c r="B446" s="32">
        <v>7201</v>
      </c>
      <c r="C446" s="32" t="s">
        <v>6162</v>
      </c>
      <c r="E446" s="34">
        <v>432</v>
      </c>
      <c r="G446" s="34">
        <v>400</v>
      </c>
      <c r="H446" s="7">
        <v>44903</v>
      </c>
      <c r="I446" s="32" t="s">
        <v>3756</v>
      </c>
      <c r="L446" s="7">
        <v>45086</v>
      </c>
      <c r="N446" s="32">
        <v>6</v>
      </c>
      <c r="O446" s="36">
        <v>4.8</v>
      </c>
      <c r="P446" s="32" t="s">
        <v>6163</v>
      </c>
      <c r="Q446" s="5" t="s">
        <v>893</v>
      </c>
      <c r="R446" s="5" t="s">
        <v>6160</v>
      </c>
      <c r="S446" s="6">
        <v>432</v>
      </c>
      <c r="T446" s="6">
        <v>432</v>
      </c>
      <c r="U446" s="6">
        <v>0</v>
      </c>
      <c r="V446" s="7">
        <v>44903</v>
      </c>
      <c r="W446" s="7" t="s">
        <v>3790</v>
      </c>
      <c r="X446" s="7">
        <v>45086</v>
      </c>
      <c r="Y446" s="5" t="s">
        <v>4022</v>
      </c>
      <c r="Z446" s="5" t="s">
        <v>3790</v>
      </c>
      <c r="AA446" s="6">
        <v>432</v>
      </c>
      <c r="AB446" s="7" t="s">
        <v>6164</v>
      </c>
      <c r="AC446" s="7" t="str">
        <f>A446&amp;COUNTIF($A$2:A446,A446)</f>
        <v>100WW610-62001</v>
      </c>
      <c r="AD446" s="7">
        <v>44873</v>
      </c>
      <c r="AE446" s="7">
        <v>44903</v>
      </c>
      <c r="AF446" s="7">
        <v>44917</v>
      </c>
      <c r="AG446" s="5">
        <v>140</v>
      </c>
      <c r="AH446" s="5">
        <v>14</v>
      </c>
      <c r="AI446" s="5">
        <v>14</v>
      </c>
      <c r="AJ446" s="5">
        <v>400</v>
      </c>
      <c r="AK446" s="5" t="str">
        <f t="shared" ca="1" si="6"/>
        <v>run complete</v>
      </c>
    </row>
    <row r="447" spans="1:37">
      <c r="A447" s="32" t="s">
        <v>1909</v>
      </c>
      <c r="B447" s="32" t="s">
        <v>5899</v>
      </c>
      <c r="C447" s="32" t="s">
        <v>3931</v>
      </c>
      <c r="D447" s="32" t="s">
        <v>3701</v>
      </c>
      <c r="E447" s="34">
        <v>0</v>
      </c>
      <c r="F447" s="32" t="s">
        <v>3701</v>
      </c>
      <c r="G447" s="34">
        <v>1800</v>
      </c>
      <c r="H447" s="7">
        <v>45056</v>
      </c>
      <c r="I447" s="32" t="s">
        <v>3790</v>
      </c>
      <c r="J447" s="34">
        <v>0</v>
      </c>
      <c r="M447" s="34">
        <v>0</v>
      </c>
      <c r="N447" s="32" t="s">
        <v>3528</v>
      </c>
      <c r="O447" s="36">
        <v>4.63</v>
      </c>
      <c r="P447" s="32" t="s">
        <v>3701</v>
      </c>
      <c r="Q447" s="5" t="s">
        <v>3911</v>
      </c>
      <c r="R447" s="5" t="s">
        <v>5899</v>
      </c>
      <c r="S447" s="6">
        <v>0</v>
      </c>
      <c r="T447" s="6">
        <v>0</v>
      </c>
      <c r="U447" s="6">
        <v>0</v>
      </c>
      <c r="V447" s="7">
        <v>45056</v>
      </c>
      <c r="W447" s="7" t="s">
        <v>3790</v>
      </c>
      <c r="X447" s="7" t="s">
        <v>3790</v>
      </c>
      <c r="Y447" s="5" t="s">
        <v>4022</v>
      </c>
      <c r="Z447" s="5" t="s">
        <v>3790</v>
      </c>
      <c r="AA447" s="6">
        <v>0</v>
      </c>
      <c r="AB447" s="7" t="s">
        <v>5900</v>
      </c>
      <c r="AC447" s="7" t="str">
        <f>A447&amp;COUNTIF($A$2:A447,A447)</f>
        <v>100WX031-50001</v>
      </c>
      <c r="AD447" s="7">
        <v>44854</v>
      </c>
      <c r="AE447" s="7">
        <v>45056</v>
      </c>
      <c r="AF447" s="7">
        <v>45070</v>
      </c>
      <c r="AG447" s="5">
        <v>196</v>
      </c>
      <c r="AH447" s="5">
        <v>14</v>
      </c>
      <c r="AI447" s="5">
        <v>14</v>
      </c>
      <c r="AJ447" s="5">
        <v>1800</v>
      </c>
      <c r="AK447" s="5" t="str">
        <f t="shared" ca="1" si="6"/>
        <v>within range</v>
      </c>
    </row>
    <row r="448" spans="1:37">
      <c r="A448" s="32" t="s">
        <v>1912</v>
      </c>
      <c r="B448" s="32" t="s">
        <v>5899</v>
      </c>
      <c r="C448" s="32" t="s">
        <v>5901</v>
      </c>
      <c r="D448" s="32" t="s">
        <v>3663</v>
      </c>
      <c r="E448" s="34">
        <v>0</v>
      </c>
      <c r="F448" s="32" t="s">
        <v>3701</v>
      </c>
      <c r="G448" s="34">
        <v>1200</v>
      </c>
      <c r="H448" s="7">
        <v>45056</v>
      </c>
      <c r="I448" s="32" t="s">
        <v>3790</v>
      </c>
      <c r="J448" s="34">
        <v>0</v>
      </c>
      <c r="M448" s="34">
        <v>0</v>
      </c>
      <c r="N448" s="32" t="s">
        <v>3528</v>
      </c>
      <c r="O448" s="36">
        <v>4.63</v>
      </c>
      <c r="P448" s="32" t="s">
        <v>3701</v>
      </c>
      <c r="Q448" s="5" t="s">
        <v>3911</v>
      </c>
      <c r="R448" s="5" t="s">
        <v>5899</v>
      </c>
      <c r="S448" s="6">
        <v>0</v>
      </c>
      <c r="T448" s="6">
        <v>0</v>
      </c>
      <c r="U448" s="6">
        <v>0</v>
      </c>
      <c r="V448" s="7">
        <v>45056</v>
      </c>
      <c r="W448" s="7" t="s">
        <v>3790</v>
      </c>
      <c r="X448" s="7" t="s">
        <v>3790</v>
      </c>
      <c r="Y448" s="5" t="s">
        <v>4022</v>
      </c>
      <c r="Z448" s="5" t="s">
        <v>3790</v>
      </c>
      <c r="AA448" s="6">
        <v>0</v>
      </c>
      <c r="AB448" s="7" t="s">
        <v>5902</v>
      </c>
      <c r="AC448" s="7" t="str">
        <f>A448&amp;COUNTIF($A$2:A448,A448)</f>
        <v>100WX031-62001</v>
      </c>
      <c r="AD448" s="7">
        <v>44854</v>
      </c>
      <c r="AE448" s="7">
        <v>45056</v>
      </c>
      <c r="AF448" s="7">
        <v>45070</v>
      </c>
      <c r="AG448" s="5">
        <v>196</v>
      </c>
      <c r="AH448" s="5">
        <v>14</v>
      </c>
      <c r="AI448" s="5">
        <v>14</v>
      </c>
      <c r="AJ448" s="5">
        <v>1200</v>
      </c>
      <c r="AK448" s="5" t="str">
        <f t="shared" ca="1" si="6"/>
        <v>within range</v>
      </c>
    </row>
    <row r="449" spans="1:37">
      <c r="A449" s="32" t="s">
        <v>1913</v>
      </c>
      <c r="B449" s="32" t="s">
        <v>5382</v>
      </c>
      <c r="C449" s="32" t="s">
        <v>3946</v>
      </c>
      <c r="D449" s="32" t="s">
        <v>3701</v>
      </c>
      <c r="E449" s="34">
        <v>0</v>
      </c>
      <c r="F449" s="32" t="s">
        <v>3701</v>
      </c>
      <c r="G449" s="34">
        <v>1500</v>
      </c>
      <c r="H449" s="7">
        <v>45049</v>
      </c>
      <c r="I449" s="32" t="s">
        <v>3790</v>
      </c>
      <c r="J449" s="34">
        <v>0</v>
      </c>
      <c r="M449" s="34">
        <v>0</v>
      </c>
      <c r="N449" s="32" t="s">
        <v>3528</v>
      </c>
      <c r="O449" s="36">
        <v>4.63</v>
      </c>
      <c r="P449" s="32" t="s">
        <v>3701</v>
      </c>
      <c r="Q449" s="5" t="s">
        <v>3911</v>
      </c>
      <c r="R449" s="5" t="s">
        <v>5382</v>
      </c>
      <c r="S449" s="6">
        <v>0</v>
      </c>
      <c r="T449" s="6">
        <v>0</v>
      </c>
      <c r="U449" s="6">
        <v>0</v>
      </c>
      <c r="V449" s="7">
        <v>45049</v>
      </c>
      <c r="W449" s="7" t="s">
        <v>3790</v>
      </c>
      <c r="X449" s="7" t="s">
        <v>3790</v>
      </c>
      <c r="Y449" s="5" t="s">
        <v>4022</v>
      </c>
      <c r="Z449" s="5" t="s">
        <v>3790</v>
      </c>
      <c r="AA449" s="6">
        <v>0</v>
      </c>
      <c r="AB449" s="7" t="s">
        <v>5398</v>
      </c>
      <c r="AC449" s="7" t="str">
        <f>A449&amp;COUNTIF($A$2:A449,A449)</f>
        <v>100WX041-50001</v>
      </c>
      <c r="AD449" s="7">
        <v>44834</v>
      </c>
      <c r="AE449" s="7">
        <v>45049</v>
      </c>
      <c r="AF449" s="7">
        <v>45063</v>
      </c>
      <c r="AG449" s="5">
        <v>196</v>
      </c>
      <c r="AH449" s="5">
        <v>14</v>
      </c>
      <c r="AI449" s="5">
        <v>14</v>
      </c>
      <c r="AJ449" s="5">
        <v>1500</v>
      </c>
      <c r="AK449" s="5" t="str">
        <f t="shared" ca="1" si="6"/>
        <v>within range</v>
      </c>
    </row>
    <row r="450" spans="1:37">
      <c r="A450" s="32" t="s">
        <v>1915</v>
      </c>
      <c r="B450" s="32" t="s">
        <v>5382</v>
      </c>
      <c r="C450" s="32" t="s">
        <v>3947</v>
      </c>
      <c r="D450" s="32" t="s">
        <v>3663</v>
      </c>
      <c r="E450" s="34">
        <v>0</v>
      </c>
      <c r="F450" s="32" t="s">
        <v>3701</v>
      </c>
      <c r="G450" s="34">
        <v>1500</v>
      </c>
      <c r="H450" s="7">
        <v>45049</v>
      </c>
      <c r="I450" s="32" t="s">
        <v>3790</v>
      </c>
      <c r="J450" s="34">
        <v>0</v>
      </c>
      <c r="M450" s="34">
        <v>0</v>
      </c>
      <c r="N450" s="32" t="s">
        <v>3528</v>
      </c>
      <c r="O450" s="36">
        <v>4.63</v>
      </c>
      <c r="P450" s="32" t="s">
        <v>3701</v>
      </c>
      <c r="Q450" s="5" t="s">
        <v>3911</v>
      </c>
      <c r="R450" s="5" t="s">
        <v>5382</v>
      </c>
      <c r="S450" s="6">
        <v>0</v>
      </c>
      <c r="T450" s="6">
        <v>0</v>
      </c>
      <c r="U450" s="6">
        <v>0</v>
      </c>
      <c r="V450" s="7">
        <v>45049</v>
      </c>
      <c r="W450" s="7" t="s">
        <v>3790</v>
      </c>
      <c r="X450" s="7" t="s">
        <v>3790</v>
      </c>
      <c r="Y450" s="5" t="s">
        <v>4022</v>
      </c>
      <c r="Z450" s="5" t="s">
        <v>3790</v>
      </c>
      <c r="AA450" s="6">
        <v>0</v>
      </c>
      <c r="AB450" s="7" t="s">
        <v>5399</v>
      </c>
      <c r="AC450" s="7" t="str">
        <f>A450&amp;COUNTIF($A$2:A450,A450)</f>
        <v>100WX041-62001</v>
      </c>
      <c r="AD450" s="7">
        <v>44834</v>
      </c>
      <c r="AE450" s="7">
        <v>45049</v>
      </c>
      <c r="AF450" s="7">
        <v>45063</v>
      </c>
      <c r="AG450" s="5">
        <v>196</v>
      </c>
      <c r="AH450" s="5">
        <v>14</v>
      </c>
      <c r="AI450" s="5">
        <v>14</v>
      </c>
      <c r="AJ450" s="5">
        <v>1500</v>
      </c>
      <c r="AK450" s="5" t="str">
        <f t="shared" ref="AK450:AK513" ca="1" si="7">IFERROR(IF(OR(U450&lt;&gt;0,W450&lt;&gt;"",Y450="releasable",I450&lt;&gt;"",SUM(S450:T450)&gt;0),"run complete",IF(AND(Y450="not releasable",I450="",U450=0,V450&lt;TODAY()),"Past Due","within range")),"missing supplier data")</f>
        <v>within range</v>
      </c>
    </row>
    <row r="451" spans="1:37">
      <c r="A451" s="32" t="s">
        <v>1919</v>
      </c>
      <c r="B451" s="32">
        <v>7130</v>
      </c>
      <c r="C451" s="32" t="s">
        <v>3759</v>
      </c>
      <c r="E451" s="34">
        <v>5504</v>
      </c>
      <c r="G451" s="34">
        <v>5000</v>
      </c>
      <c r="H451" s="7">
        <v>44919</v>
      </c>
      <c r="I451" s="32" t="s">
        <v>3756</v>
      </c>
      <c r="L451" s="7">
        <v>45105</v>
      </c>
      <c r="N451" s="32">
        <v>3</v>
      </c>
      <c r="O451" s="36">
        <v>4.57</v>
      </c>
      <c r="P451" s="32" t="s">
        <v>7730</v>
      </c>
      <c r="Q451" s="5" t="s">
        <v>893</v>
      </c>
      <c r="R451" s="5" t="s">
        <v>5258</v>
      </c>
      <c r="S451" s="6">
        <v>5504</v>
      </c>
      <c r="T451" s="6">
        <v>5504</v>
      </c>
      <c r="U451" s="6">
        <v>0</v>
      </c>
      <c r="V451" s="7">
        <v>44919</v>
      </c>
      <c r="W451" s="7" t="s">
        <v>3790</v>
      </c>
      <c r="X451" s="7">
        <v>45105</v>
      </c>
      <c r="Y451" s="5" t="s">
        <v>4022</v>
      </c>
      <c r="Z451" s="5" t="s">
        <v>3790</v>
      </c>
      <c r="AA451" s="6">
        <v>5504</v>
      </c>
      <c r="AB451" s="7" t="s">
        <v>5336</v>
      </c>
      <c r="AC451" s="7" t="str">
        <f>A451&amp;COUNTIF($A$2:A451,A451)</f>
        <v>100WX081-62001</v>
      </c>
      <c r="AD451" s="7">
        <v>44812</v>
      </c>
      <c r="AE451" s="7">
        <v>44919</v>
      </c>
      <c r="AF451" s="7">
        <v>44933</v>
      </c>
      <c r="AG451" s="5">
        <v>140</v>
      </c>
      <c r="AH451" s="5">
        <v>14</v>
      </c>
      <c r="AI451" s="5">
        <v>14</v>
      </c>
      <c r="AJ451" s="5">
        <v>5000</v>
      </c>
      <c r="AK451" s="5" t="str">
        <f t="shared" ca="1" si="7"/>
        <v>run complete</v>
      </c>
    </row>
    <row r="452" spans="1:37">
      <c r="A452" s="32" t="s">
        <v>3887</v>
      </c>
      <c r="B452" s="32">
        <v>7210</v>
      </c>
      <c r="C452" s="32" t="s">
        <v>1924</v>
      </c>
      <c r="E452" s="34">
        <v>0</v>
      </c>
      <c r="F452" s="32" t="s">
        <v>3881</v>
      </c>
      <c r="G452" s="34">
        <v>3300</v>
      </c>
      <c r="H452" s="7">
        <v>44963</v>
      </c>
      <c r="N452" s="32">
        <v>3</v>
      </c>
      <c r="O452" s="36">
        <v>4.18</v>
      </c>
      <c r="Q452" s="5" t="s">
        <v>3882</v>
      </c>
      <c r="R452" s="5" t="s">
        <v>6398</v>
      </c>
      <c r="S452" s="6">
        <v>0</v>
      </c>
      <c r="T452" s="6">
        <v>0</v>
      </c>
      <c r="U452" s="6">
        <v>0</v>
      </c>
      <c r="V452" s="7">
        <v>44963</v>
      </c>
      <c r="W452" s="7" t="s">
        <v>3790</v>
      </c>
      <c r="X452" s="7" t="s">
        <v>3790</v>
      </c>
      <c r="Y452" s="5" t="s">
        <v>4022</v>
      </c>
      <c r="Z452" s="5" t="s">
        <v>3790</v>
      </c>
      <c r="AA452" s="6">
        <v>0</v>
      </c>
      <c r="AB452" s="7" t="s">
        <v>6399</v>
      </c>
      <c r="AC452" s="7" t="str">
        <f>A452&amp;COUNTIF($A$2:A452,A452)</f>
        <v>100WX125-50001</v>
      </c>
      <c r="AD452" s="7">
        <v>44897</v>
      </c>
      <c r="AE452" s="7">
        <v>44963</v>
      </c>
      <c r="AF452" s="7">
        <v>44977</v>
      </c>
      <c r="AG452" s="5">
        <v>84</v>
      </c>
      <c r="AH452" s="5">
        <v>14</v>
      </c>
      <c r="AI452" s="5">
        <v>14</v>
      </c>
      <c r="AJ452" s="5">
        <v>3300</v>
      </c>
      <c r="AK452" s="5" t="str">
        <f t="shared" ca="1" si="7"/>
        <v>within range</v>
      </c>
    </row>
    <row r="453" spans="1:37">
      <c r="A453" s="32" t="s">
        <v>1923</v>
      </c>
      <c r="B453" s="32">
        <v>7210</v>
      </c>
      <c r="C453" s="32" t="s">
        <v>1924</v>
      </c>
      <c r="E453" s="34">
        <v>0</v>
      </c>
      <c r="F453" s="32" t="s">
        <v>3881</v>
      </c>
      <c r="G453" s="34">
        <v>3300</v>
      </c>
      <c r="H453" s="7">
        <v>44963</v>
      </c>
      <c r="N453" s="32">
        <v>3</v>
      </c>
      <c r="O453" s="36">
        <v>4.18</v>
      </c>
      <c r="Q453" s="5" t="s">
        <v>3882</v>
      </c>
      <c r="R453" s="5" t="s">
        <v>6398</v>
      </c>
      <c r="S453" s="6">
        <v>0</v>
      </c>
      <c r="T453" s="6">
        <v>0</v>
      </c>
      <c r="U453" s="6">
        <v>0</v>
      </c>
      <c r="V453" s="7">
        <v>44963</v>
      </c>
      <c r="W453" s="7" t="s">
        <v>3790</v>
      </c>
      <c r="X453" s="7" t="s">
        <v>3790</v>
      </c>
      <c r="Y453" s="5" t="s">
        <v>4022</v>
      </c>
      <c r="Z453" s="5" t="s">
        <v>3790</v>
      </c>
      <c r="AA453" s="6">
        <v>0</v>
      </c>
      <c r="AB453" s="7" t="s">
        <v>6400</v>
      </c>
      <c r="AC453" s="7" t="str">
        <f>A453&amp;COUNTIF($A$2:A453,A453)</f>
        <v>100WX125-62001</v>
      </c>
      <c r="AD453" s="7">
        <v>44897</v>
      </c>
      <c r="AE453" s="7">
        <v>44963</v>
      </c>
      <c r="AF453" s="7">
        <v>44977</v>
      </c>
      <c r="AG453" s="5">
        <v>84</v>
      </c>
      <c r="AH453" s="5">
        <v>14</v>
      </c>
      <c r="AI453" s="5">
        <v>14</v>
      </c>
      <c r="AJ453" s="5">
        <v>3300</v>
      </c>
      <c r="AK453" s="5" t="str">
        <f t="shared" ca="1" si="7"/>
        <v>within range</v>
      </c>
    </row>
    <row r="454" spans="1:37">
      <c r="A454" s="32" t="s">
        <v>1929</v>
      </c>
      <c r="B454" s="32" t="s">
        <v>5291</v>
      </c>
      <c r="C454" s="32" t="s">
        <v>5292</v>
      </c>
      <c r="D454" s="32" t="s">
        <v>3701</v>
      </c>
      <c r="E454" s="34">
        <v>0</v>
      </c>
      <c r="F454" s="32" t="s">
        <v>3701</v>
      </c>
      <c r="G454" s="34">
        <v>1500</v>
      </c>
      <c r="H454" s="7">
        <v>45042</v>
      </c>
      <c r="I454" s="32" t="s">
        <v>3790</v>
      </c>
      <c r="J454" s="34">
        <v>0</v>
      </c>
      <c r="M454" s="34">
        <v>0</v>
      </c>
      <c r="N454" s="32" t="s">
        <v>3528</v>
      </c>
      <c r="O454" s="36">
        <v>4.63</v>
      </c>
      <c r="P454" s="32" t="s">
        <v>3701</v>
      </c>
      <c r="Q454" s="5" t="s">
        <v>3911</v>
      </c>
      <c r="R454" s="5" t="s">
        <v>5291</v>
      </c>
      <c r="S454" s="6">
        <v>0</v>
      </c>
      <c r="T454" s="6">
        <v>0</v>
      </c>
      <c r="U454" s="6">
        <v>0</v>
      </c>
      <c r="V454" s="7">
        <v>45042</v>
      </c>
      <c r="W454" s="7" t="s">
        <v>3790</v>
      </c>
      <c r="X454" s="7" t="s">
        <v>3790</v>
      </c>
      <c r="Y454" s="5" t="s">
        <v>4022</v>
      </c>
      <c r="Z454" s="5" t="s">
        <v>3790</v>
      </c>
      <c r="AA454" s="6">
        <v>0</v>
      </c>
      <c r="AB454" s="7" t="s">
        <v>5337</v>
      </c>
      <c r="AC454" s="7" t="str">
        <f>A454&amp;COUNTIF($A$2:A454,A454)</f>
        <v>100WX170-50001</v>
      </c>
      <c r="AD454" s="7">
        <v>44825</v>
      </c>
      <c r="AE454" s="7">
        <v>45042</v>
      </c>
      <c r="AF454" s="7">
        <v>45056</v>
      </c>
      <c r="AG454" s="5">
        <v>196</v>
      </c>
      <c r="AH454" s="5">
        <v>14</v>
      </c>
      <c r="AI454" s="5">
        <v>14</v>
      </c>
      <c r="AJ454" s="5">
        <v>1500</v>
      </c>
      <c r="AK454" s="5" t="str">
        <f t="shared" ca="1" si="7"/>
        <v>within range</v>
      </c>
    </row>
    <row r="455" spans="1:37">
      <c r="A455" s="32" t="s">
        <v>1931</v>
      </c>
      <c r="B455" s="32" t="s">
        <v>5291</v>
      </c>
      <c r="C455" s="32" t="s">
        <v>6436</v>
      </c>
      <c r="D455" s="32" t="s">
        <v>3701</v>
      </c>
      <c r="E455" s="34">
        <v>0</v>
      </c>
      <c r="F455" s="32" t="s">
        <v>3701</v>
      </c>
      <c r="G455" s="34">
        <v>1500</v>
      </c>
      <c r="H455" s="7">
        <v>45042</v>
      </c>
      <c r="I455" s="32" t="s">
        <v>3790</v>
      </c>
      <c r="J455" s="34">
        <v>0</v>
      </c>
      <c r="M455" s="34">
        <v>0</v>
      </c>
      <c r="N455" s="32" t="s">
        <v>3528</v>
      </c>
      <c r="O455" s="36">
        <v>4.63</v>
      </c>
      <c r="P455" s="32" t="s">
        <v>3701</v>
      </c>
      <c r="Q455" s="5" t="s">
        <v>3911</v>
      </c>
      <c r="R455" s="5" t="s">
        <v>5291</v>
      </c>
      <c r="S455" s="6">
        <v>0</v>
      </c>
      <c r="T455" s="6">
        <v>0</v>
      </c>
      <c r="U455" s="6">
        <v>0</v>
      </c>
      <c r="V455" s="7">
        <v>45042</v>
      </c>
      <c r="W455" s="7" t="s">
        <v>3790</v>
      </c>
      <c r="X455" s="7" t="s">
        <v>3790</v>
      </c>
      <c r="Y455" s="5" t="s">
        <v>4022</v>
      </c>
      <c r="Z455" s="5" t="s">
        <v>3790</v>
      </c>
      <c r="AA455" s="6">
        <v>0</v>
      </c>
      <c r="AB455" s="7" t="s">
        <v>7523</v>
      </c>
      <c r="AC455" s="7" t="str">
        <f>A455&amp;COUNTIF($A$2:A455,A455)</f>
        <v>100WX170-62001</v>
      </c>
      <c r="AD455" s="7">
        <v>44825</v>
      </c>
      <c r="AE455" s="7">
        <v>45042</v>
      </c>
      <c r="AF455" s="7">
        <v>45056</v>
      </c>
      <c r="AG455" s="5">
        <v>196</v>
      </c>
      <c r="AH455" s="5">
        <v>14</v>
      </c>
      <c r="AI455" s="5">
        <v>14</v>
      </c>
      <c r="AJ455" s="5">
        <v>1500</v>
      </c>
      <c r="AK455" s="5" t="str">
        <f t="shared" ca="1" si="7"/>
        <v>within range</v>
      </c>
    </row>
    <row r="456" spans="1:37">
      <c r="A456" s="32" t="s">
        <v>1940</v>
      </c>
      <c r="B456" s="32">
        <v>7139</v>
      </c>
      <c r="C456" s="32" t="s">
        <v>1941</v>
      </c>
      <c r="G456" s="34">
        <v>2500</v>
      </c>
      <c r="H456" s="7">
        <v>44952</v>
      </c>
      <c r="N456" s="32">
        <v>6</v>
      </c>
      <c r="O456" s="36">
        <v>4.8</v>
      </c>
      <c r="P456" s="32" t="s">
        <v>5266</v>
      </c>
      <c r="Q456" s="5" t="s">
        <v>893</v>
      </c>
      <c r="R456" s="5" t="s">
        <v>5267</v>
      </c>
      <c r="S456" s="6">
        <v>0</v>
      </c>
      <c r="T456" s="6">
        <v>0</v>
      </c>
      <c r="U456" s="6">
        <v>0</v>
      </c>
      <c r="V456" s="7">
        <v>44952</v>
      </c>
      <c r="W456" s="7" t="s">
        <v>3790</v>
      </c>
      <c r="X456" s="7" t="s">
        <v>3790</v>
      </c>
      <c r="Y456" s="5" t="s">
        <v>4022</v>
      </c>
      <c r="Z456" s="5" t="s">
        <v>3790</v>
      </c>
      <c r="AA456" s="6">
        <v>0</v>
      </c>
      <c r="AB456" s="7" t="s">
        <v>5338</v>
      </c>
      <c r="AC456" s="7" t="str">
        <f>A456&amp;COUNTIF($A$2:A456,A456)</f>
        <v>100WX230-50001</v>
      </c>
      <c r="AD456" s="7">
        <v>44830</v>
      </c>
      <c r="AE456" s="7">
        <v>44952</v>
      </c>
      <c r="AF456" s="7">
        <v>44966</v>
      </c>
      <c r="AG456" s="5">
        <v>140</v>
      </c>
      <c r="AH456" s="5">
        <v>14</v>
      </c>
      <c r="AI456" s="5">
        <v>14</v>
      </c>
      <c r="AJ456" s="5">
        <v>2500</v>
      </c>
      <c r="AK456" s="5" t="str">
        <f t="shared" ca="1" si="7"/>
        <v>within range</v>
      </c>
    </row>
    <row r="457" spans="1:37">
      <c r="A457" s="32" t="s">
        <v>1942</v>
      </c>
      <c r="B457" s="32">
        <v>7139</v>
      </c>
      <c r="C457" s="32" t="s">
        <v>1941</v>
      </c>
      <c r="G457" s="34">
        <v>500</v>
      </c>
      <c r="H457" s="7">
        <v>44952</v>
      </c>
      <c r="N457" s="32">
        <v>6</v>
      </c>
      <c r="O457" s="36">
        <v>4.8</v>
      </c>
      <c r="P457" s="32" t="s">
        <v>5268</v>
      </c>
      <c r="Q457" s="5" t="s">
        <v>893</v>
      </c>
      <c r="R457" s="5" t="s">
        <v>5267</v>
      </c>
      <c r="S457" s="6">
        <v>0</v>
      </c>
      <c r="T457" s="6">
        <v>0</v>
      </c>
      <c r="U457" s="6">
        <v>0</v>
      </c>
      <c r="V457" s="7">
        <v>44952</v>
      </c>
      <c r="W457" s="7" t="s">
        <v>3790</v>
      </c>
      <c r="X457" s="7" t="s">
        <v>3790</v>
      </c>
      <c r="Y457" s="5" t="s">
        <v>4022</v>
      </c>
      <c r="Z457" s="5" t="s">
        <v>3790</v>
      </c>
      <c r="AA457" s="6">
        <v>0</v>
      </c>
      <c r="AB457" s="7" t="s">
        <v>5339</v>
      </c>
      <c r="AC457" s="7" t="str">
        <f>A457&amp;COUNTIF($A$2:A457,A457)</f>
        <v>100WX230-62001</v>
      </c>
      <c r="AD457" s="7">
        <v>44830</v>
      </c>
      <c r="AE457" s="7">
        <v>44952</v>
      </c>
      <c r="AF457" s="7">
        <v>44966</v>
      </c>
      <c r="AG457" s="5">
        <v>140</v>
      </c>
      <c r="AH457" s="5">
        <v>14</v>
      </c>
      <c r="AI457" s="5">
        <v>14</v>
      </c>
      <c r="AJ457" s="5">
        <v>500</v>
      </c>
      <c r="AK457" s="5" t="str">
        <f t="shared" ca="1" si="7"/>
        <v>within range</v>
      </c>
    </row>
    <row r="458" spans="1:37">
      <c r="A458" s="32" t="s">
        <v>1954</v>
      </c>
      <c r="B458" s="32" t="s">
        <v>3973</v>
      </c>
      <c r="C458" s="32" t="s">
        <v>3974</v>
      </c>
      <c r="D458" s="32" t="s">
        <v>3701</v>
      </c>
      <c r="E458" s="34">
        <v>0</v>
      </c>
      <c r="F458" s="32" t="s">
        <v>3701</v>
      </c>
      <c r="G458" s="34">
        <v>3500</v>
      </c>
      <c r="H458" s="7">
        <v>44972</v>
      </c>
      <c r="I458" s="32" t="s">
        <v>3790</v>
      </c>
      <c r="J458" s="34">
        <v>0</v>
      </c>
      <c r="M458" s="34">
        <v>0</v>
      </c>
      <c r="N458" s="32" t="s">
        <v>3528</v>
      </c>
      <c r="O458" s="36">
        <v>3.88</v>
      </c>
      <c r="P458" s="32" t="s">
        <v>3701</v>
      </c>
      <c r="Q458" s="5" t="s">
        <v>3911</v>
      </c>
      <c r="R458" s="5" t="s">
        <v>3973</v>
      </c>
      <c r="S458" s="6">
        <v>0</v>
      </c>
      <c r="T458" s="6">
        <v>0</v>
      </c>
      <c r="U458" s="6">
        <v>0</v>
      </c>
      <c r="V458" s="7">
        <v>44972</v>
      </c>
      <c r="W458" s="7" t="s">
        <v>3790</v>
      </c>
      <c r="X458" s="7" t="s">
        <v>3790</v>
      </c>
      <c r="Y458" s="5" t="s">
        <v>4022</v>
      </c>
      <c r="Z458" s="5" t="s">
        <v>3790</v>
      </c>
      <c r="AA458" s="6">
        <v>0</v>
      </c>
      <c r="AB458" s="7" t="s">
        <v>4301</v>
      </c>
      <c r="AC458" s="7" t="str">
        <f>A458&amp;COUNTIF($A$2:A458,A458)</f>
        <v>100WX310-50001</v>
      </c>
      <c r="AD458" s="7">
        <v>44764</v>
      </c>
      <c r="AE458" s="7">
        <v>44972</v>
      </c>
      <c r="AF458" s="7">
        <v>44986</v>
      </c>
      <c r="AG458" s="5">
        <v>196</v>
      </c>
      <c r="AH458" s="5">
        <v>14</v>
      </c>
      <c r="AI458" s="5">
        <v>14</v>
      </c>
      <c r="AJ458" s="5">
        <v>3500</v>
      </c>
      <c r="AK458" s="5" t="str">
        <f t="shared" ca="1" si="7"/>
        <v>within range</v>
      </c>
    </row>
    <row r="459" spans="1:37">
      <c r="A459" s="32" t="s">
        <v>3975</v>
      </c>
      <c r="B459" s="32" t="s">
        <v>3973</v>
      </c>
      <c r="C459" s="32" t="s">
        <v>3976</v>
      </c>
      <c r="D459" s="32" t="s">
        <v>3701</v>
      </c>
      <c r="E459" s="34">
        <v>0</v>
      </c>
      <c r="F459" s="32" t="s">
        <v>3701</v>
      </c>
      <c r="G459" s="34">
        <v>4000</v>
      </c>
      <c r="H459" s="7">
        <v>44972</v>
      </c>
      <c r="I459" s="32" t="s">
        <v>3790</v>
      </c>
      <c r="J459" s="34">
        <v>0</v>
      </c>
      <c r="M459" s="34">
        <v>0</v>
      </c>
      <c r="N459" s="32" t="s">
        <v>3528</v>
      </c>
      <c r="O459" s="36">
        <v>3.88</v>
      </c>
      <c r="P459" s="32" t="s">
        <v>3701</v>
      </c>
      <c r="Q459" s="5" t="s">
        <v>3911</v>
      </c>
      <c r="R459" s="5" t="s">
        <v>3973</v>
      </c>
      <c r="S459" s="6">
        <v>0</v>
      </c>
      <c r="T459" s="6">
        <v>0</v>
      </c>
      <c r="U459" s="6">
        <v>0</v>
      </c>
      <c r="V459" s="7">
        <v>44972</v>
      </c>
      <c r="W459" s="7" t="s">
        <v>3790</v>
      </c>
      <c r="X459" s="7" t="s">
        <v>3790</v>
      </c>
      <c r="Y459" s="5" t="s">
        <v>4022</v>
      </c>
      <c r="Z459" s="5" t="s">
        <v>3790</v>
      </c>
      <c r="AA459" s="6">
        <v>0</v>
      </c>
      <c r="AB459" s="7" t="s">
        <v>4302</v>
      </c>
      <c r="AC459" s="7" t="str">
        <f>A459&amp;COUNTIF($A$2:A459,A459)</f>
        <v>100WX310-62001</v>
      </c>
      <c r="AD459" s="7">
        <v>44764</v>
      </c>
      <c r="AE459" s="7">
        <v>44972</v>
      </c>
      <c r="AF459" s="7">
        <v>44986</v>
      </c>
      <c r="AG459" s="5">
        <v>196</v>
      </c>
      <c r="AH459" s="5">
        <v>14</v>
      </c>
      <c r="AI459" s="5">
        <v>14</v>
      </c>
      <c r="AJ459" s="5">
        <v>4000</v>
      </c>
      <c r="AK459" s="5" t="str">
        <f t="shared" ca="1" si="7"/>
        <v>within range</v>
      </c>
    </row>
    <row r="460" spans="1:37">
      <c r="A460" s="32" t="s">
        <v>1968</v>
      </c>
      <c r="B460" s="32">
        <v>7230</v>
      </c>
      <c r="C460" s="32" t="s">
        <v>1969</v>
      </c>
      <c r="G460" s="34">
        <v>2200</v>
      </c>
      <c r="H460" s="7">
        <v>45092</v>
      </c>
      <c r="N460" s="32">
        <v>6</v>
      </c>
      <c r="O460" s="36">
        <v>4.57</v>
      </c>
      <c r="P460" s="32" t="s">
        <v>7731</v>
      </c>
      <c r="Q460" s="5" t="s">
        <v>893</v>
      </c>
      <c r="R460" s="5" t="s">
        <v>7695</v>
      </c>
      <c r="S460" s="6">
        <v>0</v>
      </c>
      <c r="T460" s="6">
        <v>0</v>
      </c>
      <c r="U460" s="6">
        <v>0</v>
      </c>
      <c r="V460" s="7">
        <v>45092</v>
      </c>
      <c r="W460" s="7" t="s">
        <v>3790</v>
      </c>
      <c r="X460" s="7" t="s">
        <v>3790</v>
      </c>
      <c r="Y460" s="5" t="s">
        <v>4022</v>
      </c>
      <c r="Z460" s="5" t="s">
        <v>3790</v>
      </c>
      <c r="AA460" s="6">
        <v>0</v>
      </c>
      <c r="AB460" s="7" t="s">
        <v>7732</v>
      </c>
      <c r="AC460" s="7" t="str">
        <f>A460&amp;COUNTIF($A$2:A460,A460)</f>
        <v>100WX421-50002</v>
      </c>
      <c r="AD460" s="7">
        <v>44922</v>
      </c>
      <c r="AE460" s="7">
        <v>45092</v>
      </c>
      <c r="AF460" s="7">
        <v>45106</v>
      </c>
      <c r="AG460" s="5">
        <v>140</v>
      </c>
      <c r="AH460" s="5">
        <v>14</v>
      </c>
      <c r="AI460" s="5">
        <v>14</v>
      </c>
      <c r="AJ460" s="5">
        <v>2200</v>
      </c>
      <c r="AK460" s="5" t="str">
        <f t="shared" ca="1" si="7"/>
        <v>within range</v>
      </c>
    </row>
    <row r="461" spans="1:37">
      <c r="A461" s="32" t="s">
        <v>1971</v>
      </c>
      <c r="B461" s="32">
        <v>7230</v>
      </c>
      <c r="C461" s="32" t="s">
        <v>1969</v>
      </c>
      <c r="G461" s="34">
        <v>2800</v>
      </c>
      <c r="H461" s="7">
        <v>45092</v>
      </c>
      <c r="N461" s="32">
        <v>6</v>
      </c>
      <c r="O461" s="36">
        <v>4.57</v>
      </c>
      <c r="P461" s="32" t="s">
        <v>7733</v>
      </c>
      <c r="Q461" s="5" t="s">
        <v>893</v>
      </c>
      <c r="R461" s="5" t="s">
        <v>7695</v>
      </c>
      <c r="S461" s="6">
        <v>0</v>
      </c>
      <c r="T461" s="6">
        <v>0</v>
      </c>
      <c r="U461" s="6">
        <v>0</v>
      </c>
      <c r="V461" s="7">
        <v>45092</v>
      </c>
      <c r="W461" s="7" t="s">
        <v>3790</v>
      </c>
      <c r="X461" s="7" t="s">
        <v>3790</v>
      </c>
      <c r="Y461" s="5" t="s">
        <v>4022</v>
      </c>
      <c r="Z461" s="5" t="s">
        <v>3790</v>
      </c>
      <c r="AA461" s="6">
        <v>0</v>
      </c>
      <c r="AB461" s="7" t="s">
        <v>7734</v>
      </c>
      <c r="AC461" s="7" t="str">
        <f>A461&amp;COUNTIF($A$2:A461,A461)</f>
        <v>100WX421-62002</v>
      </c>
      <c r="AD461" s="7">
        <v>44922</v>
      </c>
      <c r="AE461" s="7">
        <v>45092</v>
      </c>
      <c r="AF461" s="7">
        <v>45106</v>
      </c>
      <c r="AG461" s="5">
        <v>140</v>
      </c>
      <c r="AH461" s="5">
        <v>14</v>
      </c>
      <c r="AI461" s="5">
        <v>14</v>
      </c>
      <c r="AJ461" s="5">
        <v>2800</v>
      </c>
      <c r="AK461" s="5" t="str">
        <f t="shared" ca="1" si="7"/>
        <v>within range</v>
      </c>
    </row>
    <row r="462" spans="1:37">
      <c r="A462" s="32" t="s">
        <v>2003</v>
      </c>
      <c r="B462" s="32" t="s">
        <v>3977</v>
      </c>
      <c r="C462" s="32" t="s">
        <v>3934</v>
      </c>
      <c r="D462" s="32" t="s">
        <v>3701</v>
      </c>
      <c r="E462" s="34">
        <v>0</v>
      </c>
      <c r="F462" s="32" t="s">
        <v>3701</v>
      </c>
      <c r="G462" s="34">
        <v>12000</v>
      </c>
      <c r="H462" s="7">
        <v>44938</v>
      </c>
      <c r="I462" s="32" t="s">
        <v>3790</v>
      </c>
      <c r="J462" s="34">
        <v>0</v>
      </c>
      <c r="M462" s="34">
        <v>0</v>
      </c>
      <c r="N462" s="32" t="s">
        <v>3528</v>
      </c>
      <c r="O462" s="36">
        <v>0</v>
      </c>
      <c r="P462" s="32" t="s">
        <v>3701</v>
      </c>
      <c r="Q462" s="5" t="s">
        <v>3911</v>
      </c>
      <c r="R462" s="5" t="s">
        <v>3977</v>
      </c>
      <c r="S462" s="6">
        <v>0</v>
      </c>
      <c r="T462" s="6">
        <v>0</v>
      </c>
      <c r="U462" s="6">
        <v>0</v>
      </c>
      <c r="V462" s="7">
        <v>44938</v>
      </c>
      <c r="W462" s="7" t="s">
        <v>3790</v>
      </c>
      <c r="X462" s="7" t="s">
        <v>3790</v>
      </c>
      <c r="Y462" s="5" t="s">
        <v>4022</v>
      </c>
      <c r="Z462" s="5" t="s">
        <v>3790</v>
      </c>
      <c r="AA462" s="6">
        <v>0</v>
      </c>
      <c r="AB462" s="7" t="s">
        <v>4309</v>
      </c>
      <c r="AC462" s="7" t="str">
        <f>A462&amp;COUNTIF($A$2:A462,A462)</f>
        <v>100WY160-50002</v>
      </c>
      <c r="AD462" s="7">
        <v>44789</v>
      </c>
      <c r="AE462" s="7">
        <v>44938</v>
      </c>
      <c r="AF462" s="7">
        <v>44952</v>
      </c>
      <c r="AG462" s="5">
        <v>196</v>
      </c>
      <c r="AH462" s="5">
        <v>14</v>
      </c>
      <c r="AI462" s="5">
        <v>14</v>
      </c>
      <c r="AJ462" s="5">
        <v>12000</v>
      </c>
      <c r="AK462" s="5" t="str">
        <f t="shared" ca="1" si="7"/>
        <v>within range</v>
      </c>
    </row>
    <row r="463" spans="1:37">
      <c r="A463" s="32" t="s">
        <v>2006</v>
      </c>
      <c r="B463" s="32" t="s">
        <v>3977</v>
      </c>
      <c r="C463" s="32" t="s">
        <v>3935</v>
      </c>
      <c r="D463" s="32" t="s">
        <v>3701</v>
      </c>
      <c r="E463" s="34">
        <v>0</v>
      </c>
      <c r="F463" s="32" t="s">
        <v>3701</v>
      </c>
      <c r="G463" s="34">
        <v>43000</v>
      </c>
      <c r="H463" s="7">
        <v>44937</v>
      </c>
      <c r="I463" s="32" t="s">
        <v>3790</v>
      </c>
      <c r="J463" s="34">
        <v>0</v>
      </c>
      <c r="M463" s="34">
        <v>0</v>
      </c>
      <c r="N463" s="32" t="s">
        <v>3528</v>
      </c>
      <c r="O463" s="36">
        <v>0</v>
      </c>
      <c r="P463" s="32" t="s">
        <v>3701</v>
      </c>
      <c r="Q463" s="5" t="s">
        <v>3911</v>
      </c>
      <c r="R463" s="5" t="s">
        <v>3977</v>
      </c>
      <c r="S463" s="6">
        <v>0</v>
      </c>
      <c r="T463" s="6">
        <v>0</v>
      </c>
      <c r="U463" s="6">
        <v>0</v>
      </c>
      <c r="V463" s="7">
        <v>44937</v>
      </c>
      <c r="W463" s="7" t="s">
        <v>3790</v>
      </c>
      <c r="X463" s="7" t="s">
        <v>3790</v>
      </c>
      <c r="Y463" s="5" t="s">
        <v>4022</v>
      </c>
      <c r="Z463" s="5" t="s">
        <v>3790</v>
      </c>
      <c r="AA463" s="6">
        <v>0</v>
      </c>
      <c r="AB463" s="7" t="s">
        <v>4311</v>
      </c>
      <c r="AC463" s="7" t="str">
        <f>A463&amp;COUNTIF($A$2:A463,A463)</f>
        <v>100WY160-62002</v>
      </c>
      <c r="AD463" s="7">
        <v>44789</v>
      </c>
      <c r="AE463" s="7">
        <v>44937</v>
      </c>
      <c r="AF463" s="7">
        <v>44951</v>
      </c>
      <c r="AG463" s="5">
        <v>196</v>
      </c>
      <c r="AH463" s="5">
        <v>14</v>
      </c>
      <c r="AI463" s="5">
        <v>14</v>
      </c>
      <c r="AJ463" s="5">
        <v>43000</v>
      </c>
      <c r="AK463" s="5" t="str">
        <f t="shared" ca="1" si="7"/>
        <v>within range</v>
      </c>
    </row>
    <row r="464" spans="1:37">
      <c r="A464" s="32" t="s">
        <v>2010</v>
      </c>
      <c r="B464" s="32" t="s">
        <v>3958</v>
      </c>
      <c r="C464" s="32" t="s">
        <v>3960</v>
      </c>
      <c r="D464" s="32" t="s">
        <v>3663</v>
      </c>
      <c r="E464" s="34">
        <v>0</v>
      </c>
      <c r="F464" s="32" t="s">
        <v>3701</v>
      </c>
      <c r="G464" s="34">
        <v>3000</v>
      </c>
      <c r="H464" s="7">
        <v>44986</v>
      </c>
      <c r="I464" s="32" t="s">
        <v>3790</v>
      </c>
      <c r="J464" s="34">
        <v>0</v>
      </c>
      <c r="M464" s="34">
        <v>0</v>
      </c>
      <c r="N464" s="32" t="s">
        <v>3528</v>
      </c>
      <c r="O464" s="36">
        <v>4.63</v>
      </c>
      <c r="P464" s="32" t="s">
        <v>3701</v>
      </c>
      <c r="Q464" s="5" t="s">
        <v>3911</v>
      </c>
      <c r="R464" s="5" t="s">
        <v>3958</v>
      </c>
      <c r="S464" s="6">
        <v>0</v>
      </c>
      <c r="T464" s="6">
        <v>0</v>
      </c>
      <c r="U464" s="6">
        <v>0</v>
      </c>
      <c r="V464" s="7">
        <v>44986</v>
      </c>
      <c r="W464" s="7" t="s">
        <v>3790</v>
      </c>
      <c r="X464" s="7" t="s">
        <v>3790</v>
      </c>
      <c r="Y464" s="5" t="s">
        <v>4022</v>
      </c>
      <c r="Z464" s="5" t="s">
        <v>3790</v>
      </c>
      <c r="AA464" s="6">
        <v>0</v>
      </c>
      <c r="AB464" s="7" t="s">
        <v>4312</v>
      </c>
      <c r="AC464" s="7" t="str">
        <f>A464&amp;COUNTIF($A$2:A464,A464)</f>
        <v>100WY351-62001</v>
      </c>
      <c r="AD464" s="7">
        <v>44761</v>
      </c>
      <c r="AE464" s="7">
        <v>44986</v>
      </c>
      <c r="AF464" s="7">
        <v>45000</v>
      </c>
      <c r="AG464" s="5">
        <v>196</v>
      </c>
      <c r="AH464" s="5">
        <v>14</v>
      </c>
      <c r="AI464" s="5">
        <v>14</v>
      </c>
      <c r="AJ464" s="5">
        <v>3000</v>
      </c>
      <c r="AK464" s="5" t="str">
        <f t="shared" ca="1" si="7"/>
        <v>within range</v>
      </c>
    </row>
    <row r="465" spans="1:37">
      <c r="A465" s="32" t="s">
        <v>2097</v>
      </c>
      <c r="B465" s="32">
        <v>7058</v>
      </c>
      <c r="C465" s="32" t="s">
        <v>2098</v>
      </c>
      <c r="G465" s="34">
        <v>1500</v>
      </c>
      <c r="H465" s="7">
        <v>44959</v>
      </c>
      <c r="N465" s="32">
        <v>6</v>
      </c>
      <c r="O465" s="36">
        <v>5.32</v>
      </c>
      <c r="P465" s="32" t="s">
        <v>3760</v>
      </c>
      <c r="Q465" s="5" t="s">
        <v>893</v>
      </c>
      <c r="R465" s="5" t="s">
        <v>4109</v>
      </c>
      <c r="S465" s="6">
        <v>0</v>
      </c>
      <c r="T465" s="6">
        <v>0</v>
      </c>
      <c r="U465" s="6">
        <v>0</v>
      </c>
      <c r="V465" s="7">
        <v>44959</v>
      </c>
      <c r="W465" s="7" t="s">
        <v>3790</v>
      </c>
      <c r="X465" s="7" t="s">
        <v>3790</v>
      </c>
      <c r="Y465" s="5" t="s">
        <v>4022</v>
      </c>
      <c r="Z465" s="5" t="s">
        <v>3790</v>
      </c>
      <c r="AA465" s="6">
        <v>0</v>
      </c>
      <c r="AB465" s="7" t="s">
        <v>4317</v>
      </c>
      <c r="AC465" s="7" t="str">
        <f>A465&amp;COUNTIF($A$2:A465,A465)</f>
        <v>110AT750-50001</v>
      </c>
      <c r="AD465" s="7">
        <v>44734</v>
      </c>
      <c r="AE465" s="7">
        <v>44959</v>
      </c>
      <c r="AF465" s="7">
        <v>44973</v>
      </c>
      <c r="AG465" s="5">
        <v>140</v>
      </c>
      <c r="AH465" s="5">
        <v>14</v>
      </c>
      <c r="AI465" s="5">
        <v>14</v>
      </c>
      <c r="AJ465" s="5">
        <v>1500</v>
      </c>
      <c r="AK465" s="5" t="str">
        <f t="shared" ca="1" si="7"/>
        <v>within range</v>
      </c>
    </row>
    <row r="466" spans="1:37">
      <c r="A466" s="32" t="s">
        <v>2099</v>
      </c>
      <c r="B466" s="32">
        <v>7058</v>
      </c>
      <c r="C466" s="32" t="s">
        <v>2098</v>
      </c>
      <c r="G466" s="34">
        <v>1500</v>
      </c>
      <c r="H466" s="7">
        <v>44959</v>
      </c>
      <c r="N466" s="32">
        <v>6</v>
      </c>
      <c r="O466" s="36">
        <v>5.32</v>
      </c>
      <c r="P466" s="32" t="s">
        <v>3761</v>
      </c>
      <c r="Q466" s="5" t="s">
        <v>893</v>
      </c>
      <c r="R466" s="5" t="s">
        <v>4109</v>
      </c>
      <c r="S466" s="6">
        <v>0</v>
      </c>
      <c r="T466" s="6">
        <v>0</v>
      </c>
      <c r="U466" s="6">
        <v>0</v>
      </c>
      <c r="V466" s="7">
        <v>44959</v>
      </c>
      <c r="W466" s="7" t="s">
        <v>3790</v>
      </c>
      <c r="X466" s="7" t="s">
        <v>3790</v>
      </c>
      <c r="Y466" s="5" t="s">
        <v>4022</v>
      </c>
      <c r="Z466" s="5" t="s">
        <v>3790</v>
      </c>
      <c r="AA466" s="6">
        <v>0</v>
      </c>
      <c r="AB466" s="7" t="s">
        <v>4318</v>
      </c>
      <c r="AC466" s="7" t="str">
        <f>A466&amp;COUNTIF($A$2:A466,A466)</f>
        <v>110AT750-62001</v>
      </c>
      <c r="AD466" s="7">
        <v>44734</v>
      </c>
      <c r="AE466" s="7">
        <v>44959</v>
      </c>
      <c r="AF466" s="7">
        <v>44973</v>
      </c>
      <c r="AG466" s="5">
        <v>140</v>
      </c>
      <c r="AH466" s="5">
        <v>14</v>
      </c>
      <c r="AI466" s="5">
        <v>14</v>
      </c>
      <c r="AJ466" s="5">
        <v>1500</v>
      </c>
      <c r="AK466" s="5" t="str">
        <f t="shared" ca="1" si="7"/>
        <v>within range</v>
      </c>
    </row>
    <row r="467" spans="1:37">
      <c r="A467" s="32" t="s">
        <v>2115</v>
      </c>
      <c r="B467" s="32">
        <v>7155</v>
      </c>
      <c r="C467" s="32" t="s">
        <v>2114</v>
      </c>
      <c r="G467" s="34">
        <v>3000</v>
      </c>
      <c r="H467" s="7">
        <v>44938</v>
      </c>
      <c r="N467" s="32">
        <v>6</v>
      </c>
      <c r="O467" s="36">
        <v>4.8</v>
      </c>
      <c r="P467" s="32" t="s">
        <v>5524</v>
      </c>
      <c r="Q467" s="5" t="s">
        <v>893</v>
      </c>
      <c r="R467" s="5" t="s">
        <v>5520</v>
      </c>
      <c r="S467" s="6">
        <v>0</v>
      </c>
      <c r="T467" s="6">
        <v>0</v>
      </c>
      <c r="U467" s="6">
        <v>0</v>
      </c>
      <c r="V467" s="7">
        <v>44938</v>
      </c>
      <c r="W467" s="7" t="s">
        <v>3790</v>
      </c>
      <c r="X467" s="7" t="s">
        <v>3790</v>
      </c>
      <c r="Y467" s="5" t="s">
        <v>4022</v>
      </c>
      <c r="Z467" s="5" t="s">
        <v>3790</v>
      </c>
      <c r="AA467" s="6">
        <v>0</v>
      </c>
      <c r="AB467" s="7" t="s">
        <v>5525</v>
      </c>
      <c r="AC467" s="7" t="str">
        <f>A467&amp;COUNTIF($A$2:A467,A467)</f>
        <v>110AW180-62001</v>
      </c>
      <c r="AD467" s="7">
        <v>44838</v>
      </c>
      <c r="AE467" s="7">
        <v>44938</v>
      </c>
      <c r="AF467" s="7">
        <v>44952</v>
      </c>
      <c r="AG467" s="5">
        <v>140</v>
      </c>
      <c r="AH467" s="5">
        <v>14</v>
      </c>
      <c r="AI467" s="5">
        <v>14</v>
      </c>
      <c r="AJ467" s="5">
        <v>3000</v>
      </c>
      <c r="AK467" s="5" t="str">
        <f t="shared" ca="1" si="7"/>
        <v>within range</v>
      </c>
    </row>
    <row r="468" spans="1:37">
      <c r="A468" s="32" t="s">
        <v>2152</v>
      </c>
      <c r="B468" s="32">
        <v>7112</v>
      </c>
      <c r="C468" s="32" t="s">
        <v>3764</v>
      </c>
      <c r="E468" s="34">
        <v>1159</v>
      </c>
      <c r="G468" s="34">
        <v>1000</v>
      </c>
      <c r="H468" s="7">
        <v>44910</v>
      </c>
      <c r="I468" s="32" t="s">
        <v>3756</v>
      </c>
      <c r="L468" s="7">
        <v>45091</v>
      </c>
      <c r="N468" s="32">
        <v>6</v>
      </c>
      <c r="O468" s="36">
        <v>4.8</v>
      </c>
      <c r="P468" s="32" t="s">
        <v>3765</v>
      </c>
      <c r="Q468" s="5" t="s">
        <v>893</v>
      </c>
      <c r="R468" s="5" t="s">
        <v>4069</v>
      </c>
      <c r="S468" s="6">
        <v>1159</v>
      </c>
      <c r="T468" s="6">
        <v>1159</v>
      </c>
      <c r="U468" s="6">
        <v>0</v>
      </c>
      <c r="V468" s="7">
        <v>44910</v>
      </c>
      <c r="W468" s="7" t="s">
        <v>3790</v>
      </c>
      <c r="X468" s="7">
        <v>45091</v>
      </c>
      <c r="Y468" s="5" t="s">
        <v>4022</v>
      </c>
      <c r="Z468" s="5" t="s">
        <v>3790</v>
      </c>
      <c r="AA468" s="6">
        <v>1159</v>
      </c>
      <c r="AB468" s="7" t="s">
        <v>4321</v>
      </c>
      <c r="AC468" s="7" t="str">
        <f>A468&amp;COUNTIF($A$2:A468,A468)</f>
        <v>110ES701-50001</v>
      </c>
      <c r="AD468" s="7">
        <v>44795</v>
      </c>
      <c r="AE468" s="7">
        <v>44910</v>
      </c>
      <c r="AF468" s="7">
        <v>44924</v>
      </c>
      <c r="AG468" s="5">
        <v>140</v>
      </c>
      <c r="AH468" s="5">
        <v>14</v>
      </c>
      <c r="AI468" s="5">
        <v>14</v>
      </c>
      <c r="AJ468" s="5">
        <v>1000</v>
      </c>
      <c r="AK468" s="5" t="str">
        <f t="shared" ca="1" si="7"/>
        <v>run complete</v>
      </c>
    </row>
    <row r="469" spans="1:37">
      <c r="A469" s="32" t="s">
        <v>2154</v>
      </c>
      <c r="B469" s="32">
        <v>7112</v>
      </c>
      <c r="C469" s="32" t="s">
        <v>3764</v>
      </c>
      <c r="E469" s="34">
        <v>2634</v>
      </c>
      <c r="G469" s="34">
        <v>2000</v>
      </c>
      <c r="H469" s="7">
        <v>44910</v>
      </c>
      <c r="I469" s="32" t="s">
        <v>3756</v>
      </c>
      <c r="L469" s="7">
        <v>45091</v>
      </c>
      <c r="N469" s="32">
        <v>6</v>
      </c>
      <c r="O469" s="36">
        <v>4.8</v>
      </c>
      <c r="P469" s="32" t="s">
        <v>3766</v>
      </c>
      <c r="Q469" s="5" t="s">
        <v>893</v>
      </c>
      <c r="R469" s="5" t="s">
        <v>4069</v>
      </c>
      <c r="S469" s="6">
        <v>2634</v>
      </c>
      <c r="T469" s="6">
        <v>2634</v>
      </c>
      <c r="U469" s="6">
        <v>0</v>
      </c>
      <c r="V469" s="7">
        <v>44910</v>
      </c>
      <c r="W469" s="7" t="s">
        <v>3790</v>
      </c>
      <c r="X469" s="7">
        <v>45091</v>
      </c>
      <c r="Y469" s="5" t="s">
        <v>4022</v>
      </c>
      <c r="Z469" s="5" t="s">
        <v>3790</v>
      </c>
      <c r="AA469" s="6">
        <v>2634</v>
      </c>
      <c r="AB469" s="7" t="s">
        <v>4322</v>
      </c>
      <c r="AC469" s="7" t="str">
        <f>A469&amp;COUNTIF($A$2:A469,A469)</f>
        <v>110ES701-62001</v>
      </c>
      <c r="AD469" s="7">
        <v>44795</v>
      </c>
      <c r="AE469" s="7">
        <v>44910</v>
      </c>
      <c r="AF469" s="7">
        <v>44924</v>
      </c>
      <c r="AG469" s="5">
        <v>140</v>
      </c>
      <c r="AH469" s="5">
        <v>14</v>
      </c>
      <c r="AI469" s="5">
        <v>14</v>
      </c>
      <c r="AJ469" s="5">
        <v>2000</v>
      </c>
      <c r="AK469" s="5" t="str">
        <f t="shared" ca="1" si="7"/>
        <v>run complete</v>
      </c>
    </row>
    <row r="470" spans="1:37">
      <c r="A470" s="32" t="s">
        <v>2192</v>
      </c>
      <c r="B470" s="32">
        <v>7079</v>
      </c>
      <c r="C470" s="32" t="s">
        <v>2190</v>
      </c>
      <c r="E470" s="34">
        <v>0</v>
      </c>
      <c r="F470" s="32" t="s">
        <v>3881</v>
      </c>
      <c r="G470" s="34">
        <v>2200</v>
      </c>
      <c r="H470" s="7">
        <v>44949</v>
      </c>
      <c r="N470" s="32">
        <v>6</v>
      </c>
      <c r="O470" s="36">
        <v>6.51</v>
      </c>
      <c r="Q470" s="5" t="s">
        <v>3882</v>
      </c>
      <c r="R470" s="5" t="s">
        <v>4324</v>
      </c>
      <c r="S470" s="6">
        <v>0</v>
      </c>
      <c r="T470" s="6">
        <v>0</v>
      </c>
      <c r="U470" s="6">
        <v>0</v>
      </c>
      <c r="V470" s="7">
        <v>44949</v>
      </c>
      <c r="W470" s="7" t="s">
        <v>3790</v>
      </c>
      <c r="X470" s="7" t="s">
        <v>3790</v>
      </c>
      <c r="Y470" s="5" t="s">
        <v>4022</v>
      </c>
      <c r="Z470" s="5" t="s">
        <v>3790</v>
      </c>
      <c r="AA470" s="6">
        <v>0</v>
      </c>
      <c r="AB470" s="7" t="s">
        <v>4325</v>
      </c>
      <c r="AC470" s="7" t="str">
        <f>A470&amp;COUNTIF($A$2:A470,A470)</f>
        <v>110GR401-62001</v>
      </c>
      <c r="AD470" s="7">
        <v>44750</v>
      </c>
      <c r="AE470" s="7">
        <v>44949</v>
      </c>
      <c r="AF470" s="7">
        <v>44963</v>
      </c>
      <c r="AG470" s="5">
        <v>84</v>
      </c>
      <c r="AH470" s="5">
        <v>14</v>
      </c>
      <c r="AI470" s="5">
        <v>14</v>
      </c>
      <c r="AJ470" s="5">
        <v>2200</v>
      </c>
      <c r="AK470" s="5" t="str">
        <f t="shared" ca="1" si="7"/>
        <v>within range</v>
      </c>
    </row>
    <row r="471" spans="1:37">
      <c r="A471" s="32" t="s">
        <v>2193</v>
      </c>
      <c r="B471" s="32" t="s">
        <v>3962</v>
      </c>
      <c r="C471" s="32" t="s">
        <v>3963</v>
      </c>
      <c r="D471" s="32" t="s">
        <v>3701</v>
      </c>
      <c r="E471" s="34">
        <v>0</v>
      </c>
      <c r="F471" s="32" t="s">
        <v>3701</v>
      </c>
      <c r="G471" s="34">
        <v>1400</v>
      </c>
      <c r="H471" s="7">
        <v>44930</v>
      </c>
      <c r="I471" s="32" t="s">
        <v>3790</v>
      </c>
      <c r="J471" s="34">
        <v>0</v>
      </c>
      <c r="M471" s="34">
        <v>0</v>
      </c>
      <c r="N471" s="32" t="s">
        <v>3528</v>
      </c>
      <c r="O471" s="36">
        <v>4.63</v>
      </c>
      <c r="P471" s="32" t="s">
        <v>3701</v>
      </c>
      <c r="Q471" s="5" t="s">
        <v>3911</v>
      </c>
      <c r="R471" s="5" t="s">
        <v>3962</v>
      </c>
      <c r="S471" s="6">
        <v>0</v>
      </c>
      <c r="T471" s="6">
        <v>0</v>
      </c>
      <c r="U471" s="6">
        <v>0</v>
      </c>
      <c r="V471" s="7">
        <v>44930</v>
      </c>
      <c r="W471" s="7" t="s">
        <v>3790</v>
      </c>
      <c r="X471" s="7" t="s">
        <v>3790</v>
      </c>
      <c r="Y471" s="5" t="s">
        <v>4022</v>
      </c>
      <c r="Z471" s="5" t="s">
        <v>3790</v>
      </c>
      <c r="AA471" s="6">
        <v>0</v>
      </c>
      <c r="AB471" s="7" t="s">
        <v>4326</v>
      </c>
      <c r="AC471" s="7" t="str">
        <f>A471&amp;COUNTIF($A$2:A471,A471)</f>
        <v>110H5102-50001</v>
      </c>
      <c r="AD471" s="7">
        <v>44761</v>
      </c>
      <c r="AE471" s="7">
        <v>44930</v>
      </c>
      <c r="AF471" s="7">
        <v>44944</v>
      </c>
      <c r="AG471" s="5">
        <v>196</v>
      </c>
      <c r="AH471" s="5">
        <v>14</v>
      </c>
      <c r="AI471" s="5">
        <v>14</v>
      </c>
      <c r="AJ471" s="5">
        <v>1400</v>
      </c>
      <c r="AK471" s="5" t="str">
        <f t="shared" ca="1" si="7"/>
        <v>Past Due</v>
      </c>
    </row>
    <row r="472" spans="1:37">
      <c r="A472" s="32" t="s">
        <v>2196</v>
      </c>
      <c r="B472" s="32" t="s">
        <v>3962</v>
      </c>
      <c r="C472" s="32" t="s">
        <v>3964</v>
      </c>
      <c r="D472" s="32" t="s">
        <v>3701</v>
      </c>
      <c r="E472" s="34">
        <v>0</v>
      </c>
      <c r="F472" s="32" t="s">
        <v>3701</v>
      </c>
      <c r="G472" s="34">
        <v>2600</v>
      </c>
      <c r="H472" s="7">
        <v>44930</v>
      </c>
      <c r="I472" s="32" t="s">
        <v>3790</v>
      </c>
      <c r="J472" s="34">
        <v>0</v>
      </c>
      <c r="M472" s="34">
        <v>0</v>
      </c>
      <c r="N472" s="32" t="s">
        <v>3528</v>
      </c>
      <c r="O472" s="36">
        <v>4.63</v>
      </c>
      <c r="P472" s="32" t="s">
        <v>3701</v>
      </c>
      <c r="Q472" s="5" t="s">
        <v>3911</v>
      </c>
      <c r="R472" s="5" t="s">
        <v>3962</v>
      </c>
      <c r="S472" s="6">
        <v>0</v>
      </c>
      <c r="T472" s="6">
        <v>0</v>
      </c>
      <c r="U472" s="6">
        <v>0</v>
      </c>
      <c r="V472" s="7">
        <v>44930</v>
      </c>
      <c r="W472" s="7" t="s">
        <v>3790</v>
      </c>
      <c r="X472" s="7" t="s">
        <v>3790</v>
      </c>
      <c r="Y472" s="5" t="s">
        <v>4022</v>
      </c>
      <c r="Z472" s="5" t="s">
        <v>3790</v>
      </c>
      <c r="AA472" s="6">
        <v>0</v>
      </c>
      <c r="AB472" s="7" t="s">
        <v>4327</v>
      </c>
      <c r="AC472" s="7" t="str">
        <f>A472&amp;COUNTIF($A$2:A472,A472)</f>
        <v>110H5102-62001</v>
      </c>
      <c r="AD472" s="7">
        <v>44761</v>
      </c>
      <c r="AE472" s="7">
        <v>44930</v>
      </c>
      <c r="AF472" s="7">
        <v>44944</v>
      </c>
      <c r="AG472" s="5">
        <v>196</v>
      </c>
      <c r="AH472" s="5">
        <v>14</v>
      </c>
      <c r="AI472" s="5">
        <v>14</v>
      </c>
      <c r="AJ472" s="5">
        <v>2600</v>
      </c>
      <c r="AK472" s="5" t="str">
        <f t="shared" ca="1" si="7"/>
        <v>Past Due</v>
      </c>
    </row>
    <row r="473" spans="1:37">
      <c r="A473" s="32" t="s">
        <v>2201</v>
      </c>
      <c r="B473" s="32">
        <v>7184</v>
      </c>
      <c r="C473" s="32" t="s">
        <v>2202</v>
      </c>
      <c r="G473" s="34">
        <v>5000</v>
      </c>
      <c r="H473" s="7">
        <v>44959</v>
      </c>
      <c r="N473" s="32">
        <v>6</v>
      </c>
      <c r="O473" s="36">
        <v>4.99</v>
      </c>
      <c r="P473" s="32" t="s">
        <v>5903</v>
      </c>
      <c r="Q473" s="5" t="s">
        <v>893</v>
      </c>
      <c r="R473" s="5" t="s">
        <v>5862</v>
      </c>
      <c r="S473" s="6">
        <v>0</v>
      </c>
      <c r="T473" s="6">
        <v>0</v>
      </c>
      <c r="U473" s="6">
        <v>0</v>
      </c>
      <c r="V473" s="7">
        <v>44959</v>
      </c>
      <c r="W473" s="7" t="s">
        <v>3790</v>
      </c>
      <c r="X473" s="7" t="s">
        <v>3790</v>
      </c>
      <c r="Y473" s="5" t="s">
        <v>4022</v>
      </c>
      <c r="Z473" s="5" t="s">
        <v>3790</v>
      </c>
      <c r="AA473" s="6">
        <v>0</v>
      </c>
      <c r="AB473" s="7" t="s">
        <v>5904</v>
      </c>
      <c r="AC473" s="7" t="str">
        <f>A473&amp;COUNTIF($A$2:A473,A473)</f>
        <v>110HA009-43002</v>
      </c>
      <c r="AD473" s="7">
        <v>44854</v>
      </c>
      <c r="AE473" s="7">
        <v>44959</v>
      </c>
      <c r="AF473" s="7">
        <v>44973</v>
      </c>
      <c r="AG473" s="5">
        <v>140</v>
      </c>
      <c r="AH473" s="5">
        <v>14</v>
      </c>
      <c r="AI473" s="5">
        <v>14</v>
      </c>
      <c r="AJ473" s="5">
        <v>5000</v>
      </c>
      <c r="AK473" s="5" t="str">
        <f t="shared" ca="1" si="7"/>
        <v>within range</v>
      </c>
    </row>
    <row r="474" spans="1:37">
      <c r="A474" s="32" t="s">
        <v>2214</v>
      </c>
      <c r="B474" s="32" t="s">
        <v>3603</v>
      </c>
      <c r="C474" s="32" t="s">
        <v>3604</v>
      </c>
      <c r="E474" s="34" t="s">
        <v>3527</v>
      </c>
      <c r="F474" s="32" t="s">
        <v>3524</v>
      </c>
      <c r="G474" s="34" t="s">
        <v>3564</v>
      </c>
      <c r="H474" s="7" t="s">
        <v>6000</v>
      </c>
      <c r="I474" s="32" t="s">
        <v>3526</v>
      </c>
      <c r="J474" s="34" t="s">
        <v>6357</v>
      </c>
      <c r="K474" s="7" t="s">
        <v>5499</v>
      </c>
      <c r="N474" s="32" t="s">
        <v>3528</v>
      </c>
      <c r="O474" s="36" t="s">
        <v>5247</v>
      </c>
      <c r="Q474" s="5" t="s">
        <v>5428</v>
      </c>
      <c r="R474" s="5" t="s">
        <v>3546</v>
      </c>
      <c r="S474" s="6">
        <v>0</v>
      </c>
      <c r="T474" s="6">
        <v>0</v>
      </c>
      <c r="U474" s="6">
        <v>1186</v>
      </c>
      <c r="V474" s="7">
        <v>44876</v>
      </c>
      <c r="W474" s="7">
        <v>44923</v>
      </c>
      <c r="X474" s="7" t="s">
        <v>3790</v>
      </c>
      <c r="Y474" s="5" t="s">
        <v>4022</v>
      </c>
      <c r="Z474" s="5" t="s">
        <v>3790</v>
      </c>
      <c r="AA474" s="6">
        <v>0</v>
      </c>
      <c r="AB474" s="7" t="s">
        <v>4332</v>
      </c>
      <c r="AC474" s="7" t="str">
        <f>A474&amp;COUNTIF($A$2:A474,A474)</f>
        <v>110HLT04-50001</v>
      </c>
      <c r="AD474" s="7">
        <v>44657</v>
      </c>
      <c r="AE474" s="7">
        <v>44923</v>
      </c>
      <c r="AF474" s="7">
        <v>44937</v>
      </c>
      <c r="AG474" s="5">
        <v>84</v>
      </c>
      <c r="AH474" s="5">
        <v>56</v>
      </c>
      <c r="AI474" s="5">
        <v>14</v>
      </c>
      <c r="AJ474" s="5">
        <v>1199</v>
      </c>
      <c r="AK474" s="5" t="str">
        <f t="shared" ca="1" si="7"/>
        <v>run complete</v>
      </c>
    </row>
    <row r="475" spans="1:37">
      <c r="A475" s="32" t="s">
        <v>2217</v>
      </c>
      <c r="B475" s="32" t="s">
        <v>3603</v>
      </c>
      <c r="C475" s="32" t="s">
        <v>3604</v>
      </c>
      <c r="E475" s="34" t="s">
        <v>3527</v>
      </c>
      <c r="F475" s="32" t="s">
        <v>3524</v>
      </c>
      <c r="G475" s="34" t="s">
        <v>3601</v>
      </c>
      <c r="H475" s="7" t="s">
        <v>6000</v>
      </c>
      <c r="I475" s="32" t="s">
        <v>3526</v>
      </c>
      <c r="J475" s="34" t="s">
        <v>6358</v>
      </c>
      <c r="K475" s="7" t="s">
        <v>5499</v>
      </c>
      <c r="N475" s="32" t="s">
        <v>3528</v>
      </c>
      <c r="O475" s="36" t="s">
        <v>5247</v>
      </c>
      <c r="Q475" s="5" t="s">
        <v>5428</v>
      </c>
      <c r="R475" s="5" t="s">
        <v>3546</v>
      </c>
      <c r="S475" s="6">
        <v>0</v>
      </c>
      <c r="T475" s="6">
        <v>0</v>
      </c>
      <c r="U475" s="6">
        <v>955</v>
      </c>
      <c r="V475" s="7">
        <v>44876</v>
      </c>
      <c r="W475" s="7">
        <v>44923</v>
      </c>
      <c r="X475" s="7" t="s">
        <v>3790</v>
      </c>
      <c r="Y475" s="5" t="s">
        <v>4022</v>
      </c>
      <c r="Z475" s="5" t="s">
        <v>3790</v>
      </c>
      <c r="AA475" s="6">
        <v>0</v>
      </c>
      <c r="AB475" s="7" t="s">
        <v>4333</v>
      </c>
      <c r="AC475" s="7" t="str">
        <f>A475&amp;COUNTIF($A$2:A475,A475)</f>
        <v>110HLT04-62001</v>
      </c>
      <c r="AD475" s="7">
        <v>44657</v>
      </c>
      <c r="AE475" s="7">
        <v>44923</v>
      </c>
      <c r="AF475" s="7">
        <v>44937</v>
      </c>
      <c r="AG475" s="5">
        <v>84</v>
      </c>
      <c r="AH475" s="5">
        <v>56</v>
      </c>
      <c r="AI475" s="5">
        <v>14</v>
      </c>
      <c r="AJ475" s="5">
        <v>1001</v>
      </c>
      <c r="AK475" s="5" t="str">
        <f t="shared" ca="1" si="7"/>
        <v>run complete</v>
      </c>
    </row>
    <row r="476" spans="1:37">
      <c r="A476" s="32" t="s">
        <v>2221</v>
      </c>
      <c r="B476" s="32" t="s">
        <v>3958</v>
      </c>
      <c r="C476" s="32" t="s">
        <v>3961</v>
      </c>
      <c r="D476" s="32" t="s">
        <v>3701</v>
      </c>
      <c r="E476" s="34">
        <v>0</v>
      </c>
      <c r="F476" s="32" t="s">
        <v>3701</v>
      </c>
      <c r="G476" s="34">
        <v>3000</v>
      </c>
      <c r="H476" s="7">
        <v>44953</v>
      </c>
      <c r="I476" s="32" t="s">
        <v>3790</v>
      </c>
      <c r="J476" s="34">
        <v>0</v>
      </c>
      <c r="M476" s="34">
        <v>0</v>
      </c>
      <c r="N476" s="32" t="s">
        <v>3528</v>
      </c>
      <c r="O476" s="36">
        <v>5.48</v>
      </c>
      <c r="P476" s="32" t="s">
        <v>3701</v>
      </c>
      <c r="Q476" s="5" t="s">
        <v>3911</v>
      </c>
      <c r="R476" s="5" t="s">
        <v>3958</v>
      </c>
      <c r="S476" s="6">
        <v>0</v>
      </c>
      <c r="T476" s="6">
        <v>0</v>
      </c>
      <c r="U476" s="6">
        <v>0</v>
      </c>
      <c r="V476" s="7">
        <v>44953</v>
      </c>
      <c r="W476" s="7" t="s">
        <v>3790</v>
      </c>
      <c r="X476" s="7" t="s">
        <v>3790</v>
      </c>
      <c r="Y476" s="5" t="s">
        <v>4022</v>
      </c>
      <c r="Z476" s="5" t="s">
        <v>3790</v>
      </c>
      <c r="AA476" s="6">
        <v>0</v>
      </c>
      <c r="AB476" s="7" t="s">
        <v>4334</v>
      </c>
      <c r="AC476" s="7" t="str">
        <f>A476&amp;COUNTIF($A$2:A476,A476)</f>
        <v>110K3000-62001</v>
      </c>
      <c r="AD476" s="7">
        <v>44761</v>
      </c>
      <c r="AE476" s="7">
        <v>44953</v>
      </c>
      <c r="AF476" s="7">
        <v>44967</v>
      </c>
      <c r="AG476" s="5">
        <v>196</v>
      </c>
      <c r="AH476" s="5">
        <v>14</v>
      </c>
      <c r="AI476" s="5">
        <v>14</v>
      </c>
      <c r="AJ476" s="5">
        <v>3000</v>
      </c>
      <c r="AK476" s="5" t="str">
        <f t="shared" ca="1" si="7"/>
        <v>within range</v>
      </c>
    </row>
    <row r="477" spans="1:37">
      <c r="A477" s="32" t="s">
        <v>2232</v>
      </c>
      <c r="B477" s="32">
        <v>7193</v>
      </c>
      <c r="C477" s="32" t="s">
        <v>6022</v>
      </c>
      <c r="G477" s="34">
        <v>3000</v>
      </c>
      <c r="H477" s="7">
        <v>44973</v>
      </c>
      <c r="N477" s="32">
        <v>6</v>
      </c>
      <c r="O477" s="36">
        <v>8.0500000000000007</v>
      </c>
      <c r="P477" s="32" t="s">
        <v>6023</v>
      </c>
      <c r="Q477" s="5" t="s">
        <v>893</v>
      </c>
      <c r="R477" s="5" t="s">
        <v>6024</v>
      </c>
      <c r="S477" s="6">
        <v>0</v>
      </c>
      <c r="T477" s="6">
        <v>0</v>
      </c>
      <c r="U477" s="6">
        <v>0</v>
      </c>
      <c r="V477" s="7">
        <v>44973</v>
      </c>
      <c r="W477" s="7" t="s">
        <v>3790</v>
      </c>
      <c r="X477" s="7" t="s">
        <v>3790</v>
      </c>
      <c r="Y477" s="5" t="s">
        <v>4022</v>
      </c>
      <c r="Z477" s="5" t="s">
        <v>3790</v>
      </c>
      <c r="AA477" s="6">
        <v>0</v>
      </c>
      <c r="AB477" s="7" t="s">
        <v>6025</v>
      </c>
      <c r="AC477" s="7" t="str">
        <f>A477&amp;COUNTIF($A$2:A477,A477)</f>
        <v>110KM028-62001</v>
      </c>
      <c r="AD477" s="7">
        <v>44859</v>
      </c>
      <c r="AE477" s="7">
        <v>44973</v>
      </c>
      <c r="AF477" s="7">
        <v>44987</v>
      </c>
      <c r="AG477" s="5">
        <v>140</v>
      </c>
      <c r="AH477" s="5">
        <v>14</v>
      </c>
      <c r="AI477" s="5">
        <v>14</v>
      </c>
      <c r="AJ477" s="5">
        <v>3000</v>
      </c>
      <c r="AK477" s="5" t="str">
        <f t="shared" ca="1" si="7"/>
        <v>within range</v>
      </c>
    </row>
    <row r="478" spans="1:37">
      <c r="A478" s="32" t="s">
        <v>2244</v>
      </c>
      <c r="B478" s="32">
        <v>7192</v>
      </c>
      <c r="C478" s="32" t="s">
        <v>2243</v>
      </c>
      <c r="D478" s="32" t="s">
        <v>3663</v>
      </c>
      <c r="F478" s="32" t="s">
        <v>3892</v>
      </c>
      <c r="G478" s="34">
        <v>2200</v>
      </c>
      <c r="H478" s="7">
        <v>44939</v>
      </c>
      <c r="N478" s="32">
        <v>3</v>
      </c>
      <c r="O478" s="36">
        <v>5.71</v>
      </c>
      <c r="P478" s="32">
        <v>817482</v>
      </c>
      <c r="Q478" s="5" t="s">
        <v>3893</v>
      </c>
      <c r="R478" s="5" t="s">
        <v>5905</v>
      </c>
      <c r="S478" s="6">
        <v>0</v>
      </c>
      <c r="T478" s="6">
        <v>0</v>
      </c>
      <c r="U478" s="6">
        <v>0</v>
      </c>
      <c r="V478" s="7">
        <v>44939</v>
      </c>
      <c r="W478" s="7" t="s">
        <v>3790</v>
      </c>
      <c r="X478" s="7" t="s">
        <v>3790</v>
      </c>
      <c r="Y478" s="5" t="s">
        <v>4022</v>
      </c>
      <c r="Z478" s="5" t="s">
        <v>3790</v>
      </c>
      <c r="AA478" s="6">
        <v>0</v>
      </c>
      <c r="AB478" s="7" t="s">
        <v>5906</v>
      </c>
      <c r="AC478" s="7" t="str">
        <f>A478&amp;COUNTIF($A$2:A478,A478)</f>
        <v>110LN602-62001</v>
      </c>
      <c r="AD478" s="7">
        <v>44858</v>
      </c>
      <c r="AE478" s="7">
        <v>44939</v>
      </c>
      <c r="AF478" s="7">
        <v>45002</v>
      </c>
      <c r="AG478" s="5">
        <v>98</v>
      </c>
      <c r="AH478" s="5">
        <v>63</v>
      </c>
      <c r="AI478" s="5">
        <v>14</v>
      </c>
      <c r="AJ478" s="5">
        <v>2200</v>
      </c>
      <c r="AK478" s="5" t="str">
        <f t="shared" ca="1" si="7"/>
        <v>within range</v>
      </c>
    </row>
    <row r="479" spans="1:37">
      <c r="A479" s="32" t="s">
        <v>2304</v>
      </c>
      <c r="B479" s="32">
        <v>110773</v>
      </c>
      <c r="C479" s="32" t="s">
        <v>3992</v>
      </c>
      <c r="G479" s="34">
        <v>2000</v>
      </c>
      <c r="N479" s="32">
        <v>3</v>
      </c>
      <c r="O479" s="36">
        <v>3.59</v>
      </c>
      <c r="P479" s="32" t="s">
        <v>6360</v>
      </c>
      <c r="Q479" s="5" t="s">
        <v>3991</v>
      </c>
      <c r="R479" s="5" t="s">
        <v>5964</v>
      </c>
      <c r="S479" s="6">
        <v>0</v>
      </c>
      <c r="T479" s="6">
        <v>0</v>
      </c>
      <c r="U479" s="6">
        <v>0</v>
      </c>
      <c r="V479" s="7" t="s">
        <v>3790</v>
      </c>
      <c r="W479" s="7" t="s">
        <v>3790</v>
      </c>
      <c r="X479" s="7" t="s">
        <v>3790</v>
      </c>
      <c r="Y479" s="5" t="s">
        <v>4022</v>
      </c>
      <c r="Z479" s="5" t="s">
        <v>3790</v>
      </c>
      <c r="AA479" s="6">
        <v>0</v>
      </c>
      <c r="AB479" s="7" t="s">
        <v>7736</v>
      </c>
      <c r="AC479" s="7" t="str">
        <f>A479&amp;COUNTIF($A$2:A479,A479)</f>
        <v>110M5208-50002</v>
      </c>
      <c r="AD479" s="7">
        <v>44833</v>
      </c>
      <c r="AE479" s="7">
        <v>44833</v>
      </c>
      <c r="AF479" s="7">
        <v>44903</v>
      </c>
      <c r="AG479" s="5">
        <v>70</v>
      </c>
      <c r="AH479" s="5">
        <v>14</v>
      </c>
      <c r="AI479" s="5">
        <v>14</v>
      </c>
      <c r="AJ479" s="5">
        <v>2000</v>
      </c>
      <c r="AK479" s="5" t="str">
        <f t="shared" ca="1" si="7"/>
        <v>within range</v>
      </c>
    </row>
    <row r="480" spans="1:37">
      <c r="A480" s="32" t="s">
        <v>2305</v>
      </c>
      <c r="B480" s="32">
        <v>110773</v>
      </c>
      <c r="C480" s="32" t="s">
        <v>3992</v>
      </c>
      <c r="G480" s="34">
        <v>3000</v>
      </c>
      <c r="N480" s="32">
        <v>3</v>
      </c>
      <c r="O480" s="36">
        <v>3.59</v>
      </c>
      <c r="P480" s="32" t="s">
        <v>6360</v>
      </c>
      <c r="Q480" s="5" t="s">
        <v>3991</v>
      </c>
      <c r="R480" s="5" t="s">
        <v>5964</v>
      </c>
      <c r="S480" s="6">
        <v>0</v>
      </c>
      <c r="T480" s="6">
        <v>0</v>
      </c>
      <c r="U480" s="6">
        <v>0</v>
      </c>
      <c r="V480" s="7" t="s">
        <v>3790</v>
      </c>
      <c r="W480" s="7" t="s">
        <v>3790</v>
      </c>
      <c r="X480" s="7" t="s">
        <v>3790</v>
      </c>
      <c r="Y480" s="5" t="s">
        <v>4022</v>
      </c>
      <c r="Z480" s="5" t="s">
        <v>3790</v>
      </c>
      <c r="AA480" s="6">
        <v>0</v>
      </c>
      <c r="AB480" s="7" t="s">
        <v>6030</v>
      </c>
      <c r="AC480" s="7" t="str">
        <f>A480&amp;COUNTIF($A$2:A480,A480)</f>
        <v>110M5208-62001</v>
      </c>
      <c r="AD480" s="7">
        <v>44833</v>
      </c>
      <c r="AE480" s="7">
        <v>44833</v>
      </c>
      <c r="AF480" s="7">
        <v>44903</v>
      </c>
      <c r="AG480" s="5">
        <v>70</v>
      </c>
      <c r="AH480" s="5">
        <v>14</v>
      </c>
      <c r="AI480" s="5">
        <v>14</v>
      </c>
      <c r="AJ480" s="5">
        <v>3000</v>
      </c>
      <c r="AK480" s="5" t="str">
        <f t="shared" ca="1" si="7"/>
        <v>within range</v>
      </c>
    </row>
    <row r="481" spans="1:37">
      <c r="A481" s="32" t="s">
        <v>2306</v>
      </c>
      <c r="B481" s="32">
        <v>111412</v>
      </c>
      <c r="C481" s="32" t="s">
        <v>3872</v>
      </c>
      <c r="E481" s="34">
        <v>0</v>
      </c>
      <c r="G481" s="34">
        <v>2000</v>
      </c>
      <c r="H481" s="7">
        <v>44984</v>
      </c>
      <c r="O481" s="36">
        <v>4.1207000000000003</v>
      </c>
      <c r="P481" s="32" t="s">
        <v>7560</v>
      </c>
      <c r="Q481" s="5" t="s">
        <v>3873</v>
      </c>
      <c r="R481" s="5" t="s">
        <v>7737</v>
      </c>
      <c r="S481" s="6">
        <v>0</v>
      </c>
      <c r="T481" s="6">
        <v>0</v>
      </c>
      <c r="U481" s="6">
        <v>0</v>
      </c>
      <c r="V481" s="7">
        <v>44984</v>
      </c>
      <c r="W481" s="7" t="s">
        <v>3790</v>
      </c>
      <c r="X481" s="7" t="s">
        <v>3790</v>
      </c>
      <c r="Y481" s="5" t="s">
        <v>4022</v>
      </c>
      <c r="Z481" s="5" t="s">
        <v>3790</v>
      </c>
      <c r="AA481" s="6">
        <v>0</v>
      </c>
      <c r="AB481" s="7" t="s">
        <v>7738</v>
      </c>
      <c r="AC481" s="7" t="str">
        <f>A481&amp;COUNTIF($A$2:A481,A481)</f>
        <v>110M5211-62002</v>
      </c>
      <c r="AD481" s="7">
        <v>44922</v>
      </c>
      <c r="AE481" s="7">
        <v>44984</v>
      </c>
      <c r="AF481" s="7">
        <v>44984</v>
      </c>
      <c r="AG481" s="5">
        <v>91</v>
      </c>
      <c r="AH481" s="5">
        <v>0</v>
      </c>
      <c r="AI481" s="5">
        <v>14</v>
      </c>
      <c r="AJ481" s="5">
        <v>2000</v>
      </c>
      <c r="AK481" s="5" t="str">
        <f t="shared" ca="1" si="7"/>
        <v>within range</v>
      </c>
    </row>
    <row r="482" spans="1:37">
      <c r="A482" s="32" t="s">
        <v>2352</v>
      </c>
      <c r="B482" s="32">
        <v>7119</v>
      </c>
      <c r="C482" s="32" t="s">
        <v>3768</v>
      </c>
      <c r="G482" s="34">
        <v>2000</v>
      </c>
      <c r="H482" s="7">
        <v>44938</v>
      </c>
      <c r="N482" s="32">
        <v>6</v>
      </c>
      <c r="O482" s="36">
        <v>4.8</v>
      </c>
      <c r="P482" s="32" t="s">
        <v>5526</v>
      </c>
      <c r="Q482" s="5" t="s">
        <v>893</v>
      </c>
      <c r="R482" s="5" t="s">
        <v>4269</v>
      </c>
      <c r="S482" s="6">
        <v>0</v>
      </c>
      <c r="T482" s="6">
        <v>0</v>
      </c>
      <c r="U482" s="6">
        <v>0</v>
      </c>
      <c r="V482" s="7">
        <v>44938</v>
      </c>
      <c r="W482" s="7" t="s">
        <v>3790</v>
      </c>
      <c r="X482" s="7" t="s">
        <v>3790</v>
      </c>
      <c r="Y482" s="5" t="s">
        <v>4022</v>
      </c>
      <c r="Z482" s="5" t="s">
        <v>3790</v>
      </c>
      <c r="AA482" s="6">
        <v>0</v>
      </c>
      <c r="AB482" s="7" t="s">
        <v>5527</v>
      </c>
      <c r="AC482" s="7" t="str">
        <f>A482&amp;COUNTIF($A$2:A482,A482)</f>
        <v>110MR303-50001</v>
      </c>
      <c r="AD482" s="7">
        <v>44797</v>
      </c>
      <c r="AE482" s="7">
        <v>44938</v>
      </c>
      <c r="AF482" s="7">
        <v>44952</v>
      </c>
      <c r="AG482" s="5">
        <v>140</v>
      </c>
      <c r="AH482" s="5">
        <v>14</v>
      </c>
      <c r="AI482" s="5">
        <v>14</v>
      </c>
      <c r="AJ482" s="5">
        <v>2000</v>
      </c>
      <c r="AK482" s="5" t="str">
        <f t="shared" ca="1" si="7"/>
        <v>within range</v>
      </c>
    </row>
    <row r="483" spans="1:37">
      <c r="A483" s="32" t="s">
        <v>2355</v>
      </c>
      <c r="B483" s="32">
        <v>7119</v>
      </c>
      <c r="C483" s="32" t="s">
        <v>3768</v>
      </c>
      <c r="G483" s="34">
        <v>1000</v>
      </c>
      <c r="H483" s="7">
        <v>44938</v>
      </c>
      <c r="N483" s="32">
        <v>6</v>
      </c>
      <c r="O483" s="36">
        <v>4.8</v>
      </c>
      <c r="P483" s="32" t="s">
        <v>3769</v>
      </c>
      <c r="Q483" s="5" t="s">
        <v>893</v>
      </c>
      <c r="R483" s="5" t="s">
        <v>4269</v>
      </c>
      <c r="S483" s="6">
        <v>0</v>
      </c>
      <c r="T483" s="6">
        <v>0</v>
      </c>
      <c r="U483" s="6">
        <v>0</v>
      </c>
      <c r="V483" s="7">
        <v>44938</v>
      </c>
      <c r="W483" s="7" t="s">
        <v>3790</v>
      </c>
      <c r="X483" s="7" t="s">
        <v>3790</v>
      </c>
      <c r="Y483" s="5" t="s">
        <v>4022</v>
      </c>
      <c r="Z483" s="5" t="s">
        <v>3790</v>
      </c>
      <c r="AA483" s="6">
        <v>0</v>
      </c>
      <c r="AB483" s="7" t="s">
        <v>4342</v>
      </c>
      <c r="AC483" s="7" t="str">
        <f>A483&amp;COUNTIF($A$2:A483,A483)</f>
        <v>110MR303-62001</v>
      </c>
      <c r="AD483" s="7">
        <v>44797</v>
      </c>
      <c r="AE483" s="7">
        <v>44938</v>
      </c>
      <c r="AF483" s="7">
        <v>44952</v>
      </c>
      <c r="AG483" s="5">
        <v>140</v>
      </c>
      <c r="AH483" s="5">
        <v>14</v>
      </c>
      <c r="AI483" s="5">
        <v>14</v>
      </c>
      <c r="AJ483" s="5">
        <v>1000</v>
      </c>
      <c r="AK483" s="5" t="str">
        <f t="shared" ca="1" si="7"/>
        <v>within range</v>
      </c>
    </row>
    <row r="484" spans="1:37">
      <c r="A484" s="32" t="s">
        <v>2375</v>
      </c>
      <c r="B484" s="32">
        <v>7056</v>
      </c>
      <c r="C484" s="32" t="s">
        <v>3770</v>
      </c>
      <c r="E484" s="34">
        <v>5371</v>
      </c>
      <c r="G484" s="34">
        <v>5000</v>
      </c>
      <c r="H484" s="7">
        <v>44910</v>
      </c>
      <c r="I484" s="32" t="s">
        <v>3756</v>
      </c>
      <c r="L484" s="7">
        <v>45095</v>
      </c>
      <c r="N484" s="32">
        <v>6</v>
      </c>
      <c r="O484" s="36">
        <v>4.57</v>
      </c>
      <c r="P484" s="32" t="s">
        <v>3771</v>
      </c>
      <c r="Q484" s="5" t="s">
        <v>893</v>
      </c>
      <c r="R484" s="5" t="s">
        <v>4087</v>
      </c>
      <c r="S484" s="6">
        <v>5371</v>
      </c>
      <c r="T484" s="6">
        <v>5371</v>
      </c>
      <c r="U484" s="6">
        <v>0</v>
      </c>
      <c r="V484" s="7">
        <v>44910</v>
      </c>
      <c r="W484" s="7" t="s">
        <v>3790</v>
      </c>
      <c r="X484" s="7">
        <v>45095</v>
      </c>
      <c r="Y484" s="5" t="s">
        <v>4022</v>
      </c>
      <c r="Z484" s="5" t="s">
        <v>3790</v>
      </c>
      <c r="AA484" s="6">
        <v>5371</v>
      </c>
      <c r="AB484" s="7" t="s">
        <v>4343</v>
      </c>
      <c r="AC484" s="7" t="str">
        <f>A484&amp;COUNTIF($A$2:A484,A484)</f>
        <v>110MR601-62001</v>
      </c>
      <c r="AD484" s="7">
        <v>44734</v>
      </c>
      <c r="AE484" s="7">
        <v>44910</v>
      </c>
      <c r="AF484" s="7">
        <v>44924</v>
      </c>
      <c r="AG484" s="5">
        <v>140</v>
      </c>
      <c r="AH484" s="5">
        <v>14</v>
      </c>
      <c r="AI484" s="5">
        <v>14</v>
      </c>
      <c r="AJ484" s="5">
        <v>5000</v>
      </c>
      <c r="AK484" s="5" t="str">
        <f t="shared" ca="1" si="7"/>
        <v>run complete</v>
      </c>
    </row>
    <row r="485" spans="1:37">
      <c r="A485" s="32" t="s">
        <v>2405</v>
      </c>
      <c r="B485" s="32">
        <v>7128</v>
      </c>
      <c r="C485" s="32" t="s">
        <v>2403</v>
      </c>
      <c r="G485" s="34">
        <v>3000</v>
      </c>
      <c r="H485" s="7">
        <v>44938</v>
      </c>
      <c r="N485" s="32">
        <v>6</v>
      </c>
      <c r="O485" s="36">
        <v>4.8</v>
      </c>
      <c r="P485" s="32" t="s">
        <v>3775</v>
      </c>
      <c r="Q485" s="5" t="s">
        <v>893</v>
      </c>
      <c r="R485" s="5" t="s">
        <v>4140</v>
      </c>
      <c r="S485" s="6">
        <v>0</v>
      </c>
      <c r="T485" s="6">
        <v>0</v>
      </c>
      <c r="U485" s="6">
        <v>0</v>
      </c>
      <c r="V485" s="7">
        <v>44938</v>
      </c>
      <c r="W485" s="7" t="s">
        <v>3790</v>
      </c>
      <c r="X485" s="7" t="s">
        <v>3790</v>
      </c>
      <c r="Y485" s="5" t="s">
        <v>4022</v>
      </c>
      <c r="Z485" s="5" t="s">
        <v>3790</v>
      </c>
      <c r="AA485" s="6">
        <v>0</v>
      </c>
      <c r="AB485" s="7" t="s">
        <v>4348</v>
      </c>
      <c r="AC485" s="7" t="str">
        <f>A485&amp;COUNTIF($A$2:A485,A485)</f>
        <v>110MR701-62001</v>
      </c>
      <c r="AD485" s="7">
        <v>44805</v>
      </c>
      <c r="AE485" s="7">
        <v>44938</v>
      </c>
      <c r="AF485" s="7">
        <v>44952</v>
      </c>
      <c r="AG485" s="5">
        <v>140</v>
      </c>
      <c r="AH485" s="5">
        <v>14</v>
      </c>
      <c r="AI485" s="5">
        <v>14</v>
      </c>
      <c r="AJ485" s="5">
        <v>3000</v>
      </c>
      <c r="AK485" s="5" t="str">
        <f t="shared" ca="1" si="7"/>
        <v>within range</v>
      </c>
    </row>
    <row r="486" spans="1:37">
      <c r="A486" s="32" t="s">
        <v>2406</v>
      </c>
      <c r="B486" s="32">
        <v>7076</v>
      </c>
      <c r="C486" s="32" t="s">
        <v>2407</v>
      </c>
      <c r="G486" s="34">
        <v>1200</v>
      </c>
      <c r="H486" s="7">
        <v>44994</v>
      </c>
      <c r="N486" s="32">
        <v>6</v>
      </c>
      <c r="O486" s="36">
        <v>4.8</v>
      </c>
      <c r="P486" s="32" t="s">
        <v>3776</v>
      </c>
      <c r="Q486" s="5" t="s">
        <v>893</v>
      </c>
      <c r="R486" s="5" t="s">
        <v>4234</v>
      </c>
      <c r="S486" s="6">
        <v>0</v>
      </c>
      <c r="T486" s="6">
        <v>0</v>
      </c>
      <c r="U486" s="6">
        <v>0</v>
      </c>
      <c r="V486" s="7">
        <v>44994</v>
      </c>
      <c r="W486" s="7" t="s">
        <v>3790</v>
      </c>
      <c r="X486" s="7" t="s">
        <v>3790</v>
      </c>
      <c r="Y486" s="5" t="s">
        <v>4022</v>
      </c>
      <c r="Z486" s="5" t="s">
        <v>3790</v>
      </c>
      <c r="AA486" s="6">
        <v>0</v>
      </c>
      <c r="AB486" s="7" t="s">
        <v>4349</v>
      </c>
      <c r="AC486" s="7" t="str">
        <f>A486&amp;COUNTIF($A$2:A486,A486)</f>
        <v>110MR702-50001</v>
      </c>
      <c r="AD486" s="7">
        <v>44750</v>
      </c>
      <c r="AE486" s="7">
        <v>44994</v>
      </c>
      <c r="AF486" s="7">
        <v>45008</v>
      </c>
      <c r="AG486" s="5">
        <v>140</v>
      </c>
      <c r="AH486" s="5">
        <v>14</v>
      </c>
      <c r="AI486" s="5">
        <v>14</v>
      </c>
      <c r="AJ486" s="5">
        <v>1200</v>
      </c>
      <c r="AK486" s="5" t="str">
        <f t="shared" ca="1" si="7"/>
        <v>within range</v>
      </c>
    </row>
    <row r="487" spans="1:37">
      <c r="A487" s="32" t="s">
        <v>2409</v>
      </c>
      <c r="B487" s="32">
        <v>7076</v>
      </c>
      <c r="C487" s="32" t="s">
        <v>2407</v>
      </c>
      <c r="G487" s="34">
        <v>1800</v>
      </c>
      <c r="H487" s="7">
        <v>44994</v>
      </c>
      <c r="N487" s="32">
        <v>6</v>
      </c>
      <c r="O487" s="36">
        <v>4.8</v>
      </c>
      <c r="P487" s="32" t="s">
        <v>3777</v>
      </c>
      <c r="Q487" s="5" t="s">
        <v>893</v>
      </c>
      <c r="R487" s="5" t="s">
        <v>4234</v>
      </c>
      <c r="S487" s="6">
        <v>0</v>
      </c>
      <c r="T487" s="6">
        <v>0</v>
      </c>
      <c r="U487" s="6">
        <v>0</v>
      </c>
      <c r="V487" s="7">
        <v>44994</v>
      </c>
      <c r="W487" s="7" t="s">
        <v>3790</v>
      </c>
      <c r="X487" s="7" t="s">
        <v>3790</v>
      </c>
      <c r="Y487" s="5" t="s">
        <v>4022</v>
      </c>
      <c r="Z487" s="5" t="s">
        <v>3790</v>
      </c>
      <c r="AA487" s="6">
        <v>0</v>
      </c>
      <c r="AB487" s="7" t="s">
        <v>4350</v>
      </c>
      <c r="AC487" s="7" t="str">
        <f>A487&amp;COUNTIF($A$2:A487,A487)</f>
        <v>110MR702-62001</v>
      </c>
      <c r="AD487" s="7">
        <v>44750</v>
      </c>
      <c r="AE487" s="7">
        <v>44994</v>
      </c>
      <c r="AF487" s="7">
        <v>45008</v>
      </c>
      <c r="AG487" s="5">
        <v>140</v>
      </c>
      <c r="AH487" s="5">
        <v>14</v>
      </c>
      <c r="AI487" s="5">
        <v>14</v>
      </c>
      <c r="AJ487" s="5">
        <v>1800</v>
      </c>
      <c r="AK487" s="5" t="str">
        <f t="shared" ca="1" si="7"/>
        <v>within range</v>
      </c>
    </row>
    <row r="488" spans="1:37">
      <c r="A488" s="32" t="s">
        <v>2415</v>
      </c>
      <c r="B488" s="32">
        <v>7216</v>
      </c>
      <c r="C488" s="32" t="s">
        <v>2416</v>
      </c>
      <c r="G488" s="34">
        <v>3500</v>
      </c>
      <c r="H488" s="7">
        <v>44987</v>
      </c>
      <c r="N488" s="32">
        <v>6</v>
      </c>
      <c r="O488" s="36">
        <v>4.38</v>
      </c>
      <c r="P488" s="32" t="s">
        <v>7740</v>
      </c>
      <c r="Q488" s="5" t="s">
        <v>893</v>
      </c>
      <c r="R488" s="5" t="s">
        <v>7741</v>
      </c>
      <c r="S488" s="6">
        <v>0</v>
      </c>
      <c r="T488" s="6">
        <v>0</v>
      </c>
      <c r="U488" s="6">
        <v>0</v>
      </c>
      <c r="V488" s="7">
        <v>44987</v>
      </c>
      <c r="W488" s="7" t="s">
        <v>3790</v>
      </c>
      <c r="X488" s="7" t="s">
        <v>3790</v>
      </c>
      <c r="Y488" s="5" t="s">
        <v>4022</v>
      </c>
      <c r="Z488" s="5" t="s">
        <v>3790</v>
      </c>
      <c r="AA488" s="6">
        <v>0</v>
      </c>
      <c r="AB488" s="7" t="s">
        <v>7742</v>
      </c>
      <c r="AC488" s="7" t="str">
        <f>A488&amp;COUNTIF($A$2:A488,A488)</f>
        <v>110MW580-50002</v>
      </c>
      <c r="AD488" s="7">
        <v>44904</v>
      </c>
      <c r="AE488" s="7">
        <v>44987</v>
      </c>
      <c r="AF488" s="7">
        <v>45001</v>
      </c>
      <c r="AG488" s="5">
        <v>140</v>
      </c>
      <c r="AH488" s="5">
        <v>14</v>
      </c>
      <c r="AI488" s="5">
        <v>14</v>
      </c>
      <c r="AJ488" s="5">
        <v>3500</v>
      </c>
      <c r="AK488" s="5" t="str">
        <f t="shared" ca="1" si="7"/>
        <v>within range</v>
      </c>
    </row>
    <row r="489" spans="1:37">
      <c r="A489" s="32" t="s">
        <v>2417</v>
      </c>
      <c r="B489" s="32">
        <v>7216</v>
      </c>
      <c r="C489" s="32" t="s">
        <v>2416</v>
      </c>
      <c r="G489" s="34">
        <v>1500</v>
      </c>
      <c r="H489" s="7">
        <v>44987</v>
      </c>
      <c r="N489" s="32">
        <v>6</v>
      </c>
      <c r="O489" s="36">
        <v>4.38</v>
      </c>
      <c r="P489" s="32" t="s">
        <v>7743</v>
      </c>
      <c r="Q489" s="5" t="s">
        <v>893</v>
      </c>
      <c r="R489" s="5" t="s">
        <v>7741</v>
      </c>
      <c r="S489" s="6">
        <v>0</v>
      </c>
      <c r="T489" s="6">
        <v>0</v>
      </c>
      <c r="U489" s="6">
        <v>0</v>
      </c>
      <c r="V489" s="7">
        <v>44987</v>
      </c>
      <c r="W489" s="7" t="s">
        <v>3790</v>
      </c>
      <c r="X489" s="7" t="s">
        <v>3790</v>
      </c>
      <c r="Y489" s="5" t="s">
        <v>4022</v>
      </c>
      <c r="Z489" s="5" t="s">
        <v>3790</v>
      </c>
      <c r="AA489" s="6">
        <v>0</v>
      </c>
      <c r="AB489" s="7" t="s">
        <v>7744</v>
      </c>
      <c r="AC489" s="7" t="str">
        <f>A489&amp;COUNTIF($A$2:A489,A489)</f>
        <v>110MW580-62001</v>
      </c>
      <c r="AD489" s="7">
        <v>44904</v>
      </c>
      <c r="AE489" s="7">
        <v>44987</v>
      </c>
      <c r="AF489" s="7">
        <v>45001</v>
      </c>
      <c r="AG489" s="5">
        <v>140</v>
      </c>
      <c r="AH489" s="5">
        <v>14</v>
      </c>
      <c r="AI489" s="5">
        <v>14</v>
      </c>
      <c r="AJ489" s="5">
        <v>1500</v>
      </c>
      <c r="AK489" s="5" t="str">
        <f t="shared" ca="1" si="7"/>
        <v>within range</v>
      </c>
    </row>
    <row r="490" spans="1:37">
      <c r="A490" s="32" t="s">
        <v>2427</v>
      </c>
      <c r="B490" s="32">
        <v>7078</v>
      </c>
      <c r="C490" s="32" t="s">
        <v>3778</v>
      </c>
      <c r="G490" s="34">
        <v>3000</v>
      </c>
      <c r="H490" s="7">
        <v>45001</v>
      </c>
      <c r="N490" s="32">
        <v>6</v>
      </c>
      <c r="O490" s="36">
        <v>4.8</v>
      </c>
      <c r="P490" s="32" t="s">
        <v>3779</v>
      </c>
      <c r="Q490" s="5" t="s">
        <v>893</v>
      </c>
      <c r="R490" s="5" t="s">
        <v>4113</v>
      </c>
      <c r="S490" s="6">
        <v>0</v>
      </c>
      <c r="T490" s="6">
        <v>0</v>
      </c>
      <c r="U490" s="6">
        <v>0</v>
      </c>
      <c r="V490" s="7">
        <v>45001</v>
      </c>
      <c r="W490" s="7" t="s">
        <v>3790</v>
      </c>
      <c r="X490" s="7" t="s">
        <v>3790</v>
      </c>
      <c r="Y490" s="5" t="s">
        <v>4022</v>
      </c>
      <c r="Z490" s="5" t="s">
        <v>3790</v>
      </c>
      <c r="AA490" s="6">
        <v>0</v>
      </c>
      <c r="AB490" s="7" t="s">
        <v>4354</v>
      </c>
      <c r="AC490" s="7" t="str">
        <f>A490&amp;COUNTIF($A$2:A490,A490)</f>
        <v>110MXT02-62001</v>
      </c>
      <c r="AD490" s="7">
        <v>44750</v>
      </c>
      <c r="AE490" s="7">
        <v>45001</v>
      </c>
      <c r="AF490" s="7">
        <v>45015</v>
      </c>
      <c r="AG490" s="5">
        <v>140</v>
      </c>
      <c r="AH490" s="5">
        <v>14</v>
      </c>
      <c r="AI490" s="5">
        <v>14</v>
      </c>
      <c r="AJ490" s="5">
        <v>3000</v>
      </c>
      <c r="AK490" s="5" t="str">
        <f t="shared" ca="1" si="7"/>
        <v>within range</v>
      </c>
    </row>
    <row r="491" spans="1:37">
      <c r="A491" s="32" t="s">
        <v>2429</v>
      </c>
      <c r="B491" s="32">
        <v>7058</v>
      </c>
      <c r="C491" s="32" t="s">
        <v>3780</v>
      </c>
      <c r="E491" s="34">
        <v>1537</v>
      </c>
      <c r="G491" s="34">
        <v>1000</v>
      </c>
      <c r="H491" s="7">
        <v>44918</v>
      </c>
      <c r="I491" s="32" t="s">
        <v>3756</v>
      </c>
      <c r="L491" s="7">
        <v>45105</v>
      </c>
      <c r="N491" s="32">
        <v>6</v>
      </c>
      <c r="O491" s="36">
        <v>5.32</v>
      </c>
      <c r="P491" s="32" t="s">
        <v>5907</v>
      </c>
      <c r="Q491" s="5" t="s">
        <v>893</v>
      </c>
      <c r="R491" s="5" t="s">
        <v>4109</v>
      </c>
      <c r="S491" s="6">
        <v>1537</v>
      </c>
      <c r="T491" s="6">
        <v>1537</v>
      </c>
      <c r="U491" s="6">
        <v>0</v>
      </c>
      <c r="V491" s="7">
        <v>44918</v>
      </c>
      <c r="W491" s="7" t="s">
        <v>3790</v>
      </c>
      <c r="X491" s="7">
        <v>45105</v>
      </c>
      <c r="Y491" s="5" t="s">
        <v>4022</v>
      </c>
      <c r="Z491" s="5" t="s">
        <v>3790</v>
      </c>
      <c r="AA491" s="6">
        <v>1537</v>
      </c>
      <c r="AB491" s="7" t="s">
        <v>4355</v>
      </c>
      <c r="AC491" s="7" t="str">
        <f>A491&amp;COUNTIF($A$2:A491,A491)</f>
        <v>110MXT03-50001</v>
      </c>
      <c r="AD491" s="7">
        <v>44734</v>
      </c>
      <c r="AE491" s="7">
        <v>44918</v>
      </c>
      <c r="AF491" s="7">
        <v>44932</v>
      </c>
      <c r="AG491" s="5">
        <v>140</v>
      </c>
      <c r="AH491" s="5">
        <v>14</v>
      </c>
      <c r="AI491" s="5">
        <v>14</v>
      </c>
      <c r="AJ491" s="5">
        <v>1000</v>
      </c>
      <c r="AK491" s="5" t="str">
        <f t="shared" ca="1" si="7"/>
        <v>run complete</v>
      </c>
    </row>
    <row r="492" spans="1:37">
      <c r="A492" s="32" t="s">
        <v>2432</v>
      </c>
      <c r="B492" s="32">
        <v>7058</v>
      </c>
      <c r="C492" s="32" t="s">
        <v>3780</v>
      </c>
      <c r="E492" s="34">
        <v>2050</v>
      </c>
      <c r="G492" s="34">
        <v>2000</v>
      </c>
      <c r="H492" s="7">
        <v>44918</v>
      </c>
      <c r="I492" s="32" t="s">
        <v>3756</v>
      </c>
      <c r="L492" s="7">
        <v>45105</v>
      </c>
      <c r="N492" s="32">
        <v>6</v>
      </c>
      <c r="O492" s="36">
        <v>5.32</v>
      </c>
      <c r="P492" s="32" t="s">
        <v>5908</v>
      </c>
      <c r="Q492" s="5" t="s">
        <v>893</v>
      </c>
      <c r="R492" s="5" t="s">
        <v>4109</v>
      </c>
      <c r="S492" s="6">
        <v>2050</v>
      </c>
      <c r="T492" s="6">
        <v>2050</v>
      </c>
      <c r="U492" s="6">
        <v>0</v>
      </c>
      <c r="V492" s="7">
        <v>44918</v>
      </c>
      <c r="W492" s="7" t="s">
        <v>3790</v>
      </c>
      <c r="X492" s="7">
        <v>45105</v>
      </c>
      <c r="Y492" s="5" t="s">
        <v>4022</v>
      </c>
      <c r="Z492" s="5" t="s">
        <v>3790</v>
      </c>
      <c r="AA492" s="6">
        <v>2050</v>
      </c>
      <c r="AB492" s="7" t="s">
        <v>4356</v>
      </c>
      <c r="AC492" s="7" t="str">
        <f>A492&amp;COUNTIF($A$2:A492,A492)</f>
        <v>110MXT03-62001</v>
      </c>
      <c r="AD492" s="7">
        <v>44734</v>
      </c>
      <c r="AE492" s="7">
        <v>44918</v>
      </c>
      <c r="AF492" s="7">
        <v>44932</v>
      </c>
      <c r="AG492" s="5">
        <v>140</v>
      </c>
      <c r="AH492" s="5">
        <v>14</v>
      </c>
      <c r="AI492" s="5">
        <v>14</v>
      </c>
      <c r="AJ492" s="5">
        <v>2000</v>
      </c>
      <c r="AK492" s="5" t="str">
        <f t="shared" ca="1" si="7"/>
        <v>run complete</v>
      </c>
    </row>
    <row r="493" spans="1:37">
      <c r="A493" s="32" t="s">
        <v>2468</v>
      </c>
      <c r="B493" s="32">
        <v>7150</v>
      </c>
      <c r="C493" s="32" t="s">
        <v>5528</v>
      </c>
      <c r="D493" s="32" t="s">
        <v>3663</v>
      </c>
      <c r="F493" s="32" t="s">
        <v>3661</v>
      </c>
      <c r="G493" s="34">
        <v>2500</v>
      </c>
      <c r="H493" s="7">
        <v>44914</v>
      </c>
      <c r="I493" s="32" t="s">
        <v>5974</v>
      </c>
      <c r="J493" s="34">
        <v>2500</v>
      </c>
      <c r="N493" s="32">
        <v>3</v>
      </c>
      <c r="O493" s="36">
        <v>6.86</v>
      </c>
      <c r="Q493" s="5" t="s">
        <v>3662</v>
      </c>
      <c r="R493" s="5" t="s">
        <v>5529</v>
      </c>
      <c r="S493" s="6">
        <v>0</v>
      </c>
      <c r="T493" s="6">
        <v>0</v>
      </c>
      <c r="U493" s="6">
        <v>2500</v>
      </c>
      <c r="V493" s="7">
        <v>44914</v>
      </c>
      <c r="W493" s="7" t="s">
        <v>3790</v>
      </c>
      <c r="X493" s="7" t="s">
        <v>3790</v>
      </c>
      <c r="Y493" s="5" t="s">
        <v>4022</v>
      </c>
      <c r="Z493" s="5" t="s">
        <v>3790</v>
      </c>
      <c r="AA493" s="6">
        <v>0</v>
      </c>
      <c r="AB493" s="7" t="s">
        <v>5530</v>
      </c>
      <c r="AC493" s="7" t="str">
        <f>A493&amp;COUNTIF($A$2:A493,A493)</f>
        <v>110RK201-62001</v>
      </c>
      <c r="AD493" s="7">
        <v>44837</v>
      </c>
      <c r="AE493" s="7">
        <v>44914</v>
      </c>
      <c r="AF493" s="7">
        <v>44984</v>
      </c>
      <c r="AG493" s="5">
        <v>154</v>
      </c>
      <c r="AH493" s="5">
        <v>70</v>
      </c>
      <c r="AI493" s="5">
        <v>14</v>
      </c>
      <c r="AJ493" s="5">
        <v>2500</v>
      </c>
      <c r="AK493" s="5" t="str">
        <f t="shared" ca="1" si="7"/>
        <v>run complete</v>
      </c>
    </row>
    <row r="494" spans="1:37">
      <c r="A494" s="32" t="s">
        <v>2489</v>
      </c>
      <c r="B494" s="32" t="s">
        <v>7524</v>
      </c>
      <c r="C494" s="32" t="s">
        <v>1481</v>
      </c>
      <c r="D494" s="32" t="s">
        <v>3790</v>
      </c>
      <c r="E494" s="34" t="s">
        <v>3527</v>
      </c>
      <c r="F494" s="32" t="s">
        <v>3790</v>
      </c>
      <c r="G494" s="34" t="s">
        <v>3582</v>
      </c>
      <c r="H494" s="7" t="s">
        <v>7580</v>
      </c>
      <c r="I494" s="32" t="s">
        <v>3790</v>
      </c>
      <c r="J494" s="34" t="s">
        <v>3790</v>
      </c>
      <c r="K494" s="7" t="s">
        <v>3790</v>
      </c>
      <c r="L494" s="7" t="s">
        <v>7581</v>
      </c>
      <c r="M494" s="34" t="s">
        <v>3527</v>
      </c>
      <c r="N494" s="32" t="s">
        <v>3528</v>
      </c>
      <c r="O494" s="36">
        <v>5.95</v>
      </c>
      <c r="P494" s="32" t="s">
        <v>3790</v>
      </c>
      <c r="Q494" s="5" t="s">
        <v>3792</v>
      </c>
      <c r="R494" s="5" t="s">
        <v>7524</v>
      </c>
      <c r="S494" s="6">
        <v>0</v>
      </c>
      <c r="T494" s="6">
        <v>0</v>
      </c>
      <c r="U494" s="6">
        <v>0</v>
      </c>
      <c r="V494" s="7">
        <v>44942</v>
      </c>
      <c r="W494" s="7" t="s">
        <v>3790</v>
      </c>
      <c r="X494" s="7">
        <v>45078</v>
      </c>
      <c r="Y494" s="5" t="s">
        <v>4022</v>
      </c>
      <c r="Z494" s="5" t="s">
        <v>3790</v>
      </c>
      <c r="AA494" s="6">
        <v>0</v>
      </c>
      <c r="AB494" s="7" t="s">
        <v>7526</v>
      </c>
      <c r="AC494" s="7" t="str">
        <f>A494&amp;COUNTIF($A$2:A494,A494)</f>
        <v>110S1015-50001</v>
      </c>
      <c r="AD494" s="7">
        <v>44908</v>
      </c>
      <c r="AE494" s="7">
        <v>44942</v>
      </c>
      <c r="AF494" s="7">
        <v>44949</v>
      </c>
      <c r="AG494" s="5">
        <v>70</v>
      </c>
      <c r="AH494" s="5">
        <v>7</v>
      </c>
      <c r="AI494" s="5">
        <v>14</v>
      </c>
      <c r="AJ494" s="5">
        <v>500</v>
      </c>
      <c r="AK494" s="5" t="str">
        <f t="shared" ca="1" si="7"/>
        <v>within range</v>
      </c>
    </row>
    <row r="495" spans="1:37">
      <c r="A495" s="32" t="s">
        <v>2491</v>
      </c>
      <c r="B495" s="32" t="s">
        <v>7524</v>
      </c>
      <c r="C495" s="32" t="s">
        <v>1481</v>
      </c>
      <c r="D495" s="32" t="s">
        <v>3790</v>
      </c>
      <c r="E495" s="34" t="s">
        <v>3527</v>
      </c>
      <c r="F495" s="32" t="s">
        <v>3790</v>
      </c>
      <c r="G495" s="34" t="s">
        <v>3544</v>
      </c>
      <c r="H495" s="7" t="s">
        <v>7580</v>
      </c>
      <c r="I495" s="32" t="s">
        <v>3790</v>
      </c>
      <c r="J495" s="34" t="s">
        <v>3790</v>
      </c>
      <c r="K495" s="7" t="s">
        <v>3790</v>
      </c>
      <c r="L495" s="7" t="s">
        <v>7581</v>
      </c>
      <c r="M495" s="34" t="s">
        <v>3527</v>
      </c>
      <c r="N495" s="32" t="s">
        <v>3528</v>
      </c>
      <c r="O495" s="36">
        <v>5.95</v>
      </c>
      <c r="P495" s="32" t="s">
        <v>3790</v>
      </c>
      <c r="Q495" s="5" t="s">
        <v>3792</v>
      </c>
      <c r="R495" s="5" t="s">
        <v>7524</v>
      </c>
      <c r="S495" s="6">
        <v>0</v>
      </c>
      <c r="T495" s="6">
        <v>0</v>
      </c>
      <c r="U495" s="6">
        <v>0</v>
      </c>
      <c r="V495" s="7">
        <v>44942</v>
      </c>
      <c r="W495" s="7" t="s">
        <v>3790</v>
      </c>
      <c r="X495" s="7">
        <v>45078</v>
      </c>
      <c r="Y495" s="5" t="s">
        <v>4022</v>
      </c>
      <c r="Z495" s="5" t="s">
        <v>3790</v>
      </c>
      <c r="AA495" s="6">
        <v>0</v>
      </c>
      <c r="AB495" s="7" t="s">
        <v>7527</v>
      </c>
      <c r="AC495" s="7" t="str">
        <f>A495&amp;COUNTIF($A$2:A495,A495)</f>
        <v>110S1015-62001</v>
      </c>
      <c r="AD495" s="7">
        <v>44908</v>
      </c>
      <c r="AE495" s="7">
        <v>44942</v>
      </c>
      <c r="AF495" s="7">
        <v>44949</v>
      </c>
      <c r="AG495" s="5">
        <v>70</v>
      </c>
      <c r="AH495" s="5">
        <v>7</v>
      </c>
      <c r="AI495" s="5">
        <v>14</v>
      </c>
      <c r="AJ495" s="5">
        <v>3000</v>
      </c>
      <c r="AK495" s="5" t="str">
        <f t="shared" ca="1" si="7"/>
        <v>within range</v>
      </c>
    </row>
    <row r="496" spans="1:37">
      <c r="A496" s="32" t="s">
        <v>2499</v>
      </c>
      <c r="B496" s="32" t="s">
        <v>3841</v>
      </c>
      <c r="C496" s="32" t="s">
        <v>2500</v>
      </c>
      <c r="D496" s="32" t="s">
        <v>3790</v>
      </c>
      <c r="E496" s="34" t="s">
        <v>3527</v>
      </c>
      <c r="F496" s="32" t="s">
        <v>3790</v>
      </c>
      <c r="G496" s="34" t="s">
        <v>3803</v>
      </c>
      <c r="H496" s="7" t="s">
        <v>3813</v>
      </c>
      <c r="I496" s="32" t="s">
        <v>3790</v>
      </c>
      <c r="J496" s="34" t="s">
        <v>3790</v>
      </c>
      <c r="K496" s="7" t="s">
        <v>3790</v>
      </c>
      <c r="L496" s="7" t="s">
        <v>6169</v>
      </c>
      <c r="M496" s="34" t="s">
        <v>3527</v>
      </c>
      <c r="N496" s="32" t="s">
        <v>3528</v>
      </c>
      <c r="O496" s="36">
        <v>5.83</v>
      </c>
      <c r="P496" s="32" t="s">
        <v>3790</v>
      </c>
      <c r="Q496" s="5" t="s">
        <v>3792</v>
      </c>
      <c r="R496" s="5" t="s">
        <v>3841</v>
      </c>
      <c r="S496" s="6">
        <v>0</v>
      </c>
      <c r="T496" s="6">
        <v>0</v>
      </c>
      <c r="U496" s="6">
        <v>0</v>
      </c>
      <c r="V496" s="7">
        <v>44970</v>
      </c>
      <c r="W496" s="7" t="s">
        <v>3790</v>
      </c>
      <c r="X496" s="7">
        <v>45106</v>
      </c>
      <c r="Y496" s="5" t="s">
        <v>4022</v>
      </c>
      <c r="Z496" s="5" t="s">
        <v>3790</v>
      </c>
      <c r="AA496" s="6">
        <v>0</v>
      </c>
      <c r="AB496" s="7" t="s">
        <v>6170</v>
      </c>
      <c r="AC496" s="7" t="str">
        <f>A496&amp;COUNTIF($A$2:A496,A496)</f>
        <v>110S2063-50001</v>
      </c>
      <c r="AD496" s="7">
        <v>44750</v>
      </c>
      <c r="AE496" s="7">
        <v>44970</v>
      </c>
      <c r="AF496" s="7">
        <v>44977</v>
      </c>
      <c r="AG496" s="5">
        <v>70</v>
      </c>
      <c r="AH496" s="5">
        <v>7</v>
      </c>
      <c r="AI496" s="5">
        <v>14</v>
      </c>
      <c r="AJ496" s="5">
        <v>1500</v>
      </c>
      <c r="AK496" s="5" t="str">
        <f t="shared" ca="1" si="7"/>
        <v>within range</v>
      </c>
    </row>
    <row r="497" spans="1:37">
      <c r="A497" s="32" t="s">
        <v>2502</v>
      </c>
      <c r="B497" s="32" t="s">
        <v>3841</v>
      </c>
      <c r="C497" s="32" t="s">
        <v>2500</v>
      </c>
      <c r="D497" s="32" t="s">
        <v>3790</v>
      </c>
      <c r="E497" s="34" t="s">
        <v>3527</v>
      </c>
      <c r="F497" s="32" t="s">
        <v>3790</v>
      </c>
      <c r="G497" s="34" t="s">
        <v>3569</v>
      </c>
      <c r="H497" s="7" t="s">
        <v>3813</v>
      </c>
      <c r="I497" s="32" t="s">
        <v>3790</v>
      </c>
      <c r="J497" s="34" t="s">
        <v>3790</v>
      </c>
      <c r="K497" s="7" t="s">
        <v>3790</v>
      </c>
      <c r="L497" s="7" t="s">
        <v>6169</v>
      </c>
      <c r="M497" s="34" t="s">
        <v>3527</v>
      </c>
      <c r="N497" s="32" t="s">
        <v>3528</v>
      </c>
      <c r="O497" s="36">
        <v>5.83</v>
      </c>
      <c r="P497" s="32" t="s">
        <v>3790</v>
      </c>
      <c r="Q497" s="5" t="s">
        <v>3792</v>
      </c>
      <c r="R497" s="5" t="s">
        <v>3841</v>
      </c>
      <c r="S497" s="6">
        <v>0</v>
      </c>
      <c r="T497" s="6">
        <v>0</v>
      </c>
      <c r="U497" s="6">
        <v>0</v>
      </c>
      <c r="V497" s="7">
        <v>44970</v>
      </c>
      <c r="W497" s="7" t="s">
        <v>3790</v>
      </c>
      <c r="X497" s="7">
        <v>45106</v>
      </c>
      <c r="Y497" s="5" t="s">
        <v>4022</v>
      </c>
      <c r="Z497" s="5" t="s">
        <v>3790</v>
      </c>
      <c r="AA497" s="6">
        <v>0</v>
      </c>
      <c r="AB497" s="7" t="s">
        <v>4358</v>
      </c>
      <c r="AC497" s="7" t="str">
        <f>A497&amp;COUNTIF($A$2:A497,A497)</f>
        <v>110S2063-62001</v>
      </c>
      <c r="AD497" s="7">
        <v>44750</v>
      </c>
      <c r="AE497" s="7">
        <v>44970</v>
      </c>
      <c r="AF497" s="7">
        <v>44977</v>
      </c>
      <c r="AG497" s="5">
        <v>70</v>
      </c>
      <c r="AH497" s="5">
        <v>7</v>
      </c>
      <c r="AI497" s="5">
        <v>14</v>
      </c>
      <c r="AJ497" s="5">
        <v>2000</v>
      </c>
      <c r="AK497" s="5" t="str">
        <f t="shared" ca="1" si="7"/>
        <v>within range</v>
      </c>
    </row>
    <row r="498" spans="1:37">
      <c r="A498" s="32" t="s">
        <v>2513</v>
      </c>
      <c r="B498" s="32" t="s">
        <v>7700</v>
      </c>
      <c r="C498" s="32" t="s">
        <v>2514</v>
      </c>
      <c r="D498" s="32" t="s">
        <v>3790</v>
      </c>
      <c r="E498" s="34" t="s">
        <v>3527</v>
      </c>
      <c r="F498" s="32" t="s">
        <v>3790</v>
      </c>
      <c r="G498" s="34" t="s">
        <v>3574</v>
      </c>
      <c r="H498" s="7" t="s">
        <v>7701</v>
      </c>
      <c r="I498" s="32" t="s">
        <v>3790</v>
      </c>
      <c r="J498" s="34" t="s">
        <v>3790</v>
      </c>
      <c r="K498" s="7" t="s">
        <v>3790</v>
      </c>
      <c r="L498" s="7" t="s">
        <v>7702</v>
      </c>
      <c r="M498" s="34" t="s">
        <v>3527</v>
      </c>
      <c r="N498" s="32" t="s">
        <v>3528</v>
      </c>
      <c r="O498" s="36">
        <v>5.43</v>
      </c>
      <c r="P498" s="32" t="s">
        <v>3790</v>
      </c>
      <c r="Q498" s="5" t="s">
        <v>3792</v>
      </c>
      <c r="R498" s="5" t="s">
        <v>7700</v>
      </c>
      <c r="S498" s="6">
        <v>0</v>
      </c>
      <c r="T498" s="6">
        <v>0</v>
      </c>
      <c r="U498" s="6">
        <v>0</v>
      </c>
      <c r="V498" s="7">
        <v>44998</v>
      </c>
      <c r="W498" s="7" t="s">
        <v>3790</v>
      </c>
      <c r="X498" s="7">
        <v>45122</v>
      </c>
      <c r="Y498" s="5" t="s">
        <v>4022</v>
      </c>
      <c r="Z498" s="5" t="s">
        <v>3790</v>
      </c>
      <c r="AA498" s="6">
        <v>0</v>
      </c>
      <c r="AB498" s="7" t="s">
        <v>7745</v>
      </c>
      <c r="AC498" s="7" t="str">
        <f>A498&amp;COUNTIF($A$2:A498,A498)</f>
        <v>110S3023-50001</v>
      </c>
      <c r="AD498" s="7">
        <v>44924</v>
      </c>
      <c r="AE498" s="7">
        <v>44998</v>
      </c>
      <c r="AF498" s="7">
        <v>45005</v>
      </c>
      <c r="AG498" s="5">
        <v>70</v>
      </c>
      <c r="AH498" s="5">
        <v>7</v>
      </c>
      <c r="AI498" s="5">
        <v>14</v>
      </c>
      <c r="AJ498" s="5">
        <v>2500</v>
      </c>
      <c r="AK498" s="5" t="str">
        <f t="shared" ca="1" si="7"/>
        <v>within range</v>
      </c>
    </row>
    <row r="499" spans="1:37">
      <c r="A499" s="32" t="s">
        <v>2516</v>
      </c>
      <c r="B499" s="32" t="s">
        <v>7700</v>
      </c>
      <c r="C499" s="32" t="s">
        <v>2514</v>
      </c>
      <c r="D499" s="32" t="s">
        <v>3790</v>
      </c>
      <c r="E499" s="34" t="s">
        <v>3527</v>
      </c>
      <c r="F499" s="32" t="s">
        <v>3790</v>
      </c>
      <c r="G499" s="34" t="s">
        <v>3802</v>
      </c>
      <c r="H499" s="7" t="s">
        <v>7701</v>
      </c>
      <c r="I499" s="32" t="s">
        <v>3790</v>
      </c>
      <c r="J499" s="34" t="s">
        <v>3790</v>
      </c>
      <c r="K499" s="7" t="s">
        <v>3790</v>
      </c>
      <c r="L499" s="7" t="s">
        <v>7702</v>
      </c>
      <c r="M499" s="34" t="s">
        <v>3527</v>
      </c>
      <c r="N499" s="32" t="s">
        <v>3528</v>
      </c>
      <c r="O499" s="36">
        <v>5.43</v>
      </c>
      <c r="P499" s="32" t="s">
        <v>3790</v>
      </c>
      <c r="Q499" s="5" t="s">
        <v>3792</v>
      </c>
      <c r="R499" s="5" t="s">
        <v>7700</v>
      </c>
      <c r="S499" s="6">
        <v>0</v>
      </c>
      <c r="T499" s="6">
        <v>0</v>
      </c>
      <c r="U499" s="6">
        <v>0</v>
      </c>
      <c r="V499" s="7">
        <v>44998</v>
      </c>
      <c r="W499" s="7" t="s">
        <v>3790</v>
      </c>
      <c r="X499" s="7">
        <v>45122</v>
      </c>
      <c r="Y499" s="5" t="s">
        <v>4022</v>
      </c>
      <c r="Z499" s="5" t="s">
        <v>3790</v>
      </c>
      <c r="AA499" s="6">
        <v>0</v>
      </c>
      <c r="AB499" s="7" t="s">
        <v>7746</v>
      </c>
      <c r="AC499" s="7" t="str">
        <f>A499&amp;COUNTIF($A$2:A499,A499)</f>
        <v>110S3023-62001</v>
      </c>
      <c r="AD499" s="7">
        <v>44924</v>
      </c>
      <c r="AE499" s="7">
        <v>44998</v>
      </c>
      <c r="AF499" s="7">
        <v>45005</v>
      </c>
      <c r="AG499" s="5">
        <v>70</v>
      </c>
      <c r="AH499" s="5">
        <v>7</v>
      </c>
      <c r="AI499" s="5">
        <v>14</v>
      </c>
      <c r="AJ499" s="5">
        <v>1000</v>
      </c>
      <c r="AK499" s="5" t="str">
        <f t="shared" ca="1" si="7"/>
        <v>within range</v>
      </c>
    </row>
    <row r="500" spans="1:37">
      <c r="A500" s="32" t="s">
        <v>2517</v>
      </c>
      <c r="B500" s="32">
        <v>7168</v>
      </c>
      <c r="C500" s="32" t="s">
        <v>3607</v>
      </c>
      <c r="E500" s="34" t="s">
        <v>3527</v>
      </c>
      <c r="G500" s="34" t="s">
        <v>3566</v>
      </c>
      <c r="H500" s="7" t="s">
        <v>7550</v>
      </c>
      <c r="J500" s="34" t="s">
        <v>3527</v>
      </c>
      <c r="N500" s="32" t="s">
        <v>3528</v>
      </c>
      <c r="O500" s="36" t="s">
        <v>3606</v>
      </c>
      <c r="Q500" s="5" t="s">
        <v>5429</v>
      </c>
      <c r="R500" s="5" t="s">
        <v>6031</v>
      </c>
      <c r="S500" s="6">
        <v>0</v>
      </c>
      <c r="T500" s="6">
        <v>0</v>
      </c>
      <c r="U500" s="6">
        <v>0</v>
      </c>
      <c r="V500" s="7">
        <v>44979</v>
      </c>
      <c r="W500" s="7" t="s">
        <v>3790</v>
      </c>
      <c r="X500" s="7" t="s">
        <v>3790</v>
      </c>
      <c r="Y500" s="5" t="s">
        <v>4022</v>
      </c>
      <c r="Z500" s="5" t="s">
        <v>3790</v>
      </c>
      <c r="AA500" s="6">
        <v>0</v>
      </c>
      <c r="AB500" s="7" t="s">
        <v>6032</v>
      </c>
      <c r="AC500" s="7" t="str">
        <f>A500&amp;COUNTIF($A$2:A500,A500)</f>
        <v>110S3068-50001</v>
      </c>
      <c r="AD500" s="7">
        <v>44844</v>
      </c>
      <c r="AE500" s="7">
        <v>44979</v>
      </c>
      <c r="AF500" s="7">
        <v>45035</v>
      </c>
      <c r="AG500" s="5">
        <v>91</v>
      </c>
      <c r="AH500" s="5">
        <v>56</v>
      </c>
      <c r="AI500" s="5">
        <v>14</v>
      </c>
      <c r="AJ500" s="5">
        <v>1100</v>
      </c>
      <c r="AK500" s="5" t="str">
        <f t="shared" ca="1" si="7"/>
        <v>within range</v>
      </c>
    </row>
    <row r="501" spans="1:37">
      <c r="A501" s="32" t="s">
        <v>2519</v>
      </c>
      <c r="B501" s="32">
        <v>7168</v>
      </c>
      <c r="C501" s="32" t="s">
        <v>3607</v>
      </c>
      <c r="E501" s="34" t="s">
        <v>3527</v>
      </c>
      <c r="G501" s="34" t="s">
        <v>3566</v>
      </c>
      <c r="H501" s="7" t="s">
        <v>7550</v>
      </c>
      <c r="J501" s="34" t="s">
        <v>3527</v>
      </c>
      <c r="N501" s="32" t="s">
        <v>3528</v>
      </c>
      <c r="O501" s="36" t="s">
        <v>3606</v>
      </c>
      <c r="Q501" s="5" t="s">
        <v>5429</v>
      </c>
      <c r="R501" s="5" t="s">
        <v>6031</v>
      </c>
      <c r="S501" s="6">
        <v>0</v>
      </c>
      <c r="T501" s="6">
        <v>0</v>
      </c>
      <c r="U501" s="6">
        <v>0</v>
      </c>
      <c r="V501" s="7">
        <v>44979</v>
      </c>
      <c r="W501" s="7" t="s">
        <v>3790</v>
      </c>
      <c r="X501" s="7" t="s">
        <v>3790</v>
      </c>
      <c r="Y501" s="5" t="s">
        <v>4022</v>
      </c>
      <c r="Z501" s="5" t="s">
        <v>3790</v>
      </c>
      <c r="AA501" s="6">
        <v>0</v>
      </c>
      <c r="AB501" s="7" t="s">
        <v>6033</v>
      </c>
      <c r="AC501" s="7" t="str">
        <f>A501&amp;COUNTIF($A$2:A501,A501)</f>
        <v>110S3068-62001</v>
      </c>
      <c r="AD501" s="7">
        <v>44844</v>
      </c>
      <c r="AE501" s="7">
        <v>44979</v>
      </c>
      <c r="AF501" s="7">
        <v>45035</v>
      </c>
      <c r="AG501" s="5">
        <v>91</v>
      </c>
      <c r="AH501" s="5">
        <v>56</v>
      </c>
      <c r="AI501" s="5">
        <v>14</v>
      </c>
      <c r="AJ501" s="5">
        <v>1100</v>
      </c>
      <c r="AK501" s="5" t="str">
        <f t="shared" ca="1" si="7"/>
        <v>within range</v>
      </c>
    </row>
    <row r="502" spans="1:37">
      <c r="A502" s="32" t="s">
        <v>2541</v>
      </c>
      <c r="B502" s="32">
        <v>7046</v>
      </c>
      <c r="C502" s="32" t="s">
        <v>3616</v>
      </c>
      <c r="E502" s="34" t="s">
        <v>3527</v>
      </c>
      <c r="F502" s="32" t="s">
        <v>5502</v>
      </c>
      <c r="G502" s="34" t="s">
        <v>3566</v>
      </c>
      <c r="H502" s="7" t="s">
        <v>5255</v>
      </c>
      <c r="I502" s="32" t="s">
        <v>3526</v>
      </c>
      <c r="J502" s="34" t="s">
        <v>6363</v>
      </c>
      <c r="K502" s="7" t="s">
        <v>5499</v>
      </c>
      <c r="N502" s="32" t="s">
        <v>3528</v>
      </c>
      <c r="O502" s="36" t="s">
        <v>5250</v>
      </c>
      <c r="Q502" s="5" t="s">
        <v>5429</v>
      </c>
      <c r="R502" s="5" t="s">
        <v>3615</v>
      </c>
      <c r="S502" s="6">
        <v>0</v>
      </c>
      <c r="T502" s="6">
        <v>0</v>
      </c>
      <c r="U502" s="6">
        <v>1325</v>
      </c>
      <c r="V502" s="7">
        <v>44880</v>
      </c>
      <c r="W502" s="7">
        <v>44923</v>
      </c>
      <c r="X502" s="7" t="s">
        <v>3790</v>
      </c>
      <c r="Y502" s="5" t="s">
        <v>4022</v>
      </c>
      <c r="Z502" s="5" t="s">
        <v>3790</v>
      </c>
      <c r="AA502" s="6">
        <v>0</v>
      </c>
      <c r="AB502" s="7" t="s">
        <v>4359</v>
      </c>
      <c r="AC502" s="7" t="str">
        <f>A502&amp;COUNTIF($A$2:A502,A502)</f>
        <v>110S5059-50001</v>
      </c>
      <c r="AD502" s="7" t="s">
        <v>4068</v>
      </c>
      <c r="AE502" s="7">
        <v>44923</v>
      </c>
      <c r="AF502" s="7">
        <v>44937</v>
      </c>
      <c r="AG502" s="5">
        <v>91</v>
      </c>
      <c r="AH502" s="5">
        <v>56</v>
      </c>
      <c r="AI502" s="5">
        <v>14</v>
      </c>
      <c r="AJ502" s="5">
        <v>1100</v>
      </c>
      <c r="AK502" s="5" t="str">
        <f t="shared" ca="1" si="7"/>
        <v>run complete</v>
      </c>
    </row>
    <row r="503" spans="1:37">
      <c r="A503" s="32" t="s">
        <v>2543</v>
      </c>
      <c r="B503" s="32">
        <v>7046</v>
      </c>
      <c r="C503" s="32" t="s">
        <v>3616</v>
      </c>
      <c r="E503" s="34" t="s">
        <v>3527</v>
      </c>
      <c r="F503" s="32" t="s">
        <v>5502</v>
      </c>
      <c r="G503" s="34" t="s">
        <v>3566</v>
      </c>
      <c r="H503" s="7" t="s">
        <v>5255</v>
      </c>
      <c r="I503" s="32" t="s">
        <v>3526</v>
      </c>
      <c r="J503" s="34" t="s">
        <v>6364</v>
      </c>
      <c r="K503" s="7" t="s">
        <v>5499</v>
      </c>
      <c r="M503" s="34" t="s">
        <v>6319</v>
      </c>
      <c r="N503" s="32" t="s">
        <v>3528</v>
      </c>
      <c r="O503" s="36" t="s">
        <v>5250</v>
      </c>
      <c r="Q503" s="5" t="s">
        <v>5429</v>
      </c>
      <c r="R503" s="5" t="s">
        <v>3615</v>
      </c>
      <c r="S503" s="6">
        <v>0</v>
      </c>
      <c r="T503" s="6">
        <v>-44</v>
      </c>
      <c r="U503" s="6">
        <v>1144</v>
      </c>
      <c r="V503" s="7">
        <v>44880</v>
      </c>
      <c r="W503" s="7">
        <v>44923</v>
      </c>
      <c r="X503" s="7" t="s">
        <v>3790</v>
      </c>
      <c r="Y503" s="5" t="s">
        <v>4022</v>
      </c>
      <c r="Z503" s="5" t="s">
        <v>3790</v>
      </c>
      <c r="AA503" s="6">
        <v>-44</v>
      </c>
      <c r="AB503" s="7" t="s">
        <v>4360</v>
      </c>
      <c r="AC503" s="7" t="str">
        <f>A503&amp;COUNTIF($A$2:A503,A503)</f>
        <v>110S5059-62001</v>
      </c>
      <c r="AD503" s="7" t="s">
        <v>4068</v>
      </c>
      <c r="AE503" s="7">
        <v>44923</v>
      </c>
      <c r="AF503" s="7">
        <v>44937</v>
      </c>
      <c r="AG503" s="5">
        <v>91</v>
      </c>
      <c r="AH503" s="5">
        <v>56</v>
      </c>
      <c r="AI503" s="5">
        <v>14</v>
      </c>
      <c r="AJ503" s="5">
        <v>1100</v>
      </c>
      <c r="AK503" s="5" t="str">
        <f t="shared" ca="1" si="7"/>
        <v>run complete</v>
      </c>
    </row>
    <row r="504" spans="1:37">
      <c r="A504" s="32" t="s">
        <v>2550</v>
      </c>
      <c r="B504" s="32" t="s">
        <v>7501</v>
      </c>
      <c r="C504" s="32" t="s">
        <v>2551</v>
      </c>
      <c r="D504" s="32" t="s">
        <v>3790</v>
      </c>
      <c r="E504" s="34" t="s">
        <v>3527</v>
      </c>
      <c r="F504" s="32" t="s">
        <v>3790</v>
      </c>
      <c r="G504" s="34" t="s">
        <v>3823</v>
      </c>
      <c r="H504" s="7" t="s">
        <v>3813</v>
      </c>
      <c r="I504" s="32" t="s">
        <v>3790</v>
      </c>
      <c r="J504" s="34" t="s">
        <v>3790</v>
      </c>
      <c r="K504" s="7" t="s">
        <v>3790</v>
      </c>
      <c r="L504" s="7" t="s">
        <v>7525</v>
      </c>
      <c r="M504" s="34" t="s">
        <v>3527</v>
      </c>
      <c r="N504" s="32" t="s">
        <v>3528</v>
      </c>
      <c r="O504" s="36">
        <v>3.48</v>
      </c>
      <c r="P504" s="32" t="s">
        <v>3790</v>
      </c>
      <c r="Q504" s="5" t="s">
        <v>3792</v>
      </c>
      <c r="R504" s="5" t="s">
        <v>7501</v>
      </c>
      <c r="S504" s="6">
        <v>0</v>
      </c>
      <c r="T504" s="6">
        <v>0</v>
      </c>
      <c r="U504" s="6">
        <v>0</v>
      </c>
      <c r="V504" s="7">
        <v>44970</v>
      </c>
      <c r="W504" s="7" t="s">
        <v>3790</v>
      </c>
      <c r="X504" s="7">
        <v>45105</v>
      </c>
      <c r="Y504" s="5" t="s">
        <v>4022</v>
      </c>
      <c r="Z504" s="5" t="s">
        <v>3790</v>
      </c>
      <c r="AA504" s="6">
        <v>0</v>
      </c>
      <c r="AB504" s="7" t="s">
        <v>7528</v>
      </c>
      <c r="AC504" s="7" t="str">
        <f>A504&amp;COUNTIF($A$2:A504,A504)</f>
        <v>110S6053-50002</v>
      </c>
      <c r="AD504" s="7">
        <v>44908</v>
      </c>
      <c r="AE504" s="7">
        <v>44970</v>
      </c>
      <c r="AF504" s="7">
        <v>44977</v>
      </c>
      <c r="AG504" s="5">
        <v>70</v>
      </c>
      <c r="AH504" s="5">
        <v>7</v>
      </c>
      <c r="AI504" s="5">
        <v>14</v>
      </c>
      <c r="AJ504" s="5">
        <v>7000</v>
      </c>
      <c r="AK504" s="5" t="str">
        <f t="shared" ca="1" si="7"/>
        <v>within range</v>
      </c>
    </row>
    <row r="505" spans="1:37">
      <c r="A505" s="32" t="s">
        <v>2552</v>
      </c>
      <c r="B505" s="32" t="s">
        <v>7501</v>
      </c>
      <c r="C505" s="32" t="s">
        <v>2551</v>
      </c>
      <c r="D505" s="32" t="s">
        <v>3790</v>
      </c>
      <c r="E505" s="34" t="s">
        <v>3527</v>
      </c>
      <c r="F505" s="32" t="s">
        <v>3790</v>
      </c>
      <c r="G505" s="34" t="s">
        <v>3544</v>
      </c>
      <c r="H505" s="7" t="s">
        <v>3813</v>
      </c>
      <c r="I505" s="32" t="s">
        <v>3790</v>
      </c>
      <c r="J505" s="34" t="s">
        <v>3790</v>
      </c>
      <c r="K505" s="7" t="s">
        <v>3790</v>
      </c>
      <c r="L505" s="7" t="s">
        <v>7525</v>
      </c>
      <c r="M505" s="34" t="s">
        <v>3527</v>
      </c>
      <c r="N505" s="32" t="s">
        <v>3528</v>
      </c>
      <c r="O505" s="36">
        <v>3.48</v>
      </c>
      <c r="P505" s="32" t="s">
        <v>3790</v>
      </c>
      <c r="Q505" s="5" t="s">
        <v>3792</v>
      </c>
      <c r="R505" s="5" t="s">
        <v>7501</v>
      </c>
      <c r="S505" s="6">
        <v>0</v>
      </c>
      <c r="T505" s="6">
        <v>0</v>
      </c>
      <c r="U505" s="6">
        <v>0</v>
      </c>
      <c r="V505" s="7">
        <v>44970</v>
      </c>
      <c r="W505" s="7" t="s">
        <v>3790</v>
      </c>
      <c r="X505" s="7">
        <v>45105</v>
      </c>
      <c r="Y505" s="5" t="s">
        <v>4022</v>
      </c>
      <c r="Z505" s="5" t="s">
        <v>3790</v>
      </c>
      <c r="AA505" s="6">
        <v>0</v>
      </c>
      <c r="AB505" s="7" t="s">
        <v>7530</v>
      </c>
      <c r="AC505" s="7" t="str">
        <f>A505&amp;COUNTIF($A$2:A505,A505)</f>
        <v>110S6053-62003</v>
      </c>
      <c r="AD505" s="7">
        <v>44908</v>
      </c>
      <c r="AE505" s="7">
        <v>44970</v>
      </c>
      <c r="AF505" s="7">
        <v>44977</v>
      </c>
      <c r="AG505" s="5">
        <v>70</v>
      </c>
      <c r="AH505" s="5">
        <v>7</v>
      </c>
      <c r="AI505" s="5">
        <v>14</v>
      </c>
      <c r="AJ505" s="5">
        <v>3000</v>
      </c>
      <c r="AK505" s="5" t="str">
        <f t="shared" ca="1" si="7"/>
        <v>within range</v>
      </c>
    </row>
    <row r="506" spans="1:37">
      <c r="A506" s="32" t="s">
        <v>2561</v>
      </c>
      <c r="B506" s="32" t="s">
        <v>7700</v>
      </c>
      <c r="C506" s="32" t="s">
        <v>2559</v>
      </c>
      <c r="D506" s="32" t="s">
        <v>3790</v>
      </c>
      <c r="E506" s="34" t="s">
        <v>3527</v>
      </c>
      <c r="F506" s="32" t="s">
        <v>3790</v>
      </c>
      <c r="G506" s="34" t="s">
        <v>3823</v>
      </c>
      <c r="H506" s="7" t="s">
        <v>7701</v>
      </c>
      <c r="I506" s="32" t="s">
        <v>3790</v>
      </c>
      <c r="J506" s="34" t="s">
        <v>3790</v>
      </c>
      <c r="K506" s="7" t="s">
        <v>3790</v>
      </c>
      <c r="L506" s="7" t="s">
        <v>7702</v>
      </c>
      <c r="M506" s="34" t="s">
        <v>3527</v>
      </c>
      <c r="N506" s="32" t="s">
        <v>3528</v>
      </c>
      <c r="O506" s="36">
        <v>3.18</v>
      </c>
      <c r="P506" s="32" t="s">
        <v>3790</v>
      </c>
      <c r="Q506" s="5" t="s">
        <v>3792</v>
      </c>
      <c r="R506" s="5" t="s">
        <v>7700</v>
      </c>
      <c r="S506" s="6">
        <v>0</v>
      </c>
      <c r="T506" s="6">
        <v>0</v>
      </c>
      <c r="U506" s="6">
        <v>0</v>
      </c>
      <c r="V506" s="7">
        <v>44998</v>
      </c>
      <c r="W506" s="7" t="s">
        <v>3790</v>
      </c>
      <c r="X506" s="7">
        <v>45122</v>
      </c>
      <c r="Y506" s="5" t="s">
        <v>4022</v>
      </c>
      <c r="Z506" s="5" t="s">
        <v>3790</v>
      </c>
      <c r="AA506" s="6">
        <v>0</v>
      </c>
      <c r="AB506" s="7" t="s">
        <v>7747</v>
      </c>
      <c r="AC506" s="7" t="str">
        <f>A506&amp;COUNTIF($A$2:A506,A506)</f>
        <v>110S7024-50002</v>
      </c>
      <c r="AD506" s="7">
        <v>44924</v>
      </c>
      <c r="AE506" s="7">
        <v>44998</v>
      </c>
      <c r="AF506" s="7">
        <v>45005</v>
      </c>
      <c r="AG506" s="5">
        <v>70</v>
      </c>
      <c r="AH506" s="5">
        <v>7</v>
      </c>
      <c r="AI506" s="5">
        <v>14</v>
      </c>
      <c r="AJ506" s="5">
        <v>7000</v>
      </c>
      <c r="AK506" s="5" t="str">
        <f t="shared" ca="1" si="7"/>
        <v>within range</v>
      </c>
    </row>
    <row r="507" spans="1:37">
      <c r="A507" s="32" t="s">
        <v>2562</v>
      </c>
      <c r="B507" s="32" t="s">
        <v>7700</v>
      </c>
      <c r="C507" s="32" t="s">
        <v>2559</v>
      </c>
      <c r="D507" s="32" t="s">
        <v>3790</v>
      </c>
      <c r="E507" s="34" t="s">
        <v>3527</v>
      </c>
      <c r="F507" s="32" t="s">
        <v>3790</v>
      </c>
      <c r="G507" s="34" t="s">
        <v>3544</v>
      </c>
      <c r="H507" s="7" t="s">
        <v>7701</v>
      </c>
      <c r="I507" s="32" t="s">
        <v>3790</v>
      </c>
      <c r="J507" s="34" t="s">
        <v>3790</v>
      </c>
      <c r="K507" s="7" t="s">
        <v>3790</v>
      </c>
      <c r="L507" s="7" t="s">
        <v>7702</v>
      </c>
      <c r="M507" s="34" t="s">
        <v>3527</v>
      </c>
      <c r="N507" s="32" t="s">
        <v>3528</v>
      </c>
      <c r="O507" s="36">
        <v>3.18</v>
      </c>
      <c r="P507" s="32" t="s">
        <v>3790</v>
      </c>
      <c r="Q507" s="5" t="s">
        <v>3792</v>
      </c>
      <c r="R507" s="5" t="s">
        <v>7700</v>
      </c>
      <c r="S507" s="6">
        <v>0</v>
      </c>
      <c r="T507" s="6">
        <v>0</v>
      </c>
      <c r="U507" s="6">
        <v>0</v>
      </c>
      <c r="V507" s="7">
        <v>44998</v>
      </c>
      <c r="W507" s="7" t="s">
        <v>3790</v>
      </c>
      <c r="X507" s="7">
        <v>45122</v>
      </c>
      <c r="Y507" s="5" t="s">
        <v>4022</v>
      </c>
      <c r="Z507" s="5" t="s">
        <v>3790</v>
      </c>
      <c r="AA507" s="6">
        <v>0</v>
      </c>
      <c r="AB507" s="7" t="s">
        <v>7748</v>
      </c>
      <c r="AC507" s="7" t="str">
        <f>A507&amp;COUNTIF($A$2:A507,A507)</f>
        <v>110S7024-62002</v>
      </c>
      <c r="AD507" s="7">
        <v>44924</v>
      </c>
      <c r="AE507" s="7">
        <v>44998</v>
      </c>
      <c r="AF507" s="7">
        <v>45005</v>
      </c>
      <c r="AG507" s="5">
        <v>70</v>
      </c>
      <c r="AH507" s="5">
        <v>7</v>
      </c>
      <c r="AI507" s="5">
        <v>14</v>
      </c>
      <c r="AJ507" s="5">
        <v>3000</v>
      </c>
      <c r="AK507" s="5" t="str">
        <f t="shared" ca="1" si="7"/>
        <v>within range</v>
      </c>
    </row>
    <row r="508" spans="1:37">
      <c r="A508" s="32" t="s">
        <v>2579</v>
      </c>
      <c r="B508" s="32" t="s">
        <v>5274</v>
      </c>
      <c r="C508" s="32" t="s">
        <v>5286</v>
      </c>
      <c r="D508" s="32" t="s">
        <v>3790</v>
      </c>
      <c r="E508" s="34" t="s">
        <v>3527</v>
      </c>
      <c r="F508" s="32" t="s">
        <v>3790</v>
      </c>
      <c r="G508" s="34" t="s">
        <v>3574</v>
      </c>
      <c r="H508" s="7" t="s">
        <v>7580</v>
      </c>
      <c r="I508" s="32" t="s">
        <v>3790</v>
      </c>
      <c r="J508" s="34" t="s">
        <v>3790</v>
      </c>
      <c r="K508" s="7" t="s">
        <v>3790</v>
      </c>
      <c r="L508" s="7" t="s">
        <v>6325</v>
      </c>
      <c r="M508" s="34" t="s">
        <v>3527</v>
      </c>
      <c r="N508" s="32" t="s">
        <v>3528</v>
      </c>
      <c r="O508" s="36">
        <v>3.76</v>
      </c>
      <c r="P508" s="32" t="s">
        <v>3790</v>
      </c>
      <c r="Q508" s="5" t="s">
        <v>3792</v>
      </c>
      <c r="R508" s="5" t="s">
        <v>5274</v>
      </c>
      <c r="S508" s="6">
        <v>0</v>
      </c>
      <c r="T508" s="6">
        <v>0</v>
      </c>
      <c r="U508" s="6">
        <v>0</v>
      </c>
      <c r="V508" s="7">
        <v>44942</v>
      </c>
      <c r="W508" s="7" t="s">
        <v>3790</v>
      </c>
      <c r="X508" s="7">
        <v>45085</v>
      </c>
      <c r="Y508" s="5" t="s">
        <v>4022</v>
      </c>
      <c r="Z508" s="5" t="s">
        <v>3790</v>
      </c>
      <c r="AA508" s="6">
        <v>0</v>
      </c>
      <c r="AB508" s="7" t="s">
        <v>5342</v>
      </c>
      <c r="AC508" s="7" t="str">
        <f>A508&amp;COUNTIF($A$2:A508,A508)</f>
        <v>110SB316-50001</v>
      </c>
      <c r="AD508" s="7">
        <v>44830</v>
      </c>
      <c r="AE508" s="7">
        <v>44942</v>
      </c>
      <c r="AF508" s="7">
        <v>44949</v>
      </c>
      <c r="AG508" s="5">
        <v>70</v>
      </c>
      <c r="AH508" s="5">
        <v>7</v>
      </c>
      <c r="AI508" s="5">
        <v>14</v>
      </c>
      <c r="AJ508" s="5">
        <v>2500</v>
      </c>
      <c r="AK508" s="5" t="str">
        <f t="shared" ca="1" si="7"/>
        <v>within range</v>
      </c>
    </row>
    <row r="509" spans="1:37">
      <c r="A509" s="32" t="s">
        <v>2582</v>
      </c>
      <c r="B509" s="32" t="s">
        <v>5274</v>
      </c>
      <c r="C509" s="32" t="s">
        <v>5286</v>
      </c>
      <c r="D509" s="32" t="s">
        <v>3790</v>
      </c>
      <c r="E509" s="34" t="s">
        <v>3527</v>
      </c>
      <c r="F509" s="32" t="s">
        <v>3790</v>
      </c>
      <c r="G509" s="34" t="s">
        <v>3802</v>
      </c>
      <c r="H509" s="7" t="s">
        <v>7580</v>
      </c>
      <c r="I509" s="32" t="s">
        <v>3790</v>
      </c>
      <c r="J509" s="34" t="s">
        <v>3790</v>
      </c>
      <c r="K509" s="7" t="s">
        <v>3790</v>
      </c>
      <c r="L509" s="7" t="s">
        <v>6325</v>
      </c>
      <c r="M509" s="34" t="s">
        <v>3527</v>
      </c>
      <c r="N509" s="32" t="s">
        <v>3528</v>
      </c>
      <c r="O509" s="36">
        <v>3.76</v>
      </c>
      <c r="P509" s="32" t="s">
        <v>3790</v>
      </c>
      <c r="Q509" s="5" t="s">
        <v>3792</v>
      </c>
      <c r="R509" s="5" t="s">
        <v>5274</v>
      </c>
      <c r="S509" s="6">
        <v>0</v>
      </c>
      <c r="T509" s="6">
        <v>0</v>
      </c>
      <c r="U509" s="6">
        <v>0</v>
      </c>
      <c r="V509" s="7">
        <v>44942</v>
      </c>
      <c r="W509" s="7" t="s">
        <v>3790</v>
      </c>
      <c r="X509" s="7">
        <v>45085</v>
      </c>
      <c r="Y509" s="5" t="s">
        <v>4022</v>
      </c>
      <c r="Z509" s="5" t="s">
        <v>3790</v>
      </c>
      <c r="AA509" s="6">
        <v>0</v>
      </c>
      <c r="AB509" s="7" t="s">
        <v>5343</v>
      </c>
      <c r="AC509" s="7" t="str">
        <f>A509&amp;COUNTIF($A$2:A509,A509)</f>
        <v>110SB316-62001</v>
      </c>
      <c r="AD509" s="7">
        <v>44830</v>
      </c>
      <c r="AE509" s="7">
        <v>44942</v>
      </c>
      <c r="AF509" s="7">
        <v>44949</v>
      </c>
      <c r="AG509" s="5">
        <v>70</v>
      </c>
      <c r="AH509" s="5">
        <v>7</v>
      </c>
      <c r="AI509" s="5">
        <v>14</v>
      </c>
      <c r="AJ509" s="5">
        <v>1000</v>
      </c>
      <c r="AK509" s="5" t="str">
        <f t="shared" ca="1" si="7"/>
        <v>within range</v>
      </c>
    </row>
    <row r="510" spans="1:37">
      <c r="A510" s="32" t="s">
        <v>2596</v>
      </c>
      <c r="B510" s="32" t="s">
        <v>6339</v>
      </c>
      <c r="C510" s="32" t="s">
        <v>652</v>
      </c>
      <c r="D510" s="32" t="s">
        <v>3790</v>
      </c>
      <c r="E510" s="34" t="s">
        <v>3527</v>
      </c>
      <c r="F510" s="32" t="s">
        <v>3790</v>
      </c>
      <c r="G510" s="34" t="s">
        <v>3569</v>
      </c>
      <c r="H510" s="7" t="s">
        <v>3830</v>
      </c>
      <c r="I510" s="32" t="s">
        <v>3790</v>
      </c>
      <c r="J510" s="34" t="s">
        <v>3790</v>
      </c>
      <c r="K510" s="7" t="s">
        <v>3790</v>
      </c>
      <c r="L510" s="7" t="s">
        <v>6370</v>
      </c>
      <c r="M510" s="34" t="s">
        <v>7594</v>
      </c>
      <c r="N510" s="32" t="s">
        <v>3528</v>
      </c>
      <c r="O510" s="36">
        <v>4.43</v>
      </c>
      <c r="P510" s="32" t="s">
        <v>3790</v>
      </c>
      <c r="Q510" s="5" t="s">
        <v>3792</v>
      </c>
      <c r="R510" s="5" t="s">
        <v>6339</v>
      </c>
      <c r="S510" s="6">
        <v>0</v>
      </c>
      <c r="T510" s="6">
        <v>-25</v>
      </c>
      <c r="U510" s="6">
        <v>0</v>
      </c>
      <c r="V510" s="7">
        <v>44914</v>
      </c>
      <c r="W510" s="7" t="s">
        <v>3790</v>
      </c>
      <c r="X510" s="7">
        <v>45050</v>
      </c>
      <c r="Y510" s="5" t="s">
        <v>4022</v>
      </c>
      <c r="Z510" s="5" t="s">
        <v>3790</v>
      </c>
      <c r="AA510" s="6">
        <v>-25</v>
      </c>
      <c r="AB510" s="7" t="s">
        <v>6371</v>
      </c>
      <c r="AC510" s="7" t="str">
        <f>A510&amp;COUNTIF($A$2:A510,A510)</f>
        <v>110SE601-50001</v>
      </c>
      <c r="AD510" s="7">
        <v>44881</v>
      </c>
      <c r="AE510" s="7">
        <v>44914</v>
      </c>
      <c r="AF510" s="7">
        <v>44921</v>
      </c>
      <c r="AG510" s="5">
        <v>70</v>
      </c>
      <c r="AH510" s="5">
        <v>7</v>
      </c>
      <c r="AI510" s="5">
        <v>14</v>
      </c>
      <c r="AJ510" s="5">
        <v>2000</v>
      </c>
      <c r="AK510" s="5" t="str">
        <f t="shared" ca="1" si="7"/>
        <v>Past Due</v>
      </c>
    </row>
    <row r="511" spans="1:37">
      <c r="A511" s="32" t="s">
        <v>2599</v>
      </c>
      <c r="B511" s="32" t="s">
        <v>6339</v>
      </c>
      <c r="C511" s="32" t="s">
        <v>652</v>
      </c>
      <c r="D511" s="32" t="s">
        <v>3790</v>
      </c>
      <c r="E511" s="34" t="s">
        <v>3527</v>
      </c>
      <c r="F511" s="32" t="s">
        <v>3790</v>
      </c>
      <c r="G511" s="34" t="s">
        <v>3803</v>
      </c>
      <c r="H511" s="7" t="s">
        <v>3830</v>
      </c>
      <c r="I511" s="32" t="s">
        <v>3790</v>
      </c>
      <c r="J511" s="34" t="s">
        <v>3790</v>
      </c>
      <c r="K511" s="7" t="s">
        <v>3790</v>
      </c>
      <c r="L511" s="7" t="s">
        <v>6370</v>
      </c>
      <c r="M511" s="34" t="s">
        <v>7595</v>
      </c>
      <c r="N511" s="32" t="s">
        <v>3528</v>
      </c>
      <c r="O511" s="36">
        <v>4.43</v>
      </c>
      <c r="P511" s="32" t="s">
        <v>3790</v>
      </c>
      <c r="Q511" s="5" t="s">
        <v>3792</v>
      </c>
      <c r="R511" s="5" t="s">
        <v>6339</v>
      </c>
      <c r="S511" s="6">
        <v>0</v>
      </c>
      <c r="T511" s="6">
        <v>-275</v>
      </c>
      <c r="U511" s="6">
        <v>0</v>
      </c>
      <c r="V511" s="7">
        <v>44914</v>
      </c>
      <c r="W511" s="7" t="s">
        <v>3790</v>
      </c>
      <c r="X511" s="7">
        <v>45050</v>
      </c>
      <c r="Y511" s="5" t="s">
        <v>4022</v>
      </c>
      <c r="Z511" s="5" t="s">
        <v>3790</v>
      </c>
      <c r="AA511" s="6">
        <v>-275</v>
      </c>
      <c r="AB511" s="7" t="s">
        <v>6372</v>
      </c>
      <c r="AC511" s="7" t="str">
        <f>A511&amp;COUNTIF($A$2:A511,A511)</f>
        <v>110SE601-62002</v>
      </c>
      <c r="AD511" s="7">
        <v>44881</v>
      </c>
      <c r="AE511" s="7">
        <v>44914</v>
      </c>
      <c r="AF511" s="7">
        <v>44921</v>
      </c>
      <c r="AG511" s="5">
        <v>70</v>
      </c>
      <c r="AH511" s="5">
        <v>7</v>
      </c>
      <c r="AI511" s="5">
        <v>14</v>
      </c>
      <c r="AJ511" s="5">
        <v>1500</v>
      </c>
      <c r="AK511" s="5" t="str">
        <f t="shared" ca="1" si="7"/>
        <v>Past Due</v>
      </c>
    </row>
    <row r="512" spans="1:37">
      <c r="A512" s="32" t="s">
        <v>2707</v>
      </c>
      <c r="B512" s="32" t="s">
        <v>6046</v>
      </c>
      <c r="C512" s="32" t="s">
        <v>6047</v>
      </c>
      <c r="D512" s="32" t="s">
        <v>3790</v>
      </c>
      <c r="E512" s="34" t="s">
        <v>3790</v>
      </c>
      <c r="F512" s="32" t="s">
        <v>3906</v>
      </c>
      <c r="G512" s="34">
        <v>1700</v>
      </c>
      <c r="H512" s="7" t="s">
        <v>3850</v>
      </c>
      <c r="I512" s="32" t="s">
        <v>3526</v>
      </c>
      <c r="J512" s="34">
        <v>1807.7905484</v>
      </c>
      <c r="K512" s="7" t="s">
        <v>3790</v>
      </c>
      <c r="L512" s="7" t="s">
        <v>6378</v>
      </c>
      <c r="M512" s="34" t="s">
        <v>3790</v>
      </c>
      <c r="N512" s="32" t="s">
        <v>3532</v>
      </c>
      <c r="O512" s="36">
        <v>4.57</v>
      </c>
      <c r="Q512" s="5" t="s">
        <v>3900</v>
      </c>
      <c r="R512" s="5" t="s">
        <v>6046</v>
      </c>
      <c r="S512" s="6">
        <v>0</v>
      </c>
      <c r="T512" s="6">
        <v>0</v>
      </c>
      <c r="U512" s="6">
        <v>1808</v>
      </c>
      <c r="V512" s="7">
        <v>44907</v>
      </c>
      <c r="W512" s="7" t="s">
        <v>3790</v>
      </c>
      <c r="X512" s="7">
        <v>44982</v>
      </c>
      <c r="Y512" s="5" t="s">
        <v>4022</v>
      </c>
      <c r="Z512" s="5" t="s">
        <v>3790</v>
      </c>
      <c r="AA512" s="6">
        <v>0</v>
      </c>
      <c r="AB512" s="7" t="s">
        <v>6048</v>
      </c>
      <c r="AC512" s="7" t="str">
        <f>A512&amp;COUNTIF($A$2:A512,A512)</f>
        <v>110ST031-50001</v>
      </c>
      <c r="AD512" s="7">
        <v>44861</v>
      </c>
      <c r="AE512" s="7">
        <v>44907</v>
      </c>
      <c r="AF512" s="7">
        <v>44970</v>
      </c>
      <c r="AG512" s="5">
        <v>147</v>
      </c>
      <c r="AH512" s="5">
        <v>63</v>
      </c>
      <c r="AI512" s="5">
        <v>14</v>
      </c>
      <c r="AJ512" s="5">
        <v>1700</v>
      </c>
      <c r="AK512" s="5" t="str">
        <f t="shared" ca="1" si="7"/>
        <v>run complete</v>
      </c>
    </row>
    <row r="513" spans="1:37">
      <c r="A513" s="32" t="s">
        <v>2707</v>
      </c>
      <c r="B513" s="32" t="s">
        <v>6046</v>
      </c>
      <c r="C513" s="32" t="s">
        <v>6047</v>
      </c>
      <c r="D513" s="32" t="s">
        <v>3790</v>
      </c>
      <c r="E513" s="34" t="s">
        <v>3790</v>
      </c>
      <c r="F513" s="32" t="s">
        <v>3906</v>
      </c>
      <c r="G513" s="34">
        <v>1700</v>
      </c>
      <c r="H513" s="7" t="s">
        <v>3850</v>
      </c>
      <c r="I513" s="32" t="s">
        <v>3526</v>
      </c>
      <c r="J513" s="34">
        <v>1807.7905484</v>
      </c>
      <c r="K513" s="7" t="s">
        <v>3790</v>
      </c>
      <c r="L513" s="7" t="s">
        <v>6378</v>
      </c>
      <c r="M513" s="34" t="s">
        <v>3790</v>
      </c>
      <c r="N513" s="32" t="s">
        <v>3532</v>
      </c>
      <c r="O513" s="36">
        <v>4.57</v>
      </c>
      <c r="Q513" s="5" t="s">
        <v>3900</v>
      </c>
      <c r="R513" s="5" t="s">
        <v>6046</v>
      </c>
      <c r="S513" s="6">
        <v>0</v>
      </c>
      <c r="T513" s="6">
        <v>0</v>
      </c>
      <c r="U513" s="6">
        <v>1808</v>
      </c>
      <c r="V513" s="7">
        <v>44907</v>
      </c>
      <c r="W513" s="7" t="s">
        <v>3790</v>
      </c>
      <c r="X513" s="7">
        <v>44982</v>
      </c>
      <c r="Y513" s="5" t="s">
        <v>4022</v>
      </c>
      <c r="Z513" s="5" t="s">
        <v>3790</v>
      </c>
      <c r="AA513" s="6">
        <v>0</v>
      </c>
      <c r="AB513" s="7" t="s">
        <v>6048</v>
      </c>
      <c r="AC513" s="7" t="str">
        <f>A513&amp;COUNTIF($A$2:A513,A513)</f>
        <v>110ST031-50002</v>
      </c>
      <c r="AD513" s="7">
        <v>44861</v>
      </c>
      <c r="AE513" s="7">
        <v>44907</v>
      </c>
      <c r="AF513" s="7">
        <v>44970</v>
      </c>
      <c r="AG513" s="5">
        <v>147</v>
      </c>
      <c r="AH513" s="5">
        <v>63</v>
      </c>
      <c r="AI513" s="5">
        <v>14</v>
      </c>
      <c r="AJ513" s="5">
        <v>1700</v>
      </c>
      <c r="AK513" s="5" t="str">
        <f t="shared" ca="1" si="7"/>
        <v>run complete</v>
      </c>
    </row>
    <row r="514" spans="1:37">
      <c r="A514" s="32" t="s">
        <v>2710</v>
      </c>
      <c r="B514" s="32" t="s">
        <v>6046</v>
      </c>
      <c r="C514" s="32" t="s">
        <v>6047</v>
      </c>
      <c r="D514" s="32" t="s">
        <v>3790</v>
      </c>
      <c r="E514" s="34" t="s">
        <v>3790</v>
      </c>
      <c r="F514" s="32" t="s">
        <v>3906</v>
      </c>
      <c r="G514" s="34">
        <v>500</v>
      </c>
      <c r="H514" s="7" t="s">
        <v>3850</v>
      </c>
      <c r="I514" s="32" t="s">
        <v>3526</v>
      </c>
      <c r="J514" s="34">
        <v>582.02037168000004</v>
      </c>
      <c r="K514" s="7" t="s">
        <v>3790</v>
      </c>
      <c r="L514" s="7" t="s">
        <v>6378</v>
      </c>
      <c r="M514" s="34" t="s">
        <v>3790</v>
      </c>
      <c r="N514" s="32" t="s">
        <v>3532</v>
      </c>
      <c r="O514" s="36">
        <v>4.57</v>
      </c>
      <c r="Q514" s="5" t="s">
        <v>3900</v>
      </c>
      <c r="R514" s="5" t="s">
        <v>6046</v>
      </c>
      <c r="S514" s="6">
        <v>0</v>
      </c>
      <c r="T514" s="6">
        <v>0</v>
      </c>
      <c r="U514" s="6">
        <v>582</v>
      </c>
      <c r="V514" s="7">
        <v>44907</v>
      </c>
      <c r="W514" s="7" t="s">
        <v>3790</v>
      </c>
      <c r="X514" s="7">
        <v>44982</v>
      </c>
      <c r="Y514" s="5" t="s">
        <v>4022</v>
      </c>
      <c r="Z514" s="5" t="s">
        <v>3790</v>
      </c>
      <c r="AA514" s="6">
        <v>0</v>
      </c>
      <c r="AB514" s="7" t="s">
        <v>6049</v>
      </c>
      <c r="AC514" s="7" t="str">
        <f>A514&amp;COUNTIF($A$2:A514,A514)</f>
        <v>110ST031-62001</v>
      </c>
      <c r="AD514" s="7">
        <v>44861</v>
      </c>
      <c r="AE514" s="7">
        <v>44907</v>
      </c>
      <c r="AF514" s="7">
        <v>44970</v>
      </c>
      <c r="AG514" s="5">
        <v>147</v>
      </c>
      <c r="AH514" s="5">
        <v>63</v>
      </c>
      <c r="AI514" s="5">
        <v>14</v>
      </c>
      <c r="AJ514" s="5">
        <v>500</v>
      </c>
      <c r="AK514" s="5" t="str">
        <f t="shared" ref="AK514:AK577" ca="1" si="8">IFERROR(IF(OR(U514&lt;&gt;0,W514&lt;&gt;"",Y514="releasable",I514&lt;&gt;"",SUM(S514:T514)&gt;0),"run complete",IF(AND(Y514="not releasable",I514="",U514=0,V514&lt;TODAY()),"Past Due","within range")),"missing supplier data")</f>
        <v>run complete</v>
      </c>
    </row>
    <row r="515" spans="1:37">
      <c r="A515" s="32" t="s">
        <v>2710</v>
      </c>
      <c r="B515" s="32" t="s">
        <v>6046</v>
      </c>
      <c r="C515" s="32" t="s">
        <v>6047</v>
      </c>
      <c r="D515" s="32" t="s">
        <v>3790</v>
      </c>
      <c r="E515" s="34" t="s">
        <v>3790</v>
      </c>
      <c r="F515" s="32" t="s">
        <v>3906</v>
      </c>
      <c r="G515" s="34">
        <v>500</v>
      </c>
      <c r="H515" s="7" t="s">
        <v>3850</v>
      </c>
      <c r="I515" s="32" t="s">
        <v>3526</v>
      </c>
      <c r="J515" s="34">
        <v>582.02037168000004</v>
      </c>
      <c r="K515" s="7" t="s">
        <v>3790</v>
      </c>
      <c r="L515" s="7" t="s">
        <v>6378</v>
      </c>
      <c r="M515" s="34" t="s">
        <v>3790</v>
      </c>
      <c r="N515" s="32" t="s">
        <v>3532</v>
      </c>
      <c r="O515" s="36">
        <v>4.57</v>
      </c>
      <c r="Q515" s="5" t="s">
        <v>3900</v>
      </c>
      <c r="R515" s="5" t="s">
        <v>6046</v>
      </c>
      <c r="S515" s="6">
        <v>0</v>
      </c>
      <c r="T515" s="6">
        <v>0</v>
      </c>
      <c r="U515" s="6">
        <v>582</v>
      </c>
      <c r="V515" s="7">
        <v>44907</v>
      </c>
      <c r="W515" s="7" t="s">
        <v>3790</v>
      </c>
      <c r="X515" s="7">
        <v>44982</v>
      </c>
      <c r="Y515" s="5" t="s">
        <v>4022</v>
      </c>
      <c r="Z515" s="5" t="s">
        <v>3790</v>
      </c>
      <c r="AA515" s="6">
        <v>0</v>
      </c>
      <c r="AB515" s="7" t="s">
        <v>6049</v>
      </c>
      <c r="AC515" s="7" t="str">
        <f>A515&amp;COUNTIF($A$2:A515,A515)</f>
        <v>110ST031-62002</v>
      </c>
      <c r="AD515" s="7">
        <v>44861</v>
      </c>
      <c r="AE515" s="7">
        <v>44907</v>
      </c>
      <c r="AF515" s="7">
        <v>44970</v>
      </c>
      <c r="AG515" s="5">
        <v>147</v>
      </c>
      <c r="AH515" s="5">
        <v>63</v>
      </c>
      <c r="AI515" s="5">
        <v>14</v>
      </c>
      <c r="AJ515" s="5">
        <v>500</v>
      </c>
      <c r="AK515" s="5" t="str">
        <f t="shared" ca="1" si="8"/>
        <v>run complete</v>
      </c>
    </row>
    <row r="516" spans="1:37">
      <c r="A516" s="32" t="s">
        <v>2758</v>
      </c>
      <c r="B516" s="32" t="s">
        <v>7501</v>
      </c>
      <c r="C516" s="32" t="s">
        <v>3867</v>
      </c>
      <c r="D516" s="32" t="s">
        <v>3790</v>
      </c>
      <c r="E516" s="34" t="s">
        <v>3527</v>
      </c>
      <c r="F516" s="32" t="s">
        <v>3790</v>
      </c>
      <c r="G516" s="34" t="s">
        <v>3582</v>
      </c>
      <c r="H516" s="7" t="s">
        <v>6332</v>
      </c>
      <c r="I516" s="32" t="s">
        <v>3790</v>
      </c>
      <c r="J516" s="34" t="s">
        <v>3790</v>
      </c>
      <c r="K516" s="7" t="s">
        <v>3790</v>
      </c>
      <c r="L516" s="7" t="s">
        <v>7532</v>
      </c>
      <c r="M516" s="34" t="s">
        <v>3527</v>
      </c>
      <c r="N516" s="32" t="s">
        <v>3528</v>
      </c>
      <c r="O516" s="36">
        <v>4.99</v>
      </c>
      <c r="P516" s="32" t="s">
        <v>3790</v>
      </c>
      <c r="Q516" s="5" t="s">
        <v>3792</v>
      </c>
      <c r="R516" s="5" t="s">
        <v>7501</v>
      </c>
      <c r="S516" s="6">
        <v>0</v>
      </c>
      <c r="T516" s="6">
        <v>0</v>
      </c>
      <c r="U516" s="6">
        <v>0</v>
      </c>
      <c r="V516" s="7">
        <v>44977</v>
      </c>
      <c r="W516" s="7" t="s">
        <v>3790</v>
      </c>
      <c r="X516" s="7">
        <v>44971</v>
      </c>
      <c r="Y516" s="5" t="s">
        <v>4022</v>
      </c>
      <c r="Z516" s="5" t="s">
        <v>3790</v>
      </c>
      <c r="AA516" s="6">
        <v>0</v>
      </c>
      <c r="AB516" s="7" t="s">
        <v>7533</v>
      </c>
      <c r="AC516" s="7" t="str">
        <f>A516&amp;COUNTIF($A$2:A516,A516)</f>
        <v>110SV355-50001</v>
      </c>
      <c r="AD516" s="7">
        <v>44908</v>
      </c>
      <c r="AE516" s="7">
        <v>44977</v>
      </c>
      <c r="AF516" s="7">
        <v>44984</v>
      </c>
      <c r="AG516" s="5">
        <v>70</v>
      </c>
      <c r="AH516" s="5">
        <v>7</v>
      </c>
      <c r="AI516" s="5">
        <v>14</v>
      </c>
      <c r="AJ516" s="5">
        <v>500</v>
      </c>
      <c r="AK516" s="5" t="str">
        <f t="shared" ca="1" si="8"/>
        <v>within range</v>
      </c>
    </row>
    <row r="517" spans="1:37">
      <c r="A517" s="32" t="s">
        <v>2760</v>
      </c>
      <c r="B517" s="32" t="s">
        <v>7501</v>
      </c>
      <c r="C517" s="32" t="s">
        <v>3867</v>
      </c>
      <c r="D517" s="32" t="s">
        <v>3790</v>
      </c>
      <c r="E517" s="34" t="s">
        <v>3527</v>
      </c>
      <c r="F517" s="32" t="s">
        <v>3790</v>
      </c>
      <c r="G517" s="34" t="s">
        <v>3544</v>
      </c>
      <c r="H517" s="7" t="s">
        <v>6332</v>
      </c>
      <c r="I517" s="32" t="s">
        <v>3790</v>
      </c>
      <c r="J517" s="34" t="s">
        <v>3790</v>
      </c>
      <c r="K517" s="7" t="s">
        <v>3790</v>
      </c>
      <c r="L517" s="7" t="s">
        <v>7532</v>
      </c>
      <c r="M517" s="34" t="s">
        <v>3527</v>
      </c>
      <c r="N517" s="32" t="s">
        <v>3528</v>
      </c>
      <c r="O517" s="36">
        <v>4.99</v>
      </c>
      <c r="P517" s="32" t="s">
        <v>3790</v>
      </c>
      <c r="Q517" s="5" t="s">
        <v>3792</v>
      </c>
      <c r="R517" s="5" t="s">
        <v>7501</v>
      </c>
      <c r="S517" s="6">
        <v>0</v>
      </c>
      <c r="T517" s="6">
        <v>0</v>
      </c>
      <c r="U517" s="6">
        <v>0</v>
      </c>
      <c r="V517" s="7">
        <v>44977</v>
      </c>
      <c r="W517" s="7" t="s">
        <v>3790</v>
      </c>
      <c r="X517" s="7">
        <v>44971</v>
      </c>
      <c r="Y517" s="5" t="s">
        <v>4022</v>
      </c>
      <c r="Z517" s="5" t="s">
        <v>3790</v>
      </c>
      <c r="AA517" s="6">
        <v>0</v>
      </c>
      <c r="AB517" s="7" t="s">
        <v>7534</v>
      </c>
      <c r="AC517" s="7" t="str">
        <f>A517&amp;COUNTIF($A$2:A517,A517)</f>
        <v>110SV355-62002</v>
      </c>
      <c r="AD517" s="7">
        <v>44908</v>
      </c>
      <c r="AE517" s="7">
        <v>44977</v>
      </c>
      <c r="AF517" s="7">
        <v>44984</v>
      </c>
      <c r="AG517" s="5">
        <v>70</v>
      </c>
      <c r="AH517" s="5">
        <v>7</v>
      </c>
      <c r="AI517" s="5">
        <v>14</v>
      </c>
      <c r="AJ517" s="5">
        <v>3000</v>
      </c>
      <c r="AK517" s="5" t="str">
        <f t="shared" ca="1" si="8"/>
        <v>within range</v>
      </c>
    </row>
    <row r="518" spans="1:37">
      <c r="A518" s="32" t="s">
        <v>2765</v>
      </c>
      <c r="B518" s="32">
        <v>7162</v>
      </c>
      <c r="C518" s="32" t="s">
        <v>3631</v>
      </c>
      <c r="E518" s="34" t="s">
        <v>3527</v>
      </c>
      <c r="G518" s="34" t="s">
        <v>3566</v>
      </c>
      <c r="H518" s="7" t="s">
        <v>5875</v>
      </c>
      <c r="J518" s="34" t="s">
        <v>3527</v>
      </c>
      <c r="N518" s="32" t="s">
        <v>3528</v>
      </c>
      <c r="O518" s="36" t="s">
        <v>3632</v>
      </c>
      <c r="Q518" s="5" t="s">
        <v>5429</v>
      </c>
      <c r="R518" s="5" t="s">
        <v>6050</v>
      </c>
      <c r="S518" s="6">
        <v>0</v>
      </c>
      <c r="T518" s="6">
        <v>0</v>
      </c>
      <c r="U518" s="6">
        <v>0</v>
      </c>
      <c r="V518" s="7">
        <v>45029</v>
      </c>
      <c r="W518" s="7" t="s">
        <v>3790</v>
      </c>
      <c r="X518" s="7" t="s">
        <v>3790</v>
      </c>
      <c r="Y518" s="5" t="s">
        <v>4022</v>
      </c>
      <c r="Z518" s="5" t="s">
        <v>3790</v>
      </c>
      <c r="AA518" s="6">
        <v>0</v>
      </c>
      <c r="AB518" s="7" t="s">
        <v>6051</v>
      </c>
      <c r="AC518" s="7" t="str">
        <f>A518&amp;COUNTIF($A$2:A518,A518)</f>
        <v>110SV741-50001</v>
      </c>
      <c r="AD518" s="7">
        <v>44844</v>
      </c>
      <c r="AE518" s="7">
        <v>45029</v>
      </c>
      <c r="AF518" s="7">
        <v>45085</v>
      </c>
      <c r="AG518" s="5">
        <v>91</v>
      </c>
      <c r="AH518" s="5">
        <v>56</v>
      </c>
      <c r="AI518" s="5">
        <v>14</v>
      </c>
      <c r="AJ518" s="5">
        <v>1100</v>
      </c>
      <c r="AK518" s="5" t="str">
        <f t="shared" ca="1" si="8"/>
        <v>within range</v>
      </c>
    </row>
    <row r="519" spans="1:37">
      <c r="A519" s="32" t="s">
        <v>2767</v>
      </c>
      <c r="B519" s="32">
        <v>7162</v>
      </c>
      <c r="C519" s="32" t="s">
        <v>3631</v>
      </c>
      <c r="E519" s="34" t="s">
        <v>3527</v>
      </c>
      <c r="G519" s="34" t="s">
        <v>3566</v>
      </c>
      <c r="H519" s="7" t="s">
        <v>5875</v>
      </c>
      <c r="J519" s="34" t="s">
        <v>3527</v>
      </c>
      <c r="N519" s="32" t="s">
        <v>3528</v>
      </c>
      <c r="O519" s="36" t="s">
        <v>3633</v>
      </c>
      <c r="Q519" s="5" t="s">
        <v>5429</v>
      </c>
      <c r="R519" s="5" t="s">
        <v>6050</v>
      </c>
      <c r="S519" s="6">
        <v>0</v>
      </c>
      <c r="T519" s="6">
        <v>0</v>
      </c>
      <c r="U519" s="6">
        <v>0</v>
      </c>
      <c r="V519" s="7">
        <v>45029</v>
      </c>
      <c r="W519" s="7" t="s">
        <v>3790</v>
      </c>
      <c r="X519" s="7" t="s">
        <v>3790</v>
      </c>
      <c r="Y519" s="5" t="s">
        <v>4022</v>
      </c>
      <c r="Z519" s="5" t="s">
        <v>3790</v>
      </c>
      <c r="AA519" s="6">
        <v>0</v>
      </c>
      <c r="AB519" s="7" t="s">
        <v>6052</v>
      </c>
      <c r="AC519" s="7" t="str">
        <f>A519&amp;COUNTIF($A$2:A519,A519)</f>
        <v>110SV741-62001</v>
      </c>
      <c r="AD519" s="7">
        <v>44844</v>
      </c>
      <c r="AE519" s="7">
        <v>45029</v>
      </c>
      <c r="AF519" s="7">
        <v>45085</v>
      </c>
      <c r="AG519" s="5">
        <v>91</v>
      </c>
      <c r="AH519" s="5">
        <v>56</v>
      </c>
      <c r="AI519" s="5">
        <v>14</v>
      </c>
      <c r="AJ519" s="5">
        <v>1100</v>
      </c>
      <c r="AK519" s="5" t="str">
        <f t="shared" ca="1" si="8"/>
        <v>within range</v>
      </c>
    </row>
    <row r="520" spans="1:37">
      <c r="A520" s="32" t="s">
        <v>2785</v>
      </c>
      <c r="B520" s="32" t="s">
        <v>7535</v>
      </c>
      <c r="C520" s="32" t="s">
        <v>3870</v>
      </c>
      <c r="D520" s="32" t="s">
        <v>3790</v>
      </c>
      <c r="E520" s="34" t="s">
        <v>3527</v>
      </c>
      <c r="F520" s="32" t="s">
        <v>3790</v>
      </c>
      <c r="G520" s="34" t="s">
        <v>3823</v>
      </c>
      <c r="H520" s="7" t="s">
        <v>6332</v>
      </c>
      <c r="I520" s="32" t="s">
        <v>3790</v>
      </c>
      <c r="J520" s="34" t="s">
        <v>3790</v>
      </c>
      <c r="K520" s="7" t="s">
        <v>3790</v>
      </c>
      <c r="L520" s="7" t="s">
        <v>7536</v>
      </c>
      <c r="M520" s="34" t="s">
        <v>3527</v>
      </c>
      <c r="N520" s="32" t="s">
        <v>3528</v>
      </c>
      <c r="O520" s="36">
        <v>3.28</v>
      </c>
      <c r="P520" s="32" t="s">
        <v>3790</v>
      </c>
      <c r="Q520" s="5" t="s">
        <v>3792</v>
      </c>
      <c r="R520" s="5" t="s">
        <v>7535</v>
      </c>
      <c r="S520" s="6">
        <v>0</v>
      </c>
      <c r="T520" s="6">
        <v>0</v>
      </c>
      <c r="U520" s="6">
        <v>0</v>
      </c>
      <c r="V520" s="7">
        <v>44977</v>
      </c>
      <c r="W520" s="7" t="s">
        <v>3790</v>
      </c>
      <c r="X520" s="7">
        <v>45113</v>
      </c>
      <c r="Y520" s="5" t="s">
        <v>4022</v>
      </c>
      <c r="Z520" s="5" t="s">
        <v>3790</v>
      </c>
      <c r="AA520" s="6">
        <v>0</v>
      </c>
      <c r="AB520" s="7" t="s">
        <v>7537</v>
      </c>
      <c r="AC520" s="7" t="str">
        <f>A520&amp;COUNTIF($A$2:A520,A520)</f>
        <v>110SW727-50001</v>
      </c>
      <c r="AD520" s="7">
        <v>44910</v>
      </c>
      <c r="AE520" s="7">
        <v>44977</v>
      </c>
      <c r="AF520" s="7">
        <v>44984</v>
      </c>
      <c r="AG520" s="5">
        <v>70</v>
      </c>
      <c r="AH520" s="5">
        <v>7</v>
      </c>
      <c r="AI520" s="5">
        <v>14</v>
      </c>
      <c r="AJ520" s="5">
        <v>7000</v>
      </c>
      <c r="AK520" s="5" t="str">
        <f t="shared" ca="1" si="8"/>
        <v>within range</v>
      </c>
    </row>
    <row r="521" spans="1:37">
      <c r="A521" s="32" t="s">
        <v>2788</v>
      </c>
      <c r="B521" s="32" t="s">
        <v>7535</v>
      </c>
      <c r="C521" s="32" t="s">
        <v>3870</v>
      </c>
      <c r="D521" s="32" t="s">
        <v>3790</v>
      </c>
      <c r="E521" s="34" t="s">
        <v>3527</v>
      </c>
      <c r="F521" s="32" t="s">
        <v>3790</v>
      </c>
      <c r="G521" s="34" t="s">
        <v>3544</v>
      </c>
      <c r="H521" s="7" t="s">
        <v>6332</v>
      </c>
      <c r="I521" s="32" t="s">
        <v>3790</v>
      </c>
      <c r="J521" s="34" t="s">
        <v>3790</v>
      </c>
      <c r="K521" s="7" t="s">
        <v>3790</v>
      </c>
      <c r="L521" s="7" t="s">
        <v>7536</v>
      </c>
      <c r="M521" s="34" t="s">
        <v>3527</v>
      </c>
      <c r="N521" s="32" t="s">
        <v>3528</v>
      </c>
      <c r="O521" s="36">
        <v>3.28</v>
      </c>
      <c r="P521" s="32" t="s">
        <v>3790</v>
      </c>
      <c r="Q521" s="5" t="s">
        <v>3792</v>
      </c>
      <c r="R521" s="5" t="s">
        <v>7535</v>
      </c>
      <c r="S521" s="6">
        <v>0</v>
      </c>
      <c r="T521" s="6">
        <v>0</v>
      </c>
      <c r="U521" s="6">
        <v>0</v>
      </c>
      <c r="V521" s="7">
        <v>44977</v>
      </c>
      <c r="W521" s="7" t="s">
        <v>3790</v>
      </c>
      <c r="X521" s="7">
        <v>45113</v>
      </c>
      <c r="Y521" s="5" t="s">
        <v>4022</v>
      </c>
      <c r="Z521" s="5" t="s">
        <v>3790</v>
      </c>
      <c r="AA521" s="6">
        <v>0</v>
      </c>
      <c r="AB521" s="7" t="s">
        <v>7538</v>
      </c>
      <c r="AC521" s="7" t="str">
        <f>A521&amp;COUNTIF($A$2:A521,A521)</f>
        <v>110SW727-62001</v>
      </c>
      <c r="AD521" s="7">
        <v>44910</v>
      </c>
      <c r="AE521" s="7">
        <v>44977</v>
      </c>
      <c r="AF521" s="7">
        <v>44984</v>
      </c>
      <c r="AG521" s="5">
        <v>70</v>
      </c>
      <c r="AH521" s="5">
        <v>7</v>
      </c>
      <c r="AI521" s="5">
        <v>14</v>
      </c>
      <c r="AJ521" s="5">
        <v>3000</v>
      </c>
      <c r="AK521" s="5" t="str">
        <f t="shared" ca="1" si="8"/>
        <v>within range</v>
      </c>
    </row>
    <row r="522" spans="1:37">
      <c r="A522" s="32" t="s">
        <v>2812</v>
      </c>
      <c r="B522" s="32" t="s">
        <v>7597</v>
      </c>
      <c r="C522" s="32" t="s">
        <v>2813</v>
      </c>
      <c r="D522" s="32" t="s">
        <v>3790</v>
      </c>
      <c r="E522" s="34" t="s">
        <v>3527</v>
      </c>
      <c r="F522" s="32" t="s">
        <v>3790</v>
      </c>
      <c r="G522" s="34" t="s">
        <v>3797</v>
      </c>
      <c r="H522" s="7" t="s">
        <v>7598</v>
      </c>
      <c r="I522" s="32" t="s">
        <v>3790</v>
      </c>
      <c r="J522" s="34" t="s">
        <v>3790</v>
      </c>
      <c r="K522" s="7" t="s">
        <v>3790</v>
      </c>
      <c r="L522" s="7" t="s">
        <v>7599</v>
      </c>
      <c r="M522" s="34" t="s">
        <v>3527</v>
      </c>
      <c r="N522" s="32" t="s">
        <v>3528</v>
      </c>
      <c r="O522" s="36">
        <v>3.17</v>
      </c>
      <c r="P522" s="32" t="s">
        <v>3790</v>
      </c>
      <c r="Q522" s="5" t="s">
        <v>3792</v>
      </c>
      <c r="R522" s="5" t="s">
        <v>7597</v>
      </c>
      <c r="S522" s="6">
        <v>0</v>
      </c>
      <c r="T522" s="6">
        <v>0</v>
      </c>
      <c r="U522" s="6">
        <v>0</v>
      </c>
      <c r="V522" s="7">
        <v>45040</v>
      </c>
      <c r="W522" s="7" t="s">
        <v>3790</v>
      </c>
      <c r="X522" s="7">
        <v>45176</v>
      </c>
      <c r="Y522" s="5" t="s">
        <v>4022</v>
      </c>
      <c r="Z522" s="5" t="s">
        <v>3790</v>
      </c>
      <c r="AA522" s="6">
        <v>0</v>
      </c>
      <c r="AB522" s="7" t="s">
        <v>7600</v>
      </c>
      <c r="AC522" s="7" t="str">
        <f>A522&amp;COUNTIF($A$2:A522,A522)</f>
        <v>110SW775-62002</v>
      </c>
      <c r="AD522" s="7">
        <v>44916</v>
      </c>
      <c r="AE522" s="7">
        <v>45040</v>
      </c>
      <c r="AF522" s="7">
        <v>45047</v>
      </c>
      <c r="AG522" s="5">
        <v>70</v>
      </c>
      <c r="AH522" s="5">
        <v>7</v>
      </c>
      <c r="AI522" s="5">
        <v>14</v>
      </c>
      <c r="AJ522" s="5">
        <v>20000</v>
      </c>
      <c r="AK522" s="5" t="str">
        <f t="shared" ca="1" si="8"/>
        <v>within range</v>
      </c>
    </row>
    <row r="523" spans="1:37">
      <c r="A523" s="32" t="s">
        <v>2826</v>
      </c>
      <c r="B523" s="32">
        <v>6885</v>
      </c>
      <c r="C523" s="32" t="s">
        <v>3668</v>
      </c>
      <c r="F523" s="32" t="s">
        <v>3661</v>
      </c>
      <c r="G523" s="34">
        <v>1000</v>
      </c>
      <c r="H523" s="7">
        <v>44876</v>
      </c>
      <c r="I523" s="32" t="s">
        <v>5974</v>
      </c>
      <c r="J523" s="34">
        <v>961</v>
      </c>
      <c r="K523" s="7">
        <v>44941</v>
      </c>
      <c r="N523" s="32">
        <v>3</v>
      </c>
      <c r="O523" s="36">
        <v>6.86</v>
      </c>
      <c r="Q523" s="5" t="s">
        <v>3662</v>
      </c>
      <c r="R523" s="5" t="s">
        <v>4167</v>
      </c>
      <c r="S523" s="6">
        <v>0</v>
      </c>
      <c r="T523" s="6">
        <v>0</v>
      </c>
      <c r="U523" s="6">
        <v>961</v>
      </c>
      <c r="V523" s="7">
        <v>44876</v>
      </c>
      <c r="W523" s="7">
        <v>44941</v>
      </c>
      <c r="X523" s="7" t="s">
        <v>3790</v>
      </c>
      <c r="Y523" s="5" t="s">
        <v>4022</v>
      </c>
      <c r="Z523" s="5" t="s">
        <v>3790</v>
      </c>
      <c r="AA523" s="6">
        <v>0</v>
      </c>
      <c r="AB523" s="7" t="s">
        <v>4379</v>
      </c>
      <c r="AC523" s="7" t="str">
        <f>A523&amp;COUNTIF($A$2:A523,A523)</f>
        <v>110TM201-50001</v>
      </c>
      <c r="AD523" s="7">
        <v>44533</v>
      </c>
      <c r="AE523" s="7">
        <v>44941</v>
      </c>
      <c r="AF523" s="7">
        <v>44955</v>
      </c>
      <c r="AG523" s="5">
        <v>154</v>
      </c>
      <c r="AH523" s="5">
        <v>70</v>
      </c>
      <c r="AI523" s="5">
        <v>14</v>
      </c>
      <c r="AJ523" s="5">
        <v>1000</v>
      </c>
      <c r="AK523" s="5" t="str">
        <f t="shared" ca="1" si="8"/>
        <v>run complete</v>
      </c>
    </row>
    <row r="524" spans="1:37">
      <c r="A524" s="32" t="s">
        <v>2829</v>
      </c>
      <c r="B524" s="32">
        <v>6885</v>
      </c>
      <c r="C524" s="32" t="s">
        <v>3668</v>
      </c>
      <c r="D524" s="32" t="s">
        <v>3663</v>
      </c>
      <c r="F524" s="32" t="s">
        <v>3661</v>
      </c>
      <c r="G524" s="34">
        <v>1500</v>
      </c>
      <c r="H524" s="7">
        <v>44876</v>
      </c>
      <c r="I524" s="32" t="s">
        <v>5974</v>
      </c>
      <c r="J524" s="34">
        <v>1031</v>
      </c>
      <c r="K524" s="7">
        <v>44941</v>
      </c>
      <c r="N524" s="32">
        <v>3</v>
      </c>
      <c r="O524" s="36">
        <v>6.86</v>
      </c>
      <c r="P524" s="32" t="s">
        <v>6380</v>
      </c>
      <c r="Q524" s="5" t="s">
        <v>3662</v>
      </c>
      <c r="R524" s="5" t="s">
        <v>4167</v>
      </c>
      <c r="S524" s="6">
        <v>0</v>
      </c>
      <c r="T524" s="6">
        <v>0</v>
      </c>
      <c r="U524" s="6">
        <v>1031</v>
      </c>
      <c r="V524" s="7">
        <v>44876</v>
      </c>
      <c r="W524" s="7">
        <v>44941</v>
      </c>
      <c r="X524" s="7" t="s">
        <v>3790</v>
      </c>
      <c r="Y524" s="5" t="s">
        <v>4022</v>
      </c>
      <c r="Z524" s="5" t="s">
        <v>3790</v>
      </c>
      <c r="AA524" s="6">
        <v>0</v>
      </c>
      <c r="AB524" s="7" t="s">
        <v>4380</v>
      </c>
      <c r="AC524" s="7" t="str">
        <f>A524&amp;COUNTIF($A$2:A524,A524)</f>
        <v>110TM201-62001</v>
      </c>
      <c r="AD524" s="7">
        <v>44533</v>
      </c>
      <c r="AE524" s="7">
        <v>44941</v>
      </c>
      <c r="AF524" s="7">
        <v>44955</v>
      </c>
      <c r="AG524" s="5">
        <v>154</v>
      </c>
      <c r="AH524" s="5">
        <v>70</v>
      </c>
      <c r="AI524" s="5">
        <v>14</v>
      </c>
      <c r="AJ524" s="5">
        <v>1500</v>
      </c>
      <c r="AK524" s="5" t="str">
        <f t="shared" ca="1" si="8"/>
        <v>run complete</v>
      </c>
    </row>
    <row r="525" spans="1:37">
      <c r="A525" s="32" t="s">
        <v>3669</v>
      </c>
      <c r="B525" s="32">
        <v>7036</v>
      </c>
      <c r="C525" s="32" t="s">
        <v>3670</v>
      </c>
      <c r="F525" s="32" t="s">
        <v>3661</v>
      </c>
      <c r="G525" s="34">
        <v>500</v>
      </c>
      <c r="N525" s="32">
        <v>3</v>
      </c>
      <c r="O525" s="36">
        <v>6.86</v>
      </c>
      <c r="P525" s="32" t="s">
        <v>7540</v>
      </c>
      <c r="Q525" s="5" t="s">
        <v>3662</v>
      </c>
      <c r="R525" s="5" t="s">
        <v>4381</v>
      </c>
      <c r="S525" s="6">
        <v>0</v>
      </c>
      <c r="T525" s="6">
        <v>0</v>
      </c>
      <c r="U525" s="6">
        <v>0</v>
      </c>
      <c r="V525" s="7" t="s">
        <v>3790</v>
      </c>
      <c r="W525" s="7" t="s">
        <v>3790</v>
      </c>
      <c r="X525" s="7" t="s">
        <v>3790</v>
      </c>
      <c r="Y525" s="5" t="s">
        <v>4022</v>
      </c>
      <c r="Z525" s="5" t="s">
        <v>3790</v>
      </c>
      <c r="AA525" s="6">
        <v>0</v>
      </c>
      <c r="AB525" s="7" t="s">
        <v>4382</v>
      </c>
      <c r="AC525" s="7" t="str">
        <f>A525&amp;COUNTIF($A$2:A525,A525)</f>
        <v>110TQ201-50001</v>
      </c>
      <c r="AD525" s="7">
        <v>44718</v>
      </c>
      <c r="AE525" s="7">
        <v>44718</v>
      </c>
      <c r="AF525" s="7">
        <v>44872</v>
      </c>
      <c r="AG525" s="5">
        <v>154</v>
      </c>
      <c r="AH525" s="5">
        <v>70</v>
      </c>
      <c r="AI525" s="5">
        <v>0</v>
      </c>
      <c r="AJ525" s="5">
        <v>500</v>
      </c>
      <c r="AK525" s="5" t="str">
        <f t="shared" ca="1" si="8"/>
        <v>within range</v>
      </c>
    </row>
    <row r="526" spans="1:37">
      <c r="A526" s="32" t="s">
        <v>2834</v>
      </c>
      <c r="B526" s="32">
        <v>7036</v>
      </c>
      <c r="C526" s="32" t="s">
        <v>3670</v>
      </c>
      <c r="D526" s="32" t="s">
        <v>3663</v>
      </c>
      <c r="F526" s="32" t="s">
        <v>3661</v>
      </c>
      <c r="G526" s="34">
        <v>2000</v>
      </c>
      <c r="H526" s="7">
        <v>44863</v>
      </c>
      <c r="I526" s="32" t="s">
        <v>3658</v>
      </c>
      <c r="J526" s="34">
        <v>1990</v>
      </c>
      <c r="K526" s="7">
        <v>44931</v>
      </c>
      <c r="N526" s="32">
        <v>3</v>
      </c>
      <c r="O526" s="36">
        <v>6.86</v>
      </c>
      <c r="Q526" s="5" t="s">
        <v>3662</v>
      </c>
      <c r="R526" s="5" t="s">
        <v>4381</v>
      </c>
      <c r="S526" s="6">
        <v>0</v>
      </c>
      <c r="T526" s="6">
        <v>0</v>
      </c>
      <c r="U526" s="6">
        <v>1990</v>
      </c>
      <c r="V526" s="7">
        <v>44863</v>
      </c>
      <c r="W526" s="7">
        <v>44931</v>
      </c>
      <c r="X526" s="7" t="s">
        <v>3790</v>
      </c>
      <c r="Y526" s="5" t="s">
        <v>4022</v>
      </c>
      <c r="Z526" s="5" t="s">
        <v>3790</v>
      </c>
      <c r="AA526" s="6">
        <v>0</v>
      </c>
      <c r="AB526" s="7" t="s">
        <v>4383</v>
      </c>
      <c r="AC526" s="7" t="str">
        <f>A526&amp;COUNTIF($A$2:A526,A526)</f>
        <v>110TQ201-62001</v>
      </c>
      <c r="AD526" s="7">
        <v>44718</v>
      </c>
      <c r="AE526" s="7">
        <v>44931</v>
      </c>
      <c r="AF526" s="7">
        <v>44931</v>
      </c>
      <c r="AG526" s="5">
        <v>154</v>
      </c>
      <c r="AH526" s="5">
        <v>70</v>
      </c>
      <c r="AI526" s="5">
        <v>0</v>
      </c>
      <c r="AJ526" s="5">
        <v>2000</v>
      </c>
      <c r="AK526" s="5" t="str">
        <f t="shared" ca="1" si="8"/>
        <v>run complete</v>
      </c>
    </row>
    <row r="527" spans="1:37">
      <c r="A527" s="32" t="s">
        <v>2837</v>
      </c>
      <c r="B527" s="32">
        <v>7194</v>
      </c>
      <c r="C527" s="32" t="s">
        <v>6055</v>
      </c>
      <c r="F527" s="32" t="s">
        <v>3661</v>
      </c>
      <c r="G527" s="34">
        <v>500</v>
      </c>
      <c r="H527" s="7">
        <v>44900</v>
      </c>
      <c r="I527" s="32" t="s">
        <v>3658</v>
      </c>
      <c r="J527" s="34">
        <v>621</v>
      </c>
      <c r="K527" s="7">
        <v>44967</v>
      </c>
      <c r="M527" s="34">
        <v>121</v>
      </c>
      <c r="N527" s="32">
        <v>3</v>
      </c>
      <c r="O527" s="36">
        <v>6.86</v>
      </c>
      <c r="Q527" s="5" t="s">
        <v>3662</v>
      </c>
      <c r="R527" s="5" t="s">
        <v>6056</v>
      </c>
      <c r="S527" s="6">
        <v>0</v>
      </c>
      <c r="T527" s="6">
        <v>-121</v>
      </c>
      <c r="U527" s="6">
        <v>621</v>
      </c>
      <c r="V527" s="7">
        <v>44900</v>
      </c>
      <c r="W527" s="7">
        <v>44967</v>
      </c>
      <c r="X527" s="7" t="s">
        <v>3790</v>
      </c>
      <c r="Y527" s="5" t="s">
        <v>4022</v>
      </c>
      <c r="Z527" s="5" t="s">
        <v>3790</v>
      </c>
      <c r="AA527" s="6">
        <v>-121</v>
      </c>
      <c r="AB527" s="7" t="s">
        <v>6057</v>
      </c>
      <c r="AC527" s="7" t="str">
        <f>A527&amp;COUNTIF($A$2:A527,A527)</f>
        <v>110TQ601-50001</v>
      </c>
      <c r="AD527" s="7">
        <v>44860</v>
      </c>
      <c r="AE527" s="7">
        <v>44967</v>
      </c>
      <c r="AF527" s="7">
        <v>44981</v>
      </c>
      <c r="AG527" s="5">
        <v>154</v>
      </c>
      <c r="AH527" s="5">
        <v>70</v>
      </c>
      <c r="AI527" s="5">
        <v>14</v>
      </c>
      <c r="AJ527" s="5">
        <v>500</v>
      </c>
      <c r="AK527" s="5" t="str">
        <f t="shared" ca="1" si="8"/>
        <v>run complete</v>
      </c>
    </row>
    <row r="528" spans="1:37">
      <c r="A528" s="32" t="s">
        <v>2839</v>
      </c>
      <c r="B528" s="32">
        <v>7194</v>
      </c>
      <c r="C528" s="32" t="s">
        <v>6055</v>
      </c>
      <c r="D528" s="32" t="s">
        <v>3663</v>
      </c>
      <c r="F528" s="32" t="s">
        <v>3661</v>
      </c>
      <c r="G528" s="34">
        <v>2000</v>
      </c>
      <c r="H528" s="7">
        <v>44900</v>
      </c>
      <c r="I528" s="32" t="s">
        <v>3658</v>
      </c>
      <c r="J528" s="34">
        <v>2066</v>
      </c>
      <c r="K528" s="7">
        <v>44967</v>
      </c>
      <c r="M528" s="34">
        <v>66</v>
      </c>
      <c r="N528" s="32">
        <v>3</v>
      </c>
      <c r="O528" s="36">
        <v>6.86</v>
      </c>
      <c r="Q528" s="5" t="s">
        <v>3662</v>
      </c>
      <c r="R528" s="5" t="s">
        <v>6056</v>
      </c>
      <c r="S528" s="6">
        <v>0</v>
      </c>
      <c r="T528" s="6">
        <v>-66</v>
      </c>
      <c r="U528" s="6">
        <v>2066</v>
      </c>
      <c r="V528" s="7">
        <v>44900</v>
      </c>
      <c r="W528" s="7">
        <v>44967</v>
      </c>
      <c r="X528" s="7" t="s">
        <v>3790</v>
      </c>
      <c r="Y528" s="5" t="s">
        <v>4022</v>
      </c>
      <c r="Z528" s="5" t="s">
        <v>3790</v>
      </c>
      <c r="AA528" s="6">
        <v>-66</v>
      </c>
      <c r="AB528" s="7" t="s">
        <v>6058</v>
      </c>
      <c r="AC528" s="7" t="str">
        <f>A528&amp;COUNTIF($A$2:A528,A528)</f>
        <v>110TQ601-62001</v>
      </c>
      <c r="AD528" s="7">
        <v>44860</v>
      </c>
      <c r="AE528" s="7">
        <v>44967</v>
      </c>
      <c r="AF528" s="7">
        <v>44981</v>
      </c>
      <c r="AG528" s="5">
        <v>154</v>
      </c>
      <c r="AH528" s="5">
        <v>70</v>
      </c>
      <c r="AI528" s="5">
        <v>14</v>
      </c>
      <c r="AJ528" s="5">
        <v>2000</v>
      </c>
      <c r="AK528" s="5" t="str">
        <f t="shared" ca="1" si="8"/>
        <v>run complete</v>
      </c>
    </row>
    <row r="529" spans="1:37">
      <c r="A529" s="32" t="s">
        <v>2843</v>
      </c>
      <c r="B529" s="32" t="s">
        <v>3978</v>
      </c>
      <c r="C529" s="32" t="s">
        <v>3980</v>
      </c>
      <c r="D529" s="32" t="s">
        <v>3701</v>
      </c>
      <c r="E529" s="34">
        <v>0</v>
      </c>
      <c r="F529" s="32" t="s">
        <v>3701</v>
      </c>
      <c r="G529" s="34">
        <v>3000</v>
      </c>
      <c r="H529" s="7">
        <v>45021</v>
      </c>
      <c r="I529" s="32" t="s">
        <v>3790</v>
      </c>
      <c r="J529" s="34">
        <v>0</v>
      </c>
      <c r="M529" s="34">
        <v>0</v>
      </c>
      <c r="N529" s="32" t="s">
        <v>3528</v>
      </c>
      <c r="O529" s="36">
        <v>4.63</v>
      </c>
      <c r="P529" s="32" t="s">
        <v>3701</v>
      </c>
      <c r="Q529" s="5" t="s">
        <v>3911</v>
      </c>
      <c r="R529" s="5" t="s">
        <v>3978</v>
      </c>
      <c r="S529" s="6">
        <v>0</v>
      </c>
      <c r="T529" s="6">
        <v>0</v>
      </c>
      <c r="U529" s="6">
        <v>0</v>
      </c>
      <c r="V529" s="7">
        <v>45021</v>
      </c>
      <c r="W529" s="7" t="s">
        <v>3790</v>
      </c>
      <c r="X529" s="7" t="s">
        <v>3790</v>
      </c>
      <c r="Y529" s="5" t="s">
        <v>4022</v>
      </c>
      <c r="Z529" s="5" t="s">
        <v>3790</v>
      </c>
      <c r="AA529" s="6">
        <v>0</v>
      </c>
      <c r="AB529" s="7" t="s">
        <v>4384</v>
      </c>
      <c r="AC529" s="7" t="str">
        <f>A529&amp;COUNTIF($A$2:A529,A529)</f>
        <v>110VA201-62001</v>
      </c>
      <c r="AD529" s="7">
        <v>44796</v>
      </c>
      <c r="AE529" s="7">
        <v>45021</v>
      </c>
      <c r="AF529" s="7">
        <v>45035</v>
      </c>
      <c r="AG529" s="5">
        <v>196</v>
      </c>
      <c r="AH529" s="5">
        <v>14</v>
      </c>
      <c r="AI529" s="5">
        <v>14</v>
      </c>
      <c r="AJ529" s="5">
        <v>3000</v>
      </c>
      <c r="AK529" s="5" t="str">
        <f t="shared" ca="1" si="8"/>
        <v>within range</v>
      </c>
    </row>
    <row r="530" spans="1:37">
      <c r="A530" s="32" t="s">
        <v>2844</v>
      </c>
      <c r="B530" s="32" t="s">
        <v>6171</v>
      </c>
      <c r="C530" s="32" t="s">
        <v>3954</v>
      </c>
      <c r="D530" s="32" t="s">
        <v>3701</v>
      </c>
      <c r="E530" s="34">
        <v>0</v>
      </c>
      <c r="F530" s="32" t="s">
        <v>3701</v>
      </c>
      <c r="G530" s="34">
        <v>1400</v>
      </c>
      <c r="H530" s="7">
        <v>45069</v>
      </c>
      <c r="I530" s="32" t="s">
        <v>3790</v>
      </c>
      <c r="J530" s="34">
        <v>0</v>
      </c>
      <c r="M530" s="34">
        <v>0</v>
      </c>
      <c r="N530" s="32" t="s">
        <v>3528</v>
      </c>
      <c r="O530" s="36">
        <v>4.63</v>
      </c>
      <c r="P530" s="32" t="s">
        <v>3701</v>
      </c>
      <c r="Q530" s="5" t="s">
        <v>3911</v>
      </c>
      <c r="R530" s="5" t="s">
        <v>6171</v>
      </c>
      <c r="S530" s="6">
        <v>0</v>
      </c>
      <c r="T530" s="6">
        <v>0</v>
      </c>
      <c r="U530" s="6">
        <v>0</v>
      </c>
      <c r="V530" s="7">
        <v>45069</v>
      </c>
      <c r="W530" s="7" t="s">
        <v>3790</v>
      </c>
      <c r="X530" s="7" t="s">
        <v>3790</v>
      </c>
      <c r="Y530" s="5" t="s">
        <v>4022</v>
      </c>
      <c r="Z530" s="5" t="s">
        <v>3790</v>
      </c>
      <c r="AA530" s="6">
        <v>0</v>
      </c>
      <c r="AB530" s="7" t="s">
        <v>6172</v>
      </c>
      <c r="AC530" s="7" t="str">
        <f>A530&amp;COUNTIF($A$2:A530,A530)</f>
        <v>110VA202-50002</v>
      </c>
      <c r="AD530" s="7">
        <v>44879</v>
      </c>
      <c r="AE530" s="7">
        <v>45069</v>
      </c>
      <c r="AF530" s="7">
        <v>45083</v>
      </c>
      <c r="AG530" s="5">
        <v>196</v>
      </c>
      <c r="AH530" s="5">
        <v>14</v>
      </c>
      <c r="AI530" s="5">
        <v>14</v>
      </c>
      <c r="AJ530" s="5">
        <v>1400</v>
      </c>
      <c r="AK530" s="5" t="str">
        <f t="shared" ca="1" si="8"/>
        <v>within range</v>
      </c>
    </row>
    <row r="531" spans="1:37">
      <c r="A531" s="32" t="s">
        <v>2846</v>
      </c>
      <c r="B531" s="32" t="s">
        <v>6171</v>
      </c>
      <c r="C531" s="32" t="s">
        <v>3955</v>
      </c>
      <c r="D531" s="32" t="s">
        <v>3701</v>
      </c>
      <c r="E531" s="34">
        <v>0</v>
      </c>
      <c r="F531" s="32" t="s">
        <v>3701</v>
      </c>
      <c r="G531" s="34">
        <v>1600</v>
      </c>
      <c r="H531" s="7">
        <v>45069</v>
      </c>
      <c r="I531" s="32" t="s">
        <v>3790</v>
      </c>
      <c r="J531" s="34">
        <v>0</v>
      </c>
      <c r="M531" s="34">
        <v>0</v>
      </c>
      <c r="N531" s="32" t="s">
        <v>3528</v>
      </c>
      <c r="O531" s="36">
        <v>4.63</v>
      </c>
      <c r="P531" s="32" t="s">
        <v>3701</v>
      </c>
      <c r="Q531" s="5" t="s">
        <v>3911</v>
      </c>
      <c r="R531" s="5" t="s">
        <v>6171</v>
      </c>
      <c r="S531" s="6">
        <v>0</v>
      </c>
      <c r="T531" s="6">
        <v>0</v>
      </c>
      <c r="U531" s="6">
        <v>0</v>
      </c>
      <c r="V531" s="7">
        <v>45069</v>
      </c>
      <c r="W531" s="7" t="s">
        <v>3790</v>
      </c>
      <c r="X531" s="7" t="s">
        <v>3790</v>
      </c>
      <c r="Y531" s="5" t="s">
        <v>4022</v>
      </c>
      <c r="Z531" s="5" t="s">
        <v>3790</v>
      </c>
      <c r="AA531" s="6">
        <v>0</v>
      </c>
      <c r="AB531" s="7" t="s">
        <v>6173</v>
      </c>
      <c r="AC531" s="7" t="str">
        <f>A531&amp;COUNTIF($A$2:A531,A531)</f>
        <v>110VA202-62002</v>
      </c>
      <c r="AD531" s="7">
        <v>44879</v>
      </c>
      <c r="AE531" s="7">
        <v>45069</v>
      </c>
      <c r="AF531" s="7">
        <v>45083</v>
      </c>
      <c r="AG531" s="5">
        <v>196</v>
      </c>
      <c r="AH531" s="5">
        <v>14</v>
      </c>
      <c r="AI531" s="5">
        <v>14</v>
      </c>
      <c r="AJ531" s="5">
        <v>1600</v>
      </c>
      <c r="AK531" s="5" t="str">
        <f t="shared" ca="1" si="8"/>
        <v>within range</v>
      </c>
    </row>
    <row r="532" spans="1:37">
      <c r="A532" s="32" t="s">
        <v>2850</v>
      </c>
      <c r="B532" s="32">
        <v>7231</v>
      </c>
      <c r="C532" s="32" t="s">
        <v>7752</v>
      </c>
      <c r="G532" s="34">
        <v>3000</v>
      </c>
      <c r="H532" s="7">
        <v>45008</v>
      </c>
      <c r="N532" s="32">
        <v>6</v>
      </c>
      <c r="O532" s="36">
        <v>4.8</v>
      </c>
      <c r="P532" s="32" t="s">
        <v>7753</v>
      </c>
      <c r="Q532" s="5" t="s">
        <v>893</v>
      </c>
      <c r="R532" s="5" t="s">
        <v>7754</v>
      </c>
      <c r="S532" s="6">
        <v>0</v>
      </c>
      <c r="T532" s="6">
        <v>0</v>
      </c>
      <c r="U532" s="6">
        <v>0</v>
      </c>
      <c r="V532" s="7">
        <v>45008</v>
      </c>
      <c r="W532" s="7" t="s">
        <v>3790</v>
      </c>
      <c r="X532" s="7" t="s">
        <v>3790</v>
      </c>
      <c r="Y532" s="5" t="s">
        <v>4022</v>
      </c>
      <c r="Z532" s="5" t="s">
        <v>3790</v>
      </c>
      <c r="AA532" s="6">
        <v>0</v>
      </c>
      <c r="AB532" s="7" t="s">
        <v>7755</v>
      </c>
      <c r="AC532" s="7" t="str">
        <f>A532&amp;COUNTIF($A$2:A532,A532)</f>
        <v>110VA502-50001</v>
      </c>
      <c r="AD532" s="7">
        <v>44924</v>
      </c>
      <c r="AE532" s="7">
        <v>45008</v>
      </c>
      <c r="AF532" s="7">
        <v>45022</v>
      </c>
      <c r="AG532" s="5">
        <v>140</v>
      </c>
      <c r="AH532" s="5">
        <v>14</v>
      </c>
      <c r="AI532" s="5">
        <v>14</v>
      </c>
      <c r="AJ532" s="5">
        <v>3000</v>
      </c>
      <c r="AK532" s="5" t="str">
        <f t="shared" ca="1" si="8"/>
        <v>within range</v>
      </c>
    </row>
    <row r="533" spans="1:37">
      <c r="A533" s="32" t="s">
        <v>2856</v>
      </c>
      <c r="B533" s="32">
        <v>7216</v>
      </c>
      <c r="C533" s="32" t="s">
        <v>3781</v>
      </c>
      <c r="G533" s="34">
        <v>1800</v>
      </c>
      <c r="H533" s="7">
        <v>45036</v>
      </c>
      <c r="N533" s="32">
        <v>6</v>
      </c>
      <c r="O533" s="36">
        <v>4.8</v>
      </c>
      <c r="P533" s="32" t="s">
        <v>7756</v>
      </c>
      <c r="Q533" s="5" t="s">
        <v>893</v>
      </c>
      <c r="R533" s="5" t="s">
        <v>7741</v>
      </c>
      <c r="S533" s="6">
        <v>0</v>
      </c>
      <c r="T533" s="6">
        <v>0</v>
      </c>
      <c r="U533" s="6">
        <v>0</v>
      </c>
      <c r="V533" s="7">
        <v>45036</v>
      </c>
      <c r="W533" s="7" t="s">
        <v>3790</v>
      </c>
      <c r="X533" s="7" t="s">
        <v>3790</v>
      </c>
      <c r="Y533" s="5" t="s">
        <v>4022</v>
      </c>
      <c r="Z533" s="5" t="s">
        <v>3790</v>
      </c>
      <c r="AA533" s="6">
        <v>0</v>
      </c>
      <c r="AB533" s="7" t="s">
        <v>7757</v>
      </c>
      <c r="AC533" s="7" t="str">
        <f>A533&amp;COUNTIF($A$2:A533,A533)</f>
        <v>110VA702-50002</v>
      </c>
      <c r="AD533" s="7">
        <v>44904</v>
      </c>
      <c r="AE533" s="7">
        <v>45036</v>
      </c>
      <c r="AF533" s="7">
        <v>45050</v>
      </c>
      <c r="AG533" s="5">
        <v>140</v>
      </c>
      <c r="AH533" s="5">
        <v>14</v>
      </c>
      <c r="AI533" s="5">
        <v>14</v>
      </c>
      <c r="AJ533" s="5">
        <v>1800</v>
      </c>
      <c r="AK533" s="5" t="str">
        <f t="shared" ca="1" si="8"/>
        <v>within range</v>
      </c>
    </row>
    <row r="534" spans="1:37">
      <c r="A534" s="32" t="s">
        <v>2858</v>
      </c>
      <c r="B534" s="32">
        <v>7216</v>
      </c>
      <c r="C534" s="32" t="s">
        <v>3781</v>
      </c>
      <c r="G534" s="34">
        <v>1200</v>
      </c>
      <c r="H534" s="7">
        <v>45036</v>
      </c>
      <c r="N534" s="32">
        <v>6</v>
      </c>
      <c r="O534" s="36">
        <v>4.8</v>
      </c>
      <c r="P534" s="32" t="s">
        <v>7759</v>
      </c>
      <c r="Q534" s="5" t="s">
        <v>893</v>
      </c>
      <c r="R534" s="5" t="s">
        <v>7741</v>
      </c>
      <c r="S534" s="6">
        <v>0</v>
      </c>
      <c r="T534" s="6">
        <v>0</v>
      </c>
      <c r="U534" s="6">
        <v>0</v>
      </c>
      <c r="V534" s="7">
        <v>45036</v>
      </c>
      <c r="W534" s="7" t="s">
        <v>3790</v>
      </c>
      <c r="X534" s="7" t="s">
        <v>3790</v>
      </c>
      <c r="Y534" s="5" t="s">
        <v>4022</v>
      </c>
      <c r="Z534" s="5" t="s">
        <v>3790</v>
      </c>
      <c r="AA534" s="6">
        <v>0</v>
      </c>
      <c r="AB534" s="7" t="s">
        <v>7760</v>
      </c>
      <c r="AC534" s="7" t="str">
        <f>A534&amp;COUNTIF($A$2:A534,A534)</f>
        <v>110VA702-62002</v>
      </c>
      <c r="AD534" s="7">
        <v>44904</v>
      </c>
      <c r="AE534" s="7">
        <v>45036</v>
      </c>
      <c r="AF534" s="7">
        <v>45050</v>
      </c>
      <c r="AG534" s="5">
        <v>140</v>
      </c>
      <c r="AH534" s="5">
        <v>14</v>
      </c>
      <c r="AI534" s="5">
        <v>14</v>
      </c>
      <c r="AJ534" s="5">
        <v>1200</v>
      </c>
      <c r="AK534" s="5" t="str">
        <f t="shared" ca="1" si="8"/>
        <v>within range</v>
      </c>
    </row>
    <row r="535" spans="1:37">
      <c r="A535" s="32" t="s">
        <v>2870</v>
      </c>
      <c r="B535" s="32" t="s">
        <v>3930</v>
      </c>
      <c r="C535" s="32" t="s">
        <v>3932</v>
      </c>
      <c r="D535" s="32" t="s">
        <v>3701</v>
      </c>
      <c r="E535" s="34">
        <v>0</v>
      </c>
      <c r="F535" s="32" t="s">
        <v>3701</v>
      </c>
      <c r="G535" s="34">
        <v>1200</v>
      </c>
      <c r="H535" s="7">
        <v>44978</v>
      </c>
      <c r="I535" s="32" t="s">
        <v>3790</v>
      </c>
      <c r="J535" s="34">
        <v>0</v>
      </c>
      <c r="M535" s="34">
        <v>0</v>
      </c>
      <c r="N535" s="32" t="s">
        <v>3528</v>
      </c>
      <c r="O535" s="36">
        <v>6.1400000000000006</v>
      </c>
      <c r="P535" s="32" t="s">
        <v>3701</v>
      </c>
      <c r="Q535" s="5" t="s">
        <v>3911</v>
      </c>
      <c r="R535" s="5" t="s">
        <v>3930</v>
      </c>
      <c r="S535" s="6">
        <v>0</v>
      </c>
      <c r="T535" s="6">
        <v>0</v>
      </c>
      <c r="U535" s="6">
        <v>0</v>
      </c>
      <c r="V535" s="7">
        <v>44978</v>
      </c>
      <c r="W535" s="7" t="s">
        <v>3790</v>
      </c>
      <c r="X535" s="7" t="s">
        <v>3790</v>
      </c>
      <c r="Y535" s="5" t="s">
        <v>4022</v>
      </c>
      <c r="Z535" s="5" t="s">
        <v>3790</v>
      </c>
      <c r="AA535" s="6">
        <v>0</v>
      </c>
      <c r="AB535" s="7" t="s">
        <v>4390</v>
      </c>
      <c r="AC535" s="7" t="str">
        <f>A535&amp;COUNTIF($A$2:A535,A535)</f>
        <v>110VS502-50001</v>
      </c>
      <c r="AD535" s="7">
        <v>44599</v>
      </c>
      <c r="AE535" s="7">
        <v>44978</v>
      </c>
      <c r="AF535" s="7">
        <v>44992</v>
      </c>
      <c r="AG535" s="5">
        <v>196</v>
      </c>
      <c r="AH535" s="5">
        <v>14</v>
      </c>
      <c r="AI535" s="5">
        <v>14</v>
      </c>
      <c r="AJ535" s="5">
        <v>1200</v>
      </c>
      <c r="AK535" s="5" t="str">
        <f t="shared" ca="1" si="8"/>
        <v>within range</v>
      </c>
    </row>
    <row r="536" spans="1:37">
      <c r="A536" s="32" t="s">
        <v>2873</v>
      </c>
      <c r="B536" s="32" t="s">
        <v>3930</v>
      </c>
      <c r="C536" s="32" t="s">
        <v>3933</v>
      </c>
      <c r="D536" s="32" t="s">
        <v>3701</v>
      </c>
      <c r="E536" s="34">
        <v>0</v>
      </c>
      <c r="F536" s="32" t="s">
        <v>3701</v>
      </c>
      <c r="G536" s="34">
        <v>500</v>
      </c>
      <c r="H536" s="7">
        <v>44978</v>
      </c>
      <c r="I536" s="32" t="s">
        <v>3790</v>
      </c>
      <c r="J536" s="34">
        <v>0</v>
      </c>
      <c r="M536" s="34">
        <v>0</v>
      </c>
      <c r="N536" s="32" t="s">
        <v>3528</v>
      </c>
      <c r="O536" s="36">
        <v>6.1400000000000006</v>
      </c>
      <c r="P536" s="32" t="s">
        <v>3701</v>
      </c>
      <c r="Q536" s="5" t="s">
        <v>3911</v>
      </c>
      <c r="R536" s="5" t="s">
        <v>3930</v>
      </c>
      <c r="S536" s="6">
        <v>0</v>
      </c>
      <c r="T536" s="6">
        <v>0</v>
      </c>
      <c r="U536" s="6">
        <v>0</v>
      </c>
      <c r="V536" s="7">
        <v>44978</v>
      </c>
      <c r="W536" s="7" t="s">
        <v>3790</v>
      </c>
      <c r="X536" s="7" t="s">
        <v>3790</v>
      </c>
      <c r="Y536" s="5" t="s">
        <v>4022</v>
      </c>
      <c r="Z536" s="5" t="s">
        <v>3790</v>
      </c>
      <c r="AA536" s="6">
        <v>0</v>
      </c>
      <c r="AB536" s="7" t="s">
        <v>4391</v>
      </c>
      <c r="AC536" s="7" t="str">
        <f>A536&amp;COUNTIF($A$2:A536,A536)</f>
        <v>110VS502-62001</v>
      </c>
      <c r="AD536" s="7">
        <v>44599</v>
      </c>
      <c r="AE536" s="7">
        <v>44978</v>
      </c>
      <c r="AF536" s="7">
        <v>44992</v>
      </c>
      <c r="AG536" s="5">
        <v>196</v>
      </c>
      <c r="AH536" s="5">
        <v>14</v>
      </c>
      <c r="AI536" s="5">
        <v>14</v>
      </c>
      <c r="AJ536" s="5">
        <v>500</v>
      </c>
      <c r="AK536" s="5" t="str">
        <f t="shared" ca="1" si="8"/>
        <v>within range</v>
      </c>
    </row>
    <row r="537" spans="1:37">
      <c r="A537" s="32" t="s">
        <v>2907</v>
      </c>
      <c r="B537" s="32" t="s">
        <v>3962</v>
      </c>
      <c r="C537" s="32" t="s">
        <v>3966</v>
      </c>
      <c r="D537" s="32" t="s">
        <v>3701</v>
      </c>
      <c r="E537" s="34">
        <v>0</v>
      </c>
      <c r="F537" s="32" t="s">
        <v>3701</v>
      </c>
      <c r="G537" s="34">
        <v>2500</v>
      </c>
      <c r="H537" s="7">
        <v>44942</v>
      </c>
      <c r="I537" s="32" t="s">
        <v>3790</v>
      </c>
      <c r="J537" s="34">
        <v>0</v>
      </c>
      <c r="M537" s="34">
        <v>0</v>
      </c>
      <c r="N537" s="32" t="s">
        <v>3528</v>
      </c>
      <c r="O537" s="36">
        <v>4.63</v>
      </c>
      <c r="P537" s="32" t="s">
        <v>3701</v>
      </c>
      <c r="Q537" s="5" t="s">
        <v>3911</v>
      </c>
      <c r="R537" s="5" t="s">
        <v>3962</v>
      </c>
      <c r="S537" s="6">
        <v>0</v>
      </c>
      <c r="T537" s="6">
        <v>0</v>
      </c>
      <c r="U537" s="6">
        <v>0</v>
      </c>
      <c r="V537" s="7">
        <v>44942</v>
      </c>
      <c r="W537" s="7" t="s">
        <v>3790</v>
      </c>
      <c r="X537" s="7" t="s">
        <v>3790</v>
      </c>
      <c r="Y537" s="5" t="s">
        <v>4022</v>
      </c>
      <c r="Z537" s="5" t="s">
        <v>3790</v>
      </c>
      <c r="AA537" s="6">
        <v>0</v>
      </c>
      <c r="AB537" s="7" t="s">
        <v>4394</v>
      </c>
      <c r="AC537" s="7" t="str">
        <f>A537&amp;COUNTIF($A$2:A537,A537)</f>
        <v>110WC013-50001</v>
      </c>
      <c r="AD537" s="7">
        <v>44761</v>
      </c>
      <c r="AE537" s="7">
        <v>44942</v>
      </c>
      <c r="AF537" s="7">
        <v>44956</v>
      </c>
      <c r="AG537" s="5">
        <v>196</v>
      </c>
      <c r="AH537" s="5">
        <v>14</v>
      </c>
      <c r="AI537" s="5">
        <v>14</v>
      </c>
      <c r="AJ537" s="5">
        <v>2500</v>
      </c>
      <c r="AK537" s="5" t="str">
        <f t="shared" ca="1" si="8"/>
        <v>within range</v>
      </c>
    </row>
    <row r="538" spans="1:37">
      <c r="A538" s="32" t="s">
        <v>2910</v>
      </c>
      <c r="B538" s="32" t="s">
        <v>3962</v>
      </c>
      <c r="C538" s="32" t="s">
        <v>3927</v>
      </c>
      <c r="D538" s="32" t="s">
        <v>3701</v>
      </c>
      <c r="E538" s="34">
        <v>0</v>
      </c>
      <c r="F538" s="32" t="s">
        <v>3701</v>
      </c>
      <c r="G538" s="34">
        <v>500</v>
      </c>
      <c r="H538" s="7">
        <v>44943</v>
      </c>
      <c r="I538" s="32" t="s">
        <v>3790</v>
      </c>
      <c r="J538" s="34">
        <v>0</v>
      </c>
      <c r="M538" s="34">
        <v>0</v>
      </c>
      <c r="N538" s="32" t="s">
        <v>3528</v>
      </c>
      <c r="O538" s="36">
        <v>4.63</v>
      </c>
      <c r="P538" s="32" t="s">
        <v>3701</v>
      </c>
      <c r="Q538" s="5" t="s">
        <v>3911</v>
      </c>
      <c r="R538" s="5" t="s">
        <v>3962</v>
      </c>
      <c r="S538" s="6">
        <v>0</v>
      </c>
      <c r="T538" s="6">
        <v>0</v>
      </c>
      <c r="U538" s="6">
        <v>0</v>
      </c>
      <c r="V538" s="7">
        <v>44943</v>
      </c>
      <c r="W538" s="7" t="s">
        <v>3790</v>
      </c>
      <c r="X538" s="7" t="s">
        <v>3790</v>
      </c>
      <c r="Y538" s="5" t="s">
        <v>4022</v>
      </c>
      <c r="Z538" s="5" t="s">
        <v>3790</v>
      </c>
      <c r="AA538" s="6">
        <v>0</v>
      </c>
      <c r="AB538" s="7" t="s">
        <v>4395</v>
      </c>
      <c r="AC538" s="7" t="str">
        <f>A538&amp;COUNTIF($A$2:A538,A538)</f>
        <v>110WC013-62001</v>
      </c>
      <c r="AD538" s="7">
        <v>44761</v>
      </c>
      <c r="AE538" s="7">
        <v>44943</v>
      </c>
      <c r="AF538" s="7">
        <v>44957</v>
      </c>
      <c r="AG538" s="5">
        <v>196</v>
      </c>
      <c r="AH538" s="5">
        <v>14</v>
      </c>
      <c r="AI538" s="5">
        <v>14</v>
      </c>
      <c r="AJ538" s="5">
        <v>500</v>
      </c>
      <c r="AK538" s="5" t="str">
        <f t="shared" ca="1" si="8"/>
        <v>within range</v>
      </c>
    </row>
    <row r="539" spans="1:37">
      <c r="A539" s="32" t="s">
        <v>2916</v>
      </c>
      <c r="B539" s="32" t="s">
        <v>3962</v>
      </c>
      <c r="C539" s="32" t="s">
        <v>3967</v>
      </c>
      <c r="D539" s="32" t="s">
        <v>3663</v>
      </c>
      <c r="E539" s="34">
        <v>0</v>
      </c>
      <c r="F539" s="32" t="s">
        <v>3701</v>
      </c>
      <c r="G539" s="34">
        <v>3000</v>
      </c>
      <c r="H539" s="7">
        <v>44977</v>
      </c>
      <c r="I539" s="32" t="s">
        <v>3790</v>
      </c>
      <c r="J539" s="34">
        <v>0</v>
      </c>
      <c r="M539" s="34">
        <v>0</v>
      </c>
      <c r="N539" s="32" t="s">
        <v>3528</v>
      </c>
      <c r="O539" s="36">
        <v>4.63</v>
      </c>
      <c r="P539" s="32" t="s">
        <v>3701</v>
      </c>
      <c r="Q539" s="5" t="s">
        <v>3911</v>
      </c>
      <c r="R539" s="5" t="s">
        <v>3962</v>
      </c>
      <c r="S539" s="6">
        <v>0</v>
      </c>
      <c r="T539" s="6">
        <v>0</v>
      </c>
      <c r="U539" s="6">
        <v>0</v>
      </c>
      <c r="V539" s="7">
        <v>44977</v>
      </c>
      <c r="W539" s="7" t="s">
        <v>3790</v>
      </c>
      <c r="X539" s="7" t="s">
        <v>3790</v>
      </c>
      <c r="Y539" s="5" t="s">
        <v>4022</v>
      </c>
      <c r="Z539" s="5" t="s">
        <v>3790</v>
      </c>
      <c r="AA539" s="6">
        <v>0</v>
      </c>
      <c r="AB539" s="7" t="s">
        <v>4396</v>
      </c>
      <c r="AC539" s="7" t="str">
        <f>A539&amp;COUNTIF($A$2:A539,A539)</f>
        <v>110WC022-62001</v>
      </c>
      <c r="AD539" s="7">
        <v>44761</v>
      </c>
      <c r="AE539" s="7">
        <v>44977</v>
      </c>
      <c r="AF539" s="7">
        <v>44991</v>
      </c>
      <c r="AG539" s="5">
        <v>196</v>
      </c>
      <c r="AH539" s="5">
        <v>14</v>
      </c>
      <c r="AI539" s="5">
        <v>14</v>
      </c>
      <c r="AJ539" s="5">
        <v>3000</v>
      </c>
      <c r="AK539" s="5" t="str">
        <f t="shared" ca="1" si="8"/>
        <v>within range</v>
      </c>
    </row>
    <row r="540" spans="1:37">
      <c r="A540" s="32" t="s">
        <v>2918</v>
      </c>
      <c r="B540" s="32" t="s">
        <v>5384</v>
      </c>
      <c r="C540" s="32" t="s">
        <v>3928</v>
      </c>
      <c r="D540" s="32" t="s">
        <v>3701</v>
      </c>
      <c r="E540" s="34">
        <v>0</v>
      </c>
      <c r="F540" s="32" t="s">
        <v>3701</v>
      </c>
      <c r="G540" s="34">
        <v>1500</v>
      </c>
      <c r="H540" s="7">
        <v>45020</v>
      </c>
      <c r="I540" s="32" t="s">
        <v>3790</v>
      </c>
      <c r="J540" s="34">
        <v>0</v>
      </c>
      <c r="M540" s="34">
        <v>0</v>
      </c>
      <c r="N540" s="32" t="s">
        <v>3528</v>
      </c>
      <c r="O540" s="36">
        <v>4.63</v>
      </c>
      <c r="P540" s="32" t="s">
        <v>3701</v>
      </c>
      <c r="Q540" s="5" t="s">
        <v>3911</v>
      </c>
      <c r="R540" s="5" t="s">
        <v>5384</v>
      </c>
      <c r="S540" s="6">
        <v>0</v>
      </c>
      <c r="T540" s="6">
        <v>0</v>
      </c>
      <c r="U540" s="6">
        <v>0</v>
      </c>
      <c r="V540" s="7">
        <v>45020</v>
      </c>
      <c r="W540" s="7" t="s">
        <v>3790</v>
      </c>
      <c r="X540" s="7" t="s">
        <v>3790</v>
      </c>
      <c r="Y540" s="5" t="s">
        <v>4022</v>
      </c>
      <c r="Z540" s="5" t="s">
        <v>3790</v>
      </c>
      <c r="AA540" s="6">
        <v>0</v>
      </c>
      <c r="AB540" s="7" t="s">
        <v>5401</v>
      </c>
      <c r="AC540" s="7" t="str">
        <f>A540&amp;COUNTIF($A$2:A540,A540)</f>
        <v>110WC038-50001</v>
      </c>
      <c r="AD540" s="7">
        <v>44833</v>
      </c>
      <c r="AE540" s="7">
        <v>45020</v>
      </c>
      <c r="AF540" s="7">
        <v>45034</v>
      </c>
      <c r="AG540" s="5">
        <v>196</v>
      </c>
      <c r="AH540" s="5">
        <v>14</v>
      </c>
      <c r="AI540" s="5">
        <v>14</v>
      </c>
      <c r="AJ540" s="5">
        <v>1500</v>
      </c>
      <c r="AK540" s="5" t="str">
        <f t="shared" ca="1" si="8"/>
        <v>within range</v>
      </c>
    </row>
    <row r="541" spans="1:37">
      <c r="A541" s="32" t="s">
        <v>2921</v>
      </c>
      <c r="B541" s="32" t="s">
        <v>5384</v>
      </c>
      <c r="C541" s="32" t="s">
        <v>3929</v>
      </c>
      <c r="D541" s="32" t="s">
        <v>3701</v>
      </c>
      <c r="E541" s="34">
        <v>0</v>
      </c>
      <c r="F541" s="32" t="s">
        <v>3701</v>
      </c>
      <c r="G541" s="34">
        <v>1500</v>
      </c>
      <c r="H541" s="7">
        <v>45021</v>
      </c>
      <c r="I541" s="32" t="s">
        <v>3790</v>
      </c>
      <c r="J541" s="34">
        <v>0</v>
      </c>
      <c r="M541" s="34">
        <v>0</v>
      </c>
      <c r="N541" s="32" t="s">
        <v>3528</v>
      </c>
      <c r="O541" s="36">
        <v>4.63</v>
      </c>
      <c r="P541" s="32" t="s">
        <v>3701</v>
      </c>
      <c r="Q541" s="5" t="s">
        <v>3911</v>
      </c>
      <c r="R541" s="5" t="s">
        <v>5384</v>
      </c>
      <c r="S541" s="6">
        <v>0</v>
      </c>
      <c r="T541" s="6">
        <v>0</v>
      </c>
      <c r="U541" s="6">
        <v>0</v>
      </c>
      <c r="V541" s="7">
        <v>45021</v>
      </c>
      <c r="W541" s="7" t="s">
        <v>3790</v>
      </c>
      <c r="X541" s="7" t="s">
        <v>3790</v>
      </c>
      <c r="Y541" s="5" t="s">
        <v>4022</v>
      </c>
      <c r="Z541" s="5" t="s">
        <v>3790</v>
      </c>
      <c r="AA541" s="6">
        <v>0</v>
      </c>
      <c r="AB541" s="7" t="s">
        <v>5402</v>
      </c>
      <c r="AC541" s="7" t="str">
        <f>A541&amp;COUNTIF($A$2:A541,A541)</f>
        <v>110WC038-62001</v>
      </c>
      <c r="AD541" s="7">
        <v>44833</v>
      </c>
      <c r="AE541" s="7">
        <v>45021</v>
      </c>
      <c r="AF541" s="7">
        <v>45035</v>
      </c>
      <c r="AG541" s="5">
        <v>196</v>
      </c>
      <c r="AH541" s="5">
        <v>14</v>
      </c>
      <c r="AI541" s="5">
        <v>14</v>
      </c>
      <c r="AJ541" s="5">
        <v>1500</v>
      </c>
      <c r="AK541" s="5" t="str">
        <f t="shared" ca="1" si="8"/>
        <v>within range</v>
      </c>
    </row>
    <row r="542" spans="1:37">
      <c r="A542" s="32" t="s">
        <v>2935</v>
      </c>
      <c r="B542" s="32" t="s">
        <v>5385</v>
      </c>
      <c r="C542" s="32" t="s">
        <v>5386</v>
      </c>
      <c r="D542" s="32" t="s">
        <v>3701</v>
      </c>
      <c r="E542" s="34">
        <v>0</v>
      </c>
      <c r="F542" s="32" t="s">
        <v>3701</v>
      </c>
      <c r="G542" s="34">
        <v>3000</v>
      </c>
      <c r="H542" s="7">
        <v>45049</v>
      </c>
      <c r="I542" s="32" t="s">
        <v>3790</v>
      </c>
      <c r="J542" s="34">
        <v>0</v>
      </c>
      <c r="M542" s="34">
        <v>0</v>
      </c>
      <c r="N542" s="32" t="s">
        <v>3528</v>
      </c>
      <c r="O542" s="36">
        <v>4.63</v>
      </c>
      <c r="P542" s="32" t="s">
        <v>3701</v>
      </c>
      <c r="Q542" s="5" t="s">
        <v>3911</v>
      </c>
      <c r="R542" s="5" t="s">
        <v>5385</v>
      </c>
      <c r="S542" s="6">
        <v>0</v>
      </c>
      <c r="T542" s="6">
        <v>0</v>
      </c>
      <c r="U542" s="6">
        <v>0</v>
      </c>
      <c r="V542" s="7">
        <v>45049</v>
      </c>
      <c r="W542" s="7" t="s">
        <v>3790</v>
      </c>
      <c r="X542" s="7" t="s">
        <v>3790</v>
      </c>
      <c r="Y542" s="5" t="s">
        <v>4022</v>
      </c>
      <c r="Z542" s="5" t="s">
        <v>3790</v>
      </c>
      <c r="AA542" s="6">
        <v>0</v>
      </c>
      <c r="AB542" s="7" t="s">
        <v>5403</v>
      </c>
      <c r="AC542" s="7" t="str">
        <f>A542&amp;COUNTIF($A$2:A542,A542)</f>
        <v>110WC301-62001</v>
      </c>
      <c r="AD542" s="7">
        <v>44812</v>
      </c>
      <c r="AE542" s="7">
        <v>45049</v>
      </c>
      <c r="AF542" s="7">
        <v>45063</v>
      </c>
      <c r="AG542" s="5">
        <v>196</v>
      </c>
      <c r="AH542" s="5">
        <v>14</v>
      </c>
      <c r="AI542" s="5">
        <v>14</v>
      </c>
      <c r="AJ542" s="5">
        <v>3000</v>
      </c>
      <c r="AK542" s="5" t="str">
        <f t="shared" ca="1" si="8"/>
        <v>within range</v>
      </c>
    </row>
    <row r="543" spans="1:37">
      <c r="A543" s="32" t="s">
        <v>2955</v>
      </c>
      <c r="B543" s="32">
        <v>7073</v>
      </c>
      <c r="C543" s="32" t="s">
        <v>3671</v>
      </c>
      <c r="F543" s="32" t="s">
        <v>3661</v>
      </c>
      <c r="G543" s="34">
        <v>1500</v>
      </c>
      <c r="H543" s="7">
        <v>44869</v>
      </c>
      <c r="I543" s="32" t="s">
        <v>3658</v>
      </c>
      <c r="J543" s="34">
        <v>1554</v>
      </c>
      <c r="K543" s="7">
        <v>44931</v>
      </c>
      <c r="M543" s="34">
        <v>54</v>
      </c>
      <c r="N543" s="32">
        <v>3</v>
      </c>
      <c r="O543" s="36">
        <v>6</v>
      </c>
      <c r="Q543" s="5" t="s">
        <v>3662</v>
      </c>
      <c r="R543" s="5" t="s">
        <v>4398</v>
      </c>
      <c r="S543" s="6">
        <v>0</v>
      </c>
      <c r="T543" s="6">
        <v>-54</v>
      </c>
      <c r="U543" s="6">
        <v>1554</v>
      </c>
      <c r="V543" s="7">
        <v>44869</v>
      </c>
      <c r="W543" s="7">
        <v>44931</v>
      </c>
      <c r="X543" s="7" t="s">
        <v>3790</v>
      </c>
      <c r="Y543" s="5" t="s">
        <v>4022</v>
      </c>
      <c r="Z543" s="5" t="s">
        <v>3790</v>
      </c>
      <c r="AA543" s="6">
        <v>-54</v>
      </c>
      <c r="AB543" s="7" t="s">
        <v>4399</v>
      </c>
      <c r="AC543" s="7" t="str">
        <f>A543&amp;COUNTIF($A$2:A543,A543)</f>
        <v>110WF002-50001</v>
      </c>
      <c r="AD543" s="7">
        <v>44750</v>
      </c>
      <c r="AE543" s="7">
        <v>44931</v>
      </c>
      <c r="AF543" s="7">
        <v>44945</v>
      </c>
      <c r="AG543" s="5">
        <v>154</v>
      </c>
      <c r="AH543" s="5">
        <v>70</v>
      </c>
      <c r="AI543" s="5">
        <v>14</v>
      </c>
      <c r="AJ543" s="5">
        <v>1500</v>
      </c>
      <c r="AK543" s="5" t="str">
        <f t="shared" ca="1" si="8"/>
        <v>run complete</v>
      </c>
    </row>
    <row r="544" spans="1:37">
      <c r="A544" s="32" t="s">
        <v>2958</v>
      </c>
      <c r="B544" s="32">
        <v>7073</v>
      </c>
      <c r="C544" s="32" t="s">
        <v>3671</v>
      </c>
      <c r="D544" s="32" t="s">
        <v>3663</v>
      </c>
      <c r="F544" s="32" t="s">
        <v>3661</v>
      </c>
      <c r="G544" s="34">
        <v>1000</v>
      </c>
      <c r="H544" s="7">
        <v>44869</v>
      </c>
      <c r="I544" s="32" t="s">
        <v>3658</v>
      </c>
      <c r="J544" s="34">
        <v>1014</v>
      </c>
      <c r="K544" s="7">
        <v>44931</v>
      </c>
      <c r="M544" s="34">
        <v>14</v>
      </c>
      <c r="N544" s="32">
        <v>3</v>
      </c>
      <c r="O544" s="36">
        <v>6</v>
      </c>
      <c r="Q544" s="5" t="s">
        <v>3662</v>
      </c>
      <c r="R544" s="5" t="s">
        <v>4398</v>
      </c>
      <c r="S544" s="6">
        <v>0</v>
      </c>
      <c r="T544" s="6">
        <v>-14</v>
      </c>
      <c r="U544" s="6">
        <v>1014</v>
      </c>
      <c r="V544" s="7">
        <v>44869</v>
      </c>
      <c r="W544" s="7">
        <v>44931</v>
      </c>
      <c r="X544" s="7" t="s">
        <v>3790</v>
      </c>
      <c r="Y544" s="5" t="s">
        <v>4022</v>
      </c>
      <c r="Z544" s="5" t="s">
        <v>3790</v>
      </c>
      <c r="AA544" s="6">
        <v>-14</v>
      </c>
      <c r="AB544" s="7" t="s">
        <v>4400</v>
      </c>
      <c r="AC544" s="7" t="str">
        <f>A544&amp;COUNTIF($A$2:A544,A544)</f>
        <v>110WF002-62001</v>
      </c>
      <c r="AD544" s="7">
        <v>44750</v>
      </c>
      <c r="AE544" s="7">
        <v>44931</v>
      </c>
      <c r="AF544" s="7">
        <v>44945</v>
      </c>
      <c r="AG544" s="5">
        <v>154</v>
      </c>
      <c r="AH544" s="5">
        <v>70</v>
      </c>
      <c r="AI544" s="5">
        <v>14</v>
      </c>
      <c r="AJ544" s="5">
        <v>1000</v>
      </c>
      <c r="AK544" s="5" t="str">
        <f t="shared" ca="1" si="8"/>
        <v>run complete</v>
      </c>
    </row>
    <row r="545" spans="1:37">
      <c r="A545" s="32" t="s">
        <v>2961</v>
      </c>
      <c r="B545" s="32" t="s">
        <v>6059</v>
      </c>
      <c r="C545" s="32" t="s">
        <v>3635</v>
      </c>
      <c r="E545" s="34" t="s">
        <v>3527</v>
      </c>
      <c r="F545" s="32" t="s">
        <v>3524</v>
      </c>
      <c r="G545" s="34" t="s">
        <v>6060</v>
      </c>
      <c r="H545" s="7" t="s">
        <v>5362</v>
      </c>
      <c r="I545" s="32" t="s">
        <v>3526</v>
      </c>
      <c r="J545" s="34" t="s">
        <v>7541</v>
      </c>
      <c r="K545" s="7" t="s">
        <v>6397</v>
      </c>
      <c r="M545" s="34" t="s">
        <v>6405</v>
      </c>
      <c r="N545" s="32" t="s">
        <v>3532</v>
      </c>
      <c r="O545" s="36" t="s">
        <v>6061</v>
      </c>
      <c r="Q545" s="5" t="s">
        <v>5428</v>
      </c>
      <c r="R545" s="5" t="s">
        <v>6059</v>
      </c>
      <c r="S545" s="6">
        <v>0</v>
      </c>
      <c r="T545" s="6">
        <v>-897</v>
      </c>
      <c r="U545" s="6">
        <v>16281</v>
      </c>
      <c r="V545" s="7">
        <v>44887</v>
      </c>
      <c r="W545" s="7">
        <v>44921</v>
      </c>
      <c r="X545" s="7" t="s">
        <v>3790</v>
      </c>
      <c r="Y545" s="5" t="s">
        <v>4022</v>
      </c>
      <c r="Z545" s="5" t="s">
        <v>3790</v>
      </c>
      <c r="AA545" s="6">
        <v>-897</v>
      </c>
      <c r="AB545" s="7" t="s">
        <v>6062</v>
      </c>
      <c r="AC545" s="7" t="str">
        <f>A545&amp;COUNTIF($A$2:A545,A545)</f>
        <v>110WF011-50002</v>
      </c>
      <c r="AD545" s="7">
        <v>44855</v>
      </c>
      <c r="AE545" s="7">
        <v>44921</v>
      </c>
      <c r="AF545" s="7">
        <v>44935</v>
      </c>
      <c r="AG545" s="5">
        <v>84</v>
      </c>
      <c r="AH545" s="5">
        <v>56</v>
      </c>
      <c r="AI545" s="5">
        <v>14</v>
      </c>
      <c r="AJ545" s="5">
        <v>15400</v>
      </c>
      <c r="AK545" s="5" t="str">
        <f t="shared" ca="1" si="8"/>
        <v>run complete</v>
      </c>
    </row>
    <row r="546" spans="1:37">
      <c r="A546" s="32" t="s">
        <v>2964</v>
      </c>
      <c r="B546" s="32">
        <v>7153</v>
      </c>
      <c r="C546" s="32" t="s">
        <v>2965</v>
      </c>
      <c r="F546" s="32" t="s">
        <v>3892</v>
      </c>
      <c r="G546" s="34">
        <v>2200</v>
      </c>
      <c r="H546" s="7">
        <v>44939</v>
      </c>
      <c r="N546" s="32">
        <v>3</v>
      </c>
      <c r="O546" s="36">
        <v>5.25</v>
      </c>
      <c r="P546" s="32">
        <v>815817</v>
      </c>
      <c r="Q546" s="5" t="s">
        <v>3893</v>
      </c>
      <c r="R546" s="5" t="s">
        <v>5539</v>
      </c>
      <c r="S546" s="6">
        <v>0</v>
      </c>
      <c r="T546" s="6">
        <v>0</v>
      </c>
      <c r="U546" s="6">
        <v>0</v>
      </c>
      <c r="V546" s="7">
        <v>44939</v>
      </c>
      <c r="W546" s="7" t="s">
        <v>3790</v>
      </c>
      <c r="X546" s="7" t="s">
        <v>3790</v>
      </c>
      <c r="Y546" s="5" t="s">
        <v>4022</v>
      </c>
      <c r="Z546" s="5" t="s">
        <v>3790</v>
      </c>
      <c r="AA546" s="6">
        <v>0</v>
      </c>
      <c r="AB546" s="7" t="s">
        <v>5540</v>
      </c>
      <c r="AC546" s="7" t="str">
        <f>A546&amp;COUNTIF($A$2:A546,A546)</f>
        <v>110WH005-50001</v>
      </c>
      <c r="AD546" s="7">
        <v>44838</v>
      </c>
      <c r="AE546" s="7">
        <v>44939</v>
      </c>
      <c r="AF546" s="7">
        <v>45002</v>
      </c>
      <c r="AG546" s="5">
        <v>98</v>
      </c>
      <c r="AH546" s="5">
        <v>63</v>
      </c>
      <c r="AI546" s="5">
        <v>14</v>
      </c>
      <c r="AJ546" s="5">
        <v>2200</v>
      </c>
      <c r="AK546" s="5" t="str">
        <f t="shared" ca="1" si="8"/>
        <v>within range</v>
      </c>
    </row>
    <row r="547" spans="1:37">
      <c r="A547" s="32" t="s">
        <v>2966</v>
      </c>
      <c r="B547" s="32">
        <v>7153</v>
      </c>
      <c r="C547" s="32" t="s">
        <v>2965</v>
      </c>
      <c r="D547" s="32" t="s">
        <v>3663</v>
      </c>
      <c r="F547" s="32" t="s">
        <v>3892</v>
      </c>
      <c r="G547" s="34">
        <v>2200</v>
      </c>
      <c r="H547" s="7">
        <v>44939</v>
      </c>
      <c r="N547" s="32">
        <v>3</v>
      </c>
      <c r="O547" s="36">
        <v>5</v>
      </c>
      <c r="P547" s="32">
        <v>815817</v>
      </c>
      <c r="Q547" s="5" t="s">
        <v>3893</v>
      </c>
      <c r="R547" s="5" t="s">
        <v>5539</v>
      </c>
      <c r="S547" s="6">
        <v>0</v>
      </c>
      <c r="T547" s="6">
        <v>0</v>
      </c>
      <c r="U547" s="6">
        <v>0</v>
      </c>
      <c r="V547" s="7">
        <v>44939</v>
      </c>
      <c r="W547" s="7" t="s">
        <v>3790</v>
      </c>
      <c r="X547" s="7" t="s">
        <v>3790</v>
      </c>
      <c r="Y547" s="5" t="s">
        <v>4022</v>
      </c>
      <c r="Z547" s="5" t="s">
        <v>3790</v>
      </c>
      <c r="AA547" s="6">
        <v>0</v>
      </c>
      <c r="AB547" s="7" t="s">
        <v>5541</v>
      </c>
      <c r="AC547" s="7" t="str">
        <f>A547&amp;COUNTIF($A$2:A547,A547)</f>
        <v>110WH005-62001</v>
      </c>
      <c r="AD547" s="7">
        <v>44838</v>
      </c>
      <c r="AE547" s="7">
        <v>44939</v>
      </c>
      <c r="AF547" s="7">
        <v>45002</v>
      </c>
      <c r="AG547" s="5">
        <v>98</v>
      </c>
      <c r="AH547" s="5">
        <v>63</v>
      </c>
      <c r="AI547" s="5">
        <v>14</v>
      </c>
      <c r="AJ547" s="5">
        <v>2200</v>
      </c>
      <c r="AK547" s="5" t="str">
        <f t="shared" ca="1" si="8"/>
        <v>within range</v>
      </c>
    </row>
    <row r="548" spans="1:37">
      <c r="A548" s="32" t="s">
        <v>2973</v>
      </c>
      <c r="B548" s="32">
        <v>7185</v>
      </c>
      <c r="C548" s="32" t="s">
        <v>2974</v>
      </c>
      <c r="F548" s="32" t="s">
        <v>3892</v>
      </c>
      <c r="G548" s="34">
        <v>3300</v>
      </c>
      <c r="H548" s="7">
        <v>44890</v>
      </c>
      <c r="I548" s="32" t="s">
        <v>3526</v>
      </c>
      <c r="J548" s="34">
        <v>3295</v>
      </c>
      <c r="N548" s="32">
        <v>3</v>
      </c>
      <c r="O548" s="36">
        <v>5.25</v>
      </c>
      <c r="P548" s="32">
        <v>817405</v>
      </c>
      <c r="Q548" s="5" t="s">
        <v>3893</v>
      </c>
      <c r="R548" s="5" t="s">
        <v>5912</v>
      </c>
      <c r="S548" s="6">
        <v>0</v>
      </c>
      <c r="T548" s="6">
        <v>0</v>
      </c>
      <c r="U548" s="6">
        <v>3295</v>
      </c>
      <c r="V548" s="7">
        <v>44890</v>
      </c>
      <c r="W548" s="7" t="s">
        <v>3790</v>
      </c>
      <c r="X548" s="7" t="s">
        <v>3790</v>
      </c>
      <c r="Y548" s="5" t="s">
        <v>4022</v>
      </c>
      <c r="Z548" s="5" t="s">
        <v>3790</v>
      </c>
      <c r="AA548" s="6">
        <v>0</v>
      </c>
      <c r="AB548" s="7" t="s">
        <v>5913</v>
      </c>
      <c r="AC548" s="7" t="str">
        <f>A548&amp;COUNTIF($A$2:A548,A548)</f>
        <v>110WK022-50001</v>
      </c>
      <c r="AD548" s="7">
        <v>44854</v>
      </c>
      <c r="AE548" s="7">
        <v>44890</v>
      </c>
      <c r="AF548" s="7">
        <v>44953</v>
      </c>
      <c r="AG548" s="5">
        <v>98</v>
      </c>
      <c r="AH548" s="5">
        <v>63</v>
      </c>
      <c r="AI548" s="5">
        <v>14</v>
      </c>
      <c r="AJ548" s="5">
        <v>3300</v>
      </c>
      <c r="AK548" s="5" t="str">
        <f t="shared" ca="1" si="8"/>
        <v>run complete</v>
      </c>
    </row>
    <row r="549" spans="1:37">
      <c r="A549" s="32" t="s">
        <v>2977</v>
      </c>
      <c r="B549" s="32">
        <v>7185</v>
      </c>
      <c r="C549" s="32" t="s">
        <v>2974</v>
      </c>
      <c r="D549" s="32" t="s">
        <v>3663</v>
      </c>
      <c r="F549" s="32" t="s">
        <v>3892</v>
      </c>
      <c r="G549" s="34">
        <v>2200</v>
      </c>
      <c r="H549" s="7">
        <v>44890</v>
      </c>
      <c r="I549" s="32" t="s">
        <v>3526</v>
      </c>
      <c r="J549" s="34">
        <v>1525</v>
      </c>
      <c r="N549" s="32">
        <v>3</v>
      </c>
      <c r="O549" s="36">
        <v>5</v>
      </c>
      <c r="P549" s="32">
        <v>817405</v>
      </c>
      <c r="Q549" s="5" t="s">
        <v>3893</v>
      </c>
      <c r="R549" s="5" t="s">
        <v>5912</v>
      </c>
      <c r="S549" s="6">
        <v>0</v>
      </c>
      <c r="T549" s="6">
        <v>0</v>
      </c>
      <c r="U549" s="6">
        <v>1525</v>
      </c>
      <c r="V549" s="7">
        <v>44890</v>
      </c>
      <c r="W549" s="7" t="s">
        <v>3790</v>
      </c>
      <c r="X549" s="7" t="s">
        <v>3790</v>
      </c>
      <c r="Y549" s="5" t="s">
        <v>4022</v>
      </c>
      <c r="Z549" s="5" t="s">
        <v>3790</v>
      </c>
      <c r="AA549" s="6">
        <v>0</v>
      </c>
      <c r="AB549" s="7" t="s">
        <v>5914</v>
      </c>
      <c r="AC549" s="7" t="str">
        <f>A549&amp;COUNTIF($A$2:A549,A549)</f>
        <v>110WK022-62001</v>
      </c>
      <c r="AD549" s="7">
        <v>44854</v>
      </c>
      <c r="AE549" s="7">
        <v>44890</v>
      </c>
      <c r="AF549" s="7">
        <v>44953</v>
      </c>
      <c r="AG549" s="5">
        <v>98</v>
      </c>
      <c r="AH549" s="5">
        <v>63</v>
      </c>
      <c r="AI549" s="5">
        <v>14</v>
      </c>
      <c r="AJ549" s="5">
        <v>2200</v>
      </c>
      <c r="AK549" s="5" t="str">
        <f t="shared" ca="1" si="8"/>
        <v>run complete</v>
      </c>
    </row>
    <row r="550" spans="1:37">
      <c r="A550" s="32" t="s">
        <v>2981</v>
      </c>
      <c r="B550" s="32">
        <v>7185</v>
      </c>
      <c r="C550" s="32" t="s">
        <v>2982</v>
      </c>
      <c r="F550" s="32" t="s">
        <v>3892</v>
      </c>
      <c r="G550" s="34">
        <v>2200</v>
      </c>
      <c r="H550" s="7">
        <v>44911</v>
      </c>
      <c r="I550" s="32" t="s">
        <v>3526</v>
      </c>
      <c r="J550" s="34">
        <v>2396</v>
      </c>
      <c r="N550" s="32">
        <v>3</v>
      </c>
      <c r="O550" s="36">
        <v>5.96</v>
      </c>
      <c r="P550" s="32">
        <v>817395</v>
      </c>
      <c r="Q550" s="5" t="s">
        <v>3893</v>
      </c>
      <c r="R550" s="5" t="s">
        <v>5912</v>
      </c>
      <c r="S550" s="6">
        <v>0</v>
      </c>
      <c r="T550" s="6">
        <v>0</v>
      </c>
      <c r="U550" s="6">
        <v>2396</v>
      </c>
      <c r="V550" s="7">
        <v>44911</v>
      </c>
      <c r="W550" s="7" t="s">
        <v>3790</v>
      </c>
      <c r="X550" s="7" t="s">
        <v>3790</v>
      </c>
      <c r="Y550" s="5" t="s">
        <v>4022</v>
      </c>
      <c r="Z550" s="5" t="s">
        <v>3790</v>
      </c>
      <c r="AA550" s="6">
        <v>0</v>
      </c>
      <c r="AB550" s="7" t="s">
        <v>5915</v>
      </c>
      <c r="AC550" s="7" t="str">
        <f>A550&amp;COUNTIF($A$2:A550,A550)</f>
        <v>110WK024-50001</v>
      </c>
      <c r="AD550" s="7">
        <v>44854</v>
      </c>
      <c r="AE550" s="7">
        <v>44911</v>
      </c>
      <c r="AF550" s="7">
        <v>44974</v>
      </c>
      <c r="AG550" s="5">
        <v>98</v>
      </c>
      <c r="AH550" s="5">
        <v>63</v>
      </c>
      <c r="AI550" s="5">
        <v>14</v>
      </c>
      <c r="AJ550" s="5">
        <v>2200</v>
      </c>
      <c r="AK550" s="5" t="str">
        <f t="shared" ca="1" si="8"/>
        <v>run complete</v>
      </c>
    </row>
    <row r="551" spans="1:37">
      <c r="A551" s="32" t="s">
        <v>2987</v>
      </c>
      <c r="B551" s="32">
        <v>7075</v>
      </c>
      <c r="C551" s="32" t="s">
        <v>2988</v>
      </c>
      <c r="E551" s="34">
        <v>1938</v>
      </c>
      <c r="G551" s="34">
        <v>2000</v>
      </c>
      <c r="H551" s="7">
        <v>44903</v>
      </c>
      <c r="I551" s="32" t="s">
        <v>3756</v>
      </c>
      <c r="L551" s="7">
        <v>45083</v>
      </c>
      <c r="N551" s="32">
        <v>6</v>
      </c>
      <c r="O551" s="36">
        <v>4.8</v>
      </c>
      <c r="P551" s="32" t="s">
        <v>3782</v>
      </c>
      <c r="Q551" s="5" t="s">
        <v>893</v>
      </c>
      <c r="R551" s="5" t="s">
        <v>4063</v>
      </c>
      <c r="S551" s="6">
        <v>1938</v>
      </c>
      <c r="T551" s="6">
        <v>1938</v>
      </c>
      <c r="U551" s="6">
        <v>0</v>
      </c>
      <c r="V551" s="7">
        <v>44903</v>
      </c>
      <c r="W551" s="7" t="s">
        <v>3790</v>
      </c>
      <c r="X551" s="7">
        <v>45083</v>
      </c>
      <c r="Y551" s="5" t="s">
        <v>4022</v>
      </c>
      <c r="Z551" s="5" t="s">
        <v>3790</v>
      </c>
      <c r="AA551" s="6">
        <v>1938</v>
      </c>
      <c r="AB551" s="7" t="s">
        <v>4409</v>
      </c>
      <c r="AC551" s="7" t="str">
        <f>A551&amp;COUNTIF($A$2:A551,A551)</f>
        <v>110WK027-50001</v>
      </c>
      <c r="AD551" s="7">
        <v>44750</v>
      </c>
      <c r="AE551" s="7">
        <v>44903</v>
      </c>
      <c r="AF551" s="7">
        <v>44917</v>
      </c>
      <c r="AG551" s="5">
        <v>140</v>
      </c>
      <c r="AH551" s="5">
        <v>14</v>
      </c>
      <c r="AI551" s="5">
        <v>14</v>
      </c>
      <c r="AJ551" s="5">
        <v>2000</v>
      </c>
      <c r="AK551" s="5" t="str">
        <f t="shared" ca="1" si="8"/>
        <v>run complete</v>
      </c>
    </row>
    <row r="552" spans="1:37">
      <c r="A552" s="32" t="s">
        <v>2989</v>
      </c>
      <c r="B552" s="32">
        <v>7075</v>
      </c>
      <c r="C552" s="32" t="s">
        <v>2988</v>
      </c>
      <c r="E552" s="34">
        <v>939</v>
      </c>
      <c r="G552" s="34">
        <v>1000</v>
      </c>
      <c r="H552" s="7">
        <v>44903</v>
      </c>
      <c r="I552" s="32" t="s">
        <v>3756</v>
      </c>
      <c r="L552" s="7">
        <v>45083</v>
      </c>
      <c r="N552" s="32">
        <v>6</v>
      </c>
      <c r="O552" s="36">
        <v>4.8</v>
      </c>
      <c r="P552" s="32" t="s">
        <v>7762</v>
      </c>
      <c r="Q552" s="5" t="s">
        <v>893</v>
      </c>
      <c r="R552" s="5" t="s">
        <v>4063</v>
      </c>
      <c r="S552" s="6">
        <v>939</v>
      </c>
      <c r="T552" s="6">
        <v>939</v>
      </c>
      <c r="U552" s="6">
        <v>0</v>
      </c>
      <c r="V552" s="7">
        <v>44903</v>
      </c>
      <c r="W552" s="7" t="s">
        <v>3790</v>
      </c>
      <c r="X552" s="7">
        <v>45083</v>
      </c>
      <c r="Y552" s="5" t="s">
        <v>4022</v>
      </c>
      <c r="Z552" s="5" t="s">
        <v>3790</v>
      </c>
      <c r="AA552" s="6">
        <v>939</v>
      </c>
      <c r="AB552" s="7" t="s">
        <v>4410</v>
      </c>
      <c r="AC552" s="7" t="str">
        <f>A552&amp;COUNTIF($A$2:A552,A552)</f>
        <v>110WK027-62001</v>
      </c>
      <c r="AD552" s="7">
        <v>44750</v>
      </c>
      <c r="AE552" s="7">
        <v>44903</v>
      </c>
      <c r="AF552" s="7">
        <v>44917</v>
      </c>
      <c r="AG552" s="5">
        <v>140</v>
      </c>
      <c r="AH552" s="5">
        <v>14</v>
      </c>
      <c r="AI552" s="5">
        <v>14</v>
      </c>
      <c r="AJ552" s="5">
        <v>1000</v>
      </c>
      <c r="AK552" s="5" t="str">
        <f t="shared" ca="1" si="8"/>
        <v>run complete</v>
      </c>
    </row>
    <row r="553" spans="1:37">
      <c r="A553" s="32" t="s">
        <v>2990</v>
      </c>
      <c r="B553" s="32" t="s">
        <v>3978</v>
      </c>
      <c r="C553" s="32" t="s">
        <v>3981</v>
      </c>
      <c r="D553" s="32" t="s">
        <v>3701</v>
      </c>
      <c r="E553" s="34">
        <v>0</v>
      </c>
      <c r="F553" s="32" t="s">
        <v>3701</v>
      </c>
      <c r="G553" s="34">
        <v>2000</v>
      </c>
      <c r="H553" s="7">
        <v>44959</v>
      </c>
      <c r="I553" s="32" t="s">
        <v>3790</v>
      </c>
      <c r="J553" s="34">
        <v>0</v>
      </c>
      <c r="M553" s="34">
        <v>0</v>
      </c>
      <c r="N553" s="32" t="s">
        <v>3528</v>
      </c>
      <c r="O553" s="36">
        <v>5.19</v>
      </c>
      <c r="P553" s="32" t="s">
        <v>3701</v>
      </c>
      <c r="Q553" s="5" t="s">
        <v>3911</v>
      </c>
      <c r="R553" s="5" t="s">
        <v>3978</v>
      </c>
      <c r="S553" s="6">
        <v>0</v>
      </c>
      <c r="T553" s="6">
        <v>0</v>
      </c>
      <c r="U553" s="6">
        <v>0</v>
      </c>
      <c r="V553" s="7">
        <v>44959</v>
      </c>
      <c r="W553" s="7" t="s">
        <v>3790</v>
      </c>
      <c r="X553" s="7" t="s">
        <v>3790</v>
      </c>
      <c r="Y553" s="5" t="s">
        <v>4022</v>
      </c>
      <c r="Z553" s="5" t="s">
        <v>3790</v>
      </c>
      <c r="AA553" s="6">
        <v>0</v>
      </c>
      <c r="AB553" s="7" t="s">
        <v>4411</v>
      </c>
      <c r="AC553" s="7" t="str">
        <f>A553&amp;COUNTIF($A$2:A553,A553)</f>
        <v>110WM005-50001</v>
      </c>
      <c r="AD553" s="7">
        <v>44796</v>
      </c>
      <c r="AE553" s="7">
        <v>44959</v>
      </c>
      <c r="AF553" s="7">
        <v>44973</v>
      </c>
      <c r="AG553" s="5">
        <v>196</v>
      </c>
      <c r="AH553" s="5">
        <v>14</v>
      </c>
      <c r="AI553" s="5">
        <v>14</v>
      </c>
      <c r="AJ553" s="5">
        <v>2000</v>
      </c>
      <c r="AK553" s="5" t="str">
        <f t="shared" ca="1" si="8"/>
        <v>within range</v>
      </c>
    </row>
    <row r="554" spans="1:37">
      <c r="A554" s="32" t="s">
        <v>2993</v>
      </c>
      <c r="B554" s="32" t="s">
        <v>3978</v>
      </c>
      <c r="C554" s="32" t="s">
        <v>3982</v>
      </c>
      <c r="D554" s="32" t="s">
        <v>3701</v>
      </c>
      <c r="E554" s="34">
        <v>0</v>
      </c>
      <c r="F554" s="32" t="s">
        <v>3701</v>
      </c>
      <c r="G554" s="34">
        <v>1000</v>
      </c>
      <c r="H554" s="7">
        <v>44959</v>
      </c>
      <c r="I554" s="32" t="s">
        <v>3790</v>
      </c>
      <c r="J554" s="34">
        <v>0</v>
      </c>
      <c r="M554" s="34">
        <v>0</v>
      </c>
      <c r="N554" s="32" t="s">
        <v>3528</v>
      </c>
      <c r="O554" s="36">
        <v>5.19</v>
      </c>
      <c r="P554" s="32" t="s">
        <v>3701</v>
      </c>
      <c r="Q554" s="5" t="s">
        <v>3911</v>
      </c>
      <c r="R554" s="5" t="s">
        <v>3978</v>
      </c>
      <c r="S554" s="6">
        <v>0</v>
      </c>
      <c r="T554" s="6">
        <v>0</v>
      </c>
      <c r="U554" s="6">
        <v>0</v>
      </c>
      <c r="V554" s="7">
        <v>44959</v>
      </c>
      <c r="W554" s="7" t="s">
        <v>3790</v>
      </c>
      <c r="X554" s="7" t="s">
        <v>3790</v>
      </c>
      <c r="Y554" s="5" t="s">
        <v>4022</v>
      </c>
      <c r="Z554" s="5" t="s">
        <v>3790</v>
      </c>
      <c r="AA554" s="6">
        <v>0</v>
      </c>
      <c r="AB554" s="7" t="s">
        <v>4412</v>
      </c>
      <c r="AC554" s="7" t="str">
        <f>A554&amp;COUNTIF($A$2:A554,A554)</f>
        <v>110WM005-62001</v>
      </c>
      <c r="AD554" s="7">
        <v>44796</v>
      </c>
      <c r="AE554" s="7">
        <v>44959</v>
      </c>
      <c r="AF554" s="7">
        <v>44973</v>
      </c>
      <c r="AG554" s="5">
        <v>196</v>
      </c>
      <c r="AH554" s="5">
        <v>14</v>
      </c>
      <c r="AI554" s="5">
        <v>14</v>
      </c>
      <c r="AJ554" s="5">
        <v>1000</v>
      </c>
      <c r="AK554" s="5" t="str">
        <f t="shared" ca="1" si="8"/>
        <v>within range</v>
      </c>
    </row>
    <row r="555" spans="1:37">
      <c r="A555" s="32" t="s">
        <v>3008</v>
      </c>
      <c r="B555" s="32">
        <v>7035</v>
      </c>
      <c r="C555" s="32" t="s">
        <v>3672</v>
      </c>
      <c r="F555" s="32" t="s">
        <v>3661</v>
      </c>
      <c r="G555" s="34">
        <v>500</v>
      </c>
      <c r="H555" s="7">
        <v>44946</v>
      </c>
      <c r="N555" s="32">
        <v>3</v>
      </c>
      <c r="O555" s="36">
        <v>6.47</v>
      </c>
      <c r="P555" s="32" t="s">
        <v>6090</v>
      </c>
      <c r="Q555" s="5" t="s">
        <v>3662</v>
      </c>
      <c r="R555" s="5" t="s">
        <v>4413</v>
      </c>
      <c r="S555" s="6">
        <v>0</v>
      </c>
      <c r="T555" s="6">
        <v>0</v>
      </c>
      <c r="U555" s="6">
        <v>0</v>
      </c>
      <c r="V555" s="7">
        <v>44946</v>
      </c>
      <c r="W555" s="7" t="s">
        <v>3790</v>
      </c>
      <c r="X555" s="7" t="s">
        <v>3790</v>
      </c>
      <c r="Y555" s="5" t="s">
        <v>4022</v>
      </c>
      <c r="Z555" s="5" t="s">
        <v>3790</v>
      </c>
      <c r="AA555" s="6">
        <v>0</v>
      </c>
      <c r="AB555" s="7" t="s">
        <v>4414</v>
      </c>
      <c r="AC555" s="7" t="str">
        <f>A555&amp;COUNTIF($A$2:A555,A555)</f>
        <v>110WM303-50001</v>
      </c>
      <c r="AD555" s="7">
        <v>44718</v>
      </c>
      <c r="AE555" s="7">
        <v>44946</v>
      </c>
      <c r="AF555" s="7">
        <v>45016</v>
      </c>
      <c r="AG555" s="5">
        <v>154</v>
      </c>
      <c r="AH555" s="5">
        <v>70</v>
      </c>
      <c r="AI555" s="5">
        <v>0</v>
      </c>
      <c r="AJ555" s="5">
        <v>500</v>
      </c>
      <c r="AK555" s="5" t="str">
        <f t="shared" ca="1" si="8"/>
        <v>within range</v>
      </c>
    </row>
    <row r="556" spans="1:37">
      <c r="A556" s="32" t="s">
        <v>3009</v>
      </c>
      <c r="B556" s="32">
        <v>7035</v>
      </c>
      <c r="C556" s="32" t="s">
        <v>3672</v>
      </c>
      <c r="D556" s="32" t="s">
        <v>3663</v>
      </c>
      <c r="F556" s="32" t="s">
        <v>3661</v>
      </c>
      <c r="G556" s="34">
        <v>2000</v>
      </c>
      <c r="H556" s="7">
        <v>44946</v>
      </c>
      <c r="N556" s="32">
        <v>3</v>
      </c>
      <c r="O556" s="36">
        <v>6.47</v>
      </c>
      <c r="P556" s="32" t="s">
        <v>6090</v>
      </c>
      <c r="Q556" s="5" t="s">
        <v>3662</v>
      </c>
      <c r="R556" s="5" t="s">
        <v>4413</v>
      </c>
      <c r="S556" s="6">
        <v>0</v>
      </c>
      <c r="T556" s="6">
        <v>0</v>
      </c>
      <c r="U556" s="6">
        <v>0</v>
      </c>
      <c r="V556" s="7">
        <v>44946</v>
      </c>
      <c r="W556" s="7" t="s">
        <v>3790</v>
      </c>
      <c r="X556" s="7" t="s">
        <v>3790</v>
      </c>
      <c r="Y556" s="5" t="s">
        <v>4022</v>
      </c>
      <c r="Z556" s="5" t="s">
        <v>3790</v>
      </c>
      <c r="AA556" s="6">
        <v>0</v>
      </c>
      <c r="AB556" s="7" t="s">
        <v>4415</v>
      </c>
      <c r="AC556" s="7" t="str">
        <f>A556&amp;COUNTIF($A$2:A556,A556)</f>
        <v>110WM303-62002</v>
      </c>
      <c r="AD556" s="7">
        <v>44718</v>
      </c>
      <c r="AE556" s="7">
        <v>44946</v>
      </c>
      <c r="AF556" s="7">
        <v>45016</v>
      </c>
      <c r="AG556" s="5">
        <v>154</v>
      </c>
      <c r="AH556" s="5">
        <v>70</v>
      </c>
      <c r="AI556" s="5">
        <v>0</v>
      </c>
      <c r="AJ556" s="5">
        <v>2000</v>
      </c>
      <c r="AK556" s="5" t="str">
        <f t="shared" ca="1" si="8"/>
        <v>within range</v>
      </c>
    </row>
    <row r="557" spans="1:37">
      <c r="A557" s="32" t="s">
        <v>3020</v>
      </c>
      <c r="B557" s="32">
        <v>7077</v>
      </c>
      <c r="C557" s="32" t="s">
        <v>3017</v>
      </c>
      <c r="G557" s="34">
        <v>3000</v>
      </c>
      <c r="H557" s="7">
        <v>44973</v>
      </c>
      <c r="N557" s="32">
        <v>6</v>
      </c>
      <c r="O557" s="36">
        <v>4.8</v>
      </c>
      <c r="P557" s="32" t="s">
        <v>3783</v>
      </c>
      <c r="Q557" s="5" t="s">
        <v>893</v>
      </c>
      <c r="R557" s="5" t="s">
        <v>4344</v>
      </c>
      <c r="S557" s="6">
        <v>0</v>
      </c>
      <c r="T557" s="6">
        <v>0</v>
      </c>
      <c r="U557" s="6">
        <v>0</v>
      </c>
      <c r="V557" s="7">
        <v>44973</v>
      </c>
      <c r="W557" s="7" t="s">
        <v>3790</v>
      </c>
      <c r="X557" s="7" t="s">
        <v>3790</v>
      </c>
      <c r="Y557" s="5" t="s">
        <v>4022</v>
      </c>
      <c r="Z557" s="5" t="s">
        <v>3790</v>
      </c>
      <c r="AA557" s="6">
        <v>0</v>
      </c>
      <c r="AB557" s="7" t="s">
        <v>4417</v>
      </c>
      <c r="AC557" s="7" t="str">
        <f>A557&amp;COUNTIF($A$2:A557,A557)</f>
        <v>110WM577-62001</v>
      </c>
      <c r="AD557" s="7">
        <v>44750</v>
      </c>
      <c r="AE557" s="7">
        <v>44973</v>
      </c>
      <c r="AF557" s="7">
        <v>44987</v>
      </c>
      <c r="AG557" s="5">
        <v>140</v>
      </c>
      <c r="AH557" s="5">
        <v>14</v>
      </c>
      <c r="AI557" s="5">
        <v>14</v>
      </c>
      <c r="AJ557" s="5">
        <v>3000</v>
      </c>
      <c r="AK557" s="5" t="str">
        <f t="shared" ca="1" si="8"/>
        <v>within range</v>
      </c>
    </row>
    <row r="558" spans="1:37">
      <c r="A558" s="32" t="s">
        <v>3027</v>
      </c>
      <c r="B558" s="32">
        <v>7144</v>
      </c>
      <c r="C558" s="32" t="s">
        <v>3028</v>
      </c>
      <c r="E558" s="34">
        <v>821</v>
      </c>
      <c r="G558" s="34">
        <v>3000</v>
      </c>
      <c r="H558" s="7">
        <v>44910</v>
      </c>
      <c r="I558" s="32" t="s">
        <v>3756</v>
      </c>
      <c r="N558" s="32">
        <v>3</v>
      </c>
      <c r="O558" s="36">
        <v>7.04</v>
      </c>
      <c r="P558" s="32" t="s">
        <v>5916</v>
      </c>
      <c r="Q558" s="5" t="s">
        <v>893</v>
      </c>
      <c r="R558" s="5" t="s">
        <v>5882</v>
      </c>
      <c r="S558" s="6">
        <v>821</v>
      </c>
      <c r="T558" s="6">
        <v>821</v>
      </c>
      <c r="U558" s="6">
        <v>0</v>
      </c>
      <c r="V558" s="7">
        <v>44910</v>
      </c>
      <c r="W558" s="7" t="s">
        <v>3790</v>
      </c>
      <c r="X558" s="7" t="s">
        <v>3790</v>
      </c>
      <c r="Y558" s="5" t="s">
        <v>4022</v>
      </c>
      <c r="Z558" s="5" t="s">
        <v>3790</v>
      </c>
      <c r="AA558" s="6">
        <v>821</v>
      </c>
      <c r="AB558" s="7" t="s">
        <v>5917</v>
      </c>
      <c r="AC558" s="7" t="str">
        <f>A558&amp;COUNTIF($A$2:A558,A558)</f>
        <v>110WM741-62001</v>
      </c>
      <c r="AD558" s="7">
        <v>44833</v>
      </c>
      <c r="AE558" s="7">
        <v>44910</v>
      </c>
      <c r="AF558" s="7">
        <v>44924</v>
      </c>
      <c r="AG558" s="5">
        <v>140</v>
      </c>
      <c r="AH558" s="5">
        <v>14</v>
      </c>
      <c r="AI558" s="5">
        <v>14</v>
      </c>
      <c r="AJ558" s="5">
        <v>3000</v>
      </c>
      <c r="AK558" s="5" t="str">
        <f t="shared" ca="1" si="8"/>
        <v>run complete</v>
      </c>
    </row>
    <row r="559" spans="1:37">
      <c r="A559" s="32" t="s">
        <v>3052</v>
      </c>
      <c r="B559" s="32">
        <v>7073</v>
      </c>
      <c r="C559" s="32" t="s">
        <v>3673</v>
      </c>
      <c r="F559" s="32" t="s">
        <v>3661</v>
      </c>
      <c r="G559" s="34">
        <v>4600</v>
      </c>
      <c r="H559" s="7">
        <v>44921</v>
      </c>
      <c r="I559" s="32" t="s">
        <v>5974</v>
      </c>
      <c r="J559" s="34">
        <v>4600</v>
      </c>
      <c r="N559" s="32">
        <v>3</v>
      </c>
      <c r="O559" s="36">
        <v>4.99</v>
      </c>
      <c r="P559" s="32" t="s">
        <v>5918</v>
      </c>
      <c r="Q559" s="5" t="s">
        <v>3662</v>
      </c>
      <c r="R559" s="5" t="s">
        <v>4398</v>
      </c>
      <c r="S559" s="6">
        <v>0</v>
      </c>
      <c r="T559" s="6">
        <v>0</v>
      </c>
      <c r="U559" s="6">
        <v>4600</v>
      </c>
      <c r="V559" s="7">
        <v>44921</v>
      </c>
      <c r="W559" s="7" t="s">
        <v>3790</v>
      </c>
      <c r="X559" s="7" t="s">
        <v>3790</v>
      </c>
      <c r="Y559" s="5" t="s">
        <v>4022</v>
      </c>
      <c r="Z559" s="5" t="s">
        <v>3790</v>
      </c>
      <c r="AA559" s="6">
        <v>0</v>
      </c>
      <c r="AB559" s="7" t="s">
        <v>4422</v>
      </c>
      <c r="AC559" s="7" t="str">
        <f>A559&amp;COUNTIF($A$2:A559,A559)</f>
        <v>110WM840-50002</v>
      </c>
      <c r="AD559" s="7">
        <v>44750</v>
      </c>
      <c r="AE559" s="7">
        <v>44921</v>
      </c>
      <c r="AF559" s="7">
        <v>44991</v>
      </c>
      <c r="AG559" s="5">
        <v>154</v>
      </c>
      <c r="AH559" s="5">
        <v>70</v>
      </c>
      <c r="AI559" s="5">
        <v>14</v>
      </c>
      <c r="AJ559" s="5">
        <v>4600</v>
      </c>
      <c r="AK559" s="5" t="str">
        <f t="shared" ca="1" si="8"/>
        <v>run complete</v>
      </c>
    </row>
    <row r="560" spans="1:37">
      <c r="A560" s="32" t="s">
        <v>3055</v>
      </c>
      <c r="B560" s="32">
        <v>7073</v>
      </c>
      <c r="C560" s="32" t="s">
        <v>3673</v>
      </c>
      <c r="D560" s="32" t="s">
        <v>3663</v>
      </c>
      <c r="F560" s="32" t="s">
        <v>3661</v>
      </c>
      <c r="G560" s="34">
        <v>10400</v>
      </c>
      <c r="H560" s="7">
        <v>44921</v>
      </c>
      <c r="I560" s="32" t="s">
        <v>5974</v>
      </c>
      <c r="J560" s="34">
        <v>10400</v>
      </c>
      <c r="N560" s="32">
        <v>3</v>
      </c>
      <c r="O560" s="36">
        <v>4.99</v>
      </c>
      <c r="P560" s="32" t="s">
        <v>5918</v>
      </c>
      <c r="Q560" s="5" t="s">
        <v>3662</v>
      </c>
      <c r="R560" s="5" t="s">
        <v>4398</v>
      </c>
      <c r="S560" s="6">
        <v>0</v>
      </c>
      <c r="T560" s="6">
        <v>0</v>
      </c>
      <c r="U560" s="6">
        <v>10400</v>
      </c>
      <c r="V560" s="7">
        <v>44921</v>
      </c>
      <c r="W560" s="7" t="s">
        <v>3790</v>
      </c>
      <c r="X560" s="7" t="s">
        <v>3790</v>
      </c>
      <c r="Y560" s="5" t="s">
        <v>4022</v>
      </c>
      <c r="Z560" s="5" t="s">
        <v>3790</v>
      </c>
      <c r="AA560" s="6">
        <v>0</v>
      </c>
      <c r="AB560" s="7" t="s">
        <v>4424</v>
      </c>
      <c r="AC560" s="7" t="str">
        <f>A560&amp;COUNTIF($A$2:A560,A560)</f>
        <v>110WM840-62002</v>
      </c>
      <c r="AD560" s="7">
        <v>44750</v>
      </c>
      <c r="AE560" s="7">
        <v>44921</v>
      </c>
      <c r="AF560" s="7">
        <v>44991</v>
      </c>
      <c r="AG560" s="5">
        <v>154</v>
      </c>
      <c r="AH560" s="5">
        <v>70</v>
      </c>
      <c r="AI560" s="5">
        <v>14</v>
      </c>
      <c r="AJ560" s="5">
        <v>10400</v>
      </c>
      <c r="AK560" s="5" t="str">
        <f t="shared" ca="1" si="8"/>
        <v>run complete</v>
      </c>
    </row>
    <row r="561" spans="1:37">
      <c r="A561" s="32" t="s">
        <v>3070</v>
      </c>
      <c r="B561" s="32" t="s">
        <v>6091</v>
      </c>
      <c r="C561" s="32" t="s">
        <v>6092</v>
      </c>
      <c r="D561" s="32" t="s">
        <v>3701</v>
      </c>
      <c r="E561" s="34">
        <v>0</v>
      </c>
      <c r="F561" s="32" t="s">
        <v>3701</v>
      </c>
      <c r="G561" s="34">
        <v>1500</v>
      </c>
      <c r="H561" s="7">
        <v>45117</v>
      </c>
      <c r="I561" s="32" t="s">
        <v>3790</v>
      </c>
      <c r="J561" s="34">
        <v>0</v>
      </c>
      <c r="M561" s="34">
        <v>0</v>
      </c>
      <c r="N561" s="32" t="s">
        <v>3528</v>
      </c>
      <c r="O561" s="36">
        <v>4.63</v>
      </c>
      <c r="P561" s="32" t="s">
        <v>3701</v>
      </c>
      <c r="Q561" s="5" t="s">
        <v>3911</v>
      </c>
      <c r="R561" s="5" t="s">
        <v>6091</v>
      </c>
      <c r="S561" s="6">
        <v>0</v>
      </c>
      <c r="T561" s="6">
        <v>0</v>
      </c>
      <c r="U561" s="6">
        <v>0</v>
      </c>
      <c r="V561" s="7">
        <v>45117</v>
      </c>
      <c r="W561" s="7" t="s">
        <v>3790</v>
      </c>
      <c r="X561" s="7" t="s">
        <v>3790</v>
      </c>
      <c r="Y561" s="5" t="s">
        <v>4022</v>
      </c>
      <c r="Z561" s="5" t="s">
        <v>3790</v>
      </c>
      <c r="AA561" s="6">
        <v>0</v>
      </c>
      <c r="AB561" s="7" t="s">
        <v>6093</v>
      </c>
      <c r="AC561" s="7" t="str">
        <f>A561&amp;COUNTIF($A$2:A561,A561)</f>
        <v>110WM858-50001</v>
      </c>
      <c r="AD561" s="7">
        <v>44869</v>
      </c>
      <c r="AE561" s="7">
        <v>45117</v>
      </c>
      <c r="AF561" s="7">
        <v>45131</v>
      </c>
      <c r="AG561" s="5">
        <v>196</v>
      </c>
      <c r="AH561" s="5">
        <v>14</v>
      </c>
      <c r="AI561" s="5">
        <v>14</v>
      </c>
      <c r="AJ561" s="5">
        <v>1500</v>
      </c>
      <c r="AK561" s="5" t="str">
        <f t="shared" ca="1" si="8"/>
        <v>within range</v>
      </c>
    </row>
    <row r="562" spans="1:37">
      <c r="A562" s="32" t="s">
        <v>3073</v>
      </c>
      <c r="B562" s="32" t="s">
        <v>6091</v>
      </c>
      <c r="C562" s="32" t="s">
        <v>6094</v>
      </c>
      <c r="D562" s="32" t="s">
        <v>3663</v>
      </c>
      <c r="E562" s="34">
        <v>0</v>
      </c>
      <c r="F562" s="32" t="s">
        <v>3701</v>
      </c>
      <c r="G562" s="34">
        <v>1500</v>
      </c>
      <c r="H562" s="7">
        <v>45117</v>
      </c>
      <c r="I562" s="32" t="s">
        <v>3790</v>
      </c>
      <c r="J562" s="34">
        <v>0</v>
      </c>
      <c r="M562" s="34">
        <v>0</v>
      </c>
      <c r="N562" s="32" t="s">
        <v>3528</v>
      </c>
      <c r="O562" s="36">
        <v>4.63</v>
      </c>
      <c r="P562" s="32" t="s">
        <v>3701</v>
      </c>
      <c r="Q562" s="5" t="s">
        <v>3911</v>
      </c>
      <c r="R562" s="5" t="s">
        <v>6091</v>
      </c>
      <c r="S562" s="6">
        <v>0</v>
      </c>
      <c r="T562" s="6">
        <v>0</v>
      </c>
      <c r="U562" s="6">
        <v>0</v>
      </c>
      <c r="V562" s="7">
        <v>45117</v>
      </c>
      <c r="W562" s="7" t="s">
        <v>3790</v>
      </c>
      <c r="X562" s="7" t="s">
        <v>3790</v>
      </c>
      <c r="Y562" s="5" t="s">
        <v>4022</v>
      </c>
      <c r="Z562" s="5" t="s">
        <v>3790</v>
      </c>
      <c r="AA562" s="6">
        <v>0</v>
      </c>
      <c r="AB562" s="7" t="s">
        <v>6095</v>
      </c>
      <c r="AC562" s="7" t="str">
        <f>A562&amp;COUNTIF($A$2:A562,A562)</f>
        <v>110WM858-62001</v>
      </c>
      <c r="AD562" s="7">
        <v>44869</v>
      </c>
      <c r="AE562" s="7">
        <v>45117</v>
      </c>
      <c r="AF562" s="7">
        <v>45131</v>
      </c>
      <c r="AG562" s="5">
        <v>196</v>
      </c>
      <c r="AH562" s="5">
        <v>14</v>
      </c>
      <c r="AI562" s="5">
        <v>14</v>
      </c>
      <c r="AJ562" s="5">
        <v>1500</v>
      </c>
      <c r="AK562" s="5" t="str">
        <f t="shared" ca="1" si="8"/>
        <v>within range</v>
      </c>
    </row>
    <row r="563" spans="1:37">
      <c r="A563" s="32" t="s">
        <v>3100</v>
      </c>
      <c r="B563" s="32" t="s">
        <v>3978</v>
      </c>
      <c r="C563" s="32" t="s">
        <v>3983</v>
      </c>
      <c r="D563" s="32" t="s">
        <v>3701</v>
      </c>
      <c r="E563" s="34">
        <v>0</v>
      </c>
      <c r="F563" s="32" t="s">
        <v>3701</v>
      </c>
      <c r="G563" s="34">
        <v>2000</v>
      </c>
      <c r="H563" s="7">
        <v>45000</v>
      </c>
      <c r="I563" s="32" t="s">
        <v>3790</v>
      </c>
      <c r="J563" s="34">
        <v>0</v>
      </c>
      <c r="M563" s="34">
        <v>0</v>
      </c>
      <c r="N563" s="32" t="s">
        <v>3528</v>
      </c>
      <c r="O563" s="36">
        <v>4.8600000000000003</v>
      </c>
      <c r="P563" s="32" t="s">
        <v>3701</v>
      </c>
      <c r="Q563" s="5" t="s">
        <v>3911</v>
      </c>
      <c r="R563" s="5" t="s">
        <v>3978</v>
      </c>
      <c r="S563" s="6">
        <v>0</v>
      </c>
      <c r="T563" s="6">
        <v>0</v>
      </c>
      <c r="U563" s="6">
        <v>0</v>
      </c>
      <c r="V563" s="7">
        <v>45000</v>
      </c>
      <c r="W563" s="7" t="s">
        <v>3790</v>
      </c>
      <c r="X563" s="7" t="s">
        <v>3790</v>
      </c>
      <c r="Y563" s="5" t="s">
        <v>4022</v>
      </c>
      <c r="Z563" s="5" t="s">
        <v>3790</v>
      </c>
      <c r="AA563" s="6">
        <v>0</v>
      </c>
      <c r="AB563" s="7" t="s">
        <v>4429</v>
      </c>
      <c r="AC563" s="7" t="str">
        <f>A563&amp;COUNTIF($A$2:A563,A563)</f>
        <v>110WS016-50001</v>
      </c>
      <c r="AD563" s="7">
        <v>44796</v>
      </c>
      <c r="AE563" s="7">
        <v>45000</v>
      </c>
      <c r="AF563" s="7">
        <v>45056</v>
      </c>
      <c r="AG563" s="5">
        <v>154</v>
      </c>
      <c r="AH563" s="5">
        <v>56</v>
      </c>
      <c r="AI563" s="5">
        <v>14</v>
      </c>
      <c r="AJ563" s="5">
        <v>2000</v>
      </c>
      <c r="AK563" s="5" t="str">
        <f t="shared" ca="1" si="8"/>
        <v>within range</v>
      </c>
    </row>
    <row r="564" spans="1:37">
      <c r="A564" s="32" t="s">
        <v>3103</v>
      </c>
      <c r="B564" s="32" t="s">
        <v>3978</v>
      </c>
      <c r="C564" s="32" t="s">
        <v>3984</v>
      </c>
      <c r="D564" s="32" t="s">
        <v>3701</v>
      </c>
      <c r="E564" s="34">
        <v>0</v>
      </c>
      <c r="F564" s="32" t="s">
        <v>3701</v>
      </c>
      <c r="G564" s="34">
        <v>1000</v>
      </c>
      <c r="H564" s="7">
        <v>45000</v>
      </c>
      <c r="I564" s="32" t="s">
        <v>3790</v>
      </c>
      <c r="J564" s="34">
        <v>0</v>
      </c>
      <c r="M564" s="34">
        <v>0</v>
      </c>
      <c r="N564" s="32" t="s">
        <v>3528</v>
      </c>
      <c r="O564" s="36">
        <v>4.8600000000000003</v>
      </c>
      <c r="P564" s="32" t="s">
        <v>3701</v>
      </c>
      <c r="Q564" s="5" t="s">
        <v>3911</v>
      </c>
      <c r="R564" s="5" t="s">
        <v>3978</v>
      </c>
      <c r="S564" s="6">
        <v>0</v>
      </c>
      <c r="T564" s="6">
        <v>0</v>
      </c>
      <c r="U564" s="6">
        <v>0</v>
      </c>
      <c r="V564" s="7">
        <v>45000</v>
      </c>
      <c r="W564" s="7" t="s">
        <v>3790</v>
      </c>
      <c r="X564" s="7" t="s">
        <v>3790</v>
      </c>
      <c r="Y564" s="5" t="s">
        <v>4022</v>
      </c>
      <c r="Z564" s="5" t="s">
        <v>3790</v>
      </c>
      <c r="AA564" s="6">
        <v>0</v>
      </c>
      <c r="AB564" s="7" t="s">
        <v>4430</v>
      </c>
      <c r="AC564" s="7" t="str">
        <f>A564&amp;COUNTIF($A$2:A564,A564)</f>
        <v>110WS016-62001</v>
      </c>
      <c r="AD564" s="7">
        <v>44796</v>
      </c>
      <c r="AE564" s="7">
        <v>45000</v>
      </c>
      <c r="AF564" s="7">
        <v>45056</v>
      </c>
      <c r="AG564" s="5">
        <v>154</v>
      </c>
      <c r="AH564" s="5">
        <v>56</v>
      </c>
      <c r="AI564" s="5">
        <v>14</v>
      </c>
      <c r="AJ564" s="5">
        <v>1000</v>
      </c>
      <c r="AK564" s="5" t="str">
        <f t="shared" ca="1" si="8"/>
        <v>within range</v>
      </c>
    </row>
    <row r="565" spans="1:37">
      <c r="A565" s="32" t="s">
        <v>3112</v>
      </c>
      <c r="B565" s="32" t="s">
        <v>3968</v>
      </c>
      <c r="C565" s="32" t="s">
        <v>3970</v>
      </c>
      <c r="D565" s="32" t="s">
        <v>3701</v>
      </c>
      <c r="E565" s="34">
        <v>0</v>
      </c>
      <c r="F565" s="32" t="s">
        <v>3701</v>
      </c>
      <c r="G565" s="34">
        <v>1500</v>
      </c>
      <c r="H565" s="7">
        <v>44964</v>
      </c>
      <c r="I565" s="32" t="s">
        <v>3790</v>
      </c>
      <c r="J565" s="34">
        <v>0</v>
      </c>
      <c r="M565" s="34">
        <v>0</v>
      </c>
      <c r="N565" s="32" t="s">
        <v>3528</v>
      </c>
      <c r="O565" s="36">
        <v>4.63</v>
      </c>
      <c r="P565" s="32" t="s">
        <v>3701</v>
      </c>
      <c r="Q565" s="5" t="s">
        <v>3911</v>
      </c>
      <c r="R565" s="5" t="s">
        <v>3968</v>
      </c>
      <c r="S565" s="6">
        <v>0</v>
      </c>
      <c r="T565" s="6">
        <v>0</v>
      </c>
      <c r="U565" s="6">
        <v>0</v>
      </c>
      <c r="V565" s="7">
        <v>44964</v>
      </c>
      <c r="W565" s="7" t="s">
        <v>3790</v>
      </c>
      <c r="X565" s="7" t="s">
        <v>3790</v>
      </c>
      <c r="Y565" s="5" t="s">
        <v>4022</v>
      </c>
      <c r="Z565" s="5" t="s">
        <v>3790</v>
      </c>
      <c r="AA565" s="6">
        <v>0</v>
      </c>
      <c r="AB565" s="7" t="s">
        <v>4432</v>
      </c>
      <c r="AC565" s="7" t="str">
        <f>A565&amp;COUNTIF($A$2:A565,A565)</f>
        <v>110WS950-50001</v>
      </c>
      <c r="AD565" s="7">
        <v>44761</v>
      </c>
      <c r="AE565" s="7">
        <v>44964</v>
      </c>
      <c r="AF565" s="7">
        <v>44978</v>
      </c>
      <c r="AG565" s="5">
        <v>196</v>
      </c>
      <c r="AH565" s="5">
        <v>14</v>
      </c>
      <c r="AI565" s="5">
        <v>14</v>
      </c>
      <c r="AJ565" s="5">
        <v>1500</v>
      </c>
      <c r="AK565" s="5" t="str">
        <f t="shared" ca="1" si="8"/>
        <v>within range</v>
      </c>
    </row>
    <row r="566" spans="1:37">
      <c r="A566" s="32" t="s">
        <v>3115</v>
      </c>
      <c r="B566" s="32" t="s">
        <v>3968</v>
      </c>
      <c r="C566" s="32" t="s">
        <v>3971</v>
      </c>
      <c r="D566" s="32" t="s">
        <v>3701</v>
      </c>
      <c r="E566" s="34">
        <v>0</v>
      </c>
      <c r="F566" s="32" t="s">
        <v>3701</v>
      </c>
      <c r="G566" s="34">
        <v>1500</v>
      </c>
      <c r="H566" s="7">
        <v>44964</v>
      </c>
      <c r="I566" s="32" t="s">
        <v>3790</v>
      </c>
      <c r="J566" s="34">
        <v>0</v>
      </c>
      <c r="M566" s="34">
        <v>0</v>
      </c>
      <c r="N566" s="32" t="s">
        <v>3528</v>
      </c>
      <c r="O566" s="36">
        <v>4.63</v>
      </c>
      <c r="P566" s="32" t="s">
        <v>3701</v>
      </c>
      <c r="Q566" s="5" t="s">
        <v>3911</v>
      </c>
      <c r="R566" s="5" t="s">
        <v>3968</v>
      </c>
      <c r="S566" s="6">
        <v>0</v>
      </c>
      <c r="T566" s="6">
        <v>0</v>
      </c>
      <c r="U566" s="6">
        <v>0</v>
      </c>
      <c r="V566" s="7">
        <v>44964</v>
      </c>
      <c r="W566" s="7" t="s">
        <v>3790</v>
      </c>
      <c r="X566" s="7" t="s">
        <v>3790</v>
      </c>
      <c r="Y566" s="5" t="s">
        <v>4022</v>
      </c>
      <c r="Z566" s="5" t="s">
        <v>3790</v>
      </c>
      <c r="AA566" s="6">
        <v>0</v>
      </c>
      <c r="AB566" s="7" t="s">
        <v>4433</v>
      </c>
      <c r="AC566" s="7" t="str">
        <f>A566&amp;COUNTIF($A$2:A566,A566)</f>
        <v>110WS950-62001</v>
      </c>
      <c r="AD566" s="7">
        <v>44761</v>
      </c>
      <c r="AE566" s="7">
        <v>44964</v>
      </c>
      <c r="AF566" s="7">
        <v>44978</v>
      </c>
      <c r="AG566" s="5">
        <v>196</v>
      </c>
      <c r="AH566" s="5">
        <v>14</v>
      </c>
      <c r="AI566" s="5">
        <v>14</v>
      </c>
      <c r="AJ566" s="5">
        <v>1500</v>
      </c>
      <c r="AK566" s="5" t="str">
        <f t="shared" ca="1" si="8"/>
        <v>within range</v>
      </c>
    </row>
    <row r="567" spans="1:37">
      <c r="A567" s="32" t="s">
        <v>3123</v>
      </c>
      <c r="B567" s="32">
        <v>7184</v>
      </c>
      <c r="C567" s="32" t="s">
        <v>3785</v>
      </c>
      <c r="G567" s="34">
        <v>3000</v>
      </c>
      <c r="H567" s="7">
        <v>44945</v>
      </c>
      <c r="N567" s="32">
        <v>6</v>
      </c>
      <c r="O567" s="36">
        <v>4.8</v>
      </c>
      <c r="P567" s="32" t="s">
        <v>5919</v>
      </c>
      <c r="Q567" s="5" t="s">
        <v>893</v>
      </c>
      <c r="R567" s="5" t="s">
        <v>5862</v>
      </c>
      <c r="S567" s="6">
        <v>0</v>
      </c>
      <c r="T567" s="6">
        <v>0</v>
      </c>
      <c r="U567" s="6">
        <v>0</v>
      </c>
      <c r="V567" s="7">
        <v>44945</v>
      </c>
      <c r="W567" s="7" t="s">
        <v>3790</v>
      </c>
      <c r="X567" s="7" t="s">
        <v>3790</v>
      </c>
      <c r="Y567" s="5" t="s">
        <v>4022</v>
      </c>
      <c r="Z567" s="5" t="s">
        <v>3790</v>
      </c>
      <c r="AA567" s="6">
        <v>0</v>
      </c>
      <c r="AB567" s="7" t="s">
        <v>5920</v>
      </c>
      <c r="AC567" s="7" t="str">
        <f>A567&amp;COUNTIF($A$2:A567,A567)</f>
        <v>110WT770-62002</v>
      </c>
      <c r="AD567" s="7">
        <v>44854</v>
      </c>
      <c r="AE567" s="7">
        <v>44945</v>
      </c>
      <c r="AF567" s="7">
        <v>44959</v>
      </c>
      <c r="AG567" s="5">
        <v>140</v>
      </c>
      <c r="AH567" s="5">
        <v>14</v>
      </c>
      <c r="AI567" s="5">
        <v>14</v>
      </c>
      <c r="AJ567" s="5">
        <v>3000</v>
      </c>
      <c r="AK567" s="5" t="str">
        <f t="shared" ca="1" si="8"/>
        <v>within range</v>
      </c>
    </row>
    <row r="568" spans="1:37">
      <c r="A568" s="32" t="s">
        <v>3126</v>
      </c>
      <c r="B568" s="32">
        <v>7198</v>
      </c>
      <c r="C568" s="32" t="s">
        <v>3127</v>
      </c>
      <c r="G568" s="34">
        <v>500</v>
      </c>
      <c r="H568" s="7">
        <v>44967</v>
      </c>
      <c r="N568" s="32">
        <v>3</v>
      </c>
      <c r="O568" s="36">
        <v>5.78</v>
      </c>
      <c r="Q568" s="5" t="s">
        <v>3787</v>
      </c>
      <c r="R568" s="5" t="s">
        <v>6063</v>
      </c>
      <c r="S568" s="6">
        <v>0</v>
      </c>
      <c r="T568" s="6">
        <v>0</v>
      </c>
      <c r="U568" s="6">
        <v>0</v>
      </c>
      <c r="V568" s="7">
        <v>44967</v>
      </c>
      <c r="W568" s="7" t="s">
        <v>3790</v>
      </c>
      <c r="X568" s="7" t="s">
        <v>3790</v>
      </c>
      <c r="Y568" s="5" t="s">
        <v>4022</v>
      </c>
      <c r="Z568" s="5" t="s">
        <v>3790</v>
      </c>
      <c r="AA568" s="6">
        <v>0</v>
      </c>
      <c r="AB568" s="7" t="s">
        <v>6064</v>
      </c>
      <c r="AC568" s="7" t="str">
        <f>A568&amp;COUNTIF($A$2:A568,A568)</f>
        <v>110WU001-50001</v>
      </c>
      <c r="AD568" s="7">
        <v>44869</v>
      </c>
      <c r="AE568" s="7">
        <v>44967</v>
      </c>
      <c r="AF568" s="7">
        <v>45009</v>
      </c>
      <c r="AG568" s="5">
        <v>168</v>
      </c>
      <c r="AH568" s="5">
        <v>42</v>
      </c>
      <c r="AI568" s="5">
        <v>14</v>
      </c>
      <c r="AJ568" s="5">
        <v>500</v>
      </c>
      <c r="AK568" s="5" t="str">
        <f t="shared" ca="1" si="8"/>
        <v>within range</v>
      </c>
    </row>
    <row r="569" spans="1:37">
      <c r="A569" s="32" t="s">
        <v>3128</v>
      </c>
      <c r="B569" s="32">
        <v>7198</v>
      </c>
      <c r="C569" s="32" t="s">
        <v>3127</v>
      </c>
      <c r="D569" s="32" t="s">
        <v>3663</v>
      </c>
      <c r="G569" s="34">
        <v>1700</v>
      </c>
      <c r="H569" s="7">
        <v>44967</v>
      </c>
      <c r="N569" s="32">
        <v>3</v>
      </c>
      <c r="O569" s="36">
        <v>5.78</v>
      </c>
      <c r="Q569" s="5" t="s">
        <v>3787</v>
      </c>
      <c r="R569" s="5" t="s">
        <v>6063</v>
      </c>
      <c r="S569" s="6">
        <v>0</v>
      </c>
      <c r="T569" s="6">
        <v>0</v>
      </c>
      <c r="U569" s="6">
        <v>0</v>
      </c>
      <c r="V569" s="7">
        <v>44967</v>
      </c>
      <c r="W569" s="7" t="s">
        <v>3790</v>
      </c>
      <c r="X569" s="7" t="s">
        <v>3790</v>
      </c>
      <c r="Y569" s="5" t="s">
        <v>4022</v>
      </c>
      <c r="Z569" s="5" t="s">
        <v>3790</v>
      </c>
      <c r="AA569" s="6">
        <v>0</v>
      </c>
      <c r="AB569" s="7" t="s">
        <v>6065</v>
      </c>
      <c r="AC569" s="7" t="str">
        <f>A569&amp;COUNTIF($A$2:A569,A569)</f>
        <v>110WU001-62001</v>
      </c>
      <c r="AD569" s="7">
        <v>44869</v>
      </c>
      <c r="AE569" s="7">
        <v>44967</v>
      </c>
      <c r="AF569" s="7">
        <v>45009</v>
      </c>
      <c r="AG569" s="5">
        <v>168</v>
      </c>
      <c r="AH569" s="5">
        <v>42</v>
      </c>
      <c r="AI569" s="5">
        <v>14</v>
      </c>
      <c r="AJ569" s="5">
        <v>1700</v>
      </c>
      <c r="AK569" s="5" t="str">
        <f t="shared" ca="1" si="8"/>
        <v>within range</v>
      </c>
    </row>
    <row r="570" spans="1:37">
      <c r="A570" s="32" t="s">
        <v>3141</v>
      </c>
      <c r="B570" s="32">
        <v>7127</v>
      </c>
      <c r="C570" s="32" t="s">
        <v>3142</v>
      </c>
      <c r="G570" s="34">
        <v>800</v>
      </c>
      <c r="H570" s="7">
        <v>44946</v>
      </c>
      <c r="O570" s="36">
        <v>6.75</v>
      </c>
      <c r="P570" s="32" t="s">
        <v>6066</v>
      </c>
      <c r="Q570" s="5" t="s">
        <v>3702</v>
      </c>
      <c r="R570" s="5" t="s">
        <v>4437</v>
      </c>
      <c r="S570" s="6">
        <v>0</v>
      </c>
      <c r="T570" s="6">
        <v>0</v>
      </c>
      <c r="U570" s="6">
        <v>0</v>
      </c>
      <c r="V570" s="7">
        <v>44946</v>
      </c>
      <c r="W570" s="7" t="s">
        <v>3790</v>
      </c>
      <c r="X570" s="7" t="s">
        <v>3790</v>
      </c>
      <c r="Y570" s="5" t="s">
        <v>4022</v>
      </c>
      <c r="Z570" s="5" t="s">
        <v>3790</v>
      </c>
      <c r="AA570" s="6">
        <v>0</v>
      </c>
      <c r="AB570" s="7" t="s">
        <v>4438</v>
      </c>
      <c r="AC570" s="7" t="str">
        <f>A570&amp;COUNTIF($A$2:A570,A570)</f>
        <v>110WW310-50001</v>
      </c>
      <c r="AD570" s="7">
        <v>44805</v>
      </c>
      <c r="AE570" s="7">
        <v>44946</v>
      </c>
      <c r="AF570" s="7">
        <v>44995</v>
      </c>
      <c r="AG570" s="5">
        <v>98</v>
      </c>
      <c r="AH570" s="5">
        <v>49</v>
      </c>
      <c r="AI570" s="5">
        <v>14</v>
      </c>
      <c r="AJ570" s="5">
        <v>800</v>
      </c>
      <c r="AK570" s="5" t="str">
        <f t="shared" ca="1" si="8"/>
        <v>within range</v>
      </c>
    </row>
    <row r="571" spans="1:37">
      <c r="A571" s="32" t="s">
        <v>3141</v>
      </c>
      <c r="B571" s="32">
        <v>7226</v>
      </c>
      <c r="C571" s="32" t="s">
        <v>3142</v>
      </c>
      <c r="G571" s="34">
        <v>1650</v>
      </c>
      <c r="O571" s="36">
        <v>5.77</v>
      </c>
      <c r="Q571" s="5" t="s">
        <v>3702</v>
      </c>
      <c r="R571" s="5" t="s">
        <v>7601</v>
      </c>
      <c r="S571" s="6">
        <v>0</v>
      </c>
      <c r="T571" s="6">
        <v>0</v>
      </c>
      <c r="U571" s="6">
        <v>0</v>
      </c>
      <c r="V571" s="7" t="s">
        <v>3790</v>
      </c>
      <c r="W571" s="7" t="s">
        <v>3790</v>
      </c>
      <c r="X571" s="7" t="s">
        <v>3790</v>
      </c>
      <c r="Y571" s="5" t="s">
        <v>4022</v>
      </c>
      <c r="Z571" s="5" t="s">
        <v>3790</v>
      </c>
      <c r="AA571" s="6">
        <v>0</v>
      </c>
      <c r="AB571" s="7" t="s">
        <v>7602</v>
      </c>
      <c r="AC571" s="7" t="str">
        <f>A571&amp;COUNTIF($A$2:A571,A571)</f>
        <v>110WW310-50002</v>
      </c>
      <c r="AD571" s="7">
        <v>44915</v>
      </c>
      <c r="AE571" s="7">
        <v>44915</v>
      </c>
      <c r="AF571" s="7">
        <v>45013</v>
      </c>
      <c r="AG571" s="5">
        <v>98</v>
      </c>
      <c r="AH571" s="5">
        <v>49</v>
      </c>
      <c r="AI571" s="5">
        <v>14</v>
      </c>
      <c r="AJ571" s="5">
        <v>1650</v>
      </c>
      <c r="AK571" s="5" t="str">
        <f t="shared" ca="1" si="8"/>
        <v>within range</v>
      </c>
    </row>
    <row r="572" spans="1:37">
      <c r="A572" s="32" t="s">
        <v>3143</v>
      </c>
      <c r="B572" s="32">
        <v>7127</v>
      </c>
      <c r="C572" s="32" t="s">
        <v>3142</v>
      </c>
      <c r="G572" s="34">
        <v>1400</v>
      </c>
      <c r="H572" s="7">
        <v>44946</v>
      </c>
      <c r="O572" s="36">
        <v>6.75</v>
      </c>
      <c r="P572" s="32" t="s">
        <v>6066</v>
      </c>
      <c r="Q572" s="5" t="s">
        <v>3702</v>
      </c>
      <c r="R572" s="5" t="s">
        <v>4437</v>
      </c>
      <c r="S572" s="6">
        <v>0</v>
      </c>
      <c r="T572" s="6">
        <v>0</v>
      </c>
      <c r="U572" s="6">
        <v>0</v>
      </c>
      <c r="V572" s="7">
        <v>44946</v>
      </c>
      <c r="W572" s="7" t="s">
        <v>3790</v>
      </c>
      <c r="X572" s="7" t="s">
        <v>3790</v>
      </c>
      <c r="Y572" s="5" t="s">
        <v>4022</v>
      </c>
      <c r="Z572" s="5" t="s">
        <v>3790</v>
      </c>
      <c r="AA572" s="6">
        <v>0</v>
      </c>
      <c r="AB572" s="7" t="s">
        <v>4439</v>
      </c>
      <c r="AC572" s="7" t="str">
        <f>A572&amp;COUNTIF($A$2:A572,A572)</f>
        <v>110WW310-62001</v>
      </c>
      <c r="AD572" s="7">
        <v>44805</v>
      </c>
      <c r="AE572" s="7">
        <v>44946</v>
      </c>
      <c r="AF572" s="7">
        <v>44995</v>
      </c>
      <c r="AG572" s="5">
        <v>98</v>
      </c>
      <c r="AH572" s="5">
        <v>49</v>
      </c>
      <c r="AI572" s="5">
        <v>14</v>
      </c>
      <c r="AJ572" s="5">
        <v>1400</v>
      </c>
      <c r="AK572" s="5" t="str">
        <f t="shared" ca="1" si="8"/>
        <v>within range</v>
      </c>
    </row>
    <row r="573" spans="1:37">
      <c r="A573" s="32" t="s">
        <v>3143</v>
      </c>
      <c r="B573" s="32">
        <v>7226</v>
      </c>
      <c r="C573" s="32" t="s">
        <v>3142</v>
      </c>
      <c r="G573" s="34">
        <v>1650</v>
      </c>
      <c r="O573" s="36">
        <v>5.77</v>
      </c>
      <c r="Q573" s="5" t="s">
        <v>3702</v>
      </c>
      <c r="R573" s="5" t="s">
        <v>7601</v>
      </c>
      <c r="S573" s="6">
        <v>0</v>
      </c>
      <c r="T573" s="6">
        <v>0</v>
      </c>
      <c r="U573" s="6">
        <v>0</v>
      </c>
      <c r="V573" s="7" t="s">
        <v>3790</v>
      </c>
      <c r="W573" s="7" t="s">
        <v>3790</v>
      </c>
      <c r="X573" s="7" t="s">
        <v>3790</v>
      </c>
      <c r="Y573" s="5" t="s">
        <v>4022</v>
      </c>
      <c r="Z573" s="5" t="s">
        <v>3790</v>
      </c>
      <c r="AA573" s="6">
        <v>0</v>
      </c>
      <c r="AB573" s="7" t="s">
        <v>7603</v>
      </c>
      <c r="AC573" s="7" t="str">
        <f>A573&amp;COUNTIF($A$2:A573,A573)</f>
        <v>110WW310-62002</v>
      </c>
      <c r="AD573" s="7">
        <v>44915</v>
      </c>
      <c r="AE573" s="7">
        <v>44915</v>
      </c>
      <c r="AF573" s="7">
        <v>45013</v>
      </c>
      <c r="AG573" s="5">
        <v>98</v>
      </c>
      <c r="AH573" s="5">
        <v>49</v>
      </c>
      <c r="AI573" s="5">
        <v>14</v>
      </c>
      <c r="AJ573" s="5">
        <v>1650</v>
      </c>
      <c r="AK573" s="5" t="str">
        <f t="shared" ca="1" si="8"/>
        <v>within range</v>
      </c>
    </row>
    <row r="574" spans="1:37">
      <c r="A574" s="32" t="s">
        <v>3152</v>
      </c>
      <c r="B574" s="32">
        <v>7232</v>
      </c>
      <c r="C574" s="32" t="s">
        <v>3151</v>
      </c>
      <c r="D574" s="32" t="s">
        <v>3663</v>
      </c>
      <c r="G574" s="34">
        <v>2200</v>
      </c>
      <c r="H574" s="7">
        <v>44988</v>
      </c>
      <c r="N574" s="32">
        <v>3</v>
      </c>
      <c r="O574" s="36">
        <v>5.78</v>
      </c>
      <c r="Q574" s="5" t="s">
        <v>3787</v>
      </c>
      <c r="R574" s="5" t="s">
        <v>7725</v>
      </c>
      <c r="S574" s="6">
        <v>0</v>
      </c>
      <c r="T574" s="6">
        <v>0</v>
      </c>
      <c r="U574" s="6">
        <v>0</v>
      </c>
      <c r="V574" s="7">
        <v>44988</v>
      </c>
      <c r="W574" s="7" t="s">
        <v>3790</v>
      </c>
      <c r="X574" s="7" t="s">
        <v>3790</v>
      </c>
      <c r="Y574" s="5" t="s">
        <v>4022</v>
      </c>
      <c r="Z574" s="5" t="s">
        <v>3790</v>
      </c>
      <c r="AA574" s="6">
        <v>0</v>
      </c>
      <c r="AB574" s="7" t="s">
        <v>7763</v>
      </c>
      <c r="AC574" s="7" t="str">
        <f>A574&amp;COUNTIF($A$2:A574,A574)</f>
        <v>110WW780-62002</v>
      </c>
      <c r="AD574" s="7">
        <v>44924</v>
      </c>
      <c r="AE574" s="7">
        <v>44988</v>
      </c>
      <c r="AF574" s="7">
        <v>45030</v>
      </c>
      <c r="AG574" s="5">
        <v>168</v>
      </c>
      <c r="AH574" s="5">
        <v>42</v>
      </c>
      <c r="AI574" s="5">
        <v>14</v>
      </c>
      <c r="AJ574" s="5">
        <v>2200</v>
      </c>
      <c r="AK574" s="5" t="str">
        <f t="shared" ca="1" si="8"/>
        <v>within range</v>
      </c>
    </row>
    <row r="575" spans="1:37">
      <c r="A575" s="32" t="s">
        <v>3155</v>
      </c>
      <c r="B575" s="32">
        <v>7060</v>
      </c>
      <c r="C575" s="32" t="s">
        <v>3154</v>
      </c>
      <c r="D575" s="32" t="s">
        <v>3663</v>
      </c>
      <c r="G575" s="34">
        <v>4400</v>
      </c>
      <c r="H575" s="7">
        <v>44854</v>
      </c>
      <c r="I575" s="32" t="s">
        <v>3526</v>
      </c>
      <c r="J575" s="34">
        <v>5822</v>
      </c>
      <c r="K575" s="7">
        <v>44956</v>
      </c>
      <c r="L575" s="7">
        <v>45046</v>
      </c>
      <c r="M575" s="34">
        <v>1422</v>
      </c>
      <c r="N575" s="32">
        <v>3</v>
      </c>
      <c r="O575" s="36">
        <v>5.0199999999999996</v>
      </c>
      <c r="P575" s="32" t="s">
        <v>7723</v>
      </c>
      <c r="Q575" s="5" t="s">
        <v>3787</v>
      </c>
      <c r="R575" s="5" t="s">
        <v>4277</v>
      </c>
      <c r="S575" s="6">
        <v>0</v>
      </c>
      <c r="T575" s="6">
        <v>-1422</v>
      </c>
      <c r="U575" s="6">
        <v>5822</v>
      </c>
      <c r="V575" s="7">
        <v>44854</v>
      </c>
      <c r="W575" s="7">
        <v>44956</v>
      </c>
      <c r="X575" s="7">
        <v>45046</v>
      </c>
      <c r="Y575" s="5" t="s">
        <v>4022</v>
      </c>
      <c r="Z575" s="5" t="s">
        <v>3790</v>
      </c>
      <c r="AA575" s="6">
        <v>-1422</v>
      </c>
      <c r="AB575" s="7" t="s">
        <v>4441</v>
      </c>
      <c r="AC575" s="7" t="str">
        <f>A575&amp;COUNTIF($A$2:A575,A575)</f>
        <v>110WW900-62001</v>
      </c>
      <c r="AD575" s="7">
        <v>44736</v>
      </c>
      <c r="AE575" s="7">
        <v>44956</v>
      </c>
      <c r="AF575" s="7">
        <v>44970</v>
      </c>
      <c r="AG575" s="5">
        <v>168</v>
      </c>
      <c r="AH575" s="5">
        <v>42</v>
      </c>
      <c r="AI575" s="5">
        <v>14</v>
      </c>
      <c r="AJ575" s="5">
        <v>4400</v>
      </c>
      <c r="AK575" s="5" t="str">
        <f t="shared" ca="1" si="8"/>
        <v>run complete</v>
      </c>
    </row>
    <row r="576" spans="1:37">
      <c r="A576" s="32" t="s">
        <v>7765</v>
      </c>
      <c r="B576" s="32">
        <v>7215</v>
      </c>
      <c r="C576" s="32" t="s">
        <v>1904</v>
      </c>
      <c r="G576" s="34">
        <v>3000</v>
      </c>
      <c r="H576" s="7" t="s">
        <v>7718</v>
      </c>
      <c r="N576" s="32">
        <v>6</v>
      </c>
      <c r="O576" s="36">
        <v>4.8</v>
      </c>
      <c r="P576" s="32" t="s">
        <v>7766</v>
      </c>
      <c r="Q576" s="5" t="s">
        <v>893</v>
      </c>
      <c r="R576" s="5" t="s">
        <v>7720</v>
      </c>
      <c r="S576" s="6">
        <v>0</v>
      </c>
      <c r="T576" s="6">
        <v>0</v>
      </c>
      <c r="U576" s="6">
        <v>0</v>
      </c>
      <c r="V576" s="7" t="e">
        <v>#VALUE!</v>
      </c>
      <c r="W576" s="7" t="s">
        <v>3790</v>
      </c>
      <c r="X576" s="7" t="s">
        <v>3790</v>
      </c>
      <c r="Y576" s="5" t="s">
        <v>4022</v>
      </c>
      <c r="Z576" s="5" t="s">
        <v>3790</v>
      </c>
      <c r="AA576" s="6">
        <v>0</v>
      </c>
      <c r="AB576" s="7" t="s">
        <v>7767</v>
      </c>
      <c r="AC576" s="7" t="str">
        <f>A576&amp;COUNTIF($A$2:A576,A576)</f>
        <v>110WW971-62001</v>
      </c>
      <c r="AD576" s="7">
        <v>44904</v>
      </c>
      <c r="AE576" s="7" t="e">
        <v>#VALUE!</v>
      </c>
      <c r="AF576" s="7" t="e">
        <v>#VALUE!</v>
      </c>
      <c r="AG576" s="5" t="e">
        <v>#N/A</v>
      </c>
      <c r="AH576" s="5" t="e">
        <v>#N/A</v>
      </c>
      <c r="AI576" s="5" t="e">
        <v>#N/A</v>
      </c>
      <c r="AJ576" s="5">
        <v>3000</v>
      </c>
      <c r="AK576" s="5" t="str">
        <f t="shared" ca="1" si="8"/>
        <v>missing supplier data</v>
      </c>
    </row>
    <row r="577" spans="1:37">
      <c r="A577" s="32" t="s">
        <v>3162</v>
      </c>
      <c r="B577" s="32">
        <v>7184</v>
      </c>
      <c r="C577" s="32" t="s">
        <v>3163</v>
      </c>
      <c r="G577" s="34">
        <v>4000</v>
      </c>
      <c r="H577" s="7">
        <v>44938</v>
      </c>
      <c r="N577" s="32">
        <v>6</v>
      </c>
      <c r="O577" s="36">
        <v>3.83</v>
      </c>
      <c r="P577" s="32" t="s">
        <v>5921</v>
      </c>
      <c r="Q577" s="5" t="s">
        <v>893</v>
      </c>
      <c r="R577" s="5" t="s">
        <v>5862</v>
      </c>
      <c r="S577" s="6">
        <v>0</v>
      </c>
      <c r="T577" s="6">
        <v>0</v>
      </c>
      <c r="U577" s="6">
        <v>0</v>
      </c>
      <c r="V577" s="7">
        <v>44938</v>
      </c>
      <c r="W577" s="7" t="s">
        <v>3790</v>
      </c>
      <c r="X577" s="7" t="s">
        <v>3790</v>
      </c>
      <c r="Y577" s="5" t="s">
        <v>4022</v>
      </c>
      <c r="Z577" s="5" t="s">
        <v>3790</v>
      </c>
      <c r="AA577" s="6">
        <v>0</v>
      </c>
      <c r="AB577" s="7" t="s">
        <v>5922</v>
      </c>
      <c r="AC577" s="7" t="str">
        <f>A577&amp;COUNTIF($A$2:A577,A577)</f>
        <v>110WX115-50002</v>
      </c>
      <c r="AD577" s="7">
        <v>44854</v>
      </c>
      <c r="AE577" s="7">
        <v>44938</v>
      </c>
      <c r="AF577" s="7">
        <v>44952</v>
      </c>
      <c r="AG577" s="5">
        <v>140</v>
      </c>
      <c r="AH577" s="5">
        <v>14</v>
      </c>
      <c r="AI577" s="5">
        <v>14</v>
      </c>
      <c r="AJ577" s="5">
        <v>4000</v>
      </c>
      <c r="AK577" s="5" t="str">
        <f t="shared" ca="1" si="8"/>
        <v>within range</v>
      </c>
    </row>
    <row r="578" spans="1:37">
      <c r="A578" s="32" t="s">
        <v>3164</v>
      </c>
      <c r="B578" s="32">
        <v>7184</v>
      </c>
      <c r="C578" s="32" t="s">
        <v>3163</v>
      </c>
      <c r="G578" s="34">
        <v>16000</v>
      </c>
      <c r="H578" s="7">
        <v>44938</v>
      </c>
      <c r="N578" s="32">
        <v>6</v>
      </c>
      <c r="O578" s="36">
        <v>3.83</v>
      </c>
      <c r="P578" s="32" t="s">
        <v>5923</v>
      </c>
      <c r="Q578" s="5" t="s">
        <v>893</v>
      </c>
      <c r="R578" s="5" t="s">
        <v>5862</v>
      </c>
      <c r="S578" s="6">
        <v>0</v>
      </c>
      <c r="T578" s="6">
        <v>0</v>
      </c>
      <c r="U578" s="6">
        <v>0</v>
      </c>
      <c r="V578" s="7">
        <v>44938</v>
      </c>
      <c r="W578" s="7" t="s">
        <v>3790</v>
      </c>
      <c r="X578" s="7" t="s">
        <v>3790</v>
      </c>
      <c r="Y578" s="5" t="s">
        <v>4022</v>
      </c>
      <c r="Z578" s="5" t="s">
        <v>3790</v>
      </c>
      <c r="AA578" s="6">
        <v>0</v>
      </c>
      <c r="AB578" s="7" t="s">
        <v>5924</v>
      </c>
      <c r="AC578" s="7" t="str">
        <f>A578&amp;COUNTIF($A$2:A578,A578)</f>
        <v>110WX115-62002</v>
      </c>
      <c r="AD578" s="7">
        <v>44854</v>
      </c>
      <c r="AE578" s="7">
        <v>44938</v>
      </c>
      <c r="AF578" s="7">
        <v>44952</v>
      </c>
      <c r="AG578" s="5">
        <v>140</v>
      </c>
      <c r="AH578" s="5">
        <v>14</v>
      </c>
      <c r="AI578" s="5">
        <v>14</v>
      </c>
      <c r="AJ578" s="5">
        <v>16000</v>
      </c>
      <c r="AK578" s="5" t="str">
        <f t="shared" ref="AK578:AK599" ca="1" si="9">IFERROR(IF(OR(U578&lt;&gt;0,W578&lt;&gt;"",Y578="releasable",I578&lt;&gt;"",SUM(S578:T578)&gt;0),"run complete",IF(AND(Y578="not releasable",I578="",U578=0,V578&lt;TODAY()),"Past Due","within range")),"missing supplier data")</f>
        <v>within range</v>
      </c>
    </row>
    <row r="579" spans="1:37">
      <c r="A579" s="32" t="s">
        <v>3188</v>
      </c>
      <c r="B579" s="32" t="s">
        <v>5385</v>
      </c>
      <c r="C579" s="32" t="s">
        <v>5387</v>
      </c>
      <c r="D579" s="32" t="s">
        <v>3701</v>
      </c>
      <c r="E579" s="34">
        <v>0</v>
      </c>
      <c r="F579" s="32" t="s">
        <v>3701</v>
      </c>
      <c r="G579" s="34">
        <v>2000</v>
      </c>
      <c r="H579" s="7">
        <v>45048</v>
      </c>
      <c r="I579" s="32" t="s">
        <v>3790</v>
      </c>
      <c r="J579" s="34">
        <v>0</v>
      </c>
      <c r="M579" s="34">
        <v>0</v>
      </c>
      <c r="N579" s="32" t="s">
        <v>3528</v>
      </c>
      <c r="O579" s="36">
        <v>4.63</v>
      </c>
      <c r="P579" s="32" t="s">
        <v>3701</v>
      </c>
      <c r="Q579" s="5" t="s">
        <v>3911</v>
      </c>
      <c r="R579" s="5" t="s">
        <v>5385</v>
      </c>
      <c r="S579" s="6">
        <v>0</v>
      </c>
      <c r="T579" s="6">
        <v>0</v>
      </c>
      <c r="U579" s="6">
        <v>0</v>
      </c>
      <c r="V579" s="7">
        <v>45048</v>
      </c>
      <c r="W579" s="7" t="s">
        <v>3790</v>
      </c>
      <c r="X579" s="7" t="s">
        <v>3790</v>
      </c>
      <c r="Y579" s="5" t="s">
        <v>4022</v>
      </c>
      <c r="Z579" s="5" t="s">
        <v>3790</v>
      </c>
      <c r="AA579" s="6">
        <v>0</v>
      </c>
      <c r="AB579" s="7" t="s">
        <v>5404</v>
      </c>
      <c r="AC579" s="7" t="str">
        <f>A579&amp;COUNTIF($A$2:A579,A579)</f>
        <v>110WZ005-50001</v>
      </c>
      <c r="AD579" s="7">
        <v>44812</v>
      </c>
      <c r="AE579" s="7">
        <v>45048</v>
      </c>
      <c r="AF579" s="7">
        <v>45062</v>
      </c>
      <c r="AG579" s="5">
        <v>196</v>
      </c>
      <c r="AH579" s="5">
        <v>14</v>
      </c>
      <c r="AI579" s="5">
        <v>14</v>
      </c>
      <c r="AJ579" s="5">
        <v>2000</v>
      </c>
      <c r="AK579" s="5" t="str">
        <f t="shared" ca="1" si="9"/>
        <v>within range</v>
      </c>
    </row>
    <row r="580" spans="1:37">
      <c r="A580" s="32" t="s">
        <v>3191</v>
      </c>
      <c r="B580" s="32" t="s">
        <v>5385</v>
      </c>
      <c r="C580" s="32" t="s">
        <v>5388</v>
      </c>
      <c r="D580" s="32" t="s">
        <v>3663</v>
      </c>
      <c r="E580" s="34">
        <v>0</v>
      </c>
      <c r="F580" s="32" t="s">
        <v>3701</v>
      </c>
      <c r="G580" s="34">
        <v>1000</v>
      </c>
      <c r="H580" s="7">
        <v>45048</v>
      </c>
      <c r="I580" s="32" t="s">
        <v>3790</v>
      </c>
      <c r="J580" s="34">
        <v>0</v>
      </c>
      <c r="M580" s="34">
        <v>0</v>
      </c>
      <c r="N580" s="32" t="s">
        <v>3528</v>
      </c>
      <c r="O580" s="36">
        <v>4.63</v>
      </c>
      <c r="P580" s="32" t="s">
        <v>3701</v>
      </c>
      <c r="Q580" s="5" t="s">
        <v>3911</v>
      </c>
      <c r="R580" s="5" t="s">
        <v>5385</v>
      </c>
      <c r="S580" s="6">
        <v>0</v>
      </c>
      <c r="T580" s="6">
        <v>0</v>
      </c>
      <c r="U580" s="6">
        <v>0</v>
      </c>
      <c r="V580" s="7">
        <v>45048</v>
      </c>
      <c r="W580" s="7" t="s">
        <v>3790</v>
      </c>
      <c r="X580" s="7" t="s">
        <v>3790</v>
      </c>
      <c r="Y580" s="5" t="s">
        <v>4022</v>
      </c>
      <c r="Z580" s="5" t="s">
        <v>3790</v>
      </c>
      <c r="AA580" s="6">
        <v>0</v>
      </c>
      <c r="AB580" s="7" t="s">
        <v>5405</v>
      </c>
      <c r="AC580" s="7" t="str">
        <f>A580&amp;COUNTIF($A$2:A580,A580)</f>
        <v>110WZ005-62001</v>
      </c>
      <c r="AD580" s="7">
        <v>44812</v>
      </c>
      <c r="AE580" s="7">
        <v>45048</v>
      </c>
      <c r="AF580" s="7">
        <v>45062</v>
      </c>
      <c r="AG580" s="5">
        <v>196</v>
      </c>
      <c r="AH580" s="5">
        <v>14</v>
      </c>
      <c r="AI580" s="5">
        <v>14</v>
      </c>
      <c r="AJ580" s="5">
        <v>1000</v>
      </c>
      <c r="AK580" s="5" t="str">
        <f t="shared" ca="1" si="9"/>
        <v>within range</v>
      </c>
    </row>
    <row r="581" spans="1:37">
      <c r="A581" s="32" t="s">
        <v>3196</v>
      </c>
      <c r="B581" s="32">
        <v>6979</v>
      </c>
      <c r="C581" s="32" t="s">
        <v>3678</v>
      </c>
      <c r="F581" s="32" t="s">
        <v>3661</v>
      </c>
      <c r="G581" s="34">
        <v>1000</v>
      </c>
      <c r="H581" s="7">
        <v>44859</v>
      </c>
      <c r="I581" s="32" t="s">
        <v>3658</v>
      </c>
      <c r="J581" s="34">
        <v>1093</v>
      </c>
      <c r="K581" s="7">
        <v>44931</v>
      </c>
      <c r="M581" s="34">
        <v>93</v>
      </c>
      <c r="N581" s="32">
        <v>3</v>
      </c>
      <c r="O581" s="36">
        <v>6.6</v>
      </c>
      <c r="Q581" s="5" t="s">
        <v>3662</v>
      </c>
      <c r="R581" s="5" t="s">
        <v>4448</v>
      </c>
      <c r="S581" s="6">
        <v>0</v>
      </c>
      <c r="T581" s="6">
        <v>-93</v>
      </c>
      <c r="U581" s="6">
        <v>1093</v>
      </c>
      <c r="V581" s="7">
        <v>44859</v>
      </c>
      <c r="W581" s="7">
        <v>44931</v>
      </c>
      <c r="X581" s="7" t="s">
        <v>3790</v>
      </c>
      <c r="Y581" s="5" t="s">
        <v>4022</v>
      </c>
      <c r="Z581" s="5" t="s">
        <v>3790</v>
      </c>
      <c r="AA581" s="6">
        <v>-93</v>
      </c>
      <c r="AB581" s="7" t="s">
        <v>4449</v>
      </c>
      <c r="AC581" s="7" t="str">
        <f>A581&amp;COUNTIF($A$2:A581,A581)</f>
        <v>110WZ017-50001</v>
      </c>
      <c r="AD581" s="7">
        <v>44658</v>
      </c>
      <c r="AE581" s="7">
        <v>44931</v>
      </c>
      <c r="AF581" s="7">
        <v>44945</v>
      </c>
      <c r="AG581" s="5">
        <v>154</v>
      </c>
      <c r="AH581" s="5">
        <v>70</v>
      </c>
      <c r="AI581" s="5">
        <v>14</v>
      </c>
      <c r="AJ581" s="5">
        <v>1000</v>
      </c>
      <c r="AK581" s="5" t="str">
        <f t="shared" ca="1" si="9"/>
        <v>run complete</v>
      </c>
    </row>
    <row r="582" spans="1:37">
      <c r="A582" s="32" t="s">
        <v>3198</v>
      </c>
      <c r="B582" s="32">
        <v>6979</v>
      </c>
      <c r="C582" s="32" t="s">
        <v>3678</v>
      </c>
      <c r="D582" s="32" t="s">
        <v>3663</v>
      </c>
      <c r="F582" s="32" t="s">
        <v>3661</v>
      </c>
      <c r="G582" s="34">
        <v>1500</v>
      </c>
      <c r="H582" s="7">
        <v>44859</v>
      </c>
      <c r="I582" s="32" t="s">
        <v>3658</v>
      </c>
      <c r="J582" s="34">
        <v>1626</v>
      </c>
      <c r="K582" s="7">
        <v>44931</v>
      </c>
      <c r="M582" s="34">
        <v>126</v>
      </c>
      <c r="N582" s="32">
        <v>3</v>
      </c>
      <c r="O582" s="36">
        <v>6.6</v>
      </c>
      <c r="Q582" s="5" t="s">
        <v>3662</v>
      </c>
      <c r="R582" s="5" t="s">
        <v>4448</v>
      </c>
      <c r="S582" s="6">
        <v>0</v>
      </c>
      <c r="T582" s="6">
        <v>-126</v>
      </c>
      <c r="U582" s="6">
        <v>1626</v>
      </c>
      <c r="V582" s="7">
        <v>44859</v>
      </c>
      <c r="W582" s="7">
        <v>44931</v>
      </c>
      <c r="X582" s="7" t="s">
        <v>3790</v>
      </c>
      <c r="Y582" s="5" t="s">
        <v>4022</v>
      </c>
      <c r="Z582" s="5" t="s">
        <v>3790</v>
      </c>
      <c r="AA582" s="6">
        <v>-126</v>
      </c>
      <c r="AB582" s="7" t="s">
        <v>4450</v>
      </c>
      <c r="AC582" s="7" t="str">
        <f>A582&amp;COUNTIF($A$2:A582,A582)</f>
        <v>110WZ017-62001</v>
      </c>
      <c r="AD582" s="7">
        <v>44658</v>
      </c>
      <c r="AE582" s="7">
        <v>44931</v>
      </c>
      <c r="AF582" s="7">
        <v>44945</v>
      </c>
      <c r="AG582" s="5">
        <v>154</v>
      </c>
      <c r="AH582" s="5">
        <v>70</v>
      </c>
      <c r="AI582" s="5">
        <v>14</v>
      </c>
      <c r="AJ582" s="5">
        <v>1500</v>
      </c>
      <c r="AK582" s="5" t="str">
        <f t="shared" ca="1" si="9"/>
        <v>run complete</v>
      </c>
    </row>
    <row r="583" spans="1:37">
      <c r="A583" s="32" t="s">
        <v>3205</v>
      </c>
      <c r="B583" s="32" t="s">
        <v>3968</v>
      </c>
      <c r="C583" s="32" t="s">
        <v>3972</v>
      </c>
      <c r="D583" s="32" t="s">
        <v>3701</v>
      </c>
      <c r="E583" s="34">
        <v>0</v>
      </c>
      <c r="F583" s="32" t="s">
        <v>3701</v>
      </c>
      <c r="G583" s="34">
        <v>3000</v>
      </c>
      <c r="H583" s="7">
        <v>44979</v>
      </c>
      <c r="I583" s="32" t="s">
        <v>3790</v>
      </c>
      <c r="J583" s="34">
        <v>0</v>
      </c>
      <c r="M583" s="34">
        <v>0</v>
      </c>
      <c r="N583" s="32" t="s">
        <v>3528</v>
      </c>
      <c r="O583" s="36">
        <v>4.63</v>
      </c>
      <c r="P583" s="32" t="s">
        <v>3701</v>
      </c>
      <c r="Q583" s="5" t="s">
        <v>3911</v>
      </c>
      <c r="R583" s="5" t="s">
        <v>3968</v>
      </c>
      <c r="S583" s="6">
        <v>0</v>
      </c>
      <c r="T583" s="6">
        <v>0</v>
      </c>
      <c r="U583" s="6">
        <v>0</v>
      </c>
      <c r="V583" s="7">
        <v>44979</v>
      </c>
      <c r="W583" s="7" t="s">
        <v>3790</v>
      </c>
      <c r="X583" s="7" t="s">
        <v>3790</v>
      </c>
      <c r="Y583" s="5" t="s">
        <v>4022</v>
      </c>
      <c r="Z583" s="5" t="s">
        <v>3790</v>
      </c>
      <c r="AA583" s="6">
        <v>0</v>
      </c>
      <c r="AB583" s="7" t="s">
        <v>4451</v>
      </c>
      <c r="AC583" s="7" t="str">
        <f>A583&amp;COUNTIF($A$2:A583,A583)</f>
        <v>110WZ028-50001</v>
      </c>
      <c r="AD583" s="7">
        <v>44761</v>
      </c>
      <c r="AE583" s="7">
        <v>44979</v>
      </c>
      <c r="AF583" s="7">
        <v>44993</v>
      </c>
      <c r="AG583" s="5">
        <v>196</v>
      </c>
      <c r="AH583" s="5">
        <v>14</v>
      </c>
      <c r="AI583" s="5">
        <v>14</v>
      </c>
      <c r="AJ583" s="5">
        <v>3000</v>
      </c>
      <c r="AK583" s="5" t="str">
        <f t="shared" ca="1" si="9"/>
        <v>within range</v>
      </c>
    </row>
    <row r="584" spans="1:37">
      <c r="A584" s="32" t="s">
        <v>3212</v>
      </c>
      <c r="B584" s="32" t="s">
        <v>3942</v>
      </c>
      <c r="C584" s="32" t="s">
        <v>3945</v>
      </c>
      <c r="D584" s="32" t="s">
        <v>3701</v>
      </c>
      <c r="E584" s="34">
        <v>0</v>
      </c>
      <c r="F584" s="32" t="s">
        <v>3701</v>
      </c>
      <c r="G584" s="34">
        <v>3000</v>
      </c>
      <c r="H584" s="7">
        <v>44958</v>
      </c>
      <c r="I584" s="32" t="s">
        <v>3790</v>
      </c>
      <c r="J584" s="34">
        <v>0</v>
      </c>
      <c r="M584" s="34">
        <v>0</v>
      </c>
      <c r="N584" s="32" t="s">
        <v>3528</v>
      </c>
      <c r="O584" s="36">
        <v>4.63</v>
      </c>
      <c r="P584" s="32" t="s">
        <v>3701</v>
      </c>
      <c r="Q584" s="5" t="s">
        <v>3911</v>
      </c>
      <c r="R584" s="5" t="s">
        <v>3942</v>
      </c>
      <c r="S584" s="6">
        <v>0</v>
      </c>
      <c r="T584" s="6">
        <v>0</v>
      </c>
      <c r="U584" s="6">
        <v>0</v>
      </c>
      <c r="V584" s="7">
        <v>44958</v>
      </c>
      <c r="W584" s="7" t="s">
        <v>3790</v>
      </c>
      <c r="X584" s="7" t="s">
        <v>3790</v>
      </c>
      <c r="Y584" s="5" t="s">
        <v>4022</v>
      </c>
      <c r="Z584" s="5" t="s">
        <v>3790</v>
      </c>
      <c r="AA584" s="6">
        <v>0</v>
      </c>
      <c r="AB584" s="7" t="s">
        <v>4452</v>
      </c>
      <c r="AC584" s="7" t="str">
        <f>A584&amp;COUNTIF($A$2:A584,A584)</f>
        <v>110WZ037-62001</v>
      </c>
      <c r="AD584" s="7">
        <v>44649</v>
      </c>
      <c r="AE584" s="7">
        <v>44958</v>
      </c>
      <c r="AF584" s="7">
        <v>44972</v>
      </c>
      <c r="AG584" s="5">
        <v>196</v>
      </c>
      <c r="AH584" s="5">
        <v>14</v>
      </c>
      <c r="AI584" s="5">
        <v>14</v>
      </c>
      <c r="AJ584" s="5">
        <v>3000</v>
      </c>
      <c r="AK584" s="5" t="str">
        <f t="shared" ca="1" si="9"/>
        <v>within range</v>
      </c>
    </row>
    <row r="585" spans="1:37">
      <c r="A585" s="32" t="s">
        <v>3218</v>
      </c>
      <c r="B585" s="32" t="s">
        <v>6174</v>
      </c>
      <c r="C585" s="32" t="s">
        <v>6175</v>
      </c>
      <c r="D585" s="32" t="s">
        <v>3701</v>
      </c>
      <c r="E585" s="34">
        <v>0</v>
      </c>
      <c r="F585" s="32" t="s">
        <v>3701</v>
      </c>
      <c r="G585" s="34">
        <v>2500</v>
      </c>
      <c r="H585" s="7">
        <v>45056</v>
      </c>
      <c r="I585" s="32" t="s">
        <v>3790</v>
      </c>
      <c r="J585" s="34">
        <v>0</v>
      </c>
      <c r="M585" s="34">
        <v>0</v>
      </c>
      <c r="N585" s="32" t="s">
        <v>3528</v>
      </c>
      <c r="O585" s="36">
        <v>4.84</v>
      </c>
      <c r="P585" s="32" t="s">
        <v>3701</v>
      </c>
      <c r="Q585" s="5" t="s">
        <v>3911</v>
      </c>
      <c r="R585" s="5" t="s">
        <v>6174</v>
      </c>
      <c r="S585" s="6">
        <v>0</v>
      </c>
      <c r="T585" s="6">
        <v>0</v>
      </c>
      <c r="U585" s="6">
        <v>0</v>
      </c>
      <c r="V585" s="7">
        <v>45056</v>
      </c>
      <c r="W585" s="7" t="s">
        <v>3790</v>
      </c>
      <c r="X585" s="7" t="s">
        <v>3790</v>
      </c>
      <c r="Y585" s="5" t="s">
        <v>4022</v>
      </c>
      <c r="Z585" s="5" t="s">
        <v>3790</v>
      </c>
      <c r="AA585" s="6">
        <v>0</v>
      </c>
      <c r="AB585" s="7" t="s">
        <v>6176</v>
      </c>
      <c r="AC585" s="7" t="str">
        <f>A585&amp;COUNTIF($A$2:A585,A585)</f>
        <v>110WZ049-50001</v>
      </c>
      <c r="AD585" s="7">
        <v>44875</v>
      </c>
      <c r="AE585" s="7">
        <v>45056</v>
      </c>
      <c r="AF585" s="7">
        <v>45070</v>
      </c>
      <c r="AG585" s="5">
        <v>196</v>
      </c>
      <c r="AH585" s="5">
        <v>14</v>
      </c>
      <c r="AI585" s="5">
        <v>14</v>
      </c>
      <c r="AJ585" s="5">
        <v>2500</v>
      </c>
      <c r="AK585" s="5" t="str">
        <f t="shared" ca="1" si="9"/>
        <v>within range</v>
      </c>
    </row>
    <row r="586" spans="1:37">
      <c r="A586" s="32" t="s">
        <v>3220</v>
      </c>
      <c r="B586" s="32" t="s">
        <v>6174</v>
      </c>
      <c r="C586" s="32" t="s">
        <v>6177</v>
      </c>
      <c r="D586" s="32" t="s">
        <v>3701</v>
      </c>
      <c r="E586" s="34">
        <v>0</v>
      </c>
      <c r="F586" s="32" t="s">
        <v>3701</v>
      </c>
      <c r="G586" s="34">
        <v>2500</v>
      </c>
      <c r="H586" s="7">
        <v>45056</v>
      </c>
      <c r="I586" s="32" t="s">
        <v>3790</v>
      </c>
      <c r="J586" s="34">
        <v>0</v>
      </c>
      <c r="M586" s="34">
        <v>0</v>
      </c>
      <c r="N586" s="32" t="s">
        <v>3528</v>
      </c>
      <c r="O586" s="36">
        <v>4.84</v>
      </c>
      <c r="P586" s="32" t="s">
        <v>3701</v>
      </c>
      <c r="Q586" s="5" t="s">
        <v>3911</v>
      </c>
      <c r="R586" s="5" t="s">
        <v>6174</v>
      </c>
      <c r="S586" s="6">
        <v>0</v>
      </c>
      <c r="T586" s="6">
        <v>0</v>
      </c>
      <c r="U586" s="6">
        <v>0</v>
      </c>
      <c r="V586" s="7">
        <v>45056</v>
      </c>
      <c r="W586" s="7" t="s">
        <v>3790</v>
      </c>
      <c r="X586" s="7" t="s">
        <v>3790</v>
      </c>
      <c r="Y586" s="5" t="s">
        <v>4022</v>
      </c>
      <c r="Z586" s="5" t="s">
        <v>3790</v>
      </c>
      <c r="AA586" s="6">
        <v>0</v>
      </c>
      <c r="AB586" s="7" t="s">
        <v>6178</v>
      </c>
      <c r="AC586" s="7" t="str">
        <f>A586&amp;COUNTIF($A$2:A586,A586)</f>
        <v>110WZ049-62001</v>
      </c>
      <c r="AD586" s="7">
        <v>44875</v>
      </c>
      <c r="AE586" s="7">
        <v>45056</v>
      </c>
      <c r="AF586" s="7">
        <v>45070</v>
      </c>
      <c r="AG586" s="5">
        <v>196</v>
      </c>
      <c r="AH586" s="5">
        <v>14</v>
      </c>
      <c r="AI586" s="5">
        <v>14</v>
      </c>
      <c r="AJ586" s="5">
        <v>2500</v>
      </c>
      <c r="AK586" s="5" t="str">
        <f t="shared" ca="1" si="9"/>
        <v>within range</v>
      </c>
    </row>
    <row r="587" spans="1:37">
      <c r="A587" s="32" t="s">
        <v>3230</v>
      </c>
      <c r="B587" s="32" t="s">
        <v>3647</v>
      </c>
      <c r="C587" s="32" t="s">
        <v>3648</v>
      </c>
      <c r="E587" s="34" t="s">
        <v>3527</v>
      </c>
      <c r="G587" s="34" t="s">
        <v>7604</v>
      </c>
      <c r="H587" s="7" t="s">
        <v>6406</v>
      </c>
      <c r="J587" s="34" t="s">
        <v>3527</v>
      </c>
      <c r="N587" s="32" t="s">
        <v>3532</v>
      </c>
      <c r="O587" s="36" t="s">
        <v>7605</v>
      </c>
      <c r="Q587" s="5" t="s">
        <v>5428</v>
      </c>
      <c r="R587" s="5" t="s">
        <v>3605</v>
      </c>
      <c r="S587" s="6">
        <v>0</v>
      </c>
      <c r="T587" s="6">
        <v>0</v>
      </c>
      <c r="U587" s="6">
        <v>0</v>
      </c>
      <c r="V587" s="7">
        <v>44928</v>
      </c>
      <c r="W587" s="7" t="s">
        <v>3790</v>
      </c>
      <c r="X587" s="7" t="s">
        <v>3790</v>
      </c>
      <c r="Y587" s="5" t="s">
        <v>4022</v>
      </c>
      <c r="Z587" s="5" t="s">
        <v>3790</v>
      </c>
      <c r="AA587" s="6">
        <v>0</v>
      </c>
      <c r="AB587" s="7" t="s">
        <v>5926</v>
      </c>
      <c r="AC587" s="7" t="str">
        <f>A587&amp;COUNTIF($A$2:A587,A587)</f>
        <v>110WZ055-50001</v>
      </c>
      <c r="AD587" s="7">
        <v>44749</v>
      </c>
      <c r="AE587" s="7">
        <v>44928</v>
      </c>
      <c r="AF587" s="7">
        <v>44984</v>
      </c>
      <c r="AG587" s="5">
        <v>84</v>
      </c>
      <c r="AH587" s="5">
        <v>56</v>
      </c>
      <c r="AI587" s="5">
        <v>14</v>
      </c>
      <c r="AJ587" s="5">
        <v>3296</v>
      </c>
      <c r="AK587" s="5" t="str">
        <f t="shared" ca="1" si="9"/>
        <v>Past Due</v>
      </c>
    </row>
    <row r="588" spans="1:37">
      <c r="A588" s="32" t="s">
        <v>3232</v>
      </c>
      <c r="B588" s="32" t="s">
        <v>3647</v>
      </c>
      <c r="C588" s="32" t="s">
        <v>3648</v>
      </c>
      <c r="E588" s="34" t="s">
        <v>3527</v>
      </c>
      <c r="G588" s="34" t="s">
        <v>3566</v>
      </c>
      <c r="H588" s="7" t="s">
        <v>6406</v>
      </c>
      <c r="J588" s="34" t="s">
        <v>3527</v>
      </c>
      <c r="N588" s="32" t="s">
        <v>3532</v>
      </c>
      <c r="O588" s="36" t="s">
        <v>7605</v>
      </c>
      <c r="Q588" s="5" t="s">
        <v>5428</v>
      </c>
      <c r="R588" s="5" t="s">
        <v>3605</v>
      </c>
      <c r="S588" s="6">
        <v>0</v>
      </c>
      <c r="T588" s="6">
        <v>0</v>
      </c>
      <c r="U588" s="6">
        <v>0</v>
      </c>
      <c r="V588" s="7">
        <v>44928</v>
      </c>
      <c r="W588" s="7" t="s">
        <v>3790</v>
      </c>
      <c r="X588" s="7" t="s">
        <v>3790</v>
      </c>
      <c r="Y588" s="5" t="s">
        <v>4022</v>
      </c>
      <c r="Z588" s="5" t="s">
        <v>3790</v>
      </c>
      <c r="AA588" s="6">
        <v>0</v>
      </c>
      <c r="AB588" s="7" t="s">
        <v>4453</v>
      </c>
      <c r="AC588" s="7" t="str">
        <f>A588&amp;COUNTIF($A$2:A588,A588)</f>
        <v>110WZ055-62001</v>
      </c>
      <c r="AD588" s="7">
        <v>44749</v>
      </c>
      <c r="AE588" s="7">
        <v>44928</v>
      </c>
      <c r="AF588" s="7">
        <v>44984</v>
      </c>
      <c r="AG588" s="5">
        <v>84</v>
      </c>
      <c r="AH588" s="5">
        <v>56</v>
      </c>
      <c r="AI588" s="5">
        <v>14</v>
      </c>
      <c r="AJ588" s="5">
        <v>1100</v>
      </c>
      <c r="AK588" s="5" t="str">
        <f t="shared" ca="1" si="9"/>
        <v>Past Due</v>
      </c>
    </row>
    <row r="589" spans="1:37">
      <c r="A589" s="32" t="s">
        <v>3235</v>
      </c>
      <c r="B589" s="32" t="s">
        <v>3978</v>
      </c>
      <c r="C589" s="32" t="s">
        <v>3985</v>
      </c>
      <c r="D589" s="32" t="s">
        <v>3701</v>
      </c>
      <c r="E589" s="34">
        <v>0</v>
      </c>
      <c r="F589" s="32" t="s">
        <v>3701</v>
      </c>
      <c r="G589" s="34">
        <v>3000</v>
      </c>
      <c r="H589" s="7">
        <v>45020</v>
      </c>
      <c r="I589" s="32" t="s">
        <v>3790</v>
      </c>
      <c r="J589" s="34">
        <v>0</v>
      </c>
      <c r="M589" s="34">
        <v>0</v>
      </c>
      <c r="N589" s="32" t="s">
        <v>3528</v>
      </c>
      <c r="O589" s="36">
        <v>5.42</v>
      </c>
      <c r="P589" s="32" t="s">
        <v>3701</v>
      </c>
      <c r="Q589" s="5" t="s">
        <v>3911</v>
      </c>
      <c r="R589" s="5" t="s">
        <v>3978</v>
      </c>
      <c r="S589" s="6">
        <v>0</v>
      </c>
      <c r="T589" s="6">
        <v>0</v>
      </c>
      <c r="U589" s="6">
        <v>0</v>
      </c>
      <c r="V589" s="7">
        <v>45020</v>
      </c>
      <c r="W589" s="7" t="s">
        <v>3790</v>
      </c>
      <c r="X589" s="7" t="s">
        <v>3790</v>
      </c>
      <c r="Y589" s="5" t="s">
        <v>4022</v>
      </c>
      <c r="Z589" s="5" t="s">
        <v>3790</v>
      </c>
      <c r="AA589" s="6">
        <v>0</v>
      </c>
      <c r="AB589" s="7" t="s">
        <v>4454</v>
      </c>
      <c r="AC589" s="7" t="str">
        <f>A589&amp;COUNTIF($A$2:A589,A589)</f>
        <v>110WZ056-62001</v>
      </c>
      <c r="AD589" s="7">
        <v>44796</v>
      </c>
      <c r="AE589" s="7">
        <v>45020</v>
      </c>
      <c r="AF589" s="7">
        <v>45034</v>
      </c>
      <c r="AG589" s="5">
        <v>196</v>
      </c>
      <c r="AH589" s="5">
        <v>14</v>
      </c>
      <c r="AI589" s="5">
        <v>14</v>
      </c>
      <c r="AJ589" s="5">
        <v>3000</v>
      </c>
      <c r="AK589" s="5" t="str">
        <f t="shared" ca="1" si="9"/>
        <v>within range</v>
      </c>
    </row>
    <row r="590" spans="1:37">
      <c r="A590" s="32" t="s">
        <v>3236</v>
      </c>
      <c r="B590" s="32" t="s">
        <v>7567</v>
      </c>
      <c r="C590" s="32" t="s">
        <v>7606</v>
      </c>
      <c r="D590" s="32" t="s">
        <v>3701</v>
      </c>
      <c r="E590" s="34">
        <v>0</v>
      </c>
      <c r="F590" s="32" t="s">
        <v>3701</v>
      </c>
      <c r="G590" s="34">
        <v>2500</v>
      </c>
      <c r="H590" s="7">
        <v>45071</v>
      </c>
      <c r="I590" s="32" t="s">
        <v>3790</v>
      </c>
      <c r="J590" s="34">
        <v>0</v>
      </c>
      <c r="M590" s="34">
        <v>0</v>
      </c>
      <c r="N590" s="32" t="s">
        <v>3528</v>
      </c>
      <c r="O590" s="36">
        <v>4.63</v>
      </c>
      <c r="P590" s="32" t="s">
        <v>3701</v>
      </c>
      <c r="Q590" s="5" t="s">
        <v>3911</v>
      </c>
      <c r="R590" s="5" t="s">
        <v>7567</v>
      </c>
      <c r="S590" s="6">
        <v>0</v>
      </c>
      <c r="T590" s="6">
        <v>0</v>
      </c>
      <c r="U590" s="6">
        <v>0</v>
      </c>
      <c r="V590" s="7">
        <v>45071</v>
      </c>
      <c r="W590" s="7" t="s">
        <v>3790</v>
      </c>
      <c r="X590" s="7" t="s">
        <v>3790</v>
      </c>
      <c r="Y590" s="5" t="s">
        <v>4022</v>
      </c>
      <c r="Z590" s="5" t="s">
        <v>3790</v>
      </c>
      <c r="AA590" s="6">
        <v>0</v>
      </c>
      <c r="AB590" s="7" t="s">
        <v>7607</v>
      </c>
      <c r="AC590" s="7" t="str">
        <f>A590&amp;COUNTIF($A$2:A590,A590)</f>
        <v>110WZ057-50001</v>
      </c>
      <c r="AD590" s="7">
        <v>44910</v>
      </c>
      <c r="AE590" s="7">
        <v>45071</v>
      </c>
      <c r="AF590" s="7">
        <v>45085</v>
      </c>
      <c r="AG590" s="5">
        <v>196</v>
      </c>
      <c r="AH590" s="5">
        <v>14</v>
      </c>
      <c r="AI590" s="5">
        <v>14</v>
      </c>
      <c r="AJ590" s="5">
        <v>2500</v>
      </c>
      <c r="AK590" s="5" t="str">
        <f t="shared" ca="1" si="9"/>
        <v>within range</v>
      </c>
    </row>
    <row r="591" spans="1:37">
      <c r="A591" s="32" t="s">
        <v>3238</v>
      </c>
      <c r="B591" s="32" t="s">
        <v>7567</v>
      </c>
      <c r="C591" s="32" t="s">
        <v>3986</v>
      </c>
      <c r="D591" s="32" t="s">
        <v>3701</v>
      </c>
      <c r="E591" s="34">
        <v>0</v>
      </c>
      <c r="F591" s="32" t="s">
        <v>3701</v>
      </c>
      <c r="G591" s="34">
        <v>500</v>
      </c>
      <c r="H591" s="7">
        <v>45071</v>
      </c>
      <c r="I591" s="32" t="s">
        <v>3790</v>
      </c>
      <c r="J591" s="34">
        <v>0</v>
      </c>
      <c r="M591" s="34">
        <v>0</v>
      </c>
      <c r="N591" s="32" t="s">
        <v>3528</v>
      </c>
      <c r="O591" s="36">
        <v>4.63</v>
      </c>
      <c r="P591" s="32" t="s">
        <v>3701</v>
      </c>
      <c r="Q591" s="5" t="s">
        <v>3911</v>
      </c>
      <c r="R591" s="5" t="s">
        <v>7567</v>
      </c>
      <c r="S591" s="6">
        <v>0</v>
      </c>
      <c r="T591" s="6">
        <v>0</v>
      </c>
      <c r="U591" s="6">
        <v>0</v>
      </c>
      <c r="V591" s="7">
        <v>45071</v>
      </c>
      <c r="W591" s="7" t="s">
        <v>3790</v>
      </c>
      <c r="X591" s="7" t="s">
        <v>3790</v>
      </c>
      <c r="Y591" s="5" t="s">
        <v>4022</v>
      </c>
      <c r="Z591" s="5" t="s">
        <v>3790</v>
      </c>
      <c r="AA591" s="6">
        <v>0</v>
      </c>
      <c r="AB591" s="7" t="s">
        <v>7608</v>
      </c>
      <c r="AC591" s="7" t="str">
        <f>A591&amp;COUNTIF($A$2:A591,A591)</f>
        <v>110WZ057-62002</v>
      </c>
      <c r="AD591" s="7">
        <v>44910</v>
      </c>
      <c r="AE591" s="7">
        <v>45071</v>
      </c>
      <c r="AF591" s="7">
        <v>45085</v>
      </c>
      <c r="AG591" s="5">
        <v>196</v>
      </c>
      <c r="AH591" s="5">
        <v>14</v>
      </c>
      <c r="AI591" s="5">
        <v>14</v>
      </c>
      <c r="AJ591" s="5">
        <v>500</v>
      </c>
      <c r="AK591" s="5" t="str">
        <f t="shared" ca="1" si="9"/>
        <v>within range</v>
      </c>
    </row>
    <row r="592" spans="1:37">
      <c r="A592" s="32" t="s">
        <v>3239</v>
      </c>
      <c r="B592" s="32">
        <v>7190</v>
      </c>
      <c r="C592" s="32" t="s">
        <v>3240</v>
      </c>
      <c r="E592" s="34">
        <v>0</v>
      </c>
      <c r="F592" s="32" t="s">
        <v>3881</v>
      </c>
      <c r="G592" s="34">
        <v>2200</v>
      </c>
      <c r="H592" s="7">
        <v>44942</v>
      </c>
      <c r="N592" s="32">
        <v>6</v>
      </c>
      <c r="O592" s="36">
        <v>6.51</v>
      </c>
      <c r="Q592" s="5" t="s">
        <v>3882</v>
      </c>
      <c r="R592" s="5" t="s">
        <v>5927</v>
      </c>
      <c r="S592" s="6">
        <v>0</v>
      </c>
      <c r="T592" s="6">
        <v>0</v>
      </c>
      <c r="U592" s="6">
        <v>0</v>
      </c>
      <c r="V592" s="7">
        <v>44942</v>
      </c>
      <c r="W592" s="7" t="s">
        <v>3790</v>
      </c>
      <c r="X592" s="7" t="s">
        <v>3790</v>
      </c>
      <c r="Y592" s="5" t="s">
        <v>4022</v>
      </c>
      <c r="Z592" s="5" t="s">
        <v>3790</v>
      </c>
      <c r="AA592" s="6">
        <v>0</v>
      </c>
      <c r="AB592" s="7" t="s">
        <v>5928</v>
      </c>
      <c r="AC592" s="7" t="str">
        <f>A592&amp;COUNTIF($A$2:A592,A592)</f>
        <v>110WZ062-50001</v>
      </c>
      <c r="AD592" s="7">
        <v>44858</v>
      </c>
      <c r="AE592" s="7">
        <v>44942</v>
      </c>
      <c r="AF592" s="7">
        <v>44956</v>
      </c>
      <c r="AG592" s="5">
        <v>84</v>
      </c>
      <c r="AH592" s="5">
        <v>14</v>
      </c>
      <c r="AI592" s="5">
        <v>14</v>
      </c>
      <c r="AJ592" s="5">
        <v>2200</v>
      </c>
      <c r="AK592" s="5" t="str">
        <f t="shared" ca="1" si="9"/>
        <v>within range</v>
      </c>
    </row>
    <row r="593" spans="1:37">
      <c r="A593" s="32" t="s">
        <v>3267</v>
      </c>
      <c r="B593" s="32">
        <v>7073</v>
      </c>
      <c r="C593" s="32" t="s">
        <v>3680</v>
      </c>
      <c r="D593" s="32" t="s">
        <v>3663</v>
      </c>
      <c r="F593" s="32" t="s">
        <v>3661</v>
      </c>
      <c r="G593" s="34">
        <v>2500</v>
      </c>
      <c r="H593" s="7">
        <v>44859</v>
      </c>
      <c r="I593" s="32" t="s">
        <v>3658</v>
      </c>
      <c r="J593" s="34">
        <v>2697</v>
      </c>
      <c r="K593" s="7">
        <v>44931</v>
      </c>
      <c r="M593" s="34">
        <v>197</v>
      </c>
      <c r="N593" s="32">
        <v>3</v>
      </c>
      <c r="O593" s="36">
        <v>6.01</v>
      </c>
      <c r="Q593" s="5" t="s">
        <v>3662</v>
      </c>
      <c r="R593" s="5" t="s">
        <v>4398</v>
      </c>
      <c r="S593" s="6">
        <v>0</v>
      </c>
      <c r="T593" s="6">
        <v>-197</v>
      </c>
      <c r="U593" s="6">
        <v>2697</v>
      </c>
      <c r="V593" s="7">
        <v>44859</v>
      </c>
      <c r="W593" s="7">
        <v>44931</v>
      </c>
      <c r="X593" s="7" t="s">
        <v>3790</v>
      </c>
      <c r="Y593" s="5" t="s">
        <v>4022</v>
      </c>
      <c r="Z593" s="5" t="s">
        <v>3790</v>
      </c>
      <c r="AA593" s="6">
        <v>-197</v>
      </c>
      <c r="AB593" s="7" t="s">
        <v>4458</v>
      </c>
      <c r="AC593" s="7" t="str">
        <f>A593&amp;COUNTIF($A$2:A593,A593)</f>
        <v>110WZ207-62001</v>
      </c>
      <c r="AD593" s="7">
        <v>44750</v>
      </c>
      <c r="AE593" s="7">
        <v>44931</v>
      </c>
      <c r="AF593" s="7">
        <v>44945</v>
      </c>
      <c r="AG593" s="5">
        <v>154</v>
      </c>
      <c r="AH593" s="5">
        <v>70</v>
      </c>
      <c r="AI593" s="5">
        <v>14</v>
      </c>
      <c r="AJ593" s="5">
        <v>2500</v>
      </c>
      <c r="AK593" s="5" t="str">
        <f t="shared" ca="1" si="9"/>
        <v>run complete</v>
      </c>
    </row>
    <row r="594" spans="1:37">
      <c r="A594" s="32" t="s">
        <v>3292</v>
      </c>
      <c r="B594" s="32">
        <v>7103</v>
      </c>
      <c r="C594" s="32" t="s">
        <v>3681</v>
      </c>
      <c r="D594" s="32" t="s">
        <v>3663</v>
      </c>
      <c r="F594" s="32" t="s">
        <v>3661</v>
      </c>
      <c r="G594" s="34">
        <v>2500</v>
      </c>
      <c r="H594" s="7">
        <v>44962</v>
      </c>
      <c r="N594" s="32">
        <v>3</v>
      </c>
      <c r="O594" s="36">
        <v>8.0500000000000007</v>
      </c>
      <c r="P594" s="32" t="s">
        <v>6090</v>
      </c>
      <c r="Q594" s="5" t="s">
        <v>3662</v>
      </c>
      <c r="R594" s="5" t="s">
        <v>4460</v>
      </c>
      <c r="S594" s="6">
        <v>0</v>
      </c>
      <c r="T594" s="6">
        <v>0</v>
      </c>
      <c r="U594" s="6">
        <v>0</v>
      </c>
      <c r="V594" s="7">
        <v>44962</v>
      </c>
      <c r="W594" s="7" t="s">
        <v>3790</v>
      </c>
      <c r="X594" s="7" t="s">
        <v>3790</v>
      </c>
      <c r="Y594" s="5" t="s">
        <v>4022</v>
      </c>
      <c r="Z594" s="5" t="s">
        <v>3790</v>
      </c>
      <c r="AA594" s="6">
        <v>0</v>
      </c>
      <c r="AB594" s="7" t="s">
        <v>4461</v>
      </c>
      <c r="AC594" s="7" t="str">
        <f>A594&amp;COUNTIF($A$2:A594,A594)</f>
        <v>110WZ588-62001</v>
      </c>
      <c r="AD594" s="7">
        <v>44788</v>
      </c>
      <c r="AE594" s="7">
        <v>44962</v>
      </c>
      <c r="AF594" s="7">
        <v>45032</v>
      </c>
      <c r="AG594" s="5">
        <v>154</v>
      </c>
      <c r="AH594" s="5">
        <v>70</v>
      </c>
      <c r="AI594" s="5">
        <v>14</v>
      </c>
      <c r="AJ594" s="5">
        <v>2500</v>
      </c>
      <c r="AK594" s="5" t="str">
        <f t="shared" ca="1" si="9"/>
        <v>within range</v>
      </c>
    </row>
    <row r="595" spans="1:37">
      <c r="A595" s="32" t="s">
        <v>3295</v>
      </c>
      <c r="B595" s="32">
        <v>7222</v>
      </c>
      <c r="C595" s="32" t="s">
        <v>3890</v>
      </c>
      <c r="E595" s="34">
        <v>0</v>
      </c>
      <c r="F595" s="32" t="s">
        <v>3881</v>
      </c>
      <c r="G595" s="34">
        <v>2200</v>
      </c>
      <c r="H595" s="7">
        <v>44977</v>
      </c>
      <c r="N595" s="32">
        <v>6</v>
      </c>
      <c r="O595" s="36">
        <v>5.33</v>
      </c>
      <c r="Q595" s="5" t="s">
        <v>3882</v>
      </c>
      <c r="R595" s="5" t="s">
        <v>7543</v>
      </c>
      <c r="S595" s="6">
        <v>0</v>
      </c>
      <c r="T595" s="6">
        <v>0</v>
      </c>
      <c r="U595" s="6">
        <v>0</v>
      </c>
      <c r="V595" s="7">
        <v>44977</v>
      </c>
      <c r="W595" s="7" t="s">
        <v>3790</v>
      </c>
      <c r="X595" s="7" t="s">
        <v>3790</v>
      </c>
      <c r="Y595" s="5" t="s">
        <v>4022</v>
      </c>
      <c r="Z595" s="5" t="s">
        <v>3790</v>
      </c>
      <c r="AA595" s="6">
        <v>0</v>
      </c>
      <c r="AB595" s="7" t="s">
        <v>7544</v>
      </c>
      <c r="AC595" s="7" t="str">
        <f>A595&amp;COUNTIF($A$2:A595,A595)</f>
        <v>110WZ601-50001</v>
      </c>
      <c r="AD595" s="7">
        <v>44909</v>
      </c>
      <c r="AE595" s="7">
        <v>44977</v>
      </c>
      <c r="AF595" s="7">
        <v>44991</v>
      </c>
      <c r="AG595" s="5">
        <v>84</v>
      </c>
      <c r="AH595" s="5">
        <v>14</v>
      </c>
      <c r="AI595" s="5">
        <v>14</v>
      </c>
      <c r="AJ595" s="5">
        <v>2200</v>
      </c>
      <c r="AK595" s="5" t="str">
        <f t="shared" ca="1" si="9"/>
        <v>within range</v>
      </c>
    </row>
    <row r="596" spans="1:37">
      <c r="A596" s="32" t="s">
        <v>3298</v>
      </c>
      <c r="B596" s="32">
        <v>7222</v>
      </c>
      <c r="C596" s="32" t="s">
        <v>3890</v>
      </c>
      <c r="E596" s="34">
        <v>0</v>
      </c>
      <c r="F596" s="32" t="s">
        <v>3881</v>
      </c>
      <c r="G596" s="34">
        <v>1100</v>
      </c>
      <c r="H596" s="7">
        <v>44977</v>
      </c>
      <c r="N596" s="32">
        <v>6</v>
      </c>
      <c r="O596" s="36">
        <v>5.33</v>
      </c>
      <c r="Q596" s="5" t="s">
        <v>3882</v>
      </c>
      <c r="R596" s="5" t="s">
        <v>7543</v>
      </c>
      <c r="S596" s="6">
        <v>0</v>
      </c>
      <c r="T596" s="6">
        <v>0</v>
      </c>
      <c r="U596" s="6">
        <v>0</v>
      </c>
      <c r="V596" s="7">
        <v>44977</v>
      </c>
      <c r="W596" s="7" t="s">
        <v>3790</v>
      </c>
      <c r="X596" s="7" t="s">
        <v>3790</v>
      </c>
      <c r="Y596" s="5" t="s">
        <v>4022</v>
      </c>
      <c r="Z596" s="5" t="s">
        <v>3790</v>
      </c>
      <c r="AA596" s="6">
        <v>0</v>
      </c>
      <c r="AB596" s="7" t="s">
        <v>7545</v>
      </c>
      <c r="AC596" s="7" t="str">
        <f>A596&amp;COUNTIF($A$2:A596,A596)</f>
        <v>110WZ601-62001</v>
      </c>
      <c r="AD596" s="7">
        <v>44909</v>
      </c>
      <c r="AE596" s="7">
        <v>44977</v>
      </c>
      <c r="AF596" s="7">
        <v>44991</v>
      </c>
      <c r="AG596" s="5">
        <v>84</v>
      </c>
      <c r="AH596" s="5">
        <v>14</v>
      </c>
      <c r="AI596" s="5">
        <v>14</v>
      </c>
      <c r="AJ596" s="5">
        <v>1100</v>
      </c>
      <c r="AK596" s="5" t="str">
        <f t="shared" ca="1" si="9"/>
        <v>within range</v>
      </c>
    </row>
    <row r="597" spans="1:37">
      <c r="A597" s="32" t="s">
        <v>3314</v>
      </c>
      <c r="B597" s="32">
        <v>7073</v>
      </c>
      <c r="C597" s="32" t="s">
        <v>3676</v>
      </c>
      <c r="D597" s="32" t="s">
        <v>3663</v>
      </c>
      <c r="F597" s="32" t="s">
        <v>3661</v>
      </c>
      <c r="G597" s="34">
        <v>2500</v>
      </c>
      <c r="H597" s="7">
        <v>44862</v>
      </c>
      <c r="I597" s="32" t="s">
        <v>3658</v>
      </c>
      <c r="J597" s="34">
        <v>2873</v>
      </c>
      <c r="K597" s="7">
        <v>44931</v>
      </c>
      <c r="M597" s="34">
        <v>373</v>
      </c>
      <c r="N597" s="32">
        <v>3</v>
      </c>
      <c r="O597" s="36">
        <v>6.33</v>
      </c>
      <c r="Q597" s="5" t="s">
        <v>3662</v>
      </c>
      <c r="R597" s="5" t="s">
        <v>4398</v>
      </c>
      <c r="S597" s="6">
        <v>0</v>
      </c>
      <c r="T597" s="6">
        <v>-373</v>
      </c>
      <c r="U597" s="6">
        <v>2873</v>
      </c>
      <c r="V597" s="7">
        <v>44862</v>
      </c>
      <c r="W597" s="7">
        <v>44931</v>
      </c>
      <c r="X597" s="7" t="s">
        <v>3790</v>
      </c>
      <c r="Y597" s="5" t="s">
        <v>4022</v>
      </c>
      <c r="Z597" s="5" t="s">
        <v>3790</v>
      </c>
      <c r="AA597" s="6">
        <v>-373</v>
      </c>
      <c r="AB597" s="7" t="s">
        <v>4462</v>
      </c>
      <c r="AC597" s="7" t="str">
        <f>A597&amp;COUNTIF($A$2:A597,A597)</f>
        <v>110YSN02-62001</v>
      </c>
      <c r="AD597" s="7">
        <v>44750</v>
      </c>
      <c r="AE597" s="7">
        <v>44931</v>
      </c>
      <c r="AF597" s="7">
        <v>44945</v>
      </c>
      <c r="AG597" s="5">
        <v>154</v>
      </c>
      <c r="AH597" s="5">
        <v>70</v>
      </c>
      <c r="AI597" s="5">
        <v>14</v>
      </c>
      <c r="AJ597" s="5">
        <v>2500</v>
      </c>
      <c r="AK597" s="5" t="str">
        <f t="shared" ca="1" si="9"/>
        <v>run complete</v>
      </c>
    </row>
    <row r="598" spans="1:37">
      <c r="A598" s="32" t="s">
        <v>3513</v>
      </c>
      <c r="B598" s="32" t="s">
        <v>3514</v>
      </c>
      <c r="C598" s="32" t="s">
        <v>3515</v>
      </c>
      <c r="D598" s="32" t="s">
        <v>3996</v>
      </c>
      <c r="E598" s="34" t="s">
        <v>3516</v>
      </c>
      <c r="F598" s="32" t="s">
        <v>3517</v>
      </c>
      <c r="G598" s="34" t="s">
        <v>3518</v>
      </c>
      <c r="H598" s="7" t="s">
        <v>3650</v>
      </c>
      <c r="I598" s="32" t="s">
        <v>3519</v>
      </c>
      <c r="J598" s="34" t="s">
        <v>3997</v>
      </c>
      <c r="K598" s="7" t="s">
        <v>3651</v>
      </c>
      <c r="L598" s="7" t="s">
        <v>3520</v>
      </c>
      <c r="M598" s="34" t="s">
        <v>3704</v>
      </c>
      <c r="N598" s="32" t="s">
        <v>3521</v>
      </c>
      <c r="O598" s="36" t="s">
        <v>3522</v>
      </c>
      <c r="P598" s="32" t="s">
        <v>3523</v>
      </c>
      <c r="R598" s="5" t="s">
        <v>3514</v>
      </c>
      <c r="S598" s="6">
        <v>0</v>
      </c>
      <c r="T598" s="6">
        <v>0</v>
      </c>
      <c r="U598" s="6" t="e">
        <v>#VALUE!</v>
      </c>
      <c r="V598" s="7" t="e">
        <v>#VALUE!</v>
      </c>
      <c r="W598" s="7" t="e">
        <v>#VALUE!</v>
      </c>
      <c r="X598" s="7" t="e">
        <v>#VALUE!</v>
      </c>
      <c r="Y598" s="5" t="s">
        <v>4022</v>
      </c>
      <c r="Z598" s="5" t="e">
        <v>#VALUE!</v>
      </c>
      <c r="AA598" s="6" t="e">
        <v>#VALUE!</v>
      </c>
      <c r="AB598" s="7" t="s">
        <v>7609</v>
      </c>
      <c r="AC598" s="7" t="str">
        <f>A598&amp;COUNTIF($A$2:A598,A598)</f>
        <v>Panolam Product Code1</v>
      </c>
      <c r="AD598" s="7" t="s">
        <v>4068</v>
      </c>
      <c r="AE598" s="7" t="e">
        <v>#VALUE!</v>
      </c>
      <c r="AF598" s="7" t="e">
        <v>#VALUE!</v>
      </c>
      <c r="AG598" s="5" t="e">
        <v>#N/A</v>
      </c>
      <c r="AH598" s="5" t="e">
        <v>#N/A</v>
      </c>
      <c r="AI598" s="5" t="e">
        <v>#N/A</v>
      </c>
      <c r="AJ598" s="5" t="e">
        <v>#VALUE!</v>
      </c>
      <c r="AK598" s="5" t="str">
        <f t="shared" ca="1" si="9"/>
        <v>missing supplier data</v>
      </c>
    </row>
    <row r="599" spans="1:37">
      <c r="A599" s="32" t="s">
        <v>6381</v>
      </c>
      <c r="B599" s="32" t="s">
        <v>6382</v>
      </c>
      <c r="C599" s="32" t="s">
        <v>6381</v>
      </c>
      <c r="E599" s="34" t="s">
        <v>3527</v>
      </c>
      <c r="G599" s="34" t="s">
        <v>3531</v>
      </c>
      <c r="J599" s="34" t="s">
        <v>3527</v>
      </c>
      <c r="N599" s="32" t="s">
        <v>3528</v>
      </c>
      <c r="O599" s="36" t="s">
        <v>3527</v>
      </c>
      <c r="Q599" s="5" t="s">
        <v>5429</v>
      </c>
      <c r="R599" s="5" t="s">
        <v>6382</v>
      </c>
      <c r="S599" s="6">
        <v>0</v>
      </c>
      <c r="T599" s="6">
        <v>0</v>
      </c>
      <c r="U599" s="6">
        <v>0</v>
      </c>
      <c r="V599" s="7" t="s">
        <v>3790</v>
      </c>
      <c r="W599" s="7" t="s">
        <v>3790</v>
      </c>
      <c r="X599" s="7" t="s">
        <v>3790</v>
      </c>
      <c r="Y599" s="5" t="s">
        <v>4022</v>
      </c>
      <c r="Z599" s="5" t="s">
        <v>3790</v>
      </c>
      <c r="AA599" s="6">
        <v>0</v>
      </c>
      <c r="AB599" s="7" t="s">
        <v>6383</v>
      </c>
      <c r="AC599" s="7" t="str">
        <f>A599&amp;COUNTIF($A$2:A599,A599)</f>
        <v>TRIAL SOFT ISLAND BREEZE1</v>
      </c>
      <c r="AD599" s="7" t="s">
        <v>4068</v>
      </c>
      <c r="AE599" s="7" t="s">
        <v>4068</v>
      </c>
      <c r="AF599" s="7" t="e">
        <v>#VALUE!</v>
      </c>
      <c r="AG599" s="5" t="e">
        <v>#N/A</v>
      </c>
      <c r="AH599" s="5" t="e">
        <v>#N/A</v>
      </c>
      <c r="AI599" s="5" t="e">
        <v>#N/A</v>
      </c>
      <c r="AJ599" s="5">
        <v>2200</v>
      </c>
      <c r="AK599" s="5" t="str">
        <f t="shared" ca="1" si="9"/>
        <v>within range</v>
      </c>
    </row>
  </sheetData>
  <sortState xmlns:xlrd2="http://schemas.microsoft.com/office/spreadsheetml/2017/richdata2" ref="A2:AK599">
    <sortCondition descending="1" ref="Y2:Y2680"/>
    <sortCondition ref="A2:A2680"/>
    <sortCondition ref="R2:R2680"/>
    <sortCondition ref="X2:X2680"/>
  </sortState>
  <conditionalFormatting sqref="AB1:AB1048576">
    <cfRule type="duplicateValues" dxfId="959" priority="1"/>
    <cfRule type="duplicateValues" dxfId="958" priority="2"/>
    <cfRule type="duplicateValues" dxfId="957" priority="3"/>
    <cfRule type="duplicateValues" dxfId="956" priority="4"/>
    <cfRule type="duplicateValues" dxfId="955" priority="5"/>
    <cfRule type="duplicateValues" dxfId="954" priority="6"/>
    <cfRule type="duplicateValues" dxfId="953" priority="7"/>
    <cfRule type="duplicateValues" dxfId="952" priority="8"/>
    <cfRule type="duplicateValues" dxfId="951" priority="9"/>
    <cfRule type="duplicateValues" dxfId="950" priority="10"/>
    <cfRule type="duplicateValues" dxfId="949" priority="11"/>
    <cfRule type="duplicateValues" dxfId="948" priority="12"/>
    <cfRule type="duplicateValues" dxfId="947" priority="13"/>
    <cfRule type="duplicateValues" dxfId="946" priority="14"/>
    <cfRule type="duplicateValues" dxfId="945" priority="15"/>
    <cfRule type="duplicateValues" dxfId="944" priority="16"/>
    <cfRule type="duplicateValues" dxfId="943" priority="17"/>
    <cfRule type="duplicateValues" dxfId="942" priority="18"/>
    <cfRule type="duplicateValues" dxfId="941" priority="19"/>
    <cfRule type="duplicateValues" dxfId="940" priority="20"/>
    <cfRule type="duplicateValues" dxfId="939" priority="21"/>
    <cfRule type="duplicateValues" dxfId="938" priority="22"/>
    <cfRule type="duplicateValues" dxfId="937" priority="23"/>
    <cfRule type="duplicateValues" dxfId="936" priority="24"/>
    <cfRule type="duplicateValues" dxfId="935" priority="25"/>
    <cfRule type="duplicateValues" dxfId="934" priority="26"/>
    <cfRule type="duplicateValues" dxfId="933" priority="27"/>
    <cfRule type="duplicateValues" dxfId="932" priority="28"/>
    <cfRule type="duplicateValues" dxfId="931" priority="29"/>
    <cfRule type="duplicateValues" dxfId="930" priority="30"/>
    <cfRule type="duplicateValues" dxfId="929" priority="31"/>
    <cfRule type="duplicateValues" dxfId="928" priority="32"/>
    <cfRule type="duplicateValues" dxfId="927" priority="33"/>
    <cfRule type="duplicateValues" dxfId="926" priority="34"/>
    <cfRule type="duplicateValues" dxfId="925" priority="35"/>
    <cfRule type="duplicateValues" dxfId="924" priority="36"/>
    <cfRule type="duplicateValues" dxfId="923" priority="37"/>
    <cfRule type="duplicateValues" dxfId="922" priority="38"/>
    <cfRule type="duplicateValues" dxfId="921" priority="39"/>
    <cfRule type="duplicateValues" dxfId="920" priority="40"/>
    <cfRule type="duplicateValues" dxfId="919" priority="41"/>
    <cfRule type="duplicateValues" dxfId="918" priority="42"/>
    <cfRule type="duplicateValues" dxfId="917" priority="43"/>
    <cfRule type="duplicateValues" dxfId="916" priority="44"/>
    <cfRule type="duplicateValues" dxfId="915" priority="45"/>
    <cfRule type="duplicateValues" dxfId="914" priority="46"/>
    <cfRule type="duplicateValues" dxfId="913" priority="47"/>
    <cfRule type="duplicateValues" dxfId="912" priority="48"/>
    <cfRule type="duplicateValues" dxfId="911" priority="49"/>
    <cfRule type="duplicateValues" dxfId="910" priority="50"/>
    <cfRule type="duplicateValues" dxfId="909" priority="51"/>
    <cfRule type="duplicateValues" dxfId="908" priority="52"/>
    <cfRule type="duplicateValues" dxfId="907" priority="53"/>
    <cfRule type="duplicateValues" dxfId="906" priority="54"/>
    <cfRule type="duplicateValues" dxfId="905" priority="55"/>
    <cfRule type="duplicateValues" dxfId="904" priority="56"/>
    <cfRule type="duplicateValues" dxfId="903" priority="57"/>
    <cfRule type="duplicateValues" dxfId="902" priority="58"/>
    <cfRule type="duplicateValues" dxfId="901" priority="59"/>
    <cfRule type="duplicateValues" dxfId="900" priority="60"/>
    <cfRule type="duplicateValues" dxfId="899" priority="61"/>
    <cfRule type="duplicateValues" dxfId="898" priority="62"/>
    <cfRule type="duplicateValues" dxfId="897" priority="63"/>
    <cfRule type="duplicateValues" dxfId="896" priority="64"/>
    <cfRule type="duplicateValues" dxfId="895" priority="65"/>
    <cfRule type="duplicateValues" dxfId="894" priority="66"/>
    <cfRule type="duplicateValues" dxfId="893" priority="67"/>
    <cfRule type="duplicateValues" dxfId="892" priority="68"/>
    <cfRule type="duplicateValues" dxfId="891" priority="69"/>
    <cfRule type="duplicateValues" dxfId="890" priority="70"/>
    <cfRule type="duplicateValues" dxfId="889" priority="71"/>
    <cfRule type="duplicateValues" dxfId="888" priority="72"/>
    <cfRule type="duplicateValues" dxfId="887" priority="73"/>
    <cfRule type="duplicateValues" dxfId="886" priority="74"/>
    <cfRule type="duplicateValues" dxfId="885" priority="75"/>
    <cfRule type="duplicateValues" dxfId="884" priority="76"/>
    <cfRule type="duplicateValues" dxfId="883" priority="77"/>
    <cfRule type="duplicateValues" dxfId="882" priority="78"/>
    <cfRule type="duplicateValues" dxfId="881" priority="79"/>
    <cfRule type="duplicateValues" dxfId="880" priority="80"/>
    <cfRule type="duplicateValues" dxfId="879" priority="81"/>
    <cfRule type="duplicateValues" dxfId="878" priority="82"/>
    <cfRule type="duplicateValues" dxfId="877" priority="83"/>
    <cfRule type="duplicateValues" dxfId="876" priority="84"/>
    <cfRule type="duplicateValues" dxfId="875" priority="85"/>
    <cfRule type="duplicateValues" dxfId="874" priority="86"/>
    <cfRule type="duplicateValues" dxfId="873" priority="87"/>
    <cfRule type="duplicateValues" dxfId="872" priority="88"/>
    <cfRule type="duplicateValues" dxfId="871" priority="89"/>
    <cfRule type="duplicateValues" dxfId="870" priority="90"/>
    <cfRule type="duplicateValues" dxfId="869" priority="91"/>
    <cfRule type="duplicateValues" dxfId="868" priority="92"/>
    <cfRule type="duplicateValues" dxfId="867" priority="93"/>
    <cfRule type="duplicateValues" dxfId="866" priority="94"/>
    <cfRule type="duplicateValues" dxfId="865" priority="95"/>
    <cfRule type="duplicateValues" dxfId="864" priority="96"/>
    <cfRule type="duplicateValues" dxfId="863" priority="97"/>
    <cfRule type="duplicateValues" dxfId="862" priority="98"/>
    <cfRule type="duplicateValues" dxfId="861" priority="99"/>
    <cfRule type="duplicateValues" dxfId="860" priority="100"/>
    <cfRule type="duplicateValues" dxfId="859" priority="101"/>
    <cfRule type="duplicateValues" dxfId="858" priority="102"/>
    <cfRule type="duplicateValues" dxfId="857" priority="103"/>
    <cfRule type="duplicateValues" dxfId="856" priority="104"/>
    <cfRule type="duplicateValues" dxfId="855" priority="105"/>
    <cfRule type="duplicateValues" dxfId="854" priority="106"/>
    <cfRule type="duplicateValues" dxfId="853" priority="107"/>
    <cfRule type="duplicateValues" dxfId="852" priority="108"/>
    <cfRule type="duplicateValues" dxfId="851" priority="109"/>
    <cfRule type="duplicateValues" dxfId="850" priority="110"/>
    <cfRule type="duplicateValues" dxfId="849" priority="111"/>
    <cfRule type="duplicateValues" dxfId="848" priority="112"/>
    <cfRule type="duplicateValues" dxfId="847" priority="113"/>
    <cfRule type="duplicateValues" dxfId="846" priority="114"/>
    <cfRule type="duplicateValues" dxfId="845" priority="115"/>
    <cfRule type="duplicateValues" dxfId="844" priority="116"/>
    <cfRule type="duplicateValues" dxfId="843" priority="117"/>
    <cfRule type="duplicateValues" dxfId="842" priority="118"/>
    <cfRule type="duplicateValues" dxfId="841" priority="119"/>
    <cfRule type="duplicateValues" dxfId="840" priority="120"/>
    <cfRule type="duplicateValues" dxfId="839" priority="121"/>
    <cfRule type="duplicateValues" dxfId="838" priority="122"/>
    <cfRule type="duplicateValues" dxfId="837" priority="123"/>
    <cfRule type="duplicateValues" dxfId="836" priority="124"/>
    <cfRule type="duplicateValues" dxfId="835" priority="125"/>
    <cfRule type="duplicateValues" dxfId="834" priority="126"/>
    <cfRule type="duplicateValues" dxfId="833" priority="127"/>
    <cfRule type="duplicateValues" dxfId="832" priority="128"/>
    <cfRule type="duplicateValues" dxfId="831" priority="129"/>
    <cfRule type="duplicateValues" dxfId="830" priority="130"/>
    <cfRule type="duplicateValues" dxfId="829" priority="131"/>
    <cfRule type="duplicateValues" dxfId="828" priority="132"/>
    <cfRule type="duplicateValues" dxfId="827" priority="133"/>
    <cfRule type="duplicateValues" dxfId="826" priority="134"/>
    <cfRule type="duplicateValues" dxfId="825" priority="135"/>
    <cfRule type="duplicateValues" dxfId="824" priority="136"/>
    <cfRule type="duplicateValues" dxfId="823" priority="137"/>
    <cfRule type="duplicateValues" dxfId="822" priority="138"/>
    <cfRule type="duplicateValues" dxfId="821" priority="139"/>
    <cfRule type="duplicateValues" dxfId="820" priority="140"/>
    <cfRule type="duplicateValues" dxfId="819" priority="141"/>
    <cfRule type="duplicateValues" dxfId="818" priority="142"/>
    <cfRule type="duplicateValues" dxfId="817" priority="143"/>
    <cfRule type="duplicateValues" dxfId="816" priority="144"/>
    <cfRule type="duplicateValues" dxfId="815" priority="145"/>
    <cfRule type="duplicateValues" dxfId="814" priority="146"/>
    <cfRule type="duplicateValues" dxfId="813" priority="147"/>
    <cfRule type="duplicateValues" dxfId="812" priority="148"/>
    <cfRule type="duplicateValues" dxfId="811" priority="149"/>
    <cfRule type="duplicateValues" dxfId="810" priority="150"/>
    <cfRule type="duplicateValues" dxfId="809" priority="151"/>
    <cfRule type="duplicateValues" dxfId="808" priority="152"/>
    <cfRule type="duplicateValues" dxfId="807" priority="153"/>
    <cfRule type="duplicateValues" dxfId="806" priority="154"/>
    <cfRule type="duplicateValues" dxfId="805" priority="155"/>
    <cfRule type="duplicateValues" dxfId="804" priority="156"/>
    <cfRule type="duplicateValues" dxfId="803" priority="157"/>
    <cfRule type="duplicateValues" dxfId="802" priority="158"/>
    <cfRule type="duplicateValues" dxfId="801" priority="159"/>
    <cfRule type="duplicateValues" dxfId="800" priority="160"/>
    <cfRule type="duplicateValues" dxfId="799" priority="161"/>
    <cfRule type="duplicateValues" dxfId="798" priority="162"/>
    <cfRule type="duplicateValues" dxfId="797" priority="163"/>
    <cfRule type="duplicateValues" dxfId="796" priority="164"/>
    <cfRule type="duplicateValues" dxfId="795" priority="165"/>
    <cfRule type="duplicateValues" dxfId="794" priority="166"/>
    <cfRule type="duplicateValues" dxfId="793" priority="167"/>
    <cfRule type="duplicateValues" dxfId="792" priority="168"/>
    <cfRule type="duplicateValues" dxfId="791" priority="169"/>
    <cfRule type="duplicateValues" dxfId="790" priority="170"/>
    <cfRule type="duplicateValues" dxfId="789" priority="171"/>
    <cfRule type="duplicateValues" dxfId="788" priority="172"/>
    <cfRule type="duplicateValues" dxfId="787" priority="173"/>
    <cfRule type="duplicateValues" dxfId="786" priority="174"/>
    <cfRule type="duplicateValues" dxfId="785" priority="175"/>
    <cfRule type="duplicateValues" dxfId="784" priority="176"/>
    <cfRule type="duplicateValues" dxfId="783" priority="177"/>
    <cfRule type="duplicateValues" dxfId="782" priority="178"/>
    <cfRule type="duplicateValues" dxfId="781" priority="179"/>
    <cfRule type="duplicateValues" dxfId="780" priority="180"/>
    <cfRule type="duplicateValues" dxfId="779" priority="181"/>
    <cfRule type="duplicateValues" dxfId="778" priority="182"/>
    <cfRule type="duplicateValues" dxfId="777" priority="183"/>
    <cfRule type="duplicateValues" dxfId="776" priority="184"/>
    <cfRule type="duplicateValues" dxfId="775" priority="185"/>
    <cfRule type="duplicateValues" dxfId="774" priority="186"/>
    <cfRule type="duplicateValues" dxfId="773" priority="187"/>
    <cfRule type="duplicateValues" dxfId="772" priority="188"/>
    <cfRule type="duplicateValues" dxfId="771" priority="189"/>
    <cfRule type="duplicateValues" dxfId="770" priority="190"/>
    <cfRule type="duplicateValues" dxfId="769" priority="191"/>
    <cfRule type="duplicateValues" dxfId="768" priority="192"/>
    <cfRule type="duplicateValues" dxfId="767" priority="193"/>
    <cfRule type="duplicateValues" dxfId="766" priority="194"/>
    <cfRule type="duplicateValues" dxfId="765" priority="195"/>
    <cfRule type="duplicateValues" dxfId="764" priority="196"/>
    <cfRule type="duplicateValues" dxfId="763" priority="197"/>
    <cfRule type="duplicateValues" dxfId="762" priority="198"/>
    <cfRule type="duplicateValues" dxfId="761" priority="199"/>
    <cfRule type="duplicateValues" dxfId="760" priority="200"/>
    <cfRule type="duplicateValues" dxfId="759" priority="201"/>
    <cfRule type="duplicateValues" dxfId="758" priority="202"/>
    <cfRule type="duplicateValues" dxfId="757" priority="203"/>
    <cfRule type="duplicateValues" dxfId="756" priority="204"/>
    <cfRule type="duplicateValues" dxfId="755" priority="205"/>
    <cfRule type="duplicateValues" dxfId="754" priority="206"/>
    <cfRule type="duplicateValues" dxfId="753" priority="207"/>
    <cfRule type="duplicateValues" dxfId="752" priority="208"/>
    <cfRule type="duplicateValues" dxfId="751" priority="209"/>
    <cfRule type="duplicateValues" dxfId="750" priority="210"/>
    <cfRule type="duplicateValues" dxfId="749" priority="211"/>
    <cfRule type="duplicateValues" dxfId="748" priority="212"/>
    <cfRule type="duplicateValues" dxfId="747" priority="213"/>
    <cfRule type="duplicateValues" dxfId="746" priority="214"/>
    <cfRule type="duplicateValues" dxfId="745" priority="215"/>
    <cfRule type="duplicateValues" dxfId="744" priority="216"/>
    <cfRule type="duplicateValues" dxfId="743" priority="217"/>
    <cfRule type="duplicateValues" dxfId="742" priority="218"/>
    <cfRule type="duplicateValues" dxfId="741" priority="219"/>
    <cfRule type="duplicateValues" dxfId="740" priority="220"/>
    <cfRule type="duplicateValues" dxfId="739" priority="221"/>
    <cfRule type="duplicateValues" dxfId="738" priority="222"/>
    <cfRule type="duplicateValues" dxfId="737" priority="223"/>
    <cfRule type="duplicateValues" dxfId="736" priority="224"/>
    <cfRule type="duplicateValues" dxfId="735" priority="225"/>
    <cfRule type="duplicateValues" dxfId="734" priority="226"/>
    <cfRule type="duplicateValues" dxfId="733" priority="227"/>
    <cfRule type="duplicateValues" dxfId="732" priority="228"/>
    <cfRule type="duplicateValues" dxfId="731" priority="229"/>
    <cfRule type="duplicateValues" dxfId="730" priority="230"/>
    <cfRule type="duplicateValues" dxfId="729" priority="231"/>
    <cfRule type="duplicateValues" dxfId="728" priority="232"/>
    <cfRule type="duplicateValues" dxfId="727" priority="233"/>
    <cfRule type="duplicateValues" dxfId="726" priority="234"/>
    <cfRule type="duplicateValues" dxfId="725" priority="235"/>
    <cfRule type="duplicateValues" dxfId="724" priority="236"/>
    <cfRule type="duplicateValues" dxfId="723" priority="237"/>
    <cfRule type="duplicateValues" dxfId="722" priority="238"/>
    <cfRule type="duplicateValues" dxfId="721" priority="239"/>
    <cfRule type="duplicateValues" dxfId="720" priority="240"/>
    <cfRule type="duplicateValues" dxfId="719" priority="241"/>
    <cfRule type="duplicateValues" dxfId="718" priority="242"/>
    <cfRule type="duplicateValues" dxfId="717" priority="243"/>
    <cfRule type="duplicateValues" dxfId="716" priority="244"/>
    <cfRule type="duplicateValues" dxfId="715" priority="245"/>
    <cfRule type="duplicateValues" dxfId="714" priority="246"/>
    <cfRule type="duplicateValues" dxfId="713" priority="247"/>
    <cfRule type="duplicateValues" dxfId="712" priority="248"/>
    <cfRule type="duplicateValues" dxfId="711" priority="249"/>
    <cfRule type="duplicateValues" dxfId="710" priority="250"/>
    <cfRule type="duplicateValues" dxfId="709" priority="251"/>
    <cfRule type="duplicateValues" dxfId="708" priority="252"/>
    <cfRule type="duplicateValues" dxfId="707" priority="253"/>
    <cfRule type="duplicateValues" dxfId="706" priority="254"/>
    <cfRule type="duplicateValues" dxfId="705" priority="255"/>
    <cfRule type="duplicateValues" dxfId="704" priority="256"/>
    <cfRule type="duplicateValues" dxfId="703" priority="257"/>
    <cfRule type="duplicateValues" dxfId="702" priority="258"/>
    <cfRule type="duplicateValues" dxfId="701" priority="259"/>
    <cfRule type="duplicateValues" dxfId="700" priority="260"/>
    <cfRule type="duplicateValues" dxfId="699" priority="261"/>
    <cfRule type="duplicateValues" dxfId="698" priority="262"/>
    <cfRule type="duplicateValues" dxfId="697" priority="263"/>
    <cfRule type="duplicateValues" dxfId="696" priority="264"/>
    <cfRule type="duplicateValues" dxfId="695" priority="265"/>
    <cfRule type="duplicateValues" dxfId="694" priority="266"/>
    <cfRule type="duplicateValues" dxfId="693" priority="267"/>
    <cfRule type="duplicateValues" dxfId="692" priority="268"/>
    <cfRule type="duplicateValues" dxfId="691" priority="269"/>
    <cfRule type="duplicateValues" dxfId="690" priority="270"/>
    <cfRule type="duplicateValues" dxfId="689" priority="271"/>
    <cfRule type="duplicateValues" dxfId="688" priority="272"/>
    <cfRule type="duplicateValues" dxfId="687" priority="273"/>
    <cfRule type="duplicateValues" dxfId="686" priority="274"/>
    <cfRule type="duplicateValues" dxfId="685" priority="275"/>
    <cfRule type="duplicateValues" dxfId="684" priority="276"/>
    <cfRule type="duplicateValues" dxfId="683" priority="277"/>
    <cfRule type="duplicateValues" dxfId="682" priority="278"/>
    <cfRule type="duplicateValues" dxfId="681" priority="279"/>
    <cfRule type="duplicateValues" dxfId="680" priority="280"/>
    <cfRule type="duplicateValues" dxfId="679" priority="281"/>
    <cfRule type="duplicateValues" dxfId="678" priority="282"/>
    <cfRule type="duplicateValues" dxfId="677" priority="283"/>
    <cfRule type="duplicateValues" dxfId="676" priority="284"/>
    <cfRule type="duplicateValues" dxfId="675" priority="285"/>
    <cfRule type="duplicateValues" dxfId="674" priority="286"/>
    <cfRule type="duplicateValues" dxfId="673" priority="287"/>
    <cfRule type="duplicateValues" dxfId="672" priority="288"/>
    <cfRule type="duplicateValues" dxfId="671" priority="289"/>
    <cfRule type="duplicateValues" dxfId="670" priority="290"/>
    <cfRule type="duplicateValues" dxfId="669" priority="291"/>
    <cfRule type="duplicateValues" dxfId="668" priority="292"/>
    <cfRule type="duplicateValues" dxfId="667" priority="293"/>
    <cfRule type="duplicateValues" dxfId="666" priority="294"/>
    <cfRule type="duplicateValues" dxfId="665" priority="295"/>
    <cfRule type="duplicateValues" dxfId="664" priority="296"/>
    <cfRule type="duplicateValues" dxfId="663" priority="297"/>
    <cfRule type="duplicateValues" dxfId="662" priority="298"/>
    <cfRule type="duplicateValues" dxfId="661" priority="299"/>
    <cfRule type="duplicateValues" dxfId="660" priority="300"/>
    <cfRule type="duplicateValues" dxfId="659" priority="301"/>
    <cfRule type="duplicateValues" dxfId="658" priority="302"/>
    <cfRule type="duplicateValues" dxfId="657" priority="303"/>
    <cfRule type="duplicateValues" dxfId="656" priority="304"/>
    <cfRule type="duplicateValues" dxfId="655" priority="305"/>
    <cfRule type="duplicateValues" dxfId="654" priority="306"/>
    <cfRule type="duplicateValues" dxfId="653" priority="307"/>
    <cfRule type="duplicateValues" dxfId="652" priority="308"/>
    <cfRule type="duplicateValues" dxfId="651" priority="309"/>
    <cfRule type="duplicateValues" dxfId="650" priority="310"/>
    <cfRule type="duplicateValues" dxfId="649" priority="311"/>
    <cfRule type="duplicateValues" dxfId="648" priority="312"/>
    <cfRule type="duplicateValues" dxfId="647" priority="313"/>
    <cfRule type="duplicateValues" dxfId="646" priority="314"/>
    <cfRule type="duplicateValues" dxfId="645" priority="315"/>
    <cfRule type="duplicateValues" dxfId="644" priority="316"/>
    <cfRule type="duplicateValues" dxfId="643" priority="317"/>
    <cfRule type="duplicateValues" dxfId="642" priority="318"/>
    <cfRule type="duplicateValues" dxfId="641" priority="319"/>
    <cfRule type="duplicateValues" dxfId="640" priority="320"/>
    <cfRule type="duplicateValues" dxfId="639" priority="321"/>
    <cfRule type="duplicateValues" dxfId="638" priority="322"/>
    <cfRule type="duplicateValues" dxfId="637" priority="323"/>
    <cfRule type="duplicateValues" dxfId="636" priority="324"/>
    <cfRule type="duplicateValues" dxfId="635" priority="325"/>
    <cfRule type="duplicateValues" dxfId="634" priority="326"/>
    <cfRule type="duplicateValues" dxfId="633" priority="327"/>
    <cfRule type="duplicateValues" dxfId="632" priority="328"/>
    <cfRule type="duplicateValues" dxfId="631" priority="329"/>
    <cfRule type="duplicateValues" dxfId="630" priority="330"/>
    <cfRule type="duplicateValues" dxfId="629" priority="331"/>
    <cfRule type="duplicateValues" dxfId="628" priority="332"/>
    <cfRule type="duplicateValues" dxfId="627" priority="333"/>
    <cfRule type="duplicateValues" dxfId="626" priority="334"/>
    <cfRule type="duplicateValues" dxfId="625" priority="335"/>
    <cfRule type="duplicateValues" dxfId="624" priority="336"/>
    <cfRule type="duplicateValues" dxfId="623" priority="337"/>
    <cfRule type="duplicateValues" dxfId="622" priority="338"/>
    <cfRule type="duplicateValues" dxfId="621" priority="339"/>
    <cfRule type="duplicateValues" dxfId="620" priority="340"/>
    <cfRule type="duplicateValues" dxfId="619" priority="341"/>
    <cfRule type="duplicateValues" dxfId="618" priority="342"/>
    <cfRule type="duplicateValues" dxfId="617" priority="343"/>
    <cfRule type="duplicateValues" dxfId="616" priority="344"/>
    <cfRule type="duplicateValues" dxfId="615" priority="345"/>
    <cfRule type="duplicateValues" dxfId="614" priority="346"/>
    <cfRule type="duplicateValues" dxfId="613" priority="347"/>
    <cfRule type="duplicateValues" dxfId="612" priority="348"/>
    <cfRule type="duplicateValues" dxfId="611" priority="349"/>
    <cfRule type="duplicateValues" dxfId="610" priority="350"/>
    <cfRule type="duplicateValues" dxfId="609" priority="351"/>
    <cfRule type="duplicateValues" dxfId="608" priority="352"/>
    <cfRule type="duplicateValues" dxfId="607" priority="353"/>
    <cfRule type="duplicateValues" dxfId="606" priority="354"/>
    <cfRule type="duplicateValues" dxfId="605" priority="355"/>
    <cfRule type="duplicateValues" dxfId="604" priority="356"/>
    <cfRule type="duplicateValues" dxfId="603" priority="357"/>
    <cfRule type="duplicateValues" dxfId="602" priority="358"/>
    <cfRule type="duplicateValues" dxfId="601" priority="359"/>
    <cfRule type="duplicateValues" dxfId="600" priority="360"/>
    <cfRule type="duplicateValues" dxfId="599" priority="361"/>
    <cfRule type="duplicateValues" dxfId="598" priority="362"/>
    <cfRule type="duplicateValues" dxfId="597" priority="363"/>
    <cfRule type="duplicateValues" dxfId="596" priority="364"/>
    <cfRule type="duplicateValues" dxfId="595" priority="365"/>
    <cfRule type="duplicateValues" dxfId="594" priority="366"/>
    <cfRule type="duplicateValues" dxfId="593" priority="367"/>
    <cfRule type="duplicateValues" dxfId="592" priority="368"/>
    <cfRule type="duplicateValues" dxfId="591" priority="369"/>
    <cfRule type="duplicateValues" dxfId="590" priority="370"/>
    <cfRule type="duplicateValues" dxfId="589" priority="371"/>
    <cfRule type="duplicateValues" dxfId="588" priority="372"/>
    <cfRule type="duplicateValues" dxfId="587" priority="373"/>
    <cfRule type="duplicateValues" dxfId="586" priority="374"/>
    <cfRule type="duplicateValues" dxfId="585" priority="375"/>
    <cfRule type="duplicateValues" dxfId="584" priority="376"/>
    <cfRule type="duplicateValues" dxfId="583" priority="377"/>
    <cfRule type="duplicateValues" dxfId="582" priority="378"/>
    <cfRule type="duplicateValues" dxfId="581" priority="379"/>
    <cfRule type="duplicateValues" dxfId="580" priority="380"/>
    <cfRule type="duplicateValues" dxfId="579" priority="381"/>
    <cfRule type="duplicateValues" dxfId="578" priority="382"/>
    <cfRule type="duplicateValues" dxfId="577" priority="383"/>
    <cfRule type="duplicateValues" dxfId="576" priority="384"/>
    <cfRule type="duplicateValues" dxfId="575" priority="385"/>
    <cfRule type="duplicateValues" dxfId="574" priority="386"/>
    <cfRule type="duplicateValues" dxfId="573" priority="387"/>
    <cfRule type="duplicateValues" dxfId="572" priority="388"/>
    <cfRule type="duplicateValues" dxfId="571" priority="389"/>
    <cfRule type="duplicateValues" dxfId="570" priority="390"/>
    <cfRule type="duplicateValues" dxfId="569" priority="391"/>
    <cfRule type="duplicateValues" dxfId="568" priority="392"/>
    <cfRule type="duplicateValues" dxfId="567" priority="393"/>
    <cfRule type="duplicateValues" dxfId="566" priority="394"/>
    <cfRule type="duplicateValues" dxfId="565" priority="395"/>
    <cfRule type="duplicateValues" dxfId="564" priority="396"/>
    <cfRule type="duplicateValues" dxfId="563" priority="397"/>
    <cfRule type="duplicateValues" dxfId="562" priority="398"/>
    <cfRule type="duplicateValues" dxfId="561" priority="399"/>
    <cfRule type="duplicateValues" dxfId="560" priority="400"/>
    <cfRule type="duplicateValues" dxfId="559" priority="401"/>
    <cfRule type="duplicateValues" dxfId="558" priority="402"/>
    <cfRule type="duplicateValues" dxfId="557" priority="403"/>
    <cfRule type="duplicateValues" dxfId="556" priority="404"/>
    <cfRule type="duplicateValues" dxfId="555" priority="405"/>
    <cfRule type="duplicateValues" dxfId="554" priority="406"/>
    <cfRule type="duplicateValues" dxfId="553" priority="407"/>
    <cfRule type="duplicateValues" dxfId="552" priority="408"/>
    <cfRule type="duplicateValues" dxfId="551" priority="409"/>
    <cfRule type="duplicateValues" dxfId="550" priority="410"/>
    <cfRule type="duplicateValues" dxfId="549" priority="411"/>
    <cfRule type="duplicateValues" dxfId="548" priority="412"/>
    <cfRule type="duplicateValues" dxfId="547" priority="413"/>
    <cfRule type="duplicateValues" dxfId="546" priority="414"/>
    <cfRule type="duplicateValues" dxfId="545" priority="415"/>
    <cfRule type="duplicateValues" dxfId="544" priority="416"/>
    <cfRule type="duplicateValues" dxfId="543" priority="417"/>
    <cfRule type="duplicateValues" dxfId="542" priority="418"/>
    <cfRule type="duplicateValues" dxfId="541" priority="419"/>
    <cfRule type="duplicateValues" dxfId="540" priority="420"/>
    <cfRule type="duplicateValues" dxfId="539" priority="421"/>
    <cfRule type="duplicateValues" dxfId="538" priority="422"/>
    <cfRule type="duplicateValues" dxfId="537" priority="423"/>
    <cfRule type="duplicateValues" dxfId="536" priority="424"/>
    <cfRule type="duplicateValues" dxfId="535" priority="425"/>
    <cfRule type="duplicateValues" dxfId="534" priority="426"/>
    <cfRule type="duplicateValues" dxfId="533" priority="427"/>
    <cfRule type="duplicateValues" dxfId="532" priority="428"/>
    <cfRule type="duplicateValues" dxfId="531" priority="429"/>
    <cfRule type="duplicateValues" dxfId="530" priority="430"/>
    <cfRule type="duplicateValues" dxfId="529" priority="431"/>
    <cfRule type="duplicateValues" dxfId="528" priority="432"/>
    <cfRule type="duplicateValues" dxfId="527" priority="433"/>
    <cfRule type="duplicateValues" dxfId="526" priority="434"/>
    <cfRule type="duplicateValues" dxfId="525" priority="435"/>
    <cfRule type="duplicateValues" dxfId="524" priority="436"/>
    <cfRule type="duplicateValues" dxfId="523" priority="437"/>
    <cfRule type="duplicateValues" dxfId="522" priority="438"/>
    <cfRule type="duplicateValues" dxfId="521" priority="439"/>
    <cfRule type="duplicateValues" dxfId="520" priority="440"/>
    <cfRule type="duplicateValues" dxfId="519" priority="441"/>
    <cfRule type="duplicateValues" dxfId="518" priority="442"/>
    <cfRule type="duplicateValues" dxfId="517" priority="443"/>
    <cfRule type="duplicateValues" dxfId="516" priority="444"/>
    <cfRule type="duplicateValues" dxfId="515" priority="445"/>
    <cfRule type="duplicateValues" dxfId="514" priority="446"/>
    <cfRule type="duplicateValues" dxfId="513" priority="447"/>
    <cfRule type="duplicateValues" dxfId="512" priority="448"/>
    <cfRule type="duplicateValues" dxfId="511" priority="449"/>
    <cfRule type="duplicateValues" dxfId="510" priority="450"/>
    <cfRule type="duplicateValues" dxfId="509" priority="451"/>
    <cfRule type="duplicateValues" dxfId="508" priority="452"/>
    <cfRule type="duplicateValues" dxfId="507" priority="453"/>
    <cfRule type="duplicateValues" dxfId="506" priority="454"/>
    <cfRule type="duplicateValues" dxfId="505" priority="455"/>
    <cfRule type="duplicateValues" dxfId="504" priority="456"/>
    <cfRule type="duplicateValues" dxfId="503" priority="457"/>
    <cfRule type="duplicateValues" dxfId="502" priority="458"/>
    <cfRule type="duplicateValues" dxfId="501" priority="459"/>
    <cfRule type="duplicateValues" dxfId="500" priority="460"/>
    <cfRule type="duplicateValues" dxfId="499" priority="461"/>
    <cfRule type="duplicateValues" dxfId="498" priority="462"/>
    <cfRule type="duplicateValues" dxfId="497" priority="463"/>
    <cfRule type="duplicateValues" dxfId="496" priority="464"/>
    <cfRule type="duplicateValues" dxfId="495" priority="465"/>
    <cfRule type="duplicateValues" dxfId="494" priority="466"/>
    <cfRule type="duplicateValues" dxfId="493" priority="467"/>
    <cfRule type="duplicateValues" dxfId="492" priority="468"/>
    <cfRule type="duplicateValues" dxfId="491" priority="469"/>
    <cfRule type="duplicateValues" dxfId="490" priority="470"/>
    <cfRule type="duplicateValues" dxfId="489" priority="471"/>
    <cfRule type="duplicateValues" dxfId="488" priority="472"/>
    <cfRule type="duplicateValues" dxfId="487" priority="473"/>
    <cfRule type="duplicateValues" dxfId="486" priority="474"/>
    <cfRule type="duplicateValues" dxfId="485" priority="475"/>
    <cfRule type="duplicateValues" dxfId="484" priority="476"/>
    <cfRule type="duplicateValues" dxfId="483" priority="477"/>
    <cfRule type="duplicateValues" dxfId="482" priority="478"/>
    <cfRule type="duplicateValues" dxfId="481" priority="479"/>
    <cfRule type="duplicateValues" dxfId="480" priority="480"/>
    <cfRule type="duplicateValues" dxfId="479" priority="481"/>
    <cfRule type="duplicateValues" dxfId="478" priority="482"/>
    <cfRule type="duplicateValues" dxfId="477" priority="483"/>
    <cfRule type="duplicateValues" dxfId="476" priority="484"/>
    <cfRule type="duplicateValues" dxfId="475" priority="485"/>
    <cfRule type="duplicateValues" dxfId="474" priority="486"/>
    <cfRule type="duplicateValues" dxfId="473" priority="487"/>
    <cfRule type="duplicateValues" dxfId="472" priority="488"/>
    <cfRule type="duplicateValues" dxfId="471" priority="489"/>
    <cfRule type="duplicateValues" dxfId="470" priority="490"/>
    <cfRule type="duplicateValues" dxfId="469" priority="491"/>
    <cfRule type="duplicateValues" dxfId="468" priority="492"/>
    <cfRule type="duplicateValues" dxfId="467" priority="493"/>
    <cfRule type="duplicateValues" dxfId="466" priority="494"/>
    <cfRule type="duplicateValues" dxfId="465" priority="495"/>
    <cfRule type="duplicateValues" dxfId="464" priority="496"/>
    <cfRule type="duplicateValues" dxfId="463" priority="497"/>
    <cfRule type="duplicateValues" dxfId="462" priority="498"/>
    <cfRule type="duplicateValues" dxfId="461" priority="499"/>
    <cfRule type="duplicateValues" dxfId="460" priority="500"/>
    <cfRule type="duplicateValues" dxfId="459" priority="501"/>
    <cfRule type="duplicateValues" dxfId="458" priority="502"/>
    <cfRule type="duplicateValues" dxfId="457" priority="503"/>
    <cfRule type="duplicateValues" dxfId="456" priority="504"/>
    <cfRule type="duplicateValues" dxfId="455" priority="505"/>
    <cfRule type="duplicateValues" dxfId="454" priority="506"/>
    <cfRule type="duplicateValues" dxfId="453" priority="507"/>
    <cfRule type="duplicateValues" dxfId="452" priority="508"/>
    <cfRule type="duplicateValues" dxfId="451" priority="509"/>
    <cfRule type="duplicateValues" dxfId="450" priority="510"/>
    <cfRule type="duplicateValues" dxfId="449" priority="511"/>
    <cfRule type="duplicateValues" dxfId="448" priority="512"/>
    <cfRule type="duplicateValues" dxfId="447" priority="513"/>
    <cfRule type="duplicateValues" dxfId="446" priority="514"/>
    <cfRule type="duplicateValues" dxfId="445" priority="515"/>
    <cfRule type="duplicateValues" dxfId="444" priority="516"/>
    <cfRule type="duplicateValues" dxfId="443" priority="517"/>
    <cfRule type="duplicateValues" dxfId="442" priority="518"/>
    <cfRule type="duplicateValues" dxfId="441" priority="519"/>
    <cfRule type="duplicateValues" dxfId="440" priority="520"/>
    <cfRule type="duplicateValues" dxfId="439" priority="521"/>
    <cfRule type="duplicateValues" dxfId="438" priority="522"/>
    <cfRule type="duplicateValues" dxfId="437" priority="523"/>
    <cfRule type="duplicateValues" dxfId="436" priority="524"/>
    <cfRule type="duplicateValues" dxfId="435" priority="525"/>
    <cfRule type="duplicateValues" dxfId="434" priority="526"/>
    <cfRule type="duplicateValues" dxfId="433" priority="527"/>
    <cfRule type="duplicateValues" dxfId="432" priority="528"/>
    <cfRule type="duplicateValues" dxfId="431" priority="529"/>
    <cfRule type="duplicateValues" dxfId="430" priority="530"/>
    <cfRule type="duplicateValues" dxfId="429" priority="531"/>
    <cfRule type="duplicateValues" dxfId="428" priority="532"/>
    <cfRule type="duplicateValues" dxfId="427" priority="533"/>
    <cfRule type="duplicateValues" dxfId="426" priority="534"/>
    <cfRule type="duplicateValues" dxfId="425" priority="535"/>
    <cfRule type="duplicateValues" dxfId="424" priority="536"/>
    <cfRule type="duplicateValues" dxfId="423" priority="537"/>
    <cfRule type="duplicateValues" dxfId="422" priority="538"/>
    <cfRule type="duplicateValues" dxfId="421" priority="539"/>
    <cfRule type="duplicateValues" dxfId="420" priority="540"/>
    <cfRule type="duplicateValues" dxfId="419" priority="541"/>
    <cfRule type="duplicateValues" dxfId="418" priority="542"/>
    <cfRule type="duplicateValues" dxfId="417" priority="543"/>
    <cfRule type="duplicateValues" dxfId="416" priority="544"/>
    <cfRule type="duplicateValues" dxfId="415" priority="545"/>
    <cfRule type="duplicateValues" dxfId="414" priority="546"/>
    <cfRule type="duplicateValues" dxfId="413" priority="547"/>
    <cfRule type="duplicateValues" dxfId="412" priority="548"/>
    <cfRule type="duplicateValues" dxfId="411" priority="549"/>
    <cfRule type="duplicateValues" dxfId="410" priority="550"/>
    <cfRule type="duplicateValues" dxfId="409" priority="551"/>
    <cfRule type="duplicateValues" dxfId="408" priority="552"/>
    <cfRule type="duplicateValues" dxfId="407" priority="553"/>
    <cfRule type="duplicateValues" dxfId="406" priority="554"/>
    <cfRule type="duplicateValues" dxfId="405" priority="555"/>
    <cfRule type="duplicateValues" dxfId="404" priority="556"/>
    <cfRule type="duplicateValues" dxfId="403" priority="557"/>
    <cfRule type="duplicateValues" dxfId="402" priority="558"/>
    <cfRule type="duplicateValues" dxfId="401" priority="559"/>
    <cfRule type="duplicateValues" dxfId="400" priority="560"/>
    <cfRule type="duplicateValues" dxfId="399" priority="561"/>
    <cfRule type="duplicateValues" dxfId="398" priority="562"/>
    <cfRule type="duplicateValues" dxfId="397" priority="563"/>
    <cfRule type="duplicateValues" dxfId="396" priority="564"/>
    <cfRule type="duplicateValues" dxfId="395" priority="565"/>
    <cfRule type="duplicateValues" dxfId="394" priority="566"/>
    <cfRule type="duplicateValues" dxfId="393" priority="567"/>
    <cfRule type="duplicateValues" dxfId="392" priority="568"/>
    <cfRule type="duplicateValues" dxfId="391" priority="569"/>
    <cfRule type="duplicateValues" dxfId="390" priority="570"/>
    <cfRule type="duplicateValues" dxfId="389" priority="571"/>
    <cfRule type="duplicateValues" dxfId="388" priority="572"/>
    <cfRule type="duplicateValues" dxfId="387" priority="573"/>
    <cfRule type="duplicateValues" dxfId="386" priority="574"/>
    <cfRule type="duplicateValues" dxfId="385" priority="575"/>
    <cfRule type="duplicateValues" dxfId="384" priority="576"/>
    <cfRule type="duplicateValues" dxfId="383" priority="577"/>
    <cfRule type="duplicateValues" dxfId="382" priority="578"/>
    <cfRule type="duplicateValues" dxfId="381" priority="579"/>
    <cfRule type="duplicateValues" dxfId="380" priority="580"/>
    <cfRule type="duplicateValues" dxfId="379" priority="581"/>
    <cfRule type="duplicateValues" dxfId="378" priority="582"/>
    <cfRule type="duplicateValues" dxfId="377" priority="583"/>
    <cfRule type="duplicateValues" dxfId="376" priority="584"/>
    <cfRule type="duplicateValues" dxfId="375" priority="585"/>
    <cfRule type="duplicateValues" dxfId="374" priority="586"/>
    <cfRule type="duplicateValues" dxfId="373" priority="587"/>
    <cfRule type="duplicateValues" dxfId="372" priority="588"/>
    <cfRule type="duplicateValues" dxfId="371" priority="589"/>
    <cfRule type="duplicateValues" dxfId="370" priority="590"/>
    <cfRule type="duplicateValues" dxfId="369" priority="591"/>
    <cfRule type="duplicateValues" dxfId="368" priority="592"/>
    <cfRule type="duplicateValues" dxfId="367" priority="593"/>
    <cfRule type="duplicateValues" dxfId="366" priority="594"/>
    <cfRule type="duplicateValues" dxfId="365" priority="595"/>
    <cfRule type="duplicateValues" dxfId="364" priority="596"/>
    <cfRule type="duplicateValues" dxfId="363" priority="597"/>
    <cfRule type="duplicateValues" dxfId="362" priority="598"/>
    <cfRule type="duplicateValues" dxfId="361" priority="599"/>
    <cfRule type="duplicateValues" dxfId="360" priority="600"/>
    <cfRule type="duplicateValues" dxfId="359" priority="601"/>
    <cfRule type="duplicateValues" dxfId="358" priority="602"/>
    <cfRule type="duplicateValues" dxfId="357" priority="603"/>
    <cfRule type="duplicateValues" dxfId="356" priority="604"/>
    <cfRule type="duplicateValues" dxfId="355" priority="605"/>
    <cfRule type="duplicateValues" dxfId="354" priority="606"/>
    <cfRule type="duplicateValues" dxfId="353" priority="607"/>
    <cfRule type="duplicateValues" dxfId="352" priority="608"/>
    <cfRule type="duplicateValues" dxfId="351" priority="609"/>
    <cfRule type="duplicateValues" dxfId="350" priority="610"/>
    <cfRule type="duplicateValues" dxfId="349" priority="611"/>
    <cfRule type="duplicateValues" dxfId="348" priority="612"/>
    <cfRule type="duplicateValues" dxfId="347" priority="613"/>
    <cfRule type="duplicateValues" dxfId="346" priority="614"/>
    <cfRule type="duplicateValues" dxfId="345" priority="615"/>
    <cfRule type="duplicateValues" dxfId="344" priority="616"/>
    <cfRule type="duplicateValues" dxfId="343" priority="617"/>
    <cfRule type="duplicateValues" dxfId="342" priority="618"/>
    <cfRule type="duplicateValues" dxfId="341" priority="619"/>
    <cfRule type="duplicateValues" dxfId="340" priority="620"/>
    <cfRule type="duplicateValues" dxfId="339" priority="621"/>
    <cfRule type="duplicateValues" dxfId="338" priority="622"/>
    <cfRule type="duplicateValues" dxfId="337" priority="623"/>
    <cfRule type="duplicateValues" dxfId="336" priority="624"/>
    <cfRule type="duplicateValues" dxfId="335" priority="625"/>
    <cfRule type="duplicateValues" dxfId="334" priority="626"/>
    <cfRule type="duplicateValues" dxfId="333" priority="627"/>
    <cfRule type="duplicateValues" dxfId="332" priority="628"/>
    <cfRule type="duplicateValues" dxfId="331" priority="629"/>
    <cfRule type="duplicateValues" dxfId="330" priority="630"/>
    <cfRule type="duplicateValues" dxfId="329" priority="631"/>
    <cfRule type="duplicateValues" dxfId="328" priority="632"/>
    <cfRule type="duplicateValues" dxfId="327" priority="633"/>
    <cfRule type="duplicateValues" dxfId="326" priority="634"/>
    <cfRule type="duplicateValues" dxfId="325" priority="635"/>
    <cfRule type="duplicateValues" dxfId="324" priority="636"/>
    <cfRule type="duplicateValues" dxfId="323" priority="637"/>
    <cfRule type="duplicateValues" dxfId="322" priority="638"/>
    <cfRule type="duplicateValues" dxfId="321" priority="639"/>
    <cfRule type="duplicateValues" dxfId="320" priority="640"/>
    <cfRule type="duplicateValues" dxfId="319" priority="641"/>
    <cfRule type="duplicateValues" dxfId="318" priority="642"/>
    <cfRule type="duplicateValues" dxfId="317" priority="643"/>
    <cfRule type="duplicateValues" dxfId="316" priority="644"/>
    <cfRule type="duplicateValues" dxfId="315" priority="645"/>
    <cfRule type="duplicateValues" dxfId="314" priority="646"/>
    <cfRule type="duplicateValues" dxfId="313" priority="647"/>
    <cfRule type="duplicateValues" dxfId="312" priority="648"/>
    <cfRule type="duplicateValues" dxfId="311" priority="649"/>
    <cfRule type="duplicateValues" dxfId="310" priority="650"/>
    <cfRule type="duplicateValues" dxfId="309" priority="651"/>
    <cfRule type="duplicateValues" dxfId="308" priority="652"/>
    <cfRule type="duplicateValues" dxfId="307" priority="653"/>
    <cfRule type="duplicateValues" dxfId="306" priority="654"/>
    <cfRule type="duplicateValues" dxfId="305" priority="655"/>
    <cfRule type="duplicateValues" dxfId="304" priority="656"/>
    <cfRule type="duplicateValues" dxfId="303" priority="657"/>
    <cfRule type="duplicateValues" dxfId="302" priority="658"/>
    <cfRule type="duplicateValues" dxfId="301" priority="659"/>
    <cfRule type="duplicateValues" dxfId="300" priority="660"/>
    <cfRule type="duplicateValues" dxfId="299" priority="661"/>
    <cfRule type="duplicateValues" dxfId="298" priority="662"/>
    <cfRule type="duplicateValues" dxfId="297" priority="663"/>
    <cfRule type="duplicateValues" dxfId="296" priority="664"/>
    <cfRule type="duplicateValues" dxfId="295" priority="665"/>
    <cfRule type="duplicateValues" dxfId="294" priority="666"/>
    <cfRule type="duplicateValues" dxfId="293" priority="667"/>
    <cfRule type="duplicateValues" dxfId="292" priority="668"/>
    <cfRule type="duplicateValues" dxfId="291" priority="669"/>
    <cfRule type="duplicateValues" dxfId="290" priority="670"/>
    <cfRule type="duplicateValues" dxfId="289" priority="671"/>
    <cfRule type="duplicateValues" dxfId="288" priority="672"/>
    <cfRule type="duplicateValues" dxfId="287" priority="673"/>
    <cfRule type="duplicateValues" dxfId="286" priority="674"/>
    <cfRule type="duplicateValues" dxfId="285" priority="675"/>
    <cfRule type="duplicateValues" dxfId="284" priority="676"/>
    <cfRule type="duplicateValues" dxfId="283" priority="677"/>
    <cfRule type="duplicateValues" dxfId="282" priority="678"/>
    <cfRule type="duplicateValues" dxfId="281" priority="679"/>
    <cfRule type="duplicateValues" dxfId="280" priority="680"/>
    <cfRule type="duplicateValues" dxfId="279" priority="681"/>
    <cfRule type="duplicateValues" dxfId="278" priority="682"/>
    <cfRule type="duplicateValues" dxfId="277" priority="683"/>
    <cfRule type="duplicateValues" dxfId="276" priority="684"/>
    <cfRule type="duplicateValues" dxfId="275" priority="685"/>
    <cfRule type="duplicateValues" dxfId="274" priority="686"/>
    <cfRule type="duplicateValues" dxfId="273" priority="687"/>
    <cfRule type="duplicateValues" dxfId="272" priority="688"/>
    <cfRule type="duplicateValues" dxfId="271" priority="689"/>
    <cfRule type="duplicateValues" dxfId="270" priority="690"/>
    <cfRule type="duplicateValues" dxfId="269" priority="691"/>
    <cfRule type="duplicateValues" dxfId="268" priority="692"/>
    <cfRule type="duplicateValues" dxfId="267" priority="693"/>
    <cfRule type="duplicateValues" dxfId="266" priority="694"/>
    <cfRule type="duplicateValues" dxfId="265" priority="695"/>
    <cfRule type="duplicateValues" dxfId="264" priority="696"/>
    <cfRule type="duplicateValues" dxfId="263" priority="697"/>
    <cfRule type="duplicateValues" dxfId="262" priority="698"/>
    <cfRule type="duplicateValues" dxfId="261" priority="699"/>
    <cfRule type="duplicateValues" dxfId="260" priority="700"/>
    <cfRule type="duplicateValues" dxfId="259" priority="701"/>
    <cfRule type="duplicateValues" dxfId="258" priority="702"/>
    <cfRule type="duplicateValues" dxfId="257" priority="703"/>
    <cfRule type="duplicateValues" dxfId="256" priority="704"/>
    <cfRule type="duplicateValues" dxfId="255" priority="705"/>
    <cfRule type="duplicateValues" dxfId="254" priority="706"/>
    <cfRule type="duplicateValues" dxfId="253" priority="707"/>
    <cfRule type="duplicateValues" dxfId="252" priority="708"/>
    <cfRule type="duplicateValues" dxfId="251" priority="709"/>
    <cfRule type="duplicateValues" dxfId="250" priority="710"/>
    <cfRule type="duplicateValues" dxfId="249" priority="711"/>
    <cfRule type="duplicateValues" dxfId="248" priority="712"/>
    <cfRule type="duplicateValues" dxfId="247" priority="713"/>
    <cfRule type="duplicateValues" dxfId="246" priority="714"/>
    <cfRule type="duplicateValues" dxfId="245" priority="715"/>
    <cfRule type="duplicateValues" dxfId="244" priority="716"/>
    <cfRule type="duplicateValues" dxfId="243" priority="717"/>
    <cfRule type="duplicateValues" dxfId="242" priority="718"/>
    <cfRule type="duplicateValues" dxfId="241" priority="719"/>
    <cfRule type="duplicateValues" dxfId="240" priority="720"/>
    <cfRule type="duplicateValues" dxfId="239" priority="721"/>
    <cfRule type="duplicateValues" dxfId="238" priority="722"/>
    <cfRule type="duplicateValues" dxfId="237" priority="723"/>
    <cfRule type="duplicateValues" dxfId="236" priority="724"/>
    <cfRule type="duplicateValues" dxfId="235" priority="725"/>
    <cfRule type="duplicateValues" dxfId="234" priority="726"/>
    <cfRule type="duplicateValues" dxfId="233" priority="727"/>
    <cfRule type="duplicateValues" dxfId="232" priority="728"/>
    <cfRule type="duplicateValues" dxfId="231" priority="729"/>
    <cfRule type="duplicateValues" dxfId="230" priority="730"/>
    <cfRule type="duplicateValues" dxfId="229" priority="731"/>
    <cfRule type="duplicateValues" dxfId="228" priority="732"/>
    <cfRule type="duplicateValues" dxfId="227" priority="733"/>
    <cfRule type="duplicateValues" dxfId="226" priority="734"/>
    <cfRule type="duplicateValues" dxfId="225" priority="735"/>
    <cfRule type="duplicateValues" dxfId="224" priority="736"/>
    <cfRule type="duplicateValues" dxfId="223" priority="737"/>
    <cfRule type="duplicateValues" dxfId="222" priority="738"/>
    <cfRule type="duplicateValues" dxfId="221" priority="739"/>
    <cfRule type="duplicateValues" dxfId="220" priority="740"/>
    <cfRule type="duplicateValues" dxfId="219" priority="741"/>
    <cfRule type="duplicateValues" dxfId="218" priority="742"/>
    <cfRule type="duplicateValues" dxfId="217" priority="743"/>
    <cfRule type="duplicateValues" dxfId="216" priority="744"/>
    <cfRule type="duplicateValues" dxfId="215" priority="745"/>
    <cfRule type="duplicateValues" dxfId="214" priority="746"/>
    <cfRule type="duplicateValues" dxfId="213" priority="747"/>
    <cfRule type="duplicateValues" dxfId="212" priority="748"/>
    <cfRule type="duplicateValues" dxfId="211" priority="749"/>
    <cfRule type="duplicateValues" dxfId="210" priority="750"/>
    <cfRule type="duplicateValues" dxfId="209" priority="751"/>
    <cfRule type="duplicateValues" dxfId="208" priority="752"/>
    <cfRule type="duplicateValues" dxfId="207" priority="753"/>
    <cfRule type="duplicateValues" dxfId="206" priority="754"/>
    <cfRule type="duplicateValues" dxfId="205" priority="755"/>
    <cfRule type="duplicateValues" dxfId="204" priority="756"/>
    <cfRule type="duplicateValues" dxfId="203" priority="757"/>
    <cfRule type="duplicateValues" dxfId="202" priority="758"/>
    <cfRule type="duplicateValues" dxfId="201" priority="759"/>
    <cfRule type="duplicateValues" dxfId="200" priority="760"/>
    <cfRule type="duplicateValues" dxfId="199" priority="761"/>
    <cfRule type="duplicateValues" dxfId="198" priority="762"/>
    <cfRule type="duplicateValues" dxfId="197" priority="763"/>
    <cfRule type="duplicateValues" dxfId="196" priority="764"/>
    <cfRule type="duplicateValues" dxfId="195" priority="765"/>
    <cfRule type="duplicateValues" dxfId="194" priority="766"/>
    <cfRule type="duplicateValues" dxfId="193" priority="767"/>
    <cfRule type="duplicateValues" dxfId="192" priority="768"/>
    <cfRule type="duplicateValues" dxfId="191" priority="769"/>
    <cfRule type="duplicateValues" dxfId="190" priority="770"/>
    <cfRule type="duplicateValues" dxfId="189" priority="771"/>
    <cfRule type="duplicateValues" dxfId="188" priority="772"/>
    <cfRule type="duplicateValues" dxfId="187" priority="773"/>
    <cfRule type="duplicateValues" dxfId="186" priority="774"/>
    <cfRule type="duplicateValues" dxfId="185" priority="775"/>
    <cfRule type="duplicateValues" dxfId="184" priority="776"/>
    <cfRule type="duplicateValues" dxfId="183" priority="777"/>
    <cfRule type="duplicateValues" dxfId="182" priority="778"/>
    <cfRule type="duplicateValues" dxfId="181" priority="779"/>
    <cfRule type="duplicateValues" dxfId="180" priority="780"/>
    <cfRule type="duplicateValues" dxfId="179" priority="781"/>
    <cfRule type="duplicateValues" dxfId="178" priority="782"/>
    <cfRule type="duplicateValues" dxfId="177" priority="783"/>
    <cfRule type="duplicateValues" dxfId="176" priority="784"/>
    <cfRule type="duplicateValues" dxfId="175" priority="785"/>
    <cfRule type="duplicateValues" dxfId="174" priority="786"/>
    <cfRule type="duplicateValues" dxfId="173" priority="787"/>
    <cfRule type="duplicateValues" dxfId="172" priority="788"/>
    <cfRule type="duplicateValues" dxfId="171" priority="789"/>
    <cfRule type="duplicateValues" dxfId="170" priority="790"/>
    <cfRule type="duplicateValues" dxfId="169" priority="791"/>
    <cfRule type="duplicateValues" dxfId="168" priority="792"/>
    <cfRule type="duplicateValues" dxfId="167" priority="793"/>
    <cfRule type="duplicateValues" dxfId="166" priority="794"/>
    <cfRule type="duplicateValues" dxfId="165" priority="795"/>
    <cfRule type="duplicateValues" dxfId="164" priority="796"/>
    <cfRule type="duplicateValues" dxfId="163" priority="797"/>
    <cfRule type="duplicateValues" dxfId="162" priority="798"/>
    <cfRule type="duplicateValues" dxfId="161" priority="799"/>
    <cfRule type="duplicateValues" dxfId="160" priority="800"/>
    <cfRule type="duplicateValues" dxfId="159" priority="801"/>
    <cfRule type="duplicateValues" dxfId="158" priority="802"/>
    <cfRule type="duplicateValues" dxfId="157" priority="803"/>
    <cfRule type="duplicateValues" dxfId="156" priority="804"/>
    <cfRule type="duplicateValues" dxfId="155" priority="805"/>
    <cfRule type="duplicateValues" dxfId="154" priority="806"/>
    <cfRule type="duplicateValues" dxfId="153" priority="807"/>
    <cfRule type="duplicateValues" dxfId="152" priority="808"/>
    <cfRule type="duplicateValues" dxfId="151" priority="809"/>
    <cfRule type="duplicateValues" dxfId="150" priority="810"/>
    <cfRule type="duplicateValues" dxfId="149" priority="811"/>
    <cfRule type="duplicateValues" dxfId="148" priority="812"/>
    <cfRule type="duplicateValues" dxfId="147" priority="813"/>
    <cfRule type="duplicateValues" dxfId="146" priority="814"/>
    <cfRule type="duplicateValues" dxfId="145" priority="815"/>
    <cfRule type="duplicateValues" dxfId="144" priority="816"/>
    <cfRule type="duplicateValues" dxfId="143" priority="817"/>
    <cfRule type="duplicateValues" dxfId="142" priority="818"/>
    <cfRule type="duplicateValues" dxfId="141" priority="819"/>
    <cfRule type="duplicateValues" dxfId="140" priority="820"/>
    <cfRule type="duplicateValues" dxfId="139" priority="821"/>
    <cfRule type="duplicateValues" dxfId="138" priority="822"/>
    <cfRule type="duplicateValues" dxfId="137" priority="823"/>
    <cfRule type="duplicateValues" dxfId="136" priority="824"/>
    <cfRule type="duplicateValues" dxfId="135" priority="825"/>
    <cfRule type="duplicateValues" dxfId="134" priority="826"/>
    <cfRule type="duplicateValues" dxfId="133" priority="827"/>
    <cfRule type="duplicateValues" dxfId="132" priority="828"/>
    <cfRule type="duplicateValues" dxfId="131" priority="829"/>
    <cfRule type="duplicateValues" dxfId="130" priority="830"/>
    <cfRule type="duplicateValues" dxfId="129" priority="831"/>
    <cfRule type="duplicateValues" dxfId="128" priority="832"/>
    <cfRule type="duplicateValues" dxfId="127" priority="833"/>
    <cfRule type="duplicateValues" dxfId="126" priority="834"/>
    <cfRule type="duplicateValues" dxfId="125" priority="835"/>
    <cfRule type="duplicateValues" dxfId="124" priority="836"/>
    <cfRule type="duplicateValues" dxfId="123" priority="837"/>
    <cfRule type="duplicateValues" dxfId="122" priority="838"/>
    <cfRule type="duplicateValues" dxfId="121" priority="839"/>
    <cfRule type="duplicateValues" dxfId="120" priority="840"/>
    <cfRule type="duplicateValues" dxfId="119" priority="841"/>
    <cfRule type="duplicateValues" dxfId="118" priority="842"/>
    <cfRule type="duplicateValues" dxfId="117" priority="843"/>
    <cfRule type="duplicateValues" dxfId="116" priority="844"/>
    <cfRule type="duplicateValues" dxfId="115" priority="845"/>
    <cfRule type="duplicateValues" dxfId="114" priority="846"/>
    <cfRule type="duplicateValues" dxfId="113" priority="847"/>
    <cfRule type="duplicateValues" dxfId="112" priority="848"/>
    <cfRule type="duplicateValues" dxfId="111" priority="849"/>
    <cfRule type="duplicateValues" dxfId="110" priority="850"/>
    <cfRule type="duplicateValues" dxfId="109" priority="851"/>
    <cfRule type="duplicateValues" dxfId="108" priority="852"/>
    <cfRule type="duplicateValues" dxfId="107" priority="853"/>
    <cfRule type="duplicateValues" dxfId="106" priority="854"/>
    <cfRule type="duplicateValues" dxfId="105" priority="855"/>
    <cfRule type="duplicateValues" dxfId="104" priority="856"/>
    <cfRule type="duplicateValues" dxfId="103" priority="857"/>
    <cfRule type="duplicateValues" dxfId="102" priority="858"/>
    <cfRule type="duplicateValues" dxfId="101" priority="859"/>
    <cfRule type="duplicateValues" dxfId="100" priority="860"/>
    <cfRule type="duplicateValues" dxfId="99" priority="861"/>
    <cfRule type="duplicateValues" dxfId="98" priority="862"/>
    <cfRule type="duplicateValues" dxfId="97" priority="863"/>
    <cfRule type="duplicateValues" dxfId="96" priority="864"/>
    <cfRule type="duplicateValues" dxfId="95" priority="865"/>
    <cfRule type="duplicateValues" dxfId="94" priority="866"/>
    <cfRule type="duplicateValues" dxfId="93" priority="867"/>
    <cfRule type="duplicateValues" dxfId="92" priority="868"/>
    <cfRule type="duplicateValues" dxfId="91" priority="869"/>
    <cfRule type="duplicateValues" dxfId="90" priority="870"/>
    <cfRule type="duplicateValues" dxfId="89" priority="871"/>
    <cfRule type="duplicateValues" dxfId="88" priority="872"/>
    <cfRule type="duplicateValues" dxfId="87" priority="873"/>
    <cfRule type="duplicateValues" dxfId="86" priority="874"/>
    <cfRule type="duplicateValues" dxfId="85" priority="875"/>
    <cfRule type="duplicateValues" dxfId="84" priority="876"/>
    <cfRule type="duplicateValues" dxfId="83" priority="877"/>
    <cfRule type="duplicateValues" dxfId="82" priority="878"/>
    <cfRule type="duplicateValues" dxfId="81" priority="879"/>
    <cfRule type="duplicateValues" dxfId="80" priority="880"/>
    <cfRule type="duplicateValues" dxfId="79" priority="881"/>
    <cfRule type="duplicateValues" dxfId="78" priority="882"/>
    <cfRule type="duplicateValues" dxfId="77" priority="883"/>
    <cfRule type="duplicateValues" dxfId="76" priority="884"/>
    <cfRule type="duplicateValues" dxfId="75" priority="885"/>
    <cfRule type="duplicateValues" dxfId="74" priority="886"/>
    <cfRule type="duplicateValues" dxfId="73" priority="887"/>
    <cfRule type="duplicateValues" dxfId="72" priority="888"/>
    <cfRule type="duplicateValues" dxfId="71" priority="889"/>
    <cfRule type="duplicateValues" dxfId="70" priority="890"/>
    <cfRule type="duplicateValues" dxfId="69" priority="891"/>
    <cfRule type="duplicateValues" dxfId="68" priority="892"/>
    <cfRule type="duplicateValues" dxfId="67" priority="893"/>
    <cfRule type="duplicateValues" dxfId="66" priority="894"/>
    <cfRule type="duplicateValues" dxfId="65" priority="895"/>
    <cfRule type="duplicateValues" dxfId="64" priority="896"/>
    <cfRule type="duplicateValues" dxfId="63" priority="897"/>
    <cfRule type="duplicateValues" dxfId="62" priority="898"/>
    <cfRule type="duplicateValues" dxfId="61" priority="899"/>
    <cfRule type="duplicateValues" dxfId="60" priority="900"/>
    <cfRule type="duplicateValues" dxfId="59" priority="901"/>
    <cfRule type="duplicateValues" dxfId="58" priority="902"/>
    <cfRule type="duplicateValues" dxfId="57" priority="903"/>
    <cfRule type="duplicateValues" dxfId="56" priority="904"/>
    <cfRule type="duplicateValues" dxfId="55" priority="905"/>
    <cfRule type="duplicateValues" dxfId="54" priority="906"/>
    <cfRule type="duplicateValues" dxfId="53" priority="907"/>
    <cfRule type="duplicateValues" dxfId="52" priority="908"/>
    <cfRule type="duplicateValues" dxfId="51" priority="909"/>
    <cfRule type="duplicateValues" dxfId="50" priority="910"/>
    <cfRule type="duplicateValues" dxfId="49" priority="911"/>
    <cfRule type="duplicateValues" dxfId="48" priority="912"/>
    <cfRule type="duplicateValues" dxfId="47" priority="913"/>
    <cfRule type="duplicateValues" dxfId="46" priority="914"/>
    <cfRule type="duplicateValues" dxfId="45" priority="915"/>
    <cfRule type="duplicateValues" dxfId="44" priority="916"/>
    <cfRule type="duplicateValues" dxfId="43" priority="917"/>
    <cfRule type="duplicateValues" dxfId="42" priority="918"/>
    <cfRule type="duplicateValues" dxfId="41" priority="919"/>
    <cfRule type="duplicateValues" dxfId="40" priority="920"/>
    <cfRule type="duplicateValues" dxfId="39" priority="921"/>
    <cfRule type="duplicateValues" dxfId="38" priority="922"/>
    <cfRule type="duplicateValues" dxfId="37" priority="923"/>
    <cfRule type="duplicateValues" dxfId="36" priority="924"/>
    <cfRule type="duplicateValues" dxfId="35" priority="925"/>
    <cfRule type="duplicateValues" dxfId="34" priority="926"/>
    <cfRule type="duplicateValues" dxfId="33" priority="927"/>
    <cfRule type="duplicateValues" dxfId="32" priority="928"/>
    <cfRule type="duplicateValues" dxfId="31" priority="929"/>
    <cfRule type="duplicateValues" dxfId="30" priority="930"/>
    <cfRule type="duplicateValues" dxfId="29" priority="931"/>
    <cfRule type="duplicateValues" dxfId="28" priority="932"/>
    <cfRule type="duplicateValues" dxfId="27" priority="933"/>
    <cfRule type="duplicateValues" dxfId="26" priority="934"/>
    <cfRule type="duplicateValues" dxfId="25" priority="935"/>
    <cfRule type="duplicateValues" dxfId="24" priority="936"/>
    <cfRule type="duplicateValues" dxfId="23" priority="937"/>
    <cfRule type="duplicateValues" dxfId="22" priority="938"/>
    <cfRule type="duplicateValues" dxfId="21" priority="939"/>
    <cfRule type="duplicateValues" dxfId="20" priority="940"/>
    <cfRule type="duplicateValues" dxfId="19" priority="941"/>
    <cfRule type="duplicateValues" dxfId="18" priority="942"/>
    <cfRule type="duplicateValues" dxfId="17" priority="943"/>
    <cfRule type="duplicateValues" dxfId="16" priority="944"/>
    <cfRule type="duplicateValues" dxfId="15" priority="945"/>
    <cfRule type="duplicateValues" dxfId="14" priority="946"/>
    <cfRule type="duplicateValues" dxfId="13" priority="947"/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A79-7439-4AE7-A2E2-15CCA8FD7B83}">
  <sheetPr codeName="Sheet64">
    <tabColor theme="6" tint="0.39997558519241921"/>
    <pageSetUpPr fitToPage="1"/>
  </sheetPr>
  <dimension ref="A1:V59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14.28515625" defaultRowHeight="12"/>
  <cols>
    <col min="1" max="1" width="16.140625" style="5" bestFit="1" customWidth="1"/>
    <col min="2" max="2" width="21.42578125" style="32" bestFit="1" customWidth="1"/>
    <col min="3" max="3" width="36.7109375" style="32" bestFit="1" customWidth="1"/>
    <col min="4" max="4" width="20.28515625" style="5" bestFit="1" customWidth="1"/>
    <col min="5" max="5" width="11" style="48" bestFit="1" customWidth="1"/>
    <col min="6" max="6" width="14.140625" style="32" bestFit="1" customWidth="1"/>
    <col min="7" max="7" width="8.140625" style="7" bestFit="1" customWidth="1"/>
    <col min="8" max="8" width="12.140625" style="32" bestFit="1" customWidth="1"/>
    <col min="9" max="9" width="25" style="48" bestFit="1" customWidth="1"/>
    <col min="10" max="10" width="12.28515625" style="48" bestFit="1" customWidth="1"/>
    <col min="11" max="11" width="8.5703125" style="48" bestFit="1" customWidth="1"/>
    <col min="12" max="12" width="9.140625" style="7" bestFit="1" customWidth="1"/>
    <col min="13" max="14" width="8.85546875" style="7" bestFit="1" customWidth="1"/>
    <col min="15" max="15" width="10" style="7" bestFit="1" customWidth="1"/>
    <col min="16" max="18" width="11" style="48" bestFit="1" customWidth="1"/>
    <col min="19" max="19" width="7.5703125" style="48" bestFit="1" customWidth="1"/>
    <col min="20" max="20" width="18.42578125" style="5" bestFit="1" customWidth="1"/>
    <col min="21" max="21" width="14.28515625" style="5"/>
    <col min="22" max="22" width="82.5703125" style="32" bestFit="1" customWidth="1"/>
    <col min="23" max="16384" width="14.28515625" style="5"/>
  </cols>
  <sheetData>
    <row r="1" spans="1:22" s="2" customFormat="1" ht="36">
      <c r="A1" s="2" t="s">
        <v>0</v>
      </c>
      <c r="B1" s="31" t="s">
        <v>3513</v>
      </c>
      <c r="C1" s="31" t="s">
        <v>3515</v>
      </c>
      <c r="D1" s="2" t="s">
        <v>7</v>
      </c>
      <c r="E1" s="33" t="s">
        <v>5542</v>
      </c>
      <c r="F1" s="31" t="s">
        <v>3517</v>
      </c>
      <c r="G1" s="4" t="s">
        <v>5543</v>
      </c>
      <c r="H1" s="31" t="s">
        <v>3519</v>
      </c>
      <c r="I1" s="33" t="s">
        <v>3704</v>
      </c>
      <c r="J1" s="33" t="s">
        <v>4000</v>
      </c>
      <c r="K1" s="33" t="s">
        <v>5544</v>
      </c>
      <c r="L1" s="4" t="s">
        <v>5545</v>
      </c>
      <c r="M1" s="4" t="s">
        <v>3520</v>
      </c>
      <c r="N1" s="4" t="s">
        <v>4010</v>
      </c>
      <c r="O1" s="4" t="s">
        <v>4012</v>
      </c>
      <c r="P1" s="33" t="s">
        <v>4013</v>
      </c>
      <c r="Q1" s="33" t="s">
        <v>4014</v>
      </c>
      <c r="R1" s="33" t="s">
        <v>4015</v>
      </c>
      <c r="S1" s="33" t="s">
        <v>5546</v>
      </c>
      <c r="T1" s="2" t="s">
        <v>4017</v>
      </c>
      <c r="V1" s="31" t="s">
        <v>5547</v>
      </c>
    </row>
    <row r="2" spans="1:22">
      <c r="A2" s="5" t="s">
        <v>5428</v>
      </c>
      <c r="B2" s="32" t="s">
        <v>850</v>
      </c>
      <c r="C2" s="32" t="s">
        <v>3534</v>
      </c>
      <c r="D2" s="5" t="s">
        <v>3537</v>
      </c>
      <c r="E2" s="48">
        <v>3521</v>
      </c>
      <c r="F2" s="32" t="s">
        <v>3524</v>
      </c>
      <c r="G2" s="7">
        <v>44851</v>
      </c>
      <c r="H2" s="32" t="s">
        <v>3526</v>
      </c>
      <c r="J2" s="48">
        <v>3521</v>
      </c>
      <c r="K2" s="48">
        <v>0</v>
      </c>
      <c r="L2" s="7" t="s">
        <v>3790</v>
      </c>
      <c r="M2" s="7">
        <v>45030</v>
      </c>
      <c r="N2" s="7">
        <v>44712</v>
      </c>
      <c r="O2" s="7" t="s">
        <v>3790</v>
      </c>
      <c r="P2" s="48">
        <v>84</v>
      </c>
      <c r="Q2" s="48">
        <v>56</v>
      </c>
      <c r="R2" s="48">
        <v>14</v>
      </c>
      <c r="S2" s="48">
        <v>3999</v>
      </c>
      <c r="T2" s="5" t="s">
        <v>5548</v>
      </c>
    </row>
    <row r="3" spans="1:22">
      <c r="A3" s="5" t="s">
        <v>5428</v>
      </c>
      <c r="B3" s="32" t="s">
        <v>850</v>
      </c>
      <c r="C3" s="32" t="s">
        <v>3534</v>
      </c>
      <c r="D3" s="5" t="s">
        <v>3533</v>
      </c>
      <c r="E3" s="48">
        <v>0</v>
      </c>
      <c r="G3" s="7">
        <v>45021</v>
      </c>
      <c r="J3" s="48">
        <v>0</v>
      </c>
      <c r="K3" s="48">
        <v>0</v>
      </c>
      <c r="L3" s="7" t="s">
        <v>3790</v>
      </c>
      <c r="M3" s="7" t="s">
        <v>3790</v>
      </c>
      <c r="N3" s="7">
        <v>44726</v>
      </c>
      <c r="O3" s="7">
        <v>45077</v>
      </c>
      <c r="P3" s="48">
        <v>84</v>
      </c>
      <c r="Q3" s="48">
        <v>56</v>
      </c>
      <c r="R3" s="48">
        <v>14</v>
      </c>
      <c r="S3" s="48">
        <v>3300</v>
      </c>
      <c r="T3" s="5" t="s">
        <v>5549</v>
      </c>
    </row>
    <row r="4" spans="1:22">
      <c r="A4" s="5" t="s">
        <v>5428</v>
      </c>
      <c r="B4" s="32" t="s">
        <v>852</v>
      </c>
      <c r="C4" s="32" t="s">
        <v>3534</v>
      </c>
      <c r="D4" s="5" t="s">
        <v>3537</v>
      </c>
      <c r="E4" s="48">
        <v>2359</v>
      </c>
      <c r="F4" s="32" t="s">
        <v>3524</v>
      </c>
      <c r="G4" s="7">
        <v>44851</v>
      </c>
      <c r="H4" s="32" t="s">
        <v>3526</v>
      </c>
      <c r="J4" s="48">
        <v>2359</v>
      </c>
      <c r="K4" s="48">
        <v>0</v>
      </c>
      <c r="L4" s="7" t="s">
        <v>3790</v>
      </c>
      <c r="M4" s="7">
        <v>45030</v>
      </c>
      <c r="N4" s="7">
        <v>44712</v>
      </c>
      <c r="O4" s="7" t="s">
        <v>3790</v>
      </c>
      <c r="P4" s="48">
        <v>84</v>
      </c>
      <c r="Q4" s="48">
        <v>56</v>
      </c>
      <c r="R4" s="48">
        <v>14</v>
      </c>
      <c r="S4" s="48">
        <v>2599</v>
      </c>
      <c r="T4" s="5" t="s">
        <v>5548</v>
      </c>
    </row>
    <row r="5" spans="1:22">
      <c r="A5" s="5" t="s">
        <v>5428</v>
      </c>
      <c r="B5" s="32" t="s">
        <v>852</v>
      </c>
      <c r="C5" s="32" t="s">
        <v>3534</v>
      </c>
      <c r="D5" s="5" t="s">
        <v>3533</v>
      </c>
      <c r="E5" s="48">
        <v>0</v>
      </c>
      <c r="G5" s="7">
        <v>45021</v>
      </c>
      <c r="J5" s="48">
        <v>0</v>
      </c>
      <c r="K5" s="48">
        <v>0</v>
      </c>
      <c r="L5" s="7" t="s">
        <v>3790</v>
      </c>
      <c r="M5" s="7" t="s">
        <v>3790</v>
      </c>
      <c r="N5" s="7">
        <v>44726</v>
      </c>
      <c r="O5" s="7">
        <v>45077</v>
      </c>
      <c r="P5" s="48">
        <v>84</v>
      </c>
      <c r="Q5" s="48">
        <v>56</v>
      </c>
      <c r="R5" s="48">
        <v>14</v>
      </c>
      <c r="S5" s="48">
        <v>3300</v>
      </c>
      <c r="T5" s="5" t="s">
        <v>5549</v>
      </c>
    </row>
    <row r="6" spans="1:22">
      <c r="A6" s="5" t="s">
        <v>5428</v>
      </c>
      <c r="B6" s="32" t="s">
        <v>1201</v>
      </c>
      <c r="C6" s="32" t="s">
        <v>3559</v>
      </c>
      <c r="D6" s="5" t="s">
        <v>3558</v>
      </c>
      <c r="E6" s="48">
        <v>0</v>
      </c>
      <c r="F6" s="32" t="s">
        <v>3524</v>
      </c>
      <c r="G6" s="7">
        <v>44875</v>
      </c>
      <c r="H6" s="32" t="s">
        <v>3526</v>
      </c>
      <c r="I6" s="48" t="s">
        <v>6133</v>
      </c>
      <c r="J6" s="48">
        <v>-218</v>
      </c>
      <c r="K6" s="48">
        <v>2418</v>
      </c>
      <c r="L6" s="7">
        <v>44923</v>
      </c>
      <c r="M6" s="7" t="s">
        <v>3790</v>
      </c>
      <c r="N6" s="7">
        <v>44713</v>
      </c>
      <c r="O6" s="7">
        <v>44937</v>
      </c>
      <c r="P6" s="48">
        <v>84</v>
      </c>
      <c r="Q6" s="48">
        <v>56</v>
      </c>
      <c r="R6" s="48">
        <v>14</v>
      </c>
      <c r="S6" s="48">
        <v>2200</v>
      </c>
      <c r="T6" s="5" t="s">
        <v>5548</v>
      </c>
    </row>
    <row r="7" spans="1:22">
      <c r="A7" s="5" t="s">
        <v>5428</v>
      </c>
      <c r="B7" s="32" t="s">
        <v>1830</v>
      </c>
      <c r="C7" s="32" t="s">
        <v>3576</v>
      </c>
      <c r="D7" s="5" t="s">
        <v>3575</v>
      </c>
      <c r="E7" s="48">
        <v>0</v>
      </c>
      <c r="F7" s="32" t="s">
        <v>3524</v>
      </c>
      <c r="G7" s="7">
        <v>44889</v>
      </c>
      <c r="H7" s="32" t="s">
        <v>3526</v>
      </c>
      <c r="J7" s="48">
        <v>0</v>
      </c>
      <c r="K7" s="48">
        <v>2359</v>
      </c>
      <c r="L7" s="7">
        <v>44921</v>
      </c>
      <c r="M7" s="7" t="s">
        <v>3790</v>
      </c>
      <c r="N7" s="7">
        <v>44726</v>
      </c>
      <c r="O7" s="7">
        <v>44935</v>
      </c>
      <c r="P7" s="48">
        <v>84</v>
      </c>
      <c r="Q7" s="48">
        <v>56</v>
      </c>
      <c r="R7" s="48">
        <v>14</v>
      </c>
      <c r="S7" s="48">
        <v>2200</v>
      </c>
      <c r="T7" s="5" t="s">
        <v>5548</v>
      </c>
    </row>
    <row r="8" spans="1:22">
      <c r="A8" s="5" t="s">
        <v>5428</v>
      </c>
      <c r="B8" s="32" t="s">
        <v>1832</v>
      </c>
      <c r="C8" s="32" t="s">
        <v>3576</v>
      </c>
      <c r="D8" s="5" t="s">
        <v>3589</v>
      </c>
      <c r="E8" s="48">
        <v>2452</v>
      </c>
      <c r="F8" s="32" t="s">
        <v>3524</v>
      </c>
      <c r="G8" s="7">
        <v>44753</v>
      </c>
      <c r="H8" s="32" t="s">
        <v>3526</v>
      </c>
      <c r="I8" s="48" t="s">
        <v>3580</v>
      </c>
      <c r="J8" s="48">
        <v>2121</v>
      </c>
      <c r="K8" s="48">
        <v>0</v>
      </c>
      <c r="L8" s="7" t="s">
        <v>3790</v>
      </c>
      <c r="M8" s="7">
        <v>44943</v>
      </c>
      <c r="N8" s="7">
        <v>44572</v>
      </c>
      <c r="O8" s="7" t="s">
        <v>3790</v>
      </c>
      <c r="P8" s="48">
        <v>84</v>
      </c>
      <c r="Q8" s="48">
        <v>56</v>
      </c>
      <c r="R8" s="48">
        <v>14</v>
      </c>
      <c r="S8" s="48">
        <v>4400</v>
      </c>
      <c r="T8" s="5" t="s">
        <v>5548</v>
      </c>
    </row>
    <row r="9" spans="1:22">
      <c r="A9" s="5" t="s">
        <v>5428</v>
      </c>
      <c r="B9" s="32" t="s">
        <v>1832</v>
      </c>
      <c r="C9" s="32" t="s">
        <v>3576</v>
      </c>
      <c r="D9" s="5" t="s">
        <v>3546</v>
      </c>
      <c r="E9" s="48">
        <v>2577</v>
      </c>
      <c r="F9" s="32" t="s">
        <v>3524</v>
      </c>
      <c r="G9" s="7">
        <v>44796</v>
      </c>
      <c r="H9" s="32" t="s">
        <v>3526</v>
      </c>
      <c r="I9" s="48" t="s">
        <v>3585</v>
      </c>
      <c r="J9" s="48">
        <v>2207</v>
      </c>
      <c r="K9" s="48">
        <v>0</v>
      </c>
      <c r="L9" s="7" t="s">
        <v>3790</v>
      </c>
      <c r="M9" s="7">
        <v>44989</v>
      </c>
      <c r="N9" s="7">
        <v>44657</v>
      </c>
      <c r="O9" s="7" t="s">
        <v>3790</v>
      </c>
      <c r="P9" s="48">
        <v>84</v>
      </c>
      <c r="Q9" s="48">
        <v>56</v>
      </c>
      <c r="R9" s="48">
        <v>14</v>
      </c>
      <c r="S9" s="48">
        <v>2200</v>
      </c>
      <c r="T9" s="5" t="s">
        <v>5548</v>
      </c>
    </row>
    <row r="10" spans="1:22">
      <c r="A10" s="5" t="s">
        <v>5428</v>
      </c>
      <c r="B10" s="32" t="s">
        <v>1836</v>
      </c>
      <c r="C10" s="32" t="s">
        <v>3588</v>
      </c>
      <c r="D10" s="5" t="s">
        <v>3587</v>
      </c>
      <c r="E10" s="48">
        <v>0</v>
      </c>
      <c r="F10" s="32" t="s">
        <v>3524</v>
      </c>
      <c r="G10" s="7">
        <v>44875</v>
      </c>
      <c r="H10" s="32" t="s">
        <v>3526</v>
      </c>
      <c r="I10" s="48" t="s">
        <v>6355</v>
      </c>
      <c r="J10" s="48">
        <v>-525</v>
      </c>
      <c r="K10" s="48">
        <v>7117</v>
      </c>
      <c r="L10" s="7">
        <v>44923</v>
      </c>
      <c r="M10" s="7" t="s">
        <v>3790</v>
      </c>
      <c r="N10" s="7">
        <v>44726</v>
      </c>
      <c r="O10" s="7">
        <v>44937</v>
      </c>
      <c r="P10" s="48">
        <v>84</v>
      </c>
      <c r="Q10" s="48">
        <v>56</v>
      </c>
      <c r="R10" s="48">
        <v>14</v>
      </c>
      <c r="S10" s="48">
        <v>6601</v>
      </c>
      <c r="T10" s="5" t="s">
        <v>5548</v>
      </c>
    </row>
    <row r="11" spans="1:22">
      <c r="A11" s="5" t="s">
        <v>5428</v>
      </c>
      <c r="B11" s="32" t="s">
        <v>1838</v>
      </c>
      <c r="C11" s="32" t="s">
        <v>3588</v>
      </c>
      <c r="D11" s="5" t="s">
        <v>3587</v>
      </c>
      <c r="E11" s="48">
        <v>0</v>
      </c>
      <c r="F11" s="32" t="s">
        <v>3524</v>
      </c>
      <c r="G11" s="7">
        <v>44872</v>
      </c>
      <c r="H11" s="32" t="s">
        <v>3526</v>
      </c>
      <c r="I11" s="48" t="s">
        <v>6321</v>
      </c>
      <c r="J11" s="48">
        <v>-146</v>
      </c>
      <c r="K11" s="48">
        <v>2346</v>
      </c>
      <c r="L11" s="7">
        <v>44923</v>
      </c>
      <c r="M11" s="7" t="s">
        <v>3790</v>
      </c>
      <c r="N11" s="7">
        <v>44726</v>
      </c>
      <c r="O11" s="7">
        <v>44937</v>
      </c>
      <c r="P11" s="48">
        <v>84</v>
      </c>
      <c r="Q11" s="48">
        <v>56</v>
      </c>
      <c r="R11" s="48">
        <v>14</v>
      </c>
      <c r="S11" s="48">
        <v>2200</v>
      </c>
      <c r="T11" s="5" t="s">
        <v>5548</v>
      </c>
    </row>
    <row r="12" spans="1:22">
      <c r="A12" s="5" t="s">
        <v>5428</v>
      </c>
      <c r="B12" s="32" t="s">
        <v>1974</v>
      </c>
      <c r="C12" s="32" t="s">
        <v>3591</v>
      </c>
      <c r="D12" s="5" t="s">
        <v>3590</v>
      </c>
      <c r="E12" s="48">
        <v>2511</v>
      </c>
      <c r="F12" s="32" t="s">
        <v>3524</v>
      </c>
      <c r="G12" s="7">
        <v>44851</v>
      </c>
      <c r="H12" s="32" t="s">
        <v>3526</v>
      </c>
      <c r="I12" s="48" t="s">
        <v>6018</v>
      </c>
      <c r="J12" s="48">
        <v>2205</v>
      </c>
      <c r="K12" s="48">
        <v>0</v>
      </c>
      <c r="L12" s="7" t="s">
        <v>3790</v>
      </c>
      <c r="M12" s="7">
        <v>45030</v>
      </c>
      <c r="N12" s="7">
        <v>44690</v>
      </c>
      <c r="O12" s="7" t="s">
        <v>3790</v>
      </c>
      <c r="P12" s="48">
        <v>84</v>
      </c>
      <c r="Q12" s="48">
        <v>56</v>
      </c>
      <c r="R12" s="48">
        <v>14</v>
      </c>
      <c r="S12" s="48">
        <v>2200</v>
      </c>
      <c r="T12" s="5" t="s">
        <v>5548</v>
      </c>
    </row>
    <row r="13" spans="1:22">
      <c r="A13" s="5" t="s">
        <v>5428</v>
      </c>
      <c r="B13" s="32" t="s">
        <v>2051</v>
      </c>
      <c r="C13" s="32" t="s">
        <v>3594</v>
      </c>
      <c r="D13" s="5" t="s">
        <v>3593</v>
      </c>
      <c r="E13" s="48">
        <v>1856</v>
      </c>
      <c r="F13" s="32" t="s">
        <v>3524</v>
      </c>
      <c r="G13" s="7">
        <v>44858</v>
      </c>
      <c r="H13" s="32" t="s">
        <v>3526</v>
      </c>
      <c r="I13" s="48" t="s">
        <v>6020</v>
      </c>
      <c r="J13" s="48">
        <v>1699</v>
      </c>
      <c r="K13" s="48">
        <v>0</v>
      </c>
      <c r="L13" s="7" t="s">
        <v>3790</v>
      </c>
      <c r="M13" s="7">
        <v>45030</v>
      </c>
      <c r="N13" s="7">
        <v>44713</v>
      </c>
      <c r="O13" s="7" t="s">
        <v>3790</v>
      </c>
      <c r="P13" s="48">
        <v>84</v>
      </c>
      <c r="Q13" s="48">
        <v>56</v>
      </c>
      <c r="R13" s="48">
        <v>14</v>
      </c>
      <c r="S13" s="48">
        <v>1700</v>
      </c>
      <c r="T13" s="5" t="s">
        <v>5548</v>
      </c>
    </row>
    <row r="14" spans="1:22">
      <c r="A14" s="5" t="s">
        <v>5428</v>
      </c>
      <c r="B14" s="32" t="s">
        <v>2053</v>
      </c>
      <c r="C14" s="32" t="s">
        <v>3594</v>
      </c>
      <c r="D14" s="5" t="s">
        <v>3593</v>
      </c>
      <c r="E14" s="48">
        <v>538</v>
      </c>
      <c r="F14" s="32" t="s">
        <v>3524</v>
      </c>
      <c r="G14" s="7">
        <v>44858</v>
      </c>
      <c r="H14" s="32" t="s">
        <v>3526</v>
      </c>
      <c r="I14" s="48" t="s">
        <v>3866</v>
      </c>
      <c r="J14" s="48">
        <v>501</v>
      </c>
      <c r="K14" s="48">
        <v>0</v>
      </c>
      <c r="L14" s="7" t="s">
        <v>3790</v>
      </c>
      <c r="M14" s="7">
        <v>45030</v>
      </c>
      <c r="N14" s="7">
        <v>44713</v>
      </c>
      <c r="O14" s="7" t="s">
        <v>3790</v>
      </c>
      <c r="P14" s="48">
        <v>84</v>
      </c>
      <c r="Q14" s="48">
        <v>56</v>
      </c>
      <c r="R14" s="48">
        <v>14</v>
      </c>
      <c r="S14" s="48">
        <v>500</v>
      </c>
      <c r="T14" s="5" t="s">
        <v>5548</v>
      </c>
    </row>
    <row r="15" spans="1:22">
      <c r="A15" s="5" t="s">
        <v>5428</v>
      </c>
      <c r="B15" s="32" t="s">
        <v>2210</v>
      </c>
      <c r="C15" s="32" t="s">
        <v>3597</v>
      </c>
      <c r="D15" s="5" t="s">
        <v>3596</v>
      </c>
      <c r="E15" s="48">
        <v>1490</v>
      </c>
      <c r="F15" s="32" t="s">
        <v>3524</v>
      </c>
      <c r="G15" s="7">
        <v>44797</v>
      </c>
      <c r="H15" s="32" t="s">
        <v>3526</v>
      </c>
      <c r="I15" s="48" t="s">
        <v>3599</v>
      </c>
      <c r="J15" s="48">
        <v>1380</v>
      </c>
      <c r="K15" s="48">
        <v>0</v>
      </c>
      <c r="L15" s="7" t="s">
        <v>3790</v>
      </c>
      <c r="M15" s="7">
        <v>44989</v>
      </c>
      <c r="N15" s="7">
        <v>44722</v>
      </c>
      <c r="O15" s="7" t="s">
        <v>3790</v>
      </c>
      <c r="P15" s="48">
        <v>84</v>
      </c>
      <c r="Q15" s="48">
        <v>56</v>
      </c>
      <c r="R15" s="48">
        <v>14</v>
      </c>
      <c r="S15" s="48">
        <v>2299</v>
      </c>
      <c r="T15" s="5" t="s">
        <v>5548</v>
      </c>
    </row>
    <row r="16" spans="1:22">
      <c r="A16" s="5" t="s">
        <v>5428</v>
      </c>
      <c r="B16" s="32" t="s">
        <v>2213</v>
      </c>
      <c r="C16" s="32" t="s">
        <v>3597</v>
      </c>
      <c r="D16" s="5" t="s">
        <v>3596</v>
      </c>
      <c r="E16" s="48">
        <v>1175</v>
      </c>
      <c r="F16" s="32" t="s">
        <v>3524</v>
      </c>
      <c r="G16" s="7">
        <v>44797</v>
      </c>
      <c r="H16" s="32" t="s">
        <v>3526</v>
      </c>
      <c r="I16" s="48" t="s">
        <v>3602</v>
      </c>
      <c r="J16" s="48">
        <v>1102</v>
      </c>
      <c r="K16" s="48">
        <v>0</v>
      </c>
      <c r="L16" s="7" t="s">
        <v>3790</v>
      </c>
      <c r="M16" s="7">
        <v>44989</v>
      </c>
      <c r="N16" s="7">
        <v>44722</v>
      </c>
      <c r="O16" s="7" t="s">
        <v>3790</v>
      </c>
      <c r="P16" s="48">
        <v>84</v>
      </c>
      <c r="Q16" s="48">
        <v>56</v>
      </c>
      <c r="R16" s="48">
        <v>14</v>
      </c>
      <c r="S16" s="48">
        <v>1001</v>
      </c>
      <c r="T16" s="5" t="s">
        <v>5548</v>
      </c>
    </row>
    <row r="17" spans="1:22">
      <c r="A17" s="5" t="s">
        <v>5428</v>
      </c>
      <c r="B17" s="32" t="s">
        <v>2214</v>
      </c>
      <c r="C17" s="32" t="s">
        <v>3604</v>
      </c>
      <c r="D17" s="5" t="s">
        <v>3546</v>
      </c>
      <c r="E17" s="48">
        <v>0</v>
      </c>
      <c r="F17" s="32" t="s">
        <v>3524</v>
      </c>
      <c r="G17" s="7">
        <v>44876</v>
      </c>
      <c r="H17" s="32" t="s">
        <v>3526</v>
      </c>
      <c r="J17" s="48">
        <v>0</v>
      </c>
      <c r="K17" s="48">
        <v>1186</v>
      </c>
      <c r="L17" s="7">
        <v>44923</v>
      </c>
      <c r="M17" s="7" t="s">
        <v>3790</v>
      </c>
      <c r="N17" s="7">
        <v>44657</v>
      </c>
      <c r="O17" s="7">
        <v>44937</v>
      </c>
      <c r="P17" s="48">
        <v>84</v>
      </c>
      <c r="Q17" s="48">
        <v>56</v>
      </c>
      <c r="R17" s="48">
        <v>14</v>
      </c>
      <c r="S17" s="48">
        <v>1199</v>
      </c>
      <c r="T17" s="5" t="s">
        <v>5548</v>
      </c>
    </row>
    <row r="18" spans="1:22">
      <c r="A18" s="5" t="s">
        <v>5428</v>
      </c>
      <c r="B18" s="32" t="s">
        <v>2217</v>
      </c>
      <c r="C18" s="32" t="s">
        <v>3604</v>
      </c>
      <c r="D18" s="5" t="s">
        <v>3546</v>
      </c>
      <c r="E18" s="48">
        <v>0</v>
      </c>
      <c r="F18" s="32" t="s">
        <v>3524</v>
      </c>
      <c r="G18" s="7">
        <v>44876</v>
      </c>
      <c r="H18" s="32" t="s">
        <v>3526</v>
      </c>
      <c r="J18" s="48">
        <v>0</v>
      </c>
      <c r="K18" s="48">
        <v>955</v>
      </c>
      <c r="L18" s="7">
        <v>44923</v>
      </c>
      <c r="M18" s="7" t="s">
        <v>3790</v>
      </c>
      <c r="N18" s="7">
        <v>44657</v>
      </c>
      <c r="O18" s="7">
        <v>44937</v>
      </c>
      <c r="P18" s="48">
        <v>84</v>
      </c>
      <c r="Q18" s="48">
        <v>56</v>
      </c>
      <c r="R18" s="48">
        <v>14</v>
      </c>
      <c r="S18" s="48">
        <v>1001</v>
      </c>
      <c r="T18" s="5" t="s">
        <v>5548</v>
      </c>
    </row>
    <row r="19" spans="1:22">
      <c r="A19" s="5" t="s">
        <v>5428</v>
      </c>
      <c r="B19" s="32" t="s">
        <v>2961</v>
      </c>
      <c r="C19" s="32" t="s">
        <v>3635</v>
      </c>
      <c r="D19" s="5" t="s">
        <v>3530</v>
      </c>
      <c r="E19" s="48">
        <v>1642</v>
      </c>
      <c r="F19" s="32" t="s">
        <v>3524</v>
      </c>
      <c r="G19" s="7">
        <v>44796</v>
      </c>
      <c r="H19" s="32" t="s">
        <v>3526</v>
      </c>
      <c r="I19" s="48" t="s">
        <v>3567</v>
      </c>
      <c r="J19" s="48">
        <v>1609</v>
      </c>
      <c r="K19" s="48">
        <v>0</v>
      </c>
      <c r="L19" s="7" t="s">
        <v>3790</v>
      </c>
      <c r="M19" s="7">
        <v>44989</v>
      </c>
      <c r="N19" s="7">
        <v>44588</v>
      </c>
      <c r="O19" s="7" t="s">
        <v>3790</v>
      </c>
      <c r="P19" s="48">
        <v>84</v>
      </c>
      <c r="Q19" s="48">
        <v>56</v>
      </c>
      <c r="R19" s="48">
        <v>14</v>
      </c>
      <c r="S19" s="48">
        <v>1601</v>
      </c>
      <c r="T19" s="5" t="s">
        <v>5548</v>
      </c>
    </row>
    <row r="20" spans="1:22">
      <c r="A20" s="5" t="s">
        <v>5428</v>
      </c>
      <c r="B20" s="32" t="s">
        <v>2961</v>
      </c>
      <c r="C20" s="32" t="s">
        <v>3635</v>
      </c>
      <c r="D20" s="5" t="s">
        <v>6059</v>
      </c>
      <c r="E20" s="48">
        <v>0</v>
      </c>
      <c r="F20" s="32" t="s">
        <v>3524</v>
      </c>
      <c r="G20" s="7">
        <v>44887</v>
      </c>
      <c r="H20" s="32" t="s">
        <v>3526</v>
      </c>
      <c r="I20" s="48" t="s">
        <v>6405</v>
      </c>
      <c r="J20" s="48">
        <v>-897</v>
      </c>
      <c r="K20" s="48">
        <v>16281</v>
      </c>
      <c r="L20" s="7">
        <v>44921</v>
      </c>
      <c r="M20" s="7" t="s">
        <v>3790</v>
      </c>
      <c r="N20" s="7">
        <v>44855</v>
      </c>
      <c r="O20" s="7">
        <v>44935</v>
      </c>
      <c r="P20" s="48">
        <v>84</v>
      </c>
      <c r="Q20" s="48">
        <v>56</v>
      </c>
      <c r="R20" s="48">
        <v>14</v>
      </c>
      <c r="S20" s="48">
        <v>15400</v>
      </c>
      <c r="T20" s="5" t="s">
        <v>5548</v>
      </c>
    </row>
    <row r="21" spans="1:22">
      <c r="A21" s="5" t="s">
        <v>5428</v>
      </c>
      <c r="B21" s="32" t="s">
        <v>2963</v>
      </c>
      <c r="C21" s="32" t="s">
        <v>3635</v>
      </c>
      <c r="D21" s="5" t="s">
        <v>3530</v>
      </c>
      <c r="E21" s="48">
        <v>4273</v>
      </c>
      <c r="F21" s="32" t="s">
        <v>3524</v>
      </c>
      <c r="G21" s="7">
        <v>44796</v>
      </c>
      <c r="H21" s="32" t="s">
        <v>3526</v>
      </c>
      <c r="I21" s="48" t="s">
        <v>3641</v>
      </c>
      <c r="J21" s="48">
        <v>3638</v>
      </c>
      <c r="K21" s="48">
        <v>0</v>
      </c>
      <c r="L21" s="7" t="s">
        <v>3790</v>
      </c>
      <c r="M21" s="7">
        <v>45029</v>
      </c>
      <c r="N21" s="7">
        <v>44588</v>
      </c>
      <c r="O21" s="7" t="s">
        <v>3790</v>
      </c>
      <c r="P21" s="48">
        <v>84</v>
      </c>
      <c r="Q21" s="48">
        <v>56</v>
      </c>
      <c r="R21" s="48">
        <v>14</v>
      </c>
      <c r="S21" s="48">
        <v>5000</v>
      </c>
      <c r="T21" s="5" t="s">
        <v>5548</v>
      </c>
    </row>
    <row r="22" spans="1:22">
      <c r="A22" s="5" t="s">
        <v>5428</v>
      </c>
      <c r="B22" s="32" t="s">
        <v>2963</v>
      </c>
      <c r="C22" s="32" t="s">
        <v>3635</v>
      </c>
      <c r="D22" s="5" t="s">
        <v>3637</v>
      </c>
      <c r="E22" s="48">
        <v>2412</v>
      </c>
      <c r="F22" s="32" t="s">
        <v>3524</v>
      </c>
      <c r="G22" s="7">
        <v>44823</v>
      </c>
      <c r="H22" s="32" t="s">
        <v>3526</v>
      </c>
      <c r="I22" s="48" t="s">
        <v>5253</v>
      </c>
      <c r="J22" s="48">
        <v>2200</v>
      </c>
      <c r="K22" s="48">
        <v>0</v>
      </c>
      <c r="L22" s="7" t="s">
        <v>3790</v>
      </c>
      <c r="M22" s="7">
        <v>45029</v>
      </c>
      <c r="N22" s="7">
        <v>44727</v>
      </c>
      <c r="O22" s="7" t="s">
        <v>3790</v>
      </c>
      <c r="P22" s="48">
        <v>84</v>
      </c>
      <c r="Q22" s="48">
        <v>56</v>
      </c>
      <c r="R22" s="48">
        <v>14</v>
      </c>
      <c r="S22" s="48">
        <v>2200</v>
      </c>
      <c r="T22" s="5" t="s">
        <v>5548</v>
      </c>
    </row>
    <row r="23" spans="1:22">
      <c r="A23" s="5" t="s">
        <v>5428</v>
      </c>
      <c r="B23" s="32" t="s">
        <v>3165</v>
      </c>
      <c r="C23" s="32" t="s">
        <v>3643</v>
      </c>
      <c r="D23" s="5" t="s">
        <v>3642</v>
      </c>
      <c r="E23" s="48">
        <v>2200</v>
      </c>
      <c r="F23" s="32" t="s">
        <v>3524</v>
      </c>
      <c r="G23" s="7">
        <v>44750</v>
      </c>
      <c r="H23" s="32" t="s">
        <v>3526</v>
      </c>
      <c r="J23" s="48">
        <v>2200</v>
      </c>
      <c r="K23" s="48">
        <v>0</v>
      </c>
      <c r="L23" s="7" t="s">
        <v>3790</v>
      </c>
      <c r="M23" s="7">
        <v>44943</v>
      </c>
      <c r="N23" s="7">
        <v>44690</v>
      </c>
      <c r="O23" s="7" t="s">
        <v>3790</v>
      </c>
      <c r="P23" s="48">
        <v>84</v>
      </c>
      <c r="Q23" s="48">
        <v>56</v>
      </c>
      <c r="R23" s="48">
        <v>14</v>
      </c>
      <c r="S23" s="48">
        <v>2200</v>
      </c>
      <c r="T23" s="5" t="s">
        <v>5548</v>
      </c>
    </row>
    <row r="24" spans="1:22">
      <c r="A24" s="5" t="s">
        <v>5428</v>
      </c>
      <c r="B24" s="32" t="s">
        <v>3165</v>
      </c>
      <c r="C24" s="32" t="s">
        <v>3643</v>
      </c>
      <c r="D24" s="5" t="s">
        <v>3637</v>
      </c>
      <c r="E24" s="48">
        <v>1737</v>
      </c>
      <c r="F24" s="32" t="s">
        <v>3524</v>
      </c>
      <c r="G24" s="7">
        <v>44847</v>
      </c>
      <c r="H24" s="32" t="s">
        <v>3526</v>
      </c>
      <c r="I24" s="48" t="s">
        <v>5925</v>
      </c>
      <c r="J24" s="48">
        <v>1719</v>
      </c>
      <c r="K24" s="48">
        <v>0</v>
      </c>
      <c r="L24" s="7" t="s">
        <v>3790</v>
      </c>
      <c r="M24" s="7">
        <v>45030</v>
      </c>
      <c r="N24" s="7">
        <v>44727</v>
      </c>
      <c r="O24" s="7" t="s">
        <v>3790</v>
      </c>
      <c r="P24" s="48">
        <v>84</v>
      </c>
      <c r="Q24" s="48">
        <v>56</v>
      </c>
      <c r="R24" s="48">
        <v>14</v>
      </c>
      <c r="S24" s="48">
        <v>1700</v>
      </c>
      <c r="T24" s="5" t="s">
        <v>5548</v>
      </c>
    </row>
    <row r="25" spans="1:22">
      <c r="A25" s="5" t="s">
        <v>5428</v>
      </c>
      <c r="B25" s="32" t="s">
        <v>3167</v>
      </c>
      <c r="C25" s="32" t="s">
        <v>3643</v>
      </c>
      <c r="D25" s="5" t="s">
        <v>3637</v>
      </c>
      <c r="E25" s="48">
        <v>448</v>
      </c>
      <c r="F25" s="32" t="s">
        <v>3524</v>
      </c>
      <c r="G25" s="7">
        <v>44847</v>
      </c>
      <c r="H25" s="32" t="s">
        <v>3526</v>
      </c>
      <c r="J25" s="48">
        <v>448</v>
      </c>
      <c r="K25" s="48">
        <v>0</v>
      </c>
      <c r="L25" s="7" t="s">
        <v>3790</v>
      </c>
      <c r="M25" s="7">
        <v>45030</v>
      </c>
      <c r="N25" s="7">
        <v>44727</v>
      </c>
      <c r="O25" s="7" t="s">
        <v>3790</v>
      </c>
      <c r="P25" s="48">
        <v>84</v>
      </c>
      <c r="Q25" s="48">
        <v>56</v>
      </c>
      <c r="R25" s="48">
        <v>14</v>
      </c>
      <c r="S25" s="48">
        <v>500</v>
      </c>
      <c r="T25" s="5" t="s">
        <v>5548</v>
      </c>
    </row>
    <row r="26" spans="1:22">
      <c r="A26" s="5" t="s">
        <v>5428</v>
      </c>
      <c r="B26" s="32" t="s">
        <v>3230</v>
      </c>
      <c r="C26" s="32" t="s">
        <v>3648</v>
      </c>
      <c r="D26" s="5" t="s">
        <v>3605</v>
      </c>
      <c r="E26" s="48">
        <v>0</v>
      </c>
      <c r="G26" s="7">
        <v>44928</v>
      </c>
      <c r="J26" s="48">
        <v>0</v>
      </c>
      <c r="K26" s="48">
        <v>0</v>
      </c>
      <c r="L26" s="7" t="s">
        <v>3790</v>
      </c>
      <c r="M26" s="7" t="s">
        <v>3790</v>
      </c>
      <c r="N26" s="7">
        <v>44749</v>
      </c>
      <c r="O26" s="7">
        <v>44984</v>
      </c>
      <c r="P26" s="48">
        <v>84</v>
      </c>
      <c r="Q26" s="48">
        <v>56</v>
      </c>
      <c r="R26" s="48">
        <v>14</v>
      </c>
      <c r="S26" s="48">
        <v>3296</v>
      </c>
      <c r="T26" s="5" t="s">
        <v>5550</v>
      </c>
    </row>
    <row r="27" spans="1:22">
      <c r="A27" s="5" t="s">
        <v>5428</v>
      </c>
      <c r="B27" s="32" t="s">
        <v>3232</v>
      </c>
      <c r="C27" s="32" t="s">
        <v>3648</v>
      </c>
      <c r="D27" s="5" t="s">
        <v>3605</v>
      </c>
      <c r="E27" s="48">
        <v>0</v>
      </c>
      <c r="G27" s="7">
        <v>44928</v>
      </c>
      <c r="J27" s="48">
        <v>0</v>
      </c>
      <c r="K27" s="48">
        <v>0</v>
      </c>
      <c r="L27" s="7" t="s">
        <v>3790</v>
      </c>
      <c r="M27" s="7" t="s">
        <v>3790</v>
      </c>
      <c r="N27" s="7">
        <v>44749</v>
      </c>
      <c r="O27" s="7">
        <v>44984</v>
      </c>
      <c r="P27" s="48">
        <v>84</v>
      </c>
      <c r="Q27" s="48">
        <v>56</v>
      </c>
      <c r="R27" s="48">
        <v>14</v>
      </c>
      <c r="S27" s="48">
        <v>1100</v>
      </c>
      <c r="T27" s="5" t="s">
        <v>5550</v>
      </c>
    </row>
    <row r="28" spans="1:22">
      <c r="A28" s="5" t="s">
        <v>3653</v>
      </c>
      <c r="B28" s="32" t="s">
        <v>3655</v>
      </c>
      <c r="C28" s="32" t="s">
        <v>3656</v>
      </c>
      <c r="D28" s="5" t="s">
        <v>4121</v>
      </c>
      <c r="E28" s="48">
        <v>0</v>
      </c>
      <c r="G28" s="7">
        <v>45000</v>
      </c>
      <c r="J28" s="48">
        <v>0</v>
      </c>
      <c r="K28" s="48">
        <v>0</v>
      </c>
      <c r="L28" s="7" t="s">
        <v>3790</v>
      </c>
      <c r="M28" s="7" t="s">
        <v>3790</v>
      </c>
      <c r="N28" s="7">
        <v>44785</v>
      </c>
      <c r="O28" s="7">
        <v>45007</v>
      </c>
      <c r="P28" s="48">
        <v>42</v>
      </c>
      <c r="Q28" s="48">
        <v>7</v>
      </c>
      <c r="R28" s="48">
        <v>14</v>
      </c>
      <c r="S28" s="48">
        <v>155000</v>
      </c>
      <c r="T28" s="5" t="s">
        <v>5549</v>
      </c>
      <c r="V28" s="32" t="s">
        <v>3654</v>
      </c>
    </row>
    <row r="29" spans="1:22">
      <c r="A29" s="5" t="s">
        <v>3653</v>
      </c>
      <c r="B29" s="32" t="s">
        <v>3655</v>
      </c>
      <c r="C29" s="32" t="s">
        <v>3656</v>
      </c>
      <c r="D29" s="5" t="s">
        <v>4119</v>
      </c>
      <c r="E29" s="48">
        <v>0</v>
      </c>
      <c r="G29" s="7">
        <v>45026</v>
      </c>
      <c r="J29" s="48">
        <v>0</v>
      </c>
      <c r="K29" s="48">
        <v>0</v>
      </c>
      <c r="L29" s="7" t="s">
        <v>3790</v>
      </c>
      <c r="M29" s="7" t="s">
        <v>3790</v>
      </c>
      <c r="N29" s="7">
        <v>44771</v>
      </c>
      <c r="O29" s="7">
        <v>45033</v>
      </c>
      <c r="P29" s="48">
        <v>42</v>
      </c>
      <c r="Q29" s="48">
        <v>7</v>
      </c>
      <c r="R29" s="48">
        <v>14</v>
      </c>
      <c r="S29" s="48">
        <v>155000</v>
      </c>
      <c r="T29" s="5" t="s">
        <v>5549</v>
      </c>
      <c r="V29" s="32" t="s">
        <v>5983</v>
      </c>
    </row>
    <row r="30" spans="1:22">
      <c r="A30" s="5" t="s">
        <v>3653</v>
      </c>
      <c r="B30" s="32" t="s">
        <v>3655</v>
      </c>
      <c r="C30" s="32" t="s">
        <v>3656</v>
      </c>
      <c r="D30" s="5" t="s">
        <v>4123</v>
      </c>
      <c r="E30" s="48">
        <v>190401</v>
      </c>
      <c r="F30" s="32" t="s">
        <v>3657</v>
      </c>
      <c r="G30" s="7" t="s">
        <v>3790</v>
      </c>
      <c r="H30" s="32" t="s">
        <v>3658</v>
      </c>
      <c r="J30" s="48">
        <v>190401</v>
      </c>
      <c r="K30" s="48">
        <v>0</v>
      </c>
      <c r="L30" s="7" t="s">
        <v>3790</v>
      </c>
      <c r="M30" s="7">
        <v>44961</v>
      </c>
      <c r="N30" s="7">
        <v>44413</v>
      </c>
      <c r="O30" s="7" t="s">
        <v>3790</v>
      </c>
      <c r="P30" s="48">
        <v>42</v>
      </c>
      <c r="Q30" s="48">
        <v>7</v>
      </c>
      <c r="R30" s="48">
        <v>14</v>
      </c>
      <c r="S30" s="48">
        <v>150000</v>
      </c>
      <c r="T30" s="5" t="s">
        <v>5548</v>
      </c>
    </row>
    <row r="31" spans="1:22">
      <c r="A31" s="5" t="s">
        <v>3653</v>
      </c>
      <c r="B31" s="32" t="s">
        <v>3655</v>
      </c>
      <c r="C31" s="32" t="s">
        <v>3656</v>
      </c>
      <c r="D31" s="5" t="s">
        <v>4117</v>
      </c>
      <c r="E31" s="48">
        <v>166182</v>
      </c>
      <c r="F31" s="32" t="s">
        <v>3657</v>
      </c>
      <c r="G31" s="7" t="s">
        <v>3790</v>
      </c>
      <c r="H31" s="32" t="s">
        <v>3658</v>
      </c>
      <c r="J31" s="48">
        <v>166182</v>
      </c>
      <c r="K31" s="48">
        <v>0</v>
      </c>
      <c r="L31" s="7" t="s">
        <v>3790</v>
      </c>
      <c r="M31" s="7">
        <v>45077</v>
      </c>
      <c r="N31" s="7">
        <v>44678</v>
      </c>
      <c r="O31" s="7" t="s">
        <v>3790</v>
      </c>
      <c r="P31" s="48">
        <v>42</v>
      </c>
      <c r="Q31" s="48">
        <v>7</v>
      </c>
      <c r="R31" s="48">
        <v>14</v>
      </c>
      <c r="S31" s="48">
        <v>175000</v>
      </c>
      <c r="T31" s="5" t="s">
        <v>5548</v>
      </c>
    </row>
    <row r="32" spans="1:22">
      <c r="A32" s="5" t="s">
        <v>3653</v>
      </c>
      <c r="B32" s="32" t="s">
        <v>3659</v>
      </c>
      <c r="C32" s="32" t="s">
        <v>3656</v>
      </c>
      <c r="D32" s="5" t="s">
        <v>4121</v>
      </c>
      <c r="E32" s="48">
        <v>0</v>
      </c>
      <c r="G32" s="7">
        <v>45000</v>
      </c>
      <c r="J32" s="48">
        <v>0</v>
      </c>
      <c r="K32" s="48">
        <v>0</v>
      </c>
      <c r="L32" s="7" t="s">
        <v>3790</v>
      </c>
      <c r="M32" s="7" t="s">
        <v>3790</v>
      </c>
      <c r="N32" s="7">
        <v>44785</v>
      </c>
      <c r="O32" s="7">
        <v>45007</v>
      </c>
      <c r="P32" s="48">
        <v>42</v>
      </c>
      <c r="Q32" s="48">
        <v>7</v>
      </c>
      <c r="R32" s="48">
        <v>14</v>
      </c>
      <c r="S32" s="48">
        <v>45000</v>
      </c>
      <c r="T32" s="5" t="s">
        <v>5549</v>
      </c>
      <c r="V32" s="32" t="s">
        <v>3654</v>
      </c>
    </row>
    <row r="33" spans="1:22">
      <c r="A33" s="5" t="s">
        <v>3653</v>
      </c>
      <c r="B33" s="32" t="s">
        <v>3659</v>
      </c>
      <c r="C33" s="32" t="s">
        <v>3656</v>
      </c>
      <c r="D33" s="5" t="s">
        <v>4119</v>
      </c>
      <c r="E33" s="48">
        <v>0</v>
      </c>
      <c r="G33" s="7">
        <v>45026</v>
      </c>
      <c r="J33" s="48">
        <v>0</v>
      </c>
      <c r="K33" s="48">
        <v>0</v>
      </c>
      <c r="L33" s="7" t="s">
        <v>3790</v>
      </c>
      <c r="M33" s="7" t="s">
        <v>3790</v>
      </c>
      <c r="N33" s="7">
        <v>44771</v>
      </c>
      <c r="O33" s="7">
        <v>45033</v>
      </c>
      <c r="P33" s="48">
        <v>42</v>
      </c>
      <c r="Q33" s="48">
        <v>7</v>
      </c>
      <c r="R33" s="48">
        <v>14</v>
      </c>
      <c r="S33" s="48">
        <v>45000</v>
      </c>
      <c r="T33" s="5" t="s">
        <v>5549</v>
      </c>
      <c r="V33" s="32" t="s">
        <v>5983</v>
      </c>
    </row>
    <row r="34" spans="1:22">
      <c r="A34" s="5" t="s">
        <v>3653</v>
      </c>
      <c r="B34" s="32" t="s">
        <v>3659</v>
      </c>
      <c r="C34" s="32" t="s">
        <v>3656</v>
      </c>
      <c r="D34" s="5" t="s">
        <v>4123</v>
      </c>
      <c r="E34" s="48">
        <v>71507</v>
      </c>
      <c r="F34" s="32" t="s">
        <v>3657</v>
      </c>
      <c r="G34" s="7" t="s">
        <v>3790</v>
      </c>
      <c r="H34" s="32" t="s">
        <v>3658</v>
      </c>
      <c r="J34" s="48">
        <v>71507</v>
      </c>
      <c r="K34" s="48">
        <v>0</v>
      </c>
      <c r="L34" s="7" t="s">
        <v>3790</v>
      </c>
      <c r="M34" s="7">
        <v>44961</v>
      </c>
      <c r="N34" s="7">
        <v>44413</v>
      </c>
      <c r="O34" s="7" t="s">
        <v>3790</v>
      </c>
      <c r="P34" s="48">
        <v>42</v>
      </c>
      <c r="Q34" s="48">
        <v>7</v>
      </c>
      <c r="R34" s="48">
        <v>14</v>
      </c>
      <c r="S34" s="48">
        <v>70000</v>
      </c>
      <c r="T34" s="5" t="s">
        <v>5548</v>
      </c>
    </row>
    <row r="35" spans="1:22">
      <c r="A35" s="5" t="s">
        <v>3653</v>
      </c>
      <c r="B35" s="32" t="s">
        <v>3659</v>
      </c>
      <c r="C35" s="32" t="s">
        <v>3656</v>
      </c>
      <c r="D35" s="5" t="s">
        <v>4117</v>
      </c>
      <c r="E35" s="48">
        <v>23501</v>
      </c>
      <c r="F35" s="32" t="s">
        <v>3657</v>
      </c>
      <c r="G35" s="7" t="s">
        <v>3790</v>
      </c>
      <c r="H35" s="32" t="s">
        <v>3658</v>
      </c>
      <c r="J35" s="48">
        <v>23501</v>
      </c>
      <c r="K35" s="48">
        <v>0</v>
      </c>
      <c r="L35" s="7" t="s">
        <v>3790</v>
      </c>
      <c r="M35" s="7">
        <v>45077</v>
      </c>
      <c r="N35" s="7">
        <v>44678</v>
      </c>
      <c r="O35" s="7" t="s">
        <v>3790</v>
      </c>
      <c r="P35" s="48">
        <v>42</v>
      </c>
      <c r="Q35" s="48">
        <v>7</v>
      </c>
      <c r="R35" s="48">
        <v>14</v>
      </c>
      <c r="S35" s="48">
        <v>25000</v>
      </c>
      <c r="T35" s="5" t="s">
        <v>5548</v>
      </c>
    </row>
    <row r="36" spans="1:22">
      <c r="A36" s="5" t="s">
        <v>3653</v>
      </c>
      <c r="B36" s="32" t="s">
        <v>989</v>
      </c>
      <c r="C36" s="32" t="s">
        <v>990</v>
      </c>
      <c r="D36" s="5" t="s">
        <v>4178</v>
      </c>
      <c r="E36" s="48">
        <v>0</v>
      </c>
      <c r="G36" s="7">
        <v>44963</v>
      </c>
      <c r="J36" s="48">
        <v>0</v>
      </c>
      <c r="K36" s="48">
        <v>0</v>
      </c>
      <c r="L36" s="7" t="s">
        <v>3790</v>
      </c>
      <c r="M36" s="7" t="s">
        <v>3790</v>
      </c>
      <c r="N36" s="7">
        <v>44750</v>
      </c>
      <c r="O36" s="7">
        <v>45005</v>
      </c>
      <c r="P36" s="48">
        <v>105</v>
      </c>
      <c r="Q36" s="48">
        <v>42</v>
      </c>
      <c r="R36" s="48">
        <v>14</v>
      </c>
      <c r="S36" s="48">
        <v>6500</v>
      </c>
      <c r="T36" s="5" t="s">
        <v>5549</v>
      </c>
      <c r="V36" s="32" t="s">
        <v>3654</v>
      </c>
    </row>
    <row r="37" spans="1:22">
      <c r="A37" s="5" t="s">
        <v>3653</v>
      </c>
      <c r="B37" s="32" t="s">
        <v>989</v>
      </c>
      <c r="C37" s="32" t="s">
        <v>990</v>
      </c>
      <c r="D37" s="5" t="s">
        <v>4176</v>
      </c>
      <c r="E37" s="48">
        <v>2757</v>
      </c>
      <c r="F37" s="32" t="s">
        <v>3657</v>
      </c>
      <c r="G37" s="7" t="s">
        <v>3790</v>
      </c>
      <c r="H37" s="32" t="s">
        <v>3658</v>
      </c>
      <c r="J37" s="48">
        <v>2757</v>
      </c>
      <c r="K37" s="48">
        <v>0</v>
      </c>
      <c r="L37" s="7" t="s">
        <v>3790</v>
      </c>
      <c r="M37" s="7">
        <v>45082</v>
      </c>
      <c r="N37" s="7">
        <v>44712</v>
      </c>
      <c r="O37" s="7" t="s">
        <v>3790</v>
      </c>
      <c r="P37" s="48">
        <v>105</v>
      </c>
      <c r="Q37" s="48">
        <v>42</v>
      </c>
      <c r="R37" s="48">
        <v>14</v>
      </c>
      <c r="S37" s="48">
        <v>2500</v>
      </c>
      <c r="T37" s="5" t="s">
        <v>5548</v>
      </c>
    </row>
    <row r="38" spans="1:22">
      <c r="A38" s="5" t="s">
        <v>3653</v>
      </c>
      <c r="B38" s="32" t="s">
        <v>993</v>
      </c>
      <c r="C38" s="32" t="s">
        <v>990</v>
      </c>
      <c r="D38" s="5" t="s">
        <v>4178</v>
      </c>
      <c r="E38" s="48">
        <v>0</v>
      </c>
      <c r="G38" s="7">
        <v>44963</v>
      </c>
      <c r="J38" s="48">
        <v>0</v>
      </c>
      <c r="K38" s="48">
        <v>0</v>
      </c>
      <c r="L38" s="7" t="s">
        <v>3790</v>
      </c>
      <c r="M38" s="7" t="s">
        <v>3790</v>
      </c>
      <c r="N38" s="7">
        <v>44750</v>
      </c>
      <c r="O38" s="7">
        <v>45005</v>
      </c>
      <c r="P38" s="48">
        <v>105</v>
      </c>
      <c r="Q38" s="48">
        <v>42</v>
      </c>
      <c r="R38" s="48">
        <v>14</v>
      </c>
      <c r="S38" s="48">
        <v>3500</v>
      </c>
      <c r="T38" s="5" t="s">
        <v>5549</v>
      </c>
      <c r="V38" s="32" t="s">
        <v>3654</v>
      </c>
    </row>
    <row r="39" spans="1:22">
      <c r="A39" s="5" t="s">
        <v>3653</v>
      </c>
      <c r="B39" s="32" t="s">
        <v>993</v>
      </c>
      <c r="C39" s="32" t="s">
        <v>990</v>
      </c>
      <c r="D39" s="5" t="s">
        <v>4176</v>
      </c>
      <c r="E39" s="48">
        <v>11265</v>
      </c>
      <c r="F39" s="32" t="s">
        <v>3657</v>
      </c>
      <c r="G39" s="7" t="s">
        <v>3790</v>
      </c>
      <c r="H39" s="32" t="s">
        <v>3658</v>
      </c>
      <c r="J39" s="48">
        <v>11265</v>
      </c>
      <c r="K39" s="48">
        <v>0</v>
      </c>
      <c r="L39" s="7" t="s">
        <v>3790</v>
      </c>
      <c r="M39" s="7">
        <v>45082</v>
      </c>
      <c r="N39" s="7">
        <v>44712</v>
      </c>
      <c r="O39" s="7" t="s">
        <v>3790</v>
      </c>
      <c r="P39" s="48">
        <v>105</v>
      </c>
      <c r="Q39" s="48">
        <v>42</v>
      </c>
      <c r="R39" s="48">
        <v>14</v>
      </c>
      <c r="S39" s="48">
        <v>7500</v>
      </c>
      <c r="T39" s="5" t="s">
        <v>5548</v>
      </c>
    </row>
    <row r="40" spans="1:22">
      <c r="A40" s="5" t="s">
        <v>3653</v>
      </c>
      <c r="B40" s="32" t="s">
        <v>1006</v>
      </c>
      <c r="C40" s="32" t="s">
        <v>3652</v>
      </c>
      <c r="D40" s="5" t="s">
        <v>4178</v>
      </c>
      <c r="E40" s="48">
        <v>0</v>
      </c>
      <c r="G40" s="7">
        <v>45026</v>
      </c>
      <c r="J40" s="48">
        <v>0</v>
      </c>
      <c r="K40" s="48">
        <v>0</v>
      </c>
      <c r="L40" s="7" t="s">
        <v>3790</v>
      </c>
      <c r="M40" s="7" t="s">
        <v>3790</v>
      </c>
      <c r="N40" s="7">
        <v>44750</v>
      </c>
      <c r="O40" s="7">
        <v>45068</v>
      </c>
      <c r="P40" s="48">
        <v>105</v>
      </c>
      <c r="Q40" s="48">
        <v>42</v>
      </c>
      <c r="R40" s="48">
        <v>14</v>
      </c>
      <c r="S40" s="48">
        <v>2000</v>
      </c>
      <c r="T40" s="5" t="s">
        <v>5549</v>
      </c>
      <c r="V40" s="32" t="s">
        <v>5983</v>
      </c>
    </row>
    <row r="41" spans="1:22">
      <c r="A41" s="5" t="s">
        <v>3653</v>
      </c>
      <c r="B41" s="32" t="s">
        <v>1009</v>
      </c>
      <c r="C41" s="32" t="s">
        <v>3652</v>
      </c>
      <c r="D41" s="5" t="s">
        <v>4176</v>
      </c>
      <c r="E41" s="48">
        <v>0</v>
      </c>
      <c r="G41" s="7">
        <v>44963</v>
      </c>
      <c r="J41" s="48">
        <v>0</v>
      </c>
      <c r="K41" s="48">
        <v>0</v>
      </c>
      <c r="L41" s="7" t="s">
        <v>3790</v>
      </c>
      <c r="M41" s="7" t="s">
        <v>3790</v>
      </c>
      <c r="N41" s="7">
        <v>44712</v>
      </c>
      <c r="O41" s="7">
        <v>45005</v>
      </c>
      <c r="P41" s="48">
        <v>105</v>
      </c>
      <c r="Q41" s="48">
        <v>42</v>
      </c>
      <c r="R41" s="48">
        <v>14</v>
      </c>
      <c r="S41" s="48">
        <v>10000</v>
      </c>
      <c r="T41" s="5" t="s">
        <v>5549</v>
      </c>
      <c r="V41" s="32" t="s">
        <v>3654</v>
      </c>
    </row>
    <row r="42" spans="1:22">
      <c r="A42" s="5" t="s">
        <v>3653</v>
      </c>
      <c r="B42" s="32" t="s">
        <v>1009</v>
      </c>
      <c r="C42" s="32" t="s">
        <v>3652</v>
      </c>
      <c r="D42" s="5" t="s">
        <v>4178</v>
      </c>
      <c r="E42" s="48">
        <v>0</v>
      </c>
      <c r="G42" s="7">
        <v>45026</v>
      </c>
      <c r="J42" s="48">
        <v>0</v>
      </c>
      <c r="K42" s="48">
        <v>0</v>
      </c>
      <c r="L42" s="7" t="s">
        <v>3790</v>
      </c>
      <c r="M42" s="7" t="s">
        <v>3790</v>
      </c>
      <c r="N42" s="7">
        <v>44750</v>
      </c>
      <c r="O42" s="7">
        <v>45068</v>
      </c>
      <c r="P42" s="48">
        <v>105</v>
      </c>
      <c r="Q42" s="48">
        <v>42</v>
      </c>
      <c r="R42" s="48">
        <v>14</v>
      </c>
      <c r="S42" s="48">
        <v>8000</v>
      </c>
      <c r="T42" s="5" t="s">
        <v>5549</v>
      </c>
      <c r="V42" s="32" t="s">
        <v>5983</v>
      </c>
    </row>
    <row r="43" spans="1:22">
      <c r="A43" s="5" t="s">
        <v>3662</v>
      </c>
      <c r="B43" s="32" t="s">
        <v>938</v>
      </c>
      <c r="C43" s="32" t="s">
        <v>3660</v>
      </c>
      <c r="D43" s="5" t="s">
        <v>4163</v>
      </c>
      <c r="E43" s="48">
        <v>10448</v>
      </c>
      <c r="F43" s="32" t="s">
        <v>3661</v>
      </c>
      <c r="G43" s="7">
        <v>44780</v>
      </c>
      <c r="H43" s="32" t="s">
        <v>3658</v>
      </c>
      <c r="I43" s="48">
        <v>448</v>
      </c>
      <c r="J43" s="48">
        <v>10000</v>
      </c>
      <c r="K43" s="48">
        <v>0</v>
      </c>
      <c r="L43" s="7" t="s">
        <v>3790</v>
      </c>
      <c r="M43" s="7">
        <v>45041</v>
      </c>
      <c r="N43" s="7">
        <v>44498</v>
      </c>
      <c r="O43" s="7" t="s">
        <v>3790</v>
      </c>
      <c r="P43" s="48">
        <v>154</v>
      </c>
      <c r="Q43" s="48">
        <v>70</v>
      </c>
      <c r="R43" s="48">
        <v>14</v>
      </c>
      <c r="S43" s="48">
        <v>10000</v>
      </c>
      <c r="T43" s="5" t="s">
        <v>5548</v>
      </c>
    </row>
    <row r="44" spans="1:22">
      <c r="A44" s="5" t="s">
        <v>3662</v>
      </c>
      <c r="B44" s="32" t="s">
        <v>941</v>
      </c>
      <c r="C44" s="32" t="s">
        <v>3660</v>
      </c>
      <c r="D44" s="5" t="s">
        <v>4165</v>
      </c>
      <c r="E44" s="48">
        <v>0</v>
      </c>
      <c r="F44" s="32" t="s">
        <v>3661</v>
      </c>
      <c r="G44" s="7">
        <v>44862</v>
      </c>
      <c r="H44" s="32" t="s">
        <v>3658</v>
      </c>
      <c r="J44" s="48">
        <v>0</v>
      </c>
      <c r="K44" s="48">
        <v>2500</v>
      </c>
      <c r="L44" s="7" t="s">
        <v>3790</v>
      </c>
      <c r="M44" s="7" t="s">
        <v>3790</v>
      </c>
      <c r="N44" s="7">
        <v>44713</v>
      </c>
      <c r="O44" s="7">
        <v>44932</v>
      </c>
      <c r="P44" s="48">
        <v>154</v>
      </c>
      <c r="Q44" s="48">
        <v>70</v>
      </c>
      <c r="R44" s="48">
        <v>14</v>
      </c>
      <c r="S44" s="48">
        <v>2500</v>
      </c>
      <c r="T44" s="5" t="s">
        <v>5548</v>
      </c>
    </row>
    <row r="45" spans="1:22">
      <c r="A45" s="5" t="s">
        <v>3662</v>
      </c>
      <c r="B45" s="32" t="s">
        <v>942</v>
      </c>
      <c r="C45" s="32" t="s">
        <v>3664</v>
      </c>
      <c r="D45" s="5" t="s">
        <v>4167</v>
      </c>
      <c r="E45" s="48">
        <v>1021</v>
      </c>
      <c r="F45" s="32" t="s">
        <v>3661</v>
      </c>
      <c r="G45" s="7">
        <v>44651</v>
      </c>
      <c r="H45" s="32" t="s">
        <v>3658</v>
      </c>
      <c r="I45" s="48">
        <v>21</v>
      </c>
      <c r="J45" s="48">
        <v>1000</v>
      </c>
      <c r="K45" s="48">
        <v>0</v>
      </c>
      <c r="L45" s="7" t="s">
        <v>3790</v>
      </c>
      <c r="M45" s="7">
        <v>44930</v>
      </c>
      <c r="N45" s="7">
        <v>44533</v>
      </c>
      <c r="O45" s="7" t="s">
        <v>3790</v>
      </c>
      <c r="P45" s="48">
        <v>154</v>
      </c>
      <c r="Q45" s="48">
        <v>70</v>
      </c>
      <c r="R45" s="48">
        <v>14</v>
      </c>
      <c r="S45" s="48">
        <v>4000</v>
      </c>
      <c r="T45" s="5" t="s">
        <v>5548</v>
      </c>
    </row>
    <row r="46" spans="1:22">
      <c r="A46" s="5" t="s">
        <v>3662</v>
      </c>
      <c r="B46" s="32" t="s">
        <v>942</v>
      </c>
      <c r="C46" s="32" t="s">
        <v>3664</v>
      </c>
      <c r="D46" s="5" t="s">
        <v>5886</v>
      </c>
      <c r="E46" s="48">
        <v>0</v>
      </c>
      <c r="F46" s="32" t="s">
        <v>3661</v>
      </c>
      <c r="G46" s="7">
        <v>44947</v>
      </c>
      <c r="J46" s="48">
        <v>0</v>
      </c>
      <c r="K46" s="48">
        <v>0</v>
      </c>
      <c r="L46" s="7" t="s">
        <v>3790</v>
      </c>
      <c r="M46" s="7" t="s">
        <v>3790</v>
      </c>
      <c r="N46" s="7">
        <v>44855</v>
      </c>
      <c r="O46" s="7">
        <v>45017</v>
      </c>
      <c r="P46" s="48">
        <v>154</v>
      </c>
      <c r="Q46" s="48">
        <v>70</v>
      </c>
      <c r="R46" s="48">
        <v>14</v>
      </c>
      <c r="S46" s="48">
        <v>2500</v>
      </c>
      <c r="T46" s="5" t="s">
        <v>5549</v>
      </c>
    </row>
    <row r="47" spans="1:22">
      <c r="A47" s="5" t="s">
        <v>3662</v>
      </c>
      <c r="B47" s="32" t="s">
        <v>3665</v>
      </c>
      <c r="C47" s="32" t="s">
        <v>3664</v>
      </c>
      <c r="D47" s="5" t="s">
        <v>4167</v>
      </c>
      <c r="E47" s="48">
        <v>499</v>
      </c>
      <c r="F47" s="32" t="s">
        <v>3661</v>
      </c>
      <c r="G47" s="7">
        <v>44651</v>
      </c>
      <c r="H47" s="32" t="s">
        <v>3658</v>
      </c>
      <c r="I47" s="48">
        <v>21</v>
      </c>
      <c r="J47" s="48">
        <v>478</v>
      </c>
      <c r="K47" s="48">
        <v>0</v>
      </c>
      <c r="L47" s="7" t="s">
        <v>3790</v>
      </c>
      <c r="M47" s="7">
        <v>45041</v>
      </c>
      <c r="N47" s="7">
        <v>44533</v>
      </c>
      <c r="O47" s="7" t="s">
        <v>3790</v>
      </c>
      <c r="P47" s="48">
        <v>154</v>
      </c>
      <c r="Q47" s="48">
        <v>70</v>
      </c>
      <c r="R47" s="48">
        <v>14</v>
      </c>
      <c r="S47" s="48">
        <v>1000</v>
      </c>
      <c r="T47" s="5" t="s">
        <v>5548</v>
      </c>
    </row>
    <row r="48" spans="1:22">
      <c r="A48" s="5" t="s">
        <v>3662</v>
      </c>
      <c r="B48" s="32" t="s">
        <v>3665</v>
      </c>
      <c r="C48" s="32" t="s">
        <v>3664</v>
      </c>
      <c r="D48" s="5" t="s">
        <v>4169</v>
      </c>
      <c r="E48" s="48">
        <v>1201</v>
      </c>
      <c r="F48" s="32" t="s">
        <v>3661</v>
      </c>
      <c r="G48" s="7">
        <v>44781</v>
      </c>
      <c r="H48" s="32" t="s">
        <v>3658</v>
      </c>
      <c r="J48" s="48">
        <v>1201</v>
      </c>
      <c r="K48" s="48">
        <v>0</v>
      </c>
      <c r="L48" s="7" t="s">
        <v>3790</v>
      </c>
      <c r="M48" s="7">
        <v>45041</v>
      </c>
      <c r="N48" s="7">
        <v>44641</v>
      </c>
      <c r="O48" s="7" t="s">
        <v>3790</v>
      </c>
      <c r="P48" s="48">
        <v>154</v>
      </c>
      <c r="Q48" s="48">
        <v>70</v>
      </c>
      <c r="R48" s="48">
        <v>14</v>
      </c>
      <c r="S48" s="48">
        <v>2500</v>
      </c>
      <c r="T48" s="5" t="s">
        <v>5548</v>
      </c>
    </row>
    <row r="49" spans="1:22">
      <c r="A49" s="5" t="s">
        <v>3662</v>
      </c>
      <c r="B49" s="32" t="s">
        <v>1218</v>
      </c>
      <c r="C49" s="32" t="s">
        <v>3683</v>
      </c>
      <c r="D49" s="5" t="s">
        <v>4167</v>
      </c>
      <c r="E49" s="48">
        <v>788</v>
      </c>
      <c r="F49" s="32" t="s">
        <v>3661</v>
      </c>
      <c r="G49" s="7">
        <v>44751</v>
      </c>
      <c r="H49" s="32" t="s">
        <v>3658</v>
      </c>
      <c r="I49" s="48">
        <v>38</v>
      </c>
      <c r="J49" s="48">
        <v>750</v>
      </c>
      <c r="K49" s="48">
        <v>0</v>
      </c>
      <c r="L49" s="7" t="s">
        <v>3790</v>
      </c>
      <c r="M49" s="7">
        <v>45014</v>
      </c>
      <c r="N49" s="7">
        <v>44533</v>
      </c>
      <c r="O49" s="7" t="s">
        <v>3790</v>
      </c>
      <c r="P49" s="48">
        <v>154</v>
      </c>
      <c r="Q49" s="48">
        <v>70</v>
      </c>
      <c r="R49" s="48">
        <v>14</v>
      </c>
      <c r="S49" s="48">
        <v>750</v>
      </c>
      <c r="T49" s="5" t="s">
        <v>5548</v>
      </c>
      <c r="V49" s="32" t="s">
        <v>3684</v>
      </c>
    </row>
    <row r="50" spans="1:22">
      <c r="A50" s="5" t="s">
        <v>3662</v>
      </c>
      <c r="B50" s="32" t="s">
        <v>1220</v>
      </c>
      <c r="C50" s="32" t="s">
        <v>3683</v>
      </c>
      <c r="D50" s="5" t="s">
        <v>4167</v>
      </c>
      <c r="E50" s="48">
        <v>383</v>
      </c>
      <c r="F50" s="32" t="s">
        <v>3661</v>
      </c>
      <c r="G50" s="7">
        <v>44751</v>
      </c>
      <c r="H50" s="32" t="s">
        <v>3658</v>
      </c>
      <c r="J50" s="48">
        <v>383</v>
      </c>
      <c r="K50" s="48">
        <v>0</v>
      </c>
      <c r="L50" s="7" t="s">
        <v>3790</v>
      </c>
      <c r="M50" s="7">
        <v>45014</v>
      </c>
      <c r="N50" s="7">
        <v>44533</v>
      </c>
      <c r="O50" s="7" t="s">
        <v>3790</v>
      </c>
      <c r="P50" s="48">
        <v>154</v>
      </c>
      <c r="Q50" s="48">
        <v>70</v>
      </c>
      <c r="R50" s="48">
        <v>14</v>
      </c>
      <c r="S50" s="48">
        <v>1000</v>
      </c>
      <c r="T50" s="5" t="s">
        <v>5548</v>
      </c>
      <c r="V50" s="32" t="s">
        <v>3685</v>
      </c>
    </row>
    <row r="51" spans="1:22">
      <c r="A51" s="5" t="s">
        <v>3662</v>
      </c>
      <c r="B51" s="32" t="s">
        <v>1220</v>
      </c>
      <c r="C51" s="32" t="s">
        <v>3683</v>
      </c>
      <c r="D51" s="5" t="s">
        <v>6152</v>
      </c>
      <c r="E51" s="48">
        <v>0</v>
      </c>
      <c r="F51" s="32" t="s">
        <v>3661</v>
      </c>
      <c r="G51" s="7">
        <v>44975</v>
      </c>
      <c r="J51" s="48">
        <v>0</v>
      </c>
      <c r="K51" s="48">
        <v>0</v>
      </c>
      <c r="L51" s="7" t="s">
        <v>3790</v>
      </c>
      <c r="M51" s="7" t="s">
        <v>3790</v>
      </c>
      <c r="N51" s="7">
        <v>44880</v>
      </c>
      <c r="O51" s="7">
        <v>45045</v>
      </c>
      <c r="P51" s="48">
        <v>154</v>
      </c>
      <c r="Q51" s="48">
        <v>70</v>
      </c>
      <c r="R51" s="48">
        <v>14</v>
      </c>
      <c r="S51" s="48">
        <v>2500</v>
      </c>
      <c r="T51" s="5" t="s">
        <v>5549</v>
      </c>
      <c r="V51" s="32" t="s">
        <v>7512</v>
      </c>
    </row>
    <row r="52" spans="1:22">
      <c r="A52" s="5" t="s">
        <v>3662</v>
      </c>
      <c r="B52" s="32" t="s">
        <v>1270</v>
      </c>
      <c r="C52" s="32" t="s">
        <v>3686</v>
      </c>
      <c r="D52" s="5" t="s">
        <v>4205</v>
      </c>
      <c r="E52" s="48">
        <v>0</v>
      </c>
      <c r="F52" s="32" t="s">
        <v>3661</v>
      </c>
      <c r="G52" s="7">
        <v>44962</v>
      </c>
      <c r="J52" s="48">
        <v>0</v>
      </c>
      <c r="K52" s="48">
        <v>0</v>
      </c>
      <c r="L52" s="7" t="s">
        <v>3790</v>
      </c>
      <c r="M52" s="7" t="s">
        <v>3790</v>
      </c>
      <c r="N52" s="7">
        <v>44691</v>
      </c>
      <c r="O52" s="7">
        <v>45032</v>
      </c>
      <c r="P52" s="48">
        <v>154</v>
      </c>
      <c r="Q52" s="48">
        <v>70</v>
      </c>
      <c r="R52" s="48">
        <v>14</v>
      </c>
      <c r="S52" s="48">
        <v>500</v>
      </c>
      <c r="T52" s="5" t="s">
        <v>5549</v>
      </c>
      <c r="V52" s="32" t="s">
        <v>7513</v>
      </c>
    </row>
    <row r="53" spans="1:22">
      <c r="A53" s="5" t="s">
        <v>3662</v>
      </c>
      <c r="B53" s="32" t="s">
        <v>1273</v>
      </c>
      <c r="C53" s="32" t="s">
        <v>3686</v>
      </c>
      <c r="D53" s="5" t="s">
        <v>4163</v>
      </c>
      <c r="E53" s="48">
        <v>546</v>
      </c>
      <c r="F53" s="32" t="s">
        <v>3661</v>
      </c>
      <c r="G53" s="7">
        <v>44585</v>
      </c>
      <c r="H53" s="32" t="s">
        <v>3658</v>
      </c>
      <c r="I53" s="48">
        <v>46</v>
      </c>
      <c r="J53" s="48">
        <v>500</v>
      </c>
      <c r="K53" s="48">
        <v>0</v>
      </c>
      <c r="L53" s="7" t="s">
        <v>3790</v>
      </c>
      <c r="M53" s="7">
        <v>44930</v>
      </c>
      <c r="N53" s="7">
        <v>44498</v>
      </c>
      <c r="O53" s="7" t="s">
        <v>3790</v>
      </c>
      <c r="P53" s="48">
        <v>154</v>
      </c>
      <c r="Q53" s="48">
        <v>70</v>
      </c>
      <c r="R53" s="48">
        <v>14</v>
      </c>
      <c r="S53" s="48">
        <v>1000</v>
      </c>
      <c r="T53" s="5" t="s">
        <v>5548</v>
      </c>
    </row>
    <row r="54" spans="1:22">
      <c r="A54" s="5" t="s">
        <v>3662</v>
      </c>
      <c r="B54" s="32" t="s">
        <v>1273</v>
      </c>
      <c r="C54" s="32" t="s">
        <v>3686</v>
      </c>
      <c r="D54" s="5" t="s">
        <v>4205</v>
      </c>
      <c r="E54" s="48">
        <v>0</v>
      </c>
      <c r="F54" s="32" t="s">
        <v>3661</v>
      </c>
      <c r="G54" s="7">
        <v>44962</v>
      </c>
      <c r="J54" s="48">
        <v>0</v>
      </c>
      <c r="K54" s="48">
        <v>0</v>
      </c>
      <c r="L54" s="7" t="s">
        <v>3790</v>
      </c>
      <c r="M54" s="7" t="s">
        <v>3790</v>
      </c>
      <c r="N54" s="7">
        <v>44691</v>
      </c>
      <c r="O54" s="7">
        <v>45032</v>
      </c>
      <c r="P54" s="48">
        <v>154</v>
      </c>
      <c r="Q54" s="48">
        <v>70</v>
      </c>
      <c r="R54" s="48">
        <v>14</v>
      </c>
      <c r="S54" s="48">
        <v>2500</v>
      </c>
      <c r="T54" s="5" t="s">
        <v>5549</v>
      </c>
      <c r="V54" s="32" t="s">
        <v>7513</v>
      </c>
    </row>
    <row r="55" spans="1:22">
      <c r="A55" s="5" t="s">
        <v>3662</v>
      </c>
      <c r="B55" s="32" t="s">
        <v>1275</v>
      </c>
      <c r="C55" s="32" t="s">
        <v>3687</v>
      </c>
      <c r="D55" s="5" t="s">
        <v>4209</v>
      </c>
      <c r="E55" s="48">
        <v>0</v>
      </c>
      <c r="F55" s="32" t="s">
        <v>3661</v>
      </c>
      <c r="G55" s="7">
        <v>44946</v>
      </c>
      <c r="J55" s="48">
        <v>0</v>
      </c>
      <c r="K55" s="48">
        <v>0</v>
      </c>
      <c r="L55" s="7" t="s">
        <v>3790</v>
      </c>
      <c r="M55" s="7" t="s">
        <v>3790</v>
      </c>
      <c r="N55" s="7">
        <v>44713</v>
      </c>
      <c r="O55" s="7">
        <v>45016</v>
      </c>
      <c r="P55" s="48">
        <v>154</v>
      </c>
      <c r="Q55" s="48">
        <v>70</v>
      </c>
      <c r="R55" s="48">
        <v>14</v>
      </c>
      <c r="S55" s="48">
        <v>1200</v>
      </c>
      <c r="T55" s="5" t="s">
        <v>5549</v>
      </c>
      <c r="V55" s="32" t="s">
        <v>7514</v>
      </c>
    </row>
    <row r="56" spans="1:22">
      <c r="A56" s="5" t="s">
        <v>3662</v>
      </c>
      <c r="B56" s="32" t="s">
        <v>1278</v>
      </c>
      <c r="C56" s="32" t="s">
        <v>3687</v>
      </c>
      <c r="D56" s="5" t="s">
        <v>4209</v>
      </c>
      <c r="E56" s="48">
        <v>0</v>
      </c>
      <c r="F56" s="32" t="s">
        <v>3661</v>
      </c>
      <c r="G56" s="7">
        <v>44946</v>
      </c>
      <c r="J56" s="48">
        <v>0</v>
      </c>
      <c r="K56" s="48">
        <v>0</v>
      </c>
      <c r="L56" s="7" t="s">
        <v>3790</v>
      </c>
      <c r="M56" s="7" t="s">
        <v>3790</v>
      </c>
      <c r="N56" s="7">
        <v>44713</v>
      </c>
      <c r="O56" s="7">
        <v>45016</v>
      </c>
      <c r="P56" s="48">
        <v>154</v>
      </c>
      <c r="Q56" s="48">
        <v>70</v>
      </c>
      <c r="R56" s="48">
        <v>14</v>
      </c>
      <c r="S56" s="48">
        <v>1300</v>
      </c>
      <c r="T56" s="5" t="s">
        <v>5549</v>
      </c>
      <c r="V56" s="32" t="s">
        <v>7514</v>
      </c>
    </row>
    <row r="57" spans="1:22">
      <c r="A57" s="5" t="s">
        <v>3662</v>
      </c>
      <c r="B57" s="32" t="s">
        <v>1285</v>
      </c>
      <c r="C57" s="32" t="s">
        <v>3688</v>
      </c>
      <c r="D57" s="5" t="s">
        <v>4209</v>
      </c>
      <c r="E57" s="48">
        <v>0</v>
      </c>
      <c r="F57" s="32" t="s">
        <v>3661</v>
      </c>
      <c r="G57" s="7">
        <v>44946</v>
      </c>
      <c r="J57" s="48">
        <v>0</v>
      </c>
      <c r="K57" s="48">
        <v>0</v>
      </c>
      <c r="L57" s="7" t="s">
        <v>3790</v>
      </c>
      <c r="M57" s="7" t="s">
        <v>3790</v>
      </c>
      <c r="N57" s="7">
        <v>44713</v>
      </c>
      <c r="O57" s="7">
        <v>45016</v>
      </c>
      <c r="P57" s="48">
        <v>154</v>
      </c>
      <c r="Q57" s="48">
        <v>70</v>
      </c>
      <c r="R57" s="48">
        <v>14</v>
      </c>
      <c r="S57" s="48">
        <v>2500</v>
      </c>
      <c r="T57" s="5" t="s">
        <v>5549</v>
      </c>
    </row>
    <row r="58" spans="1:22">
      <c r="A58" s="5" t="s">
        <v>3662</v>
      </c>
      <c r="B58" s="32" t="s">
        <v>1666</v>
      </c>
      <c r="C58" s="32" t="s">
        <v>3689</v>
      </c>
      <c r="D58" s="5" t="s">
        <v>4209</v>
      </c>
      <c r="E58" s="48">
        <v>0</v>
      </c>
      <c r="F58" s="32" t="s">
        <v>3661</v>
      </c>
      <c r="G58" s="7">
        <v>44872</v>
      </c>
      <c r="H58" s="32" t="s">
        <v>3658</v>
      </c>
      <c r="I58" s="48">
        <v>130</v>
      </c>
      <c r="J58" s="48">
        <v>-130</v>
      </c>
      <c r="K58" s="48">
        <v>4130</v>
      </c>
      <c r="L58" s="7">
        <v>37636</v>
      </c>
      <c r="M58" s="7" t="s">
        <v>3790</v>
      </c>
      <c r="N58" s="7">
        <v>44713</v>
      </c>
      <c r="O58" s="7">
        <v>37650</v>
      </c>
      <c r="P58" s="48">
        <v>154</v>
      </c>
      <c r="Q58" s="48">
        <v>70</v>
      </c>
      <c r="R58" s="48">
        <v>14</v>
      </c>
      <c r="S58" s="48">
        <v>4000</v>
      </c>
      <c r="T58" s="5" t="s">
        <v>5548</v>
      </c>
    </row>
    <row r="59" spans="1:22">
      <c r="A59" s="5" t="s">
        <v>3662</v>
      </c>
      <c r="B59" s="32" t="s">
        <v>1668</v>
      </c>
      <c r="C59" s="32" t="s">
        <v>3689</v>
      </c>
      <c r="D59" s="5" t="s">
        <v>4209</v>
      </c>
      <c r="E59" s="48">
        <v>0</v>
      </c>
      <c r="F59" s="32" t="s">
        <v>3661</v>
      </c>
      <c r="G59" s="7">
        <v>44872</v>
      </c>
      <c r="H59" s="32" t="s">
        <v>3658</v>
      </c>
      <c r="J59" s="48">
        <v>0</v>
      </c>
      <c r="K59" s="48">
        <v>1000</v>
      </c>
      <c r="L59" s="7">
        <v>44941</v>
      </c>
      <c r="M59" s="7" t="s">
        <v>3790</v>
      </c>
      <c r="N59" s="7">
        <v>44713</v>
      </c>
      <c r="O59" s="7">
        <v>44955</v>
      </c>
      <c r="P59" s="48">
        <v>154</v>
      </c>
      <c r="Q59" s="48">
        <v>70</v>
      </c>
      <c r="R59" s="48">
        <v>14</v>
      </c>
      <c r="S59" s="48">
        <v>1000</v>
      </c>
      <c r="T59" s="5" t="s">
        <v>5548</v>
      </c>
    </row>
    <row r="60" spans="1:22">
      <c r="A60" s="5" t="s">
        <v>3662</v>
      </c>
      <c r="B60" s="32" t="s">
        <v>1828</v>
      </c>
      <c r="C60" s="32" t="s">
        <v>3690</v>
      </c>
      <c r="D60" s="5" t="s">
        <v>4280</v>
      </c>
      <c r="E60" s="48">
        <v>1726</v>
      </c>
      <c r="F60" s="32" t="s">
        <v>3661</v>
      </c>
      <c r="G60" s="7">
        <v>44782</v>
      </c>
      <c r="H60" s="32" t="s">
        <v>3658</v>
      </c>
      <c r="I60" s="48">
        <v>226</v>
      </c>
      <c r="J60" s="48">
        <v>1500</v>
      </c>
      <c r="K60" s="48">
        <v>0</v>
      </c>
      <c r="L60" s="7" t="s">
        <v>3790</v>
      </c>
      <c r="M60" s="7">
        <v>45039</v>
      </c>
      <c r="N60" s="7">
        <v>44655</v>
      </c>
      <c r="O60" s="7" t="s">
        <v>3790</v>
      </c>
      <c r="P60" s="48">
        <v>154</v>
      </c>
      <c r="Q60" s="48">
        <v>70</v>
      </c>
      <c r="R60" s="48">
        <v>14</v>
      </c>
      <c r="S60" s="48">
        <v>2000</v>
      </c>
      <c r="T60" s="5" t="s">
        <v>5548</v>
      </c>
    </row>
    <row r="61" spans="1:22">
      <c r="A61" s="5" t="s">
        <v>3662</v>
      </c>
      <c r="B61" s="32" t="s">
        <v>1829</v>
      </c>
      <c r="C61" s="32" t="s">
        <v>3690</v>
      </c>
      <c r="D61" s="5" t="s">
        <v>4280</v>
      </c>
      <c r="E61" s="48">
        <v>518</v>
      </c>
      <c r="F61" s="32" t="s">
        <v>3661</v>
      </c>
      <c r="G61" s="7">
        <v>44782</v>
      </c>
      <c r="H61" s="32" t="s">
        <v>3658</v>
      </c>
      <c r="I61" s="48">
        <v>18</v>
      </c>
      <c r="J61" s="48">
        <v>500</v>
      </c>
      <c r="K61" s="48">
        <v>0</v>
      </c>
      <c r="L61" s="7" t="s">
        <v>3790</v>
      </c>
      <c r="M61" s="7">
        <v>45039</v>
      </c>
      <c r="N61" s="7">
        <v>44655</v>
      </c>
      <c r="O61" s="7" t="s">
        <v>3790</v>
      </c>
      <c r="P61" s="48">
        <v>154</v>
      </c>
      <c r="Q61" s="48">
        <v>70</v>
      </c>
      <c r="R61" s="48">
        <v>14</v>
      </c>
      <c r="S61" s="48">
        <v>500</v>
      </c>
      <c r="T61" s="5" t="s">
        <v>5548</v>
      </c>
    </row>
    <row r="62" spans="1:22">
      <c r="A62" s="5" t="s">
        <v>3662</v>
      </c>
      <c r="B62" s="32" t="s">
        <v>2348</v>
      </c>
      <c r="C62" s="32" t="s">
        <v>3666</v>
      </c>
      <c r="D62" s="5" t="s">
        <v>4280</v>
      </c>
      <c r="E62" s="48">
        <v>2083</v>
      </c>
      <c r="F62" s="32" t="s">
        <v>3661</v>
      </c>
      <c r="G62" s="7">
        <v>44805</v>
      </c>
      <c r="H62" s="32" t="s">
        <v>3658</v>
      </c>
      <c r="J62" s="48">
        <v>2083</v>
      </c>
      <c r="K62" s="48">
        <v>0</v>
      </c>
      <c r="L62" s="7" t="s">
        <v>3790</v>
      </c>
      <c r="M62" s="7">
        <v>45041</v>
      </c>
      <c r="N62" s="7">
        <v>44655</v>
      </c>
      <c r="O62" s="7" t="s">
        <v>3790</v>
      </c>
      <c r="P62" s="48">
        <v>154</v>
      </c>
      <c r="Q62" s="48">
        <v>70</v>
      </c>
      <c r="R62" s="48">
        <v>14</v>
      </c>
      <c r="S62" s="48">
        <v>2500</v>
      </c>
      <c r="T62" s="5" t="s">
        <v>5548</v>
      </c>
    </row>
    <row r="63" spans="1:22">
      <c r="A63" s="5" t="s">
        <v>3662</v>
      </c>
      <c r="B63" s="32" t="s">
        <v>2468</v>
      </c>
      <c r="C63" s="32" t="s">
        <v>5528</v>
      </c>
      <c r="D63" s="5" t="s">
        <v>5529</v>
      </c>
      <c r="E63" s="48">
        <v>0</v>
      </c>
      <c r="F63" s="32" t="s">
        <v>3661</v>
      </c>
      <c r="G63" s="7">
        <v>44914</v>
      </c>
      <c r="H63" s="32" t="s">
        <v>5974</v>
      </c>
      <c r="J63" s="48">
        <v>0</v>
      </c>
      <c r="K63" s="48">
        <v>2500</v>
      </c>
      <c r="L63" s="7" t="s">
        <v>3790</v>
      </c>
      <c r="M63" s="7" t="s">
        <v>3790</v>
      </c>
      <c r="N63" s="7">
        <v>44837</v>
      </c>
      <c r="O63" s="7">
        <v>44984</v>
      </c>
      <c r="P63" s="48">
        <v>154</v>
      </c>
      <c r="Q63" s="48">
        <v>70</v>
      </c>
      <c r="R63" s="48">
        <v>14</v>
      </c>
      <c r="S63" s="48">
        <v>2500</v>
      </c>
      <c r="T63" s="5" t="s">
        <v>5548</v>
      </c>
    </row>
    <row r="64" spans="1:22">
      <c r="A64" s="5" t="s">
        <v>3662</v>
      </c>
      <c r="B64" s="32" t="s">
        <v>2472</v>
      </c>
      <c r="C64" s="32" t="s">
        <v>3667</v>
      </c>
      <c r="D64" s="5" t="s">
        <v>4165</v>
      </c>
      <c r="E64" s="48">
        <v>2568</v>
      </c>
      <c r="F64" s="32" t="s">
        <v>3661</v>
      </c>
      <c r="G64" s="7">
        <v>44839</v>
      </c>
      <c r="H64" s="32" t="s">
        <v>3658</v>
      </c>
      <c r="I64" s="48">
        <v>68</v>
      </c>
      <c r="J64" s="48">
        <v>2500</v>
      </c>
      <c r="K64" s="48">
        <v>0</v>
      </c>
      <c r="L64" s="7" t="s">
        <v>3790</v>
      </c>
      <c r="M64" s="7">
        <v>45088</v>
      </c>
      <c r="N64" s="7">
        <v>44713</v>
      </c>
      <c r="O64" s="7" t="s">
        <v>3790</v>
      </c>
      <c r="P64" s="48">
        <v>154</v>
      </c>
      <c r="Q64" s="48">
        <v>70</v>
      </c>
      <c r="R64" s="48">
        <v>14</v>
      </c>
      <c r="S64" s="48">
        <v>2500</v>
      </c>
      <c r="T64" s="5" t="s">
        <v>5548</v>
      </c>
    </row>
    <row r="65" spans="1:22">
      <c r="A65" s="5" t="s">
        <v>3662</v>
      </c>
      <c r="B65" s="32" t="s">
        <v>2826</v>
      </c>
      <c r="C65" s="32" t="s">
        <v>3668</v>
      </c>
      <c r="D65" s="5" t="s">
        <v>4167</v>
      </c>
      <c r="E65" s="48">
        <v>0</v>
      </c>
      <c r="F65" s="32" t="s">
        <v>3661</v>
      </c>
      <c r="G65" s="7">
        <v>44876</v>
      </c>
      <c r="H65" s="32" t="s">
        <v>5974</v>
      </c>
      <c r="J65" s="48">
        <v>0</v>
      </c>
      <c r="K65" s="48">
        <v>961</v>
      </c>
      <c r="L65" s="7">
        <v>44941</v>
      </c>
      <c r="M65" s="7" t="s">
        <v>3790</v>
      </c>
      <c r="N65" s="7">
        <v>44533</v>
      </c>
      <c r="O65" s="7">
        <v>44955</v>
      </c>
      <c r="P65" s="48">
        <v>154</v>
      </c>
      <c r="Q65" s="48">
        <v>70</v>
      </c>
      <c r="R65" s="48">
        <v>14</v>
      </c>
      <c r="S65" s="48">
        <v>1000</v>
      </c>
      <c r="T65" s="5" t="s">
        <v>5548</v>
      </c>
    </row>
    <row r="66" spans="1:22">
      <c r="A66" s="5" t="s">
        <v>3662</v>
      </c>
      <c r="B66" s="32" t="s">
        <v>2829</v>
      </c>
      <c r="C66" s="32" t="s">
        <v>3668</v>
      </c>
      <c r="D66" s="5" t="s">
        <v>4167</v>
      </c>
      <c r="E66" s="48">
        <v>0</v>
      </c>
      <c r="F66" s="32" t="s">
        <v>3661</v>
      </c>
      <c r="G66" s="7">
        <v>44876</v>
      </c>
      <c r="H66" s="32" t="s">
        <v>5974</v>
      </c>
      <c r="J66" s="48">
        <v>0</v>
      </c>
      <c r="K66" s="48">
        <v>1031</v>
      </c>
      <c r="L66" s="7">
        <v>44941</v>
      </c>
      <c r="M66" s="7" t="s">
        <v>3790</v>
      </c>
      <c r="N66" s="7">
        <v>44533</v>
      </c>
      <c r="O66" s="7">
        <v>44955</v>
      </c>
      <c r="P66" s="48">
        <v>154</v>
      </c>
      <c r="Q66" s="48">
        <v>70</v>
      </c>
      <c r="R66" s="48">
        <v>14</v>
      </c>
      <c r="S66" s="48">
        <v>1500</v>
      </c>
      <c r="T66" s="5" t="s">
        <v>5548</v>
      </c>
      <c r="V66" s="32" t="s">
        <v>6380</v>
      </c>
    </row>
    <row r="67" spans="1:22">
      <c r="A67" s="5" t="s">
        <v>3662</v>
      </c>
      <c r="B67" s="32" t="s">
        <v>3669</v>
      </c>
      <c r="C67" s="32" t="s">
        <v>3670</v>
      </c>
      <c r="D67" s="5" t="s">
        <v>4381</v>
      </c>
      <c r="E67" s="48">
        <v>0</v>
      </c>
      <c r="F67" s="32" t="s">
        <v>3661</v>
      </c>
      <c r="G67" s="7" t="s">
        <v>3790</v>
      </c>
      <c r="J67" s="48">
        <v>0</v>
      </c>
      <c r="K67" s="48">
        <v>0</v>
      </c>
      <c r="L67" s="7" t="s">
        <v>3790</v>
      </c>
      <c r="M67" s="7" t="s">
        <v>3790</v>
      </c>
      <c r="N67" s="7">
        <v>44718</v>
      </c>
      <c r="O67" s="7">
        <v>44872</v>
      </c>
      <c r="P67" s="48">
        <v>154</v>
      </c>
      <c r="Q67" s="48">
        <v>70</v>
      </c>
      <c r="R67" s="48">
        <v>0</v>
      </c>
      <c r="S67" s="48">
        <v>500</v>
      </c>
      <c r="T67" s="5" t="s">
        <v>5549</v>
      </c>
      <c r="V67" s="32" t="s">
        <v>7540</v>
      </c>
    </row>
    <row r="68" spans="1:22">
      <c r="A68" s="5" t="s">
        <v>3662</v>
      </c>
      <c r="B68" s="32" t="s">
        <v>2834</v>
      </c>
      <c r="C68" s="32" t="s">
        <v>3670</v>
      </c>
      <c r="D68" s="5" t="s">
        <v>4381</v>
      </c>
      <c r="E68" s="48">
        <v>0</v>
      </c>
      <c r="F68" s="32" t="s">
        <v>3661</v>
      </c>
      <c r="G68" s="7">
        <v>44863</v>
      </c>
      <c r="H68" s="32" t="s">
        <v>3658</v>
      </c>
      <c r="J68" s="48">
        <v>0</v>
      </c>
      <c r="K68" s="48">
        <v>1990</v>
      </c>
      <c r="L68" s="7">
        <v>44931</v>
      </c>
      <c r="M68" s="7" t="s">
        <v>3790</v>
      </c>
      <c r="N68" s="7">
        <v>44718</v>
      </c>
      <c r="O68" s="7">
        <v>44931</v>
      </c>
      <c r="P68" s="48">
        <v>154</v>
      </c>
      <c r="Q68" s="48">
        <v>70</v>
      </c>
      <c r="R68" s="48">
        <v>0</v>
      </c>
      <c r="S68" s="48">
        <v>2000</v>
      </c>
      <c r="T68" s="5" t="s">
        <v>5548</v>
      </c>
    </row>
    <row r="69" spans="1:22">
      <c r="A69" s="5" t="s">
        <v>3662</v>
      </c>
      <c r="B69" s="32" t="s">
        <v>2837</v>
      </c>
      <c r="C69" s="32" t="s">
        <v>6055</v>
      </c>
      <c r="D69" s="5" t="s">
        <v>6056</v>
      </c>
      <c r="E69" s="48">
        <v>0</v>
      </c>
      <c r="F69" s="32" t="s">
        <v>3661</v>
      </c>
      <c r="G69" s="7">
        <v>44900</v>
      </c>
      <c r="H69" s="32" t="s">
        <v>3658</v>
      </c>
      <c r="I69" s="48">
        <v>121</v>
      </c>
      <c r="J69" s="48">
        <v>-121</v>
      </c>
      <c r="K69" s="48">
        <v>621</v>
      </c>
      <c r="L69" s="7">
        <v>44967</v>
      </c>
      <c r="M69" s="7" t="s">
        <v>3790</v>
      </c>
      <c r="N69" s="7">
        <v>44860</v>
      </c>
      <c r="O69" s="7">
        <v>44981</v>
      </c>
      <c r="P69" s="48">
        <v>154</v>
      </c>
      <c r="Q69" s="48">
        <v>70</v>
      </c>
      <c r="R69" s="48">
        <v>14</v>
      </c>
      <c r="S69" s="48">
        <v>500</v>
      </c>
      <c r="T69" s="5" t="s">
        <v>5548</v>
      </c>
    </row>
    <row r="70" spans="1:22">
      <c r="A70" s="5" t="s">
        <v>3662</v>
      </c>
      <c r="B70" s="32" t="s">
        <v>2839</v>
      </c>
      <c r="C70" s="32" t="s">
        <v>6055</v>
      </c>
      <c r="D70" s="5" t="s">
        <v>6056</v>
      </c>
      <c r="E70" s="48">
        <v>0</v>
      </c>
      <c r="F70" s="32" t="s">
        <v>3661</v>
      </c>
      <c r="G70" s="7">
        <v>44900</v>
      </c>
      <c r="H70" s="32" t="s">
        <v>3658</v>
      </c>
      <c r="I70" s="48">
        <v>66</v>
      </c>
      <c r="J70" s="48">
        <v>-66</v>
      </c>
      <c r="K70" s="48">
        <v>2066</v>
      </c>
      <c r="L70" s="7">
        <v>44967</v>
      </c>
      <c r="M70" s="7" t="s">
        <v>3790</v>
      </c>
      <c r="N70" s="7">
        <v>44860</v>
      </c>
      <c r="O70" s="7">
        <v>44981</v>
      </c>
      <c r="P70" s="48">
        <v>154</v>
      </c>
      <c r="Q70" s="48">
        <v>70</v>
      </c>
      <c r="R70" s="48">
        <v>14</v>
      </c>
      <c r="S70" s="48">
        <v>2000</v>
      </c>
      <c r="T70" s="5" t="s">
        <v>5548</v>
      </c>
    </row>
    <row r="71" spans="1:22">
      <c r="A71" s="5" t="s">
        <v>3662</v>
      </c>
      <c r="B71" s="32" t="s">
        <v>2955</v>
      </c>
      <c r="C71" s="32" t="s">
        <v>3671</v>
      </c>
      <c r="D71" s="5" t="s">
        <v>4398</v>
      </c>
      <c r="E71" s="48">
        <v>0</v>
      </c>
      <c r="F71" s="32" t="s">
        <v>3661</v>
      </c>
      <c r="G71" s="7">
        <v>44869</v>
      </c>
      <c r="H71" s="32" t="s">
        <v>3658</v>
      </c>
      <c r="I71" s="48">
        <v>54</v>
      </c>
      <c r="J71" s="48">
        <v>-54</v>
      </c>
      <c r="K71" s="48">
        <v>1554</v>
      </c>
      <c r="L71" s="7">
        <v>44931</v>
      </c>
      <c r="M71" s="7" t="s">
        <v>3790</v>
      </c>
      <c r="N71" s="7">
        <v>44750</v>
      </c>
      <c r="O71" s="7">
        <v>44945</v>
      </c>
      <c r="P71" s="48">
        <v>154</v>
      </c>
      <c r="Q71" s="48">
        <v>70</v>
      </c>
      <c r="R71" s="48">
        <v>14</v>
      </c>
      <c r="S71" s="48">
        <v>1500</v>
      </c>
      <c r="T71" s="5" t="s">
        <v>5548</v>
      </c>
    </row>
    <row r="72" spans="1:22">
      <c r="A72" s="5" t="s">
        <v>3662</v>
      </c>
      <c r="B72" s="32" t="s">
        <v>2958</v>
      </c>
      <c r="C72" s="32" t="s">
        <v>3671</v>
      </c>
      <c r="D72" s="5" t="s">
        <v>4398</v>
      </c>
      <c r="E72" s="48">
        <v>0</v>
      </c>
      <c r="F72" s="32" t="s">
        <v>3661</v>
      </c>
      <c r="G72" s="7">
        <v>44869</v>
      </c>
      <c r="H72" s="32" t="s">
        <v>3658</v>
      </c>
      <c r="I72" s="48">
        <v>14</v>
      </c>
      <c r="J72" s="48">
        <v>-14</v>
      </c>
      <c r="K72" s="48">
        <v>1014</v>
      </c>
      <c r="L72" s="7">
        <v>44931</v>
      </c>
      <c r="M72" s="7" t="s">
        <v>3790</v>
      </c>
      <c r="N72" s="7">
        <v>44750</v>
      </c>
      <c r="O72" s="7">
        <v>44945</v>
      </c>
      <c r="P72" s="48">
        <v>154</v>
      </c>
      <c r="Q72" s="48">
        <v>70</v>
      </c>
      <c r="R72" s="48">
        <v>14</v>
      </c>
      <c r="S72" s="48">
        <v>1000</v>
      </c>
      <c r="T72" s="5" t="s">
        <v>5548</v>
      </c>
    </row>
    <row r="73" spans="1:22">
      <c r="A73" s="5" t="s">
        <v>3662</v>
      </c>
      <c r="B73" s="32" t="s">
        <v>3008</v>
      </c>
      <c r="C73" s="32" t="s">
        <v>3672</v>
      </c>
      <c r="D73" s="5" t="s">
        <v>4413</v>
      </c>
      <c r="E73" s="48">
        <v>0</v>
      </c>
      <c r="F73" s="32" t="s">
        <v>3661</v>
      </c>
      <c r="G73" s="7">
        <v>44946</v>
      </c>
      <c r="J73" s="48">
        <v>0</v>
      </c>
      <c r="K73" s="48">
        <v>0</v>
      </c>
      <c r="L73" s="7" t="s">
        <v>3790</v>
      </c>
      <c r="M73" s="7" t="s">
        <v>3790</v>
      </c>
      <c r="N73" s="7">
        <v>44718</v>
      </c>
      <c r="O73" s="7">
        <v>45016</v>
      </c>
      <c r="P73" s="48">
        <v>154</v>
      </c>
      <c r="Q73" s="48">
        <v>70</v>
      </c>
      <c r="R73" s="48">
        <v>0</v>
      </c>
      <c r="S73" s="48">
        <v>500</v>
      </c>
      <c r="T73" s="5" t="s">
        <v>5549</v>
      </c>
      <c r="V73" s="32" t="s">
        <v>6090</v>
      </c>
    </row>
    <row r="74" spans="1:22">
      <c r="A74" s="5" t="s">
        <v>3662</v>
      </c>
      <c r="B74" s="32" t="s">
        <v>3009</v>
      </c>
      <c r="C74" s="32" t="s">
        <v>3672</v>
      </c>
      <c r="D74" s="5" t="s">
        <v>4307</v>
      </c>
      <c r="E74" s="48">
        <v>1148</v>
      </c>
      <c r="F74" s="32" t="s">
        <v>3661</v>
      </c>
      <c r="G74" s="7">
        <v>44582</v>
      </c>
      <c r="H74" s="32" t="s">
        <v>3658</v>
      </c>
      <c r="I74" s="48">
        <v>148</v>
      </c>
      <c r="J74" s="48">
        <v>1000</v>
      </c>
      <c r="K74" s="48">
        <v>0</v>
      </c>
      <c r="L74" s="7" t="s">
        <v>3790</v>
      </c>
      <c r="M74" s="7">
        <v>44930</v>
      </c>
      <c r="N74" s="7">
        <v>44385</v>
      </c>
      <c r="O74" s="7" t="s">
        <v>3790</v>
      </c>
      <c r="P74" s="48">
        <v>154</v>
      </c>
      <c r="Q74" s="48">
        <v>70</v>
      </c>
      <c r="R74" s="48">
        <v>0</v>
      </c>
      <c r="S74" s="48">
        <v>1000</v>
      </c>
      <c r="T74" s="5" t="s">
        <v>5548</v>
      </c>
    </row>
    <row r="75" spans="1:22">
      <c r="A75" s="5" t="s">
        <v>3662</v>
      </c>
      <c r="B75" s="32" t="s">
        <v>3009</v>
      </c>
      <c r="C75" s="32" t="s">
        <v>3672</v>
      </c>
      <c r="D75" s="5" t="s">
        <v>4413</v>
      </c>
      <c r="E75" s="48">
        <v>0</v>
      </c>
      <c r="F75" s="32" t="s">
        <v>3661</v>
      </c>
      <c r="G75" s="7">
        <v>44946</v>
      </c>
      <c r="J75" s="48">
        <v>0</v>
      </c>
      <c r="K75" s="48">
        <v>0</v>
      </c>
      <c r="L75" s="7" t="s">
        <v>3790</v>
      </c>
      <c r="M75" s="7" t="s">
        <v>3790</v>
      </c>
      <c r="N75" s="7">
        <v>44718</v>
      </c>
      <c r="O75" s="7">
        <v>45016</v>
      </c>
      <c r="P75" s="48">
        <v>154</v>
      </c>
      <c r="Q75" s="48">
        <v>70</v>
      </c>
      <c r="R75" s="48">
        <v>0</v>
      </c>
      <c r="S75" s="48">
        <v>2000</v>
      </c>
      <c r="T75" s="5" t="s">
        <v>5549</v>
      </c>
      <c r="V75" s="32" t="s">
        <v>6090</v>
      </c>
    </row>
    <row r="76" spans="1:22">
      <c r="A76" s="5" t="s">
        <v>3662</v>
      </c>
      <c r="B76" s="32" t="s">
        <v>3052</v>
      </c>
      <c r="C76" s="32" t="s">
        <v>3673</v>
      </c>
      <c r="D76" s="5" t="s">
        <v>4169</v>
      </c>
      <c r="E76" s="48">
        <v>2156</v>
      </c>
      <c r="F76" s="32" t="s">
        <v>3661</v>
      </c>
      <c r="G76" s="7">
        <v>44739</v>
      </c>
      <c r="H76" s="32" t="s">
        <v>3658</v>
      </c>
      <c r="I76" s="48">
        <v>156</v>
      </c>
      <c r="J76" s="48">
        <v>2000</v>
      </c>
      <c r="K76" s="48">
        <v>0</v>
      </c>
      <c r="L76" s="7" t="s">
        <v>3790</v>
      </c>
      <c r="M76" s="7">
        <v>45000</v>
      </c>
      <c r="N76" s="7">
        <v>44641</v>
      </c>
      <c r="O76" s="7" t="s">
        <v>3790</v>
      </c>
      <c r="P76" s="48">
        <v>154</v>
      </c>
      <c r="Q76" s="48">
        <v>70</v>
      </c>
      <c r="R76" s="48">
        <v>14</v>
      </c>
      <c r="S76" s="48">
        <v>4500</v>
      </c>
      <c r="T76" s="5" t="s">
        <v>5548</v>
      </c>
    </row>
    <row r="77" spans="1:22">
      <c r="A77" s="5" t="s">
        <v>3662</v>
      </c>
      <c r="B77" s="32" t="s">
        <v>3052</v>
      </c>
      <c r="C77" s="32" t="s">
        <v>3673</v>
      </c>
      <c r="D77" s="5" t="s">
        <v>4398</v>
      </c>
      <c r="E77" s="48">
        <v>0</v>
      </c>
      <c r="F77" s="32" t="s">
        <v>3661</v>
      </c>
      <c r="G77" s="7">
        <v>44921</v>
      </c>
      <c r="H77" s="32" t="s">
        <v>5974</v>
      </c>
      <c r="J77" s="48">
        <v>0</v>
      </c>
      <c r="K77" s="48">
        <v>4600</v>
      </c>
      <c r="L77" s="7" t="s">
        <v>3790</v>
      </c>
      <c r="M77" s="7" t="s">
        <v>3790</v>
      </c>
      <c r="N77" s="7">
        <v>44750</v>
      </c>
      <c r="O77" s="7">
        <v>44991</v>
      </c>
      <c r="P77" s="48">
        <v>154</v>
      </c>
      <c r="Q77" s="48">
        <v>70</v>
      </c>
      <c r="R77" s="48">
        <v>14</v>
      </c>
      <c r="S77" s="48">
        <v>4600</v>
      </c>
      <c r="T77" s="5" t="s">
        <v>5548</v>
      </c>
      <c r="V77" s="32" t="s">
        <v>5918</v>
      </c>
    </row>
    <row r="78" spans="1:22">
      <c r="A78" s="5" t="s">
        <v>3662</v>
      </c>
      <c r="B78" s="32" t="s">
        <v>3055</v>
      </c>
      <c r="C78" s="32" t="s">
        <v>3673</v>
      </c>
      <c r="D78" s="5" t="s">
        <v>4169</v>
      </c>
      <c r="E78" s="48">
        <v>3238</v>
      </c>
      <c r="F78" s="32" t="s">
        <v>3661</v>
      </c>
      <c r="G78" s="7">
        <v>44739</v>
      </c>
      <c r="H78" s="32" t="s">
        <v>3658</v>
      </c>
      <c r="I78" s="48">
        <v>238</v>
      </c>
      <c r="J78" s="48">
        <v>3000</v>
      </c>
      <c r="K78" s="48">
        <v>0</v>
      </c>
      <c r="L78" s="7" t="s">
        <v>3790</v>
      </c>
      <c r="M78" s="7">
        <v>45000</v>
      </c>
      <c r="N78" s="7">
        <v>44641</v>
      </c>
      <c r="O78" s="7" t="s">
        <v>3790</v>
      </c>
      <c r="P78" s="48">
        <v>154</v>
      </c>
      <c r="Q78" s="48">
        <v>70</v>
      </c>
      <c r="R78" s="48">
        <v>14</v>
      </c>
      <c r="S78" s="48">
        <v>3000</v>
      </c>
      <c r="T78" s="5" t="s">
        <v>5548</v>
      </c>
    </row>
    <row r="79" spans="1:22">
      <c r="A79" s="5" t="s">
        <v>3662</v>
      </c>
      <c r="B79" s="32" t="s">
        <v>3055</v>
      </c>
      <c r="C79" s="32" t="s">
        <v>3673</v>
      </c>
      <c r="D79" s="5" t="s">
        <v>4398</v>
      </c>
      <c r="E79" s="48">
        <v>0</v>
      </c>
      <c r="F79" s="32" t="s">
        <v>3661</v>
      </c>
      <c r="G79" s="7">
        <v>44921</v>
      </c>
      <c r="H79" s="32" t="s">
        <v>5974</v>
      </c>
      <c r="J79" s="48">
        <v>0</v>
      </c>
      <c r="K79" s="48">
        <v>10400</v>
      </c>
      <c r="L79" s="7" t="s">
        <v>3790</v>
      </c>
      <c r="M79" s="7" t="s">
        <v>3790</v>
      </c>
      <c r="N79" s="7">
        <v>44750</v>
      </c>
      <c r="O79" s="7">
        <v>44991</v>
      </c>
      <c r="P79" s="48">
        <v>154</v>
      </c>
      <c r="Q79" s="48">
        <v>70</v>
      </c>
      <c r="R79" s="48">
        <v>14</v>
      </c>
      <c r="S79" s="48">
        <v>10400</v>
      </c>
      <c r="T79" s="5" t="s">
        <v>5548</v>
      </c>
      <c r="V79" s="32" t="s">
        <v>5918</v>
      </c>
    </row>
    <row r="80" spans="1:22">
      <c r="A80" s="5" t="s">
        <v>3662</v>
      </c>
      <c r="B80" s="32" t="s">
        <v>3075</v>
      </c>
      <c r="C80" s="32" t="s">
        <v>3674</v>
      </c>
      <c r="D80" s="5" t="s">
        <v>4280</v>
      </c>
      <c r="E80" s="48">
        <v>1078</v>
      </c>
      <c r="F80" s="32" t="s">
        <v>3661</v>
      </c>
      <c r="G80" s="7">
        <v>44782</v>
      </c>
      <c r="H80" s="32" t="s">
        <v>3658</v>
      </c>
      <c r="I80" s="48">
        <v>78</v>
      </c>
      <c r="J80" s="48">
        <v>1000</v>
      </c>
      <c r="K80" s="48">
        <v>0</v>
      </c>
      <c r="L80" s="7" t="s">
        <v>3790</v>
      </c>
      <c r="M80" s="7">
        <v>45041</v>
      </c>
      <c r="N80" s="7">
        <v>44655</v>
      </c>
      <c r="O80" s="7" t="s">
        <v>3790</v>
      </c>
      <c r="P80" s="48">
        <v>154</v>
      </c>
      <c r="Q80" s="48">
        <v>70</v>
      </c>
      <c r="R80" s="48">
        <v>14</v>
      </c>
      <c r="S80" s="48">
        <v>1000</v>
      </c>
      <c r="T80" s="5" t="s">
        <v>5548</v>
      </c>
    </row>
    <row r="81" spans="1:22">
      <c r="A81" s="5" t="s">
        <v>3662</v>
      </c>
      <c r="B81" s="32" t="s">
        <v>3078</v>
      </c>
      <c r="C81" s="32" t="s">
        <v>3674</v>
      </c>
      <c r="D81" s="5" t="s">
        <v>4280</v>
      </c>
      <c r="E81" s="48">
        <v>1547</v>
      </c>
      <c r="F81" s="32" t="s">
        <v>3661</v>
      </c>
      <c r="G81" s="7">
        <v>44782</v>
      </c>
      <c r="H81" s="32" t="s">
        <v>3658</v>
      </c>
      <c r="I81" s="48">
        <v>47</v>
      </c>
      <c r="J81" s="48">
        <v>1500</v>
      </c>
      <c r="K81" s="48">
        <v>0</v>
      </c>
      <c r="L81" s="7" t="s">
        <v>3790</v>
      </c>
      <c r="M81" s="7">
        <v>45041</v>
      </c>
      <c r="N81" s="7">
        <v>44655</v>
      </c>
      <c r="O81" s="7" t="s">
        <v>3790</v>
      </c>
      <c r="P81" s="48">
        <v>154</v>
      </c>
      <c r="Q81" s="48">
        <v>70</v>
      </c>
      <c r="R81" s="48">
        <v>14</v>
      </c>
      <c r="S81" s="48">
        <v>1500</v>
      </c>
      <c r="T81" s="5" t="s">
        <v>5548</v>
      </c>
    </row>
    <row r="82" spans="1:22">
      <c r="A82" s="5" t="s">
        <v>3662</v>
      </c>
      <c r="B82" s="32" t="s">
        <v>3106</v>
      </c>
      <c r="C82" s="32" t="s">
        <v>3675</v>
      </c>
      <c r="D82" s="5" t="s">
        <v>4163</v>
      </c>
      <c r="E82" s="48">
        <v>576</v>
      </c>
      <c r="F82" s="32" t="s">
        <v>3661</v>
      </c>
      <c r="G82" s="7">
        <v>44656</v>
      </c>
      <c r="H82" s="32" t="s">
        <v>3658</v>
      </c>
      <c r="I82" s="48">
        <v>76</v>
      </c>
      <c r="J82" s="48">
        <v>500</v>
      </c>
      <c r="K82" s="48">
        <v>0</v>
      </c>
      <c r="L82" s="7" t="s">
        <v>3790</v>
      </c>
      <c r="M82" s="7">
        <v>44930</v>
      </c>
      <c r="N82" s="7">
        <v>44498</v>
      </c>
      <c r="O82" s="7" t="s">
        <v>3790</v>
      </c>
      <c r="P82" s="48">
        <v>154</v>
      </c>
      <c r="Q82" s="48">
        <v>70</v>
      </c>
      <c r="R82" s="48">
        <v>14</v>
      </c>
      <c r="S82" s="48">
        <v>1000</v>
      </c>
      <c r="T82" s="5" t="s">
        <v>5548</v>
      </c>
    </row>
    <row r="83" spans="1:22">
      <c r="A83" s="5" t="s">
        <v>3662</v>
      </c>
      <c r="B83" s="32" t="s">
        <v>3177</v>
      </c>
      <c r="C83" s="32" t="s">
        <v>3677</v>
      </c>
      <c r="D83" s="5" t="s">
        <v>4381</v>
      </c>
      <c r="E83" s="48">
        <v>2651</v>
      </c>
      <c r="F83" s="32" t="s">
        <v>3661</v>
      </c>
      <c r="G83" s="7">
        <v>44839</v>
      </c>
      <c r="H83" s="32" t="s">
        <v>3658</v>
      </c>
      <c r="I83" s="48">
        <v>151</v>
      </c>
      <c r="J83" s="48">
        <v>2500</v>
      </c>
      <c r="K83" s="48">
        <v>0</v>
      </c>
      <c r="L83" s="7" t="s">
        <v>3790</v>
      </c>
      <c r="M83" s="7">
        <v>45088</v>
      </c>
      <c r="N83" s="7">
        <v>44718</v>
      </c>
      <c r="O83" s="7" t="s">
        <v>3790</v>
      </c>
      <c r="P83" s="48">
        <v>154</v>
      </c>
      <c r="Q83" s="48">
        <v>70</v>
      </c>
      <c r="R83" s="48">
        <v>14</v>
      </c>
      <c r="S83" s="48">
        <v>2500</v>
      </c>
      <c r="T83" s="5" t="s">
        <v>5548</v>
      </c>
    </row>
    <row r="84" spans="1:22">
      <c r="A84" s="5" t="s">
        <v>3662</v>
      </c>
      <c r="B84" s="32" t="s">
        <v>3196</v>
      </c>
      <c r="C84" s="32" t="s">
        <v>3678</v>
      </c>
      <c r="D84" s="5" t="s">
        <v>4448</v>
      </c>
      <c r="E84" s="48">
        <v>0</v>
      </c>
      <c r="F84" s="32" t="s">
        <v>3661</v>
      </c>
      <c r="G84" s="7">
        <v>44859</v>
      </c>
      <c r="H84" s="32" t="s">
        <v>3658</v>
      </c>
      <c r="I84" s="48">
        <v>93</v>
      </c>
      <c r="J84" s="48">
        <v>-93</v>
      </c>
      <c r="K84" s="48">
        <v>1093</v>
      </c>
      <c r="L84" s="7">
        <v>44931</v>
      </c>
      <c r="M84" s="7" t="s">
        <v>3790</v>
      </c>
      <c r="N84" s="7">
        <v>44658</v>
      </c>
      <c r="O84" s="7">
        <v>44945</v>
      </c>
      <c r="P84" s="48">
        <v>154</v>
      </c>
      <c r="Q84" s="48">
        <v>70</v>
      </c>
      <c r="R84" s="48">
        <v>14</v>
      </c>
      <c r="S84" s="48">
        <v>1000</v>
      </c>
      <c r="T84" s="5" t="s">
        <v>5548</v>
      </c>
    </row>
    <row r="85" spans="1:22">
      <c r="A85" s="5" t="s">
        <v>3662</v>
      </c>
      <c r="B85" s="32" t="s">
        <v>3198</v>
      </c>
      <c r="C85" s="32" t="s">
        <v>3678</v>
      </c>
      <c r="D85" s="5" t="s">
        <v>4448</v>
      </c>
      <c r="E85" s="48">
        <v>0</v>
      </c>
      <c r="F85" s="32" t="s">
        <v>3661</v>
      </c>
      <c r="G85" s="7">
        <v>44859</v>
      </c>
      <c r="H85" s="32" t="s">
        <v>3658</v>
      </c>
      <c r="I85" s="48">
        <v>126</v>
      </c>
      <c r="J85" s="48">
        <v>-126</v>
      </c>
      <c r="K85" s="48">
        <v>1626</v>
      </c>
      <c r="L85" s="7">
        <v>44931</v>
      </c>
      <c r="M85" s="7" t="s">
        <v>3790</v>
      </c>
      <c r="N85" s="7">
        <v>44658</v>
      </c>
      <c r="O85" s="7">
        <v>44945</v>
      </c>
      <c r="P85" s="48">
        <v>154</v>
      </c>
      <c r="Q85" s="48">
        <v>70</v>
      </c>
      <c r="R85" s="48">
        <v>14</v>
      </c>
      <c r="S85" s="48">
        <v>1500</v>
      </c>
      <c r="T85" s="5" t="s">
        <v>5548</v>
      </c>
    </row>
    <row r="86" spans="1:22">
      <c r="A86" s="5" t="s">
        <v>3662</v>
      </c>
      <c r="B86" s="32" t="s">
        <v>3260</v>
      </c>
      <c r="C86" s="32" t="s">
        <v>3679</v>
      </c>
      <c r="D86" s="5" t="s">
        <v>4381</v>
      </c>
      <c r="E86" s="48">
        <v>993</v>
      </c>
      <c r="F86" s="32" t="s">
        <v>3661</v>
      </c>
      <c r="G86" s="7">
        <v>44839</v>
      </c>
      <c r="H86" s="32" t="s">
        <v>3658</v>
      </c>
      <c r="J86" s="48">
        <v>993</v>
      </c>
      <c r="K86" s="48">
        <v>993</v>
      </c>
      <c r="L86" s="7" t="s">
        <v>3790</v>
      </c>
      <c r="M86" s="7">
        <v>45088</v>
      </c>
      <c r="N86" s="7">
        <v>44718</v>
      </c>
      <c r="O86" s="7" t="s">
        <v>3790</v>
      </c>
      <c r="P86" s="48">
        <v>154</v>
      </c>
      <c r="Q86" s="48">
        <v>70</v>
      </c>
      <c r="R86" s="48">
        <v>14</v>
      </c>
      <c r="S86" s="48">
        <v>1000</v>
      </c>
      <c r="T86" s="5" t="s">
        <v>5548</v>
      </c>
    </row>
    <row r="87" spans="1:22">
      <c r="A87" s="5" t="s">
        <v>3662</v>
      </c>
      <c r="B87" s="32" t="s">
        <v>3263</v>
      </c>
      <c r="C87" s="32" t="s">
        <v>3679</v>
      </c>
      <c r="D87" s="5" t="s">
        <v>4381</v>
      </c>
      <c r="E87" s="48">
        <v>1462</v>
      </c>
      <c r="F87" s="32" t="s">
        <v>3661</v>
      </c>
      <c r="G87" s="7">
        <v>44839</v>
      </c>
      <c r="H87" s="32" t="s">
        <v>3658</v>
      </c>
      <c r="J87" s="48">
        <v>1462</v>
      </c>
      <c r="K87" s="48">
        <v>1462</v>
      </c>
      <c r="L87" s="7" t="s">
        <v>3790</v>
      </c>
      <c r="M87" s="7">
        <v>45088</v>
      </c>
      <c r="N87" s="7">
        <v>44718</v>
      </c>
      <c r="O87" s="7" t="s">
        <v>3790</v>
      </c>
      <c r="P87" s="48">
        <v>154</v>
      </c>
      <c r="Q87" s="48">
        <v>70</v>
      </c>
      <c r="R87" s="48">
        <v>14</v>
      </c>
      <c r="S87" s="48">
        <v>1500</v>
      </c>
      <c r="T87" s="5" t="s">
        <v>5548</v>
      </c>
    </row>
    <row r="88" spans="1:22">
      <c r="A88" s="5" t="s">
        <v>3662</v>
      </c>
      <c r="B88" s="32" t="s">
        <v>3267</v>
      </c>
      <c r="C88" s="32" t="s">
        <v>3680</v>
      </c>
      <c r="D88" s="5" t="s">
        <v>4398</v>
      </c>
      <c r="E88" s="48">
        <v>0</v>
      </c>
      <c r="F88" s="32" t="s">
        <v>3661</v>
      </c>
      <c r="G88" s="7">
        <v>44859</v>
      </c>
      <c r="H88" s="32" t="s">
        <v>3658</v>
      </c>
      <c r="I88" s="48">
        <v>197</v>
      </c>
      <c r="J88" s="48">
        <v>-197</v>
      </c>
      <c r="K88" s="48">
        <v>2697</v>
      </c>
      <c r="L88" s="7">
        <v>44931</v>
      </c>
      <c r="M88" s="7" t="s">
        <v>3790</v>
      </c>
      <c r="N88" s="7">
        <v>44750</v>
      </c>
      <c r="O88" s="7">
        <v>44945</v>
      </c>
      <c r="P88" s="48">
        <v>154</v>
      </c>
      <c r="Q88" s="48">
        <v>70</v>
      </c>
      <c r="R88" s="48">
        <v>14</v>
      </c>
      <c r="S88" s="48">
        <v>2500</v>
      </c>
      <c r="T88" s="5" t="s">
        <v>5548</v>
      </c>
    </row>
    <row r="89" spans="1:22">
      <c r="A89" s="5" t="s">
        <v>3662</v>
      </c>
      <c r="B89" s="32" t="s">
        <v>3289</v>
      </c>
      <c r="C89" s="32" t="s">
        <v>3681</v>
      </c>
      <c r="D89" s="5" t="s">
        <v>4420</v>
      </c>
      <c r="E89" s="48">
        <v>3321</v>
      </c>
      <c r="F89" s="32" t="s">
        <v>3661</v>
      </c>
      <c r="G89" s="7">
        <v>44722</v>
      </c>
      <c r="H89" s="32" t="s">
        <v>3658</v>
      </c>
      <c r="J89" s="48">
        <v>3321</v>
      </c>
      <c r="K89" s="48">
        <v>0</v>
      </c>
      <c r="L89" s="7" t="s">
        <v>3790</v>
      </c>
      <c r="M89" s="7">
        <v>44961</v>
      </c>
      <c r="N89" s="7">
        <v>44480</v>
      </c>
      <c r="O89" s="7" t="s">
        <v>3790</v>
      </c>
      <c r="P89" s="48">
        <v>154</v>
      </c>
      <c r="Q89" s="48">
        <v>70</v>
      </c>
      <c r="R89" s="48">
        <v>14</v>
      </c>
      <c r="S89" s="48">
        <v>5000</v>
      </c>
      <c r="T89" s="5" t="s">
        <v>5548</v>
      </c>
      <c r="V89" s="32" t="s">
        <v>3682</v>
      </c>
    </row>
    <row r="90" spans="1:22">
      <c r="A90" s="5" t="s">
        <v>3662</v>
      </c>
      <c r="B90" s="32" t="s">
        <v>3292</v>
      </c>
      <c r="C90" s="32" t="s">
        <v>3681</v>
      </c>
      <c r="D90" s="5" t="s">
        <v>4460</v>
      </c>
      <c r="E90" s="48">
        <v>0</v>
      </c>
      <c r="F90" s="32" t="s">
        <v>3661</v>
      </c>
      <c r="G90" s="7">
        <v>44962</v>
      </c>
      <c r="J90" s="48">
        <v>0</v>
      </c>
      <c r="K90" s="48">
        <v>0</v>
      </c>
      <c r="L90" s="7" t="s">
        <v>3790</v>
      </c>
      <c r="M90" s="7" t="s">
        <v>3790</v>
      </c>
      <c r="N90" s="7">
        <v>44788</v>
      </c>
      <c r="O90" s="7">
        <v>45032</v>
      </c>
      <c r="P90" s="48">
        <v>154</v>
      </c>
      <c r="Q90" s="48">
        <v>70</v>
      </c>
      <c r="R90" s="48">
        <v>14</v>
      </c>
      <c r="S90" s="48">
        <v>2500</v>
      </c>
      <c r="T90" s="5" t="s">
        <v>5549</v>
      </c>
      <c r="V90" s="32" t="s">
        <v>6090</v>
      </c>
    </row>
    <row r="91" spans="1:22">
      <c r="A91" s="5" t="s">
        <v>3662</v>
      </c>
      <c r="B91" s="32" t="s">
        <v>3314</v>
      </c>
      <c r="C91" s="32" t="s">
        <v>3676</v>
      </c>
      <c r="D91" s="5" t="s">
        <v>4398</v>
      </c>
      <c r="E91" s="48">
        <v>0</v>
      </c>
      <c r="F91" s="32" t="s">
        <v>3661</v>
      </c>
      <c r="G91" s="7">
        <v>44862</v>
      </c>
      <c r="H91" s="32" t="s">
        <v>3658</v>
      </c>
      <c r="I91" s="48">
        <v>373</v>
      </c>
      <c r="J91" s="48">
        <v>-373</v>
      </c>
      <c r="K91" s="48">
        <v>2873</v>
      </c>
      <c r="L91" s="7">
        <v>44931</v>
      </c>
      <c r="M91" s="7" t="s">
        <v>3790</v>
      </c>
      <c r="N91" s="7">
        <v>44750</v>
      </c>
      <c r="O91" s="7">
        <v>44945</v>
      </c>
      <c r="P91" s="48">
        <v>154</v>
      </c>
      <c r="Q91" s="48">
        <v>70</v>
      </c>
      <c r="R91" s="48">
        <v>14</v>
      </c>
      <c r="S91" s="48">
        <v>2500</v>
      </c>
      <c r="T91" s="5" t="s">
        <v>5548</v>
      </c>
    </row>
    <row r="92" spans="1:22">
      <c r="A92" s="5" t="s">
        <v>3693</v>
      </c>
      <c r="B92" s="32" t="s">
        <v>56</v>
      </c>
      <c r="C92" s="32" t="s">
        <v>3691</v>
      </c>
      <c r="D92" s="5" t="s">
        <v>4019</v>
      </c>
      <c r="E92" s="48">
        <v>9338</v>
      </c>
      <c r="G92" s="7" t="s">
        <v>3790</v>
      </c>
      <c r="H92" s="32" t="s">
        <v>3692</v>
      </c>
      <c r="J92" s="48">
        <v>9338</v>
      </c>
      <c r="K92" s="48">
        <v>0</v>
      </c>
      <c r="L92" s="7" t="s">
        <v>3790</v>
      </c>
      <c r="M92" s="7" t="s">
        <v>3790</v>
      </c>
      <c r="N92" s="7">
        <v>44274</v>
      </c>
      <c r="O92" s="7" t="s">
        <v>3790</v>
      </c>
      <c r="P92" s="48">
        <v>84</v>
      </c>
      <c r="Q92" s="48">
        <v>49</v>
      </c>
      <c r="R92" s="48">
        <v>14</v>
      </c>
      <c r="S92" s="48">
        <v>0</v>
      </c>
      <c r="T92" s="5" t="s">
        <v>5548</v>
      </c>
    </row>
    <row r="93" spans="1:22">
      <c r="A93" s="5" t="s">
        <v>3693</v>
      </c>
      <c r="B93" s="32" t="s">
        <v>60</v>
      </c>
      <c r="C93" s="32" t="s">
        <v>3700</v>
      </c>
      <c r="D93" s="5" t="s">
        <v>4023</v>
      </c>
      <c r="E93" s="48">
        <v>0</v>
      </c>
      <c r="G93" s="7">
        <v>44917</v>
      </c>
      <c r="J93" s="48">
        <v>0</v>
      </c>
      <c r="K93" s="48">
        <v>0</v>
      </c>
      <c r="L93" s="7" t="s">
        <v>3790</v>
      </c>
      <c r="M93" s="7" t="s">
        <v>3790</v>
      </c>
      <c r="N93" s="7">
        <v>44778</v>
      </c>
      <c r="O93" s="7">
        <v>44966</v>
      </c>
      <c r="P93" s="48">
        <v>84</v>
      </c>
      <c r="Q93" s="48">
        <v>49</v>
      </c>
      <c r="R93" s="48">
        <v>14</v>
      </c>
      <c r="S93" s="48">
        <v>5000</v>
      </c>
      <c r="T93" s="5" t="s">
        <v>5550</v>
      </c>
    </row>
    <row r="94" spans="1:22">
      <c r="A94" s="5" t="s">
        <v>3693</v>
      </c>
      <c r="B94" s="32" t="s">
        <v>61</v>
      </c>
      <c r="C94" s="32" t="s">
        <v>3699</v>
      </c>
      <c r="D94" s="5" t="s">
        <v>4023</v>
      </c>
      <c r="E94" s="48">
        <v>0</v>
      </c>
      <c r="G94" s="7">
        <v>44917</v>
      </c>
      <c r="J94" s="48">
        <v>0</v>
      </c>
      <c r="K94" s="48">
        <v>0</v>
      </c>
      <c r="L94" s="7" t="s">
        <v>3790</v>
      </c>
      <c r="M94" s="7" t="s">
        <v>3790</v>
      </c>
      <c r="N94" s="7">
        <v>44778</v>
      </c>
      <c r="O94" s="7">
        <v>44966</v>
      </c>
      <c r="P94" s="48">
        <v>84</v>
      </c>
      <c r="Q94" s="48">
        <v>49</v>
      </c>
      <c r="R94" s="48">
        <v>14</v>
      </c>
      <c r="S94" s="48">
        <v>50000</v>
      </c>
      <c r="T94" s="5" t="s">
        <v>5550</v>
      </c>
    </row>
    <row r="95" spans="1:22">
      <c r="A95" s="5" t="s">
        <v>3693</v>
      </c>
      <c r="B95" s="32" t="s">
        <v>64</v>
      </c>
      <c r="C95" s="32" t="s">
        <v>3694</v>
      </c>
      <c r="D95" s="5" t="s">
        <v>4023</v>
      </c>
      <c r="E95" s="48">
        <v>0</v>
      </c>
      <c r="G95" s="7">
        <v>44917</v>
      </c>
      <c r="J95" s="48">
        <v>0</v>
      </c>
      <c r="K95" s="48">
        <v>0</v>
      </c>
      <c r="L95" s="7" t="s">
        <v>3790</v>
      </c>
      <c r="M95" s="7" t="s">
        <v>3790</v>
      </c>
      <c r="N95" s="7">
        <v>44778</v>
      </c>
      <c r="O95" s="7">
        <v>44966</v>
      </c>
      <c r="P95" s="48">
        <v>84</v>
      </c>
      <c r="Q95" s="48">
        <v>49</v>
      </c>
      <c r="R95" s="48">
        <v>14</v>
      </c>
      <c r="S95" s="48">
        <v>40000</v>
      </c>
      <c r="T95" s="5" t="s">
        <v>5550</v>
      </c>
    </row>
    <row r="96" spans="1:22">
      <c r="A96" s="5" t="s">
        <v>3693</v>
      </c>
      <c r="B96" s="32" t="s">
        <v>64</v>
      </c>
      <c r="C96" s="32" t="s">
        <v>3694</v>
      </c>
      <c r="D96" s="5" t="s">
        <v>4021</v>
      </c>
      <c r="E96" s="48">
        <v>5734</v>
      </c>
      <c r="G96" s="7" t="s">
        <v>3790</v>
      </c>
      <c r="H96" s="32" t="s">
        <v>3692</v>
      </c>
      <c r="J96" s="48">
        <v>5734</v>
      </c>
      <c r="K96" s="48">
        <v>0</v>
      </c>
      <c r="L96" s="7" t="s">
        <v>3790</v>
      </c>
      <c r="M96" s="7" t="s">
        <v>3790</v>
      </c>
      <c r="N96" s="7">
        <v>44642</v>
      </c>
      <c r="O96" s="7" t="s">
        <v>3790</v>
      </c>
      <c r="P96" s="48">
        <v>84</v>
      </c>
      <c r="Q96" s="48">
        <v>49</v>
      </c>
      <c r="R96" s="48">
        <v>14</v>
      </c>
      <c r="S96" s="48">
        <v>0</v>
      </c>
      <c r="T96" s="5" t="s">
        <v>5548</v>
      </c>
    </row>
    <row r="97" spans="1:22">
      <c r="A97" s="5" t="s">
        <v>3693</v>
      </c>
      <c r="B97" s="32" t="s">
        <v>65</v>
      </c>
      <c r="C97" s="32" t="s">
        <v>3695</v>
      </c>
      <c r="D97" s="5" t="s">
        <v>4023</v>
      </c>
      <c r="E97" s="48">
        <v>0</v>
      </c>
      <c r="G97" s="7">
        <v>44917</v>
      </c>
      <c r="J97" s="48">
        <v>0</v>
      </c>
      <c r="K97" s="48">
        <v>0</v>
      </c>
      <c r="L97" s="7" t="s">
        <v>3790</v>
      </c>
      <c r="M97" s="7" t="s">
        <v>3790</v>
      </c>
      <c r="N97" s="7">
        <v>44778</v>
      </c>
      <c r="O97" s="7">
        <v>44966</v>
      </c>
      <c r="P97" s="48">
        <v>84</v>
      </c>
      <c r="Q97" s="48">
        <v>49</v>
      </c>
      <c r="R97" s="48">
        <v>14</v>
      </c>
      <c r="S97" s="48">
        <v>55000</v>
      </c>
      <c r="T97" s="5" t="s">
        <v>5550</v>
      </c>
    </row>
    <row r="98" spans="1:22">
      <c r="A98" s="5" t="s">
        <v>3693</v>
      </c>
      <c r="B98" s="32" t="s">
        <v>65</v>
      </c>
      <c r="C98" s="32" t="s">
        <v>3695</v>
      </c>
      <c r="D98" s="5" t="s">
        <v>4021</v>
      </c>
      <c r="E98" s="48">
        <v>27641</v>
      </c>
      <c r="G98" s="7" t="s">
        <v>3790</v>
      </c>
      <c r="H98" s="32" t="s">
        <v>3692</v>
      </c>
      <c r="J98" s="48">
        <v>27641</v>
      </c>
      <c r="K98" s="48">
        <v>0</v>
      </c>
      <c r="L98" s="7" t="s">
        <v>3790</v>
      </c>
      <c r="M98" s="7" t="s">
        <v>3790</v>
      </c>
      <c r="N98" s="7">
        <v>44642</v>
      </c>
      <c r="O98" s="7" t="s">
        <v>3790</v>
      </c>
      <c r="P98" s="48">
        <v>84</v>
      </c>
      <c r="Q98" s="48">
        <v>49</v>
      </c>
      <c r="R98" s="48">
        <v>14</v>
      </c>
      <c r="S98" s="48">
        <v>0</v>
      </c>
      <c r="T98" s="5" t="s">
        <v>5548</v>
      </c>
    </row>
    <row r="99" spans="1:22">
      <c r="A99" s="5" t="s">
        <v>3693</v>
      </c>
      <c r="B99" s="32" t="s">
        <v>74</v>
      </c>
      <c r="C99" s="32" t="s">
        <v>3697</v>
      </c>
      <c r="D99" s="5" t="s">
        <v>4032</v>
      </c>
      <c r="E99" s="48">
        <v>9179</v>
      </c>
      <c r="G99" s="7" t="s">
        <v>3790</v>
      </c>
      <c r="H99" s="32" t="s">
        <v>3692</v>
      </c>
      <c r="J99" s="48">
        <v>9179</v>
      </c>
      <c r="K99" s="48">
        <v>0</v>
      </c>
      <c r="L99" s="7" t="s">
        <v>3790</v>
      </c>
      <c r="M99" s="7" t="s">
        <v>3790</v>
      </c>
      <c r="N99" s="7">
        <v>44658</v>
      </c>
      <c r="O99" s="7" t="s">
        <v>3790</v>
      </c>
      <c r="P99" s="48">
        <v>84</v>
      </c>
      <c r="Q99" s="48">
        <v>49</v>
      </c>
      <c r="R99" s="48">
        <v>14</v>
      </c>
      <c r="S99" s="48">
        <v>0</v>
      </c>
      <c r="T99" s="5" t="s">
        <v>5548</v>
      </c>
    </row>
    <row r="100" spans="1:22">
      <c r="A100" s="5" t="s">
        <v>3693</v>
      </c>
      <c r="B100" s="32" t="s">
        <v>74</v>
      </c>
      <c r="C100" s="32" t="s">
        <v>3697</v>
      </c>
      <c r="D100" s="5" t="s">
        <v>4023</v>
      </c>
      <c r="E100" s="48">
        <v>24277</v>
      </c>
      <c r="G100" s="7" t="s">
        <v>3790</v>
      </c>
      <c r="H100" s="32" t="s">
        <v>3692</v>
      </c>
      <c r="J100" s="48">
        <v>24277</v>
      </c>
      <c r="K100" s="48">
        <v>0</v>
      </c>
      <c r="L100" s="7" t="s">
        <v>3790</v>
      </c>
      <c r="M100" s="7" t="s">
        <v>3790</v>
      </c>
      <c r="N100" s="7">
        <v>44778</v>
      </c>
      <c r="O100" s="7" t="s">
        <v>3790</v>
      </c>
      <c r="P100" s="48">
        <v>84</v>
      </c>
      <c r="Q100" s="48">
        <v>49</v>
      </c>
      <c r="R100" s="48">
        <v>14</v>
      </c>
      <c r="S100" s="48">
        <v>0</v>
      </c>
      <c r="T100" s="5" t="s">
        <v>5548</v>
      </c>
      <c r="V100" s="32" t="s">
        <v>7555</v>
      </c>
    </row>
    <row r="101" spans="1:22">
      <c r="A101" s="5" t="s">
        <v>3693</v>
      </c>
      <c r="B101" s="32" t="s">
        <v>75</v>
      </c>
      <c r="C101" s="32" t="s">
        <v>3698</v>
      </c>
      <c r="D101" s="5" t="s">
        <v>4032</v>
      </c>
      <c r="E101" s="48">
        <v>600</v>
      </c>
      <c r="G101" s="7" t="s">
        <v>3790</v>
      </c>
      <c r="H101" s="32" t="s">
        <v>3692</v>
      </c>
      <c r="J101" s="48">
        <v>600</v>
      </c>
      <c r="K101" s="48">
        <v>0</v>
      </c>
      <c r="L101" s="7" t="s">
        <v>3790</v>
      </c>
      <c r="M101" s="7" t="s">
        <v>3790</v>
      </c>
      <c r="N101" s="7">
        <v>44658</v>
      </c>
      <c r="O101" s="7" t="s">
        <v>3790</v>
      </c>
      <c r="P101" s="48">
        <v>84</v>
      </c>
      <c r="Q101" s="48">
        <v>49</v>
      </c>
      <c r="R101" s="48">
        <v>14</v>
      </c>
      <c r="S101" s="48">
        <v>0</v>
      </c>
      <c r="T101" s="5" t="s">
        <v>5548</v>
      </c>
    </row>
    <row r="102" spans="1:22">
      <c r="A102" s="5" t="s">
        <v>3693</v>
      </c>
      <c r="B102" s="32" t="s">
        <v>75</v>
      </c>
      <c r="C102" s="32" t="s">
        <v>3698</v>
      </c>
      <c r="D102" s="5" t="s">
        <v>4023</v>
      </c>
      <c r="E102" s="48">
        <v>8719</v>
      </c>
      <c r="G102" s="7" t="s">
        <v>3790</v>
      </c>
      <c r="H102" s="32" t="s">
        <v>3692</v>
      </c>
      <c r="J102" s="48">
        <v>8719</v>
      </c>
      <c r="K102" s="48">
        <v>0</v>
      </c>
      <c r="L102" s="7" t="s">
        <v>3790</v>
      </c>
      <c r="M102" s="7" t="s">
        <v>3790</v>
      </c>
      <c r="N102" s="7">
        <v>44778</v>
      </c>
      <c r="O102" s="7" t="s">
        <v>3790</v>
      </c>
      <c r="P102" s="48">
        <v>84</v>
      </c>
      <c r="Q102" s="48">
        <v>49</v>
      </c>
      <c r="R102" s="48">
        <v>14</v>
      </c>
      <c r="S102" s="48">
        <v>0</v>
      </c>
      <c r="T102" s="5" t="s">
        <v>5548</v>
      </c>
    </row>
    <row r="103" spans="1:22">
      <c r="A103" s="5" t="s">
        <v>3693</v>
      </c>
      <c r="B103" s="32" t="s">
        <v>2255</v>
      </c>
      <c r="C103" s="32" t="s">
        <v>3696</v>
      </c>
      <c r="D103" s="5" t="s">
        <v>4337</v>
      </c>
      <c r="E103" s="48">
        <v>3586</v>
      </c>
      <c r="G103" s="7" t="s">
        <v>3790</v>
      </c>
      <c r="H103" s="32" t="s">
        <v>3692</v>
      </c>
      <c r="J103" s="48">
        <v>3586</v>
      </c>
      <c r="K103" s="48">
        <v>0</v>
      </c>
      <c r="L103" s="7" t="s">
        <v>3790</v>
      </c>
      <c r="M103" s="7" t="s">
        <v>3790</v>
      </c>
      <c r="N103" s="7">
        <v>44700</v>
      </c>
      <c r="O103" s="7" t="s">
        <v>3790</v>
      </c>
      <c r="P103" s="48">
        <v>84</v>
      </c>
      <c r="Q103" s="48">
        <v>49</v>
      </c>
      <c r="R103" s="48">
        <v>14</v>
      </c>
      <c r="S103" s="48">
        <v>0</v>
      </c>
      <c r="T103" s="5" t="s">
        <v>5548</v>
      </c>
    </row>
    <row r="104" spans="1:22">
      <c r="A104" s="5" t="s">
        <v>3702</v>
      </c>
      <c r="B104" s="32" t="s">
        <v>1193</v>
      </c>
      <c r="C104" s="32" t="s">
        <v>1192</v>
      </c>
      <c r="D104" s="5" t="s">
        <v>4194</v>
      </c>
      <c r="E104" s="48">
        <v>3168</v>
      </c>
      <c r="G104" s="7">
        <v>44859</v>
      </c>
      <c r="H104" s="32" t="s">
        <v>3692</v>
      </c>
      <c r="J104" s="48">
        <v>3168</v>
      </c>
      <c r="K104" s="48">
        <v>0</v>
      </c>
      <c r="L104" s="7" t="s">
        <v>3790</v>
      </c>
      <c r="M104" s="7">
        <v>45141</v>
      </c>
      <c r="N104" s="7">
        <v>44788</v>
      </c>
      <c r="O104" s="7" t="s">
        <v>3790</v>
      </c>
      <c r="P104" s="48">
        <v>98</v>
      </c>
      <c r="Q104" s="48">
        <v>49</v>
      </c>
      <c r="R104" s="48">
        <v>14</v>
      </c>
      <c r="S104" s="48">
        <v>2200</v>
      </c>
      <c r="T104" s="5" t="s">
        <v>5548</v>
      </c>
      <c r="V104" s="32" t="s">
        <v>3701</v>
      </c>
    </row>
    <row r="105" spans="1:22">
      <c r="A105" s="5" t="s">
        <v>3702</v>
      </c>
      <c r="B105" s="32" t="s">
        <v>1586</v>
      </c>
      <c r="C105" s="32" t="s">
        <v>1587</v>
      </c>
      <c r="D105" s="5" t="s">
        <v>4236</v>
      </c>
      <c r="E105" s="48">
        <v>2090</v>
      </c>
      <c r="G105" s="7">
        <v>44830</v>
      </c>
      <c r="H105" s="32" t="s">
        <v>3692</v>
      </c>
      <c r="J105" s="48">
        <v>2090</v>
      </c>
      <c r="K105" s="48">
        <v>0</v>
      </c>
      <c r="L105" s="7" t="s">
        <v>3790</v>
      </c>
      <c r="M105" s="7">
        <v>45141</v>
      </c>
      <c r="N105" s="7">
        <v>44750</v>
      </c>
      <c r="O105" s="7" t="s">
        <v>3790</v>
      </c>
      <c r="P105" s="48">
        <v>98</v>
      </c>
      <c r="Q105" s="48">
        <v>49</v>
      </c>
      <c r="R105" s="48">
        <v>14</v>
      </c>
      <c r="S105" s="48">
        <v>2200</v>
      </c>
      <c r="T105" s="5" t="s">
        <v>5548</v>
      </c>
      <c r="V105" s="32" t="s">
        <v>3701</v>
      </c>
    </row>
    <row r="106" spans="1:22">
      <c r="A106" s="5" t="s">
        <v>3702</v>
      </c>
      <c r="B106" s="32" t="s">
        <v>1586</v>
      </c>
      <c r="C106" s="32" t="s">
        <v>1587</v>
      </c>
      <c r="D106" s="5" t="s">
        <v>7520</v>
      </c>
      <c r="E106" s="48">
        <v>0</v>
      </c>
      <c r="G106" s="7">
        <v>44952</v>
      </c>
      <c r="J106" s="48">
        <v>0</v>
      </c>
      <c r="K106" s="48">
        <v>0</v>
      </c>
      <c r="L106" s="7" t="s">
        <v>3790</v>
      </c>
      <c r="M106" s="7" t="s">
        <v>3790</v>
      </c>
      <c r="N106" s="7">
        <v>44909</v>
      </c>
      <c r="O106" s="7">
        <v>45001</v>
      </c>
      <c r="P106" s="48">
        <v>98</v>
      </c>
      <c r="Q106" s="48">
        <v>49</v>
      </c>
      <c r="R106" s="48">
        <v>14</v>
      </c>
      <c r="S106" s="48">
        <v>3300</v>
      </c>
      <c r="T106" s="5" t="s">
        <v>5549</v>
      </c>
      <c r="V106" s="32" t="s">
        <v>3701</v>
      </c>
    </row>
    <row r="107" spans="1:22">
      <c r="A107" s="5" t="s">
        <v>3702</v>
      </c>
      <c r="B107" s="32" t="s">
        <v>1588</v>
      </c>
      <c r="C107" s="32" t="s">
        <v>1587</v>
      </c>
      <c r="D107" s="5" t="s">
        <v>4236</v>
      </c>
      <c r="E107" s="48">
        <v>2235</v>
      </c>
      <c r="G107" s="7">
        <v>44830</v>
      </c>
      <c r="H107" s="32" t="s">
        <v>3692</v>
      </c>
      <c r="J107" s="48">
        <v>2235</v>
      </c>
      <c r="K107" s="48">
        <v>0</v>
      </c>
      <c r="L107" s="7" t="s">
        <v>3790</v>
      </c>
      <c r="M107" s="7">
        <v>45141</v>
      </c>
      <c r="N107" s="7">
        <v>44750</v>
      </c>
      <c r="O107" s="7" t="s">
        <v>3790</v>
      </c>
      <c r="P107" s="48">
        <v>98</v>
      </c>
      <c r="Q107" s="48">
        <v>49</v>
      </c>
      <c r="R107" s="48">
        <v>14</v>
      </c>
      <c r="S107" s="48">
        <v>2200</v>
      </c>
      <c r="T107" s="5" t="s">
        <v>5548</v>
      </c>
      <c r="V107" s="32" t="s">
        <v>3701</v>
      </c>
    </row>
    <row r="108" spans="1:22">
      <c r="A108" s="5" t="s">
        <v>3702</v>
      </c>
      <c r="B108" s="32" t="s">
        <v>1588</v>
      </c>
      <c r="C108" s="32" t="s">
        <v>1587</v>
      </c>
      <c r="D108" s="5" t="s">
        <v>7520</v>
      </c>
      <c r="E108" s="48">
        <v>0</v>
      </c>
      <c r="G108" s="7">
        <v>44952</v>
      </c>
      <c r="J108" s="48">
        <v>0</v>
      </c>
      <c r="K108" s="48">
        <v>0</v>
      </c>
      <c r="L108" s="7" t="s">
        <v>3790</v>
      </c>
      <c r="M108" s="7" t="s">
        <v>3790</v>
      </c>
      <c r="N108" s="7">
        <v>44909</v>
      </c>
      <c r="O108" s="7">
        <v>45001</v>
      </c>
      <c r="P108" s="48">
        <v>98</v>
      </c>
      <c r="Q108" s="48">
        <v>49</v>
      </c>
      <c r="R108" s="48">
        <v>14</v>
      </c>
      <c r="S108" s="48">
        <v>3300</v>
      </c>
      <c r="T108" s="5" t="s">
        <v>5549</v>
      </c>
      <c r="V108" s="32" t="s">
        <v>3701</v>
      </c>
    </row>
    <row r="109" spans="1:22">
      <c r="A109" s="5" t="s">
        <v>3702</v>
      </c>
      <c r="B109" s="32" t="s">
        <v>1596</v>
      </c>
      <c r="C109" s="32" t="s">
        <v>1595</v>
      </c>
      <c r="D109" s="5" t="s">
        <v>4239</v>
      </c>
      <c r="E109" s="48">
        <v>6380</v>
      </c>
      <c r="G109" s="7">
        <v>44830</v>
      </c>
      <c r="H109" s="32" t="s">
        <v>3692</v>
      </c>
      <c r="J109" s="48">
        <v>6380</v>
      </c>
      <c r="K109" s="48">
        <v>0</v>
      </c>
      <c r="L109" s="7" t="s">
        <v>3790</v>
      </c>
      <c r="M109" s="7">
        <v>45141</v>
      </c>
      <c r="N109" s="7">
        <v>44771</v>
      </c>
      <c r="O109" s="7" t="s">
        <v>3790</v>
      </c>
      <c r="P109" s="48">
        <v>98</v>
      </c>
      <c r="Q109" s="48">
        <v>49</v>
      </c>
      <c r="R109" s="48">
        <v>14</v>
      </c>
      <c r="S109" s="48">
        <v>6600</v>
      </c>
      <c r="T109" s="5" t="s">
        <v>5548</v>
      </c>
      <c r="V109" s="32" t="s">
        <v>3701</v>
      </c>
    </row>
    <row r="110" spans="1:22">
      <c r="A110" s="5" t="s">
        <v>3702</v>
      </c>
      <c r="B110" s="32" t="s">
        <v>1731</v>
      </c>
      <c r="C110" s="32" t="s">
        <v>1732</v>
      </c>
      <c r="D110" s="5" t="s">
        <v>5256</v>
      </c>
      <c r="E110" s="48">
        <v>0</v>
      </c>
      <c r="G110" s="7">
        <v>44895</v>
      </c>
      <c r="H110" s="32" t="s">
        <v>3692</v>
      </c>
      <c r="J110" s="48">
        <v>0</v>
      </c>
      <c r="K110" s="48">
        <v>4039</v>
      </c>
      <c r="L110" s="7">
        <v>44950</v>
      </c>
      <c r="M110" s="7" t="s">
        <v>3790</v>
      </c>
      <c r="N110" s="7">
        <v>44825</v>
      </c>
      <c r="O110" s="7">
        <v>44964</v>
      </c>
      <c r="P110" s="48">
        <v>98</v>
      </c>
      <c r="Q110" s="48">
        <v>49</v>
      </c>
      <c r="R110" s="48">
        <v>14</v>
      </c>
      <c r="S110" s="48">
        <v>3300</v>
      </c>
      <c r="T110" s="5" t="s">
        <v>5548</v>
      </c>
      <c r="V110" s="32" t="s">
        <v>7588</v>
      </c>
    </row>
    <row r="111" spans="1:22">
      <c r="A111" s="5" t="s">
        <v>3702</v>
      </c>
      <c r="B111" s="32" t="s">
        <v>1733</v>
      </c>
      <c r="C111" s="32" t="s">
        <v>1732</v>
      </c>
      <c r="D111" s="5" t="s">
        <v>4259</v>
      </c>
      <c r="E111" s="48">
        <v>1610</v>
      </c>
      <c r="G111" s="7">
        <v>44818</v>
      </c>
      <c r="H111" s="32" t="s">
        <v>3692</v>
      </c>
      <c r="J111" s="48">
        <v>1610</v>
      </c>
      <c r="K111" s="48">
        <v>0</v>
      </c>
      <c r="L111" s="7" t="s">
        <v>3790</v>
      </c>
      <c r="M111" s="7">
        <v>44993</v>
      </c>
      <c r="N111" s="7">
        <v>44736</v>
      </c>
      <c r="O111" s="7" t="s">
        <v>3790</v>
      </c>
      <c r="P111" s="48">
        <v>98</v>
      </c>
      <c r="Q111" s="48">
        <v>49</v>
      </c>
      <c r="R111" s="48">
        <v>14</v>
      </c>
      <c r="S111" s="48">
        <v>2200</v>
      </c>
      <c r="T111" s="5" t="s">
        <v>5548</v>
      </c>
    </row>
    <row r="112" spans="1:22">
      <c r="A112" s="5" t="s">
        <v>3702</v>
      </c>
      <c r="B112" s="32" t="s">
        <v>1844</v>
      </c>
      <c r="C112" s="32" t="s">
        <v>1843</v>
      </c>
      <c r="D112" s="5" t="s">
        <v>4196</v>
      </c>
      <c r="E112" s="48">
        <v>2136</v>
      </c>
      <c r="G112" s="7">
        <v>44803</v>
      </c>
      <c r="H112" s="32" t="s">
        <v>3692</v>
      </c>
      <c r="J112" s="48">
        <v>2136</v>
      </c>
      <c r="K112" s="48">
        <v>0</v>
      </c>
      <c r="L112" s="7" t="s">
        <v>3790</v>
      </c>
      <c r="M112" s="7">
        <v>44939</v>
      </c>
      <c r="N112" s="7">
        <v>44718</v>
      </c>
      <c r="O112" s="7" t="s">
        <v>3790</v>
      </c>
      <c r="P112" s="48">
        <v>98</v>
      </c>
      <c r="Q112" s="48">
        <v>49</v>
      </c>
      <c r="R112" s="48">
        <v>14</v>
      </c>
      <c r="S112" s="48">
        <v>4400</v>
      </c>
      <c r="T112" s="5" t="s">
        <v>5548</v>
      </c>
      <c r="V112" s="32" t="s">
        <v>5569</v>
      </c>
    </row>
    <row r="113" spans="1:22">
      <c r="A113" s="5" t="s">
        <v>3702</v>
      </c>
      <c r="B113" s="32" t="s">
        <v>1844</v>
      </c>
      <c r="C113" s="32" t="s">
        <v>1843</v>
      </c>
      <c r="D113" s="5" t="s">
        <v>4239</v>
      </c>
      <c r="E113" s="48">
        <v>3589</v>
      </c>
      <c r="G113" s="7">
        <v>44846</v>
      </c>
      <c r="H113" s="32" t="s">
        <v>3692</v>
      </c>
      <c r="J113" s="48">
        <v>3589</v>
      </c>
      <c r="K113" s="48">
        <v>0</v>
      </c>
      <c r="L113" s="7" t="s">
        <v>3790</v>
      </c>
      <c r="M113" s="7">
        <v>45141</v>
      </c>
      <c r="N113" s="7">
        <v>44771</v>
      </c>
      <c r="O113" s="7" t="s">
        <v>3790</v>
      </c>
      <c r="P113" s="48">
        <v>98</v>
      </c>
      <c r="Q113" s="48">
        <v>49</v>
      </c>
      <c r="R113" s="48">
        <v>14</v>
      </c>
      <c r="S113" s="48">
        <v>3300</v>
      </c>
      <c r="T113" s="5" t="s">
        <v>5548</v>
      </c>
      <c r="V113" s="32" t="s">
        <v>3701</v>
      </c>
    </row>
    <row r="114" spans="1:22">
      <c r="A114" s="5" t="s">
        <v>3702</v>
      </c>
      <c r="B114" s="32" t="s">
        <v>2016</v>
      </c>
      <c r="C114" s="32" t="s">
        <v>2015</v>
      </c>
      <c r="D114" s="5" t="s">
        <v>4196</v>
      </c>
      <c r="E114" s="48">
        <v>1440</v>
      </c>
      <c r="G114" s="7">
        <v>44792</v>
      </c>
      <c r="H114" s="32" t="s">
        <v>3692</v>
      </c>
      <c r="J114" s="48">
        <v>1440</v>
      </c>
      <c r="K114" s="48">
        <v>0</v>
      </c>
      <c r="L114" s="7" t="s">
        <v>3790</v>
      </c>
      <c r="M114" s="7">
        <v>44939</v>
      </c>
      <c r="N114" s="7">
        <v>44718</v>
      </c>
      <c r="O114" s="7" t="s">
        <v>3790</v>
      </c>
      <c r="P114" s="48">
        <v>98</v>
      </c>
      <c r="Q114" s="48">
        <v>49</v>
      </c>
      <c r="R114" s="48">
        <v>14</v>
      </c>
      <c r="S114" s="48">
        <v>2200</v>
      </c>
      <c r="T114" s="5" t="s">
        <v>5548</v>
      </c>
      <c r="V114" s="32" t="s">
        <v>3701</v>
      </c>
    </row>
    <row r="115" spans="1:22">
      <c r="A115" s="5" t="s">
        <v>3702</v>
      </c>
      <c r="B115" s="32" t="s">
        <v>2016</v>
      </c>
      <c r="C115" s="32" t="s">
        <v>2015</v>
      </c>
      <c r="D115" s="5" t="s">
        <v>4259</v>
      </c>
      <c r="E115" s="48">
        <v>2273</v>
      </c>
      <c r="G115" s="7">
        <v>44806</v>
      </c>
      <c r="H115" s="32" t="s">
        <v>3692</v>
      </c>
      <c r="J115" s="48">
        <v>2273</v>
      </c>
      <c r="K115" s="48">
        <v>0</v>
      </c>
      <c r="L115" s="7" t="s">
        <v>3790</v>
      </c>
      <c r="M115" s="7">
        <v>45141</v>
      </c>
      <c r="N115" s="7">
        <v>44736</v>
      </c>
      <c r="O115" s="7" t="s">
        <v>3790</v>
      </c>
      <c r="P115" s="48">
        <v>98</v>
      </c>
      <c r="Q115" s="48">
        <v>49</v>
      </c>
      <c r="R115" s="48">
        <v>14</v>
      </c>
      <c r="S115" s="48">
        <v>2200</v>
      </c>
      <c r="T115" s="5" t="s">
        <v>5548</v>
      </c>
      <c r="V115" s="32" t="s">
        <v>3701</v>
      </c>
    </row>
    <row r="116" spans="1:22">
      <c r="A116" s="5" t="s">
        <v>3702</v>
      </c>
      <c r="B116" s="32" t="s">
        <v>2318</v>
      </c>
      <c r="C116" s="32" t="s">
        <v>3703</v>
      </c>
      <c r="D116" s="5" t="s">
        <v>4196</v>
      </c>
      <c r="E116" s="48">
        <v>1759</v>
      </c>
      <c r="G116" s="7">
        <v>44848</v>
      </c>
      <c r="H116" s="32" t="s">
        <v>3692</v>
      </c>
      <c r="J116" s="48">
        <v>1759</v>
      </c>
      <c r="K116" s="48">
        <v>0</v>
      </c>
      <c r="L116" s="7" t="s">
        <v>3790</v>
      </c>
      <c r="M116" s="7">
        <v>45141</v>
      </c>
      <c r="N116" s="7">
        <v>44718</v>
      </c>
      <c r="O116" s="7" t="s">
        <v>3790</v>
      </c>
      <c r="P116" s="48">
        <v>98</v>
      </c>
      <c r="Q116" s="48">
        <v>49</v>
      </c>
      <c r="R116" s="48">
        <v>14</v>
      </c>
      <c r="S116" s="48">
        <v>2200</v>
      </c>
      <c r="T116" s="5" t="s">
        <v>5548</v>
      </c>
      <c r="V116" s="32" t="s">
        <v>3701</v>
      </c>
    </row>
    <row r="117" spans="1:22">
      <c r="A117" s="5" t="s">
        <v>3702</v>
      </c>
      <c r="B117" s="32" t="s">
        <v>3141</v>
      </c>
      <c r="C117" s="32" t="s">
        <v>3142</v>
      </c>
      <c r="D117" s="5" t="s">
        <v>4437</v>
      </c>
      <c r="E117" s="48">
        <v>0</v>
      </c>
      <c r="G117" s="7">
        <v>44946</v>
      </c>
      <c r="J117" s="48">
        <v>0</v>
      </c>
      <c r="K117" s="48">
        <v>0</v>
      </c>
      <c r="L117" s="7" t="s">
        <v>3790</v>
      </c>
      <c r="M117" s="7" t="s">
        <v>3790</v>
      </c>
      <c r="N117" s="7">
        <v>44805</v>
      </c>
      <c r="O117" s="7">
        <v>44995</v>
      </c>
      <c r="P117" s="48">
        <v>98</v>
      </c>
      <c r="Q117" s="48">
        <v>49</v>
      </c>
      <c r="R117" s="48">
        <v>14</v>
      </c>
      <c r="S117" s="48">
        <v>800</v>
      </c>
      <c r="T117" s="5" t="s">
        <v>5549</v>
      </c>
      <c r="V117" s="32" t="s">
        <v>6066</v>
      </c>
    </row>
    <row r="118" spans="1:22">
      <c r="A118" s="5" t="s">
        <v>3702</v>
      </c>
      <c r="B118" s="32" t="s">
        <v>3141</v>
      </c>
      <c r="C118" s="32" t="s">
        <v>3142</v>
      </c>
      <c r="D118" s="5" t="s">
        <v>7601</v>
      </c>
      <c r="E118" s="48">
        <v>0</v>
      </c>
      <c r="G118" s="7" t="s">
        <v>3790</v>
      </c>
      <c r="J118" s="48">
        <v>0</v>
      </c>
      <c r="K118" s="48">
        <v>0</v>
      </c>
      <c r="L118" s="7" t="s">
        <v>3790</v>
      </c>
      <c r="M118" s="7" t="s">
        <v>3790</v>
      </c>
      <c r="N118" s="7">
        <v>44915</v>
      </c>
      <c r="O118" s="7">
        <v>45013</v>
      </c>
      <c r="P118" s="48">
        <v>98</v>
      </c>
      <c r="Q118" s="48">
        <v>49</v>
      </c>
      <c r="R118" s="48">
        <v>14</v>
      </c>
      <c r="S118" s="48">
        <v>1650</v>
      </c>
      <c r="T118" s="5" t="s">
        <v>5549</v>
      </c>
    </row>
    <row r="119" spans="1:22">
      <c r="A119" s="5" t="s">
        <v>3702</v>
      </c>
      <c r="B119" s="32" t="s">
        <v>3143</v>
      </c>
      <c r="C119" s="32" t="s">
        <v>3142</v>
      </c>
      <c r="D119" s="5" t="s">
        <v>4437</v>
      </c>
      <c r="E119" s="48">
        <v>0</v>
      </c>
      <c r="G119" s="7">
        <v>44946</v>
      </c>
      <c r="J119" s="48">
        <v>0</v>
      </c>
      <c r="K119" s="48">
        <v>0</v>
      </c>
      <c r="L119" s="7" t="s">
        <v>3790</v>
      </c>
      <c r="M119" s="7" t="s">
        <v>3790</v>
      </c>
      <c r="N119" s="7">
        <v>44805</v>
      </c>
      <c r="O119" s="7">
        <v>44995</v>
      </c>
      <c r="P119" s="48">
        <v>98</v>
      </c>
      <c r="Q119" s="48">
        <v>49</v>
      </c>
      <c r="R119" s="48">
        <v>14</v>
      </c>
      <c r="S119" s="48">
        <v>1400</v>
      </c>
      <c r="T119" s="5" t="s">
        <v>5549</v>
      </c>
      <c r="V119" s="32" t="s">
        <v>6066</v>
      </c>
    </row>
    <row r="120" spans="1:22">
      <c r="A120" s="5" t="s">
        <v>3702</v>
      </c>
      <c r="B120" s="32" t="s">
        <v>3143</v>
      </c>
      <c r="C120" s="32" t="s">
        <v>3142</v>
      </c>
      <c r="D120" s="5" t="s">
        <v>7601</v>
      </c>
      <c r="E120" s="48">
        <v>0</v>
      </c>
      <c r="G120" s="7" t="s">
        <v>3790</v>
      </c>
      <c r="J120" s="48">
        <v>0</v>
      </c>
      <c r="K120" s="48">
        <v>0</v>
      </c>
      <c r="L120" s="7" t="s">
        <v>3790</v>
      </c>
      <c r="M120" s="7" t="s">
        <v>3790</v>
      </c>
      <c r="N120" s="7">
        <v>44915</v>
      </c>
      <c r="O120" s="7">
        <v>45013</v>
      </c>
      <c r="P120" s="48">
        <v>98</v>
      </c>
      <c r="Q120" s="48">
        <v>49</v>
      </c>
      <c r="R120" s="48">
        <v>14</v>
      </c>
      <c r="S120" s="48">
        <v>1650</v>
      </c>
      <c r="T120" s="5" t="s">
        <v>5549</v>
      </c>
    </row>
    <row r="121" spans="1:22">
      <c r="A121" s="5" t="s">
        <v>893</v>
      </c>
      <c r="B121" s="32" t="s">
        <v>301</v>
      </c>
      <c r="C121" s="32" t="s">
        <v>302</v>
      </c>
      <c r="D121" s="5" t="s">
        <v>4063</v>
      </c>
      <c r="E121" s="48">
        <v>3075</v>
      </c>
      <c r="G121" s="7">
        <v>44840</v>
      </c>
      <c r="H121" s="32" t="s">
        <v>3658</v>
      </c>
      <c r="J121" s="48">
        <v>3075</v>
      </c>
      <c r="K121" s="48">
        <v>0</v>
      </c>
      <c r="L121" s="7" t="s">
        <v>3790</v>
      </c>
      <c r="M121" s="7">
        <v>45019</v>
      </c>
      <c r="N121" s="7">
        <v>44750</v>
      </c>
      <c r="O121" s="7" t="s">
        <v>3790</v>
      </c>
      <c r="P121" s="48">
        <v>140</v>
      </c>
      <c r="Q121" s="48">
        <v>14</v>
      </c>
      <c r="R121" s="48">
        <v>14</v>
      </c>
      <c r="S121" s="48">
        <v>3000</v>
      </c>
      <c r="T121" s="5" t="s">
        <v>5548</v>
      </c>
      <c r="V121" s="32" t="s">
        <v>3705</v>
      </c>
    </row>
    <row r="122" spans="1:22">
      <c r="A122" s="5" t="s">
        <v>893</v>
      </c>
      <c r="B122" s="32" t="s">
        <v>301</v>
      </c>
      <c r="C122" s="32" t="s">
        <v>302</v>
      </c>
      <c r="D122" s="5" t="s">
        <v>5862</v>
      </c>
      <c r="E122" s="48">
        <v>0</v>
      </c>
      <c r="G122" s="7">
        <v>44973</v>
      </c>
      <c r="J122" s="48">
        <v>0</v>
      </c>
      <c r="K122" s="48">
        <v>0</v>
      </c>
      <c r="L122" s="7" t="s">
        <v>3790</v>
      </c>
      <c r="M122" s="7" t="s">
        <v>3790</v>
      </c>
      <c r="N122" s="7">
        <v>44854</v>
      </c>
      <c r="O122" s="7">
        <v>44987</v>
      </c>
      <c r="P122" s="48">
        <v>140</v>
      </c>
      <c r="Q122" s="48">
        <v>14</v>
      </c>
      <c r="R122" s="48">
        <v>14</v>
      </c>
      <c r="S122" s="48">
        <v>2000</v>
      </c>
      <c r="T122" s="5" t="s">
        <v>5549</v>
      </c>
      <c r="V122" s="32" t="s">
        <v>5861</v>
      </c>
    </row>
    <row r="123" spans="1:22">
      <c r="A123" s="5" t="s">
        <v>893</v>
      </c>
      <c r="B123" s="32" t="s">
        <v>303</v>
      </c>
      <c r="C123" s="32" t="s">
        <v>302</v>
      </c>
      <c r="D123" s="5" t="s">
        <v>4063</v>
      </c>
      <c r="E123" s="48">
        <v>1311</v>
      </c>
      <c r="G123" s="7">
        <v>44840</v>
      </c>
      <c r="H123" s="32" t="s">
        <v>3658</v>
      </c>
      <c r="J123" s="48">
        <v>1311</v>
      </c>
      <c r="K123" s="48">
        <v>0</v>
      </c>
      <c r="L123" s="7" t="s">
        <v>3790</v>
      </c>
      <c r="M123" s="7">
        <v>45019</v>
      </c>
      <c r="N123" s="7">
        <v>44750</v>
      </c>
      <c r="O123" s="7" t="s">
        <v>3790</v>
      </c>
      <c r="P123" s="48">
        <v>140</v>
      </c>
      <c r="Q123" s="48">
        <v>14</v>
      </c>
      <c r="R123" s="48">
        <v>14</v>
      </c>
      <c r="S123" s="48">
        <v>2000</v>
      </c>
      <c r="T123" s="5" t="s">
        <v>5548</v>
      </c>
      <c r="V123" s="32" t="s">
        <v>5500</v>
      </c>
    </row>
    <row r="124" spans="1:22">
      <c r="A124" s="5" t="s">
        <v>893</v>
      </c>
      <c r="B124" s="32" t="s">
        <v>303</v>
      </c>
      <c r="C124" s="32" t="s">
        <v>302</v>
      </c>
      <c r="D124" s="5" t="s">
        <v>5862</v>
      </c>
      <c r="E124" s="48">
        <v>0</v>
      </c>
      <c r="G124" s="7">
        <v>44973</v>
      </c>
      <c r="J124" s="48">
        <v>0</v>
      </c>
      <c r="K124" s="48">
        <v>0</v>
      </c>
      <c r="L124" s="7" t="s">
        <v>3790</v>
      </c>
      <c r="M124" s="7" t="s">
        <v>3790</v>
      </c>
      <c r="N124" s="7">
        <v>44854</v>
      </c>
      <c r="O124" s="7">
        <v>44987</v>
      </c>
      <c r="P124" s="48">
        <v>140</v>
      </c>
      <c r="Q124" s="48">
        <v>14</v>
      </c>
      <c r="R124" s="48">
        <v>14</v>
      </c>
      <c r="S124" s="48">
        <v>3000</v>
      </c>
      <c r="T124" s="5" t="s">
        <v>5549</v>
      </c>
      <c r="V124" s="32" t="s">
        <v>5864</v>
      </c>
    </row>
    <row r="125" spans="1:22">
      <c r="A125" s="5" t="s">
        <v>893</v>
      </c>
      <c r="B125" s="32" t="s">
        <v>304</v>
      </c>
      <c r="C125" s="32" t="s">
        <v>305</v>
      </c>
      <c r="D125" s="5" t="s">
        <v>4066</v>
      </c>
      <c r="E125" s="48">
        <v>372</v>
      </c>
      <c r="G125" s="7">
        <v>43067</v>
      </c>
      <c r="H125" s="32" t="s">
        <v>3658</v>
      </c>
      <c r="I125" s="48">
        <v>372</v>
      </c>
      <c r="J125" s="48">
        <v>0</v>
      </c>
      <c r="K125" s="48">
        <v>0</v>
      </c>
      <c r="L125" s="7" t="s">
        <v>3790</v>
      </c>
      <c r="M125" s="7">
        <v>2958465</v>
      </c>
      <c r="N125" s="7" t="s">
        <v>4068</v>
      </c>
      <c r="O125" s="7" t="s">
        <v>3790</v>
      </c>
      <c r="P125" s="48">
        <v>140</v>
      </c>
      <c r="Q125" s="48">
        <v>14</v>
      </c>
      <c r="R125" s="48">
        <v>14</v>
      </c>
      <c r="S125" s="48">
        <v>1500</v>
      </c>
      <c r="T125" s="5" t="s">
        <v>5548</v>
      </c>
      <c r="V125" s="32" t="s">
        <v>3706</v>
      </c>
    </row>
    <row r="126" spans="1:22">
      <c r="A126" s="5" t="s">
        <v>893</v>
      </c>
      <c r="B126" s="32" t="s">
        <v>308</v>
      </c>
      <c r="C126" s="32" t="s">
        <v>309</v>
      </c>
      <c r="D126" s="5" t="s">
        <v>4071</v>
      </c>
      <c r="E126" s="48">
        <v>4166</v>
      </c>
      <c r="G126" s="7">
        <v>44763</v>
      </c>
      <c r="H126" s="32" t="s">
        <v>3658</v>
      </c>
      <c r="J126" s="48">
        <v>4166</v>
      </c>
      <c r="K126" s="48">
        <v>0</v>
      </c>
      <c r="L126" s="7" t="s">
        <v>3790</v>
      </c>
      <c r="M126" s="7">
        <v>44944</v>
      </c>
      <c r="N126" s="7">
        <v>44713</v>
      </c>
      <c r="O126" s="7" t="s">
        <v>3790</v>
      </c>
      <c r="P126" s="48">
        <v>140</v>
      </c>
      <c r="Q126" s="48">
        <v>14</v>
      </c>
      <c r="R126" s="48">
        <v>14</v>
      </c>
      <c r="S126" s="48">
        <v>8000</v>
      </c>
      <c r="T126" s="5" t="s">
        <v>5548</v>
      </c>
      <c r="V126" s="32" t="s">
        <v>3707</v>
      </c>
    </row>
    <row r="127" spans="1:22">
      <c r="A127" s="5" t="s">
        <v>893</v>
      </c>
      <c r="B127" s="32" t="s">
        <v>308</v>
      </c>
      <c r="C127" s="32" t="s">
        <v>309</v>
      </c>
      <c r="D127" s="5" t="s">
        <v>4069</v>
      </c>
      <c r="E127" s="48">
        <v>0</v>
      </c>
      <c r="G127" s="7">
        <v>44973</v>
      </c>
      <c r="J127" s="48">
        <v>0</v>
      </c>
      <c r="K127" s="48">
        <v>0</v>
      </c>
      <c r="L127" s="7" t="s">
        <v>3790</v>
      </c>
      <c r="M127" s="7" t="s">
        <v>3790</v>
      </c>
      <c r="N127" s="7">
        <v>44795</v>
      </c>
      <c r="O127" s="7">
        <v>44987</v>
      </c>
      <c r="P127" s="48">
        <v>140</v>
      </c>
      <c r="Q127" s="48">
        <v>14</v>
      </c>
      <c r="R127" s="48">
        <v>14</v>
      </c>
      <c r="S127" s="48">
        <v>7500</v>
      </c>
      <c r="T127" s="5" t="s">
        <v>5549</v>
      </c>
      <c r="V127" s="32" t="s">
        <v>3709</v>
      </c>
    </row>
    <row r="128" spans="1:22">
      <c r="A128" s="5" t="s">
        <v>893</v>
      </c>
      <c r="B128" s="32" t="s">
        <v>310</v>
      </c>
      <c r="C128" s="32" t="s">
        <v>309</v>
      </c>
      <c r="D128" s="5" t="s">
        <v>4071</v>
      </c>
      <c r="E128" s="48">
        <v>1971</v>
      </c>
      <c r="G128" s="7">
        <v>44763</v>
      </c>
      <c r="H128" s="32" t="s">
        <v>3658</v>
      </c>
      <c r="J128" s="48">
        <v>1971</v>
      </c>
      <c r="K128" s="48">
        <v>0</v>
      </c>
      <c r="L128" s="7" t="s">
        <v>3790</v>
      </c>
      <c r="M128" s="7">
        <v>44944</v>
      </c>
      <c r="N128" s="7">
        <v>44713</v>
      </c>
      <c r="O128" s="7" t="s">
        <v>3790</v>
      </c>
      <c r="P128" s="48">
        <v>140</v>
      </c>
      <c r="Q128" s="48">
        <v>14</v>
      </c>
      <c r="R128" s="48">
        <v>14</v>
      </c>
      <c r="S128" s="48">
        <v>2000</v>
      </c>
      <c r="T128" s="5" t="s">
        <v>5548</v>
      </c>
      <c r="V128" s="32" t="s">
        <v>3708</v>
      </c>
    </row>
    <row r="129" spans="1:22">
      <c r="A129" s="5" t="s">
        <v>893</v>
      </c>
      <c r="B129" s="32" t="s">
        <v>310</v>
      </c>
      <c r="C129" s="32" t="s">
        <v>309</v>
      </c>
      <c r="D129" s="5" t="s">
        <v>4069</v>
      </c>
      <c r="E129" s="48">
        <v>0</v>
      </c>
      <c r="G129" s="7">
        <v>44973</v>
      </c>
      <c r="J129" s="48">
        <v>0</v>
      </c>
      <c r="K129" s="48">
        <v>0</v>
      </c>
      <c r="L129" s="7" t="s">
        <v>3790</v>
      </c>
      <c r="M129" s="7" t="s">
        <v>3790</v>
      </c>
      <c r="N129" s="7">
        <v>44795</v>
      </c>
      <c r="O129" s="7">
        <v>44987</v>
      </c>
      <c r="P129" s="48">
        <v>140</v>
      </c>
      <c r="Q129" s="48">
        <v>14</v>
      </c>
      <c r="R129" s="48">
        <v>14</v>
      </c>
      <c r="S129" s="48">
        <v>2500</v>
      </c>
      <c r="T129" s="5" t="s">
        <v>5549</v>
      </c>
      <c r="V129" s="32" t="s">
        <v>3710</v>
      </c>
    </row>
    <row r="130" spans="1:22">
      <c r="A130" s="5" t="s">
        <v>893</v>
      </c>
      <c r="B130" s="32" t="s">
        <v>332</v>
      </c>
      <c r="C130" s="32" t="s">
        <v>331</v>
      </c>
      <c r="D130" s="5" t="s">
        <v>5968</v>
      </c>
      <c r="E130" s="48">
        <v>584</v>
      </c>
      <c r="G130" s="7">
        <v>44872</v>
      </c>
      <c r="H130" s="32" t="s">
        <v>3658</v>
      </c>
      <c r="J130" s="48">
        <v>584</v>
      </c>
      <c r="K130" s="48">
        <v>0</v>
      </c>
      <c r="L130" s="7" t="s">
        <v>3790</v>
      </c>
      <c r="M130" s="7">
        <v>45052</v>
      </c>
      <c r="N130" s="7">
        <v>44869</v>
      </c>
      <c r="O130" s="7" t="s">
        <v>3790</v>
      </c>
      <c r="P130" s="48">
        <v>140</v>
      </c>
      <c r="Q130" s="48">
        <v>14</v>
      </c>
      <c r="R130" s="48">
        <v>14</v>
      </c>
      <c r="S130" s="48">
        <v>500</v>
      </c>
      <c r="T130" s="5" t="s">
        <v>5548</v>
      </c>
      <c r="V130" s="32" t="s">
        <v>5967</v>
      </c>
    </row>
    <row r="131" spans="1:22">
      <c r="A131" s="5" t="s">
        <v>893</v>
      </c>
      <c r="B131" s="32" t="s">
        <v>344</v>
      </c>
      <c r="C131" s="32" t="s">
        <v>345</v>
      </c>
      <c r="D131" s="5" t="s">
        <v>4078</v>
      </c>
      <c r="E131" s="48">
        <v>769</v>
      </c>
      <c r="G131" s="7">
        <v>44791</v>
      </c>
      <c r="H131" s="32" t="s">
        <v>3658</v>
      </c>
      <c r="J131" s="48">
        <v>769</v>
      </c>
      <c r="K131" s="48">
        <v>0</v>
      </c>
      <c r="L131" s="7" t="s">
        <v>3790</v>
      </c>
      <c r="M131" s="7">
        <v>44975</v>
      </c>
      <c r="N131" s="7">
        <v>44664</v>
      </c>
      <c r="O131" s="7" t="s">
        <v>3790</v>
      </c>
      <c r="P131" s="48">
        <v>140</v>
      </c>
      <c r="Q131" s="48">
        <v>14</v>
      </c>
      <c r="R131" s="48">
        <v>14</v>
      </c>
      <c r="S131" s="48">
        <v>2000</v>
      </c>
      <c r="T131" s="5" t="s">
        <v>5548</v>
      </c>
      <c r="V131" s="32" t="s">
        <v>3711</v>
      </c>
    </row>
    <row r="132" spans="1:22">
      <c r="A132" s="5" t="s">
        <v>893</v>
      </c>
      <c r="B132" s="32" t="s">
        <v>344</v>
      </c>
      <c r="C132" s="32" t="s">
        <v>345</v>
      </c>
      <c r="D132" s="5" t="s">
        <v>4076</v>
      </c>
      <c r="E132" s="48">
        <v>0</v>
      </c>
      <c r="G132" s="7">
        <v>45064</v>
      </c>
      <c r="J132" s="48">
        <v>0</v>
      </c>
      <c r="K132" s="48">
        <v>0</v>
      </c>
      <c r="L132" s="7" t="s">
        <v>3790</v>
      </c>
      <c r="M132" s="7" t="s">
        <v>3790</v>
      </c>
      <c r="N132" s="7">
        <v>44795</v>
      </c>
      <c r="O132" s="7">
        <v>45078</v>
      </c>
      <c r="P132" s="48">
        <v>140</v>
      </c>
      <c r="Q132" s="48">
        <v>14</v>
      </c>
      <c r="R132" s="48">
        <v>14</v>
      </c>
      <c r="S132" s="48">
        <v>1500</v>
      </c>
      <c r="T132" s="5" t="s">
        <v>5549</v>
      </c>
      <c r="V132" s="32" t="s">
        <v>3714</v>
      </c>
    </row>
    <row r="133" spans="1:22">
      <c r="A133" s="5" t="s">
        <v>893</v>
      </c>
      <c r="B133" s="32" t="s">
        <v>346</v>
      </c>
      <c r="C133" s="32" t="s">
        <v>345</v>
      </c>
      <c r="D133" s="5" t="s">
        <v>4078</v>
      </c>
      <c r="E133" s="48">
        <v>2866</v>
      </c>
      <c r="G133" s="7">
        <v>44791</v>
      </c>
      <c r="H133" s="32" t="s">
        <v>3658</v>
      </c>
      <c r="J133" s="48">
        <v>2866</v>
      </c>
      <c r="K133" s="48">
        <v>0</v>
      </c>
      <c r="L133" s="7" t="s">
        <v>3790</v>
      </c>
      <c r="M133" s="7">
        <v>44975</v>
      </c>
      <c r="N133" s="7">
        <v>44664</v>
      </c>
      <c r="O133" s="7" t="s">
        <v>3790</v>
      </c>
      <c r="P133" s="48">
        <v>140</v>
      </c>
      <c r="Q133" s="48">
        <v>14</v>
      </c>
      <c r="R133" s="48">
        <v>14</v>
      </c>
      <c r="S133" s="48">
        <v>4500</v>
      </c>
      <c r="T133" s="5" t="s">
        <v>5548</v>
      </c>
      <c r="V133" s="32" t="s">
        <v>3712</v>
      </c>
    </row>
    <row r="134" spans="1:22">
      <c r="A134" s="5" t="s">
        <v>893</v>
      </c>
      <c r="B134" s="32" t="s">
        <v>346</v>
      </c>
      <c r="C134" s="32" t="s">
        <v>345</v>
      </c>
      <c r="D134" s="5" t="s">
        <v>4076</v>
      </c>
      <c r="E134" s="48">
        <v>0</v>
      </c>
      <c r="G134" s="7">
        <v>45064</v>
      </c>
      <c r="J134" s="48">
        <v>0</v>
      </c>
      <c r="K134" s="48">
        <v>0</v>
      </c>
      <c r="L134" s="7" t="s">
        <v>3790</v>
      </c>
      <c r="M134" s="7" t="s">
        <v>3790</v>
      </c>
      <c r="N134" s="7">
        <v>44795</v>
      </c>
      <c r="O134" s="7">
        <v>45078</v>
      </c>
      <c r="P134" s="48">
        <v>140</v>
      </c>
      <c r="Q134" s="48">
        <v>14</v>
      </c>
      <c r="R134" s="48">
        <v>14</v>
      </c>
      <c r="S134" s="48">
        <v>3000</v>
      </c>
      <c r="T134" s="5" t="s">
        <v>5549</v>
      </c>
      <c r="V134" s="32" t="s">
        <v>3715</v>
      </c>
    </row>
    <row r="135" spans="1:22">
      <c r="A135" s="5" t="s">
        <v>893</v>
      </c>
      <c r="B135" s="32" t="s">
        <v>347</v>
      </c>
      <c r="C135" s="32" t="s">
        <v>345</v>
      </c>
      <c r="D135" s="5" t="s">
        <v>4078</v>
      </c>
      <c r="E135" s="48">
        <v>5289</v>
      </c>
      <c r="G135" s="7">
        <v>44791</v>
      </c>
      <c r="H135" s="32" t="s">
        <v>3658</v>
      </c>
      <c r="J135" s="48">
        <v>5289</v>
      </c>
      <c r="K135" s="48">
        <v>0</v>
      </c>
      <c r="L135" s="7" t="s">
        <v>3790</v>
      </c>
      <c r="M135" s="7">
        <v>44975</v>
      </c>
      <c r="N135" s="7">
        <v>44664</v>
      </c>
      <c r="O135" s="7" t="s">
        <v>3790</v>
      </c>
      <c r="P135" s="48">
        <v>140</v>
      </c>
      <c r="Q135" s="48">
        <v>14</v>
      </c>
      <c r="R135" s="48">
        <v>14</v>
      </c>
      <c r="S135" s="48">
        <v>9500</v>
      </c>
      <c r="T135" s="5" t="s">
        <v>5548</v>
      </c>
      <c r="V135" s="32" t="s">
        <v>3713</v>
      </c>
    </row>
    <row r="136" spans="1:22">
      <c r="A136" s="5" t="s">
        <v>893</v>
      </c>
      <c r="B136" s="32" t="s">
        <v>347</v>
      </c>
      <c r="C136" s="32" t="s">
        <v>345</v>
      </c>
      <c r="D136" s="5" t="s">
        <v>4076</v>
      </c>
      <c r="E136" s="48">
        <v>0</v>
      </c>
      <c r="G136" s="7">
        <v>45064</v>
      </c>
      <c r="J136" s="48">
        <v>0</v>
      </c>
      <c r="K136" s="48">
        <v>0</v>
      </c>
      <c r="L136" s="7" t="s">
        <v>3790</v>
      </c>
      <c r="M136" s="7" t="s">
        <v>3790</v>
      </c>
      <c r="N136" s="7">
        <v>44795</v>
      </c>
      <c r="O136" s="7">
        <v>45078</v>
      </c>
      <c r="P136" s="48">
        <v>140</v>
      </c>
      <c r="Q136" s="48">
        <v>14</v>
      </c>
      <c r="R136" s="48">
        <v>14</v>
      </c>
      <c r="S136" s="48">
        <v>5500</v>
      </c>
      <c r="T136" s="5" t="s">
        <v>5549</v>
      </c>
      <c r="V136" s="32" t="s">
        <v>3716</v>
      </c>
    </row>
    <row r="137" spans="1:22">
      <c r="A137" s="5" t="s">
        <v>893</v>
      </c>
      <c r="B137" s="32" t="s">
        <v>359</v>
      </c>
      <c r="C137" s="32" t="s">
        <v>360</v>
      </c>
      <c r="D137" s="5" t="s">
        <v>7677</v>
      </c>
      <c r="E137" s="48">
        <v>0</v>
      </c>
      <c r="G137" s="7">
        <v>45015</v>
      </c>
      <c r="J137" s="48">
        <v>0</v>
      </c>
      <c r="K137" s="48">
        <v>0</v>
      </c>
      <c r="L137" s="7" t="s">
        <v>3790</v>
      </c>
      <c r="M137" s="7" t="s">
        <v>3790</v>
      </c>
      <c r="N137" s="7">
        <v>44908</v>
      </c>
      <c r="O137" s="7">
        <v>45029</v>
      </c>
      <c r="P137" s="48">
        <v>140</v>
      </c>
      <c r="Q137" s="48">
        <v>14</v>
      </c>
      <c r="R137" s="48">
        <v>14</v>
      </c>
      <c r="S137" s="48">
        <v>2000</v>
      </c>
      <c r="T137" s="5" t="s">
        <v>5549</v>
      </c>
      <c r="V137" s="32" t="s">
        <v>7676</v>
      </c>
    </row>
    <row r="138" spans="1:22">
      <c r="A138" s="5" t="s">
        <v>893</v>
      </c>
      <c r="B138" s="32" t="s">
        <v>361</v>
      </c>
      <c r="C138" s="32" t="s">
        <v>360</v>
      </c>
      <c r="D138" s="5" t="s">
        <v>7677</v>
      </c>
      <c r="E138" s="48">
        <v>0</v>
      </c>
      <c r="G138" s="7">
        <v>45015</v>
      </c>
      <c r="J138" s="48">
        <v>0</v>
      </c>
      <c r="K138" s="48">
        <v>0</v>
      </c>
      <c r="L138" s="7" t="s">
        <v>3790</v>
      </c>
      <c r="M138" s="7" t="s">
        <v>3790</v>
      </c>
      <c r="N138" s="7">
        <v>44908</v>
      </c>
      <c r="O138" s="7">
        <v>45029</v>
      </c>
      <c r="P138" s="48">
        <v>140</v>
      </c>
      <c r="Q138" s="48">
        <v>14</v>
      </c>
      <c r="R138" s="48">
        <v>14</v>
      </c>
      <c r="S138" s="48">
        <v>1000</v>
      </c>
      <c r="T138" s="5" t="s">
        <v>5549</v>
      </c>
      <c r="V138" s="32" t="s">
        <v>7679</v>
      </c>
    </row>
    <row r="139" spans="1:22">
      <c r="A139" s="5" t="s">
        <v>893</v>
      </c>
      <c r="B139" s="32" t="s">
        <v>366</v>
      </c>
      <c r="C139" s="32" t="s">
        <v>365</v>
      </c>
      <c r="D139" s="5" t="s">
        <v>4087</v>
      </c>
      <c r="E139" s="48">
        <v>1734</v>
      </c>
      <c r="G139" s="7">
        <v>44763</v>
      </c>
      <c r="H139" s="32" t="s">
        <v>3658</v>
      </c>
      <c r="J139" s="48">
        <v>1734</v>
      </c>
      <c r="K139" s="48">
        <v>0</v>
      </c>
      <c r="L139" s="7" t="s">
        <v>3790</v>
      </c>
      <c r="M139" s="7">
        <v>44941</v>
      </c>
      <c r="N139" s="7">
        <v>44734</v>
      </c>
      <c r="O139" s="7" t="s">
        <v>3790</v>
      </c>
      <c r="P139" s="48">
        <v>140</v>
      </c>
      <c r="Q139" s="48">
        <v>14</v>
      </c>
      <c r="R139" s="48">
        <v>14</v>
      </c>
      <c r="S139" s="48">
        <v>2500</v>
      </c>
      <c r="T139" s="5" t="s">
        <v>5548</v>
      </c>
      <c r="V139" s="32" t="s">
        <v>3717</v>
      </c>
    </row>
    <row r="140" spans="1:22">
      <c r="A140" s="5" t="s">
        <v>893</v>
      </c>
      <c r="B140" s="32" t="s">
        <v>421</v>
      </c>
      <c r="C140" s="32" t="s">
        <v>7681</v>
      </c>
      <c r="D140" s="5" t="s">
        <v>7683</v>
      </c>
      <c r="E140" s="48">
        <v>0</v>
      </c>
      <c r="G140" s="7">
        <v>45029</v>
      </c>
      <c r="J140" s="48">
        <v>0</v>
      </c>
      <c r="K140" s="48">
        <v>0</v>
      </c>
      <c r="L140" s="7" t="s">
        <v>3790</v>
      </c>
      <c r="M140" s="7" t="s">
        <v>3790</v>
      </c>
      <c r="N140" s="7">
        <v>44902</v>
      </c>
      <c r="O140" s="7">
        <v>45043</v>
      </c>
      <c r="P140" s="48">
        <v>140</v>
      </c>
      <c r="Q140" s="48">
        <v>14</v>
      </c>
      <c r="R140" s="48">
        <v>14</v>
      </c>
      <c r="S140" s="48">
        <v>4000</v>
      </c>
      <c r="T140" s="5" t="s">
        <v>5549</v>
      </c>
      <c r="V140" s="32" t="s">
        <v>7682</v>
      </c>
    </row>
    <row r="141" spans="1:22">
      <c r="A141" s="5" t="s">
        <v>893</v>
      </c>
      <c r="B141" s="32" t="s">
        <v>472</v>
      </c>
      <c r="C141" s="32" t="s">
        <v>3718</v>
      </c>
      <c r="D141" s="5" t="s">
        <v>4099</v>
      </c>
      <c r="E141" s="48">
        <v>602</v>
      </c>
      <c r="G141" s="7">
        <v>44755</v>
      </c>
      <c r="H141" s="32" t="s">
        <v>3658</v>
      </c>
      <c r="J141" s="48">
        <v>602</v>
      </c>
      <c r="K141" s="48">
        <v>0</v>
      </c>
      <c r="L141" s="7" t="s">
        <v>3790</v>
      </c>
      <c r="M141" s="7">
        <v>44935</v>
      </c>
      <c r="N141" s="7">
        <v>44707</v>
      </c>
      <c r="O141" s="7" t="s">
        <v>3790</v>
      </c>
      <c r="P141" s="48">
        <v>140</v>
      </c>
      <c r="Q141" s="48">
        <v>14</v>
      </c>
      <c r="R141" s="48">
        <v>14</v>
      </c>
      <c r="S141" s="48">
        <v>1000</v>
      </c>
      <c r="T141" s="5" t="s">
        <v>5548</v>
      </c>
      <c r="V141" s="32" t="s">
        <v>3719</v>
      </c>
    </row>
    <row r="142" spans="1:22">
      <c r="A142" s="5" t="s">
        <v>893</v>
      </c>
      <c r="B142" s="32" t="s">
        <v>547</v>
      </c>
      <c r="C142" s="32" t="s">
        <v>546</v>
      </c>
      <c r="D142" s="5" t="s">
        <v>4105</v>
      </c>
      <c r="E142" s="48">
        <v>1344</v>
      </c>
      <c r="G142" s="7">
        <v>44105</v>
      </c>
      <c r="H142" s="32" t="s">
        <v>3658</v>
      </c>
      <c r="I142" s="48">
        <v>1344</v>
      </c>
      <c r="J142" s="48">
        <v>0</v>
      </c>
      <c r="K142" s="48">
        <v>0</v>
      </c>
      <c r="L142" s="7" t="s">
        <v>3790</v>
      </c>
      <c r="M142" s="7">
        <v>2958465</v>
      </c>
      <c r="N142" s="7" t="s">
        <v>4068</v>
      </c>
      <c r="O142" s="7" t="s">
        <v>3790</v>
      </c>
      <c r="P142" s="48">
        <v>140</v>
      </c>
      <c r="Q142" s="48">
        <v>14</v>
      </c>
      <c r="R142" s="48">
        <v>14</v>
      </c>
      <c r="S142" s="48">
        <v>2000</v>
      </c>
      <c r="T142" s="5" t="s">
        <v>5548</v>
      </c>
      <c r="V142" s="32" t="s">
        <v>4104</v>
      </c>
    </row>
    <row r="143" spans="1:22">
      <c r="A143" s="5" t="s">
        <v>893</v>
      </c>
      <c r="B143" s="32" t="s">
        <v>558</v>
      </c>
      <c r="C143" s="32" t="s">
        <v>556</v>
      </c>
      <c r="D143" s="5" t="s">
        <v>4107</v>
      </c>
      <c r="E143" s="48">
        <v>3848</v>
      </c>
      <c r="G143" s="7">
        <v>44841</v>
      </c>
      <c r="H143" s="32" t="s">
        <v>3658</v>
      </c>
      <c r="I143" s="48">
        <v>1680</v>
      </c>
      <c r="J143" s="48">
        <v>2168</v>
      </c>
      <c r="K143" s="48">
        <v>0</v>
      </c>
      <c r="L143" s="7" t="s">
        <v>3790</v>
      </c>
      <c r="M143" s="7">
        <v>45022</v>
      </c>
      <c r="N143" s="7">
        <v>44734</v>
      </c>
      <c r="O143" s="7" t="s">
        <v>3790</v>
      </c>
      <c r="P143" s="48">
        <v>140</v>
      </c>
      <c r="Q143" s="48">
        <v>14</v>
      </c>
      <c r="R143" s="48">
        <v>14</v>
      </c>
      <c r="S143" s="48">
        <v>2500</v>
      </c>
      <c r="T143" s="5" t="s">
        <v>5548</v>
      </c>
      <c r="V143" s="32" t="s">
        <v>5560</v>
      </c>
    </row>
    <row r="144" spans="1:22">
      <c r="A144" s="5" t="s">
        <v>893</v>
      </c>
      <c r="B144" s="32" t="s">
        <v>562</v>
      </c>
      <c r="C144" s="32" t="s">
        <v>3720</v>
      </c>
      <c r="D144" s="5" t="s">
        <v>4109</v>
      </c>
      <c r="E144" s="48">
        <v>0</v>
      </c>
      <c r="G144" s="7">
        <v>44987</v>
      </c>
      <c r="J144" s="48">
        <v>0</v>
      </c>
      <c r="K144" s="48">
        <v>0</v>
      </c>
      <c r="L144" s="7" t="s">
        <v>3790</v>
      </c>
      <c r="M144" s="7" t="s">
        <v>3790</v>
      </c>
      <c r="N144" s="7">
        <v>44734</v>
      </c>
      <c r="O144" s="7">
        <v>45001</v>
      </c>
      <c r="P144" s="48">
        <v>140</v>
      </c>
      <c r="Q144" s="48">
        <v>14</v>
      </c>
      <c r="R144" s="48">
        <v>14</v>
      </c>
      <c r="S144" s="48">
        <v>3000</v>
      </c>
      <c r="T144" s="5" t="s">
        <v>5549</v>
      </c>
      <c r="V144" s="32" t="s">
        <v>3721</v>
      </c>
    </row>
    <row r="145" spans="1:22">
      <c r="A145" s="5" t="s">
        <v>893</v>
      </c>
      <c r="B145" s="32" t="s">
        <v>574</v>
      </c>
      <c r="C145" s="32" t="s">
        <v>575</v>
      </c>
      <c r="D145" s="5" t="s">
        <v>4113</v>
      </c>
      <c r="E145" s="48">
        <v>6007</v>
      </c>
      <c r="G145" s="7">
        <v>44867</v>
      </c>
      <c r="H145" s="32" t="s">
        <v>3658</v>
      </c>
      <c r="J145" s="48">
        <v>6007</v>
      </c>
      <c r="K145" s="48">
        <v>0</v>
      </c>
      <c r="L145" s="7" t="s">
        <v>3790</v>
      </c>
      <c r="M145" s="7">
        <v>45047</v>
      </c>
      <c r="N145" s="7">
        <v>44750</v>
      </c>
      <c r="O145" s="7" t="s">
        <v>3790</v>
      </c>
      <c r="P145" s="48">
        <v>140</v>
      </c>
      <c r="Q145" s="48">
        <v>14</v>
      </c>
      <c r="R145" s="48">
        <v>14</v>
      </c>
      <c r="S145" s="48">
        <v>6000</v>
      </c>
      <c r="T145" s="5" t="s">
        <v>5548</v>
      </c>
      <c r="V145" s="32" t="s">
        <v>3722</v>
      </c>
    </row>
    <row r="146" spans="1:22">
      <c r="A146" s="5" t="s">
        <v>893</v>
      </c>
      <c r="B146" s="32" t="s">
        <v>576</v>
      </c>
      <c r="C146" s="32" t="s">
        <v>575</v>
      </c>
      <c r="D146" s="5" t="s">
        <v>4113</v>
      </c>
      <c r="E146" s="48">
        <v>2317</v>
      </c>
      <c r="G146" s="7">
        <v>44867</v>
      </c>
      <c r="H146" s="32" t="s">
        <v>3658</v>
      </c>
      <c r="J146" s="48">
        <v>2317</v>
      </c>
      <c r="K146" s="48">
        <v>0</v>
      </c>
      <c r="L146" s="7" t="s">
        <v>3790</v>
      </c>
      <c r="M146" s="7">
        <v>45047</v>
      </c>
      <c r="N146" s="7">
        <v>44750</v>
      </c>
      <c r="O146" s="7" t="s">
        <v>3790</v>
      </c>
      <c r="P146" s="48">
        <v>140</v>
      </c>
      <c r="Q146" s="48">
        <v>14</v>
      </c>
      <c r="R146" s="48">
        <v>14</v>
      </c>
      <c r="S146" s="48">
        <v>4000</v>
      </c>
      <c r="T146" s="5" t="s">
        <v>5548</v>
      </c>
      <c r="V146" s="32" t="s">
        <v>3723</v>
      </c>
    </row>
    <row r="147" spans="1:22">
      <c r="A147" s="5" t="s">
        <v>893</v>
      </c>
      <c r="B147" s="32" t="s">
        <v>580</v>
      </c>
      <c r="C147" s="32" t="s">
        <v>581</v>
      </c>
      <c r="D147" s="5" t="s">
        <v>5258</v>
      </c>
      <c r="E147" s="48">
        <v>0</v>
      </c>
      <c r="G147" s="7">
        <v>44973</v>
      </c>
      <c r="J147" s="48">
        <v>0</v>
      </c>
      <c r="K147" s="48">
        <v>0</v>
      </c>
      <c r="L147" s="7" t="s">
        <v>3790</v>
      </c>
      <c r="M147" s="7" t="s">
        <v>3790</v>
      </c>
      <c r="N147" s="7">
        <v>44812</v>
      </c>
      <c r="O147" s="7">
        <v>44987</v>
      </c>
      <c r="P147" s="48">
        <v>140</v>
      </c>
      <c r="Q147" s="48">
        <v>14</v>
      </c>
      <c r="R147" s="48">
        <v>14</v>
      </c>
      <c r="S147" s="48">
        <v>2000</v>
      </c>
      <c r="T147" s="5" t="s">
        <v>5549</v>
      </c>
      <c r="V147" s="32" t="s">
        <v>5257</v>
      </c>
    </row>
    <row r="148" spans="1:22">
      <c r="A148" s="5" t="s">
        <v>893</v>
      </c>
      <c r="B148" s="32" t="s">
        <v>583</v>
      </c>
      <c r="C148" s="32" t="s">
        <v>581</v>
      </c>
      <c r="D148" s="5" t="s">
        <v>4087</v>
      </c>
      <c r="E148" s="48">
        <v>4659</v>
      </c>
      <c r="G148" s="7">
        <v>44805</v>
      </c>
      <c r="H148" s="32" t="s">
        <v>3658</v>
      </c>
      <c r="J148" s="48">
        <v>4659</v>
      </c>
      <c r="K148" s="48">
        <v>0</v>
      </c>
      <c r="L148" s="7" t="s">
        <v>3790</v>
      </c>
      <c r="M148" s="7">
        <v>44982</v>
      </c>
      <c r="N148" s="7">
        <v>44734</v>
      </c>
      <c r="O148" s="7" t="s">
        <v>3790</v>
      </c>
      <c r="P148" s="48">
        <v>140</v>
      </c>
      <c r="Q148" s="48">
        <v>14</v>
      </c>
      <c r="R148" s="48">
        <v>14</v>
      </c>
      <c r="S148" s="48">
        <v>8500</v>
      </c>
      <c r="T148" s="5" t="s">
        <v>5548</v>
      </c>
      <c r="V148" s="32" t="s">
        <v>3724</v>
      </c>
    </row>
    <row r="149" spans="1:22">
      <c r="A149" s="5" t="s">
        <v>893</v>
      </c>
      <c r="B149" s="32" t="s">
        <v>583</v>
      </c>
      <c r="C149" s="32" t="s">
        <v>581</v>
      </c>
      <c r="D149" s="5" t="s">
        <v>5258</v>
      </c>
      <c r="E149" s="48">
        <v>0</v>
      </c>
      <c r="G149" s="7">
        <v>44973</v>
      </c>
      <c r="J149" s="48">
        <v>0</v>
      </c>
      <c r="K149" s="48">
        <v>0</v>
      </c>
      <c r="L149" s="7" t="s">
        <v>3790</v>
      </c>
      <c r="M149" s="7" t="s">
        <v>3790</v>
      </c>
      <c r="N149" s="7">
        <v>44812</v>
      </c>
      <c r="O149" s="7">
        <v>44987</v>
      </c>
      <c r="P149" s="48">
        <v>140</v>
      </c>
      <c r="Q149" s="48">
        <v>14</v>
      </c>
      <c r="R149" s="48">
        <v>14</v>
      </c>
      <c r="S149" s="48">
        <v>8000</v>
      </c>
      <c r="T149" s="5" t="s">
        <v>5549</v>
      </c>
      <c r="V149" s="32" t="s">
        <v>5259</v>
      </c>
    </row>
    <row r="150" spans="1:22">
      <c r="A150" s="5" t="s">
        <v>893</v>
      </c>
      <c r="B150" s="32" t="s">
        <v>835</v>
      </c>
      <c r="C150" s="32" t="s">
        <v>836</v>
      </c>
      <c r="D150" s="5" t="s">
        <v>5862</v>
      </c>
      <c r="E150" s="48">
        <v>0</v>
      </c>
      <c r="G150" s="7">
        <v>44973</v>
      </c>
      <c r="J150" s="48">
        <v>0</v>
      </c>
      <c r="K150" s="48">
        <v>0</v>
      </c>
      <c r="L150" s="7" t="s">
        <v>3790</v>
      </c>
      <c r="M150" s="7" t="s">
        <v>3790</v>
      </c>
      <c r="N150" s="7">
        <v>44854</v>
      </c>
      <c r="O150" s="7">
        <v>44987</v>
      </c>
      <c r="P150" s="48">
        <v>140</v>
      </c>
      <c r="Q150" s="48">
        <v>14</v>
      </c>
      <c r="R150" s="48">
        <v>14</v>
      </c>
      <c r="S150" s="48">
        <v>600</v>
      </c>
      <c r="T150" s="5" t="s">
        <v>5549</v>
      </c>
      <c r="V150" s="32" t="s">
        <v>5877</v>
      </c>
    </row>
    <row r="151" spans="1:22">
      <c r="A151" s="5" t="s">
        <v>893</v>
      </c>
      <c r="B151" s="32" t="s">
        <v>837</v>
      </c>
      <c r="C151" s="32" t="s">
        <v>836</v>
      </c>
      <c r="D151" s="5" t="s">
        <v>5862</v>
      </c>
      <c r="E151" s="48">
        <v>0</v>
      </c>
      <c r="G151" s="7">
        <v>44973</v>
      </c>
      <c r="J151" s="48">
        <v>0</v>
      </c>
      <c r="K151" s="48">
        <v>0</v>
      </c>
      <c r="L151" s="7" t="s">
        <v>3790</v>
      </c>
      <c r="M151" s="7" t="s">
        <v>3790</v>
      </c>
      <c r="N151" s="7">
        <v>44854</v>
      </c>
      <c r="O151" s="7">
        <v>44987</v>
      </c>
      <c r="P151" s="48">
        <v>140</v>
      </c>
      <c r="Q151" s="48">
        <v>14</v>
      </c>
      <c r="R151" s="48">
        <v>14</v>
      </c>
      <c r="S151" s="48">
        <v>4400</v>
      </c>
      <c r="T151" s="5" t="s">
        <v>5549</v>
      </c>
      <c r="V151" s="32" t="s">
        <v>5879</v>
      </c>
    </row>
    <row r="152" spans="1:22">
      <c r="A152" s="5" t="s">
        <v>893</v>
      </c>
      <c r="B152" s="32" t="s">
        <v>841</v>
      </c>
      <c r="C152" s="32" t="s">
        <v>842</v>
      </c>
      <c r="D152" s="5" t="s">
        <v>4078</v>
      </c>
      <c r="E152" s="48">
        <v>1538</v>
      </c>
      <c r="G152" s="7">
        <v>44777</v>
      </c>
      <c r="H152" s="32" t="s">
        <v>3658</v>
      </c>
      <c r="J152" s="48">
        <v>1538</v>
      </c>
      <c r="K152" s="48">
        <v>0</v>
      </c>
      <c r="L152" s="7" t="s">
        <v>3790</v>
      </c>
      <c r="M152" s="7">
        <v>44957</v>
      </c>
      <c r="N152" s="7">
        <v>44664</v>
      </c>
      <c r="O152" s="7" t="s">
        <v>3790</v>
      </c>
      <c r="P152" s="48">
        <v>140</v>
      </c>
      <c r="Q152" s="48">
        <v>14</v>
      </c>
      <c r="R152" s="48">
        <v>14</v>
      </c>
      <c r="S152" s="48">
        <v>1500</v>
      </c>
      <c r="T152" s="5" t="s">
        <v>5548</v>
      </c>
      <c r="V152" s="32" t="s">
        <v>3725</v>
      </c>
    </row>
    <row r="153" spans="1:22">
      <c r="A153" s="5" t="s">
        <v>893</v>
      </c>
      <c r="B153" s="32" t="s">
        <v>844</v>
      </c>
      <c r="C153" s="32" t="s">
        <v>842</v>
      </c>
      <c r="D153" s="5" t="s">
        <v>4078</v>
      </c>
      <c r="E153" s="48">
        <v>1817</v>
      </c>
      <c r="G153" s="7">
        <v>44777</v>
      </c>
      <c r="H153" s="32" t="s">
        <v>3658</v>
      </c>
      <c r="J153" s="48">
        <v>1817</v>
      </c>
      <c r="K153" s="48">
        <v>0</v>
      </c>
      <c r="L153" s="7" t="s">
        <v>3790</v>
      </c>
      <c r="M153" s="7">
        <v>44957</v>
      </c>
      <c r="N153" s="7">
        <v>44664</v>
      </c>
      <c r="O153" s="7" t="s">
        <v>3790</v>
      </c>
      <c r="P153" s="48">
        <v>140</v>
      </c>
      <c r="Q153" s="48">
        <v>14</v>
      </c>
      <c r="R153" s="48">
        <v>14</v>
      </c>
      <c r="S153" s="48">
        <v>2500</v>
      </c>
      <c r="T153" s="5" t="s">
        <v>5548</v>
      </c>
      <c r="V153" s="32" t="s">
        <v>3726</v>
      </c>
    </row>
    <row r="154" spans="1:22">
      <c r="A154" s="5" t="s">
        <v>893</v>
      </c>
      <c r="B154" s="32" t="s">
        <v>844</v>
      </c>
      <c r="C154" s="32" t="s">
        <v>842</v>
      </c>
      <c r="D154" s="5" t="s">
        <v>4140</v>
      </c>
      <c r="E154" s="48">
        <v>0</v>
      </c>
      <c r="G154" s="7">
        <v>44987</v>
      </c>
      <c r="J154" s="48">
        <v>0</v>
      </c>
      <c r="K154" s="48">
        <v>0</v>
      </c>
      <c r="L154" s="7" t="s">
        <v>3790</v>
      </c>
      <c r="M154" s="7" t="s">
        <v>3790</v>
      </c>
      <c r="N154" s="7">
        <v>44805</v>
      </c>
      <c r="O154" s="7">
        <v>45001</v>
      </c>
      <c r="P154" s="48">
        <v>140</v>
      </c>
      <c r="Q154" s="48">
        <v>14</v>
      </c>
      <c r="R154" s="48">
        <v>14</v>
      </c>
      <c r="S154" s="48">
        <v>3000</v>
      </c>
      <c r="T154" s="5" t="s">
        <v>5549</v>
      </c>
      <c r="V154" s="32" t="s">
        <v>3727</v>
      </c>
    </row>
    <row r="155" spans="1:22">
      <c r="A155" s="5" t="s">
        <v>893</v>
      </c>
      <c r="B155" s="32" t="s">
        <v>867</v>
      </c>
      <c r="C155" s="32" t="s">
        <v>868</v>
      </c>
      <c r="D155" s="5" t="s">
        <v>4149</v>
      </c>
      <c r="E155" s="48">
        <v>14884</v>
      </c>
      <c r="G155" s="7">
        <v>44770</v>
      </c>
      <c r="H155" s="32" t="s">
        <v>3658</v>
      </c>
      <c r="J155" s="48">
        <v>14884</v>
      </c>
      <c r="K155" s="48">
        <v>0</v>
      </c>
      <c r="L155" s="7" t="s">
        <v>3790</v>
      </c>
      <c r="M155" s="7">
        <v>44950</v>
      </c>
      <c r="N155" s="7">
        <v>44664</v>
      </c>
      <c r="O155" s="7" t="s">
        <v>3790</v>
      </c>
      <c r="P155" s="48">
        <v>140</v>
      </c>
      <c r="Q155" s="48">
        <v>14</v>
      </c>
      <c r="R155" s="48">
        <v>14</v>
      </c>
      <c r="S155" s="48">
        <v>42500</v>
      </c>
      <c r="T155" s="5" t="s">
        <v>5548</v>
      </c>
      <c r="V155" s="32" t="s">
        <v>3728</v>
      </c>
    </row>
    <row r="156" spans="1:22">
      <c r="A156" s="5" t="s">
        <v>893</v>
      </c>
      <c r="B156" s="32" t="s">
        <v>867</v>
      </c>
      <c r="C156" s="32" t="s">
        <v>868</v>
      </c>
      <c r="D156" s="5" t="s">
        <v>4063</v>
      </c>
      <c r="E156" s="48">
        <v>0</v>
      </c>
      <c r="G156" s="7">
        <v>44945</v>
      </c>
      <c r="J156" s="48">
        <v>0</v>
      </c>
      <c r="K156" s="48">
        <v>0</v>
      </c>
      <c r="L156" s="7" t="s">
        <v>3790</v>
      </c>
      <c r="M156" s="7" t="s">
        <v>3790</v>
      </c>
      <c r="N156" s="7">
        <v>44750</v>
      </c>
      <c r="O156" s="7">
        <v>44959</v>
      </c>
      <c r="P156" s="48">
        <v>140</v>
      </c>
      <c r="Q156" s="48">
        <v>14</v>
      </c>
      <c r="R156" s="48">
        <v>14</v>
      </c>
      <c r="S156" s="48">
        <v>56000</v>
      </c>
      <c r="T156" s="5" t="s">
        <v>5549</v>
      </c>
      <c r="V156" s="32" t="s">
        <v>3729</v>
      </c>
    </row>
    <row r="157" spans="1:22">
      <c r="A157" s="5" t="s">
        <v>893</v>
      </c>
      <c r="B157" s="32" t="s">
        <v>870</v>
      </c>
      <c r="C157" s="32" t="s">
        <v>868</v>
      </c>
      <c r="D157" s="5" t="s">
        <v>4063</v>
      </c>
      <c r="E157" s="48">
        <v>0</v>
      </c>
      <c r="G157" s="7">
        <v>44945</v>
      </c>
      <c r="J157" s="48">
        <v>0</v>
      </c>
      <c r="K157" s="48">
        <v>0</v>
      </c>
      <c r="L157" s="7" t="s">
        <v>3790</v>
      </c>
      <c r="M157" s="7" t="s">
        <v>3790</v>
      </c>
      <c r="N157" s="7">
        <v>44750</v>
      </c>
      <c r="O157" s="7">
        <v>44959</v>
      </c>
      <c r="P157" s="48">
        <v>140</v>
      </c>
      <c r="Q157" s="48">
        <v>14</v>
      </c>
      <c r="R157" s="48">
        <v>14</v>
      </c>
      <c r="S157" s="48">
        <v>4000</v>
      </c>
      <c r="T157" s="5" t="s">
        <v>5549</v>
      </c>
      <c r="V157" s="32" t="s">
        <v>3730</v>
      </c>
    </row>
    <row r="158" spans="1:22">
      <c r="A158" s="5" t="s">
        <v>893</v>
      </c>
      <c r="B158" s="32" t="s">
        <v>887</v>
      </c>
      <c r="C158" s="32" t="s">
        <v>3731</v>
      </c>
      <c r="D158" s="5" t="s">
        <v>5258</v>
      </c>
      <c r="E158" s="48">
        <v>0</v>
      </c>
      <c r="G158" s="7">
        <v>44994</v>
      </c>
      <c r="J158" s="48">
        <v>0</v>
      </c>
      <c r="K158" s="48">
        <v>0</v>
      </c>
      <c r="L158" s="7" t="s">
        <v>3790</v>
      </c>
      <c r="M158" s="7" t="s">
        <v>3790</v>
      </c>
      <c r="N158" s="7">
        <v>44812</v>
      </c>
      <c r="O158" s="7">
        <v>45008</v>
      </c>
      <c r="P158" s="48">
        <v>140</v>
      </c>
      <c r="Q158" s="48">
        <v>14</v>
      </c>
      <c r="R158" s="48">
        <v>14</v>
      </c>
      <c r="S158" s="48">
        <v>2000</v>
      </c>
      <c r="T158" s="5" t="s">
        <v>5549</v>
      </c>
      <c r="V158" s="32" t="s">
        <v>5260</v>
      </c>
    </row>
    <row r="159" spans="1:22">
      <c r="A159" s="5" t="s">
        <v>893</v>
      </c>
      <c r="B159" s="32" t="s">
        <v>890</v>
      </c>
      <c r="C159" s="32" t="s">
        <v>3731</v>
      </c>
      <c r="D159" s="5" t="s">
        <v>4154</v>
      </c>
      <c r="E159" s="48">
        <v>1514</v>
      </c>
      <c r="G159" s="7">
        <v>44819</v>
      </c>
      <c r="H159" s="32" t="s">
        <v>3658</v>
      </c>
      <c r="J159" s="48">
        <v>1514</v>
      </c>
      <c r="K159" s="48">
        <v>0</v>
      </c>
      <c r="L159" s="7" t="s">
        <v>3790</v>
      </c>
      <c r="M159" s="7">
        <v>44999</v>
      </c>
      <c r="N159" s="7">
        <v>44795</v>
      </c>
      <c r="O159" s="7" t="s">
        <v>3790</v>
      </c>
      <c r="P159" s="48">
        <v>140</v>
      </c>
      <c r="Q159" s="48">
        <v>14</v>
      </c>
      <c r="R159" s="48">
        <v>14</v>
      </c>
      <c r="S159" s="48">
        <v>3000</v>
      </c>
      <c r="T159" s="5" t="s">
        <v>5548</v>
      </c>
      <c r="V159" s="32" t="s">
        <v>5367</v>
      </c>
    </row>
    <row r="160" spans="1:22">
      <c r="A160" s="5" t="s">
        <v>893</v>
      </c>
      <c r="B160" s="32" t="s">
        <v>890</v>
      </c>
      <c r="C160" s="32" t="s">
        <v>3731</v>
      </c>
      <c r="D160" s="5" t="s">
        <v>5258</v>
      </c>
      <c r="E160" s="48">
        <v>0</v>
      </c>
      <c r="G160" s="7">
        <v>44994</v>
      </c>
      <c r="J160" s="48">
        <v>0</v>
      </c>
      <c r="K160" s="48">
        <v>0</v>
      </c>
      <c r="L160" s="7" t="s">
        <v>3790</v>
      </c>
      <c r="M160" s="7" t="s">
        <v>3790</v>
      </c>
      <c r="N160" s="7">
        <v>44812</v>
      </c>
      <c r="O160" s="7">
        <v>45008</v>
      </c>
      <c r="P160" s="48">
        <v>140</v>
      </c>
      <c r="Q160" s="48">
        <v>14</v>
      </c>
      <c r="R160" s="48">
        <v>14</v>
      </c>
      <c r="S160" s="48">
        <v>1000</v>
      </c>
      <c r="T160" s="5" t="s">
        <v>5549</v>
      </c>
      <c r="V160" s="32" t="s">
        <v>5261</v>
      </c>
    </row>
    <row r="161" spans="1:22">
      <c r="A161" s="5" t="s">
        <v>893</v>
      </c>
      <c r="B161" s="32" t="s">
        <v>891</v>
      </c>
      <c r="C161" s="32" t="s">
        <v>892</v>
      </c>
      <c r="D161" s="5" t="s">
        <v>5882</v>
      </c>
      <c r="E161" s="48">
        <v>0</v>
      </c>
      <c r="G161" s="7">
        <v>44959</v>
      </c>
      <c r="J161" s="48">
        <v>0</v>
      </c>
      <c r="K161" s="48">
        <v>0</v>
      </c>
      <c r="L161" s="7" t="s">
        <v>3790</v>
      </c>
      <c r="M161" s="7" t="s">
        <v>3790</v>
      </c>
      <c r="N161" s="7">
        <v>44833</v>
      </c>
      <c r="O161" s="7">
        <v>44973</v>
      </c>
      <c r="P161" s="48">
        <v>140</v>
      </c>
      <c r="Q161" s="48">
        <v>14</v>
      </c>
      <c r="R161" s="48">
        <v>14</v>
      </c>
      <c r="S161" s="48">
        <v>1000</v>
      </c>
      <c r="T161" s="5" t="s">
        <v>5549</v>
      </c>
      <c r="V161" s="32" t="s">
        <v>5881</v>
      </c>
    </row>
    <row r="162" spans="1:22">
      <c r="A162" s="5" t="s">
        <v>893</v>
      </c>
      <c r="B162" s="32" t="s">
        <v>894</v>
      </c>
      <c r="C162" s="32" t="s">
        <v>892</v>
      </c>
      <c r="D162" s="5" t="s">
        <v>5882</v>
      </c>
      <c r="E162" s="48">
        <v>0</v>
      </c>
      <c r="G162" s="7">
        <v>44959</v>
      </c>
      <c r="J162" s="48">
        <v>0</v>
      </c>
      <c r="K162" s="48">
        <v>0</v>
      </c>
      <c r="L162" s="7" t="s">
        <v>3790</v>
      </c>
      <c r="M162" s="7" t="s">
        <v>3790</v>
      </c>
      <c r="N162" s="7">
        <v>44833</v>
      </c>
      <c r="O162" s="7">
        <v>44973</v>
      </c>
      <c r="P162" s="48">
        <v>140</v>
      </c>
      <c r="Q162" s="48">
        <v>14</v>
      </c>
      <c r="R162" s="48">
        <v>14</v>
      </c>
      <c r="S162" s="48">
        <v>2000</v>
      </c>
      <c r="T162" s="5" t="s">
        <v>5549</v>
      </c>
      <c r="V162" s="32" t="s">
        <v>5884</v>
      </c>
    </row>
    <row r="163" spans="1:22">
      <c r="A163" s="5" t="s">
        <v>893</v>
      </c>
      <c r="B163" s="32" t="s">
        <v>3732</v>
      </c>
      <c r="C163" s="32" t="s">
        <v>897</v>
      </c>
      <c r="D163" s="5" t="s">
        <v>4109</v>
      </c>
      <c r="E163" s="48">
        <v>3537</v>
      </c>
      <c r="G163" s="7">
        <v>44838</v>
      </c>
      <c r="H163" s="32" t="s">
        <v>3658</v>
      </c>
      <c r="J163" s="48">
        <v>3537</v>
      </c>
      <c r="K163" s="48">
        <v>0</v>
      </c>
      <c r="L163" s="7" t="s">
        <v>3790</v>
      </c>
      <c r="M163" s="7">
        <v>45019</v>
      </c>
      <c r="N163" s="7">
        <v>44734</v>
      </c>
      <c r="O163" s="7" t="s">
        <v>3790</v>
      </c>
      <c r="P163" s="48">
        <v>140</v>
      </c>
      <c r="Q163" s="48">
        <v>14</v>
      </c>
      <c r="R163" s="48">
        <v>14</v>
      </c>
      <c r="S163" s="48">
        <v>3000</v>
      </c>
      <c r="T163" s="5" t="s">
        <v>5548</v>
      </c>
      <c r="V163" s="32" t="s">
        <v>3733</v>
      </c>
    </row>
    <row r="164" spans="1:22">
      <c r="A164" s="5" t="s">
        <v>893</v>
      </c>
      <c r="B164" s="32" t="s">
        <v>910</v>
      </c>
      <c r="C164" s="32" t="s">
        <v>911</v>
      </c>
      <c r="D164" s="5" t="s">
        <v>4107</v>
      </c>
      <c r="E164" s="48">
        <v>0</v>
      </c>
      <c r="G164" s="7">
        <v>44945</v>
      </c>
      <c r="J164" s="48">
        <v>0</v>
      </c>
      <c r="K164" s="48">
        <v>0</v>
      </c>
      <c r="L164" s="7" t="s">
        <v>3790</v>
      </c>
      <c r="M164" s="7" t="s">
        <v>3790</v>
      </c>
      <c r="N164" s="7">
        <v>44734</v>
      </c>
      <c r="O164" s="7">
        <v>44959</v>
      </c>
      <c r="P164" s="48">
        <v>140</v>
      </c>
      <c r="Q164" s="48">
        <v>14</v>
      </c>
      <c r="R164" s="48">
        <v>14</v>
      </c>
      <c r="S164" s="48">
        <v>500</v>
      </c>
      <c r="T164" s="5" t="s">
        <v>5549</v>
      </c>
      <c r="V164" s="32" t="s">
        <v>3734</v>
      </c>
    </row>
    <row r="165" spans="1:22">
      <c r="A165" s="5" t="s">
        <v>893</v>
      </c>
      <c r="B165" s="32" t="s">
        <v>913</v>
      </c>
      <c r="C165" s="32" t="s">
        <v>911</v>
      </c>
      <c r="D165" s="5" t="s">
        <v>4107</v>
      </c>
      <c r="E165" s="48">
        <v>0</v>
      </c>
      <c r="G165" s="7">
        <v>44945</v>
      </c>
      <c r="J165" s="48">
        <v>0</v>
      </c>
      <c r="K165" s="48">
        <v>0</v>
      </c>
      <c r="L165" s="7" t="s">
        <v>3790</v>
      </c>
      <c r="M165" s="7" t="s">
        <v>3790</v>
      </c>
      <c r="N165" s="7">
        <v>44734</v>
      </c>
      <c r="O165" s="7">
        <v>44959</v>
      </c>
      <c r="P165" s="48">
        <v>140</v>
      </c>
      <c r="Q165" s="48">
        <v>14</v>
      </c>
      <c r="R165" s="48">
        <v>14</v>
      </c>
      <c r="S165" s="48">
        <v>2500</v>
      </c>
      <c r="T165" s="5" t="s">
        <v>5549</v>
      </c>
      <c r="V165" s="32" t="s">
        <v>3735</v>
      </c>
    </row>
    <row r="166" spans="1:22">
      <c r="A166" s="5" t="s">
        <v>893</v>
      </c>
      <c r="B166" s="32" t="s">
        <v>935</v>
      </c>
      <c r="C166" s="32" t="s">
        <v>936</v>
      </c>
      <c r="D166" s="5" t="s">
        <v>4160</v>
      </c>
      <c r="E166" s="48">
        <v>1251</v>
      </c>
      <c r="G166" s="7">
        <v>44820</v>
      </c>
      <c r="H166" s="32" t="s">
        <v>3658</v>
      </c>
      <c r="J166" s="48">
        <v>1251</v>
      </c>
      <c r="K166" s="48">
        <v>0</v>
      </c>
      <c r="L166" s="7" t="s">
        <v>3790</v>
      </c>
      <c r="M166" s="7">
        <v>45003</v>
      </c>
      <c r="N166" s="7">
        <v>44734</v>
      </c>
      <c r="O166" s="7" t="s">
        <v>3790</v>
      </c>
      <c r="P166" s="48">
        <v>140</v>
      </c>
      <c r="Q166" s="48">
        <v>14</v>
      </c>
      <c r="R166" s="48">
        <v>14</v>
      </c>
      <c r="S166" s="48">
        <v>1200</v>
      </c>
      <c r="T166" s="5" t="s">
        <v>5548</v>
      </c>
      <c r="V166" s="32" t="s">
        <v>3736</v>
      </c>
    </row>
    <row r="167" spans="1:22">
      <c r="A167" s="5" t="s">
        <v>893</v>
      </c>
      <c r="B167" s="32" t="s">
        <v>937</v>
      </c>
      <c r="C167" s="32" t="s">
        <v>936</v>
      </c>
      <c r="D167" s="5" t="s">
        <v>4160</v>
      </c>
      <c r="E167" s="48">
        <v>1691</v>
      </c>
      <c r="G167" s="7">
        <v>44820</v>
      </c>
      <c r="H167" s="32" t="s">
        <v>3658</v>
      </c>
      <c r="J167" s="48">
        <v>1691</v>
      </c>
      <c r="K167" s="48">
        <v>0</v>
      </c>
      <c r="L167" s="7" t="s">
        <v>3790</v>
      </c>
      <c r="M167" s="7">
        <v>45003</v>
      </c>
      <c r="N167" s="7">
        <v>44734</v>
      </c>
      <c r="O167" s="7" t="s">
        <v>3790</v>
      </c>
      <c r="P167" s="48">
        <v>140</v>
      </c>
      <c r="Q167" s="48">
        <v>14</v>
      </c>
      <c r="R167" s="48">
        <v>14</v>
      </c>
      <c r="S167" s="48">
        <v>1800</v>
      </c>
      <c r="T167" s="5" t="s">
        <v>5548</v>
      </c>
      <c r="V167" s="32" t="s">
        <v>5262</v>
      </c>
    </row>
    <row r="168" spans="1:22">
      <c r="A168" s="5" t="s">
        <v>893</v>
      </c>
      <c r="B168" s="32" t="s">
        <v>951</v>
      </c>
      <c r="C168" s="32" t="s">
        <v>952</v>
      </c>
      <c r="D168" s="5" t="s">
        <v>4172</v>
      </c>
      <c r="E168" s="48">
        <v>673</v>
      </c>
      <c r="G168" s="7">
        <v>44634</v>
      </c>
      <c r="H168" s="32" t="s">
        <v>3658</v>
      </c>
      <c r="I168" s="48">
        <v>673</v>
      </c>
      <c r="J168" s="48">
        <v>0</v>
      </c>
      <c r="K168" s="48">
        <v>0</v>
      </c>
      <c r="L168" s="7" t="s">
        <v>3790</v>
      </c>
      <c r="M168" s="7">
        <v>2958465</v>
      </c>
      <c r="N168" s="7">
        <v>44550</v>
      </c>
      <c r="O168" s="7" t="s">
        <v>3790</v>
      </c>
      <c r="P168" s="48">
        <v>140</v>
      </c>
      <c r="Q168" s="48">
        <v>14</v>
      </c>
      <c r="R168" s="48">
        <v>14</v>
      </c>
      <c r="S168" s="48">
        <v>2000</v>
      </c>
      <c r="T168" s="5" t="s">
        <v>5548</v>
      </c>
      <c r="V168" s="32" t="s">
        <v>4171</v>
      </c>
    </row>
    <row r="169" spans="1:22">
      <c r="A169" s="5" t="s">
        <v>893</v>
      </c>
      <c r="B169" s="32" t="s">
        <v>953</v>
      </c>
      <c r="C169" s="32" t="s">
        <v>952</v>
      </c>
      <c r="D169" s="5" t="s">
        <v>4149</v>
      </c>
      <c r="E169" s="48">
        <v>0</v>
      </c>
      <c r="G169" s="7">
        <v>44987</v>
      </c>
      <c r="J169" s="48">
        <v>0</v>
      </c>
      <c r="K169" s="48">
        <v>0</v>
      </c>
      <c r="L169" s="7" t="s">
        <v>3790</v>
      </c>
      <c r="M169" s="7" t="s">
        <v>3790</v>
      </c>
      <c r="N169" s="7">
        <v>44664</v>
      </c>
      <c r="O169" s="7">
        <v>45001</v>
      </c>
      <c r="P169" s="48">
        <v>140</v>
      </c>
      <c r="Q169" s="48">
        <v>14</v>
      </c>
      <c r="R169" s="48">
        <v>14</v>
      </c>
      <c r="S169" s="48">
        <v>3000</v>
      </c>
      <c r="T169" s="5" t="s">
        <v>5549</v>
      </c>
      <c r="V169" s="32" t="s">
        <v>3737</v>
      </c>
    </row>
    <row r="170" spans="1:22">
      <c r="A170" s="5" t="s">
        <v>893</v>
      </c>
      <c r="B170" s="32" t="s">
        <v>1095</v>
      </c>
      <c r="C170" s="32" t="s">
        <v>5561</v>
      </c>
      <c r="D170" s="5" t="s">
        <v>5562</v>
      </c>
      <c r="E170" s="48">
        <v>1411</v>
      </c>
      <c r="G170" s="7">
        <v>44868</v>
      </c>
      <c r="H170" s="32" t="s">
        <v>3658</v>
      </c>
      <c r="J170" s="48">
        <v>1411</v>
      </c>
      <c r="K170" s="48">
        <v>0</v>
      </c>
      <c r="L170" s="7" t="s">
        <v>3790</v>
      </c>
      <c r="M170" s="7">
        <v>45049</v>
      </c>
      <c r="N170" s="7">
        <v>44846</v>
      </c>
      <c r="O170" s="7" t="s">
        <v>3790</v>
      </c>
      <c r="P170" s="48">
        <v>140</v>
      </c>
      <c r="Q170" s="48">
        <v>14</v>
      </c>
      <c r="R170" s="48">
        <v>14</v>
      </c>
      <c r="S170" s="48">
        <v>2000</v>
      </c>
      <c r="T170" s="5" t="s">
        <v>5548</v>
      </c>
      <c r="V170" s="32" t="s">
        <v>6393</v>
      </c>
    </row>
    <row r="171" spans="1:22">
      <c r="A171" s="5" t="s">
        <v>893</v>
      </c>
      <c r="B171" s="32" t="s">
        <v>1106</v>
      </c>
      <c r="C171" s="32" t="s">
        <v>1104</v>
      </c>
      <c r="D171" s="5" t="s">
        <v>4149</v>
      </c>
      <c r="E171" s="48">
        <v>0</v>
      </c>
      <c r="G171" s="7">
        <v>44931</v>
      </c>
      <c r="J171" s="48">
        <v>0</v>
      </c>
      <c r="K171" s="48">
        <v>0</v>
      </c>
      <c r="L171" s="7" t="s">
        <v>3790</v>
      </c>
      <c r="M171" s="7" t="s">
        <v>3790</v>
      </c>
      <c r="N171" s="7">
        <v>44664</v>
      </c>
      <c r="O171" s="7">
        <v>44945</v>
      </c>
      <c r="P171" s="48">
        <v>140</v>
      </c>
      <c r="Q171" s="48">
        <v>14</v>
      </c>
      <c r="R171" s="48">
        <v>14</v>
      </c>
      <c r="S171" s="48">
        <v>5000</v>
      </c>
      <c r="T171" s="5" t="s">
        <v>5549</v>
      </c>
      <c r="V171" s="32" t="s">
        <v>3738</v>
      </c>
    </row>
    <row r="172" spans="1:22">
      <c r="A172" s="5" t="s">
        <v>893</v>
      </c>
      <c r="B172" s="32" t="s">
        <v>3739</v>
      </c>
      <c r="C172" s="32" t="s">
        <v>3740</v>
      </c>
      <c r="D172" s="5" t="s">
        <v>4191</v>
      </c>
      <c r="E172" s="48">
        <v>2533</v>
      </c>
      <c r="G172" s="7">
        <v>44812</v>
      </c>
      <c r="H172" s="32" t="s">
        <v>3658</v>
      </c>
      <c r="J172" s="48">
        <v>2533</v>
      </c>
      <c r="K172" s="48">
        <v>0</v>
      </c>
      <c r="L172" s="7" t="s">
        <v>3790</v>
      </c>
      <c r="M172" s="7">
        <v>44992</v>
      </c>
      <c r="N172" s="7">
        <v>44690</v>
      </c>
      <c r="O172" s="7" t="s">
        <v>3790</v>
      </c>
      <c r="P172" s="48">
        <v>140</v>
      </c>
      <c r="Q172" s="48">
        <v>14</v>
      </c>
      <c r="R172" s="48">
        <v>14</v>
      </c>
      <c r="S172" s="48">
        <v>3000</v>
      </c>
      <c r="T172" s="5" t="s">
        <v>5548</v>
      </c>
      <c r="V172" s="32" t="s">
        <v>3741</v>
      </c>
    </row>
    <row r="173" spans="1:22">
      <c r="A173" s="5" t="s">
        <v>893</v>
      </c>
      <c r="B173" s="32" t="s">
        <v>1291</v>
      </c>
      <c r="C173" s="32" t="s">
        <v>3742</v>
      </c>
      <c r="D173" s="5" t="s">
        <v>4063</v>
      </c>
      <c r="E173" s="48">
        <v>10655</v>
      </c>
      <c r="G173" s="7">
        <v>44902</v>
      </c>
      <c r="H173" s="32" t="s">
        <v>3658</v>
      </c>
      <c r="J173" s="48">
        <v>10655</v>
      </c>
      <c r="K173" s="48">
        <v>0</v>
      </c>
      <c r="L173" s="7" t="s">
        <v>3790</v>
      </c>
      <c r="M173" s="7">
        <v>45082</v>
      </c>
      <c r="N173" s="7">
        <v>44750</v>
      </c>
      <c r="O173" s="7" t="s">
        <v>3790</v>
      </c>
      <c r="P173" s="48">
        <v>140</v>
      </c>
      <c r="Q173" s="48">
        <v>14</v>
      </c>
      <c r="R173" s="48">
        <v>14</v>
      </c>
      <c r="S173" s="48">
        <v>13000</v>
      </c>
      <c r="T173" s="5" t="s">
        <v>5548</v>
      </c>
      <c r="V173" s="32" t="s">
        <v>7697</v>
      </c>
    </row>
    <row r="174" spans="1:22">
      <c r="A174" s="5" t="s">
        <v>893</v>
      </c>
      <c r="B174" s="32" t="s">
        <v>1291</v>
      </c>
      <c r="C174" s="32" t="s">
        <v>3742</v>
      </c>
      <c r="D174" s="5" t="s">
        <v>7695</v>
      </c>
      <c r="E174" s="48">
        <v>0</v>
      </c>
      <c r="G174" s="7">
        <v>45022</v>
      </c>
      <c r="J174" s="48">
        <v>0</v>
      </c>
      <c r="K174" s="48">
        <v>0</v>
      </c>
      <c r="L174" s="7" t="s">
        <v>3790</v>
      </c>
      <c r="M174" s="7" t="s">
        <v>3790</v>
      </c>
      <c r="N174" s="7">
        <v>44922</v>
      </c>
      <c r="O174" s="7">
        <v>45036</v>
      </c>
      <c r="P174" s="48">
        <v>140</v>
      </c>
      <c r="Q174" s="48">
        <v>14</v>
      </c>
      <c r="R174" s="48">
        <v>14</v>
      </c>
      <c r="S174" s="48">
        <v>13000</v>
      </c>
      <c r="T174" s="5" t="s">
        <v>5549</v>
      </c>
      <c r="V174" s="32" t="s">
        <v>7694</v>
      </c>
    </row>
    <row r="175" spans="1:22">
      <c r="A175" s="5" t="s">
        <v>893</v>
      </c>
      <c r="B175" s="32" t="s">
        <v>1293</v>
      </c>
      <c r="C175" s="32" t="s">
        <v>3742</v>
      </c>
      <c r="D175" s="5" t="s">
        <v>4063</v>
      </c>
      <c r="E175" s="48">
        <v>2304</v>
      </c>
      <c r="G175" s="7">
        <v>44902</v>
      </c>
      <c r="H175" s="32" t="s">
        <v>3658</v>
      </c>
      <c r="J175" s="48">
        <v>2304</v>
      </c>
      <c r="K175" s="48">
        <v>0</v>
      </c>
      <c r="L175" s="7" t="s">
        <v>3790</v>
      </c>
      <c r="M175" s="7">
        <v>45082</v>
      </c>
      <c r="N175" s="7">
        <v>44750</v>
      </c>
      <c r="O175" s="7" t="s">
        <v>3790</v>
      </c>
      <c r="P175" s="48">
        <v>140</v>
      </c>
      <c r="Q175" s="48">
        <v>14</v>
      </c>
      <c r="R175" s="48">
        <v>14</v>
      </c>
      <c r="S175" s="48">
        <v>2000</v>
      </c>
      <c r="T175" s="5" t="s">
        <v>5548</v>
      </c>
      <c r="V175" s="32" t="s">
        <v>3743</v>
      </c>
    </row>
    <row r="176" spans="1:22">
      <c r="A176" s="5" t="s">
        <v>893</v>
      </c>
      <c r="B176" s="32" t="s">
        <v>1293</v>
      </c>
      <c r="C176" s="32" t="s">
        <v>3742</v>
      </c>
      <c r="D176" s="5" t="s">
        <v>7695</v>
      </c>
      <c r="E176" s="48">
        <v>0</v>
      </c>
      <c r="G176" s="7">
        <v>45022</v>
      </c>
      <c r="J176" s="48">
        <v>0</v>
      </c>
      <c r="K176" s="48">
        <v>0</v>
      </c>
      <c r="L176" s="7" t="s">
        <v>3790</v>
      </c>
      <c r="M176" s="7" t="s">
        <v>3790</v>
      </c>
      <c r="N176" s="7">
        <v>44922</v>
      </c>
      <c r="O176" s="7">
        <v>45036</v>
      </c>
      <c r="P176" s="48">
        <v>140</v>
      </c>
      <c r="Q176" s="48">
        <v>14</v>
      </c>
      <c r="R176" s="48">
        <v>14</v>
      </c>
      <c r="S176" s="48">
        <v>2000</v>
      </c>
      <c r="T176" s="5" t="s">
        <v>5549</v>
      </c>
      <c r="V176" s="32" t="s">
        <v>7698</v>
      </c>
    </row>
    <row r="177" spans="1:22">
      <c r="A177" s="5" t="s">
        <v>893</v>
      </c>
      <c r="B177" s="32" t="s">
        <v>1578</v>
      </c>
      <c r="C177" s="32" t="s">
        <v>1579</v>
      </c>
      <c r="D177" s="5" t="s">
        <v>4234</v>
      </c>
      <c r="E177" s="48">
        <v>0</v>
      </c>
      <c r="G177" s="7">
        <v>44945</v>
      </c>
      <c r="J177" s="48">
        <v>0</v>
      </c>
      <c r="K177" s="48">
        <v>0</v>
      </c>
      <c r="L177" s="7" t="s">
        <v>3790</v>
      </c>
      <c r="M177" s="7" t="s">
        <v>3790</v>
      </c>
      <c r="N177" s="7">
        <v>44750</v>
      </c>
      <c r="O177" s="7">
        <v>44959</v>
      </c>
      <c r="P177" s="48">
        <v>140</v>
      </c>
      <c r="Q177" s="48">
        <v>14</v>
      </c>
      <c r="R177" s="48">
        <v>14</v>
      </c>
      <c r="S177" s="48">
        <v>3000</v>
      </c>
      <c r="T177" s="5" t="s">
        <v>5549</v>
      </c>
      <c r="V177" s="32" t="s">
        <v>3744</v>
      </c>
    </row>
    <row r="178" spans="1:22">
      <c r="A178" s="5" t="s">
        <v>893</v>
      </c>
      <c r="B178" s="32" t="s">
        <v>1600</v>
      </c>
      <c r="C178" s="32" t="s">
        <v>3745</v>
      </c>
      <c r="D178" s="5" t="s">
        <v>4241</v>
      </c>
      <c r="E178" s="48">
        <v>456</v>
      </c>
      <c r="G178" s="7">
        <v>44776</v>
      </c>
      <c r="H178" s="32" t="s">
        <v>3658</v>
      </c>
      <c r="J178" s="48">
        <v>456</v>
      </c>
      <c r="K178" s="48">
        <v>0</v>
      </c>
      <c r="L178" s="7" t="s">
        <v>3790</v>
      </c>
      <c r="M178" s="7">
        <v>44957</v>
      </c>
      <c r="N178" s="7">
        <v>44705</v>
      </c>
      <c r="O178" s="7" t="s">
        <v>3790</v>
      </c>
      <c r="P178" s="48">
        <v>140</v>
      </c>
      <c r="Q178" s="48">
        <v>14</v>
      </c>
      <c r="R178" s="48">
        <v>14</v>
      </c>
      <c r="S178" s="48">
        <v>500</v>
      </c>
      <c r="T178" s="5" t="s">
        <v>5548</v>
      </c>
      <c r="V178" s="32" t="s">
        <v>3746</v>
      </c>
    </row>
    <row r="179" spans="1:22">
      <c r="A179" s="5" t="s">
        <v>893</v>
      </c>
      <c r="B179" s="32" t="s">
        <v>1600</v>
      </c>
      <c r="C179" s="32" t="s">
        <v>3745</v>
      </c>
      <c r="D179" s="5" t="s">
        <v>5258</v>
      </c>
      <c r="E179" s="48">
        <v>0</v>
      </c>
      <c r="G179" s="7">
        <v>44938</v>
      </c>
      <c r="J179" s="48">
        <v>0</v>
      </c>
      <c r="K179" s="48">
        <v>0</v>
      </c>
      <c r="L179" s="7" t="s">
        <v>3790</v>
      </c>
      <c r="M179" s="7" t="s">
        <v>3790</v>
      </c>
      <c r="N179" s="7">
        <v>44812</v>
      </c>
      <c r="O179" s="7">
        <v>44952</v>
      </c>
      <c r="P179" s="48">
        <v>140</v>
      </c>
      <c r="Q179" s="48">
        <v>14</v>
      </c>
      <c r="R179" s="48">
        <v>14</v>
      </c>
      <c r="S179" s="48">
        <v>500</v>
      </c>
      <c r="T179" s="5" t="s">
        <v>5549</v>
      </c>
      <c r="V179" s="32" t="s">
        <v>5263</v>
      </c>
    </row>
    <row r="180" spans="1:22">
      <c r="A180" s="5" t="s">
        <v>893</v>
      </c>
      <c r="B180" s="32" t="s">
        <v>1602</v>
      </c>
      <c r="C180" s="32" t="s">
        <v>3745</v>
      </c>
      <c r="D180" s="5" t="s">
        <v>4241</v>
      </c>
      <c r="E180" s="48">
        <v>1610</v>
      </c>
      <c r="G180" s="7">
        <v>44776</v>
      </c>
      <c r="H180" s="32" t="s">
        <v>3658</v>
      </c>
      <c r="J180" s="48">
        <v>1610</v>
      </c>
      <c r="K180" s="48">
        <v>0</v>
      </c>
      <c r="L180" s="7" t="s">
        <v>3790</v>
      </c>
      <c r="M180" s="7">
        <v>44957</v>
      </c>
      <c r="N180" s="7">
        <v>44705</v>
      </c>
      <c r="O180" s="7" t="s">
        <v>3790</v>
      </c>
      <c r="P180" s="48">
        <v>140</v>
      </c>
      <c r="Q180" s="48">
        <v>14</v>
      </c>
      <c r="R180" s="48">
        <v>14</v>
      </c>
      <c r="S180" s="48">
        <v>7000</v>
      </c>
      <c r="T180" s="5" t="s">
        <v>5548</v>
      </c>
      <c r="V180" s="32" t="s">
        <v>3747</v>
      </c>
    </row>
    <row r="181" spans="1:22">
      <c r="A181" s="5" t="s">
        <v>893</v>
      </c>
      <c r="B181" s="32" t="s">
        <v>1602</v>
      </c>
      <c r="C181" s="32" t="s">
        <v>3745</v>
      </c>
      <c r="D181" s="5" t="s">
        <v>5258</v>
      </c>
      <c r="E181" s="48">
        <v>0</v>
      </c>
      <c r="G181" s="7">
        <v>44938</v>
      </c>
      <c r="J181" s="48">
        <v>0</v>
      </c>
      <c r="K181" s="48">
        <v>0</v>
      </c>
      <c r="L181" s="7" t="s">
        <v>3790</v>
      </c>
      <c r="M181" s="7" t="s">
        <v>3790</v>
      </c>
      <c r="N181" s="7">
        <v>44812</v>
      </c>
      <c r="O181" s="7">
        <v>44952</v>
      </c>
      <c r="P181" s="48">
        <v>140</v>
      </c>
      <c r="Q181" s="48">
        <v>14</v>
      </c>
      <c r="R181" s="48">
        <v>14</v>
      </c>
      <c r="S181" s="48">
        <v>8000</v>
      </c>
      <c r="T181" s="5" t="s">
        <v>5549</v>
      </c>
      <c r="V181" s="32" t="s">
        <v>5264</v>
      </c>
    </row>
    <row r="182" spans="1:22">
      <c r="A182" s="5" t="s">
        <v>893</v>
      </c>
      <c r="B182" s="32" t="s">
        <v>1614</v>
      </c>
      <c r="C182" s="32" t="s">
        <v>3748</v>
      </c>
      <c r="D182" s="5" t="s">
        <v>4244</v>
      </c>
      <c r="E182" s="48">
        <v>4456</v>
      </c>
      <c r="G182" s="7">
        <v>44852</v>
      </c>
      <c r="H182" s="32" t="s">
        <v>3756</v>
      </c>
      <c r="J182" s="48">
        <v>4456</v>
      </c>
      <c r="K182" s="48">
        <v>0</v>
      </c>
      <c r="L182" s="7" t="s">
        <v>3790</v>
      </c>
      <c r="M182" s="7">
        <v>45032</v>
      </c>
      <c r="N182" s="7">
        <v>44799</v>
      </c>
      <c r="O182" s="7">
        <v>44866</v>
      </c>
      <c r="P182" s="48">
        <v>140</v>
      </c>
      <c r="Q182" s="48">
        <v>14</v>
      </c>
      <c r="R182" s="48">
        <v>14</v>
      </c>
      <c r="S182" s="48">
        <v>5000</v>
      </c>
      <c r="T182" s="5" t="s">
        <v>5548</v>
      </c>
      <c r="V182" s="32" t="s">
        <v>6396</v>
      </c>
    </row>
    <row r="183" spans="1:22">
      <c r="A183" s="5" t="s">
        <v>893</v>
      </c>
      <c r="B183" s="32" t="s">
        <v>1617</v>
      </c>
      <c r="C183" s="32" t="s">
        <v>3748</v>
      </c>
      <c r="D183" s="5" t="s">
        <v>4244</v>
      </c>
      <c r="E183" s="48">
        <v>3765</v>
      </c>
      <c r="G183" s="7">
        <v>44852</v>
      </c>
      <c r="H183" s="32" t="s">
        <v>3756</v>
      </c>
      <c r="J183" s="48">
        <v>3765</v>
      </c>
      <c r="K183" s="48">
        <v>0</v>
      </c>
      <c r="L183" s="7" t="s">
        <v>3790</v>
      </c>
      <c r="M183" s="7">
        <v>45032</v>
      </c>
      <c r="N183" s="7">
        <v>44799</v>
      </c>
      <c r="O183" s="7">
        <v>44866</v>
      </c>
      <c r="P183" s="48">
        <v>140</v>
      </c>
      <c r="Q183" s="48">
        <v>14</v>
      </c>
      <c r="R183" s="48">
        <v>14</v>
      </c>
      <c r="S183" s="48">
        <v>2500</v>
      </c>
      <c r="T183" s="5" t="s">
        <v>5548</v>
      </c>
      <c r="V183" s="32" t="s">
        <v>6010</v>
      </c>
    </row>
    <row r="184" spans="1:22">
      <c r="A184" s="5" t="s">
        <v>893</v>
      </c>
      <c r="B184" s="32" t="s">
        <v>1713</v>
      </c>
      <c r="C184" s="32" t="s">
        <v>6158</v>
      </c>
      <c r="D184" s="5" t="s">
        <v>6160</v>
      </c>
      <c r="E184" s="48">
        <v>0</v>
      </c>
      <c r="G184" s="7">
        <v>44945</v>
      </c>
      <c r="J184" s="48">
        <v>0</v>
      </c>
      <c r="K184" s="48">
        <v>0</v>
      </c>
      <c r="L184" s="7" t="s">
        <v>3790</v>
      </c>
      <c r="M184" s="7" t="s">
        <v>3790</v>
      </c>
      <c r="N184" s="7">
        <v>44873</v>
      </c>
      <c r="O184" s="7">
        <v>44959</v>
      </c>
      <c r="P184" s="48">
        <v>140</v>
      </c>
      <c r="Q184" s="48">
        <v>14</v>
      </c>
      <c r="R184" s="48">
        <v>14</v>
      </c>
      <c r="S184" s="48">
        <v>400</v>
      </c>
      <c r="T184" s="5" t="s">
        <v>5549</v>
      </c>
      <c r="V184" s="32" t="s">
        <v>6159</v>
      </c>
    </row>
    <row r="185" spans="1:22">
      <c r="A185" s="5" t="s">
        <v>893</v>
      </c>
      <c r="B185" s="32" t="s">
        <v>1714</v>
      </c>
      <c r="C185" s="32" t="s">
        <v>3749</v>
      </c>
      <c r="D185" s="5" t="s">
        <v>4257</v>
      </c>
      <c r="E185" s="48">
        <v>2193</v>
      </c>
      <c r="G185" s="7">
        <v>44861</v>
      </c>
      <c r="H185" s="32" t="s">
        <v>3658</v>
      </c>
      <c r="J185" s="48">
        <v>2193</v>
      </c>
      <c r="K185" s="48">
        <v>0</v>
      </c>
      <c r="L185" s="7" t="s">
        <v>3790</v>
      </c>
      <c r="M185" s="7">
        <v>45045</v>
      </c>
      <c r="N185" s="7">
        <v>44791</v>
      </c>
      <c r="O185" s="7" t="s">
        <v>3790</v>
      </c>
      <c r="P185" s="48">
        <v>140</v>
      </c>
      <c r="Q185" s="48">
        <v>14</v>
      </c>
      <c r="R185" s="48">
        <v>14</v>
      </c>
      <c r="S185" s="48">
        <v>2200</v>
      </c>
      <c r="T185" s="5" t="s">
        <v>5548</v>
      </c>
      <c r="V185" s="32" t="s">
        <v>6011</v>
      </c>
    </row>
    <row r="186" spans="1:22">
      <c r="A186" s="5" t="s">
        <v>893</v>
      </c>
      <c r="B186" s="32" t="s">
        <v>1778</v>
      </c>
      <c r="C186" s="32" t="s">
        <v>1777</v>
      </c>
      <c r="D186" s="5" t="s">
        <v>4266</v>
      </c>
      <c r="E186" s="48">
        <v>500</v>
      </c>
      <c r="G186" s="7">
        <v>44784</v>
      </c>
      <c r="H186" s="32" t="s">
        <v>3658</v>
      </c>
      <c r="J186" s="48">
        <v>500</v>
      </c>
      <c r="K186" s="48">
        <v>0</v>
      </c>
      <c r="L186" s="7" t="s">
        <v>3790</v>
      </c>
      <c r="M186" s="7">
        <v>44965</v>
      </c>
      <c r="N186" s="7">
        <v>44489</v>
      </c>
      <c r="O186" s="7" t="s">
        <v>3790</v>
      </c>
      <c r="P186" s="48">
        <v>140</v>
      </c>
      <c r="Q186" s="48">
        <v>14</v>
      </c>
      <c r="R186" s="48">
        <v>14</v>
      </c>
      <c r="S186" s="48">
        <v>1000</v>
      </c>
      <c r="T186" s="5" t="s">
        <v>5548</v>
      </c>
      <c r="V186" s="32" t="s">
        <v>3750</v>
      </c>
    </row>
    <row r="187" spans="1:22">
      <c r="A187" s="5" t="s">
        <v>893</v>
      </c>
      <c r="B187" s="32" t="s">
        <v>1779</v>
      </c>
      <c r="C187" s="32" t="s">
        <v>1777</v>
      </c>
      <c r="D187" s="5" t="s">
        <v>4266</v>
      </c>
      <c r="E187" s="48">
        <v>2167</v>
      </c>
      <c r="G187" s="7">
        <v>44784</v>
      </c>
      <c r="H187" s="32" t="s">
        <v>3658</v>
      </c>
      <c r="J187" s="48">
        <v>2167</v>
      </c>
      <c r="K187" s="48">
        <v>0</v>
      </c>
      <c r="L187" s="7" t="s">
        <v>3790</v>
      </c>
      <c r="M187" s="7">
        <v>44965</v>
      </c>
      <c r="N187" s="7">
        <v>44489</v>
      </c>
      <c r="O187" s="7" t="s">
        <v>3790</v>
      </c>
      <c r="P187" s="48">
        <v>140</v>
      </c>
      <c r="Q187" s="48">
        <v>14</v>
      </c>
      <c r="R187" s="48">
        <v>14</v>
      </c>
      <c r="S187" s="48">
        <v>2000</v>
      </c>
      <c r="T187" s="5" t="s">
        <v>5548</v>
      </c>
      <c r="V187" s="32" t="s">
        <v>3751</v>
      </c>
    </row>
    <row r="188" spans="1:22">
      <c r="A188" s="5" t="s">
        <v>893</v>
      </c>
      <c r="B188" s="32" t="s">
        <v>1786</v>
      </c>
      <c r="C188" s="32" t="s">
        <v>7717</v>
      </c>
      <c r="D188" s="5" t="s">
        <v>7720</v>
      </c>
      <c r="E188" s="48">
        <v>0</v>
      </c>
      <c r="G188" s="7" t="e">
        <v>#VALUE!</v>
      </c>
      <c r="J188" s="48">
        <v>0</v>
      </c>
      <c r="K188" s="48">
        <v>0</v>
      </c>
      <c r="L188" s="7" t="s">
        <v>3790</v>
      </c>
      <c r="M188" s="7" t="s">
        <v>3790</v>
      </c>
      <c r="N188" s="7">
        <v>44904</v>
      </c>
      <c r="O188" s="7" t="e">
        <v>#VALUE!</v>
      </c>
      <c r="P188" s="48">
        <v>140</v>
      </c>
      <c r="Q188" s="48">
        <v>14</v>
      </c>
      <c r="R188" s="48">
        <v>14</v>
      </c>
      <c r="S188" s="48">
        <v>5000</v>
      </c>
      <c r="T188" s="5" t="s">
        <v>7610</v>
      </c>
      <c r="V188" s="32" t="s">
        <v>7719</v>
      </c>
    </row>
    <row r="189" spans="1:22">
      <c r="A189" s="5" t="s">
        <v>893</v>
      </c>
      <c r="B189" s="32" t="s">
        <v>1801</v>
      </c>
      <c r="C189" s="32" t="s">
        <v>1798</v>
      </c>
      <c r="D189" s="5" t="s">
        <v>4149</v>
      </c>
      <c r="E189" s="48">
        <v>168</v>
      </c>
      <c r="G189" s="7">
        <v>44777</v>
      </c>
      <c r="H189" s="32" t="s">
        <v>3658</v>
      </c>
      <c r="J189" s="48">
        <v>168</v>
      </c>
      <c r="K189" s="48">
        <v>0</v>
      </c>
      <c r="L189" s="7" t="s">
        <v>3790</v>
      </c>
      <c r="M189" s="7">
        <v>44956</v>
      </c>
      <c r="N189" s="7">
        <v>44664</v>
      </c>
      <c r="O189" s="7" t="s">
        <v>3790</v>
      </c>
      <c r="P189" s="48">
        <v>140</v>
      </c>
      <c r="Q189" s="48">
        <v>14</v>
      </c>
      <c r="R189" s="48">
        <v>14</v>
      </c>
      <c r="S189" s="48">
        <v>1500</v>
      </c>
      <c r="T189" s="5" t="s">
        <v>5548</v>
      </c>
      <c r="V189" s="32" t="s">
        <v>3752</v>
      </c>
    </row>
    <row r="190" spans="1:22">
      <c r="A190" s="5" t="s">
        <v>893</v>
      </c>
      <c r="B190" s="32" t="s">
        <v>1801</v>
      </c>
      <c r="C190" s="32" t="s">
        <v>1798</v>
      </c>
      <c r="D190" s="5" t="s">
        <v>4269</v>
      </c>
      <c r="E190" s="48">
        <v>3111</v>
      </c>
      <c r="G190" s="7">
        <v>44910</v>
      </c>
      <c r="H190" s="32" t="s">
        <v>3756</v>
      </c>
      <c r="J190" s="48">
        <v>3111</v>
      </c>
      <c r="K190" s="48">
        <v>0</v>
      </c>
      <c r="L190" s="7" t="s">
        <v>3790</v>
      </c>
      <c r="M190" s="7">
        <v>45093</v>
      </c>
      <c r="N190" s="7">
        <v>44797</v>
      </c>
      <c r="O190" s="7">
        <v>44924</v>
      </c>
      <c r="P190" s="48">
        <v>140</v>
      </c>
      <c r="Q190" s="48">
        <v>14</v>
      </c>
      <c r="R190" s="48">
        <v>14</v>
      </c>
      <c r="S190" s="48">
        <v>3000</v>
      </c>
      <c r="T190" s="5" t="s">
        <v>5548</v>
      </c>
      <c r="V190" s="32" t="s">
        <v>3753</v>
      </c>
    </row>
    <row r="191" spans="1:22">
      <c r="A191" s="5" t="s">
        <v>893</v>
      </c>
      <c r="B191" s="32" t="s">
        <v>1848</v>
      </c>
      <c r="C191" s="32" t="s">
        <v>3754</v>
      </c>
      <c r="D191" s="5" t="s">
        <v>5258</v>
      </c>
      <c r="E191" s="48">
        <v>0</v>
      </c>
      <c r="G191" s="7">
        <v>44945</v>
      </c>
      <c r="J191" s="48">
        <v>0</v>
      </c>
      <c r="K191" s="48">
        <v>0</v>
      </c>
      <c r="L191" s="7" t="s">
        <v>3790</v>
      </c>
      <c r="M191" s="7" t="s">
        <v>3790</v>
      </c>
      <c r="N191" s="7">
        <v>44812</v>
      </c>
      <c r="O191" s="7">
        <v>44959</v>
      </c>
      <c r="P191" s="48">
        <v>140</v>
      </c>
      <c r="Q191" s="48">
        <v>14</v>
      </c>
      <c r="R191" s="48">
        <v>14</v>
      </c>
      <c r="S191" s="48">
        <v>3000</v>
      </c>
      <c r="T191" s="5" t="s">
        <v>5549</v>
      </c>
      <c r="V191" s="32" t="s">
        <v>5265</v>
      </c>
    </row>
    <row r="192" spans="1:22">
      <c r="A192" s="5" t="s">
        <v>893</v>
      </c>
      <c r="B192" s="32" t="s">
        <v>1860</v>
      </c>
      <c r="C192" s="32" t="s">
        <v>7590</v>
      </c>
      <c r="D192" s="5" t="s">
        <v>7591</v>
      </c>
      <c r="E192" s="48">
        <v>501</v>
      </c>
      <c r="G192" s="7">
        <v>44904</v>
      </c>
      <c r="H192" s="32" t="s">
        <v>3756</v>
      </c>
      <c r="J192" s="48">
        <v>501</v>
      </c>
      <c r="K192" s="48">
        <v>0</v>
      </c>
      <c r="L192" s="7" t="s">
        <v>3790</v>
      </c>
      <c r="M192" s="7">
        <v>45086</v>
      </c>
      <c r="N192" s="7" t="s">
        <v>4068</v>
      </c>
      <c r="O192" s="7">
        <v>44918</v>
      </c>
      <c r="P192" s="48">
        <v>140</v>
      </c>
      <c r="Q192" s="48">
        <v>14</v>
      </c>
      <c r="R192" s="48">
        <v>14</v>
      </c>
      <c r="S192" s="48">
        <v>1000</v>
      </c>
      <c r="T192" s="5" t="s">
        <v>5548</v>
      </c>
      <c r="V192" s="32" t="s">
        <v>7722</v>
      </c>
    </row>
    <row r="193" spans="1:22">
      <c r="A193" s="5" t="s">
        <v>893</v>
      </c>
      <c r="B193" s="32" t="s">
        <v>1862</v>
      </c>
      <c r="C193" s="32" t="s">
        <v>1863</v>
      </c>
      <c r="D193" s="5" t="s">
        <v>6013</v>
      </c>
      <c r="E193" s="48">
        <v>0</v>
      </c>
      <c r="G193" s="7">
        <v>45008</v>
      </c>
      <c r="J193" s="48">
        <v>0</v>
      </c>
      <c r="K193" s="48">
        <v>0</v>
      </c>
      <c r="L193" s="7" t="s">
        <v>3790</v>
      </c>
      <c r="M193" s="7" t="s">
        <v>3790</v>
      </c>
      <c r="N193" s="7">
        <v>44869</v>
      </c>
      <c r="O193" s="7">
        <v>45022</v>
      </c>
      <c r="P193" s="48">
        <v>140</v>
      </c>
      <c r="Q193" s="48">
        <v>14</v>
      </c>
      <c r="R193" s="48">
        <v>14</v>
      </c>
      <c r="S193" s="48">
        <v>2500</v>
      </c>
      <c r="T193" s="5" t="s">
        <v>5549</v>
      </c>
      <c r="V193" s="32" t="s">
        <v>6012</v>
      </c>
    </row>
    <row r="194" spans="1:22">
      <c r="A194" s="5" t="s">
        <v>893</v>
      </c>
      <c r="B194" s="32" t="s">
        <v>1864</v>
      </c>
      <c r="C194" s="32" t="s">
        <v>1863</v>
      </c>
      <c r="D194" s="5" t="s">
        <v>4290</v>
      </c>
      <c r="E194" s="48">
        <v>504</v>
      </c>
      <c r="G194" s="7">
        <v>44552</v>
      </c>
      <c r="H194" s="32" t="s">
        <v>3658</v>
      </c>
      <c r="I194" s="48">
        <v>504</v>
      </c>
      <c r="J194" s="48">
        <v>0</v>
      </c>
      <c r="K194" s="48">
        <v>0</v>
      </c>
      <c r="L194" s="7" t="s">
        <v>3790</v>
      </c>
      <c r="M194" s="7">
        <v>2958465</v>
      </c>
      <c r="N194" s="7">
        <v>44386</v>
      </c>
      <c r="O194" s="7" t="s">
        <v>3790</v>
      </c>
      <c r="P194" s="48">
        <v>140</v>
      </c>
      <c r="Q194" s="48">
        <v>14</v>
      </c>
      <c r="R194" s="48">
        <v>14</v>
      </c>
      <c r="S194" s="48">
        <v>500</v>
      </c>
      <c r="T194" s="5" t="s">
        <v>5548</v>
      </c>
      <c r="V194" s="32" t="s">
        <v>3755</v>
      </c>
    </row>
    <row r="195" spans="1:22">
      <c r="A195" s="5" t="s">
        <v>893</v>
      </c>
      <c r="B195" s="32" t="s">
        <v>1864</v>
      </c>
      <c r="C195" s="32" t="s">
        <v>1863</v>
      </c>
      <c r="D195" s="5" t="s">
        <v>6013</v>
      </c>
      <c r="E195" s="48">
        <v>0</v>
      </c>
      <c r="G195" s="7">
        <v>45008</v>
      </c>
      <c r="J195" s="48">
        <v>0</v>
      </c>
      <c r="K195" s="48">
        <v>0</v>
      </c>
      <c r="L195" s="7" t="s">
        <v>3790</v>
      </c>
      <c r="M195" s="7" t="s">
        <v>3790</v>
      </c>
      <c r="N195" s="7">
        <v>44869</v>
      </c>
      <c r="O195" s="7">
        <v>45022</v>
      </c>
      <c r="P195" s="48">
        <v>140</v>
      </c>
      <c r="Q195" s="48">
        <v>14</v>
      </c>
      <c r="R195" s="48">
        <v>14</v>
      </c>
      <c r="S195" s="48">
        <v>500</v>
      </c>
      <c r="T195" s="5" t="s">
        <v>5549</v>
      </c>
      <c r="V195" s="32" t="s">
        <v>6015</v>
      </c>
    </row>
    <row r="196" spans="1:22">
      <c r="A196" s="5" t="s">
        <v>893</v>
      </c>
      <c r="B196" s="32" t="s">
        <v>1894</v>
      </c>
      <c r="C196" s="32" t="s">
        <v>1895</v>
      </c>
      <c r="D196" s="5" t="s">
        <v>4234</v>
      </c>
      <c r="E196" s="48">
        <v>1331</v>
      </c>
      <c r="G196" s="7">
        <v>44798</v>
      </c>
      <c r="H196" s="32" t="s">
        <v>3658</v>
      </c>
      <c r="J196" s="48">
        <v>1331</v>
      </c>
      <c r="K196" s="48">
        <v>0</v>
      </c>
      <c r="L196" s="7" t="s">
        <v>3790</v>
      </c>
      <c r="M196" s="7">
        <v>44979</v>
      </c>
      <c r="N196" s="7">
        <v>44750</v>
      </c>
      <c r="O196" s="7" t="s">
        <v>3790</v>
      </c>
      <c r="P196" s="48">
        <v>140</v>
      </c>
      <c r="Q196" s="48">
        <v>14</v>
      </c>
      <c r="R196" s="48">
        <v>14</v>
      </c>
      <c r="S196" s="48">
        <v>1500</v>
      </c>
      <c r="T196" s="5" t="s">
        <v>5548</v>
      </c>
      <c r="V196" s="32" t="s">
        <v>3757</v>
      </c>
    </row>
    <row r="197" spans="1:22">
      <c r="A197" s="5" t="s">
        <v>893</v>
      </c>
      <c r="B197" s="32" t="s">
        <v>1896</v>
      </c>
      <c r="C197" s="32" t="s">
        <v>1895</v>
      </c>
      <c r="D197" s="5" t="s">
        <v>4234</v>
      </c>
      <c r="E197" s="48">
        <v>823</v>
      </c>
      <c r="G197" s="7">
        <v>44798</v>
      </c>
      <c r="H197" s="32" t="s">
        <v>3658</v>
      </c>
      <c r="J197" s="48">
        <v>823</v>
      </c>
      <c r="K197" s="48">
        <v>0</v>
      </c>
      <c r="L197" s="7" t="s">
        <v>3790</v>
      </c>
      <c r="M197" s="7">
        <v>44979</v>
      </c>
      <c r="N197" s="7">
        <v>44750</v>
      </c>
      <c r="O197" s="7" t="s">
        <v>3790</v>
      </c>
      <c r="P197" s="48">
        <v>140</v>
      </c>
      <c r="Q197" s="48">
        <v>14</v>
      </c>
      <c r="R197" s="48">
        <v>14</v>
      </c>
      <c r="S197" s="48">
        <v>1500</v>
      </c>
      <c r="T197" s="5" t="s">
        <v>5548</v>
      </c>
      <c r="V197" s="32" t="s">
        <v>3758</v>
      </c>
    </row>
    <row r="198" spans="1:22">
      <c r="A198" s="5" t="s">
        <v>893</v>
      </c>
      <c r="B198" s="32" t="s">
        <v>1896</v>
      </c>
      <c r="C198" s="32" t="s">
        <v>1895</v>
      </c>
      <c r="D198" s="5" t="s">
        <v>5520</v>
      </c>
      <c r="E198" s="48">
        <v>0</v>
      </c>
      <c r="G198" s="7">
        <v>44959</v>
      </c>
      <c r="J198" s="48">
        <v>0</v>
      </c>
      <c r="K198" s="48">
        <v>0</v>
      </c>
      <c r="L198" s="7" t="s">
        <v>3790</v>
      </c>
      <c r="M198" s="7" t="s">
        <v>3790</v>
      </c>
      <c r="N198" s="7">
        <v>44838</v>
      </c>
      <c r="O198" s="7">
        <v>44973</v>
      </c>
      <c r="P198" s="48">
        <v>140</v>
      </c>
      <c r="Q198" s="48">
        <v>14</v>
      </c>
      <c r="R198" s="48">
        <v>14</v>
      </c>
      <c r="S198" s="48">
        <v>3000</v>
      </c>
      <c r="T198" s="5" t="s">
        <v>5549</v>
      </c>
      <c r="V198" s="32" t="s">
        <v>5519</v>
      </c>
    </row>
    <row r="199" spans="1:22">
      <c r="A199" s="5" t="s">
        <v>893</v>
      </c>
      <c r="B199" s="32" t="s">
        <v>1897</v>
      </c>
      <c r="C199" s="32" t="s">
        <v>6162</v>
      </c>
      <c r="D199" s="5" t="s">
        <v>6160</v>
      </c>
      <c r="E199" s="48">
        <v>432</v>
      </c>
      <c r="G199" s="7">
        <v>44903</v>
      </c>
      <c r="H199" s="32" t="s">
        <v>3756</v>
      </c>
      <c r="J199" s="48">
        <v>432</v>
      </c>
      <c r="K199" s="48">
        <v>0</v>
      </c>
      <c r="L199" s="7" t="s">
        <v>3790</v>
      </c>
      <c r="M199" s="7">
        <v>45086</v>
      </c>
      <c r="N199" s="7">
        <v>44873</v>
      </c>
      <c r="O199" s="7">
        <v>44917</v>
      </c>
      <c r="P199" s="48">
        <v>140</v>
      </c>
      <c r="Q199" s="48">
        <v>14</v>
      </c>
      <c r="R199" s="48">
        <v>14</v>
      </c>
      <c r="S199" s="48">
        <v>400</v>
      </c>
      <c r="T199" s="5" t="s">
        <v>5548</v>
      </c>
      <c r="V199" s="32" t="s">
        <v>6163</v>
      </c>
    </row>
    <row r="200" spans="1:22">
      <c r="A200" s="5" t="s">
        <v>893</v>
      </c>
      <c r="B200" s="32" t="s">
        <v>1919</v>
      </c>
      <c r="C200" s="32" t="s">
        <v>3759</v>
      </c>
      <c r="D200" s="5" t="s">
        <v>5258</v>
      </c>
      <c r="E200" s="48">
        <v>5504</v>
      </c>
      <c r="G200" s="7">
        <v>44919</v>
      </c>
      <c r="H200" s="32" t="s">
        <v>3756</v>
      </c>
      <c r="J200" s="48">
        <v>5504</v>
      </c>
      <c r="K200" s="48">
        <v>0</v>
      </c>
      <c r="L200" s="7" t="s">
        <v>3790</v>
      </c>
      <c r="M200" s="7">
        <v>45105</v>
      </c>
      <c r="N200" s="7">
        <v>44812</v>
      </c>
      <c r="O200" s="7">
        <v>44933</v>
      </c>
      <c r="P200" s="48">
        <v>140</v>
      </c>
      <c r="Q200" s="48">
        <v>14</v>
      </c>
      <c r="R200" s="48">
        <v>14</v>
      </c>
      <c r="S200" s="48">
        <v>5000</v>
      </c>
      <c r="T200" s="5" t="s">
        <v>5548</v>
      </c>
      <c r="V200" s="32" t="s">
        <v>7730</v>
      </c>
    </row>
    <row r="201" spans="1:22">
      <c r="A201" s="5" t="s">
        <v>893</v>
      </c>
      <c r="B201" s="32" t="s">
        <v>1940</v>
      </c>
      <c r="C201" s="32" t="s">
        <v>1941</v>
      </c>
      <c r="D201" s="5" t="s">
        <v>5267</v>
      </c>
      <c r="E201" s="48">
        <v>0</v>
      </c>
      <c r="G201" s="7">
        <v>44952</v>
      </c>
      <c r="J201" s="48">
        <v>0</v>
      </c>
      <c r="K201" s="48">
        <v>0</v>
      </c>
      <c r="L201" s="7" t="s">
        <v>3790</v>
      </c>
      <c r="M201" s="7" t="s">
        <v>3790</v>
      </c>
      <c r="N201" s="7">
        <v>44830</v>
      </c>
      <c r="O201" s="7">
        <v>44966</v>
      </c>
      <c r="P201" s="48">
        <v>140</v>
      </c>
      <c r="Q201" s="48">
        <v>14</v>
      </c>
      <c r="R201" s="48">
        <v>14</v>
      </c>
      <c r="S201" s="48">
        <v>2500</v>
      </c>
      <c r="T201" s="5" t="s">
        <v>5549</v>
      </c>
      <c r="V201" s="32" t="s">
        <v>5266</v>
      </c>
    </row>
    <row r="202" spans="1:22">
      <c r="A202" s="5" t="s">
        <v>893</v>
      </c>
      <c r="B202" s="32" t="s">
        <v>1942</v>
      </c>
      <c r="C202" s="32" t="s">
        <v>1941</v>
      </c>
      <c r="D202" s="5" t="s">
        <v>5267</v>
      </c>
      <c r="E202" s="48">
        <v>0</v>
      </c>
      <c r="G202" s="7">
        <v>44952</v>
      </c>
      <c r="J202" s="48">
        <v>0</v>
      </c>
      <c r="K202" s="48">
        <v>0</v>
      </c>
      <c r="L202" s="7" t="s">
        <v>3790</v>
      </c>
      <c r="M202" s="7" t="s">
        <v>3790</v>
      </c>
      <c r="N202" s="7">
        <v>44830</v>
      </c>
      <c r="O202" s="7">
        <v>44966</v>
      </c>
      <c r="P202" s="48">
        <v>140</v>
      </c>
      <c r="Q202" s="48">
        <v>14</v>
      </c>
      <c r="R202" s="48">
        <v>14</v>
      </c>
      <c r="S202" s="48">
        <v>500</v>
      </c>
      <c r="T202" s="5" t="s">
        <v>5549</v>
      </c>
      <c r="V202" s="32" t="s">
        <v>5268</v>
      </c>
    </row>
    <row r="203" spans="1:22">
      <c r="A203" s="5" t="s">
        <v>893</v>
      </c>
      <c r="B203" s="32" t="s">
        <v>1968</v>
      </c>
      <c r="C203" s="32" t="s">
        <v>1969</v>
      </c>
      <c r="D203" s="5" t="s">
        <v>4303</v>
      </c>
      <c r="E203" s="48">
        <v>6231</v>
      </c>
      <c r="G203" s="7">
        <v>44869</v>
      </c>
      <c r="H203" s="32" t="s">
        <v>3658</v>
      </c>
      <c r="J203" s="48">
        <v>6231</v>
      </c>
      <c r="K203" s="48">
        <v>0</v>
      </c>
      <c r="L203" s="7" t="s">
        <v>3790</v>
      </c>
      <c r="M203" s="7">
        <v>45052</v>
      </c>
      <c r="N203" s="7">
        <v>44610</v>
      </c>
      <c r="O203" s="7" t="s">
        <v>3790</v>
      </c>
      <c r="P203" s="48">
        <v>140</v>
      </c>
      <c r="Q203" s="48">
        <v>14</v>
      </c>
      <c r="R203" s="48">
        <v>14</v>
      </c>
      <c r="S203" s="48">
        <v>6500</v>
      </c>
      <c r="T203" s="5" t="s">
        <v>5548</v>
      </c>
      <c r="V203" s="32" t="s">
        <v>6165</v>
      </c>
    </row>
    <row r="204" spans="1:22">
      <c r="A204" s="5" t="s">
        <v>893</v>
      </c>
      <c r="B204" s="32" t="s">
        <v>1968</v>
      </c>
      <c r="C204" s="32" t="s">
        <v>1969</v>
      </c>
      <c r="D204" s="5" t="s">
        <v>7695</v>
      </c>
      <c r="E204" s="48">
        <v>0</v>
      </c>
      <c r="G204" s="7">
        <v>45092</v>
      </c>
      <c r="J204" s="48">
        <v>0</v>
      </c>
      <c r="K204" s="48">
        <v>0</v>
      </c>
      <c r="L204" s="7" t="s">
        <v>3790</v>
      </c>
      <c r="M204" s="7" t="s">
        <v>3790</v>
      </c>
      <c r="N204" s="7">
        <v>44922</v>
      </c>
      <c r="O204" s="7">
        <v>45106</v>
      </c>
      <c r="P204" s="48">
        <v>140</v>
      </c>
      <c r="Q204" s="48">
        <v>14</v>
      </c>
      <c r="R204" s="48">
        <v>14</v>
      </c>
      <c r="S204" s="48">
        <v>2200</v>
      </c>
      <c r="T204" s="5" t="s">
        <v>5549</v>
      </c>
      <c r="V204" s="32" t="s">
        <v>7731</v>
      </c>
    </row>
    <row r="205" spans="1:22">
      <c r="A205" s="5" t="s">
        <v>893</v>
      </c>
      <c r="B205" s="32" t="s">
        <v>1971</v>
      </c>
      <c r="C205" s="32" t="s">
        <v>1969</v>
      </c>
      <c r="D205" s="5" t="s">
        <v>4303</v>
      </c>
      <c r="E205" s="48">
        <v>2528</v>
      </c>
      <c r="G205" s="7">
        <v>44869</v>
      </c>
      <c r="H205" s="32" t="s">
        <v>3658</v>
      </c>
      <c r="J205" s="48">
        <v>2528</v>
      </c>
      <c r="K205" s="48">
        <v>0</v>
      </c>
      <c r="L205" s="7" t="s">
        <v>3790</v>
      </c>
      <c r="M205" s="7">
        <v>45052</v>
      </c>
      <c r="N205" s="7">
        <v>44610</v>
      </c>
      <c r="O205" s="7" t="s">
        <v>3790</v>
      </c>
      <c r="P205" s="48">
        <v>140</v>
      </c>
      <c r="Q205" s="48">
        <v>14</v>
      </c>
      <c r="R205" s="48">
        <v>14</v>
      </c>
      <c r="S205" s="48">
        <v>3500</v>
      </c>
      <c r="T205" s="5" t="s">
        <v>5548</v>
      </c>
      <c r="V205" s="32" t="s">
        <v>6166</v>
      </c>
    </row>
    <row r="206" spans="1:22">
      <c r="A206" s="5" t="s">
        <v>893</v>
      </c>
      <c r="B206" s="32" t="s">
        <v>1971</v>
      </c>
      <c r="C206" s="32" t="s">
        <v>1969</v>
      </c>
      <c r="D206" s="5" t="s">
        <v>7695</v>
      </c>
      <c r="E206" s="48">
        <v>0</v>
      </c>
      <c r="G206" s="7">
        <v>45092</v>
      </c>
      <c r="J206" s="48">
        <v>0</v>
      </c>
      <c r="K206" s="48">
        <v>0</v>
      </c>
      <c r="L206" s="7" t="s">
        <v>3790</v>
      </c>
      <c r="M206" s="7" t="s">
        <v>3790</v>
      </c>
      <c r="N206" s="7">
        <v>44922</v>
      </c>
      <c r="O206" s="7">
        <v>45106</v>
      </c>
      <c r="P206" s="48">
        <v>140</v>
      </c>
      <c r="Q206" s="48">
        <v>14</v>
      </c>
      <c r="R206" s="48">
        <v>14</v>
      </c>
      <c r="S206" s="48">
        <v>2800</v>
      </c>
      <c r="T206" s="5" t="s">
        <v>5549</v>
      </c>
      <c r="V206" s="32" t="s">
        <v>7733</v>
      </c>
    </row>
    <row r="207" spans="1:22">
      <c r="A207" s="5" t="s">
        <v>893</v>
      </c>
      <c r="B207" s="32" t="s">
        <v>2097</v>
      </c>
      <c r="C207" s="32" t="s">
        <v>2098</v>
      </c>
      <c r="D207" s="5" t="s">
        <v>4109</v>
      </c>
      <c r="E207" s="48">
        <v>0</v>
      </c>
      <c r="G207" s="7">
        <v>44959</v>
      </c>
      <c r="J207" s="48">
        <v>0</v>
      </c>
      <c r="K207" s="48">
        <v>0</v>
      </c>
      <c r="L207" s="7" t="s">
        <v>3790</v>
      </c>
      <c r="M207" s="7" t="s">
        <v>3790</v>
      </c>
      <c r="N207" s="7">
        <v>44734</v>
      </c>
      <c r="O207" s="7">
        <v>44973</v>
      </c>
      <c r="P207" s="48">
        <v>140</v>
      </c>
      <c r="Q207" s="48">
        <v>14</v>
      </c>
      <c r="R207" s="48">
        <v>14</v>
      </c>
      <c r="S207" s="48">
        <v>1500</v>
      </c>
      <c r="T207" s="5" t="s">
        <v>5549</v>
      </c>
      <c r="V207" s="32" t="s">
        <v>3760</v>
      </c>
    </row>
    <row r="208" spans="1:22">
      <c r="A208" s="5" t="s">
        <v>893</v>
      </c>
      <c r="B208" s="32" t="s">
        <v>2099</v>
      </c>
      <c r="C208" s="32" t="s">
        <v>2098</v>
      </c>
      <c r="D208" s="5" t="s">
        <v>4109</v>
      </c>
      <c r="E208" s="48">
        <v>0</v>
      </c>
      <c r="G208" s="7">
        <v>44959</v>
      </c>
      <c r="J208" s="48">
        <v>0</v>
      </c>
      <c r="K208" s="48">
        <v>0</v>
      </c>
      <c r="L208" s="7" t="s">
        <v>3790</v>
      </c>
      <c r="M208" s="7" t="s">
        <v>3790</v>
      </c>
      <c r="N208" s="7">
        <v>44734</v>
      </c>
      <c r="O208" s="7">
        <v>44973</v>
      </c>
      <c r="P208" s="48">
        <v>140</v>
      </c>
      <c r="Q208" s="48">
        <v>14</v>
      </c>
      <c r="R208" s="48">
        <v>14</v>
      </c>
      <c r="S208" s="48">
        <v>1500</v>
      </c>
      <c r="T208" s="5" t="s">
        <v>5549</v>
      </c>
      <c r="V208" s="32" t="s">
        <v>3761</v>
      </c>
    </row>
    <row r="209" spans="1:22">
      <c r="A209" s="5" t="s">
        <v>893</v>
      </c>
      <c r="B209" s="32" t="s">
        <v>2115</v>
      </c>
      <c r="C209" s="32" t="s">
        <v>2114</v>
      </c>
      <c r="D209" s="5" t="s">
        <v>5520</v>
      </c>
      <c r="E209" s="48">
        <v>0</v>
      </c>
      <c r="G209" s="7">
        <v>44938</v>
      </c>
      <c r="J209" s="48">
        <v>0</v>
      </c>
      <c r="K209" s="48">
        <v>0</v>
      </c>
      <c r="L209" s="7" t="s">
        <v>3790</v>
      </c>
      <c r="M209" s="7" t="s">
        <v>3790</v>
      </c>
      <c r="N209" s="7">
        <v>44838</v>
      </c>
      <c r="O209" s="7">
        <v>44952</v>
      </c>
      <c r="P209" s="48">
        <v>140</v>
      </c>
      <c r="Q209" s="48">
        <v>14</v>
      </c>
      <c r="R209" s="48">
        <v>14</v>
      </c>
      <c r="S209" s="48">
        <v>3000</v>
      </c>
      <c r="T209" s="5" t="s">
        <v>5549</v>
      </c>
      <c r="V209" s="32" t="s">
        <v>5524</v>
      </c>
    </row>
    <row r="210" spans="1:22">
      <c r="A210" s="5" t="s">
        <v>893</v>
      </c>
      <c r="B210" s="32" t="s">
        <v>2150</v>
      </c>
      <c r="C210" s="32" t="s">
        <v>3762</v>
      </c>
      <c r="D210" s="5" t="s">
        <v>4319</v>
      </c>
      <c r="E210" s="48">
        <v>1344</v>
      </c>
      <c r="G210" s="7">
        <v>44217</v>
      </c>
      <c r="H210" s="32" t="s">
        <v>3658</v>
      </c>
      <c r="I210" s="48">
        <v>1344</v>
      </c>
      <c r="J210" s="48">
        <v>0</v>
      </c>
      <c r="K210" s="48">
        <v>0</v>
      </c>
      <c r="L210" s="7" t="s">
        <v>3790</v>
      </c>
      <c r="M210" s="7">
        <v>2958465</v>
      </c>
      <c r="N210" s="7">
        <v>43893</v>
      </c>
      <c r="O210" s="7" t="s">
        <v>3790</v>
      </c>
      <c r="P210" s="48">
        <v>140</v>
      </c>
      <c r="Q210" s="48">
        <v>14</v>
      </c>
      <c r="R210" s="48">
        <v>14</v>
      </c>
      <c r="S210" s="48">
        <v>2000</v>
      </c>
      <c r="T210" s="5" t="s">
        <v>5548</v>
      </c>
      <c r="V210" s="32" t="s">
        <v>3763</v>
      </c>
    </row>
    <row r="211" spans="1:22">
      <c r="A211" s="5" t="s">
        <v>893</v>
      </c>
      <c r="B211" s="32" t="s">
        <v>2152</v>
      </c>
      <c r="C211" s="32" t="s">
        <v>3764</v>
      </c>
      <c r="D211" s="5" t="s">
        <v>4069</v>
      </c>
      <c r="E211" s="48">
        <v>1159</v>
      </c>
      <c r="G211" s="7">
        <v>44910</v>
      </c>
      <c r="H211" s="32" t="s">
        <v>3756</v>
      </c>
      <c r="J211" s="48">
        <v>1159</v>
      </c>
      <c r="K211" s="48">
        <v>0</v>
      </c>
      <c r="L211" s="7" t="s">
        <v>3790</v>
      </c>
      <c r="M211" s="7">
        <v>45091</v>
      </c>
      <c r="N211" s="7">
        <v>44795</v>
      </c>
      <c r="O211" s="7">
        <v>44924</v>
      </c>
      <c r="P211" s="48">
        <v>140</v>
      </c>
      <c r="Q211" s="48">
        <v>14</v>
      </c>
      <c r="R211" s="48">
        <v>14</v>
      </c>
      <c r="S211" s="48">
        <v>1000</v>
      </c>
      <c r="T211" s="5" t="s">
        <v>5548</v>
      </c>
      <c r="V211" s="32" t="s">
        <v>3765</v>
      </c>
    </row>
    <row r="212" spans="1:22">
      <c r="A212" s="5" t="s">
        <v>893</v>
      </c>
      <c r="B212" s="32" t="s">
        <v>2154</v>
      </c>
      <c r="C212" s="32" t="s">
        <v>3764</v>
      </c>
      <c r="D212" s="5" t="s">
        <v>4069</v>
      </c>
      <c r="E212" s="48">
        <v>2634</v>
      </c>
      <c r="G212" s="7">
        <v>44910</v>
      </c>
      <c r="H212" s="32" t="s">
        <v>3756</v>
      </c>
      <c r="J212" s="48">
        <v>2634</v>
      </c>
      <c r="K212" s="48">
        <v>0</v>
      </c>
      <c r="L212" s="7" t="s">
        <v>3790</v>
      </c>
      <c r="M212" s="7">
        <v>45091</v>
      </c>
      <c r="N212" s="7">
        <v>44795</v>
      </c>
      <c r="O212" s="7">
        <v>44924</v>
      </c>
      <c r="P212" s="48">
        <v>140</v>
      </c>
      <c r="Q212" s="48">
        <v>14</v>
      </c>
      <c r="R212" s="48">
        <v>14</v>
      </c>
      <c r="S212" s="48">
        <v>2000</v>
      </c>
      <c r="T212" s="5" t="s">
        <v>5548</v>
      </c>
      <c r="V212" s="32" t="s">
        <v>3766</v>
      </c>
    </row>
    <row r="213" spans="1:22">
      <c r="A213" s="5" t="s">
        <v>893</v>
      </c>
      <c r="B213" s="32" t="s">
        <v>2201</v>
      </c>
      <c r="C213" s="32" t="s">
        <v>2202</v>
      </c>
      <c r="D213" s="5" t="s">
        <v>4328</v>
      </c>
      <c r="E213" s="48">
        <v>1972</v>
      </c>
      <c r="G213" s="7">
        <v>44805</v>
      </c>
      <c r="H213" s="32" t="s">
        <v>3658</v>
      </c>
      <c r="J213" s="48">
        <v>1972</v>
      </c>
      <c r="K213" s="48">
        <v>0</v>
      </c>
      <c r="L213" s="7" t="s">
        <v>3790</v>
      </c>
      <c r="M213" s="7">
        <v>44985</v>
      </c>
      <c r="N213" s="7">
        <v>44655</v>
      </c>
      <c r="O213" s="7" t="s">
        <v>3790</v>
      </c>
      <c r="P213" s="48">
        <v>140</v>
      </c>
      <c r="Q213" s="48">
        <v>14</v>
      </c>
      <c r="R213" s="48">
        <v>14</v>
      </c>
      <c r="S213" s="48">
        <v>5000</v>
      </c>
      <c r="T213" s="5" t="s">
        <v>5548</v>
      </c>
      <c r="V213" s="32" t="s">
        <v>3767</v>
      </c>
    </row>
    <row r="214" spans="1:22">
      <c r="A214" s="5" t="s">
        <v>893</v>
      </c>
      <c r="B214" s="32" t="s">
        <v>2201</v>
      </c>
      <c r="C214" s="32" t="s">
        <v>2202</v>
      </c>
      <c r="D214" s="5" t="s">
        <v>5862</v>
      </c>
      <c r="E214" s="48">
        <v>0</v>
      </c>
      <c r="G214" s="7">
        <v>44959</v>
      </c>
      <c r="J214" s="48">
        <v>0</v>
      </c>
      <c r="K214" s="48">
        <v>0</v>
      </c>
      <c r="L214" s="7" t="s">
        <v>3790</v>
      </c>
      <c r="M214" s="7" t="s">
        <v>3790</v>
      </c>
      <c r="N214" s="7">
        <v>44854</v>
      </c>
      <c r="O214" s="7">
        <v>44973</v>
      </c>
      <c r="P214" s="48">
        <v>140</v>
      </c>
      <c r="Q214" s="48">
        <v>14</v>
      </c>
      <c r="R214" s="48">
        <v>14</v>
      </c>
      <c r="S214" s="48">
        <v>5000</v>
      </c>
      <c r="T214" s="5" t="s">
        <v>5549</v>
      </c>
      <c r="V214" s="32" t="s">
        <v>5903</v>
      </c>
    </row>
    <row r="215" spans="1:22">
      <c r="A215" s="5" t="s">
        <v>893</v>
      </c>
      <c r="B215" s="32" t="s">
        <v>2226</v>
      </c>
      <c r="C215" s="32" t="s">
        <v>7735</v>
      </c>
      <c r="D215" s="5" t="s">
        <v>4335</v>
      </c>
      <c r="E215" s="48">
        <v>1439</v>
      </c>
      <c r="G215" s="7">
        <v>44821</v>
      </c>
      <c r="H215" s="32" t="s">
        <v>3658</v>
      </c>
      <c r="J215" s="48">
        <v>1439</v>
      </c>
      <c r="K215" s="48">
        <v>0</v>
      </c>
      <c r="L215" s="7" t="s">
        <v>3790</v>
      </c>
      <c r="M215" s="7" t="s">
        <v>3790</v>
      </c>
      <c r="N215" s="7">
        <v>44792</v>
      </c>
      <c r="O215" s="7" t="s">
        <v>3790</v>
      </c>
      <c r="P215" s="48">
        <v>140</v>
      </c>
      <c r="Q215" s="48">
        <v>14</v>
      </c>
      <c r="R215" s="48">
        <v>14</v>
      </c>
      <c r="S215" s="48">
        <v>3000</v>
      </c>
      <c r="T215" s="5" t="s">
        <v>5548</v>
      </c>
      <c r="V215" s="32" t="s">
        <v>5368</v>
      </c>
    </row>
    <row r="216" spans="1:22">
      <c r="A216" s="5" t="s">
        <v>893</v>
      </c>
      <c r="B216" s="32" t="s">
        <v>2232</v>
      </c>
      <c r="C216" s="32" t="s">
        <v>6022</v>
      </c>
      <c r="D216" s="5" t="s">
        <v>6024</v>
      </c>
      <c r="E216" s="48">
        <v>0</v>
      </c>
      <c r="G216" s="7">
        <v>44973</v>
      </c>
      <c r="J216" s="48">
        <v>0</v>
      </c>
      <c r="K216" s="48">
        <v>0</v>
      </c>
      <c r="L216" s="7" t="s">
        <v>3790</v>
      </c>
      <c r="M216" s="7" t="s">
        <v>3790</v>
      </c>
      <c r="N216" s="7">
        <v>44859</v>
      </c>
      <c r="O216" s="7">
        <v>44987</v>
      </c>
      <c r="P216" s="48">
        <v>140</v>
      </c>
      <c r="Q216" s="48">
        <v>14</v>
      </c>
      <c r="R216" s="48">
        <v>14</v>
      </c>
      <c r="S216" s="48">
        <v>3000</v>
      </c>
      <c r="T216" s="5" t="s">
        <v>5549</v>
      </c>
      <c r="V216" s="32" t="s">
        <v>6023</v>
      </c>
    </row>
    <row r="217" spans="1:22">
      <c r="A217" s="5" t="s">
        <v>893</v>
      </c>
      <c r="B217" s="32" t="s">
        <v>2352</v>
      </c>
      <c r="C217" s="32" t="s">
        <v>3768</v>
      </c>
      <c r="D217" s="5" t="s">
        <v>4269</v>
      </c>
      <c r="E217" s="48">
        <v>0</v>
      </c>
      <c r="G217" s="7">
        <v>44938</v>
      </c>
      <c r="J217" s="48">
        <v>0</v>
      </c>
      <c r="K217" s="48">
        <v>0</v>
      </c>
      <c r="L217" s="7" t="s">
        <v>3790</v>
      </c>
      <c r="M217" s="7" t="s">
        <v>3790</v>
      </c>
      <c r="N217" s="7">
        <v>44797</v>
      </c>
      <c r="O217" s="7">
        <v>44952</v>
      </c>
      <c r="P217" s="48">
        <v>140</v>
      </c>
      <c r="Q217" s="48">
        <v>14</v>
      </c>
      <c r="R217" s="48">
        <v>14</v>
      </c>
      <c r="S217" s="48">
        <v>2000</v>
      </c>
      <c r="T217" s="5" t="s">
        <v>5549</v>
      </c>
      <c r="V217" s="32" t="s">
        <v>5526</v>
      </c>
    </row>
    <row r="218" spans="1:22">
      <c r="A218" s="5" t="s">
        <v>893</v>
      </c>
      <c r="B218" s="32" t="s">
        <v>2355</v>
      </c>
      <c r="C218" s="32" t="s">
        <v>3768</v>
      </c>
      <c r="D218" s="5" t="s">
        <v>4269</v>
      </c>
      <c r="E218" s="48">
        <v>0</v>
      </c>
      <c r="G218" s="7">
        <v>44938</v>
      </c>
      <c r="J218" s="48">
        <v>0</v>
      </c>
      <c r="K218" s="48">
        <v>0</v>
      </c>
      <c r="L218" s="7" t="s">
        <v>3790</v>
      </c>
      <c r="M218" s="7" t="s">
        <v>3790</v>
      </c>
      <c r="N218" s="7">
        <v>44797</v>
      </c>
      <c r="O218" s="7">
        <v>44952</v>
      </c>
      <c r="P218" s="48">
        <v>140</v>
      </c>
      <c r="Q218" s="48">
        <v>14</v>
      </c>
      <c r="R218" s="48">
        <v>14</v>
      </c>
      <c r="S218" s="48">
        <v>1000</v>
      </c>
      <c r="T218" s="5" t="s">
        <v>5549</v>
      </c>
      <c r="V218" s="32" t="s">
        <v>3769</v>
      </c>
    </row>
    <row r="219" spans="1:22">
      <c r="A219" s="5" t="s">
        <v>893</v>
      </c>
      <c r="B219" s="32" t="s">
        <v>2375</v>
      </c>
      <c r="C219" s="32" t="s">
        <v>3770</v>
      </c>
      <c r="D219" s="5" t="s">
        <v>4087</v>
      </c>
      <c r="E219" s="48">
        <v>5371</v>
      </c>
      <c r="G219" s="7">
        <v>44910</v>
      </c>
      <c r="H219" s="32" t="s">
        <v>3756</v>
      </c>
      <c r="J219" s="48">
        <v>5371</v>
      </c>
      <c r="K219" s="48">
        <v>0</v>
      </c>
      <c r="L219" s="7" t="s">
        <v>3790</v>
      </c>
      <c r="M219" s="7">
        <v>45095</v>
      </c>
      <c r="N219" s="7">
        <v>44734</v>
      </c>
      <c r="O219" s="7">
        <v>44924</v>
      </c>
      <c r="P219" s="48">
        <v>140</v>
      </c>
      <c r="Q219" s="48">
        <v>14</v>
      </c>
      <c r="R219" s="48">
        <v>14</v>
      </c>
      <c r="S219" s="48">
        <v>5000</v>
      </c>
      <c r="T219" s="5" t="s">
        <v>5548</v>
      </c>
      <c r="V219" s="32" t="s">
        <v>3771</v>
      </c>
    </row>
    <row r="220" spans="1:22">
      <c r="A220" s="5" t="s">
        <v>893</v>
      </c>
      <c r="B220" s="32" t="s">
        <v>2386</v>
      </c>
      <c r="C220" s="32" t="s">
        <v>3772</v>
      </c>
      <c r="D220" s="5" t="s">
        <v>4345</v>
      </c>
      <c r="E220" s="48">
        <v>993</v>
      </c>
      <c r="G220" s="7">
        <v>44128</v>
      </c>
      <c r="H220" s="32" t="s">
        <v>3658</v>
      </c>
      <c r="I220" s="48">
        <v>993</v>
      </c>
      <c r="J220" s="48">
        <v>0</v>
      </c>
      <c r="K220" s="48">
        <v>0</v>
      </c>
      <c r="L220" s="7" t="s">
        <v>3790</v>
      </c>
      <c r="M220" s="7">
        <v>2958465</v>
      </c>
      <c r="N220" s="7">
        <v>43980</v>
      </c>
      <c r="O220" s="7" t="s">
        <v>3790</v>
      </c>
      <c r="P220" s="48">
        <v>140</v>
      </c>
      <c r="Q220" s="48">
        <v>14</v>
      </c>
      <c r="R220" s="48">
        <v>14</v>
      </c>
      <c r="S220" s="48">
        <v>3000</v>
      </c>
      <c r="T220" s="5" t="s">
        <v>5548</v>
      </c>
      <c r="V220" s="32" t="s">
        <v>3773</v>
      </c>
    </row>
    <row r="221" spans="1:22">
      <c r="A221" s="5" t="s">
        <v>893</v>
      </c>
      <c r="B221" s="32" t="s">
        <v>2391</v>
      </c>
      <c r="C221" s="32" t="s">
        <v>3774</v>
      </c>
      <c r="D221" s="5" t="s">
        <v>4063</v>
      </c>
      <c r="E221" s="48">
        <v>2893</v>
      </c>
      <c r="G221" s="7">
        <v>44895</v>
      </c>
      <c r="H221" s="32" t="s">
        <v>3658</v>
      </c>
      <c r="J221" s="48">
        <v>2893</v>
      </c>
      <c r="K221" s="48">
        <v>0</v>
      </c>
      <c r="L221" s="7" t="s">
        <v>3790</v>
      </c>
      <c r="M221" s="7">
        <v>45075</v>
      </c>
      <c r="N221" s="7">
        <v>44750</v>
      </c>
      <c r="O221" s="7" t="s">
        <v>3790</v>
      </c>
      <c r="P221" s="48">
        <v>140</v>
      </c>
      <c r="Q221" s="48">
        <v>14</v>
      </c>
      <c r="R221" s="48">
        <v>14</v>
      </c>
      <c r="S221" s="48">
        <v>2500</v>
      </c>
      <c r="T221" s="5" t="s">
        <v>5548</v>
      </c>
      <c r="V221" s="32" t="s">
        <v>7739</v>
      </c>
    </row>
    <row r="222" spans="1:22">
      <c r="A222" s="5" t="s">
        <v>893</v>
      </c>
      <c r="B222" s="32" t="s">
        <v>2405</v>
      </c>
      <c r="C222" s="32" t="s">
        <v>2403</v>
      </c>
      <c r="D222" s="5" t="s">
        <v>4140</v>
      </c>
      <c r="E222" s="48">
        <v>0</v>
      </c>
      <c r="G222" s="7">
        <v>44938</v>
      </c>
      <c r="J222" s="48">
        <v>0</v>
      </c>
      <c r="K222" s="48">
        <v>0</v>
      </c>
      <c r="L222" s="7" t="s">
        <v>3790</v>
      </c>
      <c r="M222" s="7" t="s">
        <v>3790</v>
      </c>
      <c r="N222" s="7">
        <v>44805</v>
      </c>
      <c r="O222" s="7">
        <v>44952</v>
      </c>
      <c r="P222" s="48">
        <v>140</v>
      </c>
      <c r="Q222" s="48">
        <v>14</v>
      </c>
      <c r="R222" s="48">
        <v>14</v>
      </c>
      <c r="S222" s="48">
        <v>3000</v>
      </c>
      <c r="T222" s="5" t="s">
        <v>5549</v>
      </c>
      <c r="V222" s="32" t="s">
        <v>3775</v>
      </c>
    </row>
    <row r="223" spans="1:22">
      <c r="A223" s="5" t="s">
        <v>893</v>
      </c>
      <c r="B223" s="32" t="s">
        <v>2406</v>
      </c>
      <c r="C223" s="32" t="s">
        <v>2407</v>
      </c>
      <c r="D223" s="5" t="s">
        <v>4234</v>
      </c>
      <c r="E223" s="48">
        <v>0</v>
      </c>
      <c r="G223" s="7">
        <v>44994</v>
      </c>
      <c r="J223" s="48">
        <v>0</v>
      </c>
      <c r="K223" s="48">
        <v>0</v>
      </c>
      <c r="L223" s="7" t="s">
        <v>3790</v>
      </c>
      <c r="M223" s="7" t="s">
        <v>3790</v>
      </c>
      <c r="N223" s="7">
        <v>44750</v>
      </c>
      <c r="O223" s="7">
        <v>45008</v>
      </c>
      <c r="P223" s="48">
        <v>140</v>
      </c>
      <c r="Q223" s="48">
        <v>14</v>
      </c>
      <c r="R223" s="48">
        <v>14</v>
      </c>
      <c r="S223" s="48">
        <v>1200</v>
      </c>
      <c r="T223" s="5" t="s">
        <v>5549</v>
      </c>
      <c r="V223" s="32" t="s">
        <v>3776</v>
      </c>
    </row>
    <row r="224" spans="1:22">
      <c r="A224" s="5" t="s">
        <v>893</v>
      </c>
      <c r="B224" s="32" t="s">
        <v>2409</v>
      </c>
      <c r="C224" s="32" t="s">
        <v>2407</v>
      </c>
      <c r="D224" s="5" t="s">
        <v>4234</v>
      </c>
      <c r="E224" s="48">
        <v>0</v>
      </c>
      <c r="G224" s="7">
        <v>44994</v>
      </c>
      <c r="J224" s="48">
        <v>0</v>
      </c>
      <c r="K224" s="48">
        <v>0</v>
      </c>
      <c r="L224" s="7" t="s">
        <v>3790</v>
      </c>
      <c r="M224" s="7" t="s">
        <v>3790</v>
      </c>
      <c r="N224" s="7">
        <v>44750</v>
      </c>
      <c r="O224" s="7">
        <v>45008</v>
      </c>
      <c r="P224" s="48">
        <v>140</v>
      </c>
      <c r="Q224" s="48">
        <v>14</v>
      </c>
      <c r="R224" s="48">
        <v>14</v>
      </c>
      <c r="S224" s="48">
        <v>1800</v>
      </c>
      <c r="T224" s="5" t="s">
        <v>5549</v>
      </c>
      <c r="V224" s="32" t="s">
        <v>3777</v>
      </c>
    </row>
    <row r="225" spans="1:22">
      <c r="A225" s="5" t="s">
        <v>893</v>
      </c>
      <c r="B225" s="32" t="s">
        <v>2415</v>
      </c>
      <c r="C225" s="32" t="s">
        <v>2416</v>
      </c>
      <c r="D225" s="5" t="s">
        <v>4352</v>
      </c>
      <c r="E225" s="48">
        <v>4085</v>
      </c>
      <c r="G225" s="7">
        <v>44881</v>
      </c>
      <c r="H225" s="32" t="s">
        <v>3658</v>
      </c>
      <c r="J225" s="48">
        <v>4085</v>
      </c>
      <c r="K225" s="48">
        <v>0</v>
      </c>
      <c r="L225" s="7" t="s">
        <v>3790</v>
      </c>
      <c r="M225" s="7">
        <v>45062</v>
      </c>
      <c r="N225" s="7">
        <v>44720</v>
      </c>
      <c r="O225" s="7" t="s">
        <v>3790</v>
      </c>
      <c r="P225" s="48">
        <v>140</v>
      </c>
      <c r="Q225" s="48">
        <v>14</v>
      </c>
      <c r="R225" s="48">
        <v>14</v>
      </c>
      <c r="S225" s="48">
        <v>4000</v>
      </c>
      <c r="T225" s="5" t="s">
        <v>5548</v>
      </c>
      <c r="V225" s="32" t="s">
        <v>6361</v>
      </c>
    </row>
    <row r="226" spans="1:22">
      <c r="A226" s="5" t="s">
        <v>893</v>
      </c>
      <c r="B226" s="32" t="s">
        <v>2415</v>
      </c>
      <c r="C226" s="32" t="s">
        <v>2416</v>
      </c>
      <c r="D226" s="5" t="s">
        <v>7741</v>
      </c>
      <c r="E226" s="48">
        <v>0</v>
      </c>
      <c r="G226" s="7">
        <v>44987</v>
      </c>
      <c r="J226" s="48">
        <v>0</v>
      </c>
      <c r="K226" s="48">
        <v>0</v>
      </c>
      <c r="L226" s="7" t="s">
        <v>3790</v>
      </c>
      <c r="M226" s="7" t="s">
        <v>3790</v>
      </c>
      <c r="N226" s="7">
        <v>44904</v>
      </c>
      <c r="O226" s="7">
        <v>45001</v>
      </c>
      <c r="P226" s="48">
        <v>140</v>
      </c>
      <c r="Q226" s="48">
        <v>14</v>
      </c>
      <c r="R226" s="48">
        <v>14</v>
      </c>
      <c r="S226" s="48">
        <v>3500</v>
      </c>
      <c r="T226" s="5" t="s">
        <v>5549</v>
      </c>
      <c r="V226" s="32" t="s">
        <v>7740</v>
      </c>
    </row>
    <row r="227" spans="1:22">
      <c r="A227" s="5" t="s">
        <v>893</v>
      </c>
      <c r="B227" s="32" t="s">
        <v>2417</v>
      </c>
      <c r="C227" s="32" t="s">
        <v>2416</v>
      </c>
      <c r="D227" s="5" t="s">
        <v>7741</v>
      </c>
      <c r="E227" s="48">
        <v>0</v>
      </c>
      <c r="G227" s="7">
        <v>44987</v>
      </c>
      <c r="J227" s="48">
        <v>0</v>
      </c>
      <c r="K227" s="48">
        <v>0</v>
      </c>
      <c r="L227" s="7" t="s">
        <v>3790</v>
      </c>
      <c r="M227" s="7" t="s">
        <v>3790</v>
      </c>
      <c r="N227" s="7">
        <v>44904</v>
      </c>
      <c r="O227" s="7">
        <v>45001</v>
      </c>
      <c r="P227" s="48">
        <v>140</v>
      </c>
      <c r="Q227" s="48">
        <v>14</v>
      </c>
      <c r="R227" s="48">
        <v>14</v>
      </c>
      <c r="S227" s="48">
        <v>1500</v>
      </c>
      <c r="T227" s="5" t="s">
        <v>5549</v>
      </c>
      <c r="V227" s="32" t="s">
        <v>7743</v>
      </c>
    </row>
    <row r="228" spans="1:22">
      <c r="A228" s="5" t="s">
        <v>893</v>
      </c>
      <c r="B228" s="32" t="s">
        <v>2427</v>
      </c>
      <c r="C228" s="32" t="s">
        <v>3778</v>
      </c>
      <c r="D228" s="5" t="s">
        <v>4113</v>
      </c>
      <c r="E228" s="48">
        <v>0</v>
      </c>
      <c r="G228" s="7">
        <v>45001</v>
      </c>
      <c r="J228" s="48">
        <v>0</v>
      </c>
      <c r="K228" s="48">
        <v>0</v>
      </c>
      <c r="L228" s="7" t="s">
        <v>3790</v>
      </c>
      <c r="M228" s="7" t="s">
        <v>3790</v>
      </c>
      <c r="N228" s="7">
        <v>44750</v>
      </c>
      <c r="O228" s="7">
        <v>45015</v>
      </c>
      <c r="P228" s="48">
        <v>140</v>
      </c>
      <c r="Q228" s="48">
        <v>14</v>
      </c>
      <c r="R228" s="48">
        <v>14</v>
      </c>
      <c r="S228" s="48">
        <v>3000</v>
      </c>
      <c r="T228" s="5" t="s">
        <v>5549</v>
      </c>
      <c r="V228" s="32" t="s">
        <v>3779</v>
      </c>
    </row>
    <row r="229" spans="1:22">
      <c r="A229" s="5" t="s">
        <v>893</v>
      </c>
      <c r="B229" s="32" t="s">
        <v>2429</v>
      </c>
      <c r="C229" s="32" t="s">
        <v>3780</v>
      </c>
      <c r="D229" s="5" t="s">
        <v>4109</v>
      </c>
      <c r="E229" s="48">
        <v>1537</v>
      </c>
      <c r="G229" s="7">
        <v>44918</v>
      </c>
      <c r="H229" s="32" t="s">
        <v>3756</v>
      </c>
      <c r="J229" s="48">
        <v>1537</v>
      </c>
      <c r="K229" s="48">
        <v>0</v>
      </c>
      <c r="L229" s="7" t="s">
        <v>3790</v>
      </c>
      <c r="M229" s="7">
        <v>45105</v>
      </c>
      <c r="N229" s="7">
        <v>44734</v>
      </c>
      <c r="O229" s="7">
        <v>44932</v>
      </c>
      <c r="P229" s="48">
        <v>140</v>
      </c>
      <c r="Q229" s="48">
        <v>14</v>
      </c>
      <c r="R229" s="48">
        <v>14</v>
      </c>
      <c r="S229" s="48">
        <v>1000</v>
      </c>
      <c r="T229" s="5" t="s">
        <v>5548</v>
      </c>
      <c r="V229" s="32" t="s">
        <v>5907</v>
      </c>
    </row>
    <row r="230" spans="1:22">
      <c r="A230" s="5" t="s">
        <v>893</v>
      </c>
      <c r="B230" s="32" t="s">
        <v>2432</v>
      </c>
      <c r="C230" s="32" t="s">
        <v>3780</v>
      </c>
      <c r="D230" s="5" t="s">
        <v>4109</v>
      </c>
      <c r="E230" s="48">
        <v>2050</v>
      </c>
      <c r="G230" s="7">
        <v>44918</v>
      </c>
      <c r="H230" s="32" t="s">
        <v>3756</v>
      </c>
      <c r="J230" s="48">
        <v>2050</v>
      </c>
      <c r="K230" s="48">
        <v>0</v>
      </c>
      <c r="L230" s="7" t="s">
        <v>3790</v>
      </c>
      <c r="M230" s="7">
        <v>45105</v>
      </c>
      <c r="N230" s="7">
        <v>44734</v>
      </c>
      <c r="O230" s="7">
        <v>44932</v>
      </c>
      <c r="P230" s="48">
        <v>140</v>
      </c>
      <c r="Q230" s="48">
        <v>14</v>
      </c>
      <c r="R230" s="48">
        <v>14</v>
      </c>
      <c r="S230" s="48">
        <v>2000</v>
      </c>
      <c r="T230" s="5" t="s">
        <v>5548</v>
      </c>
      <c r="V230" s="32" t="s">
        <v>5908</v>
      </c>
    </row>
    <row r="231" spans="1:22">
      <c r="A231" s="5" t="s">
        <v>893</v>
      </c>
      <c r="B231" s="32" t="s">
        <v>2850</v>
      </c>
      <c r="C231" s="32" t="s">
        <v>7752</v>
      </c>
      <c r="D231" s="5" t="s">
        <v>7754</v>
      </c>
      <c r="E231" s="48">
        <v>0</v>
      </c>
      <c r="G231" s="7">
        <v>45008</v>
      </c>
      <c r="J231" s="48">
        <v>0</v>
      </c>
      <c r="K231" s="48">
        <v>0</v>
      </c>
      <c r="L231" s="7" t="s">
        <v>3790</v>
      </c>
      <c r="M231" s="7" t="s">
        <v>3790</v>
      </c>
      <c r="N231" s="7">
        <v>44924</v>
      </c>
      <c r="O231" s="7">
        <v>45022</v>
      </c>
      <c r="P231" s="48">
        <v>140</v>
      </c>
      <c r="Q231" s="48">
        <v>14</v>
      </c>
      <c r="R231" s="48">
        <v>14</v>
      </c>
      <c r="S231" s="48">
        <v>3000</v>
      </c>
      <c r="T231" s="5" t="s">
        <v>5549</v>
      </c>
      <c r="V231" s="32" t="s">
        <v>7753</v>
      </c>
    </row>
    <row r="232" spans="1:22">
      <c r="A232" s="5" t="s">
        <v>893</v>
      </c>
      <c r="B232" s="32" t="s">
        <v>2856</v>
      </c>
      <c r="C232" s="32" t="s">
        <v>3781</v>
      </c>
      <c r="D232" s="5" t="s">
        <v>4234</v>
      </c>
      <c r="E232" s="48">
        <v>2213</v>
      </c>
      <c r="G232" s="7">
        <v>44896</v>
      </c>
      <c r="H232" s="32" t="s">
        <v>3658</v>
      </c>
      <c r="J232" s="48">
        <v>2213</v>
      </c>
      <c r="K232" s="48">
        <v>0</v>
      </c>
      <c r="L232" s="7" t="s">
        <v>3790</v>
      </c>
      <c r="M232" s="7" t="s">
        <v>3790</v>
      </c>
      <c r="N232" s="7">
        <v>44750</v>
      </c>
      <c r="O232" s="7" t="s">
        <v>3790</v>
      </c>
      <c r="P232" s="48">
        <v>140</v>
      </c>
      <c r="Q232" s="48">
        <v>14</v>
      </c>
      <c r="R232" s="48">
        <v>14</v>
      </c>
      <c r="S232" s="48">
        <v>2000</v>
      </c>
      <c r="T232" s="5" t="s">
        <v>5548</v>
      </c>
      <c r="V232" s="32" t="s">
        <v>7758</v>
      </c>
    </row>
    <row r="233" spans="1:22">
      <c r="A233" s="5" t="s">
        <v>893</v>
      </c>
      <c r="B233" s="32" t="s">
        <v>2856</v>
      </c>
      <c r="C233" s="32" t="s">
        <v>3781</v>
      </c>
      <c r="D233" s="5" t="s">
        <v>7741</v>
      </c>
      <c r="E233" s="48">
        <v>0</v>
      </c>
      <c r="G233" s="7">
        <v>45036</v>
      </c>
      <c r="J233" s="48">
        <v>0</v>
      </c>
      <c r="K233" s="48">
        <v>0</v>
      </c>
      <c r="L233" s="7" t="s">
        <v>3790</v>
      </c>
      <c r="M233" s="7" t="s">
        <v>3790</v>
      </c>
      <c r="N233" s="7">
        <v>44904</v>
      </c>
      <c r="O233" s="7">
        <v>45050</v>
      </c>
      <c r="P233" s="48">
        <v>140</v>
      </c>
      <c r="Q233" s="48">
        <v>14</v>
      </c>
      <c r="R233" s="48">
        <v>14</v>
      </c>
      <c r="S233" s="48">
        <v>1800</v>
      </c>
      <c r="T233" s="5" t="s">
        <v>5549</v>
      </c>
      <c r="V233" s="32" t="s">
        <v>7756</v>
      </c>
    </row>
    <row r="234" spans="1:22">
      <c r="A234" s="5" t="s">
        <v>893</v>
      </c>
      <c r="B234" s="32" t="s">
        <v>2858</v>
      </c>
      <c r="C234" s="32" t="s">
        <v>3781</v>
      </c>
      <c r="D234" s="5" t="s">
        <v>4234</v>
      </c>
      <c r="E234" s="48">
        <v>1057</v>
      </c>
      <c r="G234" s="7">
        <v>44896</v>
      </c>
      <c r="H234" s="32" t="s">
        <v>3658</v>
      </c>
      <c r="J234" s="48">
        <v>1057</v>
      </c>
      <c r="K234" s="48">
        <v>0</v>
      </c>
      <c r="L234" s="7" t="s">
        <v>3790</v>
      </c>
      <c r="M234" s="7" t="s">
        <v>3790</v>
      </c>
      <c r="N234" s="7">
        <v>44750</v>
      </c>
      <c r="O234" s="7" t="s">
        <v>3790</v>
      </c>
      <c r="P234" s="48">
        <v>140</v>
      </c>
      <c r="Q234" s="48">
        <v>14</v>
      </c>
      <c r="R234" s="48">
        <v>14</v>
      </c>
      <c r="S234" s="48">
        <v>1000</v>
      </c>
      <c r="T234" s="5" t="s">
        <v>5548</v>
      </c>
      <c r="V234" s="32" t="s">
        <v>7761</v>
      </c>
    </row>
    <row r="235" spans="1:22">
      <c r="A235" s="5" t="s">
        <v>893</v>
      </c>
      <c r="B235" s="32" t="s">
        <v>2858</v>
      </c>
      <c r="C235" s="32" t="s">
        <v>3781</v>
      </c>
      <c r="D235" s="5" t="s">
        <v>7741</v>
      </c>
      <c r="E235" s="48">
        <v>0</v>
      </c>
      <c r="G235" s="7">
        <v>45036</v>
      </c>
      <c r="J235" s="48">
        <v>0</v>
      </c>
      <c r="K235" s="48">
        <v>0</v>
      </c>
      <c r="L235" s="7" t="s">
        <v>3790</v>
      </c>
      <c r="M235" s="7" t="s">
        <v>3790</v>
      </c>
      <c r="N235" s="7">
        <v>44904</v>
      </c>
      <c r="O235" s="7">
        <v>45050</v>
      </c>
      <c r="P235" s="48">
        <v>140</v>
      </c>
      <c r="Q235" s="48">
        <v>14</v>
      </c>
      <c r="R235" s="48">
        <v>14</v>
      </c>
      <c r="S235" s="48">
        <v>1200</v>
      </c>
      <c r="T235" s="5" t="s">
        <v>5549</v>
      </c>
      <c r="V235" s="32" t="s">
        <v>7759</v>
      </c>
    </row>
    <row r="236" spans="1:22">
      <c r="A236" s="5" t="s">
        <v>893</v>
      </c>
      <c r="B236" s="32" t="s">
        <v>2970</v>
      </c>
      <c r="C236" s="32" t="s">
        <v>2971</v>
      </c>
      <c r="D236" s="5" t="s">
        <v>4351</v>
      </c>
      <c r="E236" s="48">
        <v>466</v>
      </c>
      <c r="G236" s="7">
        <v>44762</v>
      </c>
      <c r="H236" s="32" t="s">
        <v>3658</v>
      </c>
      <c r="J236" s="48">
        <v>466</v>
      </c>
      <c r="K236" s="48">
        <v>0</v>
      </c>
      <c r="L236" s="7" t="s">
        <v>3790</v>
      </c>
      <c r="M236" s="7">
        <v>44942</v>
      </c>
      <c r="N236" s="7">
        <v>44482</v>
      </c>
      <c r="O236" s="7" t="s">
        <v>3790</v>
      </c>
      <c r="P236" s="48">
        <v>140</v>
      </c>
      <c r="Q236" s="48">
        <v>14</v>
      </c>
      <c r="R236" s="48">
        <v>14</v>
      </c>
      <c r="S236" s="48">
        <v>1000</v>
      </c>
      <c r="T236" s="5" t="s">
        <v>5548</v>
      </c>
      <c r="V236" s="32" t="s">
        <v>5269</v>
      </c>
    </row>
    <row r="237" spans="1:22">
      <c r="A237" s="5" t="s">
        <v>893</v>
      </c>
      <c r="B237" s="32" t="s">
        <v>2972</v>
      </c>
      <c r="C237" s="32" t="s">
        <v>2971</v>
      </c>
      <c r="D237" s="5" t="s">
        <v>4351</v>
      </c>
      <c r="E237" s="48">
        <v>776</v>
      </c>
      <c r="G237" s="7">
        <v>44762</v>
      </c>
      <c r="H237" s="32" t="s">
        <v>3658</v>
      </c>
      <c r="J237" s="48">
        <v>776</v>
      </c>
      <c r="K237" s="48">
        <v>0</v>
      </c>
      <c r="L237" s="7" t="s">
        <v>3790</v>
      </c>
      <c r="M237" s="7">
        <v>44942</v>
      </c>
      <c r="N237" s="7">
        <v>44482</v>
      </c>
      <c r="O237" s="7" t="s">
        <v>3790</v>
      </c>
      <c r="P237" s="48">
        <v>140</v>
      </c>
      <c r="Q237" s="48">
        <v>14</v>
      </c>
      <c r="R237" s="48">
        <v>14</v>
      </c>
      <c r="S237" s="48">
        <v>2000</v>
      </c>
      <c r="T237" s="5" t="s">
        <v>5548</v>
      </c>
      <c r="V237" s="32" t="s">
        <v>5270</v>
      </c>
    </row>
    <row r="238" spans="1:22">
      <c r="A238" s="5" t="s">
        <v>893</v>
      </c>
      <c r="B238" s="32" t="s">
        <v>2984</v>
      </c>
      <c r="C238" s="32" t="s">
        <v>2985</v>
      </c>
      <c r="D238" s="5" t="s">
        <v>4406</v>
      </c>
      <c r="E238" s="48">
        <v>706</v>
      </c>
      <c r="G238" s="7">
        <v>44840</v>
      </c>
      <c r="H238" s="32" t="s">
        <v>3658</v>
      </c>
      <c r="J238" s="48">
        <v>706</v>
      </c>
      <c r="K238" s="48">
        <v>0</v>
      </c>
      <c r="L238" s="7" t="s">
        <v>3790</v>
      </c>
      <c r="M238" s="7">
        <v>45022</v>
      </c>
      <c r="N238" s="7">
        <v>44804</v>
      </c>
      <c r="O238" s="7" t="s">
        <v>3790</v>
      </c>
      <c r="P238" s="48">
        <v>140</v>
      </c>
      <c r="Q238" s="48">
        <v>14</v>
      </c>
      <c r="R238" s="48">
        <v>14</v>
      </c>
      <c r="S238" s="48">
        <v>1000</v>
      </c>
      <c r="T238" s="5" t="s">
        <v>5548</v>
      </c>
      <c r="V238" s="32" t="s">
        <v>5576</v>
      </c>
    </row>
    <row r="239" spans="1:22">
      <c r="A239" s="5" t="s">
        <v>893</v>
      </c>
      <c r="B239" s="32" t="s">
        <v>2986</v>
      </c>
      <c r="C239" s="32" t="s">
        <v>2985</v>
      </c>
      <c r="D239" s="5" t="s">
        <v>4406</v>
      </c>
      <c r="E239" s="48">
        <v>1706</v>
      </c>
      <c r="G239" s="7">
        <v>44840</v>
      </c>
      <c r="H239" s="32" t="s">
        <v>3658</v>
      </c>
      <c r="J239" s="48">
        <v>1706</v>
      </c>
      <c r="K239" s="48">
        <v>0</v>
      </c>
      <c r="L239" s="7" t="s">
        <v>3790</v>
      </c>
      <c r="M239" s="7">
        <v>45022</v>
      </c>
      <c r="N239" s="7">
        <v>44804</v>
      </c>
      <c r="O239" s="7" t="s">
        <v>3790</v>
      </c>
      <c r="P239" s="48">
        <v>140</v>
      </c>
      <c r="Q239" s="48">
        <v>14</v>
      </c>
      <c r="R239" s="48">
        <v>14</v>
      </c>
      <c r="S239" s="48">
        <v>2000</v>
      </c>
      <c r="T239" s="5" t="s">
        <v>5548</v>
      </c>
      <c r="V239" s="32" t="s">
        <v>5577</v>
      </c>
    </row>
    <row r="240" spans="1:22">
      <c r="A240" s="5" t="s">
        <v>893</v>
      </c>
      <c r="B240" s="32" t="s">
        <v>2987</v>
      </c>
      <c r="C240" s="32" t="s">
        <v>2988</v>
      </c>
      <c r="D240" s="5" t="s">
        <v>4063</v>
      </c>
      <c r="E240" s="48">
        <v>1938</v>
      </c>
      <c r="G240" s="7">
        <v>44903</v>
      </c>
      <c r="H240" s="32" t="s">
        <v>3756</v>
      </c>
      <c r="J240" s="48">
        <v>1938</v>
      </c>
      <c r="K240" s="48">
        <v>0</v>
      </c>
      <c r="L240" s="7" t="s">
        <v>3790</v>
      </c>
      <c r="M240" s="7">
        <v>45083</v>
      </c>
      <c r="N240" s="7">
        <v>44750</v>
      </c>
      <c r="O240" s="7">
        <v>44917</v>
      </c>
      <c r="P240" s="48">
        <v>140</v>
      </c>
      <c r="Q240" s="48">
        <v>14</v>
      </c>
      <c r="R240" s="48">
        <v>14</v>
      </c>
      <c r="S240" s="48">
        <v>2000</v>
      </c>
      <c r="T240" s="5" t="s">
        <v>5548</v>
      </c>
      <c r="V240" s="32" t="s">
        <v>3782</v>
      </c>
    </row>
    <row r="241" spans="1:22">
      <c r="A241" s="5" t="s">
        <v>893</v>
      </c>
      <c r="B241" s="32" t="s">
        <v>2989</v>
      </c>
      <c r="C241" s="32" t="s">
        <v>2988</v>
      </c>
      <c r="D241" s="5" t="s">
        <v>4063</v>
      </c>
      <c r="E241" s="48">
        <v>939</v>
      </c>
      <c r="G241" s="7">
        <v>44903</v>
      </c>
      <c r="H241" s="32" t="s">
        <v>3756</v>
      </c>
      <c r="J241" s="48">
        <v>939</v>
      </c>
      <c r="K241" s="48">
        <v>0</v>
      </c>
      <c r="L241" s="7" t="s">
        <v>3790</v>
      </c>
      <c r="M241" s="7">
        <v>45083</v>
      </c>
      <c r="N241" s="7">
        <v>44750</v>
      </c>
      <c r="O241" s="7">
        <v>44917</v>
      </c>
      <c r="P241" s="48">
        <v>140</v>
      </c>
      <c r="Q241" s="48">
        <v>14</v>
      </c>
      <c r="R241" s="48">
        <v>14</v>
      </c>
      <c r="S241" s="48">
        <v>1000</v>
      </c>
      <c r="T241" s="5" t="s">
        <v>5548</v>
      </c>
      <c r="V241" s="32" t="s">
        <v>7762</v>
      </c>
    </row>
    <row r="242" spans="1:22">
      <c r="A242" s="5" t="s">
        <v>893</v>
      </c>
      <c r="B242" s="32" t="s">
        <v>3020</v>
      </c>
      <c r="C242" s="32" t="s">
        <v>3017</v>
      </c>
      <c r="D242" s="5" t="s">
        <v>4344</v>
      </c>
      <c r="E242" s="48">
        <v>0</v>
      </c>
      <c r="G242" s="7">
        <v>44973</v>
      </c>
      <c r="J242" s="48">
        <v>0</v>
      </c>
      <c r="K242" s="48">
        <v>0</v>
      </c>
      <c r="L242" s="7" t="s">
        <v>3790</v>
      </c>
      <c r="M242" s="7" t="s">
        <v>3790</v>
      </c>
      <c r="N242" s="7">
        <v>44750</v>
      </c>
      <c r="O242" s="7">
        <v>44987</v>
      </c>
      <c r="P242" s="48">
        <v>140</v>
      </c>
      <c r="Q242" s="48">
        <v>14</v>
      </c>
      <c r="R242" s="48">
        <v>14</v>
      </c>
      <c r="S242" s="48">
        <v>3000</v>
      </c>
      <c r="T242" s="5" t="s">
        <v>5549</v>
      </c>
      <c r="V242" s="32" t="s">
        <v>3783</v>
      </c>
    </row>
    <row r="243" spans="1:22">
      <c r="A243" s="5" t="s">
        <v>893</v>
      </c>
      <c r="B243" s="32" t="s">
        <v>3027</v>
      </c>
      <c r="C243" s="32" t="s">
        <v>3028</v>
      </c>
      <c r="D243" s="5" t="s">
        <v>5882</v>
      </c>
      <c r="E243" s="48">
        <v>821</v>
      </c>
      <c r="G243" s="7">
        <v>44910</v>
      </c>
      <c r="H243" s="32" t="s">
        <v>3756</v>
      </c>
      <c r="J243" s="48">
        <v>821</v>
      </c>
      <c r="K243" s="48">
        <v>0</v>
      </c>
      <c r="L243" s="7" t="s">
        <v>3790</v>
      </c>
      <c r="M243" s="7" t="s">
        <v>3790</v>
      </c>
      <c r="N243" s="7">
        <v>44833</v>
      </c>
      <c r="O243" s="7">
        <v>44924</v>
      </c>
      <c r="P243" s="48">
        <v>140</v>
      </c>
      <c r="Q243" s="48">
        <v>14</v>
      </c>
      <c r="R243" s="48">
        <v>14</v>
      </c>
      <c r="S243" s="48">
        <v>3000</v>
      </c>
      <c r="T243" s="5" t="s">
        <v>5548</v>
      </c>
      <c r="V243" s="32" t="s">
        <v>5916</v>
      </c>
    </row>
    <row r="244" spans="1:22">
      <c r="A244" s="5" t="s">
        <v>893</v>
      </c>
      <c r="B244" s="32" t="s">
        <v>3119</v>
      </c>
      <c r="C244" s="32" t="s">
        <v>3117</v>
      </c>
      <c r="D244" s="5" t="s">
        <v>4172</v>
      </c>
      <c r="E244" s="48">
        <v>1596</v>
      </c>
      <c r="G244" s="7">
        <v>44882</v>
      </c>
      <c r="H244" s="32" t="s">
        <v>3658</v>
      </c>
      <c r="J244" s="48">
        <v>1596</v>
      </c>
      <c r="K244" s="48">
        <v>0</v>
      </c>
      <c r="L244" s="7" t="s">
        <v>3790</v>
      </c>
      <c r="M244" s="7">
        <v>45062</v>
      </c>
      <c r="N244" s="7">
        <v>44550</v>
      </c>
      <c r="O244" s="7" t="s">
        <v>3790</v>
      </c>
      <c r="P244" s="48">
        <v>140</v>
      </c>
      <c r="Q244" s="48">
        <v>14</v>
      </c>
      <c r="R244" s="48">
        <v>14</v>
      </c>
      <c r="S244" s="48">
        <v>1700</v>
      </c>
      <c r="T244" s="5" t="s">
        <v>5548</v>
      </c>
      <c r="V244" s="32" t="s">
        <v>3784</v>
      </c>
    </row>
    <row r="245" spans="1:22">
      <c r="A245" s="5" t="s">
        <v>893</v>
      </c>
      <c r="B245" s="32" t="s">
        <v>3123</v>
      </c>
      <c r="C245" s="32" t="s">
        <v>3785</v>
      </c>
      <c r="D245" s="5" t="s">
        <v>4435</v>
      </c>
      <c r="E245" s="48">
        <v>662</v>
      </c>
      <c r="G245" s="7">
        <v>44798</v>
      </c>
      <c r="H245" s="32" t="s">
        <v>3658</v>
      </c>
      <c r="J245" s="48">
        <v>662</v>
      </c>
      <c r="K245" s="48">
        <v>0</v>
      </c>
      <c r="L245" s="7" t="s">
        <v>3790</v>
      </c>
      <c r="M245" s="7">
        <v>44979</v>
      </c>
      <c r="N245" s="7">
        <v>44739</v>
      </c>
      <c r="O245" s="7" t="s">
        <v>3790</v>
      </c>
      <c r="P245" s="48">
        <v>140</v>
      </c>
      <c r="Q245" s="48">
        <v>14</v>
      </c>
      <c r="R245" s="48">
        <v>14</v>
      </c>
      <c r="S245" s="48">
        <v>3000</v>
      </c>
      <c r="T245" s="5" t="s">
        <v>5548</v>
      </c>
      <c r="V245" s="32" t="s">
        <v>3786</v>
      </c>
    </row>
    <row r="246" spans="1:22">
      <c r="A246" s="5" t="s">
        <v>893</v>
      </c>
      <c r="B246" s="32" t="s">
        <v>3123</v>
      </c>
      <c r="C246" s="32" t="s">
        <v>3785</v>
      </c>
      <c r="D246" s="5" t="s">
        <v>5862</v>
      </c>
      <c r="E246" s="48">
        <v>0</v>
      </c>
      <c r="G246" s="7">
        <v>44945</v>
      </c>
      <c r="J246" s="48">
        <v>0</v>
      </c>
      <c r="K246" s="48">
        <v>0</v>
      </c>
      <c r="L246" s="7" t="s">
        <v>3790</v>
      </c>
      <c r="M246" s="7" t="s">
        <v>3790</v>
      </c>
      <c r="N246" s="7">
        <v>44854</v>
      </c>
      <c r="O246" s="7">
        <v>44959</v>
      </c>
      <c r="P246" s="48">
        <v>140</v>
      </c>
      <c r="Q246" s="48">
        <v>14</v>
      </c>
      <c r="R246" s="48">
        <v>14</v>
      </c>
      <c r="S246" s="48">
        <v>3000</v>
      </c>
      <c r="T246" s="5" t="s">
        <v>5549</v>
      </c>
      <c r="V246" s="32" t="s">
        <v>5919</v>
      </c>
    </row>
    <row r="247" spans="1:22">
      <c r="A247" s="5" t="s">
        <v>893</v>
      </c>
      <c r="B247" s="32" t="s">
        <v>7765</v>
      </c>
      <c r="C247" s="32" t="s">
        <v>1904</v>
      </c>
      <c r="D247" s="5" t="s">
        <v>7720</v>
      </c>
      <c r="E247" s="48">
        <v>0</v>
      </c>
      <c r="G247" s="7" t="e">
        <v>#VALUE!</v>
      </c>
      <c r="J247" s="48">
        <v>0</v>
      </c>
      <c r="K247" s="48">
        <v>0</v>
      </c>
      <c r="L247" s="7" t="s">
        <v>3790</v>
      </c>
      <c r="M247" s="7" t="s">
        <v>3790</v>
      </c>
      <c r="N247" s="7">
        <v>44904</v>
      </c>
      <c r="O247" s="7" t="e">
        <v>#VALUE!</v>
      </c>
      <c r="P247" s="48" t="e">
        <v>#N/A</v>
      </c>
      <c r="Q247" s="48" t="e">
        <v>#N/A</v>
      </c>
      <c r="R247" s="48" t="e">
        <v>#N/A</v>
      </c>
      <c r="S247" s="48">
        <v>3000</v>
      </c>
      <c r="T247" s="5" t="s">
        <v>7610</v>
      </c>
      <c r="V247" s="32" t="s">
        <v>7766</v>
      </c>
    </row>
    <row r="248" spans="1:22">
      <c r="A248" s="5" t="s">
        <v>893</v>
      </c>
      <c r="B248" s="32" t="s">
        <v>3162</v>
      </c>
      <c r="C248" s="32" t="s">
        <v>3163</v>
      </c>
      <c r="D248" s="5" t="s">
        <v>4344</v>
      </c>
      <c r="E248" s="48">
        <v>709</v>
      </c>
      <c r="G248" s="7">
        <v>44841</v>
      </c>
      <c r="H248" s="32" t="s">
        <v>3658</v>
      </c>
      <c r="J248" s="48">
        <v>709</v>
      </c>
      <c r="K248" s="48">
        <v>0</v>
      </c>
      <c r="L248" s="7" t="s">
        <v>3790</v>
      </c>
      <c r="M248" s="7">
        <v>45022</v>
      </c>
      <c r="N248" s="7">
        <v>44750</v>
      </c>
      <c r="O248" s="7" t="s">
        <v>3790</v>
      </c>
      <c r="P248" s="48">
        <v>140</v>
      </c>
      <c r="Q248" s="48">
        <v>14</v>
      </c>
      <c r="R248" s="48">
        <v>14</v>
      </c>
      <c r="S248" s="48">
        <v>4000</v>
      </c>
      <c r="T248" s="5" t="s">
        <v>5548</v>
      </c>
      <c r="V248" s="32" t="s">
        <v>5578</v>
      </c>
    </row>
    <row r="249" spans="1:22">
      <c r="A249" s="5" t="s">
        <v>893</v>
      </c>
      <c r="B249" s="32" t="s">
        <v>3162</v>
      </c>
      <c r="C249" s="32" t="s">
        <v>3163</v>
      </c>
      <c r="D249" s="5" t="s">
        <v>5862</v>
      </c>
      <c r="E249" s="48">
        <v>0</v>
      </c>
      <c r="G249" s="7">
        <v>44938</v>
      </c>
      <c r="J249" s="48">
        <v>0</v>
      </c>
      <c r="K249" s="48">
        <v>0</v>
      </c>
      <c r="L249" s="7" t="s">
        <v>3790</v>
      </c>
      <c r="M249" s="7" t="s">
        <v>3790</v>
      </c>
      <c r="N249" s="7">
        <v>44854</v>
      </c>
      <c r="O249" s="7">
        <v>44952</v>
      </c>
      <c r="P249" s="48">
        <v>140</v>
      </c>
      <c r="Q249" s="48">
        <v>14</v>
      </c>
      <c r="R249" s="48">
        <v>14</v>
      </c>
      <c r="S249" s="48">
        <v>4000</v>
      </c>
      <c r="T249" s="5" t="s">
        <v>5549</v>
      </c>
      <c r="V249" s="32" t="s">
        <v>5921</v>
      </c>
    </row>
    <row r="250" spans="1:22">
      <c r="A250" s="5" t="s">
        <v>893</v>
      </c>
      <c r="B250" s="32" t="s">
        <v>3164</v>
      </c>
      <c r="C250" s="32" t="s">
        <v>3163</v>
      </c>
      <c r="D250" s="5" t="s">
        <v>4344</v>
      </c>
      <c r="E250" s="48">
        <v>5693</v>
      </c>
      <c r="G250" s="7">
        <v>44841</v>
      </c>
      <c r="H250" s="32" t="s">
        <v>3658</v>
      </c>
      <c r="J250" s="48">
        <v>5693</v>
      </c>
      <c r="K250" s="48">
        <v>0</v>
      </c>
      <c r="L250" s="7" t="s">
        <v>3790</v>
      </c>
      <c r="M250" s="7">
        <v>45022</v>
      </c>
      <c r="N250" s="7">
        <v>44750</v>
      </c>
      <c r="O250" s="7" t="s">
        <v>3790</v>
      </c>
      <c r="P250" s="48">
        <v>140</v>
      </c>
      <c r="Q250" s="48">
        <v>14</v>
      </c>
      <c r="R250" s="48">
        <v>14</v>
      </c>
      <c r="S250" s="48">
        <v>16000</v>
      </c>
      <c r="T250" s="5" t="s">
        <v>5548</v>
      </c>
      <c r="V250" s="32" t="s">
        <v>5579</v>
      </c>
    </row>
    <row r="251" spans="1:22">
      <c r="A251" s="5" t="s">
        <v>893</v>
      </c>
      <c r="B251" s="32" t="s">
        <v>3164</v>
      </c>
      <c r="C251" s="32" t="s">
        <v>3163</v>
      </c>
      <c r="D251" s="5" t="s">
        <v>5862</v>
      </c>
      <c r="E251" s="48">
        <v>0</v>
      </c>
      <c r="G251" s="7">
        <v>44938</v>
      </c>
      <c r="J251" s="48">
        <v>0</v>
      </c>
      <c r="K251" s="48">
        <v>0</v>
      </c>
      <c r="L251" s="7" t="s">
        <v>3790</v>
      </c>
      <c r="M251" s="7" t="s">
        <v>3790</v>
      </c>
      <c r="N251" s="7">
        <v>44854</v>
      </c>
      <c r="O251" s="7">
        <v>44952</v>
      </c>
      <c r="P251" s="48">
        <v>140</v>
      </c>
      <c r="Q251" s="48">
        <v>14</v>
      </c>
      <c r="R251" s="48">
        <v>14</v>
      </c>
      <c r="S251" s="48">
        <v>16000</v>
      </c>
      <c r="T251" s="5" t="s">
        <v>5549</v>
      </c>
      <c r="V251" s="32" t="s">
        <v>5923</v>
      </c>
    </row>
    <row r="252" spans="1:22">
      <c r="A252" s="5" t="s">
        <v>3787</v>
      </c>
      <c r="B252" s="32" t="s">
        <v>1823</v>
      </c>
      <c r="C252" s="32" t="s">
        <v>1824</v>
      </c>
      <c r="D252" s="5" t="s">
        <v>4277</v>
      </c>
      <c r="E252" s="48">
        <v>0</v>
      </c>
      <c r="G252" s="7">
        <v>44956</v>
      </c>
      <c r="J252" s="48">
        <v>0</v>
      </c>
      <c r="K252" s="48">
        <v>0</v>
      </c>
      <c r="L252" s="7" t="s">
        <v>3790</v>
      </c>
      <c r="M252" s="7" t="s">
        <v>3790</v>
      </c>
      <c r="N252" s="7">
        <v>44736</v>
      </c>
      <c r="O252" s="7">
        <v>44998</v>
      </c>
      <c r="P252" s="48">
        <v>168</v>
      </c>
      <c r="Q252" s="48">
        <v>42</v>
      </c>
      <c r="R252" s="48">
        <v>14</v>
      </c>
      <c r="S252" s="48">
        <v>2400</v>
      </c>
      <c r="T252" s="5" t="s">
        <v>5549</v>
      </c>
    </row>
    <row r="253" spans="1:22">
      <c r="A253" s="5" t="s">
        <v>3787</v>
      </c>
      <c r="B253" s="32" t="s">
        <v>1825</v>
      </c>
      <c r="C253" s="32" t="s">
        <v>1824</v>
      </c>
      <c r="D253" s="5" t="s">
        <v>4277</v>
      </c>
      <c r="E253" s="48">
        <v>0</v>
      </c>
      <c r="G253" s="7">
        <v>44956</v>
      </c>
      <c r="J253" s="48">
        <v>0</v>
      </c>
      <c r="K253" s="48">
        <v>0</v>
      </c>
      <c r="L253" s="7" t="s">
        <v>3790</v>
      </c>
      <c r="M253" s="7" t="s">
        <v>3790</v>
      </c>
      <c r="N253" s="7">
        <v>44736</v>
      </c>
      <c r="O253" s="7">
        <v>44998</v>
      </c>
      <c r="P253" s="48">
        <v>168</v>
      </c>
      <c r="Q253" s="48">
        <v>42</v>
      </c>
      <c r="R253" s="48">
        <v>14</v>
      </c>
      <c r="S253" s="48">
        <v>2000</v>
      </c>
      <c r="T253" s="5" t="s">
        <v>5549</v>
      </c>
    </row>
    <row r="254" spans="1:22">
      <c r="A254" s="5" t="s">
        <v>3787</v>
      </c>
      <c r="B254" s="32" t="s">
        <v>1865</v>
      </c>
      <c r="C254" s="32" t="s">
        <v>1866</v>
      </c>
      <c r="D254" s="5" t="s">
        <v>4277</v>
      </c>
      <c r="E254" s="48">
        <v>0</v>
      </c>
      <c r="G254" s="7">
        <v>44855</v>
      </c>
      <c r="H254" s="32" t="s">
        <v>3526</v>
      </c>
      <c r="I254" s="48">
        <v>432</v>
      </c>
      <c r="J254" s="48">
        <v>-432</v>
      </c>
      <c r="K254" s="48">
        <v>2632</v>
      </c>
      <c r="L254" s="7">
        <v>44956</v>
      </c>
      <c r="M254" s="7">
        <v>45046</v>
      </c>
      <c r="N254" s="7">
        <v>44736</v>
      </c>
      <c r="O254" s="7">
        <v>44970</v>
      </c>
      <c r="P254" s="48">
        <v>168</v>
      </c>
      <c r="Q254" s="48">
        <v>42</v>
      </c>
      <c r="R254" s="48">
        <v>14</v>
      </c>
      <c r="S254" s="48">
        <v>2200</v>
      </c>
      <c r="T254" s="5" t="s">
        <v>5548</v>
      </c>
      <c r="V254" s="32" t="s">
        <v>7723</v>
      </c>
    </row>
    <row r="255" spans="1:22">
      <c r="A255" s="5" t="s">
        <v>3787</v>
      </c>
      <c r="B255" s="32" t="s">
        <v>1868</v>
      </c>
      <c r="C255" s="32" t="s">
        <v>1866</v>
      </c>
      <c r="D255" s="5" t="s">
        <v>4277</v>
      </c>
      <c r="E255" s="48">
        <v>0</v>
      </c>
      <c r="G255" s="7">
        <v>44855</v>
      </c>
      <c r="H255" s="32" t="s">
        <v>3526</v>
      </c>
      <c r="I255" s="48">
        <v>792</v>
      </c>
      <c r="J255" s="48">
        <v>-792</v>
      </c>
      <c r="K255" s="48">
        <v>9592</v>
      </c>
      <c r="L255" s="7">
        <v>44956</v>
      </c>
      <c r="M255" s="7">
        <v>45046</v>
      </c>
      <c r="N255" s="7">
        <v>44736</v>
      </c>
      <c r="O255" s="7">
        <v>44970</v>
      </c>
      <c r="P255" s="48">
        <v>168</v>
      </c>
      <c r="Q255" s="48">
        <v>42</v>
      </c>
      <c r="R255" s="48">
        <v>14</v>
      </c>
      <c r="S255" s="48">
        <v>8800</v>
      </c>
      <c r="T255" s="5" t="s">
        <v>5548</v>
      </c>
      <c r="V255" s="32" t="s">
        <v>7724</v>
      </c>
    </row>
    <row r="256" spans="1:22">
      <c r="A256" s="5" t="s">
        <v>3787</v>
      </c>
      <c r="B256" s="32" t="s">
        <v>1869</v>
      </c>
      <c r="C256" s="32" t="s">
        <v>1870</v>
      </c>
      <c r="D256" s="5" t="s">
        <v>5271</v>
      </c>
      <c r="E256" s="48">
        <v>1316</v>
      </c>
      <c r="F256" s="32" t="s">
        <v>3657</v>
      </c>
      <c r="G256" s="7">
        <v>44841</v>
      </c>
      <c r="H256" s="32" t="s">
        <v>3526</v>
      </c>
      <c r="J256" s="48">
        <v>1316</v>
      </c>
      <c r="K256" s="48">
        <v>0</v>
      </c>
      <c r="L256" s="7">
        <v>44893</v>
      </c>
      <c r="M256" s="7">
        <v>44620</v>
      </c>
      <c r="N256" s="7">
        <v>44761</v>
      </c>
      <c r="O256" s="7" t="s">
        <v>3790</v>
      </c>
      <c r="P256" s="48">
        <v>168</v>
      </c>
      <c r="Q256" s="48">
        <v>42</v>
      </c>
      <c r="R256" s="48">
        <v>14</v>
      </c>
      <c r="S256" s="48">
        <v>1500</v>
      </c>
      <c r="T256" s="5" t="s">
        <v>5548</v>
      </c>
    </row>
    <row r="257" spans="1:22">
      <c r="A257" s="5" t="s">
        <v>3787</v>
      </c>
      <c r="B257" s="32" t="s">
        <v>1869</v>
      </c>
      <c r="C257" s="32" t="s">
        <v>1870</v>
      </c>
      <c r="D257" s="5" t="s">
        <v>7725</v>
      </c>
      <c r="E257" s="48">
        <v>0</v>
      </c>
      <c r="G257" s="7">
        <v>44988</v>
      </c>
      <c r="J257" s="48">
        <v>0</v>
      </c>
      <c r="K257" s="48">
        <v>0</v>
      </c>
      <c r="L257" s="7" t="s">
        <v>3790</v>
      </c>
      <c r="M257" s="7" t="s">
        <v>3790</v>
      </c>
      <c r="N257" s="7">
        <v>44924</v>
      </c>
      <c r="O257" s="7">
        <v>45030</v>
      </c>
      <c r="P257" s="48">
        <v>168</v>
      </c>
      <c r="Q257" s="48">
        <v>42</v>
      </c>
      <c r="R257" s="48">
        <v>14</v>
      </c>
      <c r="S257" s="48">
        <v>4400</v>
      </c>
      <c r="T257" s="5" t="s">
        <v>5549</v>
      </c>
    </row>
    <row r="258" spans="1:22">
      <c r="A258" s="5" t="s">
        <v>3787</v>
      </c>
      <c r="B258" s="32" t="s">
        <v>1871</v>
      </c>
      <c r="C258" s="32" t="s">
        <v>1870</v>
      </c>
      <c r="D258" s="5" t="s">
        <v>5271</v>
      </c>
      <c r="E258" s="48">
        <v>728</v>
      </c>
      <c r="F258" s="32" t="s">
        <v>3657</v>
      </c>
      <c r="G258" s="7">
        <v>44841</v>
      </c>
      <c r="H258" s="32" t="s">
        <v>3526</v>
      </c>
      <c r="I258" s="48">
        <v>28</v>
      </c>
      <c r="J258" s="48">
        <v>700</v>
      </c>
      <c r="K258" s="48">
        <v>0</v>
      </c>
      <c r="L258" s="7">
        <v>44893</v>
      </c>
      <c r="M258" s="7">
        <v>44620</v>
      </c>
      <c r="N258" s="7">
        <v>44761</v>
      </c>
      <c r="O258" s="7" t="s">
        <v>3790</v>
      </c>
      <c r="P258" s="48">
        <v>168</v>
      </c>
      <c r="Q258" s="48">
        <v>42</v>
      </c>
      <c r="R258" s="48">
        <v>14</v>
      </c>
      <c r="S258" s="48">
        <v>700</v>
      </c>
      <c r="T258" s="5" t="s">
        <v>5548</v>
      </c>
    </row>
    <row r="259" spans="1:22">
      <c r="A259" s="5" t="s">
        <v>3787</v>
      </c>
      <c r="B259" s="32" t="s">
        <v>1871</v>
      </c>
      <c r="C259" s="32" t="s">
        <v>1870</v>
      </c>
      <c r="D259" s="5" t="s">
        <v>7725</v>
      </c>
      <c r="E259" s="48">
        <v>0</v>
      </c>
      <c r="G259" s="7">
        <v>44988</v>
      </c>
      <c r="J259" s="48">
        <v>0</v>
      </c>
      <c r="K259" s="48">
        <v>0</v>
      </c>
      <c r="L259" s="7" t="s">
        <v>3790</v>
      </c>
      <c r="M259" s="7" t="s">
        <v>3790</v>
      </c>
      <c r="N259" s="7">
        <v>44924</v>
      </c>
      <c r="O259" s="7">
        <v>45030</v>
      </c>
      <c r="P259" s="48">
        <v>168</v>
      </c>
      <c r="Q259" s="48">
        <v>42</v>
      </c>
      <c r="R259" s="48">
        <v>14</v>
      </c>
      <c r="S259" s="48">
        <v>1100</v>
      </c>
      <c r="T259" s="5" t="s">
        <v>5549</v>
      </c>
    </row>
    <row r="260" spans="1:22">
      <c r="A260" s="5" t="s">
        <v>3787</v>
      </c>
      <c r="B260" s="32" t="s">
        <v>1872</v>
      </c>
      <c r="C260" s="32" t="s">
        <v>1873</v>
      </c>
      <c r="D260" s="5" t="s">
        <v>4294</v>
      </c>
      <c r="E260" s="48">
        <v>1422</v>
      </c>
      <c r="F260" s="32" t="s">
        <v>3657</v>
      </c>
      <c r="G260" s="7">
        <v>44820</v>
      </c>
      <c r="H260" s="32" t="s">
        <v>3526</v>
      </c>
      <c r="J260" s="48">
        <v>1422</v>
      </c>
      <c r="K260" s="48">
        <v>0</v>
      </c>
      <c r="L260" s="7">
        <v>44893</v>
      </c>
      <c r="M260" s="7">
        <v>44620</v>
      </c>
      <c r="N260" s="7">
        <v>44408</v>
      </c>
      <c r="O260" s="7" t="s">
        <v>3790</v>
      </c>
      <c r="P260" s="48">
        <v>168</v>
      </c>
      <c r="Q260" s="48">
        <v>42</v>
      </c>
      <c r="R260" s="48">
        <v>14</v>
      </c>
      <c r="S260" s="48">
        <v>1600</v>
      </c>
      <c r="T260" s="5" t="s">
        <v>5548</v>
      </c>
    </row>
    <row r="261" spans="1:22">
      <c r="A261" s="5" t="s">
        <v>3787</v>
      </c>
      <c r="B261" s="32" t="s">
        <v>1874</v>
      </c>
      <c r="C261" s="32" t="s">
        <v>1873</v>
      </c>
      <c r="D261" s="5" t="s">
        <v>4277</v>
      </c>
      <c r="E261" s="48">
        <v>2727</v>
      </c>
      <c r="F261" s="32" t="s">
        <v>3657</v>
      </c>
      <c r="G261" s="7">
        <v>44841</v>
      </c>
      <c r="H261" s="32" t="s">
        <v>3526</v>
      </c>
      <c r="I261" s="48">
        <v>527</v>
      </c>
      <c r="J261" s="48">
        <v>2200</v>
      </c>
      <c r="K261" s="48">
        <v>0</v>
      </c>
      <c r="L261" s="7">
        <v>44893</v>
      </c>
      <c r="M261" s="7">
        <v>44620</v>
      </c>
      <c r="N261" s="7">
        <v>44736</v>
      </c>
      <c r="O261" s="7" t="s">
        <v>3790</v>
      </c>
      <c r="P261" s="48">
        <v>168</v>
      </c>
      <c r="Q261" s="48">
        <v>42</v>
      </c>
      <c r="R261" s="48">
        <v>14</v>
      </c>
      <c r="S261" s="48">
        <v>2200</v>
      </c>
      <c r="T261" s="5" t="s">
        <v>5548</v>
      </c>
      <c r="V261" s="32" t="s">
        <v>7729</v>
      </c>
    </row>
    <row r="262" spans="1:22">
      <c r="A262" s="5" t="s">
        <v>3787</v>
      </c>
      <c r="B262" s="32" t="s">
        <v>1874</v>
      </c>
      <c r="C262" s="32" t="s">
        <v>1873</v>
      </c>
      <c r="D262" s="5" t="s">
        <v>7725</v>
      </c>
      <c r="E262" s="48">
        <v>0</v>
      </c>
      <c r="G262" s="7">
        <v>44988</v>
      </c>
      <c r="J262" s="48">
        <v>0</v>
      </c>
      <c r="K262" s="48">
        <v>0</v>
      </c>
      <c r="L262" s="7" t="s">
        <v>3790</v>
      </c>
      <c r="M262" s="7" t="s">
        <v>3790</v>
      </c>
      <c r="N262" s="7">
        <v>44924</v>
      </c>
      <c r="O262" s="7">
        <v>45030</v>
      </c>
      <c r="P262" s="48">
        <v>168</v>
      </c>
      <c r="Q262" s="48">
        <v>42</v>
      </c>
      <c r="R262" s="48">
        <v>14</v>
      </c>
      <c r="S262" s="48">
        <v>2200</v>
      </c>
      <c r="T262" s="5" t="s">
        <v>5549</v>
      </c>
    </row>
    <row r="263" spans="1:22">
      <c r="A263" s="5" t="s">
        <v>3787</v>
      </c>
      <c r="B263" s="32" t="s">
        <v>2895</v>
      </c>
      <c r="C263" s="32" t="s">
        <v>2894</v>
      </c>
      <c r="D263" s="5" t="s">
        <v>4392</v>
      </c>
      <c r="E263" s="48">
        <v>703</v>
      </c>
      <c r="F263" s="32" t="s">
        <v>3657</v>
      </c>
      <c r="G263" s="7">
        <v>44750</v>
      </c>
      <c r="H263" s="32" t="s">
        <v>3526</v>
      </c>
      <c r="I263" s="48">
        <v>895</v>
      </c>
      <c r="J263" s="48">
        <v>-192</v>
      </c>
      <c r="K263" s="48">
        <v>0</v>
      </c>
      <c r="L263" s="7">
        <v>44803</v>
      </c>
      <c r="M263" s="7">
        <v>44895</v>
      </c>
      <c r="N263" s="7" t="s">
        <v>4068</v>
      </c>
      <c r="O263" s="7" t="s">
        <v>3790</v>
      </c>
      <c r="P263" s="48">
        <v>168</v>
      </c>
      <c r="Q263" s="48">
        <v>42</v>
      </c>
      <c r="R263" s="48">
        <v>14</v>
      </c>
      <c r="S263" s="48">
        <v>2200</v>
      </c>
      <c r="T263" s="5" t="s">
        <v>5548</v>
      </c>
    </row>
    <row r="264" spans="1:22">
      <c r="A264" s="5" t="s">
        <v>3787</v>
      </c>
      <c r="B264" s="32" t="s">
        <v>3126</v>
      </c>
      <c r="C264" s="32" t="s">
        <v>3127</v>
      </c>
      <c r="D264" s="5" t="s">
        <v>6063</v>
      </c>
      <c r="E264" s="48">
        <v>0</v>
      </c>
      <c r="G264" s="7">
        <v>44967</v>
      </c>
      <c r="J264" s="48">
        <v>0</v>
      </c>
      <c r="K264" s="48">
        <v>0</v>
      </c>
      <c r="L264" s="7" t="s">
        <v>3790</v>
      </c>
      <c r="M264" s="7" t="s">
        <v>3790</v>
      </c>
      <c r="N264" s="7">
        <v>44869</v>
      </c>
      <c r="O264" s="7">
        <v>45009</v>
      </c>
      <c r="P264" s="48">
        <v>168</v>
      </c>
      <c r="Q264" s="48">
        <v>42</v>
      </c>
      <c r="R264" s="48">
        <v>14</v>
      </c>
      <c r="S264" s="48">
        <v>500</v>
      </c>
      <c r="T264" s="5" t="s">
        <v>5549</v>
      </c>
    </row>
    <row r="265" spans="1:22">
      <c r="A265" s="5" t="s">
        <v>3787</v>
      </c>
      <c r="B265" s="32" t="s">
        <v>3128</v>
      </c>
      <c r="C265" s="32" t="s">
        <v>3127</v>
      </c>
      <c r="D265" s="5" t="s">
        <v>6063</v>
      </c>
      <c r="E265" s="48">
        <v>0</v>
      </c>
      <c r="G265" s="7">
        <v>44967</v>
      </c>
      <c r="J265" s="48">
        <v>0</v>
      </c>
      <c r="K265" s="48">
        <v>0</v>
      </c>
      <c r="L265" s="7" t="s">
        <v>3790</v>
      </c>
      <c r="M265" s="7" t="s">
        <v>3790</v>
      </c>
      <c r="N265" s="7">
        <v>44869</v>
      </c>
      <c r="O265" s="7">
        <v>45009</v>
      </c>
      <c r="P265" s="48">
        <v>168</v>
      </c>
      <c r="Q265" s="48">
        <v>42</v>
      </c>
      <c r="R265" s="48">
        <v>14</v>
      </c>
      <c r="S265" s="48">
        <v>1700</v>
      </c>
      <c r="T265" s="5" t="s">
        <v>5549</v>
      </c>
    </row>
    <row r="266" spans="1:22">
      <c r="A266" s="5" t="s">
        <v>3787</v>
      </c>
      <c r="B266" s="32" t="s">
        <v>3152</v>
      </c>
      <c r="C266" s="32" t="s">
        <v>3151</v>
      </c>
      <c r="D266" s="5" t="s">
        <v>4277</v>
      </c>
      <c r="E266" s="48">
        <v>2978</v>
      </c>
      <c r="F266" s="32" t="s">
        <v>3657</v>
      </c>
      <c r="G266" s="7">
        <v>44841</v>
      </c>
      <c r="H266" s="32" t="s">
        <v>3526</v>
      </c>
      <c r="J266" s="48">
        <v>2978</v>
      </c>
      <c r="K266" s="48">
        <v>0</v>
      </c>
      <c r="L266" s="7">
        <v>44893</v>
      </c>
      <c r="M266" s="7">
        <v>44620</v>
      </c>
      <c r="N266" s="7">
        <v>44736</v>
      </c>
      <c r="O266" s="7" t="s">
        <v>3790</v>
      </c>
      <c r="P266" s="48">
        <v>168</v>
      </c>
      <c r="Q266" s="48">
        <v>42</v>
      </c>
      <c r="R266" s="48">
        <v>14</v>
      </c>
      <c r="S266" s="48">
        <v>4400</v>
      </c>
      <c r="T266" s="5" t="s">
        <v>5548</v>
      </c>
      <c r="V266" s="32" t="s">
        <v>7764</v>
      </c>
    </row>
    <row r="267" spans="1:22">
      <c r="A267" s="5" t="s">
        <v>3787</v>
      </c>
      <c r="B267" s="32" t="s">
        <v>3152</v>
      </c>
      <c r="C267" s="32" t="s">
        <v>3151</v>
      </c>
      <c r="D267" s="5" t="s">
        <v>7725</v>
      </c>
      <c r="E267" s="48">
        <v>0</v>
      </c>
      <c r="G267" s="7">
        <v>44988</v>
      </c>
      <c r="J267" s="48">
        <v>0</v>
      </c>
      <c r="K267" s="48">
        <v>0</v>
      </c>
      <c r="L267" s="7" t="s">
        <v>3790</v>
      </c>
      <c r="M267" s="7" t="s">
        <v>3790</v>
      </c>
      <c r="N267" s="7">
        <v>44924</v>
      </c>
      <c r="O267" s="7">
        <v>45030</v>
      </c>
      <c r="P267" s="48">
        <v>168</v>
      </c>
      <c r="Q267" s="48">
        <v>42</v>
      </c>
      <c r="R267" s="48">
        <v>14</v>
      </c>
      <c r="S267" s="48">
        <v>2200</v>
      </c>
      <c r="T267" s="5" t="s">
        <v>5549</v>
      </c>
    </row>
    <row r="268" spans="1:22">
      <c r="A268" s="5" t="s">
        <v>3787</v>
      </c>
      <c r="B268" s="32" t="s">
        <v>3155</v>
      </c>
      <c r="C268" s="32" t="s">
        <v>3154</v>
      </c>
      <c r="D268" s="5" t="s">
        <v>4277</v>
      </c>
      <c r="E268" s="48">
        <v>0</v>
      </c>
      <c r="G268" s="7">
        <v>44854</v>
      </c>
      <c r="H268" s="32" t="s">
        <v>3526</v>
      </c>
      <c r="I268" s="48">
        <v>1422</v>
      </c>
      <c r="J268" s="48">
        <v>-1422</v>
      </c>
      <c r="K268" s="48">
        <v>5822</v>
      </c>
      <c r="L268" s="7">
        <v>44956</v>
      </c>
      <c r="M268" s="7">
        <v>45046</v>
      </c>
      <c r="N268" s="7">
        <v>44736</v>
      </c>
      <c r="O268" s="7">
        <v>44970</v>
      </c>
      <c r="P268" s="48">
        <v>168</v>
      </c>
      <c r="Q268" s="48">
        <v>42</v>
      </c>
      <c r="R268" s="48">
        <v>14</v>
      </c>
      <c r="S268" s="48">
        <v>4400</v>
      </c>
      <c r="T268" s="5" t="s">
        <v>5548</v>
      </c>
      <c r="V268" s="32" t="s">
        <v>7723</v>
      </c>
    </row>
    <row r="269" spans="1:22">
      <c r="A269" s="5" t="s">
        <v>5429</v>
      </c>
      <c r="B269" s="32" t="s">
        <v>971</v>
      </c>
      <c r="C269" s="32" t="s">
        <v>3540</v>
      </c>
      <c r="D269" s="5" t="s">
        <v>5975</v>
      </c>
      <c r="E269" s="48">
        <v>4068</v>
      </c>
      <c r="F269" s="32" t="s">
        <v>5502</v>
      </c>
      <c r="G269" s="7">
        <v>44746</v>
      </c>
      <c r="H269" s="32" t="s">
        <v>3526</v>
      </c>
      <c r="J269" s="48">
        <v>4068</v>
      </c>
      <c r="K269" s="48">
        <v>0</v>
      </c>
      <c r="L269" s="7" t="s">
        <v>3790</v>
      </c>
      <c r="M269" s="7">
        <v>44938</v>
      </c>
      <c r="N269" s="7">
        <v>44844</v>
      </c>
      <c r="O269" s="7" t="s">
        <v>3790</v>
      </c>
      <c r="P269" s="48">
        <v>91</v>
      </c>
      <c r="Q269" s="48">
        <v>56</v>
      </c>
      <c r="R269" s="48">
        <v>14</v>
      </c>
      <c r="S269" s="48">
        <v>4400</v>
      </c>
      <c r="T269" s="5" t="s">
        <v>5548</v>
      </c>
    </row>
    <row r="270" spans="1:22">
      <c r="A270" s="5" t="s">
        <v>5429</v>
      </c>
      <c r="B270" s="32" t="s">
        <v>994</v>
      </c>
      <c r="C270" s="32" t="s">
        <v>3543</v>
      </c>
      <c r="D270" s="5" t="s">
        <v>5977</v>
      </c>
      <c r="E270" s="48">
        <v>16224</v>
      </c>
      <c r="F270" s="32" t="s">
        <v>5502</v>
      </c>
      <c r="G270" s="7">
        <v>44808</v>
      </c>
      <c r="H270" s="32" t="s">
        <v>3526</v>
      </c>
      <c r="I270" s="48" t="s">
        <v>3549</v>
      </c>
      <c r="J270" s="48">
        <v>15000</v>
      </c>
      <c r="K270" s="48">
        <v>0</v>
      </c>
      <c r="L270" s="7" t="s">
        <v>3790</v>
      </c>
      <c r="M270" s="7" t="s">
        <v>3790</v>
      </c>
      <c r="N270" s="7">
        <v>44844</v>
      </c>
      <c r="O270" s="7" t="s">
        <v>3790</v>
      </c>
      <c r="P270" s="48">
        <v>91</v>
      </c>
      <c r="Q270" s="48">
        <v>56</v>
      </c>
      <c r="R270" s="48">
        <v>14</v>
      </c>
      <c r="S270" s="48">
        <v>15000</v>
      </c>
      <c r="T270" s="5" t="s">
        <v>5548</v>
      </c>
    </row>
    <row r="271" spans="1:22">
      <c r="A271" s="5" t="s">
        <v>5429</v>
      </c>
      <c r="B271" s="32" t="s">
        <v>994</v>
      </c>
      <c r="C271" s="32" t="s">
        <v>3543</v>
      </c>
      <c r="D271" s="5" t="s">
        <v>5979</v>
      </c>
      <c r="E271" s="48">
        <v>0</v>
      </c>
      <c r="G271" s="7">
        <v>45066</v>
      </c>
      <c r="J271" s="48">
        <v>0</v>
      </c>
      <c r="K271" s="48">
        <v>0</v>
      </c>
      <c r="L271" s="7" t="s">
        <v>3790</v>
      </c>
      <c r="M271" s="7" t="s">
        <v>3790</v>
      </c>
      <c r="N271" s="7">
        <v>44844</v>
      </c>
      <c r="O271" s="7">
        <v>45122</v>
      </c>
      <c r="P271" s="48">
        <v>91</v>
      </c>
      <c r="Q271" s="48">
        <v>56</v>
      </c>
      <c r="R271" s="48">
        <v>14</v>
      </c>
      <c r="S271" s="48">
        <v>3000</v>
      </c>
      <c r="T271" s="5" t="s">
        <v>5549</v>
      </c>
    </row>
    <row r="272" spans="1:22">
      <c r="A272" s="5" t="s">
        <v>5429</v>
      </c>
      <c r="B272" s="32" t="s">
        <v>997</v>
      </c>
      <c r="C272" s="32" t="s">
        <v>3543</v>
      </c>
      <c r="D272" s="5" t="s">
        <v>5977</v>
      </c>
      <c r="E272" s="48">
        <v>2654</v>
      </c>
      <c r="F272" s="32" t="s">
        <v>5502</v>
      </c>
      <c r="G272" s="7">
        <v>44808</v>
      </c>
      <c r="H272" s="32" t="s">
        <v>3526</v>
      </c>
      <c r="I272" s="48" t="s">
        <v>3552</v>
      </c>
      <c r="J272" s="48">
        <v>2634</v>
      </c>
      <c r="K272" s="48">
        <v>0</v>
      </c>
      <c r="L272" s="7" t="s">
        <v>3790</v>
      </c>
      <c r="M272" s="7" t="s">
        <v>3790</v>
      </c>
      <c r="N272" s="7">
        <v>44844</v>
      </c>
      <c r="O272" s="7" t="s">
        <v>3790</v>
      </c>
      <c r="P272" s="48">
        <v>91</v>
      </c>
      <c r="Q272" s="48">
        <v>56</v>
      </c>
      <c r="R272" s="48">
        <v>14</v>
      </c>
      <c r="S272" s="48">
        <v>6601</v>
      </c>
      <c r="T272" s="5" t="s">
        <v>5548</v>
      </c>
    </row>
    <row r="273" spans="1:20">
      <c r="A273" s="5" t="s">
        <v>5429</v>
      </c>
      <c r="B273" s="32" t="s">
        <v>997</v>
      </c>
      <c r="C273" s="32" t="s">
        <v>3543</v>
      </c>
      <c r="D273" s="5" t="s">
        <v>5979</v>
      </c>
      <c r="E273" s="48">
        <v>0</v>
      </c>
      <c r="G273" s="7">
        <v>45066</v>
      </c>
      <c r="J273" s="48">
        <v>0</v>
      </c>
      <c r="K273" s="48">
        <v>0</v>
      </c>
      <c r="L273" s="7" t="s">
        <v>3790</v>
      </c>
      <c r="M273" s="7" t="s">
        <v>3790</v>
      </c>
      <c r="N273" s="7">
        <v>44844</v>
      </c>
      <c r="O273" s="7">
        <v>45122</v>
      </c>
      <c r="P273" s="48">
        <v>91</v>
      </c>
      <c r="Q273" s="48">
        <v>56</v>
      </c>
      <c r="R273" s="48">
        <v>14</v>
      </c>
      <c r="S273" s="48">
        <v>1400</v>
      </c>
      <c r="T273" s="5" t="s">
        <v>5549</v>
      </c>
    </row>
    <row r="274" spans="1:20">
      <c r="A274" s="5" t="s">
        <v>5429</v>
      </c>
      <c r="B274" s="32" t="s">
        <v>3555</v>
      </c>
      <c r="C274" s="32" t="s">
        <v>3556</v>
      </c>
      <c r="D274" s="5" t="s">
        <v>5984</v>
      </c>
      <c r="E274" s="48">
        <v>0</v>
      </c>
      <c r="G274" s="7">
        <v>44995</v>
      </c>
      <c r="J274" s="48">
        <v>0</v>
      </c>
      <c r="K274" s="48">
        <v>0</v>
      </c>
      <c r="L274" s="7" t="s">
        <v>3790</v>
      </c>
      <c r="M274" s="7" t="s">
        <v>3790</v>
      </c>
      <c r="N274" s="7">
        <v>44844</v>
      </c>
      <c r="O274" s="7">
        <v>45051</v>
      </c>
      <c r="P274" s="48">
        <v>91</v>
      </c>
      <c r="Q274" s="48">
        <v>56</v>
      </c>
      <c r="R274" s="48">
        <v>14</v>
      </c>
      <c r="S274" s="48">
        <v>2200</v>
      </c>
      <c r="T274" s="5" t="s">
        <v>5549</v>
      </c>
    </row>
    <row r="275" spans="1:20">
      <c r="A275" s="5" t="s">
        <v>5429</v>
      </c>
      <c r="B275" s="32" t="s">
        <v>1383</v>
      </c>
      <c r="C275" s="32" t="s">
        <v>3560</v>
      </c>
      <c r="D275" s="5" t="s">
        <v>5987</v>
      </c>
      <c r="E275" s="48">
        <v>0</v>
      </c>
      <c r="F275" s="32" t="s">
        <v>5502</v>
      </c>
      <c r="G275" s="7">
        <v>44882</v>
      </c>
      <c r="H275" s="32" t="s">
        <v>3526</v>
      </c>
      <c r="J275" s="48">
        <v>0</v>
      </c>
      <c r="K275" s="48">
        <v>1501</v>
      </c>
      <c r="L275" s="7">
        <v>44921</v>
      </c>
      <c r="M275" s="7" t="s">
        <v>3790</v>
      </c>
      <c r="N275" s="7">
        <v>44844</v>
      </c>
      <c r="O275" s="7">
        <v>44935</v>
      </c>
      <c r="P275" s="48">
        <v>91</v>
      </c>
      <c r="Q275" s="48">
        <v>56</v>
      </c>
      <c r="R275" s="48">
        <v>14</v>
      </c>
      <c r="S275" s="48">
        <v>1649</v>
      </c>
      <c r="T275" s="5" t="s">
        <v>5548</v>
      </c>
    </row>
    <row r="276" spans="1:20">
      <c r="A276" s="5" t="s">
        <v>5429</v>
      </c>
      <c r="B276" s="32" t="s">
        <v>1385</v>
      </c>
      <c r="C276" s="32" t="s">
        <v>3560</v>
      </c>
      <c r="D276" s="5" t="s">
        <v>5987</v>
      </c>
      <c r="E276" s="48">
        <v>0</v>
      </c>
      <c r="F276" s="32" t="s">
        <v>5502</v>
      </c>
      <c r="G276" s="7">
        <v>44882</v>
      </c>
      <c r="H276" s="32" t="s">
        <v>3526</v>
      </c>
      <c r="I276" s="48" t="s">
        <v>6320</v>
      </c>
      <c r="J276" s="48">
        <v>-46</v>
      </c>
      <c r="K276" s="48">
        <v>1695</v>
      </c>
      <c r="L276" s="7">
        <v>44921</v>
      </c>
      <c r="M276" s="7" t="s">
        <v>3790</v>
      </c>
      <c r="N276" s="7">
        <v>44844</v>
      </c>
      <c r="O276" s="7">
        <v>44935</v>
      </c>
      <c r="P276" s="48">
        <v>91</v>
      </c>
      <c r="Q276" s="48">
        <v>56</v>
      </c>
      <c r="R276" s="48">
        <v>14</v>
      </c>
      <c r="S276" s="48">
        <v>1649</v>
      </c>
      <c r="T276" s="5" t="s">
        <v>5548</v>
      </c>
    </row>
    <row r="277" spans="1:20">
      <c r="A277" s="5" t="s">
        <v>5429</v>
      </c>
      <c r="B277" s="32" t="s">
        <v>1433</v>
      </c>
      <c r="C277" s="32" t="s">
        <v>3563</v>
      </c>
      <c r="D277" s="5" t="s">
        <v>3630</v>
      </c>
      <c r="E277" s="48">
        <v>1554</v>
      </c>
      <c r="F277" s="32" t="s">
        <v>5502</v>
      </c>
      <c r="G277" s="7">
        <v>44826</v>
      </c>
      <c r="H277" s="32" t="s">
        <v>3526</v>
      </c>
      <c r="I277" s="48" t="s">
        <v>5240</v>
      </c>
      <c r="J277" s="48">
        <v>1199</v>
      </c>
      <c r="K277" s="48">
        <v>0</v>
      </c>
      <c r="L277" s="7" t="s">
        <v>3790</v>
      </c>
      <c r="M277" s="7" t="s">
        <v>3790</v>
      </c>
      <c r="N277" s="7" t="s">
        <v>4068</v>
      </c>
      <c r="O277" s="7" t="s">
        <v>3790</v>
      </c>
      <c r="P277" s="48">
        <v>91</v>
      </c>
      <c r="Q277" s="48">
        <v>56</v>
      </c>
      <c r="R277" s="48">
        <v>14</v>
      </c>
      <c r="S277" s="48">
        <v>1199</v>
      </c>
      <c r="T277" s="5" t="s">
        <v>5548</v>
      </c>
    </row>
    <row r="278" spans="1:20">
      <c r="A278" s="5" t="s">
        <v>5429</v>
      </c>
      <c r="B278" s="32" t="s">
        <v>1494</v>
      </c>
      <c r="C278" s="32" t="s">
        <v>3568</v>
      </c>
      <c r="D278" s="5" t="s">
        <v>5994</v>
      </c>
      <c r="E278" s="48">
        <v>0</v>
      </c>
      <c r="G278" s="7">
        <v>44908</v>
      </c>
      <c r="H278" s="32" t="s">
        <v>3526</v>
      </c>
      <c r="I278" s="48" t="s">
        <v>7548</v>
      </c>
      <c r="J278" s="48">
        <v>-71</v>
      </c>
      <c r="K278" s="48">
        <v>511</v>
      </c>
      <c r="L278" s="7" t="s">
        <v>3790</v>
      </c>
      <c r="M278" s="7" t="s">
        <v>3790</v>
      </c>
      <c r="N278" s="7">
        <v>44844</v>
      </c>
      <c r="O278" s="7">
        <v>44964</v>
      </c>
      <c r="P278" s="48">
        <v>91</v>
      </c>
      <c r="Q278" s="48">
        <v>56</v>
      </c>
      <c r="R278" s="48">
        <v>14</v>
      </c>
      <c r="S278" s="48">
        <v>500</v>
      </c>
      <c r="T278" s="5" t="s">
        <v>5548</v>
      </c>
    </row>
    <row r="279" spans="1:20">
      <c r="A279" s="5" t="s">
        <v>5429</v>
      </c>
      <c r="B279" s="32" t="s">
        <v>1496</v>
      </c>
      <c r="C279" s="32" t="s">
        <v>3568</v>
      </c>
      <c r="D279" s="5" t="s">
        <v>5994</v>
      </c>
      <c r="E279" s="48">
        <v>0</v>
      </c>
      <c r="G279" s="7">
        <v>44908</v>
      </c>
      <c r="H279" s="32" t="s">
        <v>3526</v>
      </c>
      <c r="J279" s="48">
        <v>0</v>
      </c>
      <c r="K279" s="48">
        <v>2381</v>
      </c>
      <c r="L279" s="7" t="s">
        <v>3790</v>
      </c>
      <c r="M279" s="7" t="s">
        <v>3790</v>
      </c>
      <c r="N279" s="7">
        <v>44844</v>
      </c>
      <c r="O279" s="7">
        <v>44964</v>
      </c>
      <c r="P279" s="48">
        <v>91</v>
      </c>
      <c r="Q279" s="48">
        <v>56</v>
      </c>
      <c r="R279" s="48">
        <v>14</v>
      </c>
      <c r="S279" s="48">
        <v>2800</v>
      </c>
      <c r="T279" s="5" t="s">
        <v>5548</v>
      </c>
    </row>
    <row r="280" spans="1:20">
      <c r="A280" s="5" t="s">
        <v>5429</v>
      </c>
      <c r="B280" s="32" t="s">
        <v>1539</v>
      </c>
      <c r="C280" s="32" t="s">
        <v>3570</v>
      </c>
      <c r="D280" s="5" t="s">
        <v>5998</v>
      </c>
      <c r="E280" s="48">
        <v>1356</v>
      </c>
      <c r="F280" s="32" t="s">
        <v>5502</v>
      </c>
      <c r="G280" s="7">
        <v>44797</v>
      </c>
      <c r="H280" s="32" t="s">
        <v>3526</v>
      </c>
      <c r="J280" s="48">
        <v>1356</v>
      </c>
      <c r="K280" s="48">
        <v>0</v>
      </c>
      <c r="L280" s="7" t="s">
        <v>3790</v>
      </c>
      <c r="M280" s="7" t="s">
        <v>3790</v>
      </c>
      <c r="N280" s="7">
        <v>44844</v>
      </c>
      <c r="O280" s="7" t="s">
        <v>3790</v>
      </c>
      <c r="P280" s="48">
        <v>91</v>
      </c>
      <c r="Q280" s="48">
        <v>56</v>
      </c>
      <c r="R280" s="48">
        <v>14</v>
      </c>
      <c r="S280" s="48">
        <v>1900</v>
      </c>
      <c r="T280" s="5" t="s">
        <v>5548</v>
      </c>
    </row>
    <row r="281" spans="1:20">
      <c r="A281" s="5" t="s">
        <v>5429</v>
      </c>
      <c r="B281" s="32" t="s">
        <v>1539</v>
      </c>
      <c r="C281" s="32" t="s">
        <v>3570</v>
      </c>
      <c r="D281" s="5" t="s">
        <v>6001</v>
      </c>
      <c r="E281" s="48">
        <v>0</v>
      </c>
      <c r="F281" s="32" t="s">
        <v>5502</v>
      </c>
      <c r="G281" s="7">
        <v>44877</v>
      </c>
      <c r="H281" s="32" t="s">
        <v>3526</v>
      </c>
      <c r="J281" s="48">
        <v>0</v>
      </c>
      <c r="K281" s="48">
        <v>1955</v>
      </c>
      <c r="L281" s="7">
        <v>44923</v>
      </c>
      <c r="M281" s="7" t="s">
        <v>3790</v>
      </c>
      <c r="N281" s="7">
        <v>44844</v>
      </c>
      <c r="O281" s="7">
        <v>44937</v>
      </c>
      <c r="P281" s="48">
        <v>91</v>
      </c>
      <c r="Q281" s="48">
        <v>56</v>
      </c>
      <c r="R281" s="48">
        <v>14</v>
      </c>
      <c r="S281" s="48">
        <v>2200</v>
      </c>
      <c r="T281" s="5" t="s">
        <v>5548</v>
      </c>
    </row>
    <row r="282" spans="1:20">
      <c r="A282" s="5" t="s">
        <v>5429</v>
      </c>
      <c r="B282" s="32" t="s">
        <v>1542</v>
      </c>
      <c r="C282" s="32" t="s">
        <v>3570</v>
      </c>
      <c r="D282" s="5" t="s">
        <v>6001</v>
      </c>
      <c r="E282" s="48">
        <v>0</v>
      </c>
      <c r="F282" s="32" t="s">
        <v>5502</v>
      </c>
      <c r="G282" s="7">
        <v>44877</v>
      </c>
      <c r="H282" s="32" t="s">
        <v>3526</v>
      </c>
      <c r="J282" s="48">
        <v>0</v>
      </c>
      <c r="K282" s="48">
        <v>2141</v>
      </c>
      <c r="L282" s="7">
        <v>44923</v>
      </c>
      <c r="M282" s="7" t="s">
        <v>3790</v>
      </c>
      <c r="N282" s="7">
        <v>44844</v>
      </c>
      <c r="O282" s="7">
        <v>44937</v>
      </c>
      <c r="P282" s="48">
        <v>91</v>
      </c>
      <c r="Q282" s="48">
        <v>56</v>
      </c>
      <c r="R282" s="48">
        <v>14</v>
      </c>
      <c r="S282" s="48">
        <v>2200</v>
      </c>
      <c r="T282" s="5" t="s">
        <v>5548</v>
      </c>
    </row>
    <row r="283" spans="1:20">
      <c r="A283" s="5" t="s">
        <v>5429</v>
      </c>
      <c r="B283" s="32" t="s">
        <v>2517</v>
      </c>
      <c r="C283" s="32" t="s">
        <v>3607</v>
      </c>
      <c r="D283" s="5" t="s">
        <v>6031</v>
      </c>
      <c r="E283" s="48">
        <v>0</v>
      </c>
      <c r="G283" s="7">
        <v>44979</v>
      </c>
      <c r="J283" s="48">
        <v>0</v>
      </c>
      <c r="K283" s="48">
        <v>0</v>
      </c>
      <c r="L283" s="7" t="s">
        <v>3790</v>
      </c>
      <c r="M283" s="7" t="s">
        <v>3790</v>
      </c>
      <c r="N283" s="7">
        <v>44844</v>
      </c>
      <c r="O283" s="7">
        <v>45035</v>
      </c>
      <c r="P283" s="48">
        <v>91</v>
      </c>
      <c r="Q283" s="48">
        <v>56</v>
      </c>
      <c r="R283" s="48">
        <v>14</v>
      </c>
      <c r="S283" s="48">
        <v>1100</v>
      </c>
      <c r="T283" s="5" t="s">
        <v>5549</v>
      </c>
    </row>
    <row r="284" spans="1:20">
      <c r="A284" s="5" t="s">
        <v>5429</v>
      </c>
      <c r="B284" s="32" t="s">
        <v>2519</v>
      </c>
      <c r="C284" s="32" t="s">
        <v>3607</v>
      </c>
      <c r="D284" s="5" t="s">
        <v>6031</v>
      </c>
      <c r="E284" s="48">
        <v>0</v>
      </c>
      <c r="G284" s="7">
        <v>44979</v>
      </c>
      <c r="J284" s="48">
        <v>0</v>
      </c>
      <c r="K284" s="48">
        <v>0</v>
      </c>
      <c r="L284" s="7" t="s">
        <v>3790</v>
      </c>
      <c r="M284" s="7" t="s">
        <v>3790</v>
      </c>
      <c r="N284" s="7">
        <v>44844</v>
      </c>
      <c r="O284" s="7">
        <v>45035</v>
      </c>
      <c r="P284" s="48">
        <v>91</v>
      </c>
      <c r="Q284" s="48">
        <v>56</v>
      </c>
      <c r="R284" s="48">
        <v>14</v>
      </c>
      <c r="S284" s="48">
        <v>1100</v>
      </c>
      <c r="T284" s="5" t="s">
        <v>5549</v>
      </c>
    </row>
    <row r="285" spans="1:20">
      <c r="A285" s="5" t="s">
        <v>5429</v>
      </c>
      <c r="B285" s="32" t="s">
        <v>2527</v>
      </c>
      <c r="C285" s="32" t="s">
        <v>3608</v>
      </c>
      <c r="D285" s="5" t="s">
        <v>6034</v>
      </c>
      <c r="E285" s="48">
        <v>2114</v>
      </c>
      <c r="F285" s="32" t="s">
        <v>5502</v>
      </c>
      <c r="G285" s="7">
        <v>44816</v>
      </c>
      <c r="H285" s="32" t="s">
        <v>3526</v>
      </c>
      <c r="I285" s="48" t="s">
        <v>5248</v>
      </c>
      <c r="J285" s="48">
        <v>500</v>
      </c>
      <c r="K285" s="48">
        <v>0</v>
      </c>
      <c r="L285" s="7" t="s">
        <v>3790</v>
      </c>
      <c r="M285" s="7" t="s">
        <v>3790</v>
      </c>
      <c r="N285" s="7">
        <v>44844</v>
      </c>
      <c r="O285" s="7" t="s">
        <v>3790</v>
      </c>
      <c r="P285" s="48">
        <v>91</v>
      </c>
      <c r="Q285" s="48">
        <v>56</v>
      </c>
      <c r="R285" s="48">
        <v>14</v>
      </c>
      <c r="S285" s="48">
        <v>500</v>
      </c>
      <c r="T285" s="5" t="s">
        <v>5548</v>
      </c>
    </row>
    <row r="286" spans="1:20">
      <c r="A286" s="5" t="s">
        <v>5429</v>
      </c>
      <c r="B286" s="32" t="s">
        <v>2529</v>
      </c>
      <c r="C286" s="32" t="s">
        <v>3608</v>
      </c>
      <c r="D286" s="5" t="s">
        <v>6034</v>
      </c>
      <c r="E286" s="48">
        <v>1709</v>
      </c>
      <c r="F286" s="32" t="s">
        <v>5502</v>
      </c>
      <c r="G286" s="7">
        <v>44816</v>
      </c>
      <c r="H286" s="32" t="s">
        <v>3526</v>
      </c>
      <c r="I286" s="48" t="s">
        <v>3619</v>
      </c>
      <c r="J286" s="48">
        <v>1700</v>
      </c>
      <c r="K286" s="48">
        <v>0</v>
      </c>
      <c r="L286" s="7" t="s">
        <v>3790</v>
      </c>
      <c r="M286" s="7" t="s">
        <v>3790</v>
      </c>
      <c r="N286" s="7">
        <v>44844</v>
      </c>
      <c r="O286" s="7" t="s">
        <v>3790</v>
      </c>
      <c r="P286" s="48">
        <v>91</v>
      </c>
      <c r="Q286" s="48">
        <v>56</v>
      </c>
      <c r="R286" s="48">
        <v>14</v>
      </c>
      <c r="S286" s="48">
        <v>1700</v>
      </c>
      <c r="T286" s="5" t="s">
        <v>5548</v>
      </c>
    </row>
    <row r="287" spans="1:20">
      <c r="A287" s="5" t="s">
        <v>5429</v>
      </c>
      <c r="B287" s="32" t="s">
        <v>2531</v>
      </c>
      <c r="C287" s="32" t="s">
        <v>3610</v>
      </c>
      <c r="D287" s="5" t="s">
        <v>6037</v>
      </c>
      <c r="E287" s="48">
        <v>994</v>
      </c>
      <c r="F287" s="32" t="s">
        <v>5502</v>
      </c>
      <c r="G287" s="7">
        <v>44798</v>
      </c>
      <c r="H287" s="32" t="s">
        <v>3526</v>
      </c>
      <c r="I287" s="48" t="s">
        <v>3612</v>
      </c>
      <c r="J287" s="48">
        <v>6</v>
      </c>
      <c r="K287" s="48">
        <v>0</v>
      </c>
      <c r="L287" s="7" t="s">
        <v>3790</v>
      </c>
      <c r="M287" s="7" t="s">
        <v>3790</v>
      </c>
      <c r="N287" s="7">
        <v>44844</v>
      </c>
      <c r="O287" s="7" t="s">
        <v>3790</v>
      </c>
      <c r="P287" s="48">
        <v>91</v>
      </c>
      <c r="Q287" s="48">
        <v>56</v>
      </c>
      <c r="R287" s="48">
        <v>14</v>
      </c>
      <c r="S287" s="48">
        <v>500</v>
      </c>
      <c r="T287" s="5" t="s">
        <v>5548</v>
      </c>
    </row>
    <row r="288" spans="1:20">
      <c r="A288" s="5" t="s">
        <v>5429</v>
      </c>
      <c r="B288" s="32" t="s">
        <v>2533</v>
      </c>
      <c r="C288" s="32" t="s">
        <v>3610</v>
      </c>
      <c r="D288" s="5" t="s">
        <v>6037</v>
      </c>
      <c r="E288" s="48">
        <v>2538</v>
      </c>
      <c r="F288" s="32" t="s">
        <v>5502</v>
      </c>
      <c r="G288" s="7">
        <v>44798</v>
      </c>
      <c r="H288" s="32" t="s">
        <v>3526</v>
      </c>
      <c r="I288" s="48" t="s">
        <v>3614</v>
      </c>
      <c r="J288" s="48">
        <v>1700</v>
      </c>
      <c r="K288" s="48">
        <v>0</v>
      </c>
      <c r="L288" s="7" t="s">
        <v>3790</v>
      </c>
      <c r="M288" s="7" t="s">
        <v>3790</v>
      </c>
      <c r="N288" s="7">
        <v>44844</v>
      </c>
      <c r="O288" s="7" t="s">
        <v>3790</v>
      </c>
      <c r="P288" s="48">
        <v>91</v>
      </c>
      <c r="Q288" s="48">
        <v>56</v>
      </c>
      <c r="R288" s="48">
        <v>14</v>
      </c>
      <c r="S288" s="48">
        <v>1700</v>
      </c>
      <c r="T288" s="5" t="s">
        <v>5548</v>
      </c>
    </row>
    <row r="289" spans="1:22">
      <c r="A289" s="5" t="s">
        <v>5429</v>
      </c>
      <c r="B289" s="32" t="s">
        <v>2541</v>
      </c>
      <c r="C289" s="32" t="s">
        <v>3616</v>
      </c>
      <c r="D289" s="5" t="s">
        <v>3615</v>
      </c>
      <c r="E289" s="48">
        <v>0</v>
      </c>
      <c r="F289" s="32" t="s">
        <v>5502</v>
      </c>
      <c r="G289" s="7">
        <v>44880</v>
      </c>
      <c r="H289" s="32" t="s">
        <v>3526</v>
      </c>
      <c r="J289" s="48">
        <v>0</v>
      </c>
      <c r="K289" s="48">
        <v>1325</v>
      </c>
      <c r="L289" s="7">
        <v>44923</v>
      </c>
      <c r="M289" s="7" t="s">
        <v>3790</v>
      </c>
      <c r="N289" s="7" t="s">
        <v>4068</v>
      </c>
      <c r="O289" s="7">
        <v>44937</v>
      </c>
      <c r="P289" s="48">
        <v>91</v>
      </c>
      <c r="Q289" s="48">
        <v>56</v>
      </c>
      <c r="R289" s="48">
        <v>14</v>
      </c>
      <c r="S289" s="48">
        <v>1100</v>
      </c>
      <c r="T289" s="5" t="s">
        <v>5548</v>
      </c>
    </row>
    <row r="290" spans="1:22">
      <c r="A290" s="5" t="s">
        <v>5429</v>
      </c>
      <c r="B290" s="32" t="s">
        <v>2543</v>
      </c>
      <c r="C290" s="32" t="s">
        <v>3616</v>
      </c>
      <c r="D290" s="5" t="s">
        <v>3615</v>
      </c>
      <c r="E290" s="48">
        <v>0</v>
      </c>
      <c r="F290" s="32" t="s">
        <v>5502</v>
      </c>
      <c r="G290" s="7">
        <v>44880</v>
      </c>
      <c r="H290" s="32" t="s">
        <v>3526</v>
      </c>
      <c r="I290" s="48" t="s">
        <v>6319</v>
      </c>
      <c r="J290" s="48">
        <v>-44</v>
      </c>
      <c r="K290" s="48">
        <v>1144</v>
      </c>
      <c r="L290" s="7">
        <v>44923</v>
      </c>
      <c r="M290" s="7" t="s">
        <v>3790</v>
      </c>
      <c r="N290" s="7" t="s">
        <v>4068</v>
      </c>
      <c r="O290" s="7">
        <v>44937</v>
      </c>
      <c r="P290" s="48">
        <v>91</v>
      </c>
      <c r="Q290" s="48">
        <v>56</v>
      </c>
      <c r="R290" s="48">
        <v>14</v>
      </c>
      <c r="S290" s="48">
        <v>1100</v>
      </c>
      <c r="T290" s="5" t="s">
        <v>5548</v>
      </c>
    </row>
    <row r="291" spans="1:22">
      <c r="A291" s="5" t="s">
        <v>5429</v>
      </c>
      <c r="B291" s="32" t="s">
        <v>2572</v>
      </c>
      <c r="C291" s="32" t="s">
        <v>3620</v>
      </c>
      <c r="D291" s="5" t="s">
        <v>6041</v>
      </c>
      <c r="E291" s="48">
        <v>2535</v>
      </c>
      <c r="F291" s="32" t="s">
        <v>5502</v>
      </c>
      <c r="G291" s="7">
        <v>44819</v>
      </c>
      <c r="H291" s="32" t="s">
        <v>3526</v>
      </c>
      <c r="I291" s="48" t="s">
        <v>6089</v>
      </c>
      <c r="J291" s="48">
        <v>2200</v>
      </c>
      <c r="K291" s="48">
        <v>0</v>
      </c>
      <c r="L291" s="7" t="s">
        <v>3790</v>
      </c>
      <c r="M291" s="7" t="s">
        <v>3790</v>
      </c>
      <c r="N291" s="7">
        <v>44844</v>
      </c>
      <c r="O291" s="7" t="s">
        <v>3790</v>
      </c>
      <c r="P291" s="48">
        <v>91</v>
      </c>
      <c r="Q291" s="48">
        <v>56</v>
      </c>
      <c r="R291" s="48">
        <v>14</v>
      </c>
      <c r="S291" s="48">
        <v>2200</v>
      </c>
      <c r="T291" s="5" t="s">
        <v>5548</v>
      </c>
    </row>
    <row r="292" spans="1:22">
      <c r="A292" s="5" t="s">
        <v>5429</v>
      </c>
      <c r="B292" s="32" t="s">
        <v>2654</v>
      </c>
      <c r="C292" s="32" t="s">
        <v>3622</v>
      </c>
      <c r="D292" s="5" t="s">
        <v>6043</v>
      </c>
      <c r="E292" s="48">
        <v>644</v>
      </c>
      <c r="F292" s="32" t="s">
        <v>5502</v>
      </c>
      <c r="G292" s="7">
        <v>44757</v>
      </c>
      <c r="H292" s="32" t="s">
        <v>3526</v>
      </c>
      <c r="I292" s="48" t="s">
        <v>3625</v>
      </c>
      <c r="J292" s="48">
        <v>501</v>
      </c>
      <c r="K292" s="48">
        <v>0</v>
      </c>
      <c r="L292" s="7" t="s">
        <v>3790</v>
      </c>
      <c r="M292" s="7">
        <v>44940</v>
      </c>
      <c r="N292" s="7">
        <v>44844</v>
      </c>
      <c r="O292" s="7" t="s">
        <v>3790</v>
      </c>
      <c r="P292" s="48">
        <v>91</v>
      </c>
      <c r="Q292" s="48">
        <v>56</v>
      </c>
      <c r="R292" s="48">
        <v>14</v>
      </c>
      <c r="S292" s="48">
        <v>500</v>
      </c>
      <c r="T292" s="5" t="s">
        <v>5548</v>
      </c>
    </row>
    <row r="293" spans="1:22">
      <c r="A293" s="5" t="s">
        <v>5429</v>
      </c>
      <c r="B293" s="32" t="s">
        <v>2657</v>
      </c>
      <c r="C293" s="32" t="s">
        <v>3622</v>
      </c>
      <c r="D293" s="5" t="s">
        <v>6043</v>
      </c>
      <c r="E293" s="48">
        <v>3699</v>
      </c>
      <c r="F293" s="32" t="s">
        <v>5502</v>
      </c>
      <c r="G293" s="7">
        <v>44757</v>
      </c>
      <c r="H293" s="32" t="s">
        <v>3526</v>
      </c>
      <c r="J293" s="48">
        <v>3699</v>
      </c>
      <c r="K293" s="48">
        <v>0</v>
      </c>
      <c r="L293" s="7" t="s">
        <v>3790</v>
      </c>
      <c r="M293" s="7">
        <v>44940</v>
      </c>
      <c r="N293" s="7">
        <v>44844</v>
      </c>
      <c r="O293" s="7" t="s">
        <v>3790</v>
      </c>
      <c r="P293" s="48">
        <v>91</v>
      </c>
      <c r="Q293" s="48">
        <v>56</v>
      </c>
      <c r="R293" s="48">
        <v>14</v>
      </c>
      <c r="S293" s="48">
        <v>3900</v>
      </c>
      <c r="T293" s="5" t="s">
        <v>5548</v>
      </c>
    </row>
    <row r="294" spans="1:22">
      <c r="A294" s="5" t="s">
        <v>5429</v>
      </c>
      <c r="B294" s="32" t="s">
        <v>2765</v>
      </c>
      <c r="C294" s="32" t="s">
        <v>3631</v>
      </c>
      <c r="D294" s="5" t="s">
        <v>6050</v>
      </c>
      <c r="E294" s="48">
        <v>0</v>
      </c>
      <c r="G294" s="7">
        <v>45029</v>
      </c>
      <c r="J294" s="48">
        <v>0</v>
      </c>
      <c r="K294" s="48">
        <v>0</v>
      </c>
      <c r="L294" s="7" t="s">
        <v>3790</v>
      </c>
      <c r="M294" s="7" t="s">
        <v>3790</v>
      </c>
      <c r="N294" s="7">
        <v>44844</v>
      </c>
      <c r="O294" s="7">
        <v>45085</v>
      </c>
      <c r="P294" s="48">
        <v>91</v>
      </c>
      <c r="Q294" s="48">
        <v>56</v>
      </c>
      <c r="R294" s="48">
        <v>14</v>
      </c>
      <c r="S294" s="48">
        <v>1100</v>
      </c>
      <c r="T294" s="5" t="s">
        <v>5549</v>
      </c>
    </row>
    <row r="295" spans="1:22">
      <c r="A295" s="5" t="s">
        <v>5429</v>
      </c>
      <c r="B295" s="32" t="s">
        <v>2767</v>
      </c>
      <c r="C295" s="32" t="s">
        <v>3631</v>
      </c>
      <c r="D295" s="5" t="s">
        <v>6050</v>
      </c>
      <c r="E295" s="48">
        <v>0</v>
      </c>
      <c r="G295" s="7">
        <v>45029</v>
      </c>
      <c r="J295" s="48">
        <v>0</v>
      </c>
      <c r="K295" s="48">
        <v>0</v>
      </c>
      <c r="L295" s="7" t="s">
        <v>3790</v>
      </c>
      <c r="M295" s="7" t="s">
        <v>3790</v>
      </c>
      <c r="N295" s="7">
        <v>44844</v>
      </c>
      <c r="O295" s="7">
        <v>45085</v>
      </c>
      <c r="P295" s="48">
        <v>91</v>
      </c>
      <c r="Q295" s="48">
        <v>56</v>
      </c>
      <c r="R295" s="48">
        <v>14</v>
      </c>
      <c r="S295" s="48">
        <v>1100</v>
      </c>
      <c r="T295" s="5" t="s">
        <v>5549</v>
      </c>
    </row>
    <row r="296" spans="1:22">
      <c r="A296" s="5" t="s">
        <v>5429</v>
      </c>
      <c r="B296" s="32" t="s">
        <v>6381</v>
      </c>
      <c r="C296" s="32" t="s">
        <v>6381</v>
      </c>
      <c r="D296" s="5" t="s">
        <v>6382</v>
      </c>
      <c r="E296" s="48">
        <v>0</v>
      </c>
      <c r="G296" s="7" t="s">
        <v>3790</v>
      </c>
      <c r="J296" s="48">
        <v>0</v>
      </c>
      <c r="K296" s="48">
        <v>0</v>
      </c>
      <c r="L296" s="7" t="s">
        <v>3790</v>
      </c>
      <c r="M296" s="7" t="s">
        <v>3790</v>
      </c>
      <c r="N296" s="7" t="s">
        <v>4068</v>
      </c>
      <c r="O296" s="7" t="e">
        <v>#VALUE!</v>
      </c>
      <c r="P296" s="48" t="e">
        <v>#N/A</v>
      </c>
      <c r="Q296" s="48" t="e">
        <v>#N/A</v>
      </c>
      <c r="R296" s="48" t="e">
        <v>#N/A</v>
      </c>
      <c r="S296" s="48">
        <v>2200</v>
      </c>
      <c r="T296" s="5" t="s">
        <v>5549</v>
      </c>
    </row>
    <row r="297" spans="1:22">
      <c r="A297" s="5" t="s">
        <v>3792</v>
      </c>
      <c r="B297" s="32" t="s">
        <v>66</v>
      </c>
      <c r="C297" s="32" t="s">
        <v>3789</v>
      </c>
      <c r="D297" s="5" t="s">
        <v>3793</v>
      </c>
      <c r="E297" s="48">
        <v>512</v>
      </c>
      <c r="F297" s="32" t="s">
        <v>3790</v>
      </c>
      <c r="G297" s="7">
        <v>44865</v>
      </c>
      <c r="H297" s="32" t="s">
        <v>3658</v>
      </c>
      <c r="I297" s="48" t="s">
        <v>5954</v>
      </c>
      <c r="J297" s="48">
        <v>498</v>
      </c>
      <c r="K297" s="48">
        <v>0</v>
      </c>
      <c r="L297" s="7" t="s">
        <v>3790</v>
      </c>
      <c r="M297" s="7">
        <v>45003</v>
      </c>
      <c r="N297" s="7">
        <v>44795</v>
      </c>
      <c r="O297" s="7" t="s">
        <v>3790</v>
      </c>
      <c r="P297" s="48">
        <v>70</v>
      </c>
      <c r="Q297" s="48">
        <v>7</v>
      </c>
      <c r="R297" s="48">
        <v>14</v>
      </c>
      <c r="S297" s="48">
        <v>500</v>
      </c>
      <c r="T297" s="5" t="s">
        <v>5548</v>
      </c>
      <c r="V297" s="32" t="s">
        <v>3790</v>
      </c>
    </row>
    <row r="298" spans="1:22">
      <c r="A298" s="5" t="s">
        <v>3792</v>
      </c>
      <c r="B298" s="32" t="s">
        <v>69</v>
      </c>
      <c r="C298" s="32" t="s">
        <v>3789</v>
      </c>
      <c r="D298" s="5" t="s">
        <v>3793</v>
      </c>
      <c r="E298" s="48">
        <v>11992</v>
      </c>
      <c r="F298" s="32" t="s">
        <v>3790</v>
      </c>
      <c r="G298" s="7">
        <v>44865</v>
      </c>
      <c r="H298" s="32" t="s">
        <v>3658</v>
      </c>
      <c r="I298" s="48" t="s">
        <v>5955</v>
      </c>
      <c r="J298" s="48">
        <v>10560</v>
      </c>
      <c r="K298" s="48">
        <v>0</v>
      </c>
      <c r="L298" s="7" t="s">
        <v>3790</v>
      </c>
      <c r="M298" s="7">
        <v>45003</v>
      </c>
      <c r="N298" s="7">
        <v>44795</v>
      </c>
      <c r="O298" s="7" t="s">
        <v>3790</v>
      </c>
      <c r="P298" s="48">
        <v>70</v>
      </c>
      <c r="Q298" s="48">
        <v>7</v>
      </c>
      <c r="R298" s="48">
        <v>14</v>
      </c>
      <c r="S298" s="48">
        <v>19000</v>
      </c>
      <c r="T298" s="5" t="s">
        <v>5548</v>
      </c>
      <c r="V298" s="32" t="s">
        <v>3790</v>
      </c>
    </row>
    <row r="299" spans="1:22">
      <c r="A299" s="5" t="s">
        <v>3792</v>
      </c>
      <c r="B299" s="32" t="s">
        <v>70</v>
      </c>
      <c r="C299" s="32" t="s">
        <v>3789</v>
      </c>
      <c r="D299" s="5" t="s">
        <v>3793</v>
      </c>
      <c r="E299" s="48">
        <v>10757</v>
      </c>
      <c r="F299" s="32" t="s">
        <v>3790</v>
      </c>
      <c r="G299" s="7">
        <v>44865</v>
      </c>
      <c r="H299" s="32" t="s">
        <v>3658</v>
      </c>
      <c r="I299" s="48" t="s">
        <v>5957</v>
      </c>
      <c r="J299" s="48">
        <v>10428</v>
      </c>
      <c r="K299" s="48">
        <v>0</v>
      </c>
      <c r="L299" s="7" t="s">
        <v>3790</v>
      </c>
      <c r="M299" s="7">
        <v>45003</v>
      </c>
      <c r="N299" s="7">
        <v>44795</v>
      </c>
      <c r="O299" s="7" t="s">
        <v>3790</v>
      </c>
      <c r="P299" s="48">
        <v>70</v>
      </c>
      <c r="Q299" s="48">
        <v>7</v>
      </c>
      <c r="R299" s="48">
        <v>14</v>
      </c>
      <c r="S299" s="48">
        <v>10500</v>
      </c>
      <c r="T299" s="5" t="s">
        <v>5548</v>
      </c>
      <c r="V299" s="32" t="s">
        <v>3790</v>
      </c>
    </row>
    <row r="300" spans="1:22">
      <c r="A300" s="5" t="s">
        <v>3792</v>
      </c>
      <c r="B300" s="32" t="s">
        <v>76</v>
      </c>
      <c r="C300" s="32" t="s">
        <v>3800</v>
      </c>
      <c r="D300" s="5" t="s">
        <v>3799</v>
      </c>
      <c r="E300" s="48">
        <v>14180</v>
      </c>
      <c r="F300" s="32" t="s">
        <v>3790</v>
      </c>
      <c r="G300" s="7">
        <v>44879</v>
      </c>
      <c r="H300" s="32" t="s">
        <v>3658</v>
      </c>
      <c r="I300" s="48" t="s">
        <v>6134</v>
      </c>
      <c r="J300" s="48">
        <v>13908</v>
      </c>
      <c r="K300" s="48">
        <v>0</v>
      </c>
      <c r="L300" s="7" t="s">
        <v>3790</v>
      </c>
      <c r="M300" s="7">
        <v>45017</v>
      </c>
      <c r="N300" s="7">
        <v>44795</v>
      </c>
      <c r="O300" s="7" t="s">
        <v>3790</v>
      </c>
      <c r="P300" s="48">
        <v>70</v>
      </c>
      <c r="Q300" s="48">
        <v>7</v>
      </c>
      <c r="R300" s="48">
        <v>14</v>
      </c>
      <c r="S300" s="48">
        <v>15000</v>
      </c>
      <c r="T300" s="5" t="s">
        <v>5548</v>
      </c>
      <c r="V300" s="32" t="s">
        <v>3790</v>
      </c>
    </row>
    <row r="301" spans="1:22">
      <c r="A301" s="5" t="s">
        <v>3792</v>
      </c>
      <c r="B301" s="32" t="s">
        <v>79</v>
      </c>
      <c r="C301" s="32" t="s">
        <v>3800</v>
      </c>
      <c r="D301" s="5" t="s">
        <v>3799</v>
      </c>
      <c r="E301" s="48">
        <v>1105</v>
      </c>
      <c r="F301" s="32" t="s">
        <v>3790</v>
      </c>
      <c r="G301" s="7">
        <v>44879</v>
      </c>
      <c r="H301" s="32" t="s">
        <v>3658</v>
      </c>
      <c r="I301" s="48" t="s">
        <v>6132</v>
      </c>
      <c r="J301" s="48">
        <v>991</v>
      </c>
      <c r="K301" s="48">
        <v>0</v>
      </c>
      <c r="L301" s="7" t="s">
        <v>3790</v>
      </c>
      <c r="M301" s="7">
        <v>45017</v>
      </c>
      <c r="N301" s="7">
        <v>44795</v>
      </c>
      <c r="O301" s="7" t="s">
        <v>3790</v>
      </c>
      <c r="P301" s="48">
        <v>70</v>
      </c>
      <c r="Q301" s="48">
        <v>7</v>
      </c>
      <c r="R301" s="48">
        <v>14</v>
      </c>
      <c r="S301" s="48">
        <v>1000</v>
      </c>
      <c r="T301" s="5" t="s">
        <v>5548</v>
      </c>
      <c r="V301" s="32" t="s">
        <v>3790</v>
      </c>
    </row>
    <row r="302" spans="1:22">
      <c r="A302" s="5" t="s">
        <v>3792</v>
      </c>
      <c r="B302" s="32" t="s">
        <v>80</v>
      </c>
      <c r="C302" s="32" t="s">
        <v>3800</v>
      </c>
      <c r="D302" s="5" t="s">
        <v>3799</v>
      </c>
      <c r="E302" s="48">
        <v>14194</v>
      </c>
      <c r="F302" s="32" t="s">
        <v>3790</v>
      </c>
      <c r="G302" s="7">
        <v>44879</v>
      </c>
      <c r="H302" s="32" t="s">
        <v>3658</v>
      </c>
      <c r="I302" s="48" t="s">
        <v>6136</v>
      </c>
      <c r="J302" s="48">
        <v>12883</v>
      </c>
      <c r="K302" s="48">
        <v>0</v>
      </c>
      <c r="L302" s="7" t="s">
        <v>3790</v>
      </c>
      <c r="M302" s="7">
        <v>45017</v>
      </c>
      <c r="N302" s="7">
        <v>44795</v>
      </c>
      <c r="O302" s="7" t="s">
        <v>3790</v>
      </c>
      <c r="P302" s="48">
        <v>70</v>
      </c>
      <c r="Q302" s="48">
        <v>7</v>
      </c>
      <c r="R302" s="48">
        <v>14</v>
      </c>
      <c r="S302" s="48">
        <v>15000</v>
      </c>
      <c r="T302" s="5" t="s">
        <v>5548</v>
      </c>
      <c r="V302" s="32" t="s">
        <v>3790</v>
      </c>
    </row>
    <row r="303" spans="1:22">
      <c r="A303" s="5" t="s">
        <v>3792</v>
      </c>
      <c r="B303" s="32" t="s">
        <v>83</v>
      </c>
      <c r="C303" s="32" t="s">
        <v>82</v>
      </c>
      <c r="D303" s="5" t="s">
        <v>6324</v>
      </c>
      <c r="E303" s="48">
        <v>0</v>
      </c>
      <c r="F303" s="32" t="s">
        <v>3790</v>
      </c>
      <c r="G303" s="7">
        <v>44949</v>
      </c>
      <c r="H303" s="32" t="s">
        <v>3790</v>
      </c>
      <c r="I303" s="48" t="s">
        <v>3527</v>
      </c>
      <c r="J303" s="48">
        <v>0</v>
      </c>
      <c r="K303" s="48">
        <v>0</v>
      </c>
      <c r="L303" s="7" t="s">
        <v>3790</v>
      </c>
      <c r="M303" s="7">
        <v>45085</v>
      </c>
      <c r="N303" s="7">
        <v>44881</v>
      </c>
      <c r="O303" s="7">
        <v>44956</v>
      </c>
      <c r="P303" s="48">
        <v>70</v>
      </c>
      <c r="Q303" s="48">
        <v>7</v>
      </c>
      <c r="R303" s="48">
        <v>14</v>
      </c>
      <c r="S303" s="48">
        <v>1500</v>
      </c>
      <c r="T303" s="5" t="s">
        <v>5549</v>
      </c>
      <c r="V303" s="32" t="s">
        <v>3790</v>
      </c>
    </row>
    <row r="304" spans="1:22">
      <c r="A304" s="5" t="s">
        <v>3792</v>
      </c>
      <c r="B304" s="32" t="s">
        <v>87</v>
      </c>
      <c r="C304" s="32" t="s">
        <v>82</v>
      </c>
      <c r="D304" s="5" t="s">
        <v>3806</v>
      </c>
      <c r="E304" s="48">
        <v>2194</v>
      </c>
      <c r="F304" s="32" t="s">
        <v>3790</v>
      </c>
      <c r="G304" s="7">
        <v>44865</v>
      </c>
      <c r="H304" s="32" t="s">
        <v>3658</v>
      </c>
      <c r="I304" s="48" t="s">
        <v>5958</v>
      </c>
      <c r="J304" s="48">
        <v>1987</v>
      </c>
      <c r="K304" s="48">
        <v>0</v>
      </c>
      <c r="L304" s="7" t="s">
        <v>3790</v>
      </c>
      <c r="M304" s="7">
        <v>44999</v>
      </c>
      <c r="N304" s="7">
        <v>44810</v>
      </c>
      <c r="O304" s="7" t="s">
        <v>3790</v>
      </c>
      <c r="P304" s="48">
        <v>70</v>
      </c>
      <c r="Q304" s="48">
        <v>7</v>
      </c>
      <c r="R304" s="48">
        <v>14</v>
      </c>
      <c r="S304" s="48">
        <v>3500</v>
      </c>
      <c r="T304" s="5" t="s">
        <v>5548</v>
      </c>
      <c r="V304" s="32" t="s">
        <v>3790</v>
      </c>
    </row>
    <row r="305" spans="1:22">
      <c r="A305" s="5" t="s">
        <v>3792</v>
      </c>
      <c r="B305" s="32" t="s">
        <v>87</v>
      </c>
      <c r="C305" s="32" t="s">
        <v>82</v>
      </c>
      <c r="D305" s="5" t="s">
        <v>6324</v>
      </c>
      <c r="E305" s="48">
        <v>0</v>
      </c>
      <c r="F305" s="32" t="s">
        <v>3790</v>
      </c>
      <c r="G305" s="7">
        <v>44949</v>
      </c>
      <c r="H305" s="32" t="s">
        <v>3790</v>
      </c>
      <c r="I305" s="48" t="s">
        <v>3527</v>
      </c>
      <c r="J305" s="48">
        <v>0</v>
      </c>
      <c r="K305" s="48">
        <v>0</v>
      </c>
      <c r="L305" s="7" t="s">
        <v>3790</v>
      </c>
      <c r="M305" s="7">
        <v>45085</v>
      </c>
      <c r="N305" s="7">
        <v>44881</v>
      </c>
      <c r="O305" s="7">
        <v>44956</v>
      </c>
      <c r="P305" s="48">
        <v>70</v>
      </c>
      <c r="Q305" s="48">
        <v>7</v>
      </c>
      <c r="R305" s="48">
        <v>14</v>
      </c>
      <c r="S305" s="48">
        <v>2000</v>
      </c>
      <c r="T305" s="5" t="s">
        <v>5549</v>
      </c>
      <c r="V305" s="32" t="s">
        <v>3790</v>
      </c>
    </row>
    <row r="306" spans="1:22">
      <c r="A306" s="5" t="s">
        <v>3792</v>
      </c>
      <c r="B306" s="32" t="s">
        <v>92</v>
      </c>
      <c r="C306" s="32" t="s">
        <v>93</v>
      </c>
      <c r="D306" s="5" t="s">
        <v>6324</v>
      </c>
      <c r="E306" s="48">
        <v>0</v>
      </c>
      <c r="F306" s="32" t="s">
        <v>3790</v>
      </c>
      <c r="G306" s="7">
        <v>44949</v>
      </c>
      <c r="H306" s="32" t="s">
        <v>3790</v>
      </c>
      <c r="I306" s="48" t="s">
        <v>3527</v>
      </c>
      <c r="J306" s="48">
        <v>0</v>
      </c>
      <c r="K306" s="48">
        <v>0</v>
      </c>
      <c r="L306" s="7" t="s">
        <v>3790</v>
      </c>
      <c r="M306" s="7">
        <v>45085</v>
      </c>
      <c r="N306" s="7">
        <v>44881</v>
      </c>
      <c r="O306" s="7">
        <v>44956</v>
      </c>
      <c r="P306" s="48">
        <v>70</v>
      </c>
      <c r="Q306" s="48">
        <v>7</v>
      </c>
      <c r="R306" s="48">
        <v>14</v>
      </c>
      <c r="S306" s="48">
        <v>1300</v>
      </c>
      <c r="T306" s="5" t="s">
        <v>5549</v>
      </c>
      <c r="V306" s="32" t="s">
        <v>3790</v>
      </c>
    </row>
    <row r="307" spans="1:22">
      <c r="A307" s="5" t="s">
        <v>3792</v>
      </c>
      <c r="B307" s="32" t="s">
        <v>94</v>
      </c>
      <c r="C307" s="32" t="s">
        <v>93</v>
      </c>
      <c r="D307" s="5" t="s">
        <v>5272</v>
      </c>
      <c r="E307" s="48">
        <v>1640</v>
      </c>
      <c r="F307" s="32" t="s">
        <v>3790</v>
      </c>
      <c r="G307" s="7">
        <v>44865</v>
      </c>
      <c r="H307" s="32" t="s">
        <v>3658</v>
      </c>
      <c r="I307" s="48" t="s">
        <v>5960</v>
      </c>
      <c r="J307" s="48">
        <v>1559</v>
      </c>
      <c r="K307" s="48">
        <v>0</v>
      </c>
      <c r="L307" s="7" t="s">
        <v>3790</v>
      </c>
      <c r="M307" s="7">
        <v>44999</v>
      </c>
      <c r="N307" s="7">
        <v>44830</v>
      </c>
      <c r="O307" s="7" t="s">
        <v>3790</v>
      </c>
      <c r="P307" s="48">
        <v>70</v>
      </c>
      <c r="Q307" s="48">
        <v>7</v>
      </c>
      <c r="R307" s="48">
        <v>14</v>
      </c>
      <c r="S307" s="48">
        <v>2500</v>
      </c>
      <c r="T307" s="5" t="s">
        <v>5548</v>
      </c>
      <c r="V307" s="32" t="s">
        <v>3790</v>
      </c>
    </row>
    <row r="308" spans="1:22">
      <c r="A308" s="5" t="s">
        <v>3792</v>
      </c>
      <c r="B308" s="32" t="s">
        <v>94</v>
      </c>
      <c r="C308" s="32" t="s">
        <v>93</v>
      </c>
      <c r="D308" s="5" t="s">
        <v>6324</v>
      </c>
      <c r="E308" s="48">
        <v>0</v>
      </c>
      <c r="F308" s="32" t="s">
        <v>3790</v>
      </c>
      <c r="G308" s="7">
        <v>44949</v>
      </c>
      <c r="H308" s="32" t="s">
        <v>3790</v>
      </c>
      <c r="I308" s="48" t="s">
        <v>3527</v>
      </c>
      <c r="J308" s="48">
        <v>0</v>
      </c>
      <c r="K308" s="48">
        <v>0</v>
      </c>
      <c r="L308" s="7" t="s">
        <v>3790</v>
      </c>
      <c r="M308" s="7">
        <v>45085</v>
      </c>
      <c r="N308" s="7">
        <v>44881</v>
      </c>
      <c r="O308" s="7">
        <v>44956</v>
      </c>
      <c r="P308" s="48">
        <v>70</v>
      </c>
      <c r="Q308" s="48">
        <v>7</v>
      </c>
      <c r="R308" s="48">
        <v>14</v>
      </c>
      <c r="S308" s="48">
        <v>1200</v>
      </c>
      <c r="T308" s="5" t="s">
        <v>5549</v>
      </c>
      <c r="V308" s="32" t="s">
        <v>3790</v>
      </c>
    </row>
    <row r="309" spans="1:22">
      <c r="A309" s="5" t="s">
        <v>3792</v>
      </c>
      <c r="B309" s="32" t="s">
        <v>95</v>
      </c>
      <c r="C309" s="32" t="s">
        <v>93</v>
      </c>
      <c r="D309" s="5" t="s">
        <v>5272</v>
      </c>
      <c r="E309" s="48">
        <v>1339</v>
      </c>
      <c r="F309" s="32" t="s">
        <v>3790</v>
      </c>
      <c r="G309" s="7">
        <v>44865</v>
      </c>
      <c r="H309" s="32" t="s">
        <v>3658</v>
      </c>
      <c r="I309" s="48" t="s">
        <v>5962</v>
      </c>
      <c r="J309" s="48">
        <v>1339</v>
      </c>
      <c r="K309" s="48">
        <v>0</v>
      </c>
      <c r="L309" s="7" t="s">
        <v>3790</v>
      </c>
      <c r="M309" s="7">
        <v>44999</v>
      </c>
      <c r="N309" s="7">
        <v>44830</v>
      </c>
      <c r="O309" s="7" t="s">
        <v>3790</v>
      </c>
      <c r="P309" s="48">
        <v>70</v>
      </c>
      <c r="Q309" s="48">
        <v>7</v>
      </c>
      <c r="R309" s="48">
        <v>14</v>
      </c>
      <c r="S309" s="48">
        <v>2000</v>
      </c>
      <c r="T309" s="5" t="s">
        <v>5548</v>
      </c>
      <c r="V309" s="32" t="s">
        <v>3790</v>
      </c>
    </row>
    <row r="310" spans="1:22">
      <c r="A310" s="5" t="s">
        <v>3792</v>
      </c>
      <c r="B310" s="32" t="s">
        <v>95</v>
      </c>
      <c r="C310" s="32" t="s">
        <v>93</v>
      </c>
      <c r="D310" s="5" t="s">
        <v>6324</v>
      </c>
      <c r="E310" s="48">
        <v>0</v>
      </c>
      <c r="F310" s="32" t="s">
        <v>3790</v>
      </c>
      <c r="G310" s="7">
        <v>44949</v>
      </c>
      <c r="H310" s="32" t="s">
        <v>3790</v>
      </c>
      <c r="I310" s="48" t="s">
        <v>3527</v>
      </c>
      <c r="J310" s="48">
        <v>0</v>
      </c>
      <c r="K310" s="48">
        <v>0</v>
      </c>
      <c r="L310" s="7" t="s">
        <v>3790</v>
      </c>
      <c r="M310" s="7">
        <v>45085</v>
      </c>
      <c r="N310" s="7">
        <v>44881</v>
      </c>
      <c r="O310" s="7">
        <v>44956</v>
      </c>
      <c r="P310" s="48">
        <v>70</v>
      </c>
      <c r="Q310" s="48">
        <v>7</v>
      </c>
      <c r="R310" s="48">
        <v>14</v>
      </c>
      <c r="S310" s="48">
        <v>1000</v>
      </c>
      <c r="T310" s="5" t="s">
        <v>5549</v>
      </c>
      <c r="V310" s="32" t="s">
        <v>3790</v>
      </c>
    </row>
    <row r="311" spans="1:22">
      <c r="A311" s="5" t="s">
        <v>3792</v>
      </c>
      <c r="B311" s="32" t="s">
        <v>124</v>
      </c>
      <c r="C311" s="32" t="s">
        <v>3811</v>
      </c>
      <c r="D311" s="5" t="s">
        <v>3810</v>
      </c>
      <c r="E311" s="48">
        <v>0</v>
      </c>
      <c r="F311" s="32" t="s">
        <v>3790</v>
      </c>
      <c r="G311" s="7">
        <v>44977</v>
      </c>
      <c r="H311" s="32" t="s">
        <v>3790</v>
      </c>
      <c r="I311" s="48" t="s">
        <v>3527</v>
      </c>
      <c r="J311" s="48">
        <v>0</v>
      </c>
      <c r="K311" s="48">
        <v>0</v>
      </c>
      <c r="L311" s="7" t="s">
        <v>3790</v>
      </c>
      <c r="M311" s="7">
        <v>45112</v>
      </c>
      <c r="N311" s="7">
        <v>44776</v>
      </c>
      <c r="O311" s="7">
        <v>44984</v>
      </c>
      <c r="P311" s="48">
        <v>70</v>
      </c>
      <c r="Q311" s="48">
        <v>7</v>
      </c>
      <c r="R311" s="48">
        <v>14</v>
      </c>
      <c r="S311" s="48">
        <v>3500</v>
      </c>
      <c r="T311" s="5" t="s">
        <v>5549</v>
      </c>
      <c r="V311" s="32" t="s">
        <v>3790</v>
      </c>
    </row>
    <row r="312" spans="1:22">
      <c r="A312" s="5" t="s">
        <v>3792</v>
      </c>
      <c r="B312" s="32" t="s">
        <v>601</v>
      </c>
      <c r="C312" s="32" t="s">
        <v>3814</v>
      </c>
      <c r="D312" s="5" t="s">
        <v>6339</v>
      </c>
      <c r="E312" s="48">
        <v>0</v>
      </c>
      <c r="F312" s="32" t="s">
        <v>3790</v>
      </c>
      <c r="G312" s="7">
        <v>44914</v>
      </c>
      <c r="H312" s="32" t="s">
        <v>3790</v>
      </c>
      <c r="I312" s="48" t="s">
        <v>7563</v>
      </c>
      <c r="J312" s="48">
        <v>-151</v>
      </c>
      <c r="K312" s="48">
        <v>0</v>
      </c>
      <c r="L312" s="7" t="s">
        <v>3790</v>
      </c>
      <c r="M312" s="7">
        <v>45069</v>
      </c>
      <c r="N312" s="7">
        <v>44881</v>
      </c>
      <c r="O312" s="7">
        <v>44921</v>
      </c>
      <c r="P312" s="48">
        <v>70</v>
      </c>
      <c r="Q312" s="48">
        <v>7</v>
      </c>
      <c r="R312" s="48">
        <v>14</v>
      </c>
      <c r="S312" s="48">
        <v>5500</v>
      </c>
      <c r="T312" s="5" t="s">
        <v>5550</v>
      </c>
      <c r="V312" s="32" t="s">
        <v>3790</v>
      </c>
    </row>
    <row r="313" spans="1:22">
      <c r="A313" s="5" t="s">
        <v>3792</v>
      </c>
      <c r="B313" s="32" t="s">
        <v>602</v>
      </c>
      <c r="C313" s="32" t="s">
        <v>3814</v>
      </c>
      <c r="D313" s="5" t="s">
        <v>6339</v>
      </c>
      <c r="E313" s="48">
        <v>0</v>
      </c>
      <c r="F313" s="32" t="s">
        <v>3790</v>
      </c>
      <c r="G313" s="7">
        <v>44914</v>
      </c>
      <c r="H313" s="32" t="s">
        <v>3790</v>
      </c>
      <c r="I313" s="48" t="s">
        <v>6379</v>
      </c>
      <c r="J313" s="48">
        <v>0</v>
      </c>
      <c r="K313" s="48">
        <v>0</v>
      </c>
      <c r="L313" s="7" t="s">
        <v>3790</v>
      </c>
      <c r="M313" s="7">
        <v>45069</v>
      </c>
      <c r="N313" s="7">
        <v>44881</v>
      </c>
      <c r="O313" s="7">
        <v>44921</v>
      </c>
      <c r="P313" s="48">
        <v>70</v>
      </c>
      <c r="Q313" s="48">
        <v>7</v>
      </c>
      <c r="R313" s="48">
        <v>14</v>
      </c>
      <c r="S313" s="48">
        <v>4500</v>
      </c>
      <c r="T313" s="5" t="s">
        <v>5550</v>
      </c>
      <c r="V313" s="32" t="s">
        <v>3790</v>
      </c>
    </row>
    <row r="314" spans="1:22">
      <c r="A314" s="5" t="s">
        <v>3792</v>
      </c>
      <c r="B314" s="32" t="s">
        <v>3818</v>
      </c>
      <c r="C314" s="32" t="s">
        <v>3819</v>
      </c>
      <c r="D314" s="5" t="s">
        <v>3806</v>
      </c>
      <c r="E314" s="48">
        <v>1523</v>
      </c>
      <c r="F314" s="32" t="s">
        <v>3790</v>
      </c>
      <c r="G314" s="7">
        <v>44851</v>
      </c>
      <c r="H314" s="32" t="s">
        <v>3658</v>
      </c>
      <c r="I314" s="48" t="s">
        <v>5872</v>
      </c>
      <c r="J314" s="48">
        <v>1523</v>
      </c>
      <c r="K314" s="48">
        <v>0</v>
      </c>
      <c r="L314" s="7" t="s">
        <v>3790</v>
      </c>
      <c r="M314" s="7">
        <v>44986</v>
      </c>
      <c r="N314" s="7">
        <v>44810</v>
      </c>
      <c r="O314" s="7" t="s">
        <v>3790</v>
      </c>
      <c r="P314" s="48">
        <v>70</v>
      </c>
      <c r="Q314" s="48">
        <v>7</v>
      </c>
      <c r="R314" s="48">
        <v>14</v>
      </c>
      <c r="S314" s="48">
        <v>3000</v>
      </c>
      <c r="T314" s="5" t="s">
        <v>5548</v>
      </c>
      <c r="V314" s="32" t="s">
        <v>3790</v>
      </c>
    </row>
    <row r="315" spans="1:22">
      <c r="A315" s="5" t="s">
        <v>3792</v>
      </c>
      <c r="B315" s="32" t="s">
        <v>3822</v>
      </c>
      <c r="C315" s="32" t="s">
        <v>3819</v>
      </c>
      <c r="D315" s="5" t="s">
        <v>3806</v>
      </c>
      <c r="E315" s="48">
        <v>6433</v>
      </c>
      <c r="F315" s="32" t="s">
        <v>3790</v>
      </c>
      <c r="G315" s="7">
        <v>44851</v>
      </c>
      <c r="H315" s="32" t="s">
        <v>3658</v>
      </c>
      <c r="I315" s="48" t="s">
        <v>5873</v>
      </c>
      <c r="J315" s="48">
        <v>6433</v>
      </c>
      <c r="K315" s="48">
        <v>0</v>
      </c>
      <c r="L315" s="7" t="s">
        <v>3790</v>
      </c>
      <c r="M315" s="7">
        <v>44986</v>
      </c>
      <c r="N315" s="7">
        <v>44810</v>
      </c>
      <c r="O315" s="7" t="s">
        <v>3790</v>
      </c>
      <c r="P315" s="48">
        <v>70</v>
      </c>
      <c r="Q315" s="48">
        <v>7</v>
      </c>
      <c r="R315" s="48">
        <v>14</v>
      </c>
      <c r="S315" s="48">
        <v>7000</v>
      </c>
      <c r="T315" s="5" t="s">
        <v>5548</v>
      </c>
      <c r="V315" s="32" t="s">
        <v>3790</v>
      </c>
    </row>
    <row r="316" spans="1:22">
      <c r="A316" s="5" t="s">
        <v>3792</v>
      </c>
      <c r="B316" s="32" t="s">
        <v>646</v>
      </c>
      <c r="C316" s="32" t="s">
        <v>647</v>
      </c>
      <c r="D316" s="5" t="s">
        <v>3824</v>
      </c>
      <c r="E316" s="48">
        <v>1001</v>
      </c>
      <c r="F316" s="32" t="s">
        <v>3790</v>
      </c>
      <c r="G316" s="7">
        <v>44851</v>
      </c>
      <c r="H316" s="32" t="s">
        <v>3658</v>
      </c>
      <c r="I316" s="48" t="s">
        <v>5874</v>
      </c>
      <c r="J316" s="48">
        <v>939</v>
      </c>
      <c r="K316" s="48">
        <v>0</v>
      </c>
      <c r="L316" s="7" t="s">
        <v>3790</v>
      </c>
      <c r="M316" s="7">
        <v>44985</v>
      </c>
      <c r="N316" s="7">
        <v>44781</v>
      </c>
      <c r="O316" s="7" t="s">
        <v>3790</v>
      </c>
      <c r="P316" s="48">
        <v>70</v>
      </c>
      <c r="Q316" s="48">
        <v>7</v>
      </c>
      <c r="R316" s="48">
        <v>14</v>
      </c>
      <c r="S316" s="48">
        <v>2000</v>
      </c>
      <c r="T316" s="5" t="s">
        <v>5548</v>
      </c>
      <c r="V316" s="32" t="s">
        <v>3790</v>
      </c>
    </row>
    <row r="317" spans="1:22">
      <c r="A317" s="5" t="s">
        <v>3792</v>
      </c>
      <c r="B317" s="32" t="s">
        <v>646</v>
      </c>
      <c r="C317" s="32" t="s">
        <v>647</v>
      </c>
      <c r="D317" s="5" t="s">
        <v>7501</v>
      </c>
      <c r="E317" s="48">
        <v>0</v>
      </c>
      <c r="F317" s="32" t="s">
        <v>3790</v>
      </c>
      <c r="G317" s="7">
        <v>44963</v>
      </c>
      <c r="H317" s="32" t="s">
        <v>3790</v>
      </c>
      <c r="I317" s="48" t="s">
        <v>3527</v>
      </c>
      <c r="J317" s="48">
        <v>0</v>
      </c>
      <c r="K317" s="48">
        <v>0</v>
      </c>
      <c r="L317" s="7" t="s">
        <v>3790</v>
      </c>
      <c r="M317" s="7">
        <v>45099</v>
      </c>
      <c r="N317" s="7">
        <v>44908</v>
      </c>
      <c r="O317" s="7">
        <v>44970</v>
      </c>
      <c r="P317" s="48">
        <v>70</v>
      </c>
      <c r="Q317" s="48">
        <v>7</v>
      </c>
      <c r="R317" s="48">
        <v>14</v>
      </c>
      <c r="S317" s="48">
        <v>2500</v>
      </c>
      <c r="T317" s="5" t="s">
        <v>5549</v>
      </c>
      <c r="V317" s="32" t="s">
        <v>3790</v>
      </c>
    </row>
    <row r="318" spans="1:22">
      <c r="A318" s="5" t="s">
        <v>3792</v>
      </c>
      <c r="B318" s="32" t="s">
        <v>649</v>
      </c>
      <c r="C318" s="32" t="s">
        <v>647</v>
      </c>
      <c r="D318" s="5" t="s">
        <v>7501</v>
      </c>
      <c r="E318" s="48">
        <v>0</v>
      </c>
      <c r="F318" s="32" t="s">
        <v>3790</v>
      </c>
      <c r="G318" s="7">
        <v>44963</v>
      </c>
      <c r="H318" s="32" t="s">
        <v>3790</v>
      </c>
      <c r="I318" s="48" t="s">
        <v>3527</v>
      </c>
      <c r="J318" s="48">
        <v>0</v>
      </c>
      <c r="K318" s="48">
        <v>0</v>
      </c>
      <c r="L318" s="7" t="s">
        <v>3790</v>
      </c>
      <c r="M318" s="7">
        <v>45099</v>
      </c>
      <c r="N318" s="7">
        <v>44908</v>
      </c>
      <c r="O318" s="7">
        <v>44970</v>
      </c>
      <c r="P318" s="48">
        <v>70</v>
      </c>
      <c r="Q318" s="48">
        <v>7</v>
      </c>
      <c r="R318" s="48">
        <v>14</v>
      </c>
      <c r="S318" s="48">
        <v>1000</v>
      </c>
      <c r="T318" s="5" t="s">
        <v>5549</v>
      </c>
      <c r="V318" s="32" t="s">
        <v>3790</v>
      </c>
    </row>
    <row r="319" spans="1:22">
      <c r="A319" s="5" t="s">
        <v>3792</v>
      </c>
      <c r="B319" s="32" t="s">
        <v>654</v>
      </c>
      <c r="C319" s="32" t="s">
        <v>3825</v>
      </c>
      <c r="D319" s="5" t="s">
        <v>3806</v>
      </c>
      <c r="E319" s="48">
        <v>20222</v>
      </c>
      <c r="F319" s="32" t="s">
        <v>3790</v>
      </c>
      <c r="G319" s="7">
        <v>44900</v>
      </c>
      <c r="H319" s="32" t="s">
        <v>3658</v>
      </c>
      <c r="I319" s="48" t="s">
        <v>6385</v>
      </c>
      <c r="J319" s="48">
        <v>20222</v>
      </c>
      <c r="K319" s="48">
        <v>0</v>
      </c>
      <c r="L319" s="7" t="s">
        <v>3790</v>
      </c>
      <c r="M319" s="7">
        <v>45045</v>
      </c>
      <c r="N319" s="7">
        <v>44810</v>
      </c>
      <c r="O319" s="7" t="s">
        <v>3790</v>
      </c>
      <c r="P319" s="48">
        <v>70</v>
      </c>
      <c r="Q319" s="48">
        <v>7</v>
      </c>
      <c r="R319" s="48">
        <v>14</v>
      </c>
      <c r="S319" s="48">
        <v>21000</v>
      </c>
      <c r="T319" s="5" t="s">
        <v>5548</v>
      </c>
      <c r="V319" s="32" t="s">
        <v>3790</v>
      </c>
    </row>
    <row r="320" spans="1:22">
      <c r="A320" s="5" t="s">
        <v>3792</v>
      </c>
      <c r="B320" s="32" t="s">
        <v>657</v>
      </c>
      <c r="C320" s="32" t="s">
        <v>3825</v>
      </c>
      <c r="D320" s="5" t="s">
        <v>3806</v>
      </c>
      <c r="E320" s="48">
        <v>2535</v>
      </c>
      <c r="F320" s="32" t="s">
        <v>3790</v>
      </c>
      <c r="G320" s="7">
        <v>44900</v>
      </c>
      <c r="H320" s="32" t="s">
        <v>3658</v>
      </c>
      <c r="I320" s="48" t="s">
        <v>6386</v>
      </c>
      <c r="J320" s="48">
        <v>1968</v>
      </c>
      <c r="K320" s="48">
        <v>0</v>
      </c>
      <c r="L320" s="7" t="s">
        <v>3790</v>
      </c>
      <c r="M320" s="7">
        <v>45045</v>
      </c>
      <c r="N320" s="7">
        <v>44810</v>
      </c>
      <c r="O320" s="7" t="s">
        <v>3790</v>
      </c>
      <c r="P320" s="48">
        <v>70</v>
      </c>
      <c r="Q320" s="48">
        <v>7</v>
      </c>
      <c r="R320" s="48">
        <v>14</v>
      </c>
      <c r="S320" s="48">
        <v>2000</v>
      </c>
      <c r="T320" s="5" t="s">
        <v>5548</v>
      </c>
      <c r="V320" s="32" t="s">
        <v>3790</v>
      </c>
    </row>
    <row r="321" spans="1:22">
      <c r="A321" s="5" t="s">
        <v>3792</v>
      </c>
      <c r="B321" s="32" t="s">
        <v>659</v>
      </c>
      <c r="C321" s="32" t="s">
        <v>3825</v>
      </c>
      <c r="D321" s="5" t="s">
        <v>3806</v>
      </c>
      <c r="E321" s="48">
        <v>18857</v>
      </c>
      <c r="F321" s="32" t="s">
        <v>3790</v>
      </c>
      <c r="G321" s="7">
        <v>44900</v>
      </c>
      <c r="H321" s="32" t="s">
        <v>3658</v>
      </c>
      <c r="I321" s="48" t="s">
        <v>6387</v>
      </c>
      <c r="J321" s="48">
        <v>16724</v>
      </c>
      <c r="K321" s="48">
        <v>0</v>
      </c>
      <c r="L321" s="7" t="s">
        <v>3790</v>
      </c>
      <c r="M321" s="7">
        <v>45045</v>
      </c>
      <c r="N321" s="7">
        <v>44810</v>
      </c>
      <c r="O321" s="7" t="s">
        <v>3790</v>
      </c>
      <c r="P321" s="48">
        <v>70</v>
      </c>
      <c r="Q321" s="48">
        <v>7</v>
      </c>
      <c r="R321" s="48">
        <v>14</v>
      </c>
      <c r="S321" s="48">
        <v>17000</v>
      </c>
      <c r="T321" s="5" t="s">
        <v>5548</v>
      </c>
      <c r="V321" s="32" t="s">
        <v>3790</v>
      </c>
    </row>
    <row r="322" spans="1:22">
      <c r="A322" s="5" t="s">
        <v>3792</v>
      </c>
      <c r="B322" s="32" t="s">
        <v>966</v>
      </c>
      <c r="C322" s="32" t="s">
        <v>964</v>
      </c>
      <c r="D322" s="5" t="s">
        <v>3827</v>
      </c>
      <c r="E322" s="48">
        <v>0</v>
      </c>
      <c r="F322" s="32" t="s">
        <v>3790</v>
      </c>
      <c r="G322" s="7">
        <v>44991</v>
      </c>
      <c r="H322" s="32" t="s">
        <v>3790</v>
      </c>
      <c r="I322" s="48" t="s">
        <v>3527</v>
      </c>
      <c r="J322" s="48">
        <v>0</v>
      </c>
      <c r="K322" s="48">
        <v>0</v>
      </c>
      <c r="L322" s="7" t="s">
        <v>3790</v>
      </c>
      <c r="M322" s="7">
        <v>45129</v>
      </c>
      <c r="N322" s="7">
        <v>44795</v>
      </c>
      <c r="O322" s="7">
        <v>44998</v>
      </c>
      <c r="P322" s="48">
        <v>70</v>
      </c>
      <c r="Q322" s="48">
        <v>7</v>
      </c>
      <c r="R322" s="48">
        <v>14</v>
      </c>
      <c r="S322" s="48">
        <v>3500</v>
      </c>
      <c r="T322" s="5" t="s">
        <v>5549</v>
      </c>
      <c r="V322" s="32" t="s">
        <v>3790</v>
      </c>
    </row>
    <row r="323" spans="1:22">
      <c r="A323" s="5" t="s">
        <v>3792</v>
      </c>
      <c r="B323" s="32" t="s">
        <v>4509</v>
      </c>
      <c r="C323" s="32" t="s">
        <v>1492</v>
      </c>
      <c r="D323" s="5" t="s">
        <v>5274</v>
      </c>
      <c r="E323" s="48">
        <v>0</v>
      </c>
      <c r="F323" s="32" t="s">
        <v>3790</v>
      </c>
      <c r="G323" s="7">
        <v>44914</v>
      </c>
      <c r="H323" s="32" t="s">
        <v>3790</v>
      </c>
      <c r="I323" s="48" t="s">
        <v>7574</v>
      </c>
      <c r="J323" s="48">
        <v>0</v>
      </c>
      <c r="K323" s="48">
        <v>0</v>
      </c>
      <c r="L323" s="7" t="s">
        <v>3790</v>
      </c>
      <c r="M323" s="7">
        <v>45045</v>
      </c>
      <c r="N323" s="7">
        <v>44830</v>
      </c>
      <c r="O323" s="7">
        <v>44921</v>
      </c>
      <c r="P323" s="48">
        <v>70</v>
      </c>
      <c r="Q323" s="48">
        <v>7</v>
      </c>
      <c r="R323" s="48">
        <v>14</v>
      </c>
      <c r="S323" s="48">
        <v>2500</v>
      </c>
      <c r="T323" s="5" t="s">
        <v>5550</v>
      </c>
      <c r="V323" s="32" t="s">
        <v>3790</v>
      </c>
    </row>
    <row r="324" spans="1:22">
      <c r="A324" s="5" t="s">
        <v>3792</v>
      </c>
      <c r="B324" s="32" t="s">
        <v>979</v>
      </c>
      <c r="C324" s="32" t="s">
        <v>1492</v>
      </c>
      <c r="D324" s="5" t="s">
        <v>5274</v>
      </c>
      <c r="E324" s="48">
        <v>0</v>
      </c>
      <c r="F324" s="32" t="s">
        <v>3790</v>
      </c>
      <c r="G324" s="7">
        <v>44914</v>
      </c>
      <c r="H324" s="32" t="s">
        <v>3790</v>
      </c>
      <c r="I324" s="48" t="s">
        <v>7575</v>
      </c>
      <c r="J324" s="48">
        <v>-191</v>
      </c>
      <c r="K324" s="48">
        <v>0</v>
      </c>
      <c r="L324" s="7" t="s">
        <v>3790</v>
      </c>
      <c r="M324" s="7">
        <v>45045</v>
      </c>
      <c r="N324" s="7">
        <v>44830</v>
      </c>
      <c r="O324" s="7">
        <v>44921</v>
      </c>
      <c r="P324" s="48">
        <v>70</v>
      </c>
      <c r="Q324" s="48">
        <v>7</v>
      </c>
      <c r="R324" s="48">
        <v>14</v>
      </c>
      <c r="S324" s="48">
        <v>1000</v>
      </c>
      <c r="T324" s="5" t="s">
        <v>5550</v>
      </c>
      <c r="V324" s="32" t="s">
        <v>3790</v>
      </c>
    </row>
    <row r="325" spans="1:22">
      <c r="A325" s="5" t="s">
        <v>3792</v>
      </c>
      <c r="B325" s="32" t="s">
        <v>1020</v>
      </c>
      <c r="C325" s="32" t="s">
        <v>1021</v>
      </c>
      <c r="D325" s="5" t="s">
        <v>7501</v>
      </c>
      <c r="E325" s="48">
        <v>0</v>
      </c>
      <c r="F325" s="32" t="s">
        <v>3790</v>
      </c>
      <c r="G325" s="7">
        <v>44949</v>
      </c>
      <c r="H325" s="32" t="s">
        <v>3790</v>
      </c>
      <c r="I325" s="48" t="s">
        <v>3527</v>
      </c>
      <c r="J325" s="48">
        <v>0</v>
      </c>
      <c r="K325" s="48">
        <v>0</v>
      </c>
      <c r="L325" s="7" t="s">
        <v>3790</v>
      </c>
      <c r="M325" s="7">
        <v>45085</v>
      </c>
      <c r="N325" s="7">
        <v>44908</v>
      </c>
      <c r="O325" s="7">
        <v>44956</v>
      </c>
      <c r="P325" s="48">
        <v>70</v>
      </c>
      <c r="Q325" s="48">
        <v>7</v>
      </c>
      <c r="R325" s="48">
        <v>14</v>
      </c>
      <c r="S325" s="48">
        <v>700</v>
      </c>
      <c r="T325" s="5" t="s">
        <v>5549</v>
      </c>
      <c r="V325" s="32" t="s">
        <v>3790</v>
      </c>
    </row>
    <row r="326" spans="1:22">
      <c r="A326" s="5" t="s">
        <v>3792</v>
      </c>
      <c r="B326" s="32" t="s">
        <v>1023</v>
      </c>
      <c r="C326" s="32" t="s">
        <v>1021</v>
      </c>
      <c r="D326" s="5" t="s">
        <v>7501</v>
      </c>
      <c r="E326" s="48">
        <v>0</v>
      </c>
      <c r="F326" s="32" t="s">
        <v>3790</v>
      </c>
      <c r="G326" s="7">
        <v>44949</v>
      </c>
      <c r="H326" s="32" t="s">
        <v>3790</v>
      </c>
      <c r="I326" s="48" t="s">
        <v>3527</v>
      </c>
      <c r="J326" s="48">
        <v>0</v>
      </c>
      <c r="K326" s="48">
        <v>0</v>
      </c>
      <c r="L326" s="7" t="s">
        <v>3790</v>
      </c>
      <c r="M326" s="7">
        <v>45085</v>
      </c>
      <c r="N326" s="7">
        <v>44908</v>
      </c>
      <c r="O326" s="7">
        <v>44956</v>
      </c>
      <c r="P326" s="48">
        <v>70</v>
      </c>
      <c r="Q326" s="48">
        <v>7</v>
      </c>
      <c r="R326" s="48">
        <v>14</v>
      </c>
      <c r="S326" s="48">
        <v>2800</v>
      </c>
      <c r="T326" s="5" t="s">
        <v>5549</v>
      </c>
      <c r="V326" s="32" t="s">
        <v>3790</v>
      </c>
    </row>
    <row r="327" spans="1:22">
      <c r="A327" s="5" t="s">
        <v>3792</v>
      </c>
      <c r="B327" s="32" t="s">
        <v>3831</v>
      </c>
      <c r="C327" s="32" t="s">
        <v>3832</v>
      </c>
      <c r="D327" s="5" t="s">
        <v>3810</v>
      </c>
      <c r="E327" s="48">
        <v>552</v>
      </c>
      <c r="F327" s="32" t="s">
        <v>3790</v>
      </c>
      <c r="G327" s="7">
        <v>44837</v>
      </c>
      <c r="H327" s="32" t="s">
        <v>3658</v>
      </c>
      <c r="I327" s="48" t="s">
        <v>3554</v>
      </c>
      <c r="J327" s="48">
        <v>486</v>
      </c>
      <c r="K327" s="48">
        <v>0</v>
      </c>
      <c r="L327" s="7" t="s">
        <v>3790</v>
      </c>
      <c r="M327" s="7">
        <v>44970</v>
      </c>
      <c r="N327" s="7">
        <v>44776</v>
      </c>
      <c r="O327" s="7" t="s">
        <v>3790</v>
      </c>
      <c r="P327" s="48">
        <v>70</v>
      </c>
      <c r="Q327" s="48">
        <v>7</v>
      </c>
      <c r="R327" s="48">
        <v>14</v>
      </c>
      <c r="S327" s="48">
        <v>500</v>
      </c>
      <c r="T327" s="5" t="s">
        <v>5548</v>
      </c>
      <c r="V327" s="32" t="s">
        <v>3790</v>
      </c>
    </row>
    <row r="328" spans="1:22">
      <c r="A328" s="5" t="s">
        <v>3792</v>
      </c>
      <c r="B328" s="32" t="s">
        <v>3831</v>
      </c>
      <c r="C328" s="32" t="s">
        <v>3832</v>
      </c>
      <c r="D328" s="5" t="s">
        <v>6148</v>
      </c>
      <c r="E328" s="48">
        <v>0</v>
      </c>
      <c r="F328" s="32" t="s">
        <v>3790</v>
      </c>
      <c r="G328" s="7">
        <v>44921</v>
      </c>
      <c r="H328" s="32" t="s">
        <v>3790</v>
      </c>
      <c r="I328" s="48" t="s">
        <v>7692</v>
      </c>
      <c r="J328" s="48">
        <v>-17</v>
      </c>
      <c r="K328" s="48">
        <v>0</v>
      </c>
      <c r="L328" s="7" t="s">
        <v>3790</v>
      </c>
      <c r="M328" s="7">
        <v>45068</v>
      </c>
      <c r="N328" s="7">
        <v>44879</v>
      </c>
      <c r="O328" s="7">
        <v>44928</v>
      </c>
      <c r="P328" s="48">
        <v>70</v>
      </c>
      <c r="Q328" s="48">
        <v>7</v>
      </c>
      <c r="R328" s="48">
        <v>14</v>
      </c>
      <c r="S328" s="48">
        <v>1000</v>
      </c>
      <c r="T328" s="5" t="s">
        <v>5550</v>
      </c>
      <c r="V328" s="32" t="s">
        <v>3790</v>
      </c>
    </row>
    <row r="329" spans="1:22">
      <c r="A329" s="5" t="s">
        <v>3792</v>
      </c>
      <c r="B329" s="32" t="s">
        <v>3833</v>
      </c>
      <c r="C329" s="32" t="s">
        <v>3832</v>
      </c>
      <c r="D329" s="5" t="s">
        <v>3810</v>
      </c>
      <c r="E329" s="48">
        <v>2882</v>
      </c>
      <c r="F329" s="32" t="s">
        <v>3790</v>
      </c>
      <c r="G329" s="7">
        <v>44837</v>
      </c>
      <c r="H329" s="32" t="s">
        <v>3658</v>
      </c>
      <c r="I329" s="48" t="s">
        <v>5505</v>
      </c>
      <c r="J329" s="48">
        <v>2882</v>
      </c>
      <c r="K329" s="48">
        <v>0</v>
      </c>
      <c r="L329" s="7" t="s">
        <v>3790</v>
      </c>
      <c r="M329" s="7">
        <v>44970</v>
      </c>
      <c r="N329" s="7">
        <v>44776</v>
      </c>
      <c r="O329" s="7" t="s">
        <v>3790</v>
      </c>
      <c r="P329" s="48">
        <v>70</v>
      </c>
      <c r="Q329" s="48">
        <v>7</v>
      </c>
      <c r="R329" s="48">
        <v>14</v>
      </c>
      <c r="S329" s="48">
        <v>3500</v>
      </c>
      <c r="T329" s="5" t="s">
        <v>5548</v>
      </c>
      <c r="V329" s="32" t="s">
        <v>3790</v>
      </c>
    </row>
    <row r="330" spans="1:22">
      <c r="A330" s="5" t="s">
        <v>3792</v>
      </c>
      <c r="B330" s="32" t="s">
        <v>3833</v>
      </c>
      <c r="C330" s="32" t="s">
        <v>3832</v>
      </c>
      <c r="D330" s="5" t="s">
        <v>6148</v>
      </c>
      <c r="E330" s="48">
        <v>0</v>
      </c>
      <c r="F330" s="32" t="s">
        <v>3790</v>
      </c>
      <c r="G330" s="7">
        <v>44921</v>
      </c>
      <c r="H330" s="32" t="s">
        <v>3790</v>
      </c>
      <c r="I330" s="48" t="s">
        <v>7693</v>
      </c>
      <c r="J330" s="48">
        <v>0</v>
      </c>
      <c r="K330" s="48">
        <v>0</v>
      </c>
      <c r="L330" s="7" t="s">
        <v>3790</v>
      </c>
      <c r="M330" s="7">
        <v>45068</v>
      </c>
      <c r="N330" s="7">
        <v>44879</v>
      </c>
      <c r="O330" s="7">
        <v>44928</v>
      </c>
      <c r="P330" s="48">
        <v>70</v>
      </c>
      <c r="Q330" s="48">
        <v>7</v>
      </c>
      <c r="R330" s="48">
        <v>14</v>
      </c>
      <c r="S330" s="48">
        <v>2500</v>
      </c>
      <c r="T330" s="5" t="s">
        <v>5550</v>
      </c>
      <c r="V330" s="32" t="s">
        <v>3790</v>
      </c>
    </row>
    <row r="331" spans="1:22">
      <c r="A331" s="5" t="s">
        <v>3792</v>
      </c>
      <c r="B331" s="32" t="s">
        <v>1377</v>
      </c>
      <c r="C331" s="32" t="s">
        <v>1376</v>
      </c>
      <c r="D331" s="5" t="s">
        <v>3834</v>
      </c>
      <c r="E331" s="48">
        <v>1870</v>
      </c>
      <c r="F331" s="32" t="s">
        <v>3790</v>
      </c>
      <c r="G331" s="7">
        <v>44893</v>
      </c>
      <c r="H331" s="32" t="s">
        <v>3658</v>
      </c>
      <c r="I331" s="48" t="s">
        <v>6394</v>
      </c>
      <c r="J331" s="48">
        <v>1739</v>
      </c>
      <c r="K331" s="48">
        <v>0</v>
      </c>
      <c r="L331" s="7" t="s">
        <v>3790</v>
      </c>
      <c r="M331" s="7">
        <v>45045</v>
      </c>
      <c r="N331" s="7">
        <v>44812</v>
      </c>
      <c r="O331" s="7" t="s">
        <v>3790</v>
      </c>
      <c r="P331" s="48">
        <v>70</v>
      </c>
      <c r="Q331" s="48">
        <v>7</v>
      </c>
      <c r="R331" s="48">
        <v>14</v>
      </c>
      <c r="S331" s="48">
        <v>1750</v>
      </c>
      <c r="T331" s="5" t="s">
        <v>5548</v>
      </c>
      <c r="V331" s="32" t="s">
        <v>3790</v>
      </c>
    </row>
    <row r="332" spans="1:22">
      <c r="A332" s="5" t="s">
        <v>3792</v>
      </c>
      <c r="B332" s="32" t="s">
        <v>1378</v>
      </c>
      <c r="C332" s="32" t="s">
        <v>1376</v>
      </c>
      <c r="D332" s="5" t="s">
        <v>3834</v>
      </c>
      <c r="E332" s="48">
        <v>1996</v>
      </c>
      <c r="F332" s="32" t="s">
        <v>3790</v>
      </c>
      <c r="G332" s="7">
        <v>44893</v>
      </c>
      <c r="H332" s="32" t="s">
        <v>3658</v>
      </c>
      <c r="I332" s="48" t="s">
        <v>6395</v>
      </c>
      <c r="J332" s="48">
        <v>1731</v>
      </c>
      <c r="K332" s="48">
        <v>0</v>
      </c>
      <c r="L332" s="7" t="s">
        <v>3790</v>
      </c>
      <c r="M332" s="7">
        <v>45045</v>
      </c>
      <c r="N332" s="7">
        <v>44812</v>
      </c>
      <c r="O332" s="7" t="s">
        <v>3790</v>
      </c>
      <c r="P332" s="48">
        <v>70</v>
      </c>
      <c r="Q332" s="48">
        <v>7</v>
      </c>
      <c r="R332" s="48">
        <v>14</v>
      </c>
      <c r="S332" s="48">
        <v>1750</v>
      </c>
      <c r="T332" s="5" t="s">
        <v>5548</v>
      </c>
      <c r="V332" s="32" t="s">
        <v>3790</v>
      </c>
    </row>
    <row r="333" spans="1:22">
      <c r="A333" s="5" t="s">
        <v>3792</v>
      </c>
      <c r="B333" s="32" t="s">
        <v>1388</v>
      </c>
      <c r="C333" s="32" t="s">
        <v>1389</v>
      </c>
      <c r="D333" s="5" t="s">
        <v>7700</v>
      </c>
      <c r="E333" s="48">
        <v>0</v>
      </c>
      <c r="F333" s="32" t="s">
        <v>3790</v>
      </c>
      <c r="G333" s="7">
        <v>44998</v>
      </c>
      <c r="H333" s="32" t="s">
        <v>3790</v>
      </c>
      <c r="I333" s="48" t="s">
        <v>3527</v>
      </c>
      <c r="J333" s="48">
        <v>0</v>
      </c>
      <c r="K333" s="48">
        <v>0</v>
      </c>
      <c r="L333" s="7" t="s">
        <v>3790</v>
      </c>
      <c r="M333" s="7">
        <v>45122</v>
      </c>
      <c r="N333" s="7">
        <v>44924</v>
      </c>
      <c r="O333" s="7">
        <v>45005</v>
      </c>
      <c r="P333" s="48">
        <v>70</v>
      </c>
      <c r="Q333" s="48">
        <v>7</v>
      </c>
      <c r="R333" s="48">
        <v>14</v>
      </c>
      <c r="S333" s="48">
        <v>1300</v>
      </c>
      <c r="T333" s="5" t="s">
        <v>5549</v>
      </c>
      <c r="V333" s="32" t="s">
        <v>3790</v>
      </c>
    </row>
    <row r="334" spans="1:22">
      <c r="A334" s="5" t="s">
        <v>3792</v>
      </c>
      <c r="B334" s="32" t="s">
        <v>1391</v>
      </c>
      <c r="C334" s="32" t="s">
        <v>1389</v>
      </c>
      <c r="D334" s="5" t="s">
        <v>7700</v>
      </c>
      <c r="E334" s="48">
        <v>0</v>
      </c>
      <c r="F334" s="32" t="s">
        <v>3790</v>
      </c>
      <c r="G334" s="7">
        <v>44998</v>
      </c>
      <c r="H334" s="32" t="s">
        <v>3790</v>
      </c>
      <c r="I334" s="48" t="s">
        <v>3527</v>
      </c>
      <c r="J334" s="48">
        <v>0</v>
      </c>
      <c r="K334" s="48">
        <v>0</v>
      </c>
      <c r="L334" s="7" t="s">
        <v>3790</v>
      </c>
      <c r="M334" s="7">
        <v>45122</v>
      </c>
      <c r="N334" s="7">
        <v>44924</v>
      </c>
      <c r="O334" s="7">
        <v>45005</v>
      </c>
      <c r="P334" s="48">
        <v>70</v>
      </c>
      <c r="Q334" s="48">
        <v>7</v>
      </c>
      <c r="R334" s="48">
        <v>14</v>
      </c>
      <c r="S334" s="48">
        <v>2200</v>
      </c>
      <c r="T334" s="5" t="s">
        <v>5549</v>
      </c>
      <c r="V334" s="32" t="s">
        <v>3790</v>
      </c>
    </row>
    <row r="335" spans="1:22">
      <c r="A335" s="5" t="s">
        <v>3792</v>
      </c>
      <c r="B335" s="32" t="s">
        <v>1394</v>
      </c>
      <c r="C335" s="32" t="s">
        <v>1393</v>
      </c>
      <c r="D335" s="5" t="s">
        <v>3838</v>
      </c>
      <c r="E335" s="48">
        <v>965</v>
      </c>
      <c r="F335" s="32" t="s">
        <v>3790</v>
      </c>
      <c r="G335" s="7">
        <v>44816</v>
      </c>
      <c r="H335" s="32" t="s">
        <v>3658</v>
      </c>
      <c r="I335" s="48" t="s">
        <v>3840</v>
      </c>
      <c r="J335" s="48">
        <v>965</v>
      </c>
      <c r="K335" s="48">
        <v>0</v>
      </c>
      <c r="L335" s="7" t="s">
        <v>3790</v>
      </c>
      <c r="M335" s="7">
        <v>44946</v>
      </c>
      <c r="N335" s="7">
        <v>44732</v>
      </c>
      <c r="O335" s="7" t="s">
        <v>3790</v>
      </c>
      <c r="P335" s="48">
        <v>70</v>
      </c>
      <c r="Q335" s="48">
        <v>7</v>
      </c>
      <c r="R335" s="48">
        <v>14</v>
      </c>
      <c r="S335" s="48">
        <v>3000</v>
      </c>
      <c r="T335" s="5" t="s">
        <v>5548</v>
      </c>
      <c r="V335" s="32" t="s">
        <v>3790</v>
      </c>
    </row>
    <row r="336" spans="1:22">
      <c r="A336" s="5" t="s">
        <v>3792</v>
      </c>
      <c r="B336" s="32" t="s">
        <v>1404</v>
      </c>
      <c r="C336" s="32" t="s">
        <v>1402</v>
      </c>
      <c r="D336" s="5" t="s">
        <v>5506</v>
      </c>
      <c r="E336" s="48">
        <v>0</v>
      </c>
      <c r="F336" s="32" t="s">
        <v>3790</v>
      </c>
      <c r="G336" s="7">
        <v>44942</v>
      </c>
      <c r="H336" s="32" t="s">
        <v>3790</v>
      </c>
      <c r="I336" s="48" t="s">
        <v>3527</v>
      </c>
      <c r="J336" s="48">
        <v>0</v>
      </c>
      <c r="K336" s="48">
        <v>0</v>
      </c>
      <c r="L336" s="7" t="s">
        <v>3790</v>
      </c>
      <c r="M336" s="7">
        <v>45078</v>
      </c>
      <c r="N336" s="7">
        <v>44844</v>
      </c>
      <c r="O336" s="7">
        <v>44949</v>
      </c>
      <c r="P336" s="48">
        <v>70</v>
      </c>
      <c r="Q336" s="48">
        <v>7</v>
      </c>
      <c r="R336" s="48">
        <v>14</v>
      </c>
      <c r="S336" s="48">
        <v>2500</v>
      </c>
      <c r="T336" s="5" t="s">
        <v>5549</v>
      </c>
      <c r="V336" s="32" t="s">
        <v>3790</v>
      </c>
    </row>
    <row r="337" spans="1:22">
      <c r="A337" s="5" t="s">
        <v>3792</v>
      </c>
      <c r="B337" s="32" t="s">
        <v>1405</v>
      </c>
      <c r="C337" s="32" t="s">
        <v>1402</v>
      </c>
      <c r="D337" s="5" t="s">
        <v>5506</v>
      </c>
      <c r="E337" s="48">
        <v>0</v>
      </c>
      <c r="F337" s="32" t="s">
        <v>3790</v>
      </c>
      <c r="G337" s="7">
        <v>44942</v>
      </c>
      <c r="H337" s="32" t="s">
        <v>3790</v>
      </c>
      <c r="I337" s="48" t="s">
        <v>3527</v>
      </c>
      <c r="J337" s="48">
        <v>0</v>
      </c>
      <c r="K337" s="48">
        <v>0</v>
      </c>
      <c r="L337" s="7" t="s">
        <v>3790</v>
      </c>
      <c r="M337" s="7">
        <v>45078</v>
      </c>
      <c r="N337" s="7">
        <v>44844</v>
      </c>
      <c r="O337" s="7">
        <v>44949</v>
      </c>
      <c r="P337" s="48">
        <v>70</v>
      </c>
      <c r="Q337" s="48">
        <v>7</v>
      </c>
      <c r="R337" s="48">
        <v>14</v>
      </c>
      <c r="S337" s="48">
        <v>1000</v>
      </c>
      <c r="T337" s="5" t="s">
        <v>5549</v>
      </c>
      <c r="V337" s="32" t="s">
        <v>3790</v>
      </c>
    </row>
    <row r="338" spans="1:22">
      <c r="A338" s="5" t="s">
        <v>3792</v>
      </c>
      <c r="B338" s="32" t="s">
        <v>1411</v>
      </c>
      <c r="C338" s="32" t="s">
        <v>1412</v>
      </c>
      <c r="D338" s="5" t="s">
        <v>5991</v>
      </c>
      <c r="E338" s="48">
        <v>0</v>
      </c>
      <c r="F338" s="32" t="s">
        <v>3790</v>
      </c>
      <c r="G338" s="7">
        <v>44921</v>
      </c>
      <c r="H338" s="32" t="s">
        <v>3790</v>
      </c>
      <c r="I338" s="48" t="s">
        <v>5275</v>
      </c>
      <c r="J338" s="48">
        <v>0</v>
      </c>
      <c r="K338" s="48">
        <v>0</v>
      </c>
      <c r="L338" s="7" t="s">
        <v>3790</v>
      </c>
      <c r="M338" s="7">
        <v>45069</v>
      </c>
      <c r="N338" s="7">
        <v>44869</v>
      </c>
      <c r="O338" s="7">
        <v>44928</v>
      </c>
      <c r="P338" s="48">
        <v>70</v>
      </c>
      <c r="Q338" s="48">
        <v>7</v>
      </c>
      <c r="R338" s="48">
        <v>14</v>
      </c>
      <c r="S338" s="48">
        <v>1750</v>
      </c>
      <c r="T338" s="5" t="s">
        <v>5550</v>
      </c>
      <c r="V338" s="32" t="s">
        <v>3790</v>
      </c>
    </row>
    <row r="339" spans="1:22">
      <c r="A339" s="5" t="s">
        <v>3792</v>
      </c>
      <c r="B339" s="32" t="s">
        <v>1414</v>
      </c>
      <c r="C339" s="32" t="s">
        <v>1412</v>
      </c>
      <c r="D339" s="5" t="s">
        <v>3810</v>
      </c>
      <c r="E339" s="48">
        <v>436</v>
      </c>
      <c r="F339" s="32" t="s">
        <v>3790</v>
      </c>
      <c r="G339" s="7">
        <v>44837</v>
      </c>
      <c r="H339" s="32" t="s">
        <v>3658</v>
      </c>
      <c r="I339" s="48" t="s">
        <v>5509</v>
      </c>
      <c r="J339" s="48">
        <v>166</v>
      </c>
      <c r="K339" s="48">
        <v>0</v>
      </c>
      <c r="L339" s="7" t="s">
        <v>3790</v>
      </c>
      <c r="M339" s="7">
        <v>44970</v>
      </c>
      <c r="N339" s="7">
        <v>44776</v>
      </c>
      <c r="O339" s="7" t="s">
        <v>3790</v>
      </c>
      <c r="P339" s="48">
        <v>70</v>
      </c>
      <c r="Q339" s="48">
        <v>7</v>
      </c>
      <c r="R339" s="48">
        <v>14</v>
      </c>
      <c r="S339" s="48">
        <v>2000</v>
      </c>
      <c r="T339" s="5" t="s">
        <v>5548</v>
      </c>
      <c r="V339" s="32" t="s">
        <v>3790</v>
      </c>
    </row>
    <row r="340" spans="1:22">
      <c r="A340" s="5" t="s">
        <v>3792</v>
      </c>
      <c r="B340" s="32" t="s">
        <v>1414</v>
      </c>
      <c r="C340" s="32" t="s">
        <v>1412</v>
      </c>
      <c r="D340" s="5" t="s">
        <v>5991</v>
      </c>
      <c r="E340" s="48">
        <v>0</v>
      </c>
      <c r="F340" s="32" t="s">
        <v>3790</v>
      </c>
      <c r="G340" s="7">
        <v>44921</v>
      </c>
      <c r="H340" s="32" t="s">
        <v>3790</v>
      </c>
      <c r="I340" s="48" t="s">
        <v>7705</v>
      </c>
      <c r="J340" s="48">
        <v>0</v>
      </c>
      <c r="K340" s="48">
        <v>0</v>
      </c>
      <c r="L340" s="7" t="s">
        <v>3790</v>
      </c>
      <c r="M340" s="7">
        <v>45069</v>
      </c>
      <c r="N340" s="7">
        <v>44869</v>
      </c>
      <c r="O340" s="7">
        <v>44928</v>
      </c>
      <c r="P340" s="48">
        <v>70</v>
      </c>
      <c r="Q340" s="48">
        <v>7</v>
      </c>
      <c r="R340" s="48">
        <v>14</v>
      </c>
      <c r="S340" s="48">
        <v>1750</v>
      </c>
      <c r="T340" s="5" t="s">
        <v>5550</v>
      </c>
      <c r="V340" s="32" t="s">
        <v>3790</v>
      </c>
    </row>
    <row r="341" spans="1:22">
      <c r="A341" s="5" t="s">
        <v>3792</v>
      </c>
      <c r="B341" s="32" t="s">
        <v>1419</v>
      </c>
      <c r="C341" s="32" t="s">
        <v>1420</v>
      </c>
      <c r="D341" s="5" t="s">
        <v>3841</v>
      </c>
      <c r="E341" s="48">
        <v>2187</v>
      </c>
      <c r="F341" s="32" t="s">
        <v>3790</v>
      </c>
      <c r="G341" s="7">
        <v>44816</v>
      </c>
      <c r="H341" s="32" t="s">
        <v>3658</v>
      </c>
      <c r="I341" s="48" t="s">
        <v>5275</v>
      </c>
      <c r="J341" s="48">
        <v>2187</v>
      </c>
      <c r="K341" s="48">
        <v>0</v>
      </c>
      <c r="L341" s="7" t="s">
        <v>3790</v>
      </c>
      <c r="M341" s="7">
        <v>44941</v>
      </c>
      <c r="N341" s="7">
        <v>44750</v>
      </c>
      <c r="O341" s="7" t="s">
        <v>3790</v>
      </c>
      <c r="P341" s="48">
        <v>70</v>
      </c>
      <c r="Q341" s="48">
        <v>7</v>
      </c>
      <c r="R341" s="48">
        <v>14</v>
      </c>
      <c r="S341" s="48">
        <v>2800</v>
      </c>
      <c r="T341" s="5" t="s">
        <v>5548</v>
      </c>
      <c r="V341" s="32" t="s">
        <v>3790</v>
      </c>
    </row>
    <row r="342" spans="1:22">
      <c r="A342" s="5" t="s">
        <v>3792</v>
      </c>
      <c r="B342" s="32" t="s">
        <v>1421</v>
      </c>
      <c r="C342" s="32" t="s">
        <v>1420</v>
      </c>
      <c r="D342" s="5" t="s">
        <v>3841</v>
      </c>
      <c r="E342" s="48">
        <v>788</v>
      </c>
      <c r="F342" s="32" t="s">
        <v>3790</v>
      </c>
      <c r="G342" s="7">
        <v>44816</v>
      </c>
      <c r="H342" s="32" t="s">
        <v>3658</v>
      </c>
      <c r="I342" s="48" t="s">
        <v>5277</v>
      </c>
      <c r="J342" s="48">
        <v>697</v>
      </c>
      <c r="K342" s="48">
        <v>0</v>
      </c>
      <c r="L342" s="7" t="s">
        <v>3790</v>
      </c>
      <c r="M342" s="7">
        <v>44941</v>
      </c>
      <c r="N342" s="7">
        <v>44750</v>
      </c>
      <c r="O342" s="7" t="s">
        <v>3790</v>
      </c>
      <c r="P342" s="48">
        <v>70</v>
      </c>
      <c r="Q342" s="48">
        <v>7</v>
      </c>
      <c r="R342" s="48">
        <v>14</v>
      </c>
      <c r="S342" s="48">
        <v>700</v>
      </c>
      <c r="T342" s="5" t="s">
        <v>5548</v>
      </c>
      <c r="V342" s="32" t="s">
        <v>3790</v>
      </c>
    </row>
    <row r="343" spans="1:22">
      <c r="A343" s="5" t="s">
        <v>3792</v>
      </c>
      <c r="B343" s="32" t="s">
        <v>1426</v>
      </c>
      <c r="C343" s="32" t="s">
        <v>1424</v>
      </c>
      <c r="D343" s="5" t="s">
        <v>5510</v>
      </c>
      <c r="E343" s="48">
        <v>0</v>
      </c>
      <c r="F343" s="32" t="s">
        <v>3790</v>
      </c>
      <c r="G343" s="7">
        <v>44977</v>
      </c>
      <c r="H343" s="32" t="s">
        <v>3790</v>
      </c>
      <c r="I343" s="48" t="s">
        <v>3527</v>
      </c>
      <c r="J343" s="48">
        <v>0</v>
      </c>
      <c r="K343" s="48">
        <v>0</v>
      </c>
      <c r="L343" s="7" t="s">
        <v>3790</v>
      </c>
      <c r="M343" s="7">
        <v>45111</v>
      </c>
      <c r="N343" s="7">
        <v>44838</v>
      </c>
      <c r="O343" s="7">
        <v>44984</v>
      </c>
      <c r="P343" s="48">
        <v>70</v>
      </c>
      <c r="Q343" s="48">
        <v>7</v>
      </c>
      <c r="R343" s="48">
        <v>14</v>
      </c>
      <c r="S343" s="48">
        <v>2000</v>
      </c>
      <c r="T343" s="5" t="s">
        <v>5549</v>
      </c>
      <c r="V343" s="32" t="s">
        <v>3790</v>
      </c>
    </row>
    <row r="344" spans="1:22">
      <c r="A344" s="5" t="s">
        <v>3792</v>
      </c>
      <c r="B344" s="32" t="s">
        <v>1427</v>
      </c>
      <c r="C344" s="32" t="s">
        <v>1424</v>
      </c>
      <c r="D344" s="5" t="s">
        <v>5510</v>
      </c>
      <c r="E344" s="48">
        <v>0</v>
      </c>
      <c r="F344" s="32" t="s">
        <v>3790</v>
      </c>
      <c r="G344" s="7">
        <v>44977</v>
      </c>
      <c r="H344" s="32" t="s">
        <v>3790</v>
      </c>
      <c r="I344" s="48" t="s">
        <v>3527</v>
      </c>
      <c r="J344" s="48">
        <v>0</v>
      </c>
      <c r="K344" s="48">
        <v>0</v>
      </c>
      <c r="L344" s="7" t="s">
        <v>3790</v>
      </c>
      <c r="M344" s="7">
        <v>45111</v>
      </c>
      <c r="N344" s="7">
        <v>44838</v>
      </c>
      <c r="O344" s="7">
        <v>44984</v>
      </c>
      <c r="P344" s="48">
        <v>70</v>
      </c>
      <c r="Q344" s="48">
        <v>7</v>
      </c>
      <c r="R344" s="48">
        <v>14</v>
      </c>
      <c r="S344" s="48">
        <v>1500</v>
      </c>
      <c r="T344" s="5" t="s">
        <v>5549</v>
      </c>
      <c r="V344" s="32" t="s">
        <v>3790</v>
      </c>
    </row>
    <row r="345" spans="1:22">
      <c r="A345" s="5" t="s">
        <v>3792</v>
      </c>
      <c r="B345" s="32" t="s">
        <v>1454</v>
      </c>
      <c r="C345" s="32" t="s">
        <v>1455</v>
      </c>
      <c r="D345" s="5" t="s">
        <v>7700</v>
      </c>
      <c r="E345" s="48">
        <v>0</v>
      </c>
      <c r="F345" s="32" t="s">
        <v>3790</v>
      </c>
      <c r="G345" s="7">
        <v>44956</v>
      </c>
      <c r="H345" s="32" t="s">
        <v>3790</v>
      </c>
      <c r="I345" s="48" t="s">
        <v>3527</v>
      </c>
      <c r="J345" s="48">
        <v>0</v>
      </c>
      <c r="K345" s="48">
        <v>0</v>
      </c>
      <c r="L345" s="7" t="s">
        <v>3790</v>
      </c>
      <c r="M345" s="7">
        <v>45076</v>
      </c>
      <c r="N345" s="7">
        <v>44924</v>
      </c>
      <c r="O345" s="7">
        <v>44963</v>
      </c>
      <c r="P345" s="48">
        <v>70</v>
      </c>
      <c r="Q345" s="48">
        <v>7</v>
      </c>
      <c r="R345" s="48">
        <v>14</v>
      </c>
      <c r="S345" s="48">
        <v>2500</v>
      </c>
      <c r="T345" s="5" t="s">
        <v>5549</v>
      </c>
      <c r="V345" s="32" t="s">
        <v>3790</v>
      </c>
    </row>
    <row r="346" spans="1:22">
      <c r="A346" s="5" t="s">
        <v>3792</v>
      </c>
      <c r="B346" s="32" t="s">
        <v>1456</v>
      </c>
      <c r="C346" s="32" t="s">
        <v>1455</v>
      </c>
      <c r="D346" s="5" t="s">
        <v>3834</v>
      </c>
      <c r="E346" s="48">
        <v>2071</v>
      </c>
      <c r="F346" s="32" t="s">
        <v>3790</v>
      </c>
      <c r="G346" s="7">
        <v>44879</v>
      </c>
      <c r="H346" s="32" t="s">
        <v>3658</v>
      </c>
      <c r="I346" s="48" t="s">
        <v>7710</v>
      </c>
      <c r="J346" s="48">
        <v>1992</v>
      </c>
      <c r="K346" s="48">
        <v>0</v>
      </c>
      <c r="L346" s="7" t="s">
        <v>3790</v>
      </c>
      <c r="M346" s="7">
        <v>45014</v>
      </c>
      <c r="N346" s="7">
        <v>44812</v>
      </c>
      <c r="O346" s="7" t="s">
        <v>3790</v>
      </c>
      <c r="P346" s="48">
        <v>70</v>
      </c>
      <c r="Q346" s="48">
        <v>7</v>
      </c>
      <c r="R346" s="48">
        <v>14</v>
      </c>
      <c r="S346" s="48">
        <v>2571</v>
      </c>
      <c r="T346" s="5" t="s">
        <v>5548</v>
      </c>
      <c r="V346" s="32" t="s">
        <v>3790</v>
      </c>
    </row>
    <row r="347" spans="1:22">
      <c r="A347" s="5" t="s">
        <v>3792</v>
      </c>
      <c r="B347" s="32" t="s">
        <v>1456</v>
      </c>
      <c r="C347" s="32" t="s">
        <v>1455</v>
      </c>
      <c r="D347" s="5" t="s">
        <v>7700</v>
      </c>
      <c r="E347" s="48">
        <v>0</v>
      </c>
      <c r="F347" s="32" t="s">
        <v>3790</v>
      </c>
      <c r="G347" s="7">
        <v>44956</v>
      </c>
      <c r="H347" s="32" t="s">
        <v>3790</v>
      </c>
      <c r="I347" s="48" t="s">
        <v>3527</v>
      </c>
      <c r="J347" s="48">
        <v>0</v>
      </c>
      <c r="K347" s="48">
        <v>0</v>
      </c>
      <c r="L347" s="7" t="s">
        <v>3790</v>
      </c>
      <c r="M347" s="7">
        <v>45076</v>
      </c>
      <c r="N347" s="7">
        <v>44924</v>
      </c>
      <c r="O347" s="7">
        <v>44963</v>
      </c>
      <c r="P347" s="48">
        <v>70</v>
      </c>
      <c r="Q347" s="48">
        <v>7</v>
      </c>
      <c r="R347" s="48">
        <v>14</v>
      </c>
      <c r="S347" s="48">
        <v>1000</v>
      </c>
      <c r="T347" s="5" t="s">
        <v>5549</v>
      </c>
      <c r="V347" s="32" t="s">
        <v>3790</v>
      </c>
    </row>
    <row r="348" spans="1:22">
      <c r="A348" s="5" t="s">
        <v>3792</v>
      </c>
      <c r="B348" s="32" t="s">
        <v>1477</v>
      </c>
      <c r="C348" s="32" t="s">
        <v>1478</v>
      </c>
      <c r="D348" s="5" t="s">
        <v>3841</v>
      </c>
      <c r="E348" s="48">
        <v>542</v>
      </c>
      <c r="F348" s="32" t="s">
        <v>3790</v>
      </c>
      <c r="G348" s="7">
        <v>44816</v>
      </c>
      <c r="H348" s="32" t="s">
        <v>3658</v>
      </c>
      <c r="I348" s="48" t="s">
        <v>5279</v>
      </c>
      <c r="J348" s="48">
        <v>429</v>
      </c>
      <c r="K348" s="48">
        <v>0</v>
      </c>
      <c r="L348" s="7" t="s">
        <v>3790</v>
      </c>
      <c r="M348" s="7">
        <v>44941</v>
      </c>
      <c r="N348" s="7">
        <v>44750</v>
      </c>
      <c r="O348" s="7" t="s">
        <v>3790</v>
      </c>
      <c r="P348" s="48">
        <v>70</v>
      </c>
      <c r="Q348" s="48">
        <v>7</v>
      </c>
      <c r="R348" s="48">
        <v>14</v>
      </c>
      <c r="S348" s="48">
        <v>1000</v>
      </c>
      <c r="T348" s="5" t="s">
        <v>5548</v>
      </c>
      <c r="V348" s="32" t="s">
        <v>3790</v>
      </c>
    </row>
    <row r="349" spans="1:22">
      <c r="A349" s="5" t="s">
        <v>3792</v>
      </c>
      <c r="B349" s="32" t="s">
        <v>1479</v>
      </c>
      <c r="C349" s="32" t="s">
        <v>1478</v>
      </c>
      <c r="D349" s="5" t="s">
        <v>3841</v>
      </c>
      <c r="E349" s="48">
        <v>1083</v>
      </c>
      <c r="F349" s="32" t="s">
        <v>3790</v>
      </c>
      <c r="G349" s="7">
        <v>44816</v>
      </c>
      <c r="H349" s="32" t="s">
        <v>3658</v>
      </c>
      <c r="I349" s="48" t="s">
        <v>5280</v>
      </c>
      <c r="J349" s="48">
        <v>959</v>
      </c>
      <c r="K349" s="48">
        <v>0</v>
      </c>
      <c r="L349" s="7" t="s">
        <v>3790</v>
      </c>
      <c r="M349" s="7">
        <v>44941</v>
      </c>
      <c r="N349" s="7">
        <v>44750</v>
      </c>
      <c r="O349" s="7" t="s">
        <v>3790</v>
      </c>
      <c r="P349" s="48">
        <v>70</v>
      </c>
      <c r="Q349" s="48">
        <v>7</v>
      </c>
      <c r="R349" s="48">
        <v>14</v>
      </c>
      <c r="S349" s="48">
        <v>2500</v>
      </c>
      <c r="T349" s="5" t="s">
        <v>5548</v>
      </c>
      <c r="V349" s="32" t="s">
        <v>3790</v>
      </c>
    </row>
    <row r="350" spans="1:22">
      <c r="A350" s="5" t="s">
        <v>3792</v>
      </c>
      <c r="B350" s="32" t="s">
        <v>1493</v>
      </c>
      <c r="C350" s="32" t="s">
        <v>1492</v>
      </c>
      <c r="D350" s="5" t="s">
        <v>5274</v>
      </c>
      <c r="E350" s="48">
        <v>2412</v>
      </c>
      <c r="F350" s="32" t="s">
        <v>3790</v>
      </c>
      <c r="G350" s="7">
        <v>44872</v>
      </c>
      <c r="H350" s="32" t="s">
        <v>3658</v>
      </c>
      <c r="I350" s="48" t="s">
        <v>6154</v>
      </c>
      <c r="J350" s="48">
        <v>2412</v>
      </c>
      <c r="K350" s="48">
        <v>0</v>
      </c>
      <c r="L350" s="7" t="s">
        <v>3790</v>
      </c>
      <c r="M350" s="7">
        <v>45014</v>
      </c>
      <c r="N350" s="7">
        <v>44830</v>
      </c>
      <c r="O350" s="7" t="s">
        <v>3790</v>
      </c>
      <c r="P350" s="48">
        <v>70</v>
      </c>
      <c r="Q350" s="48">
        <v>7</v>
      </c>
      <c r="R350" s="48">
        <v>14</v>
      </c>
      <c r="S350" s="48">
        <v>3500</v>
      </c>
      <c r="T350" s="5" t="s">
        <v>5548</v>
      </c>
      <c r="V350" s="32" t="s">
        <v>3790</v>
      </c>
    </row>
    <row r="351" spans="1:22">
      <c r="A351" s="5" t="s">
        <v>3792</v>
      </c>
      <c r="B351" s="32" t="s">
        <v>1500</v>
      </c>
      <c r="C351" s="32" t="s">
        <v>1498</v>
      </c>
      <c r="D351" s="5" t="s">
        <v>3848</v>
      </c>
      <c r="E351" s="48">
        <v>3660</v>
      </c>
      <c r="F351" s="32" t="s">
        <v>3790</v>
      </c>
      <c r="G351" s="7">
        <v>44816</v>
      </c>
      <c r="H351" s="32" t="s">
        <v>3658</v>
      </c>
      <c r="I351" s="48" t="s">
        <v>5282</v>
      </c>
      <c r="J351" s="48">
        <v>3471</v>
      </c>
      <c r="K351" s="48">
        <v>0</v>
      </c>
      <c r="L351" s="7" t="s">
        <v>3790</v>
      </c>
      <c r="M351" s="7">
        <v>44948</v>
      </c>
      <c r="N351" s="7">
        <v>44410</v>
      </c>
      <c r="O351" s="7" t="s">
        <v>3790</v>
      </c>
      <c r="P351" s="48">
        <v>70</v>
      </c>
      <c r="Q351" s="48">
        <v>7</v>
      </c>
      <c r="R351" s="48">
        <v>14</v>
      </c>
      <c r="S351" s="48">
        <v>3500</v>
      </c>
      <c r="T351" s="5" t="s">
        <v>5548</v>
      </c>
      <c r="V351" s="32" t="s">
        <v>3790</v>
      </c>
    </row>
    <row r="352" spans="1:22">
      <c r="A352" s="5" t="s">
        <v>3792</v>
      </c>
      <c r="B352" s="32" t="s">
        <v>1538</v>
      </c>
      <c r="C352" s="32" t="s">
        <v>1535</v>
      </c>
      <c r="D352" s="5" t="s">
        <v>3844</v>
      </c>
      <c r="E352" s="48">
        <v>505</v>
      </c>
      <c r="F352" s="32" t="s">
        <v>3790</v>
      </c>
      <c r="G352" s="7">
        <v>44774</v>
      </c>
      <c r="H352" s="32" t="s">
        <v>3658</v>
      </c>
      <c r="I352" s="48" t="s">
        <v>3852</v>
      </c>
      <c r="J352" s="48">
        <v>-73</v>
      </c>
      <c r="K352" s="48">
        <v>0</v>
      </c>
      <c r="L352" s="7" t="s">
        <v>3790</v>
      </c>
      <c r="M352" s="7">
        <v>44897</v>
      </c>
      <c r="N352" s="7">
        <v>44693</v>
      </c>
      <c r="O352" s="7" t="s">
        <v>3790</v>
      </c>
      <c r="P352" s="48">
        <v>70</v>
      </c>
      <c r="Q352" s="48">
        <v>7</v>
      </c>
      <c r="R352" s="48">
        <v>14</v>
      </c>
      <c r="S352" s="48">
        <v>3500</v>
      </c>
      <c r="T352" s="5" t="s">
        <v>5548</v>
      </c>
      <c r="V352" s="32" t="s">
        <v>3790</v>
      </c>
    </row>
    <row r="353" spans="1:22">
      <c r="A353" s="5" t="s">
        <v>3792</v>
      </c>
      <c r="B353" s="32" t="s">
        <v>1545</v>
      </c>
      <c r="C353" s="32" t="s">
        <v>1544</v>
      </c>
      <c r="D353" s="5" t="s">
        <v>3827</v>
      </c>
      <c r="E353" s="48">
        <v>4015</v>
      </c>
      <c r="F353" s="32" t="s">
        <v>3790</v>
      </c>
      <c r="G353" s="7">
        <v>44872</v>
      </c>
      <c r="H353" s="32" t="s">
        <v>3658</v>
      </c>
      <c r="I353" s="48" t="s">
        <v>5279</v>
      </c>
      <c r="J353" s="48">
        <v>3902</v>
      </c>
      <c r="K353" s="48">
        <v>0</v>
      </c>
      <c r="L353" s="7" t="s">
        <v>3790</v>
      </c>
      <c r="M353" s="7">
        <v>45007</v>
      </c>
      <c r="N353" s="7">
        <v>44795</v>
      </c>
      <c r="O353" s="7" t="s">
        <v>3790</v>
      </c>
      <c r="P353" s="48">
        <v>70</v>
      </c>
      <c r="Q353" s="48">
        <v>7</v>
      </c>
      <c r="R353" s="48">
        <v>14</v>
      </c>
      <c r="S353" s="48">
        <v>4000</v>
      </c>
      <c r="T353" s="5" t="s">
        <v>5548</v>
      </c>
      <c r="V353" s="32" t="s">
        <v>3790</v>
      </c>
    </row>
    <row r="354" spans="1:22">
      <c r="A354" s="5" t="s">
        <v>3792</v>
      </c>
      <c r="B354" s="32" t="s">
        <v>1547</v>
      </c>
      <c r="C354" s="32" t="s">
        <v>1544</v>
      </c>
      <c r="D354" s="5" t="s">
        <v>3827</v>
      </c>
      <c r="E354" s="48">
        <v>6323</v>
      </c>
      <c r="F354" s="32" t="s">
        <v>3790</v>
      </c>
      <c r="G354" s="7">
        <v>44872</v>
      </c>
      <c r="H354" s="32" t="s">
        <v>3658</v>
      </c>
      <c r="I354" s="48" t="s">
        <v>6156</v>
      </c>
      <c r="J354" s="48">
        <v>5868</v>
      </c>
      <c r="K354" s="48">
        <v>0</v>
      </c>
      <c r="L354" s="7" t="s">
        <v>3790</v>
      </c>
      <c r="M354" s="7">
        <v>45007</v>
      </c>
      <c r="N354" s="7">
        <v>44795</v>
      </c>
      <c r="O354" s="7" t="s">
        <v>3790</v>
      </c>
      <c r="P354" s="48">
        <v>70</v>
      </c>
      <c r="Q354" s="48">
        <v>7</v>
      </c>
      <c r="R354" s="48">
        <v>14</v>
      </c>
      <c r="S354" s="48">
        <v>6000</v>
      </c>
      <c r="T354" s="5" t="s">
        <v>5548</v>
      </c>
      <c r="V354" s="32" t="s">
        <v>3790</v>
      </c>
    </row>
    <row r="355" spans="1:22">
      <c r="A355" s="5" t="s">
        <v>3792</v>
      </c>
      <c r="B355" s="32" t="s">
        <v>1550</v>
      </c>
      <c r="C355" s="32" t="s">
        <v>1549</v>
      </c>
      <c r="D355" s="5" t="s">
        <v>3834</v>
      </c>
      <c r="E355" s="48">
        <v>1626</v>
      </c>
      <c r="F355" s="32" t="s">
        <v>3790</v>
      </c>
      <c r="G355" s="7">
        <v>44886</v>
      </c>
      <c r="H355" s="32" t="s">
        <v>3658</v>
      </c>
      <c r="I355" s="48" t="s">
        <v>6352</v>
      </c>
      <c r="J355" s="48">
        <v>1626</v>
      </c>
      <c r="K355" s="48">
        <v>0</v>
      </c>
      <c r="L355" s="7" t="s">
        <v>3790</v>
      </c>
      <c r="M355" s="7">
        <v>45016</v>
      </c>
      <c r="N355" s="7">
        <v>44812</v>
      </c>
      <c r="O355" s="7" t="s">
        <v>3790</v>
      </c>
      <c r="P355" s="48">
        <v>70</v>
      </c>
      <c r="Q355" s="48">
        <v>7</v>
      </c>
      <c r="R355" s="48">
        <v>14</v>
      </c>
      <c r="S355" s="48">
        <v>4000</v>
      </c>
      <c r="T355" s="5" t="s">
        <v>5548</v>
      </c>
      <c r="V355" s="32" t="s">
        <v>3790</v>
      </c>
    </row>
    <row r="356" spans="1:22">
      <c r="A356" s="5" t="s">
        <v>3792</v>
      </c>
      <c r="B356" s="32" t="s">
        <v>1551</v>
      </c>
      <c r="C356" s="32" t="s">
        <v>1549</v>
      </c>
      <c r="D356" s="5" t="s">
        <v>3834</v>
      </c>
      <c r="E356" s="48">
        <v>1981</v>
      </c>
      <c r="F356" s="32" t="s">
        <v>3790</v>
      </c>
      <c r="G356" s="7">
        <v>44886</v>
      </c>
      <c r="H356" s="32" t="s">
        <v>3658</v>
      </c>
      <c r="I356" s="48" t="s">
        <v>6318</v>
      </c>
      <c r="J356" s="48">
        <v>1958</v>
      </c>
      <c r="K356" s="48">
        <v>0</v>
      </c>
      <c r="L356" s="7" t="s">
        <v>3790</v>
      </c>
      <c r="M356" s="7">
        <v>45016</v>
      </c>
      <c r="N356" s="7">
        <v>44812</v>
      </c>
      <c r="O356" s="7" t="s">
        <v>3790</v>
      </c>
      <c r="P356" s="48">
        <v>70</v>
      </c>
      <c r="Q356" s="48">
        <v>7</v>
      </c>
      <c r="R356" s="48">
        <v>14</v>
      </c>
      <c r="S356" s="48">
        <v>2000</v>
      </c>
      <c r="T356" s="5" t="s">
        <v>5548</v>
      </c>
      <c r="V356" s="32" t="s">
        <v>3790</v>
      </c>
    </row>
    <row r="357" spans="1:22">
      <c r="A357" s="5" t="s">
        <v>3792</v>
      </c>
      <c r="B357" s="32" t="s">
        <v>1557</v>
      </c>
      <c r="C357" s="32" t="s">
        <v>1556</v>
      </c>
      <c r="D357" s="5" t="s">
        <v>3845</v>
      </c>
      <c r="E357" s="48">
        <v>3441</v>
      </c>
      <c r="F357" s="32" t="s">
        <v>3790</v>
      </c>
      <c r="G357" s="7">
        <v>44823</v>
      </c>
      <c r="H357" s="32" t="s">
        <v>3658</v>
      </c>
      <c r="I357" s="48" t="s">
        <v>5283</v>
      </c>
      <c r="J357" s="48">
        <v>3417</v>
      </c>
      <c r="K357" s="48">
        <v>0</v>
      </c>
      <c r="L357" s="7" t="s">
        <v>3790</v>
      </c>
      <c r="M357" s="7">
        <v>44952</v>
      </c>
      <c r="N357" s="7">
        <v>44747</v>
      </c>
      <c r="O357" s="7" t="s">
        <v>3790</v>
      </c>
      <c r="P357" s="48">
        <v>70</v>
      </c>
      <c r="Q357" s="48">
        <v>7</v>
      </c>
      <c r="R357" s="48">
        <v>14</v>
      </c>
      <c r="S357" s="48">
        <v>5500</v>
      </c>
      <c r="T357" s="5" t="s">
        <v>5548</v>
      </c>
      <c r="V357" s="32" t="s">
        <v>3790</v>
      </c>
    </row>
    <row r="358" spans="1:22">
      <c r="A358" s="5" t="s">
        <v>3792</v>
      </c>
      <c r="B358" s="32" t="s">
        <v>1557</v>
      </c>
      <c r="C358" s="32" t="s">
        <v>1556</v>
      </c>
      <c r="D358" s="5" t="s">
        <v>5896</v>
      </c>
      <c r="E358" s="48">
        <v>0</v>
      </c>
      <c r="F358" s="32" t="s">
        <v>3790</v>
      </c>
      <c r="G358" s="7">
        <v>44935</v>
      </c>
      <c r="H358" s="32" t="s">
        <v>3790</v>
      </c>
      <c r="I358" s="48" t="s">
        <v>3527</v>
      </c>
      <c r="J358" s="48">
        <v>0</v>
      </c>
      <c r="K358" s="48">
        <v>0</v>
      </c>
      <c r="L358" s="7" t="s">
        <v>3790</v>
      </c>
      <c r="M358" s="7">
        <v>45085</v>
      </c>
      <c r="N358" s="7">
        <v>44858</v>
      </c>
      <c r="O358" s="7">
        <v>44942</v>
      </c>
      <c r="P358" s="48">
        <v>70</v>
      </c>
      <c r="Q358" s="48">
        <v>7</v>
      </c>
      <c r="R358" s="48">
        <v>14</v>
      </c>
      <c r="S358" s="48">
        <v>3500</v>
      </c>
      <c r="T358" s="5" t="s">
        <v>5549</v>
      </c>
      <c r="V358" s="32" t="s">
        <v>3790</v>
      </c>
    </row>
    <row r="359" spans="1:22">
      <c r="A359" s="5" t="s">
        <v>3792</v>
      </c>
      <c r="B359" s="32" t="s">
        <v>1560</v>
      </c>
      <c r="C359" s="32" t="s">
        <v>1556</v>
      </c>
      <c r="D359" s="5" t="s">
        <v>5896</v>
      </c>
      <c r="E359" s="48">
        <v>0</v>
      </c>
      <c r="F359" s="32" t="s">
        <v>3790</v>
      </c>
      <c r="G359" s="7">
        <v>44935</v>
      </c>
      <c r="H359" s="32" t="s">
        <v>3790</v>
      </c>
      <c r="I359" s="48" t="s">
        <v>3527</v>
      </c>
      <c r="J359" s="48">
        <v>0</v>
      </c>
      <c r="K359" s="48">
        <v>0</v>
      </c>
      <c r="L359" s="7" t="s">
        <v>3790</v>
      </c>
      <c r="M359" s="7">
        <v>45085</v>
      </c>
      <c r="N359" s="7">
        <v>44858</v>
      </c>
      <c r="O359" s="7">
        <v>44942</v>
      </c>
      <c r="P359" s="48">
        <v>70</v>
      </c>
      <c r="Q359" s="48">
        <v>7</v>
      </c>
      <c r="R359" s="48">
        <v>14</v>
      </c>
      <c r="S359" s="48">
        <v>2500</v>
      </c>
      <c r="T359" s="5" t="s">
        <v>5549</v>
      </c>
      <c r="V359" s="32" t="s">
        <v>3790</v>
      </c>
    </row>
    <row r="360" spans="1:22">
      <c r="A360" s="5" t="s">
        <v>3792</v>
      </c>
      <c r="B360" s="32" t="s">
        <v>1576</v>
      </c>
      <c r="C360" s="32" t="s">
        <v>1575</v>
      </c>
      <c r="D360" s="5" t="s">
        <v>5991</v>
      </c>
      <c r="E360" s="48">
        <v>0</v>
      </c>
      <c r="F360" s="32" t="s">
        <v>3790</v>
      </c>
      <c r="G360" s="7">
        <v>44942</v>
      </c>
      <c r="H360" s="32" t="s">
        <v>3790</v>
      </c>
      <c r="I360" s="48" t="s">
        <v>3527</v>
      </c>
      <c r="J360" s="48">
        <v>0</v>
      </c>
      <c r="K360" s="48">
        <v>0</v>
      </c>
      <c r="L360" s="7" t="s">
        <v>3790</v>
      </c>
      <c r="M360" s="7">
        <v>45083</v>
      </c>
      <c r="N360" s="7">
        <v>44869</v>
      </c>
      <c r="O360" s="7">
        <v>44949</v>
      </c>
      <c r="P360" s="48">
        <v>70</v>
      </c>
      <c r="Q360" s="48">
        <v>7</v>
      </c>
      <c r="R360" s="48">
        <v>14</v>
      </c>
      <c r="S360" s="48">
        <v>2300</v>
      </c>
      <c r="T360" s="5" t="s">
        <v>5549</v>
      </c>
      <c r="V360" s="32" t="s">
        <v>3790</v>
      </c>
    </row>
    <row r="361" spans="1:22">
      <c r="A361" s="5" t="s">
        <v>3792</v>
      </c>
      <c r="B361" s="32" t="s">
        <v>1577</v>
      </c>
      <c r="C361" s="32" t="s">
        <v>1575</v>
      </c>
      <c r="D361" s="5" t="s">
        <v>5991</v>
      </c>
      <c r="E361" s="48">
        <v>0</v>
      </c>
      <c r="F361" s="32" t="s">
        <v>3790</v>
      </c>
      <c r="G361" s="7">
        <v>44942</v>
      </c>
      <c r="H361" s="32" t="s">
        <v>3790</v>
      </c>
      <c r="I361" s="48" t="s">
        <v>3527</v>
      </c>
      <c r="J361" s="48">
        <v>0</v>
      </c>
      <c r="K361" s="48">
        <v>0</v>
      </c>
      <c r="L361" s="7" t="s">
        <v>3790</v>
      </c>
      <c r="M361" s="7">
        <v>45083</v>
      </c>
      <c r="N361" s="7">
        <v>44869</v>
      </c>
      <c r="O361" s="7">
        <v>44949</v>
      </c>
      <c r="P361" s="48">
        <v>70</v>
      </c>
      <c r="Q361" s="48">
        <v>7</v>
      </c>
      <c r="R361" s="48">
        <v>14</v>
      </c>
      <c r="S361" s="48">
        <v>1200</v>
      </c>
      <c r="T361" s="5" t="s">
        <v>5549</v>
      </c>
      <c r="V361" s="32" t="s">
        <v>3790</v>
      </c>
    </row>
    <row r="362" spans="1:22">
      <c r="A362" s="5" t="s">
        <v>3792</v>
      </c>
      <c r="B362" s="32" t="s">
        <v>2259</v>
      </c>
      <c r="C362" s="32" t="s">
        <v>104</v>
      </c>
      <c r="D362" s="5" t="s">
        <v>5284</v>
      </c>
      <c r="E362" s="48">
        <v>4545</v>
      </c>
      <c r="F362" s="32" t="s">
        <v>3790</v>
      </c>
      <c r="G362" s="7">
        <v>44865</v>
      </c>
      <c r="H362" s="32" t="s">
        <v>3658</v>
      </c>
      <c r="I362" s="48" t="s">
        <v>6027</v>
      </c>
      <c r="J362" s="48">
        <v>4475</v>
      </c>
      <c r="K362" s="48">
        <v>0</v>
      </c>
      <c r="L362" s="7" t="s">
        <v>3790</v>
      </c>
      <c r="M362" s="7">
        <v>44992</v>
      </c>
      <c r="N362" s="7">
        <v>44825</v>
      </c>
      <c r="O362" s="7" t="s">
        <v>3790</v>
      </c>
      <c r="P362" s="48">
        <v>70</v>
      </c>
      <c r="Q362" s="48">
        <v>7</v>
      </c>
      <c r="R362" s="48">
        <v>14</v>
      </c>
      <c r="S362" s="48">
        <v>4500</v>
      </c>
      <c r="T362" s="5" t="s">
        <v>5548</v>
      </c>
      <c r="V362" s="32" t="s">
        <v>3790</v>
      </c>
    </row>
    <row r="363" spans="1:22">
      <c r="A363" s="5" t="s">
        <v>3792</v>
      </c>
      <c r="B363" s="32" t="s">
        <v>2260</v>
      </c>
      <c r="C363" s="32" t="s">
        <v>104</v>
      </c>
      <c r="D363" s="5" t="s">
        <v>5284</v>
      </c>
      <c r="E363" s="48">
        <v>1298</v>
      </c>
      <c r="F363" s="32" t="s">
        <v>3790</v>
      </c>
      <c r="G363" s="7">
        <v>44865</v>
      </c>
      <c r="H363" s="32" t="s">
        <v>3658</v>
      </c>
      <c r="I363" s="48" t="s">
        <v>6029</v>
      </c>
      <c r="J363" s="48">
        <v>1298</v>
      </c>
      <c r="K363" s="48">
        <v>0</v>
      </c>
      <c r="L363" s="7" t="s">
        <v>3790</v>
      </c>
      <c r="M363" s="7">
        <v>44992</v>
      </c>
      <c r="N363" s="7">
        <v>44825</v>
      </c>
      <c r="O363" s="7" t="s">
        <v>3790</v>
      </c>
      <c r="P363" s="48">
        <v>70</v>
      </c>
      <c r="Q363" s="48">
        <v>7</v>
      </c>
      <c r="R363" s="48">
        <v>14</v>
      </c>
      <c r="S363" s="48">
        <v>1500</v>
      </c>
      <c r="T363" s="5" t="s">
        <v>5548</v>
      </c>
      <c r="V363" s="32" t="s">
        <v>3790</v>
      </c>
    </row>
    <row r="364" spans="1:22">
      <c r="A364" s="5" t="s">
        <v>3792</v>
      </c>
      <c r="B364" s="32" t="s">
        <v>2489</v>
      </c>
      <c r="C364" s="32" t="s">
        <v>1481</v>
      </c>
      <c r="D364" s="5" t="s">
        <v>7524</v>
      </c>
      <c r="E364" s="48">
        <v>0</v>
      </c>
      <c r="F364" s="32" t="s">
        <v>3790</v>
      </c>
      <c r="G364" s="7">
        <v>44942</v>
      </c>
      <c r="H364" s="32" t="s">
        <v>3790</v>
      </c>
      <c r="I364" s="48" t="s">
        <v>3527</v>
      </c>
      <c r="J364" s="48">
        <v>0</v>
      </c>
      <c r="K364" s="48">
        <v>0</v>
      </c>
      <c r="L364" s="7" t="s">
        <v>3790</v>
      </c>
      <c r="M364" s="7">
        <v>45078</v>
      </c>
      <c r="N364" s="7">
        <v>44908</v>
      </c>
      <c r="O364" s="7">
        <v>44949</v>
      </c>
      <c r="P364" s="48">
        <v>70</v>
      </c>
      <c r="Q364" s="48">
        <v>7</v>
      </c>
      <c r="R364" s="48">
        <v>14</v>
      </c>
      <c r="S364" s="48">
        <v>500</v>
      </c>
      <c r="T364" s="5" t="s">
        <v>5549</v>
      </c>
      <c r="V364" s="32" t="s">
        <v>3790</v>
      </c>
    </row>
    <row r="365" spans="1:22">
      <c r="A365" s="5" t="s">
        <v>3792</v>
      </c>
      <c r="B365" s="32" t="s">
        <v>2491</v>
      </c>
      <c r="C365" s="32" t="s">
        <v>1481</v>
      </c>
      <c r="D365" s="5" t="s">
        <v>7524</v>
      </c>
      <c r="E365" s="48">
        <v>0</v>
      </c>
      <c r="F365" s="32" t="s">
        <v>3790</v>
      </c>
      <c r="G365" s="7">
        <v>44942</v>
      </c>
      <c r="H365" s="32" t="s">
        <v>3790</v>
      </c>
      <c r="I365" s="48" t="s">
        <v>3527</v>
      </c>
      <c r="J365" s="48">
        <v>0</v>
      </c>
      <c r="K365" s="48">
        <v>0</v>
      </c>
      <c r="L365" s="7" t="s">
        <v>3790</v>
      </c>
      <c r="M365" s="7">
        <v>45078</v>
      </c>
      <c r="N365" s="7">
        <v>44908</v>
      </c>
      <c r="O365" s="7">
        <v>44949</v>
      </c>
      <c r="P365" s="48">
        <v>70</v>
      </c>
      <c r="Q365" s="48">
        <v>7</v>
      </c>
      <c r="R365" s="48">
        <v>14</v>
      </c>
      <c r="S365" s="48">
        <v>3000</v>
      </c>
      <c r="T365" s="5" t="s">
        <v>5549</v>
      </c>
      <c r="V365" s="32" t="s">
        <v>3790</v>
      </c>
    </row>
    <row r="366" spans="1:22">
      <c r="A366" s="5" t="s">
        <v>3792</v>
      </c>
      <c r="B366" s="32" t="s">
        <v>2499</v>
      </c>
      <c r="C366" s="32" t="s">
        <v>2500</v>
      </c>
      <c r="D366" s="5" t="s">
        <v>3841</v>
      </c>
      <c r="E366" s="48">
        <v>0</v>
      </c>
      <c r="F366" s="32" t="s">
        <v>3790</v>
      </c>
      <c r="G366" s="7">
        <v>44970</v>
      </c>
      <c r="H366" s="32" t="s">
        <v>3790</v>
      </c>
      <c r="I366" s="48" t="s">
        <v>3527</v>
      </c>
      <c r="J366" s="48">
        <v>0</v>
      </c>
      <c r="K366" s="48">
        <v>0</v>
      </c>
      <c r="L366" s="7" t="s">
        <v>3790</v>
      </c>
      <c r="M366" s="7">
        <v>45106</v>
      </c>
      <c r="N366" s="7">
        <v>44750</v>
      </c>
      <c r="O366" s="7">
        <v>44977</v>
      </c>
      <c r="P366" s="48">
        <v>70</v>
      </c>
      <c r="Q366" s="48">
        <v>7</v>
      </c>
      <c r="R366" s="48">
        <v>14</v>
      </c>
      <c r="S366" s="48">
        <v>1500</v>
      </c>
      <c r="T366" s="5" t="s">
        <v>5549</v>
      </c>
      <c r="V366" s="32" t="s">
        <v>3790</v>
      </c>
    </row>
    <row r="367" spans="1:22">
      <c r="A367" s="5" t="s">
        <v>3792</v>
      </c>
      <c r="B367" s="32" t="s">
        <v>2502</v>
      </c>
      <c r="C367" s="32" t="s">
        <v>2500</v>
      </c>
      <c r="D367" s="5" t="s">
        <v>3841</v>
      </c>
      <c r="E367" s="48">
        <v>0</v>
      </c>
      <c r="F367" s="32" t="s">
        <v>3790</v>
      </c>
      <c r="G367" s="7">
        <v>44970</v>
      </c>
      <c r="H367" s="32" t="s">
        <v>3790</v>
      </c>
      <c r="I367" s="48" t="s">
        <v>3527</v>
      </c>
      <c r="J367" s="48">
        <v>0</v>
      </c>
      <c r="K367" s="48">
        <v>0</v>
      </c>
      <c r="L367" s="7" t="s">
        <v>3790</v>
      </c>
      <c r="M367" s="7">
        <v>45106</v>
      </c>
      <c r="N367" s="7">
        <v>44750</v>
      </c>
      <c r="O367" s="7">
        <v>44977</v>
      </c>
      <c r="P367" s="48">
        <v>70</v>
      </c>
      <c r="Q367" s="48">
        <v>7</v>
      </c>
      <c r="R367" s="48">
        <v>14</v>
      </c>
      <c r="S367" s="48">
        <v>2000</v>
      </c>
      <c r="T367" s="5" t="s">
        <v>5549</v>
      </c>
      <c r="V367" s="32" t="s">
        <v>3790</v>
      </c>
    </row>
    <row r="368" spans="1:22">
      <c r="A368" s="5" t="s">
        <v>3792</v>
      </c>
      <c r="B368" s="32" t="s">
        <v>2513</v>
      </c>
      <c r="C368" s="32" t="s">
        <v>2514</v>
      </c>
      <c r="D368" s="5" t="s">
        <v>7700</v>
      </c>
      <c r="E368" s="48">
        <v>0</v>
      </c>
      <c r="F368" s="32" t="s">
        <v>3790</v>
      </c>
      <c r="G368" s="7">
        <v>44998</v>
      </c>
      <c r="H368" s="32" t="s">
        <v>3790</v>
      </c>
      <c r="I368" s="48" t="s">
        <v>3527</v>
      </c>
      <c r="J368" s="48">
        <v>0</v>
      </c>
      <c r="K368" s="48">
        <v>0</v>
      </c>
      <c r="L368" s="7" t="s">
        <v>3790</v>
      </c>
      <c r="M368" s="7">
        <v>45122</v>
      </c>
      <c r="N368" s="7">
        <v>44924</v>
      </c>
      <c r="O368" s="7">
        <v>45005</v>
      </c>
      <c r="P368" s="48">
        <v>70</v>
      </c>
      <c r="Q368" s="48">
        <v>7</v>
      </c>
      <c r="R368" s="48">
        <v>14</v>
      </c>
      <c r="S368" s="48">
        <v>2500</v>
      </c>
      <c r="T368" s="5" t="s">
        <v>5549</v>
      </c>
      <c r="V368" s="32" t="s">
        <v>3790</v>
      </c>
    </row>
    <row r="369" spans="1:22">
      <c r="A369" s="5" t="s">
        <v>3792</v>
      </c>
      <c r="B369" s="32" t="s">
        <v>2516</v>
      </c>
      <c r="C369" s="32" t="s">
        <v>2514</v>
      </c>
      <c r="D369" s="5" t="s">
        <v>7700</v>
      </c>
      <c r="E369" s="48">
        <v>0</v>
      </c>
      <c r="F369" s="32" t="s">
        <v>3790</v>
      </c>
      <c r="G369" s="7">
        <v>44998</v>
      </c>
      <c r="H369" s="32" t="s">
        <v>3790</v>
      </c>
      <c r="I369" s="48" t="s">
        <v>3527</v>
      </c>
      <c r="J369" s="48">
        <v>0</v>
      </c>
      <c r="K369" s="48">
        <v>0</v>
      </c>
      <c r="L369" s="7" t="s">
        <v>3790</v>
      </c>
      <c r="M369" s="7">
        <v>45122</v>
      </c>
      <c r="N369" s="7">
        <v>44924</v>
      </c>
      <c r="O369" s="7">
        <v>45005</v>
      </c>
      <c r="P369" s="48">
        <v>70</v>
      </c>
      <c r="Q369" s="48">
        <v>7</v>
      </c>
      <c r="R369" s="48">
        <v>14</v>
      </c>
      <c r="S369" s="48">
        <v>1000</v>
      </c>
      <c r="T369" s="5" t="s">
        <v>5549</v>
      </c>
      <c r="V369" s="32" t="s">
        <v>3790</v>
      </c>
    </row>
    <row r="370" spans="1:22">
      <c r="A370" s="5" t="s">
        <v>3792</v>
      </c>
      <c r="B370" s="32" t="s">
        <v>2545</v>
      </c>
      <c r="C370" s="32" t="s">
        <v>2546</v>
      </c>
      <c r="D370" s="5" t="s">
        <v>3810</v>
      </c>
      <c r="E370" s="48">
        <v>1441</v>
      </c>
      <c r="F370" s="32" t="s">
        <v>3790</v>
      </c>
      <c r="G370" s="7">
        <v>44837</v>
      </c>
      <c r="H370" s="32" t="s">
        <v>3658</v>
      </c>
      <c r="I370" s="48" t="s">
        <v>5531</v>
      </c>
      <c r="J370" s="48">
        <v>1422</v>
      </c>
      <c r="K370" s="48">
        <v>0</v>
      </c>
      <c r="L370" s="7" t="s">
        <v>3790</v>
      </c>
      <c r="M370" s="7">
        <v>44970</v>
      </c>
      <c r="N370" s="7">
        <v>44776</v>
      </c>
      <c r="O370" s="7" t="s">
        <v>3790</v>
      </c>
      <c r="P370" s="48">
        <v>70</v>
      </c>
      <c r="Q370" s="48">
        <v>7</v>
      </c>
      <c r="R370" s="48">
        <v>14</v>
      </c>
      <c r="S370" s="48">
        <v>1500</v>
      </c>
      <c r="T370" s="5" t="s">
        <v>5548</v>
      </c>
      <c r="V370" s="32" t="s">
        <v>3790</v>
      </c>
    </row>
    <row r="371" spans="1:22">
      <c r="A371" s="5" t="s">
        <v>3792</v>
      </c>
      <c r="B371" s="32" t="s">
        <v>2548</v>
      </c>
      <c r="C371" s="32" t="s">
        <v>2546</v>
      </c>
      <c r="D371" s="5" t="s">
        <v>3810</v>
      </c>
      <c r="E371" s="48">
        <v>1603</v>
      </c>
      <c r="F371" s="32" t="s">
        <v>3790</v>
      </c>
      <c r="G371" s="7">
        <v>44837</v>
      </c>
      <c r="H371" s="32" t="s">
        <v>3658</v>
      </c>
      <c r="I371" s="48" t="s">
        <v>5532</v>
      </c>
      <c r="J371" s="48">
        <v>1603</v>
      </c>
      <c r="K371" s="48">
        <v>0</v>
      </c>
      <c r="L371" s="7" t="s">
        <v>3790</v>
      </c>
      <c r="M371" s="7">
        <v>44970</v>
      </c>
      <c r="N371" s="7">
        <v>44776</v>
      </c>
      <c r="O371" s="7" t="s">
        <v>3790</v>
      </c>
      <c r="P371" s="48">
        <v>70</v>
      </c>
      <c r="Q371" s="48">
        <v>7</v>
      </c>
      <c r="R371" s="48">
        <v>14</v>
      </c>
      <c r="S371" s="48">
        <v>2500</v>
      </c>
      <c r="T371" s="5" t="s">
        <v>5548</v>
      </c>
      <c r="V371" s="32" t="s">
        <v>3790</v>
      </c>
    </row>
    <row r="372" spans="1:22">
      <c r="A372" s="5" t="s">
        <v>3792</v>
      </c>
      <c r="B372" s="32" t="s">
        <v>2550</v>
      </c>
      <c r="C372" s="32" t="s">
        <v>2551</v>
      </c>
      <c r="D372" s="5" t="s">
        <v>3854</v>
      </c>
      <c r="E372" s="48">
        <v>7668</v>
      </c>
      <c r="F372" s="32" t="s">
        <v>3790</v>
      </c>
      <c r="G372" s="7">
        <v>44844</v>
      </c>
      <c r="H372" s="32" t="s">
        <v>3658</v>
      </c>
      <c r="I372" s="48" t="s">
        <v>6040</v>
      </c>
      <c r="J372" s="48">
        <v>7668</v>
      </c>
      <c r="K372" s="48">
        <v>0</v>
      </c>
      <c r="L372" s="7" t="s">
        <v>3790</v>
      </c>
      <c r="M372" s="7">
        <v>44996</v>
      </c>
      <c r="N372" s="7">
        <v>44803</v>
      </c>
      <c r="O372" s="7" t="s">
        <v>3790</v>
      </c>
      <c r="P372" s="48">
        <v>70</v>
      </c>
      <c r="Q372" s="48">
        <v>7</v>
      </c>
      <c r="R372" s="48">
        <v>14</v>
      </c>
      <c r="S372" s="48">
        <v>11500</v>
      </c>
      <c r="T372" s="5" t="s">
        <v>5548</v>
      </c>
      <c r="V372" s="32" t="s">
        <v>3790</v>
      </c>
    </row>
    <row r="373" spans="1:22">
      <c r="A373" s="5" t="s">
        <v>3792</v>
      </c>
      <c r="B373" s="32" t="s">
        <v>2550</v>
      </c>
      <c r="C373" s="32" t="s">
        <v>2551</v>
      </c>
      <c r="D373" s="5" t="s">
        <v>7501</v>
      </c>
      <c r="E373" s="48">
        <v>0</v>
      </c>
      <c r="F373" s="32" t="s">
        <v>3790</v>
      </c>
      <c r="G373" s="7">
        <v>44970</v>
      </c>
      <c r="H373" s="32" t="s">
        <v>3790</v>
      </c>
      <c r="I373" s="48" t="s">
        <v>3527</v>
      </c>
      <c r="J373" s="48">
        <v>0</v>
      </c>
      <c r="K373" s="48">
        <v>0</v>
      </c>
      <c r="L373" s="7" t="s">
        <v>3790</v>
      </c>
      <c r="M373" s="7">
        <v>45105</v>
      </c>
      <c r="N373" s="7">
        <v>44908</v>
      </c>
      <c r="O373" s="7">
        <v>44977</v>
      </c>
      <c r="P373" s="48">
        <v>70</v>
      </c>
      <c r="Q373" s="48">
        <v>7</v>
      </c>
      <c r="R373" s="48">
        <v>14</v>
      </c>
      <c r="S373" s="48">
        <v>7000</v>
      </c>
      <c r="T373" s="5" t="s">
        <v>5549</v>
      </c>
      <c r="V373" s="32" t="s">
        <v>3790</v>
      </c>
    </row>
    <row r="374" spans="1:22">
      <c r="A374" s="5" t="s">
        <v>3792</v>
      </c>
      <c r="B374" s="32" t="s">
        <v>2552</v>
      </c>
      <c r="C374" s="32" t="s">
        <v>2551</v>
      </c>
      <c r="D374" s="5" t="s">
        <v>3857</v>
      </c>
      <c r="E374" s="48">
        <v>449</v>
      </c>
      <c r="F374" s="32" t="s">
        <v>3790</v>
      </c>
      <c r="G374" s="7">
        <v>44795</v>
      </c>
      <c r="H374" s="32" t="s">
        <v>3658</v>
      </c>
      <c r="I374" s="48" t="s">
        <v>6402</v>
      </c>
      <c r="J374" s="48">
        <v>92</v>
      </c>
      <c r="K374" s="48">
        <v>0</v>
      </c>
      <c r="L374" s="7" t="s">
        <v>3790</v>
      </c>
      <c r="M374" s="7">
        <v>44925</v>
      </c>
      <c r="N374" s="7">
        <v>44747</v>
      </c>
      <c r="O374" s="7" t="s">
        <v>3790</v>
      </c>
      <c r="P374" s="48">
        <v>70</v>
      </c>
      <c r="Q374" s="48">
        <v>7</v>
      </c>
      <c r="R374" s="48">
        <v>14</v>
      </c>
      <c r="S374" s="48">
        <v>2001</v>
      </c>
      <c r="T374" s="5" t="s">
        <v>5548</v>
      </c>
      <c r="V374" s="32" t="s">
        <v>3790</v>
      </c>
    </row>
    <row r="375" spans="1:22">
      <c r="A375" s="5" t="s">
        <v>3792</v>
      </c>
      <c r="B375" s="32" t="s">
        <v>2552</v>
      </c>
      <c r="C375" s="32" t="s">
        <v>2551</v>
      </c>
      <c r="D375" s="5" t="s">
        <v>3854</v>
      </c>
      <c r="E375" s="48">
        <v>1930</v>
      </c>
      <c r="F375" s="32" t="s">
        <v>3790</v>
      </c>
      <c r="G375" s="7">
        <v>44844</v>
      </c>
      <c r="H375" s="32" t="s">
        <v>3658</v>
      </c>
      <c r="I375" s="48" t="s">
        <v>5571</v>
      </c>
      <c r="J375" s="48">
        <v>1930</v>
      </c>
      <c r="K375" s="48">
        <v>0</v>
      </c>
      <c r="L375" s="7" t="s">
        <v>3790</v>
      </c>
      <c r="M375" s="7">
        <v>44996</v>
      </c>
      <c r="N375" s="7">
        <v>44803</v>
      </c>
      <c r="O375" s="7" t="s">
        <v>3790</v>
      </c>
      <c r="P375" s="48">
        <v>70</v>
      </c>
      <c r="Q375" s="48">
        <v>7</v>
      </c>
      <c r="R375" s="48">
        <v>14</v>
      </c>
      <c r="S375" s="48">
        <v>3500</v>
      </c>
      <c r="T375" s="5" t="s">
        <v>5548</v>
      </c>
      <c r="V375" s="32" t="s">
        <v>3790</v>
      </c>
    </row>
    <row r="376" spans="1:22">
      <c r="A376" s="5" t="s">
        <v>3792</v>
      </c>
      <c r="B376" s="32" t="s">
        <v>2552</v>
      </c>
      <c r="C376" s="32" t="s">
        <v>2551</v>
      </c>
      <c r="D376" s="5" t="s">
        <v>7501</v>
      </c>
      <c r="E376" s="48">
        <v>0</v>
      </c>
      <c r="F376" s="32" t="s">
        <v>3790</v>
      </c>
      <c r="G376" s="7">
        <v>44970</v>
      </c>
      <c r="H376" s="32" t="s">
        <v>3790</v>
      </c>
      <c r="I376" s="48" t="s">
        <v>3527</v>
      </c>
      <c r="J376" s="48">
        <v>0</v>
      </c>
      <c r="K376" s="48">
        <v>0</v>
      </c>
      <c r="L376" s="7" t="s">
        <v>3790</v>
      </c>
      <c r="M376" s="7">
        <v>45105</v>
      </c>
      <c r="N376" s="7">
        <v>44908</v>
      </c>
      <c r="O376" s="7">
        <v>44977</v>
      </c>
      <c r="P376" s="48">
        <v>70</v>
      </c>
      <c r="Q376" s="48">
        <v>7</v>
      </c>
      <c r="R376" s="48">
        <v>14</v>
      </c>
      <c r="S376" s="48">
        <v>3000</v>
      </c>
      <c r="T376" s="5" t="s">
        <v>5549</v>
      </c>
      <c r="V376" s="32" t="s">
        <v>3790</v>
      </c>
    </row>
    <row r="377" spans="1:22">
      <c r="A377" s="5" t="s">
        <v>3792</v>
      </c>
      <c r="B377" s="32" t="s">
        <v>2561</v>
      </c>
      <c r="C377" s="32" t="s">
        <v>2559</v>
      </c>
      <c r="D377" s="5" t="s">
        <v>3841</v>
      </c>
      <c r="E377" s="48">
        <v>4778</v>
      </c>
      <c r="F377" s="32" t="s">
        <v>3790</v>
      </c>
      <c r="G377" s="7">
        <v>44886</v>
      </c>
      <c r="H377" s="32" t="s">
        <v>3658</v>
      </c>
      <c r="I377" s="48" t="s">
        <v>6367</v>
      </c>
      <c r="J377" s="48">
        <v>4778</v>
      </c>
      <c r="K377" s="48">
        <v>0</v>
      </c>
      <c r="L377" s="7" t="s">
        <v>3790</v>
      </c>
      <c r="M377" s="7">
        <v>45016</v>
      </c>
      <c r="N377" s="7">
        <v>44750</v>
      </c>
      <c r="O377" s="7" t="s">
        <v>3790</v>
      </c>
      <c r="P377" s="48">
        <v>70</v>
      </c>
      <c r="Q377" s="48">
        <v>7</v>
      </c>
      <c r="R377" s="48">
        <v>14</v>
      </c>
      <c r="S377" s="48">
        <v>5000</v>
      </c>
      <c r="T377" s="5" t="s">
        <v>5548</v>
      </c>
      <c r="V377" s="32" t="s">
        <v>3790</v>
      </c>
    </row>
    <row r="378" spans="1:22">
      <c r="A378" s="5" t="s">
        <v>3792</v>
      </c>
      <c r="B378" s="32" t="s">
        <v>2561</v>
      </c>
      <c r="C378" s="32" t="s">
        <v>2559</v>
      </c>
      <c r="D378" s="5" t="s">
        <v>7700</v>
      </c>
      <c r="E378" s="48">
        <v>0</v>
      </c>
      <c r="F378" s="32" t="s">
        <v>3790</v>
      </c>
      <c r="G378" s="7">
        <v>44998</v>
      </c>
      <c r="H378" s="32" t="s">
        <v>3790</v>
      </c>
      <c r="I378" s="48" t="s">
        <v>3527</v>
      </c>
      <c r="J378" s="48">
        <v>0</v>
      </c>
      <c r="K378" s="48">
        <v>0</v>
      </c>
      <c r="L378" s="7" t="s">
        <v>3790</v>
      </c>
      <c r="M378" s="7">
        <v>45122</v>
      </c>
      <c r="N378" s="7">
        <v>44924</v>
      </c>
      <c r="O378" s="7">
        <v>45005</v>
      </c>
      <c r="P378" s="48">
        <v>70</v>
      </c>
      <c r="Q378" s="48">
        <v>7</v>
      </c>
      <c r="R378" s="48">
        <v>14</v>
      </c>
      <c r="S378" s="48">
        <v>7000</v>
      </c>
      <c r="T378" s="5" t="s">
        <v>5549</v>
      </c>
      <c r="V378" s="32" t="s">
        <v>3790</v>
      </c>
    </row>
    <row r="379" spans="1:22">
      <c r="A379" s="5" t="s">
        <v>3792</v>
      </c>
      <c r="B379" s="32" t="s">
        <v>2562</v>
      </c>
      <c r="C379" s="32" t="s">
        <v>2559</v>
      </c>
      <c r="D379" s="5" t="s">
        <v>3841</v>
      </c>
      <c r="E379" s="48">
        <v>4111</v>
      </c>
      <c r="F379" s="32" t="s">
        <v>3790</v>
      </c>
      <c r="G379" s="7">
        <v>44886</v>
      </c>
      <c r="H379" s="32" t="s">
        <v>3658</v>
      </c>
      <c r="I379" s="48" t="s">
        <v>6369</v>
      </c>
      <c r="J379" s="48">
        <v>4111</v>
      </c>
      <c r="K379" s="48">
        <v>0</v>
      </c>
      <c r="L379" s="7" t="s">
        <v>3790</v>
      </c>
      <c r="M379" s="7">
        <v>45016</v>
      </c>
      <c r="N379" s="7">
        <v>44750</v>
      </c>
      <c r="O379" s="7" t="s">
        <v>3790</v>
      </c>
      <c r="P379" s="48">
        <v>70</v>
      </c>
      <c r="Q379" s="48">
        <v>7</v>
      </c>
      <c r="R379" s="48">
        <v>14</v>
      </c>
      <c r="S379" s="48">
        <v>5000</v>
      </c>
      <c r="T379" s="5" t="s">
        <v>5548</v>
      </c>
      <c r="V379" s="32" t="s">
        <v>3790</v>
      </c>
    </row>
    <row r="380" spans="1:22">
      <c r="A380" s="5" t="s">
        <v>3792</v>
      </c>
      <c r="B380" s="32" t="s">
        <v>2562</v>
      </c>
      <c r="C380" s="32" t="s">
        <v>2559</v>
      </c>
      <c r="D380" s="5" t="s">
        <v>7700</v>
      </c>
      <c r="E380" s="48">
        <v>0</v>
      </c>
      <c r="F380" s="32" t="s">
        <v>3790</v>
      </c>
      <c r="G380" s="7">
        <v>44998</v>
      </c>
      <c r="H380" s="32" t="s">
        <v>3790</v>
      </c>
      <c r="I380" s="48" t="s">
        <v>3527</v>
      </c>
      <c r="J380" s="48">
        <v>0</v>
      </c>
      <c r="K380" s="48">
        <v>0</v>
      </c>
      <c r="L380" s="7" t="s">
        <v>3790</v>
      </c>
      <c r="M380" s="7">
        <v>45122</v>
      </c>
      <c r="N380" s="7">
        <v>44924</v>
      </c>
      <c r="O380" s="7">
        <v>45005</v>
      </c>
      <c r="P380" s="48">
        <v>70</v>
      </c>
      <c r="Q380" s="48">
        <v>7</v>
      </c>
      <c r="R380" s="48">
        <v>14</v>
      </c>
      <c r="S380" s="48">
        <v>3000</v>
      </c>
      <c r="T380" s="5" t="s">
        <v>5549</v>
      </c>
      <c r="V380" s="32" t="s">
        <v>3790</v>
      </c>
    </row>
    <row r="381" spans="1:22">
      <c r="A381" s="5" t="s">
        <v>3792</v>
      </c>
      <c r="B381" s="32" t="s">
        <v>2579</v>
      </c>
      <c r="C381" s="32" t="s">
        <v>5286</v>
      </c>
      <c r="D381" s="5" t="s">
        <v>5274</v>
      </c>
      <c r="E381" s="48">
        <v>0</v>
      </c>
      <c r="F381" s="32" t="s">
        <v>3790</v>
      </c>
      <c r="G381" s="7">
        <v>44942</v>
      </c>
      <c r="H381" s="32" t="s">
        <v>3790</v>
      </c>
      <c r="I381" s="48" t="s">
        <v>3527</v>
      </c>
      <c r="J381" s="48">
        <v>0</v>
      </c>
      <c r="K381" s="48">
        <v>0</v>
      </c>
      <c r="L381" s="7" t="s">
        <v>3790</v>
      </c>
      <c r="M381" s="7">
        <v>45085</v>
      </c>
      <c r="N381" s="7">
        <v>44830</v>
      </c>
      <c r="O381" s="7">
        <v>44949</v>
      </c>
      <c r="P381" s="48">
        <v>70</v>
      </c>
      <c r="Q381" s="48">
        <v>7</v>
      </c>
      <c r="R381" s="48">
        <v>14</v>
      </c>
      <c r="S381" s="48">
        <v>2500</v>
      </c>
      <c r="T381" s="5" t="s">
        <v>5549</v>
      </c>
      <c r="V381" s="32" t="s">
        <v>3790</v>
      </c>
    </row>
    <row r="382" spans="1:22">
      <c r="A382" s="5" t="s">
        <v>3792</v>
      </c>
      <c r="B382" s="32" t="s">
        <v>2582</v>
      </c>
      <c r="C382" s="32" t="s">
        <v>5286</v>
      </c>
      <c r="D382" s="5" t="s">
        <v>5274</v>
      </c>
      <c r="E382" s="48">
        <v>0</v>
      </c>
      <c r="F382" s="32" t="s">
        <v>3790</v>
      </c>
      <c r="G382" s="7">
        <v>44942</v>
      </c>
      <c r="H382" s="32" t="s">
        <v>3790</v>
      </c>
      <c r="I382" s="48" t="s">
        <v>3527</v>
      </c>
      <c r="J382" s="48">
        <v>0</v>
      </c>
      <c r="K382" s="48">
        <v>0</v>
      </c>
      <c r="L382" s="7" t="s">
        <v>3790</v>
      </c>
      <c r="M382" s="7">
        <v>45085</v>
      </c>
      <c r="N382" s="7">
        <v>44830</v>
      </c>
      <c r="O382" s="7">
        <v>44949</v>
      </c>
      <c r="P382" s="48">
        <v>70</v>
      </c>
      <c r="Q382" s="48">
        <v>7</v>
      </c>
      <c r="R382" s="48">
        <v>14</v>
      </c>
      <c r="S382" s="48">
        <v>1000</v>
      </c>
      <c r="T382" s="5" t="s">
        <v>5549</v>
      </c>
      <c r="V382" s="32" t="s">
        <v>3790</v>
      </c>
    </row>
    <row r="383" spans="1:22">
      <c r="A383" s="5" t="s">
        <v>3792</v>
      </c>
      <c r="B383" s="32" t="s">
        <v>2596</v>
      </c>
      <c r="C383" s="32" t="s">
        <v>652</v>
      </c>
      <c r="D383" s="5" t="s">
        <v>6339</v>
      </c>
      <c r="E383" s="48">
        <v>0</v>
      </c>
      <c r="F383" s="32" t="s">
        <v>3790</v>
      </c>
      <c r="G383" s="7">
        <v>44914</v>
      </c>
      <c r="H383" s="32" t="s">
        <v>3790</v>
      </c>
      <c r="I383" s="48" t="s">
        <v>7594</v>
      </c>
      <c r="J383" s="48">
        <v>-25</v>
      </c>
      <c r="K383" s="48">
        <v>0</v>
      </c>
      <c r="L383" s="7" t="s">
        <v>3790</v>
      </c>
      <c r="M383" s="7">
        <v>45050</v>
      </c>
      <c r="N383" s="7">
        <v>44881</v>
      </c>
      <c r="O383" s="7">
        <v>44921</v>
      </c>
      <c r="P383" s="48">
        <v>70</v>
      </c>
      <c r="Q383" s="48">
        <v>7</v>
      </c>
      <c r="R383" s="48">
        <v>14</v>
      </c>
      <c r="S383" s="48">
        <v>2000</v>
      </c>
      <c r="T383" s="5" t="s">
        <v>5550</v>
      </c>
      <c r="V383" s="32" t="s">
        <v>3790</v>
      </c>
    </row>
    <row r="384" spans="1:22">
      <c r="A384" s="5" t="s">
        <v>3792</v>
      </c>
      <c r="B384" s="32" t="s">
        <v>2599</v>
      </c>
      <c r="C384" s="32" t="s">
        <v>652</v>
      </c>
      <c r="D384" s="5" t="s">
        <v>3844</v>
      </c>
      <c r="E384" s="48">
        <v>522</v>
      </c>
      <c r="F384" s="32" t="s">
        <v>3790</v>
      </c>
      <c r="G384" s="7">
        <v>44823</v>
      </c>
      <c r="H384" s="32" t="s">
        <v>3658</v>
      </c>
      <c r="I384" s="48" t="s">
        <v>7751</v>
      </c>
      <c r="J384" s="48">
        <v>426</v>
      </c>
      <c r="K384" s="48">
        <v>0</v>
      </c>
      <c r="L384" s="7" t="s">
        <v>3790</v>
      </c>
      <c r="M384" s="7">
        <v>44956</v>
      </c>
      <c r="N384" s="7">
        <v>44693</v>
      </c>
      <c r="O384" s="7" t="s">
        <v>3790</v>
      </c>
      <c r="P384" s="48">
        <v>70</v>
      </c>
      <c r="Q384" s="48">
        <v>7</v>
      </c>
      <c r="R384" s="48">
        <v>14</v>
      </c>
      <c r="S384" s="48">
        <v>2999</v>
      </c>
      <c r="T384" s="5" t="s">
        <v>5548</v>
      </c>
      <c r="V384" s="32" t="s">
        <v>3790</v>
      </c>
    </row>
    <row r="385" spans="1:22">
      <c r="A385" s="5" t="s">
        <v>3792</v>
      </c>
      <c r="B385" s="32" t="s">
        <v>2599</v>
      </c>
      <c r="C385" s="32" t="s">
        <v>652</v>
      </c>
      <c r="D385" s="5" t="s">
        <v>6339</v>
      </c>
      <c r="E385" s="48">
        <v>0</v>
      </c>
      <c r="F385" s="32" t="s">
        <v>3790</v>
      </c>
      <c r="G385" s="7">
        <v>44914</v>
      </c>
      <c r="H385" s="32" t="s">
        <v>3790</v>
      </c>
      <c r="I385" s="48" t="s">
        <v>7595</v>
      </c>
      <c r="J385" s="48">
        <v>-275</v>
      </c>
      <c r="K385" s="48">
        <v>0</v>
      </c>
      <c r="L385" s="7" t="s">
        <v>3790</v>
      </c>
      <c r="M385" s="7">
        <v>45050</v>
      </c>
      <c r="N385" s="7">
        <v>44881</v>
      </c>
      <c r="O385" s="7">
        <v>44921</v>
      </c>
      <c r="P385" s="48">
        <v>70</v>
      </c>
      <c r="Q385" s="48">
        <v>7</v>
      </c>
      <c r="R385" s="48">
        <v>14</v>
      </c>
      <c r="S385" s="48">
        <v>1500</v>
      </c>
      <c r="T385" s="5" t="s">
        <v>5550</v>
      </c>
      <c r="V385" s="32" t="s">
        <v>3790</v>
      </c>
    </row>
    <row r="386" spans="1:22">
      <c r="A386" s="5" t="s">
        <v>3792</v>
      </c>
      <c r="B386" s="32" t="s">
        <v>2638</v>
      </c>
      <c r="C386" s="32" t="s">
        <v>2639</v>
      </c>
      <c r="D386" s="5" t="s">
        <v>3859</v>
      </c>
      <c r="E386" s="48">
        <v>698</v>
      </c>
      <c r="F386" s="32" t="s">
        <v>3790</v>
      </c>
      <c r="G386" s="7">
        <v>44886</v>
      </c>
      <c r="H386" s="32" t="s">
        <v>3658</v>
      </c>
      <c r="I386" s="48" t="s">
        <v>6374</v>
      </c>
      <c r="J386" s="48">
        <v>698</v>
      </c>
      <c r="K386" s="48">
        <v>0</v>
      </c>
      <c r="L386" s="7" t="s">
        <v>3790</v>
      </c>
      <c r="M386" s="7">
        <v>45017</v>
      </c>
      <c r="N386" s="7">
        <v>44812</v>
      </c>
      <c r="O386" s="7" t="s">
        <v>3790</v>
      </c>
      <c r="P386" s="48">
        <v>70</v>
      </c>
      <c r="Q386" s="48">
        <v>7</v>
      </c>
      <c r="R386" s="48">
        <v>14</v>
      </c>
      <c r="S386" s="48">
        <v>800</v>
      </c>
      <c r="T386" s="5" t="s">
        <v>5548</v>
      </c>
      <c r="V386" s="32" t="s">
        <v>3790</v>
      </c>
    </row>
    <row r="387" spans="1:22">
      <c r="A387" s="5" t="s">
        <v>3792</v>
      </c>
      <c r="B387" s="32" t="s">
        <v>2641</v>
      </c>
      <c r="C387" s="32" t="s">
        <v>2639</v>
      </c>
      <c r="D387" s="5" t="s">
        <v>3859</v>
      </c>
      <c r="E387" s="48">
        <v>475</v>
      </c>
      <c r="F387" s="32" t="s">
        <v>3790</v>
      </c>
      <c r="G387" s="7">
        <v>44886</v>
      </c>
      <c r="H387" s="32" t="s">
        <v>3658</v>
      </c>
      <c r="I387" s="48" t="s">
        <v>6375</v>
      </c>
      <c r="J387" s="48">
        <v>475</v>
      </c>
      <c r="K387" s="48">
        <v>0</v>
      </c>
      <c r="L387" s="7" t="s">
        <v>3790</v>
      </c>
      <c r="M387" s="7">
        <v>45017</v>
      </c>
      <c r="N387" s="7">
        <v>44812</v>
      </c>
      <c r="O387" s="7" t="s">
        <v>3790</v>
      </c>
      <c r="P387" s="48">
        <v>70</v>
      </c>
      <c r="Q387" s="48">
        <v>7</v>
      </c>
      <c r="R387" s="48">
        <v>14</v>
      </c>
      <c r="S387" s="48">
        <v>1000</v>
      </c>
      <c r="T387" s="5" t="s">
        <v>5548</v>
      </c>
      <c r="V387" s="32" t="s">
        <v>3790</v>
      </c>
    </row>
    <row r="388" spans="1:22">
      <c r="A388" s="5" t="s">
        <v>3792</v>
      </c>
      <c r="B388" s="32" t="s">
        <v>2644</v>
      </c>
      <c r="C388" s="32" t="s">
        <v>2639</v>
      </c>
      <c r="D388" s="5" t="s">
        <v>3859</v>
      </c>
      <c r="E388" s="48">
        <v>860</v>
      </c>
      <c r="F388" s="32" t="s">
        <v>3790</v>
      </c>
      <c r="G388" s="7">
        <v>44886</v>
      </c>
      <c r="H388" s="32" t="s">
        <v>3658</v>
      </c>
      <c r="I388" s="48" t="s">
        <v>6377</v>
      </c>
      <c r="J388" s="48">
        <v>860</v>
      </c>
      <c r="K388" s="48">
        <v>0</v>
      </c>
      <c r="L388" s="7" t="s">
        <v>3790</v>
      </c>
      <c r="M388" s="7">
        <v>45017</v>
      </c>
      <c r="N388" s="7">
        <v>44812</v>
      </c>
      <c r="O388" s="7" t="s">
        <v>3790</v>
      </c>
      <c r="P388" s="48">
        <v>70</v>
      </c>
      <c r="Q388" s="48">
        <v>7</v>
      </c>
      <c r="R388" s="48">
        <v>14</v>
      </c>
      <c r="S388" s="48">
        <v>1700</v>
      </c>
      <c r="T388" s="5" t="s">
        <v>5548</v>
      </c>
      <c r="V388" s="32" t="s">
        <v>3790</v>
      </c>
    </row>
    <row r="389" spans="1:22">
      <c r="A389" s="5" t="s">
        <v>3792</v>
      </c>
      <c r="B389" s="32" t="s">
        <v>2722</v>
      </c>
      <c r="C389" s="32" t="s">
        <v>3861</v>
      </c>
      <c r="D389" s="5" t="s">
        <v>3859</v>
      </c>
      <c r="E389" s="48">
        <v>1484</v>
      </c>
      <c r="F389" s="32" t="s">
        <v>3790</v>
      </c>
      <c r="G389" s="7">
        <v>44893</v>
      </c>
      <c r="H389" s="32" t="s">
        <v>3658</v>
      </c>
      <c r="I389" s="48" t="s">
        <v>6379</v>
      </c>
      <c r="J389" s="48">
        <v>1484</v>
      </c>
      <c r="K389" s="48">
        <v>0</v>
      </c>
      <c r="L389" s="7" t="s">
        <v>3790</v>
      </c>
      <c r="M389" s="7">
        <v>45038</v>
      </c>
      <c r="N389" s="7">
        <v>44812</v>
      </c>
      <c r="O389" s="7" t="s">
        <v>3790</v>
      </c>
      <c r="P389" s="48">
        <v>70</v>
      </c>
      <c r="Q389" s="48">
        <v>7</v>
      </c>
      <c r="R389" s="48">
        <v>14</v>
      </c>
      <c r="S389" s="48">
        <v>1500</v>
      </c>
      <c r="T389" s="5" t="s">
        <v>5548</v>
      </c>
      <c r="V389" s="32" t="s">
        <v>3790</v>
      </c>
    </row>
    <row r="390" spans="1:22">
      <c r="A390" s="5" t="s">
        <v>3792</v>
      </c>
      <c r="B390" s="32" t="s">
        <v>2724</v>
      </c>
      <c r="C390" s="32" t="s">
        <v>3861</v>
      </c>
      <c r="D390" s="5" t="s">
        <v>3859</v>
      </c>
      <c r="E390" s="48">
        <v>1692</v>
      </c>
      <c r="F390" s="32" t="s">
        <v>3790</v>
      </c>
      <c r="G390" s="7">
        <v>44893</v>
      </c>
      <c r="H390" s="32" t="s">
        <v>3658</v>
      </c>
      <c r="I390" s="48" t="s">
        <v>6404</v>
      </c>
      <c r="J390" s="48">
        <v>1510</v>
      </c>
      <c r="K390" s="48">
        <v>0</v>
      </c>
      <c r="L390" s="7" t="s">
        <v>3790</v>
      </c>
      <c r="M390" s="7">
        <v>45038</v>
      </c>
      <c r="N390" s="7">
        <v>44812</v>
      </c>
      <c r="O390" s="7" t="s">
        <v>3790</v>
      </c>
      <c r="P390" s="48">
        <v>70</v>
      </c>
      <c r="Q390" s="48">
        <v>7</v>
      </c>
      <c r="R390" s="48">
        <v>14</v>
      </c>
      <c r="S390" s="48">
        <v>2000</v>
      </c>
      <c r="T390" s="5" t="s">
        <v>5548</v>
      </c>
      <c r="V390" s="32" t="s">
        <v>3790</v>
      </c>
    </row>
    <row r="391" spans="1:22">
      <c r="A391" s="5" t="s">
        <v>3792</v>
      </c>
      <c r="B391" s="32" t="s">
        <v>2726</v>
      </c>
      <c r="C391" s="32" t="s">
        <v>3862</v>
      </c>
      <c r="D391" s="5" t="s">
        <v>3824</v>
      </c>
      <c r="E391" s="48">
        <v>5032</v>
      </c>
      <c r="F391" s="32" t="s">
        <v>3790</v>
      </c>
      <c r="G391" s="7">
        <v>44837</v>
      </c>
      <c r="H391" s="32" t="s">
        <v>3658</v>
      </c>
      <c r="I391" s="48" t="s">
        <v>5536</v>
      </c>
      <c r="J391" s="48">
        <v>4960</v>
      </c>
      <c r="K391" s="48">
        <v>0</v>
      </c>
      <c r="L391" s="7" t="s">
        <v>3790</v>
      </c>
      <c r="M391" s="7">
        <v>44974</v>
      </c>
      <c r="N391" s="7">
        <v>44781</v>
      </c>
      <c r="O391" s="7" t="s">
        <v>3790</v>
      </c>
      <c r="P391" s="48">
        <v>70</v>
      </c>
      <c r="Q391" s="48">
        <v>7</v>
      </c>
      <c r="R391" s="48">
        <v>14</v>
      </c>
      <c r="S391" s="48">
        <v>5000</v>
      </c>
      <c r="T391" s="5" t="s">
        <v>5548</v>
      </c>
      <c r="V391" s="32" t="s">
        <v>3790</v>
      </c>
    </row>
    <row r="392" spans="1:22">
      <c r="A392" s="5" t="s">
        <v>3792</v>
      </c>
      <c r="B392" s="32" t="s">
        <v>2729</v>
      </c>
      <c r="C392" s="32" t="s">
        <v>3862</v>
      </c>
      <c r="D392" s="5" t="s">
        <v>3824</v>
      </c>
      <c r="E392" s="48">
        <v>5280</v>
      </c>
      <c r="F392" s="32" t="s">
        <v>3790</v>
      </c>
      <c r="G392" s="7">
        <v>44837</v>
      </c>
      <c r="H392" s="32" t="s">
        <v>3658</v>
      </c>
      <c r="I392" s="48" t="s">
        <v>5538</v>
      </c>
      <c r="J392" s="48">
        <v>4963</v>
      </c>
      <c r="K392" s="48">
        <v>0</v>
      </c>
      <c r="L392" s="7" t="s">
        <v>3790</v>
      </c>
      <c r="M392" s="7">
        <v>44974</v>
      </c>
      <c r="N392" s="7">
        <v>44781</v>
      </c>
      <c r="O392" s="7" t="s">
        <v>3790</v>
      </c>
      <c r="P392" s="48">
        <v>70</v>
      </c>
      <c r="Q392" s="48">
        <v>7</v>
      </c>
      <c r="R392" s="48">
        <v>14</v>
      </c>
      <c r="S392" s="48">
        <v>5000</v>
      </c>
      <c r="T392" s="5" t="s">
        <v>5548</v>
      </c>
      <c r="V392" s="32" t="s">
        <v>3790</v>
      </c>
    </row>
    <row r="393" spans="1:22">
      <c r="A393" s="5" t="s">
        <v>3792</v>
      </c>
      <c r="B393" s="32" t="s">
        <v>2756</v>
      </c>
      <c r="C393" s="32" t="s">
        <v>3864</v>
      </c>
      <c r="D393" s="5" t="s">
        <v>3857</v>
      </c>
      <c r="E393" s="48">
        <v>2988</v>
      </c>
      <c r="F393" s="32" t="s">
        <v>3790</v>
      </c>
      <c r="G393" s="7">
        <v>44795</v>
      </c>
      <c r="H393" s="32" t="s">
        <v>3658</v>
      </c>
      <c r="I393" s="48" t="s">
        <v>3866</v>
      </c>
      <c r="J393" s="48">
        <v>2951</v>
      </c>
      <c r="K393" s="48">
        <v>0</v>
      </c>
      <c r="L393" s="7" t="s">
        <v>3790</v>
      </c>
      <c r="M393" s="7">
        <v>44932</v>
      </c>
      <c r="N393" s="7">
        <v>44747</v>
      </c>
      <c r="O393" s="7" t="s">
        <v>3790</v>
      </c>
      <c r="P393" s="48">
        <v>70</v>
      </c>
      <c r="Q393" s="48">
        <v>7</v>
      </c>
      <c r="R393" s="48">
        <v>14</v>
      </c>
      <c r="S393" s="48">
        <v>3500</v>
      </c>
      <c r="T393" s="5" t="s">
        <v>5548</v>
      </c>
      <c r="V393" s="32" t="s">
        <v>3790</v>
      </c>
    </row>
    <row r="394" spans="1:22">
      <c r="A394" s="5" t="s">
        <v>3792</v>
      </c>
      <c r="B394" s="32" t="s">
        <v>2758</v>
      </c>
      <c r="C394" s="32" t="s">
        <v>3867</v>
      </c>
      <c r="D394" s="5" t="s">
        <v>7501</v>
      </c>
      <c r="E394" s="48">
        <v>0</v>
      </c>
      <c r="F394" s="32" t="s">
        <v>3790</v>
      </c>
      <c r="G394" s="7">
        <v>44977</v>
      </c>
      <c r="H394" s="32" t="s">
        <v>3790</v>
      </c>
      <c r="I394" s="48" t="s">
        <v>3527</v>
      </c>
      <c r="J394" s="48">
        <v>0</v>
      </c>
      <c r="K394" s="48">
        <v>0</v>
      </c>
      <c r="L394" s="7" t="s">
        <v>3790</v>
      </c>
      <c r="M394" s="7">
        <v>44971</v>
      </c>
      <c r="N394" s="7">
        <v>44908</v>
      </c>
      <c r="O394" s="7">
        <v>44984</v>
      </c>
      <c r="P394" s="48">
        <v>70</v>
      </c>
      <c r="Q394" s="48">
        <v>7</v>
      </c>
      <c r="R394" s="48">
        <v>14</v>
      </c>
      <c r="S394" s="48">
        <v>500</v>
      </c>
      <c r="T394" s="5" t="s">
        <v>5549</v>
      </c>
      <c r="V394" s="32" t="s">
        <v>3790</v>
      </c>
    </row>
    <row r="395" spans="1:22">
      <c r="A395" s="5" t="s">
        <v>3792</v>
      </c>
      <c r="B395" s="32" t="s">
        <v>2760</v>
      </c>
      <c r="C395" s="32" t="s">
        <v>3867</v>
      </c>
      <c r="D395" s="5" t="s">
        <v>3834</v>
      </c>
      <c r="E395" s="48">
        <v>1010</v>
      </c>
      <c r="F395" s="32" t="s">
        <v>3790</v>
      </c>
      <c r="G395" s="7">
        <v>44872</v>
      </c>
      <c r="H395" s="32" t="s">
        <v>3658</v>
      </c>
      <c r="I395" s="48" t="s">
        <v>5280</v>
      </c>
      <c r="J395" s="48">
        <v>886</v>
      </c>
      <c r="K395" s="48">
        <v>0</v>
      </c>
      <c r="L395" s="7" t="s">
        <v>3790</v>
      </c>
      <c r="M395" s="7">
        <v>45014</v>
      </c>
      <c r="N395" s="7">
        <v>44812</v>
      </c>
      <c r="O395" s="7" t="s">
        <v>3790</v>
      </c>
      <c r="P395" s="48">
        <v>70</v>
      </c>
      <c r="Q395" s="48">
        <v>7</v>
      </c>
      <c r="R395" s="48">
        <v>14</v>
      </c>
      <c r="S395" s="48">
        <v>3500</v>
      </c>
      <c r="T395" s="5" t="s">
        <v>5548</v>
      </c>
      <c r="V395" s="32" t="s">
        <v>3790</v>
      </c>
    </row>
    <row r="396" spans="1:22">
      <c r="A396" s="5" t="s">
        <v>3792</v>
      </c>
      <c r="B396" s="32" t="s">
        <v>2760</v>
      </c>
      <c r="C396" s="32" t="s">
        <v>3867</v>
      </c>
      <c r="D396" s="5" t="s">
        <v>7501</v>
      </c>
      <c r="E396" s="48">
        <v>0</v>
      </c>
      <c r="F396" s="32" t="s">
        <v>3790</v>
      </c>
      <c r="G396" s="7">
        <v>44977</v>
      </c>
      <c r="H396" s="32" t="s">
        <v>3790</v>
      </c>
      <c r="I396" s="48" t="s">
        <v>3527</v>
      </c>
      <c r="J396" s="48">
        <v>0</v>
      </c>
      <c r="K396" s="48">
        <v>0</v>
      </c>
      <c r="L396" s="7" t="s">
        <v>3790</v>
      </c>
      <c r="M396" s="7">
        <v>44971</v>
      </c>
      <c r="N396" s="7">
        <v>44908</v>
      </c>
      <c r="O396" s="7">
        <v>44984</v>
      </c>
      <c r="P396" s="48">
        <v>70</v>
      </c>
      <c r="Q396" s="48">
        <v>7</v>
      </c>
      <c r="R396" s="48">
        <v>14</v>
      </c>
      <c r="S396" s="48">
        <v>3000</v>
      </c>
      <c r="T396" s="5" t="s">
        <v>5549</v>
      </c>
      <c r="V396" s="32" t="s">
        <v>3790</v>
      </c>
    </row>
    <row r="397" spans="1:22">
      <c r="A397" s="5" t="s">
        <v>3792</v>
      </c>
      <c r="B397" s="32" t="s">
        <v>2768</v>
      </c>
      <c r="C397" s="32" t="s">
        <v>3868</v>
      </c>
      <c r="D397" s="5" t="s">
        <v>3799</v>
      </c>
      <c r="E397" s="48">
        <v>2836</v>
      </c>
      <c r="F397" s="32" t="s">
        <v>3790</v>
      </c>
      <c r="G397" s="7">
        <v>44851</v>
      </c>
      <c r="H397" s="32" t="s">
        <v>3658</v>
      </c>
      <c r="I397" s="48" t="s">
        <v>5910</v>
      </c>
      <c r="J397" s="48">
        <v>2458</v>
      </c>
      <c r="K397" s="48">
        <v>0</v>
      </c>
      <c r="L397" s="7" t="s">
        <v>3790</v>
      </c>
      <c r="M397" s="7">
        <v>44997</v>
      </c>
      <c r="N397" s="7">
        <v>44795</v>
      </c>
      <c r="O397" s="7" t="s">
        <v>3790</v>
      </c>
      <c r="P397" s="48">
        <v>70</v>
      </c>
      <c r="Q397" s="48">
        <v>7</v>
      </c>
      <c r="R397" s="48">
        <v>14</v>
      </c>
      <c r="S397" s="48">
        <v>3000</v>
      </c>
      <c r="T397" s="5" t="s">
        <v>5548</v>
      </c>
      <c r="V397" s="32" t="s">
        <v>3790</v>
      </c>
    </row>
    <row r="398" spans="1:22">
      <c r="A398" s="5" t="s">
        <v>3792</v>
      </c>
      <c r="B398" s="32" t="s">
        <v>2771</v>
      </c>
      <c r="C398" s="32" t="s">
        <v>3868</v>
      </c>
      <c r="D398" s="5" t="s">
        <v>3799</v>
      </c>
      <c r="E398" s="48">
        <v>543</v>
      </c>
      <c r="F398" s="32" t="s">
        <v>3790</v>
      </c>
      <c r="G398" s="7">
        <v>44851</v>
      </c>
      <c r="H398" s="32" t="s">
        <v>3658</v>
      </c>
      <c r="I398" s="48" t="s">
        <v>5911</v>
      </c>
      <c r="J398" s="48">
        <v>494</v>
      </c>
      <c r="K398" s="48">
        <v>0</v>
      </c>
      <c r="L398" s="7" t="s">
        <v>3790</v>
      </c>
      <c r="M398" s="7">
        <v>44997</v>
      </c>
      <c r="N398" s="7">
        <v>44795</v>
      </c>
      <c r="O398" s="7" t="s">
        <v>3790</v>
      </c>
      <c r="P398" s="48">
        <v>70</v>
      </c>
      <c r="Q398" s="48">
        <v>7</v>
      </c>
      <c r="R398" s="48">
        <v>14</v>
      </c>
      <c r="S398" s="48">
        <v>500</v>
      </c>
      <c r="T398" s="5" t="s">
        <v>5548</v>
      </c>
      <c r="V398" s="32" t="s">
        <v>3790</v>
      </c>
    </row>
    <row r="399" spans="1:22">
      <c r="A399" s="5" t="s">
        <v>3792</v>
      </c>
      <c r="B399" s="32" t="s">
        <v>2785</v>
      </c>
      <c r="C399" s="32" t="s">
        <v>3870</v>
      </c>
      <c r="D399" s="5" t="s">
        <v>7535</v>
      </c>
      <c r="E399" s="48">
        <v>0</v>
      </c>
      <c r="F399" s="32" t="s">
        <v>3790</v>
      </c>
      <c r="G399" s="7">
        <v>44977</v>
      </c>
      <c r="H399" s="32" t="s">
        <v>3790</v>
      </c>
      <c r="I399" s="48" t="s">
        <v>3527</v>
      </c>
      <c r="J399" s="48">
        <v>0</v>
      </c>
      <c r="K399" s="48">
        <v>0</v>
      </c>
      <c r="L399" s="7" t="s">
        <v>3790</v>
      </c>
      <c r="M399" s="7">
        <v>45113</v>
      </c>
      <c r="N399" s="7">
        <v>44910</v>
      </c>
      <c r="O399" s="7">
        <v>44984</v>
      </c>
      <c r="P399" s="48">
        <v>70</v>
      </c>
      <c r="Q399" s="48">
        <v>7</v>
      </c>
      <c r="R399" s="48">
        <v>14</v>
      </c>
      <c r="S399" s="48">
        <v>7000</v>
      </c>
      <c r="T399" s="5" t="s">
        <v>5549</v>
      </c>
      <c r="V399" s="32" t="s">
        <v>3790</v>
      </c>
    </row>
    <row r="400" spans="1:22">
      <c r="A400" s="5" t="s">
        <v>3792</v>
      </c>
      <c r="B400" s="32" t="s">
        <v>2788</v>
      </c>
      <c r="C400" s="32" t="s">
        <v>3870</v>
      </c>
      <c r="D400" s="5" t="s">
        <v>7535</v>
      </c>
      <c r="E400" s="48">
        <v>0</v>
      </c>
      <c r="F400" s="32" t="s">
        <v>3790</v>
      </c>
      <c r="G400" s="7">
        <v>44977</v>
      </c>
      <c r="H400" s="32" t="s">
        <v>3790</v>
      </c>
      <c r="I400" s="48" t="s">
        <v>3527</v>
      </c>
      <c r="J400" s="48">
        <v>0</v>
      </c>
      <c r="K400" s="48">
        <v>0</v>
      </c>
      <c r="L400" s="7" t="s">
        <v>3790</v>
      </c>
      <c r="M400" s="7">
        <v>45113</v>
      </c>
      <c r="N400" s="7">
        <v>44910</v>
      </c>
      <c r="O400" s="7">
        <v>44984</v>
      </c>
      <c r="P400" s="48">
        <v>70</v>
      </c>
      <c r="Q400" s="48">
        <v>7</v>
      </c>
      <c r="R400" s="48">
        <v>14</v>
      </c>
      <c r="S400" s="48">
        <v>3000</v>
      </c>
      <c r="T400" s="5" t="s">
        <v>5549</v>
      </c>
      <c r="V400" s="32" t="s">
        <v>3790</v>
      </c>
    </row>
    <row r="401" spans="1:22">
      <c r="A401" s="5" t="s">
        <v>3792</v>
      </c>
      <c r="B401" s="32" t="s">
        <v>2812</v>
      </c>
      <c r="C401" s="32" t="s">
        <v>2813</v>
      </c>
      <c r="D401" s="5" t="s">
        <v>5572</v>
      </c>
      <c r="E401" s="48">
        <v>18198</v>
      </c>
      <c r="F401" s="32" t="s">
        <v>3790</v>
      </c>
      <c r="G401" s="7">
        <v>44900</v>
      </c>
      <c r="H401" s="32" t="s">
        <v>3658</v>
      </c>
      <c r="I401" s="48" t="s">
        <v>3582</v>
      </c>
      <c r="J401" s="48">
        <v>17698</v>
      </c>
      <c r="K401" s="48">
        <v>0</v>
      </c>
      <c r="L401" s="7" t="s">
        <v>3790</v>
      </c>
      <c r="M401" s="7">
        <v>45038</v>
      </c>
      <c r="N401" s="7">
        <v>44847</v>
      </c>
      <c r="O401" s="7" t="s">
        <v>3790</v>
      </c>
      <c r="P401" s="48">
        <v>70</v>
      </c>
      <c r="Q401" s="48">
        <v>7</v>
      </c>
      <c r="R401" s="48">
        <v>14</v>
      </c>
      <c r="S401" s="48">
        <v>20000</v>
      </c>
      <c r="T401" s="5" t="s">
        <v>5548</v>
      </c>
      <c r="V401" s="32" t="s">
        <v>3790</v>
      </c>
    </row>
    <row r="402" spans="1:22">
      <c r="A402" s="5" t="s">
        <v>3792</v>
      </c>
      <c r="B402" s="32" t="s">
        <v>2812</v>
      </c>
      <c r="C402" s="32" t="s">
        <v>2813</v>
      </c>
      <c r="D402" s="5" t="s">
        <v>7597</v>
      </c>
      <c r="E402" s="48">
        <v>0</v>
      </c>
      <c r="F402" s="32" t="s">
        <v>3790</v>
      </c>
      <c r="G402" s="7">
        <v>45040</v>
      </c>
      <c r="H402" s="32" t="s">
        <v>3790</v>
      </c>
      <c r="I402" s="48" t="s">
        <v>3527</v>
      </c>
      <c r="J402" s="48">
        <v>0</v>
      </c>
      <c r="K402" s="48">
        <v>0</v>
      </c>
      <c r="L402" s="7" t="s">
        <v>3790</v>
      </c>
      <c r="M402" s="7">
        <v>45176</v>
      </c>
      <c r="N402" s="7">
        <v>44916</v>
      </c>
      <c r="O402" s="7">
        <v>45047</v>
      </c>
      <c r="P402" s="48">
        <v>70</v>
      </c>
      <c r="Q402" s="48">
        <v>7</v>
      </c>
      <c r="R402" s="48">
        <v>14</v>
      </c>
      <c r="S402" s="48">
        <v>20000</v>
      </c>
      <c r="T402" s="5" t="s">
        <v>5549</v>
      </c>
      <c r="V402" s="32" t="s">
        <v>3790</v>
      </c>
    </row>
    <row r="403" spans="1:22">
      <c r="A403" s="5" t="s">
        <v>3873</v>
      </c>
      <c r="B403" s="32" t="s">
        <v>181</v>
      </c>
      <c r="C403" s="32" t="s">
        <v>3875</v>
      </c>
      <c r="D403" s="5" t="s">
        <v>7492</v>
      </c>
      <c r="E403" s="48">
        <v>0</v>
      </c>
      <c r="G403" s="7">
        <v>44971</v>
      </c>
      <c r="J403" s="48">
        <v>0</v>
      </c>
      <c r="K403" s="48">
        <v>0</v>
      </c>
      <c r="L403" s="7" t="s">
        <v>3790</v>
      </c>
      <c r="M403" s="7" t="s">
        <v>3790</v>
      </c>
      <c r="N403" s="7">
        <v>44908</v>
      </c>
      <c r="O403" s="7">
        <v>44971</v>
      </c>
      <c r="P403" s="48">
        <v>91</v>
      </c>
      <c r="Q403" s="48">
        <v>0</v>
      </c>
      <c r="R403" s="48">
        <v>14</v>
      </c>
      <c r="S403" s="48">
        <v>2000</v>
      </c>
      <c r="T403" s="5" t="s">
        <v>5549</v>
      </c>
      <c r="V403" s="32" t="s">
        <v>6335</v>
      </c>
    </row>
    <row r="404" spans="1:22">
      <c r="A404" s="5" t="s">
        <v>3873</v>
      </c>
      <c r="B404" s="32" t="s">
        <v>181</v>
      </c>
      <c r="C404" s="32" t="s">
        <v>3875</v>
      </c>
      <c r="D404" s="5" t="s">
        <v>5370</v>
      </c>
      <c r="E404" s="48">
        <v>1017</v>
      </c>
      <c r="G404" s="7" t="s">
        <v>3790</v>
      </c>
      <c r="H404" s="32" t="s">
        <v>3692</v>
      </c>
      <c r="J404" s="48">
        <v>1017</v>
      </c>
      <c r="K404" s="48">
        <v>0</v>
      </c>
      <c r="L404" s="7" t="s">
        <v>3790</v>
      </c>
      <c r="M404" s="7">
        <v>45014</v>
      </c>
      <c r="N404" s="7">
        <v>44833</v>
      </c>
      <c r="O404" s="7" t="s">
        <v>3790</v>
      </c>
      <c r="P404" s="48">
        <v>91</v>
      </c>
      <c r="Q404" s="48">
        <v>0</v>
      </c>
      <c r="R404" s="48">
        <v>14</v>
      </c>
      <c r="S404" s="48">
        <v>1030</v>
      </c>
      <c r="T404" s="5" t="s">
        <v>5548</v>
      </c>
      <c r="V404" s="32" t="s">
        <v>6137</v>
      </c>
    </row>
    <row r="405" spans="1:22">
      <c r="A405" s="5" t="s">
        <v>3873</v>
      </c>
      <c r="B405" s="32" t="s">
        <v>185</v>
      </c>
      <c r="C405" s="32" t="s">
        <v>3875</v>
      </c>
      <c r="D405" s="5" t="s">
        <v>5370</v>
      </c>
      <c r="E405" s="48">
        <v>1248</v>
      </c>
      <c r="G405" s="7" t="s">
        <v>3790</v>
      </c>
      <c r="H405" s="32" t="s">
        <v>3692</v>
      </c>
      <c r="J405" s="48">
        <v>1248</v>
      </c>
      <c r="K405" s="48">
        <v>0</v>
      </c>
      <c r="L405" s="7" t="s">
        <v>3790</v>
      </c>
      <c r="M405" s="7">
        <v>45014</v>
      </c>
      <c r="N405" s="7">
        <v>44833</v>
      </c>
      <c r="O405" s="7" t="s">
        <v>3790</v>
      </c>
      <c r="P405" s="48">
        <v>91</v>
      </c>
      <c r="Q405" s="48">
        <v>0</v>
      </c>
      <c r="R405" s="48">
        <v>14</v>
      </c>
      <c r="S405" s="48">
        <v>1281</v>
      </c>
      <c r="T405" s="5" t="s">
        <v>5548</v>
      </c>
      <c r="V405" s="32" t="s">
        <v>6137</v>
      </c>
    </row>
    <row r="406" spans="1:22">
      <c r="A406" s="5" t="s">
        <v>3873</v>
      </c>
      <c r="B406" s="32" t="s">
        <v>186</v>
      </c>
      <c r="C406" s="32" t="s">
        <v>3874</v>
      </c>
      <c r="D406" s="5" t="s">
        <v>5288</v>
      </c>
      <c r="E406" s="48">
        <v>994</v>
      </c>
      <c r="G406" s="7" t="s">
        <v>3790</v>
      </c>
      <c r="H406" s="32" t="s">
        <v>3692</v>
      </c>
      <c r="J406" s="48">
        <v>994</v>
      </c>
      <c r="K406" s="48">
        <v>0</v>
      </c>
      <c r="L406" s="7" t="s">
        <v>3790</v>
      </c>
      <c r="M406" s="7">
        <v>45000</v>
      </c>
      <c r="N406" s="7">
        <v>44812</v>
      </c>
      <c r="O406" s="7" t="s">
        <v>3790</v>
      </c>
      <c r="P406" s="48">
        <v>91</v>
      </c>
      <c r="Q406" s="48">
        <v>0</v>
      </c>
      <c r="R406" s="48">
        <v>14</v>
      </c>
      <c r="S406" s="48">
        <v>800</v>
      </c>
      <c r="T406" s="5" t="s">
        <v>5548</v>
      </c>
      <c r="V406" s="32" t="s">
        <v>6138</v>
      </c>
    </row>
    <row r="407" spans="1:22">
      <c r="A407" s="5" t="s">
        <v>3873</v>
      </c>
      <c r="B407" s="32" t="s">
        <v>189</v>
      </c>
      <c r="C407" s="32" t="s">
        <v>3874</v>
      </c>
      <c r="D407" s="5" t="s">
        <v>5288</v>
      </c>
      <c r="E407" s="48">
        <v>1227</v>
      </c>
      <c r="G407" s="7" t="s">
        <v>3790</v>
      </c>
      <c r="H407" s="32" t="s">
        <v>3692</v>
      </c>
      <c r="J407" s="48">
        <v>1227</v>
      </c>
      <c r="K407" s="48">
        <v>0</v>
      </c>
      <c r="L407" s="7" t="s">
        <v>3790</v>
      </c>
      <c r="M407" s="7">
        <v>45000</v>
      </c>
      <c r="N407" s="7">
        <v>44812</v>
      </c>
      <c r="O407" s="7" t="s">
        <v>3790</v>
      </c>
      <c r="P407" s="48">
        <v>91</v>
      </c>
      <c r="Q407" s="48">
        <v>0</v>
      </c>
      <c r="R407" s="48">
        <v>14</v>
      </c>
      <c r="S407" s="48">
        <v>1200</v>
      </c>
      <c r="T407" s="5" t="s">
        <v>5548</v>
      </c>
      <c r="V407" s="32" t="s">
        <v>6138</v>
      </c>
    </row>
    <row r="408" spans="1:22">
      <c r="A408" s="5" t="s">
        <v>3873</v>
      </c>
      <c r="B408" s="32" t="s">
        <v>191</v>
      </c>
      <c r="C408" s="32" t="s">
        <v>5369</v>
      </c>
      <c r="D408" s="5" t="s">
        <v>5370</v>
      </c>
      <c r="E408" s="48">
        <v>1939</v>
      </c>
      <c r="G408" s="7" t="s">
        <v>3790</v>
      </c>
      <c r="H408" s="32" t="s">
        <v>3692</v>
      </c>
      <c r="J408" s="48">
        <v>1939</v>
      </c>
      <c r="K408" s="48">
        <v>0</v>
      </c>
      <c r="L408" s="7" t="s">
        <v>3790</v>
      </c>
      <c r="M408" s="7">
        <v>45014</v>
      </c>
      <c r="N408" s="7">
        <v>44833</v>
      </c>
      <c r="O408" s="7" t="s">
        <v>3790</v>
      </c>
      <c r="P408" s="48">
        <v>91</v>
      </c>
      <c r="Q408" s="48">
        <v>0</v>
      </c>
      <c r="R408" s="48">
        <v>14</v>
      </c>
      <c r="S408" s="48">
        <v>2000</v>
      </c>
      <c r="T408" s="5" t="s">
        <v>5548</v>
      </c>
      <c r="V408" s="32" t="s">
        <v>6137</v>
      </c>
    </row>
    <row r="409" spans="1:22">
      <c r="A409" s="5" t="s">
        <v>3873</v>
      </c>
      <c r="B409" s="32" t="s">
        <v>200</v>
      </c>
      <c r="C409" s="32" t="s">
        <v>3877</v>
      </c>
      <c r="D409" s="5" t="s">
        <v>4051</v>
      </c>
      <c r="E409" s="48">
        <v>6551</v>
      </c>
      <c r="G409" s="7" t="s">
        <v>3790</v>
      </c>
      <c r="H409" s="32" t="s">
        <v>3692</v>
      </c>
      <c r="J409" s="48">
        <v>6551</v>
      </c>
      <c r="K409" s="48">
        <v>0</v>
      </c>
      <c r="L409" s="7" t="s">
        <v>3790</v>
      </c>
      <c r="M409" s="7">
        <v>44931</v>
      </c>
      <c r="N409" s="7">
        <v>44719</v>
      </c>
      <c r="O409" s="7" t="s">
        <v>3790</v>
      </c>
      <c r="P409" s="48">
        <v>91</v>
      </c>
      <c r="Q409" s="48">
        <v>0</v>
      </c>
      <c r="R409" s="48">
        <v>14</v>
      </c>
      <c r="S409" s="48">
        <v>15000</v>
      </c>
      <c r="T409" s="5" t="s">
        <v>5548</v>
      </c>
      <c r="V409" s="32" t="s">
        <v>6139</v>
      </c>
    </row>
    <row r="410" spans="1:22">
      <c r="A410" s="5" t="s">
        <v>3873</v>
      </c>
      <c r="B410" s="32" t="s">
        <v>200</v>
      </c>
      <c r="C410" s="32" t="s">
        <v>3877</v>
      </c>
      <c r="D410" s="5" t="s">
        <v>7492</v>
      </c>
      <c r="E410" s="48">
        <v>941</v>
      </c>
      <c r="G410" s="7" t="s">
        <v>3790</v>
      </c>
      <c r="H410" s="32" t="s">
        <v>3692</v>
      </c>
      <c r="J410" s="48">
        <v>941</v>
      </c>
      <c r="K410" s="48">
        <v>0</v>
      </c>
      <c r="L410" s="7" t="s">
        <v>3790</v>
      </c>
      <c r="M410" s="7">
        <v>45062</v>
      </c>
      <c r="N410" s="7">
        <v>44908</v>
      </c>
      <c r="O410" s="7" t="s">
        <v>3790</v>
      </c>
      <c r="P410" s="48">
        <v>91</v>
      </c>
      <c r="Q410" s="48">
        <v>0</v>
      </c>
      <c r="R410" s="48">
        <v>14</v>
      </c>
      <c r="S410" s="48">
        <v>5000</v>
      </c>
      <c r="T410" s="5" t="s">
        <v>5548</v>
      </c>
      <c r="V410" s="32" t="s">
        <v>6335</v>
      </c>
    </row>
    <row r="411" spans="1:22">
      <c r="A411" s="5" t="s">
        <v>3873</v>
      </c>
      <c r="B411" s="32" t="s">
        <v>204</v>
      </c>
      <c r="C411" s="32" t="s">
        <v>3877</v>
      </c>
      <c r="D411" s="5" t="s">
        <v>4051</v>
      </c>
      <c r="E411" s="48">
        <v>3550</v>
      </c>
      <c r="G411" s="7" t="s">
        <v>3790</v>
      </c>
      <c r="H411" s="32" t="s">
        <v>3692</v>
      </c>
      <c r="J411" s="48">
        <v>3550</v>
      </c>
      <c r="K411" s="48">
        <v>0</v>
      </c>
      <c r="L411" s="7" t="s">
        <v>3790</v>
      </c>
      <c r="M411" s="7">
        <v>44931</v>
      </c>
      <c r="N411" s="7">
        <v>44719</v>
      </c>
      <c r="O411" s="7" t="s">
        <v>3790</v>
      </c>
      <c r="P411" s="48">
        <v>91</v>
      </c>
      <c r="Q411" s="48">
        <v>0</v>
      </c>
      <c r="R411" s="48">
        <v>14</v>
      </c>
      <c r="S411" s="48">
        <v>3600</v>
      </c>
      <c r="T411" s="5" t="s">
        <v>5548</v>
      </c>
      <c r="V411" s="32" t="s">
        <v>6139</v>
      </c>
    </row>
    <row r="412" spans="1:22">
      <c r="A412" s="5" t="s">
        <v>3873</v>
      </c>
      <c r="B412" s="32" t="s">
        <v>207</v>
      </c>
      <c r="C412" s="32" t="s">
        <v>3880</v>
      </c>
      <c r="D412" s="5" t="s">
        <v>4050</v>
      </c>
      <c r="E412" s="48">
        <v>8710</v>
      </c>
      <c r="G412" s="7" t="s">
        <v>3790</v>
      </c>
      <c r="H412" s="32" t="s">
        <v>3692</v>
      </c>
      <c r="J412" s="48">
        <v>8710</v>
      </c>
      <c r="K412" s="48">
        <v>0</v>
      </c>
      <c r="L412" s="7" t="s">
        <v>3790</v>
      </c>
      <c r="M412" s="7">
        <v>44931</v>
      </c>
      <c r="N412" s="7">
        <v>44718</v>
      </c>
      <c r="O412" s="7" t="s">
        <v>3790</v>
      </c>
      <c r="P412" s="48">
        <v>91</v>
      </c>
      <c r="Q412" s="48">
        <v>0</v>
      </c>
      <c r="R412" s="48">
        <v>14</v>
      </c>
      <c r="S412" s="48">
        <v>8000</v>
      </c>
      <c r="T412" s="5" t="s">
        <v>5548</v>
      </c>
      <c r="V412" s="32" t="s">
        <v>6139</v>
      </c>
    </row>
    <row r="413" spans="1:22">
      <c r="A413" s="5" t="s">
        <v>3873</v>
      </c>
      <c r="B413" s="32" t="s">
        <v>207</v>
      </c>
      <c r="C413" s="32" t="s">
        <v>3880</v>
      </c>
      <c r="D413" s="5" t="s">
        <v>5370</v>
      </c>
      <c r="E413" s="48">
        <v>7487</v>
      </c>
      <c r="G413" s="7" t="s">
        <v>3790</v>
      </c>
      <c r="H413" s="32" t="s">
        <v>3692</v>
      </c>
      <c r="J413" s="48">
        <v>7487</v>
      </c>
      <c r="K413" s="48">
        <v>0</v>
      </c>
      <c r="L413" s="7" t="s">
        <v>3790</v>
      </c>
      <c r="M413" s="7">
        <v>44930</v>
      </c>
      <c r="N413" s="7">
        <v>44833</v>
      </c>
      <c r="O413" s="7" t="s">
        <v>3790</v>
      </c>
      <c r="P413" s="48">
        <v>91</v>
      </c>
      <c r="Q413" s="48">
        <v>0</v>
      </c>
      <c r="R413" s="48">
        <v>14</v>
      </c>
      <c r="S413" s="48">
        <v>8000</v>
      </c>
      <c r="T413" s="5" t="s">
        <v>5548</v>
      </c>
      <c r="V413" s="32" t="s">
        <v>6140</v>
      </c>
    </row>
    <row r="414" spans="1:22">
      <c r="A414" s="5" t="s">
        <v>3873</v>
      </c>
      <c r="B414" s="32" t="s">
        <v>210</v>
      </c>
      <c r="C414" s="32" t="s">
        <v>3880</v>
      </c>
      <c r="D414" s="5" t="s">
        <v>6336</v>
      </c>
      <c r="E414" s="48">
        <v>0</v>
      </c>
      <c r="G414" s="7">
        <v>44957</v>
      </c>
      <c r="J414" s="48">
        <v>0</v>
      </c>
      <c r="K414" s="48">
        <v>0</v>
      </c>
      <c r="L414" s="7" t="s">
        <v>3790</v>
      </c>
      <c r="M414" s="7" t="s">
        <v>3790</v>
      </c>
      <c r="N414" s="7">
        <v>44875</v>
      </c>
      <c r="O414" s="7">
        <v>44957</v>
      </c>
      <c r="P414" s="48">
        <v>91</v>
      </c>
      <c r="Q414" s="48">
        <v>0</v>
      </c>
      <c r="R414" s="48">
        <v>14</v>
      </c>
      <c r="S414" s="48">
        <v>3000</v>
      </c>
      <c r="T414" s="5" t="s">
        <v>5549</v>
      </c>
      <c r="V414" s="32" t="s">
        <v>6335</v>
      </c>
    </row>
    <row r="415" spans="1:22">
      <c r="A415" s="5" t="s">
        <v>3873</v>
      </c>
      <c r="B415" s="32" t="s">
        <v>210</v>
      </c>
      <c r="C415" s="32" t="s">
        <v>3880</v>
      </c>
      <c r="D415" s="5" t="s">
        <v>4050</v>
      </c>
      <c r="E415" s="48">
        <v>7707</v>
      </c>
      <c r="G415" s="7" t="s">
        <v>3790</v>
      </c>
      <c r="H415" s="32" t="s">
        <v>3692</v>
      </c>
      <c r="J415" s="48">
        <v>7707</v>
      </c>
      <c r="K415" s="48">
        <v>0</v>
      </c>
      <c r="L415" s="7" t="s">
        <v>3790</v>
      </c>
      <c r="M415" s="7">
        <v>44931</v>
      </c>
      <c r="N415" s="7">
        <v>44718</v>
      </c>
      <c r="O415" s="7" t="s">
        <v>3790</v>
      </c>
      <c r="P415" s="48">
        <v>91</v>
      </c>
      <c r="Q415" s="48">
        <v>0</v>
      </c>
      <c r="R415" s="48">
        <v>14</v>
      </c>
      <c r="S415" s="48">
        <v>7000</v>
      </c>
      <c r="T415" s="5" t="s">
        <v>5548</v>
      </c>
      <c r="V415" s="32" t="s">
        <v>6139</v>
      </c>
    </row>
    <row r="416" spans="1:22">
      <c r="A416" s="5" t="s">
        <v>3873</v>
      </c>
      <c r="B416" s="32" t="s">
        <v>214</v>
      </c>
      <c r="C416" s="32" t="s">
        <v>3878</v>
      </c>
      <c r="D416" s="5" t="s">
        <v>4050</v>
      </c>
      <c r="E416" s="48">
        <v>3849</v>
      </c>
      <c r="G416" s="7" t="s">
        <v>3790</v>
      </c>
      <c r="H416" s="32" t="s">
        <v>3692</v>
      </c>
      <c r="J416" s="48">
        <v>3849</v>
      </c>
      <c r="K416" s="48">
        <v>0</v>
      </c>
      <c r="L416" s="7" t="s">
        <v>3790</v>
      </c>
      <c r="M416" s="7">
        <v>44931</v>
      </c>
      <c r="N416" s="7">
        <v>44718</v>
      </c>
      <c r="O416" s="7" t="s">
        <v>3790</v>
      </c>
      <c r="P416" s="48">
        <v>91</v>
      </c>
      <c r="Q416" s="48">
        <v>0</v>
      </c>
      <c r="R416" s="48">
        <v>14</v>
      </c>
      <c r="S416" s="48">
        <v>4000</v>
      </c>
      <c r="T416" s="5" t="s">
        <v>5548</v>
      </c>
      <c r="V416" s="32" t="s">
        <v>6139</v>
      </c>
    </row>
    <row r="417" spans="1:22">
      <c r="A417" s="5" t="s">
        <v>3873</v>
      </c>
      <c r="B417" s="32" t="s">
        <v>214</v>
      </c>
      <c r="C417" s="32" t="s">
        <v>3878</v>
      </c>
      <c r="D417" s="5" t="s">
        <v>5370</v>
      </c>
      <c r="E417" s="48">
        <v>2949</v>
      </c>
      <c r="G417" s="7" t="s">
        <v>3790</v>
      </c>
      <c r="H417" s="32" t="s">
        <v>3692</v>
      </c>
      <c r="J417" s="48">
        <v>2949</v>
      </c>
      <c r="K417" s="48">
        <v>0</v>
      </c>
      <c r="L417" s="7" t="s">
        <v>3790</v>
      </c>
      <c r="M417" s="7">
        <v>45014</v>
      </c>
      <c r="N417" s="7">
        <v>44833</v>
      </c>
      <c r="O417" s="7" t="s">
        <v>3790</v>
      </c>
      <c r="P417" s="48">
        <v>91</v>
      </c>
      <c r="Q417" s="48">
        <v>0</v>
      </c>
      <c r="R417" s="48">
        <v>14</v>
      </c>
      <c r="S417" s="48">
        <v>3000</v>
      </c>
      <c r="T417" s="5" t="s">
        <v>5548</v>
      </c>
      <c r="V417" s="32" t="s">
        <v>6137</v>
      </c>
    </row>
    <row r="418" spans="1:22">
      <c r="A418" s="5" t="s">
        <v>3873</v>
      </c>
      <c r="B418" s="32" t="s">
        <v>217</v>
      </c>
      <c r="C418" s="32" t="s">
        <v>3878</v>
      </c>
      <c r="D418" s="5" t="s">
        <v>5370</v>
      </c>
      <c r="E418" s="48">
        <v>2447</v>
      </c>
      <c r="G418" s="7" t="s">
        <v>3790</v>
      </c>
      <c r="H418" s="32" t="s">
        <v>3692</v>
      </c>
      <c r="J418" s="48">
        <v>2447</v>
      </c>
      <c r="K418" s="48">
        <v>0</v>
      </c>
      <c r="L418" s="7" t="s">
        <v>3790</v>
      </c>
      <c r="M418" s="7">
        <v>45014</v>
      </c>
      <c r="N418" s="7">
        <v>44833</v>
      </c>
      <c r="O418" s="7" t="s">
        <v>3790</v>
      </c>
      <c r="P418" s="48">
        <v>91</v>
      </c>
      <c r="Q418" s="48">
        <v>0</v>
      </c>
      <c r="R418" s="48">
        <v>14</v>
      </c>
      <c r="S418" s="48">
        <v>2000</v>
      </c>
      <c r="T418" s="5" t="s">
        <v>5548</v>
      </c>
      <c r="V418" s="32" t="s">
        <v>6137</v>
      </c>
    </row>
    <row r="419" spans="1:22">
      <c r="A419" s="5" t="s">
        <v>3873</v>
      </c>
      <c r="B419" s="32" t="s">
        <v>217</v>
      </c>
      <c r="C419" s="32" t="s">
        <v>3878</v>
      </c>
      <c r="D419" s="5" t="s">
        <v>4057</v>
      </c>
      <c r="E419" s="48">
        <v>1173</v>
      </c>
      <c r="G419" s="7" t="s">
        <v>3790</v>
      </c>
      <c r="H419" s="32" t="s">
        <v>3692</v>
      </c>
      <c r="J419" s="48">
        <v>1173</v>
      </c>
      <c r="K419" s="48">
        <v>0</v>
      </c>
      <c r="L419" s="7" t="s">
        <v>3790</v>
      </c>
      <c r="M419" s="7">
        <v>44930</v>
      </c>
      <c r="N419" s="7">
        <v>44796</v>
      </c>
      <c r="O419" s="7" t="s">
        <v>3790</v>
      </c>
      <c r="P419" s="48">
        <v>91</v>
      </c>
      <c r="Q419" s="48">
        <v>0</v>
      </c>
      <c r="R419" s="48">
        <v>14</v>
      </c>
      <c r="S419" s="48">
        <v>1000</v>
      </c>
      <c r="T419" s="5" t="s">
        <v>5548</v>
      </c>
      <c r="V419" s="32" t="s">
        <v>6140</v>
      </c>
    </row>
    <row r="420" spans="1:22">
      <c r="A420" s="5" t="s">
        <v>3873</v>
      </c>
      <c r="B420" s="32" t="s">
        <v>224</v>
      </c>
      <c r="C420" s="32" t="s">
        <v>7559</v>
      </c>
      <c r="D420" s="5" t="s">
        <v>7561</v>
      </c>
      <c r="E420" s="48">
        <v>0</v>
      </c>
      <c r="G420" s="7">
        <v>44984</v>
      </c>
      <c r="J420" s="48">
        <v>0</v>
      </c>
      <c r="K420" s="48">
        <v>0</v>
      </c>
      <c r="L420" s="7" t="s">
        <v>3790</v>
      </c>
      <c r="M420" s="7" t="s">
        <v>3790</v>
      </c>
      <c r="N420" s="7">
        <v>44914</v>
      </c>
      <c r="O420" s="7">
        <v>44984</v>
      </c>
      <c r="P420" s="48">
        <v>91</v>
      </c>
      <c r="Q420" s="48">
        <v>0</v>
      </c>
      <c r="R420" s="48">
        <v>14</v>
      </c>
      <c r="S420" s="48">
        <v>1000</v>
      </c>
      <c r="T420" s="5" t="s">
        <v>5549</v>
      </c>
      <c r="V420" s="32" t="s">
        <v>7560</v>
      </c>
    </row>
    <row r="421" spans="1:22">
      <c r="A421" s="5" t="s">
        <v>3873</v>
      </c>
      <c r="B421" s="32" t="s">
        <v>233</v>
      </c>
      <c r="C421" s="32" t="s">
        <v>3879</v>
      </c>
      <c r="D421" s="5" t="s">
        <v>4057</v>
      </c>
      <c r="E421" s="48">
        <v>11908</v>
      </c>
      <c r="G421" s="7" t="s">
        <v>3790</v>
      </c>
      <c r="H421" s="32" t="s">
        <v>3692</v>
      </c>
      <c r="J421" s="48">
        <v>11908</v>
      </c>
      <c r="K421" s="48">
        <v>0</v>
      </c>
      <c r="L421" s="7" t="s">
        <v>3790</v>
      </c>
      <c r="M421" s="7">
        <v>44939</v>
      </c>
      <c r="N421" s="7">
        <v>44796</v>
      </c>
      <c r="O421" s="7" t="s">
        <v>3790</v>
      </c>
      <c r="P421" s="48">
        <v>91</v>
      </c>
      <c r="Q421" s="48">
        <v>0</v>
      </c>
      <c r="R421" s="48">
        <v>14</v>
      </c>
      <c r="S421" s="48">
        <v>10000</v>
      </c>
      <c r="T421" s="5" t="s">
        <v>5548</v>
      </c>
      <c r="V421" s="32" t="s">
        <v>6141</v>
      </c>
    </row>
    <row r="422" spans="1:22">
      <c r="A422" s="5" t="s">
        <v>3873</v>
      </c>
      <c r="B422" s="32" t="s">
        <v>233</v>
      </c>
      <c r="C422" s="32" t="s">
        <v>3879</v>
      </c>
      <c r="D422" s="5" t="s">
        <v>5288</v>
      </c>
      <c r="E422" s="48">
        <v>7215</v>
      </c>
      <c r="G422" s="7" t="s">
        <v>3790</v>
      </c>
      <c r="H422" s="32" t="s">
        <v>3692</v>
      </c>
      <c r="J422" s="48">
        <v>7215</v>
      </c>
      <c r="K422" s="48">
        <v>0</v>
      </c>
      <c r="L422" s="7" t="s">
        <v>3790</v>
      </c>
      <c r="M422" s="7">
        <v>44985</v>
      </c>
      <c r="N422" s="7">
        <v>44812</v>
      </c>
      <c r="O422" s="7" t="s">
        <v>3790</v>
      </c>
      <c r="P422" s="48">
        <v>91</v>
      </c>
      <c r="Q422" s="48">
        <v>0</v>
      </c>
      <c r="R422" s="48">
        <v>14</v>
      </c>
      <c r="S422" s="48">
        <v>7566</v>
      </c>
      <c r="T422" s="5" t="s">
        <v>5548</v>
      </c>
      <c r="V422" s="32" t="s">
        <v>7495</v>
      </c>
    </row>
    <row r="423" spans="1:22">
      <c r="A423" s="5" t="s">
        <v>3873</v>
      </c>
      <c r="B423" s="32" t="s">
        <v>235</v>
      </c>
      <c r="C423" s="32" t="s">
        <v>5371</v>
      </c>
      <c r="D423" s="5" t="s">
        <v>5370</v>
      </c>
      <c r="E423" s="48">
        <v>923</v>
      </c>
      <c r="G423" s="7" t="s">
        <v>3790</v>
      </c>
      <c r="H423" s="32" t="s">
        <v>3692</v>
      </c>
      <c r="J423" s="48">
        <v>923</v>
      </c>
      <c r="K423" s="48">
        <v>0</v>
      </c>
      <c r="L423" s="7" t="s">
        <v>3790</v>
      </c>
      <c r="M423" s="7">
        <v>45014</v>
      </c>
      <c r="N423" s="7">
        <v>44833</v>
      </c>
      <c r="O423" s="7" t="s">
        <v>3790</v>
      </c>
      <c r="P423" s="48">
        <v>91</v>
      </c>
      <c r="Q423" s="48">
        <v>0</v>
      </c>
      <c r="R423" s="48">
        <v>14</v>
      </c>
      <c r="S423" s="48">
        <v>1000</v>
      </c>
      <c r="T423" s="5" t="s">
        <v>5548</v>
      </c>
      <c r="V423" s="32" t="s">
        <v>6137</v>
      </c>
    </row>
    <row r="424" spans="1:22">
      <c r="A424" s="5" t="s">
        <v>3873</v>
      </c>
      <c r="B424" s="32" t="s">
        <v>239</v>
      </c>
      <c r="C424" s="32" t="s">
        <v>3876</v>
      </c>
      <c r="D424" s="5" t="s">
        <v>5965</v>
      </c>
      <c r="E424" s="48">
        <v>0</v>
      </c>
      <c r="G424" s="7">
        <v>44953</v>
      </c>
      <c r="J424" s="48">
        <v>0</v>
      </c>
      <c r="K424" s="48">
        <v>0</v>
      </c>
      <c r="L424" s="7" t="s">
        <v>3790</v>
      </c>
      <c r="M424" s="7" t="s">
        <v>3790</v>
      </c>
      <c r="N424" s="7">
        <v>44858</v>
      </c>
      <c r="O424" s="7">
        <v>44953</v>
      </c>
      <c r="P424" s="48">
        <v>91</v>
      </c>
      <c r="Q424" s="48">
        <v>0</v>
      </c>
      <c r="R424" s="48">
        <v>14</v>
      </c>
      <c r="S424" s="48">
        <v>10000</v>
      </c>
      <c r="T424" s="5" t="s">
        <v>5549</v>
      </c>
      <c r="V424" s="32" t="s">
        <v>6142</v>
      </c>
    </row>
    <row r="425" spans="1:22">
      <c r="A425" s="5" t="s">
        <v>3873</v>
      </c>
      <c r="B425" s="32" t="s">
        <v>239</v>
      </c>
      <c r="C425" s="32" t="s">
        <v>3876</v>
      </c>
      <c r="D425" s="5" t="s">
        <v>4050</v>
      </c>
      <c r="E425" s="48">
        <v>14549</v>
      </c>
      <c r="G425" s="7" t="s">
        <v>3790</v>
      </c>
      <c r="H425" s="32" t="s">
        <v>3692</v>
      </c>
      <c r="J425" s="48">
        <v>14549</v>
      </c>
      <c r="K425" s="48">
        <v>0</v>
      </c>
      <c r="L425" s="7" t="s">
        <v>3790</v>
      </c>
      <c r="M425" s="7">
        <v>44931</v>
      </c>
      <c r="N425" s="7">
        <v>44718</v>
      </c>
      <c r="O425" s="7" t="s">
        <v>3790</v>
      </c>
      <c r="P425" s="48">
        <v>91</v>
      </c>
      <c r="Q425" s="48">
        <v>0</v>
      </c>
      <c r="R425" s="48">
        <v>14</v>
      </c>
      <c r="S425" s="48">
        <v>16000</v>
      </c>
      <c r="T425" s="5" t="s">
        <v>5548</v>
      </c>
      <c r="V425" s="32" t="s">
        <v>6139</v>
      </c>
    </row>
    <row r="426" spans="1:22">
      <c r="A426" s="5" t="s">
        <v>3873</v>
      </c>
      <c r="B426" s="32" t="s">
        <v>241</v>
      </c>
      <c r="C426" s="32" t="s">
        <v>3876</v>
      </c>
      <c r="D426" s="5" t="s">
        <v>5965</v>
      </c>
      <c r="E426" s="48">
        <v>0</v>
      </c>
      <c r="G426" s="7">
        <v>44953</v>
      </c>
      <c r="J426" s="48">
        <v>0</v>
      </c>
      <c r="K426" s="48">
        <v>0</v>
      </c>
      <c r="L426" s="7" t="s">
        <v>3790</v>
      </c>
      <c r="M426" s="7" t="s">
        <v>3790</v>
      </c>
      <c r="N426" s="7">
        <v>44858</v>
      </c>
      <c r="O426" s="7">
        <v>44953</v>
      </c>
      <c r="P426" s="48">
        <v>91</v>
      </c>
      <c r="Q426" s="48">
        <v>0</v>
      </c>
      <c r="R426" s="48">
        <v>14</v>
      </c>
      <c r="S426" s="48">
        <v>1000</v>
      </c>
      <c r="T426" s="5" t="s">
        <v>5549</v>
      </c>
      <c r="V426" s="32" t="s">
        <v>6142</v>
      </c>
    </row>
    <row r="427" spans="1:22">
      <c r="A427" s="5" t="s">
        <v>3873</v>
      </c>
      <c r="B427" s="32" t="s">
        <v>241</v>
      </c>
      <c r="C427" s="32" t="s">
        <v>3876</v>
      </c>
      <c r="D427" s="5" t="s">
        <v>4057</v>
      </c>
      <c r="E427" s="48">
        <v>1170</v>
      </c>
      <c r="G427" s="7" t="s">
        <v>3790</v>
      </c>
      <c r="H427" s="32" t="s">
        <v>3692</v>
      </c>
      <c r="J427" s="48">
        <v>1170</v>
      </c>
      <c r="K427" s="48">
        <v>0</v>
      </c>
      <c r="L427" s="7" t="s">
        <v>3790</v>
      </c>
      <c r="M427" s="7">
        <v>44939</v>
      </c>
      <c r="N427" s="7">
        <v>44796</v>
      </c>
      <c r="O427" s="7" t="s">
        <v>3790</v>
      </c>
      <c r="P427" s="48">
        <v>91</v>
      </c>
      <c r="Q427" s="48">
        <v>0</v>
      </c>
      <c r="R427" s="48">
        <v>14</v>
      </c>
      <c r="S427" s="48">
        <v>1000</v>
      </c>
      <c r="T427" s="5" t="s">
        <v>5548</v>
      </c>
      <c r="V427" s="32" t="s">
        <v>6141</v>
      </c>
    </row>
    <row r="428" spans="1:22">
      <c r="A428" s="5" t="s">
        <v>3873</v>
      </c>
      <c r="B428" s="32" t="s">
        <v>2306</v>
      </c>
      <c r="C428" s="32" t="s">
        <v>3872</v>
      </c>
      <c r="D428" s="5" t="s">
        <v>7737</v>
      </c>
      <c r="E428" s="48">
        <v>0</v>
      </c>
      <c r="G428" s="7">
        <v>44984</v>
      </c>
      <c r="J428" s="48">
        <v>0</v>
      </c>
      <c r="K428" s="48">
        <v>0</v>
      </c>
      <c r="L428" s="7" t="s">
        <v>3790</v>
      </c>
      <c r="M428" s="7" t="s">
        <v>3790</v>
      </c>
      <c r="N428" s="7">
        <v>44922</v>
      </c>
      <c r="O428" s="7">
        <v>44984</v>
      </c>
      <c r="P428" s="48">
        <v>91</v>
      </c>
      <c r="Q428" s="48">
        <v>0</v>
      </c>
      <c r="R428" s="48">
        <v>14</v>
      </c>
      <c r="S428" s="48">
        <v>2000</v>
      </c>
      <c r="T428" s="5" t="s">
        <v>5549</v>
      </c>
      <c r="V428" s="32" t="s">
        <v>7560</v>
      </c>
    </row>
    <row r="429" spans="1:22">
      <c r="A429" s="5" t="s">
        <v>3873</v>
      </c>
      <c r="B429" s="32" t="s">
        <v>2306</v>
      </c>
      <c r="C429" s="32" t="s">
        <v>3872</v>
      </c>
      <c r="D429" s="5" t="s">
        <v>5370</v>
      </c>
      <c r="E429" s="48">
        <v>2620</v>
      </c>
      <c r="G429" s="7" t="s">
        <v>3790</v>
      </c>
      <c r="H429" s="32" t="s">
        <v>3692</v>
      </c>
      <c r="J429" s="48">
        <v>2620</v>
      </c>
      <c r="K429" s="48">
        <v>0</v>
      </c>
      <c r="L429" s="7" t="s">
        <v>3790</v>
      </c>
      <c r="M429" s="7">
        <v>44944</v>
      </c>
      <c r="N429" s="7">
        <v>44833</v>
      </c>
      <c r="O429" s="7" t="s">
        <v>3790</v>
      </c>
      <c r="P429" s="48">
        <v>91</v>
      </c>
      <c r="Q429" s="48">
        <v>0</v>
      </c>
      <c r="R429" s="48">
        <v>14</v>
      </c>
      <c r="S429" s="48">
        <v>5000</v>
      </c>
      <c r="T429" s="5" t="s">
        <v>5548</v>
      </c>
      <c r="V429" s="32" t="s">
        <v>6168</v>
      </c>
    </row>
    <row r="430" spans="1:22">
      <c r="A430" s="5" t="s">
        <v>3893</v>
      </c>
      <c r="B430" s="32" t="s">
        <v>1804</v>
      </c>
      <c r="C430" s="32" t="s">
        <v>1805</v>
      </c>
      <c r="D430" s="5" t="s">
        <v>4272</v>
      </c>
      <c r="E430" s="48">
        <v>3033</v>
      </c>
      <c r="F430" s="32" t="s">
        <v>3895</v>
      </c>
      <c r="G430" s="7">
        <v>44799</v>
      </c>
      <c r="H430" s="32" t="s">
        <v>3526</v>
      </c>
      <c r="I430" s="48">
        <v>381</v>
      </c>
      <c r="J430" s="48">
        <v>2652</v>
      </c>
      <c r="K430" s="48">
        <v>0</v>
      </c>
      <c r="L430" s="7" t="s">
        <v>3790</v>
      </c>
      <c r="M430" s="7">
        <v>44910</v>
      </c>
      <c r="N430" s="7">
        <v>44739</v>
      </c>
      <c r="O430" s="7" t="s">
        <v>3790</v>
      </c>
      <c r="P430" s="48">
        <v>42</v>
      </c>
      <c r="Q430" s="48">
        <v>7</v>
      </c>
      <c r="R430" s="48">
        <v>14</v>
      </c>
      <c r="S430" s="48">
        <v>12000</v>
      </c>
      <c r="T430" s="5" t="s">
        <v>5548</v>
      </c>
      <c r="V430" s="32" t="s">
        <v>3896</v>
      </c>
    </row>
    <row r="431" spans="1:22">
      <c r="A431" s="5" t="s">
        <v>3893</v>
      </c>
      <c r="B431" s="32" t="s">
        <v>1808</v>
      </c>
      <c r="C431" s="32" t="s">
        <v>1809</v>
      </c>
      <c r="D431" s="5" t="s">
        <v>4274</v>
      </c>
      <c r="E431" s="48">
        <v>2015</v>
      </c>
      <c r="F431" s="32" t="s">
        <v>3895</v>
      </c>
      <c r="G431" s="7">
        <v>44925</v>
      </c>
      <c r="H431" s="32" t="s">
        <v>3526</v>
      </c>
      <c r="I431" s="48">
        <v>15</v>
      </c>
      <c r="J431" s="48">
        <v>2000</v>
      </c>
      <c r="K431" s="48">
        <v>0</v>
      </c>
      <c r="L431" s="7" t="s">
        <v>3790</v>
      </c>
      <c r="M431" s="7">
        <v>45005</v>
      </c>
      <c r="N431" s="7">
        <v>44690</v>
      </c>
      <c r="O431" s="7" t="s">
        <v>3790</v>
      </c>
      <c r="P431" s="48">
        <v>42</v>
      </c>
      <c r="Q431" s="48">
        <v>7</v>
      </c>
      <c r="R431" s="48">
        <v>14</v>
      </c>
      <c r="S431" s="48">
        <v>2000</v>
      </c>
      <c r="T431" s="5" t="s">
        <v>5548</v>
      </c>
      <c r="V431" s="32" t="s">
        <v>3897</v>
      </c>
    </row>
    <row r="432" spans="1:22">
      <c r="A432" s="5" t="s">
        <v>3893</v>
      </c>
      <c r="B432" s="32" t="s">
        <v>1810</v>
      </c>
      <c r="C432" s="32" t="s">
        <v>1809</v>
      </c>
      <c r="D432" s="5" t="s">
        <v>4274</v>
      </c>
      <c r="E432" s="48">
        <v>1093</v>
      </c>
      <c r="F432" s="32" t="s">
        <v>3895</v>
      </c>
      <c r="G432" s="7">
        <v>44925</v>
      </c>
      <c r="H432" s="32" t="s">
        <v>3526</v>
      </c>
      <c r="I432" s="48">
        <v>93</v>
      </c>
      <c r="J432" s="48">
        <v>1000</v>
      </c>
      <c r="K432" s="48">
        <v>0</v>
      </c>
      <c r="L432" s="7" t="s">
        <v>3790</v>
      </c>
      <c r="M432" s="7">
        <v>45005</v>
      </c>
      <c r="N432" s="7">
        <v>44690</v>
      </c>
      <c r="O432" s="7" t="s">
        <v>3790</v>
      </c>
      <c r="P432" s="48">
        <v>42</v>
      </c>
      <c r="Q432" s="48">
        <v>7</v>
      </c>
      <c r="R432" s="48">
        <v>14</v>
      </c>
      <c r="S432" s="48">
        <v>1000</v>
      </c>
      <c r="T432" s="5" t="s">
        <v>5548</v>
      </c>
      <c r="V432" s="32" t="s">
        <v>3897</v>
      </c>
    </row>
    <row r="433" spans="1:22">
      <c r="A433" s="5" t="s">
        <v>3893</v>
      </c>
      <c r="B433" s="32" t="s">
        <v>2244</v>
      </c>
      <c r="C433" s="32" t="s">
        <v>2243</v>
      </c>
      <c r="D433" s="5" t="s">
        <v>5905</v>
      </c>
      <c r="E433" s="48">
        <v>0</v>
      </c>
      <c r="F433" s="32" t="s">
        <v>3892</v>
      </c>
      <c r="G433" s="7">
        <v>44939</v>
      </c>
      <c r="J433" s="48">
        <v>0</v>
      </c>
      <c r="K433" s="48">
        <v>0</v>
      </c>
      <c r="L433" s="7" t="s">
        <v>3790</v>
      </c>
      <c r="M433" s="7" t="s">
        <v>3790</v>
      </c>
      <c r="N433" s="7">
        <v>44858</v>
      </c>
      <c r="O433" s="7">
        <v>45002</v>
      </c>
      <c r="P433" s="48">
        <v>98</v>
      </c>
      <c r="Q433" s="48">
        <v>63</v>
      </c>
      <c r="R433" s="48">
        <v>14</v>
      </c>
      <c r="S433" s="48">
        <v>2200</v>
      </c>
      <c r="T433" s="5" t="s">
        <v>5549</v>
      </c>
      <c r="V433" s="32">
        <v>817482</v>
      </c>
    </row>
    <row r="434" spans="1:22">
      <c r="A434" s="5" t="s">
        <v>3893</v>
      </c>
      <c r="B434" s="32" t="s">
        <v>2964</v>
      </c>
      <c r="C434" s="32" t="s">
        <v>2965</v>
      </c>
      <c r="D434" s="5" t="s">
        <v>5539</v>
      </c>
      <c r="E434" s="48">
        <v>0</v>
      </c>
      <c r="F434" s="32" t="s">
        <v>3892</v>
      </c>
      <c r="G434" s="7">
        <v>44939</v>
      </c>
      <c r="J434" s="48">
        <v>0</v>
      </c>
      <c r="K434" s="48">
        <v>0</v>
      </c>
      <c r="L434" s="7" t="s">
        <v>3790</v>
      </c>
      <c r="M434" s="7" t="s">
        <v>3790</v>
      </c>
      <c r="N434" s="7">
        <v>44838</v>
      </c>
      <c r="O434" s="7">
        <v>45002</v>
      </c>
      <c r="P434" s="48">
        <v>98</v>
      </c>
      <c r="Q434" s="48">
        <v>63</v>
      </c>
      <c r="R434" s="48">
        <v>14</v>
      </c>
      <c r="S434" s="48">
        <v>2200</v>
      </c>
      <c r="T434" s="5" t="s">
        <v>5549</v>
      </c>
      <c r="V434" s="32">
        <v>815817</v>
      </c>
    </row>
    <row r="435" spans="1:22">
      <c r="A435" s="5" t="s">
        <v>3893</v>
      </c>
      <c r="B435" s="32" t="s">
        <v>2966</v>
      </c>
      <c r="C435" s="32" t="s">
        <v>2965</v>
      </c>
      <c r="D435" s="5" t="s">
        <v>5539</v>
      </c>
      <c r="E435" s="48">
        <v>0</v>
      </c>
      <c r="F435" s="32" t="s">
        <v>3892</v>
      </c>
      <c r="G435" s="7">
        <v>44939</v>
      </c>
      <c r="J435" s="48">
        <v>0</v>
      </c>
      <c r="K435" s="48">
        <v>0</v>
      </c>
      <c r="L435" s="7" t="s">
        <v>3790</v>
      </c>
      <c r="M435" s="7" t="s">
        <v>3790</v>
      </c>
      <c r="N435" s="7">
        <v>44838</v>
      </c>
      <c r="O435" s="7">
        <v>45002</v>
      </c>
      <c r="P435" s="48">
        <v>98</v>
      </c>
      <c r="Q435" s="48">
        <v>63</v>
      </c>
      <c r="R435" s="48">
        <v>14</v>
      </c>
      <c r="S435" s="48">
        <v>2200</v>
      </c>
      <c r="T435" s="5" t="s">
        <v>5549</v>
      </c>
      <c r="V435" s="32">
        <v>815817</v>
      </c>
    </row>
    <row r="436" spans="1:22">
      <c r="A436" s="5" t="s">
        <v>3893</v>
      </c>
      <c r="B436" s="32" t="s">
        <v>2973</v>
      </c>
      <c r="C436" s="32" t="s">
        <v>2974</v>
      </c>
      <c r="D436" s="5" t="s">
        <v>5912</v>
      </c>
      <c r="E436" s="48">
        <v>0</v>
      </c>
      <c r="F436" s="32" t="s">
        <v>3892</v>
      </c>
      <c r="G436" s="7">
        <v>44890</v>
      </c>
      <c r="H436" s="32" t="s">
        <v>3526</v>
      </c>
      <c r="J436" s="48">
        <v>0</v>
      </c>
      <c r="K436" s="48">
        <v>3295</v>
      </c>
      <c r="L436" s="7" t="s">
        <v>3790</v>
      </c>
      <c r="M436" s="7" t="s">
        <v>3790</v>
      </c>
      <c r="N436" s="7">
        <v>44854</v>
      </c>
      <c r="O436" s="7">
        <v>44953</v>
      </c>
      <c r="P436" s="48">
        <v>98</v>
      </c>
      <c r="Q436" s="48">
        <v>63</v>
      </c>
      <c r="R436" s="48">
        <v>14</v>
      </c>
      <c r="S436" s="48">
        <v>3300</v>
      </c>
      <c r="T436" s="5" t="s">
        <v>5548</v>
      </c>
      <c r="V436" s="32">
        <v>817405</v>
      </c>
    </row>
    <row r="437" spans="1:22">
      <c r="A437" s="5" t="s">
        <v>3893</v>
      </c>
      <c r="B437" s="32" t="s">
        <v>2977</v>
      </c>
      <c r="C437" s="32" t="s">
        <v>2974</v>
      </c>
      <c r="D437" s="5" t="s">
        <v>5912</v>
      </c>
      <c r="E437" s="48">
        <v>0</v>
      </c>
      <c r="F437" s="32" t="s">
        <v>3892</v>
      </c>
      <c r="G437" s="7">
        <v>44890</v>
      </c>
      <c r="H437" s="32" t="s">
        <v>3526</v>
      </c>
      <c r="J437" s="48">
        <v>0</v>
      </c>
      <c r="K437" s="48">
        <v>1525</v>
      </c>
      <c r="L437" s="7" t="s">
        <v>3790</v>
      </c>
      <c r="M437" s="7" t="s">
        <v>3790</v>
      </c>
      <c r="N437" s="7">
        <v>44854</v>
      </c>
      <c r="O437" s="7">
        <v>44953</v>
      </c>
      <c r="P437" s="48">
        <v>98</v>
      </c>
      <c r="Q437" s="48">
        <v>63</v>
      </c>
      <c r="R437" s="48">
        <v>14</v>
      </c>
      <c r="S437" s="48">
        <v>2200</v>
      </c>
      <c r="T437" s="5" t="s">
        <v>5548</v>
      </c>
      <c r="V437" s="32">
        <v>817405</v>
      </c>
    </row>
    <row r="438" spans="1:22">
      <c r="A438" s="5" t="s">
        <v>3893</v>
      </c>
      <c r="B438" s="32" t="s">
        <v>2981</v>
      </c>
      <c r="C438" s="32" t="s">
        <v>2982</v>
      </c>
      <c r="D438" s="5" t="s">
        <v>5912</v>
      </c>
      <c r="E438" s="48">
        <v>0</v>
      </c>
      <c r="F438" s="32" t="s">
        <v>3892</v>
      </c>
      <c r="G438" s="7">
        <v>44911</v>
      </c>
      <c r="H438" s="32" t="s">
        <v>3526</v>
      </c>
      <c r="J438" s="48">
        <v>0</v>
      </c>
      <c r="K438" s="48">
        <v>2396</v>
      </c>
      <c r="L438" s="7" t="s">
        <v>3790</v>
      </c>
      <c r="M438" s="7" t="s">
        <v>3790</v>
      </c>
      <c r="N438" s="7">
        <v>44854</v>
      </c>
      <c r="O438" s="7">
        <v>44974</v>
      </c>
      <c r="P438" s="48">
        <v>98</v>
      </c>
      <c r="Q438" s="48">
        <v>63</v>
      </c>
      <c r="R438" s="48">
        <v>14</v>
      </c>
      <c r="S438" s="48">
        <v>2200</v>
      </c>
      <c r="T438" s="5" t="s">
        <v>5548</v>
      </c>
      <c r="V438" s="32">
        <v>817395</v>
      </c>
    </row>
    <row r="439" spans="1:22">
      <c r="A439" s="5" t="s">
        <v>3882</v>
      </c>
      <c r="B439" s="32" t="s">
        <v>382</v>
      </c>
      <c r="C439" s="32" t="s">
        <v>3883</v>
      </c>
      <c r="D439" s="5" t="s">
        <v>4091</v>
      </c>
      <c r="E439" s="48">
        <v>7492</v>
      </c>
      <c r="F439" s="32" t="s">
        <v>3881</v>
      </c>
      <c r="G439" s="7">
        <v>44788</v>
      </c>
      <c r="H439" s="32" t="s">
        <v>3658</v>
      </c>
      <c r="J439" s="48">
        <v>7492</v>
      </c>
      <c r="K439" s="48">
        <v>0</v>
      </c>
      <c r="L439" s="7" t="s">
        <v>3790</v>
      </c>
      <c r="M439" s="7">
        <v>44972</v>
      </c>
      <c r="N439" s="7">
        <v>44701</v>
      </c>
      <c r="O439" s="7" t="s">
        <v>3790</v>
      </c>
      <c r="P439" s="48">
        <v>84</v>
      </c>
      <c r="Q439" s="48">
        <v>14</v>
      </c>
      <c r="R439" s="48">
        <v>14</v>
      </c>
      <c r="S439" s="48">
        <v>7500</v>
      </c>
      <c r="T439" s="5" t="s">
        <v>5548</v>
      </c>
    </row>
    <row r="440" spans="1:22">
      <c r="A440" s="5" t="s">
        <v>3882</v>
      </c>
      <c r="B440" s="32" t="s">
        <v>382</v>
      </c>
      <c r="C440" s="32" t="s">
        <v>3883</v>
      </c>
      <c r="D440" s="5" t="s">
        <v>4089</v>
      </c>
      <c r="E440" s="48">
        <v>0</v>
      </c>
      <c r="F440" s="32" t="s">
        <v>3881</v>
      </c>
      <c r="G440" s="7">
        <v>45000</v>
      </c>
      <c r="J440" s="48">
        <v>0</v>
      </c>
      <c r="K440" s="48">
        <v>0</v>
      </c>
      <c r="L440" s="7" t="s">
        <v>3790</v>
      </c>
      <c r="M440" s="7" t="s">
        <v>3790</v>
      </c>
      <c r="N440" s="7">
        <v>44740</v>
      </c>
      <c r="O440" s="7">
        <v>45014</v>
      </c>
      <c r="P440" s="48">
        <v>84</v>
      </c>
      <c r="Q440" s="48">
        <v>14</v>
      </c>
      <c r="R440" s="48">
        <v>14</v>
      </c>
      <c r="S440" s="48">
        <v>3500</v>
      </c>
      <c r="T440" s="5" t="s">
        <v>5549</v>
      </c>
    </row>
    <row r="441" spans="1:22">
      <c r="A441" s="5" t="s">
        <v>3882</v>
      </c>
      <c r="B441" s="32" t="s">
        <v>384</v>
      </c>
      <c r="C441" s="32" t="s">
        <v>3883</v>
      </c>
      <c r="D441" s="5" t="s">
        <v>4091</v>
      </c>
      <c r="E441" s="48">
        <v>7959</v>
      </c>
      <c r="F441" s="32" t="s">
        <v>3881</v>
      </c>
      <c r="G441" s="7">
        <v>44788</v>
      </c>
      <c r="H441" s="32" t="s">
        <v>3658</v>
      </c>
      <c r="J441" s="48">
        <v>7959</v>
      </c>
      <c r="K441" s="48">
        <v>0</v>
      </c>
      <c r="L441" s="7" t="s">
        <v>3790</v>
      </c>
      <c r="M441" s="7">
        <v>44972</v>
      </c>
      <c r="N441" s="7">
        <v>44701</v>
      </c>
      <c r="O441" s="7" t="s">
        <v>3790</v>
      </c>
      <c r="P441" s="48">
        <v>84</v>
      </c>
      <c r="Q441" s="48">
        <v>14</v>
      </c>
      <c r="R441" s="48">
        <v>14</v>
      </c>
      <c r="S441" s="48">
        <v>7500</v>
      </c>
      <c r="T441" s="5" t="s">
        <v>5548</v>
      </c>
    </row>
    <row r="442" spans="1:22">
      <c r="A442" s="5" t="s">
        <v>3882</v>
      </c>
      <c r="B442" s="32" t="s">
        <v>384</v>
      </c>
      <c r="C442" s="32" t="s">
        <v>3883</v>
      </c>
      <c r="D442" s="5" t="s">
        <v>4089</v>
      </c>
      <c r="E442" s="48">
        <v>0</v>
      </c>
      <c r="F442" s="32" t="s">
        <v>3881</v>
      </c>
      <c r="G442" s="7">
        <v>45000</v>
      </c>
      <c r="J442" s="48">
        <v>0</v>
      </c>
      <c r="K442" s="48">
        <v>0</v>
      </c>
      <c r="L442" s="7" t="s">
        <v>3790</v>
      </c>
      <c r="M442" s="7" t="s">
        <v>3790</v>
      </c>
      <c r="N442" s="7">
        <v>44740</v>
      </c>
      <c r="O442" s="7">
        <v>45014</v>
      </c>
      <c r="P442" s="48">
        <v>84</v>
      </c>
      <c r="Q442" s="48">
        <v>14</v>
      </c>
      <c r="R442" s="48">
        <v>14</v>
      </c>
      <c r="S442" s="48">
        <v>7500</v>
      </c>
      <c r="T442" s="5" t="s">
        <v>5549</v>
      </c>
    </row>
    <row r="443" spans="1:22">
      <c r="A443" s="5" t="s">
        <v>3882</v>
      </c>
      <c r="B443" s="32" t="s">
        <v>485</v>
      </c>
      <c r="C443" s="32" t="s">
        <v>486</v>
      </c>
      <c r="D443" s="5" t="s">
        <v>4089</v>
      </c>
      <c r="E443" s="48">
        <v>0</v>
      </c>
      <c r="F443" s="32" t="s">
        <v>3881</v>
      </c>
      <c r="G443" s="7">
        <v>45075</v>
      </c>
      <c r="J443" s="48">
        <v>0</v>
      </c>
      <c r="K443" s="48">
        <v>0</v>
      </c>
      <c r="L443" s="7" t="s">
        <v>3790</v>
      </c>
      <c r="M443" s="7" t="s">
        <v>3790</v>
      </c>
      <c r="N443" s="7">
        <v>44740</v>
      </c>
      <c r="O443" s="7">
        <v>45089</v>
      </c>
      <c r="P443" s="48">
        <v>84</v>
      </c>
      <c r="Q443" s="48">
        <v>14</v>
      </c>
      <c r="R443" s="48">
        <v>14</v>
      </c>
      <c r="S443" s="48">
        <v>1300</v>
      </c>
      <c r="T443" s="5" t="s">
        <v>5549</v>
      </c>
    </row>
    <row r="444" spans="1:22">
      <c r="A444" s="5" t="s">
        <v>3882</v>
      </c>
      <c r="B444" s="32" t="s">
        <v>487</v>
      </c>
      <c r="C444" s="32" t="s">
        <v>486</v>
      </c>
      <c r="D444" s="5" t="s">
        <v>4089</v>
      </c>
      <c r="E444" s="48">
        <v>0</v>
      </c>
      <c r="F444" s="32" t="s">
        <v>3881</v>
      </c>
      <c r="G444" s="7">
        <v>45075</v>
      </c>
      <c r="J444" s="48">
        <v>0</v>
      </c>
      <c r="K444" s="48">
        <v>0</v>
      </c>
      <c r="L444" s="7" t="s">
        <v>3790</v>
      </c>
      <c r="M444" s="7" t="s">
        <v>3790</v>
      </c>
      <c r="N444" s="7">
        <v>44740</v>
      </c>
      <c r="O444" s="7">
        <v>45089</v>
      </c>
      <c r="P444" s="48">
        <v>84</v>
      </c>
      <c r="Q444" s="48">
        <v>14</v>
      </c>
      <c r="R444" s="48">
        <v>14</v>
      </c>
      <c r="S444" s="48">
        <v>2000</v>
      </c>
      <c r="T444" s="5" t="s">
        <v>5549</v>
      </c>
    </row>
    <row r="445" spans="1:22">
      <c r="A445" s="5" t="s">
        <v>3882</v>
      </c>
      <c r="B445" s="32" t="s">
        <v>902</v>
      </c>
      <c r="C445" s="32" t="s">
        <v>3884</v>
      </c>
      <c r="D445" s="5" t="s">
        <v>4102</v>
      </c>
      <c r="E445" s="48">
        <v>804</v>
      </c>
      <c r="F445" s="32" t="s">
        <v>3881</v>
      </c>
      <c r="G445" s="7">
        <v>44757</v>
      </c>
      <c r="H445" s="32" t="s">
        <v>3658</v>
      </c>
      <c r="J445" s="48">
        <v>804</v>
      </c>
      <c r="K445" s="48">
        <v>0</v>
      </c>
      <c r="L445" s="7" t="s">
        <v>3790</v>
      </c>
      <c r="M445" s="7">
        <v>44941</v>
      </c>
      <c r="N445" s="7">
        <v>44658</v>
      </c>
      <c r="O445" s="7" t="s">
        <v>3790</v>
      </c>
      <c r="P445" s="48">
        <v>84</v>
      </c>
      <c r="Q445" s="48">
        <v>14</v>
      </c>
      <c r="R445" s="48">
        <v>14</v>
      </c>
      <c r="S445" s="48">
        <v>700</v>
      </c>
      <c r="T445" s="5" t="s">
        <v>5548</v>
      </c>
    </row>
    <row r="446" spans="1:22">
      <c r="A446" s="5" t="s">
        <v>3882</v>
      </c>
      <c r="B446" s="32" t="s">
        <v>905</v>
      </c>
      <c r="C446" s="32" t="s">
        <v>3884</v>
      </c>
      <c r="D446" s="5" t="s">
        <v>7689</v>
      </c>
      <c r="E446" s="48">
        <v>0</v>
      </c>
      <c r="F446" s="32" t="s">
        <v>3881</v>
      </c>
      <c r="G446" s="7">
        <v>44998</v>
      </c>
      <c r="J446" s="48">
        <v>0</v>
      </c>
      <c r="K446" s="48">
        <v>0</v>
      </c>
      <c r="L446" s="7" t="s">
        <v>3790</v>
      </c>
      <c r="M446" s="7" t="s">
        <v>3790</v>
      </c>
      <c r="N446" s="7">
        <v>44924</v>
      </c>
      <c r="O446" s="7">
        <v>45012</v>
      </c>
      <c r="P446" s="48">
        <v>84</v>
      </c>
      <c r="Q446" s="48">
        <v>14</v>
      </c>
      <c r="R446" s="48">
        <v>14</v>
      </c>
      <c r="S446" s="48">
        <v>2200</v>
      </c>
      <c r="T446" s="5" t="s">
        <v>5549</v>
      </c>
    </row>
    <row r="447" spans="1:22">
      <c r="A447" s="5" t="s">
        <v>3882</v>
      </c>
      <c r="B447" s="32" t="s">
        <v>1044</v>
      </c>
      <c r="C447" s="32" t="s">
        <v>1045</v>
      </c>
      <c r="D447" s="5" t="s">
        <v>5289</v>
      </c>
      <c r="E447" s="48">
        <v>887</v>
      </c>
      <c r="F447" s="32" t="s">
        <v>3881</v>
      </c>
      <c r="G447" s="7">
        <v>44909</v>
      </c>
      <c r="H447" s="32" t="s">
        <v>3658</v>
      </c>
      <c r="J447" s="48">
        <v>887</v>
      </c>
      <c r="K447" s="48">
        <v>0</v>
      </c>
      <c r="L447" s="7" t="s">
        <v>3790</v>
      </c>
      <c r="M447" s="7">
        <v>45091</v>
      </c>
      <c r="N447" s="7">
        <v>44830</v>
      </c>
      <c r="O447" s="7" t="s">
        <v>3790</v>
      </c>
      <c r="P447" s="48">
        <v>84</v>
      </c>
      <c r="Q447" s="48">
        <v>14</v>
      </c>
      <c r="R447" s="48">
        <v>14</v>
      </c>
      <c r="S447" s="48">
        <v>3300</v>
      </c>
      <c r="T447" s="5" t="s">
        <v>5548</v>
      </c>
    </row>
    <row r="448" spans="1:22">
      <c r="A448" s="5" t="s">
        <v>3882</v>
      </c>
      <c r="B448" s="32" t="s">
        <v>1047</v>
      </c>
      <c r="C448" s="32" t="s">
        <v>1045</v>
      </c>
      <c r="D448" s="5" t="s">
        <v>5289</v>
      </c>
      <c r="E448" s="48">
        <v>1145</v>
      </c>
      <c r="F448" s="32" t="s">
        <v>3881</v>
      </c>
      <c r="G448" s="7">
        <v>44909</v>
      </c>
      <c r="H448" s="32" t="s">
        <v>3658</v>
      </c>
      <c r="J448" s="48">
        <v>1145</v>
      </c>
      <c r="K448" s="48">
        <v>0</v>
      </c>
      <c r="L448" s="7" t="s">
        <v>3790</v>
      </c>
      <c r="M448" s="7">
        <v>45091</v>
      </c>
      <c r="N448" s="7">
        <v>44830</v>
      </c>
      <c r="O448" s="7" t="s">
        <v>3790</v>
      </c>
      <c r="P448" s="48">
        <v>84</v>
      </c>
      <c r="Q448" s="48">
        <v>14</v>
      </c>
      <c r="R448" s="48">
        <v>14</v>
      </c>
      <c r="S448" s="48">
        <v>1100</v>
      </c>
      <c r="T448" s="5" t="s">
        <v>5548</v>
      </c>
    </row>
    <row r="449" spans="1:20">
      <c r="A449" s="5" t="s">
        <v>3882</v>
      </c>
      <c r="B449" s="32" t="s">
        <v>1055</v>
      </c>
      <c r="C449" s="32" t="s">
        <v>1054</v>
      </c>
      <c r="D449" s="5" t="s">
        <v>4185</v>
      </c>
      <c r="E449" s="48">
        <v>1599</v>
      </c>
      <c r="F449" s="32" t="s">
        <v>3881</v>
      </c>
      <c r="G449" s="7">
        <v>44874</v>
      </c>
      <c r="H449" s="32" t="s">
        <v>3658</v>
      </c>
      <c r="J449" s="48">
        <v>1599</v>
      </c>
      <c r="K449" s="48">
        <v>0</v>
      </c>
      <c r="L449" s="7" t="s">
        <v>3790</v>
      </c>
      <c r="M449" s="7">
        <v>45055</v>
      </c>
      <c r="N449" s="7">
        <v>44812</v>
      </c>
      <c r="O449" s="7" t="s">
        <v>3790</v>
      </c>
      <c r="P449" s="48">
        <v>84</v>
      </c>
      <c r="Q449" s="48">
        <v>14</v>
      </c>
      <c r="R449" s="48">
        <v>14</v>
      </c>
      <c r="S449" s="48">
        <v>2200</v>
      </c>
      <c r="T449" s="5" t="s">
        <v>5548</v>
      </c>
    </row>
    <row r="450" spans="1:20">
      <c r="A450" s="5" t="s">
        <v>3882</v>
      </c>
      <c r="B450" s="32" t="s">
        <v>4520</v>
      </c>
      <c r="C450" s="32" t="s">
        <v>1057</v>
      </c>
      <c r="D450" s="5" t="s">
        <v>5289</v>
      </c>
      <c r="E450" s="48">
        <v>1998</v>
      </c>
      <c r="F450" s="32" t="s">
        <v>3881</v>
      </c>
      <c r="G450" s="7">
        <v>44838</v>
      </c>
      <c r="H450" s="32" t="s">
        <v>3658</v>
      </c>
      <c r="J450" s="48">
        <v>1998</v>
      </c>
      <c r="K450" s="48">
        <v>0</v>
      </c>
      <c r="L450" s="7" t="s">
        <v>3790</v>
      </c>
      <c r="M450" s="7">
        <v>45020</v>
      </c>
      <c r="N450" s="7">
        <v>44830</v>
      </c>
      <c r="O450" s="7" t="s">
        <v>3790</v>
      </c>
      <c r="P450" s="48">
        <v>84</v>
      </c>
      <c r="Q450" s="48">
        <v>14</v>
      </c>
      <c r="R450" s="48">
        <v>14</v>
      </c>
      <c r="S450" s="48">
        <v>2200</v>
      </c>
      <c r="T450" s="5" t="s">
        <v>5548</v>
      </c>
    </row>
    <row r="451" spans="1:20">
      <c r="A451" s="5" t="s">
        <v>3882</v>
      </c>
      <c r="B451" s="32" t="s">
        <v>1205</v>
      </c>
      <c r="C451" s="32" t="s">
        <v>1206</v>
      </c>
      <c r="D451" s="5" t="s">
        <v>4185</v>
      </c>
      <c r="E451" s="48">
        <v>2470</v>
      </c>
      <c r="F451" s="32" t="s">
        <v>3881</v>
      </c>
      <c r="G451" s="7">
        <v>44874</v>
      </c>
      <c r="H451" s="32" t="s">
        <v>3658</v>
      </c>
      <c r="J451" s="48">
        <v>2470</v>
      </c>
      <c r="K451" s="48">
        <v>0</v>
      </c>
      <c r="L451" s="7" t="s">
        <v>3790</v>
      </c>
      <c r="M451" s="7">
        <v>45055</v>
      </c>
      <c r="N451" s="7">
        <v>44812</v>
      </c>
      <c r="O451" s="7" t="s">
        <v>3790</v>
      </c>
      <c r="P451" s="48">
        <v>84</v>
      </c>
      <c r="Q451" s="48">
        <v>14</v>
      </c>
      <c r="R451" s="48">
        <v>14</v>
      </c>
      <c r="S451" s="48">
        <v>2200</v>
      </c>
      <c r="T451" s="5" t="s">
        <v>5548</v>
      </c>
    </row>
    <row r="452" spans="1:20">
      <c r="A452" s="5" t="s">
        <v>3882</v>
      </c>
      <c r="B452" s="32" t="s">
        <v>1257</v>
      </c>
      <c r="C452" s="32" t="s">
        <v>1256</v>
      </c>
      <c r="D452" s="5" t="s">
        <v>4062</v>
      </c>
      <c r="E452" s="48">
        <v>2408</v>
      </c>
      <c r="F452" s="32" t="s">
        <v>3881</v>
      </c>
      <c r="G452" s="7">
        <v>44775</v>
      </c>
      <c r="H452" s="32" t="s">
        <v>3658</v>
      </c>
      <c r="J452" s="48">
        <v>2408</v>
      </c>
      <c r="K452" s="48">
        <v>0</v>
      </c>
      <c r="L452" s="7" t="s">
        <v>3790</v>
      </c>
      <c r="M452" s="7">
        <v>44959</v>
      </c>
      <c r="N452" s="7">
        <v>44617</v>
      </c>
      <c r="O452" s="7" t="s">
        <v>3790</v>
      </c>
      <c r="P452" s="48">
        <v>84</v>
      </c>
      <c r="Q452" s="48">
        <v>14</v>
      </c>
      <c r="R452" s="48">
        <v>14</v>
      </c>
      <c r="S452" s="48">
        <v>2200</v>
      </c>
      <c r="T452" s="5" t="s">
        <v>5548</v>
      </c>
    </row>
    <row r="453" spans="1:20">
      <c r="A453" s="5" t="s">
        <v>3882</v>
      </c>
      <c r="B453" s="32" t="s">
        <v>1643</v>
      </c>
      <c r="C453" s="32" t="s">
        <v>1638</v>
      </c>
      <c r="D453" s="5" t="s">
        <v>4091</v>
      </c>
      <c r="E453" s="48">
        <v>1459</v>
      </c>
      <c r="F453" s="32" t="s">
        <v>3881</v>
      </c>
      <c r="G453" s="7">
        <v>44783</v>
      </c>
      <c r="H453" s="32" t="s">
        <v>3658</v>
      </c>
      <c r="J453" s="48">
        <v>1459</v>
      </c>
      <c r="K453" s="48">
        <v>0</v>
      </c>
      <c r="L453" s="7" t="s">
        <v>3790</v>
      </c>
      <c r="M453" s="7">
        <v>44967</v>
      </c>
      <c r="N453" s="7">
        <v>44701</v>
      </c>
      <c r="O453" s="7" t="s">
        <v>3790</v>
      </c>
      <c r="P453" s="48">
        <v>84</v>
      </c>
      <c r="Q453" s="48">
        <v>14</v>
      </c>
      <c r="R453" s="48">
        <v>14</v>
      </c>
      <c r="S453" s="48">
        <v>1300</v>
      </c>
      <c r="T453" s="5" t="s">
        <v>5548</v>
      </c>
    </row>
    <row r="454" spans="1:20">
      <c r="A454" s="5" t="s">
        <v>3882</v>
      </c>
      <c r="B454" s="32" t="s">
        <v>1644</v>
      </c>
      <c r="C454" s="32" t="s">
        <v>1638</v>
      </c>
      <c r="D454" s="5" t="s">
        <v>4091</v>
      </c>
      <c r="E454" s="48">
        <v>993</v>
      </c>
      <c r="F454" s="32" t="s">
        <v>3881</v>
      </c>
      <c r="G454" s="7">
        <v>44783</v>
      </c>
      <c r="H454" s="32" t="s">
        <v>3658</v>
      </c>
      <c r="J454" s="48">
        <v>993</v>
      </c>
      <c r="K454" s="48">
        <v>0</v>
      </c>
      <c r="L454" s="7" t="s">
        <v>3790</v>
      </c>
      <c r="M454" s="7">
        <v>44967</v>
      </c>
      <c r="N454" s="7">
        <v>44701</v>
      </c>
      <c r="O454" s="7" t="s">
        <v>3790</v>
      </c>
      <c r="P454" s="48">
        <v>84</v>
      </c>
      <c r="Q454" s="48">
        <v>14</v>
      </c>
      <c r="R454" s="48">
        <v>14</v>
      </c>
      <c r="S454" s="48">
        <v>900</v>
      </c>
      <c r="T454" s="5" t="s">
        <v>5548</v>
      </c>
    </row>
    <row r="455" spans="1:20">
      <c r="A455" s="5" t="s">
        <v>3882</v>
      </c>
      <c r="B455" s="32" t="s">
        <v>1701</v>
      </c>
      <c r="C455" s="32" t="s">
        <v>3885</v>
      </c>
      <c r="D455" s="5" t="s">
        <v>4253</v>
      </c>
      <c r="E455" s="48">
        <v>0</v>
      </c>
      <c r="F455" s="32" t="s">
        <v>3881</v>
      </c>
      <c r="G455" s="7">
        <v>44970</v>
      </c>
      <c r="J455" s="48">
        <v>0</v>
      </c>
      <c r="K455" s="48">
        <v>0</v>
      </c>
      <c r="L455" s="7" t="s">
        <v>3790</v>
      </c>
      <c r="M455" s="7" t="s">
        <v>3790</v>
      </c>
      <c r="N455" s="7">
        <v>44785</v>
      </c>
      <c r="O455" s="7">
        <v>44984</v>
      </c>
      <c r="P455" s="48">
        <v>84</v>
      </c>
      <c r="Q455" s="48">
        <v>14</v>
      </c>
      <c r="R455" s="48">
        <v>14</v>
      </c>
      <c r="S455" s="48">
        <v>5500</v>
      </c>
      <c r="T455" s="5" t="s">
        <v>5549</v>
      </c>
    </row>
    <row r="456" spans="1:20">
      <c r="A456" s="5" t="s">
        <v>3882</v>
      </c>
      <c r="B456" s="32" t="s">
        <v>1703</v>
      </c>
      <c r="C456" s="32" t="s">
        <v>3885</v>
      </c>
      <c r="D456" s="5" t="s">
        <v>4255</v>
      </c>
      <c r="E456" s="48">
        <v>2870</v>
      </c>
      <c r="F456" s="32" t="s">
        <v>3881</v>
      </c>
      <c r="G456" s="7">
        <v>44799</v>
      </c>
      <c r="H456" s="32" t="s">
        <v>3658</v>
      </c>
      <c r="J456" s="48">
        <v>2870</v>
      </c>
      <c r="K456" s="48">
        <v>0</v>
      </c>
      <c r="L456" s="7" t="s">
        <v>3790</v>
      </c>
      <c r="M456" s="7">
        <v>44983</v>
      </c>
      <c r="N456" s="7">
        <v>44701</v>
      </c>
      <c r="O456" s="7" t="s">
        <v>3790</v>
      </c>
      <c r="P456" s="48">
        <v>84</v>
      </c>
      <c r="Q456" s="48">
        <v>14</v>
      </c>
      <c r="R456" s="48">
        <v>14</v>
      </c>
      <c r="S456" s="48">
        <v>4400</v>
      </c>
      <c r="T456" s="5" t="s">
        <v>5548</v>
      </c>
    </row>
    <row r="457" spans="1:20">
      <c r="A457" s="5" t="s">
        <v>3882</v>
      </c>
      <c r="B457" s="32" t="s">
        <v>1703</v>
      </c>
      <c r="C457" s="32" t="s">
        <v>3885</v>
      </c>
      <c r="D457" s="5" t="s">
        <v>4253</v>
      </c>
      <c r="E457" s="48">
        <v>0</v>
      </c>
      <c r="F457" s="32" t="s">
        <v>3881</v>
      </c>
      <c r="G457" s="7">
        <v>44970</v>
      </c>
      <c r="J457" s="48">
        <v>0</v>
      </c>
      <c r="K457" s="48">
        <v>0</v>
      </c>
      <c r="L457" s="7" t="s">
        <v>3790</v>
      </c>
      <c r="M457" s="7" t="s">
        <v>3790</v>
      </c>
      <c r="N457" s="7">
        <v>44785</v>
      </c>
      <c r="O457" s="7">
        <v>44984</v>
      </c>
      <c r="P457" s="48">
        <v>84</v>
      </c>
      <c r="Q457" s="48">
        <v>14</v>
      </c>
      <c r="R457" s="48">
        <v>14</v>
      </c>
      <c r="S457" s="48">
        <v>5500</v>
      </c>
      <c r="T457" s="5" t="s">
        <v>5549</v>
      </c>
    </row>
    <row r="458" spans="1:20">
      <c r="A458" s="5" t="s">
        <v>3882</v>
      </c>
      <c r="B458" s="32" t="s">
        <v>1721</v>
      </c>
      <c r="C458" s="32" t="s">
        <v>1722</v>
      </c>
      <c r="D458" s="5" t="s">
        <v>5372</v>
      </c>
      <c r="E458" s="48">
        <v>1163</v>
      </c>
      <c r="F458" s="32" t="s">
        <v>3881</v>
      </c>
      <c r="G458" s="7">
        <v>44848</v>
      </c>
      <c r="H458" s="32" t="s">
        <v>3658</v>
      </c>
      <c r="J458" s="48">
        <v>1163</v>
      </c>
      <c r="K458" s="48">
        <v>0</v>
      </c>
      <c r="L458" s="7" t="s">
        <v>3790</v>
      </c>
      <c r="M458" s="7">
        <v>45030</v>
      </c>
      <c r="N458" s="7">
        <v>44833</v>
      </c>
      <c r="O458" s="7" t="s">
        <v>3790</v>
      </c>
      <c r="P458" s="48">
        <v>84</v>
      </c>
      <c r="Q458" s="48">
        <v>14</v>
      </c>
      <c r="R458" s="48">
        <v>14</v>
      </c>
      <c r="S458" s="48">
        <v>1700</v>
      </c>
      <c r="T458" s="5" t="s">
        <v>5548</v>
      </c>
    </row>
    <row r="459" spans="1:20">
      <c r="A459" s="5" t="s">
        <v>3882</v>
      </c>
      <c r="B459" s="32" t="s">
        <v>1723</v>
      </c>
      <c r="C459" s="32" t="s">
        <v>1722</v>
      </c>
      <c r="D459" s="5" t="s">
        <v>7713</v>
      </c>
      <c r="E459" s="48">
        <v>0</v>
      </c>
      <c r="F459" s="32" t="s">
        <v>3881</v>
      </c>
      <c r="G459" s="7">
        <v>44977</v>
      </c>
      <c r="J459" s="48">
        <v>0</v>
      </c>
      <c r="K459" s="48">
        <v>0</v>
      </c>
      <c r="L459" s="7" t="s">
        <v>3790</v>
      </c>
      <c r="M459" s="7" t="s">
        <v>3790</v>
      </c>
      <c r="N459" s="7">
        <v>44916</v>
      </c>
      <c r="O459" s="7">
        <v>44991</v>
      </c>
      <c r="P459" s="48">
        <v>84</v>
      </c>
      <c r="Q459" s="48">
        <v>14</v>
      </c>
      <c r="R459" s="48">
        <v>14</v>
      </c>
      <c r="S459" s="48">
        <v>600</v>
      </c>
      <c r="T459" s="5" t="s">
        <v>5549</v>
      </c>
    </row>
    <row r="460" spans="1:20">
      <c r="A460" s="5" t="s">
        <v>3882</v>
      </c>
      <c r="B460" s="32" t="s">
        <v>1725</v>
      </c>
      <c r="C460" s="32" t="s">
        <v>1722</v>
      </c>
      <c r="D460" s="5" t="s">
        <v>7713</v>
      </c>
      <c r="E460" s="48">
        <v>0</v>
      </c>
      <c r="F460" s="32" t="s">
        <v>3881</v>
      </c>
      <c r="G460" s="7">
        <v>44977</v>
      </c>
      <c r="J460" s="48">
        <v>0</v>
      </c>
      <c r="K460" s="48">
        <v>0</v>
      </c>
      <c r="L460" s="7" t="s">
        <v>3790</v>
      </c>
      <c r="M460" s="7" t="s">
        <v>3790</v>
      </c>
      <c r="N460" s="7">
        <v>44916</v>
      </c>
      <c r="O460" s="7">
        <v>44991</v>
      </c>
      <c r="P460" s="48">
        <v>84</v>
      </c>
      <c r="Q460" s="48">
        <v>14</v>
      </c>
      <c r="R460" s="48">
        <v>14</v>
      </c>
      <c r="S460" s="48">
        <v>1100</v>
      </c>
      <c r="T460" s="5" t="s">
        <v>5549</v>
      </c>
    </row>
    <row r="461" spans="1:20">
      <c r="A461" s="5" t="s">
        <v>3882</v>
      </c>
      <c r="B461" s="32" t="s">
        <v>1728</v>
      </c>
      <c r="C461" s="32" t="s">
        <v>1722</v>
      </c>
      <c r="D461" s="5" t="s">
        <v>7713</v>
      </c>
      <c r="E461" s="48">
        <v>0</v>
      </c>
      <c r="F461" s="32" t="s">
        <v>3881</v>
      </c>
      <c r="G461" s="7">
        <v>44977</v>
      </c>
      <c r="J461" s="48">
        <v>0</v>
      </c>
      <c r="K461" s="48">
        <v>0</v>
      </c>
      <c r="L461" s="7" t="s">
        <v>3790</v>
      </c>
      <c r="M461" s="7" t="s">
        <v>3790</v>
      </c>
      <c r="N461" s="7">
        <v>44916</v>
      </c>
      <c r="O461" s="7">
        <v>44991</v>
      </c>
      <c r="P461" s="48">
        <v>84</v>
      </c>
      <c r="Q461" s="48">
        <v>14</v>
      </c>
      <c r="R461" s="48">
        <v>14</v>
      </c>
      <c r="S461" s="48">
        <v>500</v>
      </c>
      <c r="T461" s="5" t="s">
        <v>5549</v>
      </c>
    </row>
    <row r="462" spans="1:20">
      <c r="A462" s="5" t="s">
        <v>3882</v>
      </c>
      <c r="B462" s="32" t="s">
        <v>1762</v>
      </c>
      <c r="C462" s="32" t="s">
        <v>3886</v>
      </c>
      <c r="D462" s="5" t="s">
        <v>5372</v>
      </c>
      <c r="E462" s="48">
        <v>2003</v>
      </c>
      <c r="F462" s="32" t="s">
        <v>3881</v>
      </c>
      <c r="G462" s="7">
        <v>44848</v>
      </c>
      <c r="H462" s="32" t="s">
        <v>3658</v>
      </c>
      <c r="J462" s="48">
        <v>2003</v>
      </c>
      <c r="K462" s="48">
        <v>0</v>
      </c>
      <c r="L462" s="7" t="s">
        <v>3790</v>
      </c>
      <c r="M462" s="7">
        <v>45030</v>
      </c>
      <c r="N462" s="7">
        <v>44833</v>
      </c>
      <c r="O462" s="7" t="s">
        <v>3790</v>
      </c>
      <c r="P462" s="48">
        <v>84</v>
      </c>
      <c r="Q462" s="48">
        <v>14</v>
      </c>
      <c r="R462" s="48">
        <v>14</v>
      </c>
      <c r="S462" s="48">
        <v>2200</v>
      </c>
      <c r="T462" s="5" t="s">
        <v>5548</v>
      </c>
    </row>
    <row r="463" spans="1:20">
      <c r="A463" s="5" t="s">
        <v>3882</v>
      </c>
      <c r="B463" s="32" t="s">
        <v>1853</v>
      </c>
      <c r="C463" s="32" t="s">
        <v>1852</v>
      </c>
      <c r="D463" s="5" t="s">
        <v>5517</v>
      </c>
      <c r="E463" s="48">
        <v>2579</v>
      </c>
      <c r="F463" s="32" t="s">
        <v>3881</v>
      </c>
      <c r="G463" s="7">
        <v>44897</v>
      </c>
      <c r="H463" s="32" t="s">
        <v>3658</v>
      </c>
      <c r="J463" s="48">
        <v>2579</v>
      </c>
      <c r="K463" s="48">
        <v>0</v>
      </c>
      <c r="L463" s="7" t="s">
        <v>3790</v>
      </c>
      <c r="M463" s="7" t="s">
        <v>3790</v>
      </c>
      <c r="N463" s="7">
        <v>44838</v>
      </c>
      <c r="O463" s="7" t="s">
        <v>3790</v>
      </c>
      <c r="P463" s="48">
        <v>84</v>
      </c>
      <c r="Q463" s="48">
        <v>14</v>
      </c>
      <c r="R463" s="48">
        <v>14</v>
      </c>
      <c r="S463" s="48">
        <v>2200</v>
      </c>
      <c r="T463" s="5" t="s">
        <v>5548</v>
      </c>
    </row>
    <row r="464" spans="1:20">
      <c r="A464" s="5" t="s">
        <v>3882</v>
      </c>
      <c r="B464" s="32" t="s">
        <v>3887</v>
      </c>
      <c r="C464" s="32" t="s">
        <v>1924</v>
      </c>
      <c r="D464" s="5" t="s">
        <v>6398</v>
      </c>
      <c r="E464" s="48">
        <v>0</v>
      </c>
      <c r="F464" s="32" t="s">
        <v>3881</v>
      </c>
      <c r="G464" s="7">
        <v>44963</v>
      </c>
      <c r="J464" s="48">
        <v>0</v>
      </c>
      <c r="K464" s="48">
        <v>0</v>
      </c>
      <c r="L464" s="7" t="s">
        <v>3790</v>
      </c>
      <c r="M464" s="7" t="s">
        <v>3790</v>
      </c>
      <c r="N464" s="7">
        <v>44897</v>
      </c>
      <c r="O464" s="7">
        <v>44977</v>
      </c>
      <c r="P464" s="48">
        <v>84</v>
      </c>
      <c r="Q464" s="48">
        <v>14</v>
      </c>
      <c r="R464" s="48">
        <v>14</v>
      </c>
      <c r="S464" s="48">
        <v>3300</v>
      </c>
      <c r="T464" s="5" t="s">
        <v>5549</v>
      </c>
    </row>
    <row r="465" spans="1:20">
      <c r="A465" s="5" t="s">
        <v>3882</v>
      </c>
      <c r="B465" s="32" t="s">
        <v>1923</v>
      </c>
      <c r="C465" s="32" t="s">
        <v>1924</v>
      </c>
      <c r="D465" s="5" t="s">
        <v>6398</v>
      </c>
      <c r="E465" s="48">
        <v>0</v>
      </c>
      <c r="F465" s="32" t="s">
        <v>3881</v>
      </c>
      <c r="G465" s="7">
        <v>44963</v>
      </c>
      <c r="J465" s="48">
        <v>0</v>
      </c>
      <c r="K465" s="48">
        <v>0</v>
      </c>
      <c r="L465" s="7" t="s">
        <v>3790</v>
      </c>
      <c r="M465" s="7" t="s">
        <v>3790</v>
      </c>
      <c r="N465" s="7">
        <v>44897</v>
      </c>
      <c r="O465" s="7">
        <v>44977</v>
      </c>
      <c r="P465" s="48">
        <v>84</v>
      </c>
      <c r="Q465" s="48">
        <v>14</v>
      </c>
      <c r="R465" s="48">
        <v>14</v>
      </c>
      <c r="S465" s="48">
        <v>3300</v>
      </c>
      <c r="T465" s="5" t="s">
        <v>5549</v>
      </c>
    </row>
    <row r="466" spans="1:20">
      <c r="A466" s="5" t="s">
        <v>3882</v>
      </c>
      <c r="B466" s="32" t="s">
        <v>2187</v>
      </c>
      <c r="C466" s="32" t="s">
        <v>3888</v>
      </c>
      <c r="D466" s="5" t="s">
        <v>4255</v>
      </c>
      <c r="E466" s="48">
        <v>2585</v>
      </c>
      <c r="F466" s="32" t="s">
        <v>3881</v>
      </c>
      <c r="G466" s="7">
        <v>44784</v>
      </c>
      <c r="H466" s="32" t="s">
        <v>3658</v>
      </c>
      <c r="J466" s="48">
        <v>2585</v>
      </c>
      <c r="K466" s="48">
        <v>0</v>
      </c>
      <c r="L466" s="7" t="s">
        <v>3790</v>
      </c>
      <c r="M466" s="7">
        <v>44968</v>
      </c>
      <c r="N466" s="7">
        <v>44701</v>
      </c>
      <c r="O466" s="7" t="s">
        <v>3790</v>
      </c>
      <c r="P466" s="48">
        <v>84</v>
      </c>
      <c r="Q466" s="48">
        <v>14</v>
      </c>
      <c r="R466" s="48">
        <v>14</v>
      </c>
      <c r="S466" s="48">
        <v>2200</v>
      </c>
      <c r="T466" s="5" t="s">
        <v>5548</v>
      </c>
    </row>
    <row r="467" spans="1:20">
      <c r="A467" s="5" t="s">
        <v>3882</v>
      </c>
      <c r="B467" s="32" t="s">
        <v>2192</v>
      </c>
      <c r="C467" s="32" t="s">
        <v>2190</v>
      </c>
      <c r="D467" s="5" t="s">
        <v>4324</v>
      </c>
      <c r="E467" s="48">
        <v>0</v>
      </c>
      <c r="F467" s="32" t="s">
        <v>3881</v>
      </c>
      <c r="G467" s="7">
        <v>44949</v>
      </c>
      <c r="J467" s="48">
        <v>0</v>
      </c>
      <c r="K467" s="48">
        <v>0</v>
      </c>
      <c r="L467" s="7" t="s">
        <v>3790</v>
      </c>
      <c r="M467" s="7" t="s">
        <v>3790</v>
      </c>
      <c r="N467" s="7">
        <v>44750</v>
      </c>
      <c r="O467" s="7">
        <v>44963</v>
      </c>
      <c r="P467" s="48">
        <v>84</v>
      </c>
      <c r="Q467" s="48">
        <v>14</v>
      </c>
      <c r="R467" s="48">
        <v>14</v>
      </c>
      <c r="S467" s="48">
        <v>2200</v>
      </c>
      <c r="T467" s="5" t="s">
        <v>5549</v>
      </c>
    </row>
    <row r="468" spans="1:20">
      <c r="A468" s="5" t="s">
        <v>3882</v>
      </c>
      <c r="B468" s="32" t="s">
        <v>2930</v>
      </c>
      <c r="C468" s="32" t="s">
        <v>3889</v>
      </c>
      <c r="D468" s="5" t="s">
        <v>4095</v>
      </c>
      <c r="E468" s="48">
        <v>2421</v>
      </c>
      <c r="F468" s="32" t="s">
        <v>3881</v>
      </c>
      <c r="G468" s="7">
        <v>44903</v>
      </c>
      <c r="H468" s="32" t="s">
        <v>3658</v>
      </c>
      <c r="J468" s="48">
        <v>2421</v>
      </c>
      <c r="K468" s="48">
        <v>0</v>
      </c>
      <c r="L468" s="7" t="s">
        <v>3790</v>
      </c>
      <c r="M468" s="7">
        <v>45054</v>
      </c>
      <c r="N468" s="7">
        <v>44690</v>
      </c>
      <c r="O468" s="7" t="s">
        <v>3790</v>
      </c>
      <c r="P468" s="48">
        <v>84</v>
      </c>
      <c r="Q468" s="48">
        <v>14</v>
      </c>
      <c r="R468" s="48">
        <v>14</v>
      </c>
      <c r="S468" s="48">
        <v>2200</v>
      </c>
      <c r="T468" s="5" t="s">
        <v>5548</v>
      </c>
    </row>
    <row r="469" spans="1:20">
      <c r="A469" s="5" t="s">
        <v>3882</v>
      </c>
      <c r="B469" s="32" t="s">
        <v>3021</v>
      </c>
      <c r="C469" s="32" t="s">
        <v>872</v>
      </c>
      <c r="D469" s="5" t="s">
        <v>4300</v>
      </c>
      <c r="E469" s="48">
        <v>2090</v>
      </c>
      <c r="F469" s="32" t="s">
        <v>3881</v>
      </c>
      <c r="G469" s="7">
        <v>44741</v>
      </c>
      <c r="H469" s="32" t="s">
        <v>3658</v>
      </c>
      <c r="J469" s="48">
        <v>2090</v>
      </c>
      <c r="K469" s="48">
        <v>0</v>
      </c>
      <c r="L469" s="7" t="s">
        <v>3790</v>
      </c>
      <c r="M469" s="7">
        <v>44924</v>
      </c>
      <c r="N469" s="7">
        <v>44690</v>
      </c>
      <c r="O469" s="7" t="s">
        <v>3790</v>
      </c>
      <c r="P469" s="48">
        <v>84</v>
      </c>
      <c r="Q469" s="48">
        <v>14</v>
      </c>
      <c r="R469" s="48">
        <v>14</v>
      </c>
      <c r="S469" s="48">
        <v>2200</v>
      </c>
      <c r="T469" s="5" t="s">
        <v>5548</v>
      </c>
    </row>
    <row r="470" spans="1:20">
      <c r="A470" s="5" t="s">
        <v>3882</v>
      </c>
      <c r="B470" s="32" t="s">
        <v>3024</v>
      </c>
      <c r="C470" s="32" t="s">
        <v>872</v>
      </c>
      <c r="D470" s="5" t="s">
        <v>4300</v>
      </c>
      <c r="E470" s="48">
        <v>3825</v>
      </c>
      <c r="F470" s="32" t="s">
        <v>3881</v>
      </c>
      <c r="G470" s="7">
        <v>44741</v>
      </c>
      <c r="H470" s="32" t="s">
        <v>3658</v>
      </c>
      <c r="J470" s="48">
        <v>3825</v>
      </c>
      <c r="K470" s="48">
        <v>0</v>
      </c>
      <c r="L470" s="7" t="s">
        <v>3790</v>
      </c>
      <c r="M470" s="7">
        <v>44924</v>
      </c>
      <c r="N470" s="7">
        <v>44690</v>
      </c>
      <c r="O470" s="7" t="s">
        <v>3790</v>
      </c>
      <c r="P470" s="48">
        <v>84</v>
      </c>
      <c r="Q470" s="48">
        <v>14</v>
      </c>
      <c r="R470" s="48">
        <v>14</v>
      </c>
      <c r="S470" s="48">
        <v>4400</v>
      </c>
      <c r="T470" s="5" t="s">
        <v>5548</v>
      </c>
    </row>
    <row r="471" spans="1:20">
      <c r="A471" s="5" t="s">
        <v>3882</v>
      </c>
      <c r="B471" s="32" t="s">
        <v>3239</v>
      </c>
      <c r="C471" s="32" t="s">
        <v>3240</v>
      </c>
      <c r="D471" s="5" t="s">
        <v>5927</v>
      </c>
      <c r="E471" s="48">
        <v>0</v>
      </c>
      <c r="F471" s="32" t="s">
        <v>3881</v>
      </c>
      <c r="G471" s="7">
        <v>44942</v>
      </c>
      <c r="J471" s="48">
        <v>0</v>
      </c>
      <c r="K471" s="48">
        <v>0</v>
      </c>
      <c r="L471" s="7" t="s">
        <v>3790</v>
      </c>
      <c r="M471" s="7" t="s">
        <v>3790</v>
      </c>
      <c r="N471" s="7">
        <v>44858</v>
      </c>
      <c r="O471" s="7">
        <v>44956</v>
      </c>
      <c r="P471" s="48">
        <v>84</v>
      </c>
      <c r="Q471" s="48">
        <v>14</v>
      </c>
      <c r="R471" s="48">
        <v>14</v>
      </c>
      <c r="S471" s="48">
        <v>2200</v>
      </c>
      <c r="T471" s="5" t="s">
        <v>5549</v>
      </c>
    </row>
    <row r="472" spans="1:20">
      <c r="A472" s="5" t="s">
        <v>3882</v>
      </c>
      <c r="B472" s="32" t="s">
        <v>3254</v>
      </c>
      <c r="C472" s="32" t="s">
        <v>3255</v>
      </c>
      <c r="D472" s="5" t="s">
        <v>5373</v>
      </c>
      <c r="E472" s="48">
        <v>5031</v>
      </c>
      <c r="F472" s="32" t="s">
        <v>3881</v>
      </c>
      <c r="G472" s="7">
        <v>44883</v>
      </c>
      <c r="H472" s="32" t="s">
        <v>3658</v>
      </c>
      <c r="J472" s="48">
        <v>5031</v>
      </c>
      <c r="K472" s="48">
        <v>0</v>
      </c>
      <c r="L472" s="7" t="s">
        <v>3790</v>
      </c>
      <c r="M472" s="7">
        <v>45064</v>
      </c>
      <c r="N472" s="7">
        <v>44833</v>
      </c>
      <c r="O472" s="7" t="s">
        <v>3790</v>
      </c>
      <c r="P472" s="48">
        <v>84</v>
      </c>
      <c r="Q472" s="48">
        <v>14</v>
      </c>
      <c r="R472" s="48">
        <v>14</v>
      </c>
      <c r="S472" s="48">
        <v>5600</v>
      </c>
      <c r="T472" s="5" t="s">
        <v>5548</v>
      </c>
    </row>
    <row r="473" spans="1:20">
      <c r="A473" s="5" t="s">
        <v>3882</v>
      </c>
      <c r="B473" s="32" t="s">
        <v>3257</v>
      </c>
      <c r="C473" s="32" t="s">
        <v>3255</v>
      </c>
      <c r="D473" s="5" t="s">
        <v>5373</v>
      </c>
      <c r="E473" s="48">
        <v>984</v>
      </c>
      <c r="F473" s="32" t="s">
        <v>3881</v>
      </c>
      <c r="G473" s="7">
        <v>44883</v>
      </c>
      <c r="H473" s="32" t="s">
        <v>3658</v>
      </c>
      <c r="J473" s="48">
        <v>984</v>
      </c>
      <c r="K473" s="48">
        <v>0</v>
      </c>
      <c r="L473" s="7" t="s">
        <v>3790</v>
      </c>
      <c r="M473" s="7">
        <v>45064</v>
      </c>
      <c r="N473" s="7">
        <v>44833</v>
      </c>
      <c r="O473" s="7" t="s">
        <v>3790</v>
      </c>
      <c r="P473" s="48">
        <v>84</v>
      </c>
      <c r="Q473" s="48">
        <v>14</v>
      </c>
      <c r="R473" s="48">
        <v>14</v>
      </c>
      <c r="S473" s="48">
        <v>1000</v>
      </c>
      <c r="T473" s="5" t="s">
        <v>5548</v>
      </c>
    </row>
    <row r="474" spans="1:20">
      <c r="A474" s="5" t="s">
        <v>3882</v>
      </c>
      <c r="B474" s="32" t="s">
        <v>3295</v>
      </c>
      <c r="C474" s="32" t="s">
        <v>3890</v>
      </c>
      <c r="D474" s="5" t="s">
        <v>7543</v>
      </c>
      <c r="E474" s="48">
        <v>0</v>
      </c>
      <c r="F474" s="32" t="s">
        <v>3881</v>
      </c>
      <c r="G474" s="7">
        <v>44977</v>
      </c>
      <c r="J474" s="48">
        <v>0</v>
      </c>
      <c r="K474" s="48">
        <v>0</v>
      </c>
      <c r="L474" s="7" t="s">
        <v>3790</v>
      </c>
      <c r="M474" s="7" t="s">
        <v>3790</v>
      </c>
      <c r="N474" s="7">
        <v>44909</v>
      </c>
      <c r="O474" s="7">
        <v>44991</v>
      </c>
      <c r="P474" s="48">
        <v>84</v>
      </c>
      <c r="Q474" s="48">
        <v>14</v>
      </c>
      <c r="R474" s="48">
        <v>14</v>
      </c>
      <c r="S474" s="48">
        <v>2200</v>
      </c>
      <c r="T474" s="5" t="s">
        <v>5549</v>
      </c>
    </row>
    <row r="475" spans="1:20">
      <c r="A475" s="5" t="s">
        <v>3882</v>
      </c>
      <c r="B475" s="32" t="s">
        <v>3298</v>
      </c>
      <c r="C475" s="32" t="s">
        <v>3890</v>
      </c>
      <c r="D475" s="5" t="s">
        <v>7543</v>
      </c>
      <c r="E475" s="48">
        <v>0</v>
      </c>
      <c r="F475" s="32" t="s">
        <v>3881</v>
      </c>
      <c r="G475" s="7">
        <v>44977</v>
      </c>
      <c r="J475" s="48">
        <v>0</v>
      </c>
      <c r="K475" s="48">
        <v>0</v>
      </c>
      <c r="L475" s="7" t="s">
        <v>3790</v>
      </c>
      <c r="M475" s="7" t="s">
        <v>3790</v>
      </c>
      <c r="N475" s="7">
        <v>44909</v>
      </c>
      <c r="O475" s="7">
        <v>44991</v>
      </c>
      <c r="P475" s="48">
        <v>84</v>
      </c>
      <c r="Q475" s="48">
        <v>14</v>
      </c>
      <c r="R475" s="48">
        <v>14</v>
      </c>
      <c r="S475" s="48">
        <v>1100</v>
      </c>
      <c r="T475" s="5" t="s">
        <v>5549</v>
      </c>
    </row>
    <row r="476" spans="1:20">
      <c r="A476" s="5" t="s">
        <v>3900</v>
      </c>
      <c r="B476" s="32" t="s">
        <v>102</v>
      </c>
      <c r="C476" s="32" t="s">
        <v>7557</v>
      </c>
      <c r="D476" s="5" t="s">
        <v>7556</v>
      </c>
      <c r="E476" s="48">
        <v>0</v>
      </c>
      <c r="F476" s="32" t="s">
        <v>3790</v>
      </c>
      <c r="G476" s="7">
        <v>44914</v>
      </c>
      <c r="H476" s="32" t="s">
        <v>3790</v>
      </c>
      <c r="I476" s="48" t="s">
        <v>3790</v>
      </c>
      <c r="J476" s="48">
        <v>0</v>
      </c>
      <c r="K476" s="48">
        <v>0</v>
      </c>
      <c r="L476" s="7" t="s">
        <v>3790</v>
      </c>
      <c r="M476" s="7">
        <v>44989</v>
      </c>
      <c r="N476" s="7">
        <v>44908</v>
      </c>
      <c r="O476" s="7">
        <v>44921</v>
      </c>
      <c r="P476" s="48">
        <v>42</v>
      </c>
      <c r="Q476" s="48">
        <v>7</v>
      </c>
      <c r="R476" s="48">
        <v>14</v>
      </c>
      <c r="S476" s="48">
        <v>2500</v>
      </c>
      <c r="T476" s="5" t="s">
        <v>5550</v>
      </c>
    </row>
    <row r="477" spans="1:20">
      <c r="A477" s="5" t="s">
        <v>3900</v>
      </c>
      <c r="B477" s="32" t="s">
        <v>116</v>
      </c>
      <c r="C477" s="32" t="s">
        <v>5374</v>
      </c>
      <c r="D477" s="5" t="s">
        <v>5290</v>
      </c>
      <c r="E477" s="48">
        <v>0</v>
      </c>
      <c r="F477" s="32" t="s">
        <v>3906</v>
      </c>
      <c r="G477" s="7">
        <v>44830</v>
      </c>
      <c r="H477" s="32" t="s">
        <v>3526</v>
      </c>
      <c r="I477" s="48" t="s">
        <v>3790</v>
      </c>
      <c r="J477" s="48">
        <v>0</v>
      </c>
      <c r="K477" s="48">
        <v>7641</v>
      </c>
      <c r="L477" s="7" t="s">
        <v>3790</v>
      </c>
      <c r="M477" s="7">
        <v>44923</v>
      </c>
      <c r="N477" s="7">
        <v>44796</v>
      </c>
      <c r="O477" s="7">
        <v>44837</v>
      </c>
      <c r="P477" s="48">
        <v>42</v>
      </c>
      <c r="Q477" s="48">
        <v>7</v>
      </c>
      <c r="R477" s="48">
        <v>14</v>
      </c>
      <c r="S477" s="48">
        <v>8000</v>
      </c>
      <c r="T477" s="5" t="s">
        <v>5548</v>
      </c>
    </row>
    <row r="478" spans="1:20">
      <c r="A478" s="5" t="s">
        <v>3900</v>
      </c>
      <c r="B478" s="32" t="s">
        <v>116</v>
      </c>
      <c r="C478" s="32" t="s">
        <v>5374</v>
      </c>
      <c r="D478" s="5" t="s">
        <v>3902</v>
      </c>
      <c r="E478" s="48">
        <v>0</v>
      </c>
      <c r="F478" s="32" t="s">
        <v>3790</v>
      </c>
      <c r="G478" s="7">
        <v>44971</v>
      </c>
      <c r="H478" s="32" t="s">
        <v>3790</v>
      </c>
      <c r="I478" s="48" t="s">
        <v>3790</v>
      </c>
      <c r="J478" s="48">
        <v>0</v>
      </c>
      <c r="K478" s="48">
        <v>0</v>
      </c>
      <c r="L478" s="7" t="s">
        <v>3790</v>
      </c>
      <c r="M478" s="7">
        <v>45064</v>
      </c>
      <c r="N478" s="7" t="s">
        <v>4068</v>
      </c>
      <c r="O478" s="7">
        <v>44978</v>
      </c>
      <c r="P478" s="48">
        <v>42</v>
      </c>
      <c r="Q478" s="48">
        <v>7</v>
      </c>
      <c r="R478" s="48">
        <v>14</v>
      </c>
      <c r="S478" s="48">
        <v>44000</v>
      </c>
      <c r="T478" s="5" t="s">
        <v>5549</v>
      </c>
    </row>
    <row r="479" spans="1:20">
      <c r="A479" s="5" t="s">
        <v>3900</v>
      </c>
      <c r="B479" s="32" t="s">
        <v>117</v>
      </c>
      <c r="C479" s="32" t="s">
        <v>5374</v>
      </c>
      <c r="D479" s="5" t="s">
        <v>5290</v>
      </c>
      <c r="E479" s="48">
        <v>0</v>
      </c>
      <c r="F479" s="32" t="s">
        <v>3906</v>
      </c>
      <c r="G479" s="7">
        <v>44859</v>
      </c>
      <c r="H479" s="32" t="s">
        <v>3526</v>
      </c>
      <c r="I479" s="48" t="s">
        <v>3790</v>
      </c>
      <c r="J479" s="48">
        <v>0</v>
      </c>
      <c r="K479" s="48">
        <v>3080</v>
      </c>
      <c r="L479" s="7" t="s">
        <v>3790</v>
      </c>
      <c r="M479" s="7">
        <v>44952</v>
      </c>
      <c r="N479" s="7">
        <v>44796</v>
      </c>
      <c r="O479" s="7">
        <v>44866</v>
      </c>
      <c r="P479" s="48">
        <v>42</v>
      </c>
      <c r="Q479" s="48">
        <v>7</v>
      </c>
      <c r="R479" s="48">
        <v>14</v>
      </c>
      <c r="S479" s="48">
        <v>3000</v>
      </c>
      <c r="T479" s="5" t="s">
        <v>5548</v>
      </c>
    </row>
    <row r="480" spans="1:20">
      <c r="A480" s="5" t="s">
        <v>3900</v>
      </c>
      <c r="B480" s="32" t="s">
        <v>3901</v>
      </c>
      <c r="C480" s="32" t="s">
        <v>5377</v>
      </c>
      <c r="D480" s="5" t="s">
        <v>5290</v>
      </c>
      <c r="E480" s="48">
        <v>21722</v>
      </c>
      <c r="F480" s="32" t="s">
        <v>3899</v>
      </c>
      <c r="G480" s="7">
        <v>44857</v>
      </c>
      <c r="H480" s="32" t="s">
        <v>3526</v>
      </c>
      <c r="I480" s="48" t="s">
        <v>3790</v>
      </c>
      <c r="J480" s="48">
        <v>0</v>
      </c>
      <c r="K480" s="48">
        <v>0</v>
      </c>
      <c r="L480" s="7" t="s">
        <v>3790</v>
      </c>
      <c r="M480" s="7">
        <v>44951</v>
      </c>
      <c r="N480" s="7">
        <v>44796</v>
      </c>
      <c r="O480" s="7" t="s">
        <v>3790</v>
      </c>
      <c r="P480" s="48">
        <v>42</v>
      </c>
      <c r="Q480" s="48">
        <v>7</v>
      </c>
      <c r="R480" s="48">
        <v>14</v>
      </c>
      <c r="S480" s="48">
        <v>20000</v>
      </c>
      <c r="T480" s="5" t="s">
        <v>5548</v>
      </c>
    </row>
    <row r="481" spans="1:20">
      <c r="A481" s="5" t="s">
        <v>3900</v>
      </c>
      <c r="B481" s="32" t="s">
        <v>4473</v>
      </c>
      <c r="C481" s="32" t="s">
        <v>5377</v>
      </c>
      <c r="D481" s="5" t="s">
        <v>5290</v>
      </c>
      <c r="E481" s="48">
        <v>9224</v>
      </c>
      <c r="F481" s="32" t="s">
        <v>3899</v>
      </c>
      <c r="G481" s="7">
        <v>44857</v>
      </c>
      <c r="H481" s="32" t="s">
        <v>3526</v>
      </c>
      <c r="I481" s="48" t="s">
        <v>3790</v>
      </c>
      <c r="J481" s="48">
        <v>0</v>
      </c>
      <c r="K481" s="48">
        <v>0</v>
      </c>
      <c r="L481" s="7" t="s">
        <v>3790</v>
      </c>
      <c r="M481" s="7">
        <v>44951</v>
      </c>
      <c r="N481" s="7">
        <v>44796</v>
      </c>
      <c r="O481" s="7" t="s">
        <v>3790</v>
      </c>
      <c r="P481" s="48">
        <v>42</v>
      </c>
      <c r="Q481" s="48">
        <v>7</v>
      </c>
      <c r="R481" s="48">
        <v>14</v>
      </c>
      <c r="S481" s="48">
        <v>24000</v>
      </c>
      <c r="T481" s="5" t="s">
        <v>5548</v>
      </c>
    </row>
    <row r="482" spans="1:20">
      <c r="A482" s="5" t="s">
        <v>3900</v>
      </c>
      <c r="B482" s="32" t="s">
        <v>3903</v>
      </c>
      <c r="C482" s="32" t="s">
        <v>5868</v>
      </c>
      <c r="D482" s="5" t="s">
        <v>5869</v>
      </c>
      <c r="E482" s="48">
        <v>22472</v>
      </c>
      <c r="F482" s="32" t="s">
        <v>3899</v>
      </c>
      <c r="G482" s="7">
        <v>44906</v>
      </c>
      <c r="H482" s="32" t="s">
        <v>3526</v>
      </c>
      <c r="I482" s="48" t="s">
        <v>3790</v>
      </c>
      <c r="J482" s="48">
        <v>0</v>
      </c>
      <c r="K482" s="48">
        <v>0</v>
      </c>
      <c r="L482" s="7" t="s">
        <v>3790</v>
      </c>
      <c r="M482" s="7">
        <v>45000</v>
      </c>
      <c r="N482" s="7">
        <v>44847</v>
      </c>
      <c r="O482" s="7" t="s">
        <v>3790</v>
      </c>
      <c r="P482" s="48">
        <v>42</v>
      </c>
      <c r="Q482" s="48">
        <v>7</v>
      </c>
      <c r="R482" s="48">
        <v>14</v>
      </c>
      <c r="S482" s="48">
        <v>22000</v>
      </c>
      <c r="T482" s="5" t="s">
        <v>5548</v>
      </c>
    </row>
    <row r="483" spans="1:20">
      <c r="A483" s="5" t="s">
        <v>3900</v>
      </c>
      <c r="B483" s="32" t="s">
        <v>4476</v>
      </c>
      <c r="C483" s="32" t="s">
        <v>5868</v>
      </c>
      <c r="D483" s="5" t="s">
        <v>5869</v>
      </c>
      <c r="E483" s="48">
        <v>21874</v>
      </c>
      <c r="F483" s="32" t="s">
        <v>3899</v>
      </c>
      <c r="G483" s="7">
        <v>44906</v>
      </c>
      <c r="H483" s="32" t="s">
        <v>3526</v>
      </c>
      <c r="I483" s="48" t="s">
        <v>3790</v>
      </c>
      <c r="J483" s="48">
        <v>0</v>
      </c>
      <c r="K483" s="48">
        <v>0</v>
      </c>
      <c r="L483" s="7" t="s">
        <v>3790</v>
      </c>
      <c r="M483" s="7">
        <v>45000</v>
      </c>
      <c r="N483" s="7">
        <v>44847</v>
      </c>
      <c r="O483" s="7" t="s">
        <v>3790</v>
      </c>
      <c r="P483" s="48">
        <v>42</v>
      </c>
      <c r="Q483" s="48">
        <v>7</v>
      </c>
      <c r="R483" s="48">
        <v>14</v>
      </c>
      <c r="S483" s="48">
        <v>22000</v>
      </c>
      <c r="T483" s="5" t="s">
        <v>5548</v>
      </c>
    </row>
    <row r="484" spans="1:20">
      <c r="A484" s="5" t="s">
        <v>3900</v>
      </c>
      <c r="B484" s="32" t="s">
        <v>607</v>
      </c>
      <c r="C484" s="32" t="s">
        <v>7564</v>
      </c>
      <c r="D484" s="5" t="s">
        <v>6431</v>
      </c>
      <c r="E484" s="48">
        <v>0</v>
      </c>
      <c r="F484" s="32" t="s">
        <v>3790</v>
      </c>
      <c r="G484" s="7">
        <v>44941</v>
      </c>
      <c r="H484" s="32" t="s">
        <v>3790</v>
      </c>
      <c r="I484" s="48" t="s">
        <v>3790</v>
      </c>
      <c r="J484" s="48">
        <v>0</v>
      </c>
      <c r="K484" s="48">
        <v>0</v>
      </c>
      <c r="L484" s="7" t="s">
        <v>3790</v>
      </c>
      <c r="M484" s="7">
        <v>45061</v>
      </c>
      <c r="N484" s="7">
        <v>44903</v>
      </c>
      <c r="O484" s="7">
        <v>44948</v>
      </c>
      <c r="P484" s="48">
        <v>42</v>
      </c>
      <c r="Q484" s="48">
        <v>7</v>
      </c>
      <c r="R484" s="48">
        <v>14</v>
      </c>
      <c r="S484" s="48">
        <v>11000</v>
      </c>
      <c r="T484" s="5" t="s">
        <v>5549</v>
      </c>
    </row>
    <row r="485" spans="1:20">
      <c r="A485" s="5" t="s">
        <v>3900</v>
      </c>
      <c r="B485" s="32" t="s">
        <v>610</v>
      </c>
      <c r="C485" s="32" t="s">
        <v>7564</v>
      </c>
      <c r="D485" s="5" t="s">
        <v>6431</v>
      </c>
      <c r="E485" s="48">
        <v>0</v>
      </c>
      <c r="F485" s="32" t="s">
        <v>3790</v>
      </c>
      <c r="G485" s="7">
        <v>44941</v>
      </c>
      <c r="H485" s="32" t="s">
        <v>3790</v>
      </c>
      <c r="I485" s="48" t="s">
        <v>3790</v>
      </c>
      <c r="J485" s="48">
        <v>0</v>
      </c>
      <c r="K485" s="48">
        <v>0</v>
      </c>
      <c r="L485" s="7" t="s">
        <v>3790</v>
      </c>
      <c r="M485" s="7">
        <v>45061</v>
      </c>
      <c r="N485" s="7">
        <v>44903</v>
      </c>
      <c r="O485" s="7">
        <v>44948</v>
      </c>
      <c r="P485" s="48">
        <v>42</v>
      </c>
      <c r="Q485" s="48">
        <v>7</v>
      </c>
      <c r="R485" s="48">
        <v>14</v>
      </c>
      <c r="S485" s="48">
        <v>11000</v>
      </c>
      <c r="T485" s="5" t="s">
        <v>5549</v>
      </c>
    </row>
    <row r="486" spans="1:20">
      <c r="A486" s="5" t="s">
        <v>3900</v>
      </c>
      <c r="B486" s="32" t="s">
        <v>611</v>
      </c>
      <c r="C486" s="32" t="s">
        <v>7564</v>
      </c>
      <c r="D486" s="5" t="s">
        <v>6431</v>
      </c>
      <c r="E486" s="48">
        <v>0</v>
      </c>
      <c r="F486" s="32" t="s">
        <v>3790</v>
      </c>
      <c r="G486" s="7">
        <v>44941</v>
      </c>
      <c r="H486" s="32" t="s">
        <v>3790</v>
      </c>
      <c r="I486" s="48" t="s">
        <v>3790</v>
      </c>
      <c r="J486" s="48">
        <v>0</v>
      </c>
      <c r="K486" s="48">
        <v>0</v>
      </c>
      <c r="L486" s="7" t="s">
        <v>3790</v>
      </c>
      <c r="M486" s="7">
        <v>45061</v>
      </c>
      <c r="N486" s="7">
        <v>44903</v>
      </c>
      <c r="O486" s="7">
        <v>44948</v>
      </c>
      <c r="P486" s="48">
        <v>42</v>
      </c>
      <c r="Q486" s="48">
        <v>7</v>
      </c>
      <c r="R486" s="48">
        <v>14</v>
      </c>
      <c r="S486" s="48">
        <v>11000</v>
      </c>
      <c r="T486" s="5" t="s">
        <v>5549</v>
      </c>
    </row>
    <row r="487" spans="1:20">
      <c r="A487" s="5" t="s">
        <v>3900</v>
      </c>
      <c r="B487" s="32" t="s">
        <v>612</v>
      </c>
      <c r="C487" s="32" t="s">
        <v>7564</v>
      </c>
      <c r="D487" s="5" t="s">
        <v>6431</v>
      </c>
      <c r="E487" s="48">
        <v>0</v>
      </c>
      <c r="F487" s="32" t="s">
        <v>3790</v>
      </c>
      <c r="G487" s="7">
        <v>44941</v>
      </c>
      <c r="H487" s="32" t="s">
        <v>3790</v>
      </c>
      <c r="I487" s="48" t="s">
        <v>3790</v>
      </c>
      <c r="J487" s="48">
        <v>0</v>
      </c>
      <c r="K487" s="48">
        <v>0</v>
      </c>
      <c r="L487" s="7" t="s">
        <v>3790</v>
      </c>
      <c r="M487" s="7">
        <v>45061</v>
      </c>
      <c r="N487" s="7">
        <v>44903</v>
      </c>
      <c r="O487" s="7">
        <v>44948</v>
      </c>
      <c r="P487" s="48">
        <v>42</v>
      </c>
      <c r="Q487" s="48">
        <v>7</v>
      </c>
      <c r="R487" s="48">
        <v>14</v>
      </c>
      <c r="S487" s="48">
        <v>11000</v>
      </c>
      <c r="T487" s="5" t="s">
        <v>5549</v>
      </c>
    </row>
    <row r="488" spans="1:20">
      <c r="A488" s="5" t="s">
        <v>3900</v>
      </c>
      <c r="B488" s="32" t="s">
        <v>638</v>
      </c>
      <c r="C488" s="32" t="s">
        <v>5378</v>
      </c>
      <c r="D488" s="5" t="s">
        <v>3907</v>
      </c>
      <c r="E488" s="48">
        <v>0</v>
      </c>
      <c r="F488" s="32" t="s">
        <v>3906</v>
      </c>
      <c r="G488" s="7">
        <v>44849</v>
      </c>
      <c r="H488" s="32" t="s">
        <v>3526</v>
      </c>
      <c r="I488" s="48" t="s">
        <v>3790</v>
      </c>
      <c r="J488" s="48">
        <v>0</v>
      </c>
      <c r="K488" s="48">
        <v>4945</v>
      </c>
      <c r="L488" s="7" t="s">
        <v>3790</v>
      </c>
      <c r="M488" s="7">
        <v>44924</v>
      </c>
      <c r="N488" s="7">
        <v>44733</v>
      </c>
      <c r="O488" s="7">
        <v>44912</v>
      </c>
      <c r="P488" s="48">
        <v>147</v>
      </c>
      <c r="Q488" s="48">
        <v>63</v>
      </c>
      <c r="R488" s="48">
        <v>14</v>
      </c>
      <c r="S488" s="48">
        <v>4400</v>
      </c>
      <c r="T488" s="5" t="s">
        <v>5548</v>
      </c>
    </row>
    <row r="489" spans="1:20">
      <c r="A489" s="5" t="s">
        <v>3900</v>
      </c>
      <c r="B489" s="32" t="s">
        <v>641</v>
      </c>
      <c r="C489" s="32" t="s">
        <v>5378</v>
      </c>
      <c r="D489" s="5" t="s">
        <v>3907</v>
      </c>
      <c r="E489" s="48">
        <v>0</v>
      </c>
      <c r="F489" s="32" t="s">
        <v>3906</v>
      </c>
      <c r="G489" s="7">
        <v>44849</v>
      </c>
      <c r="H489" s="32" t="s">
        <v>3526</v>
      </c>
      <c r="I489" s="48" t="s">
        <v>3790</v>
      </c>
      <c r="J489" s="48">
        <v>0</v>
      </c>
      <c r="K489" s="48">
        <v>2291</v>
      </c>
      <c r="L489" s="7" t="s">
        <v>3790</v>
      </c>
      <c r="M489" s="7">
        <v>44924</v>
      </c>
      <c r="N489" s="7">
        <v>44733</v>
      </c>
      <c r="O489" s="7">
        <v>44912</v>
      </c>
      <c r="P489" s="48">
        <v>147</v>
      </c>
      <c r="Q489" s="48">
        <v>63</v>
      </c>
      <c r="R489" s="48">
        <v>14</v>
      </c>
      <c r="S489" s="48">
        <v>2200</v>
      </c>
      <c r="T489" s="5" t="s">
        <v>5548</v>
      </c>
    </row>
    <row r="490" spans="1:20">
      <c r="A490" s="5" t="s">
        <v>3900</v>
      </c>
      <c r="B490" s="32" t="s">
        <v>795</v>
      </c>
      <c r="C490" s="32" t="s">
        <v>5379</v>
      </c>
      <c r="D490" s="5" t="s">
        <v>5290</v>
      </c>
      <c r="E490" s="48">
        <v>65782</v>
      </c>
      <c r="F490" s="32" t="s">
        <v>3899</v>
      </c>
      <c r="G490" s="7">
        <v>44879</v>
      </c>
      <c r="H490" s="32" t="s">
        <v>3526</v>
      </c>
      <c r="I490" s="48" t="s">
        <v>3790</v>
      </c>
      <c r="J490" s="48">
        <v>0</v>
      </c>
      <c r="K490" s="48">
        <v>0</v>
      </c>
      <c r="L490" s="7" t="s">
        <v>3790</v>
      </c>
      <c r="M490" s="7">
        <v>44973</v>
      </c>
      <c r="N490" s="7">
        <v>44796</v>
      </c>
      <c r="O490" s="7" t="s">
        <v>3790</v>
      </c>
      <c r="P490" s="48">
        <v>42</v>
      </c>
      <c r="Q490" s="48">
        <v>7</v>
      </c>
      <c r="R490" s="48">
        <v>14</v>
      </c>
      <c r="S490" s="48">
        <v>120434</v>
      </c>
      <c r="T490" s="5" t="s">
        <v>5548</v>
      </c>
    </row>
    <row r="491" spans="1:20">
      <c r="A491" s="5" t="s">
        <v>3900</v>
      </c>
      <c r="B491" s="32" t="s">
        <v>795</v>
      </c>
      <c r="C491" s="32" t="s">
        <v>5379</v>
      </c>
      <c r="D491" s="5" t="s">
        <v>6388</v>
      </c>
      <c r="E491" s="48">
        <v>0</v>
      </c>
      <c r="F491" s="32" t="s">
        <v>3790</v>
      </c>
      <c r="G491" s="7">
        <v>44936</v>
      </c>
      <c r="H491" s="32" t="s">
        <v>3790</v>
      </c>
      <c r="I491" s="48" t="s">
        <v>3790</v>
      </c>
      <c r="J491" s="48">
        <v>0</v>
      </c>
      <c r="K491" s="48">
        <v>0</v>
      </c>
      <c r="L491" s="7" t="s">
        <v>3790</v>
      </c>
      <c r="M491" s="7">
        <v>45056</v>
      </c>
      <c r="N491" s="7">
        <v>44882</v>
      </c>
      <c r="O491" s="7">
        <v>44943</v>
      </c>
      <c r="P491" s="48">
        <v>42</v>
      </c>
      <c r="Q491" s="48">
        <v>7</v>
      </c>
      <c r="R491" s="48">
        <v>14</v>
      </c>
      <c r="S491" s="48">
        <v>166000</v>
      </c>
      <c r="T491" s="5" t="s">
        <v>5549</v>
      </c>
    </row>
    <row r="492" spans="1:20">
      <c r="A492" s="5" t="s">
        <v>3900</v>
      </c>
      <c r="B492" s="32" t="s">
        <v>795</v>
      </c>
      <c r="C492" s="32" t="s">
        <v>5379</v>
      </c>
      <c r="D492" s="5" t="s">
        <v>3902</v>
      </c>
      <c r="E492" s="48">
        <v>0</v>
      </c>
      <c r="F492" s="32" t="s">
        <v>3790</v>
      </c>
      <c r="G492" s="7">
        <v>44992</v>
      </c>
      <c r="H492" s="32" t="s">
        <v>3790</v>
      </c>
      <c r="I492" s="48" t="s">
        <v>3790</v>
      </c>
      <c r="J492" s="48">
        <v>0</v>
      </c>
      <c r="K492" s="48">
        <v>0</v>
      </c>
      <c r="L492" s="7" t="s">
        <v>3790</v>
      </c>
      <c r="M492" s="7">
        <v>45085</v>
      </c>
      <c r="N492" s="7" t="s">
        <v>4068</v>
      </c>
      <c r="O492" s="7">
        <v>44999</v>
      </c>
      <c r="P492" s="48">
        <v>42</v>
      </c>
      <c r="Q492" s="48">
        <v>7</v>
      </c>
      <c r="R492" s="48">
        <v>14</v>
      </c>
      <c r="S492" s="48">
        <v>88000</v>
      </c>
      <c r="T492" s="5" t="s">
        <v>5549</v>
      </c>
    </row>
    <row r="493" spans="1:20">
      <c r="A493" s="5" t="s">
        <v>3900</v>
      </c>
      <c r="B493" s="32" t="s">
        <v>796</v>
      </c>
      <c r="C493" s="32" t="s">
        <v>5379</v>
      </c>
      <c r="D493" s="5" t="s">
        <v>5290</v>
      </c>
      <c r="E493" s="48">
        <v>17304</v>
      </c>
      <c r="F493" s="32" t="s">
        <v>3899</v>
      </c>
      <c r="G493" s="7">
        <v>44879</v>
      </c>
      <c r="H493" s="32" t="s">
        <v>3526</v>
      </c>
      <c r="I493" s="48" t="s">
        <v>3790</v>
      </c>
      <c r="J493" s="48">
        <v>0</v>
      </c>
      <c r="K493" s="48">
        <v>0</v>
      </c>
      <c r="L493" s="7" t="s">
        <v>3790</v>
      </c>
      <c r="M493" s="7">
        <v>44973</v>
      </c>
      <c r="N493" s="7">
        <v>44796</v>
      </c>
      <c r="O493" s="7" t="s">
        <v>3790</v>
      </c>
      <c r="P493" s="48">
        <v>42</v>
      </c>
      <c r="Q493" s="48">
        <v>7</v>
      </c>
      <c r="R493" s="48">
        <v>14</v>
      </c>
      <c r="S493" s="48">
        <v>34284</v>
      </c>
      <c r="T493" s="5" t="s">
        <v>5548</v>
      </c>
    </row>
    <row r="494" spans="1:20">
      <c r="A494" s="5" t="s">
        <v>3900</v>
      </c>
      <c r="B494" s="32" t="s">
        <v>796</v>
      </c>
      <c r="C494" s="32" t="s">
        <v>5379</v>
      </c>
      <c r="D494" s="5" t="s">
        <v>6388</v>
      </c>
      <c r="E494" s="48">
        <v>0</v>
      </c>
      <c r="F494" s="32" t="s">
        <v>3790</v>
      </c>
      <c r="G494" s="7">
        <v>44935</v>
      </c>
      <c r="H494" s="32" t="s">
        <v>3790</v>
      </c>
      <c r="I494" s="48" t="s">
        <v>3790</v>
      </c>
      <c r="J494" s="48">
        <v>0</v>
      </c>
      <c r="K494" s="48">
        <v>0</v>
      </c>
      <c r="L494" s="7" t="s">
        <v>3790</v>
      </c>
      <c r="M494" s="7">
        <v>45055</v>
      </c>
      <c r="N494" s="7">
        <v>44882</v>
      </c>
      <c r="O494" s="7">
        <v>44942</v>
      </c>
      <c r="P494" s="48">
        <v>42</v>
      </c>
      <c r="Q494" s="48">
        <v>7</v>
      </c>
      <c r="R494" s="48">
        <v>14</v>
      </c>
      <c r="S494" s="48">
        <v>20000</v>
      </c>
      <c r="T494" s="5" t="s">
        <v>5549</v>
      </c>
    </row>
    <row r="495" spans="1:20">
      <c r="A495" s="5" t="s">
        <v>3900</v>
      </c>
      <c r="B495" s="32" t="s">
        <v>827</v>
      </c>
      <c r="C495" s="32" t="s">
        <v>5380</v>
      </c>
      <c r="D495" s="5" t="s">
        <v>3898</v>
      </c>
      <c r="E495" s="48">
        <v>23521</v>
      </c>
      <c r="F495" s="32" t="s">
        <v>3899</v>
      </c>
      <c r="G495" s="7">
        <v>44816</v>
      </c>
      <c r="H495" s="32" t="s">
        <v>3526</v>
      </c>
      <c r="I495" s="48" t="s">
        <v>3790</v>
      </c>
      <c r="J495" s="48">
        <v>0</v>
      </c>
      <c r="K495" s="48">
        <v>0</v>
      </c>
      <c r="L495" s="7" t="s">
        <v>3790</v>
      </c>
      <c r="M495" s="7">
        <v>44937</v>
      </c>
      <c r="N495" s="7">
        <v>44732</v>
      </c>
      <c r="O495" s="7" t="s">
        <v>3790</v>
      </c>
      <c r="P495" s="48">
        <v>42</v>
      </c>
      <c r="Q495" s="48">
        <v>7</v>
      </c>
      <c r="R495" s="48">
        <v>14</v>
      </c>
      <c r="S495" s="48">
        <v>30000</v>
      </c>
      <c r="T495" s="5" t="s">
        <v>5548</v>
      </c>
    </row>
    <row r="496" spans="1:20">
      <c r="A496" s="5" t="s">
        <v>3900</v>
      </c>
      <c r="B496" s="32" t="s">
        <v>830</v>
      </c>
      <c r="C496" s="32" t="s">
        <v>5380</v>
      </c>
      <c r="D496" s="5" t="s">
        <v>3898</v>
      </c>
      <c r="E496" s="48">
        <v>8913</v>
      </c>
      <c r="F496" s="32" t="s">
        <v>3899</v>
      </c>
      <c r="G496" s="7">
        <v>44816</v>
      </c>
      <c r="H496" s="32" t="s">
        <v>3526</v>
      </c>
      <c r="I496" s="48" t="s">
        <v>3790</v>
      </c>
      <c r="J496" s="48">
        <v>0</v>
      </c>
      <c r="K496" s="48">
        <v>0</v>
      </c>
      <c r="L496" s="7" t="s">
        <v>3790</v>
      </c>
      <c r="M496" s="7">
        <v>44937</v>
      </c>
      <c r="N496" s="7">
        <v>44732</v>
      </c>
      <c r="O496" s="7" t="s">
        <v>3790</v>
      </c>
      <c r="P496" s="48">
        <v>42</v>
      </c>
      <c r="Q496" s="48">
        <v>7</v>
      </c>
      <c r="R496" s="48">
        <v>14</v>
      </c>
      <c r="S496" s="48">
        <v>14000</v>
      </c>
      <c r="T496" s="5" t="s">
        <v>5548</v>
      </c>
    </row>
    <row r="497" spans="1:22">
      <c r="A497" s="5" t="s">
        <v>3900</v>
      </c>
      <c r="B497" s="32" t="s">
        <v>954</v>
      </c>
      <c r="C497" s="32" t="s">
        <v>5888</v>
      </c>
      <c r="D497" s="5" t="s">
        <v>5889</v>
      </c>
      <c r="E497" s="48">
        <v>0</v>
      </c>
      <c r="F497" s="32" t="s">
        <v>3906</v>
      </c>
      <c r="G497" s="7">
        <v>44897</v>
      </c>
      <c r="H497" s="32" t="s">
        <v>3526</v>
      </c>
      <c r="I497" s="48" t="s">
        <v>3790</v>
      </c>
      <c r="J497" s="48">
        <v>0</v>
      </c>
      <c r="K497" s="48">
        <v>2429</v>
      </c>
      <c r="L497" s="7" t="s">
        <v>3790</v>
      </c>
      <c r="M497" s="7">
        <v>44990</v>
      </c>
      <c r="N497" s="7">
        <v>44834</v>
      </c>
      <c r="O497" s="7">
        <v>44960</v>
      </c>
      <c r="P497" s="48">
        <v>147</v>
      </c>
      <c r="Q497" s="48">
        <v>63</v>
      </c>
      <c r="R497" s="48">
        <v>14</v>
      </c>
      <c r="S497" s="48">
        <v>2200</v>
      </c>
      <c r="T497" s="5" t="s">
        <v>5548</v>
      </c>
    </row>
    <row r="498" spans="1:22">
      <c r="A498" s="5" t="s">
        <v>3900</v>
      </c>
      <c r="B498" s="32" t="s">
        <v>1005</v>
      </c>
      <c r="C498" s="32" t="s">
        <v>7578</v>
      </c>
      <c r="D498" s="5" t="s">
        <v>7577</v>
      </c>
      <c r="E498" s="48">
        <v>0</v>
      </c>
      <c r="F498" s="32" t="s">
        <v>3790</v>
      </c>
      <c r="G498" s="7">
        <v>44946</v>
      </c>
      <c r="H498" s="32" t="s">
        <v>3790</v>
      </c>
      <c r="I498" s="48" t="s">
        <v>3790</v>
      </c>
      <c r="J498" s="48">
        <v>0</v>
      </c>
      <c r="K498" s="48">
        <v>0</v>
      </c>
      <c r="L498" s="7" t="s">
        <v>3790</v>
      </c>
      <c r="M498" s="7">
        <v>45021</v>
      </c>
      <c r="N498" s="7">
        <v>44908</v>
      </c>
      <c r="O498" s="7">
        <v>45009</v>
      </c>
      <c r="P498" s="48">
        <v>147</v>
      </c>
      <c r="Q498" s="48">
        <v>63</v>
      </c>
      <c r="R498" s="48">
        <v>14</v>
      </c>
      <c r="S498" s="48">
        <v>11000</v>
      </c>
      <c r="T498" s="5" t="s">
        <v>5549</v>
      </c>
    </row>
    <row r="499" spans="1:22">
      <c r="A499" s="5" t="s">
        <v>3900</v>
      </c>
      <c r="B499" s="32" t="s">
        <v>1415</v>
      </c>
      <c r="C499" s="32" t="s">
        <v>5892</v>
      </c>
      <c r="D499" s="5" t="s">
        <v>3905</v>
      </c>
      <c r="E499" s="48">
        <v>0</v>
      </c>
      <c r="F499" s="32" t="s">
        <v>3906</v>
      </c>
      <c r="G499" s="7">
        <v>44805</v>
      </c>
      <c r="H499" s="32" t="s">
        <v>3526</v>
      </c>
      <c r="I499" s="48" t="s">
        <v>3790</v>
      </c>
      <c r="J499" s="48">
        <v>0</v>
      </c>
      <c r="K499" s="48">
        <v>1111</v>
      </c>
      <c r="L499" s="7" t="s">
        <v>3790</v>
      </c>
      <c r="M499" s="7">
        <v>44880</v>
      </c>
      <c r="N499" s="7">
        <v>44733</v>
      </c>
      <c r="O499" s="7">
        <v>44868</v>
      </c>
      <c r="P499" s="48">
        <v>147</v>
      </c>
      <c r="Q499" s="48">
        <v>63</v>
      </c>
      <c r="R499" s="48">
        <v>14</v>
      </c>
      <c r="S499" s="48">
        <v>1400</v>
      </c>
      <c r="T499" s="5" t="s">
        <v>5548</v>
      </c>
    </row>
    <row r="500" spans="1:22">
      <c r="A500" s="5" t="s">
        <v>3900</v>
      </c>
      <c r="B500" s="32" t="s">
        <v>1418</v>
      </c>
      <c r="C500" s="32" t="s">
        <v>5892</v>
      </c>
      <c r="D500" s="5" t="s">
        <v>3905</v>
      </c>
      <c r="E500" s="48">
        <v>0</v>
      </c>
      <c r="F500" s="32" t="s">
        <v>3906</v>
      </c>
      <c r="G500" s="7">
        <v>44805</v>
      </c>
      <c r="H500" s="32" t="s">
        <v>3526</v>
      </c>
      <c r="I500" s="48" t="s">
        <v>3790</v>
      </c>
      <c r="J500" s="48">
        <v>0</v>
      </c>
      <c r="K500" s="48">
        <v>950</v>
      </c>
      <c r="L500" s="7" t="s">
        <v>3790</v>
      </c>
      <c r="M500" s="7">
        <v>44880</v>
      </c>
      <c r="N500" s="7">
        <v>44733</v>
      </c>
      <c r="O500" s="7">
        <v>44868</v>
      </c>
      <c r="P500" s="48">
        <v>147</v>
      </c>
      <c r="Q500" s="48">
        <v>63</v>
      </c>
      <c r="R500" s="48">
        <v>14</v>
      </c>
      <c r="S500" s="48">
        <v>800</v>
      </c>
      <c r="T500" s="5" t="s">
        <v>5548</v>
      </c>
    </row>
    <row r="501" spans="1:22">
      <c r="A501" s="5" t="s">
        <v>3900</v>
      </c>
      <c r="B501" s="32" t="s">
        <v>1428</v>
      </c>
      <c r="C501" s="32" t="s">
        <v>5893</v>
      </c>
      <c r="D501" s="5" t="s">
        <v>5513</v>
      </c>
      <c r="E501" s="48">
        <v>0</v>
      </c>
      <c r="F501" s="32" t="s">
        <v>3790</v>
      </c>
      <c r="G501" s="7">
        <v>44951</v>
      </c>
      <c r="H501" s="32" t="s">
        <v>3790</v>
      </c>
      <c r="I501" s="48" t="s">
        <v>3790</v>
      </c>
      <c r="J501" s="48">
        <v>0</v>
      </c>
      <c r="K501" s="48">
        <v>0</v>
      </c>
      <c r="L501" s="7" t="s">
        <v>3790</v>
      </c>
      <c r="M501" s="7">
        <v>45026</v>
      </c>
      <c r="N501" s="7">
        <v>44837</v>
      </c>
      <c r="O501" s="7">
        <v>45014</v>
      </c>
      <c r="P501" s="48">
        <v>147</v>
      </c>
      <c r="Q501" s="48">
        <v>63</v>
      </c>
      <c r="R501" s="48">
        <v>14</v>
      </c>
      <c r="S501" s="48">
        <v>5500</v>
      </c>
      <c r="T501" s="5" t="s">
        <v>5549</v>
      </c>
    </row>
    <row r="502" spans="1:22">
      <c r="A502" s="5" t="s">
        <v>3900</v>
      </c>
      <c r="B502" s="32" t="s">
        <v>1431</v>
      </c>
      <c r="C502" s="32" t="s">
        <v>5893</v>
      </c>
      <c r="D502" s="5" t="s">
        <v>5513</v>
      </c>
      <c r="E502" s="48">
        <v>0</v>
      </c>
      <c r="F502" s="32" t="s">
        <v>3790</v>
      </c>
      <c r="G502" s="7">
        <v>44951</v>
      </c>
      <c r="H502" s="32" t="s">
        <v>3790</v>
      </c>
      <c r="I502" s="48" t="s">
        <v>3790</v>
      </c>
      <c r="J502" s="48">
        <v>0</v>
      </c>
      <c r="K502" s="48">
        <v>0</v>
      </c>
      <c r="L502" s="7" t="s">
        <v>3790</v>
      </c>
      <c r="M502" s="7">
        <v>45026</v>
      </c>
      <c r="N502" s="7">
        <v>44837</v>
      </c>
      <c r="O502" s="7">
        <v>45014</v>
      </c>
      <c r="P502" s="48">
        <v>147</v>
      </c>
      <c r="Q502" s="48">
        <v>63</v>
      </c>
      <c r="R502" s="48">
        <v>14</v>
      </c>
      <c r="S502" s="48">
        <v>1100</v>
      </c>
      <c r="T502" s="5" t="s">
        <v>5549</v>
      </c>
    </row>
    <row r="503" spans="1:22">
      <c r="A503" s="5" t="s">
        <v>3900</v>
      </c>
      <c r="B503" s="32" t="s">
        <v>1528</v>
      </c>
      <c r="C503" s="32" t="s">
        <v>5514</v>
      </c>
      <c r="D503" s="5" t="s">
        <v>5513</v>
      </c>
      <c r="E503" s="48">
        <v>9557</v>
      </c>
      <c r="F503" s="32" t="s">
        <v>3899</v>
      </c>
      <c r="G503" s="7">
        <v>44865</v>
      </c>
      <c r="H503" s="32" t="s">
        <v>3526</v>
      </c>
      <c r="I503" s="48" t="s">
        <v>3790</v>
      </c>
      <c r="J503" s="48">
        <v>0</v>
      </c>
      <c r="K503" s="48">
        <v>0</v>
      </c>
      <c r="L503" s="7" t="s">
        <v>3790</v>
      </c>
      <c r="M503" s="7">
        <v>45052</v>
      </c>
      <c r="N503" s="7">
        <v>44837</v>
      </c>
      <c r="O503" s="7" t="s">
        <v>3790</v>
      </c>
      <c r="P503" s="48">
        <v>42</v>
      </c>
      <c r="Q503" s="48">
        <v>7</v>
      </c>
      <c r="R503" s="48">
        <v>14</v>
      </c>
      <c r="S503" s="48">
        <v>9000</v>
      </c>
      <c r="T503" s="5" t="s">
        <v>5548</v>
      </c>
    </row>
    <row r="504" spans="1:22">
      <c r="A504" s="5" t="s">
        <v>3900</v>
      </c>
      <c r="B504" s="32" t="s">
        <v>1530</v>
      </c>
      <c r="C504" s="32" t="s">
        <v>5514</v>
      </c>
      <c r="D504" s="5" t="s">
        <v>5513</v>
      </c>
      <c r="E504" s="48">
        <v>2520</v>
      </c>
      <c r="F504" s="32" t="s">
        <v>3899</v>
      </c>
      <c r="G504" s="7">
        <v>44870</v>
      </c>
      <c r="H504" s="32" t="s">
        <v>3526</v>
      </c>
      <c r="I504" s="48" t="s">
        <v>3790</v>
      </c>
      <c r="J504" s="48">
        <v>0</v>
      </c>
      <c r="K504" s="48">
        <v>0</v>
      </c>
      <c r="L504" s="7" t="s">
        <v>3790</v>
      </c>
      <c r="M504" s="7">
        <v>45057</v>
      </c>
      <c r="N504" s="7">
        <v>44837</v>
      </c>
      <c r="O504" s="7" t="s">
        <v>3790</v>
      </c>
      <c r="P504" s="48">
        <v>42</v>
      </c>
      <c r="Q504" s="48">
        <v>7</v>
      </c>
      <c r="R504" s="48">
        <v>14</v>
      </c>
      <c r="S504" s="48">
        <v>2000</v>
      </c>
      <c r="T504" s="5" t="s">
        <v>5548</v>
      </c>
    </row>
    <row r="505" spans="1:22">
      <c r="A505" s="5" t="s">
        <v>3900</v>
      </c>
      <c r="B505" s="32" t="s">
        <v>1561</v>
      </c>
      <c r="C505" s="32" t="s">
        <v>7584</v>
      </c>
      <c r="D505" s="5" t="s">
        <v>7583</v>
      </c>
      <c r="E505" s="48">
        <v>0</v>
      </c>
      <c r="F505" s="32" t="s">
        <v>3790</v>
      </c>
      <c r="G505" s="7">
        <v>44937</v>
      </c>
      <c r="H505" s="32" t="s">
        <v>3790</v>
      </c>
      <c r="I505" s="48" t="s">
        <v>3790</v>
      </c>
      <c r="J505" s="48">
        <v>0</v>
      </c>
      <c r="K505" s="48">
        <v>0</v>
      </c>
      <c r="L505" s="7" t="s">
        <v>3790</v>
      </c>
      <c r="M505" s="7">
        <v>45012</v>
      </c>
      <c r="N505" s="7">
        <v>44900</v>
      </c>
      <c r="O505" s="7">
        <v>45000</v>
      </c>
      <c r="P505" s="48">
        <v>147</v>
      </c>
      <c r="Q505" s="48">
        <v>63</v>
      </c>
      <c r="R505" s="48">
        <v>14</v>
      </c>
      <c r="S505" s="48">
        <v>3900</v>
      </c>
      <c r="T505" s="5" t="s">
        <v>5549</v>
      </c>
    </row>
    <row r="506" spans="1:22">
      <c r="A506" s="5" t="s">
        <v>3900</v>
      </c>
      <c r="B506" s="32" t="s">
        <v>1563</v>
      </c>
      <c r="C506" s="32" t="s">
        <v>7584</v>
      </c>
      <c r="D506" s="5" t="s">
        <v>7583</v>
      </c>
      <c r="E506" s="48">
        <v>0</v>
      </c>
      <c r="F506" s="32" t="s">
        <v>3790</v>
      </c>
      <c r="G506" s="7">
        <v>44937</v>
      </c>
      <c r="H506" s="32" t="s">
        <v>3790</v>
      </c>
      <c r="I506" s="48" t="s">
        <v>3790</v>
      </c>
      <c r="J506" s="48">
        <v>0</v>
      </c>
      <c r="K506" s="48">
        <v>0</v>
      </c>
      <c r="L506" s="7" t="s">
        <v>3790</v>
      </c>
      <c r="M506" s="7">
        <v>45012</v>
      </c>
      <c r="N506" s="7">
        <v>44900</v>
      </c>
      <c r="O506" s="7">
        <v>45000</v>
      </c>
      <c r="P506" s="48">
        <v>147</v>
      </c>
      <c r="Q506" s="48">
        <v>63</v>
      </c>
      <c r="R506" s="48">
        <v>14</v>
      </c>
      <c r="S506" s="48">
        <v>500</v>
      </c>
      <c r="T506" s="5" t="s">
        <v>5549</v>
      </c>
    </row>
    <row r="507" spans="1:22">
      <c r="A507" s="5" t="s">
        <v>3900</v>
      </c>
      <c r="B507" s="32" t="s">
        <v>1563</v>
      </c>
      <c r="C507" s="32" t="s">
        <v>7584</v>
      </c>
      <c r="D507" s="5" t="s">
        <v>7583</v>
      </c>
      <c r="E507" s="48">
        <v>0</v>
      </c>
      <c r="F507" s="32" t="s">
        <v>3790</v>
      </c>
      <c r="G507" s="7">
        <v>44938</v>
      </c>
      <c r="H507" s="32" t="s">
        <v>3790</v>
      </c>
      <c r="I507" s="48" t="s">
        <v>3790</v>
      </c>
      <c r="J507" s="48">
        <v>0</v>
      </c>
      <c r="K507" s="48">
        <v>0</v>
      </c>
      <c r="L507" s="7" t="s">
        <v>3790</v>
      </c>
      <c r="M507" s="7">
        <v>45013</v>
      </c>
      <c r="N507" s="7">
        <v>44900</v>
      </c>
      <c r="O507" s="7">
        <v>45001</v>
      </c>
      <c r="P507" s="48">
        <v>147</v>
      </c>
      <c r="Q507" s="48">
        <v>63</v>
      </c>
      <c r="R507" s="48">
        <v>14</v>
      </c>
      <c r="S507" s="48">
        <v>500</v>
      </c>
      <c r="T507" s="5" t="s">
        <v>5549</v>
      </c>
    </row>
    <row r="508" spans="1:22">
      <c r="A508" s="5" t="s">
        <v>3900</v>
      </c>
      <c r="B508" s="32" t="s">
        <v>2707</v>
      </c>
      <c r="C508" s="32" t="s">
        <v>6047</v>
      </c>
      <c r="D508" s="5" t="s">
        <v>6046</v>
      </c>
      <c r="E508" s="48">
        <v>0</v>
      </c>
      <c r="F508" s="32" t="s">
        <v>3906</v>
      </c>
      <c r="G508" s="7">
        <v>44907</v>
      </c>
      <c r="H508" s="32" t="s">
        <v>3526</v>
      </c>
      <c r="I508" s="48" t="s">
        <v>3790</v>
      </c>
      <c r="J508" s="48">
        <v>0</v>
      </c>
      <c r="K508" s="48">
        <v>1808</v>
      </c>
      <c r="L508" s="7" t="s">
        <v>3790</v>
      </c>
      <c r="M508" s="7">
        <v>44982</v>
      </c>
      <c r="N508" s="7">
        <v>44861</v>
      </c>
      <c r="O508" s="7">
        <v>44970</v>
      </c>
      <c r="P508" s="48">
        <v>147</v>
      </c>
      <c r="Q508" s="48">
        <v>63</v>
      </c>
      <c r="R508" s="48">
        <v>14</v>
      </c>
      <c r="S508" s="48">
        <v>1700</v>
      </c>
      <c r="T508" s="5" t="s">
        <v>5548</v>
      </c>
    </row>
    <row r="509" spans="1:22">
      <c r="A509" s="5" t="s">
        <v>3900</v>
      </c>
      <c r="B509" s="32" t="s">
        <v>2707</v>
      </c>
      <c r="C509" s="32" t="s">
        <v>6047</v>
      </c>
      <c r="D509" s="5" t="s">
        <v>6046</v>
      </c>
      <c r="E509" s="48">
        <v>0</v>
      </c>
      <c r="F509" s="32" t="s">
        <v>3906</v>
      </c>
      <c r="G509" s="7">
        <v>44907</v>
      </c>
      <c r="H509" s="32" t="s">
        <v>3526</v>
      </c>
      <c r="I509" s="48" t="s">
        <v>3790</v>
      </c>
      <c r="J509" s="48">
        <v>0</v>
      </c>
      <c r="K509" s="48">
        <v>1808</v>
      </c>
      <c r="L509" s="7" t="s">
        <v>3790</v>
      </c>
      <c r="M509" s="7">
        <v>44982</v>
      </c>
      <c r="N509" s="7">
        <v>44861</v>
      </c>
      <c r="O509" s="7">
        <v>44970</v>
      </c>
      <c r="P509" s="48">
        <v>147</v>
      </c>
      <c r="Q509" s="48">
        <v>63</v>
      </c>
      <c r="R509" s="48">
        <v>14</v>
      </c>
      <c r="S509" s="48">
        <v>1700</v>
      </c>
      <c r="T509" s="5" t="s">
        <v>5548</v>
      </c>
    </row>
    <row r="510" spans="1:22">
      <c r="A510" s="5" t="s">
        <v>3900</v>
      </c>
      <c r="B510" s="32" t="s">
        <v>2710</v>
      </c>
      <c r="C510" s="32" t="s">
        <v>6047</v>
      </c>
      <c r="D510" s="5" t="s">
        <v>6046</v>
      </c>
      <c r="E510" s="48">
        <v>0</v>
      </c>
      <c r="F510" s="32" t="s">
        <v>3906</v>
      </c>
      <c r="G510" s="7">
        <v>44907</v>
      </c>
      <c r="H510" s="32" t="s">
        <v>3526</v>
      </c>
      <c r="I510" s="48" t="s">
        <v>3790</v>
      </c>
      <c r="J510" s="48">
        <v>0</v>
      </c>
      <c r="K510" s="48">
        <v>582</v>
      </c>
      <c r="L510" s="7" t="s">
        <v>3790</v>
      </c>
      <c r="M510" s="7">
        <v>44982</v>
      </c>
      <c r="N510" s="7">
        <v>44861</v>
      </c>
      <c r="O510" s="7">
        <v>44970</v>
      </c>
      <c r="P510" s="48">
        <v>147</v>
      </c>
      <c r="Q510" s="48">
        <v>63</v>
      </c>
      <c r="R510" s="48">
        <v>14</v>
      </c>
      <c r="S510" s="48">
        <v>500</v>
      </c>
      <c r="T510" s="5" t="s">
        <v>5548</v>
      </c>
    </row>
    <row r="511" spans="1:22">
      <c r="A511" s="5" t="s">
        <v>3900</v>
      </c>
      <c r="B511" s="32" t="s">
        <v>2710</v>
      </c>
      <c r="C511" s="32" t="s">
        <v>6047</v>
      </c>
      <c r="D511" s="5" t="s">
        <v>6046</v>
      </c>
      <c r="E511" s="48">
        <v>0</v>
      </c>
      <c r="F511" s="32" t="s">
        <v>3906</v>
      </c>
      <c r="G511" s="7">
        <v>44907</v>
      </c>
      <c r="H511" s="32" t="s">
        <v>3526</v>
      </c>
      <c r="I511" s="48" t="s">
        <v>3790</v>
      </c>
      <c r="J511" s="48">
        <v>0</v>
      </c>
      <c r="K511" s="48">
        <v>582</v>
      </c>
      <c r="L511" s="7" t="s">
        <v>3790</v>
      </c>
      <c r="M511" s="7">
        <v>44982</v>
      </c>
      <c r="N511" s="7">
        <v>44861</v>
      </c>
      <c r="O511" s="7">
        <v>44970</v>
      </c>
      <c r="P511" s="48">
        <v>147</v>
      </c>
      <c r="Q511" s="48">
        <v>63</v>
      </c>
      <c r="R511" s="48">
        <v>14</v>
      </c>
      <c r="S511" s="48">
        <v>500</v>
      </c>
      <c r="T511" s="5" t="s">
        <v>5548</v>
      </c>
    </row>
    <row r="512" spans="1:22">
      <c r="A512" s="5" t="s">
        <v>3911</v>
      </c>
      <c r="B512" s="32" t="s">
        <v>343</v>
      </c>
      <c r="C512" s="32" t="s">
        <v>3937</v>
      </c>
      <c r="D512" s="5" t="s">
        <v>3936</v>
      </c>
      <c r="E512" s="48">
        <v>0</v>
      </c>
      <c r="F512" s="32" t="s">
        <v>3701</v>
      </c>
      <c r="G512" s="7">
        <v>44984</v>
      </c>
      <c r="H512" s="32" t="s">
        <v>3790</v>
      </c>
      <c r="I512" s="48">
        <v>0</v>
      </c>
      <c r="J512" s="48">
        <v>0</v>
      </c>
      <c r="K512" s="48">
        <v>0</v>
      </c>
      <c r="L512" s="7" t="s">
        <v>3790</v>
      </c>
      <c r="M512" s="7" t="s">
        <v>3790</v>
      </c>
      <c r="N512" s="7">
        <v>44641</v>
      </c>
      <c r="O512" s="7">
        <v>44998</v>
      </c>
      <c r="P512" s="48">
        <v>196</v>
      </c>
      <c r="Q512" s="48">
        <v>14</v>
      </c>
      <c r="R512" s="48">
        <v>14</v>
      </c>
      <c r="S512" s="48">
        <v>3000</v>
      </c>
      <c r="T512" s="5" t="s">
        <v>5549</v>
      </c>
      <c r="V512" s="32" t="s">
        <v>3701</v>
      </c>
    </row>
    <row r="513" spans="1:22">
      <c r="A513" s="5" t="s">
        <v>3911</v>
      </c>
      <c r="B513" s="32" t="s">
        <v>352</v>
      </c>
      <c r="C513" s="32" t="s">
        <v>3957</v>
      </c>
      <c r="D513" s="5" t="s">
        <v>3956</v>
      </c>
      <c r="E513" s="48">
        <v>3001</v>
      </c>
      <c r="F513" s="32" t="s">
        <v>3914</v>
      </c>
      <c r="G513" s="7">
        <v>44868</v>
      </c>
      <c r="H513" s="32" t="s">
        <v>3526</v>
      </c>
      <c r="I513" s="48">
        <v>1</v>
      </c>
      <c r="J513" s="48">
        <v>3000</v>
      </c>
      <c r="K513" s="48">
        <v>0</v>
      </c>
      <c r="L513" s="7" t="s">
        <v>3790</v>
      </c>
      <c r="M513" s="7">
        <v>44985</v>
      </c>
      <c r="N513" s="7">
        <v>44761</v>
      </c>
      <c r="O513" s="7" t="s">
        <v>3790</v>
      </c>
      <c r="P513" s="48">
        <v>196</v>
      </c>
      <c r="Q513" s="48">
        <v>14</v>
      </c>
      <c r="R513" s="48">
        <v>14</v>
      </c>
      <c r="S513" s="48">
        <v>3000</v>
      </c>
      <c r="T513" s="5" t="s">
        <v>5548</v>
      </c>
      <c r="V513" s="32" t="s">
        <v>3701</v>
      </c>
    </row>
    <row r="514" spans="1:22">
      <c r="A514" s="5" t="s">
        <v>3911</v>
      </c>
      <c r="B514" s="32" t="s">
        <v>356</v>
      </c>
      <c r="C514" s="32" t="s">
        <v>3925</v>
      </c>
      <c r="D514" s="5" t="s">
        <v>3956</v>
      </c>
      <c r="E514" s="48">
        <v>0</v>
      </c>
      <c r="F514" s="32" t="s">
        <v>3701</v>
      </c>
      <c r="G514" s="7">
        <v>44985</v>
      </c>
      <c r="H514" s="32" t="s">
        <v>3790</v>
      </c>
      <c r="I514" s="48">
        <v>0</v>
      </c>
      <c r="J514" s="48">
        <v>0</v>
      </c>
      <c r="K514" s="48">
        <v>0</v>
      </c>
      <c r="L514" s="7" t="s">
        <v>3790</v>
      </c>
      <c r="M514" s="7" t="s">
        <v>3790</v>
      </c>
      <c r="N514" s="7">
        <v>44761</v>
      </c>
      <c r="O514" s="7">
        <v>44999</v>
      </c>
      <c r="P514" s="48">
        <v>196</v>
      </c>
      <c r="Q514" s="48">
        <v>14</v>
      </c>
      <c r="R514" s="48">
        <v>14</v>
      </c>
      <c r="S514" s="48">
        <v>2200</v>
      </c>
      <c r="T514" s="5" t="s">
        <v>5549</v>
      </c>
      <c r="V514" s="32" t="s">
        <v>3701</v>
      </c>
    </row>
    <row r="515" spans="1:22">
      <c r="A515" s="5" t="s">
        <v>3911</v>
      </c>
      <c r="B515" s="32" t="s">
        <v>358</v>
      </c>
      <c r="C515" s="32" t="s">
        <v>3926</v>
      </c>
      <c r="D515" s="5" t="s">
        <v>3956</v>
      </c>
      <c r="E515" s="48">
        <v>0</v>
      </c>
      <c r="F515" s="32" t="s">
        <v>3701</v>
      </c>
      <c r="G515" s="7">
        <v>44985</v>
      </c>
      <c r="H515" s="32" t="s">
        <v>3790</v>
      </c>
      <c r="I515" s="48">
        <v>0</v>
      </c>
      <c r="J515" s="48">
        <v>0</v>
      </c>
      <c r="K515" s="48">
        <v>0</v>
      </c>
      <c r="L515" s="7" t="s">
        <v>3790</v>
      </c>
      <c r="M515" s="7" t="s">
        <v>3790</v>
      </c>
      <c r="N515" s="7">
        <v>44761</v>
      </c>
      <c r="O515" s="7">
        <v>44999</v>
      </c>
      <c r="P515" s="48">
        <v>196</v>
      </c>
      <c r="Q515" s="48">
        <v>14</v>
      </c>
      <c r="R515" s="48">
        <v>14</v>
      </c>
      <c r="S515" s="48">
        <v>800</v>
      </c>
      <c r="T515" s="5" t="s">
        <v>5549</v>
      </c>
      <c r="V515" s="32" t="s">
        <v>3701</v>
      </c>
    </row>
    <row r="516" spans="1:22">
      <c r="A516" s="5" t="s">
        <v>3911</v>
      </c>
      <c r="B516" s="32" t="s">
        <v>426</v>
      </c>
      <c r="C516" s="32" t="s">
        <v>3979</v>
      </c>
      <c r="D516" s="5" t="s">
        <v>3978</v>
      </c>
      <c r="E516" s="48">
        <v>0</v>
      </c>
      <c r="F516" s="32" t="s">
        <v>3701</v>
      </c>
      <c r="G516" s="7">
        <v>44970</v>
      </c>
      <c r="H516" s="32" t="s">
        <v>3790</v>
      </c>
      <c r="I516" s="48">
        <v>0</v>
      </c>
      <c r="J516" s="48">
        <v>0</v>
      </c>
      <c r="K516" s="48">
        <v>0</v>
      </c>
      <c r="L516" s="7" t="s">
        <v>3790</v>
      </c>
      <c r="M516" s="7" t="s">
        <v>3790</v>
      </c>
      <c r="N516" s="7">
        <v>44796</v>
      </c>
      <c r="O516" s="7">
        <v>44984</v>
      </c>
      <c r="P516" s="48">
        <v>70</v>
      </c>
      <c r="Q516" s="48">
        <v>14</v>
      </c>
      <c r="R516" s="48">
        <v>14</v>
      </c>
      <c r="S516" s="48">
        <v>3000</v>
      </c>
      <c r="T516" s="5" t="s">
        <v>5549</v>
      </c>
      <c r="V516" s="32" t="s">
        <v>3701</v>
      </c>
    </row>
    <row r="517" spans="1:22">
      <c r="A517" s="5" t="s">
        <v>3911</v>
      </c>
      <c r="B517" s="32" t="s">
        <v>454</v>
      </c>
      <c r="C517" s="32" t="s">
        <v>3920</v>
      </c>
      <c r="D517" s="5" t="s">
        <v>3919</v>
      </c>
      <c r="E517" s="48">
        <v>0</v>
      </c>
      <c r="F517" s="32" t="s">
        <v>3701</v>
      </c>
      <c r="G517" s="7">
        <v>44978</v>
      </c>
      <c r="H517" s="32" t="s">
        <v>3790</v>
      </c>
      <c r="I517" s="48">
        <v>0</v>
      </c>
      <c r="J517" s="48">
        <v>0</v>
      </c>
      <c r="K517" s="48">
        <v>0</v>
      </c>
      <c r="L517" s="7" t="s">
        <v>3790</v>
      </c>
      <c r="M517" s="7" t="s">
        <v>3790</v>
      </c>
      <c r="N517" s="7">
        <v>44599</v>
      </c>
      <c r="O517" s="7">
        <v>44992</v>
      </c>
      <c r="P517" s="48">
        <v>196</v>
      </c>
      <c r="Q517" s="48">
        <v>14</v>
      </c>
      <c r="R517" s="48">
        <v>14</v>
      </c>
      <c r="S517" s="48">
        <v>700</v>
      </c>
      <c r="T517" s="5" t="s">
        <v>5549</v>
      </c>
      <c r="V517" s="32" t="s">
        <v>3701</v>
      </c>
    </row>
    <row r="518" spans="1:22">
      <c r="A518" s="5" t="s">
        <v>3911</v>
      </c>
      <c r="B518" s="32" t="s">
        <v>455</v>
      </c>
      <c r="C518" s="32" t="s">
        <v>3921</v>
      </c>
      <c r="D518" s="5" t="s">
        <v>3919</v>
      </c>
      <c r="E518" s="48">
        <v>0</v>
      </c>
      <c r="F518" s="32" t="s">
        <v>3701</v>
      </c>
      <c r="G518" s="7">
        <v>44978</v>
      </c>
      <c r="H518" s="32" t="s">
        <v>3790</v>
      </c>
      <c r="I518" s="48">
        <v>0</v>
      </c>
      <c r="J518" s="48">
        <v>0</v>
      </c>
      <c r="K518" s="48">
        <v>0</v>
      </c>
      <c r="L518" s="7" t="s">
        <v>3790</v>
      </c>
      <c r="M518" s="7" t="s">
        <v>3790</v>
      </c>
      <c r="N518" s="7">
        <v>44599</v>
      </c>
      <c r="O518" s="7">
        <v>44992</v>
      </c>
      <c r="P518" s="48">
        <v>196</v>
      </c>
      <c r="Q518" s="48">
        <v>14</v>
      </c>
      <c r="R518" s="48">
        <v>14</v>
      </c>
      <c r="S518" s="48">
        <v>1000</v>
      </c>
      <c r="T518" s="5" t="s">
        <v>5549</v>
      </c>
      <c r="V518" s="32" t="s">
        <v>3701</v>
      </c>
    </row>
    <row r="519" spans="1:22">
      <c r="A519" s="5" t="s">
        <v>3911</v>
      </c>
      <c r="B519" s="32" t="s">
        <v>566</v>
      </c>
      <c r="C519" s="32" t="s">
        <v>3938</v>
      </c>
      <c r="D519" s="5" t="s">
        <v>3956</v>
      </c>
      <c r="E519" s="48">
        <v>0</v>
      </c>
      <c r="F519" s="32" t="s">
        <v>3701</v>
      </c>
      <c r="G519" s="7">
        <v>45078</v>
      </c>
      <c r="H519" s="32" t="s">
        <v>3790</v>
      </c>
      <c r="I519" s="48">
        <v>0</v>
      </c>
      <c r="J519" s="48">
        <v>0</v>
      </c>
      <c r="K519" s="48">
        <v>0</v>
      </c>
      <c r="L519" s="7" t="s">
        <v>3790</v>
      </c>
      <c r="M519" s="7" t="s">
        <v>3790</v>
      </c>
      <c r="N519" s="7">
        <v>44761</v>
      </c>
      <c r="O519" s="7">
        <v>45092</v>
      </c>
      <c r="P519" s="48">
        <v>196</v>
      </c>
      <c r="Q519" s="48">
        <v>14</v>
      </c>
      <c r="R519" s="48">
        <v>14</v>
      </c>
      <c r="S519" s="48">
        <v>500</v>
      </c>
      <c r="T519" s="5" t="s">
        <v>5549</v>
      </c>
      <c r="V519" s="32" t="s">
        <v>3701</v>
      </c>
    </row>
    <row r="520" spans="1:22">
      <c r="A520" s="5" t="s">
        <v>3911</v>
      </c>
      <c r="B520" s="32" t="s">
        <v>568</v>
      </c>
      <c r="C520" s="32" t="s">
        <v>3939</v>
      </c>
      <c r="D520" s="5" t="s">
        <v>3956</v>
      </c>
      <c r="E520" s="48">
        <v>0</v>
      </c>
      <c r="F520" s="32" t="s">
        <v>3701</v>
      </c>
      <c r="G520" s="7">
        <v>45078</v>
      </c>
      <c r="H520" s="32" t="s">
        <v>3790</v>
      </c>
      <c r="I520" s="48">
        <v>0</v>
      </c>
      <c r="J520" s="48">
        <v>0</v>
      </c>
      <c r="K520" s="48">
        <v>0</v>
      </c>
      <c r="L520" s="7" t="s">
        <v>3790</v>
      </c>
      <c r="M520" s="7" t="s">
        <v>3790</v>
      </c>
      <c r="N520" s="7">
        <v>44761</v>
      </c>
      <c r="O520" s="7">
        <v>45092</v>
      </c>
      <c r="P520" s="48">
        <v>196</v>
      </c>
      <c r="Q520" s="48">
        <v>14</v>
      </c>
      <c r="R520" s="48">
        <v>14</v>
      </c>
      <c r="S520" s="48">
        <v>2500</v>
      </c>
      <c r="T520" s="5" t="s">
        <v>5549</v>
      </c>
      <c r="V520" s="32" t="s">
        <v>3701</v>
      </c>
    </row>
    <row r="521" spans="1:22">
      <c r="A521" s="5" t="s">
        <v>3911</v>
      </c>
      <c r="B521" s="32" t="s">
        <v>845</v>
      </c>
      <c r="C521" s="32" t="s">
        <v>7568</v>
      </c>
      <c r="D521" s="5" t="s">
        <v>7567</v>
      </c>
      <c r="E521" s="48">
        <v>0</v>
      </c>
      <c r="F521" s="32" t="s">
        <v>3701</v>
      </c>
      <c r="G521" s="7">
        <v>45078</v>
      </c>
      <c r="H521" s="32" t="s">
        <v>3790</v>
      </c>
      <c r="I521" s="48">
        <v>0</v>
      </c>
      <c r="J521" s="48">
        <v>0</v>
      </c>
      <c r="K521" s="48">
        <v>0</v>
      </c>
      <c r="L521" s="7" t="s">
        <v>3790</v>
      </c>
      <c r="M521" s="7" t="s">
        <v>3790</v>
      </c>
      <c r="N521" s="7">
        <v>44910</v>
      </c>
      <c r="O521" s="7">
        <v>45092</v>
      </c>
      <c r="P521" s="48">
        <v>196</v>
      </c>
      <c r="Q521" s="48">
        <v>14</v>
      </c>
      <c r="R521" s="48">
        <v>14</v>
      </c>
      <c r="S521" s="48">
        <v>1500</v>
      </c>
      <c r="T521" s="5" t="s">
        <v>5549</v>
      </c>
      <c r="V521" s="32" t="s">
        <v>3701</v>
      </c>
    </row>
    <row r="522" spans="1:22">
      <c r="A522" s="5" t="s">
        <v>3911</v>
      </c>
      <c r="B522" s="32" t="s">
        <v>7553</v>
      </c>
      <c r="C522" s="32" t="s">
        <v>7570</v>
      </c>
      <c r="D522" s="5" t="s">
        <v>7567</v>
      </c>
      <c r="E522" s="48">
        <v>0</v>
      </c>
      <c r="F522" s="32" t="s">
        <v>3701</v>
      </c>
      <c r="G522" s="7">
        <v>45078</v>
      </c>
      <c r="H522" s="32" t="s">
        <v>3790</v>
      </c>
      <c r="I522" s="48">
        <v>0</v>
      </c>
      <c r="J522" s="48">
        <v>0</v>
      </c>
      <c r="K522" s="48">
        <v>0</v>
      </c>
      <c r="L522" s="7" t="s">
        <v>3790</v>
      </c>
      <c r="M522" s="7" t="s">
        <v>3790</v>
      </c>
      <c r="N522" s="7">
        <v>44910</v>
      </c>
      <c r="O522" s="7">
        <v>45092</v>
      </c>
      <c r="P522" s="48">
        <v>196</v>
      </c>
      <c r="Q522" s="48">
        <v>14</v>
      </c>
      <c r="R522" s="48">
        <v>14</v>
      </c>
      <c r="S522" s="48">
        <v>1500</v>
      </c>
      <c r="T522" s="5" t="s">
        <v>5549</v>
      </c>
      <c r="V522" s="32" t="s">
        <v>3701</v>
      </c>
    </row>
    <row r="523" spans="1:22">
      <c r="A523" s="5" t="s">
        <v>3911</v>
      </c>
      <c r="B523" s="32" t="s">
        <v>3915</v>
      </c>
      <c r="C523" s="32" t="s">
        <v>3916</v>
      </c>
      <c r="D523" s="5" t="s">
        <v>3913</v>
      </c>
      <c r="E523" s="48">
        <v>0</v>
      </c>
      <c r="F523" s="32" t="s">
        <v>3701</v>
      </c>
      <c r="G523" s="7">
        <v>45022</v>
      </c>
      <c r="H523" s="32" t="s">
        <v>3790</v>
      </c>
      <c r="I523" s="48">
        <v>0</v>
      </c>
      <c r="J523" s="48">
        <v>0</v>
      </c>
      <c r="K523" s="48">
        <v>0</v>
      </c>
      <c r="L523" s="7" t="s">
        <v>3790</v>
      </c>
      <c r="M523" s="7" t="s">
        <v>3790</v>
      </c>
      <c r="N523" s="7">
        <v>44484</v>
      </c>
      <c r="O523" s="7">
        <v>45036</v>
      </c>
      <c r="P523" s="48">
        <v>196</v>
      </c>
      <c r="Q523" s="48">
        <v>14</v>
      </c>
      <c r="R523" s="48">
        <v>14</v>
      </c>
      <c r="S523" s="48">
        <v>2200</v>
      </c>
      <c r="T523" s="5" t="s">
        <v>5549</v>
      </c>
      <c r="V523" s="32" t="s">
        <v>3701</v>
      </c>
    </row>
    <row r="524" spans="1:22">
      <c r="A524" s="5" t="s">
        <v>3911</v>
      </c>
      <c r="B524" s="32" t="s">
        <v>871</v>
      </c>
      <c r="C524" s="32" t="s">
        <v>3948</v>
      </c>
      <c r="D524" s="5" t="s">
        <v>3950</v>
      </c>
      <c r="E524" s="48">
        <v>0</v>
      </c>
      <c r="F524" s="32" t="s">
        <v>3701</v>
      </c>
      <c r="G524" s="7">
        <v>44978</v>
      </c>
      <c r="H524" s="32" t="s">
        <v>3790</v>
      </c>
      <c r="I524" s="48">
        <v>0</v>
      </c>
      <c r="J524" s="48">
        <v>0</v>
      </c>
      <c r="K524" s="48">
        <v>0</v>
      </c>
      <c r="L524" s="7" t="s">
        <v>3790</v>
      </c>
      <c r="M524" s="7" t="s">
        <v>3790</v>
      </c>
      <c r="N524" s="7">
        <v>44739</v>
      </c>
      <c r="O524" s="7">
        <v>44992</v>
      </c>
      <c r="P524" s="48">
        <v>196</v>
      </c>
      <c r="Q524" s="48">
        <v>14</v>
      </c>
      <c r="R524" s="48">
        <v>14</v>
      </c>
      <c r="S524" s="48">
        <v>9000</v>
      </c>
      <c r="T524" s="5" t="s">
        <v>5549</v>
      </c>
      <c r="V524" s="32" t="s">
        <v>3701</v>
      </c>
    </row>
    <row r="525" spans="1:22">
      <c r="A525" s="5" t="s">
        <v>3911</v>
      </c>
      <c r="B525" s="32" t="s">
        <v>874</v>
      </c>
      <c r="C525" s="32" t="s">
        <v>3949</v>
      </c>
      <c r="D525" s="5" t="s">
        <v>3950</v>
      </c>
      <c r="E525" s="48">
        <v>0</v>
      </c>
      <c r="F525" s="32" t="s">
        <v>3701</v>
      </c>
      <c r="G525" s="7">
        <v>44977</v>
      </c>
      <c r="H525" s="32" t="s">
        <v>3790</v>
      </c>
      <c r="I525" s="48">
        <v>0</v>
      </c>
      <c r="J525" s="48">
        <v>0</v>
      </c>
      <c r="K525" s="48">
        <v>0</v>
      </c>
      <c r="L525" s="7" t="s">
        <v>3790</v>
      </c>
      <c r="M525" s="7" t="s">
        <v>3790</v>
      </c>
      <c r="N525" s="7">
        <v>44739</v>
      </c>
      <c r="O525" s="7">
        <v>44991</v>
      </c>
      <c r="P525" s="48">
        <v>196</v>
      </c>
      <c r="Q525" s="48">
        <v>14</v>
      </c>
      <c r="R525" s="48">
        <v>14</v>
      </c>
      <c r="S525" s="48">
        <v>6000</v>
      </c>
      <c r="T525" s="5" t="s">
        <v>5549</v>
      </c>
      <c r="V525" s="32" t="s">
        <v>3701</v>
      </c>
    </row>
    <row r="526" spans="1:22">
      <c r="A526" s="5" t="s">
        <v>3911</v>
      </c>
      <c r="B526" s="32" t="s">
        <v>3987</v>
      </c>
      <c r="C526" s="32" t="s">
        <v>3989</v>
      </c>
      <c r="D526" s="5" t="s">
        <v>3988</v>
      </c>
      <c r="E526" s="48">
        <v>2733</v>
      </c>
      <c r="F526" s="32" t="s">
        <v>3914</v>
      </c>
      <c r="G526" s="7">
        <v>44867</v>
      </c>
      <c r="H526" s="32" t="s">
        <v>3526</v>
      </c>
      <c r="I526" s="48">
        <v>0</v>
      </c>
      <c r="J526" s="48">
        <v>2733</v>
      </c>
      <c r="K526" s="48">
        <v>0</v>
      </c>
      <c r="L526" s="7" t="s">
        <v>3790</v>
      </c>
      <c r="M526" s="7">
        <v>45048</v>
      </c>
      <c r="N526" s="7">
        <v>44802</v>
      </c>
      <c r="O526" s="7" t="s">
        <v>3790</v>
      </c>
      <c r="P526" s="48">
        <v>196</v>
      </c>
      <c r="Q526" s="48">
        <v>14</v>
      </c>
      <c r="R526" s="48">
        <v>14</v>
      </c>
      <c r="S526" s="48">
        <v>3000</v>
      </c>
      <c r="T526" s="5" t="s">
        <v>5548</v>
      </c>
      <c r="V526" s="32" t="s">
        <v>3701</v>
      </c>
    </row>
    <row r="527" spans="1:22">
      <c r="A527" s="5" t="s">
        <v>3911</v>
      </c>
      <c r="B527" s="32" t="s">
        <v>1190</v>
      </c>
      <c r="C527" s="32" t="s">
        <v>3943</v>
      </c>
      <c r="D527" s="5" t="s">
        <v>3942</v>
      </c>
      <c r="E527" s="48">
        <v>2509</v>
      </c>
      <c r="F527" s="32" t="s">
        <v>3914</v>
      </c>
      <c r="G527" s="7">
        <v>44861</v>
      </c>
      <c r="H527" s="32" t="s">
        <v>3526</v>
      </c>
      <c r="I527" s="48">
        <v>30</v>
      </c>
      <c r="J527" s="48">
        <v>2479</v>
      </c>
      <c r="K527" s="48">
        <v>0</v>
      </c>
      <c r="L527" s="7" t="s">
        <v>3790</v>
      </c>
      <c r="M527" s="7">
        <v>44959</v>
      </c>
      <c r="N527" s="7">
        <v>44649</v>
      </c>
      <c r="O527" s="7" t="s">
        <v>3790</v>
      </c>
      <c r="P527" s="48">
        <v>196</v>
      </c>
      <c r="Q527" s="48">
        <v>14</v>
      </c>
      <c r="R527" s="48">
        <v>14</v>
      </c>
      <c r="S527" s="48">
        <v>3000</v>
      </c>
      <c r="T527" s="5" t="s">
        <v>5548</v>
      </c>
      <c r="V527" s="32" t="s">
        <v>3701</v>
      </c>
    </row>
    <row r="528" spans="1:22">
      <c r="A528" s="5" t="s">
        <v>3911</v>
      </c>
      <c r="B528" s="32" t="s">
        <v>1215</v>
      </c>
      <c r="C528" s="32" t="s">
        <v>3951</v>
      </c>
      <c r="D528" s="5" t="s">
        <v>3950</v>
      </c>
      <c r="E528" s="48">
        <v>0</v>
      </c>
      <c r="F528" s="32" t="s">
        <v>3701</v>
      </c>
      <c r="G528" s="7">
        <v>45022</v>
      </c>
      <c r="H528" s="32" t="s">
        <v>3790</v>
      </c>
      <c r="I528" s="48">
        <v>0</v>
      </c>
      <c r="J528" s="48">
        <v>0</v>
      </c>
      <c r="K528" s="48">
        <v>0</v>
      </c>
      <c r="L528" s="7" t="s">
        <v>3790</v>
      </c>
      <c r="M528" s="7" t="s">
        <v>3790</v>
      </c>
      <c r="N528" s="7">
        <v>44739</v>
      </c>
      <c r="O528" s="7">
        <v>45036</v>
      </c>
      <c r="P528" s="48">
        <v>196</v>
      </c>
      <c r="Q528" s="48">
        <v>14</v>
      </c>
      <c r="R528" s="48">
        <v>14</v>
      </c>
      <c r="S528" s="48">
        <v>1500</v>
      </c>
      <c r="T528" s="5" t="s">
        <v>5549</v>
      </c>
      <c r="V528" s="32" t="s">
        <v>3701</v>
      </c>
    </row>
    <row r="529" spans="1:22">
      <c r="A529" s="5" t="s">
        <v>3911</v>
      </c>
      <c r="B529" s="32" t="s">
        <v>1217</v>
      </c>
      <c r="C529" s="32" t="s">
        <v>3952</v>
      </c>
      <c r="D529" s="5" t="s">
        <v>3950</v>
      </c>
      <c r="E529" s="48">
        <v>0</v>
      </c>
      <c r="F529" s="32" t="s">
        <v>3701</v>
      </c>
      <c r="G529" s="7">
        <v>45022</v>
      </c>
      <c r="H529" s="32" t="s">
        <v>3790</v>
      </c>
      <c r="I529" s="48">
        <v>0</v>
      </c>
      <c r="J529" s="48">
        <v>0</v>
      </c>
      <c r="K529" s="48">
        <v>0</v>
      </c>
      <c r="L529" s="7" t="s">
        <v>3790</v>
      </c>
      <c r="M529" s="7" t="s">
        <v>3790</v>
      </c>
      <c r="N529" s="7">
        <v>44739</v>
      </c>
      <c r="O529" s="7">
        <v>45036</v>
      </c>
      <c r="P529" s="48">
        <v>196</v>
      </c>
      <c r="Q529" s="48">
        <v>14</v>
      </c>
      <c r="R529" s="48">
        <v>14</v>
      </c>
      <c r="S529" s="48">
        <v>1500</v>
      </c>
      <c r="T529" s="5" t="s">
        <v>5549</v>
      </c>
      <c r="V529" s="32" t="s">
        <v>3701</v>
      </c>
    </row>
    <row r="530" spans="1:22">
      <c r="A530" s="5" t="s">
        <v>3911</v>
      </c>
      <c r="B530" s="32" t="s">
        <v>1249</v>
      </c>
      <c r="C530" s="32" t="s">
        <v>3959</v>
      </c>
      <c r="D530" s="5" t="s">
        <v>3958</v>
      </c>
      <c r="E530" s="48">
        <v>0</v>
      </c>
      <c r="F530" s="32" t="s">
        <v>3701</v>
      </c>
      <c r="G530" s="7">
        <v>44980</v>
      </c>
      <c r="H530" s="32" t="s">
        <v>3790</v>
      </c>
      <c r="I530" s="48">
        <v>0</v>
      </c>
      <c r="J530" s="48">
        <v>0</v>
      </c>
      <c r="K530" s="48">
        <v>0</v>
      </c>
      <c r="L530" s="7" t="s">
        <v>3790</v>
      </c>
      <c r="M530" s="7" t="s">
        <v>3790</v>
      </c>
      <c r="N530" s="7">
        <v>44761</v>
      </c>
      <c r="O530" s="7">
        <v>44994</v>
      </c>
      <c r="P530" s="48">
        <v>196</v>
      </c>
      <c r="Q530" s="48">
        <v>14</v>
      </c>
      <c r="R530" s="48">
        <v>14</v>
      </c>
      <c r="S530" s="48">
        <v>3000</v>
      </c>
      <c r="T530" s="5" t="s">
        <v>5549</v>
      </c>
      <c r="V530" s="32" t="s">
        <v>3701</v>
      </c>
    </row>
    <row r="531" spans="1:22">
      <c r="A531" s="5" t="s">
        <v>3911</v>
      </c>
      <c r="B531" s="32" t="s">
        <v>1650</v>
      </c>
      <c r="C531" s="32" t="s">
        <v>3922</v>
      </c>
      <c r="D531" s="5" t="s">
        <v>3919</v>
      </c>
      <c r="E531" s="48">
        <v>0</v>
      </c>
      <c r="F531" s="32" t="s">
        <v>3701</v>
      </c>
      <c r="G531" s="7">
        <v>44979</v>
      </c>
      <c r="H531" s="32" t="s">
        <v>3790</v>
      </c>
      <c r="I531" s="48">
        <v>0</v>
      </c>
      <c r="J531" s="48">
        <v>0</v>
      </c>
      <c r="K531" s="48">
        <v>0</v>
      </c>
      <c r="L531" s="7" t="s">
        <v>3790</v>
      </c>
      <c r="M531" s="7" t="s">
        <v>3790</v>
      </c>
      <c r="N531" s="7">
        <v>44599</v>
      </c>
      <c r="O531" s="7">
        <v>44993</v>
      </c>
      <c r="P531" s="48">
        <v>196</v>
      </c>
      <c r="Q531" s="48">
        <v>14</v>
      </c>
      <c r="R531" s="48">
        <v>14</v>
      </c>
      <c r="S531" s="48">
        <v>1200</v>
      </c>
      <c r="T531" s="5" t="s">
        <v>5549</v>
      </c>
      <c r="V531" s="32" t="s">
        <v>3701</v>
      </c>
    </row>
    <row r="532" spans="1:22">
      <c r="A532" s="5" t="s">
        <v>3911</v>
      </c>
      <c r="B532" s="32" t="s">
        <v>3923</v>
      </c>
      <c r="C532" s="32" t="s">
        <v>3924</v>
      </c>
      <c r="D532" s="5" t="s">
        <v>3919</v>
      </c>
      <c r="E532" s="48">
        <v>0</v>
      </c>
      <c r="F532" s="32" t="s">
        <v>3701</v>
      </c>
      <c r="G532" s="7">
        <v>44979</v>
      </c>
      <c r="H532" s="32" t="s">
        <v>3790</v>
      </c>
      <c r="I532" s="48">
        <v>0</v>
      </c>
      <c r="J532" s="48">
        <v>0</v>
      </c>
      <c r="K532" s="48">
        <v>0</v>
      </c>
      <c r="L532" s="7" t="s">
        <v>3790</v>
      </c>
      <c r="M532" s="7" t="s">
        <v>3790</v>
      </c>
      <c r="N532" s="7">
        <v>44599</v>
      </c>
      <c r="O532" s="7">
        <v>44993</v>
      </c>
      <c r="P532" s="48">
        <v>196</v>
      </c>
      <c r="Q532" s="48">
        <v>14</v>
      </c>
      <c r="R532" s="48">
        <v>14</v>
      </c>
      <c r="S532" s="48">
        <v>500</v>
      </c>
      <c r="T532" s="5" t="s">
        <v>5549</v>
      </c>
      <c r="V532" s="32" t="s">
        <v>3701</v>
      </c>
    </row>
    <row r="533" spans="1:22">
      <c r="A533" s="5" t="s">
        <v>3911</v>
      </c>
      <c r="B533" s="32" t="s">
        <v>1751</v>
      </c>
      <c r="C533" s="32" t="s">
        <v>3910</v>
      </c>
      <c r="D533" s="5" t="s">
        <v>3909</v>
      </c>
      <c r="E533" s="48">
        <v>0</v>
      </c>
      <c r="F533" s="32" t="s">
        <v>3701</v>
      </c>
      <c r="G533" s="7">
        <v>44936</v>
      </c>
      <c r="H533" s="32" t="s">
        <v>3790</v>
      </c>
      <c r="I533" s="48">
        <v>0</v>
      </c>
      <c r="J533" s="48">
        <v>0</v>
      </c>
      <c r="K533" s="48">
        <v>0</v>
      </c>
      <c r="L533" s="7" t="s">
        <v>3790</v>
      </c>
      <c r="M533" s="7" t="s">
        <v>3790</v>
      </c>
      <c r="N533" s="7">
        <v>44337</v>
      </c>
      <c r="O533" s="7">
        <v>44950</v>
      </c>
      <c r="P533" s="48">
        <v>196</v>
      </c>
      <c r="Q533" s="48">
        <v>14</v>
      </c>
      <c r="R533" s="48">
        <v>14</v>
      </c>
      <c r="S533" s="48">
        <v>13500</v>
      </c>
      <c r="T533" s="5" t="s">
        <v>5549</v>
      </c>
      <c r="V533" s="32" t="s">
        <v>3701</v>
      </c>
    </row>
    <row r="534" spans="1:22">
      <c r="A534" s="5" t="s">
        <v>3911</v>
      </c>
      <c r="B534" s="32" t="s">
        <v>1751</v>
      </c>
      <c r="C534" s="32" t="s">
        <v>3910</v>
      </c>
      <c r="D534" s="5" t="s">
        <v>3958</v>
      </c>
      <c r="E534" s="48">
        <v>0</v>
      </c>
      <c r="F534" s="32" t="s">
        <v>3701</v>
      </c>
      <c r="G534" s="7">
        <v>44971</v>
      </c>
      <c r="H534" s="32" t="s">
        <v>3790</v>
      </c>
      <c r="I534" s="48">
        <v>0</v>
      </c>
      <c r="J534" s="48">
        <v>0</v>
      </c>
      <c r="K534" s="48">
        <v>0</v>
      </c>
      <c r="L534" s="7" t="s">
        <v>3790</v>
      </c>
      <c r="M534" s="7" t="s">
        <v>3790</v>
      </c>
      <c r="N534" s="7">
        <v>44761</v>
      </c>
      <c r="O534" s="7">
        <v>44985</v>
      </c>
      <c r="P534" s="48">
        <v>196</v>
      </c>
      <c r="Q534" s="48">
        <v>14</v>
      </c>
      <c r="R534" s="48">
        <v>14</v>
      </c>
      <c r="S534" s="48">
        <v>10000</v>
      </c>
      <c r="T534" s="5" t="s">
        <v>5549</v>
      </c>
      <c r="V534" s="32" t="s">
        <v>3701</v>
      </c>
    </row>
    <row r="535" spans="1:22">
      <c r="A535" s="5" t="s">
        <v>3911</v>
      </c>
      <c r="B535" s="32" t="s">
        <v>1752</v>
      </c>
      <c r="C535" s="32" t="s">
        <v>3912</v>
      </c>
      <c r="D535" s="5" t="s">
        <v>3958</v>
      </c>
      <c r="E535" s="48">
        <v>0</v>
      </c>
      <c r="F535" s="32" t="s">
        <v>3701</v>
      </c>
      <c r="G535" s="7">
        <v>44971</v>
      </c>
      <c r="H535" s="32" t="s">
        <v>3790</v>
      </c>
      <c r="I535" s="48">
        <v>0</v>
      </c>
      <c r="J535" s="48">
        <v>0</v>
      </c>
      <c r="K535" s="48">
        <v>0</v>
      </c>
      <c r="L535" s="7" t="s">
        <v>3790</v>
      </c>
      <c r="M535" s="7" t="s">
        <v>3790</v>
      </c>
      <c r="N535" s="7">
        <v>44761</v>
      </c>
      <c r="O535" s="7">
        <v>44985</v>
      </c>
      <c r="P535" s="48">
        <v>196</v>
      </c>
      <c r="Q535" s="48">
        <v>14</v>
      </c>
      <c r="R535" s="48">
        <v>14</v>
      </c>
      <c r="S535" s="48">
        <v>10000</v>
      </c>
      <c r="T535" s="5" t="s">
        <v>5549</v>
      </c>
      <c r="V535" s="32" t="s">
        <v>3701</v>
      </c>
    </row>
    <row r="536" spans="1:22">
      <c r="A536" s="5" t="s">
        <v>3911</v>
      </c>
      <c r="B536" s="32" t="s">
        <v>1759</v>
      </c>
      <c r="C536" s="32" t="s">
        <v>3917</v>
      </c>
      <c r="D536" s="5" t="s">
        <v>3958</v>
      </c>
      <c r="E536" s="48">
        <v>0</v>
      </c>
      <c r="F536" s="32" t="s">
        <v>3701</v>
      </c>
      <c r="G536" s="7">
        <v>44991</v>
      </c>
      <c r="H536" s="32" t="s">
        <v>3790</v>
      </c>
      <c r="I536" s="48">
        <v>0</v>
      </c>
      <c r="J536" s="48">
        <v>0</v>
      </c>
      <c r="K536" s="48">
        <v>0</v>
      </c>
      <c r="L536" s="7" t="s">
        <v>3790</v>
      </c>
      <c r="M536" s="7" t="s">
        <v>3790</v>
      </c>
      <c r="N536" s="7">
        <v>44761</v>
      </c>
      <c r="O536" s="7">
        <v>45005</v>
      </c>
      <c r="P536" s="48">
        <v>196</v>
      </c>
      <c r="Q536" s="48">
        <v>14</v>
      </c>
      <c r="R536" s="48">
        <v>14</v>
      </c>
      <c r="S536" s="48">
        <v>2500</v>
      </c>
      <c r="T536" s="5" t="s">
        <v>5549</v>
      </c>
      <c r="V536" s="32" t="s">
        <v>3701</v>
      </c>
    </row>
    <row r="537" spans="1:22">
      <c r="A537" s="5" t="s">
        <v>3911</v>
      </c>
      <c r="B537" s="32" t="s">
        <v>1761</v>
      </c>
      <c r="C537" s="32" t="s">
        <v>3918</v>
      </c>
      <c r="D537" s="5" t="s">
        <v>3958</v>
      </c>
      <c r="E537" s="48">
        <v>0</v>
      </c>
      <c r="F537" s="32" t="s">
        <v>3701</v>
      </c>
      <c r="G537" s="7">
        <v>44991</v>
      </c>
      <c r="H537" s="32" t="s">
        <v>3790</v>
      </c>
      <c r="I537" s="48">
        <v>0</v>
      </c>
      <c r="J537" s="48">
        <v>0</v>
      </c>
      <c r="K537" s="48">
        <v>0</v>
      </c>
      <c r="L537" s="7" t="s">
        <v>3790</v>
      </c>
      <c r="M537" s="7" t="s">
        <v>3790</v>
      </c>
      <c r="N537" s="7">
        <v>44761</v>
      </c>
      <c r="O537" s="7">
        <v>45005</v>
      </c>
      <c r="P537" s="48">
        <v>196</v>
      </c>
      <c r="Q537" s="48">
        <v>14</v>
      </c>
      <c r="R537" s="48">
        <v>14</v>
      </c>
      <c r="S537" s="48">
        <v>2500</v>
      </c>
      <c r="T537" s="5" t="s">
        <v>5549</v>
      </c>
      <c r="V537" s="32" t="s">
        <v>3701</v>
      </c>
    </row>
    <row r="538" spans="1:22">
      <c r="A538" s="5" t="s">
        <v>3911</v>
      </c>
      <c r="B538" s="32" t="s">
        <v>1893</v>
      </c>
      <c r="C538" s="32" t="s">
        <v>3944</v>
      </c>
      <c r="D538" s="5" t="s">
        <v>3942</v>
      </c>
      <c r="E538" s="48">
        <v>2320</v>
      </c>
      <c r="F538" s="32" t="s">
        <v>3914</v>
      </c>
      <c r="G538" s="7">
        <v>44854</v>
      </c>
      <c r="H538" s="32" t="s">
        <v>3526</v>
      </c>
      <c r="I538" s="48">
        <v>0</v>
      </c>
      <c r="J538" s="48">
        <v>2320</v>
      </c>
      <c r="K538" s="48">
        <v>0</v>
      </c>
      <c r="L538" s="7" t="s">
        <v>3790</v>
      </c>
      <c r="M538" s="7">
        <v>44952</v>
      </c>
      <c r="N538" s="7">
        <v>44649</v>
      </c>
      <c r="O538" s="7" t="s">
        <v>3790</v>
      </c>
      <c r="P538" s="48">
        <v>196</v>
      </c>
      <c r="Q538" s="48">
        <v>14</v>
      </c>
      <c r="R538" s="48">
        <v>14</v>
      </c>
      <c r="S538" s="48">
        <v>3000</v>
      </c>
      <c r="T538" s="5" t="s">
        <v>5548</v>
      </c>
      <c r="V538" s="32" t="s">
        <v>3701</v>
      </c>
    </row>
    <row r="539" spans="1:22">
      <c r="A539" s="5" t="s">
        <v>3911</v>
      </c>
      <c r="B539" s="32" t="s">
        <v>1909</v>
      </c>
      <c r="C539" s="32" t="s">
        <v>3931</v>
      </c>
      <c r="D539" s="5" t="s">
        <v>5899</v>
      </c>
      <c r="E539" s="48">
        <v>0</v>
      </c>
      <c r="F539" s="32" t="s">
        <v>3701</v>
      </c>
      <c r="G539" s="7">
        <v>45056</v>
      </c>
      <c r="H539" s="32" t="s">
        <v>3790</v>
      </c>
      <c r="I539" s="48">
        <v>0</v>
      </c>
      <c r="J539" s="48">
        <v>0</v>
      </c>
      <c r="K539" s="48">
        <v>0</v>
      </c>
      <c r="L539" s="7" t="s">
        <v>3790</v>
      </c>
      <c r="M539" s="7" t="s">
        <v>3790</v>
      </c>
      <c r="N539" s="7">
        <v>44854</v>
      </c>
      <c r="O539" s="7">
        <v>45070</v>
      </c>
      <c r="P539" s="48">
        <v>196</v>
      </c>
      <c r="Q539" s="48">
        <v>14</v>
      </c>
      <c r="R539" s="48">
        <v>14</v>
      </c>
      <c r="S539" s="48">
        <v>1800</v>
      </c>
      <c r="T539" s="5" t="s">
        <v>5549</v>
      </c>
      <c r="V539" s="32" t="s">
        <v>3701</v>
      </c>
    </row>
    <row r="540" spans="1:22">
      <c r="A540" s="5" t="s">
        <v>3911</v>
      </c>
      <c r="B540" s="32" t="s">
        <v>1912</v>
      </c>
      <c r="C540" s="32" t="s">
        <v>5901</v>
      </c>
      <c r="D540" s="5" t="s">
        <v>5899</v>
      </c>
      <c r="E540" s="48">
        <v>0</v>
      </c>
      <c r="F540" s="32" t="s">
        <v>3701</v>
      </c>
      <c r="G540" s="7">
        <v>45056</v>
      </c>
      <c r="H540" s="32" t="s">
        <v>3790</v>
      </c>
      <c r="I540" s="48">
        <v>0</v>
      </c>
      <c r="J540" s="48">
        <v>0</v>
      </c>
      <c r="K540" s="48">
        <v>0</v>
      </c>
      <c r="L540" s="7" t="s">
        <v>3790</v>
      </c>
      <c r="M540" s="7" t="s">
        <v>3790</v>
      </c>
      <c r="N540" s="7">
        <v>44854</v>
      </c>
      <c r="O540" s="7">
        <v>45070</v>
      </c>
      <c r="P540" s="48">
        <v>196</v>
      </c>
      <c r="Q540" s="48">
        <v>14</v>
      </c>
      <c r="R540" s="48">
        <v>14</v>
      </c>
      <c r="S540" s="48">
        <v>1200</v>
      </c>
      <c r="T540" s="5" t="s">
        <v>5549</v>
      </c>
      <c r="V540" s="32" t="s">
        <v>3701</v>
      </c>
    </row>
    <row r="541" spans="1:22">
      <c r="A541" s="5" t="s">
        <v>3911</v>
      </c>
      <c r="B541" s="32" t="s">
        <v>1913</v>
      </c>
      <c r="C541" s="32" t="s">
        <v>3946</v>
      </c>
      <c r="D541" s="5" t="s">
        <v>5382</v>
      </c>
      <c r="E541" s="48">
        <v>0</v>
      </c>
      <c r="F541" s="32" t="s">
        <v>3701</v>
      </c>
      <c r="G541" s="7">
        <v>45049</v>
      </c>
      <c r="H541" s="32" t="s">
        <v>3790</v>
      </c>
      <c r="I541" s="48">
        <v>0</v>
      </c>
      <c r="J541" s="48">
        <v>0</v>
      </c>
      <c r="K541" s="48">
        <v>0</v>
      </c>
      <c r="L541" s="7" t="s">
        <v>3790</v>
      </c>
      <c r="M541" s="7" t="s">
        <v>3790</v>
      </c>
      <c r="N541" s="7">
        <v>44834</v>
      </c>
      <c r="O541" s="7">
        <v>45063</v>
      </c>
      <c r="P541" s="48">
        <v>196</v>
      </c>
      <c r="Q541" s="48">
        <v>14</v>
      </c>
      <c r="R541" s="48">
        <v>14</v>
      </c>
      <c r="S541" s="48">
        <v>1500</v>
      </c>
      <c r="T541" s="5" t="s">
        <v>5549</v>
      </c>
      <c r="V541" s="32" t="s">
        <v>3701</v>
      </c>
    </row>
    <row r="542" spans="1:22">
      <c r="A542" s="5" t="s">
        <v>3911</v>
      </c>
      <c r="B542" s="32" t="s">
        <v>1915</v>
      </c>
      <c r="C542" s="32" t="s">
        <v>3947</v>
      </c>
      <c r="D542" s="5" t="s">
        <v>5382</v>
      </c>
      <c r="E542" s="48">
        <v>0</v>
      </c>
      <c r="F542" s="32" t="s">
        <v>3701</v>
      </c>
      <c r="G542" s="7">
        <v>45049</v>
      </c>
      <c r="H542" s="32" t="s">
        <v>3790</v>
      </c>
      <c r="I542" s="48">
        <v>0</v>
      </c>
      <c r="J542" s="48">
        <v>0</v>
      </c>
      <c r="K542" s="48">
        <v>0</v>
      </c>
      <c r="L542" s="7" t="s">
        <v>3790</v>
      </c>
      <c r="M542" s="7" t="s">
        <v>3790</v>
      </c>
      <c r="N542" s="7">
        <v>44834</v>
      </c>
      <c r="O542" s="7">
        <v>45063</v>
      </c>
      <c r="P542" s="48">
        <v>196</v>
      </c>
      <c r="Q542" s="48">
        <v>14</v>
      </c>
      <c r="R542" s="48">
        <v>14</v>
      </c>
      <c r="S542" s="48">
        <v>1500</v>
      </c>
      <c r="T542" s="5" t="s">
        <v>5549</v>
      </c>
      <c r="V542" s="32" t="s">
        <v>3701</v>
      </c>
    </row>
    <row r="543" spans="1:22">
      <c r="A543" s="5" t="s">
        <v>3911</v>
      </c>
      <c r="B543" s="32" t="s">
        <v>1929</v>
      </c>
      <c r="C543" s="32" t="s">
        <v>5292</v>
      </c>
      <c r="D543" s="5" t="s">
        <v>5291</v>
      </c>
      <c r="E543" s="48">
        <v>0</v>
      </c>
      <c r="F543" s="32" t="s">
        <v>3701</v>
      </c>
      <c r="G543" s="7">
        <v>45042</v>
      </c>
      <c r="H543" s="32" t="s">
        <v>3790</v>
      </c>
      <c r="I543" s="48">
        <v>0</v>
      </c>
      <c r="J543" s="48">
        <v>0</v>
      </c>
      <c r="K543" s="48">
        <v>0</v>
      </c>
      <c r="L543" s="7" t="s">
        <v>3790</v>
      </c>
      <c r="M543" s="7" t="s">
        <v>3790</v>
      </c>
      <c r="N543" s="7">
        <v>44825</v>
      </c>
      <c r="O543" s="7">
        <v>45056</v>
      </c>
      <c r="P543" s="48">
        <v>196</v>
      </c>
      <c r="Q543" s="48">
        <v>14</v>
      </c>
      <c r="R543" s="48">
        <v>14</v>
      </c>
      <c r="S543" s="48">
        <v>1500</v>
      </c>
      <c r="T543" s="5" t="s">
        <v>5549</v>
      </c>
      <c r="V543" s="32" t="s">
        <v>3701</v>
      </c>
    </row>
    <row r="544" spans="1:22">
      <c r="A544" s="5" t="s">
        <v>3911</v>
      </c>
      <c r="B544" s="32" t="s">
        <v>1931</v>
      </c>
      <c r="C544" s="32" t="s">
        <v>6436</v>
      </c>
      <c r="D544" s="5" t="s">
        <v>5291</v>
      </c>
      <c r="E544" s="48">
        <v>0</v>
      </c>
      <c r="F544" s="32" t="s">
        <v>3701</v>
      </c>
      <c r="G544" s="7">
        <v>45042</v>
      </c>
      <c r="H544" s="32" t="s">
        <v>3790</v>
      </c>
      <c r="I544" s="48">
        <v>0</v>
      </c>
      <c r="J544" s="48">
        <v>0</v>
      </c>
      <c r="K544" s="48">
        <v>0</v>
      </c>
      <c r="L544" s="7" t="s">
        <v>3790</v>
      </c>
      <c r="M544" s="7" t="s">
        <v>3790</v>
      </c>
      <c r="N544" s="7">
        <v>44825</v>
      </c>
      <c r="O544" s="7">
        <v>45056</v>
      </c>
      <c r="P544" s="48">
        <v>196</v>
      </c>
      <c r="Q544" s="48">
        <v>14</v>
      </c>
      <c r="R544" s="48">
        <v>14</v>
      </c>
      <c r="S544" s="48">
        <v>1500</v>
      </c>
      <c r="T544" s="5" t="s">
        <v>5549</v>
      </c>
      <c r="V544" s="32" t="s">
        <v>3701</v>
      </c>
    </row>
    <row r="545" spans="1:22">
      <c r="A545" s="5" t="s">
        <v>3911</v>
      </c>
      <c r="B545" s="32" t="s">
        <v>1954</v>
      </c>
      <c r="C545" s="32" t="s">
        <v>3974</v>
      </c>
      <c r="D545" s="5" t="s">
        <v>3973</v>
      </c>
      <c r="E545" s="48">
        <v>0</v>
      </c>
      <c r="F545" s="32" t="s">
        <v>3701</v>
      </c>
      <c r="G545" s="7">
        <v>44972</v>
      </c>
      <c r="H545" s="32" t="s">
        <v>3790</v>
      </c>
      <c r="I545" s="48">
        <v>0</v>
      </c>
      <c r="J545" s="48">
        <v>0</v>
      </c>
      <c r="K545" s="48">
        <v>0</v>
      </c>
      <c r="L545" s="7" t="s">
        <v>3790</v>
      </c>
      <c r="M545" s="7" t="s">
        <v>3790</v>
      </c>
      <c r="N545" s="7">
        <v>44764</v>
      </c>
      <c r="O545" s="7">
        <v>44986</v>
      </c>
      <c r="P545" s="48">
        <v>196</v>
      </c>
      <c r="Q545" s="48">
        <v>14</v>
      </c>
      <c r="R545" s="48">
        <v>14</v>
      </c>
      <c r="S545" s="48">
        <v>3500</v>
      </c>
      <c r="T545" s="5" t="s">
        <v>5549</v>
      </c>
      <c r="V545" s="32" t="s">
        <v>3701</v>
      </c>
    </row>
    <row r="546" spans="1:22">
      <c r="A546" s="5" t="s">
        <v>3911</v>
      </c>
      <c r="B546" s="32" t="s">
        <v>3975</v>
      </c>
      <c r="C546" s="32" t="s">
        <v>3976</v>
      </c>
      <c r="D546" s="5" t="s">
        <v>3973</v>
      </c>
      <c r="E546" s="48">
        <v>0</v>
      </c>
      <c r="F546" s="32" t="s">
        <v>3701</v>
      </c>
      <c r="G546" s="7">
        <v>44972</v>
      </c>
      <c r="H546" s="32" t="s">
        <v>3790</v>
      </c>
      <c r="I546" s="48">
        <v>0</v>
      </c>
      <c r="J546" s="48">
        <v>0</v>
      </c>
      <c r="K546" s="48">
        <v>0</v>
      </c>
      <c r="L546" s="7" t="s">
        <v>3790</v>
      </c>
      <c r="M546" s="7" t="s">
        <v>3790</v>
      </c>
      <c r="N546" s="7">
        <v>44764</v>
      </c>
      <c r="O546" s="7">
        <v>44986</v>
      </c>
      <c r="P546" s="48">
        <v>196</v>
      </c>
      <c r="Q546" s="48">
        <v>14</v>
      </c>
      <c r="R546" s="48">
        <v>14</v>
      </c>
      <c r="S546" s="48">
        <v>4000</v>
      </c>
      <c r="T546" s="5" t="s">
        <v>5549</v>
      </c>
      <c r="V546" s="32" t="s">
        <v>3701</v>
      </c>
    </row>
    <row r="547" spans="1:22">
      <c r="A547" s="5" t="s">
        <v>3911</v>
      </c>
      <c r="B547" s="32" t="s">
        <v>2003</v>
      </c>
      <c r="C547" s="32" t="s">
        <v>3934</v>
      </c>
      <c r="D547" s="5" t="s">
        <v>3950</v>
      </c>
      <c r="E547" s="48">
        <v>10637</v>
      </c>
      <c r="F547" s="32" t="s">
        <v>5523</v>
      </c>
      <c r="G547" s="7">
        <v>44895</v>
      </c>
      <c r="H547" s="32" t="s">
        <v>3526</v>
      </c>
      <c r="I547" s="48">
        <v>637</v>
      </c>
      <c r="J547" s="48">
        <v>10000</v>
      </c>
      <c r="K547" s="48">
        <v>0</v>
      </c>
      <c r="L547" s="7" t="s">
        <v>3790</v>
      </c>
      <c r="M547" s="7">
        <v>44992</v>
      </c>
      <c r="N547" s="7">
        <v>44739</v>
      </c>
      <c r="O547" s="7" t="s">
        <v>3790</v>
      </c>
      <c r="P547" s="48">
        <v>196</v>
      </c>
      <c r="Q547" s="48">
        <v>14</v>
      </c>
      <c r="R547" s="48">
        <v>14</v>
      </c>
      <c r="S547" s="48">
        <v>10000</v>
      </c>
      <c r="T547" s="5" t="s">
        <v>5548</v>
      </c>
      <c r="V547" s="32" t="s">
        <v>3701</v>
      </c>
    </row>
    <row r="548" spans="1:22">
      <c r="A548" s="5" t="s">
        <v>3911</v>
      </c>
      <c r="B548" s="32" t="s">
        <v>2003</v>
      </c>
      <c r="C548" s="32" t="s">
        <v>3934</v>
      </c>
      <c r="D548" s="5" t="s">
        <v>3977</v>
      </c>
      <c r="E548" s="48">
        <v>0</v>
      </c>
      <c r="F548" s="32" t="s">
        <v>3701</v>
      </c>
      <c r="G548" s="7">
        <v>44938</v>
      </c>
      <c r="H548" s="32" t="s">
        <v>3790</v>
      </c>
      <c r="I548" s="48">
        <v>0</v>
      </c>
      <c r="J548" s="48">
        <v>0</v>
      </c>
      <c r="K548" s="48">
        <v>0</v>
      </c>
      <c r="L548" s="7" t="s">
        <v>3790</v>
      </c>
      <c r="M548" s="7" t="s">
        <v>3790</v>
      </c>
      <c r="N548" s="7">
        <v>44789</v>
      </c>
      <c r="O548" s="7">
        <v>44952</v>
      </c>
      <c r="P548" s="48">
        <v>196</v>
      </c>
      <c r="Q548" s="48">
        <v>14</v>
      </c>
      <c r="R548" s="48">
        <v>14</v>
      </c>
      <c r="S548" s="48">
        <v>12000</v>
      </c>
      <c r="T548" s="5" t="s">
        <v>5549</v>
      </c>
      <c r="V548" s="32" t="s">
        <v>3701</v>
      </c>
    </row>
    <row r="549" spans="1:22">
      <c r="A549" s="5" t="s">
        <v>3911</v>
      </c>
      <c r="B549" s="32" t="s">
        <v>2006</v>
      </c>
      <c r="C549" s="32" t="s">
        <v>3935</v>
      </c>
      <c r="D549" s="5" t="s">
        <v>3950</v>
      </c>
      <c r="E549" s="48">
        <v>49705</v>
      </c>
      <c r="F549" s="32" t="s">
        <v>5523</v>
      </c>
      <c r="G549" s="7">
        <v>44893</v>
      </c>
      <c r="H549" s="32" t="s">
        <v>3526</v>
      </c>
      <c r="I549" s="48">
        <v>4705</v>
      </c>
      <c r="J549" s="48">
        <v>45000</v>
      </c>
      <c r="K549" s="48">
        <v>0</v>
      </c>
      <c r="L549" s="7" t="s">
        <v>3790</v>
      </c>
      <c r="M549" s="7">
        <v>44992</v>
      </c>
      <c r="N549" s="7">
        <v>44739</v>
      </c>
      <c r="O549" s="7" t="s">
        <v>3790</v>
      </c>
      <c r="P549" s="48">
        <v>196</v>
      </c>
      <c r="Q549" s="48">
        <v>14</v>
      </c>
      <c r="R549" s="48">
        <v>14</v>
      </c>
      <c r="S549" s="48">
        <v>45000</v>
      </c>
      <c r="T549" s="5" t="s">
        <v>5548</v>
      </c>
      <c r="V549" s="32" t="s">
        <v>3701</v>
      </c>
    </row>
    <row r="550" spans="1:22">
      <c r="A550" s="5" t="s">
        <v>3911</v>
      </c>
      <c r="B550" s="32" t="s">
        <v>2006</v>
      </c>
      <c r="C550" s="32" t="s">
        <v>3935</v>
      </c>
      <c r="D550" s="5" t="s">
        <v>3977</v>
      </c>
      <c r="E550" s="48">
        <v>0</v>
      </c>
      <c r="F550" s="32" t="s">
        <v>3701</v>
      </c>
      <c r="G550" s="7">
        <v>44937</v>
      </c>
      <c r="H550" s="32" t="s">
        <v>3790</v>
      </c>
      <c r="I550" s="48">
        <v>0</v>
      </c>
      <c r="J550" s="48">
        <v>0</v>
      </c>
      <c r="K550" s="48">
        <v>0</v>
      </c>
      <c r="L550" s="7" t="s">
        <v>3790</v>
      </c>
      <c r="M550" s="7" t="s">
        <v>3790</v>
      </c>
      <c r="N550" s="7">
        <v>44789</v>
      </c>
      <c r="O550" s="7">
        <v>44951</v>
      </c>
      <c r="P550" s="48">
        <v>196</v>
      </c>
      <c r="Q550" s="48">
        <v>14</v>
      </c>
      <c r="R550" s="48">
        <v>14</v>
      </c>
      <c r="S550" s="48">
        <v>43000</v>
      </c>
      <c r="T550" s="5" t="s">
        <v>5549</v>
      </c>
      <c r="V550" s="32" t="s">
        <v>3701</v>
      </c>
    </row>
    <row r="551" spans="1:22">
      <c r="A551" s="5" t="s">
        <v>3911</v>
      </c>
      <c r="B551" s="32" t="s">
        <v>2010</v>
      </c>
      <c r="C551" s="32" t="s">
        <v>3960</v>
      </c>
      <c r="D551" s="5" t="s">
        <v>3958</v>
      </c>
      <c r="E551" s="48">
        <v>0</v>
      </c>
      <c r="F551" s="32" t="s">
        <v>3701</v>
      </c>
      <c r="G551" s="7">
        <v>44986</v>
      </c>
      <c r="H551" s="32" t="s">
        <v>3790</v>
      </c>
      <c r="I551" s="48">
        <v>0</v>
      </c>
      <c r="J551" s="48">
        <v>0</v>
      </c>
      <c r="K551" s="48">
        <v>0</v>
      </c>
      <c r="L551" s="7" t="s">
        <v>3790</v>
      </c>
      <c r="M551" s="7" t="s">
        <v>3790</v>
      </c>
      <c r="N551" s="7">
        <v>44761</v>
      </c>
      <c r="O551" s="7">
        <v>45000</v>
      </c>
      <c r="P551" s="48">
        <v>196</v>
      </c>
      <c r="Q551" s="48">
        <v>14</v>
      </c>
      <c r="R551" s="48">
        <v>14</v>
      </c>
      <c r="S551" s="48">
        <v>3000</v>
      </c>
      <c r="T551" s="5" t="s">
        <v>5549</v>
      </c>
      <c r="V551" s="32" t="s">
        <v>3701</v>
      </c>
    </row>
    <row r="552" spans="1:22">
      <c r="A552" s="5" t="s">
        <v>3911</v>
      </c>
      <c r="B552" s="32" t="s">
        <v>2193</v>
      </c>
      <c r="C552" s="32" t="s">
        <v>3963</v>
      </c>
      <c r="D552" s="5" t="s">
        <v>3962</v>
      </c>
      <c r="E552" s="48">
        <v>0</v>
      </c>
      <c r="F552" s="32" t="s">
        <v>3701</v>
      </c>
      <c r="G552" s="7">
        <v>44930</v>
      </c>
      <c r="H552" s="32" t="s">
        <v>3790</v>
      </c>
      <c r="I552" s="48">
        <v>0</v>
      </c>
      <c r="J552" s="48">
        <v>0</v>
      </c>
      <c r="K552" s="48">
        <v>0</v>
      </c>
      <c r="L552" s="7" t="s">
        <v>3790</v>
      </c>
      <c r="M552" s="7" t="s">
        <v>3790</v>
      </c>
      <c r="N552" s="7">
        <v>44761</v>
      </c>
      <c r="O552" s="7">
        <v>44944</v>
      </c>
      <c r="P552" s="48">
        <v>196</v>
      </c>
      <c r="Q552" s="48">
        <v>14</v>
      </c>
      <c r="R552" s="48">
        <v>14</v>
      </c>
      <c r="S552" s="48">
        <v>1400</v>
      </c>
      <c r="T552" s="5" t="s">
        <v>5549</v>
      </c>
      <c r="V552" s="32" t="s">
        <v>3701</v>
      </c>
    </row>
    <row r="553" spans="1:22">
      <c r="A553" s="5" t="s">
        <v>3911</v>
      </c>
      <c r="B553" s="32" t="s">
        <v>2196</v>
      </c>
      <c r="C553" s="32" t="s">
        <v>3964</v>
      </c>
      <c r="D553" s="5" t="s">
        <v>3962</v>
      </c>
      <c r="E553" s="48">
        <v>0</v>
      </c>
      <c r="F553" s="32" t="s">
        <v>3701</v>
      </c>
      <c r="G553" s="7">
        <v>44930</v>
      </c>
      <c r="H553" s="32" t="s">
        <v>3790</v>
      </c>
      <c r="I553" s="48">
        <v>0</v>
      </c>
      <c r="J553" s="48">
        <v>0</v>
      </c>
      <c r="K553" s="48">
        <v>0</v>
      </c>
      <c r="L553" s="7" t="s">
        <v>3790</v>
      </c>
      <c r="M553" s="7" t="s">
        <v>3790</v>
      </c>
      <c r="N553" s="7">
        <v>44761</v>
      </c>
      <c r="O553" s="7">
        <v>44944</v>
      </c>
      <c r="P553" s="48">
        <v>196</v>
      </c>
      <c r="Q553" s="48">
        <v>14</v>
      </c>
      <c r="R553" s="48">
        <v>14</v>
      </c>
      <c r="S553" s="48">
        <v>2600</v>
      </c>
      <c r="T553" s="5" t="s">
        <v>5549</v>
      </c>
      <c r="V553" s="32" t="s">
        <v>3701</v>
      </c>
    </row>
    <row r="554" spans="1:22">
      <c r="A554" s="5" t="s">
        <v>3911</v>
      </c>
      <c r="B554" s="32" t="s">
        <v>2221</v>
      </c>
      <c r="C554" s="32" t="s">
        <v>3961</v>
      </c>
      <c r="D554" s="5" t="s">
        <v>3958</v>
      </c>
      <c r="E554" s="48">
        <v>0</v>
      </c>
      <c r="F554" s="32" t="s">
        <v>3701</v>
      </c>
      <c r="G554" s="7">
        <v>44953</v>
      </c>
      <c r="H554" s="32" t="s">
        <v>3790</v>
      </c>
      <c r="I554" s="48">
        <v>0</v>
      </c>
      <c r="J554" s="48">
        <v>0</v>
      </c>
      <c r="K554" s="48">
        <v>0</v>
      </c>
      <c r="L554" s="7" t="s">
        <v>3790</v>
      </c>
      <c r="M554" s="7" t="s">
        <v>3790</v>
      </c>
      <c r="N554" s="7">
        <v>44761</v>
      </c>
      <c r="O554" s="7">
        <v>44967</v>
      </c>
      <c r="P554" s="48">
        <v>196</v>
      </c>
      <c r="Q554" s="48">
        <v>14</v>
      </c>
      <c r="R554" s="48">
        <v>14</v>
      </c>
      <c r="S554" s="48">
        <v>3000</v>
      </c>
      <c r="T554" s="5" t="s">
        <v>5549</v>
      </c>
      <c r="V554" s="32" t="s">
        <v>3701</v>
      </c>
    </row>
    <row r="555" spans="1:22">
      <c r="A555" s="5" t="s">
        <v>3911</v>
      </c>
      <c r="B555" s="32" t="s">
        <v>2843</v>
      </c>
      <c r="C555" s="32" t="s">
        <v>3980</v>
      </c>
      <c r="D555" s="5" t="s">
        <v>3978</v>
      </c>
      <c r="E555" s="48">
        <v>0</v>
      </c>
      <c r="F555" s="32" t="s">
        <v>3701</v>
      </c>
      <c r="G555" s="7">
        <v>45021</v>
      </c>
      <c r="H555" s="32" t="s">
        <v>3790</v>
      </c>
      <c r="I555" s="48">
        <v>0</v>
      </c>
      <c r="J555" s="48">
        <v>0</v>
      </c>
      <c r="K555" s="48">
        <v>0</v>
      </c>
      <c r="L555" s="7" t="s">
        <v>3790</v>
      </c>
      <c r="M555" s="7" t="s">
        <v>3790</v>
      </c>
      <c r="N555" s="7">
        <v>44796</v>
      </c>
      <c r="O555" s="7">
        <v>45035</v>
      </c>
      <c r="P555" s="48">
        <v>196</v>
      </c>
      <c r="Q555" s="48">
        <v>14</v>
      </c>
      <c r="R555" s="48">
        <v>14</v>
      </c>
      <c r="S555" s="48">
        <v>3000</v>
      </c>
      <c r="T555" s="5" t="s">
        <v>5549</v>
      </c>
      <c r="V555" s="32" t="s">
        <v>3701</v>
      </c>
    </row>
    <row r="556" spans="1:22">
      <c r="A556" s="5" t="s">
        <v>3911</v>
      </c>
      <c r="B556" s="32" t="s">
        <v>2844</v>
      </c>
      <c r="C556" s="32" t="s">
        <v>3954</v>
      </c>
      <c r="D556" s="5" t="s">
        <v>3953</v>
      </c>
      <c r="E556" s="48">
        <v>1329</v>
      </c>
      <c r="F556" s="32" t="s">
        <v>3914</v>
      </c>
      <c r="G556" s="7">
        <v>44866</v>
      </c>
      <c r="H556" s="32" t="s">
        <v>3526</v>
      </c>
      <c r="I556" s="48">
        <v>95</v>
      </c>
      <c r="J556" s="48">
        <v>1234</v>
      </c>
      <c r="K556" s="48">
        <v>0</v>
      </c>
      <c r="L556" s="7" t="s">
        <v>3790</v>
      </c>
      <c r="M556" s="7">
        <v>44962</v>
      </c>
      <c r="N556" s="7">
        <v>44739</v>
      </c>
      <c r="O556" s="7" t="s">
        <v>3790</v>
      </c>
      <c r="P556" s="48">
        <v>196</v>
      </c>
      <c r="Q556" s="48">
        <v>14</v>
      </c>
      <c r="R556" s="48">
        <v>14</v>
      </c>
      <c r="S556" s="48">
        <v>2000</v>
      </c>
      <c r="T556" s="5" t="s">
        <v>5548</v>
      </c>
      <c r="V556" s="32" t="s">
        <v>3701</v>
      </c>
    </row>
    <row r="557" spans="1:22">
      <c r="A557" s="5" t="s">
        <v>3911</v>
      </c>
      <c r="B557" s="32" t="s">
        <v>2844</v>
      </c>
      <c r="C557" s="32" t="s">
        <v>3954</v>
      </c>
      <c r="D557" s="5" t="s">
        <v>6171</v>
      </c>
      <c r="E557" s="48">
        <v>0</v>
      </c>
      <c r="F557" s="32" t="s">
        <v>3701</v>
      </c>
      <c r="G557" s="7">
        <v>45069</v>
      </c>
      <c r="H557" s="32" t="s">
        <v>3790</v>
      </c>
      <c r="I557" s="48">
        <v>0</v>
      </c>
      <c r="J557" s="48">
        <v>0</v>
      </c>
      <c r="K557" s="48">
        <v>0</v>
      </c>
      <c r="L557" s="7" t="s">
        <v>3790</v>
      </c>
      <c r="M557" s="7" t="s">
        <v>3790</v>
      </c>
      <c r="N557" s="7">
        <v>44879</v>
      </c>
      <c r="O557" s="7">
        <v>45083</v>
      </c>
      <c r="P557" s="48">
        <v>196</v>
      </c>
      <c r="Q557" s="48">
        <v>14</v>
      </c>
      <c r="R557" s="48">
        <v>14</v>
      </c>
      <c r="S557" s="48">
        <v>1400</v>
      </c>
      <c r="T557" s="5" t="s">
        <v>5549</v>
      </c>
      <c r="V557" s="32" t="s">
        <v>3701</v>
      </c>
    </row>
    <row r="558" spans="1:22">
      <c r="A558" s="5" t="s">
        <v>3911</v>
      </c>
      <c r="B558" s="32" t="s">
        <v>2846</v>
      </c>
      <c r="C558" s="32" t="s">
        <v>3955</v>
      </c>
      <c r="D558" s="5" t="s">
        <v>3953</v>
      </c>
      <c r="E558" s="48">
        <v>1464</v>
      </c>
      <c r="F558" s="32" t="s">
        <v>3914</v>
      </c>
      <c r="G558" s="7">
        <v>44866</v>
      </c>
      <c r="H558" s="32" t="s">
        <v>3526</v>
      </c>
      <c r="I558" s="48">
        <v>464</v>
      </c>
      <c r="J558" s="48">
        <v>1000</v>
      </c>
      <c r="K558" s="48">
        <v>0</v>
      </c>
      <c r="L558" s="7" t="s">
        <v>3790</v>
      </c>
      <c r="M558" s="7">
        <v>44962</v>
      </c>
      <c r="N558" s="7">
        <v>44739</v>
      </c>
      <c r="O558" s="7" t="s">
        <v>3790</v>
      </c>
      <c r="P558" s="48">
        <v>196</v>
      </c>
      <c r="Q558" s="48">
        <v>14</v>
      </c>
      <c r="R558" s="48">
        <v>14</v>
      </c>
      <c r="S558" s="48">
        <v>1000</v>
      </c>
      <c r="T558" s="5" t="s">
        <v>5548</v>
      </c>
      <c r="V558" s="32" t="s">
        <v>3701</v>
      </c>
    </row>
    <row r="559" spans="1:22">
      <c r="A559" s="5" t="s">
        <v>3911</v>
      </c>
      <c r="B559" s="32" t="s">
        <v>2846</v>
      </c>
      <c r="C559" s="32" t="s">
        <v>3955</v>
      </c>
      <c r="D559" s="5" t="s">
        <v>6171</v>
      </c>
      <c r="E559" s="48">
        <v>0</v>
      </c>
      <c r="F559" s="32" t="s">
        <v>3701</v>
      </c>
      <c r="G559" s="7">
        <v>45069</v>
      </c>
      <c r="H559" s="32" t="s">
        <v>3790</v>
      </c>
      <c r="I559" s="48">
        <v>0</v>
      </c>
      <c r="J559" s="48">
        <v>0</v>
      </c>
      <c r="K559" s="48">
        <v>0</v>
      </c>
      <c r="L559" s="7" t="s">
        <v>3790</v>
      </c>
      <c r="M559" s="7" t="s">
        <v>3790</v>
      </c>
      <c r="N559" s="7">
        <v>44879</v>
      </c>
      <c r="O559" s="7">
        <v>45083</v>
      </c>
      <c r="P559" s="48">
        <v>196</v>
      </c>
      <c r="Q559" s="48">
        <v>14</v>
      </c>
      <c r="R559" s="48">
        <v>14</v>
      </c>
      <c r="S559" s="48">
        <v>1600</v>
      </c>
      <c r="T559" s="5" t="s">
        <v>5549</v>
      </c>
      <c r="V559" s="32" t="s">
        <v>3701</v>
      </c>
    </row>
    <row r="560" spans="1:22">
      <c r="A560" s="5" t="s">
        <v>3911</v>
      </c>
      <c r="B560" s="32" t="s">
        <v>2867</v>
      </c>
      <c r="C560" s="32" t="s">
        <v>3965</v>
      </c>
      <c r="D560" s="5" t="s">
        <v>3962</v>
      </c>
      <c r="E560" s="48">
        <v>3128</v>
      </c>
      <c r="F560" s="32" t="s">
        <v>3914</v>
      </c>
      <c r="G560" s="7">
        <v>44854</v>
      </c>
      <c r="H560" s="32" t="s">
        <v>3526</v>
      </c>
      <c r="I560" s="48">
        <v>768</v>
      </c>
      <c r="J560" s="48">
        <v>2360</v>
      </c>
      <c r="K560" s="48">
        <v>0</v>
      </c>
      <c r="L560" s="7" t="s">
        <v>3790</v>
      </c>
      <c r="M560" s="7">
        <v>45062</v>
      </c>
      <c r="N560" s="7">
        <v>44761</v>
      </c>
      <c r="O560" s="7" t="s">
        <v>3790</v>
      </c>
      <c r="P560" s="48">
        <v>196</v>
      </c>
      <c r="Q560" s="48">
        <v>14</v>
      </c>
      <c r="R560" s="48">
        <v>14</v>
      </c>
      <c r="S560" s="48">
        <v>3000</v>
      </c>
      <c r="T560" s="5" t="s">
        <v>5548</v>
      </c>
      <c r="V560" s="32" t="s">
        <v>3701</v>
      </c>
    </row>
    <row r="561" spans="1:22">
      <c r="A561" s="5" t="s">
        <v>3911</v>
      </c>
      <c r="B561" s="32" t="s">
        <v>2870</v>
      </c>
      <c r="C561" s="32" t="s">
        <v>3932</v>
      </c>
      <c r="D561" s="5" t="s">
        <v>3930</v>
      </c>
      <c r="E561" s="48">
        <v>0</v>
      </c>
      <c r="F561" s="32" t="s">
        <v>3701</v>
      </c>
      <c r="G561" s="7">
        <v>44978</v>
      </c>
      <c r="H561" s="32" t="s">
        <v>3790</v>
      </c>
      <c r="I561" s="48">
        <v>0</v>
      </c>
      <c r="J561" s="48">
        <v>0</v>
      </c>
      <c r="K561" s="48">
        <v>0</v>
      </c>
      <c r="L561" s="7" t="s">
        <v>3790</v>
      </c>
      <c r="M561" s="7" t="s">
        <v>3790</v>
      </c>
      <c r="N561" s="7">
        <v>44599</v>
      </c>
      <c r="O561" s="7">
        <v>44992</v>
      </c>
      <c r="P561" s="48">
        <v>196</v>
      </c>
      <c r="Q561" s="48">
        <v>14</v>
      </c>
      <c r="R561" s="48">
        <v>14</v>
      </c>
      <c r="S561" s="48">
        <v>1200</v>
      </c>
      <c r="T561" s="5" t="s">
        <v>5549</v>
      </c>
      <c r="V561" s="32" t="s">
        <v>3701</v>
      </c>
    </row>
    <row r="562" spans="1:22">
      <c r="A562" s="5" t="s">
        <v>3911</v>
      </c>
      <c r="B562" s="32" t="s">
        <v>2873</v>
      </c>
      <c r="C562" s="32" t="s">
        <v>3933</v>
      </c>
      <c r="D562" s="5" t="s">
        <v>3930</v>
      </c>
      <c r="E562" s="48">
        <v>0</v>
      </c>
      <c r="F562" s="32" t="s">
        <v>3701</v>
      </c>
      <c r="G562" s="7">
        <v>44978</v>
      </c>
      <c r="H562" s="32" t="s">
        <v>3790</v>
      </c>
      <c r="I562" s="48">
        <v>0</v>
      </c>
      <c r="J562" s="48">
        <v>0</v>
      </c>
      <c r="K562" s="48">
        <v>0</v>
      </c>
      <c r="L562" s="7" t="s">
        <v>3790</v>
      </c>
      <c r="M562" s="7" t="s">
        <v>3790</v>
      </c>
      <c r="N562" s="7">
        <v>44599</v>
      </c>
      <c r="O562" s="7">
        <v>44992</v>
      </c>
      <c r="P562" s="48">
        <v>196</v>
      </c>
      <c r="Q562" s="48">
        <v>14</v>
      </c>
      <c r="R562" s="48">
        <v>14</v>
      </c>
      <c r="S562" s="48">
        <v>500</v>
      </c>
      <c r="T562" s="5" t="s">
        <v>5549</v>
      </c>
      <c r="V562" s="32" t="s">
        <v>3701</v>
      </c>
    </row>
    <row r="563" spans="1:22">
      <c r="A563" s="5" t="s">
        <v>3911</v>
      </c>
      <c r="B563" s="32" t="s">
        <v>2907</v>
      </c>
      <c r="C563" s="32" t="s">
        <v>3966</v>
      </c>
      <c r="D563" s="5" t="s">
        <v>3962</v>
      </c>
      <c r="E563" s="48">
        <v>0</v>
      </c>
      <c r="F563" s="32" t="s">
        <v>3701</v>
      </c>
      <c r="G563" s="7">
        <v>44942</v>
      </c>
      <c r="H563" s="32" t="s">
        <v>3790</v>
      </c>
      <c r="I563" s="48">
        <v>0</v>
      </c>
      <c r="J563" s="48">
        <v>0</v>
      </c>
      <c r="K563" s="48">
        <v>0</v>
      </c>
      <c r="L563" s="7" t="s">
        <v>3790</v>
      </c>
      <c r="M563" s="7" t="s">
        <v>3790</v>
      </c>
      <c r="N563" s="7">
        <v>44761</v>
      </c>
      <c r="O563" s="7">
        <v>44956</v>
      </c>
      <c r="P563" s="48">
        <v>196</v>
      </c>
      <c r="Q563" s="48">
        <v>14</v>
      </c>
      <c r="R563" s="48">
        <v>14</v>
      </c>
      <c r="S563" s="48">
        <v>2500</v>
      </c>
      <c r="T563" s="5" t="s">
        <v>5549</v>
      </c>
      <c r="V563" s="32" t="s">
        <v>3701</v>
      </c>
    </row>
    <row r="564" spans="1:22">
      <c r="A564" s="5" t="s">
        <v>3911</v>
      </c>
      <c r="B564" s="32" t="s">
        <v>2910</v>
      </c>
      <c r="C564" s="32" t="s">
        <v>3927</v>
      </c>
      <c r="D564" s="5" t="s">
        <v>3962</v>
      </c>
      <c r="E564" s="48">
        <v>0</v>
      </c>
      <c r="F564" s="32" t="s">
        <v>3701</v>
      </c>
      <c r="G564" s="7">
        <v>44943</v>
      </c>
      <c r="H564" s="32" t="s">
        <v>3790</v>
      </c>
      <c r="I564" s="48">
        <v>0</v>
      </c>
      <c r="J564" s="48">
        <v>0</v>
      </c>
      <c r="K564" s="48">
        <v>0</v>
      </c>
      <c r="L564" s="7" t="s">
        <v>3790</v>
      </c>
      <c r="M564" s="7" t="s">
        <v>3790</v>
      </c>
      <c r="N564" s="7">
        <v>44761</v>
      </c>
      <c r="O564" s="7">
        <v>44957</v>
      </c>
      <c r="P564" s="48">
        <v>196</v>
      </c>
      <c r="Q564" s="48">
        <v>14</v>
      </c>
      <c r="R564" s="48">
        <v>14</v>
      </c>
      <c r="S564" s="48">
        <v>500</v>
      </c>
      <c r="T564" s="5" t="s">
        <v>5549</v>
      </c>
      <c r="V564" s="32" t="s">
        <v>3701</v>
      </c>
    </row>
    <row r="565" spans="1:22">
      <c r="A565" s="5" t="s">
        <v>3911</v>
      </c>
      <c r="B565" s="32" t="s">
        <v>2916</v>
      </c>
      <c r="C565" s="32" t="s">
        <v>3967</v>
      </c>
      <c r="D565" s="5" t="s">
        <v>3962</v>
      </c>
      <c r="E565" s="48">
        <v>0</v>
      </c>
      <c r="F565" s="32" t="s">
        <v>3701</v>
      </c>
      <c r="G565" s="7">
        <v>44977</v>
      </c>
      <c r="H565" s="32" t="s">
        <v>3790</v>
      </c>
      <c r="I565" s="48">
        <v>0</v>
      </c>
      <c r="J565" s="48">
        <v>0</v>
      </c>
      <c r="K565" s="48">
        <v>0</v>
      </c>
      <c r="L565" s="7" t="s">
        <v>3790</v>
      </c>
      <c r="M565" s="7" t="s">
        <v>3790</v>
      </c>
      <c r="N565" s="7">
        <v>44761</v>
      </c>
      <c r="O565" s="7">
        <v>44991</v>
      </c>
      <c r="P565" s="48">
        <v>196</v>
      </c>
      <c r="Q565" s="48">
        <v>14</v>
      </c>
      <c r="R565" s="48">
        <v>14</v>
      </c>
      <c r="S565" s="48">
        <v>3000</v>
      </c>
      <c r="T565" s="5" t="s">
        <v>5549</v>
      </c>
      <c r="V565" s="32" t="s">
        <v>3701</v>
      </c>
    </row>
    <row r="566" spans="1:22">
      <c r="A566" s="5" t="s">
        <v>3911</v>
      </c>
      <c r="B566" s="32" t="s">
        <v>2918</v>
      </c>
      <c r="C566" s="32" t="s">
        <v>3928</v>
      </c>
      <c r="D566" s="5" t="s">
        <v>5384</v>
      </c>
      <c r="E566" s="48">
        <v>0</v>
      </c>
      <c r="F566" s="32" t="s">
        <v>3701</v>
      </c>
      <c r="G566" s="7">
        <v>45020</v>
      </c>
      <c r="H566" s="32" t="s">
        <v>3790</v>
      </c>
      <c r="I566" s="48">
        <v>0</v>
      </c>
      <c r="J566" s="48">
        <v>0</v>
      </c>
      <c r="K566" s="48">
        <v>0</v>
      </c>
      <c r="L566" s="7" t="s">
        <v>3790</v>
      </c>
      <c r="M566" s="7" t="s">
        <v>3790</v>
      </c>
      <c r="N566" s="7">
        <v>44833</v>
      </c>
      <c r="O566" s="7">
        <v>45034</v>
      </c>
      <c r="P566" s="48">
        <v>196</v>
      </c>
      <c r="Q566" s="48">
        <v>14</v>
      </c>
      <c r="R566" s="48">
        <v>14</v>
      </c>
      <c r="S566" s="48">
        <v>1500</v>
      </c>
      <c r="T566" s="5" t="s">
        <v>5549</v>
      </c>
      <c r="V566" s="32" t="s">
        <v>3701</v>
      </c>
    </row>
    <row r="567" spans="1:22">
      <c r="A567" s="5" t="s">
        <v>3911</v>
      </c>
      <c r="B567" s="32" t="s">
        <v>2921</v>
      </c>
      <c r="C567" s="32" t="s">
        <v>3929</v>
      </c>
      <c r="D567" s="5" t="s">
        <v>5384</v>
      </c>
      <c r="E567" s="48">
        <v>0</v>
      </c>
      <c r="F567" s="32" t="s">
        <v>3701</v>
      </c>
      <c r="G567" s="7">
        <v>45021</v>
      </c>
      <c r="H567" s="32" t="s">
        <v>3790</v>
      </c>
      <c r="I567" s="48">
        <v>0</v>
      </c>
      <c r="J567" s="48">
        <v>0</v>
      </c>
      <c r="K567" s="48">
        <v>0</v>
      </c>
      <c r="L567" s="7" t="s">
        <v>3790</v>
      </c>
      <c r="M567" s="7" t="s">
        <v>3790</v>
      </c>
      <c r="N567" s="7">
        <v>44833</v>
      </c>
      <c r="O567" s="7">
        <v>45035</v>
      </c>
      <c r="P567" s="48">
        <v>196</v>
      </c>
      <c r="Q567" s="48">
        <v>14</v>
      </c>
      <c r="R567" s="48">
        <v>14</v>
      </c>
      <c r="S567" s="48">
        <v>1500</v>
      </c>
      <c r="T567" s="5" t="s">
        <v>5549</v>
      </c>
      <c r="V567" s="32" t="s">
        <v>3701</v>
      </c>
    </row>
    <row r="568" spans="1:22">
      <c r="A568" s="5" t="s">
        <v>3911</v>
      </c>
      <c r="B568" s="32" t="s">
        <v>2935</v>
      </c>
      <c r="C568" s="32" t="s">
        <v>5386</v>
      </c>
      <c r="D568" s="5" t="s">
        <v>5385</v>
      </c>
      <c r="E568" s="48">
        <v>0</v>
      </c>
      <c r="F568" s="32" t="s">
        <v>3701</v>
      </c>
      <c r="G568" s="7">
        <v>45049</v>
      </c>
      <c r="H568" s="32" t="s">
        <v>3790</v>
      </c>
      <c r="I568" s="48">
        <v>0</v>
      </c>
      <c r="J568" s="48">
        <v>0</v>
      </c>
      <c r="K568" s="48">
        <v>0</v>
      </c>
      <c r="L568" s="7" t="s">
        <v>3790</v>
      </c>
      <c r="M568" s="7" t="s">
        <v>3790</v>
      </c>
      <c r="N568" s="7">
        <v>44812</v>
      </c>
      <c r="O568" s="7">
        <v>45063</v>
      </c>
      <c r="P568" s="48">
        <v>196</v>
      </c>
      <c r="Q568" s="48">
        <v>14</v>
      </c>
      <c r="R568" s="48">
        <v>14</v>
      </c>
      <c r="S568" s="48">
        <v>3000</v>
      </c>
      <c r="T568" s="5" t="s">
        <v>5549</v>
      </c>
      <c r="V568" s="32" t="s">
        <v>3701</v>
      </c>
    </row>
    <row r="569" spans="1:22">
      <c r="A569" s="5" t="s">
        <v>3911</v>
      </c>
      <c r="B569" s="32" t="s">
        <v>2990</v>
      </c>
      <c r="C569" s="32" t="s">
        <v>3981</v>
      </c>
      <c r="D569" s="5" t="s">
        <v>3978</v>
      </c>
      <c r="E569" s="48">
        <v>0</v>
      </c>
      <c r="F569" s="32" t="s">
        <v>3701</v>
      </c>
      <c r="G569" s="7">
        <v>44959</v>
      </c>
      <c r="H569" s="32" t="s">
        <v>3790</v>
      </c>
      <c r="I569" s="48">
        <v>0</v>
      </c>
      <c r="J569" s="48">
        <v>0</v>
      </c>
      <c r="K569" s="48">
        <v>0</v>
      </c>
      <c r="L569" s="7" t="s">
        <v>3790</v>
      </c>
      <c r="M569" s="7" t="s">
        <v>3790</v>
      </c>
      <c r="N569" s="7">
        <v>44796</v>
      </c>
      <c r="O569" s="7">
        <v>44973</v>
      </c>
      <c r="P569" s="48">
        <v>196</v>
      </c>
      <c r="Q569" s="48">
        <v>14</v>
      </c>
      <c r="R569" s="48">
        <v>14</v>
      </c>
      <c r="S569" s="48">
        <v>2000</v>
      </c>
      <c r="T569" s="5" t="s">
        <v>5549</v>
      </c>
      <c r="V569" s="32" t="s">
        <v>3701</v>
      </c>
    </row>
    <row r="570" spans="1:22">
      <c r="A570" s="5" t="s">
        <v>3911</v>
      </c>
      <c r="B570" s="32" t="s">
        <v>2993</v>
      </c>
      <c r="C570" s="32" t="s">
        <v>3982</v>
      </c>
      <c r="D570" s="5" t="s">
        <v>3978</v>
      </c>
      <c r="E570" s="48">
        <v>0</v>
      </c>
      <c r="F570" s="32" t="s">
        <v>3701</v>
      </c>
      <c r="G570" s="7">
        <v>44959</v>
      </c>
      <c r="H570" s="32" t="s">
        <v>3790</v>
      </c>
      <c r="I570" s="48">
        <v>0</v>
      </c>
      <c r="J570" s="48">
        <v>0</v>
      </c>
      <c r="K570" s="48">
        <v>0</v>
      </c>
      <c r="L570" s="7" t="s">
        <v>3790</v>
      </c>
      <c r="M570" s="7" t="s">
        <v>3790</v>
      </c>
      <c r="N570" s="7">
        <v>44796</v>
      </c>
      <c r="O570" s="7">
        <v>44973</v>
      </c>
      <c r="P570" s="48">
        <v>196</v>
      </c>
      <c r="Q570" s="48">
        <v>14</v>
      </c>
      <c r="R570" s="48">
        <v>14</v>
      </c>
      <c r="S570" s="48">
        <v>1000</v>
      </c>
      <c r="T570" s="5" t="s">
        <v>5549</v>
      </c>
      <c r="V570" s="32" t="s">
        <v>3701</v>
      </c>
    </row>
    <row r="571" spans="1:22">
      <c r="A571" s="5" t="s">
        <v>3911</v>
      </c>
      <c r="B571" s="32" t="s">
        <v>3070</v>
      </c>
      <c r="C571" s="32" t="s">
        <v>6092</v>
      </c>
      <c r="D571" s="5" t="s">
        <v>6091</v>
      </c>
      <c r="E571" s="48">
        <v>0</v>
      </c>
      <c r="F571" s="32" t="s">
        <v>3701</v>
      </c>
      <c r="G571" s="7">
        <v>45117</v>
      </c>
      <c r="H571" s="32" t="s">
        <v>3790</v>
      </c>
      <c r="I571" s="48">
        <v>0</v>
      </c>
      <c r="J571" s="48">
        <v>0</v>
      </c>
      <c r="K571" s="48">
        <v>0</v>
      </c>
      <c r="L571" s="7" t="s">
        <v>3790</v>
      </c>
      <c r="M571" s="7" t="s">
        <v>3790</v>
      </c>
      <c r="N571" s="7">
        <v>44869</v>
      </c>
      <c r="O571" s="7">
        <v>45131</v>
      </c>
      <c r="P571" s="48">
        <v>196</v>
      </c>
      <c r="Q571" s="48">
        <v>14</v>
      </c>
      <c r="R571" s="48">
        <v>14</v>
      </c>
      <c r="S571" s="48">
        <v>1500</v>
      </c>
      <c r="T571" s="5" t="s">
        <v>5549</v>
      </c>
      <c r="V571" s="32" t="s">
        <v>3701</v>
      </c>
    </row>
    <row r="572" spans="1:22">
      <c r="A572" s="5" t="s">
        <v>3911</v>
      </c>
      <c r="B572" s="32" t="s">
        <v>3073</v>
      </c>
      <c r="C572" s="32" t="s">
        <v>6094</v>
      </c>
      <c r="D572" s="5" t="s">
        <v>6091</v>
      </c>
      <c r="E572" s="48">
        <v>0</v>
      </c>
      <c r="F572" s="32" t="s">
        <v>3701</v>
      </c>
      <c r="G572" s="7">
        <v>45117</v>
      </c>
      <c r="H572" s="32" t="s">
        <v>3790</v>
      </c>
      <c r="I572" s="48">
        <v>0</v>
      </c>
      <c r="J572" s="48">
        <v>0</v>
      </c>
      <c r="K572" s="48">
        <v>0</v>
      </c>
      <c r="L572" s="7" t="s">
        <v>3790</v>
      </c>
      <c r="M572" s="7" t="s">
        <v>3790</v>
      </c>
      <c r="N572" s="7">
        <v>44869</v>
      </c>
      <c r="O572" s="7">
        <v>45131</v>
      </c>
      <c r="P572" s="48">
        <v>196</v>
      </c>
      <c r="Q572" s="48">
        <v>14</v>
      </c>
      <c r="R572" s="48">
        <v>14</v>
      </c>
      <c r="S572" s="48">
        <v>1500</v>
      </c>
      <c r="T572" s="5" t="s">
        <v>5549</v>
      </c>
      <c r="V572" s="32" t="s">
        <v>3701</v>
      </c>
    </row>
    <row r="573" spans="1:22">
      <c r="A573" s="5" t="s">
        <v>3911</v>
      </c>
      <c r="B573" s="32" t="s">
        <v>3081</v>
      </c>
      <c r="C573" s="32" t="s">
        <v>3940</v>
      </c>
      <c r="D573" s="5" t="s">
        <v>3968</v>
      </c>
      <c r="E573" s="48">
        <v>6983</v>
      </c>
      <c r="F573" s="32" t="s">
        <v>3941</v>
      </c>
      <c r="G573" s="7">
        <v>44846</v>
      </c>
      <c r="H573" s="32" t="s">
        <v>3526</v>
      </c>
      <c r="I573" s="48">
        <v>483</v>
      </c>
      <c r="J573" s="48">
        <v>6500</v>
      </c>
      <c r="K573" s="48">
        <v>0</v>
      </c>
      <c r="L573" s="7" t="s">
        <v>3790</v>
      </c>
      <c r="M573" s="7">
        <v>45031</v>
      </c>
      <c r="N573" s="7">
        <v>44761</v>
      </c>
      <c r="O573" s="7" t="s">
        <v>3790</v>
      </c>
      <c r="P573" s="48">
        <v>154</v>
      </c>
      <c r="Q573" s="48">
        <v>56</v>
      </c>
      <c r="R573" s="48">
        <v>14</v>
      </c>
      <c r="S573" s="48">
        <v>6500</v>
      </c>
      <c r="T573" s="5" t="s">
        <v>5548</v>
      </c>
      <c r="V573" s="32" t="s">
        <v>3701</v>
      </c>
    </row>
    <row r="574" spans="1:22">
      <c r="A574" s="5" t="s">
        <v>3911</v>
      </c>
      <c r="B574" s="32" t="s">
        <v>3084</v>
      </c>
      <c r="C574" s="32" t="s">
        <v>3969</v>
      </c>
      <c r="D574" s="5" t="s">
        <v>3968</v>
      </c>
      <c r="E574" s="48">
        <v>1031</v>
      </c>
      <c r="F574" s="32" t="s">
        <v>3941</v>
      </c>
      <c r="G574" s="7">
        <v>44846</v>
      </c>
      <c r="H574" s="32" t="s">
        <v>3526</v>
      </c>
      <c r="I574" s="48">
        <v>0</v>
      </c>
      <c r="J574" s="48">
        <v>1031</v>
      </c>
      <c r="K574" s="48">
        <v>0</v>
      </c>
      <c r="L574" s="7" t="s">
        <v>3790</v>
      </c>
      <c r="M574" s="7">
        <v>45031</v>
      </c>
      <c r="N574" s="7">
        <v>44761</v>
      </c>
      <c r="O574" s="7" t="s">
        <v>3790</v>
      </c>
      <c r="P574" s="48">
        <v>154</v>
      </c>
      <c r="Q574" s="48">
        <v>56</v>
      </c>
      <c r="R574" s="48">
        <v>14</v>
      </c>
      <c r="S574" s="48">
        <v>1200</v>
      </c>
      <c r="T574" s="5" t="s">
        <v>5548</v>
      </c>
      <c r="V574" s="32" t="s">
        <v>3701</v>
      </c>
    </row>
    <row r="575" spans="1:22">
      <c r="A575" s="5" t="s">
        <v>3911</v>
      </c>
      <c r="B575" s="32" t="s">
        <v>3100</v>
      </c>
      <c r="C575" s="32" t="s">
        <v>3983</v>
      </c>
      <c r="D575" s="5" t="s">
        <v>3978</v>
      </c>
      <c r="E575" s="48">
        <v>0</v>
      </c>
      <c r="F575" s="32" t="s">
        <v>3701</v>
      </c>
      <c r="G575" s="7">
        <v>45000</v>
      </c>
      <c r="H575" s="32" t="s">
        <v>3790</v>
      </c>
      <c r="I575" s="48">
        <v>0</v>
      </c>
      <c r="J575" s="48">
        <v>0</v>
      </c>
      <c r="K575" s="48">
        <v>0</v>
      </c>
      <c r="L575" s="7" t="s">
        <v>3790</v>
      </c>
      <c r="M575" s="7" t="s">
        <v>3790</v>
      </c>
      <c r="N575" s="7">
        <v>44796</v>
      </c>
      <c r="O575" s="7">
        <v>45056</v>
      </c>
      <c r="P575" s="48">
        <v>154</v>
      </c>
      <c r="Q575" s="48">
        <v>56</v>
      </c>
      <c r="R575" s="48">
        <v>14</v>
      </c>
      <c r="S575" s="48">
        <v>2000</v>
      </c>
      <c r="T575" s="5" t="s">
        <v>5549</v>
      </c>
      <c r="V575" s="32" t="s">
        <v>3701</v>
      </c>
    </row>
    <row r="576" spans="1:22">
      <c r="A576" s="5" t="s">
        <v>3911</v>
      </c>
      <c r="B576" s="32" t="s">
        <v>3103</v>
      </c>
      <c r="C576" s="32" t="s">
        <v>3984</v>
      </c>
      <c r="D576" s="5" t="s">
        <v>3978</v>
      </c>
      <c r="E576" s="48">
        <v>0</v>
      </c>
      <c r="F576" s="32" t="s">
        <v>3701</v>
      </c>
      <c r="G576" s="7">
        <v>45000</v>
      </c>
      <c r="H576" s="32" t="s">
        <v>3790</v>
      </c>
      <c r="I576" s="48">
        <v>0</v>
      </c>
      <c r="J576" s="48">
        <v>0</v>
      </c>
      <c r="K576" s="48">
        <v>0</v>
      </c>
      <c r="L576" s="7" t="s">
        <v>3790</v>
      </c>
      <c r="M576" s="7" t="s">
        <v>3790</v>
      </c>
      <c r="N576" s="7">
        <v>44796</v>
      </c>
      <c r="O576" s="7">
        <v>45056</v>
      </c>
      <c r="P576" s="48">
        <v>154</v>
      </c>
      <c r="Q576" s="48">
        <v>56</v>
      </c>
      <c r="R576" s="48">
        <v>14</v>
      </c>
      <c r="S576" s="48">
        <v>1000</v>
      </c>
      <c r="T576" s="5" t="s">
        <v>5549</v>
      </c>
      <c r="V576" s="32" t="s">
        <v>3701</v>
      </c>
    </row>
    <row r="577" spans="1:22">
      <c r="A577" s="5" t="s">
        <v>3911</v>
      </c>
      <c r="B577" s="32" t="s">
        <v>3112</v>
      </c>
      <c r="C577" s="32" t="s">
        <v>3970</v>
      </c>
      <c r="D577" s="5" t="s">
        <v>3968</v>
      </c>
      <c r="E577" s="48">
        <v>0</v>
      </c>
      <c r="F577" s="32" t="s">
        <v>3701</v>
      </c>
      <c r="G577" s="7">
        <v>44964</v>
      </c>
      <c r="H577" s="32" t="s">
        <v>3790</v>
      </c>
      <c r="I577" s="48">
        <v>0</v>
      </c>
      <c r="J577" s="48">
        <v>0</v>
      </c>
      <c r="K577" s="48">
        <v>0</v>
      </c>
      <c r="L577" s="7" t="s">
        <v>3790</v>
      </c>
      <c r="M577" s="7" t="s">
        <v>3790</v>
      </c>
      <c r="N577" s="7">
        <v>44761</v>
      </c>
      <c r="O577" s="7">
        <v>44978</v>
      </c>
      <c r="P577" s="48">
        <v>196</v>
      </c>
      <c r="Q577" s="48">
        <v>14</v>
      </c>
      <c r="R577" s="48">
        <v>14</v>
      </c>
      <c r="S577" s="48">
        <v>1500</v>
      </c>
      <c r="T577" s="5" t="s">
        <v>5549</v>
      </c>
      <c r="V577" s="32" t="s">
        <v>3701</v>
      </c>
    </row>
    <row r="578" spans="1:22">
      <c r="A578" s="5" t="s">
        <v>3911</v>
      </c>
      <c r="B578" s="32" t="s">
        <v>3115</v>
      </c>
      <c r="C578" s="32" t="s">
        <v>3971</v>
      </c>
      <c r="D578" s="5" t="s">
        <v>3968</v>
      </c>
      <c r="E578" s="48">
        <v>0</v>
      </c>
      <c r="F578" s="32" t="s">
        <v>3701</v>
      </c>
      <c r="G578" s="7">
        <v>44964</v>
      </c>
      <c r="H578" s="32" t="s">
        <v>3790</v>
      </c>
      <c r="I578" s="48">
        <v>0</v>
      </c>
      <c r="J578" s="48">
        <v>0</v>
      </c>
      <c r="K578" s="48">
        <v>0</v>
      </c>
      <c r="L578" s="7" t="s">
        <v>3790</v>
      </c>
      <c r="M578" s="7" t="s">
        <v>3790</v>
      </c>
      <c r="N578" s="7">
        <v>44761</v>
      </c>
      <c r="O578" s="7">
        <v>44978</v>
      </c>
      <c r="P578" s="48">
        <v>196</v>
      </c>
      <c r="Q578" s="48">
        <v>14</v>
      </c>
      <c r="R578" s="48">
        <v>14</v>
      </c>
      <c r="S578" s="48">
        <v>1500</v>
      </c>
      <c r="T578" s="5" t="s">
        <v>5549</v>
      </c>
      <c r="V578" s="32" t="s">
        <v>3701</v>
      </c>
    </row>
    <row r="579" spans="1:22">
      <c r="A579" s="5" t="s">
        <v>3911</v>
      </c>
      <c r="B579" s="32" t="s">
        <v>3188</v>
      </c>
      <c r="C579" s="32" t="s">
        <v>5387</v>
      </c>
      <c r="D579" s="5" t="s">
        <v>5385</v>
      </c>
      <c r="E579" s="48">
        <v>0</v>
      </c>
      <c r="F579" s="32" t="s">
        <v>3701</v>
      </c>
      <c r="G579" s="7">
        <v>45048</v>
      </c>
      <c r="H579" s="32" t="s">
        <v>3790</v>
      </c>
      <c r="I579" s="48">
        <v>0</v>
      </c>
      <c r="J579" s="48">
        <v>0</v>
      </c>
      <c r="K579" s="48">
        <v>0</v>
      </c>
      <c r="L579" s="7" t="s">
        <v>3790</v>
      </c>
      <c r="M579" s="7" t="s">
        <v>3790</v>
      </c>
      <c r="N579" s="7">
        <v>44812</v>
      </c>
      <c r="O579" s="7">
        <v>45062</v>
      </c>
      <c r="P579" s="48">
        <v>196</v>
      </c>
      <c r="Q579" s="48">
        <v>14</v>
      </c>
      <c r="R579" s="48">
        <v>14</v>
      </c>
      <c r="S579" s="48">
        <v>2000</v>
      </c>
      <c r="T579" s="5" t="s">
        <v>5549</v>
      </c>
      <c r="V579" s="32" t="s">
        <v>3701</v>
      </c>
    </row>
    <row r="580" spans="1:22">
      <c r="A580" s="5" t="s">
        <v>3911</v>
      </c>
      <c r="B580" s="32" t="s">
        <v>3191</v>
      </c>
      <c r="C580" s="32" t="s">
        <v>5388</v>
      </c>
      <c r="D580" s="5" t="s">
        <v>5385</v>
      </c>
      <c r="E580" s="48">
        <v>0</v>
      </c>
      <c r="F580" s="32" t="s">
        <v>3701</v>
      </c>
      <c r="G580" s="7">
        <v>45048</v>
      </c>
      <c r="H580" s="32" t="s">
        <v>3790</v>
      </c>
      <c r="I580" s="48">
        <v>0</v>
      </c>
      <c r="J580" s="48">
        <v>0</v>
      </c>
      <c r="K580" s="48">
        <v>0</v>
      </c>
      <c r="L580" s="7" t="s">
        <v>3790</v>
      </c>
      <c r="M580" s="7" t="s">
        <v>3790</v>
      </c>
      <c r="N580" s="7">
        <v>44812</v>
      </c>
      <c r="O580" s="7">
        <v>45062</v>
      </c>
      <c r="P580" s="48">
        <v>196</v>
      </c>
      <c r="Q580" s="48">
        <v>14</v>
      </c>
      <c r="R580" s="48">
        <v>14</v>
      </c>
      <c r="S580" s="48">
        <v>1000</v>
      </c>
      <c r="T580" s="5" t="s">
        <v>5549</v>
      </c>
      <c r="V580" s="32" t="s">
        <v>3701</v>
      </c>
    </row>
    <row r="581" spans="1:22">
      <c r="A581" s="5" t="s">
        <v>3911</v>
      </c>
      <c r="B581" s="32" t="s">
        <v>3205</v>
      </c>
      <c r="C581" s="32" t="s">
        <v>3972</v>
      </c>
      <c r="D581" s="5" t="s">
        <v>3968</v>
      </c>
      <c r="E581" s="48">
        <v>0</v>
      </c>
      <c r="F581" s="32" t="s">
        <v>3701</v>
      </c>
      <c r="G581" s="7">
        <v>44979</v>
      </c>
      <c r="H581" s="32" t="s">
        <v>3790</v>
      </c>
      <c r="I581" s="48">
        <v>0</v>
      </c>
      <c r="J581" s="48">
        <v>0</v>
      </c>
      <c r="K581" s="48">
        <v>0</v>
      </c>
      <c r="L581" s="7" t="s">
        <v>3790</v>
      </c>
      <c r="M581" s="7" t="s">
        <v>3790</v>
      </c>
      <c r="N581" s="7">
        <v>44761</v>
      </c>
      <c r="O581" s="7">
        <v>44993</v>
      </c>
      <c r="P581" s="48">
        <v>196</v>
      </c>
      <c r="Q581" s="48">
        <v>14</v>
      </c>
      <c r="R581" s="48">
        <v>14</v>
      </c>
      <c r="S581" s="48">
        <v>3000</v>
      </c>
      <c r="T581" s="5" t="s">
        <v>5549</v>
      </c>
      <c r="V581" s="32" t="s">
        <v>3701</v>
      </c>
    </row>
    <row r="582" spans="1:22">
      <c r="A582" s="5" t="s">
        <v>3911</v>
      </c>
      <c r="B582" s="32" t="s">
        <v>3212</v>
      </c>
      <c r="C582" s="32" t="s">
        <v>3945</v>
      </c>
      <c r="D582" s="5" t="s">
        <v>3942</v>
      </c>
      <c r="E582" s="48">
        <v>0</v>
      </c>
      <c r="F582" s="32" t="s">
        <v>3701</v>
      </c>
      <c r="G582" s="7">
        <v>44958</v>
      </c>
      <c r="H582" s="32" t="s">
        <v>3790</v>
      </c>
      <c r="I582" s="48">
        <v>0</v>
      </c>
      <c r="J582" s="48">
        <v>0</v>
      </c>
      <c r="K582" s="48">
        <v>0</v>
      </c>
      <c r="L582" s="7" t="s">
        <v>3790</v>
      </c>
      <c r="M582" s="7" t="s">
        <v>3790</v>
      </c>
      <c r="N582" s="7">
        <v>44649</v>
      </c>
      <c r="O582" s="7">
        <v>44972</v>
      </c>
      <c r="P582" s="48">
        <v>196</v>
      </c>
      <c r="Q582" s="48">
        <v>14</v>
      </c>
      <c r="R582" s="48">
        <v>14</v>
      </c>
      <c r="S582" s="48">
        <v>3000</v>
      </c>
      <c r="T582" s="5" t="s">
        <v>5549</v>
      </c>
      <c r="V582" s="32" t="s">
        <v>3701</v>
      </c>
    </row>
    <row r="583" spans="1:22">
      <c r="A583" s="5" t="s">
        <v>3911</v>
      </c>
      <c r="B583" s="32" t="s">
        <v>3218</v>
      </c>
      <c r="C583" s="32" t="s">
        <v>6175</v>
      </c>
      <c r="D583" s="5" t="s">
        <v>6174</v>
      </c>
      <c r="E583" s="48">
        <v>0</v>
      </c>
      <c r="F583" s="32" t="s">
        <v>3701</v>
      </c>
      <c r="G583" s="7">
        <v>45056</v>
      </c>
      <c r="H583" s="32" t="s">
        <v>3790</v>
      </c>
      <c r="I583" s="48">
        <v>0</v>
      </c>
      <c r="J583" s="48">
        <v>0</v>
      </c>
      <c r="K583" s="48">
        <v>0</v>
      </c>
      <c r="L583" s="7" t="s">
        <v>3790</v>
      </c>
      <c r="M583" s="7" t="s">
        <v>3790</v>
      </c>
      <c r="N583" s="7">
        <v>44875</v>
      </c>
      <c r="O583" s="7">
        <v>45070</v>
      </c>
      <c r="P583" s="48">
        <v>196</v>
      </c>
      <c r="Q583" s="48">
        <v>14</v>
      </c>
      <c r="R583" s="48">
        <v>14</v>
      </c>
      <c r="S583" s="48">
        <v>2500</v>
      </c>
      <c r="T583" s="5" t="s">
        <v>5549</v>
      </c>
      <c r="V583" s="32" t="s">
        <v>3701</v>
      </c>
    </row>
    <row r="584" spans="1:22">
      <c r="A584" s="5" t="s">
        <v>3911</v>
      </c>
      <c r="B584" s="32" t="s">
        <v>3220</v>
      </c>
      <c r="C584" s="32" t="s">
        <v>6177</v>
      </c>
      <c r="D584" s="5" t="s">
        <v>6174</v>
      </c>
      <c r="E584" s="48">
        <v>0</v>
      </c>
      <c r="F584" s="32" t="s">
        <v>3701</v>
      </c>
      <c r="G584" s="7">
        <v>45056</v>
      </c>
      <c r="H584" s="32" t="s">
        <v>3790</v>
      </c>
      <c r="I584" s="48">
        <v>0</v>
      </c>
      <c r="J584" s="48">
        <v>0</v>
      </c>
      <c r="K584" s="48">
        <v>0</v>
      </c>
      <c r="L584" s="7" t="s">
        <v>3790</v>
      </c>
      <c r="M584" s="7" t="s">
        <v>3790</v>
      </c>
      <c r="N584" s="7">
        <v>44875</v>
      </c>
      <c r="O584" s="7">
        <v>45070</v>
      </c>
      <c r="P584" s="48">
        <v>196</v>
      </c>
      <c r="Q584" s="48">
        <v>14</v>
      </c>
      <c r="R584" s="48">
        <v>14</v>
      </c>
      <c r="S584" s="48">
        <v>2500</v>
      </c>
      <c r="T584" s="5" t="s">
        <v>5549</v>
      </c>
      <c r="V584" s="32" t="s">
        <v>3701</v>
      </c>
    </row>
    <row r="585" spans="1:22">
      <c r="A585" s="5" t="s">
        <v>3911</v>
      </c>
      <c r="B585" s="32" t="s">
        <v>3235</v>
      </c>
      <c r="C585" s="32" t="s">
        <v>3985</v>
      </c>
      <c r="D585" s="5" t="s">
        <v>3978</v>
      </c>
      <c r="E585" s="48">
        <v>0</v>
      </c>
      <c r="F585" s="32" t="s">
        <v>3701</v>
      </c>
      <c r="G585" s="7">
        <v>45020</v>
      </c>
      <c r="H585" s="32" t="s">
        <v>3790</v>
      </c>
      <c r="I585" s="48">
        <v>0</v>
      </c>
      <c r="J585" s="48">
        <v>0</v>
      </c>
      <c r="K585" s="48">
        <v>0</v>
      </c>
      <c r="L585" s="7" t="s">
        <v>3790</v>
      </c>
      <c r="M585" s="7" t="s">
        <v>3790</v>
      </c>
      <c r="N585" s="7">
        <v>44796</v>
      </c>
      <c r="O585" s="7">
        <v>45034</v>
      </c>
      <c r="P585" s="48">
        <v>196</v>
      </c>
      <c r="Q585" s="48">
        <v>14</v>
      </c>
      <c r="R585" s="48">
        <v>14</v>
      </c>
      <c r="S585" s="48">
        <v>3000</v>
      </c>
      <c r="T585" s="5" t="s">
        <v>5549</v>
      </c>
      <c r="V585" s="32" t="s">
        <v>3701</v>
      </c>
    </row>
    <row r="586" spans="1:22">
      <c r="A586" s="5" t="s">
        <v>3911</v>
      </c>
      <c r="B586" s="32" t="s">
        <v>3236</v>
      </c>
      <c r="C586" s="32" t="s">
        <v>7606</v>
      </c>
      <c r="D586" s="5" t="s">
        <v>7567</v>
      </c>
      <c r="E586" s="48">
        <v>0</v>
      </c>
      <c r="F586" s="32" t="s">
        <v>3701</v>
      </c>
      <c r="G586" s="7">
        <v>45071</v>
      </c>
      <c r="H586" s="32" t="s">
        <v>3790</v>
      </c>
      <c r="I586" s="48">
        <v>0</v>
      </c>
      <c r="J586" s="48">
        <v>0</v>
      </c>
      <c r="K586" s="48">
        <v>0</v>
      </c>
      <c r="L586" s="7" t="s">
        <v>3790</v>
      </c>
      <c r="M586" s="7" t="s">
        <v>3790</v>
      </c>
      <c r="N586" s="7">
        <v>44910</v>
      </c>
      <c r="O586" s="7">
        <v>45085</v>
      </c>
      <c r="P586" s="48">
        <v>196</v>
      </c>
      <c r="Q586" s="48">
        <v>14</v>
      </c>
      <c r="R586" s="48">
        <v>14</v>
      </c>
      <c r="S586" s="48">
        <v>2500</v>
      </c>
      <c r="T586" s="5" t="s">
        <v>5549</v>
      </c>
      <c r="V586" s="32" t="s">
        <v>3701</v>
      </c>
    </row>
    <row r="587" spans="1:22">
      <c r="A587" s="5" t="s">
        <v>3911</v>
      </c>
      <c r="B587" s="32" t="s">
        <v>3238</v>
      </c>
      <c r="C587" s="32" t="s">
        <v>3986</v>
      </c>
      <c r="D587" s="5" t="s">
        <v>3978</v>
      </c>
      <c r="E587" s="48">
        <v>1372</v>
      </c>
      <c r="F587" s="32" t="s">
        <v>3914</v>
      </c>
      <c r="G587" s="7">
        <v>44876</v>
      </c>
      <c r="H587" s="32" t="s">
        <v>3526</v>
      </c>
      <c r="I587" s="48">
        <v>19</v>
      </c>
      <c r="J587" s="48">
        <v>1353</v>
      </c>
      <c r="K587" s="48">
        <v>0</v>
      </c>
      <c r="L587" s="7" t="s">
        <v>3790</v>
      </c>
      <c r="M587" s="7">
        <v>44977</v>
      </c>
      <c r="N587" s="7">
        <v>44796</v>
      </c>
      <c r="O587" s="7" t="s">
        <v>3790</v>
      </c>
      <c r="P587" s="48">
        <v>196</v>
      </c>
      <c r="Q587" s="48">
        <v>14</v>
      </c>
      <c r="R587" s="48">
        <v>14</v>
      </c>
      <c r="S587" s="48">
        <v>2000</v>
      </c>
      <c r="T587" s="5" t="s">
        <v>5548</v>
      </c>
      <c r="V587" s="32" t="s">
        <v>3701</v>
      </c>
    </row>
    <row r="588" spans="1:22">
      <c r="A588" s="5" t="s">
        <v>3911</v>
      </c>
      <c r="B588" s="32" t="s">
        <v>3238</v>
      </c>
      <c r="C588" s="32" t="s">
        <v>3986</v>
      </c>
      <c r="D588" s="5" t="s">
        <v>7567</v>
      </c>
      <c r="E588" s="48">
        <v>0</v>
      </c>
      <c r="F588" s="32" t="s">
        <v>3701</v>
      </c>
      <c r="G588" s="7">
        <v>45071</v>
      </c>
      <c r="H588" s="32" t="s">
        <v>3790</v>
      </c>
      <c r="I588" s="48">
        <v>0</v>
      </c>
      <c r="J588" s="48">
        <v>0</v>
      </c>
      <c r="K588" s="48">
        <v>0</v>
      </c>
      <c r="L588" s="7" t="s">
        <v>3790</v>
      </c>
      <c r="M588" s="7" t="s">
        <v>3790</v>
      </c>
      <c r="N588" s="7">
        <v>44910</v>
      </c>
      <c r="O588" s="7">
        <v>45085</v>
      </c>
      <c r="P588" s="48">
        <v>196</v>
      </c>
      <c r="Q588" s="48">
        <v>14</v>
      </c>
      <c r="R588" s="48">
        <v>14</v>
      </c>
      <c r="S588" s="48">
        <v>500</v>
      </c>
      <c r="T588" s="5" t="s">
        <v>5549</v>
      </c>
      <c r="V588" s="32" t="s">
        <v>3701</v>
      </c>
    </row>
    <row r="589" spans="1:22">
      <c r="A589" s="5" t="s">
        <v>3991</v>
      </c>
      <c r="B589" s="32" t="s">
        <v>139</v>
      </c>
      <c r="C589" s="32" t="s">
        <v>3993</v>
      </c>
      <c r="D589" s="5" t="s">
        <v>4041</v>
      </c>
      <c r="E589" s="48">
        <v>2400</v>
      </c>
      <c r="G589" s="7" t="s">
        <v>3790</v>
      </c>
      <c r="H589" s="32" t="s">
        <v>3692</v>
      </c>
      <c r="J589" s="48">
        <v>2400</v>
      </c>
      <c r="K589" s="48">
        <v>0</v>
      </c>
      <c r="L589" s="7" t="s">
        <v>3790</v>
      </c>
      <c r="M589" s="7" t="s">
        <v>3790</v>
      </c>
      <c r="N589" s="7">
        <v>44607</v>
      </c>
      <c r="O589" s="7" t="s">
        <v>3790</v>
      </c>
      <c r="P589" s="48">
        <v>70</v>
      </c>
      <c r="Q589" s="48">
        <v>14</v>
      </c>
      <c r="R589" s="48">
        <v>14</v>
      </c>
      <c r="S589" s="48">
        <v>3000</v>
      </c>
      <c r="T589" s="5" t="s">
        <v>5548</v>
      </c>
    </row>
    <row r="590" spans="1:22">
      <c r="A590" s="5" t="s">
        <v>3991</v>
      </c>
      <c r="B590" s="32" t="s">
        <v>143</v>
      </c>
      <c r="C590" s="32" t="s">
        <v>3993</v>
      </c>
      <c r="D590" s="5" t="s">
        <v>4041</v>
      </c>
      <c r="E590" s="48">
        <v>2000</v>
      </c>
      <c r="G590" s="7" t="s">
        <v>3790</v>
      </c>
      <c r="H590" s="32" t="s">
        <v>3692</v>
      </c>
      <c r="J590" s="48">
        <v>2000</v>
      </c>
      <c r="K590" s="48">
        <v>0</v>
      </c>
      <c r="L590" s="7" t="s">
        <v>3790</v>
      </c>
      <c r="M590" s="7" t="s">
        <v>3790</v>
      </c>
      <c r="N590" s="7">
        <v>44607</v>
      </c>
      <c r="O590" s="7" t="s">
        <v>3790</v>
      </c>
      <c r="P590" s="48">
        <v>70</v>
      </c>
      <c r="Q590" s="48">
        <v>14</v>
      </c>
      <c r="R590" s="48">
        <v>14</v>
      </c>
      <c r="S590" s="48">
        <v>2000</v>
      </c>
      <c r="T590" s="5" t="s">
        <v>5548</v>
      </c>
    </row>
    <row r="591" spans="1:22">
      <c r="A591" s="5" t="s">
        <v>3991</v>
      </c>
      <c r="B591" s="32" t="s">
        <v>163</v>
      </c>
      <c r="C591" s="32" t="s">
        <v>3990</v>
      </c>
      <c r="D591" s="5" t="s">
        <v>4044</v>
      </c>
      <c r="E591" s="48">
        <v>0</v>
      </c>
      <c r="G591" s="7" t="s">
        <v>3790</v>
      </c>
      <c r="J591" s="48">
        <v>0</v>
      </c>
      <c r="K591" s="48">
        <v>0</v>
      </c>
      <c r="L591" s="7" t="s">
        <v>3790</v>
      </c>
      <c r="M591" s="7" t="s">
        <v>3790</v>
      </c>
      <c r="N591" s="7">
        <v>44734</v>
      </c>
      <c r="O591" s="7">
        <v>44804</v>
      </c>
      <c r="P591" s="48">
        <v>70</v>
      </c>
      <c r="Q591" s="48">
        <v>14</v>
      </c>
      <c r="R591" s="48">
        <v>14</v>
      </c>
      <c r="S591" s="48">
        <v>5000</v>
      </c>
      <c r="T591" s="5" t="s">
        <v>5549</v>
      </c>
      <c r="V591" s="32" t="s">
        <v>6429</v>
      </c>
    </row>
    <row r="592" spans="1:22">
      <c r="A592" s="5" t="s">
        <v>3991</v>
      </c>
      <c r="B592" s="32" t="s">
        <v>168</v>
      </c>
      <c r="C592" s="32" t="s">
        <v>3994</v>
      </c>
      <c r="D592" s="5" t="s">
        <v>5964</v>
      </c>
      <c r="E592" s="48">
        <v>1800</v>
      </c>
      <c r="G592" s="7" t="s">
        <v>3790</v>
      </c>
      <c r="H592" s="32" t="s">
        <v>3692</v>
      </c>
      <c r="J592" s="48">
        <v>1800</v>
      </c>
      <c r="K592" s="48">
        <v>0</v>
      </c>
      <c r="L592" s="7" t="s">
        <v>3790</v>
      </c>
      <c r="M592" s="7" t="s">
        <v>3790</v>
      </c>
      <c r="N592" s="7">
        <v>44833</v>
      </c>
      <c r="O592" s="7" t="s">
        <v>3790</v>
      </c>
      <c r="P592" s="48">
        <v>70</v>
      </c>
      <c r="Q592" s="48">
        <v>14</v>
      </c>
      <c r="R592" s="48">
        <v>14</v>
      </c>
      <c r="S592" s="48">
        <v>5000</v>
      </c>
      <c r="T592" s="5" t="s">
        <v>5548</v>
      </c>
      <c r="V592" s="32" t="s">
        <v>7674</v>
      </c>
    </row>
    <row r="593" spans="1:22">
      <c r="A593" s="5" t="s">
        <v>3991</v>
      </c>
      <c r="B593" s="32" t="s">
        <v>173</v>
      </c>
      <c r="C593" s="32" t="s">
        <v>3994</v>
      </c>
      <c r="D593" s="5" t="s">
        <v>4046</v>
      </c>
      <c r="E593" s="48">
        <v>2000</v>
      </c>
      <c r="G593" s="7" t="s">
        <v>3790</v>
      </c>
      <c r="H593" s="32" t="s">
        <v>3692</v>
      </c>
      <c r="J593" s="48">
        <v>2000</v>
      </c>
      <c r="K593" s="48">
        <v>0</v>
      </c>
      <c r="L593" s="7" t="s">
        <v>3790</v>
      </c>
      <c r="M593" s="7" t="s">
        <v>3790</v>
      </c>
      <c r="N593" s="7">
        <v>44676</v>
      </c>
      <c r="O593" s="7" t="s">
        <v>3790</v>
      </c>
      <c r="P593" s="48">
        <v>70</v>
      </c>
      <c r="Q593" s="48">
        <v>14</v>
      </c>
      <c r="R593" s="48">
        <v>14</v>
      </c>
      <c r="S593" s="48">
        <v>5000</v>
      </c>
      <c r="T593" s="5" t="s">
        <v>5548</v>
      </c>
    </row>
    <row r="594" spans="1:22">
      <c r="A594" s="5" t="s">
        <v>3991</v>
      </c>
      <c r="B594" s="32" t="s">
        <v>176</v>
      </c>
      <c r="C594" s="32" t="s">
        <v>3995</v>
      </c>
      <c r="D594" s="5" t="s">
        <v>4048</v>
      </c>
      <c r="E594" s="48">
        <v>4500</v>
      </c>
      <c r="G594" s="7" t="s">
        <v>3790</v>
      </c>
      <c r="H594" s="32" t="s">
        <v>3692</v>
      </c>
      <c r="J594" s="48">
        <v>4500</v>
      </c>
      <c r="K594" s="48">
        <v>0</v>
      </c>
      <c r="L594" s="7" t="s">
        <v>3790</v>
      </c>
      <c r="M594" s="7">
        <v>44923</v>
      </c>
      <c r="N594" s="7">
        <v>44379</v>
      </c>
      <c r="O594" s="7" t="s">
        <v>3790</v>
      </c>
      <c r="P594" s="48">
        <v>70</v>
      </c>
      <c r="Q594" s="48">
        <v>14</v>
      </c>
      <c r="R594" s="48">
        <v>14</v>
      </c>
      <c r="S594" s="48">
        <v>4000</v>
      </c>
      <c r="T594" s="5" t="s">
        <v>5548</v>
      </c>
      <c r="V594" s="32" t="s">
        <v>6334</v>
      </c>
    </row>
    <row r="595" spans="1:22">
      <c r="A595" s="5" t="s">
        <v>3991</v>
      </c>
      <c r="B595" s="32" t="s">
        <v>178</v>
      </c>
      <c r="C595" s="32" t="s">
        <v>3995</v>
      </c>
      <c r="D595" s="5" t="s">
        <v>4046</v>
      </c>
      <c r="E595" s="48">
        <v>0</v>
      </c>
      <c r="G595" s="7" t="s">
        <v>3790</v>
      </c>
      <c r="J595" s="48">
        <v>0</v>
      </c>
      <c r="K595" s="48">
        <v>0</v>
      </c>
      <c r="L595" s="7" t="s">
        <v>3790</v>
      </c>
      <c r="M595" s="7" t="s">
        <v>3790</v>
      </c>
      <c r="N595" s="7">
        <v>44676</v>
      </c>
      <c r="O595" s="7">
        <v>44746</v>
      </c>
      <c r="P595" s="48">
        <v>70</v>
      </c>
      <c r="Q595" s="48">
        <v>14</v>
      </c>
      <c r="R595" s="48">
        <v>14</v>
      </c>
      <c r="S595" s="48">
        <v>8000</v>
      </c>
      <c r="T595" s="5" t="s">
        <v>5549</v>
      </c>
      <c r="V595" s="32" t="s">
        <v>6430</v>
      </c>
    </row>
    <row r="596" spans="1:22">
      <c r="A596" s="5" t="s">
        <v>3991</v>
      </c>
      <c r="B596" s="32" t="s">
        <v>2304</v>
      </c>
      <c r="C596" s="32" t="s">
        <v>3992</v>
      </c>
      <c r="D596" s="5" t="s">
        <v>4044</v>
      </c>
      <c r="E596" s="48">
        <v>2000</v>
      </c>
      <c r="G596" s="7" t="s">
        <v>3790</v>
      </c>
      <c r="H596" s="32" t="s">
        <v>3692</v>
      </c>
      <c r="J596" s="48">
        <v>2000</v>
      </c>
      <c r="K596" s="48">
        <v>0</v>
      </c>
      <c r="L596" s="7" t="s">
        <v>3790</v>
      </c>
      <c r="M596" s="7" t="s">
        <v>3790</v>
      </c>
      <c r="N596" s="7">
        <v>44734</v>
      </c>
      <c r="O596" s="7" t="s">
        <v>3790</v>
      </c>
      <c r="P596" s="48">
        <v>70</v>
      </c>
      <c r="Q596" s="48">
        <v>14</v>
      </c>
      <c r="R596" s="48">
        <v>14</v>
      </c>
      <c r="S596" s="48">
        <v>5000</v>
      </c>
      <c r="T596" s="5" t="s">
        <v>5548</v>
      </c>
      <c r="V596" s="32" t="s">
        <v>6359</v>
      </c>
    </row>
    <row r="597" spans="1:22">
      <c r="A597" s="5" t="s">
        <v>3991</v>
      </c>
      <c r="B597" s="32" t="s">
        <v>2304</v>
      </c>
      <c r="C597" s="32" t="s">
        <v>3992</v>
      </c>
      <c r="D597" s="5" t="s">
        <v>5964</v>
      </c>
      <c r="E597" s="48">
        <v>0</v>
      </c>
      <c r="G597" s="7" t="s">
        <v>3790</v>
      </c>
      <c r="J597" s="48">
        <v>0</v>
      </c>
      <c r="K597" s="48">
        <v>0</v>
      </c>
      <c r="L597" s="7" t="s">
        <v>3790</v>
      </c>
      <c r="M597" s="7" t="s">
        <v>3790</v>
      </c>
      <c r="N597" s="7">
        <v>44833</v>
      </c>
      <c r="O597" s="7">
        <v>44903</v>
      </c>
      <c r="P597" s="48">
        <v>70</v>
      </c>
      <c r="Q597" s="48">
        <v>14</v>
      </c>
      <c r="R597" s="48">
        <v>14</v>
      </c>
      <c r="S597" s="48">
        <v>2000</v>
      </c>
      <c r="T597" s="5" t="s">
        <v>5549</v>
      </c>
      <c r="V597" s="32" t="s">
        <v>6360</v>
      </c>
    </row>
    <row r="598" spans="1:22">
      <c r="A598" s="5" t="s">
        <v>3991</v>
      </c>
      <c r="B598" s="32" t="s">
        <v>2305</v>
      </c>
      <c r="C598" s="32" t="s">
        <v>3992</v>
      </c>
      <c r="D598" s="5" t="s">
        <v>5964</v>
      </c>
      <c r="E598" s="48">
        <v>0</v>
      </c>
      <c r="G598" s="7" t="s">
        <v>3790</v>
      </c>
      <c r="J598" s="48">
        <v>0</v>
      </c>
      <c r="K598" s="48">
        <v>0</v>
      </c>
      <c r="L598" s="7" t="s">
        <v>3790</v>
      </c>
      <c r="M598" s="7" t="s">
        <v>3790</v>
      </c>
      <c r="N598" s="7">
        <v>44833</v>
      </c>
      <c r="O598" s="7">
        <v>44903</v>
      </c>
      <c r="P598" s="48">
        <v>70</v>
      </c>
      <c r="Q598" s="48">
        <v>14</v>
      </c>
      <c r="R598" s="48">
        <v>14</v>
      </c>
      <c r="S598" s="48">
        <v>3000</v>
      </c>
      <c r="T598" s="5" t="s">
        <v>5549</v>
      </c>
      <c r="V598" s="32" t="s">
        <v>6360</v>
      </c>
    </row>
    <row r="599" spans="1:22">
      <c r="B599" s="32" t="s">
        <v>3513</v>
      </c>
      <c r="C599" s="32" t="s">
        <v>3515</v>
      </c>
      <c r="D599" s="5" t="s">
        <v>3514</v>
      </c>
      <c r="E599" s="48">
        <v>0</v>
      </c>
      <c r="F599" s="32" t="s">
        <v>3517</v>
      </c>
      <c r="G599" s="7" t="e">
        <v>#VALUE!</v>
      </c>
      <c r="H599" s="32" t="s">
        <v>3519</v>
      </c>
      <c r="I599" s="48" t="s">
        <v>3704</v>
      </c>
      <c r="J599" s="48">
        <v>0</v>
      </c>
      <c r="K599" s="48" t="e">
        <v>#VALUE!</v>
      </c>
      <c r="L599" s="7" t="e">
        <v>#VALUE!</v>
      </c>
      <c r="M599" s="7" t="e">
        <v>#VALUE!</v>
      </c>
      <c r="N599" s="7" t="s">
        <v>4068</v>
      </c>
      <c r="O599" s="7" t="e">
        <v>#VALUE!</v>
      </c>
      <c r="P599" s="48" t="e">
        <v>#N/A</v>
      </c>
      <c r="Q599" s="48" t="e">
        <v>#N/A</v>
      </c>
      <c r="R599" s="48" t="e">
        <v>#N/A</v>
      </c>
      <c r="S599" s="48" t="e">
        <v>#VALUE!</v>
      </c>
      <c r="T599" s="5" t="s">
        <v>7610</v>
      </c>
      <c r="V599" s="32" t="s">
        <v>3523</v>
      </c>
    </row>
  </sheetData>
  <sortState xmlns:xlrd2="http://schemas.microsoft.com/office/spreadsheetml/2017/richdata2" ref="A2:V599">
    <sortCondition ref="A2:A2680"/>
    <sortCondition ref="B2:B2680"/>
    <sortCondition ref="G2:G2680"/>
    <sortCondition ref="H2:H2680"/>
  </sortState>
  <conditionalFormatting sqref="A1:V1048576">
    <cfRule type="expression" dxfId="12" priority="1">
      <formula>$A1&lt;&gt;$A2</formula>
    </cfRule>
    <cfRule type="expression" dxfId="11" priority="2">
      <formula>$B1&lt;&gt;$B2</formula>
    </cfRule>
  </conditionalFormatting>
  <pageMargins left="0.25" right="0.25" top="0.75" bottom="0.75" header="0.3" footer="0.3"/>
  <pageSetup paperSize="3" scale="55" fitToHeight="0" orientation="landscape" r:id="rId1"/>
  <headerFooter>
    <oddHeader>&amp;CSupplier Inventory Reports - Adjusted</oddHeader>
    <oddFooter>&amp;L&amp;Z&amp;F&amp;RPage &amp;P of &amp;N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16A10-D2B2-462D-8025-C23DEA310BEB}">
  <sheetPr codeName="Sheet14">
    <tabColor theme="1" tint="0.249977111117893"/>
  </sheetPr>
  <dimension ref="B2"/>
  <sheetViews>
    <sheetView showGridLines="0" workbookViewId="0"/>
  </sheetViews>
  <sheetFormatPr defaultRowHeight="15"/>
  <sheetData>
    <row r="2" spans="2:2" ht="46.5">
      <c r="B2" s="186" t="s">
        <v>6101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81574-6A00-4E09-874F-7A373498B179}">
  <sheetPr codeName="Sheet12">
    <tabColor theme="1" tint="0.14999847407452621"/>
  </sheetPr>
  <dimension ref="A1:C24"/>
  <sheetViews>
    <sheetView workbookViewId="0">
      <selection sqref="A1:A1048576"/>
    </sheetView>
  </sheetViews>
  <sheetFormatPr defaultRowHeight="15"/>
  <cols>
    <col min="1" max="1" width="25.5703125" customWidth="1"/>
  </cols>
  <sheetData>
    <row r="1" spans="1:3">
      <c r="A1" t="s">
        <v>1</v>
      </c>
      <c r="B1" t="s">
        <v>4632</v>
      </c>
    </row>
    <row r="2" spans="1:3">
      <c r="A2" t="s">
        <v>64</v>
      </c>
      <c r="B2">
        <v>1000</v>
      </c>
      <c r="C2" t="str">
        <f t="shared" ref="C2:C6" si="0">IF(B2="","delete","")</f>
        <v/>
      </c>
    </row>
    <row r="3" spans="1:3">
      <c r="A3" t="s">
        <v>69</v>
      </c>
      <c r="B3">
        <v>2000</v>
      </c>
      <c r="C3" t="str">
        <f t="shared" si="0"/>
        <v/>
      </c>
    </row>
    <row r="4" spans="1:3">
      <c r="A4" t="s">
        <v>74</v>
      </c>
      <c r="B4">
        <v>1000</v>
      </c>
      <c r="C4" t="str">
        <f t="shared" si="0"/>
        <v/>
      </c>
    </row>
    <row r="5" spans="1:3">
      <c r="A5" t="s">
        <v>76</v>
      </c>
      <c r="B5">
        <v>2000</v>
      </c>
      <c r="C5" t="str">
        <f t="shared" si="0"/>
        <v/>
      </c>
    </row>
    <row r="6" spans="1:3">
      <c r="A6" t="s">
        <v>80</v>
      </c>
      <c r="B6">
        <v>1000</v>
      </c>
      <c r="C6" t="str">
        <f t="shared" si="0"/>
        <v/>
      </c>
    </row>
    <row r="7" spans="1:3">
      <c r="A7" t="s">
        <v>352</v>
      </c>
      <c r="B7">
        <v>500</v>
      </c>
      <c r="C7" t="str">
        <f t="shared" ref="C7" si="1">IF(B7="","delete","")</f>
        <v/>
      </c>
    </row>
    <row r="8" spans="1:3">
      <c r="A8" t="s">
        <v>2051</v>
      </c>
      <c r="B8">
        <v>500</v>
      </c>
      <c r="C8" t="str">
        <f t="shared" ref="C8" si="2">IF(B8="","delete","")</f>
        <v/>
      </c>
    </row>
    <row r="9" spans="1:3">
      <c r="A9" t="s">
        <v>795</v>
      </c>
      <c r="B9">
        <v>12000</v>
      </c>
      <c r="C9" t="str">
        <f t="shared" ref="C9:C12" si="3">IF(B9="","delete","")</f>
        <v/>
      </c>
    </row>
    <row r="10" spans="1:3">
      <c r="A10" t="s">
        <v>796</v>
      </c>
      <c r="B10">
        <v>1000</v>
      </c>
      <c r="C10" t="str">
        <f t="shared" si="3"/>
        <v/>
      </c>
    </row>
    <row r="11" spans="1:3">
      <c r="A11" t="s">
        <v>2193</v>
      </c>
      <c r="B11">
        <v>500</v>
      </c>
      <c r="C11" t="str">
        <f t="shared" si="3"/>
        <v/>
      </c>
    </row>
    <row r="12" spans="1:3">
      <c r="A12" t="s">
        <v>2196</v>
      </c>
      <c r="B12">
        <v>1000</v>
      </c>
      <c r="C12" t="str">
        <f t="shared" si="3"/>
        <v/>
      </c>
    </row>
    <row r="13" spans="1:3">
      <c r="A13" t="s">
        <v>2527</v>
      </c>
      <c r="B13">
        <v>500</v>
      </c>
      <c r="C13" t="str">
        <f t="shared" ref="C13" si="4">IF(B13="","delete","")</f>
        <v/>
      </c>
    </row>
    <row r="14" spans="1:3">
      <c r="A14" t="s">
        <v>1433</v>
      </c>
      <c r="B14">
        <v>500</v>
      </c>
      <c r="C14" t="str">
        <f t="shared" ref="C14:C15" si="5">IF(B14="","delete","")</f>
        <v/>
      </c>
    </row>
    <row r="15" spans="1:3">
      <c r="A15" t="s">
        <v>2657</v>
      </c>
      <c r="B15">
        <v>500</v>
      </c>
      <c r="C15" t="str">
        <f t="shared" si="5"/>
        <v/>
      </c>
    </row>
    <row r="16" spans="1:3">
      <c r="A16" t="s">
        <v>2726</v>
      </c>
      <c r="B16">
        <v>500</v>
      </c>
      <c r="C16" t="str">
        <f t="shared" ref="C16:C17" si="6">IF(B16="","delete","")</f>
        <v/>
      </c>
    </row>
    <row r="17" spans="1:3">
      <c r="A17" t="s">
        <v>1500</v>
      </c>
      <c r="B17">
        <v>500</v>
      </c>
      <c r="C17" t="str">
        <f t="shared" si="6"/>
        <v/>
      </c>
    </row>
    <row r="18" spans="1:3">
      <c r="A18" t="s">
        <v>2867</v>
      </c>
      <c r="B18">
        <v>500</v>
      </c>
      <c r="C18" t="str">
        <f t="shared" ref="C18" si="7">IF(B18="","delete","")</f>
        <v/>
      </c>
    </row>
    <row r="19" spans="1:3">
      <c r="A19" t="s">
        <v>2963</v>
      </c>
      <c r="B19">
        <v>500</v>
      </c>
      <c r="C19" t="str">
        <f t="shared" ref="C19:C21" si="8">IF(B19="","delete","")</f>
        <v/>
      </c>
    </row>
    <row r="20" spans="1:3">
      <c r="A20" t="s">
        <v>2970</v>
      </c>
      <c r="B20">
        <v>466</v>
      </c>
      <c r="C20" t="str">
        <f t="shared" si="8"/>
        <v/>
      </c>
    </row>
    <row r="21" spans="1:3">
      <c r="A21" t="s">
        <v>1721</v>
      </c>
      <c r="B21">
        <v>500</v>
      </c>
      <c r="C21" t="str">
        <f t="shared" si="8"/>
        <v/>
      </c>
    </row>
    <row r="22" spans="1:3">
      <c r="A22" t="s">
        <v>3052</v>
      </c>
      <c r="B22">
        <v>500</v>
      </c>
      <c r="C22" t="str">
        <f t="shared" ref="C22" si="9">IF(B22="","delete","")</f>
        <v/>
      </c>
    </row>
    <row r="23" spans="1:3">
      <c r="A23" t="s">
        <v>1869</v>
      </c>
      <c r="B23">
        <v>500</v>
      </c>
      <c r="C23" t="str">
        <f t="shared" ref="C23" si="10">IF(B23="","delete","")</f>
        <v/>
      </c>
    </row>
    <row r="24" spans="1:3">
      <c r="A24" t="s">
        <v>2006</v>
      </c>
      <c r="B24">
        <v>500</v>
      </c>
      <c r="C24" t="str">
        <f t="shared" ref="C24" si="11">IF(B24="","delete","")</f>
        <v/>
      </c>
    </row>
  </sheetData>
  <sortState xmlns:xlrd2="http://schemas.microsoft.com/office/spreadsheetml/2017/richdata2" ref="A1:C129">
    <sortCondition ref="C1:C52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B390A-2208-4A08-ABE8-20BFA116751D}">
  <sheetPr codeName="Sheet13"/>
  <dimension ref="A1:N2000"/>
  <sheetViews>
    <sheetView workbookViewId="0">
      <selection activeCell="J2" sqref="J2"/>
    </sheetView>
  </sheetViews>
  <sheetFormatPr defaultRowHeight="15"/>
  <cols>
    <col min="1" max="1" width="18.42578125" style="26" bestFit="1" customWidth="1"/>
    <col min="2" max="2" width="12" style="39" bestFit="1" customWidth="1"/>
    <col min="3" max="3" width="6.28515625" style="39" bestFit="1" customWidth="1"/>
    <col min="4" max="4" width="6" style="39" bestFit="1" customWidth="1"/>
    <col min="5" max="5" width="81.85546875" style="26" bestFit="1" customWidth="1"/>
    <col min="6" max="14" width="9.140625" style="39"/>
    <col min="15" max="16384" width="9.140625" style="26"/>
  </cols>
  <sheetData>
    <row r="1" spans="1:14" s="1" customFormat="1" ht="45">
      <c r="A1" s="1" t="s">
        <v>1</v>
      </c>
      <c r="B1" s="1" t="s">
        <v>5420</v>
      </c>
      <c r="C1" s="1" t="s">
        <v>5415</v>
      </c>
      <c r="D1" s="1" t="s">
        <v>5480</v>
      </c>
      <c r="E1" s="1" t="s">
        <v>4638</v>
      </c>
      <c r="F1" s="1" t="s">
        <v>5477</v>
      </c>
      <c r="G1" s="1" t="s">
        <v>5482</v>
      </c>
      <c r="H1" s="1" t="s">
        <v>5476</v>
      </c>
      <c r="I1" s="1" t="s">
        <v>5478</v>
      </c>
      <c r="J1" s="1" t="s">
        <v>5479</v>
      </c>
      <c r="M1" s="1" t="s">
        <v>5415</v>
      </c>
      <c r="N1" s="1" t="s">
        <v>5481</v>
      </c>
    </row>
    <row r="2" spans="1:14">
      <c r="A2" s="26" t="s">
        <v>56</v>
      </c>
      <c r="E2" s="26" t="s">
        <v>5581</v>
      </c>
      <c r="F2" s="39" t="str">
        <f>IF(C2="","",IF(C2&lt;99,C2,""))</f>
        <v/>
      </c>
      <c r="G2" s="39" t="str">
        <f>IF(OR(F2&lt;&gt;"",D2&lt;&gt;""),C2,"")</f>
        <v/>
      </c>
      <c r="H2" s="39" t="str">
        <f>IF(C2="","",C2)</f>
        <v/>
      </c>
      <c r="I2" s="39" t="str">
        <f>IF(AND(C2&lt;&gt;"",D2&lt;&gt;""),C2,"")</f>
        <v/>
      </c>
      <c r="J2" s="39" t="str">
        <f>""</f>
        <v/>
      </c>
    </row>
    <row r="3" spans="1:14">
      <c r="A3" s="26" t="s">
        <v>60</v>
      </c>
      <c r="E3" s="26" t="s">
        <v>5581</v>
      </c>
      <c r="F3" s="39" t="str">
        <f t="shared" ref="F3:F66" si="0">IF(C3="","",IF(C3&lt;99,C3,""))</f>
        <v/>
      </c>
      <c r="G3" s="39" t="str">
        <f t="shared" ref="G3:G66" si="1">IF(OR(F3&lt;&gt;"",D3&lt;&gt;""),C3,"")</f>
        <v/>
      </c>
      <c r="H3" s="39" t="str">
        <f t="shared" ref="H3:H66" si="2">IF(C3="","",C3)</f>
        <v/>
      </c>
      <c r="I3" s="39" t="str">
        <f t="shared" ref="I3:I66" si="3">IF(AND(C3&lt;&gt;"",D3&lt;&gt;""),C3,"")</f>
        <v/>
      </c>
      <c r="J3" s="39" t="str">
        <f>""</f>
        <v/>
      </c>
    </row>
    <row r="4" spans="1:14">
      <c r="A4" s="26" t="s">
        <v>61</v>
      </c>
      <c r="E4" s="26" t="s">
        <v>5581</v>
      </c>
      <c r="F4" s="39" t="str">
        <f t="shared" si="0"/>
        <v/>
      </c>
      <c r="G4" s="39" t="str">
        <f t="shared" si="1"/>
        <v/>
      </c>
      <c r="H4" s="39" t="str">
        <f t="shared" si="2"/>
        <v/>
      </c>
      <c r="I4" s="39" t="str">
        <f t="shared" si="3"/>
        <v/>
      </c>
      <c r="J4" s="39" t="str">
        <f>""</f>
        <v/>
      </c>
    </row>
    <row r="5" spans="1:14">
      <c r="A5" s="26" t="s">
        <v>64</v>
      </c>
      <c r="C5" s="39">
        <v>6000</v>
      </c>
      <c r="D5" s="39" t="s">
        <v>3891</v>
      </c>
      <c r="E5" s="26" t="s">
        <v>5581</v>
      </c>
      <c r="F5" s="39" t="str">
        <f t="shared" si="0"/>
        <v/>
      </c>
      <c r="G5" s="39">
        <f t="shared" si="1"/>
        <v>6000</v>
      </c>
      <c r="H5" s="39">
        <f t="shared" si="2"/>
        <v>6000</v>
      </c>
      <c r="I5" s="39">
        <f t="shared" si="3"/>
        <v>6000</v>
      </c>
      <c r="J5" s="39" t="str">
        <f>""</f>
        <v/>
      </c>
    </row>
    <row r="6" spans="1:14">
      <c r="A6" s="26" t="s">
        <v>65</v>
      </c>
      <c r="E6" s="26" t="s">
        <v>5581</v>
      </c>
      <c r="F6" s="39" t="str">
        <f t="shared" si="0"/>
        <v/>
      </c>
      <c r="G6" s="39" t="str">
        <f t="shared" si="1"/>
        <v/>
      </c>
      <c r="H6" s="39" t="str">
        <f t="shared" si="2"/>
        <v/>
      </c>
      <c r="I6" s="39" t="str">
        <f t="shared" si="3"/>
        <v/>
      </c>
      <c r="J6" s="39" t="str">
        <f>""</f>
        <v/>
      </c>
    </row>
    <row r="7" spans="1:14">
      <c r="A7" s="26" t="s">
        <v>66</v>
      </c>
      <c r="E7" s="26" t="s">
        <v>5581</v>
      </c>
      <c r="F7" s="39" t="str">
        <f t="shared" si="0"/>
        <v/>
      </c>
      <c r="G7" s="39" t="str">
        <f t="shared" si="1"/>
        <v/>
      </c>
      <c r="H7" s="39" t="str">
        <f t="shared" si="2"/>
        <v/>
      </c>
      <c r="I7" s="39" t="str">
        <f t="shared" si="3"/>
        <v/>
      </c>
      <c r="J7" s="39" t="str">
        <f>""</f>
        <v/>
      </c>
      <c r="L7" s="40"/>
    </row>
    <row r="8" spans="1:14">
      <c r="A8" s="26" t="s">
        <v>69</v>
      </c>
      <c r="E8" s="26" t="s">
        <v>5581</v>
      </c>
      <c r="F8" s="39" t="str">
        <f t="shared" si="0"/>
        <v/>
      </c>
      <c r="G8" s="39" t="str">
        <f t="shared" si="1"/>
        <v/>
      </c>
      <c r="H8" s="39" t="str">
        <f t="shared" si="2"/>
        <v/>
      </c>
      <c r="I8" s="39" t="str">
        <f t="shared" si="3"/>
        <v/>
      </c>
      <c r="J8" s="39" t="str">
        <f>""</f>
        <v/>
      </c>
      <c r="M8" s="40" t="s">
        <v>5483</v>
      </c>
    </row>
    <row r="9" spans="1:14">
      <c r="A9" s="26" t="s">
        <v>70</v>
      </c>
      <c r="E9" s="26" t="s">
        <v>5581</v>
      </c>
      <c r="F9" s="39" t="str">
        <f t="shared" si="0"/>
        <v/>
      </c>
      <c r="G9" s="39" t="str">
        <f t="shared" si="1"/>
        <v/>
      </c>
      <c r="H9" s="39" t="str">
        <f t="shared" si="2"/>
        <v/>
      </c>
      <c r="I9" s="39" t="str">
        <f t="shared" si="3"/>
        <v/>
      </c>
      <c r="J9" s="39" t="str">
        <f>""</f>
        <v/>
      </c>
      <c r="M9" s="40" t="s">
        <v>5485</v>
      </c>
    </row>
    <row r="10" spans="1:14">
      <c r="A10" s="26" t="s">
        <v>71</v>
      </c>
      <c r="E10" s="26" t="s">
        <v>5581</v>
      </c>
      <c r="F10" s="39" t="str">
        <f t="shared" si="0"/>
        <v/>
      </c>
      <c r="G10" s="39" t="str">
        <f t="shared" si="1"/>
        <v/>
      </c>
      <c r="H10" s="39" t="str">
        <f t="shared" si="2"/>
        <v/>
      </c>
      <c r="I10" s="39" t="str">
        <f t="shared" si="3"/>
        <v/>
      </c>
      <c r="J10" s="39" t="str">
        <f>""</f>
        <v/>
      </c>
      <c r="M10" s="40" t="s">
        <v>5486</v>
      </c>
    </row>
    <row r="11" spans="1:14">
      <c r="A11" s="26" t="s">
        <v>74</v>
      </c>
      <c r="E11" s="26" t="s">
        <v>5581</v>
      </c>
      <c r="F11" s="39" t="str">
        <f t="shared" si="0"/>
        <v/>
      </c>
      <c r="G11" s="39" t="str">
        <f t="shared" si="1"/>
        <v/>
      </c>
      <c r="H11" s="39" t="str">
        <f t="shared" si="2"/>
        <v/>
      </c>
      <c r="I11" s="39" t="str">
        <f t="shared" si="3"/>
        <v/>
      </c>
      <c r="J11" s="39" t="str">
        <f>""</f>
        <v/>
      </c>
      <c r="M11" s="40" t="s">
        <v>5484</v>
      </c>
    </row>
    <row r="12" spans="1:14">
      <c r="A12" s="26" t="s">
        <v>75</v>
      </c>
      <c r="E12" s="26" t="s">
        <v>5581</v>
      </c>
      <c r="F12" s="39" t="str">
        <f t="shared" si="0"/>
        <v/>
      </c>
      <c r="G12" s="39" t="str">
        <f t="shared" si="1"/>
        <v/>
      </c>
      <c r="H12" s="39" t="str">
        <f t="shared" si="2"/>
        <v/>
      </c>
      <c r="I12" s="39" t="str">
        <f t="shared" si="3"/>
        <v/>
      </c>
      <c r="J12" s="39" t="str">
        <f>""</f>
        <v/>
      </c>
    </row>
    <row r="13" spans="1:14">
      <c r="A13" s="26" t="s">
        <v>76</v>
      </c>
      <c r="E13" s="26" t="s">
        <v>5581</v>
      </c>
      <c r="F13" s="39" t="str">
        <f t="shared" si="0"/>
        <v/>
      </c>
      <c r="G13" s="39" t="str">
        <f t="shared" si="1"/>
        <v/>
      </c>
      <c r="H13" s="39" t="str">
        <f t="shared" si="2"/>
        <v/>
      </c>
      <c r="I13" s="39" t="str">
        <f t="shared" si="3"/>
        <v/>
      </c>
      <c r="J13" s="39" t="str">
        <f>""</f>
        <v/>
      </c>
    </row>
    <row r="14" spans="1:14">
      <c r="A14" s="26" t="s">
        <v>79</v>
      </c>
      <c r="E14" s="26" t="s">
        <v>5581</v>
      </c>
      <c r="F14" s="39" t="str">
        <f t="shared" si="0"/>
        <v/>
      </c>
      <c r="G14" s="39" t="str">
        <f t="shared" si="1"/>
        <v/>
      </c>
      <c r="H14" s="39" t="str">
        <f t="shared" si="2"/>
        <v/>
      </c>
      <c r="I14" s="39" t="str">
        <f t="shared" si="3"/>
        <v/>
      </c>
      <c r="J14" s="39" t="str">
        <f>""</f>
        <v/>
      </c>
    </row>
    <row r="15" spans="1:14">
      <c r="A15" s="26" t="s">
        <v>80</v>
      </c>
      <c r="E15" s="26" t="s">
        <v>5581</v>
      </c>
      <c r="F15" s="39" t="str">
        <f t="shared" si="0"/>
        <v/>
      </c>
      <c r="G15" s="39" t="str">
        <f t="shared" si="1"/>
        <v/>
      </c>
      <c r="H15" s="39" t="str">
        <f t="shared" si="2"/>
        <v/>
      </c>
      <c r="I15" s="39" t="str">
        <f t="shared" si="3"/>
        <v/>
      </c>
      <c r="J15" s="39" t="str">
        <f>""</f>
        <v/>
      </c>
    </row>
    <row r="16" spans="1:14">
      <c r="A16" s="26" t="s">
        <v>83</v>
      </c>
      <c r="E16" s="26" t="s">
        <v>5581</v>
      </c>
      <c r="F16" s="39" t="str">
        <f t="shared" si="0"/>
        <v/>
      </c>
      <c r="G16" s="39" t="str">
        <f t="shared" si="1"/>
        <v/>
      </c>
      <c r="H16" s="39" t="str">
        <f t="shared" si="2"/>
        <v/>
      </c>
      <c r="I16" s="39" t="str">
        <f t="shared" si="3"/>
        <v/>
      </c>
      <c r="J16" s="39" t="str">
        <f>""</f>
        <v/>
      </c>
    </row>
    <row r="17" spans="1:10">
      <c r="A17" s="26" t="s">
        <v>85</v>
      </c>
      <c r="E17" s="26" t="s">
        <v>5581</v>
      </c>
      <c r="F17" s="39" t="str">
        <f t="shared" si="0"/>
        <v/>
      </c>
      <c r="G17" s="39" t="str">
        <f t="shared" si="1"/>
        <v/>
      </c>
      <c r="H17" s="39" t="str">
        <f t="shared" si="2"/>
        <v/>
      </c>
      <c r="I17" s="39" t="str">
        <f t="shared" si="3"/>
        <v/>
      </c>
      <c r="J17" s="39" t="str">
        <f>""</f>
        <v/>
      </c>
    </row>
    <row r="18" spans="1:10">
      <c r="A18" s="26" t="s">
        <v>87</v>
      </c>
      <c r="E18" s="26" t="s">
        <v>5581</v>
      </c>
      <c r="F18" s="39" t="str">
        <f t="shared" si="0"/>
        <v/>
      </c>
      <c r="G18" s="39" t="str">
        <f t="shared" si="1"/>
        <v/>
      </c>
      <c r="H18" s="39" t="str">
        <f t="shared" si="2"/>
        <v/>
      </c>
      <c r="I18" s="39" t="str">
        <f t="shared" si="3"/>
        <v/>
      </c>
      <c r="J18" s="39" t="str">
        <f>""</f>
        <v/>
      </c>
    </row>
    <row r="19" spans="1:10">
      <c r="A19" s="26" t="s">
        <v>88</v>
      </c>
      <c r="E19" s="26" t="s">
        <v>5581</v>
      </c>
      <c r="F19" s="39" t="str">
        <f t="shared" si="0"/>
        <v/>
      </c>
      <c r="G19" s="39" t="str">
        <f t="shared" si="1"/>
        <v/>
      </c>
      <c r="H19" s="39" t="str">
        <f t="shared" si="2"/>
        <v/>
      </c>
      <c r="I19" s="39" t="str">
        <f t="shared" si="3"/>
        <v/>
      </c>
      <c r="J19" s="39" t="str">
        <f>""</f>
        <v/>
      </c>
    </row>
    <row r="20" spans="1:10">
      <c r="A20" s="26" t="s">
        <v>91</v>
      </c>
      <c r="E20" s="26" t="s">
        <v>5581</v>
      </c>
      <c r="F20" s="39" t="str">
        <f t="shared" si="0"/>
        <v/>
      </c>
      <c r="G20" s="39" t="str">
        <f t="shared" si="1"/>
        <v/>
      </c>
      <c r="H20" s="39" t="str">
        <f t="shared" si="2"/>
        <v/>
      </c>
      <c r="I20" s="39" t="str">
        <f t="shared" si="3"/>
        <v/>
      </c>
      <c r="J20" s="39" t="str">
        <f>""</f>
        <v/>
      </c>
    </row>
    <row r="21" spans="1:10">
      <c r="A21" s="26" t="s">
        <v>92</v>
      </c>
      <c r="E21" s="26" t="s">
        <v>5581</v>
      </c>
      <c r="F21" s="39" t="str">
        <f t="shared" si="0"/>
        <v/>
      </c>
      <c r="G21" s="39" t="str">
        <f t="shared" si="1"/>
        <v/>
      </c>
      <c r="H21" s="39" t="str">
        <f t="shared" si="2"/>
        <v/>
      </c>
      <c r="I21" s="39" t="str">
        <f t="shared" si="3"/>
        <v/>
      </c>
      <c r="J21" s="39" t="str">
        <f>""</f>
        <v/>
      </c>
    </row>
    <row r="22" spans="1:10">
      <c r="A22" s="26" t="s">
        <v>94</v>
      </c>
      <c r="E22" s="26" t="s">
        <v>5581</v>
      </c>
      <c r="F22" s="39" t="str">
        <f t="shared" si="0"/>
        <v/>
      </c>
      <c r="G22" s="39" t="str">
        <f t="shared" si="1"/>
        <v/>
      </c>
      <c r="H22" s="39" t="str">
        <f t="shared" si="2"/>
        <v/>
      </c>
      <c r="I22" s="39" t="str">
        <f t="shared" si="3"/>
        <v/>
      </c>
      <c r="J22" s="39" t="str">
        <f>""</f>
        <v/>
      </c>
    </row>
    <row r="23" spans="1:10">
      <c r="A23" s="26" t="s">
        <v>95</v>
      </c>
      <c r="E23" s="26" t="s">
        <v>5581</v>
      </c>
      <c r="F23" s="39" t="str">
        <f t="shared" si="0"/>
        <v/>
      </c>
      <c r="G23" s="39" t="str">
        <f t="shared" si="1"/>
        <v/>
      </c>
      <c r="H23" s="39" t="str">
        <f t="shared" si="2"/>
        <v/>
      </c>
      <c r="I23" s="39" t="str">
        <f t="shared" si="3"/>
        <v/>
      </c>
      <c r="J23" s="39" t="str">
        <f>""</f>
        <v/>
      </c>
    </row>
    <row r="24" spans="1:10">
      <c r="A24" s="26" t="s">
        <v>96</v>
      </c>
      <c r="E24" s="26" t="s">
        <v>5581</v>
      </c>
      <c r="F24" s="39" t="str">
        <f t="shared" si="0"/>
        <v/>
      </c>
      <c r="G24" s="39" t="str">
        <f t="shared" si="1"/>
        <v/>
      </c>
      <c r="H24" s="39" t="str">
        <f t="shared" si="2"/>
        <v/>
      </c>
      <c r="I24" s="39" t="str">
        <f t="shared" si="3"/>
        <v/>
      </c>
      <c r="J24" s="39" t="str">
        <f>""</f>
        <v/>
      </c>
    </row>
    <row r="25" spans="1:10">
      <c r="A25" s="26" t="s">
        <v>98</v>
      </c>
      <c r="E25" s="26" t="s">
        <v>5581</v>
      </c>
      <c r="F25" s="39" t="str">
        <f t="shared" si="0"/>
        <v/>
      </c>
      <c r="G25" s="39" t="str">
        <f t="shared" si="1"/>
        <v/>
      </c>
      <c r="H25" s="39" t="str">
        <f t="shared" si="2"/>
        <v/>
      </c>
      <c r="I25" s="39" t="str">
        <f t="shared" si="3"/>
        <v/>
      </c>
      <c r="J25" s="39" t="str">
        <f>""</f>
        <v/>
      </c>
    </row>
    <row r="26" spans="1:10">
      <c r="A26" s="26" t="s">
        <v>99</v>
      </c>
      <c r="E26" s="26" t="s">
        <v>5581</v>
      </c>
      <c r="F26" s="39" t="str">
        <f t="shared" si="0"/>
        <v/>
      </c>
      <c r="G26" s="39" t="str">
        <f t="shared" si="1"/>
        <v/>
      </c>
      <c r="H26" s="39" t="str">
        <f t="shared" si="2"/>
        <v/>
      </c>
      <c r="I26" s="39" t="str">
        <f t="shared" si="3"/>
        <v/>
      </c>
      <c r="J26" s="39" t="str">
        <f>""</f>
        <v/>
      </c>
    </row>
    <row r="27" spans="1:10">
      <c r="A27" s="26" t="s">
        <v>102</v>
      </c>
      <c r="E27" s="26" t="s">
        <v>5581</v>
      </c>
      <c r="F27" s="39" t="str">
        <f t="shared" si="0"/>
        <v/>
      </c>
      <c r="G27" s="39" t="str">
        <f t="shared" si="1"/>
        <v/>
      </c>
      <c r="H27" s="39" t="str">
        <f t="shared" si="2"/>
        <v/>
      </c>
      <c r="I27" s="39" t="str">
        <f t="shared" si="3"/>
        <v/>
      </c>
      <c r="J27" s="39" t="str">
        <f>""</f>
        <v/>
      </c>
    </row>
    <row r="28" spans="1:10">
      <c r="A28" s="26" t="s">
        <v>103</v>
      </c>
      <c r="E28" s="26" t="s">
        <v>5581</v>
      </c>
      <c r="F28" s="39" t="str">
        <f t="shared" si="0"/>
        <v/>
      </c>
      <c r="G28" s="39" t="str">
        <f t="shared" si="1"/>
        <v/>
      </c>
      <c r="H28" s="39" t="str">
        <f t="shared" si="2"/>
        <v/>
      </c>
      <c r="I28" s="39" t="str">
        <f t="shared" si="3"/>
        <v/>
      </c>
      <c r="J28" s="39" t="str">
        <f>""</f>
        <v/>
      </c>
    </row>
    <row r="29" spans="1:10">
      <c r="A29" s="26" t="s">
        <v>106</v>
      </c>
      <c r="E29" s="26" t="s">
        <v>5581</v>
      </c>
      <c r="F29" s="39" t="str">
        <f t="shared" si="0"/>
        <v/>
      </c>
      <c r="G29" s="39" t="str">
        <f t="shared" si="1"/>
        <v/>
      </c>
      <c r="H29" s="39" t="str">
        <f t="shared" si="2"/>
        <v/>
      </c>
      <c r="I29" s="39" t="str">
        <f t="shared" si="3"/>
        <v/>
      </c>
      <c r="J29" s="39" t="str">
        <f>""</f>
        <v/>
      </c>
    </row>
    <row r="30" spans="1:10">
      <c r="A30" s="26" t="s">
        <v>107</v>
      </c>
      <c r="E30" s="26" t="s">
        <v>5581</v>
      </c>
      <c r="F30" s="39" t="str">
        <f t="shared" si="0"/>
        <v/>
      </c>
      <c r="G30" s="39" t="str">
        <f t="shared" si="1"/>
        <v/>
      </c>
      <c r="H30" s="39" t="str">
        <f t="shared" si="2"/>
        <v/>
      </c>
      <c r="I30" s="39" t="str">
        <f t="shared" si="3"/>
        <v/>
      </c>
      <c r="J30" s="39" t="str">
        <f>""</f>
        <v/>
      </c>
    </row>
    <row r="31" spans="1:10">
      <c r="A31" s="26" t="s">
        <v>108</v>
      </c>
      <c r="E31" s="26" t="s">
        <v>5581</v>
      </c>
      <c r="F31" s="39" t="str">
        <f t="shared" si="0"/>
        <v/>
      </c>
      <c r="G31" s="39" t="str">
        <f t="shared" si="1"/>
        <v/>
      </c>
      <c r="H31" s="39" t="str">
        <f t="shared" si="2"/>
        <v/>
      </c>
      <c r="I31" s="39" t="str">
        <f t="shared" si="3"/>
        <v/>
      </c>
      <c r="J31" s="39" t="str">
        <f>""</f>
        <v/>
      </c>
    </row>
    <row r="32" spans="1:10">
      <c r="A32" s="26" t="s">
        <v>112</v>
      </c>
      <c r="E32" s="26" t="s">
        <v>5581</v>
      </c>
      <c r="F32" s="39" t="str">
        <f t="shared" si="0"/>
        <v/>
      </c>
      <c r="G32" s="39" t="str">
        <f t="shared" si="1"/>
        <v/>
      </c>
      <c r="H32" s="39" t="str">
        <f t="shared" si="2"/>
        <v/>
      </c>
      <c r="I32" s="39" t="str">
        <f t="shared" si="3"/>
        <v/>
      </c>
      <c r="J32" s="39" t="str">
        <f>""</f>
        <v/>
      </c>
    </row>
    <row r="33" spans="1:10">
      <c r="A33" s="26" t="s">
        <v>113</v>
      </c>
      <c r="E33" s="26" t="s">
        <v>5581</v>
      </c>
      <c r="F33" s="39" t="str">
        <f t="shared" si="0"/>
        <v/>
      </c>
      <c r="G33" s="39" t="str">
        <f t="shared" si="1"/>
        <v/>
      </c>
      <c r="H33" s="39" t="str">
        <f t="shared" si="2"/>
        <v/>
      </c>
      <c r="I33" s="39" t="str">
        <f t="shared" si="3"/>
        <v/>
      </c>
      <c r="J33" s="39" t="str">
        <f>""</f>
        <v/>
      </c>
    </row>
    <row r="34" spans="1:10">
      <c r="A34" s="26" t="s">
        <v>116</v>
      </c>
      <c r="E34" s="26" t="s">
        <v>5581</v>
      </c>
      <c r="F34" s="39" t="str">
        <f t="shared" si="0"/>
        <v/>
      </c>
      <c r="G34" s="39" t="str">
        <f t="shared" si="1"/>
        <v/>
      </c>
      <c r="H34" s="39" t="str">
        <f t="shared" si="2"/>
        <v/>
      </c>
      <c r="I34" s="39" t="str">
        <f t="shared" si="3"/>
        <v/>
      </c>
      <c r="J34" s="39" t="str">
        <f>""</f>
        <v/>
      </c>
    </row>
    <row r="35" spans="1:10">
      <c r="A35" s="26" t="s">
        <v>117</v>
      </c>
      <c r="E35" s="26" t="s">
        <v>5581</v>
      </c>
      <c r="F35" s="39" t="str">
        <f t="shared" si="0"/>
        <v/>
      </c>
      <c r="G35" s="39" t="str">
        <f t="shared" si="1"/>
        <v/>
      </c>
      <c r="H35" s="39" t="str">
        <f t="shared" si="2"/>
        <v/>
      </c>
      <c r="I35" s="39" t="str">
        <f t="shared" si="3"/>
        <v/>
      </c>
      <c r="J35" s="39" t="str">
        <f>""</f>
        <v/>
      </c>
    </row>
    <row r="36" spans="1:10">
      <c r="A36" s="26" t="s">
        <v>118</v>
      </c>
      <c r="E36" s="26" t="s">
        <v>3790</v>
      </c>
      <c r="F36" s="39" t="str">
        <f t="shared" si="0"/>
        <v/>
      </c>
      <c r="G36" s="39" t="str">
        <f t="shared" si="1"/>
        <v/>
      </c>
      <c r="H36" s="39" t="str">
        <f t="shared" si="2"/>
        <v/>
      </c>
      <c r="I36" s="39" t="str">
        <f t="shared" si="3"/>
        <v/>
      </c>
      <c r="J36" s="39" t="str">
        <f>""</f>
        <v/>
      </c>
    </row>
    <row r="37" spans="1:10">
      <c r="A37" s="26" t="s">
        <v>120</v>
      </c>
      <c r="E37" s="26" t="s">
        <v>3790</v>
      </c>
      <c r="F37" s="39" t="str">
        <f t="shared" si="0"/>
        <v/>
      </c>
      <c r="G37" s="39" t="str">
        <f t="shared" si="1"/>
        <v/>
      </c>
      <c r="H37" s="39" t="str">
        <f t="shared" si="2"/>
        <v/>
      </c>
      <c r="I37" s="39" t="str">
        <f t="shared" si="3"/>
        <v/>
      </c>
      <c r="J37" s="39" t="str">
        <f>""</f>
        <v/>
      </c>
    </row>
    <row r="38" spans="1:10">
      <c r="A38" s="26" t="s">
        <v>121</v>
      </c>
      <c r="E38" s="26" t="s">
        <v>5584</v>
      </c>
      <c r="F38" s="39" t="str">
        <f t="shared" si="0"/>
        <v/>
      </c>
      <c r="G38" s="39" t="str">
        <f t="shared" si="1"/>
        <v/>
      </c>
      <c r="H38" s="39" t="str">
        <f t="shared" si="2"/>
        <v/>
      </c>
      <c r="I38" s="39" t="str">
        <f t="shared" si="3"/>
        <v/>
      </c>
      <c r="J38" s="39" t="str">
        <f>""</f>
        <v/>
      </c>
    </row>
    <row r="39" spans="1:10">
      <c r="A39" s="26" t="s">
        <v>123</v>
      </c>
      <c r="E39" s="26" t="s">
        <v>5584</v>
      </c>
      <c r="F39" s="39" t="str">
        <f t="shared" si="0"/>
        <v/>
      </c>
      <c r="G39" s="39" t="str">
        <f t="shared" si="1"/>
        <v/>
      </c>
      <c r="H39" s="39" t="str">
        <f t="shared" si="2"/>
        <v/>
      </c>
      <c r="I39" s="39" t="str">
        <f t="shared" si="3"/>
        <v/>
      </c>
      <c r="J39" s="39" t="str">
        <f>""</f>
        <v/>
      </c>
    </row>
    <row r="40" spans="1:10">
      <c r="A40" s="26" t="s">
        <v>124</v>
      </c>
      <c r="E40" s="26" t="s">
        <v>5581</v>
      </c>
      <c r="F40" s="39" t="str">
        <f t="shared" si="0"/>
        <v/>
      </c>
      <c r="G40" s="39" t="str">
        <f t="shared" si="1"/>
        <v/>
      </c>
      <c r="H40" s="39" t="str">
        <f t="shared" si="2"/>
        <v/>
      </c>
      <c r="I40" s="39" t="str">
        <f t="shared" si="3"/>
        <v/>
      </c>
      <c r="J40" s="39" t="str">
        <f>""</f>
        <v/>
      </c>
    </row>
    <row r="41" spans="1:10">
      <c r="A41" s="26" t="s">
        <v>127</v>
      </c>
      <c r="E41" s="26" t="s">
        <v>5581</v>
      </c>
      <c r="F41" s="39" t="str">
        <f t="shared" si="0"/>
        <v/>
      </c>
      <c r="G41" s="39" t="str">
        <f t="shared" si="1"/>
        <v/>
      </c>
      <c r="H41" s="39" t="str">
        <f t="shared" si="2"/>
        <v/>
      </c>
      <c r="I41" s="39" t="str">
        <f t="shared" si="3"/>
        <v/>
      </c>
      <c r="J41" s="39" t="str">
        <f>""</f>
        <v/>
      </c>
    </row>
    <row r="42" spans="1:10">
      <c r="A42" s="26" t="s">
        <v>130</v>
      </c>
      <c r="E42" s="26" t="s">
        <v>5581</v>
      </c>
      <c r="F42" s="39" t="str">
        <f t="shared" si="0"/>
        <v/>
      </c>
      <c r="G42" s="39" t="str">
        <f t="shared" si="1"/>
        <v/>
      </c>
      <c r="H42" s="39" t="str">
        <f t="shared" si="2"/>
        <v/>
      </c>
      <c r="I42" s="39" t="str">
        <f t="shared" si="3"/>
        <v/>
      </c>
      <c r="J42" s="39" t="str">
        <f>""</f>
        <v/>
      </c>
    </row>
    <row r="43" spans="1:10">
      <c r="A43" s="26" t="s">
        <v>135</v>
      </c>
      <c r="E43" s="26" t="s">
        <v>5581</v>
      </c>
      <c r="F43" s="39" t="str">
        <f t="shared" si="0"/>
        <v/>
      </c>
      <c r="G43" s="39" t="str">
        <f t="shared" si="1"/>
        <v/>
      </c>
      <c r="H43" s="39" t="str">
        <f t="shared" si="2"/>
        <v/>
      </c>
      <c r="I43" s="39" t="str">
        <f t="shared" si="3"/>
        <v/>
      </c>
      <c r="J43" s="39" t="str">
        <f>""</f>
        <v/>
      </c>
    </row>
    <row r="44" spans="1:10">
      <c r="A44" s="26" t="s">
        <v>138</v>
      </c>
      <c r="E44" s="26" t="s">
        <v>5581</v>
      </c>
      <c r="F44" s="39" t="str">
        <f t="shared" si="0"/>
        <v/>
      </c>
      <c r="G44" s="39" t="str">
        <f t="shared" si="1"/>
        <v/>
      </c>
      <c r="H44" s="39" t="str">
        <f t="shared" si="2"/>
        <v/>
      </c>
      <c r="I44" s="39" t="str">
        <f t="shared" si="3"/>
        <v/>
      </c>
      <c r="J44" s="39" t="str">
        <f>""</f>
        <v/>
      </c>
    </row>
    <row r="45" spans="1:10">
      <c r="A45" s="26" t="s">
        <v>139</v>
      </c>
      <c r="E45" s="26" t="s">
        <v>5581</v>
      </c>
      <c r="F45" s="39" t="str">
        <f t="shared" si="0"/>
        <v/>
      </c>
      <c r="G45" s="39" t="str">
        <f t="shared" si="1"/>
        <v/>
      </c>
      <c r="H45" s="39" t="str">
        <f t="shared" si="2"/>
        <v/>
      </c>
      <c r="I45" s="39" t="str">
        <f t="shared" si="3"/>
        <v/>
      </c>
      <c r="J45" s="39" t="str">
        <f>""</f>
        <v/>
      </c>
    </row>
    <row r="46" spans="1:10">
      <c r="A46" s="26" t="s">
        <v>143</v>
      </c>
      <c r="E46" s="26" t="s">
        <v>5581</v>
      </c>
      <c r="F46" s="39" t="str">
        <f t="shared" si="0"/>
        <v/>
      </c>
      <c r="G46" s="39" t="str">
        <f t="shared" si="1"/>
        <v/>
      </c>
      <c r="H46" s="39" t="str">
        <f t="shared" si="2"/>
        <v/>
      </c>
      <c r="I46" s="39" t="str">
        <f t="shared" si="3"/>
        <v/>
      </c>
      <c r="J46" s="39" t="str">
        <f>""</f>
        <v/>
      </c>
    </row>
    <row r="47" spans="1:10">
      <c r="A47" s="26" t="s">
        <v>144</v>
      </c>
      <c r="E47" s="26" t="s">
        <v>5581</v>
      </c>
      <c r="F47" s="39" t="str">
        <f t="shared" si="0"/>
        <v/>
      </c>
      <c r="G47" s="39" t="str">
        <f t="shared" si="1"/>
        <v/>
      </c>
      <c r="H47" s="39" t="str">
        <f t="shared" si="2"/>
        <v/>
      </c>
      <c r="I47" s="39" t="str">
        <f t="shared" si="3"/>
        <v/>
      </c>
      <c r="J47" s="39" t="str">
        <f>""</f>
        <v/>
      </c>
    </row>
    <row r="48" spans="1:10">
      <c r="A48" s="26" t="s">
        <v>148</v>
      </c>
      <c r="E48" s="26" t="s">
        <v>5581</v>
      </c>
      <c r="F48" s="39" t="str">
        <f t="shared" si="0"/>
        <v/>
      </c>
      <c r="G48" s="39" t="str">
        <f t="shared" si="1"/>
        <v/>
      </c>
      <c r="H48" s="39" t="str">
        <f t="shared" si="2"/>
        <v/>
      </c>
      <c r="I48" s="39" t="str">
        <f t="shared" si="3"/>
        <v/>
      </c>
      <c r="J48" s="39" t="str">
        <f>""</f>
        <v/>
      </c>
    </row>
    <row r="49" spans="1:10">
      <c r="A49" s="26" t="s">
        <v>150</v>
      </c>
      <c r="E49" s="26" t="s">
        <v>3790</v>
      </c>
      <c r="F49" s="39" t="str">
        <f t="shared" si="0"/>
        <v/>
      </c>
      <c r="G49" s="39" t="str">
        <f t="shared" si="1"/>
        <v/>
      </c>
      <c r="H49" s="39" t="str">
        <f t="shared" si="2"/>
        <v/>
      </c>
      <c r="I49" s="39" t="str">
        <f t="shared" si="3"/>
        <v/>
      </c>
      <c r="J49" s="39" t="str">
        <f>""</f>
        <v/>
      </c>
    </row>
    <row r="50" spans="1:10">
      <c r="A50" s="26" t="s">
        <v>156</v>
      </c>
      <c r="E50" s="26" t="s">
        <v>5581</v>
      </c>
      <c r="F50" s="39" t="str">
        <f t="shared" si="0"/>
        <v/>
      </c>
      <c r="G50" s="39" t="str">
        <f t="shared" si="1"/>
        <v/>
      </c>
      <c r="H50" s="39" t="str">
        <f t="shared" si="2"/>
        <v/>
      </c>
      <c r="I50" s="39" t="str">
        <f t="shared" si="3"/>
        <v/>
      </c>
      <c r="J50" s="39" t="str">
        <f>""</f>
        <v/>
      </c>
    </row>
    <row r="51" spans="1:10">
      <c r="A51" s="26" t="s">
        <v>159</v>
      </c>
      <c r="E51" s="26" t="s">
        <v>5581</v>
      </c>
      <c r="F51" s="39" t="str">
        <f t="shared" si="0"/>
        <v/>
      </c>
      <c r="G51" s="39" t="str">
        <f t="shared" si="1"/>
        <v/>
      </c>
      <c r="H51" s="39" t="str">
        <f t="shared" si="2"/>
        <v/>
      </c>
      <c r="I51" s="39" t="str">
        <f t="shared" si="3"/>
        <v/>
      </c>
      <c r="J51" s="39" t="str">
        <f>""</f>
        <v/>
      </c>
    </row>
    <row r="52" spans="1:10">
      <c r="A52" s="26" t="s">
        <v>160</v>
      </c>
      <c r="E52" s="26" t="s">
        <v>3790</v>
      </c>
      <c r="F52" s="39" t="str">
        <f t="shared" si="0"/>
        <v/>
      </c>
      <c r="G52" s="39" t="str">
        <f t="shared" si="1"/>
        <v/>
      </c>
      <c r="H52" s="39" t="str">
        <f t="shared" si="2"/>
        <v/>
      </c>
      <c r="I52" s="39" t="str">
        <f t="shared" si="3"/>
        <v/>
      </c>
      <c r="J52" s="39" t="str">
        <f>""</f>
        <v/>
      </c>
    </row>
    <row r="53" spans="1:10">
      <c r="A53" s="26" t="s">
        <v>163</v>
      </c>
      <c r="E53" s="26" t="s">
        <v>5581</v>
      </c>
      <c r="F53" s="39" t="str">
        <f t="shared" si="0"/>
        <v/>
      </c>
      <c r="G53" s="39" t="str">
        <f t="shared" si="1"/>
        <v/>
      </c>
      <c r="H53" s="39" t="str">
        <f t="shared" si="2"/>
        <v/>
      </c>
      <c r="I53" s="39" t="str">
        <f t="shared" si="3"/>
        <v/>
      </c>
      <c r="J53" s="39" t="str">
        <f>""</f>
        <v/>
      </c>
    </row>
    <row r="54" spans="1:10">
      <c r="A54" s="26" t="s">
        <v>166</v>
      </c>
      <c r="E54" s="26" t="s">
        <v>5581</v>
      </c>
      <c r="F54" s="39" t="str">
        <f t="shared" si="0"/>
        <v/>
      </c>
      <c r="G54" s="39" t="str">
        <f t="shared" si="1"/>
        <v/>
      </c>
      <c r="H54" s="39" t="str">
        <f t="shared" si="2"/>
        <v/>
      </c>
      <c r="I54" s="39" t="str">
        <f t="shared" si="3"/>
        <v/>
      </c>
      <c r="J54" s="39" t="str">
        <f>""</f>
        <v/>
      </c>
    </row>
    <row r="55" spans="1:10">
      <c r="A55" s="26" t="s">
        <v>168</v>
      </c>
      <c r="E55" s="26" t="s">
        <v>5581</v>
      </c>
      <c r="F55" s="39" t="str">
        <f t="shared" si="0"/>
        <v/>
      </c>
      <c r="G55" s="39" t="str">
        <f t="shared" si="1"/>
        <v/>
      </c>
      <c r="H55" s="39" t="str">
        <f t="shared" si="2"/>
        <v/>
      </c>
      <c r="I55" s="39" t="str">
        <f t="shared" si="3"/>
        <v/>
      </c>
      <c r="J55" s="39" t="str">
        <f>""</f>
        <v/>
      </c>
    </row>
    <row r="56" spans="1:10">
      <c r="A56" s="26" t="s">
        <v>171</v>
      </c>
      <c r="E56" s="26" t="s">
        <v>5581</v>
      </c>
      <c r="F56" s="39" t="str">
        <f t="shared" si="0"/>
        <v/>
      </c>
      <c r="G56" s="39" t="str">
        <f t="shared" si="1"/>
        <v/>
      </c>
      <c r="H56" s="39" t="str">
        <f t="shared" si="2"/>
        <v/>
      </c>
      <c r="I56" s="39" t="str">
        <f t="shared" si="3"/>
        <v/>
      </c>
      <c r="J56" s="39" t="str">
        <f>""</f>
        <v/>
      </c>
    </row>
    <row r="57" spans="1:10">
      <c r="A57" s="26" t="s">
        <v>173</v>
      </c>
      <c r="E57" s="26" t="s">
        <v>5581</v>
      </c>
      <c r="F57" s="39" t="str">
        <f t="shared" si="0"/>
        <v/>
      </c>
      <c r="G57" s="39" t="str">
        <f t="shared" si="1"/>
        <v/>
      </c>
      <c r="H57" s="39" t="str">
        <f t="shared" si="2"/>
        <v/>
      </c>
      <c r="I57" s="39" t="str">
        <f t="shared" si="3"/>
        <v/>
      </c>
      <c r="J57" s="39" t="str">
        <f>""</f>
        <v/>
      </c>
    </row>
    <row r="58" spans="1:10">
      <c r="A58" s="26" t="s">
        <v>175</v>
      </c>
      <c r="E58" s="26" t="s">
        <v>5581</v>
      </c>
      <c r="F58" s="39" t="str">
        <f t="shared" si="0"/>
        <v/>
      </c>
      <c r="G58" s="39" t="str">
        <f t="shared" si="1"/>
        <v/>
      </c>
      <c r="H58" s="39" t="str">
        <f t="shared" si="2"/>
        <v/>
      </c>
      <c r="I58" s="39" t="str">
        <f t="shared" si="3"/>
        <v/>
      </c>
      <c r="J58" s="39" t="str">
        <f>""</f>
        <v/>
      </c>
    </row>
    <row r="59" spans="1:10">
      <c r="A59" s="26" t="s">
        <v>176</v>
      </c>
      <c r="E59" s="26" t="s">
        <v>5581</v>
      </c>
      <c r="F59" s="39" t="str">
        <f t="shared" si="0"/>
        <v/>
      </c>
      <c r="G59" s="39" t="str">
        <f t="shared" si="1"/>
        <v/>
      </c>
      <c r="H59" s="39" t="str">
        <f t="shared" si="2"/>
        <v/>
      </c>
      <c r="I59" s="39" t="str">
        <f t="shared" si="3"/>
        <v/>
      </c>
      <c r="J59" s="39" t="str">
        <f>""</f>
        <v/>
      </c>
    </row>
    <row r="60" spans="1:10">
      <c r="A60" s="26" t="s">
        <v>178</v>
      </c>
      <c r="E60" s="26" t="s">
        <v>5581</v>
      </c>
      <c r="F60" s="39" t="str">
        <f t="shared" si="0"/>
        <v/>
      </c>
      <c r="G60" s="39" t="str">
        <f t="shared" si="1"/>
        <v/>
      </c>
      <c r="H60" s="39" t="str">
        <f t="shared" si="2"/>
        <v/>
      </c>
      <c r="I60" s="39" t="str">
        <f t="shared" si="3"/>
        <v/>
      </c>
      <c r="J60" s="39" t="str">
        <f>""</f>
        <v/>
      </c>
    </row>
    <row r="61" spans="1:10">
      <c r="A61" s="26" t="s">
        <v>180</v>
      </c>
      <c r="E61" s="26" t="s">
        <v>5581</v>
      </c>
      <c r="F61" s="39" t="str">
        <f t="shared" si="0"/>
        <v/>
      </c>
      <c r="G61" s="39" t="str">
        <f t="shared" si="1"/>
        <v/>
      </c>
      <c r="H61" s="39" t="str">
        <f t="shared" si="2"/>
        <v/>
      </c>
      <c r="I61" s="39" t="str">
        <f t="shared" si="3"/>
        <v/>
      </c>
      <c r="J61" s="39" t="str">
        <f>""</f>
        <v/>
      </c>
    </row>
    <row r="62" spans="1:10">
      <c r="A62" s="26" t="s">
        <v>181</v>
      </c>
      <c r="E62" s="26" t="s">
        <v>5581</v>
      </c>
      <c r="F62" s="39" t="str">
        <f t="shared" si="0"/>
        <v/>
      </c>
      <c r="G62" s="39" t="str">
        <f t="shared" si="1"/>
        <v/>
      </c>
      <c r="H62" s="39" t="str">
        <f t="shared" si="2"/>
        <v/>
      </c>
      <c r="I62" s="39" t="str">
        <f t="shared" si="3"/>
        <v/>
      </c>
      <c r="J62" s="39" t="str">
        <f>""</f>
        <v/>
      </c>
    </row>
    <row r="63" spans="1:10">
      <c r="A63" s="26" t="s">
        <v>185</v>
      </c>
      <c r="E63" s="26" t="s">
        <v>5581</v>
      </c>
      <c r="F63" s="39" t="str">
        <f t="shared" si="0"/>
        <v/>
      </c>
      <c r="G63" s="39" t="str">
        <f t="shared" si="1"/>
        <v/>
      </c>
      <c r="H63" s="39" t="str">
        <f t="shared" si="2"/>
        <v/>
      </c>
      <c r="I63" s="39" t="str">
        <f t="shared" si="3"/>
        <v/>
      </c>
      <c r="J63" s="39" t="str">
        <f>""</f>
        <v/>
      </c>
    </row>
    <row r="64" spans="1:10">
      <c r="A64" s="26" t="s">
        <v>186</v>
      </c>
      <c r="E64" s="26" t="s">
        <v>5581</v>
      </c>
      <c r="F64" s="39" t="str">
        <f t="shared" si="0"/>
        <v/>
      </c>
      <c r="G64" s="39" t="str">
        <f t="shared" si="1"/>
        <v/>
      </c>
      <c r="H64" s="39" t="str">
        <f t="shared" si="2"/>
        <v/>
      </c>
      <c r="I64" s="39" t="str">
        <f t="shared" si="3"/>
        <v/>
      </c>
      <c r="J64" s="39" t="str">
        <f>""</f>
        <v/>
      </c>
    </row>
    <row r="65" spans="1:10">
      <c r="A65" s="26" t="s">
        <v>189</v>
      </c>
      <c r="E65" s="26" t="s">
        <v>5581</v>
      </c>
      <c r="F65" s="39" t="str">
        <f t="shared" si="0"/>
        <v/>
      </c>
      <c r="G65" s="39" t="str">
        <f t="shared" si="1"/>
        <v/>
      </c>
      <c r="H65" s="39" t="str">
        <f t="shared" si="2"/>
        <v/>
      </c>
      <c r="I65" s="39" t="str">
        <f t="shared" si="3"/>
        <v/>
      </c>
      <c r="J65" s="39" t="str">
        <f>""</f>
        <v/>
      </c>
    </row>
    <row r="66" spans="1:10">
      <c r="A66" s="26" t="s">
        <v>191</v>
      </c>
      <c r="E66" s="26" t="s">
        <v>5581</v>
      </c>
      <c r="F66" s="39" t="str">
        <f t="shared" si="0"/>
        <v/>
      </c>
      <c r="G66" s="39" t="str">
        <f t="shared" si="1"/>
        <v/>
      </c>
      <c r="H66" s="39" t="str">
        <f t="shared" si="2"/>
        <v/>
      </c>
      <c r="I66" s="39" t="str">
        <f t="shared" si="3"/>
        <v/>
      </c>
      <c r="J66" s="39" t="str">
        <f>""</f>
        <v/>
      </c>
    </row>
    <row r="67" spans="1:10">
      <c r="A67" s="26" t="s">
        <v>193</v>
      </c>
      <c r="E67" s="26" t="s">
        <v>5581</v>
      </c>
      <c r="F67" s="39" t="str">
        <f t="shared" ref="F67:F130" si="4">IF(C67="","",IF(C67&lt;99,C67,""))</f>
        <v/>
      </c>
      <c r="G67" s="39" t="str">
        <f t="shared" ref="G67:G130" si="5">IF(OR(F67&lt;&gt;"",D67&lt;&gt;""),C67,"")</f>
        <v/>
      </c>
      <c r="H67" s="39" t="str">
        <f t="shared" ref="H67:H130" si="6">IF(C67="","",C67)</f>
        <v/>
      </c>
      <c r="I67" s="39" t="str">
        <f t="shared" ref="I67:I130" si="7">IF(AND(C67&lt;&gt;"",D67&lt;&gt;""),C67,"")</f>
        <v/>
      </c>
      <c r="J67" s="39" t="str">
        <f>""</f>
        <v/>
      </c>
    </row>
    <row r="68" spans="1:10">
      <c r="A68" s="26" t="s">
        <v>194</v>
      </c>
      <c r="E68" s="26" t="s">
        <v>5581</v>
      </c>
      <c r="F68" s="39" t="str">
        <f t="shared" si="4"/>
        <v/>
      </c>
      <c r="G68" s="39" t="str">
        <f t="shared" si="5"/>
        <v/>
      </c>
      <c r="H68" s="39" t="str">
        <f t="shared" si="6"/>
        <v/>
      </c>
      <c r="I68" s="39" t="str">
        <f t="shared" si="7"/>
        <v/>
      </c>
      <c r="J68" s="39" t="str">
        <f>""</f>
        <v/>
      </c>
    </row>
    <row r="69" spans="1:10">
      <c r="A69" s="26" t="s">
        <v>197</v>
      </c>
      <c r="E69" s="26" t="s">
        <v>5581</v>
      </c>
      <c r="F69" s="39" t="str">
        <f t="shared" si="4"/>
        <v/>
      </c>
      <c r="G69" s="39" t="str">
        <f t="shared" si="5"/>
        <v/>
      </c>
      <c r="H69" s="39" t="str">
        <f t="shared" si="6"/>
        <v/>
      </c>
      <c r="I69" s="39" t="str">
        <f t="shared" si="7"/>
        <v/>
      </c>
      <c r="J69" s="39" t="str">
        <f>""</f>
        <v/>
      </c>
    </row>
    <row r="70" spans="1:10">
      <c r="A70" s="26" t="s">
        <v>198</v>
      </c>
      <c r="E70" s="26" t="s">
        <v>5581</v>
      </c>
      <c r="F70" s="39" t="str">
        <f t="shared" si="4"/>
        <v/>
      </c>
      <c r="G70" s="39" t="str">
        <f t="shared" si="5"/>
        <v/>
      </c>
      <c r="H70" s="39" t="str">
        <f t="shared" si="6"/>
        <v/>
      </c>
      <c r="I70" s="39" t="str">
        <f t="shared" si="7"/>
        <v/>
      </c>
      <c r="J70" s="39" t="str">
        <f>""</f>
        <v/>
      </c>
    </row>
    <row r="71" spans="1:10">
      <c r="A71" s="26" t="s">
        <v>199</v>
      </c>
      <c r="E71" s="26" t="s">
        <v>3790</v>
      </c>
      <c r="F71" s="39" t="str">
        <f t="shared" si="4"/>
        <v/>
      </c>
      <c r="G71" s="39" t="str">
        <f t="shared" si="5"/>
        <v/>
      </c>
      <c r="H71" s="39" t="str">
        <f t="shared" si="6"/>
        <v/>
      </c>
      <c r="I71" s="39" t="str">
        <f t="shared" si="7"/>
        <v/>
      </c>
      <c r="J71" s="39" t="str">
        <f>""</f>
        <v/>
      </c>
    </row>
    <row r="72" spans="1:10">
      <c r="A72" s="26" t="s">
        <v>200</v>
      </c>
      <c r="E72" s="26" t="s">
        <v>5581</v>
      </c>
      <c r="F72" s="39" t="str">
        <f t="shared" si="4"/>
        <v/>
      </c>
      <c r="G72" s="39" t="str">
        <f t="shared" si="5"/>
        <v/>
      </c>
      <c r="H72" s="39" t="str">
        <f t="shared" si="6"/>
        <v/>
      </c>
      <c r="I72" s="39" t="str">
        <f t="shared" si="7"/>
        <v/>
      </c>
      <c r="J72" s="39" t="str">
        <f>""</f>
        <v/>
      </c>
    </row>
    <row r="73" spans="1:10">
      <c r="A73" s="26" t="s">
        <v>204</v>
      </c>
      <c r="E73" s="26" t="s">
        <v>5581</v>
      </c>
      <c r="F73" s="39" t="str">
        <f t="shared" si="4"/>
        <v/>
      </c>
      <c r="G73" s="39" t="str">
        <f t="shared" si="5"/>
        <v/>
      </c>
      <c r="H73" s="39" t="str">
        <f t="shared" si="6"/>
        <v/>
      </c>
      <c r="I73" s="39" t="str">
        <f t="shared" si="7"/>
        <v/>
      </c>
      <c r="J73" s="39" t="str">
        <f>""</f>
        <v/>
      </c>
    </row>
    <row r="74" spans="1:10">
      <c r="A74" s="26" t="s">
        <v>207</v>
      </c>
      <c r="E74" s="26" t="s">
        <v>5581</v>
      </c>
      <c r="F74" s="39" t="str">
        <f t="shared" si="4"/>
        <v/>
      </c>
      <c r="G74" s="39" t="str">
        <f t="shared" si="5"/>
        <v/>
      </c>
      <c r="H74" s="39" t="str">
        <f t="shared" si="6"/>
        <v/>
      </c>
      <c r="I74" s="39" t="str">
        <f t="shared" si="7"/>
        <v/>
      </c>
      <c r="J74" s="39" t="str">
        <f>""</f>
        <v/>
      </c>
    </row>
    <row r="75" spans="1:10">
      <c r="A75" s="26" t="s">
        <v>210</v>
      </c>
      <c r="E75" s="26" t="s">
        <v>5581</v>
      </c>
      <c r="F75" s="39" t="str">
        <f t="shared" si="4"/>
        <v/>
      </c>
      <c r="G75" s="39" t="str">
        <f t="shared" si="5"/>
        <v/>
      </c>
      <c r="H75" s="39" t="str">
        <f t="shared" si="6"/>
        <v/>
      </c>
      <c r="I75" s="39" t="str">
        <f t="shared" si="7"/>
        <v/>
      </c>
      <c r="J75" s="39" t="str">
        <f>""</f>
        <v/>
      </c>
    </row>
    <row r="76" spans="1:10">
      <c r="A76" s="26" t="s">
        <v>211</v>
      </c>
      <c r="E76" s="26" t="s">
        <v>5581</v>
      </c>
      <c r="F76" s="39" t="str">
        <f t="shared" si="4"/>
        <v/>
      </c>
      <c r="G76" s="39" t="str">
        <f t="shared" si="5"/>
        <v/>
      </c>
      <c r="H76" s="39" t="str">
        <f t="shared" si="6"/>
        <v/>
      </c>
      <c r="I76" s="39" t="str">
        <f t="shared" si="7"/>
        <v/>
      </c>
      <c r="J76" s="39" t="str">
        <f>""</f>
        <v/>
      </c>
    </row>
    <row r="77" spans="1:10">
      <c r="A77" s="26" t="s">
        <v>213</v>
      </c>
      <c r="E77" s="26" t="s">
        <v>5581</v>
      </c>
      <c r="F77" s="39" t="str">
        <f t="shared" si="4"/>
        <v/>
      </c>
      <c r="G77" s="39" t="str">
        <f t="shared" si="5"/>
        <v/>
      </c>
      <c r="H77" s="39" t="str">
        <f t="shared" si="6"/>
        <v/>
      </c>
      <c r="I77" s="39" t="str">
        <f t="shared" si="7"/>
        <v/>
      </c>
      <c r="J77" s="39" t="str">
        <f>""</f>
        <v/>
      </c>
    </row>
    <row r="78" spans="1:10">
      <c r="A78" s="26" t="s">
        <v>214</v>
      </c>
      <c r="E78" s="26" t="s">
        <v>5581</v>
      </c>
      <c r="F78" s="39" t="str">
        <f t="shared" si="4"/>
        <v/>
      </c>
      <c r="G78" s="39" t="str">
        <f t="shared" si="5"/>
        <v/>
      </c>
      <c r="H78" s="39" t="str">
        <f t="shared" si="6"/>
        <v/>
      </c>
      <c r="I78" s="39" t="str">
        <f t="shared" si="7"/>
        <v/>
      </c>
      <c r="J78" s="39" t="str">
        <f>""</f>
        <v/>
      </c>
    </row>
    <row r="79" spans="1:10">
      <c r="A79" s="26" t="s">
        <v>217</v>
      </c>
      <c r="E79" s="26" t="s">
        <v>5581</v>
      </c>
      <c r="F79" s="39" t="str">
        <f t="shared" si="4"/>
        <v/>
      </c>
      <c r="G79" s="39" t="str">
        <f t="shared" si="5"/>
        <v/>
      </c>
      <c r="H79" s="39" t="str">
        <f t="shared" si="6"/>
        <v/>
      </c>
      <c r="I79" s="39" t="str">
        <f t="shared" si="7"/>
        <v/>
      </c>
      <c r="J79" s="39" t="str">
        <f>""</f>
        <v/>
      </c>
    </row>
    <row r="80" spans="1:10">
      <c r="A80" s="26" t="s">
        <v>219</v>
      </c>
      <c r="E80" s="26" t="s">
        <v>5581</v>
      </c>
      <c r="F80" s="39" t="str">
        <f t="shared" si="4"/>
        <v/>
      </c>
      <c r="G80" s="39" t="str">
        <f t="shared" si="5"/>
        <v/>
      </c>
      <c r="H80" s="39" t="str">
        <f t="shared" si="6"/>
        <v/>
      </c>
      <c r="I80" s="39" t="str">
        <f t="shared" si="7"/>
        <v/>
      </c>
      <c r="J80" s="39" t="str">
        <f>""</f>
        <v/>
      </c>
    </row>
    <row r="81" spans="1:10">
      <c r="A81" s="26" t="s">
        <v>221</v>
      </c>
      <c r="E81" s="26" t="s">
        <v>5581</v>
      </c>
      <c r="F81" s="39" t="str">
        <f t="shared" si="4"/>
        <v/>
      </c>
      <c r="G81" s="39" t="str">
        <f t="shared" si="5"/>
        <v/>
      </c>
      <c r="H81" s="39" t="str">
        <f t="shared" si="6"/>
        <v/>
      </c>
      <c r="I81" s="39" t="str">
        <f t="shared" si="7"/>
        <v/>
      </c>
      <c r="J81" s="39" t="str">
        <f>""</f>
        <v/>
      </c>
    </row>
    <row r="82" spans="1:10">
      <c r="A82" s="26" t="s">
        <v>222</v>
      </c>
      <c r="E82" s="26" t="s">
        <v>5581</v>
      </c>
      <c r="F82" s="39" t="str">
        <f t="shared" si="4"/>
        <v/>
      </c>
      <c r="G82" s="39" t="str">
        <f t="shared" si="5"/>
        <v/>
      </c>
      <c r="H82" s="39" t="str">
        <f t="shared" si="6"/>
        <v/>
      </c>
      <c r="I82" s="39" t="str">
        <f t="shared" si="7"/>
        <v/>
      </c>
      <c r="J82" s="39" t="str">
        <f>""</f>
        <v/>
      </c>
    </row>
    <row r="83" spans="1:10">
      <c r="A83" s="26" t="s">
        <v>224</v>
      </c>
      <c r="E83" s="26" t="s">
        <v>5581</v>
      </c>
      <c r="F83" s="39" t="str">
        <f t="shared" si="4"/>
        <v/>
      </c>
      <c r="G83" s="39" t="str">
        <f t="shared" si="5"/>
        <v/>
      </c>
      <c r="H83" s="39" t="str">
        <f t="shared" si="6"/>
        <v/>
      </c>
      <c r="I83" s="39" t="str">
        <f t="shared" si="7"/>
        <v/>
      </c>
      <c r="J83" s="39" t="str">
        <f>""</f>
        <v/>
      </c>
    </row>
    <row r="84" spans="1:10">
      <c r="A84" s="26" t="s">
        <v>225</v>
      </c>
      <c r="E84" s="26" t="s">
        <v>5581</v>
      </c>
      <c r="F84" s="39" t="str">
        <f t="shared" si="4"/>
        <v/>
      </c>
      <c r="G84" s="39" t="str">
        <f t="shared" si="5"/>
        <v/>
      </c>
      <c r="H84" s="39" t="str">
        <f t="shared" si="6"/>
        <v/>
      </c>
      <c r="I84" s="39" t="str">
        <f t="shared" si="7"/>
        <v/>
      </c>
      <c r="J84" s="39" t="str">
        <f>""</f>
        <v/>
      </c>
    </row>
    <row r="85" spans="1:10">
      <c r="A85" s="26" t="s">
        <v>227</v>
      </c>
      <c r="E85" s="26" t="s">
        <v>5581</v>
      </c>
      <c r="F85" s="39" t="str">
        <f t="shared" si="4"/>
        <v/>
      </c>
      <c r="G85" s="39" t="str">
        <f t="shared" si="5"/>
        <v/>
      </c>
      <c r="H85" s="39" t="str">
        <f t="shared" si="6"/>
        <v/>
      </c>
      <c r="I85" s="39" t="str">
        <f t="shared" si="7"/>
        <v/>
      </c>
      <c r="J85" s="39" t="str">
        <f>""</f>
        <v/>
      </c>
    </row>
    <row r="86" spans="1:10">
      <c r="A86" s="26" t="s">
        <v>228</v>
      </c>
      <c r="E86" s="26" t="s">
        <v>5581</v>
      </c>
      <c r="F86" s="39" t="str">
        <f t="shared" si="4"/>
        <v/>
      </c>
      <c r="G86" s="39" t="str">
        <f t="shared" si="5"/>
        <v/>
      </c>
      <c r="H86" s="39" t="str">
        <f t="shared" si="6"/>
        <v/>
      </c>
      <c r="I86" s="39" t="str">
        <f t="shared" si="7"/>
        <v/>
      </c>
      <c r="J86" s="39" t="str">
        <f>""</f>
        <v/>
      </c>
    </row>
    <row r="87" spans="1:10">
      <c r="A87" s="26" t="s">
        <v>230</v>
      </c>
      <c r="E87" s="26" t="s">
        <v>5581</v>
      </c>
      <c r="F87" s="39" t="str">
        <f t="shared" si="4"/>
        <v/>
      </c>
      <c r="G87" s="39" t="str">
        <f t="shared" si="5"/>
        <v/>
      </c>
      <c r="H87" s="39" t="str">
        <f t="shared" si="6"/>
        <v/>
      </c>
      <c r="I87" s="39" t="str">
        <f t="shared" si="7"/>
        <v/>
      </c>
      <c r="J87" s="39" t="str">
        <f>""</f>
        <v/>
      </c>
    </row>
    <row r="88" spans="1:10">
      <c r="A88" s="26" t="s">
        <v>231</v>
      </c>
      <c r="E88" s="26" t="s">
        <v>5581</v>
      </c>
      <c r="F88" s="39" t="str">
        <f t="shared" si="4"/>
        <v/>
      </c>
      <c r="G88" s="39" t="str">
        <f t="shared" si="5"/>
        <v/>
      </c>
      <c r="H88" s="39" t="str">
        <f t="shared" si="6"/>
        <v/>
      </c>
      <c r="I88" s="39" t="str">
        <f t="shared" si="7"/>
        <v/>
      </c>
      <c r="J88" s="39" t="str">
        <f>""</f>
        <v/>
      </c>
    </row>
    <row r="89" spans="1:10">
      <c r="A89" s="26" t="s">
        <v>233</v>
      </c>
      <c r="E89" s="26" t="s">
        <v>5581</v>
      </c>
      <c r="F89" s="39" t="str">
        <f t="shared" si="4"/>
        <v/>
      </c>
      <c r="G89" s="39" t="str">
        <f t="shared" si="5"/>
        <v/>
      </c>
      <c r="H89" s="39" t="str">
        <f t="shared" si="6"/>
        <v/>
      </c>
      <c r="I89" s="39" t="str">
        <f t="shared" si="7"/>
        <v/>
      </c>
      <c r="J89" s="39" t="str">
        <f>""</f>
        <v/>
      </c>
    </row>
    <row r="90" spans="1:10">
      <c r="A90" s="26" t="s">
        <v>235</v>
      </c>
      <c r="E90" s="26" t="s">
        <v>5581</v>
      </c>
      <c r="F90" s="39" t="str">
        <f t="shared" si="4"/>
        <v/>
      </c>
      <c r="G90" s="39" t="str">
        <f t="shared" si="5"/>
        <v/>
      </c>
      <c r="H90" s="39" t="str">
        <f t="shared" si="6"/>
        <v/>
      </c>
      <c r="I90" s="39" t="str">
        <f t="shared" si="7"/>
        <v/>
      </c>
      <c r="J90" s="39" t="str">
        <f>""</f>
        <v/>
      </c>
    </row>
    <row r="91" spans="1:10">
      <c r="A91" s="26" t="s">
        <v>237</v>
      </c>
      <c r="E91" s="26" t="s">
        <v>5581</v>
      </c>
      <c r="F91" s="39" t="str">
        <f t="shared" si="4"/>
        <v/>
      </c>
      <c r="G91" s="39" t="str">
        <f t="shared" si="5"/>
        <v/>
      </c>
      <c r="H91" s="39" t="str">
        <f t="shared" si="6"/>
        <v/>
      </c>
      <c r="I91" s="39" t="str">
        <f t="shared" si="7"/>
        <v/>
      </c>
      <c r="J91" s="39" t="str">
        <f>""</f>
        <v/>
      </c>
    </row>
    <row r="92" spans="1:10">
      <c r="A92" s="26" t="s">
        <v>239</v>
      </c>
      <c r="E92" s="26" t="s">
        <v>5581</v>
      </c>
      <c r="F92" s="39" t="str">
        <f t="shared" si="4"/>
        <v/>
      </c>
      <c r="G92" s="39" t="str">
        <f t="shared" si="5"/>
        <v/>
      </c>
      <c r="H92" s="39" t="str">
        <f t="shared" si="6"/>
        <v/>
      </c>
      <c r="I92" s="39" t="str">
        <f t="shared" si="7"/>
        <v/>
      </c>
      <c r="J92" s="39" t="str">
        <f>""</f>
        <v/>
      </c>
    </row>
    <row r="93" spans="1:10">
      <c r="A93" s="26" t="s">
        <v>241</v>
      </c>
      <c r="E93" s="26" t="s">
        <v>5581</v>
      </c>
      <c r="F93" s="39" t="str">
        <f t="shared" si="4"/>
        <v/>
      </c>
      <c r="G93" s="39" t="str">
        <f t="shared" si="5"/>
        <v/>
      </c>
      <c r="H93" s="39" t="str">
        <f t="shared" si="6"/>
        <v/>
      </c>
      <c r="I93" s="39" t="str">
        <f t="shared" si="7"/>
        <v/>
      </c>
      <c r="J93" s="39" t="str">
        <f>""</f>
        <v/>
      </c>
    </row>
    <row r="94" spans="1:10">
      <c r="A94" s="26" t="s">
        <v>242</v>
      </c>
      <c r="E94" s="26" t="s">
        <v>5581</v>
      </c>
      <c r="F94" s="39" t="str">
        <f t="shared" si="4"/>
        <v/>
      </c>
      <c r="G94" s="39" t="str">
        <f t="shared" si="5"/>
        <v/>
      </c>
      <c r="H94" s="39" t="str">
        <f t="shared" si="6"/>
        <v/>
      </c>
      <c r="I94" s="39" t="str">
        <f t="shared" si="7"/>
        <v/>
      </c>
      <c r="J94" s="39" t="str">
        <f>""</f>
        <v/>
      </c>
    </row>
    <row r="95" spans="1:10">
      <c r="A95" s="26" t="s">
        <v>244</v>
      </c>
      <c r="E95" s="26" t="s">
        <v>5581</v>
      </c>
      <c r="F95" s="39" t="str">
        <f t="shared" si="4"/>
        <v/>
      </c>
      <c r="G95" s="39" t="str">
        <f t="shared" si="5"/>
        <v/>
      </c>
      <c r="H95" s="39" t="str">
        <f t="shared" si="6"/>
        <v/>
      </c>
      <c r="I95" s="39" t="str">
        <f t="shared" si="7"/>
        <v/>
      </c>
      <c r="J95" s="39" t="str">
        <f>""</f>
        <v/>
      </c>
    </row>
    <row r="96" spans="1:10">
      <c r="A96" s="26" t="s">
        <v>245</v>
      </c>
      <c r="E96" s="26" t="s">
        <v>5581</v>
      </c>
      <c r="F96" s="39" t="str">
        <f t="shared" si="4"/>
        <v/>
      </c>
      <c r="G96" s="39" t="str">
        <f t="shared" si="5"/>
        <v/>
      </c>
      <c r="H96" s="39" t="str">
        <f t="shared" si="6"/>
        <v/>
      </c>
      <c r="I96" s="39" t="str">
        <f t="shared" si="7"/>
        <v/>
      </c>
      <c r="J96" s="39" t="str">
        <f>""</f>
        <v/>
      </c>
    </row>
    <row r="97" spans="1:10">
      <c r="A97" s="26" t="s">
        <v>248</v>
      </c>
      <c r="E97" s="26" t="s">
        <v>5581</v>
      </c>
      <c r="F97" s="39" t="str">
        <f t="shared" si="4"/>
        <v/>
      </c>
      <c r="G97" s="39" t="str">
        <f t="shared" si="5"/>
        <v/>
      </c>
      <c r="H97" s="39" t="str">
        <f t="shared" si="6"/>
        <v/>
      </c>
      <c r="I97" s="39" t="str">
        <f t="shared" si="7"/>
        <v/>
      </c>
      <c r="J97" s="39" t="str">
        <f>""</f>
        <v/>
      </c>
    </row>
    <row r="98" spans="1:10">
      <c r="A98" s="26" t="s">
        <v>249</v>
      </c>
      <c r="E98" s="26" t="s">
        <v>5581</v>
      </c>
      <c r="F98" s="39" t="str">
        <f t="shared" si="4"/>
        <v/>
      </c>
      <c r="G98" s="39" t="str">
        <f t="shared" si="5"/>
        <v/>
      </c>
      <c r="H98" s="39" t="str">
        <f t="shared" si="6"/>
        <v/>
      </c>
      <c r="I98" s="39" t="str">
        <f t="shared" si="7"/>
        <v/>
      </c>
      <c r="J98" s="39" t="str">
        <f>""</f>
        <v/>
      </c>
    </row>
    <row r="99" spans="1:10">
      <c r="A99" s="26" t="s">
        <v>251</v>
      </c>
      <c r="E99" s="26" t="s">
        <v>5581</v>
      </c>
      <c r="F99" s="39" t="str">
        <f t="shared" si="4"/>
        <v/>
      </c>
      <c r="G99" s="39" t="str">
        <f t="shared" si="5"/>
        <v/>
      </c>
      <c r="H99" s="39" t="str">
        <f t="shared" si="6"/>
        <v/>
      </c>
      <c r="I99" s="39" t="str">
        <f t="shared" si="7"/>
        <v/>
      </c>
      <c r="J99" s="39" t="str">
        <f>""</f>
        <v/>
      </c>
    </row>
    <row r="100" spans="1:10">
      <c r="A100" s="26" t="s">
        <v>252</v>
      </c>
      <c r="E100" s="26" t="s">
        <v>5581</v>
      </c>
      <c r="F100" s="39" t="str">
        <f t="shared" si="4"/>
        <v/>
      </c>
      <c r="G100" s="39" t="str">
        <f t="shared" si="5"/>
        <v/>
      </c>
      <c r="H100" s="39" t="str">
        <f t="shared" si="6"/>
        <v/>
      </c>
      <c r="I100" s="39" t="str">
        <f t="shared" si="7"/>
        <v/>
      </c>
      <c r="J100" s="39" t="str">
        <f>""</f>
        <v/>
      </c>
    </row>
    <row r="101" spans="1:10">
      <c r="A101" s="26" t="s">
        <v>254</v>
      </c>
      <c r="E101" s="26" t="s">
        <v>5581</v>
      </c>
      <c r="F101" s="39" t="str">
        <f t="shared" si="4"/>
        <v/>
      </c>
      <c r="G101" s="39" t="str">
        <f t="shared" si="5"/>
        <v/>
      </c>
      <c r="H101" s="39" t="str">
        <f t="shared" si="6"/>
        <v/>
      </c>
      <c r="I101" s="39" t="str">
        <f t="shared" si="7"/>
        <v/>
      </c>
      <c r="J101" s="39" t="str">
        <f>""</f>
        <v/>
      </c>
    </row>
    <row r="102" spans="1:10">
      <c r="A102" s="26" t="s">
        <v>257</v>
      </c>
      <c r="E102" s="26" t="s">
        <v>3790</v>
      </c>
      <c r="F102" s="39" t="str">
        <f t="shared" si="4"/>
        <v/>
      </c>
      <c r="G102" s="39" t="str">
        <f t="shared" si="5"/>
        <v/>
      </c>
      <c r="H102" s="39" t="str">
        <f t="shared" si="6"/>
        <v/>
      </c>
      <c r="I102" s="39" t="str">
        <f t="shared" si="7"/>
        <v/>
      </c>
      <c r="J102" s="39" t="str">
        <f>""</f>
        <v/>
      </c>
    </row>
    <row r="103" spans="1:10">
      <c r="A103" s="26" t="s">
        <v>259</v>
      </c>
      <c r="E103" s="26" t="s">
        <v>3790</v>
      </c>
      <c r="F103" s="39" t="str">
        <f t="shared" si="4"/>
        <v/>
      </c>
      <c r="G103" s="39" t="str">
        <f t="shared" si="5"/>
        <v/>
      </c>
      <c r="H103" s="39" t="str">
        <f t="shared" si="6"/>
        <v/>
      </c>
      <c r="I103" s="39" t="str">
        <f t="shared" si="7"/>
        <v/>
      </c>
      <c r="J103" s="39" t="str">
        <f>""</f>
        <v/>
      </c>
    </row>
    <row r="104" spans="1:10">
      <c r="A104" s="26" t="s">
        <v>260</v>
      </c>
      <c r="E104" s="26" t="s">
        <v>3790</v>
      </c>
      <c r="F104" s="39" t="str">
        <f t="shared" si="4"/>
        <v/>
      </c>
      <c r="G104" s="39" t="str">
        <f t="shared" si="5"/>
        <v/>
      </c>
      <c r="H104" s="39" t="str">
        <f t="shared" si="6"/>
        <v/>
      </c>
      <c r="I104" s="39" t="str">
        <f t="shared" si="7"/>
        <v/>
      </c>
      <c r="J104" s="39" t="str">
        <f>""</f>
        <v/>
      </c>
    </row>
    <row r="105" spans="1:10">
      <c r="A105" s="26" t="s">
        <v>262</v>
      </c>
      <c r="E105" s="26" t="s">
        <v>3790</v>
      </c>
      <c r="F105" s="39" t="str">
        <f t="shared" si="4"/>
        <v/>
      </c>
      <c r="G105" s="39" t="str">
        <f t="shared" si="5"/>
        <v/>
      </c>
      <c r="H105" s="39" t="str">
        <f t="shared" si="6"/>
        <v/>
      </c>
      <c r="I105" s="39" t="str">
        <f t="shared" si="7"/>
        <v/>
      </c>
      <c r="J105" s="39" t="str">
        <f>""</f>
        <v/>
      </c>
    </row>
    <row r="106" spans="1:10">
      <c r="A106" s="26" t="s">
        <v>265</v>
      </c>
      <c r="E106" s="26" t="s">
        <v>3790</v>
      </c>
      <c r="F106" s="39" t="str">
        <f t="shared" si="4"/>
        <v/>
      </c>
      <c r="G106" s="39" t="str">
        <f t="shared" si="5"/>
        <v/>
      </c>
      <c r="H106" s="39" t="str">
        <f t="shared" si="6"/>
        <v/>
      </c>
      <c r="I106" s="39" t="str">
        <f t="shared" si="7"/>
        <v/>
      </c>
      <c r="J106" s="39" t="str">
        <f>""</f>
        <v/>
      </c>
    </row>
    <row r="107" spans="1:10">
      <c r="A107" s="26" t="s">
        <v>269</v>
      </c>
      <c r="E107" s="26" t="s">
        <v>3790</v>
      </c>
      <c r="F107" s="39" t="str">
        <f t="shared" si="4"/>
        <v/>
      </c>
      <c r="G107" s="39" t="str">
        <f t="shared" si="5"/>
        <v/>
      </c>
      <c r="H107" s="39" t="str">
        <f t="shared" si="6"/>
        <v/>
      </c>
      <c r="I107" s="39" t="str">
        <f t="shared" si="7"/>
        <v/>
      </c>
      <c r="J107" s="39" t="str">
        <f>""</f>
        <v/>
      </c>
    </row>
    <row r="108" spans="1:10">
      <c r="A108" s="26" t="s">
        <v>270</v>
      </c>
      <c r="E108" s="26" t="s">
        <v>3790</v>
      </c>
      <c r="F108" s="39" t="str">
        <f t="shared" si="4"/>
        <v/>
      </c>
      <c r="G108" s="39" t="str">
        <f t="shared" si="5"/>
        <v/>
      </c>
      <c r="H108" s="39" t="str">
        <f t="shared" si="6"/>
        <v/>
      </c>
      <c r="I108" s="39" t="str">
        <f t="shared" si="7"/>
        <v/>
      </c>
      <c r="J108" s="39" t="str">
        <f>""</f>
        <v/>
      </c>
    </row>
    <row r="109" spans="1:10">
      <c r="A109" s="26" t="s">
        <v>5558</v>
      </c>
      <c r="E109" s="26" t="s">
        <v>5581</v>
      </c>
      <c r="F109" s="39" t="str">
        <f t="shared" si="4"/>
        <v/>
      </c>
      <c r="G109" s="39" t="str">
        <f t="shared" si="5"/>
        <v/>
      </c>
      <c r="H109" s="39" t="str">
        <f t="shared" si="6"/>
        <v/>
      </c>
      <c r="I109" s="39" t="str">
        <f t="shared" si="7"/>
        <v/>
      </c>
      <c r="J109" s="39" t="str">
        <f>""</f>
        <v/>
      </c>
    </row>
    <row r="110" spans="1:10">
      <c r="A110" s="26" t="s">
        <v>3317</v>
      </c>
      <c r="E110" s="26" t="s">
        <v>5581</v>
      </c>
      <c r="F110" s="39" t="str">
        <f t="shared" si="4"/>
        <v/>
      </c>
      <c r="G110" s="39" t="str">
        <f t="shared" si="5"/>
        <v/>
      </c>
      <c r="H110" s="39" t="str">
        <f t="shared" si="6"/>
        <v/>
      </c>
      <c r="I110" s="39" t="str">
        <f t="shared" si="7"/>
        <v/>
      </c>
      <c r="J110" s="39" t="str">
        <f>""</f>
        <v/>
      </c>
    </row>
    <row r="111" spans="1:10">
      <c r="A111" s="26" t="s">
        <v>273</v>
      </c>
      <c r="E111" s="26" t="s">
        <v>5581</v>
      </c>
      <c r="F111" s="39" t="str">
        <f t="shared" si="4"/>
        <v/>
      </c>
      <c r="G111" s="39" t="str">
        <f t="shared" si="5"/>
        <v/>
      </c>
      <c r="H111" s="39" t="str">
        <f t="shared" si="6"/>
        <v/>
      </c>
      <c r="I111" s="39" t="str">
        <f t="shared" si="7"/>
        <v/>
      </c>
      <c r="J111" s="39" t="str">
        <f>""</f>
        <v/>
      </c>
    </row>
    <row r="112" spans="1:10">
      <c r="A112" s="26" t="s">
        <v>277</v>
      </c>
      <c r="E112" s="26" t="s">
        <v>5581</v>
      </c>
      <c r="F112" s="39" t="str">
        <f t="shared" si="4"/>
        <v/>
      </c>
      <c r="G112" s="39" t="str">
        <f t="shared" si="5"/>
        <v/>
      </c>
      <c r="H112" s="39" t="str">
        <f t="shared" si="6"/>
        <v/>
      </c>
      <c r="I112" s="39" t="str">
        <f t="shared" si="7"/>
        <v/>
      </c>
      <c r="J112" s="39" t="str">
        <f>""</f>
        <v/>
      </c>
    </row>
    <row r="113" spans="1:10">
      <c r="A113" s="26" t="s">
        <v>2020</v>
      </c>
      <c r="E113" s="26" t="s">
        <v>5581</v>
      </c>
      <c r="F113" s="39" t="str">
        <f t="shared" si="4"/>
        <v/>
      </c>
      <c r="G113" s="39" t="str">
        <f t="shared" si="5"/>
        <v/>
      </c>
      <c r="H113" s="39" t="str">
        <f t="shared" si="6"/>
        <v/>
      </c>
      <c r="I113" s="39" t="str">
        <f t="shared" si="7"/>
        <v/>
      </c>
      <c r="J113" s="39" t="str">
        <f>""</f>
        <v/>
      </c>
    </row>
    <row r="114" spans="1:10">
      <c r="A114" s="26" t="s">
        <v>2023</v>
      </c>
      <c r="E114" s="26" t="s">
        <v>5581</v>
      </c>
      <c r="F114" s="39" t="str">
        <f t="shared" si="4"/>
        <v/>
      </c>
      <c r="G114" s="39" t="str">
        <f t="shared" si="5"/>
        <v/>
      </c>
      <c r="H114" s="39" t="str">
        <f t="shared" si="6"/>
        <v/>
      </c>
      <c r="I114" s="39" t="str">
        <f t="shared" si="7"/>
        <v/>
      </c>
      <c r="J114" s="39" t="str">
        <f>""</f>
        <v/>
      </c>
    </row>
    <row r="115" spans="1:10">
      <c r="A115" s="26" t="s">
        <v>278</v>
      </c>
      <c r="E115" s="26" t="s">
        <v>3790</v>
      </c>
      <c r="F115" s="39" t="str">
        <f t="shared" si="4"/>
        <v/>
      </c>
      <c r="G115" s="39" t="str">
        <f t="shared" si="5"/>
        <v/>
      </c>
      <c r="H115" s="39" t="str">
        <f t="shared" si="6"/>
        <v/>
      </c>
      <c r="I115" s="39" t="str">
        <f t="shared" si="7"/>
        <v/>
      </c>
      <c r="J115" s="39" t="str">
        <f>""</f>
        <v/>
      </c>
    </row>
    <row r="116" spans="1:10">
      <c r="A116" s="26" t="s">
        <v>281</v>
      </c>
      <c r="E116" s="26" t="s">
        <v>3790</v>
      </c>
      <c r="F116" s="39" t="str">
        <f t="shared" si="4"/>
        <v/>
      </c>
      <c r="G116" s="39" t="str">
        <f t="shared" si="5"/>
        <v/>
      </c>
      <c r="H116" s="39" t="str">
        <f t="shared" si="6"/>
        <v/>
      </c>
      <c r="I116" s="39" t="str">
        <f t="shared" si="7"/>
        <v/>
      </c>
      <c r="J116" s="39" t="str">
        <f>""</f>
        <v/>
      </c>
    </row>
    <row r="117" spans="1:10">
      <c r="A117" s="26" t="s">
        <v>3319</v>
      </c>
      <c r="E117" s="26" t="s">
        <v>5581</v>
      </c>
      <c r="F117" s="39" t="str">
        <f t="shared" si="4"/>
        <v/>
      </c>
      <c r="G117" s="39" t="str">
        <f t="shared" si="5"/>
        <v/>
      </c>
      <c r="H117" s="39" t="str">
        <f t="shared" si="6"/>
        <v/>
      </c>
      <c r="I117" s="39" t="str">
        <f t="shared" si="7"/>
        <v/>
      </c>
      <c r="J117" s="39" t="str">
        <f>""</f>
        <v/>
      </c>
    </row>
    <row r="118" spans="1:10">
      <c r="A118" s="26" t="s">
        <v>282</v>
      </c>
      <c r="E118" s="26" t="s">
        <v>5581</v>
      </c>
      <c r="F118" s="39" t="str">
        <f t="shared" si="4"/>
        <v/>
      </c>
      <c r="G118" s="39" t="str">
        <f t="shared" si="5"/>
        <v/>
      </c>
      <c r="H118" s="39" t="str">
        <f t="shared" si="6"/>
        <v/>
      </c>
      <c r="I118" s="39" t="str">
        <f t="shared" si="7"/>
        <v/>
      </c>
      <c r="J118" s="39" t="str">
        <f>""</f>
        <v/>
      </c>
    </row>
    <row r="119" spans="1:10">
      <c r="A119" s="26" t="s">
        <v>285</v>
      </c>
      <c r="E119" s="26" t="s">
        <v>5581</v>
      </c>
      <c r="F119" s="39" t="str">
        <f t="shared" si="4"/>
        <v/>
      </c>
      <c r="G119" s="39" t="str">
        <f t="shared" si="5"/>
        <v/>
      </c>
      <c r="H119" s="39" t="str">
        <f t="shared" si="6"/>
        <v/>
      </c>
      <c r="I119" s="39" t="str">
        <f t="shared" si="7"/>
        <v/>
      </c>
      <c r="J119" s="39" t="str">
        <f>""</f>
        <v/>
      </c>
    </row>
    <row r="120" spans="1:10">
      <c r="A120" s="26" t="s">
        <v>287</v>
      </c>
      <c r="E120" s="26" t="s">
        <v>5581</v>
      </c>
      <c r="F120" s="39" t="str">
        <f t="shared" si="4"/>
        <v/>
      </c>
      <c r="G120" s="39" t="str">
        <f t="shared" si="5"/>
        <v/>
      </c>
      <c r="H120" s="39" t="str">
        <f t="shared" si="6"/>
        <v/>
      </c>
      <c r="I120" s="39" t="str">
        <f t="shared" si="7"/>
        <v/>
      </c>
      <c r="J120" s="39" t="str">
        <f>""</f>
        <v/>
      </c>
    </row>
    <row r="121" spans="1:10">
      <c r="A121" s="26" t="s">
        <v>289</v>
      </c>
      <c r="E121" s="26" t="s">
        <v>5581</v>
      </c>
      <c r="F121" s="39" t="str">
        <f t="shared" si="4"/>
        <v/>
      </c>
      <c r="G121" s="39" t="str">
        <f t="shared" si="5"/>
        <v/>
      </c>
      <c r="H121" s="39" t="str">
        <f t="shared" si="6"/>
        <v/>
      </c>
      <c r="I121" s="39" t="str">
        <f t="shared" si="7"/>
        <v/>
      </c>
      <c r="J121" s="39" t="str">
        <f>""</f>
        <v/>
      </c>
    </row>
    <row r="122" spans="1:10">
      <c r="A122" s="26" t="s">
        <v>2024</v>
      </c>
      <c r="E122" s="26" t="s">
        <v>5581</v>
      </c>
      <c r="F122" s="39" t="str">
        <f t="shared" si="4"/>
        <v/>
      </c>
      <c r="G122" s="39" t="str">
        <f t="shared" si="5"/>
        <v/>
      </c>
      <c r="H122" s="39" t="str">
        <f t="shared" si="6"/>
        <v/>
      </c>
      <c r="I122" s="39" t="str">
        <f t="shared" si="7"/>
        <v/>
      </c>
      <c r="J122" s="39" t="str">
        <f>""</f>
        <v/>
      </c>
    </row>
    <row r="123" spans="1:10">
      <c r="A123" s="26" t="s">
        <v>2026</v>
      </c>
      <c r="E123" s="26" t="s">
        <v>5581</v>
      </c>
      <c r="F123" s="39" t="str">
        <f t="shared" si="4"/>
        <v/>
      </c>
      <c r="G123" s="39" t="str">
        <f t="shared" si="5"/>
        <v/>
      </c>
      <c r="H123" s="39" t="str">
        <f t="shared" si="6"/>
        <v/>
      </c>
      <c r="I123" s="39" t="str">
        <f t="shared" si="7"/>
        <v/>
      </c>
      <c r="J123" s="39" t="str">
        <f>""</f>
        <v/>
      </c>
    </row>
    <row r="124" spans="1:10">
      <c r="A124" s="26" t="s">
        <v>290</v>
      </c>
      <c r="E124" s="26" t="s">
        <v>5581</v>
      </c>
      <c r="F124" s="39" t="str">
        <f t="shared" si="4"/>
        <v/>
      </c>
      <c r="G124" s="39" t="str">
        <f t="shared" si="5"/>
        <v/>
      </c>
      <c r="H124" s="39" t="str">
        <f t="shared" si="6"/>
        <v/>
      </c>
      <c r="I124" s="39" t="str">
        <f t="shared" si="7"/>
        <v/>
      </c>
      <c r="J124" s="39" t="str">
        <f>""</f>
        <v/>
      </c>
    </row>
    <row r="125" spans="1:10">
      <c r="A125" s="26" t="s">
        <v>293</v>
      </c>
      <c r="E125" s="26" t="s">
        <v>5581</v>
      </c>
      <c r="F125" s="39" t="str">
        <f t="shared" si="4"/>
        <v/>
      </c>
      <c r="G125" s="39" t="str">
        <f t="shared" si="5"/>
        <v/>
      </c>
      <c r="H125" s="39" t="str">
        <f t="shared" si="6"/>
        <v/>
      </c>
      <c r="I125" s="39" t="str">
        <f t="shared" si="7"/>
        <v/>
      </c>
      <c r="J125" s="39" t="str">
        <f>""</f>
        <v/>
      </c>
    </row>
    <row r="126" spans="1:10">
      <c r="A126" s="26" t="s">
        <v>295</v>
      </c>
      <c r="E126" s="26" t="s">
        <v>5581</v>
      </c>
      <c r="F126" s="39" t="str">
        <f t="shared" si="4"/>
        <v/>
      </c>
      <c r="G126" s="39" t="str">
        <f t="shared" si="5"/>
        <v/>
      </c>
      <c r="H126" s="39" t="str">
        <f t="shared" si="6"/>
        <v/>
      </c>
      <c r="I126" s="39" t="str">
        <f t="shared" si="7"/>
        <v/>
      </c>
      <c r="J126" s="39" t="str">
        <f>""</f>
        <v/>
      </c>
    </row>
    <row r="127" spans="1:10">
      <c r="A127" s="26" t="s">
        <v>297</v>
      </c>
      <c r="E127" s="26" t="s">
        <v>5581</v>
      </c>
      <c r="F127" s="39" t="str">
        <f t="shared" si="4"/>
        <v/>
      </c>
      <c r="G127" s="39" t="str">
        <f t="shared" si="5"/>
        <v/>
      </c>
      <c r="H127" s="39" t="str">
        <f t="shared" si="6"/>
        <v/>
      </c>
      <c r="I127" s="39" t="str">
        <f t="shared" si="7"/>
        <v/>
      </c>
      <c r="J127" s="39" t="str">
        <f>""</f>
        <v/>
      </c>
    </row>
    <row r="128" spans="1:10">
      <c r="A128" s="26" t="s">
        <v>2027</v>
      </c>
      <c r="E128" s="26" t="s">
        <v>5581</v>
      </c>
      <c r="F128" s="39" t="str">
        <f t="shared" si="4"/>
        <v/>
      </c>
      <c r="G128" s="39" t="str">
        <f t="shared" si="5"/>
        <v/>
      </c>
      <c r="H128" s="39" t="str">
        <f t="shared" si="6"/>
        <v/>
      </c>
      <c r="I128" s="39" t="str">
        <f t="shared" si="7"/>
        <v/>
      </c>
      <c r="J128" s="39" t="str">
        <f>""</f>
        <v/>
      </c>
    </row>
    <row r="129" spans="1:10">
      <c r="A129" s="26" t="s">
        <v>2029</v>
      </c>
      <c r="E129" s="26" t="s">
        <v>5581</v>
      </c>
      <c r="F129" s="39" t="str">
        <f t="shared" si="4"/>
        <v/>
      </c>
      <c r="G129" s="39" t="str">
        <f t="shared" si="5"/>
        <v/>
      </c>
      <c r="H129" s="39" t="str">
        <f t="shared" si="6"/>
        <v/>
      </c>
      <c r="I129" s="39" t="str">
        <f t="shared" si="7"/>
        <v/>
      </c>
      <c r="J129" s="39" t="str">
        <f>""</f>
        <v/>
      </c>
    </row>
    <row r="130" spans="1:10">
      <c r="A130" s="26" t="s">
        <v>298</v>
      </c>
      <c r="E130" s="26" t="s">
        <v>5581</v>
      </c>
      <c r="F130" s="39" t="str">
        <f t="shared" si="4"/>
        <v/>
      </c>
      <c r="G130" s="39" t="str">
        <f t="shared" si="5"/>
        <v/>
      </c>
      <c r="H130" s="39" t="str">
        <f t="shared" si="6"/>
        <v/>
      </c>
      <c r="I130" s="39" t="str">
        <f t="shared" si="7"/>
        <v/>
      </c>
      <c r="J130" s="39" t="str">
        <f>""</f>
        <v/>
      </c>
    </row>
    <row r="131" spans="1:10">
      <c r="A131" s="26" t="s">
        <v>300</v>
      </c>
      <c r="E131" s="26" t="s">
        <v>5581</v>
      </c>
      <c r="F131" s="39" t="str">
        <f t="shared" ref="F131:F194" si="8">IF(C131="","",IF(C131&lt;99,C131,""))</f>
        <v/>
      </c>
      <c r="G131" s="39" t="str">
        <f t="shared" ref="G131:G194" si="9">IF(OR(F131&lt;&gt;"",D131&lt;&gt;""),C131,"")</f>
        <v/>
      </c>
      <c r="H131" s="39" t="str">
        <f t="shared" ref="H131:H194" si="10">IF(C131="","",C131)</f>
        <v/>
      </c>
      <c r="I131" s="39" t="str">
        <f t="shared" ref="I131:I194" si="11">IF(AND(C131&lt;&gt;"",D131&lt;&gt;""),C131,"")</f>
        <v/>
      </c>
      <c r="J131" s="39" t="str">
        <f>""</f>
        <v/>
      </c>
    </row>
    <row r="132" spans="1:10">
      <c r="A132" s="26" t="s">
        <v>301</v>
      </c>
      <c r="E132" s="26" t="s">
        <v>5581</v>
      </c>
      <c r="F132" s="39" t="str">
        <f t="shared" si="8"/>
        <v/>
      </c>
      <c r="G132" s="39" t="str">
        <f t="shared" si="9"/>
        <v/>
      </c>
      <c r="H132" s="39" t="str">
        <f t="shared" si="10"/>
        <v/>
      </c>
      <c r="I132" s="39" t="str">
        <f t="shared" si="11"/>
        <v/>
      </c>
      <c r="J132" s="39" t="str">
        <f>""</f>
        <v/>
      </c>
    </row>
    <row r="133" spans="1:10">
      <c r="A133" s="26" t="s">
        <v>303</v>
      </c>
      <c r="E133" s="26" t="s">
        <v>5581</v>
      </c>
      <c r="F133" s="39" t="str">
        <f t="shared" si="8"/>
        <v/>
      </c>
      <c r="G133" s="39" t="str">
        <f t="shared" si="9"/>
        <v/>
      </c>
      <c r="H133" s="39" t="str">
        <f t="shared" si="10"/>
        <v/>
      </c>
      <c r="I133" s="39" t="str">
        <f t="shared" si="11"/>
        <v/>
      </c>
      <c r="J133" s="39" t="str">
        <f>""</f>
        <v/>
      </c>
    </row>
    <row r="134" spans="1:10">
      <c r="A134" s="26" t="s">
        <v>304</v>
      </c>
      <c r="E134" s="26" t="s">
        <v>5581</v>
      </c>
      <c r="F134" s="39" t="str">
        <f t="shared" si="8"/>
        <v/>
      </c>
      <c r="G134" s="39" t="str">
        <f t="shared" si="9"/>
        <v/>
      </c>
      <c r="H134" s="39" t="str">
        <f t="shared" si="10"/>
        <v/>
      </c>
      <c r="I134" s="39" t="str">
        <f t="shared" si="11"/>
        <v/>
      </c>
      <c r="J134" s="39" t="str">
        <f>""</f>
        <v/>
      </c>
    </row>
    <row r="135" spans="1:10">
      <c r="A135" s="26" t="s">
        <v>307</v>
      </c>
      <c r="E135" s="26" t="s">
        <v>5581</v>
      </c>
      <c r="F135" s="39" t="str">
        <f t="shared" si="8"/>
        <v/>
      </c>
      <c r="G135" s="39" t="str">
        <f t="shared" si="9"/>
        <v/>
      </c>
      <c r="H135" s="39" t="str">
        <f t="shared" si="10"/>
        <v/>
      </c>
      <c r="I135" s="39" t="str">
        <f t="shared" si="11"/>
        <v/>
      </c>
      <c r="J135" s="39" t="str">
        <f>""</f>
        <v/>
      </c>
    </row>
    <row r="136" spans="1:10">
      <c r="A136" s="26" t="s">
        <v>308</v>
      </c>
      <c r="E136" s="26" t="s">
        <v>5581</v>
      </c>
      <c r="F136" s="39" t="str">
        <f t="shared" si="8"/>
        <v/>
      </c>
      <c r="G136" s="39" t="str">
        <f t="shared" si="9"/>
        <v/>
      </c>
      <c r="H136" s="39" t="str">
        <f t="shared" si="10"/>
        <v/>
      </c>
      <c r="I136" s="39" t="str">
        <f t="shared" si="11"/>
        <v/>
      </c>
      <c r="J136" s="39" t="str">
        <f>""</f>
        <v/>
      </c>
    </row>
    <row r="137" spans="1:10">
      <c r="A137" s="26" t="s">
        <v>310</v>
      </c>
      <c r="E137" s="26" t="s">
        <v>5581</v>
      </c>
      <c r="F137" s="39" t="str">
        <f t="shared" si="8"/>
        <v/>
      </c>
      <c r="G137" s="39" t="str">
        <f t="shared" si="9"/>
        <v/>
      </c>
      <c r="H137" s="39" t="str">
        <f t="shared" si="10"/>
        <v/>
      </c>
      <c r="I137" s="39" t="str">
        <f t="shared" si="11"/>
        <v/>
      </c>
      <c r="J137" s="39" t="str">
        <f>""</f>
        <v/>
      </c>
    </row>
    <row r="138" spans="1:10">
      <c r="A138" s="26" t="s">
        <v>311</v>
      </c>
      <c r="E138" s="26" t="s">
        <v>5581</v>
      </c>
      <c r="F138" s="39" t="str">
        <f t="shared" si="8"/>
        <v/>
      </c>
      <c r="G138" s="39" t="str">
        <f t="shared" si="9"/>
        <v/>
      </c>
      <c r="H138" s="39" t="str">
        <f t="shared" si="10"/>
        <v/>
      </c>
      <c r="I138" s="39" t="str">
        <f t="shared" si="11"/>
        <v/>
      </c>
      <c r="J138" s="39" t="str">
        <f>""</f>
        <v/>
      </c>
    </row>
    <row r="139" spans="1:10">
      <c r="A139" s="26" t="s">
        <v>315</v>
      </c>
      <c r="E139" s="26" t="s">
        <v>5581</v>
      </c>
      <c r="F139" s="39" t="str">
        <f t="shared" si="8"/>
        <v/>
      </c>
      <c r="G139" s="39" t="str">
        <f t="shared" si="9"/>
        <v/>
      </c>
      <c r="H139" s="39" t="str">
        <f t="shared" si="10"/>
        <v/>
      </c>
      <c r="I139" s="39" t="str">
        <f t="shared" si="11"/>
        <v/>
      </c>
      <c r="J139" s="39" t="str">
        <f>""</f>
        <v/>
      </c>
    </row>
    <row r="140" spans="1:10">
      <c r="A140" s="26" t="s">
        <v>316</v>
      </c>
      <c r="E140" s="26" t="s">
        <v>5581</v>
      </c>
      <c r="F140" s="39" t="str">
        <f t="shared" si="8"/>
        <v/>
      </c>
      <c r="G140" s="39" t="str">
        <f t="shared" si="9"/>
        <v/>
      </c>
      <c r="H140" s="39" t="str">
        <f t="shared" si="10"/>
        <v/>
      </c>
      <c r="I140" s="39" t="str">
        <f t="shared" si="11"/>
        <v/>
      </c>
      <c r="J140" s="39" t="str">
        <f>""</f>
        <v/>
      </c>
    </row>
    <row r="141" spans="1:10">
      <c r="A141" s="26" t="s">
        <v>319</v>
      </c>
      <c r="E141" s="26" t="s">
        <v>5581</v>
      </c>
      <c r="F141" s="39" t="str">
        <f t="shared" si="8"/>
        <v/>
      </c>
      <c r="G141" s="39" t="str">
        <f t="shared" si="9"/>
        <v/>
      </c>
      <c r="H141" s="39" t="str">
        <f t="shared" si="10"/>
        <v/>
      </c>
      <c r="I141" s="39" t="str">
        <f t="shared" si="11"/>
        <v/>
      </c>
      <c r="J141" s="39" t="str">
        <f>""</f>
        <v/>
      </c>
    </row>
    <row r="142" spans="1:10">
      <c r="A142" s="26" t="s">
        <v>320</v>
      </c>
      <c r="E142" s="26" t="s">
        <v>3790</v>
      </c>
      <c r="F142" s="39" t="str">
        <f t="shared" si="8"/>
        <v/>
      </c>
      <c r="G142" s="39" t="str">
        <f t="shared" si="9"/>
        <v/>
      </c>
      <c r="H142" s="39" t="str">
        <f t="shared" si="10"/>
        <v/>
      </c>
      <c r="I142" s="39" t="str">
        <f t="shared" si="11"/>
        <v/>
      </c>
      <c r="J142" s="39" t="str">
        <f>""</f>
        <v/>
      </c>
    </row>
    <row r="143" spans="1:10">
      <c r="A143" s="26" t="s">
        <v>322</v>
      </c>
      <c r="E143" s="26" t="s">
        <v>5581</v>
      </c>
      <c r="F143" s="39" t="str">
        <f t="shared" si="8"/>
        <v/>
      </c>
      <c r="G143" s="39" t="str">
        <f t="shared" si="9"/>
        <v/>
      </c>
      <c r="H143" s="39" t="str">
        <f t="shared" si="10"/>
        <v/>
      </c>
      <c r="I143" s="39" t="str">
        <f t="shared" si="11"/>
        <v/>
      </c>
      <c r="J143" s="39" t="str">
        <f>""</f>
        <v/>
      </c>
    </row>
    <row r="144" spans="1:10">
      <c r="A144" s="26" t="s">
        <v>323</v>
      </c>
      <c r="E144" s="26" t="s">
        <v>5581</v>
      </c>
      <c r="F144" s="39" t="str">
        <f t="shared" si="8"/>
        <v/>
      </c>
      <c r="G144" s="39" t="str">
        <f t="shared" si="9"/>
        <v/>
      </c>
      <c r="H144" s="39" t="str">
        <f t="shared" si="10"/>
        <v/>
      </c>
      <c r="I144" s="39" t="str">
        <f t="shared" si="11"/>
        <v/>
      </c>
      <c r="J144" s="39" t="str">
        <f>""</f>
        <v/>
      </c>
    </row>
    <row r="145" spans="1:10">
      <c r="A145" s="26" t="s">
        <v>326</v>
      </c>
      <c r="E145" s="26" t="s">
        <v>5581</v>
      </c>
      <c r="F145" s="39" t="str">
        <f t="shared" si="8"/>
        <v/>
      </c>
      <c r="G145" s="39" t="str">
        <f t="shared" si="9"/>
        <v/>
      </c>
      <c r="H145" s="39" t="str">
        <f t="shared" si="10"/>
        <v/>
      </c>
      <c r="I145" s="39" t="str">
        <f t="shared" si="11"/>
        <v/>
      </c>
      <c r="J145" s="39" t="str">
        <f>""</f>
        <v/>
      </c>
    </row>
    <row r="146" spans="1:10">
      <c r="A146" s="26" t="s">
        <v>2030</v>
      </c>
      <c r="E146" s="26" t="s">
        <v>5581</v>
      </c>
      <c r="F146" s="39" t="str">
        <f t="shared" si="8"/>
        <v/>
      </c>
      <c r="G146" s="39" t="str">
        <f t="shared" si="9"/>
        <v/>
      </c>
      <c r="H146" s="39" t="str">
        <f t="shared" si="10"/>
        <v/>
      </c>
      <c r="I146" s="39" t="str">
        <f t="shared" si="11"/>
        <v/>
      </c>
      <c r="J146" s="39" t="str">
        <f>""</f>
        <v/>
      </c>
    </row>
    <row r="147" spans="1:10">
      <c r="A147" s="26" t="s">
        <v>2032</v>
      </c>
      <c r="E147" s="26" t="s">
        <v>5581</v>
      </c>
      <c r="F147" s="39" t="str">
        <f t="shared" si="8"/>
        <v/>
      </c>
      <c r="G147" s="39" t="str">
        <f t="shared" si="9"/>
        <v/>
      </c>
      <c r="H147" s="39" t="str">
        <f t="shared" si="10"/>
        <v/>
      </c>
      <c r="I147" s="39" t="str">
        <f t="shared" si="11"/>
        <v/>
      </c>
      <c r="J147" s="39" t="str">
        <f>""</f>
        <v/>
      </c>
    </row>
    <row r="148" spans="1:10">
      <c r="A148" s="26" t="s">
        <v>327</v>
      </c>
      <c r="E148" s="26" t="s">
        <v>5581</v>
      </c>
      <c r="F148" s="39" t="str">
        <f t="shared" si="8"/>
        <v/>
      </c>
      <c r="G148" s="39" t="str">
        <f t="shared" si="9"/>
        <v/>
      </c>
      <c r="H148" s="39" t="str">
        <f t="shared" si="10"/>
        <v/>
      </c>
      <c r="I148" s="39" t="str">
        <f t="shared" si="11"/>
        <v/>
      </c>
      <c r="J148" s="39" t="str">
        <f>""</f>
        <v/>
      </c>
    </row>
    <row r="149" spans="1:10">
      <c r="A149" s="26" t="s">
        <v>6306</v>
      </c>
      <c r="E149" s="26" t="s">
        <v>3790</v>
      </c>
      <c r="F149" s="39" t="str">
        <f t="shared" si="8"/>
        <v/>
      </c>
      <c r="G149" s="39" t="str">
        <f t="shared" si="9"/>
        <v/>
      </c>
      <c r="H149" s="39" t="str">
        <f t="shared" si="10"/>
        <v/>
      </c>
      <c r="I149" s="39" t="str">
        <f t="shared" si="11"/>
        <v/>
      </c>
      <c r="J149" s="39" t="str">
        <f>""</f>
        <v/>
      </c>
    </row>
    <row r="150" spans="1:10">
      <c r="A150" s="26" t="s">
        <v>332</v>
      </c>
      <c r="E150" s="26" t="s">
        <v>5581</v>
      </c>
      <c r="F150" s="39" t="str">
        <f t="shared" si="8"/>
        <v/>
      </c>
      <c r="G150" s="39" t="str">
        <f t="shared" si="9"/>
        <v/>
      </c>
      <c r="H150" s="39" t="str">
        <f t="shared" si="10"/>
        <v/>
      </c>
      <c r="I150" s="39" t="str">
        <f t="shared" si="11"/>
        <v/>
      </c>
      <c r="J150" s="39" t="str">
        <f>""</f>
        <v/>
      </c>
    </row>
    <row r="151" spans="1:10">
      <c r="A151" s="26" t="s">
        <v>333</v>
      </c>
      <c r="E151" s="26" t="s">
        <v>5581</v>
      </c>
      <c r="F151" s="39" t="str">
        <f t="shared" si="8"/>
        <v/>
      </c>
      <c r="G151" s="39" t="str">
        <f t="shared" si="9"/>
        <v/>
      </c>
      <c r="H151" s="39" t="str">
        <f t="shared" si="10"/>
        <v/>
      </c>
      <c r="I151" s="39" t="str">
        <f t="shared" si="11"/>
        <v/>
      </c>
      <c r="J151" s="39" t="str">
        <f>""</f>
        <v/>
      </c>
    </row>
    <row r="152" spans="1:10">
      <c r="A152" s="26" t="s">
        <v>335</v>
      </c>
      <c r="E152" s="26" t="s">
        <v>5581</v>
      </c>
      <c r="F152" s="39" t="str">
        <f t="shared" si="8"/>
        <v/>
      </c>
      <c r="G152" s="39" t="str">
        <f t="shared" si="9"/>
        <v/>
      </c>
      <c r="H152" s="39" t="str">
        <f t="shared" si="10"/>
        <v/>
      </c>
      <c r="I152" s="39" t="str">
        <f t="shared" si="11"/>
        <v/>
      </c>
      <c r="J152" s="39" t="str">
        <f>""</f>
        <v/>
      </c>
    </row>
    <row r="153" spans="1:10">
      <c r="A153" s="26" t="s">
        <v>336</v>
      </c>
      <c r="E153" s="26" t="s">
        <v>5581</v>
      </c>
      <c r="F153" s="39" t="str">
        <f t="shared" si="8"/>
        <v/>
      </c>
      <c r="G153" s="39" t="str">
        <f t="shared" si="9"/>
        <v/>
      </c>
      <c r="H153" s="39" t="str">
        <f t="shared" si="10"/>
        <v/>
      </c>
      <c r="I153" s="39" t="str">
        <f t="shared" si="11"/>
        <v/>
      </c>
      <c r="J153" s="39" t="str">
        <f>""</f>
        <v/>
      </c>
    </row>
    <row r="154" spans="1:10">
      <c r="A154" s="26" t="s">
        <v>339</v>
      </c>
      <c r="E154" s="26" t="s">
        <v>5581</v>
      </c>
      <c r="F154" s="39" t="str">
        <f t="shared" si="8"/>
        <v/>
      </c>
      <c r="G154" s="39" t="str">
        <f t="shared" si="9"/>
        <v/>
      </c>
      <c r="H154" s="39" t="str">
        <f t="shared" si="10"/>
        <v/>
      </c>
      <c r="I154" s="39" t="str">
        <f t="shared" si="11"/>
        <v/>
      </c>
      <c r="J154" s="39" t="str">
        <f>""</f>
        <v/>
      </c>
    </row>
    <row r="155" spans="1:10">
      <c r="A155" s="26" t="s">
        <v>340</v>
      </c>
      <c r="E155" s="26" t="s">
        <v>5581</v>
      </c>
      <c r="F155" s="39" t="str">
        <f t="shared" si="8"/>
        <v/>
      </c>
      <c r="G155" s="39" t="str">
        <f t="shared" si="9"/>
        <v/>
      </c>
      <c r="H155" s="39" t="str">
        <f t="shared" si="10"/>
        <v/>
      </c>
      <c r="I155" s="39" t="str">
        <f t="shared" si="11"/>
        <v/>
      </c>
      <c r="J155" s="39" t="str">
        <f>""</f>
        <v/>
      </c>
    </row>
    <row r="156" spans="1:10">
      <c r="A156" s="26" t="s">
        <v>343</v>
      </c>
      <c r="E156" s="26" t="s">
        <v>5581</v>
      </c>
      <c r="F156" s="39" t="str">
        <f t="shared" si="8"/>
        <v/>
      </c>
      <c r="G156" s="39" t="str">
        <f t="shared" si="9"/>
        <v/>
      </c>
      <c r="H156" s="39" t="str">
        <f t="shared" si="10"/>
        <v/>
      </c>
      <c r="I156" s="39" t="str">
        <f t="shared" si="11"/>
        <v/>
      </c>
      <c r="J156" s="39" t="str">
        <f>""</f>
        <v/>
      </c>
    </row>
    <row r="157" spans="1:10">
      <c r="A157" s="26" t="s">
        <v>2033</v>
      </c>
      <c r="E157" s="26" t="s">
        <v>5581</v>
      </c>
      <c r="F157" s="39" t="str">
        <f t="shared" si="8"/>
        <v/>
      </c>
      <c r="G157" s="39" t="str">
        <f t="shared" si="9"/>
        <v/>
      </c>
      <c r="H157" s="39" t="str">
        <f t="shared" si="10"/>
        <v/>
      </c>
      <c r="I157" s="39" t="str">
        <f t="shared" si="11"/>
        <v/>
      </c>
      <c r="J157" s="39" t="str">
        <f>""</f>
        <v/>
      </c>
    </row>
    <row r="158" spans="1:10">
      <c r="A158" s="26" t="s">
        <v>2035</v>
      </c>
      <c r="E158" s="26" t="s">
        <v>5581</v>
      </c>
      <c r="F158" s="39" t="str">
        <f t="shared" si="8"/>
        <v/>
      </c>
      <c r="G158" s="39" t="str">
        <f t="shared" si="9"/>
        <v/>
      </c>
      <c r="H158" s="39" t="str">
        <f t="shared" si="10"/>
        <v/>
      </c>
      <c r="I158" s="39" t="str">
        <f t="shared" si="11"/>
        <v/>
      </c>
      <c r="J158" s="39" t="str">
        <f>""</f>
        <v/>
      </c>
    </row>
    <row r="159" spans="1:10">
      <c r="A159" s="26" t="s">
        <v>3321</v>
      </c>
      <c r="E159" s="26" t="s">
        <v>5582</v>
      </c>
      <c r="F159" s="39" t="str">
        <f t="shared" si="8"/>
        <v/>
      </c>
      <c r="G159" s="39" t="str">
        <f t="shared" si="9"/>
        <v/>
      </c>
      <c r="H159" s="39" t="str">
        <f t="shared" si="10"/>
        <v/>
      </c>
      <c r="I159" s="39" t="str">
        <f t="shared" si="11"/>
        <v/>
      </c>
      <c r="J159" s="39" t="str">
        <f>""</f>
        <v/>
      </c>
    </row>
    <row r="160" spans="1:10">
      <c r="A160" s="26" t="s">
        <v>344</v>
      </c>
      <c r="E160" s="26" t="s">
        <v>5581</v>
      </c>
      <c r="F160" s="39" t="str">
        <f t="shared" si="8"/>
        <v/>
      </c>
      <c r="G160" s="39" t="str">
        <f t="shared" si="9"/>
        <v/>
      </c>
      <c r="H160" s="39" t="str">
        <f t="shared" si="10"/>
        <v/>
      </c>
      <c r="I160" s="39" t="str">
        <f t="shared" si="11"/>
        <v/>
      </c>
      <c r="J160" s="39" t="str">
        <f>""</f>
        <v/>
      </c>
    </row>
    <row r="161" spans="1:10">
      <c r="A161" s="26" t="s">
        <v>346</v>
      </c>
      <c r="E161" s="26" t="s">
        <v>5582</v>
      </c>
      <c r="F161" s="39" t="str">
        <f t="shared" si="8"/>
        <v/>
      </c>
      <c r="G161" s="39" t="str">
        <f t="shared" si="9"/>
        <v/>
      </c>
      <c r="H161" s="39" t="str">
        <f t="shared" si="10"/>
        <v/>
      </c>
      <c r="I161" s="39" t="str">
        <f t="shared" si="11"/>
        <v/>
      </c>
      <c r="J161" s="39" t="str">
        <f>""</f>
        <v/>
      </c>
    </row>
    <row r="162" spans="1:10">
      <c r="A162" s="26" t="s">
        <v>347</v>
      </c>
      <c r="E162" s="26" t="s">
        <v>5582</v>
      </c>
      <c r="F162" s="39" t="str">
        <f t="shared" si="8"/>
        <v/>
      </c>
      <c r="G162" s="39" t="str">
        <f t="shared" si="9"/>
        <v/>
      </c>
      <c r="H162" s="39" t="str">
        <f t="shared" si="10"/>
        <v/>
      </c>
      <c r="I162" s="39" t="str">
        <f t="shared" si="11"/>
        <v/>
      </c>
      <c r="J162" s="39" t="str">
        <f>""</f>
        <v/>
      </c>
    </row>
    <row r="163" spans="1:10">
      <c r="A163" s="26" t="s">
        <v>348</v>
      </c>
      <c r="E163" s="26" t="s">
        <v>3790</v>
      </c>
      <c r="F163" s="39" t="str">
        <f t="shared" si="8"/>
        <v/>
      </c>
      <c r="G163" s="39" t="str">
        <f t="shared" si="9"/>
        <v/>
      </c>
      <c r="H163" s="39" t="str">
        <f t="shared" si="10"/>
        <v/>
      </c>
      <c r="I163" s="39" t="str">
        <f t="shared" si="11"/>
        <v/>
      </c>
      <c r="J163" s="39" t="str">
        <f>""</f>
        <v/>
      </c>
    </row>
    <row r="164" spans="1:10">
      <c r="A164" s="26" t="s">
        <v>5950</v>
      </c>
      <c r="E164" s="26" t="s">
        <v>3790</v>
      </c>
      <c r="F164" s="39" t="str">
        <f t="shared" si="8"/>
        <v/>
      </c>
      <c r="G164" s="39" t="str">
        <f t="shared" si="9"/>
        <v/>
      </c>
      <c r="H164" s="39" t="str">
        <f t="shared" si="10"/>
        <v/>
      </c>
      <c r="I164" s="39" t="str">
        <f t="shared" si="11"/>
        <v/>
      </c>
      <c r="J164" s="39" t="str">
        <f>""</f>
        <v/>
      </c>
    </row>
    <row r="165" spans="1:10">
      <c r="A165" s="26" t="s">
        <v>3323</v>
      </c>
      <c r="E165" s="26" t="s">
        <v>3790</v>
      </c>
      <c r="F165" s="39" t="str">
        <f t="shared" si="8"/>
        <v/>
      </c>
      <c r="G165" s="39" t="str">
        <f t="shared" si="9"/>
        <v/>
      </c>
      <c r="H165" s="39" t="str">
        <f t="shared" si="10"/>
        <v/>
      </c>
      <c r="I165" s="39" t="str">
        <f t="shared" si="11"/>
        <v/>
      </c>
      <c r="J165" s="39" t="str">
        <f>""</f>
        <v/>
      </c>
    </row>
    <row r="166" spans="1:10">
      <c r="A166" s="26" t="s">
        <v>350</v>
      </c>
      <c r="E166" s="26" t="s">
        <v>5581</v>
      </c>
      <c r="F166" s="39" t="str">
        <f t="shared" si="8"/>
        <v/>
      </c>
      <c r="G166" s="39" t="str">
        <f t="shared" si="9"/>
        <v/>
      </c>
      <c r="H166" s="39" t="str">
        <f t="shared" si="10"/>
        <v/>
      </c>
      <c r="I166" s="39" t="str">
        <f t="shared" si="11"/>
        <v/>
      </c>
      <c r="J166" s="39" t="str">
        <f>""</f>
        <v/>
      </c>
    </row>
    <row r="167" spans="1:10">
      <c r="A167" s="26" t="s">
        <v>352</v>
      </c>
      <c r="E167" s="26" t="s">
        <v>5581</v>
      </c>
      <c r="F167" s="39" t="str">
        <f t="shared" si="8"/>
        <v/>
      </c>
      <c r="G167" s="39" t="str">
        <f t="shared" si="9"/>
        <v/>
      </c>
      <c r="H167" s="39" t="str">
        <f t="shared" si="10"/>
        <v/>
      </c>
      <c r="I167" s="39" t="str">
        <f t="shared" si="11"/>
        <v/>
      </c>
      <c r="J167" s="39" t="str">
        <f>""</f>
        <v/>
      </c>
    </row>
    <row r="168" spans="1:10">
      <c r="A168" s="26" t="s">
        <v>353</v>
      </c>
      <c r="E168" s="26" t="s">
        <v>5581</v>
      </c>
      <c r="F168" s="39" t="str">
        <f t="shared" si="8"/>
        <v/>
      </c>
      <c r="G168" s="39" t="str">
        <f t="shared" si="9"/>
        <v/>
      </c>
      <c r="H168" s="39" t="str">
        <f t="shared" si="10"/>
        <v/>
      </c>
      <c r="I168" s="39" t="str">
        <f t="shared" si="11"/>
        <v/>
      </c>
      <c r="J168" s="39" t="str">
        <f>""</f>
        <v/>
      </c>
    </row>
    <row r="169" spans="1:10">
      <c r="A169" s="26" t="s">
        <v>355</v>
      </c>
      <c r="E169" s="26" t="s">
        <v>5581</v>
      </c>
      <c r="F169" s="39" t="str">
        <f t="shared" si="8"/>
        <v/>
      </c>
      <c r="G169" s="39" t="str">
        <f t="shared" si="9"/>
        <v/>
      </c>
      <c r="H169" s="39" t="str">
        <f t="shared" si="10"/>
        <v/>
      </c>
      <c r="I169" s="39" t="str">
        <f t="shared" si="11"/>
        <v/>
      </c>
      <c r="J169" s="39" t="str">
        <f>""</f>
        <v/>
      </c>
    </row>
    <row r="170" spans="1:10">
      <c r="A170" s="26" t="s">
        <v>356</v>
      </c>
      <c r="E170" s="26" t="s">
        <v>5581</v>
      </c>
      <c r="F170" s="39" t="str">
        <f t="shared" si="8"/>
        <v/>
      </c>
      <c r="G170" s="39" t="str">
        <f t="shared" si="9"/>
        <v/>
      </c>
      <c r="H170" s="39" t="str">
        <f t="shared" si="10"/>
        <v/>
      </c>
      <c r="I170" s="39" t="str">
        <f t="shared" si="11"/>
        <v/>
      </c>
      <c r="J170" s="39" t="str">
        <f>""</f>
        <v/>
      </c>
    </row>
    <row r="171" spans="1:10">
      <c r="A171" s="26" t="s">
        <v>358</v>
      </c>
      <c r="E171" s="26" t="s">
        <v>5581</v>
      </c>
      <c r="F171" s="39" t="str">
        <f t="shared" si="8"/>
        <v/>
      </c>
      <c r="G171" s="39" t="str">
        <f t="shared" si="9"/>
        <v/>
      </c>
      <c r="H171" s="39" t="str">
        <f t="shared" si="10"/>
        <v/>
      </c>
      <c r="I171" s="39" t="str">
        <f t="shared" si="11"/>
        <v/>
      </c>
      <c r="J171" s="39" t="str">
        <f>""</f>
        <v/>
      </c>
    </row>
    <row r="172" spans="1:10">
      <c r="A172" s="26" t="s">
        <v>359</v>
      </c>
      <c r="E172" s="26" t="s">
        <v>5581</v>
      </c>
      <c r="F172" s="39" t="str">
        <f t="shared" si="8"/>
        <v/>
      </c>
      <c r="G172" s="39" t="str">
        <f t="shared" si="9"/>
        <v/>
      </c>
      <c r="H172" s="39" t="str">
        <f t="shared" si="10"/>
        <v/>
      </c>
      <c r="I172" s="39" t="str">
        <f t="shared" si="11"/>
        <v/>
      </c>
      <c r="J172" s="39" t="str">
        <f>""</f>
        <v/>
      </c>
    </row>
    <row r="173" spans="1:10">
      <c r="A173" s="26" t="s">
        <v>361</v>
      </c>
      <c r="E173" s="26" t="s">
        <v>5581</v>
      </c>
      <c r="F173" s="39" t="str">
        <f t="shared" si="8"/>
        <v/>
      </c>
      <c r="G173" s="39" t="str">
        <f t="shared" si="9"/>
        <v/>
      </c>
      <c r="H173" s="39" t="str">
        <f t="shared" si="10"/>
        <v/>
      </c>
      <c r="I173" s="39" t="str">
        <f t="shared" si="11"/>
        <v/>
      </c>
      <c r="J173" s="39" t="str">
        <f>""</f>
        <v/>
      </c>
    </row>
    <row r="174" spans="1:10">
      <c r="A174" s="26" t="s">
        <v>362</v>
      </c>
      <c r="E174" s="26" t="s">
        <v>5582</v>
      </c>
      <c r="F174" s="39" t="str">
        <f t="shared" si="8"/>
        <v/>
      </c>
      <c r="G174" s="39" t="str">
        <f t="shared" si="9"/>
        <v/>
      </c>
      <c r="H174" s="39" t="str">
        <f t="shared" si="10"/>
        <v/>
      </c>
      <c r="I174" s="39" t="str">
        <f t="shared" si="11"/>
        <v/>
      </c>
      <c r="J174" s="39" t="str">
        <f>""</f>
        <v/>
      </c>
    </row>
    <row r="175" spans="1:10">
      <c r="A175" s="26" t="s">
        <v>364</v>
      </c>
      <c r="E175" s="26" t="s">
        <v>5581</v>
      </c>
      <c r="F175" s="39" t="str">
        <f t="shared" si="8"/>
        <v/>
      </c>
      <c r="G175" s="39" t="str">
        <f t="shared" si="9"/>
        <v/>
      </c>
      <c r="H175" s="39" t="str">
        <f t="shared" si="10"/>
        <v/>
      </c>
      <c r="I175" s="39" t="str">
        <f t="shared" si="11"/>
        <v/>
      </c>
      <c r="J175" s="39" t="str">
        <f>""</f>
        <v/>
      </c>
    </row>
    <row r="176" spans="1:10">
      <c r="A176" s="26" t="s">
        <v>366</v>
      </c>
      <c r="E176" s="26" t="s">
        <v>5581</v>
      </c>
      <c r="F176" s="39" t="str">
        <f t="shared" si="8"/>
        <v/>
      </c>
      <c r="G176" s="39" t="str">
        <f t="shared" si="9"/>
        <v/>
      </c>
      <c r="H176" s="39" t="str">
        <f t="shared" si="10"/>
        <v/>
      </c>
      <c r="I176" s="39" t="str">
        <f t="shared" si="11"/>
        <v/>
      </c>
      <c r="J176" s="39" t="str">
        <f>""</f>
        <v/>
      </c>
    </row>
    <row r="177" spans="1:10">
      <c r="A177" s="26" t="s">
        <v>367</v>
      </c>
      <c r="E177" s="26" t="s">
        <v>5581</v>
      </c>
      <c r="F177" s="39" t="str">
        <f t="shared" si="8"/>
        <v/>
      </c>
      <c r="G177" s="39" t="str">
        <f t="shared" si="9"/>
        <v/>
      </c>
      <c r="H177" s="39" t="str">
        <f t="shared" si="10"/>
        <v/>
      </c>
      <c r="I177" s="39" t="str">
        <f t="shared" si="11"/>
        <v/>
      </c>
      <c r="J177" s="39" t="str">
        <f>""</f>
        <v/>
      </c>
    </row>
    <row r="178" spans="1:10">
      <c r="A178" s="26" t="s">
        <v>370</v>
      </c>
      <c r="E178" s="26" t="s">
        <v>5581</v>
      </c>
      <c r="F178" s="39" t="str">
        <f t="shared" si="8"/>
        <v/>
      </c>
      <c r="G178" s="39" t="str">
        <f t="shared" si="9"/>
        <v/>
      </c>
      <c r="H178" s="39" t="str">
        <f t="shared" si="10"/>
        <v/>
      </c>
      <c r="I178" s="39" t="str">
        <f t="shared" si="11"/>
        <v/>
      </c>
      <c r="J178" s="39" t="str">
        <f>""</f>
        <v/>
      </c>
    </row>
    <row r="179" spans="1:10">
      <c r="A179" s="26" t="s">
        <v>372</v>
      </c>
      <c r="E179" s="26" t="s">
        <v>5581</v>
      </c>
      <c r="F179" s="39" t="str">
        <f t="shared" si="8"/>
        <v/>
      </c>
      <c r="G179" s="39" t="str">
        <f t="shared" si="9"/>
        <v/>
      </c>
      <c r="H179" s="39" t="str">
        <f t="shared" si="10"/>
        <v/>
      </c>
      <c r="I179" s="39" t="str">
        <f t="shared" si="11"/>
        <v/>
      </c>
      <c r="J179" s="39" t="str">
        <f>""</f>
        <v/>
      </c>
    </row>
    <row r="180" spans="1:10">
      <c r="A180" s="26" t="s">
        <v>373</v>
      </c>
      <c r="E180" s="26" t="s">
        <v>5581</v>
      </c>
      <c r="F180" s="39" t="str">
        <f t="shared" si="8"/>
        <v/>
      </c>
      <c r="G180" s="39" t="str">
        <f t="shared" si="9"/>
        <v/>
      </c>
      <c r="H180" s="39" t="str">
        <f t="shared" si="10"/>
        <v/>
      </c>
      <c r="I180" s="39" t="str">
        <f t="shared" si="11"/>
        <v/>
      </c>
      <c r="J180" s="39" t="str">
        <f>""</f>
        <v/>
      </c>
    </row>
    <row r="181" spans="1:10">
      <c r="A181" s="26" t="s">
        <v>376</v>
      </c>
      <c r="E181" s="26" t="s">
        <v>5581</v>
      </c>
      <c r="F181" s="39" t="str">
        <f t="shared" si="8"/>
        <v/>
      </c>
      <c r="G181" s="39" t="str">
        <f t="shared" si="9"/>
        <v/>
      </c>
      <c r="H181" s="39" t="str">
        <f t="shared" si="10"/>
        <v/>
      </c>
      <c r="I181" s="39" t="str">
        <f t="shared" si="11"/>
        <v/>
      </c>
      <c r="J181" s="39" t="str">
        <f>""</f>
        <v/>
      </c>
    </row>
    <row r="182" spans="1:10">
      <c r="A182" s="26" t="s">
        <v>378</v>
      </c>
      <c r="E182" s="26" t="s">
        <v>5581</v>
      </c>
      <c r="F182" s="39" t="str">
        <f t="shared" si="8"/>
        <v/>
      </c>
      <c r="G182" s="39" t="str">
        <f t="shared" si="9"/>
        <v/>
      </c>
      <c r="H182" s="39" t="str">
        <f t="shared" si="10"/>
        <v/>
      </c>
      <c r="I182" s="39" t="str">
        <f t="shared" si="11"/>
        <v/>
      </c>
      <c r="J182" s="39" t="str">
        <f>""</f>
        <v/>
      </c>
    </row>
    <row r="183" spans="1:10">
      <c r="A183" s="26" t="s">
        <v>381</v>
      </c>
      <c r="E183" s="26" t="s">
        <v>5581</v>
      </c>
      <c r="F183" s="39" t="str">
        <f t="shared" si="8"/>
        <v/>
      </c>
      <c r="G183" s="39" t="str">
        <f t="shared" si="9"/>
        <v/>
      </c>
      <c r="H183" s="39" t="str">
        <f t="shared" si="10"/>
        <v/>
      </c>
      <c r="I183" s="39" t="str">
        <f t="shared" si="11"/>
        <v/>
      </c>
      <c r="J183" s="39" t="str">
        <f>""</f>
        <v/>
      </c>
    </row>
    <row r="184" spans="1:10">
      <c r="A184" s="26" t="s">
        <v>382</v>
      </c>
      <c r="E184" s="26" t="s">
        <v>5581</v>
      </c>
      <c r="F184" s="39" t="str">
        <f t="shared" si="8"/>
        <v/>
      </c>
      <c r="G184" s="39" t="str">
        <f t="shared" si="9"/>
        <v/>
      </c>
      <c r="H184" s="39" t="str">
        <f t="shared" si="10"/>
        <v/>
      </c>
      <c r="I184" s="39" t="str">
        <f t="shared" si="11"/>
        <v/>
      </c>
      <c r="J184" s="39" t="str">
        <f>""</f>
        <v/>
      </c>
    </row>
    <row r="185" spans="1:10">
      <c r="A185" s="26" t="s">
        <v>384</v>
      </c>
      <c r="E185" s="26" t="s">
        <v>5581</v>
      </c>
      <c r="F185" s="39" t="str">
        <f t="shared" si="8"/>
        <v/>
      </c>
      <c r="G185" s="39" t="str">
        <f t="shared" si="9"/>
        <v/>
      </c>
      <c r="H185" s="39" t="str">
        <f t="shared" si="10"/>
        <v/>
      </c>
      <c r="I185" s="39" t="str">
        <f t="shared" si="11"/>
        <v/>
      </c>
      <c r="J185" s="39" t="str">
        <f>""</f>
        <v/>
      </c>
    </row>
    <row r="186" spans="1:10">
      <c r="A186" s="26" t="s">
        <v>2036</v>
      </c>
      <c r="E186" s="26" t="s">
        <v>5581</v>
      </c>
      <c r="F186" s="39" t="str">
        <f t="shared" si="8"/>
        <v/>
      </c>
      <c r="G186" s="39" t="str">
        <f t="shared" si="9"/>
        <v/>
      </c>
      <c r="H186" s="39" t="str">
        <f t="shared" si="10"/>
        <v/>
      </c>
      <c r="I186" s="39" t="str">
        <f t="shared" si="11"/>
        <v/>
      </c>
      <c r="J186" s="39" t="str">
        <f>""</f>
        <v/>
      </c>
    </row>
    <row r="187" spans="1:10">
      <c r="A187" s="26" t="s">
        <v>2038</v>
      </c>
      <c r="E187" s="26" t="s">
        <v>5581</v>
      </c>
      <c r="F187" s="39" t="str">
        <f t="shared" si="8"/>
        <v/>
      </c>
      <c r="G187" s="39" t="str">
        <f t="shared" si="9"/>
        <v/>
      </c>
      <c r="H187" s="39" t="str">
        <f t="shared" si="10"/>
        <v/>
      </c>
      <c r="I187" s="39" t="str">
        <f t="shared" si="11"/>
        <v/>
      </c>
      <c r="J187" s="39" t="str">
        <f>""</f>
        <v/>
      </c>
    </row>
    <row r="188" spans="1:10">
      <c r="A188" s="26" t="s">
        <v>386</v>
      </c>
      <c r="E188" s="26" t="s">
        <v>5581</v>
      </c>
      <c r="F188" s="39" t="str">
        <f t="shared" si="8"/>
        <v/>
      </c>
      <c r="G188" s="39" t="str">
        <f t="shared" si="9"/>
        <v/>
      </c>
      <c r="H188" s="39" t="str">
        <f t="shared" si="10"/>
        <v/>
      </c>
      <c r="I188" s="39" t="str">
        <f t="shared" si="11"/>
        <v/>
      </c>
      <c r="J188" s="39" t="str">
        <f>""</f>
        <v/>
      </c>
    </row>
    <row r="189" spans="1:10">
      <c r="A189" s="26" t="s">
        <v>389</v>
      </c>
      <c r="C189" s="39">
        <v>200</v>
      </c>
      <c r="E189" s="26" t="s">
        <v>5581</v>
      </c>
      <c r="F189" s="39" t="str">
        <f t="shared" si="8"/>
        <v/>
      </c>
      <c r="G189" s="39" t="str">
        <f t="shared" si="9"/>
        <v/>
      </c>
      <c r="H189" s="39">
        <f t="shared" si="10"/>
        <v>200</v>
      </c>
      <c r="I189" s="39" t="str">
        <f t="shared" si="11"/>
        <v/>
      </c>
      <c r="J189" s="39" t="str">
        <f>""</f>
        <v/>
      </c>
    </row>
    <row r="190" spans="1:10">
      <c r="A190" s="26" t="s">
        <v>2039</v>
      </c>
      <c r="E190" s="26" t="s">
        <v>5581</v>
      </c>
      <c r="F190" s="39" t="str">
        <f t="shared" si="8"/>
        <v/>
      </c>
      <c r="G190" s="39" t="str">
        <f t="shared" si="9"/>
        <v/>
      </c>
      <c r="H190" s="39" t="str">
        <f t="shared" si="10"/>
        <v/>
      </c>
      <c r="I190" s="39" t="str">
        <f t="shared" si="11"/>
        <v/>
      </c>
      <c r="J190" s="39" t="str">
        <f>""</f>
        <v/>
      </c>
    </row>
    <row r="191" spans="1:10">
      <c r="A191" s="26" t="s">
        <v>390</v>
      </c>
      <c r="E191" s="26" t="s">
        <v>5581</v>
      </c>
      <c r="F191" s="39" t="str">
        <f t="shared" si="8"/>
        <v/>
      </c>
      <c r="G191" s="39" t="str">
        <f t="shared" si="9"/>
        <v/>
      </c>
      <c r="H191" s="39" t="str">
        <f t="shared" si="10"/>
        <v/>
      </c>
      <c r="I191" s="39" t="str">
        <f t="shared" si="11"/>
        <v/>
      </c>
      <c r="J191" s="39" t="str">
        <f>""</f>
        <v/>
      </c>
    </row>
    <row r="192" spans="1:10">
      <c r="A192" s="26" t="s">
        <v>392</v>
      </c>
      <c r="E192" s="26" t="s">
        <v>5581</v>
      </c>
      <c r="F192" s="39" t="str">
        <f t="shared" si="8"/>
        <v/>
      </c>
      <c r="G192" s="39" t="str">
        <f t="shared" si="9"/>
        <v/>
      </c>
      <c r="H192" s="39" t="str">
        <f t="shared" si="10"/>
        <v/>
      </c>
      <c r="I192" s="39" t="str">
        <f t="shared" si="11"/>
        <v/>
      </c>
      <c r="J192" s="39" t="str">
        <f>""</f>
        <v/>
      </c>
    </row>
    <row r="193" spans="1:10">
      <c r="A193" s="26" t="s">
        <v>393</v>
      </c>
      <c r="E193" s="26" t="s">
        <v>5581</v>
      </c>
      <c r="F193" s="39" t="str">
        <f t="shared" si="8"/>
        <v/>
      </c>
      <c r="G193" s="39" t="str">
        <f t="shared" si="9"/>
        <v/>
      </c>
      <c r="H193" s="39" t="str">
        <f t="shared" si="10"/>
        <v/>
      </c>
      <c r="I193" s="39" t="str">
        <f t="shared" si="11"/>
        <v/>
      </c>
      <c r="J193" s="39" t="str">
        <f>""</f>
        <v/>
      </c>
    </row>
    <row r="194" spans="1:10">
      <c r="A194" s="26" t="s">
        <v>395</v>
      </c>
      <c r="E194" s="26" t="s">
        <v>5581</v>
      </c>
      <c r="F194" s="39" t="str">
        <f t="shared" si="8"/>
        <v/>
      </c>
      <c r="G194" s="39" t="str">
        <f t="shared" si="9"/>
        <v/>
      </c>
      <c r="H194" s="39" t="str">
        <f t="shared" si="10"/>
        <v/>
      </c>
      <c r="I194" s="39" t="str">
        <f t="shared" si="11"/>
        <v/>
      </c>
      <c r="J194" s="39" t="str">
        <f>""</f>
        <v/>
      </c>
    </row>
    <row r="195" spans="1:10">
      <c r="A195" s="26" t="s">
        <v>396</v>
      </c>
      <c r="E195" s="26" t="s">
        <v>5581</v>
      </c>
      <c r="F195" s="39" t="str">
        <f t="shared" ref="F195:F258" si="12">IF(C195="","",IF(C195&lt;99,C195,""))</f>
        <v/>
      </c>
      <c r="G195" s="39" t="str">
        <f t="shared" ref="G195:G258" si="13">IF(OR(F195&lt;&gt;"",D195&lt;&gt;""),C195,"")</f>
        <v/>
      </c>
      <c r="H195" s="39" t="str">
        <f t="shared" ref="H195:H258" si="14">IF(C195="","",C195)</f>
        <v/>
      </c>
      <c r="I195" s="39" t="str">
        <f t="shared" ref="I195:I258" si="15">IF(AND(C195&lt;&gt;"",D195&lt;&gt;""),C195,"")</f>
        <v/>
      </c>
      <c r="J195" s="39" t="str">
        <f>""</f>
        <v/>
      </c>
    </row>
    <row r="196" spans="1:10">
      <c r="A196" s="26" t="s">
        <v>398</v>
      </c>
      <c r="E196" s="26" t="s">
        <v>5581</v>
      </c>
      <c r="F196" s="39" t="str">
        <f t="shared" si="12"/>
        <v/>
      </c>
      <c r="G196" s="39" t="str">
        <f t="shared" si="13"/>
        <v/>
      </c>
      <c r="H196" s="39" t="str">
        <f t="shared" si="14"/>
        <v/>
      </c>
      <c r="I196" s="39" t="str">
        <f t="shared" si="15"/>
        <v/>
      </c>
      <c r="J196" s="39" t="str">
        <f>""</f>
        <v/>
      </c>
    </row>
    <row r="197" spans="1:10">
      <c r="A197" s="26" t="s">
        <v>5929</v>
      </c>
      <c r="E197" s="26" t="s">
        <v>3790</v>
      </c>
      <c r="F197" s="39" t="str">
        <f t="shared" si="12"/>
        <v/>
      </c>
      <c r="G197" s="39" t="str">
        <f t="shared" si="13"/>
        <v/>
      </c>
      <c r="H197" s="39" t="str">
        <f t="shared" si="14"/>
        <v/>
      </c>
      <c r="I197" s="39" t="str">
        <f t="shared" si="15"/>
        <v/>
      </c>
      <c r="J197" s="39" t="str">
        <f>""</f>
        <v/>
      </c>
    </row>
    <row r="198" spans="1:10">
      <c r="A198" s="26" t="s">
        <v>399</v>
      </c>
      <c r="E198" s="26" t="s">
        <v>5581</v>
      </c>
      <c r="F198" s="39" t="str">
        <f t="shared" si="12"/>
        <v/>
      </c>
      <c r="G198" s="39" t="str">
        <f t="shared" si="13"/>
        <v/>
      </c>
      <c r="H198" s="39" t="str">
        <f t="shared" si="14"/>
        <v/>
      </c>
      <c r="I198" s="39" t="str">
        <f t="shared" si="15"/>
        <v/>
      </c>
      <c r="J198" s="39" t="str">
        <f>""</f>
        <v/>
      </c>
    </row>
    <row r="199" spans="1:10">
      <c r="A199" s="26" t="s">
        <v>2041</v>
      </c>
      <c r="E199" s="26" t="s">
        <v>5581</v>
      </c>
      <c r="F199" s="39" t="str">
        <f t="shared" si="12"/>
        <v/>
      </c>
      <c r="G199" s="39" t="str">
        <f t="shared" si="13"/>
        <v/>
      </c>
      <c r="H199" s="39" t="str">
        <f t="shared" si="14"/>
        <v/>
      </c>
      <c r="I199" s="39" t="str">
        <f t="shared" si="15"/>
        <v/>
      </c>
      <c r="J199" s="39" t="str">
        <f>""</f>
        <v/>
      </c>
    </row>
    <row r="200" spans="1:10">
      <c r="A200" s="26" t="s">
        <v>2044</v>
      </c>
      <c r="E200" s="26" t="s">
        <v>5581</v>
      </c>
      <c r="F200" s="39" t="str">
        <f t="shared" si="12"/>
        <v/>
      </c>
      <c r="G200" s="39" t="str">
        <f t="shared" si="13"/>
        <v/>
      </c>
      <c r="H200" s="39" t="str">
        <f t="shared" si="14"/>
        <v/>
      </c>
      <c r="I200" s="39" t="str">
        <f t="shared" si="15"/>
        <v/>
      </c>
      <c r="J200" s="39" t="str">
        <f>""</f>
        <v/>
      </c>
    </row>
    <row r="201" spans="1:10">
      <c r="A201" s="26" t="s">
        <v>2045</v>
      </c>
      <c r="E201" s="26" t="s">
        <v>5581</v>
      </c>
      <c r="F201" s="39" t="str">
        <f t="shared" si="12"/>
        <v/>
      </c>
      <c r="G201" s="39" t="str">
        <f t="shared" si="13"/>
        <v/>
      </c>
      <c r="H201" s="39" t="str">
        <f t="shared" si="14"/>
        <v/>
      </c>
      <c r="I201" s="39" t="str">
        <f t="shared" si="15"/>
        <v/>
      </c>
      <c r="J201" s="39" t="str">
        <f>""</f>
        <v/>
      </c>
    </row>
    <row r="202" spans="1:10">
      <c r="A202" s="26" t="s">
        <v>2047</v>
      </c>
      <c r="E202" s="26" t="s">
        <v>5581</v>
      </c>
      <c r="F202" s="39" t="str">
        <f t="shared" si="12"/>
        <v/>
      </c>
      <c r="G202" s="39" t="str">
        <f t="shared" si="13"/>
        <v/>
      </c>
      <c r="H202" s="39" t="str">
        <f t="shared" si="14"/>
        <v/>
      </c>
      <c r="I202" s="39" t="str">
        <f t="shared" si="15"/>
        <v/>
      </c>
      <c r="J202" s="39" t="str">
        <f>""</f>
        <v/>
      </c>
    </row>
    <row r="203" spans="1:10">
      <c r="A203" s="26" t="s">
        <v>402</v>
      </c>
      <c r="E203" s="26" t="s">
        <v>5581</v>
      </c>
      <c r="F203" s="39" t="str">
        <f t="shared" si="12"/>
        <v/>
      </c>
      <c r="G203" s="39" t="str">
        <f t="shared" si="13"/>
        <v/>
      </c>
      <c r="H203" s="39" t="str">
        <f t="shared" si="14"/>
        <v/>
      </c>
      <c r="I203" s="39" t="str">
        <f t="shared" si="15"/>
        <v/>
      </c>
      <c r="J203" s="39" t="str">
        <f>""</f>
        <v/>
      </c>
    </row>
    <row r="204" spans="1:10">
      <c r="A204" s="26" t="s">
        <v>404</v>
      </c>
      <c r="E204" s="26" t="s">
        <v>5581</v>
      </c>
      <c r="F204" s="39" t="str">
        <f t="shared" si="12"/>
        <v/>
      </c>
      <c r="G204" s="39" t="str">
        <f t="shared" si="13"/>
        <v/>
      </c>
      <c r="H204" s="39" t="str">
        <f t="shared" si="14"/>
        <v/>
      </c>
      <c r="I204" s="39" t="str">
        <f t="shared" si="15"/>
        <v/>
      </c>
      <c r="J204" s="39" t="str">
        <f>""</f>
        <v/>
      </c>
    </row>
    <row r="205" spans="1:10">
      <c r="A205" s="26" t="s">
        <v>2048</v>
      </c>
      <c r="E205" s="26" t="s">
        <v>5581</v>
      </c>
      <c r="F205" s="39" t="str">
        <f t="shared" si="12"/>
        <v/>
      </c>
      <c r="G205" s="39" t="str">
        <f t="shared" si="13"/>
        <v/>
      </c>
      <c r="H205" s="39" t="str">
        <f t="shared" si="14"/>
        <v/>
      </c>
      <c r="I205" s="39" t="str">
        <f t="shared" si="15"/>
        <v/>
      </c>
      <c r="J205" s="39" t="str">
        <f>""</f>
        <v/>
      </c>
    </row>
    <row r="206" spans="1:10">
      <c r="A206" s="26" t="s">
        <v>2050</v>
      </c>
      <c r="E206" s="26" t="s">
        <v>5581</v>
      </c>
      <c r="F206" s="39" t="str">
        <f t="shared" si="12"/>
        <v/>
      </c>
      <c r="G206" s="39" t="str">
        <f t="shared" si="13"/>
        <v/>
      </c>
      <c r="H206" s="39" t="str">
        <f t="shared" si="14"/>
        <v/>
      </c>
      <c r="I206" s="39" t="str">
        <f t="shared" si="15"/>
        <v/>
      </c>
      <c r="J206" s="39" t="str">
        <f>""</f>
        <v/>
      </c>
    </row>
    <row r="207" spans="1:10">
      <c r="A207" s="26" t="s">
        <v>2051</v>
      </c>
      <c r="E207" s="26" t="s">
        <v>5581</v>
      </c>
      <c r="F207" s="39" t="str">
        <f t="shared" si="12"/>
        <v/>
      </c>
      <c r="G207" s="39" t="str">
        <f t="shared" si="13"/>
        <v/>
      </c>
      <c r="H207" s="39" t="str">
        <f t="shared" si="14"/>
        <v/>
      </c>
      <c r="I207" s="39" t="str">
        <f t="shared" si="15"/>
        <v/>
      </c>
      <c r="J207" s="39" t="str">
        <f>""</f>
        <v/>
      </c>
    </row>
    <row r="208" spans="1:10">
      <c r="A208" s="26" t="s">
        <v>2053</v>
      </c>
      <c r="E208" s="26" t="s">
        <v>5581</v>
      </c>
      <c r="F208" s="39" t="str">
        <f t="shared" si="12"/>
        <v/>
      </c>
      <c r="G208" s="39" t="str">
        <f t="shared" si="13"/>
        <v/>
      </c>
      <c r="H208" s="39" t="str">
        <f t="shared" si="14"/>
        <v/>
      </c>
      <c r="I208" s="39" t="str">
        <f t="shared" si="15"/>
        <v/>
      </c>
      <c r="J208" s="39" t="str">
        <f>""</f>
        <v/>
      </c>
    </row>
    <row r="209" spans="1:10">
      <c r="A209" s="26" t="s">
        <v>405</v>
      </c>
      <c r="E209" s="26" t="s">
        <v>3790</v>
      </c>
      <c r="F209" s="39" t="str">
        <f t="shared" si="12"/>
        <v/>
      </c>
      <c r="G209" s="39" t="str">
        <f t="shared" si="13"/>
        <v/>
      </c>
      <c r="H209" s="39" t="str">
        <f t="shared" si="14"/>
        <v/>
      </c>
      <c r="I209" s="39" t="str">
        <f t="shared" si="15"/>
        <v/>
      </c>
      <c r="J209" s="39" t="str">
        <f>""</f>
        <v/>
      </c>
    </row>
    <row r="210" spans="1:10">
      <c r="A210" s="26" t="s">
        <v>2054</v>
      </c>
      <c r="E210" s="26" t="s">
        <v>5581</v>
      </c>
      <c r="F210" s="39" t="str">
        <f t="shared" si="12"/>
        <v/>
      </c>
      <c r="G210" s="39" t="str">
        <f t="shared" si="13"/>
        <v/>
      </c>
      <c r="H210" s="39" t="str">
        <f t="shared" si="14"/>
        <v/>
      </c>
      <c r="I210" s="39" t="str">
        <f t="shared" si="15"/>
        <v/>
      </c>
      <c r="J210" s="39" t="str">
        <f>""</f>
        <v/>
      </c>
    </row>
    <row r="211" spans="1:10">
      <c r="A211" s="26" t="s">
        <v>2057</v>
      </c>
      <c r="E211" s="26" t="s">
        <v>5581</v>
      </c>
      <c r="F211" s="39" t="str">
        <f t="shared" si="12"/>
        <v/>
      </c>
      <c r="G211" s="39" t="str">
        <f t="shared" si="13"/>
        <v/>
      </c>
      <c r="H211" s="39" t="str">
        <f t="shared" si="14"/>
        <v/>
      </c>
      <c r="I211" s="39" t="str">
        <f t="shared" si="15"/>
        <v/>
      </c>
      <c r="J211" s="39" t="str">
        <f>""</f>
        <v/>
      </c>
    </row>
    <row r="212" spans="1:10">
      <c r="A212" s="26" t="s">
        <v>2059</v>
      </c>
      <c r="E212" s="26" t="s">
        <v>5581</v>
      </c>
      <c r="F212" s="39" t="str">
        <f t="shared" si="12"/>
        <v/>
      </c>
      <c r="G212" s="39" t="str">
        <f t="shared" si="13"/>
        <v/>
      </c>
      <c r="H212" s="39" t="str">
        <f t="shared" si="14"/>
        <v/>
      </c>
      <c r="I212" s="39" t="str">
        <f t="shared" si="15"/>
        <v/>
      </c>
      <c r="J212" s="39" t="str">
        <f>""</f>
        <v/>
      </c>
    </row>
    <row r="213" spans="1:10">
      <c r="A213" s="26" t="s">
        <v>2061</v>
      </c>
      <c r="E213" s="26" t="s">
        <v>5581</v>
      </c>
      <c r="F213" s="39" t="str">
        <f t="shared" si="12"/>
        <v/>
      </c>
      <c r="G213" s="39" t="str">
        <f t="shared" si="13"/>
        <v/>
      </c>
      <c r="H213" s="39" t="str">
        <f t="shared" si="14"/>
        <v/>
      </c>
      <c r="I213" s="39" t="str">
        <f t="shared" si="15"/>
        <v/>
      </c>
      <c r="J213" s="39" t="str">
        <f>""</f>
        <v/>
      </c>
    </row>
    <row r="214" spans="1:10">
      <c r="A214" s="26" t="s">
        <v>2065</v>
      </c>
      <c r="E214" s="26" t="s">
        <v>3790</v>
      </c>
      <c r="F214" s="39" t="str">
        <f t="shared" si="12"/>
        <v/>
      </c>
      <c r="G214" s="39" t="str">
        <f t="shared" si="13"/>
        <v/>
      </c>
      <c r="H214" s="39" t="str">
        <f t="shared" si="14"/>
        <v/>
      </c>
      <c r="I214" s="39" t="str">
        <f t="shared" si="15"/>
        <v/>
      </c>
      <c r="J214" s="39" t="str">
        <f>""</f>
        <v/>
      </c>
    </row>
    <row r="215" spans="1:10">
      <c r="A215" s="26" t="s">
        <v>2067</v>
      </c>
      <c r="E215" s="26" t="s">
        <v>3790</v>
      </c>
      <c r="F215" s="39" t="str">
        <f t="shared" si="12"/>
        <v/>
      </c>
      <c r="G215" s="39" t="str">
        <f t="shared" si="13"/>
        <v/>
      </c>
      <c r="H215" s="39" t="str">
        <f t="shared" si="14"/>
        <v/>
      </c>
      <c r="I215" s="39" t="str">
        <f t="shared" si="15"/>
        <v/>
      </c>
      <c r="J215" s="39" t="str">
        <f>""</f>
        <v/>
      </c>
    </row>
    <row r="216" spans="1:10">
      <c r="A216" s="26" t="s">
        <v>2068</v>
      </c>
      <c r="E216" s="26" t="s">
        <v>5581</v>
      </c>
      <c r="F216" s="39" t="str">
        <f t="shared" si="12"/>
        <v/>
      </c>
      <c r="G216" s="39" t="str">
        <f t="shared" si="13"/>
        <v/>
      </c>
      <c r="H216" s="39" t="str">
        <f t="shared" si="14"/>
        <v/>
      </c>
      <c r="I216" s="39" t="str">
        <f t="shared" si="15"/>
        <v/>
      </c>
      <c r="J216" s="39" t="str">
        <f>""</f>
        <v/>
      </c>
    </row>
    <row r="217" spans="1:10">
      <c r="A217" s="26" t="s">
        <v>2070</v>
      </c>
      <c r="E217" s="26" t="s">
        <v>5581</v>
      </c>
      <c r="F217" s="39" t="str">
        <f t="shared" si="12"/>
        <v/>
      </c>
      <c r="G217" s="39" t="str">
        <f t="shared" si="13"/>
        <v/>
      </c>
      <c r="H217" s="39" t="str">
        <f t="shared" si="14"/>
        <v/>
      </c>
      <c r="I217" s="39" t="str">
        <f t="shared" si="15"/>
        <v/>
      </c>
      <c r="J217" s="39" t="str">
        <f>""</f>
        <v/>
      </c>
    </row>
    <row r="218" spans="1:10">
      <c r="A218" s="26" t="s">
        <v>2072</v>
      </c>
      <c r="E218" s="26" t="s">
        <v>5581</v>
      </c>
      <c r="F218" s="39" t="str">
        <f t="shared" si="12"/>
        <v/>
      </c>
      <c r="G218" s="39" t="str">
        <f t="shared" si="13"/>
        <v/>
      </c>
      <c r="H218" s="39" t="str">
        <f t="shared" si="14"/>
        <v/>
      </c>
      <c r="I218" s="39" t="str">
        <f t="shared" si="15"/>
        <v/>
      </c>
      <c r="J218" s="39" t="str">
        <f>""</f>
        <v/>
      </c>
    </row>
    <row r="219" spans="1:10">
      <c r="A219" s="26" t="s">
        <v>2074</v>
      </c>
      <c r="E219" s="26" t="s">
        <v>5581</v>
      </c>
      <c r="F219" s="39" t="str">
        <f t="shared" si="12"/>
        <v/>
      </c>
      <c r="G219" s="39" t="str">
        <f t="shared" si="13"/>
        <v/>
      </c>
      <c r="H219" s="39" t="str">
        <f t="shared" si="14"/>
        <v/>
      </c>
      <c r="I219" s="39" t="str">
        <f t="shared" si="15"/>
        <v/>
      </c>
      <c r="J219" s="39" t="str">
        <f>""</f>
        <v/>
      </c>
    </row>
    <row r="220" spans="1:10">
      <c r="A220" s="26" t="s">
        <v>2076</v>
      </c>
      <c r="E220" s="26" t="s">
        <v>5581</v>
      </c>
      <c r="F220" s="39" t="str">
        <f t="shared" si="12"/>
        <v/>
      </c>
      <c r="G220" s="39" t="str">
        <f t="shared" si="13"/>
        <v/>
      </c>
      <c r="H220" s="39" t="str">
        <f t="shared" si="14"/>
        <v/>
      </c>
      <c r="I220" s="39" t="str">
        <f t="shared" si="15"/>
        <v/>
      </c>
      <c r="J220" s="39" t="str">
        <f>""</f>
        <v/>
      </c>
    </row>
    <row r="221" spans="1:10">
      <c r="A221" s="26" t="s">
        <v>2079</v>
      </c>
      <c r="E221" s="26" t="s">
        <v>5581</v>
      </c>
      <c r="F221" s="39" t="str">
        <f t="shared" si="12"/>
        <v/>
      </c>
      <c r="G221" s="39" t="str">
        <f t="shared" si="13"/>
        <v/>
      </c>
      <c r="H221" s="39" t="str">
        <f t="shared" si="14"/>
        <v/>
      </c>
      <c r="I221" s="39" t="str">
        <f t="shared" si="15"/>
        <v/>
      </c>
      <c r="J221" s="39" t="str">
        <f>""</f>
        <v/>
      </c>
    </row>
    <row r="222" spans="1:10">
      <c r="A222" s="26" t="s">
        <v>2082</v>
      </c>
      <c r="E222" s="26" t="s">
        <v>5581</v>
      </c>
      <c r="F222" s="39" t="str">
        <f t="shared" si="12"/>
        <v/>
      </c>
      <c r="G222" s="39" t="str">
        <f t="shared" si="13"/>
        <v/>
      </c>
      <c r="H222" s="39" t="str">
        <f t="shared" si="14"/>
        <v/>
      </c>
      <c r="I222" s="39" t="str">
        <f t="shared" si="15"/>
        <v/>
      </c>
      <c r="J222" s="39" t="str">
        <f>""</f>
        <v/>
      </c>
    </row>
    <row r="223" spans="1:10">
      <c r="A223" s="26" t="s">
        <v>2084</v>
      </c>
      <c r="E223" s="26" t="s">
        <v>5581</v>
      </c>
      <c r="F223" s="39" t="str">
        <f t="shared" si="12"/>
        <v/>
      </c>
      <c r="G223" s="39" t="str">
        <f t="shared" si="13"/>
        <v/>
      </c>
      <c r="H223" s="39" t="str">
        <f t="shared" si="14"/>
        <v/>
      </c>
      <c r="I223" s="39" t="str">
        <f t="shared" si="15"/>
        <v/>
      </c>
      <c r="J223" s="39" t="str">
        <f>""</f>
        <v/>
      </c>
    </row>
    <row r="224" spans="1:10">
      <c r="A224" s="26" t="s">
        <v>6310</v>
      </c>
      <c r="E224" s="26" t="s">
        <v>3790</v>
      </c>
      <c r="F224" s="39" t="str">
        <f t="shared" si="12"/>
        <v/>
      </c>
      <c r="G224" s="39" t="str">
        <f t="shared" si="13"/>
        <v/>
      </c>
      <c r="H224" s="39" t="str">
        <f t="shared" si="14"/>
        <v/>
      </c>
      <c r="I224" s="39" t="str">
        <f t="shared" si="15"/>
        <v/>
      </c>
      <c r="J224" s="39" t="str">
        <f>""</f>
        <v/>
      </c>
    </row>
    <row r="225" spans="1:10">
      <c r="A225" s="26" t="s">
        <v>2085</v>
      </c>
      <c r="E225" s="26" t="s">
        <v>5581</v>
      </c>
      <c r="F225" s="39" t="str">
        <f t="shared" si="12"/>
        <v/>
      </c>
      <c r="G225" s="39" t="str">
        <f t="shared" si="13"/>
        <v/>
      </c>
      <c r="H225" s="39" t="str">
        <f t="shared" si="14"/>
        <v/>
      </c>
      <c r="I225" s="39" t="str">
        <f t="shared" si="15"/>
        <v/>
      </c>
      <c r="J225" s="39" t="str">
        <f>""</f>
        <v/>
      </c>
    </row>
    <row r="226" spans="1:10">
      <c r="A226" s="26" t="s">
        <v>2088</v>
      </c>
      <c r="E226" s="26" t="s">
        <v>5581</v>
      </c>
      <c r="F226" s="39" t="str">
        <f t="shared" si="12"/>
        <v/>
      </c>
      <c r="G226" s="39" t="str">
        <f t="shared" si="13"/>
        <v/>
      </c>
      <c r="H226" s="39" t="str">
        <f t="shared" si="14"/>
        <v/>
      </c>
      <c r="I226" s="39" t="str">
        <f t="shared" si="15"/>
        <v/>
      </c>
      <c r="J226" s="39" t="str">
        <f>""</f>
        <v/>
      </c>
    </row>
    <row r="227" spans="1:10">
      <c r="A227" s="26" t="s">
        <v>2090</v>
      </c>
      <c r="E227" s="26" t="s">
        <v>5581</v>
      </c>
      <c r="F227" s="39" t="str">
        <f t="shared" si="12"/>
        <v/>
      </c>
      <c r="G227" s="39" t="str">
        <f t="shared" si="13"/>
        <v/>
      </c>
      <c r="H227" s="39" t="str">
        <f t="shared" si="14"/>
        <v/>
      </c>
      <c r="I227" s="39" t="str">
        <f t="shared" si="15"/>
        <v/>
      </c>
      <c r="J227" s="39" t="str">
        <f>""</f>
        <v/>
      </c>
    </row>
    <row r="228" spans="1:10">
      <c r="A228" s="26" t="s">
        <v>409</v>
      </c>
      <c r="E228" s="26" t="s">
        <v>5581</v>
      </c>
      <c r="F228" s="39" t="str">
        <f t="shared" si="12"/>
        <v/>
      </c>
      <c r="G228" s="39" t="str">
        <f t="shared" si="13"/>
        <v/>
      </c>
      <c r="H228" s="39" t="str">
        <f t="shared" si="14"/>
        <v/>
      </c>
      <c r="I228" s="39" t="str">
        <f t="shared" si="15"/>
        <v/>
      </c>
      <c r="J228" s="39" t="str">
        <f>""</f>
        <v/>
      </c>
    </row>
    <row r="229" spans="1:10">
      <c r="A229" s="26" t="s">
        <v>411</v>
      </c>
      <c r="E229" s="26" t="s">
        <v>5581</v>
      </c>
      <c r="F229" s="39" t="str">
        <f t="shared" si="12"/>
        <v/>
      </c>
      <c r="G229" s="39" t="str">
        <f t="shared" si="13"/>
        <v/>
      </c>
      <c r="H229" s="39" t="str">
        <f t="shared" si="14"/>
        <v/>
      </c>
      <c r="I229" s="39" t="str">
        <f t="shared" si="15"/>
        <v/>
      </c>
      <c r="J229" s="39" t="str">
        <f>""</f>
        <v/>
      </c>
    </row>
    <row r="230" spans="1:10">
      <c r="A230" s="26" t="s">
        <v>412</v>
      </c>
      <c r="E230" s="26" t="s">
        <v>5581</v>
      </c>
      <c r="F230" s="39" t="str">
        <f t="shared" si="12"/>
        <v/>
      </c>
      <c r="G230" s="39" t="str">
        <f t="shared" si="13"/>
        <v/>
      </c>
      <c r="H230" s="39" t="str">
        <f t="shared" si="14"/>
        <v/>
      </c>
      <c r="I230" s="39" t="str">
        <f t="shared" si="15"/>
        <v/>
      </c>
      <c r="J230" s="39" t="str">
        <f>""</f>
        <v/>
      </c>
    </row>
    <row r="231" spans="1:10">
      <c r="A231" s="26" t="s">
        <v>414</v>
      </c>
      <c r="E231" s="26" t="s">
        <v>5581</v>
      </c>
      <c r="F231" s="39" t="str">
        <f t="shared" si="12"/>
        <v/>
      </c>
      <c r="G231" s="39" t="str">
        <f t="shared" si="13"/>
        <v/>
      </c>
      <c r="H231" s="39" t="str">
        <f t="shared" si="14"/>
        <v/>
      </c>
      <c r="I231" s="39" t="str">
        <f t="shared" si="15"/>
        <v/>
      </c>
      <c r="J231" s="39" t="str">
        <f>""</f>
        <v/>
      </c>
    </row>
    <row r="232" spans="1:10">
      <c r="A232" s="26" t="s">
        <v>415</v>
      </c>
      <c r="E232" s="26" t="s">
        <v>5581</v>
      </c>
      <c r="F232" s="39" t="str">
        <f t="shared" si="12"/>
        <v/>
      </c>
      <c r="G232" s="39" t="str">
        <f t="shared" si="13"/>
        <v/>
      </c>
      <c r="H232" s="39" t="str">
        <f t="shared" si="14"/>
        <v/>
      </c>
      <c r="I232" s="39" t="str">
        <f t="shared" si="15"/>
        <v/>
      </c>
      <c r="J232" s="39" t="str">
        <f>""</f>
        <v/>
      </c>
    </row>
    <row r="233" spans="1:10">
      <c r="A233" s="26" t="s">
        <v>417</v>
      </c>
      <c r="E233" s="26" t="s">
        <v>5581</v>
      </c>
      <c r="F233" s="39" t="str">
        <f t="shared" si="12"/>
        <v/>
      </c>
      <c r="G233" s="39" t="str">
        <f t="shared" si="13"/>
        <v/>
      </c>
      <c r="H233" s="39" t="str">
        <f t="shared" si="14"/>
        <v/>
      </c>
      <c r="I233" s="39" t="str">
        <f t="shared" si="15"/>
        <v/>
      </c>
      <c r="J233" s="39" t="str">
        <f>""</f>
        <v/>
      </c>
    </row>
    <row r="234" spans="1:10">
      <c r="A234" s="26" t="s">
        <v>418</v>
      </c>
      <c r="E234" s="26" t="s">
        <v>5581</v>
      </c>
      <c r="F234" s="39" t="str">
        <f t="shared" si="12"/>
        <v/>
      </c>
      <c r="G234" s="39" t="str">
        <f t="shared" si="13"/>
        <v/>
      </c>
      <c r="H234" s="39" t="str">
        <f t="shared" si="14"/>
        <v/>
      </c>
      <c r="I234" s="39" t="str">
        <f t="shared" si="15"/>
        <v/>
      </c>
      <c r="J234" s="39" t="str">
        <f>""</f>
        <v/>
      </c>
    </row>
    <row r="235" spans="1:10">
      <c r="A235" s="26" t="s">
        <v>420</v>
      </c>
      <c r="E235" s="26" t="s">
        <v>5581</v>
      </c>
      <c r="F235" s="39" t="str">
        <f t="shared" si="12"/>
        <v/>
      </c>
      <c r="G235" s="39" t="str">
        <f t="shared" si="13"/>
        <v/>
      </c>
      <c r="H235" s="39" t="str">
        <f t="shared" si="14"/>
        <v/>
      </c>
      <c r="I235" s="39" t="str">
        <f t="shared" si="15"/>
        <v/>
      </c>
      <c r="J235" s="39" t="str">
        <f>""</f>
        <v/>
      </c>
    </row>
    <row r="236" spans="1:10">
      <c r="A236" s="26" t="s">
        <v>2091</v>
      </c>
      <c r="E236" s="26" t="s">
        <v>5581</v>
      </c>
      <c r="F236" s="39" t="str">
        <f t="shared" si="12"/>
        <v/>
      </c>
      <c r="G236" s="39" t="str">
        <f t="shared" si="13"/>
        <v/>
      </c>
      <c r="H236" s="39" t="str">
        <f t="shared" si="14"/>
        <v/>
      </c>
      <c r="I236" s="39" t="str">
        <f t="shared" si="15"/>
        <v/>
      </c>
      <c r="J236" s="39" t="str">
        <f>""</f>
        <v/>
      </c>
    </row>
    <row r="237" spans="1:10">
      <c r="A237" s="26" t="s">
        <v>2093</v>
      </c>
      <c r="E237" s="26" t="s">
        <v>5581</v>
      </c>
      <c r="F237" s="39" t="str">
        <f t="shared" si="12"/>
        <v/>
      </c>
      <c r="G237" s="39" t="str">
        <f t="shared" si="13"/>
        <v/>
      </c>
      <c r="H237" s="39" t="str">
        <f t="shared" si="14"/>
        <v/>
      </c>
      <c r="I237" s="39" t="str">
        <f t="shared" si="15"/>
        <v/>
      </c>
      <c r="J237" s="39" t="str">
        <f>""</f>
        <v/>
      </c>
    </row>
    <row r="238" spans="1:10">
      <c r="A238" s="26" t="s">
        <v>421</v>
      </c>
      <c r="E238" s="26" t="s">
        <v>5581</v>
      </c>
      <c r="F238" s="39" t="str">
        <f t="shared" si="12"/>
        <v/>
      </c>
      <c r="G238" s="39" t="str">
        <f t="shared" si="13"/>
        <v/>
      </c>
      <c r="H238" s="39" t="str">
        <f t="shared" si="14"/>
        <v/>
      </c>
      <c r="I238" s="39" t="str">
        <f t="shared" si="15"/>
        <v/>
      </c>
      <c r="J238" s="39" t="str">
        <f>""</f>
        <v/>
      </c>
    </row>
    <row r="239" spans="1:10">
      <c r="A239" s="26" t="s">
        <v>424</v>
      </c>
      <c r="E239" s="26" t="s">
        <v>5581</v>
      </c>
      <c r="F239" s="39" t="str">
        <f t="shared" si="12"/>
        <v/>
      </c>
      <c r="G239" s="39" t="str">
        <f t="shared" si="13"/>
        <v/>
      </c>
      <c r="H239" s="39" t="str">
        <f t="shared" si="14"/>
        <v/>
      </c>
      <c r="I239" s="39" t="str">
        <f t="shared" si="15"/>
        <v/>
      </c>
      <c r="J239" s="39" t="str">
        <f>""</f>
        <v/>
      </c>
    </row>
    <row r="240" spans="1:10">
      <c r="A240" s="26" t="s">
        <v>426</v>
      </c>
      <c r="E240" s="26" t="s">
        <v>5581</v>
      </c>
      <c r="F240" s="39" t="str">
        <f t="shared" si="12"/>
        <v/>
      </c>
      <c r="G240" s="39" t="str">
        <f t="shared" si="13"/>
        <v/>
      </c>
      <c r="H240" s="39" t="str">
        <f t="shared" si="14"/>
        <v/>
      </c>
      <c r="I240" s="39" t="str">
        <f t="shared" si="15"/>
        <v/>
      </c>
      <c r="J240" s="39" t="str">
        <f>""</f>
        <v/>
      </c>
    </row>
    <row r="241" spans="1:10">
      <c r="A241" s="26" t="s">
        <v>429</v>
      </c>
      <c r="E241" s="26" t="s">
        <v>5581</v>
      </c>
      <c r="F241" s="39" t="str">
        <f t="shared" si="12"/>
        <v/>
      </c>
      <c r="G241" s="39" t="str">
        <f t="shared" si="13"/>
        <v/>
      </c>
      <c r="H241" s="39" t="str">
        <f t="shared" si="14"/>
        <v/>
      </c>
      <c r="I241" s="39" t="str">
        <f t="shared" si="15"/>
        <v/>
      </c>
      <c r="J241" s="39" t="str">
        <f>""</f>
        <v/>
      </c>
    </row>
    <row r="242" spans="1:10">
      <c r="A242" s="26" t="s">
        <v>430</v>
      </c>
      <c r="E242" s="26" t="s">
        <v>3790</v>
      </c>
      <c r="F242" s="39" t="str">
        <f t="shared" si="12"/>
        <v/>
      </c>
      <c r="G242" s="39" t="str">
        <f t="shared" si="13"/>
        <v/>
      </c>
      <c r="H242" s="39" t="str">
        <f t="shared" si="14"/>
        <v/>
      </c>
      <c r="I242" s="39" t="str">
        <f t="shared" si="15"/>
        <v/>
      </c>
      <c r="J242" s="39" t="str">
        <f>""</f>
        <v/>
      </c>
    </row>
    <row r="243" spans="1:10">
      <c r="A243" s="26" t="s">
        <v>432</v>
      </c>
      <c r="E243" s="26" t="s">
        <v>3790</v>
      </c>
      <c r="F243" s="39" t="str">
        <f t="shared" si="12"/>
        <v/>
      </c>
      <c r="G243" s="39" t="str">
        <f t="shared" si="13"/>
        <v/>
      </c>
      <c r="H243" s="39" t="str">
        <f t="shared" si="14"/>
        <v/>
      </c>
      <c r="I243" s="39" t="str">
        <f t="shared" si="15"/>
        <v/>
      </c>
      <c r="J243" s="39" t="str">
        <f>""</f>
        <v/>
      </c>
    </row>
    <row r="244" spans="1:10">
      <c r="A244" s="26" t="s">
        <v>434</v>
      </c>
      <c r="E244" s="26" t="s">
        <v>5581</v>
      </c>
      <c r="F244" s="39" t="str">
        <f t="shared" si="12"/>
        <v/>
      </c>
      <c r="G244" s="39" t="str">
        <f t="shared" si="13"/>
        <v/>
      </c>
      <c r="H244" s="39" t="str">
        <f t="shared" si="14"/>
        <v/>
      </c>
      <c r="I244" s="39" t="str">
        <f t="shared" si="15"/>
        <v/>
      </c>
      <c r="J244" s="39" t="str">
        <f>""</f>
        <v/>
      </c>
    </row>
    <row r="245" spans="1:10">
      <c r="A245" s="26" t="s">
        <v>437</v>
      </c>
      <c r="E245" s="26" t="s">
        <v>5581</v>
      </c>
      <c r="F245" s="39" t="str">
        <f t="shared" si="12"/>
        <v/>
      </c>
      <c r="G245" s="39" t="str">
        <f t="shared" si="13"/>
        <v/>
      </c>
      <c r="H245" s="39" t="str">
        <f t="shared" si="14"/>
        <v/>
      </c>
      <c r="I245" s="39" t="str">
        <f t="shared" si="15"/>
        <v/>
      </c>
      <c r="J245" s="39" t="str">
        <f>""</f>
        <v/>
      </c>
    </row>
    <row r="246" spans="1:10">
      <c r="A246" s="26" t="s">
        <v>438</v>
      </c>
      <c r="E246" s="26" t="s">
        <v>5581</v>
      </c>
      <c r="F246" s="39" t="str">
        <f t="shared" si="12"/>
        <v/>
      </c>
      <c r="G246" s="39" t="str">
        <f t="shared" si="13"/>
        <v/>
      </c>
      <c r="H246" s="39" t="str">
        <f t="shared" si="14"/>
        <v/>
      </c>
      <c r="I246" s="39" t="str">
        <f t="shared" si="15"/>
        <v/>
      </c>
      <c r="J246" s="39" t="str">
        <f>""</f>
        <v/>
      </c>
    </row>
    <row r="247" spans="1:10">
      <c r="A247" s="26" t="s">
        <v>440</v>
      </c>
      <c r="E247" s="26" t="s">
        <v>5581</v>
      </c>
      <c r="F247" s="39" t="str">
        <f t="shared" si="12"/>
        <v/>
      </c>
      <c r="G247" s="39" t="str">
        <f t="shared" si="13"/>
        <v/>
      </c>
      <c r="H247" s="39" t="str">
        <f t="shared" si="14"/>
        <v/>
      </c>
      <c r="I247" s="39" t="str">
        <f t="shared" si="15"/>
        <v/>
      </c>
      <c r="J247" s="39" t="str">
        <f>""</f>
        <v/>
      </c>
    </row>
    <row r="248" spans="1:10">
      <c r="A248" s="26" t="s">
        <v>441</v>
      </c>
      <c r="E248" s="26" t="s">
        <v>5581</v>
      </c>
      <c r="F248" s="39" t="str">
        <f t="shared" si="12"/>
        <v/>
      </c>
      <c r="G248" s="39" t="str">
        <f t="shared" si="13"/>
        <v/>
      </c>
      <c r="H248" s="39" t="str">
        <f t="shared" si="14"/>
        <v/>
      </c>
      <c r="I248" s="39" t="str">
        <f t="shared" si="15"/>
        <v/>
      </c>
      <c r="J248" s="39" t="str">
        <f>""</f>
        <v/>
      </c>
    </row>
    <row r="249" spans="1:10">
      <c r="A249" s="26" t="s">
        <v>443</v>
      </c>
      <c r="E249" s="26" t="s">
        <v>5581</v>
      </c>
      <c r="F249" s="39" t="str">
        <f t="shared" si="12"/>
        <v/>
      </c>
      <c r="G249" s="39" t="str">
        <f t="shared" si="13"/>
        <v/>
      </c>
      <c r="H249" s="39" t="str">
        <f t="shared" si="14"/>
        <v/>
      </c>
      <c r="I249" s="39" t="str">
        <f t="shared" si="15"/>
        <v/>
      </c>
      <c r="J249" s="39" t="str">
        <f>""</f>
        <v/>
      </c>
    </row>
    <row r="250" spans="1:10">
      <c r="A250" s="26" t="s">
        <v>444</v>
      </c>
      <c r="E250" s="26" t="s">
        <v>5581</v>
      </c>
      <c r="F250" s="39" t="str">
        <f t="shared" si="12"/>
        <v/>
      </c>
      <c r="G250" s="39" t="str">
        <f t="shared" si="13"/>
        <v/>
      </c>
      <c r="H250" s="39" t="str">
        <f t="shared" si="14"/>
        <v/>
      </c>
      <c r="I250" s="39" t="str">
        <f t="shared" si="15"/>
        <v/>
      </c>
      <c r="J250" s="39" t="str">
        <f>""</f>
        <v/>
      </c>
    </row>
    <row r="251" spans="1:10">
      <c r="A251" s="26" t="s">
        <v>446</v>
      </c>
      <c r="E251" s="26" t="s">
        <v>5581</v>
      </c>
      <c r="F251" s="39" t="str">
        <f t="shared" si="12"/>
        <v/>
      </c>
      <c r="G251" s="39" t="str">
        <f t="shared" si="13"/>
        <v/>
      </c>
      <c r="H251" s="39" t="str">
        <f t="shared" si="14"/>
        <v/>
      </c>
      <c r="I251" s="39" t="str">
        <f t="shared" si="15"/>
        <v/>
      </c>
      <c r="J251" s="39" t="str">
        <f>""</f>
        <v/>
      </c>
    </row>
    <row r="252" spans="1:10">
      <c r="A252" s="26" t="s">
        <v>448</v>
      </c>
      <c r="E252" s="26" t="s">
        <v>3790</v>
      </c>
      <c r="F252" s="39" t="str">
        <f t="shared" si="12"/>
        <v/>
      </c>
      <c r="G252" s="39" t="str">
        <f t="shared" si="13"/>
        <v/>
      </c>
      <c r="H252" s="39" t="str">
        <f t="shared" si="14"/>
        <v/>
      </c>
      <c r="I252" s="39" t="str">
        <f t="shared" si="15"/>
        <v/>
      </c>
      <c r="J252" s="39" t="str">
        <f>""</f>
        <v/>
      </c>
    </row>
    <row r="253" spans="1:10">
      <c r="A253" s="26" t="s">
        <v>450</v>
      </c>
      <c r="E253" s="26" t="s">
        <v>3790</v>
      </c>
      <c r="F253" s="39" t="str">
        <f t="shared" si="12"/>
        <v/>
      </c>
      <c r="G253" s="39" t="str">
        <f t="shared" si="13"/>
        <v/>
      </c>
      <c r="H253" s="39" t="str">
        <f t="shared" si="14"/>
        <v/>
      </c>
      <c r="I253" s="39" t="str">
        <f t="shared" si="15"/>
        <v/>
      </c>
      <c r="J253" s="39" t="str">
        <f>""</f>
        <v/>
      </c>
    </row>
    <row r="254" spans="1:10">
      <c r="A254" s="26" t="s">
        <v>454</v>
      </c>
      <c r="E254" s="26" t="s">
        <v>5581</v>
      </c>
      <c r="F254" s="39" t="str">
        <f t="shared" si="12"/>
        <v/>
      </c>
      <c r="G254" s="39" t="str">
        <f t="shared" si="13"/>
        <v/>
      </c>
      <c r="H254" s="39" t="str">
        <f t="shared" si="14"/>
        <v/>
      </c>
      <c r="I254" s="39" t="str">
        <f t="shared" si="15"/>
        <v/>
      </c>
      <c r="J254" s="39" t="str">
        <f>""</f>
        <v/>
      </c>
    </row>
    <row r="255" spans="1:10">
      <c r="A255" s="26" t="s">
        <v>455</v>
      </c>
      <c r="E255" s="26" t="s">
        <v>5581</v>
      </c>
      <c r="F255" s="39" t="str">
        <f t="shared" si="12"/>
        <v/>
      </c>
      <c r="G255" s="39" t="str">
        <f t="shared" si="13"/>
        <v/>
      </c>
      <c r="H255" s="39" t="str">
        <f t="shared" si="14"/>
        <v/>
      </c>
      <c r="I255" s="39" t="str">
        <f t="shared" si="15"/>
        <v/>
      </c>
      <c r="J255" s="39" t="str">
        <f>""</f>
        <v/>
      </c>
    </row>
    <row r="256" spans="1:10">
      <c r="A256" s="26" t="s">
        <v>3325</v>
      </c>
      <c r="E256" s="26" t="s">
        <v>5581</v>
      </c>
      <c r="F256" s="39" t="str">
        <f t="shared" si="12"/>
        <v/>
      </c>
      <c r="G256" s="39" t="str">
        <f t="shared" si="13"/>
        <v/>
      </c>
      <c r="H256" s="39" t="str">
        <f t="shared" si="14"/>
        <v/>
      </c>
      <c r="I256" s="39" t="str">
        <f t="shared" si="15"/>
        <v/>
      </c>
      <c r="J256" s="39" t="str">
        <f>""</f>
        <v/>
      </c>
    </row>
    <row r="257" spans="1:10">
      <c r="A257" s="26" t="s">
        <v>3327</v>
      </c>
      <c r="E257" s="26" t="s">
        <v>5581</v>
      </c>
      <c r="F257" s="39" t="str">
        <f t="shared" si="12"/>
        <v/>
      </c>
      <c r="G257" s="39" t="str">
        <f t="shared" si="13"/>
        <v/>
      </c>
      <c r="H257" s="39" t="str">
        <f t="shared" si="14"/>
        <v/>
      </c>
      <c r="I257" s="39" t="str">
        <f t="shared" si="15"/>
        <v/>
      </c>
      <c r="J257" s="39" t="str">
        <f>""</f>
        <v/>
      </c>
    </row>
    <row r="258" spans="1:10">
      <c r="A258" s="26" t="s">
        <v>456</v>
      </c>
      <c r="E258" s="26" t="s">
        <v>3790</v>
      </c>
      <c r="F258" s="39" t="str">
        <f t="shared" si="12"/>
        <v/>
      </c>
      <c r="G258" s="39" t="str">
        <f t="shared" si="13"/>
        <v/>
      </c>
      <c r="H258" s="39" t="str">
        <f t="shared" si="14"/>
        <v/>
      </c>
      <c r="I258" s="39" t="str">
        <f t="shared" si="15"/>
        <v/>
      </c>
      <c r="J258" s="39" t="str">
        <f>""</f>
        <v/>
      </c>
    </row>
    <row r="259" spans="1:10">
      <c r="A259" s="26" t="s">
        <v>459</v>
      </c>
      <c r="E259" s="26" t="s">
        <v>3790</v>
      </c>
      <c r="F259" s="39" t="str">
        <f t="shared" ref="F259:F322" si="16">IF(C259="","",IF(C259&lt;99,C259,""))</f>
        <v/>
      </c>
      <c r="G259" s="39" t="str">
        <f t="shared" ref="G259:G322" si="17">IF(OR(F259&lt;&gt;"",D259&lt;&gt;""),C259,"")</f>
        <v/>
      </c>
      <c r="H259" s="39" t="str">
        <f t="shared" ref="H259:H322" si="18">IF(C259="","",C259)</f>
        <v/>
      </c>
      <c r="I259" s="39" t="str">
        <f t="shared" ref="I259:I322" si="19">IF(AND(C259&lt;&gt;"",D259&lt;&gt;""),C259,"")</f>
        <v/>
      </c>
      <c r="J259" s="39" t="str">
        <f>""</f>
        <v/>
      </c>
    </row>
    <row r="260" spans="1:10">
      <c r="A260" s="26" t="s">
        <v>460</v>
      </c>
      <c r="E260" s="26" t="s">
        <v>5581</v>
      </c>
      <c r="F260" s="39" t="str">
        <f t="shared" si="16"/>
        <v/>
      </c>
      <c r="G260" s="39" t="str">
        <f t="shared" si="17"/>
        <v/>
      </c>
      <c r="H260" s="39" t="str">
        <f t="shared" si="18"/>
        <v/>
      </c>
      <c r="I260" s="39" t="str">
        <f t="shared" si="19"/>
        <v/>
      </c>
      <c r="J260" s="39" t="str">
        <f>""</f>
        <v/>
      </c>
    </row>
    <row r="261" spans="1:10">
      <c r="A261" s="26" t="s">
        <v>462</v>
      </c>
      <c r="E261" s="26" t="s">
        <v>5581</v>
      </c>
      <c r="F261" s="39" t="str">
        <f t="shared" si="16"/>
        <v/>
      </c>
      <c r="G261" s="39" t="str">
        <f t="shared" si="17"/>
        <v/>
      </c>
      <c r="H261" s="39" t="str">
        <f t="shared" si="18"/>
        <v/>
      </c>
      <c r="I261" s="39" t="str">
        <f t="shared" si="19"/>
        <v/>
      </c>
      <c r="J261" s="39" t="str">
        <f>""</f>
        <v/>
      </c>
    </row>
    <row r="262" spans="1:10">
      <c r="A262" s="26" t="s">
        <v>466</v>
      </c>
      <c r="E262" s="26" t="s">
        <v>3790</v>
      </c>
      <c r="F262" s="39" t="str">
        <f t="shared" si="16"/>
        <v/>
      </c>
      <c r="G262" s="39" t="str">
        <f t="shared" si="17"/>
        <v/>
      </c>
      <c r="H262" s="39" t="str">
        <f t="shared" si="18"/>
        <v/>
      </c>
      <c r="I262" s="39" t="str">
        <f t="shared" si="19"/>
        <v/>
      </c>
      <c r="J262" s="39" t="str">
        <f>""</f>
        <v/>
      </c>
    </row>
    <row r="263" spans="1:10">
      <c r="A263" s="26" t="s">
        <v>467</v>
      </c>
      <c r="E263" s="26" t="s">
        <v>3790</v>
      </c>
      <c r="F263" s="39" t="str">
        <f t="shared" si="16"/>
        <v/>
      </c>
      <c r="G263" s="39" t="str">
        <f t="shared" si="17"/>
        <v/>
      </c>
      <c r="H263" s="39" t="str">
        <f t="shared" si="18"/>
        <v/>
      </c>
      <c r="I263" s="39" t="str">
        <f t="shared" si="19"/>
        <v/>
      </c>
      <c r="J263" s="39" t="str">
        <f>""</f>
        <v/>
      </c>
    </row>
    <row r="264" spans="1:10">
      <c r="A264" s="26" t="s">
        <v>469</v>
      </c>
      <c r="E264" s="26" t="s">
        <v>5581</v>
      </c>
      <c r="F264" s="39" t="str">
        <f t="shared" si="16"/>
        <v/>
      </c>
      <c r="G264" s="39" t="str">
        <f t="shared" si="17"/>
        <v/>
      </c>
      <c r="H264" s="39" t="str">
        <f t="shared" si="18"/>
        <v/>
      </c>
      <c r="I264" s="39" t="str">
        <f t="shared" si="19"/>
        <v/>
      </c>
      <c r="J264" s="39" t="str">
        <f>""</f>
        <v/>
      </c>
    </row>
    <row r="265" spans="1:10">
      <c r="A265" s="26" t="s">
        <v>472</v>
      </c>
      <c r="C265" s="39">
        <v>25</v>
      </c>
      <c r="D265" s="39" t="s">
        <v>3891</v>
      </c>
      <c r="E265" s="26" t="s">
        <v>5581</v>
      </c>
      <c r="F265" s="39">
        <f t="shared" si="16"/>
        <v>25</v>
      </c>
      <c r="G265" s="39">
        <f t="shared" si="17"/>
        <v>25</v>
      </c>
      <c r="H265" s="39">
        <f t="shared" si="18"/>
        <v>25</v>
      </c>
      <c r="I265" s="39">
        <f t="shared" si="19"/>
        <v>25</v>
      </c>
      <c r="J265" s="39" t="str">
        <f>""</f>
        <v/>
      </c>
    </row>
    <row r="266" spans="1:10">
      <c r="A266" s="26" t="s">
        <v>473</v>
      </c>
      <c r="E266" s="26" t="s">
        <v>5581</v>
      </c>
      <c r="F266" s="39" t="str">
        <f t="shared" si="16"/>
        <v/>
      </c>
      <c r="G266" s="39" t="str">
        <f t="shared" si="17"/>
        <v/>
      </c>
      <c r="H266" s="39" t="str">
        <f t="shared" si="18"/>
        <v/>
      </c>
      <c r="I266" s="39" t="str">
        <f t="shared" si="19"/>
        <v/>
      </c>
      <c r="J266" s="39" t="str">
        <f>""</f>
        <v/>
      </c>
    </row>
    <row r="267" spans="1:10">
      <c r="A267" s="26" t="s">
        <v>475</v>
      </c>
      <c r="E267" s="26" t="s">
        <v>5581</v>
      </c>
      <c r="F267" s="39" t="str">
        <f t="shared" si="16"/>
        <v/>
      </c>
      <c r="G267" s="39" t="str">
        <f t="shared" si="17"/>
        <v/>
      </c>
      <c r="H267" s="39" t="str">
        <f t="shared" si="18"/>
        <v/>
      </c>
      <c r="I267" s="39" t="str">
        <f t="shared" si="19"/>
        <v/>
      </c>
      <c r="J267" s="39" t="str">
        <f>""</f>
        <v/>
      </c>
    </row>
    <row r="268" spans="1:10">
      <c r="A268" s="26" t="s">
        <v>476</v>
      </c>
      <c r="E268" s="26" t="s">
        <v>5581</v>
      </c>
      <c r="F268" s="39" t="str">
        <f t="shared" si="16"/>
        <v/>
      </c>
      <c r="G268" s="39" t="str">
        <f t="shared" si="17"/>
        <v/>
      </c>
      <c r="H268" s="39" t="str">
        <f t="shared" si="18"/>
        <v/>
      </c>
      <c r="I268" s="39" t="str">
        <f t="shared" si="19"/>
        <v/>
      </c>
      <c r="J268" s="39" t="str">
        <f>""</f>
        <v/>
      </c>
    </row>
    <row r="269" spans="1:10">
      <c r="A269" s="26" t="s">
        <v>478</v>
      </c>
      <c r="E269" s="26" t="s">
        <v>5581</v>
      </c>
      <c r="F269" s="39" t="str">
        <f t="shared" si="16"/>
        <v/>
      </c>
      <c r="G269" s="39" t="str">
        <f t="shared" si="17"/>
        <v/>
      </c>
      <c r="H269" s="39" t="str">
        <f t="shared" si="18"/>
        <v/>
      </c>
      <c r="I269" s="39" t="str">
        <f t="shared" si="19"/>
        <v/>
      </c>
      <c r="J269" s="39" t="str">
        <f>""</f>
        <v/>
      </c>
    </row>
    <row r="270" spans="1:10">
      <c r="A270" s="26" t="s">
        <v>479</v>
      </c>
      <c r="E270" s="26" t="s">
        <v>5581</v>
      </c>
      <c r="F270" s="39" t="str">
        <f t="shared" si="16"/>
        <v/>
      </c>
      <c r="G270" s="39" t="str">
        <f t="shared" si="17"/>
        <v/>
      </c>
      <c r="H270" s="39" t="str">
        <f t="shared" si="18"/>
        <v/>
      </c>
      <c r="I270" s="39" t="str">
        <f t="shared" si="19"/>
        <v/>
      </c>
      <c r="J270" s="39" t="str">
        <f>""</f>
        <v/>
      </c>
    </row>
    <row r="271" spans="1:10">
      <c r="A271" s="26" t="s">
        <v>481</v>
      </c>
      <c r="E271" s="26" t="s">
        <v>5581</v>
      </c>
      <c r="F271" s="39" t="str">
        <f t="shared" si="16"/>
        <v/>
      </c>
      <c r="G271" s="39" t="str">
        <f t="shared" si="17"/>
        <v/>
      </c>
      <c r="H271" s="39" t="str">
        <f t="shared" si="18"/>
        <v/>
      </c>
      <c r="I271" s="39" t="str">
        <f t="shared" si="19"/>
        <v/>
      </c>
      <c r="J271" s="39" t="str">
        <f>""</f>
        <v/>
      </c>
    </row>
    <row r="272" spans="1:10">
      <c r="A272" s="26" t="s">
        <v>2094</v>
      </c>
      <c r="E272" s="26" t="s">
        <v>5581</v>
      </c>
      <c r="F272" s="39" t="str">
        <f t="shared" si="16"/>
        <v/>
      </c>
      <c r="G272" s="39" t="str">
        <f t="shared" si="17"/>
        <v/>
      </c>
      <c r="H272" s="39" t="str">
        <f t="shared" si="18"/>
        <v/>
      </c>
      <c r="I272" s="39" t="str">
        <f t="shared" si="19"/>
        <v/>
      </c>
      <c r="J272" s="39" t="str">
        <f>""</f>
        <v/>
      </c>
    </row>
    <row r="273" spans="1:10">
      <c r="A273" s="26" t="s">
        <v>2096</v>
      </c>
      <c r="E273" s="26" t="s">
        <v>5581</v>
      </c>
      <c r="F273" s="39" t="str">
        <f t="shared" si="16"/>
        <v/>
      </c>
      <c r="G273" s="39" t="str">
        <f t="shared" si="17"/>
        <v/>
      </c>
      <c r="H273" s="39" t="str">
        <f t="shared" si="18"/>
        <v/>
      </c>
      <c r="I273" s="39" t="str">
        <f t="shared" si="19"/>
        <v/>
      </c>
      <c r="J273" s="39" t="str">
        <f>""</f>
        <v/>
      </c>
    </row>
    <row r="274" spans="1:10">
      <c r="A274" s="26" t="s">
        <v>482</v>
      </c>
      <c r="E274" s="26" t="s">
        <v>3790</v>
      </c>
      <c r="F274" s="39" t="str">
        <f t="shared" si="16"/>
        <v/>
      </c>
      <c r="G274" s="39" t="str">
        <f t="shared" si="17"/>
        <v/>
      </c>
      <c r="H274" s="39" t="str">
        <f t="shared" si="18"/>
        <v/>
      </c>
      <c r="I274" s="39" t="str">
        <f t="shared" si="19"/>
        <v/>
      </c>
      <c r="J274" s="39" t="str">
        <f>""</f>
        <v/>
      </c>
    </row>
    <row r="275" spans="1:10">
      <c r="A275" s="26" t="s">
        <v>485</v>
      </c>
      <c r="E275" s="26" t="s">
        <v>5581</v>
      </c>
      <c r="F275" s="39" t="str">
        <f t="shared" si="16"/>
        <v/>
      </c>
      <c r="G275" s="39" t="str">
        <f t="shared" si="17"/>
        <v/>
      </c>
      <c r="H275" s="39" t="str">
        <f t="shared" si="18"/>
        <v/>
      </c>
      <c r="I275" s="39" t="str">
        <f t="shared" si="19"/>
        <v/>
      </c>
      <c r="J275" s="39" t="str">
        <f>""</f>
        <v/>
      </c>
    </row>
    <row r="276" spans="1:10">
      <c r="A276" s="26" t="s">
        <v>487</v>
      </c>
      <c r="E276" s="26" t="s">
        <v>5581</v>
      </c>
      <c r="F276" s="39" t="str">
        <f t="shared" si="16"/>
        <v/>
      </c>
      <c r="G276" s="39" t="str">
        <f t="shared" si="17"/>
        <v/>
      </c>
      <c r="H276" s="39" t="str">
        <f t="shared" si="18"/>
        <v/>
      </c>
      <c r="I276" s="39" t="str">
        <f t="shared" si="19"/>
        <v/>
      </c>
      <c r="J276" s="39" t="str">
        <f>""</f>
        <v/>
      </c>
    </row>
    <row r="277" spans="1:10">
      <c r="A277" s="26" t="s">
        <v>488</v>
      </c>
      <c r="E277" s="26" t="s">
        <v>5581</v>
      </c>
      <c r="F277" s="39" t="str">
        <f t="shared" si="16"/>
        <v/>
      </c>
      <c r="G277" s="39" t="str">
        <f t="shared" si="17"/>
        <v/>
      </c>
      <c r="H277" s="39" t="str">
        <f t="shared" si="18"/>
        <v/>
      </c>
      <c r="I277" s="39" t="str">
        <f t="shared" si="19"/>
        <v/>
      </c>
      <c r="J277" s="39" t="str">
        <f>""</f>
        <v/>
      </c>
    </row>
    <row r="278" spans="1:10">
      <c r="A278" s="26" t="s">
        <v>490</v>
      </c>
      <c r="E278" s="26" t="s">
        <v>5581</v>
      </c>
      <c r="F278" s="39" t="str">
        <f t="shared" si="16"/>
        <v/>
      </c>
      <c r="G278" s="39" t="str">
        <f t="shared" si="17"/>
        <v/>
      </c>
      <c r="H278" s="39" t="str">
        <f t="shared" si="18"/>
        <v/>
      </c>
      <c r="I278" s="39" t="str">
        <f t="shared" si="19"/>
        <v/>
      </c>
      <c r="J278" s="39" t="str">
        <f>""</f>
        <v/>
      </c>
    </row>
    <row r="279" spans="1:10">
      <c r="A279" s="26" t="s">
        <v>491</v>
      </c>
      <c r="E279" s="26" t="s">
        <v>5581</v>
      </c>
      <c r="F279" s="39" t="str">
        <f t="shared" si="16"/>
        <v/>
      </c>
      <c r="G279" s="39" t="str">
        <f t="shared" si="17"/>
        <v/>
      </c>
      <c r="H279" s="39" t="str">
        <f t="shared" si="18"/>
        <v/>
      </c>
      <c r="I279" s="39" t="str">
        <f t="shared" si="19"/>
        <v/>
      </c>
      <c r="J279" s="39" t="str">
        <f>""</f>
        <v/>
      </c>
    </row>
    <row r="280" spans="1:10">
      <c r="A280" s="26" t="s">
        <v>493</v>
      </c>
      <c r="E280" s="26" t="s">
        <v>5581</v>
      </c>
      <c r="F280" s="39" t="str">
        <f t="shared" si="16"/>
        <v/>
      </c>
      <c r="G280" s="39" t="str">
        <f t="shared" si="17"/>
        <v/>
      </c>
      <c r="H280" s="39" t="str">
        <f t="shared" si="18"/>
        <v/>
      </c>
      <c r="I280" s="39" t="str">
        <f t="shared" si="19"/>
        <v/>
      </c>
      <c r="J280" s="39" t="str">
        <f>""</f>
        <v/>
      </c>
    </row>
    <row r="281" spans="1:10">
      <c r="A281" s="26" t="s">
        <v>495</v>
      </c>
      <c r="E281" s="26" t="s">
        <v>5581</v>
      </c>
      <c r="F281" s="39" t="str">
        <f t="shared" si="16"/>
        <v/>
      </c>
      <c r="G281" s="39" t="str">
        <f t="shared" si="17"/>
        <v/>
      </c>
      <c r="H281" s="39" t="str">
        <f t="shared" si="18"/>
        <v/>
      </c>
      <c r="I281" s="39" t="str">
        <f t="shared" si="19"/>
        <v/>
      </c>
      <c r="J281" s="39" t="str">
        <f>""</f>
        <v/>
      </c>
    </row>
    <row r="282" spans="1:10">
      <c r="A282" s="26" t="s">
        <v>496</v>
      </c>
      <c r="E282" s="26" t="s">
        <v>5581</v>
      </c>
      <c r="F282" s="39" t="str">
        <f t="shared" si="16"/>
        <v/>
      </c>
      <c r="G282" s="39" t="str">
        <f t="shared" si="17"/>
        <v/>
      </c>
      <c r="H282" s="39" t="str">
        <f t="shared" si="18"/>
        <v/>
      </c>
      <c r="I282" s="39" t="str">
        <f t="shared" si="19"/>
        <v/>
      </c>
      <c r="J282" s="39" t="str">
        <f>""</f>
        <v/>
      </c>
    </row>
    <row r="283" spans="1:10">
      <c r="A283" s="26" t="s">
        <v>498</v>
      </c>
      <c r="E283" s="26" t="s">
        <v>5581</v>
      </c>
      <c r="F283" s="39" t="str">
        <f t="shared" si="16"/>
        <v/>
      </c>
      <c r="G283" s="39" t="str">
        <f t="shared" si="17"/>
        <v/>
      </c>
      <c r="H283" s="39" t="str">
        <f t="shared" si="18"/>
        <v/>
      </c>
      <c r="I283" s="39" t="str">
        <f t="shared" si="19"/>
        <v/>
      </c>
      <c r="J283" s="39" t="str">
        <f>""</f>
        <v/>
      </c>
    </row>
    <row r="284" spans="1:10">
      <c r="A284" s="26" t="s">
        <v>499</v>
      </c>
      <c r="E284" s="26" t="s">
        <v>3790</v>
      </c>
      <c r="F284" s="39" t="str">
        <f t="shared" si="16"/>
        <v/>
      </c>
      <c r="G284" s="39" t="str">
        <f t="shared" si="17"/>
        <v/>
      </c>
      <c r="H284" s="39" t="str">
        <f t="shared" si="18"/>
        <v/>
      </c>
      <c r="I284" s="39" t="str">
        <f t="shared" si="19"/>
        <v/>
      </c>
      <c r="J284" s="39" t="str">
        <f>""</f>
        <v/>
      </c>
    </row>
    <row r="285" spans="1:10">
      <c r="A285" s="26" t="s">
        <v>2097</v>
      </c>
      <c r="E285" s="26" t="s">
        <v>5581</v>
      </c>
      <c r="F285" s="39" t="str">
        <f t="shared" si="16"/>
        <v/>
      </c>
      <c r="G285" s="39" t="str">
        <f t="shared" si="17"/>
        <v/>
      </c>
      <c r="H285" s="39" t="str">
        <f t="shared" si="18"/>
        <v/>
      </c>
      <c r="I285" s="39" t="str">
        <f t="shared" si="19"/>
        <v/>
      </c>
      <c r="J285" s="39" t="str">
        <f>""</f>
        <v/>
      </c>
    </row>
    <row r="286" spans="1:10">
      <c r="A286" s="26" t="s">
        <v>2099</v>
      </c>
      <c r="E286" s="26" t="s">
        <v>5581</v>
      </c>
      <c r="F286" s="39" t="str">
        <f t="shared" si="16"/>
        <v/>
      </c>
      <c r="G286" s="39" t="str">
        <f t="shared" si="17"/>
        <v/>
      </c>
      <c r="H286" s="39" t="str">
        <f t="shared" si="18"/>
        <v/>
      </c>
      <c r="I286" s="39" t="str">
        <f t="shared" si="19"/>
        <v/>
      </c>
      <c r="J286" s="39" t="str">
        <f>""</f>
        <v/>
      </c>
    </row>
    <row r="287" spans="1:10">
      <c r="A287" s="26" t="s">
        <v>501</v>
      </c>
      <c r="E287" s="26" t="s">
        <v>5581</v>
      </c>
      <c r="F287" s="39" t="str">
        <f t="shared" si="16"/>
        <v/>
      </c>
      <c r="G287" s="39" t="str">
        <f t="shared" si="17"/>
        <v/>
      </c>
      <c r="H287" s="39" t="str">
        <f t="shared" si="18"/>
        <v/>
      </c>
      <c r="I287" s="39" t="str">
        <f t="shared" si="19"/>
        <v/>
      </c>
      <c r="J287" s="39" t="str">
        <f>""</f>
        <v/>
      </c>
    </row>
    <row r="288" spans="1:10">
      <c r="A288" s="26" t="s">
        <v>2100</v>
      </c>
      <c r="E288" s="26" t="s">
        <v>5581</v>
      </c>
      <c r="F288" s="39" t="str">
        <f t="shared" si="16"/>
        <v/>
      </c>
      <c r="G288" s="39" t="str">
        <f t="shared" si="17"/>
        <v/>
      </c>
      <c r="H288" s="39" t="str">
        <f t="shared" si="18"/>
        <v/>
      </c>
      <c r="I288" s="39" t="str">
        <f t="shared" si="19"/>
        <v/>
      </c>
      <c r="J288" s="39" t="str">
        <f>""</f>
        <v/>
      </c>
    </row>
    <row r="289" spans="1:10">
      <c r="A289" s="26" t="s">
        <v>2103</v>
      </c>
      <c r="E289" s="26" t="s">
        <v>5581</v>
      </c>
      <c r="F289" s="39" t="str">
        <f t="shared" si="16"/>
        <v/>
      </c>
      <c r="G289" s="39" t="str">
        <f t="shared" si="17"/>
        <v/>
      </c>
      <c r="H289" s="39" t="str">
        <f t="shared" si="18"/>
        <v/>
      </c>
      <c r="I289" s="39" t="str">
        <f t="shared" si="19"/>
        <v/>
      </c>
      <c r="J289" s="39" t="str">
        <f>""</f>
        <v/>
      </c>
    </row>
    <row r="290" spans="1:10">
      <c r="A290" s="26" t="s">
        <v>504</v>
      </c>
      <c r="E290" s="26" t="s">
        <v>5581</v>
      </c>
      <c r="F290" s="39" t="str">
        <f t="shared" si="16"/>
        <v/>
      </c>
      <c r="G290" s="39" t="str">
        <f t="shared" si="17"/>
        <v/>
      </c>
      <c r="H290" s="39" t="str">
        <f t="shared" si="18"/>
        <v/>
      </c>
      <c r="I290" s="39" t="str">
        <f t="shared" si="19"/>
        <v/>
      </c>
      <c r="J290" s="39" t="str">
        <f>""</f>
        <v/>
      </c>
    </row>
    <row r="291" spans="1:10">
      <c r="A291" s="26" t="s">
        <v>506</v>
      </c>
      <c r="E291" s="26" t="s">
        <v>5581</v>
      </c>
      <c r="F291" s="39" t="str">
        <f t="shared" si="16"/>
        <v/>
      </c>
      <c r="G291" s="39" t="str">
        <f t="shared" si="17"/>
        <v/>
      </c>
      <c r="H291" s="39" t="str">
        <f t="shared" si="18"/>
        <v/>
      </c>
      <c r="I291" s="39" t="str">
        <f t="shared" si="19"/>
        <v/>
      </c>
      <c r="J291" s="39" t="str">
        <f>""</f>
        <v/>
      </c>
    </row>
    <row r="292" spans="1:10">
      <c r="A292" s="26" t="s">
        <v>507</v>
      </c>
      <c r="E292" s="26" t="s">
        <v>5581</v>
      </c>
      <c r="F292" s="39" t="str">
        <f t="shared" si="16"/>
        <v/>
      </c>
      <c r="G292" s="39" t="str">
        <f t="shared" si="17"/>
        <v/>
      </c>
      <c r="H292" s="39" t="str">
        <f t="shared" si="18"/>
        <v/>
      </c>
      <c r="I292" s="39" t="str">
        <f t="shared" si="19"/>
        <v/>
      </c>
      <c r="J292" s="39" t="str">
        <f>""</f>
        <v/>
      </c>
    </row>
    <row r="293" spans="1:10">
      <c r="A293" s="26" t="s">
        <v>509</v>
      </c>
      <c r="E293" s="26" t="s">
        <v>5581</v>
      </c>
      <c r="F293" s="39" t="str">
        <f t="shared" si="16"/>
        <v/>
      </c>
      <c r="G293" s="39" t="str">
        <f t="shared" si="17"/>
        <v/>
      </c>
      <c r="H293" s="39" t="str">
        <f t="shared" si="18"/>
        <v/>
      </c>
      <c r="I293" s="39" t="str">
        <f t="shared" si="19"/>
        <v/>
      </c>
      <c r="J293" s="39" t="str">
        <f>""</f>
        <v/>
      </c>
    </row>
    <row r="294" spans="1:10">
      <c r="A294" s="26" t="s">
        <v>510</v>
      </c>
      <c r="E294" s="26" t="s">
        <v>5581</v>
      </c>
      <c r="F294" s="39" t="str">
        <f t="shared" si="16"/>
        <v/>
      </c>
      <c r="G294" s="39" t="str">
        <f t="shared" si="17"/>
        <v/>
      </c>
      <c r="H294" s="39" t="str">
        <f t="shared" si="18"/>
        <v/>
      </c>
      <c r="I294" s="39" t="str">
        <f t="shared" si="19"/>
        <v/>
      </c>
      <c r="J294" s="39" t="str">
        <f>""</f>
        <v/>
      </c>
    </row>
    <row r="295" spans="1:10">
      <c r="A295" s="26" t="s">
        <v>512</v>
      </c>
      <c r="E295" s="26" t="s">
        <v>5581</v>
      </c>
      <c r="F295" s="39" t="str">
        <f t="shared" si="16"/>
        <v/>
      </c>
      <c r="G295" s="39" t="str">
        <f t="shared" si="17"/>
        <v/>
      </c>
      <c r="H295" s="39" t="str">
        <f t="shared" si="18"/>
        <v/>
      </c>
      <c r="I295" s="39" t="str">
        <f t="shared" si="19"/>
        <v/>
      </c>
      <c r="J295" s="39" t="str">
        <f>""</f>
        <v/>
      </c>
    </row>
    <row r="296" spans="1:10">
      <c r="A296" s="26" t="s">
        <v>513</v>
      </c>
      <c r="E296" s="26" t="s">
        <v>5581</v>
      </c>
      <c r="F296" s="39" t="str">
        <f t="shared" si="16"/>
        <v/>
      </c>
      <c r="G296" s="39" t="str">
        <f t="shared" si="17"/>
        <v/>
      </c>
      <c r="H296" s="39" t="str">
        <f t="shared" si="18"/>
        <v/>
      </c>
      <c r="I296" s="39" t="str">
        <f t="shared" si="19"/>
        <v/>
      </c>
      <c r="J296" s="39" t="str">
        <f>""</f>
        <v/>
      </c>
    </row>
    <row r="297" spans="1:10">
      <c r="A297" s="26" t="s">
        <v>515</v>
      </c>
      <c r="E297" s="26" t="s">
        <v>5581</v>
      </c>
      <c r="F297" s="39" t="str">
        <f t="shared" si="16"/>
        <v/>
      </c>
      <c r="G297" s="39" t="str">
        <f t="shared" si="17"/>
        <v/>
      </c>
      <c r="H297" s="39" t="str">
        <f t="shared" si="18"/>
        <v/>
      </c>
      <c r="I297" s="39" t="str">
        <f t="shared" si="19"/>
        <v/>
      </c>
      <c r="J297" s="39" t="str">
        <f>""</f>
        <v/>
      </c>
    </row>
    <row r="298" spans="1:10">
      <c r="A298" s="26" t="s">
        <v>516</v>
      </c>
      <c r="E298" s="26" t="s">
        <v>5581</v>
      </c>
      <c r="F298" s="39" t="str">
        <f t="shared" si="16"/>
        <v/>
      </c>
      <c r="G298" s="39" t="str">
        <f t="shared" si="17"/>
        <v/>
      </c>
      <c r="H298" s="39" t="str">
        <f t="shared" si="18"/>
        <v/>
      </c>
      <c r="I298" s="39" t="str">
        <f t="shared" si="19"/>
        <v/>
      </c>
      <c r="J298" s="39" t="str">
        <f>""</f>
        <v/>
      </c>
    </row>
    <row r="299" spans="1:10">
      <c r="A299" s="26" t="s">
        <v>518</v>
      </c>
      <c r="E299" s="26" t="s">
        <v>5581</v>
      </c>
      <c r="F299" s="39" t="str">
        <f t="shared" si="16"/>
        <v/>
      </c>
      <c r="G299" s="39" t="str">
        <f t="shared" si="17"/>
        <v/>
      </c>
      <c r="H299" s="39" t="str">
        <f t="shared" si="18"/>
        <v/>
      </c>
      <c r="I299" s="39" t="str">
        <f t="shared" si="19"/>
        <v/>
      </c>
      <c r="J299" s="39" t="str">
        <f>""</f>
        <v/>
      </c>
    </row>
    <row r="300" spans="1:10">
      <c r="A300" s="26" t="s">
        <v>519</v>
      </c>
      <c r="E300" s="26" t="s">
        <v>5581</v>
      </c>
      <c r="F300" s="39" t="str">
        <f t="shared" si="16"/>
        <v/>
      </c>
      <c r="G300" s="39" t="str">
        <f t="shared" si="17"/>
        <v/>
      </c>
      <c r="H300" s="39" t="str">
        <f t="shared" si="18"/>
        <v/>
      </c>
      <c r="I300" s="39" t="str">
        <f t="shared" si="19"/>
        <v/>
      </c>
      <c r="J300" s="39" t="str">
        <f>""</f>
        <v/>
      </c>
    </row>
    <row r="301" spans="1:10">
      <c r="A301" s="26" t="s">
        <v>522</v>
      </c>
      <c r="E301" s="26" t="s">
        <v>5581</v>
      </c>
      <c r="F301" s="39" t="str">
        <f t="shared" si="16"/>
        <v/>
      </c>
      <c r="G301" s="39" t="str">
        <f t="shared" si="17"/>
        <v/>
      </c>
      <c r="H301" s="39" t="str">
        <f t="shared" si="18"/>
        <v/>
      </c>
      <c r="I301" s="39" t="str">
        <f t="shared" si="19"/>
        <v/>
      </c>
      <c r="J301" s="39" t="str">
        <f>""</f>
        <v/>
      </c>
    </row>
    <row r="302" spans="1:10">
      <c r="A302" s="26" t="s">
        <v>523</v>
      </c>
      <c r="E302" s="26" t="s">
        <v>5581</v>
      </c>
      <c r="F302" s="39" t="str">
        <f t="shared" si="16"/>
        <v/>
      </c>
      <c r="G302" s="39" t="str">
        <f t="shared" si="17"/>
        <v/>
      </c>
      <c r="H302" s="39" t="str">
        <f t="shared" si="18"/>
        <v/>
      </c>
      <c r="I302" s="39" t="str">
        <f t="shared" si="19"/>
        <v/>
      </c>
      <c r="J302" s="39" t="str">
        <f>""</f>
        <v/>
      </c>
    </row>
    <row r="303" spans="1:10">
      <c r="A303" s="26" t="s">
        <v>525</v>
      </c>
      <c r="E303" s="26" t="s">
        <v>5581</v>
      </c>
      <c r="F303" s="39" t="str">
        <f t="shared" si="16"/>
        <v/>
      </c>
      <c r="G303" s="39" t="str">
        <f t="shared" si="17"/>
        <v/>
      </c>
      <c r="H303" s="39" t="str">
        <f t="shared" si="18"/>
        <v/>
      </c>
      <c r="I303" s="39" t="str">
        <f t="shared" si="19"/>
        <v/>
      </c>
      <c r="J303" s="39" t="str">
        <f>""</f>
        <v/>
      </c>
    </row>
    <row r="304" spans="1:10">
      <c r="A304" s="26" t="s">
        <v>2104</v>
      </c>
      <c r="E304" s="26" t="s">
        <v>5581</v>
      </c>
      <c r="F304" s="39" t="str">
        <f t="shared" si="16"/>
        <v/>
      </c>
      <c r="G304" s="39" t="str">
        <f t="shared" si="17"/>
        <v/>
      </c>
      <c r="H304" s="39" t="str">
        <f t="shared" si="18"/>
        <v/>
      </c>
      <c r="I304" s="39" t="str">
        <f t="shared" si="19"/>
        <v/>
      </c>
      <c r="J304" s="39" t="str">
        <f>""</f>
        <v/>
      </c>
    </row>
    <row r="305" spans="1:10">
      <c r="A305" s="26" t="s">
        <v>2106</v>
      </c>
      <c r="E305" s="26" t="s">
        <v>5581</v>
      </c>
      <c r="F305" s="39" t="str">
        <f t="shared" si="16"/>
        <v/>
      </c>
      <c r="G305" s="39" t="str">
        <f t="shared" si="17"/>
        <v/>
      </c>
      <c r="H305" s="39" t="str">
        <f t="shared" si="18"/>
        <v/>
      </c>
      <c r="I305" s="39" t="str">
        <f t="shared" si="19"/>
        <v/>
      </c>
      <c r="J305" s="39" t="str">
        <f>""</f>
        <v/>
      </c>
    </row>
    <row r="306" spans="1:10">
      <c r="A306" s="26" t="s">
        <v>526</v>
      </c>
      <c r="E306" s="26" t="s">
        <v>3790</v>
      </c>
      <c r="F306" s="39" t="str">
        <f t="shared" si="16"/>
        <v/>
      </c>
      <c r="G306" s="39" t="str">
        <f t="shared" si="17"/>
        <v/>
      </c>
      <c r="H306" s="39" t="str">
        <f t="shared" si="18"/>
        <v/>
      </c>
      <c r="I306" s="39" t="str">
        <f t="shared" si="19"/>
        <v/>
      </c>
      <c r="J306" s="39" t="str">
        <f>""</f>
        <v/>
      </c>
    </row>
    <row r="307" spans="1:10">
      <c r="A307" s="26" t="s">
        <v>528</v>
      </c>
      <c r="E307" s="26" t="s">
        <v>3790</v>
      </c>
      <c r="F307" s="39" t="str">
        <f t="shared" si="16"/>
        <v/>
      </c>
      <c r="G307" s="39" t="str">
        <f t="shared" si="17"/>
        <v/>
      </c>
      <c r="H307" s="39" t="str">
        <f t="shared" si="18"/>
        <v/>
      </c>
      <c r="I307" s="39" t="str">
        <f t="shared" si="19"/>
        <v/>
      </c>
      <c r="J307" s="39" t="str">
        <f>""</f>
        <v/>
      </c>
    </row>
    <row r="308" spans="1:10">
      <c r="A308" s="26" t="s">
        <v>529</v>
      </c>
      <c r="E308" s="26" t="s">
        <v>5581</v>
      </c>
      <c r="F308" s="39" t="str">
        <f t="shared" si="16"/>
        <v/>
      </c>
      <c r="G308" s="39" t="str">
        <f t="shared" si="17"/>
        <v/>
      </c>
      <c r="H308" s="39" t="str">
        <f t="shared" si="18"/>
        <v/>
      </c>
      <c r="I308" s="39" t="str">
        <f t="shared" si="19"/>
        <v/>
      </c>
      <c r="J308" s="39" t="str">
        <f>""</f>
        <v/>
      </c>
    </row>
    <row r="309" spans="1:10">
      <c r="A309" s="26" t="s">
        <v>531</v>
      </c>
      <c r="E309" s="26" t="s">
        <v>5581</v>
      </c>
      <c r="F309" s="39" t="str">
        <f t="shared" si="16"/>
        <v/>
      </c>
      <c r="G309" s="39" t="str">
        <f t="shared" si="17"/>
        <v/>
      </c>
      <c r="H309" s="39" t="str">
        <f t="shared" si="18"/>
        <v/>
      </c>
      <c r="I309" s="39" t="str">
        <f t="shared" si="19"/>
        <v/>
      </c>
      <c r="J309" s="39" t="str">
        <f>""</f>
        <v/>
      </c>
    </row>
    <row r="310" spans="1:10">
      <c r="A310" s="26" t="s">
        <v>2107</v>
      </c>
      <c r="E310" s="26" t="s">
        <v>5581</v>
      </c>
      <c r="F310" s="39" t="str">
        <f t="shared" si="16"/>
        <v/>
      </c>
      <c r="G310" s="39" t="str">
        <f t="shared" si="17"/>
        <v/>
      </c>
      <c r="H310" s="39" t="str">
        <f t="shared" si="18"/>
        <v/>
      </c>
      <c r="I310" s="39" t="str">
        <f t="shared" si="19"/>
        <v/>
      </c>
      <c r="J310" s="39" t="str">
        <f>""</f>
        <v/>
      </c>
    </row>
    <row r="311" spans="1:10">
      <c r="A311" s="26" t="s">
        <v>2109</v>
      </c>
      <c r="E311" s="26" t="s">
        <v>5581</v>
      </c>
      <c r="F311" s="39" t="str">
        <f t="shared" si="16"/>
        <v/>
      </c>
      <c r="G311" s="39" t="str">
        <f t="shared" si="17"/>
        <v/>
      </c>
      <c r="H311" s="39" t="str">
        <f t="shared" si="18"/>
        <v/>
      </c>
      <c r="I311" s="39" t="str">
        <f t="shared" si="19"/>
        <v/>
      </c>
      <c r="J311" s="39" t="str">
        <f>""</f>
        <v/>
      </c>
    </row>
    <row r="312" spans="1:10">
      <c r="A312" s="26" t="s">
        <v>532</v>
      </c>
      <c r="E312" s="26" t="s">
        <v>5581</v>
      </c>
      <c r="F312" s="39" t="str">
        <f t="shared" si="16"/>
        <v/>
      </c>
      <c r="G312" s="39" t="str">
        <f t="shared" si="17"/>
        <v/>
      </c>
      <c r="H312" s="39" t="str">
        <f t="shared" si="18"/>
        <v/>
      </c>
      <c r="I312" s="39" t="str">
        <f t="shared" si="19"/>
        <v/>
      </c>
      <c r="J312" s="39" t="str">
        <f>""</f>
        <v/>
      </c>
    </row>
    <row r="313" spans="1:10">
      <c r="A313" s="26" t="s">
        <v>534</v>
      </c>
      <c r="E313" s="26" t="s">
        <v>5581</v>
      </c>
      <c r="F313" s="39" t="str">
        <f t="shared" si="16"/>
        <v/>
      </c>
      <c r="G313" s="39" t="str">
        <f t="shared" si="17"/>
        <v/>
      </c>
      <c r="H313" s="39" t="str">
        <f t="shared" si="18"/>
        <v/>
      </c>
      <c r="I313" s="39" t="str">
        <f t="shared" si="19"/>
        <v/>
      </c>
      <c r="J313" s="39" t="str">
        <f>""</f>
        <v/>
      </c>
    </row>
    <row r="314" spans="1:10">
      <c r="A314" s="26" t="s">
        <v>2110</v>
      </c>
      <c r="E314" s="26" t="s">
        <v>5581</v>
      </c>
      <c r="F314" s="39" t="str">
        <f t="shared" si="16"/>
        <v/>
      </c>
      <c r="G314" s="39" t="str">
        <f t="shared" si="17"/>
        <v/>
      </c>
      <c r="H314" s="39" t="str">
        <f t="shared" si="18"/>
        <v/>
      </c>
      <c r="I314" s="39" t="str">
        <f t="shared" si="19"/>
        <v/>
      </c>
      <c r="J314" s="39" t="str">
        <f>""</f>
        <v/>
      </c>
    </row>
    <row r="315" spans="1:10">
      <c r="A315" s="26" t="s">
        <v>2112</v>
      </c>
      <c r="E315" s="26" t="s">
        <v>5581</v>
      </c>
      <c r="F315" s="39" t="str">
        <f t="shared" si="16"/>
        <v/>
      </c>
      <c r="G315" s="39" t="str">
        <f t="shared" si="17"/>
        <v/>
      </c>
      <c r="H315" s="39" t="str">
        <f t="shared" si="18"/>
        <v/>
      </c>
      <c r="I315" s="39" t="str">
        <f t="shared" si="19"/>
        <v/>
      </c>
      <c r="J315" s="39" t="str">
        <f>""</f>
        <v/>
      </c>
    </row>
    <row r="316" spans="1:10">
      <c r="A316" s="26" t="s">
        <v>5930</v>
      </c>
      <c r="E316" s="26" t="s">
        <v>3790</v>
      </c>
      <c r="F316" s="39" t="str">
        <f t="shared" si="16"/>
        <v/>
      </c>
      <c r="G316" s="39" t="str">
        <f t="shared" si="17"/>
        <v/>
      </c>
      <c r="H316" s="39" t="str">
        <f t="shared" si="18"/>
        <v/>
      </c>
      <c r="I316" s="39" t="str">
        <f t="shared" si="19"/>
        <v/>
      </c>
      <c r="J316" s="39" t="str">
        <f>""</f>
        <v/>
      </c>
    </row>
    <row r="317" spans="1:10">
      <c r="A317" s="26" t="s">
        <v>535</v>
      </c>
      <c r="E317" s="26" t="s">
        <v>5581</v>
      </c>
      <c r="F317" s="39" t="str">
        <f t="shared" si="16"/>
        <v/>
      </c>
      <c r="G317" s="39" t="str">
        <f t="shared" si="17"/>
        <v/>
      </c>
      <c r="H317" s="39" t="str">
        <f t="shared" si="18"/>
        <v/>
      </c>
      <c r="I317" s="39" t="str">
        <f t="shared" si="19"/>
        <v/>
      </c>
      <c r="J317" s="39" t="str">
        <f>""</f>
        <v/>
      </c>
    </row>
    <row r="318" spans="1:10">
      <c r="A318" s="26" t="s">
        <v>537</v>
      </c>
      <c r="E318" s="26" t="s">
        <v>3790</v>
      </c>
      <c r="F318" s="39" t="str">
        <f t="shared" si="16"/>
        <v/>
      </c>
      <c r="G318" s="39" t="str">
        <f t="shared" si="17"/>
        <v/>
      </c>
      <c r="H318" s="39" t="str">
        <f t="shared" si="18"/>
        <v/>
      </c>
      <c r="I318" s="39" t="str">
        <f t="shared" si="19"/>
        <v/>
      </c>
      <c r="J318" s="39" t="str">
        <f>""</f>
        <v/>
      </c>
    </row>
    <row r="319" spans="1:10">
      <c r="A319" s="26" t="s">
        <v>5423</v>
      </c>
      <c r="E319" s="26" t="s">
        <v>5581</v>
      </c>
      <c r="F319" s="39" t="str">
        <f t="shared" si="16"/>
        <v/>
      </c>
      <c r="G319" s="39" t="str">
        <f t="shared" si="17"/>
        <v/>
      </c>
      <c r="H319" s="39" t="str">
        <f t="shared" si="18"/>
        <v/>
      </c>
      <c r="I319" s="39" t="str">
        <f t="shared" si="19"/>
        <v/>
      </c>
      <c r="J319" s="39" t="str">
        <f>""</f>
        <v/>
      </c>
    </row>
    <row r="320" spans="1:10">
      <c r="A320" s="26" t="s">
        <v>540</v>
      </c>
      <c r="C320" s="39">
        <v>50</v>
      </c>
      <c r="D320" s="39" t="s">
        <v>3891</v>
      </c>
      <c r="E320" s="26" t="s">
        <v>5581</v>
      </c>
      <c r="F320" s="39">
        <f t="shared" si="16"/>
        <v>50</v>
      </c>
      <c r="G320" s="39">
        <f t="shared" si="17"/>
        <v>50</v>
      </c>
      <c r="H320" s="39">
        <f t="shared" si="18"/>
        <v>50</v>
      </c>
      <c r="I320" s="39">
        <f t="shared" si="19"/>
        <v>50</v>
      </c>
      <c r="J320" s="39" t="str">
        <f>""</f>
        <v/>
      </c>
    </row>
    <row r="321" spans="1:10">
      <c r="A321" s="26" t="s">
        <v>541</v>
      </c>
      <c r="E321" s="26" t="s">
        <v>3790</v>
      </c>
      <c r="F321" s="39" t="str">
        <f t="shared" si="16"/>
        <v/>
      </c>
      <c r="G321" s="39" t="str">
        <f t="shared" si="17"/>
        <v/>
      </c>
      <c r="H321" s="39" t="str">
        <f t="shared" si="18"/>
        <v/>
      </c>
      <c r="I321" s="39" t="str">
        <f t="shared" si="19"/>
        <v/>
      </c>
      <c r="J321" s="39" t="str">
        <f>""</f>
        <v/>
      </c>
    </row>
    <row r="322" spans="1:10">
      <c r="A322" s="26" t="s">
        <v>543</v>
      </c>
      <c r="E322" s="26" t="s">
        <v>5581</v>
      </c>
      <c r="F322" s="39" t="str">
        <f t="shared" si="16"/>
        <v/>
      </c>
      <c r="G322" s="39" t="str">
        <f t="shared" si="17"/>
        <v/>
      </c>
      <c r="H322" s="39" t="str">
        <f t="shared" si="18"/>
        <v/>
      </c>
      <c r="I322" s="39" t="str">
        <f t="shared" si="19"/>
        <v/>
      </c>
      <c r="J322" s="39" t="str">
        <f>""</f>
        <v/>
      </c>
    </row>
    <row r="323" spans="1:10">
      <c r="A323" s="26" t="s">
        <v>545</v>
      </c>
      <c r="E323" s="26" t="s">
        <v>5581</v>
      </c>
      <c r="F323" s="39" t="str">
        <f t="shared" ref="F323:F386" si="20">IF(C323="","",IF(C323&lt;99,C323,""))</f>
        <v/>
      </c>
      <c r="G323" s="39" t="str">
        <f t="shared" ref="G323:G386" si="21">IF(OR(F323&lt;&gt;"",D323&lt;&gt;""),C323,"")</f>
        <v/>
      </c>
      <c r="H323" s="39" t="str">
        <f t="shared" ref="H323:H386" si="22">IF(C323="","",C323)</f>
        <v/>
      </c>
      <c r="I323" s="39" t="str">
        <f t="shared" ref="I323:I386" si="23">IF(AND(C323&lt;&gt;"",D323&lt;&gt;""),C323,"")</f>
        <v/>
      </c>
      <c r="J323" s="39" t="str">
        <f>""</f>
        <v/>
      </c>
    </row>
    <row r="324" spans="1:10">
      <c r="A324" s="26" t="s">
        <v>547</v>
      </c>
      <c r="E324" s="26" t="s">
        <v>5581</v>
      </c>
      <c r="F324" s="39" t="str">
        <f t="shared" si="20"/>
        <v/>
      </c>
      <c r="G324" s="39" t="str">
        <f t="shared" si="21"/>
        <v/>
      </c>
      <c r="H324" s="39" t="str">
        <f t="shared" si="22"/>
        <v/>
      </c>
      <c r="I324" s="39" t="str">
        <f t="shared" si="23"/>
        <v/>
      </c>
      <c r="J324" s="39" t="str">
        <f>""</f>
        <v/>
      </c>
    </row>
    <row r="325" spans="1:10">
      <c r="A325" s="26" t="s">
        <v>548</v>
      </c>
      <c r="E325" s="26" t="s">
        <v>3790</v>
      </c>
      <c r="F325" s="39" t="str">
        <f t="shared" si="20"/>
        <v/>
      </c>
      <c r="G325" s="39" t="str">
        <f t="shared" si="21"/>
        <v/>
      </c>
      <c r="H325" s="39" t="str">
        <f t="shared" si="22"/>
        <v/>
      </c>
      <c r="I325" s="39" t="str">
        <f t="shared" si="23"/>
        <v/>
      </c>
      <c r="J325" s="39" t="str">
        <f>""</f>
        <v/>
      </c>
    </row>
    <row r="326" spans="1:10">
      <c r="A326" s="26" t="s">
        <v>550</v>
      </c>
      <c r="E326" s="26" t="s">
        <v>5581</v>
      </c>
      <c r="F326" s="39" t="str">
        <f t="shared" si="20"/>
        <v/>
      </c>
      <c r="G326" s="39" t="str">
        <f t="shared" si="21"/>
        <v/>
      </c>
      <c r="H326" s="39" t="str">
        <f t="shared" si="22"/>
        <v/>
      </c>
      <c r="I326" s="39" t="str">
        <f t="shared" si="23"/>
        <v/>
      </c>
      <c r="J326" s="39" t="str">
        <f>""</f>
        <v/>
      </c>
    </row>
    <row r="327" spans="1:10">
      <c r="A327" s="26" t="s">
        <v>552</v>
      </c>
      <c r="E327" s="26" t="s">
        <v>5581</v>
      </c>
      <c r="F327" s="39" t="str">
        <f t="shared" si="20"/>
        <v/>
      </c>
      <c r="G327" s="39" t="str">
        <f t="shared" si="21"/>
        <v/>
      </c>
      <c r="H327" s="39" t="str">
        <f t="shared" si="22"/>
        <v/>
      </c>
      <c r="I327" s="39" t="str">
        <f t="shared" si="23"/>
        <v/>
      </c>
      <c r="J327" s="39" t="str">
        <f>""</f>
        <v/>
      </c>
    </row>
    <row r="328" spans="1:10">
      <c r="A328" s="26" t="s">
        <v>553</v>
      </c>
      <c r="E328" s="26" t="s">
        <v>3790</v>
      </c>
      <c r="F328" s="39" t="str">
        <f t="shared" si="20"/>
        <v/>
      </c>
      <c r="G328" s="39" t="str">
        <f t="shared" si="21"/>
        <v/>
      </c>
      <c r="H328" s="39" t="str">
        <f t="shared" si="22"/>
        <v/>
      </c>
      <c r="I328" s="39" t="str">
        <f t="shared" si="23"/>
        <v/>
      </c>
      <c r="J328" s="39" t="str">
        <f>""</f>
        <v/>
      </c>
    </row>
    <row r="329" spans="1:10">
      <c r="A329" s="26" t="s">
        <v>3331</v>
      </c>
      <c r="E329" s="26" t="s">
        <v>5581</v>
      </c>
      <c r="F329" s="39" t="str">
        <f t="shared" si="20"/>
        <v/>
      </c>
      <c r="G329" s="39" t="str">
        <f t="shared" si="21"/>
        <v/>
      </c>
      <c r="H329" s="39" t="str">
        <f t="shared" si="22"/>
        <v/>
      </c>
      <c r="I329" s="39" t="str">
        <f t="shared" si="23"/>
        <v/>
      </c>
      <c r="J329" s="39" t="str">
        <f>""</f>
        <v/>
      </c>
    </row>
    <row r="330" spans="1:10">
      <c r="A330" s="26" t="s">
        <v>555</v>
      </c>
      <c r="E330" s="26" t="s">
        <v>5581</v>
      </c>
      <c r="F330" s="39" t="str">
        <f t="shared" si="20"/>
        <v/>
      </c>
      <c r="G330" s="39" t="str">
        <f t="shared" si="21"/>
        <v/>
      </c>
      <c r="H330" s="39" t="str">
        <f t="shared" si="22"/>
        <v/>
      </c>
      <c r="I330" s="39" t="str">
        <f t="shared" si="23"/>
        <v/>
      </c>
      <c r="J330" s="39" t="str">
        <f>""</f>
        <v/>
      </c>
    </row>
    <row r="331" spans="1:10">
      <c r="A331" s="26" t="s">
        <v>558</v>
      </c>
      <c r="E331" s="26" t="s">
        <v>5581</v>
      </c>
      <c r="F331" s="39" t="str">
        <f t="shared" si="20"/>
        <v/>
      </c>
      <c r="G331" s="39" t="str">
        <f t="shared" si="21"/>
        <v/>
      </c>
      <c r="H331" s="39" t="str">
        <f t="shared" si="22"/>
        <v/>
      </c>
      <c r="I331" s="39" t="str">
        <f t="shared" si="23"/>
        <v/>
      </c>
      <c r="J331" s="39" t="str">
        <f>""</f>
        <v/>
      </c>
    </row>
    <row r="332" spans="1:10">
      <c r="A332" s="26" t="s">
        <v>559</v>
      </c>
      <c r="E332" s="26" t="s">
        <v>5581</v>
      </c>
      <c r="F332" s="39" t="str">
        <f t="shared" si="20"/>
        <v/>
      </c>
      <c r="G332" s="39" t="str">
        <f t="shared" si="21"/>
        <v/>
      </c>
      <c r="H332" s="39" t="str">
        <f t="shared" si="22"/>
        <v/>
      </c>
      <c r="I332" s="39" t="str">
        <f t="shared" si="23"/>
        <v/>
      </c>
      <c r="J332" s="39" t="str">
        <f>""</f>
        <v/>
      </c>
    </row>
    <row r="333" spans="1:10">
      <c r="A333" s="26" t="s">
        <v>562</v>
      </c>
      <c r="E333" s="26" t="s">
        <v>5581</v>
      </c>
      <c r="F333" s="39" t="str">
        <f t="shared" si="20"/>
        <v/>
      </c>
      <c r="G333" s="39" t="str">
        <f t="shared" si="21"/>
        <v/>
      </c>
      <c r="H333" s="39" t="str">
        <f t="shared" si="22"/>
        <v/>
      </c>
      <c r="I333" s="39" t="str">
        <f t="shared" si="23"/>
        <v/>
      </c>
      <c r="J333" s="39" t="str">
        <f>""</f>
        <v/>
      </c>
    </row>
    <row r="334" spans="1:10">
      <c r="A334" s="26" t="s">
        <v>563</v>
      </c>
      <c r="E334" s="26" t="s">
        <v>5581</v>
      </c>
      <c r="F334" s="39" t="str">
        <f t="shared" si="20"/>
        <v/>
      </c>
      <c r="G334" s="39" t="str">
        <f t="shared" si="21"/>
        <v/>
      </c>
      <c r="H334" s="39" t="str">
        <f t="shared" si="22"/>
        <v/>
      </c>
      <c r="I334" s="39" t="str">
        <f t="shared" si="23"/>
        <v/>
      </c>
      <c r="J334" s="39" t="str">
        <f>""</f>
        <v/>
      </c>
    </row>
    <row r="335" spans="1:10">
      <c r="A335" s="26" t="s">
        <v>565</v>
      </c>
      <c r="E335" s="26" t="s">
        <v>5581</v>
      </c>
      <c r="F335" s="39" t="str">
        <f t="shared" si="20"/>
        <v/>
      </c>
      <c r="G335" s="39" t="str">
        <f t="shared" si="21"/>
        <v/>
      </c>
      <c r="H335" s="39" t="str">
        <f t="shared" si="22"/>
        <v/>
      </c>
      <c r="I335" s="39" t="str">
        <f t="shared" si="23"/>
        <v/>
      </c>
      <c r="J335" s="39" t="str">
        <f>""</f>
        <v/>
      </c>
    </row>
    <row r="336" spans="1:10">
      <c r="A336" s="26" t="s">
        <v>566</v>
      </c>
      <c r="E336" s="26" t="s">
        <v>5581</v>
      </c>
      <c r="F336" s="39" t="str">
        <f t="shared" si="20"/>
        <v/>
      </c>
      <c r="G336" s="39" t="str">
        <f t="shared" si="21"/>
        <v/>
      </c>
      <c r="H336" s="39" t="str">
        <f t="shared" si="22"/>
        <v/>
      </c>
      <c r="I336" s="39" t="str">
        <f t="shared" si="23"/>
        <v/>
      </c>
      <c r="J336" s="39" t="str">
        <f>""</f>
        <v/>
      </c>
    </row>
    <row r="337" spans="1:10">
      <c r="A337" s="26" t="s">
        <v>568</v>
      </c>
      <c r="E337" s="26" t="s">
        <v>5581</v>
      </c>
      <c r="F337" s="39" t="str">
        <f t="shared" si="20"/>
        <v/>
      </c>
      <c r="G337" s="39" t="str">
        <f t="shared" si="21"/>
        <v/>
      </c>
      <c r="H337" s="39" t="str">
        <f t="shared" si="22"/>
        <v/>
      </c>
      <c r="I337" s="39" t="str">
        <f t="shared" si="23"/>
        <v/>
      </c>
      <c r="J337" s="39" t="str">
        <f>""</f>
        <v/>
      </c>
    </row>
    <row r="338" spans="1:10">
      <c r="A338" s="26" t="s">
        <v>2113</v>
      </c>
      <c r="E338" s="26" t="s">
        <v>5581</v>
      </c>
      <c r="F338" s="39" t="str">
        <f t="shared" si="20"/>
        <v/>
      </c>
      <c r="G338" s="39" t="str">
        <f t="shared" si="21"/>
        <v/>
      </c>
      <c r="H338" s="39" t="str">
        <f t="shared" si="22"/>
        <v/>
      </c>
      <c r="I338" s="39" t="str">
        <f t="shared" si="23"/>
        <v/>
      </c>
      <c r="J338" s="39" t="str">
        <f>""</f>
        <v/>
      </c>
    </row>
    <row r="339" spans="1:10">
      <c r="A339" s="26" t="s">
        <v>2115</v>
      </c>
      <c r="E339" s="26" t="s">
        <v>5581</v>
      </c>
      <c r="F339" s="39" t="str">
        <f t="shared" si="20"/>
        <v/>
      </c>
      <c r="G339" s="39" t="str">
        <f t="shared" si="21"/>
        <v/>
      </c>
      <c r="H339" s="39" t="str">
        <f t="shared" si="22"/>
        <v/>
      </c>
      <c r="I339" s="39" t="str">
        <f t="shared" si="23"/>
        <v/>
      </c>
      <c r="J339" s="39" t="str">
        <f>""</f>
        <v/>
      </c>
    </row>
    <row r="340" spans="1:10">
      <c r="A340" s="26" t="s">
        <v>5931</v>
      </c>
      <c r="E340" s="26" t="s">
        <v>3790</v>
      </c>
      <c r="F340" s="39" t="str">
        <f t="shared" si="20"/>
        <v/>
      </c>
      <c r="G340" s="39" t="str">
        <f t="shared" si="21"/>
        <v/>
      </c>
      <c r="H340" s="39" t="str">
        <f t="shared" si="22"/>
        <v/>
      </c>
      <c r="I340" s="39" t="str">
        <f t="shared" si="23"/>
        <v/>
      </c>
      <c r="J340" s="39" t="str">
        <f>""</f>
        <v/>
      </c>
    </row>
    <row r="341" spans="1:10">
      <c r="A341" s="26" t="s">
        <v>569</v>
      </c>
      <c r="E341" s="26" t="s">
        <v>5581</v>
      </c>
      <c r="F341" s="39" t="str">
        <f t="shared" si="20"/>
        <v/>
      </c>
      <c r="G341" s="39" t="str">
        <f t="shared" si="21"/>
        <v/>
      </c>
      <c r="H341" s="39" t="str">
        <f t="shared" si="22"/>
        <v/>
      </c>
      <c r="I341" s="39" t="str">
        <f t="shared" si="23"/>
        <v/>
      </c>
      <c r="J341" s="39" t="str">
        <f>""</f>
        <v/>
      </c>
    </row>
    <row r="342" spans="1:10">
      <c r="A342" s="26" t="s">
        <v>571</v>
      </c>
      <c r="E342" s="26" t="s">
        <v>5581</v>
      </c>
      <c r="F342" s="39" t="str">
        <f t="shared" si="20"/>
        <v/>
      </c>
      <c r="G342" s="39" t="str">
        <f t="shared" si="21"/>
        <v/>
      </c>
      <c r="H342" s="39" t="str">
        <f t="shared" si="22"/>
        <v/>
      </c>
      <c r="I342" s="39" t="str">
        <f t="shared" si="23"/>
        <v/>
      </c>
      <c r="J342" s="39" t="str">
        <f>""</f>
        <v/>
      </c>
    </row>
    <row r="343" spans="1:10">
      <c r="A343" s="26" t="s">
        <v>573</v>
      </c>
      <c r="E343" s="26" t="s">
        <v>5581</v>
      </c>
      <c r="F343" s="39" t="str">
        <f t="shared" si="20"/>
        <v/>
      </c>
      <c r="G343" s="39" t="str">
        <f t="shared" si="21"/>
        <v/>
      </c>
      <c r="H343" s="39" t="str">
        <f t="shared" si="22"/>
        <v/>
      </c>
      <c r="I343" s="39" t="str">
        <f t="shared" si="23"/>
        <v/>
      </c>
      <c r="J343" s="39" t="str">
        <f>""</f>
        <v/>
      </c>
    </row>
    <row r="344" spans="1:10">
      <c r="A344" s="26" t="s">
        <v>574</v>
      </c>
      <c r="E344" s="26" t="s">
        <v>5581</v>
      </c>
      <c r="F344" s="39" t="str">
        <f t="shared" si="20"/>
        <v/>
      </c>
      <c r="G344" s="39" t="str">
        <f t="shared" si="21"/>
        <v/>
      </c>
      <c r="H344" s="39" t="str">
        <f t="shared" si="22"/>
        <v/>
      </c>
      <c r="I344" s="39" t="str">
        <f t="shared" si="23"/>
        <v/>
      </c>
      <c r="J344" s="39" t="str">
        <f>""</f>
        <v/>
      </c>
    </row>
    <row r="345" spans="1:10">
      <c r="A345" s="26" t="s">
        <v>576</v>
      </c>
      <c r="E345" s="26" t="s">
        <v>5581</v>
      </c>
      <c r="F345" s="39" t="str">
        <f t="shared" si="20"/>
        <v/>
      </c>
      <c r="G345" s="39" t="str">
        <f t="shared" si="21"/>
        <v/>
      </c>
      <c r="H345" s="39" t="str">
        <f t="shared" si="22"/>
        <v/>
      </c>
      <c r="I345" s="39" t="str">
        <f t="shared" si="23"/>
        <v/>
      </c>
      <c r="J345" s="39" t="str">
        <f>""</f>
        <v/>
      </c>
    </row>
    <row r="346" spans="1:10">
      <c r="A346" s="26" t="s">
        <v>577</v>
      </c>
      <c r="E346" s="26" t="s">
        <v>5581</v>
      </c>
      <c r="F346" s="39" t="str">
        <f t="shared" si="20"/>
        <v/>
      </c>
      <c r="G346" s="39" t="str">
        <f t="shared" si="21"/>
        <v/>
      </c>
      <c r="H346" s="39" t="str">
        <f t="shared" si="22"/>
        <v/>
      </c>
      <c r="I346" s="39" t="str">
        <f t="shared" si="23"/>
        <v/>
      </c>
      <c r="J346" s="39" t="str">
        <f>""</f>
        <v/>
      </c>
    </row>
    <row r="347" spans="1:10">
      <c r="A347" s="26" t="s">
        <v>579</v>
      </c>
      <c r="E347" s="26" t="s">
        <v>5581</v>
      </c>
      <c r="F347" s="39" t="str">
        <f t="shared" si="20"/>
        <v/>
      </c>
      <c r="G347" s="39" t="str">
        <f t="shared" si="21"/>
        <v/>
      </c>
      <c r="H347" s="39" t="str">
        <f t="shared" si="22"/>
        <v/>
      </c>
      <c r="I347" s="39" t="str">
        <f t="shared" si="23"/>
        <v/>
      </c>
      <c r="J347" s="39" t="str">
        <f>""</f>
        <v/>
      </c>
    </row>
    <row r="348" spans="1:10">
      <c r="A348" s="26" t="s">
        <v>580</v>
      </c>
      <c r="E348" s="26" t="s">
        <v>5581</v>
      </c>
      <c r="F348" s="39" t="str">
        <f t="shared" si="20"/>
        <v/>
      </c>
      <c r="G348" s="39" t="str">
        <f t="shared" si="21"/>
        <v/>
      </c>
      <c r="H348" s="39" t="str">
        <f t="shared" si="22"/>
        <v/>
      </c>
      <c r="I348" s="39" t="str">
        <f t="shared" si="23"/>
        <v/>
      </c>
      <c r="J348" s="39" t="str">
        <f>""</f>
        <v/>
      </c>
    </row>
    <row r="349" spans="1:10">
      <c r="A349" s="26" t="s">
        <v>583</v>
      </c>
      <c r="E349" s="26" t="s">
        <v>5581</v>
      </c>
      <c r="F349" s="39" t="str">
        <f t="shared" si="20"/>
        <v/>
      </c>
      <c r="G349" s="39" t="str">
        <f t="shared" si="21"/>
        <v/>
      </c>
      <c r="H349" s="39" t="str">
        <f t="shared" si="22"/>
        <v/>
      </c>
      <c r="I349" s="39" t="str">
        <f t="shared" si="23"/>
        <v/>
      </c>
      <c r="J349" s="39" t="str">
        <f>""</f>
        <v/>
      </c>
    </row>
    <row r="350" spans="1:10">
      <c r="A350" s="26" t="s">
        <v>585</v>
      </c>
      <c r="E350" s="26" t="s">
        <v>5581</v>
      </c>
      <c r="F350" s="39" t="str">
        <f t="shared" si="20"/>
        <v/>
      </c>
      <c r="G350" s="39" t="str">
        <f t="shared" si="21"/>
        <v/>
      </c>
      <c r="H350" s="39" t="str">
        <f t="shared" si="22"/>
        <v/>
      </c>
      <c r="I350" s="39" t="str">
        <f t="shared" si="23"/>
        <v/>
      </c>
      <c r="J350" s="39" t="str">
        <f>""</f>
        <v/>
      </c>
    </row>
    <row r="351" spans="1:10">
      <c r="A351" s="26" t="s">
        <v>587</v>
      </c>
      <c r="E351" s="26" t="s">
        <v>5581</v>
      </c>
      <c r="F351" s="39" t="str">
        <f t="shared" si="20"/>
        <v/>
      </c>
      <c r="G351" s="39" t="str">
        <f t="shared" si="21"/>
        <v/>
      </c>
      <c r="H351" s="39" t="str">
        <f t="shared" si="22"/>
        <v/>
      </c>
      <c r="I351" s="39" t="str">
        <f t="shared" si="23"/>
        <v/>
      </c>
      <c r="J351" s="39" t="str">
        <f>""</f>
        <v/>
      </c>
    </row>
    <row r="352" spans="1:10">
      <c r="A352" s="26" t="s">
        <v>588</v>
      </c>
      <c r="E352" s="26" t="s">
        <v>3790</v>
      </c>
      <c r="F352" s="39" t="str">
        <f t="shared" si="20"/>
        <v/>
      </c>
      <c r="G352" s="39" t="str">
        <f t="shared" si="21"/>
        <v/>
      </c>
      <c r="H352" s="39" t="str">
        <f t="shared" si="22"/>
        <v/>
      </c>
      <c r="I352" s="39" t="str">
        <f t="shared" si="23"/>
        <v/>
      </c>
      <c r="J352" s="39" t="str">
        <f>""</f>
        <v/>
      </c>
    </row>
    <row r="353" spans="1:10">
      <c r="A353" s="26" t="s">
        <v>591</v>
      </c>
      <c r="E353" s="26" t="s">
        <v>5581</v>
      </c>
      <c r="F353" s="39" t="str">
        <f t="shared" si="20"/>
        <v/>
      </c>
      <c r="G353" s="39" t="str">
        <f t="shared" si="21"/>
        <v/>
      </c>
      <c r="H353" s="39" t="str">
        <f t="shared" si="22"/>
        <v/>
      </c>
      <c r="I353" s="39" t="str">
        <f t="shared" si="23"/>
        <v/>
      </c>
      <c r="J353" s="39" t="str">
        <f>""</f>
        <v/>
      </c>
    </row>
    <row r="354" spans="1:10">
      <c r="A354" s="26" t="s">
        <v>593</v>
      </c>
      <c r="E354" s="26" t="s">
        <v>5581</v>
      </c>
      <c r="F354" s="39" t="str">
        <f t="shared" si="20"/>
        <v/>
      </c>
      <c r="G354" s="39" t="str">
        <f t="shared" si="21"/>
        <v/>
      </c>
      <c r="H354" s="39" t="str">
        <f t="shared" si="22"/>
        <v/>
      </c>
      <c r="I354" s="39" t="str">
        <f t="shared" si="23"/>
        <v/>
      </c>
      <c r="J354" s="39" t="str">
        <f>""</f>
        <v/>
      </c>
    </row>
    <row r="355" spans="1:10">
      <c r="A355" s="26" t="s">
        <v>2116</v>
      </c>
      <c r="E355" s="26" t="s">
        <v>5581</v>
      </c>
      <c r="F355" s="39" t="str">
        <f t="shared" si="20"/>
        <v/>
      </c>
      <c r="G355" s="39" t="str">
        <f t="shared" si="21"/>
        <v/>
      </c>
      <c r="H355" s="39" t="str">
        <f t="shared" si="22"/>
        <v/>
      </c>
      <c r="I355" s="39" t="str">
        <f t="shared" si="23"/>
        <v/>
      </c>
      <c r="J355" s="39" t="str">
        <f>""</f>
        <v/>
      </c>
    </row>
    <row r="356" spans="1:10">
      <c r="A356" s="26" t="s">
        <v>2118</v>
      </c>
      <c r="E356" s="26" t="s">
        <v>5581</v>
      </c>
      <c r="F356" s="39" t="str">
        <f t="shared" si="20"/>
        <v/>
      </c>
      <c r="G356" s="39" t="str">
        <f t="shared" si="21"/>
        <v/>
      </c>
      <c r="H356" s="39" t="str">
        <f t="shared" si="22"/>
        <v/>
      </c>
      <c r="I356" s="39" t="str">
        <f t="shared" si="23"/>
        <v/>
      </c>
      <c r="J356" s="39" t="str">
        <f>""</f>
        <v/>
      </c>
    </row>
    <row r="357" spans="1:10">
      <c r="A357" s="26" t="s">
        <v>594</v>
      </c>
      <c r="E357" s="26" t="s">
        <v>5581</v>
      </c>
      <c r="F357" s="39" t="str">
        <f t="shared" si="20"/>
        <v/>
      </c>
      <c r="G357" s="39" t="str">
        <f t="shared" si="21"/>
        <v/>
      </c>
      <c r="H357" s="39" t="str">
        <f t="shared" si="22"/>
        <v/>
      </c>
      <c r="I357" s="39" t="str">
        <f t="shared" si="23"/>
        <v/>
      </c>
      <c r="J357" s="39" t="str">
        <f>""</f>
        <v/>
      </c>
    </row>
    <row r="358" spans="1:10">
      <c r="A358" s="26" t="s">
        <v>596</v>
      </c>
      <c r="E358" s="26" t="s">
        <v>5581</v>
      </c>
      <c r="F358" s="39" t="str">
        <f t="shared" si="20"/>
        <v/>
      </c>
      <c r="G358" s="39" t="str">
        <f t="shared" si="21"/>
        <v/>
      </c>
      <c r="H358" s="39" t="str">
        <f t="shared" si="22"/>
        <v/>
      </c>
      <c r="I358" s="39" t="str">
        <f t="shared" si="23"/>
        <v/>
      </c>
      <c r="J358" s="39" t="str">
        <f>""</f>
        <v/>
      </c>
    </row>
    <row r="359" spans="1:10">
      <c r="A359" s="26" t="s">
        <v>2119</v>
      </c>
      <c r="E359" s="26" t="s">
        <v>5581</v>
      </c>
      <c r="F359" s="39" t="str">
        <f t="shared" si="20"/>
        <v/>
      </c>
      <c r="G359" s="39" t="str">
        <f t="shared" si="21"/>
        <v/>
      </c>
      <c r="H359" s="39" t="str">
        <f t="shared" si="22"/>
        <v/>
      </c>
      <c r="I359" s="39" t="str">
        <f t="shared" si="23"/>
        <v/>
      </c>
      <c r="J359" s="39" t="str">
        <f>""</f>
        <v/>
      </c>
    </row>
    <row r="360" spans="1:10">
      <c r="A360" s="26" t="s">
        <v>2122</v>
      </c>
      <c r="E360" s="26" t="s">
        <v>5581</v>
      </c>
      <c r="F360" s="39" t="str">
        <f t="shared" si="20"/>
        <v/>
      </c>
      <c r="G360" s="39" t="str">
        <f t="shared" si="21"/>
        <v/>
      </c>
      <c r="H360" s="39" t="str">
        <f t="shared" si="22"/>
        <v/>
      </c>
      <c r="I360" s="39" t="str">
        <f t="shared" si="23"/>
        <v/>
      </c>
      <c r="J360" s="39" t="str">
        <f>""</f>
        <v/>
      </c>
    </row>
    <row r="361" spans="1:10">
      <c r="A361" s="26" t="s">
        <v>2124</v>
      </c>
      <c r="E361" s="26" t="s">
        <v>5581</v>
      </c>
      <c r="F361" s="39" t="str">
        <f t="shared" si="20"/>
        <v/>
      </c>
      <c r="G361" s="39" t="str">
        <f t="shared" si="21"/>
        <v/>
      </c>
      <c r="H361" s="39" t="str">
        <f t="shared" si="22"/>
        <v/>
      </c>
      <c r="I361" s="39" t="str">
        <f t="shared" si="23"/>
        <v/>
      </c>
      <c r="J361" s="39" t="str">
        <f>""</f>
        <v/>
      </c>
    </row>
    <row r="362" spans="1:10">
      <c r="A362" s="26" t="s">
        <v>597</v>
      </c>
      <c r="E362" s="26" t="s">
        <v>5581</v>
      </c>
      <c r="F362" s="39" t="str">
        <f t="shared" si="20"/>
        <v/>
      </c>
      <c r="G362" s="39" t="str">
        <f t="shared" si="21"/>
        <v/>
      </c>
      <c r="H362" s="39" t="str">
        <f t="shared" si="22"/>
        <v/>
      </c>
      <c r="I362" s="39" t="str">
        <f t="shared" si="23"/>
        <v/>
      </c>
      <c r="J362" s="39" t="str">
        <f>""</f>
        <v/>
      </c>
    </row>
    <row r="363" spans="1:10">
      <c r="A363" s="26" t="s">
        <v>599</v>
      </c>
      <c r="E363" s="26" t="s">
        <v>5581</v>
      </c>
      <c r="F363" s="39" t="str">
        <f t="shared" si="20"/>
        <v/>
      </c>
      <c r="G363" s="39" t="str">
        <f t="shared" si="21"/>
        <v/>
      </c>
      <c r="H363" s="39" t="str">
        <f t="shared" si="22"/>
        <v/>
      </c>
      <c r="I363" s="39" t="str">
        <f t="shared" si="23"/>
        <v/>
      </c>
      <c r="J363" s="39" t="str">
        <f>""</f>
        <v/>
      </c>
    </row>
    <row r="364" spans="1:10">
      <c r="A364" s="26" t="s">
        <v>5555</v>
      </c>
      <c r="E364" s="26" t="s">
        <v>5581</v>
      </c>
      <c r="F364" s="39" t="str">
        <f t="shared" si="20"/>
        <v/>
      </c>
      <c r="G364" s="39" t="str">
        <f t="shared" si="21"/>
        <v/>
      </c>
      <c r="H364" s="39" t="str">
        <f t="shared" si="22"/>
        <v/>
      </c>
      <c r="I364" s="39" t="str">
        <f t="shared" si="23"/>
        <v/>
      </c>
      <c r="J364" s="39" t="str">
        <f>""</f>
        <v/>
      </c>
    </row>
    <row r="365" spans="1:10">
      <c r="A365" s="26" t="s">
        <v>601</v>
      </c>
      <c r="E365" s="26" t="s">
        <v>5581</v>
      </c>
      <c r="F365" s="39" t="str">
        <f t="shared" si="20"/>
        <v/>
      </c>
      <c r="G365" s="39" t="str">
        <f t="shared" si="21"/>
        <v/>
      </c>
      <c r="H365" s="39" t="str">
        <f t="shared" si="22"/>
        <v/>
      </c>
      <c r="I365" s="39" t="str">
        <f t="shared" si="23"/>
        <v/>
      </c>
      <c r="J365" s="39" t="str">
        <f>""</f>
        <v/>
      </c>
    </row>
    <row r="366" spans="1:10">
      <c r="A366" s="26" t="s">
        <v>602</v>
      </c>
      <c r="E366" s="26" t="s">
        <v>5581</v>
      </c>
      <c r="F366" s="39" t="str">
        <f t="shared" si="20"/>
        <v/>
      </c>
      <c r="G366" s="39" t="str">
        <f t="shared" si="21"/>
        <v/>
      </c>
      <c r="H366" s="39" t="str">
        <f t="shared" si="22"/>
        <v/>
      </c>
      <c r="I366" s="39" t="str">
        <f t="shared" si="23"/>
        <v/>
      </c>
      <c r="J366" s="39" t="str">
        <f>""</f>
        <v/>
      </c>
    </row>
    <row r="367" spans="1:10">
      <c r="A367" s="26" t="s">
        <v>2125</v>
      </c>
      <c r="E367" s="26" t="s">
        <v>5581</v>
      </c>
      <c r="F367" s="39" t="str">
        <f t="shared" si="20"/>
        <v/>
      </c>
      <c r="G367" s="39" t="str">
        <f t="shared" si="21"/>
        <v/>
      </c>
      <c r="H367" s="39" t="str">
        <f t="shared" si="22"/>
        <v/>
      </c>
      <c r="I367" s="39" t="str">
        <f t="shared" si="23"/>
        <v/>
      </c>
      <c r="J367" s="39" t="str">
        <f>""</f>
        <v/>
      </c>
    </row>
    <row r="368" spans="1:10">
      <c r="A368" s="26" t="s">
        <v>2127</v>
      </c>
      <c r="E368" s="26" t="s">
        <v>5581</v>
      </c>
      <c r="F368" s="39" t="str">
        <f t="shared" si="20"/>
        <v/>
      </c>
      <c r="G368" s="39" t="str">
        <f t="shared" si="21"/>
        <v/>
      </c>
      <c r="H368" s="39" t="str">
        <f t="shared" si="22"/>
        <v/>
      </c>
      <c r="I368" s="39" t="str">
        <f t="shared" si="23"/>
        <v/>
      </c>
      <c r="J368" s="39" t="str">
        <f>""</f>
        <v/>
      </c>
    </row>
    <row r="369" spans="1:10">
      <c r="A369" s="26" t="s">
        <v>2129</v>
      </c>
      <c r="E369" s="26" t="s">
        <v>3790</v>
      </c>
      <c r="F369" s="39" t="str">
        <f t="shared" si="20"/>
        <v/>
      </c>
      <c r="G369" s="39" t="str">
        <f t="shared" si="21"/>
        <v/>
      </c>
      <c r="H369" s="39" t="str">
        <f t="shared" si="22"/>
        <v/>
      </c>
      <c r="I369" s="39" t="str">
        <f t="shared" si="23"/>
        <v/>
      </c>
      <c r="J369" s="39" t="str">
        <f>""</f>
        <v/>
      </c>
    </row>
    <row r="370" spans="1:10">
      <c r="A370" s="26" t="s">
        <v>607</v>
      </c>
      <c r="E370" s="26" t="s">
        <v>5581</v>
      </c>
      <c r="F370" s="39" t="str">
        <f t="shared" si="20"/>
        <v/>
      </c>
      <c r="G370" s="39" t="str">
        <f t="shared" si="21"/>
        <v/>
      </c>
      <c r="H370" s="39" t="str">
        <f t="shared" si="22"/>
        <v/>
      </c>
      <c r="I370" s="39" t="str">
        <f t="shared" si="23"/>
        <v/>
      </c>
      <c r="J370" s="39" t="str">
        <f>""</f>
        <v/>
      </c>
    </row>
    <row r="371" spans="1:10">
      <c r="A371" s="26" t="s">
        <v>610</v>
      </c>
      <c r="E371" s="26" t="s">
        <v>5582</v>
      </c>
      <c r="F371" s="39" t="str">
        <f t="shared" si="20"/>
        <v/>
      </c>
      <c r="G371" s="39" t="str">
        <f t="shared" si="21"/>
        <v/>
      </c>
      <c r="H371" s="39" t="str">
        <f t="shared" si="22"/>
        <v/>
      </c>
      <c r="I371" s="39" t="str">
        <f t="shared" si="23"/>
        <v/>
      </c>
      <c r="J371" s="39" t="str">
        <f>""</f>
        <v/>
      </c>
    </row>
    <row r="372" spans="1:10">
      <c r="A372" s="26" t="s">
        <v>611</v>
      </c>
      <c r="E372" s="26" t="s">
        <v>5582</v>
      </c>
      <c r="F372" s="39" t="str">
        <f t="shared" si="20"/>
        <v/>
      </c>
      <c r="G372" s="39" t="str">
        <f t="shared" si="21"/>
        <v/>
      </c>
      <c r="H372" s="39" t="str">
        <f t="shared" si="22"/>
        <v/>
      </c>
      <c r="I372" s="39" t="str">
        <f t="shared" si="23"/>
        <v/>
      </c>
      <c r="J372" s="39" t="str">
        <f>""</f>
        <v/>
      </c>
    </row>
    <row r="373" spans="1:10">
      <c r="A373" s="26" t="s">
        <v>612</v>
      </c>
      <c r="E373" s="26" t="s">
        <v>5581</v>
      </c>
      <c r="F373" s="39" t="str">
        <f t="shared" si="20"/>
        <v/>
      </c>
      <c r="G373" s="39" t="str">
        <f t="shared" si="21"/>
        <v/>
      </c>
      <c r="H373" s="39" t="str">
        <f t="shared" si="22"/>
        <v/>
      </c>
      <c r="I373" s="39" t="str">
        <f t="shared" si="23"/>
        <v/>
      </c>
      <c r="J373" s="39" t="str">
        <f>""</f>
        <v/>
      </c>
    </row>
    <row r="374" spans="1:10">
      <c r="A374" s="26" t="s">
        <v>638</v>
      </c>
      <c r="E374" s="26" t="s">
        <v>5581</v>
      </c>
      <c r="F374" s="39" t="str">
        <f t="shared" si="20"/>
        <v/>
      </c>
      <c r="G374" s="39" t="str">
        <f t="shared" si="21"/>
        <v/>
      </c>
      <c r="H374" s="39" t="str">
        <f t="shared" si="22"/>
        <v/>
      </c>
      <c r="I374" s="39" t="str">
        <f t="shared" si="23"/>
        <v/>
      </c>
      <c r="J374" s="39" t="str">
        <f>""</f>
        <v/>
      </c>
    </row>
    <row r="375" spans="1:10">
      <c r="A375" s="26" t="s">
        <v>641</v>
      </c>
      <c r="E375" s="26" t="s">
        <v>5581</v>
      </c>
      <c r="F375" s="39" t="str">
        <f t="shared" si="20"/>
        <v/>
      </c>
      <c r="G375" s="39" t="str">
        <f t="shared" si="21"/>
        <v/>
      </c>
      <c r="H375" s="39" t="str">
        <f t="shared" si="22"/>
        <v/>
      </c>
      <c r="I375" s="39" t="str">
        <f t="shared" si="23"/>
        <v/>
      </c>
      <c r="J375" s="39" t="str">
        <f>""</f>
        <v/>
      </c>
    </row>
    <row r="376" spans="1:10">
      <c r="A376" s="26" t="s">
        <v>642</v>
      </c>
      <c r="E376" s="26" t="s">
        <v>5581</v>
      </c>
      <c r="F376" s="39" t="str">
        <f t="shared" si="20"/>
        <v/>
      </c>
      <c r="G376" s="39" t="str">
        <f t="shared" si="21"/>
        <v/>
      </c>
      <c r="H376" s="39" t="str">
        <f t="shared" si="22"/>
        <v/>
      </c>
      <c r="I376" s="39" t="str">
        <f t="shared" si="23"/>
        <v/>
      </c>
      <c r="J376" s="39" t="str">
        <f>""</f>
        <v/>
      </c>
    </row>
    <row r="377" spans="1:10">
      <c r="A377" s="26" t="s">
        <v>645</v>
      </c>
      <c r="E377" s="26" t="s">
        <v>5581</v>
      </c>
      <c r="F377" s="39" t="str">
        <f t="shared" si="20"/>
        <v/>
      </c>
      <c r="G377" s="39" t="str">
        <f t="shared" si="21"/>
        <v/>
      </c>
      <c r="H377" s="39" t="str">
        <f t="shared" si="22"/>
        <v/>
      </c>
      <c r="I377" s="39" t="str">
        <f t="shared" si="23"/>
        <v/>
      </c>
      <c r="J377" s="39" t="str">
        <f>""</f>
        <v/>
      </c>
    </row>
    <row r="378" spans="1:10">
      <c r="A378" s="26" t="s">
        <v>646</v>
      </c>
      <c r="E378" s="26" t="s">
        <v>5582</v>
      </c>
      <c r="F378" s="39" t="str">
        <f t="shared" si="20"/>
        <v/>
      </c>
      <c r="G378" s="39" t="str">
        <f t="shared" si="21"/>
        <v/>
      </c>
      <c r="H378" s="39" t="str">
        <f t="shared" si="22"/>
        <v/>
      </c>
      <c r="I378" s="39" t="str">
        <f t="shared" si="23"/>
        <v/>
      </c>
      <c r="J378" s="39" t="str">
        <f>""</f>
        <v/>
      </c>
    </row>
    <row r="379" spans="1:10">
      <c r="A379" s="26" t="s">
        <v>649</v>
      </c>
      <c r="E379" s="26" t="s">
        <v>5582</v>
      </c>
      <c r="F379" s="39" t="str">
        <f t="shared" si="20"/>
        <v/>
      </c>
      <c r="G379" s="39" t="str">
        <f t="shared" si="21"/>
        <v/>
      </c>
      <c r="H379" s="39" t="str">
        <f t="shared" si="22"/>
        <v/>
      </c>
      <c r="I379" s="39" t="str">
        <f t="shared" si="23"/>
        <v/>
      </c>
      <c r="J379" s="39" t="str">
        <f>""</f>
        <v/>
      </c>
    </row>
    <row r="380" spans="1:10">
      <c r="A380" s="26" t="s">
        <v>651</v>
      </c>
      <c r="E380" s="26" t="s">
        <v>5581</v>
      </c>
      <c r="F380" s="39" t="str">
        <f t="shared" si="20"/>
        <v/>
      </c>
      <c r="G380" s="39" t="str">
        <f t="shared" si="21"/>
        <v/>
      </c>
      <c r="H380" s="39" t="str">
        <f t="shared" si="22"/>
        <v/>
      </c>
      <c r="I380" s="39" t="str">
        <f t="shared" si="23"/>
        <v/>
      </c>
      <c r="J380" s="39" t="str">
        <f>""</f>
        <v/>
      </c>
    </row>
    <row r="381" spans="1:10">
      <c r="A381" s="26" t="s">
        <v>654</v>
      </c>
      <c r="E381" s="26" t="s">
        <v>5582</v>
      </c>
      <c r="F381" s="39" t="str">
        <f t="shared" si="20"/>
        <v/>
      </c>
      <c r="G381" s="39" t="str">
        <f t="shared" si="21"/>
        <v/>
      </c>
      <c r="H381" s="39" t="str">
        <f t="shared" si="22"/>
        <v/>
      </c>
      <c r="I381" s="39" t="str">
        <f t="shared" si="23"/>
        <v/>
      </c>
      <c r="J381" s="39" t="str">
        <f>""</f>
        <v/>
      </c>
    </row>
    <row r="382" spans="1:10">
      <c r="A382" s="26" t="s">
        <v>657</v>
      </c>
      <c r="E382" s="26" t="s">
        <v>5581</v>
      </c>
      <c r="F382" s="39" t="str">
        <f t="shared" si="20"/>
        <v/>
      </c>
      <c r="G382" s="39" t="str">
        <f t="shared" si="21"/>
        <v/>
      </c>
      <c r="H382" s="39" t="str">
        <f t="shared" si="22"/>
        <v/>
      </c>
      <c r="I382" s="39" t="str">
        <f t="shared" si="23"/>
        <v/>
      </c>
      <c r="J382" s="39" t="str">
        <f>""</f>
        <v/>
      </c>
    </row>
    <row r="383" spans="1:10">
      <c r="A383" s="26" t="s">
        <v>659</v>
      </c>
      <c r="E383" s="26" t="s">
        <v>5582</v>
      </c>
      <c r="F383" s="39" t="str">
        <f t="shared" si="20"/>
        <v/>
      </c>
      <c r="G383" s="39" t="str">
        <f t="shared" si="21"/>
        <v/>
      </c>
      <c r="H383" s="39" t="str">
        <f t="shared" si="22"/>
        <v/>
      </c>
      <c r="I383" s="39" t="str">
        <f t="shared" si="23"/>
        <v/>
      </c>
      <c r="J383" s="39" t="str">
        <f>""</f>
        <v/>
      </c>
    </row>
    <row r="384" spans="1:10">
      <c r="A384" s="26" t="s">
        <v>660</v>
      </c>
      <c r="E384" s="26" t="s">
        <v>3790</v>
      </c>
      <c r="F384" s="39" t="str">
        <f t="shared" si="20"/>
        <v/>
      </c>
      <c r="G384" s="39" t="str">
        <f t="shared" si="21"/>
        <v/>
      </c>
      <c r="H384" s="39" t="str">
        <f t="shared" si="22"/>
        <v/>
      </c>
      <c r="I384" s="39" t="str">
        <f t="shared" si="23"/>
        <v/>
      </c>
      <c r="J384" s="39" t="str">
        <f>""</f>
        <v/>
      </c>
    </row>
    <row r="385" spans="1:10">
      <c r="A385" s="26" t="s">
        <v>2131</v>
      </c>
      <c r="E385" s="26" t="s">
        <v>5581</v>
      </c>
      <c r="F385" s="39" t="str">
        <f t="shared" si="20"/>
        <v/>
      </c>
      <c r="G385" s="39" t="str">
        <f t="shared" si="21"/>
        <v/>
      </c>
      <c r="H385" s="39" t="str">
        <f t="shared" si="22"/>
        <v/>
      </c>
      <c r="I385" s="39" t="str">
        <f t="shared" si="23"/>
        <v/>
      </c>
      <c r="J385" s="39" t="str">
        <f>""</f>
        <v/>
      </c>
    </row>
    <row r="386" spans="1:10">
      <c r="A386" s="26" t="s">
        <v>2134</v>
      </c>
      <c r="E386" s="26" t="s">
        <v>5581</v>
      </c>
      <c r="F386" s="39" t="str">
        <f t="shared" si="20"/>
        <v/>
      </c>
      <c r="G386" s="39" t="str">
        <f t="shared" si="21"/>
        <v/>
      </c>
      <c r="H386" s="39" t="str">
        <f t="shared" si="22"/>
        <v/>
      </c>
      <c r="I386" s="39" t="str">
        <f t="shared" si="23"/>
        <v/>
      </c>
      <c r="J386" s="39" t="str">
        <f>""</f>
        <v/>
      </c>
    </row>
    <row r="387" spans="1:10">
      <c r="A387" s="26" t="s">
        <v>2136</v>
      </c>
      <c r="E387" s="26" t="s">
        <v>5581</v>
      </c>
      <c r="F387" s="39" t="str">
        <f t="shared" ref="F387:F450" si="24">IF(C387="","",IF(C387&lt;99,C387,""))</f>
        <v/>
      </c>
      <c r="G387" s="39" t="str">
        <f t="shared" ref="G387:G450" si="25">IF(OR(F387&lt;&gt;"",D387&lt;&gt;""),C387,"")</f>
        <v/>
      </c>
      <c r="H387" s="39" t="str">
        <f t="shared" ref="H387:H450" si="26">IF(C387="","",C387)</f>
        <v/>
      </c>
      <c r="I387" s="39" t="str">
        <f t="shared" ref="I387:I450" si="27">IF(AND(C387&lt;&gt;"",D387&lt;&gt;""),C387,"")</f>
        <v/>
      </c>
      <c r="J387" s="39" t="str">
        <f>""</f>
        <v/>
      </c>
    </row>
    <row r="388" spans="1:10">
      <c r="A388" s="26" t="s">
        <v>2138</v>
      </c>
      <c r="E388" s="26" t="s">
        <v>5581</v>
      </c>
      <c r="F388" s="39" t="str">
        <f t="shared" si="24"/>
        <v/>
      </c>
      <c r="G388" s="39" t="str">
        <f t="shared" si="25"/>
        <v/>
      </c>
      <c r="H388" s="39" t="str">
        <f t="shared" si="26"/>
        <v/>
      </c>
      <c r="I388" s="39" t="str">
        <f t="shared" si="27"/>
        <v/>
      </c>
      <c r="J388" s="39" t="str">
        <f>""</f>
        <v/>
      </c>
    </row>
    <row r="389" spans="1:10">
      <c r="A389" s="26" t="s">
        <v>2141</v>
      </c>
      <c r="E389" s="26" t="s">
        <v>5581</v>
      </c>
      <c r="F389" s="39" t="str">
        <f t="shared" si="24"/>
        <v/>
      </c>
      <c r="G389" s="39" t="str">
        <f t="shared" si="25"/>
        <v/>
      </c>
      <c r="H389" s="39" t="str">
        <f t="shared" si="26"/>
        <v/>
      </c>
      <c r="I389" s="39" t="str">
        <f t="shared" si="27"/>
        <v/>
      </c>
      <c r="J389" s="39" t="str">
        <f>""</f>
        <v/>
      </c>
    </row>
    <row r="390" spans="1:10">
      <c r="A390" s="26" t="s">
        <v>2144</v>
      </c>
      <c r="E390" s="26" t="s">
        <v>5581</v>
      </c>
      <c r="F390" s="39" t="str">
        <f t="shared" si="24"/>
        <v/>
      </c>
      <c r="G390" s="39" t="str">
        <f t="shared" si="25"/>
        <v/>
      </c>
      <c r="H390" s="39" t="str">
        <f t="shared" si="26"/>
        <v/>
      </c>
      <c r="I390" s="39" t="str">
        <f t="shared" si="27"/>
        <v/>
      </c>
      <c r="J390" s="39" t="str">
        <f>""</f>
        <v/>
      </c>
    </row>
    <row r="391" spans="1:10">
      <c r="A391" s="26" t="s">
        <v>2147</v>
      </c>
      <c r="E391" s="26" t="s">
        <v>5581</v>
      </c>
      <c r="F391" s="39" t="str">
        <f t="shared" si="24"/>
        <v/>
      </c>
      <c r="G391" s="39" t="str">
        <f t="shared" si="25"/>
        <v/>
      </c>
      <c r="H391" s="39" t="str">
        <f t="shared" si="26"/>
        <v/>
      </c>
      <c r="I391" s="39" t="str">
        <f t="shared" si="27"/>
        <v/>
      </c>
      <c r="J391" s="39" t="str">
        <f>""</f>
        <v/>
      </c>
    </row>
    <row r="392" spans="1:10">
      <c r="A392" s="26" t="s">
        <v>2150</v>
      </c>
      <c r="C392" s="39">
        <v>75</v>
      </c>
      <c r="E392" s="26" t="s">
        <v>5581</v>
      </c>
      <c r="F392" s="39">
        <f t="shared" si="24"/>
        <v>75</v>
      </c>
      <c r="G392" s="39">
        <f t="shared" si="25"/>
        <v>75</v>
      </c>
      <c r="H392" s="39">
        <f t="shared" si="26"/>
        <v>75</v>
      </c>
      <c r="I392" s="39" t="str">
        <f t="shared" si="27"/>
        <v/>
      </c>
      <c r="J392" s="39" t="str">
        <f>""</f>
        <v/>
      </c>
    </row>
    <row r="393" spans="1:10">
      <c r="A393" s="26" t="s">
        <v>2152</v>
      </c>
      <c r="E393" s="26" t="s">
        <v>5581</v>
      </c>
      <c r="F393" s="39" t="str">
        <f t="shared" si="24"/>
        <v/>
      </c>
      <c r="G393" s="39" t="str">
        <f t="shared" si="25"/>
        <v/>
      </c>
      <c r="H393" s="39" t="str">
        <f t="shared" si="26"/>
        <v/>
      </c>
      <c r="I393" s="39" t="str">
        <f t="shared" si="27"/>
        <v/>
      </c>
      <c r="J393" s="39" t="str">
        <f>""</f>
        <v/>
      </c>
    </row>
    <row r="394" spans="1:10">
      <c r="A394" s="26" t="s">
        <v>2154</v>
      </c>
      <c r="C394" s="39">
        <v>25</v>
      </c>
      <c r="D394" s="39" t="s">
        <v>3891</v>
      </c>
      <c r="E394" s="26" t="s">
        <v>5581</v>
      </c>
      <c r="F394" s="39">
        <f t="shared" si="24"/>
        <v>25</v>
      </c>
      <c r="G394" s="39">
        <f t="shared" si="25"/>
        <v>25</v>
      </c>
      <c r="H394" s="39">
        <f t="shared" si="26"/>
        <v>25</v>
      </c>
      <c r="I394" s="39">
        <f t="shared" si="27"/>
        <v>25</v>
      </c>
      <c r="J394" s="39" t="str">
        <f>""</f>
        <v/>
      </c>
    </row>
    <row r="395" spans="1:10">
      <c r="A395" s="26" t="s">
        <v>663</v>
      </c>
      <c r="E395" s="26" t="s">
        <v>3790</v>
      </c>
      <c r="F395" s="39" t="str">
        <f t="shared" si="24"/>
        <v/>
      </c>
      <c r="G395" s="39" t="str">
        <f t="shared" si="25"/>
        <v/>
      </c>
      <c r="H395" s="39" t="str">
        <f t="shared" si="26"/>
        <v/>
      </c>
      <c r="I395" s="39" t="str">
        <f t="shared" si="27"/>
        <v/>
      </c>
      <c r="J395" s="39" t="str">
        <f>""</f>
        <v/>
      </c>
    </row>
    <row r="396" spans="1:10">
      <c r="A396" s="26" t="s">
        <v>667</v>
      </c>
      <c r="E396" s="26" t="s">
        <v>3790</v>
      </c>
      <c r="F396" s="39" t="str">
        <f t="shared" si="24"/>
        <v/>
      </c>
      <c r="G396" s="39" t="str">
        <f t="shared" si="25"/>
        <v/>
      </c>
      <c r="H396" s="39" t="str">
        <f t="shared" si="26"/>
        <v/>
      </c>
      <c r="I396" s="39" t="str">
        <f t="shared" si="27"/>
        <v/>
      </c>
      <c r="J396" s="39" t="str">
        <f>""</f>
        <v/>
      </c>
    </row>
    <row r="397" spans="1:10">
      <c r="A397" s="26" t="s">
        <v>669</v>
      </c>
      <c r="E397" s="26" t="s">
        <v>3790</v>
      </c>
      <c r="F397" s="39" t="str">
        <f t="shared" si="24"/>
        <v/>
      </c>
      <c r="G397" s="39" t="str">
        <f t="shared" si="25"/>
        <v/>
      </c>
      <c r="H397" s="39" t="str">
        <f t="shared" si="26"/>
        <v/>
      </c>
      <c r="I397" s="39" t="str">
        <f t="shared" si="27"/>
        <v/>
      </c>
      <c r="J397" s="39" t="str">
        <f>""</f>
        <v/>
      </c>
    </row>
    <row r="398" spans="1:10">
      <c r="A398" s="26" t="s">
        <v>671</v>
      </c>
      <c r="E398" s="26" t="s">
        <v>3790</v>
      </c>
      <c r="F398" s="39" t="str">
        <f t="shared" si="24"/>
        <v/>
      </c>
      <c r="G398" s="39" t="str">
        <f t="shared" si="25"/>
        <v/>
      </c>
      <c r="H398" s="39" t="str">
        <f t="shared" si="26"/>
        <v/>
      </c>
      <c r="I398" s="39" t="str">
        <f t="shared" si="27"/>
        <v/>
      </c>
      <c r="J398" s="39" t="str">
        <f>""</f>
        <v/>
      </c>
    </row>
    <row r="399" spans="1:10">
      <c r="A399" s="26" t="s">
        <v>673</v>
      </c>
      <c r="E399" s="26" t="s">
        <v>3790</v>
      </c>
      <c r="F399" s="39" t="str">
        <f t="shared" si="24"/>
        <v/>
      </c>
      <c r="G399" s="39" t="str">
        <f t="shared" si="25"/>
        <v/>
      </c>
      <c r="H399" s="39" t="str">
        <f t="shared" si="26"/>
        <v/>
      </c>
      <c r="I399" s="39" t="str">
        <f t="shared" si="27"/>
        <v/>
      </c>
      <c r="J399" s="39" t="str">
        <f>""</f>
        <v/>
      </c>
    </row>
    <row r="400" spans="1:10">
      <c r="A400" s="26" t="s">
        <v>675</v>
      </c>
      <c r="E400" s="26" t="s">
        <v>3790</v>
      </c>
      <c r="F400" s="39" t="str">
        <f t="shared" si="24"/>
        <v/>
      </c>
      <c r="G400" s="39" t="str">
        <f t="shared" si="25"/>
        <v/>
      </c>
      <c r="H400" s="39" t="str">
        <f t="shared" si="26"/>
        <v/>
      </c>
      <c r="I400" s="39" t="str">
        <f t="shared" si="27"/>
        <v/>
      </c>
      <c r="J400" s="39" t="str">
        <f>""</f>
        <v/>
      </c>
    </row>
    <row r="401" spans="1:10">
      <c r="A401" s="26" t="s">
        <v>677</v>
      </c>
      <c r="E401" s="26" t="s">
        <v>3790</v>
      </c>
      <c r="F401" s="39" t="str">
        <f t="shared" si="24"/>
        <v/>
      </c>
      <c r="G401" s="39" t="str">
        <f t="shared" si="25"/>
        <v/>
      </c>
      <c r="H401" s="39" t="str">
        <f t="shared" si="26"/>
        <v/>
      </c>
      <c r="I401" s="39" t="str">
        <f t="shared" si="27"/>
        <v/>
      </c>
      <c r="J401" s="39" t="str">
        <f>""</f>
        <v/>
      </c>
    </row>
    <row r="402" spans="1:10">
      <c r="A402" s="26" t="s">
        <v>679</v>
      </c>
      <c r="E402" s="26" t="s">
        <v>5581</v>
      </c>
      <c r="F402" s="39" t="str">
        <f t="shared" si="24"/>
        <v/>
      </c>
      <c r="G402" s="39" t="str">
        <f t="shared" si="25"/>
        <v/>
      </c>
      <c r="H402" s="39" t="str">
        <f t="shared" si="26"/>
        <v/>
      </c>
      <c r="I402" s="39" t="str">
        <f t="shared" si="27"/>
        <v/>
      </c>
      <c r="J402" s="39" t="str">
        <f>""</f>
        <v/>
      </c>
    </row>
    <row r="403" spans="1:10">
      <c r="A403" s="26" t="s">
        <v>681</v>
      </c>
      <c r="E403" s="26" t="s">
        <v>5581</v>
      </c>
      <c r="F403" s="39" t="str">
        <f t="shared" si="24"/>
        <v/>
      </c>
      <c r="G403" s="39" t="str">
        <f t="shared" si="25"/>
        <v/>
      </c>
      <c r="H403" s="39" t="str">
        <f t="shared" si="26"/>
        <v/>
      </c>
      <c r="I403" s="39" t="str">
        <f t="shared" si="27"/>
        <v/>
      </c>
      <c r="J403" s="39" t="str">
        <f>""</f>
        <v/>
      </c>
    </row>
    <row r="404" spans="1:10">
      <c r="A404" s="26" t="s">
        <v>682</v>
      </c>
      <c r="E404" s="26" t="s">
        <v>3790</v>
      </c>
      <c r="F404" s="39" t="str">
        <f t="shared" si="24"/>
        <v/>
      </c>
      <c r="G404" s="39" t="str">
        <f t="shared" si="25"/>
        <v/>
      </c>
      <c r="H404" s="39" t="str">
        <f t="shared" si="26"/>
        <v/>
      </c>
      <c r="I404" s="39" t="str">
        <f t="shared" si="27"/>
        <v/>
      </c>
      <c r="J404" s="39" t="str">
        <f>""</f>
        <v/>
      </c>
    </row>
    <row r="405" spans="1:10">
      <c r="A405" s="26" t="s">
        <v>684</v>
      </c>
      <c r="E405" s="26" t="s">
        <v>5581</v>
      </c>
      <c r="F405" s="39" t="str">
        <f t="shared" si="24"/>
        <v/>
      </c>
      <c r="G405" s="39" t="str">
        <f t="shared" si="25"/>
        <v/>
      </c>
      <c r="H405" s="39" t="str">
        <f t="shared" si="26"/>
        <v/>
      </c>
      <c r="I405" s="39" t="str">
        <f t="shared" si="27"/>
        <v/>
      </c>
      <c r="J405" s="39" t="str">
        <f>""</f>
        <v/>
      </c>
    </row>
    <row r="406" spans="1:10">
      <c r="A406" s="26" t="s">
        <v>686</v>
      </c>
      <c r="E406" s="26" t="s">
        <v>5581</v>
      </c>
      <c r="F406" s="39" t="str">
        <f t="shared" si="24"/>
        <v/>
      </c>
      <c r="G406" s="39" t="str">
        <f t="shared" si="25"/>
        <v/>
      </c>
      <c r="H406" s="39" t="str">
        <f t="shared" si="26"/>
        <v/>
      </c>
      <c r="I406" s="39" t="str">
        <f t="shared" si="27"/>
        <v/>
      </c>
      <c r="J406" s="39" t="str">
        <f>""</f>
        <v/>
      </c>
    </row>
    <row r="407" spans="1:10">
      <c r="A407" s="26" t="s">
        <v>688</v>
      </c>
      <c r="E407" s="26" t="s">
        <v>3790</v>
      </c>
      <c r="F407" s="39" t="str">
        <f t="shared" si="24"/>
        <v/>
      </c>
      <c r="G407" s="39" t="str">
        <f t="shared" si="25"/>
        <v/>
      </c>
      <c r="H407" s="39" t="str">
        <f t="shared" si="26"/>
        <v/>
      </c>
      <c r="I407" s="39" t="str">
        <f t="shared" si="27"/>
        <v/>
      </c>
      <c r="J407" s="39" t="str">
        <f>""</f>
        <v/>
      </c>
    </row>
    <row r="408" spans="1:10">
      <c r="A408" s="26" t="s">
        <v>690</v>
      </c>
      <c r="E408" s="26" t="s">
        <v>5581</v>
      </c>
      <c r="F408" s="39" t="str">
        <f t="shared" si="24"/>
        <v/>
      </c>
      <c r="G408" s="39" t="str">
        <f t="shared" si="25"/>
        <v/>
      </c>
      <c r="H408" s="39" t="str">
        <f t="shared" si="26"/>
        <v/>
      </c>
      <c r="I408" s="39" t="str">
        <f t="shared" si="27"/>
        <v/>
      </c>
      <c r="J408" s="39" t="str">
        <f>""</f>
        <v/>
      </c>
    </row>
    <row r="409" spans="1:10">
      <c r="A409" s="26" t="s">
        <v>5932</v>
      </c>
      <c r="E409" s="26" t="s">
        <v>3790</v>
      </c>
      <c r="F409" s="39" t="str">
        <f t="shared" si="24"/>
        <v/>
      </c>
      <c r="G409" s="39" t="str">
        <f t="shared" si="25"/>
        <v/>
      </c>
      <c r="H409" s="39" t="str">
        <f t="shared" si="26"/>
        <v/>
      </c>
      <c r="I409" s="39" t="str">
        <f t="shared" si="27"/>
        <v/>
      </c>
      <c r="J409" s="39" t="str">
        <f>""</f>
        <v/>
      </c>
    </row>
    <row r="410" spans="1:10">
      <c r="A410" s="26" t="s">
        <v>692</v>
      </c>
      <c r="E410" s="26" t="s">
        <v>5581</v>
      </c>
      <c r="F410" s="39" t="str">
        <f t="shared" si="24"/>
        <v/>
      </c>
      <c r="G410" s="39" t="str">
        <f t="shared" si="25"/>
        <v/>
      </c>
      <c r="H410" s="39" t="str">
        <f t="shared" si="26"/>
        <v/>
      </c>
      <c r="I410" s="39" t="str">
        <f t="shared" si="27"/>
        <v/>
      </c>
      <c r="J410" s="39" t="str">
        <f>""</f>
        <v/>
      </c>
    </row>
    <row r="411" spans="1:10">
      <c r="A411" s="26" t="s">
        <v>694</v>
      </c>
      <c r="E411" s="26" t="s">
        <v>5581</v>
      </c>
      <c r="F411" s="39" t="str">
        <f t="shared" si="24"/>
        <v/>
      </c>
      <c r="G411" s="39" t="str">
        <f t="shared" si="25"/>
        <v/>
      </c>
      <c r="H411" s="39" t="str">
        <f t="shared" si="26"/>
        <v/>
      </c>
      <c r="I411" s="39" t="str">
        <f t="shared" si="27"/>
        <v/>
      </c>
      <c r="J411" s="39" t="str">
        <f>""</f>
        <v/>
      </c>
    </row>
    <row r="412" spans="1:10">
      <c r="A412" s="26" t="s">
        <v>696</v>
      </c>
      <c r="E412" s="26" t="s">
        <v>5581</v>
      </c>
      <c r="F412" s="39" t="str">
        <f t="shared" si="24"/>
        <v/>
      </c>
      <c r="G412" s="39" t="str">
        <f t="shared" si="25"/>
        <v/>
      </c>
      <c r="H412" s="39" t="str">
        <f t="shared" si="26"/>
        <v/>
      </c>
      <c r="I412" s="39" t="str">
        <f t="shared" si="27"/>
        <v/>
      </c>
      <c r="J412" s="39" t="str">
        <f>""</f>
        <v/>
      </c>
    </row>
    <row r="413" spans="1:10">
      <c r="A413" s="26" t="s">
        <v>697</v>
      </c>
      <c r="E413" s="26" t="s">
        <v>5581</v>
      </c>
      <c r="F413" s="39" t="str">
        <f t="shared" si="24"/>
        <v/>
      </c>
      <c r="G413" s="39" t="str">
        <f t="shared" si="25"/>
        <v/>
      </c>
      <c r="H413" s="39" t="str">
        <f t="shared" si="26"/>
        <v/>
      </c>
      <c r="I413" s="39" t="str">
        <f t="shared" si="27"/>
        <v/>
      </c>
      <c r="J413" s="39" t="str">
        <f>""</f>
        <v/>
      </c>
    </row>
    <row r="414" spans="1:10">
      <c r="A414" s="26" t="s">
        <v>5933</v>
      </c>
      <c r="E414" s="26" t="s">
        <v>3790</v>
      </c>
      <c r="F414" s="39" t="str">
        <f t="shared" si="24"/>
        <v/>
      </c>
      <c r="G414" s="39" t="str">
        <f t="shared" si="25"/>
        <v/>
      </c>
      <c r="H414" s="39" t="str">
        <f t="shared" si="26"/>
        <v/>
      </c>
      <c r="I414" s="39" t="str">
        <f t="shared" si="27"/>
        <v/>
      </c>
      <c r="J414" s="39" t="str">
        <f>""</f>
        <v/>
      </c>
    </row>
    <row r="415" spans="1:10">
      <c r="A415" s="26" t="s">
        <v>699</v>
      </c>
      <c r="E415" s="26" t="s">
        <v>5581</v>
      </c>
      <c r="F415" s="39" t="str">
        <f t="shared" si="24"/>
        <v/>
      </c>
      <c r="G415" s="39" t="str">
        <f t="shared" si="25"/>
        <v/>
      </c>
      <c r="H415" s="39" t="str">
        <f t="shared" si="26"/>
        <v/>
      </c>
      <c r="I415" s="39" t="str">
        <f t="shared" si="27"/>
        <v/>
      </c>
      <c r="J415" s="39" t="str">
        <f>""</f>
        <v/>
      </c>
    </row>
    <row r="416" spans="1:10">
      <c r="A416" s="26" t="s">
        <v>701</v>
      </c>
      <c r="E416" s="26" t="s">
        <v>5581</v>
      </c>
      <c r="F416" s="39" t="str">
        <f t="shared" si="24"/>
        <v/>
      </c>
      <c r="G416" s="39" t="str">
        <f t="shared" si="25"/>
        <v/>
      </c>
      <c r="H416" s="39" t="str">
        <f t="shared" si="26"/>
        <v/>
      </c>
      <c r="I416" s="39" t="str">
        <f t="shared" si="27"/>
        <v/>
      </c>
      <c r="J416" s="39" t="str">
        <f>""</f>
        <v/>
      </c>
    </row>
    <row r="417" spans="1:10">
      <c r="A417" s="26" t="s">
        <v>702</v>
      </c>
      <c r="E417" s="26" t="s">
        <v>5581</v>
      </c>
      <c r="F417" s="39" t="str">
        <f t="shared" si="24"/>
        <v/>
      </c>
      <c r="G417" s="39" t="str">
        <f t="shared" si="25"/>
        <v/>
      </c>
      <c r="H417" s="39" t="str">
        <f t="shared" si="26"/>
        <v/>
      </c>
      <c r="I417" s="39" t="str">
        <f t="shared" si="27"/>
        <v/>
      </c>
      <c r="J417" s="39" t="str">
        <f>""</f>
        <v/>
      </c>
    </row>
    <row r="418" spans="1:10">
      <c r="A418" s="26" t="s">
        <v>704</v>
      </c>
      <c r="E418" s="26" t="s">
        <v>5581</v>
      </c>
      <c r="F418" s="39" t="str">
        <f t="shared" si="24"/>
        <v/>
      </c>
      <c r="G418" s="39" t="str">
        <f t="shared" si="25"/>
        <v/>
      </c>
      <c r="H418" s="39" t="str">
        <f t="shared" si="26"/>
        <v/>
      </c>
      <c r="I418" s="39" t="str">
        <f t="shared" si="27"/>
        <v/>
      </c>
      <c r="J418" s="39" t="str">
        <f>""</f>
        <v/>
      </c>
    </row>
    <row r="419" spans="1:10">
      <c r="A419" s="26" t="s">
        <v>705</v>
      </c>
      <c r="E419" s="26" t="s">
        <v>5581</v>
      </c>
      <c r="F419" s="39" t="str">
        <f t="shared" si="24"/>
        <v/>
      </c>
      <c r="G419" s="39" t="str">
        <f t="shared" si="25"/>
        <v/>
      </c>
      <c r="H419" s="39" t="str">
        <f t="shared" si="26"/>
        <v/>
      </c>
      <c r="I419" s="39" t="str">
        <f t="shared" si="27"/>
        <v/>
      </c>
      <c r="J419" s="39" t="str">
        <f>""</f>
        <v/>
      </c>
    </row>
    <row r="420" spans="1:10">
      <c r="A420" s="26" t="s">
        <v>707</v>
      </c>
      <c r="E420" s="26" t="s">
        <v>5581</v>
      </c>
      <c r="F420" s="39" t="str">
        <f t="shared" si="24"/>
        <v/>
      </c>
      <c r="G420" s="39" t="str">
        <f t="shared" si="25"/>
        <v/>
      </c>
      <c r="H420" s="39" t="str">
        <f t="shared" si="26"/>
        <v/>
      </c>
      <c r="I420" s="39" t="str">
        <f t="shared" si="27"/>
        <v/>
      </c>
      <c r="J420" s="39" t="str">
        <f>""</f>
        <v/>
      </c>
    </row>
    <row r="421" spans="1:10">
      <c r="A421" s="26" t="s">
        <v>708</v>
      </c>
      <c r="E421" s="26" t="s">
        <v>3790</v>
      </c>
      <c r="F421" s="39" t="str">
        <f t="shared" si="24"/>
        <v/>
      </c>
      <c r="G421" s="39" t="str">
        <f t="shared" si="25"/>
        <v/>
      </c>
      <c r="H421" s="39" t="str">
        <f t="shared" si="26"/>
        <v/>
      </c>
      <c r="I421" s="39" t="str">
        <f t="shared" si="27"/>
        <v/>
      </c>
      <c r="J421" s="39" t="str">
        <f>""</f>
        <v/>
      </c>
    </row>
    <row r="422" spans="1:10">
      <c r="A422" s="26" t="s">
        <v>710</v>
      </c>
      <c r="E422" s="26" t="s">
        <v>5581</v>
      </c>
      <c r="F422" s="39" t="str">
        <f t="shared" si="24"/>
        <v/>
      </c>
      <c r="G422" s="39" t="str">
        <f t="shared" si="25"/>
        <v/>
      </c>
      <c r="H422" s="39" t="str">
        <f t="shared" si="26"/>
        <v/>
      </c>
      <c r="I422" s="39" t="str">
        <f t="shared" si="27"/>
        <v/>
      </c>
      <c r="J422" s="39" t="str">
        <f>""</f>
        <v/>
      </c>
    </row>
    <row r="423" spans="1:10">
      <c r="A423" s="26" t="s">
        <v>712</v>
      </c>
      <c r="E423" s="26" t="s">
        <v>5581</v>
      </c>
      <c r="F423" s="39" t="str">
        <f t="shared" si="24"/>
        <v/>
      </c>
      <c r="G423" s="39" t="str">
        <f t="shared" si="25"/>
        <v/>
      </c>
      <c r="H423" s="39" t="str">
        <f t="shared" si="26"/>
        <v/>
      </c>
      <c r="I423" s="39" t="str">
        <f t="shared" si="27"/>
        <v/>
      </c>
      <c r="J423" s="39" t="str">
        <f>""</f>
        <v/>
      </c>
    </row>
    <row r="424" spans="1:10">
      <c r="A424" s="26" t="s">
        <v>713</v>
      </c>
      <c r="E424" s="26" t="s">
        <v>5581</v>
      </c>
      <c r="F424" s="39" t="str">
        <f t="shared" si="24"/>
        <v/>
      </c>
      <c r="G424" s="39" t="str">
        <f t="shared" si="25"/>
        <v/>
      </c>
      <c r="H424" s="39" t="str">
        <f t="shared" si="26"/>
        <v/>
      </c>
      <c r="I424" s="39" t="str">
        <f t="shared" si="27"/>
        <v/>
      </c>
      <c r="J424" s="39" t="str">
        <f>""</f>
        <v/>
      </c>
    </row>
    <row r="425" spans="1:10">
      <c r="A425" s="26" t="s">
        <v>715</v>
      </c>
      <c r="E425" s="26" t="s">
        <v>5581</v>
      </c>
      <c r="F425" s="39" t="str">
        <f t="shared" si="24"/>
        <v/>
      </c>
      <c r="G425" s="39" t="str">
        <f t="shared" si="25"/>
        <v/>
      </c>
      <c r="H425" s="39" t="str">
        <f t="shared" si="26"/>
        <v/>
      </c>
      <c r="I425" s="39" t="str">
        <f t="shared" si="27"/>
        <v/>
      </c>
      <c r="J425" s="39" t="str">
        <f>""</f>
        <v/>
      </c>
    </row>
    <row r="426" spans="1:10">
      <c r="A426" s="26" t="s">
        <v>716</v>
      </c>
      <c r="E426" s="26" t="s">
        <v>3790</v>
      </c>
      <c r="F426" s="39" t="str">
        <f t="shared" si="24"/>
        <v/>
      </c>
      <c r="G426" s="39" t="str">
        <f t="shared" si="25"/>
        <v/>
      </c>
      <c r="H426" s="39" t="str">
        <f t="shared" si="26"/>
        <v/>
      </c>
      <c r="I426" s="39" t="str">
        <f t="shared" si="27"/>
        <v/>
      </c>
      <c r="J426" s="39" t="str">
        <f>""</f>
        <v/>
      </c>
    </row>
    <row r="427" spans="1:10">
      <c r="A427" s="26" t="s">
        <v>718</v>
      </c>
      <c r="E427" s="26" t="s">
        <v>3790</v>
      </c>
      <c r="F427" s="39" t="str">
        <f t="shared" si="24"/>
        <v/>
      </c>
      <c r="G427" s="39" t="str">
        <f t="shared" si="25"/>
        <v/>
      </c>
      <c r="H427" s="39" t="str">
        <f t="shared" si="26"/>
        <v/>
      </c>
      <c r="I427" s="39" t="str">
        <f t="shared" si="27"/>
        <v/>
      </c>
      <c r="J427" s="39" t="str">
        <f>""</f>
        <v/>
      </c>
    </row>
    <row r="428" spans="1:10">
      <c r="A428" s="26" t="s">
        <v>720</v>
      </c>
      <c r="E428" s="26" t="s">
        <v>3790</v>
      </c>
      <c r="F428" s="39" t="str">
        <f t="shared" si="24"/>
        <v/>
      </c>
      <c r="G428" s="39" t="str">
        <f t="shared" si="25"/>
        <v/>
      </c>
      <c r="H428" s="39" t="str">
        <f t="shared" si="26"/>
        <v/>
      </c>
      <c r="I428" s="39" t="str">
        <f t="shared" si="27"/>
        <v/>
      </c>
      <c r="J428" s="39" t="str">
        <f>""</f>
        <v/>
      </c>
    </row>
    <row r="429" spans="1:10">
      <c r="A429" s="26" t="s">
        <v>722</v>
      </c>
      <c r="E429" s="26" t="s">
        <v>3790</v>
      </c>
      <c r="F429" s="39" t="str">
        <f t="shared" si="24"/>
        <v/>
      </c>
      <c r="G429" s="39" t="str">
        <f t="shared" si="25"/>
        <v/>
      </c>
      <c r="H429" s="39" t="str">
        <f t="shared" si="26"/>
        <v/>
      </c>
      <c r="I429" s="39" t="str">
        <f t="shared" si="27"/>
        <v/>
      </c>
      <c r="J429" s="39" t="str">
        <f>""</f>
        <v/>
      </c>
    </row>
    <row r="430" spans="1:10">
      <c r="A430" s="26" t="s">
        <v>724</v>
      </c>
      <c r="E430" s="26" t="s">
        <v>3790</v>
      </c>
      <c r="F430" s="39" t="str">
        <f t="shared" si="24"/>
        <v/>
      </c>
      <c r="G430" s="39" t="str">
        <f t="shared" si="25"/>
        <v/>
      </c>
      <c r="H430" s="39" t="str">
        <f t="shared" si="26"/>
        <v/>
      </c>
      <c r="I430" s="39" t="str">
        <f t="shared" si="27"/>
        <v/>
      </c>
      <c r="J430" s="39" t="str">
        <f>""</f>
        <v/>
      </c>
    </row>
    <row r="431" spans="1:10">
      <c r="A431" s="26" t="s">
        <v>726</v>
      </c>
      <c r="E431" s="26" t="s">
        <v>3790</v>
      </c>
      <c r="F431" s="39" t="str">
        <f t="shared" si="24"/>
        <v/>
      </c>
      <c r="G431" s="39" t="str">
        <f t="shared" si="25"/>
        <v/>
      </c>
      <c r="H431" s="39" t="str">
        <f t="shared" si="26"/>
        <v/>
      </c>
      <c r="I431" s="39" t="str">
        <f t="shared" si="27"/>
        <v/>
      </c>
      <c r="J431" s="39" t="str">
        <f>""</f>
        <v/>
      </c>
    </row>
    <row r="432" spans="1:10">
      <c r="A432" s="26" t="s">
        <v>728</v>
      </c>
      <c r="E432" s="26" t="s">
        <v>3790</v>
      </c>
      <c r="F432" s="39" t="str">
        <f t="shared" si="24"/>
        <v/>
      </c>
      <c r="G432" s="39" t="str">
        <f t="shared" si="25"/>
        <v/>
      </c>
      <c r="H432" s="39" t="str">
        <f t="shared" si="26"/>
        <v/>
      </c>
      <c r="I432" s="39" t="str">
        <f t="shared" si="27"/>
        <v/>
      </c>
      <c r="J432" s="39" t="str">
        <f>""</f>
        <v/>
      </c>
    </row>
    <row r="433" spans="1:10">
      <c r="A433" s="26" t="s">
        <v>730</v>
      </c>
      <c r="E433" s="26" t="s">
        <v>3790</v>
      </c>
      <c r="F433" s="39" t="str">
        <f t="shared" si="24"/>
        <v/>
      </c>
      <c r="G433" s="39" t="str">
        <f t="shared" si="25"/>
        <v/>
      </c>
      <c r="H433" s="39" t="str">
        <f t="shared" si="26"/>
        <v/>
      </c>
      <c r="I433" s="39" t="str">
        <f t="shared" si="27"/>
        <v/>
      </c>
      <c r="J433" s="39" t="str">
        <f>""</f>
        <v/>
      </c>
    </row>
    <row r="434" spans="1:10">
      <c r="A434" s="26" t="s">
        <v>732</v>
      </c>
      <c r="E434" s="26" t="s">
        <v>3790</v>
      </c>
      <c r="F434" s="39" t="str">
        <f t="shared" si="24"/>
        <v/>
      </c>
      <c r="G434" s="39" t="str">
        <f t="shared" si="25"/>
        <v/>
      </c>
      <c r="H434" s="39" t="str">
        <f t="shared" si="26"/>
        <v/>
      </c>
      <c r="I434" s="39" t="str">
        <f t="shared" si="27"/>
        <v/>
      </c>
      <c r="J434" s="39" t="str">
        <f>""</f>
        <v/>
      </c>
    </row>
    <row r="435" spans="1:10">
      <c r="A435" s="26" t="s">
        <v>734</v>
      </c>
      <c r="E435" s="26" t="s">
        <v>3790</v>
      </c>
      <c r="F435" s="39" t="str">
        <f t="shared" si="24"/>
        <v/>
      </c>
      <c r="G435" s="39" t="str">
        <f t="shared" si="25"/>
        <v/>
      </c>
      <c r="H435" s="39" t="str">
        <f t="shared" si="26"/>
        <v/>
      </c>
      <c r="I435" s="39" t="str">
        <f t="shared" si="27"/>
        <v/>
      </c>
      <c r="J435" s="39" t="str">
        <f>""</f>
        <v/>
      </c>
    </row>
    <row r="436" spans="1:10">
      <c r="A436" s="26" t="s">
        <v>736</v>
      </c>
      <c r="E436" s="26" t="s">
        <v>3790</v>
      </c>
      <c r="F436" s="39" t="str">
        <f t="shared" si="24"/>
        <v/>
      </c>
      <c r="G436" s="39" t="str">
        <f t="shared" si="25"/>
        <v/>
      </c>
      <c r="H436" s="39" t="str">
        <f t="shared" si="26"/>
        <v/>
      </c>
      <c r="I436" s="39" t="str">
        <f t="shared" si="27"/>
        <v/>
      </c>
      <c r="J436" s="39" t="str">
        <f>""</f>
        <v/>
      </c>
    </row>
    <row r="437" spans="1:10">
      <c r="A437" s="26" t="s">
        <v>738</v>
      </c>
      <c r="E437" s="26" t="s">
        <v>3790</v>
      </c>
      <c r="F437" s="39" t="str">
        <f t="shared" si="24"/>
        <v/>
      </c>
      <c r="G437" s="39" t="str">
        <f t="shared" si="25"/>
        <v/>
      </c>
      <c r="H437" s="39" t="str">
        <f t="shared" si="26"/>
        <v/>
      </c>
      <c r="I437" s="39" t="str">
        <f t="shared" si="27"/>
        <v/>
      </c>
      <c r="J437" s="39" t="str">
        <f>""</f>
        <v/>
      </c>
    </row>
    <row r="438" spans="1:10">
      <c r="A438" s="26" t="s">
        <v>740</v>
      </c>
      <c r="E438" s="26" t="s">
        <v>3790</v>
      </c>
      <c r="F438" s="39" t="str">
        <f t="shared" si="24"/>
        <v/>
      </c>
      <c r="G438" s="39" t="str">
        <f t="shared" si="25"/>
        <v/>
      </c>
      <c r="H438" s="39" t="str">
        <f t="shared" si="26"/>
        <v/>
      </c>
      <c r="I438" s="39" t="str">
        <f t="shared" si="27"/>
        <v/>
      </c>
      <c r="J438" s="39" t="str">
        <f>""</f>
        <v/>
      </c>
    </row>
    <row r="439" spans="1:10">
      <c r="A439" s="26" t="s">
        <v>742</v>
      </c>
      <c r="E439" s="26" t="s">
        <v>5581</v>
      </c>
      <c r="F439" s="39" t="str">
        <f t="shared" si="24"/>
        <v/>
      </c>
      <c r="G439" s="39" t="str">
        <f t="shared" si="25"/>
        <v/>
      </c>
      <c r="H439" s="39" t="str">
        <f t="shared" si="26"/>
        <v/>
      </c>
      <c r="I439" s="39" t="str">
        <f t="shared" si="27"/>
        <v/>
      </c>
      <c r="J439" s="39" t="str">
        <f>""</f>
        <v/>
      </c>
    </row>
    <row r="440" spans="1:10">
      <c r="A440" s="26" t="s">
        <v>744</v>
      </c>
      <c r="E440" s="26" t="s">
        <v>5581</v>
      </c>
      <c r="F440" s="39" t="str">
        <f t="shared" si="24"/>
        <v/>
      </c>
      <c r="G440" s="39" t="str">
        <f t="shared" si="25"/>
        <v/>
      </c>
      <c r="H440" s="39" t="str">
        <f t="shared" si="26"/>
        <v/>
      </c>
      <c r="I440" s="39" t="str">
        <f t="shared" si="27"/>
        <v/>
      </c>
      <c r="J440" s="39" t="str">
        <f>""</f>
        <v/>
      </c>
    </row>
    <row r="441" spans="1:10">
      <c r="A441" s="26" t="s">
        <v>745</v>
      </c>
      <c r="E441" s="26" t="s">
        <v>5581</v>
      </c>
      <c r="F441" s="39" t="str">
        <f t="shared" si="24"/>
        <v/>
      </c>
      <c r="G441" s="39" t="str">
        <f t="shared" si="25"/>
        <v/>
      </c>
      <c r="H441" s="39" t="str">
        <f t="shared" si="26"/>
        <v/>
      </c>
      <c r="I441" s="39" t="str">
        <f t="shared" si="27"/>
        <v/>
      </c>
      <c r="J441" s="39" t="str">
        <f>""</f>
        <v/>
      </c>
    </row>
    <row r="442" spans="1:10">
      <c r="A442" s="26" t="s">
        <v>747</v>
      </c>
      <c r="E442" s="26" t="s">
        <v>5581</v>
      </c>
      <c r="F442" s="39" t="str">
        <f t="shared" si="24"/>
        <v/>
      </c>
      <c r="G442" s="39" t="str">
        <f t="shared" si="25"/>
        <v/>
      </c>
      <c r="H442" s="39" t="str">
        <f t="shared" si="26"/>
        <v/>
      </c>
      <c r="I442" s="39" t="str">
        <f t="shared" si="27"/>
        <v/>
      </c>
      <c r="J442" s="39" t="str">
        <f>""</f>
        <v/>
      </c>
    </row>
    <row r="443" spans="1:10">
      <c r="A443" s="26" t="s">
        <v>748</v>
      </c>
      <c r="E443" s="26" t="s">
        <v>5581</v>
      </c>
      <c r="F443" s="39" t="str">
        <f t="shared" si="24"/>
        <v/>
      </c>
      <c r="G443" s="39" t="str">
        <f t="shared" si="25"/>
        <v/>
      </c>
      <c r="H443" s="39" t="str">
        <f t="shared" si="26"/>
        <v/>
      </c>
      <c r="I443" s="39" t="str">
        <f t="shared" si="27"/>
        <v/>
      </c>
      <c r="J443" s="39" t="str">
        <f>""</f>
        <v/>
      </c>
    </row>
    <row r="444" spans="1:10">
      <c r="A444" s="26" t="s">
        <v>750</v>
      </c>
      <c r="E444" s="26" t="s">
        <v>3790</v>
      </c>
      <c r="F444" s="39" t="str">
        <f t="shared" si="24"/>
        <v/>
      </c>
      <c r="G444" s="39" t="str">
        <f t="shared" si="25"/>
        <v/>
      </c>
      <c r="H444" s="39" t="str">
        <f t="shared" si="26"/>
        <v/>
      </c>
      <c r="I444" s="39" t="str">
        <f t="shared" si="27"/>
        <v/>
      </c>
      <c r="J444" s="39" t="str">
        <f>""</f>
        <v/>
      </c>
    </row>
    <row r="445" spans="1:10">
      <c r="A445" s="26" t="s">
        <v>752</v>
      </c>
      <c r="E445" s="26" t="s">
        <v>3790</v>
      </c>
      <c r="F445" s="39" t="str">
        <f t="shared" si="24"/>
        <v/>
      </c>
      <c r="G445" s="39" t="str">
        <f t="shared" si="25"/>
        <v/>
      </c>
      <c r="H445" s="39" t="str">
        <f t="shared" si="26"/>
        <v/>
      </c>
      <c r="I445" s="39" t="str">
        <f t="shared" si="27"/>
        <v/>
      </c>
      <c r="J445" s="39" t="str">
        <f>""</f>
        <v/>
      </c>
    </row>
    <row r="446" spans="1:10">
      <c r="A446" s="26" t="s">
        <v>754</v>
      </c>
      <c r="E446" s="26" t="s">
        <v>3790</v>
      </c>
      <c r="F446" s="39" t="str">
        <f t="shared" si="24"/>
        <v/>
      </c>
      <c r="G446" s="39" t="str">
        <f t="shared" si="25"/>
        <v/>
      </c>
      <c r="H446" s="39" t="str">
        <f t="shared" si="26"/>
        <v/>
      </c>
      <c r="I446" s="39" t="str">
        <f t="shared" si="27"/>
        <v/>
      </c>
      <c r="J446" s="39" t="str">
        <f>""</f>
        <v/>
      </c>
    </row>
    <row r="447" spans="1:10">
      <c r="A447" s="26" t="s">
        <v>756</v>
      </c>
      <c r="E447" s="26" t="s">
        <v>5581</v>
      </c>
      <c r="F447" s="39" t="str">
        <f t="shared" si="24"/>
        <v/>
      </c>
      <c r="G447" s="39" t="str">
        <f t="shared" si="25"/>
        <v/>
      </c>
      <c r="H447" s="39" t="str">
        <f t="shared" si="26"/>
        <v/>
      </c>
      <c r="I447" s="39" t="str">
        <f t="shared" si="27"/>
        <v/>
      </c>
      <c r="J447" s="39" t="str">
        <f>""</f>
        <v/>
      </c>
    </row>
    <row r="448" spans="1:10">
      <c r="A448" s="26" t="s">
        <v>758</v>
      </c>
      <c r="E448" s="26" t="s">
        <v>5581</v>
      </c>
      <c r="F448" s="39" t="str">
        <f t="shared" si="24"/>
        <v/>
      </c>
      <c r="G448" s="39" t="str">
        <f t="shared" si="25"/>
        <v/>
      </c>
      <c r="H448" s="39" t="str">
        <f t="shared" si="26"/>
        <v/>
      </c>
      <c r="I448" s="39" t="str">
        <f t="shared" si="27"/>
        <v/>
      </c>
      <c r="J448" s="39" t="str">
        <f>""</f>
        <v/>
      </c>
    </row>
    <row r="449" spans="1:10">
      <c r="A449" s="26" t="s">
        <v>759</v>
      </c>
      <c r="E449" s="26" t="s">
        <v>5581</v>
      </c>
      <c r="F449" s="39" t="str">
        <f t="shared" si="24"/>
        <v/>
      </c>
      <c r="G449" s="39" t="str">
        <f t="shared" si="25"/>
        <v/>
      </c>
      <c r="H449" s="39" t="str">
        <f t="shared" si="26"/>
        <v/>
      </c>
      <c r="I449" s="39" t="str">
        <f t="shared" si="27"/>
        <v/>
      </c>
      <c r="J449" s="39" t="str">
        <f>""</f>
        <v/>
      </c>
    </row>
    <row r="450" spans="1:10">
      <c r="A450" s="26" t="s">
        <v>761</v>
      </c>
      <c r="E450" s="26" t="s">
        <v>5581</v>
      </c>
      <c r="F450" s="39" t="str">
        <f t="shared" si="24"/>
        <v/>
      </c>
      <c r="G450" s="39" t="str">
        <f t="shared" si="25"/>
        <v/>
      </c>
      <c r="H450" s="39" t="str">
        <f t="shared" si="26"/>
        <v/>
      </c>
      <c r="I450" s="39" t="str">
        <f t="shared" si="27"/>
        <v/>
      </c>
      <c r="J450" s="39" t="str">
        <f>""</f>
        <v/>
      </c>
    </row>
    <row r="451" spans="1:10">
      <c r="A451" s="26" t="s">
        <v>762</v>
      </c>
      <c r="E451" s="26" t="s">
        <v>5581</v>
      </c>
      <c r="F451" s="39" t="str">
        <f t="shared" ref="F451:F514" si="28">IF(C451="","",IF(C451&lt;99,C451,""))</f>
        <v/>
      </c>
      <c r="G451" s="39" t="str">
        <f t="shared" ref="G451:G514" si="29">IF(OR(F451&lt;&gt;"",D451&lt;&gt;""),C451,"")</f>
        <v/>
      </c>
      <c r="H451" s="39" t="str">
        <f t="shared" ref="H451:H514" si="30">IF(C451="","",C451)</f>
        <v/>
      </c>
      <c r="I451" s="39" t="str">
        <f t="shared" ref="I451:I514" si="31">IF(AND(C451&lt;&gt;"",D451&lt;&gt;""),C451,"")</f>
        <v/>
      </c>
      <c r="J451" s="39" t="str">
        <f>""</f>
        <v/>
      </c>
    </row>
    <row r="452" spans="1:10">
      <c r="A452" s="26" t="s">
        <v>764</v>
      </c>
      <c r="E452" s="26" t="s">
        <v>5581</v>
      </c>
      <c r="F452" s="39" t="str">
        <f t="shared" si="28"/>
        <v/>
      </c>
      <c r="G452" s="39" t="str">
        <f t="shared" si="29"/>
        <v/>
      </c>
      <c r="H452" s="39" t="str">
        <f t="shared" si="30"/>
        <v/>
      </c>
      <c r="I452" s="39" t="str">
        <f t="shared" si="31"/>
        <v/>
      </c>
      <c r="J452" s="39" t="str">
        <f>""</f>
        <v/>
      </c>
    </row>
    <row r="453" spans="1:10">
      <c r="A453" s="26" t="s">
        <v>765</v>
      </c>
      <c r="E453" s="26" t="s">
        <v>5581</v>
      </c>
      <c r="F453" s="39" t="str">
        <f t="shared" si="28"/>
        <v/>
      </c>
      <c r="G453" s="39" t="str">
        <f t="shared" si="29"/>
        <v/>
      </c>
      <c r="H453" s="39" t="str">
        <f t="shared" si="30"/>
        <v/>
      </c>
      <c r="I453" s="39" t="str">
        <f t="shared" si="31"/>
        <v/>
      </c>
      <c r="J453" s="39" t="str">
        <f>""</f>
        <v/>
      </c>
    </row>
    <row r="454" spans="1:10">
      <c r="A454" s="26" t="s">
        <v>767</v>
      </c>
      <c r="E454" s="26" t="s">
        <v>5581</v>
      </c>
      <c r="F454" s="39" t="str">
        <f t="shared" si="28"/>
        <v/>
      </c>
      <c r="G454" s="39" t="str">
        <f t="shared" si="29"/>
        <v/>
      </c>
      <c r="H454" s="39" t="str">
        <f t="shared" si="30"/>
        <v/>
      </c>
      <c r="I454" s="39" t="str">
        <f t="shared" si="31"/>
        <v/>
      </c>
      <c r="J454" s="39" t="str">
        <f>""</f>
        <v/>
      </c>
    </row>
    <row r="455" spans="1:10">
      <c r="A455" s="26" t="s">
        <v>768</v>
      </c>
      <c r="E455" s="26" t="s">
        <v>5581</v>
      </c>
      <c r="F455" s="39" t="str">
        <f t="shared" si="28"/>
        <v/>
      </c>
      <c r="G455" s="39" t="str">
        <f t="shared" si="29"/>
        <v/>
      </c>
      <c r="H455" s="39" t="str">
        <f t="shared" si="30"/>
        <v/>
      </c>
      <c r="I455" s="39" t="str">
        <f t="shared" si="31"/>
        <v/>
      </c>
      <c r="J455" s="39" t="str">
        <f>""</f>
        <v/>
      </c>
    </row>
    <row r="456" spans="1:10">
      <c r="A456" s="26" t="s">
        <v>770</v>
      </c>
      <c r="E456" s="26" t="s">
        <v>5581</v>
      </c>
      <c r="F456" s="39" t="str">
        <f t="shared" si="28"/>
        <v/>
      </c>
      <c r="G456" s="39" t="str">
        <f t="shared" si="29"/>
        <v/>
      </c>
      <c r="H456" s="39" t="str">
        <f t="shared" si="30"/>
        <v/>
      </c>
      <c r="I456" s="39" t="str">
        <f t="shared" si="31"/>
        <v/>
      </c>
      <c r="J456" s="39" t="str">
        <f>""</f>
        <v/>
      </c>
    </row>
    <row r="457" spans="1:10">
      <c r="A457" s="26" t="s">
        <v>771</v>
      </c>
      <c r="E457" s="26" t="s">
        <v>5581</v>
      </c>
      <c r="F457" s="39" t="str">
        <f t="shared" si="28"/>
        <v/>
      </c>
      <c r="G457" s="39" t="str">
        <f t="shared" si="29"/>
        <v/>
      </c>
      <c r="H457" s="39" t="str">
        <f t="shared" si="30"/>
        <v/>
      </c>
      <c r="I457" s="39" t="str">
        <f t="shared" si="31"/>
        <v/>
      </c>
      <c r="J457" s="39" t="str">
        <f>""</f>
        <v/>
      </c>
    </row>
    <row r="458" spans="1:10">
      <c r="A458" s="26" t="s">
        <v>773</v>
      </c>
      <c r="E458" s="26" t="s">
        <v>5581</v>
      </c>
      <c r="F458" s="39" t="str">
        <f t="shared" si="28"/>
        <v/>
      </c>
      <c r="G458" s="39" t="str">
        <f t="shared" si="29"/>
        <v/>
      </c>
      <c r="H458" s="39" t="str">
        <f t="shared" si="30"/>
        <v/>
      </c>
      <c r="I458" s="39" t="str">
        <f t="shared" si="31"/>
        <v/>
      </c>
      <c r="J458" s="39" t="str">
        <f>""</f>
        <v/>
      </c>
    </row>
    <row r="459" spans="1:10">
      <c r="A459" s="26" t="s">
        <v>774</v>
      </c>
      <c r="E459" s="26" t="s">
        <v>5581</v>
      </c>
      <c r="F459" s="39" t="str">
        <f t="shared" si="28"/>
        <v/>
      </c>
      <c r="G459" s="39" t="str">
        <f t="shared" si="29"/>
        <v/>
      </c>
      <c r="H459" s="39" t="str">
        <f t="shared" si="30"/>
        <v/>
      </c>
      <c r="I459" s="39" t="str">
        <f t="shared" si="31"/>
        <v/>
      </c>
      <c r="J459" s="39" t="str">
        <f>""</f>
        <v/>
      </c>
    </row>
    <row r="460" spans="1:10">
      <c r="A460" s="26" t="s">
        <v>776</v>
      </c>
      <c r="E460" s="26" t="s">
        <v>5581</v>
      </c>
      <c r="F460" s="39" t="str">
        <f t="shared" si="28"/>
        <v/>
      </c>
      <c r="G460" s="39" t="str">
        <f t="shared" si="29"/>
        <v/>
      </c>
      <c r="H460" s="39" t="str">
        <f t="shared" si="30"/>
        <v/>
      </c>
      <c r="I460" s="39" t="str">
        <f t="shared" si="31"/>
        <v/>
      </c>
      <c r="J460" s="39" t="str">
        <f>""</f>
        <v/>
      </c>
    </row>
    <row r="461" spans="1:10">
      <c r="A461" s="26" t="s">
        <v>777</v>
      </c>
      <c r="E461" s="26" t="s">
        <v>5581</v>
      </c>
      <c r="F461" s="39" t="str">
        <f t="shared" si="28"/>
        <v/>
      </c>
      <c r="G461" s="39" t="str">
        <f t="shared" si="29"/>
        <v/>
      </c>
      <c r="H461" s="39" t="str">
        <f t="shared" si="30"/>
        <v/>
      </c>
      <c r="I461" s="39" t="str">
        <f t="shared" si="31"/>
        <v/>
      </c>
      <c r="J461" s="39" t="str">
        <f>""</f>
        <v/>
      </c>
    </row>
    <row r="462" spans="1:10">
      <c r="A462" s="26" t="s">
        <v>6425</v>
      </c>
      <c r="E462" s="26" t="s">
        <v>3790</v>
      </c>
      <c r="F462" s="39" t="str">
        <f t="shared" si="28"/>
        <v/>
      </c>
      <c r="G462" s="39" t="str">
        <f t="shared" si="29"/>
        <v/>
      </c>
      <c r="H462" s="39" t="str">
        <f t="shared" si="30"/>
        <v/>
      </c>
      <c r="I462" s="39" t="str">
        <f t="shared" si="31"/>
        <v/>
      </c>
      <c r="J462" s="39" t="str">
        <f>""</f>
        <v/>
      </c>
    </row>
    <row r="463" spans="1:10">
      <c r="A463" s="26" t="s">
        <v>779</v>
      </c>
      <c r="E463" s="26" t="s">
        <v>5581</v>
      </c>
      <c r="F463" s="39" t="str">
        <f t="shared" si="28"/>
        <v/>
      </c>
      <c r="G463" s="39" t="str">
        <f t="shared" si="29"/>
        <v/>
      </c>
      <c r="H463" s="39" t="str">
        <f t="shared" si="30"/>
        <v/>
      </c>
      <c r="I463" s="39" t="str">
        <f t="shared" si="31"/>
        <v/>
      </c>
      <c r="J463" s="39" t="str">
        <f>""</f>
        <v/>
      </c>
    </row>
    <row r="464" spans="1:10">
      <c r="A464" s="26" t="s">
        <v>781</v>
      </c>
      <c r="E464" s="26" t="s">
        <v>5581</v>
      </c>
      <c r="F464" s="39" t="str">
        <f t="shared" si="28"/>
        <v/>
      </c>
      <c r="G464" s="39" t="str">
        <f t="shared" si="29"/>
        <v/>
      </c>
      <c r="H464" s="39" t="str">
        <f t="shared" si="30"/>
        <v/>
      </c>
      <c r="I464" s="39" t="str">
        <f t="shared" si="31"/>
        <v/>
      </c>
      <c r="J464" s="39" t="str">
        <f>""</f>
        <v/>
      </c>
    </row>
    <row r="465" spans="1:10">
      <c r="A465" s="26" t="s">
        <v>782</v>
      </c>
      <c r="E465" s="26" t="s">
        <v>5581</v>
      </c>
      <c r="F465" s="39" t="str">
        <f t="shared" si="28"/>
        <v/>
      </c>
      <c r="G465" s="39" t="str">
        <f t="shared" si="29"/>
        <v/>
      </c>
      <c r="H465" s="39" t="str">
        <f t="shared" si="30"/>
        <v/>
      </c>
      <c r="I465" s="39" t="str">
        <f t="shared" si="31"/>
        <v/>
      </c>
      <c r="J465" s="39" t="str">
        <f>""</f>
        <v/>
      </c>
    </row>
    <row r="466" spans="1:10">
      <c r="A466" s="26" t="s">
        <v>784</v>
      </c>
      <c r="E466" s="26" t="s">
        <v>5581</v>
      </c>
      <c r="F466" s="39" t="str">
        <f t="shared" si="28"/>
        <v/>
      </c>
      <c r="G466" s="39" t="str">
        <f t="shared" si="29"/>
        <v/>
      </c>
      <c r="H466" s="39" t="str">
        <f t="shared" si="30"/>
        <v/>
      </c>
      <c r="I466" s="39" t="str">
        <f t="shared" si="31"/>
        <v/>
      </c>
      <c r="J466" s="39" t="str">
        <f>""</f>
        <v/>
      </c>
    </row>
    <row r="467" spans="1:10">
      <c r="A467" s="26" t="s">
        <v>786</v>
      </c>
      <c r="E467" s="26" t="s">
        <v>5581</v>
      </c>
      <c r="F467" s="39" t="str">
        <f t="shared" si="28"/>
        <v/>
      </c>
      <c r="G467" s="39" t="str">
        <f t="shared" si="29"/>
        <v/>
      </c>
      <c r="H467" s="39" t="str">
        <f t="shared" si="30"/>
        <v/>
      </c>
      <c r="I467" s="39" t="str">
        <f t="shared" si="31"/>
        <v/>
      </c>
      <c r="J467" s="39" t="str">
        <f>""</f>
        <v/>
      </c>
    </row>
    <row r="468" spans="1:10">
      <c r="A468" s="26" t="s">
        <v>788</v>
      </c>
      <c r="E468" s="26" t="s">
        <v>3790</v>
      </c>
      <c r="F468" s="39" t="str">
        <f t="shared" si="28"/>
        <v/>
      </c>
      <c r="G468" s="39" t="str">
        <f t="shared" si="29"/>
        <v/>
      </c>
      <c r="H468" s="39" t="str">
        <f t="shared" si="30"/>
        <v/>
      </c>
      <c r="I468" s="39" t="str">
        <f t="shared" si="31"/>
        <v/>
      </c>
      <c r="J468" s="39" t="str">
        <f>""</f>
        <v/>
      </c>
    </row>
    <row r="469" spans="1:10">
      <c r="A469" s="26" t="s">
        <v>790</v>
      </c>
      <c r="E469" s="26" t="s">
        <v>3790</v>
      </c>
      <c r="F469" s="39" t="str">
        <f t="shared" si="28"/>
        <v/>
      </c>
      <c r="G469" s="39" t="str">
        <f t="shared" si="29"/>
        <v/>
      </c>
      <c r="H469" s="39" t="str">
        <f t="shared" si="30"/>
        <v/>
      </c>
      <c r="I469" s="39" t="str">
        <f t="shared" si="31"/>
        <v/>
      </c>
      <c r="J469" s="39" t="str">
        <f>""</f>
        <v/>
      </c>
    </row>
    <row r="470" spans="1:10">
      <c r="A470" s="26" t="s">
        <v>2156</v>
      </c>
      <c r="E470" s="26" t="s">
        <v>5581</v>
      </c>
      <c r="F470" s="39" t="str">
        <f t="shared" si="28"/>
        <v/>
      </c>
      <c r="G470" s="39" t="str">
        <f t="shared" si="29"/>
        <v/>
      </c>
      <c r="H470" s="39" t="str">
        <f t="shared" si="30"/>
        <v/>
      </c>
      <c r="I470" s="39" t="str">
        <f t="shared" si="31"/>
        <v/>
      </c>
      <c r="J470" s="39" t="str">
        <f>""</f>
        <v/>
      </c>
    </row>
    <row r="471" spans="1:10">
      <c r="A471" s="26" t="s">
        <v>2159</v>
      </c>
      <c r="E471" s="26" t="s">
        <v>5581</v>
      </c>
      <c r="F471" s="39" t="str">
        <f t="shared" si="28"/>
        <v/>
      </c>
      <c r="G471" s="39" t="str">
        <f t="shared" si="29"/>
        <v/>
      </c>
      <c r="H471" s="39" t="str">
        <f t="shared" si="30"/>
        <v/>
      </c>
      <c r="I471" s="39" t="str">
        <f t="shared" si="31"/>
        <v/>
      </c>
      <c r="J471" s="39" t="str">
        <f>""</f>
        <v/>
      </c>
    </row>
    <row r="472" spans="1:10">
      <c r="A472" s="26" t="s">
        <v>2162</v>
      </c>
      <c r="E472" s="26" t="s">
        <v>5581</v>
      </c>
      <c r="F472" s="39" t="str">
        <f t="shared" si="28"/>
        <v/>
      </c>
      <c r="G472" s="39" t="str">
        <f t="shared" si="29"/>
        <v/>
      </c>
      <c r="H472" s="39" t="str">
        <f t="shared" si="30"/>
        <v/>
      </c>
      <c r="I472" s="39" t="str">
        <f t="shared" si="31"/>
        <v/>
      </c>
      <c r="J472" s="39" t="str">
        <f>""</f>
        <v/>
      </c>
    </row>
    <row r="473" spans="1:10">
      <c r="A473" s="26" t="s">
        <v>792</v>
      </c>
      <c r="E473" s="26" t="s">
        <v>5581</v>
      </c>
      <c r="F473" s="39" t="str">
        <f t="shared" si="28"/>
        <v/>
      </c>
      <c r="G473" s="39" t="str">
        <f t="shared" si="29"/>
        <v/>
      </c>
      <c r="H473" s="39" t="str">
        <f t="shared" si="30"/>
        <v/>
      </c>
      <c r="I473" s="39" t="str">
        <f t="shared" si="31"/>
        <v/>
      </c>
      <c r="J473" s="39" t="str">
        <f>""</f>
        <v/>
      </c>
    </row>
    <row r="474" spans="1:10">
      <c r="A474" s="26" t="s">
        <v>795</v>
      </c>
      <c r="E474" s="26" t="s">
        <v>5581</v>
      </c>
      <c r="F474" s="39" t="str">
        <f t="shared" si="28"/>
        <v/>
      </c>
      <c r="G474" s="39" t="str">
        <f t="shared" si="29"/>
        <v/>
      </c>
      <c r="H474" s="39" t="str">
        <f t="shared" si="30"/>
        <v/>
      </c>
      <c r="I474" s="39" t="str">
        <f t="shared" si="31"/>
        <v/>
      </c>
      <c r="J474" s="39" t="str">
        <f>""</f>
        <v/>
      </c>
    </row>
    <row r="475" spans="1:10">
      <c r="A475" s="26" t="s">
        <v>796</v>
      </c>
      <c r="E475" s="26" t="s">
        <v>5581</v>
      </c>
      <c r="F475" s="39" t="str">
        <f t="shared" si="28"/>
        <v/>
      </c>
      <c r="G475" s="39" t="str">
        <f t="shared" si="29"/>
        <v/>
      </c>
      <c r="H475" s="39" t="str">
        <f t="shared" si="30"/>
        <v/>
      </c>
      <c r="I475" s="39" t="str">
        <f t="shared" si="31"/>
        <v/>
      </c>
      <c r="J475" s="39" t="str">
        <f>""</f>
        <v/>
      </c>
    </row>
    <row r="476" spans="1:10">
      <c r="A476" s="26" t="s">
        <v>2164</v>
      </c>
      <c r="E476" s="26" t="s">
        <v>5581</v>
      </c>
      <c r="F476" s="39" t="str">
        <f t="shared" si="28"/>
        <v/>
      </c>
      <c r="G476" s="39" t="str">
        <f t="shared" si="29"/>
        <v/>
      </c>
      <c r="H476" s="39" t="str">
        <f t="shared" si="30"/>
        <v/>
      </c>
      <c r="I476" s="39" t="str">
        <f t="shared" si="31"/>
        <v/>
      </c>
      <c r="J476" s="39" t="str">
        <f>""</f>
        <v/>
      </c>
    </row>
    <row r="477" spans="1:10">
      <c r="A477" s="26" t="s">
        <v>2167</v>
      </c>
      <c r="E477" s="26" t="s">
        <v>5581</v>
      </c>
      <c r="F477" s="39" t="str">
        <f t="shared" si="28"/>
        <v/>
      </c>
      <c r="G477" s="39" t="str">
        <f t="shared" si="29"/>
        <v/>
      </c>
      <c r="H477" s="39" t="str">
        <f t="shared" si="30"/>
        <v/>
      </c>
      <c r="I477" s="39" t="str">
        <f t="shared" si="31"/>
        <v/>
      </c>
      <c r="J477" s="39" t="str">
        <f>""</f>
        <v/>
      </c>
    </row>
    <row r="478" spans="1:10">
      <c r="A478" s="26" t="s">
        <v>2169</v>
      </c>
      <c r="E478" s="26" t="s">
        <v>3790</v>
      </c>
      <c r="F478" s="39" t="str">
        <f t="shared" si="28"/>
        <v/>
      </c>
      <c r="G478" s="39" t="str">
        <f t="shared" si="29"/>
        <v/>
      </c>
      <c r="H478" s="39" t="str">
        <f t="shared" si="30"/>
        <v/>
      </c>
      <c r="I478" s="39" t="str">
        <f t="shared" si="31"/>
        <v/>
      </c>
      <c r="J478" s="39" t="str">
        <f>""</f>
        <v/>
      </c>
    </row>
    <row r="479" spans="1:10">
      <c r="A479" s="26" t="s">
        <v>2172</v>
      </c>
      <c r="E479" s="26" t="s">
        <v>5581</v>
      </c>
      <c r="F479" s="39" t="str">
        <f t="shared" si="28"/>
        <v/>
      </c>
      <c r="G479" s="39" t="str">
        <f t="shared" si="29"/>
        <v/>
      </c>
      <c r="H479" s="39" t="str">
        <f t="shared" si="30"/>
        <v/>
      </c>
      <c r="I479" s="39" t="str">
        <f t="shared" si="31"/>
        <v/>
      </c>
      <c r="J479" s="39" t="str">
        <f>""</f>
        <v/>
      </c>
    </row>
    <row r="480" spans="1:10">
      <c r="A480" s="26" t="s">
        <v>2175</v>
      </c>
      <c r="E480" s="26" t="s">
        <v>5581</v>
      </c>
      <c r="F480" s="39" t="str">
        <f t="shared" si="28"/>
        <v/>
      </c>
      <c r="G480" s="39" t="str">
        <f t="shared" si="29"/>
        <v/>
      </c>
      <c r="H480" s="39" t="str">
        <f t="shared" si="30"/>
        <v/>
      </c>
      <c r="I480" s="39" t="str">
        <f t="shared" si="31"/>
        <v/>
      </c>
      <c r="J480" s="39" t="str">
        <f>""</f>
        <v/>
      </c>
    </row>
    <row r="481" spans="1:10">
      <c r="A481" s="26" t="s">
        <v>2176</v>
      </c>
      <c r="E481" s="26" t="s">
        <v>5581</v>
      </c>
      <c r="F481" s="39" t="str">
        <f t="shared" si="28"/>
        <v/>
      </c>
      <c r="G481" s="39" t="str">
        <f t="shared" si="29"/>
        <v/>
      </c>
      <c r="H481" s="39" t="str">
        <f t="shared" si="30"/>
        <v/>
      </c>
      <c r="I481" s="39" t="str">
        <f t="shared" si="31"/>
        <v/>
      </c>
      <c r="J481" s="39" t="str">
        <f>""</f>
        <v/>
      </c>
    </row>
    <row r="482" spans="1:10">
      <c r="A482" s="26" t="s">
        <v>2179</v>
      </c>
      <c r="E482" s="26" t="s">
        <v>5581</v>
      </c>
      <c r="F482" s="39" t="str">
        <f t="shared" si="28"/>
        <v/>
      </c>
      <c r="G482" s="39" t="str">
        <f t="shared" si="29"/>
        <v/>
      </c>
      <c r="H482" s="39" t="str">
        <f t="shared" si="30"/>
        <v/>
      </c>
      <c r="I482" s="39" t="str">
        <f t="shared" si="31"/>
        <v/>
      </c>
      <c r="J482" s="39" t="str">
        <f>""</f>
        <v/>
      </c>
    </row>
    <row r="483" spans="1:10">
      <c r="A483" s="26" t="s">
        <v>818</v>
      </c>
      <c r="E483" s="26" t="s">
        <v>3790</v>
      </c>
      <c r="F483" s="39" t="str">
        <f t="shared" si="28"/>
        <v/>
      </c>
      <c r="G483" s="39" t="str">
        <f t="shared" si="29"/>
        <v/>
      </c>
      <c r="H483" s="39" t="str">
        <f t="shared" si="30"/>
        <v/>
      </c>
      <c r="I483" s="39" t="str">
        <f t="shared" si="31"/>
        <v/>
      </c>
      <c r="J483" s="39" t="str">
        <f>""</f>
        <v/>
      </c>
    </row>
    <row r="484" spans="1:10">
      <c r="A484" s="26" t="s">
        <v>820</v>
      </c>
      <c r="E484" s="26" t="s">
        <v>3790</v>
      </c>
      <c r="F484" s="39" t="str">
        <f t="shared" si="28"/>
        <v/>
      </c>
      <c r="G484" s="39" t="str">
        <f t="shared" si="29"/>
        <v/>
      </c>
      <c r="H484" s="39" t="str">
        <f t="shared" si="30"/>
        <v/>
      </c>
      <c r="I484" s="39" t="str">
        <f t="shared" si="31"/>
        <v/>
      </c>
      <c r="J484" s="39" t="str">
        <f>""</f>
        <v/>
      </c>
    </row>
    <row r="485" spans="1:10">
      <c r="A485" s="26" t="s">
        <v>825</v>
      </c>
      <c r="E485" s="26" t="s">
        <v>3790</v>
      </c>
      <c r="F485" s="39" t="str">
        <f t="shared" si="28"/>
        <v/>
      </c>
      <c r="G485" s="39" t="str">
        <f t="shared" si="29"/>
        <v/>
      </c>
      <c r="H485" s="39" t="str">
        <f t="shared" si="30"/>
        <v/>
      </c>
      <c r="I485" s="39" t="str">
        <f t="shared" si="31"/>
        <v/>
      </c>
      <c r="J485" s="39" t="str">
        <f>""</f>
        <v/>
      </c>
    </row>
    <row r="486" spans="1:10">
      <c r="A486" s="26" t="s">
        <v>2183</v>
      </c>
      <c r="E486" s="26" t="s">
        <v>3790</v>
      </c>
      <c r="F486" s="39" t="str">
        <f t="shared" si="28"/>
        <v/>
      </c>
      <c r="G486" s="39" t="str">
        <f t="shared" si="29"/>
        <v/>
      </c>
      <c r="H486" s="39" t="str">
        <f t="shared" si="30"/>
        <v/>
      </c>
      <c r="I486" s="39" t="str">
        <f t="shared" si="31"/>
        <v/>
      </c>
      <c r="J486" s="39" t="str">
        <f>""</f>
        <v/>
      </c>
    </row>
    <row r="487" spans="1:10">
      <c r="A487" s="26" t="s">
        <v>2187</v>
      </c>
      <c r="E487" s="26" t="s">
        <v>5581</v>
      </c>
      <c r="F487" s="39" t="str">
        <f t="shared" si="28"/>
        <v/>
      </c>
      <c r="G487" s="39" t="str">
        <f t="shared" si="29"/>
        <v/>
      </c>
      <c r="H487" s="39" t="str">
        <f t="shared" si="30"/>
        <v/>
      </c>
      <c r="I487" s="39" t="str">
        <f t="shared" si="31"/>
        <v/>
      </c>
      <c r="J487" s="39" t="str">
        <f>""</f>
        <v/>
      </c>
    </row>
    <row r="488" spans="1:10">
      <c r="A488" s="26" t="s">
        <v>2189</v>
      </c>
      <c r="E488" s="26" t="s">
        <v>5581</v>
      </c>
      <c r="F488" s="39" t="str">
        <f t="shared" si="28"/>
        <v/>
      </c>
      <c r="G488" s="39" t="str">
        <f t="shared" si="29"/>
        <v/>
      </c>
      <c r="H488" s="39" t="str">
        <f t="shared" si="30"/>
        <v/>
      </c>
      <c r="I488" s="39" t="str">
        <f t="shared" si="31"/>
        <v/>
      </c>
      <c r="J488" s="39" t="str">
        <f>""</f>
        <v/>
      </c>
    </row>
    <row r="489" spans="1:10">
      <c r="A489" s="26" t="s">
        <v>2192</v>
      </c>
      <c r="E489" s="26" t="s">
        <v>5581</v>
      </c>
      <c r="F489" s="39" t="str">
        <f t="shared" si="28"/>
        <v/>
      </c>
      <c r="G489" s="39" t="str">
        <f t="shared" si="29"/>
        <v/>
      </c>
      <c r="H489" s="39" t="str">
        <f t="shared" si="30"/>
        <v/>
      </c>
      <c r="I489" s="39" t="str">
        <f t="shared" si="31"/>
        <v/>
      </c>
      <c r="J489" s="39" t="str">
        <f>""</f>
        <v/>
      </c>
    </row>
    <row r="490" spans="1:10">
      <c r="A490" s="26" t="s">
        <v>2193</v>
      </c>
      <c r="E490" s="26" t="s">
        <v>5581</v>
      </c>
      <c r="F490" s="39" t="str">
        <f t="shared" si="28"/>
        <v/>
      </c>
      <c r="G490" s="39" t="str">
        <f t="shared" si="29"/>
        <v/>
      </c>
      <c r="H490" s="39" t="str">
        <f t="shared" si="30"/>
        <v/>
      </c>
      <c r="I490" s="39" t="str">
        <f t="shared" si="31"/>
        <v/>
      </c>
      <c r="J490" s="39" t="str">
        <f>""</f>
        <v/>
      </c>
    </row>
    <row r="491" spans="1:10">
      <c r="A491" s="26" t="s">
        <v>2196</v>
      </c>
      <c r="E491" s="26" t="s">
        <v>5581</v>
      </c>
      <c r="F491" s="39" t="str">
        <f t="shared" si="28"/>
        <v/>
      </c>
      <c r="G491" s="39" t="str">
        <f t="shared" si="29"/>
        <v/>
      </c>
      <c r="H491" s="39" t="str">
        <f t="shared" si="30"/>
        <v/>
      </c>
      <c r="I491" s="39" t="str">
        <f t="shared" si="31"/>
        <v/>
      </c>
      <c r="J491" s="39" t="str">
        <f>""</f>
        <v/>
      </c>
    </row>
    <row r="492" spans="1:10">
      <c r="A492" s="26" t="s">
        <v>2197</v>
      </c>
      <c r="E492" s="26" t="s">
        <v>5581</v>
      </c>
      <c r="F492" s="39" t="str">
        <f t="shared" si="28"/>
        <v/>
      </c>
      <c r="G492" s="39" t="str">
        <f t="shared" si="29"/>
        <v/>
      </c>
      <c r="H492" s="39" t="str">
        <f t="shared" si="30"/>
        <v/>
      </c>
      <c r="I492" s="39" t="str">
        <f t="shared" si="31"/>
        <v/>
      </c>
      <c r="J492" s="39" t="str">
        <f>""</f>
        <v/>
      </c>
    </row>
    <row r="493" spans="1:10">
      <c r="A493" s="26" t="s">
        <v>2200</v>
      </c>
      <c r="E493" s="26" t="s">
        <v>5581</v>
      </c>
      <c r="F493" s="39" t="str">
        <f t="shared" si="28"/>
        <v/>
      </c>
      <c r="G493" s="39" t="str">
        <f t="shared" si="29"/>
        <v/>
      </c>
      <c r="H493" s="39" t="str">
        <f t="shared" si="30"/>
        <v/>
      </c>
      <c r="I493" s="39" t="str">
        <f t="shared" si="31"/>
        <v/>
      </c>
      <c r="J493" s="39" t="str">
        <f>""</f>
        <v/>
      </c>
    </row>
    <row r="494" spans="1:10">
      <c r="A494" s="26" t="s">
        <v>2201</v>
      </c>
      <c r="E494" s="26" t="s">
        <v>5581</v>
      </c>
      <c r="F494" s="39" t="str">
        <f t="shared" si="28"/>
        <v/>
      </c>
      <c r="G494" s="39" t="str">
        <f t="shared" si="29"/>
        <v/>
      </c>
      <c r="H494" s="39" t="str">
        <f t="shared" si="30"/>
        <v/>
      </c>
      <c r="I494" s="39" t="str">
        <f t="shared" si="31"/>
        <v/>
      </c>
      <c r="J494" s="39" t="str">
        <f>""</f>
        <v/>
      </c>
    </row>
    <row r="495" spans="1:10">
      <c r="A495" s="26" t="s">
        <v>2204</v>
      </c>
      <c r="E495" s="26" t="s">
        <v>5581</v>
      </c>
      <c r="F495" s="39" t="str">
        <f t="shared" si="28"/>
        <v/>
      </c>
      <c r="G495" s="39" t="str">
        <f t="shared" si="29"/>
        <v/>
      </c>
      <c r="H495" s="39" t="str">
        <f t="shared" si="30"/>
        <v/>
      </c>
      <c r="I495" s="39" t="str">
        <f t="shared" si="31"/>
        <v/>
      </c>
      <c r="J495" s="39" t="str">
        <f>""</f>
        <v/>
      </c>
    </row>
    <row r="496" spans="1:10">
      <c r="A496" s="26" t="s">
        <v>2207</v>
      </c>
      <c r="E496" s="26" t="s">
        <v>5581</v>
      </c>
      <c r="F496" s="39" t="str">
        <f t="shared" si="28"/>
        <v/>
      </c>
      <c r="G496" s="39" t="str">
        <f t="shared" si="29"/>
        <v/>
      </c>
      <c r="H496" s="39" t="str">
        <f t="shared" si="30"/>
        <v/>
      </c>
      <c r="I496" s="39" t="str">
        <f t="shared" si="31"/>
        <v/>
      </c>
      <c r="J496" s="39" t="str">
        <f>""</f>
        <v/>
      </c>
    </row>
    <row r="497" spans="1:10">
      <c r="A497" s="26" t="s">
        <v>2209</v>
      </c>
      <c r="E497" s="26" t="s">
        <v>5581</v>
      </c>
      <c r="F497" s="39" t="str">
        <f t="shared" si="28"/>
        <v/>
      </c>
      <c r="G497" s="39" t="str">
        <f t="shared" si="29"/>
        <v/>
      </c>
      <c r="H497" s="39" t="str">
        <f t="shared" si="30"/>
        <v/>
      </c>
      <c r="I497" s="39" t="str">
        <f t="shared" si="31"/>
        <v/>
      </c>
      <c r="J497" s="39" t="str">
        <f>""</f>
        <v/>
      </c>
    </row>
    <row r="498" spans="1:10">
      <c r="A498" s="26" t="s">
        <v>2210</v>
      </c>
      <c r="E498" s="26" t="s">
        <v>5581</v>
      </c>
      <c r="F498" s="39" t="str">
        <f t="shared" si="28"/>
        <v/>
      </c>
      <c r="G498" s="39" t="str">
        <f t="shared" si="29"/>
        <v/>
      </c>
      <c r="H498" s="39" t="str">
        <f t="shared" si="30"/>
        <v/>
      </c>
      <c r="I498" s="39" t="str">
        <f t="shared" si="31"/>
        <v/>
      </c>
      <c r="J498" s="39" t="str">
        <f>""</f>
        <v/>
      </c>
    </row>
    <row r="499" spans="1:10">
      <c r="A499" s="26" t="s">
        <v>2213</v>
      </c>
      <c r="E499" s="26" t="s">
        <v>5581</v>
      </c>
      <c r="F499" s="39" t="str">
        <f t="shared" si="28"/>
        <v/>
      </c>
      <c r="G499" s="39" t="str">
        <f t="shared" si="29"/>
        <v/>
      </c>
      <c r="H499" s="39" t="str">
        <f t="shared" si="30"/>
        <v/>
      </c>
      <c r="I499" s="39" t="str">
        <f t="shared" si="31"/>
        <v/>
      </c>
      <c r="J499" s="39" t="str">
        <f>""</f>
        <v/>
      </c>
    </row>
    <row r="500" spans="1:10">
      <c r="A500" s="26" t="s">
        <v>2214</v>
      </c>
      <c r="E500" s="26" t="s">
        <v>5581</v>
      </c>
      <c r="F500" s="39" t="str">
        <f t="shared" si="28"/>
        <v/>
      </c>
      <c r="G500" s="39" t="str">
        <f t="shared" si="29"/>
        <v/>
      </c>
      <c r="H500" s="39" t="str">
        <f t="shared" si="30"/>
        <v/>
      </c>
      <c r="I500" s="39" t="str">
        <f t="shared" si="31"/>
        <v/>
      </c>
      <c r="J500" s="39" t="str">
        <f>""</f>
        <v/>
      </c>
    </row>
    <row r="501" spans="1:10">
      <c r="A501" s="26" t="s">
        <v>2217</v>
      </c>
      <c r="E501" s="26" t="s">
        <v>5581</v>
      </c>
      <c r="F501" s="39" t="str">
        <f t="shared" si="28"/>
        <v/>
      </c>
      <c r="G501" s="39" t="str">
        <f t="shared" si="29"/>
        <v/>
      </c>
      <c r="H501" s="39" t="str">
        <f t="shared" si="30"/>
        <v/>
      </c>
      <c r="I501" s="39" t="str">
        <f t="shared" si="31"/>
        <v/>
      </c>
      <c r="J501" s="39" t="str">
        <f>""</f>
        <v/>
      </c>
    </row>
    <row r="502" spans="1:10">
      <c r="A502" s="26" t="s">
        <v>827</v>
      </c>
      <c r="E502" s="26" t="s">
        <v>5582</v>
      </c>
      <c r="F502" s="39" t="str">
        <f t="shared" si="28"/>
        <v/>
      </c>
      <c r="G502" s="39" t="str">
        <f t="shared" si="29"/>
        <v/>
      </c>
      <c r="H502" s="39" t="str">
        <f t="shared" si="30"/>
        <v/>
      </c>
      <c r="I502" s="39" t="str">
        <f t="shared" si="31"/>
        <v/>
      </c>
      <c r="J502" s="39" t="str">
        <f>""</f>
        <v/>
      </c>
    </row>
    <row r="503" spans="1:10">
      <c r="A503" s="26" t="s">
        <v>830</v>
      </c>
      <c r="E503" s="26" t="s">
        <v>5582</v>
      </c>
      <c r="F503" s="39" t="str">
        <f t="shared" si="28"/>
        <v/>
      </c>
      <c r="G503" s="39" t="str">
        <f t="shared" si="29"/>
        <v/>
      </c>
      <c r="H503" s="39" t="str">
        <f t="shared" si="30"/>
        <v/>
      </c>
      <c r="I503" s="39" t="str">
        <f t="shared" si="31"/>
        <v/>
      </c>
      <c r="J503" s="39" t="str">
        <f>""</f>
        <v/>
      </c>
    </row>
    <row r="504" spans="1:10">
      <c r="A504" s="26" t="s">
        <v>831</v>
      </c>
      <c r="E504" s="26" t="s">
        <v>5582</v>
      </c>
      <c r="F504" s="39" t="str">
        <f t="shared" si="28"/>
        <v/>
      </c>
      <c r="G504" s="39" t="str">
        <f t="shared" si="29"/>
        <v/>
      </c>
      <c r="H504" s="39" t="str">
        <f t="shared" si="30"/>
        <v/>
      </c>
      <c r="I504" s="39" t="str">
        <f t="shared" si="31"/>
        <v/>
      </c>
      <c r="J504" s="39" t="str">
        <f>""</f>
        <v/>
      </c>
    </row>
    <row r="505" spans="1:10">
      <c r="A505" s="26" t="s">
        <v>834</v>
      </c>
      <c r="E505" s="26" t="s">
        <v>5582</v>
      </c>
      <c r="F505" s="39" t="str">
        <f t="shared" si="28"/>
        <v/>
      </c>
      <c r="G505" s="39" t="str">
        <f t="shared" si="29"/>
        <v/>
      </c>
      <c r="H505" s="39" t="str">
        <f t="shared" si="30"/>
        <v/>
      </c>
      <c r="I505" s="39" t="str">
        <f t="shared" si="31"/>
        <v/>
      </c>
      <c r="J505" s="39" t="str">
        <f>""</f>
        <v/>
      </c>
    </row>
    <row r="506" spans="1:10">
      <c r="A506" s="26" t="s">
        <v>835</v>
      </c>
      <c r="E506" s="26" t="s">
        <v>5582</v>
      </c>
      <c r="F506" s="39" t="str">
        <f t="shared" si="28"/>
        <v/>
      </c>
      <c r="G506" s="39" t="str">
        <f t="shared" si="29"/>
        <v/>
      </c>
      <c r="H506" s="39" t="str">
        <f t="shared" si="30"/>
        <v/>
      </c>
      <c r="I506" s="39" t="str">
        <f t="shared" si="31"/>
        <v/>
      </c>
      <c r="J506" s="39" t="str">
        <f>""</f>
        <v/>
      </c>
    </row>
    <row r="507" spans="1:10">
      <c r="A507" s="26" t="s">
        <v>837</v>
      </c>
      <c r="E507" s="26" t="s">
        <v>5582</v>
      </c>
      <c r="F507" s="39" t="str">
        <f t="shared" si="28"/>
        <v/>
      </c>
      <c r="G507" s="39" t="str">
        <f t="shared" si="29"/>
        <v/>
      </c>
      <c r="H507" s="39" t="str">
        <f t="shared" si="30"/>
        <v/>
      </c>
      <c r="I507" s="39" t="str">
        <f t="shared" si="31"/>
        <v/>
      </c>
      <c r="J507" s="39" t="str">
        <f>""</f>
        <v/>
      </c>
    </row>
    <row r="508" spans="1:10">
      <c r="A508" s="26" t="s">
        <v>838</v>
      </c>
      <c r="E508" s="26" t="s">
        <v>5582</v>
      </c>
      <c r="F508" s="39" t="str">
        <f t="shared" si="28"/>
        <v/>
      </c>
      <c r="G508" s="39" t="str">
        <f t="shared" si="29"/>
        <v/>
      </c>
      <c r="H508" s="39" t="str">
        <f t="shared" si="30"/>
        <v/>
      </c>
      <c r="I508" s="39" t="str">
        <f t="shared" si="31"/>
        <v/>
      </c>
      <c r="J508" s="39" t="str">
        <f>""</f>
        <v/>
      </c>
    </row>
    <row r="509" spans="1:10">
      <c r="A509" s="26" t="s">
        <v>840</v>
      </c>
      <c r="E509" s="26" t="s">
        <v>5582</v>
      </c>
      <c r="F509" s="39" t="str">
        <f t="shared" si="28"/>
        <v/>
      </c>
      <c r="G509" s="39" t="str">
        <f t="shared" si="29"/>
        <v/>
      </c>
      <c r="H509" s="39" t="str">
        <f t="shared" si="30"/>
        <v/>
      </c>
      <c r="I509" s="39" t="str">
        <f t="shared" si="31"/>
        <v/>
      </c>
      <c r="J509" s="39" t="str">
        <f>""</f>
        <v/>
      </c>
    </row>
    <row r="510" spans="1:10">
      <c r="A510" s="26" t="s">
        <v>841</v>
      </c>
      <c r="E510" s="26" t="s">
        <v>5582</v>
      </c>
      <c r="F510" s="39" t="str">
        <f t="shared" si="28"/>
        <v/>
      </c>
      <c r="G510" s="39" t="str">
        <f t="shared" si="29"/>
        <v/>
      </c>
      <c r="H510" s="39" t="str">
        <f t="shared" si="30"/>
        <v/>
      </c>
      <c r="I510" s="39" t="str">
        <f t="shared" si="31"/>
        <v/>
      </c>
      <c r="J510" s="39" t="str">
        <f>""</f>
        <v/>
      </c>
    </row>
    <row r="511" spans="1:10">
      <c r="A511" s="26" t="s">
        <v>844</v>
      </c>
      <c r="E511" s="26" t="s">
        <v>5582</v>
      </c>
      <c r="F511" s="39" t="str">
        <f t="shared" si="28"/>
        <v/>
      </c>
      <c r="G511" s="39" t="str">
        <f t="shared" si="29"/>
        <v/>
      </c>
      <c r="H511" s="39" t="str">
        <f t="shared" si="30"/>
        <v/>
      </c>
      <c r="I511" s="39" t="str">
        <f t="shared" si="31"/>
        <v/>
      </c>
      <c r="J511" s="39" t="str">
        <f>""</f>
        <v/>
      </c>
    </row>
    <row r="512" spans="1:10">
      <c r="A512" s="26" t="s">
        <v>845</v>
      </c>
      <c r="E512" s="26" t="s">
        <v>5582</v>
      </c>
      <c r="F512" s="39" t="str">
        <f t="shared" si="28"/>
        <v/>
      </c>
      <c r="G512" s="39" t="str">
        <f t="shared" si="29"/>
        <v/>
      </c>
      <c r="H512" s="39" t="str">
        <f t="shared" si="30"/>
        <v/>
      </c>
      <c r="I512" s="39" t="str">
        <f t="shared" si="31"/>
        <v/>
      </c>
      <c r="J512" s="39" t="str">
        <f>""</f>
        <v/>
      </c>
    </row>
    <row r="513" spans="1:10">
      <c r="A513" s="26" t="s">
        <v>847</v>
      </c>
      <c r="E513" s="26" t="s">
        <v>3790</v>
      </c>
      <c r="F513" s="39" t="str">
        <f t="shared" si="28"/>
        <v/>
      </c>
      <c r="G513" s="39" t="str">
        <f t="shared" si="29"/>
        <v/>
      </c>
      <c r="H513" s="39" t="str">
        <f t="shared" si="30"/>
        <v/>
      </c>
      <c r="I513" s="39" t="str">
        <f t="shared" si="31"/>
        <v/>
      </c>
      <c r="J513" s="39" t="str">
        <f>""</f>
        <v/>
      </c>
    </row>
    <row r="514" spans="1:10">
      <c r="A514" s="26" t="s">
        <v>850</v>
      </c>
      <c r="E514" s="26" t="s">
        <v>5582</v>
      </c>
      <c r="F514" s="39" t="str">
        <f t="shared" si="28"/>
        <v/>
      </c>
      <c r="G514" s="39" t="str">
        <f t="shared" si="29"/>
        <v/>
      </c>
      <c r="H514" s="39" t="str">
        <f t="shared" si="30"/>
        <v/>
      </c>
      <c r="I514" s="39" t="str">
        <f t="shared" si="31"/>
        <v/>
      </c>
      <c r="J514" s="39" t="str">
        <f>""</f>
        <v/>
      </c>
    </row>
    <row r="515" spans="1:10">
      <c r="A515" s="26" t="s">
        <v>852</v>
      </c>
      <c r="E515" s="26" t="s">
        <v>5582</v>
      </c>
      <c r="F515" s="39" t="str">
        <f t="shared" ref="F515:F578" si="32">IF(C515="","",IF(C515&lt;99,C515,""))</f>
        <v/>
      </c>
      <c r="G515" s="39" t="str">
        <f t="shared" ref="G515:G578" si="33">IF(OR(F515&lt;&gt;"",D515&lt;&gt;""),C515,"")</f>
        <v/>
      </c>
      <c r="H515" s="39" t="str">
        <f t="shared" ref="H515:H578" si="34">IF(C515="","",C515)</f>
        <v/>
      </c>
      <c r="I515" s="39" t="str">
        <f t="shared" ref="I515:I578" si="35">IF(AND(C515&lt;&gt;"",D515&lt;&gt;""),C515,"")</f>
        <v/>
      </c>
      <c r="J515" s="39" t="str">
        <f>""</f>
        <v/>
      </c>
    </row>
    <row r="516" spans="1:10">
      <c r="A516" s="26" t="s">
        <v>3333</v>
      </c>
      <c r="E516" s="26" t="s">
        <v>5582</v>
      </c>
      <c r="F516" s="39" t="str">
        <f t="shared" si="32"/>
        <v/>
      </c>
      <c r="G516" s="39" t="str">
        <f t="shared" si="33"/>
        <v/>
      </c>
      <c r="H516" s="39" t="str">
        <f t="shared" si="34"/>
        <v/>
      </c>
      <c r="I516" s="39" t="str">
        <f t="shared" si="35"/>
        <v/>
      </c>
      <c r="J516" s="39" t="str">
        <f>""</f>
        <v/>
      </c>
    </row>
    <row r="517" spans="1:10">
      <c r="A517" s="26" t="s">
        <v>853</v>
      </c>
      <c r="E517" s="26" t="s">
        <v>5582</v>
      </c>
      <c r="F517" s="39" t="str">
        <f t="shared" si="32"/>
        <v/>
      </c>
      <c r="G517" s="39" t="str">
        <f t="shared" si="33"/>
        <v/>
      </c>
      <c r="H517" s="39" t="str">
        <f t="shared" si="34"/>
        <v/>
      </c>
      <c r="I517" s="39" t="str">
        <f t="shared" si="35"/>
        <v/>
      </c>
      <c r="J517" s="39" t="str">
        <f>""</f>
        <v/>
      </c>
    </row>
    <row r="518" spans="1:10">
      <c r="A518" s="26" t="s">
        <v>855</v>
      </c>
      <c r="E518" s="26" t="s">
        <v>5582</v>
      </c>
      <c r="F518" s="39" t="str">
        <f t="shared" si="32"/>
        <v/>
      </c>
      <c r="G518" s="39" t="str">
        <f t="shared" si="33"/>
        <v/>
      </c>
      <c r="H518" s="39" t="str">
        <f t="shared" si="34"/>
        <v/>
      </c>
      <c r="I518" s="39" t="str">
        <f t="shared" si="35"/>
        <v/>
      </c>
      <c r="J518" s="39" t="str">
        <f>""</f>
        <v/>
      </c>
    </row>
    <row r="519" spans="1:10">
      <c r="A519" s="26" t="s">
        <v>856</v>
      </c>
      <c r="E519" s="26" t="s">
        <v>5582</v>
      </c>
      <c r="F519" s="39" t="str">
        <f t="shared" si="32"/>
        <v/>
      </c>
      <c r="G519" s="39" t="str">
        <f t="shared" si="33"/>
        <v/>
      </c>
      <c r="H519" s="39" t="str">
        <f t="shared" si="34"/>
        <v/>
      </c>
      <c r="I519" s="39" t="str">
        <f t="shared" si="35"/>
        <v/>
      </c>
      <c r="J519" s="39" t="str">
        <f>""</f>
        <v/>
      </c>
    </row>
    <row r="520" spans="1:10">
      <c r="A520" s="26" t="s">
        <v>858</v>
      </c>
      <c r="E520" s="26" t="s">
        <v>5582</v>
      </c>
      <c r="F520" s="39" t="str">
        <f t="shared" si="32"/>
        <v/>
      </c>
      <c r="G520" s="39" t="str">
        <f t="shared" si="33"/>
        <v/>
      </c>
      <c r="H520" s="39" t="str">
        <f t="shared" si="34"/>
        <v/>
      </c>
      <c r="I520" s="39" t="str">
        <f t="shared" si="35"/>
        <v/>
      </c>
      <c r="J520" s="39" t="str">
        <f>""</f>
        <v/>
      </c>
    </row>
    <row r="521" spans="1:10">
      <c r="A521" s="26" t="s">
        <v>860</v>
      </c>
      <c r="E521" s="26" t="s">
        <v>5582</v>
      </c>
      <c r="F521" s="39" t="str">
        <f t="shared" si="32"/>
        <v/>
      </c>
      <c r="G521" s="39" t="str">
        <f t="shared" si="33"/>
        <v/>
      </c>
      <c r="H521" s="39" t="str">
        <f t="shared" si="34"/>
        <v/>
      </c>
      <c r="I521" s="39" t="str">
        <f t="shared" si="35"/>
        <v/>
      </c>
      <c r="J521" s="39" t="str">
        <f>""</f>
        <v/>
      </c>
    </row>
    <row r="522" spans="1:10">
      <c r="A522" s="26" t="s">
        <v>5352</v>
      </c>
      <c r="E522" s="26" t="s">
        <v>5582</v>
      </c>
      <c r="F522" s="39" t="str">
        <f t="shared" si="32"/>
        <v/>
      </c>
      <c r="G522" s="39" t="str">
        <f t="shared" si="33"/>
        <v/>
      </c>
      <c r="H522" s="39" t="str">
        <f t="shared" si="34"/>
        <v/>
      </c>
      <c r="I522" s="39" t="str">
        <f t="shared" si="35"/>
        <v/>
      </c>
      <c r="J522" s="39" t="str">
        <f>""</f>
        <v/>
      </c>
    </row>
    <row r="523" spans="1:10">
      <c r="A523" s="26" t="s">
        <v>862</v>
      </c>
      <c r="E523" s="26" t="s">
        <v>5582</v>
      </c>
      <c r="F523" s="39" t="str">
        <f t="shared" si="32"/>
        <v/>
      </c>
      <c r="G523" s="39" t="str">
        <f t="shared" si="33"/>
        <v/>
      </c>
      <c r="H523" s="39" t="str">
        <f t="shared" si="34"/>
        <v/>
      </c>
      <c r="I523" s="39" t="str">
        <f t="shared" si="35"/>
        <v/>
      </c>
      <c r="J523" s="39" t="str">
        <f>""</f>
        <v/>
      </c>
    </row>
    <row r="524" spans="1:10">
      <c r="A524" s="26" t="s">
        <v>864</v>
      </c>
      <c r="E524" s="26" t="s">
        <v>5581</v>
      </c>
      <c r="F524" s="39" t="str">
        <f t="shared" si="32"/>
        <v/>
      </c>
      <c r="G524" s="39" t="str">
        <f t="shared" si="33"/>
        <v/>
      </c>
      <c r="H524" s="39" t="str">
        <f t="shared" si="34"/>
        <v/>
      </c>
      <c r="I524" s="39" t="str">
        <f t="shared" si="35"/>
        <v/>
      </c>
      <c r="J524" s="39" t="str">
        <f>""</f>
        <v/>
      </c>
    </row>
    <row r="525" spans="1:10">
      <c r="A525" s="26" t="s">
        <v>866</v>
      </c>
      <c r="E525" s="26" t="s">
        <v>5581</v>
      </c>
      <c r="F525" s="39" t="str">
        <f t="shared" si="32"/>
        <v/>
      </c>
      <c r="G525" s="39" t="str">
        <f t="shared" si="33"/>
        <v/>
      </c>
      <c r="H525" s="39" t="str">
        <f t="shared" si="34"/>
        <v/>
      </c>
      <c r="I525" s="39" t="str">
        <f t="shared" si="35"/>
        <v/>
      </c>
      <c r="J525" s="39" t="str">
        <f>""</f>
        <v/>
      </c>
    </row>
    <row r="526" spans="1:10">
      <c r="A526" s="26" t="s">
        <v>867</v>
      </c>
      <c r="E526" s="26" t="s">
        <v>5582</v>
      </c>
      <c r="F526" s="39" t="str">
        <f t="shared" si="32"/>
        <v/>
      </c>
      <c r="G526" s="39" t="str">
        <f t="shared" si="33"/>
        <v/>
      </c>
      <c r="H526" s="39" t="str">
        <f t="shared" si="34"/>
        <v/>
      </c>
      <c r="I526" s="39" t="str">
        <f t="shared" si="35"/>
        <v/>
      </c>
      <c r="J526" s="39" t="str">
        <f>""</f>
        <v/>
      </c>
    </row>
    <row r="527" spans="1:10">
      <c r="A527" s="26" t="s">
        <v>870</v>
      </c>
      <c r="E527" s="26" t="s">
        <v>5582</v>
      </c>
      <c r="F527" s="39" t="str">
        <f t="shared" si="32"/>
        <v/>
      </c>
      <c r="G527" s="39" t="str">
        <f t="shared" si="33"/>
        <v/>
      </c>
      <c r="H527" s="39" t="str">
        <f t="shared" si="34"/>
        <v/>
      </c>
      <c r="I527" s="39" t="str">
        <f t="shared" si="35"/>
        <v/>
      </c>
      <c r="J527" s="39" t="str">
        <f>""</f>
        <v/>
      </c>
    </row>
    <row r="528" spans="1:10">
      <c r="A528" s="26" t="s">
        <v>871</v>
      </c>
      <c r="E528" s="26" t="s">
        <v>5582</v>
      </c>
      <c r="F528" s="39" t="str">
        <f t="shared" si="32"/>
        <v/>
      </c>
      <c r="G528" s="39" t="str">
        <f t="shared" si="33"/>
        <v/>
      </c>
      <c r="H528" s="39" t="str">
        <f t="shared" si="34"/>
        <v/>
      </c>
      <c r="I528" s="39" t="str">
        <f t="shared" si="35"/>
        <v/>
      </c>
      <c r="J528" s="39" t="str">
        <f>""</f>
        <v/>
      </c>
    </row>
    <row r="529" spans="1:10">
      <c r="A529" s="26" t="s">
        <v>874</v>
      </c>
      <c r="E529" s="26" t="s">
        <v>5582</v>
      </c>
      <c r="F529" s="39" t="str">
        <f t="shared" si="32"/>
        <v/>
      </c>
      <c r="G529" s="39" t="str">
        <f t="shared" si="33"/>
        <v/>
      </c>
      <c r="H529" s="39" t="str">
        <f t="shared" si="34"/>
        <v/>
      </c>
      <c r="I529" s="39" t="str">
        <f t="shared" si="35"/>
        <v/>
      </c>
      <c r="J529" s="39" t="str">
        <f>""</f>
        <v/>
      </c>
    </row>
    <row r="530" spans="1:10">
      <c r="A530" s="26" t="s">
        <v>875</v>
      </c>
      <c r="E530" s="26" t="s">
        <v>5582</v>
      </c>
      <c r="F530" s="39" t="str">
        <f t="shared" si="32"/>
        <v/>
      </c>
      <c r="G530" s="39" t="str">
        <f t="shared" si="33"/>
        <v/>
      </c>
      <c r="H530" s="39" t="str">
        <f t="shared" si="34"/>
        <v/>
      </c>
      <c r="I530" s="39" t="str">
        <f t="shared" si="35"/>
        <v/>
      </c>
      <c r="J530" s="39" t="str">
        <f>""</f>
        <v/>
      </c>
    </row>
    <row r="531" spans="1:10">
      <c r="A531" s="26" t="s">
        <v>878</v>
      </c>
      <c r="E531" s="26" t="s">
        <v>5582</v>
      </c>
      <c r="F531" s="39" t="str">
        <f t="shared" si="32"/>
        <v/>
      </c>
      <c r="G531" s="39" t="str">
        <f t="shared" si="33"/>
        <v/>
      </c>
      <c r="H531" s="39" t="str">
        <f t="shared" si="34"/>
        <v/>
      </c>
      <c r="I531" s="39" t="str">
        <f t="shared" si="35"/>
        <v/>
      </c>
      <c r="J531" s="39" t="str">
        <f>""</f>
        <v/>
      </c>
    </row>
    <row r="532" spans="1:10">
      <c r="A532" s="26" t="s">
        <v>6179</v>
      </c>
      <c r="E532" s="26" t="s">
        <v>3790</v>
      </c>
      <c r="F532" s="39" t="str">
        <f t="shared" si="32"/>
        <v/>
      </c>
      <c r="G532" s="39" t="str">
        <f t="shared" si="33"/>
        <v/>
      </c>
      <c r="H532" s="39" t="str">
        <f t="shared" si="34"/>
        <v/>
      </c>
      <c r="I532" s="39" t="str">
        <f t="shared" si="35"/>
        <v/>
      </c>
      <c r="J532" s="39" t="str">
        <f>""</f>
        <v/>
      </c>
    </row>
    <row r="533" spans="1:10">
      <c r="A533" s="26" t="s">
        <v>880</v>
      </c>
      <c r="E533" s="26" t="s">
        <v>5582</v>
      </c>
      <c r="F533" s="39" t="str">
        <f t="shared" si="32"/>
        <v/>
      </c>
      <c r="G533" s="39" t="str">
        <f t="shared" si="33"/>
        <v/>
      </c>
      <c r="H533" s="39" t="str">
        <f t="shared" si="34"/>
        <v/>
      </c>
      <c r="I533" s="39" t="str">
        <f t="shared" si="35"/>
        <v/>
      </c>
      <c r="J533" s="39" t="str">
        <f>""</f>
        <v/>
      </c>
    </row>
    <row r="534" spans="1:10">
      <c r="A534" s="26" t="s">
        <v>881</v>
      </c>
      <c r="E534" s="26" t="s">
        <v>5582</v>
      </c>
      <c r="F534" s="39" t="str">
        <f t="shared" si="32"/>
        <v/>
      </c>
      <c r="G534" s="39" t="str">
        <f t="shared" si="33"/>
        <v/>
      </c>
      <c r="H534" s="39" t="str">
        <f t="shared" si="34"/>
        <v/>
      </c>
      <c r="I534" s="39" t="str">
        <f t="shared" si="35"/>
        <v/>
      </c>
      <c r="J534" s="39" t="str">
        <f>""</f>
        <v/>
      </c>
    </row>
    <row r="535" spans="1:10">
      <c r="A535" s="26" t="s">
        <v>884</v>
      </c>
      <c r="E535" s="26" t="s">
        <v>5582</v>
      </c>
      <c r="F535" s="39" t="str">
        <f t="shared" si="32"/>
        <v/>
      </c>
      <c r="G535" s="39" t="str">
        <f t="shared" si="33"/>
        <v/>
      </c>
      <c r="H535" s="39" t="str">
        <f t="shared" si="34"/>
        <v/>
      </c>
      <c r="I535" s="39" t="str">
        <f t="shared" si="35"/>
        <v/>
      </c>
      <c r="J535" s="39" t="str">
        <f>""</f>
        <v/>
      </c>
    </row>
    <row r="536" spans="1:10">
      <c r="A536" s="26" t="s">
        <v>885</v>
      </c>
      <c r="E536" s="26" t="s">
        <v>5582</v>
      </c>
      <c r="F536" s="39" t="str">
        <f t="shared" si="32"/>
        <v/>
      </c>
      <c r="G536" s="39" t="str">
        <f t="shared" si="33"/>
        <v/>
      </c>
      <c r="H536" s="39" t="str">
        <f t="shared" si="34"/>
        <v/>
      </c>
      <c r="I536" s="39" t="str">
        <f t="shared" si="35"/>
        <v/>
      </c>
      <c r="J536" s="39" t="str">
        <f>""</f>
        <v/>
      </c>
    </row>
    <row r="537" spans="1:10">
      <c r="A537" s="26" t="s">
        <v>887</v>
      </c>
      <c r="E537" s="26" t="s">
        <v>5582</v>
      </c>
      <c r="F537" s="39" t="str">
        <f t="shared" si="32"/>
        <v/>
      </c>
      <c r="G537" s="39" t="str">
        <f t="shared" si="33"/>
        <v/>
      </c>
      <c r="H537" s="39" t="str">
        <f t="shared" si="34"/>
        <v/>
      </c>
      <c r="I537" s="39" t="str">
        <f t="shared" si="35"/>
        <v/>
      </c>
      <c r="J537" s="39" t="str">
        <f>""</f>
        <v/>
      </c>
    </row>
    <row r="538" spans="1:10">
      <c r="A538" s="26" t="s">
        <v>890</v>
      </c>
      <c r="E538" s="26" t="s">
        <v>5582</v>
      </c>
      <c r="F538" s="39" t="str">
        <f t="shared" si="32"/>
        <v/>
      </c>
      <c r="G538" s="39" t="str">
        <f t="shared" si="33"/>
        <v/>
      </c>
      <c r="H538" s="39" t="str">
        <f t="shared" si="34"/>
        <v/>
      </c>
      <c r="I538" s="39" t="str">
        <f t="shared" si="35"/>
        <v/>
      </c>
      <c r="J538" s="39" t="str">
        <f>""</f>
        <v/>
      </c>
    </row>
    <row r="539" spans="1:10">
      <c r="A539" s="26" t="s">
        <v>891</v>
      </c>
      <c r="E539" s="26" t="s">
        <v>5582</v>
      </c>
      <c r="F539" s="39" t="str">
        <f t="shared" si="32"/>
        <v/>
      </c>
      <c r="G539" s="39" t="str">
        <f t="shared" si="33"/>
        <v/>
      </c>
      <c r="H539" s="39" t="str">
        <f t="shared" si="34"/>
        <v/>
      </c>
      <c r="I539" s="39" t="str">
        <f t="shared" si="35"/>
        <v/>
      </c>
      <c r="J539" s="39" t="str">
        <f>""</f>
        <v/>
      </c>
    </row>
    <row r="540" spans="1:10">
      <c r="A540" s="26" t="s">
        <v>894</v>
      </c>
      <c r="E540" s="26" t="s">
        <v>5582</v>
      </c>
      <c r="F540" s="39" t="str">
        <f t="shared" si="32"/>
        <v/>
      </c>
      <c r="G540" s="39" t="str">
        <f t="shared" si="33"/>
        <v/>
      </c>
      <c r="H540" s="39" t="str">
        <f t="shared" si="34"/>
        <v/>
      </c>
      <c r="I540" s="39" t="str">
        <f t="shared" si="35"/>
        <v/>
      </c>
      <c r="J540" s="39" t="str">
        <f>""</f>
        <v/>
      </c>
    </row>
    <row r="541" spans="1:10">
      <c r="A541" s="26" t="s">
        <v>896</v>
      </c>
      <c r="E541" s="26" t="s">
        <v>5582</v>
      </c>
      <c r="F541" s="39" t="str">
        <f t="shared" si="32"/>
        <v/>
      </c>
      <c r="G541" s="39" t="str">
        <f t="shared" si="33"/>
        <v/>
      </c>
      <c r="H541" s="39" t="str">
        <f t="shared" si="34"/>
        <v/>
      </c>
      <c r="I541" s="39" t="str">
        <f t="shared" si="35"/>
        <v/>
      </c>
      <c r="J541" s="39" t="str">
        <f>""</f>
        <v/>
      </c>
    </row>
    <row r="542" spans="1:10">
      <c r="A542" s="26" t="s">
        <v>898</v>
      </c>
      <c r="E542" s="26" t="s">
        <v>3790</v>
      </c>
      <c r="F542" s="39" t="str">
        <f t="shared" si="32"/>
        <v/>
      </c>
      <c r="G542" s="39" t="str">
        <f t="shared" si="33"/>
        <v/>
      </c>
      <c r="H542" s="39" t="str">
        <f t="shared" si="34"/>
        <v/>
      </c>
      <c r="I542" s="39" t="str">
        <f t="shared" si="35"/>
        <v/>
      </c>
      <c r="J542" s="39" t="str">
        <f>""</f>
        <v/>
      </c>
    </row>
    <row r="543" spans="1:10">
      <c r="A543" s="26" t="s">
        <v>901</v>
      </c>
      <c r="E543" s="26" t="s">
        <v>5582</v>
      </c>
      <c r="F543" s="39" t="str">
        <f t="shared" si="32"/>
        <v/>
      </c>
      <c r="G543" s="39" t="str">
        <f t="shared" si="33"/>
        <v/>
      </c>
      <c r="H543" s="39" t="str">
        <f t="shared" si="34"/>
        <v/>
      </c>
      <c r="I543" s="39" t="str">
        <f t="shared" si="35"/>
        <v/>
      </c>
      <c r="J543" s="39" t="str">
        <f>""</f>
        <v/>
      </c>
    </row>
    <row r="544" spans="1:10">
      <c r="A544" s="26" t="s">
        <v>902</v>
      </c>
      <c r="E544" s="26" t="s">
        <v>5582</v>
      </c>
      <c r="F544" s="39" t="str">
        <f t="shared" si="32"/>
        <v/>
      </c>
      <c r="G544" s="39" t="str">
        <f t="shared" si="33"/>
        <v/>
      </c>
      <c r="H544" s="39" t="str">
        <f t="shared" si="34"/>
        <v/>
      </c>
      <c r="I544" s="39" t="str">
        <f t="shared" si="35"/>
        <v/>
      </c>
      <c r="J544" s="39" t="str">
        <f>""</f>
        <v/>
      </c>
    </row>
    <row r="545" spans="1:10">
      <c r="A545" s="26" t="s">
        <v>905</v>
      </c>
      <c r="E545" s="26" t="s">
        <v>5582</v>
      </c>
      <c r="F545" s="39" t="str">
        <f t="shared" si="32"/>
        <v/>
      </c>
      <c r="G545" s="39" t="str">
        <f t="shared" si="33"/>
        <v/>
      </c>
      <c r="H545" s="39" t="str">
        <f t="shared" si="34"/>
        <v/>
      </c>
      <c r="I545" s="39" t="str">
        <f t="shared" si="35"/>
        <v/>
      </c>
      <c r="J545" s="39" t="str">
        <f>""</f>
        <v/>
      </c>
    </row>
    <row r="546" spans="1:10">
      <c r="A546" s="26" t="s">
        <v>906</v>
      </c>
      <c r="E546" s="26" t="s">
        <v>5582</v>
      </c>
      <c r="F546" s="39" t="str">
        <f t="shared" si="32"/>
        <v/>
      </c>
      <c r="G546" s="39" t="str">
        <f t="shared" si="33"/>
        <v/>
      </c>
      <c r="H546" s="39" t="str">
        <f t="shared" si="34"/>
        <v/>
      </c>
      <c r="I546" s="39" t="str">
        <f t="shared" si="35"/>
        <v/>
      </c>
      <c r="J546" s="39" t="str">
        <f>""</f>
        <v/>
      </c>
    </row>
    <row r="547" spans="1:10">
      <c r="A547" s="26" t="s">
        <v>909</v>
      </c>
      <c r="E547" s="26" t="s">
        <v>5582</v>
      </c>
      <c r="F547" s="39" t="str">
        <f t="shared" si="32"/>
        <v/>
      </c>
      <c r="G547" s="39" t="str">
        <f t="shared" si="33"/>
        <v/>
      </c>
      <c r="H547" s="39" t="str">
        <f t="shared" si="34"/>
        <v/>
      </c>
      <c r="I547" s="39" t="str">
        <f t="shared" si="35"/>
        <v/>
      </c>
      <c r="J547" s="39" t="str">
        <f>""</f>
        <v/>
      </c>
    </row>
    <row r="548" spans="1:10">
      <c r="A548" s="26" t="s">
        <v>910</v>
      </c>
      <c r="E548" s="26" t="s">
        <v>5582</v>
      </c>
      <c r="F548" s="39" t="str">
        <f t="shared" si="32"/>
        <v/>
      </c>
      <c r="G548" s="39" t="str">
        <f t="shared" si="33"/>
        <v/>
      </c>
      <c r="H548" s="39" t="str">
        <f t="shared" si="34"/>
        <v/>
      </c>
      <c r="I548" s="39" t="str">
        <f t="shared" si="35"/>
        <v/>
      </c>
      <c r="J548" s="39" t="str">
        <f>""</f>
        <v/>
      </c>
    </row>
    <row r="549" spans="1:10">
      <c r="A549" s="26" t="s">
        <v>913</v>
      </c>
      <c r="E549" s="26" t="s">
        <v>5582</v>
      </c>
      <c r="F549" s="39" t="str">
        <f t="shared" si="32"/>
        <v/>
      </c>
      <c r="G549" s="39" t="str">
        <f t="shared" si="33"/>
        <v/>
      </c>
      <c r="H549" s="39" t="str">
        <f t="shared" si="34"/>
        <v/>
      </c>
      <c r="I549" s="39" t="str">
        <f t="shared" si="35"/>
        <v/>
      </c>
      <c r="J549" s="39" t="str">
        <f>""</f>
        <v/>
      </c>
    </row>
    <row r="550" spans="1:10">
      <c r="A550" s="26" t="s">
        <v>914</v>
      </c>
      <c r="E550" s="26" t="s">
        <v>5582</v>
      </c>
      <c r="F550" s="39" t="str">
        <f t="shared" si="32"/>
        <v/>
      </c>
      <c r="G550" s="39" t="str">
        <f t="shared" si="33"/>
        <v/>
      </c>
      <c r="H550" s="39" t="str">
        <f t="shared" si="34"/>
        <v/>
      </c>
      <c r="I550" s="39" t="str">
        <f t="shared" si="35"/>
        <v/>
      </c>
      <c r="J550" s="39" t="str">
        <f>""</f>
        <v/>
      </c>
    </row>
    <row r="551" spans="1:10">
      <c r="A551" s="26" t="s">
        <v>916</v>
      </c>
      <c r="E551" s="26" t="s">
        <v>5582</v>
      </c>
      <c r="F551" s="39" t="str">
        <f t="shared" si="32"/>
        <v/>
      </c>
      <c r="G551" s="39" t="str">
        <f t="shared" si="33"/>
        <v/>
      </c>
      <c r="H551" s="39" t="str">
        <f t="shared" si="34"/>
        <v/>
      </c>
      <c r="I551" s="39" t="str">
        <f t="shared" si="35"/>
        <v/>
      </c>
      <c r="J551" s="39" t="str">
        <f>""</f>
        <v/>
      </c>
    </row>
    <row r="552" spans="1:10">
      <c r="A552" s="26" t="s">
        <v>3335</v>
      </c>
      <c r="E552" s="26" t="s">
        <v>5582</v>
      </c>
      <c r="F552" s="39" t="str">
        <f t="shared" si="32"/>
        <v/>
      </c>
      <c r="G552" s="39" t="str">
        <f t="shared" si="33"/>
        <v/>
      </c>
      <c r="H552" s="39" t="str">
        <f t="shared" si="34"/>
        <v/>
      </c>
      <c r="I552" s="39" t="str">
        <f t="shared" si="35"/>
        <v/>
      </c>
      <c r="J552" s="39" t="str">
        <f>""</f>
        <v/>
      </c>
    </row>
    <row r="553" spans="1:10">
      <c r="A553" s="26" t="s">
        <v>917</v>
      </c>
      <c r="E553" s="26" t="s">
        <v>5582</v>
      </c>
      <c r="F553" s="39" t="str">
        <f t="shared" si="32"/>
        <v/>
      </c>
      <c r="G553" s="39" t="str">
        <f t="shared" si="33"/>
        <v/>
      </c>
      <c r="H553" s="39" t="str">
        <f t="shared" si="34"/>
        <v/>
      </c>
      <c r="I553" s="39" t="str">
        <f t="shared" si="35"/>
        <v/>
      </c>
      <c r="J553" s="39" t="str">
        <f>""</f>
        <v/>
      </c>
    </row>
    <row r="554" spans="1:10">
      <c r="A554" s="26" t="s">
        <v>919</v>
      </c>
      <c r="E554" s="26" t="s">
        <v>5582</v>
      </c>
      <c r="F554" s="39" t="str">
        <f t="shared" si="32"/>
        <v/>
      </c>
      <c r="G554" s="39" t="str">
        <f t="shared" si="33"/>
        <v/>
      </c>
      <c r="H554" s="39" t="str">
        <f t="shared" si="34"/>
        <v/>
      </c>
      <c r="I554" s="39" t="str">
        <f t="shared" si="35"/>
        <v/>
      </c>
      <c r="J554" s="39" t="str">
        <f>""</f>
        <v/>
      </c>
    </row>
    <row r="555" spans="1:10">
      <c r="A555" s="26" t="s">
        <v>920</v>
      </c>
      <c r="E555" s="26" t="s">
        <v>3790</v>
      </c>
      <c r="F555" s="39" t="str">
        <f t="shared" si="32"/>
        <v/>
      </c>
      <c r="G555" s="39" t="str">
        <f t="shared" si="33"/>
        <v/>
      </c>
      <c r="H555" s="39" t="str">
        <f t="shared" si="34"/>
        <v/>
      </c>
      <c r="I555" s="39" t="str">
        <f t="shared" si="35"/>
        <v/>
      </c>
      <c r="J555" s="39" t="str">
        <f>""</f>
        <v/>
      </c>
    </row>
    <row r="556" spans="1:10">
      <c r="A556" s="26" t="s">
        <v>922</v>
      </c>
      <c r="E556" s="26" t="s">
        <v>5582</v>
      </c>
      <c r="F556" s="39" t="str">
        <f t="shared" si="32"/>
        <v/>
      </c>
      <c r="G556" s="39" t="str">
        <f t="shared" si="33"/>
        <v/>
      </c>
      <c r="H556" s="39" t="str">
        <f t="shared" si="34"/>
        <v/>
      </c>
      <c r="I556" s="39" t="str">
        <f t="shared" si="35"/>
        <v/>
      </c>
      <c r="J556" s="39" t="str">
        <f>""</f>
        <v/>
      </c>
    </row>
    <row r="557" spans="1:10">
      <c r="A557" s="26" t="s">
        <v>923</v>
      </c>
      <c r="E557" s="26" t="s">
        <v>3790</v>
      </c>
      <c r="F557" s="39" t="str">
        <f t="shared" si="32"/>
        <v/>
      </c>
      <c r="G557" s="39" t="str">
        <f t="shared" si="33"/>
        <v/>
      </c>
      <c r="H557" s="39" t="str">
        <f t="shared" si="34"/>
        <v/>
      </c>
      <c r="I557" s="39" t="str">
        <f t="shared" si="35"/>
        <v/>
      </c>
      <c r="J557" s="39" t="str">
        <f>""</f>
        <v/>
      </c>
    </row>
    <row r="558" spans="1:10">
      <c r="A558" s="26" t="s">
        <v>926</v>
      </c>
      <c r="E558" s="26" t="s">
        <v>5582</v>
      </c>
      <c r="F558" s="39" t="str">
        <f t="shared" si="32"/>
        <v/>
      </c>
      <c r="G558" s="39" t="str">
        <f t="shared" si="33"/>
        <v/>
      </c>
      <c r="H558" s="39" t="str">
        <f t="shared" si="34"/>
        <v/>
      </c>
      <c r="I558" s="39" t="str">
        <f t="shared" si="35"/>
        <v/>
      </c>
      <c r="J558" s="39" t="str">
        <f>""</f>
        <v/>
      </c>
    </row>
    <row r="559" spans="1:10">
      <c r="A559" s="26" t="s">
        <v>928</v>
      </c>
      <c r="C559" s="39">
        <v>75</v>
      </c>
      <c r="E559" s="26" t="s">
        <v>5582</v>
      </c>
      <c r="F559" s="39">
        <f t="shared" si="32"/>
        <v>75</v>
      </c>
      <c r="G559" s="39">
        <f t="shared" si="33"/>
        <v>75</v>
      </c>
      <c r="H559" s="39">
        <f t="shared" si="34"/>
        <v>75</v>
      </c>
      <c r="I559" s="39" t="str">
        <f t="shared" si="35"/>
        <v/>
      </c>
      <c r="J559" s="39" t="str">
        <f>""</f>
        <v/>
      </c>
    </row>
    <row r="560" spans="1:10">
      <c r="A560" s="26" t="s">
        <v>929</v>
      </c>
      <c r="E560" s="26" t="s">
        <v>5582</v>
      </c>
      <c r="F560" s="39" t="str">
        <f t="shared" si="32"/>
        <v/>
      </c>
      <c r="G560" s="39" t="str">
        <f t="shared" si="33"/>
        <v/>
      </c>
      <c r="H560" s="39" t="str">
        <f t="shared" si="34"/>
        <v/>
      </c>
      <c r="I560" s="39" t="str">
        <f t="shared" si="35"/>
        <v/>
      </c>
      <c r="J560" s="39" t="str">
        <f>""</f>
        <v/>
      </c>
    </row>
    <row r="561" spans="1:10">
      <c r="A561" s="26" t="s">
        <v>931</v>
      </c>
      <c r="E561" s="26" t="s">
        <v>5582</v>
      </c>
      <c r="F561" s="39" t="str">
        <f t="shared" si="32"/>
        <v/>
      </c>
      <c r="G561" s="39" t="str">
        <f t="shared" si="33"/>
        <v/>
      </c>
      <c r="H561" s="39" t="str">
        <f t="shared" si="34"/>
        <v/>
      </c>
      <c r="I561" s="39" t="str">
        <f t="shared" si="35"/>
        <v/>
      </c>
      <c r="J561" s="39" t="str">
        <f>""</f>
        <v/>
      </c>
    </row>
    <row r="562" spans="1:10">
      <c r="A562" s="26" t="s">
        <v>932</v>
      </c>
      <c r="E562" s="26" t="s">
        <v>5582</v>
      </c>
      <c r="F562" s="39" t="str">
        <f t="shared" si="32"/>
        <v/>
      </c>
      <c r="G562" s="39" t="str">
        <f t="shared" si="33"/>
        <v/>
      </c>
      <c r="H562" s="39" t="str">
        <f t="shared" si="34"/>
        <v/>
      </c>
      <c r="I562" s="39" t="str">
        <f t="shared" si="35"/>
        <v/>
      </c>
      <c r="J562" s="39" t="str">
        <f>""</f>
        <v/>
      </c>
    </row>
    <row r="563" spans="1:10">
      <c r="A563" s="26" t="s">
        <v>934</v>
      </c>
      <c r="E563" s="26" t="s">
        <v>5582</v>
      </c>
      <c r="F563" s="39" t="str">
        <f t="shared" si="32"/>
        <v/>
      </c>
      <c r="G563" s="39" t="str">
        <f t="shared" si="33"/>
        <v/>
      </c>
      <c r="H563" s="39" t="str">
        <f t="shared" si="34"/>
        <v/>
      </c>
      <c r="I563" s="39" t="str">
        <f t="shared" si="35"/>
        <v/>
      </c>
      <c r="J563" s="39" t="str">
        <f>""</f>
        <v/>
      </c>
    </row>
    <row r="564" spans="1:10">
      <c r="A564" s="26" t="s">
        <v>935</v>
      </c>
      <c r="E564" s="26" t="s">
        <v>3790</v>
      </c>
      <c r="F564" s="39" t="str">
        <f t="shared" si="32"/>
        <v/>
      </c>
      <c r="G564" s="39" t="str">
        <f t="shared" si="33"/>
        <v/>
      </c>
      <c r="H564" s="39" t="str">
        <f t="shared" si="34"/>
        <v/>
      </c>
      <c r="I564" s="39" t="str">
        <f t="shared" si="35"/>
        <v/>
      </c>
      <c r="J564" s="39" t="str">
        <f>""</f>
        <v/>
      </c>
    </row>
    <row r="565" spans="1:10">
      <c r="A565" s="26" t="s">
        <v>937</v>
      </c>
      <c r="E565" s="26" t="s">
        <v>5582</v>
      </c>
      <c r="F565" s="39" t="str">
        <f t="shared" si="32"/>
        <v/>
      </c>
      <c r="G565" s="39" t="str">
        <f t="shared" si="33"/>
        <v/>
      </c>
      <c r="H565" s="39" t="str">
        <f t="shared" si="34"/>
        <v/>
      </c>
      <c r="I565" s="39" t="str">
        <f t="shared" si="35"/>
        <v/>
      </c>
      <c r="J565" s="39" t="str">
        <f>""</f>
        <v/>
      </c>
    </row>
    <row r="566" spans="1:10">
      <c r="A566" s="26" t="s">
        <v>938</v>
      </c>
      <c r="E566" s="26" t="s">
        <v>5582</v>
      </c>
      <c r="F566" s="39" t="str">
        <f t="shared" si="32"/>
        <v/>
      </c>
      <c r="G566" s="39" t="str">
        <f t="shared" si="33"/>
        <v/>
      </c>
      <c r="H566" s="39" t="str">
        <f t="shared" si="34"/>
        <v/>
      </c>
      <c r="I566" s="39" t="str">
        <f t="shared" si="35"/>
        <v/>
      </c>
      <c r="J566" s="39" t="str">
        <f>""</f>
        <v/>
      </c>
    </row>
    <row r="567" spans="1:10">
      <c r="A567" s="26" t="s">
        <v>941</v>
      </c>
      <c r="E567" s="26" t="s">
        <v>5582</v>
      </c>
      <c r="F567" s="39" t="str">
        <f t="shared" si="32"/>
        <v/>
      </c>
      <c r="G567" s="39" t="str">
        <f t="shared" si="33"/>
        <v/>
      </c>
      <c r="H567" s="39" t="str">
        <f t="shared" si="34"/>
        <v/>
      </c>
      <c r="I567" s="39" t="str">
        <f t="shared" si="35"/>
        <v/>
      </c>
      <c r="J567" s="39" t="str">
        <f>""</f>
        <v/>
      </c>
    </row>
    <row r="568" spans="1:10">
      <c r="A568" s="26" t="s">
        <v>942</v>
      </c>
      <c r="E568" s="26" t="s">
        <v>5582</v>
      </c>
      <c r="F568" s="39" t="str">
        <f t="shared" si="32"/>
        <v/>
      </c>
      <c r="G568" s="39" t="str">
        <f t="shared" si="33"/>
        <v/>
      </c>
      <c r="H568" s="39" t="str">
        <f t="shared" si="34"/>
        <v/>
      </c>
      <c r="I568" s="39" t="str">
        <f t="shared" si="35"/>
        <v/>
      </c>
      <c r="J568" s="39" t="str">
        <f>""</f>
        <v/>
      </c>
    </row>
    <row r="569" spans="1:10">
      <c r="A569" s="26" t="s">
        <v>944</v>
      </c>
      <c r="E569" s="26" t="s">
        <v>3790</v>
      </c>
      <c r="F569" s="39" t="str">
        <f t="shared" si="32"/>
        <v/>
      </c>
      <c r="G569" s="39" t="str">
        <f t="shared" si="33"/>
        <v/>
      </c>
      <c r="H569" s="39" t="str">
        <f t="shared" si="34"/>
        <v/>
      </c>
      <c r="I569" s="39" t="str">
        <f t="shared" si="35"/>
        <v/>
      </c>
      <c r="J569" s="39" t="str">
        <f>""</f>
        <v/>
      </c>
    </row>
    <row r="570" spans="1:10">
      <c r="A570" s="26" t="s">
        <v>947</v>
      </c>
      <c r="E570" s="26" t="s">
        <v>5582</v>
      </c>
      <c r="F570" s="39" t="str">
        <f t="shared" si="32"/>
        <v/>
      </c>
      <c r="G570" s="39" t="str">
        <f t="shared" si="33"/>
        <v/>
      </c>
      <c r="H570" s="39" t="str">
        <f t="shared" si="34"/>
        <v/>
      </c>
      <c r="I570" s="39" t="str">
        <f t="shared" si="35"/>
        <v/>
      </c>
      <c r="J570" s="39" t="str">
        <f>""</f>
        <v/>
      </c>
    </row>
    <row r="571" spans="1:10">
      <c r="A571" s="26" t="s">
        <v>950</v>
      </c>
      <c r="E571" s="26" t="s">
        <v>5582</v>
      </c>
      <c r="F571" s="39" t="str">
        <f t="shared" si="32"/>
        <v/>
      </c>
      <c r="G571" s="39" t="str">
        <f t="shared" si="33"/>
        <v/>
      </c>
      <c r="H571" s="39" t="str">
        <f t="shared" si="34"/>
        <v/>
      </c>
      <c r="I571" s="39" t="str">
        <f t="shared" si="35"/>
        <v/>
      </c>
      <c r="J571" s="39" t="str">
        <f>""</f>
        <v/>
      </c>
    </row>
    <row r="572" spans="1:10">
      <c r="A572" s="26" t="s">
        <v>951</v>
      </c>
      <c r="E572" s="26" t="s">
        <v>5582</v>
      </c>
      <c r="F572" s="39" t="str">
        <f t="shared" si="32"/>
        <v/>
      </c>
      <c r="G572" s="39" t="str">
        <f t="shared" si="33"/>
        <v/>
      </c>
      <c r="H572" s="39" t="str">
        <f t="shared" si="34"/>
        <v/>
      </c>
      <c r="I572" s="39" t="str">
        <f t="shared" si="35"/>
        <v/>
      </c>
      <c r="J572" s="39" t="str">
        <f>""</f>
        <v/>
      </c>
    </row>
    <row r="573" spans="1:10">
      <c r="A573" s="26" t="s">
        <v>953</v>
      </c>
      <c r="E573" s="26" t="s">
        <v>5582</v>
      </c>
      <c r="F573" s="39" t="str">
        <f t="shared" si="32"/>
        <v/>
      </c>
      <c r="G573" s="39" t="str">
        <f t="shared" si="33"/>
        <v/>
      </c>
      <c r="H573" s="39" t="str">
        <f t="shared" si="34"/>
        <v/>
      </c>
      <c r="I573" s="39" t="str">
        <f t="shared" si="35"/>
        <v/>
      </c>
      <c r="J573" s="39" t="str">
        <f>""</f>
        <v/>
      </c>
    </row>
    <row r="574" spans="1:10">
      <c r="A574" s="26" t="s">
        <v>954</v>
      </c>
      <c r="E574" s="26" t="s">
        <v>5582</v>
      </c>
      <c r="F574" s="39" t="str">
        <f t="shared" si="32"/>
        <v/>
      </c>
      <c r="G574" s="39" t="str">
        <f t="shared" si="33"/>
        <v/>
      </c>
      <c r="H574" s="39" t="str">
        <f t="shared" si="34"/>
        <v/>
      </c>
      <c r="I574" s="39" t="str">
        <f t="shared" si="35"/>
        <v/>
      </c>
      <c r="J574" s="39" t="str">
        <f>""</f>
        <v/>
      </c>
    </row>
    <row r="575" spans="1:10">
      <c r="A575" s="26" t="s">
        <v>957</v>
      </c>
      <c r="E575" s="26" t="s">
        <v>5582</v>
      </c>
      <c r="F575" s="39" t="str">
        <f t="shared" si="32"/>
        <v/>
      </c>
      <c r="G575" s="39" t="str">
        <f t="shared" si="33"/>
        <v/>
      </c>
      <c r="H575" s="39" t="str">
        <f t="shared" si="34"/>
        <v/>
      </c>
      <c r="I575" s="39" t="str">
        <f t="shared" si="35"/>
        <v/>
      </c>
      <c r="J575" s="39" t="str">
        <f>""</f>
        <v/>
      </c>
    </row>
    <row r="576" spans="1:10">
      <c r="A576" s="26" t="s">
        <v>958</v>
      </c>
      <c r="E576" s="26" t="s">
        <v>5582</v>
      </c>
      <c r="F576" s="39" t="str">
        <f t="shared" si="32"/>
        <v/>
      </c>
      <c r="G576" s="39" t="str">
        <f t="shared" si="33"/>
        <v/>
      </c>
      <c r="H576" s="39" t="str">
        <f t="shared" si="34"/>
        <v/>
      </c>
      <c r="I576" s="39" t="str">
        <f t="shared" si="35"/>
        <v/>
      </c>
      <c r="J576" s="39" t="str">
        <f>""</f>
        <v/>
      </c>
    </row>
    <row r="577" spans="1:10">
      <c r="A577" s="26" t="s">
        <v>960</v>
      </c>
      <c r="E577" s="26" t="s">
        <v>5582</v>
      </c>
      <c r="F577" s="39" t="str">
        <f t="shared" si="32"/>
        <v/>
      </c>
      <c r="G577" s="39" t="str">
        <f t="shared" si="33"/>
        <v/>
      </c>
      <c r="H577" s="39" t="str">
        <f t="shared" si="34"/>
        <v/>
      </c>
      <c r="I577" s="39" t="str">
        <f t="shared" si="35"/>
        <v/>
      </c>
      <c r="J577" s="39" t="str">
        <f>""</f>
        <v/>
      </c>
    </row>
    <row r="578" spans="1:10">
      <c r="A578" s="26" t="s">
        <v>961</v>
      </c>
      <c r="E578" s="26" t="s">
        <v>5582</v>
      </c>
      <c r="F578" s="39" t="str">
        <f t="shared" si="32"/>
        <v/>
      </c>
      <c r="G578" s="39" t="str">
        <f t="shared" si="33"/>
        <v/>
      </c>
      <c r="H578" s="39" t="str">
        <f t="shared" si="34"/>
        <v/>
      </c>
      <c r="I578" s="39" t="str">
        <f t="shared" si="35"/>
        <v/>
      </c>
      <c r="J578" s="39" t="str">
        <f>""</f>
        <v/>
      </c>
    </row>
    <row r="579" spans="1:10">
      <c r="A579" s="26" t="s">
        <v>963</v>
      </c>
      <c r="E579" s="26" t="s">
        <v>5582</v>
      </c>
      <c r="F579" s="39" t="str">
        <f t="shared" ref="F579:F642" si="36">IF(C579="","",IF(C579&lt;99,C579,""))</f>
        <v/>
      </c>
      <c r="G579" s="39" t="str">
        <f t="shared" ref="G579:G642" si="37">IF(OR(F579&lt;&gt;"",D579&lt;&gt;""),C579,"")</f>
        <v/>
      </c>
      <c r="H579" s="39" t="str">
        <f t="shared" ref="H579:H642" si="38">IF(C579="","",C579)</f>
        <v/>
      </c>
      <c r="I579" s="39" t="str">
        <f t="shared" ref="I579:I642" si="39">IF(AND(C579&lt;&gt;"",D579&lt;&gt;""),C579,"")</f>
        <v/>
      </c>
      <c r="J579" s="39" t="str">
        <f>""</f>
        <v/>
      </c>
    </row>
    <row r="580" spans="1:10">
      <c r="A580" s="26" t="s">
        <v>966</v>
      </c>
      <c r="E580" s="26" t="s">
        <v>5582</v>
      </c>
      <c r="F580" s="39" t="str">
        <f t="shared" si="36"/>
        <v/>
      </c>
      <c r="G580" s="39" t="str">
        <f t="shared" si="37"/>
        <v/>
      </c>
      <c r="H580" s="39" t="str">
        <f t="shared" si="38"/>
        <v/>
      </c>
      <c r="I580" s="39" t="str">
        <f t="shared" si="39"/>
        <v/>
      </c>
      <c r="J580" s="39" t="str">
        <f>""</f>
        <v/>
      </c>
    </row>
    <row r="581" spans="1:10">
      <c r="A581" s="26" t="s">
        <v>968</v>
      </c>
      <c r="E581" s="26" t="s">
        <v>3790</v>
      </c>
      <c r="F581" s="39" t="str">
        <f t="shared" si="36"/>
        <v/>
      </c>
      <c r="G581" s="39" t="str">
        <f t="shared" si="37"/>
        <v/>
      </c>
      <c r="H581" s="39" t="str">
        <f t="shared" si="38"/>
        <v/>
      </c>
      <c r="I581" s="39" t="str">
        <f t="shared" si="39"/>
        <v/>
      </c>
      <c r="J581" s="39" t="str">
        <f>""</f>
        <v/>
      </c>
    </row>
    <row r="582" spans="1:10">
      <c r="A582" s="26" t="s">
        <v>970</v>
      </c>
      <c r="E582" s="26" t="s">
        <v>3790</v>
      </c>
      <c r="F582" s="39" t="str">
        <f t="shared" si="36"/>
        <v/>
      </c>
      <c r="G582" s="39" t="str">
        <f t="shared" si="37"/>
        <v/>
      </c>
      <c r="H582" s="39" t="str">
        <f t="shared" si="38"/>
        <v/>
      </c>
      <c r="I582" s="39" t="str">
        <f t="shared" si="39"/>
        <v/>
      </c>
      <c r="J582" s="39" t="str">
        <f>""</f>
        <v/>
      </c>
    </row>
    <row r="583" spans="1:10">
      <c r="A583" s="26" t="s">
        <v>971</v>
      </c>
      <c r="E583" s="26" t="s">
        <v>5582</v>
      </c>
      <c r="F583" s="39" t="str">
        <f t="shared" si="36"/>
        <v/>
      </c>
      <c r="G583" s="39" t="str">
        <f t="shared" si="37"/>
        <v/>
      </c>
      <c r="H583" s="39" t="str">
        <f t="shared" si="38"/>
        <v/>
      </c>
      <c r="I583" s="39" t="str">
        <f t="shared" si="39"/>
        <v/>
      </c>
      <c r="J583" s="39" t="str">
        <f>""</f>
        <v/>
      </c>
    </row>
    <row r="584" spans="1:10">
      <c r="A584" s="26" t="s">
        <v>973</v>
      </c>
      <c r="E584" s="26" t="s">
        <v>5582</v>
      </c>
      <c r="F584" s="39" t="str">
        <f t="shared" si="36"/>
        <v/>
      </c>
      <c r="G584" s="39" t="str">
        <f t="shared" si="37"/>
        <v/>
      </c>
      <c r="H584" s="39" t="str">
        <f t="shared" si="38"/>
        <v/>
      </c>
      <c r="I584" s="39" t="str">
        <f t="shared" si="39"/>
        <v/>
      </c>
      <c r="J584" s="39" t="str">
        <f>""</f>
        <v/>
      </c>
    </row>
    <row r="585" spans="1:10">
      <c r="A585" s="26" t="s">
        <v>974</v>
      </c>
      <c r="E585" s="26" t="s">
        <v>5582</v>
      </c>
      <c r="F585" s="39" t="str">
        <f t="shared" si="36"/>
        <v/>
      </c>
      <c r="G585" s="39" t="str">
        <f t="shared" si="37"/>
        <v/>
      </c>
      <c r="H585" s="39" t="str">
        <f t="shared" si="38"/>
        <v/>
      </c>
      <c r="I585" s="39" t="str">
        <f t="shared" si="39"/>
        <v/>
      </c>
      <c r="J585" s="39" t="str">
        <f>""</f>
        <v/>
      </c>
    </row>
    <row r="586" spans="1:10">
      <c r="A586" s="26" t="s">
        <v>977</v>
      </c>
      <c r="E586" s="26" t="s">
        <v>5582</v>
      </c>
      <c r="F586" s="39" t="str">
        <f t="shared" si="36"/>
        <v/>
      </c>
      <c r="G586" s="39" t="str">
        <f t="shared" si="37"/>
        <v/>
      </c>
      <c r="H586" s="39" t="str">
        <f t="shared" si="38"/>
        <v/>
      </c>
      <c r="I586" s="39" t="str">
        <f t="shared" si="39"/>
        <v/>
      </c>
      <c r="J586" s="39" t="str">
        <f>""</f>
        <v/>
      </c>
    </row>
    <row r="587" spans="1:10">
      <c r="A587" s="26" t="s">
        <v>979</v>
      </c>
      <c r="E587" s="26" t="s">
        <v>5582</v>
      </c>
      <c r="F587" s="39" t="str">
        <f t="shared" si="36"/>
        <v/>
      </c>
      <c r="G587" s="39" t="str">
        <f t="shared" si="37"/>
        <v/>
      </c>
      <c r="H587" s="39" t="str">
        <f t="shared" si="38"/>
        <v/>
      </c>
      <c r="I587" s="39" t="str">
        <f t="shared" si="39"/>
        <v/>
      </c>
      <c r="J587" s="39" t="str">
        <f>""</f>
        <v/>
      </c>
    </row>
    <row r="588" spans="1:10">
      <c r="A588" s="26" t="s">
        <v>982</v>
      </c>
      <c r="E588" s="26" t="s">
        <v>5582</v>
      </c>
      <c r="F588" s="39" t="str">
        <f t="shared" si="36"/>
        <v/>
      </c>
      <c r="G588" s="39" t="str">
        <f t="shared" si="37"/>
        <v/>
      </c>
      <c r="H588" s="39" t="str">
        <f t="shared" si="38"/>
        <v/>
      </c>
      <c r="I588" s="39" t="str">
        <f t="shared" si="39"/>
        <v/>
      </c>
      <c r="J588" s="39" t="str">
        <f>""</f>
        <v/>
      </c>
    </row>
    <row r="589" spans="1:10">
      <c r="A589" s="26" t="s">
        <v>985</v>
      </c>
      <c r="E589" s="26" t="s">
        <v>5582</v>
      </c>
      <c r="F589" s="39" t="str">
        <f t="shared" si="36"/>
        <v/>
      </c>
      <c r="G589" s="39" t="str">
        <f t="shared" si="37"/>
        <v/>
      </c>
      <c r="H589" s="39" t="str">
        <f t="shared" si="38"/>
        <v/>
      </c>
      <c r="I589" s="39" t="str">
        <f t="shared" si="39"/>
        <v/>
      </c>
      <c r="J589" s="39" t="str">
        <f>""</f>
        <v/>
      </c>
    </row>
    <row r="590" spans="1:10">
      <c r="A590" s="26" t="s">
        <v>988</v>
      </c>
      <c r="E590" s="26" t="s">
        <v>5582</v>
      </c>
      <c r="F590" s="39" t="str">
        <f t="shared" si="36"/>
        <v/>
      </c>
      <c r="G590" s="39" t="str">
        <f t="shared" si="37"/>
        <v/>
      </c>
      <c r="H590" s="39" t="str">
        <f t="shared" si="38"/>
        <v/>
      </c>
      <c r="I590" s="39" t="str">
        <f t="shared" si="39"/>
        <v/>
      </c>
      <c r="J590" s="39" t="str">
        <f>""</f>
        <v/>
      </c>
    </row>
    <row r="591" spans="1:10">
      <c r="A591" s="26" t="s">
        <v>989</v>
      </c>
      <c r="E591" s="26" t="s">
        <v>5582</v>
      </c>
      <c r="F591" s="39" t="str">
        <f t="shared" si="36"/>
        <v/>
      </c>
      <c r="G591" s="39" t="str">
        <f t="shared" si="37"/>
        <v/>
      </c>
      <c r="H591" s="39" t="str">
        <f t="shared" si="38"/>
        <v/>
      </c>
      <c r="I591" s="39" t="str">
        <f t="shared" si="39"/>
        <v/>
      </c>
      <c r="J591" s="39" t="str">
        <f>""</f>
        <v/>
      </c>
    </row>
    <row r="592" spans="1:10">
      <c r="A592" s="26" t="s">
        <v>993</v>
      </c>
      <c r="E592" s="26" t="s">
        <v>5582</v>
      </c>
      <c r="F592" s="39" t="str">
        <f t="shared" si="36"/>
        <v/>
      </c>
      <c r="G592" s="39" t="str">
        <f t="shared" si="37"/>
        <v/>
      </c>
      <c r="H592" s="39" t="str">
        <f t="shared" si="38"/>
        <v/>
      </c>
      <c r="I592" s="39" t="str">
        <f t="shared" si="39"/>
        <v/>
      </c>
      <c r="J592" s="39" t="str">
        <f>""</f>
        <v/>
      </c>
    </row>
    <row r="593" spans="1:10">
      <c r="A593" s="26" t="s">
        <v>994</v>
      </c>
      <c r="E593" s="26" t="s">
        <v>5582</v>
      </c>
      <c r="F593" s="39" t="str">
        <f t="shared" si="36"/>
        <v/>
      </c>
      <c r="G593" s="39" t="str">
        <f t="shared" si="37"/>
        <v/>
      </c>
      <c r="H593" s="39" t="str">
        <f t="shared" si="38"/>
        <v/>
      </c>
      <c r="I593" s="39" t="str">
        <f t="shared" si="39"/>
        <v/>
      </c>
      <c r="J593" s="39" t="str">
        <f>""</f>
        <v/>
      </c>
    </row>
    <row r="594" spans="1:10">
      <c r="A594" s="26" t="s">
        <v>997</v>
      </c>
      <c r="E594" s="26" t="s">
        <v>5582</v>
      </c>
      <c r="F594" s="39" t="str">
        <f t="shared" si="36"/>
        <v/>
      </c>
      <c r="G594" s="39" t="str">
        <f t="shared" si="37"/>
        <v/>
      </c>
      <c r="H594" s="39" t="str">
        <f t="shared" si="38"/>
        <v/>
      </c>
      <c r="I594" s="39" t="str">
        <f t="shared" si="39"/>
        <v/>
      </c>
      <c r="J594" s="39" t="str">
        <f>""</f>
        <v/>
      </c>
    </row>
    <row r="595" spans="1:10">
      <c r="A595" s="26" t="s">
        <v>999</v>
      </c>
      <c r="E595" s="26" t="s">
        <v>5582</v>
      </c>
      <c r="F595" s="39" t="str">
        <f t="shared" si="36"/>
        <v/>
      </c>
      <c r="G595" s="39" t="str">
        <f t="shared" si="37"/>
        <v/>
      </c>
      <c r="H595" s="39" t="str">
        <f t="shared" si="38"/>
        <v/>
      </c>
      <c r="I595" s="39" t="str">
        <f t="shared" si="39"/>
        <v/>
      </c>
      <c r="J595" s="39" t="str">
        <f>""</f>
        <v/>
      </c>
    </row>
    <row r="596" spans="1:10">
      <c r="A596" s="26" t="s">
        <v>1001</v>
      </c>
      <c r="E596" s="26" t="s">
        <v>5582</v>
      </c>
      <c r="F596" s="39" t="str">
        <f t="shared" si="36"/>
        <v/>
      </c>
      <c r="G596" s="39" t="str">
        <f t="shared" si="37"/>
        <v/>
      </c>
      <c r="H596" s="39" t="str">
        <f t="shared" si="38"/>
        <v/>
      </c>
      <c r="I596" s="39" t="str">
        <f t="shared" si="39"/>
        <v/>
      </c>
      <c r="J596" s="39" t="str">
        <f>""</f>
        <v/>
      </c>
    </row>
    <row r="597" spans="1:10">
      <c r="A597" s="26" t="s">
        <v>1002</v>
      </c>
      <c r="E597" s="26" t="s">
        <v>5582</v>
      </c>
      <c r="F597" s="39" t="str">
        <f t="shared" si="36"/>
        <v/>
      </c>
      <c r="G597" s="39" t="str">
        <f t="shared" si="37"/>
        <v/>
      </c>
      <c r="H597" s="39" t="str">
        <f t="shared" si="38"/>
        <v/>
      </c>
      <c r="I597" s="39" t="str">
        <f t="shared" si="39"/>
        <v/>
      </c>
      <c r="J597" s="39" t="str">
        <f>""</f>
        <v/>
      </c>
    </row>
    <row r="598" spans="1:10">
      <c r="A598" s="26" t="s">
        <v>1005</v>
      </c>
      <c r="C598" s="39">
        <v>50</v>
      </c>
      <c r="E598" s="26" t="s">
        <v>5582</v>
      </c>
      <c r="F598" s="39">
        <f t="shared" si="36"/>
        <v>50</v>
      </c>
      <c r="G598" s="39">
        <f t="shared" si="37"/>
        <v>50</v>
      </c>
      <c r="H598" s="39">
        <f t="shared" si="38"/>
        <v>50</v>
      </c>
      <c r="I598" s="39" t="str">
        <f t="shared" si="39"/>
        <v/>
      </c>
      <c r="J598" s="39" t="str">
        <f>""</f>
        <v/>
      </c>
    </row>
    <row r="599" spans="1:10">
      <c r="A599" s="26" t="s">
        <v>1006</v>
      </c>
      <c r="E599" s="26" t="s">
        <v>5582</v>
      </c>
      <c r="F599" s="39" t="str">
        <f t="shared" si="36"/>
        <v/>
      </c>
      <c r="G599" s="39" t="str">
        <f t="shared" si="37"/>
        <v/>
      </c>
      <c r="H599" s="39" t="str">
        <f t="shared" si="38"/>
        <v/>
      </c>
      <c r="I599" s="39" t="str">
        <f t="shared" si="39"/>
        <v/>
      </c>
      <c r="J599" s="39" t="str">
        <f>""</f>
        <v/>
      </c>
    </row>
    <row r="600" spans="1:10">
      <c r="A600" s="26" t="s">
        <v>1009</v>
      </c>
      <c r="C600" s="39">
        <v>200</v>
      </c>
      <c r="E600" s="26" t="s">
        <v>5582</v>
      </c>
      <c r="F600" s="39" t="str">
        <f t="shared" si="36"/>
        <v/>
      </c>
      <c r="G600" s="39" t="str">
        <f t="shared" si="37"/>
        <v/>
      </c>
      <c r="H600" s="39">
        <f t="shared" si="38"/>
        <v>200</v>
      </c>
      <c r="I600" s="39" t="str">
        <f t="shared" si="39"/>
        <v/>
      </c>
      <c r="J600" s="39" t="str">
        <f>""</f>
        <v/>
      </c>
    </row>
    <row r="601" spans="1:10">
      <c r="A601" s="26" t="s">
        <v>3908</v>
      </c>
      <c r="E601" s="26" t="s">
        <v>3790</v>
      </c>
      <c r="F601" s="39" t="str">
        <f t="shared" si="36"/>
        <v/>
      </c>
      <c r="G601" s="39" t="str">
        <f t="shared" si="37"/>
        <v/>
      </c>
      <c r="H601" s="39" t="str">
        <f t="shared" si="38"/>
        <v/>
      </c>
      <c r="I601" s="39" t="str">
        <f t="shared" si="39"/>
        <v/>
      </c>
      <c r="J601" s="39" t="str">
        <f>""</f>
        <v/>
      </c>
    </row>
    <row r="602" spans="1:10">
      <c r="A602" s="26" t="s">
        <v>1010</v>
      </c>
      <c r="E602" s="26" t="s">
        <v>5582</v>
      </c>
      <c r="F602" s="39" t="str">
        <f t="shared" si="36"/>
        <v/>
      </c>
      <c r="G602" s="39" t="str">
        <f t="shared" si="37"/>
        <v/>
      </c>
      <c r="H602" s="39" t="str">
        <f t="shared" si="38"/>
        <v/>
      </c>
      <c r="I602" s="39" t="str">
        <f t="shared" si="39"/>
        <v/>
      </c>
      <c r="J602" s="39" t="str">
        <f>""</f>
        <v/>
      </c>
    </row>
    <row r="603" spans="1:10">
      <c r="A603" s="26" t="s">
        <v>1012</v>
      </c>
      <c r="E603" s="26" t="s">
        <v>5582</v>
      </c>
      <c r="F603" s="39" t="str">
        <f t="shared" si="36"/>
        <v/>
      </c>
      <c r="G603" s="39" t="str">
        <f t="shared" si="37"/>
        <v/>
      </c>
      <c r="H603" s="39" t="str">
        <f t="shared" si="38"/>
        <v/>
      </c>
      <c r="I603" s="39" t="str">
        <f t="shared" si="39"/>
        <v/>
      </c>
      <c r="J603" s="39" t="str">
        <f>""</f>
        <v/>
      </c>
    </row>
    <row r="604" spans="1:10">
      <c r="A604" s="26" t="s">
        <v>1014</v>
      </c>
      <c r="E604" s="26" t="s">
        <v>5582</v>
      </c>
      <c r="F604" s="39" t="str">
        <f t="shared" si="36"/>
        <v/>
      </c>
      <c r="G604" s="39" t="str">
        <f t="shared" si="37"/>
        <v/>
      </c>
      <c r="H604" s="39" t="str">
        <f t="shared" si="38"/>
        <v/>
      </c>
      <c r="I604" s="39" t="str">
        <f t="shared" si="39"/>
        <v/>
      </c>
      <c r="J604" s="39" t="str">
        <f>""</f>
        <v/>
      </c>
    </row>
    <row r="605" spans="1:10">
      <c r="A605" s="26" t="s">
        <v>1017</v>
      </c>
      <c r="E605" s="26" t="s">
        <v>5582</v>
      </c>
      <c r="F605" s="39" t="str">
        <f t="shared" si="36"/>
        <v/>
      </c>
      <c r="G605" s="39" t="str">
        <f t="shared" si="37"/>
        <v/>
      </c>
      <c r="H605" s="39" t="str">
        <f t="shared" si="38"/>
        <v/>
      </c>
      <c r="I605" s="39" t="str">
        <f t="shared" si="39"/>
        <v/>
      </c>
      <c r="J605" s="39" t="str">
        <f>""</f>
        <v/>
      </c>
    </row>
    <row r="606" spans="1:10">
      <c r="A606" s="26" t="s">
        <v>1020</v>
      </c>
      <c r="E606" s="26" t="s">
        <v>5582</v>
      </c>
      <c r="F606" s="39" t="str">
        <f t="shared" si="36"/>
        <v/>
      </c>
      <c r="G606" s="39" t="str">
        <f t="shared" si="37"/>
        <v/>
      </c>
      <c r="H606" s="39" t="str">
        <f t="shared" si="38"/>
        <v/>
      </c>
      <c r="I606" s="39" t="str">
        <f t="shared" si="39"/>
        <v/>
      </c>
      <c r="J606" s="39" t="str">
        <f>""</f>
        <v/>
      </c>
    </row>
    <row r="607" spans="1:10">
      <c r="A607" s="26" t="s">
        <v>1023</v>
      </c>
      <c r="C607" s="39">
        <v>25</v>
      </c>
      <c r="D607" s="39" t="s">
        <v>3891</v>
      </c>
      <c r="E607" s="26" t="s">
        <v>5582</v>
      </c>
      <c r="F607" s="39">
        <f t="shared" si="36"/>
        <v>25</v>
      </c>
      <c r="G607" s="39">
        <f t="shared" si="37"/>
        <v>25</v>
      </c>
      <c r="H607" s="39">
        <f t="shared" si="38"/>
        <v>25</v>
      </c>
      <c r="I607" s="39">
        <f t="shared" si="39"/>
        <v>25</v>
      </c>
      <c r="J607" s="39" t="str">
        <f>""</f>
        <v/>
      </c>
    </row>
    <row r="608" spans="1:10">
      <c r="A608" s="26" t="s">
        <v>1025</v>
      </c>
      <c r="E608" s="26" t="s">
        <v>5582</v>
      </c>
      <c r="F608" s="39" t="str">
        <f t="shared" si="36"/>
        <v/>
      </c>
      <c r="G608" s="39" t="str">
        <f t="shared" si="37"/>
        <v/>
      </c>
      <c r="H608" s="39" t="str">
        <f t="shared" si="38"/>
        <v/>
      </c>
      <c r="I608" s="39" t="str">
        <f t="shared" si="39"/>
        <v/>
      </c>
      <c r="J608" s="39" t="str">
        <f>""</f>
        <v/>
      </c>
    </row>
    <row r="609" spans="1:10">
      <c r="A609" s="26" t="s">
        <v>1029</v>
      </c>
      <c r="E609" s="26" t="s">
        <v>5582</v>
      </c>
      <c r="F609" s="39" t="str">
        <f t="shared" si="36"/>
        <v/>
      </c>
      <c r="G609" s="39" t="str">
        <f t="shared" si="37"/>
        <v/>
      </c>
      <c r="H609" s="39" t="str">
        <f t="shared" si="38"/>
        <v/>
      </c>
      <c r="I609" s="39" t="str">
        <f t="shared" si="39"/>
        <v/>
      </c>
      <c r="J609" s="39" t="str">
        <f>""</f>
        <v/>
      </c>
    </row>
    <row r="610" spans="1:10">
      <c r="A610" s="26" t="s">
        <v>1030</v>
      </c>
      <c r="E610" s="26" t="s">
        <v>3790</v>
      </c>
      <c r="F610" s="39" t="str">
        <f t="shared" si="36"/>
        <v/>
      </c>
      <c r="G610" s="39" t="str">
        <f t="shared" si="37"/>
        <v/>
      </c>
      <c r="H610" s="39" t="str">
        <f t="shared" si="38"/>
        <v/>
      </c>
      <c r="I610" s="39" t="str">
        <f t="shared" si="39"/>
        <v/>
      </c>
      <c r="J610" s="39" t="str">
        <f>""</f>
        <v/>
      </c>
    </row>
    <row r="611" spans="1:10">
      <c r="A611" s="26" t="s">
        <v>1033</v>
      </c>
      <c r="E611" s="26" t="s">
        <v>3790</v>
      </c>
      <c r="F611" s="39" t="str">
        <f t="shared" si="36"/>
        <v/>
      </c>
      <c r="G611" s="39" t="str">
        <f t="shared" si="37"/>
        <v/>
      </c>
      <c r="H611" s="39" t="str">
        <f t="shared" si="38"/>
        <v/>
      </c>
      <c r="I611" s="39" t="str">
        <f t="shared" si="39"/>
        <v/>
      </c>
      <c r="J611" s="39" t="str">
        <f>""</f>
        <v/>
      </c>
    </row>
    <row r="612" spans="1:10">
      <c r="A612" s="26" t="s">
        <v>1035</v>
      </c>
      <c r="E612" s="26" t="s">
        <v>5582</v>
      </c>
      <c r="F612" s="39" t="str">
        <f t="shared" si="36"/>
        <v/>
      </c>
      <c r="G612" s="39" t="str">
        <f t="shared" si="37"/>
        <v/>
      </c>
      <c r="H612" s="39" t="str">
        <f t="shared" si="38"/>
        <v/>
      </c>
      <c r="I612" s="39" t="str">
        <f t="shared" si="39"/>
        <v/>
      </c>
      <c r="J612" s="39" t="str">
        <f>""</f>
        <v/>
      </c>
    </row>
    <row r="613" spans="1:10">
      <c r="A613" s="26" t="s">
        <v>1038</v>
      </c>
      <c r="E613" s="26" t="s">
        <v>5582</v>
      </c>
      <c r="F613" s="39" t="str">
        <f t="shared" si="36"/>
        <v/>
      </c>
      <c r="G613" s="39" t="str">
        <f t="shared" si="37"/>
        <v/>
      </c>
      <c r="H613" s="39" t="str">
        <f t="shared" si="38"/>
        <v/>
      </c>
      <c r="I613" s="39" t="str">
        <f t="shared" si="39"/>
        <v/>
      </c>
      <c r="J613" s="39" t="str">
        <f>""</f>
        <v/>
      </c>
    </row>
    <row r="614" spans="1:10">
      <c r="A614" s="26" t="s">
        <v>1039</v>
      </c>
      <c r="E614" s="26" t="s">
        <v>5582</v>
      </c>
      <c r="F614" s="39" t="str">
        <f t="shared" si="36"/>
        <v/>
      </c>
      <c r="G614" s="39" t="str">
        <f t="shared" si="37"/>
        <v/>
      </c>
      <c r="H614" s="39" t="str">
        <f t="shared" si="38"/>
        <v/>
      </c>
      <c r="I614" s="39" t="str">
        <f t="shared" si="39"/>
        <v/>
      </c>
      <c r="J614" s="39" t="str">
        <f>""</f>
        <v/>
      </c>
    </row>
    <row r="615" spans="1:10">
      <c r="A615" s="26" t="s">
        <v>1041</v>
      </c>
      <c r="E615" s="26" t="s">
        <v>5582</v>
      </c>
      <c r="F615" s="39" t="str">
        <f t="shared" si="36"/>
        <v/>
      </c>
      <c r="G615" s="39" t="str">
        <f t="shared" si="37"/>
        <v/>
      </c>
      <c r="H615" s="39" t="str">
        <f t="shared" si="38"/>
        <v/>
      </c>
      <c r="I615" s="39" t="str">
        <f t="shared" si="39"/>
        <v/>
      </c>
      <c r="J615" s="39" t="str">
        <f>""</f>
        <v/>
      </c>
    </row>
    <row r="616" spans="1:10">
      <c r="A616" s="26" t="s">
        <v>1042</v>
      </c>
      <c r="E616" s="26" t="s">
        <v>3790</v>
      </c>
      <c r="F616" s="39" t="str">
        <f t="shared" si="36"/>
        <v/>
      </c>
      <c r="G616" s="39" t="str">
        <f t="shared" si="37"/>
        <v/>
      </c>
      <c r="H616" s="39" t="str">
        <f t="shared" si="38"/>
        <v/>
      </c>
      <c r="I616" s="39" t="str">
        <f t="shared" si="39"/>
        <v/>
      </c>
      <c r="J616" s="39" t="str">
        <f>""</f>
        <v/>
      </c>
    </row>
    <row r="617" spans="1:10">
      <c r="A617" s="26" t="s">
        <v>1044</v>
      </c>
      <c r="E617" s="26" t="s">
        <v>5582</v>
      </c>
      <c r="F617" s="39" t="str">
        <f t="shared" si="36"/>
        <v/>
      </c>
      <c r="G617" s="39" t="str">
        <f t="shared" si="37"/>
        <v/>
      </c>
      <c r="H617" s="39" t="str">
        <f t="shared" si="38"/>
        <v/>
      </c>
      <c r="I617" s="39" t="str">
        <f t="shared" si="39"/>
        <v/>
      </c>
      <c r="J617" s="39" t="str">
        <f>""</f>
        <v/>
      </c>
    </row>
    <row r="618" spans="1:10">
      <c r="A618" s="26" t="s">
        <v>1047</v>
      </c>
      <c r="C618" s="39">
        <v>25</v>
      </c>
      <c r="D618" s="39" t="s">
        <v>3891</v>
      </c>
      <c r="E618" s="26" t="s">
        <v>5582</v>
      </c>
      <c r="F618" s="39">
        <f t="shared" si="36"/>
        <v>25</v>
      </c>
      <c r="G618" s="39">
        <f t="shared" si="37"/>
        <v>25</v>
      </c>
      <c r="H618" s="39">
        <f t="shared" si="38"/>
        <v>25</v>
      </c>
      <c r="I618" s="39">
        <f t="shared" si="39"/>
        <v>25</v>
      </c>
      <c r="J618" s="39" t="str">
        <f>""</f>
        <v/>
      </c>
    </row>
    <row r="619" spans="1:10">
      <c r="A619" s="26" t="s">
        <v>1049</v>
      </c>
      <c r="E619" s="26" t="s">
        <v>5582</v>
      </c>
      <c r="F619" s="39" t="str">
        <f t="shared" si="36"/>
        <v/>
      </c>
      <c r="G619" s="39" t="str">
        <f t="shared" si="37"/>
        <v/>
      </c>
      <c r="H619" s="39" t="str">
        <f t="shared" si="38"/>
        <v/>
      </c>
      <c r="I619" s="39" t="str">
        <f t="shared" si="39"/>
        <v/>
      </c>
      <c r="J619" s="39" t="str">
        <f>""</f>
        <v/>
      </c>
    </row>
    <row r="620" spans="1:10">
      <c r="A620" s="26" t="s">
        <v>1052</v>
      </c>
      <c r="E620" s="26" t="s">
        <v>5582</v>
      </c>
      <c r="F620" s="39" t="str">
        <f t="shared" si="36"/>
        <v/>
      </c>
      <c r="G620" s="39" t="str">
        <f t="shared" si="37"/>
        <v/>
      </c>
      <c r="H620" s="39" t="str">
        <f t="shared" si="38"/>
        <v/>
      </c>
      <c r="I620" s="39" t="str">
        <f t="shared" si="39"/>
        <v/>
      </c>
      <c r="J620" s="39" t="str">
        <f>""</f>
        <v/>
      </c>
    </row>
    <row r="621" spans="1:10">
      <c r="A621" s="26" t="s">
        <v>1053</v>
      </c>
      <c r="E621" s="26" t="s">
        <v>5582</v>
      </c>
      <c r="F621" s="39" t="str">
        <f t="shared" si="36"/>
        <v/>
      </c>
      <c r="G621" s="39" t="str">
        <f t="shared" si="37"/>
        <v/>
      </c>
      <c r="H621" s="39" t="str">
        <f t="shared" si="38"/>
        <v/>
      </c>
      <c r="I621" s="39" t="str">
        <f t="shared" si="39"/>
        <v/>
      </c>
      <c r="J621" s="39" t="str">
        <f>""</f>
        <v/>
      </c>
    </row>
    <row r="622" spans="1:10">
      <c r="A622" s="26" t="s">
        <v>1055</v>
      </c>
      <c r="E622" s="26" t="s">
        <v>5582</v>
      </c>
      <c r="F622" s="39" t="str">
        <f t="shared" si="36"/>
        <v/>
      </c>
      <c r="G622" s="39" t="str">
        <f t="shared" si="37"/>
        <v/>
      </c>
      <c r="H622" s="39" t="str">
        <f t="shared" si="38"/>
        <v/>
      </c>
      <c r="I622" s="39" t="str">
        <f t="shared" si="39"/>
        <v/>
      </c>
      <c r="J622" s="39" t="str">
        <f>""</f>
        <v/>
      </c>
    </row>
    <row r="623" spans="1:10">
      <c r="A623" s="26" t="s">
        <v>1056</v>
      </c>
      <c r="E623" s="26" t="s">
        <v>5582</v>
      </c>
      <c r="F623" s="39" t="str">
        <f t="shared" si="36"/>
        <v/>
      </c>
      <c r="G623" s="39" t="str">
        <f t="shared" si="37"/>
        <v/>
      </c>
      <c r="H623" s="39" t="str">
        <f t="shared" si="38"/>
        <v/>
      </c>
      <c r="I623" s="39" t="str">
        <f t="shared" si="39"/>
        <v/>
      </c>
      <c r="J623" s="39" t="str">
        <f>""</f>
        <v/>
      </c>
    </row>
    <row r="624" spans="1:10">
      <c r="A624" s="26" t="s">
        <v>1058</v>
      </c>
      <c r="E624" s="26" t="s">
        <v>3790</v>
      </c>
      <c r="F624" s="39" t="str">
        <f t="shared" si="36"/>
        <v/>
      </c>
      <c r="G624" s="39" t="str">
        <f t="shared" si="37"/>
        <v/>
      </c>
      <c r="H624" s="39" t="str">
        <f t="shared" si="38"/>
        <v/>
      </c>
      <c r="I624" s="39" t="str">
        <f t="shared" si="39"/>
        <v/>
      </c>
      <c r="J624" s="39" t="str">
        <f>""</f>
        <v/>
      </c>
    </row>
    <row r="625" spans="1:10">
      <c r="A625" s="26" t="s">
        <v>1061</v>
      </c>
      <c r="E625" s="26" t="s">
        <v>5582</v>
      </c>
      <c r="F625" s="39" t="str">
        <f t="shared" si="36"/>
        <v/>
      </c>
      <c r="G625" s="39" t="str">
        <f t="shared" si="37"/>
        <v/>
      </c>
      <c r="H625" s="39" t="str">
        <f t="shared" si="38"/>
        <v/>
      </c>
      <c r="I625" s="39" t="str">
        <f t="shared" si="39"/>
        <v/>
      </c>
      <c r="J625" s="39" t="str">
        <f>""</f>
        <v/>
      </c>
    </row>
    <row r="626" spans="1:10">
      <c r="A626" s="26" t="s">
        <v>1064</v>
      </c>
      <c r="E626" s="26" t="s">
        <v>5582</v>
      </c>
      <c r="F626" s="39" t="str">
        <f t="shared" si="36"/>
        <v/>
      </c>
      <c r="G626" s="39" t="str">
        <f t="shared" si="37"/>
        <v/>
      </c>
      <c r="H626" s="39" t="str">
        <f t="shared" si="38"/>
        <v/>
      </c>
      <c r="I626" s="39" t="str">
        <f t="shared" si="39"/>
        <v/>
      </c>
      <c r="J626" s="39" t="str">
        <f>""</f>
        <v/>
      </c>
    </row>
    <row r="627" spans="1:10">
      <c r="A627" s="26" t="s">
        <v>1065</v>
      </c>
      <c r="E627" s="26" t="s">
        <v>5582</v>
      </c>
      <c r="F627" s="39" t="str">
        <f t="shared" si="36"/>
        <v/>
      </c>
      <c r="G627" s="39" t="str">
        <f t="shared" si="37"/>
        <v/>
      </c>
      <c r="H627" s="39" t="str">
        <f t="shared" si="38"/>
        <v/>
      </c>
      <c r="I627" s="39" t="str">
        <f t="shared" si="39"/>
        <v/>
      </c>
      <c r="J627" s="39" t="str">
        <f>""</f>
        <v/>
      </c>
    </row>
    <row r="628" spans="1:10">
      <c r="A628" s="26" t="s">
        <v>1067</v>
      </c>
      <c r="E628" s="26" t="s">
        <v>5582</v>
      </c>
      <c r="F628" s="39" t="str">
        <f t="shared" si="36"/>
        <v/>
      </c>
      <c r="G628" s="39" t="str">
        <f t="shared" si="37"/>
        <v/>
      </c>
      <c r="H628" s="39" t="str">
        <f t="shared" si="38"/>
        <v/>
      </c>
      <c r="I628" s="39" t="str">
        <f t="shared" si="39"/>
        <v/>
      </c>
      <c r="J628" s="39" t="str">
        <f>""</f>
        <v/>
      </c>
    </row>
    <row r="629" spans="1:10">
      <c r="A629" s="26" t="s">
        <v>3337</v>
      </c>
      <c r="E629" s="26" t="s">
        <v>5582</v>
      </c>
      <c r="F629" s="39" t="str">
        <f t="shared" si="36"/>
        <v/>
      </c>
      <c r="G629" s="39" t="str">
        <f t="shared" si="37"/>
        <v/>
      </c>
      <c r="H629" s="39" t="str">
        <f t="shared" si="38"/>
        <v/>
      </c>
      <c r="I629" s="39" t="str">
        <f t="shared" si="39"/>
        <v/>
      </c>
      <c r="J629" s="39" t="str">
        <f>""</f>
        <v/>
      </c>
    </row>
    <row r="630" spans="1:10">
      <c r="A630" s="26" t="s">
        <v>1069</v>
      </c>
      <c r="E630" s="26" t="s">
        <v>3790</v>
      </c>
      <c r="F630" s="39" t="str">
        <f t="shared" si="36"/>
        <v/>
      </c>
      <c r="G630" s="39" t="str">
        <f t="shared" si="37"/>
        <v/>
      </c>
      <c r="H630" s="39" t="str">
        <f t="shared" si="38"/>
        <v/>
      </c>
      <c r="I630" s="39" t="str">
        <f t="shared" si="39"/>
        <v/>
      </c>
      <c r="J630" s="39" t="str">
        <f>""</f>
        <v/>
      </c>
    </row>
    <row r="631" spans="1:10">
      <c r="A631" s="26" t="s">
        <v>3339</v>
      </c>
      <c r="E631" s="26" t="s">
        <v>5582</v>
      </c>
      <c r="F631" s="39" t="str">
        <f t="shared" si="36"/>
        <v/>
      </c>
      <c r="G631" s="39" t="str">
        <f t="shared" si="37"/>
        <v/>
      </c>
      <c r="H631" s="39" t="str">
        <f t="shared" si="38"/>
        <v/>
      </c>
      <c r="I631" s="39" t="str">
        <f t="shared" si="39"/>
        <v/>
      </c>
      <c r="J631" s="39" t="str">
        <f>""</f>
        <v/>
      </c>
    </row>
    <row r="632" spans="1:10">
      <c r="A632" s="26" t="s">
        <v>1072</v>
      </c>
      <c r="E632" s="26" t="s">
        <v>5582</v>
      </c>
      <c r="F632" s="39" t="str">
        <f t="shared" si="36"/>
        <v/>
      </c>
      <c r="G632" s="39" t="str">
        <f t="shared" si="37"/>
        <v/>
      </c>
      <c r="H632" s="39" t="str">
        <f t="shared" si="38"/>
        <v/>
      </c>
      <c r="I632" s="39" t="str">
        <f t="shared" si="39"/>
        <v/>
      </c>
      <c r="J632" s="39" t="str">
        <f>""</f>
        <v/>
      </c>
    </row>
    <row r="633" spans="1:10">
      <c r="A633" s="26" t="s">
        <v>1074</v>
      </c>
      <c r="E633" s="26" t="s">
        <v>5582</v>
      </c>
      <c r="F633" s="39" t="str">
        <f t="shared" si="36"/>
        <v/>
      </c>
      <c r="G633" s="39" t="str">
        <f t="shared" si="37"/>
        <v/>
      </c>
      <c r="H633" s="39" t="str">
        <f t="shared" si="38"/>
        <v/>
      </c>
      <c r="I633" s="39" t="str">
        <f t="shared" si="39"/>
        <v/>
      </c>
      <c r="J633" s="39" t="str">
        <f>""</f>
        <v/>
      </c>
    </row>
    <row r="634" spans="1:10">
      <c r="A634" s="26" t="s">
        <v>1077</v>
      </c>
      <c r="E634" s="26" t="s">
        <v>3790</v>
      </c>
      <c r="F634" s="39" t="str">
        <f t="shared" si="36"/>
        <v/>
      </c>
      <c r="G634" s="39" t="str">
        <f t="shared" si="37"/>
        <v/>
      </c>
      <c r="H634" s="39" t="str">
        <f t="shared" si="38"/>
        <v/>
      </c>
      <c r="I634" s="39" t="str">
        <f t="shared" si="39"/>
        <v/>
      </c>
      <c r="J634" s="39" t="str">
        <f>""</f>
        <v/>
      </c>
    </row>
    <row r="635" spans="1:10">
      <c r="A635" s="26" t="s">
        <v>5951</v>
      </c>
      <c r="E635" s="26" t="s">
        <v>3790</v>
      </c>
      <c r="F635" s="39" t="str">
        <f t="shared" si="36"/>
        <v/>
      </c>
      <c r="G635" s="39" t="str">
        <f t="shared" si="37"/>
        <v/>
      </c>
      <c r="H635" s="39" t="str">
        <f t="shared" si="38"/>
        <v/>
      </c>
      <c r="I635" s="39" t="str">
        <f t="shared" si="39"/>
        <v/>
      </c>
      <c r="J635" s="39" t="str">
        <f>""</f>
        <v/>
      </c>
    </row>
    <row r="636" spans="1:10">
      <c r="A636" s="26" t="s">
        <v>3341</v>
      </c>
      <c r="E636" s="26" t="s">
        <v>5582</v>
      </c>
      <c r="F636" s="39" t="str">
        <f t="shared" si="36"/>
        <v/>
      </c>
      <c r="G636" s="39" t="str">
        <f t="shared" si="37"/>
        <v/>
      </c>
      <c r="H636" s="39" t="str">
        <f t="shared" si="38"/>
        <v/>
      </c>
      <c r="I636" s="39" t="str">
        <f t="shared" si="39"/>
        <v/>
      </c>
      <c r="J636" s="39" t="str">
        <f>""</f>
        <v/>
      </c>
    </row>
    <row r="637" spans="1:10">
      <c r="A637" s="26" t="s">
        <v>6180</v>
      </c>
      <c r="E637" s="26" t="s">
        <v>3790</v>
      </c>
      <c r="F637" s="39" t="str">
        <f t="shared" si="36"/>
        <v/>
      </c>
      <c r="G637" s="39" t="str">
        <f t="shared" si="37"/>
        <v/>
      </c>
      <c r="H637" s="39" t="str">
        <f t="shared" si="38"/>
        <v/>
      </c>
      <c r="I637" s="39" t="str">
        <f t="shared" si="39"/>
        <v/>
      </c>
      <c r="J637" s="39" t="str">
        <f>""</f>
        <v/>
      </c>
    </row>
    <row r="638" spans="1:10">
      <c r="A638" s="26" t="s">
        <v>1080</v>
      </c>
      <c r="E638" s="26" t="s">
        <v>5581</v>
      </c>
      <c r="F638" s="39" t="str">
        <f t="shared" si="36"/>
        <v/>
      </c>
      <c r="G638" s="39" t="str">
        <f t="shared" si="37"/>
        <v/>
      </c>
      <c r="H638" s="39" t="str">
        <f t="shared" si="38"/>
        <v/>
      </c>
      <c r="I638" s="39" t="str">
        <f t="shared" si="39"/>
        <v/>
      </c>
      <c r="J638" s="39" t="str">
        <f>""</f>
        <v/>
      </c>
    </row>
    <row r="639" spans="1:10">
      <c r="A639" s="26" t="s">
        <v>1082</v>
      </c>
      <c r="E639" s="26" t="s">
        <v>5581</v>
      </c>
      <c r="F639" s="39" t="str">
        <f t="shared" si="36"/>
        <v/>
      </c>
      <c r="G639" s="39" t="str">
        <f t="shared" si="37"/>
        <v/>
      </c>
      <c r="H639" s="39" t="str">
        <f t="shared" si="38"/>
        <v/>
      </c>
      <c r="I639" s="39" t="str">
        <f t="shared" si="39"/>
        <v/>
      </c>
      <c r="J639" s="39" t="str">
        <f>""</f>
        <v/>
      </c>
    </row>
    <row r="640" spans="1:10">
      <c r="A640" s="26" t="s">
        <v>1087</v>
      </c>
      <c r="E640" s="26" t="s">
        <v>3790</v>
      </c>
      <c r="F640" s="39" t="str">
        <f t="shared" si="36"/>
        <v/>
      </c>
      <c r="G640" s="39" t="str">
        <f t="shared" si="37"/>
        <v/>
      </c>
      <c r="H640" s="39" t="str">
        <f t="shared" si="38"/>
        <v/>
      </c>
      <c r="I640" s="39" t="str">
        <f t="shared" si="39"/>
        <v/>
      </c>
      <c r="J640" s="39" t="str">
        <f>""</f>
        <v/>
      </c>
    </row>
    <row r="641" spans="1:10">
      <c r="A641" s="26" t="s">
        <v>1089</v>
      </c>
      <c r="E641" s="26" t="s">
        <v>5581</v>
      </c>
      <c r="F641" s="39" t="str">
        <f t="shared" si="36"/>
        <v/>
      </c>
      <c r="G641" s="39" t="str">
        <f t="shared" si="37"/>
        <v/>
      </c>
      <c r="H641" s="39" t="str">
        <f t="shared" si="38"/>
        <v/>
      </c>
      <c r="I641" s="39" t="str">
        <f t="shared" si="39"/>
        <v/>
      </c>
      <c r="J641" s="39" t="str">
        <f>""</f>
        <v/>
      </c>
    </row>
    <row r="642" spans="1:10">
      <c r="A642" s="26" t="s">
        <v>2218</v>
      </c>
      <c r="E642" s="26" t="s">
        <v>5581</v>
      </c>
      <c r="F642" s="39" t="str">
        <f t="shared" si="36"/>
        <v/>
      </c>
      <c r="G642" s="39" t="str">
        <f t="shared" si="37"/>
        <v/>
      </c>
      <c r="H642" s="39" t="str">
        <f t="shared" si="38"/>
        <v/>
      </c>
      <c r="I642" s="39" t="str">
        <f t="shared" si="39"/>
        <v/>
      </c>
      <c r="J642" s="39" t="str">
        <f>""</f>
        <v/>
      </c>
    </row>
    <row r="643" spans="1:10">
      <c r="A643" s="26" t="s">
        <v>2221</v>
      </c>
      <c r="E643" s="26" t="s">
        <v>5581</v>
      </c>
      <c r="F643" s="39" t="str">
        <f t="shared" ref="F643:F706" si="40">IF(C643="","",IF(C643&lt;99,C643,""))</f>
        <v/>
      </c>
      <c r="G643" s="39" t="str">
        <f t="shared" ref="G643:G706" si="41">IF(OR(F643&lt;&gt;"",D643&lt;&gt;""),C643,"")</f>
        <v/>
      </c>
      <c r="H643" s="39" t="str">
        <f t="shared" ref="H643:H706" si="42">IF(C643="","",C643)</f>
        <v/>
      </c>
      <c r="I643" s="39" t="str">
        <f t="shared" ref="I643:I706" si="43">IF(AND(C643&lt;&gt;"",D643&lt;&gt;""),C643,"")</f>
        <v/>
      </c>
      <c r="J643" s="39" t="str">
        <f>""</f>
        <v/>
      </c>
    </row>
    <row r="644" spans="1:10">
      <c r="A644" s="26" t="s">
        <v>1091</v>
      </c>
      <c r="E644" s="26" t="s">
        <v>5582</v>
      </c>
      <c r="F644" s="39" t="str">
        <f t="shared" si="40"/>
        <v/>
      </c>
      <c r="G644" s="39" t="str">
        <f t="shared" si="41"/>
        <v/>
      </c>
      <c r="H644" s="39" t="str">
        <f t="shared" si="42"/>
        <v/>
      </c>
      <c r="I644" s="39" t="str">
        <f t="shared" si="43"/>
        <v/>
      </c>
      <c r="J644" s="39" t="str">
        <f>""</f>
        <v/>
      </c>
    </row>
    <row r="645" spans="1:10">
      <c r="A645" s="26" t="s">
        <v>2222</v>
      </c>
      <c r="E645" s="26" t="s">
        <v>5581</v>
      </c>
      <c r="F645" s="39" t="str">
        <f t="shared" si="40"/>
        <v/>
      </c>
      <c r="G645" s="39" t="str">
        <f t="shared" si="41"/>
        <v/>
      </c>
      <c r="H645" s="39" t="str">
        <f t="shared" si="42"/>
        <v/>
      </c>
      <c r="I645" s="39" t="str">
        <f t="shared" si="43"/>
        <v/>
      </c>
      <c r="J645" s="39" t="str">
        <f>""</f>
        <v/>
      </c>
    </row>
    <row r="646" spans="1:10">
      <c r="A646" s="26" t="s">
        <v>2224</v>
      </c>
      <c r="E646" s="26" t="s">
        <v>5581</v>
      </c>
      <c r="F646" s="39" t="str">
        <f t="shared" si="40"/>
        <v/>
      </c>
      <c r="G646" s="39" t="str">
        <f t="shared" si="41"/>
        <v/>
      </c>
      <c r="H646" s="39" t="str">
        <f t="shared" si="42"/>
        <v/>
      </c>
      <c r="I646" s="39" t="str">
        <f t="shared" si="43"/>
        <v/>
      </c>
      <c r="J646" s="39" t="str">
        <f>""</f>
        <v/>
      </c>
    </row>
    <row r="647" spans="1:10">
      <c r="A647" s="26" t="s">
        <v>3343</v>
      </c>
      <c r="E647" s="26" t="s">
        <v>5581</v>
      </c>
      <c r="F647" s="39" t="str">
        <f t="shared" si="40"/>
        <v/>
      </c>
      <c r="G647" s="39" t="str">
        <f t="shared" si="41"/>
        <v/>
      </c>
      <c r="H647" s="39" t="str">
        <f t="shared" si="42"/>
        <v/>
      </c>
      <c r="I647" s="39" t="str">
        <f t="shared" si="43"/>
        <v/>
      </c>
      <c r="J647" s="39" t="str">
        <f>""</f>
        <v/>
      </c>
    </row>
    <row r="648" spans="1:10">
      <c r="A648" s="26" t="s">
        <v>3345</v>
      </c>
      <c r="E648" s="26" t="s">
        <v>5581</v>
      </c>
      <c r="F648" s="39" t="str">
        <f t="shared" si="40"/>
        <v/>
      </c>
      <c r="G648" s="39" t="str">
        <f t="shared" si="41"/>
        <v/>
      </c>
      <c r="H648" s="39" t="str">
        <f t="shared" si="42"/>
        <v/>
      </c>
      <c r="I648" s="39" t="str">
        <f t="shared" si="43"/>
        <v/>
      </c>
      <c r="J648" s="39" t="str">
        <f>""</f>
        <v/>
      </c>
    </row>
    <row r="649" spans="1:10">
      <c r="A649" s="26" t="s">
        <v>3347</v>
      </c>
      <c r="E649" s="26" t="s">
        <v>5581</v>
      </c>
      <c r="F649" s="39" t="str">
        <f t="shared" si="40"/>
        <v/>
      </c>
      <c r="G649" s="39" t="str">
        <f t="shared" si="41"/>
        <v/>
      </c>
      <c r="H649" s="39" t="str">
        <f t="shared" si="42"/>
        <v/>
      </c>
      <c r="I649" s="39" t="str">
        <f t="shared" si="43"/>
        <v/>
      </c>
      <c r="J649" s="39" t="str">
        <f>""</f>
        <v/>
      </c>
    </row>
    <row r="650" spans="1:10">
      <c r="A650" s="26" t="s">
        <v>3349</v>
      </c>
      <c r="E650" s="26" t="s">
        <v>5581</v>
      </c>
      <c r="F650" s="39" t="str">
        <f t="shared" si="40"/>
        <v/>
      </c>
      <c r="G650" s="39" t="str">
        <f t="shared" si="41"/>
        <v/>
      </c>
      <c r="H650" s="39" t="str">
        <f t="shared" si="42"/>
        <v/>
      </c>
      <c r="I650" s="39" t="str">
        <f t="shared" si="43"/>
        <v/>
      </c>
      <c r="J650" s="39" t="str">
        <f>""</f>
        <v/>
      </c>
    </row>
    <row r="651" spans="1:10">
      <c r="A651" s="26" t="s">
        <v>3351</v>
      </c>
      <c r="E651" s="26" t="s">
        <v>5581</v>
      </c>
      <c r="F651" s="39" t="str">
        <f t="shared" si="40"/>
        <v/>
      </c>
      <c r="G651" s="39" t="str">
        <f t="shared" si="41"/>
        <v/>
      </c>
      <c r="H651" s="39" t="str">
        <f t="shared" si="42"/>
        <v/>
      </c>
      <c r="I651" s="39" t="str">
        <f t="shared" si="43"/>
        <v/>
      </c>
      <c r="J651" s="39" t="str">
        <f>""</f>
        <v/>
      </c>
    </row>
    <row r="652" spans="1:10">
      <c r="A652" s="26" t="s">
        <v>3353</v>
      </c>
      <c r="E652" s="26" t="s">
        <v>5581</v>
      </c>
      <c r="F652" s="39" t="str">
        <f t="shared" si="40"/>
        <v/>
      </c>
      <c r="G652" s="39" t="str">
        <f t="shared" si="41"/>
        <v/>
      </c>
      <c r="H652" s="39" t="str">
        <f t="shared" si="42"/>
        <v/>
      </c>
      <c r="I652" s="39" t="str">
        <f t="shared" si="43"/>
        <v/>
      </c>
      <c r="J652" s="39" t="str">
        <f>""</f>
        <v/>
      </c>
    </row>
    <row r="653" spans="1:10">
      <c r="A653" s="26" t="s">
        <v>3354</v>
      </c>
      <c r="E653" s="26" t="s">
        <v>5581</v>
      </c>
      <c r="F653" s="39" t="str">
        <f t="shared" si="40"/>
        <v/>
      </c>
      <c r="G653" s="39" t="str">
        <f t="shared" si="41"/>
        <v/>
      </c>
      <c r="H653" s="39" t="str">
        <f t="shared" si="42"/>
        <v/>
      </c>
      <c r="I653" s="39" t="str">
        <f t="shared" si="43"/>
        <v/>
      </c>
      <c r="J653" s="39" t="str">
        <f>""</f>
        <v/>
      </c>
    </row>
    <row r="654" spans="1:10">
      <c r="A654" s="26" t="s">
        <v>2226</v>
      </c>
      <c r="E654" s="26" t="s">
        <v>5581</v>
      </c>
      <c r="F654" s="39" t="str">
        <f t="shared" si="40"/>
        <v/>
      </c>
      <c r="G654" s="39" t="str">
        <f t="shared" si="41"/>
        <v/>
      </c>
      <c r="H654" s="39" t="str">
        <f t="shared" si="42"/>
        <v/>
      </c>
      <c r="I654" s="39" t="str">
        <f t="shared" si="43"/>
        <v/>
      </c>
      <c r="J654" s="39" t="str">
        <f>""</f>
        <v/>
      </c>
    </row>
    <row r="655" spans="1:10">
      <c r="A655" s="26" t="s">
        <v>1095</v>
      </c>
      <c r="E655" s="26" t="s">
        <v>5581</v>
      </c>
      <c r="F655" s="39" t="str">
        <f t="shared" si="40"/>
        <v/>
      </c>
      <c r="G655" s="39" t="str">
        <f t="shared" si="41"/>
        <v/>
      </c>
      <c r="H655" s="39" t="str">
        <f t="shared" si="42"/>
        <v/>
      </c>
      <c r="I655" s="39" t="str">
        <f t="shared" si="43"/>
        <v/>
      </c>
      <c r="J655" s="39" t="str">
        <f>""</f>
        <v/>
      </c>
    </row>
    <row r="656" spans="1:10">
      <c r="A656" s="26" t="s">
        <v>1097</v>
      </c>
      <c r="E656" s="26" t="s">
        <v>5581</v>
      </c>
      <c r="F656" s="39" t="str">
        <f t="shared" si="40"/>
        <v/>
      </c>
      <c r="G656" s="39" t="str">
        <f t="shared" si="41"/>
        <v/>
      </c>
      <c r="H656" s="39" t="str">
        <f t="shared" si="42"/>
        <v/>
      </c>
      <c r="I656" s="39" t="str">
        <f t="shared" si="43"/>
        <v/>
      </c>
      <c r="J656" s="39" t="str">
        <f>""</f>
        <v/>
      </c>
    </row>
    <row r="657" spans="1:10">
      <c r="A657" s="26" t="s">
        <v>1099</v>
      </c>
      <c r="E657" s="26" t="s">
        <v>5581</v>
      </c>
      <c r="F657" s="39" t="str">
        <f t="shared" si="40"/>
        <v/>
      </c>
      <c r="G657" s="39" t="str">
        <f t="shared" si="41"/>
        <v/>
      </c>
      <c r="H657" s="39" t="str">
        <f t="shared" si="42"/>
        <v/>
      </c>
      <c r="I657" s="39" t="str">
        <f t="shared" si="43"/>
        <v/>
      </c>
      <c r="J657" s="39" t="str">
        <f>""</f>
        <v/>
      </c>
    </row>
    <row r="658" spans="1:10">
      <c r="A658" s="26" t="s">
        <v>3356</v>
      </c>
      <c r="E658" s="26" t="s">
        <v>5581</v>
      </c>
      <c r="F658" s="39" t="str">
        <f t="shared" si="40"/>
        <v/>
      </c>
      <c r="G658" s="39" t="str">
        <f t="shared" si="41"/>
        <v/>
      </c>
      <c r="H658" s="39" t="str">
        <f t="shared" si="42"/>
        <v/>
      </c>
      <c r="I658" s="39" t="str">
        <f t="shared" si="43"/>
        <v/>
      </c>
      <c r="J658" s="39" t="str">
        <f>""</f>
        <v/>
      </c>
    </row>
    <row r="659" spans="1:10">
      <c r="A659" s="26" t="s">
        <v>3358</v>
      </c>
      <c r="E659" s="26" t="s">
        <v>5581</v>
      </c>
      <c r="F659" s="39" t="str">
        <f t="shared" si="40"/>
        <v/>
      </c>
      <c r="G659" s="39" t="str">
        <f t="shared" si="41"/>
        <v/>
      </c>
      <c r="H659" s="39" t="str">
        <f t="shared" si="42"/>
        <v/>
      </c>
      <c r="I659" s="39" t="str">
        <f t="shared" si="43"/>
        <v/>
      </c>
      <c r="J659" s="39" t="str">
        <f>""</f>
        <v/>
      </c>
    </row>
    <row r="660" spans="1:10">
      <c r="A660" s="26" t="s">
        <v>3360</v>
      </c>
      <c r="E660" s="26" t="s">
        <v>5581</v>
      </c>
      <c r="F660" s="39" t="str">
        <f t="shared" si="40"/>
        <v/>
      </c>
      <c r="G660" s="39" t="str">
        <f t="shared" si="41"/>
        <v/>
      </c>
      <c r="H660" s="39" t="str">
        <f t="shared" si="42"/>
        <v/>
      </c>
      <c r="I660" s="39" t="str">
        <f t="shared" si="43"/>
        <v/>
      </c>
      <c r="J660" s="39" t="str">
        <f>""</f>
        <v/>
      </c>
    </row>
    <row r="661" spans="1:10">
      <c r="A661" s="26" t="s">
        <v>3362</v>
      </c>
      <c r="E661" s="26" t="s">
        <v>5581</v>
      </c>
      <c r="F661" s="39" t="str">
        <f t="shared" si="40"/>
        <v/>
      </c>
      <c r="G661" s="39" t="str">
        <f t="shared" si="41"/>
        <v/>
      </c>
      <c r="H661" s="39" t="str">
        <f t="shared" si="42"/>
        <v/>
      </c>
      <c r="I661" s="39" t="str">
        <f t="shared" si="43"/>
        <v/>
      </c>
      <c r="J661" s="39" t="str">
        <f>""</f>
        <v/>
      </c>
    </row>
    <row r="662" spans="1:10">
      <c r="A662" s="26" t="s">
        <v>3364</v>
      </c>
      <c r="E662" s="26" t="s">
        <v>5581</v>
      </c>
      <c r="F662" s="39" t="str">
        <f t="shared" si="40"/>
        <v/>
      </c>
      <c r="G662" s="39" t="str">
        <f t="shared" si="41"/>
        <v/>
      </c>
      <c r="H662" s="39" t="str">
        <f t="shared" si="42"/>
        <v/>
      </c>
      <c r="I662" s="39" t="str">
        <f t="shared" si="43"/>
        <v/>
      </c>
      <c r="J662" s="39" t="str">
        <f>""</f>
        <v/>
      </c>
    </row>
    <row r="663" spans="1:10">
      <c r="A663" s="26" t="s">
        <v>3366</v>
      </c>
      <c r="E663" s="26" t="s">
        <v>5581</v>
      </c>
      <c r="F663" s="39" t="str">
        <f t="shared" si="40"/>
        <v/>
      </c>
      <c r="G663" s="39" t="str">
        <f t="shared" si="41"/>
        <v/>
      </c>
      <c r="H663" s="39" t="str">
        <f t="shared" si="42"/>
        <v/>
      </c>
      <c r="I663" s="39" t="str">
        <f t="shared" si="43"/>
        <v/>
      </c>
      <c r="J663" s="39" t="str">
        <f>""</f>
        <v/>
      </c>
    </row>
    <row r="664" spans="1:10">
      <c r="A664" s="26" t="s">
        <v>3368</v>
      </c>
      <c r="E664" s="26" t="s">
        <v>5581</v>
      </c>
      <c r="F664" s="39" t="str">
        <f t="shared" si="40"/>
        <v/>
      </c>
      <c r="G664" s="39" t="str">
        <f t="shared" si="41"/>
        <v/>
      </c>
      <c r="H664" s="39" t="str">
        <f t="shared" si="42"/>
        <v/>
      </c>
      <c r="I664" s="39" t="str">
        <f t="shared" si="43"/>
        <v/>
      </c>
      <c r="J664" s="39" t="str">
        <f>""</f>
        <v/>
      </c>
    </row>
    <row r="665" spans="1:10">
      <c r="A665" s="26" t="s">
        <v>3370</v>
      </c>
      <c r="E665" s="26" t="s">
        <v>5581</v>
      </c>
      <c r="F665" s="39" t="str">
        <f t="shared" si="40"/>
        <v/>
      </c>
      <c r="G665" s="39" t="str">
        <f t="shared" si="41"/>
        <v/>
      </c>
      <c r="H665" s="39" t="str">
        <f t="shared" si="42"/>
        <v/>
      </c>
      <c r="I665" s="39" t="str">
        <f t="shared" si="43"/>
        <v/>
      </c>
      <c r="J665" s="39" t="str">
        <f>""</f>
        <v/>
      </c>
    </row>
    <row r="666" spans="1:10">
      <c r="A666" s="26" t="s">
        <v>3372</v>
      </c>
      <c r="E666" s="26" t="s">
        <v>5581</v>
      </c>
      <c r="F666" s="39" t="str">
        <f t="shared" si="40"/>
        <v/>
      </c>
      <c r="G666" s="39" t="str">
        <f t="shared" si="41"/>
        <v/>
      </c>
      <c r="H666" s="39" t="str">
        <f t="shared" si="42"/>
        <v/>
      </c>
      <c r="I666" s="39" t="str">
        <f t="shared" si="43"/>
        <v/>
      </c>
      <c r="J666" s="39" t="str">
        <f>""</f>
        <v/>
      </c>
    </row>
    <row r="667" spans="1:10">
      <c r="A667" s="26" t="s">
        <v>2229</v>
      </c>
      <c r="E667" s="26" t="s">
        <v>5581</v>
      </c>
      <c r="F667" s="39" t="str">
        <f t="shared" si="40"/>
        <v/>
      </c>
      <c r="G667" s="39" t="str">
        <f t="shared" si="41"/>
        <v/>
      </c>
      <c r="H667" s="39" t="str">
        <f t="shared" si="42"/>
        <v/>
      </c>
      <c r="I667" s="39" t="str">
        <f t="shared" si="43"/>
        <v/>
      </c>
      <c r="J667" s="39" t="str">
        <f>""</f>
        <v/>
      </c>
    </row>
    <row r="668" spans="1:10">
      <c r="A668" s="26" t="s">
        <v>2231</v>
      </c>
      <c r="E668" s="26" t="s">
        <v>5581</v>
      </c>
      <c r="F668" s="39" t="str">
        <f t="shared" si="40"/>
        <v/>
      </c>
      <c r="G668" s="39" t="str">
        <f t="shared" si="41"/>
        <v/>
      </c>
      <c r="H668" s="39" t="str">
        <f t="shared" si="42"/>
        <v/>
      </c>
      <c r="I668" s="39" t="str">
        <f t="shared" si="43"/>
        <v/>
      </c>
      <c r="J668" s="39" t="str">
        <f>""</f>
        <v/>
      </c>
    </row>
    <row r="669" spans="1:10">
      <c r="A669" s="26" t="s">
        <v>2232</v>
      </c>
      <c r="E669" s="26" t="s">
        <v>5581</v>
      </c>
      <c r="F669" s="39" t="str">
        <f t="shared" si="40"/>
        <v/>
      </c>
      <c r="G669" s="39" t="str">
        <f t="shared" si="41"/>
        <v/>
      </c>
      <c r="H669" s="39" t="str">
        <f t="shared" si="42"/>
        <v/>
      </c>
      <c r="I669" s="39" t="str">
        <f t="shared" si="43"/>
        <v/>
      </c>
      <c r="J669" s="39" t="str">
        <f>""</f>
        <v/>
      </c>
    </row>
    <row r="670" spans="1:10">
      <c r="A670" s="26" t="s">
        <v>3374</v>
      </c>
      <c r="E670" s="26" t="s">
        <v>5581</v>
      </c>
      <c r="F670" s="39" t="str">
        <f t="shared" si="40"/>
        <v/>
      </c>
      <c r="G670" s="39" t="str">
        <f t="shared" si="41"/>
        <v/>
      </c>
      <c r="H670" s="39" t="str">
        <f t="shared" si="42"/>
        <v/>
      </c>
      <c r="I670" s="39" t="str">
        <f t="shared" si="43"/>
        <v/>
      </c>
      <c r="J670" s="39" t="str">
        <f>""</f>
        <v/>
      </c>
    </row>
    <row r="671" spans="1:10">
      <c r="A671" s="26" t="s">
        <v>1101</v>
      </c>
      <c r="E671" s="26" t="s">
        <v>5582</v>
      </c>
      <c r="F671" s="39" t="str">
        <f t="shared" si="40"/>
        <v/>
      </c>
      <c r="G671" s="39" t="str">
        <f t="shared" si="41"/>
        <v/>
      </c>
      <c r="H671" s="39" t="str">
        <f t="shared" si="42"/>
        <v/>
      </c>
      <c r="I671" s="39" t="str">
        <f t="shared" si="43"/>
        <v/>
      </c>
      <c r="J671" s="39" t="str">
        <f>""</f>
        <v/>
      </c>
    </row>
    <row r="672" spans="1:10">
      <c r="A672" s="26" t="s">
        <v>1103</v>
      </c>
      <c r="E672" s="26" t="s">
        <v>5581</v>
      </c>
      <c r="F672" s="39" t="str">
        <f t="shared" si="40"/>
        <v/>
      </c>
      <c r="G672" s="39" t="str">
        <f t="shared" si="41"/>
        <v/>
      </c>
      <c r="H672" s="39" t="str">
        <f t="shared" si="42"/>
        <v/>
      </c>
      <c r="I672" s="39" t="str">
        <f t="shared" si="43"/>
        <v/>
      </c>
      <c r="J672" s="39" t="str">
        <f>""</f>
        <v/>
      </c>
    </row>
    <row r="673" spans="1:10">
      <c r="A673" s="26" t="s">
        <v>1106</v>
      </c>
      <c r="E673" s="26" t="s">
        <v>5581</v>
      </c>
      <c r="F673" s="39" t="str">
        <f t="shared" si="40"/>
        <v/>
      </c>
      <c r="G673" s="39" t="str">
        <f t="shared" si="41"/>
        <v/>
      </c>
      <c r="H673" s="39" t="str">
        <f t="shared" si="42"/>
        <v/>
      </c>
      <c r="I673" s="39" t="str">
        <f t="shared" si="43"/>
        <v/>
      </c>
      <c r="J673" s="39" t="str">
        <f>""</f>
        <v/>
      </c>
    </row>
    <row r="674" spans="1:10">
      <c r="A674" s="26" t="s">
        <v>3376</v>
      </c>
      <c r="E674" s="26" t="s">
        <v>5581</v>
      </c>
      <c r="F674" s="39" t="str">
        <f t="shared" si="40"/>
        <v/>
      </c>
      <c r="G674" s="39" t="str">
        <f t="shared" si="41"/>
        <v/>
      </c>
      <c r="H674" s="39" t="str">
        <f t="shared" si="42"/>
        <v/>
      </c>
      <c r="I674" s="39" t="str">
        <f t="shared" si="43"/>
        <v/>
      </c>
      <c r="J674" s="39" t="str">
        <f>""</f>
        <v/>
      </c>
    </row>
    <row r="675" spans="1:10">
      <c r="A675" s="26" t="s">
        <v>3379</v>
      </c>
      <c r="E675" s="26" t="s">
        <v>5581</v>
      </c>
      <c r="F675" s="39" t="str">
        <f t="shared" si="40"/>
        <v/>
      </c>
      <c r="G675" s="39" t="str">
        <f t="shared" si="41"/>
        <v/>
      </c>
      <c r="H675" s="39" t="str">
        <f t="shared" si="42"/>
        <v/>
      </c>
      <c r="I675" s="39" t="str">
        <f t="shared" si="43"/>
        <v/>
      </c>
      <c r="J675" s="39" t="str">
        <f>""</f>
        <v/>
      </c>
    </row>
    <row r="676" spans="1:10">
      <c r="A676" s="26" t="s">
        <v>1107</v>
      </c>
      <c r="E676" s="26" t="s">
        <v>3790</v>
      </c>
      <c r="F676" s="39" t="str">
        <f t="shared" si="40"/>
        <v/>
      </c>
      <c r="G676" s="39" t="str">
        <f t="shared" si="41"/>
        <v/>
      </c>
      <c r="H676" s="39" t="str">
        <f t="shared" si="42"/>
        <v/>
      </c>
      <c r="I676" s="39" t="str">
        <f t="shared" si="43"/>
        <v/>
      </c>
      <c r="J676" s="39" t="str">
        <f>""</f>
        <v/>
      </c>
    </row>
    <row r="677" spans="1:10">
      <c r="A677" s="26" t="s">
        <v>3382</v>
      </c>
      <c r="E677" s="26" t="s">
        <v>3790</v>
      </c>
      <c r="F677" s="39" t="str">
        <f t="shared" si="40"/>
        <v/>
      </c>
      <c r="G677" s="39" t="str">
        <f t="shared" si="41"/>
        <v/>
      </c>
      <c r="H677" s="39" t="str">
        <f t="shared" si="42"/>
        <v/>
      </c>
      <c r="I677" s="39" t="str">
        <f t="shared" si="43"/>
        <v/>
      </c>
      <c r="J677" s="39" t="str">
        <f>""</f>
        <v/>
      </c>
    </row>
    <row r="678" spans="1:10">
      <c r="A678" s="26" t="s">
        <v>1110</v>
      </c>
      <c r="E678" s="26" t="s">
        <v>5582</v>
      </c>
      <c r="F678" s="39" t="str">
        <f t="shared" si="40"/>
        <v/>
      </c>
      <c r="G678" s="39" t="str">
        <f t="shared" si="41"/>
        <v/>
      </c>
      <c r="H678" s="39" t="str">
        <f t="shared" si="42"/>
        <v/>
      </c>
      <c r="I678" s="39" t="str">
        <f t="shared" si="43"/>
        <v/>
      </c>
      <c r="J678" s="39" t="str">
        <f>""</f>
        <v/>
      </c>
    </row>
    <row r="679" spans="1:10">
      <c r="A679" s="26" t="s">
        <v>1113</v>
      </c>
      <c r="C679" s="39">
        <v>75</v>
      </c>
      <c r="E679" s="26" t="s">
        <v>5582</v>
      </c>
      <c r="F679" s="39">
        <f t="shared" si="40"/>
        <v>75</v>
      </c>
      <c r="G679" s="39">
        <f t="shared" si="41"/>
        <v>75</v>
      </c>
      <c r="H679" s="39">
        <f t="shared" si="42"/>
        <v>75</v>
      </c>
      <c r="I679" s="39" t="str">
        <f t="shared" si="43"/>
        <v/>
      </c>
      <c r="J679" s="39" t="str">
        <f>""</f>
        <v/>
      </c>
    </row>
    <row r="680" spans="1:10">
      <c r="A680" s="26" t="s">
        <v>1114</v>
      </c>
      <c r="E680" s="26" t="s">
        <v>5582</v>
      </c>
      <c r="F680" s="39" t="str">
        <f t="shared" si="40"/>
        <v/>
      </c>
      <c r="G680" s="39" t="str">
        <f t="shared" si="41"/>
        <v/>
      </c>
      <c r="H680" s="39" t="str">
        <f t="shared" si="42"/>
        <v/>
      </c>
      <c r="I680" s="39" t="str">
        <f t="shared" si="43"/>
        <v/>
      </c>
      <c r="J680" s="39" t="str">
        <f>""</f>
        <v/>
      </c>
    </row>
    <row r="681" spans="1:10">
      <c r="A681" s="26" t="s">
        <v>1116</v>
      </c>
      <c r="C681" s="39">
        <v>100</v>
      </c>
      <c r="E681" s="26" t="s">
        <v>5582</v>
      </c>
      <c r="F681" s="39" t="str">
        <f t="shared" si="40"/>
        <v/>
      </c>
      <c r="G681" s="39" t="str">
        <f t="shared" si="41"/>
        <v/>
      </c>
      <c r="H681" s="39">
        <f t="shared" si="42"/>
        <v>100</v>
      </c>
      <c r="I681" s="39" t="str">
        <f t="shared" si="43"/>
        <v/>
      </c>
      <c r="J681" s="39" t="str">
        <f>""</f>
        <v/>
      </c>
    </row>
    <row r="682" spans="1:10">
      <c r="A682" s="26" t="s">
        <v>1117</v>
      </c>
      <c r="E682" s="26" t="s">
        <v>5582</v>
      </c>
      <c r="F682" s="39" t="str">
        <f t="shared" si="40"/>
        <v/>
      </c>
      <c r="G682" s="39" t="str">
        <f t="shared" si="41"/>
        <v/>
      </c>
      <c r="H682" s="39" t="str">
        <f t="shared" si="42"/>
        <v/>
      </c>
      <c r="I682" s="39" t="str">
        <f t="shared" si="43"/>
        <v/>
      </c>
      <c r="J682" s="39" t="str">
        <f>""</f>
        <v/>
      </c>
    </row>
    <row r="683" spans="1:10">
      <c r="A683" s="26" t="s">
        <v>1119</v>
      </c>
      <c r="E683" s="26" t="s">
        <v>5582</v>
      </c>
      <c r="F683" s="39" t="str">
        <f t="shared" si="40"/>
        <v/>
      </c>
      <c r="G683" s="39" t="str">
        <f t="shared" si="41"/>
        <v/>
      </c>
      <c r="H683" s="39" t="str">
        <f t="shared" si="42"/>
        <v/>
      </c>
      <c r="I683" s="39" t="str">
        <f t="shared" si="43"/>
        <v/>
      </c>
      <c r="J683" s="39" t="str">
        <f>""</f>
        <v/>
      </c>
    </row>
    <row r="684" spans="1:10">
      <c r="A684" s="26" t="s">
        <v>1120</v>
      </c>
      <c r="E684" s="26" t="s">
        <v>5582</v>
      </c>
      <c r="F684" s="39" t="str">
        <f t="shared" si="40"/>
        <v/>
      </c>
      <c r="G684" s="39" t="str">
        <f t="shared" si="41"/>
        <v/>
      </c>
      <c r="H684" s="39" t="str">
        <f t="shared" si="42"/>
        <v/>
      </c>
      <c r="I684" s="39" t="str">
        <f t="shared" si="43"/>
        <v/>
      </c>
      <c r="J684" s="39" t="str">
        <f>""</f>
        <v/>
      </c>
    </row>
    <row r="685" spans="1:10">
      <c r="A685" s="26" t="s">
        <v>1123</v>
      </c>
      <c r="C685" s="39">
        <v>25</v>
      </c>
      <c r="D685" s="39" t="s">
        <v>3891</v>
      </c>
      <c r="E685" s="26" t="s">
        <v>5582</v>
      </c>
      <c r="F685" s="39">
        <f t="shared" si="40"/>
        <v>25</v>
      </c>
      <c r="G685" s="39">
        <f t="shared" si="41"/>
        <v>25</v>
      </c>
      <c r="H685" s="39">
        <f t="shared" si="42"/>
        <v>25</v>
      </c>
      <c r="I685" s="39">
        <f t="shared" si="43"/>
        <v>25</v>
      </c>
      <c r="J685" s="39" t="str">
        <f>""</f>
        <v/>
      </c>
    </row>
    <row r="686" spans="1:10">
      <c r="A686" s="26" t="s">
        <v>1124</v>
      </c>
      <c r="E686" s="26" t="s">
        <v>3790</v>
      </c>
      <c r="F686" s="39" t="str">
        <f t="shared" si="40"/>
        <v/>
      </c>
      <c r="G686" s="39" t="str">
        <f t="shared" si="41"/>
        <v/>
      </c>
      <c r="H686" s="39" t="str">
        <f t="shared" si="42"/>
        <v/>
      </c>
      <c r="I686" s="39" t="str">
        <f t="shared" si="43"/>
        <v/>
      </c>
      <c r="J686" s="39" t="str">
        <f>""</f>
        <v/>
      </c>
    </row>
    <row r="687" spans="1:10">
      <c r="A687" s="26" t="s">
        <v>1127</v>
      </c>
      <c r="E687" s="26" t="s">
        <v>5581</v>
      </c>
      <c r="F687" s="39" t="str">
        <f t="shared" si="40"/>
        <v/>
      </c>
      <c r="G687" s="39" t="str">
        <f t="shared" si="41"/>
        <v/>
      </c>
      <c r="H687" s="39" t="str">
        <f t="shared" si="42"/>
        <v/>
      </c>
      <c r="I687" s="39" t="str">
        <f t="shared" si="43"/>
        <v/>
      </c>
      <c r="J687" s="39" t="str">
        <f>""</f>
        <v/>
      </c>
    </row>
    <row r="688" spans="1:10">
      <c r="A688" s="26" t="s">
        <v>1129</v>
      </c>
      <c r="E688" s="26" t="s">
        <v>5581</v>
      </c>
      <c r="F688" s="39" t="str">
        <f t="shared" si="40"/>
        <v/>
      </c>
      <c r="G688" s="39" t="str">
        <f t="shared" si="41"/>
        <v/>
      </c>
      <c r="H688" s="39" t="str">
        <f t="shared" si="42"/>
        <v/>
      </c>
      <c r="I688" s="39" t="str">
        <f t="shared" si="43"/>
        <v/>
      </c>
      <c r="J688" s="39" t="str">
        <f>""</f>
        <v/>
      </c>
    </row>
    <row r="689" spans="1:10">
      <c r="A689" s="26" t="s">
        <v>1131</v>
      </c>
      <c r="E689" s="26" t="s">
        <v>5581</v>
      </c>
      <c r="F689" s="39" t="str">
        <f t="shared" si="40"/>
        <v/>
      </c>
      <c r="G689" s="39" t="str">
        <f t="shared" si="41"/>
        <v/>
      </c>
      <c r="H689" s="39" t="str">
        <f t="shared" si="42"/>
        <v/>
      </c>
      <c r="I689" s="39" t="str">
        <f t="shared" si="43"/>
        <v/>
      </c>
      <c r="J689" s="39" t="str">
        <f>""</f>
        <v/>
      </c>
    </row>
    <row r="690" spans="1:10">
      <c r="A690" s="26" t="s">
        <v>1135</v>
      </c>
      <c r="E690" s="26" t="s">
        <v>5581</v>
      </c>
      <c r="F690" s="39" t="str">
        <f t="shared" si="40"/>
        <v/>
      </c>
      <c r="G690" s="39" t="str">
        <f t="shared" si="41"/>
        <v/>
      </c>
      <c r="H690" s="39" t="str">
        <f t="shared" si="42"/>
        <v/>
      </c>
      <c r="I690" s="39" t="str">
        <f t="shared" si="43"/>
        <v/>
      </c>
      <c r="J690" s="39" t="str">
        <f>""</f>
        <v/>
      </c>
    </row>
    <row r="691" spans="1:10">
      <c r="A691" s="26" t="s">
        <v>1138</v>
      </c>
      <c r="E691" s="26" t="s">
        <v>5581</v>
      </c>
      <c r="F691" s="39" t="str">
        <f t="shared" si="40"/>
        <v/>
      </c>
      <c r="G691" s="39" t="str">
        <f t="shared" si="41"/>
        <v/>
      </c>
      <c r="H691" s="39" t="str">
        <f t="shared" si="42"/>
        <v/>
      </c>
      <c r="I691" s="39" t="str">
        <f t="shared" si="43"/>
        <v/>
      </c>
      <c r="J691" s="39" t="str">
        <f>""</f>
        <v/>
      </c>
    </row>
    <row r="692" spans="1:10">
      <c r="A692" s="26" t="s">
        <v>1141</v>
      </c>
      <c r="E692" s="26" t="s">
        <v>5581</v>
      </c>
      <c r="F692" s="39" t="str">
        <f t="shared" si="40"/>
        <v/>
      </c>
      <c r="G692" s="39" t="str">
        <f t="shared" si="41"/>
        <v/>
      </c>
      <c r="H692" s="39" t="str">
        <f t="shared" si="42"/>
        <v/>
      </c>
      <c r="I692" s="39" t="str">
        <f t="shared" si="43"/>
        <v/>
      </c>
      <c r="J692" s="39" t="str">
        <f>""</f>
        <v/>
      </c>
    </row>
    <row r="693" spans="1:10">
      <c r="A693" s="26" t="s">
        <v>1144</v>
      </c>
      <c r="E693" s="26" t="s">
        <v>5581</v>
      </c>
      <c r="F693" s="39" t="str">
        <f t="shared" si="40"/>
        <v/>
      </c>
      <c r="G693" s="39" t="str">
        <f t="shared" si="41"/>
        <v/>
      </c>
      <c r="H693" s="39" t="str">
        <f t="shared" si="42"/>
        <v/>
      </c>
      <c r="I693" s="39" t="str">
        <f t="shared" si="43"/>
        <v/>
      </c>
      <c r="J693" s="39" t="str">
        <f>""</f>
        <v/>
      </c>
    </row>
    <row r="694" spans="1:10">
      <c r="A694" s="26" t="s">
        <v>1148</v>
      </c>
      <c r="E694" s="26" t="s">
        <v>5581</v>
      </c>
      <c r="F694" s="39" t="str">
        <f t="shared" si="40"/>
        <v/>
      </c>
      <c r="G694" s="39" t="str">
        <f t="shared" si="41"/>
        <v/>
      </c>
      <c r="H694" s="39" t="str">
        <f t="shared" si="42"/>
        <v/>
      </c>
      <c r="I694" s="39" t="str">
        <f t="shared" si="43"/>
        <v/>
      </c>
      <c r="J694" s="39" t="str">
        <f>""</f>
        <v/>
      </c>
    </row>
    <row r="695" spans="1:10">
      <c r="A695" s="26" t="s">
        <v>1152</v>
      </c>
      <c r="E695" s="26" t="s">
        <v>5581</v>
      </c>
      <c r="F695" s="39" t="str">
        <f t="shared" si="40"/>
        <v/>
      </c>
      <c r="G695" s="39" t="str">
        <f t="shared" si="41"/>
        <v/>
      </c>
      <c r="H695" s="39" t="str">
        <f t="shared" si="42"/>
        <v/>
      </c>
      <c r="I695" s="39" t="str">
        <f t="shared" si="43"/>
        <v/>
      </c>
      <c r="J695" s="39" t="str">
        <f>""</f>
        <v/>
      </c>
    </row>
    <row r="696" spans="1:10">
      <c r="A696" s="26" t="s">
        <v>1153</v>
      </c>
      <c r="E696" s="26" t="s">
        <v>5581</v>
      </c>
      <c r="F696" s="39" t="str">
        <f t="shared" si="40"/>
        <v/>
      </c>
      <c r="G696" s="39" t="str">
        <f t="shared" si="41"/>
        <v/>
      </c>
      <c r="H696" s="39" t="str">
        <f t="shared" si="42"/>
        <v/>
      </c>
      <c r="I696" s="39" t="str">
        <f t="shared" si="43"/>
        <v/>
      </c>
      <c r="J696" s="39" t="str">
        <f>""</f>
        <v/>
      </c>
    </row>
    <row r="697" spans="1:10">
      <c r="A697" s="26" t="s">
        <v>1155</v>
      </c>
      <c r="E697" s="26" t="s">
        <v>5581</v>
      </c>
      <c r="F697" s="39" t="str">
        <f t="shared" si="40"/>
        <v/>
      </c>
      <c r="G697" s="39" t="str">
        <f t="shared" si="41"/>
        <v/>
      </c>
      <c r="H697" s="39" t="str">
        <f t="shared" si="42"/>
        <v/>
      </c>
      <c r="I697" s="39" t="str">
        <f t="shared" si="43"/>
        <v/>
      </c>
      <c r="J697" s="39" t="str">
        <f>""</f>
        <v/>
      </c>
    </row>
    <row r="698" spans="1:10">
      <c r="A698" s="26" t="s">
        <v>3383</v>
      </c>
      <c r="E698" s="26" t="s">
        <v>3790</v>
      </c>
      <c r="F698" s="39" t="str">
        <f t="shared" si="40"/>
        <v/>
      </c>
      <c r="G698" s="39" t="str">
        <f t="shared" si="41"/>
        <v/>
      </c>
      <c r="H698" s="39" t="str">
        <f t="shared" si="42"/>
        <v/>
      </c>
      <c r="I698" s="39" t="str">
        <f t="shared" si="43"/>
        <v/>
      </c>
      <c r="J698" s="39" t="str">
        <f>""</f>
        <v/>
      </c>
    </row>
    <row r="699" spans="1:10">
      <c r="A699" s="26" t="s">
        <v>2234</v>
      </c>
      <c r="E699" s="26" t="s">
        <v>5581</v>
      </c>
      <c r="F699" s="39" t="str">
        <f t="shared" si="40"/>
        <v/>
      </c>
      <c r="G699" s="39" t="str">
        <f t="shared" si="41"/>
        <v/>
      </c>
      <c r="H699" s="39" t="str">
        <f t="shared" si="42"/>
        <v/>
      </c>
      <c r="I699" s="39" t="str">
        <f t="shared" si="43"/>
        <v/>
      </c>
      <c r="J699" s="39" t="str">
        <f>""</f>
        <v/>
      </c>
    </row>
    <row r="700" spans="1:10">
      <c r="A700" s="26" t="s">
        <v>2237</v>
      </c>
      <c r="E700" s="26" t="s">
        <v>5581</v>
      </c>
      <c r="F700" s="39" t="str">
        <f t="shared" si="40"/>
        <v/>
      </c>
      <c r="G700" s="39" t="str">
        <f t="shared" si="41"/>
        <v/>
      </c>
      <c r="H700" s="39" t="str">
        <f t="shared" si="42"/>
        <v/>
      </c>
      <c r="I700" s="39" t="str">
        <f t="shared" si="43"/>
        <v/>
      </c>
      <c r="J700" s="39" t="str">
        <f>""</f>
        <v/>
      </c>
    </row>
    <row r="701" spans="1:10">
      <c r="A701" s="26" t="s">
        <v>1156</v>
      </c>
      <c r="E701" s="26" t="s">
        <v>3790</v>
      </c>
      <c r="F701" s="39" t="str">
        <f t="shared" si="40"/>
        <v/>
      </c>
      <c r="G701" s="39" t="str">
        <f t="shared" si="41"/>
        <v/>
      </c>
      <c r="H701" s="39" t="str">
        <f t="shared" si="42"/>
        <v/>
      </c>
      <c r="I701" s="39" t="str">
        <f t="shared" si="43"/>
        <v/>
      </c>
      <c r="J701" s="39" t="str">
        <f>""</f>
        <v/>
      </c>
    </row>
    <row r="702" spans="1:10">
      <c r="A702" s="26" t="s">
        <v>1158</v>
      </c>
      <c r="E702" s="26" t="s">
        <v>3790</v>
      </c>
      <c r="F702" s="39" t="str">
        <f t="shared" si="40"/>
        <v/>
      </c>
      <c r="G702" s="39" t="str">
        <f t="shared" si="41"/>
        <v/>
      </c>
      <c r="H702" s="39" t="str">
        <f t="shared" si="42"/>
        <v/>
      </c>
      <c r="I702" s="39" t="str">
        <f t="shared" si="43"/>
        <v/>
      </c>
      <c r="J702" s="39" t="str">
        <f>""</f>
        <v/>
      </c>
    </row>
    <row r="703" spans="1:10">
      <c r="A703" s="26" t="s">
        <v>2239</v>
      </c>
      <c r="E703" s="26" t="s">
        <v>5581</v>
      </c>
      <c r="F703" s="39" t="str">
        <f t="shared" si="40"/>
        <v/>
      </c>
      <c r="G703" s="39" t="str">
        <f t="shared" si="41"/>
        <v/>
      </c>
      <c r="H703" s="39" t="str">
        <f t="shared" si="42"/>
        <v/>
      </c>
      <c r="I703" s="39" t="str">
        <f t="shared" si="43"/>
        <v/>
      </c>
      <c r="J703" s="39" t="str">
        <f>""</f>
        <v/>
      </c>
    </row>
    <row r="704" spans="1:10">
      <c r="A704" s="26" t="s">
        <v>2241</v>
      </c>
      <c r="E704" s="26" t="s">
        <v>5581</v>
      </c>
      <c r="F704" s="39" t="str">
        <f t="shared" si="40"/>
        <v/>
      </c>
      <c r="G704" s="39" t="str">
        <f t="shared" si="41"/>
        <v/>
      </c>
      <c r="H704" s="39" t="str">
        <f t="shared" si="42"/>
        <v/>
      </c>
      <c r="I704" s="39" t="str">
        <f t="shared" si="43"/>
        <v/>
      </c>
      <c r="J704" s="39" t="str">
        <f>""</f>
        <v/>
      </c>
    </row>
    <row r="705" spans="1:10">
      <c r="A705" s="26" t="s">
        <v>2242</v>
      </c>
      <c r="E705" s="26" t="s">
        <v>5581</v>
      </c>
      <c r="F705" s="39" t="str">
        <f t="shared" si="40"/>
        <v/>
      </c>
      <c r="G705" s="39" t="str">
        <f t="shared" si="41"/>
        <v/>
      </c>
      <c r="H705" s="39" t="str">
        <f t="shared" si="42"/>
        <v/>
      </c>
      <c r="I705" s="39" t="str">
        <f t="shared" si="43"/>
        <v/>
      </c>
      <c r="J705" s="39" t="str">
        <f>""</f>
        <v/>
      </c>
    </row>
    <row r="706" spans="1:10">
      <c r="A706" s="26" t="s">
        <v>2244</v>
      </c>
      <c r="E706" s="26" t="s">
        <v>5581</v>
      </c>
      <c r="F706" s="39" t="str">
        <f t="shared" si="40"/>
        <v/>
      </c>
      <c r="G706" s="39" t="str">
        <f t="shared" si="41"/>
        <v/>
      </c>
      <c r="H706" s="39" t="str">
        <f t="shared" si="42"/>
        <v/>
      </c>
      <c r="I706" s="39" t="str">
        <f t="shared" si="43"/>
        <v/>
      </c>
      <c r="J706" s="39" t="str">
        <f>""</f>
        <v/>
      </c>
    </row>
    <row r="707" spans="1:10">
      <c r="A707" s="26" t="s">
        <v>2245</v>
      </c>
      <c r="E707" s="26" t="s">
        <v>5581</v>
      </c>
      <c r="F707" s="39" t="str">
        <f t="shared" ref="F707:F770" si="44">IF(C707="","",IF(C707&lt;99,C707,""))</f>
        <v/>
      </c>
      <c r="G707" s="39" t="str">
        <f t="shared" ref="G707:G770" si="45">IF(OR(F707&lt;&gt;"",D707&lt;&gt;""),C707,"")</f>
        <v/>
      </c>
      <c r="H707" s="39" t="str">
        <f t="shared" ref="H707:H770" si="46">IF(C707="","",C707)</f>
        <v/>
      </c>
      <c r="I707" s="39" t="str">
        <f t="shared" ref="I707:I770" si="47">IF(AND(C707&lt;&gt;"",D707&lt;&gt;""),C707,"")</f>
        <v/>
      </c>
      <c r="J707" s="39" t="str">
        <f>""</f>
        <v/>
      </c>
    </row>
    <row r="708" spans="1:10">
      <c r="A708" s="26" t="s">
        <v>2247</v>
      </c>
      <c r="E708" s="26" t="s">
        <v>5581</v>
      </c>
      <c r="F708" s="39" t="str">
        <f t="shared" si="44"/>
        <v/>
      </c>
      <c r="G708" s="39" t="str">
        <f t="shared" si="45"/>
        <v/>
      </c>
      <c r="H708" s="39" t="str">
        <f t="shared" si="46"/>
        <v/>
      </c>
      <c r="I708" s="39" t="str">
        <f t="shared" si="47"/>
        <v/>
      </c>
      <c r="J708" s="39" t="str">
        <f>""</f>
        <v/>
      </c>
    </row>
    <row r="709" spans="1:10">
      <c r="A709" s="26" t="s">
        <v>2248</v>
      </c>
      <c r="E709" s="26" t="s">
        <v>5581</v>
      </c>
      <c r="F709" s="39" t="str">
        <f t="shared" si="44"/>
        <v/>
      </c>
      <c r="G709" s="39" t="str">
        <f t="shared" si="45"/>
        <v/>
      </c>
      <c r="H709" s="39" t="str">
        <f t="shared" si="46"/>
        <v/>
      </c>
      <c r="I709" s="39" t="str">
        <f t="shared" si="47"/>
        <v/>
      </c>
      <c r="J709" s="39" t="str">
        <f>""</f>
        <v/>
      </c>
    </row>
    <row r="710" spans="1:10">
      <c r="A710" s="26" t="s">
        <v>2250</v>
      </c>
      <c r="E710" s="26" t="s">
        <v>5581</v>
      </c>
      <c r="F710" s="39" t="str">
        <f t="shared" si="44"/>
        <v/>
      </c>
      <c r="G710" s="39" t="str">
        <f t="shared" si="45"/>
        <v/>
      </c>
      <c r="H710" s="39" t="str">
        <f t="shared" si="46"/>
        <v/>
      </c>
      <c r="I710" s="39" t="str">
        <f t="shared" si="47"/>
        <v/>
      </c>
      <c r="J710" s="39" t="str">
        <f>""</f>
        <v/>
      </c>
    </row>
    <row r="711" spans="1:10">
      <c r="A711" s="26" t="s">
        <v>2252</v>
      </c>
      <c r="E711" s="26" t="s">
        <v>3790</v>
      </c>
      <c r="F711" s="39" t="str">
        <f t="shared" si="44"/>
        <v/>
      </c>
      <c r="G711" s="39" t="str">
        <f t="shared" si="45"/>
        <v/>
      </c>
      <c r="H711" s="39" t="str">
        <f t="shared" si="46"/>
        <v/>
      </c>
      <c r="I711" s="39" t="str">
        <f t="shared" si="47"/>
        <v/>
      </c>
      <c r="J711" s="39" t="str">
        <f>""</f>
        <v/>
      </c>
    </row>
    <row r="712" spans="1:10">
      <c r="A712" s="26" t="s">
        <v>2255</v>
      </c>
      <c r="E712" s="26" t="s">
        <v>5581</v>
      </c>
      <c r="F712" s="39" t="str">
        <f t="shared" si="44"/>
        <v/>
      </c>
      <c r="G712" s="39" t="str">
        <f t="shared" si="45"/>
        <v/>
      </c>
      <c r="H712" s="39" t="str">
        <f t="shared" si="46"/>
        <v/>
      </c>
      <c r="I712" s="39" t="str">
        <f t="shared" si="47"/>
        <v/>
      </c>
      <c r="J712" s="39" t="str">
        <f>""</f>
        <v/>
      </c>
    </row>
    <row r="713" spans="1:10">
      <c r="A713" s="26" t="s">
        <v>2256</v>
      </c>
      <c r="E713" s="26" t="s">
        <v>5581</v>
      </c>
      <c r="F713" s="39" t="str">
        <f t="shared" si="44"/>
        <v/>
      </c>
      <c r="G713" s="39" t="str">
        <f t="shared" si="45"/>
        <v/>
      </c>
      <c r="H713" s="39" t="str">
        <f t="shared" si="46"/>
        <v/>
      </c>
      <c r="I713" s="39" t="str">
        <f t="shared" si="47"/>
        <v/>
      </c>
      <c r="J713" s="39" t="str">
        <f>""</f>
        <v/>
      </c>
    </row>
    <row r="714" spans="1:10">
      <c r="A714" s="26" t="s">
        <v>2257</v>
      </c>
      <c r="E714" s="26" t="s">
        <v>5581</v>
      </c>
      <c r="F714" s="39" t="str">
        <f t="shared" si="44"/>
        <v/>
      </c>
      <c r="G714" s="39" t="str">
        <f t="shared" si="45"/>
        <v/>
      </c>
      <c r="H714" s="39" t="str">
        <f t="shared" si="46"/>
        <v/>
      </c>
      <c r="I714" s="39" t="str">
        <f t="shared" si="47"/>
        <v/>
      </c>
      <c r="J714" s="39" t="str">
        <f>""</f>
        <v/>
      </c>
    </row>
    <row r="715" spans="1:10">
      <c r="A715" s="26" t="s">
        <v>2259</v>
      </c>
      <c r="E715" s="26" t="s">
        <v>5581</v>
      </c>
      <c r="F715" s="39" t="str">
        <f t="shared" si="44"/>
        <v/>
      </c>
      <c r="G715" s="39" t="str">
        <f t="shared" si="45"/>
        <v/>
      </c>
      <c r="H715" s="39" t="str">
        <f t="shared" si="46"/>
        <v/>
      </c>
      <c r="I715" s="39" t="str">
        <f t="shared" si="47"/>
        <v/>
      </c>
      <c r="J715" s="39" t="str">
        <f>""</f>
        <v/>
      </c>
    </row>
    <row r="716" spans="1:10">
      <c r="A716" s="26" t="s">
        <v>2260</v>
      </c>
      <c r="E716" s="26" t="s">
        <v>5581</v>
      </c>
      <c r="F716" s="39" t="str">
        <f t="shared" si="44"/>
        <v/>
      </c>
      <c r="G716" s="39" t="str">
        <f t="shared" si="45"/>
        <v/>
      </c>
      <c r="H716" s="39" t="str">
        <f t="shared" si="46"/>
        <v/>
      </c>
      <c r="I716" s="39" t="str">
        <f t="shared" si="47"/>
        <v/>
      </c>
      <c r="J716" s="39" t="str">
        <f>""</f>
        <v/>
      </c>
    </row>
    <row r="717" spans="1:10">
      <c r="A717" s="26" t="s">
        <v>5358</v>
      </c>
      <c r="E717" s="26" t="s">
        <v>5581</v>
      </c>
      <c r="F717" s="39" t="str">
        <f t="shared" si="44"/>
        <v/>
      </c>
      <c r="G717" s="39" t="str">
        <f t="shared" si="45"/>
        <v/>
      </c>
      <c r="H717" s="39" t="str">
        <f t="shared" si="46"/>
        <v/>
      </c>
      <c r="I717" s="39" t="str">
        <f t="shared" si="47"/>
        <v/>
      </c>
      <c r="J717" s="39" t="str">
        <f>""</f>
        <v/>
      </c>
    </row>
    <row r="718" spans="1:10">
      <c r="A718" s="26" t="s">
        <v>2261</v>
      </c>
      <c r="E718" s="26" t="s">
        <v>5581</v>
      </c>
      <c r="F718" s="39" t="str">
        <f t="shared" si="44"/>
        <v/>
      </c>
      <c r="G718" s="39" t="str">
        <f t="shared" si="45"/>
        <v/>
      </c>
      <c r="H718" s="39" t="str">
        <f t="shared" si="46"/>
        <v/>
      </c>
      <c r="I718" s="39" t="str">
        <f t="shared" si="47"/>
        <v/>
      </c>
      <c r="J718" s="39" t="str">
        <f>""</f>
        <v/>
      </c>
    </row>
    <row r="719" spans="1:10">
      <c r="A719" s="26" t="s">
        <v>2264</v>
      </c>
      <c r="E719" s="26" t="s">
        <v>5581</v>
      </c>
      <c r="F719" s="39" t="str">
        <f t="shared" si="44"/>
        <v/>
      </c>
      <c r="G719" s="39" t="str">
        <f t="shared" si="45"/>
        <v/>
      </c>
      <c r="H719" s="39" t="str">
        <f t="shared" si="46"/>
        <v/>
      </c>
      <c r="I719" s="39" t="str">
        <f t="shared" si="47"/>
        <v/>
      </c>
      <c r="J719" s="39" t="str">
        <f>""</f>
        <v/>
      </c>
    </row>
    <row r="720" spans="1:10">
      <c r="A720" s="26" t="s">
        <v>2265</v>
      </c>
      <c r="E720" s="26" t="s">
        <v>5581</v>
      </c>
      <c r="F720" s="39" t="str">
        <f t="shared" si="44"/>
        <v/>
      </c>
      <c r="G720" s="39" t="str">
        <f t="shared" si="45"/>
        <v/>
      </c>
      <c r="H720" s="39" t="str">
        <f t="shared" si="46"/>
        <v/>
      </c>
      <c r="I720" s="39" t="str">
        <f t="shared" si="47"/>
        <v/>
      </c>
      <c r="J720" s="39" t="str">
        <f>""</f>
        <v/>
      </c>
    </row>
    <row r="721" spans="1:10">
      <c r="A721" s="26" t="s">
        <v>2268</v>
      </c>
      <c r="E721" s="26" t="s">
        <v>5581</v>
      </c>
      <c r="F721" s="39" t="str">
        <f t="shared" si="44"/>
        <v/>
      </c>
      <c r="G721" s="39" t="str">
        <f t="shared" si="45"/>
        <v/>
      </c>
      <c r="H721" s="39" t="str">
        <f t="shared" si="46"/>
        <v/>
      </c>
      <c r="I721" s="39" t="str">
        <f t="shared" si="47"/>
        <v/>
      </c>
      <c r="J721" s="39" t="str">
        <f>""</f>
        <v/>
      </c>
    </row>
    <row r="722" spans="1:10">
      <c r="A722" s="26" t="s">
        <v>2269</v>
      </c>
      <c r="E722" s="26" t="s">
        <v>5581</v>
      </c>
      <c r="F722" s="39" t="str">
        <f t="shared" si="44"/>
        <v/>
      </c>
      <c r="G722" s="39" t="str">
        <f t="shared" si="45"/>
        <v/>
      </c>
      <c r="H722" s="39" t="str">
        <f t="shared" si="46"/>
        <v/>
      </c>
      <c r="I722" s="39" t="str">
        <f t="shared" si="47"/>
        <v/>
      </c>
      <c r="J722" s="39" t="str">
        <f>""</f>
        <v/>
      </c>
    </row>
    <row r="723" spans="1:10">
      <c r="A723" s="26" t="s">
        <v>2272</v>
      </c>
      <c r="E723" s="26" t="s">
        <v>3790</v>
      </c>
      <c r="F723" s="39" t="str">
        <f t="shared" si="44"/>
        <v/>
      </c>
      <c r="G723" s="39" t="str">
        <f t="shared" si="45"/>
        <v/>
      </c>
      <c r="H723" s="39" t="str">
        <f t="shared" si="46"/>
        <v/>
      </c>
      <c r="I723" s="39" t="str">
        <f t="shared" si="47"/>
        <v/>
      </c>
      <c r="J723" s="39" t="str">
        <f>""</f>
        <v/>
      </c>
    </row>
    <row r="724" spans="1:10">
      <c r="A724" s="26" t="s">
        <v>2275</v>
      </c>
      <c r="E724" s="26" t="s">
        <v>3790</v>
      </c>
      <c r="F724" s="39" t="str">
        <f t="shared" si="44"/>
        <v/>
      </c>
      <c r="G724" s="39" t="str">
        <f t="shared" si="45"/>
        <v/>
      </c>
      <c r="H724" s="39" t="str">
        <f t="shared" si="46"/>
        <v/>
      </c>
      <c r="I724" s="39" t="str">
        <f t="shared" si="47"/>
        <v/>
      </c>
      <c r="J724" s="39" t="str">
        <f>""</f>
        <v/>
      </c>
    </row>
    <row r="725" spans="1:10">
      <c r="A725" s="26" t="s">
        <v>2277</v>
      </c>
      <c r="E725" s="26" t="s">
        <v>3790</v>
      </c>
      <c r="F725" s="39" t="str">
        <f t="shared" si="44"/>
        <v/>
      </c>
      <c r="G725" s="39" t="str">
        <f t="shared" si="45"/>
        <v/>
      </c>
      <c r="H725" s="39" t="str">
        <f t="shared" si="46"/>
        <v/>
      </c>
      <c r="I725" s="39" t="str">
        <f t="shared" si="47"/>
        <v/>
      </c>
      <c r="J725" s="39" t="str">
        <f>""</f>
        <v/>
      </c>
    </row>
    <row r="726" spans="1:10">
      <c r="A726" s="26" t="s">
        <v>2278</v>
      </c>
      <c r="E726" s="26" t="s">
        <v>3790</v>
      </c>
      <c r="F726" s="39" t="str">
        <f t="shared" si="44"/>
        <v/>
      </c>
      <c r="G726" s="39" t="str">
        <f t="shared" si="45"/>
        <v/>
      </c>
      <c r="H726" s="39" t="str">
        <f t="shared" si="46"/>
        <v/>
      </c>
      <c r="I726" s="39" t="str">
        <f t="shared" si="47"/>
        <v/>
      </c>
      <c r="J726" s="39" t="str">
        <f>""</f>
        <v/>
      </c>
    </row>
    <row r="727" spans="1:10">
      <c r="A727" s="26" t="s">
        <v>2280</v>
      </c>
      <c r="E727" s="26" t="s">
        <v>3790</v>
      </c>
      <c r="F727" s="39" t="str">
        <f t="shared" si="44"/>
        <v/>
      </c>
      <c r="G727" s="39" t="str">
        <f t="shared" si="45"/>
        <v/>
      </c>
      <c r="H727" s="39" t="str">
        <f t="shared" si="46"/>
        <v/>
      </c>
      <c r="I727" s="39" t="str">
        <f t="shared" si="47"/>
        <v/>
      </c>
      <c r="J727" s="39" t="str">
        <f>""</f>
        <v/>
      </c>
    </row>
    <row r="728" spans="1:10">
      <c r="A728" s="26" t="s">
        <v>2282</v>
      </c>
      <c r="E728" s="26" t="s">
        <v>3790</v>
      </c>
      <c r="F728" s="39" t="str">
        <f t="shared" si="44"/>
        <v/>
      </c>
      <c r="G728" s="39" t="str">
        <f t="shared" si="45"/>
        <v/>
      </c>
      <c r="H728" s="39" t="str">
        <f t="shared" si="46"/>
        <v/>
      </c>
      <c r="I728" s="39" t="str">
        <f t="shared" si="47"/>
        <v/>
      </c>
      <c r="J728" s="39" t="str">
        <f>""</f>
        <v/>
      </c>
    </row>
    <row r="729" spans="1:10">
      <c r="A729" s="26" t="s">
        <v>2284</v>
      </c>
      <c r="E729" s="26" t="s">
        <v>3790</v>
      </c>
      <c r="F729" s="39" t="str">
        <f t="shared" si="44"/>
        <v/>
      </c>
      <c r="G729" s="39" t="str">
        <f t="shared" si="45"/>
        <v/>
      </c>
      <c r="H729" s="39" t="str">
        <f t="shared" si="46"/>
        <v/>
      </c>
      <c r="I729" s="39" t="str">
        <f t="shared" si="47"/>
        <v/>
      </c>
      <c r="J729" s="39" t="str">
        <f>""</f>
        <v/>
      </c>
    </row>
    <row r="730" spans="1:10">
      <c r="A730" s="26" t="s">
        <v>2288</v>
      </c>
      <c r="E730" s="26" t="s">
        <v>3790</v>
      </c>
      <c r="F730" s="39" t="str">
        <f t="shared" si="44"/>
        <v/>
      </c>
      <c r="G730" s="39" t="str">
        <f t="shared" si="45"/>
        <v/>
      </c>
      <c r="H730" s="39" t="str">
        <f t="shared" si="46"/>
        <v/>
      </c>
      <c r="I730" s="39" t="str">
        <f t="shared" si="47"/>
        <v/>
      </c>
      <c r="J730" s="39" t="str">
        <f>""</f>
        <v/>
      </c>
    </row>
    <row r="731" spans="1:10">
      <c r="A731" s="26" t="s">
        <v>2289</v>
      </c>
      <c r="E731" s="26" t="s">
        <v>3790</v>
      </c>
      <c r="F731" s="39" t="str">
        <f t="shared" si="44"/>
        <v/>
      </c>
      <c r="G731" s="39" t="str">
        <f t="shared" si="45"/>
        <v/>
      </c>
      <c r="H731" s="39" t="str">
        <f t="shared" si="46"/>
        <v/>
      </c>
      <c r="I731" s="39" t="str">
        <f t="shared" si="47"/>
        <v/>
      </c>
      <c r="J731" s="39" t="str">
        <f>""</f>
        <v/>
      </c>
    </row>
    <row r="732" spans="1:10">
      <c r="A732" s="26" t="s">
        <v>2291</v>
      </c>
      <c r="E732" s="26" t="s">
        <v>3790</v>
      </c>
      <c r="F732" s="39" t="str">
        <f t="shared" si="44"/>
        <v/>
      </c>
      <c r="G732" s="39" t="str">
        <f t="shared" si="45"/>
        <v/>
      </c>
      <c r="H732" s="39" t="str">
        <f t="shared" si="46"/>
        <v/>
      </c>
      <c r="I732" s="39" t="str">
        <f t="shared" si="47"/>
        <v/>
      </c>
      <c r="J732" s="39" t="str">
        <f>""</f>
        <v/>
      </c>
    </row>
    <row r="733" spans="1:10">
      <c r="A733" s="26" t="s">
        <v>2292</v>
      </c>
      <c r="E733" s="26" t="s">
        <v>3790</v>
      </c>
      <c r="F733" s="39" t="str">
        <f t="shared" si="44"/>
        <v/>
      </c>
      <c r="G733" s="39" t="str">
        <f t="shared" si="45"/>
        <v/>
      </c>
      <c r="H733" s="39" t="str">
        <f t="shared" si="46"/>
        <v/>
      </c>
      <c r="I733" s="39" t="str">
        <f t="shared" si="47"/>
        <v/>
      </c>
      <c r="J733" s="39" t="str">
        <f>""</f>
        <v/>
      </c>
    </row>
    <row r="734" spans="1:10">
      <c r="A734" s="26" t="s">
        <v>2293</v>
      </c>
      <c r="E734" s="26" t="s">
        <v>3790</v>
      </c>
      <c r="F734" s="39" t="str">
        <f t="shared" si="44"/>
        <v/>
      </c>
      <c r="G734" s="39" t="str">
        <f t="shared" si="45"/>
        <v/>
      </c>
      <c r="H734" s="39" t="str">
        <f t="shared" si="46"/>
        <v/>
      </c>
      <c r="I734" s="39" t="str">
        <f t="shared" si="47"/>
        <v/>
      </c>
      <c r="J734" s="39" t="str">
        <f>""</f>
        <v/>
      </c>
    </row>
    <row r="735" spans="1:10">
      <c r="A735" s="26" t="s">
        <v>2295</v>
      </c>
      <c r="E735" s="26" t="s">
        <v>3790</v>
      </c>
      <c r="F735" s="39" t="str">
        <f t="shared" si="44"/>
        <v/>
      </c>
      <c r="G735" s="39" t="str">
        <f t="shared" si="45"/>
        <v/>
      </c>
      <c r="H735" s="39" t="str">
        <f t="shared" si="46"/>
        <v/>
      </c>
      <c r="I735" s="39" t="str">
        <f t="shared" si="47"/>
        <v/>
      </c>
      <c r="J735" s="39" t="str">
        <f>""</f>
        <v/>
      </c>
    </row>
    <row r="736" spans="1:10">
      <c r="A736" s="26" t="s">
        <v>2296</v>
      </c>
      <c r="E736" s="26" t="s">
        <v>3790</v>
      </c>
      <c r="F736" s="39" t="str">
        <f t="shared" si="44"/>
        <v/>
      </c>
      <c r="G736" s="39" t="str">
        <f t="shared" si="45"/>
        <v/>
      </c>
      <c r="H736" s="39" t="str">
        <f t="shared" si="46"/>
        <v/>
      </c>
      <c r="I736" s="39" t="str">
        <f t="shared" si="47"/>
        <v/>
      </c>
      <c r="J736" s="39" t="str">
        <f>""</f>
        <v/>
      </c>
    </row>
    <row r="737" spans="1:10">
      <c r="A737" s="26" t="s">
        <v>2297</v>
      </c>
      <c r="E737" s="26" t="s">
        <v>3790</v>
      </c>
      <c r="F737" s="39" t="str">
        <f t="shared" si="44"/>
        <v/>
      </c>
      <c r="G737" s="39" t="str">
        <f t="shared" si="45"/>
        <v/>
      </c>
      <c r="H737" s="39" t="str">
        <f t="shared" si="46"/>
        <v/>
      </c>
      <c r="I737" s="39" t="str">
        <f t="shared" si="47"/>
        <v/>
      </c>
      <c r="J737" s="39" t="str">
        <f>""</f>
        <v/>
      </c>
    </row>
    <row r="738" spans="1:10">
      <c r="A738" s="26" t="s">
        <v>2298</v>
      </c>
      <c r="E738" s="26" t="s">
        <v>3790</v>
      </c>
      <c r="F738" s="39" t="str">
        <f t="shared" si="44"/>
        <v/>
      </c>
      <c r="G738" s="39" t="str">
        <f t="shared" si="45"/>
        <v/>
      </c>
      <c r="H738" s="39" t="str">
        <f t="shared" si="46"/>
        <v/>
      </c>
      <c r="I738" s="39" t="str">
        <f t="shared" si="47"/>
        <v/>
      </c>
      <c r="J738" s="39" t="str">
        <f>""</f>
        <v/>
      </c>
    </row>
    <row r="739" spans="1:10">
      <c r="A739" s="26" t="s">
        <v>2299</v>
      </c>
      <c r="E739" s="26" t="s">
        <v>3790</v>
      </c>
      <c r="F739" s="39" t="str">
        <f t="shared" si="44"/>
        <v/>
      </c>
      <c r="G739" s="39" t="str">
        <f t="shared" si="45"/>
        <v/>
      </c>
      <c r="H739" s="39" t="str">
        <f t="shared" si="46"/>
        <v/>
      </c>
      <c r="I739" s="39" t="str">
        <f t="shared" si="47"/>
        <v/>
      </c>
      <c r="J739" s="39" t="str">
        <f>""</f>
        <v/>
      </c>
    </row>
    <row r="740" spans="1:10">
      <c r="A740" s="26" t="s">
        <v>2300</v>
      </c>
      <c r="E740" s="26" t="s">
        <v>3790</v>
      </c>
      <c r="F740" s="39" t="str">
        <f t="shared" si="44"/>
        <v/>
      </c>
      <c r="G740" s="39" t="str">
        <f t="shared" si="45"/>
        <v/>
      </c>
      <c r="H740" s="39" t="str">
        <f t="shared" si="46"/>
        <v/>
      </c>
      <c r="I740" s="39" t="str">
        <f t="shared" si="47"/>
        <v/>
      </c>
      <c r="J740" s="39" t="str">
        <f>""</f>
        <v/>
      </c>
    </row>
    <row r="741" spans="1:10">
      <c r="A741" s="26" t="s">
        <v>2301</v>
      </c>
      <c r="E741" s="26" t="s">
        <v>5581</v>
      </c>
      <c r="F741" s="39" t="str">
        <f t="shared" si="44"/>
        <v/>
      </c>
      <c r="G741" s="39" t="str">
        <f t="shared" si="45"/>
        <v/>
      </c>
      <c r="H741" s="39" t="str">
        <f t="shared" si="46"/>
        <v/>
      </c>
      <c r="I741" s="39" t="str">
        <f t="shared" si="47"/>
        <v/>
      </c>
      <c r="J741" s="39" t="str">
        <f>""</f>
        <v/>
      </c>
    </row>
    <row r="742" spans="1:10">
      <c r="A742" s="26" t="s">
        <v>2304</v>
      </c>
      <c r="E742" s="26" t="s">
        <v>5581</v>
      </c>
      <c r="F742" s="39" t="str">
        <f t="shared" si="44"/>
        <v/>
      </c>
      <c r="G742" s="39" t="str">
        <f t="shared" si="45"/>
        <v/>
      </c>
      <c r="H742" s="39" t="str">
        <f t="shared" si="46"/>
        <v/>
      </c>
      <c r="I742" s="39" t="str">
        <f t="shared" si="47"/>
        <v/>
      </c>
      <c r="J742" s="39" t="str">
        <f>""</f>
        <v/>
      </c>
    </row>
    <row r="743" spans="1:10">
      <c r="A743" s="26" t="s">
        <v>2305</v>
      </c>
      <c r="E743" s="26" t="s">
        <v>5581</v>
      </c>
      <c r="F743" s="39" t="str">
        <f t="shared" si="44"/>
        <v/>
      </c>
      <c r="G743" s="39" t="str">
        <f t="shared" si="45"/>
        <v/>
      </c>
      <c r="H743" s="39" t="str">
        <f t="shared" si="46"/>
        <v/>
      </c>
      <c r="I743" s="39" t="str">
        <f t="shared" si="47"/>
        <v/>
      </c>
      <c r="J743" s="39" t="str">
        <f>""</f>
        <v/>
      </c>
    </row>
    <row r="744" spans="1:10">
      <c r="A744" s="26" t="s">
        <v>2306</v>
      </c>
      <c r="E744" s="26" t="s">
        <v>5581</v>
      </c>
      <c r="F744" s="39" t="str">
        <f t="shared" si="44"/>
        <v/>
      </c>
      <c r="G744" s="39" t="str">
        <f t="shared" si="45"/>
        <v/>
      </c>
      <c r="H744" s="39" t="str">
        <f t="shared" si="46"/>
        <v/>
      </c>
      <c r="I744" s="39" t="str">
        <f t="shared" si="47"/>
        <v/>
      </c>
      <c r="J744" s="39" t="str">
        <f>""</f>
        <v/>
      </c>
    </row>
    <row r="745" spans="1:10">
      <c r="A745" s="26" t="s">
        <v>2309</v>
      </c>
      <c r="E745" s="26" t="s">
        <v>3790</v>
      </c>
      <c r="F745" s="39" t="str">
        <f t="shared" si="44"/>
        <v/>
      </c>
      <c r="G745" s="39" t="str">
        <f t="shared" si="45"/>
        <v/>
      </c>
      <c r="H745" s="39" t="str">
        <f t="shared" si="46"/>
        <v/>
      </c>
      <c r="I745" s="39" t="str">
        <f t="shared" si="47"/>
        <v/>
      </c>
      <c r="J745" s="39" t="str">
        <f>""</f>
        <v/>
      </c>
    </row>
    <row r="746" spans="1:10">
      <c r="A746" s="26" t="s">
        <v>2311</v>
      </c>
      <c r="E746" s="26" t="s">
        <v>3790</v>
      </c>
      <c r="F746" s="39" t="str">
        <f t="shared" si="44"/>
        <v/>
      </c>
      <c r="G746" s="39" t="str">
        <f t="shared" si="45"/>
        <v/>
      </c>
      <c r="H746" s="39" t="str">
        <f t="shared" si="46"/>
        <v/>
      </c>
      <c r="I746" s="39" t="str">
        <f t="shared" si="47"/>
        <v/>
      </c>
      <c r="J746" s="39" t="str">
        <f>""</f>
        <v/>
      </c>
    </row>
    <row r="747" spans="1:10">
      <c r="A747" s="26" t="s">
        <v>2313</v>
      </c>
      <c r="E747" s="26" t="s">
        <v>3790</v>
      </c>
      <c r="F747" s="39" t="str">
        <f t="shared" si="44"/>
        <v/>
      </c>
      <c r="G747" s="39" t="str">
        <f t="shared" si="45"/>
        <v/>
      </c>
      <c r="H747" s="39" t="str">
        <f t="shared" si="46"/>
        <v/>
      </c>
      <c r="I747" s="39" t="str">
        <f t="shared" si="47"/>
        <v/>
      </c>
      <c r="J747" s="39" t="str">
        <f>""</f>
        <v/>
      </c>
    </row>
    <row r="748" spans="1:10">
      <c r="A748" s="26" t="s">
        <v>2315</v>
      </c>
      <c r="E748" s="26" t="s">
        <v>3790</v>
      </c>
      <c r="F748" s="39" t="str">
        <f t="shared" si="44"/>
        <v/>
      </c>
      <c r="G748" s="39" t="str">
        <f t="shared" si="45"/>
        <v/>
      </c>
      <c r="H748" s="39" t="str">
        <f t="shared" si="46"/>
        <v/>
      </c>
      <c r="I748" s="39" t="str">
        <f t="shared" si="47"/>
        <v/>
      </c>
      <c r="J748" s="39" t="str">
        <f>""</f>
        <v/>
      </c>
    </row>
    <row r="749" spans="1:10">
      <c r="A749" s="26" t="s">
        <v>1159</v>
      </c>
      <c r="E749" s="26" t="s">
        <v>3790</v>
      </c>
      <c r="F749" s="39" t="str">
        <f t="shared" si="44"/>
        <v/>
      </c>
      <c r="G749" s="39" t="str">
        <f t="shared" si="45"/>
        <v/>
      </c>
      <c r="H749" s="39" t="str">
        <f t="shared" si="46"/>
        <v/>
      </c>
      <c r="I749" s="39" t="str">
        <f t="shared" si="47"/>
        <v/>
      </c>
      <c r="J749" s="39" t="str">
        <f>""</f>
        <v/>
      </c>
    </row>
    <row r="750" spans="1:10">
      <c r="A750" s="26" t="s">
        <v>1161</v>
      </c>
      <c r="E750" s="26" t="s">
        <v>5581</v>
      </c>
      <c r="F750" s="39" t="str">
        <f t="shared" si="44"/>
        <v/>
      </c>
      <c r="G750" s="39" t="str">
        <f t="shared" si="45"/>
        <v/>
      </c>
      <c r="H750" s="39" t="str">
        <f t="shared" si="46"/>
        <v/>
      </c>
      <c r="I750" s="39" t="str">
        <f t="shared" si="47"/>
        <v/>
      </c>
      <c r="J750" s="39" t="str">
        <f>""</f>
        <v/>
      </c>
    </row>
    <row r="751" spans="1:10">
      <c r="A751" s="26" t="s">
        <v>1163</v>
      </c>
      <c r="E751" s="26" t="s">
        <v>5581</v>
      </c>
      <c r="F751" s="39" t="str">
        <f t="shared" si="44"/>
        <v/>
      </c>
      <c r="G751" s="39" t="str">
        <f t="shared" si="45"/>
        <v/>
      </c>
      <c r="H751" s="39" t="str">
        <f t="shared" si="46"/>
        <v/>
      </c>
      <c r="I751" s="39" t="str">
        <f t="shared" si="47"/>
        <v/>
      </c>
      <c r="J751" s="39" t="str">
        <f>""</f>
        <v/>
      </c>
    </row>
    <row r="752" spans="1:10">
      <c r="A752" s="26" t="s">
        <v>1164</v>
      </c>
      <c r="E752" s="26" t="s">
        <v>3790</v>
      </c>
      <c r="F752" s="39" t="str">
        <f t="shared" si="44"/>
        <v/>
      </c>
      <c r="G752" s="39" t="str">
        <f t="shared" si="45"/>
        <v/>
      </c>
      <c r="H752" s="39" t="str">
        <f t="shared" si="46"/>
        <v/>
      </c>
      <c r="I752" s="39" t="str">
        <f t="shared" si="47"/>
        <v/>
      </c>
      <c r="J752" s="39" t="str">
        <f>""</f>
        <v/>
      </c>
    </row>
    <row r="753" spans="1:10">
      <c r="A753" s="26" t="s">
        <v>1166</v>
      </c>
      <c r="E753" s="26" t="s">
        <v>3790</v>
      </c>
      <c r="F753" s="39" t="str">
        <f t="shared" si="44"/>
        <v/>
      </c>
      <c r="G753" s="39" t="str">
        <f t="shared" si="45"/>
        <v/>
      </c>
      <c r="H753" s="39" t="str">
        <f t="shared" si="46"/>
        <v/>
      </c>
      <c r="I753" s="39" t="str">
        <f t="shared" si="47"/>
        <v/>
      </c>
      <c r="J753" s="39" t="str">
        <f>""</f>
        <v/>
      </c>
    </row>
    <row r="754" spans="1:10">
      <c r="A754" s="26" t="s">
        <v>1167</v>
      </c>
      <c r="E754" s="26" t="s">
        <v>5581</v>
      </c>
      <c r="F754" s="39" t="str">
        <f t="shared" si="44"/>
        <v/>
      </c>
      <c r="G754" s="39" t="str">
        <f t="shared" si="45"/>
        <v/>
      </c>
      <c r="H754" s="39" t="str">
        <f t="shared" si="46"/>
        <v/>
      </c>
      <c r="I754" s="39" t="str">
        <f t="shared" si="47"/>
        <v/>
      </c>
      <c r="J754" s="39" t="str">
        <f>""</f>
        <v/>
      </c>
    </row>
    <row r="755" spans="1:10">
      <c r="A755" s="26" t="s">
        <v>1169</v>
      </c>
      <c r="E755" s="26" t="s">
        <v>5581</v>
      </c>
      <c r="F755" s="39" t="str">
        <f t="shared" si="44"/>
        <v/>
      </c>
      <c r="G755" s="39" t="str">
        <f t="shared" si="45"/>
        <v/>
      </c>
      <c r="H755" s="39" t="str">
        <f t="shared" si="46"/>
        <v/>
      </c>
      <c r="I755" s="39" t="str">
        <f t="shared" si="47"/>
        <v/>
      </c>
      <c r="J755" s="39" t="str">
        <f>""</f>
        <v/>
      </c>
    </row>
    <row r="756" spans="1:10">
      <c r="A756" s="26" t="s">
        <v>5936</v>
      </c>
      <c r="E756" s="26" t="s">
        <v>3790</v>
      </c>
      <c r="F756" s="39" t="str">
        <f t="shared" si="44"/>
        <v/>
      </c>
      <c r="G756" s="39" t="str">
        <f t="shared" si="45"/>
        <v/>
      </c>
      <c r="H756" s="39" t="str">
        <f t="shared" si="46"/>
        <v/>
      </c>
      <c r="I756" s="39" t="str">
        <f t="shared" si="47"/>
        <v/>
      </c>
      <c r="J756" s="39" t="str">
        <f>""</f>
        <v/>
      </c>
    </row>
    <row r="757" spans="1:10">
      <c r="A757" s="26" t="s">
        <v>3739</v>
      </c>
      <c r="C757" s="39">
        <v>50</v>
      </c>
      <c r="E757" s="26" t="s">
        <v>5581</v>
      </c>
      <c r="F757" s="39">
        <f t="shared" si="44"/>
        <v>50</v>
      </c>
      <c r="G757" s="39">
        <f t="shared" si="45"/>
        <v>50</v>
      </c>
      <c r="H757" s="39">
        <f t="shared" si="46"/>
        <v>50</v>
      </c>
      <c r="I757" s="39" t="str">
        <f t="shared" si="47"/>
        <v/>
      </c>
      <c r="J757" s="39" t="str">
        <f>""</f>
        <v/>
      </c>
    </row>
    <row r="758" spans="1:10">
      <c r="A758" s="26" t="s">
        <v>1170</v>
      </c>
      <c r="E758" s="26" t="s">
        <v>5581</v>
      </c>
      <c r="F758" s="39" t="str">
        <f t="shared" si="44"/>
        <v/>
      </c>
      <c r="G758" s="39" t="str">
        <f t="shared" si="45"/>
        <v/>
      </c>
      <c r="H758" s="39" t="str">
        <f t="shared" si="46"/>
        <v/>
      </c>
      <c r="I758" s="39" t="str">
        <f t="shared" si="47"/>
        <v/>
      </c>
      <c r="J758" s="39" t="str">
        <f>""</f>
        <v/>
      </c>
    </row>
    <row r="759" spans="1:10">
      <c r="A759" s="26" t="s">
        <v>1173</v>
      </c>
      <c r="E759" s="26" t="s">
        <v>5581</v>
      </c>
      <c r="F759" s="39" t="str">
        <f t="shared" si="44"/>
        <v/>
      </c>
      <c r="G759" s="39" t="str">
        <f t="shared" si="45"/>
        <v/>
      </c>
      <c r="H759" s="39" t="str">
        <f t="shared" si="46"/>
        <v/>
      </c>
      <c r="I759" s="39" t="str">
        <f t="shared" si="47"/>
        <v/>
      </c>
      <c r="J759" s="39" t="str">
        <f>""</f>
        <v/>
      </c>
    </row>
    <row r="760" spans="1:10">
      <c r="A760" s="26" t="s">
        <v>1174</v>
      </c>
      <c r="E760" s="26" t="s">
        <v>5581</v>
      </c>
      <c r="F760" s="39" t="str">
        <f t="shared" si="44"/>
        <v/>
      </c>
      <c r="G760" s="39" t="str">
        <f t="shared" si="45"/>
        <v/>
      </c>
      <c r="H760" s="39" t="str">
        <f t="shared" si="46"/>
        <v/>
      </c>
      <c r="I760" s="39" t="str">
        <f t="shared" si="47"/>
        <v/>
      </c>
      <c r="J760" s="39" t="str">
        <f>""</f>
        <v/>
      </c>
    </row>
    <row r="761" spans="1:10">
      <c r="A761" s="26" t="s">
        <v>1176</v>
      </c>
      <c r="E761" s="26" t="s">
        <v>5581</v>
      </c>
      <c r="F761" s="39" t="str">
        <f t="shared" si="44"/>
        <v/>
      </c>
      <c r="G761" s="39" t="str">
        <f t="shared" si="45"/>
        <v/>
      </c>
      <c r="H761" s="39" t="str">
        <f t="shared" si="46"/>
        <v/>
      </c>
      <c r="I761" s="39" t="str">
        <f t="shared" si="47"/>
        <v/>
      </c>
      <c r="J761" s="39" t="str">
        <f>""</f>
        <v/>
      </c>
    </row>
    <row r="762" spans="1:10">
      <c r="A762" s="26" t="s">
        <v>1177</v>
      </c>
      <c r="E762" s="26" t="s">
        <v>3790</v>
      </c>
      <c r="F762" s="39" t="str">
        <f t="shared" si="44"/>
        <v/>
      </c>
      <c r="G762" s="39" t="str">
        <f t="shared" si="45"/>
        <v/>
      </c>
      <c r="H762" s="39" t="str">
        <f t="shared" si="46"/>
        <v/>
      </c>
      <c r="I762" s="39" t="str">
        <f t="shared" si="47"/>
        <v/>
      </c>
      <c r="J762" s="39" t="str">
        <f>""</f>
        <v/>
      </c>
    </row>
    <row r="763" spans="1:10">
      <c r="A763" s="26" t="s">
        <v>1180</v>
      </c>
      <c r="E763" s="26" t="s">
        <v>3790</v>
      </c>
      <c r="F763" s="39" t="str">
        <f t="shared" si="44"/>
        <v/>
      </c>
      <c r="G763" s="39" t="str">
        <f t="shared" si="45"/>
        <v/>
      </c>
      <c r="H763" s="39" t="str">
        <f t="shared" si="46"/>
        <v/>
      </c>
      <c r="I763" s="39" t="str">
        <f t="shared" si="47"/>
        <v/>
      </c>
      <c r="J763" s="39" t="str">
        <f>""</f>
        <v/>
      </c>
    </row>
    <row r="764" spans="1:10">
      <c r="A764" s="26" t="s">
        <v>2318</v>
      </c>
      <c r="E764" s="26" t="s">
        <v>5581</v>
      </c>
      <c r="F764" s="39" t="str">
        <f t="shared" si="44"/>
        <v/>
      </c>
      <c r="G764" s="39" t="str">
        <f t="shared" si="45"/>
        <v/>
      </c>
      <c r="H764" s="39" t="str">
        <f t="shared" si="46"/>
        <v/>
      </c>
      <c r="I764" s="39" t="str">
        <f t="shared" si="47"/>
        <v/>
      </c>
      <c r="J764" s="39" t="str">
        <f>""</f>
        <v/>
      </c>
    </row>
    <row r="765" spans="1:10">
      <c r="A765" s="26" t="s">
        <v>1181</v>
      </c>
      <c r="E765" s="26" t="s">
        <v>5581</v>
      </c>
      <c r="F765" s="39" t="str">
        <f t="shared" si="44"/>
        <v/>
      </c>
      <c r="G765" s="39" t="str">
        <f t="shared" si="45"/>
        <v/>
      </c>
      <c r="H765" s="39" t="str">
        <f t="shared" si="46"/>
        <v/>
      </c>
      <c r="I765" s="39" t="str">
        <f t="shared" si="47"/>
        <v/>
      </c>
      <c r="J765" s="39" t="str">
        <f>""</f>
        <v/>
      </c>
    </row>
    <row r="766" spans="1:10">
      <c r="A766" s="26" t="s">
        <v>1183</v>
      </c>
      <c r="E766" s="26" t="s">
        <v>5581</v>
      </c>
      <c r="F766" s="39" t="str">
        <f t="shared" si="44"/>
        <v/>
      </c>
      <c r="G766" s="39" t="str">
        <f t="shared" si="45"/>
        <v/>
      </c>
      <c r="H766" s="39" t="str">
        <f t="shared" si="46"/>
        <v/>
      </c>
      <c r="I766" s="39" t="str">
        <f t="shared" si="47"/>
        <v/>
      </c>
      <c r="J766" s="39" t="str">
        <f>""</f>
        <v/>
      </c>
    </row>
    <row r="767" spans="1:10">
      <c r="A767" s="26" t="s">
        <v>1185</v>
      </c>
      <c r="E767" s="26" t="s">
        <v>5581</v>
      </c>
      <c r="F767" s="39" t="str">
        <f t="shared" si="44"/>
        <v/>
      </c>
      <c r="G767" s="39" t="str">
        <f t="shared" si="45"/>
        <v/>
      </c>
      <c r="H767" s="39" t="str">
        <f t="shared" si="46"/>
        <v/>
      </c>
      <c r="I767" s="39" t="str">
        <f t="shared" si="47"/>
        <v/>
      </c>
      <c r="J767" s="39" t="str">
        <f>""</f>
        <v/>
      </c>
    </row>
    <row r="768" spans="1:10">
      <c r="A768" s="26" t="s">
        <v>1186</v>
      </c>
      <c r="E768" s="26" t="s">
        <v>5581</v>
      </c>
      <c r="F768" s="39" t="str">
        <f t="shared" si="44"/>
        <v/>
      </c>
      <c r="G768" s="39" t="str">
        <f t="shared" si="45"/>
        <v/>
      </c>
      <c r="H768" s="39" t="str">
        <f t="shared" si="46"/>
        <v/>
      </c>
      <c r="I768" s="39" t="str">
        <f t="shared" si="47"/>
        <v/>
      </c>
      <c r="J768" s="39" t="str">
        <f>""</f>
        <v/>
      </c>
    </row>
    <row r="769" spans="1:10">
      <c r="A769" s="26" t="s">
        <v>1188</v>
      </c>
      <c r="E769" s="26" t="s">
        <v>5581</v>
      </c>
      <c r="F769" s="39" t="str">
        <f t="shared" si="44"/>
        <v/>
      </c>
      <c r="G769" s="39" t="str">
        <f t="shared" si="45"/>
        <v/>
      </c>
      <c r="H769" s="39" t="str">
        <f t="shared" si="46"/>
        <v/>
      </c>
      <c r="I769" s="39" t="str">
        <f t="shared" si="47"/>
        <v/>
      </c>
      <c r="J769" s="39" t="str">
        <f>""</f>
        <v/>
      </c>
    </row>
    <row r="770" spans="1:10">
      <c r="A770" s="26" t="s">
        <v>1190</v>
      </c>
      <c r="C770" s="39">
        <v>50</v>
      </c>
      <c r="E770" s="26" t="s">
        <v>5581</v>
      </c>
      <c r="F770" s="39">
        <f t="shared" si="44"/>
        <v>50</v>
      </c>
      <c r="G770" s="39">
        <f t="shared" si="45"/>
        <v>50</v>
      </c>
      <c r="H770" s="39">
        <f t="shared" si="46"/>
        <v>50</v>
      </c>
      <c r="I770" s="39" t="str">
        <f t="shared" si="47"/>
        <v/>
      </c>
      <c r="J770" s="39" t="str">
        <f>""</f>
        <v/>
      </c>
    </row>
    <row r="771" spans="1:10">
      <c r="A771" s="26" t="s">
        <v>1191</v>
      </c>
      <c r="E771" s="26" t="s">
        <v>5581</v>
      </c>
      <c r="F771" s="39" t="str">
        <f t="shared" ref="F771:F834" si="48">IF(C771="","",IF(C771&lt;99,C771,""))</f>
        <v/>
      </c>
      <c r="G771" s="39" t="str">
        <f t="shared" ref="G771:G834" si="49">IF(OR(F771&lt;&gt;"",D771&lt;&gt;""),C771,"")</f>
        <v/>
      </c>
      <c r="H771" s="39" t="str">
        <f t="shared" ref="H771:H834" si="50">IF(C771="","",C771)</f>
        <v/>
      </c>
      <c r="I771" s="39" t="str">
        <f t="shared" ref="I771:I834" si="51">IF(AND(C771&lt;&gt;"",D771&lt;&gt;""),C771,"")</f>
        <v/>
      </c>
      <c r="J771" s="39" t="str">
        <f>""</f>
        <v/>
      </c>
    </row>
    <row r="772" spans="1:10">
      <c r="A772" s="26" t="s">
        <v>1193</v>
      </c>
      <c r="E772" s="26" t="s">
        <v>5581</v>
      </c>
      <c r="F772" s="39" t="str">
        <f t="shared" si="48"/>
        <v/>
      </c>
      <c r="G772" s="39" t="str">
        <f t="shared" si="49"/>
        <v/>
      </c>
      <c r="H772" s="39" t="str">
        <f t="shared" si="50"/>
        <v/>
      </c>
      <c r="I772" s="39" t="str">
        <f t="shared" si="51"/>
        <v/>
      </c>
      <c r="J772" s="39" t="str">
        <f>""</f>
        <v/>
      </c>
    </row>
    <row r="773" spans="1:10">
      <c r="A773" s="26" t="s">
        <v>1194</v>
      </c>
      <c r="E773" s="26" t="s">
        <v>5581</v>
      </c>
      <c r="F773" s="39" t="str">
        <f t="shared" si="48"/>
        <v/>
      </c>
      <c r="G773" s="39" t="str">
        <f t="shared" si="49"/>
        <v/>
      </c>
      <c r="H773" s="39" t="str">
        <f t="shared" si="50"/>
        <v/>
      </c>
      <c r="I773" s="39" t="str">
        <f t="shared" si="51"/>
        <v/>
      </c>
      <c r="J773" s="39" t="str">
        <f>""</f>
        <v/>
      </c>
    </row>
    <row r="774" spans="1:10">
      <c r="A774" s="26" t="s">
        <v>1196</v>
      </c>
      <c r="E774" s="26" t="s">
        <v>5581</v>
      </c>
      <c r="F774" s="39" t="str">
        <f t="shared" si="48"/>
        <v/>
      </c>
      <c r="G774" s="39" t="str">
        <f t="shared" si="49"/>
        <v/>
      </c>
      <c r="H774" s="39" t="str">
        <f t="shared" si="50"/>
        <v/>
      </c>
      <c r="I774" s="39" t="str">
        <f t="shared" si="51"/>
        <v/>
      </c>
      <c r="J774" s="39" t="str">
        <f>""</f>
        <v/>
      </c>
    </row>
    <row r="775" spans="1:10">
      <c r="A775" s="26" t="s">
        <v>1197</v>
      </c>
      <c r="E775" s="26" t="s">
        <v>5581</v>
      </c>
      <c r="F775" s="39" t="str">
        <f t="shared" si="48"/>
        <v/>
      </c>
      <c r="G775" s="39" t="str">
        <f t="shared" si="49"/>
        <v/>
      </c>
      <c r="H775" s="39" t="str">
        <f t="shared" si="50"/>
        <v/>
      </c>
      <c r="I775" s="39" t="str">
        <f t="shared" si="51"/>
        <v/>
      </c>
      <c r="J775" s="39" t="str">
        <f>""</f>
        <v/>
      </c>
    </row>
    <row r="776" spans="1:10">
      <c r="A776" s="26" t="s">
        <v>1199</v>
      </c>
      <c r="E776" s="26" t="s">
        <v>5581</v>
      </c>
      <c r="F776" s="39" t="str">
        <f t="shared" si="48"/>
        <v/>
      </c>
      <c r="G776" s="39" t="str">
        <f t="shared" si="49"/>
        <v/>
      </c>
      <c r="H776" s="39" t="str">
        <f t="shared" si="50"/>
        <v/>
      </c>
      <c r="I776" s="39" t="str">
        <f t="shared" si="51"/>
        <v/>
      </c>
      <c r="J776" s="39" t="str">
        <f>""</f>
        <v/>
      </c>
    </row>
    <row r="777" spans="1:10">
      <c r="A777" s="26" t="s">
        <v>1201</v>
      </c>
      <c r="E777" s="26" t="s">
        <v>5581</v>
      </c>
      <c r="F777" s="39" t="str">
        <f t="shared" si="48"/>
        <v/>
      </c>
      <c r="G777" s="39" t="str">
        <f t="shared" si="49"/>
        <v/>
      </c>
      <c r="H777" s="39" t="str">
        <f t="shared" si="50"/>
        <v/>
      </c>
      <c r="I777" s="39" t="str">
        <f t="shared" si="51"/>
        <v/>
      </c>
      <c r="J777" s="39" t="str">
        <f>""</f>
        <v/>
      </c>
    </row>
    <row r="778" spans="1:10">
      <c r="A778" s="26" t="s">
        <v>1202</v>
      </c>
      <c r="E778" s="26" t="s">
        <v>5581</v>
      </c>
      <c r="F778" s="39" t="str">
        <f t="shared" si="48"/>
        <v/>
      </c>
      <c r="G778" s="39" t="str">
        <f t="shared" si="49"/>
        <v/>
      </c>
      <c r="H778" s="39" t="str">
        <f t="shared" si="50"/>
        <v/>
      </c>
      <c r="I778" s="39" t="str">
        <f t="shared" si="51"/>
        <v/>
      </c>
      <c r="J778" s="39" t="str">
        <f>""</f>
        <v/>
      </c>
    </row>
    <row r="779" spans="1:10">
      <c r="A779" s="26" t="s">
        <v>1204</v>
      </c>
      <c r="E779" s="26" t="s">
        <v>5581</v>
      </c>
      <c r="F779" s="39" t="str">
        <f t="shared" si="48"/>
        <v/>
      </c>
      <c r="G779" s="39" t="str">
        <f t="shared" si="49"/>
        <v/>
      </c>
      <c r="H779" s="39" t="str">
        <f t="shared" si="50"/>
        <v/>
      </c>
      <c r="I779" s="39" t="str">
        <f t="shared" si="51"/>
        <v/>
      </c>
      <c r="J779" s="39" t="str">
        <f>""</f>
        <v/>
      </c>
    </row>
    <row r="780" spans="1:10">
      <c r="A780" s="26" t="s">
        <v>1205</v>
      </c>
      <c r="E780" s="26" t="s">
        <v>5581</v>
      </c>
      <c r="F780" s="39" t="str">
        <f t="shared" si="48"/>
        <v/>
      </c>
      <c r="G780" s="39" t="str">
        <f t="shared" si="49"/>
        <v/>
      </c>
      <c r="H780" s="39" t="str">
        <f t="shared" si="50"/>
        <v/>
      </c>
      <c r="I780" s="39" t="str">
        <f t="shared" si="51"/>
        <v/>
      </c>
      <c r="J780" s="39" t="str">
        <f>""</f>
        <v/>
      </c>
    </row>
    <row r="781" spans="1:10">
      <c r="A781" s="26" t="s">
        <v>1207</v>
      </c>
      <c r="E781" s="26" t="s">
        <v>5581</v>
      </c>
      <c r="F781" s="39" t="str">
        <f t="shared" si="48"/>
        <v/>
      </c>
      <c r="G781" s="39" t="str">
        <f t="shared" si="49"/>
        <v/>
      </c>
      <c r="H781" s="39" t="str">
        <f t="shared" si="50"/>
        <v/>
      </c>
      <c r="I781" s="39" t="str">
        <f t="shared" si="51"/>
        <v/>
      </c>
      <c r="J781" s="39" t="str">
        <f>""</f>
        <v/>
      </c>
    </row>
    <row r="782" spans="1:10">
      <c r="A782" s="26" t="s">
        <v>1209</v>
      </c>
      <c r="E782" s="26" t="s">
        <v>5581</v>
      </c>
      <c r="F782" s="39" t="str">
        <f t="shared" si="48"/>
        <v/>
      </c>
      <c r="G782" s="39" t="str">
        <f t="shared" si="49"/>
        <v/>
      </c>
      <c r="H782" s="39" t="str">
        <f t="shared" si="50"/>
        <v/>
      </c>
      <c r="I782" s="39" t="str">
        <f t="shared" si="51"/>
        <v/>
      </c>
      <c r="J782" s="39" t="str">
        <f>""</f>
        <v/>
      </c>
    </row>
    <row r="783" spans="1:10">
      <c r="A783" s="26" t="s">
        <v>5295</v>
      </c>
      <c r="E783" s="26" t="s">
        <v>5581</v>
      </c>
      <c r="F783" s="39" t="str">
        <f t="shared" si="48"/>
        <v/>
      </c>
      <c r="G783" s="39" t="str">
        <f t="shared" si="49"/>
        <v/>
      </c>
      <c r="H783" s="39" t="str">
        <f t="shared" si="50"/>
        <v/>
      </c>
      <c r="I783" s="39" t="str">
        <f t="shared" si="51"/>
        <v/>
      </c>
      <c r="J783" s="39" t="str">
        <f>""</f>
        <v/>
      </c>
    </row>
    <row r="784" spans="1:10">
      <c r="A784" s="26" t="s">
        <v>1210</v>
      </c>
      <c r="E784" s="26" t="s">
        <v>5581</v>
      </c>
      <c r="F784" s="39" t="str">
        <f t="shared" si="48"/>
        <v/>
      </c>
      <c r="G784" s="39" t="str">
        <f t="shared" si="49"/>
        <v/>
      </c>
      <c r="H784" s="39" t="str">
        <f t="shared" si="50"/>
        <v/>
      </c>
      <c r="I784" s="39" t="str">
        <f t="shared" si="51"/>
        <v/>
      </c>
      <c r="J784" s="39" t="str">
        <f>""</f>
        <v/>
      </c>
    </row>
    <row r="785" spans="1:10">
      <c r="A785" s="26" t="s">
        <v>2321</v>
      </c>
      <c r="E785" s="26" t="s">
        <v>5581</v>
      </c>
      <c r="F785" s="39" t="str">
        <f t="shared" si="48"/>
        <v/>
      </c>
      <c r="G785" s="39" t="str">
        <f t="shared" si="49"/>
        <v/>
      </c>
      <c r="H785" s="39" t="str">
        <f t="shared" si="50"/>
        <v/>
      </c>
      <c r="I785" s="39" t="str">
        <f t="shared" si="51"/>
        <v/>
      </c>
      <c r="J785" s="39" t="str">
        <f>""</f>
        <v/>
      </c>
    </row>
    <row r="786" spans="1:10">
      <c r="A786" s="26" t="s">
        <v>2323</v>
      </c>
      <c r="E786" s="26" t="s">
        <v>5581</v>
      </c>
      <c r="F786" s="39" t="str">
        <f t="shared" si="48"/>
        <v/>
      </c>
      <c r="G786" s="39" t="str">
        <f t="shared" si="49"/>
        <v/>
      </c>
      <c r="H786" s="39" t="str">
        <f t="shared" si="50"/>
        <v/>
      </c>
      <c r="I786" s="39" t="str">
        <f t="shared" si="51"/>
        <v/>
      </c>
      <c r="J786" s="39" t="str">
        <f>""</f>
        <v/>
      </c>
    </row>
    <row r="787" spans="1:10">
      <c r="A787" s="26" t="s">
        <v>2326</v>
      </c>
      <c r="E787" s="26" t="s">
        <v>5581</v>
      </c>
      <c r="F787" s="39" t="str">
        <f t="shared" si="48"/>
        <v/>
      </c>
      <c r="G787" s="39" t="str">
        <f t="shared" si="49"/>
        <v/>
      </c>
      <c r="H787" s="39" t="str">
        <f t="shared" si="50"/>
        <v/>
      </c>
      <c r="I787" s="39" t="str">
        <f t="shared" si="51"/>
        <v/>
      </c>
      <c r="J787" s="39" t="str">
        <f>""</f>
        <v/>
      </c>
    </row>
    <row r="788" spans="1:10">
      <c r="A788" s="26" t="s">
        <v>2328</v>
      </c>
      <c r="E788" s="26" t="s">
        <v>5581</v>
      </c>
      <c r="F788" s="39" t="str">
        <f t="shared" si="48"/>
        <v/>
      </c>
      <c r="G788" s="39" t="str">
        <f t="shared" si="49"/>
        <v/>
      </c>
      <c r="H788" s="39" t="str">
        <f t="shared" si="50"/>
        <v/>
      </c>
      <c r="I788" s="39" t="str">
        <f t="shared" si="51"/>
        <v/>
      </c>
      <c r="J788" s="39" t="str">
        <f>""</f>
        <v/>
      </c>
    </row>
    <row r="789" spans="1:10">
      <c r="A789" s="26" t="s">
        <v>2330</v>
      </c>
      <c r="E789" s="26" t="s">
        <v>5581</v>
      </c>
      <c r="F789" s="39" t="str">
        <f t="shared" si="48"/>
        <v/>
      </c>
      <c r="G789" s="39" t="str">
        <f t="shared" si="49"/>
        <v/>
      </c>
      <c r="H789" s="39" t="str">
        <f t="shared" si="50"/>
        <v/>
      </c>
      <c r="I789" s="39" t="str">
        <f t="shared" si="51"/>
        <v/>
      </c>
      <c r="J789" s="39" t="str">
        <f>""</f>
        <v/>
      </c>
    </row>
    <row r="790" spans="1:10">
      <c r="A790" s="26" t="s">
        <v>2332</v>
      </c>
      <c r="E790" s="26" t="s">
        <v>3790</v>
      </c>
      <c r="F790" s="39" t="str">
        <f t="shared" si="48"/>
        <v/>
      </c>
      <c r="G790" s="39" t="str">
        <f t="shared" si="49"/>
        <v/>
      </c>
      <c r="H790" s="39" t="str">
        <f t="shared" si="50"/>
        <v/>
      </c>
      <c r="I790" s="39" t="str">
        <f t="shared" si="51"/>
        <v/>
      </c>
      <c r="J790" s="39" t="str">
        <f>""</f>
        <v/>
      </c>
    </row>
    <row r="791" spans="1:10">
      <c r="A791" s="26" t="s">
        <v>1212</v>
      </c>
      <c r="E791" s="26" t="s">
        <v>5581</v>
      </c>
      <c r="F791" s="39" t="str">
        <f t="shared" si="48"/>
        <v/>
      </c>
      <c r="G791" s="39" t="str">
        <f t="shared" si="49"/>
        <v/>
      </c>
      <c r="H791" s="39" t="str">
        <f t="shared" si="50"/>
        <v/>
      </c>
      <c r="I791" s="39" t="str">
        <f t="shared" si="51"/>
        <v/>
      </c>
      <c r="J791" s="39" t="str">
        <f>""</f>
        <v/>
      </c>
    </row>
    <row r="792" spans="1:10">
      <c r="A792" s="26" t="s">
        <v>1214</v>
      </c>
      <c r="E792" s="26" t="s">
        <v>5581</v>
      </c>
      <c r="F792" s="39" t="str">
        <f t="shared" si="48"/>
        <v/>
      </c>
      <c r="G792" s="39" t="str">
        <f t="shared" si="49"/>
        <v/>
      </c>
      <c r="H792" s="39" t="str">
        <f t="shared" si="50"/>
        <v/>
      </c>
      <c r="I792" s="39" t="str">
        <f t="shared" si="51"/>
        <v/>
      </c>
      <c r="J792" s="39" t="str">
        <f>""</f>
        <v/>
      </c>
    </row>
    <row r="793" spans="1:10">
      <c r="A793" s="26" t="s">
        <v>1215</v>
      </c>
      <c r="E793" s="26" t="s">
        <v>5581</v>
      </c>
      <c r="F793" s="39" t="str">
        <f t="shared" si="48"/>
        <v/>
      </c>
      <c r="G793" s="39" t="str">
        <f t="shared" si="49"/>
        <v/>
      </c>
      <c r="H793" s="39" t="str">
        <f t="shared" si="50"/>
        <v/>
      </c>
      <c r="I793" s="39" t="str">
        <f t="shared" si="51"/>
        <v/>
      </c>
      <c r="J793" s="39" t="str">
        <f>""</f>
        <v/>
      </c>
    </row>
    <row r="794" spans="1:10">
      <c r="A794" s="26" t="s">
        <v>1217</v>
      </c>
      <c r="E794" s="26" t="s">
        <v>5581</v>
      </c>
      <c r="F794" s="39" t="str">
        <f t="shared" si="48"/>
        <v/>
      </c>
      <c r="G794" s="39" t="str">
        <f t="shared" si="49"/>
        <v/>
      </c>
      <c r="H794" s="39" t="str">
        <f t="shared" si="50"/>
        <v/>
      </c>
      <c r="I794" s="39" t="str">
        <f t="shared" si="51"/>
        <v/>
      </c>
      <c r="J794" s="39" t="str">
        <f>""</f>
        <v/>
      </c>
    </row>
    <row r="795" spans="1:10">
      <c r="A795" s="26" t="s">
        <v>1218</v>
      </c>
      <c r="E795" s="26" t="s">
        <v>5581</v>
      </c>
      <c r="F795" s="39" t="str">
        <f t="shared" si="48"/>
        <v/>
      </c>
      <c r="G795" s="39" t="str">
        <f t="shared" si="49"/>
        <v/>
      </c>
      <c r="H795" s="39" t="str">
        <f t="shared" si="50"/>
        <v/>
      </c>
      <c r="I795" s="39" t="str">
        <f t="shared" si="51"/>
        <v/>
      </c>
      <c r="J795" s="39" t="str">
        <f>""</f>
        <v/>
      </c>
    </row>
    <row r="796" spans="1:10">
      <c r="A796" s="26" t="s">
        <v>1220</v>
      </c>
      <c r="E796" s="26" t="s">
        <v>5581</v>
      </c>
      <c r="F796" s="39" t="str">
        <f t="shared" si="48"/>
        <v/>
      </c>
      <c r="G796" s="39" t="str">
        <f t="shared" si="49"/>
        <v/>
      </c>
      <c r="H796" s="39" t="str">
        <f t="shared" si="50"/>
        <v/>
      </c>
      <c r="I796" s="39" t="str">
        <f t="shared" si="51"/>
        <v/>
      </c>
      <c r="J796" s="39" t="str">
        <f>""</f>
        <v/>
      </c>
    </row>
    <row r="797" spans="1:10">
      <c r="A797" s="26" t="s">
        <v>2334</v>
      </c>
      <c r="E797" s="26" t="s">
        <v>5581</v>
      </c>
      <c r="F797" s="39" t="str">
        <f t="shared" si="48"/>
        <v/>
      </c>
      <c r="G797" s="39" t="str">
        <f t="shared" si="49"/>
        <v/>
      </c>
      <c r="H797" s="39" t="str">
        <f t="shared" si="50"/>
        <v/>
      </c>
      <c r="I797" s="39" t="str">
        <f t="shared" si="51"/>
        <v/>
      </c>
      <c r="J797" s="39" t="str">
        <f>""</f>
        <v/>
      </c>
    </row>
    <row r="798" spans="1:10">
      <c r="A798" s="26" t="s">
        <v>2337</v>
      </c>
      <c r="E798" s="26" t="s">
        <v>5581</v>
      </c>
      <c r="F798" s="39" t="str">
        <f t="shared" si="48"/>
        <v/>
      </c>
      <c r="G798" s="39" t="str">
        <f t="shared" si="49"/>
        <v/>
      </c>
      <c r="H798" s="39" t="str">
        <f t="shared" si="50"/>
        <v/>
      </c>
      <c r="I798" s="39" t="str">
        <f t="shared" si="51"/>
        <v/>
      </c>
      <c r="J798" s="39" t="str">
        <f>""</f>
        <v/>
      </c>
    </row>
    <row r="799" spans="1:10">
      <c r="A799" s="26" t="s">
        <v>2339</v>
      </c>
      <c r="E799" s="26" t="s">
        <v>5581</v>
      </c>
      <c r="F799" s="39" t="str">
        <f t="shared" si="48"/>
        <v/>
      </c>
      <c r="G799" s="39" t="str">
        <f t="shared" si="49"/>
        <v/>
      </c>
      <c r="H799" s="39" t="str">
        <f t="shared" si="50"/>
        <v/>
      </c>
      <c r="I799" s="39" t="str">
        <f t="shared" si="51"/>
        <v/>
      </c>
      <c r="J799" s="39" t="str">
        <f>""</f>
        <v/>
      </c>
    </row>
    <row r="800" spans="1:10">
      <c r="A800" s="26" t="s">
        <v>2343</v>
      </c>
      <c r="E800" s="26" t="s">
        <v>5581</v>
      </c>
      <c r="F800" s="39" t="str">
        <f t="shared" si="48"/>
        <v/>
      </c>
      <c r="G800" s="39" t="str">
        <f t="shared" si="49"/>
        <v/>
      </c>
      <c r="H800" s="39" t="str">
        <f t="shared" si="50"/>
        <v/>
      </c>
      <c r="I800" s="39" t="str">
        <f t="shared" si="51"/>
        <v/>
      </c>
      <c r="J800" s="39" t="str">
        <f>""</f>
        <v/>
      </c>
    </row>
    <row r="801" spans="1:10">
      <c r="A801" s="26" t="s">
        <v>2345</v>
      </c>
      <c r="E801" s="26" t="s">
        <v>5581</v>
      </c>
      <c r="F801" s="39" t="str">
        <f t="shared" si="48"/>
        <v/>
      </c>
      <c r="G801" s="39" t="str">
        <f t="shared" si="49"/>
        <v/>
      </c>
      <c r="H801" s="39" t="str">
        <f t="shared" si="50"/>
        <v/>
      </c>
      <c r="I801" s="39" t="str">
        <f t="shared" si="51"/>
        <v/>
      </c>
      <c r="J801" s="39" t="str">
        <f>""</f>
        <v/>
      </c>
    </row>
    <row r="802" spans="1:10">
      <c r="A802" s="26" t="s">
        <v>2348</v>
      </c>
      <c r="E802" s="26" t="s">
        <v>5581</v>
      </c>
      <c r="F802" s="39" t="str">
        <f t="shared" si="48"/>
        <v/>
      </c>
      <c r="G802" s="39" t="str">
        <f t="shared" si="49"/>
        <v/>
      </c>
      <c r="H802" s="39" t="str">
        <f t="shared" si="50"/>
        <v/>
      </c>
      <c r="I802" s="39" t="str">
        <f t="shared" si="51"/>
        <v/>
      </c>
      <c r="J802" s="39" t="str">
        <f>""</f>
        <v/>
      </c>
    </row>
    <row r="803" spans="1:10">
      <c r="A803" s="26" t="s">
        <v>6314</v>
      </c>
      <c r="E803" s="26" t="s">
        <v>3790</v>
      </c>
      <c r="F803" s="39" t="str">
        <f t="shared" si="48"/>
        <v/>
      </c>
      <c r="G803" s="39" t="str">
        <f t="shared" si="49"/>
        <v/>
      </c>
      <c r="H803" s="39" t="str">
        <f t="shared" si="50"/>
        <v/>
      </c>
      <c r="I803" s="39" t="str">
        <f t="shared" si="51"/>
        <v/>
      </c>
      <c r="J803" s="39" t="str">
        <f>""</f>
        <v/>
      </c>
    </row>
    <row r="804" spans="1:10">
      <c r="A804" s="26" t="s">
        <v>2350</v>
      </c>
      <c r="E804" s="26" t="s">
        <v>3790</v>
      </c>
      <c r="F804" s="39" t="str">
        <f t="shared" si="48"/>
        <v/>
      </c>
      <c r="G804" s="39" t="str">
        <f t="shared" si="49"/>
        <v/>
      </c>
      <c r="H804" s="39" t="str">
        <f t="shared" si="50"/>
        <v/>
      </c>
      <c r="I804" s="39" t="str">
        <f t="shared" si="51"/>
        <v/>
      </c>
      <c r="J804" s="39" t="str">
        <f>""</f>
        <v/>
      </c>
    </row>
    <row r="805" spans="1:10">
      <c r="A805" s="26" t="s">
        <v>2352</v>
      </c>
      <c r="E805" s="26" t="s">
        <v>5581</v>
      </c>
      <c r="F805" s="39" t="str">
        <f t="shared" si="48"/>
        <v/>
      </c>
      <c r="G805" s="39" t="str">
        <f t="shared" si="49"/>
        <v/>
      </c>
      <c r="H805" s="39" t="str">
        <f t="shared" si="50"/>
        <v/>
      </c>
      <c r="I805" s="39" t="str">
        <f t="shared" si="51"/>
        <v/>
      </c>
      <c r="J805" s="39" t="str">
        <f>""</f>
        <v/>
      </c>
    </row>
    <row r="806" spans="1:10">
      <c r="A806" s="26" t="s">
        <v>2355</v>
      </c>
      <c r="E806" s="26" t="s">
        <v>5581</v>
      </c>
      <c r="F806" s="39" t="str">
        <f t="shared" si="48"/>
        <v/>
      </c>
      <c r="G806" s="39" t="str">
        <f t="shared" si="49"/>
        <v/>
      </c>
      <c r="H806" s="39" t="str">
        <f t="shared" si="50"/>
        <v/>
      </c>
      <c r="I806" s="39" t="str">
        <f t="shared" si="51"/>
        <v/>
      </c>
      <c r="J806" s="39" t="str">
        <f>""</f>
        <v/>
      </c>
    </row>
    <row r="807" spans="1:10">
      <c r="A807" s="26" t="s">
        <v>2357</v>
      </c>
      <c r="E807" s="26" t="s">
        <v>5581</v>
      </c>
      <c r="F807" s="39" t="str">
        <f t="shared" si="48"/>
        <v/>
      </c>
      <c r="G807" s="39" t="str">
        <f t="shared" si="49"/>
        <v/>
      </c>
      <c r="H807" s="39" t="str">
        <f t="shared" si="50"/>
        <v/>
      </c>
      <c r="I807" s="39" t="str">
        <f t="shared" si="51"/>
        <v/>
      </c>
      <c r="J807" s="39" t="str">
        <f>""</f>
        <v/>
      </c>
    </row>
    <row r="808" spans="1:10">
      <c r="A808" s="26" t="s">
        <v>2359</v>
      </c>
      <c r="E808" s="26" t="s">
        <v>5581</v>
      </c>
      <c r="F808" s="39" t="str">
        <f t="shared" si="48"/>
        <v/>
      </c>
      <c r="G808" s="39" t="str">
        <f t="shared" si="49"/>
        <v/>
      </c>
      <c r="H808" s="39" t="str">
        <f t="shared" si="50"/>
        <v/>
      </c>
      <c r="I808" s="39" t="str">
        <f t="shared" si="51"/>
        <v/>
      </c>
      <c r="J808" s="39" t="str">
        <f>""</f>
        <v/>
      </c>
    </row>
    <row r="809" spans="1:10">
      <c r="A809" s="26" t="s">
        <v>2361</v>
      </c>
      <c r="E809" s="26" t="s">
        <v>3790</v>
      </c>
      <c r="F809" s="39" t="str">
        <f t="shared" si="48"/>
        <v/>
      </c>
      <c r="G809" s="39" t="str">
        <f t="shared" si="49"/>
        <v/>
      </c>
      <c r="H809" s="39" t="str">
        <f t="shared" si="50"/>
        <v/>
      </c>
      <c r="I809" s="39" t="str">
        <f t="shared" si="51"/>
        <v/>
      </c>
      <c r="J809" s="39" t="str">
        <f>""</f>
        <v/>
      </c>
    </row>
    <row r="810" spans="1:10">
      <c r="A810" s="26" t="s">
        <v>2364</v>
      </c>
      <c r="E810" s="26" t="s">
        <v>3790</v>
      </c>
      <c r="F810" s="39" t="str">
        <f t="shared" si="48"/>
        <v/>
      </c>
      <c r="G810" s="39" t="str">
        <f t="shared" si="49"/>
        <v/>
      </c>
      <c r="H810" s="39" t="str">
        <f t="shared" si="50"/>
        <v/>
      </c>
      <c r="I810" s="39" t="str">
        <f t="shared" si="51"/>
        <v/>
      </c>
      <c r="J810" s="39" t="str">
        <f>""</f>
        <v/>
      </c>
    </row>
    <row r="811" spans="1:10">
      <c r="A811" s="26" t="s">
        <v>2367</v>
      </c>
      <c r="E811" s="26" t="s">
        <v>5581</v>
      </c>
      <c r="F811" s="39" t="str">
        <f t="shared" si="48"/>
        <v/>
      </c>
      <c r="G811" s="39" t="str">
        <f t="shared" si="49"/>
        <v/>
      </c>
      <c r="H811" s="39" t="str">
        <f t="shared" si="50"/>
        <v/>
      </c>
      <c r="I811" s="39" t="str">
        <f t="shared" si="51"/>
        <v/>
      </c>
      <c r="J811" s="39" t="str">
        <f>""</f>
        <v/>
      </c>
    </row>
    <row r="812" spans="1:10">
      <c r="A812" s="26" t="s">
        <v>2369</v>
      </c>
      <c r="E812" s="26" t="s">
        <v>5581</v>
      </c>
      <c r="F812" s="39" t="str">
        <f t="shared" si="48"/>
        <v/>
      </c>
      <c r="G812" s="39" t="str">
        <f t="shared" si="49"/>
        <v/>
      </c>
      <c r="H812" s="39" t="str">
        <f t="shared" si="50"/>
        <v/>
      </c>
      <c r="I812" s="39" t="str">
        <f t="shared" si="51"/>
        <v/>
      </c>
      <c r="J812" s="39" t="str">
        <f>""</f>
        <v/>
      </c>
    </row>
    <row r="813" spans="1:10">
      <c r="A813" s="26" t="s">
        <v>2371</v>
      </c>
      <c r="E813" s="26" t="s">
        <v>5581</v>
      </c>
      <c r="F813" s="39" t="str">
        <f t="shared" si="48"/>
        <v/>
      </c>
      <c r="G813" s="39" t="str">
        <f t="shared" si="49"/>
        <v/>
      </c>
      <c r="H813" s="39" t="str">
        <f t="shared" si="50"/>
        <v/>
      </c>
      <c r="I813" s="39" t="str">
        <f t="shared" si="51"/>
        <v/>
      </c>
      <c r="J813" s="39" t="str">
        <f>""</f>
        <v/>
      </c>
    </row>
    <row r="814" spans="1:10">
      <c r="A814" s="26" t="s">
        <v>2372</v>
      </c>
      <c r="C814" s="39">
        <v>75</v>
      </c>
      <c r="E814" s="26" t="s">
        <v>5581</v>
      </c>
      <c r="F814" s="39">
        <f t="shared" si="48"/>
        <v>75</v>
      </c>
      <c r="G814" s="39">
        <f t="shared" si="49"/>
        <v>75</v>
      </c>
      <c r="H814" s="39">
        <f t="shared" si="50"/>
        <v>75</v>
      </c>
      <c r="I814" s="39" t="str">
        <f t="shared" si="51"/>
        <v/>
      </c>
      <c r="J814" s="39" t="str">
        <f>""</f>
        <v/>
      </c>
    </row>
    <row r="815" spans="1:10">
      <c r="A815" s="26" t="s">
        <v>2375</v>
      </c>
      <c r="E815" s="26" t="s">
        <v>5581</v>
      </c>
      <c r="F815" s="39" t="str">
        <f t="shared" si="48"/>
        <v/>
      </c>
      <c r="G815" s="39" t="str">
        <f t="shared" si="49"/>
        <v/>
      </c>
      <c r="H815" s="39" t="str">
        <f t="shared" si="50"/>
        <v/>
      </c>
      <c r="I815" s="39" t="str">
        <f t="shared" si="51"/>
        <v/>
      </c>
      <c r="J815" s="39" t="str">
        <f>""</f>
        <v/>
      </c>
    </row>
    <row r="816" spans="1:10">
      <c r="A816" s="26" t="s">
        <v>2378</v>
      </c>
      <c r="E816" s="26" t="s">
        <v>5581</v>
      </c>
      <c r="F816" s="39" t="str">
        <f t="shared" si="48"/>
        <v/>
      </c>
      <c r="G816" s="39" t="str">
        <f t="shared" si="49"/>
        <v/>
      </c>
      <c r="H816" s="39" t="str">
        <f t="shared" si="50"/>
        <v/>
      </c>
      <c r="I816" s="39" t="str">
        <f t="shared" si="51"/>
        <v/>
      </c>
      <c r="J816" s="39" t="str">
        <f>""</f>
        <v/>
      </c>
    </row>
    <row r="817" spans="1:10">
      <c r="A817" s="26" t="s">
        <v>2381</v>
      </c>
      <c r="E817" s="26" t="s">
        <v>5581</v>
      </c>
      <c r="F817" s="39" t="str">
        <f t="shared" si="48"/>
        <v/>
      </c>
      <c r="G817" s="39" t="str">
        <f t="shared" si="49"/>
        <v/>
      </c>
      <c r="H817" s="39" t="str">
        <f t="shared" si="50"/>
        <v/>
      </c>
      <c r="I817" s="39" t="str">
        <f t="shared" si="51"/>
        <v/>
      </c>
      <c r="J817" s="39" t="str">
        <f>""</f>
        <v/>
      </c>
    </row>
    <row r="818" spans="1:10">
      <c r="A818" s="26" t="s">
        <v>2383</v>
      </c>
      <c r="E818" s="26" t="s">
        <v>5581</v>
      </c>
      <c r="F818" s="39" t="str">
        <f t="shared" si="48"/>
        <v/>
      </c>
      <c r="G818" s="39" t="str">
        <f t="shared" si="49"/>
        <v/>
      </c>
      <c r="H818" s="39" t="str">
        <f t="shared" si="50"/>
        <v/>
      </c>
      <c r="I818" s="39" t="str">
        <f t="shared" si="51"/>
        <v/>
      </c>
      <c r="J818" s="39" t="str">
        <f>""</f>
        <v/>
      </c>
    </row>
    <row r="819" spans="1:10">
      <c r="A819" s="26" t="s">
        <v>2386</v>
      </c>
      <c r="E819" s="26" t="s">
        <v>5581</v>
      </c>
      <c r="F819" s="39" t="str">
        <f t="shared" si="48"/>
        <v/>
      </c>
      <c r="G819" s="39" t="str">
        <f t="shared" si="49"/>
        <v/>
      </c>
      <c r="H819" s="39" t="str">
        <f t="shared" si="50"/>
        <v/>
      </c>
      <c r="I819" s="39" t="str">
        <f t="shared" si="51"/>
        <v/>
      </c>
      <c r="J819" s="39" t="str">
        <f>""</f>
        <v/>
      </c>
    </row>
    <row r="820" spans="1:10">
      <c r="A820" s="26" t="s">
        <v>2388</v>
      </c>
      <c r="E820" s="26" t="s">
        <v>5581</v>
      </c>
      <c r="F820" s="39" t="str">
        <f t="shared" si="48"/>
        <v/>
      </c>
      <c r="G820" s="39" t="str">
        <f t="shared" si="49"/>
        <v/>
      </c>
      <c r="H820" s="39" t="str">
        <f t="shared" si="50"/>
        <v/>
      </c>
      <c r="I820" s="39" t="str">
        <f t="shared" si="51"/>
        <v/>
      </c>
      <c r="J820" s="39" t="str">
        <f>""</f>
        <v/>
      </c>
    </row>
    <row r="821" spans="1:10">
      <c r="A821" s="26" t="s">
        <v>2391</v>
      </c>
      <c r="E821" s="26" t="s">
        <v>5581</v>
      </c>
      <c r="F821" s="39" t="str">
        <f t="shared" si="48"/>
        <v/>
      </c>
      <c r="G821" s="39" t="str">
        <f t="shared" si="49"/>
        <v/>
      </c>
      <c r="H821" s="39" t="str">
        <f t="shared" si="50"/>
        <v/>
      </c>
      <c r="I821" s="39" t="str">
        <f t="shared" si="51"/>
        <v/>
      </c>
      <c r="J821" s="39" t="str">
        <f>""</f>
        <v/>
      </c>
    </row>
    <row r="822" spans="1:10">
      <c r="A822" s="26" t="s">
        <v>2393</v>
      </c>
      <c r="E822" s="26" t="s">
        <v>5581</v>
      </c>
      <c r="F822" s="39" t="str">
        <f t="shared" si="48"/>
        <v/>
      </c>
      <c r="G822" s="39" t="str">
        <f t="shared" si="49"/>
        <v/>
      </c>
      <c r="H822" s="39" t="str">
        <f t="shared" si="50"/>
        <v/>
      </c>
      <c r="I822" s="39" t="str">
        <f t="shared" si="51"/>
        <v/>
      </c>
      <c r="J822" s="39" t="str">
        <f>""</f>
        <v/>
      </c>
    </row>
    <row r="823" spans="1:10">
      <c r="A823" s="26" t="s">
        <v>2396</v>
      </c>
      <c r="E823" s="26" t="s">
        <v>5581</v>
      </c>
      <c r="F823" s="39" t="str">
        <f t="shared" si="48"/>
        <v/>
      </c>
      <c r="G823" s="39" t="str">
        <f t="shared" si="49"/>
        <v/>
      </c>
      <c r="H823" s="39" t="str">
        <f t="shared" si="50"/>
        <v/>
      </c>
      <c r="I823" s="39" t="str">
        <f t="shared" si="51"/>
        <v/>
      </c>
      <c r="J823" s="39" t="str">
        <f>""</f>
        <v/>
      </c>
    </row>
    <row r="824" spans="1:10">
      <c r="A824" s="26" t="s">
        <v>2397</v>
      </c>
      <c r="E824" s="26" t="s">
        <v>5581</v>
      </c>
      <c r="F824" s="39" t="str">
        <f t="shared" si="48"/>
        <v/>
      </c>
      <c r="G824" s="39" t="str">
        <f t="shared" si="49"/>
        <v/>
      </c>
      <c r="H824" s="39" t="str">
        <f t="shared" si="50"/>
        <v/>
      </c>
      <c r="I824" s="39" t="str">
        <f t="shared" si="51"/>
        <v/>
      </c>
      <c r="J824" s="39" t="str">
        <f>""</f>
        <v/>
      </c>
    </row>
    <row r="825" spans="1:10">
      <c r="A825" s="26" t="s">
        <v>2400</v>
      </c>
      <c r="E825" s="26" t="s">
        <v>5581</v>
      </c>
      <c r="F825" s="39" t="str">
        <f t="shared" si="48"/>
        <v/>
      </c>
      <c r="G825" s="39" t="str">
        <f t="shared" si="49"/>
        <v/>
      </c>
      <c r="H825" s="39" t="str">
        <f t="shared" si="50"/>
        <v/>
      </c>
      <c r="I825" s="39" t="str">
        <f t="shared" si="51"/>
        <v/>
      </c>
      <c r="J825" s="39" t="str">
        <f>""</f>
        <v/>
      </c>
    </row>
    <row r="826" spans="1:10">
      <c r="A826" s="26" t="s">
        <v>2402</v>
      </c>
      <c r="E826" s="26" t="s">
        <v>5581</v>
      </c>
      <c r="F826" s="39" t="str">
        <f t="shared" si="48"/>
        <v/>
      </c>
      <c r="G826" s="39" t="str">
        <f t="shared" si="49"/>
        <v/>
      </c>
      <c r="H826" s="39" t="str">
        <f t="shared" si="50"/>
        <v/>
      </c>
      <c r="I826" s="39" t="str">
        <f t="shared" si="51"/>
        <v/>
      </c>
      <c r="J826" s="39" t="str">
        <f>""</f>
        <v/>
      </c>
    </row>
    <row r="827" spans="1:10">
      <c r="A827" s="26" t="s">
        <v>2405</v>
      </c>
      <c r="E827" s="26" t="s">
        <v>5581</v>
      </c>
      <c r="F827" s="39" t="str">
        <f t="shared" si="48"/>
        <v/>
      </c>
      <c r="G827" s="39" t="str">
        <f t="shared" si="49"/>
        <v/>
      </c>
      <c r="H827" s="39" t="str">
        <f t="shared" si="50"/>
        <v/>
      </c>
      <c r="I827" s="39" t="str">
        <f t="shared" si="51"/>
        <v/>
      </c>
      <c r="J827" s="39" t="str">
        <f>""</f>
        <v/>
      </c>
    </row>
    <row r="828" spans="1:10">
      <c r="A828" s="26" t="s">
        <v>2406</v>
      </c>
      <c r="E828" s="26" t="s">
        <v>5581</v>
      </c>
      <c r="F828" s="39" t="str">
        <f t="shared" si="48"/>
        <v/>
      </c>
      <c r="G828" s="39" t="str">
        <f t="shared" si="49"/>
        <v/>
      </c>
      <c r="H828" s="39" t="str">
        <f t="shared" si="50"/>
        <v/>
      </c>
      <c r="I828" s="39" t="str">
        <f t="shared" si="51"/>
        <v/>
      </c>
      <c r="J828" s="39" t="str">
        <f>""</f>
        <v/>
      </c>
    </row>
    <row r="829" spans="1:10">
      <c r="A829" s="26" t="s">
        <v>2409</v>
      </c>
      <c r="E829" s="26" t="s">
        <v>5581</v>
      </c>
      <c r="F829" s="39" t="str">
        <f t="shared" si="48"/>
        <v/>
      </c>
      <c r="G829" s="39" t="str">
        <f t="shared" si="49"/>
        <v/>
      </c>
      <c r="H829" s="39" t="str">
        <f t="shared" si="50"/>
        <v/>
      </c>
      <c r="I829" s="39" t="str">
        <f t="shared" si="51"/>
        <v/>
      </c>
      <c r="J829" s="39" t="str">
        <f>""</f>
        <v/>
      </c>
    </row>
    <row r="830" spans="1:10">
      <c r="A830" s="26" t="s">
        <v>1221</v>
      </c>
      <c r="E830" s="26" t="s">
        <v>5581</v>
      </c>
      <c r="F830" s="39" t="str">
        <f t="shared" si="48"/>
        <v/>
      </c>
      <c r="G830" s="39" t="str">
        <f t="shared" si="49"/>
        <v/>
      </c>
      <c r="H830" s="39" t="str">
        <f t="shared" si="50"/>
        <v/>
      </c>
      <c r="I830" s="39" t="str">
        <f t="shared" si="51"/>
        <v/>
      </c>
      <c r="J830" s="39" t="str">
        <f>""</f>
        <v/>
      </c>
    </row>
    <row r="831" spans="1:10">
      <c r="A831" s="26" t="s">
        <v>1223</v>
      </c>
      <c r="E831" s="26" t="s">
        <v>3790</v>
      </c>
      <c r="F831" s="39" t="str">
        <f t="shared" si="48"/>
        <v/>
      </c>
      <c r="G831" s="39" t="str">
        <f t="shared" si="49"/>
        <v/>
      </c>
      <c r="H831" s="39" t="str">
        <f t="shared" si="50"/>
        <v/>
      </c>
      <c r="I831" s="39" t="str">
        <f t="shared" si="51"/>
        <v/>
      </c>
      <c r="J831" s="39" t="str">
        <f>""</f>
        <v/>
      </c>
    </row>
    <row r="832" spans="1:10">
      <c r="A832" s="26" t="s">
        <v>1225</v>
      </c>
      <c r="E832" s="26" t="s">
        <v>3790</v>
      </c>
      <c r="F832" s="39" t="str">
        <f t="shared" si="48"/>
        <v/>
      </c>
      <c r="G832" s="39" t="str">
        <f t="shared" si="49"/>
        <v/>
      </c>
      <c r="H832" s="39" t="str">
        <f t="shared" si="50"/>
        <v/>
      </c>
      <c r="I832" s="39" t="str">
        <f t="shared" si="51"/>
        <v/>
      </c>
      <c r="J832" s="39" t="str">
        <f>""</f>
        <v/>
      </c>
    </row>
    <row r="833" spans="1:10">
      <c r="A833" s="26" t="s">
        <v>1227</v>
      </c>
      <c r="E833" s="26" t="s">
        <v>3790</v>
      </c>
      <c r="F833" s="39" t="str">
        <f t="shared" si="48"/>
        <v/>
      </c>
      <c r="G833" s="39" t="str">
        <f t="shared" si="49"/>
        <v/>
      </c>
      <c r="H833" s="39" t="str">
        <f t="shared" si="50"/>
        <v/>
      </c>
      <c r="I833" s="39" t="str">
        <f t="shared" si="51"/>
        <v/>
      </c>
      <c r="J833" s="39" t="str">
        <f>""</f>
        <v/>
      </c>
    </row>
    <row r="834" spans="1:10">
      <c r="A834" s="26" t="s">
        <v>1229</v>
      </c>
      <c r="E834" s="26" t="s">
        <v>3790</v>
      </c>
      <c r="F834" s="39" t="str">
        <f t="shared" si="48"/>
        <v/>
      </c>
      <c r="G834" s="39" t="str">
        <f t="shared" si="49"/>
        <v/>
      </c>
      <c r="H834" s="39" t="str">
        <f t="shared" si="50"/>
        <v/>
      </c>
      <c r="I834" s="39" t="str">
        <f t="shared" si="51"/>
        <v/>
      </c>
      <c r="J834" s="39" t="str">
        <f>""</f>
        <v/>
      </c>
    </row>
    <row r="835" spans="1:10">
      <c r="A835" s="26" t="s">
        <v>1230</v>
      </c>
      <c r="E835" s="26" t="s">
        <v>5581</v>
      </c>
      <c r="F835" s="39" t="str">
        <f t="shared" ref="F835:F898" si="52">IF(C835="","",IF(C835&lt;99,C835,""))</f>
        <v/>
      </c>
      <c r="G835" s="39" t="str">
        <f t="shared" ref="G835:G898" si="53">IF(OR(F835&lt;&gt;"",D835&lt;&gt;""),C835,"")</f>
        <v/>
      </c>
      <c r="H835" s="39" t="str">
        <f t="shared" ref="H835:H898" si="54">IF(C835="","",C835)</f>
        <v/>
      </c>
      <c r="I835" s="39" t="str">
        <f t="shared" ref="I835:I898" si="55">IF(AND(C835&lt;&gt;"",D835&lt;&gt;""),C835,"")</f>
        <v/>
      </c>
      <c r="J835" s="39" t="str">
        <f>""</f>
        <v/>
      </c>
    </row>
    <row r="836" spans="1:10">
      <c r="A836" s="26" t="s">
        <v>1232</v>
      </c>
      <c r="E836" s="26" t="s">
        <v>5581</v>
      </c>
      <c r="F836" s="39" t="str">
        <f t="shared" si="52"/>
        <v/>
      </c>
      <c r="G836" s="39" t="str">
        <f t="shared" si="53"/>
        <v/>
      </c>
      <c r="H836" s="39" t="str">
        <f t="shared" si="54"/>
        <v/>
      </c>
      <c r="I836" s="39" t="str">
        <f t="shared" si="55"/>
        <v/>
      </c>
      <c r="J836" s="39" t="str">
        <f>""</f>
        <v/>
      </c>
    </row>
    <row r="837" spans="1:10">
      <c r="A837" s="26" t="s">
        <v>1233</v>
      </c>
      <c r="E837" s="26" t="s">
        <v>5581</v>
      </c>
      <c r="F837" s="39" t="str">
        <f t="shared" si="52"/>
        <v/>
      </c>
      <c r="G837" s="39" t="str">
        <f t="shared" si="53"/>
        <v/>
      </c>
      <c r="H837" s="39" t="str">
        <f t="shared" si="54"/>
        <v/>
      </c>
      <c r="I837" s="39" t="str">
        <f t="shared" si="55"/>
        <v/>
      </c>
      <c r="J837" s="39" t="str">
        <f>""</f>
        <v/>
      </c>
    </row>
    <row r="838" spans="1:10">
      <c r="A838" s="26" t="s">
        <v>1236</v>
      </c>
      <c r="E838" s="26" t="s">
        <v>5581</v>
      </c>
      <c r="F838" s="39" t="str">
        <f t="shared" si="52"/>
        <v/>
      </c>
      <c r="G838" s="39" t="str">
        <f t="shared" si="53"/>
        <v/>
      </c>
      <c r="H838" s="39" t="str">
        <f t="shared" si="54"/>
        <v/>
      </c>
      <c r="I838" s="39" t="str">
        <f t="shared" si="55"/>
        <v/>
      </c>
      <c r="J838" s="39" t="str">
        <f>""</f>
        <v/>
      </c>
    </row>
    <row r="839" spans="1:10">
      <c r="A839" s="26" t="s">
        <v>1238</v>
      </c>
      <c r="E839" s="26" t="s">
        <v>5581</v>
      </c>
      <c r="F839" s="39" t="str">
        <f t="shared" si="52"/>
        <v/>
      </c>
      <c r="G839" s="39" t="str">
        <f t="shared" si="53"/>
        <v/>
      </c>
      <c r="H839" s="39" t="str">
        <f t="shared" si="54"/>
        <v/>
      </c>
      <c r="I839" s="39" t="str">
        <f t="shared" si="55"/>
        <v/>
      </c>
      <c r="J839" s="39" t="str">
        <f>""</f>
        <v/>
      </c>
    </row>
    <row r="840" spans="1:10">
      <c r="A840" s="26" t="s">
        <v>1240</v>
      </c>
      <c r="E840" s="26" t="s">
        <v>5581</v>
      </c>
      <c r="F840" s="39" t="str">
        <f t="shared" si="52"/>
        <v/>
      </c>
      <c r="G840" s="39" t="str">
        <f t="shared" si="53"/>
        <v/>
      </c>
      <c r="H840" s="39" t="str">
        <f t="shared" si="54"/>
        <v/>
      </c>
      <c r="I840" s="39" t="str">
        <f t="shared" si="55"/>
        <v/>
      </c>
      <c r="J840" s="39" t="str">
        <f>""</f>
        <v/>
      </c>
    </row>
    <row r="841" spans="1:10">
      <c r="A841" s="26" t="s">
        <v>1242</v>
      </c>
      <c r="E841" s="26" t="s">
        <v>5581</v>
      </c>
      <c r="F841" s="39" t="str">
        <f t="shared" si="52"/>
        <v/>
      </c>
      <c r="G841" s="39" t="str">
        <f t="shared" si="53"/>
        <v/>
      </c>
      <c r="H841" s="39" t="str">
        <f t="shared" si="54"/>
        <v/>
      </c>
      <c r="I841" s="39" t="str">
        <f t="shared" si="55"/>
        <v/>
      </c>
      <c r="J841" s="39" t="str">
        <f>""</f>
        <v/>
      </c>
    </row>
    <row r="842" spans="1:10">
      <c r="A842" s="26" t="s">
        <v>2410</v>
      </c>
      <c r="E842" s="26" t="s">
        <v>5581</v>
      </c>
      <c r="F842" s="39" t="str">
        <f t="shared" si="52"/>
        <v/>
      </c>
      <c r="G842" s="39" t="str">
        <f t="shared" si="53"/>
        <v/>
      </c>
      <c r="H842" s="39" t="str">
        <f t="shared" si="54"/>
        <v/>
      </c>
      <c r="I842" s="39" t="str">
        <f t="shared" si="55"/>
        <v/>
      </c>
      <c r="J842" s="39" t="str">
        <f>""</f>
        <v/>
      </c>
    </row>
    <row r="843" spans="1:10">
      <c r="A843" s="26" t="s">
        <v>2412</v>
      </c>
      <c r="E843" s="26" t="s">
        <v>5581</v>
      </c>
      <c r="F843" s="39" t="str">
        <f t="shared" si="52"/>
        <v/>
      </c>
      <c r="G843" s="39" t="str">
        <f t="shared" si="53"/>
        <v/>
      </c>
      <c r="H843" s="39" t="str">
        <f t="shared" si="54"/>
        <v/>
      </c>
      <c r="I843" s="39" t="str">
        <f t="shared" si="55"/>
        <v/>
      </c>
      <c r="J843" s="39" t="str">
        <f>""</f>
        <v/>
      </c>
    </row>
    <row r="844" spans="1:10">
      <c r="A844" s="26" t="s">
        <v>1243</v>
      </c>
      <c r="E844" s="26" t="s">
        <v>5581</v>
      </c>
      <c r="F844" s="39" t="str">
        <f t="shared" si="52"/>
        <v/>
      </c>
      <c r="G844" s="39" t="str">
        <f t="shared" si="53"/>
        <v/>
      </c>
      <c r="H844" s="39" t="str">
        <f t="shared" si="54"/>
        <v/>
      </c>
      <c r="I844" s="39" t="str">
        <f t="shared" si="55"/>
        <v/>
      </c>
      <c r="J844" s="39" t="str">
        <f>""</f>
        <v/>
      </c>
    </row>
    <row r="845" spans="1:10">
      <c r="A845" s="26" t="s">
        <v>1245</v>
      </c>
      <c r="E845" s="26" t="s">
        <v>5581</v>
      </c>
      <c r="F845" s="39" t="str">
        <f t="shared" si="52"/>
        <v/>
      </c>
      <c r="G845" s="39" t="str">
        <f t="shared" si="53"/>
        <v/>
      </c>
      <c r="H845" s="39" t="str">
        <f t="shared" si="54"/>
        <v/>
      </c>
      <c r="I845" s="39" t="str">
        <f t="shared" si="55"/>
        <v/>
      </c>
      <c r="J845" s="39" t="str">
        <f>""</f>
        <v/>
      </c>
    </row>
    <row r="846" spans="1:10">
      <c r="A846" s="26" t="s">
        <v>1246</v>
      </c>
      <c r="E846" s="26" t="s">
        <v>3790</v>
      </c>
      <c r="F846" s="39" t="str">
        <f t="shared" si="52"/>
        <v/>
      </c>
      <c r="G846" s="39" t="str">
        <f t="shared" si="53"/>
        <v/>
      </c>
      <c r="H846" s="39" t="str">
        <f t="shared" si="54"/>
        <v/>
      </c>
      <c r="I846" s="39" t="str">
        <f t="shared" si="55"/>
        <v/>
      </c>
      <c r="J846" s="39" t="str">
        <f>""</f>
        <v/>
      </c>
    </row>
    <row r="847" spans="1:10">
      <c r="A847" s="26" t="s">
        <v>1248</v>
      </c>
      <c r="E847" s="26" t="s">
        <v>3790</v>
      </c>
      <c r="F847" s="39" t="str">
        <f t="shared" si="52"/>
        <v/>
      </c>
      <c r="G847" s="39" t="str">
        <f t="shared" si="53"/>
        <v/>
      </c>
      <c r="H847" s="39" t="str">
        <f t="shared" si="54"/>
        <v/>
      </c>
      <c r="I847" s="39" t="str">
        <f t="shared" si="55"/>
        <v/>
      </c>
      <c r="J847" s="39" t="str">
        <f>""</f>
        <v/>
      </c>
    </row>
    <row r="848" spans="1:10">
      <c r="A848" s="26" t="s">
        <v>1249</v>
      </c>
      <c r="E848" s="26" t="s">
        <v>5581</v>
      </c>
      <c r="F848" s="39" t="str">
        <f t="shared" si="52"/>
        <v/>
      </c>
      <c r="G848" s="39" t="str">
        <f t="shared" si="53"/>
        <v/>
      </c>
      <c r="H848" s="39" t="str">
        <f t="shared" si="54"/>
        <v/>
      </c>
      <c r="I848" s="39" t="str">
        <f t="shared" si="55"/>
        <v/>
      </c>
      <c r="J848" s="39" t="str">
        <f>""</f>
        <v/>
      </c>
    </row>
    <row r="849" spans="1:10">
      <c r="A849" s="26" t="s">
        <v>2413</v>
      </c>
      <c r="E849" s="26" t="s">
        <v>5581</v>
      </c>
      <c r="F849" s="39" t="str">
        <f t="shared" si="52"/>
        <v/>
      </c>
      <c r="G849" s="39" t="str">
        <f t="shared" si="53"/>
        <v/>
      </c>
      <c r="H849" s="39" t="str">
        <f t="shared" si="54"/>
        <v/>
      </c>
      <c r="I849" s="39" t="str">
        <f t="shared" si="55"/>
        <v/>
      </c>
      <c r="J849" s="39" t="str">
        <f>""</f>
        <v/>
      </c>
    </row>
    <row r="850" spans="1:10">
      <c r="A850" s="26" t="s">
        <v>5937</v>
      </c>
      <c r="E850" s="26" t="s">
        <v>3790</v>
      </c>
      <c r="F850" s="39" t="str">
        <f t="shared" si="52"/>
        <v/>
      </c>
      <c r="G850" s="39" t="str">
        <f t="shared" si="53"/>
        <v/>
      </c>
      <c r="H850" s="39" t="str">
        <f t="shared" si="54"/>
        <v/>
      </c>
      <c r="I850" s="39" t="str">
        <f t="shared" si="55"/>
        <v/>
      </c>
      <c r="J850" s="39" t="str">
        <f>""</f>
        <v/>
      </c>
    </row>
    <row r="851" spans="1:10">
      <c r="A851" s="26" t="s">
        <v>1251</v>
      </c>
      <c r="E851" s="26" t="s">
        <v>5581</v>
      </c>
      <c r="F851" s="39" t="str">
        <f t="shared" si="52"/>
        <v/>
      </c>
      <c r="G851" s="39" t="str">
        <f t="shared" si="53"/>
        <v/>
      </c>
      <c r="H851" s="39" t="str">
        <f t="shared" si="54"/>
        <v/>
      </c>
      <c r="I851" s="39" t="str">
        <f t="shared" si="55"/>
        <v/>
      </c>
      <c r="J851" s="39" t="str">
        <f>""</f>
        <v/>
      </c>
    </row>
    <row r="852" spans="1:10">
      <c r="A852" s="26" t="s">
        <v>5938</v>
      </c>
      <c r="E852" s="26" t="s">
        <v>3790</v>
      </c>
      <c r="F852" s="39" t="str">
        <f t="shared" si="52"/>
        <v/>
      </c>
      <c r="G852" s="39" t="str">
        <f t="shared" si="53"/>
        <v/>
      </c>
      <c r="H852" s="39" t="str">
        <f t="shared" si="54"/>
        <v/>
      </c>
      <c r="I852" s="39" t="str">
        <f t="shared" si="55"/>
        <v/>
      </c>
      <c r="J852" s="39" t="str">
        <f>""</f>
        <v/>
      </c>
    </row>
    <row r="853" spans="1:10">
      <c r="A853" s="26" t="s">
        <v>1253</v>
      </c>
      <c r="E853" s="26" t="s">
        <v>5581</v>
      </c>
      <c r="F853" s="39" t="str">
        <f t="shared" si="52"/>
        <v/>
      </c>
      <c r="G853" s="39" t="str">
        <f t="shared" si="53"/>
        <v/>
      </c>
      <c r="H853" s="39" t="str">
        <f t="shared" si="54"/>
        <v/>
      </c>
      <c r="I853" s="39" t="str">
        <f t="shared" si="55"/>
        <v/>
      </c>
      <c r="J853" s="39" t="str">
        <f>""</f>
        <v/>
      </c>
    </row>
    <row r="854" spans="1:10">
      <c r="A854" s="26" t="s">
        <v>1255</v>
      </c>
      <c r="E854" s="26" t="s">
        <v>5581</v>
      </c>
      <c r="F854" s="39" t="str">
        <f t="shared" si="52"/>
        <v/>
      </c>
      <c r="G854" s="39" t="str">
        <f t="shared" si="53"/>
        <v/>
      </c>
      <c r="H854" s="39" t="str">
        <f t="shared" si="54"/>
        <v/>
      </c>
      <c r="I854" s="39" t="str">
        <f t="shared" si="55"/>
        <v/>
      </c>
      <c r="J854" s="39" t="str">
        <f>""</f>
        <v/>
      </c>
    </row>
    <row r="855" spans="1:10">
      <c r="A855" s="26" t="s">
        <v>1257</v>
      </c>
      <c r="C855" s="39">
        <v>50</v>
      </c>
      <c r="E855" s="26" t="s">
        <v>5581</v>
      </c>
      <c r="F855" s="39">
        <f t="shared" si="52"/>
        <v>50</v>
      </c>
      <c r="G855" s="39">
        <f t="shared" si="53"/>
        <v>50</v>
      </c>
      <c r="H855" s="39">
        <f t="shared" si="54"/>
        <v>50</v>
      </c>
      <c r="I855" s="39" t="str">
        <f t="shared" si="55"/>
        <v/>
      </c>
      <c r="J855" s="39" t="str">
        <f>""</f>
        <v/>
      </c>
    </row>
    <row r="856" spans="1:10">
      <c r="A856" s="26" t="s">
        <v>1258</v>
      </c>
      <c r="E856" s="26" t="s">
        <v>5581</v>
      </c>
      <c r="F856" s="39" t="str">
        <f t="shared" si="52"/>
        <v/>
      </c>
      <c r="G856" s="39" t="str">
        <f t="shared" si="53"/>
        <v/>
      </c>
      <c r="H856" s="39" t="str">
        <f t="shared" si="54"/>
        <v/>
      </c>
      <c r="I856" s="39" t="str">
        <f t="shared" si="55"/>
        <v/>
      </c>
      <c r="J856" s="39" t="str">
        <f>""</f>
        <v/>
      </c>
    </row>
    <row r="857" spans="1:10">
      <c r="A857" s="26" t="s">
        <v>1260</v>
      </c>
      <c r="E857" s="26" t="s">
        <v>5581</v>
      </c>
      <c r="F857" s="39" t="str">
        <f t="shared" si="52"/>
        <v/>
      </c>
      <c r="G857" s="39" t="str">
        <f t="shared" si="53"/>
        <v/>
      </c>
      <c r="H857" s="39" t="str">
        <f t="shared" si="54"/>
        <v/>
      </c>
      <c r="I857" s="39" t="str">
        <f t="shared" si="55"/>
        <v/>
      </c>
      <c r="J857" s="39" t="str">
        <f>""</f>
        <v/>
      </c>
    </row>
    <row r="858" spans="1:10">
      <c r="A858" s="26" t="s">
        <v>1261</v>
      </c>
      <c r="E858" s="26" t="s">
        <v>5581</v>
      </c>
      <c r="F858" s="39" t="str">
        <f t="shared" si="52"/>
        <v/>
      </c>
      <c r="G858" s="39" t="str">
        <f t="shared" si="53"/>
        <v/>
      </c>
      <c r="H858" s="39" t="str">
        <f t="shared" si="54"/>
        <v/>
      </c>
      <c r="I858" s="39" t="str">
        <f t="shared" si="55"/>
        <v/>
      </c>
      <c r="J858" s="39" t="str">
        <f>""</f>
        <v/>
      </c>
    </row>
    <row r="859" spans="1:10">
      <c r="A859" s="26" t="s">
        <v>1263</v>
      </c>
      <c r="E859" s="26" t="s">
        <v>5581</v>
      </c>
      <c r="F859" s="39" t="str">
        <f t="shared" si="52"/>
        <v/>
      </c>
      <c r="G859" s="39" t="str">
        <f t="shared" si="53"/>
        <v/>
      </c>
      <c r="H859" s="39" t="str">
        <f t="shared" si="54"/>
        <v/>
      </c>
      <c r="I859" s="39" t="str">
        <f t="shared" si="55"/>
        <v/>
      </c>
      <c r="J859" s="39" t="str">
        <f>""</f>
        <v/>
      </c>
    </row>
    <row r="860" spans="1:10">
      <c r="A860" s="26" t="s">
        <v>2415</v>
      </c>
      <c r="E860" s="26" t="s">
        <v>5581</v>
      </c>
      <c r="F860" s="39" t="str">
        <f t="shared" si="52"/>
        <v/>
      </c>
      <c r="G860" s="39" t="str">
        <f t="shared" si="53"/>
        <v/>
      </c>
      <c r="H860" s="39" t="str">
        <f t="shared" si="54"/>
        <v/>
      </c>
      <c r="I860" s="39" t="str">
        <f t="shared" si="55"/>
        <v/>
      </c>
      <c r="J860" s="39" t="str">
        <f>""</f>
        <v/>
      </c>
    </row>
    <row r="861" spans="1:10">
      <c r="A861" s="26" t="s">
        <v>2417</v>
      </c>
      <c r="E861" s="26" t="s">
        <v>5581</v>
      </c>
      <c r="F861" s="39" t="str">
        <f t="shared" si="52"/>
        <v/>
      </c>
      <c r="G861" s="39" t="str">
        <f t="shared" si="53"/>
        <v/>
      </c>
      <c r="H861" s="39" t="str">
        <f t="shared" si="54"/>
        <v/>
      </c>
      <c r="I861" s="39" t="str">
        <f t="shared" si="55"/>
        <v/>
      </c>
      <c r="J861" s="39" t="str">
        <f>""</f>
        <v/>
      </c>
    </row>
    <row r="862" spans="1:10">
      <c r="A862" s="26" t="s">
        <v>5939</v>
      </c>
      <c r="E862" s="26" t="s">
        <v>3790</v>
      </c>
      <c r="F862" s="39" t="str">
        <f t="shared" si="52"/>
        <v/>
      </c>
      <c r="G862" s="39" t="str">
        <f t="shared" si="53"/>
        <v/>
      </c>
      <c r="H862" s="39" t="str">
        <f t="shared" si="54"/>
        <v/>
      </c>
      <c r="I862" s="39" t="str">
        <f t="shared" si="55"/>
        <v/>
      </c>
      <c r="J862" s="39" t="str">
        <f>""</f>
        <v/>
      </c>
    </row>
    <row r="863" spans="1:10">
      <c r="A863" s="26" t="s">
        <v>1264</v>
      </c>
      <c r="E863" s="26" t="s">
        <v>5581</v>
      </c>
      <c r="F863" s="39" t="str">
        <f t="shared" si="52"/>
        <v/>
      </c>
      <c r="G863" s="39" t="str">
        <f t="shared" si="53"/>
        <v/>
      </c>
      <c r="H863" s="39" t="str">
        <f t="shared" si="54"/>
        <v/>
      </c>
      <c r="I863" s="39" t="str">
        <f t="shared" si="55"/>
        <v/>
      </c>
      <c r="J863" s="39" t="str">
        <f>""</f>
        <v/>
      </c>
    </row>
    <row r="864" spans="1:10">
      <c r="A864" s="26" t="s">
        <v>2418</v>
      </c>
      <c r="E864" s="26" t="s">
        <v>5581</v>
      </c>
      <c r="F864" s="39" t="str">
        <f t="shared" si="52"/>
        <v/>
      </c>
      <c r="G864" s="39" t="str">
        <f t="shared" si="53"/>
        <v/>
      </c>
      <c r="H864" s="39" t="str">
        <f t="shared" si="54"/>
        <v/>
      </c>
      <c r="I864" s="39" t="str">
        <f t="shared" si="55"/>
        <v/>
      </c>
      <c r="J864" s="39" t="str">
        <f>""</f>
        <v/>
      </c>
    </row>
    <row r="865" spans="1:10">
      <c r="A865" s="26" t="s">
        <v>2420</v>
      </c>
      <c r="E865" s="26" t="s">
        <v>5581</v>
      </c>
      <c r="F865" s="39" t="str">
        <f t="shared" si="52"/>
        <v/>
      </c>
      <c r="G865" s="39" t="str">
        <f t="shared" si="53"/>
        <v/>
      </c>
      <c r="H865" s="39" t="str">
        <f t="shared" si="54"/>
        <v/>
      </c>
      <c r="I865" s="39" t="str">
        <f t="shared" si="55"/>
        <v/>
      </c>
      <c r="J865" s="39" t="str">
        <f>""</f>
        <v/>
      </c>
    </row>
    <row r="866" spans="1:10">
      <c r="A866" s="26" t="s">
        <v>2421</v>
      </c>
      <c r="E866" s="26" t="s">
        <v>5581</v>
      </c>
      <c r="F866" s="39" t="str">
        <f t="shared" si="52"/>
        <v/>
      </c>
      <c r="G866" s="39" t="str">
        <f t="shared" si="53"/>
        <v/>
      </c>
      <c r="H866" s="39" t="str">
        <f t="shared" si="54"/>
        <v/>
      </c>
      <c r="I866" s="39" t="str">
        <f t="shared" si="55"/>
        <v/>
      </c>
      <c r="J866" s="39" t="str">
        <f>""</f>
        <v/>
      </c>
    </row>
    <row r="867" spans="1:10">
      <c r="A867" s="26" t="s">
        <v>2423</v>
      </c>
      <c r="E867" s="26" t="s">
        <v>5581</v>
      </c>
      <c r="F867" s="39" t="str">
        <f t="shared" si="52"/>
        <v/>
      </c>
      <c r="G867" s="39" t="str">
        <f t="shared" si="53"/>
        <v/>
      </c>
      <c r="H867" s="39" t="str">
        <f t="shared" si="54"/>
        <v/>
      </c>
      <c r="I867" s="39" t="str">
        <f t="shared" si="55"/>
        <v/>
      </c>
      <c r="J867" s="39" t="str">
        <f>""</f>
        <v/>
      </c>
    </row>
    <row r="868" spans="1:10">
      <c r="A868" s="26" t="s">
        <v>2424</v>
      </c>
      <c r="E868" s="26" t="s">
        <v>5581</v>
      </c>
      <c r="F868" s="39" t="str">
        <f t="shared" si="52"/>
        <v/>
      </c>
      <c r="G868" s="39" t="str">
        <f t="shared" si="53"/>
        <v/>
      </c>
      <c r="H868" s="39" t="str">
        <f t="shared" si="54"/>
        <v/>
      </c>
      <c r="I868" s="39" t="str">
        <f t="shared" si="55"/>
        <v/>
      </c>
      <c r="J868" s="39" t="str">
        <f>""</f>
        <v/>
      </c>
    </row>
    <row r="869" spans="1:10">
      <c r="A869" s="26" t="s">
        <v>2427</v>
      </c>
      <c r="E869" s="26" t="s">
        <v>5581</v>
      </c>
      <c r="F869" s="39" t="str">
        <f t="shared" si="52"/>
        <v/>
      </c>
      <c r="G869" s="39" t="str">
        <f t="shared" si="53"/>
        <v/>
      </c>
      <c r="H869" s="39" t="str">
        <f t="shared" si="54"/>
        <v/>
      </c>
      <c r="I869" s="39" t="str">
        <f t="shared" si="55"/>
        <v/>
      </c>
      <c r="J869" s="39" t="str">
        <f>""</f>
        <v/>
      </c>
    </row>
    <row r="870" spans="1:10">
      <c r="A870" s="26" t="s">
        <v>2429</v>
      </c>
      <c r="E870" s="26" t="s">
        <v>5581</v>
      </c>
      <c r="F870" s="39" t="str">
        <f t="shared" si="52"/>
        <v/>
      </c>
      <c r="G870" s="39" t="str">
        <f t="shared" si="53"/>
        <v/>
      </c>
      <c r="H870" s="39" t="str">
        <f t="shared" si="54"/>
        <v/>
      </c>
      <c r="I870" s="39" t="str">
        <f t="shared" si="55"/>
        <v/>
      </c>
      <c r="J870" s="39" t="str">
        <f>""</f>
        <v/>
      </c>
    </row>
    <row r="871" spans="1:10">
      <c r="A871" s="26" t="s">
        <v>2432</v>
      </c>
      <c r="C871" s="39">
        <v>400</v>
      </c>
      <c r="E871" s="26" t="s">
        <v>5581</v>
      </c>
      <c r="F871" s="39" t="str">
        <f t="shared" si="52"/>
        <v/>
      </c>
      <c r="G871" s="39" t="str">
        <f t="shared" si="53"/>
        <v/>
      </c>
      <c r="H871" s="39">
        <f t="shared" si="54"/>
        <v>400</v>
      </c>
      <c r="I871" s="39" t="str">
        <f t="shared" si="55"/>
        <v/>
      </c>
      <c r="J871" s="39" t="str">
        <f>""</f>
        <v/>
      </c>
    </row>
    <row r="872" spans="1:10">
      <c r="A872" s="26" t="s">
        <v>2434</v>
      </c>
      <c r="E872" s="26" t="s">
        <v>3790</v>
      </c>
      <c r="F872" s="39" t="str">
        <f t="shared" si="52"/>
        <v/>
      </c>
      <c r="G872" s="39" t="str">
        <f t="shared" si="53"/>
        <v/>
      </c>
      <c r="H872" s="39" t="str">
        <f t="shared" si="54"/>
        <v/>
      </c>
      <c r="I872" s="39" t="str">
        <f t="shared" si="55"/>
        <v/>
      </c>
      <c r="J872" s="39" t="str">
        <f>""</f>
        <v/>
      </c>
    </row>
    <row r="873" spans="1:10">
      <c r="A873" s="26" t="s">
        <v>2436</v>
      </c>
      <c r="E873" s="26" t="s">
        <v>3790</v>
      </c>
      <c r="F873" s="39" t="str">
        <f t="shared" si="52"/>
        <v/>
      </c>
      <c r="G873" s="39" t="str">
        <f t="shared" si="53"/>
        <v/>
      </c>
      <c r="H873" s="39" t="str">
        <f t="shared" si="54"/>
        <v/>
      </c>
      <c r="I873" s="39" t="str">
        <f t="shared" si="55"/>
        <v/>
      </c>
      <c r="J873" s="39" t="str">
        <f>""</f>
        <v/>
      </c>
    </row>
    <row r="874" spans="1:10">
      <c r="A874" s="26" t="s">
        <v>3385</v>
      </c>
      <c r="E874" s="26" t="s">
        <v>5581</v>
      </c>
      <c r="F874" s="39" t="str">
        <f t="shared" si="52"/>
        <v/>
      </c>
      <c r="G874" s="39" t="str">
        <f t="shared" si="53"/>
        <v/>
      </c>
      <c r="H874" s="39" t="str">
        <f t="shared" si="54"/>
        <v/>
      </c>
      <c r="I874" s="39" t="str">
        <f t="shared" si="55"/>
        <v/>
      </c>
      <c r="J874" s="39" t="str">
        <f>""</f>
        <v/>
      </c>
    </row>
    <row r="875" spans="1:10">
      <c r="A875" s="26" t="s">
        <v>1266</v>
      </c>
      <c r="E875" s="26" t="s">
        <v>3790</v>
      </c>
      <c r="F875" s="39" t="str">
        <f t="shared" si="52"/>
        <v/>
      </c>
      <c r="G875" s="39" t="str">
        <f t="shared" si="53"/>
        <v/>
      </c>
      <c r="H875" s="39" t="str">
        <f t="shared" si="54"/>
        <v/>
      </c>
      <c r="I875" s="39" t="str">
        <f t="shared" si="55"/>
        <v/>
      </c>
      <c r="J875" s="39" t="str">
        <f>""</f>
        <v/>
      </c>
    </row>
    <row r="876" spans="1:10">
      <c r="A876" s="26" t="s">
        <v>1269</v>
      </c>
      <c r="E876" s="26" t="s">
        <v>3790</v>
      </c>
      <c r="F876" s="39" t="str">
        <f t="shared" si="52"/>
        <v/>
      </c>
      <c r="G876" s="39" t="str">
        <f t="shared" si="53"/>
        <v/>
      </c>
      <c r="H876" s="39" t="str">
        <f t="shared" si="54"/>
        <v/>
      </c>
      <c r="I876" s="39" t="str">
        <f t="shared" si="55"/>
        <v/>
      </c>
      <c r="J876" s="39" t="str">
        <f>""</f>
        <v/>
      </c>
    </row>
    <row r="877" spans="1:10">
      <c r="A877" s="26" t="s">
        <v>1270</v>
      </c>
      <c r="E877" s="26" t="s">
        <v>5581</v>
      </c>
      <c r="F877" s="39" t="str">
        <f t="shared" si="52"/>
        <v/>
      </c>
      <c r="G877" s="39" t="str">
        <f t="shared" si="53"/>
        <v/>
      </c>
      <c r="H877" s="39" t="str">
        <f t="shared" si="54"/>
        <v/>
      </c>
      <c r="I877" s="39" t="str">
        <f t="shared" si="55"/>
        <v/>
      </c>
      <c r="J877" s="39" t="str">
        <f>""</f>
        <v/>
      </c>
    </row>
    <row r="878" spans="1:10">
      <c r="A878" s="26" t="s">
        <v>1273</v>
      </c>
      <c r="E878" s="26" t="s">
        <v>5581</v>
      </c>
      <c r="F878" s="39" t="str">
        <f t="shared" si="52"/>
        <v/>
      </c>
      <c r="G878" s="39" t="str">
        <f t="shared" si="53"/>
        <v/>
      </c>
      <c r="H878" s="39" t="str">
        <f t="shared" si="54"/>
        <v/>
      </c>
      <c r="I878" s="39" t="str">
        <f t="shared" si="55"/>
        <v/>
      </c>
      <c r="J878" s="39" t="str">
        <f>""</f>
        <v/>
      </c>
    </row>
    <row r="879" spans="1:10">
      <c r="A879" s="26" t="s">
        <v>1275</v>
      </c>
      <c r="E879" s="26" t="s">
        <v>5581</v>
      </c>
      <c r="F879" s="39" t="str">
        <f t="shared" si="52"/>
        <v/>
      </c>
      <c r="G879" s="39" t="str">
        <f t="shared" si="53"/>
        <v/>
      </c>
      <c r="H879" s="39" t="str">
        <f t="shared" si="54"/>
        <v/>
      </c>
      <c r="I879" s="39" t="str">
        <f t="shared" si="55"/>
        <v/>
      </c>
      <c r="J879" s="39" t="str">
        <f>""</f>
        <v/>
      </c>
    </row>
    <row r="880" spans="1:10">
      <c r="A880" s="26" t="s">
        <v>1278</v>
      </c>
      <c r="E880" s="26" t="s">
        <v>5581</v>
      </c>
      <c r="F880" s="39" t="str">
        <f t="shared" si="52"/>
        <v/>
      </c>
      <c r="G880" s="39" t="str">
        <f t="shared" si="53"/>
        <v/>
      </c>
      <c r="H880" s="39" t="str">
        <f t="shared" si="54"/>
        <v/>
      </c>
      <c r="I880" s="39" t="str">
        <f t="shared" si="55"/>
        <v/>
      </c>
      <c r="J880" s="39" t="str">
        <f>""</f>
        <v/>
      </c>
    </row>
    <row r="881" spans="1:10">
      <c r="A881" s="26" t="s">
        <v>1280</v>
      </c>
      <c r="E881" s="26" t="s">
        <v>5581</v>
      </c>
      <c r="F881" s="39" t="str">
        <f t="shared" si="52"/>
        <v/>
      </c>
      <c r="G881" s="39" t="str">
        <f t="shared" si="53"/>
        <v/>
      </c>
      <c r="H881" s="39" t="str">
        <f t="shared" si="54"/>
        <v/>
      </c>
      <c r="I881" s="39" t="str">
        <f t="shared" si="55"/>
        <v/>
      </c>
      <c r="J881" s="39" t="str">
        <f>""</f>
        <v/>
      </c>
    </row>
    <row r="882" spans="1:10">
      <c r="A882" s="26" t="s">
        <v>1282</v>
      </c>
      <c r="E882" s="26" t="s">
        <v>5581</v>
      </c>
      <c r="F882" s="39" t="str">
        <f t="shared" si="52"/>
        <v/>
      </c>
      <c r="G882" s="39" t="str">
        <f t="shared" si="53"/>
        <v/>
      </c>
      <c r="H882" s="39" t="str">
        <f t="shared" si="54"/>
        <v/>
      </c>
      <c r="I882" s="39" t="str">
        <f t="shared" si="55"/>
        <v/>
      </c>
      <c r="J882" s="39" t="str">
        <f>""</f>
        <v/>
      </c>
    </row>
    <row r="883" spans="1:10">
      <c r="A883" s="26" t="s">
        <v>1283</v>
      </c>
      <c r="E883" s="26" t="s">
        <v>5581</v>
      </c>
      <c r="F883" s="39" t="str">
        <f t="shared" si="52"/>
        <v/>
      </c>
      <c r="G883" s="39" t="str">
        <f t="shared" si="53"/>
        <v/>
      </c>
      <c r="H883" s="39" t="str">
        <f t="shared" si="54"/>
        <v/>
      </c>
      <c r="I883" s="39" t="str">
        <f t="shared" si="55"/>
        <v/>
      </c>
      <c r="J883" s="39" t="str">
        <f>""</f>
        <v/>
      </c>
    </row>
    <row r="884" spans="1:10">
      <c r="A884" s="26" t="s">
        <v>1285</v>
      </c>
      <c r="E884" s="26" t="s">
        <v>5581</v>
      </c>
      <c r="F884" s="39" t="str">
        <f t="shared" si="52"/>
        <v/>
      </c>
      <c r="G884" s="39" t="str">
        <f t="shared" si="53"/>
        <v/>
      </c>
      <c r="H884" s="39" t="str">
        <f t="shared" si="54"/>
        <v/>
      </c>
      <c r="I884" s="39" t="str">
        <f t="shared" si="55"/>
        <v/>
      </c>
      <c r="J884" s="39" t="str">
        <f>""</f>
        <v/>
      </c>
    </row>
    <row r="885" spans="1:10">
      <c r="A885" s="26" t="s">
        <v>1286</v>
      </c>
      <c r="E885" s="26" t="s">
        <v>3790</v>
      </c>
      <c r="F885" s="39" t="str">
        <f t="shared" si="52"/>
        <v/>
      </c>
      <c r="G885" s="39" t="str">
        <f t="shared" si="53"/>
        <v/>
      </c>
      <c r="H885" s="39" t="str">
        <f t="shared" si="54"/>
        <v/>
      </c>
      <c r="I885" s="39" t="str">
        <f t="shared" si="55"/>
        <v/>
      </c>
      <c r="J885" s="39" t="str">
        <f>""</f>
        <v/>
      </c>
    </row>
    <row r="886" spans="1:10">
      <c r="A886" s="26" t="s">
        <v>1289</v>
      </c>
      <c r="E886" s="26" t="s">
        <v>3790</v>
      </c>
      <c r="F886" s="39" t="str">
        <f t="shared" si="52"/>
        <v/>
      </c>
      <c r="G886" s="39" t="str">
        <f t="shared" si="53"/>
        <v/>
      </c>
      <c r="H886" s="39" t="str">
        <f t="shared" si="54"/>
        <v/>
      </c>
      <c r="I886" s="39" t="str">
        <f t="shared" si="55"/>
        <v/>
      </c>
      <c r="J886" s="39" t="str">
        <f>""</f>
        <v/>
      </c>
    </row>
    <row r="887" spans="1:10">
      <c r="A887" s="26" t="s">
        <v>1291</v>
      </c>
      <c r="E887" s="26" t="s">
        <v>5581</v>
      </c>
      <c r="F887" s="39" t="str">
        <f t="shared" si="52"/>
        <v/>
      </c>
      <c r="G887" s="39" t="str">
        <f t="shared" si="53"/>
        <v/>
      </c>
      <c r="H887" s="39" t="str">
        <f t="shared" si="54"/>
        <v/>
      </c>
      <c r="I887" s="39" t="str">
        <f t="shared" si="55"/>
        <v/>
      </c>
      <c r="J887" s="39" t="str">
        <f>""</f>
        <v/>
      </c>
    </row>
    <row r="888" spans="1:10">
      <c r="A888" s="26" t="s">
        <v>1293</v>
      </c>
      <c r="E888" s="26" t="s">
        <v>5581</v>
      </c>
      <c r="F888" s="39" t="str">
        <f t="shared" si="52"/>
        <v/>
      </c>
      <c r="G888" s="39" t="str">
        <f t="shared" si="53"/>
        <v/>
      </c>
      <c r="H888" s="39" t="str">
        <f t="shared" si="54"/>
        <v/>
      </c>
      <c r="I888" s="39" t="str">
        <f t="shared" si="55"/>
        <v/>
      </c>
      <c r="J888" s="39" t="str">
        <f>""</f>
        <v/>
      </c>
    </row>
    <row r="889" spans="1:10">
      <c r="A889" s="26" t="s">
        <v>1294</v>
      </c>
      <c r="E889" s="26" t="s">
        <v>5581</v>
      </c>
      <c r="F889" s="39" t="str">
        <f t="shared" si="52"/>
        <v/>
      </c>
      <c r="G889" s="39" t="str">
        <f t="shared" si="53"/>
        <v/>
      </c>
      <c r="H889" s="39" t="str">
        <f t="shared" si="54"/>
        <v/>
      </c>
      <c r="I889" s="39" t="str">
        <f t="shared" si="55"/>
        <v/>
      </c>
      <c r="J889" s="39" t="str">
        <f>""</f>
        <v/>
      </c>
    </row>
    <row r="890" spans="1:10">
      <c r="A890" s="26" t="s">
        <v>2438</v>
      </c>
      <c r="E890" s="26" t="s">
        <v>5581</v>
      </c>
      <c r="F890" s="39" t="str">
        <f t="shared" si="52"/>
        <v/>
      </c>
      <c r="G890" s="39" t="str">
        <f t="shared" si="53"/>
        <v/>
      </c>
      <c r="H890" s="39" t="str">
        <f t="shared" si="54"/>
        <v/>
      </c>
      <c r="I890" s="39" t="str">
        <f t="shared" si="55"/>
        <v/>
      </c>
      <c r="J890" s="39" t="str">
        <f>""</f>
        <v/>
      </c>
    </row>
    <row r="891" spans="1:10">
      <c r="A891" s="26" t="s">
        <v>2441</v>
      </c>
      <c r="E891" s="26" t="s">
        <v>5581</v>
      </c>
      <c r="F891" s="39" t="str">
        <f t="shared" si="52"/>
        <v/>
      </c>
      <c r="G891" s="39" t="str">
        <f t="shared" si="53"/>
        <v/>
      </c>
      <c r="H891" s="39" t="str">
        <f t="shared" si="54"/>
        <v/>
      </c>
      <c r="I891" s="39" t="str">
        <f t="shared" si="55"/>
        <v/>
      </c>
      <c r="J891" s="39" t="str">
        <f>""</f>
        <v/>
      </c>
    </row>
    <row r="892" spans="1:10">
      <c r="A892" s="26" t="s">
        <v>2443</v>
      </c>
      <c r="E892" s="26" t="s">
        <v>5581</v>
      </c>
      <c r="F892" s="39" t="str">
        <f t="shared" si="52"/>
        <v/>
      </c>
      <c r="G892" s="39" t="str">
        <f t="shared" si="53"/>
        <v/>
      </c>
      <c r="H892" s="39" t="str">
        <f t="shared" si="54"/>
        <v/>
      </c>
      <c r="I892" s="39" t="str">
        <f t="shared" si="55"/>
        <v/>
      </c>
      <c r="J892" s="39" t="str">
        <f>""</f>
        <v/>
      </c>
    </row>
    <row r="893" spans="1:10">
      <c r="A893" s="26" t="s">
        <v>2446</v>
      </c>
      <c r="E893" s="26" t="s">
        <v>5581</v>
      </c>
      <c r="F893" s="39" t="str">
        <f t="shared" si="52"/>
        <v/>
      </c>
      <c r="G893" s="39" t="str">
        <f t="shared" si="53"/>
        <v/>
      </c>
      <c r="H893" s="39" t="str">
        <f t="shared" si="54"/>
        <v/>
      </c>
      <c r="I893" s="39" t="str">
        <f t="shared" si="55"/>
        <v/>
      </c>
      <c r="J893" s="39" t="str">
        <f>""</f>
        <v/>
      </c>
    </row>
    <row r="894" spans="1:10">
      <c r="A894" s="26" t="s">
        <v>2447</v>
      </c>
      <c r="E894" s="26" t="s">
        <v>5581</v>
      </c>
      <c r="F894" s="39" t="str">
        <f t="shared" si="52"/>
        <v/>
      </c>
      <c r="G894" s="39" t="str">
        <f t="shared" si="53"/>
        <v/>
      </c>
      <c r="H894" s="39" t="str">
        <f t="shared" si="54"/>
        <v/>
      </c>
      <c r="I894" s="39" t="str">
        <f t="shared" si="55"/>
        <v/>
      </c>
      <c r="J894" s="39" t="str">
        <f>""</f>
        <v/>
      </c>
    </row>
    <row r="895" spans="1:10">
      <c r="A895" s="26" t="s">
        <v>2450</v>
      </c>
      <c r="E895" s="26" t="s">
        <v>5581</v>
      </c>
      <c r="F895" s="39" t="str">
        <f t="shared" si="52"/>
        <v/>
      </c>
      <c r="G895" s="39" t="str">
        <f t="shared" si="53"/>
        <v/>
      </c>
      <c r="H895" s="39" t="str">
        <f t="shared" si="54"/>
        <v/>
      </c>
      <c r="I895" s="39" t="str">
        <f t="shared" si="55"/>
        <v/>
      </c>
      <c r="J895" s="39" t="str">
        <f>""</f>
        <v/>
      </c>
    </row>
    <row r="896" spans="1:10">
      <c r="A896" s="26" t="s">
        <v>2452</v>
      </c>
      <c r="E896" s="26" t="s">
        <v>3790</v>
      </c>
      <c r="F896" s="39" t="str">
        <f t="shared" si="52"/>
        <v/>
      </c>
      <c r="G896" s="39" t="str">
        <f t="shared" si="53"/>
        <v/>
      </c>
      <c r="H896" s="39" t="str">
        <f t="shared" si="54"/>
        <v/>
      </c>
      <c r="I896" s="39" t="str">
        <f t="shared" si="55"/>
        <v/>
      </c>
      <c r="J896" s="39" t="str">
        <f>""</f>
        <v/>
      </c>
    </row>
    <row r="897" spans="1:10">
      <c r="A897" s="26" t="s">
        <v>2454</v>
      </c>
      <c r="E897" s="26" t="s">
        <v>3790</v>
      </c>
      <c r="F897" s="39" t="str">
        <f t="shared" si="52"/>
        <v/>
      </c>
      <c r="G897" s="39" t="str">
        <f t="shared" si="53"/>
        <v/>
      </c>
      <c r="H897" s="39" t="str">
        <f t="shared" si="54"/>
        <v/>
      </c>
      <c r="I897" s="39" t="str">
        <f t="shared" si="55"/>
        <v/>
      </c>
      <c r="J897" s="39" t="str">
        <f>""</f>
        <v/>
      </c>
    </row>
    <row r="898" spans="1:10">
      <c r="A898" s="26" t="s">
        <v>2457</v>
      </c>
      <c r="E898" s="26" t="s">
        <v>3790</v>
      </c>
      <c r="F898" s="39" t="str">
        <f t="shared" si="52"/>
        <v/>
      </c>
      <c r="G898" s="39" t="str">
        <f t="shared" si="53"/>
        <v/>
      </c>
      <c r="H898" s="39" t="str">
        <f t="shared" si="54"/>
        <v/>
      </c>
      <c r="I898" s="39" t="str">
        <f t="shared" si="55"/>
        <v/>
      </c>
      <c r="J898" s="39" t="str">
        <f>""</f>
        <v/>
      </c>
    </row>
    <row r="899" spans="1:10">
      <c r="A899" s="26" t="s">
        <v>2459</v>
      </c>
      <c r="E899" s="26" t="s">
        <v>3790</v>
      </c>
      <c r="F899" s="39" t="str">
        <f t="shared" ref="F899:F962" si="56">IF(C899="","",IF(C899&lt;99,C899,""))</f>
        <v/>
      </c>
      <c r="G899" s="39" t="str">
        <f t="shared" ref="G899:G962" si="57">IF(OR(F899&lt;&gt;"",D899&lt;&gt;""),C899,"")</f>
        <v/>
      </c>
      <c r="H899" s="39" t="str">
        <f t="shared" ref="H899:H962" si="58">IF(C899="","",C899)</f>
        <v/>
      </c>
      <c r="I899" s="39" t="str">
        <f t="shared" ref="I899:I962" si="59">IF(AND(C899&lt;&gt;"",D899&lt;&gt;""),C899,"")</f>
        <v/>
      </c>
      <c r="J899" s="39" t="str">
        <f>""</f>
        <v/>
      </c>
    </row>
    <row r="900" spans="1:10">
      <c r="A900" s="26" t="s">
        <v>1296</v>
      </c>
      <c r="E900" s="26" t="s">
        <v>3790</v>
      </c>
      <c r="F900" s="39" t="str">
        <f t="shared" si="56"/>
        <v/>
      </c>
      <c r="G900" s="39" t="str">
        <f t="shared" si="57"/>
        <v/>
      </c>
      <c r="H900" s="39" t="str">
        <f t="shared" si="58"/>
        <v/>
      </c>
      <c r="I900" s="39" t="str">
        <f t="shared" si="59"/>
        <v/>
      </c>
      <c r="J900" s="39" t="str">
        <f>""</f>
        <v/>
      </c>
    </row>
    <row r="901" spans="1:10">
      <c r="A901" s="26" t="s">
        <v>1298</v>
      </c>
      <c r="E901" s="26" t="s">
        <v>3790</v>
      </c>
      <c r="F901" s="39" t="str">
        <f t="shared" si="56"/>
        <v/>
      </c>
      <c r="G901" s="39" t="str">
        <f t="shared" si="57"/>
        <v/>
      </c>
      <c r="H901" s="39" t="str">
        <f t="shared" si="58"/>
        <v/>
      </c>
      <c r="I901" s="39" t="str">
        <f t="shared" si="59"/>
        <v/>
      </c>
      <c r="J901" s="39" t="str">
        <f>""</f>
        <v/>
      </c>
    </row>
    <row r="902" spans="1:10">
      <c r="A902" s="26" t="s">
        <v>1302</v>
      </c>
      <c r="E902" s="26" t="s">
        <v>3790</v>
      </c>
      <c r="F902" s="39" t="str">
        <f t="shared" si="56"/>
        <v/>
      </c>
      <c r="G902" s="39" t="str">
        <f t="shared" si="57"/>
        <v/>
      </c>
      <c r="H902" s="39" t="str">
        <f t="shared" si="58"/>
        <v/>
      </c>
      <c r="I902" s="39" t="str">
        <f t="shared" si="59"/>
        <v/>
      </c>
      <c r="J902" s="39" t="str">
        <f>""</f>
        <v/>
      </c>
    </row>
    <row r="903" spans="1:10">
      <c r="A903" s="26" t="s">
        <v>1304</v>
      </c>
      <c r="E903" s="26" t="s">
        <v>5581</v>
      </c>
      <c r="F903" s="39" t="str">
        <f t="shared" si="56"/>
        <v/>
      </c>
      <c r="G903" s="39" t="str">
        <f t="shared" si="57"/>
        <v/>
      </c>
      <c r="H903" s="39" t="str">
        <f t="shared" si="58"/>
        <v/>
      </c>
      <c r="I903" s="39" t="str">
        <f t="shared" si="59"/>
        <v/>
      </c>
      <c r="J903" s="39" t="str">
        <f>""</f>
        <v/>
      </c>
    </row>
    <row r="904" spans="1:10">
      <c r="A904" s="26" t="s">
        <v>1308</v>
      </c>
      <c r="E904" s="26" t="s">
        <v>5581</v>
      </c>
      <c r="F904" s="39" t="str">
        <f t="shared" si="56"/>
        <v/>
      </c>
      <c r="G904" s="39" t="str">
        <f t="shared" si="57"/>
        <v/>
      </c>
      <c r="H904" s="39" t="str">
        <f t="shared" si="58"/>
        <v/>
      </c>
      <c r="I904" s="39" t="str">
        <f t="shared" si="59"/>
        <v/>
      </c>
      <c r="J904" s="39" t="str">
        <f>""</f>
        <v/>
      </c>
    </row>
    <row r="905" spans="1:10">
      <c r="A905" s="26" t="s">
        <v>1312</v>
      </c>
      <c r="E905" s="26" t="s">
        <v>5581</v>
      </c>
      <c r="F905" s="39" t="str">
        <f t="shared" si="56"/>
        <v/>
      </c>
      <c r="G905" s="39" t="str">
        <f t="shared" si="57"/>
        <v/>
      </c>
      <c r="H905" s="39" t="str">
        <f t="shared" si="58"/>
        <v/>
      </c>
      <c r="I905" s="39" t="str">
        <f t="shared" si="59"/>
        <v/>
      </c>
      <c r="J905" s="39" t="str">
        <f>""</f>
        <v/>
      </c>
    </row>
    <row r="906" spans="1:10">
      <c r="A906" s="26" t="s">
        <v>1314</v>
      </c>
      <c r="E906" s="26" t="s">
        <v>3790</v>
      </c>
      <c r="F906" s="39" t="str">
        <f t="shared" si="56"/>
        <v/>
      </c>
      <c r="G906" s="39" t="str">
        <f t="shared" si="57"/>
        <v/>
      </c>
      <c r="H906" s="39" t="str">
        <f t="shared" si="58"/>
        <v/>
      </c>
      <c r="I906" s="39" t="str">
        <f t="shared" si="59"/>
        <v/>
      </c>
      <c r="J906" s="39" t="str">
        <f>""</f>
        <v/>
      </c>
    </row>
    <row r="907" spans="1:10">
      <c r="A907" s="26" t="s">
        <v>1317</v>
      </c>
      <c r="E907" s="26" t="s">
        <v>3790</v>
      </c>
      <c r="F907" s="39" t="str">
        <f t="shared" si="56"/>
        <v/>
      </c>
      <c r="G907" s="39" t="str">
        <f t="shared" si="57"/>
        <v/>
      </c>
      <c r="H907" s="39" t="str">
        <f t="shared" si="58"/>
        <v/>
      </c>
      <c r="I907" s="39" t="str">
        <f t="shared" si="59"/>
        <v/>
      </c>
      <c r="J907" s="39" t="str">
        <f>""</f>
        <v/>
      </c>
    </row>
    <row r="908" spans="1:10">
      <c r="A908" s="26" t="s">
        <v>1320</v>
      </c>
      <c r="E908" s="26" t="s">
        <v>3790</v>
      </c>
      <c r="F908" s="39" t="str">
        <f t="shared" si="56"/>
        <v/>
      </c>
      <c r="G908" s="39" t="str">
        <f t="shared" si="57"/>
        <v/>
      </c>
      <c r="H908" s="39" t="str">
        <f t="shared" si="58"/>
        <v/>
      </c>
      <c r="I908" s="39" t="str">
        <f t="shared" si="59"/>
        <v/>
      </c>
      <c r="J908" s="39" t="str">
        <f>""</f>
        <v/>
      </c>
    </row>
    <row r="909" spans="1:10">
      <c r="A909" s="26" t="s">
        <v>1322</v>
      </c>
      <c r="E909" s="26" t="s">
        <v>3790</v>
      </c>
      <c r="F909" s="39" t="str">
        <f t="shared" si="56"/>
        <v/>
      </c>
      <c r="G909" s="39" t="str">
        <f t="shared" si="57"/>
        <v/>
      </c>
      <c r="H909" s="39" t="str">
        <f t="shared" si="58"/>
        <v/>
      </c>
      <c r="I909" s="39" t="str">
        <f t="shared" si="59"/>
        <v/>
      </c>
      <c r="J909" s="39" t="str">
        <f>""</f>
        <v/>
      </c>
    </row>
    <row r="910" spans="1:10">
      <c r="A910" s="26" t="s">
        <v>1324</v>
      </c>
      <c r="E910" s="26" t="s">
        <v>3790</v>
      </c>
      <c r="F910" s="39" t="str">
        <f t="shared" si="56"/>
        <v/>
      </c>
      <c r="G910" s="39" t="str">
        <f t="shared" si="57"/>
        <v/>
      </c>
      <c r="H910" s="39" t="str">
        <f t="shared" si="58"/>
        <v/>
      </c>
      <c r="I910" s="39" t="str">
        <f t="shared" si="59"/>
        <v/>
      </c>
      <c r="J910" s="39" t="str">
        <f>""</f>
        <v/>
      </c>
    </row>
    <row r="911" spans="1:10">
      <c r="A911" s="26" t="s">
        <v>1327</v>
      </c>
      <c r="E911" s="26" t="s">
        <v>3790</v>
      </c>
      <c r="F911" s="39" t="str">
        <f t="shared" si="56"/>
        <v/>
      </c>
      <c r="G911" s="39" t="str">
        <f t="shared" si="57"/>
        <v/>
      </c>
      <c r="H911" s="39" t="str">
        <f t="shared" si="58"/>
        <v/>
      </c>
      <c r="I911" s="39" t="str">
        <f t="shared" si="59"/>
        <v/>
      </c>
      <c r="J911" s="39" t="str">
        <f>""</f>
        <v/>
      </c>
    </row>
    <row r="912" spans="1:10">
      <c r="A912" s="26" t="s">
        <v>1331</v>
      </c>
      <c r="E912" s="26" t="s">
        <v>3790</v>
      </c>
      <c r="F912" s="39" t="str">
        <f t="shared" si="56"/>
        <v/>
      </c>
      <c r="G912" s="39" t="str">
        <f t="shared" si="57"/>
        <v/>
      </c>
      <c r="H912" s="39" t="str">
        <f t="shared" si="58"/>
        <v/>
      </c>
      <c r="I912" s="39" t="str">
        <f t="shared" si="59"/>
        <v/>
      </c>
      <c r="J912" s="39" t="str">
        <f>""</f>
        <v/>
      </c>
    </row>
    <row r="913" spans="1:10">
      <c r="A913" s="26" t="s">
        <v>1335</v>
      </c>
      <c r="E913" s="26" t="s">
        <v>3790</v>
      </c>
      <c r="F913" s="39" t="str">
        <f t="shared" si="56"/>
        <v/>
      </c>
      <c r="G913" s="39" t="str">
        <f t="shared" si="57"/>
        <v/>
      </c>
      <c r="H913" s="39" t="str">
        <f t="shared" si="58"/>
        <v/>
      </c>
      <c r="I913" s="39" t="str">
        <f t="shared" si="59"/>
        <v/>
      </c>
      <c r="J913" s="39" t="str">
        <f>""</f>
        <v/>
      </c>
    </row>
    <row r="914" spans="1:10">
      <c r="A914" s="26" t="s">
        <v>1338</v>
      </c>
      <c r="E914" s="26" t="s">
        <v>3790</v>
      </c>
      <c r="F914" s="39" t="str">
        <f t="shared" si="56"/>
        <v/>
      </c>
      <c r="G914" s="39" t="str">
        <f t="shared" si="57"/>
        <v/>
      </c>
      <c r="H914" s="39" t="str">
        <f t="shared" si="58"/>
        <v/>
      </c>
      <c r="I914" s="39" t="str">
        <f t="shared" si="59"/>
        <v/>
      </c>
      <c r="J914" s="39" t="str">
        <f>""</f>
        <v/>
      </c>
    </row>
    <row r="915" spans="1:10">
      <c r="A915" s="26" t="s">
        <v>1340</v>
      </c>
      <c r="E915" s="26" t="s">
        <v>5581</v>
      </c>
      <c r="F915" s="39" t="str">
        <f t="shared" si="56"/>
        <v/>
      </c>
      <c r="G915" s="39" t="str">
        <f t="shared" si="57"/>
        <v/>
      </c>
      <c r="H915" s="39" t="str">
        <f t="shared" si="58"/>
        <v/>
      </c>
      <c r="I915" s="39" t="str">
        <f t="shared" si="59"/>
        <v/>
      </c>
      <c r="J915" s="39" t="str">
        <f>""</f>
        <v/>
      </c>
    </row>
    <row r="916" spans="1:10">
      <c r="A916" s="26" t="s">
        <v>1342</v>
      </c>
      <c r="E916" s="26" t="s">
        <v>5581</v>
      </c>
      <c r="F916" s="39" t="str">
        <f t="shared" si="56"/>
        <v/>
      </c>
      <c r="G916" s="39" t="str">
        <f t="shared" si="57"/>
        <v/>
      </c>
      <c r="H916" s="39" t="str">
        <f t="shared" si="58"/>
        <v/>
      </c>
      <c r="I916" s="39" t="str">
        <f t="shared" si="59"/>
        <v/>
      </c>
      <c r="J916" s="39" t="str">
        <f>""</f>
        <v/>
      </c>
    </row>
    <row r="917" spans="1:10">
      <c r="A917" s="26" t="s">
        <v>1344</v>
      </c>
      <c r="E917" s="26" t="s">
        <v>5581</v>
      </c>
      <c r="F917" s="39" t="str">
        <f t="shared" si="56"/>
        <v/>
      </c>
      <c r="G917" s="39" t="str">
        <f t="shared" si="57"/>
        <v/>
      </c>
      <c r="H917" s="39" t="str">
        <f t="shared" si="58"/>
        <v/>
      </c>
      <c r="I917" s="39" t="str">
        <f t="shared" si="59"/>
        <v/>
      </c>
      <c r="J917" s="39" t="str">
        <f>""</f>
        <v/>
      </c>
    </row>
    <row r="918" spans="1:10">
      <c r="A918" s="26" t="s">
        <v>1346</v>
      </c>
      <c r="E918" s="26" t="s">
        <v>5581</v>
      </c>
      <c r="F918" s="39" t="str">
        <f t="shared" si="56"/>
        <v/>
      </c>
      <c r="G918" s="39" t="str">
        <f t="shared" si="57"/>
        <v/>
      </c>
      <c r="H918" s="39" t="str">
        <f t="shared" si="58"/>
        <v/>
      </c>
      <c r="I918" s="39" t="str">
        <f t="shared" si="59"/>
        <v/>
      </c>
      <c r="J918" s="39" t="str">
        <f>""</f>
        <v/>
      </c>
    </row>
    <row r="919" spans="1:10">
      <c r="A919" s="26" t="s">
        <v>3388</v>
      </c>
      <c r="E919" s="26" t="s">
        <v>3790</v>
      </c>
      <c r="F919" s="39" t="str">
        <f t="shared" si="56"/>
        <v/>
      </c>
      <c r="G919" s="39" t="str">
        <f t="shared" si="57"/>
        <v/>
      </c>
      <c r="H919" s="39" t="str">
        <f t="shared" si="58"/>
        <v/>
      </c>
      <c r="I919" s="39" t="str">
        <f t="shared" si="59"/>
        <v/>
      </c>
      <c r="J919" s="39" t="str">
        <f>""</f>
        <v/>
      </c>
    </row>
    <row r="920" spans="1:10">
      <c r="A920" s="26" t="s">
        <v>3390</v>
      </c>
      <c r="E920" s="26" t="s">
        <v>3790</v>
      </c>
      <c r="F920" s="39" t="str">
        <f t="shared" si="56"/>
        <v/>
      </c>
      <c r="G920" s="39" t="str">
        <f t="shared" si="57"/>
        <v/>
      </c>
      <c r="H920" s="39" t="str">
        <f t="shared" si="58"/>
        <v/>
      </c>
      <c r="I920" s="39" t="str">
        <f t="shared" si="59"/>
        <v/>
      </c>
      <c r="J920" s="39" t="str">
        <f>""</f>
        <v/>
      </c>
    </row>
    <row r="921" spans="1:10">
      <c r="A921" s="26" t="s">
        <v>1348</v>
      </c>
      <c r="E921" s="26" t="s">
        <v>5581</v>
      </c>
      <c r="F921" s="39" t="str">
        <f t="shared" si="56"/>
        <v/>
      </c>
      <c r="G921" s="39" t="str">
        <f t="shared" si="57"/>
        <v/>
      </c>
      <c r="H921" s="39" t="str">
        <f t="shared" si="58"/>
        <v/>
      </c>
      <c r="I921" s="39" t="str">
        <f t="shared" si="59"/>
        <v/>
      </c>
      <c r="J921" s="39" t="str">
        <f>""</f>
        <v/>
      </c>
    </row>
    <row r="922" spans="1:10">
      <c r="A922" s="26" t="s">
        <v>1350</v>
      </c>
      <c r="E922" s="26" t="s">
        <v>5581</v>
      </c>
      <c r="F922" s="39" t="str">
        <f t="shared" si="56"/>
        <v/>
      </c>
      <c r="G922" s="39" t="str">
        <f t="shared" si="57"/>
        <v/>
      </c>
      <c r="H922" s="39" t="str">
        <f t="shared" si="58"/>
        <v/>
      </c>
      <c r="I922" s="39" t="str">
        <f t="shared" si="59"/>
        <v/>
      </c>
      <c r="J922" s="39" t="str">
        <f>""</f>
        <v/>
      </c>
    </row>
    <row r="923" spans="1:10">
      <c r="A923" s="26" t="s">
        <v>1352</v>
      </c>
      <c r="E923" s="26" t="s">
        <v>5581</v>
      </c>
      <c r="F923" s="39" t="str">
        <f t="shared" si="56"/>
        <v/>
      </c>
      <c r="G923" s="39" t="str">
        <f t="shared" si="57"/>
        <v/>
      </c>
      <c r="H923" s="39" t="str">
        <f t="shared" si="58"/>
        <v/>
      </c>
      <c r="I923" s="39" t="str">
        <f t="shared" si="59"/>
        <v/>
      </c>
      <c r="J923" s="39" t="str">
        <f>""</f>
        <v/>
      </c>
    </row>
    <row r="924" spans="1:10">
      <c r="A924" s="26" t="s">
        <v>1354</v>
      </c>
      <c r="E924" s="26" t="s">
        <v>5581</v>
      </c>
      <c r="F924" s="39" t="str">
        <f t="shared" si="56"/>
        <v/>
      </c>
      <c r="G924" s="39" t="str">
        <f t="shared" si="57"/>
        <v/>
      </c>
      <c r="H924" s="39" t="str">
        <f t="shared" si="58"/>
        <v/>
      </c>
      <c r="I924" s="39" t="str">
        <f t="shared" si="59"/>
        <v/>
      </c>
      <c r="J924" s="39" t="str">
        <f>""</f>
        <v/>
      </c>
    </row>
    <row r="925" spans="1:10">
      <c r="A925" s="26" t="s">
        <v>1356</v>
      </c>
      <c r="E925" s="26" t="s">
        <v>5581</v>
      </c>
      <c r="F925" s="39" t="str">
        <f t="shared" si="56"/>
        <v/>
      </c>
      <c r="G925" s="39" t="str">
        <f t="shared" si="57"/>
        <v/>
      </c>
      <c r="H925" s="39" t="str">
        <f t="shared" si="58"/>
        <v/>
      </c>
      <c r="I925" s="39" t="str">
        <f t="shared" si="59"/>
        <v/>
      </c>
      <c r="J925" s="39" t="str">
        <f>""</f>
        <v/>
      </c>
    </row>
    <row r="926" spans="1:10">
      <c r="A926" s="26" t="s">
        <v>1358</v>
      </c>
      <c r="E926" s="26" t="s">
        <v>5581</v>
      </c>
      <c r="F926" s="39" t="str">
        <f t="shared" si="56"/>
        <v/>
      </c>
      <c r="G926" s="39" t="str">
        <f t="shared" si="57"/>
        <v/>
      </c>
      <c r="H926" s="39" t="str">
        <f t="shared" si="58"/>
        <v/>
      </c>
      <c r="I926" s="39" t="str">
        <f t="shared" si="59"/>
        <v/>
      </c>
      <c r="J926" s="39" t="str">
        <f>""</f>
        <v/>
      </c>
    </row>
    <row r="927" spans="1:10">
      <c r="A927" s="26" t="s">
        <v>1360</v>
      </c>
      <c r="E927" s="26" t="s">
        <v>5581</v>
      </c>
      <c r="F927" s="39" t="str">
        <f t="shared" si="56"/>
        <v/>
      </c>
      <c r="G927" s="39" t="str">
        <f t="shared" si="57"/>
        <v/>
      </c>
      <c r="H927" s="39" t="str">
        <f t="shared" si="58"/>
        <v/>
      </c>
      <c r="I927" s="39" t="str">
        <f t="shared" si="59"/>
        <v/>
      </c>
      <c r="J927" s="39" t="str">
        <f>""</f>
        <v/>
      </c>
    </row>
    <row r="928" spans="1:10">
      <c r="A928" s="26" t="s">
        <v>1362</v>
      </c>
      <c r="E928" s="26" t="s">
        <v>5581</v>
      </c>
      <c r="F928" s="39" t="str">
        <f t="shared" si="56"/>
        <v/>
      </c>
      <c r="G928" s="39" t="str">
        <f t="shared" si="57"/>
        <v/>
      </c>
      <c r="H928" s="39" t="str">
        <f t="shared" si="58"/>
        <v/>
      </c>
      <c r="I928" s="39" t="str">
        <f t="shared" si="59"/>
        <v/>
      </c>
      <c r="J928" s="39" t="str">
        <f>""</f>
        <v/>
      </c>
    </row>
    <row r="929" spans="1:10">
      <c r="A929" s="26" t="s">
        <v>1363</v>
      </c>
      <c r="E929" s="26" t="s">
        <v>5581</v>
      </c>
      <c r="F929" s="39" t="str">
        <f t="shared" si="56"/>
        <v/>
      </c>
      <c r="G929" s="39" t="str">
        <f t="shared" si="57"/>
        <v/>
      </c>
      <c r="H929" s="39" t="str">
        <f t="shared" si="58"/>
        <v/>
      </c>
      <c r="I929" s="39" t="str">
        <f t="shared" si="59"/>
        <v/>
      </c>
      <c r="J929" s="39" t="str">
        <f>""</f>
        <v/>
      </c>
    </row>
    <row r="930" spans="1:10">
      <c r="A930" s="26" t="s">
        <v>1365</v>
      </c>
      <c r="E930" s="26" t="s">
        <v>5581</v>
      </c>
      <c r="F930" s="39" t="str">
        <f t="shared" si="56"/>
        <v/>
      </c>
      <c r="G930" s="39" t="str">
        <f t="shared" si="57"/>
        <v/>
      </c>
      <c r="H930" s="39" t="str">
        <f t="shared" si="58"/>
        <v/>
      </c>
      <c r="I930" s="39" t="str">
        <f t="shared" si="59"/>
        <v/>
      </c>
      <c r="J930" s="39" t="str">
        <f>""</f>
        <v/>
      </c>
    </row>
    <row r="931" spans="1:10">
      <c r="A931" s="26" t="s">
        <v>1367</v>
      </c>
      <c r="E931" s="26" t="s">
        <v>5581</v>
      </c>
      <c r="F931" s="39" t="str">
        <f t="shared" si="56"/>
        <v/>
      </c>
      <c r="G931" s="39" t="str">
        <f t="shared" si="57"/>
        <v/>
      </c>
      <c r="H931" s="39" t="str">
        <f t="shared" si="58"/>
        <v/>
      </c>
      <c r="I931" s="39" t="str">
        <f t="shared" si="59"/>
        <v/>
      </c>
      <c r="J931" s="39" t="str">
        <f>""</f>
        <v/>
      </c>
    </row>
    <row r="932" spans="1:10">
      <c r="A932" s="26" t="s">
        <v>2461</v>
      </c>
      <c r="E932" s="26" t="s">
        <v>3790</v>
      </c>
      <c r="F932" s="39" t="str">
        <f t="shared" si="56"/>
        <v/>
      </c>
      <c r="G932" s="39" t="str">
        <f t="shared" si="57"/>
        <v/>
      </c>
      <c r="H932" s="39" t="str">
        <f t="shared" si="58"/>
        <v/>
      </c>
      <c r="I932" s="39" t="str">
        <f t="shared" si="59"/>
        <v/>
      </c>
      <c r="J932" s="39" t="str">
        <f>""</f>
        <v/>
      </c>
    </row>
    <row r="933" spans="1:10">
      <c r="A933" s="26" t="s">
        <v>2464</v>
      </c>
      <c r="E933" s="26" t="s">
        <v>3790</v>
      </c>
      <c r="F933" s="39" t="str">
        <f t="shared" si="56"/>
        <v/>
      </c>
      <c r="G933" s="39" t="str">
        <f t="shared" si="57"/>
        <v/>
      </c>
      <c r="H933" s="39" t="str">
        <f t="shared" si="58"/>
        <v/>
      </c>
      <c r="I933" s="39" t="str">
        <f t="shared" si="59"/>
        <v/>
      </c>
      <c r="J933" s="39" t="str">
        <f>""</f>
        <v/>
      </c>
    </row>
    <row r="934" spans="1:10">
      <c r="A934" s="26" t="s">
        <v>2466</v>
      </c>
      <c r="E934" s="26" t="s">
        <v>5581</v>
      </c>
      <c r="F934" s="39" t="str">
        <f t="shared" si="56"/>
        <v/>
      </c>
      <c r="G934" s="39" t="str">
        <f t="shared" si="57"/>
        <v/>
      </c>
      <c r="H934" s="39" t="str">
        <f t="shared" si="58"/>
        <v/>
      </c>
      <c r="I934" s="39" t="str">
        <f t="shared" si="59"/>
        <v/>
      </c>
      <c r="J934" s="39" t="str">
        <f>""</f>
        <v/>
      </c>
    </row>
    <row r="935" spans="1:10">
      <c r="A935" s="26" t="s">
        <v>2468</v>
      </c>
      <c r="E935" s="26" t="s">
        <v>5581</v>
      </c>
      <c r="F935" s="39" t="str">
        <f t="shared" si="56"/>
        <v/>
      </c>
      <c r="G935" s="39" t="str">
        <f t="shared" si="57"/>
        <v/>
      </c>
      <c r="H935" s="39" t="str">
        <f t="shared" si="58"/>
        <v/>
      </c>
      <c r="I935" s="39" t="str">
        <f t="shared" si="59"/>
        <v/>
      </c>
      <c r="J935" s="39" t="str">
        <f>""</f>
        <v/>
      </c>
    </row>
    <row r="936" spans="1:10">
      <c r="A936" s="26" t="s">
        <v>2470</v>
      </c>
      <c r="E936" s="26" t="s">
        <v>5581</v>
      </c>
      <c r="F936" s="39" t="str">
        <f t="shared" si="56"/>
        <v/>
      </c>
      <c r="G936" s="39" t="str">
        <f t="shared" si="57"/>
        <v/>
      </c>
      <c r="H936" s="39" t="str">
        <f t="shared" si="58"/>
        <v/>
      </c>
      <c r="I936" s="39" t="str">
        <f t="shared" si="59"/>
        <v/>
      </c>
      <c r="J936" s="39" t="str">
        <f>""</f>
        <v/>
      </c>
    </row>
    <row r="937" spans="1:10">
      <c r="A937" s="26" t="s">
        <v>2472</v>
      </c>
      <c r="E937" s="26" t="s">
        <v>5581</v>
      </c>
      <c r="F937" s="39" t="str">
        <f t="shared" si="56"/>
        <v/>
      </c>
      <c r="G937" s="39" t="str">
        <f t="shared" si="57"/>
        <v/>
      </c>
      <c r="H937" s="39" t="str">
        <f t="shared" si="58"/>
        <v/>
      </c>
      <c r="I937" s="39" t="str">
        <f t="shared" si="59"/>
        <v/>
      </c>
      <c r="J937" s="39" t="str">
        <f>""</f>
        <v/>
      </c>
    </row>
    <row r="938" spans="1:10">
      <c r="A938" s="26" t="s">
        <v>2474</v>
      </c>
      <c r="E938" s="26" t="s">
        <v>5581</v>
      </c>
      <c r="F938" s="39" t="str">
        <f t="shared" si="56"/>
        <v/>
      </c>
      <c r="G938" s="39" t="str">
        <f t="shared" si="57"/>
        <v/>
      </c>
      <c r="H938" s="39" t="str">
        <f t="shared" si="58"/>
        <v/>
      </c>
      <c r="I938" s="39" t="str">
        <f t="shared" si="59"/>
        <v/>
      </c>
      <c r="J938" s="39" t="str">
        <f>""</f>
        <v/>
      </c>
    </row>
    <row r="939" spans="1:10">
      <c r="A939" s="26" t="s">
        <v>2477</v>
      </c>
      <c r="E939" s="26" t="s">
        <v>5581</v>
      </c>
      <c r="F939" s="39" t="str">
        <f t="shared" si="56"/>
        <v/>
      </c>
      <c r="G939" s="39" t="str">
        <f t="shared" si="57"/>
        <v/>
      </c>
      <c r="H939" s="39" t="str">
        <f t="shared" si="58"/>
        <v/>
      </c>
      <c r="I939" s="39" t="str">
        <f t="shared" si="59"/>
        <v/>
      </c>
      <c r="J939" s="39" t="str">
        <f>""</f>
        <v/>
      </c>
    </row>
    <row r="940" spans="1:10">
      <c r="A940" s="26" t="s">
        <v>2479</v>
      </c>
      <c r="E940" s="26" t="s">
        <v>3790</v>
      </c>
      <c r="F940" s="39" t="str">
        <f t="shared" si="56"/>
        <v/>
      </c>
      <c r="G940" s="39" t="str">
        <f t="shared" si="57"/>
        <v/>
      </c>
      <c r="H940" s="39" t="str">
        <f t="shared" si="58"/>
        <v/>
      </c>
      <c r="I940" s="39" t="str">
        <f t="shared" si="59"/>
        <v/>
      </c>
      <c r="J940" s="39" t="str">
        <f>""</f>
        <v/>
      </c>
    </row>
    <row r="941" spans="1:10">
      <c r="A941" s="26" t="s">
        <v>2480</v>
      </c>
      <c r="E941" s="26" t="s">
        <v>5581</v>
      </c>
      <c r="F941" s="39" t="str">
        <f t="shared" si="56"/>
        <v/>
      </c>
      <c r="G941" s="39" t="str">
        <f t="shared" si="57"/>
        <v/>
      </c>
      <c r="H941" s="39" t="str">
        <f t="shared" si="58"/>
        <v/>
      </c>
      <c r="I941" s="39" t="str">
        <f t="shared" si="59"/>
        <v/>
      </c>
      <c r="J941" s="39" t="str">
        <f>""</f>
        <v/>
      </c>
    </row>
    <row r="942" spans="1:10">
      <c r="A942" s="26" t="s">
        <v>2482</v>
      </c>
      <c r="E942" s="26" t="s">
        <v>5581</v>
      </c>
      <c r="F942" s="39" t="str">
        <f t="shared" si="56"/>
        <v/>
      </c>
      <c r="G942" s="39" t="str">
        <f t="shared" si="57"/>
        <v/>
      </c>
      <c r="H942" s="39" t="str">
        <f t="shared" si="58"/>
        <v/>
      </c>
      <c r="I942" s="39" t="str">
        <f t="shared" si="59"/>
        <v/>
      </c>
      <c r="J942" s="39" t="str">
        <f>""</f>
        <v/>
      </c>
    </row>
    <row r="943" spans="1:10">
      <c r="A943" s="26" t="s">
        <v>2483</v>
      </c>
      <c r="E943" s="26" t="s">
        <v>3790</v>
      </c>
      <c r="F943" s="39" t="str">
        <f t="shared" si="56"/>
        <v/>
      </c>
      <c r="G943" s="39" t="str">
        <f t="shared" si="57"/>
        <v/>
      </c>
      <c r="H943" s="39" t="str">
        <f t="shared" si="58"/>
        <v/>
      </c>
      <c r="I943" s="39" t="str">
        <f t="shared" si="59"/>
        <v/>
      </c>
      <c r="J943" s="39" t="str">
        <f>""</f>
        <v/>
      </c>
    </row>
    <row r="944" spans="1:10">
      <c r="A944" s="26" t="s">
        <v>2485</v>
      </c>
      <c r="E944" s="26" t="s">
        <v>3790</v>
      </c>
      <c r="F944" s="39" t="str">
        <f t="shared" si="56"/>
        <v/>
      </c>
      <c r="G944" s="39" t="str">
        <f t="shared" si="57"/>
        <v/>
      </c>
      <c r="H944" s="39" t="str">
        <f t="shared" si="58"/>
        <v/>
      </c>
      <c r="I944" s="39" t="str">
        <f t="shared" si="59"/>
        <v/>
      </c>
      <c r="J944" s="39" t="str">
        <f>""</f>
        <v/>
      </c>
    </row>
    <row r="945" spans="1:10">
      <c r="A945" s="26" t="s">
        <v>2486</v>
      </c>
      <c r="E945" s="26" t="s">
        <v>5581</v>
      </c>
      <c r="F945" s="39" t="str">
        <f t="shared" si="56"/>
        <v/>
      </c>
      <c r="G945" s="39" t="str">
        <f t="shared" si="57"/>
        <v/>
      </c>
      <c r="H945" s="39" t="str">
        <f t="shared" si="58"/>
        <v/>
      </c>
      <c r="I945" s="39" t="str">
        <f t="shared" si="59"/>
        <v/>
      </c>
      <c r="J945" s="39" t="str">
        <f>""</f>
        <v/>
      </c>
    </row>
    <row r="946" spans="1:10">
      <c r="A946" s="26" t="s">
        <v>2488</v>
      </c>
      <c r="E946" s="26" t="s">
        <v>5581</v>
      </c>
      <c r="F946" s="39" t="str">
        <f t="shared" si="56"/>
        <v/>
      </c>
      <c r="G946" s="39" t="str">
        <f t="shared" si="57"/>
        <v/>
      </c>
      <c r="H946" s="39" t="str">
        <f t="shared" si="58"/>
        <v/>
      </c>
      <c r="I946" s="39" t="str">
        <f t="shared" si="59"/>
        <v/>
      </c>
      <c r="J946" s="39" t="str">
        <f>""</f>
        <v/>
      </c>
    </row>
    <row r="947" spans="1:10">
      <c r="A947" s="26" t="s">
        <v>2489</v>
      </c>
      <c r="E947" s="26" t="s">
        <v>5581</v>
      </c>
      <c r="F947" s="39" t="str">
        <f t="shared" si="56"/>
        <v/>
      </c>
      <c r="G947" s="39" t="str">
        <f t="shared" si="57"/>
        <v/>
      </c>
      <c r="H947" s="39" t="str">
        <f t="shared" si="58"/>
        <v/>
      </c>
      <c r="I947" s="39" t="str">
        <f t="shared" si="59"/>
        <v/>
      </c>
      <c r="J947" s="39" t="str">
        <f>""</f>
        <v/>
      </c>
    </row>
    <row r="948" spans="1:10">
      <c r="A948" s="26" t="s">
        <v>2491</v>
      </c>
      <c r="C948" s="39">
        <v>100</v>
      </c>
      <c r="E948" s="26" t="s">
        <v>5581</v>
      </c>
      <c r="F948" s="39" t="str">
        <f t="shared" si="56"/>
        <v/>
      </c>
      <c r="G948" s="39" t="str">
        <f t="shared" si="57"/>
        <v/>
      </c>
      <c r="H948" s="39">
        <f t="shared" si="58"/>
        <v>100</v>
      </c>
      <c r="I948" s="39" t="str">
        <f t="shared" si="59"/>
        <v/>
      </c>
      <c r="J948" s="39" t="str">
        <f>""</f>
        <v/>
      </c>
    </row>
    <row r="949" spans="1:10">
      <c r="A949" s="26" t="s">
        <v>2492</v>
      </c>
      <c r="E949" s="26" t="s">
        <v>3790</v>
      </c>
      <c r="F949" s="39" t="str">
        <f t="shared" si="56"/>
        <v/>
      </c>
      <c r="G949" s="39" t="str">
        <f t="shared" si="57"/>
        <v/>
      </c>
      <c r="H949" s="39" t="str">
        <f t="shared" si="58"/>
        <v/>
      </c>
      <c r="I949" s="39" t="str">
        <f t="shared" si="59"/>
        <v/>
      </c>
      <c r="J949" s="39" t="str">
        <f>""</f>
        <v/>
      </c>
    </row>
    <row r="950" spans="1:10">
      <c r="A950" s="26" t="s">
        <v>2495</v>
      </c>
      <c r="E950" s="26" t="s">
        <v>3790</v>
      </c>
      <c r="F950" s="39" t="str">
        <f t="shared" si="56"/>
        <v/>
      </c>
      <c r="G950" s="39" t="str">
        <f t="shared" si="57"/>
        <v/>
      </c>
      <c r="H950" s="39" t="str">
        <f t="shared" si="58"/>
        <v/>
      </c>
      <c r="I950" s="39" t="str">
        <f t="shared" si="59"/>
        <v/>
      </c>
      <c r="J950" s="39" t="str">
        <f>""</f>
        <v/>
      </c>
    </row>
    <row r="951" spans="1:10">
      <c r="A951" s="26" t="s">
        <v>6315</v>
      </c>
      <c r="E951" s="26" t="s">
        <v>3790</v>
      </c>
      <c r="F951" s="39" t="str">
        <f t="shared" si="56"/>
        <v/>
      </c>
      <c r="G951" s="39" t="str">
        <f t="shared" si="57"/>
        <v/>
      </c>
      <c r="H951" s="39" t="str">
        <f t="shared" si="58"/>
        <v/>
      </c>
      <c r="I951" s="39" t="str">
        <f t="shared" si="59"/>
        <v/>
      </c>
      <c r="J951" s="39" t="str">
        <f>""</f>
        <v/>
      </c>
    </row>
    <row r="952" spans="1:10">
      <c r="A952" s="26" t="s">
        <v>2496</v>
      </c>
      <c r="E952" s="26" t="s">
        <v>5581</v>
      </c>
      <c r="F952" s="39" t="str">
        <f t="shared" si="56"/>
        <v/>
      </c>
      <c r="G952" s="39" t="str">
        <f t="shared" si="57"/>
        <v/>
      </c>
      <c r="H952" s="39" t="str">
        <f t="shared" si="58"/>
        <v/>
      </c>
      <c r="I952" s="39" t="str">
        <f t="shared" si="59"/>
        <v/>
      </c>
      <c r="J952" s="39" t="str">
        <f>""</f>
        <v/>
      </c>
    </row>
    <row r="953" spans="1:10">
      <c r="A953" s="26" t="s">
        <v>2498</v>
      </c>
      <c r="E953" s="26" t="s">
        <v>5581</v>
      </c>
      <c r="F953" s="39" t="str">
        <f t="shared" si="56"/>
        <v/>
      </c>
      <c r="G953" s="39" t="str">
        <f t="shared" si="57"/>
        <v/>
      </c>
      <c r="H953" s="39" t="str">
        <f t="shared" si="58"/>
        <v/>
      </c>
      <c r="I953" s="39" t="str">
        <f t="shared" si="59"/>
        <v/>
      </c>
      <c r="J953" s="39" t="str">
        <f>""</f>
        <v/>
      </c>
    </row>
    <row r="954" spans="1:10">
      <c r="A954" s="26" t="s">
        <v>2499</v>
      </c>
      <c r="E954" s="26" t="s">
        <v>5581</v>
      </c>
      <c r="F954" s="39" t="str">
        <f t="shared" si="56"/>
        <v/>
      </c>
      <c r="G954" s="39" t="str">
        <f t="shared" si="57"/>
        <v/>
      </c>
      <c r="H954" s="39" t="str">
        <f t="shared" si="58"/>
        <v/>
      </c>
      <c r="I954" s="39" t="str">
        <f t="shared" si="59"/>
        <v/>
      </c>
      <c r="J954" s="39" t="str">
        <f>""</f>
        <v/>
      </c>
    </row>
    <row r="955" spans="1:10">
      <c r="A955" s="26" t="s">
        <v>2502</v>
      </c>
      <c r="E955" s="26" t="s">
        <v>5581</v>
      </c>
      <c r="F955" s="39" t="str">
        <f t="shared" si="56"/>
        <v/>
      </c>
      <c r="G955" s="39" t="str">
        <f t="shared" si="57"/>
        <v/>
      </c>
      <c r="H955" s="39" t="str">
        <f t="shared" si="58"/>
        <v/>
      </c>
      <c r="I955" s="39" t="str">
        <f t="shared" si="59"/>
        <v/>
      </c>
      <c r="J955" s="39" t="str">
        <f>""</f>
        <v/>
      </c>
    </row>
    <row r="956" spans="1:10">
      <c r="A956" s="26" t="s">
        <v>2506</v>
      </c>
      <c r="E956" s="26" t="s">
        <v>5581</v>
      </c>
      <c r="F956" s="39" t="str">
        <f t="shared" si="56"/>
        <v/>
      </c>
      <c r="G956" s="39" t="str">
        <f t="shared" si="57"/>
        <v/>
      </c>
      <c r="H956" s="39" t="str">
        <f t="shared" si="58"/>
        <v/>
      </c>
      <c r="I956" s="39" t="str">
        <f t="shared" si="59"/>
        <v/>
      </c>
      <c r="J956" s="39" t="str">
        <f>""</f>
        <v/>
      </c>
    </row>
    <row r="957" spans="1:10">
      <c r="A957" s="26" t="s">
        <v>2507</v>
      </c>
      <c r="E957" s="26" t="s">
        <v>5582</v>
      </c>
      <c r="F957" s="39" t="str">
        <f t="shared" si="56"/>
        <v/>
      </c>
      <c r="G957" s="39" t="str">
        <f t="shared" si="57"/>
        <v/>
      </c>
      <c r="H957" s="39" t="str">
        <f t="shared" si="58"/>
        <v/>
      </c>
      <c r="I957" s="39" t="str">
        <f t="shared" si="59"/>
        <v/>
      </c>
      <c r="J957" s="39" t="str">
        <f>""</f>
        <v/>
      </c>
    </row>
    <row r="958" spans="1:10">
      <c r="A958" s="26" t="s">
        <v>2509</v>
      </c>
      <c r="E958" s="26" t="s">
        <v>5581</v>
      </c>
      <c r="F958" s="39" t="str">
        <f t="shared" si="56"/>
        <v/>
      </c>
      <c r="G958" s="39" t="str">
        <f t="shared" si="57"/>
        <v/>
      </c>
      <c r="H958" s="39" t="str">
        <f t="shared" si="58"/>
        <v/>
      </c>
      <c r="I958" s="39" t="str">
        <f t="shared" si="59"/>
        <v/>
      </c>
      <c r="J958" s="39" t="str">
        <f>""</f>
        <v/>
      </c>
    </row>
    <row r="959" spans="1:10">
      <c r="A959" s="26" t="s">
        <v>2511</v>
      </c>
      <c r="E959" s="26" t="s">
        <v>5581</v>
      </c>
      <c r="F959" s="39" t="str">
        <f t="shared" si="56"/>
        <v/>
      </c>
      <c r="G959" s="39" t="str">
        <f t="shared" si="57"/>
        <v/>
      </c>
      <c r="H959" s="39" t="str">
        <f t="shared" si="58"/>
        <v/>
      </c>
      <c r="I959" s="39" t="str">
        <f t="shared" si="59"/>
        <v/>
      </c>
      <c r="J959" s="39" t="str">
        <f>""</f>
        <v/>
      </c>
    </row>
    <row r="960" spans="1:10">
      <c r="A960" s="26" t="s">
        <v>2513</v>
      </c>
      <c r="E960" s="26" t="s">
        <v>5581</v>
      </c>
      <c r="F960" s="39" t="str">
        <f t="shared" si="56"/>
        <v/>
      </c>
      <c r="G960" s="39" t="str">
        <f t="shared" si="57"/>
        <v/>
      </c>
      <c r="H960" s="39" t="str">
        <f t="shared" si="58"/>
        <v/>
      </c>
      <c r="I960" s="39" t="str">
        <f t="shared" si="59"/>
        <v/>
      </c>
      <c r="J960" s="39" t="str">
        <f>""</f>
        <v/>
      </c>
    </row>
    <row r="961" spans="1:10">
      <c r="A961" s="26" t="s">
        <v>2516</v>
      </c>
      <c r="E961" s="26" t="s">
        <v>5581</v>
      </c>
      <c r="F961" s="39" t="str">
        <f t="shared" si="56"/>
        <v/>
      </c>
      <c r="G961" s="39" t="str">
        <f t="shared" si="57"/>
        <v/>
      </c>
      <c r="H961" s="39" t="str">
        <f t="shared" si="58"/>
        <v/>
      </c>
      <c r="I961" s="39" t="str">
        <f t="shared" si="59"/>
        <v/>
      </c>
      <c r="J961" s="39" t="str">
        <f>""</f>
        <v/>
      </c>
    </row>
    <row r="962" spans="1:10">
      <c r="A962" s="26" t="s">
        <v>2517</v>
      </c>
      <c r="E962" s="26" t="s">
        <v>5581</v>
      </c>
      <c r="F962" s="39" t="str">
        <f t="shared" si="56"/>
        <v/>
      </c>
      <c r="G962" s="39" t="str">
        <f t="shared" si="57"/>
        <v/>
      </c>
      <c r="H962" s="39" t="str">
        <f t="shared" si="58"/>
        <v/>
      </c>
      <c r="I962" s="39" t="str">
        <f t="shared" si="59"/>
        <v/>
      </c>
      <c r="J962" s="39" t="str">
        <f>""</f>
        <v/>
      </c>
    </row>
    <row r="963" spans="1:10">
      <c r="A963" s="26" t="s">
        <v>2519</v>
      </c>
      <c r="E963" s="26" t="s">
        <v>5581</v>
      </c>
      <c r="F963" s="39" t="str">
        <f t="shared" ref="F963:F1026" si="60">IF(C963="","",IF(C963&lt;99,C963,""))</f>
        <v/>
      </c>
      <c r="G963" s="39" t="str">
        <f t="shared" ref="G963:G1026" si="61">IF(OR(F963&lt;&gt;"",D963&lt;&gt;""),C963,"")</f>
        <v/>
      </c>
      <c r="H963" s="39" t="str">
        <f t="shared" ref="H963:H1026" si="62">IF(C963="","",C963)</f>
        <v/>
      </c>
      <c r="I963" s="39" t="str">
        <f t="shared" ref="I963:I1026" si="63">IF(AND(C963&lt;&gt;"",D963&lt;&gt;""),C963,"")</f>
        <v/>
      </c>
      <c r="J963" s="39" t="str">
        <f>""</f>
        <v/>
      </c>
    </row>
    <row r="964" spans="1:10">
      <c r="A964" s="26" t="s">
        <v>2521</v>
      </c>
      <c r="E964" s="26" t="s">
        <v>5581</v>
      </c>
      <c r="F964" s="39" t="str">
        <f t="shared" si="60"/>
        <v/>
      </c>
      <c r="G964" s="39" t="str">
        <f t="shared" si="61"/>
        <v/>
      </c>
      <c r="H964" s="39" t="str">
        <f t="shared" si="62"/>
        <v/>
      </c>
      <c r="I964" s="39" t="str">
        <f t="shared" si="63"/>
        <v/>
      </c>
      <c r="J964" s="39" t="str">
        <f>""</f>
        <v/>
      </c>
    </row>
    <row r="965" spans="1:10">
      <c r="A965" s="26" t="s">
        <v>2524</v>
      </c>
      <c r="E965" s="26" t="s">
        <v>5581</v>
      </c>
      <c r="F965" s="39" t="str">
        <f t="shared" si="60"/>
        <v/>
      </c>
      <c r="G965" s="39" t="str">
        <f t="shared" si="61"/>
        <v/>
      </c>
      <c r="H965" s="39" t="str">
        <f t="shared" si="62"/>
        <v/>
      </c>
      <c r="I965" s="39" t="str">
        <f t="shared" si="63"/>
        <v/>
      </c>
      <c r="J965" s="39" t="str">
        <f>""</f>
        <v/>
      </c>
    </row>
    <row r="966" spans="1:10">
      <c r="A966" s="26" t="s">
        <v>2527</v>
      </c>
      <c r="E966" s="26" t="s">
        <v>5581</v>
      </c>
      <c r="F966" s="39" t="str">
        <f t="shared" si="60"/>
        <v/>
      </c>
      <c r="G966" s="39" t="str">
        <f t="shared" si="61"/>
        <v/>
      </c>
      <c r="H966" s="39" t="str">
        <f t="shared" si="62"/>
        <v/>
      </c>
      <c r="I966" s="39" t="str">
        <f t="shared" si="63"/>
        <v/>
      </c>
      <c r="J966" s="39" t="str">
        <f>""</f>
        <v/>
      </c>
    </row>
    <row r="967" spans="1:10">
      <c r="A967" s="26" t="s">
        <v>2529</v>
      </c>
      <c r="C967" s="39">
        <v>75</v>
      </c>
      <c r="E967" s="26" t="s">
        <v>5581</v>
      </c>
      <c r="F967" s="39">
        <f t="shared" si="60"/>
        <v>75</v>
      </c>
      <c r="G967" s="39">
        <f t="shared" si="61"/>
        <v>75</v>
      </c>
      <c r="H967" s="39">
        <f t="shared" si="62"/>
        <v>75</v>
      </c>
      <c r="I967" s="39" t="str">
        <f t="shared" si="63"/>
        <v/>
      </c>
      <c r="J967" s="39" t="str">
        <f>""</f>
        <v/>
      </c>
    </row>
    <row r="968" spans="1:10">
      <c r="A968" s="26" t="s">
        <v>2531</v>
      </c>
      <c r="E968" s="26" t="s">
        <v>5581</v>
      </c>
      <c r="F968" s="39" t="str">
        <f t="shared" si="60"/>
        <v/>
      </c>
      <c r="G968" s="39" t="str">
        <f t="shared" si="61"/>
        <v/>
      </c>
      <c r="H968" s="39" t="str">
        <f t="shared" si="62"/>
        <v/>
      </c>
      <c r="I968" s="39" t="str">
        <f t="shared" si="63"/>
        <v/>
      </c>
      <c r="J968" s="39" t="str">
        <f>""</f>
        <v/>
      </c>
    </row>
    <row r="969" spans="1:10">
      <c r="A969" s="26" t="s">
        <v>2533</v>
      </c>
      <c r="E969" s="26" t="s">
        <v>5581</v>
      </c>
      <c r="F969" s="39" t="str">
        <f t="shared" si="60"/>
        <v/>
      </c>
      <c r="G969" s="39" t="str">
        <f t="shared" si="61"/>
        <v/>
      </c>
      <c r="H969" s="39" t="str">
        <f t="shared" si="62"/>
        <v/>
      </c>
      <c r="I969" s="39" t="str">
        <f t="shared" si="63"/>
        <v/>
      </c>
      <c r="J969" s="39" t="str">
        <f>""</f>
        <v/>
      </c>
    </row>
    <row r="970" spans="1:10">
      <c r="A970" s="26" t="s">
        <v>2535</v>
      </c>
      <c r="E970" s="26" t="s">
        <v>5581</v>
      </c>
      <c r="F970" s="39" t="str">
        <f t="shared" si="60"/>
        <v/>
      </c>
      <c r="G970" s="39" t="str">
        <f t="shared" si="61"/>
        <v/>
      </c>
      <c r="H970" s="39" t="str">
        <f t="shared" si="62"/>
        <v/>
      </c>
      <c r="I970" s="39" t="str">
        <f t="shared" si="63"/>
        <v/>
      </c>
      <c r="J970" s="39" t="str">
        <f>""</f>
        <v/>
      </c>
    </row>
    <row r="971" spans="1:10">
      <c r="A971" s="26" t="s">
        <v>2537</v>
      </c>
      <c r="E971" s="26" t="s">
        <v>5581</v>
      </c>
      <c r="F971" s="39" t="str">
        <f t="shared" si="60"/>
        <v/>
      </c>
      <c r="G971" s="39" t="str">
        <f t="shared" si="61"/>
        <v/>
      </c>
      <c r="H971" s="39" t="str">
        <f t="shared" si="62"/>
        <v/>
      </c>
      <c r="I971" s="39" t="str">
        <f t="shared" si="63"/>
        <v/>
      </c>
      <c r="J971" s="39" t="str">
        <f>""</f>
        <v/>
      </c>
    </row>
    <row r="972" spans="1:10">
      <c r="A972" s="26" t="s">
        <v>2539</v>
      </c>
      <c r="E972" s="26" t="s">
        <v>3790</v>
      </c>
      <c r="F972" s="39" t="str">
        <f t="shared" si="60"/>
        <v/>
      </c>
      <c r="G972" s="39" t="str">
        <f t="shared" si="61"/>
        <v/>
      </c>
      <c r="H972" s="39" t="str">
        <f t="shared" si="62"/>
        <v/>
      </c>
      <c r="I972" s="39" t="str">
        <f t="shared" si="63"/>
        <v/>
      </c>
      <c r="J972" s="39" t="str">
        <f>""</f>
        <v/>
      </c>
    </row>
    <row r="973" spans="1:10">
      <c r="A973" s="26" t="s">
        <v>2541</v>
      </c>
      <c r="E973" s="26" t="s">
        <v>5581</v>
      </c>
      <c r="F973" s="39" t="str">
        <f t="shared" si="60"/>
        <v/>
      </c>
      <c r="G973" s="39" t="str">
        <f t="shared" si="61"/>
        <v/>
      </c>
      <c r="H973" s="39" t="str">
        <f t="shared" si="62"/>
        <v/>
      </c>
      <c r="I973" s="39" t="str">
        <f t="shared" si="63"/>
        <v/>
      </c>
      <c r="J973" s="39" t="str">
        <f>""</f>
        <v/>
      </c>
    </row>
    <row r="974" spans="1:10">
      <c r="A974" s="26" t="s">
        <v>2543</v>
      </c>
      <c r="E974" s="26" t="s">
        <v>5581</v>
      </c>
      <c r="F974" s="39" t="str">
        <f t="shared" si="60"/>
        <v/>
      </c>
      <c r="G974" s="39" t="str">
        <f t="shared" si="61"/>
        <v/>
      </c>
      <c r="H974" s="39" t="str">
        <f t="shared" si="62"/>
        <v/>
      </c>
      <c r="I974" s="39" t="str">
        <f t="shared" si="63"/>
        <v/>
      </c>
      <c r="J974" s="39" t="str">
        <f>""</f>
        <v/>
      </c>
    </row>
    <row r="975" spans="1:10">
      <c r="A975" s="26" t="s">
        <v>2545</v>
      </c>
      <c r="E975" s="26" t="s">
        <v>5581</v>
      </c>
      <c r="F975" s="39" t="str">
        <f t="shared" si="60"/>
        <v/>
      </c>
      <c r="G975" s="39" t="str">
        <f t="shared" si="61"/>
        <v/>
      </c>
      <c r="H975" s="39" t="str">
        <f t="shared" si="62"/>
        <v/>
      </c>
      <c r="I975" s="39" t="str">
        <f t="shared" si="63"/>
        <v/>
      </c>
      <c r="J975" s="39" t="str">
        <f>""</f>
        <v/>
      </c>
    </row>
    <row r="976" spans="1:10">
      <c r="A976" s="26" t="s">
        <v>2548</v>
      </c>
      <c r="E976" s="26" t="s">
        <v>5581</v>
      </c>
      <c r="F976" s="39" t="str">
        <f t="shared" si="60"/>
        <v/>
      </c>
      <c r="G976" s="39" t="str">
        <f t="shared" si="61"/>
        <v/>
      </c>
      <c r="H976" s="39" t="str">
        <f t="shared" si="62"/>
        <v/>
      </c>
      <c r="I976" s="39" t="str">
        <f t="shared" si="63"/>
        <v/>
      </c>
      <c r="J976" s="39" t="str">
        <f>""</f>
        <v/>
      </c>
    </row>
    <row r="977" spans="1:10">
      <c r="A977" s="26" t="s">
        <v>2550</v>
      </c>
      <c r="E977" s="26" t="s">
        <v>5581</v>
      </c>
      <c r="F977" s="39" t="str">
        <f t="shared" si="60"/>
        <v/>
      </c>
      <c r="G977" s="39" t="str">
        <f t="shared" si="61"/>
        <v/>
      </c>
      <c r="H977" s="39" t="str">
        <f t="shared" si="62"/>
        <v/>
      </c>
      <c r="I977" s="39" t="str">
        <f t="shared" si="63"/>
        <v/>
      </c>
      <c r="J977" s="39" t="str">
        <f>""</f>
        <v/>
      </c>
    </row>
    <row r="978" spans="1:10">
      <c r="A978" s="26" t="s">
        <v>2552</v>
      </c>
      <c r="E978" s="26" t="s">
        <v>5581</v>
      </c>
      <c r="F978" s="39" t="str">
        <f t="shared" si="60"/>
        <v/>
      </c>
      <c r="G978" s="39" t="str">
        <f t="shared" si="61"/>
        <v/>
      </c>
      <c r="H978" s="39" t="str">
        <f t="shared" si="62"/>
        <v/>
      </c>
      <c r="I978" s="39" t="str">
        <f t="shared" si="63"/>
        <v/>
      </c>
      <c r="J978" s="39" t="str">
        <f>""</f>
        <v/>
      </c>
    </row>
    <row r="979" spans="1:10">
      <c r="A979" s="26" t="s">
        <v>2554</v>
      </c>
      <c r="E979" s="26" t="s">
        <v>5581</v>
      </c>
      <c r="F979" s="39" t="str">
        <f t="shared" si="60"/>
        <v/>
      </c>
      <c r="G979" s="39" t="str">
        <f t="shared" si="61"/>
        <v/>
      </c>
      <c r="H979" s="39" t="str">
        <f t="shared" si="62"/>
        <v/>
      </c>
      <c r="I979" s="39" t="str">
        <f t="shared" si="63"/>
        <v/>
      </c>
      <c r="J979" s="39" t="str">
        <f>""</f>
        <v/>
      </c>
    </row>
    <row r="980" spans="1:10">
      <c r="A980" s="26" t="s">
        <v>2557</v>
      </c>
      <c r="E980" s="26" t="s">
        <v>5581</v>
      </c>
      <c r="F980" s="39" t="str">
        <f t="shared" si="60"/>
        <v/>
      </c>
      <c r="G980" s="39" t="str">
        <f t="shared" si="61"/>
        <v/>
      </c>
      <c r="H980" s="39" t="str">
        <f t="shared" si="62"/>
        <v/>
      </c>
      <c r="I980" s="39" t="str">
        <f t="shared" si="63"/>
        <v/>
      </c>
      <c r="J980" s="39" t="str">
        <f>""</f>
        <v/>
      </c>
    </row>
    <row r="981" spans="1:10">
      <c r="A981" s="26" t="s">
        <v>2558</v>
      </c>
      <c r="E981" s="26" t="s">
        <v>5581</v>
      </c>
      <c r="F981" s="39" t="str">
        <f t="shared" si="60"/>
        <v/>
      </c>
      <c r="G981" s="39" t="str">
        <f t="shared" si="61"/>
        <v/>
      </c>
      <c r="H981" s="39" t="str">
        <f t="shared" si="62"/>
        <v/>
      </c>
      <c r="I981" s="39" t="str">
        <f t="shared" si="63"/>
        <v/>
      </c>
      <c r="J981" s="39" t="str">
        <f>""</f>
        <v/>
      </c>
    </row>
    <row r="982" spans="1:10">
      <c r="A982" s="26" t="s">
        <v>2561</v>
      </c>
      <c r="E982" s="26" t="s">
        <v>5581</v>
      </c>
      <c r="F982" s="39" t="str">
        <f t="shared" si="60"/>
        <v/>
      </c>
      <c r="G982" s="39" t="str">
        <f t="shared" si="61"/>
        <v/>
      </c>
      <c r="H982" s="39" t="str">
        <f t="shared" si="62"/>
        <v/>
      </c>
      <c r="I982" s="39" t="str">
        <f t="shared" si="63"/>
        <v/>
      </c>
      <c r="J982" s="39" t="str">
        <f>""</f>
        <v/>
      </c>
    </row>
    <row r="983" spans="1:10">
      <c r="A983" s="26" t="s">
        <v>2562</v>
      </c>
      <c r="E983" s="26" t="s">
        <v>5581</v>
      </c>
      <c r="F983" s="39" t="str">
        <f t="shared" si="60"/>
        <v/>
      </c>
      <c r="G983" s="39" t="str">
        <f t="shared" si="61"/>
        <v/>
      </c>
      <c r="H983" s="39" t="str">
        <f t="shared" si="62"/>
        <v/>
      </c>
      <c r="I983" s="39" t="str">
        <f t="shared" si="63"/>
        <v/>
      </c>
      <c r="J983" s="39" t="str">
        <f>""</f>
        <v/>
      </c>
    </row>
    <row r="984" spans="1:10">
      <c r="A984" s="26" t="s">
        <v>2563</v>
      </c>
      <c r="E984" s="26" t="s">
        <v>5581</v>
      </c>
      <c r="F984" s="39" t="str">
        <f t="shared" si="60"/>
        <v/>
      </c>
      <c r="G984" s="39" t="str">
        <f t="shared" si="61"/>
        <v/>
      </c>
      <c r="H984" s="39" t="str">
        <f t="shared" si="62"/>
        <v/>
      </c>
      <c r="I984" s="39" t="str">
        <f t="shared" si="63"/>
        <v/>
      </c>
      <c r="J984" s="39" t="str">
        <f>""</f>
        <v/>
      </c>
    </row>
    <row r="985" spans="1:10">
      <c r="A985" s="26" t="s">
        <v>2565</v>
      </c>
      <c r="E985" s="26" t="s">
        <v>5581</v>
      </c>
      <c r="F985" s="39" t="str">
        <f t="shared" si="60"/>
        <v/>
      </c>
      <c r="G985" s="39" t="str">
        <f t="shared" si="61"/>
        <v/>
      </c>
      <c r="H985" s="39" t="str">
        <f t="shared" si="62"/>
        <v/>
      </c>
      <c r="I985" s="39" t="str">
        <f t="shared" si="63"/>
        <v/>
      </c>
      <c r="J985" s="39" t="str">
        <f>""</f>
        <v/>
      </c>
    </row>
    <row r="986" spans="1:10">
      <c r="A986" s="26" t="s">
        <v>2567</v>
      </c>
      <c r="E986" s="26" t="s">
        <v>3790</v>
      </c>
      <c r="F986" s="39" t="str">
        <f t="shared" si="60"/>
        <v/>
      </c>
      <c r="G986" s="39" t="str">
        <f t="shared" si="61"/>
        <v/>
      </c>
      <c r="H986" s="39" t="str">
        <f t="shared" si="62"/>
        <v/>
      </c>
      <c r="I986" s="39" t="str">
        <f t="shared" si="63"/>
        <v/>
      </c>
      <c r="J986" s="39" t="str">
        <f>""</f>
        <v/>
      </c>
    </row>
    <row r="987" spans="1:10">
      <c r="A987" s="26" t="s">
        <v>2568</v>
      </c>
      <c r="E987" s="26" t="s">
        <v>5581</v>
      </c>
      <c r="F987" s="39" t="str">
        <f t="shared" si="60"/>
        <v/>
      </c>
      <c r="G987" s="39" t="str">
        <f t="shared" si="61"/>
        <v/>
      </c>
      <c r="H987" s="39" t="str">
        <f t="shared" si="62"/>
        <v/>
      </c>
      <c r="I987" s="39" t="str">
        <f t="shared" si="63"/>
        <v/>
      </c>
      <c r="J987" s="39" t="str">
        <f>""</f>
        <v/>
      </c>
    </row>
    <row r="988" spans="1:10">
      <c r="A988" s="26" t="s">
        <v>2570</v>
      </c>
      <c r="E988" s="26" t="s">
        <v>5581</v>
      </c>
      <c r="F988" s="39" t="str">
        <f t="shared" si="60"/>
        <v/>
      </c>
      <c r="G988" s="39" t="str">
        <f t="shared" si="61"/>
        <v/>
      </c>
      <c r="H988" s="39" t="str">
        <f t="shared" si="62"/>
        <v/>
      </c>
      <c r="I988" s="39" t="str">
        <f t="shared" si="63"/>
        <v/>
      </c>
      <c r="J988" s="39" t="str">
        <f>""</f>
        <v/>
      </c>
    </row>
    <row r="989" spans="1:10">
      <c r="A989" s="26" t="s">
        <v>2572</v>
      </c>
      <c r="E989" s="26" t="s">
        <v>5581</v>
      </c>
      <c r="F989" s="39" t="str">
        <f t="shared" si="60"/>
        <v/>
      </c>
      <c r="G989" s="39" t="str">
        <f t="shared" si="61"/>
        <v/>
      </c>
      <c r="H989" s="39" t="str">
        <f t="shared" si="62"/>
        <v/>
      </c>
      <c r="I989" s="39" t="str">
        <f t="shared" si="63"/>
        <v/>
      </c>
      <c r="J989" s="39" t="str">
        <f>""</f>
        <v/>
      </c>
    </row>
    <row r="990" spans="1:10">
      <c r="A990" s="26" t="s">
        <v>2574</v>
      </c>
      <c r="E990" s="26" t="s">
        <v>3790</v>
      </c>
      <c r="F990" s="39" t="str">
        <f t="shared" si="60"/>
        <v/>
      </c>
      <c r="G990" s="39" t="str">
        <f t="shared" si="61"/>
        <v/>
      </c>
      <c r="H990" s="39" t="str">
        <f t="shared" si="62"/>
        <v/>
      </c>
      <c r="I990" s="39" t="str">
        <f t="shared" si="63"/>
        <v/>
      </c>
      <c r="J990" s="39" t="str">
        <f>""</f>
        <v/>
      </c>
    </row>
    <row r="991" spans="1:10">
      <c r="A991" s="26" t="s">
        <v>3391</v>
      </c>
      <c r="E991" s="26" t="s">
        <v>5581</v>
      </c>
      <c r="F991" s="39" t="str">
        <f t="shared" si="60"/>
        <v/>
      </c>
      <c r="G991" s="39" t="str">
        <f t="shared" si="61"/>
        <v/>
      </c>
      <c r="H991" s="39" t="str">
        <f t="shared" si="62"/>
        <v/>
      </c>
      <c r="I991" s="39" t="str">
        <f t="shared" si="63"/>
        <v/>
      </c>
      <c r="J991" s="39" t="str">
        <f>""</f>
        <v/>
      </c>
    </row>
    <row r="992" spans="1:10">
      <c r="A992" s="26" t="s">
        <v>3394</v>
      </c>
      <c r="E992" s="26" t="s">
        <v>3790</v>
      </c>
      <c r="F992" s="39" t="str">
        <f t="shared" si="60"/>
        <v/>
      </c>
      <c r="G992" s="39" t="str">
        <f t="shared" si="61"/>
        <v/>
      </c>
      <c r="H992" s="39" t="str">
        <f t="shared" si="62"/>
        <v/>
      </c>
      <c r="I992" s="39" t="str">
        <f t="shared" si="63"/>
        <v/>
      </c>
      <c r="J992" s="39" t="str">
        <f>""</f>
        <v/>
      </c>
    </row>
    <row r="993" spans="1:10">
      <c r="A993" s="26" t="s">
        <v>1370</v>
      </c>
      <c r="E993" s="26" t="s">
        <v>5581</v>
      </c>
      <c r="F993" s="39" t="str">
        <f t="shared" si="60"/>
        <v/>
      </c>
      <c r="G993" s="39" t="str">
        <f t="shared" si="61"/>
        <v/>
      </c>
      <c r="H993" s="39" t="str">
        <f t="shared" si="62"/>
        <v/>
      </c>
      <c r="I993" s="39" t="str">
        <f t="shared" si="63"/>
        <v/>
      </c>
      <c r="J993" s="39" t="str">
        <f>""</f>
        <v/>
      </c>
    </row>
    <row r="994" spans="1:10">
      <c r="A994" s="26" t="s">
        <v>1371</v>
      </c>
      <c r="E994" s="26" t="s">
        <v>5581</v>
      </c>
      <c r="F994" s="39" t="str">
        <f t="shared" si="60"/>
        <v/>
      </c>
      <c r="G994" s="39" t="str">
        <f t="shared" si="61"/>
        <v/>
      </c>
      <c r="H994" s="39" t="str">
        <f t="shared" si="62"/>
        <v/>
      </c>
      <c r="I994" s="39" t="str">
        <f t="shared" si="63"/>
        <v/>
      </c>
      <c r="J994" s="39" t="str">
        <f>""</f>
        <v/>
      </c>
    </row>
    <row r="995" spans="1:10">
      <c r="A995" s="26" t="s">
        <v>1372</v>
      </c>
      <c r="E995" s="26" t="s">
        <v>5581</v>
      </c>
      <c r="F995" s="39" t="str">
        <f t="shared" si="60"/>
        <v/>
      </c>
      <c r="G995" s="39" t="str">
        <f t="shared" si="61"/>
        <v/>
      </c>
      <c r="H995" s="39" t="str">
        <f t="shared" si="62"/>
        <v/>
      </c>
      <c r="I995" s="39" t="str">
        <f t="shared" si="63"/>
        <v/>
      </c>
      <c r="J995" s="39" t="str">
        <f>""</f>
        <v/>
      </c>
    </row>
    <row r="996" spans="1:10">
      <c r="A996" s="26" t="s">
        <v>1374</v>
      </c>
      <c r="E996" s="26" t="s">
        <v>5581</v>
      </c>
      <c r="F996" s="39" t="str">
        <f t="shared" si="60"/>
        <v/>
      </c>
      <c r="G996" s="39" t="str">
        <f t="shared" si="61"/>
        <v/>
      </c>
      <c r="H996" s="39" t="str">
        <f t="shared" si="62"/>
        <v/>
      </c>
      <c r="I996" s="39" t="str">
        <f t="shared" si="63"/>
        <v/>
      </c>
      <c r="J996" s="39" t="str">
        <f>""</f>
        <v/>
      </c>
    </row>
    <row r="997" spans="1:10">
      <c r="A997" s="26" t="s">
        <v>1375</v>
      </c>
      <c r="E997" s="26" t="s">
        <v>5581</v>
      </c>
      <c r="F997" s="39" t="str">
        <f t="shared" si="60"/>
        <v/>
      </c>
      <c r="G997" s="39" t="str">
        <f t="shared" si="61"/>
        <v/>
      </c>
      <c r="H997" s="39" t="str">
        <f t="shared" si="62"/>
        <v/>
      </c>
      <c r="I997" s="39" t="str">
        <f t="shared" si="63"/>
        <v/>
      </c>
      <c r="J997" s="39" t="str">
        <f>""</f>
        <v/>
      </c>
    </row>
    <row r="998" spans="1:10">
      <c r="A998" s="26" t="s">
        <v>1377</v>
      </c>
      <c r="E998" s="26" t="s">
        <v>5581</v>
      </c>
      <c r="F998" s="39" t="str">
        <f t="shared" si="60"/>
        <v/>
      </c>
      <c r="G998" s="39" t="str">
        <f t="shared" si="61"/>
        <v/>
      </c>
      <c r="H998" s="39" t="str">
        <f t="shared" si="62"/>
        <v/>
      </c>
      <c r="I998" s="39" t="str">
        <f t="shared" si="63"/>
        <v/>
      </c>
      <c r="J998" s="39" t="str">
        <f>""</f>
        <v/>
      </c>
    </row>
    <row r="999" spans="1:10">
      <c r="A999" s="26" t="s">
        <v>1378</v>
      </c>
      <c r="E999" s="26" t="s">
        <v>5581</v>
      </c>
      <c r="F999" s="39" t="str">
        <f t="shared" si="60"/>
        <v/>
      </c>
      <c r="G999" s="39" t="str">
        <f t="shared" si="61"/>
        <v/>
      </c>
      <c r="H999" s="39" t="str">
        <f t="shared" si="62"/>
        <v/>
      </c>
      <c r="I999" s="39" t="str">
        <f t="shared" si="63"/>
        <v/>
      </c>
      <c r="J999" s="39" t="str">
        <f>""</f>
        <v/>
      </c>
    </row>
    <row r="1000" spans="1:10">
      <c r="A1000" s="26" t="s">
        <v>1379</v>
      </c>
      <c r="E1000" s="26" t="s">
        <v>5581</v>
      </c>
      <c r="F1000" s="39" t="str">
        <f t="shared" si="60"/>
        <v/>
      </c>
      <c r="G1000" s="39" t="str">
        <f t="shared" si="61"/>
        <v/>
      </c>
      <c r="H1000" s="39" t="str">
        <f t="shared" si="62"/>
        <v/>
      </c>
      <c r="I1000" s="39" t="str">
        <f t="shared" si="63"/>
        <v/>
      </c>
      <c r="J1000" s="39" t="str">
        <f>""</f>
        <v/>
      </c>
    </row>
    <row r="1001" spans="1:10">
      <c r="A1001" s="26" t="s">
        <v>1382</v>
      </c>
      <c r="E1001" s="26" t="s">
        <v>5581</v>
      </c>
      <c r="F1001" s="39" t="str">
        <f t="shared" si="60"/>
        <v/>
      </c>
      <c r="G1001" s="39" t="str">
        <f t="shared" si="61"/>
        <v/>
      </c>
      <c r="H1001" s="39" t="str">
        <f t="shared" si="62"/>
        <v/>
      </c>
      <c r="I1001" s="39" t="str">
        <f t="shared" si="63"/>
        <v/>
      </c>
      <c r="J1001" s="39" t="str">
        <f>""</f>
        <v/>
      </c>
    </row>
    <row r="1002" spans="1:10">
      <c r="A1002" s="26" t="s">
        <v>1383</v>
      </c>
      <c r="E1002" s="26" t="s">
        <v>5581</v>
      </c>
      <c r="F1002" s="39" t="str">
        <f t="shared" si="60"/>
        <v/>
      </c>
      <c r="G1002" s="39" t="str">
        <f t="shared" si="61"/>
        <v/>
      </c>
      <c r="H1002" s="39" t="str">
        <f t="shared" si="62"/>
        <v/>
      </c>
      <c r="I1002" s="39" t="str">
        <f t="shared" si="63"/>
        <v/>
      </c>
      <c r="J1002" s="39" t="str">
        <f>""</f>
        <v/>
      </c>
    </row>
    <row r="1003" spans="1:10">
      <c r="A1003" s="26" t="s">
        <v>1385</v>
      </c>
      <c r="C1003" s="39">
        <v>400</v>
      </c>
      <c r="E1003" s="26" t="s">
        <v>5581</v>
      </c>
      <c r="F1003" s="39" t="str">
        <f t="shared" si="60"/>
        <v/>
      </c>
      <c r="G1003" s="39" t="str">
        <f t="shared" si="61"/>
        <v/>
      </c>
      <c r="H1003" s="39">
        <f t="shared" si="62"/>
        <v>400</v>
      </c>
      <c r="I1003" s="39" t="str">
        <f t="shared" si="63"/>
        <v/>
      </c>
      <c r="J1003" s="39" t="str">
        <f>""</f>
        <v/>
      </c>
    </row>
    <row r="1004" spans="1:10">
      <c r="A1004" s="26" t="s">
        <v>3397</v>
      </c>
      <c r="E1004" s="26" t="s">
        <v>5581</v>
      </c>
      <c r="F1004" s="39" t="str">
        <f t="shared" si="60"/>
        <v/>
      </c>
      <c r="G1004" s="39" t="str">
        <f t="shared" si="61"/>
        <v/>
      </c>
      <c r="H1004" s="39" t="str">
        <f t="shared" si="62"/>
        <v/>
      </c>
      <c r="I1004" s="39" t="str">
        <f t="shared" si="63"/>
        <v/>
      </c>
      <c r="J1004" s="39" t="str">
        <f>""</f>
        <v/>
      </c>
    </row>
    <row r="1005" spans="1:10">
      <c r="A1005" s="26" t="s">
        <v>2576</v>
      </c>
      <c r="E1005" s="26" t="s">
        <v>5581</v>
      </c>
      <c r="F1005" s="39" t="str">
        <f t="shared" si="60"/>
        <v/>
      </c>
      <c r="G1005" s="39" t="str">
        <f t="shared" si="61"/>
        <v/>
      </c>
      <c r="H1005" s="39" t="str">
        <f t="shared" si="62"/>
        <v/>
      </c>
      <c r="I1005" s="39" t="str">
        <f t="shared" si="63"/>
        <v/>
      </c>
      <c r="J1005" s="39" t="str">
        <f>""</f>
        <v/>
      </c>
    </row>
    <row r="1006" spans="1:10">
      <c r="A1006" s="26" t="s">
        <v>2578</v>
      </c>
      <c r="C1006" s="39">
        <v>75</v>
      </c>
      <c r="E1006" s="26" t="s">
        <v>5581</v>
      </c>
      <c r="F1006" s="39">
        <f t="shared" si="60"/>
        <v>75</v>
      </c>
      <c r="G1006" s="39">
        <f t="shared" si="61"/>
        <v>75</v>
      </c>
      <c r="H1006" s="39">
        <f t="shared" si="62"/>
        <v>75</v>
      </c>
      <c r="I1006" s="39" t="str">
        <f t="shared" si="63"/>
        <v/>
      </c>
      <c r="J1006" s="39" t="str">
        <f>""</f>
        <v/>
      </c>
    </row>
    <row r="1007" spans="1:10">
      <c r="A1007" s="26" t="s">
        <v>1386</v>
      </c>
      <c r="E1007" s="26" t="s">
        <v>5581</v>
      </c>
      <c r="F1007" s="39" t="str">
        <f t="shared" si="60"/>
        <v/>
      </c>
      <c r="G1007" s="39" t="str">
        <f t="shared" si="61"/>
        <v/>
      </c>
      <c r="H1007" s="39" t="str">
        <f t="shared" si="62"/>
        <v/>
      </c>
      <c r="I1007" s="39" t="str">
        <f t="shared" si="63"/>
        <v/>
      </c>
      <c r="J1007" s="39" t="str">
        <f>""</f>
        <v/>
      </c>
    </row>
    <row r="1008" spans="1:10">
      <c r="A1008" s="26" t="s">
        <v>1388</v>
      </c>
      <c r="E1008" s="26" t="s">
        <v>5581</v>
      </c>
      <c r="F1008" s="39" t="str">
        <f t="shared" si="60"/>
        <v/>
      </c>
      <c r="G1008" s="39" t="str">
        <f t="shared" si="61"/>
        <v/>
      </c>
      <c r="H1008" s="39" t="str">
        <f t="shared" si="62"/>
        <v/>
      </c>
      <c r="I1008" s="39" t="str">
        <f t="shared" si="63"/>
        <v/>
      </c>
      <c r="J1008" s="39" t="str">
        <f>""</f>
        <v/>
      </c>
    </row>
    <row r="1009" spans="1:10">
      <c r="A1009" s="26" t="s">
        <v>1391</v>
      </c>
      <c r="E1009" s="26" t="s">
        <v>5581</v>
      </c>
      <c r="F1009" s="39" t="str">
        <f t="shared" si="60"/>
        <v/>
      </c>
      <c r="G1009" s="39" t="str">
        <f t="shared" si="61"/>
        <v/>
      </c>
      <c r="H1009" s="39" t="str">
        <f t="shared" si="62"/>
        <v/>
      </c>
      <c r="I1009" s="39" t="str">
        <f t="shared" si="63"/>
        <v/>
      </c>
      <c r="J1009" s="39" t="str">
        <f>""</f>
        <v/>
      </c>
    </row>
    <row r="1010" spans="1:10">
      <c r="A1010" s="26" t="s">
        <v>2579</v>
      </c>
      <c r="E1010" s="26" t="s">
        <v>5581</v>
      </c>
      <c r="F1010" s="39" t="str">
        <f t="shared" si="60"/>
        <v/>
      </c>
      <c r="G1010" s="39" t="str">
        <f t="shared" si="61"/>
        <v/>
      </c>
      <c r="H1010" s="39" t="str">
        <f t="shared" si="62"/>
        <v/>
      </c>
      <c r="I1010" s="39" t="str">
        <f t="shared" si="63"/>
        <v/>
      </c>
      <c r="J1010" s="39" t="str">
        <f>""</f>
        <v/>
      </c>
    </row>
    <row r="1011" spans="1:10">
      <c r="A1011" s="26" t="s">
        <v>2582</v>
      </c>
      <c r="E1011" s="26" t="s">
        <v>5581</v>
      </c>
      <c r="F1011" s="39" t="str">
        <f t="shared" si="60"/>
        <v/>
      </c>
      <c r="G1011" s="39" t="str">
        <f t="shared" si="61"/>
        <v/>
      </c>
      <c r="H1011" s="39" t="str">
        <f t="shared" si="62"/>
        <v/>
      </c>
      <c r="I1011" s="39" t="str">
        <f t="shared" si="63"/>
        <v/>
      </c>
      <c r="J1011" s="39" t="str">
        <f>""</f>
        <v/>
      </c>
    </row>
    <row r="1012" spans="1:10">
      <c r="A1012" s="26" t="s">
        <v>2584</v>
      </c>
      <c r="E1012" s="26" t="s">
        <v>5581</v>
      </c>
      <c r="F1012" s="39" t="str">
        <f t="shared" si="60"/>
        <v/>
      </c>
      <c r="G1012" s="39" t="str">
        <f t="shared" si="61"/>
        <v/>
      </c>
      <c r="H1012" s="39" t="str">
        <f t="shared" si="62"/>
        <v/>
      </c>
      <c r="I1012" s="39" t="str">
        <f t="shared" si="63"/>
        <v/>
      </c>
      <c r="J1012" s="39" t="str">
        <f>""</f>
        <v/>
      </c>
    </row>
    <row r="1013" spans="1:10">
      <c r="A1013" s="26" t="s">
        <v>2587</v>
      </c>
      <c r="E1013" s="26" t="s">
        <v>5581</v>
      </c>
      <c r="F1013" s="39" t="str">
        <f t="shared" si="60"/>
        <v/>
      </c>
      <c r="G1013" s="39" t="str">
        <f t="shared" si="61"/>
        <v/>
      </c>
      <c r="H1013" s="39" t="str">
        <f t="shared" si="62"/>
        <v/>
      </c>
      <c r="I1013" s="39" t="str">
        <f t="shared" si="63"/>
        <v/>
      </c>
      <c r="J1013" s="39" t="str">
        <f>""</f>
        <v/>
      </c>
    </row>
    <row r="1014" spans="1:10">
      <c r="A1014" s="26" t="s">
        <v>2589</v>
      </c>
      <c r="E1014" s="26" t="s">
        <v>5581</v>
      </c>
      <c r="F1014" s="39" t="str">
        <f t="shared" si="60"/>
        <v/>
      </c>
      <c r="G1014" s="39" t="str">
        <f t="shared" si="61"/>
        <v/>
      </c>
      <c r="H1014" s="39" t="str">
        <f t="shared" si="62"/>
        <v/>
      </c>
      <c r="I1014" s="39" t="str">
        <f t="shared" si="63"/>
        <v/>
      </c>
      <c r="J1014" s="39" t="str">
        <f>""</f>
        <v/>
      </c>
    </row>
    <row r="1015" spans="1:10">
      <c r="A1015" s="26" t="s">
        <v>2592</v>
      </c>
      <c r="E1015" s="26" t="s">
        <v>5581</v>
      </c>
      <c r="F1015" s="39" t="str">
        <f t="shared" si="60"/>
        <v/>
      </c>
      <c r="G1015" s="39" t="str">
        <f t="shared" si="61"/>
        <v/>
      </c>
      <c r="H1015" s="39" t="str">
        <f t="shared" si="62"/>
        <v/>
      </c>
      <c r="I1015" s="39" t="str">
        <f t="shared" si="63"/>
        <v/>
      </c>
      <c r="J1015" s="39" t="str">
        <f>""</f>
        <v/>
      </c>
    </row>
    <row r="1016" spans="1:10">
      <c r="A1016" s="26" t="s">
        <v>1392</v>
      </c>
      <c r="E1016" s="26" t="s">
        <v>5581</v>
      </c>
      <c r="F1016" s="39" t="str">
        <f t="shared" si="60"/>
        <v/>
      </c>
      <c r="G1016" s="39" t="str">
        <f t="shared" si="61"/>
        <v/>
      </c>
      <c r="H1016" s="39" t="str">
        <f t="shared" si="62"/>
        <v/>
      </c>
      <c r="I1016" s="39" t="str">
        <f t="shared" si="63"/>
        <v/>
      </c>
      <c r="J1016" s="39" t="str">
        <f>""</f>
        <v/>
      </c>
    </row>
    <row r="1017" spans="1:10">
      <c r="A1017" s="26" t="s">
        <v>1394</v>
      </c>
      <c r="C1017" s="39">
        <v>200</v>
      </c>
      <c r="E1017" s="26" t="s">
        <v>5581</v>
      </c>
      <c r="F1017" s="39" t="str">
        <f t="shared" si="60"/>
        <v/>
      </c>
      <c r="G1017" s="39" t="str">
        <f t="shared" si="61"/>
        <v/>
      </c>
      <c r="H1017" s="39">
        <f t="shared" si="62"/>
        <v>200</v>
      </c>
      <c r="I1017" s="39" t="str">
        <f t="shared" si="63"/>
        <v/>
      </c>
      <c r="J1017" s="39" t="str">
        <f>""</f>
        <v/>
      </c>
    </row>
    <row r="1018" spans="1:10">
      <c r="A1018" s="26" t="s">
        <v>1395</v>
      </c>
      <c r="E1018" s="26" t="s">
        <v>5581</v>
      </c>
      <c r="F1018" s="39" t="str">
        <f t="shared" si="60"/>
        <v/>
      </c>
      <c r="G1018" s="39" t="str">
        <f t="shared" si="61"/>
        <v/>
      </c>
      <c r="H1018" s="39" t="str">
        <f t="shared" si="62"/>
        <v/>
      </c>
      <c r="I1018" s="39" t="str">
        <f t="shared" si="63"/>
        <v/>
      </c>
      <c r="J1018" s="39" t="str">
        <f>""</f>
        <v/>
      </c>
    </row>
    <row r="1019" spans="1:10">
      <c r="A1019" s="26" t="s">
        <v>1398</v>
      </c>
      <c r="E1019" s="26" t="s">
        <v>5581</v>
      </c>
      <c r="F1019" s="39" t="str">
        <f t="shared" si="60"/>
        <v/>
      </c>
      <c r="G1019" s="39" t="str">
        <f t="shared" si="61"/>
        <v/>
      </c>
      <c r="H1019" s="39" t="str">
        <f t="shared" si="62"/>
        <v/>
      </c>
      <c r="I1019" s="39" t="str">
        <f t="shared" si="63"/>
        <v/>
      </c>
      <c r="J1019" s="39" t="str">
        <f>""</f>
        <v/>
      </c>
    </row>
    <row r="1020" spans="1:10">
      <c r="A1020" s="26" t="s">
        <v>1399</v>
      </c>
      <c r="E1020" s="26" t="s">
        <v>5581</v>
      </c>
      <c r="F1020" s="39" t="str">
        <f t="shared" si="60"/>
        <v/>
      </c>
      <c r="G1020" s="39" t="str">
        <f t="shared" si="61"/>
        <v/>
      </c>
      <c r="H1020" s="39" t="str">
        <f t="shared" si="62"/>
        <v/>
      </c>
      <c r="I1020" s="39" t="str">
        <f t="shared" si="63"/>
        <v/>
      </c>
      <c r="J1020" s="39" t="str">
        <f>""</f>
        <v/>
      </c>
    </row>
    <row r="1021" spans="1:10">
      <c r="A1021" s="26" t="s">
        <v>2594</v>
      </c>
      <c r="E1021" s="26" t="s">
        <v>5581</v>
      </c>
      <c r="F1021" s="39" t="str">
        <f t="shared" si="60"/>
        <v/>
      </c>
      <c r="G1021" s="39" t="str">
        <f t="shared" si="61"/>
        <v/>
      </c>
      <c r="H1021" s="39" t="str">
        <f t="shared" si="62"/>
        <v/>
      </c>
      <c r="I1021" s="39" t="str">
        <f t="shared" si="63"/>
        <v/>
      </c>
      <c r="J1021" s="39" t="str">
        <f>""</f>
        <v/>
      </c>
    </row>
    <row r="1022" spans="1:10">
      <c r="A1022" s="26" t="s">
        <v>2596</v>
      </c>
      <c r="C1022" s="39">
        <v>200</v>
      </c>
      <c r="E1022" s="26" t="s">
        <v>5581</v>
      </c>
      <c r="F1022" s="39" t="str">
        <f t="shared" si="60"/>
        <v/>
      </c>
      <c r="G1022" s="39" t="str">
        <f t="shared" si="61"/>
        <v/>
      </c>
      <c r="H1022" s="39">
        <f t="shared" si="62"/>
        <v>200</v>
      </c>
      <c r="I1022" s="39" t="str">
        <f t="shared" si="63"/>
        <v/>
      </c>
      <c r="J1022" s="39" t="str">
        <f>""</f>
        <v/>
      </c>
    </row>
    <row r="1023" spans="1:10">
      <c r="A1023" s="26" t="s">
        <v>2599</v>
      </c>
      <c r="C1023" s="39">
        <v>50</v>
      </c>
      <c r="E1023" s="26" t="s">
        <v>5581</v>
      </c>
      <c r="F1023" s="39">
        <f t="shared" si="60"/>
        <v>50</v>
      </c>
      <c r="G1023" s="39">
        <f t="shared" si="61"/>
        <v>50</v>
      </c>
      <c r="H1023" s="39">
        <f t="shared" si="62"/>
        <v>50</v>
      </c>
      <c r="I1023" s="39" t="str">
        <f t="shared" si="63"/>
        <v/>
      </c>
      <c r="J1023" s="39" t="str">
        <f>""</f>
        <v/>
      </c>
    </row>
    <row r="1024" spans="1:10">
      <c r="A1024" s="26" t="s">
        <v>5354</v>
      </c>
      <c r="E1024" s="26" t="s">
        <v>3790</v>
      </c>
      <c r="F1024" s="39" t="str">
        <f t="shared" si="60"/>
        <v/>
      </c>
      <c r="G1024" s="39" t="str">
        <f t="shared" si="61"/>
        <v/>
      </c>
      <c r="H1024" s="39" t="str">
        <f t="shared" si="62"/>
        <v/>
      </c>
      <c r="I1024" s="39" t="str">
        <f t="shared" si="63"/>
        <v/>
      </c>
      <c r="J1024" s="39" t="str">
        <f>""</f>
        <v/>
      </c>
    </row>
    <row r="1025" spans="1:10">
      <c r="A1025" s="26" t="s">
        <v>5356</v>
      </c>
      <c r="E1025" s="26" t="s">
        <v>3790</v>
      </c>
      <c r="F1025" s="39" t="str">
        <f t="shared" si="60"/>
        <v/>
      </c>
      <c r="G1025" s="39" t="str">
        <f t="shared" si="61"/>
        <v/>
      </c>
      <c r="H1025" s="39" t="str">
        <f t="shared" si="62"/>
        <v/>
      </c>
      <c r="I1025" s="39" t="str">
        <f t="shared" si="63"/>
        <v/>
      </c>
      <c r="J1025" s="39" t="str">
        <f>""</f>
        <v/>
      </c>
    </row>
    <row r="1026" spans="1:10">
      <c r="A1026" s="26" t="s">
        <v>2601</v>
      </c>
      <c r="E1026" s="26" t="s">
        <v>5581</v>
      </c>
      <c r="F1026" s="39" t="str">
        <f t="shared" si="60"/>
        <v/>
      </c>
      <c r="G1026" s="39" t="str">
        <f t="shared" si="61"/>
        <v/>
      </c>
      <c r="H1026" s="39" t="str">
        <f t="shared" si="62"/>
        <v/>
      </c>
      <c r="I1026" s="39" t="str">
        <f t="shared" si="63"/>
        <v/>
      </c>
      <c r="J1026" s="39" t="str">
        <f>""</f>
        <v/>
      </c>
    </row>
    <row r="1027" spans="1:10">
      <c r="A1027" s="26" t="s">
        <v>2604</v>
      </c>
      <c r="E1027" s="26" t="s">
        <v>5581</v>
      </c>
      <c r="F1027" s="39" t="str">
        <f t="shared" ref="F1027:F1090" si="64">IF(C1027="","",IF(C1027&lt;99,C1027,""))</f>
        <v/>
      </c>
      <c r="G1027" s="39" t="str">
        <f t="shared" ref="G1027:G1090" si="65">IF(OR(F1027&lt;&gt;"",D1027&lt;&gt;""),C1027,"")</f>
        <v/>
      </c>
      <c r="H1027" s="39" t="str">
        <f t="shared" ref="H1027:H1090" si="66">IF(C1027="","",C1027)</f>
        <v/>
      </c>
      <c r="I1027" s="39" t="str">
        <f t="shared" ref="I1027:I1090" si="67">IF(AND(C1027&lt;&gt;"",D1027&lt;&gt;""),C1027,"")</f>
        <v/>
      </c>
      <c r="J1027" s="39" t="str">
        <f>""</f>
        <v/>
      </c>
    </row>
    <row r="1028" spans="1:10">
      <c r="A1028" s="26" t="s">
        <v>1401</v>
      </c>
      <c r="E1028" s="26" t="s">
        <v>5581</v>
      </c>
      <c r="F1028" s="39" t="str">
        <f t="shared" si="64"/>
        <v/>
      </c>
      <c r="G1028" s="39" t="str">
        <f t="shared" si="65"/>
        <v/>
      </c>
      <c r="H1028" s="39" t="str">
        <f t="shared" si="66"/>
        <v/>
      </c>
      <c r="I1028" s="39" t="str">
        <f t="shared" si="67"/>
        <v/>
      </c>
      <c r="J1028" s="39" t="str">
        <f>""</f>
        <v/>
      </c>
    </row>
    <row r="1029" spans="1:10">
      <c r="A1029" s="26" t="s">
        <v>1404</v>
      </c>
      <c r="E1029" s="26" t="s">
        <v>5581</v>
      </c>
      <c r="F1029" s="39" t="str">
        <f t="shared" si="64"/>
        <v/>
      </c>
      <c r="G1029" s="39" t="str">
        <f t="shared" si="65"/>
        <v/>
      </c>
      <c r="H1029" s="39" t="str">
        <f t="shared" si="66"/>
        <v/>
      </c>
      <c r="I1029" s="39" t="str">
        <f t="shared" si="67"/>
        <v/>
      </c>
      <c r="J1029" s="39" t="str">
        <f>""</f>
        <v/>
      </c>
    </row>
    <row r="1030" spans="1:10">
      <c r="A1030" s="26" t="s">
        <v>1405</v>
      </c>
      <c r="E1030" s="26" t="s">
        <v>5581</v>
      </c>
      <c r="F1030" s="39" t="str">
        <f t="shared" si="64"/>
        <v/>
      </c>
      <c r="G1030" s="39" t="str">
        <f t="shared" si="65"/>
        <v/>
      </c>
      <c r="H1030" s="39" t="str">
        <f t="shared" si="66"/>
        <v/>
      </c>
      <c r="I1030" s="39" t="str">
        <f t="shared" si="67"/>
        <v/>
      </c>
      <c r="J1030" s="39" t="str">
        <f>""</f>
        <v/>
      </c>
    </row>
    <row r="1031" spans="1:10">
      <c r="A1031" s="26" t="s">
        <v>1406</v>
      </c>
      <c r="E1031" s="26" t="s">
        <v>5581</v>
      </c>
      <c r="F1031" s="39" t="str">
        <f t="shared" si="64"/>
        <v/>
      </c>
      <c r="G1031" s="39" t="str">
        <f t="shared" si="65"/>
        <v/>
      </c>
      <c r="H1031" s="39" t="str">
        <f t="shared" si="66"/>
        <v/>
      </c>
      <c r="I1031" s="39" t="str">
        <f t="shared" si="67"/>
        <v/>
      </c>
      <c r="J1031" s="39" t="str">
        <f>""</f>
        <v/>
      </c>
    </row>
    <row r="1032" spans="1:10">
      <c r="A1032" s="26" t="s">
        <v>1409</v>
      </c>
      <c r="E1032" s="26" t="s">
        <v>5581</v>
      </c>
      <c r="F1032" s="39" t="str">
        <f t="shared" si="64"/>
        <v/>
      </c>
      <c r="G1032" s="39" t="str">
        <f t="shared" si="65"/>
        <v/>
      </c>
      <c r="H1032" s="39" t="str">
        <f t="shared" si="66"/>
        <v/>
      </c>
      <c r="I1032" s="39" t="str">
        <f t="shared" si="67"/>
        <v/>
      </c>
      <c r="J1032" s="39" t="str">
        <f>""</f>
        <v/>
      </c>
    </row>
    <row r="1033" spans="1:10">
      <c r="A1033" s="26" t="s">
        <v>1411</v>
      </c>
      <c r="E1033" s="26" t="s">
        <v>5581</v>
      </c>
      <c r="F1033" s="39" t="str">
        <f t="shared" si="64"/>
        <v/>
      </c>
      <c r="G1033" s="39" t="str">
        <f t="shared" si="65"/>
        <v/>
      </c>
      <c r="H1033" s="39" t="str">
        <f t="shared" si="66"/>
        <v/>
      </c>
      <c r="I1033" s="39" t="str">
        <f t="shared" si="67"/>
        <v/>
      </c>
      <c r="J1033" s="39" t="str">
        <f>""</f>
        <v/>
      </c>
    </row>
    <row r="1034" spans="1:10">
      <c r="A1034" s="26" t="s">
        <v>1414</v>
      </c>
      <c r="E1034" s="26" t="s">
        <v>5581</v>
      </c>
      <c r="F1034" s="39" t="str">
        <f t="shared" si="64"/>
        <v/>
      </c>
      <c r="G1034" s="39" t="str">
        <f t="shared" si="65"/>
        <v/>
      </c>
      <c r="H1034" s="39" t="str">
        <f t="shared" si="66"/>
        <v/>
      </c>
      <c r="I1034" s="39" t="str">
        <f t="shared" si="67"/>
        <v/>
      </c>
      <c r="J1034" s="39" t="str">
        <f>""</f>
        <v/>
      </c>
    </row>
    <row r="1035" spans="1:10">
      <c r="A1035" s="26" t="s">
        <v>1415</v>
      </c>
      <c r="E1035" s="26" t="s">
        <v>5581</v>
      </c>
      <c r="F1035" s="39" t="str">
        <f t="shared" si="64"/>
        <v/>
      </c>
      <c r="G1035" s="39" t="str">
        <f t="shared" si="65"/>
        <v/>
      </c>
      <c r="H1035" s="39" t="str">
        <f t="shared" si="66"/>
        <v/>
      </c>
      <c r="I1035" s="39" t="str">
        <f t="shared" si="67"/>
        <v/>
      </c>
      <c r="J1035" s="39" t="str">
        <f>""</f>
        <v/>
      </c>
    </row>
    <row r="1036" spans="1:10">
      <c r="A1036" s="26" t="s">
        <v>1418</v>
      </c>
      <c r="E1036" s="26" t="s">
        <v>5581</v>
      </c>
      <c r="F1036" s="39" t="str">
        <f t="shared" si="64"/>
        <v/>
      </c>
      <c r="G1036" s="39" t="str">
        <f t="shared" si="65"/>
        <v/>
      </c>
      <c r="H1036" s="39" t="str">
        <f t="shared" si="66"/>
        <v/>
      </c>
      <c r="I1036" s="39" t="str">
        <f t="shared" si="67"/>
        <v/>
      </c>
      <c r="J1036" s="39" t="str">
        <f>""</f>
        <v/>
      </c>
    </row>
    <row r="1037" spans="1:10">
      <c r="A1037" s="26" t="s">
        <v>1419</v>
      </c>
      <c r="E1037" s="26" t="s">
        <v>5581</v>
      </c>
      <c r="F1037" s="39" t="str">
        <f t="shared" si="64"/>
        <v/>
      </c>
      <c r="G1037" s="39" t="str">
        <f t="shared" si="65"/>
        <v/>
      </c>
      <c r="H1037" s="39" t="str">
        <f t="shared" si="66"/>
        <v/>
      </c>
      <c r="I1037" s="39" t="str">
        <f t="shared" si="67"/>
        <v/>
      </c>
      <c r="J1037" s="39" t="str">
        <f>""</f>
        <v/>
      </c>
    </row>
    <row r="1038" spans="1:10">
      <c r="A1038" s="26" t="s">
        <v>1421</v>
      </c>
      <c r="E1038" s="26" t="s">
        <v>5581</v>
      </c>
      <c r="F1038" s="39" t="str">
        <f t="shared" si="64"/>
        <v/>
      </c>
      <c r="G1038" s="39" t="str">
        <f t="shared" si="65"/>
        <v/>
      </c>
      <c r="H1038" s="39" t="str">
        <f t="shared" si="66"/>
        <v/>
      </c>
      <c r="I1038" s="39" t="str">
        <f t="shared" si="67"/>
        <v/>
      </c>
      <c r="J1038" s="39" t="str">
        <f>""</f>
        <v/>
      </c>
    </row>
    <row r="1039" spans="1:10">
      <c r="A1039" s="26" t="s">
        <v>3399</v>
      </c>
      <c r="E1039" s="26" t="s">
        <v>5581</v>
      </c>
      <c r="F1039" s="39" t="str">
        <f t="shared" si="64"/>
        <v/>
      </c>
      <c r="G1039" s="39" t="str">
        <f t="shared" si="65"/>
        <v/>
      </c>
      <c r="H1039" s="39" t="str">
        <f t="shared" si="66"/>
        <v/>
      </c>
      <c r="I1039" s="39" t="str">
        <f t="shared" si="67"/>
        <v/>
      </c>
      <c r="J1039" s="39" t="str">
        <f>""</f>
        <v/>
      </c>
    </row>
    <row r="1040" spans="1:10">
      <c r="A1040" s="26" t="s">
        <v>3402</v>
      </c>
      <c r="E1040" s="26" t="s">
        <v>5581</v>
      </c>
      <c r="F1040" s="39" t="str">
        <f t="shared" si="64"/>
        <v/>
      </c>
      <c r="G1040" s="39" t="str">
        <f t="shared" si="65"/>
        <v/>
      </c>
      <c r="H1040" s="39" t="str">
        <f t="shared" si="66"/>
        <v/>
      </c>
      <c r="I1040" s="39" t="str">
        <f t="shared" si="67"/>
        <v/>
      </c>
      <c r="J1040" s="39" t="str">
        <f>""</f>
        <v/>
      </c>
    </row>
    <row r="1041" spans="1:10">
      <c r="A1041" s="26" t="s">
        <v>1423</v>
      </c>
      <c r="E1041" s="26" t="s">
        <v>5581</v>
      </c>
      <c r="F1041" s="39" t="str">
        <f t="shared" si="64"/>
        <v/>
      </c>
      <c r="G1041" s="39" t="str">
        <f t="shared" si="65"/>
        <v/>
      </c>
      <c r="H1041" s="39" t="str">
        <f t="shared" si="66"/>
        <v/>
      </c>
      <c r="I1041" s="39" t="str">
        <f t="shared" si="67"/>
        <v/>
      </c>
      <c r="J1041" s="39" t="str">
        <f>""</f>
        <v/>
      </c>
    </row>
    <row r="1042" spans="1:10">
      <c r="A1042" s="26" t="s">
        <v>1426</v>
      </c>
      <c r="E1042" s="26" t="s">
        <v>5581</v>
      </c>
      <c r="F1042" s="39" t="str">
        <f t="shared" si="64"/>
        <v/>
      </c>
      <c r="G1042" s="39" t="str">
        <f t="shared" si="65"/>
        <v/>
      </c>
      <c r="H1042" s="39" t="str">
        <f t="shared" si="66"/>
        <v/>
      </c>
      <c r="I1042" s="39" t="str">
        <f t="shared" si="67"/>
        <v/>
      </c>
      <c r="J1042" s="39" t="str">
        <f>""</f>
        <v/>
      </c>
    </row>
    <row r="1043" spans="1:10">
      <c r="A1043" s="26" t="s">
        <v>1427</v>
      </c>
      <c r="E1043" s="26" t="s">
        <v>5581</v>
      </c>
      <c r="F1043" s="39" t="str">
        <f t="shared" si="64"/>
        <v/>
      </c>
      <c r="G1043" s="39" t="str">
        <f t="shared" si="65"/>
        <v/>
      </c>
      <c r="H1043" s="39" t="str">
        <f t="shared" si="66"/>
        <v/>
      </c>
      <c r="I1043" s="39" t="str">
        <f t="shared" si="67"/>
        <v/>
      </c>
      <c r="J1043" s="39" t="str">
        <f>""</f>
        <v/>
      </c>
    </row>
    <row r="1044" spans="1:10">
      <c r="A1044" s="26" t="s">
        <v>1428</v>
      </c>
      <c r="E1044" s="26" t="s">
        <v>5581</v>
      </c>
      <c r="F1044" s="39" t="str">
        <f t="shared" si="64"/>
        <v/>
      </c>
      <c r="G1044" s="39" t="str">
        <f t="shared" si="65"/>
        <v/>
      </c>
      <c r="H1044" s="39" t="str">
        <f t="shared" si="66"/>
        <v/>
      </c>
      <c r="I1044" s="39" t="str">
        <f t="shared" si="67"/>
        <v/>
      </c>
      <c r="J1044" s="39" t="str">
        <f>""</f>
        <v/>
      </c>
    </row>
    <row r="1045" spans="1:10">
      <c r="A1045" s="26" t="s">
        <v>1431</v>
      </c>
      <c r="E1045" s="26" t="s">
        <v>5581</v>
      </c>
      <c r="F1045" s="39" t="str">
        <f t="shared" si="64"/>
        <v/>
      </c>
      <c r="G1045" s="39" t="str">
        <f t="shared" si="65"/>
        <v/>
      </c>
      <c r="H1045" s="39" t="str">
        <f t="shared" si="66"/>
        <v/>
      </c>
      <c r="I1045" s="39" t="str">
        <f t="shared" si="67"/>
        <v/>
      </c>
      <c r="J1045" s="39" t="str">
        <f>""</f>
        <v/>
      </c>
    </row>
    <row r="1046" spans="1:10">
      <c r="A1046" s="26" t="s">
        <v>3403</v>
      </c>
      <c r="E1046" s="26" t="s">
        <v>5581</v>
      </c>
      <c r="F1046" s="39" t="str">
        <f t="shared" si="64"/>
        <v/>
      </c>
      <c r="G1046" s="39" t="str">
        <f t="shared" si="65"/>
        <v/>
      </c>
      <c r="H1046" s="39" t="str">
        <f t="shared" si="66"/>
        <v/>
      </c>
      <c r="I1046" s="39" t="str">
        <f t="shared" si="67"/>
        <v/>
      </c>
      <c r="J1046" s="39" t="str">
        <f>""</f>
        <v/>
      </c>
    </row>
    <row r="1047" spans="1:10">
      <c r="A1047" s="26" t="s">
        <v>3405</v>
      </c>
      <c r="E1047" s="26" t="s">
        <v>5581</v>
      </c>
      <c r="F1047" s="39" t="str">
        <f t="shared" si="64"/>
        <v/>
      </c>
      <c r="G1047" s="39" t="str">
        <f t="shared" si="65"/>
        <v/>
      </c>
      <c r="H1047" s="39" t="str">
        <f t="shared" si="66"/>
        <v/>
      </c>
      <c r="I1047" s="39" t="str">
        <f t="shared" si="67"/>
        <v/>
      </c>
      <c r="J1047" s="39" t="str">
        <f>""</f>
        <v/>
      </c>
    </row>
    <row r="1048" spans="1:10">
      <c r="A1048" s="26" t="s">
        <v>5940</v>
      </c>
      <c r="E1048" s="26" t="s">
        <v>3790</v>
      </c>
      <c r="F1048" s="39" t="str">
        <f t="shared" si="64"/>
        <v/>
      </c>
      <c r="G1048" s="39" t="str">
        <f t="shared" si="65"/>
        <v/>
      </c>
      <c r="H1048" s="39" t="str">
        <f t="shared" si="66"/>
        <v/>
      </c>
      <c r="I1048" s="39" t="str">
        <f t="shared" si="67"/>
        <v/>
      </c>
      <c r="J1048" s="39" t="str">
        <f>""</f>
        <v/>
      </c>
    </row>
    <row r="1049" spans="1:10">
      <c r="A1049" s="26" t="s">
        <v>1433</v>
      </c>
      <c r="E1049" s="26" t="s">
        <v>5581</v>
      </c>
      <c r="F1049" s="39" t="str">
        <f t="shared" si="64"/>
        <v/>
      </c>
      <c r="G1049" s="39" t="str">
        <f t="shared" si="65"/>
        <v/>
      </c>
      <c r="H1049" s="39" t="str">
        <f t="shared" si="66"/>
        <v/>
      </c>
      <c r="I1049" s="39" t="str">
        <f t="shared" si="67"/>
        <v/>
      </c>
      <c r="J1049" s="39" t="str">
        <f>""</f>
        <v/>
      </c>
    </row>
    <row r="1050" spans="1:10">
      <c r="A1050" s="26" t="s">
        <v>1435</v>
      </c>
      <c r="C1050" s="39">
        <v>500</v>
      </c>
      <c r="E1050" s="26" t="s">
        <v>5581</v>
      </c>
      <c r="F1050" s="39" t="str">
        <f t="shared" si="64"/>
        <v/>
      </c>
      <c r="G1050" s="39" t="str">
        <f t="shared" si="65"/>
        <v/>
      </c>
      <c r="H1050" s="39">
        <f t="shared" si="66"/>
        <v>500</v>
      </c>
      <c r="I1050" s="39" t="str">
        <f t="shared" si="67"/>
        <v/>
      </c>
      <c r="J1050" s="39" t="str">
        <f>""</f>
        <v/>
      </c>
    </row>
    <row r="1051" spans="1:10">
      <c r="A1051" s="26" t="s">
        <v>1436</v>
      </c>
      <c r="E1051" s="26" t="s">
        <v>5581</v>
      </c>
      <c r="F1051" s="39" t="str">
        <f t="shared" si="64"/>
        <v/>
      </c>
      <c r="G1051" s="39" t="str">
        <f t="shared" si="65"/>
        <v/>
      </c>
      <c r="H1051" s="39" t="str">
        <f t="shared" si="66"/>
        <v/>
      </c>
      <c r="I1051" s="39" t="str">
        <f t="shared" si="67"/>
        <v/>
      </c>
      <c r="J1051" s="39" t="str">
        <f>""</f>
        <v/>
      </c>
    </row>
    <row r="1052" spans="1:10">
      <c r="A1052" s="26" t="s">
        <v>1438</v>
      </c>
      <c r="E1052" s="26" t="s">
        <v>5581</v>
      </c>
      <c r="F1052" s="39" t="str">
        <f t="shared" si="64"/>
        <v/>
      </c>
      <c r="G1052" s="39" t="str">
        <f t="shared" si="65"/>
        <v/>
      </c>
      <c r="H1052" s="39" t="str">
        <f t="shared" si="66"/>
        <v/>
      </c>
      <c r="I1052" s="39" t="str">
        <f t="shared" si="67"/>
        <v/>
      </c>
      <c r="J1052" s="39" t="str">
        <f>""</f>
        <v/>
      </c>
    </row>
    <row r="1053" spans="1:10">
      <c r="A1053" s="26" t="s">
        <v>1439</v>
      </c>
      <c r="E1053" s="26" t="s">
        <v>5581</v>
      </c>
      <c r="F1053" s="39" t="str">
        <f t="shared" si="64"/>
        <v/>
      </c>
      <c r="G1053" s="39" t="str">
        <f t="shared" si="65"/>
        <v/>
      </c>
      <c r="H1053" s="39" t="str">
        <f t="shared" si="66"/>
        <v/>
      </c>
      <c r="I1053" s="39" t="str">
        <f t="shared" si="67"/>
        <v/>
      </c>
      <c r="J1053" s="39" t="str">
        <f>""</f>
        <v/>
      </c>
    </row>
    <row r="1054" spans="1:10">
      <c r="A1054" s="26" t="s">
        <v>1441</v>
      </c>
      <c r="E1054" s="26" t="s">
        <v>5581</v>
      </c>
      <c r="F1054" s="39" t="str">
        <f t="shared" si="64"/>
        <v/>
      </c>
      <c r="G1054" s="39" t="str">
        <f t="shared" si="65"/>
        <v/>
      </c>
      <c r="H1054" s="39" t="str">
        <f t="shared" si="66"/>
        <v/>
      </c>
      <c r="I1054" s="39" t="str">
        <f t="shared" si="67"/>
        <v/>
      </c>
      <c r="J1054" s="39" t="str">
        <f>""</f>
        <v/>
      </c>
    </row>
    <row r="1055" spans="1:10">
      <c r="A1055" s="26" t="s">
        <v>1442</v>
      </c>
      <c r="E1055" s="26" t="s">
        <v>5581</v>
      </c>
      <c r="F1055" s="39" t="str">
        <f t="shared" si="64"/>
        <v/>
      </c>
      <c r="G1055" s="39" t="str">
        <f t="shared" si="65"/>
        <v/>
      </c>
      <c r="H1055" s="39" t="str">
        <f t="shared" si="66"/>
        <v/>
      </c>
      <c r="I1055" s="39" t="str">
        <f t="shared" si="67"/>
        <v/>
      </c>
      <c r="J1055" s="39" t="str">
        <f>""</f>
        <v/>
      </c>
    </row>
    <row r="1056" spans="1:10">
      <c r="A1056" s="26" t="s">
        <v>1445</v>
      </c>
      <c r="E1056" s="26" t="s">
        <v>5581</v>
      </c>
      <c r="F1056" s="39" t="str">
        <f t="shared" si="64"/>
        <v/>
      </c>
      <c r="G1056" s="39" t="str">
        <f t="shared" si="65"/>
        <v/>
      </c>
      <c r="H1056" s="39" t="str">
        <f t="shared" si="66"/>
        <v/>
      </c>
      <c r="I1056" s="39" t="str">
        <f t="shared" si="67"/>
        <v/>
      </c>
      <c r="J1056" s="39" t="str">
        <f>""</f>
        <v/>
      </c>
    </row>
    <row r="1057" spans="1:10">
      <c r="A1057" s="26" t="s">
        <v>1446</v>
      </c>
      <c r="E1057" s="26" t="s">
        <v>5581</v>
      </c>
      <c r="F1057" s="39" t="str">
        <f t="shared" si="64"/>
        <v/>
      </c>
      <c r="G1057" s="39" t="str">
        <f t="shared" si="65"/>
        <v/>
      </c>
      <c r="H1057" s="39" t="str">
        <f t="shared" si="66"/>
        <v/>
      </c>
      <c r="I1057" s="39" t="str">
        <f t="shared" si="67"/>
        <v/>
      </c>
      <c r="J1057" s="39" t="str">
        <f>""</f>
        <v/>
      </c>
    </row>
    <row r="1058" spans="1:10">
      <c r="A1058" s="26" t="s">
        <v>1447</v>
      </c>
      <c r="E1058" s="26" t="s">
        <v>5581</v>
      </c>
      <c r="F1058" s="39" t="str">
        <f t="shared" si="64"/>
        <v/>
      </c>
      <c r="G1058" s="39" t="str">
        <f t="shared" si="65"/>
        <v/>
      </c>
      <c r="H1058" s="39" t="str">
        <f t="shared" si="66"/>
        <v/>
      </c>
      <c r="I1058" s="39" t="str">
        <f t="shared" si="67"/>
        <v/>
      </c>
      <c r="J1058" s="39" t="str">
        <f>""</f>
        <v/>
      </c>
    </row>
    <row r="1059" spans="1:10">
      <c r="A1059" s="26" t="s">
        <v>1450</v>
      </c>
      <c r="E1059" s="26" t="s">
        <v>5581</v>
      </c>
      <c r="F1059" s="39" t="str">
        <f t="shared" si="64"/>
        <v/>
      </c>
      <c r="G1059" s="39" t="str">
        <f t="shared" si="65"/>
        <v/>
      </c>
      <c r="H1059" s="39" t="str">
        <f t="shared" si="66"/>
        <v/>
      </c>
      <c r="I1059" s="39" t="str">
        <f t="shared" si="67"/>
        <v/>
      </c>
      <c r="J1059" s="39" t="str">
        <f>""</f>
        <v/>
      </c>
    </row>
    <row r="1060" spans="1:10">
      <c r="A1060" s="26" t="s">
        <v>6426</v>
      </c>
      <c r="E1060" s="26" t="s">
        <v>3790</v>
      </c>
      <c r="F1060" s="39" t="str">
        <f t="shared" si="64"/>
        <v/>
      </c>
      <c r="G1060" s="39" t="str">
        <f t="shared" si="65"/>
        <v/>
      </c>
      <c r="H1060" s="39" t="str">
        <f t="shared" si="66"/>
        <v/>
      </c>
      <c r="I1060" s="39" t="str">
        <f t="shared" si="67"/>
        <v/>
      </c>
      <c r="J1060" s="39" t="str">
        <f>""</f>
        <v/>
      </c>
    </row>
    <row r="1061" spans="1:10">
      <c r="A1061" s="26" t="s">
        <v>1451</v>
      </c>
      <c r="E1061" s="26" t="s">
        <v>5581</v>
      </c>
      <c r="F1061" s="39" t="str">
        <f t="shared" si="64"/>
        <v/>
      </c>
      <c r="G1061" s="39" t="str">
        <f t="shared" si="65"/>
        <v/>
      </c>
      <c r="H1061" s="39" t="str">
        <f t="shared" si="66"/>
        <v/>
      </c>
      <c r="I1061" s="39" t="str">
        <f t="shared" si="67"/>
        <v/>
      </c>
      <c r="J1061" s="39" t="str">
        <f>""</f>
        <v/>
      </c>
    </row>
    <row r="1062" spans="1:10">
      <c r="A1062" s="26" t="s">
        <v>1453</v>
      </c>
      <c r="E1062" s="26" t="s">
        <v>5581</v>
      </c>
      <c r="F1062" s="39" t="str">
        <f t="shared" si="64"/>
        <v/>
      </c>
      <c r="G1062" s="39" t="str">
        <f t="shared" si="65"/>
        <v/>
      </c>
      <c r="H1062" s="39" t="str">
        <f t="shared" si="66"/>
        <v/>
      </c>
      <c r="I1062" s="39" t="str">
        <f t="shared" si="67"/>
        <v/>
      </c>
      <c r="J1062" s="39" t="str">
        <f>""</f>
        <v/>
      </c>
    </row>
    <row r="1063" spans="1:10">
      <c r="A1063" s="26" t="s">
        <v>5857</v>
      </c>
      <c r="E1063" s="26" t="s">
        <v>3790</v>
      </c>
      <c r="F1063" s="39" t="str">
        <f t="shared" si="64"/>
        <v/>
      </c>
      <c r="G1063" s="39" t="str">
        <f t="shared" si="65"/>
        <v/>
      </c>
      <c r="H1063" s="39" t="str">
        <f t="shared" si="66"/>
        <v/>
      </c>
      <c r="I1063" s="39" t="str">
        <f t="shared" si="67"/>
        <v/>
      </c>
      <c r="J1063" s="39" t="str">
        <f>""</f>
        <v/>
      </c>
    </row>
    <row r="1064" spans="1:10">
      <c r="A1064" s="26" t="s">
        <v>1454</v>
      </c>
      <c r="E1064" s="26" t="s">
        <v>5581</v>
      </c>
      <c r="F1064" s="39" t="str">
        <f t="shared" si="64"/>
        <v/>
      </c>
      <c r="G1064" s="39" t="str">
        <f t="shared" si="65"/>
        <v/>
      </c>
      <c r="H1064" s="39" t="str">
        <f t="shared" si="66"/>
        <v/>
      </c>
      <c r="I1064" s="39" t="str">
        <f t="shared" si="67"/>
        <v/>
      </c>
      <c r="J1064" s="39" t="str">
        <f>""</f>
        <v/>
      </c>
    </row>
    <row r="1065" spans="1:10">
      <c r="A1065" s="26" t="s">
        <v>1456</v>
      </c>
      <c r="E1065" s="26" t="s">
        <v>5581</v>
      </c>
      <c r="F1065" s="39" t="str">
        <f t="shared" si="64"/>
        <v/>
      </c>
      <c r="G1065" s="39" t="str">
        <f t="shared" si="65"/>
        <v/>
      </c>
      <c r="H1065" s="39" t="str">
        <f t="shared" si="66"/>
        <v/>
      </c>
      <c r="I1065" s="39" t="str">
        <f t="shared" si="67"/>
        <v/>
      </c>
      <c r="J1065" s="39" t="str">
        <f>""</f>
        <v/>
      </c>
    </row>
    <row r="1066" spans="1:10">
      <c r="A1066" s="26" t="s">
        <v>1457</v>
      </c>
      <c r="E1066" s="26" t="s">
        <v>5581</v>
      </c>
      <c r="F1066" s="39" t="str">
        <f t="shared" si="64"/>
        <v/>
      </c>
      <c r="G1066" s="39" t="str">
        <f t="shared" si="65"/>
        <v/>
      </c>
      <c r="H1066" s="39" t="str">
        <f t="shared" si="66"/>
        <v/>
      </c>
      <c r="I1066" s="39" t="str">
        <f t="shared" si="67"/>
        <v/>
      </c>
      <c r="J1066" s="39" t="str">
        <f>""</f>
        <v/>
      </c>
    </row>
    <row r="1067" spans="1:10">
      <c r="A1067" s="26" t="s">
        <v>1459</v>
      </c>
      <c r="E1067" s="26" t="s">
        <v>5581</v>
      </c>
      <c r="F1067" s="39" t="str">
        <f t="shared" si="64"/>
        <v/>
      </c>
      <c r="G1067" s="39" t="str">
        <f t="shared" si="65"/>
        <v/>
      </c>
      <c r="H1067" s="39" t="str">
        <f t="shared" si="66"/>
        <v/>
      </c>
      <c r="I1067" s="39" t="str">
        <f t="shared" si="67"/>
        <v/>
      </c>
      <c r="J1067" s="39" t="str">
        <f>""</f>
        <v/>
      </c>
    </row>
    <row r="1068" spans="1:10">
      <c r="A1068" s="26" t="s">
        <v>1461</v>
      </c>
      <c r="E1068" s="26" t="s">
        <v>5581</v>
      </c>
      <c r="F1068" s="39" t="str">
        <f t="shared" si="64"/>
        <v/>
      </c>
      <c r="G1068" s="39" t="str">
        <f t="shared" si="65"/>
        <v/>
      </c>
      <c r="H1068" s="39" t="str">
        <f t="shared" si="66"/>
        <v/>
      </c>
      <c r="I1068" s="39" t="str">
        <f t="shared" si="67"/>
        <v/>
      </c>
      <c r="J1068" s="39" t="str">
        <f>""</f>
        <v/>
      </c>
    </row>
    <row r="1069" spans="1:10">
      <c r="A1069" s="26" t="s">
        <v>1463</v>
      </c>
      <c r="E1069" s="26" t="s">
        <v>5581</v>
      </c>
      <c r="F1069" s="39" t="str">
        <f t="shared" si="64"/>
        <v/>
      </c>
      <c r="G1069" s="39" t="str">
        <f t="shared" si="65"/>
        <v/>
      </c>
      <c r="H1069" s="39" t="str">
        <f t="shared" si="66"/>
        <v/>
      </c>
      <c r="I1069" s="39" t="str">
        <f t="shared" si="67"/>
        <v/>
      </c>
      <c r="J1069" s="39" t="str">
        <f>""</f>
        <v/>
      </c>
    </row>
    <row r="1070" spans="1:10">
      <c r="A1070" s="26" t="s">
        <v>2606</v>
      </c>
      <c r="E1070" s="26" t="s">
        <v>5581</v>
      </c>
      <c r="F1070" s="39" t="str">
        <f t="shared" si="64"/>
        <v/>
      </c>
      <c r="G1070" s="39" t="str">
        <f t="shared" si="65"/>
        <v/>
      </c>
      <c r="H1070" s="39" t="str">
        <f t="shared" si="66"/>
        <v/>
      </c>
      <c r="I1070" s="39" t="str">
        <f t="shared" si="67"/>
        <v/>
      </c>
      <c r="J1070" s="39" t="str">
        <f>""</f>
        <v/>
      </c>
    </row>
    <row r="1071" spans="1:10">
      <c r="A1071" s="26" t="s">
        <v>2609</v>
      </c>
      <c r="E1071" s="26" t="s">
        <v>5581</v>
      </c>
      <c r="F1071" s="39" t="str">
        <f t="shared" si="64"/>
        <v/>
      </c>
      <c r="G1071" s="39" t="str">
        <f t="shared" si="65"/>
        <v/>
      </c>
      <c r="H1071" s="39" t="str">
        <f t="shared" si="66"/>
        <v/>
      </c>
      <c r="I1071" s="39" t="str">
        <f t="shared" si="67"/>
        <v/>
      </c>
      <c r="J1071" s="39" t="str">
        <f>""</f>
        <v/>
      </c>
    </row>
    <row r="1072" spans="1:10">
      <c r="A1072" s="26" t="s">
        <v>2611</v>
      </c>
      <c r="E1072" s="26" t="s">
        <v>3790</v>
      </c>
      <c r="F1072" s="39" t="str">
        <f t="shared" si="64"/>
        <v/>
      </c>
      <c r="G1072" s="39" t="str">
        <f t="shared" si="65"/>
        <v/>
      </c>
      <c r="H1072" s="39" t="str">
        <f t="shared" si="66"/>
        <v/>
      </c>
      <c r="I1072" s="39" t="str">
        <f t="shared" si="67"/>
        <v/>
      </c>
      <c r="J1072" s="39" t="str">
        <f>""</f>
        <v/>
      </c>
    </row>
    <row r="1073" spans="1:10">
      <c r="A1073" s="26" t="s">
        <v>2613</v>
      </c>
      <c r="E1073" s="26" t="s">
        <v>5581</v>
      </c>
      <c r="F1073" s="39" t="str">
        <f t="shared" si="64"/>
        <v/>
      </c>
      <c r="G1073" s="39" t="str">
        <f t="shared" si="65"/>
        <v/>
      </c>
      <c r="H1073" s="39" t="str">
        <f t="shared" si="66"/>
        <v/>
      </c>
      <c r="I1073" s="39" t="str">
        <f t="shared" si="67"/>
        <v/>
      </c>
      <c r="J1073" s="39" t="str">
        <f>""</f>
        <v/>
      </c>
    </row>
    <row r="1074" spans="1:10">
      <c r="A1074" s="26" t="s">
        <v>2615</v>
      </c>
      <c r="E1074" s="26" t="s">
        <v>5581</v>
      </c>
      <c r="F1074" s="39" t="str">
        <f t="shared" si="64"/>
        <v/>
      </c>
      <c r="G1074" s="39" t="str">
        <f t="shared" si="65"/>
        <v/>
      </c>
      <c r="H1074" s="39" t="str">
        <f t="shared" si="66"/>
        <v/>
      </c>
      <c r="I1074" s="39" t="str">
        <f t="shared" si="67"/>
        <v/>
      </c>
      <c r="J1074" s="39" t="str">
        <f>""</f>
        <v/>
      </c>
    </row>
    <row r="1075" spans="1:10">
      <c r="A1075" s="26" t="s">
        <v>2617</v>
      </c>
      <c r="E1075" s="26" t="s">
        <v>5581</v>
      </c>
      <c r="F1075" s="39" t="str">
        <f t="shared" si="64"/>
        <v/>
      </c>
      <c r="G1075" s="39" t="str">
        <f t="shared" si="65"/>
        <v/>
      </c>
      <c r="H1075" s="39" t="str">
        <f t="shared" si="66"/>
        <v/>
      </c>
      <c r="I1075" s="39" t="str">
        <f t="shared" si="67"/>
        <v/>
      </c>
      <c r="J1075" s="39" t="str">
        <f>""</f>
        <v/>
      </c>
    </row>
    <row r="1076" spans="1:10">
      <c r="A1076" s="26" t="s">
        <v>2619</v>
      </c>
      <c r="E1076" s="26" t="s">
        <v>5581</v>
      </c>
      <c r="F1076" s="39" t="str">
        <f t="shared" si="64"/>
        <v/>
      </c>
      <c r="G1076" s="39" t="str">
        <f t="shared" si="65"/>
        <v/>
      </c>
      <c r="H1076" s="39" t="str">
        <f t="shared" si="66"/>
        <v/>
      </c>
      <c r="I1076" s="39" t="str">
        <f t="shared" si="67"/>
        <v/>
      </c>
      <c r="J1076" s="39" t="str">
        <f>""</f>
        <v/>
      </c>
    </row>
    <row r="1077" spans="1:10">
      <c r="A1077" s="26" t="s">
        <v>2621</v>
      </c>
      <c r="E1077" s="26" t="s">
        <v>5581</v>
      </c>
      <c r="F1077" s="39" t="str">
        <f t="shared" si="64"/>
        <v/>
      </c>
      <c r="G1077" s="39" t="str">
        <f t="shared" si="65"/>
        <v/>
      </c>
      <c r="H1077" s="39" t="str">
        <f t="shared" si="66"/>
        <v/>
      </c>
      <c r="I1077" s="39" t="str">
        <f t="shared" si="67"/>
        <v/>
      </c>
      <c r="J1077" s="39" t="str">
        <f>""</f>
        <v/>
      </c>
    </row>
    <row r="1078" spans="1:10">
      <c r="A1078" s="26" t="s">
        <v>2623</v>
      </c>
      <c r="E1078" s="26" t="s">
        <v>5581</v>
      </c>
      <c r="F1078" s="39" t="str">
        <f t="shared" si="64"/>
        <v/>
      </c>
      <c r="G1078" s="39" t="str">
        <f t="shared" si="65"/>
        <v/>
      </c>
      <c r="H1078" s="39" t="str">
        <f t="shared" si="66"/>
        <v/>
      </c>
      <c r="I1078" s="39" t="str">
        <f t="shared" si="67"/>
        <v/>
      </c>
      <c r="J1078" s="39" t="str">
        <f>""</f>
        <v/>
      </c>
    </row>
    <row r="1079" spans="1:10">
      <c r="A1079" s="26" t="s">
        <v>2625</v>
      </c>
      <c r="E1079" s="26" t="s">
        <v>3790</v>
      </c>
      <c r="F1079" s="39" t="str">
        <f t="shared" si="64"/>
        <v/>
      </c>
      <c r="G1079" s="39" t="str">
        <f t="shared" si="65"/>
        <v/>
      </c>
      <c r="H1079" s="39" t="str">
        <f t="shared" si="66"/>
        <v/>
      </c>
      <c r="I1079" s="39" t="str">
        <f t="shared" si="67"/>
        <v/>
      </c>
      <c r="J1079" s="39" t="str">
        <f>""</f>
        <v/>
      </c>
    </row>
    <row r="1080" spans="1:10">
      <c r="A1080" s="26" t="s">
        <v>2628</v>
      </c>
      <c r="E1080" s="26" t="s">
        <v>3790</v>
      </c>
      <c r="F1080" s="39" t="str">
        <f t="shared" si="64"/>
        <v/>
      </c>
      <c r="G1080" s="39" t="str">
        <f t="shared" si="65"/>
        <v/>
      </c>
      <c r="H1080" s="39" t="str">
        <f t="shared" si="66"/>
        <v/>
      </c>
      <c r="I1080" s="39" t="str">
        <f t="shared" si="67"/>
        <v/>
      </c>
      <c r="J1080" s="39" t="str">
        <f>""</f>
        <v/>
      </c>
    </row>
    <row r="1081" spans="1:10">
      <c r="A1081" s="26" t="s">
        <v>2630</v>
      </c>
      <c r="E1081" s="26" t="s">
        <v>3790</v>
      </c>
      <c r="F1081" s="39" t="str">
        <f t="shared" si="64"/>
        <v/>
      </c>
      <c r="G1081" s="39" t="str">
        <f t="shared" si="65"/>
        <v/>
      </c>
      <c r="H1081" s="39" t="str">
        <f t="shared" si="66"/>
        <v/>
      </c>
      <c r="I1081" s="39" t="str">
        <f t="shared" si="67"/>
        <v/>
      </c>
      <c r="J1081" s="39" t="str">
        <f>""</f>
        <v/>
      </c>
    </row>
    <row r="1082" spans="1:10">
      <c r="A1082" s="26" t="s">
        <v>2632</v>
      </c>
      <c r="E1082" s="26" t="s">
        <v>3790</v>
      </c>
      <c r="F1082" s="39" t="str">
        <f t="shared" si="64"/>
        <v/>
      </c>
      <c r="G1082" s="39" t="str">
        <f t="shared" si="65"/>
        <v/>
      </c>
      <c r="H1082" s="39" t="str">
        <f t="shared" si="66"/>
        <v/>
      </c>
      <c r="I1082" s="39" t="str">
        <f t="shared" si="67"/>
        <v/>
      </c>
      <c r="J1082" s="39" t="str">
        <f>""</f>
        <v/>
      </c>
    </row>
    <row r="1083" spans="1:10">
      <c r="A1083" s="26" t="s">
        <v>2634</v>
      </c>
      <c r="E1083" s="26" t="s">
        <v>5581</v>
      </c>
      <c r="F1083" s="39" t="str">
        <f t="shared" si="64"/>
        <v/>
      </c>
      <c r="G1083" s="39" t="str">
        <f t="shared" si="65"/>
        <v/>
      </c>
      <c r="H1083" s="39" t="str">
        <f t="shared" si="66"/>
        <v/>
      </c>
      <c r="I1083" s="39" t="str">
        <f t="shared" si="67"/>
        <v/>
      </c>
      <c r="J1083" s="39" t="str">
        <f>""</f>
        <v/>
      </c>
    </row>
    <row r="1084" spans="1:10">
      <c r="A1084" s="26" t="s">
        <v>2637</v>
      </c>
      <c r="E1084" s="26" t="s">
        <v>5581</v>
      </c>
      <c r="F1084" s="39" t="str">
        <f t="shared" si="64"/>
        <v/>
      </c>
      <c r="G1084" s="39" t="str">
        <f t="shared" si="65"/>
        <v/>
      </c>
      <c r="H1084" s="39" t="str">
        <f t="shared" si="66"/>
        <v/>
      </c>
      <c r="I1084" s="39" t="str">
        <f t="shared" si="67"/>
        <v/>
      </c>
      <c r="J1084" s="39" t="str">
        <f>""</f>
        <v/>
      </c>
    </row>
    <row r="1085" spans="1:10">
      <c r="A1085" s="26" t="s">
        <v>2638</v>
      </c>
      <c r="E1085" s="26" t="s">
        <v>5581</v>
      </c>
      <c r="F1085" s="39" t="str">
        <f t="shared" si="64"/>
        <v/>
      </c>
      <c r="G1085" s="39" t="str">
        <f t="shared" si="65"/>
        <v/>
      </c>
      <c r="H1085" s="39" t="str">
        <f t="shared" si="66"/>
        <v/>
      </c>
      <c r="I1085" s="39" t="str">
        <f t="shared" si="67"/>
        <v/>
      </c>
      <c r="J1085" s="39" t="str">
        <f>""</f>
        <v/>
      </c>
    </row>
    <row r="1086" spans="1:10">
      <c r="A1086" s="26" t="s">
        <v>2641</v>
      </c>
      <c r="C1086" s="39">
        <v>50</v>
      </c>
      <c r="D1086" s="39" t="s">
        <v>3891</v>
      </c>
      <c r="E1086" s="26" t="s">
        <v>5581</v>
      </c>
      <c r="F1086" s="39">
        <f t="shared" si="64"/>
        <v>50</v>
      </c>
      <c r="G1086" s="39">
        <f t="shared" si="65"/>
        <v>50</v>
      </c>
      <c r="H1086" s="39">
        <f t="shared" si="66"/>
        <v>50</v>
      </c>
      <c r="I1086" s="39">
        <f t="shared" si="67"/>
        <v>50</v>
      </c>
      <c r="J1086" s="39" t="str">
        <f>""</f>
        <v/>
      </c>
    </row>
    <row r="1087" spans="1:10">
      <c r="A1087" s="26" t="s">
        <v>2644</v>
      </c>
      <c r="E1087" s="26" t="s">
        <v>5581</v>
      </c>
      <c r="F1087" s="39" t="str">
        <f t="shared" si="64"/>
        <v/>
      </c>
      <c r="G1087" s="39" t="str">
        <f t="shared" si="65"/>
        <v/>
      </c>
      <c r="H1087" s="39" t="str">
        <f t="shared" si="66"/>
        <v/>
      </c>
      <c r="I1087" s="39" t="str">
        <f t="shared" si="67"/>
        <v/>
      </c>
      <c r="J1087" s="39" t="str">
        <f>""</f>
        <v/>
      </c>
    </row>
    <row r="1088" spans="1:10">
      <c r="A1088" s="26" t="s">
        <v>2646</v>
      </c>
      <c r="E1088" s="26" t="s">
        <v>5581</v>
      </c>
      <c r="F1088" s="39" t="str">
        <f t="shared" si="64"/>
        <v/>
      </c>
      <c r="G1088" s="39" t="str">
        <f t="shared" si="65"/>
        <v/>
      </c>
      <c r="H1088" s="39" t="str">
        <f t="shared" si="66"/>
        <v/>
      </c>
      <c r="I1088" s="39" t="str">
        <f t="shared" si="67"/>
        <v/>
      </c>
      <c r="J1088" s="39" t="str">
        <f>""</f>
        <v/>
      </c>
    </row>
    <row r="1089" spans="1:10">
      <c r="A1089" s="26" t="s">
        <v>2647</v>
      </c>
      <c r="C1089" s="39">
        <v>25</v>
      </c>
      <c r="D1089" s="39" t="s">
        <v>3891</v>
      </c>
      <c r="E1089" s="26" t="s">
        <v>5581</v>
      </c>
      <c r="F1089" s="39">
        <f t="shared" si="64"/>
        <v>25</v>
      </c>
      <c r="G1089" s="39">
        <f t="shared" si="65"/>
        <v>25</v>
      </c>
      <c r="H1089" s="39">
        <f t="shared" si="66"/>
        <v>25</v>
      </c>
      <c r="I1089" s="39">
        <f t="shared" si="67"/>
        <v>25</v>
      </c>
      <c r="J1089" s="39" t="str">
        <f>""</f>
        <v/>
      </c>
    </row>
    <row r="1090" spans="1:10">
      <c r="A1090" s="26" t="s">
        <v>2649</v>
      </c>
      <c r="E1090" s="26" t="s">
        <v>5581</v>
      </c>
      <c r="F1090" s="39" t="str">
        <f t="shared" si="64"/>
        <v/>
      </c>
      <c r="G1090" s="39" t="str">
        <f t="shared" si="65"/>
        <v/>
      </c>
      <c r="H1090" s="39" t="str">
        <f t="shared" si="66"/>
        <v/>
      </c>
      <c r="I1090" s="39" t="str">
        <f t="shared" si="67"/>
        <v/>
      </c>
      <c r="J1090" s="39" t="str">
        <f>""</f>
        <v/>
      </c>
    </row>
    <row r="1091" spans="1:10">
      <c r="A1091" s="26" t="s">
        <v>2652</v>
      </c>
      <c r="E1091" s="26" t="s">
        <v>5581</v>
      </c>
      <c r="F1091" s="39" t="str">
        <f t="shared" ref="F1091:F1154" si="68">IF(C1091="","",IF(C1091&lt;99,C1091,""))</f>
        <v/>
      </c>
      <c r="G1091" s="39" t="str">
        <f t="shared" ref="G1091:G1154" si="69">IF(OR(F1091&lt;&gt;"",D1091&lt;&gt;""),C1091,"")</f>
        <v/>
      </c>
      <c r="H1091" s="39" t="str">
        <f t="shared" ref="H1091:H1154" si="70">IF(C1091="","",C1091)</f>
        <v/>
      </c>
      <c r="I1091" s="39" t="str">
        <f t="shared" ref="I1091:I1154" si="71">IF(AND(C1091&lt;&gt;"",D1091&lt;&gt;""),C1091,"")</f>
        <v/>
      </c>
      <c r="J1091" s="39" t="str">
        <f>""</f>
        <v/>
      </c>
    </row>
    <row r="1092" spans="1:10">
      <c r="A1092" s="26" t="s">
        <v>2654</v>
      </c>
      <c r="E1092" s="26" t="s">
        <v>5581</v>
      </c>
      <c r="F1092" s="39" t="str">
        <f t="shared" si="68"/>
        <v/>
      </c>
      <c r="G1092" s="39" t="str">
        <f t="shared" si="69"/>
        <v/>
      </c>
      <c r="H1092" s="39" t="str">
        <f t="shared" si="70"/>
        <v/>
      </c>
      <c r="I1092" s="39" t="str">
        <f t="shared" si="71"/>
        <v/>
      </c>
      <c r="J1092" s="39" t="str">
        <f>""</f>
        <v/>
      </c>
    </row>
    <row r="1093" spans="1:10">
      <c r="A1093" s="26" t="s">
        <v>2657</v>
      </c>
      <c r="E1093" s="26" t="s">
        <v>5581</v>
      </c>
      <c r="F1093" s="39" t="str">
        <f t="shared" si="68"/>
        <v/>
      </c>
      <c r="G1093" s="39" t="str">
        <f t="shared" si="69"/>
        <v/>
      </c>
      <c r="H1093" s="39" t="str">
        <f t="shared" si="70"/>
        <v/>
      </c>
      <c r="I1093" s="39" t="str">
        <f t="shared" si="71"/>
        <v/>
      </c>
      <c r="J1093" s="39" t="str">
        <f>""</f>
        <v/>
      </c>
    </row>
    <row r="1094" spans="1:10">
      <c r="A1094" s="26" t="s">
        <v>2659</v>
      </c>
      <c r="E1094" s="26" t="s">
        <v>5581</v>
      </c>
      <c r="F1094" s="39" t="str">
        <f t="shared" si="68"/>
        <v/>
      </c>
      <c r="G1094" s="39" t="str">
        <f t="shared" si="69"/>
        <v/>
      </c>
      <c r="H1094" s="39" t="str">
        <f t="shared" si="70"/>
        <v/>
      </c>
      <c r="I1094" s="39" t="str">
        <f t="shared" si="71"/>
        <v/>
      </c>
      <c r="J1094" s="39" t="str">
        <f>""</f>
        <v/>
      </c>
    </row>
    <row r="1095" spans="1:10">
      <c r="A1095" s="26" t="s">
        <v>2662</v>
      </c>
      <c r="E1095" s="26" t="s">
        <v>5581</v>
      </c>
      <c r="F1095" s="39" t="str">
        <f t="shared" si="68"/>
        <v/>
      </c>
      <c r="G1095" s="39" t="str">
        <f t="shared" si="69"/>
        <v/>
      </c>
      <c r="H1095" s="39" t="str">
        <f t="shared" si="70"/>
        <v/>
      </c>
      <c r="I1095" s="39" t="str">
        <f t="shared" si="71"/>
        <v/>
      </c>
      <c r="J1095" s="39" t="str">
        <f>""</f>
        <v/>
      </c>
    </row>
    <row r="1096" spans="1:10">
      <c r="A1096" s="26" t="s">
        <v>2664</v>
      </c>
      <c r="E1096" s="26" t="s">
        <v>5581</v>
      </c>
      <c r="F1096" s="39" t="str">
        <f t="shared" si="68"/>
        <v/>
      </c>
      <c r="G1096" s="39" t="str">
        <f t="shared" si="69"/>
        <v/>
      </c>
      <c r="H1096" s="39" t="str">
        <f t="shared" si="70"/>
        <v/>
      </c>
      <c r="I1096" s="39" t="str">
        <f t="shared" si="71"/>
        <v/>
      </c>
      <c r="J1096" s="39" t="str">
        <f>""</f>
        <v/>
      </c>
    </row>
    <row r="1097" spans="1:10">
      <c r="A1097" s="26" t="s">
        <v>2667</v>
      </c>
      <c r="E1097" s="26" t="s">
        <v>5581</v>
      </c>
      <c r="F1097" s="39" t="str">
        <f t="shared" si="68"/>
        <v/>
      </c>
      <c r="G1097" s="39" t="str">
        <f t="shared" si="69"/>
        <v/>
      </c>
      <c r="H1097" s="39" t="str">
        <f t="shared" si="70"/>
        <v/>
      </c>
      <c r="I1097" s="39" t="str">
        <f t="shared" si="71"/>
        <v/>
      </c>
      <c r="J1097" s="39" t="str">
        <f>""</f>
        <v/>
      </c>
    </row>
    <row r="1098" spans="1:10">
      <c r="A1098" s="26" t="s">
        <v>6181</v>
      </c>
      <c r="E1098" s="26" t="s">
        <v>3790</v>
      </c>
      <c r="F1098" s="39" t="str">
        <f t="shared" si="68"/>
        <v/>
      </c>
      <c r="G1098" s="39" t="str">
        <f t="shared" si="69"/>
        <v/>
      </c>
      <c r="H1098" s="39" t="str">
        <f t="shared" si="70"/>
        <v/>
      </c>
      <c r="I1098" s="39" t="str">
        <f t="shared" si="71"/>
        <v/>
      </c>
      <c r="J1098" s="39" t="str">
        <f>""</f>
        <v/>
      </c>
    </row>
    <row r="1099" spans="1:10">
      <c r="A1099" s="26" t="s">
        <v>1464</v>
      </c>
      <c r="E1099" s="26" t="s">
        <v>5581</v>
      </c>
      <c r="F1099" s="39" t="str">
        <f t="shared" si="68"/>
        <v/>
      </c>
      <c r="G1099" s="39" t="str">
        <f t="shared" si="69"/>
        <v/>
      </c>
      <c r="H1099" s="39" t="str">
        <f t="shared" si="70"/>
        <v/>
      </c>
      <c r="I1099" s="39" t="str">
        <f t="shared" si="71"/>
        <v/>
      </c>
      <c r="J1099" s="39" t="str">
        <f>""</f>
        <v/>
      </c>
    </row>
    <row r="1100" spans="1:10">
      <c r="A1100" s="26" t="s">
        <v>1466</v>
      </c>
      <c r="E1100" s="26" t="s">
        <v>5581</v>
      </c>
      <c r="F1100" s="39" t="str">
        <f t="shared" si="68"/>
        <v/>
      </c>
      <c r="G1100" s="39" t="str">
        <f t="shared" si="69"/>
        <v/>
      </c>
      <c r="H1100" s="39" t="str">
        <f t="shared" si="70"/>
        <v/>
      </c>
      <c r="I1100" s="39" t="str">
        <f t="shared" si="71"/>
        <v/>
      </c>
      <c r="J1100" s="39" t="str">
        <f>""</f>
        <v/>
      </c>
    </row>
    <row r="1101" spans="1:10">
      <c r="A1101" s="26" t="s">
        <v>2669</v>
      </c>
      <c r="E1101" s="26" t="s">
        <v>5581</v>
      </c>
      <c r="F1101" s="39" t="str">
        <f t="shared" si="68"/>
        <v/>
      </c>
      <c r="G1101" s="39" t="str">
        <f t="shared" si="69"/>
        <v/>
      </c>
      <c r="H1101" s="39" t="str">
        <f t="shared" si="70"/>
        <v/>
      </c>
      <c r="I1101" s="39" t="str">
        <f t="shared" si="71"/>
        <v/>
      </c>
      <c r="J1101" s="39" t="str">
        <f>""</f>
        <v/>
      </c>
    </row>
    <row r="1102" spans="1:10">
      <c r="A1102" s="26" t="s">
        <v>2671</v>
      </c>
      <c r="E1102" s="26" t="s">
        <v>5581</v>
      </c>
      <c r="F1102" s="39" t="str">
        <f t="shared" si="68"/>
        <v/>
      </c>
      <c r="G1102" s="39" t="str">
        <f t="shared" si="69"/>
        <v/>
      </c>
      <c r="H1102" s="39" t="str">
        <f t="shared" si="70"/>
        <v/>
      </c>
      <c r="I1102" s="39" t="str">
        <f t="shared" si="71"/>
        <v/>
      </c>
      <c r="J1102" s="39" t="str">
        <f>""</f>
        <v/>
      </c>
    </row>
    <row r="1103" spans="1:10">
      <c r="A1103" s="26" t="s">
        <v>1467</v>
      </c>
      <c r="E1103" s="26" t="s">
        <v>5581</v>
      </c>
      <c r="F1103" s="39" t="str">
        <f t="shared" si="68"/>
        <v/>
      </c>
      <c r="G1103" s="39" t="str">
        <f t="shared" si="69"/>
        <v/>
      </c>
      <c r="H1103" s="39" t="str">
        <f t="shared" si="70"/>
        <v/>
      </c>
      <c r="I1103" s="39" t="str">
        <f t="shared" si="71"/>
        <v/>
      </c>
      <c r="J1103" s="39" t="str">
        <f>""</f>
        <v/>
      </c>
    </row>
    <row r="1104" spans="1:10">
      <c r="A1104" s="26" t="s">
        <v>1469</v>
      </c>
      <c r="E1104" s="26" t="s">
        <v>5581</v>
      </c>
      <c r="F1104" s="39" t="str">
        <f t="shared" si="68"/>
        <v/>
      </c>
      <c r="G1104" s="39" t="str">
        <f t="shared" si="69"/>
        <v/>
      </c>
      <c r="H1104" s="39" t="str">
        <f t="shared" si="70"/>
        <v/>
      </c>
      <c r="I1104" s="39" t="str">
        <f t="shared" si="71"/>
        <v/>
      </c>
      <c r="J1104" s="39" t="str">
        <f>""</f>
        <v/>
      </c>
    </row>
    <row r="1105" spans="1:10">
      <c r="A1105" s="26" t="s">
        <v>1470</v>
      </c>
      <c r="E1105" s="26" t="s">
        <v>5581</v>
      </c>
      <c r="F1105" s="39" t="str">
        <f t="shared" si="68"/>
        <v/>
      </c>
      <c r="G1105" s="39" t="str">
        <f t="shared" si="69"/>
        <v/>
      </c>
      <c r="H1105" s="39" t="str">
        <f t="shared" si="70"/>
        <v/>
      </c>
      <c r="I1105" s="39" t="str">
        <f t="shared" si="71"/>
        <v/>
      </c>
      <c r="J1105" s="39" t="str">
        <f>""</f>
        <v/>
      </c>
    </row>
    <row r="1106" spans="1:10">
      <c r="A1106" s="26" t="s">
        <v>1472</v>
      </c>
      <c r="E1106" s="26" t="s">
        <v>5581</v>
      </c>
      <c r="F1106" s="39" t="str">
        <f t="shared" si="68"/>
        <v/>
      </c>
      <c r="G1106" s="39" t="str">
        <f t="shared" si="69"/>
        <v/>
      </c>
      <c r="H1106" s="39" t="str">
        <f t="shared" si="70"/>
        <v/>
      </c>
      <c r="I1106" s="39" t="str">
        <f t="shared" si="71"/>
        <v/>
      </c>
      <c r="J1106" s="39" t="str">
        <f>""</f>
        <v/>
      </c>
    </row>
    <row r="1107" spans="1:10">
      <c r="A1107" s="26" t="s">
        <v>2673</v>
      </c>
      <c r="E1107" s="26" t="s">
        <v>5581</v>
      </c>
      <c r="F1107" s="39" t="str">
        <f t="shared" si="68"/>
        <v/>
      </c>
      <c r="G1107" s="39" t="str">
        <f t="shared" si="69"/>
        <v/>
      </c>
      <c r="H1107" s="39" t="str">
        <f t="shared" si="70"/>
        <v/>
      </c>
      <c r="I1107" s="39" t="str">
        <f t="shared" si="71"/>
        <v/>
      </c>
      <c r="J1107" s="39" t="str">
        <f>""</f>
        <v/>
      </c>
    </row>
    <row r="1108" spans="1:10">
      <c r="A1108" s="26" t="s">
        <v>2675</v>
      </c>
      <c r="E1108" s="26" t="s">
        <v>5581</v>
      </c>
      <c r="F1108" s="39" t="str">
        <f t="shared" si="68"/>
        <v/>
      </c>
      <c r="G1108" s="39" t="str">
        <f t="shared" si="69"/>
        <v/>
      </c>
      <c r="H1108" s="39" t="str">
        <f t="shared" si="70"/>
        <v/>
      </c>
      <c r="I1108" s="39" t="str">
        <f t="shared" si="71"/>
        <v/>
      </c>
      <c r="J1108" s="39" t="str">
        <f>""</f>
        <v/>
      </c>
    </row>
    <row r="1109" spans="1:10">
      <c r="A1109" s="26" t="s">
        <v>2676</v>
      </c>
      <c r="E1109" s="26" t="s">
        <v>5581</v>
      </c>
      <c r="F1109" s="39" t="str">
        <f t="shared" si="68"/>
        <v/>
      </c>
      <c r="G1109" s="39" t="str">
        <f t="shared" si="69"/>
        <v/>
      </c>
      <c r="H1109" s="39" t="str">
        <f t="shared" si="70"/>
        <v/>
      </c>
      <c r="I1109" s="39" t="str">
        <f t="shared" si="71"/>
        <v/>
      </c>
      <c r="J1109" s="39" t="str">
        <f>""</f>
        <v/>
      </c>
    </row>
    <row r="1110" spans="1:10">
      <c r="A1110" s="26" t="s">
        <v>2679</v>
      </c>
      <c r="E1110" s="26" t="s">
        <v>5581</v>
      </c>
      <c r="F1110" s="39" t="str">
        <f t="shared" si="68"/>
        <v/>
      </c>
      <c r="G1110" s="39" t="str">
        <f t="shared" si="69"/>
        <v/>
      </c>
      <c r="H1110" s="39" t="str">
        <f t="shared" si="70"/>
        <v/>
      </c>
      <c r="I1110" s="39" t="str">
        <f t="shared" si="71"/>
        <v/>
      </c>
      <c r="J1110" s="39" t="str">
        <f>""</f>
        <v/>
      </c>
    </row>
    <row r="1111" spans="1:10">
      <c r="A1111" s="26" t="s">
        <v>2681</v>
      </c>
      <c r="E1111" s="26" t="s">
        <v>5581</v>
      </c>
      <c r="F1111" s="39" t="str">
        <f t="shared" si="68"/>
        <v/>
      </c>
      <c r="G1111" s="39" t="str">
        <f t="shared" si="69"/>
        <v/>
      </c>
      <c r="H1111" s="39" t="str">
        <f t="shared" si="70"/>
        <v/>
      </c>
      <c r="I1111" s="39" t="str">
        <f t="shared" si="71"/>
        <v/>
      </c>
      <c r="J1111" s="39" t="str">
        <f>""</f>
        <v/>
      </c>
    </row>
    <row r="1112" spans="1:10">
      <c r="A1112" s="26" t="s">
        <v>2683</v>
      </c>
      <c r="E1112" s="26" t="s">
        <v>5581</v>
      </c>
      <c r="F1112" s="39" t="str">
        <f t="shared" si="68"/>
        <v/>
      </c>
      <c r="G1112" s="39" t="str">
        <f t="shared" si="69"/>
        <v/>
      </c>
      <c r="H1112" s="39" t="str">
        <f t="shared" si="70"/>
        <v/>
      </c>
      <c r="I1112" s="39" t="str">
        <f t="shared" si="71"/>
        <v/>
      </c>
      <c r="J1112" s="39" t="str">
        <f>""</f>
        <v/>
      </c>
    </row>
    <row r="1113" spans="1:10">
      <c r="A1113" s="26" t="s">
        <v>1473</v>
      </c>
      <c r="E1113" s="26" t="s">
        <v>5581</v>
      </c>
      <c r="F1113" s="39" t="str">
        <f t="shared" si="68"/>
        <v/>
      </c>
      <c r="G1113" s="39" t="str">
        <f t="shared" si="69"/>
        <v/>
      </c>
      <c r="H1113" s="39" t="str">
        <f t="shared" si="70"/>
        <v/>
      </c>
      <c r="I1113" s="39" t="str">
        <f t="shared" si="71"/>
        <v/>
      </c>
      <c r="J1113" s="39" t="str">
        <f>""</f>
        <v/>
      </c>
    </row>
    <row r="1114" spans="1:10">
      <c r="A1114" s="26" t="s">
        <v>1476</v>
      </c>
      <c r="E1114" s="26" t="s">
        <v>5581</v>
      </c>
      <c r="F1114" s="39" t="str">
        <f t="shared" si="68"/>
        <v/>
      </c>
      <c r="G1114" s="39" t="str">
        <f t="shared" si="69"/>
        <v/>
      </c>
      <c r="H1114" s="39" t="str">
        <f t="shared" si="70"/>
        <v/>
      </c>
      <c r="I1114" s="39" t="str">
        <f t="shared" si="71"/>
        <v/>
      </c>
      <c r="J1114" s="39" t="str">
        <f>""</f>
        <v/>
      </c>
    </row>
    <row r="1115" spans="1:10">
      <c r="A1115" s="26" t="s">
        <v>2685</v>
      </c>
      <c r="E1115" s="26" t="s">
        <v>5581</v>
      </c>
      <c r="F1115" s="39" t="str">
        <f t="shared" si="68"/>
        <v/>
      </c>
      <c r="G1115" s="39" t="str">
        <f t="shared" si="69"/>
        <v/>
      </c>
      <c r="H1115" s="39" t="str">
        <f t="shared" si="70"/>
        <v/>
      </c>
      <c r="I1115" s="39" t="str">
        <f t="shared" si="71"/>
        <v/>
      </c>
      <c r="J1115" s="39" t="str">
        <f>""</f>
        <v/>
      </c>
    </row>
    <row r="1116" spans="1:10">
      <c r="A1116" s="26" t="s">
        <v>2687</v>
      </c>
      <c r="E1116" s="26" t="s">
        <v>5581</v>
      </c>
      <c r="F1116" s="39" t="str">
        <f t="shared" si="68"/>
        <v/>
      </c>
      <c r="G1116" s="39" t="str">
        <f t="shared" si="69"/>
        <v/>
      </c>
      <c r="H1116" s="39" t="str">
        <f t="shared" si="70"/>
        <v/>
      </c>
      <c r="I1116" s="39" t="str">
        <f t="shared" si="71"/>
        <v/>
      </c>
      <c r="J1116" s="39" t="str">
        <f>""</f>
        <v/>
      </c>
    </row>
    <row r="1117" spans="1:10">
      <c r="A1117" s="26" t="s">
        <v>1477</v>
      </c>
      <c r="E1117" s="26" t="s">
        <v>5581</v>
      </c>
      <c r="F1117" s="39" t="str">
        <f t="shared" si="68"/>
        <v/>
      </c>
      <c r="G1117" s="39" t="str">
        <f t="shared" si="69"/>
        <v/>
      </c>
      <c r="H1117" s="39" t="str">
        <f t="shared" si="70"/>
        <v/>
      </c>
      <c r="I1117" s="39" t="str">
        <f t="shared" si="71"/>
        <v/>
      </c>
      <c r="J1117" s="39" t="str">
        <f>""</f>
        <v/>
      </c>
    </row>
    <row r="1118" spans="1:10">
      <c r="A1118" s="26" t="s">
        <v>1479</v>
      </c>
      <c r="E1118" s="26" t="s">
        <v>5581</v>
      </c>
      <c r="F1118" s="39" t="str">
        <f t="shared" si="68"/>
        <v/>
      </c>
      <c r="G1118" s="39" t="str">
        <f t="shared" si="69"/>
        <v/>
      </c>
      <c r="H1118" s="39" t="str">
        <f t="shared" si="70"/>
        <v/>
      </c>
      <c r="I1118" s="39" t="str">
        <f t="shared" si="71"/>
        <v/>
      </c>
      <c r="J1118" s="39" t="str">
        <f>""</f>
        <v/>
      </c>
    </row>
    <row r="1119" spans="1:10">
      <c r="A1119" s="26" t="s">
        <v>1483</v>
      </c>
      <c r="E1119" s="26" t="s">
        <v>3790</v>
      </c>
      <c r="F1119" s="39" t="str">
        <f t="shared" si="68"/>
        <v/>
      </c>
      <c r="G1119" s="39" t="str">
        <f t="shared" si="69"/>
        <v/>
      </c>
      <c r="H1119" s="39" t="str">
        <f t="shared" si="70"/>
        <v/>
      </c>
      <c r="I1119" s="39" t="str">
        <f t="shared" si="71"/>
        <v/>
      </c>
      <c r="J1119" s="39" t="str">
        <f>""</f>
        <v/>
      </c>
    </row>
    <row r="1120" spans="1:10">
      <c r="A1120" s="26" t="s">
        <v>2688</v>
      </c>
      <c r="E1120" s="26" t="s">
        <v>5581</v>
      </c>
      <c r="F1120" s="39" t="str">
        <f t="shared" si="68"/>
        <v/>
      </c>
      <c r="G1120" s="39" t="str">
        <f t="shared" si="69"/>
        <v/>
      </c>
      <c r="H1120" s="39" t="str">
        <f t="shared" si="70"/>
        <v/>
      </c>
      <c r="I1120" s="39" t="str">
        <f t="shared" si="71"/>
        <v/>
      </c>
      <c r="J1120" s="39" t="str">
        <f>""</f>
        <v/>
      </c>
    </row>
    <row r="1121" spans="1:10">
      <c r="A1121" s="26" t="s">
        <v>2691</v>
      </c>
      <c r="E1121" s="26" t="s">
        <v>5581</v>
      </c>
      <c r="F1121" s="39" t="str">
        <f t="shared" si="68"/>
        <v/>
      </c>
      <c r="G1121" s="39" t="str">
        <f t="shared" si="69"/>
        <v/>
      </c>
      <c r="H1121" s="39" t="str">
        <f t="shared" si="70"/>
        <v/>
      </c>
      <c r="I1121" s="39" t="str">
        <f t="shared" si="71"/>
        <v/>
      </c>
      <c r="J1121" s="39" t="str">
        <f>""</f>
        <v/>
      </c>
    </row>
    <row r="1122" spans="1:10">
      <c r="A1122" s="26" t="s">
        <v>1485</v>
      </c>
      <c r="E1122" s="26" t="s">
        <v>5581</v>
      </c>
      <c r="F1122" s="39" t="str">
        <f t="shared" si="68"/>
        <v/>
      </c>
      <c r="G1122" s="39" t="str">
        <f t="shared" si="69"/>
        <v/>
      </c>
      <c r="H1122" s="39" t="str">
        <f t="shared" si="70"/>
        <v/>
      </c>
      <c r="I1122" s="39" t="str">
        <f t="shared" si="71"/>
        <v/>
      </c>
      <c r="J1122" s="39" t="str">
        <f>""</f>
        <v/>
      </c>
    </row>
    <row r="1123" spans="1:10">
      <c r="A1123" s="26" t="s">
        <v>1487</v>
      </c>
      <c r="E1123" s="26" t="s">
        <v>5581</v>
      </c>
      <c r="F1123" s="39" t="str">
        <f t="shared" si="68"/>
        <v/>
      </c>
      <c r="G1123" s="39" t="str">
        <f t="shared" si="69"/>
        <v/>
      </c>
      <c r="H1123" s="39" t="str">
        <f t="shared" si="70"/>
        <v/>
      </c>
      <c r="I1123" s="39" t="str">
        <f t="shared" si="71"/>
        <v/>
      </c>
      <c r="J1123" s="39" t="str">
        <f>""</f>
        <v/>
      </c>
    </row>
    <row r="1124" spans="1:10">
      <c r="A1124" s="26" t="s">
        <v>1488</v>
      </c>
      <c r="E1124" s="26" t="s">
        <v>5581</v>
      </c>
      <c r="F1124" s="39" t="str">
        <f t="shared" si="68"/>
        <v/>
      </c>
      <c r="G1124" s="39" t="str">
        <f t="shared" si="69"/>
        <v/>
      </c>
      <c r="H1124" s="39" t="str">
        <f t="shared" si="70"/>
        <v/>
      </c>
      <c r="I1124" s="39" t="str">
        <f t="shared" si="71"/>
        <v/>
      </c>
      <c r="J1124" s="39" t="str">
        <f>""</f>
        <v/>
      </c>
    </row>
    <row r="1125" spans="1:10">
      <c r="A1125" s="26" t="s">
        <v>1490</v>
      </c>
      <c r="E1125" s="26" t="s">
        <v>5581</v>
      </c>
      <c r="F1125" s="39" t="str">
        <f t="shared" si="68"/>
        <v/>
      </c>
      <c r="G1125" s="39" t="str">
        <f t="shared" si="69"/>
        <v/>
      </c>
      <c r="H1125" s="39" t="str">
        <f t="shared" si="70"/>
        <v/>
      </c>
      <c r="I1125" s="39" t="str">
        <f t="shared" si="71"/>
        <v/>
      </c>
      <c r="J1125" s="39" t="str">
        <f>""</f>
        <v/>
      </c>
    </row>
    <row r="1126" spans="1:10">
      <c r="A1126" s="26" t="s">
        <v>2692</v>
      </c>
      <c r="E1126" s="26" t="s">
        <v>5581</v>
      </c>
      <c r="F1126" s="39" t="str">
        <f t="shared" si="68"/>
        <v/>
      </c>
      <c r="G1126" s="39" t="str">
        <f t="shared" si="69"/>
        <v/>
      </c>
      <c r="H1126" s="39" t="str">
        <f t="shared" si="70"/>
        <v/>
      </c>
      <c r="I1126" s="39" t="str">
        <f t="shared" si="71"/>
        <v/>
      </c>
      <c r="J1126" s="39" t="str">
        <f>""</f>
        <v/>
      </c>
    </row>
    <row r="1127" spans="1:10">
      <c r="A1127" s="26" t="s">
        <v>2695</v>
      </c>
      <c r="E1127" s="26" t="s">
        <v>5581</v>
      </c>
      <c r="F1127" s="39" t="str">
        <f t="shared" si="68"/>
        <v/>
      </c>
      <c r="G1127" s="39" t="str">
        <f t="shared" si="69"/>
        <v/>
      </c>
      <c r="H1127" s="39" t="str">
        <f t="shared" si="70"/>
        <v/>
      </c>
      <c r="I1127" s="39" t="str">
        <f t="shared" si="71"/>
        <v/>
      </c>
      <c r="J1127" s="39" t="str">
        <f>""</f>
        <v/>
      </c>
    </row>
    <row r="1128" spans="1:10">
      <c r="A1128" s="26" t="s">
        <v>2696</v>
      </c>
      <c r="E1128" s="26" t="s">
        <v>5581</v>
      </c>
      <c r="F1128" s="39" t="str">
        <f t="shared" si="68"/>
        <v/>
      </c>
      <c r="G1128" s="39" t="str">
        <f t="shared" si="69"/>
        <v/>
      </c>
      <c r="H1128" s="39" t="str">
        <f t="shared" si="70"/>
        <v/>
      </c>
      <c r="I1128" s="39" t="str">
        <f t="shared" si="71"/>
        <v/>
      </c>
      <c r="J1128" s="39" t="str">
        <f>""</f>
        <v/>
      </c>
    </row>
    <row r="1129" spans="1:10">
      <c r="A1129" s="26" t="s">
        <v>2698</v>
      </c>
      <c r="E1129" s="26" t="s">
        <v>5581</v>
      </c>
      <c r="F1129" s="39" t="str">
        <f t="shared" si="68"/>
        <v/>
      </c>
      <c r="G1129" s="39" t="str">
        <f t="shared" si="69"/>
        <v/>
      </c>
      <c r="H1129" s="39" t="str">
        <f t="shared" si="70"/>
        <v/>
      </c>
      <c r="I1129" s="39" t="str">
        <f t="shared" si="71"/>
        <v/>
      </c>
      <c r="J1129" s="39" t="str">
        <f>""</f>
        <v/>
      </c>
    </row>
    <row r="1130" spans="1:10">
      <c r="A1130" s="26" t="s">
        <v>2700</v>
      </c>
      <c r="E1130" s="26" t="s">
        <v>5581</v>
      </c>
      <c r="F1130" s="39" t="str">
        <f t="shared" si="68"/>
        <v/>
      </c>
      <c r="G1130" s="39" t="str">
        <f t="shared" si="69"/>
        <v/>
      </c>
      <c r="H1130" s="39" t="str">
        <f t="shared" si="70"/>
        <v/>
      </c>
      <c r="I1130" s="39" t="str">
        <f t="shared" si="71"/>
        <v/>
      </c>
      <c r="J1130" s="39" t="str">
        <f>""</f>
        <v/>
      </c>
    </row>
    <row r="1131" spans="1:10">
      <c r="A1131" s="26" t="s">
        <v>2702</v>
      </c>
      <c r="E1131" s="26" t="s">
        <v>5581</v>
      </c>
      <c r="F1131" s="39" t="str">
        <f t="shared" si="68"/>
        <v/>
      </c>
      <c r="G1131" s="39" t="str">
        <f t="shared" si="69"/>
        <v/>
      </c>
      <c r="H1131" s="39" t="str">
        <f t="shared" si="70"/>
        <v/>
      </c>
      <c r="I1131" s="39" t="str">
        <f t="shared" si="71"/>
        <v/>
      </c>
      <c r="J1131" s="39" t="str">
        <f>""</f>
        <v/>
      </c>
    </row>
    <row r="1132" spans="1:10">
      <c r="A1132" s="26" t="s">
        <v>2704</v>
      </c>
      <c r="E1132" s="26" t="s">
        <v>3790</v>
      </c>
      <c r="F1132" s="39" t="str">
        <f t="shared" si="68"/>
        <v/>
      </c>
      <c r="G1132" s="39" t="str">
        <f t="shared" si="69"/>
        <v/>
      </c>
      <c r="H1132" s="39" t="str">
        <f t="shared" si="70"/>
        <v/>
      </c>
      <c r="I1132" s="39" t="str">
        <f t="shared" si="71"/>
        <v/>
      </c>
      <c r="J1132" s="39" t="str">
        <f>""</f>
        <v/>
      </c>
    </row>
    <row r="1133" spans="1:10">
      <c r="A1133" s="26" t="s">
        <v>2707</v>
      </c>
      <c r="E1133" s="26" t="s">
        <v>5581</v>
      </c>
      <c r="F1133" s="39" t="str">
        <f t="shared" si="68"/>
        <v/>
      </c>
      <c r="G1133" s="39" t="str">
        <f t="shared" si="69"/>
        <v/>
      </c>
      <c r="H1133" s="39" t="str">
        <f t="shared" si="70"/>
        <v/>
      </c>
      <c r="I1133" s="39" t="str">
        <f t="shared" si="71"/>
        <v/>
      </c>
      <c r="J1133" s="39" t="str">
        <f>""</f>
        <v/>
      </c>
    </row>
    <row r="1134" spans="1:10">
      <c r="A1134" s="26" t="s">
        <v>2710</v>
      </c>
      <c r="E1134" s="26" t="s">
        <v>5581</v>
      </c>
      <c r="F1134" s="39" t="str">
        <f t="shared" si="68"/>
        <v/>
      </c>
      <c r="G1134" s="39" t="str">
        <f t="shared" si="69"/>
        <v/>
      </c>
      <c r="H1134" s="39" t="str">
        <f t="shared" si="70"/>
        <v/>
      </c>
      <c r="I1134" s="39" t="str">
        <f t="shared" si="71"/>
        <v/>
      </c>
      <c r="J1134" s="39" t="str">
        <f>""</f>
        <v/>
      </c>
    </row>
    <row r="1135" spans="1:10">
      <c r="A1135" s="26" t="s">
        <v>2712</v>
      </c>
      <c r="E1135" s="26" t="s">
        <v>5581</v>
      </c>
      <c r="F1135" s="39" t="str">
        <f t="shared" si="68"/>
        <v/>
      </c>
      <c r="G1135" s="39" t="str">
        <f t="shared" si="69"/>
        <v/>
      </c>
      <c r="H1135" s="39" t="str">
        <f t="shared" si="70"/>
        <v/>
      </c>
      <c r="I1135" s="39" t="str">
        <f t="shared" si="71"/>
        <v/>
      </c>
      <c r="J1135" s="39" t="str">
        <f>""</f>
        <v/>
      </c>
    </row>
    <row r="1136" spans="1:10">
      <c r="A1136" s="26" t="s">
        <v>2715</v>
      </c>
      <c r="E1136" s="26" t="s">
        <v>5581</v>
      </c>
      <c r="F1136" s="39" t="str">
        <f t="shared" si="68"/>
        <v/>
      </c>
      <c r="G1136" s="39" t="str">
        <f t="shared" si="69"/>
        <v/>
      </c>
      <c r="H1136" s="39" t="str">
        <f t="shared" si="70"/>
        <v/>
      </c>
      <c r="I1136" s="39" t="str">
        <f t="shared" si="71"/>
        <v/>
      </c>
      <c r="J1136" s="39" t="str">
        <f>""</f>
        <v/>
      </c>
    </row>
    <row r="1137" spans="1:10">
      <c r="A1137" s="26" t="s">
        <v>2718</v>
      </c>
      <c r="E1137" s="26" t="s">
        <v>5581</v>
      </c>
      <c r="F1137" s="39" t="str">
        <f t="shared" si="68"/>
        <v/>
      </c>
      <c r="G1137" s="39" t="str">
        <f t="shared" si="69"/>
        <v/>
      </c>
      <c r="H1137" s="39" t="str">
        <f t="shared" si="70"/>
        <v/>
      </c>
      <c r="I1137" s="39" t="str">
        <f t="shared" si="71"/>
        <v/>
      </c>
      <c r="J1137" s="39" t="str">
        <f>""</f>
        <v/>
      </c>
    </row>
    <row r="1138" spans="1:10">
      <c r="A1138" s="26" t="s">
        <v>2720</v>
      </c>
      <c r="E1138" s="26" t="s">
        <v>5581</v>
      </c>
      <c r="F1138" s="39" t="str">
        <f t="shared" si="68"/>
        <v/>
      </c>
      <c r="G1138" s="39" t="str">
        <f t="shared" si="69"/>
        <v/>
      </c>
      <c r="H1138" s="39" t="str">
        <f t="shared" si="70"/>
        <v/>
      </c>
      <c r="I1138" s="39" t="str">
        <f t="shared" si="71"/>
        <v/>
      </c>
      <c r="J1138" s="39" t="str">
        <f>""</f>
        <v/>
      </c>
    </row>
    <row r="1139" spans="1:10">
      <c r="A1139" s="26" t="s">
        <v>2722</v>
      </c>
      <c r="E1139" s="26" t="s">
        <v>5581</v>
      </c>
      <c r="F1139" s="39" t="str">
        <f t="shared" si="68"/>
        <v/>
      </c>
      <c r="G1139" s="39" t="str">
        <f t="shared" si="69"/>
        <v/>
      </c>
      <c r="H1139" s="39" t="str">
        <f t="shared" si="70"/>
        <v/>
      </c>
      <c r="I1139" s="39" t="str">
        <f t="shared" si="71"/>
        <v/>
      </c>
      <c r="J1139" s="39" t="str">
        <f>""</f>
        <v/>
      </c>
    </row>
    <row r="1140" spans="1:10">
      <c r="A1140" s="26" t="s">
        <v>2724</v>
      </c>
      <c r="C1140" s="39">
        <v>100</v>
      </c>
      <c r="E1140" s="26" t="s">
        <v>5581</v>
      </c>
      <c r="F1140" s="39" t="str">
        <f t="shared" si="68"/>
        <v/>
      </c>
      <c r="G1140" s="39" t="str">
        <f t="shared" si="69"/>
        <v/>
      </c>
      <c r="H1140" s="39">
        <f t="shared" si="70"/>
        <v>100</v>
      </c>
      <c r="I1140" s="39" t="str">
        <f t="shared" si="71"/>
        <v/>
      </c>
      <c r="J1140" s="39" t="str">
        <f>""</f>
        <v/>
      </c>
    </row>
    <row r="1141" spans="1:10">
      <c r="A1141" s="26" t="s">
        <v>2726</v>
      </c>
      <c r="E1141" s="26" t="s">
        <v>5581</v>
      </c>
      <c r="F1141" s="39" t="str">
        <f t="shared" si="68"/>
        <v/>
      </c>
      <c r="G1141" s="39" t="str">
        <f t="shared" si="69"/>
        <v/>
      </c>
      <c r="H1141" s="39" t="str">
        <f t="shared" si="70"/>
        <v/>
      </c>
      <c r="I1141" s="39" t="str">
        <f t="shared" si="71"/>
        <v/>
      </c>
      <c r="J1141" s="39" t="str">
        <f>""</f>
        <v/>
      </c>
    </row>
    <row r="1142" spans="1:10">
      <c r="A1142" s="26" t="s">
        <v>2729</v>
      </c>
      <c r="C1142" s="39">
        <v>100</v>
      </c>
      <c r="E1142" s="26" t="s">
        <v>5581</v>
      </c>
      <c r="F1142" s="39" t="str">
        <f t="shared" si="68"/>
        <v/>
      </c>
      <c r="G1142" s="39" t="str">
        <f t="shared" si="69"/>
        <v/>
      </c>
      <c r="H1142" s="39">
        <f t="shared" si="70"/>
        <v>100</v>
      </c>
      <c r="I1142" s="39" t="str">
        <f t="shared" si="71"/>
        <v/>
      </c>
      <c r="J1142" s="39" t="str">
        <f>""</f>
        <v/>
      </c>
    </row>
    <row r="1143" spans="1:10">
      <c r="A1143" s="26" t="s">
        <v>2731</v>
      </c>
      <c r="E1143" s="26" t="s">
        <v>5581</v>
      </c>
      <c r="F1143" s="39" t="str">
        <f t="shared" si="68"/>
        <v/>
      </c>
      <c r="G1143" s="39" t="str">
        <f t="shared" si="69"/>
        <v/>
      </c>
      <c r="H1143" s="39" t="str">
        <f t="shared" si="70"/>
        <v/>
      </c>
      <c r="I1143" s="39" t="str">
        <f t="shared" si="71"/>
        <v/>
      </c>
      <c r="J1143" s="39" t="str">
        <f>""</f>
        <v/>
      </c>
    </row>
    <row r="1144" spans="1:10">
      <c r="A1144" s="26" t="s">
        <v>2734</v>
      </c>
      <c r="E1144" s="26" t="s">
        <v>5581</v>
      </c>
      <c r="F1144" s="39" t="str">
        <f t="shared" si="68"/>
        <v/>
      </c>
      <c r="G1144" s="39" t="str">
        <f t="shared" si="69"/>
        <v/>
      </c>
      <c r="H1144" s="39" t="str">
        <f t="shared" si="70"/>
        <v/>
      </c>
      <c r="I1144" s="39" t="str">
        <f t="shared" si="71"/>
        <v/>
      </c>
      <c r="J1144" s="39" t="str">
        <f>""</f>
        <v/>
      </c>
    </row>
    <row r="1145" spans="1:10">
      <c r="A1145" s="26" t="s">
        <v>2736</v>
      </c>
      <c r="E1145" s="26" t="s">
        <v>5581</v>
      </c>
      <c r="F1145" s="39" t="str">
        <f t="shared" si="68"/>
        <v/>
      </c>
      <c r="G1145" s="39" t="str">
        <f t="shared" si="69"/>
        <v/>
      </c>
      <c r="H1145" s="39" t="str">
        <f t="shared" si="70"/>
        <v/>
      </c>
      <c r="I1145" s="39" t="str">
        <f t="shared" si="71"/>
        <v/>
      </c>
      <c r="J1145" s="39" t="str">
        <f>""</f>
        <v/>
      </c>
    </row>
    <row r="1146" spans="1:10">
      <c r="A1146" s="26" t="s">
        <v>1491</v>
      </c>
      <c r="E1146" s="26" t="s">
        <v>5581</v>
      </c>
      <c r="F1146" s="39" t="str">
        <f t="shared" si="68"/>
        <v/>
      </c>
      <c r="G1146" s="39" t="str">
        <f t="shared" si="69"/>
        <v/>
      </c>
      <c r="H1146" s="39" t="str">
        <f t="shared" si="70"/>
        <v/>
      </c>
      <c r="I1146" s="39" t="str">
        <f t="shared" si="71"/>
        <v/>
      </c>
      <c r="J1146" s="39" t="str">
        <f>""</f>
        <v/>
      </c>
    </row>
    <row r="1147" spans="1:10">
      <c r="A1147" s="26" t="s">
        <v>1493</v>
      </c>
      <c r="C1147" s="39">
        <v>200</v>
      </c>
      <c r="E1147" s="26" t="s">
        <v>5581</v>
      </c>
      <c r="F1147" s="39" t="str">
        <f t="shared" si="68"/>
        <v/>
      </c>
      <c r="G1147" s="39" t="str">
        <f t="shared" si="69"/>
        <v/>
      </c>
      <c r="H1147" s="39">
        <f t="shared" si="70"/>
        <v>200</v>
      </c>
      <c r="I1147" s="39" t="str">
        <f t="shared" si="71"/>
        <v/>
      </c>
      <c r="J1147" s="39" t="str">
        <f>""</f>
        <v/>
      </c>
    </row>
    <row r="1148" spans="1:10">
      <c r="A1148" s="26" t="s">
        <v>1494</v>
      </c>
      <c r="E1148" s="26" t="s">
        <v>5581</v>
      </c>
      <c r="F1148" s="39" t="str">
        <f t="shared" si="68"/>
        <v/>
      </c>
      <c r="G1148" s="39" t="str">
        <f t="shared" si="69"/>
        <v/>
      </c>
      <c r="H1148" s="39" t="str">
        <f t="shared" si="70"/>
        <v/>
      </c>
      <c r="I1148" s="39" t="str">
        <f t="shared" si="71"/>
        <v/>
      </c>
      <c r="J1148" s="39" t="str">
        <f>""</f>
        <v/>
      </c>
    </row>
    <row r="1149" spans="1:10">
      <c r="A1149" s="26" t="s">
        <v>1496</v>
      </c>
      <c r="E1149" s="26" t="s">
        <v>5581</v>
      </c>
      <c r="F1149" s="39" t="str">
        <f t="shared" si="68"/>
        <v/>
      </c>
      <c r="G1149" s="39" t="str">
        <f t="shared" si="69"/>
        <v/>
      </c>
      <c r="H1149" s="39" t="str">
        <f t="shared" si="70"/>
        <v/>
      </c>
      <c r="I1149" s="39" t="str">
        <f t="shared" si="71"/>
        <v/>
      </c>
      <c r="J1149" s="39" t="str">
        <f>""</f>
        <v/>
      </c>
    </row>
    <row r="1150" spans="1:10">
      <c r="A1150" s="26" t="s">
        <v>5494</v>
      </c>
      <c r="E1150" s="26" t="s">
        <v>5581</v>
      </c>
      <c r="F1150" s="39" t="str">
        <f t="shared" si="68"/>
        <v/>
      </c>
      <c r="G1150" s="39" t="str">
        <f t="shared" si="69"/>
        <v/>
      </c>
      <c r="H1150" s="39" t="str">
        <f t="shared" si="70"/>
        <v/>
      </c>
      <c r="I1150" s="39" t="str">
        <f t="shared" si="71"/>
        <v/>
      </c>
      <c r="J1150" s="39" t="str">
        <f>""</f>
        <v/>
      </c>
    </row>
    <row r="1151" spans="1:10">
      <c r="A1151" s="26" t="s">
        <v>1497</v>
      </c>
      <c r="C1151" s="39">
        <v>25</v>
      </c>
      <c r="E1151" s="26" t="s">
        <v>5581</v>
      </c>
      <c r="F1151" s="39">
        <f t="shared" si="68"/>
        <v>25</v>
      </c>
      <c r="G1151" s="39">
        <f t="shared" si="69"/>
        <v>25</v>
      </c>
      <c r="H1151" s="39">
        <f t="shared" si="70"/>
        <v>25</v>
      </c>
      <c r="I1151" s="39" t="str">
        <f t="shared" si="71"/>
        <v/>
      </c>
      <c r="J1151" s="39" t="str">
        <f>""</f>
        <v/>
      </c>
    </row>
    <row r="1152" spans="1:10">
      <c r="A1152" s="26" t="s">
        <v>1500</v>
      </c>
      <c r="E1152" s="26" t="s">
        <v>5581</v>
      </c>
      <c r="F1152" s="39" t="str">
        <f t="shared" si="68"/>
        <v/>
      </c>
      <c r="G1152" s="39" t="str">
        <f t="shared" si="69"/>
        <v/>
      </c>
      <c r="H1152" s="39" t="str">
        <f t="shared" si="70"/>
        <v/>
      </c>
      <c r="I1152" s="39" t="str">
        <f t="shared" si="71"/>
        <v/>
      </c>
      <c r="J1152" s="39" t="str">
        <f>""</f>
        <v/>
      </c>
    </row>
    <row r="1153" spans="1:10">
      <c r="A1153" s="26" t="s">
        <v>2739</v>
      </c>
      <c r="E1153" s="26" t="s">
        <v>5581</v>
      </c>
      <c r="F1153" s="39" t="str">
        <f t="shared" si="68"/>
        <v/>
      </c>
      <c r="G1153" s="39" t="str">
        <f t="shared" si="69"/>
        <v/>
      </c>
      <c r="H1153" s="39" t="str">
        <f t="shared" si="70"/>
        <v/>
      </c>
      <c r="I1153" s="39" t="str">
        <f t="shared" si="71"/>
        <v/>
      </c>
      <c r="J1153" s="39" t="str">
        <f>""</f>
        <v/>
      </c>
    </row>
    <row r="1154" spans="1:10">
      <c r="A1154" s="26" t="s">
        <v>2742</v>
      </c>
      <c r="E1154" s="26" t="s">
        <v>5581</v>
      </c>
      <c r="F1154" s="39" t="str">
        <f t="shared" si="68"/>
        <v/>
      </c>
      <c r="G1154" s="39" t="str">
        <f t="shared" si="69"/>
        <v/>
      </c>
      <c r="H1154" s="39" t="str">
        <f t="shared" si="70"/>
        <v/>
      </c>
      <c r="I1154" s="39" t="str">
        <f t="shared" si="71"/>
        <v/>
      </c>
      <c r="J1154" s="39" t="str">
        <f>""</f>
        <v/>
      </c>
    </row>
    <row r="1155" spans="1:10">
      <c r="A1155" s="26" t="s">
        <v>1501</v>
      </c>
      <c r="E1155" s="26" t="s">
        <v>5581</v>
      </c>
      <c r="F1155" s="39" t="str">
        <f t="shared" ref="F1155:F1218" si="72">IF(C1155="","",IF(C1155&lt;99,C1155,""))</f>
        <v/>
      </c>
      <c r="G1155" s="39" t="str">
        <f t="shared" ref="G1155:G1218" si="73">IF(OR(F1155&lt;&gt;"",D1155&lt;&gt;""),C1155,"")</f>
        <v/>
      </c>
      <c r="H1155" s="39" t="str">
        <f t="shared" ref="H1155:H1218" si="74">IF(C1155="","",C1155)</f>
        <v/>
      </c>
      <c r="I1155" s="39" t="str">
        <f t="shared" ref="I1155:I1218" si="75">IF(AND(C1155&lt;&gt;"",D1155&lt;&gt;""),C1155,"")</f>
        <v/>
      </c>
      <c r="J1155" s="39" t="str">
        <f>""</f>
        <v/>
      </c>
    </row>
    <row r="1156" spans="1:10">
      <c r="A1156" s="26" t="s">
        <v>1504</v>
      </c>
      <c r="E1156" s="26" t="s">
        <v>5581</v>
      </c>
      <c r="F1156" s="39" t="str">
        <f t="shared" si="72"/>
        <v/>
      </c>
      <c r="G1156" s="39" t="str">
        <f t="shared" si="73"/>
        <v/>
      </c>
      <c r="H1156" s="39" t="str">
        <f t="shared" si="74"/>
        <v/>
      </c>
      <c r="I1156" s="39" t="str">
        <f t="shared" si="75"/>
        <v/>
      </c>
      <c r="J1156" s="39" t="str">
        <f>""</f>
        <v/>
      </c>
    </row>
    <row r="1157" spans="1:10">
      <c r="A1157" s="26" t="s">
        <v>2744</v>
      </c>
      <c r="E1157" s="26" t="s">
        <v>5581</v>
      </c>
      <c r="F1157" s="39" t="str">
        <f t="shared" si="72"/>
        <v/>
      </c>
      <c r="G1157" s="39" t="str">
        <f t="shared" si="73"/>
        <v/>
      </c>
      <c r="H1157" s="39" t="str">
        <f t="shared" si="74"/>
        <v/>
      </c>
      <c r="I1157" s="39" t="str">
        <f t="shared" si="75"/>
        <v/>
      </c>
      <c r="J1157" s="39" t="str">
        <f>""</f>
        <v/>
      </c>
    </row>
    <row r="1158" spans="1:10">
      <c r="A1158" s="26" t="s">
        <v>2747</v>
      </c>
      <c r="E1158" s="26" t="s">
        <v>5581</v>
      </c>
      <c r="F1158" s="39" t="str">
        <f t="shared" si="72"/>
        <v/>
      </c>
      <c r="G1158" s="39" t="str">
        <f t="shared" si="73"/>
        <v/>
      </c>
      <c r="H1158" s="39" t="str">
        <f t="shared" si="74"/>
        <v/>
      </c>
      <c r="I1158" s="39" t="str">
        <f t="shared" si="75"/>
        <v/>
      </c>
      <c r="J1158" s="39" t="str">
        <f>""</f>
        <v/>
      </c>
    </row>
    <row r="1159" spans="1:10">
      <c r="A1159" s="26" t="s">
        <v>2750</v>
      </c>
      <c r="E1159" s="26" t="s">
        <v>3790</v>
      </c>
      <c r="F1159" s="39" t="str">
        <f t="shared" si="72"/>
        <v/>
      </c>
      <c r="G1159" s="39" t="str">
        <f t="shared" si="73"/>
        <v/>
      </c>
      <c r="H1159" s="39" t="str">
        <f t="shared" si="74"/>
        <v/>
      </c>
      <c r="I1159" s="39" t="str">
        <f t="shared" si="75"/>
        <v/>
      </c>
      <c r="J1159" s="39" t="str">
        <f>""</f>
        <v/>
      </c>
    </row>
    <row r="1160" spans="1:10">
      <c r="A1160" s="26" t="s">
        <v>2752</v>
      </c>
      <c r="E1160" s="26" t="s">
        <v>5581</v>
      </c>
      <c r="F1160" s="39" t="str">
        <f t="shared" si="72"/>
        <v/>
      </c>
      <c r="G1160" s="39" t="str">
        <f t="shared" si="73"/>
        <v/>
      </c>
      <c r="H1160" s="39" t="str">
        <f t="shared" si="74"/>
        <v/>
      </c>
      <c r="I1160" s="39" t="str">
        <f t="shared" si="75"/>
        <v/>
      </c>
      <c r="J1160" s="39" t="str">
        <f>""</f>
        <v/>
      </c>
    </row>
    <row r="1161" spans="1:10">
      <c r="A1161" s="26" t="s">
        <v>2753</v>
      </c>
      <c r="E1161" s="26" t="s">
        <v>5581</v>
      </c>
      <c r="F1161" s="39" t="str">
        <f t="shared" si="72"/>
        <v/>
      </c>
      <c r="G1161" s="39" t="str">
        <f t="shared" si="73"/>
        <v/>
      </c>
      <c r="H1161" s="39" t="str">
        <f t="shared" si="74"/>
        <v/>
      </c>
      <c r="I1161" s="39" t="str">
        <f t="shared" si="75"/>
        <v/>
      </c>
      <c r="J1161" s="39" t="str">
        <f>""</f>
        <v/>
      </c>
    </row>
    <row r="1162" spans="1:10">
      <c r="A1162" s="26" t="s">
        <v>2756</v>
      </c>
      <c r="E1162" s="26" t="s">
        <v>5581</v>
      </c>
      <c r="F1162" s="39" t="str">
        <f t="shared" si="72"/>
        <v/>
      </c>
      <c r="G1162" s="39" t="str">
        <f t="shared" si="73"/>
        <v/>
      </c>
      <c r="H1162" s="39" t="str">
        <f t="shared" si="74"/>
        <v/>
      </c>
      <c r="I1162" s="39" t="str">
        <f t="shared" si="75"/>
        <v/>
      </c>
      <c r="J1162" s="39" t="str">
        <f>""</f>
        <v/>
      </c>
    </row>
    <row r="1163" spans="1:10">
      <c r="A1163" s="26" t="s">
        <v>1505</v>
      </c>
      <c r="E1163" s="26" t="s">
        <v>3790</v>
      </c>
      <c r="F1163" s="39" t="str">
        <f t="shared" si="72"/>
        <v/>
      </c>
      <c r="G1163" s="39" t="str">
        <f t="shared" si="73"/>
        <v/>
      </c>
      <c r="H1163" s="39" t="str">
        <f t="shared" si="74"/>
        <v/>
      </c>
      <c r="I1163" s="39" t="str">
        <f t="shared" si="75"/>
        <v/>
      </c>
      <c r="J1163" s="39" t="str">
        <f>""</f>
        <v/>
      </c>
    </row>
    <row r="1164" spans="1:10">
      <c r="A1164" s="26" t="s">
        <v>5307</v>
      </c>
      <c r="E1164" s="26" t="s">
        <v>3790</v>
      </c>
      <c r="F1164" s="39" t="str">
        <f t="shared" si="72"/>
        <v/>
      </c>
      <c r="G1164" s="39" t="str">
        <f t="shared" si="73"/>
        <v/>
      </c>
      <c r="H1164" s="39" t="str">
        <f t="shared" si="74"/>
        <v/>
      </c>
      <c r="I1164" s="39" t="str">
        <f t="shared" si="75"/>
        <v/>
      </c>
      <c r="J1164" s="39" t="str">
        <f>""</f>
        <v/>
      </c>
    </row>
    <row r="1165" spans="1:10">
      <c r="A1165" s="26" t="s">
        <v>1507</v>
      </c>
      <c r="E1165" s="26" t="s">
        <v>5581</v>
      </c>
      <c r="F1165" s="39" t="str">
        <f t="shared" si="72"/>
        <v/>
      </c>
      <c r="G1165" s="39" t="str">
        <f t="shared" si="73"/>
        <v/>
      </c>
      <c r="H1165" s="39" t="str">
        <f t="shared" si="74"/>
        <v/>
      </c>
      <c r="I1165" s="39" t="str">
        <f t="shared" si="75"/>
        <v/>
      </c>
      <c r="J1165" s="39" t="str">
        <f>""</f>
        <v/>
      </c>
    </row>
    <row r="1166" spans="1:10">
      <c r="A1166" s="26" t="s">
        <v>1509</v>
      </c>
      <c r="E1166" s="26" t="s">
        <v>5581</v>
      </c>
      <c r="F1166" s="39" t="str">
        <f t="shared" si="72"/>
        <v/>
      </c>
      <c r="G1166" s="39" t="str">
        <f t="shared" si="73"/>
        <v/>
      </c>
      <c r="H1166" s="39" t="str">
        <f t="shared" si="74"/>
        <v/>
      </c>
      <c r="I1166" s="39" t="str">
        <f t="shared" si="75"/>
        <v/>
      </c>
      <c r="J1166" s="39" t="str">
        <f>""</f>
        <v/>
      </c>
    </row>
    <row r="1167" spans="1:10">
      <c r="A1167" s="26" t="s">
        <v>1510</v>
      </c>
      <c r="E1167" s="26" t="s">
        <v>5581</v>
      </c>
      <c r="F1167" s="39" t="str">
        <f t="shared" si="72"/>
        <v/>
      </c>
      <c r="G1167" s="39" t="str">
        <f t="shared" si="73"/>
        <v/>
      </c>
      <c r="H1167" s="39" t="str">
        <f t="shared" si="74"/>
        <v/>
      </c>
      <c r="I1167" s="39" t="str">
        <f t="shared" si="75"/>
        <v/>
      </c>
      <c r="J1167" s="39" t="str">
        <f>""</f>
        <v/>
      </c>
    </row>
    <row r="1168" spans="1:10">
      <c r="A1168" s="26" t="s">
        <v>1512</v>
      </c>
      <c r="E1168" s="26" t="s">
        <v>3790</v>
      </c>
      <c r="F1168" s="39" t="str">
        <f t="shared" si="72"/>
        <v/>
      </c>
      <c r="G1168" s="39" t="str">
        <f t="shared" si="73"/>
        <v/>
      </c>
      <c r="H1168" s="39" t="str">
        <f t="shared" si="74"/>
        <v/>
      </c>
      <c r="I1168" s="39" t="str">
        <f t="shared" si="75"/>
        <v/>
      </c>
      <c r="J1168" s="39" t="str">
        <f>""</f>
        <v/>
      </c>
    </row>
    <row r="1169" spans="1:10">
      <c r="A1169" s="26" t="s">
        <v>1515</v>
      </c>
      <c r="E1169" s="26" t="s">
        <v>5581</v>
      </c>
      <c r="F1169" s="39" t="str">
        <f t="shared" si="72"/>
        <v/>
      </c>
      <c r="G1169" s="39" t="str">
        <f t="shared" si="73"/>
        <v/>
      </c>
      <c r="H1169" s="39" t="str">
        <f t="shared" si="74"/>
        <v/>
      </c>
      <c r="I1169" s="39" t="str">
        <f t="shared" si="75"/>
        <v/>
      </c>
      <c r="J1169" s="39" t="str">
        <f>""</f>
        <v/>
      </c>
    </row>
    <row r="1170" spans="1:10">
      <c r="A1170" s="26" t="s">
        <v>1517</v>
      </c>
      <c r="E1170" s="26" t="s">
        <v>5581</v>
      </c>
      <c r="F1170" s="39" t="str">
        <f t="shared" si="72"/>
        <v/>
      </c>
      <c r="G1170" s="39" t="str">
        <f t="shared" si="73"/>
        <v/>
      </c>
      <c r="H1170" s="39" t="str">
        <f t="shared" si="74"/>
        <v/>
      </c>
      <c r="I1170" s="39" t="str">
        <f t="shared" si="75"/>
        <v/>
      </c>
      <c r="J1170" s="39" t="str">
        <f>""</f>
        <v/>
      </c>
    </row>
    <row r="1171" spans="1:10">
      <c r="A1171" s="26" t="s">
        <v>2758</v>
      </c>
      <c r="E1171" s="26" t="s">
        <v>5581</v>
      </c>
      <c r="F1171" s="39" t="str">
        <f t="shared" si="72"/>
        <v/>
      </c>
      <c r="G1171" s="39" t="str">
        <f t="shared" si="73"/>
        <v/>
      </c>
      <c r="H1171" s="39" t="str">
        <f t="shared" si="74"/>
        <v/>
      </c>
      <c r="I1171" s="39" t="str">
        <f t="shared" si="75"/>
        <v/>
      </c>
      <c r="J1171" s="39" t="str">
        <f>""</f>
        <v/>
      </c>
    </row>
    <row r="1172" spans="1:10">
      <c r="A1172" s="26" t="s">
        <v>2760</v>
      </c>
      <c r="C1172" s="39">
        <v>100</v>
      </c>
      <c r="E1172" s="26" t="s">
        <v>5581</v>
      </c>
      <c r="F1172" s="39" t="str">
        <f t="shared" si="72"/>
        <v/>
      </c>
      <c r="G1172" s="39" t="str">
        <f t="shared" si="73"/>
        <v/>
      </c>
      <c r="H1172" s="39">
        <f t="shared" si="74"/>
        <v>100</v>
      </c>
      <c r="I1172" s="39" t="str">
        <f t="shared" si="75"/>
        <v/>
      </c>
      <c r="J1172" s="39" t="str">
        <f>""</f>
        <v/>
      </c>
    </row>
    <row r="1173" spans="1:10">
      <c r="A1173" s="26" t="s">
        <v>1518</v>
      </c>
      <c r="E1173" s="26" t="s">
        <v>5581</v>
      </c>
      <c r="F1173" s="39" t="str">
        <f t="shared" si="72"/>
        <v/>
      </c>
      <c r="G1173" s="39" t="str">
        <f t="shared" si="73"/>
        <v/>
      </c>
      <c r="H1173" s="39" t="str">
        <f t="shared" si="74"/>
        <v/>
      </c>
      <c r="I1173" s="39" t="str">
        <f t="shared" si="75"/>
        <v/>
      </c>
      <c r="J1173" s="39" t="str">
        <f>""</f>
        <v/>
      </c>
    </row>
    <row r="1174" spans="1:10">
      <c r="A1174" s="26" t="s">
        <v>1521</v>
      </c>
      <c r="E1174" s="26" t="s">
        <v>5581</v>
      </c>
      <c r="F1174" s="39" t="str">
        <f t="shared" si="72"/>
        <v/>
      </c>
      <c r="G1174" s="39" t="str">
        <f t="shared" si="73"/>
        <v/>
      </c>
      <c r="H1174" s="39" t="str">
        <f t="shared" si="74"/>
        <v/>
      </c>
      <c r="I1174" s="39" t="str">
        <f t="shared" si="75"/>
        <v/>
      </c>
      <c r="J1174" s="39" t="str">
        <f>""</f>
        <v/>
      </c>
    </row>
    <row r="1175" spans="1:10">
      <c r="A1175" s="26" t="s">
        <v>1522</v>
      </c>
      <c r="E1175" s="26" t="s">
        <v>5581</v>
      </c>
      <c r="F1175" s="39" t="str">
        <f t="shared" si="72"/>
        <v/>
      </c>
      <c r="G1175" s="39" t="str">
        <f t="shared" si="73"/>
        <v/>
      </c>
      <c r="H1175" s="39" t="str">
        <f t="shared" si="74"/>
        <v/>
      </c>
      <c r="I1175" s="39" t="str">
        <f t="shared" si="75"/>
        <v/>
      </c>
      <c r="J1175" s="39" t="str">
        <f>""</f>
        <v/>
      </c>
    </row>
    <row r="1176" spans="1:10">
      <c r="A1176" s="26" t="s">
        <v>1524</v>
      </c>
      <c r="E1176" s="26" t="s">
        <v>5581</v>
      </c>
      <c r="F1176" s="39" t="str">
        <f t="shared" si="72"/>
        <v/>
      </c>
      <c r="G1176" s="39" t="str">
        <f t="shared" si="73"/>
        <v/>
      </c>
      <c r="H1176" s="39" t="str">
        <f t="shared" si="74"/>
        <v/>
      </c>
      <c r="I1176" s="39" t="str">
        <f t="shared" si="75"/>
        <v/>
      </c>
      <c r="J1176" s="39" t="str">
        <f>""</f>
        <v/>
      </c>
    </row>
    <row r="1177" spans="1:10">
      <c r="A1177" s="26" t="s">
        <v>2762</v>
      </c>
      <c r="E1177" s="26" t="s">
        <v>5581</v>
      </c>
      <c r="F1177" s="39" t="str">
        <f t="shared" si="72"/>
        <v/>
      </c>
      <c r="G1177" s="39" t="str">
        <f t="shared" si="73"/>
        <v/>
      </c>
      <c r="H1177" s="39" t="str">
        <f t="shared" si="74"/>
        <v/>
      </c>
      <c r="I1177" s="39" t="str">
        <f t="shared" si="75"/>
        <v/>
      </c>
      <c r="J1177" s="39" t="str">
        <f>""</f>
        <v/>
      </c>
    </row>
    <row r="1178" spans="1:10">
      <c r="A1178" s="26" t="s">
        <v>2764</v>
      </c>
      <c r="E1178" s="26" t="s">
        <v>5581</v>
      </c>
      <c r="F1178" s="39" t="str">
        <f t="shared" si="72"/>
        <v/>
      </c>
      <c r="G1178" s="39" t="str">
        <f t="shared" si="73"/>
        <v/>
      </c>
      <c r="H1178" s="39" t="str">
        <f t="shared" si="74"/>
        <v/>
      </c>
      <c r="I1178" s="39" t="str">
        <f t="shared" si="75"/>
        <v/>
      </c>
      <c r="J1178" s="39" t="str">
        <f>""</f>
        <v/>
      </c>
    </row>
    <row r="1179" spans="1:10">
      <c r="A1179" s="26" t="s">
        <v>2765</v>
      </c>
      <c r="E1179" s="26" t="s">
        <v>5581</v>
      </c>
      <c r="F1179" s="39" t="str">
        <f t="shared" si="72"/>
        <v/>
      </c>
      <c r="G1179" s="39" t="str">
        <f t="shared" si="73"/>
        <v/>
      </c>
      <c r="H1179" s="39" t="str">
        <f t="shared" si="74"/>
        <v/>
      </c>
      <c r="I1179" s="39" t="str">
        <f t="shared" si="75"/>
        <v/>
      </c>
      <c r="J1179" s="39" t="str">
        <f>""</f>
        <v/>
      </c>
    </row>
    <row r="1180" spans="1:10">
      <c r="A1180" s="26" t="s">
        <v>2767</v>
      </c>
      <c r="E1180" s="26" t="s">
        <v>5581</v>
      </c>
      <c r="F1180" s="39" t="str">
        <f t="shared" si="72"/>
        <v/>
      </c>
      <c r="G1180" s="39" t="str">
        <f t="shared" si="73"/>
        <v/>
      </c>
      <c r="H1180" s="39" t="str">
        <f t="shared" si="74"/>
        <v/>
      </c>
      <c r="I1180" s="39" t="str">
        <f t="shared" si="75"/>
        <v/>
      </c>
      <c r="J1180" s="39" t="str">
        <f>""</f>
        <v/>
      </c>
    </row>
    <row r="1181" spans="1:10">
      <c r="A1181" s="26" t="s">
        <v>1525</v>
      </c>
      <c r="E1181" s="26" t="s">
        <v>5581</v>
      </c>
      <c r="F1181" s="39" t="str">
        <f t="shared" si="72"/>
        <v/>
      </c>
      <c r="G1181" s="39" t="str">
        <f t="shared" si="73"/>
        <v/>
      </c>
      <c r="H1181" s="39" t="str">
        <f t="shared" si="74"/>
        <v/>
      </c>
      <c r="I1181" s="39" t="str">
        <f t="shared" si="75"/>
        <v/>
      </c>
      <c r="J1181" s="39" t="str">
        <f>""</f>
        <v/>
      </c>
    </row>
    <row r="1182" spans="1:10">
      <c r="A1182" s="26" t="s">
        <v>1527</v>
      </c>
      <c r="E1182" s="26" t="s">
        <v>5581</v>
      </c>
      <c r="F1182" s="39" t="str">
        <f t="shared" si="72"/>
        <v/>
      </c>
      <c r="G1182" s="39" t="str">
        <f t="shared" si="73"/>
        <v/>
      </c>
      <c r="H1182" s="39" t="str">
        <f t="shared" si="74"/>
        <v/>
      </c>
      <c r="I1182" s="39" t="str">
        <f t="shared" si="75"/>
        <v/>
      </c>
      <c r="J1182" s="39" t="str">
        <f>""</f>
        <v/>
      </c>
    </row>
    <row r="1183" spans="1:10">
      <c r="A1183" s="26" t="s">
        <v>1528</v>
      </c>
      <c r="E1183" s="26" t="s">
        <v>5581</v>
      </c>
      <c r="F1183" s="39" t="str">
        <f t="shared" si="72"/>
        <v/>
      </c>
      <c r="G1183" s="39" t="str">
        <f t="shared" si="73"/>
        <v/>
      </c>
      <c r="H1183" s="39" t="str">
        <f t="shared" si="74"/>
        <v/>
      </c>
      <c r="I1183" s="39" t="str">
        <f t="shared" si="75"/>
        <v/>
      </c>
      <c r="J1183" s="39" t="str">
        <f>""</f>
        <v/>
      </c>
    </row>
    <row r="1184" spans="1:10">
      <c r="A1184" s="26" t="s">
        <v>1530</v>
      </c>
      <c r="C1184" s="39">
        <v>500</v>
      </c>
      <c r="E1184" s="26" t="s">
        <v>5581</v>
      </c>
      <c r="F1184" s="39" t="str">
        <f t="shared" si="72"/>
        <v/>
      </c>
      <c r="G1184" s="39" t="str">
        <f t="shared" si="73"/>
        <v/>
      </c>
      <c r="H1184" s="39">
        <f t="shared" si="74"/>
        <v>500</v>
      </c>
      <c r="I1184" s="39" t="str">
        <f t="shared" si="75"/>
        <v/>
      </c>
      <c r="J1184" s="39" t="str">
        <f>""</f>
        <v/>
      </c>
    </row>
    <row r="1185" spans="1:10">
      <c r="A1185" s="26" t="s">
        <v>1531</v>
      </c>
      <c r="E1185" s="26" t="s">
        <v>5581</v>
      </c>
      <c r="F1185" s="39" t="str">
        <f t="shared" si="72"/>
        <v/>
      </c>
      <c r="G1185" s="39" t="str">
        <f t="shared" si="73"/>
        <v/>
      </c>
      <c r="H1185" s="39" t="str">
        <f t="shared" si="74"/>
        <v/>
      </c>
      <c r="I1185" s="39" t="str">
        <f t="shared" si="75"/>
        <v/>
      </c>
      <c r="J1185" s="39" t="str">
        <f>""</f>
        <v/>
      </c>
    </row>
    <row r="1186" spans="1:10">
      <c r="A1186" s="26" t="s">
        <v>1533</v>
      </c>
      <c r="E1186" s="26" t="s">
        <v>5581</v>
      </c>
      <c r="F1186" s="39" t="str">
        <f t="shared" si="72"/>
        <v/>
      </c>
      <c r="G1186" s="39" t="str">
        <f t="shared" si="73"/>
        <v/>
      </c>
      <c r="H1186" s="39" t="str">
        <f t="shared" si="74"/>
        <v/>
      </c>
      <c r="I1186" s="39" t="str">
        <f t="shared" si="75"/>
        <v/>
      </c>
      <c r="J1186" s="39" t="str">
        <f>""</f>
        <v/>
      </c>
    </row>
    <row r="1187" spans="1:10">
      <c r="A1187" s="26" t="s">
        <v>2768</v>
      </c>
      <c r="E1187" s="26" t="s">
        <v>5581</v>
      </c>
      <c r="F1187" s="39" t="str">
        <f t="shared" si="72"/>
        <v/>
      </c>
      <c r="G1187" s="39" t="str">
        <f t="shared" si="73"/>
        <v/>
      </c>
      <c r="H1187" s="39" t="str">
        <f t="shared" si="74"/>
        <v/>
      </c>
      <c r="I1187" s="39" t="str">
        <f t="shared" si="75"/>
        <v/>
      </c>
      <c r="J1187" s="39" t="str">
        <f>""</f>
        <v/>
      </c>
    </row>
    <row r="1188" spans="1:10">
      <c r="A1188" s="26" t="s">
        <v>2771</v>
      </c>
      <c r="E1188" s="26" t="s">
        <v>5581</v>
      </c>
      <c r="F1188" s="39" t="str">
        <f t="shared" si="72"/>
        <v/>
      </c>
      <c r="G1188" s="39" t="str">
        <f t="shared" si="73"/>
        <v/>
      </c>
      <c r="H1188" s="39" t="str">
        <f t="shared" si="74"/>
        <v/>
      </c>
      <c r="I1188" s="39" t="str">
        <f t="shared" si="75"/>
        <v/>
      </c>
      <c r="J1188" s="39" t="str">
        <f>""</f>
        <v/>
      </c>
    </row>
    <row r="1189" spans="1:10">
      <c r="A1189" s="26" t="s">
        <v>2774</v>
      </c>
      <c r="E1189" s="26" t="s">
        <v>5581</v>
      </c>
      <c r="F1189" s="39" t="str">
        <f t="shared" si="72"/>
        <v/>
      </c>
      <c r="G1189" s="39" t="str">
        <f t="shared" si="73"/>
        <v/>
      </c>
      <c r="H1189" s="39" t="str">
        <f t="shared" si="74"/>
        <v/>
      </c>
      <c r="I1189" s="39" t="str">
        <f t="shared" si="75"/>
        <v/>
      </c>
      <c r="J1189" s="39" t="str">
        <f>""</f>
        <v/>
      </c>
    </row>
    <row r="1190" spans="1:10">
      <c r="A1190" s="26" t="s">
        <v>2777</v>
      </c>
      <c r="E1190" s="26" t="s">
        <v>5581</v>
      </c>
      <c r="F1190" s="39" t="str">
        <f t="shared" si="72"/>
        <v/>
      </c>
      <c r="G1190" s="39" t="str">
        <f t="shared" si="73"/>
        <v/>
      </c>
      <c r="H1190" s="39" t="str">
        <f t="shared" si="74"/>
        <v/>
      </c>
      <c r="I1190" s="39" t="str">
        <f t="shared" si="75"/>
        <v/>
      </c>
      <c r="J1190" s="39" t="str">
        <f>""</f>
        <v/>
      </c>
    </row>
    <row r="1191" spans="1:10">
      <c r="A1191" s="26" t="s">
        <v>2779</v>
      </c>
      <c r="E1191" s="26" t="s">
        <v>5581</v>
      </c>
      <c r="F1191" s="39" t="str">
        <f t="shared" si="72"/>
        <v/>
      </c>
      <c r="G1191" s="39" t="str">
        <f t="shared" si="73"/>
        <v/>
      </c>
      <c r="H1191" s="39" t="str">
        <f t="shared" si="74"/>
        <v/>
      </c>
      <c r="I1191" s="39" t="str">
        <f t="shared" si="75"/>
        <v/>
      </c>
      <c r="J1191" s="39" t="str">
        <f>""</f>
        <v/>
      </c>
    </row>
    <row r="1192" spans="1:10">
      <c r="A1192" s="26" t="s">
        <v>2780</v>
      </c>
      <c r="E1192" s="26" t="s">
        <v>5581</v>
      </c>
      <c r="F1192" s="39" t="str">
        <f t="shared" si="72"/>
        <v/>
      </c>
      <c r="G1192" s="39" t="str">
        <f t="shared" si="73"/>
        <v/>
      </c>
      <c r="H1192" s="39" t="str">
        <f t="shared" si="74"/>
        <v/>
      </c>
      <c r="I1192" s="39" t="str">
        <f t="shared" si="75"/>
        <v/>
      </c>
      <c r="J1192" s="39" t="str">
        <f>""</f>
        <v/>
      </c>
    </row>
    <row r="1193" spans="1:10">
      <c r="A1193" s="26" t="s">
        <v>2783</v>
      </c>
      <c r="E1193" s="26" t="s">
        <v>5581</v>
      </c>
      <c r="F1193" s="39" t="str">
        <f t="shared" si="72"/>
        <v/>
      </c>
      <c r="G1193" s="39" t="str">
        <f t="shared" si="73"/>
        <v/>
      </c>
      <c r="H1193" s="39" t="str">
        <f t="shared" si="74"/>
        <v/>
      </c>
      <c r="I1193" s="39" t="str">
        <f t="shared" si="75"/>
        <v/>
      </c>
      <c r="J1193" s="39" t="str">
        <f>""</f>
        <v/>
      </c>
    </row>
    <row r="1194" spans="1:10">
      <c r="A1194" s="26" t="s">
        <v>5943</v>
      </c>
      <c r="E1194" s="26" t="s">
        <v>3790</v>
      </c>
      <c r="F1194" s="39" t="str">
        <f t="shared" si="72"/>
        <v/>
      </c>
      <c r="G1194" s="39" t="str">
        <f t="shared" si="73"/>
        <v/>
      </c>
      <c r="H1194" s="39" t="str">
        <f t="shared" si="74"/>
        <v/>
      </c>
      <c r="I1194" s="39" t="str">
        <f t="shared" si="75"/>
        <v/>
      </c>
      <c r="J1194" s="39" t="str">
        <f>""</f>
        <v/>
      </c>
    </row>
    <row r="1195" spans="1:10">
      <c r="A1195" s="26" t="s">
        <v>2785</v>
      </c>
      <c r="E1195" s="26" t="s">
        <v>5581</v>
      </c>
      <c r="F1195" s="39" t="str">
        <f t="shared" si="72"/>
        <v/>
      </c>
      <c r="G1195" s="39" t="str">
        <f t="shared" si="73"/>
        <v/>
      </c>
      <c r="H1195" s="39" t="str">
        <f t="shared" si="74"/>
        <v/>
      </c>
      <c r="I1195" s="39" t="str">
        <f t="shared" si="75"/>
        <v/>
      </c>
      <c r="J1195" s="39" t="str">
        <f>""</f>
        <v/>
      </c>
    </row>
    <row r="1196" spans="1:10">
      <c r="A1196" s="26" t="s">
        <v>2788</v>
      </c>
      <c r="E1196" s="26" t="s">
        <v>5581</v>
      </c>
      <c r="F1196" s="39" t="str">
        <f t="shared" si="72"/>
        <v/>
      </c>
      <c r="G1196" s="39" t="str">
        <f t="shared" si="73"/>
        <v/>
      </c>
      <c r="H1196" s="39" t="str">
        <f t="shared" si="74"/>
        <v/>
      </c>
      <c r="I1196" s="39" t="str">
        <f t="shared" si="75"/>
        <v/>
      </c>
      <c r="J1196" s="39" t="str">
        <f>""</f>
        <v/>
      </c>
    </row>
    <row r="1197" spans="1:10">
      <c r="A1197" s="26" t="s">
        <v>2791</v>
      </c>
      <c r="E1197" s="26" t="s">
        <v>5581</v>
      </c>
      <c r="F1197" s="39" t="str">
        <f t="shared" si="72"/>
        <v/>
      </c>
      <c r="G1197" s="39" t="str">
        <f t="shared" si="73"/>
        <v/>
      </c>
      <c r="H1197" s="39" t="str">
        <f t="shared" si="74"/>
        <v/>
      </c>
      <c r="I1197" s="39" t="str">
        <f t="shared" si="75"/>
        <v/>
      </c>
      <c r="J1197" s="39" t="str">
        <f>""</f>
        <v/>
      </c>
    </row>
    <row r="1198" spans="1:10">
      <c r="A1198" s="26" t="s">
        <v>2793</v>
      </c>
      <c r="E1198" s="26" t="s">
        <v>5581</v>
      </c>
      <c r="F1198" s="39" t="str">
        <f t="shared" si="72"/>
        <v/>
      </c>
      <c r="G1198" s="39" t="str">
        <f t="shared" si="73"/>
        <v/>
      </c>
      <c r="H1198" s="39" t="str">
        <f t="shared" si="74"/>
        <v/>
      </c>
      <c r="I1198" s="39" t="str">
        <f t="shared" si="75"/>
        <v/>
      </c>
      <c r="J1198" s="39" t="str">
        <f>""</f>
        <v/>
      </c>
    </row>
    <row r="1199" spans="1:10">
      <c r="A1199" s="26" t="s">
        <v>2796</v>
      </c>
      <c r="E1199" s="26" t="s">
        <v>5581</v>
      </c>
      <c r="F1199" s="39" t="str">
        <f t="shared" si="72"/>
        <v/>
      </c>
      <c r="G1199" s="39" t="str">
        <f t="shared" si="73"/>
        <v/>
      </c>
      <c r="H1199" s="39" t="str">
        <f t="shared" si="74"/>
        <v/>
      </c>
      <c r="I1199" s="39" t="str">
        <f t="shared" si="75"/>
        <v/>
      </c>
      <c r="J1199" s="39" t="str">
        <f>""</f>
        <v/>
      </c>
    </row>
    <row r="1200" spans="1:10">
      <c r="A1200" s="26" t="s">
        <v>2800</v>
      </c>
      <c r="E1200" s="26" t="s">
        <v>5581</v>
      </c>
      <c r="F1200" s="39" t="str">
        <f t="shared" si="72"/>
        <v/>
      </c>
      <c r="G1200" s="39" t="str">
        <f t="shared" si="73"/>
        <v/>
      </c>
      <c r="H1200" s="39" t="str">
        <f t="shared" si="74"/>
        <v/>
      </c>
      <c r="I1200" s="39" t="str">
        <f t="shared" si="75"/>
        <v/>
      </c>
      <c r="J1200" s="39" t="str">
        <f>""</f>
        <v/>
      </c>
    </row>
    <row r="1201" spans="1:10">
      <c r="A1201" s="26" t="s">
        <v>2802</v>
      </c>
      <c r="E1201" s="26" t="s">
        <v>5581</v>
      </c>
      <c r="F1201" s="39" t="str">
        <f t="shared" si="72"/>
        <v/>
      </c>
      <c r="G1201" s="39" t="str">
        <f t="shared" si="73"/>
        <v/>
      </c>
      <c r="H1201" s="39" t="str">
        <f t="shared" si="74"/>
        <v/>
      </c>
      <c r="I1201" s="39" t="str">
        <f t="shared" si="75"/>
        <v/>
      </c>
      <c r="J1201" s="39" t="str">
        <f>""</f>
        <v/>
      </c>
    </row>
    <row r="1202" spans="1:10">
      <c r="A1202" s="26" t="s">
        <v>2804</v>
      </c>
      <c r="E1202" s="26" t="s">
        <v>5581</v>
      </c>
      <c r="F1202" s="39" t="str">
        <f t="shared" si="72"/>
        <v/>
      </c>
      <c r="G1202" s="39" t="str">
        <f t="shared" si="73"/>
        <v/>
      </c>
      <c r="H1202" s="39" t="str">
        <f t="shared" si="74"/>
        <v/>
      </c>
      <c r="I1202" s="39" t="str">
        <f t="shared" si="75"/>
        <v/>
      </c>
      <c r="J1202" s="39" t="str">
        <f>""</f>
        <v/>
      </c>
    </row>
    <row r="1203" spans="1:10">
      <c r="A1203" s="26" t="s">
        <v>2806</v>
      </c>
      <c r="E1203" s="26" t="s">
        <v>5581</v>
      </c>
      <c r="F1203" s="39" t="str">
        <f t="shared" si="72"/>
        <v/>
      </c>
      <c r="G1203" s="39" t="str">
        <f t="shared" si="73"/>
        <v/>
      </c>
      <c r="H1203" s="39" t="str">
        <f t="shared" si="74"/>
        <v/>
      </c>
      <c r="I1203" s="39" t="str">
        <f t="shared" si="75"/>
        <v/>
      </c>
      <c r="J1203" s="39" t="str">
        <f>""</f>
        <v/>
      </c>
    </row>
    <row r="1204" spans="1:10">
      <c r="A1204" s="26" t="s">
        <v>2809</v>
      </c>
      <c r="E1204" s="26" t="s">
        <v>5581</v>
      </c>
      <c r="F1204" s="39" t="str">
        <f t="shared" si="72"/>
        <v/>
      </c>
      <c r="G1204" s="39" t="str">
        <f t="shared" si="73"/>
        <v/>
      </c>
      <c r="H1204" s="39" t="str">
        <f t="shared" si="74"/>
        <v/>
      </c>
      <c r="I1204" s="39" t="str">
        <f t="shared" si="75"/>
        <v/>
      </c>
      <c r="J1204" s="39" t="str">
        <f>""</f>
        <v/>
      </c>
    </row>
    <row r="1205" spans="1:10">
      <c r="A1205" s="26" t="s">
        <v>2812</v>
      </c>
      <c r="E1205" s="26" t="s">
        <v>5582</v>
      </c>
      <c r="F1205" s="39" t="str">
        <f t="shared" si="72"/>
        <v/>
      </c>
      <c r="G1205" s="39" t="str">
        <f t="shared" si="73"/>
        <v/>
      </c>
      <c r="H1205" s="39" t="str">
        <f t="shared" si="74"/>
        <v/>
      </c>
      <c r="I1205" s="39" t="str">
        <f t="shared" si="75"/>
        <v/>
      </c>
      <c r="J1205" s="39" t="str">
        <f>""</f>
        <v/>
      </c>
    </row>
    <row r="1206" spans="1:10">
      <c r="A1206" s="26" t="s">
        <v>3407</v>
      </c>
      <c r="E1206" s="26" t="s">
        <v>5582</v>
      </c>
      <c r="F1206" s="39" t="str">
        <f t="shared" si="72"/>
        <v/>
      </c>
      <c r="G1206" s="39" t="str">
        <f t="shared" si="73"/>
        <v/>
      </c>
      <c r="H1206" s="39" t="str">
        <f t="shared" si="74"/>
        <v/>
      </c>
      <c r="I1206" s="39" t="str">
        <f t="shared" si="75"/>
        <v/>
      </c>
      <c r="J1206" s="39" t="str">
        <f>""</f>
        <v/>
      </c>
    </row>
    <row r="1207" spans="1:10">
      <c r="A1207" s="26" t="s">
        <v>3409</v>
      </c>
      <c r="E1207" s="26" t="s">
        <v>5582</v>
      </c>
      <c r="F1207" s="39" t="str">
        <f t="shared" si="72"/>
        <v/>
      </c>
      <c r="G1207" s="39" t="str">
        <f t="shared" si="73"/>
        <v/>
      </c>
      <c r="H1207" s="39" t="str">
        <f t="shared" si="74"/>
        <v/>
      </c>
      <c r="I1207" s="39" t="str">
        <f t="shared" si="75"/>
        <v/>
      </c>
      <c r="J1207" s="39" t="str">
        <f>""</f>
        <v/>
      </c>
    </row>
    <row r="1208" spans="1:10">
      <c r="A1208" s="26" t="s">
        <v>1534</v>
      </c>
      <c r="E1208" s="26" t="s">
        <v>5581</v>
      </c>
      <c r="F1208" s="39" t="str">
        <f t="shared" si="72"/>
        <v/>
      </c>
      <c r="G1208" s="39" t="str">
        <f t="shared" si="73"/>
        <v/>
      </c>
      <c r="H1208" s="39" t="str">
        <f t="shared" si="74"/>
        <v/>
      </c>
      <c r="I1208" s="39" t="str">
        <f t="shared" si="75"/>
        <v/>
      </c>
      <c r="J1208" s="39" t="str">
        <f>""</f>
        <v/>
      </c>
    </row>
    <row r="1209" spans="1:10">
      <c r="A1209" s="26" t="s">
        <v>1537</v>
      </c>
      <c r="E1209" s="26" t="s">
        <v>5581</v>
      </c>
      <c r="F1209" s="39" t="str">
        <f t="shared" si="72"/>
        <v/>
      </c>
      <c r="G1209" s="39" t="str">
        <f t="shared" si="73"/>
        <v/>
      </c>
      <c r="H1209" s="39" t="str">
        <f t="shared" si="74"/>
        <v/>
      </c>
      <c r="I1209" s="39" t="str">
        <f t="shared" si="75"/>
        <v/>
      </c>
      <c r="J1209" s="39" t="str">
        <f>""</f>
        <v/>
      </c>
    </row>
    <row r="1210" spans="1:10">
      <c r="A1210" s="26" t="s">
        <v>1538</v>
      </c>
      <c r="E1210" s="26" t="s">
        <v>5581</v>
      </c>
      <c r="F1210" s="39" t="str">
        <f t="shared" si="72"/>
        <v/>
      </c>
      <c r="G1210" s="39" t="str">
        <f t="shared" si="73"/>
        <v/>
      </c>
      <c r="H1210" s="39" t="str">
        <f t="shared" si="74"/>
        <v/>
      </c>
      <c r="I1210" s="39" t="str">
        <f t="shared" si="75"/>
        <v/>
      </c>
      <c r="J1210" s="39" t="str">
        <f>""</f>
        <v/>
      </c>
    </row>
    <row r="1211" spans="1:10">
      <c r="A1211" s="26" t="s">
        <v>1539</v>
      </c>
      <c r="E1211" s="26" t="s">
        <v>5581</v>
      </c>
      <c r="F1211" s="39" t="str">
        <f t="shared" si="72"/>
        <v/>
      </c>
      <c r="G1211" s="39" t="str">
        <f t="shared" si="73"/>
        <v/>
      </c>
      <c r="H1211" s="39" t="str">
        <f t="shared" si="74"/>
        <v/>
      </c>
      <c r="I1211" s="39" t="str">
        <f t="shared" si="75"/>
        <v/>
      </c>
      <c r="J1211" s="39" t="str">
        <f>""</f>
        <v/>
      </c>
    </row>
    <row r="1212" spans="1:10">
      <c r="A1212" s="26" t="s">
        <v>1542</v>
      </c>
      <c r="E1212" s="26" t="s">
        <v>5581</v>
      </c>
      <c r="F1212" s="39" t="str">
        <f t="shared" si="72"/>
        <v/>
      </c>
      <c r="G1212" s="39" t="str">
        <f t="shared" si="73"/>
        <v/>
      </c>
      <c r="H1212" s="39" t="str">
        <f t="shared" si="74"/>
        <v/>
      </c>
      <c r="I1212" s="39" t="str">
        <f t="shared" si="75"/>
        <v/>
      </c>
      <c r="J1212" s="39" t="str">
        <f>""</f>
        <v/>
      </c>
    </row>
    <row r="1213" spans="1:10">
      <c r="A1213" s="26" t="s">
        <v>1543</v>
      </c>
      <c r="E1213" s="26" t="s">
        <v>5581</v>
      </c>
      <c r="F1213" s="39" t="str">
        <f t="shared" si="72"/>
        <v/>
      </c>
      <c r="G1213" s="39" t="str">
        <f t="shared" si="73"/>
        <v/>
      </c>
      <c r="H1213" s="39" t="str">
        <f t="shared" si="74"/>
        <v/>
      </c>
      <c r="I1213" s="39" t="str">
        <f t="shared" si="75"/>
        <v/>
      </c>
      <c r="J1213" s="39" t="str">
        <f>""</f>
        <v/>
      </c>
    </row>
    <row r="1214" spans="1:10">
      <c r="A1214" s="26" t="s">
        <v>1545</v>
      </c>
      <c r="E1214" s="26" t="s">
        <v>5581</v>
      </c>
      <c r="F1214" s="39" t="str">
        <f t="shared" si="72"/>
        <v/>
      </c>
      <c r="G1214" s="39" t="str">
        <f t="shared" si="73"/>
        <v/>
      </c>
      <c r="H1214" s="39" t="str">
        <f t="shared" si="74"/>
        <v/>
      </c>
      <c r="I1214" s="39" t="str">
        <f t="shared" si="75"/>
        <v/>
      </c>
      <c r="J1214" s="39" t="str">
        <f>""</f>
        <v/>
      </c>
    </row>
    <row r="1215" spans="1:10">
      <c r="A1215" s="26" t="s">
        <v>1547</v>
      </c>
      <c r="E1215" s="26" t="s">
        <v>5581</v>
      </c>
      <c r="F1215" s="39" t="str">
        <f t="shared" si="72"/>
        <v/>
      </c>
      <c r="G1215" s="39" t="str">
        <f t="shared" si="73"/>
        <v/>
      </c>
      <c r="H1215" s="39" t="str">
        <f t="shared" si="74"/>
        <v/>
      </c>
      <c r="I1215" s="39" t="str">
        <f t="shared" si="75"/>
        <v/>
      </c>
      <c r="J1215" s="39" t="str">
        <f>""</f>
        <v/>
      </c>
    </row>
    <row r="1216" spans="1:10">
      <c r="A1216" s="26" t="s">
        <v>6308</v>
      </c>
      <c r="E1216" s="26" t="s">
        <v>3790</v>
      </c>
      <c r="F1216" s="39" t="str">
        <f t="shared" si="72"/>
        <v/>
      </c>
      <c r="G1216" s="39" t="str">
        <f t="shared" si="73"/>
        <v/>
      </c>
      <c r="H1216" s="39" t="str">
        <f t="shared" si="74"/>
        <v/>
      </c>
      <c r="I1216" s="39" t="str">
        <f t="shared" si="75"/>
        <v/>
      </c>
      <c r="J1216" s="39" t="str">
        <f>""</f>
        <v/>
      </c>
    </row>
    <row r="1217" spans="1:10">
      <c r="A1217" s="26" t="s">
        <v>1550</v>
      </c>
      <c r="E1217" s="26" t="s">
        <v>5581</v>
      </c>
      <c r="F1217" s="39" t="str">
        <f t="shared" si="72"/>
        <v/>
      </c>
      <c r="G1217" s="39" t="str">
        <f t="shared" si="73"/>
        <v/>
      </c>
      <c r="H1217" s="39" t="str">
        <f t="shared" si="74"/>
        <v/>
      </c>
      <c r="I1217" s="39" t="str">
        <f t="shared" si="75"/>
        <v/>
      </c>
      <c r="J1217" s="39" t="str">
        <f>""</f>
        <v/>
      </c>
    </row>
    <row r="1218" spans="1:10">
      <c r="A1218" s="26" t="s">
        <v>1551</v>
      </c>
      <c r="E1218" s="26" t="s">
        <v>5581</v>
      </c>
      <c r="F1218" s="39" t="str">
        <f t="shared" si="72"/>
        <v/>
      </c>
      <c r="G1218" s="39" t="str">
        <f t="shared" si="73"/>
        <v/>
      </c>
      <c r="H1218" s="39" t="str">
        <f t="shared" si="74"/>
        <v/>
      </c>
      <c r="I1218" s="39" t="str">
        <f t="shared" si="75"/>
        <v/>
      </c>
      <c r="J1218" s="39" t="str">
        <f>""</f>
        <v/>
      </c>
    </row>
    <row r="1219" spans="1:10">
      <c r="A1219" s="26" t="s">
        <v>1552</v>
      </c>
      <c r="E1219" s="26" t="s">
        <v>5582</v>
      </c>
      <c r="F1219" s="39" t="str">
        <f t="shared" ref="F1219:F1282" si="76">IF(C1219="","",IF(C1219&lt;99,C1219,""))</f>
        <v/>
      </c>
      <c r="G1219" s="39" t="str">
        <f t="shared" ref="G1219:G1282" si="77">IF(OR(F1219&lt;&gt;"",D1219&lt;&gt;""),C1219,"")</f>
        <v/>
      </c>
      <c r="H1219" s="39" t="str">
        <f t="shared" ref="H1219:H1282" si="78">IF(C1219="","",C1219)</f>
        <v/>
      </c>
      <c r="I1219" s="39" t="str">
        <f t="shared" ref="I1219:I1282" si="79">IF(AND(C1219&lt;&gt;"",D1219&lt;&gt;""),C1219,"")</f>
        <v/>
      </c>
      <c r="J1219" s="39" t="str">
        <f>""</f>
        <v/>
      </c>
    </row>
    <row r="1220" spans="1:10">
      <c r="A1220" s="26" t="s">
        <v>1555</v>
      </c>
      <c r="E1220" s="26" t="s">
        <v>5581</v>
      </c>
      <c r="F1220" s="39" t="str">
        <f t="shared" si="76"/>
        <v/>
      </c>
      <c r="G1220" s="39" t="str">
        <f t="shared" si="77"/>
        <v/>
      </c>
      <c r="H1220" s="39" t="str">
        <f t="shared" si="78"/>
        <v/>
      </c>
      <c r="I1220" s="39" t="str">
        <f t="shared" si="79"/>
        <v/>
      </c>
      <c r="J1220" s="39" t="str">
        <f>""</f>
        <v/>
      </c>
    </row>
    <row r="1221" spans="1:10">
      <c r="A1221" s="26" t="s">
        <v>1557</v>
      </c>
      <c r="E1221" s="26" t="s">
        <v>5581</v>
      </c>
      <c r="F1221" s="39" t="str">
        <f t="shared" si="76"/>
        <v/>
      </c>
      <c r="G1221" s="39" t="str">
        <f t="shared" si="77"/>
        <v/>
      </c>
      <c r="H1221" s="39" t="str">
        <f t="shared" si="78"/>
        <v/>
      </c>
      <c r="I1221" s="39" t="str">
        <f t="shared" si="79"/>
        <v/>
      </c>
      <c r="J1221" s="39" t="str">
        <f>""</f>
        <v/>
      </c>
    </row>
    <row r="1222" spans="1:10">
      <c r="A1222" s="26" t="s">
        <v>1560</v>
      </c>
      <c r="E1222" s="26" t="s">
        <v>5581</v>
      </c>
      <c r="F1222" s="39" t="str">
        <f t="shared" si="76"/>
        <v/>
      </c>
      <c r="G1222" s="39" t="str">
        <f t="shared" si="77"/>
        <v/>
      </c>
      <c r="H1222" s="39" t="str">
        <f t="shared" si="78"/>
        <v/>
      </c>
      <c r="I1222" s="39" t="str">
        <f t="shared" si="79"/>
        <v/>
      </c>
      <c r="J1222" s="39" t="str">
        <f>""</f>
        <v/>
      </c>
    </row>
    <row r="1223" spans="1:10">
      <c r="A1223" s="26" t="s">
        <v>2815</v>
      </c>
      <c r="E1223" s="26" t="s">
        <v>5582</v>
      </c>
      <c r="F1223" s="39" t="str">
        <f t="shared" si="76"/>
        <v/>
      </c>
      <c r="G1223" s="39" t="str">
        <f t="shared" si="77"/>
        <v/>
      </c>
      <c r="H1223" s="39" t="str">
        <f t="shared" si="78"/>
        <v/>
      </c>
      <c r="I1223" s="39" t="str">
        <f t="shared" si="79"/>
        <v/>
      </c>
      <c r="J1223" s="39" t="str">
        <f>""</f>
        <v/>
      </c>
    </row>
    <row r="1224" spans="1:10">
      <c r="A1224" s="26" t="s">
        <v>2817</v>
      </c>
      <c r="E1224" s="26" t="s">
        <v>5582</v>
      </c>
      <c r="F1224" s="39" t="str">
        <f t="shared" si="76"/>
        <v/>
      </c>
      <c r="G1224" s="39" t="str">
        <f t="shared" si="77"/>
        <v/>
      </c>
      <c r="H1224" s="39" t="str">
        <f t="shared" si="78"/>
        <v/>
      </c>
      <c r="I1224" s="39" t="str">
        <f t="shared" si="79"/>
        <v/>
      </c>
      <c r="J1224" s="39" t="str">
        <f>""</f>
        <v/>
      </c>
    </row>
    <row r="1225" spans="1:10">
      <c r="A1225" s="26" t="s">
        <v>1561</v>
      </c>
      <c r="E1225" s="26" t="s">
        <v>5581</v>
      </c>
      <c r="F1225" s="39" t="str">
        <f t="shared" si="76"/>
        <v/>
      </c>
      <c r="G1225" s="39" t="str">
        <f t="shared" si="77"/>
        <v/>
      </c>
      <c r="H1225" s="39" t="str">
        <f t="shared" si="78"/>
        <v/>
      </c>
      <c r="I1225" s="39" t="str">
        <f t="shared" si="79"/>
        <v/>
      </c>
      <c r="J1225" s="39" t="str">
        <f>""</f>
        <v/>
      </c>
    </row>
    <row r="1226" spans="1:10">
      <c r="A1226" s="26" t="s">
        <v>1563</v>
      </c>
      <c r="E1226" s="26" t="s">
        <v>5581</v>
      </c>
      <c r="F1226" s="39" t="str">
        <f t="shared" si="76"/>
        <v/>
      </c>
      <c r="G1226" s="39" t="str">
        <f t="shared" si="77"/>
        <v/>
      </c>
      <c r="H1226" s="39" t="str">
        <f t="shared" si="78"/>
        <v/>
      </c>
      <c r="I1226" s="39" t="str">
        <f t="shared" si="79"/>
        <v/>
      </c>
      <c r="J1226" s="39" t="str">
        <f>""</f>
        <v/>
      </c>
    </row>
    <row r="1227" spans="1:10">
      <c r="A1227" s="26" t="s">
        <v>1564</v>
      </c>
      <c r="E1227" s="26" t="s">
        <v>3790</v>
      </c>
      <c r="F1227" s="39" t="str">
        <f t="shared" si="76"/>
        <v/>
      </c>
      <c r="G1227" s="39" t="str">
        <f t="shared" si="77"/>
        <v/>
      </c>
      <c r="H1227" s="39" t="str">
        <f t="shared" si="78"/>
        <v/>
      </c>
      <c r="I1227" s="39" t="str">
        <f t="shared" si="79"/>
        <v/>
      </c>
      <c r="J1227" s="39" t="str">
        <f>""</f>
        <v/>
      </c>
    </row>
    <row r="1228" spans="1:10">
      <c r="A1228" s="26" t="s">
        <v>1567</v>
      </c>
      <c r="E1228" s="26" t="s">
        <v>3790</v>
      </c>
      <c r="F1228" s="39" t="str">
        <f t="shared" si="76"/>
        <v/>
      </c>
      <c r="G1228" s="39" t="str">
        <f t="shared" si="77"/>
        <v/>
      </c>
      <c r="H1228" s="39" t="str">
        <f t="shared" si="78"/>
        <v/>
      </c>
      <c r="I1228" s="39" t="str">
        <f t="shared" si="79"/>
        <v/>
      </c>
      <c r="J1228" s="39" t="str">
        <f>""</f>
        <v/>
      </c>
    </row>
    <row r="1229" spans="1:10">
      <c r="A1229" s="26" t="s">
        <v>1569</v>
      </c>
      <c r="E1229" s="26" t="s">
        <v>5581</v>
      </c>
      <c r="F1229" s="39" t="str">
        <f t="shared" si="76"/>
        <v/>
      </c>
      <c r="G1229" s="39" t="str">
        <f t="shared" si="77"/>
        <v/>
      </c>
      <c r="H1229" s="39" t="str">
        <f t="shared" si="78"/>
        <v/>
      </c>
      <c r="I1229" s="39" t="str">
        <f t="shared" si="79"/>
        <v/>
      </c>
      <c r="J1229" s="39" t="str">
        <f>""</f>
        <v/>
      </c>
    </row>
    <row r="1230" spans="1:10">
      <c r="A1230" s="26" t="s">
        <v>2818</v>
      </c>
      <c r="E1230" s="26" t="s">
        <v>5581</v>
      </c>
      <c r="F1230" s="39" t="str">
        <f t="shared" si="76"/>
        <v/>
      </c>
      <c r="G1230" s="39" t="str">
        <f t="shared" si="77"/>
        <v/>
      </c>
      <c r="H1230" s="39" t="str">
        <f t="shared" si="78"/>
        <v/>
      </c>
      <c r="I1230" s="39" t="str">
        <f t="shared" si="79"/>
        <v/>
      </c>
      <c r="J1230" s="39" t="str">
        <f>""</f>
        <v/>
      </c>
    </row>
    <row r="1231" spans="1:10">
      <c r="A1231" s="26" t="s">
        <v>2821</v>
      </c>
      <c r="E1231" s="26" t="s">
        <v>5581</v>
      </c>
      <c r="F1231" s="39" t="str">
        <f t="shared" si="76"/>
        <v/>
      </c>
      <c r="G1231" s="39" t="str">
        <f t="shared" si="77"/>
        <v/>
      </c>
      <c r="H1231" s="39" t="str">
        <f t="shared" si="78"/>
        <v/>
      </c>
      <c r="I1231" s="39" t="str">
        <f t="shared" si="79"/>
        <v/>
      </c>
      <c r="J1231" s="39" t="str">
        <f>""</f>
        <v/>
      </c>
    </row>
    <row r="1232" spans="1:10">
      <c r="A1232" s="26" t="s">
        <v>1571</v>
      </c>
      <c r="E1232" s="26" t="s">
        <v>5581</v>
      </c>
      <c r="F1232" s="39" t="str">
        <f t="shared" si="76"/>
        <v/>
      </c>
      <c r="G1232" s="39" t="str">
        <f t="shared" si="77"/>
        <v/>
      </c>
      <c r="H1232" s="39" t="str">
        <f t="shared" si="78"/>
        <v/>
      </c>
      <c r="I1232" s="39" t="str">
        <f t="shared" si="79"/>
        <v/>
      </c>
      <c r="J1232" s="39" t="str">
        <f>""</f>
        <v/>
      </c>
    </row>
    <row r="1233" spans="1:10">
      <c r="A1233" s="26" t="s">
        <v>1573</v>
      </c>
      <c r="E1233" s="26" t="s">
        <v>5581</v>
      </c>
      <c r="F1233" s="39" t="str">
        <f t="shared" si="76"/>
        <v/>
      </c>
      <c r="G1233" s="39" t="str">
        <f t="shared" si="77"/>
        <v/>
      </c>
      <c r="H1233" s="39" t="str">
        <f t="shared" si="78"/>
        <v/>
      </c>
      <c r="I1233" s="39" t="str">
        <f t="shared" si="79"/>
        <v/>
      </c>
      <c r="J1233" s="39" t="str">
        <f>""</f>
        <v/>
      </c>
    </row>
    <row r="1234" spans="1:10">
      <c r="A1234" s="26" t="s">
        <v>1574</v>
      </c>
      <c r="E1234" s="26" t="s">
        <v>3790</v>
      </c>
      <c r="F1234" s="39" t="str">
        <f t="shared" si="76"/>
        <v/>
      </c>
      <c r="G1234" s="39" t="str">
        <f t="shared" si="77"/>
        <v/>
      </c>
      <c r="H1234" s="39" t="str">
        <f t="shared" si="78"/>
        <v/>
      </c>
      <c r="I1234" s="39" t="str">
        <f t="shared" si="79"/>
        <v/>
      </c>
      <c r="J1234" s="39" t="str">
        <f>""</f>
        <v/>
      </c>
    </row>
    <row r="1235" spans="1:10">
      <c r="A1235" s="26" t="s">
        <v>1576</v>
      </c>
      <c r="E1235" s="26" t="s">
        <v>5581</v>
      </c>
      <c r="F1235" s="39" t="str">
        <f t="shared" si="76"/>
        <v/>
      </c>
      <c r="G1235" s="39" t="str">
        <f t="shared" si="77"/>
        <v/>
      </c>
      <c r="H1235" s="39" t="str">
        <f t="shared" si="78"/>
        <v/>
      </c>
      <c r="I1235" s="39" t="str">
        <f t="shared" si="79"/>
        <v/>
      </c>
      <c r="J1235" s="39" t="str">
        <f>""</f>
        <v/>
      </c>
    </row>
    <row r="1236" spans="1:10">
      <c r="A1236" s="26" t="s">
        <v>1577</v>
      </c>
      <c r="C1236" s="39">
        <v>200</v>
      </c>
      <c r="E1236" s="26" t="s">
        <v>5581</v>
      </c>
      <c r="F1236" s="39" t="str">
        <f t="shared" si="76"/>
        <v/>
      </c>
      <c r="G1236" s="39" t="str">
        <f t="shared" si="77"/>
        <v/>
      </c>
      <c r="H1236" s="39">
        <f t="shared" si="78"/>
        <v>200</v>
      </c>
      <c r="I1236" s="39" t="str">
        <f t="shared" si="79"/>
        <v/>
      </c>
      <c r="J1236" s="39" t="str">
        <f>""</f>
        <v/>
      </c>
    </row>
    <row r="1237" spans="1:10">
      <c r="A1237" s="26" t="s">
        <v>2823</v>
      </c>
      <c r="E1237" s="26" t="s">
        <v>5581</v>
      </c>
      <c r="F1237" s="39" t="str">
        <f t="shared" si="76"/>
        <v/>
      </c>
      <c r="G1237" s="39" t="str">
        <f t="shared" si="77"/>
        <v/>
      </c>
      <c r="H1237" s="39" t="str">
        <f t="shared" si="78"/>
        <v/>
      </c>
      <c r="I1237" s="39" t="str">
        <f t="shared" si="79"/>
        <v/>
      </c>
      <c r="J1237" s="39" t="str">
        <f>""</f>
        <v/>
      </c>
    </row>
    <row r="1238" spans="1:10">
      <c r="A1238" s="26" t="s">
        <v>2825</v>
      </c>
      <c r="E1238" s="26" t="s">
        <v>5581</v>
      </c>
      <c r="F1238" s="39" t="str">
        <f t="shared" si="76"/>
        <v/>
      </c>
      <c r="G1238" s="39" t="str">
        <f t="shared" si="77"/>
        <v/>
      </c>
      <c r="H1238" s="39" t="str">
        <f t="shared" si="78"/>
        <v/>
      </c>
      <c r="I1238" s="39" t="str">
        <f t="shared" si="79"/>
        <v/>
      </c>
      <c r="J1238" s="39" t="str">
        <f>""</f>
        <v/>
      </c>
    </row>
    <row r="1239" spans="1:10">
      <c r="A1239" s="26" t="s">
        <v>2826</v>
      </c>
      <c r="E1239" s="26" t="s">
        <v>5581</v>
      </c>
      <c r="F1239" s="39" t="str">
        <f t="shared" si="76"/>
        <v/>
      </c>
      <c r="G1239" s="39" t="str">
        <f t="shared" si="77"/>
        <v/>
      </c>
      <c r="H1239" s="39" t="str">
        <f t="shared" si="78"/>
        <v/>
      </c>
      <c r="I1239" s="39" t="str">
        <f t="shared" si="79"/>
        <v/>
      </c>
      <c r="J1239" s="39" t="str">
        <f>""</f>
        <v/>
      </c>
    </row>
    <row r="1240" spans="1:10">
      <c r="A1240" s="26" t="s">
        <v>2829</v>
      </c>
      <c r="E1240" s="26" t="s">
        <v>5581</v>
      </c>
      <c r="F1240" s="39" t="str">
        <f t="shared" si="76"/>
        <v/>
      </c>
      <c r="G1240" s="39" t="str">
        <f t="shared" si="77"/>
        <v/>
      </c>
      <c r="H1240" s="39" t="str">
        <f t="shared" si="78"/>
        <v/>
      </c>
      <c r="I1240" s="39" t="str">
        <f t="shared" si="79"/>
        <v/>
      </c>
      <c r="J1240" s="39" t="str">
        <f>""</f>
        <v/>
      </c>
    </row>
    <row r="1241" spans="1:10">
      <c r="A1241" s="26" t="s">
        <v>5946</v>
      </c>
      <c r="E1241" s="26" t="s">
        <v>3790</v>
      </c>
      <c r="F1241" s="39" t="str">
        <f t="shared" si="76"/>
        <v/>
      </c>
      <c r="G1241" s="39" t="str">
        <f t="shared" si="77"/>
        <v/>
      </c>
      <c r="H1241" s="39" t="str">
        <f t="shared" si="78"/>
        <v/>
      </c>
      <c r="I1241" s="39" t="str">
        <f t="shared" si="79"/>
        <v/>
      </c>
      <c r="J1241" s="39" t="str">
        <f>""</f>
        <v/>
      </c>
    </row>
    <row r="1242" spans="1:10">
      <c r="A1242" s="26" t="s">
        <v>2831</v>
      </c>
      <c r="E1242" s="26" t="s">
        <v>3790</v>
      </c>
      <c r="F1242" s="39" t="str">
        <f t="shared" si="76"/>
        <v/>
      </c>
      <c r="G1242" s="39" t="str">
        <f t="shared" si="77"/>
        <v/>
      </c>
      <c r="H1242" s="39" t="str">
        <f t="shared" si="78"/>
        <v/>
      </c>
      <c r="I1242" s="39" t="str">
        <f t="shared" si="79"/>
        <v/>
      </c>
      <c r="J1242" s="39" t="str">
        <f>""</f>
        <v/>
      </c>
    </row>
    <row r="1243" spans="1:10">
      <c r="A1243" s="26" t="s">
        <v>3669</v>
      </c>
      <c r="E1243" s="26" t="s">
        <v>3790</v>
      </c>
      <c r="F1243" s="39" t="str">
        <f t="shared" si="76"/>
        <v/>
      </c>
      <c r="G1243" s="39" t="str">
        <f t="shared" si="77"/>
        <v/>
      </c>
      <c r="H1243" s="39" t="str">
        <f t="shared" si="78"/>
        <v/>
      </c>
      <c r="I1243" s="39" t="str">
        <f t="shared" si="79"/>
        <v/>
      </c>
      <c r="J1243" s="39" t="str">
        <f>""</f>
        <v/>
      </c>
    </row>
    <row r="1244" spans="1:10">
      <c r="A1244" s="26" t="s">
        <v>2834</v>
      </c>
      <c r="E1244" s="26" t="s">
        <v>3790</v>
      </c>
      <c r="F1244" s="39" t="str">
        <f t="shared" si="76"/>
        <v/>
      </c>
      <c r="G1244" s="39" t="str">
        <f t="shared" si="77"/>
        <v/>
      </c>
      <c r="H1244" s="39" t="str">
        <f t="shared" si="78"/>
        <v/>
      </c>
      <c r="I1244" s="39" t="str">
        <f t="shared" si="79"/>
        <v/>
      </c>
      <c r="J1244" s="39" t="str">
        <f>""</f>
        <v/>
      </c>
    </row>
    <row r="1245" spans="1:10">
      <c r="A1245" s="26" t="s">
        <v>2837</v>
      </c>
      <c r="E1245" s="26" t="s">
        <v>5581</v>
      </c>
      <c r="F1245" s="39" t="str">
        <f t="shared" si="76"/>
        <v/>
      </c>
      <c r="G1245" s="39" t="str">
        <f t="shared" si="77"/>
        <v/>
      </c>
      <c r="H1245" s="39" t="str">
        <f t="shared" si="78"/>
        <v/>
      </c>
      <c r="I1245" s="39" t="str">
        <f t="shared" si="79"/>
        <v/>
      </c>
      <c r="J1245" s="39" t="str">
        <f>""</f>
        <v/>
      </c>
    </row>
    <row r="1246" spans="1:10">
      <c r="A1246" s="26" t="s">
        <v>2839</v>
      </c>
      <c r="E1246" s="26" t="s">
        <v>5581</v>
      </c>
      <c r="F1246" s="39" t="str">
        <f t="shared" si="76"/>
        <v/>
      </c>
      <c r="G1246" s="39" t="str">
        <f t="shared" si="77"/>
        <v/>
      </c>
      <c r="H1246" s="39" t="str">
        <f t="shared" si="78"/>
        <v/>
      </c>
      <c r="I1246" s="39" t="str">
        <f t="shared" si="79"/>
        <v/>
      </c>
      <c r="J1246" s="39" t="str">
        <f>""</f>
        <v/>
      </c>
    </row>
    <row r="1247" spans="1:10">
      <c r="A1247" s="26" t="s">
        <v>2841</v>
      </c>
      <c r="E1247" s="26" t="s">
        <v>5581</v>
      </c>
      <c r="F1247" s="39" t="str">
        <f t="shared" si="76"/>
        <v/>
      </c>
      <c r="G1247" s="39" t="str">
        <f t="shared" si="77"/>
        <v/>
      </c>
      <c r="H1247" s="39" t="str">
        <f t="shared" si="78"/>
        <v/>
      </c>
      <c r="I1247" s="39" t="str">
        <f t="shared" si="79"/>
        <v/>
      </c>
      <c r="J1247" s="39" t="str">
        <f>""</f>
        <v/>
      </c>
    </row>
    <row r="1248" spans="1:10">
      <c r="A1248" s="26" t="s">
        <v>2843</v>
      </c>
      <c r="E1248" s="26" t="s">
        <v>5581</v>
      </c>
      <c r="F1248" s="39" t="str">
        <f t="shared" si="76"/>
        <v/>
      </c>
      <c r="G1248" s="39" t="str">
        <f t="shared" si="77"/>
        <v/>
      </c>
      <c r="H1248" s="39" t="str">
        <f t="shared" si="78"/>
        <v/>
      </c>
      <c r="I1248" s="39" t="str">
        <f t="shared" si="79"/>
        <v/>
      </c>
      <c r="J1248" s="39" t="str">
        <f>""</f>
        <v/>
      </c>
    </row>
    <row r="1249" spans="1:10">
      <c r="A1249" s="26" t="s">
        <v>2844</v>
      </c>
      <c r="E1249" s="26" t="s">
        <v>5581</v>
      </c>
      <c r="F1249" s="39" t="str">
        <f t="shared" si="76"/>
        <v/>
      </c>
      <c r="G1249" s="39" t="str">
        <f t="shared" si="77"/>
        <v/>
      </c>
      <c r="H1249" s="39" t="str">
        <f t="shared" si="78"/>
        <v/>
      </c>
      <c r="I1249" s="39" t="str">
        <f t="shared" si="79"/>
        <v/>
      </c>
      <c r="J1249" s="39" t="str">
        <f>""</f>
        <v/>
      </c>
    </row>
    <row r="1250" spans="1:10">
      <c r="A1250" s="26" t="s">
        <v>2846</v>
      </c>
      <c r="E1250" s="26" t="s">
        <v>5581</v>
      </c>
      <c r="F1250" s="39" t="str">
        <f t="shared" si="76"/>
        <v/>
      </c>
      <c r="G1250" s="39" t="str">
        <f t="shared" si="77"/>
        <v/>
      </c>
      <c r="H1250" s="39" t="str">
        <f t="shared" si="78"/>
        <v/>
      </c>
      <c r="I1250" s="39" t="str">
        <f t="shared" si="79"/>
        <v/>
      </c>
      <c r="J1250" s="39" t="str">
        <f>""</f>
        <v/>
      </c>
    </row>
    <row r="1251" spans="1:10">
      <c r="A1251" s="26" t="s">
        <v>2847</v>
      </c>
      <c r="E1251" s="26" t="s">
        <v>5581</v>
      </c>
      <c r="F1251" s="39" t="str">
        <f t="shared" si="76"/>
        <v/>
      </c>
      <c r="G1251" s="39" t="str">
        <f t="shared" si="77"/>
        <v/>
      </c>
      <c r="H1251" s="39" t="str">
        <f t="shared" si="78"/>
        <v/>
      </c>
      <c r="I1251" s="39" t="str">
        <f t="shared" si="79"/>
        <v/>
      </c>
      <c r="J1251" s="39" t="str">
        <f>""</f>
        <v/>
      </c>
    </row>
    <row r="1252" spans="1:10">
      <c r="A1252" s="26" t="s">
        <v>2849</v>
      </c>
      <c r="E1252" s="26" t="s">
        <v>5581</v>
      </c>
      <c r="F1252" s="39" t="str">
        <f t="shared" si="76"/>
        <v/>
      </c>
      <c r="G1252" s="39" t="str">
        <f t="shared" si="77"/>
        <v/>
      </c>
      <c r="H1252" s="39" t="str">
        <f t="shared" si="78"/>
        <v/>
      </c>
      <c r="I1252" s="39" t="str">
        <f t="shared" si="79"/>
        <v/>
      </c>
      <c r="J1252" s="39" t="str">
        <f>""</f>
        <v/>
      </c>
    </row>
    <row r="1253" spans="1:10">
      <c r="A1253" s="26" t="s">
        <v>2850</v>
      </c>
      <c r="E1253" s="26" t="s">
        <v>5581</v>
      </c>
      <c r="F1253" s="39" t="str">
        <f t="shared" si="76"/>
        <v/>
      </c>
      <c r="G1253" s="39" t="str">
        <f t="shared" si="77"/>
        <v/>
      </c>
      <c r="H1253" s="39" t="str">
        <f t="shared" si="78"/>
        <v/>
      </c>
      <c r="I1253" s="39" t="str">
        <f t="shared" si="79"/>
        <v/>
      </c>
      <c r="J1253" s="39" t="str">
        <f>""</f>
        <v/>
      </c>
    </row>
    <row r="1254" spans="1:10">
      <c r="A1254" s="26" t="s">
        <v>2852</v>
      </c>
      <c r="E1254" s="26" t="s">
        <v>5581</v>
      </c>
      <c r="F1254" s="39" t="str">
        <f t="shared" si="76"/>
        <v/>
      </c>
      <c r="G1254" s="39" t="str">
        <f t="shared" si="77"/>
        <v/>
      </c>
      <c r="H1254" s="39" t="str">
        <f t="shared" si="78"/>
        <v/>
      </c>
      <c r="I1254" s="39" t="str">
        <f t="shared" si="79"/>
        <v/>
      </c>
      <c r="J1254" s="39" t="str">
        <f>""</f>
        <v/>
      </c>
    </row>
    <row r="1255" spans="1:10">
      <c r="A1255" s="26" t="s">
        <v>2853</v>
      </c>
      <c r="E1255" s="26" t="s">
        <v>5581</v>
      </c>
      <c r="F1255" s="39" t="str">
        <f t="shared" si="76"/>
        <v/>
      </c>
      <c r="G1255" s="39" t="str">
        <f t="shared" si="77"/>
        <v/>
      </c>
      <c r="H1255" s="39" t="str">
        <f t="shared" si="78"/>
        <v/>
      </c>
      <c r="I1255" s="39" t="str">
        <f t="shared" si="79"/>
        <v/>
      </c>
      <c r="J1255" s="39" t="str">
        <f>""</f>
        <v/>
      </c>
    </row>
    <row r="1256" spans="1:10">
      <c r="A1256" s="26" t="s">
        <v>2855</v>
      </c>
      <c r="E1256" s="26" t="s">
        <v>5581</v>
      </c>
      <c r="F1256" s="39" t="str">
        <f t="shared" si="76"/>
        <v/>
      </c>
      <c r="G1256" s="39" t="str">
        <f t="shared" si="77"/>
        <v/>
      </c>
      <c r="H1256" s="39" t="str">
        <f t="shared" si="78"/>
        <v/>
      </c>
      <c r="I1256" s="39" t="str">
        <f t="shared" si="79"/>
        <v/>
      </c>
      <c r="J1256" s="39" t="str">
        <f>""</f>
        <v/>
      </c>
    </row>
    <row r="1257" spans="1:10">
      <c r="A1257" s="26" t="s">
        <v>2856</v>
      </c>
      <c r="E1257" s="26" t="s">
        <v>5581</v>
      </c>
      <c r="F1257" s="39" t="str">
        <f t="shared" si="76"/>
        <v/>
      </c>
      <c r="G1257" s="39" t="str">
        <f t="shared" si="77"/>
        <v/>
      </c>
      <c r="H1257" s="39" t="str">
        <f t="shared" si="78"/>
        <v/>
      </c>
      <c r="I1257" s="39" t="str">
        <f t="shared" si="79"/>
        <v/>
      </c>
      <c r="J1257" s="39" t="str">
        <f>""</f>
        <v/>
      </c>
    </row>
    <row r="1258" spans="1:10">
      <c r="A1258" s="26" t="s">
        <v>2858</v>
      </c>
      <c r="C1258" s="39">
        <v>25</v>
      </c>
      <c r="E1258" s="26" t="s">
        <v>5581</v>
      </c>
      <c r="F1258" s="39">
        <f t="shared" si="76"/>
        <v>25</v>
      </c>
      <c r="G1258" s="39">
        <f t="shared" si="77"/>
        <v>25</v>
      </c>
      <c r="H1258" s="39">
        <f t="shared" si="78"/>
        <v>25</v>
      </c>
      <c r="I1258" s="39" t="str">
        <f t="shared" si="79"/>
        <v/>
      </c>
      <c r="J1258" s="39" t="str">
        <f>""</f>
        <v/>
      </c>
    </row>
    <row r="1259" spans="1:10">
      <c r="A1259" s="26" t="s">
        <v>2859</v>
      </c>
      <c r="E1259" s="26" t="s">
        <v>5581</v>
      </c>
      <c r="F1259" s="39" t="str">
        <f t="shared" si="76"/>
        <v/>
      </c>
      <c r="G1259" s="39" t="str">
        <f t="shared" si="77"/>
        <v/>
      </c>
      <c r="H1259" s="39" t="str">
        <f t="shared" si="78"/>
        <v/>
      </c>
      <c r="I1259" s="39" t="str">
        <f t="shared" si="79"/>
        <v/>
      </c>
      <c r="J1259" s="39" t="str">
        <f>""</f>
        <v/>
      </c>
    </row>
    <row r="1260" spans="1:10">
      <c r="A1260" s="26" t="s">
        <v>2861</v>
      </c>
      <c r="E1260" s="26" t="s">
        <v>5581</v>
      </c>
      <c r="F1260" s="39" t="str">
        <f t="shared" si="76"/>
        <v/>
      </c>
      <c r="G1260" s="39" t="str">
        <f t="shared" si="77"/>
        <v/>
      </c>
      <c r="H1260" s="39" t="str">
        <f t="shared" si="78"/>
        <v/>
      </c>
      <c r="I1260" s="39" t="str">
        <f t="shared" si="79"/>
        <v/>
      </c>
      <c r="J1260" s="39" t="str">
        <f>""</f>
        <v/>
      </c>
    </row>
    <row r="1261" spans="1:10">
      <c r="A1261" s="26" t="s">
        <v>2862</v>
      </c>
      <c r="E1261" s="26" t="s">
        <v>5581</v>
      </c>
      <c r="F1261" s="39" t="str">
        <f t="shared" si="76"/>
        <v/>
      </c>
      <c r="G1261" s="39" t="str">
        <f t="shared" si="77"/>
        <v/>
      </c>
      <c r="H1261" s="39" t="str">
        <f t="shared" si="78"/>
        <v/>
      </c>
      <c r="I1261" s="39" t="str">
        <f t="shared" si="79"/>
        <v/>
      </c>
      <c r="J1261" s="39" t="str">
        <f>""</f>
        <v/>
      </c>
    </row>
    <row r="1262" spans="1:10">
      <c r="A1262" s="26" t="s">
        <v>2864</v>
      </c>
      <c r="E1262" s="26" t="s">
        <v>5581</v>
      </c>
      <c r="F1262" s="39" t="str">
        <f t="shared" si="76"/>
        <v/>
      </c>
      <c r="G1262" s="39" t="str">
        <f t="shared" si="77"/>
        <v/>
      </c>
      <c r="H1262" s="39" t="str">
        <f t="shared" si="78"/>
        <v/>
      </c>
      <c r="I1262" s="39" t="str">
        <f t="shared" si="79"/>
        <v/>
      </c>
      <c r="J1262" s="39" t="str">
        <f>""</f>
        <v/>
      </c>
    </row>
    <row r="1263" spans="1:10">
      <c r="A1263" s="26" t="s">
        <v>2865</v>
      </c>
      <c r="E1263" s="26" t="s">
        <v>5581</v>
      </c>
      <c r="F1263" s="39" t="str">
        <f t="shared" si="76"/>
        <v/>
      </c>
      <c r="G1263" s="39" t="str">
        <f t="shared" si="77"/>
        <v/>
      </c>
      <c r="H1263" s="39" t="str">
        <f t="shared" si="78"/>
        <v/>
      </c>
      <c r="I1263" s="39" t="str">
        <f t="shared" si="79"/>
        <v/>
      </c>
      <c r="J1263" s="39" t="str">
        <f>""</f>
        <v/>
      </c>
    </row>
    <row r="1264" spans="1:10">
      <c r="A1264" s="26" t="s">
        <v>2867</v>
      </c>
      <c r="C1264" s="39">
        <v>100</v>
      </c>
      <c r="E1264" s="26" t="s">
        <v>5581</v>
      </c>
      <c r="F1264" s="39" t="str">
        <f t="shared" si="76"/>
        <v/>
      </c>
      <c r="G1264" s="39" t="str">
        <f t="shared" si="77"/>
        <v/>
      </c>
      <c r="H1264" s="39">
        <f t="shared" si="78"/>
        <v>100</v>
      </c>
      <c r="I1264" s="39" t="str">
        <f t="shared" si="79"/>
        <v/>
      </c>
      <c r="J1264" s="39" t="str">
        <f>""</f>
        <v/>
      </c>
    </row>
    <row r="1265" spans="1:10">
      <c r="A1265" s="26" t="s">
        <v>7552</v>
      </c>
      <c r="E1265" s="26" t="s">
        <v>3790</v>
      </c>
      <c r="F1265" s="39" t="str">
        <f t="shared" si="76"/>
        <v/>
      </c>
      <c r="G1265" s="39" t="str">
        <f t="shared" si="77"/>
        <v/>
      </c>
      <c r="H1265" s="39" t="str">
        <f t="shared" si="78"/>
        <v/>
      </c>
      <c r="I1265" s="39" t="str">
        <f t="shared" si="79"/>
        <v/>
      </c>
      <c r="J1265" s="39" t="str">
        <f>""</f>
        <v/>
      </c>
    </row>
    <row r="1266" spans="1:10">
      <c r="A1266" s="26" t="s">
        <v>2868</v>
      </c>
      <c r="E1266" s="26" t="s">
        <v>3790</v>
      </c>
      <c r="F1266" s="39" t="str">
        <f t="shared" si="76"/>
        <v/>
      </c>
      <c r="G1266" s="39" t="str">
        <f t="shared" si="77"/>
        <v/>
      </c>
      <c r="H1266" s="39" t="str">
        <f t="shared" si="78"/>
        <v/>
      </c>
      <c r="I1266" s="39" t="str">
        <f t="shared" si="79"/>
        <v/>
      </c>
      <c r="J1266" s="39" t="str">
        <f>""</f>
        <v/>
      </c>
    </row>
    <row r="1267" spans="1:10">
      <c r="A1267" s="26" t="s">
        <v>2870</v>
      </c>
      <c r="E1267" s="26" t="s">
        <v>5581</v>
      </c>
      <c r="F1267" s="39" t="str">
        <f t="shared" si="76"/>
        <v/>
      </c>
      <c r="G1267" s="39" t="str">
        <f t="shared" si="77"/>
        <v/>
      </c>
      <c r="H1267" s="39" t="str">
        <f t="shared" si="78"/>
        <v/>
      </c>
      <c r="I1267" s="39" t="str">
        <f t="shared" si="79"/>
        <v/>
      </c>
      <c r="J1267" s="39" t="str">
        <f>""</f>
        <v/>
      </c>
    </row>
    <row r="1268" spans="1:10">
      <c r="A1268" s="26" t="s">
        <v>2873</v>
      </c>
      <c r="E1268" s="26" t="s">
        <v>5581</v>
      </c>
      <c r="F1268" s="39" t="str">
        <f t="shared" si="76"/>
        <v/>
      </c>
      <c r="G1268" s="39" t="str">
        <f t="shared" si="77"/>
        <v/>
      </c>
      <c r="H1268" s="39" t="str">
        <f t="shared" si="78"/>
        <v/>
      </c>
      <c r="I1268" s="39" t="str">
        <f t="shared" si="79"/>
        <v/>
      </c>
      <c r="J1268" s="39" t="str">
        <f>""</f>
        <v/>
      </c>
    </row>
    <row r="1269" spans="1:10">
      <c r="A1269" s="26" t="s">
        <v>2874</v>
      </c>
      <c r="E1269" s="26" t="s">
        <v>5581</v>
      </c>
      <c r="F1269" s="39" t="str">
        <f t="shared" si="76"/>
        <v/>
      </c>
      <c r="G1269" s="39" t="str">
        <f t="shared" si="77"/>
        <v/>
      </c>
      <c r="H1269" s="39" t="str">
        <f t="shared" si="78"/>
        <v/>
      </c>
      <c r="I1269" s="39" t="str">
        <f t="shared" si="79"/>
        <v/>
      </c>
      <c r="J1269" s="39" t="str">
        <f>""</f>
        <v/>
      </c>
    </row>
    <row r="1270" spans="1:10">
      <c r="A1270" s="26" t="s">
        <v>2876</v>
      </c>
      <c r="E1270" s="26" t="s">
        <v>5581</v>
      </c>
      <c r="F1270" s="39" t="str">
        <f t="shared" si="76"/>
        <v/>
      </c>
      <c r="G1270" s="39" t="str">
        <f t="shared" si="77"/>
        <v/>
      </c>
      <c r="H1270" s="39" t="str">
        <f t="shared" si="78"/>
        <v/>
      </c>
      <c r="I1270" s="39" t="str">
        <f t="shared" si="79"/>
        <v/>
      </c>
      <c r="J1270" s="39" t="str">
        <f>""</f>
        <v/>
      </c>
    </row>
    <row r="1271" spans="1:10">
      <c r="A1271" s="26" t="s">
        <v>2877</v>
      </c>
      <c r="E1271" s="26" t="s">
        <v>5581</v>
      </c>
      <c r="F1271" s="39" t="str">
        <f t="shared" si="76"/>
        <v/>
      </c>
      <c r="G1271" s="39" t="str">
        <f t="shared" si="77"/>
        <v/>
      </c>
      <c r="H1271" s="39" t="str">
        <f t="shared" si="78"/>
        <v/>
      </c>
      <c r="I1271" s="39" t="str">
        <f t="shared" si="79"/>
        <v/>
      </c>
      <c r="J1271" s="39" t="str">
        <f>""</f>
        <v/>
      </c>
    </row>
    <row r="1272" spans="1:10">
      <c r="A1272" s="26" t="s">
        <v>2879</v>
      </c>
      <c r="E1272" s="26" t="s">
        <v>5581</v>
      </c>
      <c r="F1272" s="39" t="str">
        <f t="shared" si="76"/>
        <v/>
      </c>
      <c r="G1272" s="39" t="str">
        <f t="shared" si="77"/>
        <v/>
      </c>
      <c r="H1272" s="39" t="str">
        <f t="shared" si="78"/>
        <v/>
      </c>
      <c r="I1272" s="39" t="str">
        <f t="shared" si="79"/>
        <v/>
      </c>
      <c r="J1272" s="39" t="str">
        <f>""</f>
        <v/>
      </c>
    </row>
    <row r="1273" spans="1:10">
      <c r="A1273" s="26" t="s">
        <v>2880</v>
      </c>
      <c r="E1273" s="26" t="s">
        <v>5581</v>
      </c>
      <c r="F1273" s="39" t="str">
        <f t="shared" si="76"/>
        <v/>
      </c>
      <c r="G1273" s="39" t="str">
        <f t="shared" si="77"/>
        <v/>
      </c>
      <c r="H1273" s="39" t="str">
        <f t="shared" si="78"/>
        <v/>
      </c>
      <c r="I1273" s="39" t="str">
        <f t="shared" si="79"/>
        <v/>
      </c>
      <c r="J1273" s="39" t="str">
        <f>""</f>
        <v/>
      </c>
    </row>
    <row r="1274" spans="1:10">
      <c r="A1274" s="26" t="s">
        <v>2882</v>
      </c>
      <c r="E1274" s="26" t="s">
        <v>5581</v>
      </c>
      <c r="F1274" s="39" t="str">
        <f t="shared" si="76"/>
        <v/>
      </c>
      <c r="G1274" s="39" t="str">
        <f t="shared" si="77"/>
        <v/>
      </c>
      <c r="H1274" s="39" t="str">
        <f t="shared" si="78"/>
        <v/>
      </c>
      <c r="I1274" s="39" t="str">
        <f t="shared" si="79"/>
        <v/>
      </c>
      <c r="J1274" s="39" t="str">
        <f>""</f>
        <v/>
      </c>
    </row>
    <row r="1275" spans="1:10">
      <c r="A1275" s="26" t="s">
        <v>2883</v>
      </c>
      <c r="E1275" s="26" t="s">
        <v>5581</v>
      </c>
      <c r="F1275" s="39" t="str">
        <f t="shared" si="76"/>
        <v/>
      </c>
      <c r="G1275" s="39" t="str">
        <f t="shared" si="77"/>
        <v/>
      </c>
      <c r="H1275" s="39" t="str">
        <f t="shared" si="78"/>
        <v/>
      </c>
      <c r="I1275" s="39" t="str">
        <f t="shared" si="79"/>
        <v/>
      </c>
      <c r="J1275" s="39" t="str">
        <f>""</f>
        <v/>
      </c>
    </row>
    <row r="1276" spans="1:10">
      <c r="A1276" s="26" t="s">
        <v>3410</v>
      </c>
      <c r="E1276" s="26" t="s">
        <v>5581</v>
      </c>
      <c r="F1276" s="39" t="str">
        <f t="shared" si="76"/>
        <v/>
      </c>
      <c r="G1276" s="39" t="str">
        <f t="shared" si="77"/>
        <v/>
      </c>
      <c r="H1276" s="39" t="str">
        <f t="shared" si="78"/>
        <v/>
      </c>
      <c r="I1276" s="39" t="str">
        <f t="shared" si="79"/>
        <v/>
      </c>
      <c r="J1276" s="39" t="str">
        <f>""</f>
        <v/>
      </c>
    </row>
    <row r="1277" spans="1:10">
      <c r="A1277" s="26" t="s">
        <v>3413</v>
      </c>
      <c r="E1277" s="26" t="s">
        <v>5581</v>
      </c>
      <c r="F1277" s="39" t="str">
        <f t="shared" si="76"/>
        <v/>
      </c>
      <c r="G1277" s="39" t="str">
        <f t="shared" si="77"/>
        <v/>
      </c>
      <c r="H1277" s="39" t="str">
        <f t="shared" si="78"/>
        <v/>
      </c>
      <c r="I1277" s="39" t="str">
        <f t="shared" si="79"/>
        <v/>
      </c>
      <c r="J1277" s="39" t="str">
        <f>""</f>
        <v/>
      </c>
    </row>
    <row r="1278" spans="1:10">
      <c r="A1278" s="26" t="s">
        <v>2886</v>
      </c>
      <c r="E1278" s="26" t="s">
        <v>3790</v>
      </c>
      <c r="F1278" s="39" t="str">
        <f t="shared" si="76"/>
        <v/>
      </c>
      <c r="G1278" s="39" t="str">
        <f t="shared" si="77"/>
        <v/>
      </c>
      <c r="H1278" s="39" t="str">
        <f t="shared" si="78"/>
        <v/>
      </c>
      <c r="I1278" s="39" t="str">
        <f t="shared" si="79"/>
        <v/>
      </c>
      <c r="J1278" s="39" t="str">
        <f>""</f>
        <v/>
      </c>
    </row>
    <row r="1279" spans="1:10">
      <c r="A1279" s="26" t="s">
        <v>2888</v>
      </c>
      <c r="E1279" s="26" t="s">
        <v>3790</v>
      </c>
      <c r="F1279" s="39" t="str">
        <f t="shared" si="76"/>
        <v/>
      </c>
      <c r="G1279" s="39" t="str">
        <f t="shared" si="77"/>
        <v/>
      </c>
      <c r="H1279" s="39" t="str">
        <f t="shared" si="78"/>
        <v/>
      </c>
      <c r="I1279" s="39" t="str">
        <f t="shared" si="79"/>
        <v/>
      </c>
      <c r="J1279" s="39" t="str">
        <f>""</f>
        <v/>
      </c>
    </row>
    <row r="1280" spans="1:10">
      <c r="A1280" s="26" t="s">
        <v>2889</v>
      </c>
      <c r="E1280" s="26" t="s">
        <v>5581</v>
      </c>
      <c r="F1280" s="39" t="str">
        <f t="shared" si="76"/>
        <v/>
      </c>
      <c r="G1280" s="39" t="str">
        <f t="shared" si="77"/>
        <v/>
      </c>
      <c r="H1280" s="39" t="str">
        <f t="shared" si="78"/>
        <v/>
      </c>
      <c r="I1280" s="39" t="str">
        <f t="shared" si="79"/>
        <v/>
      </c>
      <c r="J1280" s="39" t="str">
        <f>""</f>
        <v/>
      </c>
    </row>
    <row r="1281" spans="1:10">
      <c r="A1281" s="26" t="s">
        <v>2892</v>
      </c>
      <c r="E1281" s="26" t="s">
        <v>5581</v>
      </c>
      <c r="F1281" s="39" t="str">
        <f t="shared" si="76"/>
        <v/>
      </c>
      <c r="G1281" s="39" t="str">
        <f t="shared" si="77"/>
        <v/>
      </c>
      <c r="H1281" s="39" t="str">
        <f t="shared" si="78"/>
        <v/>
      </c>
      <c r="I1281" s="39" t="str">
        <f t="shared" si="79"/>
        <v/>
      </c>
      <c r="J1281" s="39" t="str">
        <f>""</f>
        <v/>
      </c>
    </row>
    <row r="1282" spans="1:10">
      <c r="A1282" s="26" t="s">
        <v>3416</v>
      </c>
      <c r="E1282" s="26" t="s">
        <v>5581</v>
      </c>
      <c r="F1282" s="39" t="str">
        <f t="shared" si="76"/>
        <v/>
      </c>
      <c r="G1282" s="39" t="str">
        <f t="shared" si="77"/>
        <v/>
      </c>
      <c r="H1282" s="39" t="str">
        <f t="shared" si="78"/>
        <v/>
      </c>
      <c r="I1282" s="39" t="str">
        <f t="shared" si="79"/>
        <v/>
      </c>
      <c r="J1282" s="39" t="str">
        <f>""</f>
        <v/>
      </c>
    </row>
    <row r="1283" spans="1:10">
      <c r="A1283" s="26" t="s">
        <v>3419</v>
      </c>
      <c r="E1283" s="26" t="s">
        <v>5581</v>
      </c>
      <c r="F1283" s="39" t="str">
        <f t="shared" ref="F1283:F1346" si="80">IF(C1283="","",IF(C1283&lt;99,C1283,""))</f>
        <v/>
      </c>
      <c r="G1283" s="39" t="str">
        <f t="shared" ref="G1283:G1346" si="81">IF(OR(F1283&lt;&gt;"",D1283&lt;&gt;""),C1283,"")</f>
        <v/>
      </c>
      <c r="H1283" s="39" t="str">
        <f t="shared" ref="H1283:H1346" si="82">IF(C1283="","",C1283)</f>
        <v/>
      </c>
      <c r="I1283" s="39" t="str">
        <f t="shared" ref="I1283:I1346" si="83">IF(AND(C1283&lt;&gt;"",D1283&lt;&gt;""),C1283,"")</f>
        <v/>
      </c>
      <c r="J1283" s="39" t="str">
        <f>""</f>
        <v/>
      </c>
    </row>
    <row r="1284" spans="1:10">
      <c r="A1284" s="26" t="s">
        <v>1578</v>
      </c>
      <c r="E1284" s="26" t="s">
        <v>5581</v>
      </c>
      <c r="F1284" s="39" t="str">
        <f t="shared" si="80"/>
        <v/>
      </c>
      <c r="G1284" s="39" t="str">
        <f t="shared" si="81"/>
        <v/>
      </c>
      <c r="H1284" s="39" t="str">
        <f t="shared" si="82"/>
        <v/>
      </c>
      <c r="I1284" s="39" t="str">
        <f t="shared" si="83"/>
        <v/>
      </c>
      <c r="J1284" s="39" t="str">
        <f>""</f>
        <v/>
      </c>
    </row>
    <row r="1285" spans="1:10">
      <c r="A1285" s="26" t="s">
        <v>1581</v>
      </c>
      <c r="C1285" s="39">
        <v>25</v>
      </c>
      <c r="E1285" s="26" t="s">
        <v>5581</v>
      </c>
      <c r="F1285" s="39">
        <f t="shared" si="80"/>
        <v>25</v>
      </c>
      <c r="G1285" s="39">
        <f t="shared" si="81"/>
        <v>25</v>
      </c>
      <c r="H1285" s="39">
        <f t="shared" si="82"/>
        <v>25</v>
      </c>
      <c r="I1285" s="39" t="str">
        <f t="shared" si="83"/>
        <v/>
      </c>
      <c r="J1285" s="39" t="str">
        <f>""</f>
        <v/>
      </c>
    </row>
    <row r="1286" spans="1:10">
      <c r="A1286" s="26" t="s">
        <v>1583</v>
      </c>
      <c r="E1286" s="26" t="s">
        <v>3790</v>
      </c>
      <c r="F1286" s="39" t="str">
        <f t="shared" si="80"/>
        <v/>
      </c>
      <c r="G1286" s="39" t="str">
        <f t="shared" si="81"/>
        <v/>
      </c>
      <c r="H1286" s="39" t="str">
        <f t="shared" si="82"/>
        <v/>
      </c>
      <c r="I1286" s="39" t="str">
        <f t="shared" si="83"/>
        <v/>
      </c>
      <c r="J1286" s="39" t="str">
        <f>""</f>
        <v/>
      </c>
    </row>
    <row r="1287" spans="1:10">
      <c r="A1287" s="26" t="s">
        <v>1586</v>
      </c>
      <c r="E1287" s="26" t="s">
        <v>5581</v>
      </c>
      <c r="F1287" s="39" t="str">
        <f t="shared" si="80"/>
        <v/>
      </c>
      <c r="G1287" s="39" t="str">
        <f t="shared" si="81"/>
        <v/>
      </c>
      <c r="H1287" s="39" t="str">
        <f t="shared" si="82"/>
        <v/>
      </c>
      <c r="I1287" s="39" t="str">
        <f t="shared" si="83"/>
        <v/>
      </c>
      <c r="J1287" s="39" t="str">
        <f>""</f>
        <v/>
      </c>
    </row>
    <row r="1288" spans="1:10">
      <c r="A1288" s="26" t="s">
        <v>1588</v>
      </c>
      <c r="E1288" s="26" t="s">
        <v>5581</v>
      </c>
      <c r="F1288" s="39" t="str">
        <f t="shared" si="80"/>
        <v/>
      </c>
      <c r="G1288" s="39" t="str">
        <f t="shared" si="81"/>
        <v/>
      </c>
      <c r="H1288" s="39" t="str">
        <f t="shared" si="82"/>
        <v/>
      </c>
      <c r="I1288" s="39" t="str">
        <f t="shared" si="83"/>
        <v/>
      </c>
      <c r="J1288" s="39" t="str">
        <f>""</f>
        <v/>
      </c>
    </row>
    <row r="1289" spans="1:10">
      <c r="A1289" s="26" t="s">
        <v>1589</v>
      </c>
      <c r="E1289" s="26" t="s">
        <v>5581</v>
      </c>
      <c r="F1289" s="39" t="str">
        <f t="shared" si="80"/>
        <v/>
      </c>
      <c r="G1289" s="39" t="str">
        <f t="shared" si="81"/>
        <v/>
      </c>
      <c r="H1289" s="39" t="str">
        <f t="shared" si="82"/>
        <v/>
      </c>
      <c r="I1289" s="39" t="str">
        <f t="shared" si="83"/>
        <v/>
      </c>
      <c r="J1289" s="39" t="str">
        <f>""</f>
        <v/>
      </c>
    </row>
    <row r="1290" spans="1:10">
      <c r="A1290" s="26" t="s">
        <v>1591</v>
      </c>
      <c r="E1290" s="26" t="s">
        <v>5581</v>
      </c>
      <c r="F1290" s="39" t="str">
        <f t="shared" si="80"/>
        <v/>
      </c>
      <c r="G1290" s="39" t="str">
        <f t="shared" si="81"/>
        <v/>
      </c>
      <c r="H1290" s="39" t="str">
        <f t="shared" si="82"/>
        <v/>
      </c>
      <c r="I1290" s="39" t="str">
        <f t="shared" si="83"/>
        <v/>
      </c>
      <c r="J1290" s="39" t="str">
        <f>""</f>
        <v/>
      </c>
    </row>
    <row r="1291" spans="1:10">
      <c r="A1291" s="26" t="s">
        <v>1592</v>
      </c>
      <c r="E1291" s="26" t="s">
        <v>5581</v>
      </c>
      <c r="F1291" s="39" t="str">
        <f t="shared" si="80"/>
        <v/>
      </c>
      <c r="G1291" s="39" t="str">
        <f t="shared" si="81"/>
        <v/>
      </c>
      <c r="H1291" s="39" t="str">
        <f t="shared" si="82"/>
        <v/>
      </c>
      <c r="I1291" s="39" t="str">
        <f t="shared" si="83"/>
        <v/>
      </c>
      <c r="J1291" s="39" t="str">
        <f>""</f>
        <v/>
      </c>
    </row>
    <row r="1292" spans="1:10">
      <c r="A1292" s="26" t="s">
        <v>5296</v>
      </c>
      <c r="E1292" s="26" t="s">
        <v>3790</v>
      </c>
      <c r="F1292" s="39" t="str">
        <f t="shared" si="80"/>
        <v/>
      </c>
      <c r="G1292" s="39" t="str">
        <f t="shared" si="81"/>
        <v/>
      </c>
      <c r="H1292" s="39" t="str">
        <f t="shared" si="82"/>
        <v/>
      </c>
      <c r="I1292" s="39" t="str">
        <f t="shared" si="83"/>
        <v/>
      </c>
      <c r="J1292" s="39" t="str">
        <f>""</f>
        <v/>
      </c>
    </row>
    <row r="1293" spans="1:10">
      <c r="A1293" s="26" t="s">
        <v>1594</v>
      </c>
      <c r="E1293" s="26" t="s">
        <v>5581</v>
      </c>
      <c r="F1293" s="39" t="str">
        <f t="shared" si="80"/>
        <v/>
      </c>
      <c r="G1293" s="39" t="str">
        <f t="shared" si="81"/>
        <v/>
      </c>
      <c r="H1293" s="39" t="str">
        <f t="shared" si="82"/>
        <v/>
      </c>
      <c r="I1293" s="39" t="str">
        <f t="shared" si="83"/>
        <v/>
      </c>
      <c r="J1293" s="39" t="str">
        <f>""</f>
        <v/>
      </c>
    </row>
    <row r="1294" spans="1:10">
      <c r="A1294" s="26" t="s">
        <v>1596</v>
      </c>
      <c r="E1294" s="26" t="s">
        <v>5581</v>
      </c>
      <c r="F1294" s="39" t="str">
        <f t="shared" si="80"/>
        <v/>
      </c>
      <c r="G1294" s="39" t="str">
        <f t="shared" si="81"/>
        <v/>
      </c>
      <c r="H1294" s="39" t="str">
        <f t="shared" si="82"/>
        <v/>
      </c>
      <c r="I1294" s="39" t="str">
        <f t="shared" si="83"/>
        <v/>
      </c>
      <c r="J1294" s="39" t="str">
        <f>""</f>
        <v/>
      </c>
    </row>
    <row r="1295" spans="1:10">
      <c r="A1295" s="26" t="s">
        <v>1597</v>
      </c>
      <c r="E1295" s="26" t="s">
        <v>5581</v>
      </c>
      <c r="F1295" s="39" t="str">
        <f t="shared" si="80"/>
        <v/>
      </c>
      <c r="G1295" s="39" t="str">
        <f t="shared" si="81"/>
        <v/>
      </c>
      <c r="H1295" s="39" t="str">
        <f t="shared" si="82"/>
        <v/>
      </c>
      <c r="I1295" s="39" t="str">
        <f t="shared" si="83"/>
        <v/>
      </c>
      <c r="J1295" s="39" t="str">
        <f>""</f>
        <v/>
      </c>
    </row>
    <row r="1296" spans="1:10">
      <c r="A1296" s="26" t="s">
        <v>1599</v>
      </c>
      <c r="E1296" s="26" t="s">
        <v>5581</v>
      </c>
      <c r="F1296" s="39" t="str">
        <f t="shared" si="80"/>
        <v/>
      </c>
      <c r="G1296" s="39" t="str">
        <f t="shared" si="81"/>
        <v/>
      </c>
      <c r="H1296" s="39" t="str">
        <f t="shared" si="82"/>
        <v/>
      </c>
      <c r="I1296" s="39" t="str">
        <f t="shared" si="83"/>
        <v/>
      </c>
      <c r="J1296" s="39" t="str">
        <f>""</f>
        <v/>
      </c>
    </row>
    <row r="1297" spans="1:10">
      <c r="A1297" s="26" t="s">
        <v>2893</v>
      </c>
      <c r="E1297" s="26" t="s">
        <v>5581</v>
      </c>
      <c r="F1297" s="39" t="str">
        <f t="shared" si="80"/>
        <v/>
      </c>
      <c r="G1297" s="39" t="str">
        <f t="shared" si="81"/>
        <v/>
      </c>
      <c r="H1297" s="39" t="str">
        <f t="shared" si="82"/>
        <v/>
      </c>
      <c r="I1297" s="39" t="str">
        <f t="shared" si="83"/>
        <v/>
      </c>
      <c r="J1297" s="39" t="str">
        <f>""</f>
        <v/>
      </c>
    </row>
    <row r="1298" spans="1:10">
      <c r="A1298" s="26" t="s">
        <v>2895</v>
      </c>
      <c r="E1298" s="26" t="s">
        <v>5581</v>
      </c>
      <c r="F1298" s="39" t="str">
        <f t="shared" si="80"/>
        <v/>
      </c>
      <c r="G1298" s="39" t="str">
        <f t="shared" si="81"/>
        <v/>
      </c>
      <c r="H1298" s="39" t="str">
        <f t="shared" si="82"/>
        <v/>
      </c>
      <c r="I1298" s="39" t="str">
        <f t="shared" si="83"/>
        <v/>
      </c>
      <c r="J1298" s="39" t="str">
        <f>""</f>
        <v/>
      </c>
    </row>
    <row r="1299" spans="1:10">
      <c r="A1299" s="26" t="s">
        <v>2896</v>
      </c>
      <c r="E1299" s="26" t="s">
        <v>5581</v>
      </c>
      <c r="F1299" s="39" t="str">
        <f t="shared" si="80"/>
        <v/>
      </c>
      <c r="G1299" s="39" t="str">
        <f t="shared" si="81"/>
        <v/>
      </c>
      <c r="H1299" s="39" t="str">
        <f t="shared" si="82"/>
        <v/>
      </c>
      <c r="I1299" s="39" t="str">
        <f t="shared" si="83"/>
        <v/>
      </c>
      <c r="J1299" s="39" t="str">
        <f>""</f>
        <v/>
      </c>
    </row>
    <row r="1300" spans="1:10">
      <c r="A1300" s="26" t="s">
        <v>2899</v>
      </c>
      <c r="E1300" s="26" t="s">
        <v>5581</v>
      </c>
      <c r="F1300" s="39" t="str">
        <f t="shared" si="80"/>
        <v/>
      </c>
      <c r="G1300" s="39" t="str">
        <f t="shared" si="81"/>
        <v/>
      </c>
      <c r="H1300" s="39" t="str">
        <f t="shared" si="82"/>
        <v/>
      </c>
      <c r="I1300" s="39" t="str">
        <f t="shared" si="83"/>
        <v/>
      </c>
      <c r="J1300" s="39" t="str">
        <f>""</f>
        <v/>
      </c>
    </row>
    <row r="1301" spans="1:10">
      <c r="A1301" s="26" t="s">
        <v>5426</v>
      </c>
      <c r="E1301" s="26" t="s">
        <v>5581</v>
      </c>
      <c r="F1301" s="39" t="str">
        <f t="shared" si="80"/>
        <v/>
      </c>
      <c r="G1301" s="39" t="str">
        <f t="shared" si="81"/>
        <v/>
      </c>
      <c r="H1301" s="39" t="str">
        <f t="shared" si="82"/>
        <v/>
      </c>
      <c r="I1301" s="39" t="str">
        <f t="shared" si="83"/>
        <v/>
      </c>
      <c r="J1301" s="39" t="str">
        <f>""</f>
        <v/>
      </c>
    </row>
    <row r="1302" spans="1:10">
      <c r="A1302" s="26" t="s">
        <v>2902</v>
      </c>
      <c r="E1302" s="26" t="s">
        <v>5581</v>
      </c>
      <c r="F1302" s="39" t="str">
        <f t="shared" si="80"/>
        <v/>
      </c>
      <c r="G1302" s="39" t="str">
        <f t="shared" si="81"/>
        <v/>
      </c>
      <c r="H1302" s="39" t="str">
        <f t="shared" si="82"/>
        <v/>
      </c>
      <c r="I1302" s="39" t="str">
        <f t="shared" si="83"/>
        <v/>
      </c>
      <c r="J1302" s="39" t="str">
        <f>""</f>
        <v/>
      </c>
    </row>
    <row r="1303" spans="1:10">
      <c r="A1303" s="26" t="s">
        <v>2904</v>
      </c>
      <c r="E1303" s="26" t="s">
        <v>5581</v>
      </c>
      <c r="F1303" s="39" t="str">
        <f t="shared" si="80"/>
        <v/>
      </c>
      <c r="G1303" s="39" t="str">
        <f t="shared" si="81"/>
        <v/>
      </c>
      <c r="H1303" s="39" t="str">
        <f t="shared" si="82"/>
        <v/>
      </c>
      <c r="I1303" s="39" t="str">
        <f t="shared" si="83"/>
        <v/>
      </c>
      <c r="J1303" s="39" t="str">
        <f>""</f>
        <v/>
      </c>
    </row>
    <row r="1304" spans="1:10">
      <c r="A1304" s="26" t="s">
        <v>2907</v>
      </c>
      <c r="E1304" s="26" t="s">
        <v>5581</v>
      </c>
      <c r="F1304" s="39" t="str">
        <f t="shared" si="80"/>
        <v/>
      </c>
      <c r="G1304" s="39" t="str">
        <f t="shared" si="81"/>
        <v/>
      </c>
      <c r="H1304" s="39" t="str">
        <f t="shared" si="82"/>
        <v/>
      </c>
      <c r="I1304" s="39" t="str">
        <f t="shared" si="83"/>
        <v/>
      </c>
      <c r="J1304" s="39" t="str">
        <f>""</f>
        <v/>
      </c>
    </row>
    <row r="1305" spans="1:10">
      <c r="A1305" s="26" t="s">
        <v>2910</v>
      </c>
      <c r="C1305" s="39">
        <v>50</v>
      </c>
      <c r="E1305" s="26" t="s">
        <v>5581</v>
      </c>
      <c r="F1305" s="39">
        <f t="shared" si="80"/>
        <v>50</v>
      </c>
      <c r="G1305" s="39">
        <f t="shared" si="81"/>
        <v>50</v>
      </c>
      <c r="H1305" s="39">
        <f t="shared" si="82"/>
        <v>50</v>
      </c>
      <c r="I1305" s="39" t="str">
        <f t="shared" si="83"/>
        <v/>
      </c>
      <c r="J1305" s="39" t="str">
        <f>""</f>
        <v/>
      </c>
    </row>
    <row r="1306" spans="1:10">
      <c r="A1306" s="26" t="s">
        <v>5301</v>
      </c>
      <c r="E1306" s="26" t="s">
        <v>5581</v>
      </c>
      <c r="F1306" s="39" t="str">
        <f t="shared" si="80"/>
        <v/>
      </c>
      <c r="G1306" s="39" t="str">
        <f t="shared" si="81"/>
        <v/>
      </c>
      <c r="H1306" s="39" t="str">
        <f t="shared" si="82"/>
        <v/>
      </c>
      <c r="I1306" s="39" t="str">
        <f t="shared" si="83"/>
        <v/>
      </c>
      <c r="J1306" s="39" t="str">
        <f>""</f>
        <v/>
      </c>
    </row>
    <row r="1307" spans="1:10">
      <c r="A1307" s="26" t="s">
        <v>2913</v>
      </c>
      <c r="E1307" s="26" t="s">
        <v>5581</v>
      </c>
      <c r="F1307" s="39" t="str">
        <f t="shared" si="80"/>
        <v/>
      </c>
      <c r="G1307" s="39" t="str">
        <f t="shared" si="81"/>
        <v/>
      </c>
      <c r="H1307" s="39" t="str">
        <f t="shared" si="82"/>
        <v/>
      </c>
      <c r="I1307" s="39" t="str">
        <f t="shared" si="83"/>
        <v/>
      </c>
      <c r="J1307" s="39" t="str">
        <f>""</f>
        <v/>
      </c>
    </row>
    <row r="1308" spans="1:10">
      <c r="A1308" s="26" t="s">
        <v>2916</v>
      </c>
      <c r="E1308" s="26" t="s">
        <v>5581</v>
      </c>
      <c r="F1308" s="39" t="str">
        <f t="shared" si="80"/>
        <v/>
      </c>
      <c r="G1308" s="39" t="str">
        <f t="shared" si="81"/>
        <v/>
      </c>
      <c r="H1308" s="39" t="str">
        <f t="shared" si="82"/>
        <v/>
      </c>
      <c r="I1308" s="39" t="str">
        <f t="shared" si="83"/>
        <v/>
      </c>
      <c r="J1308" s="39" t="str">
        <f>""</f>
        <v/>
      </c>
    </row>
    <row r="1309" spans="1:10">
      <c r="A1309" s="26" t="s">
        <v>2918</v>
      </c>
      <c r="E1309" s="26" t="s">
        <v>5581</v>
      </c>
      <c r="F1309" s="39" t="str">
        <f t="shared" si="80"/>
        <v/>
      </c>
      <c r="G1309" s="39" t="str">
        <f t="shared" si="81"/>
        <v/>
      </c>
      <c r="H1309" s="39" t="str">
        <f t="shared" si="82"/>
        <v/>
      </c>
      <c r="I1309" s="39" t="str">
        <f t="shared" si="83"/>
        <v/>
      </c>
      <c r="J1309" s="39" t="str">
        <f>""</f>
        <v/>
      </c>
    </row>
    <row r="1310" spans="1:10">
      <c r="A1310" s="26" t="s">
        <v>2921</v>
      </c>
      <c r="E1310" s="26" t="s">
        <v>5581</v>
      </c>
      <c r="F1310" s="39" t="str">
        <f t="shared" si="80"/>
        <v/>
      </c>
      <c r="G1310" s="39" t="str">
        <f t="shared" si="81"/>
        <v/>
      </c>
      <c r="H1310" s="39" t="str">
        <f t="shared" si="82"/>
        <v/>
      </c>
      <c r="I1310" s="39" t="str">
        <f t="shared" si="83"/>
        <v/>
      </c>
      <c r="J1310" s="39" t="str">
        <f>""</f>
        <v/>
      </c>
    </row>
    <row r="1311" spans="1:10">
      <c r="A1311" s="26" t="s">
        <v>2922</v>
      </c>
      <c r="E1311" s="26" t="s">
        <v>5581</v>
      </c>
      <c r="F1311" s="39" t="str">
        <f t="shared" si="80"/>
        <v/>
      </c>
      <c r="G1311" s="39" t="str">
        <f t="shared" si="81"/>
        <v/>
      </c>
      <c r="H1311" s="39" t="str">
        <f t="shared" si="82"/>
        <v/>
      </c>
      <c r="I1311" s="39" t="str">
        <f t="shared" si="83"/>
        <v/>
      </c>
      <c r="J1311" s="39" t="str">
        <f>""</f>
        <v/>
      </c>
    </row>
    <row r="1312" spans="1:10">
      <c r="A1312" s="26" t="s">
        <v>1600</v>
      </c>
      <c r="E1312" s="26" t="s">
        <v>5582</v>
      </c>
      <c r="F1312" s="39" t="str">
        <f t="shared" si="80"/>
        <v/>
      </c>
      <c r="G1312" s="39" t="str">
        <f t="shared" si="81"/>
        <v/>
      </c>
      <c r="H1312" s="39" t="str">
        <f t="shared" si="82"/>
        <v/>
      </c>
      <c r="I1312" s="39" t="str">
        <f t="shared" si="83"/>
        <v/>
      </c>
      <c r="J1312" s="39" t="str">
        <f>""</f>
        <v/>
      </c>
    </row>
    <row r="1313" spans="1:10">
      <c r="A1313" s="26" t="s">
        <v>1602</v>
      </c>
      <c r="E1313" s="26" t="s">
        <v>5582</v>
      </c>
      <c r="F1313" s="39" t="str">
        <f t="shared" si="80"/>
        <v/>
      </c>
      <c r="G1313" s="39" t="str">
        <f t="shared" si="81"/>
        <v/>
      </c>
      <c r="H1313" s="39" t="str">
        <f t="shared" si="82"/>
        <v/>
      </c>
      <c r="I1313" s="39" t="str">
        <f t="shared" si="83"/>
        <v/>
      </c>
      <c r="J1313" s="39" t="str">
        <f>""</f>
        <v/>
      </c>
    </row>
    <row r="1314" spans="1:10">
      <c r="A1314" s="26" t="s">
        <v>1603</v>
      </c>
      <c r="E1314" s="26" t="s">
        <v>5582</v>
      </c>
      <c r="F1314" s="39" t="str">
        <f t="shared" si="80"/>
        <v/>
      </c>
      <c r="G1314" s="39" t="str">
        <f t="shared" si="81"/>
        <v/>
      </c>
      <c r="H1314" s="39" t="str">
        <f t="shared" si="82"/>
        <v/>
      </c>
      <c r="I1314" s="39" t="str">
        <f t="shared" si="83"/>
        <v/>
      </c>
      <c r="J1314" s="39" t="str">
        <f>""</f>
        <v/>
      </c>
    </row>
    <row r="1315" spans="1:10">
      <c r="A1315" s="26" t="s">
        <v>1606</v>
      </c>
      <c r="E1315" s="26" t="s">
        <v>5582</v>
      </c>
      <c r="F1315" s="39" t="str">
        <f t="shared" si="80"/>
        <v/>
      </c>
      <c r="G1315" s="39" t="str">
        <f t="shared" si="81"/>
        <v/>
      </c>
      <c r="H1315" s="39" t="str">
        <f t="shared" si="82"/>
        <v/>
      </c>
      <c r="I1315" s="39" t="str">
        <f t="shared" si="83"/>
        <v/>
      </c>
      <c r="J1315" s="39" t="str">
        <f>""</f>
        <v/>
      </c>
    </row>
    <row r="1316" spans="1:10">
      <c r="A1316" s="26" t="s">
        <v>1607</v>
      </c>
      <c r="E1316" s="26" t="s">
        <v>5582</v>
      </c>
      <c r="F1316" s="39" t="str">
        <f t="shared" si="80"/>
        <v/>
      </c>
      <c r="G1316" s="39" t="str">
        <f t="shared" si="81"/>
        <v/>
      </c>
      <c r="H1316" s="39" t="str">
        <f t="shared" si="82"/>
        <v/>
      </c>
      <c r="I1316" s="39" t="str">
        <f t="shared" si="83"/>
        <v/>
      </c>
      <c r="J1316" s="39" t="str">
        <f>""</f>
        <v/>
      </c>
    </row>
    <row r="1317" spans="1:10">
      <c r="A1317" s="26" t="s">
        <v>1609</v>
      </c>
      <c r="E1317" s="26" t="s">
        <v>5582</v>
      </c>
      <c r="F1317" s="39" t="str">
        <f t="shared" si="80"/>
        <v/>
      </c>
      <c r="G1317" s="39" t="str">
        <f t="shared" si="81"/>
        <v/>
      </c>
      <c r="H1317" s="39" t="str">
        <f t="shared" si="82"/>
        <v/>
      </c>
      <c r="I1317" s="39" t="str">
        <f t="shared" si="83"/>
        <v/>
      </c>
      <c r="J1317" s="39" t="str">
        <f>""</f>
        <v/>
      </c>
    </row>
    <row r="1318" spans="1:10">
      <c r="A1318" s="26" t="s">
        <v>1610</v>
      </c>
      <c r="E1318" s="26" t="s">
        <v>5582</v>
      </c>
      <c r="F1318" s="39" t="str">
        <f t="shared" si="80"/>
        <v/>
      </c>
      <c r="G1318" s="39" t="str">
        <f t="shared" si="81"/>
        <v/>
      </c>
      <c r="H1318" s="39" t="str">
        <f t="shared" si="82"/>
        <v/>
      </c>
      <c r="I1318" s="39" t="str">
        <f t="shared" si="83"/>
        <v/>
      </c>
      <c r="J1318" s="39" t="str">
        <f>""</f>
        <v/>
      </c>
    </row>
    <row r="1319" spans="1:10">
      <c r="A1319" s="26" t="s">
        <v>1613</v>
      </c>
      <c r="E1319" s="26" t="s">
        <v>5582</v>
      </c>
      <c r="F1319" s="39" t="str">
        <f t="shared" si="80"/>
        <v/>
      </c>
      <c r="G1319" s="39" t="str">
        <f t="shared" si="81"/>
        <v/>
      </c>
      <c r="H1319" s="39" t="str">
        <f t="shared" si="82"/>
        <v/>
      </c>
      <c r="I1319" s="39" t="str">
        <f t="shared" si="83"/>
        <v/>
      </c>
      <c r="J1319" s="39" t="str">
        <f>""</f>
        <v/>
      </c>
    </row>
    <row r="1320" spans="1:10">
      <c r="A1320" s="26" t="s">
        <v>1614</v>
      </c>
      <c r="E1320" s="26" t="s">
        <v>5582</v>
      </c>
      <c r="F1320" s="39" t="str">
        <f t="shared" si="80"/>
        <v/>
      </c>
      <c r="G1320" s="39" t="str">
        <f t="shared" si="81"/>
        <v/>
      </c>
      <c r="H1320" s="39" t="str">
        <f t="shared" si="82"/>
        <v/>
      </c>
      <c r="I1320" s="39" t="str">
        <f t="shared" si="83"/>
        <v/>
      </c>
      <c r="J1320" s="39" t="str">
        <f>""</f>
        <v/>
      </c>
    </row>
    <row r="1321" spans="1:10">
      <c r="A1321" s="26" t="s">
        <v>1617</v>
      </c>
      <c r="E1321" s="26" t="s">
        <v>5582</v>
      </c>
      <c r="F1321" s="39" t="str">
        <f t="shared" si="80"/>
        <v/>
      </c>
      <c r="G1321" s="39" t="str">
        <f t="shared" si="81"/>
        <v/>
      </c>
      <c r="H1321" s="39" t="str">
        <f t="shared" si="82"/>
        <v/>
      </c>
      <c r="I1321" s="39" t="str">
        <f t="shared" si="83"/>
        <v/>
      </c>
      <c r="J1321" s="39" t="str">
        <f>""</f>
        <v/>
      </c>
    </row>
    <row r="1322" spans="1:10">
      <c r="A1322" s="26" t="s">
        <v>2925</v>
      </c>
      <c r="E1322" s="26" t="s">
        <v>5582</v>
      </c>
      <c r="F1322" s="39" t="str">
        <f t="shared" si="80"/>
        <v/>
      </c>
      <c r="G1322" s="39" t="str">
        <f t="shared" si="81"/>
        <v/>
      </c>
      <c r="H1322" s="39" t="str">
        <f t="shared" si="82"/>
        <v/>
      </c>
      <c r="I1322" s="39" t="str">
        <f t="shared" si="83"/>
        <v/>
      </c>
      <c r="J1322" s="39" t="str">
        <f>""</f>
        <v/>
      </c>
    </row>
    <row r="1323" spans="1:10">
      <c r="A1323" s="26" t="s">
        <v>1618</v>
      </c>
      <c r="E1323" s="26" t="s">
        <v>5581</v>
      </c>
      <c r="F1323" s="39" t="str">
        <f t="shared" si="80"/>
        <v/>
      </c>
      <c r="G1323" s="39" t="str">
        <f t="shared" si="81"/>
        <v/>
      </c>
      <c r="H1323" s="39" t="str">
        <f t="shared" si="82"/>
        <v/>
      </c>
      <c r="I1323" s="39" t="str">
        <f t="shared" si="83"/>
        <v/>
      </c>
      <c r="J1323" s="39" t="str">
        <f>""</f>
        <v/>
      </c>
    </row>
    <row r="1324" spans="1:10">
      <c r="A1324" s="26" t="s">
        <v>1620</v>
      </c>
      <c r="E1324" s="26" t="s">
        <v>5581</v>
      </c>
      <c r="F1324" s="39" t="str">
        <f t="shared" si="80"/>
        <v/>
      </c>
      <c r="G1324" s="39" t="str">
        <f t="shared" si="81"/>
        <v/>
      </c>
      <c r="H1324" s="39" t="str">
        <f t="shared" si="82"/>
        <v/>
      </c>
      <c r="I1324" s="39" t="str">
        <f t="shared" si="83"/>
        <v/>
      </c>
      <c r="J1324" s="39" t="str">
        <f>""</f>
        <v/>
      </c>
    </row>
    <row r="1325" spans="1:10">
      <c r="A1325" s="26" t="s">
        <v>2928</v>
      </c>
      <c r="E1325" s="26" t="s">
        <v>5581</v>
      </c>
      <c r="F1325" s="39" t="str">
        <f t="shared" si="80"/>
        <v/>
      </c>
      <c r="G1325" s="39" t="str">
        <f t="shared" si="81"/>
        <v/>
      </c>
      <c r="H1325" s="39" t="str">
        <f t="shared" si="82"/>
        <v/>
      </c>
      <c r="I1325" s="39" t="str">
        <f t="shared" si="83"/>
        <v/>
      </c>
      <c r="J1325" s="39" t="str">
        <f>""</f>
        <v/>
      </c>
    </row>
    <row r="1326" spans="1:10">
      <c r="A1326" s="26" t="s">
        <v>2930</v>
      </c>
      <c r="C1326" s="39">
        <v>50</v>
      </c>
      <c r="E1326" s="26" t="s">
        <v>5581</v>
      </c>
      <c r="F1326" s="39">
        <f t="shared" si="80"/>
        <v>50</v>
      </c>
      <c r="G1326" s="39">
        <f t="shared" si="81"/>
        <v>50</v>
      </c>
      <c r="H1326" s="39">
        <f t="shared" si="82"/>
        <v>50</v>
      </c>
      <c r="I1326" s="39" t="str">
        <f t="shared" si="83"/>
        <v/>
      </c>
      <c r="J1326" s="39" t="str">
        <f>""</f>
        <v/>
      </c>
    </row>
    <row r="1327" spans="1:10">
      <c r="A1327" s="26" t="s">
        <v>1621</v>
      </c>
      <c r="E1327" s="26" t="s">
        <v>5581</v>
      </c>
      <c r="F1327" s="39" t="str">
        <f t="shared" si="80"/>
        <v/>
      </c>
      <c r="G1327" s="39" t="str">
        <f t="shared" si="81"/>
        <v/>
      </c>
      <c r="H1327" s="39" t="str">
        <f t="shared" si="82"/>
        <v/>
      </c>
      <c r="I1327" s="39" t="str">
        <f t="shared" si="83"/>
        <v/>
      </c>
      <c r="J1327" s="39" t="str">
        <f>""</f>
        <v/>
      </c>
    </row>
    <row r="1328" spans="1:10">
      <c r="A1328" s="26" t="s">
        <v>1624</v>
      </c>
      <c r="E1328" s="26" t="s">
        <v>5581</v>
      </c>
      <c r="F1328" s="39" t="str">
        <f t="shared" si="80"/>
        <v/>
      </c>
      <c r="G1328" s="39" t="str">
        <f t="shared" si="81"/>
        <v/>
      </c>
      <c r="H1328" s="39" t="str">
        <f t="shared" si="82"/>
        <v/>
      </c>
      <c r="I1328" s="39" t="str">
        <f t="shared" si="83"/>
        <v/>
      </c>
      <c r="J1328" s="39" t="str">
        <f>""</f>
        <v/>
      </c>
    </row>
    <row r="1329" spans="1:10">
      <c r="A1329" s="26" t="s">
        <v>1625</v>
      </c>
      <c r="E1329" s="26" t="s">
        <v>5581</v>
      </c>
      <c r="F1329" s="39" t="str">
        <f t="shared" si="80"/>
        <v/>
      </c>
      <c r="G1329" s="39" t="str">
        <f t="shared" si="81"/>
        <v/>
      </c>
      <c r="H1329" s="39" t="str">
        <f t="shared" si="82"/>
        <v/>
      </c>
      <c r="I1329" s="39" t="str">
        <f t="shared" si="83"/>
        <v/>
      </c>
      <c r="J1329" s="39" t="str">
        <f>""</f>
        <v/>
      </c>
    </row>
    <row r="1330" spans="1:10">
      <c r="A1330" s="26" t="s">
        <v>1627</v>
      </c>
      <c r="E1330" s="26" t="s">
        <v>5581</v>
      </c>
      <c r="F1330" s="39" t="str">
        <f t="shared" si="80"/>
        <v/>
      </c>
      <c r="G1330" s="39" t="str">
        <f t="shared" si="81"/>
        <v/>
      </c>
      <c r="H1330" s="39" t="str">
        <f t="shared" si="82"/>
        <v/>
      </c>
      <c r="I1330" s="39" t="str">
        <f t="shared" si="83"/>
        <v/>
      </c>
      <c r="J1330" s="39" t="str">
        <f>""</f>
        <v/>
      </c>
    </row>
    <row r="1331" spans="1:10">
      <c r="A1331" s="26" t="s">
        <v>2932</v>
      </c>
      <c r="E1331" s="26" t="s">
        <v>3790</v>
      </c>
      <c r="F1331" s="39" t="str">
        <f t="shared" si="80"/>
        <v/>
      </c>
      <c r="G1331" s="39" t="str">
        <f t="shared" si="81"/>
        <v/>
      </c>
      <c r="H1331" s="39" t="str">
        <f t="shared" si="82"/>
        <v/>
      </c>
      <c r="I1331" s="39" t="str">
        <f t="shared" si="83"/>
        <v/>
      </c>
      <c r="J1331" s="39" t="str">
        <f>""</f>
        <v/>
      </c>
    </row>
    <row r="1332" spans="1:10">
      <c r="A1332" s="26" t="s">
        <v>5303</v>
      </c>
      <c r="E1332" s="26" t="s">
        <v>5581</v>
      </c>
      <c r="F1332" s="39" t="str">
        <f t="shared" si="80"/>
        <v/>
      </c>
      <c r="G1332" s="39" t="str">
        <f t="shared" si="81"/>
        <v/>
      </c>
      <c r="H1332" s="39" t="str">
        <f t="shared" si="82"/>
        <v/>
      </c>
      <c r="I1332" s="39" t="str">
        <f t="shared" si="83"/>
        <v/>
      </c>
      <c r="J1332" s="39" t="str">
        <f>""</f>
        <v/>
      </c>
    </row>
    <row r="1333" spans="1:10">
      <c r="A1333" s="26" t="s">
        <v>2935</v>
      </c>
      <c r="E1333" s="26" t="s">
        <v>5581</v>
      </c>
      <c r="F1333" s="39" t="str">
        <f t="shared" si="80"/>
        <v/>
      </c>
      <c r="G1333" s="39" t="str">
        <f t="shared" si="81"/>
        <v/>
      </c>
      <c r="H1333" s="39" t="str">
        <f t="shared" si="82"/>
        <v/>
      </c>
      <c r="I1333" s="39" t="str">
        <f t="shared" si="83"/>
        <v/>
      </c>
      <c r="J1333" s="39" t="str">
        <f>""</f>
        <v/>
      </c>
    </row>
    <row r="1334" spans="1:10">
      <c r="A1334" s="26" t="s">
        <v>1628</v>
      </c>
      <c r="E1334" s="26" t="s">
        <v>5581</v>
      </c>
      <c r="F1334" s="39" t="str">
        <f t="shared" si="80"/>
        <v/>
      </c>
      <c r="G1334" s="39" t="str">
        <f t="shared" si="81"/>
        <v/>
      </c>
      <c r="H1334" s="39" t="str">
        <f t="shared" si="82"/>
        <v/>
      </c>
      <c r="I1334" s="39" t="str">
        <f t="shared" si="83"/>
        <v/>
      </c>
      <c r="J1334" s="39" t="str">
        <f>""</f>
        <v/>
      </c>
    </row>
    <row r="1335" spans="1:10">
      <c r="A1335" s="26" t="s">
        <v>1631</v>
      </c>
      <c r="E1335" s="26" t="s">
        <v>5581</v>
      </c>
      <c r="F1335" s="39" t="str">
        <f t="shared" si="80"/>
        <v/>
      </c>
      <c r="G1335" s="39" t="str">
        <f t="shared" si="81"/>
        <v/>
      </c>
      <c r="H1335" s="39" t="str">
        <f t="shared" si="82"/>
        <v/>
      </c>
      <c r="I1335" s="39" t="str">
        <f t="shared" si="83"/>
        <v/>
      </c>
      <c r="J1335" s="39" t="str">
        <f>""</f>
        <v/>
      </c>
    </row>
    <row r="1336" spans="1:10">
      <c r="A1336" s="26" t="s">
        <v>2938</v>
      </c>
      <c r="E1336" s="26" t="s">
        <v>5581</v>
      </c>
      <c r="F1336" s="39" t="str">
        <f t="shared" si="80"/>
        <v/>
      </c>
      <c r="G1336" s="39" t="str">
        <f t="shared" si="81"/>
        <v/>
      </c>
      <c r="H1336" s="39" t="str">
        <f t="shared" si="82"/>
        <v/>
      </c>
      <c r="I1336" s="39" t="str">
        <f t="shared" si="83"/>
        <v/>
      </c>
      <c r="J1336" s="39" t="str">
        <f>""</f>
        <v/>
      </c>
    </row>
    <row r="1337" spans="1:10">
      <c r="A1337" s="26" t="s">
        <v>2941</v>
      </c>
      <c r="E1337" s="26" t="s">
        <v>5581</v>
      </c>
      <c r="F1337" s="39" t="str">
        <f t="shared" si="80"/>
        <v/>
      </c>
      <c r="G1337" s="39" t="str">
        <f t="shared" si="81"/>
        <v/>
      </c>
      <c r="H1337" s="39" t="str">
        <f t="shared" si="82"/>
        <v/>
      </c>
      <c r="I1337" s="39" t="str">
        <f t="shared" si="83"/>
        <v/>
      </c>
      <c r="J1337" s="39" t="str">
        <f>""</f>
        <v/>
      </c>
    </row>
    <row r="1338" spans="1:10">
      <c r="A1338" s="26" t="s">
        <v>1633</v>
      </c>
      <c r="E1338" s="26" t="s">
        <v>5581</v>
      </c>
      <c r="F1338" s="39" t="str">
        <f t="shared" si="80"/>
        <v/>
      </c>
      <c r="G1338" s="39" t="str">
        <f t="shared" si="81"/>
        <v/>
      </c>
      <c r="H1338" s="39" t="str">
        <f t="shared" si="82"/>
        <v/>
      </c>
      <c r="I1338" s="39" t="str">
        <f t="shared" si="83"/>
        <v/>
      </c>
      <c r="J1338" s="39" t="str">
        <f>""</f>
        <v/>
      </c>
    </row>
    <row r="1339" spans="1:10">
      <c r="A1339" s="26" t="s">
        <v>1635</v>
      </c>
      <c r="E1339" s="26" t="s">
        <v>5581</v>
      </c>
      <c r="F1339" s="39" t="str">
        <f t="shared" si="80"/>
        <v/>
      </c>
      <c r="G1339" s="39" t="str">
        <f t="shared" si="81"/>
        <v/>
      </c>
      <c r="H1339" s="39" t="str">
        <f t="shared" si="82"/>
        <v/>
      </c>
      <c r="I1339" s="39" t="str">
        <f t="shared" si="83"/>
        <v/>
      </c>
      <c r="J1339" s="39" t="str">
        <f>""</f>
        <v/>
      </c>
    </row>
    <row r="1340" spans="1:10">
      <c r="A1340" s="26" t="s">
        <v>1637</v>
      </c>
      <c r="C1340" s="39">
        <v>100</v>
      </c>
      <c r="E1340" s="26" t="s">
        <v>5581</v>
      </c>
      <c r="F1340" s="39" t="str">
        <f t="shared" si="80"/>
        <v/>
      </c>
      <c r="G1340" s="39" t="str">
        <f t="shared" si="81"/>
        <v/>
      </c>
      <c r="H1340" s="39">
        <f t="shared" si="82"/>
        <v>100</v>
      </c>
      <c r="I1340" s="39" t="str">
        <f t="shared" si="83"/>
        <v/>
      </c>
      <c r="J1340" s="39" t="str">
        <f>""</f>
        <v/>
      </c>
    </row>
    <row r="1341" spans="1:10">
      <c r="A1341" s="26" t="s">
        <v>5425</v>
      </c>
      <c r="E1341" s="26" t="s">
        <v>3790</v>
      </c>
      <c r="F1341" s="39" t="str">
        <f t="shared" si="80"/>
        <v/>
      </c>
      <c r="G1341" s="39" t="str">
        <f t="shared" si="81"/>
        <v/>
      </c>
      <c r="H1341" s="39" t="str">
        <f t="shared" si="82"/>
        <v/>
      </c>
      <c r="I1341" s="39" t="str">
        <f t="shared" si="83"/>
        <v/>
      </c>
      <c r="J1341" s="39" t="str">
        <f>""</f>
        <v/>
      </c>
    </row>
    <row r="1342" spans="1:10">
      <c r="A1342" s="26" t="s">
        <v>1639</v>
      </c>
      <c r="C1342" s="39">
        <v>25</v>
      </c>
      <c r="D1342" s="39" t="s">
        <v>3891</v>
      </c>
      <c r="E1342" s="26" t="s">
        <v>3790</v>
      </c>
      <c r="F1342" s="39">
        <f t="shared" si="80"/>
        <v>25</v>
      </c>
      <c r="G1342" s="39">
        <f t="shared" si="81"/>
        <v>25</v>
      </c>
      <c r="H1342" s="39">
        <f t="shared" si="82"/>
        <v>25</v>
      </c>
      <c r="I1342" s="39">
        <f t="shared" si="83"/>
        <v>25</v>
      </c>
      <c r="J1342" s="39" t="str">
        <f>""</f>
        <v/>
      </c>
    </row>
    <row r="1343" spans="1:10">
      <c r="A1343" s="26" t="s">
        <v>1641</v>
      </c>
      <c r="E1343" s="26" t="s">
        <v>3790</v>
      </c>
      <c r="F1343" s="39" t="str">
        <f t="shared" si="80"/>
        <v/>
      </c>
      <c r="G1343" s="39" t="str">
        <f t="shared" si="81"/>
        <v/>
      </c>
      <c r="H1343" s="39" t="str">
        <f t="shared" si="82"/>
        <v/>
      </c>
      <c r="I1343" s="39" t="str">
        <f t="shared" si="83"/>
        <v/>
      </c>
      <c r="J1343" s="39" t="str">
        <f>""</f>
        <v/>
      </c>
    </row>
    <row r="1344" spans="1:10">
      <c r="A1344" s="26" t="s">
        <v>1643</v>
      </c>
      <c r="E1344" s="26" t="s">
        <v>5581</v>
      </c>
      <c r="F1344" s="39" t="str">
        <f t="shared" si="80"/>
        <v/>
      </c>
      <c r="G1344" s="39" t="str">
        <f t="shared" si="81"/>
        <v/>
      </c>
      <c r="H1344" s="39" t="str">
        <f t="shared" si="82"/>
        <v/>
      </c>
      <c r="I1344" s="39" t="str">
        <f t="shared" si="83"/>
        <v/>
      </c>
      <c r="J1344" s="39" t="str">
        <f>""</f>
        <v/>
      </c>
    </row>
    <row r="1345" spans="1:10">
      <c r="A1345" s="26" t="s">
        <v>1644</v>
      </c>
      <c r="E1345" s="26" t="s">
        <v>5581</v>
      </c>
      <c r="F1345" s="39" t="str">
        <f t="shared" si="80"/>
        <v/>
      </c>
      <c r="G1345" s="39" t="str">
        <f t="shared" si="81"/>
        <v/>
      </c>
      <c r="H1345" s="39" t="str">
        <f t="shared" si="82"/>
        <v/>
      </c>
      <c r="I1345" s="39" t="str">
        <f t="shared" si="83"/>
        <v/>
      </c>
      <c r="J1345" s="39" t="str">
        <f>""</f>
        <v/>
      </c>
    </row>
    <row r="1346" spans="1:10">
      <c r="A1346" s="26" t="s">
        <v>1646</v>
      </c>
      <c r="E1346" s="26" t="s">
        <v>3790</v>
      </c>
      <c r="F1346" s="39" t="str">
        <f t="shared" si="80"/>
        <v/>
      </c>
      <c r="G1346" s="39" t="str">
        <f t="shared" si="81"/>
        <v/>
      </c>
      <c r="H1346" s="39" t="str">
        <f t="shared" si="82"/>
        <v/>
      </c>
      <c r="I1346" s="39" t="str">
        <f t="shared" si="83"/>
        <v/>
      </c>
      <c r="J1346" s="39" t="str">
        <f>""</f>
        <v/>
      </c>
    </row>
    <row r="1347" spans="1:10">
      <c r="A1347" s="26" t="s">
        <v>1648</v>
      </c>
      <c r="E1347" s="26" t="s">
        <v>5581</v>
      </c>
      <c r="F1347" s="39" t="str">
        <f t="shared" ref="F1347:F1410" si="84">IF(C1347="","",IF(C1347&lt;99,C1347,""))</f>
        <v/>
      </c>
      <c r="G1347" s="39" t="str">
        <f t="shared" ref="G1347:G1410" si="85">IF(OR(F1347&lt;&gt;"",D1347&lt;&gt;""),C1347,"")</f>
        <v/>
      </c>
      <c r="H1347" s="39" t="str">
        <f t="shared" ref="H1347:H1410" si="86">IF(C1347="","",C1347)</f>
        <v/>
      </c>
      <c r="I1347" s="39" t="str">
        <f t="shared" ref="I1347:I1410" si="87">IF(AND(C1347&lt;&gt;"",D1347&lt;&gt;""),C1347,"")</f>
        <v/>
      </c>
      <c r="J1347" s="39" t="str">
        <f>""</f>
        <v/>
      </c>
    </row>
    <row r="1348" spans="1:10">
      <c r="A1348" s="26" t="s">
        <v>1649</v>
      </c>
      <c r="E1348" s="26" t="s">
        <v>5581</v>
      </c>
      <c r="F1348" s="39" t="str">
        <f t="shared" si="84"/>
        <v/>
      </c>
      <c r="G1348" s="39" t="str">
        <f t="shared" si="85"/>
        <v/>
      </c>
      <c r="H1348" s="39" t="str">
        <f t="shared" si="86"/>
        <v/>
      </c>
      <c r="I1348" s="39" t="str">
        <f t="shared" si="87"/>
        <v/>
      </c>
      <c r="J1348" s="39" t="str">
        <f>""</f>
        <v/>
      </c>
    </row>
    <row r="1349" spans="1:10">
      <c r="A1349" s="26" t="s">
        <v>1650</v>
      </c>
      <c r="E1349" s="26" t="s">
        <v>5581</v>
      </c>
      <c r="F1349" s="39" t="str">
        <f t="shared" si="84"/>
        <v/>
      </c>
      <c r="G1349" s="39" t="str">
        <f t="shared" si="85"/>
        <v/>
      </c>
      <c r="H1349" s="39" t="str">
        <f t="shared" si="86"/>
        <v/>
      </c>
      <c r="I1349" s="39" t="str">
        <f t="shared" si="87"/>
        <v/>
      </c>
      <c r="J1349" s="39" t="str">
        <f>""</f>
        <v/>
      </c>
    </row>
    <row r="1350" spans="1:10">
      <c r="A1350" s="26" t="s">
        <v>1653</v>
      </c>
      <c r="E1350" s="26" t="s">
        <v>5581</v>
      </c>
      <c r="F1350" s="39" t="str">
        <f t="shared" si="84"/>
        <v/>
      </c>
      <c r="G1350" s="39" t="str">
        <f t="shared" si="85"/>
        <v/>
      </c>
      <c r="H1350" s="39" t="str">
        <f t="shared" si="86"/>
        <v/>
      </c>
      <c r="I1350" s="39" t="str">
        <f t="shared" si="87"/>
        <v/>
      </c>
      <c r="J1350" s="39" t="str">
        <f>""</f>
        <v/>
      </c>
    </row>
    <row r="1351" spans="1:10">
      <c r="A1351" s="26" t="s">
        <v>1655</v>
      </c>
      <c r="C1351" s="39">
        <v>100</v>
      </c>
      <c r="E1351" s="26" t="s">
        <v>5581</v>
      </c>
      <c r="F1351" s="39" t="str">
        <f t="shared" si="84"/>
        <v/>
      </c>
      <c r="G1351" s="39" t="str">
        <f t="shared" si="85"/>
        <v/>
      </c>
      <c r="H1351" s="39">
        <f t="shared" si="86"/>
        <v>100</v>
      </c>
      <c r="I1351" s="39" t="str">
        <f t="shared" si="87"/>
        <v/>
      </c>
      <c r="J1351" s="39" t="str">
        <f>""</f>
        <v/>
      </c>
    </row>
    <row r="1352" spans="1:10">
      <c r="A1352" s="26" t="s">
        <v>1656</v>
      </c>
      <c r="E1352" s="26" t="s">
        <v>5581</v>
      </c>
      <c r="F1352" s="39" t="str">
        <f t="shared" si="84"/>
        <v/>
      </c>
      <c r="G1352" s="39" t="str">
        <f t="shared" si="85"/>
        <v/>
      </c>
      <c r="H1352" s="39" t="str">
        <f t="shared" si="86"/>
        <v/>
      </c>
      <c r="I1352" s="39" t="str">
        <f t="shared" si="87"/>
        <v/>
      </c>
      <c r="J1352" s="39" t="str">
        <f>""</f>
        <v/>
      </c>
    </row>
    <row r="1353" spans="1:10">
      <c r="A1353" s="26" t="s">
        <v>1658</v>
      </c>
      <c r="E1353" s="26" t="s">
        <v>5581</v>
      </c>
      <c r="F1353" s="39" t="str">
        <f t="shared" si="84"/>
        <v/>
      </c>
      <c r="G1353" s="39" t="str">
        <f t="shared" si="85"/>
        <v/>
      </c>
      <c r="H1353" s="39" t="str">
        <f t="shared" si="86"/>
        <v/>
      </c>
      <c r="I1353" s="39" t="str">
        <f t="shared" si="87"/>
        <v/>
      </c>
      <c r="J1353" s="39" t="str">
        <f>""</f>
        <v/>
      </c>
    </row>
    <row r="1354" spans="1:10">
      <c r="A1354" s="26" t="s">
        <v>2943</v>
      </c>
      <c r="E1354" s="26" t="s">
        <v>3790</v>
      </c>
      <c r="F1354" s="39" t="str">
        <f t="shared" si="84"/>
        <v/>
      </c>
      <c r="G1354" s="39" t="str">
        <f t="shared" si="85"/>
        <v/>
      </c>
      <c r="H1354" s="39" t="str">
        <f t="shared" si="86"/>
        <v/>
      </c>
      <c r="I1354" s="39" t="str">
        <f t="shared" si="87"/>
        <v/>
      </c>
      <c r="J1354" s="39" t="str">
        <f>""</f>
        <v/>
      </c>
    </row>
    <row r="1355" spans="1:10">
      <c r="A1355" s="26" t="s">
        <v>1659</v>
      </c>
      <c r="E1355" s="26" t="s">
        <v>5581</v>
      </c>
      <c r="F1355" s="39" t="str">
        <f t="shared" si="84"/>
        <v/>
      </c>
      <c r="G1355" s="39" t="str">
        <f t="shared" si="85"/>
        <v/>
      </c>
      <c r="H1355" s="39" t="str">
        <f t="shared" si="86"/>
        <v/>
      </c>
      <c r="I1355" s="39" t="str">
        <f t="shared" si="87"/>
        <v/>
      </c>
      <c r="J1355" s="39" t="str">
        <f>""</f>
        <v/>
      </c>
    </row>
    <row r="1356" spans="1:10">
      <c r="A1356" s="26" t="s">
        <v>1661</v>
      </c>
      <c r="E1356" s="26" t="s">
        <v>5581</v>
      </c>
      <c r="F1356" s="39" t="str">
        <f t="shared" si="84"/>
        <v/>
      </c>
      <c r="G1356" s="39" t="str">
        <f t="shared" si="85"/>
        <v/>
      </c>
      <c r="H1356" s="39" t="str">
        <f t="shared" si="86"/>
        <v/>
      </c>
      <c r="I1356" s="39" t="str">
        <f t="shared" si="87"/>
        <v/>
      </c>
      <c r="J1356" s="39" t="str">
        <f>""</f>
        <v/>
      </c>
    </row>
    <row r="1357" spans="1:10">
      <c r="A1357" s="26" t="s">
        <v>1663</v>
      </c>
      <c r="E1357" s="26" t="s">
        <v>5581</v>
      </c>
      <c r="F1357" s="39" t="str">
        <f t="shared" si="84"/>
        <v/>
      </c>
      <c r="G1357" s="39" t="str">
        <f t="shared" si="85"/>
        <v/>
      </c>
      <c r="H1357" s="39" t="str">
        <f t="shared" si="86"/>
        <v/>
      </c>
      <c r="I1357" s="39" t="str">
        <f t="shared" si="87"/>
        <v/>
      </c>
      <c r="J1357" s="39" t="str">
        <f>""</f>
        <v/>
      </c>
    </row>
    <row r="1358" spans="1:10">
      <c r="A1358" s="26" t="s">
        <v>1665</v>
      </c>
      <c r="E1358" s="26" t="s">
        <v>5581</v>
      </c>
      <c r="F1358" s="39" t="str">
        <f t="shared" si="84"/>
        <v/>
      </c>
      <c r="G1358" s="39" t="str">
        <f t="shared" si="85"/>
        <v/>
      </c>
      <c r="H1358" s="39" t="str">
        <f t="shared" si="86"/>
        <v/>
      </c>
      <c r="I1358" s="39" t="str">
        <f t="shared" si="87"/>
        <v/>
      </c>
      <c r="J1358" s="39" t="str">
        <f>""</f>
        <v/>
      </c>
    </row>
    <row r="1359" spans="1:10">
      <c r="A1359" s="26" t="s">
        <v>1666</v>
      </c>
      <c r="E1359" s="26" t="s">
        <v>5581</v>
      </c>
      <c r="F1359" s="39" t="str">
        <f t="shared" si="84"/>
        <v/>
      </c>
      <c r="G1359" s="39" t="str">
        <f t="shared" si="85"/>
        <v/>
      </c>
      <c r="H1359" s="39" t="str">
        <f t="shared" si="86"/>
        <v/>
      </c>
      <c r="I1359" s="39" t="str">
        <f t="shared" si="87"/>
        <v/>
      </c>
      <c r="J1359" s="39" t="str">
        <f>""</f>
        <v/>
      </c>
    </row>
    <row r="1360" spans="1:10">
      <c r="A1360" s="26" t="s">
        <v>1668</v>
      </c>
      <c r="E1360" s="26" t="s">
        <v>5581</v>
      </c>
      <c r="F1360" s="39" t="str">
        <f t="shared" si="84"/>
        <v/>
      </c>
      <c r="G1360" s="39" t="str">
        <f t="shared" si="85"/>
        <v/>
      </c>
      <c r="H1360" s="39" t="str">
        <f t="shared" si="86"/>
        <v/>
      </c>
      <c r="I1360" s="39" t="str">
        <f t="shared" si="87"/>
        <v/>
      </c>
      <c r="J1360" s="39" t="str">
        <f>""</f>
        <v/>
      </c>
    </row>
    <row r="1361" spans="1:10">
      <c r="A1361" s="26" t="s">
        <v>2946</v>
      </c>
      <c r="E1361" s="26" t="s">
        <v>5581</v>
      </c>
      <c r="F1361" s="39" t="str">
        <f t="shared" si="84"/>
        <v/>
      </c>
      <c r="G1361" s="39" t="str">
        <f t="shared" si="85"/>
        <v/>
      </c>
      <c r="H1361" s="39" t="str">
        <f t="shared" si="86"/>
        <v/>
      </c>
      <c r="I1361" s="39" t="str">
        <f t="shared" si="87"/>
        <v/>
      </c>
      <c r="J1361" s="39" t="str">
        <f>""</f>
        <v/>
      </c>
    </row>
    <row r="1362" spans="1:10">
      <c r="A1362" s="26" t="s">
        <v>2948</v>
      </c>
      <c r="E1362" s="26" t="s">
        <v>5581</v>
      </c>
      <c r="F1362" s="39" t="str">
        <f t="shared" si="84"/>
        <v/>
      </c>
      <c r="G1362" s="39" t="str">
        <f t="shared" si="85"/>
        <v/>
      </c>
      <c r="H1362" s="39" t="str">
        <f t="shared" si="86"/>
        <v/>
      </c>
      <c r="I1362" s="39" t="str">
        <f t="shared" si="87"/>
        <v/>
      </c>
      <c r="J1362" s="39" t="str">
        <f>""</f>
        <v/>
      </c>
    </row>
    <row r="1363" spans="1:10">
      <c r="A1363" s="26" t="s">
        <v>1669</v>
      </c>
      <c r="E1363" s="26" t="s">
        <v>5581</v>
      </c>
      <c r="F1363" s="39" t="str">
        <f t="shared" si="84"/>
        <v/>
      </c>
      <c r="G1363" s="39" t="str">
        <f t="shared" si="85"/>
        <v/>
      </c>
      <c r="H1363" s="39" t="str">
        <f t="shared" si="86"/>
        <v/>
      </c>
      <c r="I1363" s="39" t="str">
        <f t="shared" si="87"/>
        <v/>
      </c>
      <c r="J1363" s="39" t="str">
        <f>""</f>
        <v/>
      </c>
    </row>
    <row r="1364" spans="1:10">
      <c r="A1364" s="26" t="s">
        <v>1671</v>
      </c>
      <c r="E1364" s="26" t="s">
        <v>5581</v>
      </c>
      <c r="F1364" s="39" t="str">
        <f t="shared" si="84"/>
        <v/>
      </c>
      <c r="G1364" s="39" t="str">
        <f t="shared" si="85"/>
        <v/>
      </c>
      <c r="H1364" s="39" t="str">
        <f t="shared" si="86"/>
        <v/>
      </c>
      <c r="I1364" s="39" t="str">
        <f t="shared" si="87"/>
        <v/>
      </c>
      <c r="J1364" s="39" t="str">
        <f>""</f>
        <v/>
      </c>
    </row>
    <row r="1365" spans="1:10">
      <c r="A1365" s="26" t="s">
        <v>1672</v>
      </c>
      <c r="E1365" s="26" t="s">
        <v>5581</v>
      </c>
      <c r="F1365" s="39" t="str">
        <f t="shared" si="84"/>
        <v/>
      </c>
      <c r="G1365" s="39" t="str">
        <f t="shared" si="85"/>
        <v/>
      </c>
      <c r="H1365" s="39" t="str">
        <f t="shared" si="86"/>
        <v/>
      </c>
      <c r="I1365" s="39" t="str">
        <f t="shared" si="87"/>
        <v/>
      </c>
      <c r="J1365" s="39" t="str">
        <f>""</f>
        <v/>
      </c>
    </row>
    <row r="1366" spans="1:10">
      <c r="A1366" s="26" t="s">
        <v>1675</v>
      </c>
      <c r="E1366" s="26" t="s">
        <v>5581</v>
      </c>
      <c r="F1366" s="39" t="str">
        <f t="shared" si="84"/>
        <v/>
      </c>
      <c r="G1366" s="39" t="str">
        <f t="shared" si="85"/>
        <v/>
      </c>
      <c r="H1366" s="39" t="str">
        <f t="shared" si="86"/>
        <v/>
      </c>
      <c r="I1366" s="39" t="str">
        <f t="shared" si="87"/>
        <v/>
      </c>
      <c r="J1366" s="39" t="str">
        <f>""</f>
        <v/>
      </c>
    </row>
    <row r="1367" spans="1:10">
      <c r="A1367" s="26" t="s">
        <v>1676</v>
      </c>
      <c r="E1367" s="26" t="s">
        <v>5581</v>
      </c>
      <c r="F1367" s="39" t="str">
        <f t="shared" si="84"/>
        <v/>
      </c>
      <c r="G1367" s="39" t="str">
        <f t="shared" si="85"/>
        <v/>
      </c>
      <c r="H1367" s="39" t="str">
        <f t="shared" si="86"/>
        <v/>
      </c>
      <c r="I1367" s="39" t="str">
        <f t="shared" si="87"/>
        <v/>
      </c>
      <c r="J1367" s="39" t="str">
        <f>""</f>
        <v/>
      </c>
    </row>
    <row r="1368" spans="1:10">
      <c r="A1368" s="26" t="s">
        <v>1679</v>
      </c>
      <c r="E1368" s="26" t="s">
        <v>5581</v>
      </c>
      <c r="F1368" s="39" t="str">
        <f t="shared" si="84"/>
        <v/>
      </c>
      <c r="G1368" s="39" t="str">
        <f t="shared" si="85"/>
        <v/>
      </c>
      <c r="H1368" s="39" t="str">
        <f t="shared" si="86"/>
        <v/>
      </c>
      <c r="I1368" s="39" t="str">
        <f t="shared" si="87"/>
        <v/>
      </c>
      <c r="J1368" s="39" t="str">
        <f>""</f>
        <v/>
      </c>
    </row>
    <row r="1369" spans="1:10">
      <c r="A1369" s="26" t="s">
        <v>1680</v>
      </c>
      <c r="E1369" s="26" t="s">
        <v>5581</v>
      </c>
      <c r="F1369" s="39" t="str">
        <f t="shared" si="84"/>
        <v/>
      </c>
      <c r="G1369" s="39" t="str">
        <f t="shared" si="85"/>
        <v/>
      </c>
      <c r="H1369" s="39" t="str">
        <f t="shared" si="86"/>
        <v/>
      </c>
      <c r="I1369" s="39" t="str">
        <f t="shared" si="87"/>
        <v/>
      </c>
      <c r="J1369" s="39" t="str">
        <f>""</f>
        <v/>
      </c>
    </row>
    <row r="1370" spans="1:10">
      <c r="A1370" s="26" t="s">
        <v>1682</v>
      </c>
      <c r="E1370" s="26" t="s">
        <v>5581</v>
      </c>
      <c r="F1370" s="39" t="str">
        <f t="shared" si="84"/>
        <v/>
      </c>
      <c r="G1370" s="39" t="str">
        <f t="shared" si="85"/>
        <v/>
      </c>
      <c r="H1370" s="39" t="str">
        <f t="shared" si="86"/>
        <v/>
      </c>
      <c r="I1370" s="39" t="str">
        <f t="shared" si="87"/>
        <v/>
      </c>
      <c r="J1370" s="39" t="str">
        <f>""</f>
        <v/>
      </c>
    </row>
    <row r="1371" spans="1:10">
      <c r="A1371" s="26" t="s">
        <v>2949</v>
      </c>
      <c r="E1371" s="26" t="s">
        <v>5581</v>
      </c>
      <c r="F1371" s="39" t="str">
        <f t="shared" si="84"/>
        <v/>
      </c>
      <c r="G1371" s="39" t="str">
        <f t="shared" si="85"/>
        <v/>
      </c>
      <c r="H1371" s="39" t="str">
        <f t="shared" si="86"/>
        <v/>
      </c>
      <c r="I1371" s="39" t="str">
        <f t="shared" si="87"/>
        <v/>
      </c>
      <c r="J1371" s="39" t="str">
        <f>""</f>
        <v/>
      </c>
    </row>
    <row r="1372" spans="1:10">
      <c r="A1372" s="26" t="s">
        <v>2952</v>
      </c>
      <c r="E1372" s="26" t="s">
        <v>5581</v>
      </c>
      <c r="F1372" s="39" t="str">
        <f t="shared" si="84"/>
        <v/>
      </c>
      <c r="G1372" s="39" t="str">
        <f t="shared" si="85"/>
        <v/>
      </c>
      <c r="H1372" s="39" t="str">
        <f t="shared" si="86"/>
        <v/>
      </c>
      <c r="I1372" s="39" t="str">
        <f t="shared" si="87"/>
        <v/>
      </c>
      <c r="J1372" s="39" t="str">
        <f>""</f>
        <v/>
      </c>
    </row>
    <row r="1373" spans="1:10">
      <c r="A1373" s="26" t="s">
        <v>2955</v>
      </c>
      <c r="E1373" s="26" t="s">
        <v>5581</v>
      </c>
      <c r="F1373" s="39" t="str">
        <f t="shared" si="84"/>
        <v/>
      </c>
      <c r="G1373" s="39" t="str">
        <f t="shared" si="85"/>
        <v/>
      </c>
      <c r="H1373" s="39" t="str">
        <f t="shared" si="86"/>
        <v/>
      </c>
      <c r="I1373" s="39" t="str">
        <f t="shared" si="87"/>
        <v/>
      </c>
      <c r="J1373" s="39" t="str">
        <f>""</f>
        <v/>
      </c>
    </row>
    <row r="1374" spans="1:10">
      <c r="A1374" s="26" t="s">
        <v>2958</v>
      </c>
      <c r="E1374" s="26" t="s">
        <v>5581</v>
      </c>
      <c r="F1374" s="39" t="str">
        <f t="shared" si="84"/>
        <v/>
      </c>
      <c r="G1374" s="39" t="str">
        <f t="shared" si="85"/>
        <v/>
      </c>
      <c r="H1374" s="39" t="str">
        <f t="shared" si="86"/>
        <v/>
      </c>
      <c r="I1374" s="39" t="str">
        <f t="shared" si="87"/>
        <v/>
      </c>
      <c r="J1374" s="39" t="str">
        <f>""</f>
        <v/>
      </c>
    </row>
    <row r="1375" spans="1:10">
      <c r="A1375" s="26" t="s">
        <v>3424</v>
      </c>
      <c r="E1375" s="26" t="s">
        <v>5581</v>
      </c>
      <c r="F1375" s="39" t="str">
        <f t="shared" si="84"/>
        <v/>
      </c>
      <c r="G1375" s="39" t="str">
        <f t="shared" si="85"/>
        <v/>
      </c>
      <c r="H1375" s="39" t="str">
        <f t="shared" si="86"/>
        <v/>
      </c>
      <c r="I1375" s="39" t="str">
        <f t="shared" si="87"/>
        <v/>
      </c>
      <c r="J1375" s="39" t="str">
        <f>""</f>
        <v/>
      </c>
    </row>
    <row r="1376" spans="1:10">
      <c r="A1376" s="26" t="s">
        <v>2961</v>
      </c>
      <c r="E1376" s="26" t="s">
        <v>5581</v>
      </c>
      <c r="F1376" s="39" t="str">
        <f t="shared" si="84"/>
        <v/>
      </c>
      <c r="G1376" s="39" t="str">
        <f t="shared" si="85"/>
        <v/>
      </c>
      <c r="H1376" s="39" t="str">
        <f t="shared" si="86"/>
        <v/>
      </c>
      <c r="I1376" s="39" t="str">
        <f t="shared" si="87"/>
        <v/>
      </c>
      <c r="J1376" s="39" t="str">
        <f>""</f>
        <v/>
      </c>
    </row>
    <row r="1377" spans="1:10">
      <c r="A1377" s="26" t="s">
        <v>2963</v>
      </c>
      <c r="E1377" s="26" t="s">
        <v>5581</v>
      </c>
      <c r="F1377" s="39" t="str">
        <f t="shared" si="84"/>
        <v/>
      </c>
      <c r="G1377" s="39" t="str">
        <f t="shared" si="85"/>
        <v/>
      </c>
      <c r="H1377" s="39" t="str">
        <f t="shared" si="86"/>
        <v/>
      </c>
      <c r="I1377" s="39" t="str">
        <f t="shared" si="87"/>
        <v/>
      </c>
      <c r="J1377" s="39" t="str">
        <f>""</f>
        <v/>
      </c>
    </row>
    <row r="1378" spans="1:10">
      <c r="A1378" s="26" t="s">
        <v>1683</v>
      </c>
      <c r="E1378" s="26" t="s">
        <v>5581</v>
      </c>
      <c r="F1378" s="39" t="str">
        <f t="shared" si="84"/>
        <v/>
      </c>
      <c r="G1378" s="39" t="str">
        <f t="shared" si="85"/>
        <v/>
      </c>
      <c r="H1378" s="39" t="str">
        <f t="shared" si="86"/>
        <v/>
      </c>
      <c r="I1378" s="39" t="str">
        <f t="shared" si="87"/>
        <v/>
      </c>
      <c r="J1378" s="39" t="str">
        <f>""</f>
        <v/>
      </c>
    </row>
    <row r="1379" spans="1:10">
      <c r="A1379" s="26" t="s">
        <v>1685</v>
      </c>
      <c r="E1379" s="26" t="s">
        <v>5581</v>
      </c>
      <c r="F1379" s="39" t="str">
        <f t="shared" si="84"/>
        <v/>
      </c>
      <c r="G1379" s="39" t="str">
        <f t="shared" si="85"/>
        <v/>
      </c>
      <c r="H1379" s="39" t="str">
        <f t="shared" si="86"/>
        <v/>
      </c>
      <c r="I1379" s="39" t="str">
        <f t="shared" si="87"/>
        <v/>
      </c>
      <c r="J1379" s="39" t="str">
        <f>""</f>
        <v/>
      </c>
    </row>
    <row r="1380" spans="1:10">
      <c r="A1380" s="26" t="s">
        <v>1686</v>
      </c>
      <c r="E1380" s="26" t="s">
        <v>5581</v>
      </c>
      <c r="F1380" s="39" t="str">
        <f t="shared" si="84"/>
        <v/>
      </c>
      <c r="G1380" s="39" t="str">
        <f t="shared" si="85"/>
        <v/>
      </c>
      <c r="H1380" s="39" t="str">
        <f t="shared" si="86"/>
        <v/>
      </c>
      <c r="I1380" s="39" t="str">
        <f t="shared" si="87"/>
        <v/>
      </c>
      <c r="J1380" s="39" t="str">
        <f>""</f>
        <v/>
      </c>
    </row>
    <row r="1381" spans="1:10">
      <c r="A1381" s="26" t="s">
        <v>1688</v>
      </c>
      <c r="E1381" s="26" t="s">
        <v>5581</v>
      </c>
      <c r="F1381" s="39" t="str">
        <f t="shared" si="84"/>
        <v/>
      </c>
      <c r="G1381" s="39" t="str">
        <f t="shared" si="85"/>
        <v/>
      </c>
      <c r="H1381" s="39" t="str">
        <f t="shared" si="86"/>
        <v/>
      </c>
      <c r="I1381" s="39" t="str">
        <f t="shared" si="87"/>
        <v/>
      </c>
      <c r="J1381" s="39" t="str">
        <f>""</f>
        <v/>
      </c>
    </row>
    <row r="1382" spans="1:10">
      <c r="A1382" s="26" t="s">
        <v>1689</v>
      </c>
      <c r="E1382" s="26" t="s">
        <v>3790</v>
      </c>
      <c r="F1382" s="39" t="str">
        <f t="shared" si="84"/>
        <v/>
      </c>
      <c r="G1382" s="39" t="str">
        <f t="shared" si="85"/>
        <v/>
      </c>
      <c r="H1382" s="39" t="str">
        <f t="shared" si="86"/>
        <v/>
      </c>
      <c r="I1382" s="39" t="str">
        <f t="shared" si="87"/>
        <v/>
      </c>
      <c r="J1382" s="39" t="str">
        <f>""</f>
        <v/>
      </c>
    </row>
    <row r="1383" spans="1:10">
      <c r="A1383" s="26" t="s">
        <v>1691</v>
      </c>
      <c r="E1383" s="26" t="s">
        <v>3790</v>
      </c>
      <c r="F1383" s="39" t="str">
        <f t="shared" si="84"/>
        <v/>
      </c>
      <c r="G1383" s="39" t="str">
        <f t="shared" si="85"/>
        <v/>
      </c>
      <c r="H1383" s="39" t="str">
        <f t="shared" si="86"/>
        <v/>
      </c>
      <c r="I1383" s="39" t="str">
        <f t="shared" si="87"/>
        <v/>
      </c>
      <c r="J1383" s="39" t="str">
        <f>""</f>
        <v/>
      </c>
    </row>
    <row r="1384" spans="1:10">
      <c r="A1384" s="26" t="s">
        <v>2964</v>
      </c>
      <c r="E1384" s="26" t="s">
        <v>5581</v>
      </c>
      <c r="F1384" s="39" t="str">
        <f t="shared" si="84"/>
        <v/>
      </c>
      <c r="G1384" s="39" t="str">
        <f t="shared" si="85"/>
        <v/>
      </c>
      <c r="H1384" s="39" t="str">
        <f t="shared" si="86"/>
        <v/>
      </c>
      <c r="I1384" s="39" t="str">
        <f t="shared" si="87"/>
        <v/>
      </c>
      <c r="J1384" s="39" t="str">
        <f>""</f>
        <v/>
      </c>
    </row>
    <row r="1385" spans="1:10">
      <c r="A1385" s="26" t="s">
        <v>2966</v>
      </c>
      <c r="E1385" s="26" t="s">
        <v>5581</v>
      </c>
      <c r="F1385" s="39" t="str">
        <f t="shared" si="84"/>
        <v/>
      </c>
      <c r="G1385" s="39" t="str">
        <f t="shared" si="85"/>
        <v/>
      </c>
      <c r="H1385" s="39" t="str">
        <f t="shared" si="86"/>
        <v/>
      </c>
      <c r="I1385" s="39" t="str">
        <f t="shared" si="87"/>
        <v/>
      </c>
      <c r="J1385" s="39" t="str">
        <f>""</f>
        <v/>
      </c>
    </row>
    <row r="1386" spans="1:10">
      <c r="A1386" s="26" t="s">
        <v>2967</v>
      </c>
      <c r="E1386" s="26" t="s">
        <v>5581</v>
      </c>
      <c r="F1386" s="39" t="str">
        <f t="shared" si="84"/>
        <v/>
      </c>
      <c r="G1386" s="39" t="str">
        <f t="shared" si="85"/>
        <v/>
      </c>
      <c r="H1386" s="39" t="str">
        <f t="shared" si="86"/>
        <v/>
      </c>
      <c r="I1386" s="39" t="str">
        <f t="shared" si="87"/>
        <v/>
      </c>
      <c r="J1386" s="39" t="str">
        <f>""</f>
        <v/>
      </c>
    </row>
    <row r="1387" spans="1:10">
      <c r="A1387" s="26" t="s">
        <v>2969</v>
      </c>
      <c r="E1387" s="26" t="s">
        <v>5581</v>
      </c>
      <c r="F1387" s="39" t="str">
        <f t="shared" si="84"/>
        <v/>
      </c>
      <c r="G1387" s="39" t="str">
        <f t="shared" si="85"/>
        <v/>
      </c>
      <c r="H1387" s="39" t="str">
        <f t="shared" si="86"/>
        <v/>
      </c>
      <c r="I1387" s="39" t="str">
        <f t="shared" si="87"/>
        <v/>
      </c>
      <c r="J1387" s="39" t="str">
        <f>""</f>
        <v/>
      </c>
    </row>
    <row r="1388" spans="1:10">
      <c r="A1388" s="26" t="s">
        <v>1692</v>
      </c>
      <c r="E1388" s="26" t="s">
        <v>5581</v>
      </c>
      <c r="F1388" s="39" t="str">
        <f t="shared" si="84"/>
        <v/>
      </c>
      <c r="G1388" s="39" t="str">
        <f t="shared" si="85"/>
        <v/>
      </c>
      <c r="H1388" s="39" t="str">
        <f t="shared" si="86"/>
        <v/>
      </c>
      <c r="I1388" s="39" t="str">
        <f t="shared" si="87"/>
        <v/>
      </c>
      <c r="J1388" s="39" t="str">
        <f>""</f>
        <v/>
      </c>
    </row>
    <row r="1389" spans="1:10">
      <c r="A1389" s="26" t="s">
        <v>1694</v>
      </c>
      <c r="E1389" s="26" t="s">
        <v>5581</v>
      </c>
      <c r="F1389" s="39" t="str">
        <f t="shared" si="84"/>
        <v/>
      </c>
      <c r="G1389" s="39" t="str">
        <f t="shared" si="85"/>
        <v/>
      </c>
      <c r="H1389" s="39" t="str">
        <f t="shared" si="86"/>
        <v/>
      </c>
      <c r="I1389" s="39" t="str">
        <f t="shared" si="87"/>
        <v/>
      </c>
      <c r="J1389" s="39" t="str">
        <f>""</f>
        <v/>
      </c>
    </row>
    <row r="1390" spans="1:10">
      <c r="A1390" s="26" t="s">
        <v>2970</v>
      </c>
      <c r="E1390" s="26" t="s">
        <v>5581</v>
      </c>
      <c r="F1390" s="39" t="str">
        <f t="shared" si="84"/>
        <v/>
      </c>
      <c r="G1390" s="39" t="str">
        <f t="shared" si="85"/>
        <v/>
      </c>
      <c r="H1390" s="39" t="str">
        <f t="shared" si="86"/>
        <v/>
      </c>
      <c r="I1390" s="39" t="str">
        <f t="shared" si="87"/>
        <v/>
      </c>
      <c r="J1390" s="39" t="str">
        <f>""</f>
        <v/>
      </c>
    </row>
    <row r="1391" spans="1:10">
      <c r="A1391" s="26" t="s">
        <v>2972</v>
      </c>
      <c r="E1391" s="26" t="s">
        <v>5581</v>
      </c>
      <c r="F1391" s="39" t="str">
        <f t="shared" si="84"/>
        <v/>
      </c>
      <c r="G1391" s="39" t="str">
        <f t="shared" si="85"/>
        <v/>
      </c>
      <c r="H1391" s="39" t="str">
        <f t="shared" si="86"/>
        <v/>
      </c>
      <c r="I1391" s="39" t="str">
        <f t="shared" si="87"/>
        <v/>
      </c>
      <c r="J1391" s="39" t="str">
        <f>""</f>
        <v/>
      </c>
    </row>
    <row r="1392" spans="1:10">
      <c r="A1392" s="26" t="s">
        <v>2973</v>
      </c>
      <c r="E1392" s="26" t="s">
        <v>5581</v>
      </c>
      <c r="F1392" s="39" t="str">
        <f t="shared" si="84"/>
        <v/>
      </c>
      <c r="G1392" s="39" t="str">
        <f t="shared" si="85"/>
        <v/>
      </c>
      <c r="H1392" s="39" t="str">
        <f t="shared" si="86"/>
        <v/>
      </c>
      <c r="I1392" s="39" t="str">
        <f t="shared" si="87"/>
        <v/>
      </c>
      <c r="J1392" s="39" t="str">
        <f>""</f>
        <v/>
      </c>
    </row>
    <row r="1393" spans="1:10">
      <c r="A1393" s="26" t="s">
        <v>2977</v>
      </c>
      <c r="E1393" s="26" t="s">
        <v>5581</v>
      </c>
      <c r="F1393" s="39" t="str">
        <f t="shared" si="84"/>
        <v/>
      </c>
      <c r="G1393" s="39" t="str">
        <f t="shared" si="85"/>
        <v/>
      </c>
      <c r="H1393" s="39" t="str">
        <f t="shared" si="86"/>
        <v/>
      </c>
      <c r="I1393" s="39" t="str">
        <f t="shared" si="87"/>
        <v/>
      </c>
      <c r="J1393" s="39" t="str">
        <f>""</f>
        <v/>
      </c>
    </row>
    <row r="1394" spans="1:10">
      <c r="A1394" s="26" t="s">
        <v>2978</v>
      </c>
      <c r="E1394" s="26" t="s">
        <v>5581</v>
      </c>
      <c r="F1394" s="39" t="str">
        <f t="shared" si="84"/>
        <v/>
      </c>
      <c r="G1394" s="39" t="str">
        <f t="shared" si="85"/>
        <v/>
      </c>
      <c r="H1394" s="39" t="str">
        <f t="shared" si="86"/>
        <v/>
      </c>
      <c r="I1394" s="39" t="str">
        <f t="shared" si="87"/>
        <v/>
      </c>
      <c r="J1394" s="39" t="str">
        <f>""</f>
        <v/>
      </c>
    </row>
    <row r="1395" spans="1:10">
      <c r="A1395" s="26" t="s">
        <v>2980</v>
      </c>
      <c r="E1395" s="26" t="s">
        <v>5581</v>
      </c>
      <c r="F1395" s="39" t="str">
        <f t="shared" si="84"/>
        <v/>
      </c>
      <c r="G1395" s="39" t="str">
        <f t="shared" si="85"/>
        <v/>
      </c>
      <c r="H1395" s="39" t="str">
        <f t="shared" si="86"/>
        <v/>
      </c>
      <c r="I1395" s="39" t="str">
        <f t="shared" si="87"/>
        <v/>
      </c>
      <c r="J1395" s="39" t="str">
        <f>""</f>
        <v/>
      </c>
    </row>
    <row r="1396" spans="1:10">
      <c r="A1396" s="26" t="s">
        <v>2981</v>
      </c>
      <c r="E1396" s="26" t="s">
        <v>5581</v>
      </c>
      <c r="F1396" s="39" t="str">
        <f t="shared" si="84"/>
        <v/>
      </c>
      <c r="G1396" s="39" t="str">
        <f t="shared" si="85"/>
        <v/>
      </c>
      <c r="H1396" s="39" t="str">
        <f t="shared" si="86"/>
        <v/>
      </c>
      <c r="I1396" s="39" t="str">
        <f t="shared" si="87"/>
        <v/>
      </c>
      <c r="J1396" s="39" t="str">
        <f>""</f>
        <v/>
      </c>
    </row>
    <row r="1397" spans="1:10">
      <c r="A1397" s="26" t="s">
        <v>2983</v>
      </c>
      <c r="E1397" s="26" t="s">
        <v>5581</v>
      </c>
      <c r="F1397" s="39" t="str">
        <f t="shared" si="84"/>
        <v/>
      </c>
      <c r="G1397" s="39" t="str">
        <f t="shared" si="85"/>
        <v/>
      </c>
      <c r="H1397" s="39" t="str">
        <f t="shared" si="86"/>
        <v/>
      </c>
      <c r="I1397" s="39" t="str">
        <f t="shared" si="87"/>
        <v/>
      </c>
      <c r="J1397" s="39" t="str">
        <f>""</f>
        <v/>
      </c>
    </row>
    <row r="1398" spans="1:10">
      <c r="A1398" s="26" t="s">
        <v>2984</v>
      </c>
      <c r="E1398" s="26" t="s">
        <v>5581</v>
      </c>
      <c r="F1398" s="39" t="str">
        <f t="shared" si="84"/>
        <v/>
      </c>
      <c r="G1398" s="39" t="str">
        <f t="shared" si="85"/>
        <v/>
      </c>
      <c r="H1398" s="39" t="str">
        <f t="shared" si="86"/>
        <v/>
      </c>
      <c r="I1398" s="39" t="str">
        <f t="shared" si="87"/>
        <v/>
      </c>
      <c r="J1398" s="39" t="str">
        <f>""</f>
        <v/>
      </c>
    </row>
    <row r="1399" spans="1:10">
      <c r="A1399" s="26" t="s">
        <v>2986</v>
      </c>
      <c r="E1399" s="26" t="s">
        <v>5581</v>
      </c>
      <c r="F1399" s="39" t="str">
        <f t="shared" si="84"/>
        <v/>
      </c>
      <c r="G1399" s="39" t="str">
        <f t="shared" si="85"/>
        <v/>
      </c>
      <c r="H1399" s="39" t="str">
        <f t="shared" si="86"/>
        <v/>
      </c>
      <c r="I1399" s="39" t="str">
        <f t="shared" si="87"/>
        <v/>
      </c>
      <c r="J1399" s="39" t="str">
        <f>""</f>
        <v/>
      </c>
    </row>
    <row r="1400" spans="1:10">
      <c r="A1400" s="26" t="s">
        <v>2987</v>
      </c>
      <c r="E1400" s="26" t="s">
        <v>5581</v>
      </c>
      <c r="F1400" s="39" t="str">
        <f t="shared" si="84"/>
        <v/>
      </c>
      <c r="G1400" s="39" t="str">
        <f t="shared" si="85"/>
        <v/>
      </c>
      <c r="H1400" s="39" t="str">
        <f t="shared" si="86"/>
        <v/>
      </c>
      <c r="I1400" s="39" t="str">
        <f t="shared" si="87"/>
        <v/>
      </c>
      <c r="J1400" s="39" t="str">
        <f>""</f>
        <v/>
      </c>
    </row>
    <row r="1401" spans="1:10">
      <c r="A1401" s="26" t="s">
        <v>2989</v>
      </c>
      <c r="E1401" s="26" t="s">
        <v>5581</v>
      </c>
      <c r="F1401" s="39" t="str">
        <f t="shared" si="84"/>
        <v/>
      </c>
      <c r="G1401" s="39" t="str">
        <f t="shared" si="85"/>
        <v/>
      </c>
      <c r="H1401" s="39" t="str">
        <f t="shared" si="86"/>
        <v/>
      </c>
      <c r="I1401" s="39" t="str">
        <f t="shared" si="87"/>
        <v/>
      </c>
      <c r="J1401" s="39" t="str">
        <f>""</f>
        <v/>
      </c>
    </row>
    <row r="1402" spans="1:10">
      <c r="A1402" s="26" t="s">
        <v>2990</v>
      </c>
      <c r="E1402" s="26" t="s">
        <v>5581</v>
      </c>
      <c r="F1402" s="39" t="str">
        <f t="shared" si="84"/>
        <v/>
      </c>
      <c r="G1402" s="39" t="str">
        <f t="shared" si="85"/>
        <v/>
      </c>
      <c r="H1402" s="39" t="str">
        <f t="shared" si="86"/>
        <v/>
      </c>
      <c r="I1402" s="39" t="str">
        <f t="shared" si="87"/>
        <v/>
      </c>
      <c r="J1402" s="39" t="str">
        <f>""</f>
        <v/>
      </c>
    </row>
    <row r="1403" spans="1:10">
      <c r="A1403" s="26" t="s">
        <v>2993</v>
      </c>
      <c r="E1403" s="26" t="s">
        <v>5581</v>
      </c>
      <c r="F1403" s="39" t="str">
        <f t="shared" si="84"/>
        <v/>
      </c>
      <c r="G1403" s="39" t="str">
        <f t="shared" si="85"/>
        <v/>
      </c>
      <c r="H1403" s="39" t="str">
        <f t="shared" si="86"/>
        <v/>
      </c>
      <c r="I1403" s="39" t="str">
        <f t="shared" si="87"/>
        <v/>
      </c>
      <c r="J1403" s="39" t="str">
        <f>""</f>
        <v/>
      </c>
    </row>
    <row r="1404" spans="1:10">
      <c r="A1404" s="26" t="s">
        <v>2996</v>
      </c>
      <c r="E1404" s="26" t="s">
        <v>5581</v>
      </c>
      <c r="F1404" s="39" t="str">
        <f t="shared" si="84"/>
        <v/>
      </c>
      <c r="G1404" s="39" t="str">
        <f t="shared" si="85"/>
        <v/>
      </c>
      <c r="H1404" s="39" t="str">
        <f t="shared" si="86"/>
        <v/>
      </c>
      <c r="I1404" s="39" t="str">
        <f t="shared" si="87"/>
        <v/>
      </c>
      <c r="J1404" s="39" t="str">
        <f>""</f>
        <v/>
      </c>
    </row>
    <row r="1405" spans="1:10">
      <c r="A1405" s="26" t="s">
        <v>2998</v>
      </c>
      <c r="E1405" s="26" t="s">
        <v>5581</v>
      </c>
      <c r="F1405" s="39" t="str">
        <f t="shared" si="84"/>
        <v/>
      </c>
      <c r="G1405" s="39" t="str">
        <f t="shared" si="85"/>
        <v/>
      </c>
      <c r="H1405" s="39" t="str">
        <f t="shared" si="86"/>
        <v/>
      </c>
      <c r="I1405" s="39" t="str">
        <f t="shared" si="87"/>
        <v/>
      </c>
      <c r="J1405" s="39" t="str">
        <f>""</f>
        <v/>
      </c>
    </row>
    <row r="1406" spans="1:10">
      <c r="A1406" s="26" t="s">
        <v>3000</v>
      </c>
      <c r="E1406" s="26" t="s">
        <v>5581</v>
      </c>
      <c r="F1406" s="39" t="str">
        <f t="shared" si="84"/>
        <v/>
      </c>
      <c r="G1406" s="39" t="str">
        <f t="shared" si="85"/>
        <v/>
      </c>
      <c r="H1406" s="39" t="str">
        <f t="shared" si="86"/>
        <v/>
      </c>
      <c r="I1406" s="39" t="str">
        <f t="shared" si="87"/>
        <v/>
      </c>
      <c r="J1406" s="39" t="str">
        <f>""</f>
        <v/>
      </c>
    </row>
    <row r="1407" spans="1:10">
      <c r="A1407" s="26" t="s">
        <v>3002</v>
      </c>
      <c r="E1407" s="26" t="s">
        <v>5581</v>
      </c>
      <c r="F1407" s="39" t="str">
        <f t="shared" si="84"/>
        <v/>
      </c>
      <c r="G1407" s="39" t="str">
        <f t="shared" si="85"/>
        <v/>
      </c>
      <c r="H1407" s="39" t="str">
        <f t="shared" si="86"/>
        <v/>
      </c>
      <c r="I1407" s="39" t="str">
        <f t="shared" si="87"/>
        <v/>
      </c>
      <c r="J1407" s="39" t="str">
        <f>""</f>
        <v/>
      </c>
    </row>
    <row r="1408" spans="1:10">
      <c r="A1408" s="26" t="s">
        <v>3004</v>
      </c>
      <c r="E1408" s="26" t="s">
        <v>5581</v>
      </c>
      <c r="F1408" s="39" t="str">
        <f t="shared" si="84"/>
        <v/>
      </c>
      <c r="G1408" s="39" t="str">
        <f t="shared" si="85"/>
        <v/>
      </c>
      <c r="H1408" s="39" t="str">
        <f t="shared" si="86"/>
        <v/>
      </c>
      <c r="I1408" s="39" t="str">
        <f t="shared" si="87"/>
        <v/>
      </c>
      <c r="J1408" s="39" t="str">
        <f>""</f>
        <v/>
      </c>
    </row>
    <row r="1409" spans="1:10">
      <c r="A1409" s="26" t="s">
        <v>3006</v>
      </c>
      <c r="E1409" s="26" t="s">
        <v>5581</v>
      </c>
      <c r="F1409" s="39" t="str">
        <f t="shared" si="84"/>
        <v/>
      </c>
      <c r="G1409" s="39" t="str">
        <f t="shared" si="85"/>
        <v/>
      </c>
      <c r="H1409" s="39" t="str">
        <f t="shared" si="86"/>
        <v/>
      </c>
      <c r="I1409" s="39" t="str">
        <f t="shared" si="87"/>
        <v/>
      </c>
      <c r="J1409" s="39" t="str">
        <f>""</f>
        <v/>
      </c>
    </row>
    <row r="1410" spans="1:10">
      <c r="A1410" s="26" t="s">
        <v>1695</v>
      </c>
      <c r="E1410" s="26" t="s">
        <v>5581</v>
      </c>
      <c r="F1410" s="39" t="str">
        <f t="shared" si="84"/>
        <v/>
      </c>
      <c r="G1410" s="39" t="str">
        <f t="shared" si="85"/>
        <v/>
      </c>
      <c r="H1410" s="39" t="str">
        <f t="shared" si="86"/>
        <v/>
      </c>
      <c r="I1410" s="39" t="str">
        <f t="shared" si="87"/>
        <v/>
      </c>
      <c r="J1410" s="39" t="str">
        <f>""</f>
        <v/>
      </c>
    </row>
    <row r="1411" spans="1:10">
      <c r="A1411" s="26" t="s">
        <v>1698</v>
      </c>
      <c r="E1411" s="26" t="s">
        <v>5581</v>
      </c>
      <c r="F1411" s="39" t="str">
        <f t="shared" ref="F1411:F1474" si="88">IF(C1411="","",IF(C1411&lt;99,C1411,""))</f>
        <v/>
      </c>
      <c r="G1411" s="39" t="str">
        <f t="shared" ref="G1411:G1474" si="89">IF(OR(F1411&lt;&gt;"",D1411&lt;&gt;""),C1411,"")</f>
        <v/>
      </c>
      <c r="H1411" s="39" t="str">
        <f t="shared" ref="H1411:H1474" si="90">IF(C1411="","",C1411)</f>
        <v/>
      </c>
      <c r="I1411" s="39" t="str">
        <f t="shared" ref="I1411:I1474" si="91">IF(AND(C1411&lt;&gt;"",D1411&lt;&gt;""),C1411,"")</f>
        <v/>
      </c>
      <c r="J1411" s="39" t="str">
        <f>""</f>
        <v/>
      </c>
    </row>
    <row r="1412" spans="1:10">
      <c r="A1412" s="26" t="s">
        <v>1700</v>
      </c>
      <c r="E1412" s="26" t="s">
        <v>5581</v>
      </c>
      <c r="F1412" s="39" t="str">
        <f t="shared" si="88"/>
        <v/>
      </c>
      <c r="G1412" s="39" t="str">
        <f t="shared" si="89"/>
        <v/>
      </c>
      <c r="H1412" s="39" t="str">
        <f t="shared" si="90"/>
        <v/>
      </c>
      <c r="I1412" s="39" t="str">
        <f t="shared" si="91"/>
        <v/>
      </c>
      <c r="J1412" s="39" t="str">
        <f>""</f>
        <v/>
      </c>
    </row>
    <row r="1413" spans="1:10">
      <c r="A1413" s="26" t="s">
        <v>1701</v>
      </c>
      <c r="E1413" s="26" t="s">
        <v>5581</v>
      </c>
      <c r="F1413" s="39" t="str">
        <f t="shared" si="88"/>
        <v/>
      </c>
      <c r="G1413" s="39" t="str">
        <f t="shared" si="89"/>
        <v/>
      </c>
      <c r="H1413" s="39" t="str">
        <f t="shared" si="90"/>
        <v/>
      </c>
      <c r="I1413" s="39" t="str">
        <f t="shared" si="91"/>
        <v/>
      </c>
      <c r="J1413" s="39" t="str">
        <f>""</f>
        <v/>
      </c>
    </row>
    <row r="1414" spans="1:10">
      <c r="A1414" s="26" t="s">
        <v>1703</v>
      </c>
      <c r="E1414" s="26" t="s">
        <v>5581</v>
      </c>
      <c r="F1414" s="39" t="str">
        <f t="shared" si="88"/>
        <v/>
      </c>
      <c r="G1414" s="39" t="str">
        <f t="shared" si="89"/>
        <v/>
      </c>
      <c r="H1414" s="39" t="str">
        <f t="shared" si="90"/>
        <v/>
      </c>
      <c r="I1414" s="39" t="str">
        <f t="shared" si="91"/>
        <v/>
      </c>
      <c r="J1414" s="39" t="str">
        <f>""</f>
        <v/>
      </c>
    </row>
    <row r="1415" spans="1:10">
      <c r="A1415" s="26" t="s">
        <v>1704</v>
      </c>
      <c r="E1415" s="26" t="s">
        <v>5582</v>
      </c>
      <c r="F1415" s="39" t="str">
        <f t="shared" si="88"/>
        <v/>
      </c>
      <c r="G1415" s="39" t="str">
        <f t="shared" si="89"/>
        <v/>
      </c>
      <c r="H1415" s="39" t="str">
        <f t="shared" si="90"/>
        <v/>
      </c>
      <c r="I1415" s="39" t="str">
        <f t="shared" si="91"/>
        <v/>
      </c>
      <c r="J1415" s="39" t="str">
        <f>""</f>
        <v/>
      </c>
    </row>
    <row r="1416" spans="1:10">
      <c r="A1416" s="26" t="s">
        <v>1707</v>
      </c>
      <c r="E1416" s="26" t="s">
        <v>5581</v>
      </c>
      <c r="F1416" s="39" t="str">
        <f t="shared" si="88"/>
        <v/>
      </c>
      <c r="G1416" s="39" t="str">
        <f t="shared" si="89"/>
        <v/>
      </c>
      <c r="H1416" s="39" t="str">
        <f t="shared" si="90"/>
        <v/>
      </c>
      <c r="I1416" s="39" t="str">
        <f t="shared" si="91"/>
        <v/>
      </c>
      <c r="J1416" s="39" t="str">
        <f>""</f>
        <v/>
      </c>
    </row>
    <row r="1417" spans="1:10">
      <c r="A1417" s="26" t="s">
        <v>1709</v>
      </c>
      <c r="E1417" s="26" t="s">
        <v>5581</v>
      </c>
      <c r="F1417" s="39" t="str">
        <f t="shared" si="88"/>
        <v/>
      </c>
      <c r="G1417" s="39" t="str">
        <f t="shared" si="89"/>
        <v/>
      </c>
      <c r="H1417" s="39" t="str">
        <f t="shared" si="90"/>
        <v/>
      </c>
      <c r="I1417" s="39" t="str">
        <f t="shared" si="91"/>
        <v/>
      </c>
      <c r="J1417" s="39" t="str">
        <f>""</f>
        <v/>
      </c>
    </row>
    <row r="1418" spans="1:10">
      <c r="A1418" s="26" t="s">
        <v>3430</v>
      </c>
      <c r="E1418" s="26" t="s">
        <v>5581</v>
      </c>
      <c r="F1418" s="39" t="str">
        <f t="shared" si="88"/>
        <v/>
      </c>
      <c r="G1418" s="39" t="str">
        <f t="shared" si="89"/>
        <v/>
      </c>
      <c r="H1418" s="39" t="str">
        <f t="shared" si="90"/>
        <v/>
      </c>
      <c r="I1418" s="39" t="str">
        <f t="shared" si="91"/>
        <v/>
      </c>
      <c r="J1418" s="39" t="str">
        <f>""</f>
        <v/>
      </c>
    </row>
    <row r="1419" spans="1:10">
      <c r="A1419" s="26" t="s">
        <v>3432</v>
      </c>
      <c r="E1419" s="26" t="s">
        <v>5581</v>
      </c>
      <c r="F1419" s="39" t="str">
        <f t="shared" si="88"/>
        <v/>
      </c>
      <c r="G1419" s="39" t="str">
        <f t="shared" si="89"/>
        <v/>
      </c>
      <c r="H1419" s="39" t="str">
        <f t="shared" si="90"/>
        <v/>
      </c>
      <c r="I1419" s="39" t="str">
        <f t="shared" si="91"/>
        <v/>
      </c>
      <c r="J1419" s="39" t="str">
        <f>""</f>
        <v/>
      </c>
    </row>
    <row r="1420" spans="1:10">
      <c r="A1420" s="26" t="s">
        <v>1710</v>
      </c>
      <c r="E1420" s="26" t="s">
        <v>5581</v>
      </c>
      <c r="F1420" s="39" t="str">
        <f t="shared" si="88"/>
        <v/>
      </c>
      <c r="G1420" s="39" t="str">
        <f t="shared" si="89"/>
        <v/>
      </c>
      <c r="H1420" s="39" t="str">
        <f t="shared" si="90"/>
        <v/>
      </c>
      <c r="I1420" s="39" t="str">
        <f t="shared" si="91"/>
        <v/>
      </c>
      <c r="J1420" s="39" t="str">
        <f>""</f>
        <v/>
      </c>
    </row>
    <row r="1421" spans="1:10">
      <c r="A1421" s="26" t="s">
        <v>1713</v>
      </c>
      <c r="E1421" s="26" t="s">
        <v>5581</v>
      </c>
      <c r="F1421" s="39" t="str">
        <f t="shared" si="88"/>
        <v/>
      </c>
      <c r="G1421" s="39" t="str">
        <f t="shared" si="89"/>
        <v/>
      </c>
      <c r="H1421" s="39" t="str">
        <f t="shared" si="90"/>
        <v/>
      </c>
      <c r="I1421" s="39" t="str">
        <f t="shared" si="91"/>
        <v/>
      </c>
      <c r="J1421" s="39" t="str">
        <f>""</f>
        <v/>
      </c>
    </row>
    <row r="1422" spans="1:10">
      <c r="A1422" s="26" t="s">
        <v>1714</v>
      </c>
      <c r="E1422" s="26" t="s">
        <v>5581</v>
      </c>
      <c r="F1422" s="39" t="str">
        <f t="shared" si="88"/>
        <v/>
      </c>
      <c r="G1422" s="39" t="str">
        <f t="shared" si="89"/>
        <v/>
      </c>
      <c r="H1422" s="39" t="str">
        <f t="shared" si="90"/>
        <v/>
      </c>
      <c r="I1422" s="39" t="str">
        <f t="shared" si="91"/>
        <v/>
      </c>
      <c r="J1422" s="39" t="str">
        <f>""</f>
        <v/>
      </c>
    </row>
    <row r="1423" spans="1:10">
      <c r="A1423" s="26" t="s">
        <v>3009</v>
      </c>
      <c r="E1423" s="26" t="s">
        <v>5581</v>
      </c>
      <c r="F1423" s="39" t="str">
        <f t="shared" si="88"/>
        <v/>
      </c>
      <c r="G1423" s="39" t="str">
        <f t="shared" si="89"/>
        <v/>
      </c>
      <c r="H1423" s="39" t="str">
        <f t="shared" si="90"/>
        <v/>
      </c>
      <c r="I1423" s="39" t="str">
        <f t="shared" si="91"/>
        <v/>
      </c>
      <c r="J1423" s="39" t="str">
        <f>""</f>
        <v/>
      </c>
    </row>
    <row r="1424" spans="1:10">
      <c r="A1424" s="26" t="s">
        <v>1717</v>
      </c>
      <c r="E1424" s="26" t="s">
        <v>5581</v>
      </c>
      <c r="F1424" s="39" t="str">
        <f t="shared" si="88"/>
        <v/>
      </c>
      <c r="G1424" s="39" t="str">
        <f t="shared" si="89"/>
        <v/>
      </c>
      <c r="H1424" s="39" t="str">
        <f t="shared" si="90"/>
        <v/>
      </c>
      <c r="I1424" s="39" t="str">
        <f t="shared" si="91"/>
        <v/>
      </c>
      <c r="J1424" s="39" t="str">
        <f>""</f>
        <v/>
      </c>
    </row>
    <row r="1425" spans="1:10">
      <c r="A1425" s="26" t="s">
        <v>1719</v>
      </c>
      <c r="E1425" s="26" t="s">
        <v>5581</v>
      </c>
      <c r="F1425" s="39" t="str">
        <f t="shared" si="88"/>
        <v/>
      </c>
      <c r="G1425" s="39" t="str">
        <f t="shared" si="89"/>
        <v/>
      </c>
      <c r="H1425" s="39" t="str">
        <f t="shared" si="90"/>
        <v/>
      </c>
      <c r="I1425" s="39" t="str">
        <f t="shared" si="91"/>
        <v/>
      </c>
      <c r="J1425" s="39" t="str">
        <f>""</f>
        <v/>
      </c>
    </row>
    <row r="1426" spans="1:10">
      <c r="A1426" s="26" t="s">
        <v>1721</v>
      </c>
      <c r="E1426" s="26" t="s">
        <v>3790</v>
      </c>
      <c r="F1426" s="39" t="str">
        <f t="shared" si="88"/>
        <v/>
      </c>
      <c r="G1426" s="39" t="str">
        <f t="shared" si="89"/>
        <v/>
      </c>
      <c r="H1426" s="39" t="str">
        <f t="shared" si="90"/>
        <v/>
      </c>
      <c r="I1426" s="39" t="str">
        <f t="shared" si="91"/>
        <v/>
      </c>
      <c r="J1426" s="39" t="str">
        <f>""</f>
        <v/>
      </c>
    </row>
    <row r="1427" spans="1:10">
      <c r="A1427" s="26" t="s">
        <v>1723</v>
      </c>
      <c r="E1427" s="26" t="s">
        <v>5581</v>
      </c>
      <c r="F1427" s="39" t="str">
        <f t="shared" si="88"/>
        <v/>
      </c>
      <c r="G1427" s="39" t="str">
        <f t="shared" si="89"/>
        <v/>
      </c>
      <c r="H1427" s="39" t="str">
        <f t="shared" si="90"/>
        <v/>
      </c>
      <c r="I1427" s="39" t="str">
        <f t="shared" si="91"/>
        <v/>
      </c>
      <c r="J1427" s="39" t="str">
        <f>""</f>
        <v/>
      </c>
    </row>
    <row r="1428" spans="1:10">
      <c r="A1428" s="26" t="s">
        <v>1725</v>
      </c>
      <c r="E1428" s="26" t="s">
        <v>5581</v>
      </c>
      <c r="F1428" s="39" t="str">
        <f t="shared" si="88"/>
        <v/>
      </c>
      <c r="G1428" s="39" t="str">
        <f t="shared" si="89"/>
        <v/>
      </c>
      <c r="H1428" s="39" t="str">
        <f t="shared" si="90"/>
        <v/>
      </c>
      <c r="I1428" s="39" t="str">
        <f t="shared" si="91"/>
        <v/>
      </c>
      <c r="J1428" s="39" t="str">
        <f>""</f>
        <v/>
      </c>
    </row>
    <row r="1429" spans="1:10">
      <c r="A1429" s="26" t="s">
        <v>1728</v>
      </c>
      <c r="E1429" s="26" t="s">
        <v>5581</v>
      </c>
      <c r="F1429" s="39" t="str">
        <f t="shared" si="88"/>
        <v/>
      </c>
      <c r="G1429" s="39" t="str">
        <f t="shared" si="89"/>
        <v/>
      </c>
      <c r="H1429" s="39" t="str">
        <f t="shared" si="90"/>
        <v/>
      </c>
      <c r="I1429" s="39" t="str">
        <f t="shared" si="91"/>
        <v/>
      </c>
      <c r="J1429" s="39" t="str">
        <f>""</f>
        <v/>
      </c>
    </row>
    <row r="1430" spans="1:10">
      <c r="A1430" s="26" t="s">
        <v>1731</v>
      </c>
      <c r="E1430" s="26" t="s">
        <v>5581</v>
      </c>
      <c r="F1430" s="39" t="str">
        <f t="shared" si="88"/>
        <v/>
      </c>
      <c r="G1430" s="39" t="str">
        <f t="shared" si="89"/>
        <v/>
      </c>
      <c r="H1430" s="39" t="str">
        <f t="shared" si="90"/>
        <v/>
      </c>
      <c r="I1430" s="39" t="str">
        <f t="shared" si="91"/>
        <v/>
      </c>
      <c r="J1430" s="39" t="str">
        <f>""</f>
        <v/>
      </c>
    </row>
    <row r="1431" spans="1:10">
      <c r="A1431" s="26" t="s">
        <v>1733</v>
      </c>
      <c r="E1431" s="26" t="s">
        <v>5581</v>
      </c>
      <c r="F1431" s="39" t="str">
        <f t="shared" si="88"/>
        <v/>
      </c>
      <c r="G1431" s="39" t="str">
        <f t="shared" si="89"/>
        <v/>
      </c>
      <c r="H1431" s="39" t="str">
        <f t="shared" si="90"/>
        <v/>
      </c>
      <c r="I1431" s="39" t="str">
        <f t="shared" si="91"/>
        <v/>
      </c>
      <c r="J1431" s="39" t="str">
        <f>""</f>
        <v/>
      </c>
    </row>
    <row r="1432" spans="1:10">
      <c r="A1432" s="26" t="s">
        <v>1734</v>
      </c>
      <c r="E1432" s="26" t="s">
        <v>5581</v>
      </c>
      <c r="F1432" s="39" t="str">
        <f t="shared" si="88"/>
        <v/>
      </c>
      <c r="G1432" s="39" t="str">
        <f t="shared" si="89"/>
        <v/>
      </c>
      <c r="H1432" s="39" t="str">
        <f t="shared" si="90"/>
        <v/>
      </c>
      <c r="I1432" s="39" t="str">
        <f t="shared" si="91"/>
        <v/>
      </c>
      <c r="J1432" s="39" t="str">
        <f>""</f>
        <v/>
      </c>
    </row>
    <row r="1433" spans="1:10">
      <c r="A1433" s="26" t="s">
        <v>1737</v>
      </c>
      <c r="E1433" s="26" t="s">
        <v>5581</v>
      </c>
      <c r="F1433" s="39" t="str">
        <f t="shared" si="88"/>
        <v/>
      </c>
      <c r="G1433" s="39" t="str">
        <f t="shared" si="89"/>
        <v/>
      </c>
      <c r="H1433" s="39" t="str">
        <f t="shared" si="90"/>
        <v/>
      </c>
      <c r="I1433" s="39" t="str">
        <f t="shared" si="91"/>
        <v/>
      </c>
      <c r="J1433" s="39" t="str">
        <f>""</f>
        <v/>
      </c>
    </row>
    <row r="1434" spans="1:10">
      <c r="A1434" s="26" t="s">
        <v>1740</v>
      </c>
      <c r="E1434" s="26" t="s">
        <v>5581</v>
      </c>
      <c r="F1434" s="39" t="str">
        <f t="shared" si="88"/>
        <v/>
      </c>
      <c r="G1434" s="39" t="str">
        <f t="shared" si="89"/>
        <v/>
      </c>
      <c r="H1434" s="39" t="str">
        <f t="shared" si="90"/>
        <v/>
      </c>
      <c r="I1434" s="39" t="str">
        <f t="shared" si="91"/>
        <v/>
      </c>
      <c r="J1434" s="39" t="str">
        <f>""</f>
        <v/>
      </c>
    </row>
    <row r="1435" spans="1:10">
      <c r="A1435" s="26" t="s">
        <v>3011</v>
      </c>
      <c r="E1435" s="26" t="s">
        <v>5581</v>
      </c>
      <c r="F1435" s="39" t="str">
        <f t="shared" si="88"/>
        <v/>
      </c>
      <c r="G1435" s="39" t="str">
        <f t="shared" si="89"/>
        <v/>
      </c>
      <c r="H1435" s="39" t="str">
        <f t="shared" si="90"/>
        <v/>
      </c>
      <c r="I1435" s="39" t="str">
        <f t="shared" si="91"/>
        <v/>
      </c>
      <c r="J1435" s="39" t="str">
        <f>""</f>
        <v/>
      </c>
    </row>
    <row r="1436" spans="1:10">
      <c r="A1436" s="26" t="s">
        <v>3014</v>
      </c>
      <c r="E1436" s="26" t="s">
        <v>5581</v>
      </c>
      <c r="F1436" s="39" t="str">
        <f t="shared" si="88"/>
        <v/>
      </c>
      <c r="G1436" s="39" t="str">
        <f t="shared" si="89"/>
        <v/>
      </c>
      <c r="H1436" s="39" t="str">
        <f t="shared" si="90"/>
        <v/>
      </c>
      <c r="I1436" s="39" t="str">
        <f t="shared" si="91"/>
        <v/>
      </c>
      <c r="J1436" s="39" t="str">
        <f>""</f>
        <v/>
      </c>
    </row>
    <row r="1437" spans="1:10">
      <c r="A1437" s="26" t="s">
        <v>1742</v>
      </c>
      <c r="E1437" s="26" t="s">
        <v>5581</v>
      </c>
      <c r="F1437" s="39" t="str">
        <f t="shared" si="88"/>
        <v/>
      </c>
      <c r="G1437" s="39" t="str">
        <f t="shared" si="89"/>
        <v/>
      </c>
      <c r="H1437" s="39" t="str">
        <f t="shared" si="90"/>
        <v/>
      </c>
      <c r="I1437" s="39" t="str">
        <f t="shared" si="91"/>
        <v/>
      </c>
      <c r="J1437" s="39" t="str">
        <f>""</f>
        <v/>
      </c>
    </row>
    <row r="1438" spans="1:10">
      <c r="A1438" s="26" t="s">
        <v>3016</v>
      </c>
      <c r="E1438" s="26" t="s">
        <v>5581</v>
      </c>
      <c r="F1438" s="39" t="str">
        <f t="shared" si="88"/>
        <v/>
      </c>
      <c r="G1438" s="39" t="str">
        <f t="shared" si="89"/>
        <v/>
      </c>
      <c r="H1438" s="39" t="str">
        <f t="shared" si="90"/>
        <v/>
      </c>
      <c r="I1438" s="39" t="str">
        <f t="shared" si="91"/>
        <v/>
      </c>
      <c r="J1438" s="39" t="str">
        <f>""</f>
        <v/>
      </c>
    </row>
    <row r="1439" spans="1:10">
      <c r="A1439" s="26" t="s">
        <v>3020</v>
      </c>
      <c r="E1439" s="26" t="s">
        <v>5581</v>
      </c>
      <c r="F1439" s="39" t="str">
        <f t="shared" si="88"/>
        <v/>
      </c>
      <c r="G1439" s="39" t="str">
        <f t="shared" si="89"/>
        <v/>
      </c>
      <c r="H1439" s="39" t="str">
        <f t="shared" si="90"/>
        <v/>
      </c>
      <c r="I1439" s="39" t="str">
        <f t="shared" si="91"/>
        <v/>
      </c>
      <c r="J1439" s="39" t="str">
        <f>""</f>
        <v/>
      </c>
    </row>
    <row r="1440" spans="1:10">
      <c r="A1440" s="26" t="s">
        <v>5357</v>
      </c>
      <c r="E1440" s="26" t="s">
        <v>5581</v>
      </c>
      <c r="F1440" s="39" t="str">
        <f t="shared" si="88"/>
        <v/>
      </c>
      <c r="G1440" s="39" t="str">
        <f t="shared" si="89"/>
        <v/>
      </c>
      <c r="H1440" s="39" t="str">
        <f t="shared" si="90"/>
        <v/>
      </c>
      <c r="I1440" s="39" t="str">
        <f t="shared" si="91"/>
        <v/>
      </c>
      <c r="J1440" s="39" t="str">
        <f>""</f>
        <v/>
      </c>
    </row>
    <row r="1441" spans="1:10">
      <c r="A1441" s="26" t="s">
        <v>1745</v>
      </c>
      <c r="E1441" s="26" t="s">
        <v>5581</v>
      </c>
      <c r="F1441" s="39" t="str">
        <f t="shared" si="88"/>
        <v/>
      </c>
      <c r="G1441" s="39" t="str">
        <f t="shared" si="89"/>
        <v/>
      </c>
      <c r="H1441" s="39" t="str">
        <f t="shared" si="90"/>
        <v/>
      </c>
      <c r="I1441" s="39" t="str">
        <f t="shared" si="91"/>
        <v/>
      </c>
      <c r="J1441" s="39" t="str">
        <f>""</f>
        <v/>
      </c>
    </row>
    <row r="1442" spans="1:10">
      <c r="A1442" s="26" t="s">
        <v>3021</v>
      </c>
      <c r="E1442" s="26" t="s">
        <v>5581</v>
      </c>
      <c r="F1442" s="39" t="str">
        <f t="shared" si="88"/>
        <v/>
      </c>
      <c r="G1442" s="39" t="str">
        <f t="shared" si="89"/>
        <v/>
      </c>
      <c r="H1442" s="39" t="str">
        <f t="shared" si="90"/>
        <v/>
      </c>
      <c r="I1442" s="39" t="str">
        <f t="shared" si="91"/>
        <v/>
      </c>
      <c r="J1442" s="39" t="str">
        <f>""</f>
        <v/>
      </c>
    </row>
    <row r="1443" spans="1:10">
      <c r="A1443" s="26" t="s">
        <v>3024</v>
      </c>
      <c r="E1443" s="26" t="s">
        <v>5581</v>
      </c>
      <c r="F1443" s="39" t="str">
        <f t="shared" si="88"/>
        <v/>
      </c>
      <c r="G1443" s="39" t="str">
        <f t="shared" si="89"/>
        <v/>
      </c>
      <c r="H1443" s="39" t="str">
        <f t="shared" si="90"/>
        <v/>
      </c>
      <c r="I1443" s="39" t="str">
        <f t="shared" si="91"/>
        <v/>
      </c>
      <c r="J1443" s="39" t="str">
        <f>""</f>
        <v/>
      </c>
    </row>
    <row r="1444" spans="1:10">
      <c r="A1444" s="26" t="s">
        <v>3027</v>
      </c>
      <c r="E1444" s="26" t="s">
        <v>5581</v>
      </c>
      <c r="F1444" s="39" t="str">
        <f t="shared" si="88"/>
        <v/>
      </c>
      <c r="G1444" s="39" t="str">
        <f t="shared" si="89"/>
        <v/>
      </c>
      <c r="H1444" s="39" t="str">
        <f t="shared" si="90"/>
        <v/>
      </c>
      <c r="I1444" s="39" t="str">
        <f t="shared" si="91"/>
        <v/>
      </c>
      <c r="J1444" s="39" t="str">
        <f>""</f>
        <v/>
      </c>
    </row>
    <row r="1445" spans="1:10">
      <c r="A1445" s="26" t="s">
        <v>3030</v>
      </c>
      <c r="E1445" s="26" t="s">
        <v>3790</v>
      </c>
      <c r="F1445" s="39" t="str">
        <f t="shared" si="88"/>
        <v/>
      </c>
      <c r="G1445" s="39" t="str">
        <f t="shared" si="89"/>
        <v/>
      </c>
      <c r="H1445" s="39" t="str">
        <f t="shared" si="90"/>
        <v/>
      </c>
      <c r="I1445" s="39" t="str">
        <f t="shared" si="91"/>
        <v/>
      </c>
      <c r="J1445" s="39" t="str">
        <f>""</f>
        <v/>
      </c>
    </row>
    <row r="1446" spans="1:10">
      <c r="A1446" s="26" t="s">
        <v>3031</v>
      </c>
      <c r="E1446" s="26" t="s">
        <v>5581</v>
      </c>
      <c r="F1446" s="39" t="str">
        <f t="shared" si="88"/>
        <v/>
      </c>
      <c r="G1446" s="39" t="str">
        <f t="shared" si="89"/>
        <v/>
      </c>
      <c r="H1446" s="39" t="str">
        <f t="shared" si="90"/>
        <v/>
      </c>
      <c r="I1446" s="39" t="str">
        <f t="shared" si="91"/>
        <v/>
      </c>
      <c r="J1446" s="39" t="str">
        <f>""</f>
        <v/>
      </c>
    </row>
    <row r="1447" spans="1:10">
      <c r="A1447" s="26" t="s">
        <v>1747</v>
      </c>
      <c r="E1447" s="26" t="s">
        <v>5581</v>
      </c>
      <c r="F1447" s="39" t="str">
        <f t="shared" si="88"/>
        <v/>
      </c>
      <c r="G1447" s="39" t="str">
        <f t="shared" si="89"/>
        <v/>
      </c>
      <c r="H1447" s="39" t="str">
        <f t="shared" si="90"/>
        <v/>
      </c>
      <c r="I1447" s="39" t="str">
        <f t="shared" si="91"/>
        <v/>
      </c>
      <c r="J1447" s="39" t="str">
        <f>""</f>
        <v/>
      </c>
    </row>
    <row r="1448" spans="1:10">
      <c r="A1448" s="26" t="s">
        <v>1751</v>
      </c>
      <c r="C1448" s="39">
        <v>50</v>
      </c>
      <c r="E1448" s="26" t="s">
        <v>5581</v>
      </c>
      <c r="F1448" s="39">
        <f t="shared" si="88"/>
        <v>50</v>
      </c>
      <c r="G1448" s="39">
        <f t="shared" si="89"/>
        <v>50</v>
      </c>
      <c r="H1448" s="39">
        <f t="shared" si="90"/>
        <v>50</v>
      </c>
      <c r="I1448" s="39" t="str">
        <f t="shared" si="91"/>
        <v/>
      </c>
      <c r="J1448" s="39" t="str">
        <f>""</f>
        <v/>
      </c>
    </row>
    <row r="1449" spans="1:10">
      <c r="A1449" s="26" t="s">
        <v>1752</v>
      </c>
      <c r="E1449" s="26" t="s">
        <v>5581</v>
      </c>
      <c r="F1449" s="39" t="str">
        <f t="shared" si="88"/>
        <v/>
      </c>
      <c r="G1449" s="39" t="str">
        <f t="shared" si="89"/>
        <v/>
      </c>
      <c r="H1449" s="39" t="str">
        <f t="shared" si="90"/>
        <v/>
      </c>
      <c r="I1449" s="39" t="str">
        <f t="shared" si="91"/>
        <v/>
      </c>
      <c r="J1449" s="39" t="str">
        <f>""</f>
        <v/>
      </c>
    </row>
    <row r="1450" spans="1:10">
      <c r="A1450" s="26" t="s">
        <v>3034</v>
      </c>
      <c r="E1450" s="26" t="s">
        <v>3790</v>
      </c>
      <c r="F1450" s="39" t="str">
        <f t="shared" si="88"/>
        <v/>
      </c>
      <c r="G1450" s="39" t="str">
        <f t="shared" si="89"/>
        <v/>
      </c>
      <c r="H1450" s="39" t="str">
        <f t="shared" si="90"/>
        <v/>
      </c>
      <c r="I1450" s="39" t="str">
        <f t="shared" si="91"/>
        <v/>
      </c>
      <c r="J1450" s="39" t="str">
        <f>""</f>
        <v/>
      </c>
    </row>
    <row r="1451" spans="1:10">
      <c r="A1451" s="26" t="s">
        <v>3037</v>
      </c>
      <c r="E1451" s="26" t="s">
        <v>5581</v>
      </c>
      <c r="F1451" s="39" t="str">
        <f t="shared" si="88"/>
        <v/>
      </c>
      <c r="G1451" s="39" t="str">
        <f t="shared" si="89"/>
        <v/>
      </c>
      <c r="H1451" s="39" t="str">
        <f t="shared" si="90"/>
        <v/>
      </c>
      <c r="I1451" s="39" t="str">
        <f t="shared" si="91"/>
        <v/>
      </c>
      <c r="J1451" s="39" t="str">
        <f>""</f>
        <v/>
      </c>
    </row>
    <row r="1452" spans="1:10">
      <c r="A1452" s="26" t="s">
        <v>3040</v>
      </c>
      <c r="E1452" s="26" t="s">
        <v>5581</v>
      </c>
      <c r="F1452" s="39" t="str">
        <f t="shared" si="88"/>
        <v/>
      </c>
      <c r="G1452" s="39" t="str">
        <f t="shared" si="89"/>
        <v/>
      </c>
      <c r="H1452" s="39" t="str">
        <f t="shared" si="90"/>
        <v/>
      </c>
      <c r="I1452" s="39" t="str">
        <f t="shared" si="91"/>
        <v/>
      </c>
      <c r="J1452" s="39" t="str">
        <f>""</f>
        <v/>
      </c>
    </row>
    <row r="1453" spans="1:10">
      <c r="A1453" s="26" t="s">
        <v>3043</v>
      </c>
      <c r="E1453" s="26" t="s">
        <v>5581</v>
      </c>
      <c r="F1453" s="39" t="str">
        <f t="shared" si="88"/>
        <v/>
      </c>
      <c r="G1453" s="39" t="str">
        <f t="shared" si="89"/>
        <v/>
      </c>
      <c r="H1453" s="39" t="str">
        <f t="shared" si="90"/>
        <v/>
      </c>
      <c r="I1453" s="39" t="str">
        <f t="shared" si="91"/>
        <v/>
      </c>
      <c r="J1453" s="39" t="str">
        <f>""</f>
        <v/>
      </c>
    </row>
    <row r="1454" spans="1:10">
      <c r="A1454" s="26" t="s">
        <v>3045</v>
      </c>
      <c r="E1454" s="26" t="s">
        <v>5581</v>
      </c>
      <c r="F1454" s="39" t="str">
        <f t="shared" si="88"/>
        <v/>
      </c>
      <c r="G1454" s="39" t="str">
        <f t="shared" si="89"/>
        <v/>
      </c>
      <c r="H1454" s="39" t="str">
        <f t="shared" si="90"/>
        <v/>
      </c>
      <c r="I1454" s="39" t="str">
        <f t="shared" si="91"/>
        <v/>
      </c>
      <c r="J1454" s="39" t="str">
        <f>""</f>
        <v/>
      </c>
    </row>
    <row r="1455" spans="1:10">
      <c r="A1455" s="26" t="s">
        <v>3048</v>
      </c>
      <c r="E1455" s="26" t="s">
        <v>5581</v>
      </c>
      <c r="F1455" s="39" t="str">
        <f t="shared" si="88"/>
        <v/>
      </c>
      <c r="G1455" s="39" t="str">
        <f t="shared" si="89"/>
        <v/>
      </c>
      <c r="H1455" s="39" t="str">
        <f t="shared" si="90"/>
        <v/>
      </c>
      <c r="I1455" s="39" t="str">
        <f t="shared" si="91"/>
        <v/>
      </c>
      <c r="J1455" s="39" t="str">
        <f>""</f>
        <v/>
      </c>
    </row>
    <row r="1456" spans="1:10">
      <c r="A1456" s="26" t="s">
        <v>3050</v>
      </c>
      <c r="E1456" s="26" t="s">
        <v>5581</v>
      </c>
      <c r="F1456" s="39" t="str">
        <f t="shared" si="88"/>
        <v/>
      </c>
      <c r="G1456" s="39" t="str">
        <f t="shared" si="89"/>
        <v/>
      </c>
      <c r="H1456" s="39" t="str">
        <f t="shared" si="90"/>
        <v/>
      </c>
      <c r="I1456" s="39" t="str">
        <f t="shared" si="91"/>
        <v/>
      </c>
      <c r="J1456" s="39" t="str">
        <f>""</f>
        <v/>
      </c>
    </row>
    <row r="1457" spans="1:10">
      <c r="A1457" s="26" t="s">
        <v>3052</v>
      </c>
      <c r="C1457" s="39">
        <v>500</v>
      </c>
      <c r="E1457" s="26" t="s">
        <v>5581</v>
      </c>
      <c r="F1457" s="39" t="str">
        <f t="shared" si="88"/>
        <v/>
      </c>
      <c r="G1457" s="39" t="str">
        <f t="shared" si="89"/>
        <v/>
      </c>
      <c r="H1457" s="39">
        <f t="shared" si="90"/>
        <v>500</v>
      </c>
      <c r="I1457" s="39" t="str">
        <f t="shared" si="91"/>
        <v/>
      </c>
      <c r="J1457" s="39" t="str">
        <f>""</f>
        <v/>
      </c>
    </row>
    <row r="1458" spans="1:10">
      <c r="A1458" s="26" t="s">
        <v>3055</v>
      </c>
      <c r="C1458" s="39">
        <v>500</v>
      </c>
      <c r="E1458" s="26" t="s">
        <v>5581</v>
      </c>
      <c r="F1458" s="39" t="str">
        <f t="shared" si="88"/>
        <v/>
      </c>
      <c r="G1458" s="39" t="str">
        <f t="shared" si="89"/>
        <v/>
      </c>
      <c r="H1458" s="39">
        <f t="shared" si="90"/>
        <v>500</v>
      </c>
      <c r="I1458" s="39" t="str">
        <f t="shared" si="91"/>
        <v/>
      </c>
      <c r="J1458" s="39" t="str">
        <f>""</f>
        <v/>
      </c>
    </row>
    <row r="1459" spans="1:10">
      <c r="A1459" s="26" t="s">
        <v>3057</v>
      </c>
      <c r="E1459" s="26" t="s">
        <v>5581</v>
      </c>
      <c r="F1459" s="39" t="str">
        <f t="shared" si="88"/>
        <v/>
      </c>
      <c r="G1459" s="39" t="str">
        <f t="shared" si="89"/>
        <v/>
      </c>
      <c r="H1459" s="39" t="str">
        <f t="shared" si="90"/>
        <v/>
      </c>
      <c r="I1459" s="39" t="str">
        <f t="shared" si="91"/>
        <v/>
      </c>
      <c r="J1459" s="39" t="str">
        <f>""</f>
        <v/>
      </c>
    </row>
    <row r="1460" spans="1:10">
      <c r="A1460" s="26" t="s">
        <v>3060</v>
      </c>
      <c r="E1460" s="26" t="s">
        <v>5581</v>
      </c>
      <c r="F1460" s="39" t="str">
        <f t="shared" si="88"/>
        <v/>
      </c>
      <c r="G1460" s="39" t="str">
        <f t="shared" si="89"/>
        <v/>
      </c>
      <c r="H1460" s="39" t="str">
        <f t="shared" si="90"/>
        <v/>
      </c>
      <c r="I1460" s="39" t="str">
        <f t="shared" si="91"/>
        <v/>
      </c>
      <c r="J1460" s="39" t="str">
        <f>""</f>
        <v/>
      </c>
    </row>
    <row r="1461" spans="1:10">
      <c r="A1461" s="26" t="s">
        <v>3062</v>
      </c>
      <c r="E1461" s="26" t="s">
        <v>3790</v>
      </c>
      <c r="F1461" s="39" t="str">
        <f t="shared" si="88"/>
        <v/>
      </c>
      <c r="G1461" s="39" t="str">
        <f t="shared" si="89"/>
        <v/>
      </c>
      <c r="H1461" s="39" t="str">
        <f t="shared" si="90"/>
        <v/>
      </c>
      <c r="I1461" s="39" t="str">
        <f t="shared" si="91"/>
        <v/>
      </c>
      <c r="J1461" s="39" t="str">
        <f>""</f>
        <v/>
      </c>
    </row>
    <row r="1462" spans="1:10">
      <c r="A1462" s="26" t="s">
        <v>3063</v>
      </c>
      <c r="E1462" s="26" t="s">
        <v>5581</v>
      </c>
      <c r="F1462" s="39" t="str">
        <f t="shared" si="88"/>
        <v/>
      </c>
      <c r="G1462" s="39" t="str">
        <f t="shared" si="89"/>
        <v/>
      </c>
      <c r="H1462" s="39" t="str">
        <f t="shared" si="90"/>
        <v/>
      </c>
      <c r="I1462" s="39" t="str">
        <f t="shared" si="91"/>
        <v/>
      </c>
      <c r="J1462" s="39" t="str">
        <f>""</f>
        <v/>
      </c>
    </row>
    <row r="1463" spans="1:10">
      <c r="A1463" s="26" t="s">
        <v>3066</v>
      </c>
      <c r="E1463" s="26" t="s">
        <v>5581</v>
      </c>
      <c r="F1463" s="39" t="str">
        <f t="shared" si="88"/>
        <v/>
      </c>
      <c r="G1463" s="39" t="str">
        <f t="shared" si="89"/>
        <v/>
      </c>
      <c r="H1463" s="39" t="str">
        <f t="shared" si="90"/>
        <v/>
      </c>
      <c r="I1463" s="39" t="str">
        <f t="shared" si="91"/>
        <v/>
      </c>
      <c r="J1463" s="39" t="str">
        <f>""</f>
        <v/>
      </c>
    </row>
    <row r="1464" spans="1:10">
      <c r="A1464" s="26" t="s">
        <v>1754</v>
      </c>
      <c r="E1464" s="26" t="s">
        <v>5581</v>
      </c>
      <c r="F1464" s="39" t="str">
        <f t="shared" si="88"/>
        <v/>
      </c>
      <c r="G1464" s="39" t="str">
        <f t="shared" si="89"/>
        <v/>
      </c>
      <c r="H1464" s="39" t="str">
        <f t="shared" si="90"/>
        <v/>
      </c>
      <c r="I1464" s="39" t="str">
        <f t="shared" si="91"/>
        <v/>
      </c>
      <c r="J1464" s="39" t="str">
        <f>""</f>
        <v/>
      </c>
    </row>
    <row r="1465" spans="1:10">
      <c r="A1465" s="26" t="s">
        <v>1757</v>
      </c>
      <c r="E1465" s="26" t="s">
        <v>5581</v>
      </c>
      <c r="F1465" s="39" t="str">
        <f t="shared" si="88"/>
        <v/>
      </c>
      <c r="G1465" s="39" t="str">
        <f t="shared" si="89"/>
        <v/>
      </c>
      <c r="H1465" s="39" t="str">
        <f t="shared" si="90"/>
        <v/>
      </c>
      <c r="I1465" s="39" t="str">
        <f t="shared" si="91"/>
        <v/>
      </c>
      <c r="J1465" s="39" t="str">
        <f>""</f>
        <v/>
      </c>
    </row>
    <row r="1466" spans="1:10">
      <c r="A1466" s="26" t="s">
        <v>3068</v>
      </c>
      <c r="E1466" s="26" t="s">
        <v>5581</v>
      </c>
      <c r="F1466" s="39" t="str">
        <f t="shared" si="88"/>
        <v/>
      </c>
      <c r="G1466" s="39" t="str">
        <f t="shared" si="89"/>
        <v/>
      </c>
      <c r="H1466" s="39" t="str">
        <f t="shared" si="90"/>
        <v/>
      </c>
      <c r="I1466" s="39" t="str">
        <f t="shared" si="91"/>
        <v/>
      </c>
      <c r="J1466" s="39" t="str">
        <f>""</f>
        <v/>
      </c>
    </row>
    <row r="1467" spans="1:10">
      <c r="A1467" s="26" t="s">
        <v>3070</v>
      </c>
      <c r="E1467" s="26" t="s">
        <v>5581</v>
      </c>
      <c r="F1467" s="39" t="str">
        <f t="shared" si="88"/>
        <v/>
      </c>
      <c r="G1467" s="39" t="str">
        <f t="shared" si="89"/>
        <v/>
      </c>
      <c r="H1467" s="39" t="str">
        <f t="shared" si="90"/>
        <v/>
      </c>
      <c r="I1467" s="39" t="str">
        <f t="shared" si="91"/>
        <v/>
      </c>
      <c r="J1467" s="39" t="str">
        <f>""</f>
        <v/>
      </c>
    </row>
    <row r="1468" spans="1:10">
      <c r="A1468" s="26" t="s">
        <v>3073</v>
      </c>
      <c r="E1468" s="26" t="s">
        <v>5581</v>
      </c>
      <c r="F1468" s="39" t="str">
        <f t="shared" si="88"/>
        <v/>
      </c>
      <c r="G1468" s="39" t="str">
        <f t="shared" si="89"/>
        <v/>
      </c>
      <c r="H1468" s="39" t="str">
        <f t="shared" si="90"/>
        <v/>
      </c>
      <c r="I1468" s="39" t="str">
        <f t="shared" si="91"/>
        <v/>
      </c>
      <c r="J1468" s="39" t="str">
        <f>""</f>
        <v/>
      </c>
    </row>
    <row r="1469" spans="1:10">
      <c r="A1469" s="26" t="s">
        <v>6317</v>
      </c>
      <c r="E1469" s="26" t="s">
        <v>3790</v>
      </c>
      <c r="F1469" s="39" t="str">
        <f t="shared" si="88"/>
        <v/>
      </c>
      <c r="G1469" s="39" t="str">
        <f t="shared" si="89"/>
        <v/>
      </c>
      <c r="H1469" s="39" t="str">
        <f t="shared" si="90"/>
        <v/>
      </c>
      <c r="I1469" s="39" t="str">
        <f t="shared" si="91"/>
        <v/>
      </c>
      <c r="J1469" s="39" t="str">
        <f>""</f>
        <v/>
      </c>
    </row>
    <row r="1470" spans="1:10">
      <c r="A1470" s="26" t="s">
        <v>3075</v>
      </c>
      <c r="E1470" s="26" t="s">
        <v>5581</v>
      </c>
      <c r="F1470" s="39" t="str">
        <f t="shared" si="88"/>
        <v/>
      </c>
      <c r="G1470" s="39" t="str">
        <f t="shared" si="89"/>
        <v/>
      </c>
      <c r="H1470" s="39" t="str">
        <f t="shared" si="90"/>
        <v/>
      </c>
      <c r="I1470" s="39" t="str">
        <f t="shared" si="91"/>
        <v/>
      </c>
      <c r="J1470" s="39" t="str">
        <f>""</f>
        <v/>
      </c>
    </row>
    <row r="1471" spans="1:10">
      <c r="A1471" s="26" t="s">
        <v>3078</v>
      </c>
      <c r="E1471" s="26" t="s">
        <v>5581</v>
      </c>
      <c r="F1471" s="39" t="str">
        <f t="shared" si="88"/>
        <v/>
      </c>
      <c r="G1471" s="39" t="str">
        <f t="shared" si="89"/>
        <v/>
      </c>
      <c r="H1471" s="39" t="str">
        <f t="shared" si="90"/>
        <v/>
      </c>
      <c r="I1471" s="39" t="str">
        <f t="shared" si="91"/>
        <v/>
      </c>
      <c r="J1471" s="39" t="str">
        <f>""</f>
        <v/>
      </c>
    </row>
    <row r="1472" spans="1:10">
      <c r="A1472" s="26" t="s">
        <v>5557</v>
      </c>
      <c r="E1472" s="26" t="s">
        <v>5581</v>
      </c>
      <c r="F1472" s="39" t="str">
        <f t="shared" si="88"/>
        <v/>
      </c>
      <c r="G1472" s="39" t="str">
        <f t="shared" si="89"/>
        <v/>
      </c>
      <c r="H1472" s="39" t="str">
        <f t="shared" si="90"/>
        <v/>
      </c>
      <c r="I1472" s="39" t="str">
        <f t="shared" si="91"/>
        <v/>
      </c>
      <c r="J1472" s="39" t="str">
        <f>""</f>
        <v/>
      </c>
    </row>
    <row r="1473" spans="1:10">
      <c r="A1473" s="26" t="s">
        <v>1759</v>
      </c>
      <c r="C1473" s="39">
        <v>100</v>
      </c>
      <c r="E1473" s="26" t="s">
        <v>5581</v>
      </c>
      <c r="F1473" s="39" t="str">
        <f t="shared" si="88"/>
        <v/>
      </c>
      <c r="G1473" s="39" t="str">
        <f t="shared" si="89"/>
        <v/>
      </c>
      <c r="H1473" s="39">
        <f t="shared" si="90"/>
        <v>100</v>
      </c>
      <c r="I1473" s="39" t="str">
        <f t="shared" si="91"/>
        <v/>
      </c>
      <c r="J1473" s="39" t="str">
        <f>""</f>
        <v/>
      </c>
    </row>
    <row r="1474" spans="1:10">
      <c r="A1474" s="26" t="s">
        <v>1761</v>
      </c>
      <c r="E1474" s="26" t="s">
        <v>5581</v>
      </c>
      <c r="F1474" s="39" t="str">
        <f t="shared" si="88"/>
        <v/>
      </c>
      <c r="G1474" s="39" t="str">
        <f t="shared" si="89"/>
        <v/>
      </c>
      <c r="H1474" s="39" t="str">
        <f t="shared" si="90"/>
        <v/>
      </c>
      <c r="I1474" s="39" t="str">
        <f t="shared" si="91"/>
        <v/>
      </c>
      <c r="J1474" s="39" t="str">
        <f>""</f>
        <v/>
      </c>
    </row>
    <row r="1475" spans="1:10">
      <c r="A1475" s="26" t="s">
        <v>1762</v>
      </c>
      <c r="E1475" s="26" t="s">
        <v>5581</v>
      </c>
      <c r="F1475" s="39" t="str">
        <f t="shared" ref="F1475:F1538" si="92">IF(C1475="","",IF(C1475&lt;99,C1475,""))</f>
        <v/>
      </c>
      <c r="G1475" s="39" t="str">
        <f t="shared" ref="G1475:G1538" si="93">IF(OR(F1475&lt;&gt;"",D1475&lt;&gt;""),C1475,"")</f>
        <v/>
      </c>
      <c r="H1475" s="39" t="str">
        <f t="shared" ref="H1475:H1538" si="94">IF(C1475="","",C1475)</f>
        <v/>
      </c>
      <c r="I1475" s="39" t="str">
        <f t="shared" ref="I1475:I1538" si="95">IF(AND(C1475&lt;&gt;"",D1475&lt;&gt;""),C1475,"")</f>
        <v/>
      </c>
      <c r="J1475" s="39" t="str">
        <f>""</f>
        <v/>
      </c>
    </row>
    <row r="1476" spans="1:10">
      <c r="A1476" s="26" t="s">
        <v>1764</v>
      </c>
      <c r="E1476" s="26" t="s">
        <v>5581</v>
      </c>
      <c r="F1476" s="39" t="str">
        <f t="shared" si="92"/>
        <v/>
      </c>
      <c r="G1476" s="39" t="str">
        <f t="shared" si="93"/>
        <v/>
      </c>
      <c r="H1476" s="39" t="str">
        <f t="shared" si="94"/>
        <v/>
      </c>
      <c r="I1476" s="39" t="str">
        <f t="shared" si="95"/>
        <v/>
      </c>
      <c r="J1476" s="39" t="str">
        <f>""</f>
        <v/>
      </c>
    </row>
    <row r="1477" spans="1:10">
      <c r="A1477" s="26" t="s">
        <v>3079</v>
      </c>
      <c r="E1477" s="26" t="s">
        <v>5581</v>
      </c>
      <c r="F1477" s="39" t="str">
        <f t="shared" si="92"/>
        <v/>
      </c>
      <c r="G1477" s="39" t="str">
        <f t="shared" si="93"/>
        <v/>
      </c>
      <c r="H1477" s="39" t="str">
        <f t="shared" si="94"/>
        <v/>
      </c>
      <c r="I1477" s="39" t="str">
        <f t="shared" si="95"/>
        <v/>
      </c>
      <c r="J1477" s="39" t="str">
        <f>""</f>
        <v/>
      </c>
    </row>
    <row r="1478" spans="1:10">
      <c r="A1478" s="26" t="s">
        <v>3081</v>
      </c>
      <c r="C1478" s="39">
        <v>25</v>
      </c>
      <c r="E1478" s="26" t="s">
        <v>5581</v>
      </c>
      <c r="F1478" s="39">
        <f t="shared" si="92"/>
        <v>25</v>
      </c>
      <c r="G1478" s="39">
        <f t="shared" si="93"/>
        <v>25</v>
      </c>
      <c r="H1478" s="39">
        <f t="shared" si="94"/>
        <v>25</v>
      </c>
      <c r="I1478" s="39" t="str">
        <f t="shared" si="95"/>
        <v/>
      </c>
      <c r="J1478" s="39" t="str">
        <f>""</f>
        <v/>
      </c>
    </row>
    <row r="1479" spans="1:10">
      <c r="A1479" s="26" t="s">
        <v>3084</v>
      </c>
      <c r="E1479" s="26" t="s">
        <v>5581</v>
      </c>
      <c r="F1479" s="39" t="str">
        <f t="shared" si="92"/>
        <v/>
      </c>
      <c r="G1479" s="39" t="str">
        <f t="shared" si="93"/>
        <v/>
      </c>
      <c r="H1479" s="39" t="str">
        <f t="shared" si="94"/>
        <v/>
      </c>
      <c r="I1479" s="39" t="str">
        <f t="shared" si="95"/>
        <v/>
      </c>
      <c r="J1479" s="39" t="str">
        <f>""</f>
        <v/>
      </c>
    </row>
    <row r="1480" spans="1:10">
      <c r="A1480" s="26" t="s">
        <v>1766</v>
      </c>
      <c r="E1480" s="26" t="s">
        <v>5581</v>
      </c>
      <c r="F1480" s="39" t="str">
        <f t="shared" si="92"/>
        <v/>
      </c>
      <c r="G1480" s="39" t="str">
        <f t="shared" si="93"/>
        <v/>
      </c>
      <c r="H1480" s="39" t="str">
        <f t="shared" si="94"/>
        <v/>
      </c>
      <c r="I1480" s="39" t="str">
        <f t="shared" si="95"/>
        <v/>
      </c>
      <c r="J1480" s="39" t="str">
        <f>""</f>
        <v/>
      </c>
    </row>
    <row r="1481" spans="1:10">
      <c r="A1481" s="26" t="s">
        <v>1768</v>
      </c>
      <c r="E1481" s="26" t="s">
        <v>5581</v>
      </c>
      <c r="F1481" s="39" t="str">
        <f t="shared" si="92"/>
        <v/>
      </c>
      <c r="G1481" s="39" t="str">
        <f t="shared" si="93"/>
        <v/>
      </c>
      <c r="H1481" s="39" t="str">
        <f t="shared" si="94"/>
        <v/>
      </c>
      <c r="I1481" s="39" t="str">
        <f t="shared" si="95"/>
        <v/>
      </c>
      <c r="J1481" s="39" t="str">
        <f>""</f>
        <v/>
      </c>
    </row>
    <row r="1482" spans="1:10">
      <c r="A1482" s="26" t="s">
        <v>3087</v>
      </c>
      <c r="E1482" s="26" t="s">
        <v>3790</v>
      </c>
      <c r="F1482" s="39" t="str">
        <f t="shared" si="92"/>
        <v/>
      </c>
      <c r="G1482" s="39" t="str">
        <f t="shared" si="93"/>
        <v/>
      </c>
      <c r="H1482" s="39" t="str">
        <f t="shared" si="94"/>
        <v/>
      </c>
      <c r="I1482" s="39" t="str">
        <f t="shared" si="95"/>
        <v/>
      </c>
      <c r="J1482" s="39" t="str">
        <f>""</f>
        <v/>
      </c>
    </row>
    <row r="1483" spans="1:10">
      <c r="A1483" s="26" t="s">
        <v>3434</v>
      </c>
      <c r="E1483" s="26" t="s">
        <v>5581</v>
      </c>
      <c r="F1483" s="39" t="str">
        <f t="shared" si="92"/>
        <v/>
      </c>
      <c r="G1483" s="39" t="str">
        <f t="shared" si="93"/>
        <v/>
      </c>
      <c r="H1483" s="39" t="str">
        <f t="shared" si="94"/>
        <v/>
      </c>
      <c r="I1483" s="39" t="str">
        <f t="shared" si="95"/>
        <v/>
      </c>
      <c r="J1483" s="39" t="str">
        <f>""</f>
        <v/>
      </c>
    </row>
    <row r="1484" spans="1:10">
      <c r="A1484" s="26" t="s">
        <v>3090</v>
      </c>
      <c r="C1484" s="39">
        <v>50</v>
      </c>
      <c r="E1484" s="26" t="s">
        <v>3790</v>
      </c>
      <c r="F1484" s="39">
        <f t="shared" si="92"/>
        <v>50</v>
      </c>
      <c r="G1484" s="39">
        <f t="shared" si="93"/>
        <v>50</v>
      </c>
      <c r="H1484" s="39">
        <f t="shared" si="94"/>
        <v>50</v>
      </c>
      <c r="I1484" s="39" t="str">
        <f t="shared" si="95"/>
        <v/>
      </c>
      <c r="J1484" s="39" t="str">
        <f>""</f>
        <v/>
      </c>
    </row>
    <row r="1485" spans="1:10">
      <c r="A1485" s="26" t="s">
        <v>1769</v>
      </c>
      <c r="E1485" s="26" t="s">
        <v>5581</v>
      </c>
      <c r="F1485" s="39" t="str">
        <f t="shared" si="92"/>
        <v/>
      </c>
      <c r="G1485" s="39" t="str">
        <f t="shared" si="93"/>
        <v/>
      </c>
      <c r="H1485" s="39" t="str">
        <f t="shared" si="94"/>
        <v/>
      </c>
      <c r="I1485" s="39" t="str">
        <f t="shared" si="95"/>
        <v/>
      </c>
      <c r="J1485" s="39" t="str">
        <f>""</f>
        <v/>
      </c>
    </row>
    <row r="1486" spans="1:10">
      <c r="A1486" s="26" t="s">
        <v>1771</v>
      </c>
      <c r="E1486" s="26" t="s">
        <v>5581</v>
      </c>
      <c r="F1486" s="39" t="str">
        <f t="shared" si="92"/>
        <v/>
      </c>
      <c r="G1486" s="39" t="str">
        <f t="shared" si="93"/>
        <v/>
      </c>
      <c r="H1486" s="39" t="str">
        <f t="shared" si="94"/>
        <v/>
      </c>
      <c r="I1486" s="39" t="str">
        <f t="shared" si="95"/>
        <v/>
      </c>
      <c r="J1486" s="39" t="str">
        <f>""</f>
        <v/>
      </c>
    </row>
    <row r="1487" spans="1:10">
      <c r="A1487" s="26" t="s">
        <v>1774</v>
      </c>
      <c r="E1487" s="26" t="s">
        <v>5581</v>
      </c>
      <c r="F1487" s="39" t="str">
        <f t="shared" si="92"/>
        <v/>
      </c>
      <c r="G1487" s="39" t="str">
        <f t="shared" si="93"/>
        <v/>
      </c>
      <c r="H1487" s="39" t="str">
        <f t="shared" si="94"/>
        <v/>
      </c>
      <c r="I1487" s="39" t="str">
        <f t="shared" si="95"/>
        <v/>
      </c>
      <c r="J1487" s="39" t="str">
        <f>""</f>
        <v/>
      </c>
    </row>
    <row r="1488" spans="1:10">
      <c r="A1488" s="26" t="s">
        <v>1778</v>
      </c>
      <c r="E1488" s="26" t="s">
        <v>5581</v>
      </c>
      <c r="F1488" s="39" t="str">
        <f t="shared" si="92"/>
        <v/>
      </c>
      <c r="G1488" s="39" t="str">
        <f t="shared" si="93"/>
        <v/>
      </c>
      <c r="H1488" s="39" t="str">
        <f t="shared" si="94"/>
        <v/>
      </c>
      <c r="I1488" s="39" t="str">
        <f t="shared" si="95"/>
        <v/>
      </c>
      <c r="J1488" s="39" t="str">
        <f>""</f>
        <v/>
      </c>
    </row>
    <row r="1489" spans="1:10">
      <c r="A1489" s="26" t="s">
        <v>1779</v>
      </c>
      <c r="E1489" s="26" t="s">
        <v>5581</v>
      </c>
      <c r="F1489" s="39" t="str">
        <f t="shared" si="92"/>
        <v/>
      </c>
      <c r="G1489" s="39" t="str">
        <f t="shared" si="93"/>
        <v/>
      </c>
      <c r="H1489" s="39" t="str">
        <f t="shared" si="94"/>
        <v/>
      </c>
      <c r="I1489" s="39" t="str">
        <f t="shared" si="95"/>
        <v/>
      </c>
      <c r="J1489" s="39" t="str">
        <f>""</f>
        <v/>
      </c>
    </row>
    <row r="1490" spans="1:10">
      <c r="A1490" s="26" t="s">
        <v>1780</v>
      </c>
      <c r="E1490" s="26" t="s">
        <v>5581</v>
      </c>
      <c r="F1490" s="39" t="str">
        <f t="shared" si="92"/>
        <v/>
      </c>
      <c r="G1490" s="39" t="str">
        <f t="shared" si="93"/>
        <v/>
      </c>
      <c r="H1490" s="39" t="str">
        <f t="shared" si="94"/>
        <v/>
      </c>
      <c r="I1490" s="39" t="str">
        <f t="shared" si="95"/>
        <v/>
      </c>
      <c r="J1490" s="39" t="str">
        <f>""</f>
        <v/>
      </c>
    </row>
    <row r="1491" spans="1:10">
      <c r="A1491" s="26" t="s">
        <v>1783</v>
      </c>
      <c r="E1491" s="26" t="s">
        <v>5581</v>
      </c>
      <c r="F1491" s="39" t="str">
        <f t="shared" si="92"/>
        <v/>
      </c>
      <c r="G1491" s="39" t="str">
        <f t="shared" si="93"/>
        <v/>
      </c>
      <c r="H1491" s="39" t="str">
        <f t="shared" si="94"/>
        <v/>
      </c>
      <c r="I1491" s="39" t="str">
        <f t="shared" si="95"/>
        <v/>
      </c>
      <c r="J1491" s="39" t="str">
        <f>""</f>
        <v/>
      </c>
    </row>
    <row r="1492" spans="1:10">
      <c r="A1492" s="26" t="s">
        <v>1784</v>
      </c>
      <c r="E1492" s="26" t="s">
        <v>5581</v>
      </c>
      <c r="F1492" s="39" t="str">
        <f t="shared" si="92"/>
        <v/>
      </c>
      <c r="G1492" s="39" t="str">
        <f t="shared" si="93"/>
        <v/>
      </c>
      <c r="H1492" s="39" t="str">
        <f t="shared" si="94"/>
        <v/>
      </c>
      <c r="I1492" s="39" t="str">
        <f t="shared" si="95"/>
        <v/>
      </c>
      <c r="J1492" s="39" t="str">
        <f>""</f>
        <v/>
      </c>
    </row>
    <row r="1493" spans="1:10">
      <c r="A1493" s="26" t="s">
        <v>3091</v>
      </c>
      <c r="E1493" s="26" t="s">
        <v>5581</v>
      </c>
      <c r="F1493" s="39" t="str">
        <f t="shared" si="92"/>
        <v/>
      </c>
      <c r="G1493" s="39" t="str">
        <f t="shared" si="93"/>
        <v/>
      </c>
      <c r="H1493" s="39" t="str">
        <f t="shared" si="94"/>
        <v/>
      </c>
      <c r="I1493" s="39" t="str">
        <f t="shared" si="95"/>
        <v/>
      </c>
      <c r="J1493" s="39" t="str">
        <f>""</f>
        <v/>
      </c>
    </row>
    <row r="1494" spans="1:10">
      <c r="A1494" s="26" t="s">
        <v>3093</v>
      </c>
      <c r="E1494" s="26" t="s">
        <v>5581</v>
      </c>
      <c r="F1494" s="39" t="str">
        <f t="shared" si="92"/>
        <v/>
      </c>
      <c r="G1494" s="39" t="str">
        <f t="shared" si="93"/>
        <v/>
      </c>
      <c r="H1494" s="39" t="str">
        <f t="shared" si="94"/>
        <v/>
      </c>
      <c r="I1494" s="39" t="str">
        <f t="shared" si="95"/>
        <v/>
      </c>
      <c r="J1494" s="39" t="str">
        <f>""</f>
        <v/>
      </c>
    </row>
    <row r="1495" spans="1:10">
      <c r="A1495" s="26" t="s">
        <v>1786</v>
      </c>
      <c r="E1495" s="26" t="s">
        <v>5581</v>
      </c>
      <c r="F1495" s="39" t="str">
        <f t="shared" si="92"/>
        <v/>
      </c>
      <c r="G1495" s="39" t="str">
        <f t="shared" si="93"/>
        <v/>
      </c>
      <c r="H1495" s="39" t="str">
        <f t="shared" si="94"/>
        <v/>
      </c>
      <c r="I1495" s="39" t="str">
        <f t="shared" si="95"/>
        <v/>
      </c>
      <c r="J1495" s="39" t="str">
        <f>""</f>
        <v/>
      </c>
    </row>
    <row r="1496" spans="1:10">
      <c r="A1496" s="26" t="s">
        <v>5297</v>
      </c>
      <c r="E1496" s="26" t="s">
        <v>5581</v>
      </c>
      <c r="F1496" s="39" t="str">
        <f t="shared" si="92"/>
        <v/>
      </c>
      <c r="G1496" s="39" t="str">
        <f t="shared" si="93"/>
        <v/>
      </c>
      <c r="H1496" s="39" t="str">
        <f t="shared" si="94"/>
        <v/>
      </c>
      <c r="I1496" s="39" t="str">
        <f t="shared" si="95"/>
        <v/>
      </c>
      <c r="J1496" s="39" t="str">
        <f>""</f>
        <v/>
      </c>
    </row>
    <row r="1497" spans="1:10">
      <c r="A1497" s="26" t="s">
        <v>1789</v>
      </c>
      <c r="E1497" s="26" t="s">
        <v>5581</v>
      </c>
      <c r="F1497" s="39" t="str">
        <f t="shared" si="92"/>
        <v/>
      </c>
      <c r="G1497" s="39" t="str">
        <f t="shared" si="93"/>
        <v/>
      </c>
      <c r="H1497" s="39" t="str">
        <f t="shared" si="94"/>
        <v/>
      </c>
      <c r="I1497" s="39" t="str">
        <f t="shared" si="95"/>
        <v/>
      </c>
      <c r="J1497" s="39" t="str">
        <f>""</f>
        <v/>
      </c>
    </row>
    <row r="1498" spans="1:10">
      <c r="A1498" s="26" t="s">
        <v>1791</v>
      </c>
      <c r="E1498" s="26" t="s">
        <v>5581</v>
      </c>
      <c r="F1498" s="39" t="str">
        <f t="shared" si="92"/>
        <v/>
      </c>
      <c r="G1498" s="39" t="str">
        <f t="shared" si="93"/>
        <v/>
      </c>
      <c r="H1498" s="39" t="str">
        <f t="shared" si="94"/>
        <v/>
      </c>
      <c r="I1498" s="39" t="str">
        <f t="shared" si="95"/>
        <v/>
      </c>
      <c r="J1498" s="39" t="str">
        <f>""</f>
        <v/>
      </c>
    </row>
    <row r="1499" spans="1:10">
      <c r="A1499" s="26" t="s">
        <v>1792</v>
      </c>
      <c r="E1499" s="26" t="s">
        <v>5581</v>
      </c>
      <c r="F1499" s="39" t="str">
        <f t="shared" si="92"/>
        <v/>
      </c>
      <c r="G1499" s="39" t="str">
        <f t="shared" si="93"/>
        <v/>
      </c>
      <c r="H1499" s="39" t="str">
        <f t="shared" si="94"/>
        <v/>
      </c>
      <c r="I1499" s="39" t="str">
        <f t="shared" si="95"/>
        <v/>
      </c>
      <c r="J1499" s="39" t="str">
        <f>""</f>
        <v/>
      </c>
    </row>
    <row r="1500" spans="1:10">
      <c r="A1500" s="26" t="s">
        <v>1795</v>
      </c>
      <c r="E1500" s="26" t="s">
        <v>5581</v>
      </c>
      <c r="F1500" s="39" t="str">
        <f t="shared" si="92"/>
        <v/>
      </c>
      <c r="G1500" s="39" t="str">
        <f t="shared" si="93"/>
        <v/>
      </c>
      <c r="H1500" s="39" t="str">
        <f t="shared" si="94"/>
        <v/>
      </c>
      <c r="I1500" s="39" t="str">
        <f t="shared" si="95"/>
        <v/>
      </c>
      <c r="J1500" s="39" t="str">
        <f>""</f>
        <v/>
      </c>
    </row>
    <row r="1501" spans="1:10">
      <c r="A1501" s="26" t="s">
        <v>1797</v>
      </c>
      <c r="E1501" s="26" t="s">
        <v>5581</v>
      </c>
      <c r="F1501" s="39" t="str">
        <f t="shared" si="92"/>
        <v/>
      </c>
      <c r="G1501" s="39" t="str">
        <f t="shared" si="93"/>
        <v/>
      </c>
      <c r="H1501" s="39" t="str">
        <f t="shared" si="94"/>
        <v/>
      </c>
      <c r="I1501" s="39" t="str">
        <f t="shared" si="95"/>
        <v/>
      </c>
      <c r="J1501" s="39" t="str">
        <f>""</f>
        <v/>
      </c>
    </row>
    <row r="1502" spans="1:10">
      <c r="A1502" s="26" t="s">
        <v>1799</v>
      </c>
      <c r="E1502" s="26" t="s">
        <v>5581</v>
      </c>
      <c r="F1502" s="39" t="str">
        <f t="shared" si="92"/>
        <v/>
      </c>
      <c r="G1502" s="39" t="str">
        <f t="shared" si="93"/>
        <v/>
      </c>
      <c r="H1502" s="39" t="str">
        <f t="shared" si="94"/>
        <v/>
      </c>
      <c r="I1502" s="39" t="str">
        <f t="shared" si="95"/>
        <v/>
      </c>
      <c r="J1502" s="39" t="str">
        <f>""</f>
        <v/>
      </c>
    </row>
    <row r="1503" spans="1:10">
      <c r="A1503" s="26" t="s">
        <v>1801</v>
      </c>
      <c r="E1503" s="26" t="s">
        <v>5581</v>
      </c>
      <c r="F1503" s="39" t="str">
        <f t="shared" si="92"/>
        <v/>
      </c>
      <c r="G1503" s="39" t="str">
        <f t="shared" si="93"/>
        <v/>
      </c>
      <c r="H1503" s="39" t="str">
        <f t="shared" si="94"/>
        <v/>
      </c>
      <c r="I1503" s="39" t="str">
        <f t="shared" si="95"/>
        <v/>
      </c>
      <c r="J1503" s="39" t="str">
        <f>""</f>
        <v/>
      </c>
    </row>
    <row r="1504" spans="1:10">
      <c r="A1504" s="26" t="s">
        <v>3435</v>
      </c>
      <c r="E1504" s="26" t="s">
        <v>5581</v>
      </c>
      <c r="F1504" s="39" t="str">
        <f t="shared" si="92"/>
        <v/>
      </c>
      <c r="G1504" s="39" t="str">
        <f t="shared" si="93"/>
        <v/>
      </c>
      <c r="H1504" s="39" t="str">
        <f t="shared" si="94"/>
        <v/>
      </c>
      <c r="I1504" s="39" t="str">
        <f t="shared" si="95"/>
        <v/>
      </c>
      <c r="J1504" s="39" t="str">
        <f>""</f>
        <v/>
      </c>
    </row>
    <row r="1505" spans="1:10">
      <c r="A1505" s="26" t="s">
        <v>1802</v>
      </c>
      <c r="E1505" s="26" t="s">
        <v>5581</v>
      </c>
      <c r="F1505" s="39" t="str">
        <f t="shared" si="92"/>
        <v/>
      </c>
      <c r="G1505" s="39" t="str">
        <f t="shared" si="93"/>
        <v/>
      </c>
      <c r="H1505" s="39" t="str">
        <f t="shared" si="94"/>
        <v/>
      </c>
      <c r="I1505" s="39" t="str">
        <f t="shared" si="95"/>
        <v/>
      </c>
      <c r="J1505" s="39" t="str">
        <f>""</f>
        <v/>
      </c>
    </row>
    <row r="1506" spans="1:10">
      <c r="A1506" s="26" t="s">
        <v>1804</v>
      </c>
      <c r="E1506" s="26" t="s">
        <v>5582</v>
      </c>
      <c r="F1506" s="39" t="str">
        <f t="shared" si="92"/>
        <v/>
      </c>
      <c r="G1506" s="39" t="str">
        <f t="shared" si="93"/>
        <v/>
      </c>
      <c r="H1506" s="39" t="str">
        <f t="shared" si="94"/>
        <v/>
      </c>
      <c r="I1506" s="39" t="str">
        <f t="shared" si="95"/>
        <v/>
      </c>
      <c r="J1506" s="39" t="str">
        <f>""</f>
        <v/>
      </c>
    </row>
    <row r="1507" spans="1:10">
      <c r="A1507" s="26" t="s">
        <v>1807</v>
      </c>
      <c r="E1507" s="26" t="s">
        <v>5582</v>
      </c>
      <c r="F1507" s="39" t="str">
        <f t="shared" si="92"/>
        <v/>
      </c>
      <c r="G1507" s="39" t="str">
        <f t="shared" si="93"/>
        <v/>
      </c>
      <c r="H1507" s="39" t="str">
        <f t="shared" si="94"/>
        <v/>
      </c>
      <c r="I1507" s="39" t="str">
        <f t="shared" si="95"/>
        <v/>
      </c>
      <c r="J1507" s="39" t="str">
        <f>""</f>
        <v/>
      </c>
    </row>
    <row r="1508" spans="1:10">
      <c r="A1508" s="26" t="s">
        <v>1808</v>
      </c>
      <c r="E1508" s="26" t="s">
        <v>5582</v>
      </c>
      <c r="F1508" s="39" t="str">
        <f t="shared" si="92"/>
        <v/>
      </c>
      <c r="G1508" s="39" t="str">
        <f t="shared" si="93"/>
        <v/>
      </c>
      <c r="H1508" s="39" t="str">
        <f t="shared" si="94"/>
        <v/>
      </c>
      <c r="I1508" s="39" t="str">
        <f t="shared" si="95"/>
        <v/>
      </c>
      <c r="J1508" s="39" t="str">
        <f>""</f>
        <v/>
      </c>
    </row>
    <row r="1509" spans="1:10">
      <c r="A1509" s="26" t="s">
        <v>1810</v>
      </c>
      <c r="E1509" s="26" t="s">
        <v>5582</v>
      </c>
      <c r="F1509" s="39" t="str">
        <f t="shared" si="92"/>
        <v/>
      </c>
      <c r="G1509" s="39" t="str">
        <f t="shared" si="93"/>
        <v/>
      </c>
      <c r="H1509" s="39" t="str">
        <f t="shared" si="94"/>
        <v/>
      </c>
      <c r="I1509" s="39" t="str">
        <f t="shared" si="95"/>
        <v/>
      </c>
      <c r="J1509" s="39" t="str">
        <f>""</f>
        <v/>
      </c>
    </row>
    <row r="1510" spans="1:10">
      <c r="A1510" s="26" t="s">
        <v>1811</v>
      </c>
      <c r="E1510" s="26" t="s">
        <v>5582</v>
      </c>
      <c r="F1510" s="39" t="str">
        <f t="shared" si="92"/>
        <v/>
      </c>
      <c r="G1510" s="39" t="str">
        <f t="shared" si="93"/>
        <v/>
      </c>
      <c r="H1510" s="39" t="str">
        <f t="shared" si="94"/>
        <v/>
      </c>
      <c r="I1510" s="39" t="str">
        <f t="shared" si="95"/>
        <v/>
      </c>
      <c r="J1510" s="39" t="str">
        <f>""</f>
        <v/>
      </c>
    </row>
    <row r="1511" spans="1:10">
      <c r="A1511" s="26" t="s">
        <v>1813</v>
      </c>
      <c r="E1511" s="26" t="s">
        <v>5582</v>
      </c>
      <c r="F1511" s="39" t="str">
        <f t="shared" si="92"/>
        <v/>
      </c>
      <c r="G1511" s="39" t="str">
        <f t="shared" si="93"/>
        <v/>
      </c>
      <c r="H1511" s="39" t="str">
        <f t="shared" si="94"/>
        <v/>
      </c>
      <c r="I1511" s="39" t="str">
        <f t="shared" si="95"/>
        <v/>
      </c>
      <c r="J1511" s="39" t="str">
        <f>""</f>
        <v/>
      </c>
    </row>
    <row r="1512" spans="1:10">
      <c r="A1512" s="26" t="s">
        <v>1814</v>
      </c>
      <c r="E1512" s="26" t="s">
        <v>5582</v>
      </c>
      <c r="F1512" s="39" t="str">
        <f t="shared" si="92"/>
        <v/>
      </c>
      <c r="G1512" s="39" t="str">
        <f t="shared" si="93"/>
        <v/>
      </c>
      <c r="H1512" s="39" t="str">
        <f t="shared" si="94"/>
        <v/>
      </c>
      <c r="I1512" s="39" t="str">
        <f t="shared" si="95"/>
        <v/>
      </c>
      <c r="J1512" s="39" t="str">
        <f>""</f>
        <v/>
      </c>
    </row>
    <row r="1513" spans="1:10">
      <c r="A1513" s="26" t="s">
        <v>1816</v>
      </c>
      <c r="E1513" s="26" t="s">
        <v>5582</v>
      </c>
      <c r="F1513" s="39" t="str">
        <f t="shared" si="92"/>
        <v/>
      </c>
      <c r="G1513" s="39" t="str">
        <f t="shared" si="93"/>
        <v/>
      </c>
      <c r="H1513" s="39" t="str">
        <f t="shared" si="94"/>
        <v/>
      </c>
      <c r="I1513" s="39" t="str">
        <f t="shared" si="95"/>
        <v/>
      </c>
      <c r="J1513" s="39" t="str">
        <f>""</f>
        <v/>
      </c>
    </row>
    <row r="1514" spans="1:10">
      <c r="A1514" s="26" t="s">
        <v>5941</v>
      </c>
      <c r="E1514" s="26" t="s">
        <v>3790</v>
      </c>
      <c r="F1514" s="39" t="str">
        <f t="shared" si="92"/>
        <v/>
      </c>
      <c r="G1514" s="39" t="str">
        <f t="shared" si="93"/>
        <v/>
      </c>
      <c r="H1514" s="39" t="str">
        <f t="shared" si="94"/>
        <v/>
      </c>
      <c r="I1514" s="39" t="str">
        <f t="shared" si="95"/>
        <v/>
      </c>
      <c r="J1514" s="39" t="str">
        <f>""</f>
        <v/>
      </c>
    </row>
    <row r="1515" spans="1:10">
      <c r="A1515" s="26" t="s">
        <v>1819</v>
      </c>
      <c r="E1515" s="26" t="s">
        <v>3790</v>
      </c>
      <c r="F1515" s="39" t="str">
        <f t="shared" si="92"/>
        <v/>
      </c>
      <c r="G1515" s="39" t="str">
        <f t="shared" si="93"/>
        <v/>
      </c>
      <c r="H1515" s="39" t="str">
        <f t="shared" si="94"/>
        <v/>
      </c>
      <c r="I1515" s="39" t="str">
        <f t="shared" si="95"/>
        <v/>
      </c>
      <c r="J1515" s="39" t="str">
        <f>""</f>
        <v/>
      </c>
    </row>
    <row r="1516" spans="1:10">
      <c r="A1516" s="26" t="s">
        <v>1820</v>
      </c>
      <c r="E1516" s="26" t="s">
        <v>5581</v>
      </c>
      <c r="F1516" s="39" t="str">
        <f t="shared" si="92"/>
        <v/>
      </c>
      <c r="G1516" s="39" t="str">
        <f t="shared" si="93"/>
        <v/>
      </c>
      <c r="H1516" s="39" t="str">
        <f t="shared" si="94"/>
        <v/>
      </c>
      <c r="I1516" s="39" t="str">
        <f t="shared" si="95"/>
        <v/>
      </c>
      <c r="J1516" s="39" t="str">
        <f>""</f>
        <v/>
      </c>
    </row>
    <row r="1517" spans="1:10">
      <c r="A1517" s="26" t="s">
        <v>1822</v>
      </c>
      <c r="E1517" s="26" t="s">
        <v>5581</v>
      </c>
      <c r="F1517" s="39" t="str">
        <f t="shared" si="92"/>
        <v/>
      </c>
      <c r="G1517" s="39" t="str">
        <f t="shared" si="93"/>
        <v/>
      </c>
      <c r="H1517" s="39" t="str">
        <f t="shared" si="94"/>
        <v/>
      </c>
      <c r="I1517" s="39" t="str">
        <f t="shared" si="95"/>
        <v/>
      </c>
      <c r="J1517" s="39" t="str">
        <f>""</f>
        <v/>
      </c>
    </row>
    <row r="1518" spans="1:10">
      <c r="A1518" s="26" t="s">
        <v>3094</v>
      </c>
      <c r="E1518" s="26" t="s">
        <v>5581</v>
      </c>
      <c r="F1518" s="39" t="str">
        <f t="shared" si="92"/>
        <v/>
      </c>
      <c r="G1518" s="39" t="str">
        <f t="shared" si="93"/>
        <v/>
      </c>
      <c r="H1518" s="39" t="str">
        <f t="shared" si="94"/>
        <v/>
      </c>
      <c r="I1518" s="39" t="str">
        <f t="shared" si="95"/>
        <v/>
      </c>
      <c r="J1518" s="39" t="str">
        <f>""</f>
        <v/>
      </c>
    </row>
    <row r="1519" spans="1:10">
      <c r="A1519" s="26" t="s">
        <v>3096</v>
      </c>
      <c r="E1519" s="26" t="s">
        <v>5581</v>
      </c>
      <c r="F1519" s="39" t="str">
        <f t="shared" si="92"/>
        <v/>
      </c>
      <c r="G1519" s="39" t="str">
        <f t="shared" si="93"/>
        <v/>
      </c>
      <c r="H1519" s="39" t="str">
        <f t="shared" si="94"/>
        <v/>
      </c>
      <c r="I1519" s="39" t="str">
        <f t="shared" si="95"/>
        <v/>
      </c>
      <c r="J1519" s="39" t="str">
        <f>""</f>
        <v/>
      </c>
    </row>
    <row r="1520" spans="1:10">
      <c r="A1520" s="26" t="s">
        <v>1823</v>
      </c>
      <c r="E1520" s="26" t="s">
        <v>5581</v>
      </c>
      <c r="F1520" s="39" t="str">
        <f t="shared" si="92"/>
        <v/>
      </c>
      <c r="G1520" s="39" t="str">
        <f t="shared" si="93"/>
        <v/>
      </c>
      <c r="H1520" s="39" t="str">
        <f t="shared" si="94"/>
        <v/>
      </c>
      <c r="I1520" s="39" t="str">
        <f t="shared" si="95"/>
        <v/>
      </c>
      <c r="J1520" s="39" t="str">
        <f>""</f>
        <v/>
      </c>
    </row>
    <row r="1521" spans="1:10">
      <c r="A1521" s="26" t="s">
        <v>1825</v>
      </c>
      <c r="E1521" s="26" t="s">
        <v>5581</v>
      </c>
      <c r="F1521" s="39" t="str">
        <f t="shared" si="92"/>
        <v/>
      </c>
      <c r="G1521" s="39" t="str">
        <f t="shared" si="93"/>
        <v/>
      </c>
      <c r="H1521" s="39" t="str">
        <f t="shared" si="94"/>
        <v/>
      </c>
      <c r="I1521" s="39" t="str">
        <f t="shared" si="95"/>
        <v/>
      </c>
      <c r="J1521" s="39" t="str">
        <f>""</f>
        <v/>
      </c>
    </row>
    <row r="1522" spans="1:10">
      <c r="A1522" s="26" t="s">
        <v>3437</v>
      </c>
      <c r="E1522" s="26" t="s">
        <v>5581</v>
      </c>
      <c r="F1522" s="39" t="str">
        <f t="shared" si="92"/>
        <v/>
      </c>
      <c r="G1522" s="39" t="str">
        <f t="shared" si="93"/>
        <v/>
      </c>
      <c r="H1522" s="39" t="str">
        <f t="shared" si="94"/>
        <v/>
      </c>
      <c r="I1522" s="39" t="str">
        <f t="shared" si="95"/>
        <v/>
      </c>
      <c r="J1522" s="39" t="str">
        <f>""</f>
        <v/>
      </c>
    </row>
    <row r="1523" spans="1:10">
      <c r="A1523" s="26" t="s">
        <v>3097</v>
      </c>
      <c r="E1523" s="26" t="s">
        <v>5581</v>
      </c>
      <c r="F1523" s="39" t="str">
        <f t="shared" si="92"/>
        <v/>
      </c>
      <c r="G1523" s="39" t="str">
        <f t="shared" si="93"/>
        <v/>
      </c>
      <c r="H1523" s="39" t="str">
        <f t="shared" si="94"/>
        <v/>
      </c>
      <c r="I1523" s="39" t="str">
        <f t="shared" si="95"/>
        <v/>
      </c>
      <c r="J1523" s="39" t="str">
        <f>""</f>
        <v/>
      </c>
    </row>
    <row r="1524" spans="1:10">
      <c r="A1524" s="26" t="s">
        <v>3100</v>
      </c>
      <c r="E1524" s="26" t="s">
        <v>5581</v>
      </c>
      <c r="F1524" s="39" t="str">
        <f t="shared" si="92"/>
        <v/>
      </c>
      <c r="G1524" s="39" t="str">
        <f t="shared" si="93"/>
        <v/>
      </c>
      <c r="H1524" s="39" t="str">
        <f t="shared" si="94"/>
        <v/>
      </c>
      <c r="I1524" s="39" t="str">
        <f t="shared" si="95"/>
        <v/>
      </c>
      <c r="J1524" s="39" t="str">
        <f>""</f>
        <v/>
      </c>
    </row>
    <row r="1525" spans="1:10">
      <c r="A1525" s="26" t="s">
        <v>3103</v>
      </c>
      <c r="E1525" s="26" t="s">
        <v>5581</v>
      </c>
      <c r="F1525" s="39" t="str">
        <f t="shared" si="92"/>
        <v/>
      </c>
      <c r="G1525" s="39" t="str">
        <f t="shared" si="93"/>
        <v/>
      </c>
      <c r="H1525" s="39" t="str">
        <f t="shared" si="94"/>
        <v/>
      </c>
      <c r="I1525" s="39" t="str">
        <f t="shared" si="95"/>
        <v/>
      </c>
      <c r="J1525" s="39" t="str">
        <f>""</f>
        <v/>
      </c>
    </row>
    <row r="1526" spans="1:10">
      <c r="A1526" s="26" t="s">
        <v>3439</v>
      </c>
      <c r="E1526" s="26" t="s">
        <v>5581</v>
      </c>
      <c r="F1526" s="39" t="str">
        <f t="shared" si="92"/>
        <v/>
      </c>
      <c r="G1526" s="39" t="str">
        <f t="shared" si="93"/>
        <v/>
      </c>
      <c r="H1526" s="39" t="str">
        <f t="shared" si="94"/>
        <v/>
      </c>
      <c r="I1526" s="39" t="str">
        <f t="shared" si="95"/>
        <v/>
      </c>
      <c r="J1526" s="39" t="str">
        <f>""</f>
        <v/>
      </c>
    </row>
    <row r="1527" spans="1:10">
      <c r="A1527" s="26" t="s">
        <v>5359</v>
      </c>
      <c r="E1527" s="26" t="s">
        <v>5581</v>
      </c>
      <c r="F1527" s="39" t="str">
        <f t="shared" si="92"/>
        <v/>
      </c>
      <c r="G1527" s="39" t="str">
        <f t="shared" si="93"/>
        <v/>
      </c>
      <c r="H1527" s="39" t="str">
        <f t="shared" si="94"/>
        <v/>
      </c>
      <c r="I1527" s="39" t="str">
        <f t="shared" si="95"/>
        <v/>
      </c>
      <c r="J1527" s="39" t="str">
        <f>""</f>
        <v/>
      </c>
    </row>
    <row r="1528" spans="1:10">
      <c r="A1528" s="26" t="s">
        <v>3106</v>
      </c>
      <c r="C1528" s="39">
        <v>25</v>
      </c>
      <c r="E1528" s="26" t="s">
        <v>5581</v>
      </c>
      <c r="F1528" s="39">
        <f t="shared" si="92"/>
        <v>25</v>
      </c>
      <c r="G1528" s="39">
        <f t="shared" si="93"/>
        <v>25</v>
      </c>
      <c r="H1528" s="39">
        <f t="shared" si="94"/>
        <v>25</v>
      </c>
      <c r="I1528" s="39" t="str">
        <f t="shared" si="95"/>
        <v/>
      </c>
      <c r="J1528" s="39" t="str">
        <f>""</f>
        <v/>
      </c>
    </row>
    <row r="1529" spans="1:10">
      <c r="A1529" s="26" t="s">
        <v>3109</v>
      </c>
      <c r="E1529" s="26" t="s">
        <v>5581</v>
      </c>
      <c r="F1529" s="39" t="str">
        <f t="shared" si="92"/>
        <v/>
      </c>
      <c r="G1529" s="39" t="str">
        <f t="shared" si="93"/>
        <v/>
      </c>
      <c r="H1529" s="39" t="str">
        <f t="shared" si="94"/>
        <v/>
      </c>
      <c r="I1529" s="39" t="str">
        <f t="shared" si="95"/>
        <v/>
      </c>
      <c r="J1529" s="39" t="str">
        <f>""</f>
        <v/>
      </c>
    </row>
    <row r="1530" spans="1:10">
      <c r="A1530" s="26" t="s">
        <v>3112</v>
      </c>
      <c r="E1530" s="26" t="s">
        <v>5581</v>
      </c>
      <c r="F1530" s="39" t="str">
        <f t="shared" si="92"/>
        <v/>
      </c>
      <c r="G1530" s="39" t="str">
        <f t="shared" si="93"/>
        <v/>
      </c>
      <c r="H1530" s="39" t="str">
        <f t="shared" si="94"/>
        <v/>
      </c>
      <c r="I1530" s="39" t="str">
        <f t="shared" si="95"/>
        <v/>
      </c>
      <c r="J1530" s="39" t="str">
        <f>""</f>
        <v/>
      </c>
    </row>
    <row r="1531" spans="1:10">
      <c r="A1531" s="26" t="s">
        <v>3115</v>
      </c>
      <c r="E1531" s="26" t="s">
        <v>5581</v>
      </c>
      <c r="F1531" s="39" t="str">
        <f t="shared" si="92"/>
        <v/>
      </c>
      <c r="G1531" s="39" t="str">
        <f t="shared" si="93"/>
        <v/>
      </c>
      <c r="H1531" s="39" t="str">
        <f t="shared" si="94"/>
        <v/>
      </c>
      <c r="I1531" s="39" t="str">
        <f t="shared" si="95"/>
        <v/>
      </c>
      <c r="J1531" s="39" t="str">
        <f>""</f>
        <v/>
      </c>
    </row>
    <row r="1532" spans="1:10">
      <c r="A1532" s="26" t="s">
        <v>3118</v>
      </c>
      <c r="E1532" s="26" t="s">
        <v>5581</v>
      </c>
      <c r="F1532" s="39" t="str">
        <f t="shared" si="92"/>
        <v/>
      </c>
      <c r="G1532" s="39" t="str">
        <f t="shared" si="93"/>
        <v/>
      </c>
      <c r="H1532" s="39" t="str">
        <f t="shared" si="94"/>
        <v/>
      </c>
      <c r="I1532" s="39" t="str">
        <f t="shared" si="95"/>
        <v/>
      </c>
      <c r="J1532" s="39" t="str">
        <f>""</f>
        <v/>
      </c>
    </row>
    <row r="1533" spans="1:10">
      <c r="A1533" s="26" t="s">
        <v>3119</v>
      </c>
      <c r="E1533" s="26" t="s">
        <v>5581</v>
      </c>
      <c r="F1533" s="39" t="str">
        <f t="shared" si="92"/>
        <v/>
      </c>
      <c r="G1533" s="39" t="str">
        <f t="shared" si="93"/>
        <v/>
      </c>
      <c r="H1533" s="39" t="str">
        <f t="shared" si="94"/>
        <v/>
      </c>
      <c r="I1533" s="39" t="str">
        <f t="shared" si="95"/>
        <v/>
      </c>
      <c r="J1533" s="39" t="str">
        <f>""</f>
        <v/>
      </c>
    </row>
    <row r="1534" spans="1:10">
      <c r="A1534" s="26" t="s">
        <v>3120</v>
      </c>
      <c r="E1534" s="26" t="s">
        <v>5581</v>
      </c>
      <c r="F1534" s="39" t="str">
        <f t="shared" si="92"/>
        <v/>
      </c>
      <c r="G1534" s="39" t="str">
        <f t="shared" si="93"/>
        <v/>
      </c>
      <c r="H1534" s="39" t="str">
        <f t="shared" si="94"/>
        <v/>
      </c>
      <c r="I1534" s="39" t="str">
        <f t="shared" si="95"/>
        <v/>
      </c>
      <c r="J1534" s="39" t="str">
        <f>""</f>
        <v/>
      </c>
    </row>
    <row r="1535" spans="1:10">
      <c r="A1535" s="26" t="s">
        <v>3122</v>
      </c>
      <c r="E1535" s="26" t="s">
        <v>5581</v>
      </c>
      <c r="F1535" s="39" t="str">
        <f t="shared" si="92"/>
        <v/>
      </c>
      <c r="G1535" s="39" t="str">
        <f t="shared" si="93"/>
        <v/>
      </c>
      <c r="H1535" s="39" t="str">
        <f t="shared" si="94"/>
        <v/>
      </c>
      <c r="I1535" s="39" t="str">
        <f t="shared" si="95"/>
        <v/>
      </c>
      <c r="J1535" s="39" t="str">
        <f>""</f>
        <v/>
      </c>
    </row>
    <row r="1536" spans="1:10">
      <c r="A1536" s="26" t="s">
        <v>1828</v>
      </c>
      <c r="E1536" s="26" t="s">
        <v>5581</v>
      </c>
      <c r="F1536" s="39" t="str">
        <f t="shared" si="92"/>
        <v/>
      </c>
      <c r="G1536" s="39" t="str">
        <f t="shared" si="93"/>
        <v/>
      </c>
      <c r="H1536" s="39" t="str">
        <f t="shared" si="94"/>
        <v/>
      </c>
      <c r="I1536" s="39" t="str">
        <f t="shared" si="95"/>
        <v/>
      </c>
      <c r="J1536" s="39" t="str">
        <f>""</f>
        <v/>
      </c>
    </row>
    <row r="1537" spans="1:10">
      <c r="A1537" s="26" t="s">
        <v>1829</v>
      </c>
      <c r="E1537" s="26" t="s">
        <v>5581</v>
      </c>
      <c r="F1537" s="39" t="str">
        <f t="shared" si="92"/>
        <v/>
      </c>
      <c r="G1537" s="39" t="str">
        <f t="shared" si="93"/>
        <v/>
      </c>
      <c r="H1537" s="39" t="str">
        <f t="shared" si="94"/>
        <v/>
      </c>
      <c r="I1537" s="39" t="str">
        <f t="shared" si="95"/>
        <v/>
      </c>
      <c r="J1537" s="39" t="str">
        <f>""</f>
        <v/>
      </c>
    </row>
    <row r="1538" spans="1:10">
      <c r="A1538" s="26" t="s">
        <v>3123</v>
      </c>
      <c r="E1538" s="26" t="s">
        <v>5582</v>
      </c>
      <c r="F1538" s="39" t="str">
        <f t="shared" si="92"/>
        <v/>
      </c>
      <c r="G1538" s="39" t="str">
        <f t="shared" si="93"/>
        <v/>
      </c>
      <c r="H1538" s="39" t="str">
        <f t="shared" si="94"/>
        <v/>
      </c>
      <c r="I1538" s="39" t="str">
        <f t="shared" si="95"/>
        <v/>
      </c>
      <c r="J1538" s="39" t="str">
        <f>""</f>
        <v/>
      </c>
    </row>
    <row r="1539" spans="1:10">
      <c r="A1539" s="26" t="s">
        <v>1830</v>
      </c>
      <c r="E1539" s="26" t="s">
        <v>5581</v>
      </c>
      <c r="F1539" s="39" t="str">
        <f t="shared" ref="F1539:F1602" si="96">IF(C1539="","",IF(C1539&lt;99,C1539,""))</f>
        <v/>
      </c>
      <c r="G1539" s="39" t="str">
        <f t="shared" ref="G1539:G1602" si="97">IF(OR(F1539&lt;&gt;"",D1539&lt;&gt;""),C1539,"")</f>
        <v/>
      </c>
      <c r="H1539" s="39" t="str">
        <f t="shared" ref="H1539:H1602" si="98">IF(C1539="","",C1539)</f>
        <v/>
      </c>
      <c r="I1539" s="39" t="str">
        <f t="shared" ref="I1539:I1602" si="99">IF(AND(C1539&lt;&gt;"",D1539&lt;&gt;""),C1539,"")</f>
        <v/>
      </c>
      <c r="J1539" s="39" t="str">
        <f>""</f>
        <v/>
      </c>
    </row>
    <row r="1540" spans="1:10">
      <c r="A1540" s="26" t="s">
        <v>1832</v>
      </c>
      <c r="E1540" s="26" t="s">
        <v>5581</v>
      </c>
      <c r="F1540" s="39" t="str">
        <f t="shared" si="96"/>
        <v/>
      </c>
      <c r="G1540" s="39" t="str">
        <f t="shared" si="97"/>
        <v/>
      </c>
      <c r="H1540" s="39" t="str">
        <f t="shared" si="98"/>
        <v/>
      </c>
      <c r="I1540" s="39" t="str">
        <f t="shared" si="99"/>
        <v/>
      </c>
      <c r="J1540" s="39" t="str">
        <f>""</f>
        <v/>
      </c>
    </row>
    <row r="1541" spans="1:10">
      <c r="A1541" s="26" t="s">
        <v>1833</v>
      </c>
      <c r="E1541" s="26" t="s">
        <v>5581</v>
      </c>
      <c r="F1541" s="39" t="str">
        <f t="shared" si="96"/>
        <v/>
      </c>
      <c r="G1541" s="39" t="str">
        <f t="shared" si="97"/>
        <v/>
      </c>
      <c r="H1541" s="39" t="str">
        <f t="shared" si="98"/>
        <v/>
      </c>
      <c r="I1541" s="39" t="str">
        <f t="shared" si="99"/>
        <v/>
      </c>
      <c r="J1541" s="39" t="str">
        <f>""</f>
        <v/>
      </c>
    </row>
    <row r="1542" spans="1:10">
      <c r="A1542" s="26" t="s">
        <v>1836</v>
      </c>
      <c r="E1542" s="26" t="s">
        <v>5581</v>
      </c>
      <c r="F1542" s="39" t="str">
        <f t="shared" si="96"/>
        <v/>
      </c>
      <c r="G1542" s="39" t="str">
        <f t="shared" si="97"/>
        <v/>
      </c>
      <c r="H1542" s="39" t="str">
        <f t="shared" si="98"/>
        <v/>
      </c>
      <c r="I1542" s="39" t="str">
        <f t="shared" si="99"/>
        <v/>
      </c>
      <c r="J1542" s="39" t="str">
        <f>""</f>
        <v/>
      </c>
    </row>
    <row r="1543" spans="1:10">
      <c r="A1543" s="26" t="s">
        <v>1838</v>
      </c>
      <c r="C1543" s="39">
        <v>150</v>
      </c>
      <c r="E1543" s="26" t="s">
        <v>5581</v>
      </c>
      <c r="F1543" s="39" t="str">
        <f t="shared" si="96"/>
        <v/>
      </c>
      <c r="G1543" s="39" t="str">
        <f t="shared" si="97"/>
        <v/>
      </c>
      <c r="H1543" s="39">
        <f t="shared" si="98"/>
        <v>150</v>
      </c>
      <c r="I1543" s="39" t="str">
        <f t="shared" si="99"/>
        <v/>
      </c>
      <c r="J1543" s="39" t="str">
        <f>""</f>
        <v/>
      </c>
    </row>
    <row r="1544" spans="1:10">
      <c r="A1544" s="26" t="s">
        <v>1839</v>
      </c>
      <c r="E1544" s="26" t="s">
        <v>5581</v>
      </c>
      <c r="F1544" s="39" t="str">
        <f t="shared" si="96"/>
        <v/>
      </c>
      <c r="G1544" s="39" t="str">
        <f t="shared" si="97"/>
        <v/>
      </c>
      <c r="H1544" s="39" t="str">
        <f t="shared" si="98"/>
        <v/>
      </c>
      <c r="I1544" s="39" t="str">
        <f t="shared" si="99"/>
        <v/>
      </c>
      <c r="J1544" s="39" t="str">
        <f>""</f>
        <v/>
      </c>
    </row>
    <row r="1545" spans="1:10">
      <c r="A1545" s="26" t="s">
        <v>1841</v>
      </c>
      <c r="E1545" s="26" t="s">
        <v>5581</v>
      </c>
      <c r="F1545" s="39" t="str">
        <f t="shared" si="96"/>
        <v/>
      </c>
      <c r="G1545" s="39" t="str">
        <f t="shared" si="97"/>
        <v/>
      </c>
      <c r="H1545" s="39" t="str">
        <f t="shared" si="98"/>
        <v/>
      </c>
      <c r="I1545" s="39" t="str">
        <f t="shared" si="99"/>
        <v/>
      </c>
      <c r="J1545" s="39" t="str">
        <f>""</f>
        <v/>
      </c>
    </row>
    <row r="1546" spans="1:10">
      <c r="A1546" s="26" t="s">
        <v>1842</v>
      </c>
      <c r="E1546" s="26" t="s">
        <v>5581</v>
      </c>
      <c r="F1546" s="39" t="str">
        <f t="shared" si="96"/>
        <v/>
      </c>
      <c r="G1546" s="39" t="str">
        <f t="shared" si="97"/>
        <v/>
      </c>
      <c r="H1546" s="39" t="str">
        <f t="shared" si="98"/>
        <v/>
      </c>
      <c r="I1546" s="39" t="str">
        <f t="shared" si="99"/>
        <v/>
      </c>
      <c r="J1546" s="39" t="str">
        <f>""</f>
        <v/>
      </c>
    </row>
    <row r="1547" spans="1:10">
      <c r="A1547" s="26" t="s">
        <v>1844</v>
      </c>
      <c r="E1547" s="26" t="s">
        <v>5581</v>
      </c>
      <c r="F1547" s="39" t="str">
        <f t="shared" si="96"/>
        <v/>
      </c>
      <c r="G1547" s="39" t="str">
        <f t="shared" si="97"/>
        <v/>
      </c>
      <c r="H1547" s="39" t="str">
        <f t="shared" si="98"/>
        <v/>
      </c>
      <c r="I1547" s="39" t="str">
        <f t="shared" si="99"/>
        <v/>
      </c>
      <c r="J1547" s="39" t="str">
        <f>""</f>
        <v/>
      </c>
    </row>
    <row r="1548" spans="1:10">
      <c r="A1548" s="26" t="s">
        <v>1845</v>
      </c>
      <c r="E1548" s="26" t="s">
        <v>5581</v>
      </c>
      <c r="F1548" s="39" t="str">
        <f t="shared" si="96"/>
        <v/>
      </c>
      <c r="G1548" s="39" t="str">
        <f t="shared" si="97"/>
        <v/>
      </c>
      <c r="H1548" s="39" t="str">
        <f t="shared" si="98"/>
        <v/>
      </c>
      <c r="I1548" s="39" t="str">
        <f t="shared" si="99"/>
        <v/>
      </c>
      <c r="J1548" s="39" t="str">
        <f>""</f>
        <v/>
      </c>
    </row>
    <row r="1549" spans="1:10">
      <c r="A1549" s="26" t="s">
        <v>1847</v>
      </c>
      <c r="E1549" s="26" t="s">
        <v>5581</v>
      </c>
      <c r="F1549" s="39" t="str">
        <f t="shared" si="96"/>
        <v/>
      </c>
      <c r="G1549" s="39" t="str">
        <f t="shared" si="97"/>
        <v/>
      </c>
      <c r="H1549" s="39" t="str">
        <f t="shared" si="98"/>
        <v/>
      </c>
      <c r="I1549" s="39" t="str">
        <f t="shared" si="99"/>
        <v/>
      </c>
      <c r="J1549" s="39" t="str">
        <f>""</f>
        <v/>
      </c>
    </row>
    <row r="1550" spans="1:10">
      <c r="A1550" s="26" t="s">
        <v>1848</v>
      </c>
      <c r="E1550" s="26" t="s">
        <v>5582</v>
      </c>
      <c r="F1550" s="39" t="str">
        <f t="shared" si="96"/>
        <v/>
      </c>
      <c r="G1550" s="39" t="str">
        <f t="shared" si="97"/>
        <v/>
      </c>
      <c r="H1550" s="39" t="str">
        <f t="shared" si="98"/>
        <v/>
      </c>
      <c r="I1550" s="39" t="str">
        <f t="shared" si="99"/>
        <v/>
      </c>
      <c r="J1550" s="39" t="str">
        <f>""</f>
        <v/>
      </c>
    </row>
    <row r="1551" spans="1:10">
      <c r="A1551" s="26" t="s">
        <v>3126</v>
      </c>
      <c r="E1551" s="26" t="s">
        <v>5581</v>
      </c>
      <c r="F1551" s="39" t="str">
        <f t="shared" si="96"/>
        <v/>
      </c>
      <c r="G1551" s="39" t="str">
        <f t="shared" si="97"/>
        <v/>
      </c>
      <c r="H1551" s="39" t="str">
        <f t="shared" si="98"/>
        <v/>
      </c>
      <c r="I1551" s="39" t="str">
        <f t="shared" si="99"/>
        <v/>
      </c>
      <c r="J1551" s="39" t="str">
        <f>""</f>
        <v/>
      </c>
    </row>
    <row r="1552" spans="1:10">
      <c r="A1552" s="26" t="s">
        <v>3128</v>
      </c>
      <c r="C1552" s="39">
        <v>200</v>
      </c>
      <c r="E1552" s="26" t="s">
        <v>5581</v>
      </c>
      <c r="F1552" s="39" t="str">
        <f t="shared" si="96"/>
        <v/>
      </c>
      <c r="G1552" s="39" t="str">
        <f t="shared" si="97"/>
        <v/>
      </c>
      <c r="H1552" s="39">
        <f t="shared" si="98"/>
        <v>200</v>
      </c>
      <c r="I1552" s="39" t="str">
        <f t="shared" si="99"/>
        <v/>
      </c>
      <c r="J1552" s="39" t="str">
        <f>""</f>
        <v/>
      </c>
    </row>
    <row r="1553" spans="1:10">
      <c r="A1553" s="26" t="s">
        <v>3129</v>
      </c>
      <c r="E1553" s="26" t="s">
        <v>5581</v>
      </c>
      <c r="F1553" s="39" t="str">
        <f t="shared" si="96"/>
        <v/>
      </c>
      <c r="G1553" s="39" t="str">
        <f t="shared" si="97"/>
        <v/>
      </c>
      <c r="H1553" s="39" t="str">
        <f t="shared" si="98"/>
        <v/>
      </c>
      <c r="I1553" s="39" t="str">
        <f t="shared" si="99"/>
        <v/>
      </c>
      <c r="J1553" s="39" t="str">
        <f>""</f>
        <v/>
      </c>
    </row>
    <row r="1554" spans="1:10">
      <c r="A1554" s="26" t="s">
        <v>3131</v>
      </c>
      <c r="E1554" s="26" t="s">
        <v>5581</v>
      </c>
      <c r="F1554" s="39" t="str">
        <f t="shared" si="96"/>
        <v/>
      </c>
      <c r="G1554" s="39" t="str">
        <f t="shared" si="97"/>
        <v/>
      </c>
      <c r="H1554" s="39" t="str">
        <f t="shared" si="98"/>
        <v/>
      </c>
      <c r="I1554" s="39" t="str">
        <f t="shared" si="99"/>
        <v/>
      </c>
      <c r="J1554" s="39" t="str">
        <f>""</f>
        <v/>
      </c>
    </row>
    <row r="1555" spans="1:10">
      <c r="A1555" s="26" t="s">
        <v>3132</v>
      </c>
      <c r="E1555" s="26" t="s">
        <v>5581</v>
      </c>
      <c r="F1555" s="39" t="str">
        <f t="shared" si="96"/>
        <v/>
      </c>
      <c r="G1555" s="39" t="str">
        <f t="shared" si="97"/>
        <v/>
      </c>
      <c r="H1555" s="39" t="str">
        <f t="shared" si="98"/>
        <v/>
      </c>
      <c r="I1555" s="39" t="str">
        <f t="shared" si="99"/>
        <v/>
      </c>
      <c r="J1555" s="39" t="str">
        <f>""</f>
        <v/>
      </c>
    </row>
    <row r="1556" spans="1:10">
      <c r="A1556" s="26" t="s">
        <v>3134</v>
      </c>
      <c r="E1556" s="26" t="s">
        <v>5581</v>
      </c>
      <c r="F1556" s="39" t="str">
        <f t="shared" si="96"/>
        <v/>
      </c>
      <c r="G1556" s="39" t="str">
        <f t="shared" si="97"/>
        <v/>
      </c>
      <c r="H1556" s="39" t="str">
        <f t="shared" si="98"/>
        <v/>
      </c>
      <c r="I1556" s="39" t="str">
        <f t="shared" si="99"/>
        <v/>
      </c>
      <c r="J1556" s="39" t="str">
        <f>""</f>
        <v/>
      </c>
    </row>
    <row r="1557" spans="1:10">
      <c r="A1557" s="26" t="s">
        <v>1851</v>
      </c>
      <c r="E1557" s="26" t="s">
        <v>5581</v>
      </c>
      <c r="F1557" s="39" t="str">
        <f t="shared" si="96"/>
        <v/>
      </c>
      <c r="G1557" s="39" t="str">
        <f t="shared" si="97"/>
        <v/>
      </c>
      <c r="H1557" s="39" t="str">
        <f t="shared" si="98"/>
        <v/>
      </c>
      <c r="I1557" s="39" t="str">
        <f t="shared" si="99"/>
        <v/>
      </c>
      <c r="J1557" s="39" t="str">
        <f>""</f>
        <v/>
      </c>
    </row>
    <row r="1558" spans="1:10">
      <c r="A1558" s="26" t="s">
        <v>1853</v>
      </c>
      <c r="E1558" s="26" t="s">
        <v>5581</v>
      </c>
      <c r="F1558" s="39" t="str">
        <f t="shared" si="96"/>
        <v/>
      </c>
      <c r="G1558" s="39" t="str">
        <f t="shared" si="97"/>
        <v/>
      </c>
      <c r="H1558" s="39" t="str">
        <f t="shared" si="98"/>
        <v/>
      </c>
      <c r="I1558" s="39" t="str">
        <f t="shared" si="99"/>
        <v/>
      </c>
      <c r="J1558" s="39" t="str">
        <f>""</f>
        <v/>
      </c>
    </row>
    <row r="1559" spans="1:10">
      <c r="A1559" s="26" t="s">
        <v>3135</v>
      </c>
      <c r="E1559" s="26" t="s">
        <v>5581</v>
      </c>
      <c r="F1559" s="39" t="str">
        <f t="shared" si="96"/>
        <v/>
      </c>
      <c r="G1559" s="39" t="str">
        <f t="shared" si="97"/>
        <v/>
      </c>
      <c r="H1559" s="39" t="str">
        <f t="shared" si="98"/>
        <v/>
      </c>
      <c r="I1559" s="39" t="str">
        <f t="shared" si="99"/>
        <v/>
      </c>
      <c r="J1559" s="39" t="str">
        <f>""</f>
        <v/>
      </c>
    </row>
    <row r="1560" spans="1:10">
      <c r="A1560" s="26" t="s">
        <v>3137</v>
      </c>
      <c r="E1560" s="26" t="s">
        <v>5581</v>
      </c>
      <c r="F1560" s="39" t="str">
        <f t="shared" si="96"/>
        <v/>
      </c>
      <c r="G1560" s="39" t="str">
        <f t="shared" si="97"/>
        <v/>
      </c>
      <c r="H1560" s="39" t="str">
        <f t="shared" si="98"/>
        <v/>
      </c>
      <c r="I1560" s="39" t="str">
        <f t="shared" si="99"/>
        <v/>
      </c>
      <c r="J1560" s="39" t="str">
        <f>""</f>
        <v/>
      </c>
    </row>
    <row r="1561" spans="1:10">
      <c r="A1561" s="26" t="s">
        <v>1854</v>
      </c>
      <c r="E1561" s="26" t="s">
        <v>3790</v>
      </c>
      <c r="F1561" s="39" t="str">
        <f t="shared" si="96"/>
        <v/>
      </c>
      <c r="G1561" s="39" t="str">
        <f t="shared" si="97"/>
        <v/>
      </c>
      <c r="H1561" s="39" t="str">
        <f t="shared" si="98"/>
        <v/>
      </c>
      <c r="I1561" s="39" t="str">
        <f t="shared" si="99"/>
        <v/>
      </c>
      <c r="J1561" s="39" t="str">
        <f>""</f>
        <v/>
      </c>
    </row>
    <row r="1562" spans="1:10">
      <c r="A1562" s="26" t="s">
        <v>1856</v>
      </c>
      <c r="E1562" s="26" t="s">
        <v>3790</v>
      </c>
      <c r="F1562" s="39" t="str">
        <f t="shared" si="96"/>
        <v/>
      </c>
      <c r="G1562" s="39" t="str">
        <f t="shared" si="97"/>
        <v/>
      </c>
      <c r="H1562" s="39" t="str">
        <f t="shared" si="98"/>
        <v/>
      </c>
      <c r="I1562" s="39" t="str">
        <f t="shared" si="99"/>
        <v/>
      </c>
      <c r="J1562" s="39" t="str">
        <f>""</f>
        <v/>
      </c>
    </row>
    <row r="1563" spans="1:10">
      <c r="A1563" s="26" t="s">
        <v>1857</v>
      </c>
      <c r="E1563" s="26" t="s">
        <v>5581</v>
      </c>
      <c r="F1563" s="39" t="str">
        <f t="shared" si="96"/>
        <v/>
      </c>
      <c r="G1563" s="39" t="str">
        <f t="shared" si="97"/>
        <v/>
      </c>
      <c r="H1563" s="39" t="str">
        <f t="shared" si="98"/>
        <v/>
      </c>
      <c r="I1563" s="39" t="str">
        <f t="shared" si="99"/>
        <v/>
      </c>
      <c r="J1563" s="39" t="str">
        <f>""</f>
        <v/>
      </c>
    </row>
    <row r="1564" spans="1:10">
      <c r="A1564" s="26" t="s">
        <v>1859</v>
      </c>
      <c r="E1564" s="26" t="s">
        <v>5581</v>
      </c>
      <c r="F1564" s="39" t="str">
        <f t="shared" si="96"/>
        <v/>
      </c>
      <c r="G1564" s="39" t="str">
        <f t="shared" si="97"/>
        <v/>
      </c>
      <c r="H1564" s="39" t="str">
        <f t="shared" si="98"/>
        <v/>
      </c>
      <c r="I1564" s="39" t="str">
        <f t="shared" si="99"/>
        <v/>
      </c>
      <c r="J1564" s="39" t="str">
        <f>""</f>
        <v/>
      </c>
    </row>
    <row r="1565" spans="1:10">
      <c r="A1565" s="26" t="s">
        <v>3444</v>
      </c>
      <c r="E1565" s="26" t="s">
        <v>5581</v>
      </c>
      <c r="F1565" s="39" t="str">
        <f t="shared" si="96"/>
        <v/>
      </c>
      <c r="G1565" s="39" t="str">
        <f t="shared" si="97"/>
        <v/>
      </c>
      <c r="H1565" s="39" t="str">
        <f t="shared" si="98"/>
        <v/>
      </c>
      <c r="I1565" s="39" t="str">
        <f t="shared" si="99"/>
        <v/>
      </c>
      <c r="J1565" s="39" t="str">
        <f>""</f>
        <v/>
      </c>
    </row>
    <row r="1566" spans="1:10">
      <c r="A1566" s="26" t="s">
        <v>1860</v>
      </c>
      <c r="E1566" s="26" t="s">
        <v>5581</v>
      </c>
      <c r="F1566" s="39" t="str">
        <f t="shared" si="96"/>
        <v/>
      </c>
      <c r="G1566" s="39" t="str">
        <f t="shared" si="97"/>
        <v/>
      </c>
      <c r="H1566" s="39" t="str">
        <f t="shared" si="98"/>
        <v/>
      </c>
      <c r="I1566" s="39" t="str">
        <f t="shared" si="99"/>
        <v/>
      </c>
      <c r="J1566" s="39" t="str">
        <f>""</f>
        <v/>
      </c>
    </row>
    <row r="1567" spans="1:10">
      <c r="A1567" s="26" t="s">
        <v>1862</v>
      </c>
      <c r="E1567" s="26" t="s">
        <v>5581</v>
      </c>
      <c r="F1567" s="39" t="str">
        <f t="shared" si="96"/>
        <v/>
      </c>
      <c r="G1567" s="39" t="str">
        <f t="shared" si="97"/>
        <v/>
      </c>
      <c r="H1567" s="39" t="str">
        <f t="shared" si="98"/>
        <v/>
      </c>
      <c r="I1567" s="39" t="str">
        <f t="shared" si="99"/>
        <v/>
      </c>
      <c r="J1567" s="39" t="str">
        <f>""</f>
        <v/>
      </c>
    </row>
    <row r="1568" spans="1:10">
      <c r="A1568" s="26" t="s">
        <v>1864</v>
      </c>
      <c r="E1568" s="26" t="s">
        <v>5581</v>
      </c>
      <c r="F1568" s="39" t="str">
        <f t="shared" si="96"/>
        <v/>
      </c>
      <c r="G1568" s="39" t="str">
        <f t="shared" si="97"/>
        <v/>
      </c>
      <c r="H1568" s="39" t="str">
        <f t="shared" si="98"/>
        <v/>
      </c>
      <c r="I1568" s="39" t="str">
        <f t="shared" si="99"/>
        <v/>
      </c>
      <c r="J1568" s="39" t="str">
        <f>""</f>
        <v/>
      </c>
    </row>
    <row r="1569" spans="1:10">
      <c r="A1569" s="26" t="s">
        <v>3446</v>
      </c>
      <c r="E1569" s="26" t="s">
        <v>5581</v>
      </c>
      <c r="F1569" s="39" t="str">
        <f t="shared" si="96"/>
        <v/>
      </c>
      <c r="G1569" s="39" t="str">
        <f t="shared" si="97"/>
        <v/>
      </c>
      <c r="H1569" s="39" t="str">
        <f t="shared" si="98"/>
        <v/>
      </c>
      <c r="I1569" s="39" t="str">
        <f t="shared" si="99"/>
        <v/>
      </c>
      <c r="J1569" s="39" t="str">
        <f>""</f>
        <v/>
      </c>
    </row>
    <row r="1570" spans="1:10">
      <c r="A1570" s="26" t="s">
        <v>3138</v>
      </c>
      <c r="E1570" s="26" t="s">
        <v>5581</v>
      </c>
      <c r="F1570" s="39" t="str">
        <f t="shared" si="96"/>
        <v/>
      </c>
      <c r="G1570" s="39" t="str">
        <f t="shared" si="97"/>
        <v/>
      </c>
      <c r="H1570" s="39" t="str">
        <f t="shared" si="98"/>
        <v/>
      </c>
      <c r="I1570" s="39" t="str">
        <f t="shared" si="99"/>
        <v/>
      </c>
      <c r="J1570" s="39" t="str">
        <f>""</f>
        <v/>
      </c>
    </row>
    <row r="1571" spans="1:10">
      <c r="A1571" s="26" t="s">
        <v>3140</v>
      </c>
      <c r="E1571" s="26" t="s">
        <v>5581</v>
      </c>
      <c r="F1571" s="39" t="str">
        <f t="shared" si="96"/>
        <v/>
      </c>
      <c r="G1571" s="39" t="str">
        <f t="shared" si="97"/>
        <v/>
      </c>
      <c r="H1571" s="39" t="str">
        <f t="shared" si="98"/>
        <v/>
      </c>
      <c r="I1571" s="39" t="str">
        <f t="shared" si="99"/>
        <v/>
      </c>
      <c r="J1571" s="39" t="str">
        <f>""</f>
        <v/>
      </c>
    </row>
    <row r="1572" spans="1:10">
      <c r="A1572" s="26" t="s">
        <v>1865</v>
      </c>
      <c r="E1572" s="26" t="s">
        <v>5581</v>
      </c>
      <c r="F1572" s="39" t="str">
        <f t="shared" si="96"/>
        <v/>
      </c>
      <c r="G1572" s="39" t="str">
        <f t="shared" si="97"/>
        <v/>
      </c>
      <c r="H1572" s="39" t="str">
        <f t="shared" si="98"/>
        <v/>
      </c>
      <c r="I1572" s="39" t="str">
        <f t="shared" si="99"/>
        <v/>
      </c>
      <c r="J1572" s="39" t="str">
        <f>""</f>
        <v/>
      </c>
    </row>
    <row r="1573" spans="1:10">
      <c r="A1573" s="26" t="s">
        <v>1868</v>
      </c>
      <c r="E1573" s="26" t="s">
        <v>5581</v>
      </c>
      <c r="F1573" s="39" t="str">
        <f t="shared" si="96"/>
        <v/>
      </c>
      <c r="G1573" s="39" t="str">
        <f t="shared" si="97"/>
        <v/>
      </c>
      <c r="H1573" s="39" t="str">
        <f t="shared" si="98"/>
        <v/>
      </c>
      <c r="I1573" s="39" t="str">
        <f t="shared" si="99"/>
        <v/>
      </c>
      <c r="J1573" s="39" t="str">
        <f>""</f>
        <v/>
      </c>
    </row>
    <row r="1574" spans="1:10">
      <c r="A1574" s="26" t="s">
        <v>1869</v>
      </c>
      <c r="E1574" s="26" t="s">
        <v>5581</v>
      </c>
      <c r="F1574" s="39" t="str">
        <f t="shared" si="96"/>
        <v/>
      </c>
      <c r="G1574" s="39" t="str">
        <f t="shared" si="97"/>
        <v/>
      </c>
      <c r="H1574" s="39" t="str">
        <f t="shared" si="98"/>
        <v/>
      </c>
      <c r="I1574" s="39" t="str">
        <f t="shared" si="99"/>
        <v/>
      </c>
      <c r="J1574" s="39" t="str">
        <f>""</f>
        <v/>
      </c>
    </row>
    <row r="1575" spans="1:10">
      <c r="A1575" s="26" t="s">
        <v>1871</v>
      </c>
      <c r="C1575" s="39">
        <v>100</v>
      </c>
      <c r="E1575" s="26" t="s">
        <v>5581</v>
      </c>
      <c r="F1575" s="39" t="str">
        <f t="shared" si="96"/>
        <v/>
      </c>
      <c r="G1575" s="39" t="str">
        <f t="shared" si="97"/>
        <v/>
      </c>
      <c r="H1575" s="39">
        <f t="shared" si="98"/>
        <v>100</v>
      </c>
      <c r="I1575" s="39" t="str">
        <f t="shared" si="99"/>
        <v/>
      </c>
      <c r="J1575" s="39" t="str">
        <f>""</f>
        <v/>
      </c>
    </row>
    <row r="1576" spans="1:10">
      <c r="A1576" s="26" t="s">
        <v>1872</v>
      </c>
      <c r="E1576" s="26" t="s">
        <v>5581</v>
      </c>
      <c r="F1576" s="39" t="str">
        <f t="shared" si="96"/>
        <v/>
      </c>
      <c r="G1576" s="39" t="str">
        <f t="shared" si="97"/>
        <v/>
      </c>
      <c r="H1576" s="39" t="str">
        <f t="shared" si="98"/>
        <v/>
      </c>
      <c r="I1576" s="39" t="str">
        <f t="shared" si="99"/>
        <v/>
      </c>
      <c r="J1576" s="39" t="str">
        <f>""</f>
        <v/>
      </c>
    </row>
    <row r="1577" spans="1:10">
      <c r="A1577" s="26" t="s">
        <v>1874</v>
      </c>
      <c r="E1577" s="26" t="s">
        <v>5581</v>
      </c>
      <c r="F1577" s="39" t="str">
        <f t="shared" si="96"/>
        <v/>
      </c>
      <c r="G1577" s="39" t="str">
        <f t="shared" si="97"/>
        <v/>
      </c>
      <c r="H1577" s="39" t="str">
        <f t="shared" si="98"/>
        <v/>
      </c>
      <c r="I1577" s="39" t="str">
        <f t="shared" si="99"/>
        <v/>
      </c>
      <c r="J1577" s="39" t="str">
        <f>""</f>
        <v/>
      </c>
    </row>
    <row r="1578" spans="1:10">
      <c r="A1578" s="26" t="s">
        <v>1875</v>
      </c>
      <c r="E1578" s="26" t="s">
        <v>5581</v>
      </c>
      <c r="F1578" s="39" t="str">
        <f t="shared" si="96"/>
        <v/>
      </c>
      <c r="G1578" s="39" t="str">
        <f t="shared" si="97"/>
        <v/>
      </c>
      <c r="H1578" s="39" t="str">
        <f t="shared" si="98"/>
        <v/>
      </c>
      <c r="I1578" s="39" t="str">
        <f t="shared" si="99"/>
        <v/>
      </c>
      <c r="J1578" s="39" t="str">
        <f>""</f>
        <v/>
      </c>
    </row>
    <row r="1579" spans="1:10">
      <c r="A1579" s="26" t="s">
        <v>1878</v>
      </c>
      <c r="E1579" s="26" t="s">
        <v>5581</v>
      </c>
      <c r="F1579" s="39" t="str">
        <f t="shared" si="96"/>
        <v/>
      </c>
      <c r="G1579" s="39" t="str">
        <f t="shared" si="97"/>
        <v/>
      </c>
      <c r="H1579" s="39" t="str">
        <f t="shared" si="98"/>
        <v/>
      </c>
      <c r="I1579" s="39" t="str">
        <f t="shared" si="99"/>
        <v/>
      </c>
      <c r="J1579" s="39" t="str">
        <f>""</f>
        <v/>
      </c>
    </row>
    <row r="1580" spans="1:10">
      <c r="A1580" s="26" t="s">
        <v>1879</v>
      </c>
      <c r="E1580" s="26" t="s">
        <v>5581</v>
      </c>
      <c r="F1580" s="39" t="str">
        <f t="shared" si="96"/>
        <v/>
      </c>
      <c r="G1580" s="39" t="str">
        <f t="shared" si="97"/>
        <v/>
      </c>
      <c r="H1580" s="39" t="str">
        <f t="shared" si="98"/>
        <v/>
      </c>
      <c r="I1580" s="39" t="str">
        <f t="shared" si="99"/>
        <v/>
      </c>
      <c r="J1580" s="39" t="str">
        <f>""</f>
        <v/>
      </c>
    </row>
    <row r="1581" spans="1:10">
      <c r="A1581" s="26" t="s">
        <v>1881</v>
      </c>
      <c r="E1581" s="26" t="s">
        <v>5581</v>
      </c>
      <c r="F1581" s="39" t="str">
        <f t="shared" si="96"/>
        <v/>
      </c>
      <c r="G1581" s="39" t="str">
        <f t="shared" si="97"/>
        <v/>
      </c>
      <c r="H1581" s="39" t="str">
        <f t="shared" si="98"/>
        <v/>
      </c>
      <c r="I1581" s="39" t="str">
        <f t="shared" si="99"/>
        <v/>
      </c>
      <c r="J1581" s="39" t="str">
        <f>""</f>
        <v/>
      </c>
    </row>
    <row r="1582" spans="1:10">
      <c r="A1582" s="26" t="s">
        <v>1883</v>
      </c>
      <c r="E1582" s="26" t="s">
        <v>5581</v>
      </c>
      <c r="F1582" s="39" t="str">
        <f t="shared" si="96"/>
        <v/>
      </c>
      <c r="G1582" s="39" t="str">
        <f t="shared" si="97"/>
        <v/>
      </c>
      <c r="H1582" s="39" t="str">
        <f t="shared" si="98"/>
        <v/>
      </c>
      <c r="I1582" s="39" t="str">
        <f t="shared" si="99"/>
        <v/>
      </c>
      <c r="J1582" s="39" t="str">
        <f>""</f>
        <v/>
      </c>
    </row>
    <row r="1583" spans="1:10">
      <c r="A1583" s="26" t="s">
        <v>1885</v>
      </c>
      <c r="E1583" s="26" t="s">
        <v>5581</v>
      </c>
      <c r="F1583" s="39" t="str">
        <f t="shared" si="96"/>
        <v/>
      </c>
      <c r="G1583" s="39" t="str">
        <f t="shared" si="97"/>
        <v/>
      </c>
      <c r="H1583" s="39" t="str">
        <f t="shared" si="98"/>
        <v/>
      </c>
      <c r="I1583" s="39" t="str">
        <f t="shared" si="99"/>
        <v/>
      </c>
      <c r="J1583" s="39" t="str">
        <f>""</f>
        <v/>
      </c>
    </row>
    <row r="1584" spans="1:10">
      <c r="A1584" s="26" t="s">
        <v>3141</v>
      </c>
      <c r="E1584" s="26" t="s">
        <v>5581</v>
      </c>
      <c r="F1584" s="39" t="str">
        <f t="shared" si="96"/>
        <v/>
      </c>
      <c r="G1584" s="39" t="str">
        <f t="shared" si="97"/>
        <v/>
      </c>
      <c r="H1584" s="39" t="str">
        <f t="shared" si="98"/>
        <v/>
      </c>
      <c r="I1584" s="39" t="str">
        <f t="shared" si="99"/>
        <v/>
      </c>
      <c r="J1584" s="39" t="str">
        <f>""</f>
        <v/>
      </c>
    </row>
    <row r="1585" spans="1:10">
      <c r="A1585" s="26" t="s">
        <v>3143</v>
      </c>
      <c r="E1585" s="26" t="s">
        <v>5581</v>
      </c>
      <c r="F1585" s="39" t="str">
        <f t="shared" si="96"/>
        <v/>
      </c>
      <c r="G1585" s="39" t="str">
        <f t="shared" si="97"/>
        <v/>
      </c>
      <c r="H1585" s="39" t="str">
        <f t="shared" si="98"/>
        <v/>
      </c>
      <c r="I1585" s="39" t="str">
        <f t="shared" si="99"/>
        <v/>
      </c>
      <c r="J1585" s="39" t="str">
        <f>""</f>
        <v/>
      </c>
    </row>
    <row r="1586" spans="1:10">
      <c r="A1586" s="26" t="s">
        <v>1887</v>
      </c>
      <c r="E1586" s="26" t="s">
        <v>5581</v>
      </c>
      <c r="F1586" s="39" t="str">
        <f t="shared" si="96"/>
        <v/>
      </c>
      <c r="G1586" s="39" t="str">
        <f t="shared" si="97"/>
        <v/>
      </c>
      <c r="H1586" s="39" t="str">
        <f t="shared" si="98"/>
        <v/>
      </c>
      <c r="I1586" s="39" t="str">
        <f t="shared" si="99"/>
        <v/>
      </c>
      <c r="J1586" s="39" t="str">
        <f>""</f>
        <v/>
      </c>
    </row>
    <row r="1587" spans="1:10">
      <c r="A1587" s="26" t="s">
        <v>3144</v>
      </c>
      <c r="E1587" s="26" t="s">
        <v>3790</v>
      </c>
      <c r="F1587" s="39" t="str">
        <f t="shared" si="96"/>
        <v/>
      </c>
      <c r="G1587" s="39" t="str">
        <f t="shared" si="97"/>
        <v/>
      </c>
      <c r="H1587" s="39" t="str">
        <f t="shared" si="98"/>
        <v/>
      </c>
      <c r="I1587" s="39" t="str">
        <f t="shared" si="99"/>
        <v/>
      </c>
      <c r="J1587" s="39" t="str">
        <f>""</f>
        <v/>
      </c>
    </row>
    <row r="1588" spans="1:10">
      <c r="A1588" s="26" t="s">
        <v>3147</v>
      </c>
      <c r="E1588" s="26" t="s">
        <v>5581</v>
      </c>
      <c r="F1588" s="39" t="str">
        <f t="shared" si="96"/>
        <v/>
      </c>
      <c r="G1588" s="39" t="str">
        <f t="shared" si="97"/>
        <v/>
      </c>
      <c r="H1588" s="39" t="str">
        <f t="shared" si="98"/>
        <v/>
      </c>
      <c r="I1588" s="39" t="str">
        <f t="shared" si="99"/>
        <v/>
      </c>
      <c r="J1588" s="39" t="str">
        <f>""</f>
        <v/>
      </c>
    </row>
    <row r="1589" spans="1:10">
      <c r="A1589" s="26" t="s">
        <v>3149</v>
      </c>
      <c r="E1589" s="26" t="s">
        <v>5581</v>
      </c>
      <c r="F1589" s="39" t="str">
        <f t="shared" si="96"/>
        <v/>
      </c>
      <c r="G1589" s="39" t="str">
        <f t="shared" si="97"/>
        <v/>
      </c>
      <c r="H1589" s="39" t="str">
        <f t="shared" si="98"/>
        <v/>
      </c>
      <c r="I1589" s="39" t="str">
        <f t="shared" si="99"/>
        <v/>
      </c>
      <c r="J1589" s="39" t="str">
        <f>""</f>
        <v/>
      </c>
    </row>
    <row r="1590" spans="1:10">
      <c r="A1590" s="26" t="s">
        <v>1889</v>
      </c>
      <c r="E1590" s="26" t="s">
        <v>5581</v>
      </c>
      <c r="F1590" s="39" t="str">
        <f t="shared" si="96"/>
        <v/>
      </c>
      <c r="G1590" s="39" t="str">
        <f t="shared" si="97"/>
        <v/>
      </c>
      <c r="H1590" s="39" t="str">
        <f t="shared" si="98"/>
        <v/>
      </c>
      <c r="I1590" s="39" t="str">
        <f t="shared" si="99"/>
        <v/>
      </c>
      <c r="J1590" s="39" t="str">
        <f>""</f>
        <v/>
      </c>
    </row>
    <row r="1591" spans="1:10">
      <c r="A1591" s="26" t="s">
        <v>1891</v>
      </c>
      <c r="E1591" s="26" t="s">
        <v>5581</v>
      </c>
      <c r="F1591" s="39" t="str">
        <f t="shared" si="96"/>
        <v/>
      </c>
      <c r="G1591" s="39" t="str">
        <f t="shared" si="97"/>
        <v/>
      </c>
      <c r="H1591" s="39" t="str">
        <f t="shared" si="98"/>
        <v/>
      </c>
      <c r="I1591" s="39" t="str">
        <f t="shared" si="99"/>
        <v/>
      </c>
      <c r="J1591" s="39" t="str">
        <f>""</f>
        <v/>
      </c>
    </row>
    <row r="1592" spans="1:10">
      <c r="A1592" s="26" t="s">
        <v>1893</v>
      </c>
      <c r="E1592" s="26" t="s">
        <v>5581</v>
      </c>
      <c r="F1592" s="39" t="str">
        <f t="shared" si="96"/>
        <v/>
      </c>
      <c r="G1592" s="39" t="str">
        <f t="shared" si="97"/>
        <v/>
      </c>
      <c r="H1592" s="39" t="str">
        <f t="shared" si="98"/>
        <v/>
      </c>
      <c r="I1592" s="39" t="str">
        <f t="shared" si="99"/>
        <v/>
      </c>
      <c r="J1592" s="39" t="str">
        <f>""</f>
        <v/>
      </c>
    </row>
    <row r="1593" spans="1:10">
      <c r="A1593" s="26" t="s">
        <v>1894</v>
      </c>
      <c r="E1593" s="26" t="s">
        <v>5581</v>
      </c>
      <c r="F1593" s="39" t="str">
        <f t="shared" si="96"/>
        <v/>
      </c>
      <c r="G1593" s="39" t="str">
        <f t="shared" si="97"/>
        <v/>
      </c>
      <c r="H1593" s="39" t="str">
        <f t="shared" si="98"/>
        <v/>
      </c>
      <c r="I1593" s="39" t="str">
        <f t="shared" si="99"/>
        <v/>
      </c>
      <c r="J1593" s="39" t="str">
        <f>""</f>
        <v/>
      </c>
    </row>
    <row r="1594" spans="1:10">
      <c r="A1594" s="26" t="s">
        <v>1896</v>
      </c>
      <c r="E1594" s="26" t="s">
        <v>5581</v>
      </c>
      <c r="F1594" s="39" t="str">
        <f t="shared" si="96"/>
        <v/>
      </c>
      <c r="G1594" s="39" t="str">
        <f t="shared" si="97"/>
        <v/>
      </c>
      <c r="H1594" s="39" t="str">
        <f t="shared" si="98"/>
        <v/>
      </c>
      <c r="I1594" s="39" t="str">
        <f t="shared" si="99"/>
        <v/>
      </c>
      <c r="J1594" s="39" t="str">
        <f>""</f>
        <v/>
      </c>
    </row>
    <row r="1595" spans="1:10">
      <c r="A1595" s="26" t="s">
        <v>1897</v>
      </c>
      <c r="E1595" s="26" t="s">
        <v>5581</v>
      </c>
      <c r="F1595" s="39" t="str">
        <f t="shared" si="96"/>
        <v/>
      </c>
      <c r="G1595" s="39" t="str">
        <f t="shared" si="97"/>
        <v/>
      </c>
      <c r="H1595" s="39" t="str">
        <f t="shared" si="98"/>
        <v/>
      </c>
      <c r="I1595" s="39" t="str">
        <f t="shared" si="99"/>
        <v/>
      </c>
      <c r="J1595" s="39" t="str">
        <f>""</f>
        <v/>
      </c>
    </row>
    <row r="1596" spans="1:10">
      <c r="A1596" s="26" t="s">
        <v>1901</v>
      </c>
      <c r="E1596" s="26" t="s">
        <v>5581</v>
      </c>
      <c r="F1596" s="39" t="str">
        <f t="shared" si="96"/>
        <v/>
      </c>
      <c r="G1596" s="39" t="str">
        <f t="shared" si="97"/>
        <v/>
      </c>
      <c r="H1596" s="39" t="str">
        <f t="shared" si="98"/>
        <v/>
      </c>
      <c r="I1596" s="39" t="str">
        <f t="shared" si="99"/>
        <v/>
      </c>
      <c r="J1596" s="39" t="str">
        <f>""</f>
        <v/>
      </c>
    </row>
    <row r="1597" spans="1:10">
      <c r="A1597" s="26" t="s">
        <v>3150</v>
      </c>
      <c r="E1597" s="26" t="s">
        <v>5581</v>
      </c>
      <c r="F1597" s="39" t="str">
        <f t="shared" si="96"/>
        <v/>
      </c>
      <c r="G1597" s="39" t="str">
        <f t="shared" si="97"/>
        <v/>
      </c>
      <c r="H1597" s="39" t="str">
        <f t="shared" si="98"/>
        <v/>
      </c>
      <c r="I1597" s="39" t="str">
        <f t="shared" si="99"/>
        <v/>
      </c>
      <c r="J1597" s="39" t="str">
        <f>""</f>
        <v/>
      </c>
    </row>
    <row r="1598" spans="1:10">
      <c r="A1598" s="26" t="s">
        <v>3152</v>
      </c>
      <c r="E1598" s="26" t="s">
        <v>5581</v>
      </c>
      <c r="F1598" s="39" t="str">
        <f t="shared" si="96"/>
        <v/>
      </c>
      <c r="G1598" s="39" t="str">
        <f t="shared" si="97"/>
        <v/>
      </c>
      <c r="H1598" s="39" t="str">
        <f t="shared" si="98"/>
        <v/>
      </c>
      <c r="I1598" s="39" t="str">
        <f t="shared" si="99"/>
        <v/>
      </c>
      <c r="J1598" s="39" t="str">
        <f>""</f>
        <v/>
      </c>
    </row>
    <row r="1599" spans="1:10">
      <c r="A1599" s="26" t="s">
        <v>3153</v>
      </c>
      <c r="E1599" s="26" t="s">
        <v>5581</v>
      </c>
      <c r="F1599" s="39" t="str">
        <f t="shared" si="96"/>
        <v/>
      </c>
      <c r="G1599" s="39" t="str">
        <f t="shared" si="97"/>
        <v/>
      </c>
      <c r="H1599" s="39" t="str">
        <f t="shared" si="98"/>
        <v/>
      </c>
      <c r="I1599" s="39" t="str">
        <f t="shared" si="99"/>
        <v/>
      </c>
      <c r="J1599" s="39" t="str">
        <f>""</f>
        <v/>
      </c>
    </row>
    <row r="1600" spans="1:10">
      <c r="A1600" s="26" t="s">
        <v>3155</v>
      </c>
      <c r="E1600" s="26" t="s">
        <v>5581</v>
      </c>
      <c r="F1600" s="39" t="str">
        <f t="shared" si="96"/>
        <v/>
      </c>
      <c r="G1600" s="39" t="str">
        <f t="shared" si="97"/>
        <v/>
      </c>
      <c r="H1600" s="39" t="str">
        <f t="shared" si="98"/>
        <v/>
      </c>
      <c r="I1600" s="39" t="str">
        <f t="shared" si="99"/>
        <v/>
      </c>
      <c r="J1600" s="39" t="str">
        <f>""</f>
        <v/>
      </c>
    </row>
    <row r="1601" spans="1:10">
      <c r="A1601" s="26" t="s">
        <v>3156</v>
      </c>
      <c r="E1601" s="26" t="s">
        <v>5581</v>
      </c>
      <c r="F1601" s="39" t="str">
        <f t="shared" si="96"/>
        <v/>
      </c>
      <c r="G1601" s="39" t="str">
        <f t="shared" si="97"/>
        <v/>
      </c>
      <c r="H1601" s="39" t="str">
        <f t="shared" si="98"/>
        <v/>
      </c>
      <c r="I1601" s="39" t="str">
        <f t="shared" si="99"/>
        <v/>
      </c>
      <c r="J1601" s="39" t="str">
        <f>""</f>
        <v/>
      </c>
    </row>
    <row r="1602" spans="1:10">
      <c r="A1602" s="26" t="s">
        <v>3158</v>
      </c>
      <c r="E1602" s="26" t="s">
        <v>5581</v>
      </c>
      <c r="F1602" s="39" t="str">
        <f t="shared" si="96"/>
        <v/>
      </c>
      <c r="G1602" s="39" t="str">
        <f t="shared" si="97"/>
        <v/>
      </c>
      <c r="H1602" s="39" t="str">
        <f t="shared" si="98"/>
        <v/>
      </c>
      <c r="I1602" s="39" t="str">
        <f t="shared" si="99"/>
        <v/>
      </c>
      <c r="J1602" s="39" t="str">
        <f>""</f>
        <v/>
      </c>
    </row>
    <row r="1603" spans="1:10">
      <c r="A1603" s="26" t="s">
        <v>1903</v>
      </c>
      <c r="E1603" s="26" t="s">
        <v>5581</v>
      </c>
      <c r="F1603" s="39" t="str">
        <f t="shared" ref="F1603:F1666" si="100">IF(C1603="","",IF(C1603&lt;99,C1603,""))</f>
        <v/>
      </c>
      <c r="G1603" s="39" t="str">
        <f t="shared" ref="G1603:G1666" si="101">IF(OR(F1603&lt;&gt;"",D1603&lt;&gt;""),C1603,"")</f>
        <v/>
      </c>
      <c r="H1603" s="39" t="str">
        <f t="shared" ref="H1603:H1666" si="102">IF(C1603="","",C1603)</f>
        <v/>
      </c>
      <c r="I1603" s="39" t="str">
        <f t="shared" ref="I1603:I1666" si="103">IF(AND(C1603&lt;&gt;"",D1603&lt;&gt;""),C1603,"")</f>
        <v/>
      </c>
      <c r="J1603" s="39" t="str">
        <f>""</f>
        <v/>
      </c>
    </row>
    <row r="1604" spans="1:10">
      <c r="A1604" s="26" t="s">
        <v>1905</v>
      </c>
      <c r="E1604" s="26" t="s">
        <v>5581</v>
      </c>
      <c r="F1604" s="39" t="str">
        <f t="shared" si="100"/>
        <v/>
      </c>
      <c r="G1604" s="39" t="str">
        <f t="shared" si="101"/>
        <v/>
      </c>
      <c r="H1604" s="39" t="str">
        <f t="shared" si="102"/>
        <v/>
      </c>
      <c r="I1604" s="39" t="str">
        <f t="shared" si="103"/>
        <v/>
      </c>
      <c r="J1604" s="39" t="str">
        <f>""</f>
        <v/>
      </c>
    </row>
    <row r="1605" spans="1:10">
      <c r="A1605" s="26" t="s">
        <v>1907</v>
      </c>
      <c r="E1605" s="26" t="s">
        <v>5581</v>
      </c>
      <c r="F1605" s="39" t="str">
        <f t="shared" si="100"/>
        <v/>
      </c>
      <c r="G1605" s="39" t="str">
        <f t="shared" si="101"/>
        <v/>
      </c>
      <c r="H1605" s="39" t="str">
        <f t="shared" si="102"/>
        <v/>
      </c>
      <c r="I1605" s="39" t="str">
        <f t="shared" si="103"/>
        <v/>
      </c>
      <c r="J1605" s="39" t="str">
        <f>""</f>
        <v/>
      </c>
    </row>
    <row r="1606" spans="1:10">
      <c r="A1606" s="26" t="s">
        <v>6309</v>
      </c>
      <c r="E1606" s="26" t="s">
        <v>3790</v>
      </c>
      <c r="F1606" s="39" t="str">
        <f t="shared" si="100"/>
        <v/>
      </c>
      <c r="G1606" s="39" t="str">
        <f t="shared" si="101"/>
        <v/>
      </c>
      <c r="H1606" s="39" t="str">
        <f t="shared" si="102"/>
        <v/>
      </c>
      <c r="I1606" s="39" t="str">
        <f t="shared" si="103"/>
        <v/>
      </c>
      <c r="J1606" s="39" t="str">
        <f>""</f>
        <v/>
      </c>
    </row>
    <row r="1607" spans="1:10">
      <c r="A1607" s="26" t="s">
        <v>1909</v>
      </c>
      <c r="E1607" s="26" t="s">
        <v>5581</v>
      </c>
      <c r="F1607" s="39" t="str">
        <f t="shared" si="100"/>
        <v/>
      </c>
      <c r="G1607" s="39" t="str">
        <f t="shared" si="101"/>
        <v/>
      </c>
      <c r="H1607" s="39" t="str">
        <f t="shared" si="102"/>
        <v/>
      </c>
      <c r="I1607" s="39" t="str">
        <f t="shared" si="103"/>
        <v/>
      </c>
      <c r="J1607" s="39" t="str">
        <f>""</f>
        <v/>
      </c>
    </row>
    <row r="1608" spans="1:10">
      <c r="A1608" s="26" t="s">
        <v>1912</v>
      </c>
      <c r="E1608" s="26" t="s">
        <v>5581</v>
      </c>
      <c r="F1608" s="39" t="str">
        <f t="shared" si="100"/>
        <v/>
      </c>
      <c r="G1608" s="39" t="str">
        <f t="shared" si="101"/>
        <v/>
      </c>
      <c r="H1608" s="39" t="str">
        <f t="shared" si="102"/>
        <v/>
      </c>
      <c r="I1608" s="39" t="str">
        <f t="shared" si="103"/>
        <v/>
      </c>
      <c r="J1608" s="39" t="str">
        <f>""</f>
        <v/>
      </c>
    </row>
    <row r="1609" spans="1:10">
      <c r="A1609" s="26" t="s">
        <v>6182</v>
      </c>
      <c r="E1609" s="26" t="s">
        <v>3790</v>
      </c>
      <c r="F1609" s="39" t="str">
        <f t="shared" si="100"/>
        <v/>
      </c>
      <c r="G1609" s="39" t="str">
        <f t="shared" si="101"/>
        <v/>
      </c>
      <c r="H1609" s="39" t="str">
        <f t="shared" si="102"/>
        <v/>
      </c>
      <c r="I1609" s="39" t="str">
        <f t="shared" si="103"/>
        <v/>
      </c>
      <c r="J1609" s="39" t="str">
        <f>""</f>
        <v/>
      </c>
    </row>
    <row r="1610" spans="1:10">
      <c r="A1610" s="26" t="s">
        <v>1913</v>
      </c>
      <c r="E1610" s="26" t="s">
        <v>5581</v>
      </c>
      <c r="F1610" s="39" t="str">
        <f t="shared" si="100"/>
        <v/>
      </c>
      <c r="G1610" s="39" t="str">
        <f t="shared" si="101"/>
        <v/>
      </c>
      <c r="H1610" s="39" t="str">
        <f t="shared" si="102"/>
        <v/>
      </c>
      <c r="I1610" s="39" t="str">
        <f t="shared" si="103"/>
        <v/>
      </c>
      <c r="J1610" s="39" t="str">
        <f>""</f>
        <v/>
      </c>
    </row>
    <row r="1611" spans="1:10">
      <c r="A1611" s="26" t="s">
        <v>1915</v>
      </c>
      <c r="E1611" s="26" t="s">
        <v>5581</v>
      </c>
      <c r="F1611" s="39" t="str">
        <f t="shared" si="100"/>
        <v/>
      </c>
      <c r="G1611" s="39" t="str">
        <f t="shared" si="101"/>
        <v/>
      </c>
      <c r="H1611" s="39" t="str">
        <f t="shared" si="102"/>
        <v/>
      </c>
      <c r="I1611" s="39" t="str">
        <f t="shared" si="103"/>
        <v/>
      </c>
      <c r="J1611" s="39" t="str">
        <f>""</f>
        <v/>
      </c>
    </row>
    <row r="1612" spans="1:10">
      <c r="A1612" s="26" t="s">
        <v>3159</v>
      </c>
      <c r="E1612" s="26" t="s">
        <v>5581</v>
      </c>
      <c r="F1612" s="39" t="str">
        <f t="shared" si="100"/>
        <v/>
      </c>
      <c r="G1612" s="39" t="str">
        <f t="shared" si="101"/>
        <v/>
      </c>
      <c r="H1612" s="39" t="str">
        <f t="shared" si="102"/>
        <v/>
      </c>
      <c r="I1612" s="39" t="str">
        <f t="shared" si="103"/>
        <v/>
      </c>
      <c r="J1612" s="39" t="str">
        <f>""</f>
        <v/>
      </c>
    </row>
    <row r="1613" spans="1:10">
      <c r="A1613" s="26" t="s">
        <v>3161</v>
      </c>
      <c r="E1613" s="26" t="s">
        <v>5581</v>
      </c>
      <c r="F1613" s="39" t="str">
        <f t="shared" si="100"/>
        <v/>
      </c>
      <c r="G1613" s="39" t="str">
        <f t="shared" si="101"/>
        <v/>
      </c>
      <c r="H1613" s="39" t="str">
        <f t="shared" si="102"/>
        <v/>
      </c>
      <c r="I1613" s="39" t="str">
        <f t="shared" si="103"/>
        <v/>
      </c>
      <c r="J1613" s="39" t="str">
        <f>""</f>
        <v/>
      </c>
    </row>
    <row r="1614" spans="1:10">
      <c r="A1614" s="26" t="s">
        <v>1916</v>
      </c>
      <c r="E1614" s="26" t="s">
        <v>3790</v>
      </c>
      <c r="F1614" s="39" t="str">
        <f t="shared" si="100"/>
        <v/>
      </c>
      <c r="G1614" s="39" t="str">
        <f t="shared" si="101"/>
        <v/>
      </c>
      <c r="H1614" s="39" t="str">
        <f t="shared" si="102"/>
        <v/>
      </c>
      <c r="I1614" s="39" t="str">
        <f t="shared" si="103"/>
        <v/>
      </c>
      <c r="J1614" s="39" t="str">
        <f>""</f>
        <v/>
      </c>
    </row>
    <row r="1615" spans="1:10">
      <c r="A1615" s="26" t="s">
        <v>1919</v>
      </c>
      <c r="E1615" s="26" t="s">
        <v>5582</v>
      </c>
      <c r="F1615" s="39" t="str">
        <f t="shared" si="100"/>
        <v/>
      </c>
      <c r="G1615" s="39" t="str">
        <f t="shared" si="101"/>
        <v/>
      </c>
      <c r="H1615" s="39" t="str">
        <f t="shared" si="102"/>
        <v/>
      </c>
      <c r="I1615" s="39" t="str">
        <f t="shared" si="103"/>
        <v/>
      </c>
      <c r="J1615" s="39" t="str">
        <f>""</f>
        <v/>
      </c>
    </row>
    <row r="1616" spans="1:10">
      <c r="A1616" s="26" t="s">
        <v>1920</v>
      </c>
      <c r="E1616" s="26" t="s">
        <v>5581</v>
      </c>
      <c r="F1616" s="39" t="str">
        <f t="shared" si="100"/>
        <v/>
      </c>
      <c r="G1616" s="39" t="str">
        <f t="shared" si="101"/>
        <v/>
      </c>
      <c r="H1616" s="39" t="str">
        <f t="shared" si="102"/>
        <v/>
      </c>
      <c r="I1616" s="39" t="str">
        <f t="shared" si="103"/>
        <v/>
      </c>
      <c r="J1616" s="39" t="str">
        <f>""</f>
        <v/>
      </c>
    </row>
    <row r="1617" spans="1:10">
      <c r="A1617" s="26" t="s">
        <v>1922</v>
      </c>
      <c r="E1617" s="26" t="s">
        <v>5581</v>
      </c>
      <c r="F1617" s="39" t="str">
        <f t="shared" si="100"/>
        <v/>
      </c>
      <c r="G1617" s="39" t="str">
        <f t="shared" si="101"/>
        <v/>
      </c>
      <c r="H1617" s="39" t="str">
        <f t="shared" si="102"/>
        <v/>
      </c>
      <c r="I1617" s="39" t="str">
        <f t="shared" si="103"/>
        <v/>
      </c>
      <c r="J1617" s="39" t="str">
        <f>""</f>
        <v/>
      </c>
    </row>
    <row r="1618" spans="1:10">
      <c r="A1618" s="26" t="s">
        <v>3162</v>
      </c>
      <c r="E1618" s="26" t="s">
        <v>5581</v>
      </c>
      <c r="F1618" s="39" t="str">
        <f t="shared" si="100"/>
        <v/>
      </c>
      <c r="G1618" s="39" t="str">
        <f t="shared" si="101"/>
        <v/>
      </c>
      <c r="H1618" s="39" t="str">
        <f t="shared" si="102"/>
        <v/>
      </c>
      <c r="I1618" s="39" t="str">
        <f t="shared" si="103"/>
        <v/>
      </c>
      <c r="J1618" s="39" t="str">
        <f>""</f>
        <v/>
      </c>
    </row>
    <row r="1619" spans="1:10">
      <c r="A1619" s="26" t="s">
        <v>3164</v>
      </c>
      <c r="E1619" s="26" t="s">
        <v>5581</v>
      </c>
      <c r="F1619" s="39" t="str">
        <f t="shared" si="100"/>
        <v/>
      </c>
      <c r="G1619" s="39" t="str">
        <f t="shared" si="101"/>
        <v/>
      </c>
      <c r="H1619" s="39" t="str">
        <f t="shared" si="102"/>
        <v/>
      </c>
      <c r="I1619" s="39" t="str">
        <f t="shared" si="103"/>
        <v/>
      </c>
      <c r="J1619" s="39" t="str">
        <f>""</f>
        <v/>
      </c>
    </row>
    <row r="1620" spans="1:10">
      <c r="A1620" s="26" t="s">
        <v>1923</v>
      </c>
      <c r="E1620" s="26" t="s">
        <v>5582</v>
      </c>
      <c r="F1620" s="39" t="str">
        <f t="shared" si="100"/>
        <v/>
      </c>
      <c r="G1620" s="39" t="str">
        <f t="shared" si="101"/>
        <v/>
      </c>
      <c r="H1620" s="39" t="str">
        <f t="shared" si="102"/>
        <v/>
      </c>
      <c r="I1620" s="39" t="str">
        <f t="shared" si="103"/>
        <v/>
      </c>
      <c r="J1620" s="39" t="str">
        <f>""</f>
        <v/>
      </c>
    </row>
    <row r="1621" spans="1:10">
      <c r="A1621" s="26" t="s">
        <v>1925</v>
      </c>
      <c r="E1621" s="26" t="s">
        <v>5581</v>
      </c>
      <c r="F1621" s="39" t="str">
        <f t="shared" si="100"/>
        <v/>
      </c>
      <c r="G1621" s="39" t="str">
        <f t="shared" si="101"/>
        <v/>
      </c>
      <c r="H1621" s="39" t="str">
        <f t="shared" si="102"/>
        <v/>
      </c>
      <c r="I1621" s="39" t="str">
        <f t="shared" si="103"/>
        <v/>
      </c>
      <c r="J1621" s="39" t="str">
        <f>""</f>
        <v/>
      </c>
    </row>
    <row r="1622" spans="1:10">
      <c r="A1622" s="26" t="s">
        <v>1927</v>
      </c>
      <c r="E1622" s="26" t="s">
        <v>5581</v>
      </c>
      <c r="F1622" s="39" t="str">
        <f t="shared" si="100"/>
        <v/>
      </c>
      <c r="G1622" s="39" t="str">
        <f t="shared" si="101"/>
        <v/>
      </c>
      <c r="H1622" s="39" t="str">
        <f t="shared" si="102"/>
        <v/>
      </c>
      <c r="I1622" s="39" t="str">
        <f t="shared" si="103"/>
        <v/>
      </c>
      <c r="J1622" s="39" t="str">
        <f>""</f>
        <v/>
      </c>
    </row>
    <row r="1623" spans="1:10">
      <c r="A1623" s="26" t="s">
        <v>1929</v>
      </c>
      <c r="E1623" s="26" t="s">
        <v>5581</v>
      </c>
      <c r="F1623" s="39" t="str">
        <f t="shared" si="100"/>
        <v/>
      </c>
      <c r="G1623" s="39" t="str">
        <f t="shared" si="101"/>
        <v/>
      </c>
      <c r="H1623" s="39" t="str">
        <f t="shared" si="102"/>
        <v/>
      </c>
      <c r="I1623" s="39" t="str">
        <f t="shared" si="103"/>
        <v/>
      </c>
      <c r="J1623" s="39" t="str">
        <f>""</f>
        <v/>
      </c>
    </row>
    <row r="1624" spans="1:10">
      <c r="A1624" s="26" t="s">
        <v>1931</v>
      </c>
      <c r="E1624" s="26" t="s">
        <v>5581</v>
      </c>
      <c r="F1624" s="39" t="str">
        <f t="shared" si="100"/>
        <v/>
      </c>
      <c r="G1624" s="39" t="str">
        <f t="shared" si="101"/>
        <v/>
      </c>
      <c r="H1624" s="39" t="str">
        <f t="shared" si="102"/>
        <v/>
      </c>
      <c r="I1624" s="39" t="str">
        <f t="shared" si="103"/>
        <v/>
      </c>
      <c r="J1624" s="39" t="str">
        <f>""</f>
        <v/>
      </c>
    </row>
    <row r="1625" spans="1:10">
      <c r="A1625" s="26" t="s">
        <v>1932</v>
      </c>
      <c r="E1625" s="26" t="s">
        <v>5581</v>
      </c>
      <c r="F1625" s="39" t="str">
        <f t="shared" si="100"/>
        <v/>
      </c>
      <c r="G1625" s="39" t="str">
        <f t="shared" si="101"/>
        <v/>
      </c>
      <c r="H1625" s="39" t="str">
        <f t="shared" si="102"/>
        <v/>
      </c>
      <c r="I1625" s="39" t="str">
        <f t="shared" si="103"/>
        <v/>
      </c>
      <c r="J1625" s="39" t="str">
        <f>""</f>
        <v/>
      </c>
    </row>
    <row r="1626" spans="1:10">
      <c r="A1626" s="26" t="s">
        <v>1934</v>
      </c>
      <c r="E1626" s="26" t="s">
        <v>5581</v>
      </c>
      <c r="F1626" s="39" t="str">
        <f t="shared" si="100"/>
        <v/>
      </c>
      <c r="G1626" s="39" t="str">
        <f t="shared" si="101"/>
        <v/>
      </c>
      <c r="H1626" s="39" t="str">
        <f t="shared" si="102"/>
        <v/>
      </c>
      <c r="I1626" s="39" t="str">
        <f t="shared" si="103"/>
        <v/>
      </c>
      <c r="J1626" s="39" t="str">
        <f>""</f>
        <v/>
      </c>
    </row>
    <row r="1627" spans="1:10">
      <c r="A1627" s="26" t="s">
        <v>1936</v>
      </c>
      <c r="E1627" s="26" t="s">
        <v>5581</v>
      </c>
      <c r="F1627" s="39" t="str">
        <f t="shared" si="100"/>
        <v/>
      </c>
      <c r="G1627" s="39" t="str">
        <f t="shared" si="101"/>
        <v/>
      </c>
      <c r="H1627" s="39" t="str">
        <f t="shared" si="102"/>
        <v/>
      </c>
      <c r="I1627" s="39" t="str">
        <f t="shared" si="103"/>
        <v/>
      </c>
      <c r="J1627" s="39" t="str">
        <f>""</f>
        <v/>
      </c>
    </row>
    <row r="1628" spans="1:10">
      <c r="A1628" s="26" t="s">
        <v>1939</v>
      </c>
      <c r="E1628" s="26" t="s">
        <v>5581</v>
      </c>
      <c r="F1628" s="39" t="str">
        <f t="shared" si="100"/>
        <v/>
      </c>
      <c r="G1628" s="39" t="str">
        <f t="shared" si="101"/>
        <v/>
      </c>
      <c r="H1628" s="39" t="str">
        <f t="shared" si="102"/>
        <v/>
      </c>
      <c r="I1628" s="39" t="str">
        <f t="shared" si="103"/>
        <v/>
      </c>
      <c r="J1628" s="39" t="str">
        <f>""</f>
        <v/>
      </c>
    </row>
    <row r="1629" spans="1:10">
      <c r="A1629" s="26" t="s">
        <v>1940</v>
      </c>
      <c r="E1629" s="26" t="s">
        <v>5582</v>
      </c>
      <c r="F1629" s="39" t="str">
        <f t="shared" si="100"/>
        <v/>
      </c>
      <c r="G1629" s="39" t="str">
        <f t="shared" si="101"/>
        <v/>
      </c>
      <c r="H1629" s="39" t="str">
        <f t="shared" si="102"/>
        <v/>
      </c>
      <c r="I1629" s="39" t="str">
        <f t="shared" si="103"/>
        <v/>
      </c>
      <c r="J1629" s="39" t="str">
        <f>""</f>
        <v/>
      </c>
    </row>
    <row r="1630" spans="1:10">
      <c r="A1630" s="26" t="s">
        <v>1942</v>
      </c>
      <c r="E1630" s="26" t="s">
        <v>5582</v>
      </c>
      <c r="F1630" s="39" t="str">
        <f t="shared" si="100"/>
        <v/>
      </c>
      <c r="G1630" s="39" t="str">
        <f t="shared" si="101"/>
        <v/>
      </c>
      <c r="H1630" s="39" t="str">
        <f t="shared" si="102"/>
        <v/>
      </c>
      <c r="I1630" s="39" t="str">
        <f t="shared" si="103"/>
        <v/>
      </c>
      <c r="J1630" s="39" t="str">
        <f>""</f>
        <v/>
      </c>
    </row>
    <row r="1631" spans="1:10">
      <c r="A1631" s="26" t="s">
        <v>1943</v>
      </c>
      <c r="E1631" s="26" t="s">
        <v>5582</v>
      </c>
      <c r="F1631" s="39" t="str">
        <f t="shared" si="100"/>
        <v/>
      </c>
      <c r="G1631" s="39" t="str">
        <f t="shared" si="101"/>
        <v/>
      </c>
      <c r="H1631" s="39" t="str">
        <f t="shared" si="102"/>
        <v/>
      </c>
      <c r="I1631" s="39" t="str">
        <f t="shared" si="103"/>
        <v/>
      </c>
      <c r="J1631" s="39" t="str">
        <f>""</f>
        <v/>
      </c>
    </row>
    <row r="1632" spans="1:10">
      <c r="A1632" s="26" t="s">
        <v>1945</v>
      </c>
      <c r="E1632" s="26" t="s">
        <v>5582</v>
      </c>
      <c r="F1632" s="39" t="str">
        <f t="shared" si="100"/>
        <v/>
      </c>
      <c r="G1632" s="39" t="str">
        <f t="shared" si="101"/>
        <v/>
      </c>
      <c r="H1632" s="39" t="str">
        <f t="shared" si="102"/>
        <v/>
      </c>
      <c r="I1632" s="39" t="str">
        <f t="shared" si="103"/>
        <v/>
      </c>
      <c r="J1632" s="39" t="str">
        <f>""</f>
        <v/>
      </c>
    </row>
    <row r="1633" spans="1:10">
      <c r="A1633" s="26" t="s">
        <v>1946</v>
      </c>
      <c r="E1633" s="26" t="s">
        <v>5581</v>
      </c>
      <c r="F1633" s="39" t="str">
        <f t="shared" si="100"/>
        <v/>
      </c>
      <c r="G1633" s="39" t="str">
        <f t="shared" si="101"/>
        <v/>
      </c>
      <c r="H1633" s="39" t="str">
        <f t="shared" si="102"/>
        <v/>
      </c>
      <c r="I1633" s="39" t="str">
        <f t="shared" si="103"/>
        <v/>
      </c>
      <c r="J1633" s="39" t="str">
        <f>""</f>
        <v/>
      </c>
    </row>
    <row r="1634" spans="1:10">
      <c r="A1634" s="26" t="s">
        <v>1948</v>
      </c>
      <c r="E1634" s="26" t="s">
        <v>5581</v>
      </c>
      <c r="F1634" s="39" t="str">
        <f t="shared" si="100"/>
        <v/>
      </c>
      <c r="G1634" s="39" t="str">
        <f t="shared" si="101"/>
        <v/>
      </c>
      <c r="H1634" s="39" t="str">
        <f t="shared" si="102"/>
        <v/>
      </c>
      <c r="I1634" s="39" t="str">
        <f t="shared" si="103"/>
        <v/>
      </c>
      <c r="J1634" s="39" t="str">
        <f>""</f>
        <v/>
      </c>
    </row>
    <row r="1635" spans="1:10">
      <c r="A1635" s="26" t="s">
        <v>1950</v>
      </c>
      <c r="E1635" s="26" t="s">
        <v>5581</v>
      </c>
      <c r="F1635" s="39" t="str">
        <f t="shared" si="100"/>
        <v/>
      </c>
      <c r="G1635" s="39" t="str">
        <f t="shared" si="101"/>
        <v/>
      </c>
      <c r="H1635" s="39" t="str">
        <f t="shared" si="102"/>
        <v/>
      </c>
      <c r="I1635" s="39" t="str">
        <f t="shared" si="103"/>
        <v/>
      </c>
      <c r="J1635" s="39" t="str">
        <f>""</f>
        <v/>
      </c>
    </row>
    <row r="1636" spans="1:10">
      <c r="A1636" s="26" t="s">
        <v>1952</v>
      </c>
      <c r="E1636" s="26" t="s">
        <v>5581</v>
      </c>
      <c r="F1636" s="39" t="str">
        <f t="shared" si="100"/>
        <v/>
      </c>
      <c r="G1636" s="39" t="str">
        <f t="shared" si="101"/>
        <v/>
      </c>
      <c r="H1636" s="39" t="str">
        <f t="shared" si="102"/>
        <v/>
      </c>
      <c r="I1636" s="39" t="str">
        <f t="shared" si="103"/>
        <v/>
      </c>
      <c r="J1636" s="39" t="str">
        <f>""</f>
        <v/>
      </c>
    </row>
    <row r="1637" spans="1:10">
      <c r="A1637" s="26" t="s">
        <v>1954</v>
      </c>
      <c r="E1637" s="26" t="s">
        <v>5582</v>
      </c>
      <c r="F1637" s="39" t="str">
        <f t="shared" si="100"/>
        <v/>
      </c>
      <c r="G1637" s="39" t="str">
        <f t="shared" si="101"/>
        <v/>
      </c>
      <c r="H1637" s="39" t="str">
        <f t="shared" si="102"/>
        <v/>
      </c>
      <c r="I1637" s="39" t="str">
        <f t="shared" si="103"/>
        <v/>
      </c>
      <c r="J1637" s="39" t="str">
        <f>""</f>
        <v/>
      </c>
    </row>
    <row r="1638" spans="1:10">
      <c r="A1638" s="26" t="s">
        <v>1957</v>
      </c>
      <c r="E1638" s="26" t="s">
        <v>5581</v>
      </c>
      <c r="F1638" s="39" t="str">
        <f t="shared" si="100"/>
        <v/>
      </c>
      <c r="G1638" s="39" t="str">
        <f t="shared" si="101"/>
        <v/>
      </c>
      <c r="H1638" s="39" t="str">
        <f t="shared" si="102"/>
        <v/>
      </c>
      <c r="I1638" s="39" t="str">
        <f t="shared" si="103"/>
        <v/>
      </c>
      <c r="J1638" s="39" t="str">
        <f>""</f>
        <v/>
      </c>
    </row>
    <row r="1639" spans="1:10">
      <c r="A1639" s="26" t="s">
        <v>1959</v>
      </c>
      <c r="E1639" s="26" t="s">
        <v>5581</v>
      </c>
      <c r="F1639" s="39" t="str">
        <f t="shared" si="100"/>
        <v/>
      </c>
      <c r="G1639" s="39" t="str">
        <f t="shared" si="101"/>
        <v/>
      </c>
      <c r="H1639" s="39" t="str">
        <f t="shared" si="102"/>
        <v/>
      </c>
      <c r="I1639" s="39" t="str">
        <f t="shared" si="103"/>
        <v/>
      </c>
      <c r="J1639" s="39" t="str">
        <f>""</f>
        <v/>
      </c>
    </row>
    <row r="1640" spans="1:10">
      <c r="A1640" s="26" t="s">
        <v>5308</v>
      </c>
      <c r="E1640" s="26" t="s">
        <v>3790</v>
      </c>
      <c r="F1640" s="39" t="str">
        <f t="shared" si="100"/>
        <v/>
      </c>
      <c r="G1640" s="39" t="str">
        <f t="shared" si="101"/>
        <v/>
      </c>
      <c r="H1640" s="39" t="str">
        <f t="shared" si="102"/>
        <v/>
      </c>
      <c r="I1640" s="39" t="str">
        <f t="shared" si="103"/>
        <v/>
      </c>
      <c r="J1640" s="39" t="str">
        <f>""</f>
        <v/>
      </c>
    </row>
    <row r="1641" spans="1:10">
      <c r="A1641" s="26" t="s">
        <v>1962</v>
      </c>
      <c r="E1641" s="26" t="s">
        <v>5581</v>
      </c>
      <c r="F1641" s="39" t="str">
        <f t="shared" si="100"/>
        <v/>
      </c>
      <c r="G1641" s="39" t="str">
        <f t="shared" si="101"/>
        <v/>
      </c>
      <c r="H1641" s="39" t="str">
        <f t="shared" si="102"/>
        <v/>
      </c>
      <c r="I1641" s="39" t="str">
        <f t="shared" si="103"/>
        <v/>
      </c>
      <c r="J1641" s="39" t="str">
        <f>""</f>
        <v/>
      </c>
    </row>
    <row r="1642" spans="1:10">
      <c r="A1642" s="26" t="s">
        <v>1964</v>
      </c>
      <c r="E1642" s="26" t="s">
        <v>5581</v>
      </c>
      <c r="F1642" s="39" t="str">
        <f t="shared" si="100"/>
        <v/>
      </c>
      <c r="G1642" s="39" t="str">
        <f t="shared" si="101"/>
        <v/>
      </c>
      <c r="H1642" s="39" t="str">
        <f t="shared" si="102"/>
        <v/>
      </c>
      <c r="I1642" s="39" t="str">
        <f t="shared" si="103"/>
        <v/>
      </c>
      <c r="J1642" s="39" t="str">
        <f>""</f>
        <v/>
      </c>
    </row>
    <row r="1643" spans="1:10">
      <c r="A1643" s="26" t="s">
        <v>1966</v>
      </c>
      <c r="E1643" s="26" t="s">
        <v>5581</v>
      </c>
      <c r="F1643" s="39" t="str">
        <f t="shared" si="100"/>
        <v/>
      </c>
      <c r="G1643" s="39" t="str">
        <f t="shared" si="101"/>
        <v/>
      </c>
      <c r="H1643" s="39" t="str">
        <f t="shared" si="102"/>
        <v/>
      </c>
      <c r="I1643" s="39" t="str">
        <f t="shared" si="103"/>
        <v/>
      </c>
      <c r="J1643" s="39" t="str">
        <f>""</f>
        <v/>
      </c>
    </row>
    <row r="1644" spans="1:10">
      <c r="A1644" s="26" t="s">
        <v>1968</v>
      </c>
      <c r="E1644" s="26" t="s">
        <v>5581</v>
      </c>
      <c r="F1644" s="39" t="str">
        <f t="shared" si="100"/>
        <v/>
      </c>
      <c r="G1644" s="39" t="str">
        <f t="shared" si="101"/>
        <v/>
      </c>
      <c r="H1644" s="39" t="str">
        <f t="shared" si="102"/>
        <v/>
      </c>
      <c r="I1644" s="39" t="str">
        <f t="shared" si="103"/>
        <v/>
      </c>
      <c r="J1644" s="39" t="str">
        <f>""</f>
        <v/>
      </c>
    </row>
    <row r="1645" spans="1:10">
      <c r="A1645" s="26" t="s">
        <v>1971</v>
      </c>
      <c r="E1645" s="26" t="s">
        <v>5581</v>
      </c>
      <c r="F1645" s="39" t="str">
        <f t="shared" si="100"/>
        <v/>
      </c>
      <c r="G1645" s="39" t="str">
        <f t="shared" si="101"/>
        <v/>
      </c>
      <c r="H1645" s="39" t="str">
        <f t="shared" si="102"/>
        <v/>
      </c>
      <c r="I1645" s="39" t="str">
        <f t="shared" si="103"/>
        <v/>
      </c>
      <c r="J1645" s="39" t="str">
        <f>""</f>
        <v/>
      </c>
    </row>
    <row r="1646" spans="1:10">
      <c r="A1646" s="26" t="s">
        <v>1972</v>
      </c>
      <c r="E1646" s="26" t="s">
        <v>5581</v>
      </c>
      <c r="F1646" s="39" t="str">
        <f t="shared" si="100"/>
        <v/>
      </c>
      <c r="G1646" s="39" t="str">
        <f t="shared" si="101"/>
        <v/>
      </c>
      <c r="H1646" s="39" t="str">
        <f t="shared" si="102"/>
        <v/>
      </c>
      <c r="I1646" s="39" t="str">
        <f t="shared" si="103"/>
        <v/>
      </c>
      <c r="J1646" s="39" t="str">
        <f>""</f>
        <v/>
      </c>
    </row>
    <row r="1647" spans="1:10">
      <c r="A1647" s="26" t="s">
        <v>1974</v>
      </c>
      <c r="E1647" s="26" t="s">
        <v>5581</v>
      </c>
      <c r="F1647" s="39" t="str">
        <f t="shared" si="100"/>
        <v/>
      </c>
      <c r="G1647" s="39" t="str">
        <f t="shared" si="101"/>
        <v/>
      </c>
      <c r="H1647" s="39" t="str">
        <f t="shared" si="102"/>
        <v/>
      </c>
      <c r="I1647" s="39" t="str">
        <f t="shared" si="103"/>
        <v/>
      </c>
      <c r="J1647" s="39" t="str">
        <f>""</f>
        <v/>
      </c>
    </row>
    <row r="1648" spans="1:10">
      <c r="A1648" s="26" t="s">
        <v>3165</v>
      </c>
      <c r="E1648" s="26" t="s">
        <v>5581</v>
      </c>
      <c r="F1648" s="39" t="str">
        <f t="shared" si="100"/>
        <v/>
      </c>
      <c r="G1648" s="39" t="str">
        <f t="shared" si="101"/>
        <v/>
      </c>
      <c r="H1648" s="39" t="str">
        <f t="shared" si="102"/>
        <v/>
      </c>
      <c r="I1648" s="39" t="str">
        <f t="shared" si="103"/>
        <v/>
      </c>
      <c r="J1648" s="39" t="str">
        <f>""</f>
        <v/>
      </c>
    </row>
    <row r="1649" spans="1:10">
      <c r="A1649" s="26" t="s">
        <v>3167</v>
      </c>
      <c r="E1649" s="26" t="s">
        <v>5581</v>
      </c>
      <c r="F1649" s="39" t="str">
        <f t="shared" si="100"/>
        <v/>
      </c>
      <c r="G1649" s="39" t="str">
        <f t="shared" si="101"/>
        <v/>
      </c>
      <c r="H1649" s="39" t="str">
        <f t="shared" si="102"/>
        <v/>
      </c>
      <c r="I1649" s="39" t="str">
        <f t="shared" si="103"/>
        <v/>
      </c>
      <c r="J1649" s="39" t="str">
        <f>""</f>
        <v/>
      </c>
    </row>
    <row r="1650" spans="1:10">
      <c r="A1650" s="26" t="s">
        <v>1975</v>
      </c>
      <c r="E1650" s="26" t="s">
        <v>5581</v>
      </c>
      <c r="F1650" s="39" t="str">
        <f t="shared" si="100"/>
        <v/>
      </c>
      <c r="G1650" s="39" t="str">
        <f t="shared" si="101"/>
        <v/>
      </c>
      <c r="H1650" s="39" t="str">
        <f t="shared" si="102"/>
        <v/>
      </c>
      <c r="I1650" s="39" t="str">
        <f t="shared" si="103"/>
        <v/>
      </c>
      <c r="J1650" s="39" t="str">
        <f>""</f>
        <v/>
      </c>
    </row>
    <row r="1651" spans="1:10">
      <c r="A1651" s="26" t="s">
        <v>1978</v>
      </c>
      <c r="E1651" s="26" t="s">
        <v>5581</v>
      </c>
      <c r="F1651" s="39" t="str">
        <f t="shared" si="100"/>
        <v/>
      </c>
      <c r="G1651" s="39" t="str">
        <f t="shared" si="101"/>
        <v/>
      </c>
      <c r="H1651" s="39" t="str">
        <f t="shared" si="102"/>
        <v/>
      </c>
      <c r="I1651" s="39" t="str">
        <f t="shared" si="103"/>
        <v/>
      </c>
      <c r="J1651" s="39" t="str">
        <f>""</f>
        <v/>
      </c>
    </row>
    <row r="1652" spans="1:10">
      <c r="A1652" s="26" t="s">
        <v>1979</v>
      </c>
      <c r="E1652" s="26" t="s">
        <v>5581</v>
      </c>
      <c r="F1652" s="39" t="str">
        <f t="shared" si="100"/>
        <v/>
      </c>
      <c r="G1652" s="39" t="str">
        <f t="shared" si="101"/>
        <v/>
      </c>
      <c r="H1652" s="39" t="str">
        <f t="shared" si="102"/>
        <v/>
      </c>
      <c r="I1652" s="39" t="str">
        <f t="shared" si="103"/>
        <v/>
      </c>
      <c r="J1652" s="39" t="str">
        <f>""</f>
        <v/>
      </c>
    </row>
    <row r="1653" spans="1:10">
      <c r="A1653" s="26" t="s">
        <v>1983</v>
      </c>
      <c r="E1653" s="26" t="s">
        <v>5581</v>
      </c>
      <c r="F1653" s="39" t="str">
        <f t="shared" si="100"/>
        <v/>
      </c>
      <c r="G1653" s="39" t="str">
        <f t="shared" si="101"/>
        <v/>
      </c>
      <c r="H1653" s="39" t="str">
        <f t="shared" si="102"/>
        <v/>
      </c>
      <c r="I1653" s="39" t="str">
        <f t="shared" si="103"/>
        <v/>
      </c>
      <c r="J1653" s="39" t="str">
        <f>""</f>
        <v/>
      </c>
    </row>
    <row r="1654" spans="1:10">
      <c r="A1654" s="26" t="s">
        <v>3168</v>
      </c>
      <c r="E1654" s="26" t="s">
        <v>5581</v>
      </c>
      <c r="F1654" s="39" t="str">
        <f t="shared" si="100"/>
        <v/>
      </c>
      <c r="G1654" s="39" t="str">
        <f t="shared" si="101"/>
        <v/>
      </c>
      <c r="H1654" s="39" t="str">
        <f t="shared" si="102"/>
        <v/>
      </c>
      <c r="I1654" s="39" t="str">
        <f t="shared" si="103"/>
        <v/>
      </c>
      <c r="J1654" s="39" t="str">
        <f>""</f>
        <v/>
      </c>
    </row>
    <row r="1655" spans="1:10">
      <c r="A1655" s="26" t="s">
        <v>3170</v>
      </c>
      <c r="E1655" s="26" t="s">
        <v>5581</v>
      </c>
      <c r="F1655" s="39" t="str">
        <f t="shared" si="100"/>
        <v/>
      </c>
      <c r="G1655" s="39" t="str">
        <f t="shared" si="101"/>
        <v/>
      </c>
      <c r="H1655" s="39" t="str">
        <f t="shared" si="102"/>
        <v/>
      </c>
      <c r="I1655" s="39" t="str">
        <f t="shared" si="103"/>
        <v/>
      </c>
      <c r="J1655" s="39" t="str">
        <f>""</f>
        <v/>
      </c>
    </row>
    <row r="1656" spans="1:10">
      <c r="A1656" s="26" t="s">
        <v>1984</v>
      </c>
      <c r="E1656" s="26" t="s">
        <v>5581</v>
      </c>
      <c r="F1656" s="39" t="str">
        <f t="shared" si="100"/>
        <v/>
      </c>
      <c r="G1656" s="39" t="str">
        <f t="shared" si="101"/>
        <v/>
      </c>
      <c r="H1656" s="39" t="str">
        <f t="shared" si="102"/>
        <v/>
      </c>
      <c r="I1656" s="39" t="str">
        <f t="shared" si="103"/>
        <v/>
      </c>
      <c r="J1656" s="39" t="str">
        <f>""</f>
        <v/>
      </c>
    </row>
    <row r="1657" spans="1:10">
      <c r="A1657" s="26" t="s">
        <v>1987</v>
      </c>
      <c r="E1657" s="26" t="s">
        <v>5581</v>
      </c>
      <c r="F1657" s="39" t="str">
        <f t="shared" si="100"/>
        <v/>
      </c>
      <c r="G1657" s="39" t="str">
        <f t="shared" si="101"/>
        <v/>
      </c>
      <c r="H1657" s="39" t="str">
        <f t="shared" si="102"/>
        <v/>
      </c>
      <c r="I1657" s="39" t="str">
        <f t="shared" si="103"/>
        <v/>
      </c>
      <c r="J1657" s="39" t="str">
        <f>""</f>
        <v/>
      </c>
    </row>
    <row r="1658" spans="1:10">
      <c r="A1658" s="26" t="s">
        <v>1989</v>
      </c>
      <c r="E1658" s="26" t="s">
        <v>3790</v>
      </c>
      <c r="F1658" s="39" t="str">
        <f t="shared" si="100"/>
        <v/>
      </c>
      <c r="G1658" s="39" t="str">
        <f t="shared" si="101"/>
        <v/>
      </c>
      <c r="H1658" s="39" t="str">
        <f t="shared" si="102"/>
        <v/>
      </c>
      <c r="I1658" s="39" t="str">
        <f t="shared" si="103"/>
        <v/>
      </c>
      <c r="J1658" s="39" t="str">
        <f>""</f>
        <v/>
      </c>
    </row>
    <row r="1659" spans="1:10">
      <c r="A1659" s="26" t="s">
        <v>1992</v>
      </c>
      <c r="E1659" s="26" t="s">
        <v>3790</v>
      </c>
      <c r="F1659" s="39" t="str">
        <f t="shared" si="100"/>
        <v/>
      </c>
      <c r="G1659" s="39" t="str">
        <f t="shared" si="101"/>
        <v/>
      </c>
      <c r="H1659" s="39" t="str">
        <f t="shared" si="102"/>
        <v/>
      </c>
      <c r="I1659" s="39" t="str">
        <f t="shared" si="103"/>
        <v/>
      </c>
      <c r="J1659" s="39" t="str">
        <f>""</f>
        <v/>
      </c>
    </row>
    <row r="1660" spans="1:10">
      <c r="A1660" s="26" t="s">
        <v>1993</v>
      </c>
      <c r="E1660" s="26" t="s">
        <v>5581</v>
      </c>
      <c r="F1660" s="39" t="str">
        <f t="shared" si="100"/>
        <v/>
      </c>
      <c r="G1660" s="39" t="str">
        <f t="shared" si="101"/>
        <v/>
      </c>
      <c r="H1660" s="39" t="str">
        <f t="shared" si="102"/>
        <v/>
      </c>
      <c r="I1660" s="39" t="str">
        <f t="shared" si="103"/>
        <v/>
      </c>
      <c r="J1660" s="39" t="str">
        <f>""</f>
        <v/>
      </c>
    </row>
    <row r="1661" spans="1:10">
      <c r="A1661" s="26" t="s">
        <v>1996</v>
      </c>
      <c r="E1661" s="26" t="s">
        <v>5581</v>
      </c>
      <c r="F1661" s="39" t="str">
        <f t="shared" si="100"/>
        <v/>
      </c>
      <c r="G1661" s="39" t="str">
        <f t="shared" si="101"/>
        <v/>
      </c>
      <c r="H1661" s="39" t="str">
        <f t="shared" si="102"/>
        <v/>
      </c>
      <c r="I1661" s="39" t="str">
        <f t="shared" si="103"/>
        <v/>
      </c>
      <c r="J1661" s="39" t="str">
        <f>""</f>
        <v/>
      </c>
    </row>
    <row r="1662" spans="1:10">
      <c r="A1662" s="26" t="s">
        <v>1997</v>
      </c>
      <c r="E1662" s="26" t="s">
        <v>5581</v>
      </c>
      <c r="F1662" s="39" t="str">
        <f t="shared" si="100"/>
        <v/>
      </c>
      <c r="G1662" s="39" t="str">
        <f t="shared" si="101"/>
        <v/>
      </c>
      <c r="H1662" s="39" t="str">
        <f t="shared" si="102"/>
        <v/>
      </c>
      <c r="I1662" s="39" t="str">
        <f t="shared" si="103"/>
        <v/>
      </c>
      <c r="J1662" s="39" t="str">
        <f>""</f>
        <v/>
      </c>
    </row>
    <row r="1663" spans="1:10">
      <c r="A1663" s="26" t="s">
        <v>1999</v>
      </c>
      <c r="E1663" s="26" t="s">
        <v>5581</v>
      </c>
      <c r="F1663" s="39" t="str">
        <f t="shared" si="100"/>
        <v/>
      </c>
      <c r="G1663" s="39" t="str">
        <f t="shared" si="101"/>
        <v/>
      </c>
      <c r="H1663" s="39" t="str">
        <f t="shared" si="102"/>
        <v/>
      </c>
      <c r="I1663" s="39" t="str">
        <f t="shared" si="103"/>
        <v/>
      </c>
      <c r="J1663" s="39" t="str">
        <f>""</f>
        <v/>
      </c>
    </row>
    <row r="1664" spans="1:10">
      <c r="A1664" s="26" t="s">
        <v>2000</v>
      </c>
      <c r="E1664" s="26" t="s">
        <v>5581</v>
      </c>
      <c r="F1664" s="39" t="str">
        <f t="shared" si="100"/>
        <v/>
      </c>
      <c r="G1664" s="39" t="str">
        <f t="shared" si="101"/>
        <v/>
      </c>
      <c r="H1664" s="39" t="str">
        <f t="shared" si="102"/>
        <v/>
      </c>
      <c r="I1664" s="39" t="str">
        <f t="shared" si="103"/>
        <v/>
      </c>
      <c r="J1664" s="39" t="str">
        <f>""</f>
        <v/>
      </c>
    </row>
    <row r="1665" spans="1:10">
      <c r="A1665" s="26" t="s">
        <v>2002</v>
      </c>
      <c r="E1665" s="26" t="s">
        <v>5581</v>
      </c>
      <c r="F1665" s="39" t="str">
        <f t="shared" si="100"/>
        <v/>
      </c>
      <c r="G1665" s="39" t="str">
        <f t="shared" si="101"/>
        <v/>
      </c>
      <c r="H1665" s="39" t="str">
        <f t="shared" si="102"/>
        <v/>
      </c>
      <c r="I1665" s="39" t="str">
        <f t="shared" si="103"/>
        <v/>
      </c>
      <c r="J1665" s="39" t="str">
        <f>""</f>
        <v/>
      </c>
    </row>
    <row r="1666" spans="1:10">
      <c r="A1666" s="26" t="s">
        <v>2003</v>
      </c>
      <c r="E1666" s="26" t="s">
        <v>5581</v>
      </c>
      <c r="F1666" s="39" t="str">
        <f t="shared" si="100"/>
        <v/>
      </c>
      <c r="G1666" s="39" t="str">
        <f t="shared" si="101"/>
        <v/>
      </c>
      <c r="H1666" s="39" t="str">
        <f t="shared" si="102"/>
        <v/>
      </c>
      <c r="I1666" s="39" t="str">
        <f t="shared" si="103"/>
        <v/>
      </c>
      <c r="J1666" s="39" t="str">
        <f>""</f>
        <v/>
      </c>
    </row>
    <row r="1667" spans="1:10">
      <c r="A1667" s="26" t="s">
        <v>2006</v>
      </c>
      <c r="E1667" s="26" t="s">
        <v>5581</v>
      </c>
      <c r="F1667" s="39" t="str">
        <f t="shared" ref="F1667:F1730" si="104">IF(C1667="","",IF(C1667&lt;99,C1667,""))</f>
        <v/>
      </c>
      <c r="G1667" s="39" t="str">
        <f t="shared" ref="G1667:G1730" si="105">IF(OR(F1667&lt;&gt;"",D1667&lt;&gt;""),C1667,"")</f>
        <v/>
      </c>
      <c r="H1667" s="39" t="str">
        <f t="shared" ref="H1667:H1730" si="106">IF(C1667="","",C1667)</f>
        <v/>
      </c>
      <c r="I1667" s="39" t="str">
        <f t="shared" ref="I1667:I1730" si="107">IF(AND(C1667&lt;&gt;"",D1667&lt;&gt;""),C1667,"")</f>
        <v/>
      </c>
      <c r="J1667" s="39" t="str">
        <f>""</f>
        <v/>
      </c>
    </row>
    <row r="1668" spans="1:10">
      <c r="A1668" s="26" t="s">
        <v>3171</v>
      </c>
      <c r="E1668" s="26" t="s">
        <v>5581</v>
      </c>
      <c r="F1668" s="39" t="str">
        <f t="shared" si="104"/>
        <v/>
      </c>
      <c r="G1668" s="39" t="str">
        <f t="shared" si="105"/>
        <v/>
      </c>
      <c r="H1668" s="39" t="str">
        <f t="shared" si="106"/>
        <v/>
      </c>
      <c r="I1668" s="39" t="str">
        <f t="shared" si="107"/>
        <v/>
      </c>
      <c r="J1668" s="39" t="str">
        <f>""</f>
        <v/>
      </c>
    </row>
    <row r="1669" spans="1:10">
      <c r="A1669" s="26" t="s">
        <v>3173</v>
      </c>
      <c r="E1669" s="26" t="s">
        <v>5581</v>
      </c>
      <c r="F1669" s="39" t="str">
        <f t="shared" si="104"/>
        <v/>
      </c>
      <c r="G1669" s="39" t="str">
        <f t="shared" si="105"/>
        <v/>
      </c>
      <c r="H1669" s="39" t="str">
        <f t="shared" si="106"/>
        <v/>
      </c>
      <c r="I1669" s="39" t="str">
        <f t="shared" si="107"/>
        <v/>
      </c>
      <c r="J1669" s="39" t="str">
        <f>""</f>
        <v/>
      </c>
    </row>
    <row r="1670" spans="1:10">
      <c r="A1670" s="26" t="s">
        <v>2007</v>
      </c>
      <c r="E1670" s="26" t="s">
        <v>5581</v>
      </c>
      <c r="F1670" s="39" t="str">
        <f t="shared" si="104"/>
        <v/>
      </c>
      <c r="G1670" s="39" t="str">
        <f t="shared" si="105"/>
        <v/>
      </c>
      <c r="H1670" s="39" t="str">
        <f t="shared" si="106"/>
        <v/>
      </c>
      <c r="I1670" s="39" t="str">
        <f t="shared" si="107"/>
        <v/>
      </c>
      <c r="J1670" s="39" t="str">
        <f>""</f>
        <v/>
      </c>
    </row>
    <row r="1671" spans="1:10">
      <c r="A1671" s="26" t="s">
        <v>2009</v>
      </c>
      <c r="E1671" s="26" t="s">
        <v>5581</v>
      </c>
      <c r="F1671" s="39" t="str">
        <f t="shared" si="104"/>
        <v/>
      </c>
      <c r="G1671" s="39" t="str">
        <f t="shared" si="105"/>
        <v/>
      </c>
      <c r="H1671" s="39" t="str">
        <f t="shared" si="106"/>
        <v/>
      </c>
      <c r="I1671" s="39" t="str">
        <f t="shared" si="107"/>
        <v/>
      </c>
      <c r="J1671" s="39" t="str">
        <f>""</f>
        <v/>
      </c>
    </row>
    <row r="1672" spans="1:10">
      <c r="A1672" s="26" t="s">
        <v>2010</v>
      </c>
      <c r="E1672" s="26" t="s">
        <v>5581</v>
      </c>
      <c r="F1672" s="39" t="str">
        <f t="shared" si="104"/>
        <v/>
      </c>
      <c r="G1672" s="39" t="str">
        <f t="shared" si="105"/>
        <v/>
      </c>
      <c r="H1672" s="39" t="str">
        <f t="shared" si="106"/>
        <v/>
      </c>
      <c r="I1672" s="39" t="str">
        <f t="shared" si="107"/>
        <v/>
      </c>
      <c r="J1672" s="39" t="str">
        <f>""</f>
        <v/>
      </c>
    </row>
    <row r="1673" spans="1:10">
      <c r="A1673" s="26" t="s">
        <v>3174</v>
      </c>
      <c r="E1673" s="26" t="s">
        <v>5581</v>
      </c>
      <c r="F1673" s="39" t="str">
        <f t="shared" si="104"/>
        <v/>
      </c>
      <c r="G1673" s="39" t="str">
        <f t="shared" si="105"/>
        <v/>
      </c>
      <c r="H1673" s="39" t="str">
        <f t="shared" si="106"/>
        <v/>
      </c>
      <c r="I1673" s="39" t="str">
        <f t="shared" si="107"/>
        <v/>
      </c>
      <c r="J1673" s="39" t="str">
        <f>""</f>
        <v/>
      </c>
    </row>
    <row r="1674" spans="1:10">
      <c r="A1674" s="26" t="s">
        <v>3177</v>
      </c>
      <c r="E1674" s="26" t="s">
        <v>5581</v>
      </c>
      <c r="F1674" s="39" t="str">
        <f t="shared" si="104"/>
        <v/>
      </c>
      <c r="G1674" s="39" t="str">
        <f t="shared" si="105"/>
        <v/>
      </c>
      <c r="H1674" s="39" t="str">
        <f t="shared" si="106"/>
        <v/>
      </c>
      <c r="I1674" s="39" t="str">
        <f t="shared" si="107"/>
        <v/>
      </c>
      <c r="J1674" s="39" t="str">
        <f>""</f>
        <v/>
      </c>
    </row>
    <row r="1675" spans="1:10">
      <c r="A1675" s="26" t="s">
        <v>3179</v>
      </c>
      <c r="E1675" s="26" t="s">
        <v>5581</v>
      </c>
      <c r="F1675" s="39" t="str">
        <f t="shared" si="104"/>
        <v/>
      </c>
      <c r="G1675" s="39" t="str">
        <f t="shared" si="105"/>
        <v/>
      </c>
      <c r="H1675" s="39" t="str">
        <f t="shared" si="106"/>
        <v/>
      </c>
      <c r="I1675" s="39" t="str">
        <f t="shared" si="107"/>
        <v/>
      </c>
      <c r="J1675" s="39" t="str">
        <f>""</f>
        <v/>
      </c>
    </row>
    <row r="1676" spans="1:10">
      <c r="A1676" s="26" t="s">
        <v>3182</v>
      </c>
      <c r="E1676" s="26" t="s">
        <v>5581</v>
      </c>
      <c r="F1676" s="39" t="str">
        <f t="shared" si="104"/>
        <v/>
      </c>
      <c r="G1676" s="39" t="str">
        <f t="shared" si="105"/>
        <v/>
      </c>
      <c r="H1676" s="39" t="str">
        <f t="shared" si="106"/>
        <v/>
      </c>
      <c r="I1676" s="39" t="str">
        <f t="shared" si="107"/>
        <v/>
      </c>
      <c r="J1676" s="39" t="str">
        <f>""</f>
        <v/>
      </c>
    </row>
    <row r="1677" spans="1:10">
      <c r="A1677" s="26" t="s">
        <v>3184</v>
      </c>
      <c r="E1677" s="26" t="s">
        <v>5581</v>
      </c>
      <c r="F1677" s="39" t="str">
        <f t="shared" si="104"/>
        <v/>
      </c>
      <c r="G1677" s="39" t="str">
        <f t="shared" si="105"/>
        <v/>
      </c>
      <c r="H1677" s="39" t="str">
        <f t="shared" si="106"/>
        <v/>
      </c>
      <c r="I1677" s="39" t="str">
        <f t="shared" si="107"/>
        <v/>
      </c>
      <c r="J1677" s="39" t="str">
        <f>""</f>
        <v/>
      </c>
    </row>
    <row r="1678" spans="1:10">
      <c r="A1678" s="26" t="s">
        <v>3186</v>
      </c>
      <c r="E1678" s="26" t="s">
        <v>5581</v>
      </c>
      <c r="F1678" s="39" t="str">
        <f t="shared" si="104"/>
        <v/>
      </c>
      <c r="G1678" s="39" t="str">
        <f t="shared" si="105"/>
        <v/>
      </c>
      <c r="H1678" s="39" t="str">
        <f t="shared" si="106"/>
        <v/>
      </c>
      <c r="I1678" s="39" t="str">
        <f t="shared" si="107"/>
        <v/>
      </c>
      <c r="J1678" s="39" t="str">
        <f>""</f>
        <v/>
      </c>
    </row>
    <row r="1679" spans="1:10">
      <c r="A1679" s="26" t="s">
        <v>3188</v>
      </c>
      <c r="E1679" s="26" t="s">
        <v>5581</v>
      </c>
      <c r="F1679" s="39" t="str">
        <f t="shared" si="104"/>
        <v/>
      </c>
      <c r="G1679" s="39" t="str">
        <f t="shared" si="105"/>
        <v/>
      </c>
      <c r="H1679" s="39" t="str">
        <f t="shared" si="106"/>
        <v/>
      </c>
      <c r="I1679" s="39" t="str">
        <f t="shared" si="107"/>
        <v/>
      </c>
      <c r="J1679" s="39" t="str">
        <f>""</f>
        <v/>
      </c>
    </row>
    <row r="1680" spans="1:10">
      <c r="A1680" s="26" t="s">
        <v>3191</v>
      </c>
      <c r="C1680" s="39">
        <v>25</v>
      </c>
      <c r="E1680" s="26" t="s">
        <v>5581</v>
      </c>
      <c r="F1680" s="39">
        <f t="shared" si="104"/>
        <v>25</v>
      </c>
      <c r="G1680" s="39">
        <f t="shared" si="105"/>
        <v>25</v>
      </c>
      <c r="H1680" s="39">
        <f t="shared" si="106"/>
        <v>25</v>
      </c>
      <c r="I1680" s="39" t="str">
        <f t="shared" si="107"/>
        <v/>
      </c>
      <c r="J1680" s="39" t="str">
        <f>""</f>
        <v/>
      </c>
    </row>
    <row r="1681" spans="1:10">
      <c r="A1681" s="26" t="s">
        <v>3193</v>
      </c>
      <c r="E1681" s="26" t="s">
        <v>5581</v>
      </c>
      <c r="F1681" s="39" t="str">
        <f t="shared" si="104"/>
        <v/>
      </c>
      <c r="G1681" s="39" t="str">
        <f t="shared" si="105"/>
        <v/>
      </c>
      <c r="H1681" s="39" t="str">
        <f t="shared" si="106"/>
        <v/>
      </c>
      <c r="I1681" s="39" t="str">
        <f t="shared" si="107"/>
        <v/>
      </c>
      <c r="J1681" s="39" t="str">
        <f>""</f>
        <v/>
      </c>
    </row>
    <row r="1682" spans="1:10">
      <c r="A1682" s="26" t="s">
        <v>3195</v>
      </c>
      <c r="E1682" s="26" t="s">
        <v>5581</v>
      </c>
      <c r="F1682" s="39" t="str">
        <f t="shared" si="104"/>
        <v/>
      </c>
      <c r="G1682" s="39" t="str">
        <f t="shared" si="105"/>
        <v/>
      </c>
      <c r="H1682" s="39" t="str">
        <f t="shared" si="106"/>
        <v/>
      </c>
      <c r="I1682" s="39" t="str">
        <f t="shared" si="107"/>
        <v/>
      </c>
      <c r="J1682" s="39" t="str">
        <f>""</f>
        <v/>
      </c>
    </row>
    <row r="1683" spans="1:10">
      <c r="A1683" s="26" t="s">
        <v>3196</v>
      </c>
      <c r="E1683" s="26" t="s">
        <v>5581</v>
      </c>
      <c r="F1683" s="39" t="str">
        <f t="shared" si="104"/>
        <v/>
      </c>
      <c r="G1683" s="39" t="str">
        <f t="shared" si="105"/>
        <v/>
      </c>
      <c r="H1683" s="39" t="str">
        <f t="shared" si="106"/>
        <v/>
      </c>
      <c r="I1683" s="39" t="str">
        <f t="shared" si="107"/>
        <v/>
      </c>
      <c r="J1683" s="39" t="str">
        <f>""</f>
        <v/>
      </c>
    </row>
    <row r="1684" spans="1:10">
      <c r="A1684" s="26" t="s">
        <v>3198</v>
      </c>
      <c r="E1684" s="26" t="s">
        <v>5581</v>
      </c>
      <c r="F1684" s="39" t="str">
        <f t="shared" si="104"/>
        <v/>
      </c>
      <c r="G1684" s="39" t="str">
        <f t="shared" si="105"/>
        <v/>
      </c>
      <c r="H1684" s="39" t="str">
        <f t="shared" si="106"/>
        <v/>
      </c>
      <c r="I1684" s="39" t="str">
        <f t="shared" si="107"/>
        <v/>
      </c>
      <c r="J1684" s="39" t="str">
        <f>""</f>
        <v/>
      </c>
    </row>
    <row r="1685" spans="1:10">
      <c r="A1685" s="26" t="s">
        <v>3200</v>
      </c>
      <c r="E1685" s="26" t="s">
        <v>5581</v>
      </c>
      <c r="F1685" s="39" t="str">
        <f t="shared" si="104"/>
        <v/>
      </c>
      <c r="G1685" s="39" t="str">
        <f t="shared" si="105"/>
        <v/>
      </c>
      <c r="H1685" s="39" t="str">
        <f t="shared" si="106"/>
        <v/>
      </c>
      <c r="I1685" s="39" t="str">
        <f t="shared" si="107"/>
        <v/>
      </c>
      <c r="J1685" s="39" t="str">
        <f>""</f>
        <v/>
      </c>
    </row>
    <row r="1686" spans="1:10">
      <c r="A1686" s="26" t="s">
        <v>3203</v>
      </c>
      <c r="E1686" s="26" t="s">
        <v>5581</v>
      </c>
      <c r="F1686" s="39" t="str">
        <f t="shared" si="104"/>
        <v/>
      </c>
      <c r="G1686" s="39" t="str">
        <f t="shared" si="105"/>
        <v/>
      </c>
      <c r="H1686" s="39" t="str">
        <f t="shared" si="106"/>
        <v/>
      </c>
      <c r="I1686" s="39" t="str">
        <f t="shared" si="107"/>
        <v/>
      </c>
      <c r="J1686" s="39" t="str">
        <f>""</f>
        <v/>
      </c>
    </row>
    <row r="1687" spans="1:10">
      <c r="A1687" s="26" t="s">
        <v>3205</v>
      </c>
      <c r="E1687" s="26" t="s">
        <v>5581</v>
      </c>
      <c r="F1687" s="39" t="str">
        <f t="shared" si="104"/>
        <v/>
      </c>
      <c r="G1687" s="39" t="str">
        <f t="shared" si="105"/>
        <v/>
      </c>
      <c r="H1687" s="39" t="str">
        <f t="shared" si="106"/>
        <v/>
      </c>
      <c r="I1687" s="39" t="str">
        <f t="shared" si="107"/>
        <v/>
      </c>
      <c r="J1687" s="39" t="str">
        <f>""</f>
        <v/>
      </c>
    </row>
    <row r="1688" spans="1:10">
      <c r="A1688" s="26" t="s">
        <v>3207</v>
      </c>
      <c r="E1688" s="26" t="s">
        <v>5581</v>
      </c>
      <c r="F1688" s="39" t="str">
        <f t="shared" si="104"/>
        <v/>
      </c>
      <c r="G1688" s="39" t="str">
        <f t="shared" si="105"/>
        <v/>
      </c>
      <c r="H1688" s="39" t="str">
        <f t="shared" si="106"/>
        <v/>
      </c>
      <c r="I1688" s="39" t="str">
        <f t="shared" si="107"/>
        <v/>
      </c>
      <c r="J1688" s="39" t="str">
        <f>""</f>
        <v/>
      </c>
    </row>
    <row r="1689" spans="1:10">
      <c r="A1689" s="26" t="s">
        <v>3209</v>
      </c>
      <c r="E1689" s="26" t="s">
        <v>5582</v>
      </c>
      <c r="F1689" s="39" t="str">
        <f t="shared" si="104"/>
        <v/>
      </c>
      <c r="G1689" s="39" t="str">
        <f t="shared" si="105"/>
        <v/>
      </c>
      <c r="H1689" s="39" t="str">
        <f t="shared" si="106"/>
        <v/>
      </c>
      <c r="I1689" s="39" t="str">
        <f t="shared" si="107"/>
        <v/>
      </c>
      <c r="J1689" s="39" t="str">
        <f>""</f>
        <v/>
      </c>
    </row>
    <row r="1690" spans="1:10">
      <c r="A1690" s="26" t="s">
        <v>3212</v>
      </c>
      <c r="E1690" s="26" t="s">
        <v>5582</v>
      </c>
      <c r="F1690" s="39" t="str">
        <f t="shared" si="104"/>
        <v/>
      </c>
      <c r="G1690" s="39" t="str">
        <f t="shared" si="105"/>
        <v/>
      </c>
      <c r="H1690" s="39" t="str">
        <f t="shared" si="106"/>
        <v/>
      </c>
      <c r="I1690" s="39" t="str">
        <f t="shared" si="107"/>
        <v/>
      </c>
      <c r="J1690" s="39" t="str">
        <f>""</f>
        <v/>
      </c>
    </row>
    <row r="1691" spans="1:10">
      <c r="A1691" s="26" t="s">
        <v>3214</v>
      </c>
      <c r="E1691" s="26" t="s">
        <v>3790</v>
      </c>
      <c r="F1691" s="39" t="str">
        <f t="shared" si="104"/>
        <v/>
      </c>
      <c r="G1691" s="39" t="str">
        <f t="shared" si="105"/>
        <v/>
      </c>
      <c r="H1691" s="39" t="str">
        <f t="shared" si="106"/>
        <v/>
      </c>
      <c r="I1691" s="39" t="str">
        <f t="shared" si="107"/>
        <v/>
      </c>
      <c r="J1691" s="39" t="str">
        <f>""</f>
        <v/>
      </c>
    </row>
    <row r="1692" spans="1:10">
      <c r="A1692" s="26" t="s">
        <v>3217</v>
      </c>
      <c r="E1692" s="26" t="s">
        <v>3790</v>
      </c>
      <c r="F1692" s="39" t="str">
        <f t="shared" si="104"/>
        <v/>
      </c>
      <c r="G1692" s="39" t="str">
        <f t="shared" si="105"/>
        <v/>
      </c>
      <c r="H1692" s="39" t="str">
        <f t="shared" si="106"/>
        <v/>
      </c>
      <c r="I1692" s="39" t="str">
        <f t="shared" si="107"/>
        <v/>
      </c>
      <c r="J1692" s="39" t="str">
        <f>""</f>
        <v/>
      </c>
    </row>
    <row r="1693" spans="1:10">
      <c r="A1693" s="26" t="s">
        <v>3218</v>
      </c>
      <c r="E1693" s="26" t="s">
        <v>5581</v>
      </c>
      <c r="F1693" s="39" t="str">
        <f t="shared" si="104"/>
        <v/>
      </c>
      <c r="G1693" s="39" t="str">
        <f t="shared" si="105"/>
        <v/>
      </c>
      <c r="H1693" s="39" t="str">
        <f t="shared" si="106"/>
        <v/>
      </c>
      <c r="I1693" s="39" t="str">
        <f t="shared" si="107"/>
        <v/>
      </c>
      <c r="J1693" s="39" t="str">
        <f>""</f>
        <v/>
      </c>
    </row>
    <row r="1694" spans="1:10">
      <c r="A1694" s="26" t="s">
        <v>3220</v>
      </c>
      <c r="E1694" s="26" t="s">
        <v>5581</v>
      </c>
      <c r="F1694" s="39" t="str">
        <f t="shared" si="104"/>
        <v/>
      </c>
      <c r="G1694" s="39" t="str">
        <f t="shared" si="105"/>
        <v/>
      </c>
      <c r="H1694" s="39" t="str">
        <f t="shared" si="106"/>
        <v/>
      </c>
      <c r="I1694" s="39" t="str">
        <f t="shared" si="107"/>
        <v/>
      </c>
      <c r="J1694" s="39" t="str">
        <f>""</f>
        <v/>
      </c>
    </row>
    <row r="1695" spans="1:10">
      <c r="A1695" s="26" t="s">
        <v>3221</v>
      </c>
      <c r="E1695" s="26" t="s">
        <v>5581</v>
      </c>
      <c r="F1695" s="39" t="str">
        <f t="shared" si="104"/>
        <v/>
      </c>
      <c r="G1695" s="39" t="str">
        <f t="shared" si="105"/>
        <v/>
      </c>
      <c r="H1695" s="39" t="str">
        <f t="shared" si="106"/>
        <v/>
      </c>
      <c r="I1695" s="39" t="str">
        <f t="shared" si="107"/>
        <v/>
      </c>
      <c r="J1695" s="39" t="str">
        <f>""</f>
        <v/>
      </c>
    </row>
    <row r="1696" spans="1:10">
      <c r="A1696" s="26" t="s">
        <v>3223</v>
      </c>
      <c r="E1696" s="26" t="s">
        <v>5581</v>
      </c>
      <c r="F1696" s="39" t="str">
        <f t="shared" si="104"/>
        <v/>
      </c>
      <c r="G1696" s="39" t="str">
        <f t="shared" si="105"/>
        <v/>
      </c>
      <c r="H1696" s="39" t="str">
        <f t="shared" si="106"/>
        <v/>
      </c>
      <c r="I1696" s="39" t="str">
        <f t="shared" si="107"/>
        <v/>
      </c>
      <c r="J1696" s="39" t="str">
        <f>""</f>
        <v/>
      </c>
    </row>
    <row r="1697" spans="1:10">
      <c r="A1697" s="26" t="s">
        <v>3224</v>
      </c>
      <c r="E1697" s="26" t="s">
        <v>5581</v>
      </c>
      <c r="F1697" s="39" t="str">
        <f t="shared" si="104"/>
        <v/>
      </c>
      <c r="G1697" s="39" t="str">
        <f t="shared" si="105"/>
        <v/>
      </c>
      <c r="H1697" s="39" t="str">
        <f t="shared" si="106"/>
        <v/>
      </c>
      <c r="I1697" s="39" t="str">
        <f t="shared" si="107"/>
        <v/>
      </c>
      <c r="J1697" s="39" t="str">
        <f>""</f>
        <v/>
      </c>
    </row>
    <row r="1698" spans="1:10">
      <c r="A1698" s="26" t="s">
        <v>3226</v>
      </c>
      <c r="E1698" s="26" t="s">
        <v>5581</v>
      </c>
      <c r="F1698" s="39" t="str">
        <f t="shared" si="104"/>
        <v/>
      </c>
      <c r="G1698" s="39" t="str">
        <f t="shared" si="105"/>
        <v/>
      </c>
      <c r="H1698" s="39" t="str">
        <f t="shared" si="106"/>
        <v/>
      </c>
      <c r="I1698" s="39" t="str">
        <f t="shared" si="107"/>
        <v/>
      </c>
      <c r="J1698" s="39" t="str">
        <f>""</f>
        <v/>
      </c>
    </row>
    <row r="1699" spans="1:10">
      <c r="A1699" s="26" t="s">
        <v>3227</v>
      </c>
      <c r="E1699" s="26" t="s">
        <v>5581</v>
      </c>
      <c r="F1699" s="39" t="str">
        <f t="shared" si="104"/>
        <v/>
      </c>
      <c r="G1699" s="39" t="str">
        <f t="shared" si="105"/>
        <v/>
      </c>
      <c r="H1699" s="39" t="str">
        <f t="shared" si="106"/>
        <v/>
      </c>
      <c r="I1699" s="39" t="str">
        <f t="shared" si="107"/>
        <v/>
      </c>
      <c r="J1699" s="39" t="str">
        <f>""</f>
        <v/>
      </c>
    </row>
    <row r="1700" spans="1:10">
      <c r="A1700" s="26" t="s">
        <v>3229</v>
      </c>
      <c r="E1700" s="26" t="s">
        <v>5581</v>
      </c>
      <c r="F1700" s="39" t="str">
        <f t="shared" si="104"/>
        <v/>
      </c>
      <c r="G1700" s="39" t="str">
        <f t="shared" si="105"/>
        <v/>
      </c>
      <c r="H1700" s="39" t="str">
        <f t="shared" si="106"/>
        <v/>
      </c>
      <c r="I1700" s="39" t="str">
        <f t="shared" si="107"/>
        <v/>
      </c>
      <c r="J1700" s="39" t="str">
        <f>""</f>
        <v/>
      </c>
    </row>
    <row r="1701" spans="1:10">
      <c r="A1701" s="26" t="s">
        <v>3230</v>
      </c>
      <c r="E1701" s="26" t="s">
        <v>5581</v>
      </c>
      <c r="F1701" s="39" t="str">
        <f t="shared" si="104"/>
        <v/>
      </c>
      <c r="G1701" s="39" t="str">
        <f t="shared" si="105"/>
        <v/>
      </c>
      <c r="H1701" s="39" t="str">
        <f t="shared" si="106"/>
        <v/>
      </c>
      <c r="I1701" s="39" t="str">
        <f t="shared" si="107"/>
        <v/>
      </c>
      <c r="J1701" s="39" t="str">
        <f>""</f>
        <v/>
      </c>
    </row>
    <row r="1702" spans="1:10">
      <c r="A1702" s="26" t="s">
        <v>3232</v>
      </c>
      <c r="E1702" s="26" t="s">
        <v>5581</v>
      </c>
      <c r="F1702" s="39" t="str">
        <f t="shared" si="104"/>
        <v/>
      </c>
      <c r="G1702" s="39" t="str">
        <f t="shared" si="105"/>
        <v/>
      </c>
      <c r="H1702" s="39" t="str">
        <f t="shared" si="106"/>
        <v/>
      </c>
      <c r="I1702" s="39" t="str">
        <f t="shared" si="107"/>
        <v/>
      </c>
      <c r="J1702" s="39" t="str">
        <f>""</f>
        <v/>
      </c>
    </row>
    <row r="1703" spans="1:10">
      <c r="A1703" s="26" t="s">
        <v>3233</v>
      </c>
      <c r="E1703" s="26" t="s">
        <v>5581</v>
      </c>
      <c r="F1703" s="39" t="str">
        <f t="shared" si="104"/>
        <v/>
      </c>
      <c r="G1703" s="39" t="str">
        <f t="shared" si="105"/>
        <v/>
      </c>
      <c r="H1703" s="39" t="str">
        <f t="shared" si="106"/>
        <v/>
      </c>
      <c r="I1703" s="39" t="str">
        <f t="shared" si="107"/>
        <v/>
      </c>
      <c r="J1703" s="39" t="str">
        <f>""</f>
        <v/>
      </c>
    </row>
    <row r="1704" spans="1:10">
      <c r="A1704" s="26" t="s">
        <v>3235</v>
      </c>
      <c r="E1704" s="26" t="s">
        <v>5581</v>
      </c>
      <c r="F1704" s="39" t="str">
        <f t="shared" si="104"/>
        <v/>
      </c>
      <c r="G1704" s="39" t="str">
        <f t="shared" si="105"/>
        <v/>
      </c>
      <c r="H1704" s="39" t="str">
        <f t="shared" si="106"/>
        <v/>
      </c>
      <c r="I1704" s="39" t="str">
        <f t="shared" si="107"/>
        <v/>
      </c>
      <c r="J1704" s="39" t="str">
        <f>""</f>
        <v/>
      </c>
    </row>
    <row r="1705" spans="1:10">
      <c r="A1705" s="26" t="s">
        <v>3236</v>
      </c>
      <c r="E1705" s="26" t="s">
        <v>5581</v>
      </c>
      <c r="F1705" s="39" t="str">
        <f t="shared" si="104"/>
        <v/>
      </c>
      <c r="G1705" s="39" t="str">
        <f t="shared" si="105"/>
        <v/>
      </c>
      <c r="H1705" s="39" t="str">
        <f t="shared" si="106"/>
        <v/>
      </c>
      <c r="I1705" s="39" t="str">
        <f t="shared" si="107"/>
        <v/>
      </c>
      <c r="J1705" s="39" t="str">
        <f>""</f>
        <v/>
      </c>
    </row>
    <row r="1706" spans="1:10">
      <c r="A1706" s="26" t="s">
        <v>3238</v>
      </c>
      <c r="E1706" s="26" t="s">
        <v>5581</v>
      </c>
      <c r="F1706" s="39" t="str">
        <f t="shared" si="104"/>
        <v/>
      </c>
      <c r="G1706" s="39" t="str">
        <f t="shared" si="105"/>
        <v/>
      </c>
      <c r="H1706" s="39" t="str">
        <f t="shared" si="106"/>
        <v/>
      </c>
      <c r="I1706" s="39" t="str">
        <f t="shared" si="107"/>
        <v/>
      </c>
      <c r="J1706" s="39" t="str">
        <f>""</f>
        <v/>
      </c>
    </row>
    <row r="1707" spans="1:10">
      <c r="A1707" s="26" t="s">
        <v>3239</v>
      </c>
      <c r="E1707" s="26" t="s">
        <v>5581</v>
      </c>
      <c r="F1707" s="39" t="str">
        <f t="shared" si="104"/>
        <v/>
      </c>
      <c r="G1707" s="39" t="str">
        <f t="shared" si="105"/>
        <v/>
      </c>
      <c r="H1707" s="39" t="str">
        <f t="shared" si="106"/>
        <v/>
      </c>
      <c r="I1707" s="39" t="str">
        <f t="shared" si="107"/>
        <v/>
      </c>
      <c r="J1707" s="39" t="str">
        <f>""</f>
        <v/>
      </c>
    </row>
    <row r="1708" spans="1:10">
      <c r="A1708" s="26" t="s">
        <v>3241</v>
      </c>
      <c r="E1708" s="26" t="s">
        <v>5581</v>
      </c>
      <c r="F1708" s="39" t="str">
        <f t="shared" si="104"/>
        <v/>
      </c>
      <c r="G1708" s="39" t="str">
        <f t="shared" si="105"/>
        <v/>
      </c>
      <c r="H1708" s="39" t="str">
        <f t="shared" si="106"/>
        <v/>
      </c>
      <c r="I1708" s="39" t="str">
        <f t="shared" si="107"/>
        <v/>
      </c>
      <c r="J1708" s="39" t="str">
        <f>""</f>
        <v/>
      </c>
    </row>
    <row r="1709" spans="1:10">
      <c r="A1709" s="26" t="s">
        <v>3242</v>
      </c>
      <c r="E1709" s="26" t="s">
        <v>5581</v>
      </c>
      <c r="F1709" s="39" t="str">
        <f t="shared" si="104"/>
        <v/>
      </c>
      <c r="G1709" s="39" t="str">
        <f t="shared" si="105"/>
        <v/>
      </c>
      <c r="H1709" s="39" t="str">
        <f t="shared" si="106"/>
        <v/>
      </c>
      <c r="I1709" s="39" t="str">
        <f t="shared" si="107"/>
        <v/>
      </c>
      <c r="J1709" s="39" t="str">
        <f>""</f>
        <v/>
      </c>
    </row>
    <row r="1710" spans="1:10">
      <c r="A1710" s="26" t="s">
        <v>3244</v>
      </c>
      <c r="C1710" s="39">
        <v>100</v>
      </c>
      <c r="E1710" s="26" t="s">
        <v>5581</v>
      </c>
      <c r="F1710" s="39" t="str">
        <f t="shared" si="104"/>
        <v/>
      </c>
      <c r="G1710" s="39" t="str">
        <f t="shared" si="105"/>
        <v/>
      </c>
      <c r="H1710" s="39">
        <f t="shared" si="106"/>
        <v>100</v>
      </c>
      <c r="I1710" s="39" t="str">
        <f t="shared" si="107"/>
        <v/>
      </c>
      <c r="J1710" s="39" t="str">
        <f>""</f>
        <v/>
      </c>
    </row>
    <row r="1711" spans="1:10">
      <c r="A1711" s="26" t="s">
        <v>3245</v>
      </c>
      <c r="E1711" s="26" t="s">
        <v>3790</v>
      </c>
      <c r="F1711" s="39" t="str">
        <f t="shared" si="104"/>
        <v/>
      </c>
      <c r="G1711" s="39" t="str">
        <f t="shared" si="105"/>
        <v/>
      </c>
      <c r="H1711" s="39" t="str">
        <f t="shared" si="106"/>
        <v/>
      </c>
      <c r="I1711" s="39" t="str">
        <f t="shared" si="107"/>
        <v/>
      </c>
      <c r="J1711" s="39" t="str">
        <f>""</f>
        <v/>
      </c>
    </row>
    <row r="1712" spans="1:10">
      <c r="A1712" s="26" t="s">
        <v>3248</v>
      </c>
      <c r="E1712" s="26" t="s">
        <v>3790</v>
      </c>
      <c r="F1712" s="39" t="str">
        <f t="shared" si="104"/>
        <v/>
      </c>
      <c r="G1712" s="39" t="str">
        <f t="shared" si="105"/>
        <v/>
      </c>
      <c r="H1712" s="39" t="str">
        <f t="shared" si="106"/>
        <v/>
      </c>
      <c r="I1712" s="39" t="str">
        <f t="shared" si="107"/>
        <v/>
      </c>
      <c r="J1712" s="39" t="str">
        <f>""</f>
        <v/>
      </c>
    </row>
    <row r="1713" spans="1:10">
      <c r="A1713" s="26" t="s">
        <v>2011</v>
      </c>
      <c r="E1713" s="26" t="s">
        <v>5581</v>
      </c>
      <c r="F1713" s="39" t="str">
        <f t="shared" si="104"/>
        <v/>
      </c>
      <c r="G1713" s="39" t="str">
        <f t="shared" si="105"/>
        <v/>
      </c>
      <c r="H1713" s="39" t="str">
        <f t="shared" si="106"/>
        <v/>
      </c>
      <c r="I1713" s="39" t="str">
        <f t="shared" si="107"/>
        <v/>
      </c>
      <c r="J1713" s="39" t="str">
        <f>""</f>
        <v/>
      </c>
    </row>
    <row r="1714" spans="1:10">
      <c r="A1714" s="26" t="s">
        <v>2013</v>
      </c>
      <c r="E1714" s="26" t="s">
        <v>5581</v>
      </c>
      <c r="F1714" s="39" t="str">
        <f t="shared" si="104"/>
        <v/>
      </c>
      <c r="G1714" s="39" t="str">
        <f t="shared" si="105"/>
        <v/>
      </c>
      <c r="H1714" s="39" t="str">
        <f t="shared" si="106"/>
        <v/>
      </c>
      <c r="I1714" s="39" t="str">
        <f t="shared" si="107"/>
        <v/>
      </c>
      <c r="J1714" s="39" t="str">
        <f>""</f>
        <v/>
      </c>
    </row>
    <row r="1715" spans="1:10">
      <c r="A1715" s="26" t="s">
        <v>2014</v>
      </c>
      <c r="E1715" s="26" t="s">
        <v>5581</v>
      </c>
      <c r="F1715" s="39" t="str">
        <f t="shared" si="104"/>
        <v/>
      </c>
      <c r="G1715" s="39" t="str">
        <f t="shared" si="105"/>
        <v/>
      </c>
      <c r="H1715" s="39" t="str">
        <f t="shared" si="106"/>
        <v/>
      </c>
      <c r="I1715" s="39" t="str">
        <f t="shared" si="107"/>
        <v/>
      </c>
      <c r="J1715" s="39" t="str">
        <f>""</f>
        <v/>
      </c>
    </row>
    <row r="1716" spans="1:10">
      <c r="A1716" s="26" t="s">
        <v>2016</v>
      </c>
      <c r="E1716" s="26" t="s">
        <v>5581</v>
      </c>
      <c r="F1716" s="39" t="str">
        <f t="shared" si="104"/>
        <v/>
      </c>
      <c r="G1716" s="39" t="str">
        <f t="shared" si="105"/>
        <v/>
      </c>
      <c r="H1716" s="39" t="str">
        <f t="shared" si="106"/>
        <v/>
      </c>
      <c r="I1716" s="39" t="str">
        <f t="shared" si="107"/>
        <v/>
      </c>
      <c r="J1716" s="39" t="str">
        <f>""</f>
        <v/>
      </c>
    </row>
    <row r="1717" spans="1:10">
      <c r="A1717" s="26" t="s">
        <v>3251</v>
      </c>
      <c r="E1717" s="26" t="s">
        <v>5581</v>
      </c>
      <c r="F1717" s="39" t="str">
        <f t="shared" si="104"/>
        <v/>
      </c>
      <c r="G1717" s="39" t="str">
        <f t="shared" si="105"/>
        <v/>
      </c>
      <c r="H1717" s="39" t="str">
        <f t="shared" si="106"/>
        <v/>
      </c>
      <c r="I1717" s="39" t="str">
        <f t="shared" si="107"/>
        <v/>
      </c>
      <c r="J1717" s="39" t="str">
        <f>""</f>
        <v/>
      </c>
    </row>
    <row r="1718" spans="1:10">
      <c r="A1718" s="26" t="s">
        <v>3253</v>
      </c>
      <c r="E1718" s="26" t="s">
        <v>5581</v>
      </c>
      <c r="F1718" s="39" t="str">
        <f t="shared" si="104"/>
        <v/>
      </c>
      <c r="G1718" s="39" t="str">
        <f t="shared" si="105"/>
        <v/>
      </c>
      <c r="H1718" s="39" t="str">
        <f t="shared" si="106"/>
        <v/>
      </c>
      <c r="I1718" s="39" t="str">
        <f t="shared" si="107"/>
        <v/>
      </c>
      <c r="J1718" s="39" t="str">
        <f>""</f>
        <v/>
      </c>
    </row>
    <row r="1719" spans="1:10">
      <c r="A1719" s="26" t="s">
        <v>3254</v>
      </c>
      <c r="E1719" s="26" t="s">
        <v>5581</v>
      </c>
      <c r="F1719" s="39" t="str">
        <f t="shared" si="104"/>
        <v/>
      </c>
      <c r="G1719" s="39" t="str">
        <f t="shared" si="105"/>
        <v/>
      </c>
      <c r="H1719" s="39" t="str">
        <f t="shared" si="106"/>
        <v/>
      </c>
      <c r="I1719" s="39" t="str">
        <f t="shared" si="107"/>
        <v/>
      </c>
      <c r="J1719" s="39" t="str">
        <f>""</f>
        <v/>
      </c>
    </row>
    <row r="1720" spans="1:10">
      <c r="A1720" s="26" t="s">
        <v>3257</v>
      </c>
      <c r="E1720" s="26" t="s">
        <v>5581</v>
      </c>
      <c r="F1720" s="39" t="str">
        <f t="shared" si="104"/>
        <v/>
      </c>
      <c r="G1720" s="39" t="str">
        <f t="shared" si="105"/>
        <v/>
      </c>
      <c r="H1720" s="39" t="str">
        <f t="shared" si="106"/>
        <v/>
      </c>
      <c r="I1720" s="39" t="str">
        <f t="shared" si="107"/>
        <v/>
      </c>
      <c r="J1720" s="39" t="str">
        <f>""</f>
        <v/>
      </c>
    </row>
    <row r="1721" spans="1:10">
      <c r="A1721" s="26" t="s">
        <v>3260</v>
      </c>
      <c r="E1721" s="26" t="s">
        <v>5581</v>
      </c>
      <c r="F1721" s="39" t="str">
        <f t="shared" si="104"/>
        <v/>
      </c>
      <c r="G1721" s="39" t="str">
        <f t="shared" si="105"/>
        <v/>
      </c>
      <c r="H1721" s="39" t="str">
        <f t="shared" si="106"/>
        <v/>
      </c>
      <c r="I1721" s="39" t="str">
        <f t="shared" si="107"/>
        <v/>
      </c>
      <c r="J1721" s="39" t="str">
        <f>""</f>
        <v/>
      </c>
    </row>
    <row r="1722" spans="1:10">
      <c r="A1722" s="26" t="s">
        <v>3263</v>
      </c>
      <c r="C1722" s="39">
        <v>50</v>
      </c>
      <c r="E1722" s="26" t="s">
        <v>5581</v>
      </c>
      <c r="F1722" s="39">
        <f t="shared" si="104"/>
        <v>50</v>
      </c>
      <c r="G1722" s="39">
        <f t="shared" si="105"/>
        <v>50</v>
      </c>
      <c r="H1722" s="39">
        <f t="shared" si="106"/>
        <v>50</v>
      </c>
      <c r="I1722" s="39" t="str">
        <f t="shared" si="107"/>
        <v/>
      </c>
      <c r="J1722" s="39" t="str">
        <f>""</f>
        <v/>
      </c>
    </row>
    <row r="1723" spans="1:10">
      <c r="A1723" s="26" t="s">
        <v>3265</v>
      </c>
      <c r="E1723" s="26" t="s">
        <v>5581</v>
      </c>
      <c r="F1723" s="39" t="str">
        <f t="shared" si="104"/>
        <v/>
      </c>
      <c r="G1723" s="39" t="str">
        <f t="shared" si="105"/>
        <v/>
      </c>
      <c r="H1723" s="39" t="str">
        <f t="shared" si="106"/>
        <v/>
      </c>
      <c r="I1723" s="39" t="str">
        <f t="shared" si="107"/>
        <v/>
      </c>
      <c r="J1723" s="39" t="str">
        <f>""</f>
        <v/>
      </c>
    </row>
    <row r="1724" spans="1:10">
      <c r="A1724" s="26" t="s">
        <v>3267</v>
      </c>
      <c r="E1724" s="26" t="s">
        <v>5581</v>
      </c>
      <c r="F1724" s="39" t="str">
        <f t="shared" si="104"/>
        <v/>
      </c>
      <c r="G1724" s="39" t="str">
        <f t="shared" si="105"/>
        <v/>
      </c>
      <c r="H1724" s="39" t="str">
        <f t="shared" si="106"/>
        <v/>
      </c>
      <c r="I1724" s="39" t="str">
        <f t="shared" si="107"/>
        <v/>
      </c>
      <c r="J1724" s="39" t="str">
        <f>""</f>
        <v/>
      </c>
    </row>
    <row r="1725" spans="1:10">
      <c r="A1725" s="26" t="s">
        <v>3269</v>
      </c>
      <c r="E1725" s="26" t="s">
        <v>5581</v>
      </c>
      <c r="F1725" s="39" t="str">
        <f t="shared" si="104"/>
        <v/>
      </c>
      <c r="G1725" s="39" t="str">
        <f t="shared" si="105"/>
        <v/>
      </c>
      <c r="H1725" s="39" t="str">
        <f t="shared" si="106"/>
        <v/>
      </c>
      <c r="I1725" s="39" t="str">
        <f t="shared" si="107"/>
        <v/>
      </c>
      <c r="J1725" s="39" t="str">
        <f>""</f>
        <v/>
      </c>
    </row>
    <row r="1726" spans="1:10">
      <c r="A1726" s="26" t="s">
        <v>3271</v>
      </c>
      <c r="E1726" s="26" t="s">
        <v>5581</v>
      </c>
      <c r="F1726" s="39" t="str">
        <f t="shared" si="104"/>
        <v/>
      </c>
      <c r="G1726" s="39" t="str">
        <f t="shared" si="105"/>
        <v/>
      </c>
      <c r="H1726" s="39" t="str">
        <f t="shared" si="106"/>
        <v/>
      </c>
      <c r="I1726" s="39" t="str">
        <f t="shared" si="107"/>
        <v/>
      </c>
      <c r="J1726" s="39" t="str">
        <f>""</f>
        <v/>
      </c>
    </row>
    <row r="1727" spans="1:10">
      <c r="A1727" s="26" t="s">
        <v>3272</v>
      </c>
      <c r="E1727" s="26" t="s">
        <v>5581</v>
      </c>
      <c r="F1727" s="39" t="str">
        <f t="shared" si="104"/>
        <v/>
      </c>
      <c r="G1727" s="39" t="str">
        <f t="shared" si="105"/>
        <v/>
      </c>
      <c r="H1727" s="39" t="str">
        <f t="shared" si="106"/>
        <v/>
      </c>
      <c r="I1727" s="39" t="str">
        <f t="shared" si="107"/>
        <v/>
      </c>
      <c r="J1727" s="39" t="str">
        <f>""</f>
        <v/>
      </c>
    </row>
    <row r="1728" spans="1:10">
      <c r="A1728" s="26" t="s">
        <v>3274</v>
      </c>
      <c r="E1728" s="26" t="s">
        <v>5581</v>
      </c>
      <c r="F1728" s="39" t="str">
        <f t="shared" si="104"/>
        <v/>
      </c>
      <c r="G1728" s="39" t="str">
        <f t="shared" si="105"/>
        <v/>
      </c>
      <c r="H1728" s="39" t="str">
        <f t="shared" si="106"/>
        <v/>
      </c>
      <c r="I1728" s="39" t="str">
        <f t="shared" si="107"/>
        <v/>
      </c>
      <c r="J1728" s="39" t="str">
        <f>""</f>
        <v/>
      </c>
    </row>
    <row r="1729" spans="1:10">
      <c r="A1729" s="26" t="s">
        <v>2017</v>
      </c>
      <c r="E1729" s="26" t="s">
        <v>5581</v>
      </c>
      <c r="F1729" s="39" t="str">
        <f t="shared" si="104"/>
        <v/>
      </c>
      <c r="G1729" s="39" t="str">
        <f t="shared" si="105"/>
        <v/>
      </c>
      <c r="H1729" s="39" t="str">
        <f t="shared" si="106"/>
        <v/>
      </c>
      <c r="I1729" s="39" t="str">
        <f t="shared" si="107"/>
        <v/>
      </c>
      <c r="J1729" s="39" t="str">
        <f>""</f>
        <v/>
      </c>
    </row>
    <row r="1730" spans="1:10">
      <c r="A1730" s="26" t="s">
        <v>2019</v>
      </c>
      <c r="E1730" s="26" t="s">
        <v>5581</v>
      </c>
      <c r="F1730" s="39" t="str">
        <f t="shared" si="104"/>
        <v/>
      </c>
      <c r="G1730" s="39" t="str">
        <f t="shared" si="105"/>
        <v/>
      </c>
      <c r="H1730" s="39" t="str">
        <f t="shared" si="106"/>
        <v/>
      </c>
      <c r="I1730" s="39" t="str">
        <f t="shared" si="107"/>
        <v/>
      </c>
      <c r="J1730" s="39" t="str">
        <f>""</f>
        <v/>
      </c>
    </row>
    <row r="1731" spans="1:10">
      <c r="A1731" s="26" t="s">
        <v>3277</v>
      </c>
      <c r="E1731" s="26" t="s">
        <v>3790</v>
      </c>
      <c r="F1731" s="39" t="str">
        <f t="shared" ref="F1731:F1746" si="108">IF(C1731="","",IF(C1731&lt;99,C1731,""))</f>
        <v/>
      </c>
      <c r="G1731" s="39" t="str">
        <f t="shared" ref="G1731:G1746" si="109">IF(OR(F1731&lt;&gt;"",D1731&lt;&gt;""),C1731,"")</f>
        <v/>
      </c>
      <c r="H1731" s="39" t="str">
        <f t="shared" ref="H1731:H1746" si="110">IF(C1731="","",C1731)</f>
        <v/>
      </c>
      <c r="I1731" s="39" t="str">
        <f t="shared" ref="I1731:I1746" si="111">IF(AND(C1731&lt;&gt;"",D1731&lt;&gt;""),C1731,"")</f>
        <v/>
      </c>
      <c r="J1731" s="39" t="str">
        <f>""</f>
        <v/>
      </c>
    </row>
    <row r="1732" spans="1:10">
      <c r="A1732" s="26" t="s">
        <v>3280</v>
      </c>
      <c r="E1732" s="26" t="s">
        <v>3790</v>
      </c>
      <c r="F1732" s="39" t="str">
        <f t="shared" si="108"/>
        <v/>
      </c>
      <c r="G1732" s="39" t="str">
        <f t="shared" si="109"/>
        <v/>
      </c>
      <c r="H1732" s="39" t="str">
        <f t="shared" si="110"/>
        <v/>
      </c>
      <c r="I1732" s="39" t="str">
        <f t="shared" si="111"/>
        <v/>
      </c>
      <c r="J1732" s="39" t="str">
        <f>""</f>
        <v/>
      </c>
    </row>
    <row r="1733" spans="1:10">
      <c r="A1733" s="26" t="s">
        <v>3283</v>
      </c>
      <c r="E1733" s="26" t="s">
        <v>3790</v>
      </c>
      <c r="F1733" s="39" t="str">
        <f t="shared" si="108"/>
        <v/>
      </c>
      <c r="G1733" s="39" t="str">
        <f t="shared" si="109"/>
        <v/>
      </c>
      <c r="H1733" s="39" t="str">
        <f t="shared" si="110"/>
        <v/>
      </c>
      <c r="I1733" s="39" t="str">
        <f t="shared" si="111"/>
        <v/>
      </c>
      <c r="J1733" s="39" t="str">
        <f>""</f>
        <v/>
      </c>
    </row>
    <row r="1734" spans="1:10">
      <c r="A1734" s="26" t="s">
        <v>3284</v>
      </c>
      <c r="E1734" s="26" t="s">
        <v>5581</v>
      </c>
      <c r="F1734" s="39" t="str">
        <f t="shared" si="108"/>
        <v/>
      </c>
      <c r="G1734" s="39" t="str">
        <f t="shared" si="109"/>
        <v/>
      </c>
      <c r="H1734" s="39" t="str">
        <f t="shared" si="110"/>
        <v/>
      </c>
      <c r="I1734" s="39" t="str">
        <f t="shared" si="111"/>
        <v/>
      </c>
      <c r="J1734" s="39" t="str">
        <f>""</f>
        <v/>
      </c>
    </row>
    <row r="1735" spans="1:10">
      <c r="A1735" s="26" t="s">
        <v>3287</v>
      </c>
      <c r="E1735" s="26" t="s">
        <v>5581</v>
      </c>
      <c r="F1735" s="39" t="str">
        <f t="shared" si="108"/>
        <v/>
      </c>
      <c r="G1735" s="39" t="str">
        <f t="shared" si="109"/>
        <v/>
      </c>
      <c r="H1735" s="39" t="str">
        <f t="shared" si="110"/>
        <v/>
      </c>
      <c r="I1735" s="39" t="str">
        <f t="shared" si="111"/>
        <v/>
      </c>
      <c r="J1735" s="39" t="str">
        <f>""</f>
        <v/>
      </c>
    </row>
    <row r="1736" spans="1:10">
      <c r="A1736" s="26" t="s">
        <v>3289</v>
      </c>
      <c r="E1736" s="26" t="s">
        <v>5581</v>
      </c>
      <c r="F1736" s="39" t="str">
        <f t="shared" si="108"/>
        <v/>
      </c>
      <c r="G1736" s="39" t="str">
        <f t="shared" si="109"/>
        <v/>
      </c>
      <c r="H1736" s="39" t="str">
        <f t="shared" si="110"/>
        <v/>
      </c>
      <c r="I1736" s="39" t="str">
        <f t="shared" si="111"/>
        <v/>
      </c>
      <c r="J1736" s="39" t="str">
        <f>""</f>
        <v/>
      </c>
    </row>
    <row r="1737" spans="1:10">
      <c r="A1737" s="26" t="s">
        <v>3292</v>
      </c>
      <c r="E1737" s="26" t="s">
        <v>5581</v>
      </c>
      <c r="F1737" s="39" t="str">
        <f t="shared" si="108"/>
        <v/>
      </c>
      <c r="G1737" s="39" t="str">
        <f t="shared" si="109"/>
        <v/>
      </c>
      <c r="H1737" s="39" t="str">
        <f t="shared" si="110"/>
        <v/>
      </c>
      <c r="I1737" s="39" t="str">
        <f t="shared" si="111"/>
        <v/>
      </c>
      <c r="J1737" s="39" t="str">
        <f>""</f>
        <v/>
      </c>
    </row>
    <row r="1738" spans="1:10">
      <c r="A1738" s="26" t="s">
        <v>3295</v>
      </c>
      <c r="E1738" s="26" t="s">
        <v>5581</v>
      </c>
      <c r="F1738" s="39" t="str">
        <f t="shared" si="108"/>
        <v/>
      </c>
      <c r="G1738" s="39" t="str">
        <f t="shared" si="109"/>
        <v/>
      </c>
      <c r="H1738" s="39" t="str">
        <f t="shared" si="110"/>
        <v/>
      </c>
      <c r="I1738" s="39" t="str">
        <f t="shared" si="111"/>
        <v/>
      </c>
      <c r="J1738" s="39" t="str">
        <f>""</f>
        <v/>
      </c>
    </row>
    <row r="1739" spans="1:10">
      <c r="A1739" s="26" t="s">
        <v>3298</v>
      </c>
      <c r="E1739" s="26" t="s">
        <v>5581</v>
      </c>
      <c r="F1739" s="39" t="str">
        <f t="shared" si="108"/>
        <v/>
      </c>
      <c r="G1739" s="39" t="str">
        <f t="shared" si="109"/>
        <v/>
      </c>
      <c r="H1739" s="39" t="str">
        <f t="shared" si="110"/>
        <v/>
      </c>
      <c r="I1739" s="39" t="str">
        <f t="shared" si="111"/>
        <v/>
      </c>
      <c r="J1739" s="39" t="str">
        <f>""</f>
        <v/>
      </c>
    </row>
    <row r="1740" spans="1:10">
      <c r="A1740" s="26" t="s">
        <v>3300</v>
      </c>
      <c r="E1740" s="26" t="s">
        <v>5581</v>
      </c>
      <c r="F1740" s="39" t="str">
        <f t="shared" si="108"/>
        <v/>
      </c>
      <c r="G1740" s="39" t="str">
        <f t="shared" si="109"/>
        <v/>
      </c>
      <c r="H1740" s="39" t="str">
        <f t="shared" si="110"/>
        <v/>
      </c>
      <c r="I1740" s="39" t="str">
        <f t="shared" si="111"/>
        <v/>
      </c>
      <c r="J1740" s="39" t="str">
        <f>""</f>
        <v/>
      </c>
    </row>
    <row r="1741" spans="1:10">
      <c r="A1741" s="26" t="s">
        <v>3301</v>
      </c>
      <c r="E1741" s="26" t="s">
        <v>5581</v>
      </c>
      <c r="F1741" s="39" t="str">
        <f t="shared" si="108"/>
        <v/>
      </c>
      <c r="G1741" s="39" t="str">
        <f t="shared" si="109"/>
        <v/>
      </c>
      <c r="H1741" s="39" t="str">
        <f t="shared" si="110"/>
        <v/>
      </c>
      <c r="I1741" s="39" t="str">
        <f t="shared" si="111"/>
        <v/>
      </c>
      <c r="J1741" s="39" t="str">
        <f>""</f>
        <v/>
      </c>
    </row>
    <row r="1742" spans="1:10">
      <c r="A1742" s="26" t="s">
        <v>3304</v>
      </c>
      <c r="E1742" s="26" t="s">
        <v>5581</v>
      </c>
      <c r="F1742" s="39" t="str">
        <f t="shared" si="108"/>
        <v/>
      </c>
      <c r="G1742" s="39" t="str">
        <f t="shared" si="109"/>
        <v/>
      </c>
      <c r="H1742" s="39" t="str">
        <f t="shared" si="110"/>
        <v/>
      </c>
      <c r="I1742" s="39" t="str">
        <f t="shared" si="111"/>
        <v/>
      </c>
      <c r="J1742" s="39" t="str">
        <f>""</f>
        <v/>
      </c>
    </row>
    <row r="1743" spans="1:10">
      <c r="A1743" s="26" t="s">
        <v>3307</v>
      </c>
      <c r="E1743" s="26" t="s">
        <v>5581</v>
      </c>
      <c r="F1743" s="39" t="str">
        <f t="shared" si="108"/>
        <v/>
      </c>
      <c r="G1743" s="39" t="str">
        <f t="shared" si="109"/>
        <v/>
      </c>
      <c r="H1743" s="39" t="str">
        <f t="shared" si="110"/>
        <v/>
      </c>
      <c r="I1743" s="39" t="str">
        <f t="shared" si="111"/>
        <v/>
      </c>
      <c r="J1743" s="39" t="str">
        <f>""</f>
        <v/>
      </c>
    </row>
    <row r="1744" spans="1:10">
      <c r="A1744" s="26" t="s">
        <v>3310</v>
      </c>
      <c r="E1744" s="26" t="s">
        <v>5581</v>
      </c>
      <c r="F1744" s="39" t="str">
        <f t="shared" si="108"/>
        <v/>
      </c>
      <c r="G1744" s="39" t="str">
        <f t="shared" si="109"/>
        <v/>
      </c>
      <c r="H1744" s="39" t="str">
        <f t="shared" si="110"/>
        <v/>
      </c>
      <c r="I1744" s="39" t="str">
        <f t="shared" si="111"/>
        <v/>
      </c>
      <c r="J1744" s="39" t="str">
        <f>""</f>
        <v/>
      </c>
    </row>
    <row r="1745" spans="1:10">
      <c r="A1745" s="26" t="s">
        <v>3311</v>
      </c>
      <c r="E1745" s="26" t="s">
        <v>5581</v>
      </c>
      <c r="F1745" s="39" t="str">
        <f t="shared" si="108"/>
        <v/>
      </c>
      <c r="G1745" s="39" t="str">
        <f t="shared" si="109"/>
        <v/>
      </c>
      <c r="H1745" s="39" t="str">
        <f t="shared" si="110"/>
        <v/>
      </c>
      <c r="I1745" s="39" t="str">
        <f t="shared" si="111"/>
        <v/>
      </c>
      <c r="J1745" s="39" t="str">
        <f>""</f>
        <v/>
      </c>
    </row>
    <row r="1746" spans="1:10">
      <c r="A1746" s="26" t="s">
        <v>3314</v>
      </c>
      <c r="E1746" s="26" t="s">
        <v>5581</v>
      </c>
      <c r="F1746" s="39" t="str">
        <f t="shared" si="108"/>
        <v/>
      </c>
      <c r="G1746" s="39" t="str">
        <f t="shared" si="109"/>
        <v/>
      </c>
      <c r="H1746" s="39" t="str">
        <f t="shared" si="110"/>
        <v/>
      </c>
      <c r="I1746" s="39" t="str">
        <f t="shared" si="111"/>
        <v/>
      </c>
      <c r="J1746" s="39" t="str">
        <f>""</f>
        <v/>
      </c>
    </row>
    <row r="1747" spans="1:10">
      <c r="C1747" s="39" t="s">
        <v>3790</v>
      </c>
      <c r="D1747" s="39" t="s">
        <v>3790</v>
      </c>
      <c r="E1747" s="26" t="s">
        <v>3790</v>
      </c>
      <c r="F1747" s="39" t="str">
        <f t="shared" ref="F1747:F1750" si="112">IF(C1747="","",IF(C1747&lt;99,C1747,""))</f>
        <v/>
      </c>
      <c r="G1747" s="39" t="str">
        <f t="shared" ref="G1747:G1750" si="113">IF(OR(F1747&lt;&gt;"",D1747&lt;&gt;""),C1747,"")</f>
        <v/>
      </c>
      <c r="H1747" s="39" t="str">
        <f t="shared" ref="H1747:H1750" si="114">IF(C1747="","",C1747)</f>
        <v/>
      </c>
      <c r="I1747" s="39" t="str">
        <f t="shared" ref="I1747:I1750" si="115">IF(AND(C1747&lt;&gt;"",D1747&lt;&gt;""),C1747,"")</f>
        <v/>
      </c>
      <c r="J1747" s="39" t="str">
        <f>""</f>
        <v/>
      </c>
    </row>
    <row r="1748" spans="1:10">
      <c r="C1748" s="39" t="s">
        <v>3790</v>
      </c>
      <c r="D1748" s="39" t="s">
        <v>3790</v>
      </c>
      <c r="E1748" s="26" t="s">
        <v>3790</v>
      </c>
      <c r="F1748" s="39" t="str">
        <f t="shared" si="112"/>
        <v/>
      </c>
      <c r="G1748" s="39" t="str">
        <f t="shared" si="113"/>
        <v/>
      </c>
      <c r="H1748" s="39" t="str">
        <f t="shared" si="114"/>
        <v/>
      </c>
      <c r="I1748" s="39" t="str">
        <f t="shared" si="115"/>
        <v/>
      </c>
      <c r="J1748" s="39" t="str">
        <f>""</f>
        <v/>
      </c>
    </row>
    <row r="1749" spans="1:10">
      <c r="C1749" s="39" t="s">
        <v>3790</v>
      </c>
      <c r="D1749" s="39" t="s">
        <v>3790</v>
      </c>
      <c r="E1749" s="26" t="s">
        <v>3790</v>
      </c>
      <c r="F1749" s="39" t="str">
        <f t="shared" si="112"/>
        <v/>
      </c>
      <c r="G1749" s="39" t="str">
        <f t="shared" si="113"/>
        <v/>
      </c>
      <c r="H1749" s="39" t="str">
        <f t="shared" si="114"/>
        <v/>
      </c>
      <c r="I1749" s="39" t="str">
        <f t="shared" si="115"/>
        <v/>
      </c>
      <c r="J1749" s="39" t="str">
        <f>""</f>
        <v/>
      </c>
    </row>
    <row r="1750" spans="1:10">
      <c r="C1750" s="39" t="s">
        <v>3790</v>
      </c>
      <c r="D1750" s="39" t="s">
        <v>3790</v>
      </c>
      <c r="E1750" s="26" t="s">
        <v>3790</v>
      </c>
      <c r="F1750" s="39" t="str">
        <f t="shared" si="112"/>
        <v/>
      </c>
      <c r="G1750" s="39" t="str">
        <f t="shared" si="113"/>
        <v/>
      </c>
      <c r="H1750" s="39" t="str">
        <f t="shared" si="114"/>
        <v/>
      </c>
      <c r="I1750" s="39" t="str">
        <f t="shared" si="115"/>
        <v/>
      </c>
      <c r="J1750" s="39" t="str">
        <f>""</f>
        <v/>
      </c>
    </row>
    <row r="1751" spans="1:10">
      <c r="C1751" s="39" t="s">
        <v>3790</v>
      </c>
      <c r="D1751" s="39" t="s">
        <v>3790</v>
      </c>
      <c r="E1751" s="26" t="s">
        <v>3790</v>
      </c>
      <c r="F1751" s="39" t="str">
        <f t="shared" ref="F1751:F1756" si="116">IF(C1751="","",IF(C1751&lt;99,C1751,""))</f>
        <v/>
      </c>
      <c r="G1751" s="39" t="str">
        <f t="shared" ref="G1751:G1756" si="117">IF(OR(F1751&lt;&gt;"",D1751&lt;&gt;""),C1751,"")</f>
        <v/>
      </c>
      <c r="H1751" s="39" t="str">
        <f t="shared" ref="H1751:H1756" si="118">IF(C1751="","",C1751)</f>
        <v/>
      </c>
      <c r="I1751" s="39" t="str">
        <f t="shared" ref="I1751:I1756" si="119">IF(AND(C1751&lt;&gt;"",D1751&lt;&gt;""),C1751,"")</f>
        <v/>
      </c>
      <c r="J1751" s="39" t="str">
        <f>""</f>
        <v/>
      </c>
    </row>
    <row r="1752" spans="1:10">
      <c r="C1752" s="39" t="s">
        <v>3790</v>
      </c>
      <c r="D1752" s="39" t="s">
        <v>3790</v>
      </c>
      <c r="E1752" s="26" t="s">
        <v>3790</v>
      </c>
      <c r="F1752" s="39" t="str">
        <f t="shared" si="116"/>
        <v/>
      </c>
      <c r="G1752" s="39" t="str">
        <f t="shared" si="117"/>
        <v/>
      </c>
      <c r="H1752" s="39" t="str">
        <f t="shared" si="118"/>
        <v/>
      </c>
      <c r="I1752" s="39" t="str">
        <f t="shared" si="119"/>
        <v/>
      </c>
      <c r="J1752" s="39" t="str">
        <f>""</f>
        <v/>
      </c>
    </row>
    <row r="1753" spans="1:10">
      <c r="C1753" s="39" t="s">
        <v>3790</v>
      </c>
      <c r="D1753" s="39" t="s">
        <v>3790</v>
      </c>
      <c r="E1753" s="26" t="s">
        <v>3790</v>
      </c>
      <c r="F1753" s="39" t="str">
        <f t="shared" si="116"/>
        <v/>
      </c>
      <c r="G1753" s="39" t="str">
        <f t="shared" si="117"/>
        <v/>
      </c>
      <c r="H1753" s="39" t="str">
        <f t="shared" si="118"/>
        <v/>
      </c>
      <c r="I1753" s="39" t="str">
        <f t="shared" si="119"/>
        <v/>
      </c>
      <c r="J1753" s="39" t="str">
        <f>""</f>
        <v/>
      </c>
    </row>
    <row r="1754" spans="1:10">
      <c r="C1754" s="39" t="s">
        <v>3790</v>
      </c>
      <c r="D1754" s="39" t="s">
        <v>3790</v>
      </c>
      <c r="E1754" s="26" t="s">
        <v>3790</v>
      </c>
      <c r="F1754" s="39" t="str">
        <f t="shared" si="116"/>
        <v/>
      </c>
      <c r="G1754" s="39" t="str">
        <f t="shared" si="117"/>
        <v/>
      </c>
      <c r="H1754" s="39" t="str">
        <f t="shared" si="118"/>
        <v/>
      </c>
      <c r="I1754" s="39" t="str">
        <f t="shared" si="119"/>
        <v/>
      </c>
      <c r="J1754" s="39" t="str">
        <f>""</f>
        <v/>
      </c>
    </row>
    <row r="1755" spans="1:10">
      <c r="C1755" s="39" t="s">
        <v>3790</v>
      </c>
      <c r="D1755" s="39" t="s">
        <v>3790</v>
      </c>
      <c r="E1755" s="26" t="s">
        <v>3790</v>
      </c>
      <c r="F1755" s="39" t="str">
        <f t="shared" si="116"/>
        <v/>
      </c>
      <c r="G1755" s="39" t="str">
        <f t="shared" si="117"/>
        <v/>
      </c>
      <c r="H1755" s="39" t="str">
        <f t="shared" si="118"/>
        <v/>
      </c>
      <c r="I1755" s="39" t="str">
        <f t="shared" si="119"/>
        <v/>
      </c>
      <c r="J1755" s="39" t="str">
        <f>""</f>
        <v/>
      </c>
    </row>
    <row r="1756" spans="1:10">
      <c r="C1756" s="39" t="s">
        <v>3790</v>
      </c>
      <c r="D1756" s="39" t="s">
        <v>3790</v>
      </c>
      <c r="E1756" s="26" t="s">
        <v>3790</v>
      </c>
      <c r="F1756" s="39" t="str">
        <f t="shared" si="116"/>
        <v/>
      </c>
      <c r="G1756" s="39" t="str">
        <f t="shared" si="117"/>
        <v/>
      </c>
      <c r="H1756" s="39" t="str">
        <f t="shared" si="118"/>
        <v/>
      </c>
      <c r="I1756" s="39" t="str">
        <f t="shared" si="119"/>
        <v/>
      </c>
      <c r="J1756" s="39" t="str">
        <f>""</f>
        <v/>
      </c>
    </row>
    <row r="1757" spans="1:10">
      <c r="C1757" s="39" t="s">
        <v>3790</v>
      </c>
      <c r="D1757" s="39" t="s">
        <v>3790</v>
      </c>
      <c r="E1757" s="26" t="s">
        <v>3790</v>
      </c>
      <c r="F1757" s="39" t="str">
        <f t="shared" ref="F1757:F1794" si="120">IF(C1757="","",IF(C1757&lt;99,C1757,""))</f>
        <v/>
      </c>
      <c r="G1757" s="39" t="str">
        <f t="shared" ref="G1757:G1794" si="121">IF(OR(F1757&lt;&gt;"",D1757&lt;&gt;""),C1757,"")</f>
        <v/>
      </c>
      <c r="H1757" s="39" t="str">
        <f t="shared" ref="H1757:H1794" si="122">IF(C1757="","",C1757)</f>
        <v/>
      </c>
      <c r="I1757" s="39" t="str">
        <f t="shared" ref="I1757:I1794" si="123">IF(AND(C1757&lt;&gt;"",D1757&lt;&gt;""),C1757,"")</f>
        <v/>
      </c>
      <c r="J1757" s="39" t="str">
        <f>""</f>
        <v/>
      </c>
    </row>
    <row r="1758" spans="1:10">
      <c r="C1758" s="39" t="s">
        <v>3790</v>
      </c>
      <c r="D1758" s="39" t="s">
        <v>3790</v>
      </c>
      <c r="E1758" s="26" t="s">
        <v>3790</v>
      </c>
      <c r="F1758" s="39" t="str">
        <f t="shared" si="120"/>
        <v/>
      </c>
      <c r="G1758" s="39" t="str">
        <f t="shared" si="121"/>
        <v/>
      </c>
      <c r="H1758" s="39" t="str">
        <f t="shared" si="122"/>
        <v/>
      </c>
      <c r="I1758" s="39" t="str">
        <f t="shared" si="123"/>
        <v/>
      </c>
      <c r="J1758" s="39" t="str">
        <f>""</f>
        <v/>
      </c>
    </row>
    <row r="1759" spans="1:10">
      <c r="C1759" s="39" t="s">
        <v>3790</v>
      </c>
      <c r="D1759" s="39" t="s">
        <v>3790</v>
      </c>
      <c r="E1759" s="26" t="s">
        <v>3790</v>
      </c>
      <c r="F1759" s="39" t="str">
        <f t="shared" si="120"/>
        <v/>
      </c>
      <c r="G1759" s="39" t="str">
        <f t="shared" si="121"/>
        <v/>
      </c>
      <c r="H1759" s="39" t="str">
        <f t="shared" si="122"/>
        <v/>
      </c>
      <c r="I1759" s="39" t="str">
        <f t="shared" si="123"/>
        <v/>
      </c>
      <c r="J1759" s="39" t="str">
        <f>""</f>
        <v/>
      </c>
    </row>
    <row r="1760" spans="1:10">
      <c r="C1760" s="39" t="s">
        <v>3790</v>
      </c>
      <c r="D1760" s="39" t="s">
        <v>3790</v>
      </c>
      <c r="E1760" s="26" t="s">
        <v>3790</v>
      </c>
      <c r="F1760" s="39" t="str">
        <f t="shared" si="120"/>
        <v/>
      </c>
      <c r="G1760" s="39" t="str">
        <f t="shared" si="121"/>
        <v/>
      </c>
      <c r="H1760" s="39" t="str">
        <f t="shared" si="122"/>
        <v/>
      </c>
      <c r="I1760" s="39" t="str">
        <f t="shared" si="123"/>
        <v/>
      </c>
      <c r="J1760" s="39" t="str">
        <f>""</f>
        <v/>
      </c>
    </row>
    <row r="1761" spans="3:10">
      <c r="C1761" s="39" t="s">
        <v>3790</v>
      </c>
      <c r="D1761" s="39" t="s">
        <v>3790</v>
      </c>
      <c r="E1761" s="26" t="s">
        <v>3790</v>
      </c>
      <c r="F1761" s="39" t="str">
        <f t="shared" si="120"/>
        <v/>
      </c>
      <c r="G1761" s="39" t="str">
        <f t="shared" si="121"/>
        <v/>
      </c>
      <c r="H1761" s="39" t="str">
        <f t="shared" si="122"/>
        <v/>
      </c>
      <c r="I1761" s="39" t="str">
        <f t="shared" si="123"/>
        <v/>
      </c>
      <c r="J1761" s="39" t="str">
        <f>""</f>
        <v/>
      </c>
    </row>
    <row r="1762" spans="3:10">
      <c r="C1762" s="39" t="s">
        <v>3790</v>
      </c>
      <c r="D1762" s="39" t="s">
        <v>3790</v>
      </c>
      <c r="E1762" s="26" t="s">
        <v>3790</v>
      </c>
      <c r="F1762" s="39" t="str">
        <f t="shared" si="120"/>
        <v/>
      </c>
      <c r="G1762" s="39" t="str">
        <f t="shared" si="121"/>
        <v/>
      </c>
      <c r="H1762" s="39" t="str">
        <f t="shared" si="122"/>
        <v/>
      </c>
      <c r="I1762" s="39" t="str">
        <f t="shared" si="123"/>
        <v/>
      </c>
      <c r="J1762" s="39" t="str">
        <f>""</f>
        <v/>
      </c>
    </row>
    <row r="1763" spans="3:10">
      <c r="C1763" s="39" t="s">
        <v>3790</v>
      </c>
      <c r="D1763" s="39" t="s">
        <v>3790</v>
      </c>
      <c r="E1763" s="26" t="s">
        <v>3790</v>
      </c>
      <c r="F1763" s="39" t="str">
        <f t="shared" si="120"/>
        <v/>
      </c>
      <c r="G1763" s="39" t="str">
        <f t="shared" si="121"/>
        <v/>
      </c>
      <c r="H1763" s="39" t="str">
        <f t="shared" si="122"/>
        <v/>
      </c>
      <c r="I1763" s="39" t="str">
        <f t="shared" si="123"/>
        <v/>
      </c>
      <c r="J1763" s="39" t="str">
        <f>""</f>
        <v/>
      </c>
    </row>
    <row r="1764" spans="3:10">
      <c r="C1764" s="39" t="s">
        <v>3790</v>
      </c>
      <c r="D1764" s="39" t="s">
        <v>3790</v>
      </c>
      <c r="E1764" s="26" t="s">
        <v>3790</v>
      </c>
      <c r="F1764" s="39" t="str">
        <f t="shared" si="120"/>
        <v/>
      </c>
      <c r="G1764" s="39" t="str">
        <f t="shared" si="121"/>
        <v/>
      </c>
      <c r="H1764" s="39" t="str">
        <f t="shared" si="122"/>
        <v/>
      </c>
      <c r="I1764" s="39" t="str">
        <f t="shared" si="123"/>
        <v/>
      </c>
      <c r="J1764" s="39" t="str">
        <f>""</f>
        <v/>
      </c>
    </row>
    <row r="1765" spans="3:10">
      <c r="C1765" s="39" t="s">
        <v>3790</v>
      </c>
      <c r="D1765" s="39" t="s">
        <v>3790</v>
      </c>
      <c r="E1765" s="26" t="s">
        <v>3790</v>
      </c>
      <c r="F1765" s="39" t="str">
        <f t="shared" si="120"/>
        <v/>
      </c>
      <c r="G1765" s="39" t="str">
        <f t="shared" si="121"/>
        <v/>
      </c>
      <c r="H1765" s="39" t="str">
        <f t="shared" si="122"/>
        <v/>
      </c>
      <c r="I1765" s="39" t="str">
        <f t="shared" si="123"/>
        <v/>
      </c>
      <c r="J1765" s="39" t="str">
        <f>""</f>
        <v/>
      </c>
    </row>
    <row r="1766" spans="3:10">
      <c r="C1766" s="39" t="s">
        <v>3790</v>
      </c>
      <c r="D1766" s="39" t="s">
        <v>3790</v>
      </c>
      <c r="E1766" s="26" t="s">
        <v>3790</v>
      </c>
      <c r="F1766" s="39" t="str">
        <f t="shared" si="120"/>
        <v/>
      </c>
      <c r="G1766" s="39" t="str">
        <f t="shared" si="121"/>
        <v/>
      </c>
      <c r="H1766" s="39" t="str">
        <f t="shared" si="122"/>
        <v/>
      </c>
      <c r="I1766" s="39" t="str">
        <f t="shared" si="123"/>
        <v/>
      </c>
      <c r="J1766" s="39" t="str">
        <f>""</f>
        <v/>
      </c>
    </row>
    <row r="1767" spans="3:10">
      <c r="C1767" s="39" t="s">
        <v>3790</v>
      </c>
      <c r="D1767" s="39" t="s">
        <v>3790</v>
      </c>
      <c r="E1767" s="26" t="s">
        <v>3790</v>
      </c>
      <c r="F1767" s="39" t="str">
        <f t="shared" si="120"/>
        <v/>
      </c>
      <c r="G1767" s="39" t="str">
        <f t="shared" si="121"/>
        <v/>
      </c>
      <c r="H1767" s="39" t="str">
        <f t="shared" si="122"/>
        <v/>
      </c>
      <c r="I1767" s="39" t="str">
        <f t="shared" si="123"/>
        <v/>
      </c>
      <c r="J1767" s="39" t="str">
        <f>""</f>
        <v/>
      </c>
    </row>
    <row r="1768" spans="3:10">
      <c r="C1768" s="39" t="s">
        <v>3790</v>
      </c>
      <c r="D1768" s="39" t="s">
        <v>3790</v>
      </c>
      <c r="E1768" s="26" t="s">
        <v>3790</v>
      </c>
      <c r="F1768" s="39" t="str">
        <f t="shared" si="120"/>
        <v/>
      </c>
      <c r="G1768" s="39" t="str">
        <f t="shared" si="121"/>
        <v/>
      </c>
      <c r="H1768" s="39" t="str">
        <f t="shared" si="122"/>
        <v/>
      </c>
      <c r="I1768" s="39" t="str">
        <f t="shared" si="123"/>
        <v/>
      </c>
      <c r="J1768" s="39" t="str">
        <f>""</f>
        <v/>
      </c>
    </row>
    <row r="1769" spans="3:10">
      <c r="C1769" s="39" t="s">
        <v>3790</v>
      </c>
      <c r="D1769" s="39" t="s">
        <v>3790</v>
      </c>
      <c r="E1769" s="26" t="s">
        <v>3790</v>
      </c>
      <c r="F1769" s="39" t="str">
        <f t="shared" si="120"/>
        <v/>
      </c>
      <c r="G1769" s="39" t="str">
        <f t="shared" si="121"/>
        <v/>
      </c>
      <c r="H1769" s="39" t="str">
        <f t="shared" si="122"/>
        <v/>
      </c>
      <c r="I1769" s="39" t="str">
        <f t="shared" si="123"/>
        <v/>
      </c>
      <c r="J1769" s="39" t="str">
        <f>""</f>
        <v/>
      </c>
    </row>
    <row r="1770" spans="3:10">
      <c r="C1770" s="39" t="s">
        <v>3790</v>
      </c>
      <c r="D1770" s="39" t="s">
        <v>3790</v>
      </c>
      <c r="E1770" s="26" t="s">
        <v>3790</v>
      </c>
      <c r="F1770" s="39" t="str">
        <f t="shared" si="120"/>
        <v/>
      </c>
      <c r="G1770" s="39" t="str">
        <f t="shared" si="121"/>
        <v/>
      </c>
      <c r="H1770" s="39" t="str">
        <f t="shared" si="122"/>
        <v/>
      </c>
      <c r="I1770" s="39" t="str">
        <f t="shared" si="123"/>
        <v/>
      </c>
      <c r="J1770" s="39" t="str">
        <f>""</f>
        <v/>
      </c>
    </row>
    <row r="1771" spans="3:10">
      <c r="C1771" s="39" t="s">
        <v>3790</v>
      </c>
      <c r="D1771" s="39" t="s">
        <v>3790</v>
      </c>
      <c r="E1771" s="26" t="s">
        <v>3790</v>
      </c>
      <c r="F1771" s="39" t="str">
        <f t="shared" si="120"/>
        <v/>
      </c>
      <c r="G1771" s="39" t="str">
        <f t="shared" si="121"/>
        <v/>
      </c>
      <c r="H1771" s="39" t="str">
        <f t="shared" si="122"/>
        <v/>
      </c>
      <c r="I1771" s="39" t="str">
        <f t="shared" si="123"/>
        <v/>
      </c>
      <c r="J1771" s="39" t="str">
        <f>""</f>
        <v/>
      </c>
    </row>
    <row r="1772" spans="3:10">
      <c r="C1772" s="39" t="s">
        <v>3790</v>
      </c>
      <c r="D1772" s="39" t="s">
        <v>3790</v>
      </c>
      <c r="E1772" s="26" t="s">
        <v>3790</v>
      </c>
      <c r="F1772" s="39" t="str">
        <f t="shared" si="120"/>
        <v/>
      </c>
      <c r="G1772" s="39" t="str">
        <f t="shared" si="121"/>
        <v/>
      </c>
      <c r="H1772" s="39" t="str">
        <f t="shared" si="122"/>
        <v/>
      </c>
      <c r="I1772" s="39" t="str">
        <f t="shared" si="123"/>
        <v/>
      </c>
      <c r="J1772" s="39" t="str">
        <f>""</f>
        <v/>
      </c>
    </row>
    <row r="1773" spans="3:10">
      <c r="C1773" s="39" t="s">
        <v>3790</v>
      </c>
      <c r="D1773" s="39" t="s">
        <v>3790</v>
      </c>
      <c r="E1773" s="26" t="s">
        <v>3790</v>
      </c>
      <c r="F1773" s="39" t="str">
        <f t="shared" si="120"/>
        <v/>
      </c>
      <c r="G1773" s="39" t="str">
        <f t="shared" si="121"/>
        <v/>
      </c>
      <c r="H1773" s="39" t="str">
        <f t="shared" si="122"/>
        <v/>
      </c>
      <c r="I1773" s="39" t="str">
        <f t="shared" si="123"/>
        <v/>
      </c>
      <c r="J1773" s="39" t="str">
        <f>""</f>
        <v/>
      </c>
    </row>
    <row r="1774" spans="3:10">
      <c r="C1774" s="39" t="s">
        <v>3790</v>
      </c>
      <c r="D1774" s="39" t="s">
        <v>3790</v>
      </c>
      <c r="E1774" s="26" t="s">
        <v>3790</v>
      </c>
      <c r="F1774" s="39" t="str">
        <f t="shared" si="120"/>
        <v/>
      </c>
      <c r="G1774" s="39" t="str">
        <f t="shared" si="121"/>
        <v/>
      </c>
      <c r="H1774" s="39" t="str">
        <f t="shared" si="122"/>
        <v/>
      </c>
      <c r="I1774" s="39" t="str">
        <f t="shared" si="123"/>
        <v/>
      </c>
      <c r="J1774" s="39" t="str">
        <f>""</f>
        <v/>
      </c>
    </row>
    <row r="1775" spans="3:10">
      <c r="C1775" s="39" t="s">
        <v>3790</v>
      </c>
      <c r="D1775" s="39" t="s">
        <v>3790</v>
      </c>
      <c r="E1775" s="26" t="s">
        <v>3790</v>
      </c>
      <c r="F1775" s="39" t="str">
        <f t="shared" si="120"/>
        <v/>
      </c>
      <c r="G1775" s="39" t="str">
        <f t="shared" si="121"/>
        <v/>
      </c>
      <c r="H1775" s="39" t="str">
        <f t="shared" si="122"/>
        <v/>
      </c>
      <c r="I1775" s="39" t="str">
        <f t="shared" si="123"/>
        <v/>
      </c>
      <c r="J1775" s="39" t="str">
        <f>""</f>
        <v/>
      </c>
    </row>
    <row r="1776" spans="3:10">
      <c r="C1776" s="39" t="s">
        <v>3790</v>
      </c>
      <c r="D1776" s="39" t="s">
        <v>3790</v>
      </c>
      <c r="E1776" s="26" t="s">
        <v>3790</v>
      </c>
      <c r="F1776" s="39" t="str">
        <f t="shared" si="120"/>
        <v/>
      </c>
      <c r="G1776" s="39" t="str">
        <f t="shared" si="121"/>
        <v/>
      </c>
      <c r="H1776" s="39" t="str">
        <f t="shared" si="122"/>
        <v/>
      </c>
      <c r="I1776" s="39" t="str">
        <f t="shared" si="123"/>
        <v/>
      </c>
      <c r="J1776" s="39" t="str">
        <f>""</f>
        <v/>
      </c>
    </row>
    <row r="1777" spans="3:10">
      <c r="C1777" s="39" t="s">
        <v>3790</v>
      </c>
      <c r="D1777" s="39" t="s">
        <v>3790</v>
      </c>
      <c r="E1777" s="26" t="s">
        <v>3790</v>
      </c>
      <c r="F1777" s="39" t="str">
        <f t="shared" si="120"/>
        <v/>
      </c>
      <c r="G1777" s="39" t="str">
        <f t="shared" si="121"/>
        <v/>
      </c>
      <c r="H1777" s="39" t="str">
        <f t="shared" si="122"/>
        <v/>
      </c>
      <c r="I1777" s="39" t="str">
        <f t="shared" si="123"/>
        <v/>
      </c>
      <c r="J1777" s="39" t="str">
        <f>""</f>
        <v/>
      </c>
    </row>
    <row r="1778" spans="3:10">
      <c r="C1778" s="39" t="s">
        <v>3790</v>
      </c>
      <c r="D1778" s="39" t="s">
        <v>3790</v>
      </c>
      <c r="E1778" s="26" t="s">
        <v>3790</v>
      </c>
      <c r="F1778" s="39" t="str">
        <f t="shared" si="120"/>
        <v/>
      </c>
      <c r="G1778" s="39" t="str">
        <f t="shared" si="121"/>
        <v/>
      </c>
      <c r="H1778" s="39" t="str">
        <f t="shared" si="122"/>
        <v/>
      </c>
      <c r="I1778" s="39" t="str">
        <f t="shared" si="123"/>
        <v/>
      </c>
      <c r="J1778" s="39" t="str">
        <f>""</f>
        <v/>
      </c>
    </row>
    <row r="1779" spans="3:10">
      <c r="C1779" s="39" t="s">
        <v>3790</v>
      </c>
      <c r="D1779" s="39" t="s">
        <v>3790</v>
      </c>
      <c r="E1779" s="26" t="s">
        <v>3790</v>
      </c>
      <c r="F1779" s="39" t="str">
        <f t="shared" si="120"/>
        <v/>
      </c>
      <c r="G1779" s="39" t="str">
        <f t="shared" si="121"/>
        <v/>
      </c>
      <c r="H1779" s="39" t="str">
        <f t="shared" si="122"/>
        <v/>
      </c>
      <c r="I1779" s="39" t="str">
        <f t="shared" si="123"/>
        <v/>
      </c>
      <c r="J1779" s="39" t="str">
        <f>""</f>
        <v/>
      </c>
    </row>
    <row r="1780" spans="3:10">
      <c r="C1780" s="39" t="s">
        <v>3790</v>
      </c>
      <c r="D1780" s="39" t="s">
        <v>3790</v>
      </c>
      <c r="E1780" s="26" t="s">
        <v>3790</v>
      </c>
      <c r="F1780" s="39" t="str">
        <f t="shared" si="120"/>
        <v/>
      </c>
      <c r="G1780" s="39" t="str">
        <f t="shared" si="121"/>
        <v/>
      </c>
      <c r="H1780" s="39" t="str">
        <f t="shared" si="122"/>
        <v/>
      </c>
      <c r="I1780" s="39" t="str">
        <f t="shared" si="123"/>
        <v/>
      </c>
      <c r="J1780" s="39" t="str">
        <f>""</f>
        <v/>
      </c>
    </row>
    <row r="1781" spans="3:10">
      <c r="C1781" s="39" t="s">
        <v>3790</v>
      </c>
      <c r="D1781" s="39" t="s">
        <v>3790</v>
      </c>
      <c r="E1781" s="26" t="s">
        <v>3790</v>
      </c>
      <c r="F1781" s="39" t="str">
        <f t="shared" si="120"/>
        <v/>
      </c>
      <c r="G1781" s="39" t="str">
        <f t="shared" si="121"/>
        <v/>
      </c>
      <c r="H1781" s="39" t="str">
        <f t="shared" si="122"/>
        <v/>
      </c>
      <c r="I1781" s="39" t="str">
        <f t="shared" si="123"/>
        <v/>
      </c>
      <c r="J1781" s="39" t="str">
        <f>""</f>
        <v/>
      </c>
    </row>
    <row r="1782" spans="3:10">
      <c r="C1782" s="39" t="s">
        <v>3790</v>
      </c>
      <c r="D1782" s="39" t="s">
        <v>3790</v>
      </c>
      <c r="E1782" s="26" t="s">
        <v>3790</v>
      </c>
      <c r="F1782" s="39" t="str">
        <f t="shared" si="120"/>
        <v/>
      </c>
      <c r="G1782" s="39" t="str">
        <f t="shared" si="121"/>
        <v/>
      </c>
      <c r="H1782" s="39" t="str">
        <f t="shared" si="122"/>
        <v/>
      </c>
      <c r="I1782" s="39" t="str">
        <f t="shared" si="123"/>
        <v/>
      </c>
      <c r="J1782" s="39" t="str">
        <f>""</f>
        <v/>
      </c>
    </row>
    <row r="1783" spans="3:10">
      <c r="C1783" s="39" t="s">
        <v>3790</v>
      </c>
      <c r="D1783" s="39" t="s">
        <v>3790</v>
      </c>
      <c r="E1783" s="26" t="s">
        <v>3790</v>
      </c>
      <c r="F1783" s="39" t="str">
        <f t="shared" si="120"/>
        <v/>
      </c>
      <c r="G1783" s="39" t="str">
        <f t="shared" si="121"/>
        <v/>
      </c>
      <c r="H1783" s="39" t="str">
        <f t="shared" si="122"/>
        <v/>
      </c>
      <c r="I1783" s="39" t="str">
        <f t="shared" si="123"/>
        <v/>
      </c>
      <c r="J1783" s="39" t="str">
        <f>""</f>
        <v/>
      </c>
    </row>
    <row r="1784" spans="3:10">
      <c r="C1784" s="39" t="s">
        <v>3790</v>
      </c>
      <c r="D1784" s="39" t="s">
        <v>3790</v>
      </c>
      <c r="E1784" s="26" t="s">
        <v>3790</v>
      </c>
      <c r="F1784" s="39" t="str">
        <f t="shared" si="120"/>
        <v/>
      </c>
      <c r="G1784" s="39" t="str">
        <f t="shared" si="121"/>
        <v/>
      </c>
      <c r="H1784" s="39" t="str">
        <f t="shared" si="122"/>
        <v/>
      </c>
      <c r="I1784" s="39" t="str">
        <f t="shared" si="123"/>
        <v/>
      </c>
      <c r="J1784" s="39" t="str">
        <f>""</f>
        <v/>
      </c>
    </row>
    <row r="1785" spans="3:10">
      <c r="C1785" s="39" t="s">
        <v>3790</v>
      </c>
      <c r="D1785" s="39" t="s">
        <v>3790</v>
      </c>
      <c r="E1785" s="26" t="s">
        <v>3790</v>
      </c>
      <c r="F1785" s="39" t="str">
        <f t="shared" si="120"/>
        <v/>
      </c>
      <c r="G1785" s="39" t="str">
        <f t="shared" si="121"/>
        <v/>
      </c>
      <c r="H1785" s="39" t="str">
        <f t="shared" si="122"/>
        <v/>
      </c>
      <c r="I1785" s="39" t="str">
        <f t="shared" si="123"/>
        <v/>
      </c>
      <c r="J1785" s="39" t="str">
        <f>""</f>
        <v/>
      </c>
    </row>
    <row r="1786" spans="3:10">
      <c r="C1786" s="39" t="s">
        <v>3790</v>
      </c>
      <c r="D1786" s="39" t="s">
        <v>3790</v>
      </c>
      <c r="E1786" s="26" t="s">
        <v>3790</v>
      </c>
      <c r="F1786" s="39" t="str">
        <f t="shared" si="120"/>
        <v/>
      </c>
      <c r="G1786" s="39" t="str">
        <f t="shared" si="121"/>
        <v/>
      </c>
      <c r="H1786" s="39" t="str">
        <f t="shared" si="122"/>
        <v/>
      </c>
      <c r="I1786" s="39" t="str">
        <f t="shared" si="123"/>
        <v/>
      </c>
      <c r="J1786" s="39" t="str">
        <f>""</f>
        <v/>
      </c>
    </row>
    <row r="1787" spans="3:10">
      <c r="C1787" s="39" t="s">
        <v>3790</v>
      </c>
      <c r="D1787" s="39" t="s">
        <v>3790</v>
      </c>
      <c r="E1787" s="26" t="s">
        <v>3790</v>
      </c>
      <c r="F1787" s="39" t="str">
        <f t="shared" si="120"/>
        <v/>
      </c>
      <c r="G1787" s="39" t="str">
        <f t="shared" si="121"/>
        <v/>
      </c>
      <c r="H1787" s="39" t="str">
        <f t="shared" si="122"/>
        <v/>
      </c>
      <c r="I1787" s="39" t="str">
        <f t="shared" si="123"/>
        <v/>
      </c>
      <c r="J1787" s="39" t="str">
        <f>""</f>
        <v/>
      </c>
    </row>
    <row r="1788" spans="3:10">
      <c r="C1788" s="39" t="s">
        <v>3790</v>
      </c>
      <c r="D1788" s="39" t="s">
        <v>3790</v>
      </c>
      <c r="E1788" s="26" t="s">
        <v>3790</v>
      </c>
      <c r="F1788" s="39" t="str">
        <f t="shared" si="120"/>
        <v/>
      </c>
      <c r="G1788" s="39" t="str">
        <f t="shared" si="121"/>
        <v/>
      </c>
      <c r="H1788" s="39" t="str">
        <f t="shared" si="122"/>
        <v/>
      </c>
      <c r="I1788" s="39" t="str">
        <f t="shared" si="123"/>
        <v/>
      </c>
      <c r="J1788" s="39" t="str">
        <f>""</f>
        <v/>
      </c>
    </row>
    <row r="1789" spans="3:10">
      <c r="C1789" s="39" t="s">
        <v>3790</v>
      </c>
      <c r="D1789" s="39" t="s">
        <v>3790</v>
      </c>
      <c r="E1789" s="26" t="s">
        <v>3790</v>
      </c>
      <c r="F1789" s="39" t="str">
        <f t="shared" si="120"/>
        <v/>
      </c>
      <c r="G1789" s="39" t="str">
        <f t="shared" si="121"/>
        <v/>
      </c>
      <c r="H1789" s="39" t="str">
        <f t="shared" si="122"/>
        <v/>
      </c>
      <c r="I1789" s="39" t="str">
        <f t="shared" si="123"/>
        <v/>
      </c>
      <c r="J1789" s="39" t="str">
        <f>""</f>
        <v/>
      </c>
    </row>
    <row r="1790" spans="3:10">
      <c r="C1790" s="39" t="s">
        <v>3790</v>
      </c>
      <c r="D1790" s="39" t="s">
        <v>3790</v>
      </c>
      <c r="E1790" s="26" t="s">
        <v>3790</v>
      </c>
      <c r="F1790" s="39" t="str">
        <f t="shared" si="120"/>
        <v/>
      </c>
      <c r="G1790" s="39" t="str">
        <f t="shared" si="121"/>
        <v/>
      </c>
      <c r="H1790" s="39" t="str">
        <f t="shared" si="122"/>
        <v/>
      </c>
      <c r="I1790" s="39" t="str">
        <f t="shared" si="123"/>
        <v/>
      </c>
      <c r="J1790" s="39" t="str">
        <f>""</f>
        <v/>
      </c>
    </row>
    <row r="1791" spans="3:10">
      <c r="C1791" s="39" t="s">
        <v>3790</v>
      </c>
      <c r="D1791" s="39" t="s">
        <v>3790</v>
      </c>
      <c r="E1791" s="26" t="s">
        <v>3790</v>
      </c>
      <c r="F1791" s="39" t="str">
        <f t="shared" si="120"/>
        <v/>
      </c>
      <c r="G1791" s="39" t="str">
        <f t="shared" si="121"/>
        <v/>
      </c>
      <c r="H1791" s="39" t="str">
        <f t="shared" si="122"/>
        <v/>
      </c>
      <c r="I1791" s="39" t="str">
        <f t="shared" si="123"/>
        <v/>
      </c>
      <c r="J1791" s="39" t="str">
        <f>""</f>
        <v/>
      </c>
    </row>
    <row r="1792" spans="3:10">
      <c r="C1792" s="39" t="s">
        <v>3790</v>
      </c>
      <c r="D1792" s="39" t="s">
        <v>3790</v>
      </c>
      <c r="E1792" s="26" t="s">
        <v>3790</v>
      </c>
      <c r="F1792" s="39" t="str">
        <f t="shared" si="120"/>
        <v/>
      </c>
      <c r="G1792" s="39" t="str">
        <f t="shared" si="121"/>
        <v/>
      </c>
      <c r="H1792" s="39" t="str">
        <f t="shared" si="122"/>
        <v/>
      </c>
      <c r="I1792" s="39" t="str">
        <f t="shared" si="123"/>
        <v/>
      </c>
      <c r="J1792" s="39" t="str">
        <f>""</f>
        <v/>
      </c>
    </row>
    <row r="1793" spans="3:10">
      <c r="C1793" s="39" t="s">
        <v>3790</v>
      </c>
      <c r="D1793" s="39" t="s">
        <v>3790</v>
      </c>
      <c r="E1793" s="26" t="s">
        <v>3790</v>
      </c>
      <c r="F1793" s="39" t="str">
        <f t="shared" si="120"/>
        <v/>
      </c>
      <c r="G1793" s="39" t="str">
        <f t="shared" si="121"/>
        <v/>
      </c>
      <c r="H1793" s="39" t="str">
        <f t="shared" si="122"/>
        <v/>
      </c>
      <c r="I1793" s="39" t="str">
        <f t="shared" si="123"/>
        <v/>
      </c>
      <c r="J1793" s="39" t="str">
        <f>""</f>
        <v/>
      </c>
    </row>
    <row r="1794" spans="3:10">
      <c r="C1794" s="39" t="s">
        <v>3790</v>
      </c>
      <c r="D1794" s="39" t="s">
        <v>3790</v>
      </c>
      <c r="E1794" s="26" t="s">
        <v>3790</v>
      </c>
      <c r="F1794" s="39" t="str">
        <f t="shared" si="120"/>
        <v/>
      </c>
      <c r="G1794" s="39" t="str">
        <f t="shared" si="121"/>
        <v/>
      </c>
      <c r="H1794" s="39" t="str">
        <f t="shared" si="122"/>
        <v/>
      </c>
      <c r="I1794" s="39" t="str">
        <f t="shared" si="123"/>
        <v/>
      </c>
      <c r="J1794" s="39" t="str">
        <f>""</f>
        <v/>
      </c>
    </row>
    <row r="1795" spans="3:10">
      <c r="C1795" s="39" t="s">
        <v>3790</v>
      </c>
      <c r="D1795" s="39" t="s">
        <v>3790</v>
      </c>
      <c r="E1795" s="26" t="s">
        <v>3790</v>
      </c>
      <c r="F1795" s="39" t="str">
        <f t="shared" ref="F1795:F1858" si="124">IF(C1795="","",IF(C1795&lt;99,C1795,""))</f>
        <v/>
      </c>
      <c r="G1795" s="39" t="str">
        <f t="shared" ref="G1795:G1858" si="125">IF(OR(F1795&lt;&gt;"",D1795&lt;&gt;""),C1795,"")</f>
        <v/>
      </c>
      <c r="H1795" s="39" t="str">
        <f t="shared" ref="H1795:H1858" si="126">IF(C1795="","",C1795)</f>
        <v/>
      </c>
      <c r="I1795" s="39" t="str">
        <f t="shared" ref="I1795:I1858" si="127">IF(AND(C1795&lt;&gt;"",D1795&lt;&gt;""),C1795,"")</f>
        <v/>
      </c>
      <c r="J1795" s="39" t="str">
        <f>""</f>
        <v/>
      </c>
    </row>
    <row r="1796" spans="3:10">
      <c r="C1796" s="39" t="s">
        <v>3790</v>
      </c>
      <c r="D1796" s="39" t="s">
        <v>3790</v>
      </c>
      <c r="E1796" s="26" t="s">
        <v>3790</v>
      </c>
      <c r="F1796" s="39" t="str">
        <f t="shared" si="124"/>
        <v/>
      </c>
      <c r="G1796" s="39" t="str">
        <f t="shared" si="125"/>
        <v/>
      </c>
      <c r="H1796" s="39" t="str">
        <f t="shared" si="126"/>
        <v/>
      </c>
      <c r="I1796" s="39" t="str">
        <f t="shared" si="127"/>
        <v/>
      </c>
      <c r="J1796" s="39" t="str">
        <f>""</f>
        <v/>
      </c>
    </row>
    <row r="1797" spans="3:10">
      <c r="C1797" s="39" t="s">
        <v>3790</v>
      </c>
      <c r="D1797" s="39" t="s">
        <v>3790</v>
      </c>
      <c r="E1797" s="26" t="s">
        <v>3790</v>
      </c>
      <c r="F1797" s="39" t="str">
        <f t="shared" si="124"/>
        <v/>
      </c>
      <c r="G1797" s="39" t="str">
        <f t="shared" si="125"/>
        <v/>
      </c>
      <c r="H1797" s="39" t="str">
        <f t="shared" si="126"/>
        <v/>
      </c>
      <c r="I1797" s="39" t="str">
        <f t="shared" si="127"/>
        <v/>
      </c>
      <c r="J1797" s="39" t="str">
        <f>""</f>
        <v/>
      </c>
    </row>
    <row r="1798" spans="3:10">
      <c r="C1798" s="39" t="s">
        <v>3790</v>
      </c>
      <c r="D1798" s="39" t="s">
        <v>3790</v>
      </c>
      <c r="E1798" s="26" t="s">
        <v>3790</v>
      </c>
      <c r="F1798" s="39" t="str">
        <f t="shared" si="124"/>
        <v/>
      </c>
      <c r="G1798" s="39" t="str">
        <f t="shared" si="125"/>
        <v/>
      </c>
      <c r="H1798" s="39" t="str">
        <f t="shared" si="126"/>
        <v/>
      </c>
      <c r="I1798" s="39" t="str">
        <f t="shared" si="127"/>
        <v/>
      </c>
      <c r="J1798" s="39" t="str">
        <f>""</f>
        <v/>
      </c>
    </row>
    <row r="1799" spans="3:10">
      <c r="C1799" s="39" t="s">
        <v>3790</v>
      </c>
      <c r="D1799" s="39" t="s">
        <v>3790</v>
      </c>
      <c r="E1799" s="26" t="s">
        <v>3790</v>
      </c>
      <c r="F1799" s="39" t="str">
        <f t="shared" si="124"/>
        <v/>
      </c>
      <c r="G1799" s="39" t="str">
        <f t="shared" si="125"/>
        <v/>
      </c>
      <c r="H1799" s="39" t="str">
        <f t="shared" si="126"/>
        <v/>
      </c>
      <c r="I1799" s="39" t="str">
        <f t="shared" si="127"/>
        <v/>
      </c>
      <c r="J1799" s="39" t="str">
        <f>""</f>
        <v/>
      </c>
    </row>
    <row r="1800" spans="3:10">
      <c r="C1800" s="39" t="s">
        <v>3790</v>
      </c>
      <c r="D1800" s="39" t="s">
        <v>3790</v>
      </c>
      <c r="E1800" s="26" t="s">
        <v>3790</v>
      </c>
      <c r="F1800" s="39" t="str">
        <f t="shared" si="124"/>
        <v/>
      </c>
      <c r="G1800" s="39" t="str">
        <f t="shared" si="125"/>
        <v/>
      </c>
      <c r="H1800" s="39" t="str">
        <f t="shared" si="126"/>
        <v/>
      </c>
      <c r="I1800" s="39" t="str">
        <f t="shared" si="127"/>
        <v/>
      </c>
      <c r="J1800" s="39" t="str">
        <f>""</f>
        <v/>
      </c>
    </row>
    <row r="1801" spans="3:10">
      <c r="C1801" s="39" t="s">
        <v>3790</v>
      </c>
      <c r="D1801" s="39" t="s">
        <v>3790</v>
      </c>
      <c r="E1801" s="26" t="s">
        <v>3790</v>
      </c>
      <c r="F1801" s="39" t="str">
        <f t="shared" si="124"/>
        <v/>
      </c>
      <c r="G1801" s="39" t="str">
        <f t="shared" si="125"/>
        <v/>
      </c>
      <c r="H1801" s="39" t="str">
        <f t="shared" si="126"/>
        <v/>
      </c>
      <c r="I1801" s="39" t="str">
        <f t="shared" si="127"/>
        <v/>
      </c>
      <c r="J1801" s="39" t="str">
        <f>""</f>
        <v/>
      </c>
    </row>
    <row r="1802" spans="3:10">
      <c r="C1802" s="39" t="s">
        <v>3790</v>
      </c>
      <c r="D1802" s="39" t="s">
        <v>3790</v>
      </c>
      <c r="E1802" s="26" t="s">
        <v>3790</v>
      </c>
      <c r="F1802" s="39" t="str">
        <f t="shared" si="124"/>
        <v/>
      </c>
      <c r="G1802" s="39" t="str">
        <f t="shared" si="125"/>
        <v/>
      </c>
      <c r="H1802" s="39" t="str">
        <f t="shared" si="126"/>
        <v/>
      </c>
      <c r="I1802" s="39" t="str">
        <f t="shared" si="127"/>
        <v/>
      </c>
      <c r="J1802" s="39" t="str">
        <f>""</f>
        <v/>
      </c>
    </row>
    <row r="1803" spans="3:10">
      <c r="C1803" s="39" t="s">
        <v>3790</v>
      </c>
      <c r="D1803" s="39" t="s">
        <v>3790</v>
      </c>
      <c r="E1803" s="26" t="s">
        <v>3790</v>
      </c>
      <c r="F1803" s="39" t="str">
        <f t="shared" si="124"/>
        <v/>
      </c>
      <c r="G1803" s="39" t="str">
        <f t="shared" si="125"/>
        <v/>
      </c>
      <c r="H1803" s="39" t="str">
        <f t="shared" si="126"/>
        <v/>
      </c>
      <c r="I1803" s="39" t="str">
        <f t="shared" si="127"/>
        <v/>
      </c>
      <c r="J1803" s="39" t="str">
        <f>""</f>
        <v/>
      </c>
    </row>
    <row r="1804" spans="3:10">
      <c r="C1804" s="39" t="s">
        <v>3790</v>
      </c>
      <c r="D1804" s="39" t="s">
        <v>3790</v>
      </c>
      <c r="E1804" s="26" t="s">
        <v>3790</v>
      </c>
      <c r="F1804" s="39" t="str">
        <f t="shared" si="124"/>
        <v/>
      </c>
      <c r="G1804" s="39" t="str">
        <f t="shared" si="125"/>
        <v/>
      </c>
      <c r="H1804" s="39" t="str">
        <f t="shared" si="126"/>
        <v/>
      </c>
      <c r="I1804" s="39" t="str">
        <f t="shared" si="127"/>
        <v/>
      </c>
      <c r="J1804" s="39" t="str">
        <f>""</f>
        <v/>
      </c>
    </row>
    <row r="1805" spans="3:10">
      <c r="C1805" s="39" t="s">
        <v>3790</v>
      </c>
      <c r="D1805" s="39" t="s">
        <v>3790</v>
      </c>
      <c r="E1805" s="26" t="s">
        <v>3790</v>
      </c>
      <c r="F1805" s="39" t="str">
        <f t="shared" si="124"/>
        <v/>
      </c>
      <c r="G1805" s="39" t="str">
        <f t="shared" si="125"/>
        <v/>
      </c>
      <c r="H1805" s="39" t="str">
        <f t="shared" si="126"/>
        <v/>
      </c>
      <c r="I1805" s="39" t="str">
        <f t="shared" si="127"/>
        <v/>
      </c>
      <c r="J1805" s="39" t="str">
        <f>""</f>
        <v/>
      </c>
    </row>
    <row r="1806" spans="3:10">
      <c r="C1806" s="39" t="s">
        <v>3790</v>
      </c>
      <c r="D1806" s="39" t="s">
        <v>3790</v>
      </c>
      <c r="E1806" s="26" t="s">
        <v>3790</v>
      </c>
      <c r="F1806" s="39" t="str">
        <f t="shared" si="124"/>
        <v/>
      </c>
      <c r="G1806" s="39" t="str">
        <f t="shared" si="125"/>
        <v/>
      </c>
      <c r="H1806" s="39" t="str">
        <f t="shared" si="126"/>
        <v/>
      </c>
      <c r="I1806" s="39" t="str">
        <f t="shared" si="127"/>
        <v/>
      </c>
      <c r="J1806" s="39" t="str">
        <f>""</f>
        <v/>
      </c>
    </row>
    <row r="1807" spans="3:10">
      <c r="C1807" s="39" t="s">
        <v>3790</v>
      </c>
      <c r="D1807" s="39" t="s">
        <v>3790</v>
      </c>
      <c r="E1807" s="26" t="s">
        <v>3790</v>
      </c>
      <c r="F1807" s="39" t="str">
        <f t="shared" si="124"/>
        <v/>
      </c>
      <c r="G1807" s="39" t="str">
        <f t="shared" si="125"/>
        <v/>
      </c>
      <c r="H1807" s="39" t="str">
        <f t="shared" si="126"/>
        <v/>
      </c>
      <c r="I1807" s="39" t="str">
        <f t="shared" si="127"/>
        <v/>
      </c>
      <c r="J1807" s="39" t="str">
        <f>""</f>
        <v/>
      </c>
    </row>
    <row r="1808" spans="3:10">
      <c r="C1808" s="39" t="s">
        <v>3790</v>
      </c>
      <c r="D1808" s="39" t="s">
        <v>3790</v>
      </c>
      <c r="E1808" s="26" t="s">
        <v>3790</v>
      </c>
      <c r="F1808" s="39" t="str">
        <f t="shared" si="124"/>
        <v/>
      </c>
      <c r="G1808" s="39" t="str">
        <f t="shared" si="125"/>
        <v/>
      </c>
      <c r="H1808" s="39" t="str">
        <f t="shared" si="126"/>
        <v/>
      </c>
      <c r="I1808" s="39" t="str">
        <f t="shared" si="127"/>
        <v/>
      </c>
      <c r="J1808" s="39" t="str">
        <f>""</f>
        <v/>
      </c>
    </row>
    <row r="1809" spans="3:10">
      <c r="C1809" s="39" t="s">
        <v>3790</v>
      </c>
      <c r="D1809" s="39" t="s">
        <v>3790</v>
      </c>
      <c r="E1809" s="26" t="s">
        <v>3790</v>
      </c>
      <c r="F1809" s="39" t="str">
        <f t="shared" si="124"/>
        <v/>
      </c>
      <c r="G1809" s="39" t="str">
        <f t="shared" si="125"/>
        <v/>
      </c>
      <c r="H1809" s="39" t="str">
        <f t="shared" si="126"/>
        <v/>
      </c>
      <c r="I1809" s="39" t="str">
        <f t="shared" si="127"/>
        <v/>
      </c>
      <c r="J1809" s="39" t="str">
        <f>""</f>
        <v/>
      </c>
    </row>
    <row r="1810" spans="3:10">
      <c r="C1810" s="39" t="s">
        <v>3790</v>
      </c>
      <c r="D1810" s="39" t="s">
        <v>3790</v>
      </c>
      <c r="E1810" s="26" t="s">
        <v>3790</v>
      </c>
      <c r="F1810" s="39" t="str">
        <f t="shared" si="124"/>
        <v/>
      </c>
      <c r="G1810" s="39" t="str">
        <f t="shared" si="125"/>
        <v/>
      </c>
      <c r="H1810" s="39" t="str">
        <f t="shared" si="126"/>
        <v/>
      </c>
      <c r="I1810" s="39" t="str">
        <f t="shared" si="127"/>
        <v/>
      </c>
      <c r="J1810" s="39" t="str">
        <f>""</f>
        <v/>
      </c>
    </row>
    <row r="1811" spans="3:10">
      <c r="C1811" s="39" t="s">
        <v>3790</v>
      </c>
      <c r="D1811" s="39" t="s">
        <v>3790</v>
      </c>
      <c r="E1811" s="26" t="s">
        <v>3790</v>
      </c>
      <c r="F1811" s="39" t="str">
        <f t="shared" si="124"/>
        <v/>
      </c>
      <c r="G1811" s="39" t="str">
        <f t="shared" si="125"/>
        <v/>
      </c>
      <c r="H1811" s="39" t="str">
        <f t="shared" si="126"/>
        <v/>
      </c>
      <c r="I1811" s="39" t="str">
        <f t="shared" si="127"/>
        <v/>
      </c>
      <c r="J1811" s="39" t="str">
        <f>""</f>
        <v/>
      </c>
    </row>
    <row r="1812" spans="3:10">
      <c r="C1812" s="39" t="s">
        <v>3790</v>
      </c>
      <c r="D1812" s="39" t="s">
        <v>3790</v>
      </c>
      <c r="E1812" s="26" t="s">
        <v>3790</v>
      </c>
      <c r="F1812" s="39" t="str">
        <f t="shared" si="124"/>
        <v/>
      </c>
      <c r="G1812" s="39" t="str">
        <f t="shared" si="125"/>
        <v/>
      </c>
      <c r="H1812" s="39" t="str">
        <f t="shared" si="126"/>
        <v/>
      </c>
      <c r="I1812" s="39" t="str">
        <f t="shared" si="127"/>
        <v/>
      </c>
      <c r="J1812" s="39" t="str">
        <f>""</f>
        <v/>
      </c>
    </row>
    <row r="1813" spans="3:10">
      <c r="C1813" s="39" t="s">
        <v>3790</v>
      </c>
      <c r="D1813" s="39" t="s">
        <v>3790</v>
      </c>
      <c r="E1813" s="26" t="s">
        <v>3790</v>
      </c>
      <c r="F1813" s="39" t="str">
        <f t="shared" si="124"/>
        <v/>
      </c>
      <c r="G1813" s="39" t="str">
        <f t="shared" si="125"/>
        <v/>
      </c>
      <c r="H1813" s="39" t="str">
        <f t="shared" si="126"/>
        <v/>
      </c>
      <c r="I1813" s="39" t="str">
        <f t="shared" si="127"/>
        <v/>
      </c>
      <c r="J1813" s="39" t="str">
        <f>""</f>
        <v/>
      </c>
    </row>
    <row r="1814" spans="3:10">
      <c r="C1814" s="39" t="s">
        <v>3790</v>
      </c>
      <c r="D1814" s="39" t="s">
        <v>3790</v>
      </c>
      <c r="E1814" s="26" t="s">
        <v>3790</v>
      </c>
      <c r="F1814" s="39" t="str">
        <f t="shared" si="124"/>
        <v/>
      </c>
      <c r="G1814" s="39" t="str">
        <f t="shared" si="125"/>
        <v/>
      </c>
      <c r="H1814" s="39" t="str">
        <f t="shared" si="126"/>
        <v/>
      </c>
      <c r="I1814" s="39" t="str">
        <f t="shared" si="127"/>
        <v/>
      </c>
      <c r="J1814" s="39" t="str">
        <f>""</f>
        <v/>
      </c>
    </row>
    <row r="1815" spans="3:10">
      <c r="C1815" s="39" t="s">
        <v>3790</v>
      </c>
      <c r="D1815" s="39" t="s">
        <v>3790</v>
      </c>
      <c r="E1815" s="26" t="s">
        <v>3790</v>
      </c>
      <c r="F1815" s="39" t="str">
        <f t="shared" si="124"/>
        <v/>
      </c>
      <c r="G1815" s="39" t="str">
        <f t="shared" si="125"/>
        <v/>
      </c>
      <c r="H1815" s="39" t="str">
        <f t="shared" si="126"/>
        <v/>
      </c>
      <c r="I1815" s="39" t="str">
        <f t="shared" si="127"/>
        <v/>
      </c>
      <c r="J1815" s="39" t="str">
        <f>""</f>
        <v/>
      </c>
    </row>
    <row r="1816" spans="3:10">
      <c r="C1816" s="39" t="s">
        <v>3790</v>
      </c>
      <c r="D1816" s="39" t="s">
        <v>3790</v>
      </c>
      <c r="E1816" s="26" t="s">
        <v>3790</v>
      </c>
      <c r="F1816" s="39" t="str">
        <f t="shared" si="124"/>
        <v/>
      </c>
      <c r="G1816" s="39" t="str">
        <f t="shared" si="125"/>
        <v/>
      </c>
      <c r="H1816" s="39" t="str">
        <f t="shared" si="126"/>
        <v/>
      </c>
      <c r="I1816" s="39" t="str">
        <f t="shared" si="127"/>
        <v/>
      </c>
      <c r="J1816" s="39" t="str">
        <f>""</f>
        <v/>
      </c>
    </row>
    <row r="1817" spans="3:10">
      <c r="C1817" s="39" t="s">
        <v>3790</v>
      </c>
      <c r="D1817" s="39" t="s">
        <v>3790</v>
      </c>
      <c r="E1817" s="26" t="s">
        <v>3790</v>
      </c>
      <c r="F1817" s="39" t="str">
        <f t="shared" si="124"/>
        <v/>
      </c>
      <c r="G1817" s="39" t="str">
        <f t="shared" si="125"/>
        <v/>
      </c>
      <c r="H1817" s="39" t="str">
        <f t="shared" si="126"/>
        <v/>
      </c>
      <c r="I1817" s="39" t="str">
        <f t="shared" si="127"/>
        <v/>
      </c>
      <c r="J1817" s="39" t="str">
        <f>""</f>
        <v/>
      </c>
    </row>
    <row r="1818" spans="3:10">
      <c r="C1818" s="39" t="s">
        <v>3790</v>
      </c>
      <c r="D1818" s="39" t="s">
        <v>3790</v>
      </c>
      <c r="E1818" s="26" t="s">
        <v>3790</v>
      </c>
      <c r="F1818" s="39" t="str">
        <f t="shared" si="124"/>
        <v/>
      </c>
      <c r="G1818" s="39" t="str">
        <f t="shared" si="125"/>
        <v/>
      </c>
      <c r="H1818" s="39" t="str">
        <f t="shared" si="126"/>
        <v/>
      </c>
      <c r="I1818" s="39" t="str">
        <f t="shared" si="127"/>
        <v/>
      </c>
      <c r="J1818" s="39" t="str">
        <f>""</f>
        <v/>
      </c>
    </row>
    <row r="1819" spans="3:10">
      <c r="C1819" s="39" t="s">
        <v>3790</v>
      </c>
      <c r="D1819" s="39" t="s">
        <v>3790</v>
      </c>
      <c r="E1819" s="26" t="s">
        <v>3790</v>
      </c>
      <c r="F1819" s="39" t="str">
        <f t="shared" si="124"/>
        <v/>
      </c>
      <c r="G1819" s="39" t="str">
        <f t="shared" si="125"/>
        <v/>
      </c>
      <c r="H1819" s="39" t="str">
        <f t="shared" si="126"/>
        <v/>
      </c>
      <c r="I1819" s="39" t="str">
        <f t="shared" si="127"/>
        <v/>
      </c>
      <c r="J1819" s="39" t="str">
        <f>""</f>
        <v/>
      </c>
    </row>
    <row r="1820" spans="3:10">
      <c r="C1820" s="39" t="s">
        <v>3790</v>
      </c>
      <c r="D1820" s="39" t="s">
        <v>3790</v>
      </c>
      <c r="E1820" s="26" t="s">
        <v>3790</v>
      </c>
      <c r="F1820" s="39" t="str">
        <f t="shared" si="124"/>
        <v/>
      </c>
      <c r="G1820" s="39" t="str">
        <f t="shared" si="125"/>
        <v/>
      </c>
      <c r="H1820" s="39" t="str">
        <f t="shared" si="126"/>
        <v/>
      </c>
      <c r="I1820" s="39" t="str">
        <f t="shared" si="127"/>
        <v/>
      </c>
      <c r="J1820" s="39" t="str">
        <f>""</f>
        <v/>
      </c>
    </row>
    <row r="1821" spans="3:10">
      <c r="C1821" s="39" t="s">
        <v>3790</v>
      </c>
      <c r="D1821" s="39" t="s">
        <v>3790</v>
      </c>
      <c r="E1821" s="26" t="s">
        <v>3790</v>
      </c>
      <c r="F1821" s="39" t="str">
        <f t="shared" si="124"/>
        <v/>
      </c>
      <c r="G1821" s="39" t="str">
        <f t="shared" si="125"/>
        <v/>
      </c>
      <c r="H1821" s="39" t="str">
        <f t="shared" si="126"/>
        <v/>
      </c>
      <c r="I1821" s="39" t="str">
        <f t="shared" si="127"/>
        <v/>
      </c>
      <c r="J1821" s="39" t="str">
        <f>""</f>
        <v/>
      </c>
    </row>
    <row r="1822" spans="3:10">
      <c r="C1822" s="39" t="s">
        <v>3790</v>
      </c>
      <c r="D1822" s="39" t="s">
        <v>3790</v>
      </c>
      <c r="E1822" s="26" t="s">
        <v>3790</v>
      </c>
      <c r="F1822" s="39" t="str">
        <f t="shared" si="124"/>
        <v/>
      </c>
      <c r="G1822" s="39" t="str">
        <f t="shared" si="125"/>
        <v/>
      </c>
      <c r="H1822" s="39" t="str">
        <f t="shared" si="126"/>
        <v/>
      </c>
      <c r="I1822" s="39" t="str">
        <f t="shared" si="127"/>
        <v/>
      </c>
      <c r="J1822" s="39" t="str">
        <f>""</f>
        <v/>
      </c>
    </row>
    <row r="1823" spans="3:10">
      <c r="C1823" s="39" t="s">
        <v>3790</v>
      </c>
      <c r="D1823" s="39" t="s">
        <v>3790</v>
      </c>
      <c r="E1823" s="26" t="s">
        <v>3790</v>
      </c>
      <c r="F1823" s="39" t="str">
        <f t="shared" si="124"/>
        <v/>
      </c>
      <c r="G1823" s="39" t="str">
        <f t="shared" si="125"/>
        <v/>
      </c>
      <c r="H1823" s="39" t="str">
        <f t="shared" si="126"/>
        <v/>
      </c>
      <c r="I1823" s="39" t="str">
        <f t="shared" si="127"/>
        <v/>
      </c>
      <c r="J1823" s="39" t="str">
        <f>""</f>
        <v/>
      </c>
    </row>
    <row r="1824" spans="3:10">
      <c r="C1824" s="39" t="s">
        <v>3790</v>
      </c>
      <c r="D1824" s="39" t="s">
        <v>3790</v>
      </c>
      <c r="E1824" s="26" t="s">
        <v>3790</v>
      </c>
      <c r="F1824" s="39" t="str">
        <f t="shared" si="124"/>
        <v/>
      </c>
      <c r="G1824" s="39" t="str">
        <f t="shared" si="125"/>
        <v/>
      </c>
      <c r="H1824" s="39" t="str">
        <f t="shared" si="126"/>
        <v/>
      </c>
      <c r="I1824" s="39" t="str">
        <f t="shared" si="127"/>
        <v/>
      </c>
      <c r="J1824" s="39" t="str">
        <f>""</f>
        <v/>
      </c>
    </row>
    <row r="1825" spans="3:10">
      <c r="C1825" s="39" t="s">
        <v>3790</v>
      </c>
      <c r="D1825" s="39" t="s">
        <v>3790</v>
      </c>
      <c r="E1825" s="26" t="s">
        <v>3790</v>
      </c>
      <c r="F1825" s="39" t="str">
        <f t="shared" si="124"/>
        <v/>
      </c>
      <c r="G1825" s="39" t="str">
        <f t="shared" si="125"/>
        <v/>
      </c>
      <c r="H1825" s="39" t="str">
        <f t="shared" si="126"/>
        <v/>
      </c>
      <c r="I1825" s="39" t="str">
        <f t="shared" si="127"/>
        <v/>
      </c>
      <c r="J1825" s="39" t="str">
        <f>""</f>
        <v/>
      </c>
    </row>
    <row r="1826" spans="3:10">
      <c r="C1826" s="39" t="s">
        <v>3790</v>
      </c>
      <c r="D1826" s="39" t="s">
        <v>3790</v>
      </c>
      <c r="E1826" s="26" t="s">
        <v>3790</v>
      </c>
      <c r="F1826" s="39" t="str">
        <f t="shared" si="124"/>
        <v/>
      </c>
      <c r="G1826" s="39" t="str">
        <f t="shared" si="125"/>
        <v/>
      </c>
      <c r="H1826" s="39" t="str">
        <f t="shared" si="126"/>
        <v/>
      </c>
      <c r="I1826" s="39" t="str">
        <f t="shared" si="127"/>
        <v/>
      </c>
      <c r="J1826" s="39" t="str">
        <f>""</f>
        <v/>
      </c>
    </row>
    <row r="1827" spans="3:10">
      <c r="C1827" s="39" t="s">
        <v>3790</v>
      </c>
      <c r="D1827" s="39" t="s">
        <v>3790</v>
      </c>
      <c r="E1827" s="26" t="s">
        <v>3790</v>
      </c>
      <c r="F1827" s="39" t="str">
        <f t="shared" si="124"/>
        <v/>
      </c>
      <c r="G1827" s="39" t="str">
        <f t="shared" si="125"/>
        <v/>
      </c>
      <c r="H1827" s="39" t="str">
        <f t="shared" si="126"/>
        <v/>
      </c>
      <c r="I1827" s="39" t="str">
        <f t="shared" si="127"/>
        <v/>
      </c>
      <c r="J1827" s="39" t="str">
        <f>""</f>
        <v/>
      </c>
    </row>
    <row r="1828" spans="3:10">
      <c r="C1828" s="39" t="s">
        <v>3790</v>
      </c>
      <c r="D1828" s="39" t="s">
        <v>3790</v>
      </c>
      <c r="E1828" s="26" t="s">
        <v>3790</v>
      </c>
      <c r="F1828" s="39" t="str">
        <f t="shared" si="124"/>
        <v/>
      </c>
      <c r="G1828" s="39" t="str">
        <f t="shared" si="125"/>
        <v/>
      </c>
      <c r="H1828" s="39" t="str">
        <f t="shared" si="126"/>
        <v/>
      </c>
      <c r="I1828" s="39" t="str">
        <f t="shared" si="127"/>
        <v/>
      </c>
      <c r="J1828" s="39" t="str">
        <f>""</f>
        <v/>
      </c>
    </row>
    <row r="1829" spans="3:10">
      <c r="C1829" s="39" t="s">
        <v>3790</v>
      </c>
      <c r="D1829" s="39" t="s">
        <v>3790</v>
      </c>
      <c r="E1829" s="26" t="s">
        <v>3790</v>
      </c>
      <c r="F1829" s="39" t="str">
        <f t="shared" si="124"/>
        <v/>
      </c>
      <c r="G1829" s="39" t="str">
        <f t="shared" si="125"/>
        <v/>
      </c>
      <c r="H1829" s="39" t="str">
        <f t="shared" si="126"/>
        <v/>
      </c>
      <c r="I1829" s="39" t="str">
        <f t="shared" si="127"/>
        <v/>
      </c>
      <c r="J1829" s="39" t="str">
        <f>""</f>
        <v/>
      </c>
    </row>
    <row r="1830" spans="3:10">
      <c r="C1830" s="39" t="s">
        <v>3790</v>
      </c>
      <c r="D1830" s="39" t="s">
        <v>3790</v>
      </c>
      <c r="E1830" s="26" t="s">
        <v>3790</v>
      </c>
      <c r="F1830" s="39" t="str">
        <f t="shared" si="124"/>
        <v/>
      </c>
      <c r="G1830" s="39" t="str">
        <f t="shared" si="125"/>
        <v/>
      </c>
      <c r="H1830" s="39" t="str">
        <f t="shared" si="126"/>
        <v/>
      </c>
      <c r="I1830" s="39" t="str">
        <f t="shared" si="127"/>
        <v/>
      </c>
      <c r="J1830" s="39" t="str">
        <f>""</f>
        <v/>
      </c>
    </row>
    <row r="1831" spans="3:10">
      <c r="C1831" s="39" t="s">
        <v>3790</v>
      </c>
      <c r="D1831" s="39" t="s">
        <v>3790</v>
      </c>
      <c r="E1831" s="26" t="s">
        <v>3790</v>
      </c>
      <c r="F1831" s="39" t="str">
        <f t="shared" si="124"/>
        <v/>
      </c>
      <c r="G1831" s="39" t="str">
        <f t="shared" si="125"/>
        <v/>
      </c>
      <c r="H1831" s="39" t="str">
        <f t="shared" si="126"/>
        <v/>
      </c>
      <c r="I1831" s="39" t="str">
        <f t="shared" si="127"/>
        <v/>
      </c>
      <c r="J1831" s="39" t="str">
        <f>""</f>
        <v/>
      </c>
    </row>
    <row r="1832" spans="3:10">
      <c r="C1832" s="39" t="s">
        <v>3790</v>
      </c>
      <c r="D1832" s="39" t="s">
        <v>3790</v>
      </c>
      <c r="E1832" s="26" t="s">
        <v>3790</v>
      </c>
      <c r="F1832" s="39" t="str">
        <f t="shared" si="124"/>
        <v/>
      </c>
      <c r="G1832" s="39" t="str">
        <f t="shared" si="125"/>
        <v/>
      </c>
      <c r="H1832" s="39" t="str">
        <f t="shared" si="126"/>
        <v/>
      </c>
      <c r="I1832" s="39" t="str">
        <f t="shared" si="127"/>
        <v/>
      </c>
      <c r="J1832" s="39" t="str">
        <f>""</f>
        <v/>
      </c>
    </row>
    <row r="1833" spans="3:10">
      <c r="C1833" s="39" t="s">
        <v>3790</v>
      </c>
      <c r="D1833" s="39" t="s">
        <v>3790</v>
      </c>
      <c r="E1833" s="26" t="s">
        <v>3790</v>
      </c>
      <c r="F1833" s="39" t="str">
        <f t="shared" si="124"/>
        <v/>
      </c>
      <c r="G1833" s="39" t="str">
        <f t="shared" si="125"/>
        <v/>
      </c>
      <c r="H1833" s="39" t="str">
        <f t="shared" si="126"/>
        <v/>
      </c>
      <c r="I1833" s="39" t="str">
        <f t="shared" si="127"/>
        <v/>
      </c>
      <c r="J1833" s="39" t="str">
        <f>""</f>
        <v/>
      </c>
    </row>
    <row r="1834" spans="3:10">
      <c r="C1834" s="39" t="s">
        <v>3790</v>
      </c>
      <c r="D1834" s="39" t="s">
        <v>3790</v>
      </c>
      <c r="E1834" s="26" t="s">
        <v>3790</v>
      </c>
      <c r="F1834" s="39" t="str">
        <f t="shared" si="124"/>
        <v/>
      </c>
      <c r="G1834" s="39" t="str">
        <f t="shared" si="125"/>
        <v/>
      </c>
      <c r="H1834" s="39" t="str">
        <f t="shared" si="126"/>
        <v/>
      </c>
      <c r="I1834" s="39" t="str">
        <f t="shared" si="127"/>
        <v/>
      </c>
      <c r="J1834" s="39" t="str">
        <f>""</f>
        <v/>
      </c>
    </row>
    <row r="1835" spans="3:10">
      <c r="C1835" s="39" t="s">
        <v>3790</v>
      </c>
      <c r="D1835" s="39" t="s">
        <v>3790</v>
      </c>
      <c r="E1835" s="26" t="s">
        <v>3790</v>
      </c>
      <c r="F1835" s="39" t="str">
        <f t="shared" si="124"/>
        <v/>
      </c>
      <c r="G1835" s="39" t="str">
        <f t="shared" si="125"/>
        <v/>
      </c>
      <c r="H1835" s="39" t="str">
        <f t="shared" si="126"/>
        <v/>
      </c>
      <c r="I1835" s="39" t="str">
        <f t="shared" si="127"/>
        <v/>
      </c>
      <c r="J1835" s="39" t="str">
        <f>""</f>
        <v/>
      </c>
    </row>
    <row r="1836" spans="3:10">
      <c r="C1836" s="39" t="s">
        <v>3790</v>
      </c>
      <c r="D1836" s="39" t="s">
        <v>3790</v>
      </c>
      <c r="E1836" s="26" t="s">
        <v>3790</v>
      </c>
      <c r="F1836" s="39" t="str">
        <f t="shared" si="124"/>
        <v/>
      </c>
      <c r="G1836" s="39" t="str">
        <f t="shared" si="125"/>
        <v/>
      </c>
      <c r="H1836" s="39" t="str">
        <f t="shared" si="126"/>
        <v/>
      </c>
      <c r="I1836" s="39" t="str">
        <f t="shared" si="127"/>
        <v/>
      </c>
      <c r="J1836" s="39" t="str">
        <f>""</f>
        <v/>
      </c>
    </row>
    <row r="1837" spans="3:10">
      <c r="C1837" s="39" t="s">
        <v>3790</v>
      </c>
      <c r="D1837" s="39" t="s">
        <v>3790</v>
      </c>
      <c r="E1837" s="26" t="s">
        <v>3790</v>
      </c>
      <c r="F1837" s="39" t="str">
        <f t="shared" si="124"/>
        <v/>
      </c>
      <c r="G1837" s="39" t="str">
        <f t="shared" si="125"/>
        <v/>
      </c>
      <c r="H1837" s="39" t="str">
        <f t="shared" si="126"/>
        <v/>
      </c>
      <c r="I1837" s="39" t="str">
        <f t="shared" si="127"/>
        <v/>
      </c>
      <c r="J1837" s="39" t="str">
        <f>""</f>
        <v/>
      </c>
    </row>
    <row r="1838" spans="3:10">
      <c r="C1838" s="39" t="s">
        <v>3790</v>
      </c>
      <c r="D1838" s="39" t="s">
        <v>3790</v>
      </c>
      <c r="E1838" s="26" t="s">
        <v>3790</v>
      </c>
      <c r="F1838" s="39" t="str">
        <f t="shared" si="124"/>
        <v/>
      </c>
      <c r="G1838" s="39" t="str">
        <f t="shared" si="125"/>
        <v/>
      </c>
      <c r="H1838" s="39" t="str">
        <f t="shared" si="126"/>
        <v/>
      </c>
      <c r="I1838" s="39" t="str">
        <f t="shared" si="127"/>
        <v/>
      </c>
      <c r="J1838" s="39" t="str">
        <f>""</f>
        <v/>
      </c>
    </row>
    <row r="1839" spans="3:10">
      <c r="C1839" s="39" t="s">
        <v>3790</v>
      </c>
      <c r="D1839" s="39" t="s">
        <v>3790</v>
      </c>
      <c r="E1839" s="26" t="s">
        <v>3790</v>
      </c>
      <c r="F1839" s="39" t="str">
        <f t="shared" si="124"/>
        <v/>
      </c>
      <c r="G1839" s="39" t="str">
        <f t="shared" si="125"/>
        <v/>
      </c>
      <c r="H1839" s="39" t="str">
        <f t="shared" si="126"/>
        <v/>
      </c>
      <c r="I1839" s="39" t="str">
        <f t="shared" si="127"/>
        <v/>
      </c>
      <c r="J1839" s="39" t="str">
        <f>""</f>
        <v/>
      </c>
    </row>
    <row r="1840" spans="3:10">
      <c r="C1840" s="39" t="s">
        <v>3790</v>
      </c>
      <c r="D1840" s="39" t="s">
        <v>3790</v>
      </c>
      <c r="E1840" s="26" t="s">
        <v>3790</v>
      </c>
      <c r="F1840" s="39" t="str">
        <f t="shared" si="124"/>
        <v/>
      </c>
      <c r="G1840" s="39" t="str">
        <f t="shared" si="125"/>
        <v/>
      </c>
      <c r="H1840" s="39" t="str">
        <f t="shared" si="126"/>
        <v/>
      </c>
      <c r="I1840" s="39" t="str">
        <f t="shared" si="127"/>
        <v/>
      </c>
      <c r="J1840" s="39" t="str">
        <f>""</f>
        <v/>
      </c>
    </row>
    <row r="1841" spans="3:10">
      <c r="C1841" s="39" t="s">
        <v>3790</v>
      </c>
      <c r="D1841" s="39" t="s">
        <v>3790</v>
      </c>
      <c r="E1841" s="26" t="s">
        <v>3790</v>
      </c>
      <c r="F1841" s="39" t="str">
        <f t="shared" si="124"/>
        <v/>
      </c>
      <c r="G1841" s="39" t="str">
        <f t="shared" si="125"/>
        <v/>
      </c>
      <c r="H1841" s="39" t="str">
        <f t="shared" si="126"/>
        <v/>
      </c>
      <c r="I1841" s="39" t="str">
        <f t="shared" si="127"/>
        <v/>
      </c>
      <c r="J1841" s="39" t="str">
        <f>""</f>
        <v/>
      </c>
    </row>
    <row r="1842" spans="3:10">
      <c r="C1842" s="39" t="s">
        <v>3790</v>
      </c>
      <c r="D1842" s="39" t="s">
        <v>3790</v>
      </c>
      <c r="E1842" s="26" t="s">
        <v>3790</v>
      </c>
      <c r="F1842" s="39" t="str">
        <f t="shared" si="124"/>
        <v/>
      </c>
      <c r="G1842" s="39" t="str">
        <f t="shared" si="125"/>
        <v/>
      </c>
      <c r="H1842" s="39" t="str">
        <f t="shared" si="126"/>
        <v/>
      </c>
      <c r="I1842" s="39" t="str">
        <f t="shared" si="127"/>
        <v/>
      </c>
      <c r="J1842" s="39" t="str">
        <f>""</f>
        <v/>
      </c>
    </row>
    <row r="1843" spans="3:10">
      <c r="C1843" s="39" t="s">
        <v>3790</v>
      </c>
      <c r="D1843" s="39" t="s">
        <v>3790</v>
      </c>
      <c r="E1843" s="26" t="s">
        <v>3790</v>
      </c>
      <c r="F1843" s="39" t="str">
        <f t="shared" si="124"/>
        <v/>
      </c>
      <c r="G1843" s="39" t="str">
        <f t="shared" si="125"/>
        <v/>
      </c>
      <c r="H1843" s="39" t="str">
        <f t="shared" si="126"/>
        <v/>
      </c>
      <c r="I1843" s="39" t="str">
        <f t="shared" si="127"/>
        <v/>
      </c>
      <c r="J1843" s="39" t="str">
        <f>""</f>
        <v/>
      </c>
    </row>
    <row r="1844" spans="3:10">
      <c r="C1844" s="39" t="s">
        <v>3790</v>
      </c>
      <c r="D1844" s="39" t="s">
        <v>3790</v>
      </c>
      <c r="E1844" s="26" t="s">
        <v>3790</v>
      </c>
      <c r="F1844" s="39" t="str">
        <f t="shared" si="124"/>
        <v/>
      </c>
      <c r="G1844" s="39" t="str">
        <f t="shared" si="125"/>
        <v/>
      </c>
      <c r="H1844" s="39" t="str">
        <f t="shared" si="126"/>
        <v/>
      </c>
      <c r="I1844" s="39" t="str">
        <f t="shared" si="127"/>
        <v/>
      </c>
      <c r="J1844" s="39" t="str">
        <f>""</f>
        <v/>
      </c>
    </row>
    <row r="1845" spans="3:10">
      <c r="C1845" s="39" t="s">
        <v>3790</v>
      </c>
      <c r="D1845" s="39" t="s">
        <v>3790</v>
      </c>
      <c r="E1845" s="26" t="s">
        <v>3790</v>
      </c>
      <c r="F1845" s="39" t="str">
        <f t="shared" si="124"/>
        <v/>
      </c>
      <c r="G1845" s="39" t="str">
        <f t="shared" si="125"/>
        <v/>
      </c>
      <c r="H1845" s="39" t="str">
        <f t="shared" si="126"/>
        <v/>
      </c>
      <c r="I1845" s="39" t="str">
        <f t="shared" si="127"/>
        <v/>
      </c>
      <c r="J1845" s="39" t="str">
        <f>""</f>
        <v/>
      </c>
    </row>
    <row r="1846" spans="3:10">
      <c r="C1846" s="39" t="s">
        <v>3790</v>
      </c>
      <c r="D1846" s="39" t="s">
        <v>3790</v>
      </c>
      <c r="E1846" s="26" t="s">
        <v>3790</v>
      </c>
      <c r="F1846" s="39" t="str">
        <f t="shared" si="124"/>
        <v/>
      </c>
      <c r="G1846" s="39" t="str">
        <f t="shared" si="125"/>
        <v/>
      </c>
      <c r="H1846" s="39" t="str">
        <f t="shared" si="126"/>
        <v/>
      </c>
      <c r="I1846" s="39" t="str">
        <f t="shared" si="127"/>
        <v/>
      </c>
      <c r="J1846" s="39" t="str">
        <f>""</f>
        <v/>
      </c>
    </row>
    <row r="1847" spans="3:10">
      <c r="C1847" s="39" t="s">
        <v>3790</v>
      </c>
      <c r="D1847" s="39" t="s">
        <v>3790</v>
      </c>
      <c r="E1847" s="26" t="s">
        <v>3790</v>
      </c>
      <c r="F1847" s="39" t="str">
        <f t="shared" si="124"/>
        <v/>
      </c>
      <c r="G1847" s="39" t="str">
        <f t="shared" si="125"/>
        <v/>
      </c>
      <c r="H1847" s="39" t="str">
        <f t="shared" si="126"/>
        <v/>
      </c>
      <c r="I1847" s="39" t="str">
        <f t="shared" si="127"/>
        <v/>
      </c>
      <c r="J1847" s="39" t="str">
        <f>""</f>
        <v/>
      </c>
    </row>
    <row r="1848" spans="3:10">
      <c r="C1848" s="39" t="s">
        <v>3790</v>
      </c>
      <c r="D1848" s="39" t="s">
        <v>3790</v>
      </c>
      <c r="E1848" s="26" t="s">
        <v>3790</v>
      </c>
      <c r="F1848" s="39" t="str">
        <f t="shared" si="124"/>
        <v/>
      </c>
      <c r="G1848" s="39" t="str">
        <f t="shared" si="125"/>
        <v/>
      </c>
      <c r="H1848" s="39" t="str">
        <f t="shared" si="126"/>
        <v/>
      </c>
      <c r="I1848" s="39" t="str">
        <f t="shared" si="127"/>
        <v/>
      </c>
      <c r="J1848" s="39" t="str">
        <f>""</f>
        <v/>
      </c>
    </row>
    <row r="1849" spans="3:10">
      <c r="C1849" s="39" t="s">
        <v>3790</v>
      </c>
      <c r="D1849" s="39" t="s">
        <v>3790</v>
      </c>
      <c r="E1849" s="26" t="s">
        <v>3790</v>
      </c>
      <c r="F1849" s="39" t="str">
        <f t="shared" si="124"/>
        <v/>
      </c>
      <c r="G1849" s="39" t="str">
        <f t="shared" si="125"/>
        <v/>
      </c>
      <c r="H1849" s="39" t="str">
        <f t="shared" si="126"/>
        <v/>
      </c>
      <c r="I1849" s="39" t="str">
        <f t="shared" si="127"/>
        <v/>
      </c>
      <c r="J1849" s="39" t="str">
        <f>""</f>
        <v/>
      </c>
    </row>
    <row r="1850" spans="3:10">
      <c r="C1850" s="39" t="s">
        <v>3790</v>
      </c>
      <c r="D1850" s="39" t="s">
        <v>3790</v>
      </c>
      <c r="E1850" s="26" t="s">
        <v>3790</v>
      </c>
      <c r="F1850" s="39" t="str">
        <f t="shared" si="124"/>
        <v/>
      </c>
      <c r="G1850" s="39" t="str">
        <f t="shared" si="125"/>
        <v/>
      </c>
      <c r="H1850" s="39" t="str">
        <f t="shared" si="126"/>
        <v/>
      </c>
      <c r="I1850" s="39" t="str">
        <f t="shared" si="127"/>
        <v/>
      </c>
      <c r="J1850" s="39" t="str">
        <f>""</f>
        <v/>
      </c>
    </row>
    <row r="1851" spans="3:10">
      <c r="C1851" s="39" t="s">
        <v>3790</v>
      </c>
      <c r="D1851" s="39" t="s">
        <v>3790</v>
      </c>
      <c r="E1851" s="26" t="s">
        <v>3790</v>
      </c>
      <c r="F1851" s="39" t="str">
        <f t="shared" si="124"/>
        <v/>
      </c>
      <c r="G1851" s="39" t="str">
        <f t="shared" si="125"/>
        <v/>
      </c>
      <c r="H1851" s="39" t="str">
        <f t="shared" si="126"/>
        <v/>
      </c>
      <c r="I1851" s="39" t="str">
        <f t="shared" si="127"/>
        <v/>
      </c>
      <c r="J1851" s="39" t="str">
        <f>""</f>
        <v/>
      </c>
    </row>
    <row r="1852" spans="3:10">
      <c r="C1852" s="39" t="s">
        <v>3790</v>
      </c>
      <c r="D1852" s="39" t="s">
        <v>3790</v>
      </c>
      <c r="E1852" s="26" t="s">
        <v>3790</v>
      </c>
      <c r="F1852" s="39" t="str">
        <f t="shared" si="124"/>
        <v/>
      </c>
      <c r="G1852" s="39" t="str">
        <f t="shared" si="125"/>
        <v/>
      </c>
      <c r="H1852" s="39" t="str">
        <f t="shared" si="126"/>
        <v/>
      </c>
      <c r="I1852" s="39" t="str">
        <f t="shared" si="127"/>
        <v/>
      </c>
      <c r="J1852" s="39" t="str">
        <f>""</f>
        <v/>
      </c>
    </row>
    <row r="1853" spans="3:10">
      <c r="C1853" s="39" t="s">
        <v>3790</v>
      </c>
      <c r="D1853" s="39" t="s">
        <v>3790</v>
      </c>
      <c r="E1853" s="26" t="s">
        <v>3790</v>
      </c>
      <c r="F1853" s="39" t="str">
        <f t="shared" si="124"/>
        <v/>
      </c>
      <c r="G1853" s="39" t="str">
        <f t="shared" si="125"/>
        <v/>
      </c>
      <c r="H1853" s="39" t="str">
        <f t="shared" si="126"/>
        <v/>
      </c>
      <c r="I1853" s="39" t="str">
        <f t="shared" si="127"/>
        <v/>
      </c>
      <c r="J1853" s="39" t="str">
        <f>""</f>
        <v/>
      </c>
    </row>
    <row r="1854" spans="3:10">
      <c r="C1854" s="39" t="s">
        <v>3790</v>
      </c>
      <c r="D1854" s="39" t="s">
        <v>3790</v>
      </c>
      <c r="E1854" s="26" t="s">
        <v>3790</v>
      </c>
      <c r="F1854" s="39" t="str">
        <f t="shared" si="124"/>
        <v/>
      </c>
      <c r="G1854" s="39" t="str">
        <f t="shared" si="125"/>
        <v/>
      </c>
      <c r="H1854" s="39" t="str">
        <f t="shared" si="126"/>
        <v/>
      </c>
      <c r="I1854" s="39" t="str">
        <f t="shared" si="127"/>
        <v/>
      </c>
      <c r="J1854" s="39" t="str">
        <f>""</f>
        <v/>
      </c>
    </row>
    <row r="1855" spans="3:10">
      <c r="C1855" s="39" t="s">
        <v>3790</v>
      </c>
      <c r="D1855" s="39" t="s">
        <v>3790</v>
      </c>
      <c r="E1855" s="26" t="s">
        <v>3790</v>
      </c>
      <c r="F1855" s="39" t="str">
        <f t="shared" si="124"/>
        <v/>
      </c>
      <c r="G1855" s="39" t="str">
        <f t="shared" si="125"/>
        <v/>
      </c>
      <c r="H1855" s="39" t="str">
        <f t="shared" si="126"/>
        <v/>
      </c>
      <c r="I1855" s="39" t="str">
        <f t="shared" si="127"/>
        <v/>
      </c>
      <c r="J1855" s="39" t="str">
        <f>""</f>
        <v/>
      </c>
    </row>
    <row r="1856" spans="3:10">
      <c r="C1856" s="39" t="s">
        <v>3790</v>
      </c>
      <c r="D1856" s="39" t="s">
        <v>3790</v>
      </c>
      <c r="E1856" s="26" t="s">
        <v>3790</v>
      </c>
      <c r="F1856" s="39" t="str">
        <f t="shared" si="124"/>
        <v/>
      </c>
      <c r="G1856" s="39" t="str">
        <f t="shared" si="125"/>
        <v/>
      </c>
      <c r="H1856" s="39" t="str">
        <f t="shared" si="126"/>
        <v/>
      </c>
      <c r="I1856" s="39" t="str">
        <f t="shared" si="127"/>
        <v/>
      </c>
      <c r="J1856" s="39" t="str">
        <f>""</f>
        <v/>
      </c>
    </row>
    <row r="1857" spans="3:10">
      <c r="C1857" s="39" t="s">
        <v>3790</v>
      </c>
      <c r="D1857" s="39" t="s">
        <v>3790</v>
      </c>
      <c r="E1857" s="26" t="s">
        <v>3790</v>
      </c>
      <c r="F1857" s="39" t="str">
        <f t="shared" si="124"/>
        <v/>
      </c>
      <c r="G1857" s="39" t="str">
        <f t="shared" si="125"/>
        <v/>
      </c>
      <c r="H1857" s="39" t="str">
        <f t="shared" si="126"/>
        <v/>
      </c>
      <c r="I1857" s="39" t="str">
        <f t="shared" si="127"/>
        <v/>
      </c>
      <c r="J1857" s="39" t="str">
        <f>""</f>
        <v/>
      </c>
    </row>
    <row r="1858" spans="3:10">
      <c r="C1858" s="39" t="s">
        <v>3790</v>
      </c>
      <c r="D1858" s="39" t="s">
        <v>3790</v>
      </c>
      <c r="E1858" s="26" t="s">
        <v>3790</v>
      </c>
      <c r="F1858" s="39" t="str">
        <f t="shared" si="124"/>
        <v/>
      </c>
      <c r="G1858" s="39" t="str">
        <f t="shared" si="125"/>
        <v/>
      </c>
      <c r="H1858" s="39" t="str">
        <f t="shared" si="126"/>
        <v/>
      </c>
      <c r="I1858" s="39" t="str">
        <f t="shared" si="127"/>
        <v/>
      </c>
      <c r="J1858" s="39" t="str">
        <f>""</f>
        <v/>
      </c>
    </row>
    <row r="1859" spans="3:10">
      <c r="C1859" s="39" t="s">
        <v>3790</v>
      </c>
      <c r="D1859" s="39" t="s">
        <v>3790</v>
      </c>
      <c r="E1859" s="26" t="s">
        <v>3790</v>
      </c>
      <c r="F1859" s="39" t="str">
        <f t="shared" ref="F1859:F1883" si="128">IF(C1859="","",IF(C1859&lt;99,C1859,""))</f>
        <v/>
      </c>
      <c r="G1859" s="39" t="str">
        <f t="shared" ref="G1859:G1883" si="129">IF(OR(F1859&lt;&gt;"",D1859&lt;&gt;""),C1859,"")</f>
        <v/>
      </c>
      <c r="H1859" s="39" t="str">
        <f t="shared" ref="H1859:H1883" si="130">IF(C1859="","",C1859)</f>
        <v/>
      </c>
      <c r="I1859" s="39" t="str">
        <f t="shared" ref="I1859:I1883" si="131">IF(AND(C1859&lt;&gt;"",D1859&lt;&gt;""),C1859,"")</f>
        <v/>
      </c>
      <c r="J1859" s="39" t="str">
        <f>""</f>
        <v/>
      </c>
    </row>
    <row r="1860" spans="3:10">
      <c r="C1860" s="39" t="s">
        <v>3790</v>
      </c>
      <c r="D1860" s="39" t="s">
        <v>3790</v>
      </c>
      <c r="E1860" s="26" t="s">
        <v>3790</v>
      </c>
      <c r="F1860" s="39" t="str">
        <f t="shared" si="128"/>
        <v/>
      </c>
      <c r="G1860" s="39" t="str">
        <f t="shared" si="129"/>
        <v/>
      </c>
      <c r="H1860" s="39" t="str">
        <f t="shared" si="130"/>
        <v/>
      </c>
      <c r="I1860" s="39" t="str">
        <f t="shared" si="131"/>
        <v/>
      </c>
      <c r="J1860" s="39" t="str">
        <f>""</f>
        <v/>
      </c>
    </row>
    <row r="1861" spans="3:10">
      <c r="C1861" s="39" t="s">
        <v>3790</v>
      </c>
      <c r="D1861" s="39" t="s">
        <v>3790</v>
      </c>
      <c r="E1861" s="26" t="s">
        <v>3790</v>
      </c>
      <c r="F1861" s="39" t="str">
        <f t="shared" si="128"/>
        <v/>
      </c>
      <c r="G1861" s="39" t="str">
        <f t="shared" si="129"/>
        <v/>
      </c>
      <c r="H1861" s="39" t="str">
        <f t="shared" si="130"/>
        <v/>
      </c>
      <c r="I1861" s="39" t="str">
        <f t="shared" si="131"/>
        <v/>
      </c>
      <c r="J1861" s="39" t="str">
        <f>""</f>
        <v/>
      </c>
    </row>
    <row r="1862" spans="3:10">
      <c r="C1862" s="39" t="s">
        <v>3790</v>
      </c>
      <c r="D1862" s="39" t="s">
        <v>3790</v>
      </c>
      <c r="E1862" s="26" t="s">
        <v>3790</v>
      </c>
      <c r="F1862" s="39" t="str">
        <f t="shared" si="128"/>
        <v/>
      </c>
      <c r="G1862" s="39" t="str">
        <f t="shared" si="129"/>
        <v/>
      </c>
      <c r="H1862" s="39" t="str">
        <f t="shared" si="130"/>
        <v/>
      </c>
      <c r="I1862" s="39" t="str">
        <f t="shared" si="131"/>
        <v/>
      </c>
      <c r="J1862" s="39" t="str">
        <f>""</f>
        <v/>
      </c>
    </row>
    <row r="1863" spans="3:10">
      <c r="C1863" s="39" t="s">
        <v>3790</v>
      </c>
      <c r="D1863" s="39" t="s">
        <v>3790</v>
      </c>
      <c r="E1863" s="26" t="s">
        <v>3790</v>
      </c>
      <c r="F1863" s="39" t="str">
        <f t="shared" si="128"/>
        <v/>
      </c>
      <c r="G1863" s="39" t="str">
        <f t="shared" si="129"/>
        <v/>
      </c>
      <c r="H1863" s="39" t="str">
        <f t="shared" si="130"/>
        <v/>
      </c>
      <c r="I1863" s="39" t="str">
        <f t="shared" si="131"/>
        <v/>
      </c>
      <c r="J1863" s="39" t="str">
        <f>""</f>
        <v/>
      </c>
    </row>
    <row r="1864" spans="3:10">
      <c r="C1864" s="39" t="s">
        <v>3790</v>
      </c>
      <c r="D1864" s="39" t="s">
        <v>3790</v>
      </c>
      <c r="E1864" s="26" t="s">
        <v>3790</v>
      </c>
      <c r="F1864" s="39" t="str">
        <f t="shared" si="128"/>
        <v/>
      </c>
      <c r="G1864" s="39" t="str">
        <f t="shared" si="129"/>
        <v/>
      </c>
      <c r="H1864" s="39" t="str">
        <f t="shared" si="130"/>
        <v/>
      </c>
      <c r="I1864" s="39" t="str">
        <f t="shared" si="131"/>
        <v/>
      </c>
      <c r="J1864" s="39" t="str">
        <f>""</f>
        <v/>
      </c>
    </row>
    <row r="1865" spans="3:10">
      <c r="C1865" s="39" t="s">
        <v>3790</v>
      </c>
      <c r="D1865" s="39" t="s">
        <v>3790</v>
      </c>
      <c r="E1865" s="26" t="s">
        <v>3790</v>
      </c>
      <c r="F1865" s="39" t="str">
        <f t="shared" si="128"/>
        <v/>
      </c>
      <c r="G1865" s="39" t="str">
        <f t="shared" si="129"/>
        <v/>
      </c>
      <c r="H1865" s="39" t="str">
        <f t="shared" si="130"/>
        <v/>
      </c>
      <c r="I1865" s="39" t="str">
        <f t="shared" si="131"/>
        <v/>
      </c>
      <c r="J1865" s="39" t="str">
        <f>""</f>
        <v/>
      </c>
    </row>
    <row r="1866" spans="3:10">
      <c r="C1866" s="39" t="s">
        <v>3790</v>
      </c>
      <c r="D1866" s="39" t="s">
        <v>3790</v>
      </c>
      <c r="E1866" s="26" t="s">
        <v>3790</v>
      </c>
      <c r="F1866" s="39" t="str">
        <f t="shared" si="128"/>
        <v/>
      </c>
      <c r="G1866" s="39" t="str">
        <f t="shared" si="129"/>
        <v/>
      </c>
      <c r="H1866" s="39" t="str">
        <f t="shared" si="130"/>
        <v/>
      </c>
      <c r="I1866" s="39" t="str">
        <f t="shared" si="131"/>
        <v/>
      </c>
      <c r="J1866" s="39" t="str">
        <f>""</f>
        <v/>
      </c>
    </row>
    <row r="1867" spans="3:10">
      <c r="C1867" s="39" t="s">
        <v>3790</v>
      </c>
      <c r="D1867" s="39" t="s">
        <v>3790</v>
      </c>
      <c r="E1867" s="26" t="s">
        <v>3790</v>
      </c>
      <c r="F1867" s="39" t="str">
        <f t="shared" si="128"/>
        <v/>
      </c>
      <c r="G1867" s="39" t="str">
        <f t="shared" si="129"/>
        <v/>
      </c>
      <c r="H1867" s="39" t="str">
        <f t="shared" si="130"/>
        <v/>
      </c>
      <c r="I1867" s="39" t="str">
        <f t="shared" si="131"/>
        <v/>
      </c>
      <c r="J1867" s="39" t="str">
        <f>""</f>
        <v/>
      </c>
    </row>
    <row r="1868" spans="3:10">
      <c r="C1868" s="39" t="s">
        <v>3790</v>
      </c>
      <c r="D1868" s="39" t="s">
        <v>3790</v>
      </c>
      <c r="E1868" s="26" t="s">
        <v>3790</v>
      </c>
      <c r="F1868" s="39" t="str">
        <f t="shared" si="128"/>
        <v/>
      </c>
      <c r="G1868" s="39" t="str">
        <f t="shared" si="129"/>
        <v/>
      </c>
      <c r="H1868" s="39" t="str">
        <f t="shared" si="130"/>
        <v/>
      </c>
      <c r="I1868" s="39" t="str">
        <f t="shared" si="131"/>
        <v/>
      </c>
      <c r="J1868" s="39" t="str">
        <f>""</f>
        <v/>
      </c>
    </row>
    <row r="1869" spans="3:10">
      <c r="C1869" s="39" t="s">
        <v>3790</v>
      </c>
      <c r="D1869" s="39" t="s">
        <v>3790</v>
      </c>
      <c r="E1869" s="26" t="s">
        <v>3790</v>
      </c>
      <c r="F1869" s="39" t="str">
        <f t="shared" si="128"/>
        <v/>
      </c>
      <c r="G1869" s="39" t="str">
        <f t="shared" si="129"/>
        <v/>
      </c>
      <c r="H1869" s="39" t="str">
        <f t="shared" si="130"/>
        <v/>
      </c>
      <c r="I1869" s="39" t="str">
        <f t="shared" si="131"/>
        <v/>
      </c>
      <c r="J1869" s="39" t="str">
        <f>""</f>
        <v/>
      </c>
    </row>
    <row r="1870" spans="3:10">
      <c r="C1870" s="39" t="s">
        <v>3790</v>
      </c>
      <c r="D1870" s="39" t="s">
        <v>3790</v>
      </c>
      <c r="E1870" s="26" t="s">
        <v>3790</v>
      </c>
      <c r="F1870" s="39" t="str">
        <f t="shared" si="128"/>
        <v/>
      </c>
      <c r="G1870" s="39" t="str">
        <f t="shared" si="129"/>
        <v/>
      </c>
      <c r="H1870" s="39" t="str">
        <f t="shared" si="130"/>
        <v/>
      </c>
      <c r="I1870" s="39" t="str">
        <f t="shared" si="131"/>
        <v/>
      </c>
      <c r="J1870" s="39" t="str">
        <f>""</f>
        <v/>
      </c>
    </row>
    <row r="1871" spans="3:10">
      <c r="C1871" s="39" t="s">
        <v>3790</v>
      </c>
      <c r="D1871" s="39" t="s">
        <v>3790</v>
      </c>
      <c r="E1871" s="26" t="s">
        <v>3790</v>
      </c>
      <c r="F1871" s="39" t="str">
        <f t="shared" si="128"/>
        <v/>
      </c>
      <c r="G1871" s="39" t="str">
        <f t="shared" si="129"/>
        <v/>
      </c>
      <c r="H1871" s="39" t="str">
        <f t="shared" si="130"/>
        <v/>
      </c>
      <c r="I1871" s="39" t="str">
        <f t="shared" si="131"/>
        <v/>
      </c>
      <c r="J1871" s="39" t="str">
        <f>""</f>
        <v/>
      </c>
    </row>
    <row r="1872" spans="3:10">
      <c r="C1872" s="39" t="s">
        <v>3790</v>
      </c>
      <c r="D1872" s="39" t="s">
        <v>3790</v>
      </c>
      <c r="E1872" s="26" t="s">
        <v>3790</v>
      </c>
      <c r="F1872" s="39" t="str">
        <f t="shared" si="128"/>
        <v/>
      </c>
      <c r="G1872" s="39" t="str">
        <f t="shared" si="129"/>
        <v/>
      </c>
      <c r="H1872" s="39" t="str">
        <f t="shared" si="130"/>
        <v/>
      </c>
      <c r="I1872" s="39" t="str">
        <f t="shared" si="131"/>
        <v/>
      </c>
      <c r="J1872" s="39" t="str">
        <f>""</f>
        <v/>
      </c>
    </row>
    <row r="1873" spans="3:10">
      <c r="C1873" s="39" t="s">
        <v>3790</v>
      </c>
      <c r="D1873" s="39" t="s">
        <v>3790</v>
      </c>
      <c r="E1873" s="26" t="s">
        <v>3790</v>
      </c>
      <c r="F1873" s="39" t="str">
        <f t="shared" si="128"/>
        <v/>
      </c>
      <c r="G1873" s="39" t="str">
        <f t="shared" si="129"/>
        <v/>
      </c>
      <c r="H1873" s="39" t="str">
        <f t="shared" si="130"/>
        <v/>
      </c>
      <c r="I1873" s="39" t="str">
        <f t="shared" si="131"/>
        <v/>
      </c>
      <c r="J1873" s="39" t="str">
        <f>""</f>
        <v/>
      </c>
    </row>
    <row r="1874" spans="3:10">
      <c r="C1874" s="39" t="s">
        <v>3790</v>
      </c>
      <c r="D1874" s="39" t="s">
        <v>3790</v>
      </c>
      <c r="E1874" s="26" t="s">
        <v>3790</v>
      </c>
      <c r="F1874" s="39" t="str">
        <f t="shared" si="128"/>
        <v/>
      </c>
      <c r="G1874" s="39" t="str">
        <f t="shared" si="129"/>
        <v/>
      </c>
      <c r="H1874" s="39" t="str">
        <f t="shared" si="130"/>
        <v/>
      </c>
      <c r="I1874" s="39" t="str">
        <f t="shared" si="131"/>
        <v/>
      </c>
      <c r="J1874" s="39" t="str">
        <f>""</f>
        <v/>
      </c>
    </row>
    <row r="1875" spans="3:10">
      <c r="C1875" s="39" t="s">
        <v>3790</v>
      </c>
      <c r="D1875" s="39" t="s">
        <v>3790</v>
      </c>
      <c r="E1875" s="26" t="s">
        <v>3790</v>
      </c>
      <c r="F1875" s="39" t="str">
        <f t="shared" si="128"/>
        <v/>
      </c>
      <c r="G1875" s="39" t="str">
        <f t="shared" si="129"/>
        <v/>
      </c>
      <c r="H1875" s="39" t="str">
        <f t="shared" si="130"/>
        <v/>
      </c>
      <c r="I1875" s="39" t="str">
        <f t="shared" si="131"/>
        <v/>
      </c>
      <c r="J1875" s="39" t="str">
        <f>""</f>
        <v/>
      </c>
    </row>
    <row r="1876" spans="3:10">
      <c r="C1876" s="39" t="s">
        <v>3790</v>
      </c>
      <c r="D1876" s="39" t="s">
        <v>3790</v>
      </c>
      <c r="E1876" s="26" t="s">
        <v>3790</v>
      </c>
      <c r="F1876" s="39" t="str">
        <f t="shared" si="128"/>
        <v/>
      </c>
      <c r="G1876" s="39" t="str">
        <f t="shared" si="129"/>
        <v/>
      </c>
      <c r="H1876" s="39" t="str">
        <f t="shared" si="130"/>
        <v/>
      </c>
      <c r="I1876" s="39" t="str">
        <f t="shared" si="131"/>
        <v/>
      </c>
      <c r="J1876" s="39" t="str">
        <f>""</f>
        <v/>
      </c>
    </row>
    <row r="1877" spans="3:10">
      <c r="C1877" s="39" t="s">
        <v>3790</v>
      </c>
      <c r="D1877" s="39" t="s">
        <v>3790</v>
      </c>
      <c r="E1877" s="26" t="s">
        <v>3790</v>
      </c>
      <c r="F1877" s="39" t="str">
        <f t="shared" si="128"/>
        <v/>
      </c>
      <c r="G1877" s="39" t="str">
        <f t="shared" si="129"/>
        <v/>
      </c>
      <c r="H1877" s="39" t="str">
        <f t="shared" si="130"/>
        <v/>
      </c>
      <c r="I1877" s="39" t="str">
        <f t="shared" si="131"/>
        <v/>
      </c>
      <c r="J1877" s="39" t="str">
        <f>""</f>
        <v/>
      </c>
    </row>
    <row r="1878" spans="3:10">
      <c r="C1878" s="39" t="s">
        <v>3790</v>
      </c>
      <c r="D1878" s="39" t="s">
        <v>3790</v>
      </c>
      <c r="E1878" s="26" t="s">
        <v>3790</v>
      </c>
      <c r="F1878" s="39" t="str">
        <f t="shared" si="128"/>
        <v/>
      </c>
      <c r="G1878" s="39" t="str">
        <f t="shared" si="129"/>
        <v/>
      </c>
      <c r="H1878" s="39" t="str">
        <f t="shared" si="130"/>
        <v/>
      </c>
      <c r="I1878" s="39" t="str">
        <f t="shared" si="131"/>
        <v/>
      </c>
      <c r="J1878" s="39" t="str">
        <f>""</f>
        <v/>
      </c>
    </row>
    <row r="1879" spans="3:10">
      <c r="C1879" s="39" t="s">
        <v>3790</v>
      </c>
      <c r="D1879" s="39" t="s">
        <v>3790</v>
      </c>
      <c r="E1879" s="26" t="s">
        <v>3790</v>
      </c>
      <c r="F1879" s="39" t="str">
        <f t="shared" si="128"/>
        <v/>
      </c>
      <c r="G1879" s="39" t="str">
        <f t="shared" si="129"/>
        <v/>
      </c>
      <c r="H1879" s="39" t="str">
        <f t="shared" si="130"/>
        <v/>
      </c>
      <c r="I1879" s="39" t="str">
        <f t="shared" si="131"/>
        <v/>
      </c>
      <c r="J1879" s="39" t="str">
        <f>""</f>
        <v/>
      </c>
    </row>
    <row r="1880" spans="3:10">
      <c r="C1880" s="39" t="s">
        <v>3790</v>
      </c>
      <c r="D1880" s="39" t="s">
        <v>3790</v>
      </c>
      <c r="E1880" s="26" t="s">
        <v>3790</v>
      </c>
      <c r="F1880" s="39" t="str">
        <f t="shared" si="128"/>
        <v/>
      </c>
      <c r="G1880" s="39" t="str">
        <f t="shared" si="129"/>
        <v/>
      </c>
      <c r="H1880" s="39" t="str">
        <f t="shared" si="130"/>
        <v/>
      </c>
      <c r="I1880" s="39" t="str">
        <f t="shared" si="131"/>
        <v/>
      </c>
      <c r="J1880" s="39" t="str">
        <f>""</f>
        <v/>
      </c>
    </row>
    <row r="1881" spans="3:10">
      <c r="C1881" s="39" t="s">
        <v>3790</v>
      </c>
      <c r="D1881" s="39" t="s">
        <v>3790</v>
      </c>
      <c r="E1881" s="26" t="s">
        <v>3790</v>
      </c>
      <c r="F1881" s="39" t="str">
        <f t="shared" si="128"/>
        <v/>
      </c>
      <c r="G1881" s="39" t="str">
        <f t="shared" si="129"/>
        <v/>
      </c>
      <c r="H1881" s="39" t="str">
        <f t="shared" si="130"/>
        <v/>
      </c>
      <c r="I1881" s="39" t="str">
        <f t="shared" si="131"/>
        <v/>
      </c>
      <c r="J1881" s="39" t="str">
        <f>""</f>
        <v/>
      </c>
    </row>
    <row r="1882" spans="3:10">
      <c r="C1882" s="39" t="s">
        <v>3790</v>
      </c>
      <c r="D1882" s="39" t="s">
        <v>3790</v>
      </c>
      <c r="E1882" s="26" t="s">
        <v>3790</v>
      </c>
      <c r="F1882" s="39" t="str">
        <f t="shared" si="128"/>
        <v/>
      </c>
      <c r="G1882" s="39" t="str">
        <f t="shared" si="129"/>
        <v/>
      </c>
      <c r="H1882" s="39" t="str">
        <f t="shared" si="130"/>
        <v/>
      </c>
      <c r="I1882" s="39" t="str">
        <f t="shared" si="131"/>
        <v/>
      </c>
      <c r="J1882" s="39" t="str">
        <f>""</f>
        <v/>
      </c>
    </row>
    <row r="1883" spans="3:10">
      <c r="C1883" s="39" t="s">
        <v>3790</v>
      </c>
      <c r="D1883" s="39" t="s">
        <v>3790</v>
      </c>
      <c r="E1883" s="26" t="s">
        <v>3790</v>
      </c>
      <c r="F1883" s="39" t="str">
        <f t="shared" si="128"/>
        <v/>
      </c>
      <c r="G1883" s="39" t="str">
        <f t="shared" si="129"/>
        <v/>
      </c>
      <c r="H1883" s="39" t="str">
        <f t="shared" si="130"/>
        <v/>
      </c>
      <c r="I1883" s="39" t="str">
        <f t="shared" si="131"/>
        <v/>
      </c>
      <c r="J1883" s="39" t="str">
        <f>""</f>
        <v/>
      </c>
    </row>
    <row r="1884" spans="3:10">
      <c r="C1884" s="39" t="s">
        <v>3790</v>
      </c>
      <c r="D1884" s="39" t="s">
        <v>3790</v>
      </c>
      <c r="E1884" s="26" t="s">
        <v>3790</v>
      </c>
    </row>
    <row r="1885" spans="3:10">
      <c r="C1885" s="39" t="s">
        <v>3790</v>
      </c>
      <c r="D1885" s="39" t="s">
        <v>3790</v>
      </c>
      <c r="E1885" s="26" t="s">
        <v>3790</v>
      </c>
    </row>
    <row r="1886" spans="3:10">
      <c r="C1886" s="39" t="s">
        <v>3790</v>
      </c>
      <c r="D1886" s="39" t="s">
        <v>3790</v>
      </c>
      <c r="E1886" s="26" t="s">
        <v>3790</v>
      </c>
    </row>
    <row r="1887" spans="3:10">
      <c r="C1887" s="39" t="s">
        <v>3790</v>
      </c>
      <c r="D1887" s="39" t="s">
        <v>3790</v>
      </c>
      <c r="E1887" s="26" t="s">
        <v>3790</v>
      </c>
    </row>
    <row r="1888" spans="3:10">
      <c r="C1888" s="39" t="s">
        <v>3790</v>
      </c>
      <c r="D1888" s="39" t="s">
        <v>3790</v>
      </c>
      <c r="E1888" s="26" t="s">
        <v>3790</v>
      </c>
    </row>
    <row r="1889" spans="3:5">
      <c r="C1889" s="39" t="s">
        <v>3790</v>
      </c>
      <c r="D1889" s="39" t="s">
        <v>3790</v>
      </c>
      <c r="E1889" s="26" t="s">
        <v>3790</v>
      </c>
    </row>
    <row r="1890" spans="3:5">
      <c r="C1890" s="39" t="s">
        <v>3790</v>
      </c>
      <c r="D1890" s="39" t="s">
        <v>3790</v>
      </c>
      <c r="E1890" s="26" t="s">
        <v>3790</v>
      </c>
    </row>
    <row r="1891" spans="3:5">
      <c r="C1891" s="39" t="s">
        <v>3790</v>
      </c>
      <c r="D1891" s="39" t="s">
        <v>3790</v>
      </c>
      <c r="E1891" s="26" t="s">
        <v>3790</v>
      </c>
    </row>
    <row r="1892" spans="3:5">
      <c r="C1892" s="39" t="s">
        <v>3790</v>
      </c>
      <c r="D1892" s="39" t="s">
        <v>3790</v>
      </c>
      <c r="E1892" s="26" t="s">
        <v>3790</v>
      </c>
    </row>
    <row r="1893" spans="3:5">
      <c r="C1893" s="39" t="s">
        <v>3790</v>
      </c>
      <c r="D1893" s="39" t="s">
        <v>3790</v>
      </c>
      <c r="E1893" s="26" t="s">
        <v>3790</v>
      </c>
    </row>
    <row r="1894" spans="3:5">
      <c r="C1894" s="39" t="s">
        <v>3790</v>
      </c>
      <c r="D1894" s="39" t="s">
        <v>3790</v>
      </c>
      <c r="E1894" s="26" t="s">
        <v>3790</v>
      </c>
    </row>
    <row r="1895" spans="3:5">
      <c r="C1895" s="39" t="s">
        <v>3790</v>
      </c>
      <c r="D1895" s="39" t="s">
        <v>3790</v>
      </c>
      <c r="E1895" s="26" t="s">
        <v>3790</v>
      </c>
    </row>
    <row r="1896" spans="3:5">
      <c r="C1896" s="39" t="s">
        <v>3790</v>
      </c>
      <c r="D1896" s="39" t="s">
        <v>3790</v>
      </c>
      <c r="E1896" s="26" t="s">
        <v>3790</v>
      </c>
    </row>
    <row r="1897" spans="3:5">
      <c r="C1897" s="39" t="s">
        <v>3790</v>
      </c>
      <c r="D1897" s="39" t="s">
        <v>3790</v>
      </c>
      <c r="E1897" s="26" t="s">
        <v>3790</v>
      </c>
    </row>
    <row r="1898" spans="3:5">
      <c r="C1898" s="39" t="s">
        <v>3790</v>
      </c>
      <c r="D1898" s="39" t="s">
        <v>3790</v>
      </c>
      <c r="E1898" s="26" t="s">
        <v>3790</v>
      </c>
    </row>
    <row r="1899" spans="3:5">
      <c r="C1899" s="39" t="s">
        <v>3790</v>
      </c>
      <c r="D1899" s="39" t="s">
        <v>3790</v>
      </c>
      <c r="E1899" s="26" t="s">
        <v>3790</v>
      </c>
    </row>
    <row r="1900" spans="3:5">
      <c r="C1900" s="39" t="s">
        <v>3790</v>
      </c>
      <c r="D1900" s="39" t="s">
        <v>3790</v>
      </c>
      <c r="E1900" s="26" t="s">
        <v>3790</v>
      </c>
    </row>
    <row r="1901" spans="3:5">
      <c r="C1901" s="39" t="s">
        <v>3790</v>
      </c>
      <c r="D1901" s="39" t="s">
        <v>3790</v>
      </c>
      <c r="E1901" s="26" t="s">
        <v>3790</v>
      </c>
    </row>
    <row r="1902" spans="3:5">
      <c r="C1902" s="39" t="s">
        <v>3790</v>
      </c>
      <c r="D1902" s="39" t="s">
        <v>3790</v>
      </c>
      <c r="E1902" s="26" t="s">
        <v>3790</v>
      </c>
    </row>
    <row r="1903" spans="3:5">
      <c r="C1903" s="39" t="s">
        <v>3790</v>
      </c>
      <c r="D1903" s="39" t="s">
        <v>3790</v>
      </c>
      <c r="E1903" s="26" t="s">
        <v>3790</v>
      </c>
    </row>
    <row r="1904" spans="3:5">
      <c r="C1904" s="39" t="s">
        <v>3790</v>
      </c>
      <c r="D1904" s="39" t="s">
        <v>3790</v>
      </c>
      <c r="E1904" s="26" t="s">
        <v>3790</v>
      </c>
    </row>
    <row r="1905" spans="3:5">
      <c r="C1905" s="39" t="s">
        <v>3790</v>
      </c>
      <c r="D1905" s="39" t="s">
        <v>3790</v>
      </c>
      <c r="E1905" s="26" t="s">
        <v>3790</v>
      </c>
    </row>
    <row r="1906" spans="3:5">
      <c r="C1906" s="39" t="s">
        <v>3790</v>
      </c>
      <c r="D1906" s="39" t="s">
        <v>3790</v>
      </c>
      <c r="E1906" s="26" t="s">
        <v>3790</v>
      </c>
    </row>
    <row r="1907" spans="3:5">
      <c r="C1907" s="39" t="s">
        <v>3790</v>
      </c>
      <c r="D1907" s="39" t="s">
        <v>3790</v>
      </c>
      <c r="E1907" s="26" t="s">
        <v>3790</v>
      </c>
    </row>
    <row r="1908" spans="3:5">
      <c r="C1908" s="39" t="s">
        <v>3790</v>
      </c>
      <c r="D1908" s="39" t="s">
        <v>3790</v>
      </c>
      <c r="E1908" s="26" t="s">
        <v>3790</v>
      </c>
    </row>
    <row r="1909" spans="3:5">
      <c r="C1909" s="39" t="s">
        <v>3790</v>
      </c>
      <c r="D1909" s="39" t="s">
        <v>3790</v>
      </c>
      <c r="E1909" s="26" t="s">
        <v>3790</v>
      </c>
    </row>
    <row r="1910" spans="3:5">
      <c r="C1910" s="39" t="s">
        <v>3790</v>
      </c>
      <c r="D1910" s="39" t="s">
        <v>3790</v>
      </c>
      <c r="E1910" s="26" t="s">
        <v>3790</v>
      </c>
    </row>
    <row r="1911" spans="3:5">
      <c r="C1911" s="39" t="s">
        <v>3790</v>
      </c>
      <c r="D1911" s="39" t="s">
        <v>3790</v>
      </c>
      <c r="E1911" s="26" t="s">
        <v>3790</v>
      </c>
    </row>
    <row r="1912" spans="3:5">
      <c r="C1912" s="39" t="s">
        <v>3790</v>
      </c>
      <c r="D1912" s="39" t="s">
        <v>3790</v>
      </c>
      <c r="E1912" s="26" t="s">
        <v>3790</v>
      </c>
    </row>
    <row r="1913" spans="3:5">
      <c r="C1913" s="39" t="s">
        <v>3790</v>
      </c>
      <c r="D1913" s="39" t="s">
        <v>3790</v>
      </c>
      <c r="E1913" s="26" t="s">
        <v>3790</v>
      </c>
    </row>
    <row r="1914" spans="3:5">
      <c r="C1914" s="39" t="s">
        <v>3790</v>
      </c>
      <c r="D1914" s="39" t="s">
        <v>3790</v>
      </c>
      <c r="E1914" s="26" t="s">
        <v>3790</v>
      </c>
    </row>
    <row r="1915" spans="3:5">
      <c r="C1915" s="39" t="s">
        <v>3790</v>
      </c>
      <c r="D1915" s="39" t="s">
        <v>3790</v>
      </c>
      <c r="E1915" s="26" t="s">
        <v>3790</v>
      </c>
    </row>
    <row r="1916" spans="3:5">
      <c r="C1916" s="39" t="s">
        <v>3790</v>
      </c>
      <c r="D1916" s="39" t="s">
        <v>3790</v>
      </c>
      <c r="E1916" s="26" t="s">
        <v>3790</v>
      </c>
    </row>
    <row r="1917" spans="3:5">
      <c r="C1917" s="39" t="s">
        <v>3790</v>
      </c>
      <c r="D1917" s="39" t="s">
        <v>3790</v>
      </c>
      <c r="E1917" s="26" t="s">
        <v>3790</v>
      </c>
    </row>
    <row r="1918" spans="3:5">
      <c r="C1918" s="39" t="s">
        <v>3790</v>
      </c>
      <c r="D1918" s="39" t="s">
        <v>3790</v>
      </c>
      <c r="E1918" s="26" t="s">
        <v>3790</v>
      </c>
    </row>
    <row r="1919" spans="3:5">
      <c r="C1919" s="39" t="s">
        <v>3790</v>
      </c>
      <c r="D1919" s="39" t="s">
        <v>3790</v>
      </c>
      <c r="E1919" s="26" t="s">
        <v>3790</v>
      </c>
    </row>
    <row r="1920" spans="3:5">
      <c r="C1920" s="39" t="s">
        <v>3790</v>
      </c>
      <c r="D1920" s="39" t="s">
        <v>3790</v>
      </c>
      <c r="E1920" s="26" t="s">
        <v>3790</v>
      </c>
    </row>
    <row r="1921" spans="3:5">
      <c r="C1921" s="39" t="s">
        <v>3790</v>
      </c>
      <c r="D1921" s="39" t="s">
        <v>3790</v>
      </c>
      <c r="E1921" s="26" t="s">
        <v>3790</v>
      </c>
    </row>
    <row r="1922" spans="3:5">
      <c r="C1922" s="39" t="s">
        <v>3790</v>
      </c>
      <c r="D1922" s="39" t="s">
        <v>3790</v>
      </c>
      <c r="E1922" s="26" t="s">
        <v>3790</v>
      </c>
    </row>
    <row r="1923" spans="3:5">
      <c r="C1923" s="39" t="s">
        <v>3790</v>
      </c>
      <c r="D1923" s="39" t="s">
        <v>3790</v>
      </c>
      <c r="E1923" s="26" t="s">
        <v>3790</v>
      </c>
    </row>
    <row r="1924" spans="3:5">
      <c r="C1924" s="39" t="s">
        <v>3790</v>
      </c>
      <c r="D1924" s="39" t="s">
        <v>3790</v>
      </c>
      <c r="E1924" s="26" t="s">
        <v>3790</v>
      </c>
    </row>
    <row r="1925" spans="3:5">
      <c r="C1925" s="39" t="s">
        <v>3790</v>
      </c>
      <c r="D1925" s="39" t="s">
        <v>3790</v>
      </c>
      <c r="E1925" s="26" t="s">
        <v>3790</v>
      </c>
    </row>
    <row r="1926" spans="3:5">
      <c r="C1926" s="39" t="s">
        <v>3790</v>
      </c>
      <c r="D1926" s="39" t="s">
        <v>3790</v>
      </c>
      <c r="E1926" s="26" t="s">
        <v>3790</v>
      </c>
    </row>
    <row r="1927" spans="3:5">
      <c r="C1927" s="39" t="s">
        <v>3790</v>
      </c>
      <c r="D1927" s="39" t="s">
        <v>3790</v>
      </c>
      <c r="E1927" s="26" t="s">
        <v>3790</v>
      </c>
    </row>
    <row r="1928" spans="3:5">
      <c r="C1928" s="39" t="s">
        <v>3790</v>
      </c>
      <c r="D1928" s="39" t="s">
        <v>3790</v>
      </c>
      <c r="E1928" s="26" t="s">
        <v>3790</v>
      </c>
    </row>
    <row r="1929" spans="3:5">
      <c r="C1929" s="39" t="s">
        <v>3790</v>
      </c>
      <c r="D1929" s="39" t="s">
        <v>3790</v>
      </c>
      <c r="E1929" s="26" t="s">
        <v>3790</v>
      </c>
    </row>
    <row r="1930" spans="3:5">
      <c r="C1930" s="39" t="s">
        <v>3790</v>
      </c>
      <c r="D1930" s="39" t="s">
        <v>3790</v>
      </c>
      <c r="E1930" s="26" t="s">
        <v>3790</v>
      </c>
    </row>
    <row r="1931" spans="3:5">
      <c r="C1931" s="39" t="s">
        <v>3790</v>
      </c>
      <c r="D1931" s="39" t="s">
        <v>3790</v>
      </c>
      <c r="E1931" s="26" t="s">
        <v>3790</v>
      </c>
    </row>
    <row r="1932" spans="3:5">
      <c r="C1932" s="39" t="s">
        <v>3790</v>
      </c>
      <c r="D1932" s="39" t="s">
        <v>3790</v>
      </c>
      <c r="E1932" s="26" t="s">
        <v>3790</v>
      </c>
    </row>
    <row r="1933" spans="3:5">
      <c r="C1933" s="39" t="s">
        <v>3790</v>
      </c>
      <c r="D1933" s="39" t="s">
        <v>3790</v>
      </c>
      <c r="E1933" s="26" t="s">
        <v>3790</v>
      </c>
    </row>
    <row r="1934" spans="3:5">
      <c r="C1934" s="39" t="s">
        <v>3790</v>
      </c>
      <c r="D1934" s="39" t="s">
        <v>3790</v>
      </c>
      <c r="E1934" s="26" t="s">
        <v>3790</v>
      </c>
    </row>
    <row r="1935" spans="3:5">
      <c r="C1935" s="39" t="s">
        <v>3790</v>
      </c>
      <c r="D1935" s="39" t="s">
        <v>3790</v>
      </c>
      <c r="E1935" s="26" t="s">
        <v>3790</v>
      </c>
    </row>
    <row r="1936" spans="3:5">
      <c r="C1936" s="39" t="s">
        <v>3790</v>
      </c>
      <c r="D1936" s="39" t="s">
        <v>3790</v>
      </c>
      <c r="E1936" s="26" t="s">
        <v>3790</v>
      </c>
    </row>
    <row r="1937" spans="3:5">
      <c r="C1937" s="39" t="s">
        <v>3790</v>
      </c>
      <c r="D1937" s="39" t="s">
        <v>3790</v>
      </c>
      <c r="E1937" s="26" t="s">
        <v>3790</v>
      </c>
    </row>
    <row r="1938" spans="3:5">
      <c r="C1938" s="39" t="s">
        <v>3790</v>
      </c>
      <c r="D1938" s="39" t="s">
        <v>3790</v>
      </c>
      <c r="E1938" s="26" t="s">
        <v>3790</v>
      </c>
    </row>
    <row r="1939" spans="3:5">
      <c r="C1939" s="39" t="s">
        <v>3790</v>
      </c>
      <c r="D1939" s="39" t="s">
        <v>3790</v>
      </c>
      <c r="E1939" s="26" t="s">
        <v>3790</v>
      </c>
    </row>
    <row r="1940" spans="3:5">
      <c r="C1940" s="39" t="s">
        <v>3790</v>
      </c>
      <c r="D1940" s="39" t="s">
        <v>3790</v>
      </c>
      <c r="E1940" s="26" t="s">
        <v>3790</v>
      </c>
    </row>
    <row r="1941" spans="3:5">
      <c r="C1941" s="39" t="s">
        <v>3790</v>
      </c>
      <c r="D1941" s="39" t="s">
        <v>3790</v>
      </c>
      <c r="E1941" s="26" t="s">
        <v>3790</v>
      </c>
    </row>
    <row r="1942" spans="3:5">
      <c r="C1942" s="39" t="s">
        <v>3790</v>
      </c>
      <c r="D1942" s="39" t="s">
        <v>3790</v>
      </c>
      <c r="E1942" s="26" t="s">
        <v>3790</v>
      </c>
    </row>
    <row r="1943" spans="3:5">
      <c r="C1943" s="39" t="s">
        <v>3790</v>
      </c>
      <c r="D1943" s="39" t="s">
        <v>3790</v>
      </c>
      <c r="E1943" s="26" t="s">
        <v>3790</v>
      </c>
    </row>
    <row r="1944" spans="3:5">
      <c r="C1944" s="39" t="s">
        <v>3790</v>
      </c>
      <c r="D1944" s="39" t="s">
        <v>3790</v>
      </c>
      <c r="E1944" s="26" t="s">
        <v>3790</v>
      </c>
    </row>
    <row r="1945" spans="3:5">
      <c r="C1945" s="39" t="s">
        <v>3790</v>
      </c>
      <c r="D1945" s="39" t="s">
        <v>3790</v>
      </c>
      <c r="E1945" s="26" t="s">
        <v>3790</v>
      </c>
    </row>
    <row r="1946" spans="3:5">
      <c r="C1946" s="39" t="s">
        <v>3790</v>
      </c>
      <c r="D1946" s="39" t="s">
        <v>3790</v>
      </c>
      <c r="E1946" s="26" t="s">
        <v>3790</v>
      </c>
    </row>
    <row r="1947" spans="3:5">
      <c r="C1947" s="39" t="s">
        <v>3790</v>
      </c>
      <c r="D1947" s="39" t="s">
        <v>3790</v>
      </c>
      <c r="E1947" s="26" t="s">
        <v>3790</v>
      </c>
    </row>
    <row r="1948" spans="3:5">
      <c r="C1948" s="39" t="s">
        <v>3790</v>
      </c>
      <c r="D1948" s="39" t="s">
        <v>3790</v>
      </c>
      <c r="E1948" s="26" t="s">
        <v>3790</v>
      </c>
    </row>
    <row r="1949" spans="3:5">
      <c r="C1949" s="39" t="s">
        <v>3790</v>
      </c>
      <c r="D1949" s="39" t="s">
        <v>3790</v>
      </c>
      <c r="E1949" s="26" t="s">
        <v>3790</v>
      </c>
    </row>
    <row r="1950" spans="3:5">
      <c r="C1950" s="39" t="s">
        <v>3790</v>
      </c>
      <c r="D1950" s="39" t="s">
        <v>3790</v>
      </c>
      <c r="E1950" s="26" t="s">
        <v>3790</v>
      </c>
    </row>
    <row r="1951" spans="3:5">
      <c r="C1951" s="39" t="s">
        <v>3790</v>
      </c>
      <c r="D1951" s="39" t="s">
        <v>3790</v>
      </c>
      <c r="E1951" s="26" t="s">
        <v>3790</v>
      </c>
    </row>
    <row r="1952" spans="3:5">
      <c r="C1952" s="39" t="s">
        <v>3790</v>
      </c>
      <c r="D1952" s="39" t="s">
        <v>3790</v>
      </c>
      <c r="E1952" s="26" t="s">
        <v>3790</v>
      </c>
    </row>
    <row r="1953" spans="3:5">
      <c r="C1953" s="39" t="s">
        <v>3790</v>
      </c>
      <c r="D1953" s="39" t="s">
        <v>3790</v>
      </c>
      <c r="E1953" s="26" t="s">
        <v>3790</v>
      </c>
    </row>
    <row r="1954" spans="3:5">
      <c r="C1954" s="39" t="s">
        <v>3790</v>
      </c>
      <c r="D1954" s="39" t="s">
        <v>3790</v>
      </c>
      <c r="E1954" s="26" t="s">
        <v>3790</v>
      </c>
    </row>
    <row r="1955" spans="3:5">
      <c r="C1955" s="39" t="s">
        <v>3790</v>
      </c>
      <c r="D1955" s="39" t="s">
        <v>3790</v>
      </c>
      <c r="E1955" s="26" t="s">
        <v>3790</v>
      </c>
    </row>
    <row r="1956" spans="3:5">
      <c r="C1956" s="39" t="s">
        <v>3790</v>
      </c>
      <c r="D1956" s="39" t="s">
        <v>3790</v>
      </c>
      <c r="E1956" s="26" t="s">
        <v>3790</v>
      </c>
    </row>
    <row r="1957" spans="3:5">
      <c r="C1957" s="39" t="s">
        <v>3790</v>
      </c>
      <c r="D1957" s="39" t="s">
        <v>3790</v>
      </c>
      <c r="E1957" s="26" t="s">
        <v>3790</v>
      </c>
    </row>
    <row r="1958" spans="3:5">
      <c r="C1958" s="39" t="s">
        <v>3790</v>
      </c>
      <c r="D1958" s="39" t="s">
        <v>3790</v>
      </c>
      <c r="E1958" s="26" t="s">
        <v>3790</v>
      </c>
    </row>
    <row r="1959" spans="3:5">
      <c r="C1959" s="39" t="s">
        <v>3790</v>
      </c>
      <c r="D1959" s="39" t="s">
        <v>3790</v>
      </c>
      <c r="E1959" s="26" t="s">
        <v>3790</v>
      </c>
    </row>
    <row r="1960" spans="3:5">
      <c r="C1960" s="39" t="s">
        <v>3790</v>
      </c>
      <c r="D1960" s="39" t="s">
        <v>3790</v>
      </c>
      <c r="E1960" s="26" t="s">
        <v>3790</v>
      </c>
    </row>
    <row r="1961" spans="3:5">
      <c r="C1961" s="39" t="s">
        <v>3790</v>
      </c>
      <c r="D1961" s="39" t="s">
        <v>3790</v>
      </c>
      <c r="E1961" s="26" t="s">
        <v>3790</v>
      </c>
    </row>
    <row r="1962" spans="3:5">
      <c r="C1962" s="39" t="s">
        <v>3790</v>
      </c>
      <c r="D1962" s="39" t="s">
        <v>3790</v>
      </c>
      <c r="E1962" s="26" t="s">
        <v>3790</v>
      </c>
    </row>
    <row r="1963" spans="3:5">
      <c r="C1963" s="39" t="s">
        <v>3790</v>
      </c>
      <c r="D1963" s="39" t="s">
        <v>3790</v>
      </c>
      <c r="E1963" s="26" t="s">
        <v>3790</v>
      </c>
    </row>
    <row r="1964" spans="3:5">
      <c r="C1964" s="39" t="s">
        <v>3790</v>
      </c>
      <c r="D1964" s="39" t="s">
        <v>3790</v>
      </c>
      <c r="E1964" s="26" t="s">
        <v>3790</v>
      </c>
    </row>
    <row r="1965" spans="3:5">
      <c r="C1965" s="39" t="s">
        <v>3790</v>
      </c>
      <c r="D1965" s="39" t="s">
        <v>3790</v>
      </c>
      <c r="E1965" s="26" t="s">
        <v>3790</v>
      </c>
    </row>
    <row r="1966" spans="3:5">
      <c r="C1966" s="39" t="s">
        <v>3790</v>
      </c>
      <c r="D1966" s="39" t="s">
        <v>3790</v>
      </c>
      <c r="E1966" s="26" t="s">
        <v>3790</v>
      </c>
    </row>
    <row r="1967" spans="3:5">
      <c r="C1967" s="39" t="s">
        <v>3790</v>
      </c>
      <c r="D1967" s="39" t="s">
        <v>3790</v>
      </c>
      <c r="E1967" s="26" t="s">
        <v>3790</v>
      </c>
    </row>
    <row r="1968" spans="3:5">
      <c r="C1968" s="39" t="s">
        <v>3790</v>
      </c>
      <c r="D1968" s="39" t="s">
        <v>3790</v>
      </c>
      <c r="E1968" s="26" t="s">
        <v>3790</v>
      </c>
    </row>
    <row r="1969" spans="3:5">
      <c r="C1969" s="39" t="s">
        <v>3790</v>
      </c>
      <c r="D1969" s="39" t="s">
        <v>3790</v>
      </c>
      <c r="E1969" s="26" t="s">
        <v>3790</v>
      </c>
    </row>
    <row r="1970" spans="3:5">
      <c r="C1970" s="39" t="s">
        <v>3790</v>
      </c>
      <c r="D1970" s="39" t="s">
        <v>3790</v>
      </c>
      <c r="E1970" s="26" t="s">
        <v>3790</v>
      </c>
    </row>
    <row r="1971" spans="3:5">
      <c r="C1971" s="39" t="s">
        <v>3790</v>
      </c>
      <c r="D1971" s="39" t="s">
        <v>3790</v>
      </c>
      <c r="E1971" s="26" t="s">
        <v>3790</v>
      </c>
    </row>
    <row r="1972" spans="3:5">
      <c r="C1972" s="39" t="s">
        <v>3790</v>
      </c>
      <c r="D1972" s="39" t="s">
        <v>3790</v>
      </c>
      <c r="E1972" s="26" t="s">
        <v>3790</v>
      </c>
    </row>
    <row r="1973" spans="3:5">
      <c r="C1973" s="39" t="s">
        <v>3790</v>
      </c>
      <c r="D1973" s="39" t="s">
        <v>3790</v>
      </c>
      <c r="E1973" s="26" t="s">
        <v>3790</v>
      </c>
    </row>
    <row r="1974" spans="3:5">
      <c r="C1974" s="39" t="s">
        <v>3790</v>
      </c>
      <c r="D1974" s="39" t="s">
        <v>3790</v>
      </c>
      <c r="E1974" s="26" t="s">
        <v>3790</v>
      </c>
    </row>
    <row r="1975" spans="3:5">
      <c r="C1975" s="39" t="s">
        <v>3790</v>
      </c>
      <c r="D1975" s="39" t="s">
        <v>3790</v>
      </c>
      <c r="E1975" s="26" t="s">
        <v>3790</v>
      </c>
    </row>
    <row r="1976" spans="3:5">
      <c r="C1976" s="39" t="s">
        <v>3790</v>
      </c>
      <c r="D1976" s="39" t="s">
        <v>3790</v>
      </c>
      <c r="E1976" s="26" t="s">
        <v>3790</v>
      </c>
    </row>
    <row r="1977" spans="3:5">
      <c r="C1977" s="39" t="s">
        <v>3790</v>
      </c>
      <c r="D1977" s="39" t="s">
        <v>3790</v>
      </c>
      <c r="E1977" s="26" t="s">
        <v>3790</v>
      </c>
    </row>
    <row r="1978" spans="3:5">
      <c r="C1978" s="39" t="s">
        <v>3790</v>
      </c>
      <c r="D1978" s="39" t="s">
        <v>3790</v>
      </c>
      <c r="E1978" s="26" t="s">
        <v>3790</v>
      </c>
    </row>
    <row r="1979" spans="3:5">
      <c r="C1979" s="39" t="s">
        <v>3790</v>
      </c>
      <c r="D1979" s="39" t="s">
        <v>3790</v>
      </c>
      <c r="E1979" s="26" t="s">
        <v>3790</v>
      </c>
    </row>
    <row r="1980" spans="3:5">
      <c r="C1980" s="39" t="s">
        <v>3790</v>
      </c>
      <c r="D1980" s="39" t="s">
        <v>3790</v>
      </c>
      <c r="E1980" s="26" t="s">
        <v>3790</v>
      </c>
    </row>
    <row r="1981" spans="3:5">
      <c r="C1981" s="39" t="s">
        <v>3790</v>
      </c>
      <c r="D1981" s="39" t="s">
        <v>3790</v>
      </c>
      <c r="E1981" s="26" t="s">
        <v>3790</v>
      </c>
    </row>
    <row r="1982" spans="3:5">
      <c r="C1982" s="39" t="s">
        <v>3790</v>
      </c>
      <c r="D1982" s="39" t="s">
        <v>3790</v>
      </c>
      <c r="E1982" s="26" t="s">
        <v>3790</v>
      </c>
    </row>
    <row r="1983" spans="3:5">
      <c r="C1983" s="39" t="s">
        <v>3790</v>
      </c>
      <c r="D1983" s="39" t="s">
        <v>3790</v>
      </c>
      <c r="E1983" s="26" t="s">
        <v>3790</v>
      </c>
    </row>
    <row r="1984" spans="3:5">
      <c r="C1984" s="39" t="s">
        <v>3790</v>
      </c>
      <c r="D1984" s="39" t="s">
        <v>3790</v>
      </c>
      <c r="E1984" s="26" t="s">
        <v>3790</v>
      </c>
    </row>
    <row r="1985" spans="3:5">
      <c r="C1985" s="39" t="s">
        <v>3790</v>
      </c>
      <c r="D1985" s="39" t="s">
        <v>3790</v>
      </c>
      <c r="E1985" s="26" t="s">
        <v>3790</v>
      </c>
    </row>
    <row r="1986" spans="3:5">
      <c r="C1986" s="39" t="s">
        <v>3790</v>
      </c>
      <c r="D1986" s="39" t="s">
        <v>3790</v>
      </c>
      <c r="E1986" s="26" t="s">
        <v>3790</v>
      </c>
    </row>
    <row r="1987" spans="3:5">
      <c r="C1987" s="39" t="s">
        <v>3790</v>
      </c>
      <c r="D1987" s="39" t="s">
        <v>3790</v>
      </c>
      <c r="E1987" s="26" t="s">
        <v>3790</v>
      </c>
    </row>
    <row r="1988" spans="3:5">
      <c r="C1988" s="39" t="s">
        <v>3790</v>
      </c>
      <c r="D1988" s="39" t="s">
        <v>3790</v>
      </c>
      <c r="E1988" s="26" t="s">
        <v>3790</v>
      </c>
    </row>
    <row r="1989" spans="3:5">
      <c r="C1989" s="39" t="s">
        <v>3790</v>
      </c>
      <c r="D1989" s="39" t="s">
        <v>3790</v>
      </c>
      <c r="E1989" s="26" t="s">
        <v>3790</v>
      </c>
    </row>
    <row r="1990" spans="3:5">
      <c r="C1990" s="39" t="s">
        <v>3790</v>
      </c>
      <c r="D1990" s="39" t="s">
        <v>3790</v>
      </c>
      <c r="E1990" s="26" t="s">
        <v>3790</v>
      </c>
    </row>
    <row r="1991" spans="3:5">
      <c r="C1991" s="39" t="s">
        <v>3790</v>
      </c>
      <c r="D1991" s="39" t="s">
        <v>3790</v>
      </c>
      <c r="E1991" s="26" t="s">
        <v>3790</v>
      </c>
    </row>
    <row r="1992" spans="3:5">
      <c r="C1992" s="39" t="s">
        <v>3790</v>
      </c>
      <c r="D1992" s="39" t="s">
        <v>3790</v>
      </c>
      <c r="E1992" s="26" t="s">
        <v>3790</v>
      </c>
    </row>
    <row r="1993" spans="3:5">
      <c r="C1993" s="39" t="s">
        <v>3790</v>
      </c>
      <c r="D1993" s="39" t="s">
        <v>3790</v>
      </c>
      <c r="E1993" s="26" t="s">
        <v>3790</v>
      </c>
    </row>
    <row r="1994" spans="3:5">
      <c r="C1994" s="39" t="s">
        <v>3790</v>
      </c>
      <c r="D1994" s="39" t="s">
        <v>3790</v>
      </c>
      <c r="E1994" s="26" t="s">
        <v>3790</v>
      </c>
    </row>
    <row r="1995" spans="3:5">
      <c r="C1995" s="39" t="s">
        <v>3790</v>
      </c>
      <c r="D1995" s="39" t="s">
        <v>3790</v>
      </c>
      <c r="E1995" s="26" t="s">
        <v>3790</v>
      </c>
    </row>
    <row r="1996" spans="3:5">
      <c r="C1996" s="39" t="s">
        <v>3790</v>
      </c>
      <c r="D1996" s="39" t="s">
        <v>3790</v>
      </c>
      <c r="E1996" s="26" t="s">
        <v>3790</v>
      </c>
    </row>
    <row r="1997" spans="3:5">
      <c r="C1997" s="39" t="s">
        <v>3790</v>
      </c>
      <c r="D1997" s="39" t="s">
        <v>3790</v>
      </c>
      <c r="E1997" s="26" t="s">
        <v>3790</v>
      </c>
    </row>
    <row r="1998" spans="3:5">
      <c r="C1998" s="39" t="s">
        <v>3790</v>
      </c>
      <c r="D1998" s="39" t="s">
        <v>3790</v>
      </c>
      <c r="E1998" s="26" t="s">
        <v>3790</v>
      </c>
    </row>
    <row r="1999" spans="3:5">
      <c r="C1999" s="39" t="s">
        <v>3790</v>
      </c>
      <c r="D1999" s="39" t="s">
        <v>3790</v>
      </c>
      <c r="E1999" s="26" t="s">
        <v>3790</v>
      </c>
    </row>
    <row r="2000" spans="3:5">
      <c r="C2000" s="39" t="s">
        <v>3790</v>
      </c>
      <c r="D2000" s="39" t="s">
        <v>3790</v>
      </c>
      <c r="E2000" s="26" t="s">
        <v>3790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793F-1CD5-4E97-B375-6183EDB77CD1}">
  <sheetPr codeName="Sheet15"/>
  <dimension ref="A1:C1763"/>
  <sheetViews>
    <sheetView workbookViewId="0"/>
  </sheetViews>
  <sheetFormatPr defaultRowHeight="15"/>
  <sheetData>
    <row r="1" spans="1:3">
      <c r="A1" t="s">
        <v>1</v>
      </c>
      <c r="B1" t="s">
        <v>4632</v>
      </c>
      <c r="C1" t="s">
        <v>5491</v>
      </c>
    </row>
    <row r="2" spans="1:3">
      <c r="A2" t="s">
        <v>56</v>
      </c>
    </row>
    <row r="3" spans="1:3">
      <c r="A3" t="s">
        <v>60</v>
      </c>
    </row>
    <row r="4" spans="1:3">
      <c r="A4" t="s">
        <v>61</v>
      </c>
    </row>
    <row r="5" spans="1:3">
      <c r="A5" t="s">
        <v>64</v>
      </c>
    </row>
    <row r="6" spans="1:3">
      <c r="A6" t="s">
        <v>65</v>
      </c>
    </row>
    <row r="7" spans="1:3">
      <c r="A7" t="s">
        <v>66</v>
      </c>
    </row>
    <row r="8" spans="1:3">
      <c r="A8" t="s">
        <v>69</v>
      </c>
    </row>
    <row r="9" spans="1:3">
      <c r="A9" t="s">
        <v>70</v>
      </c>
    </row>
    <row r="10" spans="1:3">
      <c r="A10" t="s">
        <v>71</v>
      </c>
    </row>
    <row r="11" spans="1:3">
      <c r="A11" t="s">
        <v>74</v>
      </c>
    </row>
    <row r="12" spans="1:3">
      <c r="A12" t="s">
        <v>75</v>
      </c>
    </row>
    <row r="13" spans="1:3">
      <c r="A13" t="s">
        <v>76</v>
      </c>
    </row>
    <row r="14" spans="1:3">
      <c r="A14" t="s">
        <v>79</v>
      </c>
    </row>
    <row r="15" spans="1:3">
      <c r="A15" t="s">
        <v>80</v>
      </c>
    </row>
    <row r="16" spans="1:3">
      <c r="A16" t="s">
        <v>81</v>
      </c>
    </row>
    <row r="17" spans="1:1">
      <c r="A17" t="s">
        <v>83</v>
      </c>
    </row>
    <row r="18" spans="1:1">
      <c r="A18" t="s">
        <v>85</v>
      </c>
    </row>
    <row r="19" spans="1:1">
      <c r="A19" t="s">
        <v>87</v>
      </c>
    </row>
    <row r="20" spans="1:1">
      <c r="A20" t="s">
        <v>88</v>
      </c>
    </row>
    <row r="21" spans="1:1">
      <c r="A21" t="s">
        <v>91</v>
      </c>
    </row>
    <row r="22" spans="1:1">
      <c r="A22" t="s">
        <v>92</v>
      </c>
    </row>
    <row r="23" spans="1:1">
      <c r="A23" t="s">
        <v>94</v>
      </c>
    </row>
    <row r="24" spans="1:1">
      <c r="A24" t="s">
        <v>95</v>
      </c>
    </row>
    <row r="25" spans="1:1">
      <c r="A25" t="s">
        <v>96</v>
      </c>
    </row>
    <row r="26" spans="1:1">
      <c r="A26" t="s">
        <v>98</v>
      </c>
    </row>
    <row r="27" spans="1:1">
      <c r="A27" t="s">
        <v>99</v>
      </c>
    </row>
    <row r="28" spans="1:1">
      <c r="A28" t="s">
        <v>102</v>
      </c>
    </row>
    <row r="29" spans="1:1">
      <c r="A29" t="s">
        <v>103</v>
      </c>
    </row>
    <row r="30" spans="1:1">
      <c r="A30" t="s">
        <v>106</v>
      </c>
    </row>
    <row r="31" spans="1:1">
      <c r="A31" t="s">
        <v>107</v>
      </c>
    </row>
    <row r="32" spans="1:1">
      <c r="A32" t="s">
        <v>108</v>
      </c>
    </row>
    <row r="33" spans="1:1">
      <c r="A33" t="s">
        <v>112</v>
      </c>
    </row>
    <row r="34" spans="1:1">
      <c r="A34" t="s">
        <v>113</v>
      </c>
    </row>
    <row r="35" spans="1:1">
      <c r="A35" t="s">
        <v>116</v>
      </c>
    </row>
    <row r="36" spans="1:1">
      <c r="A36" t="s">
        <v>117</v>
      </c>
    </row>
    <row r="37" spans="1:1">
      <c r="A37" t="s">
        <v>5421</v>
      </c>
    </row>
    <row r="38" spans="1:1">
      <c r="A38" t="s">
        <v>118</v>
      </c>
    </row>
    <row r="39" spans="1:1">
      <c r="A39" t="s">
        <v>120</v>
      </c>
    </row>
    <row r="40" spans="1:1">
      <c r="A40" t="s">
        <v>121</v>
      </c>
    </row>
    <row r="41" spans="1:1">
      <c r="A41" t="s">
        <v>123</v>
      </c>
    </row>
    <row r="42" spans="1:1">
      <c r="A42" t="s">
        <v>124</v>
      </c>
    </row>
    <row r="43" spans="1:1">
      <c r="A43" t="s">
        <v>127</v>
      </c>
    </row>
    <row r="44" spans="1:1">
      <c r="A44" t="s">
        <v>130</v>
      </c>
    </row>
    <row r="45" spans="1:1">
      <c r="A45" t="s">
        <v>135</v>
      </c>
    </row>
    <row r="46" spans="1:1">
      <c r="A46" t="s">
        <v>138</v>
      </c>
    </row>
    <row r="47" spans="1:1">
      <c r="A47" t="s">
        <v>139</v>
      </c>
    </row>
    <row r="48" spans="1:1">
      <c r="A48" t="s">
        <v>143</v>
      </c>
    </row>
    <row r="49" spans="1:1">
      <c r="A49" t="s">
        <v>144</v>
      </c>
    </row>
    <row r="50" spans="1:1">
      <c r="A50" t="s">
        <v>148</v>
      </c>
    </row>
    <row r="51" spans="1:1">
      <c r="A51" t="s">
        <v>150</v>
      </c>
    </row>
    <row r="52" spans="1:1">
      <c r="A52" t="s">
        <v>156</v>
      </c>
    </row>
    <row r="53" spans="1:1">
      <c r="A53" t="s">
        <v>159</v>
      </c>
    </row>
    <row r="54" spans="1:1">
      <c r="A54" t="s">
        <v>160</v>
      </c>
    </row>
    <row r="55" spans="1:1">
      <c r="A55" t="s">
        <v>163</v>
      </c>
    </row>
    <row r="56" spans="1:1">
      <c r="A56" t="s">
        <v>166</v>
      </c>
    </row>
    <row r="57" spans="1:1">
      <c r="A57" t="s">
        <v>168</v>
      </c>
    </row>
    <row r="58" spans="1:1">
      <c r="A58" t="s">
        <v>171</v>
      </c>
    </row>
    <row r="59" spans="1:1">
      <c r="A59" t="s">
        <v>173</v>
      </c>
    </row>
    <row r="60" spans="1:1">
      <c r="A60" t="s">
        <v>175</v>
      </c>
    </row>
    <row r="61" spans="1:1">
      <c r="A61" t="s">
        <v>176</v>
      </c>
    </row>
    <row r="62" spans="1:1">
      <c r="A62" t="s">
        <v>178</v>
      </c>
    </row>
    <row r="63" spans="1:1">
      <c r="A63" t="s">
        <v>180</v>
      </c>
    </row>
    <row r="64" spans="1:1">
      <c r="A64" t="s">
        <v>181</v>
      </c>
    </row>
    <row r="65" spans="1:1">
      <c r="A65" t="s">
        <v>185</v>
      </c>
    </row>
    <row r="66" spans="1:1">
      <c r="A66" t="s">
        <v>186</v>
      </c>
    </row>
    <row r="67" spans="1:1">
      <c r="A67" t="s">
        <v>189</v>
      </c>
    </row>
    <row r="68" spans="1:1">
      <c r="A68" t="s">
        <v>191</v>
      </c>
    </row>
    <row r="69" spans="1:1">
      <c r="A69" t="s">
        <v>193</v>
      </c>
    </row>
    <row r="70" spans="1:1">
      <c r="A70" t="s">
        <v>194</v>
      </c>
    </row>
    <row r="71" spans="1:1">
      <c r="A71" t="s">
        <v>197</v>
      </c>
    </row>
    <row r="72" spans="1:1">
      <c r="A72" t="s">
        <v>198</v>
      </c>
    </row>
    <row r="73" spans="1:1">
      <c r="A73" t="s">
        <v>199</v>
      </c>
    </row>
    <row r="74" spans="1:1">
      <c r="A74" t="s">
        <v>200</v>
      </c>
    </row>
    <row r="75" spans="1:1">
      <c r="A75" t="s">
        <v>204</v>
      </c>
    </row>
    <row r="76" spans="1:1">
      <c r="A76" t="s">
        <v>207</v>
      </c>
    </row>
    <row r="77" spans="1:1">
      <c r="A77" t="s">
        <v>210</v>
      </c>
    </row>
    <row r="78" spans="1:1">
      <c r="A78" t="s">
        <v>211</v>
      </c>
    </row>
    <row r="79" spans="1:1">
      <c r="A79" t="s">
        <v>213</v>
      </c>
    </row>
    <row r="80" spans="1:1">
      <c r="A80" t="s">
        <v>214</v>
      </c>
    </row>
    <row r="81" spans="1:1">
      <c r="A81" t="s">
        <v>217</v>
      </c>
    </row>
    <row r="82" spans="1:1">
      <c r="A82" t="s">
        <v>219</v>
      </c>
    </row>
    <row r="83" spans="1:1">
      <c r="A83" t="s">
        <v>221</v>
      </c>
    </row>
    <row r="84" spans="1:1">
      <c r="A84" t="s">
        <v>222</v>
      </c>
    </row>
    <row r="85" spans="1:1">
      <c r="A85" t="s">
        <v>224</v>
      </c>
    </row>
    <row r="86" spans="1:1">
      <c r="A86" t="s">
        <v>225</v>
      </c>
    </row>
    <row r="87" spans="1:1">
      <c r="A87" t="s">
        <v>227</v>
      </c>
    </row>
    <row r="88" spans="1:1">
      <c r="A88" t="s">
        <v>228</v>
      </c>
    </row>
    <row r="89" spans="1:1">
      <c r="A89" t="s">
        <v>230</v>
      </c>
    </row>
    <row r="90" spans="1:1">
      <c r="A90" t="s">
        <v>231</v>
      </c>
    </row>
    <row r="91" spans="1:1">
      <c r="A91" t="s">
        <v>233</v>
      </c>
    </row>
    <row r="92" spans="1:1">
      <c r="A92" t="s">
        <v>235</v>
      </c>
    </row>
    <row r="93" spans="1:1">
      <c r="A93" t="s">
        <v>237</v>
      </c>
    </row>
    <row r="94" spans="1:1">
      <c r="A94" t="s">
        <v>239</v>
      </c>
    </row>
    <row r="95" spans="1:1">
      <c r="A95" t="s">
        <v>241</v>
      </c>
    </row>
    <row r="96" spans="1:1">
      <c r="A96" t="s">
        <v>242</v>
      </c>
    </row>
    <row r="97" spans="1:1">
      <c r="A97" t="s">
        <v>244</v>
      </c>
    </row>
    <row r="98" spans="1:1">
      <c r="A98" t="s">
        <v>245</v>
      </c>
    </row>
    <row r="99" spans="1:1">
      <c r="A99" t="s">
        <v>248</v>
      </c>
    </row>
    <row r="100" spans="1:1">
      <c r="A100" t="s">
        <v>249</v>
      </c>
    </row>
    <row r="101" spans="1:1">
      <c r="A101" t="s">
        <v>251</v>
      </c>
    </row>
    <row r="102" spans="1:1">
      <c r="A102" t="s">
        <v>252</v>
      </c>
    </row>
    <row r="103" spans="1:1">
      <c r="A103" t="s">
        <v>254</v>
      </c>
    </row>
    <row r="104" spans="1:1">
      <c r="A104" t="s">
        <v>255</v>
      </c>
    </row>
    <row r="105" spans="1:1">
      <c r="A105" t="s">
        <v>256</v>
      </c>
    </row>
    <row r="106" spans="1:1">
      <c r="A106" t="s">
        <v>257</v>
      </c>
    </row>
    <row r="107" spans="1:1">
      <c r="A107" t="s">
        <v>259</v>
      </c>
    </row>
    <row r="108" spans="1:1">
      <c r="A108" t="s">
        <v>260</v>
      </c>
    </row>
    <row r="109" spans="1:1">
      <c r="A109" t="s">
        <v>262</v>
      </c>
    </row>
    <row r="110" spans="1:1">
      <c r="A110" t="s">
        <v>265</v>
      </c>
    </row>
    <row r="111" spans="1:1">
      <c r="A111" t="s">
        <v>269</v>
      </c>
    </row>
    <row r="112" spans="1:1">
      <c r="A112" t="s">
        <v>270</v>
      </c>
    </row>
    <row r="113" spans="1:1">
      <c r="A113" t="s">
        <v>3317</v>
      </c>
    </row>
    <row r="114" spans="1:1">
      <c r="A114" t="s">
        <v>273</v>
      </c>
    </row>
    <row r="115" spans="1:1">
      <c r="A115" t="s">
        <v>277</v>
      </c>
    </row>
    <row r="116" spans="1:1">
      <c r="A116" t="s">
        <v>2020</v>
      </c>
    </row>
    <row r="117" spans="1:1">
      <c r="A117" t="s">
        <v>2023</v>
      </c>
    </row>
    <row r="118" spans="1:1">
      <c r="A118" t="s">
        <v>278</v>
      </c>
    </row>
    <row r="119" spans="1:1">
      <c r="A119" t="s">
        <v>281</v>
      </c>
    </row>
    <row r="120" spans="1:1">
      <c r="A120" t="s">
        <v>3319</v>
      </c>
    </row>
    <row r="121" spans="1:1">
      <c r="A121" t="s">
        <v>282</v>
      </c>
    </row>
    <row r="122" spans="1:1">
      <c r="A122" t="s">
        <v>285</v>
      </c>
    </row>
    <row r="123" spans="1:1">
      <c r="A123" t="s">
        <v>287</v>
      </c>
    </row>
    <row r="124" spans="1:1">
      <c r="A124" t="s">
        <v>289</v>
      </c>
    </row>
    <row r="125" spans="1:1">
      <c r="A125" t="s">
        <v>2024</v>
      </c>
    </row>
    <row r="126" spans="1:1">
      <c r="A126" t="s">
        <v>2026</v>
      </c>
    </row>
    <row r="127" spans="1:1">
      <c r="A127" t="s">
        <v>290</v>
      </c>
    </row>
    <row r="128" spans="1:1">
      <c r="A128" t="s">
        <v>293</v>
      </c>
    </row>
    <row r="129" spans="1:1">
      <c r="A129" t="s">
        <v>295</v>
      </c>
    </row>
    <row r="130" spans="1:1">
      <c r="A130" t="s">
        <v>297</v>
      </c>
    </row>
    <row r="131" spans="1:1">
      <c r="A131" t="s">
        <v>2027</v>
      </c>
    </row>
    <row r="132" spans="1:1">
      <c r="A132" t="s">
        <v>2029</v>
      </c>
    </row>
    <row r="133" spans="1:1">
      <c r="A133" t="s">
        <v>298</v>
      </c>
    </row>
    <row r="134" spans="1:1">
      <c r="A134" t="s">
        <v>300</v>
      </c>
    </row>
    <row r="135" spans="1:1">
      <c r="A135" t="s">
        <v>301</v>
      </c>
    </row>
    <row r="136" spans="1:1">
      <c r="A136" t="s">
        <v>303</v>
      </c>
    </row>
    <row r="137" spans="1:1">
      <c r="A137" t="s">
        <v>304</v>
      </c>
    </row>
    <row r="138" spans="1:1">
      <c r="A138" t="s">
        <v>307</v>
      </c>
    </row>
    <row r="139" spans="1:1">
      <c r="A139" t="s">
        <v>308</v>
      </c>
    </row>
    <row r="140" spans="1:1">
      <c r="A140" t="s">
        <v>310</v>
      </c>
    </row>
    <row r="141" spans="1:1">
      <c r="A141" t="s">
        <v>311</v>
      </c>
    </row>
    <row r="142" spans="1:1">
      <c r="A142" t="s">
        <v>315</v>
      </c>
    </row>
    <row r="143" spans="1:1">
      <c r="A143" t="s">
        <v>316</v>
      </c>
    </row>
    <row r="144" spans="1:1">
      <c r="A144" t="s">
        <v>319</v>
      </c>
    </row>
    <row r="145" spans="1:1">
      <c r="A145" t="s">
        <v>320</v>
      </c>
    </row>
    <row r="146" spans="1:1">
      <c r="A146" t="s">
        <v>322</v>
      </c>
    </row>
    <row r="147" spans="1:1">
      <c r="A147" t="s">
        <v>323</v>
      </c>
    </row>
    <row r="148" spans="1:1">
      <c r="A148" t="s">
        <v>326</v>
      </c>
    </row>
    <row r="149" spans="1:1">
      <c r="A149" t="s">
        <v>2030</v>
      </c>
    </row>
    <row r="150" spans="1:1">
      <c r="A150" t="s">
        <v>2032</v>
      </c>
    </row>
    <row r="151" spans="1:1">
      <c r="A151" t="s">
        <v>327</v>
      </c>
    </row>
    <row r="152" spans="1:1">
      <c r="A152" t="s">
        <v>332</v>
      </c>
    </row>
    <row r="153" spans="1:1">
      <c r="A153" t="s">
        <v>333</v>
      </c>
    </row>
    <row r="154" spans="1:1">
      <c r="A154" t="s">
        <v>335</v>
      </c>
    </row>
    <row r="155" spans="1:1">
      <c r="A155" t="s">
        <v>336</v>
      </c>
    </row>
    <row r="156" spans="1:1">
      <c r="A156" t="s">
        <v>339</v>
      </c>
    </row>
    <row r="157" spans="1:1">
      <c r="A157" t="s">
        <v>340</v>
      </c>
    </row>
    <row r="158" spans="1:1">
      <c r="A158" t="s">
        <v>343</v>
      </c>
    </row>
    <row r="159" spans="1:1">
      <c r="A159" t="s">
        <v>2033</v>
      </c>
    </row>
    <row r="160" spans="1:1">
      <c r="A160" t="s">
        <v>2035</v>
      </c>
    </row>
    <row r="161" spans="1:1">
      <c r="A161" t="s">
        <v>3321</v>
      </c>
    </row>
    <row r="162" spans="1:1">
      <c r="A162" t="s">
        <v>344</v>
      </c>
    </row>
    <row r="163" spans="1:1">
      <c r="A163" t="s">
        <v>346</v>
      </c>
    </row>
    <row r="164" spans="1:1">
      <c r="A164" t="s">
        <v>347</v>
      </c>
    </row>
    <row r="165" spans="1:1">
      <c r="A165" t="s">
        <v>348</v>
      </c>
    </row>
    <row r="166" spans="1:1">
      <c r="A166" t="s">
        <v>3323</v>
      </c>
    </row>
    <row r="167" spans="1:1">
      <c r="A167" t="s">
        <v>350</v>
      </c>
    </row>
    <row r="168" spans="1:1">
      <c r="A168" t="s">
        <v>352</v>
      </c>
    </row>
    <row r="169" spans="1:1">
      <c r="A169" t="s">
        <v>353</v>
      </c>
    </row>
    <row r="170" spans="1:1">
      <c r="A170" t="s">
        <v>355</v>
      </c>
    </row>
    <row r="171" spans="1:1">
      <c r="A171" t="s">
        <v>356</v>
      </c>
    </row>
    <row r="172" spans="1:1">
      <c r="A172" t="s">
        <v>358</v>
      </c>
    </row>
    <row r="173" spans="1:1">
      <c r="A173" t="s">
        <v>359</v>
      </c>
    </row>
    <row r="174" spans="1:1">
      <c r="A174" t="s">
        <v>361</v>
      </c>
    </row>
    <row r="175" spans="1:1">
      <c r="A175" t="s">
        <v>362</v>
      </c>
    </row>
    <row r="176" spans="1:1">
      <c r="A176" t="s">
        <v>364</v>
      </c>
    </row>
    <row r="177" spans="1:1">
      <c r="A177" t="s">
        <v>366</v>
      </c>
    </row>
    <row r="178" spans="1:1">
      <c r="A178" t="s">
        <v>367</v>
      </c>
    </row>
    <row r="179" spans="1:1">
      <c r="A179" t="s">
        <v>370</v>
      </c>
    </row>
    <row r="180" spans="1:1">
      <c r="A180" t="s">
        <v>372</v>
      </c>
    </row>
    <row r="181" spans="1:1">
      <c r="A181" t="s">
        <v>373</v>
      </c>
    </row>
    <row r="182" spans="1:1">
      <c r="A182" t="s">
        <v>376</v>
      </c>
    </row>
    <row r="183" spans="1:1">
      <c r="A183" t="s">
        <v>378</v>
      </c>
    </row>
    <row r="184" spans="1:1">
      <c r="A184" t="s">
        <v>381</v>
      </c>
    </row>
    <row r="185" spans="1:1">
      <c r="A185" t="s">
        <v>382</v>
      </c>
    </row>
    <row r="186" spans="1:1">
      <c r="A186" t="s">
        <v>384</v>
      </c>
    </row>
    <row r="187" spans="1:1">
      <c r="A187" t="s">
        <v>2036</v>
      </c>
    </row>
    <row r="188" spans="1:1">
      <c r="A188" t="s">
        <v>2038</v>
      </c>
    </row>
    <row r="189" spans="1:1">
      <c r="A189" t="s">
        <v>386</v>
      </c>
    </row>
    <row r="190" spans="1:1">
      <c r="A190" t="s">
        <v>389</v>
      </c>
    </row>
    <row r="191" spans="1:1">
      <c r="A191" t="s">
        <v>2039</v>
      </c>
    </row>
    <row r="192" spans="1:1">
      <c r="A192" t="s">
        <v>390</v>
      </c>
    </row>
    <row r="193" spans="1:1">
      <c r="A193" t="s">
        <v>392</v>
      </c>
    </row>
    <row r="194" spans="1:1">
      <c r="A194" t="s">
        <v>393</v>
      </c>
    </row>
    <row r="195" spans="1:1">
      <c r="A195" t="s">
        <v>395</v>
      </c>
    </row>
    <row r="196" spans="1:1">
      <c r="A196" t="s">
        <v>396</v>
      </c>
    </row>
    <row r="197" spans="1:1">
      <c r="A197" t="s">
        <v>398</v>
      </c>
    </row>
    <row r="198" spans="1:1">
      <c r="A198" t="s">
        <v>399</v>
      </c>
    </row>
    <row r="199" spans="1:1">
      <c r="A199" t="s">
        <v>2041</v>
      </c>
    </row>
    <row r="200" spans="1:1">
      <c r="A200" t="s">
        <v>2044</v>
      </c>
    </row>
    <row r="201" spans="1:1">
      <c r="A201" t="s">
        <v>2045</v>
      </c>
    </row>
    <row r="202" spans="1:1">
      <c r="A202" t="s">
        <v>2047</v>
      </c>
    </row>
    <row r="203" spans="1:1">
      <c r="A203" t="s">
        <v>402</v>
      </c>
    </row>
    <row r="204" spans="1:1">
      <c r="A204" t="s">
        <v>404</v>
      </c>
    </row>
    <row r="205" spans="1:1">
      <c r="A205" t="s">
        <v>2048</v>
      </c>
    </row>
    <row r="206" spans="1:1">
      <c r="A206" t="s">
        <v>2050</v>
      </c>
    </row>
    <row r="207" spans="1:1">
      <c r="A207" t="s">
        <v>2051</v>
      </c>
    </row>
    <row r="208" spans="1:1">
      <c r="A208" t="s">
        <v>2053</v>
      </c>
    </row>
    <row r="209" spans="1:1">
      <c r="A209" t="s">
        <v>405</v>
      </c>
    </row>
    <row r="210" spans="1:1">
      <c r="A210" t="s">
        <v>2054</v>
      </c>
    </row>
    <row r="211" spans="1:1">
      <c r="A211" t="s">
        <v>2057</v>
      </c>
    </row>
    <row r="212" spans="1:1">
      <c r="A212" t="s">
        <v>2059</v>
      </c>
    </row>
    <row r="213" spans="1:1">
      <c r="A213" t="s">
        <v>2061</v>
      </c>
    </row>
    <row r="214" spans="1:1">
      <c r="A214" t="s">
        <v>2063</v>
      </c>
    </row>
    <row r="215" spans="1:1">
      <c r="A215" t="s">
        <v>2065</v>
      </c>
    </row>
    <row r="216" spans="1:1">
      <c r="A216" t="s">
        <v>2067</v>
      </c>
    </row>
    <row r="217" spans="1:1">
      <c r="A217" t="s">
        <v>2068</v>
      </c>
    </row>
    <row r="218" spans="1:1">
      <c r="A218" t="s">
        <v>2070</v>
      </c>
    </row>
    <row r="219" spans="1:1">
      <c r="A219" t="s">
        <v>2072</v>
      </c>
    </row>
    <row r="220" spans="1:1">
      <c r="A220" t="s">
        <v>2074</v>
      </c>
    </row>
    <row r="221" spans="1:1">
      <c r="A221" t="s">
        <v>2076</v>
      </c>
    </row>
    <row r="222" spans="1:1">
      <c r="A222" t="s">
        <v>2079</v>
      </c>
    </row>
    <row r="223" spans="1:1">
      <c r="A223" t="s">
        <v>2082</v>
      </c>
    </row>
    <row r="224" spans="1:1">
      <c r="A224" t="s">
        <v>2084</v>
      </c>
    </row>
    <row r="225" spans="1:1">
      <c r="A225" t="s">
        <v>2085</v>
      </c>
    </row>
    <row r="226" spans="1:1">
      <c r="A226" t="s">
        <v>2088</v>
      </c>
    </row>
    <row r="227" spans="1:1">
      <c r="A227" t="s">
        <v>2090</v>
      </c>
    </row>
    <row r="228" spans="1:1">
      <c r="A228" t="s">
        <v>409</v>
      </c>
    </row>
    <row r="229" spans="1:1">
      <c r="A229" t="s">
        <v>411</v>
      </c>
    </row>
    <row r="230" spans="1:1">
      <c r="A230" t="s">
        <v>412</v>
      </c>
    </row>
    <row r="231" spans="1:1">
      <c r="A231" t="s">
        <v>414</v>
      </c>
    </row>
    <row r="232" spans="1:1">
      <c r="A232" t="s">
        <v>415</v>
      </c>
    </row>
    <row r="233" spans="1:1">
      <c r="A233" t="s">
        <v>417</v>
      </c>
    </row>
    <row r="234" spans="1:1">
      <c r="A234" t="s">
        <v>418</v>
      </c>
    </row>
    <row r="235" spans="1:1">
      <c r="A235" t="s">
        <v>420</v>
      </c>
    </row>
    <row r="236" spans="1:1">
      <c r="A236" t="s">
        <v>2091</v>
      </c>
    </row>
    <row r="237" spans="1:1">
      <c r="A237" t="s">
        <v>2093</v>
      </c>
    </row>
    <row r="238" spans="1:1">
      <c r="A238" t="s">
        <v>421</v>
      </c>
    </row>
    <row r="239" spans="1:1">
      <c r="A239" t="s">
        <v>424</v>
      </c>
    </row>
    <row r="240" spans="1:1">
      <c r="A240" t="s">
        <v>426</v>
      </c>
    </row>
    <row r="241" spans="1:1">
      <c r="A241" t="s">
        <v>427</v>
      </c>
    </row>
    <row r="242" spans="1:1">
      <c r="A242" t="s">
        <v>429</v>
      </c>
    </row>
    <row r="243" spans="1:1">
      <c r="A243" t="s">
        <v>430</v>
      </c>
    </row>
    <row r="244" spans="1:1">
      <c r="A244" t="s">
        <v>432</v>
      </c>
    </row>
    <row r="245" spans="1:1">
      <c r="A245" t="s">
        <v>434</v>
      </c>
    </row>
    <row r="246" spans="1:1">
      <c r="A246" t="s">
        <v>437</v>
      </c>
    </row>
    <row r="247" spans="1:1">
      <c r="A247" t="s">
        <v>438</v>
      </c>
    </row>
    <row r="248" spans="1:1">
      <c r="A248" t="s">
        <v>440</v>
      </c>
    </row>
    <row r="249" spans="1:1">
      <c r="A249" t="s">
        <v>441</v>
      </c>
    </row>
    <row r="250" spans="1:1">
      <c r="A250" t="s">
        <v>443</v>
      </c>
    </row>
    <row r="251" spans="1:1">
      <c r="A251" t="s">
        <v>444</v>
      </c>
    </row>
    <row r="252" spans="1:1">
      <c r="A252" t="s">
        <v>446</v>
      </c>
    </row>
    <row r="253" spans="1:1">
      <c r="A253" t="s">
        <v>448</v>
      </c>
    </row>
    <row r="254" spans="1:1">
      <c r="A254" t="s">
        <v>450</v>
      </c>
    </row>
    <row r="255" spans="1:1">
      <c r="A255" t="s">
        <v>452</v>
      </c>
    </row>
    <row r="256" spans="1:1">
      <c r="A256" t="s">
        <v>454</v>
      </c>
    </row>
    <row r="257" spans="1:1">
      <c r="A257" t="s">
        <v>455</v>
      </c>
    </row>
    <row r="258" spans="1:1">
      <c r="A258" t="s">
        <v>3325</v>
      </c>
    </row>
    <row r="259" spans="1:1">
      <c r="A259" t="s">
        <v>3327</v>
      </c>
    </row>
    <row r="260" spans="1:1">
      <c r="A260" t="s">
        <v>456</v>
      </c>
    </row>
    <row r="261" spans="1:1">
      <c r="A261" t="s">
        <v>459</v>
      </c>
    </row>
    <row r="262" spans="1:1">
      <c r="A262" t="s">
        <v>460</v>
      </c>
    </row>
    <row r="263" spans="1:1">
      <c r="A263" t="s">
        <v>462</v>
      </c>
    </row>
    <row r="264" spans="1:1">
      <c r="A264" t="s">
        <v>463</v>
      </c>
    </row>
    <row r="265" spans="1:1">
      <c r="A265" t="s">
        <v>466</v>
      </c>
    </row>
    <row r="266" spans="1:1">
      <c r="A266" t="s">
        <v>467</v>
      </c>
    </row>
    <row r="267" spans="1:1">
      <c r="A267" t="s">
        <v>469</v>
      </c>
    </row>
    <row r="268" spans="1:1">
      <c r="A268" t="s">
        <v>472</v>
      </c>
    </row>
    <row r="269" spans="1:1">
      <c r="A269" t="s">
        <v>473</v>
      </c>
    </row>
    <row r="270" spans="1:1">
      <c r="A270" t="s">
        <v>475</v>
      </c>
    </row>
    <row r="271" spans="1:1">
      <c r="A271" t="s">
        <v>476</v>
      </c>
    </row>
    <row r="272" spans="1:1">
      <c r="A272" t="s">
        <v>478</v>
      </c>
    </row>
    <row r="273" spans="1:1">
      <c r="A273" t="s">
        <v>479</v>
      </c>
    </row>
    <row r="274" spans="1:1">
      <c r="A274" t="s">
        <v>481</v>
      </c>
    </row>
    <row r="275" spans="1:1">
      <c r="A275" t="s">
        <v>2094</v>
      </c>
    </row>
    <row r="276" spans="1:1">
      <c r="A276" t="s">
        <v>2096</v>
      </c>
    </row>
    <row r="277" spans="1:1">
      <c r="A277" t="s">
        <v>482</v>
      </c>
    </row>
    <row r="278" spans="1:1">
      <c r="A278" t="s">
        <v>485</v>
      </c>
    </row>
    <row r="279" spans="1:1">
      <c r="A279" t="s">
        <v>487</v>
      </c>
    </row>
    <row r="280" spans="1:1">
      <c r="A280" t="s">
        <v>488</v>
      </c>
    </row>
    <row r="281" spans="1:1">
      <c r="A281" t="s">
        <v>490</v>
      </c>
    </row>
    <row r="282" spans="1:1">
      <c r="A282" t="s">
        <v>491</v>
      </c>
    </row>
    <row r="283" spans="1:1">
      <c r="A283" t="s">
        <v>493</v>
      </c>
    </row>
    <row r="284" spans="1:1">
      <c r="A284" t="s">
        <v>495</v>
      </c>
    </row>
    <row r="285" spans="1:1">
      <c r="A285" t="s">
        <v>496</v>
      </c>
    </row>
    <row r="286" spans="1:1">
      <c r="A286" t="s">
        <v>498</v>
      </c>
    </row>
    <row r="287" spans="1:1">
      <c r="A287" t="s">
        <v>499</v>
      </c>
    </row>
    <row r="288" spans="1:1">
      <c r="A288" t="s">
        <v>2097</v>
      </c>
    </row>
    <row r="289" spans="1:1">
      <c r="A289" t="s">
        <v>2099</v>
      </c>
    </row>
    <row r="290" spans="1:1">
      <c r="A290" t="s">
        <v>501</v>
      </c>
    </row>
    <row r="291" spans="1:1">
      <c r="A291" t="s">
        <v>2100</v>
      </c>
    </row>
    <row r="292" spans="1:1">
      <c r="A292" t="s">
        <v>2103</v>
      </c>
    </row>
    <row r="293" spans="1:1">
      <c r="A293" t="s">
        <v>504</v>
      </c>
    </row>
    <row r="294" spans="1:1">
      <c r="A294" t="s">
        <v>506</v>
      </c>
    </row>
    <row r="295" spans="1:1">
      <c r="A295" t="s">
        <v>507</v>
      </c>
    </row>
    <row r="296" spans="1:1">
      <c r="A296" t="s">
        <v>509</v>
      </c>
    </row>
    <row r="297" spans="1:1">
      <c r="A297" t="s">
        <v>3329</v>
      </c>
    </row>
    <row r="298" spans="1:1">
      <c r="A298" t="s">
        <v>510</v>
      </c>
    </row>
    <row r="299" spans="1:1">
      <c r="A299" t="s">
        <v>512</v>
      </c>
    </row>
    <row r="300" spans="1:1">
      <c r="A300" t="s">
        <v>513</v>
      </c>
    </row>
    <row r="301" spans="1:1">
      <c r="A301" t="s">
        <v>515</v>
      </c>
    </row>
    <row r="302" spans="1:1">
      <c r="A302" t="s">
        <v>516</v>
      </c>
    </row>
    <row r="303" spans="1:1">
      <c r="A303" t="s">
        <v>518</v>
      </c>
    </row>
    <row r="304" spans="1:1">
      <c r="A304" t="s">
        <v>519</v>
      </c>
    </row>
    <row r="305" spans="1:1">
      <c r="A305" t="s">
        <v>522</v>
      </c>
    </row>
    <row r="306" spans="1:1">
      <c r="A306" t="s">
        <v>523</v>
      </c>
    </row>
    <row r="307" spans="1:1">
      <c r="A307" t="s">
        <v>525</v>
      </c>
    </row>
    <row r="308" spans="1:1">
      <c r="A308" t="s">
        <v>2104</v>
      </c>
    </row>
    <row r="309" spans="1:1">
      <c r="A309" t="s">
        <v>2106</v>
      </c>
    </row>
    <row r="310" spans="1:1">
      <c r="A310" t="s">
        <v>526</v>
      </c>
    </row>
    <row r="311" spans="1:1">
      <c r="A311" t="s">
        <v>528</v>
      </c>
    </row>
    <row r="312" spans="1:1">
      <c r="A312" t="s">
        <v>529</v>
      </c>
    </row>
    <row r="313" spans="1:1">
      <c r="A313" t="s">
        <v>531</v>
      </c>
    </row>
    <row r="314" spans="1:1">
      <c r="A314" t="s">
        <v>2107</v>
      </c>
    </row>
    <row r="315" spans="1:1">
      <c r="A315" t="s">
        <v>2109</v>
      </c>
    </row>
    <row r="316" spans="1:1">
      <c r="A316" t="s">
        <v>532</v>
      </c>
    </row>
    <row r="317" spans="1:1">
      <c r="A317" t="s">
        <v>534</v>
      </c>
    </row>
    <row r="318" spans="1:1">
      <c r="A318" t="s">
        <v>2110</v>
      </c>
    </row>
    <row r="319" spans="1:1">
      <c r="A319" t="s">
        <v>2112</v>
      </c>
    </row>
    <row r="320" spans="1:1">
      <c r="A320" t="s">
        <v>535</v>
      </c>
    </row>
    <row r="321" spans="1:1">
      <c r="A321" t="s">
        <v>537</v>
      </c>
    </row>
    <row r="322" spans="1:1">
      <c r="A322" t="s">
        <v>5423</v>
      </c>
    </row>
    <row r="323" spans="1:1">
      <c r="A323" t="s">
        <v>540</v>
      </c>
    </row>
    <row r="324" spans="1:1">
      <c r="A324" t="s">
        <v>541</v>
      </c>
    </row>
    <row r="325" spans="1:1">
      <c r="A325" t="s">
        <v>543</v>
      </c>
    </row>
    <row r="326" spans="1:1">
      <c r="A326" t="s">
        <v>545</v>
      </c>
    </row>
    <row r="327" spans="1:1">
      <c r="A327" t="s">
        <v>547</v>
      </c>
    </row>
    <row r="328" spans="1:1">
      <c r="A328" t="s">
        <v>548</v>
      </c>
    </row>
    <row r="329" spans="1:1">
      <c r="A329" t="s">
        <v>550</v>
      </c>
    </row>
    <row r="330" spans="1:1">
      <c r="A330" t="s">
        <v>552</v>
      </c>
    </row>
    <row r="331" spans="1:1">
      <c r="A331" t="s">
        <v>553</v>
      </c>
    </row>
    <row r="332" spans="1:1">
      <c r="A332" t="s">
        <v>3331</v>
      </c>
    </row>
    <row r="333" spans="1:1">
      <c r="A333" t="s">
        <v>555</v>
      </c>
    </row>
    <row r="334" spans="1:1">
      <c r="A334" t="s">
        <v>558</v>
      </c>
    </row>
    <row r="335" spans="1:1">
      <c r="A335" t="s">
        <v>559</v>
      </c>
    </row>
    <row r="336" spans="1:1">
      <c r="A336" t="s">
        <v>562</v>
      </c>
    </row>
    <row r="337" spans="1:1">
      <c r="A337" t="s">
        <v>563</v>
      </c>
    </row>
    <row r="338" spans="1:1">
      <c r="A338" t="s">
        <v>565</v>
      </c>
    </row>
    <row r="339" spans="1:1">
      <c r="A339" t="s">
        <v>566</v>
      </c>
    </row>
    <row r="340" spans="1:1">
      <c r="A340" t="s">
        <v>568</v>
      </c>
    </row>
    <row r="341" spans="1:1">
      <c r="A341" t="s">
        <v>2113</v>
      </c>
    </row>
    <row r="342" spans="1:1">
      <c r="A342" t="s">
        <v>2115</v>
      </c>
    </row>
    <row r="343" spans="1:1">
      <c r="A343" t="s">
        <v>569</v>
      </c>
    </row>
    <row r="344" spans="1:1">
      <c r="A344" t="s">
        <v>571</v>
      </c>
    </row>
    <row r="345" spans="1:1">
      <c r="A345" t="s">
        <v>573</v>
      </c>
    </row>
    <row r="346" spans="1:1">
      <c r="A346" t="s">
        <v>574</v>
      </c>
    </row>
    <row r="347" spans="1:1">
      <c r="A347" t="s">
        <v>576</v>
      </c>
    </row>
    <row r="348" spans="1:1">
      <c r="A348" t="s">
        <v>577</v>
      </c>
    </row>
    <row r="349" spans="1:1">
      <c r="A349" t="s">
        <v>579</v>
      </c>
    </row>
    <row r="350" spans="1:1">
      <c r="A350" t="s">
        <v>580</v>
      </c>
    </row>
    <row r="351" spans="1:1">
      <c r="A351" t="s">
        <v>583</v>
      </c>
    </row>
    <row r="352" spans="1:1">
      <c r="A352" t="s">
        <v>585</v>
      </c>
    </row>
    <row r="353" spans="1:1">
      <c r="A353" t="s">
        <v>587</v>
      </c>
    </row>
    <row r="354" spans="1:1">
      <c r="A354" t="s">
        <v>588</v>
      </c>
    </row>
    <row r="355" spans="1:1">
      <c r="A355" t="s">
        <v>591</v>
      </c>
    </row>
    <row r="356" spans="1:1">
      <c r="A356" t="s">
        <v>593</v>
      </c>
    </row>
    <row r="357" spans="1:1">
      <c r="A357" t="s">
        <v>2116</v>
      </c>
    </row>
    <row r="358" spans="1:1">
      <c r="A358" t="s">
        <v>2118</v>
      </c>
    </row>
    <row r="359" spans="1:1">
      <c r="A359" t="s">
        <v>594</v>
      </c>
    </row>
    <row r="360" spans="1:1">
      <c r="A360" t="s">
        <v>596</v>
      </c>
    </row>
    <row r="361" spans="1:1">
      <c r="A361" t="s">
        <v>2119</v>
      </c>
    </row>
    <row r="362" spans="1:1">
      <c r="A362" t="s">
        <v>2122</v>
      </c>
    </row>
    <row r="363" spans="1:1">
      <c r="A363" t="s">
        <v>2124</v>
      </c>
    </row>
    <row r="364" spans="1:1">
      <c r="A364" t="s">
        <v>597</v>
      </c>
    </row>
    <row r="365" spans="1:1">
      <c r="A365" t="s">
        <v>599</v>
      </c>
    </row>
    <row r="366" spans="1:1">
      <c r="A366" t="s">
        <v>601</v>
      </c>
    </row>
    <row r="367" spans="1:1">
      <c r="A367" t="s">
        <v>602</v>
      </c>
    </row>
    <row r="368" spans="1:1">
      <c r="A368" t="s">
        <v>2125</v>
      </c>
    </row>
    <row r="369" spans="1:1">
      <c r="A369" t="s">
        <v>2127</v>
      </c>
    </row>
    <row r="370" spans="1:1">
      <c r="A370" t="s">
        <v>2129</v>
      </c>
    </row>
    <row r="371" spans="1:1">
      <c r="A371" t="s">
        <v>607</v>
      </c>
    </row>
    <row r="372" spans="1:1">
      <c r="A372" t="s">
        <v>610</v>
      </c>
    </row>
    <row r="373" spans="1:1">
      <c r="A373" t="s">
        <v>611</v>
      </c>
    </row>
    <row r="374" spans="1:1">
      <c r="A374" t="s">
        <v>612</v>
      </c>
    </row>
    <row r="375" spans="1:1">
      <c r="A375" t="s">
        <v>638</v>
      </c>
    </row>
    <row r="376" spans="1:1">
      <c r="A376" t="s">
        <v>641</v>
      </c>
    </row>
    <row r="377" spans="1:1">
      <c r="A377" t="s">
        <v>642</v>
      </c>
    </row>
    <row r="378" spans="1:1">
      <c r="A378" t="s">
        <v>645</v>
      </c>
    </row>
    <row r="379" spans="1:1">
      <c r="A379" t="s">
        <v>646</v>
      </c>
    </row>
    <row r="380" spans="1:1">
      <c r="A380" t="s">
        <v>649</v>
      </c>
    </row>
    <row r="381" spans="1:1">
      <c r="A381" t="s">
        <v>651</v>
      </c>
    </row>
    <row r="382" spans="1:1">
      <c r="A382" t="s">
        <v>654</v>
      </c>
    </row>
    <row r="383" spans="1:1">
      <c r="A383" t="s">
        <v>657</v>
      </c>
    </row>
    <row r="384" spans="1:1">
      <c r="A384" t="s">
        <v>659</v>
      </c>
    </row>
    <row r="385" spans="1:1">
      <c r="A385" t="s">
        <v>660</v>
      </c>
    </row>
    <row r="386" spans="1:1">
      <c r="A386" t="s">
        <v>2131</v>
      </c>
    </row>
    <row r="387" spans="1:1">
      <c r="A387" t="s">
        <v>2134</v>
      </c>
    </row>
    <row r="388" spans="1:1">
      <c r="A388" t="s">
        <v>2136</v>
      </c>
    </row>
    <row r="389" spans="1:1">
      <c r="A389" t="s">
        <v>2138</v>
      </c>
    </row>
    <row r="390" spans="1:1">
      <c r="A390" t="s">
        <v>2140</v>
      </c>
    </row>
    <row r="391" spans="1:1">
      <c r="A391" t="s">
        <v>2141</v>
      </c>
    </row>
    <row r="392" spans="1:1">
      <c r="A392" t="s">
        <v>2144</v>
      </c>
    </row>
    <row r="393" spans="1:1">
      <c r="A393" t="s">
        <v>2146</v>
      </c>
    </row>
    <row r="394" spans="1:1">
      <c r="A394" t="s">
        <v>2147</v>
      </c>
    </row>
    <row r="395" spans="1:1">
      <c r="A395" t="s">
        <v>2150</v>
      </c>
    </row>
    <row r="396" spans="1:1">
      <c r="A396" t="s">
        <v>2152</v>
      </c>
    </row>
    <row r="397" spans="1:1">
      <c r="A397" t="s">
        <v>2154</v>
      </c>
    </row>
    <row r="398" spans="1:1">
      <c r="A398" t="s">
        <v>663</v>
      </c>
    </row>
    <row r="399" spans="1:1">
      <c r="A399" t="s">
        <v>667</v>
      </c>
    </row>
    <row r="400" spans="1:1">
      <c r="A400" t="s">
        <v>669</v>
      </c>
    </row>
    <row r="401" spans="1:1">
      <c r="A401" t="s">
        <v>671</v>
      </c>
    </row>
    <row r="402" spans="1:1">
      <c r="A402" t="s">
        <v>673</v>
      </c>
    </row>
    <row r="403" spans="1:1">
      <c r="A403" t="s">
        <v>675</v>
      </c>
    </row>
    <row r="404" spans="1:1">
      <c r="A404" t="s">
        <v>677</v>
      </c>
    </row>
    <row r="405" spans="1:1">
      <c r="A405" t="s">
        <v>679</v>
      </c>
    </row>
    <row r="406" spans="1:1">
      <c r="A406" t="s">
        <v>681</v>
      </c>
    </row>
    <row r="407" spans="1:1">
      <c r="A407" t="s">
        <v>682</v>
      </c>
    </row>
    <row r="408" spans="1:1">
      <c r="A408" t="s">
        <v>684</v>
      </c>
    </row>
    <row r="409" spans="1:1">
      <c r="A409" t="s">
        <v>686</v>
      </c>
    </row>
    <row r="410" spans="1:1">
      <c r="A410" t="s">
        <v>688</v>
      </c>
    </row>
    <row r="411" spans="1:1">
      <c r="A411" t="s">
        <v>690</v>
      </c>
    </row>
    <row r="412" spans="1:1">
      <c r="A412" t="s">
        <v>692</v>
      </c>
    </row>
    <row r="413" spans="1:1">
      <c r="A413" t="s">
        <v>694</v>
      </c>
    </row>
    <row r="414" spans="1:1">
      <c r="A414" t="s">
        <v>696</v>
      </c>
    </row>
    <row r="415" spans="1:1">
      <c r="A415" t="s">
        <v>697</v>
      </c>
    </row>
    <row r="416" spans="1:1">
      <c r="A416" t="s">
        <v>699</v>
      </c>
    </row>
    <row r="417" spans="1:1">
      <c r="A417" t="s">
        <v>701</v>
      </c>
    </row>
    <row r="418" spans="1:1">
      <c r="A418" t="s">
        <v>702</v>
      </c>
    </row>
    <row r="419" spans="1:1">
      <c r="A419" t="s">
        <v>704</v>
      </c>
    </row>
    <row r="420" spans="1:1">
      <c r="A420" t="s">
        <v>705</v>
      </c>
    </row>
    <row r="421" spans="1:1">
      <c r="A421" t="s">
        <v>707</v>
      </c>
    </row>
    <row r="422" spans="1:1">
      <c r="A422" t="s">
        <v>708</v>
      </c>
    </row>
    <row r="423" spans="1:1">
      <c r="A423" t="s">
        <v>710</v>
      </c>
    </row>
    <row r="424" spans="1:1">
      <c r="A424" t="s">
        <v>712</v>
      </c>
    </row>
    <row r="425" spans="1:1">
      <c r="A425" t="s">
        <v>713</v>
      </c>
    </row>
    <row r="426" spans="1:1">
      <c r="A426" t="s">
        <v>715</v>
      </c>
    </row>
    <row r="427" spans="1:1">
      <c r="A427" t="s">
        <v>716</v>
      </c>
    </row>
    <row r="428" spans="1:1">
      <c r="A428" t="s">
        <v>718</v>
      </c>
    </row>
    <row r="429" spans="1:1">
      <c r="A429" t="s">
        <v>720</v>
      </c>
    </row>
    <row r="430" spans="1:1">
      <c r="A430" t="s">
        <v>722</v>
      </c>
    </row>
    <row r="431" spans="1:1">
      <c r="A431" t="s">
        <v>724</v>
      </c>
    </row>
    <row r="432" spans="1:1">
      <c r="A432" t="s">
        <v>726</v>
      </c>
    </row>
    <row r="433" spans="1:1">
      <c r="A433" t="s">
        <v>728</v>
      </c>
    </row>
    <row r="434" spans="1:1">
      <c r="A434" t="s">
        <v>730</v>
      </c>
    </row>
    <row r="435" spans="1:1">
      <c r="A435" t="s">
        <v>732</v>
      </c>
    </row>
    <row r="436" spans="1:1">
      <c r="A436" t="s">
        <v>734</v>
      </c>
    </row>
    <row r="437" spans="1:1">
      <c r="A437" t="s">
        <v>736</v>
      </c>
    </row>
    <row r="438" spans="1:1">
      <c r="A438" t="s">
        <v>738</v>
      </c>
    </row>
    <row r="439" spans="1:1">
      <c r="A439" t="s">
        <v>740</v>
      </c>
    </row>
    <row r="440" spans="1:1">
      <c r="A440" t="s">
        <v>742</v>
      </c>
    </row>
    <row r="441" spans="1:1">
      <c r="A441" t="s">
        <v>744</v>
      </c>
    </row>
    <row r="442" spans="1:1">
      <c r="A442" t="s">
        <v>745</v>
      </c>
    </row>
    <row r="443" spans="1:1">
      <c r="A443" t="s">
        <v>747</v>
      </c>
    </row>
    <row r="444" spans="1:1">
      <c r="A444" t="s">
        <v>5294</v>
      </c>
    </row>
    <row r="445" spans="1:1">
      <c r="A445" t="s">
        <v>748</v>
      </c>
    </row>
    <row r="446" spans="1:1">
      <c r="A446" t="s">
        <v>750</v>
      </c>
    </row>
    <row r="447" spans="1:1">
      <c r="A447" t="s">
        <v>752</v>
      </c>
    </row>
    <row r="448" spans="1:1">
      <c r="A448" t="s">
        <v>754</v>
      </c>
    </row>
    <row r="449" spans="1:1">
      <c r="A449" t="s">
        <v>756</v>
      </c>
    </row>
    <row r="450" spans="1:1">
      <c r="A450" t="s">
        <v>758</v>
      </c>
    </row>
    <row r="451" spans="1:1">
      <c r="A451" t="s">
        <v>759</v>
      </c>
    </row>
    <row r="452" spans="1:1">
      <c r="A452" t="s">
        <v>761</v>
      </c>
    </row>
    <row r="453" spans="1:1">
      <c r="A453" t="s">
        <v>762</v>
      </c>
    </row>
    <row r="454" spans="1:1">
      <c r="A454" t="s">
        <v>764</v>
      </c>
    </row>
    <row r="455" spans="1:1">
      <c r="A455" t="s">
        <v>765</v>
      </c>
    </row>
    <row r="456" spans="1:1">
      <c r="A456" t="s">
        <v>767</v>
      </c>
    </row>
    <row r="457" spans="1:1">
      <c r="A457" t="s">
        <v>768</v>
      </c>
    </row>
    <row r="458" spans="1:1">
      <c r="A458" t="s">
        <v>770</v>
      </c>
    </row>
    <row r="459" spans="1:1">
      <c r="A459" t="s">
        <v>771</v>
      </c>
    </row>
    <row r="460" spans="1:1">
      <c r="A460" t="s">
        <v>773</v>
      </c>
    </row>
    <row r="461" spans="1:1">
      <c r="A461" t="s">
        <v>774</v>
      </c>
    </row>
    <row r="462" spans="1:1">
      <c r="A462" t="s">
        <v>776</v>
      </c>
    </row>
    <row r="463" spans="1:1">
      <c r="A463" t="s">
        <v>777</v>
      </c>
    </row>
    <row r="464" spans="1:1">
      <c r="A464" t="s">
        <v>779</v>
      </c>
    </row>
    <row r="465" spans="1:1">
      <c r="A465" t="s">
        <v>781</v>
      </c>
    </row>
    <row r="466" spans="1:1">
      <c r="A466" t="s">
        <v>782</v>
      </c>
    </row>
    <row r="467" spans="1:1">
      <c r="A467" t="s">
        <v>784</v>
      </c>
    </row>
    <row r="468" spans="1:1">
      <c r="A468" t="s">
        <v>786</v>
      </c>
    </row>
    <row r="469" spans="1:1">
      <c r="A469" t="s">
        <v>788</v>
      </c>
    </row>
    <row r="470" spans="1:1">
      <c r="A470" t="s">
        <v>790</v>
      </c>
    </row>
    <row r="471" spans="1:1">
      <c r="A471" t="s">
        <v>2156</v>
      </c>
    </row>
    <row r="472" spans="1:1">
      <c r="A472" t="s">
        <v>2159</v>
      </c>
    </row>
    <row r="473" spans="1:1">
      <c r="A473" t="s">
        <v>2160</v>
      </c>
    </row>
    <row r="474" spans="1:1">
      <c r="A474" t="s">
        <v>2162</v>
      </c>
    </row>
    <row r="475" spans="1:1">
      <c r="A475" t="s">
        <v>792</v>
      </c>
    </row>
    <row r="476" spans="1:1">
      <c r="A476" t="s">
        <v>795</v>
      </c>
    </row>
    <row r="477" spans="1:1">
      <c r="A477" t="s">
        <v>796</v>
      </c>
    </row>
    <row r="478" spans="1:1">
      <c r="A478" t="s">
        <v>2164</v>
      </c>
    </row>
    <row r="479" spans="1:1">
      <c r="A479" t="s">
        <v>2167</v>
      </c>
    </row>
    <row r="480" spans="1:1">
      <c r="A480" t="s">
        <v>2169</v>
      </c>
    </row>
    <row r="481" spans="1:1">
      <c r="A481" t="s">
        <v>2172</v>
      </c>
    </row>
    <row r="482" spans="1:1">
      <c r="A482" t="s">
        <v>2175</v>
      </c>
    </row>
    <row r="483" spans="1:1">
      <c r="A483" t="s">
        <v>2176</v>
      </c>
    </row>
    <row r="484" spans="1:1">
      <c r="A484" t="s">
        <v>2179</v>
      </c>
    </row>
    <row r="485" spans="1:1">
      <c r="A485" t="s">
        <v>818</v>
      </c>
    </row>
    <row r="486" spans="1:1">
      <c r="A486" t="s">
        <v>820</v>
      </c>
    </row>
    <row r="487" spans="1:1">
      <c r="A487" t="s">
        <v>825</v>
      </c>
    </row>
    <row r="488" spans="1:1">
      <c r="A488" t="s">
        <v>2182</v>
      </c>
    </row>
    <row r="489" spans="1:1">
      <c r="A489" t="s">
        <v>2183</v>
      </c>
    </row>
    <row r="490" spans="1:1">
      <c r="A490" t="s">
        <v>2186</v>
      </c>
    </row>
    <row r="491" spans="1:1">
      <c r="A491" t="s">
        <v>2187</v>
      </c>
    </row>
    <row r="492" spans="1:1">
      <c r="A492" t="s">
        <v>2189</v>
      </c>
    </row>
    <row r="493" spans="1:1">
      <c r="A493" t="s">
        <v>2192</v>
      </c>
    </row>
    <row r="494" spans="1:1">
      <c r="A494" t="s">
        <v>2193</v>
      </c>
    </row>
    <row r="495" spans="1:1">
      <c r="A495" t="s">
        <v>2196</v>
      </c>
    </row>
    <row r="496" spans="1:1">
      <c r="A496" t="s">
        <v>2197</v>
      </c>
    </row>
    <row r="497" spans="1:1">
      <c r="A497" t="s">
        <v>2200</v>
      </c>
    </row>
    <row r="498" spans="1:1">
      <c r="A498" t="s">
        <v>2201</v>
      </c>
    </row>
    <row r="499" spans="1:1">
      <c r="A499" t="s">
        <v>2204</v>
      </c>
    </row>
    <row r="500" spans="1:1">
      <c r="A500" t="s">
        <v>2207</v>
      </c>
    </row>
    <row r="501" spans="1:1">
      <c r="A501" t="s">
        <v>2209</v>
      </c>
    </row>
    <row r="502" spans="1:1">
      <c r="A502" t="s">
        <v>2210</v>
      </c>
    </row>
    <row r="503" spans="1:1">
      <c r="A503" t="s">
        <v>2213</v>
      </c>
    </row>
    <row r="504" spans="1:1">
      <c r="A504" t="s">
        <v>2214</v>
      </c>
    </row>
    <row r="505" spans="1:1">
      <c r="A505" t="s">
        <v>2217</v>
      </c>
    </row>
    <row r="506" spans="1:1">
      <c r="A506" t="s">
        <v>827</v>
      </c>
    </row>
    <row r="507" spans="1:1">
      <c r="A507" t="s">
        <v>830</v>
      </c>
    </row>
    <row r="508" spans="1:1">
      <c r="A508" t="s">
        <v>831</v>
      </c>
    </row>
    <row r="509" spans="1:1">
      <c r="A509" t="s">
        <v>834</v>
      </c>
    </row>
    <row r="510" spans="1:1">
      <c r="A510" t="s">
        <v>835</v>
      </c>
    </row>
    <row r="511" spans="1:1">
      <c r="A511" t="s">
        <v>837</v>
      </c>
    </row>
    <row r="512" spans="1:1">
      <c r="A512" t="s">
        <v>838</v>
      </c>
    </row>
    <row r="513" spans="1:1">
      <c r="A513" t="s">
        <v>840</v>
      </c>
    </row>
    <row r="514" spans="1:1">
      <c r="A514" t="s">
        <v>841</v>
      </c>
    </row>
    <row r="515" spans="1:1">
      <c r="A515" t="s">
        <v>844</v>
      </c>
    </row>
    <row r="516" spans="1:1">
      <c r="A516" t="s">
        <v>845</v>
      </c>
    </row>
    <row r="517" spans="1:1">
      <c r="A517" t="s">
        <v>847</v>
      </c>
    </row>
    <row r="518" spans="1:1">
      <c r="A518" t="s">
        <v>850</v>
      </c>
    </row>
    <row r="519" spans="1:1">
      <c r="A519" t="s">
        <v>852</v>
      </c>
    </row>
    <row r="520" spans="1:1">
      <c r="A520" t="s">
        <v>3333</v>
      </c>
    </row>
    <row r="521" spans="1:1">
      <c r="A521" t="s">
        <v>853</v>
      </c>
    </row>
    <row r="522" spans="1:1">
      <c r="A522" t="s">
        <v>855</v>
      </c>
    </row>
    <row r="523" spans="1:1">
      <c r="A523" t="s">
        <v>856</v>
      </c>
    </row>
    <row r="524" spans="1:1">
      <c r="A524" t="s">
        <v>858</v>
      </c>
    </row>
    <row r="525" spans="1:1">
      <c r="A525" t="s">
        <v>860</v>
      </c>
    </row>
    <row r="526" spans="1:1">
      <c r="A526" t="s">
        <v>5352</v>
      </c>
    </row>
    <row r="527" spans="1:1">
      <c r="A527" t="s">
        <v>862</v>
      </c>
    </row>
    <row r="528" spans="1:1">
      <c r="A528" t="s">
        <v>864</v>
      </c>
    </row>
    <row r="529" spans="1:1">
      <c r="A529" t="s">
        <v>866</v>
      </c>
    </row>
    <row r="530" spans="1:1">
      <c r="A530" t="s">
        <v>867</v>
      </c>
    </row>
    <row r="531" spans="1:1">
      <c r="A531" t="s">
        <v>870</v>
      </c>
    </row>
    <row r="532" spans="1:1">
      <c r="A532" t="s">
        <v>871</v>
      </c>
    </row>
    <row r="533" spans="1:1">
      <c r="A533" t="s">
        <v>874</v>
      </c>
    </row>
    <row r="534" spans="1:1">
      <c r="A534" t="s">
        <v>875</v>
      </c>
    </row>
    <row r="535" spans="1:1">
      <c r="A535" t="s">
        <v>878</v>
      </c>
    </row>
    <row r="536" spans="1:1">
      <c r="A536" t="s">
        <v>880</v>
      </c>
    </row>
    <row r="537" spans="1:1">
      <c r="A537" t="s">
        <v>881</v>
      </c>
    </row>
    <row r="538" spans="1:1">
      <c r="A538" t="s">
        <v>884</v>
      </c>
    </row>
    <row r="539" spans="1:1">
      <c r="A539" t="s">
        <v>885</v>
      </c>
    </row>
    <row r="540" spans="1:1">
      <c r="A540" t="s">
        <v>887</v>
      </c>
    </row>
    <row r="541" spans="1:1">
      <c r="A541" t="s">
        <v>890</v>
      </c>
    </row>
    <row r="542" spans="1:1">
      <c r="A542" t="s">
        <v>891</v>
      </c>
    </row>
    <row r="543" spans="1:1">
      <c r="A543" t="s">
        <v>894</v>
      </c>
    </row>
    <row r="544" spans="1:1">
      <c r="A544" t="s">
        <v>896</v>
      </c>
    </row>
    <row r="545" spans="1:1">
      <c r="A545" t="s">
        <v>898</v>
      </c>
    </row>
    <row r="546" spans="1:1">
      <c r="A546" t="s">
        <v>901</v>
      </c>
    </row>
    <row r="547" spans="1:1">
      <c r="A547" t="s">
        <v>902</v>
      </c>
    </row>
    <row r="548" spans="1:1">
      <c r="A548" t="s">
        <v>905</v>
      </c>
    </row>
    <row r="549" spans="1:1">
      <c r="A549" t="s">
        <v>906</v>
      </c>
    </row>
    <row r="550" spans="1:1">
      <c r="A550" t="s">
        <v>909</v>
      </c>
    </row>
    <row r="551" spans="1:1">
      <c r="A551" t="s">
        <v>910</v>
      </c>
    </row>
    <row r="552" spans="1:1">
      <c r="A552" t="s">
        <v>913</v>
      </c>
    </row>
    <row r="553" spans="1:1">
      <c r="A553" t="s">
        <v>914</v>
      </c>
    </row>
    <row r="554" spans="1:1">
      <c r="A554" t="s">
        <v>916</v>
      </c>
    </row>
    <row r="555" spans="1:1">
      <c r="A555" t="s">
        <v>3335</v>
      </c>
    </row>
    <row r="556" spans="1:1">
      <c r="A556" t="s">
        <v>917</v>
      </c>
    </row>
    <row r="557" spans="1:1">
      <c r="A557" t="s">
        <v>919</v>
      </c>
    </row>
    <row r="558" spans="1:1">
      <c r="A558" t="s">
        <v>920</v>
      </c>
    </row>
    <row r="559" spans="1:1">
      <c r="A559" t="s">
        <v>922</v>
      </c>
    </row>
    <row r="560" spans="1:1">
      <c r="A560" t="s">
        <v>923</v>
      </c>
    </row>
    <row r="561" spans="1:1">
      <c r="A561" t="s">
        <v>926</v>
      </c>
    </row>
    <row r="562" spans="1:1">
      <c r="A562" t="s">
        <v>928</v>
      </c>
    </row>
    <row r="563" spans="1:1">
      <c r="A563" t="s">
        <v>929</v>
      </c>
    </row>
    <row r="564" spans="1:1">
      <c r="A564" t="s">
        <v>931</v>
      </c>
    </row>
    <row r="565" spans="1:1">
      <c r="A565" t="s">
        <v>932</v>
      </c>
    </row>
    <row r="566" spans="1:1">
      <c r="A566" t="s">
        <v>934</v>
      </c>
    </row>
    <row r="567" spans="1:1">
      <c r="A567" t="s">
        <v>937</v>
      </c>
    </row>
    <row r="568" spans="1:1">
      <c r="A568" t="s">
        <v>938</v>
      </c>
    </row>
    <row r="569" spans="1:1">
      <c r="A569" t="s">
        <v>941</v>
      </c>
    </row>
    <row r="570" spans="1:1">
      <c r="A570" t="s">
        <v>942</v>
      </c>
    </row>
    <row r="571" spans="1:1">
      <c r="A571" t="s">
        <v>944</v>
      </c>
    </row>
    <row r="572" spans="1:1">
      <c r="A572" t="s">
        <v>947</v>
      </c>
    </row>
    <row r="573" spans="1:1">
      <c r="A573" t="s">
        <v>950</v>
      </c>
    </row>
    <row r="574" spans="1:1">
      <c r="A574" t="s">
        <v>951</v>
      </c>
    </row>
    <row r="575" spans="1:1">
      <c r="A575" t="s">
        <v>953</v>
      </c>
    </row>
    <row r="576" spans="1:1">
      <c r="A576" t="s">
        <v>954</v>
      </c>
    </row>
    <row r="577" spans="1:1">
      <c r="A577" t="s">
        <v>957</v>
      </c>
    </row>
    <row r="578" spans="1:1">
      <c r="A578" t="s">
        <v>958</v>
      </c>
    </row>
    <row r="579" spans="1:1">
      <c r="A579" t="s">
        <v>960</v>
      </c>
    </row>
    <row r="580" spans="1:1">
      <c r="A580" t="s">
        <v>961</v>
      </c>
    </row>
    <row r="581" spans="1:1">
      <c r="A581" t="s">
        <v>963</v>
      </c>
    </row>
    <row r="582" spans="1:1">
      <c r="A582" t="s">
        <v>966</v>
      </c>
    </row>
    <row r="583" spans="1:1">
      <c r="A583" t="s">
        <v>968</v>
      </c>
    </row>
    <row r="584" spans="1:1">
      <c r="A584" t="s">
        <v>970</v>
      </c>
    </row>
    <row r="585" spans="1:1">
      <c r="A585" t="s">
        <v>971</v>
      </c>
    </row>
    <row r="586" spans="1:1">
      <c r="A586" t="s">
        <v>973</v>
      </c>
    </row>
    <row r="587" spans="1:1">
      <c r="A587" t="s">
        <v>974</v>
      </c>
    </row>
    <row r="588" spans="1:1">
      <c r="A588" t="s">
        <v>977</v>
      </c>
    </row>
    <row r="589" spans="1:1">
      <c r="A589" t="s">
        <v>979</v>
      </c>
    </row>
    <row r="590" spans="1:1">
      <c r="A590" t="s">
        <v>982</v>
      </c>
    </row>
    <row r="591" spans="1:1">
      <c r="A591" t="s">
        <v>985</v>
      </c>
    </row>
    <row r="592" spans="1:1">
      <c r="A592" t="s">
        <v>988</v>
      </c>
    </row>
    <row r="593" spans="1:1">
      <c r="A593" t="s">
        <v>989</v>
      </c>
    </row>
    <row r="594" spans="1:1">
      <c r="A594" t="s">
        <v>993</v>
      </c>
    </row>
    <row r="595" spans="1:1">
      <c r="A595" t="s">
        <v>994</v>
      </c>
    </row>
    <row r="596" spans="1:1">
      <c r="A596" t="s">
        <v>997</v>
      </c>
    </row>
    <row r="597" spans="1:1">
      <c r="A597" t="s">
        <v>999</v>
      </c>
    </row>
    <row r="598" spans="1:1">
      <c r="A598" t="s">
        <v>1001</v>
      </c>
    </row>
    <row r="599" spans="1:1">
      <c r="A599" t="s">
        <v>1002</v>
      </c>
    </row>
    <row r="600" spans="1:1">
      <c r="A600" t="s">
        <v>1005</v>
      </c>
    </row>
    <row r="601" spans="1:1">
      <c r="A601" t="s">
        <v>1006</v>
      </c>
    </row>
    <row r="602" spans="1:1">
      <c r="A602" t="s">
        <v>1009</v>
      </c>
    </row>
    <row r="603" spans="1:1">
      <c r="A603" t="s">
        <v>1010</v>
      </c>
    </row>
    <row r="604" spans="1:1">
      <c r="A604" t="s">
        <v>1012</v>
      </c>
    </row>
    <row r="605" spans="1:1">
      <c r="A605" t="s">
        <v>1014</v>
      </c>
    </row>
    <row r="606" spans="1:1">
      <c r="A606" t="s">
        <v>1017</v>
      </c>
    </row>
    <row r="607" spans="1:1">
      <c r="A607" t="s">
        <v>1020</v>
      </c>
    </row>
    <row r="608" spans="1:1">
      <c r="A608" t="s">
        <v>1023</v>
      </c>
    </row>
    <row r="609" spans="1:1">
      <c r="A609" t="s">
        <v>1025</v>
      </c>
    </row>
    <row r="610" spans="1:1">
      <c r="A610" t="s">
        <v>1029</v>
      </c>
    </row>
    <row r="611" spans="1:1">
      <c r="A611" t="s">
        <v>1030</v>
      </c>
    </row>
    <row r="612" spans="1:1">
      <c r="A612" t="s">
        <v>1033</v>
      </c>
    </row>
    <row r="613" spans="1:1">
      <c r="A613" t="s">
        <v>1035</v>
      </c>
    </row>
    <row r="614" spans="1:1">
      <c r="A614" t="s">
        <v>1038</v>
      </c>
    </row>
    <row r="615" spans="1:1">
      <c r="A615" t="s">
        <v>1039</v>
      </c>
    </row>
    <row r="616" spans="1:1">
      <c r="A616" t="s">
        <v>1041</v>
      </c>
    </row>
    <row r="617" spans="1:1">
      <c r="A617" t="s">
        <v>1042</v>
      </c>
    </row>
    <row r="618" spans="1:1">
      <c r="A618" t="s">
        <v>1044</v>
      </c>
    </row>
    <row r="619" spans="1:1">
      <c r="A619" t="s">
        <v>1047</v>
      </c>
    </row>
    <row r="620" spans="1:1">
      <c r="A620" t="s">
        <v>1049</v>
      </c>
    </row>
    <row r="621" spans="1:1">
      <c r="A621" t="s">
        <v>1052</v>
      </c>
    </row>
    <row r="622" spans="1:1">
      <c r="A622" t="s">
        <v>1053</v>
      </c>
    </row>
    <row r="623" spans="1:1">
      <c r="A623" t="s">
        <v>1055</v>
      </c>
    </row>
    <row r="624" spans="1:1">
      <c r="A624" t="s">
        <v>1056</v>
      </c>
    </row>
    <row r="625" spans="1:1">
      <c r="A625" t="s">
        <v>1058</v>
      </c>
    </row>
    <row r="626" spans="1:1">
      <c r="A626" t="s">
        <v>1061</v>
      </c>
    </row>
    <row r="627" spans="1:1">
      <c r="A627" t="s">
        <v>1064</v>
      </c>
    </row>
    <row r="628" spans="1:1">
      <c r="A628" t="s">
        <v>1065</v>
      </c>
    </row>
    <row r="629" spans="1:1">
      <c r="A629" t="s">
        <v>1067</v>
      </c>
    </row>
    <row r="630" spans="1:1">
      <c r="A630" t="s">
        <v>3337</v>
      </c>
    </row>
    <row r="631" spans="1:1">
      <c r="A631" t="s">
        <v>1069</v>
      </c>
    </row>
    <row r="632" spans="1:1">
      <c r="A632" t="s">
        <v>3339</v>
      </c>
    </row>
    <row r="633" spans="1:1">
      <c r="A633" t="s">
        <v>1072</v>
      </c>
    </row>
    <row r="634" spans="1:1">
      <c r="A634" t="s">
        <v>1074</v>
      </c>
    </row>
    <row r="635" spans="1:1">
      <c r="A635" t="s">
        <v>1075</v>
      </c>
    </row>
    <row r="636" spans="1:1">
      <c r="A636" t="s">
        <v>1077</v>
      </c>
    </row>
    <row r="637" spans="1:1">
      <c r="A637" t="s">
        <v>3341</v>
      </c>
    </row>
    <row r="638" spans="1:1">
      <c r="A638" t="s">
        <v>1080</v>
      </c>
    </row>
    <row r="639" spans="1:1">
      <c r="A639" t="s">
        <v>1082</v>
      </c>
    </row>
    <row r="640" spans="1:1">
      <c r="A640" t="s">
        <v>1084</v>
      </c>
    </row>
    <row r="641" spans="1:1">
      <c r="A641" t="s">
        <v>1085</v>
      </c>
    </row>
    <row r="642" spans="1:1">
      <c r="A642" t="s">
        <v>1087</v>
      </c>
    </row>
    <row r="643" spans="1:1">
      <c r="A643" t="s">
        <v>1089</v>
      </c>
    </row>
    <row r="644" spans="1:1">
      <c r="A644" t="s">
        <v>2218</v>
      </c>
    </row>
    <row r="645" spans="1:1">
      <c r="A645" t="s">
        <v>2221</v>
      </c>
    </row>
    <row r="646" spans="1:1">
      <c r="A646" t="s">
        <v>1091</v>
      </c>
    </row>
    <row r="647" spans="1:1">
      <c r="A647" t="s">
        <v>1093</v>
      </c>
    </row>
    <row r="648" spans="1:1">
      <c r="A648" t="s">
        <v>2222</v>
      </c>
    </row>
    <row r="649" spans="1:1">
      <c r="A649" t="s">
        <v>2224</v>
      </c>
    </row>
    <row r="650" spans="1:1">
      <c r="A650" t="s">
        <v>3343</v>
      </c>
    </row>
    <row r="651" spans="1:1">
      <c r="A651" t="s">
        <v>3345</v>
      </c>
    </row>
    <row r="652" spans="1:1">
      <c r="A652" t="s">
        <v>3347</v>
      </c>
    </row>
    <row r="653" spans="1:1">
      <c r="A653" t="s">
        <v>3349</v>
      </c>
    </row>
    <row r="654" spans="1:1">
      <c r="A654" t="s">
        <v>3351</v>
      </c>
    </row>
    <row r="655" spans="1:1">
      <c r="A655" t="s">
        <v>3353</v>
      </c>
    </row>
    <row r="656" spans="1:1">
      <c r="A656" t="s">
        <v>3354</v>
      </c>
    </row>
    <row r="657" spans="1:1">
      <c r="A657" t="s">
        <v>2226</v>
      </c>
    </row>
    <row r="658" spans="1:1">
      <c r="A658" t="s">
        <v>1095</v>
      </c>
    </row>
    <row r="659" spans="1:1">
      <c r="A659" t="s">
        <v>1097</v>
      </c>
    </row>
    <row r="660" spans="1:1">
      <c r="A660" t="s">
        <v>1099</v>
      </c>
    </row>
    <row r="661" spans="1:1">
      <c r="A661" t="s">
        <v>3356</v>
      </c>
    </row>
    <row r="662" spans="1:1">
      <c r="A662" t="s">
        <v>3358</v>
      </c>
    </row>
    <row r="663" spans="1:1">
      <c r="A663" t="s">
        <v>3360</v>
      </c>
    </row>
    <row r="664" spans="1:1">
      <c r="A664" t="s">
        <v>3362</v>
      </c>
    </row>
    <row r="665" spans="1:1">
      <c r="A665" t="s">
        <v>3364</v>
      </c>
    </row>
    <row r="666" spans="1:1">
      <c r="A666" t="s">
        <v>3366</v>
      </c>
    </row>
    <row r="667" spans="1:1">
      <c r="A667" t="s">
        <v>3368</v>
      </c>
    </row>
    <row r="668" spans="1:1">
      <c r="A668" t="s">
        <v>3370</v>
      </c>
    </row>
    <row r="669" spans="1:1">
      <c r="A669" t="s">
        <v>3372</v>
      </c>
    </row>
    <row r="670" spans="1:1">
      <c r="A670" t="s">
        <v>2229</v>
      </c>
    </row>
    <row r="671" spans="1:1">
      <c r="A671" t="s">
        <v>2231</v>
      </c>
    </row>
    <row r="672" spans="1:1">
      <c r="A672" t="s">
        <v>2232</v>
      </c>
    </row>
    <row r="673" spans="1:1">
      <c r="A673" t="s">
        <v>3374</v>
      </c>
    </row>
    <row r="674" spans="1:1">
      <c r="A674" t="s">
        <v>1101</v>
      </c>
    </row>
    <row r="675" spans="1:1">
      <c r="A675" t="s">
        <v>1103</v>
      </c>
    </row>
    <row r="676" spans="1:1">
      <c r="A676" t="s">
        <v>1106</v>
      </c>
    </row>
    <row r="677" spans="1:1">
      <c r="A677" t="s">
        <v>3376</v>
      </c>
    </row>
    <row r="678" spans="1:1">
      <c r="A678" t="s">
        <v>3379</v>
      </c>
    </row>
    <row r="679" spans="1:1">
      <c r="A679" t="s">
        <v>1107</v>
      </c>
    </row>
    <row r="680" spans="1:1">
      <c r="A680" t="s">
        <v>3382</v>
      </c>
    </row>
    <row r="681" spans="1:1">
      <c r="A681" t="s">
        <v>1110</v>
      </c>
    </row>
    <row r="682" spans="1:1">
      <c r="A682" t="s">
        <v>1113</v>
      </c>
    </row>
    <row r="683" spans="1:1">
      <c r="A683" t="s">
        <v>1114</v>
      </c>
    </row>
    <row r="684" spans="1:1">
      <c r="A684" t="s">
        <v>1116</v>
      </c>
    </row>
    <row r="685" spans="1:1">
      <c r="A685" t="s">
        <v>1117</v>
      </c>
    </row>
    <row r="686" spans="1:1">
      <c r="A686" t="s">
        <v>1119</v>
      </c>
    </row>
    <row r="687" spans="1:1">
      <c r="A687" t="s">
        <v>1120</v>
      </c>
    </row>
    <row r="688" spans="1:1">
      <c r="A688" t="s">
        <v>1123</v>
      </c>
    </row>
    <row r="689" spans="1:1">
      <c r="A689" t="s">
        <v>1124</v>
      </c>
    </row>
    <row r="690" spans="1:1">
      <c r="A690" t="s">
        <v>1127</v>
      </c>
    </row>
    <row r="691" spans="1:1">
      <c r="A691" t="s">
        <v>1129</v>
      </c>
    </row>
    <row r="692" spans="1:1">
      <c r="A692" t="s">
        <v>1131</v>
      </c>
    </row>
    <row r="693" spans="1:1">
      <c r="A693" t="s">
        <v>1133</v>
      </c>
    </row>
    <row r="694" spans="1:1">
      <c r="A694" t="s">
        <v>1135</v>
      </c>
    </row>
    <row r="695" spans="1:1">
      <c r="A695" t="s">
        <v>1136</v>
      </c>
    </row>
    <row r="696" spans="1:1">
      <c r="A696" t="s">
        <v>1138</v>
      </c>
    </row>
    <row r="697" spans="1:1">
      <c r="A697" t="s">
        <v>1139</v>
      </c>
    </row>
    <row r="698" spans="1:1">
      <c r="A698" t="s">
        <v>1141</v>
      </c>
    </row>
    <row r="699" spans="1:1">
      <c r="A699" t="s">
        <v>1142</v>
      </c>
    </row>
    <row r="700" spans="1:1">
      <c r="A700" t="s">
        <v>1144</v>
      </c>
    </row>
    <row r="701" spans="1:1">
      <c r="A701" t="s">
        <v>1145</v>
      </c>
    </row>
    <row r="702" spans="1:1">
      <c r="A702" t="s">
        <v>1148</v>
      </c>
    </row>
    <row r="703" spans="1:1">
      <c r="A703" t="s">
        <v>1149</v>
      </c>
    </row>
    <row r="704" spans="1:1">
      <c r="A704" t="s">
        <v>1152</v>
      </c>
    </row>
    <row r="705" spans="1:1">
      <c r="A705" t="s">
        <v>1153</v>
      </c>
    </row>
    <row r="706" spans="1:1">
      <c r="A706" t="s">
        <v>1155</v>
      </c>
    </row>
    <row r="707" spans="1:1">
      <c r="A707" t="s">
        <v>3383</v>
      </c>
    </row>
    <row r="708" spans="1:1">
      <c r="A708" t="s">
        <v>2234</v>
      </c>
    </row>
    <row r="709" spans="1:1">
      <c r="A709" t="s">
        <v>2237</v>
      </c>
    </row>
    <row r="710" spans="1:1">
      <c r="A710" t="s">
        <v>1156</v>
      </c>
    </row>
    <row r="711" spans="1:1">
      <c r="A711" t="s">
        <v>1158</v>
      </c>
    </row>
    <row r="712" spans="1:1">
      <c r="A712" t="s">
        <v>2239</v>
      </c>
    </row>
    <row r="713" spans="1:1">
      <c r="A713" t="s">
        <v>2241</v>
      </c>
    </row>
    <row r="714" spans="1:1">
      <c r="A714" t="s">
        <v>2242</v>
      </c>
    </row>
    <row r="715" spans="1:1">
      <c r="A715" t="s">
        <v>2244</v>
      </c>
    </row>
    <row r="716" spans="1:1">
      <c r="A716" t="s">
        <v>2245</v>
      </c>
    </row>
    <row r="717" spans="1:1">
      <c r="A717" t="s">
        <v>2247</v>
      </c>
    </row>
    <row r="718" spans="1:1">
      <c r="A718" t="s">
        <v>2248</v>
      </c>
    </row>
    <row r="719" spans="1:1">
      <c r="A719" t="s">
        <v>2250</v>
      </c>
    </row>
    <row r="720" spans="1:1">
      <c r="A720" t="s">
        <v>2252</v>
      </c>
    </row>
    <row r="721" spans="1:1">
      <c r="A721" t="s">
        <v>2254</v>
      </c>
    </row>
    <row r="722" spans="1:1">
      <c r="A722" t="s">
        <v>2255</v>
      </c>
    </row>
    <row r="723" spans="1:1">
      <c r="A723" t="s">
        <v>2256</v>
      </c>
    </row>
    <row r="724" spans="1:1">
      <c r="A724" t="s">
        <v>2257</v>
      </c>
    </row>
    <row r="725" spans="1:1">
      <c r="A725" t="s">
        <v>2259</v>
      </c>
    </row>
    <row r="726" spans="1:1">
      <c r="A726" t="s">
        <v>2260</v>
      </c>
    </row>
    <row r="727" spans="1:1">
      <c r="A727" t="s">
        <v>5358</v>
      </c>
    </row>
    <row r="728" spans="1:1">
      <c r="A728" t="s">
        <v>2261</v>
      </c>
    </row>
    <row r="729" spans="1:1">
      <c r="A729" t="s">
        <v>2264</v>
      </c>
    </row>
    <row r="730" spans="1:1">
      <c r="A730" t="s">
        <v>2265</v>
      </c>
    </row>
    <row r="731" spans="1:1">
      <c r="A731" t="s">
        <v>2268</v>
      </c>
    </row>
    <row r="732" spans="1:1">
      <c r="A732" t="s">
        <v>2269</v>
      </c>
    </row>
    <row r="733" spans="1:1">
      <c r="A733" t="s">
        <v>2272</v>
      </c>
    </row>
    <row r="734" spans="1:1">
      <c r="A734" t="s">
        <v>2275</v>
      </c>
    </row>
    <row r="735" spans="1:1">
      <c r="A735" t="s">
        <v>2277</v>
      </c>
    </row>
    <row r="736" spans="1:1">
      <c r="A736" t="s">
        <v>2278</v>
      </c>
    </row>
    <row r="737" spans="1:1">
      <c r="A737" t="s">
        <v>2280</v>
      </c>
    </row>
    <row r="738" spans="1:1">
      <c r="A738" t="s">
        <v>2282</v>
      </c>
    </row>
    <row r="739" spans="1:1">
      <c r="A739" t="s">
        <v>2284</v>
      </c>
    </row>
    <row r="740" spans="1:1">
      <c r="A740" t="s">
        <v>2288</v>
      </c>
    </row>
    <row r="741" spans="1:1">
      <c r="A741" t="s">
        <v>2289</v>
      </c>
    </row>
    <row r="742" spans="1:1">
      <c r="A742" t="s">
        <v>2291</v>
      </c>
    </row>
    <row r="743" spans="1:1">
      <c r="A743" t="s">
        <v>2292</v>
      </c>
    </row>
    <row r="744" spans="1:1">
      <c r="A744" t="s">
        <v>2293</v>
      </c>
    </row>
    <row r="745" spans="1:1">
      <c r="A745" t="s">
        <v>2295</v>
      </c>
    </row>
    <row r="746" spans="1:1">
      <c r="A746" t="s">
        <v>2296</v>
      </c>
    </row>
    <row r="747" spans="1:1">
      <c r="A747" t="s">
        <v>2297</v>
      </c>
    </row>
    <row r="748" spans="1:1">
      <c r="A748" t="s">
        <v>2298</v>
      </c>
    </row>
    <row r="749" spans="1:1">
      <c r="A749" t="s">
        <v>2299</v>
      </c>
    </row>
    <row r="750" spans="1:1">
      <c r="A750" t="s">
        <v>2300</v>
      </c>
    </row>
    <row r="751" spans="1:1">
      <c r="A751" t="s">
        <v>2301</v>
      </c>
    </row>
    <row r="752" spans="1:1">
      <c r="A752" t="s">
        <v>2304</v>
      </c>
    </row>
    <row r="753" spans="1:1">
      <c r="A753" t="s">
        <v>2305</v>
      </c>
    </row>
    <row r="754" spans="1:1">
      <c r="A754" t="s">
        <v>2306</v>
      </c>
    </row>
    <row r="755" spans="1:1">
      <c r="A755" t="s">
        <v>2309</v>
      </c>
    </row>
    <row r="756" spans="1:1">
      <c r="A756" t="s">
        <v>2311</v>
      </c>
    </row>
    <row r="757" spans="1:1">
      <c r="A757" t="s">
        <v>2313</v>
      </c>
    </row>
    <row r="758" spans="1:1">
      <c r="A758" t="s">
        <v>2315</v>
      </c>
    </row>
    <row r="759" spans="1:1">
      <c r="A759" t="s">
        <v>1159</v>
      </c>
    </row>
    <row r="760" spans="1:1">
      <c r="A760" t="s">
        <v>1161</v>
      </c>
    </row>
    <row r="761" spans="1:1">
      <c r="A761" t="s">
        <v>1163</v>
      </c>
    </row>
    <row r="762" spans="1:1">
      <c r="A762" t="s">
        <v>1164</v>
      </c>
    </row>
    <row r="763" spans="1:1">
      <c r="A763" t="s">
        <v>1166</v>
      </c>
    </row>
    <row r="764" spans="1:1">
      <c r="A764" t="s">
        <v>1167</v>
      </c>
    </row>
    <row r="765" spans="1:1">
      <c r="A765" t="s">
        <v>1169</v>
      </c>
    </row>
    <row r="766" spans="1:1">
      <c r="A766" t="s">
        <v>3739</v>
      </c>
    </row>
    <row r="767" spans="1:1">
      <c r="A767" t="s">
        <v>1170</v>
      </c>
    </row>
    <row r="768" spans="1:1">
      <c r="A768" t="s">
        <v>1173</v>
      </c>
    </row>
    <row r="769" spans="1:1">
      <c r="A769" t="s">
        <v>1174</v>
      </c>
    </row>
    <row r="770" spans="1:1">
      <c r="A770" t="s">
        <v>1176</v>
      </c>
    </row>
    <row r="771" spans="1:1">
      <c r="A771" t="s">
        <v>1177</v>
      </c>
    </row>
    <row r="772" spans="1:1">
      <c r="A772" t="s">
        <v>1180</v>
      </c>
    </row>
    <row r="773" spans="1:1">
      <c r="A773" t="s">
        <v>2318</v>
      </c>
    </row>
    <row r="774" spans="1:1">
      <c r="A774" t="s">
        <v>1181</v>
      </c>
    </row>
    <row r="775" spans="1:1">
      <c r="A775" t="s">
        <v>1183</v>
      </c>
    </row>
    <row r="776" spans="1:1">
      <c r="A776" t="s">
        <v>1185</v>
      </c>
    </row>
    <row r="777" spans="1:1">
      <c r="A777" t="s">
        <v>1186</v>
      </c>
    </row>
    <row r="778" spans="1:1">
      <c r="A778" t="s">
        <v>1188</v>
      </c>
    </row>
    <row r="779" spans="1:1">
      <c r="A779" t="s">
        <v>1190</v>
      </c>
    </row>
    <row r="780" spans="1:1">
      <c r="A780" t="s">
        <v>1191</v>
      </c>
    </row>
    <row r="781" spans="1:1">
      <c r="A781" t="s">
        <v>1193</v>
      </c>
    </row>
    <row r="782" spans="1:1">
      <c r="A782" t="s">
        <v>1194</v>
      </c>
    </row>
    <row r="783" spans="1:1">
      <c r="A783" t="s">
        <v>1196</v>
      </c>
    </row>
    <row r="784" spans="1:1">
      <c r="A784" t="s">
        <v>1197</v>
      </c>
    </row>
    <row r="785" spans="1:1">
      <c r="A785" t="s">
        <v>1199</v>
      </c>
    </row>
    <row r="786" spans="1:1">
      <c r="A786" t="s">
        <v>1201</v>
      </c>
    </row>
    <row r="787" spans="1:1">
      <c r="A787" t="s">
        <v>1202</v>
      </c>
    </row>
    <row r="788" spans="1:1">
      <c r="A788" t="s">
        <v>1204</v>
      </c>
    </row>
    <row r="789" spans="1:1">
      <c r="A789" t="s">
        <v>1205</v>
      </c>
    </row>
    <row r="790" spans="1:1">
      <c r="A790" t="s">
        <v>1207</v>
      </c>
    </row>
    <row r="791" spans="1:1">
      <c r="A791" t="s">
        <v>1209</v>
      </c>
    </row>
    <row r="792" spans="1:1">
      <c r="A792" t="s">
        <v>5295</v>
      </c>
    </row>
    <row r="793" spans="1:1">
      <c r="A793" t="s">
        <v>1210</v>
      </c>
    </row>
    <row r="794" spans="1:1">
      <c r="A794" t="s">
        <v>2319</v>
      </c>
    </row>
    <row r="795" spans="1:1">
      <c r="A795" t="s">
        <v>2321</v>
      </c>
    </row>
    <row r="796" spans="1:1">
      <c r="A796" t="s">
        <v>2323</v>
      </c>
    </row>
    <row r="797" spans="1:1">
      <c r="A797" t="s">
        <v>2326</v>
      </c>
    </row>
    <row r="798" spans="1:1">
      <c r="A798" t="s">
        <v>2328</v>
      </c>
    </row>
    <row r="799" spans="1:1">
      <c r="A799" t="s">
        <v>2330</v>
      </c>
    </row>
    <row r="800" spans="1:1">
      <c r="A800" t="s">
        <v>2332</v>
      </c>
    </row>
    <row r="801" spans="1:1">
      <c r="A801" t="s">
        <v>1212</v>
      </c>
    </row>
    <row r="802" spans="1:1">
      <c r="A802" t="s">
        <v>1214</v>
      </c>
    </row>
    <row r="803" spans="1:1">
      <c r="A803" t="s">
        <v>1215</v>
      </c>
    </row>
    <row r="804" spans="1:1">
      <c r="A804" t="s">
        <v>1217</v>
      </c>
    </row>
    <row r="805" spans="1:1">
      <c r="A805" t="s">
        <v>1218</v>
      </c>
    </row>
    <row r="806" spans="1:1">
      <c r="A806" t="s">
        <v>1220</v>
      </c>
    </row>
    <row r="807" spans="1:1">
      <c r="A807" t="s">
        <v>2334</v>
      </c>
    </row>
    <row r="808" spans="1:1">
      <c r="A808" t="s">
        <v>2337</v>
      </c>
    </row>
    <row r="809" spans="1:1">
      <c r="A809" t="s">
        <v>2339</v>
      </c>
    </row>
    <row r="810" spans="1:1">
      <c r="A810" t="s">
        <v>2343</v>
      </c>
    </row>
    <row r="811" spans="1:1">
      <c r="A811" t="s">
        <v>2345</v>
      </c>
    </row>
    <row r="812" spans="1:1">
      <c r="A812" t="s">
        <v>2348</v>
      </c>
    </row>
    <row r="813" spans="1:1">
      <c r="A813" t="s">
        <v>2350</v>
      </c>
    </row>
    <row r="814" spans="1:1">
      <c r="A814" t="s">
        <v>2352</v>
      </c>
    </row>
    <row r="815" spans="1:1">
      <c r="A815" t="s">
        <v>2355</v>
      </c>
    </row>
    <row r="816" spans="1:1">
      <c r="A816" t="s">
        <v>2357</v>
      </c>
    </row>
    <row r="817" spans="1:1">
      <c r="A817" t="s">
        <v>2359</v>
      </c>
    </row>
    <row r="818" spans="1:1">
      <c r="A818" t="s">
        <v>2361</v>
      </c>
    </row>
    <row r="819" spans="1:1">
      <c r="A819" t="s">
        <v>2364</v>
      </c>
    </row>
    <row r="820" spans="1:1">
      <c r="A820" t="s">
        <v>2367</v>
      </c>
    </row>
    <row r="821" spans="1:1">
      <c r="A821" t="s">
        <v>2369</v>
      </c>
    </row>
    <row r="822" spans="1:1">
      <c r="A822" t="s">
        <v>2371</v>
      </c>
    </row>
    <row r="823" spans="1:1">
      <c r="A823" t="s">
        <v>2372</v>
      </c>
    </row>
    <row r="824" spans="1:1">
      <c r="A824" t="s">
        <v>2375</v>
      </c>
    </row>
    <row r="825" spans="1:1">
      <c r="A825" t="s">
        <v>2378</v>
      </c>
    </row>
    <row r="826" spans="1:1">
      <c r="A826" t="s">
        <v>2381</v>
      </c>
    </row>
    <row r="827" spans="1:1">
      <c r="A827" t="s">
        <v>2383</v>
      </c>
    </row>
    <row r="828" spans="1:1">
      <c r="A828" t="s">
        <v>2386</v>
      </c>
    </row>
    <row r="829" spans="1:1">
      <c r="A829" t="s">
        <v>2388</v>
      </c>
    </row>
    <row r="830" spans="1:1">
      <c r="A830" t="s">
        <v>2391</v>
      </c>
    </row>
    <row r="831" spans="1:1">
      <c r="A831" t="s">
        <v>2393</v>
      </c>
    </row>
    <row r="832" spans="1:1">
      <c r="A832" t="s">
        <v>2396</v>
      </c>
    </row>
    <row r="833" spans="1:1">
      <c r="A833" t="s">
        <v>2397</v>
      </c>
    </row>
    <row r="834" spans="1:1">
      <c r="A834" t="s">
        <v>2400</v>
      </c>
    </row>
    <row r="835" spans="1:1">
      <c r="A835" t="s">
        <v>2402</v>
      </c>
    </row>
    <row r="836" spans="1:1">
      <c r="A836" t="s">
        <v>2405</v>
      </c>
    </row>
    <row r="837" spans="1:1">
      <c r="A837" t="s">
        <v>2406</v>
      </c>
    </row>
    <row r="838" spans="1:1">
      <c r="A838" t="s">
        <v>2409</v>
      </c>
    </row>
    <row r="839" spans="1:1">
      <c r="A839" t="s">
        <v>1221</v>
      </c>
    </row>
    <row r="840" spans="1:1">
      <c r="A840" t="s">
        <v>1223</v>
      </c>
    </row>
    <row r="841" spans="1:1">
      <c r="A841" t="s">
        <v>1225</v>
      </c>
    </row>
    <row r="842" spans="1:1">
      <c r="A842" t="s">
        <v>1227</v>
      </c>
    </row>
    <row r="843" spans="1:1">
      <c r="A843" t="s">
        <v>1229</v>
      </c>
    </row>
    <row r="844" spans="1:1">
      <c r="A844" t="s">
        <v>1230</v>
      </c>
    </row>
    <row r="845" spans="1:1">
      <c r="A845" t="s">
        <v>1232</v>
      </c>
    </row>
    <row r="846" spans="1:1">
      <c r="A846" t="s">
        <v>1233</v>
      </c>
    </row>
    <row r="847" spans="1:1">
      <c r="A847" t="s">
        <v>1236</v>
      </c>
    </row>
    <row r="848" spans="1:1">
      <c r="A848" t="s">
        <v>1238</v>
      </c>
    </row>
    <row r="849" spans="1:1">
      <c r="A849" t="s">
        <v>1240</v>
      </c>
    </row>
    <row r="850" spans="1:1">
      <c r="A850" t="s">
        <v>1242</v>
      </c>
    </row>
    <row r="851" spans="1:1">
      <c r="A851" t="s">
        <v>2410</v>
      </c>
    </row>
    <row r="852" spans="1:1">
      <c r="A852" t="s">
        <v>2412</v>
      </c>
    </row>
    <row r="853" spans="1:1">
      <c r="A853" t="s">
        <v>1243</v>
      </c>
    </row>
    <row r="854" spans="1:1">
      <c r="A854" t="s">
        <v>1245</v>
      </c>
    </row>
    <row r="855" spans="1:1">
      <c r="A855" t="s">
        <v>1246</v>
      </c>
    </row>
    <row r="856" spans="1:1">
      <c r="A856" t="s">
        <v>1248</v>
      </c>
    </row>
    <row r="857" spans="1:1">
      <c r="A857" t="s">
        <v>1249</v>
      </c>
    </row>
    <row r="858" spans="1:1">
      <c r="A858" t="s">
        <v>2413</v>
      </c>
    </row>
    <row r="859" spans="1:1">
      <c r="A859" t="s">
        <v>1251</v>
      </c>
    </row>
    <row r="860" spans="1:1">
      <c r="A860" t="s">
        <v>1253</v>
      </c>
    </row>
    <row r="861" spans="1:1">
      <c r="A861" t="s">
        <v>1255</v>
      </c>
    </row>
    <row r="862" spans="1:1">
      <c r="A862" t="s">
        <v>1257</v>
      </c>
    </row>
    <row r="863" spans="1:1">
      <c r="A863" t="s">
        <v>1258</v>
      </c>
    </row>
    <row r="864" spans="1:1">
      <c r="A864" t="s">
        <v>1260</v>
      </c>
    </row>
    <row r="865" spans="1:1">
      <c r="A865" t="s">
        <v>1261</v>
      </c>
    </row>
    <row r="866" spans="1:1">
      <c r="A866" t="s">
        <v>1263</v>
      </c>
    </row>
    <row r="867" spans="1:1">
      <c r="A867" t="s">
        <v>2415</v>
      </c>
    </row>
    <row r="868" spans="1:1">
      <c r="A868" t="s">
        <v>2417</v>
      </c>
    </row>
    <row r="869" spans="1:1">
      <c r="A869" t="s">
        <v>1264</v>
      </c>
    </row>
    <row r="870" spans="1:1">
      <c r="A870" t="s">
        <v>2418</v>
      </c>
    </row>
    <row r="871" spans="1:1">
      <c r="A871" t="s">
        <v>2420</v>
      </c>
    </row>
    <row r="872" spans="1:1">
      <c r="A872" t="s">
        <v>2421</v>
      </c>
    </row>
    <row r="873" spans="1:1">
      <c r="A873" t="s">
        <v>2423</v>
      </c>
    </row>
    <row r="874" spans="1:1">
      <c r="A874" t="s">
        <v>2424</v>
      </c>
    </row>
    <row r="875" spans="1:1">
      <c r="A875" t="s">
        <v>2427</v>
      </c>
    </row>
    <row r="876" spans="1:1">
      <c r="A876" t="s">
        <v>2429</v>
      </c>
    </row>
    <row r="877" spans="1:1">
      <c r="A877" t="s">
        <v>2432</v>
      </c>
    </row>
    <row r="878" spans="1:1">
      <c r="A878" t="s">
        <v>2434</v>
      </c>
    </row>
    <row r="879" spans="1:1">
      <c r="A879" t="s">
        <v>2436</v>
      </c>
    </row>
    <row r="880" spans="1:1">
      <c r="A880" t="s">
        <v>3385</v>
      </c>
    </row>
    <row r="881" spans="1:1">
      <c r="A881" t="s">
        <v>1266</v>
      </c>
    </row>
    <row r="882" spans="1:1">
      <c r="A882" t="s">
        <v>1269</v>
      </c>
    </row>
    <row r="883" spans="1:1">
      <c r="A883" t="s">
        <v>1270</v>
      </c>
    </row>
    <row r="884" spans="1:1">
      <c r="A884" t="s">
        <v>1273</v>
      </c>
    </row>
    <row r="885" spans="1:1">
      <c r="A885" t="s">
        <v>1275</v>
      </c>
    </row>
    <row r="886" spans="1:1">
      <c r="A886" t="s">
        <v>1278</v>
      </c>
    </row>
    <row r="887" spans="1:1">
      <c r="A887" t="s">
        <v>1280</v>
      </c>
    </row>
    <row r="888" spans="1:1">
      <c r="A888" t="s">
        <v>1282</v>
      </c>
    </row>
    <row r="889" spans="1:1">
      <c r="A889" t="s">
        <v>1283</v>
      </c>
    </row>
    <row r="890" spans="1:1">
      <c r="A890" t="s">
        <v>1285</v>
      </c>
    </row>
    <row r="891" spans="1:1">
      <c r="A891" t="s">
        <v>1286</v>
      </c>
    </row>
    <row r="892" spans="1:1">
      <c r="A892" t="s">
        <v>1289</v>
      </c>
    </row>
    <row r="893" spans="1:1">
      <c r="A893" t="s">
        <v>1291</v>
      </c>
    </row>
    <row r="894" spans="1:1">
      <c r="A894" t="s">
        <v>1293</v>
      </c>
    </row>
    <row r="895" spans="1:1">
      <c r="A895" t="s">
        <v>1294</v>
      </c>
    </row>
    <row r="896" spans="1:1">
      <c r="A896" t="s">
        <v>2438</v>
      </c>
    </row>
    <row r="897" spans="1:1">
      <c r="A897" t="s">
        <v>2441</v>
      </c>
    </row>
    <row r="898" spans="1:1">
      <c r="A898" t="s">
        <v>2443</v>
      </c>
    </row>
    <row r="899" spans="1:1">
      <c r="A899" t="s">
        <v>2446</v>
      </c>
    </row>
    <row r="900" spans="1:1">
      <c r="A900" t="s">
        <v>2447</v>
      </c>
    </row>
    <row r="901" spans="1:1">
      <c r="A901" t="s">
        <v>2450</v>
      </c>
    </row>
    <row r="902" spans="1:1">
      <c r="A902" t="s">
        <v>2452</v>
      </c>
    </row>
    <row r="903" spans="1:1">
      <c r="A903" t="s">
        <v>2454</v>
      </c>
    </row>
    <row r="904" spans="1:1">
      <c r="A904" t="s">
        <v>2456</v>
      </c>
    </row>
    <row r="905" spans="1:1">
      <c r="A905" t="s">
        <v>2457</v>
      </c>
    </row>
    <row r="906" spans="1:1">
      <c r="A906" t="s">
        <v>2459</v>
      </c>
    </row>
    <row r="907" spans="1:1">
      <c r="A907" t="s">
        <v>1296</v>
      </c>
    </row>
    <row r="908" spans="1:1">
      <c r="A908" t="s">
        <v>1298</v>
      </c>
    </row>
    <row r="909" spans="1:1">
      <c r="A909" t="s">
        <v>1302</v>
      </c>
    </row>
    <row r="910" spans="1:1">
      <c r="A910" t="s">
        <v>1304</v>
      </c>
    </row>
    <row r="911" spans="1:1">
      <c r="A911" t="s">
        <v>1306</v>
      </c>
    </row>
    <row r="912" spans="1:1">
      <c r="A912" t="s">
        <v>1307</v>
      </c>
    </row>
    <row r="913" spans="1:1">
      <c r="A913" t="s">
        <v>1308</v>
      </c>
    </row>
    <row r="914" spans="1:1">
      <c r="A914" t="s">
        <v>1310</v>
      </c>
    </row>
    <row r="915" spans="1:1">
      <c r="A915" t="s">
        <v>1311</v>
      </c>
    </row>
    <row r="916" spans="1:1">
      <c r="A916" t="s">
        <v>1312</v>
      </c>
    </row>
    <row r="917" spans="1:1">
      <c r="A917" t="s">
        <v>1314</v>
      </c>
    </row>
    <row r="918" spans="1:1">
      <c r="A918" t="s">
        <v>1317</v>
      </c>
    </row>
    <row r="919" spans="1:1">
      <c r="A919" t="s">
        <v>1320</v>
      </c>
    </row>
    <row r="920" spans="1:1">
      <c r="A920" t="s">
        <v>1322</v>
      </c>
    </row>
    <row r="921" spans="1:1">
      <c r="A921" t="s">
        <v>1324</v>
      </c>
    </row>
    <row r="922" spans="1:1">
      <c r="A922" t="s">
        <v>1327</v>
      </c>
    </row>
    <row r="923" spans="1:1">
      <c r="A923" t="s">
        <v>1329</v>
      </c>
    </row>
    <row r="924" spans="1:1">
      <c r="A924" t="s">
        <v>1330</v>
      </c>
    </row>
    <row r="925" spans="1:1">
      <c r="A925" t="s">
        <v>1331</v>
      </c>
    </row>
    <row r="926" spans="1:1">
      <c r="A926" t="s">
        <v>1333</v>
      </c>
    </row>
    <row r="927" spans="1:1">
      <c r="A927" t="s">
        <v>1334</v>
      </c>
    </row>
    <row r="928" spans="1:1">
      <c r="A928" t="s">
        <v>1335</v>
      </c>
    </row>
    <row r="929" spans="1:1">
      <c r="A929" t="s">
        <v>1338</v>
      </c>
    </row>
    <row r="930" spans="1:1">
      <c r="A930" t="s">
        <v>1340</v>
      </c>
    </row>
    <row r="931" spans="1:1">
      <c r="A931" t="s">
        <v>1342</v>
      </c>
    </row>
    <row r="932" spans="1:1">
      <c r="A932" t="s">
        <v>1344</v>
      </c>
    </row>
    <row r="933" spans="1:1">
      <c r="A933" t="s">
        <v>1346</v>
      </c>
    </row>
    <row r="934" spans="1:1">
      <c r="A934" t="s">
        <v>3388</v>
      </c>
    </row>
    <row r="935" spans="1:1">
      <c r="A935" t="s">
        <v>3390</v>
      </c>
    </row>
    <row r="936" spans="1:1">
      <c r="A936" t="s">
        <v>1348</v>
      </c>
    </row>
    <row r="937" spans="1:1">
      <c r="A937" t="s">
        <v>1350</v>
      </c>
    </row>
    <row r="938" spans="1:1">
      <c r="A938" t="s">
        <v>1352</v>
      </c>
    </row>
    <row r="939" spans="1:1">
      <c r="A939" t="s">
        <v>1354</v>
      </c>
    </row>
    <row r="940" spans="1:1">
      <c r="A940" t="s">
        <v>1356</v>
      </c>
    </row>
    <row r="941" spans="1:1">
      <c r="A941" t="s">
        <v>1358</v>
      </c>
    </row>
    <row r="942" spans="1:1">
      <c r="A942" t="s">
        <v>1360</v>
      </c>
    </row>
    <row r="943" spans="1:1">
      <c r="A943" t="s">
        <v>1362</v>
      </c>
    </row>
    <row r="944" spans="1:1">
      <c r="A944" t="s">
        <v>1363</v>
      </c>
    </row>
    <row r="945" spans="1:1">
      <c r="A945" t="s">
        <v>1365</v>
      </c>
    </row>
    <row r="946" spans="1:1">
      <c r="A946" t="s">
        <v>1367</v>
      </c>
    </row>
    <row r="947" spans="1:1">
      <c r="A947" t="s">
        <v>2461</v>
      </c>
    </row>
    <row r="948" spans="1:1">
      <c r="A948" t="s">
        <v>2464</v>
      </c>
    </row>
    <row r="949" spans="1:1">
      <c r="A949" t="s">
        <v>2466</v>
      </c>
    </row>
    <row r="950" spans="1:1">
      <c r="A950" t="s">
        <v>2468</v>
      </c>
    </row>
    <row r="951" spans="1:1">
      <c r="A951" t="s">
        <v>2470</v>
      </c>
    </row>
    <row r="952" spans="1:1">
      <c r="A952" t="s">
        <v>2472</v>
      </c>
    </row>
    <row r="953" spans="1:1">
      <c r="A953" t="s">
        <v>2474</v>
      </c>
    </row>
    <row r="954" spans="1:1">
      <c r="A954" t="s">
        <v>2477</v>
      </c>
    </row>
    <row r="955" spans="1:1">
      <c r="A955" t="s">
        <v>2479</v>
      </c>
    </row>
    <row r="956" spans="1:1">
      <c r="A956" t="s">
        <v>2480</v>
      </c>
    </row>
    <row r="957" spans="1:1">
      <c r="A957" t="s">
        <v>2482</v>
      </c>
    </row>
    <row r="958" spans="1:1">
      <c r="A958" t="s">
        <v>2483</v>
      </c>
    </row>
    <row r="959" spans="1:1">
      <c r="A959" t="s">
        <v>2485</v>
      </c>
    </row>
    <row r="960" spans="1:1">
      <c r="A960" t="s">
        <v>2486</v>
      </c>
    </row>
    <row r="961" spans="1:1">
      <c r="A961" t="s">
        <v>2488</v>
      </c>
    </row>
    <row r="962" spans="1:1">
      <c r="A962" t="s">
        <v>2489</v>
      </c>
    </row>
    <row r="963" spans="1:1">
      <c r="A963" t="s">
        <v>2491</v>
      </c>
    </row>
    <row r="964" spans="1:1">
      <c r="A964" t="s">
        <v>2492</v>
      </c>
    </row>
    <row r="965" spans="1:1">
      <c r="A965" t="s">
        <v>2495</v>
      </c>
    </row>
    <row r="966" spans="1:1">
      <c r="A966" t="s">
        <v>2496</v>
      </c>
    </row>
    <row r="967" spans="1:1">
      <c r="A967" t="s">
        <v>2498</v>
      </c>
    </row>
    <row r="968" spans="1:1">
      <c r="A968" t="s">
        <v>2499</v>
      </c>
    </row>
    <row r="969" spans="1:1">
      <c r="A969" t="s">
        <v>2502</v>
      </c>
    </row>
    <row r="970" spans="1:1">
      <c r="A970" t="s">
        <v>2503</v>
      </c>
    </row>
    <row r="971" spans="1:1">
      <c r="A971" t="s">
        <v>2506</v>
      </c>
    </row>
    <row r="972" spans="1:1">
      <c r="A972" t="s">
        <v>2507</v>
      </c>
    </row>
    <row r="973" spans="1:1">
      <c r="A973" t="s">
        <v>2509</v>
      </c>
    </row>
    <row r="974" spans="1:1">
      <c r="A974" t="s">
        <v>2511</v>
      </c>
    </row>
    <row r="975" spans="1:1">
      <c r="A975" t="s">
        <v>2513</v>
      </c>
    </row>
    <row r="976" spans="1:1">
      <c r="A976" t="s">
        <v>2516</v>
      </c>
    </row>
    <row r="977" spans="1:1">
      <c r="A977" t="s">
        <v>2517</v>
      </c>
    </row>
    <row r="978" spans="1:1">
      <c r="A978" t="s">
        <v>2519</v>
      </c>
    </row>
    <row r="979" spans="1:1">
      <c r="A979" t="s">
        <v>2521</v>
      </c>
    </row>
    <row r="980" spans="1:1">
      <c r="A980" t="s">
        <v>2524</v>
      </c>
    </row>
    <row r="981" spans="1:1">
      <c r="A981" t="s">
        <v>2527</v>
      </c>
    </row>
    <row r="982" spans="1:1">
      <c r="A982" t="s">
        <v>2529</v>
      </c>
    </row>
    <row r="983" spans="1:1">
      <c r="A983" t="s">
        <v>2531</v>
      </c>
    </row>
    <row r="984" spans="1:1">
      <c r="A984" t="s">
        <v>2533</v>
      </c>
    </row>
    <row r="985" spans="1:1">
      <c r="A985" t="s">
        <v>2535</v>
      </c>
    </row>
    <row r="986" spans="1:1">
      <c r="A986" t="s">
        <v>2537</v>
      </c>
    </row>
    <row r="987" spans="1:1">
      <c r="A987" t="s">
        <v>2539</v>
      </c>
    </row>
    <row r="988" spans="1:1">
      <c r="A988" t="s">
        <v>2541</v>
      </c>
    </row>
    <row r="989" spans="1:1">
      <c r="A989" t="s">
        <v>2543</v>
      </c>
    </row>
    <row r="990" spans="1:1">
      <c r="A990" t="s">
        <v>2545</v>
      </c>
    </row>
    <row r="991" spans="1:1">
      <c r="A991" t="s">
        <v>2548</v>
      </c>
    </row>
    <row r="992" spans="1:1">
      <c r="A992" t="s">
        <v>2550</v>
      </c>
    </row>
    <row r="993" spans="1:1">
      <c r="A993" t="s">
        <v>2552</v>
      </c>
    </row>
    <row r="994" spans="1:1">
      <c r="A994" t="s">
        <v>2554</v>
      </c>
    </row>
    <row r="995" spans="1:1">
      <c r="A995" t="s">
        <v>2557</v>
      </c>
    </row>
    <row r="996" spans="1:1">
      <c r="A996" t="s">
        <v>2558</v>
      </c>
    </row>
    <row r="997" spans="1:1">
      <c r="A997" t="s">
        <v>2561</v>
      </c>
    </row>
    <row r="998" spans="1:1">
      <c r="A998" t="s">
        <v>2562</v>
      </c>
    </row>
    <row r="999" spans="1:1">
      <c r="A999" t="s">
        <v>2563</v>
      </c>
    </row>
    <row r="1000" spans="1:1">
      <c r="A1000" t="s">
        <v>2565</v>
      </c>
    </row>
    <row r="1001" spans="1:1">
      <c r="A1001" t="s">
        <v>2567</v>
      </c>
    </row>
    <row r="1002" spans="1:1">
      <c r="A1002" t="s">
        <v>2568</v>
      </c>
    </row>
    <row r="1003" spans="1:1">
      <c r="A1003" t="s">
        <v>2570</v>
      </c>
    </row>
    <row r="1004" spans="1:1">
      <c r="A1004" t="s">
        <v>2572</v>
      </c>
    </row>
    <row r="1005" spans="1:1">
      <c r="A1005" t="s">
        <v>2574</v>
      </c>
    </row>
    <row r="1006" spans="1:1">
      <c r="A1006" t="s">
        <v>3391</v>
      </c>
    </row>
    <row r="1007" spans="1:1">
      <c r="A1007" t="s">
        <v>3394</v>
      </c>
    </row>
    <row r="1008" spans="1:1">
      <c r="A1008" t="s">
        <v>5353</v>
      </c>
    </row>
    <row r="1009" spans="1:1">
      <c r="A1009" t="s">
        <v>1370</v>
      </c>
    </row>
    <row r="1010" spans="1:1">
      <c r="A1010" t="s">
        <v>1371</v>
      </c>
    </row>
    <row r="1011" spans="1:1">
      <c r="A1011" t="s">
        <v>1372</v>
      </c>
    </row>
    <row r="1012" spans="1:1">
      <c r="A1012" t="s">
        <v>1374</v>
      </c>
    </row>
    <row r="1013" spans="1:1">
      <c r="A1013" t="s">
        <v>1375</v>
      </c>
    </row>
    <row r="1014" spans="1:1">
      <c r="A1014" t="s">
        <v>1377</v>
      </c>
    </row>
    <row r="1015" spans="1:1">
      <c r="A1015" t="s">
        <v>1378</v>
      </c>
    </row>
    <row r="1016" spans="1:1">
      <c r="A1016" t="s">
        <v>1379</v>
      </c>
    </row>
    <row r="1017" spans="1:1">
      <c r="A1017" t="s">
        <v>1382</v>
      </c>
    </row>
    <row r="1018" spans="1:1">
      <c r="A1018" t="s">
        <v>1383</v>
      </c>
    </row>
    <row r="1019" spans="1:1">
      <c r="A1019" t="s">
        <v>1385</v>
      </c>
    </row>
    <row r="1020" spans="1:1">
      <c r="A1020" t="s">
        <v>3397</v>
      </c>
    </row>
    <row r="1021" spans="1:1">
      <c r="A1021" t="s">
        <v>2576</v>
      </c>
    </row>
    <row r="1022" spans="1:1">
      <c r="A1022" t="s">
        <v>2578</v>
      </c>
    </row>
    <row r="1023" spans="1:1">
      <c r="A1023" t="s">
        <v>1386</v>
      </c>
    </row>
    <row r="1024" spans="1:1">
      <c r="A1024" t="s">
        <v>1388</v>
      </c>
    </row>
    <row r="1025" spans="1:1">
      <c r="A1025" t="s">
        <v>1391</v>
      </c>
    </row>
    <row r="1026" spans="1:1">
      <c r="A1026" t="s">
        <v>2579</v>
      </c>
    </row>
    <row r="1027" spans="1:1">
      <c r="A1027" t="s">
        <v>2582</v>
      </c>
    </row>
    <row r="1028" spans="1:1">
      <c r="A1028" t="s">
        <v>2584</v>
      </c>
    </row>
    <row r="1029" spans="1:1">
      <c r="A1029" t="s">
        <v>2587</v>
      </c>
    </row>
    <row r="1030" spans="1:1">
      <c r="A1030" t="s">
        <v>2589</v>
      </c>
    </row>
    <row r="1031" spans="1:1">
      <c r="A1031" t="s">
        <v>2592</v>
      </c>
    </row>
    <row r="1032" spans="1:1">
      <c r="A1032" t="s">
        <v>1392</v>
      </c>
    </row>
    <row r="1033" spans="1:1">
      <c r="A1033" t="s">
        <v>1394</v>
      </c>
    </row>
    <row r="1034" spans="1:1">
      <c r="A1034" t="s">
        <v>1395</v>
      </c>
    </row>
    <row r="1035" spans="1:1">
      <c r="A1035" t="s">
        <v>1398</v>
      </c>
    </row>
    <row r="1036" spans="1:1">
      <c r="A1036" t="s">
        <v>1399</v>
      </c>
    </row>
    <row r="1037" spans="1:1">
      <c r="A1037" t="s">
        <v>2594</v>
      </c>
    </row>
    <row r="1038" spans="1:1">
      <c r="A1038" t="s">
        <v>2596</v>
      </c>
    </row>
    <row r="1039" spans="1:1">
      <c r="A1039" t="s">
        <v>2599</v>
      </c>
    </row>
    <row r="1040" spans="1:1">
      <c r="A1040" t="s">
        <v>5354</v>
      </c>
    </row>
    <row r="1041" spans="1:1">
      <c r="A1041" t="s">
        <v>5356</v>
      </c>
    </row>
    <row r="1042" spans="1:1">
      <c r="A1042" t="s">
        <v>2601</v>
      </c>
    </row>
    <row r="1043" spans="1:1">
      <c r="A1043" t="s">
        <v>2604</v>
      </c>
    </row>
    <row r="1044" spans="1:1">
      <c r="A1044" t="s">
        <v>1401</v>
      </c>
    </row>
    <row r="1045" spans="1:1">
      <c r="A1045" t="s">
        <v>1404</v>
      </c>
    </row>
    <row r="1046" spans="1:1">
      <c r="A1046" t="s">
        <v>1405</v>
      </c>
    </row>
    <row r="1047" spans="1:1">
      <c r="A1047" t="s">
        <v>1406</v>
      </c>
    </row>
    <row r="1048" spans="1:1">
      <c r="A1048" t="s">
        <v>1409</v>
      </c>
    </row>
    <row r="1049" spans="1:1">
      <c r="A1049" t="s">
        <v>1411</v>
      </c>
    </row>
    <row r="1050" spans="1:1">
      <c r="A1050" t="s">
        <v>1414</v>
      </c>
    </row>
    <row r="1051" spans="1:1">
      <c r="A1051" t="s">
        <v>1415</v>
      </c>
    </row>
    <row r="1052" spans="1:1">
      <c r="A1052" t="s">
        <v>1418</v>
      </c>
    </row>
    <row r="1053" spans="1:1">
      <c r="A1053" t="s">
        <v>1419</v>
      </c>
    </row>
    <row r="1054" spans="1:1">
      <c r="A1054" t="s">
        <v>1421</v>
      </c>
    </row>
    <row r="1055" spans="1:1">
      <c r="A1055" t="s">
        <v>3399</v>
      </c>
    </row>
    <row r="1056" spans="1:1">
      <c r="A1056" t="s">
        <v>3402</v>
      </c>
    </row>
    <row r="1057" spans="1:1">
      <c r="A1057" t="s">
        <v>1423</v>
      </c>
    </row>
    <row r="1058" spans="1:1">
      <c r="A1058" t="s">
        <v>1426</v>
      </c>
    </row>
    <row r="1059" spans="1:1">
      <c r="A1059" t="s">
        <v>1427</v>
      </c>
    </row>
    <row r="1060" spans="1:1">
      <c r="A1060" t="s">
        <v>1428</v>
      </c>
    </row>
    <row r="1061" spans="1:1">
      <c r="A1061" t="s">
        <v>1431</v>
      </c>
    </row>
    <row r="1062" spans="1:1">
      <c r="A1062" t="s">
        <v>3403</v>
      </c>
    </row>
    <row r="1063" spans="1:1">
      <c r="A1063" t="s">
        <v>3405</v>
      </c>
    </row>
    <row r="1064" spans="1:1">
      <c r="A1064" t="s">
        <v>1433</v>
      </c>
    </row>
    <row r="1065" spans="1:1">
      <c r="A1065" t="s">
        <v>1435</v>
      </c>
    </row>
    <row r="1066" spans="1:1">
      <c r="A1066" t="s">
        <v>1436</v>
      </c>
    </row>
    <row r="1067" spans="1:1">
      <c r="A1067" t="s">
        <v>1438</v>
      </c>
    </row>
    <row r="1068" spans="1:1">
      <c r="A1068" t="s">
        <v>1439</v>
      </c>
    </row>
    <row r="1069" spans="1:1">
      <c r="A1069" t="s">
        <v>1441</v>
      </c>
    </row>
    <row r="1070" spans="1:1">
      <c r="A1070" t="s">
        <v>1442</v>
      </c>
    </row>
    <row r="1071" spans="1:1">
      <c r="A1071" t="s">
        <v>1445</v>
      </c>
    </row>
    <row r="1072" spans="1:1">
      <c r="A1072" t="s">
        <v>1446</v>
      </c>
    </row>
    <row r="1073" spans="1:1">
      <c r="A1073" t="s">
        <v>1447</v>
      </c>
    </row>
    <row r="1074" spans="1:1">
      <c r="A1074" t="s">
        <v>1450</v>
      </c>
    </row>
    <row r="1075" spans="1:1">
      <c r="A1075" t="s">
        <v>1451</v>
      </c>
    </row>
    <row r="1076" spans="1:1">
      <c r="A1076" t="s">
        <v>1453</v>
      </c>
    </row>
    <row r="1077" spans="1:1">
      <c r="A1077" t="s">
        <v>1454</v>
      </c>
    </row>
    <row r="1078" spans="1:1">
      <c r="A1078" t="s">
        <v>1456</v>
      </c>
    </row>
    <row r="1079" spans="1:1">
      <c r="A1079" t="s">
        <v>1457</v>
      </c>
    </row>
    <row r="1080" spans="1:1">
      <c r="A1080" t="s">
        <v>1459</v>
      </c>
    </row>
    <row r="1081" spans="1:1">
      <c r="A1081" t="s">
        <v>1461</v>
      </c>
    </row>
    <row r="1082" spans="1:1">
      <c r="A1082" t="s">
        <v>1463</v>
      </c>
    </row>
    <row r="1083" spans="1:1">
      <c r="A1083" t="s">
        <v>3406</v>
      </c>
    </row>
    <row r="1084" spans="1:1">
      <c r="A1084" t="s">
        <v>2606</v>
      </c>
    </row>
    <row r="1085" spans="1:1">
      <c r="A1085" t="s">
        <v>2609</v>
      </c>
    </row>
    <row r="1086" spans="1:1">
      <c r="A1086" t="s">
        <v>2610</v>
      </c>
    </row>
    <row r="1087" spans="1:1">
      <c r="A1087" t="s">
        <v>2611</v>
      </c>
    </row>
    <row r="1088" spans="1:1">
      <c r="A1088" t="s">
        <v>2613</v>
      </c>
    </row>
    <row r="1089" spans="1:1">
      <c r="A1089" t="s">
        <v>2615</v>
      </c>
    </row>
    <row r="1090" spans="1:1">
      <c r="A1090" t="s">
        <v>2617</v>
      </c>
    </row>
    <row r="1091" spans="1:1">
      <c r="A1091" t="s">
        <v>2619</v>
      </c>
    </row>
    <row r="1092" spans="1:1">
      <c r="A1092" t="s">
        <v>2621</v>
      </c>
    </row>
    <row r="1093" spans="1:1">
      <c r="A1093" t="s">
        <v>2623</v>
      </c>
    </row>
    <row r="1094" spans="1:1">
      <c r="A1094" t="s">
        <v>2625</v>
      </c>
    </row>
    <row r="1095" spans="1:1">
      <c r="A1095" t="s">
        <v>2628</v>
      </c>
    </row>
    <row r="1096" spans="1:1">
      <c r="A1096" t="s">
        <v>2630</v>
      </c>
    </row>
    <row r="1097" spans="1:1">
      <c r="A1097" t="s">
        <v>2632</v>
      </c>
    </row>
    <row r="1098" spans="1:1">
      <c r="A1098" t="s">
        <v>2634</v>
      </c>
    </row>
    <row r="1099" spans="1:1">
      <c r="A1099" t="s">
        <v>2637</v>
      </c>
    </row>
    <row r="1100" spans="1:1">
      <c r="A1100" t="s">
        <v>2638</v>
      </c>
    </row>
    <row r="1101" spans="1:1">
      <c r="A1101" t="s">
        <v>2641</v>
      </c>
    </row>
    <row r="1102" spans="1:1">
      <c r="A1102" t="s">
        <v>2644</v>
      </c>
    </row>
    <row r="1103" spans="1:1">
      <c r="A1103" t="s">
        <v>2646</v>
      </c>
    </row>
    <row r="1104" spans="1:1">
      <c r="A1104" t="s">
        <v>2647</v>
      </c>
    </row>
    <row r="1105" spans="1:1">
      <c r="A1105" t="s">
        <v>2649</v>
      </c>
    </row>
    <row r="1106" spans="1:1">
      <c r="A1106" t="s">
        <v>2652</v>
      </c>
    </row>
    <row r="1107" spans="1:1">
      <c r="A1107" t="s">
        <v>2654</v>
      </c>
    </row>
    <row r="1108" spans="1:1">
      <c r="A1108" t="s">
        <v>2657</v>
      </c>
    </row>
    <row r="1109" spans="1:1">
      <c r="A1109" t="s">
        <v>2659</v>
      </c>
    </row>
    <row r="1110" spans="1:1">
      <c r="A1110" t="s">
        <v>2662</v>
      </c>
    </row>
    <row r="1111" spans="1:1">
      <c r="A1111" t="s">
        <v>2664</v>
      </c>
    </row>
    <row r="1112" spans="1:1">
      <c r="A1112" t="s">
        <v>2667</v>
      </c>
    </row>
    <row r="1113" spans="1:1">
      <c r="A1113" t="s">
        <v>1464</v>
      </c>
    </row>
    <row r="1114" spans="1:1">
      <c r="A1114" t="s">
        <v>1466</v>
      </c>
    </row>
    <row r="1115" spans="1:1">
      <c r="A1115" t="s">
        <v>2669</v>
      </c>
    </row>
    <row r="1116" spans="1:1">
      <c r="A1116" t="s">
        <v>2671</v>
      </c>
    </row>
    <row r="1117" spans="1:1">
      <c r="A1117" t="s">
        <v>1467</v>
      </c>
    </row>
    <row r="1118" spans="1:1">
      <c r="A1118" t="s">
        <v>1469</v>
      </c>
    </row>
    <row r="1119" spans="1:1">
      <c r="A1119" t="s">
        <v>1470</v>
      </c>
    </row>
    <row r="1120" spans="1:1">
      <c r="A1120" t="s">
        <v>1472</v>
      </c>
    </row>
    <row r="1121" spans="1:1">
      <c r="A1121" t="s">
        <v>2673</v>
      </c>
    </row>
    <row r="1122" spans="1:1">
      <c r="A1122" t="s">
        <v>2675</v>
      </c>
    </row>
    <row r="1123" spans="1:1">
      <c r="A1123" t="s">
        <v>2676</v>
      </c>
    </row>
    <row r="1124" spans="1:1">
      <c r="A1124" t="s">
        <v>2679</v>
      </c>
    </row>
    <row r="1125" spans="1:1">
      <c r="A1125" t="s">
        <v>2681</v>
      </c>
    </row>
    <row r="1126" spans="1:1">
      <c r="A1126" t="s">
        <v>2683</v>
      </c>
    </row>
    <row r="1127" spans="1:1">
      <c r="A1127" t="s">
        <v>1473</v>
      </c>
    </row>
    <row r="1128" spans="1:1">
      <c r="A1128" t="s">
        <v>1476</v>
      </c>
    </row>
    <row r="1129" spans="1:1">
      <c r="A1129" t="s">
        <v>2685</v>
      </c>
    </row>
    <row r="1130" spans="1:1">
      <c r="A1130" t="s">
        <v>2687</v>
      </c>
    </row>
    <row r="1131" spans="1:1">
      <c r="A1131" t="s">
        <v>1477</v>
      </c>
    </row>
    <row r="1132" spans="1:1">
      <c r="A1132" t="s">
        <v>1479</v>
      </c>
    </row>
    <row r="1133" spans="1:1">
      <c r="A1133" t="s">
        <v>1480</v>
      </c>
    </row>
    <row r="1134" spans="1:1">
      <c r="A1134" t="s">
        <v>1482</v>
      </c>
    </row>
    <row r="1135" spans="1:1">
      <c r="A1135" t="s">
        <v>1483</v>
      </c>
    </row>
    <row r="1136" spans="1:1">
      <c r="A1136" t="s">
        <v>2688</v>
      </c>
    </row>
    <row r="1137" spans="1:1">
      <c r="A1137" t="s">
        <v>2691</v>
      </c>
    </row>
    <row r="1138" spans="1:1">
      <c r="A1138" t="s">
        <v>1485</v>
      </c>
    </row>
    <row r="1139" spans="1:1">
      <c r="A1139" t="s">
        <v>1487</v>
      </c>
    </row>
    <row r="1140" spans="1:1">
      <c r="A1140" t="s">
        <v>1488</v>
      </c>
    </row>
    <row r="1141" spans="1:1">
      <c r="A1141" t="s">
        <v>1490</v>
      </c>
    </row>
    <row r="1142" spans="1:1">
      <c r="A1142" t="s">
        <v>2692</v>
      </c>
    </row>
    <row r="1143" spans="1:1">
      <c r="A1143" t="s">
        <v>2695</v>
      </c>
    </row>
    <row r="1144" spans="1:1">
      <c r="A1144" t="s">
        <v>2696</v>
      </c>
    </row>
    <row r="1145" spans="1:1">
      <c r="A1145" t="s">
        <v>2698</v>
      </c>
    </row>
    <row r="1146" spans="1:1">
      <c r="A1146" t="s">
        <v>2700</v>
      </c>
    </row>
    <row r="1147" spans="1:1">
      <c r="A1147" t="s">
        <v>2702</v>
      </c>
    </row>
    <row r="1148" spans="1:1">
      <c r="A1148" t="s">
        <v>2704</v>
      </c>
    </row>
    <row r="1149" spans="1:1">
      <c r="A1149" t="s">
        <v>2707</v>
      </c>
    </row>
    <row r="1150" spans="1:1">
      <c r="A1150" t="s">
        <v>2710</v>
      </c>
    </row>
    <row r="1151" spans="1:1">
      <c r="A1151" t="s">
        <v>2712</v>
      </c>
    </row>
    <row r="1152" spans="1:1">
      <c r="A1152" t="s">
        <v>2715</v>
      </c>
    </row>
    <row r="1153" spans="1:1">
      <c r="A1153" t="s">
        <v>2718</v>
      </c>
    </row>
    <row r="1154" spans="1:1">
      <c r="A1154" t="s">
        <v>2720</v>
      </c>
    </row>
    <row r="1155" spans="1:1">
      <c r="A1155" t="s">
        <v>2722</v>
      </c>
    </row>
    <row r="1156" spans="1:1">
      <c r="A1156" t="s">
        <v>2724</v>
      </c>
    </row>
    <row r="1157" spans="1:1">
      <c r="A1157" t="s">
        <v>2726</v>
      </c>
    </row>
    <row r="1158" spans="1:1">
      <c r="A1158" t="s">
        <v>2729</v>
      </c>
    </row>
    <row r="1159" spans="1:1">
      <c r="A1159" t="s">
        <v>2731</v>
      </c>
    </row>
    <row r="1160" spans="1:1">
      <c r="A1160" t="s">
        <v>2734</v>
      </c>
    </row>
    <row r="1161" spans="1:1">
      <c r="A1161" t="s">
        <v>2736</v>
      </c>
    </row>
    <row r="1162" spans="1:1">
      <c r="A1162" t="s">
        <v>1491</v>
      </c>
    </row>
    <row r="1163" spans="1:1">
      <c r="A1163" t="s">
        <v>1493</v>
      </c>
    </row>
    <row r="1164" spans="1:1">
      <c r="A1164" t="s">
        <v>1494</v>
      </c>
    </row>
    <row r="1165" spans="1:1">
      <c r="A1165" t="s">
        <v>1496</v>
      </c>
    </row>
    <row r="1166" spans="1:1">
      <c r="A1166" t="s">
        <v>1497</v>
      </c>
    </row>
    <row r="1167" spans="1:1">
      <c r="A1167" t="s">
        <v>1500</v>
      </c>
    </row>
    <row r="1168" spans="1:1">
      <c r="A1168" t="s">
        <v>2739</v>
      </c>
    </row>
    <row r="1169" spans="1:1">
      <c r="A1169" t="s">
        <v>2742</v>
      </c>
    </row>
    <row r="1170" spans="1:1">
      <c r="A1170" t="s">
        <v>1501</v>
      </c>
    </row>
    <row r="1171" spans="1:1">
      <c r="A1171" t="s">
        <v>1504</v>
      </c>
    </row>
    <row r="1172" spans="1:1">
      <c r="A1172" t="s">
        <v>2744</v>
      </c>
    </row>
    <row r="1173" spans="1:1">
      <c r="A1173" t="s">
        <v>2747</v>
      </c>
    </row>
    <row r="1174" spans="1:1">
      <c r="A1174" t="s">
        <v>2750</v>
      </c>
    </row>
    <row r="1175" spans="1:1">
      <c r="A1175" t="s">
        <v>2752</v>
      </c>
    </row>
    <row r="1176" spans="1:1">
      <c r="A1176" t="s">
        <v>2753</v>
      </c>
    </row>
    <row r="1177" spans="1:1">
      <c r="A1177" t="s">
        <v>2756</v>
      </c>
    </row>
    <row r="1178" spans="1:1">
      <c r="A1178" t="s">
        <v>1505</v>
      </c>
    </row>
    <row r="1179" spans="1:1">
      <c r="A1179" t="s">
        <v>5307</v>
      </c>
    </row>
    <row r="1180" spans="1:1">
      <c r="A1180" t="s">
        <v>1507</v>
      </c>
    </row>
    <row r="1181" spans="1:1">
      <c r="A1181" t="s">
        <v>1509</v>
      </c>
    </row>
    <row r="1182" spans="1:1">
      <c r="A1182" t="s">
        <v>1510</v>
      </c>
    </row>
    <row r="1183" spans="1:1">
      <c r="A1183" t="s">
        <v>1512</v>
      </c>
    </row>
    <row r="1184" spans="1:1">
      <c r="A1184" t="s">
        <v>1515</v>
      </c>
    </row>
    <row r="1185" spans="1:1">
      <c r="A1185" t="s">
        <v>1517</v>
      </c>
    </row>
    <row r="1186" spans="1:1">
      <c r="A1186" t="s">
        <v>2758</v>
      </c>
    </row>
    <row r="1187" spans="1:1">
      <c r="A1187" t="s">
        <v>2760</v>
      </c>
    </row>
    <row r="1188" spans="1:1">
      <c r="A1188" t="s">
        <v>1518</v>
      </c>
    </row>
    <row r="1189" spans="1:1">
      <c r="A1189" t="s">
        <v>1521</v>
      </c>
    </row>
    <row r="1190" spans="1:1">
      <c r="A1190" t="s">
        <v>1522</v>
      </c>
    </row>
    <row r="1191" spans="1:1">
      <c r="A1191" t="s">
        <v>1524</v>
      </c>
    </row>
    <row r="1192" spans="1:1">
      <c r="A1192" t="s">
        <v>2762</v>
      </c>
    </row>
    <row r="1193" spans="1:1">
      <c r="A1193" t="s">
        <v>2764</v>
      </c>
    </row>
    <row r="1194" spans="1:1">
      <c r="A1194" t="s">
        <v>2765</v>
      </c>
    </row>
    <row r="1195" spans="1:1">
      <c r="A1195" t="s">
        <v>2767</v>
      </c>
    </row>
    <row r="1196" spans="1:1">
      <c r="A1196" t="s">
        <v>1525</v>
      </c>
    </row>
    <row r="1197" spans="1:1">
      <c r="A1197" t="s">
        <v>1527</v>
      </c>
    </row>
    <row r="1198" spans="1:1">
      <c r="A1198" t="s">
        <v>1528</v>
      </c>
    </row>
    <row r="1199" spans="1:1">
      <c r="A1199" t="s">
        <v>1530</v>
      </c>
    </row>
    <row r="1200" spans="1:1">
      <c r="A1200" t="s">
        <v>1531</v>
      </c>
    </row>
    <row r="1201" spans="1:1">
      <c r="A1201" t="s">
        <v>1533</v>
      </c>
    </row>
    <row r="1202" spans="1:1">
      <c r="A1202" t="s">
        <v>2768</v>
      </c>
    </row>
    <row r="1203" spans="1:1">
      <c r="A1203" t="s">
        <v>2771</v>
      </c>
    </row>
    <row r="1204" spans="1:1">
      <c r="A1204" t="s">
        <v>2774</v>
      </c>
    </row>
    <row r="1205" spans="1:1">
      <c r="A1205" t="s">
        <v>2777</v>
      </c>
    </row>
    <row r="1206" spans="1:1">
      <c r="A1206" t="s">
        <v>2779</v>
      </c>
    </row>
    <row r="1207" spans="1:1">
      <c r="A1207" t="s">
        <v>2780</v>
      </c>
    </row>
    <row r="1208" spans="1:1">
      <c r="A1208" t="s">
        <v>2783</v>
      </c>
    </row>
    <row r="1209" spans="1:1">
      <c r="A1209" t="s">
        <v>2785</v>
      </c>
    </row>
    <row r="1210" spans="1:1">
      <c r="A1210" t="s">
        <v>2788</v>
      </c>
    </row>
    <row r="1211" spans="1:1">
      <c r="A1211" t="s">
        <v>2791</v>
      </c>
    </row>
    <row r="1212" spans="1:1">
      <c r="A1212" t="s">
        <v>2793</v>
      </c>
    </row>
    <row r="1213" spans="1:1">
      <c r="A1213" t="s">
        <v>2796</v>
      </c>
    </row>
    <row r="1214" spans="1:1">
      <c r="A1214" t="s">
        <v>2800</v>
      </c>
    </row>
    <row r="1215" spans="1:1">
      <c r="A1215" t="s">
        <v>2802</v>
      </c>
    </row>
    <row r="1216" spans="1:1">
      <c r="A1216" t="s">
        <v>2804</v>
      </c>
    </row>
    <row r="1217" spans="1:1">
      <c r="A1217" t="s">
        <v>2806</v>
      </c>
    </row>
    <row r="1218" spans="1:1">
      <c r="A1218" t="s">
        <v>2809</v>
      </c>
    </row>
    <row r="1219" spans="1:1">
      <c r="A1219" t="s">
        <v>2812</v>
      </c>
    </row>
    <row r="1220" spans="1:1">
      <c r="A1220" t="s">
        <v>3407</v>
      </c>
    </row>
    <row r="1221" spans="1:1">
      <c r="A1221" t="s">
        <v>3409</v>
      </c>
    </row>
    <row r="1222" spans="1:1">
      <c r="A1222" t="s">
        <v>1534</v>
      </c>
    </row>
    <row r="1223" spans="1:1">
      <c r="A1223" t="s">
        <v>1537</v>
      </c>
    </row>
    <row r="1224" spans="1:1">
      <c r="A1224" t="s">
        <v>1538</v>
      </c>
    </row>
    <row r="1225" spans="1:1">
      <c r="A1225" t="s">
        <v>1539</v>
      </c>
    </row>
    <row r="1226" spans="1:1">
      <c r="A1226" t="s">
        <v>1542</v>
      </c>
    </row>
    <row r="1227" spans="1:1">
      <c r="A1227" t="s">
        <v>1543</v>
      </c>
    </row>
    <row r="1228" spans="1:1">
      <c r="A1228" t="s">
        <v>1545</v>
      </c>
    </row>
    <row r="1229" spans="1:1">
      <c r="A1229" t="s">
        <v>1547</v>
      </c>
    </row>
    <row r="1230" spans="1:1">
      <c r="A1230" t="s">
        <v>1550</v>
      </c>
    </row>
    <row r="1231" spans="1:1">
      <c r="A1231" t="s">
        <v>1551</v>
      </c>
    </row>
    <row r="1232" spans="1:1">
      <c r="A1232" t="s">
        <v>1552</v>
      </c>
    </row>
    <row r="1233" spans="1:1">
      <c r="A1233" t="s">
        <v>1555</v>
      </c>
    </row>
    <row r="1234" spans="1:1">
      <c r="A1234" t="s">
        <v>1557</v>
      </c>
    </row>
    <row r="1235" spans="1:1">
      <c r="A1235" t="s">
        <v>1560</v>
      </c>
    </row>
    <row r="1236" spans="1:1">
      <c r="A1236" t="s">
        <v>2815</v>
      </c>
    </row>
    <row r="1237" spans="1:1">
      <c r="A1237" t="s">
        <v>2817</v>
      </c>
    </row>
    <row r="1238" spans="1:1">
      <c r="A1238" t="s">
        <v>1561</v>
      </c>
    </row>
    <row r="1239" spans="1:1">
      <c r="A1239" t="s">
        <v>1563</v>
      </c>
    </row>
    <row r="1240" spans="1:1">
      <c r="A1240" t="s">
        <v>1564</v>
      </c>
    </row>
    <row r="1241" spans="1:1">
      <c r="A1241" t="s">
        <v>1567</v>
      </c>
    </row>
    <row r="1242" spans="1:1">
      <c r="A1242" t="s">
        <v>1569</v>
      </c>
    </row>
    <row r="1243" spans="1:1">
      <c r="A1243" t="s">
        <v>2818</v>
      </c>
    </row>
    <row r="1244" spans="1:1">
      <c r="A1244" t="s">
        <v>2821</v>
      </c>
    </row>
    <row r="1245" spans="1:1">
      <c r="A1245" t="s">
        <v>1571</v>
      </c>
    </row>
    <row r="1246" spans="1:1">
      <c r="A1246" t="s">
        <v>1573</v>
      </c>
    </row>
    <row r="1247" spans="1:1">
      <c r="A1247" t="s">
        <v>1574</v>
      </c>
    </row>
    <row r="1248" spans="1:1">
      <c r="A1248" t="s">
        <v>1576</v>
      </c>
    </row>
    <row r="1249" spans="1:1">
      <c r="A1249" t="s">
        <v>1577</v>
      </c>
    </row>
    <row r="1250" spans="1:1">
      <c r="A1250" t="s">
        <v>2823</v>
      </c>
    </row>
    <row r="1251" spans="1:1">
      <c r="A1251" t="s">
        <v>2825</v>
      </c>
    </row>
    <row r="1252" spans="1:1">
      <c r="A1252" t="s">
        <v>2826</v>
      </c>
    </row>
    <row r="1253" spans="1:1">
      <c r="A1253" t="s">
        <v>2829</v>
      </c>
    </row>
    <row r="1254" spans="1:1">
      <c r="A1254" t="s">
        <v>2831</v>
      </c>
    </row>
    <row r="1255" spans="1:1">
      <c r="A1255" t="s">
        <v>2834</v>
      </c>
    </row>
    <row r="1256" spans="1:1">
      <c r="A1256" t="s">
        <v>2837</v>
      </c>
    </row>
    <row r="1257" spans="1:1">
      <c r="A1257" t="s">
        <v>2839</v>
      </c>
    </row>
    <row r="1258" spans="1:1">
      <c r="A1258" t="s">
        <v>2841</v>
      </c>
    </row>
    <row r="1259" spans="1:1">
      <c r="A1259" t="s">
        <v>2843</v>
      </c>
    </row>
    <row r="1260" spans="1:1">
      <c r="A1260" t="s">
        <v>2844</v>
      </c>
    </row>
    <row r="1261" spans="1:1">
      <c r="A1261" t="s">
        <v>2846</v>
      </c>
    </row>
    <row r="1262" spans="1:1">
      <c r="A1262" t="s">
        <v>2847</v>
      </c>
    </row>
    <row r="1263" spans="1:1">
      <c r="A1263" t="s">
        <v>2849</v>
      </c>
    </row>
    <row r="1264" spans="1:1">
      <c r="A1264" t="s">
        <v>2850</v>
      </c>
    </row>
    <row r="1265" spans="1:1">
      <c r="A1265" t="s">
        <v>2852</v>
      </c>
    </row>
    <row r="1266" spans="1:1">
      <c r="A1266" t="s">
        <v>2853</v>
      </c>
    </row>
    <row r="1267" spans="1:1">
      <c r="A1267" t="s">
        <v>2855</v>
      </c>
    </row>
    <row r="1268" spans="1:1">
      <c r="A1268" t="s">
        <v>2856</v>
      </c>
    </row>
    <row r="1269" spans="1:1">
      <c r="A1269" t="s">
        <v>2858</v>
      </c>
    </row>
    <row r="1270" spans="1:1">
      <c r="A1270" t="s">
        <v>2859</v>
      </c>
    </row>
    <row r="1271" spans="1:1">
      <c r="A1271" t="s">
        <v>2861</v>
      </c>
    </row>
    <row r="1272" spans="1:1">
      <c r="A1272" t="s">
        <v>2862</v>
      </c>
    </row>
    <row r="1273" spans="1:1">
      <c r="A1273" t="s">
        <v>2864</v>
      </c>
    </row>
    <row r="1274" spans="1:1">
      <c r="A1274" t="s">
        <v>2865</v>
      </c>
    </row>
    <row r="1275" spans="1:1">
      <c r="A1275" t="s">
        <v>2867</v>
      </c>
    </row>
    <row r="1276" spans="1:1">
      <c r="A1276" t="s">
        <v>2868</v>
      </c>
    </row>
    <row r="1277" spans="1:1">
      <c r="A1277" t="s">
        <v>2870</v>
      </c>
    </row>
    <row r="1278" spans="1:1">
      <c r="A1278" t="s">
        <v>2873</v>
      </c>
    </row>
    <row r="1279" spans="1:1">
      <c r="A1279" t="s">
        <v>2874</v>
      </c>
    </row>
    <row r="1280" spans="1:1">
      <c r="A1280" t="s">
        <v>2876</v>
      </c>
    </row>
    <row r="1281" spans="1:1">
      <c r="A1281" t="s">
        <v>2877</v>
      </c>
    </row>
    <row r="1282" spans="1:1">
      <c r="A1282" t="s">
        <v>2879</v>
      </c>
    </row>
    <row r="1283" spans="1:1">
      <c r="A1283" t="s">
        <v>2880</v>
      </c>
    </row>
    <row r="1284" spans="1:1">
      <c r="A1284" t="s">
        <v>2882</v>
      </c>
    </row>
    <row r="1285" spans="1:1">
      <c r="A1285" t="s">
        <v>2883</v>
      </c>
    </row>
    <row r="1286" spans="1:1">
      <c r="A1286" t="s">
        <v>3410</v>
      </c>
    </row>
    <row r="1287" spans="1:1">
      <c r="A1287" t="s">
        <v>3413</v>
      </c>
    </row>
    <row r="1288" spans="1:1">
      <c r="A1288" t="s">
        <v>2886</v>
      </c>
    </row>
    <row r="1289" spans="1:1">
      <c r="A1289" t="s">
        <v>2888</v>
      </c>
    </row>
    <row r="1290" spans="1:1">
      <c r="A1290" t="s">
        <v>2889</v>
      </c>
    </row>
    <row r="1291" spans="1:1">
      <c r="A1291" t="s">
        <v>2892</v>
      </c>
    </row>
    <row r="1292" spans="1:1">
      <c r="A1292" t="s">
        <v>3416</v>
      </c>
    </row>
    <row r="1293" spans="1:1">
      <c r="A1293" t="s">
        <v>3419</v>
      </c>
    </row>
    <row r="1294" spans="1:1">
      <c r="A1294" t="s">
        <v>1578</v>
      </c>
    </row>
    <row r="1295" spans="1:1">
      <c r="A1295" t="s">
        <v>1581</v>
      </c>
    </row>
    <row r="1296" spans="1:1">
      <c r="A1296" t="s">
        <v>1583</v>
      </c>
    </row>
    <row r="1297" spans="1:1">
      <c r="A1297" t="s">
        <v>1586</v>
      </c>
    </row>
    <row r="1298" spans="1:1">
      <c r="A1298" t="s">
        <v>1588</v>
      </c>
    </row>
    <row r="1299" spans="1:1">
      <c r="A1299" t="s">
        <v>1589</v>
      </c>
    </row>
    <row r="1300" spans="1:1">
      <c r="A1300" t="s">
        <v>1591</v>
      </c>
    </row>
    <row r="1301" spans="1:1">
      <c r="A1301" t="s">
        <v>1592</v>
      </c>
    </row>
    <row r="1302" spans="1:1">
      <c r="A1302" t="s">
        <v>5296</v>
      </c>
    </row>
    <row r="1303" spans="1:1">
      <c r="A1303" t="s">
        <v>1594</v>
      </c>
    </row>
    <row r="1304" spans="1:1">
      <c r="A1304" t="s">
        <v>1596</v>
      </c>
    </row>
    <row r="1305" spans="1:1">
      <c r="A1305" t="s">
        <v>1597</v>
      </c>
    </row>
    <row r="1306" spans="1:1">
      <c r="A1306" t="s">
        <v>1599</v>
      </c>
    </row>
    <row r="1307" spans="1:1">
      <c r="A1307" t="s">
        <v>2893</v>
      </c>
    </row>
    <row r="1308" spans="1:1">
      <c r="A1308" t="s">
        <v>2895</v>
      </c>
    </row>
    <row r="1309" spans="1:1">
      <c r="A1309" t="s">
        <v>2896</v>
      </c>
    </row>
    <row r="1310" spans="1:1">
      <c r="A1310" t="s">
        <v>2899</v>
      </c>
    </row>
    <row r="1311" spans="1:1">
      <c r="A1311" t="s">
        <v>5426</v>
      </c>
    </row>
    <row r="1312" spans="1:1">
      <c r="A1312" t="s">
        <v>2902</v>
      </c>
    </row>
    <row r="1313" spans="1:1">
      <c r="A1313" t="s">
        <v>2904</v>
      </c>
    </row>
    <row r="1314" spans="1:1">
      <c r="A1314" t="s">
        <v>2907</v>
      </c>
    </row>
    <row r="1315" spans="1:1">
      <c r="A1315" t="s">
        <v>2910</v>
      </c>
    </row>
    <row r="1316" spans="1:1">
      <c r="A1316" t="s">
        <v>5301</v>
      </c>
    </row>
    <row r="1317" spans="1:1">
      <c r="A1317" t="s">
        <v>2913</v>
      </c>
    </row>
    <row r="1318" spans="1:1">
      <c r="A1318" t="s">
        <v>2916</v>
      </c>
    </row>
    <row r="1319" spans="1:1">
      <c r="A1319" t="s">
        <v>2918</v>
      </c>
    </row>
    <row r="1320" spans="1:1">
      <c r="A1320" t="s">
        <v>2921</v>
      </c>
    </row>
    <row r="1321" spans="1:1">
      <c r="A1321" t="s">
        <v>3420</v>
      </c>
    </row>
    <row r="1322" spans="1:1">
      <c r="A1322" t="s">
        <v>2922</v>
      </c>
    </row>
    <row r="1323" spans="1:1">
      <c r="A1323" t="s">
        <v>1600</v>
      </c>
    </row>
    <row r="1324" spans="1:1">
      <c r="A1324" t="s">
        <v>1602</v>
      </c>
    </row>
    <row r="1325" spans="1:1">
      <c r="A1325" t="s">
        <v>1603</v>
      </c>
    </row>
    <row r="1326" spans="1:1">
      <c r="A1326" t="s">
        <v>1606</v>
      </c>
    </row>
    <row r="1327" spans="1:1">
      <c r="A1327" t="s">
        <v>1607</v>
      </c>
    </row>
    <row r="1328" spans="1:1">
      <c r="A1328" t="s">
        <v>1609</v>
      </c>
    </row>
    <row r="1329" spans="1:1">
      <c r="A1329" t="s">
        <v>1610</v>
      </c>
    </row>
    <row r="1330" spans="1:1">
      <c r="A1330" t="s">
        <v>1613</v>
      </c>
    </row>
    <row r="1331" spans="1:1">
      <c r="A1331" t="s">
        <v>1614</v>
      </c>
    </row>
    <row r="1332" spans="1:1">
      <c r="A1332" t="s">
        <v>1617</v>
      </c>
    </row>
    <row r="1333" spans="1:1">
      <c r="A1333" t="s">
        <v>2925</v>
      </c>
    </row>
    <row r="1334" spans="1:1">
      <c r="A1334" t="s">
        <v>1618</v>
      </c>
    </row>
    <row r="1335" spans="1:1">
      <c r="A1335" t="s">
        <v>1620</v>
      </c>
    </row>
    <row r="1336" spans="1:1">
      <c r="A1336" t="s">
        <v>2928</v>
      </c>
    </row>
    <row r="1337" spans="1:1">
      <c r="A1337" t="s">
        <v>2930</v>
      </c>
    </row>
    <row r="1338" spans="1:1">
      <c r="A1338" t="s">
        <v>1621</v>
      </c>
    </row>
    <row r="1339" spans="1:1">
      <c r="A1339" t="s">
        <v>1624</v>
      </c>
    </row>
    <row r="1340" spans="1:1">
      <c r="A1340" t="s">
        <v>1625</v>
      </c>
    </row>
    <row r="1341" spans="1:1">
      <c r="A1341" t="s">
        <v>1627</v>
      </c>
    </row>
    <row r="1342" spans="1:1">
      <c r="A1342" t="s">
        <v>2932</v>
      </c>
    </row>
    <row r="1343" spans="1:1">
      <c r="A1343" t="s">
        <v>5303</v>
      </c>
    </row>
    <row r="1344" spans="1:1">
      <c r="A1344" t="s">
        <v>2935</v>
      </c>
    </row>
    <row r="1345" spans="1:1">
      <c r="A1345" t="s">
        <v>1628</v>
      </c>
    </row>
    <row r="1346" spans="1:1">
      <c r="A1346" t="s">
        <v>1631</v>
      </c>
    </row>
    <row r="1347" spans="1:1">
      <c r="A1347" t="s">
        <v>2938</v>
      </c>
    </row>
    <row r="1348" spans="1:1">
      <c r="A1348" t="s">
        <v>2941</v>
      </c>
    </row>
    <row r="1349" spans="1:1">
      <c r="A1349" t="s">
        <v>1633</v>
      </c>
    </row>
    <row r="1350" spans="1:1">
      <c r="A1350" t="s">
        <v>1635</v>
      </c>
    </row>
    <row r="1351" spans="1:1">
      <c r="A1351" t="s">
        <v>1637</v>
      </c>
    </row>
    <row r="1352" spans="1:1">
      <c r="A1352" t="s">
        <v>5425</v>
      </c>
    </row>
    <row r="1353" spans="1:1">
      <c r="A1353" t="s">
        <v>1639</v>
      </c>
    </row>
    <row r="1354" spans="1:1">
      <c r="A1354" t="s">
        <v>1641</v>
      </c>
    </row>
    <row r="1355" spans="1:1">
      <c r="A1355" t="s">
        <v>1643</v>
      </c>
    </row>
    <row r="1356" spans="1:1">
      <c r="A1356" t="s">
        <v>1644</v>
      </c>
    </row>
    <row r="1357" spans="1:1">
      <c r="A1357" t="s">
        <v>1646</v>
      </c>
    </row>
    <row r="1358" spans="1:1">
      <c r="A1358" t="s">
        <v>1648</v>
      </c>
    </row>
    <row r="1359" spans="1:1">
      <c r="A1359" t="s">
        <v>1649</v>
      </c>
    </row>
    <row r="1360" spans="1:1">
      <c r="A1360" t="s">
        <v>1650</v>
      </c>
    </row>
    <row r="1361" spans="1:1">
      <c r="A1361" t="s">
        <v>1653</v>
      </c>
    </row>
    <row r="1362" spans="1:1">
      <c r="A1362" t="s">
        <v>1655</v>
      </c>
    </row>
    <row r="1363" spans="1:1">
      <c r="A1363" t="s">
        <v>3422</v>
      </c>
    </row>
    <row r="1364" spans="1:1">
      <c r="A1364" t="s">
        <v>3423</v>
      </c>
    </row>
    <row r="1365" spans="1:1">
      <c r="A1365" t="s">
        <v>1656</v>
      </c>
    </row>
    <row r="1366" spans="1:1">
      <c r="A1366" t="s">
        <v>1658</v>
      </c>
    </row>
    <row r="1367" spans="1:1">
      <c r="A1367" t="s">
        <v>2943</v>
      </c>
    </row>
    <row r="1368" spans="1:1">
      <c r="A1368" t="s">
        <v>1659</v>
      </c>
    </row>
    <row r="1369" spans="1:1">
      <c r="A1369" t="s">
        <v>1661</v>
      </c>
    </row>
    <row r="1370" spans="1:1">
      <c r="A1370" t="s">
        <v>1663</v>
      </c>
    </row>
    <row r="1371" spans="1:1">
      <c r="A1371" t="s">
        <v>1665</v>
      </c>
    </row>
    <row r="1372" spans="1:1">
      <c r="A1372" t="s">
        <v>1666</v>
      </c>
    </row>
    <row r="1373" spans="1:1">
      <c r="A1373" t="s">
        <v>1668</v>
      </c>
    </row>
    <row r="1374" spans="1:1">
      <c r="A1374" t="s">
        <v>2946</v>
      </c>
    </row>
    <row r="1375" spans="1:1">
      <c r="A1375" t="s">
        <v>2948</v>
      </c>
    </row>
    <row r="1376" spans="1:1">
      <c r="A1376" t="s">
        <v>1669</v>
      </c>
    </row>
    <row r="1377" spans="1:1">
      <c r="A1377" t="s">
        <v>1671</v>
      </c>
    </row>
    <row r="1378" spans="1:1">
      <c r="A1378" t="s">
        <v>1672</v>
      </c>
    </row>
    <row r="1379" spans="1:1">
      <c r="A1379" t="s">
        <v>1675</v>
      </c>
    </row>
    <row r="1380" spans="1:1">
      <c r="A1380" t="s">
        <v>1676</v>
      </c>
    </row>
    <row r="1381" spans="1:1">
      <c r="A1381" t="s">
        <v>1679</v>
      </c>
    </row>
    <row r="1382" spans="1:1">
      <c r="A1382" t="s">
        <v>1680</v>
      </c>
    </row>
    <row r="1383" spans="1:1">
      <c r="A1383" t="s">
        <v>1682</v>
      </c>
    </row>
    <row r="1384" spans="1:1">
      <c r="A1384" t="s">
        <v>2949</v>
      </c>
    </row>
    <row r="1385" spans="1:1">
      <c r="A1385" t="s">
        <v>2952</v>
      </c>
    </row>
    <row r="1386" spans="1:1">
      <c r="A1386" t="s">
        <v>2955</v>
      </c>
    </row>
    <row r="1387" spans="1:1">
      <c r="A1387" t="s">
        <v>2958</v>
      </c>
    </row>
    <row r="1388" spans="1:1">
      <c r="A1388" t="s">
        <v>3424</v>
      </c>
    </row>
    <row r="1389" spans="1:1">
      <c r="A1389" t="s">
        <v>2961</v>
      </c>
    </row>
    <row r="1390" spans="1:1">
      <c r="A1390" t="s">
        <v>2963</v>
      </c>
    </row>
    <row r="1391" spans="1:1">
      <c r="A1391" t="s">
        <v>1683</v>
      </c>
    </row>
    <row r="1392" spans="1:1">
      <c r="A1392" t="s">
        <v>1685</v>
      </c>
    </row>
    <row r="1393" spans="1:1">
      <c r="A1393" t="s">
        <v>1686</v>
      </c>
    </row>
    <row r="1394" spans="1:1">
      <c r="A1394" t="s">
        <v>1688</v>
      </c>
    </row>
    <row r="1395" spans="1:1">
      <c r="A1395" t="s">
        <v>1689</v>
      </c>
    </row>
    <row r="1396" spans="1:1">
      <c r="A1396" t="s">
        <v>1691</v>
      </c>
    </row>
    <row r="1397" spans="1:1">
      <c r="A1397" t="s">
        <v>2964</v>
      </c>
    </row>
    <row r="1398" spans="1:1">
      <c r="A1398" t="s">
        <v>2966</v>
      </c>
    </row>
    <row r="1399" spans="1:1">
      <c r="A1399" t="s">
        <v>2967</v>
      </c>
    </row>
    <row r="1400" spans="1:1">
      <c r="A1400" t="s">
        <v>2969</v>
      </c>
    </row>
    <row r="1401" spans="1:1">
      <c r="A1401" t="s">
        <v>1692</v>
      </c>
    </row>
    <row r="1402" spans="1:1">
      <c r="A1402" t="s">
        <v>1694</v>
      </c>
    </row>
    <row r="1403" spans="1:1">
      <c r="A1403" t="s">
        <v>3427</v>
      </c>
    </row>
    <row r="1404" spans="1:1">
      <c r="A1404" t="s">
        <v>2970</v>
      </c>
    </row>
    <row r="1405" spans="1:1">
      <c r="A1405" t="s">
        <v>2972</v>
      </c>
    </row>
    <row r="1406" spans="1:1">
      <c r="A1406" t="s">
        <v>2973</v>
      </c>
    </row>
    <row r="1407" spans="1:1">
      <c r="A1407" t="s">
        <v>2977</v>
      </c>
    </row>
    <row r="1408" spans="1:1">
      <c r="A1408" t="s">
        <v>2978</v>
      </c>
    </row>
    <row r="1409" spans="1:1">
      <c r="A1409" t="s">
        <v>2980</v>
      </c>
    </row>
    <row r="1410" spans="1:1">
      <c r="A1410" t="s">
        <v>2981</v>
      </c>
    </row>
    <row r="1411" spans="1:1">
      <c r="A1411" t="s">
        <v>2983</v>
      </c>
    </row>
    <row r="1412" spans="1:1">
      <c r="A1412" t="s">
        <v>2984</v>
      </c>
    </row>
    <row r="1413" spans="1:1">
      <c r="A1413" t="s">
        <v>2986</v>
      </c>
    </row>
    <row r="1414" spans="1:1">
      <c r="A1414" t="s">
        <v>2987</v>
      </c>
    </row>
    <row r="1415" spans="1:1">
      <c r="A1415" t="s">
        <v>2989</v>
      </c>
    </row>
    <row r="1416" spans="1:1">
      <c r="A1416" t="s">
        <v>2990</v>
      </c>
    </row>
    <row r="1417" spans="1:1">
      <c r="A1417" t="s">
        <v>2993</v>
      </c>
    </row>
    <row r="1418" spans="1:1">
      <c r="A1418" t="s">
        <v>3428</v>
      </c>
    </row>
    <row r="1419" spans="1:1">
      <c r="A1419" t="s">
        <v>2996</v>
      </c>
    </row>
    <row r="1420" spans="1:1">
      <c r="A1420" t="s">
        <v>2998</v>
      </c>
    </row>
    <row r="1421" spans="1:1">
      <c r="A1421" t="s">
        <v>3000</v>
      </c>
    </row>
    <row r="1422" spans="1:1">
      <c r="A1422" t="s">
        <v>3002</v>
      </c>
    </row>
    <row r="1423" spans="1:1">
      <c r="A1423" t="s">
        <v>3004</v>
      </c>
    </row>
    <row r="1424" spans="1:1">
      <c r="A1424" t="s">
        <v>3006</v>
      </c>
    </row>
    <row r="1425" spans="1:1">
      <c r="A1425" t="s">
        <v>1695</v>
      </c>
    </row>
    <row r="1426" spans="1:1">
      <c r="A1426" t="s">
        <v>1698</v>
      </c>
    </row>
    <row r="1427" spans="1:1">
      <c r="A1427" t="s">
        <v>1700</v>
      </c>
    </row>
    <row r="1428" spans="1:1">
      <c r="A1428" t="s">
        <v>1701</v>
      </c>
    </row>
    <row r="1429" spans="1:1">
      <c r="A1429" t="s">
        <v>1703</v>
      </c>
    </row>
    <row r="1430" spans="1:1">
      <c r="A1430" t="s">
        <v>1704</v>
      </c>
    </row>
    <row r="1431" spans="1:1">
      <c r="A1431" t="s">
        <v>1707</v>
      </c>
    </row>
    <row r="1432" spans="1:1">
      <c r="A1432" t="s">
        <v>1709</v>
      </c>
    </row>
    <row r="1433" spans="1:1">
      <c r="A1433" t="s">
        <v>3430</v>
      </c>
    </row>
    <row r="1434" spans="1:1">
      <c r="A1434" t="s">
        <v>3432</v>
      </c>
    </row>
    <row r="1435" spans="1:1">
      <c r="A1435" t="s">
        <v>1710</v>
      </c>
    </row>
    <row r="1436" spans="1:1">
      <c r="A1436" t="s">
        <v>1713</v>
      </c>
    </row>
    <row r="1437" spans="1:1">
      <c r="A1437" t="s">
        <v>1714</v>
      </c>
    </row>
    <row r="1438" spans="1:1">
      <c r="A1438" t="s">
        <v>3009</v>
      </c>
    </row>
    <row r="1439" spans="1:1">
      <c r="A1439" t="s">
        <v>1717</v>
      </c>
    </row>
    <row r="1440" spans="1:1">
      <c r="A1440" t="s">
        <v>1719</v>
      </c>
    </row>
    <row r="1441" spans="1:1">
      <c r="A1441" t="s">
        <v>1721</v>
      </c>
    </row>
    <row r="1442" spans="1:1">
      <c r="A1442" t="s">
        <v>1723</v>
      </c>
    </row>
    <row r="1443" spans="1:1">
      <c r="A1443" t="s">
        <v>1725</v>
      </c>
    </row>
    <row r="1444" spans="1:1">
      <c r="A1444" t="s">
        <v>1728</v>
      </c>
    </row>
    <row r="1445" spans="1:1">
      <c r="A1445" t="s">
        <v>1731</v>
      </c>
    </row>
    <row r="1446" spans="1:1">
      <c r="A1446" t="s">
        <v>1733</v>
      </c>
    </row>
    <row r="1447" spans="1:1">
      <c r="A1447" t="s">
        <v>1734</v>
      </c>
    </row>
    <row r="1448" spans="1:1">
      <c r="A1448" t="s">
        <v>1737</v>
      </c>
    </row>
    <row r="1449" spans="1:1">
      <c r="A1449" t="s">
        <v>1740</v>
      </c>
    </row>
    <row r="1450" spans="1:1">
      <c r="A1450" t="s">
        <v>3011</v>
      </c>
    </row>
    <row r="1451" spans="1:1">
      <c r="A1451" t="s">
        <v>3014</v>
      </c>
    </row>
    <row r="1452" spans="1:1">
      <c r="A1452" t="s">
        <v>1742</v>
      </c>
    </row>
    <row r="1453" spans="1:1">
      <c r="A1453" t="s">
        <v>3016</v>
      </c>
    </row>
    <row r="1454" spans="1:1">
      <c r="A1454" t="s">
        <v>3020</v>
      </c>
    </row>
    <row r="1455" spans="1:1">
      <c r="A1455" t="s">
        <v>5357</v>
      </c>
    </row>
    <row r="1456" spans="1:1">
      <c r="A1456" t="s">
        <v>1745</v>
      </c>
    </row>
    <row r="1457" spans="1:1">
      <c r="A1457" t="s">
        <v>3021</v>
      </c>
    </row>
    <row r="1458" spans="1:1">
      <c r="A1458" t="s">
        <v>3024</v>
      </c>
    </row>
    <row r="1459" spans="1:1">
      <c r="A1459" t="s">
        <v>3027</v>
      </c>
    </row>
    <row r="1460" spans="1:1">
      <c r="A1460" t="s">
        <v>3030</v>
      </c>
    </row>
    <row r="1461" spans="1:1">
      <c r="A1461" t="s">
        <v>3031</v>
      </c>
    </row>
    <row r="1462" spans="1:1">
      <c r="A1462" t="s">
        <v>1747</v>
      </c>
    </row>
    <row r="1463" spans="1:1">
      <c r="A1463" t="s">
        <v>1749</v>
      </c>
    </row>
    <row r="1464" spans="1:1">
      <c r="A1464" t="s">
        <v>1750</v>
      </c>
    </row>
    <row r="1465" spans="1:1">
      <c r="A1465" t="s">
        <v>1751</v>
      </c>
    </row>
    <row r="1466" spans="1:1">
      <c r="A1466" t="s">
        <v>1752</v>
      </c>
    </row>
    <row r="1467" spans="1:1">
      <c r="A1467" t="s">
        <v>3034</v>
      </c>
    </row>
    <row r="1468" spans="1:1">
      <c r="A1468" t="s">
        <v>3037</v>
      </c>
    </row>
    <row r="1469" spans="1:1">
      <c r="A1469" t="s">
        <v>3040</v>
      </c>
    </row>
    <row r="1470" spans="1:1">
      <c r="A1470" t="s">
        <v>3043</v>
      </c>
    </row>
    <row r="1471" spans="1:1">
      <c r="A1471" t="s">
        <v>3045</v>
      </c>
    </row>
    <row r="1472" spans="1:1">
      <c r="A1472" t="s">
        <v>3048</v>
      </c>
    </row>
    <row r="1473" spans="1:1">
      <c r="A1473" t="s">
        <v>3050</v>
      </c>
    </row>
    <row r="1474" spans="1:1">
      <c r="A1474" t="s">
        <v>3052</v>
      </c>
    </row>
    <row r="1475" spans="1:1">
      <c r="A1475" t="s">
        <v>3055</v>
      </c>
    </row>
    <row r="1476" spans="1:1">
      <c r="A1476" t="s">
        <v>3057</v>
      </c>
    </row>
    <row r="1477" spans="1:1">
      <c r="A1477" t="s">
        <v>3060</v>
      </c>
    </row>
    <row r="1478" spans="1:1">
      <c r="A1478" t="s">
        <v>3062</v>
      </c>
    </row>
    <row r="1479" spans="1:1">
      <c r="A1479" t="s">
        <v>3063</v>
      </c>
    </row>
    <row r="1480" spans="1:1">
      <c r="A1480" t="s">
        <v>3066</v>
      </c>
    </row>
    <row r="1481" spans="1:1">
      <c r="A1481" t="s">
        <v>1754</v>
      </c>
    </row>
    <row r="1482" spans="1:1">
      <c r="A1482" t="s">
        <v>1757</v>
      </c>
    </row>
    <row r="1483" spans="1:1">
      <c r="A1483" t="s">
        <v>3068</v>
      </c>
    </row>
    <row r="1484" spans="1:1">
      <c r="A1484" t="s">
        <v>3070</v>
      </c>
    </row>
    <row r="1485" spans="1:1">
      <c r="A1485" t="s">
        <v>3073</v>
      </c>
    </row>
    <row r="1486" spans="1:1">
      <c r="A1486" t="s">
        <v>3075</v>
      </c>
    </row>
    <row r="1487" spans="1:1">
      <c r="A1487" t="s">
        <v>3078</v>
      </c>
    </row>
    <row r="1488" spans="1:1">
      <c r="A1488" t="s">
        <v>1759</v>
      </c>
    </row>
    <row r="1489" spans="1:1">
      <c r="A1489" t="s">
        <v>1761</v>
      </c>
    </row>
    <row r="1490" spans="1:1">
      <c r="A1490" t="s">
        <v>1762</v>
      </c>
    </row>
    <row r="1491" spans="1:1">
      <c r="A1491" t="s">
        <v>1764</v>
      </c>
    </row>
    <row r="1492" spans="1:1">
      <c r="A1492" t="s">
        <v>3079</v>
      </c>
    </row>
    <row r="1493" spans="1:1">
      <c r="A1493" t="s">
        <v>3081</v>
      </c>
    </row>
    <row r="1494" spans="1:1">
      <c r="A1494" t="s">
        <v>3084</v>
      </c>
    </row>
    <row r="1495" spans="1:1">
      <c r="A1495" t="s">
        <v>1766</v>
      </c>
    </row>
    <row r="1496" spans="1:1">
      <c r="A1496" t="s">
        <v>1768</v>
      </c>
    </row>
    <row r="1497" spans="1:1">
      <c r="A1497" t="s">
        <v>3087</v>
      </c>
    </row>
    <row r="1498" spans="1:1">
      <c r="A1498" t="s">
        <v>3434</v>
      </c>
    </row>
    <row r="1499" spans="1:1">
      <c r="A1499" t="s">
        <v>3090</v>
      </c>
    </row>
    <row r="1500" spans="1:1">
      <c r="A1500" t="s">
        <v>1769</v>
      </c>
    </row>
    <row r="1501" spans="1:1">
      <c r="A1501" t="s">
        <v>1771</v>
      </c>
    </row>
    <row r="1502" spans="1:1">
      <c r="A1502" t="s">
        <v>1774</v>
      </c>
    </row>
    <row r="1503" spans="1:1">
      <c r="A1503" t="s">
        <v>1778</v>
      </c>
    </row>
    <row r="1504" spans="1:1">
      <c r="A1504" t="s">
        <v>1779</v>
      </c>
    </row>
    <row r="1505" spans="1:1">
      <c r="A1505" t="s">
        <v>1780</v>
      </c>
    </row>
    <row r="1506" spans="1:1">
      <c r="A1506" t="s">
        <v>1783</v>
      </c>
    </row>
    <row r="1507" spans="1:1">
      <c r="A1507" t="s">
        <v>1784</v>
      </c>
    </row>
    <row r="1508" spans="1:1">
      <c r="A1508" t="s">
        <v>3091</v>
      </c>
    </row>
    <row r="1509" spans="1:1">
      <c r="A1509" t="s">
        <v>3093</v>
      </c>
    </row>
    <row r="1510" spans="1:1">
      <c r="A1510" t="s">
        <v>1786</v>
      </c>
    </row>
    <row r="1511" spans="1:1">
      <c r="A1511" t="s">
        <v>5297</v>
      </c>
    </row>
    <row r="1512" spans="1:1">
      <c r="A1512" t="s">
        <v>1789</v>
      </c>
    </row>
    <row r="1513" spans="1:1">
      <c r="A1513" t="s">
        <v>1791</v>
      </c>
    </row>
    <row r="1514" spans="1:1">
      <c r="A1514" t="s">
        <v>1792</v>
      </c>
    </row>
    <row r="1515" spans="1:1">
      <c r="A1515" t="s">
        <v>1795</v>
      </c>
    </row>
    <row r="1516" spans="1:1">
      <c r="A1516" t="s">
        <v>1797</v>
      </c>
    </row>
    <row r="1517" spans="1:1">
      <c r="A1517" t="s">
        <v>1799</v>
      </c>
    </row>
    <row r="1518" spans="1:1">
      <c r="A1518" t="s">
        <v>1801</v>
      </c>
    </row>
    <row r="1519" spans="1:1">
      <c r="A1519" t="s">
        <v>3435</v>
      </c>
    </row>
    <row r="1520" spans="1:1">
      <c r="A1520" t="s">
        <v>1802</v>
      </c>
    </row>
    <row r="1521" spans="1:1">
      <c r="A1521" t="s">
        <v>1804</v>
      </c>
    </row>
    <row r="1522" spans="1:1">
      <c r="A1522" t="s">
        <v>1807</v>
      </c>
    </row>
    <row r="1523" spans="1:1">
      <c r="A1523" t="s">
        <v>1808</v>
      </c>
    </row>
    <row r="1524" spans="1:1">
      <c r="A1524" t="s">
        <v>1810</v>
      </c>
    </row>
    <row r="1525" spans="1:1">
      <c r="A1525" t="s">
        <v>1811</v>
      </c>
    </row>
    <row r="1526" spans="1:1">
      <c r="A1526" t="s">
        <v>1813</v>
      </c>
    </row>
    <row r="1527" spans="1:1">
      <c r="A1527" t="s">
        <v>1814</v>
      </c>
    </row>
    <row r="1528" spans="1:1">
      <c r="A1528" t="s">
        <v>1816</v>
      </c>
    </row>
    <row r="1529" spans="1:1">
      <c r="A1529" t="s">
        <v>1819</v>
      </c>
    </row>
    <row r="1530" spans="1:1">
      <c r="A1530" t="s">
        <v>1820</v>
      </c>
    </row>
    <row r="1531" spans="1:1">
      <c r="A1531" t="s">
        <v>1822</v>
      </c>
    </row>
    <row r="1532" spans="1:1">
      <c r="A1532" t="s">
        <v>3094</v>
      </c>
    </row>
    <row r="1533" spans="1:1">
      <c r="A1533" t="s">
        <v>3096</v>
      </c>
    </row>
    <row r="1534" spans="1:1">
      <c r="A1534" t="s">
        <v>1823</v>
      </c>
    </row>
    <row r="1535" spans="1:1">
      <c r="A1535" t="s">
        <v>1825</v>
      </c>
    </row>
    <row r="1536" spans="1:1">
      <c r="A1536" t="s">
        <v>3437</v>
      </c>
    </row>
    <row r="1537" spans="1:1">
      <c r="A1537" t="s">
        <v>3097</v>
      </c>
    </row>
    <row r="1538" spans="1:1">
      <c r="A1538" t="s">
        <v>3099</v>
      </c>
    </row>
    <row r="1539" spans="1:1">
      <c r="A1539" t="s">
        <v>3100</v>
      </c>
    </row>
    <row r="1540" spans="1:1">
      <c r="A1540" t="s">
        <v>3103</v>
      </c>
    </row>
    <row r="1541" spans="1:1">
      <c r="A1541" t="s">
        <v>3439</v>
      </c>
    </row>
    <row r="1542" spans="1:1">
      <c r="A1542" t="s">
        <v>5359</v>
      </c>
    </row>
    <row r="1543" spans="1:1">
      <c r="A1543" t="s">
        <v>3106</v>
      </c>
    </row>
    <row r="1544" spans="1:1">
      <c r="A1544" t="s">
        <v>3109</v>
      </c>
    </row>
    <row r="1545" spans="1:1">
      <c r="A1545" t="s">
        <v>3112</v>
      </c>
    </row>
    <row r="1546" spans="1:1">
      <c r="A1546" t="s">
        <v>3115</v>
      </c>
    </row>
    <row r="1547" spans="1:1">
      <c r="A1547" t="s">
        <v>3116</v>
      </c>
    </row>
    <row r="1548" spans="1:1">
      <c r="A1548" t="s">
        <v>3118</v>
      </c>
    </row>
    <row r="1549" spans="1:1">
      <c r="A1549" t="s">
        <v>3119</v>
      </c>
    </row>
    <row r="1550" spans="1:1">
      <c r="A1550" t="s">
        <v>3120</v>
      </c>
    </row>
    <row r="1551" spans="1:1">
      <c r="A1551" t="s">
        <v>3122</v>
      </c>
    </row>
    <row r="1552" spans="1:1">
      <c r="A1552" t="s">
        <v>1826</v>
      </c>
    </row>
    <row r="1553" spans="1:1">
      <c r="A1553" t="s">
        <v>1828</v>
      </c>
    </row>
    <row r="1554" spans="1:1">
      <c r="A1554" t="s">
        <v>1829</v>
      </c>
    </row>
    <row r="1555" spans="1:1">
      <c r="A1555" t="s">
        <v>3123</v>
      </c>
    </row>
    <row r="1556" spans="1:1">
      <c r="A1556" t="s">
        <v>1830</v>
      </c>
    </row>
    <row r="1557" spans="1:1">
      <c r="A1557" t="s">
        <v>1832</v>
      </c>
    </row>
    <row r="1558" spans="1:1">
      <c r="A1558" t="s">
        <v>1833</v>
      </c>
    </row>
    <row r="1559" spans="1:1">
      <c r="A1559" t="s">
        <v>1836</v>
      </c>
    </row>
    <row r="1560" spans="1:1">
      <c r="A1560" t="s">
        <v>1838</v>
      </c>
    </row>
    <row r="1561" spans="1:1">
      <c r="A1561" t="s">
        <v>1839</v>
      </c>
    </row>
    <row r="1562" spans="1:1">
      <c r="A1562" t="s">
        <v>1841</v>
      </c>
    </row>
    <row r="1563" spans="1:1">
      <c r="A1563" t="s">
        <v>1842</v>
      </c>
    </row>
    <row r="1564" spans="1:1">
      <c r="A1564" t="s">
        <v>1844</v>
      </c>
    </row>
    <row r="1565" spans="1:1">
      <c r="A1565" t="s">
        <v>1845</v>
      </c>
    </row>
    <row r="1566" spans="1:1">
      <c r="A1566" t="s">
        <v>1847</v>
      </c>
    </row>
    <row r="1567" spans="1:1">
      <c r="A1567" t="s">
        <v>1848</v>
      </c>
    </row>
    <row r="1568" spans="1:1">
      <c r="A1568" t="s">
        <v>3126</v>
      </c>
    </row>
    <row r="1569" spans="1:1">
      <c r="A1569" t="s">
        <v>3128</v>
      </c>
    </row>
    <row r="1570" spans="1:1">
      <c r="A1570" t="s">
        <v>3129</v>
      </c>
    </row>
    <row r="1571" spans="1:1">
      <c r="A1571" t="s">
        <v>3131</v>
      </c>
    </row>
    <row r="1572" spans="1:1">
      <c r="A1572" t="s">
        <v>3132</v>
      </c>
    </row>
    <row r="1573" spans="1:1">
      <c r="A1573" t="s">
        <v>3134</v>
      </c>
    </row>
    <row r="1574" spans="1:1">
      <c r="A1574" t="s">
        <v>1851</v>
      </c>
    </row>
    <row r="1575" spans="1:1">
      <c r="A1575" t="s">
        <v>1853</v>
      </c>
    </row>
    <row r="1576" spans="1:1">
      <c r="A1576" t="s">
        <v>3442</v>
      </c>
    </row>
    <row r="1577" spans="1:1">
      <c r="A1577" t="s">
        <v>3135</v>
      </c>
    </row>
    <row r="1578" spans="1:1">
      <c r="A1578" t="s">
        <v>3137</v>
      </c>
    </row>
    <row r="1579" spans="1:1">
      <c r="A1579" t="s">
        <v>1854</v>
      </c>
    </row>
    <row r="1580" spans="1:1">
      <c r="A1580" t="s">
        <v>1856</v>
      </c>
    </row>
    <row r="1581" spans="1:1">
      <c r="A1581" t="s">
        <v>1857</v>
      </c>
    </row>
    <row r="1582" spans="1:1">
      <c r="A1582" t="s">
        <v>1859</v>
      </c>
    </row>
    <row r="1583" spans="1:1">
      <c r="A1583" t="s">
        <v>3444</v>
      </c>
    </row>
    <row r="1584" spans="1:1">
      <c r="A1584" t="s">
        <v>1860</v>
      </c>
    </row>
    <row r="1585" spans="1:1">
      <c r="A1585" t="s">
        <v>1862</v>
      </c>
    </row>
    <row r="1586" spans="1:1">
      <c r="A1586" t="s">
        <v>1864</v>
      </c>
    </row>
    <row r="1587" spans="1:1">
      <c r="A1587" t="s">
        <v>3446</v>
      </c>
    </row>
    <row r="1588" spans="1:1">
      <c r="A1588" t="s">
        <v>3138</v>
      </c>
    </row>
    <row r="1589" spans="1:1">
      <c r="A1589" t="s">
        <v>3140</v>
      </c>
    </row>
    <row r="1590" spans="1:1">
      <c r="A1590" t="s">
        <v>1865</v>
      </c>
    </row>
    <row r="1591" spans="1:1">
      <c r="A1591" t="s">
        <v>1868</v>
      </c>
    </row>
    <row r="1592" spans="1:1">
      <c r="A1592" t="s">
        <v>1869</v>
      </c>
    </row>
    <row r="1593" spans="1:1">
      <c r="A1593" t="s">
        <v>1871</v>
      </c>
    </row>
    <row r="1594" spans="1:1">
      <c r="A1594" t="s">
        <v>1872</v>
      </c>
    </row>
    <row r="1595" spans="1:1">
      <c r="A1595" t="s">
        <v>1874</v>
      </c>
    </row>
    <row r="1596" spans="1:1">
      <c r="A1596" t="s">
        <v>1875</v>
      </c>
    </row>
    <row r="1597" spans="1:1">
      <c r="A1597" t="s">
        <v>1878</v>
      </c>
    </row>
    <row r="1598" spans="1:1">
      <c r="A1598" t="s">
        <v>1879</v>
      </c>
    </row>
    <row r="1599" spans="1:1">
      <c r="A1599" t="s">
        <v>1881</v>
      </c>
    </row>
    <row r="1600" spans="1:1">
      <c r="A1600" t="s">
        <v>1883</v>
      </c>
    </row>
    <row r="1601" spans="1:1">
      <c r="A1601" t="s">
        <v>1885</v>
      </c>
    </row>
    <row r="1602" spans="1:1">
      <c r="A1602" t="s">
        <v>3141</v>
      </c>
    </row>
    <row r="1603" spans="1:1">
      <c r="A1603" t="s">
        <v>3143</v>
      </c>
    </row>
    <row r="1604" spans="1:1">
      <c r="A1604" t="s">
        <v>1887</v>
      </c>
    </row>
    <row r="1605" spans="1:1">
      <c r="A1605" t="s">
        <v>3144</v>
      </c>
    </row>
    <row r="1606" spans="1:1">
      <c r="A1606" t="s">
        <v>3147</v>
      </c>
    </row>
    <row r="1607" spans="1:1">
      <c r="A1607" t="s">
        <v>3149</v>
      </c>
    </row>
    <row r="1608" spans="1:1">
      <c r="A1608" t="s">
        <v>1889</v>
      </c>
    </row>
    <row r="1609" spans="1:1">
      <c r="A1609" t="s">
        <v>1891</v>
      </c>
    </row>
    <row r="1610" spans="1:1">
      <c r="A1610" t="s">
        <v>1893</v>
      </c>
    </row>
    <row r="1611" spans="1:1">
      <c r="A1611" t="s">
        <v>1894</v>
      </c>
    </row>
    <row r="1612" spans="1:1">
      <c r="A1612" t="s">
        <v>1896</v>
      </c>
    </row>
    <row r="1613" spans="1:1">
      <c r="A1613" t="s">
        <v>1897</v>
      </c>
    </row>
    <row r="1614" spans="1:1">
      <c r="A1614" t="s">
        <v>1899</v>
      </c>
    </row>
    <row r="1615" spans="1:1">
      <c r="A1615" t="s">
        <v>1901</v>
      </c>
    </row>
    <row r="1616" spans="1:1">
      <c r="A1616" t="s">
        <v>3150</v>
      </c>
    </row>
    <row r="1617" spans="1:1">
      <c r="A1617" t="s">
        <v>3152</v>
      </c>
    </row>
    <row r="1618" spans="1:1">
      <c r="A1618" t="s">
        <v>1902</v>
      </c>
    </row>
    <row r="1619" spans="1:1">
      <c r="A1619" t="s">
        <v>3153</v>
      </c>
    </row>
    <row r="1620" spans="1:1">
      <c r="A1620" t="s">
        <v>3155</v>
      </c>
    </row>
    <row r="1621" spans="1:1">
      <c r="A1621" t="s">
        <v>3156</v>
      </c>
    </row>
    <row r="1622" spans="1:1">
      <c r="A1622" t="s">
        <v>3158</v>
      </c>
    </row>
    <row r="1623" spans="1:1">
      <c r="A1623" t="s">
        <v>1903</v>
      </c>
    </row>
    <row r="1624" spans="1:1">
      <c r="A1624" t="s">
        <v>1905</v>
      </c>
    </row>
    <row r="1625" spans="1:1">
      <c r="A1625" t="s">
        <v>1907</v>
      </c>
    </row>
    <row r="1626" spans="1:1">
      <c r="A1626" t="s">
        <v>1909</v>
      </c>
    </row>
    <row r="1627" spans="1:1">
      <c r="A1627" t="s">
        <v>1912</v>
      </c>
    </row>
    <row r="1628" spans="1:1">
      <c r="A1628" t="s">
        <v>1913</v>
      </c>
    </row>
    <row r="1629" spans="1:1">
      <c r="A1629" t="s">
        <v>1915</v>
      </c>
    </row>
    <row r="1630" spans="1:1">
      <c r="A1630" t="s">
        <v>3159</v>
      </c>
    </row>
    <row r="1631" spans="1:1">
      <c r="A1631" t="s">
        <v>3161</v>
      </c>
    </row>
    <row r="1632" spans="1:1">
      <c r="A1632" t="s">
        <v>1919</v>
      </c>
    </row>
    <row r="1633" spans="1:1">
      <c r="A1633" t="s">
        <v>1920</v>
      </c>
    </row>
    <row r="1634" spans="1:1">
      <c r="A1634" t="s">
        <v>1922</v>
      </c>
    </row>
    <row r="1635" spans="1:1">
      <c r="A1635" t="s">
        <v>3162</v>
      </c>
    </row>
    <row r="1636" spans="1:1">
      <c r="A1636" t="s">
        <v>3164</v>
      </c>
    </row>
    <row r="1637" spans="1:1">
      <c r="A1637" t="s">
        <v>1923</v>
      </c>
    </row>
    <row r="1638" spans="1:1">
      <c r="A1638" t="s">
        <v>1925</v>
      </c>
    </row>
    <row r="1639" spans="1:1">
      <c r="A1639" t="s">
        <v>1927</v>
      </c>
    </row>
    <row r="1640" spans="1:1">
      <c r="A1640" t="s">
        <v>1929</v>
      </c>
    </row>
    <row r="1641" spans="1:1">
      <c r="A1641" t="s">
        <v>1931</v>
      </c>
    </row>
    <row r="1642" spans="1:1">
      <c r="A1642" t="s">
        <v>1932</v>
      </c>
    </row>
    <row r="1643" spans="1:1">
      <c r="A1643" t="s">
        <v>1934</v>
      </c>
    </row>
    <row r="1644" spans="1:1">
      <c r="A1644" t="s">
        <v>1936</v>
      </c>
    </row>
    <row r="1645" spans="1:1">
      <c r="A1645" t="s">
        <v>1939</v>
      </c>
    </row>
    <row r="1646" spans="1:1">
      <c r="A1646" t="s">
        <v>1940</v>
      </c>
    </row>
    <row r="1647" spans="1:1">
      <c r="A1647" t="s">
        <v>1942</v>
      </c>
    </row>
    <row r="1648" spans="1:1">
      <c r="A1648" t="s">
        <v>1943</v>
      </c>
    </row>
    <row r="1649" spans="1:1">
      <c r="A1649" t="s">
        <v>1945</v>
      </c>
    </row>
    <row r="1650" spans="1:1">
      <c r="A1650" t="s">
        <v>1946</v>
      </c>
    </row>
    <row r="1651" spans="1:1">
      <c r="A1651" t="s">
        <v>1948</v>
      </c>
    </row>
    <row r="1652" spans="1:1">
      <c r="A1652" t="s">
        <v>1950</v>
      </c>
    </row>
    <row r="1653" spans="1:1">
      <c r="A1653" t="s">
        <v>1952</v>
      </c>
    </row>
    <row r="1654" spans="1:1">
      <c r="A1654" t="s">
        <v>1954</v>
      </c>
    </row>
    <row r="1655" spans="1:1">
      <c r="A1655" t="s">
        <v>1957</v>
      </c>
    </row>
    <row r="1656" spans="1:1">
      <c r="A1656" t="s">
        <v>1959</v>
      </c>
    </row>
    <row r="1657" spans="1:1">
      <c r="A1657" t="s">
        <v>5308</v>
      </c>
    </row>
    <row r="1658" spans="1:1">
      <c r="A1658" t="s">
        <v>1962</v>
      </c>
    </row>
    <row r="1659" spans="1:1">
      <c r="A1659" t="s">
        <v>1964</v>
      </c>
    </row>
    <row r="1660" spans="1:1">
      <c r="A1660" t="s">
        <v>1966</v>
      </c>
    </row>
    <row r="1661" spans="1:1">
      <c r="A1661" t="s">
        <v>1968</v>
      </c>
    </row>
    <row r="1662" spans="1:1">
      <c r="A1662" t="s">
        <v>1971</v>
      </c>
    </row>
    <row r="1663" spans="1:1">
      <c r="A1663" t="s">
        <v>1972</v>
      </c>
    </row>
    <row r="1664" spans="1:1">
      <c r="A1664" t="s">
        <v>1974</v>
      </c>
    </row>
    <row r="1665" spans="1:1">
      <c r="A1665" t="s">
        <v>3165</v>
      </c>
    </row>
    <row r="1666" spans="1:1">
      <c r="A1666" t="s">
        <v>3167</v>
      </c>
    </row>
    <row r="1667" spans="1:1">
      <c r="A1667" t="s">
        <v>1975</v>
      </c>
    </row>
    <row r="1668" spans="1:1">
      <c r="A1668" t="s">
        <v>1978</v>
      </c>
    </row>
    <row r="1669" spans="1:1">
      <c r="A1669" t="s">
        <v>1979</v>
      </c>
    </row>
    <row r="1670" spans="1:1">
      <c r="A1670" t="s">
        <v>1983</v>
      </c>
    </row>
    <row r="1671" spans="1:1">
      <c r="A1671" t="s">
        <v>3168</v>
      </c>
    </row>
    <row r="1672" spans="1:1">
      <c r="A1672" t="s">
        <v>3170</v>
      </c>
    </row>
    <row r="1673" spans="1:1">
      <c r="A1673" t="s">
        <v>1984</v>
      </c>
    </row>
    <row r="1674" spans="1:1">
      <c r="A1674" t="s">
        <v>1987</v>
      </c>
    </row>
    <row r="1675" spans="1:1">
      <c r="A1675" t="s">
        <v>1989</v>
      </c>
    </row>
    <row r="1676" spans="1:1">
      <c r="A1676" t="s">
        <v>1992</v>
      </c>
    </row>
    <row r="1677" spans="1:1">
      <c r="A1677" t="s">
        <v>1993</v>
      </c>
    </row>
    <row r="1678" spans="1:1">
      <c r="A1678" t="s">
        <v>1996</v>
      </c>
    </row>
    <row r="1679" spans="1:1">
      <c r="A1679" t="s">
        <v>1997</v>
      </c>
    </row>
    <row r="1680" spans="1:1">
      <c r="A1680" t="s">
        <v>1999</v>
      </c>
    </row>
    <row r="1681" spans="1:1">
      <c r="A1681" t="s">
        <v>2000</v>
      </c>
    </row>
    <row r="1682" spans="1:1">
      <c r="A1682" t="s">
        <v>2002</v>
      </c>
    </row>
    <row r="1683" spans="1:1">
      <c r="A1683" t="s">
        <v>2003</v>
      </c>
    </row>
    <row r="1684" spans="1:1">
      <c r="A1684" t="s">
        <v>2006</v>
      </c>
    </row>
    <row r="1685" spans="1:1">
      <c r="A1685" t="s">
        <v>3171</v>
      </c>
    </row>
    <row r="1686" spans="1:1">
      <c r="A1686" t="s">
        <v>3173</v>
      </c>
    </row>
    <row r="1687" spans="1:1">
      <c r="A1687" t="s">
        <v>2007</v>
      </c>
    </row>
    <row r="1688" spans="1:1">
      <c r="A1688" t="s">
        <v>2009</v>
      </c>
    </row>
    <row r="1689" spans="1:1">
      <c r="A1689" t="s">
        <v>2010</v>
      </c>
    </row>
    <row r="1690" spans="1:1">
      <c r="A1690" t="s">
        <v>3174</v>
      </c>
    </row>
    <row r="1691" spans="1:1">
      <c r="A1691" t="s">
        <v>3177</v>
      </c>
    </row>
    <row r="1692" spans="1:1">
      <c r="A1692" t="s">
        <v>3179</v>
      </c>
    </row>
    <row r="1693" spans="1:1">
      <c r="A1693" t="s">
        <v>3182</v>
      </c>
    </row>
    <row r="1694" spans="1:1">
      <c r="A1694" t="s">
        <v>3184</v>
      </c>
    </row>
    <row r="1695" spans="1:1">
      <c r="A1695" t="s">
        <v>3186</v>
      </c>
    </row>
    <row r="1696" spans="1:1">
      <c r="A1696" t="s">
        <v>3188</v>
      </c>
    </row>
    <row r="1697" spans="1:1">
      <c r="A1697" t="s">
        <v>3191</v>
      </c>
    </row>
    <row r="1698" spans="1:1">
      <c r="A1698" t="s">
        <v>3193</v>
      </c>
    </row>
    <row r="1699" spans="1:1">
      <c r="A1699" t="s">
        <v>3195</v>
      </c>
    </row>
    <row r="1700" spans="1:1">
      <c r="A1700" t="s">
        <v>3196</v>
      </c>
    </row>
    <row r="1701" spans="1:1">
      <c r="A1701" t="s">
        <v>3198</v>
      </c>
    </row>
    <row r="1702" spans="1:1">
      <c r="A1702" t="s">
        <v>3200</v>
      </c>
    </row>
    <row r="1703" spans="1:1">
      <c r="A1703" t="s">
        <v>3203</v>
      </c>
    </row>
    <row r="1704" spans="1:1">
      <c r="A1704" t="s">
        <v>3205</v>
      </c>
    </row>
    <row r="1705" spans="1:1">
      <c r="A1705" t="s">
        <v>3207</v>
      </c>
    </row>
    <row r="1706" spans="1:1">
      <c r="A1706" t="s">
        <v>3209</v>
      </c>
    </row>
    <row r="1707" spans="1:1">
      <c r="A1707" t="s">
        <v>3212</v>
      </c>
    </row>
    <row r="1708" spans="1:1">
      <c r="A1708" t="s">
        <v>3214</v>
      </c>
    </row>
    <row r="1709" spans="1:1">
      <c r="A1709" t="s">
        <v>3217</v>
      </c>
    </row>
    <row r="1710" spans="1:1">
      <c r="A1710" t="s">
        <v>3218</v>
      </c>
    </row>
    <row r="1711" spans="1:1">
      <c r="A1711" t="s">
        <v>3220</v>
      </c>
    </row>
    <row r="1712" spans="1:1">
      <c r="A1712" t="s">
        <v>3221</v>
      </c>
    </row>
    <row r="1713" spans="1:1">
      <c r="A1713" t="s">
        <v>3223</v>
      </c>
    </row>
    <row r="1714" spans="1:1">
      <c r="A1714" t="s">
        <v>3224</v>
      </c>
    </row>
    <row r="1715" spans="1:1">
      <c r="A1715" t="s">
        <v>3226</v>
      </c>
    </row>
    <row r="1716" spans="1:1">
      <c r="A1716" t="s">
        <v>3227</v>
      </c>
    </row>
    <row r="1717" spans="1:1">
      <c r="A1717" t="s">
        <v>3229</v>
      </c>
    </row>
    <row r="1718" spans="1:1">
      <c r="A1718" t="s">
        <v>3230</v>
      </c>
    </row>
    <row r="1719" spans="1:1">
      <c r="A1719" t="s">
        <v>3232</v>
      </c>
    </row>
    <row r="1720" spans="1:1">
      <c r="A1720" t="s">
        <v>3233</v>
      </c>
    </row>
    <row r="1721" spans="1:1">
      <c r="A1721" t="s">
        <v>3235</v>
      </c>
    </row>
    <row r="1722" spans="1:1">
      <c r="A1722" t="s">
        <v>3236</v>
      </c>
    </row>
    <row r="1723" spans="1:1">
      <c r="A1723" t="s">
        <v>3238</v>
      </c>
    </row>
    <row r="1724" spans="1:1">
      <c r="A1724" t="s">
        <v>3239</v>
      </c>
    </row>
    <row r="1725" spans="1:1">
      <c r="A1725" t="s">
        <v>3241</v>
      </c>
    </row>
    <row r="1726" spans="1:1">
      <c r="A1726" t="s">
        <v>3242</v>
      </c>
    </row>
    <row r="1727" spans="1:1">
      <c r="A1727" t="s">
        <v>3244</v>
      </c>
    </row>
    <row r="1728" spans="1:1">
      <c r="A1728" t="s">
        <v>3245</v>
      </c>
    </row>
    <row r="1729" spans="1:1">
      <c r="A1729" t="s">
        <v>3248</v>
      </c>
    </row>
    <row r="1730" spans="1:1">
      <c r="A1730" t="s">
        <v>2011</v>
      </c>
    </row>
    <row r="1731" spans="1:1">
      <c r="A1731" t="s">
        <v>2013</v>
      </c>
    </row>
    <row r="1732" spans="1:1">
      <c r="A1732" t="s">
        <v>2014</v>
      </c>
    </row>
    <row r="1733" spans="1:1">
      <c r="A1733" t="s">
        <v>2016</v>
      </c>
    </row>
    <row r="1734" spans="1:1">
      <c r="A1734" t="s">
        <v>3251</v>
      </c>
    </row>
    <row r="1735" spans="1:1">
      <c r="A1735" t="s">
        <v>3253</v>
      </c>
    </row>
    <row r="1736" spans="1:1">
      <c r="A1736" t="s">
        <v>3254</v>
      </c>
    </row>
    <row r="1737" spans="1:1">
      <c r="A1737" t="s">
        <v>3257</v>
      </c>
    </row>
    <row r="1738" spans="1:1">
      <c r="A1738" t="s">
        <v>3260</v>
      </c>
    </row>
    <row r="1739" spans="1:1">
      <c r="A1739" t="s">
        <v>3263</v>
      </c>
    </row>
    <row r="1740" spans="1:1">
      <c r="A1740" t="s">
        <v>3265</v>
      </c>
    </row>
    <row r="1741" spans="1:1">
      <c r="A1741" t="s">
        <v>3267</v>
      </c>
    </row>
    <row r="1742" spans="1:1">
      <c r="A1742" t="s">
        <v>3269</v>
      </c>
    </row>
    <row r="1743" spans="1:1">
      <c r="A1743" t="s">
        <v>3271</v>
      </c>
    </row>
    <row r="1744" spans="1:1">
      <c r="A1744" t="s">
        <v>3272</v>
      </c>
    </row>
    <row r="1745" spans="1:1">
      <c r="A1745" t="s">
        <v>3274</v>
      </c>
    </row>
    <row r="1746" spans="1:1">
      <c r="A1746" t="s">
        <v>2017</v>
      </c>
    </row>
    <row r="1747" spans="1:1">
      <c r="A1747" t="s">
        <v>2019</v>
      </c>
    </row>
    <row r="1748" spans="1:1">
      <c r="A1748" t="s">
        <v>3277</v>
      </c>
    </row>
    <row r="1749" spans="1:1">
      <c r="A1749" t="s">
        <v>3280</v>
      </c>
    </row>
    <row r="1750" spans="1:1">
      <c r="A1750" t="s">
        <v>3283</v>
      </c>
    </row>
    <row r="1751" spans="1:1">
      <c r="A1751" t="s">
        <v>3284</v>
      </c>
    </row>
    <row r="1752" spans="1:1">
      <c r="A1752" t="s">
        <v>3287</v>
      </c>
    </row>
    <row r="1753" spans="1:1">
      <c r="A1753" t="s">
        <v>3289</v>
      </c>
    </row>
    <row r="1754" spans="1:1">
      <c r="A1754" t="s">
        <v>3292</v>
      </c>
    </row>
    <row r="1755" spans="1:1">
      <c r="A1755" t="s">
        <v>3295</v>
      </c>
    </row>
    <row r="1756" spans="1:1">
      <c r="A1756" t="s">
        <v>3298</v>
      </c>
    </row>
    <row r="1757" spans="1:1">
      <c r="A1757" t="s">
        <v>3300</v>
      </c>
    </row>
    <row r="1758" spans="1:1">
      <c r="A1758" t="s">
        <v>3301</v>
      </c>
    </row>
    <row r="1759" spans="1:1">
      <c r="A1759" t="s">
        <v>3304</v>
      </c>
    </row>
    <row r="1760" spans="1:1">
      <c r="A1760" t="s">
        <v>3307</v>
      </c>
    </row>
    <row r="1761" spans="1:1">
      <c r="A1761" t="s">
        <v>3310</v>
      </c>
    </row>
    <row r="1762" spans="1:1">
      <c r="A1762" t="s">
        <v>3311</v>
      </c>
    </row>
    <row r="1763" spans="1:1">
      <c r="A1763" t="s">
        <v>3314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490DB-2F49-47F7-A541-5BAE73C22743}">
  <sheetPr codeName="Sheet11">
    <tabColor theme="1" tint="0.34998626667073579"/>
  </sheetPr>
  <dimension ref="A1:N847"/>
  <sheetViews>
    <sheetView workbookViewId="0">
      <pane ySplit="1" topLeftCell="A2" activePane="bottomLeft" state="frozen"/>
      <selection activeCell="E3" sqref="E3"/>
      <selection pane="bottomLeft" activeCell="G2" sqref="G2:G24"/>
    </sheetView>
  </sheetViews>
  <sheetFormatPr defaultRowHeight="15"/>
  <cols>
    <col min="1" max="1" width="12.7109375" style="39" bestFit="1" customWidth="1"/>
    <col min="2" max="2" width="8.42578125" style="39" bestFit="1" customWidth="1"/>
    <col min="3" max="3" width="15.42578125" style="39" bestFit="1" customWidth="1"/>
    <col min="4" max="4" width="24.7109375" style="39" customWidth="1"/>
    <col min="5" max="5" width="17" style="39" bestFit="1" customWidth="1"/>
    <col min="6" max="6" width="11" style="39" bestFit="1" customWidth="1"/>
    <col min="7" max="7" width="15.5703125" style="39" bestFit="1" customWidth="1"/>
    <col min="8" max="8" width="18.5703125" style="39" bestFit="1" customWidth="1"/>
    <col min="9" max="9" width="28" style="39" customWidth="1"/>
    <col min="10" max="11" width="9.140625" style="39"/>
    <col min="12" max="13" width="9.140625" style="50"/>
    <col min="14" max="16384" width="9.140625" style="39"/>
  </cols>
  <sheetData>
    <row r="1" spans="1:14" s="1" customFormat="1" ht="45">
      <c r="A1" s="203" t="s">
        <v>5594</v>
      </c>
      <c r="B1" s="203" t="s">
        <v>0</v>
      </c>
      <c r="C1" s="203" t="s">
        <v>1</v>
      </c>
      <c r="D1" s="203" t="s">
        <v>39</v>
      </c>
      <c r="E1" s="203" t="s">
        <v>4632</v>
      </c>
      <c r="F1" s="203" t="s">
        <v>5596</v>
      </c>
      <c r="G1" s="203" t="s">
        <v>5597</v>
      </c>
      <c r="H1" s="203" t="s">
        <v>0</v>
      </c>
      <c r="I1" s="203" t="s">
        <v>6303</v>
      </c>
      <c r="J1" s="203" t="s">
        <v>6304</v>
      </c>
      <c r="K1" s="203" t="s">
        <v>7611</v>
      </c>
      <c r="L1" s="210" t="s">
        <v>5850</v>
      </c>
      <c r="M1" s="210" t="s">
        <v>6305</v>
      </c>
      <c r="N1" s="210" t="s">
        <v>5849</v>
      </c>
    </row>
    <row r="2" spans="1:14">
      <c r="A2" s="39" t="s">
        <v>5583</v>
      </c>
      <c r="B2" s="39" t="s">
        <v>267</v>
      </c>
      <c r="C2" s="39" t="s">
        <v>1433</v>
      </c>
      <c r="D2" s="39" t="s">
        <v>1434</v>
      </c>
      <c r="E2" s="39">
        <v>500</v>
      </c>
      <c r="F2" s="39" t="s">
        <v>3630</v>
      </c>
      <c r="G2" s="39" t="s">
        <v>5445</v>
      </c>
      <c r="H2" s="39" t="str">
        <f>IFERROR(IF(A2="H","Huntsville",INDEX(SuppDetails[[#All],[Supplier]],MATCH(B2,SuppDetails[[#All],[Supplier Code]],0))),"")</f>
        <v>Ahlstrom Paper Inc.</v>
      </c>
      <c r="I2" s="39" t="str">
        <f>_xlfn.CONCAT(H2,G2)</f>
        <v>Ahlstrom Paper Inc.Stone</v>
      </c>
      <c r="J2" s="39" t="str">
        <f>IF(B2="","",IF(ISERROR(MATCH('SuppWorksheet 02'!$C$1,I2,0)),"hide","keep"))</f>
        <v>hide</v>
      </c>
      <c r="L2" s="50">
        <f>IFERROR(IF(INDEX('Truck Input'!D:D,MATCH(G2,'Truck Input'!B:B,0))="self deliver","- -",INDEX('Truck Input'!G:G,MATCH(G2,'Truck Input'!B:B,0))),"")</f>
        <v>44936</v>
      </c>
      <c r="M2" s="50">
        <f>IFERROR(INDEX('Truck Input'!L:L,MATCH(INDEX('Truck Input'!F:F,MATCH(G2,'Truck Input'!B:B,0)),'Truck Input'!K:K,0)),"")</f>
        <v>44937</v>
      </c>
      <c r="N2" s="39" t="str">
        <f>IFERROR(INDEX('Truck Input'!M:M,MATCH(INDEX('Truck Input'!F:F,MATCH(G2,'Truck Input'!B:B,0)),'Truck Input'!K:K,0)),"")</f>
        <v>Heniff</v>
      </c>
    </row>
    <row r="3" spans="1:14">
      <c r="A3" s="39" t="s">
        <v>5583</v>
      </c>
      <c r="B3" s="39" t="s">
        <v>267</v>
      </c>
      <c r="C3" s="39" t="s">
        <v>2051</v>
      </c>
      <c r="D3" s="39" t="s">
        <v>2052</v>
      </c>
      <c r="E3" s="39">
        <v>500</v>
      </c>
      <c r="F3" s="39" t="s">
        <v>3593</v>
      </c>
      <c r="G3" s="39" t="s">
        <v>5445</v>
      </c>
      <c r="H3" s="39" t="str">
        <f>IFERROR(IF(A3="H","Huntsville",INDEX(SuppDetails[[#All],[Supplier]],MATCH(B3,SuppDetails[[#All],[Supplier Code]],0))),"")</f>
        <v>Ahlstrom Paper Inc.</v>
      </c>
      <c r="I3" s="39" t="str">
        <f t="shared" ref="I3:I24" si="0">_xlfn.CONCAT(H3,G3)</f>
        <v>Ahlstrom Paper Inc.Stone</v>
      </c>
      <c r="J3" s="39" t="str">
        <f>IF(B3="","",IF(ISERROR(MATCH('SuppWorksheet 02'!$C$1,I3,0)),"hide","keep"))</f>
        <v>hide</v>
      </c>
      <c r="L3" s="50">
        <f>IFERROR(IF(INDEX('Truck Input'!D:D,MATCH(G3,'Truck Input'!B:B,0))="self deliver","- -",INDEX('Truck Input'!G:G,MATCH(G3,'Truck Input'!B:B,0))),"")</f>
        <v>44936</v>
      </c>
      <c r="M3" s="50">
        <f>IFERROR(INDEX('Truck Input'!L:L,MATCH(INDEX('Truck Input'!F:F,MATCH(G3,'Truck Input'!B:B,0)),'Truck Input'!K:K,0)),"")</f>
        <v>44937</v>
      </c>
      <c r="N3" s="39" t="str">
        <f>IFERROR(INDEX('Truck Input'!M:M,MATCH(INDEX('Truck Input'!F:F,MATCH(G3,'Truck Input'!B:B,0)),'Truck Input'!K:K,0)),"")</f>
        <v>Heniff</v>
      </c>
    </row>
    <row r="4" spans="1:14">
      <c r="A4" s="39" t="s">
        <v>5583</v>
      </c>
      <c r="B4" s="39" t="s">
        <v>267</v>
      </c>
      <c r="C4" s="39" t="s">
        <v>2527</v>
      </c>
      <c r="D4" s="39" t="s">
        <v>2528</v>
      </c>
      <c r="E4" s="39">
        <v>500</v>
      </c>
      <c r="F4" s="39" t="s">
        <v>6034</v>
      </c>
      <c r="G4" s="39" t="s">
        <v>5445</v>
      </c>
      <c r="H4" s="39" t="str">
        <f>IFERROR(IF(A4="H","Huntsville",INDEX(SuppDetails[[#All],[Supplier]],MATCH(B4,SuppDetails[[#All],[Supplier Code]],0))),"")</f>
        <v>Ahlstrom Paper Inc.</v>
      </c>
      <c r="I4" s="39" t="str">
        <f t="shared" si="0"/>
        <v>Ahlstrom Paper Inc.Stone</v>
      </c>
      <c r="J4" s="39" t="str">
        <f>IF(B4="","",IF(ISERROR(MATCH('SuppWorksheet 02'!$C$1,I4,0)),"hide","keep"))</f>
        <v>hide</v>
      </c>
      <c r="L4" s="50">
        <f>IFERROR(IF(INDEX('Truck Input'!D:D,MATCH(G4,'Truck Input'!B:B,0))="self deliver","- -",INDEX('Truck Input'!G:G,MATCH(G4,'Truck Input'!B:B,0))),"")</f>
        <v>44936</v>
      </c>
      <c r="M4" s="50">
        <f>IFERROR(INDEX('Truck Input'!L:L,MATCH(INDEX('Truck Input'!F:F,MATCH(G4,'Truck Input'!B:B,0)),'Truck Input'!K:K,0)),"")</f>
        <v>44937</v>
      </c>
      <c r="N4" s="39" t="str">
        <f>IFERROR(INDEX('Truck Input'!M:M,MATCH(INDEX('Truck Input'!F:F,MATCH(G4,'Truck Input'!B:B,0)),'Truck Input'!K:K,0)),"")</f>
        <v>Heniff</v>
      </c>
    </row>
    <row r="5" spans="1:14">
      <c r="A5" s="39" t="s">
        <v>5583</v>
      </c>
      <c r="B5" s="39" t="s">
        <v>267</v>
      </c>
      <c r="C5" s="39" t="s">
        <v>2657</v>
      </c>
      <c r="D5" s="39" t="s">
        <v>2658</v>
      </c>
      <c r="E5" s="39">
        <v>500</v>
      </c>
      <c r="F5" s="39" t="s">
        <v>6043</v>
      </c>
      <c r="G5" s="39" t="s">
        <v>5445</v>
      </c>
      <c r="H5" s="39" t="str">
        <f>IFERROR(IF(A5="H","Huntsville",INDEX(SuppDetails[[#All],[Supplier]],MATCH(B5,SuppDetails[[#All],[Supplier Code]],0))),"")</f>
        <v>Ahlstrom Paper Inc.</v>
      </c>
      <c r="I5" s="39" t="str">
        <f t="shared" si="0"/>
        <v>Ahlstrom Paper Inc.Stone</v>
      </c>
      <c r="J5" s="39" t="str">
        <f>IF(B5="","",IF(ISERROR(MATCH('SuppWorksheet 02'!$C$1,I5,0)),"hide","keep"))</f>
        <v>hide</v>
      </c>
      <c r="L5" s="50">
        <f>IFERROR(IF(INDEX('Truck Input'!D:D,MATCH(G5,'Truck Input'!B:B,0))="self deliver","- -",INDEX('Truck Input'!G:G,MATCH(G5,'Truck Input'!B:B,0))),"")</f>
        <v>44936</v>
      </c>
      <c r="M5" s="50">
        <f>IFERROR(INDEX('Truck Input'!L:L,MATCH(INDEX('Truck Input'!F:F,MATCH(G5,'Truck Input'!B:B,0)),'Truck Input'!K:K,0)),"")</f>
        <v>44937</v>
      </c>
      <c r="N5" s="39" t="str">
        <f>IFERROR(INDEX('Truck Input'!M:M,MATCH(INDEX('Truck Input'!F:F,MATCH(G5,'Truck Input'!B:B,0)),'Truck Input'!K:K,0)),"")</f>
        <v>Heniff</v>
      </c>
    </row>
    <row r="6" spans="1:14">
      <c r="A6" s="39" t="s">
        <v>5583</v>
      </c>
      <c r="B6" s="39" t="s">
        <v>267</v>
      </c>
      <c r="C6" s="39" t="s">
        <v>2963</v>
      </c>
      <c r="D6" s="39" t="s">
        <v>2962</v>
      </c>
      <c r="E6" s="39">
        <v>500</v>
      </c>
      <c r="F6" s="39" t="s">
        <v>3530</v>
      </c>
      <c r="G6" s="39" t="s">
        <v>5445</v>
      </c>
      <c r="H6" s="39" t="str">
        <f>IFERROR(IF(A6="H","Huntsville",INDEX(SuppDetails[[#All],[Supplier]],MATCH(B6,SuppDetails[[#All],[Supplier Code]],0))),"")</f>
        <v>Ahlstrom Paper Inc.</v>
      </c>
      <c r="I6" s="39" t="str">
        <f t="shared" si="0"/>
        <v>Ahlstrom Paper Inc.Stone</v>
      </c>
      <c r="J6" s="39" t="str">
        <f>IF(B6="","",IF(ISERROR(MATCH('SuppWorksheet 02'!$C$1,I6,0)),"hide","keep"))</f>
        <v>hide</v>
      </c>
      <c r="L6" s="50">
        <f>IFERROR(IF(INDEX('Truck Input'!D:D,MATCH(G6,'Truck Input'!B:B,0))="self deliver","- -",INDEX('Truck Input'!G:G,MATCH(G6,'Truck Input'!B:B,0))),"")</f>
        <v>44936</v>
      </c>
      <c r="M6" s="50">
        <f>IFERROR(INDEX('Truck Input'!L:L,MATCH(INDEX('Truck Input'!F:F,MATCH(G6,'Truck Input'!B:B,0)),'Truck Input'!K:K,0)),"")</f>
        <v>44937</v>
      </c>
      <c r="N6" s="39" t="str">
        <f>IFERROR(INDEX('Truck Input'!M:M,MATCH(INDEX('Truck Input'!F:F,MATCH(G6,'Truck Input'!B:B,0)),'Truck Input'!K:K,0)),"")</f>
        <v>Heniff</v>
      </c>
    </row>
    <row r="7" spans="1:14">
      <c r="A7" s="39" t="s">
        <v>5583</v>
      </c>
      <c r="B7" s="39" t="s">
        <v>318</v>
      </c>
      <c r="C7" s="39" t="s">
        <v>3052</v>
      </c>
      <c r="D7" s="39" t="s">
        <v>3053</v>
      </c>
      <c r="E7" s="39">
        <v>500</v>
      </c>
      <c r="F7" s="39" t="s">
        <v>4169</v>
      </c>
      <c r="G7" s="39" t="s">
        <v>5445</v>
      </c>
      <c r="H7" s="39" t="str">
        <f>IFERROR(IF(A7="H","Huntsville",INDEX(SuppDetails[[#All],[Supplier]],MATCH(B7,SuppDetails[[#All],[Supplier Code]],0))),"")</f>
        <v>DNP</v>
      </c>
      <c r="I7" s="39" t="str">
        <f t="shared" si="0"/>
        <v>DNPStone</v>
      </c>
      <c r="J7" s="39" t="str">
        <f>IF(B7="","",IF(ISERROR(MATCH('SuppWorksheet 02'!$C$1,I7,0)),"hide","keep"))</f>
        <v>hide</v>
      </c>
      <c r="L7" s="50">
        <f>IFERROR(IF(INDEX('Truck Input'!D:D,MATCH(G7,'Truck Input'!B:B,0))="self deliver","- -",INDEX('Truck Input'!G:G,MATCH(G7,'Truck Input'!B:B,0))),"")</f>
        <v>44936</v>
      </c>
      <c r="M7" s="50">
        <f>IFERROR(INDEX('Truck Input'!L:L,MATCH(INDEX('Truck Input'!F:F,MATCH(G7,'Truck Input'!B:B,0)),'Truck Input'!K:K,0)),"")</f>
        <v>44937</v>
      </c>
      <c r="N7" s="39" t="str">
        <f>IFERROR(INDEX('Truck Input'!M:M,MATCH(INDEX('Truck Input'!F:F,MATCH(G7,'Truck Input'!B:B,0)),'Truck Input'!K:K,0)),"")</f>
        <v>Heniff</v>
      </c>
    </row>
    <row r="8" spans="1:14">
      <c r="A8" s="39" t="s">
        <v>5583</v>
      </c>
      <c r="B8" s="39" t="s">
        <v>58</v>
      </c>
      <c r="C8" s="39" t="s">
        <v>64</v>
      </c>
      <c r="D8" s="39" t="s">
        <v>57</v>
      </c>
      <c r="E8" s="39">
        <v>1000</v>
      </c>
      <c r="F8" s="39" t="s">
        <v>4021</v>
      </c>
      <c r="G8" s="39" t="s">
        <v>3693</v>
      </c>
      <c r="H8" s="39" t="str">
        <f>IFERROR(IF(A8="H","Huntsville",INDEX(SuppDetails[[#All],[Supplier]],MATCH(B8,SuppDetails[[#All],[Supplier Code]],0))),"")</f>
        <v>Glatfelter</v>
      </c>
      <c r="I8" s="39" t="str">
        <f t="shared" si="0"/>
        <v>GlatfelterGlatfelter</v>
      </c>
      <c r="J8" s="39" t="str">
        <f>IF(B8="","",IF(ISERROR(MATCH('SuppWorksheet 02'!$C$1,I8,0)),"hide","keep"))</f>
        <v>hide</v>
      </c>
      <c r="L8" s="50" t="str">
        <f>IFERROR(IF(INDEX('Truck Input'!D:D,MATCH(G8,'Truck Input'!B:B,0))="self deliver","- -",INDEX('Truck Input'!G:G,MATCH(G8,'Truck Input'!B:B,0))),"")</f>
        <v>- -</v>
      </c>
      <c r="M8" s="50" t="str">
        <f>IFERROR(INDEX('Truck Input'!L:L,MATCH(INDEX('Truck Input'!F:F,MATCH(G8,'Truck Input'!B:B,0)),'Truck Input'!K:K,0)),"")</f>
        <v/>
      </c>
      <c r="N8" s="39" t="str">
        <f>IFERROR(INDEX('Truck Input'!M:M,MATCH(INDEX('Truck Input'!F:F,MATCH(G8,'Truck Input'!B:B,0)),'Truck Input'!K:K,0)),"")</f>
        <v/>
      </c>
    </row>
    <row r="9" spans="1:14">
      <c r="A9" s="39" t="s">
        <v>5583</v>
      </c>
      <c r="B9" s="39" t="s">
        <v>58</v>
      </c>
      <c r="C9" s="39" t="s">
        <v>74</v>
      </c>
      <c r="D9" s="39" t="s">
        <v>72</v>
      </c>
      <c r="E9" s="39">
        <v>1000</v>
      </c>
      <c r="F9" s="39" t="s">
        <v>4032</v>
      </c>
      <c r="G9" s="39" t="s">
        <v>3693</v>
      </c>
      <c r="H9" s="39" t="str">
        <f>IFERROR(IF(A9="H","Huntsville",INDEX(SuppDetails[[#All],[Supplier]],MATCH(B9,SuppDetails[[#All],[Supplier Code]],0))),"")</f>
        <v>Glatfelter</v>
      </c>
      <c r="I9" s="39" t="str">
        <f t="shared" si="0"/>
        <v>GlatfelterGlatfelter</v>
      </c>
      <c r="J9" s="39" t="str">
        <f>IF(B9="","",IF(ISERROR(MATCH('SuppWorksheet 02'!$C$1,I9,0)),"hide","keep"))</f>
        <v>hide</v>
      </c>
      <c r="L9" s="50" t="str">
        <f>IFERROR(IF(INDEX('Truck Input'!D:D,MATCH(G9,'Truck Input'!B:B,0))="self deliver","- -",INDEX('Truck Input'!G:G,MATCH(G9,'Truck Input'!B:B,0))),"")</f>
        <v>- -</v>
      </c>
      <c r="M9" s="50" t="str">
        <f>IFERROR(INDEX('Truck Input'!L:L,MATCH(INDEX('Truck Input'!F:F,MATCH(G9,'Truck Input'!B:B,0)),'Truck Input'!K:K,0)),"")</f>
        <v/>
      </c>
      <c r="N9" s="39" t="str">
        <f>IFERROR(INDEX('Truck Input'!M:M,MATCH(INDEX('Truck Input'!F:F,MATCH(G9,'Truck Input'!B:B,0)),'Truck Input'!K:K,0)),"")</f>
        <v/>
      </c>
    </row>
    <row r="10" spans="1:14">
      <c r="A10" s="39" t="s">
        <v>5583</v>
      </c>
      <c r="B10" s="39" t="s">
        <v>110</v>
      </c>
      <c r="C10" s="39" t="s">
        <v>2970</v>
      </c>
      <c r="D10" s="39" t="s">
        <v>2971</v>
      </c>
      <c r="E10" s="39">
        <v>466</v>
      </c>
      <c r="F10" s="39" t="s">
        <v>4351</v>
      </c>
      <c r="G10" s="39" t="s">
        <v>893</v>
      </c>
      <c r="H10" s="39" t="str">
        <f>IFERROR(IF(A10="H","Huntsville",INDEX(SuppDetails[[#All],[Supplier]],MATCH(B10,SuppDetails[[#All],[Supplier Code]],0))),"")</f>
        <v>Interprint</v>
      </c>
      <c r="I10" s="39" t="str">
        <f t="shared" si="0"/>
        <v>InterprintInterprint</v>
      </c>
      <c r="J10" s="39" t="str">
        <f>IF(B10="","",IF(ISERROR(MATCH('SuppWorksheet 02'!$C$1,I10,0)),"hide","keep"))</f>
        <v>hide</v>
      </c>
      <c r="L10" s="50">
        <f>IFERROR(IF(INDEX('Truck Input'!D:D,MATCH(G10,'Truck Input'!B:B,0))="self deliver","- -",INDEX('Truck Input'!G:G,MATCH(G10,'Truck Input'!B:B,0))),"")</f>
        <v>44936</v>
      </c>
      <c r="M10" s="50">
        <f>IFERROR(INDEX('Truck Input'!L:L,MATCH(INDEX('Truck Input'!F:F,MATCH(G10,'Truck Input'!B:B,0)),'Truck Input'!K:K,0)),"")</f>
        <v>44937</v>
      </c>
      <c r="N10" s="39" t="str">
        <f>IFERROR(INDEX('Truck Input'!M:M,MATCH(INDEX('Truck Input'!F:F,MATCH(G10,'Truck Input'!B:B,0)),'Truck Input'!K:K,0)),"")</f>
        <v>Heniff</v>
      </c>
    </row>
    <row r="11" spans="1:14">
      <c r="A11" s="39" t="s">
        <v>5583</v>
      </c>
      <c r="B11" s="39" t="s">
        <v>1027</v>
      </c>
      <c r="C11" s="39" t="s">
        <v>1869</v>
      </c>
      <c r="D11" s="39" t="s">
        <v>1870</v>
      </c>
      <c r="E11" s="39">
        <v>500</v>
      </c>
      <c r="F11" s="39" t="s">
        <v>5271</v>
      </c>
      <c r="G11" s="39" t="s">
        <v>5445</v>
      </c>
      <c r="H11" s="39" t="str">
        <f>IFERROR(IF(A11="H","Huntsville",INDEX(SuppDetails[[#All],[Supplier]],MATCH(B11,SuppDetails[[#All],[Supplier Code]],0))),"")</f>
        <v>Lamigraf</v>
      </c>
      <c r="I11" s="39" t="str">
        <f t="shared" si="0"/>
        <v>LamigrafStone</v>
      </c>
      <c r="J11" s="39" t="str">
        <f>IF(B11="","",IF(ISERROR(MATCH('SuppWorksheet 02'!$C$1,I11,0)),"hide","keep"))</f>
        <v>hide</v>
      </c>
      <c r="L11" s="50">
        <f>IFERROR(IF(INDEX('Truck Input'!D:D,MATCH(G11,'Truck Input'!B:B,0))="self deliver","- -",INDEX('Truck Input'!G:G,MATCH(G11,'Truck Input'!B:B,0))),"")</f>
        <v>44936</v>
      </c>
      <c r="M11" s="50">
        <f>IFERROR(INDEX('Truck Input'!L:L,MATCH(INDEX('Truck Input'!F:F,MATCH(G11,'Truck Input'!B:B,0)),'Truck Input'!K:K,0)),"")</f>
        <v>44937</v>
      </c>
      <c r="N11" s="39" t="str">
        <f>IFERROR(INDEX('Truck Input'!M:M,MATCH(INDEX('Truck Input'!F:F,MATCH(G11,'Truck Input'!B:B,0)),'Truck Input'!K:K,0)),"")</f>
        <v>Heniff</v>
      </c>
    </row>
    <row r="12" spans="1:14">
      <c r="A12" s="39" t="s">
        <v>5583</v>
      </c>
      <c r="B12" s="39" t="s">
        <v>68</v>
      </c>
      <c r="C12" s="39" t="s">
        <v>69</v>
      </c>
      <c r="D12" s="39" t="s">
        <v>67</v>
      </c>
      <c r="E12" s="39">
        <v>2000</v>
      </c>
      <c r="F12" s="39" t="s">
        <v>3793</v>
      </c>
      <c r="G12" s="39" t="s">
        <v>3792</v>
      </c>
      <c r="H12" s="39" t="str">
        <f>IFERROR(IF(A12="H","Huntsville",INDEX(SuppDetails[[#All],[Supplier]],MATCH(B12,SuppDetails[[#All],[Supplier Code]],0))),"")</f>
        <v>Onyx</v>
      </c>
      <c r="I12" s="39" t="str">
        <f t="shared" si="0"/>
        <v>OnyxOnyx</v>
      </c>
      <c r="J12" s="39" t="str">
        <f>IF(B12="","",IF(ISERROR(MATCH('SuppWorksheet 02'!$C$1,I12,0)),"hide","keep"))</f>
        <v>hide</v>
      </c>
      <c r="L12" s="50">
        <f>IFERROR(IF(INDEX('Truck Input'!D:D,MATCH(G12,'Truck Input'!B:B,0))="self deliver","- -",INDEX('Truck Input'!G:G,MATCH(G12,'Truck Input'!B:B,0))),"")</f>
        <v>44936</v>
      </c>
      <c r="M12" s="50">
        <f>IFERROR(INDEX('Truck Input'!L:L,MATCH(INDEX('Truck Input'!F:F,MATCH(G12,'Truck Input'!B:B,0)),'Truck Input'!K:K,0)),"")</f>
        <v>44937</v>
      </c>
      <c r="N12" s="39" t="str">
        <f>IFERROR(INDEX('Truck Input'!M:M,MATCH(INDEX('Truck Input'!F:F,MATCH(G12,'Truck Input'!B:B,0)),'Truck Input'!K:K,0)),"")</f>
        <v>Heniff</v>
      </c>
    </row>
    <row r="13" spans="1:14">
      <c r="A13" s="39" t="s">
        <v>5583</v>
      </c>
      <c r="B13" s="39" t="s">
        <v>68</v>
      </c>
      <c r="C13" s="39" t="s">
        <v>76</v>
      </c>
      <c r="D13" s="39" t="s">
        <v>77</v>
      </c>
      <c r="E13" s="39">
        <v>2000</v>
      </c>
      <c r="F13" s="39" t="s">
        <v>3799</v>
      </c>
      <c r="G13" s="39" t="s">
        <v>3792</v>
      </c>
      <c r="H13" s="39" t="str">
        <f>IFERROR(IF(A13="H","Huntsville",INDEX(SuppDetails[[#All],[Supplier]],MATCH(B13,SuppDetails[[#All],[Supplier Code]],0))),"")</f>
        <v>Onyx</v>
      </c>
      <c r="I13" s="39" t="str">
        <f t="shared" si="0"/>
        <v>OnyxOnyx</v>
      </c>
      <c r="J13" s="39" t="str">
        <f>IF(B13="","",IF(ISERROR(MATCH('SuppWorksheet 02'!$C$1,I13,0)),"hide","keep"))</f>
        <v>hide</v>
      </c>
      <c r="L13" s="50">
        <f>IFERROR(IF(INDEX('Truck Input'!D:D,MATCH(G13,'Truck Input'!B:B,0))="self deliver","- -",INDEX('Truck Input'!G:G,MATCH(G13,'Truck Input'!B:B,0))),"")</f>
        <v>44936</v>
      </c>
      <c r="M13" s="50">
        <f>IFERROR(INDEX('Truck Input'!L:L,MATCH(INDEX('Truck Input'!F:F,MATCH(G13,'Truck Input'!B:B,0)),'Truck Input'!K:K,0)),"")</f>
        <v>44937</v>
      </c>
      <c r="N13" s="39" t="str">
        <f>IFERROR(INDEX('Truck Input'!M:M,MATCH(INDEX('Truck Input'!F:F,MATCH(G13,'Truck Input'!B:B,0)),'Truck Input'!K:K,0)),"")</f>
        <v>Heniff</v>
      </c>
    </row>
    <row r="14" spans="1:14">
      <c r="A14" s="39" t="s">
        <v>5583</v>
      </c>
      <c r="B14" s="39" t="s">
        <v>68</v>
      </c>
      <c r="C14" s="39" t="s">
        <v>80</v>
      </c>
      <c r="D14" s="39" t="s">
        <v>77</v>
      </c>
      <c r="E14" s="39">
        <v>1000</v>
      </c>
      <c r="F14" s="39" t="s">
        <v>3799</v>
      </c>
      <c r="G14" s="39" t="s">
        <v>3792</v>
      </c>
      <c r="H14" s="39" t="str">
        <f>IFERROR(IF(A14="H","Huntsville",INDEX(SuppDetails[[#All],[Supplier]],MATCH(B14,SuppDetails[[#All],[Supplier Code]],0))),"")</f>
        <v>Onyx</v>
      </c>
      <c r="I14" s="39" t="str">
        <f t="shared" si="0"/>
        <v>OnyxOnyx</v>
      </c>
      <c r="J14" s="39" t="str">
        <f>IF(B14="","",IF(ISERROR(MATCH('SuppWorksheet 02'!$C$1,I14,0)),"hide","keep"))</f>
        <v>hide</v>
      </c>
      <c r="L14" s="50">
        <f>IFERROR(IF(INDEX('Truck Input'!D:D,MATCH(G14,'Truck Input'!B:B,0))="self deliver","- -",INDEX('Truck Input'!G:G,MATCH(G14,'Truck Input'!B:B,0))),"")</f>
        <v>44936</v>
      </c>
      <c r="M14" s="50">
        <f>IFERROR(INDEX('Truck Input'!L:L,MATCH(INDEX('Truck Input'!F:F,MATCH(G14,'Truck Input'!B:B,0)),'Truck Input'!K:K,0)),"")</f>
        <v>44937</v>
      </c>
      <c r="N14" s="39" t="str">
        <f>IFERROR(INDEX('Truck Input'!M:M,MATCH(INDEX('Truck Input'!F:F,MATCH(G14,'Truck Input'!B:B,0)),'Truck Input'!K:K,0)),"")</f>
        <v>Heniff</v>
      </c>
    </row>
    <row r="15" spans="1:14">
      <c r="A15" s="39" t="s">
        <v>5583</v>
      </c>
      <c r="B15" s="39" t="s">
        <v>68</v>
      </c>
      <c r="C15" s="39" t="s">
        <v>1500</v>
      </c>
      <c r="D15" s="39" t="s">
        <v>1498</v>
      </c>
      <c r="E15" s="39">
        <v>500</v>
      </c>
      <c r="F15" s="39" t="s">
        <v>3848</v>
      </c>
      <c r="G15" s="39" t="s">
        <v>3792</v>
      </c>
      <c r="H15" s="39" t="str">
        <f>IFERROR(IF(A15="H","Huntsville",INDEX(SuppDetails[[#All],[Supplier]],MATCH(B15,SuppDetails[[#All],[Supplier Code]],0))),"")</f>
        <v>Onyx</v>
      </c>
      <c r="I15" s="39" t="str">
        <f t="shared" si="0"/>
        <v>OnyxOnyx</v>
      </c>
      <c r="J15" s="39" t="str">
        <f>IF(B15="","",IF(ISERROR(MATCH('SuppWorksheet 02'!$C$1,I15,0)),"hide","keep"))</f>
        <v>hide</v>
      </c>
      <c r="L15" s="50">
        <f>IFERROR(IF(INDEX('Truck Input'!D:D,MATCH(G15,'Truck Input'!B:B,0))="self deliver","- -",INDEX('Truck Input'!G:G,MATCH(G15,'Truck Input'!B:B,0))),"")</f>
        <v>44936</v>
      </c>
      <c r="M15" s="50">
        <f>IFERROR(INDEX('Truck Input'!L:L,MATCH(INDEX('Truck Input'!F:F,MATCH(G15,'Truck Input'!B:B,0)),'Truck Input'!K:K,0)),"")</f>
        <v>44937</v>
      </c>
      <c r="N15" s="39" t="str">
        <f>IFERROR(INDEX('Truck Input'!M:M,MATCH(INDEX('Truck Input'!F:F,MATCH(G15,'Truck Input'!B:B,0)),'Truck Input'!K:K,0)),"")</f>
        <v>Heniff</v>
      </c>
    </row>
    <row r="16" spans="1:14">
      <c r="A16" s="39" t="s">
        <v>5583</v>
      </c>
      <c r="B16" s="39" t="s">
        <v>68</v>
      </c>
      <c r="C16" s="39" t="s">
        <v>2726</v>
      </c>
      <c r="D16" s="39" t="s">
        <v>2727</v>
      </c>
      <c r="E16" s="39">
        <v>500</v>
      </c>
      <c r="F16" s="39" t="s">
        <v>3824</v>
      </c>
      <c r="G16" s="39" t="s">
        <v>3792</v>
      </c>
      <c r="H16" s="39" t="str">
        <f>IFERROR(IF(A16="H","Huntsville",INDEX(SuppDetails[[#All],[Supplier]],MATCH(B16,SuppDetails[[#All],[Supplier Code]],0))),"")</f>
        <v>Onyx</v>
      </c>
      <c r="I16" s="39" t="str">
        <f t="shared" si="0"/>
        <v>OnyxOnyx</v>
      </c>
      <c r="J16" s="39" t="str">
        <f>IF(B16="","",IF(ISERROR(MATCH('SuppWorksheet 02'!$C$1,I16,0)),"hide","keep"))</f>
        <v>hide</v>
      </c>
      <c r="L16" s="50">
        <f>IFERROR(IF(INDEX('Truck Input'!D:D,MATCH(G16,'Truck Input'!B:B,0))="self deliver","- -",INDEX('Truck Input'!G:G,MATCH(G16,'Truck Input'!B:B,0))),"")</f>
        <v>44936</v>
      </c>
      <c r="M16" s="50">
        <f>IFERROR(INDEX('Truck Input'!L:L,MATCH(INDEX('Truck Input'!F:F,MATCH(G16,'Truck Input'!B:B,0)),'Truck Input'!K:K,0)),"")</f>
        <v>44937</v>
      </c>
      <c r="N16" s="39" t="str">
        <f>IFERROR(INDEX('Truck Input'!M:M,MATCH(INDEX('Truck Input'!F:F,MATCH(G16,'Truck Input'!B:B,0)),'Truck Input'!K:K,0)),"")</f>
        <v>Heniff</v>
      </c>
    </row>
    <row r="17" spans="1:14">
      <c r="A17" s="39" t="s">
        <v>5583</v>
      </c>
      <c r="B17" s="39" t="s">
        <v>275</v>
      </c>
      <c r="C17" s="39" t="s">
        <v>1721</v>
      </c>
      <c r="D17" s="39" t="s">
        <v>1722</v>
      </c>
      <c r="E17" s="39">
        <v>500</v>
      </c>
      <c r="F17" s="39" t="s">
        <v>5372</v>
      </c>
      <c r="G17" s="39" t="s">
        <v>3882</v>
      </c>
      <c r="H17" s="39" t="str">
        <f>IFERROR(IF(A17="H","Huntsville",INDEX(SuppDetails[[#All],[Supplier]],MATCH(B17,SuppDetails[[#All],[Supplier Code]],0))),"")</f>
        <v>Suddekor</v>
      </c>
      <c r="I17" s="39" t="str">
        <f t="shared" si="0"/>
        <v>SuddekorSuddekor</v>
      </c>
      <c r="J17" s="39" t="str">
        <f>IF(B17="","",IF(ISERROR(MATCH('SuppWorksheet 02'!$C$1,I17,0)),"hide","keep"))</f>
        <v>hide</v>
      </c>
      <c r="L17" s="50">
        <f>IFERROR(IF(INDEX('Truck Input'!D:D,MATCH(G17,'Truck Input'!B:B,0))="self deliver","- -",INDEX('Truck Input'!G:G,MATCH(G17,'Truck Input'!B:B,0))),"")</f>
        <v>44936</v>
      </c>
      <c r="M17" s="50">
        <f>IFERROR(INDEX('Truck Input'!L:L,MATCH(INDEX('Truck Input'!F:F,MATCH(G17,'Truck Input'!B:B,0)),'Truck Input'!K:K,0)),"")</f>
        <v>44937</v>
      </c>
      <c r="N17" s="39" t="str">
        <f>IFERROR(INDEX('Truck Input'!M:M,MATCH(INDEX('Truck Input'!F:F,MATCH(G17,'Truck Input'!B:B,0)),'Truck Input'!K:K,0)),"")</f>
        <v>Heniff</v>
      </c>
    </row>
    <row r="18" spans="1:14">
      <c r="A18" s="39" t="s">
        <v>5583</v>
      </c>
      <c r="B18" s="39" t="s">
        <v>101</v>
      </c>
      <c r="C18" s="39" t="s">
        <v>795</v>
      </c>
      <c r="D18" s="39" t="s">
        <v>793</v>
      </c>
      <c r="E18" s="39">
        <v>12000</v>
      </c>
      <c r="F18" s="39" t="s">
        <v>5290</v>
      </c>
      <c r="G18" s="39" t="s">
        <v>5443</v>
      </c>
      <c r="H18" s="39" t="str">
        <f>IFERROR(IF(A18="H","Huntsville",INDEX(SuppDetails[[#All],[Supplier]],MATCH(B18,SuppDetails[[#All],[Supplier Code]],0))),"")</f>
        <v>Technocell</v>
      </c>
      <c r="I18" s="39" t="str">
        <f t="shared" si="0"/>
        <v>TechnocellDrummondville</v>
      </c>
      <c r="J18" s="39" t="str">
        <f>IF(B18="","",IF(ISERROR(MATCH('SuppWorksheet 02'!$C$1,I18,0)),"hide","keep"))</f>
        <v>hide</v>
      </c>
      <c r="L18" s="50">
        <f>IFERROR(IF(INDEX('Truck Input'!D:D,MATCH(G18,'Truck Input'!B:B,0))="self deliver","- -",INDEX('Truck Input'!G:G,MATCH(G18,'Truck Input'!B:B,0))),"")</f>
        <v>44935</v>
      </c>
      <c r="M18" s="50">
        <f>IFERROR(INDEX('Truck Input'!L:L,MATCH(INDEX('Truck Input'!F:F,MATCH(G18,'Truck Input'!B:B,0)),'Truck Input'!K:K,0)),"")</f>
        <v>44936</v>
      </c>
      <c r="N18" s="39" t="str">
        <f>IFERROR(INDEX('Truck Input'!M:M,MATCH(INDEX('Truck Input'!F:F,MATCH(G18,'Truck Input'!B:B,0)),'Truck Input'!K:K,0)),"")</f>
        <v>A. Duie Pyle</v>
      </c>
    </row>
    <row r="19" spans="1:14">
      <c r="A19" s="39" t="s">
        <v>5583</v>
      </c>
      <c r="B19" s="39" t="s">
        <v>101</v>
      </c>
      <c r="C19" s="39" t="s">
        <v>796</v>
      </c>
      <c r="D19" s="39" t="s">
        <v>793</v>
      </c>
      <c r="E19" s="39">
        <v>1000</v>
      </c>
      <c r="F19" s="39" t="s">
        <v>5290</v>
      </c>
      <c r="G19" s="39" t="s">
        <v>5443</v>
      </c>
      <c r="H19" s="39" t="str">
        <f>IFERROR(IF(A19="H","Huntsville",INDEX(SuppDetails[[#All],[Supplier]],MATCH(B19,SuppDetails[[#All],[Supplier Code]],0))),"")</f>
        <v>Technocell</v>
      </c>
      <c r="I19" s="39" t="str">
        <f t="shared" si="0"/>
        <v>TechnocellDrummondville</v>
      </c>
      <c r="J19" s="39" t="str">
        <f>IF(B19="","",IF(ISERROR(MATCH('SuppWorksheet 02'!$C$1,I19,0)),"hide","keep"))</f>
        <v>hide</v>
      </c>
      <c r="L19" s="50">
        <f>IFERROR(IF(INDEX('Truck Input'!D:D,MATCH(G19,'Truck Input'!B:B,0))="self deliver","- -",INDEX('Truck Input'!G:G,MATCH(G19,'Truck Input'!B:B,0))),"")</f>
        <v>44935</v>
      </c>
      <c r="M19" s="50">
        <f>IFERROR(INDEX('Truck Input'!L:L,MATCH(INDEX('Truck Input'!F:F,MATCH(G19,'Truck Input'!B:B,0)),'Truck Input'!K:K,0)),"")</f>
        <v>44936</v>
      </c>
      <c r="N19" s="39" t="str">
        <f>IFERROR(INDEX('Truck Input'!M:M,MATCH(INDEX('Truck Input'!F:F,MATCH(G19,'Truck Input'!B:B,0)),'Truck Input'!K:K,0)),"")</f>
        <v>A. Duie Pyle</v>
      </c>
    </row>
    <row r="20" spans="1:14">
      <c r="A20" s="39" t="s">
        <v>5583</v>
      </c>
      <c r="B20" s="39" t="s">
        <v>329</v>
      </c>
      <c r="C20" s="39" t="s">
        <v>352</v>
      </c>
      <c r="D20" s="39" t="s">
        <v>351</v>
      </c>
      <c r="E20" s="39">
        <v>500</v>
      </c>
      <c r="F20" s="39" t="s">
        <v>3956</v>
      </c>
      <c r="G20" s="39" t="s">
        <v>3914</v>
      </c>
      <c r="H20" s="39" t="str">
        <f>IFERROR(IF(A20="H","Huntsville",INDEX(SuppDetails[[#All],[Supplier]],MATCH(B20,SuppDetails[[#All],[Supplier Code]],0))),"")</f>
        <v>Toppan</v>
      </c>
      <c r="I20" s="39" t="str">
        <f t="shared" si="0"/>
        <v>ToppanMcDonough</v>
      </c>
      <c r="J20" s="39" t="str">
        <f>IF(B20="","",IF(ISERROR(MATCH('SuppWorksheet 02'!$C$1,I20,0)),"hide","keep"))</f>
        <v>hide</v>
      </c>
      <c r="L20" s="50">
        <f>IFERROR(IF(INDEX('Truck Input'!D:D,MATCH(G20,'Truck Input'!B:B,0))="self deliver","- -",INDEX('Truck Input'!G:G,MATCH(G20,'Truck Input'!B:B,0))),"")</f>
        <v>44935</v>
      </c>
      <c r="M20" s="50">
        <f>IFERROR(INDEX('Truck Input'!L:L,MATCH(INDEX('Truck Input'!F:F,MATCH(G20,'Truck Input'!B:B,0)),'Truck Input'!K:K,0)),"")</f>
        <v>44938</v>
      </c>
      <c r="N20" s="39" t="str">
        <f>IFERROR(INDEX('Truck Input'!M:M,MATCH(INDEX('Truck Input'!F:F,MATCH(G20,'Truck Input'!B:B,0)),'Truck Input'!K:K,0)),"")</f>
        <v>Old Dominion</v>
      </c>
    </row>
    <row r="21" spans="1:14">
      <c r="A21" s="39" t="s">
        <v>5583</v>
      </c>
      <c r="B21" s="39" t="s">
        <v>329</v>
      </c>
      <c r="C21" s="39" t="s">
        <v>2006</v>
      </c>
      <c r="D21" s="39" t="s">
        <v>2004</v>
      </c>
      <c r="E21" s="39">
        <v>500</v>
      </c>
      <c r="F21" s="39" t="s">
        <v>3950</v>
      </c>
      <c r="G21" s="39" t="s">
        <v>5444</v>
      </c>
      <c r="H21" s="39" t="str">
        <f>IFERROR(IF(A21="H","Huntsville",INDEX(SuppDetails[[#All],[Supplier]],MATCH(B21,SuppDetails[[#All],[Supplier Code]],0))),"")</f>
        <v>Toppan</v>
      </c>
      <c r="I21" s="39" t="str">
        <f t="shared" si="0"/>
        <v>ToppanEDS</v>
      </c>
      <c r="J21" s="39" t="str">
        <f>IF(B21="","",IF(ISERROR(MATCH('SuppWorksheet 02'!$C$1,I21,0)),"hide","keep"))</f>
        <v>hide</v>
      </c>
      <c r="L21" s="50" t="str">
        <f>IFERROR(IF(INDEX('Truck Input'!D:D,MATCH(G21,'Truck Input'!B:B,0))="self deliver","- -",INDEX('Truck Input'!G:G,MATCH(G21,'Truck Input'!B:B,0))),"")</f>
        <v/>
      </c>
      <c r="M21" s="50" t="str">
        <f>IFERROR(INDEX('Truck Input'!L:L,MATCH(INDEX('Truck Input'!F:F,MATCH(G21,'Truck Input'!B:B,0)),'Truck Input'!K:K,0)),"")</f>
        <v/>
      </c>
      <c r="N21" s="39" t="str">
        <f>IFERROR(INDEX('Truck Input'!M:M,MATCH(INDEX('Truck Input'!F:F,MATCH(G21,'Truck Input'!B:B,0)),'Truck Input'!K:K,0)),"")</f>
        <v/>
      </c>
    </row>
    <row r="22" spans="1:14">
      <c r="A22" s="39" t="s">
        <v>5583</v>
      </c>
      <c r="B22" s="39" t="s">
        <v>329</v>
      </c>
      <c r="C22" s="39" t="s">
        <v>2193</v>
      </c>
      <c r="D22" s="39" t="s">
        <v>2194</v>
      </c>
      <c r="E22" s="39">
        <v>500</v>
      </c>
      <c r="F22" s="39" t="s">
        <v>3962</v>
      </c>
      <c r="G22" s="39" t="s">
        <v>3914</v>
      </c>
      <c r="H22" s="39" t="str">
        <f>IFERROR(IF(A22="H","Huntsville",INDEX(SuppDetails[[#All],[Supplier]],MATCH(B22,SuppDetails[[#All],[Supplier Code]],0))),"")</f>
        <v>Toppan</v>
      </c>
      <c r="I22" s="39" t="str">
        <f t="shared" si="0"/>
        <v>ToppanMcDonough</v>
      </c>
      <c r="J22" s="39" t="str">
        <f>IF(B22="","",IF(ISERROR(MATCH('SuppWorksheet 02'!$C$1,I22,0)),"hide","keep"))</f>
        <v>hide</v>
      </c>
      <c r="L22" s="50">
        <f>IFERROR(IF(INDEX('Truck Input'!D:D,MATCH(G22,'Truck Input'!B:B,0))="self deliver","- -",INDEX('Truck Input'!G:G,MATCH(G22,'Truck Input'!B:B,0))),"")</f>
        <v>44935</v>
      </c>
      <c r="M22" s="50">
        <f>IFERROR(INDEX('Truck Input'!L:L,MATCH(INDEX('Truck Input'!F:F,MATCH(G22,'Truck Input'!B:B,0)),'Truck Input'!K:K,0)),"")</f>
        <v>44938</v>
      </c>
      <c r="N22" s="39" t="str">
        <f>IFERROR(INDEX('Truck Input'!M:M,MATCH(INDEX('Truck Input'!F:F,MATCH(G22,'Truck Input'!B:B,0)),'Truck Input'!K:K,0)),"")</f>
        <v>Old Dominion</v>
      </c>
    </row>
    <row r="23" spans="1:14">
      <c r="A23" s="39" t="s">
        <v>5583</v>
      </c>
      <c r="B23" s="39" t="s">
        <v>329</v>
      </c>
      <c r="C23" s="39" t="s">
        <v>2196</v>
      </c>
      <c r="D23" s="39" t="s">
        <v>2194</v>
      </c>
      <c r="E23" s="39">
        <v>1000</v>
      </c>
      <c r="F23" s="39" t="s">
        <v>3962</v>
      </c>
      <c r="G23" s="39" t="s">
        <v>3914</v>
      </c>
      <c r="H23" s="39" t="str">
        <f>IFERROR(IF(A23="H","Huntsville",INDEX(SuppDetails[[#All],[Supplier]],MATCH(B23,SuppDetails[[#All],[Supplier Code]],0))),"")</f>
        <v>Toppan</v>
      </c>
      <c r="I23" s="39" t="str">
        <f t="shared" si="0"/>
        <v>ToppanMcDonough</v>
      </c>
      <c r="J23" s="39" t="str">
        <f>IF(B23="","",IF(ISERROR(MATCH('SuppWorksheet 02'!$C$1,I23,0)),"hide","keep"))</f>
        <v>hide</v>
      </c>
      <c r="L23" s="50">
        <f>IFERROR(IF(INDEX('Truck Input'!D:D,MATCH(G23,'Truck Input'!B:B,0))="self deliver","- -",INDEX('Truck Input'!G:G,MATCH(G23,'Truck Input'!B:B,0))),"")</f>
        <v>44935</v>
      </c>
      <c r="M23" s="50">
        <f>IFERROR(INDEX('Truck Input'!L:L,MATCH(INDEX('Truck Input'!F:F,MATCH(G23,'Truck Input'!B:B,0)),'Truck Input'!K:K,0)),"")</f>
        <v>44938</v>
      </c>
      <c r="N23" s="39" t="str">
        <f>IFERROR(INDEX('Truck Input'!M:M,MATCH(INDEX('Truck Input'!F:F,MATCH(G23,'Truck Input'!B:B,0)),'Truck Input'!K:K,0)),"")</f>
        <v>Old Dominion</v>
      </c>
    </row>
    <row r="24" spans="1:14">
      <c r="A24" s="39" t="s">
        <v>5583</v>
      </c>
      <c r="B24" s="39" t="s">
        <v>329</v>
      </c>
      <c r="C24" s="39" t="s">
        <v>2867</v>
      </c>
      <c r="D24" s="39" t="s">
        <v>2866</v>
      </c>
      <c r="E24" s="39">
        <v>500</v>
      </c>
      <c r="F24" s="39" t="s">
        <v>3962</v>
      </c>
      <c r="G24" s="39" t="s">
        <v>3914</v>
      </c>
      <c r="H24" s="39" t="str">
        <f>IFERROR(IF(A24="H","Huntsville",INDEX(SuppDetails[[#All],[Supplier]],MATCH(B24,SuppDetails[[#All],[Supplier Code]],0))),"")</f>
        <v>Toppan</v>
      </c>
      <c r="I24" s="39" t="str">
        <f t="shared" si="0"/>
        <v>ToppanMcDonough</v>
      </c>
      <c r="J24" s="39" t="str">
        <f>IF(B24="","",IF(ISERROR(MATCH('SuppWorksheet 02'!$C$1,I24,0)),"hide","keep"))</f>
        <v>hide</v>
      </c>
      <c r="L24" s="50">
        <f>IFERROR(IF(INDEX('Truck Input'!D:D,MATCH(G24,'Truck Input'!B:B,0))="self deliver","- -",INDEX('Truck Input'!G:G,MATCH(G24,'Truck Input'!B:B,0))),"")</f>
        <v>44935</v>
      </c>
      <c r="M24" s="50">
        <f>IFERROR(INDEX('Truck Input'!L:L,MATCH(INDEX('Truck Input'!F:F,MATCH(G24,'Truck Input'!B:B,0)),'Truck Input'!K:K,0)),"")</f>
        <v>44938</v>
      </c>
      <c r="N24" s="39" t="str">
        <f>IFERROR(INDEX('Truck Input'!M:M,MATCH(INDEX('Truck Input'!F:F,MATCH(G24,'Truck Input'!B:B,0)),'Truck Input'!K:K,0)),"")</f>
        <v>Old Dominion</v>
      </c>
    </row>
    <row r="846" spans="10:14">
      <c r="J846" s="39" t="str">
        <f>IF(B846="","",IF(ISERROR(MATCH('SuppWorksheet 02'!$C$1,I846,0)),"hide","keep"))</f>
        <v/>
      </c>
      <c r="L846" s="50" t="str">
        <f>IFERROR(IF(INDEX('Truck Input'!D:D,MATCH(G846,'Truck Input'!B:B,0))="self deliver","- -",INDEX('Truck Input'!G:G,MATCH(G846,'Truck Input'!B:B,0))),"")</f>
        <v/>
      </c>
      <c r="M846" s="50" t="str">
        <f>IFERROR(INDEX('Truck Input'!L:L,MATCH(INDEX('Truck Input'!F:F,MATCH(G846,'Truck Input'!B:B,0)),'Truck Input'!K:K,0)),"")</f>
        <v/>
      </c>
      <c r="N846" s="39" t="str">
        <f>IFERROR(INDEX('Truck Input'!M:M,MATCH(INDEX('Truck Input'!F:F,MATCH(G846,'Truck Input'!B:B,0)),'Truck Input'!K:K,0)),"")</f>
        <v/>
      </c>
    </row>
    <row r="847" spans="10:14">
      <c r="J847" s="39" t="str">
        <f>IF(B847="","",IF(ISERROR(MATCH('SuppWorksheet 02'!$C$1,I847,0)),"hide","keep"))</f>
        <v/>
      </c>
      <c r="L847" s="50" t="str">
        <f>IFERROR(IF(INDEX('Truck Input'!D:D,MATCH(G847,'Truck Input'!B:B,0))="self deliver","- -",INDEX('Truck Input'!G:G,MATCH(G847,'Truck Input'!B:B,0))),"")</f>
        <v/>
      </c>
      <c r="M847" s="50" t="str">
        <f>IFERROR(INDEX('Truck Input'!L:L,MATCH(INDEX('Truck Input'!F:F,MATCH(G847,'Truck Input'!B:B,0)),'Truck Input'!K:K,0)),"")</f>
        <v/>
      </c>
      <c r="N847" s="39" t="str">
        <f>IFERROR(INDEX('Truck Input'!M:M,MATCH(INDEX('Truck Input'!F:F,MATCH(G847,'Truck Input'!B:B,0)),'Truck Input'!K:K,0)),"")</f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473E-86C7-45C3-9883-227D75BD8863}">
  <sheetPr codeName="Sheet23">
    <tabColor theme="1" tint="0.34998626667073579"/>
  </sheetPr>
  <dimension ref="A1:C11"/>
  <sheetViews>
    <sheetView workbookViewId="0">
      <selection activeCell="C1" sqref="C1"/>
    </sheetView>
  </sheetViews>
  <sheetFormatPr defaultRowHeight="15"/>
  <cols>
    <col min="1" max="1" width="23.85546875" bestFit="1" customWidth="1"/>
    <col min="2" max="2" width="3.42578125" customWidth="1"/>
    <col min="3" max="3" width="35.7109375" customWidth="1"/>
  </cols>
  <sheetData>
    <row r="1" spans="1:3" ht="23.25">
      <c r="A1" s="202" t="s">
        <v>6128</v>
      </c>
      <c r="C1" s="201">
        <f>(A25)</f>
        <v>0</v>
      </c>
    </row>
    <row r="2" spans="1:3">
      <c r="A2" t="str" cm="1">
        <f t="array" ref="A2:A11">_xlfn._xlws.SORT(_xlfn.UNIQUE(_xlfn._xlws.FILTER('SuppWorksheet 01'!I2:I282,('SuppWorksheet 01'!I2:I282&lt;&gt;"")=('SuppWorksheet 01'!I2:I282&lt;&gt;"HuntsvilleHuntsville"),"")))</f>
        <v>Ahlstrom Paper Inc.Stone</v>
      </c>
    </row>
    <row r="3" spans="1:3">
      <c r="A3" t="str">
        <v>DNPStone</v>
      </c>
    </row>
    <row r="4" spans="1:3">
      <c r="A4" t="str">
        <v>GlatfelterGlatfelter</v>
      </c>
    </row>
    <row r="5" spans="1:3">
      <c r="A5" t="str">
        <v>InterprintInterprint</v>
      </c>
    </row>
    <row r="6" spans="1:3">
      <c r="A6" t="str">
        <v>LamigrafStone</v>
      </c>
    </row>
    <row r="7" spans="1:3">
      <c r="A7" t="str">
        <v>OnyxOnyx</v>
      </c>
    </row>
    <row r="8" spans="1:3">
      <c r="A8" t="str">
        <v>SuddekorSuddekor</v>
      </c>
    </row>
    <row r="9" spans="1:3">
      <c r="A9" t="str">
        <v>TechnocellDrummondville</v>
      </c>
    </row>
    <row r="10" spans="1:3">
      <c r="A10" t="str">
        <v>ToppanEDS</v>
      </c>
    </row>
    <row r="11" spans="1:3">
      <c r="A11" t="str">
        <v>ToppanMcDonough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2AEEE-ABCC-4483-AE91-DC4953951BC7}">
  <sheetPr codeName="Sheet21">
    <tabColor theme="1" tint="0.34998626667073579"/>
    <pageSetUpPr fitToPage="1"/>
  </sheetPr>
  <dimension ref="A1:E30"/>
  <sheetViews>
    <sheetView showGridLines="0" workbookViewId="0">
      <pane ySplit="10" topLeftCell="A11" activePane="bottomLeft" state="frozen"/>
      <selection activeCell="E3" sqref="E3"/>
      <selection pane="bottomLeft" activeCell="A11" sqref="A11"/>
    </sheetView>
  </sheetViews>
  <sheetFormatPr defaultRowHeight="15"/>
  <cols>
    <col min="1" max="1" width="16.7109375" style="1" customWidth="1"/>
    <col min="2" max="2" width="24.85546875" style="1" customWidth="1"/>
    <col min="3" max="3" width="9.5703125" style="1" customWidth="1"/>
    <col min="4" max="4" width="16.85546875" style="84" customWidth="1"/>
    <col min="5" max="5" width="31.85546875" style="1" customWidth="1"/>
    <col min="6" max="6" width="29" style="1" bestFit="1" customWidth="1"/>
    <col min="7" max="7" width="9.7109375" style="1" bestFit="1" customWidth="1"/>
    <col min="8" max="16384" width="9.140625" style="1"/>
  </cols>
  <sheetData>
    <row r="1" spans="1:5" ht="28.5">
      <c r="A1" s="298" t="s">
        <v>6116</v>
      </c>
      <c r="B1" s="298"/>
      <c r="C1" s="298"/>
      <c r="D1" s="298"/>
      <c r="E1" s="298"/>
    </row>
    <row r="2" spans="1:5">
      <c r="E2" s="234" t="e">
        <f>IF(E3=E4,_xlfn.CONCAT(LEFT(E3,4)," "),_xlfn.CONCAT(LEFT(E3,4)," from ",E4," Location "))</f>
        <v>#N/A</v>
      </c>
    </row>
    <row r="3" spans="1:5">
      <c r="D3" s="220" t="s">
        <v>6123</v>
      </c>
      <c r="E3" s="196" t="e">
        <f>INDEX('SuppWorksheet 01'!H:H,MATCH('SuppWorksheet 02'!$C$1,'SuppWorksheet 01'!I:I,0))</f>
        <v>#N/A</v>
      </c>
    </row>
    <row r="4" spans="1:5">
      <c r="D4" s="220" t="s">
        <v>6117</v>
      </c>
      <c r="E4" s="196" t="e">
        <f>INDEX('SuppWorksheet 01'!G:G,MATCH('SuppWorksheet 02'!$C$1,'SuppWorksheet 01'!I:I,0))</f>
        <v>#N/A</v>
      </c>
    </row>
    <row r="5" spans="1:5">
      <c r="A5" s="194" t="s">
        <v>6121</v>
      </c>
      <c r="D5" s="220" t="s">
        <v>6118</v>
      </c>
      <c r="E5" s="197" t="e">
        <f>IF(INDEX('Truck Input'!G:G,MATCH($E$4,'Truck Input'!B:B,0))=0,"- -",INDEX('Truck Input'!G:G,MATCH($E$4,'Truck Input'!B:B,0)))</f>
        <v>#N/A</v>
      </c>
    </row>
    <row r="6" spans="1:5">
      <c r="A6" s="195" t="s">
        <v>6122</v>
      </c>
      <c r="D6" s="221" t="s">
        <v>5823</v>
      </c>
      <c r="E6" s="196" t="e">
        <f>INDEX('Truck Input'!M:M,MATCH(INDEX('Truck Input'!F:F,MATCH($E$4,'Truck Input'!B:B,0)),'Truck Input'!K:K,0))</f>
        <v>#N/A</v>
      </c>
    </row>
    <row r="7" spans="1:5">
      <c r="D7" s="222" t="s">
        <v>6124</v>
      </c>
      <c r="E7" s="198">
        <f>SUM(D11:D50)</f>
        <v>2500</v>
      </c>
    </row>
    <row r="8" spans="1:5">
      <c r="A8" s="1" t="s">
        <v>6119</v>
      </c>
      <c r="B8" s="199">
        <f ca="1">TODAY()</f>
        <v>44935</v>
      </c>
    </row>
    <row r="9" spans="1:5" ht="4.5" customHeight="1"/>
    <row r="10" spans="1:5" ht="47.25">
      <c r="A10" s="193" t="s">
        <v>1</v>
      </c>
      <c r="B10" s="193" t="s">
        <v>39</v>
      </c>
      <c r="C10" s="193" t="s">
        <v>5596</v>
      </c>
      <c r="D10" s="223" t="s">
        <v>4632</v>
      </c>
      <c r="E10" s="193" t="s">
        <v>6120</v>
      </c>
    </row>
    <row r="11" spans="1:5" ht="29.25" customHeight="1">
      <c r="A11" s="1" t="s">
        <v>352</v>
      </c>
      <c r="B11" s="1" t="s">
        <v>351</v>
      </c>
      <c r="C11" s="84" t="s">
        <v>3956</v>
      </c>
      <c r="D11" s="28">
        <v>500</v>
      </c>
    </row>
    <row r="12" spans="1:5" ht="29.25" customHeight="1">
      <c r="A12" s="1" t="s">
        <v>2193</v>
      </c>
      <c r="B12" s="1" t="s">
        <v>2194</v>
      </c>
      <c r="C12" s="84" t="s">
        <v>3962</v>
      </c>
      <c r="D12" s="84">
        <v>500</v>
      </c>
    </row>
    <row r="13" spans="1:5" ht="29.25" customHeight="1">
      <c r="A13" s="1" t="s">
        <v>2196</v>
      </c>
      <c r="B13" s="1" t="s">
        <v>2194</v>
      </c>
      <c r="C13" s="1" t="s">
        <v>3962</v>
      </c>
      <c r="D13" s="84">
        <v>1000</v>
      </c>
    </row>
    <row r="14" spans="1:5" ht="29.25" customHeight="1">
      <c r="A14" s="1" t="s">
        <v>2867</v>
      </c>
      <c r="B14" s="1" t="s">
        <v>2866</v>
      </c>
      <c r="C14" s="84" t="s">
        <v>3962</v>
      </c>
      <c r="D14" s="28">
        <v>500</v>
      </c>
    </row>
    <row r="15" spans="1:5" ht="29.25" customHeight="1">
      <c r="C15" s="84"/>
      <c r="D15" s="28"/>
    </row>
    <row r="16" spans="1:5" ht="29.25" customHeight="1"/>
    <row r="17" spans="3:3" ht="29.25" customHeight="1">
      <c r="C17" s="84"/>
    </row>
    <row r="18" spans="3:3" ht="29.25" customHeight="1">
      <c r="C18" s="84"/>
    </row>
    <row r="19" spans="3:3" ht="29.25" customHeight="1">
      <c r="C19" s="84"/>
    </row>
    <row r="20" spans="3:3" ht="29.25" customHeight="1">
      <c r="C20" s="84"/>
    </row>
    <row r="21" spans="3:3" ht="29.25" customHeight="1">
      <c r="C21" s="39"/>
    </row>
    <row r="22" spans="3:3" ht="29.25" customHeight="1"/>
    <row r="23" spans="3:3" ht="29.25" customHeight="1">
      <c r="C23" s="84"/>
    </row>
    <row r="24" spans="3:3" ht="29.25" customHeight="1">
      <c r="C24" s="84"/>
    </row>
    <row r="25" spans="3:3" ht="29.25" customHeight="1">
      <c r="C25" s="84"/>
    </row>
    <row r="26" spans="3:3" ht="29.25" customHeight="1">
      <c r="C26" s="84"/>
    </row>
    <row r="27" spans="3:3" ht="29.25" customHeight="1">
      <c r="C27" s="84"/>
    </row>
    <row r="28" spans="3:3" ht="29.25" customHeight="1">
      <c r="C28" s="84"/>
    </row>
    <row r="29" spans="3:3" ht="29.25" customHeight="1">
      <c r="C29" s="84"/>
    </row>
    <row r="30" spans="3:3" ht="29.25" customHeight="1">
      <c r="C30" s="84"/>
    </row>
  </sheetData>
  <mergeCells count="1">
    <mergeCell ref="A1:E1"/>
  </mergeCells>
  <conditionalFormatting sqref="A11:E59">
    <cfRule type="expression" dxfId="10" priority="1">
      <formula>$A11&lt;&gt;""</formula>
    </cfRule>
  </conditionalFormatting>
  <printOptions horizontalCentered="1"/>
  <pageMargins left="0.25" right="0.25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0B9F8F7043C34083A360D828D99ADE" ma:contentTypeVersion="2" ma:contentTypeDescription="Create a new document." ma:contentTypeScope="" ma:versionID="ba3557fedb9674f08f82e50a4191aa1a">
  <xsd:schema xmlns:xsd="http://www.w3.org/2001/XMLSchema" xmlns:xs="http://www.w3.org/2001/XMLSchema" xmlns:p="http://schemas.microsoft.com/office/2006/metadata/properties" xmlns:ns3="c31f2ba0-ece6-4c35-a061-23d03e5ccd59" targetNamespace="http://schemas.microsoft.com/office/2006/metadata/properties" ma:root="true" ma:fieldsID="a9d9debcff6312a38c43acd4d5ce7d6f" ns3:_="">
    <xsd:import namespace="c31f2ba0-ece6-4c35-a061-23d03e5ccd5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f2ba0-ece6-4c35-a061-23d03e5ccd5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963E7C-A30E-4A02-A89C-4C02B42DD6D9}">
  <ds:schemaRefs>
    <ds:schemaRef ds:uri="http://schemas.microsoft.com/office/infopath/2007/PartnerControls"/>
    <ds:schemaRef ds:uri="c31f2ba0-ece6-4c35-a061-23d03e5ccd59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AD776DB-0AA9-4190-8526-1D83EDD449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015FDD5-DAE4-409E-B627-10010C8D6B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1f2ba0-ece6-4c35-a061-23d03e5ccd5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8</vt:i4>
      </vt:variant>
    </vt:vector>
  </HeadingPairs>
  <TitlesOfParts>
    <vt:vector size="38" baseType="lpstr">
      <vt:lpstr>Process Tab</vt:lpstr>
      <vt:lpstr>Extra Pickup</vt:lpstr>
      <vt:lpstr>Hun Current</vt:lpstr>
      <vt:lpstr>CPL Mats</vt:lpstr>
      <vt:lpstr>Review</vt:lpstr>
      <vt:lpstr>Result</vt:lpstr>
      <vt:lpstr>Hun Price</vt:lpstr>
      <vt:lpstr>Weight</vt:lpstr>
      <vt:lpstr>Truck Input</vt:lpstr>
      <vt:lpstr>Truck Lineup</vt:lpstr>
      <vt:lpstr>Pickup Report</vt:lpstr>
      <vt:lpstr>Pickup ID</vt:lpstr>
      <vt:lpstr>PO Adj Current</vt:lpstr>
      <vt:lpstr>Distribution</vt:lpstr>
      <vt:lpstr>Tables</vt:lpstr>
      <vt:lpstr>Hun Release Current</vt:lpstr>
      <vt:lpstr>Pickup Locations</vt:lpstr>
      <vt:lpstr>Prev Aub</vt:lpstr>
      <vt:lpstr>Prev Hun</vt:lpstr>
      <vt:lpstr>Aub Demand</vt:lpstr>
      <vt:lpstr>Hun Demand</vt:lpstr>
      <vt:lpstr>Supp Consol</vt:lpstr>
      <vt:lpstr>Supplier Data</vt:lpstr>
      <vt:lpstr>&lt;blank&gt;</vt:lpstr>
      <vt:lpstr>Workbook</vt:lpstr>
      <vt:lpstr>Workbook2</vt:lpstr>
      <vt:lpstr>Workbook3</vt:lpstr>
      <vt:lpstr>SuppWorksheet 01</vt:lpstr>
      <vt:lpstr>SuppWorksheet 02</vt:lpstr>
      <vt:lpstr>Supp Request</vt:lpstr>
      <vt:lpstr>'Hun Demand'!Print_Area</vt:lpstr>
      <vt:lpstr>'Hun Price'!Print_Area</vt:lpstr>
      <vt:lpstr>Weight!Print_Area</vt:lpstr>
      <vt:lpstr>'Aub Demand'!Print_Titles</vt:lpstr>
      <vt:lpstr>'Hun Demand'!Print_Titles</vt:lpstr>
      <vt:lpstr>Review!Print_Titles</vt:lpstr>
      <vt:lpstr>'Supp Consol'!Print_Titles</vt:lpstr>
      <vt:lpstr>'Supplier Data'!Print_Titles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Lepkowski, Jennifer</dc:creator>
  <cp:lastModifiedBy>Jennifer Lepkowski</cp:lastModifiedBy>
  <cp:lastPrinted>2023-01-05T17:15:12Z</cp:lastPrinted>
  <dcterms:created xsi:type="dcterms:W3CDTF">2022-09-19T19:55:43Z</dcterms:created>
  <dcterms:modified xsi:type="dcterms:W3CDTF">2023-01-09T21:42:57Z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0x0101007F0B9F8F7043C34083A360D828D99ADE</vt:lpwstr>
  </property>
</Properties>
</file>